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omments/comment3.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PO Live" sheetId="1" state="visible" r:id="rId1"/>
    <sheet xmlns:r="http://schemas.openxmlformats.org/officeDocument/2006/relationships" name="AH" sheetId="2" state="visible" r:id="rId2"/>
    <sheet xmlns:r="http://schemas.openxmlformats.org/officeDocument/2006/relationships" name="Screener" sheetId="3" state="visible" r:id="rId3"/>
    <sheet xmlns:r="http://schemas.openxmlformats.org/officeDocument/2006/relationships" name="Database" sheetId="4" state="visible" r:id="rId4"/>
    <sheet xmlns:r="http://schemas.openxmlformats.org/officeDocument/2006/relationships" name="Pipeline" sheetId="5" state="visible" r:id="rId5"/>
    <sheet xmlns:r="http://schemas.openxmlformats.org/officeDocument/2006/relationships" name="CS League" sheetId="6" state="visible" r:id="rId6"/>
    <sheet xmlns:r="http://schemas.openxmlformats.org/officeDocument/2006/relationships" name="SM League" sheetId="7" state="visible" r:id="rId7"/>
    <sheet xmlns:r="http://schemas.openxmlformats.org/officeDocument/2006/relationships" name="Analogs" sheetId="8" state="visible" r:id="rId8"/>
    <sheet xmlns:r="http://schemas.openxmlformats.org/officeDocument/2006/relationships" name="Taxonomy" sheetId="9" state="visible" r:id="rId9"/>
    <sheet xmlns:r="http://schemas.openxmlformats.org/officeDocument/2006/relationships" name="Notes" sheetId="10" state="visible" r:id="rId10"/>
    <sheet xmlns:r="http://schemas.openxmlformats.org/officeDocument/2006/relationships" name="SizeBench" sheetId="11" state="hidden" r:id="rId11"/>
    <sheet xmlns:r="http://schemas.openxmlformats.org/officeDocument/2006/relationships" name="BBG Verify" sheetId="12" state="visible" r:id="rId12"/>
    <sheet xmlns:r="http://schemas.openxmlformats.org/officeDocument/2006/relationships" name="Verify (BBG)" sheetId="13" state="visible" r:id="rId13"/>
    <sheet xmlns:r="http://schemas.openxmlformats.org/officeDocument/2006/relationships" name="Verification" sheetId="14" state="hidden" r:id="rId14"/>
    <sheet xmlns:r="http://schemas.openxmlformats.org/officeDocument/2006/relationships" name="Market Data" sheetId="15" state="hidden" r:id="rId15"/>
    <sheet xmlns:r="http://schemas.openxmlformats.org/officeDocument/2006/relationships" name="AH History" sheetId="16" state="hidden" r:id="rId16"/>
    <sheet xmlns:r="http://schemas.openxmlformats.org/officeDocument/2006/relationships" name="Live History" sheetId="17" state="hidden" r:id="rId17"/>
    <sheet xmlns:r="http://schemas.openxmlformats.org/officeDocument/2006/relationships" name="Chart Data" sheetId="18" state="hidden" r:id="rId18"/>
    <sheet xmlns:r="http://schemas.openxmlformats.org/officeDocument/2006/relationships" name="Calc (scoring engine)" sheetId="19" state="hidden" r:id="rId19"/>
  </sheets>
  <definedNames>
    <definedName name="AllDeals">'Calc (scoring engine)'!$AA$3:$AA$539</definedName>
    <definedName name="A_PX">Screener!$B$53</definedName>
    <definedName name="A_FX">Screener!$B$54</definedName>
    <definedName name="A_HKD">Screener!$B$55</definedName>
    <definedName name="H_TRM">Screener!$B$57</definedName>
    <definedName name="AnalogKey">Analogs!$G$13:$G$133</definedName>
    <definedName name="AnalogN">Analogs!$C$13:$C$133</definedName>
    <definedName name="AnalogMed">Analogs!$D$13:$D$133</definedName>
    <definedName name="AnalogHit">Analogs!$E$13:$E$133</definedName>
    <definedName name="SubsecKey">Analogs!$A$137:$A$173</definedName>
    <definedName name="SubsecN">Analogs!$B$137:$B$173</definedName>
    <definedName name="SubsecMed">Analogs!$C$137:$C$173</definedName>
    <definedName name="SubsecHit">Analogs!$D$137:$D$173</definedName>
    <definedName name="SubsecPE">Analogs!$E$137:$E$173</definedName>
    <definedName name="SubsecPS">Analogs!$F$137:$F$173</definedName>
    <definedName name="W_SUB">Notes!$B$26</definedName>
    <definedName name="W_SEC">Notes!$B$27</definedName>
    <definedName name="W_SIZE">Notes!$B$28</definedName>
    <definedName name="W_PROF">Notes!$B$29</definedName>
    <definedName name="W_AH">Notes!$B$30</definedName>
    <definedName name="W_REC">Notes!$B$31</definedName>
    <definedName name="W_CS">Notes!$B$32</definedName>
    <definedName name="W_PE">Notes!$B$33</definedName>
    <definedName name="W_PEHW">Notes!$B$34</definedName>
    <definedName name="W_SIZEHW">Notes!$B$35</definedName>
    <definedName name="W_RECD">Notes!$B$36</definedName>
    <definedName name="AHPairList">'Market Data'!$P$3:$P$64</definedName>
    <definedName name="AHChartDates">'Chart Data'!$A$5:INDEX('Chart Data'!$A$5:$A$3004,AH!$P$11)</definedName>
    <definedName name="AHChartPremium">'Chart Data'!$B$5:INDEX('Chart Data'!$B$5:$B$3004,AH!$P$11)</definedName>
    <definedName name="SubsectorList">Taxonomy!$J$4:$J$41</definedName>
    <definedName name="_xlnm.Print_Titles" localSheetId="2">'Screener'!$19:$20</definedName>
    <definedName name="_xlnm._FilterDatabase" localSheetId="3" hidden="1">'Database'!$A$4:$CC$528</definedName>
    <definedName name="_xlnm.Print_Titles" localSheetId="3">'Database'!$1:$4</definedName>
    <definedName name="_xlnm._FilterDatabase" localSheetId="5" hidden="1">'CS League'!$A$4:$K$1082</definedName>
    <definedName name="_xlnm._FilterDatabase" localSheetId="6" hidden="1">'SM League'!$A$4:$R$69</definedName>
    <definedName name="_xlnm._FilterDatabase" localSheetId="8" hidden="1">'Taxonomy'!$A$3:$E$41</definedName>
  </definedNames>
  <calcPr calcId="124519" fullCalcOnLoad="1"/>
</workbook>
</file>

<file path=xl/styles.xml><?xml version="1.0" encoding="utf-8"?>
<ns0:styleSheet xmlns:ns0="http://schemas.openxmlformats.org/spreadsheetml/2006/main">
  <ns0:numFmts count="13">
    <ns0:numFmt numFmtId="164" formatCode="yyyy-mm-dd"/>
    <ns0:numFmt numFmtId="165" formatCode="0.000"/>
    <ns0:numFmt numFmtId="166" formatCode="0.0&quot;%&quot;"/>
    <ns0:numFmt numFmtId="167" formatCode="#,##0.0"/>
    <ns0:numFmt numFmtId="168" formatCode="0.0&quot;%&quot;;;&quot;none&quot;"/>
    <ns0:numFmt numFmtId="169" formatCode="+0.0&quot;%&quot;;-0.0&quot;%&quot;"/>
    <ns0:numFmt numFmtId="170" formatCode="0.0"/>
    <ns0:numFmt numFmtId="171" formatCode="+0.0%;-0.0%"/>
    <ns0:numFmt numFmtId="172" formatCode="0.0000"/>
    <ns0:numFmt numFmtId="173" formatCode="0&quot;%&quot;"/>
    <ns0:numFmt numFmtId="174" formatCode="yyyy-mm-dd h:mm:ss"/>
    <ns0:numFmt numFmtId="175" formatCode="0.0%;(0.0%);0.0%"/>
    <ns0:numFmt numFmtId="176" formatCode="dd-mmm-yy"/>
  </ns0:numFmts>
  <ns0:fonts count="19">
    <ns0:font>
      <ns0:name val="Calibri"/>
      <ns0:family val="2"/>
      <ns0:color theme="1"/>
      <ns0:sz val="11"/>
      <ns0:scheme val="minor"/>
    </ns0:font>
    <ns0:font>
      <ns0:name val="Arial"/>
      <ns0:b val="1"/>
      <ns0:color rgb="00333333"/>
      <ns0:sz val="16"/>
    </ns0:font>
    <ns0:font>
      <ns0:name val="Arial"/>
      <ns0:i val="1"/>
      <ns0:color rgb="00808080"/>
      <ns0:sz val="9"/>
    </ns0:font>
    <ns0:font>
      <ns0:name val="Arial"/>
      <ns0:b val="1"/>
      <ns0:color rgb="00FFFFFF"/>
      <ns0:sz val="10"/>
    </ns0:font>
    <ns0:font>
      <ns0:name val="Arial"/>
      <ns0:sz val="10"/>
    </ns0:font>
    <ns0:font>
      <ns0:name val="Arial"/>
      <ns0:color rgb="000000FF"/>
      <ns0:sz val="10"/>
      <ns0:u val="single"/>
    </ns0:font>
    <ns0:font>
      <ns0:name val="Arial"/>
      <ns0:color rgb="000000FF"/>
      <ns0:sz val="10"/>
    </ns0:font>
    <ns0:font>
      <ns0:name val="Arial"/>
      <ns0:color rgb="00808080"/>
      <ns0:sz val="10"/>
    </ns0:font>
    <ns0:font>
      <ns0:name val="Arial"/>
      <ns0:b val="1"/>
      <ns0:sz val="10"/>
    </ns0:font>
    <ns0:font>
      <ns0:name val="Arial"/>
      <ns0:b val="1"/>
      <ns0:color rgb="00C00000"/>
      <ns0:sz val="10"/>
    </ns0:font>
    <ns0:font>
      <ns0:name val="Arial"/>
      <ns0:color rgb="FF111111"/>
      <ns0:sz val="11"/>
    </ns0:font>
    <ns0:font>
      <ns0:name val="Arial"/>
      <ns0:b val="1"/>
      <ns0:color rgb="FF111111"/>
      <ns0:sz val="14"/>
    </ns0:font>
    <ns0:font>
      <ns0:name val="Arial"/>
      <ns0:b val="1"/>
      <ns0:color rgb="FF111111"/>
      <ns0:sz val="12"/>
    </ns0:font>
    <ns0:font>
      <ns0:name val="Arial"/>
      <ns0:b val="1"/>
      <ns0:color rgb="FF111111"/>
      <ns0:sz val="11"/>
    </ns0:font>
    <ns0:font>
      <ns0:name val="Arial"/>
      <ns0:color rgb="FF0000FF"/>
      <ns0:sz val="11"/>
    </ns0:font>
    <ns0:font>
      <ns0:name val="Arial"/>
      <ns0:color rgb="00111111"/>
      <ns0:sz val="11"/>
    </ns0:font>
    <ns0:font>
      <ns0:name val="Arial"/>
      <ns0:color rgb="00555555"/>
      <ns0:sz val="10"/>
    </ns0:font>
    <ns0:font>
      <ns0:name val="Arial"/>
      <ns0:color rgb="000000FF"/>
      <ns0:sz val="11"/>
    </ns0:font>
    <ns0:font>
      <ns0:name val="Arial"/>
      <ns0:b val="1"/>
      <ns0:color rgb="00111111"/>
      <ns0:sz val="12"/>
    </ns0:font>
  </ns0:fonts>
  <ns0:fills count="39">
    <ns0:fill>
      <ns0:patternFill/>
    </ns0:fill>
    <ns0:fill>
      <ns0:patternFill patternType="gray125"/>
    </ns0:fill>
    <ns0:fill>
      <ns0:patternFill patternType="solid">
        <ns0:fgColor rgb="00333333"/>
      </ns0:patternFill>
    </ns0:fill>
    <ns0:fill>
      <ns0:patternFill patternType="solid">
        <ns0:fgColor rgb="00305496"/>
      </ns0:patternFill>
    </ns0:fill>
    <ns0:fill>
      <ns0:patternFill patternType="solid">
        <ns0:fgColor rgb="001F7A6D"/>
      </ns0:patternFill>
    </ns0:fill>
    <ns0:fill>
      <ns0:patternFill patternType="solid">
        <ns0:fgColor rgb="00F2F2F2"/>
      </ns0:patternFill>
    </ns0:fill>
    <ns0:fill>
      <ns0:patternFill patternType="solid">
        <ns0:fgColor rgb="00F2DEC3"/>
      </ns0:patternFill>
    </ns0:fill>
    <ns0:fill>
      <ns0:patternFill patternType="solid">
        <ns0:fgColor rgb="001F4E79"/>
      </ns0:patternFill>
    </ns0:fill>
    <ns0:fill>
      <ns0:patternFill patternType="solid">
        <ns0:fgColor rgb="00274E13"/>
      </ns0:patternFill>
    </ns0:fill>
    <ns0:fill>
      <ns0:patternFill patternType="solid">
        <ns0:fgColor rgb="00434343"/>
      </ns0:patternFill>
    </ns0:fill>
    <ns0:fill>
      <ns0:patternFill patternType="solid">
        <ns0:fgColor rgb="00274E63"/>
      </ns0:patternFill>
    </ns0:fill>
    <ns0:fill>
      <ns0:patternFill patternType="solid">
        <ns0:fgColor rgb="00FDE9D9"/>
      </ns0:patternFill>
    </ns0:fill>
    <ns0:fill>
      <ns0:patternFill patternType="solid">
        <ns0:fgColor rgb="00E2F0D9"/>
      </ns0:patternFill>
    </ns0:fill>
    <ns0:fill>
      <ns0:patternFill patternType="solid">
        <ns0:fgColor rgb="00EDEDED"/>
      </ns0:patternFill>
    </ns0:fill>
    <ns0:fill>
      <ns0:patternFill patternType="solid">
        <ns0:fgColor rgb="00E4E7EC"/>
      </ns0:patternFill>
    </ns0:fill>
    <ns0:fill>
      <ns0:patternFill patternType="solid">
        <ns0:fgColor rgb="00FBFCFE"/>
      </ns0:patternFill>
    </ns0:fill>
    <ns0:fill>
      <ns0:patternFill patternType="solid">
        <ns0:fgColor rgb="00F2F6FB"/>
      </ns0:patternFill>
    </ns0:fill>
    <ns0:fill>
      <ns0:patternFill patternType="solid">
        <ns0:fgColor rgb="FFE6E6E6"/>
      </ns0:patternFill>
    </ns0:fill>
    <ns0:fill>
      <ns0:patternFill patternType="solid">
        <ns0:fgColor rgb="FFEAF2F8"/>
      </ns0:patternFill>
    </ns0:fill>
    <ns0:fill>
      <ns0:patternFill patternType="solid">
        <ns0:fgColor rgb="FF1F3864"/>
      </ns0:patternFill>
    </ns0:fill>
    <ns0:fill>
      <ns0:patternFill patternType="solid">
        <ns0:fgColor rgb="FFDDEBF7"/>
      </ns0:patternFill>
    </ns0:fill>
    <ns0:fill>
      <ns0:patternFill patternType="solid">
        <ns0:fgColor rgb="FF375623"/>
      </ns0:patternFill>
    </ns0:fill>
    <ns0:fill>
      <ns0:patternFill patternType="solid">
        <ns0:fgColor rgb="FF44546A"/>
      </ns0:patternFill>
    </ns0:fill>
    <ns0:fill>
      <ns0:patternFill patternType="solid">
        <ns0:fgColor rgb="FF742323"/>
      </ns0:patternFill>
    </ns0:fill>
    <ns0:fill>
      <ns0:patternFill patternType="solid">
        <ns0:fgColor rgb="FF595959"/>
      </ns0:patternFill>
    </ns0:fill>
    <ns0:fill>
      <ns0:patternFill patternType="solid">
        <ns0:fgColor rgb="FF3D6C68"/>
      </ns0:patternFill>
    </ns0:fill>
    <ns0:fill>
      <ns0:patternFill patternType="solid">
        <ns0:fgColor rgb="FF1F4E79"/>
      </ns0:patternFill>
    </ns0:fill>
    <ns0:fill>
      <ns0:patternFill patternType="solid">
        <ns0:fgColor rgb="FF274E13"/>
      </ns0:patternFill>
    </ns0:fill>
    <ns0:fill>
      <ns0:patternFill patternType="solid">
        <ns0:fgColor rgb="FF6B5A2A"/>
      </ns0:patternFill>
    </ns0:fill>
    <ns0:fill>
      <ns0:patternFill patternType="solid">
        <ns0:fgColor rgb="FF134F4A"/>
      </ns0:patternFill>
    </ns0:fill>
    <ns0:fill>
      <ns0:patternFill patternType="solid">
        <ns0:fgColor rgb="FF434343"/>
      </ns0:patternFill>
    </ns0:fill>
    <ns0:fill>
      <ns0:patternFill patternType="solid">
        <ns0:fgColor rgb="FF274E63"/>
      </ns0:patternFill>
    </ns0:fill>
    <ns0:fill>
      <ns0:patternFill patternType="solid">
        <ns0:fgColor rgb="FFE9C5C5"/>
      </ns0:patternFill>
    </ns0:fill>
    <ns0:fill>
      <ns0:patternFill patternType="solid">
        <ns0:fgColor rgb="FFFFFFFF"/>
      </ns0:patternFill>
    </ns0:fill>
    <ns0:fill>
      <ns0:patternFill patternType="solid">
        <ns0:fgColor rgb="FFCEDFCF"/>
      </ns0:patternFill>
    </ns0:fill>
    <ns0:fill>
      <ns0:patternFill patternType="solid">
        <ns0:fgColor rgb="FF7086A6"/>
      </ns0:patternFill>
    </ns0:fill>
    <ns0:fill>
      <ns0:patternFill patternType="solid">
        <ns0:fgColor rgb="FFE6EEE4"/>
      </ns0:patternFill>
    </ns0:fill>
    <ns0:fill>
      <ns0:patternFill patternType="solid">
        <ns0:fgColor rgb="FFF3EBD8"/>
      </ns0:patternFill>
    </ns0:fill>
    <ns0:fill>
      <ns0:patternFill patternType="solid">
        <ns0:fgColor rgb="FFF7F9FB"/>
      </ns0:patternFill>
    </ns0:fill>
  </ns0:fills>
  <ns0:borders count="21">
    <ns0:border>
      <ns0:left/>
      <ns0:right/>
      <ns0:top/>
      <ns0:bottom/>
      <ns0:diagonal/>
    </ns0:border>
    <ns0:border>
      <ns0:bottom style="hair">
        <ns0:color rgb="00E1E7EF"/>
      </ns0:bottom>
    </ns0:border>
    <ns0:border>
      <ns0:left/>
      <ns0:right/>
      <ns0:top/>
      <ns0:bottom style="hair">
        <ns0:color rgb="00E1E7EF"/>
      </ns0:bottom>
      <ns0:diagonal/>
    </ns0:border>
    <ns0:border>
      <ns0:left style="medium">
        <ns0:color rgb="00305496"/>
      </ns0:left>
      <ns0:right/>
      <ns0:top/>
      <ns0:bottom/>
    </ns0:border>
    <ns0:border>
      <ns0:left style="medium">
        <ns0:color rgb="00305496"/>
      </ns0:left>
      <ns0:bottom style="hair">
        <ns0:color rgb="00E1E7EF"/>
      </ns0:bottom>
    </ns0:border>
    <ns0:border>
      <ns0:top style="medium">
        <ns0:color rgb="00305496"/>
      </ns0:top>
      <ns0:bottom style="hair">
        <ns0:color rgb="00E1E7EF"/>
      </ns0:bottom>
    </ns0:border>
    <ns0:border>
      <ns0:left style="medium">
        <ns0:color rgb="00305496"/>
      </ns0:left>
      <ns0:top style="medium">
        <ns0:color rgb="00305496"/>
      </ns0:top>
      <ns0:bottom style="hair">
        <ns0:color rgb="00E1E7EF"/>
      </ns0:bottom>
    </ns0:border>
    <ns0:border>
      <ns0:left style="thin">
        <ns0:color rgb="00B8C4D0"/>
      </ns0:left>
      <ns0:top style="thin">
        <ns0:color rgb="00B8C4D0"/>
      </ns0:top>
      <ns0:bottom style="hair">
        <ns0:color rgb="00E1E7EF"/>
      </ns0:bottom>
    </ns0:border>
    <ns0:border>
      <ns0:left/>
      <ns0:right/>
      <ns0:top style="thin">
        <ns0:color rgb="00B8C4D0"/>
      </ns0:top>
      <ns0:bottom style="hair">
        <ns0:color rgb="00E1E7EF"/>
      </ns0:bottom>
    </ns0:border>
    <ns0:border>
      <ns0:left/>
      <ns0:right style="thin">
        <ns0:color rgb="00B8C4D0"/>
      </ns0:right>
      <ns0:top style="thin">
        <ns0:color rgb="00B8C4D0"/>
      </ns0:top>
      <ns0:bottom style="hair">
        <ns0:color rgb="00E1E7EF"/>
      </ns0:bottom>
    </ns0:border>
    <ns0:border>
      <ns0:left style="thin">
        <ns0:color rgb="00B8C4D0"/>
      </ns0:left>
      <ns0:bottom style="hair">
        <ns0:color rgb="00E1E7EF"/>
      </ns0:bottom>
    </ns0:border>
    <ns0:border>
      <ns0:left/>
      <ns0:right/>
      <ns0:top/>
      <ns0:bottom/>
    </ns0:border>
    <ns0:border>
      <ns0:left/>
      <ns0:right style="thin">
        <ns0:color rgb="00B8C4D0"/>
      </ns0:right>
      <ns0:top/>
      <ns0:bottom/>
    </ns0:border>
    <ns0:border>
      <ns0:right style="thin">
        <ns0:color rgb="00B8C4D0"/>
      </ns0:right>
      <ns0:bottom style="hair">
        <ns0:color rgb="00E1E7EF"/>
      </ns0:bottom>
    </ns0:border>
    <ns0:border>
      <ns0:left style="thin">
        <ns0:color rgb="00B8C4D0"/>
      </ns0:left>
      <ns0:bottom style="thin">
        <ns0:color rgb="00B8C4D0"/>
      </ns0:bottom>
    </ns0:border>
    <ns0:border>
      <ns0:bottom style="thin">
        <ns0:color rgb="00B8C4D0"/>
      </ns0:bottom>
    </ns0:border>
    <ns0:border>
      <ns0:left/>
      <ns0:right style="thin">
        <ns0:color rgb="00B8C4D0"/>
      </ns0:right>
      <ns0:top/>
      <ns0:bottom style="thin">
        <ns0:color rgb="00B8C4D0"/>
      </ns0:bottom>
    </ns0:border>
    <ns0:border>
      <ns0:left/>
      <ns0:right/>
      <ns0:top/>
      <ns0:bottom style="thin">
        <ns0:color rgb="FF777777"/>
      </ns0:bottom>
      <ns0:diagonal/>
    </ns0:border>
    <ns0:border>
      <ns0:left/>
      <ns0:right/>
      <ns0:top/>
      <ns0:bottom style="thin">
        <ns0:color rgb="FF7F8C99"/>
      </ns0:bottom>
      <ns0:diagonal/>
    </ns0:border>
    <ns0:border>
      <ns0:bottom style="hair">
        <ns0:color rgb="00DDDDDD"/>
      </ns0:bottom>
    </ns0:border>
    <ns0:border>
      <ns0:right/>
      <ns0:bottom style="hair">
        <ns0:color rgb="00E1E7EF"/>
      </ns0:bottom>
    </ns0:border>
  </ns0:borders>
  <ns0:cellStyleXfs count="1">
    <ns0:xf numFmtId="0" fontId="0" fillId="0" borderId="0"/>
  </ns0:cellStyleXfs>
  <ns0:cellXfs count="257">
    <ns0:xf numFmtId="0" fontId="0" fillId="0" borderId="0" pivotButton="0" quotePrefix="0" xfId="0"/>
    <ns0:xf numFmtId="0" fontId="10" fillId="0" borderId="0" pivotButton="0" quotePrefix="0" xfId="0"/>
    <ns0:xf numFmtId="0" fontId="11" fillId="0" borderId="0" pivotButton="0" quotePrefix="0" xfId="0"/>
    <ns0:xf numFmtId="0" fontId="12" fillId="0" borderId="0" pivotButton="0" quotePrefix="0" xfId="0"/>
    <ns0:xf numFmtId="0" fontId="13" fillId="17" borderId="17" applyAlignment="1" pivotButton="0" quotePrefix="0" xfId="0">
      <ns0:alignment wrapText="1"/>
    </ns0:xf>
    <ns0:xf numFmtId="0" fontId="15" fillId="0" borderId="19" applyAlignment="1" pivotButton="0" quotePrefix="0" xfId="0">
      <ns0:alignment vertical="center"/>
    </ns0:xf>
    <ns0:xf numFmtId="175" fontId="15" fillId="0" borderId="19" applyAlignment="1" pivotButton="0" quotePrefix="0" xfId="0">
      <ns0:alignment vertical="center"/>
    </ns0:xf>
    <ns0:xf numFmtId="1" fontId="15" fillId="0" borderId="19" applyAlignment="1" pivotButton="0" quotePrefix="0" xfId="0">
      <ns0:alignment vertical="center"/>
    </ns0:xf>
    <ns0:xf numFmtId="2" fontId="15" fillId="0" borderId="19" applyAlignment="1" pivotButton="0" quotePrefix="0" xfId="0">
      <ns0:alignment vertical="center"/>
    </ns0:xf>
    <ns0:xf numFmtId="0" fontId="16" fillId="0" borderId="0" pivotButton="0" quotePrefix="0" xfId="0"/>
    <ns0:xf numFmtId="0" fontId="13" fillId="0" borderId="0" pivotButton="0" quotePrefix="0" xfId="0"/>
    <ns0:xf numFmtId="49" fontId="17" fillId="0" borderId="0" pivotButton="0" quotePrefix="0" xfId="0"/>
    <ns0:xf numFmtId="0" fontId="14" fillId="18" borderId="18" pivotButton="0" quotePrefix="0" xfId="0"/>
    <ns0:xf numFmtId="0" fontId="18" fillId="0" borderId="0" pivotButton="0" quotePrefix="0" xfId="0"/>
    <ns0:xf numFmtId="0" fontId="16" fillId="0" borderId="0" applyAlignment="1" pivotButton="0" quotePrefix="0" xfId="0">
      <ns0:alignment vertical="top" wrapText="1"/>
    </ns0:xf>
    <ns0:xf numFmtId="0" fontId="16" fillId="0" borderId="0" applyAlignment="1" pivotButton="0" quotePrefix="0" xfId="0">
      <ns0:alignment wrapText="1"/>
    </ns0:xf>
    <ns0:xf numFmtId="0" fontId="1" fillId="0" borderId="0" applyAlignment="1" pivotButton="0" quotePrefix="0" xfId="0">
      <ns0:alignment vertical="center"/>
    </ns0:xf>
    <ns0:xf numFmtId="0" fontId="2" fillId="0" borderId="0" applyAlignment="1" pivotButton="0" quotePrefix="0" xfId="0">
      <ns0:alignment vertical="center" wrapText="1"/>
    </ns0:xf>
    <ns0:xf numFmtId="0" fontId="3" fillId="2" borderId="7" applyAlignment="1" pivotButton="0" quotePrefix="0" xfId="0">
      <ns0:alignment horizontal="left" vertical="center" indent="1"/>
    </ns0:xf>
    <ns0:xf numFmtId="0" fontId="0" fillId="15" borderId="8" pivotButton="0" quotePrefix="0" xfId="0"/>
    <ns0:xf numFmtId="0" fontId="0" fillId="15" borderId="9" pivotButton="0" quotePrefix="0" xfId="0"/>
    <ns0:xf numFmtId="0" fontId="4" fillId="0" borderId="10" applyAlignment="1" pivotButton="0" quotePrefix="0" xfId="0">
      <ns0:alignment vertical="center"/>
    </ns0:xf>
    <ns0:xf numFmtId="0" fontId="6" fillId="5" borderId="20" applyAlignment="1" pivotButton="0" quotePrefix="0" xfId="0">
      <ns0:alignment vertical="center" wrapText="1"/>
    </ns0:xf>
    <ns0:xf numFmtId="0" fontId="0" fillId="0" borderId="2" pivotButton="0" quotePrefix="0" xfId="0"/>
    <ns0:xf numFmtId="0" fontId="4" fillId="5" borderId="1" applyAlignment="1" pivotButton="0" quotePrefix="0" xfId="0">
      <ns0:alignment vertical="center"/>
    </ns0:xf>
    <ns0:xf numFmtId="0" fontId="3" fillId="2" borderId="10" applyAlignment="1" pivotButton="0" quotePrefix="0" xfId="0">
      <ns0:alignment horizontal="center" vertical="center" wrapText="1"/>
    </ns0:xf>
    <ns0:xf numFmtId="0" fontId="3" fillId="2" borderId="1" applyAlignment="1" pivotButton="0" quotePrefix="0" xfId="0">
      <ns0:alignment horizontal="center" vertical="center" wrapText="1"/>
    </ns0:xf>
    <ns0:xf numFmtId="0" fontId="3" fillId="2" borderId="13" applyAlignment="1" pivotButton="0" quotePrefix="0" xfId="0">
      <ns0:alignment horizontal="center" vertical="center" wrapText="1"/>
    </ns0:xf>
    <ns0:xf numFmtId="0" fontId="6" fillId="5" borderId="1" pivotButton="0" quotePrefix="0" xfId="0"/>
    <ns0:xf numFmtId="0" fontId="0" fillId="15" borderId="12" pivotButton="0" quotePrefix="0" xfId="0"/>
    <ns0:xf numFmtId="0" fontId="3" fillId="2" borderId="1" applyAlignment="1" pivotButton="0" quotePrefix="0" xfId="0">
      <ns0:alignment horizontal="left" vertical="center" indent="1"/>
    </ns0:xf>
    <ns0:xf numFmtId="0" fontId="0" fillId="16" borderId="12" pivotButton="0" quotePrefix="0" xfId="0"/>
    <ns0:xf numFmtId="0" fontId="4" fillId="0" borderId="1" applyAlignment="1" pivotButton="0" quotePrefix="0" xfId="0">
      <ns0:alignment vertical="center"/>
    </ns0:xf>
    <ns0:xf numFmtId="9" fontId="4" fillId="5" borderId="1" applyAlignment="1" pivotButton="0" quotePrefix="0" xfId="0">
      <ns0:alignment vertical="center"/>
    </ns0:xf>
    <ns0:xf numFmtId="3" fontId="4" fillId="5" borderId="1" applyAlignment="1" pivotButton="0" quotePrefix="0" xfId="0">
      <ns0:alignment vertical="center"/>
    </ns0:xf>
    <ns0:xf numFmtId="3" fontId="6" fillId="5" borderId="1" pivotButton="0" quotePrefix="0" xfId="0"/>
    <ns0:xf numFmtId="164" fontId="4" fillId="5" borderId="1" applyAlignment="1" pivotButton="0" quotePrefix="0" xfId="0">
      <ns0:alignment vertical="center"/>
    </ns0:xf>
    <ns0:xf numFmtId="164" fontId="6" fillId="5" borderId="1" pivotButton="0" quotePrefix="0" xfId="0"/>
    <ns0:xf numFmtId="169" fontId="4" fillId="5" borderId="1" applyAlignment="1" pivotButton="0" quotePrefix="0" xfId="0">
      <ns0:alignment vertical="center"/>
    </ns0:xf>
    <ns0:xf numFmtId="170" fontId="4" fillId="5" borderId="1" applyAlignment="1" pivotButton="0" quotePrefix="0" xfId="0">
      <ns0:alignment vertical="center"/>
    </ns0:xf>
    <ns0:xf numFmtId="170" fontId="6" fillId="5" borderId="1" pivotButton="0" quotePrefix="0" xfId="0"/>
    <ns0:xf numFmtId="167" fontId="4" fillId="5" borderId="1" applyAlignment="1" pivotButton="0" quotePrefix="0" xfId="0">
      <ns0:alignment vertical="center"/>
    </ns0:xf>
    <ns0:xf numFmtId="167" fontId="6" fillId="5" borderId="1" pivotButton="0" quotePrefix="0" xfId="0"/>
    <ns0:xf numFmtId="0" fontId="3" fillId="2" borderId="10" applyAlignment="1" pivotButton="0" quotePrefix="0" xfId="0">
      <ns0:alignment horizontal="left" vertical="center" indent="1"/>
    </ns0:xf>
    <ns0:xf numFmtId="166" fontId="4" fillId="5" borderId="1" applyAlignment="1" pivotButton="0" quotePrefix="0" xfId="0">
      <ns0:alignment vertical="center"/>
    </ns0:xf>
    <ns0:xf numFmtId="0" fontId="6" fillId="5" borderId="1" applyAlignment="1" pivotButton="0" quotePrefix="0" xfId="0">
      <ns0:alignment vertical="center"/>
    </ns0:xf>
    <ns0:xf numFmtId="0" fontId="0" fillId="15" borderId="11" pivotButton="0" quotePrefix="0" xfId="0"/>
    <ns0:xf numFmtId="0" fontId="4" fillId="0" borderId="14" applyAlignment="1" pivotButton="0" quotePrefix="0" xfId="0">
      <ns0:alignment vertical="center"/>
    </ns0:xf>
    <ns0:xf numFmtId="0" fontId="6" fillId="5" borderId="15" applyAlignment="1" pivotButton="0" quotePrefix="0" xfId="0">
      <ns0:alignment vertical="center"/>
    </ns0:xf>
    <ns0:xf numFmtId="0" fontId="4" fillId="0" borderId="15" applyAlignment="1" pivotButton="0" quotePrefix="0" xfId="0">
      <ns0:alignment vertical="center"/>
    </ns0:xf>
    <ns0:xf numFmtId="1" fontId="6" fillId="5" borderId="15" applyAlignment="1" pivotButton="0" quotePrefix="0" xfId="0">
      <ns0:alignment vertical="center"/>
    </ns0:xf>
    <ns0:xf numFmtId="0" fontId="0" fillId="15" borderId="16" pivotButton="0" quotePrefix="0" xfId="0"/>
    <ns0:xf numFmtId="0" fontId="4" fillId="5" borderId="1" applyAlignment="1" pivotButton="0" quotePrefix="0" xfId="0">
      <ns0:alignment horizontal="center" vertical="center"/>
    </ns0:xf>
    <ns0:xf numFmtId="49" fontId="4" fillId="5" borderId="1" applyAlignment="1" pivotButton="0" quotePrefix="0" xfId="0">
      <ns0:alignment vertical="center"/>
    </ns0:xf>
    <ns0:xf numFmtId="165" fontId="4" fillId="5" borderId="1" applyAlignment="1" pivotButton="0" quotePrefix="0" xfId="0">
      <ns0:alignment vertical="center"/>
    </ns0:xf>
    <ns0:xf numFmtId="2" fontId="4" fillId="5" borderId="1" applyAlignment="1" pivotButton="0" quotePrefix="0" xfId="0">
      <ns0:alignment vertical="center"/>
    </ns0:xf>
    <ns0:xf numFmtId="168" fontId="4" fillId="5" borderId="1" applyAlignment="1" pivotButton="0" quotePrefix="0" xfId="0">
      <ns0:alignment vertical="center"/>
    </ns0:xf>
    <ns0:xf numFmtId="1" fontId="4" fillId="5" borderId="1" applyAlignment="1" pivotButton="0" quotePrefix="0" xfId="0">
      <ns0:alignment vertical="center"/>
    </ns0:xf>
    <ns0:xf numFmtId="171" fontId="4" fillId="5" borderId="1" applyAlignment="1" pivotButton="0" quotePrefix="0" xfId="0">
      <ns0:alignment vertical="center"/>
    </ns0:xf>
    <ns0:xf numFmtId="0" fontId="8" fillId="5" borderId="1" applyAlignment="1" pivotButton="0" quotePrefix="0" xfId="0">
      <ns0:alignment vertical="center"/>
    </ns0:xf>
    <ns0:xf numFmtId="0" fontId="8" fillId="14" borderId="1" pivotButton="0" quotePrefix="0" xfId="0"/>
    <ns0:xf numFmtId="3" fontId="8" fillId="5" borderId="1" applyAlignment="1" pivotButton="0" quotePrefix="0" xfId="0">
      <ns0:alignment vertical="center"/>
    </ns0:xf>
    <ns0:xf numFmtId="165" fontId="8" fillId="5" borderId="1" applyAlignment="1" pivotButton="0" quotePrefix="0" xfId="0">
      <ns0:alignment vertical="center"/>
    </ns0:xf>
    <ns0:xf numFmtId="166" fontId="8" fillId="5" borderId="1" applyAlignment="1" pivotButton="0" quotePrefix="0" xfId="0">
      <ns0:alignment vertical="center"/>
    </ns0:xf>
    <ns0:xf numFmtId="167" fontId="8" fillId="5" borderId="1" applyAlignment="1" pivotButton="0" quotePrefix="0" xfId="0">
      <ns0:alignment vertical="center"/>
    </ns0:xf>
    <ns0:xf numFmtId="2" fontId="8" fillId="5" borderId="1" applyAlignment="1" pivotButton="0" quotePrefix="0" xfId="0">
      <ns0:alignment vertical="center"/>
    </ns0:xf>
    <ns0:xf numFmtId="168" fontId="8" fillId="5" borderId="1" applyAlignment="1" pivotButton="0" quotePrefix="0" xfId="0">
      <ns0:alignment vertical="center"/>
    </ns0:xf>
    <ns0:xf numFmtId="1" fontId="8" fillId="5" borderId="1" applyAlignment="1" pivotButton="0" quotePrefix="0" xfId="0">
      <ns0:alignment vertical="center"/>
    </ns0:xf>
    <ns0:xf numFmtId="169" fontId="8" fillId="5" borderId="1" applyAlignment="1" pivotButton="0" quotePrefix="0" xfId="0">
      <ns0:alignment vertical="center"/>
    </ns0:xf>
    <ns0:xf numFmtId="170" fontId="8" fillId="5" borderId="1" applyAlignment="1" pivotButton="0" quotePrefix="0" xfId="0">
      <ns0:alignment vertical="center"/>
    </ns0:xf>
    <ns0:xf numFmtId="171" fontId="8" fillId="5" borderId="1" applyAlignment="1" pivotButton="0" quotePrefix="0" xfId="0">
      <ns0:alignment vertical="center"/>
    </ns0:xf>
    <ns0:xf numFmtId="0" fontId="2" fillId="0" borderId="0" applyAlignment="1" pivotButton="0" quotePrefix="0" xfId="0">
      <ns0:alignment vertical="center"/>
    </ns0:xf>
    <ns0:xf numFmtId="172" fontId="4" fillId="5" borderId="1" applyAlignment="1" pivotButton="0" quotePrefix="0" xfId="0">
      <ns0:alignment vertical="center"/>
    </ns0:xf>
    <ns0:xf numFmtId="49" fontId="4" fillId="0" borderId="0" applyAlignment="1" pivotButton="0" quotePrefix="0" xfId="0">
      <ns0:alignment vertical="center"/>
    </ns0:xf>
    <ns0:xf numFmtId="0" fontId="4" fillId="0" borderId="0" applyAlignment="1" pivotButton="0" quotePrefix="0" xfId="0">
      <ns0:alignment vertical="center"/>
    </ns0:xf>
    <ns0:xf numFmtId="164" fontId="4" fillId="0" borderId="0" applyAlignment="1" pivotButton="0" quotePrefix="0" xfId="0">
      <ns0:alignment vertical="center"/>
    </ns0:xf>
    <ns0:xf numFmtId="3" fontId="4" fillId="0" borderId="3" applyAlignment="1" pivotButton="0" quotePrefix="0" xfId="0">
      <ns0:alignment vertical="center"/>
    </ns0:xf>
    <ns0:xf numFmtId="165" fontId="4" fillId="0" borderId="0" applyAlignment="1" pivotButton="0" quotePrefix="0" xfId="0">
      <ns0:alignment vertical="center"/>
    </ns0:xf>
    <ns0:xf numFmtId="166" fontId="4" fillId="0" borderId="0" applyAlignment="1" pivotButton="0" quotePrefix="0" xfId="0">
      <ns0:alignment vertical="center"/>
    </ns0:xf>
    <ns0:xf numFmtId="3" fontId="4" fillId="0" borderId="0" applyAlignment="1" pivotButton="0" quotePrefix="0" xfId="0">
      <ns0:alignment vertical="center"/>
    </ns0:xf>
    <ns0:xf numFmtId="167" fontId="4" fillId="0" borderId="3" applyAlignment="1" pivotButton="0" quotePrefix="0" xfId="0">
      <ns0:alignment vertical="center"/>
    </ns0:xf>
    <ns0:xf numFmtId="2" fontId="4" fillId="0" borderId="0" applyAlignment="1" pivotButton="0" quotePrefix="0" xfId="0">
      <ns0:alignment vertical="center"/>
    </ns0:xf>
    <ns0:xf numFmtId="168" fontId="4" fillId="0" borderId="0" applyAlignment="1" pivotButton="0" quotePrefix="0" xfId="0">
      <ns0:alignment vertical="center"/>
    </ns0:xf>
    <ns0:xf numFmtId="1" fontId="4" fillId="0" borderId="0" applyAlignment="1" pivotButton="0" quotePrefix="0" xfId="0">
      <ns0:alignment vertical="center"/>
    </ns0:xf>
    <ns0:xf numFmtId="166" fontId="4" fillId="0" borderId="0" pivotButton="0" quotePrefix="0" xfId="0"/>
    <ns0:xf numFmtId="0" fontId="4" fillId="0" borderId="0" pivotButton="0" quotePrefix="0" xfId="0"/>
    <ns0:xf numFmtId="169" fontId="4" fillId="0" borderId="3" applyAlignment="1" pivotButton="0" quotePrefix="0" xfId="0">
      <ns0:alignment vertical="center"/>
    </ns0:xf>
    <ns0:xf numFmtId="169" fontId="4" fillId="0" borderId="0" applyAlignment="1" pivotButton="0" quotePrefix="0" xfId="0">
      <ns0:alignment vertical="center"/>
    </ns0:xf>
    <ns0:xf numFmtId="170" fontId="4" fillId="0" borderId="0" pivotButton="0" quotePrefix="0" xfId="0"/>
    <ns0:xf numFmtId="170" fontId="4" fillId="0" borderId="0" applyAlignment="1" pivotButton="0" quotePrefix="0" xfId="0">
      <ns0:alignment vertical="center"/>
    </ns0:xf>
    <ns0:xf numFmtId="170" fontId="4" fillId="5" borderId="0" applyAlignment="1" pivotButton="0" quotePrefix="0" xfId="0">
      <ns0:alignment vertical="center"/>
    </ns0:xf>
    <ns0:xf numFmtId="0" fontId="4" fillId="0" borderId="3" applyAlignment="1" pivotButton="0" quotePrefix="0" xfId="0">
      <ns0:alignment vertical="center"/>
    </ns0:xf>
    <ns0:xf numFmtId="0" fontId="4" fillId="5" borderId="0" applyAlignment="1" pivotButton="0" quotePrefix="0" xfId="0">
      <ns0:alignment vertical="center"/>
    </ns0:xf>
    <ns0:xf numFmtId="0" fontId="5" fillId="0" borderId="0" applyAlignment="1" pivotButton="0" quotePrefix="0" xfId="0">
      <ns0:alignment vertical="center"/>
    </ns0:xf>
    <ns0:xf numFmtId="0" fontId="4" fillId="0" borderId="3" pivotButton="0" quotePrefix="0" xfId="0"/>
    <ns0:xf numFmtId="165" fontId="4" fillId="0" borderId="0" pivotButton="0" quotePrefix="0" xfId="0"/>
    <ns0:xf numFmtId="169" fontId="4" fillId="0" borderId="3" pivotButton="0" quotePrefix="0" xfId="0"/>
    <ns0:xf numFmtId="3" fontId="4" fillId="0" borderId="0" pivotButton="0" quotePrefix="0" xfId="0"/>
    <ns0:xf numFmtId="3" fontId="4" fillId="0" borderId="3" pivotButton="0" quotePrefix="0" xfId="0"/>
    <ns0:xf numFmtId="2" fontId="4" fillId="5" borderId="0" applyAlignment="1" pivotButton="0" quotePrefix="0" xfId="0">
      <ns0:alignment vertical="center"/>
    </ns0:xf>
    <ns0:xf numFmtId="1" fontId="4" fillId="0" borderId="0" pivotButton="0" quotePrefix="0" xfId="0"/>
    <ns0:xf numFmtId="171" fontId="4" fillId="0" borderId="0" applyAlignment="1" pivotButton="0" quotePrefix="0" xfId="0">
      <ns0:alignment vertical="center"/>
    </ns0:xf>
    <ns0:xf numFmtId="3" fontId="4" fillId="5" borderId="0" applyAlignment="1" pivotButton="0" quotePrefix="0" xfId="0">
      <ns0:alignment vertical="center"/>
    </ns0:xf>
    <ns0:xf numFmtId="169" fontId="4" fillId="0" borderId="0" pivotButton="0" quotePrefix="0" xfId="0"/>
    <ns0:xf numFmtId="2" fontId="4" fillId="6" borderId="0" applyAlignment="1" pivotButton="0" quotePrefix="0" xfId="0">
      <ns0:alignment vertical="center"/>
    </ns0:xf>
    <ns0:xf numFmtId="169" fontId="4" fillId="6" borderId="3" applyAlignment="1" pivotButton="0" quotePrefix="0" xfId="0">
      <ns0:alignment vertical="center"/>
    </ns0:xf>
    <ns0:xf numFmtId="0" fontId="6" fillId="5" borderId="1" applyAlignment="1" pivotButton="0" quotePrefix="0" xfId="0">
      <ns0:alignment vertical="center" wrapText="1"/>
    </ns0:xf>
    <ns0:xf numFmtId="3" fontId="6" fillId="5" borderId="4" applyAlignment="1" pivotButton="0" quotePrefix="0" xfId="0">
      <ns0:alignment vertical="center"/>
    </ns0:xf>
    <ns0:xf numFmtId="0" fontId="2" fillId="5" borderId="1" applyAlignment="1" pivotButton="0" quotePrefix="0" xfId="0">
      <ns0:alignment vertical="center"/>
    </ns0:xf>
    <ns0:xf numFmtId="0" fontId="4" fillId="11" borderId="1" applyAlignment="1" pivotButton="0" quotePrefix="0" xfId="0">
      <ns0:alignment vertical="top"/>
    </ns0:xf>
    <ns0:xf numFmtId="170" fontId="4" fillId="11" borderId="1" applyAlignment="1" pivotButton="0" quotePrefix="0" xfId="0">
      <ns0:alignment vertical="top"/>
    </ns0:xf>
    <ns0:xf numFmtId="0" fontId="4" fillId="5" borderId="1" applyAlignment="1" pivotButton="0" quotePrefix="0" xfId="0">
      <ns0:alignment vertical="center" wrapText="1"/>
    </ns0:xf>
    <ns0:xf numFmtId="0" fontId="4" fillId="5" borderId="4" applyAlignment="1" pivotButton="0" quotePrefix="0" xfId="0">
      <ns0:alignment vertical="center"/>
    </ns0:xf>
    <ns0:xf numFmtId="165" fontId="4" fillId="11" borderId="4" applyAlignment="1" pivotButton="0" quotePrefix="0" xfId="0">
      <ns0:alignment vertical="top"/>
    </ns0:xf>
    <ns0:xf numFmtId="169" fontId="4" fillId="11" borderId="1" applyAlignment="1" pivotButton="0" quotePrefix="0" xfId="0">
      <ns0:alignment vertical="top"/>
    </ns0:xf>
    <ns0:xf numFmtId="0" fontId="4" fillId="5" borderId="4" applyAlignment="1" pivotButton="0" quotePrefix="0" xfId="0">
      <ns0:alignment vertical="center" wrapText="1"/>
    </ns0:xf>
    <ns0:xf numFmtId="0" fontId="5" fillId="5" borderId="1" applyAlignment="1" pivotButton="0" quotePrefix="0" xfId="0">
      <ns0:alignment vertical="center"/>
    </ns0:xf>
    <ns0:xf numFmtId="0" fontId="2" fillId="5" borderId="4" applyAlignment="1" pivotButton="0" quotePrefix="0" xfId="0">
      <ns0:alignment vertical="center" wrapText="1"/>
    </ns0:xf>
    <ns0:xf numFmtId="0" fontId="2" fillId="5" borderId="1" applyAlignment="1" pivotButton="0" quotePrefix="0" xfId="0">
      <ns0:alignment vertical="center" wrapText="1"/>
    </ns0:xf>
    <ns0:xf numFmtId="0" fontId="4" fillId="12" borderId="5" applyAlignment="1" pivotButton="0" quotePrefix="0" xfId="0">
      <ns0:alignment vertical="top"/>
    </ns0:xf>
    <ns0:xf numFmtId="0" fontId="4" fillId="5" borderId="5" applyAlignment="1" pivotButton="0" quotePrefix="0" xfId="0">
      <ns0:alignment vertical="center"/>
    </ns0:xf>
    <ns0:xf numFmtId="0" fontId="6" fillId="5" borderId="5" applyAlignment="1" pivotButton="0" quotePrefix="0" xfId="0">
      <ns0:alignment vertical="center" wrapText="1"/>
    </ns0:xf>
    <ns0:xf numFmtId="0" fontId="6" fillId="5" borderId="5" applyAlignment="1" pivotButton="0" quotePrefix="0" xfId="0">
      <ns0:alignment vertical="center"/>
    </ns0:xf>
    <ns0:xf numFmtId="3" fontId="6" fillId="5" borderId="6" applyAlignment="1" pivotButton="0" quotePrefix="0" xfId="0">
      <ns0:alignment vertical="center"/>
    </ns0:xf>
    <ns0:xf numFmtId="0" fontId="2" fillId="5" borderId="5" applyAlignment="1" pivotButton="0" quotePrefix="0" xfId="0">
      <ns0:alignment vertical="center"/>
    </ns0:xf>
    <ns0:xf numFmtId="165" fontId="4" fillId="12" borderId="5" applyAlignment="1" pivotButton="0" quotePrefix="0" xfId="0">
      <ns0:alignment vertical="top"/>
    </ns0:xf>
    <ns0:xf numFmtId="170" fontId="4" fillId="12" borderId="5" applyAlignment="1" pivotButton="0" quotePrefix="0" xfId="0">
      <ns0:alignment vertical="top"/>
    </ns0:xf>
    <ns0:xf numFmtId="168" fontId="4" fillId="5" borderId="5" applyAlignment="1" pivotButton="0" quotePrefix="0" xfId="0">
      <ns0:alignment vertical="center"/>
    </ns0:xf>
    <ns0:xf numFmtId="0" fontId="4" fillId="5" borderId="5" applyAlignment="1" pivotButton="0" quotePrefix="0" xfId="0">
      <ns0:alignment vertical="center" wrapText="1"/>
    </ns0:xf>
    <ns0:xf numFmtId="3" fontId="4" fillId="5" borderId="5" applyAlignment="1" pivotButton="0" quotePrefix="0" xfId="0">
      <ns0:alignment vertical="center"/>
    </ns0:xf>
    <ns0:xf numFmtId="0" fontId="4" fillId="5" borderId="6" applyAlignment="1" pivotButton="0" quotePrefix="0" xfId="0">
      <ns0:alignment vertical="center"/>
    </ns0:xf>
    <ns0:xf numFmtId="165" fontId="4" fillId="12" borderId="6" applyAlignment="1" pivotButton="0" quotePrefix="0" xfId="0">
      <ns0:alignment vertical="top"/>
    </ns0:xf>
    <ns0:xf numFmtId="169" fontId="4" fillId="12" borderId="5" applyAlignment="1" pivotButton="0" quotePrefix="0" xfId="0">
      <ns0:alignment vertical="top"/>
    </ns0:xf>
    <ns0:xf numFmtId="0" fontId="4" fillId="5" borderId="6" applyAlignment="1" pivotButton="0" quotePrefix="0" xfId="0">
      <ns0:alignment vertical="center" wrapText="1"/>
    </ns0:xf>
    <ns0:xf numFmtId="0" fontId="5" fillId="5" borderId="5" applyAlignment="1" pivotButton="0" quotePrefix="0" xfId="0">
      <ns0:alignment vertical="center"/>
    </ns0:xf>
    <ns0:xf numFmtId="0" fontId="2" fillId="5" borderId="6" applyAlignment="1" pivotButton="0" quotePrefix="0" xfId="0">
      <ns0:alignment vertical="center" wrapText="1"/>
    </ns0:xf>
    <ns0:xf numFmtId="0" fontId="2" fillId="5" borderId="5" applyAlignment="1" pivotButton="0" quotePrefix="0" xfId="0">
      <ns0:alignment vertical="center" wrapText="1"/>
    </ns0:xf>
    <ns0:xf numFmtId="0" fontId="4" fillId="12" borderId="1" applyAlignment="1" pivotButton="0" quotePrefix="0" xfId="0">
      <ns0:alignment vertical="top"/>
    </ns0:xf>
    <ns0:xf numFmtId="0" fontId="6" fillId="5" borderId="1" applyAlignment="1" pivotButton="0" quotePrefix="0" xfId="0">
      <ns0:alignment vertical="top"/>
    </ns0:xf>
    <ns0:xf numFmtId="3" fontId="6" fillId="5" borderId="4" applyAlignment="1" pivotButton="0" quotePrefix="0" xfId="0">
      <ns0:alignment vertical="top"/>
    </ns0:xf>
    <ns0:xf numFmtId="0" fontId="2" fillId="12" borderId="1" applyAlignment="1" pivotButton="0" quotePrefix="0" xfId="0">
      <ns0:alignment vertical="top"/>
    </ns0:xf>
    <ns0:xf numFmtId="165" fontId="4" fillId="12" borderId="1" applyAlignment="1" pivotButton="0" quotePrefix="0" xfId="0">
      <ns0:alignment vertical="top"/>
    </ns0:xf>
    <ns0:xf numFmtId="170" fontId="4" fillId="12" borderId="1" applyAlignment="1" pivotButton="0" quotePrefix="0" xfId="0">
      <ns0:alignment vertical="top"/>
    </ns0:xf>
    <ns0:xf numFmtId="165" fontId="4" fillId="12" borderId="4" applyAlignment="1" pivotButton="0" quotePrefix="0" xfId="0">
      <ns0:alignment vertical="top"/>
    </ns0:xf>
    <ns0:xf numFmtId="169" fontId="4" fillId="12" borderId="1" applyAlignment="1" pivotButton="0" quotePrefix="0" xfId="0">
      <ns0:alignment vertical="top"/>
    </ns0:xf>
    <ns0:xf numFmtId="0" fontId="4" fillId="0" borderId="5" applyAlignment="1" pivotButton="0" quotePrefix="0" xfId="0">
      <ns0:alignment vertical="top"/>
    </ns0:xf>
    <ns0:xf numFmtId="0" fontId="4" fillId="0" borderId="5" applyAlignment="1" pivotButton="0" quotePrefix="0" xfId="0">
      <ns0:alignment vertical="center"/>
    </ns0:xf>
    <ns0:xf numFmtId="3" fontId="6" fillId="5" borderId="6" applyAlignment="1" pivotButton="0" quotePrefix="0" xfId="0">
      <ns0:alignment vertical="top"/>
    </ns0:xf>
    <ns0:xf numFmtId="0" fontId="2" fillId="0" borderId="5" applyAlignment="1" pivotButton="0" quotePrefix="0" xfId="0">
      <ns0:alignment vertical="top"/>
    </ns0:xf>
    <ns0:xf numFmtId="165" fontId="4" fillId="0" borderId="5" applyAlignment="1" pivotButton="0" quotePrefix="0" xfId="0">
      <ns0:alignment vertical="top"/>
    </ns0:xf>
    <ns0:xf numFmtId="170" fontId="4" fillId="0" borderId="5" applyAlignment="1" pivotButton="0" quotePrefix="0" xfId="0">
      <ns0:alignment vertical="top"/>
    </ns0:xf>
    <ns0:xf numFmtId="168" fontId="4" fillId="0" borderId="5" applyAlignment="1" pivotButton="0" quotePrefix="0" xfId="0">
      <ns0:alignment vertical="center"/>
    </ns0:xf>
    <ns0:xf numFmtId="0" fontId="4" fillId="0" borderId="5" applyAlignment="1" pivotButton="0" quotePrefix="0" xfId="0">
      <ns0:alignment vertical="center" wrapText="1"/>
    </ns0:xf>
    <ns0:xf numFmtId="3" fontId="4" fillId="0" borderId="5" applyAlignment="1" pivotButton="0" quotePrefix="0" xfId="0">
      <ns0:alignment vertical="center"/>
    </ns0:xf>
    <ns0:xf numFmtId="0" fontId="4" fillId="0" borderId="6" applyAlignment="1" pivotButton="0" quotePrefix="0" xfId="0">
      <ns0:alignment vertical="top"/>
    </ns0:xf>
    <ns0:xf numFmtId="165" fontId="4" fillId="0" borderId="6" applyAlignment="1" pivotButton="0" quotePrefix="0" xfId="0">
      <ns0:alignment vertical="top"/>
    </ns0:xf>
    <ns0:xf numFmtId="169" fontId="4" fillId="0" borderId="5" applyAlignment="1" pivotButton="0" quotePrefix="0" xfId="0">
      <ns0:alignment vertical="top"/>
    </ns0:xf>
    <ns0:xf numFmtId="0" fontId="4" fillId="0" borderId="6" applyAlignment="1" pivotButton="0" quotePrefix="0" xfId="0">
      <ns0:alignment vertical="center" wrapText="1"/>
    </ns0:xf>
    <ns0:xf numFmtId="0" fontId="2" fillId="0" borderId="6" applyAlignment="1" pivotButton="0" quotePrefix="0" xfId="0">
      <ns0:alignment vertical="top" wrapText="1"/>
    </ns0:xf>
    <ns0:xf numFmtId="0" fontId="2" fillId="0" borderId="5" applyAlignment="1" pivotButton="0" quotePrefix="0" xfId="0">
      <ns0:alignment vertical="center" wrapText="1"/>
    </ns0:xf>
    <ns0:xf numFmtId="0" fontId="4" fillId="0" borderId="1" applyAlignment="1" pivotButton="0" quotePrefix="0" xfId="0">
      <ns0:alignment vertical="top"/>
    </ns0:xf>
    <ns0:xf numFmtId="0" fontId="2" fillId="0" borderId="1" applyAlignment="1" pivotButton="0" quotePrefix="0" xfId="0">
      <ns0:alignment vertical="top"/>
    </ns0:xf>
    <ns0:xf numFmtId="165" fontId="4" fillId="0" borderId="1" applyAlignment="1" pivotButton="0" quotePrefix="0" xfId="0">
      <ns0:alignment vertical="top"/>
    </ns0:xf>
    <ns0:xf numFmtId="170" fontId="4" fillId="0" borderId="1" applyAlignment="1" pivotButton="0" quotePrefix="0" xfId="0">
      <ns0:alignment vertical="top"/>
    </ns0:xf>
    <ns0:xf numFmtId="168" fontId="4" fillId="0" borderId="1" applyAlignment="1" pivotButton="0" quotePrefix="0" xfId="0">
      <ns0:alignment vertical="center"/>
    </ns0:xf>
    <ns0:xf numFmtId="0" fontId="4" fillId="0" borderId="1" applyAlignment="1" pivotButton="0" quotePrefix="0" xfId="0">
      <ns0:alignment vertical="center" wrapText="1"/>
    </ns0:xf>
    <ns0:xf numFmtId="3" fontId="4" fillId="0" borderId="1" applyAlignment="1" pivotButton="0" quotePrefix="0" xfId="0">
      <ns0:alignment vertical="center"/>
    </ns0:xf>
    <ns0:xf numFmtId="0" fontId="4" fillId="0" borderId="4" applyAlignment="1" pivotButton="0" quotePrefix="0" xfId="0">
      <ns0:alignment vertical="top"/>
    </ns0:xf>
    <ns0:xf numFmtId="165" fontId="4" fillId="0" borderId="4" applyAlignment="1" pivotButton="0" quotePrefix="0" xfId="0">
      <ns0:alignment vertical="top"/>
    </ns0:xf>
    <ns0:xf numFmtId="169" fontId="4" fillId="0" borderId="1" applyAlignment="1" pivotButton="0" quotePrefix="0" xfId="0">
      <ns0:alignment vertical="top"/>
    </ns0:xf>
    <ns0:xf numFmtId="0" fontId="4" fillId="0" borderId="4" applyAlignment="1" pivotButton="0" quotePrefix="0" xfId="0">
      <ns0:alignment vertical="center" wrapText="1"/>
    </ns0:xf>
    <ns0:xf numFmtId="0" fontId="2" fillId="0" borderId="4" applyAlignment="1" pivotButton="0" quotePrefix="0" xfId="0">
      <ns0:alignment vertical="top" wrapText="1"/>
    </ns0:xf>
    <ns0:xf numFmtId="0" fontId="2" fillId="0" borderId="1" applyAlignment="1" pivotButton="0" quotePrefix="0" xfId="0">
      <ns0:alignment vertical="center" wrapText="1"/>
    </ns0:xf>
    <ns0:xf numFmtId="0" fontId="7" fillId="5" borderId="5" applyAlignment="1" pivotButton="0" quotePrefix="0" xfId="0">
      <ns0:alignment vertical="center"/>
    </ns0:xf>
    <ns0:xf numFmtId="0" fontId="7" fillId="13" borderId="5" applyAlignment="1" pivotButton="0" quotePrefix="0" xfId="0">
      <ns0:alignment vertical="top"/>
    </ns0:xf>
    <ns0:xf numFmtId="165" fontId="7" fillId="13" borderId="5" applyAlignment="1" pivotButton="0" quotePrefix="0" xfId="0">
      <ns0:alignment vertical="top"/>
    </ns0:xf>
    <ns0:xf numFmtId="165" fontId="7" fillId="5" borderId="5" applyAlignment="1" pivotButton="0" quotePrefix="0" xfId="0">
      <ns0:alignment vertical="center"/>
    </ns0:xf>
    <ns0:xf numFmtId="170" fontId="7" fillId="5" borderId="5" applyAlignment="1" pivotButton="0" quotePrefix="0" xfId="0">
      <ns0:alignment vertical="center"/>
    </ns0:xf>
    <ns0:xf numFmtId="168" fontId="7" fillId="5" borderId="5" applyAlignment="1" pivotButton="0" quotePrefix="0" xfId="0">
      <ns0:alignment vertical="center"/>
    </ns0:xf>
    <ns0:xf numFmtId="0" fontId="7" fillId="5" borderId="5" applyAlignment="1" pivotButton="0" quotePrefix="0" xfId="0">
      <ns0:alignment vertical="center" wrapText="1"/>
    </ns0:xf>
    <ns0:xf numFmtId="3" fontId="7" fillId="5" borderId="5" applyAlignment="1" pivotButton="0" quotePrefix="0" xfId="0">
      <ns0:alignment vertical="center"/>
    </ns0:xf>
    <ns0:xf numFmtId="0" fontId="7" fillId="5" borderId="6" applyAlignment="1" pivotButton="0" quotePrefix="0" xfId="0">
      <ns0:alignment vertical="center"/>
    </ns0:xf>
    <ns0:xf numFmtId="165" fontId="7" fillId="5" borderId="6" applyAlignment="1" pivotButton="0" quotePrefix="0" xfId="0">
      <ns0:alignment vertical="center"/>
    </ns0:xf>
    <ns0:xf numFmtId="169" fontId="7" fillId="5" borderId="5" applyAlignment="1" pivotButton="0" quotePrefix="0" xfId="0">
      <ns0:alignment vertical="center"/>
    </ns0:xf>
    <ns0:xf numFmtId="0" fontId="7" fillId="5" borderId="6" applyAlignment="1" pivotButton="0" quotePrefix="0" xfId="0">
      <ns0:alignment vertical="center" wrapText="1"/>
    </ns0:xf>
    <ns0:xf numFmtId="0" fontId="6" fillId="5" borderId="5" applyAlignment="1" pivotButton="0" quotePrefix="0" xfId="0">
      <ns0:alignment vertical="top" wrapText="1"/>
    </ns0:xf>
    <ns0:xf numFmtId="165" fontId="7" fillId="13" borderId="6" applyAlignment="1" pivotButton="0" quotePrefix="0" xfId="0">
      <ns0:alignment vertical="top"/>
    </ns0:xf>
    <ns0:xf numFmtId="170" fontId="7" fillId="13" borderId="5" applyAlignment="1" pivotButton="0" quotePrefix="0" xfId="0">
      <ns0:alignment vertical="top"/>
    </ns0:xf>
    <ns0:xf numFmtId="169" fontId="7" fillId="13" borderId="5" applyAlignment="1" pivotButton="0" quotePrefix="0" xfId="0">
      <ns0:alignment vertical="top"/>
    </ns0:xf>
    <ns0:xf numFmtId="0" fontId="2" fillId="13" borderId="5" applyAlignment="1" pivotButton="0" quotePrefix="0" xfId="0">
      <ns0:alignment vertical="top" wrapText="1"/>
    </ns0:xf>
    <ns0:xf numFmtId="0" fontId="8" fillId="0" borderId="0" applyAlignment="1" pivotButton="0" quotePrefix="0" xfId="0">
      <ns0:alignment vertical="center"/>
    </ns0:xf>
    <ns0:xf numFmtId="1" fontId="4" fillId="0" borderId="1" applyAlignment="1" pivotButton="0" quotePrefix="0" xfId="0">
      <ns0:alignment vertical="center"/>
    </ns0:xf>
    <ns0:xf numFmtId="0" fontId="9" fillId="0" borderId="1" applyAlignment="1" pivotButton="0" quotePrefix="0" xfId="0">
      <ns0:alignment vertical="center"/>
    </ns0:xf>
    <ns0:xf numFmtId="173" fontId="4" fillId="0" borderId="1" applyAlignment="1" pivotButton="0" quotePrefix="0" xfId="0">
      <ns0:alignment vertical="center"/>
    </ns0:xf>
    <ns0:xf numFmtId="169" fontId="4" fillId="0" borderId="1" applyAlignment="1" pivotButton="0" quotePrefix="0" xfId="0">
      <ns0:alignment vertical="center"/>
    </ns0:xf>
    <ns0:xf numFmtId="0" fontId="2" fillId="0" borderId="1" applyAlignment="1" pivotButton="0" quotePrefix="0" xfId="0">
      <ns0:alignment vertical="center"/>
    </ns0:xf>
    <ns0:xf numFmtId="169" fontId="4" fillId="0" borderId="1" pivotButton="0" quotePrefix="0" xfId="0"/>
    <ns0:xf numFmtId="173" fontId="4" fillId="0" borderId="1" pivotButton="0" quotePrefix="0" xfId="0"/>
    <ns0:xf numFmtId="166" fontId="4" fillId="0" borderId="1" applyAlignment="1" pivotButton="0" quotePrefix="0" xfId="0">
      <ns0:alignment vertical="center"/>
    </ns0:xf>
    <ns0:xf numFmtId="170" fontId="4" fillId="0" borderId="1" applyAlignment="1" pivotButton="0" quotePrefix="0" xfId="0">
      <ns0:alignment vertical="center"/>
    </ns0:xf>
    <ns0:xf numFmtId="170" fontId="4" fillId="0" borderId="1" pivotButton="0" quotePrefix="0" xfId="0"/>
    <ns0:xf numFmtId="0" fontId="4" fillId="0" borderId="0" applyAlignment="1" pivotButton="0" quotePrefix="0" xfId="0">
      <ns0:alignment vertical="center" wrapText="1"/>
    </ns0:xf>
    <ns0:xf numFmtId="0" fontId="3" fillId="2" borderId="1" applyAlignment="1" pivotButton="0" quotePrefix="0" xfId="0">
      <ns0:alignment vertical="center" wrapText="1"/>
    </ns0:xf>
    <ns0:xf numFmtId="0" fontId="8" fillId="0" borderId="1" applyAlignment="1" pivotButton="0" quotePrefix="0" xfId="0">
      <ns0:alignment vertical="center"/>
    </ns0:xf>
    <ns0:xf numFmtId="3" fontId="6" fillId="5" borderId="1" applyAlignment="1" pivotButton="0" quotePrefix="0" xfId="0">
      <ns0:alignment vertical="center"/>
    </ns0:xf>
    <ns0:xf numFmtId="0" fontId="4" fillId="0" borderId="1" applyAlignment="1" pivotButton="0" quotePrefix="0" xfId="0">
      <ns0:alignment horizontal="center" vertical="center"/>
    </ns0:xf>
    <ns0:xf numFmtId="49" fontId="4" fillId="0" borderId="1" applyAlignment="1" pivotButton="0" quotePrefix="0" xfId="0">
      <ns0:alignment vertical="center"/>
    </ns0:xf>
    <ns0:xf numFmtId="164" fontId="4" fillId="0" borderId="1" applyAlignment="1" pivotButton="0" quotePrefix="0" xfId="0">
      <ns0:alignment vertical="center"/>
    </ns0:xf>
    <ns0:xf numFmtId="4" fontId="4" fillId="5" borderId="1" applyAlignment="1" pivotButton="0" quotePrefix="0" xfId="0">
      <ns0:alignment vertical="center"/>
    </ns0:xf>
    <ns0:xf numFmtId="4" fontId="4" fillId="0" borderId="1" applyAlignment="1" pivotButton="0" quotePrefix="0" xfId="0">
      <ns0:alignment vertical="center"/>
    </ns0:xf>
    <ns0:xf numFmtId="165" fontId="4" fillId="0" borderId="1" applyAlignment="1" pivotButton="0" quotePrefix="0" xfId="0">
      <ns0:alignment vertical="center"/>
    </ns0:xf>
    <ns0:xf numFmtId="1" fontId="4" fillId="0" borderId="1" pivotButton="0" quotePrefix="0" xfId="0"/>
    <ns0:xf numFmtId="167" fontId="4" fillId="0" borderId="1" applyAlignment="1" pivotButton="0" quotePrefix="0" xfId="0">
      <ns0:alignment vertical="center"/>
    </ns0:xf>
    <ns0:xf numFmtId="167" fontId="4" fillId="0" borderId="1" pivotButton="0" quotePrefix="0" xfId="0"/>
    <ns0:xf numFmtId="164" fontId="0" fillId="0" borderId="0" pivotButton="0" quotePrefix="0" xfId="0"/>
    <ns0:xf numFmtId="176" fontId="0" fillId="0" borderId="0" pivotButton="0" quotePrefix="0" xfId="0"/>
    <ns0:xf numFmtId="172" fontId="0" fillId="0" borderId="0" pivotButton="0" quotePrefix="0" xfId="0"/>
    <ns0:xf numFmtId="176" fontId="10" fillId="0" borderId="0" pivotButton="0" quotePrefix="0" xfId="0"/>
    <ns0:xf numFmtId="175" fontId="10" fillId="0" borderId="0" pivotButton="0" quotePrefix="0" xfId="0"/>
    <ns0:xf numFmtId="175" fontId="0" fillId="0" borderId="0" pivotButton="0" quotePrefix="0" xfId="0"/>
    <ns0:xf numFmtId="0" fontId="0" fillId="0" borderId="0" applyAlignment="1" pivotButton="0" quotePrefix="0" xfId="0">
      <ns0:alignment vertical="center"/>
    </ns0:xf>
    <ns0:xf numFmtId="0" fontId="3" fillId="26" borderId="1" applyAlignment="1" pivotButton="0" quotePrefix="0" xfId="0" applyFill="1">
      <ns0:alignment horizontal="center" vertical="center" wrapText="1"/>
    </ns0:xf>
    <ns0:xf numFmtId="0" fontId="3" fillId="27" borderId="1" applyAlignment="1" pivotButton="0" quotePrefix="0" xfId="0" applyFill="1">
      <ns0:alignment horizontal="center" vertical="center" wrapText="1"/>
    </ns0:xf>
    <ns0:xf numFmtId="0" fontId="3" fillId="28" borderId="1" applyAlignment="1" pivotButton="0" quotePrefix="0" xfId="0" applyFill="1">
      <ns0:alignment horizontal="center" vertical="center" wrapText="1"/>
    </ns0:xf>
    <ns0:xf numFmtId="0" fontId="3" fillId="29" borderId="1" applyAlignment="1" pivotButton="0" quotePrefix="0" xfId="0" applyFill="1">
      <ns0:alignment horizontal="center" vertical="center" wrapText="1"/>
    </ns0:xf>
    <ns0:xf numFmtId="0" fontId="3" fillId="30" borderId="1" applyAlignment="1" pivotButton="0" quotePrefix="0" xfId="0" applyFill="1">
      <ns0:alignment horizontal="center" vertical="center" wrapText="1"/>
    </ns0:xf>
    <ns0:xf numFmtId="0" fontId="3" fillId="23" borderId="1" applyAlignment="1" pivotButton="0" quotePrefix="0" xfId="0" applyFill="1">
      <ns0:alignment horizontal="center" vertical="center" wrapText="1"/>
    </ns0:xf>
    <ns0:xf numFmtId="0" fontId="3" fillId="31" borderId="1" applyAlignment="1" pivotButton="0" quotePrefix="0" xfId="0" applyFill="1">
      <ns0:alignment horizontal="center" vertical="center" wrapText="1"/>
    </ns0:xf>
    <ns0:xf numFmtId="0" fontId="3" fillId="24" borderId="1" applyAlignment="1" pivotButton="0" quotePrefix="0" xfId="0" applyFill="1">
      <ns0:alignment horizontal="center" vertical="center" wrapText="1"/>
    </ns0:xf>
    <ns0:xf numFmtId="0" fontId="3" fillId="19" borderId="1" applyAlignment="1" pivotButton="0" quotePrefix="0" xfId="0" applyFill="1">
      <ns0:alignment horizontal="center" vertical="center" wrapText="1"/>
    </ns0:xf>
    <ns0:xf numFmtId="0" fontId="3" fillId="25" borderId="1" applyAlignment="1" pivotButton="0" quotePrefix="0" xfId="0" applyFill="1">
      <ns0:alignment horizontal="center" vertical="center" wrapText="1"/>
    </ns0:xf>
    <ns0:xf numFmtId="0" fontId="3" fillId="19" borderId="7" applyAlignment="1" pivotButton="0" quotePrefix="0" xfId="0" applyFill="1">
      <ns0:alignment horizontal="left" vertical="center" indent="1"/>
    </ns0:xf>
    <ns0:xf numFmtId="0" fontId="0" fillId="19" borderId="8" pivotButton="0" quotePrefix="0" xfId="0" applyFill="1"/>
    <ns0:xf numFmtId="0" fontId="0" fillId="19" borderId="9" pivotButton="0" quotePrefix="0" xfId="0" applyFill="1"/>
    <ns0:xf numFmtId="0" fontId="6" fillId="20" borderId="20" applyAlignment="1" pivotButton="0" quotePrefix="0" xfId="0" applyFill="1">
      <ns0:alignment vertical="center" wrapText="1"/>
    </ns0:xf>
    <ns0:xf numFmtId="0" fontId="3" fillId="19" borderId="10" applyAlignment="1" pivotButton="0" quotePrefix="0" xfId="0" applyFill="1">
      <ns0:alignment horizontal="center" vertical="center" wrapText="1"/>
    </ns0:xf>
    <ns0:xf numFmtId="0" fontId="3" fillId="19" borderId="13" applyAlignment="1" pivotButton="0" quotePrefix="0" xfId="0" applyFill="1">
      <ns0:alignment horizontal="center" vertical="center" wrapText="1"/>
    </ns0:xf>
    <ns0:xf numFmtId="0" fontId="6" fillId="20" borderId="1" pivotButton="0" quotePrefix="0" xfId="0" applyFill="1"/>
    <ns0:xf numFmtId="0" fontId="3" fillId="24" borderId="1" applyAlignment="1" pivotButton="0" quotePrefix="0" xfId="0" applyFill="1">
      <ns0:alignment horizontal="left" vertical="center" indent="1"/>
    </ns0:xf>
    <ns0:xf numFmtId="3" fontId="6" fillId="20" borderId="1" pivotButton="0" quotePrefix="0" xfId="0" applyFill="1"/>
    <ns0:xf numFmtId="164" fontId="6" fillId="20" borderId="1" pivotButton="0" quotePrefix="0" xfId="0" applyFill="1"/>
    <ns0:xf numFmtId="170" fontId="6" fillId="20" borderId="1" pivotButton="0" quotePrefix="0" xfId="0" applyFill="1"/>
    <ns0:xf numFmtId="167" fontId="6" fillId="20" borderId="1" pivotButton="0" quotePrefix="0" xfId="0" applyFill="1"/>
    <ns0:xf numFmtId="0" fontId="3" fillId="21" borderId="10" applyAlignment="1" pivotButton="0" quotePrefix="0" xfId="0" applyFill="1">
      <ns0:alignment horizontal="left" vertical="center" indent="1"/>
    </ns0:xf>
    <ns0:xf numFmtId="0" fontId="3" fillId="21" borderId="1" applyAlignment="1" pivotButton="0" quotePrefix="0" xfId="0" applyFill="1">
      <ns0:alignment horizontal="center" vertical="center" wrapText="1"/>
    </ns0:xf>
    <ns0:xf numFmtId="0" fontId="3" fillId="21" borderId="13" applyAlignment="1" pivotButton="0" quotePrefix="0" xfId="0" applyFill="1">
      <ns0:alignment horizontal="center" vertical="center" wrapText="1"/>
    </ns0:xf>
    <ns0:xf numFmtId="0" fontId="6" fillId="20" borderId="1" applyAlignment="1" pivotButton="0" quotePrefix="0" xfId="0" applyFill="1">
      <ns0:alignment vertical="center"/>
    </ns0:xf>
    <ns0:xf numFmtId="0" fontId="6" fillId="20" borderId="15" applyAlignment="1" pivotButton="0" quotePrefix="0" xfId="0" applyFill="1">
      <ns0:alignment vertical="center"/>
    </ns0:xf>
    <ns0:xf numFmtId="1" fontId="6" fillId="20" borderId="15" applyAlignment="1" pivotButton="0" quotePrefix="0" xfId="0" applyFill="1">
      <ns0:alignment vertical="center"/>
    </ns0:xf>
    <ns0:xf numFmtId="0" fontId="3" fillId="22" borderId="1" applyAlignment="1" pivotButton="0" quotePrefix="0" xfId="0" applyFill="1">
      <ns0:alignment horizontal="left" vertical="center" indent="1"/>
    </ns0:xf>
    <ns0:xf numFmtId="0" fontId="0" fillId="22" borderId="2" pivotButton="0" quotePrefix="0" xfId="0" applyFill="1"/>
    <ns0:xf numFmtId="0" fontId="3" fillId="22" borderId="1" applyAlignment="1" pivotButton="0" quotePrefix="0" xfId="0" applyFill="1">
      <ns0:alignment horizontal="center" vertical="center" wrapText="1"/>
    </ns0:xf>
    <ns0:xf numFmtId="0" fontId="3" fillId="23" borderId="1" applyAlignment="1" pivotButton="0" quotePrefix="0" xfId="0" applyFill="1">
      <ns0:alignment horizontal="left" vertical="center" indent="1"/>
    </ns0:xf>
    <ns0:xf numFmtId="0" fontId="0" fillId="23" borderId="2" pivotButton="0" quotePrefix="0" xfId="0" applyFill="1"/>
    <ns0:xf numFmtId="0" fontId="3" fillId="23" borderId="1" applyAlignment="1" pivotButton="0" quotePrefix="0" xfId="0" applyFill="1">
      <ns0:alignment horizontal="center" vertical="center" wrapText="1"/>
    </ns0:xf>
    <ns0:xf numFmtId="0" fontId="0" fillId="20" borderId="2" pivotButton="0" quotePrefix="0" xfId="0" applyFill="1"/>
    <ns0:xf numFmtId="0" fontId="3" fillId="30" borderId="1" applyAlignment="1" pivotButton="0" quotePrefix="0" xfId="0" applyFill="1">
      <ns0:alignment horizontal="center" vertical="center" wrapText="1"/>
    </ns0:xf>
  </ns0:cellXfs>
  <ns0:cellStyles count="1">
    <ns0:cellStyle name="Normal" xfId="0" builtinId="0" hidden="0"/>
  </ns0:cellStyles>
  <ns0:dxfs count="33">
    <ns0:dxf>
      <ns0:fill>
        <ns0:patternFill patternType="solid">
          <ns0:fgColor rgb="00F2F2F2"/>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E6EEE4"/>
        </ns0:patternFill>
      </ns0:fill>
    </ns0:dxf>
    <ns0:dxf>
      <ns0:fill>
        <ns0:patternFill patternType="solid">
          <ns0:fgColor rgb="FFF3EBD8"/>
        </ns0:patternFill>
      </ns0:fill>
    </ns0:dxf>
    <ns0:dxf>
      <ns0:fill>
        <ns0:patternFill patternType="solid">
          <ns0:fgColor rgb="FFF7F9FB"/>
        </ns0:patternFill>
      </ns0:fill>
    </ns0:dxf>
    <ns0:dxf>
      <ns0:fill>
        <ns0:patternFill patternType="solid">
          <ns0:fgColor rgb="FFF7F9FB"/>
        </ns0:patternFill>
      </ns0:fill>
    </ns0:dxf>
  </ns0:dxfs>
  <ns0:tableStyles count="0" defaultTableStyle="TableStyleMedium9" defaultPivotStyle="PivotStyleLight16"/>
  <ns0:colors>
    <ns0:indexedColors>
      <ns0:rgbColor rgb="00000000"/>
      <ns0:rgbColor rgb="00FFFFFF"/>
      <ns0:rgbColor rgb="00FF0000"/>
      <ns0:rgbColor rgb="0000FF00"/>
      <ns0:rgbColor rgb="000000FF"/>
      <ns0:rgbColor rgb="00FFFF00"/>
      <ns0:rgbColor rgb="00FF00FF"/>
      <ns0:rgbColor rgb="0000FFFF"/>
      <ns0:rgbColor rgb="00000000"/>
      <ns0:rgbColor rgb="00FFFFFF"/>
      <ns0:rgbColor rgb="00FF0000"/>
      <ns0:rgbColor rgb="0000FF00"/>
      <ns0:rgbColor rgb="000000FF"/>
      <ns0:rgbColor rgb="00FFFF00"/>
      <ns0:rgbColor rgb="00FF00FF"/>
      <ns0:rgbColor rgb="0000FFFF"/>
      <ns0:rgbColor rgb="00800000"/>
      <ns0:rgbColor rgb="00008000"/>
      <ns0:rgbColor rgb="00000080"/>
      <ns0:rgbColor rgb="00808000"/>
      <ns0:rgbColor rgb="00800080"/>
      <ns0:rgbColor rgb="00008080"/>
      <ns0:rgbColor rgb="00C0C0C0"/>
      <ns0:rgbColor rgb="00808080"/>
      <ns0:rgbColor rgb="009999FF"/>
      <ns0:rgbColor rgb="00993366"/>
      <ns0:rgbColor rgb="00FFFFCC"/>
      <ns0:rgbColor rgb="00CCFFFF"/>
      <ns0:rgbColor rgb="00660066"/>
      <ns0:rgbColor rgb="00FF8080"/>
      <ns0:rgbColor rgb="000066CC"/>
      <ns0:rgbColor rgb="00CCCCFF"/>
      <ns0:rgbColor rgb="00000080"/>
      <ns0:rgbColor rgb="00FF00FF"/>
      <ns0:rgbColor rgb="00FFFF00"/>
      <ns0:rgbColor rgb="0000FFFF"/>
      <ns0:rgbColor rgb="00800080"/>
      <ns0:rgbColor rgb="00800000"/>
      <ns0:rgbColor rgb="00008080"/>
      <ns0:rgbColor rgb="000000FF"/>
      <ns0:rgbColor rgb="0000CCFF"/>
      <ns0:rgbColor rgb="00CCFFFF"/>
      <ns0:rgbColor rgb="00CCFFCC"/>
      <ns0:rgbColor rgb="00FFFF99"/>
      <ns0:rgbColor rgb="0099CCFF"/>
      <ns0:rgbColor rgb="00FF99CC"/>
      <ns0:rgbColor rgb="00CC99FF"/>
      <ns0:rgbColor rgb="00FFCC99"/>
      <ns0:rgbColor rgb="003366FF"/>
      <ns0:rgbColor rgb="0033CCCC"/>
      <ns0:rgbColor rgb="0099CC00"/>
      <ns0:rgbColor rgb="00FFCC00"/>
      <ns0:rgbColor rgb="00FF9900"/>
      <ns0:rgbColor rgb="00FF6600"/>
      <ns0:rgbColor rgb="00666699"/>
      <ns0:rgbColor rgb="00969696"/>
      <ns0:rgbColor rgb="00003366"/>
      <ns0:rgbColor rgb="00339966"/>
      <ns0:rgbColor rgb="00003300"/>
      <ns0:rgbColor rgb="00333300"/>
      <ns0:rgbColor rgb="00993300"/>
      <ns0:rgbColor rgb="00993366"/>
      <ns0:rgbColor rgb="00333399"/>
      <ns0:rgbColor rgb="00333333"/>
    </ns0:indexedColors>
  </ns0:colors>
</ns0: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00">
                <a:latin typeface="Arial"/>
                <a:ea typeface="Arial"/>
                <a:cs typeface="Arial"/>
              </a:rPr>
              <a:t>Average daily change by sector</a:t>
            </a:r>
          </a:p>
        </rich>
      </tx>
      <overlay val="0"/>
      <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r>
            <a:t/>
          </a:r>
        </a:p>
      </txPr>
    </title>
    <plotArea>
      <barChart>
        <barDir val="bar"/>
        <grouping val="clustered"/>
        <varyColors val="0"/>
        <ser>
          <idx val="0"/>
          <order val="0"/>
          <tx>
            <v>Average change</v>
          </tx>
          <spPr>
            <a:solidFill xmlns:a="http://schemas.openxmlformats.org/drawingml/2006/main">
              <a:srgbClr val="505050"/>
            </a:solidFill>
            <a:ln xmlns:a="http://schemas.openxmlformats.org/drawingml/2006/main">
              <a:prstDash val="solid"/>
            </a:ln>
          </spPr>
          <cat>
            <strRef>
              <f>'IPO Live'!$G$6:$G$14</f>
            </strRef>
          </cat>
          <val>
            <numRef>
              <f>'IPO Live'!$H$6:$H$14</f>
            </numRef>
          </val>
        </ser>
        <gapWidth val="150"/>
        <axId val="48650112"/>
        <axId val="48672768"/>
      </barChart>
      <catAx>
        <axId val="48650112"/>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low"/>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crossAx val="48672768"/>
        <lblOffset val="100"/>
      </catAx>
      <valAx>
        <axId val="48672768"/>
        <scaling>
          <orientation val="minMax"/>
        </scaling>
        <delete val="0"/>
        <axPos val="b"/>
        <majorGridlines>
          <spPr>
            <a:ln xmlns:a="http://schemas.openxmlformats.org/drawingml/2006/main" w="9525">
              <a:solidFill>
                <a:srgbClr val="CCCCCC"/>
              </a:solidFill>
              <a:prstDash val="dash"/>
            </a:ln>
          </spPr>
        </majorGridlines>
        <numFmt formatCode="0.0%" sourceLinked="0"/>
        <majorTickMark val="none"/>
        <minorTickMark val="none"/>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crossAx val="48650112"/>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ns0:chartSpace xmlns:ns0="http://schemas.openxmlformats.org/drawingml/2006/chart" xmlns:ns1="http://schemas.openxmlformats.org/drawingml/2006/main">
  <ns0:chart>
    <ns0:title>
      <ns0:tx>
        <ns0:rich>
          <ns1:bodyPr/>
          <ns1:lstStyle/>
          <ns1:p>
            <ns1:r>
              <ns1:rPr sz="900">
                <ns1:latin typeface="Arial"/>
                <ns1:ea typeface="Arial"/>
                <ns1:cs typeface="Arial"/>
              </ns1:rPr>
              <ns1:t>A premium from H listing</ns1:t>
            </ns1:r>
          </ns1:p>
        </ns0:rich>
      </ns0:tx>
      <ns0:overlay val="0"/>
      <ns0:txPr>
        <ns1:bodyPr anchorCtr="1"/>
        <ns1:lstStyle/>
        <ns1:p>
          <ns1:pPr>
            <ns1:defRPr sz="900">
              <ns1:latin typeface="Arial"/>
              <ns1:ea typeface="Arial"/>
              <ns1:cs typeface="Arial"/>
            </ns1:defRPr>
          </ns1:pPr>
          <ns1:r>
            <ns1:t/>
          </ns1:r>
        </ns1:p>
      </ns0:txPr>
    </ns0:title>
    <ns0:plotArea>
      <ns0:lineChart>
        <ns0:grouping val="standard"/>
        <ns0:varyColors val="0"/>
        <ns0:ser>
          <ns0:idx val="0"/>
          <ns0:order val="0"/>
          <ns0:tx>
            <ns0:v>A premium</ns0:v>
          </ns0:tx>
          <ns0:spPr>
            <ns1:ln w="19050">
              <ns1:solidFill>
                <ns1:srgbClr val="303030"/>
              </ns1:solidFill>
              <ns1:prstDash val="solid"/>
            </ns1:ln>
          </ns0:spPr>
          <ns0:marker>
            <ns0:symbol val="none"/>
            <ns0:spPr>
              <ns1:ln>
                <ns1:prstDash val="solid"/>
              </ns1:ln>
            </ns0:spPr>
          </ns0:marker>
          <ns0:cat>
            <ns0:numRef>
              <ns0:f>'Chart Data'!AHChartDates</ns0:f>
              <ns0:numCache>
                <ns0:formatCode>dd-mmm-yy</ns0:formatCode>
                <ns0:ptCount val="178"/>
                <ns0:pt idx="0">
                  <ns0:v>46035</ns0:v>
                </ns0:pt>
                <ns0:pt idx="1">
                  <ns0:v>46036</ns0:v>
                </ns0:pt>
                <ns0:pt idx="2">
                  <ns0:v>46037</ns0:v>
                </ns0:pt>
                <ns0:pt idx="3">
                  <ns0:v>46038</ns0:v>
                </ns0:pt>
                <ns0:pt idx="4">
                  <ns0:v>46041</ns0:v>
                </ns0:pt>
                <ns0:pt idx="5">
                  <ns0:v>46042</ns0:v>
                </ns0:pt>
                <ns0:pt idx="6">
                  <ns0:v>46043</ns0:v>
                </ns0:pt>
                <ns0:pt idx="7">
                  <ns0:v>46044</ns0:v>
                </ns0:pt>
                <ns0:pt idx="8">
                  <ns0:v>46045</ns0:v>
                </ns0:pt>
                <ns0:pt idx="9">
                  <ns0:v>46048</ns0:v>
                </ns0:pt>
                <ns0:pt idx="10">
                  <ns0:v>46049</ns0:v>
                </ns0:pt>
                <ns0:pt idx="11">
                  <ns0:v>46050</ns0:v>
                </ns0:pt>
                <ns0:pt idx="12">
                  <ns0:v>46051</ns0:v>
                </ns0:pt>
                <ns0:pt idx="13">
                  <ns0:v>46052</ns0:v>
                </ns0:pt>
                <ns0:pt idx="14">
                  <ns0:v>46055</ns0:v>
                </ns0:pt>
                <ns0:pt idx="15">
                  <ns0:v>46056</ns0:v>
                </ns0:pt>
                <ns0:pt idx="16">
                  <ns0:v>46057</ns0:v>
                </ns0:pt>
                <ns0:pt idx="17">
                  <ns0:v>46058</ns0:v>
                </ns0:pt>
                <ns0:pt idx="18">
                  <ns0:v>46059</ns0:v>
                </ns0:pt>
                <ns0:pt idx="19">
                  <ns0:v>46062</ns0:v>
                </ns0:pt>
                <ns0:pt idx="20">
                  <ns0:v>46063</ns0:v>
                </ns0:pt>
                <ns0:pt idx="21">
                  <ns0:v>46064</ns0:v>
                </ns0:pt>
                <ns0:pt idx="22">
                  <ns0:v>46065</ns0:v>
                </ns0:pt>
                <ns0:pt idx="23">
                  <ns0:v>46066</ns0:v>
                </ns0:pt>
                <ns0:pt idx="24">
                  <ns0:v>46069</ns0:v>
                </ns0:pt>
                <ns0:pt idx="25">
                  <ns0:v>46073</ns0:v>
                </ns0:pt>
                <ns0:pt idx="26">
                  <ns0:v>46076</ns0:v>
                </ns0:pt>
                <ns0:pt idx="27">
                  <ns0:v>46077</ns0:v>
                </ns0:pt>
                <ns0:pt idx="28">
                  <ns0:v>46078</ns0:v>
                </ns0:pt>
                <ns0:pt idx="29">
                  <ns0:v>46079</ns0:v>
                </ns0:pt>
                <ns0:pt idx="30">
                  <ns0:v>46080</ns0:v>
                </ns0:pt>
                <ns0:pt idx="31">
                  <ns0:v>46083</ns0:v>
                </ns0:pt>
                <ns0:pt idx="32">
                  <ns0:v>46084</ns0:v>
                </ns0:pt>
                <ns0:pt idx="33">
                  <ns0:v>46085</ns0:v>
                </ns0:pt>
                <ns0:pt idx="34">
                  <ns0:v>46086</ns0:v>
                </ns0:pt>
                <ns0:pt idx="35">
                  <ns0:v>46087</ns0:v>
                </ns0:pt>
                <ns0:pt idx="36">
                  <ns0:v>46090</ns0:v>
                </ns0:pt>
                <ns0:pt idx="37">
                  <ns0:v>46091</ns0:v>
                </ns0:pt>
                <ns0:pt idx="38">
                  <ns0:v>46092</ns0:v>
                </ns0:pt>
                <ns0:pt idx="39">
                  <ns0:v>46093</ns0:v>
                </ns0:pt>
                <ns0:pt idx="40">
                  <ns0:v>46094</ns0:v>
                </ns0:pt>
                <ns0:pt idx="41">
                  <ns0:v>46097</ns0:v>
                </ns0:pt>
                <ns0:pt idx="42">
                  <ns0:v>46098</ns0:v>
                </ns0:pt>
                <ns0:pt idx="43">
                  <ns0:v>46099</ns0:v>
                </ns0:pt>
                <ns0:pt idx="44">
                  <ns0:v>46100</ns0:v>
                </ns0:pt>
                <ns0:pt idx="45">
                  <ns0:v>46101</ns0:v>
                </ns0:pt>
                <ns0:pt idx="46">
                  <ns0:v>46104</ns0:v>
                </ns0:pt>
                <ns0:pt idx="47">
                  <ns0:v>46105</ns0:v>
                </ns0:pt>
                <ns0:pt idx="48">
                  <ns0:v>46106</ns0:v>
                </ns0:pt>
                <ns0:pt idx="49">
                  <ns0:v>46107</ns0:v>
                </ns0:pt>
                <ns0:pt idx="50">
                  <ns0:v>46108</ns0:v>
                </ns0:pt>
                <ns0:pt idx="51">
                  <ns0:v>46111</ns0:v>
                </ns0:pt>
                <ns0:pt idx="52">
                  <ns0:v>46112</ns0:v>
                </ns0:pt>
                <ns0:pt idx="53">
                  <ns0:v>46113</ns0:v>
                </ns0:pt>
                <ns0:pt idx="54">
                  <ns0:v>46114</ns0:v>
                </ns0:pt>
                <ns0:pt idx="55">
                  <ns0:v>46120</ns0:v>
                </ns0:pt>
                <ns0:pt idx="56">
                  <ns0:v>46121</ns0:v>
                </ns0:pt>
                <ns0:pt idx="57">
                  <ns0:v>46122</ns0:v>
                </ns0:pt>
                <ns0:pt idx="58">
                  <ns0:v>46125</ns0:v>
                </ns0:pt>
                <ns0:pt idx="59">
                  <ns0:v>46126</ns0:v>
                </ns0:pt>
                <ns0:pt idx="60">
                  <ns0:v>46127</ns0:v>
                </ns0:pt>
                <ns0:pt idx="61">
                  <ns0:v>46128</ns0:v>
                </ns0:pt>
                <ns0:pt idx="62">
                  <ns0:v>46129</ns0:v>
                </ns0:pt>
                <ns0:pt idx="63">
                  <ns0:v>46132</ns0:v>
                </ns0:pt>
                <ns0:pt idx="64">
                  <ns0:v>46133</ns0:v>
                </ns0:pt>
                <ns0:pt idx="65">
                  <ns0:v>46134</ns0:v>
                </ns0:pt>
                <ns0:pt idx="66">
                  <ns0:v>46135</ns0:v>
                </ns0:pt>
                <ns0:pt idx="67">
                  <ns0:v>46136</ns0:v>
                </ns0:pt>
                <ns0:pt idx="68">
                  <ns0:v>46139</ns0:v>
                </ns0:pt>
                <ns0:pt idx="69">
                  <ns0:v>46140</ns0:v>
                </ns0:pt>
                <ns0:pt idx="70">
                  <ns0:v>46141</ns0:v>
                </ns0:pt>
                <ns0:pt idx="71">
                  <ns0:v>46142</ns0:v>
                </ns0:pt>
                <ns0:pt idx="72">
                  <ns0:v>46146</ns0:v>
                </ns0:pt>
                <ns0:pt idx="73">
                  <ns0:v>46147</ns0:v>
                </ns0:pt>
                <ns0:pt idx="74">
                  <ns0:v>46148</ns0:v>
                </ns0:pt>
                <ns0:pt idx="75">
                  <ns0:v>46149</ns0:v>
                </ns0:pt>
                <ns0:pt idx="76">
                  <ns0:v>46150</ns0:v>
                </ns0:pt>
                <ns0:pt idx="77">
                  <ns0:v>46153</ns0:v>
                </ns0:pt>
                <ns0:pt idx="78">
                  <ns0:v>46154</ns0:v>
                </ns0:pt>
                <ns0:pt idx="79">
                  <ns0:v>46155</ns0:v>
                </ns0:pt>
                <ns0:pt idx="80">
                  <ns0:v>46156</ns0:v>
                </ns0:pt>
                <ns0:pt idx="81">
                  <ns0:v>46157</ns0:v>
                </ns0:pt>
                <ns0:pt idx="82">
                  <ns0:v>46160</ns0:v>
                </ns0:pt>
                <ns0:pt idx="83">
                  <ns0:v>46161</ns0:v>
                </ns0:pt>
                <ns0:pt idx="84">
                  <ns0:v>46162</ns0:v>
                </ns0:pt>
                <ns0:pt idx="85">
                  <ns0:v>46163</ns0:v>
                </ns0:pt>
                <ns0:pt idx="86">
                  <ns0:v>46164</ns0:v>
                </ns0:pt>
                <ns0:pt idx="87">
                  <ns0:v>46168</ns0:v>
                </ns0:pt>
                <ns0:pt idx="88">
                  <ns0:v>46169</ns0:v>
                </ns0:pt>
                <ns0:pt idx="89">
                  <ns0:v>46170</ns0:v>
                </ns0:pt>
                <ns0:pt idx="90">
                  <ns0:v>46171</ns0:v>
                </ns0:pt>
                <ns0:pt idx="91">
                  <ns0:v>46174</ns0:v>
                </ns0:pt>
                <ns0:pt idx="92">
                  <ns0:v>46175</ns0:v>
                </ns0:pt>
                <ns0:pt idx="93">
                  <ns0:v>46176</ns0:v>
                </ns0:pt>
                <ns0:pt idx="94">
                  <ns0:v>46177</ns0:v>
                </ns0:pt>
                <ns0:pt idx="95">
                  <ns0:v>46178</ns0:v>
                </ns0:pt>
                <ns0:pt idx="96">
                  <ns0:v>46181</ns0:v>
                </ns0:pt>
                <ns0:pt idx="97">
                  <ns0:v>46182</ns0:v>
                </ns0:pt>
                <ns0:pt idx="98">
                  <ns0:v>46183</ns0:v>
                </ns0:pt>
                <ns0:pt idx="99">
                  <ns0:v>46184</ns0:v>
                </ns0:pt>
                <ns0:pt idx="100">
                  <ns0:v>46185</ns0:v>
                </ns0:pt>
                <ns0:pt idx="101">
                  <ns0:v>46188</ns0:v>
                </ns0:pt>
                <ns0:pt idx="102">
                  <ns0:v>46189</ns0:v>
                </ns0:pt>
                <ns0:pt idx="103">
                  <ns0:v>46190</ns0:v>
                </ns0:pt>
                <ns0:pt idx="104">
                  <ns0:v>46191</ns0:v>
                </ns0:pt>
                <ns0:pt idx="105">
                  <ns0:v>46195</ns0:v>
                </ns0:pt>
                <ns0:pt idx="106">
                  <ns0:v>46196</ns0:v>
                </ns0:pt>
                <ns0:pt idx="107">
                  <ns0:v>46197</ns0:v>
                </ns0:pt>
                <ns0:pt idx="108">
                  <ns0:v>46198</ns0:v>
                </ns0:pt>
                <ns0:pt idx="109">
                  <ns0:v>46199</ns0:v>
                </ns0:pt>
                <ns0:pt idx="110">
                  <ns0:v>46202</ns0:v>
                </ns0:pt>
                <ns0:pt idx="111">
                  <ns0:v>46203</ns0:v>
                </ns0:pt>
                <ns0:pt idx="112">
                  <ns0:v>46205</ns0:v>
                </ns0:pt>
                <ns0:pt idx="113">
                  <ns0:v>46206</ns0:v>
                </ns0:pt>
                <ns0:pt idx="114">
                  <ns0:v>46209</ns0:v>
                </ns0:pt>
                <ns0:pt idx="115">
                  <ns0:v>46210</ns0:v>
                </ns0:pt>
                <ns0:pt idx="116">
                  <ns0:v>46211</ns0:v>
                </ns0:pt>
                <ns0:pt idx="117">
                  <ns0:v>46212</ns0:v>
                </ns0:pt>
                <ns0:pt idx="118">
                  <ns0:v>46213</ns0:v>
                </ns0:pt>
                <ns0:pt idx="119">
                  <ns0:v>46216</ns0:v>
                </ns0:pt>
                <ns0:pt idx="120">
                  <ns0:v>46217</ns0:v>
                </ns0:pt>
                <ns0:pt idx="121">
                  <ns0:v>46218</ns0:v>
                </ns0:pt>
                <ns0:pt idx="122">
                  <ns0:v>46219</ns0:v>
                </ns0:pt>
                <ns0:pt idx="123">
                  <ns0:v>46220</ns0:v>
                </ns0:pt>
                <ns0:pt idx="124">
                  <ns0:v>46223</ns0:v>
                </ns0:pt>
                <ns0:pt idx="125">
                  <ns0:v>46224</ns0:v>
                </ns0:pt>
                <ns0:pt idx="126">
                  <ns0:v>46225</ns0:v>
                </ns0:pt>
                <ns0:pt idx="127">
                  <ns0:v>46226</ns0:v>
                </ns0:pt>
                <ns0:pt idx="128">
                  <ns0:v>46227</ns0:v>
                </ns0:pt>
                <ns0:pt idx="129">
                  <ns0:v>46230</ns0:v>
                </ns0:pt>
                <ns0:pt idx="130">
                  <ns0:v>46231</ns0:v>
                </ns0:pt>
                <ns0:pt idx="131">
                  <ns0:v>46232</ns0:v>
                </ns0:pt>
                <ns0:pt idx="132">
                  <ns0:v>46233</ns0:v>
                </ns0:pt>
                <ns0:pt idx="133">
                  <ns0:v>46234</ns0:v>
                </ns0:pt>
                <ns0:pt idx="134">
                  <ns0:v>46237</ns0:v>
                </ns0:pt>
                <ns0:pt idx="135">
                  <ns0:v>46238</ns0:v>
                </ns0:pt>
                <ns0:pt idx="136">
                  <ns0:v>46239</ns0:v>
                </ns0:pt>
                <ns0:pt idx="137">
                  <ns0:v>46240</ns0:v>
                </ns0:pt>
                <ns0:pt idx="138">
                  <ns0:v>46241</ns0:v>
                </ns0:pt>
                <ns0:pt idx="139">
                  <ns0:v>46244</ns0:v>
                </ns0:pt>
                <ns0:pt idx="140">
                  <ns0:v>46245</ns0:v>
                </ns0:pt>
                <ns0:pt idx="141">
                  <ns0:v>46246</ns0:v>
                </ns0:pt>
                <ns0:pt idx="142">
                  <ns0:v>46247</ns0:v>
                </ns0:pt>
                <ns0:pt idx="143">
                  <ns0:v>46248</ns0:v>
                </ns0:pt>
                <ns0:pt idx="144">
                  <ns0:v>46251</ns0:v>
                </ns0:pt>
                <ns0:pt idx="145">
                  <ns0:v>46252</ns0:v>
                </ns0:pt>
                <ns0:pt idx="146">
                  <ns0:v>46253</ns0:v>
                </ns0:pt>
                <ns0:pt idx="147">
                  <ns0:v>46254</ns0:v>
                </ns0:pt>
                <ns0:pt idx="148">
                  <ns0:v>46255</ns0:v>
                </ns0:pt>
                <ns0:pt idx="149">
                  <ns0:v>46258</ns0:v>
                </ns0:pt>
                <ns0:pt idx="150">
                  <ns0:v>46259</ns0:v>
                </ns0:pt>
                <ns0:pt idx="151">
                  <ns0:v>46260</ns0:v>
                </ns0:pt>
                <ns0:pt idx="152">
                  <ns0:v>46261</ns0:v>
                </ns0:pt>
                <ns0:pt idx="153">
                  <ns0:v>46262</ns0:v>
                </ns0:pt>
                <ns0:pt idx="154">
                  <ns0:v>46265</ns0:v>
                </ns0:pt>
                <ns0:pt idx="155">
                  <ns0:v>46266</ns0:v>
                </ns0:pt>
                <ns0:pt idx="156">
                  <ns0:v>46267</ns0:v>
                </ns0:pt>
                <ns0:pt idx="157">
                  <ns0:v>46268</ns0:v>
                </ns0:pt>
                <ns0:pt idx="158">
                  <ns0:v>46269</ns0:v>
                </ns0:pt>
                <ns0:pt idx="159">
                  <ns0:v>46272</ns0:v>
                </ns0:pt>
                <ns0:pt idx="160">
                  <ns0:v>46273</ns0:v>
                </ns0:pt>
                <ns0:pt idx="161">
                  <ns0:v>46274</ns0:v>
                </ns0:pt>
                <ns0:pt idx="162">
                  <ns0:v>46275</ns0:v>
                </ns0:pt>
                <ns0:pt idx="163">
                  <ns0:v>46276</ns0:v>
                </ns0:pt>
                <ns0:pt idx="164">
                  <ns0:v>46279</ns0:v>
                </ns0:pt>
                <ns0:pt idx="165">
                  <ns0:v>46280</ns0:v>
                </ns0:pt>
                <ns0:pt idx="166">
                  <ns0:v>46281</ns0:v>
                </ns0:pt>
                <ns0:pt idx="167">
                  <ns0:v>46282</ns0:v>
                </ns0:pt>
                <ns0:pt idx="168">
                  <ns0:v>46283</ns0:v>
                </ns0:pt>
                <ns0:pt idx="169">
                  <ns0:v>46286</ns0:v>
                </ns0:pt>
                <ns0:pt idx="170">
                  <ns0:v>46287</ns0:v>
                </ns0:pt>
                <ns0:pt idx="171">
                  <ns0:v>46288</ns0:v>
                </ns0:pt>
                <ns0:pt idx="172">
                  <ns0:v>46289</ns0:v>
                </ns0:pt>
                <ns0:pt idx="173">
                  <ns0:v>46290</ns0:v>
                </ns0:pt>
                <ns0:pt idx="174">
                  <ns0:v>46293</ns0:v>
                </ns0:pt>
                <ns0:pt idx="175">
                  <ns0:v>46294</ns0:v>
                </ns0:pt>
                <ns0:pt idx="176">
                  <ns0:v>46295</ns0:v>
                </ns0:pt>
                <ns0:pt idx="177">
                  <ns0:v>46297</ns0:v>
                </ns0:pt>
              </ns0:numCache>
            </ns0:numRef>
          </ns0:cat>
          <ns0:val>
            <ns0:numRef>
              <ns0:f>'Chart Data'!AHChartPremium</ns0:f>
              <ns0:numCache>
                <ns0:formatCode>0.0%</ns0:formatCode>
                <ns0:ptCount val="178"/>
                <ns0:pt idx="0">
                  <ns0:v>0.3221030030901171</ns0:v>
                </ns0:pt>
                <ns0:pt idx="1">
                  <ns0:v>0.25701418134901255</ns0:v>
                </ns0:pt>
                <ns0:pt idx="2">
                  <ns0:v>0.22344912238387082</ns0:v>
                </ns0:pt>
                <ns0:pt idx="3">
                  <ns0:v>0.15384544803815725</ns0:v>
                </ns0:pt>
                <ns0:pt idx="4">
                  <ns0:v>0.11293562140958069</ns0:v>
                </ns0:pt>
                <ns0:pt idx="5">
                  <ns0:v>0.06750618398579111</ns0:v>
                </ns0:pt>
                <ns0:pt idx="6">
                  <ns0:v>0.06109885588802122</ns0:v>
                </ns0:pt>
                <ns0:pt idx="7">
                  <ns0:v>0.13245683878060155</ns0:v>
                </ns0:pt>
                <ns0:pt idx="8">
                  <ns0:v>0.05230827613523137</ns0:v>
                </ns0:pt>
                <ns0:pt idx="9">
                  <ns0:v>0.06548044666016928</ns0:v>
                </ns0:pt>
                <ns0:pt idx="10">
                  <ns0:v>0.0731998575513606</ns0:v>
                </ns0:pt>
                <ns0:pt idx="11">
                  <ns0:v>0.05467115969660674</ns0:v>
                </ns0:pt>
                <ns0:pt idx="12">
                  <ns0:v>0.03947786213476445</ns0:v>
                </ns0:pt>
                <ns0:pt idx="13">
                  <ns0:v>0.05587624256646451</ns0:v>
                </ns0:pt>
                <ns0:pt idx="14">
                  <ns0:v>0.04739913503982507</ns0:v>
                </ns0:pt>
                <ns0:pt idx="15">
                  <ns0:v>0.0389422858808135</ns0:v>
                </ns0:pt>
                <ns0:pt idx="16">
                  <ns0:v>0.04437151635445047</ns0:v>
                </ns0:pt>
                <ns0:pt idx="17">
                  <ns0:v>0.07532847636831508</ns0:v>
                </ns0:pt>
                <ns0:pt idx="18">
                  <ns0:v>0.10356477062020253</ns0:v>
                </ns0:pt>
                <ns0:pt idx="19">
                  <ns0:v>0.05039301450844791</ns0:v>
                </ns0:pt>
                <ns0:pt idx="20">
                  <ns0:v>0.0837681576116196</ns0:v>
                </ns0:pt>
                <ns0:pt idx="21">
                  <ns0:v>0.08736648520505086</ns0:v>
                </ns0:pt>
                <ns0:pt idx="22">
                  <ns0:v>-0.04227661841408492</ns0:v>
                </ns0:pt>
                <ns0:pt idx="23">
                  <ns0:v>-0.055135217840607154</ns0:v>
                </ns0:pt>
                <ns0:pt idx="24">
                  <ns0:v>-0.14030315120604042</ns0:v>
                </ns0:pt>
                <ns0:pt idx="25">
                  <ns0:v>-0.13364451972781577</ns0:v>
                </ns0:pt>
                <ns0:pt idx="26">
                  <ns0:v>-0.09605972177929245</ns0:v>
                </ns0:pt>
                <ns0:pt idx="27">
                  <ns0:v>-0.1541568719226416</ns0:v>
                </ns0:pt>
                <ns0:pt idx="28">
                  <ns0:v>-0.14267478696478264</ns0:v>
                </ns0:pt>
                <ns0:pt idx="29">
                  <ns0:v>-0.17255930014346776</ns0:v>
                </ns0:pt>
                <ns0:pt idx="30">
                  <ns0:v>-0.12495129570669061</ns0:v>
                </ns0:pt>
                <ns0:pt idx="31">
                  <ns0:v>-0.10839244887034105</ns0:v>
                </ns0:pt>
                <ns0:pt idx="32">
                  <ns0:v>-0.10372198921407572</ns0:v>
                </ns0:pt>
                <ns0:pt idx="33">
                  <ns0:v>-0.14050012489289754</ns0:v>
                </ns0:pt>
                <ns0:pt idx="34">
                  <ns0:v>-0.14223712861410298</ns0:v>
                </ns0:pt>
                <ns0:pt idx="35">
                  <ns0:v>-0.17512857969070228</ns0:v>
                </ns0:pt>
                <ns0:pt idx="36">
                  <ns0:v>-0.1446862796964119</ns0:v>
                </ns0:pt>
                <ns0:pt idx="37">
                  <ns0:v>-0.14549608139764703</ns0:v>
                </ns0:pt>
                <ns0:pt idx="38">
                  <ns0:v>-0.13861130335883742</ns0:v>
                </ns0:pt>
                <ns0:pt idx="39">
                  <ns0:v>-0.13016861503654065</ns0:v>
                </ns0:pt>
                <ns0:pt idx="40">
                  <ns0:v>-0.12883474464927402</ns0:v>
                </ns0:pt>
                <ns0:pt idx="41">
                  <ns0:v>-0.1938373888949506</ns0:v>
                </ns0:pt>
                <ns0:pt idx="42">
                  <ns0:v>-0.17424072413144276</ns0:v>
                </ns0:pt>
                <ns0:pt idx="43">
                  <ns0:v>-0.21265855968237035</ns0:v>
                </ns0:pt>
                <ns0:pt idx="44">
                  <ns0:v>-0.20189212255623012</ns0:v>
                </ns0:pt>
                <ns0:pt idx="45">
                  <ns0:v>-0.21583190094856985</ns0:v>
                </ns0:pt>
                <ns0:pt idx="46">
                  <ns0:v>-0.1990112903528395</ns0:v>
                </ns0:pt>
                <ns0:pt idx="47">
                  <ns0:v>-0.22406897094560818</ns0:v>
                </ns0:pt>
                <ns0:pt idx="48">
                  <ns0:v>-0.22439443702435713</ns0:v>
                </ns0:pt>
                <ns0:pt idx="49">
                  <ns0:v>-0.21245149492964377</ns0:v>
                </ns0:pt>
                <ns0:pt idx="50">
                  <ns0:v>-0.19947207696845848</ns0:v>
                </ns0:pt>
                <ns0:pt idx="51">
                  <ns0:v>-0.2252605923161286</ns0:v>
                </ns0:pt>
                <ns0:pt idx="52">
                  <ns0:v>-0.2131308768650534</ns0:v>
                </ns0:pt>
                <ns0:pt idx="53">
                  <ns0:v>-0.2080577914832068</ns0:v>
                </ns0:pt>
                <ns0:pt idx="54">
                  <ns0:v>-0.18607658345575273</ns0:v>
                </ns0:pt>
                <ns0:pt idx="55">
                  <ns0:v>-0.2011041110460875</ns0:v>
                </ns0:pt>
                <ns0:pt idx="56">
                  <ns0:v>-0.17930030902794425</ns0:v>
                </ns0:pt>
                <ns0:pt idx="57">
                  <ns0:v>-0.2250355112072402</ns0:v>
                </ns0:pt>
                <ns0:pt idx="58">
                  <ns0:v>-0.23211055853393647</ns0:v>
                </ns0:pt>
                <ns0:pt idx="59">
                  <ns0:v>-0.24834951795794646</ns0:v>
                </ns0:pt>
                <ns0:pt idx="60">
                  <ns0:v>-0.22743158672695896</ns0:v>
                </ns0:pt>
                <ns0:pt idx="61">
                  <ns0:v>-0.28779465587081376</ns0:v>
                </ns0:pt>
                <ns0:pt idx="62">
                  <ns0:v>-0.23091229090783594</ns0:v>
                </ns0:pt>
                <ns0:pt idx="63">
                  <ns0:v>-0.21124161811585118</ns0:v>
                </ns0:pt>
                <ns0:pt idx="64">
                  <ns0:v>-0.20247014135730512</ns0:v>
                </ns0:pt>
                <ns0:pt idx="65">
                  <ns0:v>-0.19911450317700696</ns0:v>
                </ns0:pt>
                <ns0:pt idx="66">
                  <ns0:v>-0.22550493325671872</ns0:v>
                </ns0:pt>
                <ns0:pt idx="67">
                  <ns0:v>-0.2399382301314863</ns0:v>
                </ns0:pt>
                <ns0:pt idx="68">
                  <ns0:v>-0.23070809006690984</ns0:v>
                </ns0:pt>
                <ns0:pt idx="69">
                  <ns0:v>-0.20671491248588358</ns0:v>
                </ns0:pt>
                <ns0:pt idx="70">
                  <ns0:v>-0.25792835465517183</ns0:v>
                </ns0:pt>
                <ns0:pt idx="71">
                  <ns0:v>-0.23436925616862936</ns0:v>
                </ns0:pt>
                <ns0:pt idx="72">
                  <ns0:v>-0.2562013977751223</ns0:v>
                </ns0:pt>
                <ns0:pt idx="73">
                  <ns0:v>-0.22973967742766432</ns0:v>
                </ns0:pt>
                <ns0:pt idx="74">
                  <ns0:v>-0.2597384262844683</ns0:v>
                </ns0:pt>
                <ns0:pt idx="75">
                  <ns0:v>-0.22328297135914987</ns0:v>
                </ns0:pt>
                <ns0:pt idx="76">
                  <ns0:v>-0.21471496387403832</ns0:v>
                </ns0:pt>
                <ns0:pt idx="77">
                  <ns0:v>-0.21201468604949558</ns0:v>
                </ns0:pt>
                <ns0:pt idx="78">
                  <ns0:v>-0.1934306424561113</ns0:v>
                </ns0:pt>
                <ns0:pt idx="79">
                  <ns0:v>-0.23234242918717596</ns0:v>
                </ns0:pt>
                <ns0:pt idx="80">
                  <ns0:v>-0.21722205664341065</ns0:v>
                </ns0:pt>
                <ns0:pt idx="81">
                  <ns0:v>-0.20356163712985387</ns0:v>
                </ns0:pt>
                <ns0:pt idx="82">
                  <ns0:v>-0.21780816551779403</ns0:v>
                </ns0:pt>
                <ns0:pt idx="83">
                  <ns0:v>-0.22613985424421956</ns0:v>
                </ns0:pt>
                <ns0:pt idx="84">
                  <ns0:v>-0.2740122827999638</ns0:v>
                </ns0:pt>
                <ns0:pt idx="85">
                  <ns0:v>-0.2783502311941848</ns0:v>
                </ns0:pt>
                <ns0:pt idx="86">
                  <ns0:v>-0.3062359125356747</ns0:v>
                </ns0:pt>
                <ns0:pt idx="87">
                  <ns0:v>-0.2645880645202867</ns0:v>
                </ns0:pt>
                <ns0:pt idx="88">
                  <ns0:v>-0.2953671481305131</ns0:v>
                </ns0:pt>
                <ns0:pt idx="89">
                  <ns0:v>-0.2936057923715326</ns0:v>
                </ns0:pt>
                <ns0:pt idx="90">
                  <ns0:v>-0.27090715972797297</ns0:v>
                </ns0:pt>
                <ns0:pt idx="91">
                  <ns0:v>-0.23504958021531408</ns0:v>
                </ns0:pt>
                <ns0:pt idx="92">
                  <ns0:v>-0.22660449232230206</ns0:v>
                </ns0:pt>
                <ns0:pt idx="93">
                  <ns0:v>-0.22448176421736632</ns0:v>
                </ns0:pt>
                <ns0:pt idx="94">
                  <ns0:v>-0.22056742883365577</ns0:v>
                </ns0:pt>
                <ns0:pt idx="95">
                  <ns0:v>-0.21940789282074613</ns0:v>
                </ns0:pt>
                <ns0:pt idx="96">
                  <ns0:v>-0.21043849573547047</ns0:v>
                </ns0:pt>
                <ns0:pt idx="97">
                  <ns0:v>-0.18020857147651148</ns0:v>
                </ns0:pt>
                <ns0:pt idx="98">
                  <ns0:v>-0.14925728559494034</ns0:v>
                </ns0:pt>
                <ns0:pt idx="99">
                  <ns0:v>-0.1857712091837388</ns0:v>
                </ns0:pt>
                <ns0:pt idx="100">
                  <ns0:v>-0.14805525472716874</ns0:v>
                </ns0:pt>
                <ns0:pt idx="101">
                  <ns0:v>-0.17114266815027257</ns0:v>
                </ns0:pt>
                <ns0:pt idx="102">
                  <ns0:v>-0.16133440107755037</ns0:v>
                </ns0:pt>
                <ns0:pt idx="103">
                  <ns0:v>-0.19429993697898384</ns0:v>
                </ns0:pt>
                <ns0:pt idx="104">
                  <ns0:v>-0.2233919885338813</ns0:v>
                </ns0:pt>
                <ns0:pt idx="105">
                  <ns0:v>-0.2353222446537565</ns0:v>
                </ns0:pt>
                <ns0:pt idx="106">
                  <ns0:v>-0.20815870238063305</ns0:v>
                </ns0:pt>
                <ns0:pt idx="107">
                  <ns0:v>-0.1748274562845843</ns0:v>
                </ns0:pt>
                <ns0:pt idx="108">
                  <ns0:v>-0.1924998198508786</ns0:v>
                </ns0:pt>
                <ns0:pt idx="109">
                  <ns0:v>-0.179163674788682</ns0:v>
                </ns0:pt>
                <ns0:pt idx="110">
                  <ns0:v>-0.21921830711395485</ns0:v>
                </ns0:pt>
                <ns0:pt idx="111">
                  <ns0:v>-0.2083530183191653</ns0:v>
                </ns0:pt>
                <ns0:pt idx="112">
                  <ns0:v>-0.17271023033696897</ns0:v>
                </ns0:pt>
                <ns0:pt idx="113">
                  <ns0:v>-0.14662220459608033</ns0:v>
                </ns0:pt>
                <ns0:pt idx="114">
                  <ns0:v>-0.13776444059062953</ns0:v>
                </ns0:pt>
                <ns0:pt idx="115">
                  <ns0:v>-0.07095979405688002</ns0:v>
                </ns0:pt>
                <ns0:pt idx="116">
                  <ns0:v>-0.09883361315650085</ns0:v>
                </ns0:pt>
                <ns0:pt idx="117">
                  <ns0:v>-0.1872194631286025</ns0:v>
                </ns0:pt>
                <ns0:pt idx="118">
                  <ns0:v>-0.04919512777617485</ns0:v>
                </ns0:pt>
                <ns0:pt idx="119">
                  <ns0:v>0.012947514250471803</ns0:v>
                </ns0:pt>
                <ns0:pt idx="120">
                  <ns0:v>-0.020332641925105865</ns0:v>
                </ns0:pt>
                <ns0:pt idx="121">
                  <ns0:v>0.007426145842449161</ns0:v>
                </ns0:pt>
                <ns0:pt idx="122">
                  <ns0:v>-0.006877344532807639</ns0:v>
                </ns0:pt>
                <ns0:pt idx="123">
                  <ns0:v>0.004841918429148384</ns0:v>
                </ns0:pt>
                <ns0:pt idx="124">
                  <ns0:v>-0.06210668824382659</ns0:v>
                </ns0:pt>
                <ns0:pt idx="125">
                  <ns0:v>-0.10353538031686793</ns0:v>
                </ns0:pt>
                <ns0:pt idx="126">
                  <ns0:v>-0.06729300748812006</ns0:v>
                </ns0:pt>
                <ns0:pt idx="127">
                  <ns0:v>-0.06505189241949638</ns0:v>
                </ns0:pt>
                <ns0:pt idx="128">
                  <ns0:v>-0.06860344237844707</ns0:v>
                </ns0:pt>
                <ns0:pt idx="129">
                  <ns0:v>-0.07955595805968119</ns0:v>
                </ns0:pt>
                <ns0:pt idx="130">
                  <ns0:v>0.0031529350483672225</ns0:v>
                </ns0:pt>
                <ns0:pt idx="131">
                  <ns0:v>-0.034553427792884395</ns0:v>
                </ns0:pt>
                <ns0:pt idx="132">
                  <ns0:v>0.004399272477944249</ns0:v>
                </ns0:pt>
                <ns0:pt idx="133">
                  <ns0:v>-0.042410024162990556</ns0:v>
                </ns0:pt>
                <ns0:pt idx="134">
                  <ns0:v>-0.0678361804037233</ns0:v>
                </ns0:pt>
                <ns0:pt idx="135">
                  <ns0:v>-0.10099531309456355</ns0:v>
                </ns0:pt>
                <ns0:pt idx="136">
                  <ns0:v>-0.07911008422757371</ns0:v>
                </ns0:pt>
                <ns0:pt idx="137">
                  <ns0:v>-0.09517520791504375</ns0:v>
                </ns0:pt>
                <ns0:pt idx="138">
                  <ns0:v>-0.0819497175627586</ns0:v>
                </ns0:pt>
                <ns0:pt idx="139">
                  <ns0:v>-0.06472105075499257</ns0:v>
                </ns0:pt>
                <ns0:pt idx="140">
                  <ns0:v>-0.04551525175571436</ns0:v>
                </ns0:pt>
                <ns0:pt idx="141">
                  <ns0:v>-0.06684949646181271</ns0:v>
                </ns0:pt>
                <ns0:pt idx="142">
                  <ns0:v>-0.0607356230417887</ns0:v>
                </ns0:pt>
                <ns0:pt idx="143">
                  <ns0:v>-0.04937843224773664</ns0:v>
                </ns0:pt>
                <ns0:pt idx="144">
                  <ns0:v>-0.06743811269959821</ns0:v>
                </ns0:pt>
                <ns0:pt idx="145">
                  <ns0:v>-0.017876806120941557</ns0:v>
                </ns0:pt>
                <ns0:pt idx="146">
                  <ns0:v>-0.05484726599593093</ns0:v>
                </ns0:pt>
                <ns0:pt idx="147">
                  <ns0:v>-0.04110553433874686</ns0:v>
                </ns0:pt>
                <ns0:pt idx="148">
                  <ns0:v>-0.05131012417450098</ns0:v>
                </ns0:pt>
                <ns0:pt idx="149">
                  <ns0:v>-0.05491180274137253</ns0:v>
                </ns0:pt>
                <ns0:pt idx="150">
                  <ns0:v>-0.06744388687567215</ns0:v>
                </ns0:pt>
                <ns0:pt idx="151">
                  <ns0:v>-0.05032996691114178</ns0:v>
                </ns0:pt>
                <ns0:pt idx="152">
                  <ns0:v>-0.0708385814992033</ns0:v>
                </ns0:pt>
                <ns0:pt idx="153">
                  <ns0:v>-0.0481219213244356</ns0:v>
                </ns0:pt>
                <ns0:pt idx="154">
                  <ns0:v>-0.026845900524991473</ns0:v>
                </ns0:pt>
                <ns0:pt idx="155">
                  <ns0:v>-0.036741660179889224</ns0:v>
                </ns0:pt>
                <ns0:pt idx="156">
                  <ns0:v>-0.0394400839884369</ns0:v>
                </ns0:pt>
                <ns0:pt idx="157">
                  <ns0:v>-0.04195317756240968</ns0:v>
                </ns0:pt>
                <ns0:pt idx="158">
                  <ns0:v>-0.0664852258157812</ns0:v>
                </ns0:pt>
                <ns0:pt idx="159">
                  <ns0:v>-0.08416363294770612</ns0:v>
                </ns0:pt>
                <ns0:pt idx="160">
                  <ns0:v>-0.07156986605983595</ns0:v>
                </ns0:pt>
                <ns0:pt idx="161">
                  <ns0:v>-0.07123159663712941</ns0:v>
                </ns0:pt>
                <ns0:pt idx="162">
                  <ns0:v>-0.06640689931528387</ns0:v>
                </ns0:pt>
                <ns0:pt idx="163">
                  <ns0:v>-0.03995056733363811</ns0:v>
                </ns0:pt>
                <ns0:pt idx="164">
                  <ns0:v>-0.006735026972634506</ns0:v>
                </ns0:pt>
                <ns0:pt idx="165">
                  <ns0:v>-0.028114615129682163</ns0:v>
                </ns0:pt>
                <ns0:pt idx="166">
                  <ns0:v>-0.030855952787399277</ns0:v>
                </ns0:pt>
                <ns0:pt idx="167">
                  <ns0:v>-0.0730090879341384</ns0:v>
                </ns0:pt>
                <ns0:pt idx="168">
                  <ns0:v>-0.11338551957625898</ns0:v>
                </ns0:pt>
                <ns0:pt idx="169">
                  <ns0:v>-0.10651976795484408</ns0:v>
                </ns0:pt>
                <ns0:pt idx="170">
                  <ns0:v>-0.08693297764127561</ns0:v>
                </ns0:pt>
                <ns0:pt idx="171">
                  <ns0:v>-0.09545343517333038</ns0:v>
                </ns0:pt>
                <ns0:pt idx="172">
                  <ns0:v>-0.08405791763824977</ns0:v>
                </ns0:pt>
                <ns0:pt idx="173">
                  <ns0:v>-0.071623017755848</ns0:v>
                </ns0:pt>
                <ns0:pt idx="174">
                  <ns0:v>-0.06542718191595809</ns0:v>
                </ns0:pt>
                <ns0:pt idx="175">
                  <ns0:v>-0.07806505097084293</ns0:v>
                </ns0:pt>
                <ns0:pt idx="176">
                  <ns0:v>-0.07857222942589026</ns0:v>
                </ns0:pt>
                <ns0:pt idx="177">
                  <ns0:v>-0.08939929271121771</ns0:v>
                </ns0:pt>
              </ns0:numCache>
            </ns0:numRef>
          </ns0:val>
          <ns0:smooth val="0"/>
        </ns0:ser>
        <ns0:smooth val="0"/>
        <ns0:axId val="48650112"/>
        <ns0:axId val="48672768"/>
      </ns0:lineChart>
      <ns0:dateAx>
        <ns0:axId val="48650112"/>
        <ns0:scaling>
          <ns0:orientation val="minMax"/>
        </ns0:scaling>
        <ns0:delete val="0"/>
        <ns0:axPos val="b"/>
        <ns0:numFmt formatCode="mmm-yy" sourceLinked="0"/>
        <ns0:majorTickMark val="out"/>
        <ns0:minorTickMark val="none"/>
        <ns0:tickLblPos val="low"/>
        <ns0:crossAx val="48672768"/>
        <ns0:baseTimeUnit val="days"/>
      </ns0:dateAx>
      <ns0:valAx>
        <ns0:axId val="48672768"/>
        <ns0:scaling>
          <ns0:orientation val="minMax"/>
        </ns0:scaling>
        <ns0:delete val="0"/>
        <ns0:axPos val="l"/>
        <ns0:majorGridlines>
          <ns0:spPr>
            <ns1:ln w="9525">
              <ns1:solidFill>
                <ns1:srgbClr val="CCCCCC"/>
              </ns1:solidFill>
              <ns1:prstDash val="dash"/>
            </ns1:ln>
          </ns0:spPr>
        </ns0:majorGridlines>
        <ns0:numFmt formatCode="0.0%" sourceLinked="0"/>
        <ns0:majorTickMark val="none"/>
        <ns0:minorTickMark val="none"/>
        <ns0:txPr>
          <ns1:bodyPr anchorCtr="1"/>
          <ns1:lstStyle/>
          <ns1:p>
            <ns1:pPr>
              <ns1:defRPr sz="750">
                <ns1:latin typeface="Arial"/>
                <ns1:ea typeface="Arial"/>
                <ns1:cs typeface="Arial"/>
              </ns1:defRPr>
            </ns1:pPr>
            <ns1:r>
              <ns1:t/>
            </ns1:r>
          </ns1:p>
        </ns0:txPr>
        <ns0:crossAx val="48650112"/>
        <ns0:crosses val="min"/>
        <ns0:crossBetween val="between"/>
      </ns0:valAx>
    </ns0:plotArea>
    <ns0:plotVisOnly val="1"/>
    <ns0:dispBlanksAs val="gap"/>
  </ns0:chart>
  <ns0:spPr>
    <ns1:ln w="9525">
      <ns1:solidFill>
        <ns1:srgbClr val="D9D9D9"/>
      </ns1:solidFill>
      <ns1:prstDash val="solid"/>
    </ns1:ln>
  </ns0:spPr>
</ns0: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HK IPO source review</author>
    <author>HK IPO methods</author>
    <author>HK IPO date review</author>
  </authors>
  <commentList>
    <comment ref="AI5" authorId="0" shapeId="0">
      <text>
        <t>Close: HK$4.4
Date: 2021-01-05
Venue: Phillip
Source: press:https://www.am730.com.hk/article/154295 — published closing quote 4.4, +0.9% vs offer; venue Phillip. GPT archive review, 4 October 2026.</t>
      </text>
    </comment>
    <comment ref="AK5" authorId="1" shapeId="0">
      <text>
        <t>China Biotech ETF (HS biotech proxy)
Previous trading close to listing-day close (2021-01-06).
Benchmark return in percent; not the index level or excess return.</t>
      </text>
    </comment>
    <comment ref="AP5" authorId="1" shapeId="0">
      <text>
        <t>Horizon close: 2021-01-13
5/21/63 traded sessions after debut; price-only return vs offer.</t>
      </text>
    </comment>
    <comment ref="AQ5" authorId="1" shapeId="0">
      <text>
        <t>Horizon close: 2021-02-04
5/21/63 traded sessions after debut; price-only return vs offer.</t>
      </text>
    </comment>
    <comment ref="AR5" authorId="1" shapeId="0">
      <text>
        <t>Horizon close: 2021-04-12
5/21/63 traded sessions after debut; price-only return vs offer.</t>
      </text>
    </comment>
    <comment ref="AI6" authorId="0" shapeId="0">
      <text>
        <t>Close: HK$2.02
Date: 2021-01-05
Venue: Phillip
Source: press:https://www.am730.com.hk/article/154295 — published closing quote 2.02, +1% vs offer; venue Phillip. GPT archive review, 4 October 2026.</t>
      </text>
    </comment>
    <comment ref="AK6" authorId="1" shapeId="0">
      <text>
        <t>Hang Seng Commerce &amp; Industry sub-index
Previous trading close to listing-day close (2021-01-06).
Benchmark return in percent; not the index level or excess return.</t>
      </text>
    </comment>
    <comment ref="AP6" authorId="1" shapeId="0">
      <text>
        <t>Horizon close: 2021-01-13
5/21/63 traded sessions after debut; price-only return vs offer.</t>
      </text>
    </comment>
    <comment ref="AQ6" authorId="1" shapeId="0">
      <text>
        <t>Horizon close: 2021-02-04
5/21/63 traded sessions after debut; price-only return vs offer.</t>
      </text>
    </comment>
    <comment ref="AR6" authorId="1" shapeId="0">
      <text>
        <t>Horizon close: 2021-04-12
5/21/63 traded sessions after debut; price-only return vs offer.</t>
      </text>
    </comment>
    <comment ref="AI7" authorId="0" shapeId="0">
      <text>
        <t>Close: HK$0.43
Date: 2021-01-12
Venue: Phillip
Source: press:https://www.aastocks.com/tc/stocks/analysis/stock-aafn-con/01440/AAFN/NOW.1068644/hk-stock-news — published closing quote 0.43, +7.5% vs offer; venue Phillip. GPT archive review, 4 October 2026.</t>
      </text>
    </comment>
    <comment ref="AK7" authorId="1" shapeId="0">
      <text>
        <t>Hang Seng Commerce &amp; Industry sub-index
Previous trading close to listing-day close (2021-01-13).
Benchmark return in percent; not the index level or excess return.</t>
      </text>
    </comment>
    <comment ref="AP7" authorId="1" shapeId="0">
      <text>
        <t>Horizon close: 2021-01-20
5/21/63 traded sessions after debut; price-only return vs offer.</t>
      </text>
    </comment>
    <comment ref="AQ7" authorId="1" shapeId="0">
      <text>
        <t>Horizon close: 2021-02-11
5/21/63 traded sessions after debut; price-only return vs offer.</t>
      </text>
    </comment>
    <comment ref="AR7" authorId="1" shapeId="0">
      <text>
        <t>Horizon close: 2021-04-19
5/21/63 traded sessions after debut; price-only return vs offer.</t>
      </text>
    </comment>
    <comment ref="AI8" authorId="0" shapeId="0">
      <text>
        <t>Close: HK$0.51
Date: 2021-01-12
Venue: Phillip
Source: press:https://orientaldaily.on.cc/cnt/finance/20210113/00202_016.html — published closing quote 0.51, +27.5% vs offer; venue Phillip. GPT archive review, 4 October 2026.</t>
      </text>
    </comment>
    <comment ref="AK8" authorId="1" shapeId="0">
      <text>
        <t>Hang Seng Commerce &amp; Industry sub-index
Previous trading close to listing-day close (2021-01-13).
Benchmark return in percent; not the index level or excess return.</t>
      </text>
    </comment>
    <comment ref="AP8" authorId="1" shapeId="0">
      <text>
        <t>Horizon close: 2021-01-20
5/21/63 traded sessions after debut; price-only return vs offer.</t>
      </text>
    </comment>
    <comment ref="AQ8" authorId="1" shapeId="0">
      <text>
        <t>Horizon close: 2021-02-11
5/21/63 traded sessions after debut; price-only return vs offer.</t>
      </text>
    </comment>
    <comment ref="AR8" authorId="1" shapeId="0">
      <text>
        <t>Horizon close: 2021-04-19
5/21/63 traded sessions after debut; price-only return vs offer.</t>
      </text>
    </comment>
    <comment ref="AI9" authorId="0" shapeId="0">
      <text>
        <t>Close: HK$1.65
Date: 2021-01-12
Venue: Phillip
Source: press:https://orientaldaily.on.cc/cnt/finance/20210113/00202_016.html — published closing quote 1.65, -4.62% vs offer; venue Phillip. GPT archive review, 4 October 2026.</t>
      </text>
    </comment>
    <comment ref="AK9" authorId="1" shapeId="0">
      <text>
        <t>Hang Seng Commerce &amp; Industry sub-index
Previous trading close to listing-day close (2021-01-13).
Benchmark return in percent; not the index level or excess return.</t>
      </text>
    </comment>
    <comment ref="AP9" authorId="1" shapeId="0">
      <text>
        <t>Horizon close: 2021-01-20
5/21/63 traded sessions after debut; price-only return vs offer.</t>
      </text>
    </comment>
    <comment ref="AQ9" authorId="1" shapeId="0">
      <text>
        <t>Horizon close: 2021-02-11
5/21/63 traded sessions after debut; price-only return vs offer.</t>
      </text>
    </comment>
    <comment ref="AR9" authorId="1" shapeId="0">
      <text>
        <t>Horizon close: 2021-04-19
5/21/63 traded sessions after debut; price-only return vs offer.</t>
      </text>
    </comment>
    <comment ref="AI10" authorId="0" shapeId="0">
      <text>
        <t>Close: HK$1.39
Date: 2021-01-14
Venue: Futu
Source: press:https://www.tkww.hk/epaper/view/newsDetail/1349787899578683392.html — published closing quote 1.39, +17.8% vs offer; venue Futu. GPT archive review, 4 October 2026.</t>
      </text>
    </comment>
    <comment ref="AK10" authorId="1" shapeId="0">
      <text>
        <t>China Biotech ETF (HS biotech proxy)
Previous trading close to listing-day close (2021-01-15).
Benchmark return in percent; not the index level or excess return.</t>
      </text>
    </comment>
    <comment ref="AP10" authorId="1" shapeId="0">
      <text>
        <t>Horizon close: 2021-01-22
5/21/63 traded sessions after debut; price-only return vs offer.</t>
      </text>
    </comment>
    <comment ref="AQ10" authorId="1" shapeId="0">
      <text>
        <t>Horizon close: 2021-02-17
5/21/63 traded sessions after debut; price-only return vs offer.</t>
      </text>
    </comment>
    <comment ref="AR10" authorId="1" shapeId="0">
      <text>
        <t>Horizon close: 2021-04-21
5/21/63 traded sessions after debut; price-only return vs offer.</t>
      </text>
    </comment>
    <comment ref="AI11" authorId="0" shapeId="0">
      <text>
        <t>etnet's story of the session gave only the Phillip open (13.5, +0.3% vs offer) on 2021-01-14; no close was published</t>
      </text>
    </comment>
    <comment ref="AK11" authorId="1" shapeId="0">
      <text>
        <t>Hang Seng Properties sub-index
Previous trading close to listing-day close (2021-01-15).
Benchmark return in percent; not the index level or excess return.</t>
      </text>
    </comment>
    <comment ref="AP11" authorId="1" shapeId="0">
      <text>
        <t>Horizon close: 2021-01-22
5/21/63 traded sessions after debut; price-only return vs offer.</t>
      </text>
    </comment>
    <comment ref="AQ11" authorId="1" shapeId="0">
      <text>
        <t>Horizon close: 2021-02-17
5/21/63 traded sessions after debut; price-only return vs offer.</t>
      </text>
    </comment>
    <comment ref="AR11" authorId="1" shapeId="0">
      <text>
        <t>Horizon close: 2021-04-21
5/21/63 traded sessions after debut; price-only return vs offer.</t>
      </text>
    </comment>
    <comment ref="AI12" authorId="0" shapeId="0">
      <text>
        <t>Close: HK$7.71
Date: 2021-01-14
Venue: Futu
Source: press:https://www.tkww.hk/epaper/view/newsDetail/1349787899578683392.html — published closing quote 7.71, +31.12% vs offer; venue Futu. GPT archive review, 4 October 2026.</t>
      </text>
    </comment>
    <comment ref="AK12" authorId="1" shapeId="0">
      <text>
        <t>Hang Seng Index
Previous trading close to listing-day close (2021-01-15).
Benchmark return in percent; not the index level or excess return.</t>
      </text>
    </comment>
    <comment ref="AP12" authorId="1" shapeId="0">
      <text>
        <t>Horizon close: 2021-01-22
5/21/63 traded sessions after debut; price-only return vs offer.</t>
      </text>
    </comment>
    <comment ref="AQ12" authorId="1" shapeId="0">
      <text>
        <t>Horizon close: 2021-02-17
5/21/63 traded sessions after debut; price-only return vs offer.</t>
      </text>
    </comment>
    <comment ref="AR12" authorId="1" shapeId="0">
      <text>
        <t>Horizon close: 2021-04-21
5/21/63 traded sessions after debut; price-only return vs offer.</t>
      </text>
    </comment>
    <comment ref="AI13" authorId="0" shapeId="0">
      <text>
        <t>Close: HK$58.25
Date: 2021-01-14
Venue: Phillip (etnet news story)
Source: etnet:news https://www.etnet.com.hk/www/tc/stocks/ipo-news-article/20210114557/</t>
      </text>
    </comment>
    <comment ref="AK13" authorId="1" shapeId="0">
      <text>
        <t>China Biotech ETF (HS biotech proxy)
Previous trading close to listing-day close (2021-01-15).
Benchmark return in percent; not the index level or excess return.</t>
      </text>
    </comment>
    <comment ref="AP13" authorId="1" shapeId="0">
      <text>
        <t>Horizon close: 2021-01-22
5/21/63 traded sessions after debut; price-only return vs offer.</t>
      </text>
    </comment>
    <comment ref="AQ13" authorId="1" shapeId="0">
      <text>
        <t>Horizon close: 2021-02-17
5/21/63 traded sessions after debut; price-only return vs offer.</t>
      </text>
    </comment>
    <comment ref="AR13" authorId="1" shapeId="0">
      <text>
        <t>Horizon close: 2021-04-21
5/21/63 traded sessions after debut; price-only return vs offer.</t>
      </text>
    </comment>
    <comment ref="AI14" authorId="0" shapeId="0">
      <text>
        <t>Close: HK$1.83
Date: 2021-01-14
Venue: Futu
Source: press:https://www.tkww.hk/epaper/view/newsDetail/1349787899578683392.html — published closing quote 1.83, +48.8% vs offer; venue Futu. GPT archive review, 4 October 2026.</t>
      </text>
    </comment>
    <comment ref="AK14" authorId="1" shapeId="0">
      <text>
        <t>Hang Seng Index
Previous trading close to listing-day close (2021-01-15).
Benchmark return in percent; not the index level or excess return.</t>
      </text>
    </comment>
    <comment ref="AP14" authorId="1" shapeId="0">
      <text>
        <t>Horizon close: 2021-01-22
5/21/63 traded sessions after debut; price-only return vs offer.</t>
      </text>
    </comment>
    <comment ref="AQ14" authorId="1" shapeId="0">
      <text>
        <t>Horizon close: 2021-02-17
5/21/63 traded sessions after debut; price-only return vs offer.</t>
      </text>
    </comment>
    <comment ref="AR14" authorId="1" shapeId="0">
      <text>
        <t>Horizon close: 2021-04-21
5/21/63 traded sessions after debut; price-only return vs offer.</t>
      </text>
    </comment>
    <comment ref="AI15" authorId="0" shapeId="0">
      <text>
        <t>Close: HK$0.234
Date: 2021-01-15
Venue: Phillip
Source: press:https://www.edigest.hk/投資/狂撈制裁股-港股通周吸702億-騰訊中移佔逾半-231682/ — published closing quote 0.234, -6.4% vs offer; venue Phillip. GPT archive review, 4 October 2026.</t>
      </text>
    </comment>
    <comment ref="AK15" authorId="1" shapeId="0">
      <text>
        <t>Hang Seng Properties sub-index
Previous trading close to listing-day close (2021-01-18).
Benchmark return in percent; not the index level or excess return.</t>
      </text>
    </comment>
    <comment ref="AP15" authorId="1" shapeId="0">
      <text>
        <t>Horizon close: 2021-01-25
5/21/63 traded sessions after debut; price-only return vs offer.</t>
      </text>
    </comment>
    <comment ref="AQ15" authorId="1" shapeId="0">
      <text>
        <t>Horizon close: 2021-02-18
5/21/63 traded sessions after debut; price-only return vs offer.</t>
      </text>
    </comment>
    <comment ref="AR15" authorId="1" shapeId="0">
      <text>
        <t>Horizon close: 2021-04-22
5/21/63 traded sessions after debut; price-only return vs offer.</t>
      </text>
    </comment>
    <comment ref="AI16" authorId="0" shapeId="0">
      <text>
        <t>Close: HK$3.32
Date: 2021-01-18
Venue: Livermore
Source: press:https://finance.ifeng.com/c/83EZJ1mRCqd — Eddid broker report syndicated by Phoenix: Livermore closing quote HK$3.32, +10.67% versus HK$3 offer; GPT archive review 4 October 2026.</t>
      </text>
    </comment>
    <comment ref="AK16" authorId="1" shapeId="0">
      <text>
        <t>China Biotech ETF (HS biotech proxy)
Previous trading close to listing-day close (2021-01-19).
Benchmark return in percent; not the index level or excess return.</t>
      </text>
    </comment>
    <comment ref="AP16" authorId="1" shapeId="0">
      <text>
        <t>Horizon close: 2021-01-26
5/21/63 traded sessions after debut; price-only return vs offer.</t>
      </text>
    </comment>
    <comment ref="AQ16" authorId="1" shapeId="0">
      <text>
        <t>Horizon close: 2021-02-19
5/21/63 traded sessions after debut; price-only return vs offer.</t>
      </text>
    </comment>
    <comment ref="AR16" authorId="1" shapeId="0">
      <text>
        <t>Horizon close: 2021-04-23
5/21/63 traded sessions after debut; price-only return vs offer.</t>
      </text>
    </comment>
    <comment ref="AI17" authorId="0" shapeId="0">
      <text>
        <t>Close: HK$4.69
Date: 2021-01-25
Venue: Phillip (etnet news story)
Source: etnet:news https://www.etnet.com.hk/www/tc/stocks/ipo-news-article/20210125939/</t>
      </text>
    </comment>
    <comment ref="AK17" authorId="1" shapeId="0">
      <text>
        <t>Hang Seng Properties sub-index
Previous trading close to listing-day close (2021-01-26).
Benchmark return in percent; not the index level or excess return.</t>
      </text>
    </comment>
    <comment ref="AP17" authorId="1" shapeId="0">
      <text>
        <t>Horizon close: 2021-02-02
5/21/63 traded sessions after debut; price-only return vs offer.</t>
      </text>
    </comment>
    <comment ref="AQ17" authorId="1" shapeId="0">
      <text>
        <t>Horizon close: 2021-02-26
5/21/63 traded sessions after debut; price-only return vs offer.</t>
      </text>
    </comment>
    <comment ref="AR17" authorId="1" shapeId="0">
      <text>
        <t>Horizon close: 2021-04-30
5/21/63 traded sessions after debut; price-only return vs offer.</t>
      </text>
    </comment>
    <comment ref="AI18" authorId="0" shapeId="0">
      <text>
        <t>Close: HK$20.2
Date: 2021-02-03
Venue: Phillip (etnet news story)
Source: etnet:news https://www.etnet.com.hk/www/tc/stocks/ipo-news-article/20210203534/</t>
      </text>
    </comment>
    <comment ref="AK18" authorId="1" shapeId="0">
      <text>
        <t>China Biotech ETF (HS biotech proxy)
Previous trading close to listing-day close (2021-02-04).
Benchmark return in percent; not the index level or excess return.</t>
      </text>
    </comment>
    <comment ref="AP18" authorId="1" shapeId="0">
      <text>
        <t>Horizon close: 2021-02-11
5/21/63 traded sessions after debut; price-only return vs offer.</t>
      </text>
    </comment>
    <comment ref="AQ18" authorId="1" shapeId="0">
      <text>
        <t>Horizon close: 2021-03-09
5/21/63 traded sessions after debut; price-only return vs offer.</t>
      </text>
    </comment>
    <comment ref="AR18" authorId="1" shapeId="0">
      <text>
        <t>Horizon close: 2021-05-11
5/21/63 traded sessions after debut; price-only return vs offer.</t>
      </text>
    </comment>
    <comment ref="AI19" authorId="0" shapeId="0">
      <text>
        <t>Close: HK$1.37
Date: 2021-02-04
Venue: Phillip (etnet news story)
Source: etnet:news https://www.etnet.com.hk/www/tc/stocks/ipo-news-article/20210204600/</t>
      </text>
    </comment>
    <comment ref="AK19" authorId="1" shapeId="0">
      <text>
        <t>China Biotech ETF (HS biotech proxy)
Previous trading close to listing-day close (2021-02-05).
Benchmark return in percent; not the index level or excess return.</t>
      </text>
    </comment>
    <comment ref="AP19" authorId="1" shapeId="0">
      <text>
        <t>Horizon close: 2021-02-16
5/21/63 traded sessions after debut; price-only return vs offer.</t>
      </text>
    </comment>
    <comment ref="AQ19" authorId="1" shapeId="0">
      <text>
        <t>Horizon close: 2021-03-10
5/21/63 traded sessions after debut; price-only return vs offer.</t>
      </text>
    </comment>
    <comment ref="AR19" authorId="1" shapeId="0">
      <text>
        <t>Horizon close: 2021-05-12
5/21/63 traded sessions after debut; price-only return vs offer.</t>
      </text>
    </comment>
    <comment ref="AI20" authorId="0" shapeId="0">
      <text>
        <t>Close: HK$335.6
Date: 2021-02-04
Venue: Bright Smart (etnet news story)
Source: etnet:news https://www.etnet.com.hk/www/tc/stocks/ipo-news-article/20210204606/</t>
      </text>
    </comment>
    <comment ref="AK20" authorId="1" shapeId="0">
      <text>
        <t>HSTECH (Hang Seng TECH ETF)
Previous trading close to listing-day close (2021-02-05).
Benchmark return in percent; not the index level or excess return.</t>
      </text>
    </comment>
    <comment ref="AP20" authorId="1" shapeId="0">
      <text>
        <t>Horizon close: 2021-02-16
5/21/63 traded sessions after debut; price-only return vs offer.</t>
      </text>
    </comment>
    <comment ref="AQ20" authorId="1" shapeId="0">
      <text>
        <t>Horizon close: 2021-03-10
5/21/63 traded sessions after debut; price-only return vs offer.</t>
      </text>
    </comment>
    <comment ref="AR20" authorId="1" shapeId="0">
      <text>
        <t>Horizon close: 2021-05-12
5/21/63 traded sessions after debut; price-only return vs offer.</t>
      </text>
    </comment>
    <comment ref="AI21" authorId="0" shapeId="0">
      <text>
        <t>Close: HK$31.95
Date: 2021-02-05
Venue: broker report; venue not stated
Source: press:https://www.swhyhk.com/storage/app/media/research/equities/申萬宏源香港財經早報2021.02.08.pdf — published closing quote 31.95, +16.78% vs offer; venue broker report; venue not stated. GPT archive review, 4 October 2026.</t>
      </text>
    </comment>
    <comment ref="AK21" authorId="1" shapeId="0">
      <text>
        <t>China Biotech ETF (HS biotech proxy)
Previous trading close to listing-day close (2021-02-08).
Benchmark return in percent; not the index level or excess return.</t>
      </text>
    </comment>
    <comment ref="AP21" authorId="1" shapeId="0">
      <text>
        <t>Horizon close: 2021-02-17
5/21/63 traded sessions after debut; price-only return vs offer.</t>
      </text>
    </comment>
    <comment ref="AQ21" authorId="1" shapeId="0">
      <text>
        <t>Horizon close: 2021-03-11
5/21/63 traded sessions after debut; price-only return vs offer.</t>
      </text>
    </comment>
    <comment ref="AR21" authorId="1" shapeId="0">
      <text>
        <t>Horizon close: 2021-05-13
5/21/63 traded sessions after debut; price-only return vs offer.</t>
      </text>
    </comment>
    <comment ref="AI22" authorId="0" shapeId="0">
      <text>
        <t>Close: HK$0.63
Date: 2021-02-18
Venue: Phillip
Source: press:https://orientaldaily.on.cc/cnt/finance/20210219/mobile/odn-20210219-0219_00202_009.html — published closing quote 0.63, +12.5% vs offer; venue Phillip. GPT archive review, 4 October 2026.</t>
      </text>
    </comment>
    <comment ref="AK22" authorId="1" shapeId="0">
      <text>
        <t>HSTECH (Hang Seng TECH ETF)
Previous trading close to listing-day close (2021-02-19).
Benchmark return in percent; not the index level or excess return.</t>
      </text>
    </comment>
    <comment ref="AP22" authorId="1" shapeId="0">
      <text>
        <t>Horizon close: 2021-02-26
5/21/63 traded sessions after debut; price-only return vs offer.</t>
      </text>
    </comment>
    <comment ref="AQ22" authorId="1" shapeId="0">
      <text>
        <t>Horizon close: 2021-03-22
5/21/63 traded sessions after debut; price-only return vs offer.</t>
      </text>
    </comment>
    <comment ref="AR22" authorId="1" shapeId="0">
      <text>
        <t>Horizon close: 2021-05-25
5/21/63 traded sessions after debut; price-only return vs offer.</t>
      </text>
    </comment>
    <comment ref="AI23" authorId="0" shapeId="0">
      <text>
        <t>Close: HK$145
Date: 2021-02-25
Venue: Phillip
Source: press:https://collection.news/appledaily/articles/RC6LGF2S7FC7VOFFRPMHZQYSGE — published closing quote 145, -3.97% vs offer; venue Phillip. GPT archive review, 4 October 2026.</t>
      </text>
    </comment>
    <comment ref="AK23" authorId="1" shapeId="0">
      <text>
        <t>China Biotech ETF (HS biotech proxy)
Previous trading close to listing-day close (2021-02-26).
Benchmark return in percent; not the index level or excess return.</t>
      </text>
    </comment>
    <comment ref="AP23" authorId="1" shapeId="0">
      <text>
        <t>Horizon close: 2021-03-05
5/21/63 traded sessions after debut; price-only return vs offer.</t>
      </text>
    </comment>
    <comment ref="AQ23" authorId="1" shapeId="0">
      <text>
        <t>Horizon close: 2021-03-29
5/21/63 traded sessions after debut; price-only return vs offer.</t>
      </text>
    </comment>
    <comment ref="AR23" authorId="1" shapeId="0">
      <text>
        <t>Horizon close: 2021-06-01
5/21/63 traded sessions after debut; price-only return vs offer.</t>
      </text>
    </comment>
    <comment ref="AI24" authorId="0" shapeId="0">
      <text>
        <t>Close: HK$7.36
Date: 2021-03-09
Venue: Phillip (etnet news story)
Source: etnet:news https://www.etnet.com.hk/www/tc/stocks/ipo-news-article/20210309537/</t>
      </text>
    </comment>
    <comment ref="AK24" authorId="1" shapeId="0">
      <text>
        <t>Hang Seng Commerce &amp; Industry sub-index
Previous trading close to listing-day close (2021-03-10).
Benchmark return in percent; not the index level or excess return.</t>
      </text>
    </comment>
    <comment ref="AP24" authorId="1" shapeId="0">
      <text>
        <t>Horizon close: 2021-03-17
5/21/63 traded sessions after debut; price-only return vs offer.</t>
      </text>
    </comment>
    <comment ref="AQ24" authorId="1" shapeId="0">
      <text>
        <t>Horizon close: 2021-04-13
5/21/63 traded sessions after debut; price-only return vs offer.</t>
      </text>
    </comment>
    <comment ref="AR24" authorId="1" shapeId="0">
      <text>
        <t>Horizon close: 2021-06-11
5/21/63 traded sessions after debut; price-only return vs offer.</t>
      </text>
    </comment>
    <comment ref="AI25" authorId="0" shapeId="0">
      <text>
        <t>Close: HK$0.56
Date: 2021-03-10
Venue: Phillip
Source: press:https://www.am730.com.hk/article/161490 — published closing quote 0.56, +3.7% vs offer; venue Phillip. GPT archive review, 4 October 2026.</t>
      </text>
    </comment>
    <comment ref="AK25" authorId="1" shapeId="0">
      <text>
        <t>Hang Seng Commerce &amp; Industry sub-index
Previous trading close to listing-day close (2021-03-11).
Benchmark return in percent; not the index level or excess return.</t>
      </text>
    </comment>
    <comment ref="AP25" authorId="1" shapeId="0">
      <text>
        <t>Horizon close: 2021-03-18
5/21/63 traded sessions after debut; price-only return vs offer.</t>
      </text>
    </comment>
    <comment ref="AQ25" authorId="1" shapeId="0">
      <text>
        <t>Horizon close: 2021-04-14
5/21/63 traded sessions after debut; price-only return vs offer.</t>
      </text>
    </comment>
    <comment ref="AR25" authorId="1" shapeId="0">
      <text>
        <t>Horizon close: 2021-06-15
5/21/63 traded sessions after debut; price-only return vs offer.</t>
      </text>
    </comment>
    <comment ref="AI26" authorId="0" shapeId="0">
      <text>
        <t>Close: HK$188.5
Date: 2021-03-12
Venue: Phillip
Source: press:https://orientaldaily.on.cc/content/產經/odn-20210313-0313_00202_006/汽車之家暗盤漲-「頂頭槌飛」賺182萬 — published closing quote 188.5, +6.92% vs offer; venue Phillip. GPT archive review, 4 October 2026.</t>
      </text>
    </comment>
    <comment ref="AK26" authorId="1" shapeId="0">
      <text>
        <t>HSTECH (Hang Seng TECH ETF)
Previous trading close to listing-day close (2021-03-15).
Benchmark return in percent; not the index level or excess return.</t>
      </text>
    </comment>
    <comment ref="AP26" authorId="1" shapeId="0">
      <text>
        <t>Horizon close: 2021-03-22
5/21/63 traded sessions after debut; price-only return vs offer.</t>
      </text>
    </comment>
    <comment ref="AQ26" authorId="1" shapeId="0">
      <text>
        <t>Horizon close: 2021-04-16
5/21/63 traded sessions after debut; price-only return vs offer.</t>
      </text>
    </comment>
    <comment ref="AR26" authorId="1" shapeId="0">
      <text>
        <t>Horizon close: 2021-06-17
5/21/63 traded sessions after debut; price-only return vs offer.</t>
      </text>
    </comment>
    <comment ref="AI27" authorId="0" shapeId="0">
      <text>
        <t>Close: HK$0.75
Date: 2021-03-15
Venue: Phillip
Source: press:https://orientaldaily.on.cc/cnt/finance/20210317/00202_009.html — published closing quote 0.75, +0% vs offer; venue Phillip. GPT archive review, 4 October 2026.</t>
      </text>
    </comment>
    <comment ref="AK27" authorId="1" shapeId="0">
      <text>
        <t>Hang Seng Commerce &amp; Industry sub-index
Previous trading close to listing-day close (2021-03-16).
Benchmark return in percent; not the index level or excess return.</t>
      </text>
    </comment>
    <comment ref="AP27" authorId="1" shapeId="0">
      <text>
        <t>Horizon close: 2021-03-23
5/21/63 traded sessions after debut; price-only return vs offer.</t>
      </text>
    </comment>
    <comment ref="AQ27" authorId="1" shapeId="0">
      <text>
        <t>Horizon close: 2021-04-19
5/21/63 traded sessions after debut; price-only return vs offer.</t>
      </text>
    </comment>
    <comment ref="AR27" authorId="1" shapeId="0">
      <text>
        <t>Horizon close: 2021-06-18
5/21/63 traded sessions after debut; price-only return vs offer.</t>
      </text>
    </comment>
    <comment ref="AI28" authorId="0" shapeId="0">
      <text>
        <t>Close: HK$254.8
Date: 2021-03-22
Venue: Phillip (etnet news story)
Source: etnet:news https://www.etnet.com.hk/www/tc/stocks/ipo-news-article/20210322536/</t>
      </text>
    </comment>
    <comment ref="AK28" authorId="1" shapeId="0">
      <text>
        <t>HSTECH (Hang Seng TECH ETF)
Previous trading close to listing-day close (2021-03-23).
Benchmark return in percent; not the index level or excess return.</t>
      </text>
    </comment>
    <comment ref="AP28" authorId="1" shapeId="0">
      <text>
        <t>Horizon close: 2021-03-30
5/21/63 traded sessions after debut; price-only return vs offer.</t>
      </text>
    </comment>
    <comment ref="AQ28" authorId="1" shapeId="0">
      <text>
        <t>Horizon close: 2021-04-26
5/21/63 traded sessions after debut; price-only return vs offer.</t>
      </text>
    </comment>
    <comment ref="AR28" authorId="1" shapeId="0">
      <text>
        <t>Horizon close: 2021-06-25
5/21/63 traded sessions after debut; price-only return vs offer.</t>
      </text>
    </comment>
    <comment ref="AI29" authorId="0" shapeId="0">
      <text>
        <t>Close: HK$1.56
Date: 2021-03-25
Venue: broker report; venue not stated
Source: press:https://www.swhyhk.com/storage/app/media/research/equities/2021/_2021.03.26.pdf — published closing quote 1.56, +4% vs offer; venue broker report; venue not stated. GPT archive review, 4 October 2026.</t>
      </text>
    </comment>
    <comment ref="AK29" authorId="1" shapeId="0">
      <text>
        <t>Hang Seng Commerce &amp; Industry sub-index
Previous trading close to listing-day close (2021-03-26).
Benchmark return in percent; not the index level or excess return.</t>
      </text>
    </comment>
    <comment ref="AP29" authorId="1" shapeId="0">
      <text>
        <t>Horizon close: 2021-04-07
5/21/63 traded sessions after debut; price-only return vs offer.</t>
      </text>
    </comment>
    <comment ref="AQ29" authorId="1" shapeId="0">
      <text>
        <t>Horizon close: 2021-04-29
5/21/63 traded sessions after debut; price-only return vs offer.</t>
      </text>
    </comment>
    <comment ref="AR29" authorId="1" shapeId="0">
      <text>
        <t>Horizon close: 2021-06-30
5/21/63 traded sessions after debut; price-only return vs offer.</t>
      </text>
    </comment>
    <comment ref="AI30" authorId="0" shapeId="0">
      <text>
        <t>Close: HK$755
Date: 2021-03-26
Venue: Phillip (etnet news story)
Source: etnet:news https://www.etnet.com.hk/www/tc/stocks/ipo-news-article/20210326529/</t>
      </text>
    </comment>
    <comment ref="AK30" authorId="1" shapeId="0">
      <text>
        <t>HSTECH (Hang Seng TECH ETF)
Previous trading close to listing-day close (2021-03-29).
Benchmark return in percent; not the index level or excess return.</t>
      </text>
    </comment>
    <comment ref="AP30" authorId="1" shapeId="0">
      <text>
        <t>Horizon close: 2021-04-08
5/21/63 traded sessions after debut; price-only return vs offer.</t>
      </text>
    </comment>
    <comment ref="AQ30" authorId="1" shapeId="0">
      <text>
        <t>Horizon close: 2021-04-30
5/21/63 traded sessions after debut; price-only return vs offer.</t>
      </text>
    </comment>
    <comment ref="AR30" authorId="1" shapeId="0">
      <text>
        <t>Horizon close: 2021-07-02
5/21/63 traded sessions after debut; price-only return vs offer.</t>
      </text>
    </comment>
    <comment ref="AI31" authorId="0" shapeId="0">
      <text>
        <t>Close: HK$1.34
Date: 2021-03-30
Venue: Bright Smart
Source: press:https://stock360.hkej.com/stockConnect/dealerReportDetail/2753902 — published closing quote 1.34, +6.35% vs offer; venue Bright Smart. GPT archive review, 4 October 2026.</t>
      </text>
    </comment>
    <comment ref="AK31" authorId="1" shapeId="0">
      <text>
        <t>HSTECH (Hang Seng TECH ETF)
Previous trading close to listing-day close (2021-03-31).
Benchmark return in percent; not the index level or excess return.</t>
      </text>
    </comment>
    <comment ref="AP31" authorId="1" shapeId="0">
      <text>
        <t>Horizon close: 2021-04-12
5/21/63 traded sessions after debut; price-only return vs offer.</t>
      </text>
    </comment>
    <comment ref="AQ31" authorId="1" shapeId="0">
      <text>
        <t>Horizon close: 2021-05-04
5/21/63 traded sessions after debut; price-only return vs offer.</t>
      </text>
    </comment>
    <comment ref="AR31" authorId="1" shapeId="0">
      <text>
        <t>Horizon close: 2021-07-06
5/21/63 traded sessions after debut; price-only return vs offer.</t>
      </text>
    </comment>
    <comment ref="AI32" authorId="0" shapeId="0">
      <text>
        <t>Close: HK$29.5
Date: 2021-03-30
Venue: Bright Smart
Source: press:https://stock360.hkej.com/stockConnect/dealerReportDetail/2753902 — published closing quote 29.5, -7.23% vs offer; venue Bright Smart. GPT archive review, 4 October 2026.</t>
      </text>
    </comment>
    <comment ref="AK32" authorId="1" shapeId="0">
      <text>
        <t>HSTECH (Hang Seng TECH ETF)
Previous trading close to listing-day close (2021-03-31).
Benchmark return in percent; not the index level or excess return.</t>
      </text>
    </comment>
    <comment ref="AP32" authorId="1" shapeId="0">
      <text>
        <t>Horizon close: 2021-04-12
5/21/63 traded sessions after debut; price-only return vs offer.</t>
      </text>
    </comment>
    <comment ref="AQ32" authorId="1" shapeId="0">
      <text>
        <t>Horizon close: 2021-05-04
5/21/63 traded sessions after debut; price-only return vs offer.</t>
      </text>
    </comment>
    <comment ref="AR32" authorId="1" shapeId="0">
      <text>
        <t>Horizon close: 2021-07-06
5/21/63 traded sessions after debut; price-only return vs offer.</t>
      </text>
    </comment>
    <comment ref="AI33" authorId="0" shapeId="0">
      <text>
        <t>Close: HK$0.395
Date: 2021-03-30
Venue: Phillip
Source: press:https://www.aastocks.com/tc/stocks/analysis/stock-aafn-con/02195/AAFN/NOW.1087877/hk-stock-news — published closing quote 0.395, -29.46% vs offer; venue Phillip. GPT archive review, 4 October 2026.</t>
      </text>
    </comment>
    <comment ref="AK33" authorId="1" shapeId="0">
      <text>
        <t>Hang Seng Commerce &amp; Industry sub-index
Previous trading close to listing-day close (2021-03-31).
Benchmark return in percent; not the index level or excess return.</t>
      </text>
    </comment>
    <comment ref="AP33" authorId="1" shapeId="0">
      <text>
        <t>Horizon close: 2021-04-12
5/21/63 traded sessions after debut; price-only return vs offer.</t>
      </text>
    </comment>
    <comment ref="AQ33" authorId="1" shapeId="0">
      <text>
        <t>Horizon close: 2021-05-04
5/21/63 traded sessions after debut; price-only return vs offer.</t>
      </text>
    </comment>
    <comment ref="AR33" authorId="1" shapeId="0">
      <text>
        <t>Horizon close: 2021-07-06
5/21/63 traded sessions after debut; price-only return vs offer.</t>
      </text>
    </comment>
    <comment ref="AI34" authorId="0" shapeId="0">
      <text>
        <t>Close: HK$18.28
Date: 2021-04-08
Venue: Phillip
Source: press:https://www.am730.com.hk/article/164627 — published closing quote 18.28, +4% vs offer; venue Phillip. GPT archive review, 4 October 2026.</t>
      </text>
    </comment>
    <comment ref="AK34" authorId="1" shapeId="0">
      <text>
        <t>HSTECH (Hang Seng TECH ETF)
Previous trading close to listing-day close (2021-04-09).
Benchmark return in percent; not the index level or excess return.</t>
      </text>
    </comment>
    <comment ref="AP34" authorId="1" shapeId="0">
      <text>
        <t>Horizon close: 2021-04-16
5/21/63 traded sessions after debut; price-only return vs offer.</t>
      </text>
    </comment>
    <comment ref="AQ34" authorId="1" shapeId="0">
      <text>
        <t>Horizon close: 2021-05-10
5/21/63 traded sessions after debut; price-only return vs offer.</t>
      </text>
    </comment>
    <comment ref="AR34" authorId="1" shapeId="0">
      <text>
        <t>Horizon close: 2021-07-12
5/21/63 traded sessions after debut; price-only return vs offer.</t>
      </text>
    </comment>
    <comment ref="AI35" authorId="0" shapeId="0">
      <text>
        <t>Close: HK$278
Date: 2021-04-16
Venue: Phillip (etnet news story)
Source: etnet:news https://www.etnet.com.hk/www/tc/stocks/ipo-news-article/20210416538/</t>
      </text>
    </comment>
    <comment ref="AK35" authorId="1" shapeId="0">
      <text>
        <t>HSTECH (Hang Seng TECH ETF)
Previous trading close to listing-day close (2021-04-19).
Benchmark return in percent; not the index level or excess return.</t>
      </text>
    </comment>
    <comment ref="AP35" authorId="1" shapeId="0">
      <text>
        <t>Horizon close: 2021-04-26
5/21/63 traded sessions after debut; price-only return vs offer.</t>
      </text>
    </comment>
    <comment ref="AQ35" authorId="1" shapeId="0">
      <text>
        <t>Horizon close: 2021-05-18
5/21/63 traded sessions after debut; price-only return vs offer.</t>
      </text>
    </comment>
    <comment ref="AR35" authorId="1" shapeId="0">
      <text>
        <t>Horizon close: 2021-07-20
5/21/63 traded sessions after debut; price-only return vs offer.</t>
      </text>
    </comment>
    <comment ref="AI36" authorId="0" shapeId="0">
      <text>
        <t>Close: HK$15.82
Date: 2021-04-28
Venue: Phillip
Source: press:https://www.singtao.ca/googleamp/amp.php?cat=61&amp;post_id=4909987&amp;region=toronto_sg — published closing quote 15.82, -5.8% vs offer; venue Phillip. GPT archive review, 4 October 2026.</t>
      </text>
    </comment>
    <comment ref="AK36" authorId="1" shapeId="0">
      <text>
        <t>China Biotech ETF (HS biotech proxy)
Previous trading close to listing-day close (2021-04-29).
Benchmark return in percent; not the index level or excess return.</t>
      </text>
    </comment>
    <comment ref="AP36" authorId="1" shapeId="0">
      <text>
        <t>Horizon close: 2021-05-06
5/21/63 traded sessions after debut; price-only return vs offer.</t>
      </text>
    </comment>
    <comment ref="AQ36" authorId="1" shapeId="0">
      <text>
        <t>Horizon close: 2021-05-31
5/21/63 traded sessions after debut; price-only return vs offer.</t>
      </text>
    </comment>
    <comment ref="AR36" authorId="1" shapeId="0">
      <text>
        <t>Horizon close: 2021-07-30
5/21/63 traded sessions after debut; price-only return vs offer.</t>
      </text>
    </comment>
    <comment ref="AI37" authorId="0" shapeId="0">
      <text>
        <t>Close: HK$4.94
Date: 2021-05-14
Venue: Phillip (etnet news story)
Source: etnet:news https://www.etnet.com.hk/www/tc/stocks/ipo-news-article/20210514609/</t>
      </text>
    </comment>
    <comment ref="AK37" authorId="1" shapeId="0">
      <text>
        <t>Hang Seng Properties sub-index
Previous trading close to listing-day close (2021-05-17).
Benchmark return in percent; not the index level or excess return.</t>
      </text>
    </comment>
    <comment ref="AP37" authorId="1" shapeId="0">
      <text>
        <t>Horizon close: 2021-05-25
5/21/63 traded sessions after debut; price-only return vs offer.</t>
      </text>
    </comment>
    <comment ref="AQ37" authorId="1" shapeId="0">
      <text>
        <t>Horizon close: 2021-06-17
5/21/63 traded sessions after debut; price-only return vs offer.</t>
      </text>
    </comment>
    <comment ref="AR37" authorId="1" shapeId="0">
      <text>
        <t>Horizon close: 2021-08-17
5/21/63 traded sessions after debut; price-only return vs offer.</t>
      </text>
    </comment>
    <comment ref="AI38" authorId="0" shapeId="0">
      <text>
        <t>Close: HK$3.68
Date: 2021-05-24
Venue: Phillip
Source: press:https://www.wenweipo.com/a/202105/25/AP60ac0db1e4b0a46dabeb883c.html — published closing quote 3.68, -3.2% vs offer; venue Phillip. GPT archive review, 4 October 2026.</t>
      </text>
    </comment>
    <comment ref="AK38" authorId="1" shapeId="0">
      <text>
        <t>Hang Seng Properties sub-index
Previous trading close to listing-day close (2021-05-25).
Benchmark return in percent; not the index level or excess return.</t>
      </text>
    </comment>
    <comment ref="AP38" authorId="1" shapeId="0">
      <text>
        <t>Horizon close: 2021-06-01
5/21/63 traded sessions after debut; price-only return vs offer.</t>
      </text>
    </comment>
    <comment ref="AQ38" authorId="1" shapeId="0">
      <text>
        <t>Horizon close: 2021-06-24
5/21/63 traded sessions after debut; price-only return vs offer.</t>
      </text>
    </comment>
    <comment ref="AR38" authorId="1" shapeId="0">
      <text>
        <t>Horizon close: 2021-08-24
5/21/63 traded sessions after debut; price-only return vs offer.</t>
      </text>
    </comment>
    <comment ref="AI39" authorId="0" shapeId="0">
      <text>
        <t>Close: HK$48.55
Date: 2021-05-27
Venue: Phillip (etnet news story)
Source: etnet:news https://www.etnet.com.hk/www/tc/stocks/ipo-news-article/20210527575/</t>
      </text>
    </comment>
    <comment ref="AK39" authorId="1" shapeId="0">
      <text>
        <t>Hang Seng Commerce &amp; Industry sub-index
Previous trading close to listing-day close (2021-05-28).
Benchmark return in percent; not the index level or excess return.</t>
      </text>
    </comment>
    <comment ref="AP39" authorId="1" shapeId="0">
      <text>
        <t>Horizon close: 2021-06-04
5/21/63 traded sessions after debut; price-only return vs offer.</t>
      </text>
    </comment>
    <comment ref="AQ39" authorId="1" shapeId="0">
      <text>
        <t>Horizon close: 2021-06-29
5/21/63 traded sessions after debut; price-only return vs offer.</t>
      </text>
    </comment>
    <comment ref="AR39" authorId="1" shapeId="0">
      <text>
        <t>Horizon close: 2021-08-27
5/21/63 traded sessions after debut; price-only return vs offer.</t>
      </text>
    </comment>
    <comment ref="AI40" authorId="0" shapeId="0">
      <text>
        <t>Close: HK$2.58
Date: 2021-05-28
Venue: Futu (富途)
Source: press:HKET 中原建業9982暗盤跌逾一成 (2021-05-28): 富途收報2.58元，較上市價3元低14%; 輝立/耀才2.60</t>
      </text>
    </comment>
    <comment ref="AK40" authorId="1" shapeId="0">
      <text>
        <t>Hang Seng Properties sub-index
Previous trading close to listing-day close (2021-05-31).
Benchmark return in percent; not the index level or excess return.</t>
      </text>
    </comment>
    <comment ref="AP40" authorId="1" shapeId="0">
      <text>
        <t>Horizon close: 2021-06-07
5/21/63 traded sessions after debut; price-only return vs offer.</t>
      </text>
    </comment>
    <comment ref="AQ40" authorId="1" shapeId="0">
      <text>
        <t>Horizon close: 2021-06-30
5/21/63 traded sessions after debut; price-only return vs offer.</t>
      </text>
    </comment>
    <comment ref="AR40" authorId="1" shapeId="0">
      <text>
        <t>Horizon close: 2021-08-30
5/21/63 traded sessions after debut; price-only return vs offer.</t>
      </text>
    </comment>
    <comment ref="AI41" authorId="0" shapeId="0">
      <text>
        <t>Close: HK$368.6
Date: 2021-06-15
Venue: Phillip (etnet news story)
Source: etnet:news https://www.etnet.com.hk/www/tc/stocks/ipo-news-article/20210615939/</t>
      </text>
    </comment>
    <comment ref="AK41" authorId="1" shapeId="0">
      <text>
        <t>China Biotech ETF (HS biotech proxy)
Previous trading close to listing-day close (2021-06-16).
Benchmark return in percent; not the index level or excess return.</t>
      </text>
    </comment>
    <comment ref="AP41" authorId="1" shapeId="0">
      <text>
        <t>Horizon close: 2021-06-23
5/21/63 traded sessions after debut; price-only return vs offer.</t>
      </text>
    </comment>
    <comment ref="AQ41" authorId="1" shapeId="0">
      <text>
        <t>Horizon close: 2021-07-16
5/21/63 traded sessions after debut; price-only return vs offer.</t>
      </text>
    </comment>
    <comment ref="AR41" authorId="1" shapeId="0">
      <text>
        <t>Horizon close: 2021-09-14
5/21/63 traded sessions after debut; price-only return vs offer.</t>
      </text>
    </comment>
    <comment ref="AI42" authorId="0" shapeId="0">
      <text>
        <t>Close: HK$27.55
Date: 2021-06-17
Venue: Phillip
Source: press:https://www.am730.com.hk/財經/科濟優然今首掛-暗盤齊破底-一手1萬入場-奈雪的茶招股/172327 — published closing quote 27.55, -16% vs offer; venue Phillip. GPT archive review, 4 October 2026.</t>
      </text>
    </comment>
    <comment ref="AK42" authorId="1" shapeId="0">
      <text>
        <t>China Biotech ETF (HS biotech proxy)
Previous trading close to listing-day close (2021-06-18).
Benchmark return in percent; not the index level or excess return.</t>
      </text>
    </comment>
    <comment ref="AP42" authorId="1" shapeId="0">
      <text>
        <t>Horizon close: 2021-06-25
5/21/63 traded sessions after debut; price-only return vs offer.</t>
      </text>
    </comment>
    <comment ref="AQ42" authorId="1" shapeId="0">
      <text>
        <t>Horizon close: 2021-07-20
5/21/63 traded sessions after debut; price-only return vs offer.</t>
      </text>
    </comment>
    <comment ref="AR42" authorId="1" shapeId="0">
      <text>
        <t>Horizon close: 2021-09-16
5/21/63 traded sessions after debut; price-only return vs offer.</t>
      </text>
    </comment>
    <comment ref="AI43" authorId="0" shapeId="0">
      <text>
        <t>Close: HK$6.4
Date: 2021-06-17
Venue: Phillip
Source: press:https://www.am730.com.hk/財經/科濟優然今首掛-暗盤齊破底-一手1萬入場-奈雪的茶招股/172327 — published closing quote 6.4, -8.3% vs offer; venue Phillip. GPT archive review, 4 October 2026.</t>
      </text>
    </comment>
    <comment ref="AK43" authorId="1" shapeId="0">
      <text>
        <t>Hang Seng Commerce &amp; Industry sub-index
Previous trading close to listing-day close (2021-06-18).
Benchmark return in percent; not the index level or excess return.</t>
      </text>
    </comment>
    <comment ref="AP43" authorId="1" shapeId="0">
      <text>
        <t>Horizon close: 2021-06-25
5/21/63 traded sessions after debut; price-only return vs offer.</t>
      </text>
    </comment>
    <comment ref="AQ43" authorId="1" shapeId="0">
      <text>
        <t>Horizon close: 2021-07-20
5/21/63 traded sessions after debut; price-only return vs offer.</t>
      </text>
    </comment>
    <comment ref="AR43" authorId="1" shapeId="0">
      <text>
        <t>Horizon close: 2021-09-16
5/21/63 traded sessions after debut; price-only return vs offer.</t>
      </text>
    </comment>
    <comment ref="AI44" authorId="0" shapeId="0">
      <text>
        <t>Close: HK$4
Date: 2021-06-25
Venue: Futu
Source: press:https://www.stheadline.com/opinion/3481130/超購千倍凍3080億-歸創通橋招股熱爆 — published closing quote 4, +61% vs offer; venue Futu. GPT archive review, 4 October 2026.</t>
      </text>
    </comment>
    <comment ref="AK44" authorId="1" shapeId="0">
      <text>
        <t>Hang Seng Commerce &amp; Industry sub-index
Previous trading close to listing-day close (2021-06-28).
Benchmark return in percent; not the index level or excess return.</t>
      </text>
    </comment>
    <comment ref="AP44" authorId="1" shapeId="0">
      <text>
        <t>Horizon close: 2021-07-06
5/21/63 traded sessions after debut; price-only return vs offer.</t>
      </text>
    </comment>
    <comment ref="AQ44" authorId="1" shapeId="0">
      <text>
        <t>Horizon close: 2021-07-28
5/21/63 traded sessions after debut; price-only return vs offer.</t>
      </text>
    </comment>
    <comment ref="AR44" authorId="1" shapeId="0">
      <text>
        <t>Horizon close: 2021-09-27
5/21/63 traded sessions after debut; price-only return vs offer.</t>
      </text>
    </comment>
    <comment ref="AI45" authorId="0" shapeId="0">
      <text>
        <t>Close: HK$4.9
Date: 2021-06-25
Venue: Futu
Source: press:https://www.stheadline.com/opinion/3481130/超購千倍凍3080億-歸創通橋招股熱爆 — published closing quote 4.9, +0.41% vs offer; venue Futu. GPT archive review, 4 October 2026.</t>
      </text>
    </comment>
    <comment ref="AK45" authorId="1" shapeId="0">
      <text>
        <t>Hang Seng Properties sub-index
Previous trading close to listing-day close (2021-06-28).
Benchmark return in percent; not the index level or excess return.</t>
      </text>
    </comment>
    <comment ref="AP45" authorId="1" shapeId="0">
      <text>
        <t>Horizon close: 2021-07-06
5/21/63 traded sessions after debut; price-only return vs offer.</t>
      </text>
    </comment>
    <comment ref="AQ45" authorId="1" shapeId="0">
      <text>
        <t>Horizon close: 2021-07-28
5/21/63 traded sessions after debut; price-only return vs offer.</t>
      </text>
    </comment>
    <comment ref="AR45" authorId="1" shapeId="0">
      <text>
        <t>Horizon close: 2021-09-27
5/21/63 traded sessions after debut; price-only return vs offer.</t>
      </text>
    </comment>
    <comment ref="AI46" authorId="0" shapeId="0">
      <text>
        <t>Close: HK$50.1
Date: 2021-06-29
Venue: Phillip (etnet news story)
Source: etnet:news https://www.etnet.com.hk/www/tc/stocks/ipo-news-article/20210629933/</t>
      </text>
    </comment>
    <comment ref="AK46" authorId="1" shapeId="0">
      <text>
        <t>China Biotech ETF (HS biotech proxy)
Previous trading close to listing-day close (2021-06-30).
Benchmark return in percent; not the index level or excess return.</t>
      </text>
    </comment>
    <comment ref="AP46" authorId="1" shapeId="0">
      <text>
        <t>Horizon close: 2021-07-08
5/21/63 traded sessions after debut; price-only return vs offer.</t>
      </text>
    </comment>
    <comment ref="AQ46" authorId="1" shapeId="0">
      <text>
        <t>Horizon close: 2021-07-30
5/21/63 traded sessions after debut; price-only return vs offer.</t>
      </text>
    </comment>
    <comment ref="AR46" authorId="1" shapeId="0">
      <text>
        <t>Horizon close: 2021-09-29
5/21/63 traded sessions after debut; price-only return vs offer.</t>
      </text>
    </comment>
    <comment ref="AI47" authorId="0" shapeId="0">
      <text>
        <t>Close: HK$19.54
Date: 2021-06-29
Venue: Phillip (etnet news story)
Source: etnet:news https://www.etnet.com.hk/www/tc/stocks/ipo-news-article/20210629934/</t>
      </text>
    </comment>
    <comment ref="AK47" authorId="1" shapeId="0">
      <text>
        <t>Hang Seng Commerce &amp; Industry sub-index
Previous trading close to listing-day close (2021-06-30).
Benchmark return in percent; not the index level or excess return.</t>
      </text>
    </comment>
    <comment ref="AP47" authorId="1" shapeId="0">
      <text>
        <t>Horizon close: 2021-07-08
5/21/63 traded sessions after debut; price-only return vs offer.</t>
      </text>
    </comment>
    <comment ref="AQ47" authorId="1" shapeId="0">
      <text>
        <t>Horizon close: 2021-07-30
5/21/63 traded sessions after debut; price-only return vs offer.</t>
      </text>
    </comment>
    <comment ref="AR47" authorId="1" shapeId="0">
      <text>
        <t>Horizon close: 2021-09-29
5/21/63 traded sessions after debut; price-only return vs offer.</t>
      </text>
    </comment>
    <comment ref="AI48" authorId="0" shapeId="0">
      <text>
        <t>Close: HK$3.92
Date: 2021-06-30
Venue: Phillip
Source: press:https://www.aastocks.com/tc/stocks/analysis/stock-aafn-con/00606/AAFN/NOW.1109358/hk-stock-news — published closing quote 3.92, +5.9% vs offer; venue Phillip. GPT archive review, 4 October 2026.</t>
      </text>
    </comment>
    <comment ref="AK48" authorId="1" shapeId="0">
      <text>
        <t>Hang Seng Properties sub-index
Previous trading close to listing-day close (2021-07-02).
Benchmark return in percent; not the index level or excess return.</t>
      </text>
    </comment>
    <comment ref="AP48" authorId="1" shapeId="0">
      <text>
        <t>Horizon close: 2021-07-09
5/21/63 traded sessions after debut; price-only return vs offer.</t>
      </text>
    </comment>
    <comment ref="AQ48" authorId="1" shapeId="0">
      <text>
        <t>Horizon close: 2021-08-02
5/21/63 traded sessions after debut; price-only return vs offer.</t>
      </text>
    </comment>
    <comment ref="AR48" authorId="1" shapeId="0">
      <text>
        <t>Horizon close: 2021-09-30
5/21/63 traded sessions after debut; price-only return vs offer.</t>
      </text>
    </comment>
    <comment ref="AI49" authorId="0" shapeId="0">
      <text>
        <t>Close: HK$55.6
Date: 2021-07-02
Venue: Phillip (etnet news story)
Source: etnet:news https://www.etnet.com.hk/www/tc/stocks/ipo-news-article/20210702601/</t>
      </text>
    </comment>
    <comment ref="AK49" authorId="1" shapeId="0">
      <text>
        <t>China Biotech ETF (HS biotech proxy)
Previous trading close to listing-day close (2021-07-05).
Benchmark return in percent; not the index level or excess return.</t>
      </text>
    </comment>
    <comment ref="AP49" authorId="1" shapeId="0">
      <text>
        <t>Horizon close: 2021-07-12
5/21/63 traded sessions after debut; price-only return vs offer.</t>
      </text>
    </comment>
    <comment ref="AQ49" authorId="1" shapeId="0">
      <text>
        <t>Horizon close: 2021-08-03
5/21/63 traded sessions after debut; price-only return vs offer.</t>
      </text>
    </comment>
    <comment ref="AR49" authorId="1" shapeId="0">
      <text>
        <t>Horizon close: 2021-10-04
5/21/63 traded sessions after debut; price-only return vs offer.</t>
      </text>
    </comment>
    <comment ref="AI50" authorId="0" shapeId="0">
      <text>
        <t>Close: HK$10.82
Date: 2021-07-06
Venue: Phillip (etnet news story)
Source: etnet:news https://www.etnet.com.hk/www/tc/stocks/ipo-news-article/20210706938/</t>
      </text>
    </comment>
    <comment ref="AK50" authorId="1" shapeId="0">
      <text>
        <t>China Biotech ETF (HS biotech proxy)
Previous trading close to listing-day close (2021-07-07).
Benchmark return in percent; not the index level or excess return.</t>
      </text>
    </comment>
    <comment ref="AP50" authorId="1" shapeId="0">
      <text>
        <t>Horizon close: 2021-07-14
5/21/63 traded sessions after debut; price-only return vs offer.</t>
      </text>
    </comment>
    <comment ref="AQ50" authorId="1" shapeId="0">
      <text>
        <t>Horizon close: 2021-08-05
5/21/63 traded sessions after debut; price-only return vs offer.</t>
      </text>
    </comment>
    <comment ref="AR50" authorId="1" shapeId="0">
      <text>
        <t>Horizon close: 2021-10-06
5/21/63 traded sessions after debut; price-only return vs offer.</t>
      </text>
    </comment>
    <comment ref="AI51" authorId="0" shapeId="0">
      <text>
        <t>Close: HK$164.3
Date: 2021-07-06
Venue: Phillip (etnet news story)
Source: etnet:news https://www.etnet.com.hk/www/tc/stocks/ipo-news-article/20210706939/</t>
      </text>
    </comment>
    <comment ref="AK51" authorId="1" shapeId="0">
      <text>
        <t>Hang Seng Commerce &amp; Industry sub-index
Previous trading close to listing-day close (2021-07-07).
Benchmark return in percent; not the index level or excess return.</t>
      </text>
    </comment>
    <comment ref="AP51" authorId="1" shapeId="0">
      <text>
        <t>Horizon close: 2021-07-14
5/21/63 traded sessions after debut; price-only return vs offer.</t>
      </text>
    </comment>
    <comment ref="AQ51" authorId="1" shapeId="0">
      <text>
        <t>Horizon close: 2021-08-05
5/21/63 traded sessions after debut; price-only return vs offer.</t>
      </text>
    </comment>
    <comment ref="AR51" authorId="1" shapeId="0">
      <text>
        <t>Horizon close: 2021-10-06
5/21/63 traded sessions after debut; price-only return vs offer.</t>
      </text>
    </comment>
    <comment ref="AI52" authorId="0" shapeId="0">
      <text>
        <t>Close: HK$5.3
Date: 2021-07-07
Venue: Phillip (etnet news story)
Source: etnet:news https://www.etnet.com.hk/www/tc/stocks/ipo-news-article/20210707924/</t>
      </text>
    </comment>
    <comment ref="AK52" authorId="1" shapeId="0">
      <text>
        <t>Hang Seng Properties sub-index
Previous trading close to listing-day close (2021-07-08).
Benchmark return in percent; not the index level or excess return.</t>
      </text>
    </comment>
    <comment ref="AP52" authorId="1" shapeId="0">
      <text>
        <t>Horizon close: 2021-07-15
5/21/63 traded sessions after debut; price-only return vs offer.</t>
      </text>
    </comment>
    <comment ref="AQ52" authorId="1" shapeId="0">
      <text>
        <t>Horizon close: 2021-08-06
5/21/63 traded sessions after debut; price-only return vs offer.</t>
      </text>
    </comment>
    <comment ref="AR52" authorId="1" shapeId="0">
      <text>
        <t>Horizon close: 2021-10-07
5/21/63 traded sessions after debut; price-only return vs offer.</t>
      </text>
    </comment>
    <comment ref="AI53" authorId="0" shapeId="0">
      <text>
        <t>Close: HK$71.5
Date: 2021-07-07
Venue: Phillip (etnet news story)
Source: etnet:news https://www.etnet.com.hk/www/tc/stocks/ipo-news-article/20210707939/</t>
      </text>
    </comment>
    <comment ref="AK53" authorId="1" shapeId="0">
      <text>
        <t>China Biotech ETF (HS biotech proxy)
Previous trading close to listing-day close (2021-07-08).
Benchmark return in percent; not the index level or excess return.</t>
      </text>
    </comment>
    <comment ref="AP53" authorId="1" shapeId="0">
      <text>
        <t>Horizon close: 2021-07-15
5/21/63 traded sessions after debut; price-only return vs offer.</t>
      </text>
    </comment>
    <comment ref="AQ53" authorId="1" shapeId="0">
      <text>
        <t>Horizon close: 2021-08-06
5/21/63 traded sessions after debut; price-only return vs offer.</t>
      </text>
    </comment>
    <comment ref="AR53" authorId="1" shapeId="0">
      <text>
        <t>Horizon close: 2021-10-07
5/21/63 traded sessions after debut; price-only return vs offer.</t>
      </text>
    </comment>
    <comment ref="AI54" authorId="0" shapeId="0">
      <text>
        <t>Close: HK$4.44
Date: 2021-07-08
Venue: Phillip (etnet news story)
Source: etnet:news https://www.etnet.com.hk/www/tc/stocks/ipo-news-article/20210708927/</t>
      </text>
    </comment>
    <comment ref="AK54" authorId="1" shapeId="0">
      <text>
        <t>HSTECH (Hang Seng TECH ETF)
Previous trading close to listing-day close (2021-07-09).
Benchmark return in percent; not the index level or excess return.</t>
      </text>
    </comment>
    <comment ref="AP54" authorId="1" shapeId="0">
      <text>
        <t>Horizon close: 2021-07-16
5/21/63 traded sessions after debut; price-only return vs offer.</t>
      </text>
    </comment>
    <comment ref="AQ54" authorId="1" shapeId="0">
      <text>
        <t>Horizon close: 2021-08-09
5/21/63 traded sessions after debut; price-only return vs offer.</t>
      </text>
    </comment>
    <comment ref="AR54" authorId="1" shapeId="0">
      <text>
        <t>Horizon close: 2021-10-08
5/21/63 traded sessions after debut; price-only return vs offer.</t>
      </text>
    </comment>
    <comment ref="AI55" authorId="0" shapeId="0">
      <text>
        <t>Close: HK$5.75
Date: 2021-07-09
Venue: Phillip
Source: press:https://news.now.com/home/finance/player?newsId=441657 — published closing quote 5.75, +37.23% vs offer; venue Phillip. GPT archive review, 4 October 2026.</t>
      </text>
    </comment>
    <comment ref="AK55" authorId="1" shapeId="0">
      <text>
        <t>Hang Seng Properties sub-index
Previous trading close to listing-day close (2021-07-12).
Benchmark return in percent; not the index level or excess return.</t>
      </text>
    </comment>
    <comment ref="AP55" authorId="1" shapeId="0">
      <text>
        <t>Horizon close: 2021-07-19
5/21/63 traded sessions after debut; price-only return vs offer.</t>
      </text>
    </comment>
    <comment ref="AQ55" authorId="1" shapeId="0">
      <text>
        <t>Horizon close: 2021-08-10
5/21/63 traded sessions after debut; price-only return vs offer.</t>
      </text>
    </comment>
    <comment ref="AR55" authorId="1" shapeId="0">
      <text>
        <t>Horizon close: 2021-10-11
5/21/63 traded sessions after debut; price-only return vs offer.</t>
      </text>
    </comment>
    <comment ref="AI56" authorId="0" shapeId="0">
      <text>
        <t>Close: HK$12.44
Date: 2021-07-09
Venue: Phillip
Source: press:https://news.now.com/home/finance/player?newsId=441657 — published closing quote 12.44, +4.89% vs offer; venue Phillip. GPT archive review, 4 October 2026.</t>
      </text>
    </comment>
    <comment ref="AK56" authorId="1" shapeId="0">
      <text>
        <t>HSTECH (Hang Seng TECH ETF)
Previous trading close to listing-day close (2021-07-12).
Benchmark return in percent; not the index level or excess return.</t>
      </text>
    </comment>
    <comment ref="AP56" authorId="1" shapeId="0">
      <text>
        <t>Horizon close: 2021-07-19
5/21/63 traded sessions after debut; price-only return vs offer.</t>
      </text>
    </comment>
    <comment ref="AQ56" authorId="1" shapeId="0">
      <text>
        <t>Horizon close: 2021-08-10
5/21/63 traded sessions after debut; price-only return vs offer.</t>
      </text>
    </comment>
    <comment ref="AR56" authorId="1" shapeId="0">
      <text>
        <t>Horizon close: 2021-10-11
5/21/63 traded sessions after debut; price-only return vs offer.</t>
      </text>
    </comment>
    <comment ref="AI57" authorId="0" shapeId="0">
      <text>
        <t>Close: HK$1.49
Date: 2021-07-12
Venue: Phillip (etnet news story)
Source: etnet:news https://www.etnet.com.hk/www/tc/stocks/ipo-news-article/20210712577/</t>
      </text>
    </comment>
    <comment ref="AK57" authorId="1" shapeId="0">
      <text>
        <t>Hang Seng Commerce &amp; Industry sub-index
Previous trading close to listing-day close (2021-07-13).
Benchmark return in percent; not the index level or excess return.</t>
      </text>
    </comment>
    <comment ref="AP57" authorId="1" shapeId="0">
      <text>
        <t>Horizon close: 2021-07-20
5/21/63 traded sessions after debut; price-only return vs offer.</t>
      </text>
    </comment>
    <comment ref="AQ57" authorId="1" shapeId="0">
      <text>
        <t>Horizon close: 2021-08-11
5/21/63 traded sessions after debut; price-only return vs offer.</t>
      </text>
    </comment>
    <comment ref="AR57" authorId="1" shapeId="0">
      <text>
        <t>Horizon close: 2021-10-12
5/21/63 traded sessions after debut; price-only return vs offer.</t>
      </text>
    </comment>
    <comment ref="AI58" authorId="0" shapeId="0">
      <text>
        <t>Close: HK$20.9
Date: 2021-07-12
Venue: Phillip (etnet news story)
Source: etnet:news https://www.etnet.com.hk/www/tc/stocks/ipo-news-article/20210712535/</t>
      </text>
    </comment>
    <comment ref="AK58" authorId="1" shapeId="0">
      <text>
        <t>China Biotech ETF (HS biotech proxy)
Previous trading close to listing-day close (2021-07-13).
Benchmark return in percent; not the index level or excess return.</t>
      </text>
    </comment>
    <comment ref="AP58" authorId="1" shapeId="0">
      <text>
        <t>Horizon close: 2021-07-20
5/21/63 traded sessions after debut; price-only return vs offer.</t>
      </text>
    </comment>
    <comment ref="AQ58" authorId="1" shapeId="0">
      <text>
        <t>Horizon close: 2021-08-11
5/21/63 traded sessions after debut; price-only return vs offer.</t>
      </text>
    </comment>
    <comment ref="AR58" authorId="1" shapeId="0">
      <text>
        <t>Horizon close: 2021-10-12
5/21/63 traded sessions after debut; price-only return vs offer.</t>
      </text>
    </comment>
    <comment ref="AI59" authorId="0" shapeId="0">
      <text>
        <t>Close: HK$29
Date: 2021-07-14
Venue: Phillip (etnet news story)
Source: etnet:news https://www.etnet.com.hk/www/tc/stocks/ipo-news-article/20210714579/</t>
      </text>
    </comment>
    <comment ref="AK59" authorId="1" shapeId="0">
      <text>
        <t>China Biotech ETF (HS biotech proxy)
Previous trading close to listing-day close (2021-07-15).
Benchmark return in percent; not the index level or excess return.</t>
      </text>
    </comment>
    <comment ref="AP59" authorId="1" shapeId="0">
      <text>
        <t>Horizon close: 2021-07-22
5/21/63 traded sessions after debut; price-only return vs offer.</t>
      </text>
    </comment>
    <comment ref="AQ59" authorId="1" shapeId="0">
      <text>
        <t>Horizon close: 2021-08-13
5/21/63 traded sessions after debut; price-only return vs offer.</t>
      </text>
    </comment>
    <comment ref="AR59" authorId="1" shapeId="0">
      <text>
        <t>Horizon close: 2021-10-18
5/21/63 traded sessions after debut; price-only return vs offer.</t>
      </text>
    </comment>
    <comment ref="AI60" authorId="0" shapeId="0">
      <text>
        <t>Close: HK$5.78
Date: 2021-07-14
Venue: Phillip (etnet news story)
Source: etnet:news https://www.etnet.com.hk/www/tc/stocks/ipo-news-article/20210714539/</t>
      </text>
    </comment>
    <comment ref="AK60" authorId="1" shapeId="0">
      <text>
        <t>Hang Seng Commerce &amp; Industry sub-index
Previous trading close to listing-day close (2021-07-15).
Benchmark return in percent; not the index level or excess return.</t>
      </text>
    </comment>
    <comment ref="AP60" authorId="1" shapeId="0">
      <text>
        <t>Horizon close: 2021-07-22
5/21/63 traded sessions after debut; price-only return vs offer.</t>
      </text>
    </comment>
    <comment ref="AQ60" authorId="1" shapeId="0">
      <text>
        <t>Horizon close: 2021-08-13
5/21/63 traded sessions after debut; price-only return vs offer.</t>
      </text>
    </comment>
    <comment ref="AR60" authorId="1" shapeId="0">
      <text>
        <t>Horizon close: 2021-10-18
5/21/63 traded sessions after debut; price-only return vs offer.</t>
      </text>
    </comment>
    <comment ref="AI61" authorId="0" shapeId="0">
      <text>
        <t>Close: HK$2.96
Date: 2021-07-14
Venue: Phillip (etnet news story)
Source: etnet:news https://www.etnet.com.hk/www/tc/stocks/ipo-news-article/20210714927/</t>
      </text>
    </comment>
    <comment ref="AK61" authorId="1" shapeId="0">
      <text>
        <t>Hang Seng Properties sub-index
Previous trading close to listing-day close (2021-07-15).
Benchmark return in percent; not the index level or excess return.</t>
      </text>
    </comment>
    <comment ref="AP61" authorId="1" shapeId="0">
      <text>
        <t>Horizon close: 2021-07-22
5/21/63 traded sessions after debut; price-only return vs offer.</t>
      </text>
    </comment>
    <comment ref="AQ61" authorId="1" shapeId="0">
      <text>
        <t>Horizon close: 2021-08-13
5/21/63 traded sessions after debut; price-only return vs offer.</t>
      </text>
    </comment>
    <comment ref="AR61" authorId="1" shapeId="0">
      <text>
        <t>Horizon close: 2021-10-18
5/21/63 traded sessions after debut; price-only return vs offer.</t>
      </text>
    </comment>
    <comment ref="AI62" authorId="0" shapeId="0">
      <text>
        <t>Close: HK$9.09
Date: 2021-07-15
Venue: Phillip (etnet news story)
Source: etnet:news https://www.etnet.com.hk/www/tc/stocks/ipo-news-article/20210715577/</t>
      </text>
    </comment>
    <comment ref="AK62" authorId="1" shapeId="0">
      <text>
        <t>China Biotech ETF (HS biotech proxy)
Previous trading close to listing-day close (2021-07-16).
Benchmark return in percent; not the index level or excess return.</t>
      </text>
    </comment>
    <comment ref="AP62" authorId="1" shapeId="0">
      <text>
        <t>Horizon close: 2021-07-23
5/21/63 traded sessions after debut; price-only return vs offer.</t>
      </text>
    </comment>
    <comment ref="AQ62" authorId="1" shapeId="0">
      <text>
        <t>Horizon close: 2021-08-16
5/21/63 traded sessions after debut; price-only return vs offer.</t>
      </text>
    </comment>
    <comment ref="AR62" authorId="1" shapeId="0">
      <text>
        <t>Horizon close: 2021-10-19
5/21/63 traded sessions after debut; price-only return vs offer.</t>
      </text>
    </comment>
    <comment ref="AI63" authorId="0" shapeId="0">
      <text>
        <t>Close: HK$3.29
Date: 2021-07-15
Venue: Phillip (etnet news story)
Source: etnet:news https://www.etnet.com.hk/www/tc/stocks/ipo-news-article/20210715928/</t>
      </text>
    </comment>
    <comment ref="AK63" authorId="1" shapeId="0">
      <text>
        <t>Hang Seng Commerce &amp; Industry sub-index
Previous trading close to listing-day close (2021-07-16).
Benchmark return in percent; not the index level or excess return.</t>
      </text>
    </comment>
    <comment ref="AP63" authorId="1" shapeId="0">
      <text>
        <t>Horizon close: 2021-07-23
5/21/63 traded sessions after debut; price-only return vs offer.</t>
      </text>
    </comment>
    <comment ref="AQ63" authorId="1" shapeId="0">
      <text>
        <t>Horizon close: 2021-08-16
5/21/63 traded sessions after debut; price-only return vs offer.</t>
      </text>
    </comment>
    <comment ref="AR63" authorId="1" shapeId="0">
      <text>
        <t>Horizon close: 2021-10-19
5/21/63 traded sessions after debut; price-only return vs offer.</t>
      </text>
    </comment>
    <comment ref="AI64" authorId="0" shapeId="0">
      <text>
        <t>Close: HK$3.6
Date: 2021-07-15
Venue: Phillip (etnet news story)
Source: etnet:news https://www.etnet.com.hk/www/tc/stocks/ipo-news-article/20210715926/</t>
      </text>
    </comment>
    <comment ref="AK64" authorId="1" shapeId="0">
      <text>
        <t>Hang Seng Properties sub-index
Previous trading close to listing-day close (2021-07-16).
Benchmark return in percent; not the index level or excess return.</t>
      </text>
    </comment>
    <comment ref="AP64" authorId="1" shapeId="0">
      <text>
        <t>Horizon close: 2021-07-23
5/21/63 traded sessions after debut; price-only return vs offer.</t>
      </text>
    </comment>
    <comment ref="AQ64" authorId="1" shapeId="0">
      <text>
        <t>Horizon close: 2021-08-16
5/21/63 traded sessions after debut; price-only return vs offer.</t>
      </text>
    </comment>
    <comment ref="AR64" authorId="1" shapeId="0">
      <text>
        <t>Horizon close: 2021-10-19
5/21/63 traded sessions after debut; price-only return vs offer.</t>
      </text>
    </comment>
    <comment ref="AI65" authorId="0" shapeId="0">
      <text>
        <t>Close: HK$3.95
Date: 2021-07-15
Venue: Phillip (etnet news story)
Source: etnet:news https://www.etnet.com.hk/www/tc/stocks/ipo-news-article/20210715929/</t>
      </text>
    </comment>
    <comment ref="AK65" authorId="1" shapeId="0">
      <text>
        <t>Hang Seng Commerce &amp; Industry sub-index
Previous trading close to listing-day close (2021-07-16).
Benchmark return in percent; not the index level or excess return.</t>
      </text>
    </comment>
    <comment ref="AP65" authorId="1" shapeId="0">
      <text>
        <t>Horizon close: 2021-07-23
5/21/63 traded sessions after debut; price-only return vs offer.</t>
      </text>
    </comment>
    <comment ref="AQ65" authorId="1" shapeId="0">
      <text>
        <t>Horizon close: 2021-08-16
5/21/63 traded sessions after debut; price-only return vs offer.</t>
      </text>
    </comment>
    <comment ref="AR65" authorId="1" shapeId="0">
      <text>
        <t>Horizon close: 2021-10-19
5/21/63 traded sessions after debut; price-only return vs offer.</t>
      </text>
    </comment>
    <comment ref="AI66" authorId="0" shapeId="0">
      <text>
        <t>Close: HK$4.78
Date: 2021-07-16
Venue: Phillip (etnet news story)
Source: etnet:news https://www.etnet.com.hk/www/tc/stocks/ipo-news-article/20210716537/</t>
      </text>
    </comment>
    <comment ref="AK66" authorId="1" shapeId="0">
      <text>
        <t>Hang Seng Properties sub-index
Previous trading close to listing-day close (2021-07-19).
Benchmark return in percent; not the index level or excess return.</t>
      </text>
    </comment>
    <comment ref="AP66" authorId="1" shapeId="0">
      <text>
        <t>Horizon close: 2021-07-26
5/21/63 traded sessions after debut; price-only return vs offer.</t>
      </text>
    </comment>
    <comment ref="AQ66" authorId="1" shapeId="0">
      <text>
        <t>Horizon close: 2021-08-17
5/21/63 traded sessions after debut; price-only return vs offer.</t>
      </text>
    </comment>
    <comment ref="AR66" authorId="1" shapeId="0">
      <text>
        <t>Horizon close: 2021-10-20
5/21/63 traded sessions after debut; price-only return vs offer.</t>
      </text>
    </comment>
    <comment ref="AI67" authorId="0" shapeId="0">
      <text>
        <t>Close: HK$115.9
Date: 2021-08-11
Venue: Phillip (etnet news story)
Source: etnet:news https://www.etnet.com.hk/www/tc/stocks/ipo-news-article/20210811939/</t>
      </text>
    </comment>
    <comment ref="AK67" authorId="1" shapeId="0">
      <text>
        <t>Hang Seng Commerce &amp; Industry sub-index
Previous trading close to listing-day close (2021-08-12).
Benchmark return in percent; not the index level or excess return.</t>
      </text>
    </comment>
    <comment ref="AP67" authorId="1" shapeId="0">
      <text>
        <t>Horizon close: 2021-08-19
5/21/63 traded sessions after debut; price-only return vs offer.</t>
      </text>
    </comment>
    <comment ref="AQ67" authorId="1" shapeId="0">
      <text>
        <t>Horizon close: 2021-09-10
5/21/63 traded sessions after debut; price-only return vs offer.</t>
      </text>
    </comment>
    <comment ref="AR67" authorId="1" shapeId="0">
      <text>
        <t>Horizon close: 2021-11-15
5/21/63 traded sessions after debut; price-only return vs offer.</t>
      </text>
    </comment>
    <comment ref="AI68" authorId="0" shapeId="0">
      <text>
        <t>Close: HK$145.5
Date: 2021-08-19
Venue: Phillip
Source: press:https://www.hkcd.com/content/2021-08/19/content_1288310.html — published closing quote 145.5, -14.9% vs offer; venue Phillip. GPT archive review, 4 October 2026.</t>
      </text>
    </comment>
    <comment ref="AK68" authorId="1" shapeId="0">
      <text>
        <t>China Biotech ETF (HS biotech proxy)
Previous trading close to listing-day close (2021-08-20).
Benchmark return in percent; not the index level or excess return.</t>
      </text>
    </comment>
    <comment ref="AP68" authorId="1" shapeId="0">
      <text>
        <t>Horizon close: 2021-08-27
5/21/63 traded sessions after debut; price-only return vs offer.</t>
      </text>
    </comment>
    <comment ref="AQ68" authorId="1" shapeId="0">
      <text>
        <t>Horizon close: 2021-09-20
5/21/63 traded sessions after debut; price-only return vs offer.</t>
      </text>
    </comment>
    <comment ref="AR68" authorId="1" shapeId="0">
      <text>
        <t>Horizon close: 2021-11-23
5/21/63 traded sessions after debut; price-only return vs offer.</t>
      </text>
    </comment>
    <comment ref="AI69" authorId="0" shapeId="0">
      <text>
        <t>Close: HK$17.76
Date: 2021-08-23
Venue: Phillip
Source: press:https://www.stheadline.com/daily-finance/1759894/先瑞達暗盤挫25-專家料新股續低迷 — published closing quote 17.76, -25.38% vs offer; venue Phillip. GPT archive review, 4 October 2026.</t>
      </text>
    </comment>
    <comment ref="AK69" authorId="1" shapeId="0">
      <text>
        <t>China Biotech ETF (HS biotech proxy)
Previous trading close to listing-day close (2021-08-24).
Benchmark return in percent; not the index level or excess return.</t>
      </text>
    </comment>
    <comment ref="AP69" authorId="1" shapeId="0">
      <text>
        <t>Horizon close: 2021-08-31
5/21/63 traded sessions after debut; price-only return vs offer.</t>
      </text>
    </comment>
    <comment ref="AQ69" authorId="1" shapeId="0">
      <text>
        <t>Horizon close: 2021-09-23
5/21/63 traded sessions after debut; price-only return vs offer.</t>
      </text>
    </comment>
    <comment ref="AR69" authorId="1" shapeId="0">
      <text>
        <t>Horizon close: 2021-11-25
5/21/63 traded sessions after debut; price-only return vs offer.</t>
      </text>
    </comment>
    <comment ref="AI70" authorId="0" shapeId="0">
      <text>
        <t>Close: HK$21
Date: 2021-09-09
Venue: Futu
Source: press:https://news.stcn.com/sd/202109/t20210910_3670946.html — published closing quote 21, +6.22% vs offer; venue Futu. GPT archive review, 4 October 2026.</t>
      </text>
    </comment>
    <comment ref="AK70" authorId="1" shapeId="0">
      <text>
        <t>Hang Seng Commerce &amp; Industry sub-index
Previous trading close to listing-day close (2021-09-10).
Benchmark return in percent; not the index level or excess return.</t>
      </text>
    </comment>
    <comment ref="AP70" authorId="1" shapeId="0">
      <text>
        <t>Horizon close: 2021-09-17
5/21/63 traded sessions after debut; price-only return vs offer.</t>
      </text>
    </comment>
    <comment ref="AQ70" authorId="1" shapeId="0">
      <text>
        <t>Horizon close: 2021-10-15
5/21/63 traded sessions after debut; price-only return vs offer.</t>
      </text>
    </comment>
    <comment ref="AR70" authorId="1" shapeId="0">
      <text>
        <t>Horizon close: 2021-12-14
5/21/63 traded sessions after debut; price-only return vs offer.</t>
      </text>
    </comment>
    <comment ref="AI71" authorId="0" shapeId="0">
      <text>
        <t>Close: HK$16.72
Date: 2021-09-23
Venue: Phillip
Source: press:https://www.wenweipo.com/epaper/view/newsDetail/1441097426827087872.html — published closing quote 16.72, -10.6% vs offer; venue Phillip. GPT archive review, 4 October 2026.</t>
      </text>
    </comment>
    <comment ref="AK71" authorId="1" shapeId="0">
      <text>
        <t>China Biotech ETF (HS biotech proxy)
Previous trading close to listing-day close (2021-09-24).
Benchmark return in percent; not the index level or excess return.</t>
      </text>
    </comment>
    <comment ref="AP71" authorId="1" shapeId="0">
      <text>
        <t>Horizon close: 2021-10-04
5/21/63 traded sessions after debut; price-only return vs offer.</t>
      </text>
    </comment>
    <comment ref="AQ71" authorId="1" shapeId="0">
      <text>
        <t>Horizon close: 2021-10-28
5/21/63 traded sessions after debut; price-only return vs offer.</t>
      </text>
    </comment>
    <comment ref="AR71" authorId="1" shapeId="0">
      <text>
        <t>Horizon close: 2021-12-28
5/21/63 traded sessions after debut; price-only return vs offer.</t>
      </text>
    </comment>
    <comment ref="AI72" authorId="0" shapeId="0">
      <text>
        <t>Close: HK$7.5
Date: 2021-09-28
Venue: Phillip (etnet news story)
Source: etnet:news https://www.etnet.com.hk/www/tc/stocks/ipo-news-article/20210928538/</t>
      </text>
    </comment>
    <comment ref="AK72" authorId="1" shapeId="0">
      <text>
        <t>Hang Seng Finance sub-index
Previous trading close to listing-day close (2021-09-29).
Benchmark return in percent; not the index level or excess return.</t>
      </text>
    </comment>
    <comment ref="AP72" authorId="1" shapeId="0">
      <text>
        <t>Horizon close: 2021-10-07
5/21/63 traded sessions after debut; price-only return vs offer.</t>
      </text>
    </comment>
    <comment ref="AQ72" authorId="1" shapeId="0">
      <text>
        <t>Horizon close: 2021-11-02
5/21/63 traded sessions after debut; price-only return vs offer.</t>
      </text>
    </comment>
    <comment ref="AR72" authorId="1" shapeId="0">
      <text>
        <t>Horizon close: 2021-12-31
5/21/63 traded sessions after debut; price-only return vs offer.</t>
      </text>
    </comment>
    <comment ref="AI73" authorId="0" shapeId="0">
      <text>
        <t>Close: HK$13.16
Date: 2021-09-28
Venue: Phillip (etnet news story)
Source: etnet:news https://www.etnet.com.hk/www/tc/stocks/ipo-news-article/20210928589/</t>
      </text>
    </comment>
    <comment ref="AK73" authorId="1" shapeId="0">
      <text>
        <t>China Biotech ETF (HS biotech proxy)
Previous trading close to listing-day close (2021-09-29).
Benchmark return in percent; not the index level or excess return.</t>
      </text>
    </comment>
    <comment ref="AP73" authorId="1" shapeId="0">
      <text>
        <t>Horizon close: 2021-10-07
5/21/63 traded sessions after debut; price-only return vs offer.</t>
      </text>
    </comment>
    <comment ref="AQ73" authorId="1" shapeId="0">
      <text>
        <t>Horizon close: 2021-11-02
5/21/63 traded sessions after debut; price-only return vs offer.</t>
      </text>
    </comment>
    <comment ref="AR73" authorId="1" shapeId="0">
      <text>
        <t>Horizon close: 2021-12-31
5/21/63 traded sessions after debut; price-only return vs offer.</t>
      </text>
    </comment>
    <comment ref="AI74" authorId="0" shapeId="0">
      <text>
        <t>close not verified in the captured sources; historical press archives may hold one</t>
      </text>
    </comment>
    <comment ref="AK74" authorId="1" shapeId="0">
      <text>
        <t>Hang Seng Finance sub-index
Previous trading close to listing-day close (2021-10-04).
Benchmark return in percent; not the index level or excess return.</t>
      </text>
    </comment>
    <comment ref="AP74" authorId="1" shapeId="0">
      <text>
        <t>Horizon close: 2021-10-11
5/21/63 traded sessions after debut; price-only return vs offer.</t>
      </text>
    </comment>
    <comment ref="AQ74" authorId="1" shapeId="0">
      <text>
        <t>Horizon close: 2021-11-04
5/21/63 traded sessions after debut; price-only return vs offer.</t>
      </text>
    </comment>
    <comment ref="AR74" authorId="1" shapeId="0">
      <text>
        <t>Horizon close: 2022-01-04
5/21/63 traded sessions after debut; price-only return vs offer.</t>
      </text>
    </comment>
    <comment ref="H75" authorId="2" shapeId="0">
      <text>
        <t>Formal listing 13 October 2021; first share trading 15 October after Typhoon Kompasu closure. Company announcement: https://www.abbisko.com/newsDetail/90.html</t>
      </text>
    </comment>
    <comment ref="AI75" authorId="0" shapeId="0">
      <text>
        <t>Close: HK$11.56
Date: 2021-10-12
Venue: Futu (etnet news story)
Source: etnet:news https://www.etnet.com.hk/www/tc/stocks/ipo-news-article/20211012203/</t>
      </text>
    </comment>
    <comment ref="AK75" authorId="1" shapeId="0">
      <text>
        <t>China Biotech ETF (HS biotech proxy)
Previous trading close to listing-day close (2021-10-15).
Benchmark return in percent; not the index level or excess return.</t>
      </text>
    </comment>
    <comment ref="AP75" authorId="1" shapeId="0">
      <text>
        <t>Horizon close: 2021-10-22
5/21/63 traded sessions after debut; price-only return vs offer.</t>
      </text>
    </comment>
    <comment ref="AQ75" authorId="1" shapeId="0">
      <text>
        <t>Horizon close: 2021-11-15
5/21/63 traded sessions after debut; price-only return vs offer.</t>
      </text>
    </comment>
    <comment ref="AR75" authorId="1" shapeId="0">
      <text>
        <t>Horizon close: 2022-01-13
5/21/63 traded sessions after debut; price-only return vs offer.</t>
      </text>
    </comment>
    <comment ref="AI76" authorId="0" shapeId="0">
      <text>
        <t>Close: HK$30.9
Date: 2021-10-18
Venue: Phillip
Source: press:https://www.stheadline.com/opinion/3482231/微泰今掛牌-暗盤升33 — published closing quote 30.9, +1.3% vs offer; venue Phillip. GPT archive review, 4 October 2026.</t>
      </text>
    </comment>
    <comment ref="AK76" authorId="1" shapeId="0">
      <text>
        <t>China Biotech ETF (HS biotech proxy)
Previous trading close to listing-day close (2021-10-19).
Benchmark return in percent; not the index level or excess return.</t>
      </text>
    </comment>
    <comment ref="AP76" authorId="1" shapeId="0">
      <text>
        <t>Horizon close: 2021-10-26
5/21/63 traded sessions after debut; price-only return vs offer.</t>
      </text>
    </comment>
    <comment ref="AQ76" authorId="1" shapeId="0">
      <text>
        <t>Horizon close: 2021-11-17
5/21/63 traded sessions after debut; price-only return vs offer.</t>
      </text>
    </comment>
    <comment ref="AR76" authorId="1" shapeId="0">
      <text>
        <t>Horizon close: 2022-01-17
5/21/63 traded sessions after debut; price-only return vs offer.</t>
      </text>
    </comment>
    <comment ref="AI77" authorId="0" shapeId="0">
      <text>
        <t>Close: HK$40.15
Date: 2021-11-01
Venue: Phillip (etnet news story)
Source: etnet:news https://www.etnet.com.hk/www/tc/stocks/ipo-news-article/20211101938/</t>
      </text>
    </comment>
    <comment ref="AK77" authorId="1" shapeId="0">
      <text>
        <t>China Biotech ETF (HS biotech proxy)
Previous trading close to listing-day close (2021-11-02).
Benchmark return in percent; not the index level or excess return.</t>
      </text>
    </comment>
    <comment ref="AP77" authorId="1" shapeId="0">
      <text>
        <t>Horizon close: 2021-11-09
5/21/63 traded sessions after debut; price-only return vs offer.</t>
      </text>
    </comment>
    <comment ref="AQ77" authorId="1" shapeId="0">
      <text>
        <t>Horizon close: 2021-12-01
5/21/63 traded sessions after debut; price-only return vs offer.</t>
      </text>
    </comment>
    <comment ref="AR77" authorId="1" shapeId="0">
      <text>
        <t>Horizon close: 2022-01-31
5/21/63 traded sessions after debut; price-only return vs offer.</t>
      </text>
    </comment>
    <comment ref="AI78" authorId="0" shapeId="0">
      <text>
        <t>Close: HK$73
Date: 2021-11-04
Venue: press; venue not stated for this quote
Source: press:https://www.am730.com.hk/財經/新股登場-三葉草鷹瞳暗盤齊破底/293172 — published closing quote 73, -2.8% vs offer; venue press; venue not stated for this quote. GPT archive review, 4 October 2026.</t>
      </text>
    </comment>
    <comment ref="AK78" authorId="1" shapeId="0">
      <text>
        <t>China Biotech ETF (HS biotech proxy)
Previous trading close to listing-day close (2021-11-05).
Benchmark return in percent; not the index level or excess return.</t>
      </text>
    </comment>
    <comment ref="AP78" authorId="1" shapeId="0">
      <text>
        <t>Horizon close: 2021-11-12
5/21/63 traded sessions after debut; price-only return vs offer.</t>
      </text>
    </comment>
    <comment ref="AQ78" authorId="1" shapeId="0">
      <text>
        <t>Horizon close: 2021-12-06
5/21/63 traded sessions after debut; price-only return vs offer.</t>
      </text>
    </comment>
    <comment ref="AR78" authorId="1" shapeId="0">
      <text>
        <t>Horizon close: 2022-02-08
5/21/63 traded sessions after debut; price-only return vs offer.</t>
      </text>
    </comment>
    <comment ref="AI79" authorId="0" shapeId="0">
      <text>
        <t>Close: HK$13.22
Date: 2021-11-04
Venue: Phillip
Source: press:https://www.am730.com.hk/財經/新股登場-三葉草鷹瞳暗盤齊破底/293172 — published closing quote 13.22, -1.2% vs offer; venue Phillip. GPT archive review, 4 October 2026.</t>
      </text>
    </comment>
    <comment ref="AK79" authorId="1" shapeId="0">
      <text>
        <t>China Biotech ETF (HS biotech proxy)
Previous trading close to listing-day close (2021-11-05).
Benchmark return in percent; not the index level or excess return.</t>
      </text>
    </comment>
    <comment ref="AP79" authorId="1" shapeId="0">
      <text>
        <t>Horizon close: 2021-11-12
5/21/63 traded sessions after debut; price-only return vs offer.</t>
      </text>
    </comment>
    <comment ref="AQ79" authorId="1" shapeId="0">
      <text>
        <t>Horizon close: 2021-12-06
5/21/63 traded sessions after debut; price-only return vs offer.</t>
      </text>
    </comment>
    <comment ref="AR79" authorId="1" shapeId="0">
      <text>
        <t>Horizon close: 2022-02-08
5/21/63 traded sessions after debut; price-only return vs offer.</t>
      </text>
    </comment>
    <comment ref="AI80" authorId="0" shapeId="0">
      <text>
        <t>Close: HK$6.4
Date: 2021-11-05
Venue: Bright Smart
Source: press:https://www.bastillepost.com/hongkong/article/9582755-三葉草上市翌日暴跌三成 — published closing quote 6.4, -4.5% vs offer; venue Bright Smart. GPT archive review, 4 October 2026.</t>
      </text>
    </comment>
    <comment ref="AK80" authorId="1" shapeId="0">
      <text>
        <t>Hang Seng Index
Previous trading close to listing-day close (2021-11-08).
Benchmark return in percent; not the index level or excess return.</t>
      </text>
    </comment>
    <comment ref="AP80" authorId="1" shapeId="0">
      <text>
        <t>Horizon close: 2021-11-15
5/21/63 traded sessions after debut; price-only return vs offer.</t>
      </text>
    </comment>
    <comment ref="AQ80" authorId="1" shapeId="0">
      <text>
        <t>Horizon close: 2021-12-07
5/21/63 traded sessions after debut; price-only return vs offer.</t>
      </text>
    </comment>
    <comment ref="AR80" authorId="1" shapeId="0">
      <text>
        <t>Horizon close: 2022-02-09
5/21/63 traded sessions after debut; price-only return vs offer.</t>
      </text>
    </comment>
    <comment ref="AI81" authorId="0" shapeId="0">
      <text>
        <t>Close: HK$8.2
Date: 2021-11-09
Venue: Phillip (etnet news story)
Source: etnet:news https://www.etnet.com.hk/www/tc/stocks/ipo-news-article/20211109933/</t>
      </text>
    </comment>
    <comment ref="AK81" authorId="1" shapeId="0">
      <text>
        <t>Hang Seng Properties sub-index
Previous trading close to listing-day close (2021-11-10).
Benchmark return in percent; not the index level or excess return.</t>
      </text>
    </comment>
    <comment ref="AP81" authorId="1" shapeId="0">
      <text>
        <t>Horizon close: 2021-11-17
5/21/63 traded sessions after debut; price-only return vs offer.</t>
      </text>
    </comment>
    <comment ref="AQ81" authorId="1" shapeId="0">
      <text>
        <t>Horizon close: 2021-12-09
5/21/63 traded sessions after debut; price-only return vs offer.</t>
      </text>
    </comment>
    <comment ref="AR81" authorId="1" shapeId="0">
      <text>
        <t>Horizon close: 2022-02-11
5/21/63 traded sessions after debut; price-only return vs offer.</t>
      </text>
    </comment>
    <comment ref="AI82" authorId="0" shapeId="0">
      <text>
        <t>Close: HK$1.03
Date: 2021-11-11
Venue: Phillip
Source: press:https://www.stheadline.com/realtime-finance/2177240/回應監管問詢-貝特押後上市 — published closing quote 1.03, +0.98% vs offer; venue Phillip. GPT archive review, 4 October 2026.</t>
      </text>
    </comment>
    <comment ref="AK82" authorId="1" shapeId="0">
      <text>
        <t>Hang Seng Commerce &amp; Industry sub-index
Previous trading close to listing-day close (2021-11-12).
Benchmark return in percent; not the index level or excess return.</t>
      </text>
    </comment>
    <comment ref="AP82" authorId="1" shapeId="0">
      <text>
        <t>Horizon close: 2021-11-19
5/21/63 traded sessions after debut; price-only return vs offer.</t>
      </text>
    </comment>
    <comment ref="AQ82" authorId="1" shapeId="0">
      <text>
        <t>Horizon close: 2021-12-13
5/21/63 traded sessions after debut; price-only return vs offer.</t>
      </text>
    </comment>
    <comment ref="AR82" authorId="1" shapeId="0">
      <text>
        <t>Horizon close: 2022-02-15
5/21/63 traded sessions after debut; price-only return vs offer.</t>
      </text>
    </comment>
    <comment ref="AI83" authorId="0" shapeId="0">
      <text>
        <t>Close: HK$200.4
Date: 2021-12-01
Venue: Phillip (etnet news story)
Source: etnet:news https://www.etnet.com.hk/www/tc/stocks/ipo-news-article/20211201939/</t>
      </text>
    </comment>
    <comment ref="AK83" authorId="1" shapeId="0">
      <text>
        <t>HSTECH (Hang Seng TECH ETF)
Previous trading close to listing-day close (2021-12-02).
Benchmark return in percent; not the index level or excess return.</t>
      </text>
    </comment>
    <comment ref="AP83" authorId="1" shapeId="0">
      <text>
        <t>Horizon close: 2021-12-09
5/21/63 traded sessions after debut; price-only return vs offer.</t>
      </text>
    </comment>
    <comment ref="AQ83" authorId="1" shapeId="0">
      <text>
        <t>Horizon close: 2022-01-03
5/21/63 traded sessions after debut; price-only return vs offer.</t>
      </text>
    </comment>
    <comment ref="AR83" authorId="1" shapeId="0">
      <text>
        <t>Horizon close: 2022-03-07
5/21/63 traded sessions after debut; price-only return vs offer.</t>
      </text>
    </comment>
    <comment ref="AI84" authorId="0" shapeId="0">
      <text>
        <t>Close: HK$256
Date: 2021-12-07
Venue: Phillip (etnet news story)
Source: etnet:news https://www.etnet.com.hk/www/tc/stocks/ipo-news-article/20211207939/</t>
      </text>
    </comment>
    <comment ref="AK84" authorId="1" shapeId="0">
      <text>
        <t>HSTECH (Hang Seng TECH ETF)
Previous trading close to listing-day close (2021-12-08).
Benchmark return in percent; not the index level or excess return.</t>
      </text>
    </comment>
    <comment ref="AP84" authorId="1" shapeId="0">
      <text>
        <t>Horizon close: 2021-12-15
5/21/63 traded sessions after debut; price-only return vs offer.</t>
      </text>
    </comment>
    <comment ref="AQ84" authorId="1" shapeId="0">
      <text>
        <t>Horizon close: 2022-01-07
5/21/63 traded sessions after debut; price-only return vs offer.</t>
      </text>
    </comment>
    <comment ref="AR84" authorId="1" shapeId="0">
      <text>
        <t>Horizon close: 2022-03-11
5/21/63 traded sessions after debut; price-only return vs offer.</t>
      </text>
    </comment>
    <comment ref="AI85" authorId="0" shapeId="0">
      <text>
        <t>Close: HK$11
Date: 2021-12-09
Venue: broker report; venue not stated
Source: press:https://www.swhyhk.com/storage/app/media/research/equities/2021/_2021.12.10.pdf — published closing quote 11, -9.69% vs offer; venue broker report; venue not stated. GPT archive review, 4 October 2026.</t>
      </text>
    </comment>
    <comment ref="AK85" authorId="1" shapeId="0">
      <text>
        <t>China Biotech ETF (HS biotech proxy)
Previous trading close to listing-day close (2021-12-10).
Benchmark return in percent; not the index level or excess return.</t>
      </text>
    </comment>
    <comment ref="AP85" authorId="1" shapeId="0">
      <text>
        <t>Horizon close: 2021-12-17
5/21/63 traded sessions after debut; price-only return vs offer.</t>
      </text>
    </comment>
    <comment ref="AQ85" authorId="1" shapeId="0">
      <text>
        <t>Horizon close: 2022-01-11
5/21/63 traded sessions after debut; price-only return vs offer.</t>
      </text>
    </comment>
    <comment ref="AR85" authorId="1" shapeId="0">
      <text>
        <t>Horizon close: 2022-03-15
5/21/63 traded sessions after debut; price-only return vs offer.</t>
      </text>
    </comment>
    <comment ref="AI86" authorId="0" shapeId="0">
      <text>
        <t>Close: HK$34.4
Date: 2021-12-09
Venue: broker report; venue not stated
Source: press:https://www.swhyhk.com/storage/app/media/research/equities/2021/_2021.12.10.pdf — published closing quote 34.4, +18.62% vs offer; venue broker report; venue not stated. GPT archive review, 4 October 2026.</t>
      </text>
    </comment>
    <comment ref="AK86" authorId="1" shapeId="0">
      <text>
        <t>China Biotech ETF (HS biotech proxy)
Previous trading close to listing-day close (2021-12-10).
Benchmark return in percent; not the index level or excess return.</t>
      </text>
    </comment>
    <comment ref="AP86" authorId="1" shapeId="0">
      <text>
        <t>Horizon close: 2021-12-17
5/21/63 traded sessions after debut; price-only return vs offer.</t>
      </text>
    </comment>
    <comment ref="AQ86" authorId="1" shapeId="0">
      <text>
        <t>Horizon close: 2022-01-11
5/21/63 traded sessions after debut; price-only return vs offer.</t>
      </text>
    </comment>
    <comment ref="AR86" authorId="1" shapeId="0">
      <text>
        <t>Horizon close: 2022-03-15
5/21/63 traded sessions after debut; price-only return vs offer.</t>
      </text>
    </comment>
    <comment ref="AI87" authorId="0" shapeId="0">
      <text>
        <t>Close: HK$371
Date: 2021-12-09
Venue: broker report; venue not stated
Source: press:https://www.swhyhk.com/storage/app/media/research/equities/2021/_2021.12.10.pdf — published closing quote 371, -4.38% vs offer; venue broker report; venue not stated. GPT archive review, 4 October 2026.</t>
      </text>
    </comment>
    <comment ref="AK87" authorId="1" shapeId="0">
      <text>
        <t>China Biotech ETF (HS biotech proxy)
Previous trading close to listing-day close (2021-12-10).
Benchmark return in percent; not the index level or excess return.</t>
      </text>
    </comment>
    <comment ref="AP87" authorId="1" shapeId="0">
      <text>
        <t>Horizon close: 2021-12-17
5/21/63 traded sessions after debut; price-only return vs offer.</t>
      </text>
    </comment>
    <comment ref="AQ87" authorId="1" shapeId="0">
      <text>
        <t>Horizon close: 2022-01-11
5/21/63 traded sessions after debut; price-only return vs offer.</t>
      </text>
    </comment>
    <comment ref="AR87" authorId="1" shapeId="0">
      <text>
        <t>Horizon close: 2022-03-15
5/21/63 traded sessions after debut; price-only return vs offer.</t>
      </text>
    </comment>
    <comment ref="AI88" authorId="0" shapeId="0">
      <text>
        <t>Close: HK$15.24
Date: 2021-12-10
Venue: Phillip (etnet news story)
Source: etnet:news https://www.etnet.com.hk/www/tc/stocks/ipo-news-article/20211210939/</t>
      </text>
    </comment>
    <comment ref="AK88" authorId="1" shapeId="0">
      <text>
        <t>China Biotech ETF (HS biotech proxy)
Previous trading close to listing-day close (2021-12-13).
Benchmark return in percent; not the index level or excess return.</t>
      </text>
    </comment>
    <comment ref="AP88" authorId="1" shapeId="0">
      <text>
        <t>Horizon close: 2021-12-20
5/21/63 traded sessions after debut; price-only return vs offer.</t>
      </text>
    </comment>
    <comment ref="AQ88" authorId="1" shapeId="0">
      <text>
        <t>Horizon close: 2022-01-12
5/21/63 traded sessions after debut; price-only return vs offer.</t>
      </text>
    </comment>
    <comment ref="AR88" authorId="1" shapeId="0">
      <text>
        <t>Horizon close: 2022-03-16
5/21/63 traded sessions after debut; price-only return vs offer.</t>
      </text>
    </comment>
    <comment ref="AI89" authorId="0" shapeId="0">
      <text>
        <t>Close: HK$16.04
Date: 2021-12-13
Venue: Phillip (etnet news story)
Source: etnet:news https://www.etnet.com.hk/www/tc/stocks/ipo-news-article/20211213559/</t>
      </text>
    </comment>
    <comment ref="AK89" authorId="1" shapeId="0">
      <text>
        <t>Hang Seng Commerce &amp; Industry sub-index
Previous trading close to listing-day close (2021-12-14).
Benchmark return in percent; not the index level or excess return.</t>
      </text>
    </comment>
    <comment ref="AP89" authorId="1" shapeId="0">
      <text>
        <t>Horizon close: 2021-12-21
5/21/63 traded sessions after debut; price-only return vs offer.</t>
      </text>
    </comment>
    <comment ref="AQ89" authorId="1" shapeId="0">
      <text>
        <t>Horizon close: 2022-01-13
5/21/63 traded sessions after debut; price-only return vs offer.</t>
      </text>
    </comment>
    <comment ref="AR89" authorId="1" shapeId="0">
      <text>
        <t>Horizon close: 2022-03-17
5/21/63 traded sessions after debut; price-only return vs offer.</t>
      </text>
    </comment>
    <comment ref="AI90" authorId="0" shapeId="0">
      <text>
        <t>Close: HK$4.48
Date: 2021-12-15
Venue: Phillip (same report context)
Source: press:https://orientaldaily.on.cc/content/產經/odn-20211216-1216_00202_003/港今年新股集資額量料縮 — published closing quote 4.48, +0.44% vs offer; venue Phillip (same report context). GPT archive review, 4 October 2026.</t>
      </text>
    </comment>
    <comment ref="AK90" authorId="1" shapeId="0">
      <text>
        <t>China Biotech ETF (HS biotech proxy)
Previous trading close to listing-day close (2021-12-16).
Benchmark return in percent; not the index level or excess return.</t>
      </text>
    </comment>
    <comment ref="AP90" authorId="1" shapeId="0">
      <text>
        <t>Horizon close: 2021-12-23
5/21/63 traded sessions after debut; price-only return vs offer.</t>
      </text>
    </comment>
    <comment ref="AQ90" authorId="1" shapeId="0">
      <text>
        <t>Horizon close: 2022-01-17
5/21/63 traded sessions after debut; price-only return vs offer.</t>
      </text>
    </comment>
    <comment ref="AR90" authorId="1" shapeId="0">
      <text>
        <t>Horizon close: 2022-03-21
5/21/63 traded sessions after debut; price-only return vs offer.</t>
      </text>
    </comment>
    <comment ref="AI91" authorId="0" shapeId="0">
      <text>
        <t>Close: HK$10.2
Date: 2021-12-15
Venue: Phillip
Source: press:https://orientaldaily.on.cc/content/產經/odn-20211216-1216_00202_003/港今年新股集資額量料縮 — published closing quote 10.2, -8.92% vs offer; venue Phillip. GPT archive review, 4 October 2026.</t>
      </text>
    </comment>
    <comment ref="AK91" authorId="1" shapeId="0">
      <text>
        <t>Hang Seng Index
Previous trading close to listing-day close (2021-12-16).
Benchmark return in percent; not the index level or excess return.</t>
      </text>
    </comment>
    <comment ref="AP91" authorId="1" shapeId="0">
      <text>
        <t>Horizon close: 2021-12-23
5/21/63 traded sessions after debut; price-only return vs offer.</t>
      </text>
    </comment>
    <comment ref="AQ91" authorId="1" shapeId="0">
      <text>
        <t>Horizon close: 2022-01-17
5/21/63 traded sessions after debut; price-only return vs offer.</t>
      </text>
    </comment>
    <comment ref="AR91" authorId="1" shapeId="0">
      <text>
        <t>Horizon close: 2022-03-21
5/21/63 traded sessions after debut; price-only return vs offer.</t>
      </text>
    </comment>
    <comment ref="AI92" authorId="0" shapeId="0">
      <text>
        <t>Close: HK$1.19
Date: 2021-12-16
Venue: Livermore
Source: press:https://hk.stockstar.com/IG2021121600009678.shtml — published closing quote 1.19, +7.21% vs offer; venue Livermore. GPT archive review, 4 October 2026.</t>
      </text>
    </comment>
    <comment ref="AK92" authorId="1" shapeId="0">
      <text>
        <t>Hang Seng Properties sub-index
Previous trading close to listing-day close (2021-12-17).
Benchmark return in percent; not the index level or excess return.</t>
      </text>
    </comment>
    <comment ref="AP92" authorId="1" shapeId="0">
      <text>
        <t>Horizon close: 2021-12-24
5/21/63 traded sessions after debut; price-only return vs offer.</t>
      </text>
    </comment>
    <comment ref="AQ92" authorId="1" shapeId="0">
      <text>
        <t>Horizon close: 2022-01-18
5/21/63 traded sessions after debut; price-only return vs offer.</t>
      </text>
    </comment>
    <comment ref="AR92" authorId="1" shapeId="0">
      <text>
        <t>Horizon close: 2022-03-22
5/21/63 traded sessions after debut; price-only return vs offer.</t>
      </text>
    </comment>
    <comment ref="AI93" authorId="0" shapeId="0">
      <text>
        <t>Close: HK$20.3
Date: 2021-12-22
Venue: Phillip
Source: press:https://www.bastillepost.com/hongkong/article/9856182-新股速遞｜百心安2185暗盤潛水-一手蝕最少475元 — published closing quote 20.3, -4.47% vs offer; venue Phillip. GPT archive review, 4 October 2026.</t>
      </text>
    </comment>
    <comment ref="AK93" authorId="1" shapeId="0">
      <text>
        <t>China Biotech ETF (HS biotech proxy)
Previous trading close to listing-day close (2021-12-23).
Benchmark return in percent; not the index level or excess return.</t>
      </text>
    </comment>
    <comment ref="AP93" authorId="1" shapeId="0">
      <text>
        <t>Horizon close: 2021-12-31
5/21/63 traded sessions after debut; price-only return vs offer.</t>
      </text>
    </comment>
    <comment ref="AQ93" authorId="1" shapeId="0">
      <text>
        <t>Horizon close: 2022-01-24
5/21/63 traded sessions after debut; price-only return vs offer.</t>
      </text>
    </comment>
    <comment ref="AR93" authorId="1" shapeId="0">
      <text>
        <t>Horizon close: 2022-03-28
5/21/63 traded sessions after debut; price-only return vs offer.</t>
      </text>
    </comment>
    <comment ref="AI94" authorId="0" shapeId="0">
      <text>
        <t>Close: HK$50.25
Date: 2021-12-29
Venue: Phillip (same report context)
Source: press:https://dw-media.tkww.hk/epaper/hker/20211230/p16-1230.pdf — published closing quote 50.25, +15.3% vs offer; venue Phillip (same report context). GPT archive review, 4 October 2026.</t>
      </text>
    </comment>
    <comment ref="AK94" authorId="1" shapeId="0">
      <text>
        <t>Hang Seng Commerce &amp; Industry sub-index
Previous trading close to listing-day close (2021-12-30).
Benchmark return in percent; not the index level or excess return.</t>
      </text>
    </comment>
    <comment ref="AP94" authorId="1" shapeId="0">
      <text>
        <t>Horizon close: 2022-01-06
5/21/63 traded sessions after debut; price-only return vs offer.</t>
      </text>
    </comment>
    <comment ref="AQ94" authorId="1" shapeId="0">
      <text>
        <t>Horizon close: 2022-01-28
5/21/63 traded sessions after debut; price-only return vs offer.</t>
      </text>
    </comment>
    <comment ref="AR94" authorId="1" shapeId="0">
      <text>
        <t>Horizon close: 2022-04-01
5/21/63 traded sessions after debut; price-only return vs offer.</t>
      </text>
    </comment>
    <comment ref="AI95" authorId="0" shapeId="0">
      <text>
        <t>Close: HK$65.95
Date: 2021-12-29
Venue: Phillip
Source: press:https://dw-media.tkww.hk/epaper/hker/20211230/p16-1230.pdf — published closing quote 65.95, +0.076% vs offer; venue Phillip. GPT archive review, 4 October 2026.</t>
      </text>
    </comment>
    <comment ref="AK95" authorId="1" shapeId="0">
      <text>
        <t>China Biotech ETF (HS biotech proxy)
Previous trading close to listing-day close (2021-12-30).
Benchmark return in percent; not the index level or excess return.</t>
      </text>
    </comment>
    <comment ref="AP95" authorId="1" shapeId="0">
      <text>
        <t>Horizon close: 2022-01-06
5/21/63 traded sessions after debut; price-only return vs offer.</t>
      </text>
    </comment>
    <comment ref="AQ95" authorId="1" shapeId="0">
      <text>
        <t>Horizon close: 2022-01-28
5/21/63 traded sessions after debut; price-only return vs offer.</t>
      </text>
    </comment>
    <comment ref="AR95" authorId="1" shapeId="0">
      <text>
        <t>Horizon close: 2022-04-01
5/21/63 traded sessions after debut; price-only return vs offer.</t>
      </text>
    </comment>
    <comment ref="AI96" authorId="0" shapeId="0">
      <text>
        <t>Close: HK$3.83
Date: 2021-12-29
Venue: Phillip (etnet news story)
Source: etnet:news https://www.etnet.com.hk/www/tc/stocks/ipo-news-article/20211229939/</t>
      </text>
    </comment>
    <comment ref="AK96" authorId="1" shapeId="0">
      <text>
        <t>HSTECH (Hang Seng TECH ETF)
Previous trading close to listing-day close (2021-12-30).
Benchmark return in percent; not the index level or excess return.</t>
      </text>
    </comment>
    <comment ref="AP96" authorId="1" shapeId="0">
      <text>
        <t>Horizon close: 2022-01-06
5/21/63 traded sessions after debut; price-only return vs offer.</t>
      </text>
    </comment>
    <comment ref="AQ96" authorId="1" shapeId="0">
      <text>
        <t>Horizon close: 2022-01-28
5/21/63 traded sessions after debut; price-only return vs offer.</t>
      </text>
    </comment>
    <comment ref="AR96" authorId="1" shapeId="0">
      <text>
        <t>Horizon close: 2022-04-01
5/21/63 traded sessions after debut; price-only return vs offer.</t>
      </text>
    </comment>
    <comment ref="AI97" authorId="0" shapeId="0">
      <text>
        <t>Close: HK$1.26
Date: 2022-01-10
Venue: Phillip (etnet news story)
Source: etnet:news https://www.etnet.com.hk/www/tc/stocks/ipo-news-article/20220110208/</t>
      </text>
    </comment>
    <comment ref="AK97" authorId="1" shapeId="0">
      <text>
        <t>Hang Seng Commerce &amp; Industry sub-index
Previous trading close to listing-day close (2022-01-11).
Benchmark return in percent; not the index level or excess return.</t>
      </text>
    </comment>
    <comment ref="AP97" authorId="1" shapeId="0">
      <text>
        <t>Horizon close: 2022-01-18
5/21/63 traded sessions after debut; price-only return vs offer.</t>
      </text>
    </comment>
    <comment ref="AQ97" authorId="1" shapeId="0">
      <text>
        <t>Horizon close: 2022-02-14
5/21/63 traded sessions after debut; price-only return vs offer.</t>
      </text>
    </comment>
    <comment ref="AR97" authorId="1" shapeId="0">
      <text>
        <t>Horizon close: 2022-04-14
5/21/63 traded sessions after debut; price-only return vs offer.</t>
      </text>
    </comment>
    <comment ref="AI98" authorId="0" shapeId="0">
      <text>
        <t>Close: HK$27.85
Date: 2022-01-13
Venue: Phillip
Source: press:https://www.stheadline.com/realtime-finance/3020145/新股速遞｜金力永磁6680雙暗盤潛水-一手蝕最多1190元 — published closing quote 27.85, -17.6% vs offer; venue Phillip. GPT archive review, 4 October 2026.</t>
      </text>
    </comment>
    <comment ref="AK98" authorId="1" shapeId="0">
      <text>
        <t>Hang Seng Commerce &amp; Industry sub-index
Previous trading close to listing-day close (2022-01-14).
Benchmark return in percent; not the index level or excess return.</t>
      </text>
    </comment>
    <comment ref="AP98" authorId="1" shapeId="0">
      <text>
        <t>Horizon close: 2022-01-21
5/21/63 traded sessions after debut; price-only return vs offer.</t>
      </text>
    </comment>
    <comment ref="AQ98" authorId="1" shapeId="0">
      <text>
        <t>Horizon close: 2022-02-17
5/21/63 traded sessions after debut; price-only return vs offer.</t>
      </text>
    </comment>
    <comment ref="AR98" authorId="1" shapeId="0">
      <text>
        <t>Horizon close: 2022-04-21
5/21/63 traded sessions after debut; price-only return vs offer.</t>
      </text>
    </comment>
    <comment ref="AI99" authorId="0" shapeId="0">
      <text>
        <t>Close: HK$2.27
Date: 2022-01-14
Venue: Phillip
Source: press:https://www.wenweipo.com/a/202201/15/AP61e1ddd2e4b03103e0c418ac.html — published closing quote 2.27, +10.73% vs offer; venue Phillip. GPT archive review, 4 October 2026.</t>
      </text>
    </comment>
    <comment ref="AK99" authorId="1" shapeId="0">
      <text>
        <t>Hang Seng Index
Previous trading close to listing-day close (2022-01-17).
Benchmark return in percent; not the index level or excess return.</t>
      </text>
    </comment>
    <comment ref="AP99" authorId="1" shapeId="0">
      <text>
        <t>Horizon close: 2022-01-24
5/21/63 traded sessions after debut; price-only return vs offer.</t>
      </text>
    </comment>
    <comment ref="AQ99" authorId="1" shapeId="0">
      <text>
        <t>Horizon close: 2022-02-18
5/21/63 traded sessions after debut; price-only return vs offer.</t>
      </text>
    </comment>
    <comment ref="AR99" authorId="1" shapeId="0">
      <text>
        <t>Horizon close: 2022-04-22
5/21/63 traded sessions after debut; price-only return vs offer.</t>
      </text>
    </comment>
    <comment ref="AI100" authorId="0" shapeId="0">
      <text>
        <t>Close: HK$25.15
Date: 2022-01-26
Venue: Phillip (etnet news story)
Source: etnet:news https://www.etnet.com.hk/www/tc/stocks/ipo-news-article/20220126395/</t>
      </text>
    </comment>
    <comment ref="AK100" authorId="1" shapeId="0">
      <text>
        <t>HSTECH (Hang Seng TECH ETF)
Previous trading close to listing-day close (2022-01-27).
Benchmark return in percent; not the index level or excess return.</t>
      </text>
    </comment>
    <comment ref="AP100" authorId="1" shapeId="0">
      <text>
        <t>Horizon close: 2022-02-08
5/21/63 traded sessions after debut; price-only return vs offer.</t>
      </text>
    </comment>
    <comment ref="AQ100" authorId="1" shapeId="0">
      <text>
        <t>Horizon close: 2022-03-02
5/21/63 traded sessions after debut; price-only return vs offer.</t>
      </text>
    </comment>
    <comment ref="AR100" authorId="1" shapeId="0">
      <text>
        <t>Horizon close: 2022-05-05
5/21/63 traded sessions after debut; price-only return vs offer.</t>
      </text>
    </comment>
    <comment ref="AI101" authorId="0" shapeId="0">
      <text>
        <t>Close: HK$45.1
Date: 2022-02-17
Venue: Phillip (etnet news story)
Source: etnet:news https://www.etnet.com.hk/www/tc/stocks/ipo-news-article/20220217302/</t>
      </text>
    </comment>
    <comment ref="AK101" authorId="1" shapeId="0">
      <text>
        <t>HSTECH (Hang Seng TECH ETF)
Previous trading close to listing-day close (2022-02-18).
Benchmark return in percent; not the index level or excess return.</t>
      </text>
    </comment>
    <comment ref="AP101" authorId="1" shapeId="0">
      <text>
        <t>Horizon close: 2022-02-25
5/21/63 traded sessions after debut; price-only return vs offer.</t>
      </text>
    </comment>
    <comment ref="AQ101" authorId="1" shapeId="0">
      <text>
        <t>Horizon close: 2022-03-21
5/21/63 traded sessions after debut; price-only return vs offer.</t>
      </text>
    </comment>
    <comment ref="AR101" authorId="1" shapeId="0">
      <text>
        <t>Horizon close: 2022-05-25
5/21/63 traded sessions after debut; price-only return vs offer.</t>
      </text>
    </comment>
    <comment ref="AI102" authorId="0" shapeId="0">
      <text>
        <t>Close: HK$1.6
Date: 2022-02-17
Venue: Phillip (etnet news story)
Source: etnet:news https://www.etnet.com.hk/www/tc/stocks/ipo-news-article/20220217303/</t>
      </text>
    </comment>
    <comment ref="AK102" authorId="1" shapeId="0">
      <text>
        <t>China Biotech ETF (HS biotech proxy)
Previous trading close to listing-day close (2022-02-18).
Benchmark return in percent; not the index level or excess return.</t>
      </text>
    </comment>
    <comment ref="AP102" authorId="1" shapeId="0">
      <text>
        <t>Horizon close: 2022-02-25
5/21/63 traded sessions after debut; price-only return vs offer.</t>
      </text>
    </comment>
    <comment ref="AQ102" authorId="1" shapeId="0">
      <text>
        <t>Horizon close: 2022-03-21
5/21/63 traded sessions after debut; price-only return vs offer.</t>
      </text>
    </comment>
    <comment ref="AR102" authorId="1" shapeId="0">
      <text>
        <t>Horizon close: 2022-05-25
5/21/63 traded sessions after debut; price-only return vs offer.</t>
      </text>
    </comment>
    <comment ref="AI103" authorId="0" shapeId="0">
      <text>
        <t>Close: HK$7.16
Date: 2022-02-22
Venue: Phillip (etnet news story)
Source: etnet:news https://www.etnet.com.hk/www/tc/stocks/ipo-news-article/20220222388/</t>
      </text>
    </comment>
    <comment ref="AK103" authorId="1" shapeId="0">
      <text>
        <t>China Biotech ETF (HS biotech proxy)
Previous trading close to listing-day close (2022-02-23).
Benchmark return in percent; not the index level or excess return.</t>
      </text>
    </comment>
    <comment ref="AP103" authorId="1" shapeId="0">
      <text>
        <t>Horizon close: 2022-03-02
5/21/63 traded sessions after debut; price-only return vs offer.</t>
      </text>
    </comment>
    <comment ref="AQ103" authorId="1" shapeId="0">
      <text>
        <t>Horizon close: 2022-03-24
5/21/63 traded sessions after debut; price-only return vs offer.</t>
      </text>
    </comment>
    <comment ref="AR103" authorId="1" shapeId="0">
      <text>
        <t>Horizon close: 2022-05-30
5/21/63 traded sessions after debut; price-only return vs offer.</t>
      </text>
    </comment>
    <comment ref="AI104" authorId="0" shapeId="0">
      <text>
        <t>Close: HK$13.84
Date: 2022-03-21
Venue: Phillip (etnet news story)
Source: etnet:news https://www.etnet.com.hk/www/tc/stocks/ipo-news-article/20220321399/</t>
      </text>
    </comment>
    <comment ref="AK104" authorId="1" shapeId="0">
      <text>
        <t>China Biotech ETF (HS biotech proxy)
Previous trading close to listing-day close (2022-03-22).
Benchmark return in percent; not the index level or excess return.</t>
      </text>
    </comment>
    <comment ref="AP104" authorId="1" shapeId="0">
      <text>
        <t>Horizon close: 2022-03-29
5/21/63 traded sessions after debut; price-only return vs offer.</t>
      </text>
    </comment>
    <comment ref="AQ104" authorId="1" shapeId="0">
      <text>
        <t>Horizon close: 2022-04-25
5/21/63 traded sessions after debut; price-only return vs offer.</t>
      </text>
    </comment>
    <comment ref="AR104" authorId="1" shapeId="0">
      <text>
        <t>Horizon close: 2022-06-27
5/21/63 traded sessions after debut; price-only return vs offer.</t>
      </text>
    </comment>
    <comment ref="AI105" authorId="0" shapeId="0">
      <text>
        <t>Close: HK$23.15
Date: 2022-03-30
Venue: Phillip (etnet news story)
Source: etnet:news https://www.etnet.com.hk/www/tc/stocks/ipo-news-article/20220330211/</t>
      </text>
    </comment>
    <comment ref="AK105" authorId="1" shapeId="0">
      <text>
        <t>Hang Seng Commerce &amp; Industry sub-index
Previous trading close to listing-day close (2022-03-31).
Benchmark return in percent; not the index level or excess return.</t>
      </text>
    </comment>
    <comment ref="AP105" authorId="1" shapeId="0">
      <text>
        <t>Horizon close: 2022-04-08
5/21/63 traded sessions after debut; price-only return vs offer.</t>
      </text>
    </comment>
    <comment ref="AQ105" authorId="1" shapeId="0">
      <text>
        <t>Horizon close: 2022-05-05
5/21/63 traded sessions after debut; price-only return vs offer.</t>
      </text>
    </comment>
    <comment ref="AR105" authorId="1" shapeId="0">
      <text>
        <t>Horizon close: 2022-07-07
5/21/63 traded sessions after debut; price-only return vs offer.</t>
      </text>
    </comment>
    <comment ref="AI106" authorId="0" shapeId="0">
      <text>
        <t>Close: HK$25.5
Date: 2022-03-30
Venue: Phillip (etnet news story)
Source: etnet:news https://www.etnet.com.hk/www/tc/stocks/ipo-news-article/20220330212/</t>
      </text>
    </comment>
    <comment ref="AK106" authorId="1" shapeId="0">
      <text>
        <t>China Biotech ETF (HS biotech proxy)
Previous trading close to listing-day close (2022-03-31).
Benchmark return in percent; not the index level or excess return.</t>
      </text>
    </comment>
    <comment ref="AP106" authorId="1" shapeId="0">
      <text>
        <t>Horizon close: 2022-04-08
5/21/63 traded sessions after debut; price-only return vs offer.</t>
      </text>
    </comment>
    <comment ref="AQ106" authorId="1" shapeId="0">
      <text>
        <t>Horizon close: 2022-05-05
5/21/63 traded sessions after debut; price-only return vs offer.</t>
      </text>
    </comment>
    <comment ref="AR106" authorId="1" shapeId="0">
      <text>
        <t>Horizon close: 2022-07-07
5/21/63 traded sessions after debut; price-only return vs offer.</t>
      </text>
    </comment>
    <comment ref="AI107" authorId="0" shapeId="0">
      <text>
        <t>Close: HK$4.57
Date: 2022-03-30
Venue: Phillip (etnet news story)
Source: etnet:news https://www.etnet.com.hk/www/tc/stocks/ipo-news-article/20220330213/</t>
      </text>
    </comment>
    <comment ref="AK107" authorId="1" shapeId="0">
      <text>
        <t>Hang Seng Properties sub-index
Previous trading close to listing-day close (2022-03-31).
Benchmark return in percent; not the index level or excess return.</t>
      </text>
    </comment>
    <comment ref="AP107" authorId="1" shapeId="0">
      <text>
        <t>Horizon close: 2022-04-08
5/21/63 traded sessions after debut; price-only return vs offer.</t>
      </text>
    </comment>
    <comment ref="AQ107" authorId="1" shapeId="0">
      <text>
        <t>Horizon close: 2022-05-05
5/21/63 traded sessions after debut; price-only return vs offer.</t>
      </text>
    </comment>
    <comment ref="AR107" authorId="1" shapeId="0">
      <text>
        <t>Horizon close: 2022-07-07
5/21/63 traded sessions after debut; price-only return vs offer.</t>
      </text>
    </comment>
    <comment ref="AI108" authorId="0" shapeId="0">
      <text>
        <t>Close: HK$24.8
Date: 2022-04-21
Venue: Phillip (etnet news story)
Source: etnet:news https://www.etnet.com.hk/www/tc/stocks/ipo-news-article/20220421409/</t>
      </text>
    </comment>
    <comment ref="AK108" authorId="1" shapeId="0">
      <text>
        <t>HSTECH (Hang Seng TECH ETF)
Previous trading close to listing-day close (2022-04-22).
Benchmark return in percent; not the index level or excess return.</t>
      </text>
    </comment>
    <comment ref="AP108" authorId="1" shapeId="0">
      <text>
        <t>Horizon close: 2022-04-29
5/21/63 traded sessions after debut; price-only return vs offer.</t>
      </text>
    </comment>
    <comment ref="AQ108" authorId="1" shapeId="0">
      <text>
        <t>Horizon close: 2022-05-25
5/21/63 traded sessions after debut; price-only return vs offer.</t>
      </text>
    </comment>
    <comment ref="AR108" authorId="1" shapeId="0">
      <text>
        <t>Horizon close: 2022-07-26
5/21/63 traded sessions after debut; price-only return vs offer.</t>
      </text>
    </comment>
    <comment ref="AI109" authorId="0" shapeId="0">
      <text>
        <t>Close: HK$12.26
Date: 2022-04-28
Venue: Phillip (etnet news story)
Source: etnet:news https://www.etnet.com.hk/www/tc/stocks/ipo-news-article/20220428405/</t>
      </text>
    </comment>
    <comment ref="AK109" authorId="1" shapeId="0">
      <text>
        <t>Hang Seng Properties sub-index
Previous trading close to listing-day close (2022-04-29).
Benchmark return in percent; not the index level or excess return.</t>
      </text>
    </comment>
    <comment ref="AP109" authorId="1" shapeId="0">
      <text>
        <t>Horizon close: 2022-05-10
5/21/63 traded sessions after debut; price-only return vs offer.</t>
      </text>
    </comment>
    <comment ref="AQ109" authorId="1" shapeId="0">
      <text>
        <t>Horizon close: 2022-06-01
5/21/63 traded sessions after debut; price-only return vs offer.</t>
      </text>
    </comment>
    <comment ref="AR109" authorId="1" shapeId="0">
      <text>
        <t>Horizon close: 2022-08-02
5/21/63 traded sessions after debut; price-only return vs offer.</t>
      </text>
    </comment>
    <comment ref="AI110" authorId="0" shapeId="0">
      <text>
        <t>Close: HK$7.59
Date: 2022-05-17
Venue: Phillip (etnet news story)
Source: etnet:news https://www.etnet.com.hk/www/tc/stocks/ipo-news-article/20220517422/</t>
      </text>
    </comment>
    <comment ref="AK110" authorId="1" shapeId="0">
      <text>
        <t>China Biotech ETF (HS biotech proxy)
Previous trading close to listing-day close (2022-05-18).
Benchmark return in percent; not the index level or excess return.</t>
      </text>
    </comment>
    <comment ref="AP110" authorId="1" shapeId="0">
      <text>
        <t>Horizon close: 2022-05-25
5/21/63 traded sessions after debut; price-only return vs offer.</t>
      </text>
    </comment>
    <comment ref="AQ110" authorId="1" shapeId="0">
      <text>
        <t>Horizon close: 2022-06-17
5/21/63 traded sessions after debut; price-only return vs offer.</t>
      </text>
    </comment>
    <comment ref="AR110" authorId="1" shapeId="0">
      <text>
        <t>Horizon close: 2022-08-17
5/21/63 traded sessions after debut; price-only return vs offer.</t>
      </text>
    </comment>
    <comment ref="AI111" authorId="0" shapeId="0">
      <text>
        <t>Close: HK$2.15
Date: 2022-06-09
Venue: Phillip (etnet news story)
Source: etnet:news https://www.etnet.com.hk/www/tc/stocks/ipo-news-article/20220609361/</t>
      </text>
    </comment>
    <comment ref="AK111" authorId="1" shapeId="0">
      <text>
        <t>Hang Seng Commerce &amp; Industry sub-index
Previous trading close to listing-day close (2022-06-10).
Benchmark return in percent; not the index level or excess return.</t>
      </text>
    </comment>
    <comment ref="AP111" authorId="1" shapeId="0">
      <text>
        <t>Horizon close: 2022-06-17
5/21/63 traded sessions after debut; price-only return vs offer.</t>
      </text>
    </comment>
    <comment ref="AQ111" authorId="1" shapeId="0">
      <text>
        <t>Horizon close: 2022-07-12
5/21/63 traded sessions after debut; price-only return vs offer.</t>
      </text>
    </comment>
    <comment ref="AR111" authorId="1" shapeId="0">
      <text>
        <t>Horizon close: 2022-09-08
5/21/63 traded sessions after debut; price-only return vs offer.</t>
      </text>
    </comment>
    <comment ref="AI112" authorId="0" shapeId="0">
      <text>
        <t>Close: HK$19.54
Date: 2022-06-21
Venue: Phillip (etnet news story)
Source: etnet:news https://www.etnet.com.hk/www/tc/stocks/ipo-news-article/20220621404/</t>
      </text>
    </comment>
    <comment ref="AK112" authorId="1" shapeId="0">
      <text>
        <t>China Biotech ETF (HS biotech proxy)
Previous trading close to listing-day close (2022-06-22).
Benchmark return in percent; not the index level or excess return.</t>
      </text>
    </comment>
    <comment ref="AP112" authorId="1" shapeId="0">
      <text>
        <t>Horizon close: 2022-06-29
5/21/63 traded sessions after debut; price-only return vs offer.</t>
      </text>
    </comment>
    <comment ref="AQ112" authorId="1" shapeId="0">
      <text>
        <t>Horizon close: 2022-07-22
5/21/63 traded sessions after debut; price-only return vs offer.</t>
      </text>
    </comment>
    <comment ref="AR112" authorId="1" shapeId="0">
      <text>
        <t>Horizon close: 2022-09-21
5/21/63 traded sessions after debut; price-only return vs offer.</t>
      </text>
    </comment>
    <comment ref="AI113" authorId="0" shapeId="0">
      <text>
        <t>Close: HK$21.1
Date: 2022-06-23
Venue: Phillip (etnet news story)
Source: etnet:news https://www.etnet.com.hk/www/tc/stocks/ipo-news-article/20220623407/</t>
      </text>
    </comment>
    <comment ref="AK113" authorId="1" shapeId="0">
      <text>
        <t>Hang Seng Commerce &amp; Industry sub-index
Previous trading close to listing-day close (2022-06-24).
Benchmark return in percent; not the index level or excess return.</t>
      </text>
    </comment>
    <comment ref="AP113" authorId="1" shapeId="0">
      <text>
        <t>Horizon close: 2022-07-04
5/21/63 traded sessions after debut; price-only return vs offer.</t>
      </text>
    </comment>
    <comment ref="AQ113" authorId="1" shapeId="0">
      <text>
        <t>Horizon close: 2022-07-26
5/21/63 traded sessions after debut; price-only return vs offer.</t>
      </text>
    </comment>
    <comment ref="AR113" authorId="1" shapeId="0">
      <text>
        <t>Horizon close: 2022-09-23
5/21/63 traded sessions after debut; price-only return vs offer.</t>
      </text>
    </comment>
    <comment ref="AI114" authorId="0" shapeId="0">
      <text>
        <t>Close: HK$10.82
Date: 2022-06-29
Venue: Phillip (etnet news story)
Source: etnet:news https://www.etnet.com.hk/www/tc/stocks/ipo-news-article/20220629405/</t>
      </text>
    </comment>
    <comment ref="AK114" authorId="1" shapeId="0">
      <text>
        <t>HSTECH (Hang Seng TECH ETF)
Previous trading close to listing-day close (2022-06-30).
Benchmark return in percent; not the index level or excess return.</t>
      </text>
    </comment>
    <comment ref="AP114" authorId="1" shapeId="0">
      <text>
        <t>Horizon close: 2022-07-08
5/21/63 traded sessions after debut; price-only return vs offer.</t>
      </text>
    </comment>
    <comment ref="AQ114" authorId="1" shapeId="0">
      <text>
        <t>Horizon close: 2022-08-01
5/21/63 traded sessions after debut; price-only return vs offer.</t>
      </text>
    </comment>
    <comment ref="AR114" authorId="1" shapeId="0">
      <text>
        <t>Horizon close: 2022-09-29
5/21/63 traded sessions after debut; price-only return vs offer.</t>
      </text>
    </comment>
    <comment ref="AI115" authorId="0" shapeId="0">
      <text>
        <t>Close: HK$0.65
Date: 2022-06-29
Venue: Phillip (etnet news story)
Source: etnet:news https://www.etnet.com.hk/www/tc/stocks/ipo-news-article/20220629406/</t>
      </text>
    </comment>
    <comment ref="AK115" authorId="1" shapeId="0">
      <text>
        <t>Hang Seng Commerce &amp; Industry sub-index
Previous trading close to listing-day close (2022-06-30).
Benchmark return in percent; not the index level or excess return.</t>
      </text>
    </comment>
    <comment ref="AP115" authorId="1" shapeId="0">
      <text>
        <t>Horizon close: 2022-07-08
5/21/63 traded sessions after debut; price-only return vs offer.</t>
      </text>
    </comment>
    <comment ref="AQ115" authorId="1" shapeId="0">
      <text>
        <t>Horizon close: 2022-08-01
5/21/63 traded sessions after debut; price-only return vs offer.</t>
      </text>
    </comment>
    <comment ref="AR115" authorId="1" shapeId="0">
      <text>
        <t>Horizon close: 2022-09-29
5/21/63 traded sessions after debut; price-only return vs offer.</t>
      </text>
    </comment>
    <comment ref="AI116" authorId="0" shapeId="0">
      <text>
        <t>Close: HK$19.62
Date: 2022-07-04
Venue: Phillip (etnet news story)
Source: etnet:news https://www.etnet.com.hk/www/tc/stocks/ipo-news-article/20220704408/</t>
      </text>
    </comment>
    <comment ref="AK116" authorId="1" shapeId="0">
      <text>
        <t>HSTECH (Hang Seng TECH ETF)
Previous trading close to listing-day close (2022-07-05).
Benchmark return in percent; not the index level or excess return.</t>
      </text>
    </comment>
    <comment ref="AP116" authorId="1" shapeId="0">
      <text>
        <t>Horizon close: 2022-07-12
5/21/63 traded sessions after debut; price-only return vs offer.</t>
      </text>
    </comment>
    <comment ref="AQ116" authorId="1" shapeId="0">
      <text>
        <t>Horizon close: 2022-08-03
5/21/63 traded sessions after debut; price-only return vs offer.</t>
      </text>
    </comment>
    <comment ref="AR116" authorId="1" shapeId="0">
      <text>
        <t>Horizon close: 2022-10-03
5/21/63 traded sessions after debut; price-only return vs offer.</t>
      </text>
    </comment>
    <comment ref="AI117" authorId="0" shapeId="0">
      <text>
        <t>Close: HK$30.4
Date: 2022-07-05
Venue: Phillip (etnet news story)
Source: etnet:news https://www.etnet.com.hk/www/tc/stocks/ipo-news-article/20220705393/</t>
      </text>
    </comment>
    <comment ref="AK117" authorId="1" shapeId="0">
      <text>
        <t>China Biotech ETF (HS biotech proxy)
Previous trading close to listing-day close (2022-07-06).
Benchmark return in percent; not the index level or excess return.</t>
      </text>
    </comment>
    <comment ref="AP117" authorId="1" shapeId="0">
      <text>
        <t>Horizon close: 2022-07-13
5/21/63 traded sessions after debut; price-only return vs offer.</t>
      </text>
    </comment>
    <comment ref="AQ117" authorId="1" shapeId="0">
      <text>
        <t>Horizon close: 2022-08-04
5/21/63 traded sessions after debut; price-only return vs offer.</t>
      </text>
    </comment>
    <comment ref="AR117" authorId="1" shapeId="0">
      <text>
        <t>Horizon close: 2022-10-05
5/21/63 traded sessions after debut; price-only return vs offer.</t>
      </text>
    </comment>
    <comment ref="AI118" authorId="0" shapeId="0">
      <text>
        <t>Close: HK$5.64
Date: 2022-07-07
Venue: Phillip (etnet news story)
Source: etnet:news https://www.etnet.com.hk/www/tc/stocks/ipo-news-article/20220707365/</t>
      </text>
    </comment>
    <comment ref="AK118" authorId="1" shapeId="0">
      <text>
        <t>Hang Seng Properties sub-index
Previous trading close to listing-day close (2022-07-08).
Benchmark return in percent; not the index level or excess return.</t>
      </text>
    </comment>
    <comment ref="AP118" authorId="1" shapeId="0">
      <text>
        <t>Horizon close: 2022-07-15
5/21/63 traded sessions after debut; price-only return vs offer.</t>
      </text>
    </comment>
    <comment ref="AQ118" authorId="1" shapeId="0">
      <text>
        <t>Horizon close: 2022-08-08
5/21/63 traded sessions after debut; price-only return vs offer.</t>
      </text>
    </comment>
    <comment ref="AR118" authorId="1" shapeId="0">
      <text>
        <t>Horizon close: 2022-10-07
5/21/63 traded sessions after debut; price-only return vs offer.</t>
      </text>
    </comment>
    <comment ref="AI119" authorId="0" shapeId="0">
      <text>
        <t>Close: HK$6.2
Date: 2022-07-07
Venue: Phillip (etnet news story)
Source: etnet:news https://www.etnet.com.hk/www/tc/stocks/ipo-news-article/20220707366/</t>
      </text>
    </comment>
    <comment ref="AK119" authorId="1" shapeId="0">
      <text>
        <t>HSTECH (Hang Seng TECH ETF)
Previous trading close to listing-day close (2022-07-08).
Benchmark return in percent; not the index level or excess return.</t>
      </text>
    </comment>
    <comment ref="AP119" authorId="1" shapeId="0">
      <text>
        <t>Horizon close: 2022-07-15
5/21/63 traded sessions after debut; price-only return vs offer.</t>
      </text>
    </comment>
    <comment ref="AQ119" authorId="1" shapeId="0">
      <text>
        <t>Horizon close: 2022-08-08
5/21/63 traded sessions after debut; price-only return vs offer.</t>
      </text>
    </comment>
    <comment ref="AR119" authorId="1" shapeId="0">
      <text>
        <t>Horizon close: 2022-10-07
5/21/63 traded sessions after debut; price-only return vs offer.</t>
      </text>
    </comment>
    <comment ref="AI120" authorId="0" shapeId="0">
      <text>
        <t>Close: HK$6.2
Date: 2022-07-07
Venue: Phillip (etnet news story)
Source: etnet:news https://www.etnet.com.hk/www/tc/stocks/ipo-news-article/20220707364/</t>
      </text>
    </comment>
    <comment ref="AK120" authorId="1" shapeId="0">
      <text>
        <t>China Biotech ETF (HS biotech proxy)
Previous trading close to listing-day close (2022-07-08).
Benchmark return in percent; not the index level or excess return.</t>
      </text>
    </comment>
    <comment ref="AP120" authorId="1" shapeId="0">
      <text>
        <t>Horizon close: 2022-07-15
5/21/63 traded sessions after debut; price-only return vs offer.</t>
      </text>
    </comment>
    <comment ref="AQ120" authorId="1" shapeId="0">
      <text>
        <t>Horizon close: 2022-08-08
5/21/63 traded sessions after debut; price-only return vs offer.</t>
      </text>
    </comment>
    <comment ref="AR120" authorId="1" shapeId="0">
      <text>
        <t>Horizon close: 2022-10-07
5/21/63 traded sessions after debut; price-only return vs offer.</t>
      </text>
    </comment>
    <comment ref="AI121" authorId="0" shapeId="0">
      <text>
        <t>Close: HK$4.6
Date: 2022-07-11
Venue: Phillip (etnet news story)
Source: etnet:news https://www.etnet.com.hk/www/tc/stocks/ipo-news-article/20220711404/</t>
      </text>
    </comment>
    <comment ref="AK121" authorId="1" shapeId="0">
      <text>
        <t>China Biotech ETF (HS biotech proxy)
Previous trading close to listing-day close (2022-07-12).
Benchmark return in percent; not the index level or excess return.</t>
      </text>
    </comment>
    <comment ref="AP121" authorId="1" shapeId="0">
      <text>
        <t>Horizon close: 2022-07-19
5/21/63 traded sessions after debut; price-only return vs offer.</t>
      </text>
    </comment>
    <comment ref="AQ121" authorId="1" shapeId="0">
      <text>
        <t>Horizon close: 2022-08-10
5/21/63 traded sessions after debut; price-only return vs offer.</t>
      </text>
    </comment>
    <comment ref="AR121" authorId="1" shapeId="0">
      <text>
        <t>Horizon close: 2022-10-11
5/21/63 traded sessions after debut; price-only return vs offer.</t>
      </text>
    </comment>
    <comment ref="AI122" authorId="0" shapeId="0">
      <text>
        <t>Close: HK$7.37
Date: 2022-07-11
Venue: Phillip (etnet news story)
Source: etnet:news https://www.etnet.com.hk/www/tc/stocks/ipo-news-article/20220711405/</t>
      </text>
    </comment>
    <comment ref="AK122" authorId="1" shapeId="0">
      <text>
        <t>HSTECH (Hang Seng TECH ETF)
Previous trading close to listing-day close (2022-07-12).
Benchmark return in percent; not the index level or excess return.</t>
      </text>
    </comment>
    <comment ref="AP122" authorId="1" shapeId="0">
      <text>
        <t>Horizon close: 2022-07-19
5/21/63 traded sessions after debut; price-only return vs offer.</t>
      </text>
    </comment>
    <comment ref="AQ122" authorId="1" shapeId="0">
      <text>
        <t>Horizon close: 2022-08-10
5/21/63 traded sessions after debut; price-only return vs offer.</t>
      </text>
    </comment>
    <comment ref="AR122" authorId="1" shapeId="0">
      <text>
        <t>Horizon close: 2022-10-11
5/21/63 traded sessions after debut; price-only return vs offer.</t>
      </text>
    </comment>
    <comment ref="AI123" authorId="0" shapeId="0">
      <text>
        <t>Close: HK$13.2
Date: 2022-07-12
Venue: Phillip (etnet news story)
Source: etnet:news https://www.etnet.com.hk/www/tc/stocks/ipo-news-article/20220712390/</t>
      </text>
    </comment>
    <comment ref="AK123" authorId="1" shapeId="0">
      <text>
        <t>Hang Seng Commerce &amp; Industry sub-index
Previous trading close to listing-day close (2022-07-13).
Benchmark return in percent; not the index level or excess return.</t>
      </text>
    </comment>
    <comment ref="AP123" authorId="1" shapeId="0">
      <text>
        <t>Horizon close: 2022-07-20
5/21/63 traded sessions after debut; price-only return vs offer.</t>
      </text>
    </comment>
    <comment ref="AQ123" authorId="1" shapeId="0">
      <text>
        <t>Horizon close: 2022-08-11
5/21/63 traded sessions after debut; price-only return vs offer.</t>
      </text>
    </comment>
    <comment ref="AR123" authorId="1" shapeId="0">
      <text>
        <t>Horizon close: 2022-10-12
5/21/63 traded sessions after debut; price-only return vs offer.</t>
      </text>
    </comment>
    <comment ref="AI124" authorId="0" shapeId="0">
      <text>
        <t>Close: HK$5.59
Date: 2022-07-12
Venue: Phillip (etnet news story)
Source: etnet:news https://www.etnet.com.hk/www/tc/stocks/ipo-news-article/20220712389/</t>
      </text>
    </comment>
    <comment ref="AK124" authorId="1" shapeId="0">
      <text>
        <t>Hang Seng Commerce &amp; Industry sub-index
Previous trading close to listing-day close (2022-07-13).
Benchmark return in percent; not the index level or excess return.</t>
      </text>
    </comment>
    <comment ref="AP124" authorId="1" shapeId="0">
      <text>
        <t>Horizon close: 2022-07-20
5/21/63 traded sessions after debut; price-only return vs offer.</t>
      </text>
    </comment>
    <comment ref="AQ124" authorId="1" shapeId="0">
      <text>
        <t>Horizon close: 2022-08-11
5/21/63 traded sessions after debut; price-only return vs offer.</t>
      </text>
    </comment>
    <comment ref="AR124" authorId="1" shapeId="0">
      <text>
        <t>Horizon close: 2022-10-12
5/21/63 traded sessions after debut; price-only return vs offer.</t>
      </text>
    </comment>
    <comment ref="AI125" authorId="0" shapeId="0">
      <text>
        <t>Close: HK$275
Date: 2022-07-12
Venue: Phillip (etnet news story)
Source: etnet:news https://www.etnet.com.hk/www/tc/stocks/ipo-news-article/20220712387/</t>
      </text>
    </comment>
    <comment ref="AK125" authorId="1" shapeId="0">
      <text>
        <t>Hang Seng Finance sub-index
Previous trading close to listing-day close (2022-07-13).
Benchmark return in percent; not the index level or excess return.</t>
      </text>
    </comment>
    <comment ref="AP125" authorId="1" shapeId="0">
      <text>
        <t>Horizon close: 2022-07-20
5/21/63 traded sessions after debut; price-only return vs offer.</t>
      </text>
    </comment>
    <comment ref="AQ125" authorId="1" shapeId="0">
      <text>
        <t>Horizon close: 2022-08-11
5/21/63 traded sessions after debut; price-only return vs offer.</t>
      </text>
    </comment>
    <comment ref="AR125" authorId="1" shapeId="0">
      <text>
        <t>Horizon close: 2022-10-12
5/21/63 traded sessions after debut; price-only return vs offer.</t>
      </text>
    </comment>
    <comment ref="AI126" authorId="0" shapeId="0">
      <text>
        <t>Close: HK$75.5
Date: 2022-07-12
Venue: Phillip (etnet news story)
Source: etnet:news https://www.etnet.com.hk/www/tc/stocks/ipo-news-article/20220712388/</t>
      </text>
    </comment>
    <comment ref="AK126" authorId="1" shapeId="0">
      <text>
        <t>Hang Seng Commerce &amp; Industry sub-index
Previous trading close to listing-day close (2022-07-13).
Benchmark return in percent; not the index level or excess return.</t>
      </text>
    </comment>
    <comment ref="AP126" authorId="1" shapeId="0">
      <text>
        <t>Horizon close: 2022-07-20
5/21/63 traded sessions after debut; price-only return vs offer.</t>
      </text>
    </comment>
    <comment ref="AQ126" authorId="1" shapeId="0">
      <text>
        <t>Horizon close: 2022-08-11
5/21/63 traded sessions after debut; price-only return vs offer.</t>
      </text>
    </comment>
    <comment ref="AR126" authorId="1" shapeId="0">
      <text>
        <t>Horizon close: 2022-10-12
5/21/63 traded sessions after debut; price-only return vs offer.</t>
      </text>
    </comment>
    <comment ref="AI127" authorId="0" shapeId="0">
      <text>
        <t>Close: HK$1.71
Date: 2022-07-14
Venue: Phillip (etnet news story)
Source: etnet:news https://www.etnet.com.hk/www/tc/stocks/ipo-news-article/20220714384/</t>
      </text>
    </comment>
    <comment ref="AK127" authorId="1" shapeId="0">
      <text>
        <t>Hang Seng Commerce &amp; Industry sub-index
Previous trading close to listing-day close (2022-07-15).
Benchmark return in percent; not the index level or excess return.</t>
      </text>
    </comment>
    <comment ref="AP127" authorId="1" shapeId="0">
      <text>
        <t>Horizon close: 2022-07-22
5/21/63 traded sessions after debut; price-only return vs offer.</t>
      </text>
    </comment>
    <comment ref="AQ127" authorId="1" shapeId="0">
      <text>
        <t>Horizon close: 2022-08-15
5/21/63 traded sessions after debut; price-only return vs offer.</t>
      </text>
    </comment>
    <comment ref="AR127" authorId="1" shapeId="0">
      <text>
        <t>Horizon close: 2022-10-14
5/21/63 traded sessions after debut; price-only return vs offer.</t>
      </text>
    </comment>
    <comment ref="AI128" authorId="0" shapeId="0">
      <text>
        <t>Close: HK$1.13
Date: 2022-07-14
Venue: Phillip (etnet news story)
Source: etnet:news https://www.etnet.com.hk/www/tc/stocks/ipo-news-article/20220714383/</t>
      </text>
    </comment>
    <comment ref="AK128" authorId="1" shapeId="0">
      <text>
        <t>HSTECH (Hang Seng TECH ETF)
Previous trading close to listing-day close (2022-07-15).
Benchmark return in percent; not the index level or excess return.</t>
      </text>
    </comment>
    <comment ref="AP128" authorId="1" shapeId="0">
      <text>
        <t>Horizon close: 2022-07-22
5/21/63 traded sessions after debut; price-only return vs offer.</t>
      </text>
    </comment>
    <comment ref="AQ128" authorId="1" shapeId="0">
      <text>
        <t>Horizon close: 2022-08-15
5/21/63 traded sessions after debut; price-only return vs offer.</t>
      </text>
    </comment>
    <comment ref="AR128" authorId="1" shapeId="0">
      <text>
        <t>Horizon close: 2022-10-14
5/21/63 traded sessions after debut; price-only return vs offer.</t>
      </text>
    </comment>
    <comment ref="AI129" authorId="0" shapeId="0">
      <text>
        <t>Close: HK$24.55
Date: 2022-07-14
Venue: Phillip (etnet news story)
Source: etnet:news https://www.etnet.com.hk/www/tc/stocks/ipo-news-article/20220714385/</t>
      </text>
    </comment>
    <comment ref="AK129" authorId="1" shapeId="0">
      <text>
        <t>China Biotech ETF (HS biotech proxy)
Previous trading close to listing-day close (2022-07-15).
Benchmark return in percent; not the index level or excess return.</t>
      </text>
    </comment>
    <comment ref="AP129" authorId="1" shapeId="0">
      <text>
        <t>Horizon close: 2022-07-22
5/21/63 traded sessions after debut; price-only return vs offer.</t>
      </text>
    </comment>
    <comment ref="AQ129" authorId="1" shapeId="0">
      <text>
        <t>Horizon close: 2022-08-15
5/21/63 traded sessions after debut; price-only return vs offer.</t>
      </text>
    </comment>
    <comment ref="AR129" authorId="1" shapeId="0">
      <text>
        <t>Horizon close: 2022-10-14
5/21/63 traded sessions after debut; price-only return vs offer.</t>
      </text>
    </comment>
    <comment ref="AI130" authorId="0" shapeId="0">
      <text>
        <t>Close: HK$0.375
Date: 2022-07-15
Venue: Phillip (etnet news story)
Source: etnet:news https://www.etnet.com.hk/www/tc/stocks/ipo-news-article/20220715426/</t>
      </text>
    </comment>
    <comment ref="AK130" authorId="1" shapeId="0">
      <text>
        <t>Hang Seng Commerce &amp; Industry sub-index
Previous trading close to listing-day close (2022-07-18).
Benchmark return in percent; not the index level or excess return.</t>
      </text>
    </comment>
    <comment ref="AP130" authorId="1" shapeId="0">
      <text>
        <t>Horizon close: 2022-07-25
5/21/63 traded sessions after debut; price-only return vs offer.</t>
      </text>
    </comment>
    <comment ref="AQ130" authorId="1" shapeId="0">
      <text>
        <t>Horizon close: 2022-08-16
5/21/63 traded sessions after debut; price-only return vs offer.</t>
      </text>
    </comment>
    <comment ref="AR130" authorId="1" shapeId="0">
      <text>
        <t>Horizon close: 2022-10-17
5/21/63 traded sessions after debut; price-only return vs offer.</t>
      </text>
    </comment>
    <comment ref="AI131" authorId="0" shapeId="0">
      <text>
        <t>Close: HK$27.05
Date: 2022-08-09
Venue: Phillip (etnet news story)
Source: etnet:news https://www.etnet.com.hk/www/tc/stocks/ipo-news-article/20220809365/</t>
      </text>
    </comment>
    <comment ref="AK131" authorId="1" shapeId="0">
      <text>
        <t>Hang Seng Index
Previous trading close to listing-day close (2022-08-10).
Benchmark return in percent; not the index level or excess return.</t>
      </text>
    </comment>
    <comment ref="AP131" authorId="1" shapeId="0">
      <text>
        <t>Horizon close: 2022-08-17
5/21/63 traded sessions after debut; price-only return vs offer.</t>
      </text>
    </comment>
    <comment ref="AQ131" authorId="1" shapeId="0">
      <text>
        <t>Horizon close: 2022-09-08
5/21/63 traded sessions after debut; price-only return vs offer.</t>
      </text>
    </comment>
    <comment ref="AR131" authorId="1" shapeId="0">
      <text>
        <t>Horizon close: 2022-11-09
5/21/63 traded sessions after debut; price-only return vs offer.</t>
      </text>
    </comment>
    <comment ref="AI132" authorId="0" shapeId="0">
      <text>
        <t>Close: HK$0.86
Date: 2022-08-18
Venue: Phillip (etnet news story)
Source: etnet:news https://www.etnet.com.hk/www/tc/stocks/ipo-news-article/20220818381/</t>
      </text>
    </comment>
    <comment ref="AK132" authorId="1" shapeId="0">
      <text>
        <t>Hang Seng Commerce &amp; Industry sub-index
Previous trading close to listing-day close (2022-08-19).
Benchmark return in percent; not the index level or excess return.</t>
      </text>
    </comment>
    <comment ref="AP132" authorId="1" shapeId="0">
      <text>
        <t>Horizon close: 2022-08-26
5/21/63 traded sessions after debut; price-only return vs offer.</t>
      </text>
    </comment>
    <comment ref="AQ132" authorId="1" shapeId="0">
      <text>
        <t>Horizon close: 2022-09-20
5/21/63 traded sessions after debut; price-only return vs offer.</t>
      </text>
    </comment>
    <comment ref="AR132" authorId="1" shapeId="0">
      <text>
        <t>Horizon close: 2022-11-18
5/21/63 traded sessions after debut; price-only return vs offer.</t>
      </text>
    </comment>
    <comment ref="AI133" authorId="0" shapeId="0">
      <text>
        <t>Close: HK$8.49
Date: 2022-08-23
Venue: Phillip (etnet news story)
Source: etnet:news https://www.etnet.com.hk/www/tc/stocks/ipo-news-article/20220823383/</t>
      </text>
    </comment>
    <comment ref="AK133" authorId="1" shapeId="0">
      <text>
        <t>Hang Seng Properties sub-index
Previous trading close to listing-day close (2022-08-24).
Benchmark return in percent; not the index level or excess return.</t>
      </text>
    </comment>
    <comment ref="AP133" authorId="1" shapeId="0">
      <text>
        <t>Horizon close: 2022-08-31
5/21/63 traded sessions after debut; price-only return vs offer.</t>
      </text>
    </comment>
    <comment ref="AQ133" authorId="1" shapeId="0">
      <text>
        <t>Horizon close: 2022-09-23
5/21/63 traded sessions after debut; price-only return vs offer.</t>
      </text>
    </comment>
    <comment ref="AR133" authorId="1" shapeId="0">
      <text>
        <t>Horizon close: 2022-11-23
5/21/63 traded sessions after debut; price-only return vs offer.</t>
      </text>
    </comment>
    <comment ref="AI134" authorId="0" shapeId="0">
      <text>
        <t>Close: HK$150.5
Date: 2022-08-24
Venue: Phillip (etnet news story)
Source: etnet:news https://www.etnet.com.hk/www/tc/stocks/ipo-news-article/20220824396/</t>
      </text>
    </comment>
    <comment ref="AK134" authorId="1" shapeId="0">
      <text>
        <t>Hang Seng Commerce &amp; Industry sub-index
Previous trading close to listing-day close (2022-08-25).
Benchmark return in percent; not the index level or excess return.</t>
      </text>
    </comment>
    <comment ref="AP134" authorId="1" shapeId="0">
      <text>
        <t>Horizon close: 2022-09-01
5/21/63 traded sessions after debut; price-only return vs offer.</t>
      </text>
    </comment>
    <comment ref="AQ134" authorId="1" shapeId="0">
      <text>
        <t>Horizon close: 2022-09-26
5/21/63 traded sessions after debut; price-only return vs offer.</t>
      </text>
    </comment>
    <comment ref="AR134" authorId="1" shapeId="0">
      <text>
        <t>Horizon close: 2022-11-24
5/21/63 traded sessions after debut; price-only return vs offer.</t>
      </text>
    </comment>
    <comment ref="AI135" authorId="0" shapeId="0">
      <text>
        <t>Close: HK$26.5
Date: 2022-08-31
Venue: Phillip (etnet news story)
Source: etnet:news https://www.etnet.com.hk/www/tc/stocks/ipo-news-article/20220831405/</t>
      </text>
    </comment>
    <comment ref="AK135" authorId="1" shapeId="0">
      <text>
        <t>China Biotech ETF (HS biotech proxy)
Previous trading close to listing-day close (2022-09-01).
Benchmark return in percent; not the index level or excess return.</t>
      </text>
    </comment>
    <comment ref="AP135" authorId="1" shapeId="0">
      <text>
        <t>Horizon close: 2022-09-08
5/21/63 traded sessions after debut; price-only return vs offer.</t>
      </text>
    </comment>
    <comment ref="AQ135" authorId="1" shapeId="0">
      <text>
        <t>Horizon close: 2022-10-03
5/21/63 traded sessions after debut; price-only return vs offer.</t>
      </text>
    </comment>
    <comment ref="AR135" authorId="1" shapeId="0">
      <text>
        <t>Horizon close: 2022-12-01
5/21/63 traded sessions after debut; price-only return vs offer.</t>
      </text>
    </comment>
    <comment ref="AI136" authorId="0" shapeId="0">
      <text>
        <t>Close: HK$12.1
Date: 2022-09-13
Venue: Phillip (etnet news story)
Source: etnet:news https://www.etnet.com.hk/www/tc/stocks/ipo-news-article/20220913399/</t>
      </text>
    </comment>
    <comment ref="AK136" authorId="1" shapeId="0">
      <text>
        <t>China Biotech ETF (HS biotech proxy)
Previous trading close to listing-day close (2022-09-14).
Benchmark return in percent; not the index level or excess return.</t>
      </text>
    </comment>
    <comment ref="AP136" authorId="1" shapeId="0">
      <text>
        <t>Horizon close: 2022-09-21
5/21/63 traded sessions after debut; price-only return vs offer.</t>
      </text>
    </comment>
    <comment ref="AQ136" authorId="1" shapeId="0">
      <text>
        <t>Horizon close: 2022-10-14
5/21/63 traded sessions after debut; price-only return vs offer.</t>
      </text>
    </comment>
    <comment ref="AR136" authorId="1" shapeId="0">
      <text>
        <t>Horizon close: 2022-12-13
5/21/63 traded sessions after debut; price-only return vs offer.</t>
      </text>
    </comment>
    <comment ref="AI137" authorId="0" shapeId="0">
      <text>
        <t>Close: HK$0.88
Date: 2022-09-23
Venue: Phillip (etnet news story)
Source: etnet:news https://www.etnet.com.hk/www/tc/stocks/ipo-news-article/20220923406/</t>
      </text>
    </comment>
    <comment ref="AK137" authorId="1" shapeId="0">
      <text>
        <t>Hang Seng Commerce &amp; Industry sub-index
Previous trading close to listing-day close (2022-09-26).
Benchmark return in percent; not the index level or excess return.</t>
      </text>
    </comment>
    <comment ref="AP137" authorId="1" shapeId="0">
      <text>
        <t>Horizon close: 2022-10-03
5/21/63 traded sessions after debut; price-only return vs offer.</t>
      </text>
    </comment>
    <comment ref="AQ137" authorId="1" shapeId="0">
      <text>
        <t>Horizon close: 2022-10-26
5/21/63 traded sessions after debut; price-only return vs offer.</t>
      </text>
    </comment>
    <comment ref="AR137" authorId="1" shapeId="0">
      <text>
        <t>Horizon close: 2022-12-23
5/21/63 traded sessions after debut; price-only return vs offer.</t>
      </text>
    </comment>
    <comment ref="AI138" authorId="0" shapeId="0">
      <text>
        <t>Close: HK$41
Date: 2022-09-28
Venue: Phillip (etnet news story)
Source: etnet:news https://www.etnet.com.hk/www/tc/stocks/ipo-news-article/20220928175/</t>
      </text>
    </comment>
    <comment ref="AK138" authorId="1" shapeId="0">
      <text>
        <t>Hang Seng Commerce &amp; Industry sub-index
Previous trading close to listing-day close (2022-09-29).
Benchmark return in percent; not the index level or excess return.</t>
      </text>
    </comment>
    <comment ref="AP138" authorId="1" shapeId="0">
      <text>
        <t>Horizon close: 2022-10-07
5/21/63 traded sessions after debut; price-only return vs offer.</t>
      </text>
    </comment>
    <comment ref="AQ138" authorId="1" shapeId="0">
      <text>
        <t>Horizon close: 2022-10-31
5/21/63 traded sessions after debut; price-only return vs offer.</t>
      </text>
    </comment>
    <comment ref="AR138" authorId="1" shapeId="0">
      <text>
        <t>Horizon close: 2022-12-30
5/21/63 traded sessions after debut; price-only return vs offer.</t>
      </text>
    </comment>
    <comment ref="AI139" authorId="0" shapeId="0">
      <text>
        <t>Close: HK$45.3
Date: 2022-09-28
Venue: Phillip (etnet news story)
Source: etnet:news https://www.etnet.com.hk/www/tc/stocks/ipo-news-article/20220928174/</t>
      </text>
    </comment>
    <comment ref="AK139" authorId="1" shapeId="0">
      <text>
        <t>Hang Seng Properties sub-index
Previous trading close to listing-day close (2022-09-29).
Benchmark return in percent; not the index level or excess return.</t>
      </text>
    </comment>
    <comment ref="AP139" authorId="1" shapeId="0">
      <text>
        <t>Horizon close: 2022-10-07
5/21/63 traded sessions after debut; price-only return vs offer.</t>
      </text>
    </comment>
    <comment ref="AQ139" authorId="1" shapeId="0">
      <text>
        <t>Horizon close: 2022-10-31
5/21/63 traded sessions after debut; price-only return vs offer.</t>
      </text>
    </comment>
    <comment ref="AR139" authorId="1" shapeId="0">
      <text>
        <t>Horizon close: 2022-12-30
5/21/63 traded sessions after debut; price-only return vs offer.</t>
      </text>
    </comment>
    <comment ref="AI140" authorId="0" shapeId="0">
      <text>
        <t>Close: HK$15.98
Date: 2022-10-05
Venue: Phillip (etnet news story)
Source: etnet:news https://www.etnet.com.hk/www/tc/stocks/ipo-news-article/20221005969/</t>
      </text>
    </comment>
    <comment ref="AK140" authorId="1" shapeId="0">
      <text>
        <t>China Biotech ETF (HS biotech proxy)
Previous trading close to listing-day close (2022-10-06).
Benchmark return in percent; not the index level or excess return.</t>
      </text>
    </comment>
    <comment ref="AP140" authorId="1" shapeId="0">
      <text>
        <t>Horizon close: 2022-10-13
5/21/63 traded sessions after debut; price-only return vs offer.</t>
      </text>
    </comment>
    <comment ref="AQ140" authorId="1" shapeId="0">
      <text>
        <t>Horizon close: 2022-11-04
5/21/63 traded sessions after debut; price-only return vs offer.</t>
      </text>
    </comment>
    <comment ref="AR140" authorId="1" shapeId="0">
      <text>
        <t>Horizon close: 2023-01-06
5/21/63 traded sessions after debut; price-only return vs offer.</t>
      </text>
    </comment>
    <comment ref="AI141" authorId="0" shapeId="0">
      <text>
        <t>Close: HK$38
Date: 2022-10-05
Venue: Phillip (etnet news story)
Source: etnet:news https://www.etnet.com.hk/www/tc/stocks/ipo-news-article/20221005970/</t>
      </text>
    </comment>
    <comment ref="AK141" authorId="1" shapeId="0">
      <text>
        <t>Hang Seng Commerce &amp; Industry sub-index
Previous trading close to listing-day close (2022-10-06).
Benchmark return in percent; not the index level or excess return.</t>
      </text>
    </comment>
    <comment ref="AP141" authorId="1" shapeId="0">
      <text>
        <t>Horizon close: 2022-10-13
5/21/63 traded sessions after debut; price-only return vs offer.</t>
      </text>
    </comment>
    <comment ref="AQ141" authorId="1" shapeId="0">
      <text>
        <t>Horizon close: 2022-11-04
5/21/63 traded sessions after debut; price-only return vs offer.</t>
      </text>
    </comment>
    <comment ref="AR141" authorId="1" shapeId="0">
      <text>
        <t>Horizon close: 2023-01-06
5/21/63 traded sessions after debut; price-only return vs offer.</t>
      </text>
    </comment>
    <comment ref="AI142" authorId="0" shapeId="0">
      <text>
        <t>Close: HK$28
Date: 2022-10-07
Venue: Phillip (etnet news story)
Source: etnet:news https://www.etnet.com.hk/www/tc/stocks/ipo-news-article/20221007394/</t>
      </text>
    </comment>
    <comment ref="AK142" authorId="1" shapeId="0">
      <text>
        <t>China Biotech ETF (HS biotech proxy)
Previous trading close to listing-day close (2022-10-10).
Benchmark return in percent; not the index level or excess return.</t>
      </text>
    </comment>
    <comment ref="AP142" authorId="1" shapeId="0">
      <text>
        <t>Horizon close: 2022-10-17
5/21/63 traded sessions after debut; price-only return vs offer.</t>
      </text>
    </comment>
    <comment ref="AQ142" authorId="1" shapeId="0">
      <text>
        <t>Horizon close: 2022-11-08
5/21/63 traded sessions after debut; price-only return vs offer.</t>
      </text>
    </comment>
    <comment ref="AR142" authorId="1" shapeId="0">
      <text>
        <t>Horizon close: 2023-01-10
5/21/63 traded sessions after debut; price-only return vs offer.</t>
      </text>
    </comment>
    <comment ref="AI143" authorId="0" shapeId="0">
      <text>
        <t>Close: HK$0.62
Date: 2022-10-07
Venue: Phillip (etnet news story)
Source: etnet:news https://www.etnet.com.hk/www/tc/stocks/ipo-news-article/20221007393/</t>
      </text>
    </comment>
    <comment ref="AK143" authorId="1" shapeId="0">
      <text>
        <t>Hang Seng Commerce &amp; Industry sub-index
Previous trading close to listing-day close (2022-10-10).
Benchmark return in percent; not the index level or excess return.</t>
      </text>
    </comment>
    <comment ref="AP143" authorId="1" shapeId="0">
      <text>
        <t>Horizon close: 2022-10-17
5/21/63 traded sessions after debut; price-only return vs offer.</t>
      </text>
    </comment>
    <comment ref="AQ143" authorId="1" shapeId="0">
      <text>
        <t>Horizon close: 2022-11-08
5/21/63 traded sessions after debut; price-only return vs offer.</t>
      </text>
    </comment>
    <comment ref="AR143" authorId="1" shapeId="0">
      <text>
        <t>Horizon close: 2023-01-10
5/21/63 traded sessions after debut; price-only return vs offer.</t>
      </text>
    </comment>
    <comment ref="AI144" authorId="0" shapeId="0">
      <text>
        <t>Close: HK$0.98
Date: 2022-10-14
Venue: Phillip (etnet news story)
Source: etnet:news https://www.etnet.com.hk/www/tc/stocks/ipo-news-article/20221014984/</t>
      </text>
    </comment>
    <comment ref="AK144" authorId="1" shapeId="0">
      <text>
        <t>Hang Seng Index
Previous trading close to listing-day close (2022-10-17).
Benchmark return in percent; not the index level or excess return.</t>
      </text>
    </comment>
    <comment ref="AP144" authorId="1" shapeId="0">
      <text>
        <t>Horizon close: 2022-10-24
5/21/63 traded sessions after debut; price-only return vs offer.</t>
      </text>
    </comment>
    <comment ref="AQ144" authorId="1" shapeId="0">
      <text>
        <t>Horizon close: 2022-11-15
5/21/63 traded sessions after debut; price-only return vs offer.</t>
      </text>
    </comment>
    <comment ref="AR144" authorId="1" shapeId="0">
      <text>
        <t>Horizon close: 2023-01-17
5/21/63 traded sessions after debut; price-only return vs offer.</t>
      </text>
    </comment>
    <comment ref="AI145" authorId="0" shapeId="0">
      <text>
        <t>Close: HK$2.11
Date: 2022-10-17
Venue: Phillip (etnet news story)
Source: etnet:news https://www.etnet.com.hk/www/tc/stocks/ipo-news-article/20221017404/</t>
      </text>
    </comment>
    <comment ref="AK145" authorId="1" shapeId="0">
      <text>
        <t>Hang Seng Index
Previous trading close to listing-day close (2022-10-18).
Benchmark return in percent; not the index level or excess return.</t>
      </text>
    </comment>
    <comment ref="AP145" authorId="1" shapeId="0">
      <text>
        <t>Horizon close: 2022-10-25
5/21/63 traded sessions after debut; price-only return vs offer.</t>
      </text>
    </comment>
    <comment ref="AQ145" authorId="1" shapeId="0">
      <text>
        <t>Horizon close: 2022-11-16
5/21/63 traded sessions after debut; price-only return vs offer.</t>
      </text>
    </comment>
    <comment ref="AR145" authorId="1" shapeId="0">
      <text>
        <t>Horizon close: 2023-01-18
5/21/63 traded sessions after debut; price-only return vs offer.</t>
      </text>
    </comment>
    <comment ref="AI146" authorId="0" shapeId="0">
      <text>
        <t>Close: HK$25.75
Date: 2022-11-03
Venue: Phillip (etnet news story)
Source: etnet:news https://www.etnet.com.hk/www/tc/stocks/ipo-news-article/20221103403/</t>
      </text>
    </comment>
    <comment ref="AK146" authorId="1" shapeId="0">
      <text>
        <t>Hang Seng Commerce &amp; Industry sub-index
Previous trading close to listing-day close (2022-11-04).
Benchmark return in percent; not the index level or excess return.</t>
      </text>
    </comment>
    <comment ref="AP146" authorId="1" shapeId="0">
      <text>
        <t>Horizon close: 2022-11-11
5/21/63 traded sessions after debut; price-only return vs offer.</t>
      </text>
    </comment>
    <comment ref="AQ146" authorId="1" shapeId="0">
      <text>
        <t>Horizon close: 2022-12-05
5/21/63 traded sessions after debut; price-only return vs offer.</t>
      </text>
    </comment>
    <comment ref="AR146" authorId="1" shapeId="0">
      <text>
        <t>Horizon close: 2023-02-09
5/21/63 traded sessions after debut; price-only return vs offer.</t>
      </text>
    </comment>
    <comment ref="AI147" authorId="0" shapeId="0">
      <text>
        <t>Close: HK$29.25
Date: 2022-11-07
Venue: Phillip (etnet news story)
Source: etnet:news https://www.etnet.com.hk/www/tc/stocks/ipo-news-article/20221107197/</t>
      </text>
    </comment>
    <comment ref="AK147" authorId="1" shapeId="0">
      <text>
        <t>China Biotech ETF (HS biotech proxy)
Previous trading close to listing-day close (2022-11-08).
Benchmark return in percent; not the index level or excess return.</t>
      </text>
    </comment>
    <comment ref="AP147" authorId="1" shapeId="0">
      <text>
        <t>Horizon close: 2022-11-15
5/21/63 traded sessions after debut; price-only return vs offer.</t>
      </text>
    </comment>
    <comment ref="AQ147" authorId="1" shapeId="0">
      <text>
        <t>Horizon close: 2022-12-07
5/21/63 traded sessions after debut; price-only return vs offer.</t>
      </text>
    </comment>
    <comment ref="AR147" authorId="1" shapeId="0">
      <text>
        <t>Horizon close: 2023-02-13
5/21/63 traded sessions after debut; price-only return vs offer.</t>
      </text>
    </comment>
    <comment ref="AI148" authorId="0" shapeId="0">
      <text>
        <t>Close: HK$2.8
Date: 2022-11-08
Venue: Phillip (etnet news story)
Source: etnet:news https://www.etnet.com.hk/www/tc/stocks/ipo-news-article/20221108409/</t>
      </text>
    </comment>
    <comment ref="AK148" authorId="1" shapeId="0">
      <text>
        <t>Hang Seng Index
Previous trading close to listing-day close (2022-11-09).
Benchmark return in percent; not the index level or excess return.</t>
      </text>
    </comment>
    <comment ref="AP148" authorId="1" shapeId="0">
      <text>
        <t>Horizon close: 2022-11-16
5/21/63 traded sessions after debut; price-only return vs offer.</t>
      </text>
    </comment>
    <comment ref="AQ148" authorId="1" shapeId="0">
      <text>
        <t>Horizon close: 2022-12-08
5/21/63 traded sessions after debut; price-only return vs offer.</t>
      </text>
    </comment>
    <comment ref="AR148" authorId="1" shapeId="0">
      <text>
        <t>Horizon close: 2023-02-14
5/21/63 traded sessions after debut; price-only return vs offer.</t>
      </text>
    </comment>
    <comment ref="AI149" authorId="0" shapeId="0">
      <text>
        <t>Close: HK$8.5
Date: 2022-11-10
Venue: Phillip (etnet news story)
Source: etnet:news https://www.etnet.com.hk/www/tc/stocks/ipo-news-article/20221110405/</t>
      </text>
    </comment>
    <comment ref="AK149" authorId="1" shapeId="0">
      <text>
        <t>HSTECH (Hang Seng TECH ETF)
Previous trading close to listing-day close (2022-11-11).
Benchmark return in percent; not the index level or excess return.</t>
      </text>
    </comment>
    <comment ref="AP149" authorId="1" shapeId="0">
      <text>
        <t>Horizon close: 2022-11-18
5/21/63 traded sessions after debut; price-only return vs offer.</t>
      </text>
    </comment>
    <comment ref="AQ149" authorId="1" shapeId="0">
      <text>
        <t>Horizon close: 2022-12-12
5/21/63 traded sessions after debut; price-only return vs offer.</t>
      </text>
    </comment>
    <comment ref="AR149" authorId="1" shapeId="0">
      <text>
        <t>Horizon close: 2023-02-16
5/21/63 traded sessions after debut; price-only return vs offer.</t>
      </text>
    </comment>
    <comment ref="AI150" authorId="0" shapeId="0">
      <text>
        <t>Close: HK$1.82
Date: 2022-11-15
Venue: Phillip (etnet news story)
Source: etnet:news https://www.etnet.com.hk/www/tc/stocks/ipo-news-article/20221115093/</t>
      </text>
    </comment>
    <comment ref="AK150" authorId="1" shapeId="0">
      <text>
        <t>Hang Seng Commerce &amp; Industry sub-index
Previous trading close to listing-day close (2022-11-16).
Benchmark return in percent; not the index level or excess return.</t>
      </text>
    </comment>
    <comment ref="AP150" authorId="1" shapeId="0">
      <text>
        <t>Horizon close: 2022-11-23
5/21/63 traded sessions after debut; price-only return vs offer.</t>
      </text>
    </comment>
    <comment ref="AQ150" authorId="1" shapeId="0">
      <text>
        <t>Horizon close: 2022-12-15
5/21/63 traded sessions after debut; price-only return vs offer.</t>
      </text>
    </comment>
    <comment ref="AR150" authorId="1" shapeId="0">
      <text>
        <t>Horizon close: 2023-02-21
5/21/63 traded sessions after debut; price-only return vs offer.</t>
      </text>
    </comment>
    <comment ref="AI151" authorId="0" shapeId="0">
      <text>
        <t>Close: HK$7.9
Date: 2022-11-23
Venue: Phillip (etnet news story)
Source: etnet:news https://www.etnet.com.hk/www/tc/stocks/ipo-news-article/20221123390/</t>
      </text>
    </comment>
    <comment ref="AK151" authorId="1" shapeId="0">
      <text>
        <t>HSTECH (Hang Seng TECH ETF)
Previous trading close to listing-day close (2022-11-24).
Benchmark return in percent; not the index level or excess return.</t>
      </text>
    </comment>
    <comment ref="AP151" authorId="1" shapeId="0">
      <text>
        <t>Horizon close: 2022-12-01
5/21/63 traded sessions after debut; price-only return vs offer.</t>
      </text>
    </comment>
    <comment ref="AQ151" authorId="1" shapeId="0">
      <text>
        <t>Horizon close: 2022-12-23
5/21/63 traded sessions after debut; price-only return vs offer.</t>
      </text>
    </comment>
    <comment ref="AR151" authorId="1" shapeId="0">
      <text>
        <t>Horizon close: 2023-03-01
5/21/63 traded sessions after debut; price-only return vs offer.</t>
      </text>
    </comment>
    <comment ref="AI152" authorId="0" shapeId="0">
      <text>
        <t>Close: HK$50.45
Date: 2022-11-28
Venue: Phillip (etnet news story)
Source: etnet:news https://www.etnet.com.hk/www/tc/stocks/ipo-news-article/20221128383/</t>
      </text>
    </comment>
    <comment ref="AK152" authorId="1" shapeId="0">
      <text>
        <t>HSTECH (Hang Seng TECH ETF)
Previous trading close to listing-day close (2022-11-29).
Benchmark return in percent; not the index level or excess return.</t>
      </text>
    </comment>
    <comment ref="AP152" authorId="1" shapeId="0">
      <text>
        <t>Horizon close: 2022-12-06
5/21/63 traded sessions after debut; price-only return vs offer.</t>
      </text>
    </comment>
    <comment ref="AQ152" authorId="1" shapeId="0">
      <text>
        <t>Horizon close: 2022-12-30
5/21/63 traded sessions after debut; price-only return vs offer.</t>
      </text>
    </comment>
    <comment ref="AR152" authorId="1" shapeId="0">
      <text>
        <t>Horizon close: 2023-03-06
5/21/63 traded sessions after debut; price-only return vs offer.</t>
      </text>
    </comment>
    <comment ref="AI153" authorId="0" shapeId="0">
      <text>
        <t>Close: HK$15.5
Date: 2022-11-30
Venue: Phillip (etnet news story)
Source: etnet:news https://www.etnet.com.hk/www/tc/stocks/ipo-news-article/20221130194/</t>
      </text>
    </comment>
    <comment ref="AK153" authorId="1" shapeId="0">
      <text>
        <t>Hang Seng Commerce &amp; Industry sub-index
Previous trading close to listing-day close (2022-12-01).
Benchmark return in percent; not the index level or excess return.</t>
      </text>
    </comment>
    <comment ref="AP153" authorId="1" shapeId="0">
      <text>
        <t>Horizon close: 2022-12-08
5/21/63 traded sessions after debut; price-only return vs offer.</t>
      </text>
    </comment>
    <comment ref="AQ153" authorId="1" shapeId="0">
      <text>
        <t>Horizon close: 2023-01-04
5/21/63 traded sessions after debut; price-only return vs offer.</t>
      </text>
    </comment>
    <comment ref="AR153" authorId="1" shapeId="0">
      <text>
        <t>Horizon close: 2023-03-08
5/21/63 traded sessions after debut; price-only return vs offer.</t>
      </text>
    </comment>
    <comment ref="AI154" authorId="0" shapeId="0">
      <text>
        <t>Close: HK$5.82
Date: 2022-12-08
Venue: Phillip (etnet news story)
Source: etnet:news https://www.etnet.com.hk/www/tc/stocks/ipo-news-article/20221208425/</t>
      </text>
    </comment>
    <comment ref="AK154" authorId="1" shapeId="0">
      <text>
        <t>Hang Seng Finance sub-index
Previous trading close to listing-day close (2022-12-09).
Benchmark return in percent; not the index level or excess return.</t>
      </text>
    </comment>
    <comment ref="AP154" authorId="1" shapeId="0">
      <text>
        <t>Horizon close: 2022-12-16
5/21/63 traded sessions after debut; price-only return vs offer.</t>
      </text>
    </comment>
    <comment ref="AQ154" authorId="1" shapeId="0">
      <text>
        <t>Horizon close: 2023-01-12
5/21/63 traded sessions after debut; price-only return vs offer.</t>
      </text>
    </comment>
    <comment ref="AR154" authorId="1" shapeId="0">
      <text>
        <t>Horizon close: 2023-03-16
5/21/63 traded sessions after debut; price-only return vs offer.</t>
      </text>
    </comment>
    <comment ref="AI155" authorId="0" shapeId="0">
      <text>
        <t>Close: HK$49.6
Date: 2022-12-09
Venue: Phillip (etnet news story)
Source: etnet:news https://www.etnet.com.hk/www/tc/stocks/ipo-news-article/20221209199/</t>
      </text>
    </comment>
    <comment ref="AK155" authorId="1" shapeId="0">
      <text>
        <t>China Biotech ETF (HS biotech proxy)
Previous trading close to listing-day close (2022-12-12).
Benchmark return in percent; not the index level or excess return.</t>
      </text>
    </comment>
    <comment ref="AP155" authorId="1" shapeId="0">
      <text>
        <t>Horizon close: 2022-12-19
5/21/63 traded sessions after debut; price-only return vs offer.</t>
      </text>
    </comment>
    <comment ref="AQ155" authorId="1" shapeId="0">
      <text>
        <t>Horizon close: 2023-01-13
5/21/63 traded sessions after debut; price-only return vs offer.</t>
      </text>
    </comment>
    <comment ref="AR155" authorId="1" shapeId="0">
      <text>
        <t>Horizon close: 2023-03-17
5/21/63 traded sessions after debut; price-only return vs offer.</t>
      </text>
    </comment>
    <comment ref="AI156" authorId="0" shapeId="0">
      <text>
        <t>Close: HK$2.29
Date: 2022-12-09
Venue: Phillip (etnet news story)
Source: etnet:news https://www.etnet.com.hk/www/tc/stocks/ipo-news-article/20221209197/</t>
      </text>
    </comment>
    <comment ref="AK156" authorId="1" shapeId="0">
      <text>
        <t>HSTECH (Hang Seng TECH ETF)
Previous trading close to listing-day close (2022-12-12).
Benchmark return in percent; not the index level or excess return.</t>
      </text>
    </comment>
    <comment ref="AP156" authorId="1" shapeId="0">
      <text>
        <t>Horizon close: 2022-12-19
5/21/63 traded sessions after debut; price-only return vs offer.</t>
      </text>
    </comment>
    <comment ref="AQ156" authorId="1" shapeId="0">
      <text>
        <t>Horizon close: 2023-01-13
5/21/63 traded sessions after debut; price-only return vs offer.</t>
      </text>
    </comment>
    <comment ref="AR156" authorId="1" shapeId="0">
      <text>
        <t>Horizon close: 2023-03-17
5/21/63 traded sessions after debut; price-only return vs offer.</t>
      </text>
    </comment>
    <comment ref="AI157" authorId="0" shapeId="0">
      <text>
        <t>Close: HK$0.81
Date: 2022-12-13
Venue: Phillip (etnet news story)
Source: etnet:news https://www.etnet.com.hk/www/tc/stocks/ipo-news-article/20221213410/</t>
      </text>
    </comment>
    <comment ref="AK157" authorId="1" shapeId="0">
      <text>
        <t>China Biotech ETF (HS biotech proxy)
Previous trading close to listing-day close (2022-12-14).
Benchmark return in percent; not the index level or excess return.</t>
      </text>
    </comment>
    <comment ref="AP157" authorId="1" shapeId="0">
      <text>
        <t>Horizon close: 2022-12-21
5/21/63 traded sessions after debut; price-only return vs offer.</t>
      </text>
    </comment>
    <comment ref="AQ157" authorId="1" shapeId="0">
      <text>
        <t>Horizon close: 2023-01-17
5/21/63 traded sessions after debut; price-only return vs offer.</t>
      </text>
    </comment>
    <comment ref="AR157" authorId="1" shapeId="0">
      <text>
        <t>Horizon close: 2023-03-21
5/21/63 traded sessions after debut; price-only return vs offer.</t>
      </text>
    </comment>
    <comment ref="AI158" authorId="0" shapeId="0">
      <text>
        <t>Close: HK$28.95
Date: 2022-12-14
Venue: Phillip (etnet news story)
Source: etnet:news https://www.etnet.com.hk/www/tc/stocks/ipo-news-article/20221214419/</t>
      </text>
    </comment>
    <comment ref="AK158" authorId="1" shapeId="0">
      <text>
        <t>China Biotech ETF (HS biotech proxy)
Previous trading close to listing-day close (2022-12-15).
Benchmark return in percent; not the index level or excess return.</t>
      </text>
    </comment>
    <comment ref="AP158" authorId="1" shapeId="0">
      <text>
        <t>Horizon close: 2022-12-22
5/21/63 traded sessions after debut; price-only return vs offer.</t>
      </text>
    </comment>
    <comment ref="AQ158" authorId="1" shapeId="0">
      <text>
        <t>Horizon close: 2023-01-18
5/21/63 traded sessions after debut; price-only return vs offer.</t>
      </text>
    </comment>
    <comment ref="AR158" authorId="1" shapeId="0">
      <text>
        <t>Horizon close: 2023-03-22
5/21/63 traded sessions after debut; price-only return vs offer.</t>
      </text>
    </comment>
    <comment ref="AI159" authorId="0" shapeId="0">
      <text>
        <t>Close: HK$10.34
Date: 2022-12-14
Venue: Phillip (etnet news story)
Source: etnet:news https://www.etnet.com.hk/www/tc/stocks/ipo-news-article/20221214420/</t>
      </text>
    </comment>
    <comment ref="AK159" authorId="1" shapeId="0">
      <text>
        <t>Hang Seng Commerce &amp; Industry sub-index
Previous trading close to listing-day close (2022-12-15).
Benchmark return in percent; not the index level or excess return.</t>
      </text>
    </comment>
    <comment ref="AP159" authorId="1" shapeId="0">
      <text>
        <t>Horizon close: 2022-12-22
5/21/63 traded sessions after debut; price-only return vs offer.</t>
      </text>
    </comment>
    <comment ref="AQ159" authorId="1" shapeId="0">
      <text>
        <t>Horizon close: 2023-01-18
5/21/63 traded sessions after debut; price-only return vs offer.</t>
      </text>
    </comment>
    <comment ref="AR159" authorId="1" shapeId="0">
      <text>
        <t>Horizon close: 2023-03-22
5/21/63 traded sessions after debut; price-only return vs offer.</t>
      </text>
    </comment>
    <comment ref="AI160" authorId="0" shapeId="0">
      <text>
        <t>Close: HK$0.4
Date: 2022-12-14
Venue: Phillip (etnet news story)
Source: etnet:news https://www.etnet.com.hk/www/tc/stocks/ipo-news-article/20221214421/</t>
      </text>
    </comment>
    <comment ref="AK160" authorId="1" shapeId="0">
      <text>
        <t>Hang Seng Commerce &amp; Industry sub-index
Previous trading close to listing-day close (2022-12-15).
Benchmark return in percent; not the index level or excess return.</t>
      </text>
    </comment>
    <comment ref="AP160" authorId="1" shapeId="0">
      <text>
        <t>Horizon close: 2022-12-22
5/21/63 traded sessions after debut; price-only return vs offer.</t>
      </text>
    </comment>
    <comment ref="AQ160" authorId="1" shapeId="0">
      <text>
        <t>Horizon close: 2023-01-18
5/21/63 traded sessions after debut; price-only return vs offer.</t>
      </text>
    </comment>
    <comment ref="AR160" authorId="1" shapeId="0">
      <text>
        <t>Horizon close: 2023-03-22
5/21/63 traded sessions after debut; price-only return vs offer.</t>
      </text>
    </comment>
    <comment ref="AI161" authorId="0" shapeId="0">
      <text>
        <t>Close: HK$24.85
Date: 2022-12-21
Venue: Phillip (etnet news story)
Source: etnet:news https://www.etnet.com.hk/www/tc/stocks/ipo-news-article/20221221302/</t>
      </text>
    </comment>
    <comment ref="AK161" authorId="1" shapeId="0">
      <text>
        <t>Hang Seng Commerce &amp; Industry sub-index
Previous trading close to listing-day close (2022-12-22).
Benchmark return in percent; not the index level or excess return.</t>
      </text>
    </comment>
    <comment ref="AP161" authorId="1" shapeId="0">
      <text>
        <t>Horizon close: 2023-01-03
5/21/63 traded sessions after debut; price-only return vs offer.</t>
      </text>
    </comment>
    <comment ref="AQ161" authorId="1" shapeId="0">
      <text>
        <t>Horizon close: 2023-01-30
5/21/63 traded sessions after debut; price-only return vs offer.</t>
      </text>
    </comment>
    <comment ref="AR161" authorId="1" shapeId="0">
      <text>
        <t>Horizon close: 2023-03-29
5/21/63 traded sessions after debut; price-only return vs offer.</t>
      </text>
    </comment>
    <comment ref="AI162" authorId="0" shapeId="0">
      <text>
        <t>Close: HK$24
Date: 2022-12-22
Venue: Phillip
Source: press:https://www.am730.com.hk/article/354269 — published closing quote 24, +29% vs offer; venue Phillip. GPT archive review, 4 October 2026.</t>
      </text>
    </comment>
    <comment ref="AK162" authorId="1" shapeId="0">
      <text>
        <t>China Biotech ETF (HS biotech proxy)
Previous trading close to listing-day close (2022-12-23).
Benchmark return in percent; not the index level or excess return.</t>
      </text>
    </comment>
    <comment ref="AP162" authorId="1" shapeId="0">
      <text>
        <t>Horizon close: 2023-01-04
5/21/63 traded sessions after debut; price-only return vs offer.</t>
      </text>
    </comment>
    <comment ref="AQ162" authorId="1" shapeId="0">
      <text>
        <t>Horizon close: 2023-01-31
5/21/63 traded sessions after debut; price-only return vs offer.</t>
      </text>
    </comment>
    <comment ref="AR162" authorId="1" shapeId="0">
      <text>
        <t>Horizon close: 2023-03-30
5/21/63 traded sessions after debut; price-only return vs offer.</t>
      </text>
    </comment>
    <comment ref="AI163" authorId="0" shapeId="0">
      <text>
        <t>Close: HK$8.6
Date: 2022-12-22
Venue: Phillip
Source: press:https://www.am730.com.hk/article/354269 — published closing quote 8.6, -2.3% vs offer; venue Phillip. GPT archive review, 4 October 2026.</t>
      </text>
    </comment>
    <comment ref="AK163" authorId="1" shapeId="0">
      <text>
        <t>China Biotech ETF (HS biotech proxy)
Previous trading close to listing-day close (2022-12-23).
Benchmark return in percent; not the index level or excess return.</t>
      </text>
    </comment>
    <comment ref="AP163" authorId="1" shapeId="0">
      <text>
        <t>Horizon close: 2023-01-04
5/21/63 traded sessions after debut; price-only return vs offer.</t>
      </text>
    </comment>
    <comment ref="AQ163" authorId="1" shapeId="0">
      <text>
        <t>Horizon close: 2023-01-31
5/21/63 traded sessions after debut; price-only return vs offer.</t>
      </text>
    </comment>
    <comment ref="AR163" authorId="1" shapeId="0">
      <text>
        <t>Horizon close: 2023-03-30
5/21/63 traded sessions after debut; price-only return vs offer.</t>
      </text>
    </comment>
    <comment ref="AI164" authorId="0" shapeId="0">
      <text>
        <t>Close: HK$1.38
Date: 2022-12-28
Venue: Phillip (etnet news story)
Source: etnet:news https://www.etnet.com.hk/www/tc/stocks/ipo-news-article/20221228423/</t>
      </text>
    </comment>
    <comment ref="AK164" authorId="1" shapeId="0">
      <text>
        <t>China Biotech ETF (HS biotech proxy)
Previous trading close to listing-day close (2022-12-29).
Benchmark return in percent; not the index level or excess return.</t>
      </text>
    </comment>
    <comment ref="AP164" authorId="1" shapeId="0">
      <text>
        <t>Horizon close: 2023-01-06
5/21/63 traded sessions after debut; price-only return vs offer.</t>
      </text>
    </comment>
    <comment ref="AQ164" authorId="1" shapeId="0">
      <text>
        <t>Horizon close: 2023-02-02
5/21/63 traded sessions after debut; price-only return vs offer.</t>
      </text>
    </comment>
    <comment ref="AR164" authorId="1" shapeId="0">
      <text>
        <t>Horizon close: 2023-04-03
5/21/63 traded sessions after debut; price-only return vs offer.</t>
      </text>
    </comment>
    <comment ref="AI165" authorId="0" shapeId="0">
      <text>
        <t>Close: HK$36.4
Date: 2022-12-28
Venue: Phillip (etnet news story)
Source: etnet:news https://www.etnet.com.hk/www/tc/stocks/ipo-news-article/20221228424/</t>
      </text>
    </comment>
    <comment ref="AK165" authorId="1" shapeId="0">
      <text>
        <t>Hang Seng Index
Previous trading close to listing-day close (2022-12-29).
Benchmark return in percent; not the index level or excess return.</t>
      </text>
    </comment>
    <comment ref="AP165" authorId="1" shapeId="0">
      <text>
        <t>Horizon close: 2023-01-06
5/21/63 traded sessions after debut; price-only return vs offer.</t>
      </text>
    </comment>
    <comment ref="AQ165" authorId="1" shapeId="0">
      <text>
        <t>Horizon close: 2023-02-02
5/21/63 traded sessions after debut; price-only return vs offer.</t>
      </text>
    </comment>
    <comment ref="AR165" authorId="1" shapeId="0">
      <text>
        <t>Horizon close: 2023-04-03
5/21/63 traded sessions after debut; price-only return vs offer.</t>
      </text>
    </comment>
    <comment ref="AI166" authorId="0" shapeId="0">
      <text>
        <t>Close: HK$6.34
Date: 2022-12-29
Venue: Phillip (etnet news story)
Source: etnet:news https://www.etnet.com.hk/www/tc/stocks/ipo-news-article/20221229386/</t>
      </text>
    </comment>
    <comment ref="AK166" authorId="1" shapeId="0">
      <text>
        <t>Hang Seng Commerce &amp; Industry sub-index
Previous trading close to listing-day close (2022-12-30).
Benchmark return in percent; not the index level or excess return.</t>
      </text>
    </comment>
    <comment ref="AP166" authorId="1" shapeId="0">
      <text>
        <t>Horizon close: 2023-01-09
5/21/63 traded sessions after debut; price-only return vs offer.</t>
      </text>
    </comment>
    <comment ref="AQ166" authorId="1" shapeId="0">
      <text>
        <t>Horizon close: 2023-02-03
5/21/63 traded sessions after debut; price-only return vs offer.</t>
      </text>
    </comment>
    <comment ref="AR166" authorId="1" shapeId="0">
      <text>
        <t>Horizon close: 2023-04-04
5/21/63 traded sessions after debut; price-only return vs offer.</t>
      </text>
    </comment>
    <comment ref="AI167" authorId="0" shapeId="0">
      <text>
        <t>Close: HK$18.04
Date: 2022-12-29
Venue: Phillip (etnet news story)
Source: etnet:news https://www.etnet.com.hk/www/tc/stocks/ipo-news-article/20221229388/</t>
      </text>
    </comment>
    <comment ref="AK167" authorId="1" shapeId="0">
      <text>
        <t>China Biotech ETF (HS biotech proxy)
Previous trading close to listing-day close (2022-12-30).
Benchmark return in percent; not the index level or excess return.</t>
      </text>
    </comment>
    <comment ref="AP167" authorId="1" shapeId="0">
      <text>
        <t>Horizon close: 2023-01-09
5/21/63 traded sessions after debut; price-only return vs offer.</t>
      </text>
    </comment>
    <comment ref="AQ167" authorId="1" shapeId="0">
      <text>
        <t>Horizon close: 2023-02-03
5/21/63 traded sessions after debut; price-only return vs offer.</t>
      </text>
    </comment>
    <comment ref="AR167" authorId="1" shapeId="0">
      <text>
        <t>Horizon close: 2023-04-04
5/21/63 traded sessions after debut; price-only return vs offer.</t>
      </text>
    </comment>
    <comment ref="AI168" authorId="0" shapeId="0">
      <text>
        <t>Close: HK$19.5
Date: 2022-12-29
Venue: Phillip (etnet news story)
Source: etnet:news https://www.etnet.com.hk/www/tc/stocks/ipo-news-article/20221229387/</t>
      </text>
    </comment>
    <comment ref="AK168" authorId="1" shapeId="0">
      <text>
        <t>China Biotech ETF (HS biotech proxy)
Previous trading close to listing-day close (2022-12-30).
Benchmark return in percent; not the index level or excess return.</t>
      </text>
    </comment>
    <comment ref="AP168" authorId="1" shapeId="0">
      <text>
        <t>Horizon close: 2023-01-09
5/21/63 traded sessions after debut; price-only return vs offer.</t>
      </text>
    </comment>
    <comment ref="AQ168" authorId="1" shapeId="0">
      <text>
        <t>Horizon close: 2023-02-03
5/21/63 traded sessions after debut; price-only return vs offer.</t>
      </text>
    </comment>
    <comment ref="AR168" authorId="1" shapeId="0">
      <text>
        <t>Horizon close: 2023-04-04
5/21/63 traded sessions after debut; price-only return vs offer.</t>
      </text>
    </comment>
    <comment ref="AI169" authorId="0" shapeId="0">
      <text>
        <t>Close: HK$10.4
Date: 2023-01-06
Venue: Phillip (etnet news story)
Source: etnet:news https://www.etnet.com.hk/www/tc/stocks/ipo-news-article/20230106424/</t>
      </text>
    </comment>
    <comment ref="AK169" authorId="1" shapeId="0">
      <text>
        <t>Hang Seng Commerce &amp; Industry sub-index
Previous trading close to listing-day close (2023-01-09).
Benchmark return in percent; not the index level or excess return.</t>
      </text>
    </comment>
    <comment ref="AP169" authorId="1" shapeId="0">
      <text>
        <t>Horizon close: 2023-01-16
5/21/63 traded sessions after debut; price-only return vs offer.</t>
      </text>
    </comment>
    <comment ref="AQ169" authorId="1" shapeId="0">
      <text>
        <t>Horizon close: 2023-02-10
5/21/63 traded sessions after debut; price-only return vs offer.</t>
      </text>
    </comment>
    <comment ref="AR169" authorId="1" shapeId="0">
      <text>
        <t>Horizon close: 2023-04-14
5/21/63 traded sessions after debut; price-only return vs offer.</t>
      </text>
    </comment>
    <comment ref="AI170" authorId="0" shapeId="0">
      <text>
        <t>Close: HK$60.05
Date: 2023-01-11
Venue: Phillip (etnet news story)
Source: etnet:news https://www.etnet.com.hk/www/tc/stocks/ipo-news-article/20230111424/</t>
      </text>
    </comment>
    <comment ref="AK170" authorId="1" shapeId="0">
      <text>
        <t>Hang Seng Commerce &amp; Industry sub-index
Previous trading close to listing-day close (2023-01-12).
Benchmark return in percent; not the index level or excess return.</t>
      </text>
    </comment>
    <comment ref="AP170" authorId="1" shapeId="0">
      <text>
        <t>Horizon close: 2023-01-19
5/21/63 traded sessions after debut; price-only return vs offer.</t>
      </text>
    </comment>
    <comment ref="AQ170" authorId="1" shapeId="0">
      <text>
        <t>Horizon close: 2023-02-15
5/21/63 traded sessions after debut; price-only return vs offer.</t>
      </text>
    </comment>
    <comment ref="AR170" authorId="1" shapeId="0">
      <text>
        <t>Horizon close: 2023-04-19
5/21/63 traded sessions after debut; price-only return vs offer.</t>
      </text>
    </comment>
    <comment ref="AI171" authorId="0" shapeId="0">
      <text>
        <t>Close: HK$0.7
Date: 2023-01-12
Venue: Phillip (etnet news story)
Source: etnet:news https://www.etnet.com.hk/www/tc/stocks/ipo-news-article/20230112405/</t>
      </text>
    </comment>
    <comment ref="AK171" authorId="1" shapeId="0">
      <text>
        <t>Hang Seng Commerce &amp; Industry sub-index
Previous trading close to listing-day close (2023-01-13).
Benchmark return in percent; not the index level or excess return.</t>
      </text>
    </comment>
    <comment ref="AP171" authorId="1" shapeId="0">
      <text>
        <t>Horizon close: 2023-01-20
5/21/63 traded sessions after debut; price-only return vs offer.</t>
      </text>
    </comment>
    <comment ref="AQ171" authorId="1" shapeId="0">
      <text>
        <t>Horizon close: 2023-02-16
5/21/63 traded sessions after debut; price-only return vs offer.</t>
      </text>
    </comment>
    <comment ref="AR171" authorId="1" shapeId="0">
      <text>
        <t>Horizon close: 2023-04-20
5/21/63 traded sessions after debut; price-only return vs offer.</t>
      </text>
    </comment>
    <comment ref="AI172" authorId="0" shapeId="0">
      <text>
        <t>Close: HK$6.52
Date: 2023-01-13
Venue: Phillip (etnet news story)
Source: etnet:news https://www.etnet.com.hk/www/tc/stocks/ipo-news-article/20230113414/</t>
      </text>
    </comment>
    <comment ref="AK172" authorId="1" shapeId="0">
      <text>
        <t>Hang Seng Commerce &amp; Industry sub-index
Previous trading close to listing-day close (2023-01-16).
Benchmark return in percent; not the index level or excess return.</t>
      </text>
    </comment>
    <comment ref="AP172" authorId="1" shapeId="0">
      <text>
        <t>Horizon close: 2023-01-26
5/21/63 traded sessions after debut; price-only return vs offer.</t>
      </text>
    </comment>
    <comment ref="AQ172" authorId="1" shapeId="0">
      <text>
        <t>Horizon close: 2023-02-17
5/21/63 traded sessions after debut; price-only return vs offer.</t>
      </text>
    </comment>
    <comment ref="AR172" authorId="1" shapeId="0">
      <text>
        <t>Horizon close: 2023-04-21
5/21/63 traded sessions after debut; price-only return vs offer.</t>
      </text>
    </comment>
    <comment ref="AI173" authorId="0" shapeId="0">
      <text>
        <t>Close: HK$28.65
Date: 2023-01-13
Venue: Phillip (etnet news story)
Source: etnet:news https://www.etnet.com.hk/www/tc/stocks/ipo-news-article/20230113416/</t>
      </text>
    </comment>
    <comment ref="AK173" authorId="1" shapeId="0">
      <text>
        <t>Hang Seng Commerce &amp; Industry sub-index
Previous trading close to listing-day close (2023-01-16).
Benchmark return in percent; not the index level or excess return.</t>
      </text>
    </comment>
    <comment ref="AP173" authorId="1" shapeId="0">
      <text>
        <t>Horizon close: 2023-01-26
5/21/63 traded sessions after debut; price-only return vs offer.</t>
      </text>
    </comment>
    <comment ref="AQ173" authorId="1" shapeId="0">
      <text>
        <t>Horizon close: 2023-02-17
5/21/63 traded sessions after debut; price-only return vs offer.</t>
      </text>
    </comment>
    <comment ref="AR173" authorId="1" shapeId="0">
      <text>
        <t>Horizon close: 2023-04-21
5/21/63 traded sessions after debut; price-only return vs offer.</t>
      </text>
    </comment>
    <comment ref="AI174" authorId="0" shapeId="0">
      <text>
        <t>Close: HK$5.61
Date: 2023-01-13
Venue: Phillip (etnet news story)
Source: etnet:news https://www.etnet.com.hk/www/tc/stocks/ipo-news-article/20230113415/</t>
      </text>
    </comment>
    <comment ref="AK174" authorId="1" shapeId="0">
      <text>
        <t>HSTECH (Hang Seng TECH ETF)
Previous trading close to listing-day close (2023-01-16).
Benchmark return in percent; not the index level or excess return.</t>
      </text>
    </comment>
    <comment ref="AP174" authorId="1" shapeId="0">
      <text>
        <t>Horizon close: 2023-01-26
5/21/63 traded sessions after debut; price-only return vs offer.</t>
      </text>
    </comment>
    <comment ref="AQ174" authorId="1" shapeId="0">
      <text>
        <t>Horizon close: 2023-02-17
5/21/63 traded sessions after debut; price-only return vs offer.</t>
      </text>
    </comment>
    <comment ref="AR174" authorId="1" shapeId="0">
      <text>
        <t>Horizon close: 2023-04-21
5/21/63 traded sessions after debut; price-only return vs offer.</t>
      </text>
    </comment>
    <comment ref="AI175" authorId="0" shapeId="0">
      <text>
        <t>Close: HK$1.65
Date: 2023-01-16
Venue: Phillip (etnet news story)
Source: etnet:news https://www.etnet.com.hk/www/tc/stocks/ipo-news-article/20230116181/</t>
      </text>
    </comment>
    <comment ref="AK175" authorId="1" shapeId="0">
      <text>
        <t>Hang Seng Commerce &amp; Industry sub-index
Previous trading close to listing-day close (2023-01-17).
Benchmark return in percent; not the index level or excess return.</t>
      </text>
    </comment>
    <comment ref="AP175" authorId="1" shapeId="0">
      <text>
        <t>Horizon close: 2023-01-27
5/21/63 traded sessions after debut; price-only return vs offer.</t>
      </text>
    </comment>
    <comment ref="AQ175" authorId="1" shapeId="0">
      <text>
        <t>Horizon close: 2023-02-20
5/21/63 traded sessions after debut; price-only return vs offer.</t>
      </text>
    </comment>
    <comment ref="AR175" authorId="1" shapeId="0">
      <text>
        <t>Horizon close: 2023-04-24
5/21/63 traded sessions after debut; price-only return vs offer.</t>
      </text>
    </comment>
    <comment ref="AI176" authorId="0" shapeId="0">
      <text>
        <t>Close: HK$1.3
Date: 2023-01-16
Venue: Phillip (etnet news story)
Source: etnet:news https://www.etnet.com.hk/www/tc/stocks/ipo-news-article/20230116180/</t>
      </text>
    </comment>
    <comment ref="AK176" authorId="1" shapeId="0">
      <text>
        <t>Hang Seng Properties sub-index
Previous trading close to listing-day close (2023-01-17).
Benchmark return in percent; not the index level or excess return.</t>
      </text>
    </comment>
    <comment ref="AP176" authorId="1" shapeId="0">
      <text>
        <t>Horizon close: 2023-01-27
5/21/63 traded sessions after debut; price-only return vs offer.</t>
      </text>
    </comment>
    <comment ref="AQ176" authorId="1" shapeId="0">
      <text>
        <t>Horizon close: 2023-02-20
5/21/63 traded sessions after debut; price-only return vs offer.</t>
      </text>
    </comment>
    <comment ref="AR176" authorId="1" shapeId="0">
      <text>
        <t>Horizon close: 2023-04-24
5/21/63 traded sessions after debut; price-only return vs offer.</t>
      </text>
    </comment>
    <comment ref="AI177" authorId="0" shapeId="0">
      <text>
        <t>Close: HK$5.82
Date: 2023-01-18
Venue: Phillip (etnet news story)
Source: etnet:news https://www.etnet.com.hk/www/tc/stocks/ipo-news-article/20230118382/</t>
      </text>
    </comment>
    <comment ref="AK177" authorId="1" shapeId="0">
      <text>
        <t>Hang Seng Index
Previous trading close to listing-day close (2023-01-19).
Benchmark return in percent; not the index level or excess return.</t>
      </text>
    </comment>
    <comment ref="AP177" authorId="1" shapeId="0">
      <text>
        <t>Horizon close: 2023-01-31
5/21/63 traded sessions after debut; price-only return vs offer.</t>
      </text>
    </comment>
    <comment ref="AQ177" authorId="1" shapeId="0">
      <text>
        <t>Horizon close: 2023-02-22
5/21/63 traded sessions after debut; price-only return vs offer.</t>
      </text>
    </comment>
    <comment ref="AR177" authorId="1" shapeId="0">
      <text>
        <t>Horizon close: 2023-04-26
5/21/63 traded sessions after debut; price-only return vs offer.</t>
      </text>
    </comment>
    <comment ref="AI178" authorId="0" shapeId="0">
      <text>
        <t>Close: HK$1.17
Date: 2023-01-19
Venue: Phillip (etnet news story)
Source: etnet:news https://www.etnet.com.hk/www/tc/stocks/ipo-news-article/20230119296/</t>
      </text>
    </comment>
    <comment ref="AK178" authorId="1" shapeId="0">
      <text>
        <t>Hang Seng Commerce &amp; Industry sub-index
Previous trading close to listing-day close (2023-01-20).
Benchmark return in percent; not the index level or excess return.</t>
      </text>
    </comment>
    <comment ref="AP178" authorId="1" shapeId="0">
      <text>
        <t>Horizon close: 2023-02-01
5/21/63 traded sessions after debut; price-only return vs offer.</t>
      </text>
    </comment>
    <comment ref="AQ178" authorId="1" shapeId="0">
      <text>
        <t>Horizon close: 2023-02-23
5/21/63 traded sessions after debut; price-only return vs offer.</t>
      </text>
    </comment>
    <comment ref="AR178" authorId="1" shapeId="0">
      <text>
        <t>Horizon close: 2023-04-27
5/21/63 traded sessions after debut; price-only return vs offer.</t>
      </text>
    </comment>
    <comment ref="AI179" authorId="0" shapeId="0">
      <text>
        <t>Close: HK$2.91
Date: 2023-03-08
Venue: Phillip (etnet news story)
Source: etnet:news https://www.etnet.com.hk/www/tc/stocks/ipo-news-article/20230308406/</t>
      </text>
    </comment>
    <comment ref="AK179" authorId="1" shapeId="0">
      <text>
        <t>Hang Seng Commerce &amp; Industry sub-index
Previous trading close to listing-day close (2023-03-09).
Benchmark return in percent; not the index level or excess return.</t>
      </text>
    </comment>
    <comment ref="AP179" authorId="1" shapeId="0">
      <text>
        <t>Horizon close: 2023-03-16
5/21/63 traded sessions after debut; price-only return vs offer.</t>
      </text>
    </comment>
    <comment ref="AQ179" authorId="1" shapeId="0">
      <text>
        <t>Horizon close: 2023-04-12
5/21/63 traded sessions after debut; price-only return vs offer.</t>
      </text>
    </comment>
    <comment ref="AR179" authorId="1" shapeId="0">
      <text>
        <t>Horizon close: 2023-06-13
5/21/63 traded sessions after debut; price-only return vs offer.</t>
      </text>
    </comment>
    <comment ref="AI180" authorId="0" shapeId="0">
      <text>
        <t>Close: HK$17.7
Date: 2023-03-09
Venue: Phillip (etnet news story)
Source: etnet:news https://www.etnet.com.hk/www/tc/stocks/ipo-news-article/20230309388/</t>
      </text>
    </comment>
    <comment ref="AK180" authorId="1" shapeId="0">
      <text>
        <t>Hang Seng Finance sub-index
Previous trading close to listing-day close (2023-03-10).
Benchmark return in percent; not the index level or excess return.</t>
      </text>
    </comment>
    <comment ref="AP180" authorId="1" shapeId="0">
      <text>
        <t>Horizon close: 2023-03-17
5/21/63 traded sessions after debut; price-only return vs offer.</t>
      </text>
    </comment>
    <comment ref="AQ180" authorId="1" shapeId="0">
      <text>
        <t>Horizon close: 2023-04-13
5/21/63 traded sessions after debut; price-only return vs offer.</t>
      </text>
    </comment>
    <comment ref="AR180" authorId="1" shapeId="0">
      <text>
        <t>Horizon close: 2023-06-14
5/21/63 traded sessions after debut; price-only return vs offer.</t>
      </text>
    </comment>
    <comment ref="AI181" authorId="0" shapeId="0">
      <text>
        <t>Close: HK$45.35
Date: 2023-03-27
Venue: Phillip (etnet news story)
Source: etnet:news https://www.etnet.com.hk/www/tc/stocks/ipo-news-article/20230327395/</t>
      </text>
    </comment>
    <comment ref="AK181" authorId="1" shapeId="0">
      <text>
        <t>Hang Seng Commerce &amp; Industry sub-index
Previous trading close to listing-day close (2023-03-28).
Benchmark return in percent; not the index level or excess return.</t>
      </text>
    </comment>
    <comment ref="AP181" authorId="1" shapeId="0">
      <text>
        <t>Horizon close: 2023-04-04
5/21/63 traded sessions after debut; price-only return vs offer.</t>
      </text>
    </comment>
    <comment ref="AQ181" authorId="1" shapeId="0">
      <text>
        <t>Horizon close: 2023-05-02
5/21/63 traded sessions after debut; price-only return vs offer.</t>
      </text>
    </comment>
    <comment ref="AR181" authorId="1" shapeId="0">
      <text>
        <t>Horizon close: 2023-07-03
5/21/63 traded sessions after debut; price-only return vs offer.</t>
      </text>
    </comment>
    <comment ref="AI182" authorId="0" shapeId="0">
      <text>
        <t>Close: HK$3.28
Date: 2023-03-28
Venue: Phillip (etnet news story)
Source: etnet:news https://www.etnet.com.hk/www/tc/stocks/ipo-news-article/20230328180/</t>
      </text>
    </comment>
    <comment ref="AK182" authorId="1" shapeId="0">
      <text>
        <t>Hang Seng Commerce &amp; Industry sub-index
Previous trading close to listing-day close (2023-03-29).
Benchmark return in percent; not the index level or excess return.</t>
      </text>
    </comment>
    <comment ref="AP182" authorId="1" shapeId="0">
      <text>
        <t>Horizon close: 2023-04-06
5/21/63 traded sessions after debut; price-only return vs offer.</t>
      </text>
    </comment>
    <comment ref="AQ182" authorId="1" shapeId="0">
      <text>
        <t>Horizon close: 2023-05-03
5/21/63 traded sessions after debut; price-only return vs offer.</t>
      </text>
    </comment>
    <comment ref="AR182" authorId="1" shapeId="0">
      <text>
        <t>Horizon close: 2023-07-04
5/21/63 traded sessions after debut; price-only return vs offer.</t>
      </text>
    </comment>
    <comment ref="AI183" authorId="0" shapeId="0">
      <text>
        <t>Close: HK$2.69
Date: 2023-03-29
Venue: Phillip (etnet news story)
Source: etnet:news https://www.etnet.com.hk/www/tc/stocks/ipo-news-article/20230329408/</t>
      </text>
    </comment>
    <comment ref="AK183" authorId="1" shapeId="0">
      <text>
        <t>Hang Seng Commerce &amp; Industry sub-index
Previous trading close to listing-day close (2023-03-30).
Benchmark return in percent; not the index level or excess return.</t>
      </text>
    </comment>
    <comment ref="AP183" authorId="1" shapeId="0">
      <text>
        <t>Horizon close: 2023-04-11
5/21/63 traded sessions after debut; price-only return vs offer.</t>
      </text>
    </comment>
    <comment ref="AQ183" authorId="1" shapeId="0">
      <text>
        <t>Horizon close: 2023-05-04
5/21/63 traded sessions after debut; price-only return vs offer.</t>
      </text>
    </comment>
    <comment ref="AR183" authorId="1" shapeId="0">
      <text>
        <t>Horizon close: 2023-07-05
5/21/63 traded sessions after debut; price-only return vs offer.</t>
      </text>
    </comment>
    <comment ref="AI184" authorId="0" shapeId="0">
      <text>
        <t>Close: HK$0.81
Date: 2023-03-30
Venue: Phillip (etnet news story)
Source: etnet:news https://www.etnet.com.hk/www/tc/stocks/ipo-news-article/20230330204/</t>
      </text>
    </comment>
    <comment ref="AK184" authorId="1" shapeId="0">
      <text>
        <t>Hang Seng Index
Previous trading close to listing-day close (2023-03-31).
Benchmark return in percent; not the index level or excess return.</t>
      </text>
    </comment>
    <comment ref="AP184" authorId="1" shapeId="0">
      <text>
        <t>Horizon close: 2023-04-12
5/21/63 traded sessions after debut; price-only return vs offer.</t>
      </text>
    </comment>
    <comment ref="AQ184" authorId="1" shapeId="0">
      <text>
        <t>Horizon close: 2023-05-05
5/21/63 traded sessions after debut; price-only return vs offer.</t>
      </text>
    </comment>
    <comment ref="AR184" authorId="1" shapeId="0">
      <text>
        <t>Horizon close: 2023-07-06
5/21/63 traded sessions after debut; price-only return vs offer.</t>
      </text>
    </comment>
    <comment ref="AI185" authorId="0" shapeId="0">
      <text>
        <t>Close: HK$0.62
Date: 2023-03-30
Venue: Phillip (etnet news story)
Source: etnet:news https://www.etnet.com.hk/www/tc/stocks/ipo-news-article/20230330205/</t>
      </text>
    </comment>
    <comment ref="AK185" authorId="1" shapeId="0">
      <text>
        <t>Hang Seng Commerce &amp; Industry sub-index
Previous trading close to listing-day close (2023-03-31).
Benchmark return in percent; not the index level or excess return.</t>
      </text>
    </comment>
    <comment ref="AP185" authorId="1" shapeId="0">
      <text>
        <t>Horizon close: 2023-04-12
5/21/63 traded sessions after debut; price-only return vs offer.</t>
      </text>
    </comment>
    <comment ref="AQ185" authorId="1" shapeId="0">
      <text>
        <t>Horizon close: 2023-05-05
5/21/63 traded sessions after debut; price-only return vs offer.</t>
      </text>
    </comment>
    <comment ref="AR185" authorId="1" shapeId="0">
      <text>
        <t>Horizon close: 2023-07-06
5/21/63 traded sessions after debut; price-only return vs offer.</t>
      </text>
    </comment>
    <comment ref="AI186" authorId="0" shapeId="0">
      <text>
        <t>Close: HK$29.75
Date: 2023-04-12
Venue: Phillip (etnet news story)
Source: etnet:news https://www.etnet.com.hk/www/tc/stocks/ipo-news-article/20230412412/</t>
      </text>
    </comment>
    <comment ref="AK186" authorId="1" shapeId="0">
      <text>
        <t>HSTECH (Hang Seng TECH ETF)
Previous trading close to listing-day close (2023-04-13).
Benchmark return in percent; not the index level or excess return.</t>
      </text>
    </comment>
    <comment ref="AP186" authorId="1" shapeId="0">
      <text>
        <t>Horizon close: 2023-04-20
5/21/63 traded sessions after debut; price-only return vs offer.</t>
      </text>
    </comment>
    <comment ref="AQ186" authorId="1" shapeId="0">
      <text>
        <t>Horizon close: 2023-05-15
5/21/63 traded sessions after debut; price-only return vs offer.</t>
      </text>
    </comment>
    <comment ref="AR186" authorId="1" shapeId="0">
      <text>
        <t>Horizon close: 2023-07-14
5/21/63 traded sessions after debut; price-only return vs offer.</t>
      </text>
    </comment>
    <comment ref="AI187" authorId="0" shapeId="0">
      <text>
        <t>Close: HK$10.28
Date: 2023-04-26
Venue: Phillip (etnet news story)
Source: etnet:news https://www.etnet.com.hk/www/tc/stocks/ipo-news-article/20230426382/</t>
      </text>
    </comment>
    <comment ref="AK187" authorId="1" shapeId="0">
      <text>
        <t>Hang Seng Commerce &amp; Industry sub-index
Previous trading close to listing-day close (2023-04-27).
Benchmark return in percent; not the index level or excess return.</t>
      </text>
    </comment>
    <comment ref="AP187" authorId="1" shapeId="0">
      <text>
        <t>Horizon close: 2023-05-05
5/21/63 traded sessions after debut; price-only return vs offer.</t>
      </text>
    </comment>
    <comment ref="AQ187" authorId="1" shapeId="0">
      <text>
        <t>Horizon close: 2023-05-30
5/21/63 traded sessions after debut; price-only return vs offer.</t>
      </text>
    </comment>
    <comment ref="AR187" authorId="1" shapeId="0">
      <text>
        <t>Horizon close: 2023-07-31
5/21/63 traded sessions after debut; price-only return vs offer.</t>
      </text>
    </comment>
    <comment ref="AI188" authorId="0" shapeId="0">
      <text>
        <t>Close: HK$8.85
Date: 2023-04-26
Venue: Phillip (etnet news story)
Source: etnet:news https://www.etnet.com.hk/www/tc/stocks/ipo-news-article/20230426381/</t>
      </text>
    </comment>
    <comment ref="AK188" authorId="1" shapeId="0">
      <text>
        <t>China Biotech ETF (HS biotech proxy)
Previous trading close to listing-day close (2023-04-27).
Benchmark return in percent; not the index level or excess return.</t>
      </text>
    </comment>
    <comment ref="AP188" authorId="1" shapeId="0">
      <text>
        <t>Horizon close: 2023-05-05
5/21/63 traded sessions after debut; price-only return vs offer.</t>
      </text>
    </comment>
    <comment ref="AQ188" authorId="1" shapeId="0">
      <text>
        <t>Horizon close: 2023-05-30
5/21/63 traded sessions after debut; price-only return vs offer.</t>
      </text>
    </comment>
    <comment ref="AR188" authorId="1" shapeId="0">
      <text>
        <t>Horizon close: 2023-07-31
5/21/63 traded sessions after debut; price-only return vs offer.</t>
      </text>
    </comment>
    <comment ref="AI189" authorId="0" shapeId="0">
      <text>
        <t>Close: HK$31.45
Date: 2023-05-05
Venue: Phillip (etnet news story)
Source: etnet:news https://www.etnet.com.hk/www/tc/stocks/ipo-news-article/20230505388/</t>
      </text>
    </comment>
    <comment ref="AK189" authorId="1" shapeId="0">
      <text>
        <t>China Biotech ETF (HS biotech proxy)
Previous trading close to listing-day close (2023-05-08).
Benchmark return in percent; not the index level or excess return.</t>
      </text>
    </comment>
    <comment ref="AP189" authorId="1" shapeId="0">
      <text>
        <t>Horizon close: 2023-05-15
5/21/63 traded sessions after debut; price-only return vs offer.</t>
      </text>
    </comment>
    <comment ref="AQ189" authorId="1" shapeId="0">
      <text>
        <t>Horizon close: 2023-06-07
5/21/63 traded sessions after debut; price-only return vs offer.</t>
      </text>
    </comment>
    <comment ref="AR189" authorId="1" shapeId="0">
      <text>
        <t>Horizon close: 2023-08-08
5/21/63 traded sessions after debut; price-only return vs offer.</t>
      </text>
    </comment>
    <comment ref="AI190" authorId="0" shapeId="0">
      <text>
        <t>Close: HK$0.9
Date: 2023-05-08
Venue: Phillip (etnet news story)
Source: etnet:news https://www.etnet.com.hk/www/tc/stocks/ipo-news-article/20230508412/</t>
      </text>
    </comment>
    <comment ref="AK190" authorId="1" shapeId="0">
      <text>
        <t>Hang Seng Commerce &amp; Industry sub-index
Previous trading close to listing-day close (2023-05-09).
Benchmark return in percent; not the index level or excess return.</t>
      </text>
    </comment>
    <comment ref="AP190" authorId="1" shapeId="0">
      <text>
        <t>Horizon close: 2023-05-16
5/21/63 traded sessions after debut; price-only return vs offer.</t>
      </text>
    </comment>
    <comment ref="AQ190" authorId="1" shapeId="0">
      <text>
        <t>Horizon close: 2023-06-08
5/21/63 traded sessions after debut; price-only return vs offer.</t>
      </text>
    </comment>
    <comment ref="AR190" authorId="1" shapeId="0">
      <text>
        <t>Horizon close: 2023-08-09
5/21/63 traded sessions after debut; price-only return vs offer.</t>
      </text>
    </comment>
    <comment ref="AI191" authorId="0" shapeId="0">
      <text>
        <t>Close: HK$10.2
Date: 2023-05-10
Venue: Phillip (etnet news story)
Source: etnet:news https://www.etnet.com.hk/www/tc/stocks/ipo-news-article/20230510405/</t>
      </text>
    </comment>
    <comment ref="AK191" authorId="1" shapeId="0">
      <text>
        <t>Hang Seng Index
Previous trading close to listing-day close (2023-05-11).
Benchmark return in percent; not the index level or excess return.</t>
      </text>
    </comment>
    <comment ref="AP191" authorId="1" shapeId="0">
      <text>
        <t>Horizon close: 2023-05-18
5/21/63 traded sessions after debut; price-only return vs offer.</t>
      </text>
    </comment>
    <comment ref="AQ191" authorId="1" shapeId="0">
      <text>
        <t>Horizon close: 2023-06-12
5/21/63 traded sessions after debut; price-only return vs offer.</t>
      </text>
    </comment>
    <comment ref="AR191" authorId="1" shapeId="0">
      <text>
        <t>Horizon close: 2023-08-11
5/21/63 traded sessions after debut; price-only return vs offer.</t>
      </text>
    </comment>
    <comment ref="AI192" authorId="0" shapeId="0">
      <text>
        <t>Close: HK$3.6
Date: 2023-05-24
Venue: Phillip (etnet news story)
Source: etnet:news https://www.etnet.com.hk/www/tc/stocks/ipo-news-article/20230524387/</t>
      </text>
    </comment>
    <comment ref="AK192" authorId="1" shapeId="0">
      <text>
        <t>Hang Seng Commerce &amp; Industry sub-index
Previous trading close to listing-day close (2023-05-25).
Benchmark return in percent; not the index level or excess return.</t>
      </text>
    </comment>
    <comment ref="AP192" authorId="1" shapeId="0">
      <text>
        <t>Horizon close: 2023-06-02
5/21/63 traded sessions after debut; price-only return vs offer.</t>
      </text>
    </comment>
    <comment ref="AQ192" authorId="1" shapeId="0">
      <text>
        <t>Horizon close: 2023-06-27
5/21/63 traded sessions after debut; price-only return vs offer.</t>
      </text>
    </comment>
    <comment ref="AR192" authorId="1" shapeId="0">
      <text>
        <t>Horizon close: 2023-08-25
5/21/63 traded sessions after debut; price-only return vs offer.</t>
      </text>
    </comment>
    <comment ref="AI193" authorId="0" shapeId="0">
      <text>
        <t>Close: HK$9.78
Date: 2023-05-24
Venue: Phillip (etnet news story)
Source: etnet:news https://www.etnet.com.hk/www/tc/stocks/ipo-news-article/20230524386/</t>
      </text>
    </comment>
    <comment ref="AK193" authorId="1" shapeId="0">
      <text>
        <t>HSTECH (Hang Seng TECH ETF)
Previous trading close to listing-day close (2023-05-25).
Benchmark return in percent; not the index level or excess return.</t>
      </text>
    </comment>
    <comment ref="AP193" authorId="1" shapeId="0">
      <text>
        <t>Horizon close: 2023-06-02
5/21/63 traded sessions after debut; price-only return vs offer.</t>
      </text>
    </comment>
    <comment ref="AQ193" authorId="1" shapeId="0">
      <text>
        <t>Horizon close: 2023-06-27
5/21/63 traded sessions after debut; price-only return vs offer.</t>
      </text>
    </comment>
    <comment ref="AR193" authorId="1" shapeId="0">
      <text>
        <t>Horizon close: 2023-08-25
5/21/63 traded sessions after debut; price-only return vs offer.</t>
      </text>
    </comment>
    <comment ref="AI194" authorId="0" shapeId="0">
      <text>
        <t>Close: HK$21.5
Date: 2023-06-09
Venue: Phillip (etnet news story)
Source: etnet:news https://www.etnet.com.hk/www/tc/stocks/ipo-news-article/20230609306/</t>
      </text>
    </comment>
    <comment ref="AK194" authorId="1" shapeId="0">
      <text>
        <t>China Biotech ETF (HS biotech proxy)
Previous trading close to listing-day close (2023-06-12).
Benchmark return in percent; not the index level or excess return.</t>
      </text>
    </comment>
    <comment ref="AP194" authorId="1" shapeId="0">
      <text>
        <t>Horizon close: 2023-06-19
5/21/63 traded sessions after debut; price-only return vs offer.</t>
      </text>
    </comment>
    <comment ref="AQ194" authorId="1" shapeId="0">
      <text>
        <t>Horizon close: 2023-07-12
5/21/63 traded sessions after debut; price-only return vs offer.</t>
      </text>
    </comment>
    <comment ref="AR194" authorId="1" shapeId="0">
      <text>
        <t>Horizon close: 2023-09-13
5/21/63 traded sessions after debut; price-only return vs offer.</t>
      </text>
    </comment>
    <comment ref="AI195" authorId="0" shapeId="0">
      <text>
        <t>Close: HK$26
Date: 2023-06-27
Venue: Phillip (etnet news story)
Source: etnet:news https://www.etnet.com.hk/www/tc/stocks/ipo-news-article/20230627388/</t>
      </text>
    </comment>
    <comment ref="AK195" authorId="1" shapeId="0">
      <text>
        <t>China Biotech ETF (HS biotech proxy)
Previous trading close to listing-day close (2023-06-28).
Benchmark return in percent; not the index level or excess return.</t>
      </text>
    </comment>
    <comment ref="AP195" authorId="1" shapeId="0">
      <text>
        <t>Horizon close: 2023-07-05
5/21/63 traded sessions after debut; price-only return vs offer.</t>
      </text>
    </comment>
    <comment ref="AQ195" authorId="1" shapeId="0">
      <text>
        <t>Horizon close: 2023-07-28
5/21/63 traded sessions after debut; price-only return vs offer.</t>
      </text>
    </comment>
    <comment ref="AR195" authorId="1" shapeId="0">
      <text>
        <t>Horizon close: 2023-09-28
5/21/63 traded sessions after debut; price-only return vs offer.</t>
      </text>
    </comment>
    <comment ref="AI196" authorId="0" shapeId="0">
      <text>
        <t>Close: HK$13.14
Date: 2023-06-28
Venue: Phillip (etnet news story)
Source: etnet:news https://www.etnet.com.hk/www/tc/stocks/ipo-news-article/20230628304/</t>
      </text>
    </comment>
    <comment ref="AK196" authorId="1" shapeId="0">
      <text>
        <t>China Biotech ETF (HS biotech proxy)
Previous trading close to listing-day close (2023-06-29).
Benchmark return in percent; not the index level or excess return.</t>
      </text>
    </comment>
    <comment ref="AP196" authorId="1" shapeId="0">
      <text>
        <t>Horizon close: 2023-07-06
5/21/63 traded sessions after debut; price-only return vs offer.</t>
      </text>
    </comment>
    <comment ref="AQ196" authorId="1" shapeId="0">
      <text>
        <t>Horizon close: 2023-07-31
5/21/63 traded sessions after debut; price-only return vs offer.</t>
      </text>
    </comment>
    <comment ref="AR196" authorId="1" shapeId="0">
      <text>
        <t>Horizon close: 2023-09-29
5/21/63 traded sessions after debut; price-only return vs offer.</t>
      </text>
    </comment>
    <comment ref="AI197" authorId="0" shapeId="0">
      <text>
        <t>Close: HK$12.46
Date: 2023-06-29
Venue: Phillip (etnet news story)
Source: etnet:news https://www.etnet.com.hk/www/tc/stocks/ipo-news-article/20230629398/</t>
      </text>
    </comment>
    <comment ref="AK197" authorId="1" shapeId="0">
      <text>
        <t>China Biotech ETF (HS biotech proxy)
Previous trading close to listing-day close (2023-06-30).
Benchmark return in percent; not the index level or excess return.</t>
      </text>
    </comment>
    <comment ref="AP197" authorId="1" shapeId="0">
      <text>
        <t>Horizon close: 2023-07-07
5/21/63 traded sessions after debut; price-only return vs offer.</t>
      </text>
    </comment>
    <comment ref="AQ197" authorId="1" shapeId="0">
      <text>
        <t>Horizon close: 2023-08-01
5/21/63 traded sessions after debut; price-only return vs offer.</t>
      </text>
    </comment>
    <comment ref="AR197" authorId="1" shapeId="0">
      <text>
        <t>Horizon close: 2023-10-03
5/21/63 traded sessions after debut; price-only return vs offer.</t>
      </text>
    </comment>
    <comment ref="AI198" authorId="0" shapeId="0">
      <text>
        <t>Close: HK$3.49
Date: 2023-07-07
Venue: Phillip (etnet news story)
Source: etnet:news https://www.etnet.com.hk/www/tc/stocks/ipo-news-article/20230707381/</t>
      </text>
    </comment>
    <comment ref="AK198" authorId="1" shapeId="0">
      <text>
        <t>Hang Seng Commerce &amp; Industry sub-index
Previous trading close to listing-day close (2023-07-10).
Benchmark return in percent; not the index level or excess return.</t>
      </text>
    </comment>
    <comment ref="AP198" authorId="1" shapeId="0">
      <text>
        <t>Horizon close: 2023-07-18
5/21/63 traded sessions after debut; price-only return vs offer.</t>
      </text>
    </comment>
    <comment ref="AQ198" authorId="1" shapeId="0">
      <text>
        <t>Horizon close: 2023-08-09
5/21/63 traded sessions after debut; price-only return vs offer.</t>
      </text>
    </comment>
    <comment ref="AR198" authorId="1" shapeId="0">
      <text>
        <t>Horizon close: 2023-10-11
5/21/63 traded sessions after debut; price-only return vs offer.</t>
      </text>
    </comment>
    <comment ref="AI199" authorId="0" shapeId="0">
      <text>
        <t>Close: HK$60.6
Date: 2023-07-10
Venue: Phillip (etnet news story)
Source: etnet:news https://www.etnet.com.hk/www/tc/stocks/ipo-news-article/20230710363/</t>
      </text>
    </comment>
    <comment ref="AK199" authorId="1" shapeId="0">
      <text>
        <t>China Biotech ETF (HS biotech proxy)
Previous trading close to listing-day close (2023-07-11).
Benchmark return in percent; not the index level or excess return.</t>
      </text>
    </comment>
    <comment ref="AP199" authorId="1" shapeId="0">
      <text>
        <t>Horizon close: 2023-07-19
5/21/63 traded sessions after debut; price-only return vs offer.</t>
      </text>
    </comment>
    <comment ref="AQ199" authorId="1" shapeId="0">
      <text>
        <t>Horizon close: 2023-08-10
5/21/63 traded sessions after debut; price-only return vs offer.</t>
      </text>
    </comment>
    <comment ref="AR199" authorId="1" shapeId="0">
      <text>
        <t>Horizon close: 2023-10-12
5/21/63 traded sessions after debut; price-only return vs offer.</t>
      </text>
    </comment>
    <comment ref="AI200" authorId="0" shapeId="0">
      <text>
        <t>Close: HK$29.5
Date: 2023-07-11
Venue: Phillip (etnet news story)
Source: etnet:news https://www.etnet.com.hk/www/tc/stocks/ipo-news-article/20230711386/</t>
      </text>
    </comment>
    <comment ref="AK200" authorId="1" shapeId="0">
      <text>
        <t>HSTECH (Hang Seng TECH ETF)
Previous trading close to listing-day close (2023-07-12).
Benchmark return in percent; not the index level or excess return.</t>
      </text>
    </comment>
    <comment ref="AP200" authorId="1" shapeId="0">
      <text>
        <t>Horizon close: 2023-07-20
5/21/63 traded sessions after debut; price-only return vs offer.</t>
      </text>
    </comment>
    <comment ref="AQ200" authorId="1" shapeId="0">
      <text>
        <t>Horizon close: 2023-08-11
5/21/63 traded sessions after debut; price-only return vs offer.</t>
      </text>
    </comment>
    <comment ref="AR200" authorId="1" shapeId="0">
      <text>
        <t>Horizon close: 2023-10-13
5/21/63 traded sessions after debut; price-only return vs offer.</t>
      </text>
    </comment>
    <comment ref="AI201" authorId="0" shapeId="0">
      <text>
        <t>Close: HK$5.67
Date: 2023-07-12
Venue: Phillip (etnet news story)
Source: etnet:news https://www.etnet.com.hk/www/tc/stocks/ipo-news-article/20230712362/</t>
      </text>
    </comment>
    <comment ref="AK201" authorId="1" shapeId="0">
      <text>
        <t>Hang Seng Index
Previous trading close to listing-day close (2023-07-13).
Benchmark return in percent; not the index level or excess return.</t>
      </text>
    </comment>
    <comment ref="AP201" authorId="1" shapeId="0">
      <text>
        <t>Horizon close: 2023-07-21
5/21/63 traded sessions after debut; price-only return vs offer.</t>
      </text>
    </comment>
    <comment ref="AQ201" authorId="1" shapeId="0">
      <text>
        <t>Horizon close: 2023-08-14
5/21/63 traded sessions after debut; price-only return vs offer.</t>
      </text>
    </comment>
    <comment ref="AR201" authorId="1" shapeId="0">
      <text>
        <t>Horizon close: 2023-10-16
5/21/63 traded sessions after debut; price-only return vs offer.</t>
      </text>
    </comment>
    <comment ref="H202" authorId="2" shapeId="0">
      <text>
        <t>scheduled 2023-07-17, exchange closed that day; first dealings 2023-07-18</t>
      </text>
    </comment>
    <comment ref="AI202" authorId="0" shapeId="0">
      <text>
        <t>Close: HK$0.94
Date: 2023-07-14
Venue: Phillip (etnet news story)
Source: etnet:news https://www.etnet.com.hk/www/tc/stocks/ipo-news-article/20230714305/</t>
      </text>
    </comment>
    <comment ref="AK202" authorId="1" shapeId="0">
      <text>
        <t>Hang Seng Index
Previous trading close to listing-day close (2023-07-18).
Benchmark return in percent; not the index level or excess return.</t>
      </text>
    </comment>
    <comment ref="AP202" authorId="1" shapeId="0">
      <text>
        <t>Horizon close: 2023-07-25
5/21/63 traded sessions after debut; price-only return vs offer.</t>
      </text>
    </comment>
    <comment ref="AQ202" authorId="1" shapeId="0">
      <text>
        <t>Horizon close: 2023-08-16
5/21/63 traded sessions after debut; price-only return vs offer.</t>
      </text>
    </comment>
    <comment ref="AR202" authorId="1" shapeId="0">
      <text>
        <t>Horizon close: 2023-10-18
5/21/63 traded sessions after debut; price-only return vs offer.</t>
      </text>
    </comment>
    <comment ref="AI203" authorId="0" shapeId="0">
      <text>
        <t>close not verified in the captured sources; historical press archives may hold one</t>
      </text>
    </comment>
    <comment ref="AK203" authorId="1" shapeId="0">
      <text>
        <t>Hang Seng Properties sub-index
Previous trading close to listing-day close (2023-07-18).
Benchmark return in percent; not the index level or excess return.</t>
      </text>
    </comment>
    <comment ref="AP203" authorId="1" shapeId="0">
      <text>
        <t>Horizon close: 2023-07-25
5/21/63 traded sessions after debut; price-only return vs offer.</t>
      </text>
    </comment>
    <comment ref="AQ203" authorId="1" shapeId="0">
      <text>
        <t>Horizon close: 2023-08-16
5/21/63 traded sessions after debut; price-only return vs offer.</t>
      </text>
    </comment>
    <comment ref="AR203" authorId="1" shapeId="0">
      <text>
        <t>Horizon close: 2023-10-18
5/21/63 traded sessions after debut; price-only return vs offer.</t>
      </text>
    </comment>
    <comment ref="AI204" authorId="0" shapeId="0">
      <text>
        <t>Close: HK$21
Date: 2023-09-04
Venue: Phillip (etnet news story)
Source: etnet:news https://www.etnet.com.hk/www/tc/stocks/ipo-news-article/20230904979/</t>
      </text>
    </comment>
    <comment ref="AK204" authorId="1" shapeId="0">
      <text>
        <t>China Biotech ETF (HS biotech proxy)
Previous trading close to listing-day close (2023-09-05).
Benchmark return in percent; not the index level or excess return.</t>
      </text>
    </comment>
    <comment ref="AP204" authorId="1" shapeId="0">
      <text>
        <t>Horizon close: 2023-09-13
5/21/63 traded sessions after debut; price-only return vs offer.</t>
      </text>
    </comment>
    <comment ref="AQ204" authorId="1" shapeId="0">
      <text>
        <t>Horizon close: 2023-10-06
5/21/63 traded sessions after debut; price-only return vs offer.</t>
      </text>
    </comment>
    <comment ref="AR204" authorId="1" shapeId="0">
      <text>
        <t>Horizon close: 2023-12-06
5/21/63 traded sessions after debut; price-only return vs offer.</t>
      </text>
    </comment>
    <comment ref="AI205" authorId="0" shapeId="0">
      <text>
        <t>Close: HK$16.6
Date: 2023-09-22
Venue: Phillip (etnet news story)
Source: etnet:news https://www.etnet.com.hk/www/tc/stocks/ipo-news-article/20230922414/</t>
      </text>
    </comment>
    <comment ref="AK205" authorId="1" shapeId="0">
      <text>
        <t>China Biotech ETF (HS biotech proxy)
Previous trading close to listing-day close (2023-09-25).
Benchmark return in percent; not the index level or excess return.</t>
      </text>
    </comment>
    <comment ref="AP205" authorId="1" shapeId="0">
      <text>
        <t>Horizon close: 2023-10-03
5/21/63 traded sessions after debut; price-only return vs offer.</t>
      </text>
    </comment>
    <comment ref="AQ205" authorId="1" shapeId="0">
      <text>
        <t>Horizon close: 2023-10-26
5/21/63 traded sessions after debut; price-only return vs offer.</t>
      </text>
    </comment>
    <comment ref="AR205" authorId="1" shapeId="0">
      <text>
        <t>Horizon close: 2023-12-27
5/21/63 traded sessions after debut; price-only return vs offer.</t>
      </text>
    </comment>
    <comment ref="AI206" authorId="0" shapeId="0">
      <text>
        <t>Close: HK$5.07
Date: 2023-09-22
Venue: Phillip (etnet news story)
Source: etnet:news https://www.etnet.com.hk/www/tc/stocks/ipo-news-article/20230922413/</t>
      </text>
    </comment>
    <comment ref="AK206" authorId="1" shapeId="0">
      <text>
        <t>Hang Seng Commerce &amp; Industry sub-index
Previous trading close to listing-day close (2023-09-25).
Benchmark return in percent; not the index level or excess return.</t>
      </text>
    </comment>
    <comment ref="AP206" authorId="1" shapeId="0">
      <text>
        <t>Horizon close: 2023-10-03
5/21/63 traded sessions after debut; price-only return vs offer.</t>
      </text>
    </comment>
    <comment ref="AQ206" authorId="1" shapeId="0">
      <text>
        <t>Horizon close: 2023-10-26
5/21/63 traded sessions after debut; price-only return vs offer.</t>
      </text>
    </comment>
    <comment ref="AR206" authorId="1" shapeId="0">
      <text>
        <t>Horizon close: 2023-12-27
5/21/63 traded sessions after debut; price-only return vs offer.</t>
      </text>
    </comment>
    <comment ref="AI207" authorId="0" shapeId="0">
      <text>
        <t>Close: HK$27
Date: 2023-09-25
Venue: Phillip (etnet news story)
Source: etnet:news https://www.etnet.com.hk/www/tc/stocks/ipo-news-article/20230925403/</t>
      </text>
    </comment>
    <comment ref="AK207" authorId="1" shapeId="0">
      <text>
        <t>HSTECH (Hang Seng TECH ETF)
Previous trading close to listing-day close (2023-09-26).
Benchmark return in percent; not the index level or excess return.</t>
      </text>
    </comment>
    <comment ref="AP207" authorId="1" shapeId="0">
      <text>
        <t>Horizon close: 2023-10-04
5/21/63 traded sessions after debut; price-only return vs offer.</t>
      </text>
    </comment>
    <comment ref="AQ207" authorId="1" shapeId="0">
      <text>
        <t>Horizon close: 2023-10-27
5/21/63 traded sessions after debut; price-only return vs offer.</t>
      </text>
    </comment>
    <comment ref="AR207" authorId="1" shapeId="0">
      <text>
        <t>Horizon close: 2023-12-28
5/21/63 traded sessions after debut; price-only return vs offer.</t>
      </text>
    </comment>
    <comment ref="AI208" authorId="0" shapeId="0">
      <text>
        <t>Close: HK$3.61
Date: 2023-09-27
Venue: Phillip (etnet news story)
Source: etnet:news https://www.etnet.com.hk/www/tc/stocks/ipo-news-article/20230927387/</t>
      </text>
    </comment>
    <comment ref="AK208" authorId="1" shapeId="0">
      <text>
        <t>China Biotech ETF (HS biotech proxy)
Previous trading close to listing-day close (2023-09-28).
Benchmark return in percent; not the index level or excess return.</t>
      </text>
    </comment>
    <comment ref="AP208" authorId="1" shapeId="0">
      <text>
        <t>Horizon close: 2023-10-06
5/21/63 traded sessions after debut; price-only return vs offer.</t>
      </text>
    </comment>
    <comment ref="AQ208" authorId="1" shapeId="0">
      <text>
        <t>Horizon close: 2023-10-31
5/21/63 traded sessions after debut; price-only return vs offer.</t>
      </text>
    </comment>
    <comment ref="AR208" authorId="1" shapeId="0">
      <text>
        <t>Horizon close: 2024-01-02
5/21/63 traded sessions after debut; price-only return vs offer.</t>
      </text>
    </comment>
    <comment ref="AI209" authorId="0" shapeId="0">
      <text>
        <t>Close: HK$13.9
Date: 2023-09-27
Venue: Phillip (etnet news story)
Source: etnet:news https://www.etnet.com.hk/www/tc/stocks/ipo-news-article/20230927388/</t>
      </text>
    </comment>
    <comment ref="AK209" authorId="1" shapeId="0">
      <text>
        <t>Hang Seng Index
Previous trading close to listing-day close (2023-09-28).
Benchmark return in percent; not the index level or excess return.</t>
      </text>
    </comment>
    <comment ref="AP209" authorId="1" shapeId="0">
      <text>
        <t>Horizon close: 2023-10-06
5/21/63 traded sessions after debut; price-only return vs offer.</t>
      </text>
    </comment>
    <comment ref="AQ209" authorId="1" shapeId="0">
      <text>
        <t>Horizon close: 2023-10-31
5/21/63 traded sessions after debut; price-only return vs offer.</t>
      </text>
    </comment>
    <comment ref="AR209" authorId="1" shapeId="0">
      <text>
        <t>Horizon close: 2024-01-02
5/21/63 traded sessions after debut; price-only return vs offer.</t>
      </text>
    </comment>
    <comment ref="AI210" authorId="0" shapeId="0">
      <text>
        <t>Close: HK$61
Date: 2023-09-27
Venue: Phillip (etnet news story)
Source: etnet:news https://www.etnet.com.hk/www/tc/stocks/ipo-news-article/20230927389/</t>
      </text>
    </comment>
    <comment ref="AK210" authorId="1" shapeId="0">
      <text>
        <t>HSTECH (Hang Seng TECH ETF)
Previous trading close to listing-day close (2023-09-28).
Benchmark return in percent; not the index level or excess return.</t>
      </text>
    </comment>
    <comment ref="AP210" authorId="1" shapeId="0">
      <text>
        <t>Horizon close: 2023-10-06
5/21/63 traded sessions after debut; price-only return vs offer.</t>
      </text>
    </comment>
    <comment ref="AQ210" authorId="1" shapeId="0">
      <text>
        <t>Horizon close: 2023-10-31
5/21/63 traded sessions after debut; price-only return vs offer.</t>
      </text>
    </comment>
    <comment ref="AR210" authorId="1" shapeId="0">
      <text>
        <t>Horizon close: 2024-01-02
5/21/63 traded sessions after debut; price-only return vs offer.</t>
      </text>
    </comment>
    <comment ref="AI211" authorId="0" shapeId="0">
      <text>
        <t>Close: HK$5.39
Date: 2023-10-05
Venue: Phillip (etnet news story)
Source: etnet:news https://www.etnet.com.hk/www/tc/stocks/ipo-news-article/20231005396/</t>
      </text>
    </comment>
    <comment ref="AK211" authorId="1" shapeId="0">
      <text>
        <t>Hang Seng Finance sub-index
Previous trading close to listing-day close (2023-10-06).
Benchmark return in percent; not the index level or excess return.</t>
      </text>
    </comment>
    <comment ref="AP211" authorId="1" shapeId="0">
      <text>
        <t>Horizon close: 2023-10-13
5/21/63 traded sessions after debut; price-only return vs offer.</t>
      </text>
    </comment>
    <comment ref="AQ211" authorId="1" shapeId="0">
      <text>
        <t>Horizon close: 2023-11-07
5/21/63 traded sessions after debut; price-only return vs offer.</t>
      </text>
    </comment>
    <comment ref="AR211" authorId="1" shapeId="0">
      <text>
        <t>Horizon close: 2024-01-09
5/21/63 traded sessions after debut; price-only return vs offer.</t>
      </text>
    </comment>
    <comment ref="AI212" authorId="0" shapeId="0">
      <text>
        <t>Close: HK$1.42
Date: 2023-10-10
Venue: Phillip (etnet news story)
Source: etnet:news https://www.etnet.com.hk/www/tc/stocks/ipo-news-article/20231010394/</t>
      </text>
    </comment>
    <comment ref="AK212" authorId="1" shapeId="0">
      <text>
        <t>HSTECH (Hang Seng TECH ETF)
Previous trading close to listing-day close (2023-10-11).
Benchmark return in percent; not the index level or excess return.</t>
      </text>
    </comment>
    <comment ref="AP212" authorId="1" shapeId="0">
      <text>
        <t>Horizon close: 2023-10-18
5/21/63 traded sessions after debut; price-only return vs offer.</t>
      </text>
    </comment>
    <comment ref="AQ212" authorId="1" shapeId="0">
      <text>
        <t>Horizon close: 2023-11-10
5/21/63 traded sessions after debut; price-only return vs offer.</t>
      </text>
    </comment>
    <comment ref="AR212" authorId="1" shapeId="0">
      <text>
        <t>Horizon close: 2024-01-12
5/21/63 traded sessions after debut; price-only return vs offer.</t>
      </text>
    </comment>
    <comment ref="AI213" authorId="0" shapeId="0">
      <text>
        <t>Close: HK$16.36
Date: 2023-10-11
Venue: Phillip (etnet news story)
Source: etnet:news https://www.etnet.com.hk/www/tc/stocks/ipo-news-article/20231011404/</t>
      </text>
    </comment>
    <comment ref="AK213" authorId="1" shapeId="0">
      <text>
        <t>Hang Seng Commerce &amp; Industry sub-index
Previous trading close to listing-day close (2023-10-12).
Benchmark return in percent; not the index level or excess return.</t>
      </text>
    </comment>
    <comment ref="AP213" authorId="1" shapeId="0">
      <text>
        <t>Horizon close: 2023-10-19
5/21/63 traded sessions after debut; price-only return vs offer.</t>
      </text>
    </comment>
    <comment ref="AQ213" authorId="1" shapeId="0">
      <text>
        <t>Horizon close: 2023-11-13
5/21/63 traded sessions after debut; price-only return vs offer.</t>
      </text>
    </comment>
    <comment ref="AR213" authorId="1" shapeId="0">
      <text>
        <t>Horizon close: 2024-01-15
5/21/63 traded sessions after debut; price-only return vs offer.</t>
      </text>
    </comment>
    <comment ref="AI214" authorId="0" shapeId="0">
      <text>
        <t>Close: HK$7.58
Date: 2023-10-11
Venue: Phillip (etnet news story)
Source: etnet:news https://www.etnet.com.hk/www/tc/stocks/ipo-news-article/20231011405/</t>
      </text>
    </comment>
    <comment ref="AK214" authorId="1" shapeId="0">
      <text>
        <t>Hang Seng Commerce &amp; Industry sub-index
Previous trading close to listing-day close (2023-10-12).
Benchmark return in percent; not the index level or excess return.</t>
      </text>
    </comment>
    <comment ref="AP214" authorId="1" shapeId="0">
      <text>
        <t>Horizon close: 2023-10-19
5/21/63 traded sessions after debut; price-only return vs offer.</t>
      </text>
    </comment>
    <comment ref="AQ214" authorId="1" shapeId="0">
      <text>
        <t>Horizon close: 2023-11-13
5/21/63 traded sessions after debut; price-only return vs offer.</t>
      </text>
    </comment>
    <comment ref="AR214" authorId="1" shapeId="0">
      <text>
        <t>Horizon close: 2024-01-15
5/21/63 traded sessions after debut; price-only return vs offer.</t>
      </text>
    </comment>
    <comment ref="AI215" authorId="0" shapeId="0">
      <text>
        <t>Close: HK$11.86
Date: 2023-10-26
Venue: Phillip (etnet news story)
Source: etnet:news https://www.etnet.com.hk/www/tc/stocks/ipo-news-article/20231026398/</t>
      </text>
    </comment>
    <comment ref="AK215" authorId="1" shapeId="0">
      <text>
        <t>Hang Seng Commerce &amp; Industry sub-index
Previous trading close to listing-day close (2023-10-27).
Benchmark return in percent; not the index level or excess return.</t>
      </text>
    </comment>
    <comment ref="AP215" authorId="1" shapeId="0">
      <text>
        <t>Horizon close: 2023-11-03
5/21/63 traded sessions after debut; price-only return vs offer.</t>
      </text>
    </comment>
    <comment ref="AQ215" authorId="1" shapeId="0">
      <text>
        <t>Horizon close: 2023-11-27
5/21/63 traded sessions after debut; price-only return vs offer.</t>
      </text>
    </comment>
    <comment ref="AR215" authorId="1" shapeId="0">
      <text>
        <t>Horizon close: 2024-01-29
5/21/63 traded sessions after debut; price-only return vs offer.</t>
      </text>
    </comment>
    <comment ref="AI216" authorId="0" shapeId="0">
      <text>
        <t>Close: HK$5.97
Date: 2023-11-01
Venue: Phillip (etnet news story)
Source: etnet:news https://www.etnet.com.hk/www/tc/stocks/ipo-news-article/20231101396/</t>
      </text>
    </comment>
    <comment ref="AK216" authorId="1" shapeId="0">
      <text>
        <t>Hang Seng Commerce &amp; Industry sub-index
Previous trading close to listing-day close (2023-11-02).
Benchmark return in percent; not the index level or excess return.</t>
      </text>
    </comment>
    <comment ref="AP216" authorId="1" shapeId="0">
      <text>
        <t>Horizon close: 2023-11-09
5/21/63 traded sessions after debut; price-only return vs offer.</t>
      </text>
    </comment>
    <comment ref="AQ216" authorId="1" shapeId="0">
      <text>
        <t>Horizon close: 2023-12-01
5/21/63 traded sessions after debut; price-only return vs offer.</t>
      </text>
    </comment>
    <comment ref="AR216" authorId="1" shapeId="0">
      <text>
        <t>Horizon close: 2024-02-02
5/21/63 traded sessions after debut; price-only return vs offer.</t>
      </text>
    </comment>
    <comment ref="AI217" authorId="0" shapeId="0">
      <text>
        <t>Close: HK$12.5
Date: 2023-11-02
Venue: Phillip (etnet news story)
Source: etnet:news https://www.etnet.com.hk/www/tc/stocks/ipo-news-article/20231102396/</t>
      </text>
    </comment>
    <comment ref="AK217" authorId="1" shapeId="0">
      <text>
        <t>Hang Seng Commerce &amp; Industry sub-index
Previous trading close to listing-day close (2023-11-03).
Benchmark return in percent; not the index level or excess return.</t>
      </text>
    </comment>
    <comment ref="AP217" authorId="1" shapeId="0">
      <text>
        <t>Horizon close: 2023-11-10
5/21/63 traded sessions after debut; price-only return vs offer.</t>
      </text>
    </comment>
    <comment ref="AQ217" authorId="1" shapeId="0">
      <text>
        <t>Horizon close: 2023-12-04
5/21/63 traded sessions after debut; price-only return vs offer.</t>
      </text>
    </comment>
    <comment ref="AR217" authorId="1" shapeId="0">
      <text>
        <t>Horizon close: 2024-02-05
5/21/63 traded sessions after debut; price-only return vs offer.</t>
      </text>
    </comment>
    <comment ref="AI218" authorId="0" shapeId="0">
      <text>
        <t>Close: HK$2.12
Date: 2023-11-08
Venue: Phillip (etnet news story)
Source: etnet:news https://www.etnet.com.hk/www/tc/stocks/ipo-news-article/20231108393/</t>
      </text>
    </comment>
    <comment ref="AK218" authorId="1" shapeId="0">
      <text>
        <t>Hang Seng Commerce &amp; Industry sub-index
Previous trading close to listing-day close (2023-11-09).
Benchmark return in percent; not the index level or excess return.</t>
      </text>
    </comment>
    <comment ref="AP218" authorId="1" shapeId="0">
      <text>
        <t>Horizon close: 2023-11-16
5/21/63 traded sessions after debut; price-only return vs offer.</t>
      </text>
    </comment>
    <comment ref="AQ218" authorId="1" shapeId="0">
      <text>
        <t>Horizon close: 2023-12-08
5/21/63 traded sessions after debut; price-only return vs offer.</t>
      </text>
    </comment>
    <comment ref="AR218" authorId="1" shapeId="0">
      <text>
        <t>Horizon close: 2024-02-09
5/21/63 traded sessions after debut; price-only return vs offer.</t>
      </text>
    </comment>
    <comment ref="AI219" authorId="0" shapeId="0">
      <text>
        <t>Close: HK$1.61
Date: 2023-11-09
Venue: Phillip (etnet news story)
Source: etnet:news https://www.etnet.com.hk/www/tc/stocks/ipo-news-article/20231109368/</t>
      </text>
    </comment>
    <comment ref="AK219" authorId="1" shapeId="0">
      <text>
        <t>Hang Seng Commerce &amp; Industry sub-index
Previous trading close to listing-day close (2023-11-10).
Benchmark return in percent; not the index level or excess return.</t>
      </text>
    </comment>
    <comment ref="AP219" authorId="1" shapeId="0">
      <text>
        <t>Horizon close: 2023-11-17
5/21/63 traded sessions after debut; price-only return vs offer.</t>
      </text>
    </comment>
    <comment ref="AQ219" authorId="1" shapeId="0">
      <text>
        <t>Horizon close: 2023-12-11
5/21/63 traded sessions after debut; price-only return vs offer.</t>
      </text>
    </comment>
    <comment ref="AR219" authorId="1" shapeId="0">
      <text>
        <t>Horizon close: 2024-02-14
5/21/63 traded sessions after debut; price-only return vs offer.</t>
      </text>
    </comment>
    <comment ref="AI220" authorId="0" shapeId="0">
      <text>
        <t>Close: HK$15.5
Date: 2023-11-09
Venue: Phillip (etnet news story)
Source: etnet:news https://www.etnet.com.hk/www/tc/stocks/ipo-news-article/20231109381/</t>
      </text>
    </comment>
    <comment ref="AK220" authorId="1" shapeId="0">
      <text>
        <t>Hang Seng Commerce &amp; Industry sub-index
Previous trading close to listing-day close (2023-11-10).
Benchmark return in percent; not the index level or excess return.</t>
      </text>
    </comment>
    <comment ref="AP220" authorId="1" shapeId="0">
      <text>
        <t>Horizon close: 2023-11-17
5/21/63 traded sessions after debut; price-only return vs offer.</t>
      </text>
    </comment>
    <comment ref="AQ220" authorId="1" shapeId="0">
      <text>
        <t>Horizon close: 2023-12-11
5/21/63 traded sessions after debut; price-only return vs offer.</t>
      </text>
    </comment>
    <comment ref="AR220" authorId="1" shapeId="0">
      <text>
        <t>Horizon close: 2024-02-14
5/21/63 traded sessions after debut; price-only return vs offer.</t>
      </text>
    </comment>
    <comment ref="AI221" authorId="0" shapeId="0">
      <text>
        <t>Close: HK$25.15
Date: 2023-11-16
Venue: Phillip (etnet news story)
Source: etnet:news https://www.etnet.com.hk/www/tc/stocks/ipo-news-article/20231116410/</t>
      </text>
    </comment>
    <comment ref="AK221" authorId="1" shapeId="0">
      <text>
        <t>China Biotech ETF (HS biotech proxy)
Previous trading close to listing-day close (2023-11-17).
Benchmark return in percent; not the index level or excess return.</t>
      </text>
    </comment>
    <comment ref="AP221" authorId="1" shapeId="0">
      <text>
        <t>Horizon close: 2023-11-24
5/21/63 traded sessions after debut; price-only return vs offer.</t>
      </text>
    </comment>
    <comment ref="AQ221" authorId="1" shapeId="0">
      <text>
        <t>Horizon close: 2023-12-18
5/21/63 traded sessions after debut; price-only return vs offer.</t>
      </text>
    </comment>
    <comment ref="AR221" authorId="1" shapeId="0">
      <text>
        <t>Horizon close: 2024-02-21
5/21/63 traded sessions after debut; price-only return vs offer.</t>
      </text>
    </comment>
    <comment ref="AI222" authorId="0" shapeId="0">
      <text>
        <t>Close: HK$2.14
Date: 2023-11-21
Venue: Phillip (etnet news story)
Source: etnet:news https://www.etnet.com.hk/www/tc/stocks/ipo-news-article/20231121387/</t>
      </text>
    </comment>
    <comment ref="AK222" authorId="1" shapeId="0">
      <text>
        <t>Hang Seng Commerce &amp; Industry sub-index
Previous trading close to listing-day close (2023-11-22).
Benchmark return in percent; not the index level or excess return.</t>
      </text>
    </comment>
    <comment ref="AP222" authorId="1" shapeId="0">
      <text>
        <t>Horizon close: 2023-11-29
5/21/63 traded sessions after debut; price-only return vs offer.</t>
      </text>
    </comment>
    <comment ref="AQ222" authorId="1" shapeId="0">
      <text>
        <t>Horizon close: 2023-12-21
5/21/63 traded sessions after debut; price-only return vs offer.</t>
      </text>
    </comment>
    <comment ref="AR222" authorId="1" shapeId="0">
      <text>
        <t>Horizon close: 2024-02-26
5/21/63 traded sessions after debut; price-only return vs offer.</t>
      </text>
    </comment>
    <comment ref="AI223" authorId="0" shapeId="0">
      <text>
        <t>Close: HK$0.305
Date: 2023-12-04
Venue: Bright Smart
Source: press:https://www.hkej.com/instantnews/hongkong/article/3630246/【新股追蹤】三新股周二掛牌+K+CASH暗盤收跌9%25 — published closing quote 0.305, -4.69% vs offer; venue Bright Smart. GPT archive review, 4 October 2026.</t>
      </text>
    </comment>
    <comment ref="AK223" authorId="1" shapeId="0">
      <text>
        <t>Hang Seng Properties sub-index
Previous trading close to listing-day close (2023-12-05).
Benchmark return in percent; not the index level or excess return.</t>
      </text>
    </comment>
    <comment ref="AP223" authorId="1" shapeId="0">
      <text>
        <t>Horizon close: 2023-12-12
5/21/63 traded sessions after debut; price-only return vs offer.</t>
      </text>
    </comment>
    <comment ref="AQ223" authorId="1" shapeId="0">
      <text>
        <t>Horizon close: 2024-01-08
5/21/63 traded sessions after debut; price-only return vs offer.</t>
      </text>
    </comment>
    <comment ref="AR223" authorId="1" shapeId="0">
      <text>
        <t>Horizon close: 2024-03-08
5/21/63 traded sessions after debut; price-only return vs offer.</t>
      </text>
    </comment>
    <comment ref="AI224" authorId="0" shapeId="0">
      <text>
        <t>Close: HK$19
Date: 2023-12-04
Venue: Phillip (cross-checked with Ming Pao report)
Source: press:https://www.aastocks.com/tc/stocks/analysis/stock-aafn/09663 — published closing quote 19, -3.4% vs offer; venue Phillip (cross-checked with Ming Pao report). GPT archive review, 4 October 2026.</t>
      </text>
    </comment>
    <comment ref="AK224" authorId="1" shapeId="0">
      <text>
        <t>Hang Seng Commerce &amp; Industry sub-index
Previous trading close to listing-day close (2023-12-05).
Benchmark return in percent; not the index level or excess return.</t>
      </text>
    </comment>
    <comment ref="AP224" authorId="1" shapeId="0">
      <text>
        <t>Horizon close: 2023-12-12
5/21/63 traded sessions after debut; price-only return vs offer.</t>
      </text>
    </comment>
    <comment ref="AQ224" authorId="1" shapeId="0">
      <text>
        <t>Horizon close: 2024-01-08
5/21/63 traded sessions after debut; price-only return vs offer.</t>
      </text>
    </comment>
    <comment ref="AR224" authorId="1" shapeId="0">
      <text>
        <t>Horizon close: 2024-03-08
5/21/63 traded sessions after debut; price-only return vs offer.</t>
      </text>
    </comment>
    <comment ref="AI225" authorId="0" shapeId="0">
      <text>
        <t>Close: HK$1.69
Date: 2023-12-04
Venue: Phillip
Source: press:https://www.singtao.ca/6475005/2023-12-04/news-FINI分配結果「靠估」股民難部署+3新股暗盤潛水+港交所：適時探討改進/?variant=zh-sg — published closing quote 1.69, -6.1% vs offer; venue Phillip. GPT archive review, 4 October 2026.</t>
      </text>
    </comment>
    <comment ref="AK225" authorId="1" shapeId="0">
      <text>
        <t>HSTECH (Hang Seng TECH ETF)
Previous trading close to listing-day close (2023-12-05).
Benchmark return in percent; not the index level or excess return.</t>
      </text>
    </comment>
    <comment ref="AP225" authorId="1" shapeId="0">
      <text>
        <t>Horizon close: 2023-12-12
5/21/63 traded sessions after debut; price-only return vs offer.</t>
      </text>
    </comment>
    <comment ref="AQ225" authorId="1" shapeId="0">
      <text>
        <t>Horizon close: 2024-01-08
5/21/63 traded sessions after debut; price-only return vs offer.</t>
      </text>
    </comment>
    <comment ref="AR225" authorId="1" shapeId="0">
      <text>
        <t>Horizon close: 2024-03-08
5/21/63 traded sessions after debut; price-only return vs offer.</t>
      </text>
    </comment>
    <comment ref="AI226" authorId="0" shapeId="0">
      <text>
        <t>Close: HK$37.1
Date: 2023-12-05
Venue: Phillip (etnet news story)
Source: etnet:news https://www.etnet.com.hk/www/tc/stocks/ipo-news-article/20231205425/</t>
      </text>
    </comment>
    <comment ref="AK226" authorId="1" shapeId="0">
      <text>
        <t>Hang Seng Commerce &amp; Industry sub-index
Previous trading close to listing-day close (2023-12-06).
Benchmark return in percent; not the index level or excess return.</t>
      </text>
    </comment>
    <comment ref="AP226" authorId="1" shapeId="0">
      <text>
        <t>Horizon close: 2023-12-13
5/21/63 traded sessions after debut; price-only return vs offer.</t>
      </text>
    </comment>
    <comment ref="AQ226" authorId="1" shapeId="0">
      <text>
        <t>Horizon close: 2024-01-09
5/21/63 traded sessions after debut; price-only return vs offer.</t>
      </text>
    </comment>
    <comment ref="AR226" authorId="1" shapeId="0">
      <text>
        <t>Horizon close: 2024-03-11
5/21/63 traded sessions after debut; price-only return vs offer.</t>
      </text>
    </comment>
    <comment ref="AI227" authorId="0" shapeId="0">
      <text>
        <t>Close: HK$10.6
Date: 2023-12-11
Venue: Phillip (etnet news story)
Source: etnet:news https://www.etnet.com.hk/www/tc/stocks/ipo-news-article/20231211396/</t>
      </text>
    </comment>
    <comment ref="AK227" authorId="1" shapeId="0">
      <text>
        <t>Hang Seng Commerce &amp; Industry sub-index
Previous trading close to listing-day close (2023-12-12).
Benchmark return in percent; not the index level or excess return.</t>
      </text>
    </comment>
    <comment ref="AP227" authorId="1" shapeId="0">
      <text>
        <t>Horizon close: 2023-12-19
5/21/63 traded sessions after debut; price-only return vs offer.</t>
      </text>
    </comment>
    <comment ref="AQ227" authorId="1" shapeId="0">
      <text>
        <t>Horizon close: 2024-01-15
5/21/63 traded sessions after debut; price-only return vs offer.</t>
      </text>
    </comment>
    <comment ref="AR227" authorId="1" shapeId="0">
      <text>
        <t>Horizon close: 2024-03-15
5/21/63 traded sessions after debut; price-only return vs offer.</t>
      </text>
    </comment>
    <comment ref="AI228" authorId="0" shapeId="0">
      <text>
        <t>Close: HK$18.42
Date: 2023-12-15
Venue: AAStocks; venue not stated
Source: press:https://hk.finance.yahoo.com/news/新股表現-瑞浦蘭鈞-00666-hk-高開1-012147159.html — published closing quote 18.42, +0.7% vs offer; venue AAStocks; venue not stated. GPT archive review, 4 October 2026.</t>
      </text>
    </comment>
    <comment ref="AK228" authorId="1" shapeId="0">
      <text>
        <t>Hang Seng Commerce &amp; Industry sub-index
Previous trading close to listing-day close (2023-12-18).
Benchmark return in percent; not the index level or excess return.</t>
      </text>
    </comment>
    <comment ref="AP228" authorId="1" shapeId="0">
      <text>
        <t>Horizon close: 2023-12-27
5/21/63 traded sessions after debut; price-only return vs offer.</t>
      </text>
    </comment>
    <comment ref="AQ228" authorId="1" shapeId="0">
      <text>
        <t>Horizon close: 2024-01-19
5/21/63 traded sessions after debut; price-only return vs offer.</t>
      </text>
    </comment>
    <comment ref="AR228" authorId="1" shapeId="0">
      <text>
        <t>Horizon close: 2024-03-21
5/21/63 traded sessions after debut; price-only return vs offer.</t>
      </text>
    </comment>
    <comment ref="AI229" authorId="0" shapeId="0">
      <text>
        <t>Close: HK$1.1
Date: 2023-12-19
Venue: Phillip (etnet news story)
Source: etnet:news https://www.etnet.com.hk/www/tc/stocks/ipo-news-article/20231219390/</t>
      </text>
    </comment>
    <comment ref="AK229" authorId="1" shapeId="0">
      <text>
        <t>Hang Seng Commerce &amp; Industry sub-index
Previous trading close to listing-day close (2023-12-20).
Benchmark return in percent; not the index level or excess return.</t>
      </text>
    </comment>
    <comment ref="AP229" authorId="1" shapeId="0">
      <text>
        <t>Horizon close: 2023-12-29
5/21/63 traded sessions after debut; price-only return vs offer.</t>
      </text>
    </comment>
    <comment ref="AQ229" authorId="1" shapeId="0">
      <text>
        <t>Horizon close: 2024-01-23
5/21/63 traded sessions after debut; price-only return vs offer.</t>
      </text>
    </comment>
    <comment ref="AR229" authorId="1" shapeId="0">
      <text>
        <t>Horizon close: 2024-03-25
5/21/63 traded sessions after debut; price-only return vs offer.</t>
      </text>
    </comment>
    <comment ref="AI230" authorId="0" shapeId="0">
      <text>
        <t>Close: HK$30.05
Date: 2023-12-19
Venue: Phillip (etnet news story)
Source: etnet:news https://www.etnet.com.hk/www/tc/stocks/ipo-news-article/20231219389/</t>
      </text>
    </comment>
    <comment ref="AK230" authorId="1" shapeId="0">
      <text>
        <t>HSTECH (Hang Seng TECH ETF)
Previous trading close to listing-day close (2023-12-20).
Benchmark return in percent; not the index level or excess return.</t>
      </text>
    </comment>
    <comment ref="AP230" authorId="1" shapeId="0">
      <text>
        <t>Horizon close: 2023-12-29
5/21/63 traded sessions after debut; price-only return vs offer.</t>
      </text>
    </comment>
    <comment ref="AQ230" authorId="1" shapeId="0">
      <text>
        <t>Horizon close: 2024-01-23
5/21/63 traded sessions after debut; price-only return vs offer.</t>
      </text>
    </comment>
    <comment ref="AR230" authorId="1" shapeId="0">
      <text>
        <t>Horizon close: 2024-03-25
5/21/63 traded sessions after debut; price-only return vs offer.</t>
      </text>
    </comment>
    <comment ref="AI231" authorId="0" shapeId="0">
      <text>
        <t>Close: HK$1.16
Date: 2023-12-21
Venue: Bright Smart
Source: press:https://www.hkej.com/dailynews/headline/article/3644190/%25E5%259B%259B%25E8%2582%25A1%25E6%259A%2597%25E7%259B%25A4%25E5%2585%25A9%25E9%259A%25BB%25E6%258F%259A-%25E6%25B3%259B%25E9%2581%25A0%25E5%259C%258B%25E9%259A%259B%25E5%258D%2587%25E4%25B8%2589%25E6%2588%2590 — published closing quote 1.16, +29% vs offer; venue Bright Smart. GPT archive review, 4 October 2026.</t>
      </text>
    </comment>
    <comment ref="AK231" authorId="1" shapeId="0">
      <text>
        <t>Hang Seng Commerce &amp; Industry sub-index
Previous trading close to listing-day close (2023-12-22).
Benchmark return in percent; not the index level or excess return.</t>
      </text>
    </comment>
    <comment ref="AP231" authorId="1" shapeId="0">
      <text>
        <t>Horizon close: 2024-01-03
5/21/63 traded sessions after debut; price-only return vs offer.</t>
      </text>
    </comment>
    <comment ref="AQ231" authorId="1" shapeId="0">
      <text>
        <t>Horizon close: 2024-01-25
5/21/63 traded sessions after debut; price-only return vs offer.</t>
      </text>
    </comment>
    <comment ref="AR231" authorId="1" shapeId="0">
      <text>
        <t>Horizon close: 2024-03-27
5/21/63 traded sessions after debut; price-only return vs offer.</t>
      </text>
    </comment>
    <comment ref="AI232" authorId="0" shapeId="0">
      <text>
        <t>close not verified in the captured sources; historical press archives may hold one</t>
      </text>
    </comment>
    <comment ref="AK232" authorId="1" shapeId="0">
      <text>
        <t>Hang Seng Commerce &amp; Industry sub-index
Previous trading close to listing-day close (2023-12-22).
Benchmark return in percent; not the index level or excess return.</t>
      </text>
    </comment>
    <comment ref="AP232" authorId="1" shapeId="0">
      <text>
        <t>Horizon close: 2024-01-03
5/21/63 traded sessions after debut; price-only return vs offer.</t>
      </text>
    </comment>
    <comment ref="AQ232" authorId="1" shapeId="0">
      <text>
        <t>Horizon close: 2024-01-25
5/21/63 traded sessions after debut; price-only return vs offer.</t>
      </text>
    </comment>
    <comment ref="AR232" authorId="1" shapeId="0">
      <text>
        <t>Horizon close: 2024-03-27
5/21/63 traded sessions after debut; price-only return vs offer.</t>
      </text>
    </comment>
    <comment ref="AI233" authorId="0" shapeId="0">
      <text>
        <t>Close: HK$11.9
Date: 2023-12-21
Venue: Phillip (etnet news story)
Source: etnet:news https://www.etnet.com.hk/www/tc/stocks/ipo-news-article/20231221384/</t>
      </text>
    </comment>
    <comment ref="AK233" authorId="1" shapeId="0">
      <text>
        <t>China Biotech ETF (HS biotech proxy)
Previous trading close to listing-day close (2023-12-22).
Benchmark return in percent; not the index level or excess return.</t>
      </text>
    </comment>
    <comment ref="AP233" authorId="1" shapeId="0">
      <text>
        <t>Horizon close: 2024-01-03
5/21/63 traded sessions after debut; price-only return vs offer.</t>
      </text>
    </comment>
    <comment ref="AQ233" authorId="1" shapeId="0">
      <text>
        <t>Horizon close: 2024-01-25
5/21/63 traded sessions after debut; price-only return vs offer.</t>
      </text>
    </comment>
    <comment ref="AR233" authorId="1" shapeId="0">
      <text>
        <t>Horizon close: 2024-03-27
5/21/63 traded sessions after debut; price-only return vs offer.</t>
      </text>
    </comment>
    <comment ref="AI234" authorId="0" shapeId="0">
      <text>
        <t>close not verified in the captured sources; historical press archives may hold one</t>
      </text>
    </comment>
    <comment ref="AK234" authorId="1" shapeId="0">
      <text>
        <t>Hang Seng Commerce &amp; Industry sub-index
Previous trading close to listing-day close (2023-12-22).
Benchmark return in percent; not the index level or excess return.</t>
      </text>
    </comment>
    <comment ref="AP234" authorId="1" shapeId="0">
      <text>
        <t>Horizon close: 2024-01-03
5/21/63 traded sessions after debut; price-only return vs offer.</t>
      </text>
    </comment>
    <comment ref="AQ234" authorId="1" shapeId="0">
      <text>
        <t>Horizon close: 2024-01-25
5/21/63 traded sessions after debut; price-only return vs offer.</t>
      </text>
    </comment>
    <comment ref="AR234" authorId="1" shapeId="0">
      <text>
        <t>Horizon close: 2024-03-27
5/21/63 traded sessions after debut; price-only return vs offer.</t>
      </text>
    </comment>
    <comment ref="AI235" authorId="0" shapeId="0">
      <text>
        <t>Close: HK$26.35
Date: 2023-12-27
Venue: Phillip (etnet news story)
Source: etnet:news https://www.etnet.com.hk/www/tc/stocks/ipo-news-article/20231227408/</t>
      </text>
    </comment>
    <comment ref="AK235" authorId="1" shapeId="0">
      <text>
        <t>HSTECH (Hang Seng TECH ETF)
Previous trading close to listing-day close (2023-12-28).
Benchmark return in percent; not the index level or excess return.</t>
      </text>
    </comment>
    <comment ref="AP235" authorId="1" shapeId="0">
      <text>
        <t>Horizon close: 2024-01-05
5/21/63 traded sessions after debut; price-only return vs offer.</t>
      </text>
    </comment>
    <comment ref="AQ235" authorId="1" shapeId="0">
      <text>
        <t>Horizon close: 2024-01-29
5/21/63 traded sessions after debut; price-only return vs offer.</t>
      </text>
    </comment>
    <comment ref="AR235" authorId="1" shapeId="0">
      <text>
        <t>Horizon close: 2024-04-02
5/21/63 traded sessions after debut; price-only return vs offer.</t>
      </text>
    </comment>
    <comment ref="AI236" authorId="0" shapeId="0">
      <text>
        <t>Close: HK$89.95
Date: 2023-12-28
Venue: Phillip (etnet news story)
Source: etnet:news https://www.etnet.com.hk/www/tc/stocks/ipo-news-article/20231228427/</t>
      </text>
    </comment>
    <comment ref="AK236" authorId="1" shapeId="0">
      <text>
        <t>HSTECH (Hang Seng TECH ETF)
Previous trading close to listing-day close (2023-12-29).
Benchmark return in percent; not the index level or excess return.</t>
      </text>
    </comment>
    <comment ref="AP236" authorId="1" shapeId="0">
      <text>
        <t>Horizon close: 2024-01-08
5/21/63 traded sessions after debut; price-only return vs offer.</t>
      </text>
    </comment>
    <comment ref="AQ236" authorId="1" shapeId="0">
      <text>
        <t>Horizon close: 2024-01-30
5/21/63 traded sessions after debut; price-only return vs offer.</t>
      </text>
    </comment>
    <comment ref="AR236" authorId="1" shapeId="0">
      <text>
        <t>Horizon close: 2024-04-03
5/21/63 traded sessions after debut; price-only return vs offer.</t>
      </text>
    </comment>
    <comment ref="AI237" authorId="0" shapeId="0">
      <text>
        <t>Close: HK$42
Date: 2024-01-04
Venue: Phillip (etnet news story)
Source: etnet:news https://www.etnet.com.hk/www/tc/stocks/ipo-news-article/20240104358/</t>
      </text>
    </comment>
    <comment ref="AK237" authorId="1" shapeId="0">
      <text>
        <t>HSTECH (Hang Seng TECH ETF)
Previous trading close to listing-day close (2024-01-05).
Benchmark return in percent; not the index level or excess return.</t>
      </text>
    </comment>
    <comment ref="AP237" authorId="1" shapeId="0">
      <text>
        <t>Horizon close: 2024-01-12
5/21/63 traded sessions after debut; price-only return vs offer.</t>
      </text>
    </comment>
    <comment ref="AQ237" authorId="1" shapeId="0">
      <text>
        <t>Horizon close: 2024-02-05
5/21/63 traded sessions after debut; price-only return vs offer.</t>
      </text>
    </comment>
    <comment ref="AR237" authorId="1" shapeId="0">
      <text>
        <t>Horizon close: 2024-04-10
5/21/63 traded sessions after debut; price-only return vs offer.</t>
      </text>
    </comment>
    <comment ref="AI238" authorId="0" shapeId="0">
      <text>
        <t>Close: HK$11.02
Date: 2024-01-08
Venue: Phillip (etnet news story)
Source: etnet:news https://www.etnet.com.hk/www/tc/stocks/ipo-news-article/20240108406/</t>
      </text>
    </comment>
    <comment ref="AK238" authorId="1" shapeId="0">
      <text>
        <t>China Biotech ETF (HS biotech proxy)
Previous trading close to listing-day close (2024-01-09).
Benchmark return in percent; not the index level or excess return.</t>
      </text>
    </comment>
    <comment ref="AP238" authorId="1" shapeId="0">
      <text>
        <t>Horizon close: 2024-01-16
5/21/63 traded sessions after debut; price-only return vs offer.</t>
      </text>
    </comment>
    <comment ref="AQ238" authorId="1" shapeId="0">
      <text>
        <t>Horizon close: 2024-02-07
5/21/63 traded sessions after debut; price-only return vs offer.</t>
      </text>
    </comment>
    <comment ref="AR238" authorId="1" shapeId="0">
      <text>
        <t>Horizon close: 2024-04-12
5/21/63 traded sessions after debut; price-only return vs offer.</t>
      </text>
    </comment>
    <comment ref="AI239" authorId="0" shapeId="0">
      <text>
        <t>Close: HK$0.88
Date: 2024-01-08
Venue: Phillip (etnet news story)
Source: etnet:news https://www.etnet.com.hk/www/tc/stocks/ipo-news-article/20240108407/</t>
      </text>
    </comment>
    <comment ref="AK239" authorId="1" shapeId="0">
      <text>
        <t>Hang Seng Commerce &amp; Industry sub-index
Previous trading close to listing-day close (2024-01-09).
Benchmark return in percent; not the index level or excess return.</t>
      </text>
    </comment>
    <comment ref="AP239" authorId="1" shapeId="0">
      <text>
        <t>Horizon close: 2024-01-16
5/21/63 traded sessions after debut; price-only return vs offer.</t>
      </text>
    </comment>
    <comment ref="AQ239" authorId="1" shapeId="0">
      <text>
        <t>Horizon close: 2024-02-07
5/21/63 traded sessions after debut; price-only return vs offer.</t>
      </text>
    </comment>
    <comment ref="AR239" authorId="1" shapeId="0">
      <text>
        <t>Horizon close: 2024-04-12
5/21/63 traded sessions after debut; price-only return vs offer.</t>
      </text>
    </comment>
    <comment ref="AI240" authorId="0" shapeId="0">
      <text>
        <t>Close: HK$6.08
Date: 2024-01-08
Venue: Phillip (etnet news story)
Source: etnet:news https://www.etnet.com.hk/www/tc/stocks/ipo-news-article/20240108405/</t>
      </text>
    </comment>
    <comment ref="AK240" authorId="1" shapeId="0">
      <text>
        <t>HSTECH (Hang Seng TECH ETF)
Previous trading close to listing-day close (2024-01-09).
Benchmark return in percent; not the index level or excess return.</t>
      </text>
    </comment>
    <comment ref="AP240" authorId="1" shapeId="0">
      <text>
        <t>Horizon close: 2024-01-16
5/21/63 traded sessions after debut; price-only return vs offer.</t>
      </text>
    </comment>
    <comment ref="AQ240" authorId="1" shapeId="0">
      <text>
        <t>Horizon close: 2024-02-07
5/21/63 traded sessions after debut; price-only return vs offer.</t>
      </text>
    </comment>
    <comment ref="AR240" authorId="1" shapeId="0">
      <text>
        <t>Horizon close: 2024-04-12
5/21/63 traded sessions after debut; price-only return vs offer.</t>
      </text>
    </comment>
    <comment ref="AI241" authorId="0" shapeId="0">
      <text>
        <t>Close: HK$1.645
Date: 2024-01-11
Venue: three venues, range (1.61-1.68, midpoint shown)
Source: press:HKET 經緯天地2477 暗盤 (2024-01-11): 暗盤收報介乎1.61元至1.68元，較招股價1元高61%至68%; midpoint shown</t>
      </text>
    </comment>
    <comment ref="AK241" authorId="1" shapeId="0">
      <text>
        <t>China Biotech ETF (HS biotech proxy)
Previous trading close to listing-day close (2024-01-12).
Benchmark return in percent; not the index level or excess return.</t>
      </text>
    </comment>
    <comment ref="AP241" authorId="1" shapeId="0">
      <text>
        <t>Horizon close: 2024-01-19
5/21/63 traded sessions after debut; price-only return vs offer.</t>
      </text>
    </comment>
    <comment ref="AQ241" authorId="1" shapeId="0">
      <text>
        <t>Horizon close: 2024-02-14
5/21/63 traded sessions after debut; price-only return vs offer.</t>
      </text>
    </comment>
    <comment ref="AR241" authorId="1" shapeId="0">
      <text>
        <t>Horizon close: 2024-04-17
5/21/63 traded sessions after debut; price-only return vs offer.</t>
      </text>
    </comment>
    <comment ref="AI242" authorId="0" shapeId="0">
      <text>
        <t>Close: HK$0.66
Date: 2024-03-07
Venue: Phillip (etnet news story)
Source: etnet:news https://www.etnet.com.hk/www/tc/stocks/ipo-news-article/20240307987/</t>
      </text>
    </comment>
    <comment ref="AK242" authorId="1" shapeId="0">
      <text>
        <t>Hang Seng Commerce &amp; Industry sub-index
Previous trading close to listing-day close (2024-03-08).
Benchmark return in percent; not the index level or excess return.</t>
      </text>
    </comment>
    <comment ref="AP242" authorId="1" shapeId="0">
      <text>
        <t>Horizon close: 2024-03-15
5/21/63 traded sessions after debut; price-only return vs offer.</t>
      </text>
    </comment>
    <comment ref="AQ242" authorId="1" shapeId="0">
      <text>
        <t>Horizon close: 2024-04-11
5/21/63 traded sessions after debut; price-only return vs offer.</t>
      </text>
    </comment>
    <comment ref="AR242" authorId="1" shapeId="0">
      <text>
        <t>Horizon close: 2024-06-13
5/21/63 traded sessions after debut; price-only return vs offer.</t>
      </text>
    </comment>
    <comment ref="AI243" authorId="0" shapeId="0">
      <text>
        <t>Close: HK$0.92
Date: 2024-03-07
Venue: Phillip (etnet news story)
Source: etnet:news https://www.etnet.com.hk/www/tc/stocks/ipo-news-article/20240307986/</t>
      </text>
    </comment>
    <comment ref="AK243" authorId="1" shapeId="0">
      <text>
        <t>Hang Seng Index
Previous trading close to listing-day close (2024-03-08).
Benchmark return in percent; not the index level or excess return.</t>
      </text>
    </comment>
    <comment ref="AP243" authorId="1" shapeId="0">
      <text>
        <t>Horizon close: 2024-03-15
5/21/63 traded sessions after debut; price-only return vs offer.</t>
      </text>
    </comment>
    <comment ref="AQ243" authorId="1" shapeId="0">
      <text>
        <t>Horizon close: 2024-04-11
5/21/63 traded sessions after debut; price-only return vs offer.</t>
      </text>
    </comment>
    <comment ref="AR243" authorId="1" shapeId="0">
      <text>
        <t>Horizon close: 2024-06-13
5/21/63 traded sessions after debut; price-only return vs offer.</t>
      </text>
    </comment>
    <comment ref="AI244" authorId="0" shapeId="0">
      <text>
        <t>Close: HK$27.35
Date: 2024-03-19
Venue: Phillip (etnet news story)
Source: etnet:news https://www.etnet.com.hk/www/tc/stocks/ipo-news-article/20240319367/</t>
      </text>
    </comment>
    <comment ref="AK244" authorId="1" shapeId="0">
      <text>
        <t>China Biotech ETF (HS biotech proxy)
Previous trading close to listing-day close (2024-03-20).
Benchmark return in percent; not the index level or excess return.</t>
      </text>
    </comment>
    <comment ref="AP244" authorId="1" shapeId="0">
      <text>
        <t>Horizon close: 2024-03-27
5/21/63 traded sessions after debut; price-only return vs offer.</t>
      </text>
    </comment>
    <comment ref="AQ244" authorId="1" shapeId="0">
      <text>
        <t>Horizon close: 2024-04-23
5/21/63 traded sessions after debut; price-only return vs offer.</t>
      </text>
    </comment>
    <comment ref="AR244" authorId="1" shapeId="0">
      <text>
        <t>Horizon close: 2024-06-25
5/21/63 traded sessions after debut; price-only return vs offer.</t>
      </text>
    </comment>
    <comment ref="AI245" authorId="0" shapeId="0">
      <text>
        <t>Close: HK$4.74
Date: 2024-03-20
Venue: Phillip (etnet news story)
Source: etnet:news https://www.etnet.com.hk/www/tc/stocks/ipo-news-article/20240320392/</t>
      </text>
    </comment>
    <comment ref="AK245" authorId="1" shapeId="0">
      <text>
        <t>Hang Seng Commerce &amp; Industry sub-index
Previous trading close to listing-day close (2024-03-21).
Benchmark return in percent; not the index level or excess return.</t>
      </text>
    </comment>
    <comment ref="AP245" authorId="1" shapeId="0">
      <text>
        <t>Horizon close: 2024-03-28
5/21/63 traded sessions after debut; price-only return vs offer.</t>
      </text>
    </comment>
    <comment ref="AQ245" authorId="1" shapeId="0">
      <text>
        <t>Horizon close: 2024-04-24
5/21/63 traded sessions after debut; price-only return vs offer.</t>
      </text>
    </comment>
    <comment ref="AR245" authorId="1" shapeId="0">
      <text>
        <t>Horizon close: 2024-06-26
5/21/63 traded sessions after debut; price-only return vs offer.</t>
      </text>
    </comment>
    <comment ref="AI246" authorId="0" shapeId="0">
      <text>
        <t>Close: HK$2.9
Date: 2024-03-25
Venue: Phillip (etnet news story)
Source: etnet:news https://www.etnet.com.hk/www/tc/stocks/ipo-news-article/20240325173/</t>
      </text>
    </comment>
    <comment ref="AK246" authorId="1" shapeId="0">
      <text>
        <t>Hang Seng Commerce &amp; Industry sub-index
Previous trading close to listing-day close (2024-03-26).
Benchmark return in percent; not the index level or excess return.</t>
      </text>
    </comment>
    <comment ref="AP246" authorId="1" shapeId="0">
      <text>
        <t>Horizon close: 2024-04-05
5/21/63 traded sessions after debut; price-only return vs offer.</t>
      </text>
    </comment>
    <comment ref="AQ246" authorId="1" shapeId="0">
      <text>
        <t>Horizon close: 2024-04-29
5/21/63 traded sessions after debut; price-only return vs offer.</t>
      </text>
    </comment>
    <comment ref="AR246" authorId="1" shapeId="0">
      <text>
        <t>Horizon close: 2024-07-02
5/21/63 traded sessions after debut; price-only return vs offer.</t>
      </text>
    </comment>
    <comment ref="AI247" authorId="0" shapeId="0">
      <text>
        <t>Close: HK$2.2
Date: 2024-03-27
Venue: Phillip (etnet news story); Futu closed 2.25
Source: etnet:news https://www.etnet.com.hk/www/tc/stocks/ipo-news-article/20240327066/</t>
      </text>
    </comment>
    <comment ref="AK247" authorId="1" shapeId="0">
      <text>
        <t>Hang Seng Commerce &amp; Industry sub-index
Previous trading close to listing-day close (2024-03-28).
Benchmark return in percent; not the index level or excess return.</t>
      </text>
    </comment>
    <comment ref="AP247" authorId="1" shapeId="0">
      <text>
        <t>Horizon close: 2024-04-09
5/21/63 traded sessions after debut; price-only return vs offer.</t>
      </text>
    </comment>
    <comment ref="AQ247" authorId="1" shapeId="0">
      <text>
        <t>Horizon close: 2024-05-02
5/21/63 traded sessions after debut; price-only return vs offer.</t>
      </text>
    </comment>
    <comment ref="AR247" authorId="1" shapeId="0">
      <text>
        <t>Horizon close: 2024-07-04
5/21/63 traded sessions after debut; price-only return vs offer.</t>
      </text>
    </comment>
    <comment ref="AI248" authorId="0" shapeId="0">
      <text>
        <t>Close: HK$9.88
Date: 2024-03-27
Venue: Phillip (etnet news story)
Source: etnet:news https://www.etnet.com.hk/www/tc/stocks/ipo-news-article/20240327065/</t>
      </text>
    </comment>
    <comment ref="AK248" authorId="1" shapeId="0">
      <text>
        <t>HSTECH (Hang Seng TECH ETF)
Previous trading close to listing-day close (2024-03-28).
Benchmark return in percent; not the index level or excess return.</t>
      </text>
    </comment>
    <comment ref="AP248" authorId="1" shapeId="0">
      <text>
        <t>Horizon close: 2024-04-09
5/21/63 traded sessions after debut; price-only return vs offer.</t>
      </text>
    </comment>
    <comment ref="AQ248" authorId="1" shapeId="0">
      <text>
        <t>Horizon close: 2024-05-02
5/21/63 traded sessions after debut; price-only return vs offer.</t>
      </text>
    </comment>
    <comment ref="AR248" authorId="1" shapeId="0">
      <text>
        <t>Horizon close: 2024-07-04
5/21/63 traded sessions after debut; price-only return vs offer.</t>
      </text>
    </comment>
    <comment ref="AI249" authorId="0" shapeId="0">
      <text>
        <t>Close: HK$1.86
Date: 2024-04-22
Venue: Phillip (etnet news story)
Source: etnet:news https://www.etnet.com.hk/www/tc/stocks/ipo-news-article/20240422878/</t>
      </text>
    </comment>
    <comment ref="AK249" authorId="1" shapeId="0">
      <text>
        <t>Hang Seng Commerce &amp; Industry sub-index
Previous trading close to listing-day close (2024-04-23).
Benchmark return in percent; not the index level or excess return.</t>
      </text>
    </comment>
    <comment ref="AP249" authorId="1" shapeId="0">
      <text>
        <t>Horizon close: 2024-04-30
5/21/63 traded sessions after debut; price-only return vs offer.</t>
      </text>
    </comment>
    <comment ref="AQ249" authorId="1" shapeId="0">
      <text>
        <t>Horizon close: 2024-05-24
5/21/63 traded sessions after debut; price-only return vs offer.</t>
      </text>
    </comment>
    <comment ref="AR249" authorId="1" shapeId="0">
      <text>
        <t>Horizon close: 2024-07-25
5/21/63 traded sessions after debut; price-only return vs offer.</t>
      </text>
    </comment>
    <comment ref="AI250" authorId="0" shapeId="0">
      <text>
        <t>Close: HK$15.26
Date: 2024-04-22
Venue: Phillip (etnet news story); Bright Smart closed 16
Source: etnet:news https://www.etnet.com.hk/www/tc/stocks/ipo-news-article/20240422431/</t>
      </text>
    </comment>
    <comment ref="AK250" authorId="1" shapeId="0">
      <text>
        <t>Hang Seng Commerce &amp; Industry sub-index
Previous trading close to listing-day close (2024-04-23).
Benchmark return in percent; not the index level or excess return.</t>
      </text>
    </comment>
    <comment ref="AP250" authorId="1" shapeId="0">
      <text>
        <t>Horizon close: 2024-04-30
5/21/63 traded sessions after debut; price-only return vs offer.</t>
      </text>
    </comment>
    <comment ref="AQ250" authorId="1" shapeId="0">
      <text>
        <t>Horizon close: 2024-05-24
5/21/63 traded sessions after debut; price-only return vs offer.</t>
      </text>
    </comment>
    <comment ref="AR250" authorId="1" shapeId="0">
      <text>
        <t>Horizon close: 2024-07-25
5/21/63 traded sessions after debut; price-only return vs offer.</t>
      </text>
    </comment>
    <comment ref="AI251" authorId="0" shapeId="0">
      <text>
        <t>Close: HK$3.11
Date: 2024-04-23
Venue: Phillip (etnet news story)
Source: etnet:news https://www.etnet.com.hk/www/tc/stocks/ipo-news-article/20240423425/</t>
      </text>
    </comment>
    <comment ref="AK251" authorId="1" shapeId="0">
      <text>
        <t>HSTECH (Hang Seng TECH ETF)
Previous trading close to listing-day close (2024-04-24).
Benchmark return in percent; not the index level or excess return.</t>
      </text>
    </comment>
    <comment ref="AP251" authorId="1" shapeId="0">
      <text>
        <t>Horizon close: 2024-05-02
5/21/63 traded sessions after debut; price-only return vs offer.</t>
      </text>
    </comment>
    <comment ref="AQ251" authorId="1" shapeId="0">
      <text>
        <t>Horizon close: 2024-05-27
5/21/63 traded sessions after debut; price-only return vs offer.</t>
      </text>
    </comment>
    <comment ref="AR251" authorId="1" shapeId="0">
      <text>
        <t>Horizon close: 2024-07-26
5/21/63 traded sessions after debut; price-only return vs offer.</t>
      </text>
    </comment>
    <comment ref="AI252" authorId="0" shapeId="0">
      <text>
        <t>Close: HK$46
Date: 2024-05-14
Venue: Phillip (etnet news story)
Source: etnet:news https://www.etnet.com.hk/www/tc/stocks/ipo-news-article/20240514983/</t>
      </text>
    </comment>
    <comment ref="AK252" authorId="1" shapeId="0">
      <text>
        <t>HSTECH (Hang Seng TECH ETF)
Previous trading close to listing-day close (2024-05-16).
Benchmark return in percent; not the index level or excess return.</t>
      </text>
    </comment>
    <comment ref="AP252" authorId="1" shapeId="0">
      <text>
        <t>Horizon close: 2024-05-23
5/21/63 traded sessions after debut; price-only return vs offer.</t>
      </text>
    </comment>
    <comment ref="AQ252" authorId="1" shapeId="0">
      <text>
        <t>Horizon close: 2024-06-17
5/21/63 traded sessions after debut; price-only return vs offer.</t>
      </text>
    </comment>
    <comment ref="AR252" authorId="1" shapeId="0">
      <text>
        <t>Horizon close: 2024-08-15
5/21/63 traded sessions after debut; price-only return vs offer.</t>
      </text>
    </comment>
    <comment ref="AI253" authorId="0" shapeId="0">
      <text>
        <t>Close: HK$3.57
Date: 2024-05-16
Venue: Phillip (etnet news story)
Source: etnet:news https://www.etnet.com.hk/www/tc/stocks/ipo-news-article/20240516206/</t>
      </text>
    </comment>
    <comment ref="AK253" authorId="1" shapeId="0">
      <text>
        <t>Hang Seng Properties sub-index
Previous trading close to listing-day close (2024-05-17).
Benchmark return in percent; not the index level or excess return.</t>
      </text>
    </comment>
    <comment ref="AP253" authorId="1" shapeId="0">
      <text>
        <t>Horizon close: 2024-05-24
5/21/63 traded sessions after debut; price-only return vs offer.</t>
      </text>
    </comment>
    <comment ref="AQ253" authorId="1" shapeId="0">
      <text>
        <t>Horizon close: 2024-06-18
5/21/63 traded sessions after debut; price-only return vs offer.</t>
      </text>
    </comment>
    <comment ref="AR253" authorId="1" shapeId="0">
      <text>
        <t>Horizon close: 2024-08-16
5/21/63 traded sessions after debut; price-only return vs offer.</t>
      </text>
    </comment>
    <comment ref="AI254" authorId="0" shapeId="0">
      <text>
        <t>Close: HK$14.7
Date: 2024-05-23
Venue: Phillip (輝立), as published by AAStocks
Source: aastocks:AASTOCKS news headline: 《新股》盛禾生物暗盤收報14.7元 高上市價8.9%</t>
      </text>
    </comment>
    <comment ref="AK254" authorId="1" shapeId="0">
      <text>
        <t>China Biotech ETF (HS biotech proxy)
Previous trading close to listing-day close (2024-05-24).
Benchmark return in percent; not the index level or excess return.</t>
      </text>
    </comment>
    <comment ref="AP254" authorId="1" shapeId="0">
      <text>
        <t>Horizon close: 2024-05-31
5/21/63 traded sessions after debut; price-only return vs offer.</t>
      </text>
    </comment>
    <comment ref="AQ254" authorId="1" shapeId="0">
      <text>
        <t>Horizon close: 2024-06-25
5/21/63 traded sessions after debut; price-only return vs offer.</t>
      </text>
    </comment>
    <comment ref="AR254" authorId="1" shapeId="0">
      <text>
        <t>Horizon close: 2024-08-23
5/21/63 traded sessions after debut; price-only return vs offer.</t>
      </text>
    </comment>
    <comment ref="AI255" authorId="0" shapeId="0">
      <text>
        <t>Close: HK$33
Date: 2024-05-24
Venue: Phillip (etnet news story)
Source: etnet:news https://www.etnet.com.hk/www/tc/stocks/ipo-news-article/20240524973/</t>
      </text>
    </comment>
    <comment ref="AK255" authorId="1" shapeId="0">
      <text>
        <t>Hang Seng Index
Previous trading close to listing-day close (2024-05-27).
Benchmark return in percent; not the index level or excess return.</t>
      </text>
    </comment>
    <comment ref="AP255" authorId="1" shapeId="0">
      <text>
        <t>Horizon close: 2024-06-03
5/21/63 traded sessions after debut; price-only return vs offer.</t>
      </text>
    </comment>
    <comment ref="AQ255" authorId="1" shapeId="0">
      <text>
        <t>Horizon close: 2024-06-26
5/21/63 traded sessions after debut; price-only return vs offer.</t>
      </text>
    </comment>
    <comment ref="AR255" authorId="1" shapeId="0">
      <text>
        <t>Horizon close: 2024-08-26
5/21/63 traded sessions after debut; price-only return vs offer.</t>
      </text>
    </comment>
    <comment ref="AI256" authorId="0" shapeId="0">
      <text>
        <t>Close: HK$3.21
Date: 2024-05-27
Venue: not stated (Sina/163)
Source: press:163.com 上演货源归边，EDA集团控股 (2024-05): 暗盘收涨40.79%; offer 2.28 -&gt; 3.21</t>
      </text>
    </comment>
    <comment ref="AK256" authorId="1" shapeId="0">
      <text>
        <t>Hang Seng Commerce &amp; Industry sub-index
Previous trading close to listing-day close (2024-05-28).
Benchmark return in percent; not the index level or excess return.</t>
      </text>
    </comment>
    <comment ref="AP256" authorId="1" shapeId="0">
      <text>
        <t>Horizon close: 2024-06-04
5/21/63 traded sessions after debut; price-only return vs offer.</t>
      </text>
    </comment>
    <comment ref="AQ256" authorId="1" shapeId="0">
      <text>
        <t>Horizon close: 2024-06-27
5/21/63 traded sessions after debut; price-only return vs offer.</t>
      </text>
    </comment>
    <comment ref="AR256" authorId="1" shapeId="0">
      <text>
        <t>Horizon close: 2024-08-27
5/21/63 traded sessions after debut; price-only return vs offer.</t>
      </text>
    </comment>
    <comment ref="AI257" authorId="0" shapeId="0">
      <text>
        <t>Close: HK$14.72
Date: 2024-05-30
Venue: Futu (富途)
Source: press:HKET 汽車街2443暗盤升逾4成 (2024-05-30): 富途升44.3%; 耀才收報15.26 +49.6%; 輝立 +42.7%; offer 10.20</t>
      </text>
    </comment>
    <comment ref="AK257" authorId="1" shapeId="0">
      <text>
        <t>Hang Seng Commerce &amp; Industry sub-index
Previous trading close to listing-day close (2024-05-31).
Benchmark return in percent; not the index level or excess return.</t>
      </text>
    </comment>
    <comment ref="AP257" authorId="1" shapeId="0">
      <text>
        <t>Horizon close: 2024-06-07
5/21/63 traded sessions after debut; price-only return vs offer.</t>
      </text>
    </comment>
    <comment ref="AQ257" authorId="1" shapeId="0">
      <text>
        <t>Horizon close: 2024-07-03
5/21/63 traded sessions after debut; price-only return vs offer.</t>
      </text>
    </comment>
    <comment ref="AR257" authorId="1" shapeId="0">
      <text>
        <t>Horizon close: 2024-08-30
5/21/63 traded sessions after debut; price-only return vs offer.</t>
      </text>
    </comment>
    <comment ref="AI258" authorId="0" shapeId="0">
      <text>
        <t>Close: HK$15.22
Date: 2024-06-06
Venue: Phillip (etnet news story)
Source: etnet:news https://www.etnet.com.hk/www/tc/stocks/ipo-news-article/20240606411/</t>
      </text>
    </comment>
    <comment ref="AK258" authorId="1" shapeId="0">
      <text>
        <t>China Biotech ETF (HS biotech proxy)
Previous trading close to listing-day close (2024-06-07).
Benchmark return in percent; not the index level or excess return.</t>
      </text>
    </comment>
    <comment ref="AP258" authorId="1" shapeId="0">
      <text>
        <t>Horizon close: 2024-06-17
5/21/63 traded sessions after debut; price-only return vs offer.</t>
      </text>
    </comment>
    <comment ref="AQ258" authorId="1" shapeId="0">
      <text>
        <t>Horizon close: 2024-07-10
5/21/63 traded sessions after debut; price-only return vs offer.</t>
      </text>
    </comment>
    <comment ref="AR258" authorId="1" shapeId="0">
      <text>
        <t>Horizon close: 2024-09-09
5/21/63 traded sessions after debut; price-only return vs offer.</t>
      </text>
    </comment>
    <comment ref="AI259" authorId="0" shapeId="0">
      <text>
        <t>Close: HK$8.35
Date: 2024-06-06
Venue: Phillip (etnet news story); press, venue not named, closed 8.3
Source: etnet:news https://www.etnet.com.hk/www/tc/stocks/ipo-news-article/20240606410/</t>
      </text>
    </comment>
    <comment ref="AK259" authorId="1" shapeId="0">
      <text>
        <t>HSTECH (Hang Seng TECH ETF)
Previous trading close to listing-day close (2024-06-07).
Benchmark return in percent; not the index level or excess return.</t>
      </text>
    </comment>
    <comment ref="AP259" authorId="1" shapeId="0">
      <text>
        <t>Horizon close: 2024-06-17
5/21/63 traded sessions after debut; price-only return vs offer.</t>
      </text>
    </comment>
    <comment ref="AQ259" authorId="1" shapeId="0">
      <text>
        <t>Horizon close: 2024-07-10
5/21/63 traded sessions after debut; price-only return vs offer.</t>
      </text>
    </comment>
    <comment ref="AR259" authorId="1" shapeId="0">
      <text>
        <t>Horizon close: 2024-09-09
5/21/63 traded sessions after debut; price-only return vs offer.</t>
      </text>
    </comment>
    <comment ref="AI260" authorId="0" shapeId="0">
      <text>
        <t>Close: HK$5.39
Date: 2024-06-12
Venue: Phillip (etnet news story)
Source: etnet:news https://www.etnet.com.hk/www/tc/stocks/ipo-news-article/20240612414/</t>
      </text>
    </comment>
    <comment ref="AK260" authorId="1" shapeId="0">
      <text>
        <t>HSTECH (Hang Seng TECH ETF)
Previous trading close to listing-day close (2024-06-13).
Benchmark return in percent; not the index level or excess return.</t>
      </text>
    </comment>
    <comment ref="AP260" authorId="1" shapeId="0">
      <text>
        <t>Horizon close: 2024-06-20
5/21/63 traded sessions after debut; price-only return vs offer.</t>
      </text>
    </comment>
    <comment ref="AQ260" authorId="1" shapeId="0">
      <text>
        <t>Horizon close: 2024-07-15
5/21/63 traded sessions after debut; price-only return vs offer.</t>
      </text>
    </comment>
    <comment ref="AR260" authorId="1" shapeId="0">
      <text>
        <t>Horizon close: 2024-09-12
5/21/63 traded sessions after debut; price-only return vs offer.</t>
      </text>
    </comment>
    <comment ref="AI261" authorId="0" shapeId="0">
      <text>
        <t>Close: HK$4.6
Date: 2024-06-13
Venue: Phillip (etnet news story)
Source: etnet:news https://www.etnet.com.hk/www/tc/stocks/ipo-news-article/20240613405/</t>
      </text>
    </comment>
    <comment ref="AK261" authorId="1" shapeId="0">
      <text>
        <t>HSTECH (Hang Seng TECH ETF)
Previous trading close to listing-day close (2024-06-14).
Benchmark return in percent; not the index level or excess return.</t>
      </text>
    </comment>
    <comment ref="AP261" authorId="1" shapeId="0">
      <text>
        <t>Horizon close: 2024-06-21
5/21/63 traded sessions after debut; price-only return vs offer.</t>
      </text>
    </comment>
    <comment ref="AQ261" authorId="1" shapeId="0">
      <text>
        <t>Horizon close: 2024-07-16
5/21/63 traded sessions after debut; price-only return vs offer.</t>
      </text>
    </comment>
    <comment ref="AR261" authorId="1" shapeId="0">
      <text>
        <t>Horizon close: 2024-09-13
5/21/63 traded sessions after debut; price-only return vs offer.</t>
      </text>
    </comment>
    <comment ref="AI262" authorId="0" shapeId="0">
      <text>
        <t>Close: HK$9.44
Date: 2024-06-17
Venue: Phillip (輝立), as published by AAStocks
Source: aastocks:AASTOCKS news headline: 《新股》武漢有機控股有限公司暗盤收報9.44元 高上市價71.6%</t>
      </text>
    </comment>
    <comment ref="AK262" authorId="1" shapeId="0">
      <text>
        <t>Hang Seng Commerce &amp; Industry sub-index
Previous trading close to listing-day close (2024-06-18).
Benchmark return in percent; not the index level or excess return.</t>
      </text>
    </comment>
    <comment ref="AP262" authorId="1" shapeId="0">
      <text>
        <t>Horizon close: 2024-06-25
5/21/63 traded sessions after debut; price-only return vs offer.</t>
      </text>
    </comment>
    <comment ref="AQ262" authorId="1" shapeId="0">
      <text>
        <t>Horizon close: 2024-07-18
5/21/63 traded sessions after debut; price-only return vs offer.</t>
      </text>
    </comment>
    <comment ref="AR262" authorId="1" shapeId="0">
      <text>
        <t>Horizon close: 2024-09-17
5/21/63 traded sessions after debut; price-only return vs offer.</t>
      </text>
    </comment>
    <comment ref="AI263" authorId="0" shapeId="0">
      <text>
        <t>Close: HK$5.58
Date: 2024-06-27
Venue: Phillip (etnet news story)
Source: etnet:news https://www.etnet.com.hk/www/tc/stocks/ipo-news-article/20240627199/</t>
      </text>
    </comment>
    <comment ref="AK263" authorId="1" shapeId="0">
      <text>
        <t>HSTECH (Hang Seng TECH ETF)
Previous trading close to listing-day close (2024-06-28).
Benchmark return in percent; not the index level or excess return.</t>
      </text>
    </comment>
    <comment ref="AP263" authorId="1" shapeId="0">
      <text>
        <t>Horizon close: 2024-07-08
5/21/63 traded sessions after debut; price-only return vs offer.</t>
      </text>
    </comment>
    <comment ref="AQ263" authorId="1" shapeId="0">
      <text>
        <t>Horizon close: 2024-07-30
5/21/63 traded sessions after debut; price-only return vs offer.</t>
      </text>
    </comment>
    <comment ref="AR263" authorId="1" shapeId="0">
      <text>
        <t>Horizon close: 2024-09-30
5/21/63 traded sessions after debut; price-only return vs offer.</t>
      </text>
    </comment>
    <comment ref="AI264" authorId="0" shapeId="0">
      <text>
        <t>Close: HK$110.5
Date: 2024-06-27
Venue: Phillip (etnet news story)
Source: etnet:news https://www.etnet.com.hk/www/tc/stocks/ipo-news-article/20240627200/</t>
      </text>
    </comment>
    <comment ref="AK264" authorId="1" shapeId="0">
      <text>
        <t>HSTECH (Hang Seng TECH ETF)
Previous trading close to listing-day close (2024-06-28).
Benchmark return in percent; not the index level or excess return.</t>
      </text>
    </comment>
    <comment ref="AP264" authorId="1" shapeId="0">
      <text>
        <t>Horizon close: 2024-07-08
5/21/63 traded sessions after debut; price-only return vs offer.</t>
      </text>
    </comment>
    <comment ref="AQ264" authorId="1" shapeId="0">
      <text>
        <t>Horizon close: 2024-07-30
5/21/63 traded sessions after debut; price-only return vs offer.</t>
      </text>
    </comment>
    <comment ref="AR264" authorId="1" shapeId="0">
      <text>
        <t>Horizon close: 2024-09-30
5/21/63 traded sessions after debut; price-only return vs offer.</t>
      </text>
    </comment>
    <comment ref="AI265" authorId="0" shapeId="0">
      <text>
        <t>Close: HK$61.3
Date: 2024-06-27
Venue: Phillip (etnet news story)
Source: etnet:news https://www.etnet.com.hk/www/tc/stocks/ipo-news-article/20240627198/</t>
      </text>
    </comment>
    <comment ref="AK265" authorId="1" shapeId="0">
      <text>
        <t>Hang Seng Commerce &amp; Industry sub-index
Previous trading close to listing-day close (2024-06-28).
Benchmark return in percent; not the index level or excess return.</t>
      </text>
    </comment>
    <comment ref="AP265" authorId="1" shapeId="0">
      <text>
        <t>Horizon close: 2024-07-08
5/21/63 traded sessions after debut; price-only return vs offer.</t>
      </text>
    </comment>
    <comment ref="AQ265" authorId="1" shapeId="0">
      <text>
        <t>Horizon close: 2024-07-30
5/21/63 traded sessions after debut; price-only return vs offer.</t>
      </text>
    </comment>
    <comment ref="AR265" authorId="1" shapeId="0">
      <text>
        <t>Horizon close: 2024-09-30
5/21/63 traded sessions after debut; price-only return vs offer.</t>
      </text>
    </comment>
    <comment ref="AI266" authorId="0" shapeId="0">
      <text>
        <t>Close: HK$0.77
Date: 2024-07-02
Venue: Phillip (輝立), as published by AAStocks
Source: aastocks:AASTOCKS news headline: 《新股》中贛通信(集團)控股有限公司暗盤收報0.77元 低上市價38.4%</t>
      </text>
    </comment>
    <comment ref="AK266" authorId="1" shapeId="0">
      <text>
        <t>Hang Seng Index
Previous trading close to listing-day close (2024-07-03).
Benchmark return in percent; not the index level or excess return.</t>
      </text>
    </comment>
    <comment ref="AP266" authorId="1" shapeId="0">
      <text>
        <t>Horizon close: 2024-07-10
5/21/63 traded sessions after debut; price-only return vs offer.</t>
      </text>
    </comment>
    <comment ref="AQ266" authorId="1" shapeId="0">
      <text>
        <t>Horizon close: 2024-08-01
5/21/63 traded sessions after debut; price-only return vs offer.</t>
      </text>
    </comment>
    <comment ref="AR266" authorId="1" shapeId="0">
      <text>
        <t>Horizon close: 2024-10-03
5/21/63 traded sessions after debut; price-only return vs offer.</t>
      </text>
    </comment>
    <comment ref="AI267" authorId="0" shapeId="0">
      <text>
        <t>Close: HK$7.52
Date: 2024-07-02
Venue: Phillip (輝立), as published by AAStocks
Source: aastocks:AASTOCKS news headline: 《新股》西安經發物業股份有限公司 - H股暗盤收報7.52元 高上市價0.3%</t>
      </text>
    </comment>
    <comment ref="AK267" authorId="1" shapeId="0">
      <text>
        <t>Hang Seng Properties sub-index
Previous trading close to listing-day close (2024-07-03).
Benchmark return in percent; not the index level or excess return.</t>
      </text>
    </comment>
    <comment ref="AP267" authorId="1" shapeId="0">
      <text>
        <t>Horizon close: 2024-07-10
5/21/63 traded sessions after debut; price-only return vs offer.</t>
      </text>
    </comment>
    <comment ref="AQ267" authorId="1" shapeId="0">
      <text>
        <t>Horizon close: 2024-08-01
5/21/63 traded sessions after debut; price-only return vs offer.</t>
      </text>
    </comment>
    <comment ref="AR267" authorId="1" shapeId="0">
      <text>
        <t>Horizon close: 2024-10-03
5/21/63 traded sessions after debut; price-only return vs offer.</t>
      </text>
    </comment>
    <comment ref="AI268" authorId="0" shapeId="0">
      <text>
        <t>Close: HK$34.65
Date: 2024-07-08
Venue: Phillip (etnet news story)
Source: etnet:news https://www.etnet.com.hk/www/tc/stocks/ipo-news-article/20240708427/</t>
      </text>
    </comment>
    <comment ref="AK268" authorId="1" shapeId="0">
      <text>
        <t>HSTECH (Hang Seng TECH ETF)
Previous trading close to listing-day close (2024-07-09).
Benchmark return in percent; not the index level or excess return.</t>
      </text>
    </comment>
    <comment ref="AP268" authorId="1" shapeId="0">
      <text>
        <t>Horizon close: 2024-07-16
5/21/63 traded sessions after debut; price-only return vs offer.</t>
      </text>
    </comment>
    <comment ref="AQ268" authorId="1" shapeId="0">
      <text>
        <t>Horizon close: 2024-08-07
5/21/63 traded sessions after debut; price-only return vs offer.</t>
      </text>
    </comment>
    <comment ref="AR268" authorId="1" shapeId="0">
      <text>
        <t>Horizon close: 2024-10-09
5/21/63 traded sessions after debut; price-only return vs offer.</t>
      </text>
    </comment>
    <comment ref="AI269" authorId="0" shapeId="0">
      <text>
        <t>Close: HK$5.03
Date: 2024-07-08
Venue: Phillip (etnet news story)
Source: etnet:news https://www.etnet.com.hk/www/tc/stocks/ipo-news-article/20240708428/</t>
      </text>
    </comment>
    <comment ref="AK269" authorId="1" shapeId="0">
      <text>
        <t>China Biotech ETF (HS biotech proxy)
Previous trading close to listing-day close (2024-07-09).
Benchmark return in percent; not the index level or excess return.</t>
      </text>
    </comment>
    <comment ref="AP269" authorId="1" shapeId="0">
      <text>
        <t>Horizon close: 2024-07-16
5/21/63 traded sessions after debut; price-only return vs offer.</t>
      </text>
    </comment>
    <comment ref="AQ269" authorId="1" shapeId="0">
      <text>
        <t>Horizon close: 2024-08-07
5/21/63 traded sessions after debut; price-only return vs offer.</t>
      </text>
    </comment>
    <comment ref="AR269" authorId="1" shapeId="0">
      <text>
        <t>Horizon close: 2024-10-09
5/21/63 traded sessions after debut; price-only return vs offer.</t>
      </text>
    </comment>
    <comment ref="AI270" authorId="0" shapeId="0">
      <text>
        <t>Close: HK$1.19
Date: 2024-07-09
Venue: Phillip (etnet news story)
Source: etnet:news https://www.etnet.com.hk/www/tc/stocks/ipo-news-article/20240709412/</t>
      </text>
    </comment>
    <comment ref="AK270" authorId="1" shapeId="0">
      <text>
        <t>Hang Seng Commerce &amp; Industry sub-index
Previous trading close to listing-day close (2024-07-10).
Benchmark return in percent; not the index level or excess return.</t>
      </text>
    </comment>
    <comment ref="AP270" authorId="1" shapeId="0">
      <text>
        <t>Horizon close: 2024-07-17
5/21/63 traded sessions after debut; price-only return vs offer.</t>
      </text>
    </comment>
    <comment ref="AQ270" authorId="1" shapeId="0">
      <text>
        <t>Horizon close: 2024-08-08
5/21/63 traded sessions after debut; price-only return vs offer.</t>
      </text>
    </comment>
    <comment ref="AR270" authorId="1" shapeId="0">
      <text>
        <t>Horizon close: 2024-10-10
5/21/63 traded sessions after debut; price-only return vs offer.</t>
      </text>
    </comment>
    <comment ref="AI271" authorId="0" shapeId="0">
      <text>
        <t>Close: HK$125
Date: 2024-07-09
Venue: Phillip (etnet news story)
Source: etnet:news https://www.etnet.com.hk/www/tc/stocks/ipo-news-article/20240709410/</t>
      </text>
    </comment>
    <comment ref="AK271" authorId="1" shapeId="0">
      <text>
        <t>Hang Seng Index
Previous trading close to listing-day close (2024-07-10).
Benchmark return in percent; not the index level or excess return.</t>
      </text>
    </comment>
    <comment ref="AP271" authorId="1" shapeId="0">
      <text>
        <t>Horizon close: 2024-07-17
5/21/63 traded sessions after debut; price-only return vs offer.</t>
      </text>
    </comment>
    <comment ref="AQ271" authorId="1" shapeId="0">
      <text>
        <t>Horizon close: 2024-08-08
5/21/63 traded sessions after debut; price-only return vs offer.</t>
      </text>
    </comment>
    <comment ref="AR271" authorId="1" shapeId="0">
      <text>
        <t>Horizon close: 2024-10-10
5/21/63 traded sessions after debut; price-only return vs offer.</t>
      </text>
    </comment>
    <comment ref="AI272" authorId="0" shapeId="0">
      <text>
        <t>Close: HK$35.1
Date: 2024-07-09
Venue: Phillip (etnet news story)
Source: etnet:news https://www.etnet.com.hk/www/tc/stocks/ipo-news-article/20240709411/</t>
      </text>
    </comment>
    <comment ref="AK272" authorId="1" shapeId="0">
      <text>
        <t>HSTECH (Hang Seng TECH ETF)
Previous trading close to listing-day close (2024-07-10).
Benchmark return in percent; not the index level or excess return.</t>
      </text>
    </comment>
    <comment ref="AP272" authorId="1" shapeId="0">
      <text>
        <t>Horizon close: 2024-07-17
5/21/63 traded sessions after debut; price-only return vs offer.</t>
      </text>
    </comment>
    <comment ref="AQ272" authorId="1" shapeId="0">
      <text>
        <t>Horizon close: 2024-08-08
5/21/63 traded sessions after debut; price-only return vs offer.</t>
      </text>
    </comment>
    <comment ref="AR272" authorId="1" shapeId="0">
      <text>
        <t>Horizon close: 2024-10-10
5/21/63 traded sessions after debut; price-only return vs offer.</t>
      </text>
    </comment>
    <comment ref="AI273" authorId="0" shapeId="0">
      <text>
        <t>Close: HK$26.1
Date: 2024-07-11
Venue: not stated (etnet)
Source: press:etnet 《新股上市》西銳(2507)暗盤報26.1元，低招股價逾5% (2024-07-11)</t>
      </text>
    </comment>
    <comment ref="AK273" authorId="1" shapeId="0">
      <text>
        <t>Hang Seng Commerce &amp; Industry sub-index
Previous trading close to listing-day close (2024-07-12).
Benchmark return in percent; not the index level or excess return.</t>
      </text>
    </comment>
    <comment ref="AP273" authorId="1" shapeId="0">
      <text>
        <t>Horizon close: 2024-07-19
5/21/63 traded sessions after debut; price-only return vs offer.</t>
      </text>
    </comment>
    <comment ref="AQ273" authorId="1" shapeId="0">
      <text>
        <t>Horizon close: 2024-08-12
5/21/63 traded sessions after debut; price-only return vs offer.</t>
      </text>
    </comment>
    <comment ref="AR273" authorId="1" shapeId="0">
      <text>
        <t>Horizon close: 2024-10-15
5/21/63 traded sessions after debut; price-only return vs offer.</t>
      </text>
    </comment>
    <comment ref="AI274" authorId="0" shapeId="0">
      <text>
        <t>Close: HK$5.5
Date: 2024-07-12
Venue: Phillip (etnet news story)
Source: etnet:news https://www.etnet.com.hk/www/tc/stocks/ipo-news-article/20240712978/</t>
      </text>
    </comment>
    <comment ref="AK274" authorId="1" shapeId="0">
      <text>
        <t>Hang Seng Commerce &amp; Industry sub-index
Previous trading close to listing-day close (2024-07-15).
Benchmark return in percent; not the index level or excess return.</t>
      </text>
    </comment>
    <comment ref="AP274" authorId="1" shapeId="0">
      <text>
        <t>Horizon close: 2024-07-22
5/21/63 traded sessions after debut; price-only return vs offer.</t>
      </text>
    </comment>
    <comment ref="AQ274" authorId="1" shapeId="0">
      <text>
        <t>Horizon close: 2024-08-13
5/21/63 traded sessions after debut; price-only return vs offer.</t>
      </text>
    </comment>
    <comment ref="AR274" authorId="1" shapeId="0">
      <text>
        <t>Horizon close: 2024-10-16
5/21/63 traded sessions after debut; price-only return vs offer.</t>
      </text>
    </comment>
    <comment ref="AI275" authorId="0" shapeId="0">
      <text>
        <t>Close: HK$7.22
Date: 2024-08-05
Venue: Phillip (輝立), as published by AAStocks
Source: aastocks:AASTOCKS news headline: 《新股》眾淼控股(青島)股份有限公司- H股暗盤收報7.22元 高上市價3.1%</t>
      </text>
    </comment>
    <comment ref="AK275" authorId="1" shapeId="0">
      <text>
        <t>Hang Seng Finance sub-index
Previous trading close to listing-day close (2024-08-06).
Benchmark return in percent; not the index level or excess return.</t>
      </text>
    </comment>
    <comment ref="AP275" authorId="1" shapeId="0">
      <text>
        <t>Horizon close: 2024-08-13
5/21/63 traded sessions after debut; price-only return vs offer.</t>
      </text>
    </comment>
    <comment ref="AQ275" authorId="1" shapeId="0">
      <text>
        <t>Horizon close: 2024-09-04
5/21/63 traded sessions after debut; price-only return vs offer.</t>
      </text>
    </comment>
    <comment ref="AR275" authorId="1" shapeId="0">
      <text>
        <t>Horizon close: 2024-11-07
5/21/63 traded sessions after debut; price-only return vs offer.</t>
      </text>
    </comment>
    <comment ref="AI276" authorId="0" shapeId="0">
      <text>
        <t>Close: HK$22.65
Date: 2024-08-07
Venue: AAStocks headline (venue not stated)
Source: press:AAStocks 《新股》黑芝麻智能國際控股有限公司(02533.HK)暗盤收報22.65元 低上市價19.1% (http://www.aastocks.com/tc/stocks/news/aafn-con/NOW.1369717/popular-news/AAFN)</t>
      </text>
    </comment>
    <comment ref="AK276" authorId="1" shapeId="0">
      <text>
        <t>HSTECH (Hang Seng TECH ETF)
Previous trading close to listing-day close (2024-08-08).
Benchmark return in percent; not the index level or excess return.</t>
      </text>
    </comment>
    <comment ref="AP276" authorId="1" shapeId="0">
      <text>
        <t>Horizon close: 2024-08-15
5/21/63 traded sessions after debut; price-only return vs offer.</t>
      </text>
    </comment>
    <comment ref="AQ276" authorId="1" shapeId="0">
      <text>
        <t>Horizon close: 2024-09-09
5/21/63 traded sessions after debut; price-only return vs offer.</t>
      </text>
    </comment>
    <comment ref="AR276" authorId="1" shapeId="0">
      <text>
        <t>Horizon close: 2024-11-11
5/21/63 traded sessions after debut; price-only return vs offer.</t>
      </text>
    </comment>
    <comment ref="AI277" authorId="0" shapeId="0">
      <text>
        <t>Close: HK$13.2
Date: 2024-08-19
Venue: Phillip (etnet news story)
Source: etnet:news https://www.etnet.com.hk/www/tc/stocks/ipo-news-article/20240819189/</t>
      </text>
    </comment>
    <comment ref="AK277" authorId="1" shapeId="0">
      <text>
        <t>China Biotech ETF (HS biotech proxy)
Previous trading close to listing-day close (2024-08-20).
Benchmark return in percent; not the index level or excess return.</t>
      </text>
    </comment>
    <comment ref="AP277" authorId="1" shapeId="0">
      <text>
        <t>Horizon close: 2024-08-27
5/21/63 traded sessions after debut; price-only return vs offer.</t>
      </text>
    </comment>
    <comment ref="AQ277" authorId="1" shapeId="0">
      <text>
        <t>Horizon close: 2024-09-20
5/21/63 traded sessions after debut; price-only return vs offer.</t>
      </text>
    </comment>
    <comment ref="AR277" authorId="1" shapeId="0">
      <text>
        <t>Horizon close: 2024-11-21
5/21/63 traded sessions after debut; price-only return vs offer.</t>
      </text>
    </comment>
    <comment ref="AI278" authorId="0" shapeId="0">
      <text>
        <t>Close: HK$58
Date: 2024-09-16
Venue: Bright Smart (耀才)
Source: press:HKET 美的上市｜美的集團0300暗盤收升逾5% (2024-09-16): 於耀才暗盤收報58元，高定價5.8%</t>
      </text>
    </comment>
    <comment ref="AK278" authorId="1" shapeId="0">
      <text>
        <t>HSTECH (Hang Seng TECH ETF)
Previous trading close to listing-day close (2024-09-17).
Benchmark return in percent; not the index level or excess return.</t>
      </text>
    </comment>
    <comment ref="AP278" authorId="1" shapeId="0">
      <text>
        <t>Horizon close: 2024-09-25
5/21/63 traded sessions after debut; price-only return vs offer.</t>
      </text>
    </comment>
    <comment ref="AQ278" authorId="1" shapeId="0">
      <text>
        <t>Horizon close: 2024-10-21
5/21/63 traded sessions after debut; price-only return vs offer.</t>
      </text>
    </comment>
    <comment ref="AR278" authorId="1" shapeId="0">
      <text>
        <t>Horizon close: 2024-12-18
5/21/63 traded sessions after debut; price-only return vs offer.</t>
      </text>
    </comment>
    <comment ref="AI279" authorId="0" shapeId="0">
      <text>
        <t>Close: HK$10.26
Date: 2024-09-30
Venue: Phillip (etnet; venues 10.26-10.44)
Source: etnet:ipo-info 暗盤數據</t>
      </text>
    </comment>
    <comment ref="AK279" authorId="1" shapeId="0">
      <text>
        <t>Hang Seng Commerce &amp; Industry sub-index
Previous trading close to listing-day close (2024-10-02).
Benchmark return in percent; not the index level or excess return.</t>
      </text>
    </comment>
    <comment ref="AP279" authorId="1" shapeId="0">
      <text>
        <t>Horizon close: 2024-10-09
5/21/63 traded sessions after debut; price-only return vs offer.</t>
      </text>
    </comment>
    <comment ref="AQ279" authorId="1" shapeId="0">
      <text>
        <t>Horizon close: 2024-11-01
5/21/63 traded sessions after debut; price-only return vs offer.</t>
      </text>
    </comment>
    <comment ref="AR279" authorId="1" shapeId="0">
      <text>
        <t>Horizon close: 2025-01-03
5/21/63 traded sessions after debut; price-only return vs offer.</t>
      </text>
    </comment>
    <comment ref="AI280" authorId="0" shapeId="0">
      <text>
        <t>Close: HK$11.62
Date: 2024-10-07
Venue: Futu (etnet; venues 11.28-11.62)
Source: etnet:ipo-info 暗盤數據</t>
      </text>
    </comment>
    <comment ref="AK280" authorId="1" shapeId="0">
      <text>
        <t>HSTECH (Hang Seng TECH ETF)
Previous trading close to listing-day close (2024-10-08).
Benchmark return in percent; not the index level or excess return.</t>
      </text>
    </comment>
    <comment ref="AP280" authorId="1" shapeId="0">
      <text>
        <t>Horizon close: 2024-10-16
5/21/63 traded sessions after debut; price-only return vs offer.</t>
      </text>
    </comment>
    <comment ref="AQ280" authorId="1" shapeId="0">
      <text>
        <t>Horizon close: 2024-11-07
5/21/63 traded sessions after debut; price-only return vs offer.</t>
      </text>
    </comment>
    <comment ref="AR280" authorId="1" shapeId="0">
      <text>
        <t>Horizon close: 2025-01-09
5/21/63 traded sessions after debut; price-only return vs offer.</t>
      </text>
    </comment>
    <comment ref="AI281" authorId="0" shapeId="0">
      <text>
        <t>Close: HK$0.57
Date: 2024-10-08
Venue: Phillip (etnet; venues 0.55-0.59)
Source: etnet:ipo-info 暗盤數據</t>
      </text>
    </comment>
    <comment ref="AK281" authorId="1" shapeId="0">
      <text>
        <t>Hang Seng Commerce &amp; Industry sub-index
Previous trading close to listing-day close (2024-10-09).
Benchmark return in percent; not the index level or excess return.</t>
      </text>
    </comment>
    <comment ref="AP281" authorId="1" shapeId="0">
      <text>
        <t>Horizon close: 2024-10-17
5/21/63 traded sessions after debut; price-only return vs offer.</t>
      </text>
    </comment>
    <comment ref="AQ281" authorId="1" shapeId="0">
      <text>
        <t>Horizon close: 2024-11-08
5/21/63 traded sessions after debut; price-only return vs offer.</t>
      </text>
    </comment>
    <comment ref="AR281" authorId="1" shapeId="0">
      <text>
        <t>Horizon close: 2025-01-10
5/21/63 traded sessions after debut; price-only return vs offer.</t>
      </text>
    </comment>
    <comment ref="AI282" authorId="0" shapeId="0">
      <text>
        <t>Close: HK$1.84
Date: 2024-10-15
Venue: Phillip (etnet; venues 1.84-1.85)
Source: etnet:ipo-info 暗盤數據</t>
      </text>
    </comment>
    <comment ref="AK282" authorId="1" shapeId="0">
      <text>
        <t>HSTECH (Hang Seng TECH ETF)
Previous trading close to listing-day close (2024-10-16).
Benchmark return in percent; not the index level or excess return.</t>
      </text>
    </comment>
    <comment ref="AP282" authorId="1" shapeId="0">
      <text>
        <t>Horizon close: 2024-10-23
5/21/63 traded sessions after debut; price-only return vs offer.</t>
      </text>
    </comment>
    <comment ref="AQ282" authorId="1" shapeId="0">
      <text>
        <t>Horizon close: 2024-11-14
5/21/63 traded sessions after debut; price-only return vs offer.</t>
      </text>
    </comment>
    <comment ref="AR282" authorId="1" shapeId="0">
      <text>
        <t>Horizon close: 2025-01-16
5/21/63 traded sessions after debut; price-only return vs offer.</t>
      </text>
    </comment>
    <comment ref="AI283" authorId="0" shapeId="0">
      <text>
        <t>Close: HK$16
Date: 2024-10-22
Venue: Phillip (etnet; venues 15.88-16.0)
Source: etnet:ipo-info 暗盤數據</t>
      </text>
    </comment>
    <comment ref="AK283" authorId="1" shapeId="0">
      <text>
        <t>Hang Seng Commerce &amp; Industry sub-index
Previous trading close to listing-day close (2024-10-23).
Benchmark return in percent; not the index level or excess return.</t>
      </text>
    </comment>
    <comment ref="AP283" authorId="1" shapeId="0">
      <text>
        <t>Horizon close: 2024-10-30
5/21/63 traded sessions after debut; price-only return vs offer.</t>
      </text>
    </comment>
    <comment ref="AQ283" authorId="1" shapeId="0">
      <text>
        <t>Horizon close: 2024-11-21
5/21/63 traded sessions after debut; price-only return vs offer.</t>
      </text>
    </comment>
    <comment ref="AR283" authorId="1" shapeId="0">
      <text>
        <t>Horizon close: 2025-01-23
5/21/63 traded sessions after debut; price-only return vs offer.</t>
      </text>
    </comment>
    <comment ref="AI284" authorId="0" shapeId="0">
      <text>
        <t>Close: HK$5.02
Date: 2024-10-23
Venue: Phillip (etnet; venues 5.02-5.43)
Source: etnet:ipo-info 暗盤數據</t>
      </text>
    </comment>
    <comment ref="AK284" authorId="1" shapeId="0">
      <text>
        <t>HSTECH (Hang Seng TECH ETF)
Previous trading close to listing-day close (2024-10-24).
Benchmark return in percent; not the index level or excess return.</t>
      </text>
    </comment>
    <comment ref="AP284" authorId="1" shapeId="0">
      <text>
        <t>Horizon close: 2024-10-31
5/21/63 traded sessions after debut; price-only return vs offer.</t>
      </text>
    </comment>
    <comment ref="AQ284" authorId="1" shapeId="0">
      <text>
        <t>Horizon close: 2024-11-22
5/21/63 traded sessions after debut; price-only return vs offer.</t>
      </text>
    </comment>
    <comment ref="AR284" authorId="1" shapeId="0">
      <text>
        <t>Horizon close: 2025-01-24
5/21/63 traded sessions after debut; price-only return vs offer.</t>
      </text>
    </comment>
    <comment ref="AI285" authorId="0" shapeId="0">
      <text>
        <t>Close: HK$5.45
Date: 2024-10-29
Venue: Phillip (etnet; venues 5.45-5.82)
Source: etnet:ipo-info 暗盤數據</t>
      </text>
    </comment>
    <comment ref="AK285" authorId="1" shapeId="0">
      <text>
        <t>Hang Seng Commerce &amp; Industry sub-index
Previous trading close to listing-day close (2024-10-30).
Benchmark return in percent; not the index level or excess return.</t>
      </text>
    </comment>
    <comment ref="AP285" authorId="1" shapeId="0">
      <text>
        <t>Horizon close: 2024-11-06
5/21/63 traded sessions after debut; price-only return vs offer.</t>
      </text>
    </comment>
    <comment ref="AQ285" authorId="1" shapeId="0">
      <text>
        <t>Horizon close: 2024-11-28
5/21/63 traded sessions after debut; price-only return vs offer.</t>
      </text>
    </comment>
    <comment ref="AR285" authorId="1" shapeId="0">
      <text>
        <t>Horizon close: 2025-02-04
5/21/63 traded sessions after debut; price-only return vs offer.</t>
      </text>
    </comment>
    <comment ref="AI286" authorId="0" shapeId="0">
      <text>
        <t>Close: HK$20
Date: 2024-10-30
Venue: Futu (etnet; venues 20.0-20.9)
Source: etnet:ipo-info 暗盤數據</t>
      </text>
    </comment>
    <comment ref="AK286" authorId="1" shapeId="0">
      <text>
        <t>China Biotech ETF (HS biotech proxy)
Previous trading close to listing-day close (2024-10-31).
Benchmark return in percent; not the index level or excess return.</t>
      </text>
    </comment>
    <comment ref="AP286" authorId="1" shapeId="0">
      <text>
        <t>Horizon close: 2024-11-07
5/21/63 traded sessions after debut; price-only return vs offer.</t>
      </text>
    </comment>
    <comment ref="AQ286" authorId="1" shapeId="0">
      <text>
        <t>Horizon close: 2024-11-29
5/21/63 traded sessions after debut; price-only return vs offer.</t>
      </text>
    </comment>
    <comment ref="AR286" authorId="1" shapeId="0">
      <text>
        <t>Horizon close: 2025-02-05
5/21/63 traded sessions after debut; price-only return vs offer.</t>
      </text>
    </comment>
    <comment ref="AI287" authorId="0" shapeId="0">
      <text>
        <t>Close: HK$4.19
Date: 2024-10-31
Venue: Phillip (etnet; venues 4.19-4.4)
Source: etnet:ipo-info 暗盤數據</t>
      </text>
    </comment>
    <comment ref="AK287" authorId="1" shapeId="0">
      <text>
        <t>Hang Seng Commerce &amp; Industry sub-index
Previous trading close to listing-day close (2024-11-01).
Benchmark return in percent; not the index level or excess return.</t>
      </text>
    </comment>
    <comment ref="AP287" authorId="1" shapeId="0">
      <text>
        <t>Horizon close: 2024-11-08
5/21/63 traded sessions after debut; price-only return vs offer.</t>
      </text>
    </comment>
    <comment ref="AQ287" authorId="1" shapeId="0">
      <text>
        <t>Horizon close: 2024-12-02
5/21/63 traded sessions after debut; price-only return vs offer.</t>
      </text>
    </comment>
    <comment ref="AR287" authorId="1" shapeId="0">
      <text>
        <t>Horizon close: 2025-02-06
5/21/63 traded sessions after debut; price-only return vs offer.</t>
      </text>
    </comment>
    <comment ref="AI288" authorId="0" shapeId="0">
      <text>
        <t>Close: HK$13.82
Date: 2024-11-07
Venue: Phillip (etnet; venues 13.0-13.82)
Source: etnet:ipo-info 暗盤數據</t>
      </text>
    </comment>
    <comment ref="AK288" authorId="1" shapeId="0">
      <text>
        <t>Hang Seng Commerce &amp; Industry sub-index
Previous trading close to listing-day close (2024-11-08).
Benchmark return in percent; not the index level or excess return.</t>
      </text>
    </comment>
    <comment ref="AP288" authorId="1" shapeId="0">
      <text>
        <t>Horizon close: 2024-11-15
5/21/63 traded sessions after debut; price-only return vs offer.</t>
      </text>
    </comment>
    <comment ref="AQ288" authorId="1" shapeId="0">
      <text>
        <t>Horizon close: 2024-12-09
5/21/63 traded sessions after debut; price-only return vs offer.</t>
      </text>
    </comment>
    <comment ref="AR288" authorId="1" shapeId="0">
      <text>
        <t>Horizon close: 2025-02-13
5/21/63 traded sessions after debut; price-only return vs offer.</t>
      </text>
    </comment>
    <comment ref="AI289" authorId="0" shapeId="0">
      <text>
        <t>Close: HK$4.08
Date: 2024-11-07
Venue: Phillip (etnet; venues 4.08-4.16)
Source: etnet:ipo-info 暗盤數據</t>
      </text>
    </comment>
    <comment ref="AK289" authorId="1" shapeId="0">
      <text>
        <t>HSTECH (Hang Seng TECH ETF)
Previous trading close to listing-day close (2024-11-08).
Benchmark return in percent; not the index level or excess return.</t>
      </text>
    </comment>
    <comment ref="AP289" authorId="1" shapeId="0">
      <text>
        <t>Horizon close: 2024-11-15
5/21/63 traded sessions after debut; price-only return vs offer.</t>
      </text>
    </comment>
    <comment ref="AQ289" authorId="1" shapeId="0">
      <text>
        <t>Horizon close: 2024-12-09
5/21/63 traded sessions after debut; price-only return vs offer.</t>
      </text>
    </comment>
    <comment ref="AR289" authorId="1" shapeId="0">
      <text>
        <t>Horizon close: 2025-02-13
5/21/63 traded sessions after debut; price-only return vs offer.</t>
      </text>
    </comment>
    <comment ref="AI290" authorId="0" shapeId="0">
      <text>
        <t>Close: HK$80.7
Date: 2024-11-14
Venue: Phillip (輝立)
Source: press:stockfisher.com.hk (2024-11-14): 輝立暗盤收報80.7元，較上市價65元高24.2%; 富途/耀才81元 +24.6%</t>
      </text>
    </comment>
    <comment ref="AK290" authorId="1" shapeId="0">
      <text>
        <t>Hang Seng Commerce &amp; Industry sub-index
Previous trading close to listing-day close (2024-11-15).
Benchmark return in percent; not the index level or excess return.</t>
      </text>
    </comment>
    <comment ref="AP290" authorId="1" shapeId="0">
      <text>
        <t>Horizon close: 2024-11-22
5/21/63 traded sessions after debut; price-only return vs offer.</t>
      </text>
    </comment>
    <comment ref="AQ290" authorId="1" shapeId="0">
      <text>
        <t>Horizon close: 2024-12-16
5/21/63 traded sessions after debut; price-only return vs offer.</t>
      </text>
    </comment>
    <comment ref="AR290" authorId="1" shapeId="0">
      <text>
        <t>Horizon close: 2025-02-20
5/21/63 traded sessions after debut; price-only return vs offer.</t>
      </text>
    </comment>
    <comment ref="AI291" authorId="0" shapeId="0">
      <text>
        <t>Close: HK$34
Date: 2024-11-26
Venue: Phillip (etnet; venues 34.0-34.3)
Source: etnet:ipo-info 暗盤數據</t>
      </text>
    </comment>
    <comment ref="AK291" authorId="1" shapeId="0">
      <text>
        <t>Hang Seng Commerce &amp; Industry sub-index
Previous trading close to listing-day close (2024-11-27).
Benchmark return in percent; not the index level or excess return.</t>
      </text>
    </comment>
    <comment ref="AP291" authorId="1" shapeId="0">
      <text>
        <t>Horizon close: 2024-12-04
5/21/63 traded sessions after debut; price-only return vs offer.</t>
      </text>
    </comment>
    <comment ref="AQ291" authorId="1" shapeId="0">
      <text>
        <t>Horizon close: 2024-12-30
5/21/63 traded sessions after debut; price-only return vs offer.</t>
      </text>
    </comment>
    <comment ref="AR291" authorId="1" shapeId="0">
      <text>
        <t>Horizon close: 2025-03-04
5/21/63 traded sessions after debut; price-only return vs offer.</t>
      </text>
    </comment>
    <comment ref="AI292" authorId="0" shapeId="0">
      <text>
        <t>Close: HK$8.88
Date: 2024-11-27
Venue: Phillip (etnet; venues 8.88-8.9)
Source: etnet:ipo-info 暗盤數據</t>
      </text>
    </comment>
    <comment ref="AK292" authorId="1" shapeId="0">
      <text>
        <t>China Biotech ETF (HS biotech proxy)
Previous trading close to listing-day close (2024-11-28).
Benchmark return in percent; not the index level or excess return.</t>
      </text>
    </comment>
    <comment ref="AP292" authorId="1" shapeId="0">
      <text>
        <t>Horizon close: 2024-12-05
5/21/63 traded sessions after debut; price-only return vs offer.</t>
      </text>
    </comment>
    <comment ref="AQ292" authorId="1" shapeId="0">
      <text>
        <t>Horizon close: 2024-12-31
5/21/63 traded sessions after debut; price-only return vs offer.</t>
      </text>
    </comment>
    <comment ref="AR292" authorId="1" shapeId="0">
      <text>
        <t>Horizon close: 2025-03-05
5/21/63 traded sessions after debut; price-only return vs offer.</t>
      </text>
    </comment>
    <comment ref="AI293" authorId="0" shapeId="0">
      <text>
        <t>Close: HK$12.54
Date: 2024-11-28
Venue: not stated (華盛通)
Source: press:華盛通 暗盘收盘 (2024-11-28): 梦金园收涨4.5%，报12.54港元; 中金在线: 暗盘先杀跌-20%后收升</t>
      </text>
    </comment>
    <comment ref="AK293" authorId="1" shapeId="0">
      <text>
        <t>Hang Seng Commerce &amp; Industry sub-index
Previous trading close to listing-day close (2024-11-29).
Benchmark return in percent; not the index level or excess return.</t>
      </text>
    </comment>
    <comment ref="AP293" authorId="1" shapeId="0">
      <text>
        <t>Horizon close: 2024-12-06
5/21/63 traded sessions after debut; price-only return vs offer.</t>
      </text>
    </comment>
    <comment ref="AQ293" authorId="1" shapeId="0">
      <text>
        <t>Horizon close: 2025-01-02
5/21/63 traded sessions after debut; price-only return vs offer.</t>
      </text>
    </comment>
    <comment ref="AR293" authorId="1" shapeId="0">
      <text>
        <t>Horizon close: 2025-03-06
5/21/63 traded sessions after debut; price-only return vs offer.</t>
      </text>
    </comment>
    <comment ref="AI294" authorId="0" shapeId="0">
      <text>
        <t>Close: HK$21.95
Date: 2024-12-05
Venue: Phillip (etnet; venues 21.95-22.85)
Source: etnet:ipo-info 暗盤數據</t>
      </text>
    </comment>
    <comment ref="AK294" authorId="1" shapeId="0">
      <text>
        <t>HSTECH (Hang Seng TECH ETF)
Previous trading close to listing-day close (2024-12-06).
Benchmark return in percent; not the index level or excess return.</t>
      </text>
    </comment>
    <comment ref="AP294" authorId="1" shapeId="0">
      <text>
        <t>Horizon close: 2024-12-13
5/21/63 traded sessions after debut; price-only return vs offer.</t>
      </text>
    </comment>
    <comment ref="AQ294" authorId="1" shapeId="0">
      <text>
        <t>Horizon close: 2025-01-09
5/21/63 traded sessions after debut; price-only return vs offer.</t>
      </text>
    </comment>
    <comment ref="AR294" authorId="1" shapeId="0">
      <text>
        <t>Horizon close: 2025-03-13
5/21/63 traded sessions after debut; price-only return vs offer.</t>
      </text>
    </comment>
    <comment ref="AI295" authorId="0" shapeId="0">
      <text>
        <t>Close: HK$135.6
Date: 2024-12-05
Venue: Phillip (etnet; venues 135.2-136.6)
Source: etnet:ipo-info 暗盤數據</t>
      </text>
    </comment>
    <comment ref="AK295" authorId="1" shapeId="0">
      <text>
        <t>Hang Seng Commerce &amp; Industry sub-index
Previous trading close to listing-day close (2024-12-06).
Benchmark return in percent; not the index level or excess return.</t>
      </text>
    </comment>
    <comment ref="AP295" authorId="1" shapeId="0">
      <text>
        <t>Horizon close: 2024-12-13
5/21/63 traded sessions after debut; price-only return vs offer.</t>
      </text>
    </comment>
    <comment ref="AQ295" authorId="1" shapeId="0">
      <text>
        <t>Horizon close: 2025-01-09
5/21/63 traded sessions after debut; price-only return vs offer.</t>
      </text>
    </comment>
    <comment ref="AR295" authorId="1" shapeId="0">
      <text>
        <t>Horizon close: 2025-03-13
5/21/63 traded sessions after debut; price-only return vs offer.</t>
      </text>
    </comment>
    <comment ref="AI296" authorId="0" shapeId="0">
      <text>
        <t>Close: HK$44.9
Date: 2024-12-09
Venue: Futu (etnet; venues 44.9-46.0)
Source: etnet:ipo-info 暗盤數據</t>
      </text>
    </comment>
    <comment ref="AK296" authorId="1" shapeId="0">
      <text>
        <t>Hang Seng Commerce &amp; Industry sub-index
Previous trading close to listing-day close (2024-12-10).
Benchmark return in percent; not the index level or excess return.</t>
      </text>
    </comment>
    <comment ref="AP296" authorId="1" shapeId="0">
      <text>
        <t>Horizon close: 2024-12-17
5/21/63 traded sessions after debut; price-only return vs offer.</t>
      </text>
    </comment>
    <comment ref="AQ296" authorId="1" shapeId="0">
      <text>
        <t>Horizon close: 2025-01-13
5/21/63 traded sessions after debut; price-only return vs offer.</t>
      </text>
    </comment>
    <comment ref="AR296" authorId="1" shapeId="0">
      <text>
        <t>Horizon close: 2025-03-17
5/21/63 traded sessions after debut; price-only return vs offer.</t>
      </text>
    </comment>
    <comment ref="AI297" authorId="0" shapeId="0">
      <text>
        <t>Close: HK$4.79
Date: 2024-12-18
Venue: Phillip (etnet; venues 4.79-4.85)
Source: etnet:ipo-info 暗盤數據</t>
      </text>
    </comment>
    <comment ref="AK297" authorId="1" shapeId="0">
      <text>
        <t>China Biotech ETF (HS biotech proxy)
Previous trading close to listing-day close (2024-12-19).
Benchmark return in percent; not the index level or excess return.</t>
      </text>
    </comment>
    <comment ref="AP297" authorId="1" shapeId="0">
      <text>
        <t>Horizon close: 2024-12-30
5/21/63 traded sessions after debut; price-only return vs offer.</t>
      </text>
    </comment>
    <comment ref="AQ297" authorId="1" shapeId="0">
      <text>
        <t>Horizon close: 2025-01-22
5/21/63 traded sessions after debut; price-only return vs offer.</t>
      </text>
    </comment>
    <comment ref="AR297" authorId="1" shapeId="0">
      <text>
        <t>Horizon close: 2025-03-26
5/21/63 traded sessions after debut; price-only return vs offer.</t>
      </text>
    </comment>
    <comment ref="AI298" authorId="0" shapeId="0">
      <text>
        <t>Close: HK$8.43
Date: 2024-12-19
Venue: Phillip (etnet; venues 8.38-8.56)
Source: etnet:ipo-info 暗盤數據</t>
      </text>
    </comment>
    <comment ref="AK298" authorId="1" shapeId="0">
      <text>
        <t>Hang Seng Commerce &amp; Industry sub-index
Previous trading close to listing-day close (2024-12-20).
Benchmark return in percent; not the index level or excess return.</t>
      </text>
    </comment>
    <comment ref="AP298" authorId="1" shapeId="0">
      <text>
        <t>Horizon close: 2024-12-31
5/21/63 traded sessions after debut; price-only return vs offer.</t>
      </text>
    </comment>
    <comment ref="AQ298" authorId="1" shapeId="0">
      <text>
        <t>Horizon close: 2025-01-23
5/21/63 traded sessions after debut; price-only return vs offer.</t>
      </text>
    </comment>
    <comment ref="AR298" authorId="1" shapeId="0">
      <text>
        <t>Horizon close: 2025-03-27
5/21/63 traded sessions after debut; price-only return vs offer.</t>
      </text>
    </comment>
    <comment ref="AI299" authorId="0" shapeId="0">
      <text>
        <t>Close: HK$20.45
Date: 2024-12-20
Venue: Phillip (etnet; venues 20.3-20.45)
Source: etnet:ipo-info 暗盤數據</t>
      </text>
    </comment>
    <comment ref="AK299" authorId="1" shapeId="0">
      <text>
        <t>HSTECH (Hang Seng TECH ETF)
Previous trading close to listing-day close (2024-12-23).
Benchmark return in percent; not the index level or excess return.</t>
      </text>
    </comment>
    <comment ref="AP299" authorId="1" shapeId="0">
      <text>
        <t>Horizon close: 2025-01-02
5/21/63 traded sessions after debut; price-only return vs offer.</t>
      </text>
    </comment>
    <comment ref="AQ299" authorId="1" shapeId="0">
      <text>
        <t>Horizon close: 2025-01-24
5/21/63 traded sessions after debut; price-only return vs offer.</t>
      </text>
    </comment>
    <comment ref="AR299" authorId="1" shapeId="0">
      <text>
        <t>Horizon close: 2025-03-28
5/21/63 traded sessions after debut; price-only return vs offer.</t>
      </text>
    </comment>
    <comment ref="AI300" authorId="0" shapeId="0">
      <text>
        <t>Close: HK$18.3
Date: 2024-12-24
Venue: Futu (etnet; venues 18.3-18.98)
Source: etnet:ipo-info 暗盤數據</t>
      </text>
    </comment>
    <comment ref="AK300" authorId="1" shapeId="0">
      <text>
        <t>HSTECH (Hang Seng TECH ETF)
Previous trading close to listing-day close (2024-12-27).
Benchmark return in percent; not the index level or excess return.</t>
      </text>
    </comment>
    <comment ref="AP300" authorId="1" shapeId="0">
      <text>
        <t>Horizon close: 2025-01-06
5/21/63 traded sessions after debut; price-only return vs offer.</t>
      </text>
    </comment>
    <comment ref="AQ300" authorId="1" shapeId="0">
      <text>
        <t>Horizon close: 2025-01-28
5/21/63 traded sessions after debut; price-only return vs offer.</t>
      </text>
    </comment>
    <comment ref="AR300" authorId="1" shapeId="0">
      <text>
        <t>Horizon close: 2025-04-01
5/21/63 traded sessions after debut; price-only return vs offer.</t>
      </text>
    </comment>
    <comment ref="AI301" authorId="0" shapeId="0">
      <text>
        <t>Close: HK$9.62
Date: 2024-12-27
Venue: Phillip (etnet; venues 9.62-9.7)
Source: etnet:ipo-info 暗盤數據</t>
      </text>
    </comment>
    <comment ref="AK301" authorId="1" shapeId="0">
      <text>
        <t>China Biotech ETF (HS biotech proxy)
Previous trading close to listing-day close (2024-12-30).
Benchmark return in percent; not the index level or excess return.</t>
      </text>
    </comment>
    <comment ref="AP301" authorId="1" shapeId="0">
      <text>
        <t>Horizon close: 2025-01-07
5/21/63 traded sessions after debut; price-only return vs offer.</t>
      </text>
    </comment>
    <comment ref="AQ301" authorId="1" shapeId="0">
      <text>
        <t>Horizon close: 2025-02-03
5/21/63 traded sessions after debut; price-only return vs offer.</t>
      </text>
    </comment>
    <comment ref="AR301" authorId="1" shapeId="0">
      <text>
        <t>Horizon close: 2025-04-02
5/21/63 traded sessions after debut; price-only return vs offer.</t>
      </text>
    </comment>
    <comment ref="AI302" authorId="0" shapeId="0">
      <text>
        <t>Close: HK$31.15
Date: 2024-12-27
Venue: Phillip (etnet; venues 31.1-31.3)
Source: etnet:ipo-info 暗盤數據</t>
      </text>
    </comment>
    <comment ref="AK302" authorId="1" shapeId="0">
      <text>
        <t>HSTECH (Hang Seng TECH ETF)
Previous trading close to listing-day close (2024-12-30).
Benchmark return in percent; not the index level or excess return.</t>
      </text>
    </comment>
    <comment ref="AP302" authorId="1" shapeId="0">
      <text>
        <t>Horizon close: 2025-01-07
5/21/63 traded sessions after debut; price-only return vs offer.</t>
      </text>
    </comment>
    <comment ref="AQ302" authorId="1" shapeId="0">
      <text>
        <t>Horizon close: 2025-02-03
5/21/63 traded sessions after debut; price-only return vs offer.</t>
      </text>
    </comment>
    <comment ref="AR302" authorId="1" shapeId="0">
      <text>
        <t>Horizon close: 2025-04-02
5/21/63 traded sessions after debut; price-only return vs offer.</t>
      </text>
    </comment>
    <comment ref="AI303" authorId="0" shapeId="0">
      <text>
        <t>Close: HK$86.6
Date: 2024-12-27
Venue: Phillip (etnet; venues 82.0-86.6)
Source: etnet:ipo-info 暗盤數據</t>
      </text>
    </comment>
    <comment ref="AK303" authorId="1" shapeId="0">
      <text>
        <t>China Biotech ETF (HS biotech proxy)
Previous trading close to listing-day close (2024-12-30).
Benchmark return in percent; not the index level or excess return.</t>
      </text>
    </comment>
    <comment ref="AP303" authorId="1" shapeId="0">
      <text>
        <t>Horizon close: 2025-01-07
5/21/63 traded sessions after debut; price-only return vs offer.</t>
      </text>
    </comment>
    <comment ref="AQ303" authorId="1" shapeId="0">
      <text>
        <t>Horizon close: 2025-02-03
5/21/63 traded sessions after debut; price-only return vs offer.</t>
      </text>
    </comment>
    <comment ref="AR303" authorId="1" shapeId="0">
      <text>
        <t>Horizon close: 2025-04-02
5/21/63 traded sessions after debut; price-only return vs offer.</t>
      </text>
    </comment>
    <comment ref="AI304" authorId="0" shapeId="0">
      <text>
        <t>Close: HK$3.21
Date: 2025-01-07
Venue: Phillip (etnet; venues 3.21-3.25)
Source: etnet:ipo-info 暗盤數據</t>
      </text>
    </comment>
    <comment ref="AK304" authorId="1" shapeId="0">
      <text>
        <t>China Biotech ETF (HS biotech proxy)
Previous trading close to listing-day close (2025-01-08).
Benchmark return in percent; not the index level or excess return.</t>
      </text>
    </comment>
    <comment ref="AP304" authorId="1" shapeId="0">
      <text>
        <t>Horizon close: 2025-01-15
5/21/63 traded sessions after debut; price-only return vs offer.</t>
      </text>
    </comment>
    <comment ref="AQ304" authorId="1" shapeId="0">
      <text>
        <t>Horizon close: 2025-02-11
5/21/63 traded sessions after debut; price-only return vs offer.</t>
      </text>
    </comment>
    <comment ref="AR304" authorId="1" shapeId="0">
      <text>
        <t>Horizon close: 2025-04-11
5/21/63 traded sessions after debut; price-only return vs offer.</t>
      </text>
    </comment>
    <comment ref="AI305" authorId="0" shapeId="0">
      <text>
        <t>Close: HK$2.06
Date: 2025-01-08
Venue: Phillip (etnet; venues 2.06-2.09)
Source: etnet:ipo-info 暗盤數據</t>
      </text>
    </comment>
    <comment ref="AK305" authorId="1" shapeId="0">
      <text>
        <t>Hang Seng Commerce &amp; Industry sub-index
Previous trading close to listing-day close (2025-01-09).
Benchmark return in percent; not the index level or excess return.</t>
      </text>
    </comment>
    <comment ref="AP305" authorId="1" shapeId="0">
      <text>
        <t>Horizon close: 2025-01-16
5/21/63 traded sessions after debut; price-only return vs offer.</t>
      </text>
    </comment>
    <comment ref="AQ305" authorId="1" shapeId="0">
      <text>
        <t>Horizon close: 2025-02-12
5/21/63 traded sessions after debut; price-only return vs offer.</t>
      </text>
    </comment>
    <comment ref="AR305" authorId="1" shapeId="0">
      <text>
        <t>Horizon close: 2025-04-14
5/21/63 traded sessions after debut; price-only return vs offer.</t>
      </text>
    </comment>
    <comment ref="AI306" authorId="0" shapeId="0">
      <text>
        <t>Close: HK$33.85
Date: 2025-01-08
Venue: Futu (etnet; venues 33.3-34.0)
Source: etnet:ipo-info 暗盤數據</t>
      </text>
    </comment>
    <comment ref="AK306" authorId="1" shapeId="0">
      <text>
        <t>Hang Seng Commerce &amp; Industry sub-index
Previous trading close to listing-day close (2025-01-09).
Benchmark return in percent; not the index level or excess return.</t>
      </text>
    </comment>
    <comment ref="AP306" authorId="1" shapeId="0">
      <text>
        <t>Horizon close: 2025-01-16
5/21/63 traded sessions after debut; price-only return vs offer.</t>
      </text>
    </comment>
    <comment ref="AQ306" authorId="1" shapeId="0">
      <text>
        <t>Horizon close: 2025-02-12
5/21/63 traded sessions after debut; price-only return vs offer.</t>
      </text>
    </comment>
    <comment ref="AR306" authorId="1" shapeId="0">
      <text>
        <t>Horizon close: 2025-04-14
5/21/63 traded sessions after debut; price-only return vs offer.</t>
      </text>
    </comment>
    <comment ref="AI307" authorId="0" shapeId="0">
      <text>
        <t>Close: HK$104.7
Date: 2025-01-09
Venue: Futu (etnet; venues 104.7-105.3)
Source: etnet:ipo-info 暗盤數據</t>
      </text>
    </comment>
    <comment ref="AK307" authorId="1" shapeId="0">
      <text>
        <t>Hang Seng Commerce &amp; Industry sub-index
Previous trading close to listing-day close (2025-01-10).
Benchmark return in percent; not the index level or excess return.</t>
      </text>
    </comment>
    <comment ref="AP307" authorId="1" shapeId="0">
      <text>
        <t>Horizon close: 2025-01-17
5/21/63 traded sessions after debut; price-only return vs offer.</t>
      </text>
    </comment>
    <comment ref="AQ307" authorId="1" shapeId="0">
      <text>
        <t>Horizon close: 2025-02-13
5/21/63 traded sessions after debut; price-only return vs offer.</t>
      </text>
    </comment>
    <comment ref="AR307" authorId="1" shapeId="0">
      <text>
        <t>Horizon close: 2025-04-15
5/21/63 traded sessions after debut; price-only return vs offer.</t>
      </text>
    </comment>
    <comment ref="AI308" authorId="0" shapeId="0">
      <text>
        <t>Close: HK$0.8
Date: 2025-01-09
Venue: Phillip (etnet; venues 0.79-0.8)
Source: etnet:ipo-info 暗盤數據</t>
      </text>
    </comment>
    <comment ref="AK308" authorId="1" shapeId="0">
      <text>
        <t>Hang Seng Commerce &amp; Industry sub-index
Previous trading close to listing-day close (2025-01-10).
Benchmark return in percent; not the index level or excess return.</t>
      </text>
    </comment>
    <comment ref="AP308" authorId="1" shapeId="0">
      <text>
        <t>Horizon close: 2025-01-17
5/21/63 traded sessions after debut; price-only return vs offer.</t>
      </text>
    </comment>
    <comment ref="AQ308" authorId="1" shapeId="0">
      <text>
        <t>Horizon close: 2025-02-13
5/21/63 traded sessions after debut; price-only return vs offer.</t>
      </text>
    </comment>
    <comment ref="AR308" authorId="1" shapeId="0">
      <text>
        <t>Horizon close: 2025-04-15
5/21/63 traded sessions after debut; price-only return vs offer.</t>
      </text>
    </comment>
    <comment ref="AI309" authorId="0" shapeId="0">
      <text>
        <t>Close: HK$2.55
Date: 2025-01-10
Venue: Futu (etnet; venues 2.54-2.59)
Source: etnet:ipo-info 暗盤數據</t>
      </text>
    </comment>
    <comment ref="AK309" authorId="1" shapeId="0">
      <text>
        <t>Hang Seng Finance sub-index
Previous trading close to listing-day close (2025-01-13).
Benchmark return in percent; not the index level or excess return.</t>
      </text>
    </comment>
    <comment ref="AP309" authorId="1" shapeId="0">
      <text>
        <t>Horizon close: 2025-01-20
5/21/63 traded sessions after debut; price-only return vs offer.</t>
      </text>
    </comment>
    <comment ref="AQ309" authorId="1" shapeId="0">
      <text>
        <t>Horizon close: 2025-02-14
5/21/63 traded sessions after debut; price-only return vs offer.</t>
      </text>
    </comment>
    <comment ref="AR309" authorId="1" shapeId="0">
      <text>
        <t>Horizon close: 2025-04-16
5/21/63 traded sessions after debut; price-only return vs offer.</t>
      </text>
    </comment>
    <comment ref="AI310" authorId="0" shapeId="0">
      <text>
        <t>Close: HK$13
Date: 2025-01-14
Venue: Futu (etnet; venues 13.0-13.04)
Source: etnet:ipo-info 暗盤數據</t>
      </text>
    </comment>
    <comment ref="AK310" authorId="1" shapeId="0">
      <text>
        <t>Hang Seng Commerce &amp; Industry sub-index
Previous trading close to listing-day close (2025-01-15).
Benchmark return in percent; not the index level or excess return.</t>
      </text>
    </comment>
    <comment ref="AP310" authorId="1" shapeId="0">
      <text>
        <t>Horizon close: 2025-01-22
5/21/63 traded sessions after debut; price-only return vs offer.</t>
      </text>
    </comment>
    <comment ref="AQ310" authorId="1" shapeId="0">
      <text>
        <t>Horizon close: 2025-02-18
5/21/63 traded sessions after debut; price-only return vs offer.</t>
      </text>
    </comment>
    <comment ref="AR310" authorId="1" shapeId="0">
      <text>
        <t>Horizon close: 2025-04-22
5/21/63 traded sessions after debut; price-only return vs offer.</t>
      </text>
    </comment>
    <comment ref="AI311" authorId="0" shapeId="0">
      <text>
        <t>Close: HK$11.02
Date: 2025-02-11
Venue: Phillip (etnet; venues 10.96-11.12)
Source: etnet:ipo-info 暗盤數據</t>
      </text>
    </comment>
    <comment ref="AK311" authorId="1" shapeId="0">
      <text>
        <t>Hang Seng Commerce &amp; Industry sub-index
Previous trading close to listing-day close (2025-02-12).
Benchmark return in percent; not the index level or excess return.</t>
      </text>
    </comment>
    <comment ref="AP311" authorId="1" shapeId="0">
      <text>
        <t>Horizon close: 2025-02-19
5/21/63 traded sessions after debut; price-only return vs offer.</t>
      </text>
    </comment>
    <comment ref="AQ311" authorId="1" shapeId="0">
      <text>
        <t>Horizon close: 2025-03-13
5/21/63 traded sessions after debut; price-only return vs offer.</t>
      </text>
    </comment>
    <comment ref="AR311" authorId="1" shapeId="0">
      <text>
        <t>Horizon close: 2025-05-19
5/21/63 traded sessions after debut; price-only return vs offer.</t>
      </text>
    </comment>
    <comment ref="AI312" authorId="0" shapeId="0">
      <text>
        <t>Close: HK$250
Date: 2025-02-28
Venue: Futu (etnet; venues 250.0-257.0)
Source: etnet:ipo-info 暗盤數據</t>
      </text>
    </comment>
    <comment ref="AK312" authorId="1" shapeId="0">
      <text>
        <t>Hang Seng Commerce &amp; Industry sub-index
Previous trading close to listing-day close (2025-03-03).
Benchmark return in percent; not the index level or excess return.</t>
      </text>
    </comment>
    <comment ref="AP312" authorId="1" shapeId="0">
      <text>
        <t>Horizon close: 2025-03-10
5/21/63 traded sessions after debut; price-only return vs offer.</t>
      </text>
    </comment>
    <comment ref="AQ312" authorId="1" shapeId="0">
      <text>
        <t>Horizon close: 2025-04-01
5/21/63 traded sessions after debut; price-only return vs offer.</t>
      </text>
    </comment>
    <comment ref="AR312" authorId="1" shapeId="0">
      <text>
        <t>Horizon close: 2025-06-05
5/21/63 traded sessions after debut; price-only return vs offer.</t>
      </text>
    </comment>
    <comment ref="AI313" authorId="0" shapeId="0">
      <text>
        <t>Close: HK$13.68
Date: 2025-03-07
Venue: Phillip (etnet; venues 13.68-13.8)
Source: etnet:ipo-info 暗盤數據</t>
      </text>
    </comment>
    <comment ref="AK313" authorId="1" shapeId="0">
      <text>
        <t>Hang Seng Commerce &amp; Industry sub-index
Previous trading close to listing-day close (2025-03-10).
Benchmark return in percent; not the index level or excess return.</t>
      </text>
    </comment>
    <comment ref="AP313" authorId="1" shapeId="0">
      <text>
        <t>Horizon close: 2025-03-17
5/21/63 traded sessions after debut; price-only return vs offer.</t>
      </text>
    </comment>
    <comment ref="AQ313" authorId="1" shapeId="0">
      <text>
        <t>Horizon close: 2025-04-09
5/21/63 traded sessions after debut; price-only return vs offer.</t>
      </text>
    </comment>
    <comment ref="AR313" authorId="1" shapeId="0">
      <text>
        <t>Horizon close: 2025-06-12
5/21/63 traded sessions after debut; price-only return vs offer.</t>
      </text>
    </comment>
    <comment ref="AI314" authorId="0" shapeId="0">
      <text>
        <t>Close: HK$63.85
Date: 2025-03-20
Venue: Futu (etnet; venues 63.85-64.9)
Source: etnet:ipo-info 暗盤數據</t>
      </text>
    </comment>
    <comment ref="AK314" authorId="1" shapeId="0">
      <text>
        <t>China Biotech ETF (HS biotech proxy)
Previous trading close to listing-day close (2025-03-21).
Benchmark return in percent; not the index level or excess return.</t>
      </text>
    </comment>
    <comment ref="AP314" authorId="1" shapeId="0">
      <text>
        <t>Horizon close: 2025-03-28
5/21/63 traded sessions after debut; price-only return vs offer.</t>
      </text>
    </comment>
    <comment ref="AQ314" authorId="1" shapeId="0">
      <text>
        <t>Horizon close: 2025-04-24
5/21/63 traded sessions after debut; price-only return vs offer.</t>
      </text>
    </comment>
    <comment ref="AR314" authorId="1" shapeId="0">
      <text>
        <t>Horizon close: 2025-06-25
5/21/63 traded sessions after debut; price-only return vs offer.</t>
      </text>
    </comment>
    <comment ref="AI315" authorId="0" shapeId="0">
      <text>
        <t>Close: HK$26.4
Date: 2025-03-24
Venue: Futu (etnet; venues 26.4-26.7)
Source: etnet:ipo-info 暗盤數據</t>
      </text>
    </comment>
    <comment ref="AK315" authorId="1" shapeId="0">
      <text>
        <t>Hang Seng Commerce &amp; Industry sub-index
Previous trading close to listing-day close (2025-03-25).
Benchmark return in percent; not the index level or excess return.</t>
      </text>
    </comment>
    <comment ref="AP315" authorId="1" shapeId="0">
      <text>
        <t>Horizon close: 2025-04-01
5/21/63 traded sessions after debut; price-only return vs offer.</t>
      </text>
    </comment>
    <comment ref="AQ315" authorId="1" shapeId="0">
      <text>
        <t>Horizon close: 2025-04-28
5/21/63 traded sessions after debut; price-only return vs offer.</t>
      </text>
    </comment>
    <comment ref="AR315" authorId="1" shapeId="0">
      <text>
        <t>Horizon close: 2025-06-27
5/21/63 traded sessions after debut; price-only return vs offer.</t>
      </text>
    </comment>
    <comment ref="AI316" authorId="0" shapeId="0">
      <text>
        <t>Close: HK$0.5
Date: 2025-03-26
Venue: Phillip (etnet; venues 0.48-0.5)
Source: etnet:ipo-info 暗盤數據</t>
      </text>
    </comment>
    <comment ref="AK316" authorId="1" shapeId="0">
      <text>
        <t>Hang Seng Commerce &amp; Industry sub-index
Previous trading close to listing-day close (2025-03-27).
Benchmark return in percent; not the index level or excess return.</t>
      </text>
    </comment>
    <comment ref="AP316" authorId="1" shapeId="0">
      <text>
        <t>Horizon close: 2025-04-03
5/21/63 traded sessions after debut; price-only return vs offer.</t>
      </text>
    </comment>
    <comment ref="AQ316" authorId="1" shapeId="0">
      <text>
        <t>Horizon close: 2025-04-30
5/21/63 traded sessions after debut; price-only return vs offer.</t>
      </text>
    </comment>
    <comment ref="AR316" authorId="1" shapeId="0">
      <text>
        <t>Horizon close: 2025-07-02
5/21/63 traded sessions after debut; price-only return vs offer.</t>
      </text>
    </comment>
    <comment ref="AI317" authorId="0" shapeId="0">
      <text>
        <t>Close: HK$3.2
Date: 2025-03-28
Venue: Futu (etnet; venues 3.2-3.31)
Source: etnet:ipo-info 暗盤數據</t>
      </text>
    </comment>
    <comment ref="AK317" authorId="1" shapeId="0">
      <text>
        <t>Hang Seng Commerce &amp; Industry sub-index
Previous trading close to listing-day close (2025-03-31).
Benchmark return in percent; not the index level or excess return.</t>
      </text>
    </comment>
    <comment ref="AP317" authorId="1" shapeId="0">
      <text>
        <t>Horizon close: 2025-04-08
5/21/63 traded sessions after debut; price-only return vs offer.</t>
      </text>
    </comment>
    <comment ref="AQ317" authorId="1" shapeId="0">
      <text>
        <t>Horizon close: 2025-05-06
5/21/63 traded sessions after debut; price-only return vs offer.</t>
      </text>
    </comment>
    <comment ref="AR317" authorId="1" shapeId="0">
      <text>
        <t>Horizon close: 2025-07-04
5/21/63 traded sessions after debut; price-only return vs offer.</t>
      </text>
    </comment>
    <comment ref="AI318" authorId="0" shapeId="0">
      <text>
        <t>Close: HK$8.28
Date: 2025-04-11
Venue: Phillip (etnet; venues 8.2-8.33)
Source: etnet:ipo-info 暗盤數據</t>
      </text>
    </comment>
    <comment ref="AK318" authorId="1" shapeId="0">
      <text>
        <t>Hang Seng Commerce &amp; Industry sub-index
Previous trading close to listing-day close (2025-04-14).
Benchmark return in percent; not the index level or excess return.</t>
      </text>
    </comment>
    <comment ref="AP318" authorId="1" shapeId="0">
      <text>
        <t>Horizon close: 2025-04-23
5/21/63 traded sessions after debut; price-only return vs offer.</t>
      </text>
    </comment>
    <comment ref="AQ318" authorId="1" shapeId="0">
      <text>
        <t>Horizon close: 2025-05-19
5/21/63 traded sessions after debut; price-only return vs offer.</t>
      </text>
    </comment>
    <comment ref="AR318" authorId="1" shapeId="0">
      <text>
        <t>Horizon close: 2025-07-17
5/21/63 traded sessions after debut; price-only return vs offer.</t>
      </text>
    </comment>
    <comment ref="AI319" authorId="0" shapeId="0">
      <text>
        <t>Close: HK$173
Date: 2025-04-14
Venue: Phillip (etnet; venues 172.0-177.0)
Source: etnet:ipo-info 暗盤數據</t>
      </text>
    </comment>
    <comment ref="AK319" authorId="1" shapeId="0">
      <text>
        <t>China Biotech ETF (HS biotech proxy)
Previous trading close to listing-day close (2025-04-15).
Benchmark return in percent; not the index level or excess return.</t>
      </text>
    </comment>
    <comment ref="AP319" authorId="1" shapeId="0">
      <text>
        <t>Horizon close: 2025-04-24
5/21/63 traded sessions after debut; price-only return vs offer.</t>
      </text>
    </comment>
    <comment ref="AQ319" authorId="1" shapeId="0">
      <text>
        <t>Horizon close: 2025-05-20
5/21/63 traded sessions after debut; price-only return vs offer.</t>
      </text>
    </comment>
    <comment ref="AR319" authorId="1" shapeId="0">
      <text>
        <t>Horizon close: 2025-07-18
5/21/63 traded sessions after debut; price-only return vs offer.</t>
      </text>
    </comment>
    <comment ref="AI320" authorId="0" shapeId="0">
      <text>
        <t>Close: HK$25.8
Date: 2025-05-06
Venue: Futu (富途)
Source: press:HKET 博雷頓1333暗盤收升逾四成 (2025-05-06): 富途收報25.8元 +43.3%; 耀才25.75 +43.1%; 輝立25.45 +41.4%</t>
      </text>
    </comment>
    <comment ref="AK320" authorId="1" shapeId="0">
      <text>
        <t>Hang Seng Commerce &amp; Industry sub-index
Previous trading close to listing-day close (2025-05-07).
Benchmark return in percent; not the index level or excess return.</t>
      </text>
    </comment>
    <comment ref="AP320" authorId="1" shapeId="0">
      <text>
        <t>Horizon close: 2025-05-14
5/21/63 traded sessions after debut; price-only return vs offer.</t>
      </text>
    </comment>
    <comment ref="AQ320" authorId="1" shapeId="0">
      <text>
        <t>Horizon close: 2025-06-05
5/21/63 traded sessions after debut; price-only return vs offer.</t>
      </text>
    </comment>
    <comment ref="AR320" authorId="1" shapeId="0">
      <text>
        <t>Horizon close: 2025-08-05
5/21/63 traded sessions after debut; price-only return vs offer.</t>
      </text>
    </comment>
    <comment ref="AI321" authorId="0" shapeId="0">
      <text>
        <t>Close: HK$22.15
Date: 2025-05-07
Venue: Phillip (etnet; venues 21.55-22.15)
Source: etnet:ipo-info 暗盤數據</t>
      </text>
    </comment>
    <comment ref="AK321" authorId="1" shapeId="0">
      <text>
        <t>Hang Seng Commerce &amp; Industry sub-index
Previous trading close to listing-day close (2025-05-08).
Benchmark return in percent; not the index level or excess return.</t>
      </text>
    </comment>
    <comment ref="AP321" authorId="1" shapeId="0">
      <text>
        <t>Horizon close: 2025-05-15
5/21/63 traded sessions after debut; price-only return vs offer.</t>
      </text>
    </comment>
    <comment ref="AQ321" authorId="1" shapeId="0">
      <text>
        <t>Horizon close: 2025-06-06
5/21/63 traded sessions after debut; price-only return vs offer.</t>
      </text>
    </comment>
    <comment ref="AR321" authorId="1" shapeId="0">
      <text>
        <t>Horizon close: 2025-08-06
5/21/63 traded sessions after debut; price-only return vs offer.</t>
      </text>
    </comment>
    <comment ref="AI322" authorId="0" shapeId="0">
      <text>
        <t>Close: HK$183.8
Date: 2025-05-07
Venue: Futu (etnet; venues 183.3-184.5)
Source: etnet:ipo-info 暗盤數據</t>
      </text>
    </comment>
    <comment ref="AK322" authorId="1" shapeId="0">
      <text>
        <t>Hang Seng Commerce &amp; Industry sub-index
Previous trading close to listing-day close (2025-05-08).
Benchmark return in percent; not the index level or excess return.</t>
      </text>
    </comment>
    <comment ref="AP322" authorId="1" shapeId="0">
      <text>
        <t>Horizon close: 2025-05-15
5/21/63 traded sessions after debut; price-only return vs offer.</t>
      </text>
    </comment>
    <comment ref="AQ322" authorId="1" shapeId="0">
      <text>
        <t>Horizon close: 2025-06-06
5/21/63 traded sessions after debut; price-only return vs offer.</t>
      </text>
    </comment>
    <comment ref="AR322" authorId="1" shapeId="0">
      <text>
        <t>Horizon close: 2025-08-06
5/21/63 traded sessions after debut; price-only return vs offer.</t>
      </text>
    </comment>
    <comment ref="AI323" authorId="0" shapeId="0">
      <text>
        <t>Close: HK$6.64
Date: 2025-05-15
Venue: Phillip (etnet; venues 6.63-6.64)
Source: etnet:ipo-info 暗盤數據</t>
      </text>
    </comment>
    <comment ref="AK323" authorId="1" shapeId="0">
      <text>
        <t>Hang Seng Commerce &amp; Industry sub-index
Previous trading close to listing-day close (2025-05-16).
Benchmark return in percent; not the index level or excess return.</t>
      </text>
    </comment>
    <comment ref="AP323" authorId="1" shapeId="0">
      <text>
        <t>Horizon close: 2025-05-23
5/21/63 traded sessions after debut; price-only return vs offer.</t>
      </text>
    </comment>
    <comment ref="AQ323" authorId="1" shapeId="0">
      <text>
        <t>Horizon close: 2025-06-16
5/21/63 traded sessions after debut; price-only return vs offer.</t>
      </text>
    </comment>
    <comment ref="AR323" authorId="1" shapeId="0">
      <text>
        <t>Horizon close: 2025-08-14
5/21/63 traded sessions after debut; price-only return vs offer.</t>
      </text>
    </comment>
    <comment ref="AI324" authorId="0" shapeId="0">
      <text>
        <t>Close: HK$284.8
Date: 2025-05-19
Venue: Futu (etnet; venues 284.8-287.0)
Source: etnet:ipo-info 暗盤數據</t>
      </text>
    </comment>
    <comment ref="AK324" authorId="1" shapeId="0">
      <text>
        <t>Hang Seng Commerce &amp; Industry sub-index
Previous trading close to listing-day close (2025-05-20).
Benchmark return in percent; not the index level or excess return.</t>
      </text>
    </comment>
    <comment ref="AP324" authorId="1" shapeId="0">
      <text>
        <t>Horizon close: 2025-05-27
5/21/63 traded sessions after debut; price-only return vs offer.</t>
      </text>
    </comment>
    <comment ref="AQ324" authorId="1" shapeId="0">
      <text>
        <t>Horizon close: 2025-06-18
5/21/63 traded sessions after debut; price-only return vs offer.</t>
      </text>
    </comment>
    <comment ref="AR324" authorId="1" shapeId="0">
      <text>
        <t>Horizon close: 2025-08-18
5/21/63 traded sessions after debut; price-only return vs offer.</t>
      </text>
    </comment>
    <comment ref="AI325" authorId="0" shapeId="0">
      <text>
        <t>Close: HK$31.2
Date: 2025-05-22
Venue: Phillip (etnet; venues 31.0-31.4)
Source: etnet:ipo-info 暗盤數據</t>
      </text>
    </comment>
    <comment ref="AK325" authorId="1" shapeId="0">
      <text>
        <t>China Biotech ETF (HS biotech proxy)
Previous trading close to listing-day close (2025-05-23).
Benchmark return in percent; not the index level or excess return.</t>
      </text>
    </comment>
    <comment ref="AP325" authorId="1" shapeId="0">
      <text>
        <t>Horizon close: 2025-05-30
5/21/63 traded sessions after debut; price-only return vs offer.</t>
      </text>
    </comment>
    <comment ref="AQ325" authorId="1" shapeId="0">
      <text>
        <t>Horizon close: 2025-06-23
5/21/63 traded sessions after debut; price-only return vs offer.</t>
      </text>
    </comment>
    <comment ref="AR325" authorId="1" shapeId="0">
      <text>
        <t>Horizon close: 2025-08-21
5/21/63 traded sessions after debut; price-only return vs offer.</t>
      </text>
    </comment>
    <comment ref="AI326" authorId="0" shapeId="0">
      <text>
        <t>Close: HK$58.25
Date: 2025-05-22
Venue: Futu (etnet; venues 58.25-58.85)
Source: etnet:ipo-info 暗盤數據</t>
      </text>
    </comment>
    <comment ref="AK326" authorId="1" shapeId="0">
      <text>
        <t>China Biotech ETF (HS biotech proxy)
Previous trading close to listing-day close (2025-05-23).
Benchmark return in percent; not the index level or excess return.</t>
      </text>
    </comment>
    <comment ref="AP326" authorId="1" shapeId="0">
      <text>
        <t>Horizon close: 2025-05-30
5/21/63 traded sessions after debut; price-only return vs offer.</t>
      </text>
    </comment>
    <comment ref="AQ326" authorId="1" shapeId="0">
      <text>
        <t>Horizon close: 2025-06-23
5/21/63 traded sessions after debut; price-only return vs offer.</t>
      </text>
    </comment>
    <comment ref="AR326" authorId="1" shapeId="0">
      <text>
        <t>Horizon close: 2025-08-21
5/21/63 traded sessions after debut; price-only return vs offer.</t>
      </text>
    </comment>
    <comment ref="AI327" authorId="0" shapeId="0">
      <text>
        <t>Close: HK$14.84
Date: 2025-05-26
Venue: Futu (etnet; venues 14.84-15.12)
Source: etnet:ipo-info 暗盤數據</t>
      </text>
    </comment>
    <comment ref="AK327" authorId="1" shapeId="0">
      <text>
        <t>China Biotech ETF (HS biotech proxy)
Previous trading close to listing-day close (2025-05-27).
Benchmark return in percent; not the index level or excess return.</t>
      </text>
    </comment>
    <comment ref="AP327" authorId="1" shapeId="0">
      <text>
        <t>Horizon close: 2025-06-03
5/21/63 traded sessions after debut; price-only return vs offer.</t>
      </text>
    </comment>
    <comment ref="AQ327" authorId="1" shapeId="0">
      <text>
        <t>Horizon close: 2025-06-25
5/21/63 traded sessions after debut; price-only return vs offer.</t>
      </text>
    </comment>
    <comment ref="AR327" authorId="1" shapeId="0">
      <text>
        <t>Horizon close: 2025-08-25
5/21/63 traded sessions after debut; price-only return vs offer.</t>
      </text>
    </comment>
    <comment ref="AI328" authorId="0" shapeId="0">
      <text>
        <t>Close: HK$9.51
Date: 2025-05-26
Venue: Futu (etnet; venues 9.51-9.7)
Source: etnet:ipo-info 暗盤數據</t>
      </text>
    </comment>
    <comment ref="AK328" authorId="1" shapeId="0">
      <text>
        <t>HSTECH (Hang Seng TECH ETF)
Previous trading close to listing-day close (2025-05-27).
Benchmark return in percent; not the index level or excess return.</t>
      </text>
    </comment>
    <comment ref="AP328" authorId="1" shapeId="0">
      <text>
        <t>Horizon close: 2025-06-03
5/21/63 traded sessions after debut; price-only return vs offer.</t>
      </text>
    </comment>
    <comment ref="AQ328" authorId="1" shapeId="0">
      <text>
        <t>Horizon close: 2025-06-25
5/21/63 traded sessions after debut; price-only return vs offer.</t>
      </text>
    </comment>
    <comment ref="AR328" authorId="1" shapeId="0">
      <text>
        <t>Horizon close: 2025-08-25
5/21/63 traded sessions after debut; price-only return vs offer.</t>
      </text>
    </comment>
    <comment ref="AI329" authorId="0" shapeId="0">
      <text>
        <t>Close: HK$7.95
Date: 2025-05-29
Venue: Phillip (etnet; venues 7.59-7.95)
Source: etnet:ipo-info 暗盤數據</t>
      </text>
    </comment>
    <comment ref="AK329" authorId="1" shapeId="0">
      <text>
        <t>Hang Seng Finance sub-index
Previous trading close to listing-day close (2025-05-30).
Benchmark return in percent; not the index level or excess return.</t>
      </text>
    </comment>
    <comment ref="AP329" authorId="1" shapeId="0">
      <text>
        <t>Horizon close: 2025-06-06
5/21/63 traded sessions after debut; price-only return vs offer.</t>
      </text>
    </comment>
    <comment ref="AQ329" authorId="1" shapeId="0">
      <text>
        <t>Horizon close: 2025-06-30
5/21/63 traded sessions after debut; price-only return vs offer.</t>
      </text>
    </comment>
    <comment ref="AR329" authorId="1" shapeId="0">
      <text>
        <t>Horizon close: 2025-08-28
5/21/63 traded sessions after debut; price-only return vs offer.</t>
      </text>
    </comment>
    <comment ref="AI330" authorId="0" shapeId="0">
      <text>
        <t>Close: HK$17.6
Date: 2025-06-09
Venue: Phillip (etnet; venues 17.48-17.88)
Source: etnet:ipo-info 暗盤數據</t>
      </text>
    </comment>
    <comment ref="AK330" authorId="1" shapeId="0">
      <text>
        <t>HSTECH (Hang Seng TECH ETF)
Previous trading close to listing-day close (2025-06-10).
Benchmark return in percent; not the index level or excess return.</t>
      </text>
    </comment>
    <comment ref="AP330" authorId="1" shapeId="0">
      <text>
        <t>Horizon close: 2025-06-17
5/21/63 traded sessions after debut; price-only return vs offer.</t>
      </text>
    </comment>
    <comment ref="AQ330" authorId="1" shapeId="0">
      <text>
        <t>Horizon close: 2025-07-10
5/21/63 traded sessions after debut; price-only return vs offer.</t>
      </text>
    </comment>
    <comment ref="AR330" authorId="1" shapeId="0">
      <text>
        <t>Horizon close: 2025-09-08
5/21/63 traded sessions after debut; price-only return vs offer.</t>
      </text>
    </comment>
    <comment ref="AI331" authorId="0" shapeId="0">
      <text>
        <t>Close: HK$32.6
Date: 2025-06-09
Venue: Phillip (etnet; venues 32.6-33.5)
Source: etnet:ipo-info 暗盤數據</t>
      </text>
    </comment>
    <comment ref="AK331" authorId="1" shapeId="0">
      <text>
        <t>Hang Seng Commerce &amp; Industry sub-index
Previous trading close to listing-day close (2025-06-10).
Benchmark return in percent; not the index level or excess return.</t>
      </text>
    </comment>
    <comment ref="AP331" authorId="1" shapeId="0">
      <text>
        <t>Horizon close: 2025-06-17
5/21/63 traded sessions after debut; price-only return vs offer.</t>
      </text>
    </comment>
    <comment ref="AQ331" authorId="1" shapeId="0">
      <text>
        <t>Horizon close: 2025-07-10
5/21/63 traded sessions after debut; price-only return vs offer.</t>
      </text>
    </comment>
    <comment ref="AR331" authorId="1" shapeId="0">
      <text>
        <t>Horizon close: 2025-09-08
5/21/63 traded sessions after debut; price-only return vs offer.</t>
      </text>
    </comment>
    <comment ref="AI332" authorId="0" shapeId="0">
      <text>
        <t>Close: HK$8.31
Date: 2025-06-09
Venue: Phillip (etnet; venues 8.31-8.7)
Source: etnet:ipo-info 暗盤數據</t>
      </text>
    </comment>
    <comment ref="AK332" authorId="1" shapeId="0">
      <text>
        <t>HSTECH (Hang Seng TECH ETF)
Previous trading close to listing-day close (2025-06-10).
Benchmark return in percent; not the index level or excess return.</t>
      </text>
    </comment>
    <comment ref="AP332" authorId="1" shapeId="0">
      <text>
        <t>Horizon close: 2025-06-17
5/21/63 traded sessions after debut; price-only return vs offer.</t>
      </text>
    </comment>
    <comment ref="AQ332" authorId="1" shapeId="0">
      <text>
        <t>Horizon close: 2025-07-10
5/21/63 traded sessions after debut; price-only return vs offer.</t>
      </text>
    </comment>
    <comment ref="AR332" authorId="1" shapeId="0">
      <text>
        <t>Horizon close: 2025-09-08
5/21/63 traded sessions after debut; price-only return vs offer.</t>
      </text>
    </comment>
    <comment ref="AI333" authorId="0" shapeId="0">
      <text>
        <t>Close: HK$38.2
Date: 2025-06-18
Venue: Phillip (etnet; venues 37.7-38.2)
Source: etnet:ipo-info 暗盤數據</t>
      </text>
    </comment>
    <comment ref="AK333" authorId="1" shapeId="0">
      <text>
        <t>Hang Seng Commerce &amp; Industry sub-index
Previous trading close to listing-day close (2025-06-19).
Benchmark return in percent; not the index level or excess return.</t>
      </text>
    </comment>
    <comment ref="AP333" authorId="1" shapeId="0">
      <text>
        <t>Horizon close: 2025-06-26
5/21/63 traded sessions after debut; price-only return vs offer.</t>
      </text>
    </comment>
    <comment ref="AQ333" authorId="1" shapeId="0">
      <text>
        <t>Horizon close: 2025-07-21
5/21/63 traded sessions after debut; price-only return vs offer.</t>
      </text>
    </comment>
    <comment ref="AR333" authorId="1" shapeId="0">
      <text>
        <t>Horizon close: 2025-09-17
5/21/63 traded sessions after debut; price-only return vs offer.</t>
      </text>
    </comment>
    <comment ref="AI334" authorId="0" shapeId="0">
      <text>
        <t>Close: HK$5.31
Date: 2025-06-20
Venue: three venues, range (5.25-5.37, midpoint shown)
Source: press:HKET 佰澤醫療2609 (2025-06-20): 暗盤收報5.25至5.37元，升24.4%至27.3%; offer 4.22; midpoint shown</t>
      </text>
    </comment>
    <comment ref="AK334" authorId="1" shapeId="0">
      <text>
        <t>China Biotech ETF (HS biotech proxy)
Previous trading close to listing-day close (2025-06-23).
Benchmark return in percent; not the index level or excess return.</t>
      </text>
    </comment>
    <comment ref="AP334" authorId="1" shapeId="0">
      <text>
        <t>Horizon close: 2025-06-30
5/21/63 traded sessions after debut; price-only return vs offer.</t>
      </text>
    </comment>
    <comment ref="AQ334" authorId="1" shapeId="0">
      <text>
        <t>Horizon close: 2025-07-23
5/21/63 traded sessions after debut; price-only return vs offer.</t>
      </text>
    </comment>
    <comment ref="AR334" authorId="1" shapeId="0">
      <text>
        <t>Horizon close: 2025-09-19
5/21/63 traded sessions after debut; price-only return vs offer.</t>
      </text>
    </comment>
    <comment ref="AI335" authorId="0" shapeId="0">
      <text>
        <t>Close: HK$21.85
Date: 2025-06-20
Venue: Phillip (etnet; venues 21.65-21.85)
Source: etnet:ipo-info 暗盤數據</t>
      </text>
    </comment>
    <comment ref="AK335" authorId="1" shapeId="0">
      <text>
        <t>Hang Seng Commerce &amp; Industry sub-index
Previous trading close to listing-day close (2025-06-23).
Benchmark return in percent; not the index level or excess return.</t>
      </text>
    </comment>
    <comment ref="AP335" authorId="1" shapeId="0">
      <text>
        <t>Horizon close: 2025-06-30
5/21/63 traded sessions after debut; price-only return vs offer.</t>
      </text>
    </comment>
    <comment ref="AQ335" authorId="1" shapeId="0">
      <text>
        <t>Horizon close: 2025-07-23
5/21/63 traded sessions after debut; price-only return vs offer.</t>
      </text>
    </comment>
    <comment ref="AR335" authorId="1" shapeId="0">
      <text>
        <t>Horizon close: 2025-09-19
5/21/63 traded sessions after debut; price-only return vs offer.</t>
      </text>
    </comment>
    <comment ref="AI336" authorId="0" shapeId="0">
      <text>
        <t>Close: HK$22.25
Date: 2025-06-20
Venue: Futu (etnet; venues 22.2-22.9)
Source: etnet:ipo-info 暗盤數據</t>
      </text>
    </comment>
    <comment ref="AK336" authorId="1" shapeId="0">
      <text>
        <t>China Biotech ETF (HS biotech proxy)
Previous trading close to listing-day close (2025-06-23).
Benchmark return in percent; not the index level or excess return.</t>
      </text>
    </comment>
    <comment ref="AP336" authorId="1" shapeId="0">
      <text>
        <t>Horizon close: 2025-06-30
5/21/63 traded sessions after debut; price-only return vs offer.</t>
      </text>
    </comment>
    <comment ref="AQ336" authorId="1" shapeId="0">
      <text>
        <t>Horizon close: 2025-07-23
5/21/63 traded sessions after debut; price-only return vs offer.</t>
      </text>
    </comment>
    <comment ref="AR336" authorId="1" shapeId="0">
      <text>
        <t>Horizon close: 2025-09-19
5/21/63 traded sessions after debut; price-only return vs offer.</t>
      </text>
    </comment>
    <comment ref="AI337" authorId="0" shapeId="0">
      <text>
        <t>Close: HK$2.72
Date: 2025-06-24
Venue: Phillip (etnet; venues 2.72-2.78)
Source: etnet:ipo-info 暗盤數據</t>
      </text>
    </comment>
    <comment ref="AK337" authorId="1" shapeId="0">
      <text>
        <t>HSTECH (Hang Seng TECH ETF)
Previous trading close to listing-day close (2025-06-25).
Benchmark return in percent; not the index level or excess return.</t>
      </text>
    </comment>
    <comment ref="AP337" authorId="1" shapeId="0">
      <text>
        <t>Horizon close: 2025-07-03
5/21/63 traded sessions after debut; price-only return vs offer.</t>
      </text>
    </comment>
    <comment ref="AQ337" authorId="1" shapeId="0">
      <text>
        <t>Horizon close: 2025-07-25
5/21/63 traded sessions after debut; price-only return vs offer.</t>
      </text>
    </comment>
    <comment ref="AR337" authorId="1" shapeId="0">
      <text>
        <t>Horizon close: 2025-09-23
5/21/63 traded sessions after debut; price-only return vs offer.</t>
      </text>
    </comment>
    <comment ref="AI338" authorId="0" shapeId="0">
      <text>
        <t>Close: HK$36
Date: 2025-06-24
Venue: Phillip (etnet; venues 34.9-36.0)
Source: etnet:ipo-info 暗盤數據</t>
      </text>
    </comment>
    <comment ref="AK338" authorId="1" shapeId="0">
      <text>
        <t>HSTECH (Hang Seng TECH ETF)
Previous trading close to listing-day close (2025-06-25).
Benchmark return in percent; not the index level or excess return.</t>
      </text>
    </comment>
    <comment ref="AP338" authorId="1" shapeId="0">
      <text>
        <t>Horizon close: 2025-07-03
5/21/63 traded sessions after debut; price-only return vs offer.</t>
      </text>
    </comment>
    <comment ref="AQ338" authorId="1" shapeId="0">
      <text>
        <t>Horizon close: 2025-07-25
5/21/63 traded sessions after debut; price-only return vs offer.</t>
      </text>
    </comment>
    <comment ref="AR338" authorId="1" shapeId="0">
      <text>
        <t>Horizon close: 2025-09-23
5/21/63 traded sessions after debut; price-only return vs offer.</t>
      </text>
    </comment>
    <comment ref="AI339" authorId="0" shapeId="0">
      <text>
        <t>Close: HK$27.1
Date: 2025-06-25
Venue: Phillip (etnet; venues 26.85-27.1)
Source: etnet:ipo-info 暗盤數據</t>
      </text>
    </comment>
    <comment ref="AK339" authorId="1" shapeId="0">
      <text>
        <t>Hang Seng Commerce &amp; Industry sub-index
Previous trading close to listing-day close (2025-06-26).
Benchmark return in percent; not the index level or excess return.</t>
      </text>
    </comment>
    <comment ref="AP339" authorId="1" shapeId="0">
      <text>
        <t>Horizon close: 2025-07-04
5/21/63 traded sessions after debut; price-only return vs offer.</t>
      </text>
    </comment>
    <comment ref="AQ339" authorId="1" shapeId="0">
      <text>
        <t>Horizon close: 2025-07-28
5/21/63 traded sessions after debut; price-only return vs offer.</t>
      </text>
    </comment>
    <comment ref="AR339" authorId="1" shapeId="0">
      <text>
        <t>Horizon close: 2025-09-24
5/21/63 traded sessions after debut; price-only return vs offer.</t>
      </text>
    </comment>
    <comment ref="AI340" authorId="0" shapeId="0">
      <text>
        <t>Close: HK$8.02
Date: 2025-06-25
Venue: Futu (etnet; venues 8.0-8.05)
Source: etnet:ipo-info 暗盤數據</t>
      </text>
    </comment>
    <comment ref="AK340" authorId="1" shapeId="0">
      <text>
        <t>China Biotech ETF (HS biotech proxy)
Previous trading close to listing-day close (2025-06-26).
Benchmark return in percent; not the index level or excess return.</t>
      </text>
    </comment>
    <comment ref="AP340" authorId="1" shapeId="0">
      <text>
        <t>Horizon close: 2025-07-04
5/21/63 traded sessions after debut; price-only return vs offer.</t>
      </text>
    </comment>
    <comment ref="AQ340" authorId="1" shapeId="0">
      <text>
        <t>Horizon close: 2025-07-28
5/21/63 traded sessions after debut; price-only return vs offer.</t>
      </text>
    </comment>
    <comment ref="AR340" authorId="1" shapeId="0">
      <text>
        <t>Horizon close: 2025-09-24
5/21/63 traded sessions after debut; price-only return vs offer.</t>
      </text>
    </comment>
    <comment ref="AI341" authorId="0" shapeId="0">
      <text>
        <t>Close: HK$2.81
Date: 2025-06-25
Venue: Phillip (etnet; venues 2.74-2.82)
Source: etnet:ipo-info 暗盤數據</t>
      </text>
    </comment>
    <comment ref="AK341" authorId="1" shapeId="0">
      <text>
        <t>Hang Seng Commerce &amp; Industry sub-index
Previous trading close to listing-day close (2025-06-26).
Benchmark return in percent; not the index level or excess return.</t>
      </text>
    </comment>
    <comment ref="AP341" authorId="1" shapeId="0">
      <text>
        <t>Horizon close: 2025-07-04
5/21/63 traded sessions after debut; price-only return vs offer.</t>
      </text>
    </comment>
    <comment ref="AQ341" authorId="1" shapeId="0">
      <text>
        <t>Horizon close: 2025-07-28
5/21/63 traded sessions after debut; price-only return vs offer.</t>
      </text>
    </comment>
    <comment ref="AR341" authorId="1" shapeId="0">
      <text>
        <t>Horizon close: 2025-09-24
5/21/63 traded sessions after debut; price-only return vs offer.</t>
      </text>
    </comment>
    <comment ref="AI342" authorId="0" shapeId="0">
      <text>
        <t>Close: HK$199.1
Date: 2025-06-27
Venue: Futu (etnet; venues 198.0-200.0)
Source: etnet:ipo-info 暗盤數據</t>
      </text>
    </comment>
    <comment ref="AK342" authorId="1" shapeId="0">
      <text>
        <t>HSTECH (Hang Seng TECH ETF)
Previous trading close to listing-day close (2025-06-30).
Benchmark return in percent; not the index level or excess return.</t>
      </text>
    </comment>
    <comment ref="AP342" authorId="1" shapeId="0">
      <text>
        <t>Horizon close: 2025-07-08
5/21/63 traded sessions after debut; price-only return vs offer.</t>
      </text>
    </comment>
    <comment ref="AQ342" authorId="1" shapeId="0">
      <text>
        <t>Horizon close: 2025-07-30
5/21/63 traded sessions after debut; price-only return vs offer.</t>
      </text>
    </comment>
    <comment ref="AR342" authorId="1" shapeId="0">
      <text>
        <t>Horizon close: 2025-09-26
5/21/63 traded sessions after debut; price-only return vs offer.</t>
      </text>
    </comment>
    <comment ref="AI343" authorId="0" shapeId="0">
      <text>
        <t>Close: HK$31.15
Date: 2025-06-27
Venue: Futu (etnet; venues 31.15-32.0)
Source: etnet:ipo-info 暗盤數據</t>
      </text>
    </comment>
    <comment ref="AK343" authorId="1" shapeId="0">
      <text>
        <t>China Biotech ETF (HS biotech proxy)
Previous trading close to listing-day close (2025-06-30).
Benchmark return in percent; not the index level or excess return.</t>
      </text>
    </comment>
    <comment ref="AP343" authorId="1" shapeId="0">
      <text>
        <t>Horizon close: 2025-07-08
5/21/63 traded sessions after debut; price-only return vs offer.</t>
      </text>
    </comment>
    <comment ref="AQ343" authorId="1" shapeId="0">
      <text>
        <t>Horizon close: 2025-07-30
5/21/63 traded sessions after debut; price-only return vs offer.</t>
      </text>
    </comment>
    <comment ref="AR343" authorId="1" shapeId="0">
      <text>
        <t>Horizon close: 2025-09-26
5/21/63 traded sessions after debut; price-only return vs offer.</t>
      </text>
    </comment>
    <comment ref="AI344" authorId="0" shapeId="0">
      <text>
        <t>Close: HK$44.75
Date: 2025-06-27
Venue: Futu (etnet; venues 43.9-44.75)
Source: etnet:ipo-info 暗盤數據</t>
      </text>
    </comment>
    <comment ref="AK344" authorId="1" shapeId="0">
      <text>
        <t>Hang Seng Commerce &amp; Industry sub-index
Previous trading close to listing-day close (2025-06-30).
Benchmark return in percent; not the index level or excess return.</t>
      </text>
    </comment>
    <comment ref="AP344" authorId="1" shapeId="0">
      <text>
        <t>Horizon close: 2025-07-08
5/21/63 traded sessions after debut; price-only return vs offer.</t>
      </text>
    </comment>
    <comment ref="AQ344" authorId="1" shapeId="0">
      <text>
        <t>Horizon close: 2025-07-30
5/21/63 traded sessions after debut; price-only return vs offer.</t>
      </text>
    </comment>
    <comment ref="AR344" authorId="1" shapeId="0">
      <text>
        <t>Horizon close: 2025-09-26
5/21/63 traded sessions after debut; price-only return vs offer.</t>
      </text>
    </comment>
    <comment ref="AI345" authorId="0" shapeId="0">
      <text>
        <t>Close: HK$10.46
Date: 2025-07-02
Venue: Futu (etnet; venues 10.46-10.6)
Source: etnet:ipo-info 暗盤數據</t>
      </text>
    </comment>
    <comment ref="AK345" authorId="1" shapeId="0">
      <text>
        <t>China Biotech ETF (HS biotech proxy)
Previous trading close to listing-day close (2025-07-03).
Benchmark return in percent; not the index level or excess return.</t>
      </text>
    </comment>
    <comment ref="AP345" authorId="1" shapeId="0">
      <text>
        <t>Horizon close: 2025-07-10
5/21/63 traded sessions after debut; price-only return vs offer.</t>
      </text>
    </comment>
    <comment ref="AQ345" authorId="1" shapeId="0">
      <text>
        <t>Horizon close: 2025-08-01
5/21/63 traded sessions after debut; price-only return vs offer.</t>
      </text>
    </comment>
    <comment ref="AR345" authorId="1" shapeId="0">
      <text>
        <t>Horizon close: 2025-09-30
5/21/63 traded sessions after debut; price-only return vs offer.</t>
      </text>
    </comment>
    <comment ref="AI346" authorId="0" shapeId="0">
      <text>
        <t>Close: HK$59.6
Date: 2025-07-03
Venue: Phillip (etnet; venues 59.6-59.9)
Source: etnet:ipo-info 暗盤數據</t>
      </text>
    </comment>
    <comment ref="AK346" authorId="1" shapeId="0">
      <text>
        <t>Hang Seng Commerce &amp; Industry sub-index
Previous trading close to listing-day close (2025-07-04).
Benchmark return in percent; not the index level or excess return.</t>
      </text>
    </comment>
    <comment ref="AP346" authorId="1" shapeId="0">
      <text>
        <t>Horizon close: 2025-07-11
5/21/63 traded sessions after debut; price-only return vs offer.</t>
      </text>
    </comment>
    <comment ref="AQ346" authorId="1" shapeId="0">
      <text>
        <t>Horizon close: 2025-08-04
5/21/63 traded sessions after debut; price-only return vs offer.</t>
      </text>
    </comment>
    <comment ref="AR346" authorId="1" shapeId="0">
      <text>
        <t>Horizon close: 2025-10-02
5/21/63 traded sessions after debut; price-only return vs offer.</t>
      </text>
    </comment>
    <comment ref="AI347" authorId="0" shapeId="0">
      <text>
        <t>follow-on public offering by an already-listed stock (dual-primary listed Dec 2022); no grey session</t>
      </text>
    </comment>
    <comment ref="AK347" authorId="1" shapeId="0">
      <text>
        <t>HSTECH (Hang Seng TECH ETF)
Previous trading close to listing-day close (2025-07-04).
Benchmark return in percent; not the index level or excess return.</t>
      </text>
    </comment>
    <comment ref="AP347" authorId="1" shapeId="0">
      <text>
        <t>Horizon close: 2025-07-11
5/21/63 traded sessions after debut; price-only return vs offer.</t>
      </text>
    </comment>
    <comment ref="AQ347" authorId="1" shapeId="0">
      <text>
        <t>Horizon close: 2025-08-04
5/21/63 traded sessions after debut; price-only return vs offer.</t>
      </text>
    </comment>
    <comment ref="AR347" authorId="1" shapeId="0">
      <text>
        <t>Horizon close: 2025-10-02
5/21/63 traded sessions after debut; price-only return vs offer.</t>
      </text>
    </comment>
    <comment ref="AI348" authorId="0" shapeId="0">
      <text>
        <t>Close: HK$36.75
Date: 2025-07-04
Venue: Phillip (etnet; venues 36.5-36.75)
Source: etnet:ipo-info 暗盤數據</t>
      </text>
    </comment>
    <comment ref="AK348" authorId="1" shapeId="0">
      <text>
        <t>Hang Seng Finance sub-index
Previous trading close to listing-day close (2025-07-07).
Benchmark return in percent; not the index level or excess return.</t>
      </text>
    </comment>
    <comment ref="AP348" authorId="1" shapeId="0">
      <text>
        <t>Horizon close: 2025-07-14
5/21/63 traded sessions after debut; price-only return vs offer.</t>
      </text>
    </comment>
    <comment ref="AQ348" authorId="1" shapeId="0">
      <text>
        <t>Horizon close: 2025-08-05
5/21/63 traded sessions after debut; price-only return vs offer.</t>
      </text>
    </comment>
    <comment ref="AR348" authorId="1" shapeId="0">
      <text>
        <t>Horizon close: 2025-10-03
5/21/63 traded sessions after debut; price-only return vs offer.</t>
      </text>
    </comment>
    <comment ref="AI349" authorId="0" shapeId="0">
      <text>
        <t>Close: HK$23.65
Date: 2025-07-08
Venue: Futu (etnet; venues 23.5-23.8)
Source: etnet:ipo-info 暗盤數據</t>
      </text>
    </comment>
    <comment ref="AK349" authorId="1" shapeId="0">
      <text>
        <t>China Biotech ETF (HS biotech proxy)
Previous trading close to listing-day close (2025-07-09).
Benchmark return in percent; not the index level or excess return.</t>
      </text>
    </comment>
    <comment ref="AP349" authorId="1" shapeId="0">
      <text>
        <t>Horizon close: 2025-07-16
5/21/63 traded sessions after debut; price-only return vs offer.</t>
      </text>
    </comment>
    <comment ref="AQ349" authorId="1" shapeId="0">
      <text>
        <t>Horizon close: 2025-08-07
5/21/63 traded sessions after debut; price-only return vs offer.</t>
      </text>
    </comment>
    <comment ref="AR349" authorId="1" shapeId="0">
      <text>
        <t>Horizon close: 2025-10-08
5/21/63 traded sessions after debut; price-only return vs offer.</t>
      </text>
    </comment>
    <comment ref="AI350" authorId="0" shapeId="0">
      <text>
        <t>Close: HK$16.58
Date: 2025-07-08
Venue: Phillip (etnet; venues 16.5-16.64)
Source: etnet:ipo-info 暗盤數據</t>
      </text>
    </comment>
    <comment ref="AK350" authorId="1" shapeId="0">
      <text>
        <t>HSTECH (Hang Seng TECH ETF)
Previous trading close to listing-day close (2025-07-09).
Benchmark return in percent; not the index level or excess return.</t>
      </text>
    </comment>
    <comment ref="AP350" authorId="1" shapeId="0">
      <text>
        <t>Horizon close: 2025-07-16
5/21/63 traded sessions after debut; price-only return vs offer.</t>
      </text>
    </comment>
    <comment ref="AQ350" authorId="1" shapeId="0">
      <text>
        <t>Horizon close: 2025-08-07
5/21/63 traded sessions after debut; price-only return vs offer.</t>
      </text>
    </comment>
    <comment ref="AR350" authorId="1" shapeId="0">
      <text>
        <t>Horizon close: 2025-10-08
5/21/63 traded sessions after debut; price-only return vs offer.</t>
      </text>
    </comment>
    <comment ref="AI351" authorId="0" shapeId="0">
      <text>
        <t>Close: HK$13.78
Date: 2025-07-08
Venue: Futu (etnet; venues 13.78-14.28)
Source: etnet:ipo-info 暗盤數據</t>
      </text>
    </comment>
    <comment ref="AK351" authorId="1" shapeId="0">
      <text>
        <t>HSTECH (Hang Seng TECH ETF)
Previous trading close to listing-day close (2025-07-09).
Benchmark return in percent; not the index level or excess return.</t>
      </text>
    </comment>
    <comment ref="AP351" authorId="1" shapeId="0">
      <text>
        <t>Horizon close: 2025-07-16
5/21/63 traded sessions after debut; price-only return vs offer.</t>
      </text>
    </comment>
    <comment ref="AQ351" authorId="1" shapeId="0">
      <text>
        <t>Horizon close: 2025-08-07
5/21/63 traded sessions after debut; price-only return vs offer.</t>
      </text>
    </comment>
    <comment ref="AR351" authorId="1" shapeId="0">
      <text>
        <t>Horizon close: 2025-10-08
5/21/63 traded sessions after debut; price-only return vs offer.</t>
      </text>
    </comment>
    <comment ref="AI352" authorId="0" shapeId="0">
      <text>
        <t>Close: HK$128.9
Date: 2025-07-08
Venue: Phillip (etnet; venues 127.5-128.9)
Source: etnet:ipo-info 暗盤數據</t>
      </text>
    </comment>
    <comment ref="AK352" authorId="1" shapeId="0">
      <text>
        <t>HSTECH (Hang Seng TECH ETF)
Previous trading close to listing-day close (2025-07-09).
Benchmark return in percent; not the index level or excess return.</t>
      </text>
    </comment>
    <comment ref="AP352" authorId="1" shapeId="0">
      <text>
        <t>Horizon close: 2025-07-16
5/21/63 traded sessions after debut; price-only return vs offer.</t>
      </text>
    </comment>
    <comment ref="AQ352" authorId="1" shapeId="0">
      <text>
        <t>Horizon close: 2025-08-07
5/21/63 traded sessions after debut; price-only return vs offer.</t>
      </text>
    </comment>
    <comment ref="AR352" authorId="1" shapeId="0">
      <text>
        <t>Horizon close: 2025-10-08
5/21/63 traded sessions after debut; price-only return vs offer.</t>
      </text>
    </comment>
    <comment ref="AI353" authorId="0" shapeId="0">
      <text>
        <t>Close: HK$18.82
Date: 2025-07-08
Venue: Futu (etnet; venues 18.76-18.88)
Source: etnet:ipo-info 暗盤數據</t>
      </text>
    </comment>
    <comment ref="AK353" authorId="1" shapeId="0">
      <text>
        <t>HSTECH (Hang Seng TECH ETF)
Previous trading close to listing-day close (2025-07-09).
Benchmark return in percent; not the index level or excess return.</t>
      </text>
    </comment>
    <comment ref="AP353" authorId="1" shapeId="0">
      <text>
        <t>Horizon close: 2025-07-16
5/21/63 traded sessions after debut; price-only return vs offer.</t>
      </text>
    </comment>
    <comment ref="AQ353" authorId="1" shapeId="0">
      <text>
        <t>Horizon close: 2025-08-07
5/21/63 traded sessions after debut; price-only return vs offer.</t>
      </text>
    </comment>
    <comment ref="AR353" authorId="1" shapeId="0">
      <text>
        <t>Horizon close: 2025-10-08
5/21/63 traded sessions after debut; price-only return vs offer.</t>
      </text>
    </comment>
    <comment ref="AI354" authorId="0" shapeId="0">
      <text>
        <t>Close: HK$69.75
Date: 2025-07-24
Venue: Futu (etnet; venues 69.75-70.05)
Source: etnet:ipo-info 暗盤數據</t>
      </text>
    </comment>
    <comment ref="AK354" authorId="1" shapeId="0">
      <text>
        <t>China Biotech ETF (HS biotech proxy)
Previous trading close to listing-day close (2025-07-25).
Benchmark return in percent; not the index level or excess return.</t>
      </text>
    </comment>
    <comment ref="AP354" authorId="1" shapeId="0">
      <text>
        <t>Horizon close: 2025-08-01
5/21/63 traded sessions after debut; price-only return vs offer.</t>
      </text>
    </comment>
    <comment ref="AQ354" authorId="1" shapeId="0">
      <text>
        <t>Horizon close: 2025-08-25
5/21/63 traded sessions after debut; price-only return vs offer.</t>
      </text>
    </comment>
    <comment ref="AR354" authorId="1" shapeId="0">
      <text>
        <t>Horizon close: 2025-10-24
5/21/63 traded sessions after debut; price-only return vs offer.</t>
      </text>
    </comment>
    <comment ref="AI355" authorId="0" shapeId="0">
      <text>
        <t>Close: HK$33.88
Date: 2025-08-08
Venue: Phillip (輝立)
Source: press:HKET/Yahoo (2025-08-08): 輝立交易場收報33.88元，較上市價12.9元高逾1.62倍; 富途亦炒高接近1.6倍</t>
      </text>
    </comment>
    <comment ref="AK355" authorId="1" shapeId="0">
      <text>
        <t>China Biotech ETF (HS biotech proxy)
Previous trading close to listing-day close (2025-08-11).
Benchmark return in percent; not the index level or excess return.</t>
      </text>
    </comment>
    <comment ref="AP355" authorId="1" shapeId="0">
      <text>
        <t>Horizon close: 2025-08-18
5/21/63 traded sessions after debut; price-only return vs offer.</t>
      </text>
    </comment>
    <comment ref="AQ355" authorId="1" shapeId="0">
      <text>
        <t>Horizon close: 2025-09-09
5/21/63 traded sessions after debut; price-only return vs offer.</t>
      </text>
    </comment>
    <comment ref="AR355" authorId="1" shapeId="0">
      <text>
        <t>Horizon close: 2025-11-11
5/21/63 traded sessions after debut; price-only return vs offer.</t>
      </text>
    </comment>
    <comment ref="AI356" authorId="0" shapeId="0">
      <text>
        <t>Close: HK$70
Date: 2025-08-14
Venue: Phillip (etnet; venues 70.0-71.0)
Source: etnet:ipo-info 暗盤數據</t>
      </text>
    </comment>
    <comment ref="AK356" authorId="1" shapeId="0">
      <text>
        <t>China Biotech ETF (HS biotech proxy)
Previous trading close to listing-day close (2025-08-15).
Benchmark return in percent; not the index level or excess return.</t>
      </text>
    </comment>
    <comment ref="AP356" authorId="1" shapeId="0">
      <text>
        <t>Horizon close: 2025-08-22
5/21/63 traded sessions after debut; price-only return vs offer.</t>
      </text>
    </comment>
    <comment ref="AQ356" authorId="1" shapeId="0">
      <text>
        <t>Horizon close: 2025-09-15
5/21/63 traded sessions after debut; price-only return vs offer.</t>
      </text>
    </comment>
    <comment ref="AR356" authorId="1" shapeId="0">
      <text>
        <t>Horizon close: 2025-11-17
5/21/63 traded sessions after debut; price-only return vs offer.</t>
      </text>
    </comment>
    <comment ref="AI357" authorId="0" shapeId="0">
      <text>
        <t>Close: HK$47.96
Date: 2025-08-19
Venue: Futu (etnet; venues 47.96-48.14)
Source: etnet:ipo-info 暗盤數據</t>
      </text>
    </comment>
    <comment ref="AK357" authorId="1" shapeId="0">
      <text>
        <t>HSTECH (Hang Seng TECH ETF)
Previous trading close to listing-day close (2025-08-20).
Benchmark return in percent; not the index level or excess return.</t>
      </text>
    </comment>
    <comment ref="AP357" authorId="1" shapeId="0">
      <text>
        <t>Horizon close: 2025-08-27
5/21/63 traded sessions after debut; price-only return vs offer.</t>
      </text>
    </comment>
    <comment ref="AQ357" authorId="1" shapeId="0">
      <text>
        <t>Horizon close: 2025-09-18
5/21/63 traded sessions after debut; price-only return vs offer.</t>
      </text>
    </comment>
    <comment ref="AR357" authorId="1" shapeId="0">
      <text>
        <t>Horizon close: 2025-11-20
5/21/63 traded sessions after debut; price-only return vs offer.</t>
      </text>
    </comment>
    <comment ref="AI358" authorId="0" shapeId="0">
      <text>
        <t>Close: HK$25.1
Date: 2025-08-25
Venue: Phillip (etnet; venues 25.1-26.62)
Source: etnet:ipo-info 暗盤數據</t>
      </text>
    </comment>
    <comment ref="AK358" authorId="1" shapeId="0">
      <text>
        <t>Hang Seng Commerce &amp; Industry sub-index
Previous trading close to listing-day close (2025-08-26).
Benchmark return in percent; not the index level or excess return.</t>
      </text>
    </comment>
    <comment ref="AP358" authorId="1" shapeId="0">
      <text>
        <t>Horizon close: 2025-09-02
5/21/63 traded sessions after debut; price-only return vs offer.</t>
      </text>
    </comment>
    <comment ref="AQ358" authorId="1" shapeId="0">
      <text>
        <t>Horizon close: 2025-09-24
5/21/63 traded sessions after debut; price-only return vs offer.</t>
      </text>
    </comment>
    <comment ref="AR358" authorId="1" shapeId="0">
      <text>
        <t>Horizon close: 2025-11-26
5/21/63 traded sessions after debut; price-only return vs offer.</t>
      </text>
    </comment>
    <comment ref="AI359" authorId="0" shapeId="0">
      <text>
        <t>Close: HK$22.16
Date: 2025-08-27
Venue: Phillip (etnet; venues 22.04-22.18)
Source: etnet:ipo-info 暗盤數據</t>
      </text>
    </comment>
    <comment ref="AK359" authorId="1" shapeId="0">
      <text>
        <t>Hang Seng Commerce &amp; Industry sub-index
Previous trading close to listing-day close (2025-08-28).
Benchmark return in percent; not the index level or excess return.</t>
      </text>
    </comment>
    <comment ref="AP359" authorId="1" shapeId="0">
      <text>
        <t>Horizon close: 2025-09-04
5/21/63 traded sessions after debut; price-only return vs offer.</t>
      </text>
    </comment>
    <comment ref="AQ359" authorId="1" shapeId="0">
      <text>
        <t>Horizon close: 2025-09-26
5/21/63 traded sessions after debut; price-only return vs offer.</t>
      </text>
    </comment>
    <comment ref="AR359" authorId="1" shapeId="0">
      <text>
        <t>Horizon close: 2025-11-28
5/21/63 traded sessions after debut; price-only return vs offer.</t>
      </text>
    </comment>
    <comment ref="AI360" authorId="0" shapeId="0">
      <text>
        <t>Close: HK$16.7
Date: 2025-09-01
Venue: Phillip (etnet; venues 16.6-16.7)
Source: etnet:ipo-info 暗盤數據</t>
      </text>
    </comment>
    <comment ref="AK360" authorId="1" shapeId="0">
      <text>
        <t>HSTECH (Hang Seng TECH ETF)
Previous trading close to listing-day close (2025-09-02).
Benchmark return in percent; not the index level or excess return.</t>
      </text>
    </comment>
    <comment ref="AP360" authorId="1" shapeId="0">
      <text>
        <t>Horizon close: 2025-09-09
5/21/63 traded sessions after debut; price-only return vs offer.</t>
      </text>
    </comment>
    <comment ref="AQ360" authorId="1" shapeId="0">
      <text>
        <t>Horizon close: 2025-10-02
5/21/63 traded sessions after debut; price-only return vs offer.</t>
      </text>
    </comment>
    <comment ref="AR360" authorId="1" shapeId="0">
      <text>
        <t>Horizon close: 2025-12-03
5/21/63 traded sessions after debut; price-only return vs offer.</t>
      </text>
    </comment>
    <comment ref="AI361" authorId="0" shapeId="0">
      <text>
        <t>Close: HK$68.1
Date: 2025-09-08
Venue: Phillip (etnet; venues 68.1-78.7)
Source: etnet:ipo-info 暗盤數據</t>
      </text>
    </comment>
    <comment ref="AK361" authorId="1" shapeId="0">
      <text>
        <t>HSTECH (Hang Seng TECH ETF)
Previous trading close to listing-day close (2025-09-09).
Benchmark return in percent; not the index level or excess return.</t>
      </text>
    </comment>
    <comment ref="AP361" authorId="1" shapeId="0">
      <text>
        <t>Horizon close: 2025-09-16
5/21/63 traded sessions after debut; price-only return vs offer.</t>
      </text>
    </comment>
    <comment ref="AQ361" authorId="1" shapeId="0">
      <text>
        <t>Horizon close: 2025-10-10
5/21/63 traded sessions after debut; price-only return vs offer.</t>
      </text>
    </comment>
    <comment ref="AR361" authorId="1" shapeId="0">
      <text>
        <t>Horizon close: 2025-12-10
5/21/63 traded sessions after debut; price-only return vs offer.</t>
      </text>
    </comment>
    <comment ref="AI362" authorId="0" shapeId="0">
      <text>
        <t>Close: HK$228.2
Date: 2025-09-15
Venue: Phillip (etnet; venues 228.2-228.2)
Source: etnet:ipo-info 暗盤數據</t>
      </text>
    </comment>
    <comment ref="AK362" authorId="1" shapeId="0">
      <text>
        <t>HSTECH (Hang Seng TECH ETF)
Previous trading close to listing-day close (2025-09-16).
Benchmark return in percent; not the index level or excess return.</t>
      </text>
    </comment>
    <comment ref="AP362" authorId="1" shapeId="0">
      <text>
        <t>Horizon close: 2025-09-23
5/21/63 traded sessions after debut; price-only return vs offer.</t>
      </text>
    </comment>
    <comment ref="AQ362" authorId="1" shapeId="0">
      <text>
        <t>Horizon close: 2025-10-17
5/21/63 traded sessions after debut; price-only return vs offer.</t>
      </text>
    </comment>
    <comment ref="AR362" authorId="1" shapeId="0">
      <text>
        <t>Horizon close: 2025-12-17
5/21/63 traded sessions after debut; price-only return vs offer.</t>
      </text>
    </comment>
    <comment ref="AI363" authorId="0" shapeId="0">
      <text>
        <t>Close: HK$29
Date: 2025-09-16
Venue: Phillip (etnet; venues 28.9-29.02)
Source: etnet:ipo-info 暗盤數據</t>
      </text>
    </comment>
    <comment ref="AK363" authorId="1" shapeId="0">
      <text>
        <t>China Biotech ETF (HS biotech proxy)
Previous trading close to listing-day close (2025-09-17).
Benchmark return in percent; not the index level or excess return.</t>
      </text>
    </comment>
    <comment ref="AP363" authorId="1" shapeId="0">
      <text>
        <t>Horizon close: 2025-09-24
5/21/63 traded sessions after debut; price-only return vs offer.</t>
      </text>
    </comment>
    <comment ref="AQ363" authorId="1" shapeId="0">
      <text>
        <t>Horizon close: 2025-10-20
5/21/63 traded sessions after debut; price-only return vs offer.</t>
      </text>
    </comment>
    <comment ref="AR363" authorId="1" shapeId="0">
      <text>
        <t>Horizon close: 2025-12-18
5/21/63 traded sessions after debut; price-only return vs offer.</t>
      </text>
    </comment>
    <comment ref="AI364" authorId="0" shapeId="0">
      <text>
        <t>Close: HK$41.22
Date: 2025-09-19
Venue: Phillip (etnet; venues 41.22-41.88)
Source: etnet:ipo-info 暗盤數據</t>
      </text>
    </comment>
    <comment ref="AK364" authorId="1" shapeId="0">
      <text>
        <t>China Biotech ETF (HS biotech proxy)
Previous trading close to listing-day close (2025-09-19).
Benchmark return in percent; not the index level or excess return.</t>
      </text>
    </comment>
    <comment ref="AP364" authorId="1" shapeId="0">
      <text>
        <t>Horizon close: 2025-09-26
5/21/63 traded sessions after debut; price-only return vs offer.</t>
      </text>
    </comment>
    <comment ref="AQ364" authorId="1" shapeId="0">
      <text>
        <t>Horizon close: 2025-10-22
5/21/63 traded sessions after debut; price-only return vs offer.</t>
      </text>
    </comment>
    <comment ref="AR364" authorId="1" shapeId="0">
      <text>
        <t>Horizon close: 2025-12-22
5/21/63 traded sessions after debut; price-only return vs offer.</t>
      </text>
    </comment>
    <comment ref="AI365" authorId="0" shapeId="0">
      <text>
        <t>Close: HK$109.8
Date: 2025-09-22
Venue: Futu (etnet; venues 100.7-109.8)
Source: etnet:ipo-info 暗盤數據</t>
      </text>
    </comment>
    <comment ref="AK365" authorId="1" shapeId="0">
      <text>
        <t>Hang Seng Commerce &amp; Industry sub-index
Previous trading close to listing-day close (2025-09-23).
Benchmark return in percent; not the index level or excess return.</t>
      </text>
    </comment>
    <comment ref="AP365" authorId="1" shapeId="0">
      <text>
        <t>Horizon close: 2025-09-30
5/21/63 traded sessions after debut; price-only return vs offer.</t>
      </text>
    </comment>
    <comment ref="AQ365" authorId="1" shapeId="0">
      <text>
        <t>Horizon close: 2025-10-24
5/21/63 traded sessions after debut; price-only return vs offer.</t>
      </text>
    </comment>
    <comment ref="AR365" authorId="1" shapeId="0">
      <text>
        <t>Horizon close: 2025-12-24
5/21/63 traded sessions after debut; price-only return vs offer.</t>
      </text>
    </comment>
    <comment ref="AI366" authorId="0" shapeId="0">
      <text>
        <t>Close: HK$33.68
Date: 2025-09-24
Venue: Phillip (etnet; venues 33.38-33.68)
Source: etnet:ipo-info 暗盤數據</t>
      </text>
    </comment>
    <comment ref="AK366" authorId="1" shapeId="0">
      <text>
        <t>Hang Seng Commerce &amp; Industry sub-index
Previous trading close to listing-day close (2025-09-25).
Benchmark return in percent; not the index level or excess return.</t>
      </text>
    </comment>
    <comment ref="AP366" authorId="1" shapeId="0">
      <text>
        <t>Horizon close: 2025-10-03
5/21/63 traded sessions after debut; price-only return vs offer.</t>
      </text>
    </comment>
    <comment ref="AQ366" authorId="1" shapeId="0">
      <text>
        <t>Horizon close: 2025-10-28
5/21/63 traded sessions after debut; price-only return vs offer.</t>
      </text>
    </comment>
    <comment ref="AR366" authorId="1" shapeId="0">
      <text>
        <t>Horizon close: 2025-12-30
5/21/63 traded sessions after debut; price-only return vs offer.</t>
      </text>
    </comment>
    <comment ref="AI367" authorId="0" shapeId="0">
      <text>
        <t>Close: HK$85.65
Date: 2025-09-29
Venue: Futu (etnet; venues 84.0-85.65)
Source: etnet:ipo-info 暗盤數據</t>
      </text>
    </comment>
    <comment ref="AK367" authorId="1" shapeId="0">
      <text>
        <t>Hang Seng Commerce &amp; Industry sub-index
Previous trading close to listing-day close (2025-09-30).
Benchmark return in percent; not the index level or excess return.</t>
      </text>
    </comment>
    <comment ref="AP367" authorId="1" shapeId="0">
      <text>
        <t>Horizon close: 2025-10-09
5/21/63 traded sessions after debut; price-only return vs offer.</t>
      </text>
    </comment>
    <comment ref="AQ367" authorId="1" shapeId="0">
      <text>
        <t>Horizon close: 2025-11-03
5/21/63 traded sessions after debut; price-only return vs offer.</t>
      </text>
    </comment>
    <comment ref="AR367" authorId="1" shapeId="0">
      <text>
        <t>Horizon close: 2026-01-05
5/21/63 traded sessions after debut; price-only return vs offer.</t>
      </text>
    </comment>
    <comment ref="AI368" authorId="0" shapeId="0">
      <text>
        <t>Close: HK$132.6
Date: 2025-09-29
Venue: Futu (etnet; venues 132.6-136.0)
Source: etnet:ipo-info 暗盤數據</t>
      </text>
    </comment>
    <comment ref="AK368" authorId="1" shapeId="0">
      <text>
        <t>Hang Seng Commerce &amp; Industry sub-index
Previous trading close to listing-day close (2025-09-30).
Benchmark return in percent; not the index level or excess return.</t>
      </text>
    </comment>
    <comment ref="AP368" authorId="1" shapeId="0">
      <text>
        <t>Horizon close: 2025-10-09
5/21/63 traded sessions after debut; price-only return vs offer.</t>
      </text>
    </comment>
    <comment ref="AQ368" authorId="1" shapeId="0">
      <text>
        <t>Horizon close: 2025-11-03
5/21/63 traded sessions after debut; price-only return vs offer.</t>
      </text>
    </comment>
    <comment ref="AR368" authorId="1" shapeId="0">
      <text>
        <t>Horizon close: 2026-01-05
5/21/63 traded sessions after debut; price-only return vs offer.</t>
      </text>
    </comment>
    <comment ref="AI369" authorId="0" shapeId="0">
      <text>
        <t>Close: HK$108.4
Date: 2025-09-29
Venue: Phillip (etnet; venues 108.2-108.6)
Source: etnet:ipo-info 暗盤數據</t>
      </text>
    </comment>
    <comment ref="AK369" authorId="1" shapeId="0">
      <text>
        <t>Hang Seng Commerce &amp; Industry sub-index
Previous trading close to listing-day close (2025-09-30).
Benchmark return in percent; not the index level or excess return.</t>
      </text>
    </comment>
    <comment ref="AP369" authorId="1" shapeId="0">
      <text>
        <t>Horizon close: 2025-10-09
5/21/63 traded sessions after debut; price-only return vs offer.</t>
      </text>
    </comment>
    <comment ref="AQ369" authorId="1" shapeId="0">
      <text>
        <t>Horizon close: 2025-11-03
5/21/63 traded sessions after debut; price-only return vs offer.</t>
      </text>
    </comment>
    <comment ref="AR369" authorId="1" shapeId="0">
      <text>
        <t>Horizon close: 2026-01-05
5/21/63 traded sessions after debut; price-only return vs offer.</t>
      </text>
    </comment>
    <comment ref="AI370" authorId="0" shapeId="0">
      <text>
        <t>Close: HK$48.3
Date: 2025-10-06
Venue: Futu (etnet; venues 46.9-48.3)
Source: etnet:ipo-info 暗盤數據</t>
      </text>
    </comment>
    <comment ref="AK370" authorId="1" shapeId="0">
      <text>
        <t>China Biotech ETF (HS biotech proxy)
Previous trading close to listing-day close (2025-10-08).
Benchmark return in percent; not the index level or excess return.</t>
      </text>
    </comment>
    <comment ref="AP370" authorId="1" shapeId="0">
      <text>
        <t>Horizon close: 2025-10-15
5/21/63 traded sessions after debut; price-only return vs offer.</t>
      </text>
    </comment>
    <comment ref="AQ370" authorId="1" shapeId="0">
      <text>
        <t>Horizon close: 2025-11-07
5/21/63 traded sessions after debut; price-only return vs offer.</t>
      </text>
    </comment>
    <comment ref="AR370" authorId="1" shapeId="0">
      <text>
        <t>Horizon close: 2026-01-09
5/21/63 traded sessions after debut; price-only return vs offer.</t>
      </text>
    </comment>
    <comment ref="AI371" authorId="0" shapeId="0">
      <text>
        <t>Close: HK$188.3
Date: 2025-10-09
Venue: Futu (etnet; venues 188.3-191.0)
Source: etnet:ipo-info 暗盤數據</t>
      </text>
    </comment>
    <comment ref="AK371" authorId="1" shapeId="0">
      <text>
        <t>Hang Seng Commerce &amp; Industry sub-index
Previous trading close to listing-day close (2025-10-10).
Benchmark return in percent; not the index level or excess return.</t>
      </text>
    </comment>
    <comment ref="AP371" authorId="1" shapeId="0">
      <text>
        <t>Horizon close: 2025-10-17
5/21/63 traded sessions after debut; price-only return vs offer.</t>
      </text>
    </comment>
    <comment ref="AQ371" authorId="1" shapeId="0">
      <text>
        <t>Horizon close: 2025-11-11
5/21/63 traded sessions after debut; price-only return vs offer.</t>
      </text>
    </comment>
    <comment ref="AR371" authorId="1" shapeId="0">
      <text>
        <t>Horizon close: 2026-01-13
5/21/63 traded sessions after debut; price-only return vs offer.</t>
      </text>
    </comment>
    <comment ref="AI372" authorId="0" shapeId="0">
      <text>
        <t>Close: HK$31.6
Date: 2025-10-14
Venue: Futu (etnet; venues 31.4-31.6)
Source: etnet:ipo-info 暗盤數據</t>
      </text>
    </comment>
    <comment ref="AK372" authorId="1" shapeId="0">
      <text>
        <t>China Biotech ETF (HS biotech proxy)
Previous trading close to listing-day close (2025-10-15).
Benchmark return in percent; not the index level or excess return.</t>
      </text>
    </comment>
    <comment ref="AP372" authorId="1" shapeId="0">
      <text>
        <t>Horizon close: 2025-10-22
5/21/63 traded sessions after debut; price-only return vs offer.</t>
      </text>
    </comment>
    <comment ref="AQ372" authorId="1" shapeId="0">
      <text>
        <t>Horizon close: 2025-11-14
5/21/63 traded sessions after debut; price-only return vs offer.</t>
      </text>
    </comment>
    <comment ref="AR372" authorId="1" shapeId="0">
      <text>
        <t>Horizon close: 2026-01-16
5/21/63 traded sessions after debut; price-only return vs offer.</t>
      </text>
    </comment>
    <comment ref="AI373" authorId="0" shapeId="0">
      <text>
        <t>Close: HK$147
Date: 2025-10-15
Venue: Futu (etnet; venues 141.1-147.0)
Source: etnet:ipo-info 暗盤數據</t>
      </text>
    </comment>
    <comment ref="AK373" authorId="1" shapeId="0">
      <text>
        <t>HSTECH (Hang Seng TECH ETF)
Previous trading close to listing-day close (2025-10-16).
Benchmark return in percent; not the index level or excess return.</t>
      </text>
    </comment>
    <comment ref="AP373" authorId="1" shapeId="0">
      <text>
        <t>Horizon close: 2025-10-23
5/21/63 traded sessions after debut; price-only return vs offer.</t>
      </text>
    </comment>
    <comment ref="AQ373" authorId="1" shapeId="0">
      <text>
        <t>Horizon close: 2025-11-17
5/21/63 traded sessions after debut; price-only return vs offer.</t>
      </text>
    </comment>
    <comment ref="AR373" authorId="1" shapeId="0">
      <text>
        <t>Horizon close: 2026-01-19
5/21/63 traded sessions after debut; price-only return vs offer.</t>
      </text>
    </comment>
    <comment ref="AI374" authorId="0" shapeId="0">
      <text>
        <t>Close: HK$107.6
Date: 2025-10-16
Venue: Futu (etnet; venues 107.6-108.1)
Source: etnet:ipo-info 暗盤數據</t>
      </text>
    </comment>
    <comment ref="AK374" authorId="1" shapeId="0">
      <text>
        <t>China Biotech ETF (HS biotech proxy)
Previous trading close to listing-day close (2025-10-20).
Benchmark return in percent; not the index level or excess return.</t>
      </text>
    </comment>
    <comment ref="AP374" authorId="1" shapeId="0">
      <text>
        <t>Horizon close: 2025-10-27
5/21/63 traded sessions after debut; price-only return vs offer.</t>
      </text>
    </comment>
    <comment ref="AQ374" authorId="1" shapeId="0">
      <text>
        <t>Horizon close: 2025-11-19
5/21/63 traded sessions after debut; price-only return vs offer.</t>
      </text>
    </comment>
    <comment ref="AR374" authorId="1" shapeId="0">
      <text>
        <t>Horizon close: 2026-01-21
5/21/63 traded sessions after debut; price-only return vs offer.</t>
      </text>
    </comment>
    <comment ref="AI375" authorId="0" shapeId="0">
      <text>
        <t>Close: HK$42
Date: 2025-10-20
Venue: Phillip (etnet; venues 40.92-42.0)
Source: etnet:ipo-info 暗盤數據</t>
      </text>
    </comment>
    <comment ref="AK375" authorId="1" shapeId="0">
      <text>
        <t>HSTECH (Hang Seng TECH ETF)
Previous trading close to listing-day close (2025-10-21).
Benchmark return in percent; not the index level or excess return.</t>
      </text>
    </comment>
    <comment ref="AP375" authorId="1" shapeId="0">
      <text>
        <t>Horizon close: 2025-10-28
5/21/63 traded sessions after debut; price-only return vs offer.</t>
      </text>
    </comment>
    <comment ref="AQ375" authorId="1" shapeId="0">
      <text>
        <t>Horizon close: 2025-11-20
5/21/63 traded sessions after debut; price-only return vs offer.</t>
      </text>
    </comment>
    <comment ref="AR375" authorId="1" shapeId="0">
      <text>
        <t>Horizon close: 2026-01-22
5/21/63 traded sessions after debut; price-only return vs offer.</t>
      </text>
    </comment>
    <comment ref="AI376" authorId="0" shapeId="0">
      <text>
        <t>Close: HK$21.5
Date: 2025-10-21
Venue: Futu (etnet; venues 21.3-21.5)
Source: etnet:ipo-info 暗盤數據</t>
      </text>
    </comment>
    <comment ref="AK376" authorId="1" shapeId="0">
      <text>
        <t>HSTECH (Hang Seng TECH ETF)
Previous trading close to listing-day close (2025-10-22).
Benchmark return in percent; not the index level or excess return.</t>
      </text>
    </comment>
    <comment ref="AP376" authorId="1" shapeId="0">
      <text>
        <t>Horizon close: 2025-10-30
5/21/63 traded sessions after debut; price-only return vs offer.</t>
      </text>
    </comment>
    <comment ref="AQ376" authorId="1" shapeId="0">
      <text>
        <t>Horizon close: 2025-11-21
5/21/63 traded sessions after debut; price-only return vs offer.</t>
      </text>
    </comment>
    <comment ref="AR376" authorId="1" shapeId="0">
      <text>
        <t>Horizon close: 2026-01-23
5/21/63 traded sessions after debut; price-only return vs offer.</t>
      </text>
    </comment>
    <comment ref="AI377" authorId="0" shapeId="0">
      <text>
        <t>Close: HK$51.9
Date: 2025-10-27
Venue: Futu (etnet; venues 51.05-52.0)
Source: etnet:ipo-info 暗盤數據</t>
      </text>
    </comment>
    <comment ref="AK377" authorId="1" shapeId="0">
      <text>
        <t>HSTECH (Hang Seng TECH ETF)
Previous trading close to listing-day close (2025-10-28).
Benchmark return in percent; not the index level or excess return.</t>
      </text>
    </comment>
    <comment ref="AP377" authorId="1" shapeId="0">
      <text>
        <t>Horizon close: 2025-11-05
5/21/63 traded sessions after debut; price-only return vs offer.</t>
      </text>
    </comment>
    <comment ref="AQ377" authorId="1" shapeId="0">
      <text>
        <t>Horizon close: 2025-11-27
5/21/63 traded sessions after debut; price-only return vs offer.</t>
      </text>
    </comment>
    <comment ref="AR377" authorId="1" shapeId="0">
      <text>
        <t>Horizon close: 2026-01-29
5/21/63 traded sessions after debut; price-only return vs offer.</t>
      </text>
    </comment>
    <comment ref="AI378" authorId="0" shapeId="0">
      <text>
        <t>Close: HK$20.76
Date: 2025-10-27
Venue: Phillip (etnet; venues 20.76-20.78)
Source: etnet:ipo-info 暗盤數據</t>
      </text>
    </comment>
    <comment ref="AK378" authorId="1" shapeId="0">
      <text>
        <t>Hang Seng Commerce &amp; Industry sub-index
Previous trading close to listing-day close (2025-10-28).
Benchmark return in percent; not the index level or excess return.</t>
      </text>
    </comment>
    <comment ref="AP378" authorId="1" shapeId="0">
      <text>
        <t>Horizon close: 2025-11-05
5/21/63 traded sessions after debut; price-only return vs offer.</t>
      </text>
    </comment>
    <comment ref="AQ378" authorId="1" shapeId="0">
      <text>
        <t>Horizon close: 2025-11-27
5/21/63 traded sessions after debut; price-only return vs offer.</t>
      </text>
    </comment>
    <comment ref="AR378" authorId="1" shapeId="0">
      <text>
        <t>Horizon close: 2026-01-29
5/21/63 traded sessions after debut; price-only return vs offer.</t>
      </text>
    </comment>
    <comment ref="AI379" authorId="0" shapeId="0">
      <text>
        <t>Close: HK$99.3
Date: 2025-10-27
Venue: Phillip (etnet; venues 94.3-99.3)
Source: etnet:ipo-info 暗盤數據</t>
      </text>
    </comment>
    <comment ref="AK379" authorId="1" shapeId="0">
      <text>
        <t>HSTECH (Hang Seng TECH ETF)
Previous trading close to listing-day close (2025-10-28).
Benchmark return in percent; not the index level or excess return.</t>
      </text>
    </comment>
    <comment ref="AP379" authorId="1" shapeId="0">
      <text>
        <t>Horizon close: 2025-11-05
5/21/63 traded sessions after debut; price-only return vs offer.</t>
      </text>
    </comment>
    <comment ref="AQ379" authorId="1" shapeId="0">
      <text>
        <t>Horizon close: 2025-11-27
5/21/63 traded sessions after debut; price-only return vs offer.</t>
      </text>
    </comment>
    <comment ref="AR379" authorId="1" shapeId="0">
      <text>
        <t>Horizon close: 2026-01-29
5/21/63 traded sessions after debut; price-only return vs offer.</t>
      </text>
    </comment>
    <comment ref="AI380" authorId="0" shapeId="0">
      <text>
        <t>Close: HK$80.1
Date: 2025-10-27
Venue: Phillip (etnet; venues 80.1-89.4)
Source: etnet:ipo-info 暗盤數據</t>
      </text>
    </comment>
    <comment ref="AK380" authorId="1" shapeId="0">
      <text>
        <t>Hang Seng Commerce &amp; Industry sub-index
Previous trading close to listing-day close (2025-10-28).
Benchmark return in percent; not the index level or excess return.</t>
      </text>
    </comment>
    <comment ref="AP380" authorId="1" shapeId="0">
      <text>
        <t>Horizon close: 2025-11-05
5/21/63 traded sessions after debut; price-only return vs offer.</t>
      </text>
    </comment>
    <comment ref="AQ380" authorId="1" shapeId="0">
      <text>
        <t>Horizon close: 2025-11-27
5/21/63 traded sessions after debut; price-only return vs offer.</t>
      </text>
    </comment>
    <comment ref="AR380" authorId="1" shapeId="0">
      <text>
        <t>Horizon close: 2026-01-29
5/21/63 traded sessions after debut; price-only return vs offer.</t>
      </text>
    </comment>
    <comment ref="AI381" authorId="0" shapeId="0">
      <text>
        <t>Close: HK$297
Date: 2025-10-31
Venue: Futu (etnet; venues 293.2-297.0)
Source: etnet:ipo-info 暗盤數據</t>
      </text>
    </comment>
    <comment ref="AK381" authorId="1" shapeId="0">
      <text>
        <t>HSTECH (Hang Seng TECH ETF)
Previous trading close to listing-day close (2025-11-03).
Benchmark return in percent; not the index level or excess return.</t>
      </text>
    </comment>
    <comment ref="AP381" authorId="1" shapeId="0">
      <text>
        <t>Horizon close: 2025-11-10
5/21/63 traded sessions after debut; price-only return vs offer.</t>
      </text>
    </comment>
    <comment ref="AQ381" authorId="1" shapeId="0">
      <text>
        <t>Horizon close: 2025-12-02
5/21/63 traded sessions after debut; price-only return vs offer.</t>
      </text>
    </comment>
    <comment ref="AR381" authorId="1" shapeId="0">
      <text>
        <t>Horizon close: 2026-02-03
5/21/63 traded sessions after debut; price-only return vs offer.</t>
      </text>
    </comment>
    <comment ref="AI382" authorId="0" shapeId="0">
      <text>
        <t>Close: HK$132.4
Date: 2025-11-04
Venue: Phillip (etnet; venues 131.7-132.4)
Source: etnet:ipo-info 暗盤數據</t>
      </text>
    </comment>
    <comment ref="AK382" authorId="1" shapeId="0">
      <text>
        <t>Hang Seng Commerce &amp; Industry sub-index
Previous trading close to listing-day close (2025-11-05).
Benchmark return in percent; not the index level or excess return.</t>
      </text>
    </comment>
    <comment ref="AP382" authorId="1" shapeId="0">
      <text>
        <t>Horizon close: 2025-11-12
5/21/63 traded sessions after debut; price-only return vs offer.</t>
      </text>
    </comment>
    <comment ref="AQ382" authorId="1" shapeId="0">
      <text>
        <t>Horizon close: 2025-12-04
5/21/63 traded sessions after debut; price-only return vs offer.</t>
      </text>
    </comment>
    <comment ref="AR382" authorId="1" shapeId="0">
      <text>
        <t>Horizon close: 2026-02-05
5/21/63 traded sessions after debut; price-only return vs offer.</t>
      </text>
    </comment>
    <comment ref="AI383" authorId="0" shapeId="0">
      <text>
        <t>Close: HK$85
Date: 2025-11-05
Venue: Futu (etnet; venues 85.0-85.0)
Source: etnet:ipo-info 暗盤數據</t>
      </text>
    </comment>
    <comment ref="AK383" authorId="1" shapeId="0">
      <text>
        <t>China Biotech ETF (HS biotech proxy)
Previous trading close to listing-day close (2025-11-06).
Benchmark return in percent; not the index level or excess return.</t>
      </text>
    </comment>
    <comment ref="AP383" authorId="1" shapeId="0">
      <text>
        <t>Horizon close: 2025-11-13
5/21/63 traded sessions after debut; price-only return vs offer.</t>
      </text>
    </comment>
    <comment ref="AQ383" authorId="1" shapeId="0">
      <text>
        <t>Horizon close: 2025-12-05
5/21/63 traded sessions after debut; price-only return vs offer.</t>
      </text>
    </comment>
    <comment ref="AR383" authorId="1" shapeId="0">
      <text>
        <t>Horizon close: 2026-02-06
5/21/63 traded sessions after debut; price-only return vs offer.</t>
      </text>
    </comment>
    <comment ref="AI384" authorId="0" shapeId="0">
      <text>
        <t>Close: HK$123.2
Date: 2025-11-05
Venue: Futu (etnet; venues 122.2-123.5)
Source: etnet:ipo-info 暗盤數據</t>
      </text>
    </comment>
    <comment ref="AK384" authorId="1" shapeId="0">
      <text>
        <t>HSTECH (Hang Seng TECH ETF)
Previous trading close to listing-day close (2025-11-06).
Benchmark return in percent; not the index level or excess return.</t>
      </text>
    </comment>
    <comment ref="AP384" authorId="1" shapeId="0">
      <text>
        <t>Horizon close: 2025-11-13
5/21/63 traded sessions after debut; price-only return vs offer.</t>
      </text>
    </comment>
    <comment ref="AQ384" authorId="1" shapeId="0">
      <text>
        <t>Horizon close: 2025-12-05
5/21/63 traded sessions after debut; price-only return vs offer.</t>
      </text>
    </comment>
    <comment ref="AR384" authorId="1" shapeId="0">
      <text>
        <t>Horizon close: 2026-02-06
5/21/63 traded sessions after debut; price-only return vs offer.</t>
      </text>
    </comment>
    <comment ref="AI385" authorId="0" shapeId="0">
      <text>
        <t>Close: HK$21.4
Date: 2025-11-05
Venue: Futu (etnet; venues 21.4-21.78)
Source: etnet:ipo-info 暗盤數據</t>
      </text>
    </comment>
    <comment ref="AK385" authorId="1" shapeId="0">
      <text>
        <t>Hang Seng Commerce &amp; Industry sub-index
Previous trading close to listing-day close (2025-11-06).
Benchmark return in percent; not the index level or excess return.</t>
      </text>
    </comment>
    <comment ref="AP385" authorId="1" shapeId="0">
      <text>
        <t>Horizon close: 2025-11-13
5/21/63 traded sessions after debut; price-only return vs offer.</t>
      </text>
    </comment>
    <comment ref="AQ385" authorId="1" shapeId="0">
      <text>
        <t>Horizon close: 2025-12-05
5/21/63 traded sessions after debut; price-only return vs offer.</t>
      </text>
    </comment>
    <comment ref="AR385" authorId="1" shapeId="0">
      <text>
        <t>Horizon close: 2026-02-06
5/21/63 traded sessions after debut; price-only return vs offer.</t>
      </text>
    </comment>
    <comment ref="AI386" authorId="0" shapeId="0">
      <text>
        <t>Close: HK$35.6
Date: 2025-11-07
Venue: Phillip (etnet; venues 35.2-35.6)
Source: etnet:ipo-info 暗盤數據</t>
      </text>
    </comment>
    <comment ref="AK386" authorId="1" shapeId="0">
      <text>
        <t>Hang Seng Commerce &amp; Industry sub-index
Previous trading close to listing-day close (2025-11-10).
Benchmark return in percent; not the index level or excess return.</t>
      </text>
    </comment>
    <comment ref="AP386" authorId="1" shapeId="0">
      <text>
        <t>Horizon close: 2025-11-17
5/21/63 traded sessions after debut; price-only return vs offer.</t>
      </text>
    </comment>
    <comment ref="AQ386" authorId="1" shapeId="0">
      <text>
        <t>Horizon close: 2025-12-09
5/21/63 traded sessions after debut; price-only return vs offer.</t>
      </text>
    </comment>
    <comment ref="AR386" authorId="1" shapeId="0">
      <text>
        <t>Horizon close: 2026-02-10
5/21/63 traded sessions after debut; price-only return vs offer.</t>
      </text>
    </comment>
    <comment ref="AI387" authorId="0" shapeId="0">
      <text>
        <t>Close: HK$33.18
Date: 2025-11-14
Venue: Futu (etnet; venues 33.12-33.22)
Source: etnet:ipo-info 暗盤數據</t>
      </text>
    </comment>
    <comment ref="AK387" authorId="1" shapeId="0">
      <text>
        <t>Hang Seng Commerce &amp; Industry sub-index
Previous trading close to listing-day close (2025-11-17).
Benchmark return in percent; not the index level or excess return.</t>
      </text>
    </comment>
    <comment ref="AP387" authorId="1" shapeId="0">
      <text>
        <t>Horizon close: 2025-11-24
5/21/63 traded sessions after debut; price-only return vs offer.</t>
      </text>
    </comment>
    <comment ref="AQ387" authorId="1" shapeId="0">
      <text>
        <t>Horizon close: 2025-12-16
5/21/63 traded sessions after debut; price-only return vs offer.</t>
      </text>
    </comment>
    <comment ref="AR387" authorId="1" shapeId="0">
      <text>
        <t>Horizon close: 2026-02-20
5/21/63 traded sessions after debut; price-only return vs offer.</t>
      </text>
    </comment>
    <comment ref="AI388" authorId="0" shapeId="0">
      <text>
        <t>Close: HK$14.35
Date: 2025-11-21
Venue: Phillip (etnet; venues 13.85-14.35)
Source: etnet:ipo-info 暗盤數據</t>
      </text>
    </comment>
    <comment ref="AK388" authorId="1" shapeId="0">
      <text>
        <t>Hang Seng Commerce &amp; Industry sub-index
Previous trading close to listing-day close (2025-11-24).
Benchmark return in percent; not the index level or excess return.</t>
      </text>
    </comment>
    <comment ref="AP388" authorId="1" shapeId="0">
      <text>
        <t>Horizon close: 2025-12-01
5/21/63 traded sessions after debut; price-only return vs offer.</t>
      </text>
    </comment>
    <comment ref="AQ388" authorId="1" shapeId="0">
      <text>
        <t>Horizon close: 2025-12-23
5/21/63 traded sessions after debut; price-only return vs offer.</t>
      </text>
    </comment>
    <comment ref="AR388" authorId="1" shapeId="0">
      <text>
        <t>Horizon close: 2026-02-27
5/21/63 traded sessions after debut; price-only return vs offer.</t>
      </text>
    </comment>
    <comment ref="AI389" authorId="0" shapeId="0">
      <text>
        <t>Close: HK$28
Date: 2025-11-26
Venue: Futu (etnet; venues 27.2-28.0)
Source: etnet:ipo-info 暗盤數據</t>
      </text>
    </comment>
    <comment ref="AK389" authorId="1" shapeId="0">
      <text>
        <t>HSTECH (Hang Seng TECH ETF)
Previous trading close to listing-day close (2025-11-27).
Benchmark return in percent; not the index level or excess return.</t>
      </text>
    </comment>
    <comment ref="AP389" authorId="1" shapeId="0">
      <text>
        <t>Horizon close: 2025-12-04
5/21/63 traded sessions after debut; price-only return vs offer.</t>
      </text>
    </comment>
    <comment ref="AQ389" authorId="1" shapeId="0">
      <text>
        <t>Horizon close: 2025-12-30
5/21/63 traded sessions after debut; price-only return vs offer.</t>
      </text>
    </comment>
    <comment ref="AR389" authorId="1" shapeId="0">
      <text>
        <t>Horizon close: 2026-03-04
5/21/63 traded sessions after debut; price-only return vs offer.</t>
      </text>
    </comment>
    <comment ref="AI390" authorId="0" shapeId="0">
      <text>
        <t>Close: HK$14.35
Date: 2025-11-27
Venue: Phillip (etnet; venues 14.35-14.66)
Source: etnet:ipo-info 暗盤數據</t>
      </text>
    </comment>
    <comment ref="AK390" authorId="1" shapeId="0">
      <text>
        <t>Hang Seng Commerce &amp; Industry sub-index
Previous trading close to listing-day close (2025-11-28).
Benchmark return in percent; not the index level or excess return.</t>
      </text>
    </comment>
    <comment ref="AP390" authorId="1" shapeId="0">
      <text>
        <t>Horizon close: 2025-12-05
5/21/63 traded sessions after debut; price-only return vs offer.</t>
      </text>
    </comment>
    <comment ref="AQ390" authorId="1" shapeId="0">
      <text>
        <t>Horizon close: 2025-12-31
5/21/63 traded sessions after debut; price-only return vs offer.</t>
      </text>
    </comment>
    <comment ref="AR390" authorId="1" shapeId="0">
      <text>
        <t>Horizon close: 2026-03-05
5/21/63 traded sessions after debut; price-only return vs offer.</t>
      </text>
    </comment>
    <comment ref="AI391" authorId="0" shapeId="0">
      <text>
        <t>Close: HK$65
Date: 2025-12-02
Venue: Phillip (etnet; venues 65.0-80.5)
Source: etnet:ipo-info 暗盤數據</t>
      </text>
    </comment>
    <comment ref="AK391" authorId="1" shapeId="0">
      <text>
        <t>Hang Seng Properties sub-index
Previous trading close to listing-day close (2025-12-03).
Benchmark return in percent; not the index level or excess return.</t>
      </text>
    </comment>
    <comment ref="AP391" authorId="1" shapeId="0">
      <text>
        <t>Horizon close: 2025-12-10
5/21/63 traded sessions after debut; price-only return vs offer.</t>
      </text>
    </comment>
    <comment ref="AQ391" authorId="1" shapeId="0">
      <text>
        <t>Horizon close: 2026-01-06
5/21/63 traded sessions after debut; price-only return vs offer.</t>
      </text>
    </comment>
    <comment ref="AR391" authorId="1" shapeId="0">
      <text>
        <t>Horizon close: 2026-03-10
5/21/63 traded sessions after debut; price-only return vs offer.</t>
      </text>
    </comment>
    <comment ref="AI392" authorId="0" shapeId="0">
      <text>
        <t>Close: HK$9.91
Date: 2025-12-02
Venue: Futu (etnet; venues 9.91-10.05)
Source: etnet:ipo-info 暗盤數據</t>
      </text>
    </comment>
    <comment ref="AK392" authorId="1" shapeId="0">
      <text>
        <t>Hang Seng Commerce &amp; Industry sub-index
Previous trading close to listing-day close (2025-12-03).
Benchmark return in percent; not the index level or excess return.</t>
      </text>
    </comment>
    <comment ref="AP392" authorId="1" shapeId="0">
      <text>
        <t>Horizon close: 2025-12-10
5/21/63 traded sessions after debut; price-only return vs offer.</t>
      </text>
    </comment>
    <comment ref="AQ392" authorId="1" shapeId="0">
      <text>
        <t>Horizon close: 2026-01-06
5/21/63 traded sessions after debut; price-only return vs offer.</t>
      </text>
    </comment>
    <comment ref="AR392" authorId="1" shapeId="0">
      <text>
        <t>Horizon close: 2026-03-10
5/21/63 traded sessions after debut; price-only return vs offer.</t>
      </text>
    </comment>
    <comment ref="AI393" authorId="0" shapeId="0">
      <text>
        <t>Close: HK$6.04
Date: 2025-12-04
Venue: Futu (etnet; venues 6.0-6.04)
Source: etnet:ipo-info 暗盤數據</t>
      </text>
    </comment>
    <comment ref="AK393" authorId="1" shapeId="0">
      <text>
        <t>Hang Seng Commerce &amp; Industry sub-index
Previous trading close to listing-day close (2025-12-05).
Benchmark return in percent; not the index level or excess return.</t>
      </text>
    </comment>
    <comment ref="AP393" authorId="1" shapeId="0">
      <text>
        <t>Horizon close: 2025-12-12
5/21/63 traded sessions after debut; price-only return vs offer.</t>
      </text>
    </comment>
    <comment ref="AQ393" authorId="1" shapeId="0">
      <text>
        <t>Horizon close: 2026-01-08
5/21/63 traded sessions after debut; price-only return vs offer.</t>
      </text>
    </comment>
    <comment ref="AR393" authorId="1" shapeId="0">
      <text>
        <t>Horizon close: 2026-03-12
5/21/63 traded sessions after debut; price-only return vs offer.</t>
      </text>
    </comment>
    <comment ref="AI394" authorId="0" shapeId="0">
      <text>
        <t>Close: HK$49.54
Date: 2025-12-04
Venue: Futu (etnet; venues 49.34-49.86)
Source: etnet:ipo-info 暗盤數據</t>
      </text>
    </comment>
    <comment ref="AK394" authorId="1" shapeId="0">
      <text>
        <t>HSTECH (Hang Seng TECH ETF)
Previous trading close to listing-day close (2025-12-05).
Benchmark return in percent; not the index level or excess return.</t>
      </text>
    </comment>
    <comment ref="AP394" authorId="1" shapeId="0">
      <text>
        <t>Horizon close: 2025-12-12
5/21/63 traded sessions after debut; price-only return vs offer.</t>
      </text>
    </comment>
    <comment ref="AQ394" authorId="1" shapeId="0">
      <text>
        <t>Horizon close: 2026-01-08
5/21/63 traded sessions after debut; price-only return vs offer.</t>
      </text>
    </comment>
    <comment ref="AR394" authorId="1" shapeId="0">
      <text>
        <t>Horizon close: 2026-03-12
5/21/63 traded sessions after debut; price-only return vs offer.</t>
      </text>
    </comment>
    <comment ref="AI395" authorId="0" shapeId="0">
      <text>
        <t>Close: HK$105.7
Date: 2025-12-05
Venue: Futu (etnet; venues 105.3-105.7)
Source: etnet:ipo-info 暗盤數據</t>
      </text>
    </comment>
    <comment ref="AK395" authorId="1" shapeId="0">
      <text>
        <t>HSTECH (Hang Seng TECH ETF)
Previous trading close to listing-day close (2025-12-08).
Benchmark return in percent; not the index level or excess return.</t>
      </text>
    </comment>
    <comment ref="AP395" authorId="1" shapeId="0">
      <text>
        <t>Horizon close: 2025-12-15
5/21/63 traded sessions after debut; price-only return vs offer.</t>
      </text>
    </comment>
    <comment ref="AQ395" authorId="1" shapeId="0">
      <text>
        <t>Horizon close: 2026-01-09
5/21/63 traded sessions after debut; price-only return vs offer.</t>
      </text>
    </comment>
    <comment ref="AR395" authorId="1" shapeId="0">
      <text>
        <t>Horizon close: 2026-03-13
5/21/63 traded sessions after debut; price-only return vs offer.</t>
      </text>
    </comment>
    <comment ref="AI396" authorId="0" shapeId="0">
      <text>
        <t>Close: HK$87.55
Date: 2025-12-05
Venue: Futu (etnet; venues 87.55-88.1)
Source: etnet:ipo-info 暗盤數據</t>
      </text>
    </comment>
    <comment ref="AK396" authorId="1" shapeId="0">
      <text>
        <t>HSTECH (Hang Seng TECH ETF)
Previous trading close to listing-day close (2025-12-08).
Benchmark return in percent; not the index level or excess return.</t>
      </text>
    </comment>
    <comment ref="AP396" authorId="1" shapeId="0">
      <text>
        <t>Horizon close: 2025-12-15
5/21/63 traded sessions after debut; price-only return vs offer.</t>
      </text>
    </comment>
    <comment ref="AQ396" authorId="1" shapeId="0">
      <text>
        <t>Horizon close: 2026-01-09
5/21/63 traded sessions after debut; price-only return vs offer.</t>
      </text>
    </comment>
    <comment ref="AR396" authorId="1" shapeId="0">
      <text>
        <t>Horizon close: 2026-03-13
5/21/63 traded sessions after debut; price-only return vs offer.</t>
      </text>
    </comment>
    <comment ref="AI397" authorId="0" shapeId="0">
      <text>
        <t>Close: HK$56
Date: 2025-12-09
Venue: Futu (etnet; venues 55.95-56.5)
Source: etnet:ipo-info 暗盤數據</t>
      </text>
    </comment>
    <comment ref="AK397" authorId="1" shapeId="0">
      <text>
        <t>China Biotech ETF (HS biotech proxy)
Previous trading close to listing-day close (2025-12-10).
Benchmark return in percent; not the index level or excess return.</t>
      </text>
    </comment>
    <comment ref="AP397" authorId="1" shapeId="0">
      <text>
        <t>Horizon close: 2025-12-17
5/21/63 traded sessions after debut; price-only return vs offer.</t>
      </text>
    </comment>
    <comment ref="AQ397" authorId="1" shapeId="0">
      <text>
        <t>Horizon close: 2026-01-13
5/21/63 traded sessions after debut; price-only return vs offer.</t>
      </text>
    </comment>
    <comment ref="AR397" authorId="1" shapeId="0">
      <text>
        <t>Horizon close: 2026-03-17
5/21/63 traded sessions after debut; price-only return vs offer.</t>
      </text>
    </comment>
    <comment ref="AI398" authorId="0" shapeId="0">
      <text>
        <t>Close: HK$13.73
Date: 2025-12-10
Venue: Phillip (etnet; venues 13.73-13.77)
Source: etnet:ipo-info 暗盤數據</t>
      </text>
    </comment>
    <comment ref="AK398" authorId="1" shapeId="0">
      <text>
        <t>HSTECH (Hang Seng TECH ETF)
Previous trading close to listing-day close (2025-12-11).
Benchmark return in percent; not the index level or excess return.</t>
      </text>
    </comment>
    <comment ref="AP398" authorId="1" shapeId="0">
      <text>
        <t>Horizon close: 2025-12-18
5/21/63 traded sessions after debut; price-only return vs offer.</t>
      </text>
    </comment>
    <comment ref="AQ398" authorId="1" shapeId="0">
      <text>
        <t>Horizon close: 2026-01-14
5/21/63 traded sessions after debut; price-only return vs offer.</t>
      </text>
    </comment>
    <comment ref="AR398" authorId="1" shapeId="0">
      <text>
        <t>Horizon close: 2026-03-18
5/21/63 traded sessions after debut; price-only return vs offer.</t>
      </text>
    </comment>
    <comment ref="AI399" authorId="0" shapeId="0">
      <text>
        <t>Close: HK$37.8
Date: 2025-12-15
Venue: Phillip (etnet; venues 37.8-37.96)
Source: etnet:ipo-info 暗盤數據</t>
      </text>
    </comment>
    <comment ref="AK399" authorId="1" shapeId="0">
      <text>
        <t>HSTECH (Hang Seng TECH ETF)
Previous trading close to listing-day close (2025-12-16).
Benchmark return in percent; not the index level or excess return.</t>
      </text>
    </comment>
    <comment ref="AP399" authorId="1" shapeId="0">
      <text>
        <t>Horizon close: 2025-12-23
5/21/63 traded sessions after debut; price-only return vs offer.</t>
      </text>
    </comment>
    <comment ref="AQ399" authorId="1" shapeId="0">
      <text>
        <t>Horizon close: 2026-01-19
5/21/63 traded sessions after debut; price-only return vs offer.</t>
      </text>
    </comment>
    <comment ref="AR399" authorId="1" shapeId="0">
      <text>
        <t>Horizon close: 2026-03-23
5/21/63 traded sessions after debut; price-only return vs offer.</t>
      </text>
    </comment>
    <comment ref="AI400" authorId="0" shapeId="0">
      <text>
        <t>Close: HK$6.61
Date: 2025-12-16
Venue: Futu (etnet; venues 6.56-6.68)
Source: etnet:ipo-info 暗盤數據</t>
      </text>
    </comment>
    <comment ref="AK400" authorId="1" shapeId="0">
      <text>
        <t>HSTECH (Hang Seng TECH ETF)
Previous trading close to listing-day close (2025-12-17).
Benchmark return in percent; not the index level or excess return.</t>
      </text>
    </comment>
    <comment ref="AP400" authorId="1" shapeId="0">
      <text>
        <t>Horizon close: 2025-12-24
5/21/63 traded sessions after debut; price-only return vs offer.</t>
      </text>
    </comment>
    <comment ref="AQ400" authorId="1" shapeId="0">
      <text>
        <t>Horizon close: 2026-01-20
5/21/63 traded sessions after debut; price-only return vs offer.</t>
      </text>
    </comment>
    <comment ref="AR400" authorId="1" shapeId="0">
      <text>
        <t>Horizon close: 2026-03-24
5/21/63 traded sessions after debut; price-only return vs offer.</t>
      </text>
    </comment>
    <comment ref="AI401" authorId="0" shapeId="0">
      <text>
        <t>Close: HK$10.22
Date: 2025-12-18
Venue: Futu (etnet; venues 10.2-10.22)
Source: etnet:ipo-info 暗盤數據</t>
      </text>
    </comment>
    <comment ref="AK401" authorId="1" shapeId="0">
      <text>
        <t>Hang Seng Commerce &amp; Industry sub-index
Previous trading close to listing-day close (2025-12-19).
Benchmark return in percent; not the index level or excess return.</t>
      </text>
    </comment>
    <comment ref="AP401" authorId="1" shapeId="0">
      <text>
        <t>Horizon close: 2025-12-30
5/21/63 traded sessions after debut; price-only return vs offer.</t>
      </text>
    </comment>
    <comment ref="AQ401" authorId="1" shapeId="0">
      <text>
        <t>Horizon close: 2026-01-22
5/21/63 traded sessions after debut; price-only return vs offer.</t>
      </text>
    </comment>
    <comment ref="AR401" authorId="1" shapeId="0">
      <text>
        <t>Horizon close: 2026-03-26
5/21/63 traded sessions after debut; price-only return vs offer.</t>
      </text>
    </comment>
    <comment ref="AI402" authorId="0" shapeId="0">
      <text>
        <t>Close: HK$247
Date: 2025-12-18
Venue: Phillip (etnet; venues 246.0-248.6)
Source: etnet:ipo-info 暗盤數據</t>
      </text>
    </comment>
    <comment ref="AK402" authorId="1" shapeId="0">
      <text>
        <t>HSTECH (Hang Seng TECH ETF)
Previous trading close to listing-day close (2025-12-19).
Benchmark return in percent; not the index level or excess return.</t>
      </text>
    </comment>
    <comment ref="AP402" authorId="1" shapeId="0">
      <text>
        <t>Horizon close: 2025-12-30
5/21/63 traded sessions after debut; price-only return vs offer.</t>
      </text>
    </comment>
    <comment ref="AQ402" authorId="1" shapeId="0">
      <text>
        <t>Horizon close: 2026-01-22
5/21/63 traded sessions after debut; price-only return vs offer.</t>
      </text>
    </comment>
    <comment ref="AR402" authorId="1" shapeId="0">
      <text>
        <t>Horizon close: 2026-03-26
5/21/63 traded sessions after debut; price-only return vs offer.</t>
      </text>
    </comment>
    <comment ref="AI403" authorId="0" shapeId="0">
      <text>
        <t>Close: HK$3.44
Date: 2025-12-19
Venue: Phillip (etnet; venues 3.44-4.01)
Source: etnet:ipo-info 暗盤數據</t>
      </text>
    </comment>
    <comment ref="AK403" authorId="1" shapeId="0">
      <text>
        <t>Hang Seng Index
Previous trading close to listing-day close (2025-12-22).
Benchmark return in percent; not the index level or excess return.</t>
      </text>
    </comment>
    <comment ref="AP403" authorId="1" shapeId="0">
      <text>
        <t>Horizon close: 2025-12-31
5/21/63 traded sessions after debut; price-only return vs offer.</t>
      </text>
    </comment>
    <comment ref="AQ403" authorId="1" shapeId="0">
      <text>
        <t>Horizon close: 2026-01-23
5/21/63 traded sessions after debut; price-only return vs offer.</t>
      </text>
    </comment>
    <comment ref="AR403" authorId="1" shapeId="0">
      <text>
        <t>Horizon close: 2026-03-27
5/21/63 traded sessions after debut; price-only return vs offer.</t>
      </text>
    </comment>
    <comment ref="AI404" authorId="0" shapeId="0">
      <text>
        <t>Close: HK$38.42
Date: 2025-12-19
Venue: Phillip (etnet; venues 38.4-40.4)
Source: etnet:ipo-info 暗盤數據</t>
      </text>
    </comment>
    <comment ref="AK404" authorId="1" shapeId="0">
      <text>
        <t>China Biotech ETF (HS biotech proxy)
Previous trading close to listing-day close (2025-12-22).
Benchmark return in percent; not the index level or excess return.</t>
      </text>
    </comment>
    <comment ref="AP404" authorId="1" shapeId="0">
      <text>
        <t>Horizon close: 2025-12-31
5/21/63 traded sessions after debut; price-only return vs offer.</t>
      </text>
    </comment>
    <comment ref="AQ404" authorId="1" shapeId="0">
      <text>
        <t>Horizon close: 2026-01-23
5/21/63 traded sessions after debut; price-only return vs offer.</t>
      </text>
    </comment>
    <comment ref="AR404" authorId="1" shapeId="0">
      <text>
        <t>Horizon close: 2026-03-27
5/21/63 traded sessions after debut; price-only return vs offer.</t>
      </text>
    </comment>
    <comment ref="AI405" authorId="0" shapeId="0">
      <text>
        <t>Close: HK$6.97
Date: 2025-12-19
Venue: Phillip (etnet; venues 6.97-7.1)
Source: etnet:ipo-info 暗盤數據</t>
      </text>
    </comment>
    <comment ref="AK405" authorId="1" shapeId="0">
      <text>
        <t>HSTECH (Hang Seng TECH ETF)
Previous trading close to listing-day close (2025-12-22).
Benchmark return in percent; not the index level or excess return.</t>
      </text>
    </comment>
    <comment ref="AP405" authorId="1" shapeId="0">
      <text>
        <t>Horizon close: 2025-12-31
5/21/63 traded sessions after debut; price-only return vs offer.</t>
      </text>
    </comment>
    <comment ref="AQ405" authorId="1" shapeId="0">
      <text>
        <t>Horizon close: 2026-01-23
5/21/63 traded sessions after debut; price-only return vs offer.</t>
      </text>
    </comment>
    <comment ref="AR405" authorId="1" shapeId="0">
      <text>
        <t>Horizon close: 2026-03-27
5/21/63 traded sessions after debut; price-only return vs offer.</t>
      </text>
    </comment>
    <comment ref="AI406" authorId="0" shapeId="0">
      <text>
        <t>Close: HK$11.11
Date: 2025-12-19
Venue: Phillip (etnet; venues 10.9-11.11)
Source: etnet:ipo-info 暗盤數據</t>
      </text>
    </comment>
    <comment ref="AK406" authorId="1" shapeId="0">
      <text>
        <t>Hang Seng Finance sub-index
Previous trading close to listing-day close (2025-12-22).
Benchmark return in percent; not the index level or excess return.</t>
      </text>
    </comment>
    <comment ref="AP406" authorId="1" shapeId="0">
      <text>
        <t>Horizon close: 2025-12-31
5/21/63 traded sessions after debut; price-only return vs offer.</t>
      </text>
    </comment>
    <comment ref="AQ406" authorId="1" shapeId="0">
      <text>
        <t>Horizon close: 2026-01-23
5/21/63 traded sessions after debut; price-only return vs offer.</t>
      </text>
    </comment>
    <comment ref="AR406" authorId="1" shapeId="0">
      <text>
        <t>Horizon close: 2026-03-27
5/21/63 traded sessions after debut; price-only return vs offer.</t>
      </text>
    </comment>
    <comment ref="AI407" authorId="0" shapeId="0">
      <text>
        <t>Close: HK$300.6
Date: 2025-12-22
Venue: Futu (etnet; venues 296.0-300.6)
Source: etnet:ipo-info 暗盤數據</t>
      </text>
    </comment>
    <comment ref="AK407" authorId="1" shapeId="0">
      <text>
        <t>HSTECH (Hang Seng TECH ETF)
Previous trading close to listing-day close (2025-12-23).
Benchmark return in percent; not the index level or excess return.</t>
      </text>
    </comment>
    <comment ref="AP407" authorId="1" shapeId="0">
      <text>
        <t>Horizon close: 2026-01-02
5/21/63 traded sessions after debut; price-only return vs offer.</t>
      </text>
    </comment>
    <comment ref="AQ407" authorId="1" shapeId="0">
      <text>
        <t>Horizon close: 2026-01-26
5/21/63 traded sessions after debut; price-only return vs offer.</t>
      </text>
    </comment>
    <comment ref="AR407" authorId="1" shapeId="0">
      <text>
        <t>Horizon close: 2026-03-30
5/21/63 traded sessions after debut; price-only return vs offer.</t>
      </text>
    </comment>
    <comment ref="AI408" authorId="0" shapeId="0">
      <text>
        <t>Close: HK$51.7
Date: 2025-12-22
Venue: Phillip (etnet; venues 51.7-51.7)
Source: etnet:ipo-info 暗盤數據</t>
      </text>
    </comment>
    <comment ref="AK408" authorId="1" shapeId="0">
      <text>
        <t>Hang Seng Finance sub-index
Previous trading close to listing-day close (2025-12-23).
Benchmark return in percent; not the index level or excess return.</t>
      </text>
    </comment>
    <comment ref="AP408" authorId="1" shapeId="0">
      <text>
        <t>Horizon close: 2026-01-02
5/21/63 traded sessions after debut; price-only return vs offer.</t>
      </text>
    </comment>
    <comment ref="AQ408" authorId="1" shapeId="0">
      <text>
        <t>Horizon close: 2026-01-26
5/21/63 traded sessions after debut; price-only return vs offer.</t>
      </text>
    </comment>
    <comment ref="AR408" authorId="1" shapeId="0">
      <text>
        <t>Horizon close: 2026-03-30
5/21/63 traded sessions after debut; price-only return vs offer.</t>
      </text>
    </comment>
    <comment ref="AI409" authorId="0" shapeId="0">
      <text>
        <t>Close: HK$32.66
Date: 2025-12-22
Venue: Futu (etnet; venues 27.26-32.66)
Source: etnet:ipo-info 暗盤數據</t>
      </text>
    </comment>
    <comment ref="AK409" authorId="1" shapeId="0">
      <text>
        <t>China Biotech ETF (HS biotech proxy)
Previous trading close to listing-day close (2025-12-23).
Benchmark return in percent; not the index level or excess return.</t>
      </text>
    </comment>
    <comment ref="AP409" authorId="1" shapeId="0">
      <text>
        <t>Horizon close: 2026-01-02
5/21/63 traded sessions after debut; price-only return vs offer.</t>
      </text>
    </comment>
    <comment ref="AQ409" authorId="1" shapeId="0">
      <text>
        <t>Horizon close: 2026-01-26
5/21/63 traded sessions after debut; price-only return vs offer.</t>
      </text>
    </comment>
    <comment ref="AR409" authorId="1" shapeId="0">
      <text>
        <t>Horizon close: 2026-03-30
5/21/63 traded sessions after debut; price-only return vs offer.</t>
      </text>
    </comment>
    <comment ref="AI410" authorId="0" shapeId="0">
      <text>
        <t>Close: HK$48.98
Date: 2025-12-29
Venue: Futu (etnet; venues 44.0-48.98)
Source: etnet:ipo-info 暗盤數據</t>
      </text>
    </comment>
    <comment ref="AK410" authorId="1" shapeId="0">
      <text>
        <t>HSTECH (Hang Seng TECH ETF)
Previous trading close to listing-day close (2025-12-30).
Benchmark return in percent; not the index level or excess return.</t>
      </text>
    </comment>
    <comment ref="AP410" authorId="1" shapeId="0">
      <text>
        <t>Horizon close: 2026-01-07
5/21/63 traded sessions after debut; price-only return vs offer.</t>
      </text>
    </comment>
    <comment ref="AQ410" authorId="1" shapeId="0">
      <text>
        <t>Horizon close: 2026-01-29
5/21/63 traded sessions after debut; price-only return vs offer.</t>
      </text>
    </comment>
    <comment ref="AR410" authorId="1" shapeId="0">
      <text>
        <t>Horizon close: 2026-04-02
5/21/63 traded sessions after debut; price-only return vs offer.</t>
      </text>
    </comment>
    <comment ref="AI411" authorId="0" shapeId="0">
      <text>
        <t>Close: HK$91.65
Date: 2025-12-29
Venue: Phillip (etnet; venues 91.65-92.35)
Source: etnet:ipo-info 暗盤數據</t>
      </text>
    </comment>
    <comment ref="AK411" authorId="1" shapeId="0">
      <text>
        <t>Hang Seng Commerce &amp; Industry sub-index
Previous trading close to listing-day close (2025-12-30).
Benchmark return in percent; not the index level or excess return.</t>
      </text>
    </comment>
    <comment ref="AP411" authorId="1" shapeId="0">
      <text>
        <t>Horizon close: 2026-01-07
5/21/63 traded sessions after debut; price-only return vs offer.</t>
      </text>
    </comment>
    <comment ref="AQ411" authorId="1" shapeId="0">
      <text>
        <t>Horizon close: 2026-01-29
5/21/63 traded sessions after debut; price-only return vs offer.</t>
      </text>
    </comment>
    <comment ref="AR411" authorId="1" shapeId="0">
      <text>
        <t>Horizon close: 2026-04-02
5/21/63 traded sessions after debut; price-only return vs offer.</t>
      </text>
    </comment>
    <comment ref="AI412" authorId="0" shapeId="0">
      <text>
        <t>Close: HK$8.07
Date: 2025-12-29
Venue: Phillip (etnet; venues 8.07-8.8)
Source: etnet:ipo-info 暗盤數據</t>
      </text>
    </comment>
    <comment ref="AK412" authorId="1" shapeId="0">
      <text>
        <t>Hang Seng Commerce &amp; Industry sub-index
Previous trading close to listing-day close (2025-12-30).
Benchmark return in percent; not the index level or excess return.</t>
      </text>
    </comment>
    <comment ref="AP412" authorId="1" shapeId="0">
      <text>
        <t>Horizon close: 2026-01-07
5/21/63 traded sessions after debut; price-only return vs offer.</t>
      </text>
    </comment>
    <comment ref="AQ412" authorId="1" shapeId="0">
      <text>
        <t>Horizon close: 2026-01-29
5/21/63 traded sessions after debut; price-only return vs offer.</t>
      </text>
    </comment>
    <comment ref="AR412" authorId="1" shapeId="0">
      <text>
        <t>Horizon close: 2026-04-02
5/21/63 traded sessions after debut; price-only return vs offer.</t>
      </text>
    </comment>
    <comment ref="AI413" authorId="0" shapeId="0">
      <text>
        <t>Close: HK$36.86
Date: 2025-12-29
Venue: Futu (etnet; venues 36.1-36.86)
Source: etnet:ipo-info 暗盤數據</t>
      </text>
    </comment>
    <comment ref="AK413" authorId="1" shapeId="0">
      <text>
        <t>HSTECH (Hang Seng TECH ETF)
Previous trading close to listing-day close (2025-12-30).
Benchmark return in percent; not the index level or excess return.</t>
      </text>
    </comment>
    <comment ref="AP413" authorId="1" shapeId="0">
      <text>
        <t>Horizon close: 2026-01-07
5/21/63 traded sessions after debut; price-only return vs offer.</t>
      </text>
    </comment>
    <comment ref="AQ413" authorId="1" shapeId="0">
      <text>
        <t>Horizon close: 2026-01-29
5/21/63 traded sessions after debut; price-only return vs offer.</t>
      </text>
    </comment>
    <comment ref="AR413" authorId="1" shapeId="0">
      <text>
        <t>Horizon close: 2026-04-02
5/21/63 traded sessions after debut; price-only return vs offer.</t>
      </text>
    </comment>
    <comment ref="AI414" authorId="0" shapeId="0">
      <text>
        <t>Close: HK$37.68
Date: 2025-12-29
Venue: Futu (etnet; venues 37.68-39.0)
Source: etnet:ipo-info 暗盤數據</t>
      </text>
    </comment>
    <comment ref="AK414" authorId="1" shapeId="0">
      <text>
        <t>HSTECH (Hang Seng TECH ETF)
Previous trading close to listing-day close (2025-12-30).
Benchmark return in percent; not the index level or excess return.</t>
      </text>
    </comment>
    <comment ref="AP414" authorId="1" shapeId="0">
      <text>
        <t>Horizon close: 2026-01-07
5/21/63 traded sessions after debut; price-only return vs offer.</t>
      </text>
    </comment>
    <comment ref="AQ414" authorId="1" shapeId="0">
      <text>
        <t>Horizon close: 2026-01-29
5/21/63 traded sessions after debut; price-only return vs offer.</t>
      </text>
    </comment>
    <comment ref="AR414" authorId="1" shapeId="0">
      <text>
        <t>Horizon close: 2026-04-02
5/21/63 traded sessions after debut; price-only return vs offer.</t>
      </text>
    </comment>
    <comment ref="AI415" authorId="0" shapeId="0">
      <text>
        <t>Close: HK$67.4
Date: 2025-12-29
Venue: Futu (etnet; venues 67.4-68.1)
Source: etnet:ipo-info 暗盤數據</t>
      </text>
    </comment>
    <comment ref="AK415" authorId="1" shapeId="0">
      <text>
        <t>HSTECH (Hang Seng TECH ETF)
Previous trading close to listing-day close (2025-12-30).
Benchmark return in percent; not the index level or excess return.</t>
      </text>
    </comment>
    <comment ref="AP415" authorId="1" shapeId="0">
      <text>
        <t>Horizon close: 2026-01-07
5/21/63 traded sessions after debut; price-only return vs offer.</t>
      </text>
    </comment>
    <comment ref="AQ415" authorId="1" shapeId="0">
      <text>
        <t>Horizon close: 2026-01-29
5/21/63 traded sessions after debut; price-only return vs offer.</t>
      </text>
    </comment>
    <comment ref="AR415" authorId="1" shapeId="0">
      <text>
        <t>Horizon close: 2026-04-02
5/21/63 traded sessions after debut; price-only return vs offer.</t>
      </text>
    </comment>
    <comment ref="AI416" authorId="0" shapeId="0">
      <text>
        <t>Close: HK$35.08
Date: 2025-12-31
Venue: Phillip (輝立), as published by AAStocks
Source: press:AASTOCKS headline on Yahoo HK: '壁仞科技暗盤收報35.08元 高上市價79%' — offer HK$19.60, 35.08/19.6-1 = +78.98%. Grey high/low 38.8/19.6.</t>
      </text>
    </comment>
    <comment ref="AK416" authorId="1" shapeId="0">
      <text>
        <t>HSTECH (Hang Seng TECH ETF)
Previous trading close to listing-day close (2026-01-02).
Benchmark return in percent; not the index level or excess return.</t>
      </text>
    </comment>
    <comment ref="AP416" authorId="1" shapeId="0">
      <text>
        <t>Horizon close: 2026-01-09
5/21/63 traded sessions after debut; price-only return vs offer.</t>
      </text>
    </comment>
    <comment ref="AQ416" authorId="1" shapeId="0">
      <text>
        <t>Horizon close: 2026-02-02
5/21/63 traded sessions after debut; price-only return vs offer.</t>
      </text>
    </comment>
    <comment ref="AR416" authorId="1" shapeId="0">
      <text>
        <t>Horizon close: 2026-04-09
5/21/63 traded sessions after debut; price-only return vs offer.</t>
      </text>
    </comment>
    <comment ref="AI417" authorId="0" shapeId="0">
      <text>
        <t>Close: HK$123.2
Date: 2026-01-07
Venue: Futu (etnet; venues 121.3-123.2)
Source: etnet:ipo-info 暗盤數據</t>
      </text>
    </comment>
    <comment ref="AK417" authorId="1" shapeId="0">
      <text>
        <t>HSTECH (Hang Seng TECH ETF)
Previous trading close to listing-day close (2026-01-08).
Benchmark return in percent; not the index level or excess return.</t>
      </text>
    </comment>
    <comment ref="AP417" authorId="1" shapeId="0">
      <text>
        <t>Horizon close: 2026-01-15
5/21/63 traded sessions after debut; price-only return vs offer.</t>
      </text>
    </comment>
    <comment ref="AQ417" authorId="1" shapeId="0">
      <text>
        <t>Horizon close: 2026-02-06
5/21/63 traded sessions after debut; price-only return vs offer.</t>
      </text>
    </comment>
    <comment ref="AR417" authorId="1" shapeId="0">
      <text>
        <t>Horizon close: 2026-04-15
5/21/63 traded sessions after debut; price-only return vs offer.</t>
      </text>
    </comment>
    <comment ref="AI418" authorId="0" shapeId="0">
      <text>
        <t>Close: HK$198
Date: 2026-01-07
Venue: Phillip (etnet; venues 198.0-198.9)
Source: etnet:ipo-info 暗盤數據</t>
      </text>
    </comment>
    <comment ref="AK418" authorId="1" shapeId="0">
      <text>
        <t>HSTECH (Hang Seng TECH ETF)
Previous trading close to listing-day close (2026-01-08).
Benchmark return in percent; not the index level or excess return.</t>
      </text>
    </comment>
    <comment ref="AP418" authorId="1" shapeId="0">
      <text>
        <t>Horizon close: 2026-01-15
5/21/63 traded sessions after debut; price-only return vs offer.</t>
      </text>
    </comment>
    <comment ref="AQ418" authorId="1" shapeId="0">
      <text>
        <t>Horizon close: 2026-02-06
5/21/63 traded sessions after debut; price-only return vs offer.</t>
      </text>
    </comment>
    <comment ref="AR418" authorId="1" shapeId="0">
      <text>
        <t>Horizon close: 2026-04-15
5/21/63 traded sessions after debut; price-only return vs offer.</t>
      </text>
    </comment>
    <comment ref="AI419" authorId="0" shapeId="0">
      <text>
        <t>Close: HK$60.15
Date: 2026-01-07
Venue: Futu (etnet; venues 59.55-60.15)
Source: etnet:ipo-info 暗盤數據</t>
      </text>
    </comment>
    <comment ref="AK419" authorId="1" shapeId="0">
      <text>
        <t>China Biotech ETF (HS biotech proxy)
Previous trading close to listing-day close (2026-01-08).
Benchmark return in percent; not the index level or excess return.</t>
      </text>
    </comment>
    <comment ref="AP419" authorId="1" shapeId="0">
      <text>
        <t>Horizon close: 2026-01-15
5/21/63 traded sessions after debut; price-only return vs offer.</t>
      </text>
    </comment>
    <comment ref="AQ419" authorId="1" shapeId="0">
      <text>
        <t>Horizon close: 2026-02-06
5/21/63 traded sessions after debut; price-only return vs offer.</t>
      </text>
    </comment>
    <comment ref="AR419" authorId="1" shapeId="0">
      <text>
        <t>Horizon close: 2026-04-15
5/21/63 traded sessions after debut; price-only return vs offer.</t>
      </text>
    </comment>
    <comment ref="AI420" authorId="0" shapeId="0">
      <text>
        <t>Close: HK$205.6
Date: 2026-01-08
Venue: AAStocks headline figure (search summary attributes it to Futu; a second platform printed 209.2 / +26.8%)
Source: press:AASTOCKS headline on Yahoo HK: 'MiniMax-WP(00100.HK)暗盤收報205.6元 高上市價24.6%' — offer HK$165.00, 205.6/165-1 = +24.61%.</t>
      </text>
    </comment>
    <comment ref="AK420" authorId="1" shapeId="0">
      <text>
        <t>HSTECH (Hang Seng TECH ETF)
Previous trading close to listing-day close (2026-01-09).
Benchmark return in percent; not the index level or excess return.</t>
      </text>
    </comment>
    <comment ref="AP420" authorId="1" shapeId="0">
      <text>
        <t>Horizon close: 2026-01-16
5/21/63 traded sessions after debut; price-only return vs offer.</t>
      </text>
    </comment>
    <comment ref="AQ420" authorId="1" shapeId="0">
      <text>
        <t>Horizon close: 2026-02-09
5/21/63 traded sessions after debut; price-only return vs offer.</t>
      </text>
    </comment>
    <comment ref="AR420" authorId="1" shapeId="0">
      <text>
        <t>Horizon close: 2026-04-16
5/21/63 traded sessions after debut; price-only return vs offer.</t>
      </text>
    </comment>
    <comment ref="AI421" authorId="0" shapeId="0">
      <text>
        <t>Close: HK$74.8
Date: 2026-01-08
Venue: Phillip (etnet; venues 74.6-78.0)
Source: etnet:ipo-info 暗盤數據</t>
      </text>
    </comment>
    <comment ref="AK421" authorId="1" shapeId="0">
      <text>
        <t>China Biotech ETF (HS biotech proxy)
Previous trading close to listing-day close (2026-01-09).
Benchmark return in percent; not the index level or excess return.</t>
      </text>
    </comment>
    <comment ref="AP421" authorId="1" shapeId="0">
      <text>
        <t>Horizon close: 2026-01-16
5/21/63 traded sessions after debut; price-only return vs offer.</t>
      </text>
    </comment>
    <comment ref="AQ421" authorId="1" shapeId="0">
      <text>
        <t>Horizon close: 2026-02-09
5/21/63 traded sessions after debut; price-only return vs offer.</t>
      </text>
    </comment>
    <comment ref="AR421" authorId="1" shapeId="0">
      <text>
        <t>Horizon close: 2026-04-16
5/21/63 traded sessions after debut; price-only return vs offer.</t>
      </text>
    </comment>
    <comment ref="AI422" authorId="0" shapeId="0">
      <text>
        <t>Close: HK$38.7
Date: 2026-01-08
Venue: Futu (etnet; venues 38.7-40.62)
Source: etnet:ipo-info 暗盤數據</t>
      </text>
    </comment>
    <comment ref="AK422" authorId="1" shapeId="0">
      <text>
        <t>Hang Seng Commerce &amp; Industry sub-index
Previous trading close to listing-day close (2026-01-09).
Benchmark return in percent; not the index level or excess return.</t>
      </text>
    </comment>
    <comment ref="AP422" authorId="1" shapeId="0">
      <text>
        <t>Horizon close: 2026-01-16
5/21/63 traded sessions after debut; price-only return vs offer.</t>
      </text>
    </comment>
    <comment ref="AQ422" authorId="1" shapeId="0">
      <text>
        <t>Horizon close: 2026-02-09
5/21/63 traded sessions after debut; price-only return vs offer.</t>
      </text>
    </comment>
    <comment ref="AR422" authorId="1" shapeId="0">
      <text>
        <t>Horizon close: 2026-04-16
5/21/63 traded sessions after debut; price-only return vs offer.</t>
      </text>
    </comment>
    <comment ref="AI423" authorId="0" shapeId="0">
      <text>
        <t>Close: HK$104.5
Date: 2026-01-09
Venue: press (HKET) — venue not stated
Source: press:HKET via search: '豪威集團暗盤昨日收104.5元，低上市價0.3%' — offer HK$104.80, 104.5/104.8-1 = -0.29%. Day-1 opened 108 (+3.1%).</t>
      </text>
    </comment>
    <comment ref="AK423" authorId="1" shapeId="0">
      <text>
        <t>HSTECH (Hang Seng TECH ETF)
Previous trading close to listing-day close (2026-01-12).
Benchmark return in percent; not the index level or excess return.</t>
      </text>
    </comment>
    <comment ref="AP423" authorId="1" shapeId="0">
      <text>
        <t>Horizon close: 2026-01-19
5/21/63 traded sessions after debut; price-only return vs offer.</t>
      </text>
    </comment>
    <comment ref="AQ423" authorId="1" shapeId="0">
      <text>
        <t>Horizon close: 2026-02-10
5/21/63 traded sessions after debut; price-only return vs offer.</t>
      </text>
    </comment>
    <comment ref="AR423" authorId="1" shapeId="0">
      <text>
        <t>Horizon close: 2026-04-17
5/21/63 traded sessions after debut; price-only return vs offer.</t>
      </text>
    </comment>
    <comment ref="AI424" authorId="0" shapeId="0">
      <text>
        <t>Close: HK$18.07
Date: 2026-01-12
Venue: Futu (etnet; venues 16.59-18.07)
Source: etnet:ipo-info 暗盤數據</t>
      </text>
    </comment>
    <comment ref="AK424" authorId="1" shapeId="0">
      <text>
        <t>Hang Seng Commerce &amp; Industry sub-index
Previous trading close to listing-day close (2026-01-13).
Benchmark return in percent; not the index level or excess return.</t>
      </text>
    </comment>
    <comment ref="AP424" authorId="1" shapeId="0">
      <text>
        <t>Horizon close: 2026-01-20
5/21/63 traded sessions after debut; price-only return vs offer.</t>
      </text>
    </comment>
    <comment ref="AQ424" authorId="1" shapeId="0">
      <text>
        <t>Horizon close: 2026-02-11
5/21/63 traded sessions after debut; price-only return vs offer.</t>
      </text>
    </comment>
    <comment ref="AR424" authorId="1" shapeId="0">
      <text>
        <t>Horizon close: 2026-04-20
5/21/63 traded sessions after debut; price-only return vs offer.</t>
      </text>
    </comment>
    <comment ref="AI425" authorId="0" shapeId="0">
      <text>
        <t>Close: HK$226.8
Date: 2026-01-12
Venue: Phillip (etnet; venues 224.2-226.8)
Source: etnet:ipo-info 暗盤數據</t>
      </text>
    </comment>
    <comment ref="AK425" authorId="1" shapeId="0">
      <text>
        <t>HSTECH (Hang Seng TECH ETF)
Previous trading close to listing-day close (2026-01-13).
Benchmark return in percent; not the index level or excess return.</t>
      </text>
    </comment>
    <comment ref="AP425" authorId="1" shapeId="0">
      <text>
        <t>Horizon close: 2026-01-20
5/21/63 traded sessions after debut; price-only return vs offer.</t>
      </text>
    </comment>
    <comment ref="AQ425" authorId="1" shapeId="0">
      <text>
        <t>Horizon close: 2026-02-11
5/21/63 traded sessions after debut; price-only return vs offer.</t>
      </text>
    </comment>
    <comment ref="AR425" authorId="1" shapeId="0">
      <text>
        <t>Horizon close: 2026-04-20
5/21/63 traded sessions after debut; price-only return vs offer.</t>
      </text>
    </comment>
    <comment ref="AI426" authorId="0" shapeId="0">
      <text>
        <t>Close: HK$36.22
Date: 2026-01-21
Venue: Phillip (etnet; venues 36.22-37.12)
Source: etnet:ipo-info 暗盤數據</t>
      </text>
    </comment>
    <comment ref="AK426" authorId="1" shapeId="0">
      <text>
        <t>HSTECH (Hang Seng TECH ETF)
Previous trading close to listing-day close (2026-01-22).
Benchmark return in percent; not the index level or excess return.</t>
      </text>
    </comment>
    <comment ref="AP426" authorId="1" shapeId="0">
      <text>
        <t>Horizon close: 2026-01-29
5/21/63 traded sessions after debut; price-only return vs offer.</t>
      </text>
    </comment>
    <comment ref="AQ426" authorId="1" shapeId="0">
      <text>
        <t>Horizon close: 2026-02-25
5/21/63 traded sessions after debut; price-only return vs offer.</t>
      </text>
    </comment>
    <comment ref="AR426" authorId="1" shapeId="0">
      <text>
        <t>Horizon close: 2026-04-29
5/21/63 traded sessions after debut; price-only return vs offer.</t>
      </text>
    </comment>
    <comment ref="AI427" authorId="0" shapeId="0">
      <text>
        <t>Close: HK$408
Date: 2026-01-27
Venue: Phillip (etnet; venues 408.0-416.8)
Source: etnet:ipo-info 暗盤數據</t>
      </text>
    </comment>
    <comment ref="AK427" authorId="1" shapeId="0">
      <text>
        <t>Hang Seng Commerce &amp; Industry sub-index
Previous trading close to listing-day close (2026-01-28).
Benchmark return in percent; not the index level or excess return.</t>
      </text>
    </comment>
    <comment ref="AP427" authorId="1" shapeId="0">
      <text>
        <t>Horizon close: 2026-02-04
5/21/63 traded sessions after debut; price-only return vs offer.</t>
      </text>
    </comment>
    <comment ref="AQ427" authorId="1" shapeId="0">
      <text>
        <t>Horizon close: 2026-03-03
5/21/63 traded sessions after debut; price-only return vs offer.</t>
      </text>
    </comment>
    <comment ref="AR427" authorId="1" shapeId="0">
      <text>
        <t>Horizon close: 2026-05-06
5/21/63 traded sessions after debut; price-only return vs offer.</t>
      </text>
    </comment>
    <comment ref="AI428" authorId="0" shapeId="0">
      <text>
        <t>Close: HK$250
Date: 2026-02-02
Venue: Phillip (輝立)
Source: press:Ming Pao 2026-02-03 '東鵬飲料3暗盤表現一般': 富途 247.8 (-0.08%), 輝立 250 (+0.8%), 耀才 249.2 (+0.5%) — offer HK$248.00; the Phillip print is recorded to match the scrape's venue. 250/248-1 = +0.81%.</t>
      </text>
    </comment>
    <comment ref="AK428" authorId="1" shapeId="0">
      <text>
        <t>Hang Seng Commerce &amp; Industry sub-index
Previous trading close to listing-day close (2026-02-03).
Benchmark return in percent; not the index level or excess return.</t>
      </text>
    </comment>
    <comment ref="AP428" authorId="1" shapeId="0">
      <text>
        <t>Horizon close: 2026-02-10
5/21/63 traded sessions after debut; price-only return vs offer.</t>
      </text>
    </comment>
    <comment ref="AQ428" authorId="1" shapeId="0">
      <text>
        <t>Horizon close: 2026-03-09
5/21/63 traded sessions after debut; price-only return vs offer.</t>
      </text>
    </comment>
    <comment ref="AR428" authorId="1" shapeId="0">
      <text>
        <t>Horizon close: 2026-05-12
5/21/63 traded sessions after debut; price-only return vs offer.</t>
      </text>
    </comment>
    <comment ref="AI429" authorId="0" shapeId="0">
      <text>
        <t>Close: HK$47.2
Date: 2026-02-03
Venue: Phillip (etnet; venues 47.1-49.0)
Source: etnet:ipo-info 暗盤數據</t>
      </text>
    </comment>
    <comment ref="AK429" authorId="1" shapeId="0">
      <text>
        <t>HSTECH (Hang Seng TECH ETF)
Previous trading close to listing-day close (2026-02-04).
Benchmark return in percent; not the index level or excess return.</t>
      </text>
    </comment>
    <comment ref="AP429" authorId="1" shapeId="0">
      <text>
        <t>Horizon close: 2026-02-11
5/21/63 traded sessions after debut; price-only return vs offer.</t>
      </text>
    </comment>
    <comment ref="AQ429" authorId="1" shapeId="0">
      <text>
        <t>Horizon close: 2026-03-10
5/21/63 traded sessions after debut; price-only return vs offer.</t>
      </text>
    </comment>
    <comment ref="AR429" authorId="1" shapeId="0">
      <text>
        <t>Horizon close: 2026-05-13
5/21/63 traded sessions after debut; price-only return vs offer.</t>
      </text>
    </comment>
    <comment ref="AI430" authorId="0" shapeId="0">
      <text>
        <t>Close: HK$88.8
Date: 2026-02-05
Venue: Phillip (etnet; venues 88.8-94.05)
Source: etnet:ipo-info 暗盤數據</t>
      </text>
    </comment>
    <comment ref="AK430" authorId="1" shapeId="0">
      <text>
        <t>China Biotech ETF (HS biotech proxy)
Previous trading close to listing-day close (2026-02-06).
Benchmark return in percent; not the index level or excess return.</t>
      </text>
    </comment>
    <comment ref="AP430" authorId="1" shapeId="0">
      <text>
        <t>Horizon close: 2026-02-13
5/21/63 traded sessions after debut; price-only return vs offer.</t>
      </text>
    </comment>
    <comment ref="AQ430" authorId="1" shapeId="0">
      <text>
        <t>Horizon close: 2026-03-12
5/21/63 traded sessions after debut; price-only return vs offer.</t>
      </text>
    </comment>
    <comment ref="AR430" authorId="1" shapeId="0">
      <text>
        <t>Horizon close: 2026-05-15
5/21/63 traded sessions after debut; price-only return vs offer.</t>
      </text>
    </comment>
    <comment ref="AI431" authorId="0" shapeId="0">
      <text>
        <t>Close: HK$118.2
Date: 2026-02-05
Venue: Phillip (etnet; venues 116.6-118.2)
Source: etnet:ipo-info 暗盤數據</t>
      </text>
    </comment>
    <comment ref="AK431" authorId="1" shapeId="0">
      <text>
        <t>Hang Seng Commerce &amp; Industry sub-index
Previous trading close to listing-day close (2026-02-06).
Benchmark return in percent; not the index level or excess return.</t>
      </text>
    </comment>
    <comment ref="AP431" authorId="1" shapeId="0">
      <text>
        <t>Horizon close: 2026-02-13
5/21/63 traded sessions after debut; price-only return vs offer.</t>
      </text>
    </comment>
    <comment ref="AQ431" authorId="1" shapeId="0">
      <text>
        <t>Horizon close: 2026-03-12
5/21/63 traded sessions after debut; price-only return vs offer.</t>
      </text>
    </comment>
    <comment ref="AR431" authorId="1" shapeId="0">
      <text>
        <t>Horizon close: 2026-05-15
5/21/63 traded sessions after debut; price-only return vs offer.</t>
      </text>
    </comment>
    <comment ref="AI432" authorId="0" shapeId="0">
      <text>
        <t>Close: HK$41
Date: 2026-02-05
Venue: Phillip (etnet; venues 39.74-41.0)
Source: etnet:ipo-info 暗盤數據</t>
      </text>
    </comment>
    <comment ref="AK432" authorId="1" shapeId="0">
      <text>
        <t>Hang Seng Commerce &amp; Industry sub-index
Previous trading close to listing-day close (2026-02-06).
Benchmark return in percent; not the index level or excess return.</t>
      </text>
    </comment>
    <comment ref="AP432" authorId="1" shapeId="0">
      <text>
        <t>Horizon close: 2026-02-13
5/21/63 traded sessions after debut; price-only return vs offer.</t>
      </text>
    </comment>
    <comment ref="AQ432" authorId="1" shapeId="0">
      <text>
        <t>Horizon close: 2026-03-12
5/21/63 traded sessions after debut; price-only return vs offer.</t>
      </text>
    </comment>
    <comment ref="AR432" authorId="1" shapeId="0">
      <text>
        <t>Horizon close: 2026-05-15
5/21/63 traded sessions after debut; price-only return vs offer.</t>
      </text>
    </comment>
    <comment ref="AI433" authorId="0" shapeId="0">
      <text>
        <t>Close: HK$149.4
Date: 2026-02-06
Venue: Futu (etnet; venues 149.4-151.6)
Source: etnet:ipo-info 暗盤數據</t>
      </text>
    </comment>
    <comment ref="AK433" authorId="1" shapeId="0">
      <text>
        <t>HSTECH (Hang Seng TECH ETF)
Previous trading close to listing-day close (2026-02-09).
Benchmark return in percent; not the index level or excess return.</t>
      </text>
    </comment>
    <comment ref="AP433" authorId="1" shapeId="0">
      <text>
        <t>Horizon close: 2026-02-16
5/21/63 traded sessions after debut; price-only return vs offer.</t>
      </text>
    </comment>
    <comment ref="AQ433" authorId="1" shapeId="0">
      <text>
        <t>Horizon close: 2026-03-13
5/21/63 traded sessions after debut; price-only return vs offer.</t>
      </text>
    </comment>
    <comment ref="AR433" authorId="1" shapeId="0">
      <text>
        <t>Horizon close: 2026-05-18
5/21/63 traded sessions after debut; price-only return vs offer.</t>
      </text>
    </comment>
    <comment ref="AI434" authorId="0" shapeId="0">
      <text>
        <t>Close: HK$24.48
Date: 2026-02-09
Venue: Futu (etnet; venues 24.48-24.7)
Source: etnet:ipo-info 暗盤數據</t>
      </text>
    </comment>
    <comment ref="AK434" authorId="1" shapeId="0">
      <text>
        <t>Hang Seng Commerce &amp; Industry sub-index
Previous trading close to listing-day close (2026-02-10).
Benchmark return in percent; not the index level or excess return.</t>
      </text>
    </comment>
    <comment ref="AP434" authorId="1" shapeId="0">
      <text>
        <t>Horizon close: 2026-02-20
5/21/63 traded sessions after debut; price-only return vs offer.</t>
      </text>
    </comment>
    <comment ref="AQ434" authorId="1" shapeId="0">
      <text>
        <t>Horizon close: 2026-03-16
5/21/63 traded sessions after debut; price-only return vs offer.</t>
      </text>
    </comment>
    <comment ref="AR434" authorId="1" shapeId="0">
      <text>
        <t>Horizon close: 2026-05-19
5/21/63 traded sessions after debut; price-only return vs offer.</t>
      </text>
    </comment>
    <comment ref="AI435" authorId="0" shapeId="0">
      <text>
        <t>Close: HK$27
Date: 2026-02-09
Venue: Phillip (etnet; venues 27.0-27.04)
Source: etnet:ipo-info 暗盤數據</t>
      </text>
    </comment>
    <comment ref="AK435" authorId="1" shapeId="0">
      <text>
        <t>HSTECH (Hang Seng TECH ETF)
Previous trading close to listing-day close (2026-02-10).
Benchmark return in percent; not the index level or excess return.</t>
      </text>
    </comment>
    <comment ref="AP435" authorId="1" shapeId="0">
      <text>
        <t>Horizon close: 2026-02-20
5/21/63 traded sessions after debut; price-only return vs offer.</t>
      </text>
    </comment>
    <comment ref="AQ435" authorId="1" shapeId="0">
      <text>
        <t>Horizon close: 2026-03-16
5/21/63 traded sessions after debut; price-only return vs offer.</t>
      </text>
    </comment>
    <comment ref="AR435" authorId="1" shapeId="0">
      <text>
        <t>Horizon close: 2026-05-19
5/21/63 traded sessions after debut; price-only return vs offer.</t>
      </text>
    </comment>
    <comment ref="AI436" authorId="0" shapeId="0">
      <text>
        <t>Close: HK$46.66
Date: 2026-02-10
Venue: Phillip (輝立), as published by AAStocks
Source: press:AASTOCKS NOW.1502421: '先導智能(00470.HK)暗盤收報46.66元 高上市價1.9%' — 根據輝立交易平台; offer HK$45.80, 46.66/45.8-1 = +1.88%.</t>
      </text>
    </comment>
    <comment ref="AK436" authorId="1" shapeId="0">
      <text>
        <t>Hang Seng Commerce &amp; Industry sub-index
Previous trading close to listing-day close (2026-02-11).
Benchmark return in percent; not the index level or excess return.</t>
      </text>
    </comment>
    <comment ref="AP436" authorId="1" shapeId="0">
      <text>
        <t>Horizon close: 2026-02-23
5/21/63 traded sessions after debut; price-only return vs offer.</t>
      </text>
    </comment>
    <comment ref="AQ436" authorId="1" shapeId="0">
      <text>
        <t>Horizon close: 2026-03-17
5/21/63 traded sessions after debut; price-only return vs offer.</t>
      </text>
    </comment>
    <comment ref="AR436" authorId="1" shapeId="0">
      <text>
        <t>Horizon close: 2026-05-20
5/21/63 traded sessions after debut; price-only return vs offer.</t>
      </text>
    </comment>
    <comment ref="AI437" authorId="0" shapeId="0">
      <text>
        <t>Close: HK$84
Date: 2026-02-12
Venue: Futu (etnet; venues 84.0-85.2)
Source: etnet:ipo-info 暗盤數據</t>
      </text>
    </comment>
    <comment ref="AK437" authorId="1" shapeId="0">
      <text>
        <t>HSTECH (Hang Seng TECH ETF)
Previous trading close to listing-day close (2026-02-13).
Benchmark return in percent; not the index level or excess return.</t>
      </text>
    </comment>
    <comment ref="AP437" authorId="1" shapeId="0">
      <text>
        <t>Horizon close: 2026-02-25
5/21/63 traded sessions after debut; price-only return vs offer.</t>
      </text>
    </comment>
    <comment ref="AQ437" authorId="1" shapeId="0">
      <text>
        <t>Horizon close: 2026-03-19
5/21/63 traded sessions after debut; price-only return vs offer.</t>
      </text>
    </comment>
    <comment ref="AR437" authorId="1" shapeId="0">
      <text>
        <t>Horizon close: 2026-05-22
5/21/63 traded sessions after debut; price-only return vs offer.</t>
      </text>
    </comment>
    <comment ref="AI438" authorId="0" shapeId="0">
      <text>
        <t>Close: HK$21.08
Date: 2026-02-12
Venue: Futu (etnet; venues 21.0-21.08)
Source: etnet:ipo-info 暗盤數據</t>
      </text>
    </comment>
    <comment ref="AK438" authorId="1" shapeId="0">
      <text>
        <t>Hang Seng Commerce &amp; Industry sub-index
Previous trading close to listing-day close (2026-02-13).
Benchmark return in percent; not the index level or excess return.</t>
      </text>
    </comment>
    <comment ref="AP438" authorId="1" shapeId="0">
      <text>
        <t>Horizon close: 2026-02-25
5/21/63 traded sessions after debut; price-only return vs offer.</t>
      </text>
    </comment>
    <comment ref="AQ438" authorId="1" shapeId="0">
      <text>
        <t>Horizon close: 2026-03-19
5/21/63 traded sessions after debut; price-only return vs offer.</t>
      </text>
    </comment>
    <comment ref="AR438" authorId="1" shapeId="0">
      <text>
        <t>Horizon close: 2026-05-22
5/21/63 traded sessions after debut; price-only return vs offer.</t>
      </text>
    </comment>
    <comment ref="AI439" authorId="0" shapeId="0">
      <text>
        <t>Close: HK$14.1
Date: 2026-03-06
Venue: Phillip (etnet; venues 13.9-14.2)
Source: etnet:ipo-info 暗盤數據</t>
      </text>
    </comment>
    <comment ref="AK439" authorId="1" shapeId="0">
      <text>
        <t>HSTECH (Hang Seng TECH ETF)
Previous trading close to listing-day close (2026-03-09).
Benchmark return in percent; not the index level or excess return.</t>
      </text>
    </comment>
    <comment ref="AP439" authorId="1" shapeId="0">
      <text>
        <t>Horizon close: 2026-03-16
5/21/63 traded sessions after debut; price-only return vs offer.</t>
      </text>
    </comment>
    <comment ref="AQ439" authorId="1" shapeId="0">
      <text>
        <t>Horizon close: 2026-04-10
5/21/63 traded sessions after debut; price-only return vs offer.</t>
      </text>
    </comment>
    <comment ref="AR439" authorId="1" shapeId="0">
      <text>
        <t>Horizon close: 2026-06-11
5/21/63 traded sessions after debut; price-only return vs offer.</t>
      </text>
    </comment>
    <comment ref="AI440" authorId="0" shapeId="0">
      <text>
        <t>Close: HK$10.9
Date: 2026-03-06
Venue: Phillip (etnet; venues 10.9-14.0)
Source: etnet:ipo-info 暗盤數據</t>
      </text>
    </comment>
    <comment ref="AK440" authorId="1" shapeId="0">
      <text>
        <t>Hang Seng Commerce &amp; Industry sub-index
Previous trading close to listing-day close (2026-03-09).
Benchmark return in percent; not the index level or excess return.</t>
      </text>
    </comment>
    <comment ref="AP440" authorId="1" shapeId="0">
      <text>
        <t>Horizon close: 2026-03-16
5/21/63 traded sessions after debut; price-only return vs offer.</t>
      </text>
    </comment>
    <comment ref="AQ440" authorId="1" shapeId="0">
      <text>
        <t>Horizon close: pending: 15 traded sessions after debut; 21 needed
5/21/63 traded sessions after debut; price-only return vs offer.</t>
      </text>
    </comment>
    <comment ref="AR440" authorId="1" shapeId="0">
      <text>
        <t>Horizon close: pending: 15 traded sessions after debut; 63 needed
5/21/63 traded sessions after debut; price-only return vs offer.</t>
      </text>
    </comment>
    <comment ref="AI441" authorId="0" shapeId="0">
      <text>
        <t>Close: HK$82.8
Date: 2026-03-06
Venue: Phillip (etnet; venues 82.55-84.1)
Source: etnet:ipo-info 暗盤數據</t>
      </text>
    </comment>
    <comment ref="AK441" authorId="1" shapeId="0">
      <text>
        <t>Hang Seng Commerce &amp; Industry sub-index
Previous trading close to listing-day close (2026-03-09).
Benchmark return in percent; not the index level or excess return.</t>
      </text>
    </comment>
    <comment ref="AP441" authorId="1" shapeId="0">
      <text>
        <t>Horizon close: 2026-03-16
5/21/63 traded sessions after debut; price-only return vs offer.</t>
      </text>
    </comment>
    <comment ref="AQ441" authorId="1" shapeId="0">
      <text>
        <t>Horizon close: 2026-04-10
5/21/63 traded sessions after debut; price-only return vs offer.</t>
      </text>
    </comment>
    <comment ref="AR441" authorId="1" shapeId="0">
      <text>
        <t>Horizon close: 2026-06-11
5/21/63 traded sessions after debut; price-only return vs offer.</t>
      </text>
    </comment>
    <comment ref="AI442" authorId="0" shapeId="0">
      <text>
        <t>Close: HK$29.4
Date: 2026-03-09
Venue: Futu (etnet; venues 28.9-29.4)
Source: etnet:ipo-info 暗盤數據</t>
      </text>
    </comment>
    <comment ref="AK442" authorId="1" shapeId="0">
      <text>
        <t>HSTECH (Hang Seng TECH ETF)
Previous trading close to listing-day close (2026-03-10).
Benchmark return in percent; not the index level or excess return.</t>
      </text>
    </comment>
    <comment ref="AP442" authorId="1" shapeId="0">
      <text>
        <t>Horizon close: 2026-03-17
5/21/63 traded sessions after debut; price-only return vs offer.</t>
      </text>
    </comment>
    <comment ref="AQ442" authorId="1" shapeId="0">
      <text>
        <t>Horizon close: 2026-04-13
5/21/63 traded sessions after debut; price-only return vs offer.</t>
      </text>
    </comment>
    <comment ref="AR442" authorId="1" shapeId="0">
      <text>
        <t>Horizon close: 2026-06-12
5/21/63 traded sessions after debut; price-only return vs offer.</t>
      </text>
    </comment>
    <comment ref="AI443" authorId="0" shapeId="0">
      <text>
        <t>Close: HK$95
Date: 2026-03-19
Venue: Futu (etnet; venues 95.0-97.1)
Source: etnet:ipo-info 暗盤數據</t>
      </text>
    </comment>
    <comment ref="AK443" authorId="1" shapeId="0">
      <text>
        <t>HSTECH (Hang Seng TECH ETF)
Previous trading close to listing-day close (2026-03-20).
Benchmark return in percent; not the index level or excess return.</t>
      </text>
    </comment>
    <comment ref="AP443" authorId="1" shapeId="0">
      <text>
        <t>Horizon close: 2026-03-27
5/21/63 traded sessions after debut; price-only return vs offer.</t>
      </text>
    </comment>
    <comment ref="AQ443" authorId="1" shapeId="0">
      <text>
        <t>Horizon close: 2026-04-23
5/21/63 traded sessions after debut; price-only return vs offer.</t>
      </text>
    </comment>
    <comment ref="AR443" authorId="1" shapeId="0">
      <text>
        <t>Horizon close: 2026-06-25
5/21/63 traded sessions after debut; price-only return vs offer.</t>
      </text>
    </comment>
    <comment ref="AI444" authorId="0" shapeId="0">
      <text>
        <t>Close: HK$11.7
Date: 2026-03-20
Venue: Futu (etnet; venues 11.64-11.79)
Source: etnet:ipo-info 暗盤數據</t>
      </text>
    </comment>
    <comment ref="AK444" authorId="1" shapeId="0">
      <text>
        <t>HSTECH (Hang Seng TECH ETF)
Previous trading close to listing-day close (2026-03-23).
Benchmark return in percent; not the index level or excess return.</t>
      </text>
    </comment>
    <comment ref="AP444" authorId="1" shapeId="0">
      <text>
        <t>Horizon close: 2026-03-30
5/21/63 traded sessions after debut; price-only return vs offer.</t>
      </text>
    </comment>
    <comment ref="AQ444" authorId="1" shapeId="0">
      <text>
        <t>Horizon close: 2026-04-24
5/21/63 traded sessions after debut; price-only return vs offer.</t>
      </text>
    </comment>
    <comment ref="AR444" authorId="1" shapeId="0">
      <text>
        <t>Horizon close: 2026-06-26
5/21/63 traded sessions after debut; price-only return vs offer.</t>
      </text>
    </comment>
    <comment ref="AI445" authorId="0" shapeId="0">
      <text>
        <t>Close: HK$60.9
Date: 2026-03-20
Venue: Futu (etnet; venues 60.1-60.9)
Source: etnet:ipo-info 暗盤數據</t>
      </text>
    </comment>
    <comment ref="AK445" authorId="1" shapeId="0">
      <text>
        <t>HSTECH (Hang Seng TECH ETF)
Previous trading close to listing-day close (2026-03-23).
Benchmark return in percent; not the index level or excess return.</t>
      </text>
    </comment>
    <comment ref="AP445" authorId="1" shapeId="0">
      <text>
        <t>Horizon close: 2026-03-30
5/21/63 traded sessions after debut; price-only return vs offer.</t>
      </text>
    </comment>
    <comment ref="AQ445" authorId="1" shapeId="0">
      <text>
        <t>Horizon close: 2026-04-24
5/21/63 traded sessions after debut; price-only return vs offer.</t>
      </text>
    </comment>
    <comment ref="AR445" authorId="1" shapeId="0">
      <text>
        <t>Horizon close: 2026-06-26
5/21/63 traded sessions after debut; price-only return vs offer.</t>
      </text>
    </comment>
    <comment ref="AI446" authorId="0" shapeId="0">
      <text>
        <t>Close: HK$30.52
Date: 2026-03-23
Venue: Futu (etnet; venues 30.42-30.52)
Source: etnet:ipo-info 暗盤數據</t>
      </text>
    </comment>
    <comment ref="AK446" authorId="1" shapeId="0">
      <text>
        <t>HSTECH (Hang Seng TECH ETF)
Previous trading close to listing-day close (2026-03-24).
Benchmark return in percent; not the index level or excess return.</t>
      </text>
    </comment>
    <comment ref="AP446" authorId="1" shapeId="0">
      <text>
        <t>Horizon close: 2026-03-31
5/21/63 traded sessions after debut; price-only return vs offer.</t>
      </text>
    </comment>
    <comment ref="AQ446" authorId="1" shapeId="0">
      <text>
        <t>Horizon close: 2026-04-27
5/21/63 traded sessions after debut; price-only return vs offer.</t>
      </text>
    </comment>
    <comment ref="AR446" authorId="1" shapeId="0">
      <text>
        <t>Horizon close: 2026-06-29
5/21/63 traded sessions after debut; price-only return vs offer.</t>
      </text>
    </comment>
    <comment ref="AI447" authorId="0" shapeId="0">
      <text>
        <t>Close: HK$44.66
Date: 2026-03-23
Venue: Phillip (etnet; venues 44.66-49.8)
Source: etnet:ipo-info 暗盤數據</t>
      </text>
    </comment>
    <comment ref="AK447" authorId="1" shapeId="0">
      <text>
        <t>Hang Seng Commerce &amp; Industry sub-index
Previous trading close to listing-day close (2026-03-24).
Benchmark return in percent; not the index level or excess return.</t>
      </text>
    </comment>
    <comment ref="AP447" authorId="1" shapeId="0">
      <text>
        <t>Horizon close: 2026-03-31
5/21/63 traded sessions after debut; price-only return vs offer.</t>
      </text>
    </comment>
    <comment ref="AQ447" authorId="1" shapeId="0">
      <text>
        <t>Horizon close: 2026-04-27
5/21/63 traded sessions after debut; price-only return vs offer.</t>
      </text>
    </comment>
    <comment ref="AR447" authorId="1" shapeId="0">
      <text>
        <t>Horizon close: 2026-06-29
5/21/63 traded sessions after debut; price-only return vs offer.</t>
      </text>
    </comment>
    <comment ref="AI448" authorId="0" shapeId="0">
      <text>
        <t>Close: HK$105
Date: 2026-03-27
Venue: Futu (etnet; venues 104.7-105.0)
Source: etnet:ipo-info 暗盤數據</t>
      </text>
    </comment>
    <comment ref="AK448" authorId="1" shapeId="0">
      <text>
        <t>HSTECH (Hang Seng TECH ETF)
Previous trading close to listing-day close (2026-03-30).
Benchmark return in percent; not the index level or excess return.</t>
      </text>
    </comment>
    <comment ref="AP448" authorId="1" shapeId="0">
      <text>
        <t>Horizon close: 2026-04-09
5/21/63 traded sessions after debut; price-only return vs offer.</t>
      </text>
    </comment>
    <comment ref="AQ448" authorId="1" shapeId="0">
      <text>
        <t>Horizon close: 2026-05-04
5/21/63 traded sessions after debut; price-only return vs offer.</t>
      </text>
    </comment>
    <comment ref="AR448" authorId="1" shapeId="0">
      <text>
        <t>Horizon close: 2026-07-06
5/21/63 traded sessions after debut; price-only return vs offer.</t>
      </text>
    </comment>
    <comment ref="AI449" authorId="0" shapeId="0">
      <text>
        <t>Close: HK$199.5
Date: 2026-03-27
Venue: Futu (etnet; venues 192.7-199.5)
Source: etnet:ipo-info 暗盤數據</t>
      </text>
    </comment>
    <comment ref="AK449" authorId="1" shapeId="0">
      <text>
        <t>China Biotech ETF (HS biotech proxy)
Previous trading close to listing-day close (2026-03-30).
Benchmark return in percent; not the index level or excess return.</t>
      </text>
    </comment>
    <comment ref="AP449" authorId="1" shapeId="0">
      <text>
        <t>Horizon close: 2026-04-09
5/21/63 traded sessions after debut; price-only return vs offer.</t>
      </text>
    </comment>
    <comment ref="AQ449" authorId="1" shapeId="0">
      <text>
        <t>Horizon close: 2026-05-04
5/21/63 traded sessions after debut; price-only return vs offer.</t>
      </text>
    </comment>
    <comment ref="AR449" authorId="1" shapeId="0">
      <text>
        <t>Horizon close: 2026-07-06
5/21/63 traded sessions after debut; price-only return vs offer.</t>
      </text>
    </comment>
    <comment ref="AI450" authorId="0" shapeId="0">
      <text>
        <t>Close: HK$61.8
Date: 2026-03-27
Venue: Futu (etnet; venues 61.55-62.2)
Source: etnet:ipo-info 暗盤數據</t>
      </text>
    </comment>
    <comment ref="AK450" authorId="1" shapeId="0">
      <text>
        <t>HSTECH (Hang Seng TECH ETF)
Previous trading close to listing-day close (2026-03-30).
Benchmark return in percent; not the index level or excess return.</t>
      </text>
    </comment>
    <comment ref="AP450" authorId="1" shapeId="0">
      <text>
        <t>Horizon close: 2026-04-09
5/21/63 traded sessions after debut; price-only return vs offer.</t>
      </text>
    </comment>
    <comment ref="AQ450" authorId="1" shapeId="0">
      <text>
        <t>Horizon close: 2026-05-04
5/21/63 traded sessions after debut; price-only return vs offer.</t>
      </text>
    </comment>
    <comment ref="AR450" authorId="1" shapeId="0">
      <text>
        <t>Horizon close: 2026-07-06
5/21/63 traded sessions after debut; price-only return vs offer.</t>
      </text>
    </comment>
    <comment ref="AI451" authorId="0" shapeId="0">
      <text>
        <t>Close: HK$18.77
Date: 2026-03-27
Venue: Futu (etnet; venues 17.91-18.77)
Source: etnet:ipo-info 暗盤數據</t>
      </text>
    </comment>
    <comment ref="AK451" authorId="1" shapeId="0">
      <text>
        <t>HSTECH (Hang Seng TECH ETF)
Previous trading close to listing-day close (2026-03-30).
Benchmark return in percent; not the index level or excess return.</t>
      </text>
    </comment>
    <comment ref="AP451" authorId="1" shapeId="0">
      <text>
        <t>Horizon close: 2026-04-09
5/21/63 traded sessions after debut; price-only return vs offer.</t>
      </text>
    </comment>
    <comment ref="AQ451" authorId="1" shapeId="0">
      <text>
        <t>Horizon close: 2026-05-04
5/21/63 traded sessions after debut; price-only return vs offer.</t>
      </text>
    </comment>
    <comment ref="AR451" authorId="1" shapeId="0">
      <text>
        <t>Horizon close: 2026-07-06
5/21/63 traded sessions after debut; price-only return vs offer.</t>
      </text>
    </comment>
    <comment ref="AI452" authorId="0" shapeId="0">
      <text>
        <t>Close: HK$41.96
Date: 2026-03-30
Venue: Futu (etnet; venues 41.96-42.2)
Source: etnet:ipo-info 暗盤數據</t>
      </text>
    </comment>
    <comment ref="AK452" authorId="1" shapeId="0">
      <text>
        <t>Hang Seng Commerce &amp; Industry sub-index
Previous trading close to listing-day close (2026-03-31).
Benchmark return in percent; not the index level or excess return.</t>
      </text>
    </comment>
    <comment ref="AP452" authorId="1" shapeId="0">
      <text>
        <t>Horizon close: 2026-04-10
5/21/63 traded sessions after debut; price-only return vs offer.</t>
      </text>
    </comment>
    <comment ref="AQ452" authorId="1" shapeId="0">
      <text>
        <t>Horizon close: 2026-05-05
5/21/63 traded sessions after debut; price-only return vs offer.</t>
      </text>
    </comment>
    <comment ref="AR452" authorId="1" shapeId="0">
      <text>
        <t>Horizon close: 2026-07-07
5/21/63 traded sessions after debut; price-only return vs offer.</t>
      </text>
    </comment>
    <comment ref="AI453" authorId="0" shapeId="0">
      <text>
        <t>Close: HK$83.5
Date: 2026-03-30
Venue: Futu (etnet; venues 83.5-84.6)
Source: etnet:ipo-info 暗盤數據</t>
      </text>
    </comment>
    <comment ref="AK453" authorId="1" shapeId="0">
      <text>
        <t>HSTECH (Hang Seng TECH ETF)
Previous trading close to listing-day close (2026-03-31).
Benchmark return in percent; not the index level or excess return.</t>
      </text>
    </comment>
    <comment ref="AP453" authorId="1" shapeId="0">
      <text>
        <t>Horizon close: 2026-04-10
5/21/63 traded sessions after debut; price-only return vs offer.</t>
      </text>
    </comment>
    <comment ref="AQ453" authorId="1" shapeId="0">
      <text>
        <t>Horizon close: 2026-05-05
5/21/63 traded sessions after debut; price-only return vs offer.</t>
      </text>
    </comment>
    <comment ref="AR453" authorId="1" shapeId="0">
      <text>
        <t>Horizon close: 2026-07-07
5/21/63 traded sessions after debut; price-only return vs offer.</t>
      </text>
    </comment>
    <comment ref="AI454" authorId="0" shapeId="0">
      <text>
        <t>Close: HK$578
Date: 2026-04-15
Venue: Phillip (etnet; venues 578.0-598.0)
Source: etnet:ipo-info 暗盤數據</t>
      </text>
    </comment>
    <comment ref="AK454" authorId="1" shapeId="0">
      <text>
        <t>Hang Seng Commerce &amp; Industry sub-index
Previous trading close to listing-day close (2026-04-16).
Benchmark return in percent; not the index level or excess return.</t>
      </text>
    </comment>
    <comment ref="AP454" authorId="1" shapeId="0">
      <text>
        <t>Horizon close: 2026-04-23
5/21/63 traded sessions after debut; price-only return vs offer.</t>
      </text>
    </comment>
    <comment ref="AQ454" authorId="1" shapeId="0">
      <text>
        <t>Horizon close: 2026-05-18
5/21/63 traded sessions after debut; price-only return vs offer.</t>
      </text>
    </comment>
    <comment ref="AR454" authorId="1" shapeId="0">
      <text>
        <t>Horizon close: 2026-07-20
5/21/63 traded sessions after debut; price-only return vs offer.</t>
      </text>
    </comment>
    <comment ref="AI455" authorId="0" shapeId="0">
      <text>
        <t>Close: HK$20.52
Date: 2026-04-16
Venue: Futu (etnet; venues 19.5-20.52)
Source: etnet:ipo-info 暗盤數據</t>
      </text>
    </comment>
    <comment ref="AK455" authorId="1" shapeId="0">
      <text>
        <t>HSTECH (Hang Seng TECH ETF)
Previous trading close to listing-day close (2026-04-17).
Benchmark return in percent; not the index level or excess return.</t>
      </text>
    </comment>
    <comment ref="AP455" authorId="1" shapeId="0">
      <text>
        <t>Horizon close: 2026-04-24
5/21/63 traded sessions after debut; price-only return vs offer.</t>
      </text>
    </comment>
    <comment ref="AQ455" authorId="1" shapeId="0">
      <text>
        <t>Horizon close: 2026-05-19
5/21/63 traded sessions after debut; price-only return vs offer.</t>
      </text>
    </comment>
    <comment ref="AR455" authorId="1" shapeId="0">
      <text>
        <t>Horizon close: 2026-07-21
5/21/63 traded sessions after debut; price-only return vs offer.</t>
      </text>
    </comment>
    <comment ref="AI456" authorId="0" shapeId="0">
      <text>
        <t>Close: HK$68.3
Date: 2026-04-16
Venue: Phillip (etnet; venues 68.3-68.6)
Source: etnet:ipo-info 暗盤數據</t>
      </text>
    </comment>
    <comment ref="AK456" authorId="1" shapeId="0">
      <text>
        <t>HSTECH (Hang Seng TECH ETF)
Previous trading close to listing-day close (2026-04-17).
Benchmark return in percent; not the index level or excess return.</t>
      </text>
    </comment>
    <comment ref="AP456" authorId="1" shapeId="0">
      <text>
        <t>Horizon close: 2026-04-24
5/21/63 traded sessions after debut; price-only return vs offer.</t>
      </text>
    </comment>
    <comment ref="AQ456" authorId="1" shapeId="0">
      <text>
        <t>Horizon close: 2026-05-19
5/21/63 traded sessions after debut; price-only return vs offer.</t>
      </text>
    </comment>
    <comment ref="AR456" authorId="1" shapeId="0">
      <text>
        <t>Horizon close: 2026-07-21
5/21/63 traded sessions after debut; price-only return vs offer.</t>
      </text>
    </comment>
    <comment ref="AI457" authorId="0" shapeId="0">
      <text>
        <t>Close: HK$333
Date: 2026-04-20
Venue: Phillip (etnet; venues 333.0-336.2)
Source: etnet:ipo-info 暗盤數據</t>
      </text>
    </comment>
    <comment ref="AK457" authorId="1" shapeId="0">
      <text>
        <t>HSTECH (Hang Seng TECH ETF)
Previous trading close to listing-day close (2026-04-21).
Benchmark return in percent; not the index level or excess return.</t>
      </text>
    </comment>
    <comment ref="AP457" authorId="1" shapeId="0">
      <text>
        <t>Horizon close: 2026-04-28
5/21/63 traded sessions after debut; price-only return vs offer.</t>
      </text>
    </comment>
    <comment ref="AQ457" authorId="1" shapeId="0">
      <text>
        <t>Horizon close: 2026-05-21
5/21/63 traded sessions after debut; price-only return vs offer.</t>
      </text>
    </comment>
    <comment ref="AR457" authorId="1" shapeId="0">
      <text>
        <t>Horizon close: 2026-07-23
5/21/63 traded sessions after debut; price-only return vs offer.</t>
      </text>
    </comment>
    <comment ref="AI458" authorId="0" shapeId="0">
      <text>
        <t>Close: HK$91.15
Date: 2026-04-22
Venue: Futu (etnet; venues 91.15-94.0)
Source: etnet:ipo-info 暗盤數據</t>
      </text>
    </comment>
    <comment ref="AK458" authorId="1" shapeId="0">
      <text>
        <t>HSTECH (Hang Seng TECH ETF)
Previous trading close to listing-day close (2026-04-23).
Benchmark return in percent; not the index level or excess return.</t>
      </text>
    </comment>
    <comment ref="AP458" authorId="1" shapeId="0">
      <text>
        <t>Horizon close: 2026-04-30
5/21/63 traded sessions after debut; price-only return vs offer.</t>
      </text>
    </comment>
    <comment ref="AQ458" authorId="1" shapeId="0">
      <text>
        <t>Horizon close: 2026-05-26
5/21/63 traded sessions after debut; price-only return vs offer.</t>
      </text>
    </comment>
    <comment ref="AR458" authorId="1" shapeId="0">
      <text>
        <t>Horizon close: 2026-07-27
5/21/63 traded sessions after debut; price-only return vs offer.</t>
      </text>
    </comment>
    <comment ref="AI459" authorId="0" shapeId="0">
      <text>
        <t>Close: HK$28.5
Date: 2026-04-27
Venue: Futu (etnet; venues 28.1-28.5)
Source: etnet:ipo-info 暗盤數據</t>
      </text>
    </comment>
    <comment ref="AK459" authorId="1" shapeId="0">
      <text>
        <t>China Biotech ETF (HS biotech proxy)
Previous trading close to listing-day close (2026-04-28).
Benchmark return in percent; not the index level or excess return.</t>
      </text>
    </comment>
    <comment ref="AP459" authorId="1" shapeId="0">
      <text>
        <t>Horizon close: 2026-05-06
5/21/63 traded sessions after debut; price-only return vs offer.</t>
      </text>
    </comment>
    <comment ref="AQ459" authorId="1" shapeId="0">
      <text>
        <t>Horizon close: 2026-05-29
5/21/63 traded sessions after debut; price-only return vs offer.</t>
      </text>
    </comment>
    <comment ref="AR459" authorId="1" shapeId="0">
      <text>
        <t>Horizon close: 2026-07-30
5/21/63 traded sessions after debut; price-only return vs offer.</t>
      </text>
    </comment>
    <comment ref="AI460" authorId="0" shapeId="0">
      <text>
        <t>Close: HK$826
Date: 2026-04-27
Venue: Futu (etnet; venues 818.5-826.5)
Source: etnet:ipo-info 暗盤數據</t>
      </text>
    </comment>
    <comment ref="AK460" authorId="1" shapeId="0">
      <text>
        <t>HSTECH (Hang Seng TECH ETF)
Previous trading close to listing-day close (2026-04-28).
Benchmark return in percent; not the index level or excess return.</t>
      </text>
    </comment>
    <comment ref="AP460" authorId="1" shapeId="0">
      <text>
        <t>Horizon close: 2026-05-06
5/21/63 traded sessions after debut; price-only return vs offer.</t>
      </text>
    </comment>
    <comment ref="AQ460" authorId="1" shapeId="0">
      <text>
        <t>Horizon close: 2026-05-29
5/21/63 traded sessions after debut; price-only return vs offer.</t>
      </text>
    </comment>
    <comment ref="AR460" authorId="1" shapeId="0">
      <text>
        <t>Horizon close: 2026-07-30
5/21/63 traded sessions after debut; price-only return vs offer.</t>
      </text>
    </comment>
    <comment ref="AI461" authorId="0" shapeId="0">
      <text>
        <t>Close: HK$95
Date: 2026-04-28
Venue: Futu (etnet; venues 93.0-95.0)
Source: etnet:ipo-info 暗盤數據</t>
      </text>
    </comment>
    <comment ref="AK461" authorId="1" shapeId="0">
      <text>
        <t>HSTECH (Hang Seng TECH ETF)
Previous trading close to listing-day close (2026-04-29).
Benchmark return in percent; not the index level or excess return.</t>
      </text>
    </comment>
    <comment ref="AP461" authorId="1" shapeId="0">
      <text>
        <t>Horizon close: 2026-05-07
5/21/63 traded sessions after debut; price-only return vs offer.</t>
      </text>
    </comment>
    <comment ref="AQ461" authorId="1" shapeId="0">
      <text>
        <t>Horizon close: 2026-06-01
5/21/63 traded sessions after debut; price-only return vs offer.</t>
      </text>
    </comment>
    <comment ref="AR461" authorId="1" shapeId="0">
      <text>
        <t>Horizon close: 2026-07-31
5/21/63 traded sessions after debut; price-only return vs offer.</t>
      </text>
    </comment>
    <comment ref="AI462" authorId="0" shapeId="0">
      <text>
        <t>Close: HK$309.2
Date: 2026-05-04
Venue: Futu (etnet; venues 290.0-309.2)
Source: etnet:ipo-info 暗盤數據</t>
      </text>
    </comment>
    <comment ref="AK462" authorId="1" shapeId="0">
      <text>
        <t>China Biotech ETF (HS biotech proxy)
Previous trading close to listing-day close (2026-05-05).
Benchmark return in percent; not the index level or excess return.</t>
      </text>
    </comment>
    <comment ref="AP462" authorId="1" shapeId="0">
      <text>
        <t>Horizon close: 2026-05-12
5/21/63 traded sessions after debut; price-only return vs offer.</t>
      </text>
    </comment>
    <comment ref="AQ462" authorId="1" shapeId="0">
      <text>
        <t>Horizon close: 2026-06-04
5/21/63 traded sessions after debut; price-only return vs offer.</t>
      </text>
    </comment>
    <comment ref="AR462" authorId="1" shapeId="0">
      <text>
        <t>Horizon close: 2026-08-05
5/21/63 traded sessions after debut; price-only return vs offer.</t>
      </text>
    </comment>
    <comment ref="AI463" authorId="0" shapeId="0">
      <text>
        <t>Close: HK$40.2
Date: 2026-05-05
Venue: Futu (etnet; venues 39.74-40.2)
Source: etnet:ipo-info 暗盤數據</t>
      </text>
    </comment>
    <comment ref="AK463" authorId="1" shapeId="0">
      <text>
        <t>China Biotech ETF (HS biotech proxy)
Previous trading close to listing-day close (2026-05-06).
Benchmark return in percent; not the index level or excess return.</t>
      </text>
    </comment>
    <comment ref="AP463" authorId="1" shapeId="0">
      <text>
        <t>Horizon close: 2026-05-13
5/21/63 traded sessions after debut; price-only return vs offer.</t>
      </text>
    </comment>
    <comment ref="AQ463" authorId="1" shapeId="0">
      <text>
        <t>Horizon close: 2026-06-05
5/21/63 traded sessions after debut; price-only return vs offer.</t>
      </text>
    </comment>
    <comment ref="AR463" authorId="1" shapeId="0">
      <text>
        <t>Horizon close: 2026-08-06
5/21/63 traded sessions after debut; price-only return vs offer.</t>
      </text>
    </comment>
    <comment ref="AI464" authorId="0" shapeId="0">
      <text>
        <t>Close: HK$49.8
Date: 2026-05-08
Venue: Phillip (etnet; venues 49.8-65.5)
Source: etnet:ipo-info 暗盤數據</t>
      </text>
    </comment>
    <comment ref="AK464" authorId="1" shapeId="0">
      <text>
        <t>HSTECH (Hang Seng TECH ETF)
Previous trading close to listing-day close (2026-05-11).
Benchmark return in percent; not the index level or excess return.</t>
      </text>
    </comment>
    <comment ref="AP464" authorId="1" shapeId="0">
      <text>
        <t>Horizon close: 2026-05-18
5/21/63 traded sessions after debut; price-only return vs offer.</t>
      </text>
    </comment>
    <comment ref="AQ464" authorId="1" shapeId="0">
      <text>
        <t>Horizon close: 2026-06-10
5/21/63 traded sessions after debut; price-only return vs offer.</t>
      </text>
    </comment>
    <comment ref="AR464" authorId="1" shapeId="0">
      <text>
        <t>Horizon close: 2026-08-11
5/21/63 traded sessions after debut; price-only return vs offer.</t>
      </text>
    </comment>
    <comment ref="AI465" authorId="0" shapeId="0">
      <text>
        <t>Close: HK$32.16
Date: 2026-05-12
Venue: Futu (etnet; venues 32.16-32.3)
Source: etnet:ipo-info 暗盤數據</t>
      </text>
    </comment>
    <comment ref="AK465" authorId="1" shapeId="0">
      <text>
        <t>China Biotech ETF (HS biotech proxy)
Previous trading close to listing-day close (2026-05-13).
Benchmark return in percent; not the index level or excess return.</t>
      </text>
    </comment>
    <comment ref="AP465" authorId="1" shapeId="0">
      <text>
        <t>Horizon close: 2026-05-20
5/21/63 traded sessions after debut; price-only return vs offer.</t>
      </text>
    </comment>
    <comment ref="AQ465" authorId="1" shapeId="0">
      <text>
        <t>Horizon close: 2026-06-12
5/21/63 traded sessions after debut; price-only return vs offer.</t>
      </text>
    </comment>
    <comment ref="AR465" authorId="1" shapeId="0">
      <text>
        <t>Horizon close: 2026-08-13
5/21/63 traded sessions after debut; price-only return vs offer.</t>
      </text>
    </comment>
    <comment ref="AI466" authorId="0" shapeId="0">
      <text>
        <t>Close: HK$29.4
Date: 2026-05-12
Venue: Futu (etnet; venues 29.4-30.32)
Source: etnet:ipo-info 暗盤數據</t>
      </text>
    </comment>
    <comment ref="AK466" authorId="1" shapeId="0">
      <text>
        <t>China Biotech ETF (HS biotech proxy)
Previous trading close to listing-day close (2026-05-13).
Benchmark return in percent; not the index level or excess return.</t>
      </text>
    </comment>
    <comment ref="AP466" authorId="1" shapeId="0">
      <text>
        <t>Horizon close: 2026-05-20
5/21/63 traded sessions after debut; price-only return vs offer.</t>
      </text>
    </comment>
    <comment ref="AQ466" authorId="1" shapeId="0">
      <text>
        <t>Horizon close: 2026-06-12
5/21/63 traded sessions after debut; price-only return vs offer.</t>
      </text>
    </comment>
    <comment ref="AR466" authorId="1" shapeId="0">
      <text>
        <t>Horizon close: 2026-08-13
5/21/63 traded sessions after debut; price-only return vs offer.</t>
      </text>
    </comment>
    <comment ref="AI467" authorId="0" shapeId="0">
      <text>
        <t>Close: HK$54.65
Date: 2026-05-15
Venue: Futu (etnet; venues 53.55-54.65)
Source: etnet:ipo-info 暗盤數據</t>
      </text>
    </comment>
    <comment ref="AK467" authorId="1" shapeId="0">
      <text>
        <t>HSTECH (Hang Seng TECH ETF)
Previous trading close to listing-day close (2026-05-18).
Benchmark return in percent; not the index level or excess return.</t>
      </text>
    </comment>
    <comment ref="AP467" authorId="1" shapeId="0">
      <text>
        <t>Horizon close: 2026-05-26
5/21/63 traded sessions after debut; price-only return vs offer.</t>
      </text>
    </comment>
    <comment ref="AQ467" authorId="1" shapeId="0">
      <text>
        <t>Horizon close: 2026-06-17
5/21/63 traded sessions after debut; price-only return vs offer.</t>
      </text>
    </comment>
    <comment ref="AR467" authorId="1" shapeId="0">
      <text>
        <t>Horizon close: 2026-08-18
5/21/63 traded sessions after debut; price-only return vs offer.</t>
      </text>
    </comment>
    <comment ref="AI468" authorId="0" shapeId="0">
      <text>
        <t>Close: HK$59.55
Date: 2026-05-19
Venue: Futu (etnet; venues 59.3-60.35)
Source: etnet:ipo-info 暗盤數據</t>
      </text>
    </comment>
    <comment ref="AK468" authorId="1" shapeId="0">
      <text>
        <t>HSTECH (Hang Seng TECH ETF)
Previous trading close to listing-day close (2026-05-20).
Benchmark return in percent; not the index level or excess return.</t>
      </text>
    </comment>
    <comment ref="AP468" authorId="1" shapeId="0">
      <text>
        <t>Horizon close: 2026-05-28
5/21/63 traded sessions after debut; price-only return vs offer.</t>
      </text>
    </comment>
    <comment ref="AQ468" authorId="1" shapeId="0">
      <text>
        <t>Horizon close: 2026-06-22
5/21/63 traded sessions after debut; price-only return vs offer.</t>
      </text>
    </comment>
    <comment ref="AR468" authorId="1" shapeId="0">
      <text>
        <t>Horizon close: 2026-08-20
5/21/63 traded sessions after debut; price-only return vs offer.</t>
      </text>
    </comment>
    <comment ref="AI469" authorId="0" shapeId="0">
      <text>
        <t>Close: HK$39
Date: 2026-05-19
Venue: Phillip (etnet; venues 38.8-39.78)
Source: etnet:ipo-info 暗盤數據</t>
      </text>
    </comment>
    <comment ref="AK469" authorId="1" shapeId="0">
      <text>
        <t>Hang Seng Commerce &amp; Industry sub-index
Previous trading close to listing-day close (2026-05-20).
Benchmark return in percent; not the index level or excess return.</t>
      </text>
    </comment>
    <comment ref="AP469" authorId="1" shapeId="0">
      <text>
        <t>Horizon close: 2026-05-28
5/21/63 traded sessions after debut; price-only return vs offer.</t>
      </text>
    </comment>
    <comment ref="AQ469" authorId="1" shapeId="0">
      <text>
        <t>Horizon close: 2026-06-22
5/21/63 traded sessions after debut; price-only return vs offer.</t>
      </text>
    </comment>
    <comment ref="AR469" authorId="1" shapeId="0">
      <text>
        <t>Horizon close: 2026-08-20
5/21/63 traded sessions after debut; price-only return vs offer.</t>
      </text>
    </comment>
    <comment ref="AI470" authorId="0" shapeId="0">
      <text>
        <t>Close: HK$147.5
Date: 2026-05-21
Venue: Futu (etnet; venues 145.6-147.5)
Source: etnet:ipo-info 暗盤數據</t>
      </text>
    </comment>
    <comment ref="AK470" authorId="1" shapeId="0">
      <text>
        <t>China Biotech ETF (HS biotech proxy)
Previous trading close to listing-day close (2026-05-22).
Benchmark return in percent; not the index level or excess return.</t>
      </text>
    </comment>
    <comment ref="AP470" authorId="1" shapeId="0">
      <text>
        <t>Horizon close: 2026-06-01
5/21/63 traded sessions after debut; price-only return vs offer.</t>
      </text>
    </comment>
    <comment ref="AQ470" authorId="1" shapeId="0">
      <text>
        <t>Horizon close: 2026-06-24
5/21/63 traded sessions after debut; price-only return vs offer.</t>
      </text>
    </comment>
    <comment ref="AR470" authorId="1" shapeId="0">
      <text>
        <t>Horizon close: 2026-08-24
5/21/63 traded sessions after debut; price-only return vs offer.</t>
      </text>
    </comment>
    <comment ref="AI471" authorId="0" shapeId="0">
      <text>
        <t>Close: HK$25.14
Date: 2026-05-26
Venue: Futu (etnet; venues 25.08-25.36)
Source: etnet:ipo-info 暗盤數據</t>
      </text>
    </comment>
    <comment ref="AK471" authorId="1" shapeId="0">
      <text>
        <t>HSTECH (Hang Seng TECH ETF)
Previous trading close to listing-day close (2026-05-27).
Benchmark return in percent; not the index level or excess return.</t>
      </text>
    </comment>
    <comment ref="AP471" authorId="1" shapeId="0">
      <text>
        <t>Horizon close: 2026-06-03
5/21/63 traded sessions after debut; price-only return vs offer.</t>
      </text>
    </comment>
    <comment ref="AQ471" authorId="1" shapeId="0">
      <text>
        <t>Horizon close: 2026-06-26
5/21/63 traded sessions after debut; price-only return vs offer.</t>
      </text>
    </comment>
    <comment ref="AR471" authorId="1" shapeId="0">
      <text>
        <t>Horizon close: 2026-08-26
5/21/63 traded sessions after debut; price-only return vs offer.</t>
      </text>
    </comment>
    <comment ref="AI472" authorId="0" shapeId="0">
      <text>
        <t>Close: HK$149
Date: 2026-05-26
Venue: Futu (etnet; venues 148.6-149.0)
Source: etnet:ipo-info 暗盤數據</t>
      </text>
    </comment>
    <comment ref="AK472" authorId="1" shapeId="0">
      <text>
        <t>HSTECH (Hang Seng TECH ETF)
Previous trading close to listing-day close (2026-05-27).
Benchmark return in percent; not the index level or excess return.</t>
      </text>
    </comment>
    <comment ref="AP472" authorId="1" shapeId="0">
      <text>
        <t>Horizon close: 2026-06-03
5/21/63 traded sessions after debut; price-only return vs offer.</t>
      </text>
    </comment>
    <comment ref="AQ472" authorId="1" shapeId="0">
      <text>
        <t>Horizon close: 2026-06-26
5/21/63 traded sessions after debut; price-only return vs offer.</t>
      </text>
    </comment>
    <comment ref="AR472" authorId="1" shapeId="0">
      <text>
        <t>Horizon close: 2026-08-26
5/21/63 traded sessions after debut; price-only return vs offer.</t>
      </text>
    </comment>
    <comment ref="AI473" authorId="0" shapeId="0">
      <text>
        <t>Close: HK$63.5
Date: 2026-05-26
Venue: Futu (etnet; venues 63.2-63.5)
Source: etnet:ipo-info 暗盤數據</t>
      </text>
    </comment>
    <comment ref="AK473" authorId="1" shapeId="0">
      <text>
        <t>HSTECH (Hang Seng TECH ETF)
Previous trading close to listing-day close (2026-05-27).
Benchmark return in percent; not the index level or excess return.</t>
      </text>
    </comment>
    <comment ref="AP473" authorId="1" shapeId="0">
      <text>
        <t>Horizon close: 2026-06-03
5/21/63 traded sessions after debut; price-only return vs offer.</t>
      </text>
    </comment>
    <comment ref="AQ473" authorId="1" shapeId="0">
      <text>
        <t>Horizon close: 2026-06-26
5/21/63 traded sessions after debut; price-only return vs offer.</t>
      </text>
    </comment>
    <comment ref="AR473" authorId="1" shapeId="0">
      <text>
        <t>Horizon close: 2026-08-26
5/21/63 traded sessions after debut; price-only return vs offer.</t>
      </text>
    </comment>
    <comment ref="AI474" authorId="0" shapeId="0">
      <text>
        <t>Close: HK$32.08
Date: 2026-05-28
Venue: Futu (etnet; venues 30.2-32.08)
Source: etnet:ipo-info 暗盤數據</t>
      </text>
    </comment>
    <comment ref="AK474" authorId="1" shapeId="0">
      <text>
        <t>HSTECH (Hang Seng TECH ETF)
Previous trading close to listing-day close (2026-05-29).
Benchmark return in percent; not the index level or excess return.</t>
      </text>
    </comment>
    <comment ref="AP474" authorId="1" shapeId="0">
      <text>
        <t>Horizon close: 2026-06-05
5/21/63 traded sessions after debut; price-only return vs offer.</t>
      </text>
    </comment>
    <comment ref="AQ474" authorId="1" shapeId="0">
      <text>
        <t>Horizon close: 2026-06-30
5/21/63 traded sessions after debut; price-only return vs offer.</t>
      </text>
    </comment>
    <comment ref="AR474" authorId="1" shapeId="0">
      <text>
        <t>Horizon close: 2026-08-28
5/21/63 traded sessions after debut; price-only return vs offer.</t>
      </text>
    </comment>
    <comment ref="AI475" authorId="0" shapeId="0">
      <text>
        <t>Close: HK$36
Date: 2026-06-02
Venue: Futu (etnet; venues 30.3-36.0)
Source: etnet:ipo-info 暗盤數據</t>
      </text>
    </comment>
    <comment ref="AK475" authorId="1" shapeId="0">
      <text>
        <t>Hang Seng Commerce &amp; Industry sub-index
Previous trading close to listing-day close (2026-06-03).
Benchmark return in percent; not the index level or excess return.</t>
      </text>
    </comment>
    <comment ref="AP475" authorId="1" shapeId="0">
      <text>
        <t>Horizon close: 2026-06-10
5/21/63 traded sessions after debut; price-only return vs offer.</t>
      </text>
    </comment>
    <comment ref="AQ475" authorId="1" shapeId="0">
      <text>
        <t>Horizon close: 2026-07-06
5/21/63 traded sessions after debut; price-only return vs offer.</t>
      </text>
    </comment>
    <comment ref="AR475" authorId="1" shapeId="0">
      <text>
        <t>Horizon close: 2026-09-02
5/21/63 traded sessions after debut; price-only return vs offer.</t>
      </text>
    </comment>
    <comment ref="AI476" authorId="0" shapeId="0">
      <text>
        <t>Close: HK$5.1
Date: 2026-06-04
Venue: Phillip (etnet; venues 5.1-5.26)
Source: etnet:ipo-info 暗盤數據</t>
      </text>
    </comment>
    <comment ref="AK476" authorId="1" shapeId="0">
      <text>
        <t>Hang Seng Commerce &amp; Industry sub-index
Previous trading close to listing-day close (2026-06-05).
Benchmark return in percent; not the index level or excess return.</t>
      </text>
    </comment>
    <comment ref="AP476" authorId="1" shapeId="0">
      <text>
        <t>Horizon close: 2026-06-12
5/21/63 traded sessions after debut; price-only return vs offer.</t>
      </text>
    </comment>
    <comment ref="AQ476" authorId="1" shapeId="0">
      <text>
        <t>Horizon close: 2026-07-08
5/21/63 traded sessions after debut; price-only return vs offer.</t>
      </text>
    </comment>
    <comment ref="AR476" authorId="1" shapeId="0">
      <text>
        <t>Horizon close: 2026-09-04
5/21/63 traded sessions after debut; price-only return vs offer.</t>
      </text>
    </comment>
    <comment ref="AI477" authorId="0" shapeId="0">
      <text>
        <t>Close: HK$63.1
Date: 2026-06-04
Venue: Futu (etnet; venues 63.1-63.4)
Source: etnet:ipo-info 暗盤數據</t>
      </text>
    </comment>
    <comment ref="AK477" authorId="1" shapeId="0">
      <text>
        <t>Hang Seng Commerce &amp; Industry sub-index
Previous trading close to listing-day close (2026-06-05).
Benchmark return in percent; not the index level or excess return.</t>
      </text>
    </comment>
    <comment ref="AP477" authorId="1" shapeId="0">
      <text>
        <t>Horizon close: 2026-06-12
5/21/63 traded sessions after debut; price-only return vs offer.</t>
      </text>
    </comment>
    <comment ref="AQ477" authorId="1" shapeId="0">
      <text>
        <t>Horizon close: 2026-07-08
5/21/63 traded sessions after debut; price-only return vs offer.</t>
      </text>
    </comment>
    <comment ref="AR477" authorId="1" shapeId="0">
      <text>
        <t>Horizon close: 2026-09-04
5/21/63 traded sessions after debut; price-only return vs offer.</t>
      </text>
    </comment>
    <comment ref="AI478" authorId="0" shapeId="0">
      <text>
        <t>Close: HK$150.9
Date: 2026-06-04
Venue: Futu (etnet; venues 149.8-151.0)
Source: etnet:ipo-info 暗盤數據</t>
      </text>
    </comment>
    <comment ref="AK478" authorId="1" shapeId="0">
      <text>
        <t>China Biotech ETF (HS biotech proxy)
Previous trading close to listing-day close (2026-06-05).
Benchmark return in percent; not the index level or excess return.</t>
      </text>
    </comment>
    <comment ref="AP478" authorId="1" shapeId="0">
      <text>
        <t>Horizon close: 2026-06-12
5/21/63 traded sessions after debut; price-only return vs offer.</t>
      </text>
    </comment>
    <comment ref="AQ478" authorId="1" shapeId="0">
      <text>
        <t>Horizon close: 2026-07-08
5/21/63 traded sessions after debut; price-only return vs offer.</t>
      </text>
    </comment>
    <comment ref="AR478" authorId="1" shapeId="0">
      <text>
        <t>Horizon close: 2026-09-04
5/21/63 traded sessions after debut; price-only return vs offer.</t>
      </text>
    </comment>
    <comment ref="AI479" authorId="0" shapeId="0">
      <text>
        <t>Close: HK$99.25
Date: 2026-06-12
Venue: Futu (etnet; venues 98.1-100.0)
Source: etnet:ipo-info 暗盤數據</t>
      </text>
    </comment>
    <comment ref="AK479" authorId="1" shapeId="0">
      <text>
        <t>Hang Seng Commerce &amp; Industry sub-index
Previous trading close to listing-day close (2026-06-15).
Benchmark return in percent; not the index level or excess return.</t>
      </text>
    </comment>
    <comment ref="AP479" authorId="1" shapeId="0">
      <text>
        <t>Horizon close: 2026-06-23
5/21/63 traded sessions after debut; price-only return vs offer.</t>
      </text>
    </comment>
    <comment ref="AQ479" authorId="1" shapeId="0">
      <text>
        <t>Horizon close: 2026-07-16
5/21/63 traded sessions after debut; price-only return vs offer.</t>
      </text>
    </comment>
    <comment ref="AR479" authorId="1" shapeId="0">
      <text>
        <t>Horizon close: 2026-09-14
5/21/63 traded sessions after debut; price-only return vs offer.</t>
      </text>
    </comment>
    <comment ref="AI480" authorId="0" shapeId="0">
      <text>
        <t>Close: HK$31.4
Date: 2026-06-16
Venue: Futu (etnet; venues 31.4-31.58)
Source: etnet:ipo-info 暗盤數據</t>
      </text>
    </comment>
    <comment ref="AK480" authorId="1" shapeId="0">
      <text>
        <t>HSTECH (Hang Seng TECH ETF)
Previous trading close to listing-day close (2026-06-17).
Benchmark return in percent; not the index level or excess return.</t>
      </text>
    </comment>
    <comment ref="AP480" authorId="1" shapeId="0">
      <text>
        <t>Horizon close: 2026-06-25
5/21/63 traded sessions after debut; price-only return vs offer.</t>
      </text>
    </comment>
    <comment ref="AQ480" authorId="1" shapeId="0">
      <text>
        <t>Horizon close: 2026-07-20
5/21/63 traded sessions after debut; price-only return vs offer.</t>
      </text>
    </comment>
    <comment ref="AR480" authorId="1" shapeId="0">
      <text>
        <t>Horizon close: 2026-09-16
5/21/63 traded sessions after debut; price-only return vs offer.</t>
      </text>
    </comment>
    <comment ref="AI481" authorId="0" shapeId="0">
      <text>
        <t>Close: HK$26.2
Date: 2026-06-18
Venue: Futu (etnet; venues 26.08-26.2)
Source: etnet:ipo-info 暗盤數據</t>
      </text>
    </comment>
    <comment ref="AK481" authorId="1" shapeId="0">
      <text>
        <t>HSTECH (Hang Seng TECH ETF)
Previous trading close to listing-day close (2026-06-22).
Benchmark return in percent; not the index level or excess return.</t>
      </text>
    </comment>
    <comment ref="AP481" authorId="1" shapeId="0">
      <text>
        <t>Horizon close: 2026-06-29
5/21/63 traded sessions after debut; price-only return vs offer.</t>
      </text>
    </comment>
    <comment ref="AQ481" authorId="1" shapeId="0">
      <text>
        <t>Horizon close: 2026-07-22
5/21/63 traded sessions after debut; price-only return vs offer.</t>
      </text>
    </comment>
    <comment ref="AR481" authorId="1" shapeId="0">
      <text>
        <t>Horizon close: 2026-09-18
5/21/63 traded sessions after debut; price-only return vs offer.</t>
      </text>
    </comment>
    <comment ref="AI482" authorId="0" shapeId="0">
      <text>
        <t>Close: HK$81.8
Date: 2026-06-22
Venue: Phillip (etnet; venues 78.0-81.8)
Source: etnet:ipo-info 暗盤數據</t>
      </text>
    </comment>
    <comment ref="AK482" authorId="1" shapeId="0">
      <text>
        <t>China Biotech ETF (HS biotech proxy)
Previous trading close to listing-day close (2026-06-23).
Benchmark return in percent; not the index level or excess return.</t>
      </text>
    </comment>
    <comment ref="AP482" authorId="1" shapeId="0">
      <text>
        <t>Horizon close: 2026-06-30
5/21/63 traded sessions after debut; price-only return vs offer.</t>
      </text>
    </comment>
    <comment ref="AQ482" authorId="1" shapeId="0">
      <text>
        <t>Horizon close: 2026-07-23
5/21/63 traded sessions after debut; price-only return vs offer.</t>
      </text>
    </comment>
    <comment ref="AR482" authorId="1" shapeId="0">
      <text>
        <t>Horizon close: 2026-09-21
5/21/63 traded sessions after debut; price-only return vs offer.</t>
      </text>
    </comment>
    <comment ref="AI483" authorId="0" shapeId="0">
      <text>
        <t>Close: HK$12.64
Date: 2026-06-22
Venue: Futu (etnet; venues 12.6-12.68)
Source: etnet:ipo-info 暗盤數據</t>
      </text>
    </comment>
    <comment ref="AK483" authorId="1" shapeId="0">
      <text>
        <t>Hang Seng Commerce &amp; Industry sub-index
Previous trading close to listing-day close (2026-06-23).
Benchmark return in percent; not the index level or excess return.</t>
      </text>
    </comment>
    <comment ref="AP483" authorId="1" shapeId="0">
      <text>
        <t>Horizon close: 2026-06-30
5/21/63 traded sessions after debut; price-only return vs offer.</t>
      </text>
    </comment>
    <comment ref="AQ483" authorId="1" shapeId="0">
      <text>
        <t>Horizon close: 2026-07-23
5/21/63 traded sessions after debut; price-only return vs offer.</t>
      </text>
    </comment>
    <comment ref="AR483" authorId="1" shapeId="0">
      <text>
        <t>Horizon close: 2026-09-21
5/21/63 traded sessions after debut; price-only return vs offer.</t>
      </text>
    </comment>
    <comment ref="AI484" authorId="0" shapeId="0">
      <text>
        <t>Close: HK$35.5
Date: 2026-06-23
Venue: Futu (etnet; venues 35.5-35.6)
Source: etnet:ipo-info 暗盤數據</t>
      </text>
    </comment>
    <comment ref="AK484" authorId="1" shapeId="0">
      <text>
        <t>China Biotech ETF (HS biotech proxy)
Previous trading close to listing-day close (2026-06-24).
Benchmark return in percent; not the index level or excess return.</t>
      </text>
    </comment>
    <comment ref="AP484" authorId="1" shapeId="0">
      <text>
        <t>Horizon close: 2026-07-02
5/21/63 traded sessions after debut; price-only return vs offer.</t>
      </text>
    </comment>
    <comment ref="AQ484" authorId="1" shapeId="0">
      <text>
        <t>Horizon close: 2026-07-24
5/21/63 traded sessions after debut; price-only return vs offer.</t>
      </text>
    </comment>
    <comment ref="AR484" authorId="1" shapeId="0">
      <text>
        <t>Horizon close: 2026-09-22
5/21/63 traded sessions after debut; price-only return vs offer.</t>
      </text>
    </comment>
    <comment ref="AI485" authorId="0" shapeId="0">
      <text>
        <t>Close: HK$94.2
Date: 2026-06-23
Venue: Futu (etnet; venues 94.2-95.1)
Source: etnet:ipo-info 暗盤數據</t>
      </text>
    </comment>
    <comment ref="AK485" authorId="1" shapeId="0">
      <text>
        <t>HSTECH (Hang Seng TECH ETF)
Previous trading close to listing-day close (2026-06-24).
Benchmark return in percent; not the index level or excess return.</t>
      </text>
    </comment>
    <comment ref="AP485" authorId="1" shapeId="0">
      <text>
        <t>Horizon close: 2026-07-02
5/21/63 traded sessions after debut; price-only return vs offer.</t>
      </text>
    </comment>
    <comment ref="AQ485" authorId="1" shapeId="0">
      <text>
        <t>Horizon close: 2026-07-24
5/21/63 traded sessions after debut; price-only return vs offer.</t>
      </text>
    </comment>
    <comment ref="AR485" authorId="1" shapeId="0">
      <text>
        <t>Horizon close: 2026-09-22
5/21/63 traded sessions after debut; price-only return vs offer.</t>
      </text>
    </comment>
    <comment ref="AI486" authorId="0" shapeId="0">
      <text>
        <t>Close: HK$119.9
Date: 2026-06-25
Venue: Futu (etnet; venues 118.0-119.9)
Source: etnet:ipo-info 暗盤數據</t>
      </text>
    </comment>
    <comment ref="AK486" authorId="1" shapeId="0">
      <text>
        <t>HSTECH (Hang Seng TECH ETF)
Previous trading close to listing-day close (2026-06-26).
Benchmark return in percent; not the index level or excess return.</t>
      </text>
    </comment>
    <comment ref="AP486" authorId="1" shapeId="0">
      <text>
        <t>Horizon close: 2026-07-06
5/21/63 traded sessions after debut; price-only return vs offer.</t>
      </text>
    </comment>
    <comment ref="AQ486" authorId="1" shapeId="0">
      <text>
        <t>Horizon close: 2026-07-28
5/21/63 traded sessions after debut; price-only return vs offer.</t>
      </text>
    </comment>
    <comment ref="AR486" authorId="1" shapeId="0">
      <text>
        <t>Horizon close: 2026-09-24
5/21/63 traded sessions after debut; price-only return vs offer.</t>
      </text>
    </comment>
    <comment ref="AI487" authorId="0" shapeId="0">
      <text>
        <t>Close: HK$115.4
Date: 2026-06-25
Venue: Futu (etnet; venues 115.4-118.1)
Source: etnet:ipo-info 暗盤數據</t>
      </text>
    </comment>
    <comment ref="AK487" authorId="1" shapeId="0">
      <text>
        <t>HSTECH (Hang Seng TECH ETF)
Previous trading close to listing-day close (2026-06-26).
Benchmark return in percent; not the index level or excess return.</t>
      </text>
    </comment>
    <comment ref="AP487" authorId="1" shapeId="0">
      <text>
        <t>Horizon close: 2026-07-06
5/21/63 traded sessions after debut; price-only return vs offer.</t>
      </text>
    </comment>
    <comment ref="AQ487" authorId="1" shapeId="0">
      <text>
        <t>Horizon close: 2026-07-28
5/21/63 traded sessions after debut; price-only return vs offer.</t>
      </text>
    </comment>
    <comment ref="AR487" authorId="1" shapeId="0">
      <text>
        <t>Horizon close: 2026-09-24
5/21/63 traded sessions after debut; price-only return vs offer.</t>
      </text>
    </comment>
    <comment ref="AI488" authorId="0" shapeId="0">
      <text>
        <t>Close: HK$111
Date: 2026-06-25
Venue: Phillip (etnet; venues 105.7-111.0)
Source: etnet:ipo-info 暗盤數據</t>
      </text>
    </comment>
    <comment ref="AK488" authorId="1" shapeId="0">
      <text>
        <t>HSTECH (Hang Seng TECH ETF)
Previous trading close to listing-day close (2026-06-26).
Benchmark return in percent; not the index level or excess return.</t>
      </text>
    </comment>
    <comment ref="AP488" authorId="1" shapeId="0">
      <text>
        <t>Horizon close: 2026-07-06
5/21/63 traded sessions after debut; price-only return vs offer.</t>
      </text>
    </comment>
    <comment ref="AQ488" authorId="1" shapeId="0">
      <text>
        <t>Horizon close: 2026-07-28
5/21/63 traded sessions after debut; price-only return vs offer.</t>
      </text>
    </comment>
    <comment ref="AR488" authorId="1" shapeId="0">
      <text>
        <t>Horizon close: 2026-09-24
5/21/63 traded sessions after debut; price-only return vs offer.</t>
      </text>
    </comment>
    <comment ref="AI489" authorId="0" shapeId="0">
      <text>
        <t>Close: HK$12.35
Date: 2026-06-25
Venue: Futu (etnet; venues 12.17-12.35)
Source: etnet:ipo-info 暗盤數據</t>
      </text>
    </comment>
    <comment ref="AK489" authorId="1" shapeId="0">
      <text>
        <t>HSTECH (Hang Seng TECH ETF)
Previous trading close to listing-day close (2026-06-26).
Benchmark return in percent; not the index level or excess return.</t>
      </text>
    </comment>
    <comment ref="AP489" authorId="1" shapeId="0">
      <text>
        <t>Horizon close: 2026-07-06
5/21/63 traded sessions after debut; price-only return vs offer.</t>
      </text>
    </comment>
    <comment ref="AQ489" authorId="1" shapeId="0">
      <text>
        <t>Horizon close: 2026-07-28
5/21/63 traded sessions after debut; price-only return vs offer.</t>
      </text>
    </comment>
    <comment ref="AR489" authorId="1" shapeId="0">
      <text>
        <t>Horizon close: 2026-09-24
5/21/63 traded sessions after debut; price-only return vs offer.</t>
      </text>
    </comment>
    <comment ref="AI490" authorId="0" shapeId="0">
      <text>
        <t>Close: HK$445.2
Date: 2026-06-25
Venue: Futu (etnet; venues 437.2-445.2)
Source: etnet:ipo-info 暗盤數據</t>
      </text>
    </comment>
    <comment ref="AK490" authorId="1" shapeId="0">
      <text>
        <t>HSTECH (Hang Seng TECH ETF)
Previous trading close to listing-day close (2026-06-26).
Benchmark return in percent; not the index level or excess return.</t>
      </text>
    </comment>
    <comment ref="AP490" authorId="1" shapeId="0">
      <text>
        <t>Horizon close: 2026-07-06
5/21/63 traded sessions after debut; price-only return vs offer.</t>
      </text>
    </comment>
    <comment ref="AQ490" authorId="1" shapeId="0">
      <text>
        <t>Horizon close: 2026-07-28
5/21/63 traded sessions after debut; price-only return vs offer.</t>
      </text>
    </comment>
    <comment ref="AR490" authorId="1" shapeId="0">
      <text>
        <t>Horizon close: 2026-09-24
5/21/63 traded sessions after debut; price-only return vs offer.</t>
      </text>
    </comment>
    <comment ref="AI491" authorId="0" shapeId="0">
      <text>
        <t>Close: HK$26.6
Date: 2026-06-25
Venue: Futu (etnet; venues 25.18-26.6)
Source: etnet:ipo-info 暗盤數據</t>
      </text>
    </comment>
    <comment ref="AK491" authorId="1" shapeId="0">
      <text>
        <t>Hang Seng Commerce &amp; Industry sub-index
Previous trading close to listing-day close (2026-06-26).
Benchmark return in percent; not the index level or excess return.</t>
      </text>
    </comment>
    <comment ref="AP491" authorId="1" shapeId="0">
      <text>
        <t>Horizon close: 2026-07-06
5/21/63 traded sessions after debut; price-only return vs offer.</t>
      </text>
    </comment>
    <comment ref="AQ491" authorId="1" shapeId="0">
      <text>
        <t>Horizon close: 2026-07-28
5/21/63 traded sessions after debut; price-only return vs offer.</t>
      </text>
    </comment>
    <comment ref="AR491" authorId="1" shapeId="0">
      <text>
        <t>Horizon close: 2026-09-24
5/21/63 traded sessions after debut; price-only return vs offer.</t>
      </text>
    </comment>
    <comment ref="AI492" authorId="0" shapeId="0">
      <text>
        <t>Close: HK$58.1
Date: 2026-06-26
Venue: Futu (etnet; venues 58.1-59.7)
Source: etnet:ipo-info 暗盤數據</t>
      </text>
    </comment>
    <comment ref="AK492" authorId="1" shapeId="0">
      <text>
        <t>Hang Seng Finance sub-index
Previous trading close to listing-day close (2026-06-29).
Benchmark return in percent; not the index level or excess return.</t>
      </text>
    </comment>
    <comment ref="AP492" authorId="1" shapeId="0">
      <text>
        <t>Horizon close: 2026-07-07
5/21/63 traded sessions after debut; price-only return vs offer.</t>
      </text>
    </comment>
    <comment ref="AQ492" authorId="1" shapeId="0">
      <text>
        <t>Horizon close: 2026-07-29
5/21/63 traded sessions after debut; price-only return vs offer.</t>
      </text>
    </comment>
    <comment ref="AR492" authorId="1" shapeId="0">
      <text>
        <t>Horizon close: 2026-09-25
5/21/63 traded sessions after debut; price-only return vs offer.</t>
      </text>
    </comment>
    <comment ref="AI493" authorId="0" shapeId="0">
      <text>
        <t>Close: HK$213
Date: 2026-06-26
Venue: Futu (etnet; venues 204.6-213.0)
Source: etnet:ipo-info 暗盤數據</t>
      </text>
    </comment>
    <comment ref="AK493" authorId="1" shapeId="0">
      <text>
        <t>HSTECH (Hang Seng TECH ETF)
Previous trading close to listing-day close (2026-06-29).
Benchmark return in percent; not the index level or excess return.</t>
      </text>
    </comment>
    <comment ref="AP493" authorId="1" shapeId="0">
      <text>
        <t>Horizon close: 2026-07-07
5/21/63 traded sessions after debut; price-only return vs offer.</t>
      </text>
    </comment>
    <comment ref="AQ493" authorId="1" shapeId="0">
      <text>
        <t>Horizon close: 2026-07-29
5/21/63 traded sessions after debut; price-only return vs offer.</t>
      </text>
    </comment>
    <comment ref="AR493" authorId="1" shapeId="0">
      <text>
        <t>Horizon close: 2026-09-25
5/21/63 traded sessions after debut; price-only return vs offer.</t>
      </text>
    </comment>
    <comment ref="AI494" authorId="0" shapeId="0">
      <text>
        <t>Close: HK$42.5
Date: 2026-06-26
Venue: Futu (etnet; venues 42.18-43.88)
Source: etnet:ipo-info 暗盤數據</t>
      </text>
    </comment>
    <comment ref="AK494" authorId="1" shapeId="0">
      <text>
        <t>China Biotech ETF (HS biotech proxy)
Previous trading close to listing-day close (2026-06-29).
Benchmark return in percent; not the index level or excess return.</t>
      </text>
    </comment>
    <comment ref="AP494" authorId="1" shapeId="0">
      <text>
        <t>Horizon close: 2026-07-07
5/21/63 traded sessions after debut; price-only return vs offer.</t>
      </text>
    </comment>
    <comment ref="AQ494" authorId="1" shapeId="0">
      <text>
        <t>Horizon close: 2026-07-29
5/21/63 traded sessions after debut; price-only return vs offer.</t>
      </text>
    </comment>
    <comment ref="AR494" authorId="1" shapeId="0">
      <text>
        <t>Horizon close: 2026-09-25
5/21/63 traded sessions after debut; price-only return vs offer.</t>
      </text>
    </comment>
    <comment ref="AI495" authorId="0" shapeId="0">
      <text>
        <t>Close: HK$344.2
Date: 2026-06-29
Venue: Futu (etnet; venues 344.2-350.0)
Source: etnet:ipo-info 暗盤數據</t>
      </text>
    </comment>
    <comment ref="AK495" authorId="1" shapeId="0">
      <text>
        <t>China Biotech ETF (HS biotech proxy)
Previous trading close to listing-day close (2026-06-30).
Benchmark return in percent; not the index level or excess return.</t>
      </text>
    </comment>
    <comment ref="AP495" authorId="1" shapeId="0">
      <text>
        <t>Horizon close: 2026-07-08
5/21/63 traded sessions after debut; price-only return vs offer.</t>
      </text>
    </comment>
    <comment ref="AQ495" authorId="1" shapeId="0">
      <text>
        <t>Horizon close: 2026-07-30
5/21/63 traded sessions after debut; price-only return vs offer.</t>
      </text>
    </comment>
    <comment ref="AR495" authorId="1" shapeId="0">
      <text>
        <t>Horizon close: 2026-09-28
5/21/63 traded sessions after debut; price-only return vs offer.</t>
      </text>
    </comment>
    <comment ref="AI496" authorId="0" shapeId="0">
      <text>
        <t>Close: HK$10.81
Date: 2026-06-29
Venue: Phillip (etnet; venues 10.54-10.81)
Source: etnet:ipo-info 暗盤數據</t>
      </text>
    </comment>
    <comment ref="AK496" authorId="1" shapeId="0">
      <text>
        <t>China Biotech ETF (HS biotech proxy)
Previous trading close to listing-day close (2026-06-30).
Benchmark return in percent; not the index level or excess return.</t>
      </text>
    </comment>
    <comment ref="AP496" authorId="1" shapeId="0">
      <text>
        <t>Horizon close: 2026-07-08
5/21/63 traded sessions after debut; price-only return vs offer.</t>
      </text>
    </comment>
    <comment ref="AQ496" authorId="1" shapeId="0">
      <text>
        <t>Horizon close: 2026-07-30
5/21/63 traded sessions after debut; price-only return vs offer.</t>
      </text>
    </comment>
    <comment ref="AR496" authorId="1" shapeId="0">
      <text>
        <t>Horizon close: 2026-09-28
5/21/63 traded sessions after debut; price-only return vs offer.</t>
      </text>
    </comment>
    <comment ref="AI497" authorId="0" shapeId="0">
      <text>
        <t>Close: HK$101
Date: 2026-06-29
Venue: Futu (etnet; venues 91.5-101.0)
Source: etnet:ipo-info 暗盤數據</t>
      </text>
    </comment>
    <comment ref="AK497" authorId="1" shapeId="0">
      <text>
        <t>Hang Seng Commerce &amp; Industry sub-index
Previous trading close to listing-day close (2026-06-30).
Benchmark return in percent; not the index level or excess return.</t>
      </text>
    </comment>
    <comment ref="AP497" authorId="1" shapeId="0">
      <text>
        <t>Horizon close: 2026-07-08
5/21/63 traded sessions after debut; price-only return vs offer.</t>
      </text>
    </comment>
    <comment ref="AQ497" authorId="1" shapeId="0">
      <text>
        <t>Horizon close: 2026-07-30
5/21/63 traded sessions after debut; price-only return vs offer.</t>
      </text>
    </comment>
    <comment ref="AR497" authorId="1" shapeId="0">
      <text>
        <t>Horizon close: 2026-09-28
5/21/63 traded sessions after debut; price-only return vs offer.</t>
      </text>
    </comment>
    <comment ref="AI498" authorId="0" shapeId="0">
      <text>
        <t>Close: HK$103.5
Date: 2026-06-29
Venue: Futu (etnet; venues 103.5-104.5)
Source: etnet:ipo-info 暗盤數據</t>
      </text>
    </comment>
    <comment ref="AK498" authorId="1" shapeId="0">
      <text>
        <t>Hang Seng Commerce &amp; Industry sub-index
Previous trading close to listing-day close (2026-06-30).
Benchmark return in percent; not the index level or excess return.</t>
      </text>
    </comment>
    <comment ref="AP498" authorId="1" shapeId="0">
      <text>
        <t>Horizon close: 2026-07-08
5/21/63 traded sessions after debut; price-only return vs offer.</t>
      </text>
    </comment>
    <comment ref="AQ498" authorId="1" shapeId="0">
      <text>
        <t>Horizon close: 2026-07-30
5/21/63 traded sessions after debut; price-only return vs offer.</t>
      </text>
    </comment>
    <comment ref="AR498" authorId="1" shapeId="0">
      <text>
        <t>Horizon close: 2026-09-28
5/21/63 traded sessions after debut; price-only return vs offer.</t>
      </text>
    </comment>
    <comment ref="AI499" authorId="0" shapeId="0">
      <text>
        <t>Close: HK$94.55
Date: 2026-06-30
Venue: Futu (etnet; venues 94.2-95.5)
Source: etnet:ipo-info 暗盤數據</t>
      </text>
    </comment>
    <comment ref="AK499" authorId="1" shapeId="0">
      <text>
        <t>HSTECH (Hang Seng TECH ETF)
Previous trading close to listing-day close (2026-07-02).
Benchmark return in percent; not the index level or excess return.</t>
      </text>
    </comment>
    <comment ref="AP499" authorId="1" shapeId="0">
      <text>
        <t>Horizon close: 2026-07-09
5/21/63 traded sessions after debut; price-only return vs offer.</t>
      </text>
    </comment>
    <comment ref="AQ499" authorId="1" shapeId="0">
      <text>
        <t>Horizon close: 2026-07-31
5/21/63 traded sessions after debut; price-only return vs offer.</t>
      </text>
    </comment>
    <comment ref="AR499" authorId="1" shapeId="0">
      <text>
        <t>Horizon close: 2026-09-29
5/21/63 traded sessions after debut; price-only return vs offer.</t>
      </text>
    </comment>
    <comment ref="AI500" authorId="0" shapeId="0">
      <text>
        <t>Close: HK$4.64
Date: 2026-07-06
Venue: Futu (etnet; venues 4.64-4.74)
Source: etnet:ipo-info 暗盤數據</t>
      </text>
    </comment>
    <comment ref="AK500" authorId="1" shapeId="0">
      <text>
        <t>China Biotech ETF (HS biotech proxy)
Previous trading close to listing-day close (2026-07-07).
Benchmark return in percent; not the index level or excess return.</t>
      </text>
    </comment>
    <comment ref="AP500" authorId="1" shapeId="0">
      <text>
        <t>Horizon close: 2026-07-14
5/21/63 traded sessions after debut; price-only return vs offer.</t>
      </text>
    </comment>
    <comment ref="AQ500" authorId="1" shapeId="0">
      <text>
        <t>Horizon close: 2026-08-05
5/21/63 traded sessions after debut; price-only return vs offer.</t>
      </text>
    </comment>
    <comment ref="AR500" authorId="1" shapeId="0">
      <text>
        <t>Horizon close: pending: 62 traded sessions after debut; 63 needed
5/21/63 traded sessions after debut; price-only return vs offer.</t>
      </text>
    </comment>
    <comment ref="AI501" authorId="0" shapeId="0">
      <text>
        <t>Close: HK$17.99
Date: 2026-07-07
Venue: Futu (etnet; venues 17.99-19.12)
Source: etnet:ipo-info 暗盤數據</t>
      </text>
    </comment>
    <comment ref="AK501" authorId="1" shapeId="0">
      <text>
        <t>HSTECH (Hang Seng TECH ETF)
Previous trading close to listing-day close (2026-07-08).
Benchmark return in percent; not the index level or excess return.</t>
      </text>
    </comment>
    <comment ref="AP501" authorId="1" shapeId="0">
      <text>
        <t>Horizon close: 2026-07-15
5/21/63 traded sessions after debut; price-only return vs offer.</t>
      </text>
    </comment>
    <comment ref="AQ501" authorId="1" shapeId="0">
      <text>
        <t>Horizon close: 2026-08-06
5/21/63 traded sessions after debut; price-only return vs offer.</t>
      </text>
    </comment>
    <comment ref="AR501" authorId="1" shapeId="0">
      <text>
        <t>Horizon close: pending: 61 traded sessions after debut; 63 needed
5/21/63 traded sessions after debut; price-only return vs offer.</t>
      </text>
    </comment>
    <comment ref="AI502" authorId="0" shapeId="0">
      <text>
        <t>Close: HK$34.76
Date: 2026-07-07
Venue: Futu (etnet; venues 34.76-37.1)
Source: etnet:ipo-info 暗盤數據</t>
      </text>
    </comment>
    <comment ref="AK502" authorId="1" shapeId="0">
      <text>
        <t>HSTECH (Hang Seng TECH ETF)
Previous trading close to listing-day close (2026-07-08).
Benchmark return in percent; not the index level or excess return.</t>
      </text>
    </comment>
    <comment ref="AP502" authorId="1" shapeId="0">
      <text>
        <t>Horizon close: 2026-07-15
5/21/63 traded sessions after debut; price-only return vs offer.</t>
      </text>
    </comment>
    <comment ref="AQ502" authorId="1" shapeId="0">
      <text>
        <t>Horizon close: 2026-08-06
5/21/63 traded sessions after debut; price-only return vs offer.</t>
      </text>
    </comment>
    <comment ref="AR502" authorId="1" shapeId="0">
      <text>
        <t>Horizon close: pending: 61 traded sessions after debut; 63 needed
5/21/63 traded sessions after debut; price-only return vs offer.</t>
      </text>
    </comment>
    <comment ref="AI503" authorId="0" shapeId="0">
      <text>
        <t>Close: HK$294.6
Date: 2026-07-07
Venue: Futu (etnet; venues 294.6-299.0)
Source: etnet:ipo-info 暗盤數據</t>
      </text>
    </comment>
    <comment ref="AK503" authorId="1" shapeId="0">
      <text>
        <t>HSTECH (Hang Seng TECH ETF)
Previous trading close to listing-day close (2026-07-08).
Benchmark return in percent; not the index level or excess return.</t>
      </text>
    </comment>
    <comment ref="AP503" authorId="1" shapeId="0">
      <text>
        <t>Horizon close: 2026-07-15
5/21/63 traded sessions after debut; price-only return vs offer.</t>
      </text>
    </comment>
    <comment ref="AQ503" authorId="1" shapeId="0">
      <text>
        <t>Horizon close: 2026-08-06
5/21/63 traded sessions after debut; price-only return vs offer.</t>
      </text>
    </comment>
    <comment ref="AR503" authorId="1" shapeId="0">
      <text>
        <t>Horizon close: pending: 61 traded sessions after debut; 63 needed
5/21/63 traded sessions after debut; price-only return vs offer.</t>
      </text>
    </comment>
    <comment ref="AI504" authorId="0" shapeId="0">
      <text>
        <t>Close: HK$91.5
Date: 2026-07-07
Venue: Futu (etnet; venues 91.5-95.8)
Source: etnet:ipo-info 暗盤數據</t>
      </text>
    </comment>
    <comment ref="AK504" authorId="1" shapeId="0">
      <text>
        <t>HSTECH (Hang Seng TECH ETF)
Previous trading close to listing-day close (2026-07-08).
Benchmark return in percent; not the index level or excess return.</t>
      </text>
    </comment>
    <comment ref="AP504" authorId="1" shapeId="0">
      <text>
        <t>Horizon close: 2026-07-15
5/21/63 traded sessions after debut; price-only return vs offer.</t>
      </text>
    </comment>
    <comment ref="AQ504" authorId="1" shapeId="0">
      <text>
        <t>Horizon close: 2026-08-06
5/21/63 traded sessions after debut; price-only return vs offer.</t>
      </text>
    </comment>
    <comment ref="AR504" authorId="1" shapeId="0">
      <text>
        <t>Horizon close: pending: 61 traded sessions after debut; 63 needed
5/21/63 traded sessions after debut; price-only return vs offer.</t>
      </text>
    </comment>
    <comment ref="AI505" authorId="0" shapeId="0">
      <text>
        <t>Close: HK$15.5
Date: 2026-07-08
Venue: Futu (etnet; venues 15.5-16.11)
Source: etnet:ipo-info 暗盤數據</t>
      </text>
    </comment>
    <comment ref="AK505" authorId="1" shapeId="0">
      <text>
        <t>Hang Seng Commerce &amp; Industry sub-index
Previous trading close to listing-day close (2026-07-09).
Benchmark return in percent; not the index level or excess return.</t>
      </text>
    </comment>
    <comment ref="AP505" authorId="1" shapeId="0">
      <text>
        <t>Horizon close: 2026-07-16
5/21/63 traded sessions after debut; price-only return vs offer.</t>
      </text>
    </comment>
    <comment ref="AQ505" authorId="1" shapeId="0">
      <text>
        <t>Horizon close: 2026-08-07
5/21/63 traded sessions after debut; price-only return vs offer.</t>
      </text>
    </comment>
    <comment ref="AR505" authorId="1" shapeId="0">
      <text>
        <t>Horizon close: pending: 60 traded sessions after debut; 63 needed
5/21/63 traded sessions after debut; price-only return vs offer.</t>
      </text>
    </comment>
    <comment ref="AI506" authorId="0" shapeId="0">
      <text>
        <t>Close: HK$81.3
Date: 2026-07-07
Venue: Futu (etnet; venues 81.3-82.2)
Source: etnet:ipo-info 暗盤數據</t>
      </text>
    </comment>
    <comment ref="AK506" authorId="1" shapeId="0">
      <text>
        <t>HSTECH (Hang Seng TECH ETF)
Previous trading close to listing-day close (2026-07-09).
Benchmark return in percent; not the index level or excess return.</t>
      </text>
    </comment>
    <comment ref="AP506" authorId="1" shapeId="0">
      <text>
        <t>Horizon close: 2026-07-16
5/21/63 traded sessions after debut; price-only return vs offer.</t>
      </text>
    </comment>
    <comment ref="AQ506" authorId="1" shapeId="0">
      <text>
        <t>Horizon close: 2026-08-07
5/21/63 traded sessions after debut; price-only return vs offer.</t>
      </text>
    </comment>
    <comment ref="AR506" authorId="1" shapeId="0">
      <text>
        <t>Horizon close: pending: 60 traded sessions after debut; 63 needed
5/21/63 traded sessions after debut; price-only return vs offer.</t>
      </text>
    </comment>
    <comment ref="AI507" authorId="0" shapeId="0">
      <text>
        <t>Close: HK$37.3
Date: 2026-07-08
Venue: Futu (etnet; venues 37.3-38.02)
Source: etnet:ipo-info 暗盤數據</t>
      </text>
    </comment>
    <comment ref="AK507" authorId="1" shapeId="0">
      <text>
        <t>HSTECH (Hang Seng TECH ETF)
Previous trading close to listing-day close (2026-07-09).
Benchmark return in percent; not the index level or excess return.</t>
      </text>
    </comment>
    <comment ref="AP507" authorId="1" shapeId="0">
      <text>
        <t>Horizon close: 2026-07-16
5/21/63 traded sessions after debut; price-only return vs offer.</t>
      </text>
    </comment>
    <comment ref="AQ507" authorId="1" shapeId="0">
      <text>
        <t>Horizon close: 2026-08-07
5/21/63 traded sessions after debut; price-only return vs offer.</t>
      </text>
    </comment>
    <comment ref="AR507" authorId="1" shapeId="0">
      <text>
        <t>Horizon close: pending: 60 traded sessions after debut; 63 needed
5/21/63 traded sessions after debut; price-only return vs offer.</t>
      </text>
    </comment>
    <comment ref="AI508" authorId="0" shapeId="0">
      <text>
        <t>Close: HK$38
Date: 2026-07-08
Venue: Futu (etnet; venues 38.0-38.08)
Source: etnet:ipo-info 暗盤數據</t>
      </text>
    </comment>
    <comment ref="AK508" authorId="1" shapeId="0">
      <text>
        <t>Hang Seng Commerce &amp; Industry sub-index
Previous trading close to listing-day close (2026-07-09).
Benchmark return in percent; not the index level or excess return.</t>
      </text>
    </comment>
    <comment ref="AP508" authorId="1" shapeId="0">
      <text>
        <t>Horizon close: 2026-07-16
5/21/63 traded sessions after debut; price-only return vs offer.</t>
      </text>
    </comment>
    <comment ref="AQ508" authorId="1" shapeId="0">
      <text>
        <t>Horizon close: 2026-08-07
5/21/63 traded sessions after debut; price-only return vs offer.</t>
      </text>
    </comment>
    <comment ref="AR508" authorId="1" shapeId="0">
      <text>
        <t>Horizon close: pending: 60 traded sessions after debut; 63 needed
5/21/63 traded sessions after debut; price-only return vs offer.</t>
      </text>
    </comment>
    <comment ref="AI509" authorId="0" shapeId="0">
      <text>
        <t>Close: HK$60.15
Date: 2026-07-08
Venue: press (bastillepost) — venue not stated
Source: press:bastillepost.com, via search: '立訊精密…暗盤收報60.15元，較招股價低4.9%' — offer HK$63.28, 60.15/63.28-1 = -4.95%, rounds to the published -4.9%.</t>
      </text>
    </comment>
    <comment ref="AK509" authorId="1" shapeId="0">
      <text>
        <t>HSTECH (Hang Seng TECH ETF)
Previous trading close to listing-day close (2026-07-09).
Benchmark return in percent; not the index level or excess return.</t>
      </text>
    </comment>
    <comment ref="AP509" authorId="1" shapeId="0">
      <text>
        <t>Horizon close: 2026-07-16
5/21/63 traded sessions after debut; price-only return vs offer.</t>
      </text>
    </comment>
    <comment ref="AQ509" authorId="1" shapeId="0">
      <text>
        <t>Horizon close: 2026-08-07
5/21/63 traded sessions after debut; price-only return vs offer.</t>
      </text>
    </comment>
    <comment ref="AR509" authorId="1" shapeId="0">
      <text>
        <t>Horizon close: pending: 60 traded sessions after debut; 63 needed
5/21/63 traded sessions after debut; price-only return vs offer.</t>
      </text>
    </comment>
    <comment ref="AI510" authorId="0" shapeId="0">
      <text>
        <t>Close: HK$96
Date: 2026-07-08
Venue: Livermore (利弗莫爾) — NOT Phillip; the only published print found
Source: press:Zhitong via cn.investing.com '三环集团(06951)暗盘收跌超4%…利弗莫尔证券暗盘交易显示报价96港元，较招股价100.3港元下跌4.29%' — 96/100.3-1 = -4.29% exactly.</t>
      </text>
    </comment>
    <comment ref="AK510" authorId="1" shapeId="0">
      <text>
        <t>HSTECH (Hang Seng TECH ETF)
Previous trading close to listing-day close (2026-07-09).
Benchmark return in percent; not the index level or excess return.</t>
      </text>
    </comment>
    <comment ref="AP510" authorId="1" shapeId="0">
      <text>
        <t>Horizon close: 2026-07-16
5/21/63 traded sessions after debut; price-only return vs offer.</t>
      </text>
    </comment>
    <comment ref="AQ510" authorId="1" shapeId="0">
      <text>
        <t>Horizon close: 2026-08-07
5/21/63 traded sessions after debut; price-only return vs offer.</t>
      </text>
    </comment>
    <comment ref="AR510" authorId="1" shapeId="0">
      <text>
        <t>Horizon close: pending: 60 traded sessions after debut; 63 needed
5/21/63 traded sessions after debut; price-only return vs offer.</t>
      </text>
    </comment>
    <comment ref="AI511" authorId="0" shapeId="0">
      <text>
        <t>Close: HK$340
Date: 2026-07-08
Venue: Futu (etnet; venues 340.0-345.0)
Source: etnet:ipo-info 暗盤數據</t>
      </text>
    </comment>
    <comment ref="AK511" authorId="1" shapeId="0">
      <text>
        <t>HSTECH (Hang Seng TECH ETF)
Previous trading close to listing-day close (2026-07-09).
Benchmark return in percent; not the index level or excess return.</t>
      </text>
    </comment>
    <comment ref="AP511" authorId="1" shapeId="0">
      <text>
        <t>Horizon close: 2026-07-16
5/21/63 traded sessions after debut; price-only return vs offer.</t>
      </text>
    </comment>
    <comment ref="AQ511" authorId="1" shapeId="0">
      <text>
        <t>Horizon close: 2026-08-07
5/21/63 traded sessions after debut; price-only return vs offer.</t>
      </text>
    </comment>
    <comment ref="AR511" authorId="1" shapeId="0">
      <text>
        <t>Horizon close: pending: 60 traded sessions after debut; 63 needed
5/21/63 traded sessions after debut; price-only return vs offer.</t>
      </text>
    </comment>
    <comment ref="AI512" authorId="0" shapeId="0">
      <text>
        <t>Close: HK$2.73
Date: 2026-07-09
Venue: Futu (etnet; venues 2.73-2.75)
Source: etnet:ipo-info 暗盤數據</t>
      </text>
    </comment>
    <comment ref="AK512" authorId="1" shapeId="0">
      <text>
        <t>Hang Seng Commerce &amp; Industry sub-index
Previous trading close to listing-day close (2026-07-10).
Benchmark return in percent; not the index level or excess return.</t>
      </text>
    </comment>
    <comment ref="AP512" authorId="1" shapeId="0">
      <text>
        <t>Horizon close: 2026-07-17
5/21/63 traded sessions after debut; price-only return vs offer.</t>
      </text>
    </comment>
    <comment ref="AQ512" authorId="1" shapeId="0">
      <text>
        <t>Horizon close: 2026-08-10
5/21/63 traded sessions after debut; price-only return vs offer.</t>
      </text>
    </comment>
    <comment ref="AR512" authorId="1" shapeId="0">
      <text>
        <t>Horizon close: pending: 59 traded sessions after debut; 63 needed
5/21/63 traded sessions after debut; price-only return vs offer.</t>
      </text>
    </comment>
    <comment ref="AI513" authorId="0" shapeId="0">
      <text>
        <t>Close: HK$36.1
Date: 2026-07-09
Venue: Phillip (etnet; venues 35.48-36.1)
Source: etnet:ipo-info 暗盤數據</t>
      </text>
    </comment>
    <comment ref="AK513" authorId="1" shapeId="0">
      <text>
        <t>HSTECH (Hang Seng TECH ETF)
Previous trading close to listing-day close (2026-07-10).
Benchmark return in percent; not the index level or excess return.</t>
      </text>
    </comment>
    <comment ref="AP513" authorId="1" shapeId="0">
      <text>
        <t>Horizon close: 2026-07-17
5/21/63 traded sessions after debut; price-only return vs offer.</t>
      </text>
    </comment>
    <comment ref="AQ513" authorId="1" shapeId="0">
      <text>
        <t>Horizon close: 2026-08-10
5/21/63 traded sessions after debut; price-only return vs offer.</t>
      </text>
    </comment>
    <comment ref="AR513" authorId="1" shapeId="0">
      <text>
        <t>Horizon close: pending: 59 traded sessions after debut; 63 needed
5/21/63 traded sessions after debut; price-only return vs offer.</t>
      </text>
    </comment>
    <comment ref="AI514" authorId="0" shapeId="0">
      <text>
        <t>Close: HK$969.5
Date: 2026-07-29
Venue: Phillip (輝立)
Source: press:AASTOCKS news, syndicated on Yahoo HK Finance: 《新股》中際旭創(03308.HK)暗盤收報969.5元 低上市價1.1% — offer HK$980.00, so 969.5/980-1 = -1.07% which rounds to the published -1.1%. Futu's own print for the same session was 971.0 (-0.9%); the Phillip figure is recorded to match the scrape's venue.</t>
      </text>
    </comment>
    <comment ref="AK514" authorId="1" shapeId="0">
      <text>
        <t>HSTECH (Hang Seng TECH ETF)
Previous trading close to listing-day close (2026-07-30).
Benchmark return in percent; not the index level or excess return.</t>
      </text>
    </comment>
    <comment ref="AP514" authorId="1" shapeId="0">
      <text>
        <t>Horizon close: 2026-08-06
5/21/63 traded sessions after debut; price-only return vs offer.</t>
      </text>
    </comment>
    <comment ref="AQ514" authorId="1" shapeId="0">
      <text>
        <t>Horizon close: 2026-08-28
5/21/63 traded sessions after debut; price-only return vs offer.</t>
      </text>
    </comment>
    <comment ref="AR514" authorId="1" shapeId="0">
      <text>
        <t>Horizon close: pending: 45 traded sessions after debut; 63 needed
5/21/63 traded sessions after debut; price-only return vs offer.</t>
      </text>
    </comment>
    <comment ref="AI515" authorId="0" shapeId="0">
      <text>
        <t>Close: HK$16.7
Date: 2026-08-06
Venue: Futu (etnet; venues 16.65-16.7)
Source: etnet:ipo-info 暗盤數據</t>
      </text>
    </comment>
    <comment ref="AK515" authorId="1" shapeId="0">
      <text>
        <t>Hang Seng Commerce &amp; Industry sub-index
Previous trading close to listing-day close (2026-08-07).
Benchmark return in percent; not the index level or excess return.</t>
      </text>
    </comment>
    <comment ref="AP515" authorId="1" shapeId="0">
      <text>
        <t>Horizon close: 2026-08-14
5/21/63 traded sessions after debut; price-only return vs offer.</t>
      </text>
    </comment>
    <comment ref="AQ515" authorId="1" shapeId="0">
      <text>
        <t>Horizon close: 2026-09-07
5/21/63 traded sessions after debut; price-only return vs offer.</t>
      </text>
    </comment>
    <comment ref="AR515" authorId="1" shapeId="0">
      <text>
        <t>Horizon close: pending: 39 traded sessions after debut; 63 needed
5/21/63 traded sessions after debut; price-only return vs offer.</t>
      </text>
    </comment>
    <comment ref="AI516" authorId="0" shapeId="0">
      <text>
        <t>Close: HK$99.75
Date: 2026-08-24
Venue: Futu (etnet; venues 99.5-99.75)
Source: etnet:ipo-info 暗盤數據</t>
      </text>
    </comment>
    <comment ref="AK516" authorId="1" shapeId="0">
      <text>
        <t>HSTECH (Hang Seng TECH ETF)
Previous trading close to listing-day close (2026-08-25).
Benchmark return in percent; not the index level or excess return.</t>
      </text>
    </comment>
    <comment ref="AP516" authorId="1" shapeId="0">
      <text>
        <t>Horizon close: 2026-09-01
5/21/63 traded sessions after debut; price-only return vs offer.</t>
      </text>
    </comment>
    <comment ref="AQ516" authorId="1" shapeId="0">
      <text>
        <t>Horizon close: 2026-09-23
5/21/63 traded sessions after debut; price-only return vs offer.</t>
      </text>
    </comment>
    <comment ref="AR516" authorId="1" shapeId="0">
      <text>
        <t>Horizon close: pending: 27 traded sessions after debut; 63 needed
5/21/63 traded sessions after debut; price-only return vs offer.</t>
      </text>
    </comment>
    <comment ref="AI517" authorId="0" shapeId="0">
      <text>
        <t>Close: HK$42.2
Date: 2026-08-31
Venue: Futu (etnet; venues 41.8-42.2)
Source: etnet:ipo-info 暗盤數據</t>
      </text>
    </comment>
    <comment ref="AK517" authorId="1" shapeId="0">
      <text>
        <t>Hang Seng Commerce &amp; Industry sub-index
Previous trading close to listing-day close (2026-09-01).
Benchmark return in percent; not the index level or excess return.</t>
      </text>
    </comment>
    <comment ref="AP517" authorId="1" shapeId="0">
      <text>
        <t>Horizon close: 2026-09-08
5/21/63 traded sessions after debut; price-only return vs offer.</t>
      </text>
    </comment>
    <comment ref="AQ517" authorId="1" shapeId="0">
      <text>
        <t>Horizon close: 2026-09-30
5/21/63 traded sessions after debut; price-only return vs offer.</t>
      </text>
    </comment>
    <comment ref="AR517" authorId="1" shapeId="0">
      <text>
        <t>Horizon close: pending: 22 traded sessions after debut; 63 needed
5/21/63 traded sessions after debut; price-only return vs offer.</t>
      </text>
    </comment>
    <comment ref="AI518" authorId="0" shapeId="0">
      <text>
        <t>Close: HK$100.6
Date: 2026-08-31
Venue: Futu (etnet; venues 100.1-101.0)
Source: etnet:ipo-info 暗盤數據</t>
      </text>
    </comment>
    <comment ref="AK518" authorId="1" shapeId="0">
      <text>
        <t>HSTECH (Hang Seng TECH ETF)
Previous trading close to listing-day close (2026-09-01).
Benchmark return in percent; not the index level or excess return.</t>
      </text>
    </comment>
    <comment ref="AP518" authorId="1" shapeId="0">
      <text>
        <t>Horizon close: 2026-09-08
5/21/63 traded sessions after debut; price-only return vs offer.</t>
      </text>
    </comment>
    <comment ref="AQ518" authorId="1" shapeId="0">
      <text>
        <t>Horizon close: 2026-09-30
5/21/63 traded sessions after debut; price-only return vs offer.</t>
      </text>
    </comment>
    <comment ref="AR518" authorId="1" shapeId="0">
      <text>
        <t>Horizon close: pending: 22 traded sessions after debut; 63 needed
5/21/63 traded sessions after debut; price-only return vs offer.</t>
      </text>
    </comment>
    <comment ref="AI519" authorId="0" shapeId="0">
      <text>
        <t>Close: HK$11.9
Date: 2026-09-04
Venue: Phillip (etnet; venues 11.9-12.8)
Source: etnet:ipo-info 暗盤數據</t>
      </text>
    </comment>
    <comment ref="AK519" authorId="1" shapeId="0">
      <text>
        <t>China Biotech ETF (HS biotech proxy)
Previous trading close to listing-day close (2026-09-07).
Benchmark return in percent; not the index level or excess return.</t>
      </text>
    </comment>
    <comment ref="AP519" authorId="1" shapeId="0">
      <text>
        <t>Horizon close: 2026-09-14
5/21/63 traded sessions after debut; price-only return vs offer.</t>
      </text>
    </comment>
    <comment ref="AQ519" authorId="1" shapeId="0">
      <text>
        <t>Horizon close: pending: 18 traded sessions after debut; 21 needed
5/21/63 traded sessions after debut; price-only return vs offer.</t>
      </text>
    </comment>
    <comment ref="AR519" authorId="1" shapeId="0">
      <text>
        <t>Horizon close: pending: 18 traded sessions after debut; 63 needed
5/21/63 traded sessions after debut; price-only return vs offer.</t>
      </text>
    </comment>
    <comment ref="AI520" authorId="0" shapeId="0">
      <text>
        <t>Close: HK$234.4
Date: 2026-09-07
Venue: Phillip (etnet; venues 233.4-235.2)
Source: etnet:ipo-info 暗盤數據</t>
      </text>
    </comment>
    <comment ref="AK520" authorId="1" shapeId="0">
      <text>
        <t>HSTECH (Hang Seng TECH ETF)
Previous trading close to listing-day close (2026-09-08).
Benchmark return in percent; not the index level or excess return.</t>
      </text>
    </comment>
    <comment ref="AP520" authorId="1" shapeId="0">
      <text>
        <t>Horizon close: 2026-09-15
5/21/63 traded sessions after debut; price-only return vs offer.</t>
      </text>
    </comment>
    <comment ref="AQ520" authorId="1" shapeId="0">
      <text>
        <t>Horizon close: pending: 17 traded sessions after debut; 21 needed
5/21/63 traded sessions after debut; price-only return vs offer.</t>
      </text>
    </comment>
    <comment ref="AR520" authorId="1" shapeId="0">
      <text>
        <t>Horizon close: pending: 17 traded sessions after debut; 63 needed
5/21/63 traded sessions after debut; price-only return vs offer.</t>
      </text>
    </comment>
    <comment ref="AI521" authorId="0" shapeId="0">
      <text>
        <t>Close: HK$29.7
Date: 2026-09-08
Venue: Futu (etnet; venues 29.7-30.0)
Source: etnet:ipo-info 暗盤數據</t>
      </text>
    </comment>
    <comment ref="AK521" authorId="1" shapeId="0">
      <text>
        <t>HSTECH (Hang Seng TECH ETF)
Previous trading close to listing-day close (2026-09-09).
Benchmark return in percent; not the index level or excess return.</t>
      </text>
    </comment>
    <comment ref="AP521" authorId="1" shapeId="0">
      <text>
        <t>Horizon close: 2026-09-16
5/21/63 traded sessions after debut; price-only return vs offer.</t>
      </text>
    </comment>
    <comment ref="AQ521" authorId="1" shapeId="0">
      <text>
        <t>Horizon close: pending: 16 traded sessions after debut; 21 needed
5/21/63 traded sessions after debut; price-only return vs offer.</t>
      </text>
    </comment>
    <comment ref="AR521" authorId="1" shapeId="0">
      <text>
        <t>Horizon close: pending: 16 traded sessions after debut; 63 needed
5/21/63 traded sessions after debut; price-only return vs offer.</t>
      </text>
    </comment>
    <comment ref="AI522" authorId="0" shapeId="0">
      <text>
        <t>Close: HK$48.38
Date: 2026-09-18
Venue: Futu (etnet; venues 48.14-48.38)
Source: etnet:ipo-info 暗盤數據</t>
      </text>
    </comment>
    <comment ref="AK522" authorId="1" shapeId="0">
      <text>
        <t>HSTECH (Hang Seng TECH ETF)
Previous trading close to listing-day close (2026-09-21).
Benchmark return in percent; not the index level or excess return.</t>
      </text>
    </comment>
    <comment ref="AP522" authorId="1" shapeId="0">
      <text>
        <t>Horizon close: 2026-09-28
5/21/63 traded sessions after debut; price-only return vs offer.</t>
      </text>
    </comment>
    <comment ref="AQ522" authorId="1" shapeId="0">
      <text>
        <t>Horizon close: pending: 8 traded sessions after debut; 21 needed
5/21/63 traded sessions after debut; price-only return vs offer.</t>
      </text>
    </comment>
    <comment ref="AR522" authorId="1" shapeId="0">
      <text>
        <t>Horizon close: pending: 8 traded sessions after debut; 63 needed
5/21/63 traded sessions after debut; price-only return vs offer.</t>
      </text>
    </comment>
    <comment ref="AI523" authorId="0" shapeId="0">
      <text>
        <t>Close: HK$35.9
Date: 2026-09-21
Venue: Phillip (etnet; venues 35.9-37.8)
Source: etnet:ipo-info 暗盤數據</t>
      </text>
    </comment>
    <comment ref="AK523" authorId="1" shapeId="0">
      <text>
        <t>HSTECH (Hang Seng TECH ETF)
Previous trading close to listing-day close (2026-09-22).
Benchmark return in percent; not the index level or excess return.</t>
      </text>
    </comment>
    <comment ref="AP523" authorId="1" shapeId="0">
      <text>
        <t>Horizon close: 2026-09-29
5/21/63 traded sessions after debut; price-only return vs offer.</t>
      </text>
    </comment>
    <comment ref="AQ523" authorId="1" shapeId="0">
      <text>
        <t>Horizon close: pending: 7 traded sessions after debut; 21 needed
5/21/63 traded sessions after debut; price-only return vs offer.</t>
      </text>
    </comment>
    <comment ref="AR523" authorId="1" shapeId="0">
      <text>
        <t>Horizon close: pending: 7 traded sessions after debut; 63 needed
5/21/63 traded sessions after debut; price-only return vs offer.</t>
      </text>
    </comment>
    <comment ref="AI524" authorId="0" shapeId="0">
      <text>
        <t>Close: HK$36.14
Date: 2026-09-28
Venue: Futu (etnet; venues 36.14-36.74)
Source: etnet:ipo-info 暗盤數據</t>
      </text>
    </comment>
    <comment ref="AK524" authorId="1" shapeId="0">
      <text>
        <t>Hang Seng Commerce &amp; Industry sub-index
Previous trading close to listing-day close (2026-09-29).
Benchmark return in percent; not the index level or excess return.</t>
      </text>
    </comment>
    <comment ref="AP524" authorId="1" shapeId="0">
      <text>
        <t>Horizon close: pending: 2 traded sessions after debut; 5 needed
5/21/63 traded sessions after debut; price-only return vs offer.</t>
      </text>
    </comment>
    <comment ref="AQ524" authorId="1" shapeId="0">
      <text>
        <t>Horizon close: pending: 2 traded sessions after debut; 21 needed
5/21/63 traded sessions after debut; price-only return vs offer.</t>
      </text>
    </comment>
    <comment ref="AR524" authorId="1" shapeId="0">
      <text>
        <t>Horizon close: pending: 2 traded sessions after debut; 63 needed
5/21/63 traded sessions after debut; price-only return vs offer.</t>
      </text>
    </comment>
    <comment ref="AI525" authorId="0" shapeId="0">
      <text>
        <t>Close: HK$65.45
Date: 2026-09-28
Venue: Phillip (etnet; venues 65.45-65.55)
Source: etnet:ipo-info 暗盤數據</t>
      </text>
    </comment>
    <comment ref="AK525" authorId="1" shapeId="0">
      <text>
        <t>HSTECH (Hang Seng TECH ETF)
Previous trading close to listing-day close (2026-09-29).
Benchmark return in percent; not the index level or excess return.</t>
      </text>
    </comment>
    <comment ref="AP525" authorId="1" shapeId="0">
      <text>
        <t>Horizon close: pending: 2 traded sessions after debut; 5 needed
5/21/63 traded sessions after debut; price-only return vs offer.</t>
      </text>
    </comment>
    <comment ref="AQ525" authorId="1" shapeId="0">
      <text>
        <t>Horizon close: pending: 2 traded sessions after debut; 21 needed
5/21/63 traded sessions after debut; price-only return vs offer.</t>
      </text>
    </comment>
    <comment ref="AR525" authorId="1" shapeId="0">
      <text>
        <t>Horizon close: pending: 2 traded sessions after debut; 63 needed
5/21/63 traded sessions after debut; price-only return vs offer.</t>
      </text>
    </comment>
    <comment ref="AI526" authorId="0" shapeId="0">
      <text>
        <t>Close: HK$428
Date: 2026-09-28
Venue: Phillip (etnet; venues 428.0-428.0)
Source: etnet:ipo-info 暗盤數據</t>
      </text>
    </comment>
    <comment ref="AK526" authorId="1" shapeId="0">
      <text>
        <t>HSTECH (Hang Seng TECH ETF)
Previous trading close to listing-day close (2026-09-29).
Benchmark return in percent; not the index level or excess return.</t>
      </text>
    </comment>
    <comment ref="AP526" authorId="1" shapeId="0">
      <text>
        <t>Horizon close: pending: 2 traded sessions after debut; 5 needed
5/21/63 traded sessions after debut; price-only return vs offer.</t>
      </text>
    </comment>
    <comment ref="AQ526" authorId="1" shapeId="0">
      <text>
        <t>Horizon close: pending: 2 traded sessions after debut; 21 needed
5/21/63 traded sessions after debut; price-only return vs offer.</t>
      </text>
    </comment>
    <comment ref="AR526" authorId="1" shapeId="0">
      <text>
        <t>Horizon close: pending: 2 traded sessions after debut; 63 needed
5/21/63 traded sessions after debut; price-only return vs offer.</t>
      </text>
    </comment>
    <comment ref="AI527" authorId="0" shapeId="0">
      <text>
        <t>Close: HK$22.52
Date: 2026-09-28
Venue: Futu (etnet; venues 22.34-22.56)
Source: etnet:ipo-info 暗盤數據</t>
      </text>
    </comment>
    <comment ref="AK527" authorId="1" shapeId="0">
      <text>
        <t>HSTECH (Hang Seng TECH ETF)
Previous trading close to listing-day close (2026-09-29).
Benchmark return in percent; not the index level or excess return.</t>
      </text>
    </comment>
    <comment ref="AP527" authorId="1" shapeId="0">
      <text>
        <t>Horizon close: pending: 2 traded sessions after debut; 5 needed
5/21/63 traded sessions after debut; price-only return vs offer.</t>
      </text>
    </comment>
    <comment ref="AQ527" authorId="1" shapeId="0">
      <text>
        <t>Horizon close: pending: 2 traded sessions after debut; 21 needed
5/21/63 traded sessions after debut; price-only return vs offer.</t>
      </text>
    </comment>
    <comment ref="AR527" authorId="1" shapeId="0">
      <text>
        <t>Horizon close: pending: 2 traded sessions after debut; 63 needed
5/21/63 traded sessions after debut; price-only return vs offer.</t>
      </text>
    </comment>
    <comment ref="AI528" authorId="0" shapeId="0">
      <text>
        <t>Close: HK$170.8
Date: 2026-09-29
Venue: Futu (etnet; venues 169.0-170.8)
Source: etnet:ipo-info 暗盤數據</t>
      </text>
    </comment>
    <comment ref="AK528" authorId="1" shapeId="0">
      <text>
        <t>HSTECH (Hang Seng TECH ETF)
Previous trading close to listing-day close (2026-09-30).
Benchmark return in percent; not the index level or excess return.</t>
      </text>
    </comment>
    <comment ref="AP528" authorId="1" shapeId="0">
      <text>
        <t>Horizon close: pending: 1 traded sessions after debut; 5 needed
5/21/63 traded sessions after debut; price-only return vs offer.</t>
      </text>
    </comment>
    <comment ref="AQ528" authorId="1" shapeId="0">
      <text>
        <t>Horizon close: pending: 1 traded sessions after debut; 21 needed
5/21/63 traded sessions after debut; price-only return vs offer.</t>
      </text>
    </comment>
    <comment ref="AR528" authorId="1" shapeId="0">
      <text>
        <t>Horizon close: pending: 1 traded sessions after debut; 63 needed
5/21/63 traded sessions after debut; price-only return vs offer.</t>
      </text>
    </comment>
  </commentList>
</comments>
</file>

<file path=xl/comments/comment2.xml><?xml version="1.0" encoding="utf-8"?>
<comments xmlns="http://schemas.openxmlformats.org/spreadsheetml/2006/main">
  <authors>
    <author>ipo.py</author>
  </authors>
  <commentList>
    <comment ref="AC6" authorId="0" shapeId="0">
      <text>
        <t>We design the chip, chipsets and/or circuit board by integrating all necessary IP modules, and deliver the finalized design to manufacturers for production.  Software Building Blocks: including basic software (such as operating systems, drivers and firmware) and application-specific software algorithms, rigorously tested for performance. We also provide toolchains to help developers to debug issues, analyze and enhance performance more efficiently. Adopting RISC-V in Our Products. We adopt RISC-V as the fundamental architecture for products with computing and/or control needs.</t>
      </text>
    </comment>
    <comment ref="I7" authorId="0" shapeId="0">
      <text>
        <t>estimated (press report: Bamboo Works 2025-10 / Smartkarma 2026)</t>
      </text>
    </comment>
    <comment ref="AC7" authorId="0" shapeId="0">
      <text>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text>
    </comment>
    <comment ref="AC8" authorId="0" shapeId="0">
      <text>
        <t>We operate a tiered proprietary brand matrix tailored to distinct user segments and channels, comprising DENAGO TM, GOTRAX TM, TEKO TM and TAOMOTOR TM. This matrix enables precise coverage of key consumer cohorts and supports brand synergy through differentiated positioning and operations.  DENAGO TM; Premium, Professional, High-Performance . As one of our principal brands, DENAGO is positioned for E-mobility and powersports through a dedicated dealer network. The brand focuses on product quality and design, serving consumer demandin key markets.</t>
      </text>
    </comment>
    <comment ref="AC9" authorId="0" shapeId="0">
      <text>
        <t>We are a company that provides specialized solutions in integrated waste treatment and resource utilization, including the investment, management, and operation of green energy and environmental services projects. Our core business comprises (i) clean waste-to-energy incineration; (ii) the integrated treatment of various types of waste (including sludge, food waste, sewage and leachate, fly ash, and others); (iii) the interim treatment and transfer of household waste; and (iv) the collection, harmless treatment, compression, and resource utilization of food waste.</t>
      </text>
    </comment>
    <comment ref="AC10" authorId="0" shapeId="0">
      <text>
        <t>We manufacture our products through a combination of in-house production and engagement of ODM and OEM providers. During the Track Record Period, our in-house production was primarily focused on smartphones, while our feature phones, IoT products and others, as well as a portion of our smartphones, were manufactured by ODM and OEM providers. As of the Latest Practicable Date, we had six production bases in Chongqing, Shenzhen, Nanchang, Wuxi, Bangladesh and Ethiopia.</t>
      </text>
    </comment>
    <comment ref="AC11" authorId="0" shapeId="0">
      <text>
        <t>We are an integrated device manufacturer (“ IDM”) company in the magnetic sensor industry. We maintain a broad magnetic sensing technology portfolio with vertical integration across the industry value chain, from chip design and wafer manufacturing through module design and manufacturing. This has enabled us to provide one-stop magnetic sensor solutions to customers across diverse industries, including green energy, NEV and automotive, industrial automation and robotics, and AI infrastructure and data centers. The magnetic sensor industry is highly competitive.</t>
      </text>
    </comment>
    <comment ref="AC12" authorId="0" shapeId="0">
      <text>
        <t>We are an established innovator contributing to the advancement and commercialization in the intelligent mobile robotics industry. We ranked third among intelligent mobile robotic solution providers in terms of revenue in 2025, capturing approximately 4.2% market share, and ranked as the largest single-modal robotic solutions provider in China, with a market share of 2.2%, and third in multi-modal robotic solutions in China with 5.9% market share, according to Frost &amp; Sullivan. In 2025, the sales volume of our intelligent mobile robotic solutions exceeded 3.5 million sets.</t>
      </text>
    </comment>
    <comment ref="AC17" authorId="0" shapeId="0">
      <text>
        <t>We are an established fintech service provider in the banking industry based in the Greater Bay Area, delivering fintech software development services, consulting services, and system integration services to banks, regulatory authorities and other financial institutions across Chinese Mainland and Hong Kong to support their continuous digital transformation. Our comprehensive service offerings comprise three principal segments: (i) Fintech Software Development services :</t>
      </text>
    </comment>
    <comment ref="I18" authorId="0" shapeId="0">
      <text>
        <t>prospectus: net proceeds at the maximum price</t>
      </text>
    </comment>
    <comment ref="AC18" authorId="0" shapeId="0">
      <text>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text>
    </comment>
  </commentList>
</comments>
</file>

<file path=xl/comments/comment3.xml><?xml version="1.0" encoding="utf-8"?>
<comments xmlns="http://schemas.openxmlformats.org/spreadsheetml/2006/main">
  <authors>
    <author>HK IPO methods</author>
  </authors>
  <commentList>
    <comment ref="M4" authorId="0" shapeId="0">
      <text>
        <t>CUR_MKT_CAP is already in local-currency millions. H cap is HK$m; A cap in column T is converted from CNYm using live CNYHKD. Bloomberg security cap need not have the same share-count basis as the filing-derived company cap.</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twoCellAnchor>
    <from>
      <col>6</col>
      <colOff>0</colOff>
      <row>16</row>
      <rowOff>0</rowOff>
    </from>
    <to>
      <col>15</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0</colOff>
      <row>6</row>
      <rowOff>0</rowOff>
    </from>
    <to>
      <col>14</col>
      <colOff>0</colOff>
      <row>23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IPOLiveQuotes" displayName="IPOLiveQuotes" ref="A7:E531" headerRowCount="1">
  <autoFilter ref="A7:E531"/>
  <tableColumns count="5">
    <tableColumn id="1" name="Bloomberg ticker"/>
    <tableColumn id="2" name="Company"/>
    <tableColumn id="3" name="Sector"/>
    <tableColumn id="4" name="Live price (HK$)"/>
    <tableColumn id="5" name="Daily change"/>
  </tableColumns>
  <tableStyleInfo name="TableStyleLight1" showRowStripes="0"/>
</table>
</file>

<file path=xl/tables/table2.xml><?xml version="1.0" encoding="utf-8"?>
<table xmlns="http://schemas.openxmlformats.org/spreadsheetml/2006/main" id="2" name="AHLivePairs" displayName="AHLivePairs" ref="A7:F69" headerRowCount="1">
  <autoFilter ref="A7:F69"/>
  <tableColumns count="6">
    <tableColumn id="1" name="A code"/>
    <tableColumn id="2" name="H code"/>
    <tableColumn id="3" name="Sector"/>
    <tableColumn id="4" name="Subsector"/>
    <tableColumn id="5" name="Premium at IPO"/>
    <tableColumn id="6" name="Premium latest"/>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2.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fitToPage="1"/>
  </sheetPr>
  <dimension ref="A1:Q531"/>
  <sheetViews>
    <sheetView showGridLines="0" zoomScale="90" workbookViewId="0">
      <pane xSplit="2" ySplit="7" topLeftCell="C8" activePane="bottomRight" state="frozen"/>
      <selection pane="topRight"/>
      <selection pane="bottomLeft"/>
      <selection pane="bottomRight" activeCell="A1" sqref="A1"/>
    </sheetView>
  </sheetViews>
  <sheetFormatPr baseColWidth="8" defaultRowHeight="15"/>
  <cols>
    <col width="20" customWidth="1" min="1" max="1"/>
    <col width="27" customWidth="1" min="2" max="2"/>
    <col width="21" customWidth="1" min="3" max="3"/>
    <col width="18" customWidth="1" min="4" max="4"/>
    <col width="15" customWidth="1" min="5" max="5"/>
    <col width="3" customWidth="1" min="6" max="6"/>
    <col width="22" customWidth="1" min="7" max="7"/>
    <col width="17" customWidth="1" min="8" max="8"/>
    <col width="10" customWidth="1" min="9" max="9"/>
    <col width="3" customWidth="1" min="10" max="10"/>
    <col width="12" customWidth="1" min="11" max="11"/>
    <col width="12" customWidth="1" min="12" max="12"/>
    <col width="12" customWidth="1" min="13" max="13"/>
    <col width="12" customWidth="1" min="14" max="14"/>
    <col width="12" customWidth="1" min="15" max="15"/>
  </cols>
  <sheetData>
    <row r="1" ht="22" customHeight="1">
      <c r="A1" s="1" t="n"/>
      <c r="B1" s="1" t="n"/>
      <c r="C1" s="1" t="n"/>
      <c r="D1" s="1" t="n"/>
      <c r="E1" s="1" t="n"/>
      <c r="F1" s="1" t="n"/>
      <c r="G1" s="1" t="n"/>
      <c r="H1" s="1" t="n"/>
      <c r="I1" s="1" t="n"/>
      <c r="J1" s="1" t="n"/>
      <c r="K1" s="1" t="n"/>
      <c r="L1" s="1" t="n"/>
      <c r="M1" s="1" t="n"/>
      <c r="N1" s="1" t="n"/>
      <c r="O1" s="1" t="n"/>
      <c r="P1" s="1" t="n"/>
      <c r="Q1" s="1" t="n"/>
    </row>
    <row r="2" ht="22" customHeight="1">
      <c r="A2" s="2" t="inlineStr">
        <is>
          <t>IPO prices</t>
        </is>
      </c>
      <c r="B2" s="1" t="n"/>
      <c r="C2" s="1" t="n"/>
      <c r="D2" s="1" t="n"/>
      <c r="E2" s="1" t="n"/>
      <c r="F2" s="1" t="n"/>
      <c r="G2" s="3" t="inlineStr">
        <is>
          <t>Sector averages</t>
        </is>
      </c>
      <c r="H2" s="1" t="n"/>
      <c r="I2" s="1" t="n"/>
      <c r="J2" s="1" t="n"/>
      <c r="K2" s="1" t="n"/>
      <c r="L2" s="1" t="n"/>
      <c r="M2" s="1" t="n"/>
      <c r="N2" s="1" t="n"/>
      <c r="O2" s="1" t="n"/>
      <c r="P2" s="1" t="n"/>
      <c r="Q2" s="1" t="n"/>
    </row>
    <row r="3" ht="22" customHeight="1">
      <c r="A3" s="1" t="n"/>
      <c r="B3" s="1" t="n"/>
      <c r="C3" s="1" t="n"/>
      <c r="D3" s="1" t="n"/>
      <c r="E3" s="1" t="n"/>
      <c r="F3" s="1" t="n"/>
      <c r="G3" s="1" t="n"/>
      <c r="H3" s="1" t="n"/>
      <c r="I3" s="1" t="n"/>
      <c r="J3" s="1" t="n"/>
      <c r="K3" s="1" t="n"/>
      <c r="L3" s="1" t="n"/>
      <c r="M3" s="1" t="n"/>
      <c r="N3" s="1" t="n"/>
      <c r="O3" s="1" t="n"/>
      <c r="P3" s="1" t="n"/>
      <c r="Q3" s="1" t="n"/>
    </row>
    <row r="4" ht="22" customHeight="1">
      <c r="A4" s="1" t="inlineStr">
        <is>
          <t>Daily change versus previous trading-day close</t>
        </is>
      </c>
      <c r="B4" s="1" t="n"/>
      <c r="C4" s="1" t="n"/>
      <c r="D4" s="1" t="n"/>
      <c r="E4" s="1" t="n"/>
      <c r="F4" s="1" t="n"/>
      <c r="G4" s="1" t="n"/>
      <c r="H4" s="1" t="n"/>
      <c r="I4" s="1" t="n"/>
      <c r="J4" s="1" t="n"/>
      <c r="K4" s="1" t="n"/>
      <c r="L4" s="1" t="n"/>
      <c r="M4" s="1" t="n"/>
      <c r="N4" s="1" t="n"/>
      <c r="O4" s="1" t="n"/>
      <c r="P4" s="1" t="n"/>
      <c r="Q4" s="1" t="n"/>
    </row>
    <row r="5" ht="28" customHeight="1">
      <c r="A5" s="1" t="n"/>
      <c r="B5" s="1" t="n"/>
      <c r="C5" s="1" t="n"/>
      <c r="D5" s="1" t="n"/>
      <c r="E5" s="1" t="n"/>
      <c r="F5" s="1" t="n"/>
      <c r="G5" s="4" t="inlineStr">
        <is>
          <t>Sector</t>
        </is>
      </c>
      <c r="H5" s="4" t="inlineStr">
        <is>
          <t>Average change</t>
        </is>
      </c>
      <c r="I5" s="4" t="inlineStr">
        <is>
          <t>Quotes</t>
        </is>
      </c>
      <c r="J5" s="1" t="n"/>
      <c r="K5" s="1" t="n"/>
      <c r="L5" s="1" t="n"/>
      <c r="M5" s="1" t="n"/>
      <c r="N5" s="1" t="n"/>
      <c r="O5" s="1" t="n"/>
      <c r="P5" s="1" t="n"/>
      <c r="Q5" s="1" t="n"/>
    </row>
    <row r="6" ht="22" customHeight="1">
      <c r="A6" s="1" t="n"/>
      <c r="B6" s="1" t="n"/>
      <c r="C6" s="1" t="n"/>
      <c r="D6" s="1" t="n"/>
      <c r="E6" s="1" t="n"/>
      <c r="F6" s="1" t="n"/>
      <c r="G6" s="5" t="inlineStr">
        <is>
          <t>Technology</t>
        </is>
      </c>
      <c r="H6" s="6">
        <f>IFERROR(AVERAGEIFS($E$8:$E$531,$C$8:$C$531,G6),NA())</f>
        <v/>
      </c>
      <c r="I6" s="7">
        <f>COUNTIFS($C$8:$C$531,G6,$E$8:$E$531,"&gt;=-1E+99",$E$8:$E$531,"&lt;=1E+99")</f>
        <v/>
      </c>
      <c r="J6" s="1" t="n"/>
      <c r="K6" s="1" t="n"/>
      <c r="L6" s="1" t="n"/>
      <c r="M6" s="1" t="n"/>
      <c r="N6" s="1" t="n"/>
      <c r="O6" s="1" t="n"/>
      <c r="P6" s="1" t="n"/>
      <c r="Q6" s="1" t="n"/>
    </row>
    <row r="7" ht="28" customHeight="1">
      <c r="A7" s="4" t="inlineStr">
        <is>
          <t>Bloomberg ticker</t>
        </is>
      </c>
      <c r="B7" s="4" t="inlineStr">
        <is>
          <t>Company</t>
        </is>
      </c>
      <c r="C7" s="4" t="inlineStr">
        <is>
          <t>Sector</t>
        </is>
      </c>
      <c r="D7" s="4" t="inlineStr">
        <is>
          <t>Live price (HK$)</t>
        </is>
      </c>
      <c r="E7" s="4" t="inlineStr">
        <is>
          <t>Daily change</t>
        </is>
      </c>
      <c r="F7" s="1" t="n"/>
      <c r="G7" s="5" t="inlineStr">
        <is>
          <t>Healthcare</t>
        </is>
      </c>
      <c r="H7" s="6">
        <f>IFERROR(AVERAGEIFS($E$8:$E$531,$C$8:$C$531,G7),NA())</f>
        <v/>
      </c>
      <c r="I7" s="7">
        <f>COUNTIFS($C$8:$C$531,G7,$E$8:$E$531,"&gt;=-1E+99",$E$8:$E$531,"&lt;=1E+99")</f>
        <v/>
      </c>
      <c r="J7" s="1" t="n"/>
      <c r="K7" s="1" t="n"/>
      <c r="L7" s="1" t="n"/>
      <c r="M7" s="1" t="n"/>
      <c r="N7" s="1" t="n"/>
      <c r="O7" s="1" t="n"/>
      <c r="P7" s="1" t="n"/>
      <c r="Q7" s="1" t="n"/>
    </row>
    <row r="8" ht="22" customHeight="1">
      <c r="A8" s="5" t="inlineStr">
        <is>
          <t>3660 HK Equity</t>
        </is>
      </c>
      <c r="B8" s="5" t="inlineStr">
        <is>
          <t>360 DIGITECH-S</t>
        </is>
      </c>
      <c r="C8" s="5" t="inlineStr">
        <is>
          <t>Technology</t>
        </is>
      </c>
      <c r="D8" s="8">
        <f>IF($A8="","",BDP($A8,"LAST_PRICE"))</f>
        <v/>
      </c>
      <c r="E8" s="6">
        <f>IFERROR(IF(AND(ISNUMBER(D8),ISNUMBER('Market Data'!B8),'Market Data'!B8&gt;0),D8/'Market Data'!B8-1,""),"")</f>
        <v/>
      </c>
      <c r="F8" s="1" t="n"/>
      <c r="G8" s="5" t="inlineStr">
        <is>
          <t>Consumer</t>
        </is>
      </c>
      <c r="H8" s="6">
        <f>IFERROR(AVERAGEIFS($E$8:$E$531,$C$8:$C$531,G8),NA())</f>
        <v/>
      </c>
      <c r="I8" s="7">
        <f>COUNTIFS($C$8:$C$531,G8,$E$8:$E$531,"&gt;=-1E+99",$E$8:$E$531,"&lt;=1E+99")</f>
        <v/>
      </c>
      <c r="J8" s="1" t="n"/>
      <c r="K8" s="1" t="n"/>
      <c r="L8" s="1" t="n"/>
      <c r="M8" s="1" t="n"/>
      <c r="N8" s="1" t="n"/>
      <c r="O8" s="1" t="n"/>
      <c r="P8" s="1" t="n"/>
      <c r="Q8" s="1" t="n"/>
    </row>
    <row r="9" ht="22" customHeight="1">
      <c r="A9" s="5" t="inlineStr">
        <is>
          <t>6651 HK Equity</t>
        </is>
      </c>
      <c r="B9" s="5" t="inlineStr">
        <is>
          <t>51WORLD</t>
        </is>
      </c>
      <c r="C9" s="5" t="inlineStr">
        <is>
          <t>Technology</t>
        </is>
      </c>
      <c r="D9" s="8">
        <f>IF($A9="","",BDP($A9,"LAST_PRICE"))</f>
        <v/>
      </c>
      <c r="E9" s="6">
        <f>IFERROR(IF(AND(ISNUMBER(D9),ISNUMBER('Market Data'!B9),'Market Data'!B9&gt;0),D9/'Market Data'!B9-1,""),"")</f>
        <v/>
      </c>
      <c r="F9" s="1" t="n"/>
      <c r="G9" s="5" t="inlineStr">
        <is>
          <t>Financials</t>
        </is>
      </c>
      <c r="H9" s="6">
        <f>IFERROR(AVERAGEIFS($E$8:$E$531,$C$8:$C$531,G9),NA())</f>
        <v/>
      </c>
      <c r="I9" s="7">
        <f>COUNTIFS($C$8:$C$531,G9,$E$8:$E$531,"&gt;=-1E+99",$E$8:$E$531,"&lt;=1E+99")</f>
        <v/>
      </c>
      <c r="J9" s="1" t="n"/>
      <c r="K9" s="1" t="n"/>
      <c r="L9" s="1" t="n"/>
      <c r="M9" s="1" t="n"/>
      <c r="N9" s="1" t="n"/>
      <c r="O9" s="1" t="n"/>
      <c r="P9" s="1" t="n"/>
      <c r="Q9" s="1" t="n"/>
    </row>
    <row r="10" ht="22" customHeight="1">
      <c r="A10" s="5" t="inlineStr">
        <is>
          <t>2687 HK Equity</t>
        </is>
      </c>
      <c r="B10" s="5" t="inlineStr">
        <is>
          <t>ABLE DIGITAL</t>
        </is>
      </c>
      <c r="C10" s="5" t="inlineStr">
        <is>
          <t>Technology</t>
        </is>
      </c>
      <c r="D10" s="8">
        <f>IF($A10="","",BDP($A10,"LAST_PRICE"))</f>
        <v/>
      </c>
      <c r="E10" s="6">
        <f>IFERROR(IF(AND(ISNUMBER(D10),ISNUMBER('Market Data'!B10),'Market Data'!B10&gt;0),D10/'Market Data'!B10-1,""),"")</f>
        <v/>
      </c>
      <c r="F10" s="1" t="n"/>
      <c r="G10" s="5" t="inlineStr">
        <is>
          <t>Industrials</t>
        </is>
      </c>
      <c r="H10" s="6">
        <f>IFERROR(AVERAGEIFS($E$8:$E$531,$C$8:$C$531,G10),NA())</f>
        <v/>
      </c>
      <c r="I10" s="7">
        <f>COUNTIFS($C$8:$C$531,G10,$E$8:$E$531,"&gt;=-1E+99",$E$8:$E$531,"&lt;=1E+99")</f>
        <v/>
      </c>
      <c r="J10" s="1" t="n"/>
      <c r="K10" s="1" t="n"/>
      <c r="L10" s="1" t="n"/>
      <c r="M10" s="1" t="n"/>
      <c r="N10" s="1" t="n"/>
      <c r="O10" s="1" t="n"/>
      <c r="P10" s="1" t="n"/>
      <c r="Q10" s="1" t="n"/>
    </row>
    <row r="11" ht="22" customHeight="1">
      <c r="A11" s="5" t="inlineStr">
        <is>
          <t>2121 HK Equity</t>
        </is>
      </c>
      <c r="B11" s="5" t="inlineStr">
        <is>
          <t>AINNOVATION</t>
        </is>
      </c>
      <c r="C11" s="5" t="inlineStr">
        <is>
          <t>Technology</t>
        </is>
      </c>
      <c r="D11" s="8">
        <f>IF($A11="","",BDP($A11,"LAST_PRICE"))</f>
        <v/>
      </c>
      <c r="E11" s="6">
        <f>IFERROR(IF(AND(ISNUMBER(D11),ISNUMBER('Market Data'!B11),'Market Data'!B11&gt;0),D11/'Market Data'!B11-1,""),"")</f>
        <v/>
      </c>
      <c r="F11" s="1" t="n"/>
      <c r="G11" s="5" t="inlineStr">
        <is>
          <t>Materials/Energy</t>
        </is>
      </c>
      <c r="H11" s="6">
        <f>IFERROR(AVERAGEIFS($E$8:$E$531,$C$8:$C$531,G11),NA())</f>
        <v/>
      </c>
      <c r="I11" s="7">
        <f>COUNTIFS($C$8:$C$531,G11,$E$8:$E$531,"&gt;=-1E+99",$E$8:$E$531,"&lt;=1E+99")</f>
        <v/>
      </c>
      <c r="J11" s="1" t="n"/>
      <c r="K11" s="1" t="n"/>
      <c r="L11" s="1" t="n"/>
      <c r="M11" s="1" t="n"/>
      <c r="N11" s="1" t="n"/>
      <c r="O11" s="1" t="n"/>
      <c r="P11" s="1" t="n"/>
      <c r="Q11" s="1" t="n"/>
    </row>
    <row r="12" ht="22" customHeight="1">
      <c r="A12" s="5" t="inlineStr">
        <is>
          <t>668 HK Equity</t>
        </is>
      </c>
      <c r="B12" s="5" t="inlineStr">
        <is>
          <t>ANKER</t>
        </is>
      </c>
      <c r="C12" s="5" t="inlineStr">
        <is>
          <t>Technology</t>
        </is>
      </c>
      <c r="D12" s="8">
        <f>IF($A12="","",BDP($A12,"LAST_PRICE"))</f>
        <v/>
      </c>
      <c r="E12" s="6">
        <f>IFERROR(IF(AND(ISNUMBER(D12),ISNUMBER('Market Data'!B12),'Market Data'!B12&gt;0),D12/'Market Data'!B12-1,""),"")</f>
        <v/>
      </c>
      <c r="F12" s="1" t="n"/>
      <c r="G12" s="5" t="inlineStr">
        <is>
          <t>Real Estate</t>
        </is>
      </c>
      <c r="H12" s="6">
        <f>IFERROR(AVERAGEIFS($E$8:$E$531,$C$8:$C$531,G12),NA())</f>
        <v/>
      </c>
      <c r="I12" s="7">
        <f>COUNTIFS($C$8:$C$531,G12,$E$8:$E$531,"&gt;=-1E+99",$E$8:$E$531,"&lt;=1E+99")</f>
        <v/>
      </c>
      <c r="J12" s="1" t="n"/>
      <c r="K12" s="1" t="n"/>
      <c r="L12" s="1" t="n"/>
      <c r="M12" s="1" t="n"/>
      <c r="N12" s="1" t="n"/>
      <c r="O12" s="1" t="n"/>
      <c r="P12" s="1" t="n"/>
      <c r="Q12" s="1" t="n"/>
    </row>
    <row r="13" ht="22" customHeight="1">
      <c r="A13" s="5" t="inlineStr">
        <is>
          <t>2551 HK Equity</t>
        </is>
      </c>
      <c r="B13" s="5" t="inlineStr">
        <is>
          <t>APT ELECTRONICS</t>
        </is>
      </c>
      <c r="C13" s="5" t="inlineStr">
        <is>
          <t>Technology</t>
        </is>
      </c>
      <c r="D13" s="8">
        <f>IF($A13="","",BDP($A13,"LAST_PRICE"))</f>
        <v/>
      </c>
      <c r="E13" s="6">
        <f>IFERROR(IF(AND(ISNUMBER(D13),ISNUMBER('Market Data'!B13),'Market Data'!B13&gt;0),D13/'Market Data'!B13-1,""),"")</f>
        <v/>
      </c>
      <c r="F13" s="1" t="n"/>
      <c r="G13" s="5" t="inlineStr">
        <is>
          <t>Media &amp; telecom</t>
        </is>
      </c>
      <c r="H13" s="6">
        <f>IFERROR(AVERAGEIFS($E$8:$E$531,$C$8:$C$531,G13),NA())</f>
        <v/>
      </c>
      <c r="I13" s="7">
        <f>COUNTIFS($C$8:$C$531,G13,$E$8:$E$531,"&gt;=-1E+99",$E$8:$E$531,"&lt;=1E+99")</f>
        <v/>
      </c>
      <c r="J13" s="1" t="n"/>
      <c r="K13" s="1" t="n"/>
      <c r="L13" s="1" t="n"/>
      <c r="M13" s="1" t="n"/>
      <c r="N13" s="1" t="n"/>
      <c r="O13" s="1" t="n"/>
      <c r="P13" s="1" t="n"/>
      <c r="Q13" s="1" t="n"/>
    </row>
    <row r="14" ht="22" customHeight="1">
      <c r="A14" s="5" t="inlineStr">
        <is>
          <t>2518 HK Equity</t>
        </is>
      </c>
      <c r="B14" s="5" t="inlineStr">
        <is>
          <t>AUTOHOME-S</t>
        </is>
      </c>
      <c r="C14" s="5" t="inlineStr">
        <is>
          <t>Technology</t>
        </is>
      </c>
      <c r="D14" s="8">
        <f>IF($A14="","",BDP($A14,"LAST_PRICE"))</f>
        <v/>
      </c>
      <c r="E14" s="6">
        <f>IFERROR(IF(AND(ISNUMBER(D14),ISNUMBER('Market Data'!B14),'Market Data'!B14&gt;0),D14/'Market Data'!B14-1,""),"")</f>
        <v/>
      </c>
      <c r="F14" s="1" t="n"/>
      <c r="G14" s="5" t="inlineStr">
        <is>
          <t>Other</t>
        </is>
      </c>
      <c r="H14" s="6">
        <f>IFERROR(AVERAGEIFS($E$8:$E$531,$C$8:$C$531,G14),NA())</f>
        <v/>
      </c>
      <c r="I14" s="7">
        <f>COUNTIFS($C$8:$C$531,G14,$E$8:$E$531,"&gt;=-1E+99",$E$8:$E$531,"&lt;=1E+99")</f>
        <v/>
      </c>
      <c r="J14" s="1" t="n"/>
      <c r="K14" s="1" t="n"/>
      <c r="L14" s="1" t="n"/>
      <c r="M14" s="1" t="n"/>
      <c r="N14" s="1" t="n"/>
      <c r="O14" s="1" t="n"/>
      <c r="P14" s="1" t="n"/>
      <c r="Q14" s="1" t="n"/>
    </row>
    <row r="15" ht="22" customHeight="1">
      <c r="A15" s="5" t="inlineStr">
        <is>
          <t>2580 HK Equity</t>
        </is>
      </c>
      <c r="B15" s="5" t="inlineStr">
        <is>
          <t>AUX ELECTRIC</t>
        </is>
      </c>
      <c r="C15" s="5" t="inlineStr">
        <is>
          <t>Technology</t>
        </is>
      </c>
      <c r="D15" s="8">
        <f>IF($A15="","",BDP($A15,"LAST_PRICE"))</f>
        <v/>
      </c>
      <c r="E15" s="6">
        <f>IFERROR(IF(AND(ISNUMBER(D15),ISNUMBER('Market Data'!B15),'Market Data'!B15&gt;0),D15/'Market Data'!B15-1,""),"")</f>
        <v/>
      </c>
      <c r="F15" s="1" t="n"/>
      <c r="G15" s="9" t="inlineStr">
        <is>
          <t>Equal-weight average of available daily changes.</t>
        </is>
      </c>
      <c r="P15" s="1" t="n"/>
      <c r="Q15" s="1" t="n"/>
    </row>
    <row r="16" ht="22" customHeight="1">
      <c r="A16" s="5" t="inlineStr">
        <is>
          <t>600 HK Equity</t>
        </is>
      </c>
      <c r="B16" s="5" t="inlineStr">
        <is>
          <t>AXERA</t>
        </is>
      </c>
      <c r="C16" s="5" t="inlineStr">
        <is>
          <t>Technology</t>
        </is>
      </c>
      <c r="D16" s="8">
        <f>IF($A16="","",BDP($A16,"LAST_PRICE"))</f>
        <v/>
      </c>
      <c r="E16" s="6">
        <f>IFERROR(IF(AND(ISNUMBER(D16),ISNUMBER('Market Data'!B16),'Market Data'!B16&gt;0),D16/'Market Data'!B16-1,""),"")</f>
        <v/>
      </c>
      <c r="F16" s="1" t="n"/>
      <c r="G16" s="1" t="n"/>
      <c r="H16" s="1" t="n"/>
      <c r="I16" s="1" t="n"/>
      <c r="J16" s="1" t="n"/>
      <c r="K16" s="1" t="n"/>
      <c r="L16" s="1" t="n"/>
      <c r="M16" s="1" t="n"/>
      <c r="N16" s="1" t="n"/>
      <c r="O16" s="1" t="n"/>
      <c r="P16" s="1" t="n"/>
      <c r="Q16" s="1" t="n"/>
    </row>
    <row r="17" ht="22" customHeight="1">
      <c r="A17" s="5" t="inlineStr">
        <is>
          <t>6608 HK Equity</t>
        </is>
      </c>
      <c r="B17" s="5" t="inlineStr">
        <is>
          <t>BAIRONG-W</t>
        </is>
      </c>
      <c r="C17" s="5" t="inlineStr">
        <is>
          <t>Technology</t>
        </is>
      </c>
      <c r="D17" s="8">
        <f>IF($A17="","",BDP($A17,"LAST_PRICE"))</f>
        <v/>
      </c>
      <c r="E17" s="6">
        <f>IFERROR(IF(AND(ISNUMBER(D17),ISNUMBER('Market Data'!B17),'Market Data'!B17&gt;0),D17/'Market Data'!B17-1,""),"")</f>
        <v/>
      </c>
      <c r="F17" s="1" t="n"/>
      <c r="G17" s="1" t="n"/>
      <c r="H17" s="1" t="n"/>
      <c r="I17" s="1" t="n"/>
      <c r="J17" s="1" t="n"/>
      <c r="K17" s="1" t="n"/>
      <c r="L17" s="1" t="n"/>
      <c r="M17" s="1" t="n"/>
      <c r="N17" s="1" t="n"/>
      <c r="O17" s="1" t="n"/>
      <c r="P17" s="1" t="n"/>
      <c r="Q17" s="1" t="n"/>
    </row>
    <row r="18" ht="22" customHeight="1">
      <c r="A18" s="5" t="inlineStr">
        <is>
          <t>6657 HK Equity</t>
        </is>
      </c>
      <c r="B18" s="5" t="inlineStr">
        <is>
          <t>BAIWANG CO</t>
        </is>
      </c>
      <c r="C18" s="5" t="inlineStr">
        <is>
          <t>Technology</t>
        </is>
      </c>
      <c r="D18" s="8">
        <f>IF($A18="","",BDP($A18,"LAST_PRICE"))</f>
        <v/>
      </c>
      <c r="E18" s="6">
        <f>IFERROR(IF(AND(ISNUMBER(D18),ISNUMBER('Market Data'!B18),'Market Data'!B18&gt;0),D18/'Market Data'!B18-1,""),"")</f>
        <v/>
      </c>
      <c r="F18" s="1" t="n"/>
      <c r="G18" s="1" t="n"/>
      <c r="H18" s="1" t="n"/>
      <c r="I18" s="1" t="n"/>
      <c r="J18" s="1" t="n"/>
      <c r="K18" s="1" t="n"/>
      <c r="L18" s="1" t="n"/>
      <c r="M18" s="1" t="n"/>
      <c r="N18" s="1" t="n"/>
      <c r="O18" s="1" t="n"/>
      <c r="P18" s="1" t="n"/>
      <c r="Q18" s="1" t="n"/>
    </row>
    <row r="19" ht="22" customHeight="1">
      <c r="A19" s="5" t="inlineStr">
        <is>
          <t>9971 HK Equity</t>
        </is>
      </c>
      <c r="B19" s="5" t="inlineStr">
        <is>
          <t>BASICSEMI</t>
        </is>
      </c>
      <c r="C19" s="5" t="inlineStr">
        <is>
          <t>Technology</t>
        </is>
      </c>
      <c r="D19" s="8">
        <f>IF($A19="","",BDP($A19,"LAST_PRICE"))</f>
        <v/>
      </c>
      <c r="E19" s="6">
        <f>IFERROR(IF(AND(ISNUMBER(D19),ISNUMBER('Market Data'!B19),'Market Data'!B19&gt;0),D19/'Market Data'!B19-1,""),"")</f>
        <v/>
      </c>
      <c r="F19" s="1" t="n"/>
      <c r="G19" s="1" t="n"/>
      <c r="H19" s="1" t="n"/>
      <c r="I19" s="1" t="n"/>
      <c r="J19" s="1" t="n"/>
      <c r="K19" s="1" t="n"/>
      <c r="L19" s="1" t="n"/>
      <c r="M19" s="1" t="n"/>
      <c r="N19" s="1" t="n"/>
      <c r="O19" s="1" t="n"/>
      <c r="P19" s="1" t="n"/>
      <c r="Q19" s="1" t="n"/>
    </row>
    <row r="20" ht="22" customHeight="1">
      <c r="A20" s="5" t="inlineStr">
        <is>
          <t>2149 HK Equity</t>
        </is>
      </c>
      <c r="B20" s="5" t="inlineStr">
        <is>
          <t>BATELAB</t>
        </is>
      </c>
      <c r="C20" s="5" t="inlineStr">
        <is>
          <t>Technology</t>
        </is>
      </c>
      <c r="D20" s="8">
        <f>IF($A20="","",BDP($A20,"LAST_PRICE"))</f>
        <v/>
      </c>
      <c r="E20" s="6">
        <f>IFERROR(IF(AND(ISNUMBER(D20),ISNUMBER('Market Data'!B20),'Market Data'!B20&gt;0),D20/'Market Data'!B20-1,""),"")</f>
        <v/>
      </c>
      <c r="F20" s="1" t="n"/>
      <c r="G20" s="1" t="n"/>
      <c r="H20" s="1" t="n"/>
      <c r="I20" s="1" t="n"/>
      <c r="J20" s="1" t="n"/>
      <c r="K20" s="1" t="n"/>
      <c r="L20" s="1" t="n"/>
      <c r="M20" s="1" t="n"/>
      <c r="N20" s="1" t="n"/>
      <c r="O20" s="1" t="n"/>
      <c r="P20" s="1" t="n"/>
      <c r="Q20" s="1" t="n"/>
    </row>
    <row r="21" ht="22" customHeight="1">
      <c r="A21" s="5" t="inlineStr">
        <is>
          <t>9669 HK Equity</t>
        </is>
      </c>
      <c r="B21" s="5" t="inlineStr">
        <is>
          <t>BEISEN HOLDING</t>
        </is>
      </c>
      <c r="C21" s="5" t="inlineStr">
        <is>
          <t>Technology</t>
        </is>
      </c>
      <c r="D21" s="8">
        <f>IF($A21="","",BDP($A21,"LAST_PRICE"))</f>
        <v/>
      </c>
      <c r="E21" s="6">
        <f>IFERROR(IF(AND(ISNUMBER(D21),ISNUMBER('Market Data'!B21),'Market Data'!B21&gt;0),D21/'Market Data'!B21-1,""),"")</f>
        <v/>
      </c>
      <c r="F21" s="1" t="n"/>
      <c r="G21" s="1" t="n"/>
      <c r="H21" s="1" t="n"/>
      <c r="I21" s="1" t="n"/>
      <c r="J21" s="1" t="n"/>
      <c r="K21" s="1" t="n"/>
      <c r="L21" s="1" t="n"/>
      <c r="M21" s="1" t="n"/>
      <c r="N21" s="1" t="n"/>
      <c r="O21" s="1" t="n"/>
      <c r="P21" s="1" t="n"/>
      <c r="Q21" s="1" t="n"/>
    </row>
    <row r="22" ht="22" customHeight="1">
      <c r="A22" s="5" t="inlineStr">
        <is>
          <t>2581 HK Equity</t>
        </is>
      </c>
      <c r="B22" s="5" t="inlineStr">
        <is>
          <t>BENQ HOLDING</t>
        </is>
      </c>
      <c r="C22" s="5" t="inlineStr">
        <is>
          <t>Technology</t>
        </is>
      </c>
      <c r="D22" s="8">
        <f>IF($A22="","",BDP($A22,"LAST_PRICE"))</f>
        <v/>
      </c>
      <c r="E22" s="6">
        <f>IFERROR(IF(AND(ISNUMBER(D22),ISNUMBER('Market Data'!B22),'Market Data'!B22&gt;0),D22/'Market Data'!B22-1,""),"")</f>
        <v/>
      </c>
      <c r="F22" s="1" t="n"/>
      <c r="G22" s="1" t="n"/>
      <c r="H22" s="1" t="n"/>
      <c r="I22" s="1" t="n"/>
      <c r="J22" s="1" t="n"/>
      <c r="K22" s="1" t="n"/>
      <c r="L22" s="1" t="n"/>
      <c r="M22" s="1" t="n"/>
      <c r="N22" s="1" t="n"/>
      <c r="O22" s="1" t="n"/>
      <c r="P22" s="1" t="n"/>
      <c r="Q22" s="1" t="n"/>
    </row>
    <row r="23" ht="22" customHeight="1">
      <c r="A23" s="5" t="inlineStr">
        <is>
          <t>9888 HK Equity</t>
        </is>
      </c>
      <c r="B23" s="5" t="inlineStr">
        <is>
          <t>BIDU-SW</t>
        </is>
      </c>
      <c r="C23" s="5" t="inlineStr">
        <is>
          <t>Technology</t>
        </is>
      </c>
      <c r="D23" s="8">
        <f>IF($A23="","",BDP($A23,"LAST_PRICE"))</f>
        <v/>
      </c>
      <c r="E23" s="6">
        <f>IFERROR(IF(AND(ISNUMBER(D23),ISNUMBER('Market Data'!B23),'Market Data'!B23&gt;0),D23/'Market Data'!B23-1,""),"")</f>
        <v/>
      </c>
      <c r="F23" s="1" t="n"/>
      <c r="G23" s="1" t="n"/>
      <c r="H23" s="1" t="n"/>
      <c r="I23" s="1" t="n"/>
      <c r="J23" s="1" t="n"/>
      <c r="K23" s="1" t="n"/>
      <c r="L23" s="1" t="n"/>
      <c r="M23" s="1" t="n"/>
      <c r="N23" s="1" t="n"/>
      <c r="O23" s="1" t="n"/>
      <c r="P23" s="1" t="n"/>
      <c r="Q23" s="1" t="n"/>
    </row>
    <row r="24" ht="22" customHeight="1">
      <c r="A24" s="5" t="inlineStr">
        <is>
          <t>9626 HK Equity</t>
        </is>
      </c>
      <c r="B24" s="5" t="inlineStr">
        <is>
          <t>BILIBILI-SW</t>
        </is>
      </c>
      <c r="C24" s="5" t="inlineStr">
        <is>
          <t>Technology</t>
        </is>
      </c>
      <c r="D24" s="8">
        <f>IF($A24="","",BDP($A24,"LAST_PRICE"))</f>
        <v/>
      </c>
      <c r="E24" s="6">
        <f>IFERROR(IF(AND(ISNUMBER(D24),ISNUMBER('Market Data'!B24),'Market Data'!B24&gt;0),D24/'Market Data'!B24-1,""),"")</f>
        <v/>
      </c>
      <c r="F24" s="1" t="n"/>
      <c r="G24" s="1" t="n"/>
      <c r="H24" s="1" t="n"/>
      <c r="I24" s="1" t="n"/>
      <c r="J24" s="1" t="n"/>
      <c r="K24" s="1" t="n"/>
      <c r="L24" s="1" t="n"/>
      <c r="M24" s="1" t="n"/>
      <c r="N24" s="1" t="n"/>
      <c r="O24" s="1" t="n"/>
      <c r="P24" s="1" t="n"/>
      <c r="Q24" s="1" t="n"/>
    </row>
    <row r="25" ht="22" customHeight="1">
      <c r="A25" s="5" t="inlineStr">
        <is>
          <t>6082 HK Equity</t>
        </is>
      </c>
      <c r="B25" s="5" t="inlineStr">
        <is>
          <t>BIREN TECH</t>
        </is>
      </c>
      <c r="C25" s="5" t="inlineStr">
        <is>
          <t>Technology</t>
        </is>
      </c>
      <c r="D25" s="8">
        <f>IF($A25="","",BDP($A25,"LAST_PRICE"))</f>
        <v/>
      </c>
      <c r="E25" s="6">
        <f>IFERROR(IF(AND(ISNUMBER(D25),ISNUMBER('Market Data'!B25),'Market Data'!B25&gt;0),D25/'Market Data'!B25-1,""),"")</f>
        <v/>
      </c>
      <c r="F25" s="1" t="n"/>
      <c r="G25" s="1" t="n"/>
      <c r="H25" s="1" t="n"/>
      <c r="I25" s="1" t="n"/>
      <c r="J25" s="1" t="n"/>
      <c r="K25" s="1" t="n"/>
      <c r="L25" s="1" t="n"/>
      <c r="M25" s="1" t="n"/>
      <c r="N25" s="1" t="n"/>
      <c r="O25" s="1" t="n"/>
      <c r="P25" s="1" t="n"/>
      <c r="Q25" s="1" t="n"/>
    </row>
    <row r="26" ht="22" customHeight="1">
      <c r="A26" s="5" t="inlineStr">
        <is>
          <t>2533 HK Equity</t>
        </is>
      </c>
      <c r="B26" s="5" t="inlineStr">
        <is>
          <t>BLACK SESAME</t>
        </is>
      </c>
      <c r="C26" s="5" t="inlineStr">
        <is>
          <t>Technology</t>
        </is>
      </c>
      <c r="D26" s="8">
        <f>IF($A26="","",BDP($A26,"LAST_PRICE"))</f>
        <v/>
      </c>
      <c r="E26" s="6">
        <f>IFERROR(IF(AND(ISNUMBER(D26),ISNUMBER('Market Data'!B26),'Market Data'!B26&gt;0),D26/'Market Data'!B26-1,""),"")</f>
        <v/>
      </c>
      <c r="F26" s="1" t="n"/>
      <c r="G26" s="1" t="n"/>
      <c r="H26" s="1" t="n"/>
      <c r="I26" s="1" t="n"/>
      <c r="J26" s="1" t="n"/>
      <c r="K26" s="1" t="n"/>
      <c r="L26" s="1" t="n"/>
      <c r="M26" s="1" t="n"/>
      <c r="N26" s="1" t="n"/>
      <c r="O26" s="1" t="n"/>
      <c r="P26" s="1" t="n"/>
      <c r="Q26" s="1" t="n"/>
    </row>
    <row r="27" ht="22" customHeight="1">
      <c r="A27" s="5" t="inlineStr">
        <is>
          <t>1204 HK Equity</t>
        </is>
      </c>
      <c r="B27" s="5" t="inlineStr">
        <is>
          <t>BOARDWARE INTEL</t>
        </is>
      </c>
      <c r="C27" s="5" t="inlineStr">
        <is>
          <t>Technology</t>
        </is>
      </c>
      <c r="D27" s="8">
        <f>IF($A27="","",BDP($A27,"LAST_PRICE"))</f>
        <v/>
      </c>
      <c r="E27" s="6">
        <f>IFERROR(IF(AND(ISNUMBER(D27),ISNUMBER('Market Data'!B27),'Market Data'!B27&gt;0),D27/'Market Data'!B27-1,""),"")</f>
        <v/>
      </c>
      <c r="F27" s="1" t="n"/>
      <c r="G27" s="1" t="n"/>
      <c r="H27" s="1" t="n"/>
      <c r="I27" s="1" t="n"/>
      <c r="J27" s="1" t="n"/>
      <c r="K27" s="1" t="n"/>
      <c r="L27" s="1" t="n"/>
      <c r="M27" s="1" t="n"/>
      <c r="N27" s="1" t="n"/>
      <c r="O27" s="1" t="n"/>
      <c r="P27" s="1" t="n"/>
      <c r="Q27" s="1" t="n"/>
    </row>
    <row r="28" ht="22" customHeight="1">
      <c r="A28" s="5" t="inlineStr">
        <is>
          <t>2076 HK Equity</t>
        </is>
      </c>
      <c r="B28" s="5" t="inlineStr">
        <is>
          <t>BOSS ZHIPIN-W</t>
        </is>
      </c>
      <c r="C28" s="5" t="inlineStr">
        <is>
          <t>Technology</t>
        </is>
      </c>
      <c r="D28" s="8">
        <f>IF($A28="","",BDP($A28,"LAST_PRICE"))</f>
        <v/>
      </c>
      <c r="E28" s="6">
        <f>IFERROR(IF(AND(ISNUMBER(D28),ISNUMBER('Market Data'!B28),'Market Data'!B28&gt;0),D28/'Market Data'!B28-1,""),"")</f>
        <v/>
      </c>
      <c r="F28" s="1" t="n"/>
      <c r="G28" s="1" t="n"/>
      <c r="H28" s="1" t="n"/>
      <c r="I28" s="1" t="n"/>
      <c r="J28" s="1" t="n"/>
      <c r="K28" s="1" t="n"/>
      <c r="L28" s="1" t="n"/>
      <c r="M28" s="1" t="n"/>
      <c r="N28" s="1" t="n"/>
      <c r="O28" s="1" t="n"/>
      <c r="P28" s="1" t="n"/>
      <c r="Q28" s="1" t="n"/>
    </row>
    <row r="29" ht="22" customHeight="1">
      <c r="A29" s="5" t="inlineStr">
        <is>
          <t>6802 HK Equity</t>
        </is>
      </c>
      <c r="B29" s="5" t="inlineStr">
        <is>
          <t>CAMSENSE</t>
        </is>
      </c>
      <c r="C29" s="5" t="inlineStr">
        <is>
          <t>Technology</t>
        </is>
      </c>
      <c r="D29" s="8">
        <f>IF($A29="","",BDP($A29,"LAST_PRICE"))</f>
        <v/>
      </c>
      <c r="E29" s="6">
        <f>IFERROR(IF(AND(ISNUMBER(D29),ISNUMBER('Market Data'!B29),'Market Data'!B29&gt;0),D29/'Market Data'!B29-1,""),"")</f>
        <v/>
      </c>
      <c r="F29" s="1" t="n"/>
      <c r="G29" s="1" t="n"/>
      <c r="H29" s="1" t="n"/>
      <c r="I29" s="1" t="n"/>
      <c r="J29" s="1" t="n"/>
      <c r="K29" s="1" t="n"/>
      <c r="L29" s="1" t="n"/>
      <c r="M29" s="1" t="n"/>
      <c r="N29" s="1" t="n"/>
      <c r="O29" s="1" t="n"/>
      <c r="P29" s="1" t="n"/>
      <c r="Q29" s="1" t="n"/>
    </row>
    <row r="30" ht="22" customHeight="1">
      <c r="A30" s="5" t="inlineStr">
        <is>
          <t>2643 HK Equity</t>
        </is>
      </c>
      <c r="B30" s="5" t="inlineStr">
        <is>
          <t>CAOCAO INC</t>
        </is>
      </c>
      <c r="C30" s="5" t="inlineStr">
        <is>
          <t>Technology</t>
        </is>
      </c>
      <c r="D30" s="8">
        <f>IF($A30="","",BDP($A30,"LAST_PRICE"))</f>
        <v/>
      </c>
      <c r="E30" s="6">
        <f>IFERROR(IF(AND(ISNUMBER(D30),ISNUMBER('Market Data'!B30),'Market Data'!B30&gt;0),D30/'Market Data'!B30-1,""),"")</f>
        <v/>
      </c>
      <c r="F30" s="1" t="n"/>
      <c r="G30" s="1" t="n"/>
      <c r="H30" s="1" t="n"/>
      <c r="I30" s="1" t="n"/>
      <c r="J30" s="1" t="n"/>
      <c r="K30" s="1" t="n"/>
      <c r="L30" s="1" t="n"/>
      <c r="M30" s="1" t="n"/>
      <c r="N30" s="1" t="n"/>
      <c r="O30" s="1" t="n"/>
      <c r="P30" s="1" t="n"/>
      <c r="Q30" s="1" t="n"/>
    </row>
    <row r="31" ht="22" customHeight="1">
      <c r="A31" s="5" t="inlineStr">
        <is>
          <t>6951 HK Equity</t>
        </is>
      </c>
      <c r="B31" s="5" t="inlineStr">
        <is>
          <t>CCTC</t>
        </is>
      </c>
      <c r="C31" s="5" t="inlineStr">
        <is>
          <t>Technology</t>
        </is>
      </c>
      <c r="D31" s="8">
        <f>IF($A31="","",BDP($A31,"LAST_PRICE"))</f>
        <v/>
      </c>
      <c r="E31" s="6">
        <f>IFERROR(IF(AND(ISNUMBER(D31),ISNUMBER('Market Data'!B31),'Market Data'!B31&gt;0),D31/'Market Data'!B31-1,""),"")</f>
        <v/>
      </c>
      <c r="F31" s="1" t="n"/>
      <c r="G31" s="1" t="n"/>
      <c r="H31" s="1" t="n"/>
      <c r="I31" s="1" t="n"/>
      <c r="J31" s="1" t="n"/>
      <c r="K31" s="1" t="n"/>
      <c r="L31" s="1" t="n"/>
      <c r="M31" s="1" t="n"/>
      <c r="N31" s="1" t="n"/>
      <c r="O31" s="1" t="n"/>
      <c r="P31" s="1" t="n"/>
      <c r="Q31" s="1" t="n"/>
    </row>
    <row r="32" ht="22" customHeight="1">
      <c r="A32" s="5" t="inlineStr">
        <is>
          <t>9630 HK Equity</t>
        </is>
      </c>
      <c r="B32" s="5" t="inlineStr">
        <is>
          <t>CFMEE</t>
        </is>
      </c>
      <c r="C32" s="5" t="inlineStr">
        <is>
          <t>Technology</t>
        </is>
      </c>
      <c r="D32" s="8">
        <f>IF($A32="","",BDP($A32,"LAST_PRICE"))</f>
        <v/>
      </c>
      <c r="E32" s="6">
        <f>IFERROR(IF(AND(ISNUMBER(D32),ISNUMBER('Market Data'!B32),'Market Data'!B32&gt;0),D32/'Market Data'!B32-1,""),"")</f>
        <v/>
      </c>
      <c r="F32" s="1" t="n"/>
      <c r="G32" s="1" t="n"/>
      <c r="H32" s="1" t="n"/>
      <c r="I32" s="1" t="n"/>
      <c r="J32" s="1" t="n"/>
      <c r="K32" s="1" t="n"/>
      <c r="L32" s="1" t="n"/>
      <c r="M32" s="1" t="n"/>
      <c r="N32" s="1" t="n"/>
      <c r="O32" s="1" t="n"/>
      <c r="P32" s="1" t="n"/>
      <c r="Q32" s="1" t="n"/>
    </row>
    <row r="33" ht="22" customHeight="1">
      <c r="A33" s="5" t="inlineStr">
        <is>
          <t>6959 HK Equity</t>
        </is>
      </c>
      <c r="B33" s="5" t="inlineStr">
        <is>
          <t>CHANGJIU HLDGS</t>
        </is>
      </c>
      <c r="C33" s="5" t="inlineStr">
        <is>
          <t>Technology</t>
        </is>
      </c>
      <c r="D33" s="8">
        <f>IF($A33="","",BDP($A33,"LAST_PRICE"))</f>
        <v/>
      </c>
      <c r="E33" s="6">
        <f>IFERROR(IF(AND(ISNUMBER(D33),ISNUMBER('Market Data'!B33),'Market Data'!B33&gt;0),D33/'Market Data'!B33-1,""),"")</f>
        <v/>
      </c>
      <c r="F33" s="1" t="n"/>
      <c r="G33" s="1" t="n"/>
      <c r="H33" s="1" t="n"/>
      <c r="I33" s="1" t="n"/>
      <c r="J33" s="1" t="n"/>
      <c r="K33" s="1" t="n"/>
      <c r="L33" s="1" t="n"/>
      <c r="M33" s="1" t="n"/>
      <c r="N33" s="1" t="n"/>
      <c r="O33" s="1" t="n"/>
      <c r="P33" s="1" t="n"/>
      <c r="Q33" s="1" t="n"/>
    </row>
    <row r="34" ht="22" customHeight="1">
      <c r="A34" s="5" t="inlineStr">
        <is>
          <t>9680 HK Equity</t>
        </is>
      </c>
      <c r="B34" s="5" t="inlineStr">
        <is>
          <t>CHENQI TECH</t>
        </is>
      </c>
      <c r="C34" s="5" t="inlineStr">
        <is>
          <t>Technology</t>
        </is>
      </c>
      <c r="D34" s="8">
        <f>IF($A34="","",BDP($A34,"LAST_PRICE"))</f>
        <v/>
      </c>
      <c r="E34" s="6">
        <f>IFERROR(IF(AND(ISNUMBER(D34),ISNUMBER('Market Data'!B34),'Market Data'!B34&gt;0),D34/'Market Data'!B34-1,""),"")</f>
        <v/>
      </c>
      <c r="F34" s="1" t="n"/>
      <c r="G34" s="1" t="n"/>
      <c r="H34" s="1" t="n"/>
      <c r="I34" s="1" t="n"/>
      <c r="J34" s="1" t="n"/>
      <c r="K34" s="1" t="n"/>
      <c r="L34" s="1" t="n"/>
      <c r="M34" s="1" t="n"/>
      <c r="N34" s="1" t="n"/>
      <c r="O34" s="1" t="n"/>
      <c r="P34" s="1" t="n"/>
      <c r="Q34" s="1" t="n"/>
    </row>
    <row r="35" ht="22" customHeight="1">
      <c r="A35" s="5" t="inlineStr">
        <is>
          <t>3881 HK Equity</t>
        </is>
      </c>
      <c r="B35" s="5" t="inlineStr">
        <is>
          <t>CIDI</t>
        </is>
      </c>
      <c r="C35" s="5" t="inlineStr">
        <is>
          <t>Technology</t>
        </is>
      </c>
      <c r="D35" s="8">
        <f>IF($A35="","",BDP($A35,"LAST_PRICE"))</f>
        <v/>
      </c>
      <c r="E35" s="6">
        <f>IFERROR(IF(AND(ISNUMBER(D35),ISNUMBER('Market Data'!B35),'Market Data'!B35&gt;0),D35/'Market Data'!B35-1,""),"")</f>
        <v/>
      </c>
      <c r="F35" s="1" t="n"/>
      <c r="G35" s="1" t="n"/>
      <c r="H35" s="1" t="n"/>
      <c r="I35" s="1" t="n"/>
      <c r="J35" s="1" t="n"/>
      <c r="K35" s="1" t="n"/>
      <c r="L35" s="1" t="n"/>
      <c r="M35" s="1" t="n"/>
      <c r="N35" s="1" t="n"/>
      <c r="O35" s="1" t="n"/>
      <c r="P35" s="1" t="n"/>
      <c r="Q35" s="1" t="n"/>
    </row>
    <row r="36" ht="22" customHeight="1">
      <c r="A36" s="5" t="inlineStr">
        <is>
          <t>6166 HK Equity</t>
        </is>
      </c>
      <c r="B36" s="5" t="inlineStr">
        <is>
          <t>CIG</t>
        </is>
      </c>
      <c r="C36" s="5" t="inlineStr">
        <is>
          <t>Technology</t>
        </is>
      </c>
      <c r="D36" s="8">
        <f>IF($A36="","",BDP($A36,"LAST_PRICE"))</f>
        <v/>
      </c>
      <c r="E36" s="6">
        <f>IFERROR(IF(AND(ISNUMBER(D36),ISNUMBER('Market Data'!B36),'Market Data'!B36&gt;0),D36/'Market Data'!B36-1,""),"")</f>
        <v/>
      </c>
      <c r="F36" s="1" t="n"/>
      <c r="G36" s="1" t="n"/>
      <c r="H36" s="1" t="n"/>
      <c r="I36" s="1" t="n"/>
      <c r="J36" s="1" t="n"/>
      <c r="K36" s="1" t="n"/>
      <c r="L36" s="1" t="n"/>
      <c r="M36" s="1" t="n"/>
      <c r="N36" s="1" t="n"/>
      <c r="O36" s="1" t="n"/>
      <c r="P36" s="1" t="n"/>
      <c r="Q36" s="1" t="n"/>
    </row>
    <row r="37" ht="22" customHeight="1">
      <c r="A37" s="5" t="inlineStr">
        <is>
          <t>2512 HK Equity</t>
        </is>
      </c>
      <c r="B37" s="5" t="inlineStr">
        <is>
          <t>CLOUD FACTORY</t>
        </is>
      </c>
      <c r="C37" s="5" t="inlineStr">
        <is>
          <t>Technology</t>
        </is>
      </c>
      <c r="D37" s="8">
        <f>IF($A37="","",BDP($A37,"LAST_PRICE"))</f>
        <v/>
      </c>
      <c r="E37" s="6">
        <f>IFERROR(IF(AND(ISNUMBER(D37),ISNUMBER('Market Data'!B37),'Market Data'!B37&gt;0),D37/'Market Data'!B37-1,""),"")</f>
        <v/>
      </c>
      <c r="F37" s="1" t="n"/>
      <c r="G37" s="1" t="n"/>
      <c r="H37" s="1" t="n"/>
      <c r="I37" s="1" t="n"/>
      <c r="J37" s="1" t="n"/>
      <c r="K37" s="1" t="n"/>
      <c r="L37" s="1" t="n"/>
      <c r="M37" s="1" t="n"/>
      <c r="N37" s="1" t="n"/>
      <c r="O37" s="1" t="n"/>
      <c r="P37" s="1" t="n"/>
      <c r="Q37" s="1" t="n"/>
    </row>
    <row r="38" ht="22" customHeight="1">
      <c r="A38" s="5" t="inlineStr">
        <is>
          <t>9899 HK Equity</t>
        </is>
      </c>
      <c r="B38" s="5" t="inlineStr">
        <is>
          <t>CLOUD VILLAGE</t>
        </is>
      </c>
      <c r="C38" s="5" t="inlineStr">
        <is>
          <t>Technology</t>
        </is>
      </c>
      <c r="D38" s="8">
        <f>IF($A38="","",BDP($A38,"LAST_PRICE"))</f>
        <v/>
      </c>
      <c r="E38" s="6">
        <f>IFERROR(IF(AND(ISNUMBER(D38),ISNUMBER('Market Data'!B38),'Market Data'!B38&gt;0),D38/'Market Data'!B38-1,""),"")</f>
        <v/>
      </c>
      <c r="F38" s="1" t="n"/>
      <c r="G38" s="1" t="n"/>
      <c r="H38" s="1" t="n"/>
      <c r="I38" s="1" t="n"/>
      <c r="J38" s="1" t="n"/>
      <c r="K38" s="1" t="n"/>
      <c r="L38" s="1" t="n"/>
      <c r="M38" s="1" t="n"/>
      <c r="N38" s="1" t="n"/>
      <c r="O38" s="1" t="n"/>
      <c r="P38" s="1" t="n"/>
      <c r="Q38" s="1" t="n"/>
    </row>
    <row r="39" ht="22" customHeight="1">
      <c r="A39" s="5" t="inlineStr">
        <is>
          <t>1191 HK Equity</t>
        </is>
      </c>
      <c r="B39" s="5" t="inlineStr">
        <is>
          <t>CREALIGHTS</t>
        </is>
      </c>
      <c r="C39" s="5" t="inlineStr">
        <is>
          <t>Technology</t>
        </is>
      </c>
      <c r="D39" s="8">
        <f>IF($A39="","",BDP($A39,"LAST_PRICE"))</f>
        <v/>
      </c>
      <c r="E39" s="6">
        <f>IFERROR(IF(AND(ISNUMBER(D39),ISNUMBER('Market Data'!B39),'Market Data'!B39&gt;0),D39/'Market Data'!B39-1,""),"")</f>
        <v/>
      </c>
      <c r="F39" s="1" t="n"/>
      <c r="G39" s="1" t="n"/>
      <c r="H39" s="1" t="n"/>
      <c r="I39" s="1" t="n"/>
      <c r="J39" s="1" t="n"/>
      <c r="K39" s="1" t="n"/>
      <c r="L39" s="1" t="n"/>
      <c r="M39" s="1" t="n"/>
      <c r="N39" s="1" t="n"/>
      <c r="O39" s="1" t="n"/>
      <c r="P39" s="1" t="n"/>
      <c r="Q39" s="1" t="n"/>
    </row>
    <row r="40" ht="22" customHeight="1">
      <c r="A40" s="5" t="inlineStr">
        <is>
          <t>3388 HK Equity</t>
        </is>
      </c>
      <c r="B40" s="5" t="inlineStr">
        <is>
          <t>CREALITY</t>
        </is>
      </c>
      <c r="C40" s="5" t="inlineStr">
        <is>
          <t>Technology</t>
        </is>
      </c>
      <c r="D40" s="8">
        <f>IF($A40="","",BDP($A40,"LAST_PRICE"))</f>
        <v/>
      </c>
      <c r="E40" s="6">
        <f>IFERROR(IF(AND(ISNUMBER(D40),ISNUMBER('Market Data'!B40),'Market Data'!B40&gt;0),D40/'Market Data'!B40-1,""),"")</f>
        <v/>
      </c>
      <c r="F40" s="1" t="n"/>
      <c r="G40" s="1" t="n"/>
      <c r="H40" s="1" t="n"/>
      <c r="I40" s="1" t="n"/>
      <c r="J40" s="1" t="n"/>
      <c r="K40" s="1" t="n"/>
      <c r="L40" s="1" t="n"/>
      <c r="M40" s="1" t="n"/>
      <c r="N40" s="1" t="n"/>
      <c r="O40" s="1" t="n"/>
      <c r="P40" s="1" t="n"/>
      <c r="Q40" s="1" t="n"/>
    </row>
    <row r="41" ht="22" customHeight="1">
      <c r="A41" s="5" t="inlineStr">
        <is>
          <t>2543 HK Equity</t>
        </is>
      </c>
      <c r="B41" s="5" t="inlineStr">
        <is>
          <t>DAHON TECH</t>
        </is>
      </c>
      <c r="C41" s="5" t="inlineStr">
        <is>
          <t>Technology</t>
        </is>
      </c>
      <c r="D41" s="8">
        <f>IF($A41="","",BDP($A41,"LAST_PRICE"))</f>
        <v/>
      </c>
      <c r="E41" s="6">
        <f>IFERROR(IF(AND(ISNUMBER(D41),ISNUMBER('Market Data'!B41),'Market Data'!B41&gt;0),D41/'Market Data'!B41-1,""),"")</f>
        <v/>
      </c>
      <c r="F41" s="1" t="n"/>
      <c r="G41" s="1" t="n"/>
      <c r="H41" s="1" t="n"/>
      <c r="I41" s="1" t="n"/>
      <c r="J41" s="1" t="n"/>
      <c r="K41" s="1" t="n"/>
      <c r="L41" s="1" t="n"/>
      <c r="M41" s="1" t="n"/>
      <c r="N41" s="1" t="n"/>
      <c r="O41" s="1" t="n"/>
      <c r="P41" s="1" t="n"/>
      <c r="Q41" s="1" t="n"/>
    </row>
    <row r="42" ht="22" customHeight="1">
      <c r="A42" s="5" t="inlineStr">
        <is>
          <t>1384 HK Equity</t>
        </is>
      </c>
      <c r="B42" s="5" t="inlineStr">
        <is>
          <t>DEEPEXI TECH</t>
        </is>
      </c>
      <c r="C42" s="5" t="inlineStr">
        <is>
          <t>Technology</t>
        </is>
      </c>
      <c r="D42" s="8">
        <f>IF($A42="","",BDP($A42,"LAST_PRICE"))</f>
        <v/>
      </c>
      <c r="E42" s="6">
        <f>IFERROR(IF(AND(ISNUMBER(D42),ISNUMBER('Market Data'!B42),'Market Data'!B42&gt;0),D42/'Market Data'!B42-1,""),"")</f>
        <v/>
      </c>
      <c r="F42" s="1" t="n"/>
      <c r="G42" s="1" t="n"/>
      <c r="H42" s="1" t="n"/>
      <c r="I42" s="1" t="n"/>
      <c r="J42" s="1" t="n"/>
      <c r="K42" s="1" t="n"/>
      <c r="L42" s="1" t="n"/>
      <c r="M42" s="1" t="n"/>
      <c r="N42" s="1" t="n"/>
      <c r="O42" s="1" t="n"/>
      <c r="P42" s="1" t="n"/>
      <c r="Q42" s="1" t="n"/>
    </row>
    <row r="43" ht="22" customHeight="1">
      <c r="A43" s="5" t="inlineStr">
        <is>
          <t>2723 HK Equity</t>
        </is>
      </c>
      <c r="B43" s="5" t="inlineStr">
        <is>
          <t>DEEPZERO</t>
        </is>
      </c>
      <c r="C43" s="5" t="inlineStr">
        <is>
          <t>Technology</t>
        </is>
      </c>
      <c r="D43" s="8">
        <f>IF($A43="","",BDP($A43,"LAST_PRICE"))</f>
        <v/>
      </c>
      <c r="E43" s="6">
        <f>IFERROR(IF(AND(ISNUMBER(D43),ISNUMBER('Market Data'!B43),'Market Data'!B43&gt;0),D43/'Market Data'!B43-1,""),"")</f>
        <v/>
      </c>
      <c r="F43" s="1" t="n"/>
      <c r="G43" s="1" t="n"/>
      <c r="H43" s="1" t="n"/>
      <c r="I43" s="1" t="n"/>
      <c r="J43" s="1" t="n"/>
      <c r="K43" s="1" t="n"/>
      <c r="L43" s="1" t="n"/>
      <c r="M43" s="1" t="n"/>
      <c r="N43" s="1" t="n"/>
      <c r="O43" s="1" t="n"/>
      <c r="P43" s="1" t="n"/>
      <c r="Q43" s="1" t="n"/>
    </row>
    <row r="44" ht="22" customHeight="1">
      <c r="A44" s="5" t="inlineStr">
        <is>
          <t>1989 HK Equity</t>
        </is>
      </c>
      <c r="B44" s="5" t="inlineStr">
        <is>
          <t>DELTON</t>
        </is>
      </c>
      <c r="C44" s="5" t="inlineStr">
        <is>
          <t>Technology</t>
        </is>
      </c>
      <c r="D44" s="8">
        <f>IF($A44="","",BDP($A44,"LAST_PRICE"))</f>
        <v/>
      </c>
      <c r="E44" s="6">
        <f>IFERROR(IF(AND(ISNUMBER(D44),ISNUMBER('Market Data'!B44),'Market Data'!B44&gt;0),D44/'Market Data'!B44-1,""),"")</f>
        <v/>
      </c>
      <c r="F44" s="1" t="n"/>
      <c r="G44" s="1" t="n"/>
      <c r="H44" s="1" t="n"/>
      <c r="I44" s="1" t="n"/>
      <c r="J44" s="1" t="n"/>
      <c r="K44" s="1" t="n"/>
      <c r="L44" s="1" t="n"/>
      <c r="M44" s="1" t="n"/>
      <c r="N44" s="1" t="n"/>
      <c r="O44" s="1" t="n"/>
      <c r="P44" s="1" t="n"/>
      <c r="Q44" s="1" t="n"/>
    </row>
    <row r="45" ht="22" customHeight="1">
      <c r="A45" s="5" t="inlineStr">
        <is>
          <t>2559 HK Equity</t>
        </is>
      </c>
      <c r="B45" s="5" t="inlineStr">
        <is>
          <t>DIDA INC</t>
        </is>
      </c>
      <c r="C45" s="5" t="inlineStr">
        <is>
          <t>Technology</t>
        </is>
      </c>
      <c r="D45" s="8">
        <f>IF($A45="","",BDP($A45,"LAST_PRICE"))</f>
        <v/>
      </c>
      <c r="E45" s="6">
        <f>IFERROR(IF(AND(ISNUMBER(D45),ISNUMBER('Market Data'!B45),'Market Data'!B45&gt;0),D45/'Market Data'!B45-1,""),"")</f>
        <v/>
      </c>
      <c r="F45" s="1" t="n"/>
      <c r="G45" s="1" t="n"/>
      <c r="H45" s="1" t="n"/>
      <c r="I45" s="1" t="n"/>
      <c r="J45" s="1" t="n"/>
      <c r="K45" s="1" t="n"/>
      <c r="L45" s="1" t="n"/>
      <c r="M45" s="1" t="n"/>
      <c r="N45" s="1" t="n"/>
      <c r="O45" s="1" t="n"/>
      <c r="P45" s="1" t="n"/>
      <c r="Q45" s="1" t="n"/>
    </row>
    <row r="46" ht="22" customHeight="1">
      <c r="A46" s="5" t="inlineStr">
        <is>
          <t>6731 HK Equity</t>
        </is>
      </c>
      <c r="B46" s="5" t="inlineStr">
        <is>
          <t>DIRECT DRIVE</t>
        </is>
      </c>
      <c r="C46" s="5" t="inlineStr">
        <is>
          <t>Technology</t>
        </is>
      </c>
      <c r="D46" s="8">
        <f>IF($A46="","",BDP($A46,"LAST_PRICE"))</f>
        <v/>
      </c>
      <c r="E46" s="6">
        <f>IFERROR(IF(AND(ISNUMBER(D46),ISNUMBER('Market Data'!B46),'Market Data'!B46&gt;0),D46/'Market Data'!B46-1,""),"")</f>
        <v/>
      </c>
      <c r="F46" s="1" t="n"/>
      <c r="G46" s="1" t="n"/>
      <c r="H46" s="1" t="n"/>
      <c r="I46" s="1" t="n"/>
      <c r="J46" s="1" t="n"/>
      <c r="K46" s="1" t="n"/>
      <c r="L46" s="1" t="n"/>
      <c r="M46" s="1" t="n"/>
      <c r="N46" s="1" t="n"/>
      <c r="O46" s="1" t="n"/>
      <c r="P46" s="1" t="n"/>
      <c r="Q46" s="1" t="n"/>
    </row>
    <row r="47" ht="22" customHeight="1">
      <c r="A47" s="5" t="inlineStr">
        <is>
          <t>1770 HK Equity</t>
        </is>
      </c>
      <c r="B47" s="5" t="inlineStr">
        <is>
          <t>DKE</t>
        </is>
      </c>
      <c r="C47" s="5" t="inlineStr">
        <is>
          <t>Technology</t>
        </is>
      </c>
      <c r="D47" s="8">
        <f>IF($A47="","",BDP($A47,"LAST_PRICE"))</f>
        <v/>
      </c>
      <c r="E47" s="6">
        <f>IFERROR(IF(AND(ISNUMBER(D47),ISNUMBER('Market Data'!B47),'Market Data'!B47&gt;0),D47/'Market Data'!B47-1,""),"")</f>
        <v/>
      </c>
      <c r="F47" s="1" t="n"/>
      <c r="G47" s="1" t="n"/>
      <c r="H47" s="1" t="n"/>
      <c r="I47" s="1" t="n"/>
      <c r="J47" s="1" t="n"/>
      <c r="K47" s="1" t="n"/>
      <c r="L47" s="1" t="n"/>
      <c r="M47" s="1" t="n"/>
      <c r="N47" s="1" t="n"/>
      <c r="O47" s="1" t="n"/>
      <c r="P47" s="1" t="n"/>
      <c r="Q47" s="1" t="n"/>
    </row>
    <row r="48" ht="22" customHeight="1">
      <c r="A48" s="5" t="inlineStr">
        <is>
          <t>2586 HK Equity</t>
        </is>
      </c>
      <c r="B48" s="5" t="inlineStr">
        <is>
          <t>DMALL</t>
        </is>
      </c>
      <c r="C48" s="5" t="inlineStr">
        <is>
          <t>Technology</t>
        </is>
      </c>
      <c r="D48" s="8">
        <f>IF($A48="","",BDP($A48,"LAST_PRICE"))</f>
        <v/>
      </c>
      <c r="E48" s="6">
        <f>IFERROR(IF(AND(ISNUMBER(D48),ISNUMBER('Market Data'!B48),'Market Data'!B48&gt;0),D48/'Market Data'!B48-1,""),"")</f>
        <v/>
      </c>
      <c r="F48" s="1" t="n"/>
      <c r="G48" s="1" t="n"/>
      <c r="H48" s="1" t="n"/>
      <c r="I48" s="1" t="n"/>
      <c r="J48" s="1" t="n"/>
      <c r="K48" s="1" t="n"/>
      <c r="L48" s="1" t="n"/>
      <c r="M48" s="1" t="n"/>
      <c r="N48" s="1" t="n"/>
      <c r="O48" s="1" t="n"/>
      <c r="P48" s="1" t="n"/>
      <c r="Q48" s="1" t="n"/>
    </row>
    <row r="49" ht="22" customHeight="1">
      <c r="A49" s="5" t="inlineStr">
        <is>
          <t>2432 HK Equity</t>
        </is>
      </c>
      <c r="B49" s="5" t="inlineStr">
        <is>
          <t>DOBOT</t>
        </is>
      </c>
      <c r="C49" s="5" t="inlineStr">
        <is>
          <t>Technology</t>
        </is>
      </c>
      <c r="D49" s="8">
        <f>IF($A49="","",BDP($A49,"LAST_PRICE"))</f>
        <v/>
      </c>
      <c r="E49" s="6">
        <f>IFERROR(IF(AND(ISNUMBER(D49),ISNUMBER('Market Data'!B49),'Market Data'!B49&gt;0),D49/'Market Data'!B49-1,""),"")</f>
        <v/>
      </c>
      <c r="F49" s="1" t="n"/>
      <c r="G49" s="1" t="n"/>
      <c r="H49" s="1" t="n"/>
      <c r="I49" s="1" t="n"/>
      <c r="J49" s="1" t="n"/>
      <c r="K49" s="1" t="n"/>
      <c r="L49" s="1" t="n"/>
      <c r="M49" s="1" t="n"/>
      <c r="N49" s="1" t="n"/>
      <c r="O49" s="1" t="n"/>
      <c r="P49" s="1" t="n"/>
      <c r="Q49" s="1" t="n"/>
    </row>
    <row r="50" ht="22" customHeight="1">
      <c r="A50" s="5" t="inlineStr">
        <is>
          <t>1377 HK Equity</t>
        </is>
      </c>
      <c r="B50" s="5" t="inlineStr">
        <is>
          <t>DTECH</t>
        </is>
      </c>
      <c r="C50" s="5" t="inlineStr">
        <is>
          <t>Technology</t>
        </is>
      </c>
      <c r="D50" s="8">
        <f>IF($A50="","",BDP($A50,"LAST_PRICE"))</f>
        <v/>
      </c>
      <c r="E50" s="6">
        <f>IFERROR(IF(AND(ISNUMBER(D50),ISNUMBER('Market Data'!B50),'Market Data'!B50&gt;0),D50/'Market Data'!B50-1,""),"")</f>
        <v/>
      </c>
      <c r="F50" s="1" t="n"/>
      <c r="G50" s="1" t="n"/>
      <c r="H50" s="1" t="n"/>
      <c r="I50" s="1" t="n"/>
      <c r="J50" s="1" t="n"/>
      <c r="K50" s="1" t="n"/>
      <c r="L50" s="1" t="n"/>
      <c r="M50" s="1" t="n"/>
      <c r="N50" s="1" t="n"/>
      <c r="O50" s="1" t="n"/>
      <c r="P50" s="1" t="n"/>
      <c r="Q50" s="1" t="n"/>
    </row>
    <row r="51" ht="22" customHeight="1">
      <c r="A51" s="5" t="inlineStr">
        <is>
          <t>7687 HK Equity</t>
        </is>
      </c>
      <c r="B51" s="5" t="inlineStr">
        <is>
          <t>EACON</t>
        </is>
      </c>
      <c r="C51" s="5" t="inlineStr">
        <is>
          <t>Technology</t>
        </is>
      </c>
      <c r="D51" s="8">
        <f>IF($A51="","",BDP($A51,"LAST_PRICE"))</f>
        <v/>
      </c>
      <c r="E51" s="6">
        <f>IFERROR(IF(AND(ISNUMBER(D51),ISNUMBER('Market Data'!B51),'Market Data'!B51&gt;0),D51/'Market Data'!B51-1,""),"")</f>
        <v/>
      </c>
      <c r="F51" s="1" t="n"/>
      <c r="G51" s="1" t="n"/>
      <c r="H51" s="1" t="n"/>
      <c r="I51" s="1" t="n"/>
      <c r="J51" s="1" t="n"/>
      <c r="K51" s="1" t="n"/>
      <c r="L51" s="1" t="n"/>
      <c r="M51" s="1" t="n"/>
      <c r="N51" s="1" t="n"/>
      <c r="O51" s="1" t="n"/>
      <c r="P51" s="1" t="n"/>
      <c r="Q51" s="1" t="n"/>
    </row>
    <row r="52" ht="22" customHeight="1">
      <c r="A52" s="5" t="inlineStr">
        <is>
          <t>2550 HK Equity</t>
        </is>
      </c>
      <c r="B52" s="5" t="inlineStr">
        <is>
          <t>EASOU TECH</t>
        </is>
      </c>
      <c r="C52" s="5" t="inlineStr">
        <is>
          <t>Technology</t>
        </is>
      </c>
      <c r="D52" s="8">
        <f>IF($A52="","",BDP($A52,"LAST_PRICE"))</f>
        <v/>
      </c>
      <c r="E52" s="6">
        <f>IFERROR(IF(AND(ISNUMBER(D52),ISNUMBER('Market Data'!B52),'Market Data'!B52&gt;0),D52/'Market Data'!B52-1,""),"")</f>
        <v/>
      </c>
      <c r="F52" s="1" t="n"/>
      <c r="G52" s="1" t="n"/>
      <c r="H52" s="1" t="n"/>
      <c r="I52" s="1" t="n"/>
      <c r="J52" s="1" t="n"/>
      <c r="K52" s="1" t="n"/>
      <c r="L52" s="1" t="n"/>
      <c r="M52" s="1" t="n"/>
      <c r="N52" s="1" t="n"/>
      <c r="O52" s="1" t="n"/>
      <c r="P52" s="1" t="n"/>
      <c r="Q52" s="1" t="n"/>
    </row>
    <row r="53" ht="22" customHeight="1">
      <c r="A53" s="5" t="inlineStr">
        <is>
          <t>2416 HK Equity</t>
        </is>
      </c>
      <c r="B53" s="5" t="inlineStr">
        <is>
          <t>EDIANYUN</t>
        </is>
      </c>
      <c r="C53" s="5" t="inlineStr">
        <is>
          <t>Technology</t>
        </is>
      </c>
      <c r="D53" s="8">
        <f>IF($A53="","",BDP($A53,"LAST_PRICE"))</f>
        <v/>
      </c>
      <c r="E53" s="6">
        <f>IFERROR(IF(AND(ISNUMBER(D53),ISNUMBER('Market Data'!B53),'Market Data'!B53&gt;0),D53/'Market Data'!B53-1,""),"")</f>
        <v/>
      </c>
      <c r="F53" s="1" t="n"/>
      <c r="G53" s="1" t="n"/>
      <c r="H53" s="1" t="n"/>
      <c r="I53" s="1" t="n"/>
      <c r="J53" s="1" t="n"/>
      <c r="K53" s="1" t="n"/>
      <c r="L53" s="1" t="n"/>
      <c r="M53" s="1" t="n"/>
      <c r="N53" s="1" t="n"/>
      <c r="O53" s="1" t="n"/>
      <c r="P53" s="1" t="n"/>
      <c r="Q53" s="1" t="n"/>
    </row>
    <row r="54" ht="22" customHeight="1">
      <c r="A54" s="5" t="inlineStr">
        <is>
          <t>2726 HK Equity</t>
        </is>
      </c>
      <c r="B54" s="5" t="inlineStr">
        <is>
          <t>EPIWORLD</t>
        </is>
      </c>
      <c r="C54" s="5" t="inlineStr">
        <is>
          <t>Technology</t>
        </is>
      </c>
      <c r="D54" s="8">
        <f>IF($A54="","",BDP($A54,"LAST_PRICE"))</f>
        <v/>
      </c>
      <c r="E54" s="6">
        <f>IFERROR(IF(AND(ISNUMBER(D54),ISNUMBER('Market Data'!B54),'Market Data'!B54&gt;0),D54/'Market Data'!B54-1,""),"")</f>
        <v/>
      </c>
      <c r="F54" s="1" t="n"/>
      <c r="G54" s="1" t="n"/>
      <c r="H54" s="1" t="n"/>
      <c r="I54" s="1" t="n"/>
      <c r="J54" s="1" t="n"/>
      <c r="K54" s="1" t="n"/>
      <c r="L54" s="1" t="n"/>
      <c r="M54" s="1" t="n"/>
      <c r="N54" s="1" t="n"/>
      <c r="O54" s="1" t="n"/>
      <c r="P54" s="1" t="n"/>
      <c r="Q54" s="1" t="n"/>
    </row>
    <row r="55" ht="22" customHeight="1">
      <c r="A55" s="5" t="inlineStr">
        <is>
          <t>2715 HK Equity</t>
        </is>
      </c>
      <c r="B55" s="5" t="inlineStr">
        <is>
          <t>ESTUN</t>
        </is>
      </c>
      <c r="C55" s="5" t="inlineStr">
        <is>
          <t>Technology</t>
        </is>
      </c>
      <c r="D55" s="8">
        <f>IF($A55="","",BDP($A55,"LAST_PRICE"))</f>
        <v/>
      </c>
      <c r="E55" s="6">
        <f>IFERROR(IF(AND(ISNUMBER(D55),ISNUMBER('Market Data'!B55),'Market Data'!B55&gt;0),D55/'Market Data'!B55-1,""),"")</f>
        <v/>
      </c>
      <c r="F55" s="1" t="n"/>
      <c r="G55" s="1" t="n"/>
      <c r="H55" s="1" t="n"/>
      <c r="I55" s="1" t="n"/>
      <c r="J55" s="1" t="n"/>
      <c r="K55" s="1" t="n"/>
      <c r="L55" s="1" t="n"/>
      <c r="M55" s="1" t="n"/>
      <c r="N55" s="1" t="n"/>
      <c r="O55" s="1" t="n"/>
      <c r="P55" s="1" t="n"/>
      <c r="Q55" s="1" t="n"/>
    </row>
    <row r="56" ht="22" customHeight="1">
      <c r="A56" s="5" t="inlineStr">
        <is>
          <t>3231 HK Equity</t>
        </is>
      </c>
      <c r="B56" s="5" t="inlineStr">
        <is>
          <t>EXCELLAND ROBOT</t>
        </is>
      </c>
      <c r="C56" s="5" t="inlineStr">
        <is>
          <t>Technology</t>
        </is>
      </c>
      <c r="D56" s="8">
        <f>IF($A56="","",BDP($A56,"LAST_PRICE"))</f>
        <v/>
      </c>
      <c r="E56" s="6">
        <f>IFERROR(IF(AND(ISNUMBER(D56),ISNUMBER('Market Data'!B56),'Market Data'!B56&gt;0),D56/'Market Data'!B56-1,""),"")</f>
        <v/>
      </c>
      <c r="F56" s="1" t="n"/>
      <c r="G56" s="1" t="n"/>
      <c r="H56" s="1" t="n"/>
      <c r="I56" s="1" t="n"/>
      <c r="J56" s="1" t="n"/>
      <c r="K56" s="1" t="n"/>
      <c r="L56" s="1" t="n"/>
      <c r="M56" s="1" t="n"/>
      <c r="N56" s="1" t="n"/>
      <c r="O56" s="1" t="n"/>
      <c r="P56" s="1" t="n"/>
      <c r="Q56" s="1" t="n"/>
    </row>
    <row r="57" ht="22" customHeight="1">
      <c r="A57" s="5" t="inlineStr">
        <is>
          <t>6636 HK Equity</t>
        </is>
      </c>
      <c r="B57" s="5" t="inlineStr">
        <is>
          <t>EXTREME VISION</t>
        </is>
      </c>
      <c r="C57" s="5" t="inlineStr">
        <is>
          <t>Technology</t>
        </is>
      </c>
      <c r="D57" s="8">
        <f>IF($A57="","",BDP($A57,"LAST_PRICE"))</f>
        <v/>
      </c>
      <c r="E57" s="6">
        <f>IFERROR(IF(AND(ISNUMBER(D57),ISNUMBER('Market Data'!B57),'Market Data'!B57&gt;0),D57/'Market Data'!B57-1,""),"")</f>
        <v/>
      </c>
      <c r="F57" s="1" t="n"/>
      <c r="G57" s="1" t="n"/>
      <c r="H57" s="1" t="n"/>
      <c r="I57" s="1" t="n"/>
      <c r="J57" s="1" t="n"/>
      <c r="K57" s="1" t="n"/>
      <c r="L57" s="1" t="n"/>
      <c r="M57" s="1" t="n"/>
      <c r="N57" s="1" t="n"/>
      <c r="O57" s="1" t="n"/>
      <c r="P57" s="1" t="n"/>
      <c r="Q57" s="1" t="n"/>
    </row>
    <row r="58" ht="22" customHeight="1">
      <c r="A58" s="5" t="inlineStr">
        <is>
          <t>638 HK Equity</t>
        </is>
      </c>
      <c r="B58" s="5" t="inlineStr">
        <is>
          <t>FIBOCOM</t>
        </is>
      </c>
      <c r="C58" s="5" t="inlineStr">
        <is>
          <t>Technology</t>
        </is>
      </c>
      <c r="D58" s="8">
        <f>IF($A58="","",BDP($A58,"LAST_PRICE"))</f>
        <v/>
      </c>
      <c r="E58" s="6">
        <f>IFERROR(IF(AND(ISNUMBER(D58),ISNUMBER('Market Data'!B58),'Market Data'!B58&gt;0),D58/'Market Data'!B58-1,""),"")</f>
        <v/>
      </c>
      <c r="F58" s="1" t="n"/>
      <c r="G58" s="1" t="n"/>
      <c r="H58" s="1" t="n"/>
      <c r="I58" s="1" t="n"/>
      <c r="J58" s="1" t="n"/>
      <c r="K58" s="1" t="n"/>
      <c r="L58" s="1" t="n"/>
      <c r="M58" s="1" t="n"/>
      <c r="N58" s="1" t="n"/>
      <c r="O58" s="1" t="n"/>
      <c r="P58" s="1" t="n"/>
      <c r="Q58" s="1" t="n"/>
    </row>
    <row r="59" ht="22" customHeight="1">
      <c r="A59" s="5" t="inlineStr">
        <is>
          <t>1304 HK Equity</t>
        </is>
      </c>
      <c r="B59" s="5" t="inlineStr">
        <is>
          <t>FORTIOR</t>
        </is>
      </c>
      <c r="C59" s="5" t="inlineStr">
        <is>
          <t>Technology</t>
        </is>
      </c>
      <c r="D59" s="8">
        <f>IF($A59="","",BDP($A59,"LAST_PRICE"))</f>
        <v/>
      </c>
      <c r="E59" s="6">
        <f>IFERROR(IF(AND(ISNUMBER(D59),ISNUMBER('Market Data'!B59),'Market Data'!B59&gt;0),D59/'Market Data'!B59-1,""),"")</f>
        <v/>
      </c>
      <c r="F59" s="1" t="n"/>
      <c r="G59" s="1" t="n"/>
      <c r="H59" s="1" t="n"/>
      <c r="I59" s="1" t="n"/>
      <c r="J59" s="1" t="n"/>
      <c r="K59" s="1" t="n"/>
      <c r="L59" s="1" t="n"/>
      <c r="M59" s="1" t="n"/>
      <c r="N59" s="1" t="n"/>
      <c r="O59" s="1" t="n"/>
      <c r="P59" s="1" t="n"/>
      <c r="Q59" s="1" t="n"/>
    </row>
    <row r="60" ht="22" customHeight="1">
      <c r="A60" s="5" t="inlineStr">
        <is>
          <t>3625 HK Equity</t>
        </is>
      </c>
      <c r="B60" s="5" t="inlineStr">
        <is>
          <t>FOURSEMI</t>
        </is>
      </c>
      <c r="C60" s="5" t="inlineStr">
        <is>
          <t>Technology</t>
        </is>
      </c>
      <c r="D60" s="8">
        <f>IF($A60="","",BDP($A60,"LAST_PRICE"))</f>
        <v/>
      </c>
      <c r="E60" s="6">
        <f>IFERROR(IF(AND(ISNUMBER(D60),ISNUMBER('Market Data'!B60),'Market Data'!B60&gt;0),D60/'Market Data'!B60-1,""),"")</f>
        <v/>
      </c>
      <c r="F60" s="1" t="n"/>
      <c r="G60" s="1" t="n"/>
      <c r="H60" s="1" t="n"/>
      <c r="I60" s="1" t="n"/>
      <c r="J60" s="1" t="n"/>
      <c r="K60" s="1" t="n"/>
      <c r="L60" s="1" t="n"/>
      <c r="M60" s="1" t="n"/>
      <c r="N60" s="1" t="n"/>
      <c r="O60" s="1" t="n"/>
      <c r="P60" s="1" t="n"/>
      <c r="Q60" s="1" t="n"/>
    </row>
    <row r="61" ht="22" customHeight="1">
      <c r="A61" s="5" t="inlineStr">
        <is>
          <t>6682 HK Equity</t>
        </is>
      </c>
      <c r="B61" s="5" t="inlineStr">
        <is>
          <t>FOURTH PARADIGM</t>
        </is>
      </c>
      <c r="C61" s="5" t="inlineStr">
        <is>
          <t>Technology</t>
        </is>
      </c>
      <c r="D61" s="8">
        <f>IF($A61="","",BDP($A61,"LAST_PRICE"))</f>
        <v/>
      </c>
      <c r="E61" s="6">
        <f>IFERROR(IF(AND(ISNUMBER(D61),ISNUMBER('Market Data'!B61),'Market Data'!B61&gt;0),D61/'Market Data'!B61-1,""),"")</f>
        <v/>
      </c>
      <c r="F61" s="1" t="n"/>
      <c r="G61" s="1" t="n"/>
      <c r="H61" s="1" t="n"/>
      <c r="I61" s="1" t="n"/>
      <c r="J61" s="1" t="n"/>
      <c r="K61" s="1" t="n"/>
      <c r="L61" s="1" t="n"/>
      <c r="M61" s="1" t="n"/>
      <c r="N61" s="1" t="n"/>
      <c r="O61" s="1" t="n"/>
      <c r="P61" s="1" t="n"/>
      <c r="Q61" s="1" t="n"/>
    </row>
    <row r="62" ht="22" customHeight="1">
      <c r="A62" s="5" t="inlineStr">
        <is>
          <t>3355 HK Equity</t>
        </is>
      </c>
      <c r="B62" s="5" t="inlineStr">
        <is>
          <t>FS.COM</t>
        </is>
      </c>
      <c r="C62" s="5" t="inlineStr">
        <is>
          <t>Technology</t>
        </is>
      </c>
      <c r="D62" s="8">
        <f>IF($A62="","",BDP($A62,"LAST_PRICE"))</f>
        <v/>
      </c>
      <c r="E62" s="6">
        <f>IFERROR(IF(AND(ISNUMBER(D62),ISNUMBER('Market Data'!B62),'Market Data'!B62&gt;0),D62/'Market Data'!B62-1,""),"")</f>
        <v/>
      </c>
      <c r="F62" s="1" t="n"/>
      <c r="G62" s="1" t="n"/>
      <c r="H62" s="1" t="n"/>
      <c r="I62" s="1" t="n"/>
      <c r="J62" s="1" t="n"/>
      <c r="K62" s="1" t="n"/>
      <c r="L62" s="1" t="n"/>
      <c r="M62" s="1" t="n"/>
      <c r="N62" s="1" t="n"/>
      <c r="O62" s="1" t="n"/>
      <c r="P62" s="1" t="n"/>
      <c r="Q62" s="1" t="n"/>
    </row>
    <row r="63" ht="22" customHeight="1">
      <c r="A63" s="5" t="inlineStr">
        <is>
          <t>2458 HK Equity</t>
        </is>
      </c>
      <c r="B63" s="5" t="inlineStr">
        <is>
          <t>GALA TECH HOLD</t>
        </is>
      </c>
      <c r="C63" s="5" t="inlineStr">
        <is>
          <t>Technology</t>
        </is>
      </c>
      <c r="D63" s="8">
        <f>IF($A63="","",BDP($A63,"LAST_PRICE"))</f>
        <v/>
      </c>
      <c r="E63" s="6">
        <f>IFERROR(IF(AND(ISNUMBER(D63),ISNUMBER('Market Data'!B63),'Market Data'!B63&gt;0),D63/'Market Data'!B63-1,""),"")</f>
        <v/>
      </c>
      <c r="F63" s="1" t="n"/>
      <c r="G63" s="1" t="n"/>
      <c r="H63" s="1" t="n"/>
      <c r="I63" s="1" t="n"/>
      <c r="J63" s="1" t="n"/>
      <c r="K63" s="1" t="n"/>
      <c r="L63" s="1" t="n"/>
      <c r="M63" s="1" t="n"/>
      <c r="N63" s="1" t="n"/>
      <c r="O63" s="1" t="n"/>
      <c r="P63" s="1" t="n"/>
      <c r="Q63" s="1" t="n"/>
    </row>
    <row r="64" ht="22" customHeight="1">
      <c r="A64" s="5" t="inlineStr">
        <is>
          <t>2729 HK Equity</t>
        </is>
      </c>
      <c r="B64" s="5" t="inlineStr">
        <is>
          <t>GALAXIS TECH</t>
        </is>
      </c>
      <c r="C64" s="5" t="inlineStr">
        <is>
          <t>Technology</t>
        </is>
      </c>
      <c r="D64" s="8">
        <f>IF($A64="","",BDP($A64,"LAST_PRICE"))</f>
        <v/>
      </c>
      <c r="E64" s="6">
        <f>IFERROR(IF(AND(ISNUMBER(D64),ISNUMBER('Market Data'!B64),'Market Data'!B64&gt;0),D64/'Market Data'!B64-1,""),"")</f>
        <v/>
      </c>
      <c r="F64" s="1" t="n"/>
      <c r="G64" s="1" t="n"/>
      <c r="H64" s="1" t="n"/>
      <c r="I64" s="1" t="n"/>
      <c r="J64" s="1" t="n"/>
      <c r="K64" s="1" t="n"/>
      <c r="L64" s="1" t="n"/>
      <c r="M64" s="1" t="n"/>
      <c r="N64" s="1" t="n"/>
      <c r="O64" s="1" t="n"/>
      <c r="P64" s="1" t="n"/>
      <c r="Q64" s="1" t="n"/>
    </row>
    <row r="65" ht="22" customHeight="1">
      <c r="A65" s="5" t="inlineStr">
        <is>
          <t>2590 HK Equity</t>
        </is>
      </c>
      <c r="B65" s="5" t="inlineStr">
        <is>
          <t>GEEKPLUS-W</t>
        </is>
      </c>
      <c r="C65" s="5" t="inlineStr">
        <is>
          <t>Technology</t>
        </is>
      </c>
      <c r="D65" s="8">
        <f>IF($A65="","",BDP($A65,"LAST_PRICE"))</f>
        <v/>
      </c>
      <c r="E65" s="6">
        <f>IFERROR(IF(AND(ISNUMBER(D65),ISNUMBER('Market Data'!B65),'Market Data'!B65&gt;0),D65/'Market Data'!B65-1,""),"")</f>
        <v/>
      </c>
      <c r="F65" s="1" t="n"/>
      <c r="G65" s="1" t="n"/>
      <c r="H65" s="1" t="n"/>
      <c r="I65" s="1" t="n"/>
      <c r="J65" s="1" t="n"/>
      <c r="K65" s="1" t="n"/>
      <c r="L65" s="1" t="n"/>
      <c r="M65" s="1" t="n"/>
      <c r="N65" s="1" t="n"/>
      <c r="O65" s="1" t="n"/>
      <c r="P65" s="1" t="n"/>
      <c r="Q65" s="1" t="n"/>
    </row>
    <row r="66" ht="22" customHeight="1">
      <c r="A66" s="5" t="inlineStr">
        <is>
          <t>3986 HK Equity</t>
        </is>
      </c>
      <c r="B66" s="5" t="inlineStr">
        <is>
          <t>GIGADEVICE</t>
        </is>
      </c>
      <c r="C66" s="5" t="inlineStr">
        <is>
          <t>Technology</t>
        </is>
      </c>
      <c r="D66" s="8">
        <f>IF($A66="","",BDP($A66,"LAST_PRICE"))</f>
        <v/>
      </c>
      <c r="E66" s="6">
        <f>IFERROR(IF(AND(ISNUMBER(D66),ISNUMBER('Market Data'!B66),'Market Data'!B66&gt;0),D66/'Market Data'!B66-1,""),"")</f>
        <v/>
      </c>
      <c r="F66" s="1" t="n"/>
      <c r="G66" s="1" t="n"/>
      <c r="H66" s="1" t="n"/>
      <c r="I66" s="1" t="n"/>
      <c r="J66" s="1" t="n"/>
      <c r="K66" s="1" t="n"/>
      <c r="L66" s="1" t="n"/>
      <c r="M66" s="1" t="n"/>
      <c r="N66" s="1" t="n"/>
      <c r="O66" s="1" t="n"/>
      <c r="P66" s="1" t="n"/>
      <c r="Q66" s="1" t="n"/>
    </row>
    <row r="67" ht="22" customHeight="1">
      <c r="A67" s="5" t="inlineStr">
        <is>
          <t>2768 HK Equity</t>
        </is>
      </c>
      <c r="B67" s="5" t="inlineStr">
        <is>
          <t>GON TECHNOLOGY</t>
        </is>
      </c>
      <c r="C67" s="5" t="inlineStr">
        <is>
          <t>Technology</t>
        </is>
      </c>
      <c r="D67" s="8">
        <f>IF($A67="","",BDP($A67,"LAST_PRICE"))</f>
        <v/>
      </c>
      <c r="E67" s="6">
        <f>IFERROR(IF(AND(ISNUMBER(D67),ISNUMBER('Market Data'!B67),'Market Data'!B67&gt;0),D67/'Market Data'!B67-1,""),"")</f>
        <v/>
      </c>
      <c r="F67" s="1" t="n"/>
      <c r="G67" s="1" t="n"/>
      <c r="H67" s="1" t="n"/>
      <c r="I67" s="1" t="n"/>
      <c r="J67" s="1" t="n"/>
      <c r="K67" s="1" t="n"/>
      <c r="L67" s="1" t="n"/>
      <c r="M67" s="1" t="n"/>
      <c r="N67" s="1" t="n"/>
      <c r="O67" s="1" t="n"/>
      <c r="P67" s="1" t="n"/>
      <c r="Q67" s="1" t="n"/>
    </row>
    <row r="68" ht="22" customHeight="1">
      <c r="A68" s="5" t="inlineStr">
        <is>
          <t>3277 HK Equity</t>
        </is>
      </c>
      <c r="B68" s="5" t="inlineStr">
        <is>
          <t>GPIXEL</t>
        </is>
      </c>
      <c r="C68" s="5" t="inlineStr">
        <is>
          <t>Technology</t>
        </is>
      </c>
      <c r="D68" s="8">
        <f>IF($A68="","",BDP($A68,"LAST_PRICE"))</f>
        <v/>
      </c>
      <c r="E68" s="6">
        <f>IFERROR(IF(AND(ISNUMBER(D68),ISNUMBER('Market Data'!B68),'Market Data'!B68&gt;0),D68/'Market Data'!B68-1,""),"")</f>
        <v/>
      </c>
      <c r="F68" s="1" t="n"/>
      <c r="G68" s="1" t="n"/>
      <c r="H68" s="1" t="n"/>
      <c r="I68" s="1" t="n"/>
      <c r="J68" s="1" t="n"/>
      <c r="K68" s="1" t="n"/>
      <c r="L68" s="1" t="n"/>
      <c r="M68" s="1" t="n"/>
      <c r="N68" s="1" t="n"/>
      <c r="O68" s="1" t="n"/>
      <c r="P68" s="1" t="n"/>
      <c r="Q68" s="1" t="n"/>
    </row>
    <row r="69" ht="22" customHeight="1">
      <c r="A69" s="5" t="inlineStr">
        <is>
          <t>2655 HK Equity</t>
        </is>
      </c>
      <c r="B69" s="5" t="inlineStr">
        <is>
          <t>GUOXIA TECH</t>
        </is>
      </c>
      <c r="C69" s="5" t="inlineStr">
        <is>
          <t>Technology</t>
        </is>
      </c>
      <c r="D69" s="8">
        <f>IF($A69="","",BDP($A69,"LAST_PRICE"))</f>
        <v/>
      </c>
      <c r="E69" s="6">
        <f>IFERROR(IF(AND(ISNUMBER(D69),ISNUMBER('Market Data'!B69),'Market Data'!B69&gt;0),D69/'Market Data'!B69-1,""),"")</f>
        <v/>
      </c>
      <c r="F69" s="1" t="n"/>
      <c r="G69" s="1" t="n"/>
      <c r="H69" s="1" t="n"/>
      <c r="I69" s="1" t="n"/>
      <c r="J69" s="1" t="n"/>
      <c r="K69" s="1" t="n"/>
      <c r="L69" s="1" t="n"/>
      <c r="M69" s="1" t="n"/>
      <c r="N69" s="1" t="n"/>
      <c r="O69" s="1" t="n"/>
      <c r="P69" s="1" t="n"/>
      <c r="Q69" s="1" t="n"/>
    </row>
    <row r="70" ht="22" customHeight="1">
      <c r="A70" s="5" t="inlineStr">
        <is>
          <t>2706 HK Equity</t>
        </is>
      </c>
      <c r="B70" s="5" t="inlineStr">
        <is>
          <t>HAIZHI TECH GP</t>
        </is>
      </c>
      <c r="C70" s="5" t="inlineStr">
        <is>
          <t>Technology</t>
        </is>
      </c>
      <c r="D70" s="8">
        <f>IF($A70="","",BDP($A70,"LAST_PRICE"))</f>
        <v/>
      </c>
      <c r="E70" s="6">
        <f>IFERROR(IF(AND(ISNUMBER(D70),ISNUMBER('Market Data'!B70),'Market Data'!B70&gt;0),D70/'Market Data'!B70-1,""),"")</f>
        <v/>
      </c>
      <c r="F70" s="1" t="n"/>
      <c r="G70" s="1" t="n"/>
      <c r="H70" s="1" t="n"/>
      <c r="I70" s="1" t="n"/>
      <c r="J70" s="1" t="n"/>
      <c r="K70" s="1" t="n"/>
      <c r="L70" s="1" t="n"/>
      <c r="M70" s="1" t="n"/>
      <c r="N70" s="1" t="n"/>
      <c r="O70" s="1" t="n"/>
      <c r="P70" s="1" t="n"/>
      <c r="Q70" s="1" t="n"/>
    </row>
    <row r="71" ht="22" customHeight="1">
      <c r="A71" s="5" t="inlineStr">
        <is>
          <t>3887 HK Equity</t>
        </is>
      </c>
      <c r="B71" s="5" t="inlineStr">
        <is>
          <t>HASHKEY HLDGS</t>
        </is>
      </c>
      <c r="C71" s="5" t="inlineStr">
        <is>
          <t>Technology</t>
        </is>
      </c>
      <c r="D71" s="8">
        <f>IF($A71="","",BDP($A71,"LAST_PRICE"))</f>
        <v/>
      </c>
      <c r="E71" s="6">
        <f>IFERROR(IF(AND(ISNUMBER(D71),ISNUMBER('Market Data'!B71),'Market Data'!B71&gt;0),D71/'Market Data'!B71-1,""),"")</f>
        <v/>
      </c>
      <c r="F71" s="1" t="n"/>
      <c r="G71" s="1" t="n"/>
      <c r="H71" s="1" t="n"/>
      <c r="I71" s="1" t="n"/>
      <c r="J71" s="1" t="n"/>
      <c r="K71" s="1" t="n"/>
      <c r="L71" s="1" t="n"/>
      <c r="M71" s="1" t="n"/>
      <c r="N71" s="1" t="n"/>
      <c r="O71" s="1" t="n"/>
      <c r="P71" s="1" t="n"/>
      <c r="Q71" s="1" t="n"/>
    </row>
    <row r="72" ht="22" customHeight="1">
      <c r="A72" s="5" t="inlineStr">
        <is>
          <t>2525 HK Equity</t>
        </is>
      </c>
      <c r="B72" s="5" t="inlineStr">
        <is>
          <t>HESAI-W</t>
        </is>
      </c>
      <c r="C72" s="5" t="inlineStr">
        <is>
          <t>Technology</t>
        </is>
      </c>
      <c r="D72" s="8">
        <f>IF($A72="","",BDP($A72,"LAST_PRICE"))</f>
        <v/>
      </c>
      <c r="E72" s="6">
        <f>IFERROR(IF(AND(ISNUMBER(D72),ISNUMBER('Market Data'!B72),'Market Data'!B72&gt;0),D72/'Market Data'!B72-1,""),"")</f>
        <v/>
      </c>
      <c r="F72" s="1" t="n"/>
      <c r="G72" s="1" t="n"/>
      <c r="H72" s="1" t="n"/>
      <c r="I72" s="1" t="n"/>
      <c r="J72" s="1" t="n"/>
      <c r="K72" s="1" t="n"/>
      <c r="L72" s="1" t="n"/>
      <c r="M72" s="1" t="n"/>
      <c r="N72" s="1" t="n"/>
      <c r="O72" s="1" t="n"/>
      <c r="P72" s="1" t="n"/>
      <c r="Q72" s="1" t="n"/>
    </row>
    <row r="73" ht="22" customHeight="1">
      <c r="A73" s="5" t="inlineStr">
        <is>
          <t>9660 HK Equity</t>
        </is>
      </c>
      <c r="B73" s="5" t="inlineStr">
        <is>
          <t>HORIZONROBOT-W</t>
        </is>
      </c>
      <c r="C73" s="5" t="inlineStr">
        <is>
          <t>Technology</t>
        </is>
      </c>
      <c r="D73" s="8">
        <f>IF($A73="","",BDP($A73,"LAST_PRICE"))</f>
        <v/>
      </c>
      <c r="E73" s="6">
        <f>IFERROR(IF(AND(ISNUMBER(D73),ISNUMBER('Market Data'!B73),'Market Data'!B73&gt;0),D73/'Market Data'!B73-1,""),"")</f>
        <v/>
      </c>
      <c r="F73" s="1" t="n"/>
      <c r="G73" s="1" t="n"/>
      <c r="H73" s="1" t="n"/>
      <c r="I73" s="1" t="n"/>
      <c r="J73" s="1" t="n"/>
      <c r="K73" s="1" t="n"/>
      <c r="L73" s="1" t="n"/>
      <c r="M73" s="1" t="n"/>
      <c r="N73" s="1" t="n"/>
      <c r="O73" s="1" t="n"/>
      <c r="P73" s="1" t="n"/>
      <c r="Q73" s="1" t="n"/>
    </row>
    <row r="74" ht="22" customHeight="1">
      <c r="A74" s="5" t="inlineStr">
        <is>
          <t>2440 HK Equity</t>
        </is>
      </c>
      <c r="B74" s="5" t="inlineStr">
        <is>
          <t>HOWKINGTECH</t>
        </is>
      </c>
      <c r="C74" s="5" t="inlineStr">
        <is>
          <t>Technology</t>
        </is>
      </c>
      <c r="D74" s="8">
        <f>IF($A74="","",BDP($A74,"LAST_PRICE"))</f>
        <v/>
      </c>
      <c r="E74" s="6">
        <f>IFERROR(IF(AND(ISNUMBER(D74),ISNUMBER('Market Data'!B74),'Market Data'!B74&gt;0),D74/'Market Data'!B74-1,""),"")</f>
        <v/>
      </c>
      <c r="F74" s="1" t="n"/>
      <c r="G74" s="1" t="n"/>
      <c r="H74" s="1" t="n"/>
      <c r="I74" s="1" t="n"/>
      <c r="J74" s="1" t="n"/>
      <c r="K74" s="1" t="n"/>
      <c r="L74" s="1" t="n"/>
      <c r="M74" s="1" t="n"/>
      <c r="N74" s="1" t="n"/>
      <c r="O74" s="1" t="n"/>
      <c r="P74" s="1" t="n"/>
      <c r="Q74" s="1" t="n"/>
    </row>
    <row r="75" ht="22" customHeight="1">
      <c r="A75" s="5" t="inlineStr">
        <is>
          <t>1392 HK Equity</t>
        </is>
      </c>
      <c r="B75" s="5" t="inlineStr">
        <is>
          <t>HQVT</t>
        </is>
      </c>
      <c r="C75" s="5" t="inlineStr">
        <is>
          <t>Technology</t>
        </is>
      </c>
      <c r="D75" s="8">
        <f>IF($A75="","",BDP($A75,"LAST_PRICE"))</f>
        <v/>
      </c>
      <c r="E75" s="6">
        <f>IFERROR(IF(AND(ISNUMBER(D75),ISNUMBER('Market Data'!B75),'Market Data'!B75&gt;0),D75/'Market Data'!B75-1,""),"")</f>
        <v/>
      </c>
      <c r="F75" s="1" t="n"/>
      <c r="G75" s="1" t="n"/>
      <c r="H75" s="1" t="n"/>
      <c r="I75" s="1" t="n"/>
      <c r="J75" s="1" t="n"/>
      <c r="K75" s="1" t="n"/>
      <c r="L75" s="1" t="n"/>
      <c r="M75" s="1" t="n"/>
      <c r="N75" s="1" t="n"/>
      <c r="O75" s="1" t="n"/>
      <c r="P75" s="1" t="n"/>
      <c r="Q75" s="1" t="n"/>
    </row>
    <row r="76" ht="22" customHeight="1">
      <c r="A76" s="5" t="inlineStr">
        <is>
          <t>3296 HK Equity</t>
        </is>
      </c>
      <c r="B76" s="5" t="inlineStr">
        <is>
          <t>HUAQIN</t>
        </is>
      </c>
      <c r="C76" s="5" t="inlineStr">
        <is>
          <t>Technology</t>
        </is>
      </c>
      <c r="D76" s="8">
        <f>IF($A76="","",BDP($A76,"LAST_PRICE"))</f>
        <v/>
      </c>
      <c r="E76" s="6">
        <f>IFERROR(IF(AND(ISNUMBER(D76),ISNUMBER('Market Data'!B76),'Market Data'!B76&gt;0),D76/'Market Data'!B76-1,""),"")</f>
        <v/>
      </c>
      <c r="F76" s="1" t="n"/>
      <c r="G76" s="1" t="n"/>
      <c r="H76" s="1" t="n"/>
      <c r="I76" s="1" t="n"/>
      <c r="J76" s="1" t="n"/>
      <c r="K76" s="1" t="n"/>
      <c r="L76" s="1" t="n"/>
      <c r="M76" s="1" t="n"/>
      <c r="N76" s="1" t="n"/>
      <c r="O76" s="1" t="n"/>
      <c r="P76" s="1" t="n"/>
      <c r="Q76" s="1" t="n"/>
    </row>
    <row r="77" ht="22" customHeight="1">
      <c r="A77" s="5" t="inlineStr">
        <is>
          <t>1021 HK Equity</t>
        </is>
      </c>
      <c r="B77" s="5" t="inlineStr">
        <is>
          <t>HUAYAN ROBOTICS</t>
        </is>
      </c>
      <c r="C77" s="5" t="inlineStr">
        <is>
          <t>Technology</t>
        </is>
      </c>
      <c r="D77" s="8">
        <f>IF($A77="","",BDP($A77,"LAST_PRICE"))</f>
        <v/>
      </c>
      <c r="E77" s="6">
        <f>IFERROR(IF(AND(ISNUMBER(D77),ISNUMBER('Market Data'!B77),'Market Data'!B77&gt;0),D77/'Market Data'!B77-1,""),"")</f>
        <v/>
      </c>
      <c r="F77" s="1" t="n"/>
      <c r="G77" s="1" t="n"/>
      <c r="H77" s="1" t="n"/>
      <c r="I77" s="1" t="n"/>
      <c r="J77" s="1" t="n"/>
      <c r="K77" s="1" t="n"/>
      <c r="L77" s="1" t="n"/>
      <c r="M77" s="1" t="n"/>
      <c r="N77" s="1" t="n"/>
      <c r="O77" s="1" t="n"/>
      <c r="P77" s="1" t="n"/>
      <c r="Q77" s="1" t="n"/>
    </row>
    <row r="78" ht="22" customHeight="1">
      <c r="A78" s="5" t="inlineStr">
        <is>
          <t>9878 HK Equity</t>
        </is>
      </c>
      <c r="B78" s="5" t="inlineStr">
        <is>
          <t>HUITONGDA NET</t>
        </is>
      </c>
      <c r="C78" s="5" t="inlineStr">
        <is>
          <t>Technology</t>
        </is>
      </c>
      <c r="D78" s="8">
        <f>IF($A78="","",BDP($A78,"LAST_PRICE"))</f>
        <v/>
      </c>
      <c r="E78" s="6">
        <f>IFERROR(IF(AND(ISNUMBER(D78),ISNUMBER('Market Data'!B78),'Market Data'!B78&gt;0),D78/'Market Data'!B78-1,""),"")</f>
        <v/>
      </c>
      <c r="F78" s="1" t="n"/>
      <c r="G78" s="1" t="n"/>
      <c r="H78" s="1" t="n"/>
      <c r="I78" s="1" t="n"/>
      <c r="J78" s="1" t="n"/>
      <c r="K78" s="1" t="n"/>
      <c r="L78" s="1" t="n"/>
      <c r="M78" s="1" t="n"/>
      <c r="N78" s="1" t="n"/>
      <c r="O78" s="1" t="n"/>
      <c r="P78" s="1" t="n"/>
      <c r="Q78" s="1" t="n"/>
    </row>
    <row r="79" ht="22" customHeight="1">
      <c r="A79" s="5" t="inlineStr">
        <is>
          <t>9903 HK Equity</t>
        </is>
      </c>
      <c r="B79" s="5" t="inlineStr">
        <is>
          <t>ILUVATAR COREX</t>
        </is>
      </c>
      <c r="C79" s="5" t="inlineStr">
        <is>
          <t>Technology</t>
        </is>
      </c>
      <c r="D79" s="8">
        <f>IF($A79="","",BDP($A79,"LAST_PRICE"))</f>
        <v/>
      </c>
      <c r="E79" s="6">
        <f>IFERROR(IF(AND(ISNUMBER(D79),ISNUMBER('Market Data'!B79),'Market Data'!B79&gt;0),D79/'Market Data'!B79-1,""),"")</f>
        <v/>
      </c>
      <c r="F79" s="1" t="n"/>
      <c r="G79" s="1" t="n"/>
      <c r="H79" s="1" t="n"/>
      <c r="I79" s="1" t="n"/>
      <c r="J79" s="1" t="n"/>
      <c r="K79" s="1" t="n"/>
      <c r="L79" s="1" t="n"/>
      <c r="M79" s="1" t="n"/>
      <c r="N79" s="1" t="n"/>
      <c r="O79" s="1" t="n"/>
      <c r="P79" s="1" t="n"/>
      <c r="Q79" s="1" t="n"/>
    </row>
    <row r="80" ht="22" customHeight="1">
      <c r="A80" s="5" t="inlineStr">
        <is>
          <t>1274 HK Equity</t>
        </is>
      </c>
      <c r="B80" s="5" t="inlineStr">
        <is>
          <t>IMOTIONAUTOTECH</t>
        </is>
      </c>
      <c r="C80" s="5" t="inlineStr">
        <is>
          <t>Technology</t>
        </is>
      </c>
      <c r="D80" s="8">
        <f>IF($A80="","",BDP($A80,"LAST_PRICE"))</f>
        <v/>
      </c>
      <c r="E80" s="6">
        <f>IFERROR(IF(AND(ISNUMBER(D80),ISNUMBER('Market Data'!B80),'Market Data'!B80&gt;0),D80/'Market Data'!B80-1,""),"")</f>
        <v/>
      </c>
      <c r="F80" s="1" t="n"/>
      <c r="G80" s="1" t="n"/>
      <c r="H80" s="1" t="n"/>
      <c r="I80" s="1" t="n"/>
      <c r="J80" s="1" t="n"/>
      <c r="K80" s="1" t="n"/>
      <c r="L80" s="1" t="n"/>
      <c r="M80" s="1" t="n"/>
      <c r="N80" s="1" t="n"/>
      <c r="O80" s="1" t="n"/>
      <c r="P80" s="1" t="n"/>
      <c r="Q80" s="1" t="n"/>
    </row>
    <row r="81" ht="22" customHeight="1">
      <c r="A81" s="5" t="inlineStr">
        <is>
          <t>3223 HK Equity</t>
        </is>
      </c>
      <c r="B81" s="5" t="inlineStr">
        <is>
          <t>INGENIC</t>
        </is>
      </c>
      <c r="C81" s="5" t="inlineStr">
        <is>
          <t>Technology</t>
        </is>
      </c>
      <c r="D81" s="8">
        <f>IF($A81="","",BDP($A81,"LAST_PRICE"))</f>
        <v/>
      </c>
      <c r="E81" s="6">
        <f>IFERROR(IF(AND(ISNUMBER(D81),ISNUMBER('Market Data'!B81),'Market Data'!B81&gt;0),D81/'Market Data'!B81-1,""),"")</f>
        <v/>
      </c>
    </row>
    <row r="82" ht="22" customHeight="1">
      <c r="A82" s="5" t="inlineStr">
        <is>
          <t>2577 HK Equity</t>
        </is>
      </c>
      <c r="B82" s="5" t="inlineStr">
        <is>
          <t>INNOSCIENCE</t>
        </is>
      </c>
      <c r="C82" s="5" t="inlineStr">
        <is>
          <t>Technology</t>
        </is>
      </c>
      <c r="D82" s="8">
        <f>IF($A82="","",BDP($A82,"LAST_PRICE"))</f>
        <v/>
      </c>
      <c r="E82" s="6">
        <f>IFERROR(IF(AND(ISNUMBER(D82),ISNUMBER('Market Data'!B82),'Market Data'!B82&gt;0),D82/'Market Data'!B82-1,""),"")</f>
        <v/>
      </c>
    </row>
    <row r="83" ht="22" customHeight="1">
      <c r="A83" s="5" t="inlineStr">
        <is>
          <t>3696 HK Equity</t>
        </is>
      </c>
      <c r="B83" s="5" t="inlineStr">
        <is>
          <t>INSILICO</t>
        </is>
      </c>
      <c r="C83" s="5" t="inlineStr">
        <is>
          <t>Technology</t>
        </is>
      </c>
      <c r="D83" s="8">
        <f>IF($A83="","",BDP($A83,"LAST_PRICE"))</f>
        <v/>
      </c>
      <c r="E83" s="6">
        <f>IFERROR(IF(AND(ISNUMBER(D83),ISNUMBER('Market Data'!B83),'Market Data'!B83&gt;0),D83/'Market Data'!B83-1,""),"")</f>
        <v/>
      </c>
    </row>
    <row r="84" ht="22" customHeight="1">
      <c r="A84" s="5" t="inlineStr">
        <is>
          <t>7618 HK Equity</t>
        </is>
      </c>
      <c r="B84" s="5" t="inlineStr">
        <is>
          <t>JD INDUSTRIALS</t>
        </is>
      </c>
      <c r="C84" s="5" t="inlineStr">
        <is>
          <t>Technology</t>
        </is>
      </c>
      <c r="D84" s="8">
        <f>IF($A84="","",BDP($A84,"LAST_PRICE"))</f>
        <v/>
      </c>
      <c r="E84" s="6">
        <f>IFERROR(IF(AND(ISNUMBER(D84),ISNUMBER('Market Data'!B84),'Market Data'!B84&gt;0),D84/'Market Data'!B84-1,""),"")</f>
        <v/>
      </c>
    </row>
    <row r="85" ht="22" customHeight="1">
      <c r="A85" s="5" t="inlineStr">
        <is>
          <t>2603 HK Equity</t>
        </is>
      </c>
      <c r="B85" s="5" t="inlineStr">
        <is>
          <t>JIHONG CO</t>
        </is>
      </c>
      <c r="C85" s="5" t="inlineStr">
        <is>
          <t>Technology</t>
        </is>
      </c>
      <c r="D85" s="8">
        <f>IF($A85="","",BDP($A85,"LAST_PRICE"))</f>
        <v/>
      </c>
      <c r="E85" s="6">
        <f>IFERROR(IF(AND(ISNUMBER(D85),ISNUMBER('Market Data'!B85),'Market Data'!B85&gt;0),D85/'Market Data'!B85-1,""),"")</f>
        <v/>
      </c>
    </row>
    <row r="86" ht="22" customHeight="1">
      <c r="A86" s="5" t="inlineStr">
        <is>
          <t>6687 HK Equity</t>
        </is>
      </c>
      <c r="B86" s="5" t="inlineStr">
        <is>
          <t>JST GROUP</t>
        </is>
      </c>
      <c r="C86" s="5" t="inlineStr">
        <is>
          <t>Technology</t>
        </is>
      </c>
      <c r="D86" s="8">
        <f>IF($A86="","",BDP($A86,"LAST_PRICE"))</f>
        <v/>
      </c>
      <c r="E86" s="6">
        <f>IFERROR(IF(AND(ISNUMBER(D86),ISNUMBER('Market Data'!B86),'Market Data'!B86&gt;0),D86/'Market Data'!B86-1,""),"")</f>
        <v/>
      </c>
    </row>
    <row r="87" ht="22" customHeight="1">
      <c r="A87" s="5" t="inlineStr">
        <is>
          <t>2483 HK Equity</t>
        </is>
      </c>
      <c r="B87" s="5" t="inlineStr">
        <is>
          <t>K CASH</t>
        </is>
      </c>
      <c r="C87" s="5" t="inlineStr">
        <is>
          <t>Technology</t>
        </is>
      </c>
      <c r="D87" s="8">
        <f>IF($A87="","",BDP($A87,"LAST_PRICE"))</f>
        <v/>
      </c>
      <c r="E87" s="6">
        <f>IFERROR(IF(AND(ISNUMBER(D87),ISNUMBER('Market Data'!B87),'Market Data'!B87&gt;0),D87/'Market Data'!B87-1,""),"")</f>
        <v/>
      </c>
    </row>
    <row r="88" ht="22" customHeight="1">
      <c r="A88" s="5" t="inlineStr">
        <is>
          <t>3650 HK Equity</t>
        </is>
      </c>
      <c r="B88" s="5" t="inlineStr">
        <is>
          <t>KEEP</t>
        </is>
      </c>
      <c r="C88" s="5" t="inlineStr">
        <is>
          <t>Technology</t>
        </is>
      </c>
      <c r="D88" s="8">
        <f>IF($A88="","",BDP($A88,"LAST_PRICE"))</f>
        <v/>
      </c>
      <c r="E88" s="6">
        <f>IFERROR(IF(AND(ISNUMBER(D88),ISNUMBER('Market Data'!B88),'Market Data'!B88&gt;0),D88/'Market Data'!B88-1,""),"")</f>
        <v/>
      </c>
    </row>
    <row r="89" ht="22" customHeight="1">
      <c r="A89" s="5" t="inlineStr">
        <is>
          <t>2272 HK Equity</t>
        </is>
      </c>
      <c r="B89" s="5" t="inlineStr">
        <is>
          <t>KEYTOP PARKING</t>
        </is>
      </c>
      <c r="C89" s="5" t="inlineStr">
        <is>
          <t>Technology</t>
        </is>
      </c>
      <c r="D89" s="8">
        <f>IF($A89="","",BDP($A89,"LAST_PRICE"))</f>
        <v/>
      </c>
      <c r="E89" s="6">
        <f>IFERROR(IF(AND(ISNUMBER(D89),ISNUMBER('Market Data'!B89),'Market Data'!B89&gt;0),D89/'Market Data'!B89-1,""),"")</f>
        <v/>
      </c>
    </row>
    <row r="90" ht="22" customHeight="1">
      <c r="A90" s="5" t="inlineStr">
        <is>
          <t>3228 HK Equity</t>
        </is>
      </c>
      <c r="B90" s="5" t="inlineStr">
        <is>
          <t>KINWONG</t>
        </is>
      </c>
      <c r="C90" s="5" t="inlineStr">
        <is>
          <t>Technology</t>
        </is>
      </c>
      <c r="D90" s="8">
        <f>IF($A90="","",BDP($A90,"LAST_PRICE"))</f>
        <v/>
      </c>
      <c r="E90" s="6">
        <f>IFERROR(IF(AND(ISNUMBER(D90),ISNUMBER('Market Data'!B90),'Market Data'!B90&gt;0),D90/'Market Data'!B90-1,""),"")</f>
        <v/>
      </c>
    </row>
    <row r="91" ht="22" customHeight="1">
      <c r="A91" s="5" t="inlineStr">
        <is>
          <t>2513 HK Equity</t>
        </is>
      </c>
      <c r="B91" s="5" t="inlineStr">
        <is>
          <t>KNOWLEDGE ATLAS</t>
        </is>
      </c>
      <c r="C91" s="5" t="inlineStr">
        <is>
          <t>Technology</t>
        </is>
      </c>
      <c r="D91" s="8">
        <f>IF($A91="","",BDP($A91,"LAST_PRICE"))</f>
        <v/>
      </c>
      <c r="E91" s="6">
        <f>IFERROR(IF(AND(ISNUMBER(D91),ISNUMBER('Market Data'!B91),'Market Data'!B91&gt;0),D91/'Market Data'!B91-1,""),"")</f>
        <v/>
      </c>
    </row>
    <row r="92" ht="22" customHeight="1">
      <c r="A92" s="5" t="inlineStr">
        <is>
          <t>1024 HK Equity</t>
        </is>
      </c>
      <c r="B92" s="5" t="inlineStr">
        <is>
          <t>KUAISHOU-W</t>
        </is>
      </c>
      <c r="C92" s="5" t="inlineStr">
        <is>
          <t>Technology</t>
        </is>
      </c>
      <c r="D92" s="8">
        <f>IF($A92="","",BDP($A92,"LAST_PRICE"))</f>
        <v/>
      </c>
      <c r="E92" s="6">
        <f>IFERROR(IF(AND(ISNUMBER(D92),ISNUMBER('Market Data'!B92),'Market Data'!B92&gt;0),D92/'Market Data'!B92-1,""),"")</f>
        <v/>
      </c>
    </row>
    <row r="93" ht="22" customHeight="1">
      <c r="A93" s="5" t="inlineStr">
        <is>
          <t>1236 HK Equity</t>
        </is>
      </c>
      <c r="B93" s="5" t="inlineStr">
        <is>
          <t>LDROBOT</t>
        </is>
      </c>
      <c r="C93" s="5" t="inlineStr">
        <is>
          <t>Technology</t>
        </is>
      </c>
      <c r="D93" s="8">
        <f>IF($A93="","",BDP($A93,"LAST_PRICE"))</f>
        <v/>
      </c>
      <c r="E93" s="6">
        <f>IFERROR(IF(AND(ISNUMBER(D93),ISNUMBER('Market Data'!B93),'Market Data'!B93&gt;0),D93/'Market Data'!B93-1,""),"")</f>
        <v/>
      </c>
    </row>
    <row r="94" ht="22" customHeight="1">
      <c r="A94" s="5" t="inlineStr">
        <is>
          <t>6613 HK Equity</t>
        </is>
      </c>
      <c r="B94" s="5" t="inlineStr">
        <is>
          <t>LENS</t>
        </is>
      </c>
      <c r="C94" s="5" t="inlineStr">
        <is>
          <t>Technology</t>
        </is>
      </c>
      <c r="D94" s="8">
        <f>IF($A94="","",BDP($A94,"LAST_PRICE"))</f>
        <v/>
      </c>
      <c r="E94" s="6">
        <f>IFERROR(IF(AND(ISNUMBER(D94),ISNUMBER('Market Data'!B94),'Market Data'!B94&gt;0),D94/'Market Data'!B94-1,""),"")</f>
        <v/>
      </c>
    </row>
    <row r="95" ht="22" customHeight="1">
      <c r="A95" s="5" t="inlineStr">
        <is>
          <t>2598 HK Equity</t>
        </is>
      </c>
      <c r="B95" s="5" t="inlineStr">
        <is>
          <t>LIANLIAN</t>
        </is>
      </c>
      <c r="C95" s="5" t="inlineStr">
        <is>
          <t>Technology</t>
        </is>
      </c>
      <c r="D95" s="8">
        <f>IF($A95="","",BDP($A95,"LAST_PRICE"))</f>
        <v/>
      </c>
      <c r="E95" s="6">
        <f>IFERROR(IF(AND(ISNUMBER(D95),ISNUMBER('Market Data'!B95),'Market Data'!B95&gt;0),D95/'Market Data'!B95-1,""),"")</f>
        <v/>
      </c>
    </row>
    <row r="96" ht="22" customHeight="1">
      <c r="A96" s="5" t="inlineStr">
        <is>
          <t>9856 HK Equity</t>
        </is>
      </c>
      <c r="B96" s="5" t="inlineStr">
        <is>
          <t>LIGENT</t>
        </is>
      </c>
      <c r="C96" s="5" t="inlineStr">
        <is>
          <t>Technology</t>
        </is>
      </c>
      <c r="D96" s="8">
        <f>IF($A96="","",BDP($A96,"LAST_PRICE"))</f>
        <v/>
      </c>
      <c r="E96" s="6">
        <f>IFERROR(IF(AND(ISNUMBER(D96),ISNUMBER('Market Data'!B96),'Market Data'!B96&gt;0),D96/'Market Data'!B96-1,""),"")</f>
        <v/>
      </c>
    </row>
    <row r="97" ht="22" customHeight="1">
      <c r="A97" s="5" t="inlineStr">
        <is>
          <t>1688 HK Equity</t>
        </is>
      </c>
      <c r="B97" s="5" t="inlineStr">
        <is>
          <t>LINGYI ITECH</t>
        </is>
      </c>
      <c r="C97" s="5" t="inlineStr">
        <is>
          <t>Technology</t>
        </is>
      </c>
      <c r="D97" s="8">
        <f>IF($A97="","",BDP($A97,"LAST_PRICE"))</f>
        <v/>
      </c>
      <c r="E97" s="6">
        <f>IFERROR(IF(AND(ISNUMBER(D97),ISNUMBER('Market Data'!B97),'Market Data'!B97&gt;0),D97/'Market Data'!B97-1,""),"")</f>
        <v/>
      </c>
    </row>
    <row r="98" ht="22" customHeight="1">
      <c r="A98" s="5" t="inlineStr">
        <is>
          <t>9959 HK Equity</t>
        </is>
      </c>
      <c r="B98" s="5" t="inlineStr">
        <is>
          <t>LINKLOGIS–W</t>
        </is>
      </c>
      <c r="C98" s="5" t="inlineStr">
        <is>
          <t>Technology</t>
        </is>
      </c>
      <c r="D98" s="8">
        <f>IF($A98="","",BDP($A98,"LAST_PRICE"))</f>
        <v/>
      </c>
      <c r="E98" s="6">
        <f>IFERROR(IF(AND(ISNUMBER(D98),ISNUMBER('Market Data'!B98),'Market Data'!B98&gt;0),D98/'Market Data'!B98-1,""),"")</f>
        <v/>
      </c>
    </row>
    <row r="99" ht="22" customHeight="1">
      <c r="A99" s="5" t="inlineStr">
        <is>
          <t>9611 HK Equity</t>
        </is>
      </c>
      <c r="B99" s="5" t="inlineStr">
        <is>
          <t>LONGCHEER</t>
        </is>
      </c>
      <c r="C99" s="5" t="inlineStr">
        <is>
          <t>Technology</t>
        </is>
      </c>
      <c r="D99" s="8">
        <f>IF($A99="","",BDP($A99,"LAST_PRICE"))</f>
        <v/>
      </c>
      <c r="E99" s="6">
        <f>IFERROR(IF(AND(ISNUMBER(D99),ISNUMBER('Market Data'!B99),'Market Data'!B99&gt;0),D99/'Market Data'!B99-1,""),"")</f>
        <v/>
      </c>
    </row>
    <row r="100" ht="22" customHeight="1">
      <c r="A100" s="5" t="inlineStr">
        <is>
          <t>9976 HK Equity</t>
        </is>
      </c>
      <c r="B100" s="5" t="inlineStr">
        <is>
          <t>LONGSYS</t>
        </is>
      </c>
      <c r="C100" s="5" t="inlineStr">
        <is>
          <t>Technology</t>
        </is>
      </c>
      <c r="D100" s="8">
        <f>IF($A100="","",BDP($A100,"LAST_PRICE"))</f>
        <v/>
      </c>
      <c r="E100" s="6">
        <f>IFERROR(IF(AND(ISNUMBER(D100),ISNUMBER('Market Data'!B100),'Market Data'!B100&gt;0),D100/'Market Data'!B100-1,""),"")</f>
        <v/>
      </c>
    </row>
    <row r="101" ht="22" customHeight="1">
      <c r="A101" s="5" t="inlineStr">
        <is>
          <t>2475 HK Equity</t>
        </is>
      </c>
      <c r="B101" s="5" t="inlineStr">
        <is>
          <t>LUXSHARE ICT</t>
        </is>
      </c>
      <c r="C101" s="5" t="inlineStr">
        <is>
          <t>Technology</t>
        </is>
      </c>
      <c r="D101" s="8">
        <f>IF($A101="","",BDP($A101,"LAST_PRICE"))</f>
        <v/>
      </c>
      <c r="E101" s="6">
        <f>IFERROR(IF(AND(ISNUMBER(D101),ISNUMBER('Market Data'!B101),'Market Data'!B101&gt;0),D101/'Market Data'!B101-1,""),"")</f>
        <v/>
      </c>
    </row>
    <row r="102" ht="22" customHeight="1">
      <c r="A102" s="5" t="inlineStr">
        <is>
          <t>2436 HK Equity</t>
        </is>
      </c>
      <c r="B102" s="5" t="inlineStr">
        <is>
          <t>LX TECHNOLOGY</t>
        </is>
      </c>
      <c r="C102" s="5" t="inlineStr">
        <is>
          <t>Technology</t>
        </is>
      </c>
      <c r="D102" s="8">
        <f>IF($A102="","",BDP($A102,"LAST_PRICE"))</f>
        <v/>
      </c>
      <c r="E102" s="6">
        <f>IFERROR(IF(AND(ISNUMBER(D102),ISNUMBER('Market Data'!B102),'Market Data'!B102&gt;0),D102/'Market Data'!B102-1,""),"")</f>
        <v/>
      </c>
    </row>
    <row r="103" ht="22" customHeight="1">
      <c r="A103" s="5" t="inlineStr">
        <is>
          <t>2501 HK Equity</t>
        </is>
      </c>
      <c r="B103" s="5" t="inlineStr">
        <is>
          <t>MAIYUE TECH</t>
        </is>
      </c>
      <c r="C103" s="5" t="inlineStr">
        <is>
          <t>Technology</t>
        </is>
      </c>
      <c r="D103" s="8">
        <f>IF($A103="","",BDP($A103,"LAST_PRICE"))</f>
        <v/>
      </c>
      <c r="E103" s="6">
        <f>IFERROR(IF(AND(ISNUMBER(D103),ISNUMBER('Market Data'!B103),'Market Data'!B103&gt;0),D103/'Market Data'!B103-1,""),"")</f>
        <v/>
      </c>
    </row>
    <row r="104" ht="22" customHeight="1">
      <c r="A104" s="5" t="inlineStr">
        <is>
          <t>68 HK Equity</t>
        </is>
      </c>
      <c r="B104" s="5" t="inlineStr">
        <is>
          <t>MANYCORE TECH</t>
        </is>
      </c>
      <c r="C104" s="5" t="inlineStr">
        <is>
          <t>Technology</t>
        </is>
      </c>
      <c r="D104" s="8">
        <f>IF($A104="","",BDP($A104,"LAST_PRICE"))</f>
        <v/>
      </c>
      <c r="E104" s="6">
        <f>IFERROR(IF(AND(ISNUMBER(D104),ISNUMBER('Market Data'!B104),'Market Data'!B104&gt;0),D104/'Market Data'!B104-1,""),"")</f>
        <v/>
      </c>
    </row>
    <row r="105" ht="22" customHeight="1">
      <c r="A105" s="5" t="inlineStr">
        <is>
          <t>2556 HK Equity</t>
        </is>
      </c>
      <c r="B105" s="5" t="inlineStr">
        <is>
          <t>MARKETINGFORCE</t>
        </is>
      </c>
      <c r="C105" s="5" t="inlineStr">
        <is>
          <t>Technology</t>
        </is>
      </c>
      <c r="D105" s="8">
        <f>IF($A105="","",BDP($A105,"LAST_PRICE"))</f>
        <v/>
      </c>
      <c r="E105" s="6">
        <f>IFERROR(IF(AND(ISNUMBER(D105),ISNUMBER('Market Data'!B105),'Market Data'!B105&gt;0),D105/'Market Data'!B105-1,""),"")</f>
        <v/>
      </c>
    </row>
    <row r="106" ht="22" customHeight="1">
      <c r="A106" s="5" t="inlineStr">
        <is>
          <t>9615 HK Equity</t>
        </is>
      </c>
      <c r="B106" s="5" t="inlineStr">
        <is>
          <t>MECH-MIND ROBOT</t>
        </is>
      </c>
      <c r="C106" s="5" t="inlineStr">
        <is>
          <t>Technology</t>
        </is>
      </c>
      <c r="D106" s="8">
        <f>IF($A106="","",BDP($A106,"LAST_PRICE"))</f>
        <v/>
      </c>
      <c r="E106" s="6">
        <f>IFERROR(IF(AND(ISNUMBER(D106),ISNUMBER('Market Data'!B106),'Market Data'!B106&gt;0),D106/'Market Data'!B106-1,""),"")</f>
        <v/>
      </c>
    </row>
    <row r="107" ht="22" customHeight="1">
      <c r="A107" s="5" t="inlineStr">
        <is>
          <t>6939 HK Equity</t>
        </is>
      </c>
      <c r="B107" s="5" t="inlineStr">
        <is>
          <t>MEGAIN</t>
        </is>
      </c>
      <c r="C107" s="5" t="inlineStr">
        <is>
          <t>Technology</t>
        </is>
      </c>
      <c r="D107" s="8">
        <f>IF($A107="","",BDP($A107,"LAST_PRICE"))</f>
        <v/>
      </c>
      <c r="E107" s="6">
        <f>IFERROR(IF(AND(ISNUMBER(D107),ISNUMBER('Market Data'!B107),'Market Data'!B107&gt;0),D107/'Market Data'!B107-1,""),"")</f>
        <v/>
      </c>
    </row>
    <row r="108" ht="22" customHeight="1">
      <c r="A108" s="5" t="inlineStr">
        <is>
          <t>3268 HK Equity</t>
        </is>
      </c>
      <c r="B108" s="5" t="inlineStr">
        <is>
          <t>MEIG</t>
        </is>
      </c>
      <c r="C108" s="5" t="inlineStr">
        <is>
          <t>Technology</t>
        </is>
      </c>
      <c r="D108" s="8">
        <f>IF($A108="","",BDP($A108,"LAST_PRICE"))</f>
        <v/>
      </c>
      <c r="E108" s="6">
        <f>IFERROR(IF(AND(ISNUMBER(D108),ISNUMBER('Market Data'!B108),'Market Data'!B108&gt;0),D108/'Market Data'!B108-1,""),"")</f>
        <v/>
      </c>
    </row>
    <row r="109" ht="22" customHeight="1">
      <c r="A109" s="5" t="inlineStr">
        <is>
          <t>2605 HK Equity</t>
        </is>
      </c>
      <c r="B109" s="5" t="inlineStr">
        <is>
          <t>METALIGHT</t>
        </is>
      </c>
      <c r="C109" s="5" t="inlineStr">
        <is>
          <t>Technology</t>
        </is>
      </c>
      <c r="D109" s="8">
        <f>IF($A109="","",BDP($A109,"LAST_PRICE"))</f>
        <v/>
      </c>
      <c r="E109" s="6">
        <f>IFERROR(IF(AND(ISNUMBER(D109),ISNUMBER('Market Data'!B109),'Market Data'!B109&gt;0),D109/'Market Data'!B109-1,""),"")</f>
        <v/>
      </c>
    </row>
    <row r="110" ht="22" customHeight="1">
      <c r="A110" s="5" t="inlineStr">
        <is>
          <t>300 HK Equity</t>
        </is>
      </c>
      <c r="B110" s="5" t="inlineStr">
        <is>
          <t>MIDEA GROUP</t>
        </is>
      </c>
      <c r="C110" s="5" t="inlineStr">
        <is>
          <t>Technology</t>
        </is>
      </c>
      <c r="D110" s="8">
        <f>IF($A110="","",BDP($A110,"LAST_PRICE"))</f>
        <v/>
      </c>
      <c r="E110" s="6">
        <f>IFERROR(IF(AND(ISNUMBER(D110),ISNUMBER('Market Data'!B110),'Market Data'!B110&gt;0),D110/'Market Data'!B110-1,""),"")</f>
        <v/>
      </c>
    </row>
    <row r="111" ht="22" customHeight="1">
      <c r="A111" s="5" t="inlineStr">
        <is>
          <t>2431 HK Equity</t>
        </is>
      </c>
      <c r="B111" s="5" t="inlineStr">
        <is>
          <t>MINIEYE</t>
        </is>
      </c>
      <c r="C111" s="5" t="inlineStr">
        <is>
          <t>Technology</t>
        </is>
      </c>
      <c r="D111" s="8">
        <f>IF($A111="","",BDP($A111,"LAST_PRICE"))</f>
        <v/>
      </c>
      <c r="E111" s="6">
        <f>IFERROR(IF(AND(ISNUMBER(D111),ISNUMBER('Market Data'!B111),'Market Data'!B111&gt;0),D111/'Market Data'!B111-1,""),"")</f>
        <v/>
      </c>
    </row>
    <row r="112" ht="22" customHeight="1">
      <c r="A112" s="5" t="inlineStr">
        <is>
          <t>100 HK Equity</t>
        </is>
      </c>
      <c r="B112" s="5" t="inlineStr">
        <is>
          <t>MINIMAX-WP</t>
        </is>
      </c>
      <c r="C112" s="5" t="inlineStr">
        <is>
          <t>Technology</t>
        </is>
      </c>
      <c r="D112" s="8">
        <f>IF($A112="","",BDP($A112,"LAST_PRICE"))</f>
        <v/>
      </c>
      <c r="E112" s="6">
        <f>IFERROR(IF(AND(ISNUMBER(D112),ISNUMBER('Market Data'!B112),'Market Data'!B112&gt;0),D112/'Market Data'!B112-1,""),"")</f>
        <v/>
      </c>
    </row>
    <row r="113" ht="22" customHeight="1">
      <c r="A113" s="5" t="inlineStr">
        <is>
          <t>2718 HK Equity</t>
        </is>
      </c>
      <c r="B113" s="5" t="inlineStr">
        <is>
          <t>MININGLAMP-W</t>
        </is>
      </c>
      <c r="C113" s="5" t="inlineStr">
        <is>
          <t>Technology</t>
        </is>
      </c>
      <c r="D113" s="8">
        <f>IF($A113="","",BDP($A113,"LAST_PRICE"))</f>
        <v/>
      </c>
      <c r="E113" s="6">
        <f>IFERROR(IF(AND(ISNUMBER(D113),ISNUMBER('Market Data'!B113),'Market Data'!B113&gt;0),D113/'Market Data'!B113-1,""),"")</f>
        <v/>
      </c>
    </row>
    <row r="114" ht="22" customHeight="1">
      <c r="A114" s="5" t="inlineStr">
        <is>
          <t>2438 HK Equity</t>
        </is>
      </c>
      <c r="B114" s="5" t="inlineStr">
        <is>
          <t>MOBVOI</t>
        </is>
      </c>
      <c r="C114" s="5" t="inlineStr">
        <is>
          <t>Technology</t>
        </is>
      </c>
      <c r="D114" s="8">
        <f>IF($A114="","",BDP($A114,"LAST_PRICE"))</f>
        <v/>
      </c>
      <c r="E114" s="6">
        <f>IFERROR(IF(AND(ISNUMBER(D114),ISNUMBER('Market Data'!B114),'Market Data'!B114&gt;0),D114/'Market Data'!B114-1,""),"")</f>
        <v/>
      </c>
    </row>
    <row r="115" ht="22" customHeight="1">
      <c r="A115" s="5" t="inlineStr">
        <is>
          <t>6880 HK Equity</t>
        </is>
      </c>
      <c r="B115" s="5" t="inlineStr">
        <is>
          <t>MOMENTA-W</t>
        </is>
      </c>
      <c r="C115" s="5" t="inlineStr">
        <is>
          <t>Technology</t>
        </is>
      </c>
      <c r="D115" s="8">
        <f>IF($A115="","",BDP($A115,"LAST_PRICE"))</f>
        <v/>
      </c>
      <c r="E115" s="6">
        <f>IFERROR(IF(AND(ISNUMBER(D115),ISNUMBER('Market Data'!B115),'Market Data'!B115&gt;0),D115/'Market Data'!B115-1,""),"")</f>
        <v/>
      </c>
    </row>
    <row r="116" ht="22" customHeight="1">
      <c r="A116" s="5" t="inlineStr">
        <is>
          <t>6809 HK Equity</t>
        </is>
      </c>
      <c r="B116" s="5" t="inlineStr">
        <is>
          <t>MONTAGE TECH</t>
        </is>
      </c>
      <c r="C116" s="5" t="inlineStr">
        <is>
          <t>Technology</t>
        </is>
      </c>
      <c r="D116" s="8">
        <f>IF($A116="","",BDP($A116,"LAST_PRICE"))</f>
        <v/>
      </c>
      <c r="E116" s="6">
        <f>IFERROR(IF(AND(ISNUMBER(D116),ISNUMBER('Market Data'!B116),'Market Data'!B116&gt;0),D116/'Market Data'!B116-1,""),"")</f>
        <v/>
      </c>
    </row>
    <row r="117" ht="22" customHeight="1">
      <c r="A117" s="5" t="inlineStr">
        <is>
          <t>2249 HK Equity</t>
        </is>
      </c>
      <c r="B117" s="5" t="inlineStr">
        <is>
          <t>NEXCHIP</t>
        </is>
      </c>
      <c r="C117" s="5" t="inlineStr">
        <is>
          <t>Technology</t>
        </is>
      </c>
      <c r="D117" s="8">
        <f>IF($A117="","",BDP($A117,"LAST_PRICE"))</f>
        <v/>
      </c>
      <c r="E117" s="6">
        <f>IFERROR(IF(AND(ISNUMBER(D117),ISNUMBER('Market Data'!B117),'Market Data'!B117&gt;0),D117/'Market Data'!B117-1,""),"")</f>
        <v/>
      </c>
    </row>
    <row r="118" ht="22" customHeight="1">
      <c r="A118" s="5" t="inlineStr">
        <is>
          <t>2676 HK Equity</t>
        </is>
      </c>
      <c r="B118" s="5" t="inlineStr">
        <is>
          <t>NOVOSENSE</t>
        </is>
      </c>
      <c r="C118" s="5" t="inlineStr">
        <is>
          <t>Technology</t>
        </is>
      </c>
      <c r="D118" s="8">
        <f>IF($A118="","",BDP($A118,"LAST_PRICE"))</f>
        <v/>
      </c>
      <c r="E118" s="6">
        <f>IFERROR(IF(AND(ISNUMBER(D118),ISNUMBER('Market Data'!B118),'Market Data'!B118&gt;0),D118/'Market Data'!B118-1,""),"")</f>
        <v/>
      </c>
    </row>
    <row r="119" ht="22" customHeight="1">
      <c r="A119" s="5" t="inlineStr">
        <is>
          <t>2701 HK Equity</t>
        </is>
      </c>
      <c r="B119" s="5" t="inlineStr">
        <is>
          <t>NSING TECH</t>
        </is>
      </c>
      <c r="C119" s="5" t="inlineStr">
        <is>
          <t>Technology</t>
        </is>
      </c>
      <c r="D119" s="8">
        <f>IF($A119="","",BDP($A119,"LAST_PRICE"))</f>
        <v/>
      </c>
      <c r="E119" s="6">
        <f>IFERROR(IF(AND(ISNUMBER(D119),ISNUMBER('Market Data'!B119),'Market Data'!B119&gt;0),D119/'Market Data'!B119-1,""),"")</f>
        <v/>
      </c>
    </row>
    <row r="120" ht="22" customHeight="1">
      <c r="A120" s="5" t="inlineStr">
        <is>
          <t>2635 HK Equity</t>
        </is>
      </c>
      <c r="B120" s="5" t="inlineStr">
        <is>
          <t>NUOBIKAN</t>
        </is>
      </c>
      <c r="C120" s="5" t="inlineStr">
        <is>
          <t>Technology</t>
        </is>
      </c>
      <c r="D120" s="8">
        <f>IF($A120="","",BDP($A120,"LAST_PRICE"))</f>
        <v/>
      </c>
      <c r="E120" s="6">
        <f>IFERROR(IF(AND(ISNUMBER(D120),ISNUMBER('Market Data'!B120),'Market Data'!B120&gt;0),D120/'Market Data'!B120-1,""),"")</f>
        <v/>
      </c>
    </row>
    <row r="121" ht="22" customHeight="1">
      <c r="A121" s="5" t="inlineStr">
        <is>
          <t>501 HK Equity</t>
        </is>
      </c>
      <c r="B121" s="5" t="inlineStr">
        <is>
          <t>OMNIVISION</t>
        </is>
      </c>
      <c r="C121" s="5" t="inlineStr">
        <is>
          <t>Technology</t>
        </is>
      </c>
      <c r="D121" s="8">
        <f>IF($A121="","",BDP($A121,"LAST_PRICE"))</f>
        <v/>
      </c>
      <c r="E121" s="6">
        <f>IFERROR(IF(AND(ISNUMBER(D121),ISNUMBER('Market Data'!B121),'Market Data'!B121&gt;0),D121/'Market Data'!B121-1,""),"")</f>
        <v/>
      </c>
    </row>
    <row r="122" ht="22" customHeight="1">
      <c r="A122" s="5" t="inlineStr">
        <is>
          <t>6600 HK Equity</t>
        </is>
      </c>
      <c r="B122" s="5" t="inlineStr">
        <is>
          <t>ONEROBOTICS</t>
        </is>
      </c>
      <c r="C122" s="5" t="inlineStr">
        <is>
          <t>Technology</t>
        </is>
      </c>
      <c r="D122" s="8">
        <f>IF($A122="","",BDP($A122,"LAST_PRICE"))</f>
        <v/>
      </c>
      <c r="E122" s="6">
        <f>IFERROR(IF(AND(ISNUMBER(D122),ISNUMBER('Market Data'!B122),'Market Data'!B122&gt;0),D122/'Market Data'!B122-1,""),"")</f>
        <v/>
      </c>
    </row>
    <row r="123" ht="22" customHeight="1">
      <c r="A123" s="5" t="inlineStr">
        <is>
          <t>1473 HK Equity</t>
        </is>
      </c>
      <c r="B123" s="5" t="inlineStr">
        <is>
          <t>PANGAEA CONNECT</t>
        </is>
      </c>
      <c r="C123" s="5" t="inlineStr">
        <is>
          <t>Technology</t>
        </is>
      </c>
      <c r="D123" s="8">
        <f>IF($A123="","",BDP($A123,"LAST_PRICE"))</f>
        <v/>
      </c>
      <c r="E123" s="6">
        <f>IFERROR(IF(AND(ISNUMBER(D123),ISNUMBER('Market Data'!B123),'Market Data'!B123&gt;0),D123/'Market Data'!B123-1,""),"")</f>
        <v/>
      </c>
    </row>
    <row r="124" ht="22" customHeight="1">
      <c r="A124" s="5" t="inlineStr">
        <is>
          <t>2026 HK Equity</t>
        </is>
      </c>
      <c r="B124" s="5" t="inlineStr">
        <is>
          <t>PONY-W</t>
        </is>
      </c>
      <c r="C124" s="5" t="inlineStr">
        <is>
          <t>Technology</t>
        </is>
      </c>
      <c r="D124" s="8">
        <f>IF($A124="","",BDP($A124,"LAST_PRICE"))</f>
        <v/>
      </c>
      <c r="E124" s="6">
        <f>IFERROR(IF(AND(ISNUMBER(D124),ISNUMBER('Market Data'!B124),'Market Data'!B124&gt;0),D124/'Market Data'!B124-1,""),"")</f>
        <v/>
      </c>
    </row>
    <row r="125" ht="22" customHeight="1">
      <c r="A125" s="5" t="inlineStr">
        <is>
          <t>2567 HK Equity</t>
        </is>
      </c>
      <c r="B125" s="5" t="inlineStr">
        <is>
          <t>QINIU</t>
        </is>
      </c>
      <c r="C125" s="5" t="inlineStr">
        <is>
          <t>Technology</t>
        </is>
      </c>
      <c r="D125" s="8">
        <f>IF($A125="","",BDP($A125,"LAST_PRICE"))</f>
        <v/>
      </c>
      <c r="E125" s="6">
        <f>IFERROR(IF(AND(ISNUMBER(D125),ISNUMBER('Market Data'!B125),'Market Data'!B125&gt;0),D125/'Market Data'!B125-1,""),"")</f>
        <v/>
      </c>
    </row>
    <row r="126" ht="22" customHeight="1">
      <c r="A126" s="5" t="inlineStr">
        <is>
          <t>2685 HK Equity</t>
        </is>
      </c>
      <c r="B126" s="5" t="inlineStr">
        <is>
          <t>QUANTGROUP</t>
        </is>
      </c>
      <c r="C126" s="5" t="inlineStr">
        <is>
          <t>Technology</t>
        </is>
      </c>
      <c r="D126" s="8">
        <f>IF($A126="","",BDP($A126,"LAST_PRICE"))</f>
        <v/>
      </c>
      <c r="E126" s="6">
        <f>IFERROR(IF(AND(ISNUMBER(D126),ISNUMBER('Market Data'!B126),'Market Data'!B126&gt;0),D126/'Market Data'!B126-1,""),"")</f>
        <v/>
      </c>
    </row>
    <row r="127" ht="22" customHeight="1">
      <c r="A127" s="5" t="inlineStr">
        <is>
          <t>2228 HK Equity</t>
        </is>
      </c>
      <c r="B127" s="5" t="inlineStr">
        <is>
          <t>QUANTUMPH-P</t>
        </is>
      </c>
      <c r="C127" s="5" t="inlineStr">
        <is>
          <t>Technology</t>
        </is>
      </c>
      <c r="D127" s="8">
        <f>IF($A127="","",BDP($A127,"LAST_PRICE"))</f>
        <v/>
      </c>
      <c r="E127" s="6">
        <f>IFERROR(IF(AND(ISNUMBER(D127),ISNUMBER('Market Data'!B127),'Market Data'!B127&gt;0),D127/'Market Data'!B127-1,""),"")</f>
        <v/>
      </c>
    </row>
    <row r="128" ht="22" customHeight="1">
      <c r="A128" s="5" t="inlineStr">
        <is>
          <t>2385 HK Equity</t>
        </is>
      </c>
      <c r="B128" s="5" t="inlineStr">
        <is>
          <t>READBOY</t>
        </is>
      </c>
      <c r="C128" s="5" t="inlineStr">
        <is>
          <t>Technology</t>
        </is>
      </c>
      <c r="D128" s="8">
        <f>IF($A128="","",BDP($A128,"LAST_PRICE"))</f>
        <v/>
      </c>
      <c r="E128" s="6">
        <f>IFERROR(IF(AND(ISNUMBER(D128),ISNUMBER('Market Data'!B128),'Market Data'!B128&gt;0),D128/'Market Data'!B128-1,""),"")</f>
        <v/>
      </c>
    </row>
    <row r="129" ht="22" customHeight="1">
      <c r="A129" s="5" t="inlineStr">
        <is>
          <t>7656 HK Equity</t>
        </is>
      </c>
      <c r="B129" s="5" t="inlineStr">
        <is>
          <t>RECONOVA</t>
        </is>
      </c>
      <c r="C129" s="5" t="inlineStr">
        <is>
          <t>Technology</t>
        </is>
      </c>
      <c r="D129" s="8">
        <f>IF($A129="","",BDP($A129,"LAST_PRICE"))</f>
        <v/>
      </c>
      <c r="E129" s="6">
        <f>IFERROR(IF(AND(ISNUMBER(D129),ISNUMBER('Market Data'!B129),'Market Data'!B129&gt;0),D129/'Market Data'!B129-1,""),"")</f>
        <v/>
      </c>
    </row>
    <row r="130" ht="22" customHeight="1">
      <c r="A130" s="5" t="inlineStr">
        <is>
          <t>2498 HK Equity</t>
        </is>
      </c>
      <c r="B130" s="5" t="inlineStr">
        <is>
          <t>ROBOSENSE</t>
        </is>
      </c>
      <c r="C130" s="5" t="inlineStr">
        <is>
          <t>Technology</t>
        </is>
      </c>
      <c r="D130" s="8">
        <f>IF($A130="","",BDP($A130,"LAST_PRICE"))</f>
        <v/>
      </c>
      <c r="E130" s="6">
        <f>IFERROR(IF(AND(ISNUMBER(D130),ISNUMBER('Market Data'!B130),'Market Data'!B130&gt;0),D130/'Market Data'!B130-1,""),"")</f>
        <v/>
      </c>
    </row>
    <row r="131" ht="22" customHeight="1">
      <c r="A131" s="5" t="inlineStr">
        <is>
          <t>3757 HK Equity</t>
        </is>
      </c>
      <c r="B131" s="5" t="inlineStr">
        <is>
          <t>ROBOTECHNIK</t>
        </is>
      </c>
      <c r="C131" s="5" t="inlineStr">
        <is>
          <t>Technology</t>
        </is>
      </c>
      <c r="D131" s="8">
        <f>IF($A131="","",BDP($A131,"LAST_PRICE"))</f>
        <v/>
      </c>
      <c r="E131" s="6">
        <f>IFERROR(IF(AND(ISNUMBER(D131),ISNUMBER('Market Data'!B131),'Market Data'!B131&gt;0),D131/'Market Data'!B131-1,""),"")</f>
        <v/>
      </c>
    </row>
    <row r="132" ht="22" customHeight="1">
      <c r="A132" s="5" t="inlineStr">
        <is>
          <t>6871 HK Equity</t>
        </is>
      </c>
      <c r="B132" s="5" t="inlineStr">
        <is>
          <t>ROBOTPHOENIX</t>
        </is>
      </c>
      <c r="C132" s="5" t="inlineStr">
        <is>
          <t>Technology</t>
        </is>
      </c>
      <c r="D132" s="8">
        <f>IF($A132="","",BDP($A132,"LAST_PRICE"))</f>
        <v/>
      </c>
      <c r="E132" s="6">
        <f>IFERROR(IF(AND(ISNUMBER(D132),ISNUMBER('Market Data'!B132),'Market Data'!B132&gt;0),D132/'Market Data'!B132-1,""),"")</f>
        <v/>
      </c>
    </row>
    <row r="133" ht="22" customHeight="1">
      <c r="A133" s="5" t="inlineStr">
        <is>
          <t>3752 HK Equity</t>
        </is>
      </c>
      <c r="B133" s="5" t="inlineStr">
        <is>
          <t>ROKAE ROBOTICS</t>
        </is>
      </c>
      <c r="C133" s="5" t="inlineStr">
        <is>
          <t>Technology</t>
        </is>
      </c>
      <c r="D133" s="8">
        <f>IF($A133="","",BDP($A133,"LAST_PRICE"))</f>
        <v/>
      </c>
      <c r="E133" s="6">
        <f>IFERROR(IF(AND(ISNUMBER(D133),ISNUMBER('Market Data'!B133),'Market Data'!B133&gt;0),D133/'Market Data'!B133-1,""),"")</f>
        <v/>
      </c>
    </row>
    <row r="134" ht="22" customHeight="1">
      <c r="A134" s="5" t="inlineStr">
        <is>
          <t>9881 HK Equity</t>
        </is>
      </c>
      <c r="B134" s="5" t="inlineStr">
        <is>
          <t>RONGTA TECH</t>
        </is>
      </c>
      <c r="C134" s="5" t="inlineStr">
        <is>
          <t>Technology</t>
        </is>
      </c>
      <c r="D134" s="8">
        <f>IF($A134="","",BDP($A134,"LAST_PRICE"))</f>
        <v/>
      </c>
      <c r="E134" s="6">
        <f>IFERROR(IF(AND(ISNUMBER(D134),ISNUMBER('Market Data'!B134),'Market Data'!B134&gt;0),D134/'Market Data'!B134-1,""),"")</f>
        <v/>
      </c>
    </row>
    <row r="135" ht="22" customHeight="1">
      <c r="A135" s="5" t="inlineStr">
        <is>
          <t>901 HK Equity</t>
        </is>
      </c>
      <c r="B135" s="5" t="inlineStr">
        <is>
          <t>SDMC</t>
        </is>
      </c>
      <c r="C135" s="5" t="inlineStr">
        <is>
          <t>Technology</t>
        </is>
      </c>
      <c r="D135" s="8">
        <f>IF($A135="","",BDP($A135,"LAST_PRICE"))</f>
        <v/>
      </c>
      <c r="E135" s="6">
        <f>IFERROR(IF(AND(ISNUMBER(D135),ISNUMBER('Market Data'!B135),'Market Data'!B135&gt;0),D135/'Market Data'!B135-1,""),"")</f>
        <v/>
      </c>
    </row>
    <row r="136" ht="22" customHeight="1">
      <c r="A136" s="5" t="inlineStr">
        <is>
          <t>6106 HK Equity</t>
        </is>
      </c>
      <c r="B136" s="5" t="inlineStr">
        <is>
          <t>SEER TECH</t>
        </is>
      </c>
      <c r="C136" s="5" t="inlineStr">
        <is>
          <t>Technology</t>
        </is>
      </c>
      <c r="D136" s="8">
        <f>IF($A136="","",BDP($A136,"LAST_PRICE"))</f>
        <v/>
      </c>
      <c r="E136" s="6">
        <f>IFERROR(IF(AND(ISNUMBER(D136),ISNUMBER('Market Data'!B136),'Market Data'!B136&gt;0),D136/'Market Data'!B136-1,""),"")</f>
        <v/>
      </c>
    </row>
    <row r="137" ht="22" customHeight="1">
      <c r="A137" s="5" t="inlineStr">
        <is>
          <t>6675 HK Equity</t>
        </is>
      </c>
      <c r="B137" s="5" t="inlineStr">
        <is>
          <t>SENASIC</t>
        </is>
      </c>
      <c r="C137" s="5" t="inlineStr">
        <is>
          <t>Technology</t>
        </is>
      </c>
      <c r="D137" s="8">
        <f>IF($A137="","",BDP($A137,"LAST_PRICE"))</f>
        <v/>
      </c>
      <c r="E137" s="6">
        <f>IFERROR(IF(AND(ISNUMBER(D137),ISNUMBER('Market Data'!B137),'Market Data'!B137&gt;0),D137/'Market Data'!B137-1,""),"")</f>
        <v/>
      </c>
    </row>
    <row r="138" ht="22" customHeight="1">
      <c r="A138" s="5" t="inlineStr">
        <is>
          <t>20 HK Equity</t>
        </is>
      </c>
      <c r="B138" s="5" t="inlineStr">
        <is>
          <t>SENSETIME-W</t>
        </is>
      </c>
      <c r="C138" s="5" t="inlineStr">
        <is>
          <t>Technology</t>
        </is>
      </c>
      <c r="D138" s="8">
        <f>IF($A138="","",BDP($A138,"LAST_PRICE"))</f>
        <v/>
      </c>
      <c r="E138" s="6">
        <f>IFERROR(IF(AND(ISNUMBER(D138),ISNUMBER('Market Data'!B138),'Market Data'!B138&gt;0),D138/'Market Data'!B138-1,""),"")</f>
        <v/>
      </c>
    </row>
    <row r="139" ht="22" customHeight="1">
      <c r="A139" s="5" t="inlineStr">
        <is>
          <t>3661 HK Equity</t>
        </is>
      </c>
      <c r="B139" s="5" t="inlineStr">
        <is>
          <t>SG MICRO</t>
        </is>
      </c>
      <c r="C139" s="5" t="inlineStr">
        <is>
          <t>Technology</t>
        </is>
      </c>
      <c r="D139" s="8">
        <f>IF($A139="","",BDP($A139,"LAST_PRICE"))</f>
        <v/>
      </c>
      <c r="E139" s="6">
        <f>IFERROR(IF(AND(ISNUMBER(D139),ISNUMBER('Market Data'!B139),'Market Data'!B139&gt;0),D139/'Market Data'!B139-1,""),"")</f>
        <v/>
      </c>
    </row>
    <row r="140" ht="22" customHeight="1">
      <c r="A140" s="5" t="inlineStr">
        <is>
          <t>2631 HK Equity</t>
        </is>
      </c>
      <c r="B140" s="5" t="inlineStr">
        <is>
          <t>SICC</t>
        </is>
      </c>
      <c r="C140" s="5" t="inlineStr">
        <is>
          <t>Technology</t>
        </is>
      </c>
      <c r="D140" s="8">
        <f>IF($A140="","",BDP($A140,"LAST_PRICE"))</f>
        <v/>
      </c>
      <c r="E140" s="6">
        <f>IFERROR(IF(AND(ISNUMBER(D140),ISNUMBER('Market Data'!B140),'Market Data'!B140&gt;0),D140/'Market Data'!B140-1,""),"")</f>
        <v/>
      </c>
    </row>
    <row r="141" ht="22" customHeight="1">
      <c r="A141" s="5" t="inlineStr">
        <is>
          <t>6810 HK Equity</t>
        </is>
      </c>
      <c r="B141" s="5" t="inlineStr">
        <is>
          <t>SUNMI TECH-W</t>
        </is>
      </c>
      <c r="C141" s="5" t="inlineStr">
        <is>
          <t>Technology</t>
        </is>
      </c>
      <c r="D141" s="8">
        <f>IF($A141="","",BDP($A141,"LAST_PRICE"))</f>
        <v/>
      </c>
      <c r="E141" s="6">
        <f>IFERROR(IF(AND(ISNUMBER(D141),ISNUMBER('Market Data'!B141),'Market Data'!B141&gt;0),D141/'Market Data'!B141-1,""),"")</f>
        <v/>
      </c>
    </row>
    <row r="142" ht="22" customHeight="1">
      <c r="A142" s="5" t="inlineStr">
        <is>
          <t>2576 HK Equity</t>
        </is>
      </c>
      <c r="B142" s="5" t="inlineStr">
        <is>
          <t>TAIMEI TECH</t>
        </is>
      </c>
      <c r="C142" s="5" t="inlineStr">
        <is>
          <t>Technology</t>
        </is>
      </c>
      <c r="D142" s="8">
        <f>IF($A142="","",BDP($A142,"LAST_PRICE"))</f>
        <v/>
      </c>
      <c r="E142" s="6">
        <f>IFERROR(IF(AND(ISNUMBER(D142),ISNUMBER('Market Data'!B142),'Market Data'!B142&gt;0),D142/'Market Data'!B142-1,""),"")</f>
        <v/>
      </c>
    </row>
    <row r="143" ht="22" customHeight="1">
      <c r="A143" s="5" t="inlineStr">
        <is>
          <t>2167 HK Equity</t>
        </is>
      </c>
      <c r="B143" s="5" t="inlineStr">
        <is>
          <t>TI CLOUD</t>
        </is>
      </c>
      <c r="C143" s="5" t="inlineStr">
        <is>
          <t>Technology</t>
        </is>
      </c>
      <c r="D143" s="8">
        <f>IF($A143="","",BDP($A143,"LAST_PRICE"))</f>
        <v/>
      </c>
      <c r="E143" s="6">
        <f>IFERROR(IF(AND(ISNUMBER(D143),ISNUMBER('Market Data'!B143),'Market Data'!B143&gt;0),D143/'Market Data'!B143-1,""),"")</f>
        <v/>
      </c>
    </row>
    <row r="144" ht="22" customHeight="1">
      <c r="A144" s="5" t="inlineStr">
        <is>
          <t>2479 HK Equity</t>
        </is>
      </c>
      <c r="B144" s="5" t="inlineStr">
        <is>
          <t>TIANJUDIHE</t>
        </is>
      </c>
      <c r="C144" s="5" t="inlineStr">
        <is>
          <t>Technology</t>
        </is>
      </c>
      <c r="D144" s="8">
        <f>IF($A144="","",BDP($A144,"LAST_PRICE"))</f>
        <v/>
      </c>
      <c r="E144" s="6">
        <f>IFERROR(IF(AND(ISNUMBER(D144),ISNUMBER('Market Data'!B144),'Market Data'!B144&gt;0),D144/'Market Data'!B144-1,""),"")</f>
        <v/>
      </c>
    </row>
    <row r="145" ht="22" customHeight="1">
      <c r="A145" s="5" t="inlineStr">
        <is>
          <t>2658 HK Equity</t>
        </is>
      </c>
      <c r="B145" s="5" t="inlineStr">
        <is>
          <t>TIANYU SEMI</t>
        </is>
      </c>
      <c r="C145" s="5" t="inlineStr">
        <is>
          <t>Technology</t>
        </is>
      </c>
      <c r="D145" s="8">
        <f>IF($A145="","",BDP($A145,"LAST_PRICE"))</f>
        <v/>
      </c>
      <c r="E145" s="6">
        <f>IFERROR(IF(AND(ISNUMBER(D145),ISNUMBER('Market Data'!B145),'Market Data'!B145&gt;0),D145/'Market Data'!B145-1,""),"")</f>
        <v/>
      </c>
    </row>
    <row r="146" ht="22" customHeight="1">
      <c r="A146" s="5" t="inlineStr">
        <is>
          <t>6727 HK Equity</t>
        </is>
      </c>
      <c r="B146" s="5" t="inlineStr">
        <is>
          <t>TRANSWARP</t>
        </is>
      </c>
      <c r="C146" s="5" t="inlineStr">
        <is>
          <t>Technology</t>
        </is>
      </c>
      <c r="D146" s="8">
        <f>IF($A146="","",BDP($A146,"LAST_PRICE"))</f>
        <v/>
      </c>
      <c r="E146" s="6">
        <f>IFERROR(IF(AND(ISNUMBER(D146),ISNUMBER('Market Data'!B146),'Market Data'!B146&gt;0),D146/'Market Data'!B146-1,""),"")</f>
        <v/>
      </c>
    </row>
    <row r="147" ht="22" customHeight="1">
      <c r="A147" s="5" t="inlineStr">
        <is>
          <t>9961 HK Equity</t>
        </is>
      </c>
      <c r="B147" s="5" t="inlineStr">
        <is>
          <t>TRIP.COM-S</t>
        </is>
      </c>
      <c r="C147" s="5" t="inlineStr">
        <is>
          <t>Technology</t>
        </is>
      </c>
      <c r="D147" s="8">
        <f>IF($A147="","",BDP($A147,"LAST_PRICE"))</f>
        <v/>
      </c>
      <c r="E147" s="6">
        <f>IFERROR(IF(AND(ISNUMBER(D147),ISNUMBER('Market Data'!B147),'Market Data'!B147&gt;0),D147/'Market Data'!B147-1,""),"")</f>
        <v/>
      </c>
    </row>
    <row r="148" ht="22" customHeight="1">
      <c r="A148" s="5" t="inlineStr">
        <is>
          <t>9690 HK Equity</t>
        </is>
      </c>
      <c r="B148" s="5" t="inlineStr">
        <is>
          <t>TUHU-W</t>
        </is>
      </c>
      <c r="C148" s="5" t="inlineStr">
        <is>
          <t>Technology</t>
        </is>
      </c>
      <c r="D148" s="8">
        <f>IF($A148="","",BDP($A148,"LAST_PRICE"))</f>
        <v/>
      </c>
      <c r="E148" s="6">
        <f>IFERROR(IF(AND(ISNUMBER(D148),ISNUMBER('Market Data'!B148),'Market Data'!B148&gt;0),D148/'Market Data'!B148-1,""),"")</f>
        <v/>
      </c>
    </row>
    <row r="149" ht="22" customHeight="1">
      <c r="A149" s="5" t="inlineStr">
        <is>
          <t>2391 HK Equity</t>
        </is>
      </c>
      <c r="B149" s="5" t="inlineStr">
        <is>
          <t>TUYA-W</t>
        </is>
      </c>
      <c r="C149" s="5" t="inlineStr">
        <is>
          <t>Technology</t>
        </is>
      </c>
      <c r="D149" s="8">
        <f>IF($A149="","",BDP($A149,"LAST_PRICE"))</f>
        <v/>
      </c>
      <c r="E149" s="6">
        <f>IFERROR(IF(AND(ISNUMBER(D149),ISNUMBER('Market Data'!B149),'Market Data'!B149&gt;0),D149/'Market Data'!B149-1,""),"")</f>
        <v/>
      </c>
    </row>
    <row r="150" ht="22" customHeight="1">
      <c r="A150" s="5" t="inlineStr">
        <is>
          <t>9880 HK Equity</t>
        </is>
      </c>
      <c r="B150" s="5" t="inlineStr">
        <is>
          <t>UBTECH ROBOTICS</t>
        </is>
      </c>
      <c r="C150" s="5" t="inlineStr">
        <is>
          <t>Technology</t>
        </is>
      </c>
      <c r="D150" s="8">
        <f>IF($A150="","",BDP($A150,"LAST_PRICE"))</f>
        <v/>
      </c>
      <c r="E150" s="6">
        <f>IFERROR(IF(AND(ISNUMBER(D150),ISNUMBER('Market Data'!B150),'Market Data'!B150&gt;0),D150/'Market Data'!B150-1,""),"")</f>
        <v/>
      </c>
    </row>
    <row r="151" ht="22" customHeight="1">
      <c r="A151" s="5" t="inlineStr">
        <is>
          <t>1511 HK Equity</t>
        </is>
      </c>
      <c r="B151" s="5" t="inlineStr">
        <is>
          <t>UISEE TECH</t>
        </is>
      </c>
      <c r="C151" s="5" t="inlineStr">
        <is>
          <t>Technology</t>
        </is>
      </c>
      <c r="D151" s="8">
        <f>IF($A151="","",BDP($A151,"LAST_PRICE"))</f>
        <v/>
      </c>
      <c r="E151" s="6">
        <f>IFERROR(IF(AND(ISNUMBER(D151),ISNUMBER('Market Data'!B151),'Market Data'!B151&gt;0),D151/'Market Data'!B151-1,""),"")</f>
        <v/>
      </c>
    </row>
    <row r="152" ht="22" customHeight="1">
      <c r="A152" s="5" t="inlineStr">
        <is>
          <t>9678 HK Equity</t>
        </is>
      </c>
      <c r="B152" s="5" t="inlineStr">
        <is>
          <t>UNISOUND</t>
        </is>
      </c>
      <c r="C152" s="5" t="inlineStr">
        <is>
          <t>Technology</t>
        </is>
      </c>
      <c r="D152" s="8">
        <f>IF($A152="","",BDP($A152,"LAST_PRICE"))</f>
        <v/>
      </c>
      <c r="E152" s="6">
        <f>IFERROR(IF(AND(ISNUMBER(D152),ISNUMBER('Market Data'!B152),'Market Data'!B152&gt;0),D152/'Market Data'!B152-1,""),"")</f>
        <v/>
      </c>
    </row>
    <row r="153" ht="22" customHeight="1">
      <c r="A153" s="5" t="inlineStr">
        <is>
          <t>2177 HK Equity</t>
        </is>
      </c>
      <c r="B153" s="5" t="inlineStr">
        <is>
          <t>UNQ HOLDINGS</t>
        </is>
      </c>
      <c r="C153" s="5" t="inlineStr">
        <is>
          <t>Technology</t>
        </is>
      </c>
      <c r="D153" s="8">
        <f>IF($A153="","",BDP($A153,"LAST_PRICE"))</f>
        <v/>
      </c>
      <c r="E153" s="6">
        <f>IFERROR(IF(AND(ISNUMBER(D153),ISNUMBER('Market Data'!B153),'Market Data'!B153&gt;0),D153/'Market Data'!B153-1,""),"")</f>
        <v/>
      </c>
    </row>
    <row r="154" ht="22" customHeight="1">
      <c r="A154" s="5" t="inlineStr">
        <is>
          <t>2476 HK Equity</t>
        </is>
      </c>
      <c r="B154" s="5" t="inlineStr">
        <is>
          <t>VGT</t>
        </is>
      </c>
      <c r="C154" s="5" t="inlineStr">
        <is>
          <t>Technology</t>
        </is>
      </c>
      <c r="D154" s="8">
        <f>IF($A154="","",BDP($A154,"LAST_PRICE"))</f>
        <v/>
      </c>
      <c r="E154" s="6">
        <f>IFERROR(IF(AND(ISNUMBER(D154),ISNUMBER('Market Data'!B154),'Market Data'!B154&gt;0),D154/'Market Data'!B154-1,""),"")</f>
        <v/>
      </c>
    </row>
    <row r="155" ht="22" customHeight="1">
      <c r="A155" s="5" t="inlineStr">
        <is>
          <t>3310 HK Equity</t>
        </is>
      </c>
      <c r="B155" s="5" t="inlineStr">
        <is>
          <t>VIEWTRIX TECH</t>
        </is>
      </c>
      <c r="C155" s="5" t="inlineStr">
        <is>
          <t>Technology</t>
        </is>
      </c>
      <c r="D155" s="8">
        <f>IF($A155="","",BDP($A155,"LAST_PRICE"))</f>
        <v/>
      </c>
      <c r="E155" s="6">
        <f>IFERROR(IF(AND(ISNUMBER(D155),ISNUMBER('Market Data'!B155),'Market Data'!B155&gt;0),D155/'Market Data'!B155-1,""),"")</f>
        <v/>
      </c>
    </row>
    <row r="156" ht="22" customHeight="1">
      <c r="A156" s="5" t="inlineStr">
        <is>
          <t>9898 HK Equity</t>
        </is>
      </c>
      <c r="B156" s="5" t="inlineStr">
        <is>
          <t>WB-SW</t>
        </is>
      </c>
      <c r="C156" s="5" t="inlineStr">
        <is>
          <t>Technology</t>
        </is>
      </c>
      <c r="D156" s="8">
        <f>IF($A156="","",BDP($A156,"LAST_PRICE"))</f>
        <v/>
      </c>
      <c r="E156" s="6">
        <f>IFERROR(IF(AND(ISNUMBER(D156),ISNUMBER('Market Data'!B156),'Market Data'!B156&gt;0),D156/'Market Data'!B156-1,""),"")</f>
        <v/>
      </c>
    </row>
    <row r="157" ht="22" customHeight="1">
      <c r="A157" s="5" t="inlineStr">
        <is>
          <t>1956 HK Equity</t>
        </is>
      </c>
      <c r="B157" s="5" t="inlineStr">
        <is>
          <t>WENGE AI</t>
        </is>
      </c>
      <c r="C157" s="5" t="inlineStr">
        <is>
          <t>Technology</t>
        </is>
      </c>
      <c r="D157" s="8">
        <f>IF($A157="","",BDP($A157,"LAST_PRICE"))</f>
        <v/>
      </c>
      <c r="E157" s="6">
        <f>IFERROR(IF(AND(ISNUMBER(D157),ISNUMBER('Market Data'!B157),'Market Data'!B157&gt;0),D157/'Market Data'!B157-1,""),"")</f>
        <v/>
      </c>
    </row>
    <row r="158" ht="22" customHeight="1">
      <c r="A158" s="5" t="inlineStr">
        <is>
          <t>1879 HK Equity</t>
        </is>
      </c>
      <c r="B158" s="5" t="inlineStr">
        <is>
          <t>XIZHI TECH-P</t>
        </is>
      </c>
      <c r="C158" s="5" t="inlineStr">
        <is>
          <t>Technology</t>
        </is>
      </c>
      <c r="D158" s="8">
        <f>IF($A158="","",BDP($A158,"LAST_PRICE"))</f>
        <v/>
      </c>
      <c r="E158" s="6">
        <f>IFERROR(IF(AND(ISNUMBER(D158),ISNUMBER('Market Data'!B158),'Market Data'!B158&gt;0),D158/'Market Data'!B158-1,""),"")</f>
        <v/>
      </c>
    </row>
    <row r="159" ht="22" customHeight="1">
      <c r="A159" s="5" t="inlineStr">
        <is>
          <t>2619 HK Equity</t>
        </is>
      </c>
      <c r="B159" s="5" t="inlineStr">
        <is>
          <t>XJ ELECTRICS</t>
        </is>
      </c>
      <c r="C159" s="5" t="inlineStr">
        <is>
          <t>Technology</t>
        </is>
      </c>
      <c r="D159" s="8">
        <f>IF($A159="","",BDP($A159,"LAST_PRICE"))</f>
        <v/>
      </c>
      <c r="E159" s="6">
        <f>IFERROR(IF(AND(ISNUMBER(D159),ISNUMBER('Market Data'!B159),'Market Data'!B159&gt;0),D159/'Market Data'!B159-1,""),"")</f>
        <v/>
      </c>
    </row>
    <row r="160" ht="22" customHeight="1">
      <c r="A160" s="5" t="inlineStr">
        <is>
          <t>2392 HK Equity</t>
        </is>
      </c>
      <c r="B160" s="5" t="inlineStr">
        <is>
          <t>XUANWU CLOUD</t>
        </is>
      </c>
      <c r="C160" s="5" t="inlineStr">
        <is>
          <t>Technology</t>
        </is>
      </c>
      <c r="D160" s="8">
        <f>IF($A160="","",BDP($A160,"LAST_PRICE"))</f>
        <v/>
      </c>
      <c r="E160" s="6">
        <f>IFERROR(IF(AND(ISNUMBER(D160),ISNUMBER('Market Data'!B160),'Market Data'!B160&gt;0),D160/'Market Data'!B160-1,""),"")</f>
        <v/>
      </c>
    </row>
    <row r="161" ht="22" customHeight="1">
      <c r="A161" s="5" t="inlineStr">
        <is>
          <t>3317 HK Equity</t>
        </is>
      </c>
      <c r="B161" s="5" t="inlineStr">
        <is>
          <t>XUNCE</t>
        </is>
      </c>
      <c r="C161" s="5" t="inlineStr">
        <is>
          <t>Technology</t>
        </is>
      </c>
      <c r="D161" s="8">
        <f>IF($A161="","",BDP($A161,"LAST_PRICE"))</f>
        <v/>
      </c>
      <c r="E161" s="6">
        <f>IFERROR(IF(AND(ISNUMBER(D161),ISNUMBER('Market Data'!B161),'Market Data'!B161&gt;0),D161/'Market Data'!B161-1,""),"")</f>
        <v/>
      </c>
    </row>
    <row r="162" ht="22" customHeight="1">
      <c r="A162" s="5" t="inlineStr">
        <is>
          <t>2597 HK Equity</t>
        </is>
      </c>
      <c r="B162" s="5" t="inlineStr">
        <is>
          <t>XUNZHONG</t>
        </is>
      </c>
      <c r="C162" s="5" t="inlineStr">
        <is>
          <t>Technology</t>
        </is>
      </c>
      <c r="D162" s="8">
        <f>IF($A162="","",BDP($A162,"LAST_PRICE"))</f>
        <v/>
      </c>
      <c r="E162" s="6">
        <f>IFERROR(IF(AND(ISNUMBER(D162),ISNUMBER('Market Data'!B162),'Market Data'!B162&gt;0),D162/'Market Data'!B162-1,""),"")</f>
        <v/>
      </c>
    </row>
    <row r="163" ht="22" customHeight="1">
      <c r="A163" s="5" t="inlineStr">
        <is>
          <t>2209 HK Equity</t>
        </is>
      </c>
      <c r="B163" s="5" t="inlineStr">
        <is>
          <t>YESASIA HLDGS</t>
        </is>
      </c>
      <c r="C163" s="5" t="inlineStr">
        <is>
          <t>Technology</t>
        </is>
      </c>
      <c r="D163" s="8">
        <f>IF($A163="","",BDP($A163,"LAST_PRICE"))</f>
        <v/>
      </c>
      <c r="E163" s="6">
        <f>IFERROR(IF(AND(ISNUMBER(D163),ISNUMBER('Market Data'!B163),'Market Data'!B163&gt;0),D163/'Market Data'!B163-1,""),"")</f>
        <v/>
      </c>
    </row>
    <row r="164" ht="22" customHeight="1">
      <c r="A164" s="5" t="inlineStr">
        <is>
          <t>2670 HK Equity</t>
        </is>
      </c>
      <c r="B164" s="5" t="inlineStr">
        <is>
          <t>YUNJI</t>
        </is>
      </c>
      <c r="C164" s="5" t="inlineStr">
        <is>
          <t>Technology</t>
        </is>
      </c>
      <c r="D164" s="8">
        <f>IF($A164="","",BDP($A164,"LAST_PRICE"))</f>
        <v/>
      </c>
      <c r="E164" s="6">
        <f>IFERROR(IF(AND(ISNUMBER(D164),ISNUMBER('Market Data'!B164),'Market Data'!B164&gt;0),D164/'Market Data'!B164-1,""),"")</f>
        <v/>
      </c>
    </row>
    <row r="165" ht="22" customHeight="1">
      <c r="A165" s="5" t="inlineStr">
        <is>
          <t>2390 HK Equity</t>
        </is>
      </c>
      <c r="B165" s="5" t="inlineStr">
        <is>
          <t>ZHIHU-W</t>
        </is>
      </c>
      <c r="C165" s="5" t="inlineStr">
        <is>
          <t>Technology</t>
        </is>
      </c>
      <c r="D165" s="8">
        <f>IF($A165="","",BDP($A165,"LAST_PRICE"))</f>
        <v/>
      </c>
      <c r="E165" s="6">
        <f>IFERROR(IF(AND(ISNUMBER(D165),ISNUMBER('Market Data'!B165),'Market Data'!B165&gt;0),D165/'Market Data'!B165-1,""),"")</f>
        <v/>
      </c>
    </row>
    <row r="166" ht="22" customHeight="1">
      <c r="A166" s="5" t="inlineStr">
        <is>
          <t>2420 HK Equity</t>
        </is>
      </c>
      <c r="B166" s="5" t="inlineStr">
        <is>
          <t>ZIBUYU</t>
        </is>
      </c>
      <c r="C166" s="5" t="inlineStr">
        <is>
          <t>Technology</t>
        </is>
      </c>
      <c r="D166" s="8">
        <f>IF($A166="","",BDP($A166,"LAST_PRICE"))</f>
        <v/>
      </c>
      <c r="E166" s="6">
        <f>IFERROR(IF(AND(ISNUMBER(D166),ISNUMBER('Market Data'!B166),'Market Data'!B166&gt;0),D166/'Market Data'!B166-1,""),"")</f>
        <v/>
      </c>
    </row>
    <row r="167" ht="22" customHeight="1">
      <c r="A167" s="5" t="inlineStr">
        <is>
          <t>3308 HK Equity</t>
        </is>
      </c>
      <c r="B167" s="5" t="inlineStr">
        <is>
          <t>ZJ INNOLIGHT</t>
        </is>
      </c>
      <c r="C167" s="5" t="inlineStr">
        <is>
          <t>Technology</t>
        </is>
      </c>
      <c r="D167" s="8">
        <f>IF($A167="","",BDP($A167,"LAST_PRICE"))</f>
        <v/>
      </c>
      <c r="E167" s="6">
        <f>IFERROR(IF(AND(ISNUMBER(D167),ISNUMBER('Market Data'!B167),'Market Data'!B167&gt;0),D167/'Market Data'!B167-1,""),"")</f>
        <v/>
      </c>
    </row>
    <row r="168" ht="22" customHeight="1">
      <c r="A168" s="5" t="inlineStr">
        <is>
          <t>2656 HK Equity</t>
        </is>
      </c>
      <c r="B168" s="5" t="inlineStr">
        <is>
          <t>160 HEALTH</t>
        </is>
      </c>
      <c r="C168" s="5" t="inlineStr">
        <is>
          <t>Healthcare</t>
        </is>
      </c>
      <c r="D168" s="8">
        <f>IF($A168="","",BDP($A168,"LAST_PRICE"))</f>
        <v/>
      </c>
      <c r="E168" s="6">
        <f>IFERROR(IF(AND(ISNUMBER(D168),ISNUMBER('Market Data'!B168),'Market Data'!B168&gt;0),D168/'Market Data'!B168-1,""),"")</f>
        <v/>
      </c>
    </row>
    <row r="169" ht="22" customHeight="1">
      <c r="A169" s="5" t="inlineStr">
        <is>
          <t>1244 HK Equity</t>
        </is>
      </c>
      <c r="B169" s="5" t="inlineStr">
        <is>
          <t>3D MEDICINES-B</t>
        </is>
      </c>
      <c r="C169" s="5" t="inlineStr">
        <is>
          <t>Healthcare</t>
        </is>
      </c>
      <c r="D169" s="8">
        <f>IF($A169="","",BDP($A169,"LAST_PRICE"))</f>
        <v/>
      </c>
      <c r="E169" s="6">
        <f>IFERROR(IF(AND(ISNUMBER(D169),ISNUMBER('Market Data'!B169),'Market Data'!B169&gt;0),D169/'Market Data'!B169-1,""),"")</f>
        <v/>
      </c>
    </row>
    <row r="170" ht="22" customHeight="1">
      <c r="A170" s="5" t="inlineStr">
        <is>
          <t>2627 HK Equity</t>
        </is>
      </c>
      <c r="B170" s="5" t="inlineStr">
        <is>
          <t>AB&amp;B BIO-TECH-B</t>
        </is>
      </c>
      <c r="C170" s="5" t="inlineStr">
        <is>
          <t>Healthcare</t>
        </is>
      </c>
      <c r="D170" s="8">
        <f>IF($A170="","",BDP($A170,"LAST_PRICE"))</f>
        <v/>
      </c>
      <c r="E170" s="6">
        <f>IFERROR(IF(AND(ISNUMBER(D170),ISNUMBER('Market Data'!B170),'Market Data'!B170&gt;0),D170/'Market Data'!B170-1,""),"")</f>
        <v/>
      </c>
    </row>
    <row r="171" ht="22" customHeight="1">
      <c r="A171" s="5" t="inlineStr">
        <is>
          <t>2256 HK Equity</t>
        </is>
      </c>
      <c r="B171" s="5" t="inlineStr">
        <is>
          <t>ABBISKO-B</t>
        </is>
      </c>
      <c r="C171" s="5" t="inlineStr">
        <is>
          <t>Healthcare</t>
        </is>
      </c>
      <c r="D171" s="8">
        <f>IF($A171="","",BDP($A171,"LAST_PRICE"))</f>
        <v/>
      </c>
      <c r="E171" s="6">
        <f>IFERROR(IF(AND(ISNUMBER(D171),ISNUMBER('Market Data'!B171),'Market Data'!B171&gt;0),D171/'Market Data'!B171-1,""),"")</f>
        <v/>
      </c>
    </row>
    <row r="172" ht="22" customHeight="1">
      <c r="A172" s="5" t="inlineStr">
        <is>
          <t>6669 HK Equity</t>
        </is>
      </c>
      <c r="B172" s="5" t="inlineStr">
        <is>
          <t>ACOTEC-B</t>
        </is>
      </c>
      <c r="C172" s="5" t="inlineStr">
        <is>
          <t>Healthcare</t>
        </is>
      </c>
      <c r="D172" s="8">
        <f>IF($A172="","",BDP($A172,"LAST_PRICE"))</f>
        <v/>
      </c>
      <c r="E172" s="6">
        <f>IFERROR(IF(AND(ISNUMBER(D172),ISNUMBER('Market Data'!B172),'Market Data'!B172&gt;0),D172/'Market Data'!B172-1,""),"")</f>
        <v/>
      </c>
    </row>
    <row r="173" ht="22" customHeight="1">
      <c r="A173" s="5" t="inlineStr">
        <is>
          <t>9860 HK Equity</t>
        </is>
      </c>
      <c r="B173" s="5" t="inlineStr">
        <is>
          <t>ADICON HOLDINGS</t>
        </is>
      </c>
      <c r="C173" s="5" t="inlineStr">
        <is>
          <t>Healthcare</t>
        </is>
      </c>
      <c r="D173" s="8">
        <f>IF($A173="","",BDP($A173,"LAST_PRICE"))</f>
        <v/>
      </c>
      <c r="E173" s="6">
        <f>IFERROR(IF(AND(ISNUMBER(D173),ISNUMBER('Market Data'!B173),'Market Data'!B173&gt;0),D173/'Market Data'!B173-1,""),"")</f>
        <v/>
      </c>
    </row>
    <row r="174" ht="22" customHeight="1">
      <c r="A174" s="5" t="inlineStr">
        <is>
          <t>6660 HK Equity</t>
        </is>
      </c>
      <c r="B174" s="5" t="inlineStr">
        <is>
          <t>AIM VACCINE</t>
        </is>
      </c>
      <c r="C174" s="5" t="inlineStr">
        <is>
          <t>Healthcare</t>
        </is>
      </c>
      <c r="D174" s="8">
        <f>IF($A174="","",BDP($A174,"LAST_PRICE"))</f>
        <v/>
      </c>
      <c r="E174" s="6">
        <f>IFERROR(IF(AND(ISNUMBER(D174),ISNUMBER('Market Data'!B174),'Market Data'!B174&gt;0),D174/'Market Data'!B174-1,""),"")</f>
        <v/>
      </c>
    </row>
    <row r="175" ht="22" customHeight="1">
      <c r="A175" s="5" t="inlineStr">
        <is>
          <t>2251 HK Equity</t>
        </is>
      </c>
      <c r="B175" s="5" t="inlineStr">
        <is>
          <t>AIRDOC-B</t>
        </is>
      </c>
      <c r="C175" s="5" t="inlineStr">
        <is>
          <t>Healthcare</t>
        </is>
      </c>
      <c r="D175" s="8">
        <f>IF($A175="","",BDP($A175,"LAST_PRICE"))</f>
        <v/>
      </c>
      <c r="E175" s="6">
        <f>IFERROR(IF(AND(ISNUMBER(D175),ISNUMBER('Market Data'!B175),'Market Data'!B175&gt;0),D175/'Market Data'!B175-1,""),"")</f>
        <v/>
      </c>
    </row>
    <row r="176" ht="22" customHeight="1">
      <c r="A176" s="5" t="inlineStr">
        <is>
          <t>9637 HK Equity</t>
        </is>
      </c>
      <c r="B176" s="5" t="inlineStr">
        <is>
          <t>ALEBUND-B</t>
        </is>
      </c>
      <c r="C176" s="5" t="inlineStr">
        <is>
          <t>Healthcare</t>
        </is>
      </c>
      <c r="D176" s="8">
        <f>IF($A176="","",BDP($A176,"LAST_PRICE"))</f>
        <v/>
      </c>
      <c r="E176" s="6">
        <f>IFERROR(IF(AND(ISNUMBER(D176),ISNUMBER('Market Data'!B176),'Market Data'!B176&gt;0),D176/'Market Data'!B176-1,""),"")</f>
        <v/>
      </c>
    </row>
    <row r="177" ht="22" customHeight="1">
      <c r="A177" s="5" t="inlineStr">
        <is>
          <t>6699 HK Equity</t>
        </is>
      </c>
      <c r="B177" s="5" t="inlineStr">
        <is>
          <t>ANGELALIGN</t>
        </is>
      </c>
      <c r="C177" s="5" t="inlineStr">
        <is>
          <t>Healthcare</t>
        </is>
      </c>
      <c r="D177" s="8">
        <f>IF($A177="","",BDP($A177,"LAST_PRICE"))</f>
        <v/>
      </c>
      <c r="E177" s="6">
        <f>IFERROR(IF(AND(ISNUMBER(D177),ISNUMBER('Market Data'!B177),'Market Data'!B177&gt;0),D177/'Market Data'!B177-1,""),"")</f>
        <v/>
      </c>
    </row>
    <row r="178" ht="22" customHeight="1">
      <c r="A178" s="5" t="inlineStr">
        <is>
          <t>6639 HK Equity</t>
        </is>
      </c>
      <c r="B178" s="5" t="inlineStr">
        <is>
          <t>ARRAIL GROUP</t>
        </is>
      </c>
      <c r="C178" s="5" t="inlineStr">
        <is>
          <t>Healthcare</t>
        </is>
      </c>
      <c r="D178" s="8">
        <f>IF($A178="","",BDP($A178,"LAST_PRICE"))</f>
        <v/>
      </c>
      <c r="E178" s="6">
        <f>IFERROR(IF(AND(ISNUMBER(D178),ISNUMBER('Market Data'!B178),'Market Data'!B178&gt;0),D178/'Market Data'!B178-1,""),"")</f>
        <v/>
      </c>
    </row>
    <row r="179" ht="22" customHeight="1">
      <c r="A179" s="5" t="inlineStr">
        <is>
          <t>6821 HK Equity</t>
        </is>
      </c>
      <c r="B179" s="5" t="inlineStr">
        <is>
          <t>ASYMCHEM</t>
        </is>
      </c>
      <c r="C179" s="5" t="inlineStr">
        <is>
          <t>Healthcare</t>
        </is>
      </c>
      <c r="D179" s="8">
        <f>IF($A179="","",BDP($A179,"LAST_PRICE"))</f>
        <v/>
      </c>
      <c r="E179" s="6">
        <f>IFERROR(IF(AND(ISNUMBER(D179),ISNUMBER('Market Data'!B179),'Market Data'!B179&gt;0),D179/'Market Data'!B179-1,""),"")</f>
        <v/>
      </c>
    </row>
    <row r="180" ht="22" customHeight="1">
      <c r="A180" s="5" t="inlineStr">
        <is>
          <t>2396 HK Equity</t>
        </is>
      </c>
      <c r="B180" s="5" t="inlineStr">
        <is>
          <t>B&amp;K CORP-B</t>
        </is>
      </c>
      <c r="C180" s="5" t="inlineStr">
        <is>
          <t>Healthcare</t>
        </is>
      </c>
      <c r="D180" s="8">
        <f>IF($A180="","",BDP($A180,"LAST_PRICE"))</f>
        <v/>
      </c>
      <c r="E180" s="6">
        <f>IFERROR(IF(AND(ISNUMBER(D180),ISNUMBER('Market Data'!B180),'Market Data'!B180&gt;0),D180/'Market Data'!B180-1,""),"")</f>
        <v/>
      </c>
    </row>
    <row r="181" ht="22" customHeight="1">
      <c r="A181" s="5" t="inlineStr">
        <is>
          <t>2659 HK Equity</t>
        </is>
      </c>
      <c r="B181" s="5" t="inlineStr">
        <is>
          <t>BAO PHARMA-B</t>
        </is>
      </c>
      <c r="C181" s="5" t="inlineStr">
        <is>
          <t>Healthcare</t>
        </is>
      </c>
      <c r="D181" s="8">
        <f>IF($A181="","",BDP($A181,"LAST_PRICE"))</f>
        <v/>
      </c>
      <c r="E181" s="6">
        <f>IFERROR(IF(AND(ISNUMBER(D181),ISNUMBER('Market Data'!B181),'Market Data'!B181&gt;0),D181/'Market Data'!B181-1,""),"")</f>
        <v/>
      </c>
    </row>
    <row r="182" ht="22" customHeight="1">
      <c r="A182" s="5" t="inlineStr">
        <is>
          <t>2170 HK Equity</t>
        </is>
      </c>
      <c r="B182" s="5" t="inlineStr">
        <is>
          <t>BASECARE-B</t>
        </is>
      </c>
      <c r="C182" s="5" t="inlineStr">
        <is>
          <t>Healthcare</t>
        </is>
      </c>
      <c r="D182" s="8">
        <f>IF($A182="","",BDP($A182,"LAST_PRICE"))</f>
        <v/>
      </c>
      <c r="E182" s="6">
        <f>IFERROR(IF(AND(ISNUMBER(D182),ISNUMBER('Market Data'!B182),'Market Data'!B182&gt;0),D182/'Market Data'!B182-1,""),"")</f>
        <v/>
      </c>
    </row>
    <row r="183" ht="22" customHeight="1">
      <c r="A183" s="5" t="inlineStr">
        <is>
          <t>2609 HK Equity</t>
        </is>
      </c>
      <c r="B183" s="5" t="inlineStr">
        <is>
          <t>BAYZED HEALTH</t>
        </is>
      </c>
      <c r="C183" s="5" t="inlineStr">
        <is>
          <t>Healthcare</t>
        </is>
      </c>
      <c r="D183" s="8">
        <f>IF($A183="","",BDP($A183,"LAST_PRICE"))</f>
        <v/>
      </c>
      <c r="E183" s="6">
        <f>IFERROR(IF(AND(ISNUMBER(D183),ISNUMBER('Market Data'!B183),'Market Data'!B183&gt;0),D183/'Market Data'!B183-1,""),"")</f>
        <v/>
      </c>
    </row>
    <row r="184" ht="22" customHeight="1">
      <c r="A184" s="5" t="inlineStr">
        <is>
          <t>2315 HK Equity</t>
        </is>
      </c>
      <c r="B184" s="5" t="inlineStr">
        <is>
          <t>BIOCYTOGEN-B</t>
        </is>
      </c>
      <c r="C184" s="5" t="inlineStr">
        <is>
          <t>Healthcare</t>
        </is>
      </c>
      <c r="D184" s="8">
        <f>IF($A184="","",BDP($A184,"LAST_PRICE"))</f>
        <v/>
      </c>
      <c r="E184" s="6">
        <f>IFERROR(IF(AND(ISNUMBER(D184),ISNUMBER('Market Data'!B184),'Market Data'!B184&gt;0),D184/'Market Data'!B184-1,""),"")</f>
        <v/>
      </c>
    </row>
    <row r="185" ht="22" customHeight="1">
      <c r="A185" s="5" t="inlineStr">
        <is>
          <t>2185 HK Equity</t>
        </is>
      </c>
      <c r="B185" s="5" t="inlineStr">
        <is>
          <t>BIOHEART-B</t>
        </is>
      </c>
      <c r="C185" s="5" t="inlineStr">
        <is>
          <t>Healthcare</t>
        </is>
      </c>
      <c r="D185" s="8">
        <f>IF($A185="","",BDP($A185,"LAST_PRICE"))</f>
        <v/>
      </c>
      <c r="E185" s="6">
        <f>IFERROR(IF(AND(ISNUMBER(D185),ISNUMBER('Market Data'!B185),'Market Data'!B185&gt;0),D185/'Market Data'!B185-1,""),"")</f>
        <v/>
      </c>
    </row>
    <row r="186" ht="22" customHeight="1">
      <c r="A186" s="5" t="inlineStr">
        <is>
          <t>2563 HK Equity</t>
        </is>
      </c>
      <c r="B186" s="5" t="inlineStr">
        <is>
          <t>BIOSTAR PHARM-B</t>
        </is>
      </c>
      <c r="C186" s="5" t="inlineStr">
        <is>
          <t>Healthcare</t>
        </is>
      </c>
      <c r="D186" s="8">
        <f>IF($A186="","",BDP($A186,"LAST_PRICE"))</f>
        <v/>
      </c>
      <c r="E186" s="6">
        <f>IFERROR(IF(AND(ISNUMBER(D186),ISNUMBER('Market Data'!B186),'Market Data'!B186&gt;0),D186/'Market Data'!B186-1,""),"")</f>
        <v/>
      </c>
    </row>
    <row r="187" ht="22" customHeight="1">
      <c r="A187" s="5" t="inlineStr">
        <is>
          <t>6955 HK Equity</t>
        </is>
      </c>
      <c r="B187" s="5" t="inlineStr">
        <is>
          <t>BOAN BIOTECH-B</t>
        </is>
      </c>
      <c r="C187" s="5" t="inlineStr">
        <is>
          <t>Healthcare</t>
        </is>
      </c>
      <c r="D187" s="8">
        <f>IF($A187="","",BDP($A187,"LAST_PRICE"))</f>
        <v/>
      </c>
      <c r="E187" s="6">
        <f>IFERROR(IF(AND(ISNUMBER(D187),ISNUMBER('Market Data'!B187),'Market Data'!B187&gt;0),D187/'Market Data'!B187-1,""),"")</f>
        <v/>
      </c>
    </row>
    <row r="188" ht="22" customHeight="1">
      <c r="A188" s="5" t="inlineStr">
        <is>
          <t>6681 HK Equity</t>
        </is>
      </c>
      <c r="B188" s="5" t="inlineStr">
        <is>
          <t>BRAINAURORA-B</t>
        </is>
      </c>
      <c r="C188" s="5" t="inlineStr">
        <is>
          <t>Healthcare</t>
        </is>
      </c>
      <c r="D188" s="8">
        <f>IF($A188="","",BDP($A188,"LAST_PRICE"))</f>
        <v/>
      </c>
      <c r="E188" s="6">
        <f>IFERROR(IF(AND(ISNUMBER(D188),ISNUMBER('Market Data'!B188),'Market Data'!B188&gt;0),D188/'Market Data'!B188-1,""),"")</f>
        <v/>
      </c>
    </row>
    <row r="189" ht="22" customHeight="1">
      <c r="A189" s="5" t="inlineStr">
        <is>
          <t>2137 HK Equity</t>
        </is>
      </c>
      <c r="B189" s="5" t="inlineStr">
        <is>
          <t>BRII - B</t>
        </is>
      </c>
      <c r="C189" s="5" t="inlineStr">
        <is>
          <t>Healthcare</t>
        </is>
      </c>
      <c r="D189" s="8">
        <f>IF($A189="","",BDP($A189,"LAST_PRICE"))</f>
        <v/>
      </c>
      <c r="E189" s="6">
        <f>IFERROR(IF(AND(ISNUMBER(D189),ISNUMBER('Market Data'!B189),'Market Data'!B189&gt;0),D189/'Market Data'!B189-1,""),"")</f>
        <v/>
      </c>
    </row>
    <row r="190" ht="22" customHeight="1">
      <c r="A190" s="5" t="inlineStr">
        <is>
          <t>2216 HK Equity</t>
        </is>
      </c>
      <c r="B190" s="5" t="inlineStr">
        <is>
          <t>BRONCUS-B</t>
        </is>
      </c>
      <c r="C190" s="5" t="inlineStr">
        <is>
          <t>Healthcare</t>
        </is>
      </c>
      <c r="D190" s="8">
        <f>IF($A190="","",BDP($A190,"LAST_PRICE"))</f>
        <v/>
      </c>
      <c r="E190" s="6">
        <f>IFERROR(IF(AND(ISNUMBER(D190),ISNUMBER('Market Data'!B190),'Market Data'!B190&gt;0),D190/'Market Data'!B190-1,""),"")</f>
        <v/>
      </c>
    </row>
    <row r="191" ht="22" customHeight="1">
      <c r="A191" s="5" t="inlineStr">
        <is>
          <t>1228 HK Equity</t>
        </is>
      </c>
      <c r="B191" s="5" t="inlineStr">
        <is>
          <t>CANBRIDGE-B</t>
        </is>
      </c>
      <c r="C191" s="5" t="inlineStr">
        <is>
          <t>Healthcare</t>
        </is>
      </c>
      <c r="D191" s="8">
        <f>IF($A191="","",BDP($A191,"LAST_PRICE"))</f>
        <v/>
      </c>
      <c r="E191" s="6">
        <f>IFERROR(IF(AND(ISNUMBER(D191),ISNUMBER('Market Data'!B191),'Market Data'!B191&gt;0),D191/'Market Data'!B191-1,""),"")</f>
        <v/>
      </c>
    </row>
    <row r="192" ht="22" customHeight="1">
      <c r="A192" s="5" t="inlineStr">
        <is>
          <t>2160 HK Equity</t>
        </is>
      </c>
      <c r="B192" s="5" t="inlineStr">
        <is>
          <t>CARDIOFLOW-B</t>
        </is>
      </c>
      <c r="C192" s="5" t="inlineStr">
        <is>
          <t>Healthcare</t>
        </is>
      </c>
      <c r="D192" s="8">
        <f>IF($A192="","",BDP($A192,"LAST_PRICE"))</f>
        <v/>
      </c>
      <c r="E192" s="6">
        <f>IFERROR(IF(AND(ISNUMBER(D192),ISNUMBER('Market Data'!B192),'Market Data'!B192&gt;0),D192/'Market Data'!B192-1,""),"")</f>
        <v/>
      </c>
    </row>
    <row r="193" ht="22" customHeight="1">
      <c r="A193" s="5" t="inlineStr">
        <is>
          <t>2171 HK Equity</t>
        </is>
      </c>
      <c r="B193" s="5" t="inlineStr">
        <is>
          <t>CARSGEN-B</t>
        </is>
      </c>
      <c r="C193" s="5" t="inlineStr">
        <is>
          <t>Healthcare</t>
        </is>
      </c>
      <c r="D193" s="8">
        <f>IF($A193="","",BDP($A193,"LAST_PRICE"))</f>
        <v/>
      </c>
      <c r="E193" s="6">
        <f>IFERROR(IF(AND(ISNUMBER(D193),ISNUMBER('Market Data'!B193),'Market Data'!B193&gt;0),D193/'Market Data'!B193-1,""),"")</f>
        <v/>
      </c>
    </row>
    <row r="194" ht="22" customHeight="1">
      <c r="A194" s="5" t="inlineStr">
        <is>
          <t>2652 HK Equity</t>
        </is>
      </c>
      <c r="B194" s="5" t="inlineStr">
        <is>
          <t>CF PHARMTECH</t>
        </is>
      </c>
      <c r="C194" s="5" t="inlineStr">
        <is>
          <t>Healthcare</t>
        </is>
      </c>
      <c r="D194" s="8">
        <f>IF($A194="","",BDP($A194,"LAST_PRICE"))</f>
        <v/>
      </c>
      <c r="E194" s="6">
        <f>IFERROR(IF(AND(ISNUMBER(D194),ISNUMBER('Market Data'!B194),'Market Data'!B194&gt;0),D194/'Market Data'!B194-1,""),"")</f>
        <v/>
      </c>
    </row>
    <row r="195" ht="22" customHeight="1">
      <c r="A195" s="5" t="inlineStr">
        <is>
          <t>2219 HK Equity</t>
        </is>
      </c>
      <c r="B195" s="5" t="inlineStr">
        <is>
          <t>CHAOJU EYE CARE</t>
        </is>
      </c>
      <c r="C195" s="5" t="inlineStr">
        <is>
          <t>Healthcare</t>
        </is>
      </c>
      <c r="D195" s="8">
        <f>IF($A195="","",BDP($A195,"LAST_PRICE"))</f>
        <v/>
      </c>
      <c r="E195" s="6">
        <f>IFERROR(IF(AND(ISNUMBER(D195),ISNUMBER('Market Data'!B195),'Market Data'!B195&gt;0),D195/'Market Data'!B195-1,""),"")</f>
        <v/>
      </c>
    </row>
    <row r="196" ht="22" customHeight="1">
      <c r="A196" s="5" t="inlineStr">
        <is>
          <t>1406 HK Equity</t>
        </is>
      </c>
      <c r="B196" s="5" t="inlineStr">
        <is>
          <t>CLARITY MEDICAL</t>
        </is>
      </c>
      <c r="C196" s="5" t="inlineStr">
        <is>
          <t>Healthcare</t>
        </is>
      </c>
      <c r="D196" s="8">
        <f>IF($A196="","",BDP($A196,"LAST_PRICE"))</f>
        <v/>
      </c>
      <c r="E196" s="6">
        <f>IFERROR(IF(AND(ISNUMBER(D196),ISNUMBER('Market Data'!B196),'Market Data'!B196&gt;0),D196/'Market Data'!B196-1,""),"")</f>
        <v/>
      </c>
    </row>
    <row r="197" ht="22" customHeight="1">
      <c r="A197" s="5" t="inlineStr">
        <is>
          <t>2592 HK Equity</t>
        </is>
      </c>
      <c r="B197" s="5" t="inlineStr">
        <is>
          <t>CLOUDBREAK-B</t>
        </is>
      </c>
      <c r="C197" s="5" t="inlineStr">
        <is>
          <t>Healthcare</t>
        </is>
      </c>
      <c r="D197" s="8">
        <f>IF($A197="","",BDP($A197,"LAST_PRICE"))</f>
        <v/>
      </c>
      <c r="E197" s="6">
        <f>IFERROR(IF(AND(ISNUMBER(D197),ISNUMBER('Market Data'!B197),'Market Data'!B197&gt;0),D197/'Market Data'!B197-1,""),"")</f>
        <v/>
      </c>
    </row>
    <row r="198" ht="22" customHeight="1">
      <c r="A198" s="5" t="inlineStr">
        <is>
          <t>9955 HK Equity</t>
        </is>
      </c>
      <c r="B198" s="5" t="inlineStr">
        <is>
          <t>CLOUDR</t>
        </is>
      </c>
      <c r="C198" s="5" t="inlineStr">
        <is>
          <t>Healthcare</t>
        </is>
      </c>
      <c r="D198" s="8">
        <f>IF($A198="","",BDP($A198,"LAST_PRICE"))</f>
        <v/>
      </c>
      <c r="E198" s="6">
        <f>IFERROR(IF(AND(ISNUMBER(D198),ISNUMBER('Market Data'!B198),'Market Data'!B198&gt;0),D198/'Market Data'!B198-1,""),"")</f>
        <v/>
      </c>
    </row>
    <row r="199" ht="22" customHeight="1">
      <c r="A199" s="5" t="inlineStr">
        <is>
          <t>2197 HK Equity</t>
        </is>
      </c>
      <c r="B199" s="5" t="inlineStr">
        <is>
          <t>CLOVER BIO-B</t>
        </is>
      </c>
      <c r="C199" s="5" t="inlineStr">
        <is>
          <t>Healthcare</t>
        </is>
      </c>
      <c r="D199" s="8">
        <f>IF($A199="","",BDP($A199,"LAST_PRICE"))</f>
        <v/>
      </c>
      <c r="E199" s="6">
        <f>IFERROR(IF(AND(ISNUMBER(D199),ISNUMBER('Market Data'!B199),'Market Data'!B199&gt;0),D199/'Market Data'!B199-1,""),"")</f>
        <v/>
      </c>
    </row>
    <row r="200" ht="22" customHeight="1">
      <c r="A200" s="5" t="inlineStr">
        <is>
          <t>1187 HK Equity</t>
        </is>
      </c>
      <c r="B200" s="5" t="inlineStr">
        <is>
          <t>COFOE MEDICAL</t>
        </is>
      </c>
      <c r="C200" s="5" t="inlineStr">
        <is>
          <t>Healthcare</t>
        </is>
      </c>
      <c r="D200" s="8">
        <f>IF($A200="","",BDP($A200,"LAST_PRICE"))</f>
        <v/>
      </c>
      <c r="E200" s="6">
        <f>IFERROR(IF(AND(ISNUMBER(D200),ISNUMBER('Market Data'!B200),'Market Data'!B200&gt;0),D200/'Market Data'!B200-1,""),"")</f>
        <v/>
      </c>
    </row>
    <row r="201" ht="22" customHeight="1">
      <c r="A201" s="5" t="inlineStr">
        <is>
          <t>2276 HK Equity</t>
        </is>
      </c>
      <c r="B201" s="5" t="inlineStr">
        <is>
          <t>CONANT OPTICAL</t>
        </is>
      </c>
      <c r="C201" s="5" t="inlineStr">
        <is>
          <t>Healthcare</t>
        </is>
      </c>
      <c r="D201" s="8">
        <f>IF($A201="","",BDP($A201,"LAST_PRICE"))</f>
        <v/>
      </c>
      <c r="E201" s="6">
        <f>IFERROR(IF(AND(ISNUMBER(D201),ISNUMBER('Market Data'!B201),'Market Data'!B201&gt;0),D201/'Market Data'!B201-1,""),"")</f>
        <v/>
      </c>
    </row>
    <row r="202" ht="22" customHeight="1">
      <c r="A202" s="5" t="inlineStr">
        <is>
          <t>2453 HK Equity</t>
        </is>
      </c>
      <c r="B202" s="5" t="inlineStr">
        <is>
          <t>CONCORD HC GP</t>
        </is>
      </c>
      <c r="C202" s="5" t="inlineStr">
        <is>
          <t>Healthcare</t>
        </is>
      </c>
      <c r="D202" s="8">
        <f>IF($A202="","",BDP($A202,"LAST_PRICE"))</f>
        <v/>
      </c>
      <c r="E202" s="6">
        <f>IFERROR(IF(AND(ISNUMBER(D202),ISNUMBER('Market Data'!B202),'Market Data'!B202&gt;0),D202/'Market Data'!B202-1,""),"")</f>
        <v/>
      </c>
    </row>
    <row r="203" ht="22" customHeight="1">
      <c r="A203" s="5" t="inlineStr">
        <is>
          <t>6922 HK Equity</t>
        </is>
      </c>
      <c r="B203" s="5" t="inlineStr">
        <is>
          <t>CRYOFOCUS-B</t>
        </is>
      </c>
      <c r="C203" s="5" t="inlineStr">
        <is>
          <t>Healthcare</t>
        </is>
      </c>
      <c r="D203" s="8">
        <f>IF($A203="","",BDP($A203,"LAST_PRICE"))</f>
        <v/>
      </c>
      <c r="E203" s="6">
        <f>IFERROR(IF(AND(ISNUMBER(D203),ISNUMBER('Market Data'!B203),'Market Data'!B203&gt;0),D203/'Market Data'!B203-1,""),"")</f>
        <v/>
      </c>
    </row>
    <row r="204" ht="22" customHeight="1">
      <c r="A204" s="5" t="inlineStr">
        <is>
          <t>2487 HK Equity</t>
        </is>
      </c>
      <c r="B204" s="5" t="inlineStr">
        <is>
          <t>CUTIA-B</t>
        </is>
      </c>
      <c r="C204" s="5" t="inlineStr">
        <is>
          <t>Healthcare</t>
        </is>
      </c>
      <c r="D204" s="8">
        <f>IF($A204="","",BDP($A204,"LAST_PRICE"))</f>
        <v/>
      </c>
      <c r="E204" s="6">
        <f>IFERROR(IF(AND(ISNUMBER(D204),ISNUMBER('Market Data'!B204),'Market Data'!B204&gt;0),D204/'Market Data'!B204-1,""),"")</f>
        <v/>
      </c>
    </row>
    <row r="205" ht="22" customHeight="1">
      <c r="A205" s="5" t="inlineStr">
        <is>
          <t>2651 HK Equity</t>
        </is>
      </c>
      <c r="B205" s="5" t="inlineStr">
        <is>
          <t>DAZHONG DENTAL</t>
        </is>
      </c>
      <c r="C205" s="5" t="inlineStr">
        <is>
          <t>Healthcare</t>
        </is>
      </c>
      <c r="D205" s="8">
        <f>IF($A205="","",BDP($A205,"LAST_PRICE"))</f>
        <v/>
      </c>
      <c r="E205" s="6">
        <f>IFERROR(IF(AND(ISNUMBER(D205),ISNUMBER('Market Data'!B205),'Market Data'!B205&gt;0),D205/'Market Data'!B205-1,""),"")</f>
        <v/>
      </c>
    </row>
    <row r="206" ht="22" customHeight="1">
      <c r="A206" s="5" t="inlineStr">
        <is>
          <t>2526 HK Equity</t>
        </is>
      </c>
      <c r="B206" s="5" t="inlineStr">
        <is>
          <t>DIAGENS-B</t>
        </is>
      </c>
      <c r="C206" s="5" t="inlineStr">
        <is>
          <t>Healthcare</t>
        </is>
      </c>
      <c r="D206" s="8">
        <f>IF($A206="","",BDP($A206,"LAST_PRICE"))</f>
        <v/>
      </c>
      <c r="E206" s="6">
        <f>IFERROR(IF(AND(ISNUMBER(D206),ISNUMBER('Market Data'!B206),'Market Data'!B206&gt;0),D206/'Market Data'!B206-1,""),"")</f>
        <v/>
      </c>
    </row>
    <row r="207" ht="22" customHeight="1">
      <c r="A207" s="5" t="inlineStr">
        <is>
          <t>9886 HK Equity</t>
        </is>
      </c>
      <c r="B207" s="5" t="inlineStr">
        <is>
          <t>DINGDANG HEALTH</t>
        </is>
      </c>
      <c r="C207" s="5" t="inlineStr">
        <is>
          <t>Healthcare</t>
        </is>
      </c>
      <c r="D207" s="8">
        <f>IF($A207="","",BDP($A207,"LAST_PRICE"))</f>
        <v/>
      </c>
      <c r="E207" s="6">
        <f>IFERROR(IF(AND(ISNUMBER(D207),ISNUMBER('Market Data'!B207),'Market Data'!B207&gt;0),D207/'Market Data'!B207-1,""),"")</f>
        <v/>
      </c>
    </row>
    <row r="208" ht="22" customHeight="1">
      <c r="A208" s="5" t="inlineStr">
        <is>
          <t>2677 HK Equity</t>
        </is>
      </c>
      <c r="B208" s="5" t="inlineStr">
        <is>
          <t>DISTINCT HEALTH</t>
        </is>
      </c>
      <c r="C208" s="5" t="inlineStr">
        <is>
          <t>Healthcare</t>
        </is>
      </c>
      <c r="D208" s="8">
        <f>IF($A208="","",BDP($A208,"LAST_PRICE"))</f>
        <v/>
      </c>
      <c r="E208" s="6">
        <f>IFERROR(IF(AND(ISNUMBER(D208),ISNUMBER('Market Data'!B208),'Market Data'!B208&gt;0),D208/'Market Data'!B208-1,""),"")</f>
        <v/>
      </c>
    </row>
    <row r="209" ht="22" customHeight="1">
      <c r="A209" s="5" t="inlineStr">
        <is>
          <t>9606 HK Equity</t>
        </is>
      </c>
      <c r="B209" s="5" t="inlineStr">
        <is>
          <t>DUALITYBIO-B</t>
        </is>
      </c>
      <c r="C209" s="5" t="inlineStr">
        <is>
          <t>Healthcare</t>
        </is>
      </c>
      <c r="D209" s="8">
        <f>IF($A209="","",BDP($A209,"LAST_PRICE"))</f>
        <v/>
      </c>
      <c r="E209" s="6">
        <f>IFERROR(IF(AND(ISNUMBER(D209),ISNUMBER('Market Data'!B209),'Market Data'!B209&gt;0),D209/'Market Data'!B209-1,""),"")</f>
        <v/>
      </c>
    </row>
    <row r="210" ht="22" customHeight="1">
      <c r="A210" s="5" t="inlineStr">
        <is>
          <t>2675 HK Equity</t>
        </is>
      </c>
      <c r="B210" s="5" t="inlineStr">
        <is>
          <t>EDGE MEDICAL-B</t>
        </is>
      </c>
      <c r="C210" s="5" t="inlineStr">
        <is>
          <t>Healthcare</t>
        </is>
      </c>
      <c r="D210" s="8">
        <f>IF($A210="","",BDP($A210,"LAST_PRICE"))</f>
        <v/>
      </c>
      <c r="E210" s="6">
        <f>IFERROR(IF(AND(ISNUMBER(D210),ISNUMBER('Market Data'!B210),'Market Data'!B210&gt;0),D210/'Market Data'!B210-1,""),"")</f>
        <v/>
      </c>
    </row>
    <row r="211" ht="22" customHeight="1">
      <c r="A211" s="5" t="inlineStr">
        <is>
          <t>6086 HK Equity</t>
        </is>
      </c>
      <c r="B211" s="5" t="inlineStr">
        <is>
          <t>FANGZHOU JIANKE</t>
        </is>
      </c>
      <c r="C211" s="5" t="inlineStr">
        <is>
          <t>Healthcare</t>
        </is>
      </c>
      <c r="D211" s="8">
        <f>IF($A211="","",BDP($A211,"LAST_PRICE"))</f>
        <v/>
      </c>
      <c r="E211" s="6">
        <f>IFERROR(IF(AND(ISNUMBER(D211),ISNUMBER('Market Data'!B211),'Market Data'!B211&gt;0),D211/'Market Data'!B211-1,""),"")</f>
        <v/>
      </c>
    </row>
    <row r="212" ht="22" customHeight="1">
      <c r="A212" s="5" t="inlineStr">
        <is>
          <t>2407 HK Equity</t>
        </is>
      </c>
      <c r="B212" s="5" t="inlineStr">
        <is>
          <t>GAUSH MEDITECH</t>
        </is>
      </c>
      <c r="C212" s="5" t="inlineStr">
        <is>
          <t>Healthcare</t>
        </is>
      </c>
      <c r="D212" s="8">
        <f>IF($A212="","",BDP($A212,"LAST_PRICE"))</f>
        <v/>
      </c>
      <c r="E212" s="6">
        <f>IFERROR(IF(AND(ISNUMBER(D212),ISNUMBER('Market Data'!B212),'Market Data'!B212&gt;0),D212/'Market Data'!B212-1,""),"")</f>
        <v/>
      </c>
    </row>
    <row r="213" ht="22" customHeight="1">
      <c r="A213" s="5" t="inlineStr">
        <is>
          <t>2595 HK Equity</t>
        </is>
      </c>
      <c r="B213" s="5" t="inlineStr">
        <is>
          <t>GENFLEET-B</t>
        </is>
      </c>
      <c r="C213" s="5" t="inlineStr">
        <is>
          <t>Healthcare</t>
        </is>
      </c>
      <c r="D213" s="8">
        <f>IF($A213="","",BDP($A213,"LAST_PRICE"))</f>
        <v/>
      </c>
      <c r="E213" s="6">
        <f>IFERROR(IF(AND(ISNUMBER(D213),ISNUMBER('Market Data'!B213),'Market Data'!B213&gt;0),D213/'Market Data'!B213-1,""),"")</f>
        <v/>
      </c>
    </row>
    <row r="214" ht="22" customHeight="1">
      <c r="A214" s="5" t="inlineStr">
        <is>
          <t>2427 HK Equity</t>
        </is>
      </c>
      <c r="B214" s="5" t="inlineStr">
        <is>
          <t>GUANZE MEDICAL</t>
        </is>
      </c>
      <c r="C214" s="5" t="inlineStr">
        <is>
          <t>Healthcare</t>
        </is>
      </c>
      <c r="D214" s="8">
        <f>IF($A214="","",BDP($A214,"LAST_PRICE"))</f>
        <v/>
      </c>
      <c r="E214" s="6">
        <f>IFERROR(IF(AND(ISNUMBER(D214),ISNUMBER('Market Data'!B214),'Market Data'!B214&gt;0),D214/'Market Data'!B214-1,""),"")</f>
        <v/>
      </c>
    </row>
    <row r="215" ht="22" customHeight="1">
      <c r="A215" s="5" t="inlineStr">
        <is>
          <t>2273 HK Equity</t>
        </is>
      </c>
      <c r="B215" s="5" t="inlineStr">
        <is>
          <t>GUSHENGTANG</t>
        </is>
      </c>
      <c r="C215" s="5" t="inlineStr">
        <is>
          <t>Healthcare</t>
        </is>
      </c>
      <c r="D215" s="8">
        <f>IF($A215="","",BDP($A215,"LAST_PRICE"))</f>
        <v/>
      </c>
      <c r="E215" s="6">
        <f>IFERROR(IF(AND(ISNUMBER(D215),ISNUMBER('Market Data'!B215),'Market Data'!B215&gt;0),D215/'Market Data'!B215-1,""),"")</f>
        <v/>
      </c>
    </row>
    <row r="216" ht="22" customHeight="1">
      <c r="A216" s="5" t="inlineStr">
        <is>
          <t>2637 HK Equity</t>
        </is>
      </c>
      <c r="B216" s="5" t="inlineStr">
        <is>
          <t>HAIXI PHARMA</t>
        </is>
      </c>
      <c r="C216" s="5" t="inlineStr">
        <is>
          <t>Healthcare</t>
        </is>
      </c>
      <c r="D216" s="8">
        <f>IF($A216="","",BDP($A216,"LAST_PRICE"))</f>
        <v/>
      </c>
      <c r="E216" s="6">
        <f>IFERROR(IF(AND(ISNUMBER(D216),ISNUMBER('Market Data'!B216),'Market Data'!B216&gt;0),D216/'Market Data'!B216-1,""),"")</f>
        <v/>
      </c>
    </row>
    <row r="217" ht="22" customHeight="1">
      <c r="A217" s="5" t="inlineStr">
        <is>
          <t>3378 HK Equity</t>
        </is>
      </c>
      <c r="B217" s="5" t="inlineStr">
        <is>
          <t>HANXBIO-B</t>
        </is>
      </c>
      <c r="C217" s="5" t="inlineStr">
        <is>
          <t>Healthcare</t>
        </is>
      </c>
      <c r="D217" s="8">
        <f>IF($A217="","",BDP($A217,"LAST_PRICE"))</f>
        <v/>
      </c>
      <c r="E217" s="6">
        <f>IFERROR(IF(AND(ISNUMBER(D217),ISNUMBER('Market Data'!B217),'Market Data'!B217&gt;0),D217/'Market Data'!B217-1,""),"")</f>
        <v/>
      </c>
    </row>
    <row r="218" ht="22" customHeight="1">
      <c r="A218" s="5" t="inlineStr">
        <is>
          <t>2587 HK Equity</t>
        </is>
      </c>
      <c r="B218" s="5" t="inlineStr">
        <is>
          <t>HEALTHYWAY INC</t>
        </is>
      </c>
      <c r="C218" s="5" t="inlineStr">
        <is>
          <t>Healthcare</t>
        </is>
      </c>
      <c r="D218" s="8">
        <f>IF($A218="","",BDP($A218,"LAST_PRICE"))</f>
        <v/>
      </c>
      <c r="E218" s="6">
        <f>IFERROR(IF(AND(ISNUMBER(D218),ISNUMBER('Market Data'!B218),'Market Data'!B218&gt;0),D218/'Market Data'!B218-1,""),"")</f>
        <v/>
      </c>
    </row>
    <row r="219" ht="22" customHeight="1">
      <c r="A219" s="5" t="inlineStr">
        <is>
          <t>6609 HK Equity</t>
        </is>
      </c>
      <c r="B219" s="5" t="inlineStr">
        <is>
          <t>HEARTCARE-B</t>
        </is>
      </c>
      <c r="C219" s="5" t="inlineStr">
        <is>
          <t>Healthcare</t>
        </is>
      </c>
      <c r="D219" s="8">
        <f>IF($A219="","",BDP($A219,"LAST_PRICE"))</f>
        <v/>
      </c>
      <c r="E219" s="6">
        <f>IFERROR(IF(AND(ISNUMBER(D219),ISNUMBER('Market Data'!B219),'Market Data'!B219&gt;0),D219/'Market Data'!B219-1,""),"")</f>
        <v/>
      </c>
    </row>
    <row r="220" ht="22" customHeight="1">
      <c r="A220" s="5" t="inlineStr">
        <is>
          <t>1276 HK Equity</t>
        </is>
      </c>
      <c r="B220" s="5" t="inlineStr">
        <is>
          <t>HENGRUI PHARMA</t>
        </is>
      </c>
      <c r="C220" s="5" t="inlineStr">
        <is>
          <t>Healthcare</t>
        </is>
      </c>
      <c r="D220" s="8">
        <f>IF($A220="","",BDP($A220,"LAST_PRICE"))</f>
        <v/>
      </c>
      <c r="E220" s="6">
        <f>IFERROR(IF(AND(ISNUMBER(D220),ISNUMBER('Market Data'!B220),'Market Data'!B220&gt;0),D220/'Market Data'!B220-1,""),"")</f>
        <v/>
      </c>
    </row>
    <row r="221" ht="22" customHeight="1">
      <c r="A221" s="5" t="inlineStr">
        <is>
          <t>2593 HK Equity</t>
        </is>
      </c>
      <c r="B221" s="5" t="inlineStr">
        <is>
          <t>HERBS GROUP</t>
        </is>
      </c>
      <c r="C221" s="5" t="inlineStr">
        <is>
          <t>Healthcare</t>
        </is>
      </c>
      <c r="D221" s="8">
        <f>IF($A221="","",BDP($A221,"LAST_PRICE"))</f>
        <v/>
      </c>
      <c r="E221" s="6">
        <f>IFERROR(IF(AND(ISNUMBER(D221),ISNUMBER('Market Data'!B221),'Market Data'!B221&gt;0),D221/'Market Data'!B221-1,""),"")</f>
        <v/>
      </c>
    </row>
    <row r="222" ht="22" customHeight="1">
      <c r="A222" s="5" t="inlineStr">
        <is>
          <t>2511 HK Equity</t>
        </is>
      </c>
      <c r="B222" s="5" t="inlineStr">
        <is>
          <t>HIGHTIDE-B</t>
        </is>
      </c>
      <c r="C222" s="5" t="inlineStr">
        <is>
          <t>Healthcare</t>
        </is>
      </c>
      <c r="D222" s="8">
        <f>IF($A222="","",BDP($A222,"LAST_PRICE"))</f>
        <v/>
      </c>
      <c r="E222" s="6">
        <f>IFERROR(IF(AND(ISNUMBER(D222),ISNUMBER('Market Data'!B222),'Market Data'!B222&gt;0),D222/'Market Data'!B222-1,""),"")</f>
        <v/>
      </c>
    </row>
    <row r="223" ht="22" customHeight="1">
      <c r="A223" s="5" t="inlineStr">
        <is>
          <t>6132 HK Equity</t>
        </is>
      </c>
      <c r="B223" s="5" t="inlineStr">
        <is>
          <t>HJ SCIENCE-B</t>
        </is>
      </c>
      <c r="C223" s="5" t="inlineStr">
        <is>
          <t>Healthcare</t>
        </is>
      </c>
      <c r="D223" s="8">
        <f>IF($A223="","",BDP($A223,"LAST_PRICE"))</f>
        <v/>
      </c>
      <c r="E223" s="6">
        <f>IFERROR(IF(AND(ISNUMBER(D223),ISNUMBER('Market Data'!B223),'Market Data'!B223&gt;0),D223/'Market Data'!B223-1,""),"")</f>
        <v/>
      </c>
    </row>
    <row r="224" ht="22" customHeight="1">
      <c r="A224" s="5" t="inlineStr">
        <is>
          <t>13 HK Equity</t>
        </is>
      </c>
      <c r="B224" s="5" t="inlineStr">
        <is>
          <t>HUTCHMED</t>
        </is>
      </c>
      <c r="C224" s="5" t="inlineStr">
        <is>
          <t>Healthcare</t>
        </is>
      </c>
      <c r="D224" s="8">
        <f>IF($A224="","",BDP($A224,"LAST_PRICE"))</f>
        <v/>
      </c>
      <c r="E224" s="6">
        <f>IFERROR(IF(AND(ISNUMBER(D224),ISNUMBER('Market Data'!B224),'Market Data'!B224&gt;0),D224/'Market Data'!B224-1,""),"")</f>
        <v/>
      </c>
    </row>
    <row r="225" ht="22" customHeight="1">
      <c r="A225" s="5" t="inlineStr">
        <is>
          <t>1541 HK Equity</t>
        </is>
      </c>
      <c r="B225" s="5" t="inlineStr">
        <is>
          <t>IMMUNEONCO-B</t>
        </is>
      </c>
      <c r="C225" s="5" t="inlineStr">
        <is>
          <t>Healthcare</t>
        </is>
      </c>
      <c r="D225" s="8">
        <f>IF($A225="","",BDP($A225,"LAST_PRICE"))</f>
        <v/>
      </c>
      <c r="E225" s="6">
        <f>IFERROR(IF(AND(ISNUMBER(D225),ISNUMBER('Market Data'!B225),'Market Data'!B225&gt;0),D225/'Market Data'!B225-1,""),"")</f>
        <v/>
      </c>
    </row>
    <row r="226" ht="22" customHeight="1">
      <c r="A226" s="5" t="inlineStr">
        <is>
          <t>7630 HK Equity</t>
        </is>
      </c>
      <c r="B226" s="5" t="inlineStr">
        <is>
          <t>IMPACT THERAP-B</t>
        </is>
      </c>
      <c r="C226" s="5" t="inlineStr">
        <is>
          <t>Healthcare</t>
        </is>
      </c>
      <c r="D226" s="8">
        <f>IF($A226="","",BDP($A226,"LAST_PRICE"))</f>
        <v/>
      </c>
      <c r="E226" s="6">
        <f>IFERROR(IF(AND(ISNUMBER(D226),ISNUMBER('Market Data'!B226),'Market Data'!B226&gt;0),D226/'Market Data'!B226-1,""),"")</f>
        <v/>
      </c>
    </row>
    <row r="227" ht="22" customHeight="1">
      <c r="A227" s="5" t="inlineStr">
        <is>
          <t>2591 HK Equity</t>
        </is>
      </c>
      <c r="B227" s="5" t="inlineStr">
        <is>
          <t>INNOGEN-B</t>
        </is>
      </c>
      <c r="C227" s="5" t="inlineStr">
        <is>
          <t>Healthcare</t>
        </is>
      </c>
      <c r="D227" s="8">
        <f>IF($A227="","",BDP($A227,"LAST_PRICE"))</f>
        <v/>
      </c>
      <c r="E227" s="6">
        <f>IFERROR(IF(AND(ISNUMBER(D227),ISNUMBER('Market Data'!B227),'Market Data'!B227&gt;0),D227/'Market Data'!B227-1,""),"")</f>
        <v/>
      </c>
    </row>
    <row r="228" ht="22" customHeight="1">
      <c r="A228" s="5" t="inlineStr">
        <is>
          <t>2161 HK Equity</t>
        </is>
      </c>
      <c r="B228" s="5" t="inlineStr">
        <is>
          <t>JBM HEALTHCARE</t>
        </is>
      </c>
      <c r="C228" s="5" t="inlineStr">
        <is>
          <t>Healthcare</t>
        </is>
      </c>
      <c r="D228" s="8">
        <f>IF($A228="","",BDP($A228,"LAST_PRICE"))</f>
        <v/>
      </c>
      <c r="E228" s="6">
        <f>IFERROR(IF(AND(ISNUMBER(D228),ISNUMBER('Market Data'!B228),'Market Data'!B228&gt;0),D228/'Market Data'!B228-1,""),"")</f>
        <v/>
      </c>
    </row>
    <row r="229" ht="22" customHeight="1">
      <c r="A229" s="5" t="inlineStr">
        <is>
          <t>9877 HK Equity</t>
        </is>
      </c>
      <c r="B229" s="5" t="inlineStr">
        <is>
          <t>JENSCARE-B</t>
        </is>
      </c>
      <c r="C229" s="5" t="inlineStr">
        <is>
          <t>Healthcare</t>
        </is>
      </c>
      <c r="D229" s="8">
        <f>IF($A229="","",BDP($A229,"LAST_PRICE"))</f>
        <v/>
      </c>
      <c r="E229" s="6">
        <f>IFERROR(IF(AND(ISNUMBER(D229),ISNUMBER('Market Data'!B229),'Market Data'!B229&gt;0),D229/'Market Data'!B229-1,""),"")</f>
        <v/>
      </c>
    </row>
    <row r="230" ht="22" customHeight="1">
      <c r="A230" s="5" t="inlineStr">
        <is>
          <t>6915 HK Equity</t>
        </is>
      </c>
      <c r="B230" s="5" t="inlineStr">
        <is>
          <t>JIANGXI BIO</t>
        </is>
      </c>
      <c r="C230" s="5" t="inlineStr">
        <is>
          <t>Healthcare</t>
        </is>
      </c>
      <c r="D230" s="8">
        <f>IF($A230="","",BDP($A230,"LAST_PRICE"))</f>
        <v/>
      </c>
      <c r="E230" s="6">
        <f>IFERROR(IF(AND(ISNUMBER(D230),ISNUMBER('Market Data'!B230),'Market Data'!B230&gt;0),D230/'Market Data'!B230-1,""),"")</f>
        <v/>
      </c>
    </row>
    <row r="231" ht="22" customHeight="1">
      <c r="A231" s="5" t="inlineStr">
        <is>
          <t>2566 HK Equity</t>
        </is>
      </c>
      <c r="B231" s="5" t="inlineStr">
        <is>
          <t>JIUYUAN GENE</t>
        </is>
      </c>
      <c r="C231" s="5" t="inlineStr">
        <is>
          <t>Healthcare</t>
        </is>
      </c>
      <c r="D231" s="8">
        <f>IF($A231="","",BDP($A231,"LAST_PRICE"))</f>
        <v/>
      </c>
      <c r="E231" s="6">
        <f>IFERROR(IF(AND(ISNUMBER(D231),ISNUMBER('Market Data'!B231),'Market Data'!B231&gt;0),D231/'Market Data'!B231-1,""),"")</f>
        <v/>
      </c>
    </row>
    <row r="232" ht="22" customHeight="1">
      <c r="A232" s="5" t="inlineStr">
        <is>
          <t>6127 HK Equity</t>
        </is>
      </c>
      <c r="B232" s="5" t="inlineStr">
        <is>
          <t>JOINN</t>
        </is>
      </c>
      <c r="C232" s="5" t="inlineStr">
        <is>
          <t>Healthcare</t>
        </is>
      </c>
      <c r="D232" s="8">
        <f>IF($A232="","",BDP($A232,"LAST_PRICE"))</f>
        <v/>
      </c>
      <c r="E232" s="6">
        <f>IFERROR(IF(AND(ISNUMBER(D232),ISNUMBER('Market Data'!B232),'Market Data'!B232&gt;0),D232/'Market Data'!B232-1,""),"")</f>
        <v/>
      </c>
    </row>
    <row r="233" ht="22" customHeight="1">
      <c r="A233" s="5" t="inlineStr">
        <is>
          <t>2162 HK Equity</t>
        </is>
      </c>
      <c r="B233" s="5" t="inlineStr">
        <is>
          <t>KEYMED BIO-B</t>
        </is>
      </c>
      <c r="C233" s="5" t="inlineStr">
        <is>
          <t>Healthcare</t>
        </is>
      </c>
      <c r="D233" s="8">
        <f>IF($A233="","",BDP($A233,"LAST_PRICE"))</f>
        <v/>
      </c>
      <c r="E233" s="6">
        <f>IFERROR(IF(AND(ISNUMBER(D233),ISNUMBER('Market Data'!B233),'Market Data'!B233&gt;0),D233/'Market Data'!B233-1,""),"")</f>
        <v/>
      </c>
    </row>
    <row r="234" ht="22" customHeight="1">
      <c r="A234" s="5" t="inlineStr">
        <is>
          <t>9960 HK Equity</t>
        </is>
      </c>
      <c r="B234" s="5" t="inlineStr">
        <is>
          <t>KINDSTAR GLOBAL</t>
        </is>
      </c>
      <c r="C234" s="5" t="inlineStr">
        <is>
          <t>Healthcare</t>
        </is>
      </c>
      <c r="D234" s="8">
        <f>IF($A234="","",BDP($A234,"LAST_PRICE"))</f>
        <v/>
      </c>
      <c r="E234" s="6">
        <f>IFERROR(IF(AND(ISNUMBER(D234),ISNUMBER('Market Data'!B234),'Market Data'!B234&gt;0),D234/'Market Data'!B234-1,""),"")</f>
        <v/>
      </c>
    </row>
    <row r="235" ht="22" customHeight="1">
      <c r="A235" s="5" t="inlineStr">
        <is>
          <t>2105 HK Equity</t>
        </is>
      </c>
      <c r="B235" s="5" t="inlineStr">
        <is>
          <t>LAEKNA-B</t>
        </is>
      </c>
      <c r="C235" s="5" t="inlineStr">
        <is>
          <t>Healthcare</t>
        </is>
      </c>
      <c r="D235" s="8">
        <f>IF($A235="","",BDP($A235,"LAST_PRICE"))</f>
        <v/>
      </c>
      <c r="E235" s="6">
        <f>IFERROR(IF(AND(ISNUMBER(D235),ISNUMBER('Market Data'!B235),'Market Data'!B235&gt;0),D235/'Market Data'!B235-1,""),"")</f>
        <v/>
      </c>
    </row>
    <row r="236" ht="22" customHeight="1">
      <c r="A236" s="5" t="inlineStr">
        <is>
          <t>9887 HK Equity</t>
        </is>
      </c>
      <c r="B236" s="5" t="inlineStr">
        <is>
          <t>LEADS BIOLABS-B</t>
        </is>
      </c>
      <c r="C236" s="5" t="inlineStr">
        <is>
          <t>Healthcare</t>
        </is>
      </c>
      <c r="D236" s="8">
        <f>IF($A236="","",BDP($A236,"LAST_PRICE"))</f>
        <v/>
      </c>
      <c r="E236" s="6">
        <f>IFERROR(IF(AND(ISNUMBER(D236),ISNUMBER('Market Data'!B236),'Market Data'!B236&gt;0),D236/'Market Data'!B236-1,""),"")</f>
        <v/>
      </c>
    </row>
    <row r="237" ht="22" customHeight="1">
      <c r="A237" s="5" t="inlineStr">
        <is>
          <t>2157 HK Equity</t>
        </is>
      </c>
      <c r="B237" s="5" t="inlineStr">
        <is>
          <t>LEPU BIO-B</t>
        </is>
      </c>
      <c r="C237" s="5" t="inlineStr">
        <is>
          <t>Healthcare</t>
        </is>
      </c>
      <c r="D237" s="8">
        <f>IF($A237="","",BDP($A237,"LAST_PRICE"))</f>
        <v/>
      </c>
      <c r="E237" s="6">
        <f>IFERROR(IF(AND(ISNUMBER(D237),ISNUMBER('Market Data'!B237),'Market Data'!B237&gt;0),D237/'Market Data'!B237-1,""),"")</f>
        <v/>
      </c>
    </row>
    <row r="238" ht="22" customHeight="1">
      <c r="A238" s="5" t="inlineStr">
        <is>
          <t>1779 HK Equity</t>
        </is>
      </c>
      <c r="B238" s="5" t="inlineStr">
        <is>
          <t>LONGBIO-B</t>
        </is>
      </c>
      <c r="C238" s="5" t="inlineStr">
        <is>
          <t>Healthcare</t>
        </is>
      </c>
      <c r="D238" s="8">
        <f>IF($A238="","",BDP($A238,"LAST_PRICE"))</f>
        <v/>
      </c>
      <c r="E238" s="6">
        <f>IFERROR(IF(AND(ISNUMBER(D238),ISNUMBER('Market Data'!B238),'Market Data'!B238&gt;0),D238/'Market Data'!B238-1,""),"")</f>
        <v/>
      </c>
    </row>
    <row r="239" ht="22" customHeight="1">
      <c r="A239" s="5" t="inlineStr">
        <is>
          <t>2480 HK Equity</t>
        </is>
      </c>
      <c r="B239" s="5" t="inlineStr">
        <is>
          <t>LUZHU BIOTECH-B</t>
        </is>
      </c>
      <c r="C239" s="5" t="inlineStr">
        <is>
          <t>Healthcare</t>
        </is>
      </c>
      <c r="D239" s="8">
        <f>IF($A239="","",BDP($A239,"LAST_PRICE"))</f>
        <v/>
      </c>
      <c r="E239" s="6">
        <f>IFERROR(IF(AND(ISNUMBER(D239),ISNUMBER('Market Data'!B239),'Market Data'!B239&gt;0),D239/'Market Data'!B239-1,""),"")</f>
        <v/>
      </c>
    </row>
    <row r="240" ht="22" customHeight="1">
      <c r="A240" s="5" t="inlineStr">
        <is>
          <t>2493 HK Equity</t>
        </is>
      </c>
      <c r="B240" s="5" t="inlineStr">
        <is>
          <t>MABWELL-B</t>
        </is>
      </c>
      <c r="C240" s="5" t="inlineStr">
        <is>
          <t>Healthcare</t>
        </is>
      </c>
      <c r="D240" s="8">
        <f>IF($A240="","",BDP($A240,"LAST_PRICE"))</f>
        <v/>
      </c>
      <c r="E240" s="6">
        <f>IFERROR(IF(AND(ISNUMBER(D240),ISNUMBER('Market Data'!B240),'Market Data'!B240&gt;0),D240/'Market Data'!B240-1,""),"")</f>
        <v/>
      </c>
    </row>
    <row r="241" ht="22" customHeight="1">
      <c r="A241" s="5" t="inlineStr">
        <is>
          <t>2252 HK Equity</t>
        </is>
      </c>
      <c r="B241" s="5" t="inlineStr">
        <is>
          <t>MEDBOT-B</t>
        </is>
      </c>
      <c r="C241" s="5" t="inlineStr">
        <is>
          <t>Healthcare</t>
        </is>
      </c>
      <c r="D241" s="8">
        <f>IF($A241="","",BDP($A241,"LAST_PRICE"))</f>
        <v/>
      </c>
      <c r="E241" s="6">
        <f>IFERROR(IF(AND(ISNUMBER(D241),ISNUMBER('Market Data'!B241),'Market Data'!B241&gt;0),D241/'Market Data'!B241-1,""),"")</f>
        <v/>
      </c>
    </row>
    <row r="242" ht="22" customHeight="1">
      <c r="A242" s="5" t="inlineStr">
        <is>
          <t>2041 HK Equity</t>
        </is>
      </c>
      <c r="B242" s="5" t="inlineStr">
        <is>
          <t>MEDCAPTAIN</t>
        </is>
      </c>
      <c r="C242" s="5" t="inlineStr">
        <is>
          <t>Healthcare</t>
        </is>
      </c>
      <c r="D242" s="8">
        <f>IF($A242="","",BDP($A242,"LAST_PRICE"))</f>
        <v/>
      </c>
      <c r="E242" s="6">
        <f>IFERROR(IF(AND(ISNUMBER(D242),ISNUMBER('Market Data'!B242),'Market Data'!B242&gt;0),D242/'Market Data'!B242-1,""),"")</f>
        <v/>
      </c>
    </row>
    <row r="243" ht="22" customHeight="1">
      <c r="A243" s="5" t="inlineStr">
        <is>
          <t>2159 HK Equity</t>
        </is>
      </c>
      <c r="B243" s="5" t="inlineStr">
        <is>
          <t>MEDIWELCOME</t>
        </is>
      </c>
      <c r="C243" s="5" t="inlineStr">
        <is>
          <t>Healthcare</t>
        </is>
      </c>
      <c r="D243" s="8">
        <f>IF($A243="","",BDP($A243,"LAST_PRICE"))</f>
        <v/>
      </c>
      <c r="E243" s="6">
        <f>IFERROR(IF(AND(ISNUMBER(D243),ISNUMBER('Market Data'!B243),'Market Data'!B243&gt;0),D243/'Market Data'!B243-1,""),"")</f>
        <v/>
      </c>
    </row>
    <row r="244" ht="22" customHeight="1">
      <c r="A244" s="5" t="inlineStr">
        <is>
          <t>2192 HK Equity</t>
        </is>
      </c>
      <c r="B244" s="5" t="inlineStr">
        <is>
          <t>MEDLIVE</t>
        </is>
      </c>
      <c r="C244" s="5" t="inlineStr">
        <is>
          <t>Healthcare</t>
        </is>
      </c>
      <c r="D244" s="8">
        <f>IF($A244="","",BDP($A244,"LAST_PRICE"))</f>
        <v/>
      </c>
      <c r="E244" s="6">
        <f>IFERROR(IF(AND(ISNUMBER(D244),ISNUMBER('Market Data'!B244),'Market Data'!B244&gt;0),D244/'Market Data'!B244-1,""),"")</f>
        <v/>
      </c>
    </row>
    <row r="245" ht="22" customHeight="1">
      <c r="A245" s="5" t="inlineStr">
        <is>
          <t>2415 HK Equity</t>
        </is>
      </c>
      <c r="B245" s="5" t="inlineStr">
        <is>
          <t>MEDSCI</t>
        </is>
      </c>
      <c r="C245" s="5" t="inlineStr">
        <is>
          <t>Healthcare</t>
        </is>
      </c>
      <c r="D245" s="8">
        <f>IF($A245="","",BDP($A245,"LAST_PRICE"))</f>
        <v/>
      </c>
      <c r="E245" s="6">
        <f>IFERROR(IF(AND(ISNUMBER(D245),ISNUMBER('Market Data'!B245),'Market Data'!B245&gt;0),D245/'Market Data'!B245-1,""),"")</f>
        <v/>
      </c>
    </row>
    <row r="246" ht="22" customHeight="1">
      <c r="A246" s="5" t="inlineStr">
        <is>
          <t>3880 HK Equity</t>
        </is>
      </c>
      <c r="B246" s="5" t="inlineStr">
        <is>
          <t>MEDTIDE</t>
        </is>
      </c>
      <c r="C246" s="5" t="inlineStr">
        <is>
          <t>Healthcare</t>
        </is>
      </c>
      <c r="D246" s="8">
        <f>IF($A246="","",BDP($A246,"LAST_PRICE"))</f>
        <v/>
      </c>
      <c r="E246" s="6">
        <f>IFERROR(IF(AND(ISNUMBER(D246),ISNUMBER('Market Data'!B246),'Market Data'!B246&gt;0),D246/'Market Data'!B246-1,""),"")</f>
        <v/>
      </c>
    </row>
    <row r="247" ht="22" customHeight="1">
      <c r="A247" s="5" t="inlineStr">
        <is>
          <t>6667 HK Equity</t>
        </is>
      </c>
      <c r="B247" s="5" t="inlineStr">
        <is>
          <t>MEGA GENOMICS</t>
        </is>
      </c>
      <c r="C247" s="5" t="inlineStr">
        <is>
          <t>Healthcare</t>
        </is>
      </c>
      <c r="D247" s="8">
        <f>IF($A247="","",BDP($A247,"LAST_PRICE"))</f>
        <v/>
      </c>
      <c r="E247" s="6">
        <f>IFERROR(IF(AND(ISNUMBER(D247),ISNUMBER('Market Data'!B247),'Market Data'!B247&gt;0),D247/'Market Data'!B247-1,""),"")</f>
        <v/>
      </c>
    </row>
    <row r="248" ht="22" customHeight="1">
      <c r="A248" s="5" t="inlineStr">
        <is>
          <t>1947 HK Equity</t>
        </is>
      </c>
      <c r="B248" s="5" t="inlineStr">
        <is>
          <t>MEIHAO GROUP</t>
        </is>
      </c>
      <c r="C248" s="5" t="inlineStr">
        <is>
          <t>Healthcare</t>
        </is>
      </c>
      <c r="D248" s="8">
        <f>IF($A248="","",BDP($A248,"LAST_PRICE"))</f>
        <v/>
      </c>
      <c r="E248" s="6">
        <f>IFERROR(IF(AND(ISNUMBER(D248),ISNUMBER('Market Data'!B248),'Market Data'!B248&gt;0),D248/'Market Data'!B248-1,""),"")</f>
        <v/>
      </c>
    </row>
    <row r="249" ht="22" customHeight="1">
      <c r="A249" s="5" t="inlineStr">
        <is>
          <t>7666 HK Equity</t>
        </is>
      </c>
      <c r="B249" s="5" t="inlineStr">
        <is>
          <t>METIS TECHBIO-P</t>
        </is>
      </c>
      <c r="C249" s="5" t="inlineStr">
        <is>
          <t>Healthcare</t>
        </is>
      </c>
      <c r="D249" s="8">
        <f>IF($A249="","",BDP($A249,"LAST_PRICE"))</f>
        <v/>
      </c>
      <c r="E249" s="6">
        <f>IFERROR(IF(AND(ISNUMBER(D249),ISNUMBER('Market Data'!B249),'Market Data'!B249&gt;0),D249/'Market Data'!B249-1,""),"")</f>
        <v/>
      </c>
    </row>
    <row r="250" ht="22" customHeight="1">
      <c r="A250" s="5" t="inlineStr">
        <is>
          <t>2335 HK Equity</t>
        </is>
      </c>
      <c r="B250" s="5" t="inlineStr">
        <is>
          <t>MICOT PHARMA-B</t>
        </is>
      </c>
      <c r="C250" s="5" t="inlineStr">
        <is>
          <t>Healthcare</t>
        </is>
      </c>
      <c r="D250" s="8">
        <f>IF($A250="","",BDP($A250,"LAST_PRICE"))</f>
        <v/>
      </c>
      <c r="E250" s="6">
        <f>IFERROR(IF(AND(ISNUMBER(D250),ISNUMBER('Market Data'!B250),'Market Data'!B250&gt;0),D250/'Market Data'!B250-1,""),"")</f>
        <v/>
      </c>
    </row>
    <row r="251" ht="22" customHeight="1">
      <c r="A251" s="5" t="inlineStr">
        <is>
          <t>2172 HK Equity</t>
        </is>
      </c>
      <c r="B251" s="5" t="inlineStr">
        <is>
          <t>MICROPORT NEURO</t>
        </is>
      </c>
      <c r="C251" s="5" t="inlineStr">
        <is>
          <t>Healthcare</t>
        </is>
      </c>
      <c r="D251" s="8">
        <f>IF($A251="","",BDP($A251,"LAST_PRICE"))</f>
        <v/>
      </c>
      <c r="E251" s="6">
        <f>IFERROR(IF(AND(ISNUMBER(D251),ISNUMBER('Market Data'!B251),'Market Data'!B251&gt;0),D251/'Market Data'!B251-1,""),"")</f>
        <v/>
      </c>
    </row>
    <row r="252" ht="22" customHeight="1">
      <c r="A252" s="5" t="inlineStr">
        <is>
          <t>2235 HK Equity</t>
        </is>
      </c>
      <c r="B252" s="5" t="inlineStr">
        <is>
          <t>MICROTECH MED-B</t>
        </is>
      </c>
      <c r="C252" s="5" t="inlineStr">
        <is>
          <t>Healthcare</t>
        </is>
      </c>
      <c r="D252" s="8">
        <f>IF($A252="","",BDP($A252,"LAST_PRICE"))</f>
        <v/>
      </c>
      <c r="E252" s="6">
        <f>IFERROR(IF(AND(ISNUMBER(D252),ISNUMBER('Market Data'!B252),'Market Data'!B252&gt;0),D252/'Market Data'!B252-1,""),"")</f>
        <v/>
      </c>
    </row>
    <row r="253" ht="22" customHeight="1">
      <c r="A253" s="5" t="inlineStr">
        <is>
          <t>2629 HK Equity</t>
        </is>
      </c>
      <c r="B253" s="5" t="inlineStr">
        <is>
          <t>MIRXES-B</t>
        </is>
      </c>
      <c r="C253" s="5" t="inlineStr">
        <is>
          <t>Healthcare</t>
        </is>
      </c>
      <c r="D253" s="8">
        <f>IF($A253="","",BDP($A253,"LAST_PRICE"))</f>
        <v/>
      </c>
      <c r="E253" s="6">
        <f>IFERROR(IF(AND(ISNUMBER(D253),ISNUMBER('Market Data'!B253),'Market Data'!B253&gt;0),D253/'Market Data'!B253-1,""),"")</f>
        <v/>
      </c>
    </row>
    <row r="254" ht="22" customHeight="1">
      <c r="A254" s="5" t="inlineStr">
        <is>
          <t>1643 HK Equity</t>
        </is>
      </c>
      <c r="B254" s="5" t="inlineStr">
        <is>
          <t>MODERN CHI MED</t>
        </is>
      </c>
      <c r="C254" s="5" t="inlineStr">
        <is>
          <t>Healthcare</t>
        </is>
      </c>
      <c r="D254" s="8">
        <f>IF($A254="","",BDP($A254,"LAST_PRICE"))</f>
        <v/>
      </c>
      <c r="E254" s="6">
        <f>IFERROR(IF(AND(ISNUMBER(D254),ISNUMBER('Market Data'!B254),'Market Data'!B254&gt;0),D254/'Market Data'!B254-1,""),"")</f>
        <v/>
      </c>
    </row>
    <row r="255" ht="22" customHeight="1">
      <c r="A255" s="5" t="inlineStr">
        <is>
          <t>9686 HK Equity</t>
        </is>
      </c>
      <c r="B255" s="5" t="inlineStr">
        <is>
          <t>NEUSOFT XIKANG</t>
        </is>
      </c>
      <c r="C255" s="5" t="inlineStr">
        <is>
          <t>Healthcare</t>
        </is>
      </c>
      <c r="D255" s="8">
        <f>IF($A255="","",BDP($A255,"LAST_PRICE"))</f>
        <v/>
      </c>
      <c r="E255" s="6">
        <f>IFERROR(IF(AND(ISNUMBER(D255),ISNUMBER('Market Data'!B255),'Market Data'!B255&gt;0),D255/'Market Data'!B255-1,""),"")</f>
        <v/>
      </c>
    </row>
    <row r="256" ht="22" customHeight="1">
      <c r="A256" s="5" t="inlineStr">
        <is>
          <t>9600 HK Equity</t>
        </is>
      </c>
      <c r="B256" s="5" t="inlineStr">
        <is>
          <t>NEWLINK TECH</t>
        </is>
      </c>
      <c r="C256" s="5" t="inlineStr">
        <is>
          <t>Healthcare</t>
        </is>
      </c>
      <c r="D256" s="8">
        <f>IF($A256="","",BDP($A256,"LAST_PRICE"))</f>
        <v/>
      </c>
      <c r="E256" s="6">
        <f>IFERROR(IF(AND(ISNUMBER(D256),ISNUMBER('Market Data'!B256),'Market Data'!B256&gt;0),D256/'Market Data'!B256-1,""),"")</f>
        <v/>
      </c>
    </row>
    <row r="257" ht="22" customHeight="1">
      <c r="A257" s="5" t="inlineStr">
        <is>
          <t>6929 HK Equity</t>
        </is>
      </c>
      <c r="B257" s="5" t="inlineStr">
        <is>
          <t>ORBUSNEICH</t>
        </is>
      </c>
      <c r="C257" s="5" t="inlineStr">
        <is>
          <t>Healthcare</t>
        </is>
      </c>
      <c r="D257" s="8">
        <f>IF($A257="","",BDP($A257,"LAST_PRICE"))</f>
        <v/>
      </c>
      <c r="E257" s="6">
        <f>IFERROR(IF(AND(ISNUMBER(D257),ISNUMBER('Market Data'!B257),'Market Data'!B257&gt;0),D257/'Market Data'!B257-1,""),"")</f>
        <v/>
      </c>
    </row>
    <row r="258" ht="22" customHeight="1">
      <c r="A258" s="5" t="inlineStr">
        <is>
          <t>2565 HK Equity</t>
        </is>
      </c>
      <c r="B258" s="5" t="inlineStr">
        <is>
          <t>PEGBIO CO-B</t>
        </is>
      </c>
      <c r="C258" s="5" t="inlineStr">
        <is>
          <t>Healthcare</t>
        </is>
      </c>
      <c r="D258" s="8">
        <f>IF($A258="","",BDP($A258,"LAST_PRICE"))</f>
        <v/>
      </c>
      <c r="E258" s="6">
        <f>IFERROR(IF(AND(ISNUMBER(D258),ISNUMBER('Market Data'!B258),'Market Data'!B258&gt;0),D258/'Market Data'!B258-1,""),"")</f>
        <v/>
      </c>
    </row>
    <row r="259" ht="22" customHeight="1">
      <c r="A259" s="5" t="inlineStr">
        <is>
          <t>2509 HK Equity</t>
        </is>
      </c>
      <c r="B259" s="5" t="inlineStr">
        <is>
          <t>QYUNS-B</t>
        </is>
      </c>
      <c r="C259" s="5" t="inlineStr">
        <is>
          <t>Healthcare</t>
        </is>
      </c>
      <c r="D259" s="8">
        <f>IF($A259="","",BDP($A259,"LAST_PRICE"))</f>
        <v/>
      </c>
      <c r="E259" s="6">
        <f>IFERROR(IF(AND(ISNUMBER(D259),ISNUMBER('Market Data'!B259),'Market Data'!B259&gt;0),D259/'Market Data'!B259-1,""),"")</f>
        <v/>
      </c>
    </row>
    <row r="260" ht="22" customHeight="1">
      <c r="A260" s="5" t="inlineStr">
        <is>
          <t>2297 HK Equity</t>
        </is>
      </c>
      <c r="B260" s="5" t="inlineStr">
        <is>
          <t>RAINMED-B</t>
        </is>
      </c>
      <c r="C260" s="5" t="inlineStr">
        <is>
          <t>Healthcare</t>
        </is>
      </c>
      <c r="D260" s="8">
        <f>IF($A260="","",BDP($A260,"LAST_PRICE"))</f>
        <v/>
      </c>
      <c r="E260" s="6">
        <f>IFERROR(IF(AND(ISNUMBER(D260),ISNUMBER('Market Data'!B260),'Market Data'!B260&gt;0),D260/'Market Data'!B260-1,""),"")</f>
        <v/>
      </c>
    </row>
    <row r="261" ht="22" customHeight="1">
      <c r="A261" s="5" t="inlineStr">
        <is>
          <t>2179 HK Equity</t>
        </is>
      </c>
      <c r="B261" s="5" t="inlineStr">
        <is>
          <t>RECBIO-B</t>
        </is>
      </c>
      <c r="C261" s="5" t="inlineStr">
        <is>
          <t>Healthcare</t>
        </is>
      </c>
      <c r="D261" s="8">
        <f>IF($A261="","",BDP($A261,"LAST_PRICE"))</f>
        <v/>
      </c>
      <c r="E261" s="6">
        <f>IFERROR(IF(AND(ISNUMBER(D261),ISNUMBER('Market Data'!B261),'Market Data'!B261&gt;0),D261/'Market Data'!B261-1,""),"")</f>
        <v/>
      </c>
    </row>
    <row r="262" ht="22" customHeight="1">
      <c r="A262" s="5" t="inlineStr">
        <is>
          <t>6938 HK Equity</t>
        </is>
      </c>
      <c r="B262" s="5" t="inlineStr">
        <is>
          <t>RIBOLIFE-B</t>
        </is>
      </c>
      <c r="C262" s="5" t="inlineStr">
        <is>
          <t>Healthcare</t>
        </is>
      </c>
      <c r="D262" s="8">
        <f>IF($A262="","",BDP($A262,"LAST_PRICE"))</f>
        <v/>
      </c>
      <c r="E262" s="6">
        <f>IFERROR(IF(AND(ISNUMBER(D262),ISNUMBER('Market Data'!B262),'Market Data'!B262&gt;0),D262/'Market Data'!B262-1,""),"")</f>
        <v/>
      </c>
    </row>
    <row r="263" ht="22" customHeight="1">
      <c r="A263" s="5" t="inlineStr">
        <is>
          <t>2522 HK Equity</t>
        </is>
      </c>
      <c r="B263" s="5" t="inlineStr">
        <is>
          <t>RIMAG GROUP</t>
        </is>
      </c>
      <c r="C263" s="5" t="inlineStr">
        <is>
          <t>Healthcare</t>
        </is>
      </c>
      <c r="D263" s="8">
        <f>IF($A263="","",BDP($A263,"LAST_PRICE"))</f>
        <v/>
      </c>
      <c r="E263" s="6">
        <f>IFERROR(IF(AND(ISNUMBER(D263),ISNUMBER('Market Data'!B263),'Market Data'!B263&gt;0),D263/'Market Data'!B263-1,""),"")</f>
        <v/>
      </c>
    </row>
    <row r="264" ht="22" customHeight="1">
      <c r="A264" s="5" t="inlineStr">
        <is>
          <t>2508 HK Equity</t>
        </is>
      </c>
      <c r="B264" s="5" t="inlineStr">
        <is>
          <t>SAINT BELLA</t>
        </is>
      </c>
      <c r="C264" s="5" t="inlineStr">
        <is>
          <t>Healthcare</t>
        </is>
      </c>
      <c r="D264" s="8">
        <f>IF($A264="","",BDP($A264,"LAST_PRICE"))</f>
        <v/>
      </c>
      <c r="E264" s="6">
        <f>IFERROR(IF(AND(ISNUMBER(D264),ISNUMBER('Market Data'!B264),'Market Data'!B264&gt;0),D264/'Market Data'!B264-1,""),"")</f>
        <v/>
      </c>
    </row>
    <row r="265" ht="22" customHeight="1">
      <c r="A265" s="5" t="inlineStr">
        <is>
          <t>2291 HK Equity</t>
        </is>
      </c>
      <c r="B265" s="5" t="inlineStr">
        <is>
          <t>SCIENTECH</t>
        </is>
      </c>
      <c r="C265" s="5" t="inlineStr">
        <is>
          <t>Healthcare</t>
        </is>
      </c>
      <c r="D265" s="8">
        <f>IF($A265="","",BDP($A265,"LAST_PRICE"))</f>
        <v/>
      </c>
      <c r="E265" s="6">
        <f>IFERROR(IF(AND(ISNUMBER(D265),ISNUMBER('Market Data'!B265),'Market Data'!B265&gt;0),D265/'Market Data'!B265-1,""),"")</f>
        <v/>
      </c>
    </row>
    <row r="266" ht="22" customHeight="1">
      <c r="A266" s="5" t="inlineStr">
        <is>
          <t>2361 HK Equity</t>
        </is>
      </c>
      <c r="B266" s="5" t="inlineStr">
        <is>
          <t>SINOHEALTH HLDG</t>
        </is>
      </c>
      <c r="C266" s="5" t="inlineStr">
        <is>
          <t>Healthcare</t>
        </is>
      </c>
      <c r="D266" s="8">
        <f>IF($A266="","",BDP($A266,"LAST_PRICE"))</f>
        <v/>
      </c>
      <c r="E266" s="6">
        <f>IFERROR(IF(AND(ISNUMBER(D266),ISNUMBER('Market Data'!B266),'Market Data'!B266&gt;0),D266/'Market Data'!B266-1,""),"")</f>
        <v/>
      </c>
    </row>
    <row r="267" ht="22" customHeight="1">
      <c r="A267" s="5" t="inlineStr">
        <is>
          <t>314 HK Equity</t>
        </is>
      </c>
      <c r="B267" s="5" t="inlineStr">
        <is>
          <t>SIPAI HEALTH</t>
        </is>
      </c>
      <c r="C267" s="5" t="inlineStr">
        <is>
          <t>Healthcare</t>
        </is>
      </c>
      <c r="D267" s="8">
        <f>IF($A267="","",BDP($A267,"LAST_PRICE"))</f>
        <v/>
      </c>
      <c r="E267" s="6">
        <f>IFERROR(IF(AND(ISNUMBER(D267),ISNUMBER('Market Data'!B267),'Market Data'!B267&gt;0),D267/'Market Data'!B267-1,""),"")</f>
        <v/>
      </c>
    </row>
    <row r="268" ht="22" customHeight="1">
      <c r="A268" s="5" t="inlineStr">
        <is>
          <t>2257 HK Equity</t>
        </is>
      </c>
      <c r="B268" s="5" t="inlineStr">
        <is>
          <t>SIRNAOMICS-B</t>
        </is>
      </c>
      <c r="C268" s="5" t="inlineStr">
        <is>
          <t>Healthcare</t>
        </is>
      </c>
      <c r="D268" s="8">
        <f>IF($A268="","",BDP($A268,"LAST_PRICE"))</f>
        <v/>
      </c>
      <c r="E268" s="6">
        <f>IFERROR(IF(AND(ISNUMBER(D268),ISNUMBER('Market Data'!B268),'Market Data'!B268&gt;0),D268/'Market Data'!B268-1,""),"")</f>
        <v/>
      </c>
    </row>
    <row r="269" ht="22" customHeight="1">
      <c r="A269" s="5" t="inlineStr">
        <is>
          <t>6990 HK Equity</t>
        </is>
      </c>
      <c r="B269" s="5" t="inlineStr">
        <is>
          <t>SKB BIO-B</t>
        </is>
      </c>
      <c r="C269" s="5" t="inlineStr">
        <is>
          <t>Healthcare</t>
        </is>
      </c>
      <c r="D269" s="8">
        <f>IF($A269="","",BDP($A269,"LAST_PRICE"))</f>
        <v/>
      </c>
      <c r="E269" s="6">
        <f>IFERROR(IF(AND(ISNUMBER(D269),ISNUMBER('Market Data'!B269),'Market Data'!B269&gt;0),D269/'Market Data'!B269-1,""),"")</f>
        <v/>
      </c>
    </row>
    <row r="270" ht="22" customHeight="1">
      <c r="A270" s="5" t="inlineStr">
        <is>
          <t>1609 HK Equity</t>
        </is>
      </c>
      <c r="B270" s="5" t="inlineStr">
        <is>
          <t>STAR SPORTS MED</t>
        </is>
      </c>
      <c r="C270" s="5" t="inlineStr">
        <is>
          <t>Healthcare</t>
        </is>
      </c>
      <c r="D270" s="8">
        <f>IF($A270="","",BDP($A270,"LAST_PRICE"))</f>
        <v/>
      </c>
      <c r="E270" s="6">
        <f>IFERROR(IF(AND(ISNUMBER(D270),ISNUMBER('Market Data'!B270),'Market Data'!B270&gt;0),D270/'Market Data'!B270-1,""),"")</f>
        <v/>
      </c>
    </row>
    <row r="271" ht="22" customHeight="1">
      <c r="A271" s="5" t="inlineStr">
        <is>
          <t>2898 HK Equity</t>
        </is>
      </c>
      <c r="B271" s="5" t="inlineStr">
        <is>
          <t>SUNHO BIO-B</t>
        </is>
      </c>
      <c r="C271" s="5" t="inlineStr">
        <is>
          <t>Healthcare</t>
        </is>
      </c>
      <c r="D271" s="8">
        <f>IF($A271="","",BDP($A271,"LAST_PRICE"))</f>
        <v/>
      </c>
      <c r="E271" s="6">
        <f>IFERROR(IF(AND(ISNUMBER(D271),ISNUMBER('Market Data'!B271),'Market Data'!B271&gt;0),D271/'Market Data'!B271-1,""),"")</f>
        <v/>
      </c>
    </row>
    <row r="272" ht="22" customHeight="1">
      <c r="A272" s="5" t="inlineStr">
        <is>
          <t>6872 HK Equity</t>
        </is>
      </c>
      <c r="B272" s="5" t="inlineStr">
        <is>
          <t>TENNOR THERAP-B</t>
        </is>
      </c>
      <c r="C272" s="5" t="inlineStr">
        <is>
          <t>Healthcare</t>
        </is>
      </c>
      <c r="D272" s="8">
        <f>IF($A272="","",BDP($A272,"LAST_PRICE"))</f>
        <v/>
      </c>
      <c r="E272" s="6">
        <f>IFERROR(IF(AND(ISNUMBER(D272),ISNUMBER('Market Data'!B272),'Market Data'!B272&gt;0),D272/'Market Data'!B272-1,""),"")</f>
        <v/>
      </c>
    </row>
    <row r="273" ht="22" customHeight="1">
      <c r="A273" s="5" t="inlineStr">
        <is>
          <t>2697 HK Equity</t>
        </is>
      </c>
      <c r="B273" s="5" t="inlineStr">
        <is>
          <t>TH MEDICAL-B</t>
        </is>
      </c>
      <c r="C273" s="5" t="inlineStr">
        <is>
          <t>Healthcare</t>
        </is>
      </c>
      <c r="D273" s="8">
        <f>IF($A273="","",BDP($A273,"LAST_PRICE"))</f>
        <v/>
      </c>
      <c r="E273" s="6">
        <f>IFERROR(IF(AND(ISNUMBER(D273),ISNUMBER('Market Data'!B273),'Market Data'!B273&gt;0),D273/'Market Data'!B273-1,""),"")</f>
        <v/>
      </c>
    </row>
    <row r="274" ht="22" customHeight="1">
      <c r="A274" s="5" t="inlineStr">
        <is>
          <t>2667 HK Equity</t>
        </is>
      </c>
      <c r="B274" s="5" t="inlineStr">
        <is>
          <t>TONGRENTANGCARE</t>
        </is>
      </c>
      <c r="C274" s="5" t="inlineStr">
        <is>
          <t>Healthcare</t>
        </is>
      </c>
      <c r="D274" s="8">
        <f>IF($A274="","",BDP($A274,"LAST_PRICE"))</f>
        <v/>
      </c>
      <c r="E274" s="6">
        <f>IFERROR(IF(AND(ISNUMBER(D274),ISNUMBER('Market Data'!B274),'Market Data'!B274&gt;0),D274/'Market Data'!B274-1,""),"")</f>
        <v/>
      </c>
    </row>
    <row r="275" ht="22" customHeight="1">
      <c r="A275" s="5" t="inlineStr">
        <is>
          <t>6628 HK Equity</t>
        </is>
      </c>
      <c r="B275" s="5" t="inlineStr">
        <is>
          <t>TRANSCENTA-B</t>
        </is>
      </c>
      <c r="C275" s="5" t="inlineStr">
        <is>
          <t>Healthcare</t>
        </is>
      </c>
      <c r="D275" s="8">
        <f>IF($A275="","",BDP($A275,"LAST_PRICE"))</f>
        <v/>
      </c>
      <c r="E275" s="6">
        <f>IFERROR(IF(AND(ISNUMBER(D275),ISNUMBER('Market Data'!B275),'Market Data'!B275&gt;0),D275/'Market Data'!B275-1,""),"")</f>
        <v/>
      </c>
    </row>
    <row r="276" ht="22" customHeight="1">
      <c r="A276" s="5" t="inlineStr">
        <is>
          <t>2617 HK Equity</t>
        </is>
      </c>
      <c r="B276" s="5" t="inlineStr">
        <is>
          <t>TRANSTHERA-B</t>
        </is>
      </c>
      <c r="C276" s="5" t="inlineStr">
        <is>
          <t>Healthcare</t>
        </is>
      </c>
      <c r="D276" s="8">
        <f>IF($A276="","",BDP($A276,"LAST_PRICE"))</f>
        <v/>
      </c>
      <c r="E276" s="6">
        <f>IFERROR(IF(AND(ISNUMBER(D276),ISNUMBER('Market Data'!B276),'Market Data'!B276&gt;0),D276/'Market Data'!B276-1,""),"")</f>
        <v/>
      </c>
    </row>
    <row r="277" ht="22" customHeight="1">
      <c r="A277" s="5" t="inlineStr">
        <is>
          <t>2410 HK Equity</t>
        </is>
      </c>
      <c r="B277" s="5" t="inlineStr">
        <is>
          <t>TYK MEDICINES-B</t>
        </is>
      </c>
      <c r="C277" s="5" t="inlineStr">
        <is>
          <t>Healthcare</t>
        </is>
      </c>
      <c r="D277" s="8">
        <f>IF($A277="","",BDP($A277,"LAST_PRICE"))</f>
        <v/>
      </c>
      <c r="E277" s="6">
        <f>IFERROR(IF(AND(ISNUMBER(D277),ISNUMBER('Market Data'!B277),'Market Data'!B277&gt;0),D277/'Market Data'!B277-1,""),"")</f>
        <v/>
      </c>
    </row>
    <row r="278" ht="22" customHeight="1">
      <c r="A278" s="5" t="inlineStr">
        <is>
          <t>2630 HK Equity</t>
        </is>
      </c>
      <c r="B278" s="5" t="inlineStr">
        <is>
          <t>VIGONVITA-B</t>
        </is>
      </c>
      <c r="C278" s="5" t="inlineStr">
        <is>
          <t>Healthcare</t>
        </is>
      </c>
      <c r="D278" s="8">
        <f>IF($A278="","",BDP($A278,"LAST_PRICE"))</f>
        <v/>
      </c>
      <c r="E278" s="6">
        <f>IFERROR(IF(AND(ISNUMBER(D278),ISNUMBER('Market Data'!B278),'Market Data'!B278&gt;0),D278/'Market Data'!B278-1,""),"")</f>
        <v/>
      </c>
    </row>
    <row r="279" ht="22" customHeight="1">
      <c r="A279" s="5" t="inlineStr">
        <is>
          <t>2561 HK Equity</t>
        </is>
      </c>
      <c r="B279" s="5" t="inlineStr">
        <is>
          <t>VISEN PHARMA-B</t>
        </is>
      </c>
      <c r="C279" s="5" t="inlineStr">
        <is>
          <t>Healthcare</t>
        </is>
      </c>
      <c r="D279" s="8">
        <f>IF($A279="","",BDP($A279,"LAST_PRICE"))</f>
        <v/>
      </c>
      <c r="E279" s="6">
        <f>IFERROR(IF(AND(ISNUMBER(D279),ISNUMBER('Market Data'!B279),'Market Data'!B279&gt;0),D279/'Market Data'!B279-1,""),"")</f>
        <v/>
      </c>
    </row>
    <row r="280" ht="22" customHeight="1">
      <c r="A280" s="5" t="inlineStr">
        <is>
          <t>2477 HK Equity</t>
        </is>
      </c>
      <c r="B280" s="5" t="inlineStr">
        <is>
          <t>WELLCELL HOLD</t>
        </is>
      </c>
      <c r="C280" s="5" t="inlineStr">
        <is>
          <t>Healthcare</t>
        </is>
      </c>
      <c r="D280" s="8">
        <f>IF($A280="","",BDP($A280,"LAST_PRICE"))</f>
        <v/>
      </c>
      <c r="E280" s="6">
        <f>IFERROR(IF(AND(ISNUMBER(D280),ISNUMBER('Market Data'!B280),'Market Data'!B280&gt;0),D280/'Market Data'!B280-1,""),"")</f>
        <v/>
      </c>
    </row>
    <row r="281" ht="22" customHeight="1">
      <c r="A281" s="5" t="inlineStr">
        <is>
          <t>2268 HK Equity</t>
        </is>
      </c>
      <c r="B281" s="5" t="inlineStr">
        <is>
          <t>WUXI XDC</t>
        </is>
      </c>
      <c r="C281" s="5" t="inlineStr">
        <is>
          <t>Healthcare</t>
        </is>
      </c>
      <c r="D281" s="8">
        <f>IF($A281="","",BDP($A281,"LAST_PRICE"))</f>
        <v/>
      </c>
      <c r="E281" s="6">
        <f>IFERROR(IF(AND(ISNUMBER(D281),ISNUMBER('Market Data'!B281),'Market Data'!B281&gt;0),D281/'Market Data'!B281-1,""),"")</f>
        <v/>
      </c>
    </row>
    <row r="282" ht="22" customHeight="1">
      <c r="A282" s="5" t="inlineStr">
        <is>
          <t>2575 HK Equity</t>
        </is>
      </c>
      <c r="B282" s="5" t="inlineStr">
        <is>
          <t>XUANZHUBIO-B</t>
        </is>
      </c>
      <c r="C282" s="5" t="inlineStr">
        <is>
          <t>Healthcare</t>
        </is>
      </c>
      <c r="D282" s="8">
        <f>IF($A282="","",BDP($A282,"LAST_PRICE"))</f>
        <v/>
      </c>
      <c r="E282" s="6">
        <f>IFERROR(IF(AND(ISNUMBER(D282),ISNUMBER('Market Data'!B282),'Market Data'!B282&gt;0),D282/'Market Data'!B282-1,""),"")</f>
        <v/>
      </c>
    </row>
    <row r="283" ht="22" customHeight="1">
      <c r="A283" s="5" t="inlineStr">
        <is>
          <t>2506 HK Equity</t>
        </is>
      </c>
      <c r="B283" s="5" t="inlineStr">
        <is>
          <t>XUNFEIHEALTH</t>
        </is>
      </c>
      <c r="C283" s="5" t="inlineStr">
        <is>
          <t>Healthcare</t>
        </is>
      </c>
      <c r="D283" s="8">
        <f>IF($A283="","",BDP($A283,"LAST_PRICE"))</f>
        <v/>
      </c>
      <c r="E283" s="6">
        <f>IFERROR(IF(AND(ISNUMBER(D283),ISNUMBER('Market Data'!B283),'Market Data'!B283&gt;0),D283/'Market Data'!B283-1,""),"")</f>
        <v/>
      </c>
    </row>
    <row r="284" ht="22" customHeight="1">
      <c r="A284" s="5" t="inlineStr">
        <is>
          <t>2158 HK Equity</t>
        </is>
      </c>
      <c r="B284" s="5" t="inlineStr">
        <is>
          <t>YIDU TECH</t>
        </is>
      </c>
      <c r="C284" s="5" t="inlineStr">
        <is>
          <t>Healthcare</t>
        </is>
      </c>
      <c r="D284" s="8">
        <f>IF($A284="","",BDP($A284,"LAST_PRICE"))</f>
        <v/>
      </c>
      <c r="E284" s="6">
        <f>IFERROR(IF(AND(ISNUMBER(D284),ISNUMBER('Market Data'!B284),'Market Data'!B284&gt;0),D284/'Market Data'!B284-1,""),"")</f>
        <v/>
      </c>
    </row>
    <row r="285" ht="22" customHeight="1">
      <c r="A285" s="5" t="inlineStr">
        <is>
          <t>2279 HK Equity</t>
        </is>
      </c>
      <c r="B285" s="5" t="inlineStr">
        <is>
          <t>YONGHE MEDICAL</t>
        </is>
      </c>
      <c r="C285" s="5" t="inlineStr">
        <is>
          <t>Healthcare</t>
        </is>
      </c>
      <c r="D285" s="8">
        <f>IF($A285="","",BDP($A285,"LAST_PRICE"))</f>
        <v/>
      </c>
      <c r="E285" s="6">
        <f>IFERROR(IF(AND(ISNUMBER(D285),ISNUMBER('Market Data'!B285),'Market Data'!B285&gt;0),D285/'Market Data'!B285-1,""),"")</f>
        <v/>
      </c>
    </row>
    <row r="286" ht="22" customHeight="1">
      <c r="A286" s="5" t="inlineStr">
        <is>
          <t>9885 HK Equity</t>
        </is>
      </c>
      <c r="B286" s="5" t="inlineStr">
        <is>
          <t>YSB</t>
        </is>
      </c>
      <c r="C286" s="5" t="inlineStr">
        <is>
          <t>Healthcare</t>
        </is>
      </c>
      <c r="D286" s="8">
        <f>IF($A286="","",BDP($A286,"LAST_PRICE"))</f>
        <v/>
      </c>
      <c r="E286" s="6">
        <f>IFERROR(IF(AND(ISNUMBER(D286),ISNUMBER('Market Data'!B286),'Market Data'!B286&gt;0),D286/'Market Data'!B286-1,""),"")</f>
        <v/>
      </c>
    </row>
    <row r="287" ht="22" customHeight="1">
      <c r="A287" s="5" t="inlineStr">
        <is>
          <t>2325 HK Equity</t>
        </is>
      </c>
      <c r="B287" s="5" t="inlineStr">
        <is>
          <t>YUNKANG GROUP</t>
        </is>
      </c>
      <c r="C287" s="5" t="inlineStr">
        <is>
          <t>Healthcare</t>
        </is>
      </c>
      <c r="D287" s="8">
        <f>IF($A287="","",BDP($A287,"LAST_PRICE"))</f>
        <v/>
      </c>
      <c r="E287" s="6">
        <f>IFERROR(IF(AND(ISNUMBER(D287),ISNUMBER('Market Data'!B287),'Market Data'!B287&gt;0),D287/'Market Data'!B287-1,""),"")</f>
        <v/>
      </c>
    </row>
    <row r="288" ht="22" customHeight="1">
      <c r="A288" s="5" t="inlineStr">
        <is>
          <t>2496 HK Equity</t>
        </is>
      </c>
      <c r="B288" s="5" t="inlineStr">
        <is>
          <t>YZYBIO-B</t>
        </is>
      </c>
      <c r="C288" s="5" t="inlineStr">
        <is>
          <t>Healthcare</t>
        </is>
      </c>
      <c r="D288" s="8">
        <f>IF($A288="","",BDP($A288,"LAST_PRICE"))</f>
        <v/>
      </c>
      <c r="E288" s="6">
        <f>IFERROR(IF(AND(ISNUMBER(D288),ISNUMBER('Market Data'!B288),'Market Data'!B288&gt;0),D288/'Market Data'!B288-1,""),"")</f>
        <v/>
      </c>
    </row>
    <row r="289" ht="22" customHeight="1">
      <c r="A289" s="5" t="inlineStr">
        <is>
          <t>6622 HK Equity</t>
        </is>
      </c>
      <c r="B289" s="5" t="inlineStr">
        <is>
          <t>ZHAOKE OPHTH-B</t>
        </is>
      </c>
      <c r="C289" s="5" t="inlineStr">
        <is>
          <t>Healthcare</t>
        </is>
      </c>
      <c r="D289" s="8">
        <f>IF($A289="","",BDP($A289,"LAST_PRICE"))</f>
        <v/>
      </c>
      <c r="E289" s="6">
        <f>IFERROR(IF(AND(ISNUMBER(D289),ISNUMBER('Market Data'!B289),'Market Data'!B289&gt;0),D289/'Market Data'!B289-1,""),"")</f>
        <v/>
      </c>
    </row>
    <row r="290" ht="22" customHeight="1">
      <c r="A290" s="5" t="inlineStr">
        <is>
          <t>2190 HK Equity</t>
        </is>
      </c>
      <c r="B290" s="5" t="inlineStr">
        <is>
          <t>ZYLOXTB-B</t>
        </is>
      </c>
      <c r="C290" s="5" t="inlineStr">
        <is>
          <t>Healthcare</t>
        </is>
      </c>
      <c r="D290" s="8">
        <f>IF($A290="","",BDP($A290,"LAST_PRICE"))</f>
        <v/>
      </c>
      <c r="E290" s="6">
        <f>IFERROR(IF(AND(ISNUMBER(D290),ISNUMBER('Market Data'!B290),'Market Data'!B290&gt;0),D290/'Market Data'!B290-1,""),"")</f>
        <v/>
      </c>
    </row>
    <row r="291" ht="22" customHeight="1">
      <c r="A291" s="5" t="inlineStr">
        <is>
          <t>2648 HK Equity</t>
        </is>
      </c>
      <c r="B291" s="5" t="inlineStr">
        <is>
          <t>ANJOY FOOD</t>
        </is>
      </c>
      <c r="C291" s="5" t="inlineStr">
        <is>
          <t>Consumer</t>
        </is>
      </c>
      <c r="D291" s="8">
        <f>IF($A291="","",BDP($A291,"LAST_PRICE"))</f>
        <v/>
      </c>
      <c r="E291" s="6">
        <f>IFERROR(IF(AND(ISNUMBER(D291),ISNUMBER('Market Data'!B291),'Market Data'!B291&gt;0),D291/'Market Data'!B291-1,""),"")</f>
        <v/>
      </c>
    </row>
    <row r="292" ht="22" customHeight="1">
      <c r="A292" s="5" t="inlineStr">
        <is>
          <t>2519 HK Equity</t>
        </is>
      </c>
      <c r="B292" s="5" t="inlineStr">
        <is>
          <t>AUGROUP</t>
        </is>
      </c>
      <c r="C292" s="5" t="inlineStr">
        <is>
          <t>Consumer</t>
        </is>
      </c>
      <c r="D292" s="8">
        <f>IF($A292="","",BDP($A292,"LAST_PRICE"))</f>
        <v/>
      </c>
      <c r="E292" s="6">
        <f>IFERROR(IF(AND(ISNUMBER(D292),ISNUMBER('Market Data'!B292),'Market Data'!B292&gt;0),D292/'Market Data'!B292-1,""),"")</f>
        <v/>
      </c>
    </row>
    <row r="293" ht="22" customHeight="1">
      <c r="A293" s="5" t="inlineStr">
        <is>
          <t>2589 HK Equity</t>
        </is>
      </c>
      <c r="B293" s="5" t="inlineStr">
        <is>
          <t>AUNTEA JENNY</t>
        </is>
      </c>
      <c r="C293" s="5" t="inlineStr">
        <is>
          <t>Consumer</t>
        </is>
      </c>
      <c r="D293" s="8">
        <f>IF($A293="","",BDP($A293,"LAST_PRICE"))</f>
        <v/>
      </c>
      <c r="E293" s="6">
        <f>IFERROR(IF(AND(ISNUMBER(D293),ISNUMBER('Market Data'!B293),'Market Data'!B293&gt;0),D293/'Market Data'!B293-1,""),"")</f>
        <v/>
      </c>
    </row>
    <row r="294" ht="22" customHeight="1">
      <c r="A294" s="5" t="inlineStr">
        <is>
          <t>2425 HK Equity</t>
        </is>
      </c>
      <c r="B294" s="5" t="inlineStr">
        <is>
          <t>AUSTASIA GROUP</t>
        </is>
      </c>
      <c r="C294" s="5" t="inlineStr">
        <is>
          <t>Consumer</t>
        </is>
      </c>
      <c r="D294" s="8">
        <f>IF($A294="","",BDP($A294,"LAST_PRICE"))</f>
        <v/>
      </c>
      <c r="E294" s="6">
        <f>IFERROR(IF(AND(ISNUMBER(D294),ISNUMBER('Market Data'!B294),'Market Data'!B294&gt;0),D294/'Market Data'!B294-1,""),"")</f>
        <v/>
      </c>
    </row>
    <row r="295" ht="22" customHeight="1">
      <c r="A295" s="5" t="inlineStr">
        <is>
          <t>2443 HK Equity</t>
        </is>
      </c>
      <c r="B295" s="5" t="inlineStr">
        <is>
          <t>AUTOSTREETS</t>
        </is>
      </c>
      <c r="C295" s="5" t="inlineStr">
        <is>
          <t>Consumer</t>
        </is>
      </c>
      <c r="D295" s="8">
        <f>IF($A295="","",BDP($A295,"LAST_PRICE"))</f>
        <v/>
      </c>
      <c r="E295" s="6">
        <f>IFERROR(IF(AND(ISNUMBER(D295),ISNUMBER('Market Data'!B295),'Market Data'!B295&gt;0),D295/'Market Data'!B295-1,""),"")</f>
        <v/>
      </c>
    </row>
    <row r="296" ht="22" customHeight="1">
      <c r="A296" s="5" t="inlineStr">
        <is>
          <t>6980 HK Equity</t>
        </is>
      </c>
      <c r="B296" s="5" t="inlineStr">
        <is>
          <t>BAMA TEA</t>
        </is>
      </c>
      <c r="C296" s="5" t="inlineStr">
        <is>
          <t>Consumer</t>
        </is>
      </c>
      <c r="D296" s="8">
        <f>IF($A296="","",BDP($A296,"LAST_PRICE"))</f>
        <v/>
      </c>
      <c r="E296" s="6">
        <f>IFERROR(IF(AND(ISNUMBER(D296),ISNUMBER('Market Data'!B296),'Market Data'!B296&gt;0),D296/'Market Data'!B296-1,""),"")</f>
        <v/>
      </c>
    </row>
    <row r="297" ht="22" customHeight="1">
      <c r="A297" s="5" t="inlineStr">
        <is>
          <t>2373 HK Equity</t>
        </is>
      </c>
      <c r="B297" s="5" t="inlineStr">
        <is>
          <t>BEAUTYFARM MED</t>
        </is>
      </c>
      <c r="C297" s="5" t="inlineStr">
        <is>
          <t>Consumer</t>
        </is>
      </c>
      <c r="D297" s="8">
        <f>IF($A297="","",BDP($A297,"LAST_PRICE"))</f>
        <v/>
      </c>
      <c r="E297" s="6">
        <f>IFERROR(IF(AND(ISNUMBER(D297),ISNUMBER('Market Data'!B297),'Market Data'!B297&gt;0),D297/'Market Data'!B297-1,""),"")</f>
        <v/>
      </c>
    </row>
    <row r="298" ht="22" customHeight="1">
      <c r="A298" s="5" t="inlineStr">
        <is>
          <t>6909 HK Equity</t>
        </is>
      </c>
      <c r="B298" s="5" t="inlineStr">
        <is>
          <t>BETTERLIFE HLDG</t>
        </is>
      </c>
      <c r="C298" s="5" t="inlineStr">
        <is>
          <t>Consumer</t>
        </is>
      </c>
      <c r="D298" s="8">
        <f>IF($A298="","",BDP($A298,"LAST_PRICE"))</f>
        <v/>
      </c>
      <c r="E298" s="6">
        <f>IFERROR(IF(AND(ISNUMBER(D298),ISNUMBER('Market Data'!B298),'Market Data'!B298&gt;0),D298/'Market Data'!B298-1,""),"")</f>
        <v/>
      </c>
    </row>
    <row r="299" ht="22" customHeight="1">
      <c r="A299" s="5" t="inlineStr">
        <is>
          <t>325 HK Equity</t>
        </is>
      </c>
      <c r="B299" s="5" t="inlineStr">
        <is>
          <t>BLOKS</t>
        </is>
      </c>
      <c r="C299" s="5" t="inlineStr">
        <is>
          <t>Consumer</t>
        </is>
      </c>
      <c r="D299" s="8">
        <f>IF($A299="","",BDP($A299,"LAST_PRICE"))</f>
        <v/>
      </c>
      <c r="E299" s="6">
        <f>IFERROR(IF(AND(ISNUMBER(D299),ISNUMBER('Market Data'!B299),'Market Data'!B299&gt;0),D299/'Market Data'!B299-1,""),"")</f>
        <v/>
      </c>
    </row>
    <row r="300" ht="22" customHeight="1">
      <c r="A300" s="5" t="inlineStr">
        <is>
          <t>1768 HK Equity</t>
        </is>
      </c>
      <c r="B300" s="5" t="inlineStr">
        <is>
          <t>BUSYMING</t>
        </is>
      </c>
      <c r="C300" s="5" t="inlineStr">
        <is>
          <t>Consumer</t>
        </is>
      </c>
      <c r="D300" s="8">
        <f>IF($A300="","",BDP($A300,"LAST_PRICE"))</f>
        <v/>
      </c>
      <c r="E300" s="6">
        <f>IFERROR(IF(AND(ISNUMBER(D300),ISNUMBER('Market Data'!B300),'Market Data'!B300&gt;0),D300/'Market Data'!B300-1,""),"")</f>
        <v/>
      </c>
    </row>
    <row r="301" ht="22" customHeight="1">
      <c r="A301" s="5" t="inlineStr">
        <is>
          <t>6090 HK Equity</t>
        </is>
      </c>
      <c r="B301" s="5" t="inlineStr">
        <is>
          <t>BUTONG GROUP</t>
        </is>
      </c>
      <c r="C301" s="5" t="inlineStr">
        <is>
          <t>Consumer</t>
        </is>
      </c>
      <c r="D301" s="8">
        <f>IF($A301="","",BDP($A301,"LAST_PRICE"))</f>
        <v/>
      </c>
      <c r="E301" s="6">
        <f>IFERROR(IF(AND(ISNUMBER(D301),ISNUMBER('Market Data'!B301),'Market Data'!B301&gt;0),D301/'Market Data'!B301-1,""),"")</f>
        <v/>
      </c>
    </row>
    <row r="302" ht="22" customHeight="1">
      <c r="A302" s="5" t="inlineStr">
        <is>
          <t>2457 HK Equity</t>
        </is>
      </c>
      <c r="B302" s="5" t="inlineStr">
        <is>
          <t>BUYANG INTL</t>
        </is>
      </c>
      <c r="C302" s="5" t="inlineStr">
        <is>
          <t>Consumer</t>
        </is>
      </c>
      <c r="D302" s="8">
        <f>IF($A302="","",BDP($A302,"LAST_PRICE"))</f>
        <v/>
      </c>
      <c r="E302" s="6">
        <f>IFERROR(IF(AND(ISNUMBER(D302),ISNUMBER('Market Data'!B302),'Market Data'!B302&gt;0),D302/'Market Data'!B302-1,""),"")</f>
        <v/>
      </c>
    </row>
    <row r="303" ht="22" customHeight="1">
      <c r="A303" s="5" t="inlineStr">
        <is>
          <t>2531 HK Equity</t>
        </is>
      </c>
      <c r="B303" s="5" t="inlineStr">
        <is>
          <t>CARLINK TECH</t>
        </is>
      </c>
      <c r="C303" s="5" t="inlineStr">
        <is>
          <t>Consumer</t>
        </is>
      </c>
      <c r="D303" s="8">
        <f>IF($A303="","",BDP($A303,"LAST_PRICE"))</f>
        <v/>
      </c>
      <c r="E303" s="6">
        <f>IFERROR(IF(AND(ISNUMBER(D303),ISNUMBER('Market Data'!B303),'Market Data'!B303&gt;0),D303/'Market Data'!B303-1,""),"")</f>
        <v/>
      </c>
    </row>
    <row r="304" ht="22" customHeight="1">
      <c r="A304" s="5" t="inlineStr">
        <is>
          <t>2549 HK Equity</t>
        </is>
      </c>
      <c r="B304" s="5" t="inlineStr">
        <is>
          <t>CAROTE LTD</t>
        </is>
      </c>
      <c r="C304" s="5" t="inlineStr">
        <is>
          <t>Consumer</t>
        </is>
      </c>
      <c r="D304" s="8">
        <f>IF($A304="","",BDP($A304,"LAST_PRICE"))</f>
        <v/>
      </c>
      <c r="E304" s="6">
        <f>IFERROR(IF(AND(ISNUMBER(D304),ISNUMBER('Market Data'!B304),'Market Data'!B304&gt;0),D304/'Market Data'!B304-1,""),"")</f>
        <v/>
      </c>
    </row>
    <row r="305" ht="22" customHeight="1">
      <c r="A305" s="5" t="inlineStr">
        <is>
          <t>2175 HK Equity</t>
        </is>
      </c>
      <c r="B305" s="5" t="inlineStr">
        <is>
          <t>CH GENERAL EDU</t>
        </is>
      </c>
      <c r="C305" s="5" t="inlineStr">
        <is>
          <t>Consumer</t>
        </is>
      </c>
      <c r="D305" s="8">
        <f>IF($A305="","",BDP($A305,"LAST_PRICE"))</f>
        <v/>
      </c>
      <c r="E305" s="6">
        <f>IFERROR(IF(AND(ISNUMBER(D305),ISNUMBER('Market Data'!B305),'Market Data'!B305&gt;0),D305/'Market Data'!B305-1,""),"")</f>
        <v/>
      </c>
    </row>
    <row r="306" ht="22" customHeight="1">
      <c r="A306" s="5" t="inlineStr">
        <is>
          <t>2555 HK Equity</t>
        </is>
      </c>
      <c r="B306" s="5" t="inlineStr">
        <is>
          <t>CHABAIDAO</t>
        </is>
      </c>
      <c r="C306" s="5" t="inlineStr">
        <is>
          <t>Consumer</t>
        </is>
      </c>
      <c r="D306" s="8">
        <f>IF($A306="","",BDP($A306,"LAST_PRICE"))</f>
        <v/>
      </c>
      <c r="E306" s="6">
        <f>IFERROR(IF(AND(ISNUMBER(D306),ISNUMBER('Market Data'!B306),'Market Data'!B306&gt;0),D306/'Market Data'!B306-1,""),"")</f>
        <v/>
      </c>
    </row>
    <row r="307" ht="22" customHeight="1">
      <c r="A307" s="5" t="inlineStr">
        <is>
          <t>6601 HK Equity</t>
        </is>
      </c>
      <c r="B307" s="5" t="inlineStr">
        <is>
          <t>CHEERWIN GP</t>
        </is>
      </c>
      <c r="C307" s="5" t="inlineStr">
        <is>
          <t>Consumer</t>
        </is>
      </c>
      <c r="D307" s="8">
        <f>IF($A307="","",BDP($A307,"LAST_PRICE"))</f>
        <v/>
      </c>
      <c r="E307" s="6">
        <f>IFERROR(IF(AND(ISNUMBER(D307),ISNUMBER('Market Data'!B307),'Market Data'!B307&gt;0),D307/'Market Data'!B307-1,""),"")</f>
        <v/>
      </c>
    </row>
    <row r="308" ht="22" customHeight="1">
      <c r="A308" s="5" t="inlineStr">
        <is>
          <t>9973 HK Equity</t>
        </is>
      </c>
      <c r="B308" s="5" t="inlineStr">
        <is>
          <t>CHERY AUTO</t>
        </is>
      </c>
      <c r="C308" s="5" t="inlineStr">
        <is>
          <t>Consumer</t>
        </is>
      </c>
      <c r="D308" s="8">
        <f>IF($A308="","",BDP($A308,"LAST_PRICE"))</f>
        <v/>
      </c>
      <c r="E308" s="6">
        <f>IFERROR(IF(AND(ISNUMBER(D308),ISNUMBER('Market Data'!B308),'Market Data'!B308&gt;0),D308/'Market Data'!B308-1,""),"")</f>
        <v/>
      </c>
    </row>
    <row r="309" ht="22" customHeight="1">
      <c r="A309" s="5" t="inlineStr">
        <is>
          <t>2145 HK Equity</t>
        </is>
      </c>
      <c r="B309" s="5" t="inlineStr">
        <is>
          <t>CHICMAX</t>
        </is>
      </c>
      <c r="C309" s="5" t="inlineStr">
        <is>
          <t>Consumer</t>
        </is>
      </c>
      <c r="D309" s="8">
        <f>IF($A309="","",BDP($A309,"LAST_PRICE"))</f>
        <v/>
      </c>
      <c r="E309" s="6">
        <f>IFERROR(IF(AND(ISNUMBER(D309),ISNUMBER('Market Data'!B309),'Market Data'!B309&gt;0),D309/'Market Data'!B309-1,""),"")</f>
        <v/>
      </c>
    </row>
    <row r="310" ht="22" customHeight="1">
      <c r="A310" s="5" t="inlineStr">
        <is>
          <t>2460 HK Equity</t>
        </is>
      </c>
      <c r="B310" s="5" t="inlineStr">
        <is>
          <t>CR BEVERAGE</t>
        </is>
      </c>
      <c r="C310" s="5" t="inlineStr">
        <is>
          <t>Consumer</t>
        </is>
      </c>
      <c r="D310" s="8">
        <f>IF($A310="","",BDP($A310,"LAST_PRICE"))</f>
        <v/>
      </c>
      <c r="E310" s="6">
        <f>IFERROR(IF(AND(ISNUMBER(D310),ISNUMBER('Market Data'!B310),'Market Data'!B310&gt;0),D310/'Market Data'!B310-1,""),"")</f>
        <v/>
      </c>
    </row>
    <row r="311" ht="22" customHeight="1">
      <c r="A311" s="5" t="inlineStr">
        <is>
          <t>1880 HK Equity</t>
        </is>
      </c>
      <c r="B311" s="5" t="inlineStr">
        <is>
          <t>CTG DUTY-FREE</t>
        </is>
      </c>
      <c r="C311" s="5" t="inlineStr">
        <is>
          <t>Consumer</t>
        </is>
      </c>
      <c r="D311" s="8">
        <f>IF($A311="","",BDP($A311,"LAST_PRICE"))</f>
        <v/>
      </c>
      <c r="E311" s="6">
        <f>IFERROR(IF(AND(ISNUMBER(D311),ISNUMBER('Market Data'!B311),'Market Data'!B311&gt;0),D311/'Market Data'!B311-1,""),"")</f>
        <v/>
      </c>
    </row>
    <row r="312" ht="22" customHeight="1">
      <c r="A312" s="5" t="inlineStr">
        <is>
          <t>2419 HK Equity</t>
        </is>
      </c>
      <c r="B312" s="5" t="inlineStr">
        <is>
          <t>DEKON AGR</t>
        </is>
      </c>
      <c r="C312" s="5" t="inlineStr">
        <is>
          <t>Consumer</t>
        </is>
      </c>
      <c r="D312" s="8">
        <f>IF($A312="","",BDP($A312,"LAST_PRICE"))</f>
        <v/>
      </c>
      <c r="E312" s="6">
        <f>IFERROR(IF(AND(ISNUMBER(D312),ISNUMBER('Market Data'!B312),'Market Data'!B312&gt;0),D312/'Market Data'!B312-1,""),"")</f>
        <v/>
      </c>
    </row>
    <row r="313" ht="22" customHeight="1">
      <c r="A313" s="5" t="inlineStr">
        <is>
          <t>1405 HK Equity</t>
        </is>
      </c>
      <c r="B313" s="5" t="inlineStr">
        <is>
          <t>DPC DASH</t>
        </is>
      </c>
      <c r="C313" s="5" t="inlineStr">
        <is>
          <t>Consumer</t>
        </is>
      </c>
      <c r="D313" s="8">
        <f>IF($A313="","",BDP($A313,"LAST_PRICE"))</f>
        <v/>
      </c>
      <c r="E313" s="6">
        <f>IFERROR(IF(AND(ISNUMBER(D313),ISNUMBER('Market Data'!B313),'Market Data'!B313&gt;0),D313/'Market Data'!B313-1,""),"")</f>
        <v/>
      </c>
    </row>
    <row r="314" ht="22" customHeight="1">
      <c r="A314" s="5" t="inlineStr">
        <is>
          <t>9980 HK Equity</t>
        </is>
      </c>
      <c r="B314" s="5" t="inlineStr">
        <is>
          <t>EASTROC</t>
        </is>
      </c>
      <c r="C314" s="5" t="inlineStr">
        <is>
          <t>Consumer</t>
        </is>
      </c>
      <c r="D314" s="8">
        <f>IF($A314="","",BDP($A314,"LAST_PRICE"))</f>
        <v/>
      </c>
      <c r="E314" s="6">
        <f>IFERROR(IF(AND(ISNUMBER(D314),ISNUMBER('Market Data'!B314),'Market Data'!B314&gt;0),D314/'Market Data'!B314-1,""),"")</f>
        <v/>
      </c>
    </row>
    <row r="315" ht="22" customHeight="1">
      <c r="A315" s="5" t="inlineStr">
        <is>
          <t>6883 HK Equity</t>
        </is>
      </c>
      <c r="B315" s="5" t="inlineStr">
        <is>
          <t>ETERNAL BEAUTY</t>
        </is>
      </c>
      <c r="C315" s="5" t="inlineStr">
        <is>
          <t>Consumer</t>
        </is>
      </c>
      <c r="D315" s="8">
        <f>IF($A315="","",BDP($A315,"LAST_PRICE"))</f>
        <v/>
      </c>
      <c r="E315" s="6">
        <f>IFERROR(IF(AND(ISNUMBER(D315),ISNUMBER('Market Data'!B315),'Market Data'!B315&gt;0),D315/'Market Data'!B315-1,""),"")</f>
        <v/>
      </c>
    </row>
    <row r="316" ht="22" customHeight="1">
      <c r="A316" s="5" t="inlineStr">
        <is>
          <t>2469 HK Equity</t>
        </is>
      </c>
      <c r="B316" s="5" t="inlineStr">
        <is>
          <t>FENBI</t>
        </is>
      </c>
      <c r="C316" s="5" t="inlineStr">
        <is>
          <t>Consumer</t>
        </is>
      </c>
      <c r="D316" s="8">
        <f>IF($A316="","",BDP($A316,"LAST_PRICE"))</f>
        <v/>
      </c>
      <c r="E316" s="6">
        <f>IFERROR(IF(AND(ISNUMBER(D316),ISNUMBER('Market Data'!B316),'Market Data'!B316&gt;0),D316/'Market Data'!B316-1,""),"")</f>
        <v/>
      </c>
    </row>
    <row r="317" ht="22" customHeight="1">
      <c r="A317" s="5" t="inlineStr">
        <is>
          <t>9638 HK Equity</t>
        </is>
      </c>
      <c r="B317" s="5" t="inlineStr">
        <is>
          <t>FERRETTI</t>
        </is>
      </c>
      <c r="C317" s="5" t="inlineStr">
        <is>
          <t>Consumer</t>
        </is>
      </c>
      <c r="D317" s="8">
        <f>IF($A317="","",BDP($A317,"LAST_PRICE"))</f>
        <v/>
      </c>
      <c r="E317" s="6">
        <f>IFERROR(IF(AND(ISNUMBER(D317),ISNUMBER('Market Data'!B317),'Market Data'!B317&gt;0),D317/'Market Data'!B317-1,""),"")</f>
        <v/>
      </c>
    </row>
    <row r="318" ht="22" customHeight="1">
      <c r="A318" s="5" t="inlineStr">
        <is>
          <t>2657 HK Equity</t>
        </is>
      </c>
      <c r="B318" s="5" t="inlineStr">
        <is>
          <t>FOREST CABIN</t>
        </is>
      </c>
      <c r="C318" s="5" t="inlineStr">
        <is>
          <t>Consumer</t>
        </is>
      </c>
      <c r="D318" s="8">
        <f>IF($A318="","",BDP($A318,"LAST_PRICE"))</f>
        <v/>
      </c>
      <c r="E318" s="6">
        <f>IFERROR(IF(AND(ISNUMBER(D318),ISNUMBER('Market Data'!B318),'Market Data'!B318&gt;0),D318/'Market Data'!B318-1,""),"")</f>
        <v/>
      </c>
    </row>
    <row r="319" ht="22" customHeight="1">
      <c r="A319" s="5" t="inlineStr">
        <is>
          <t>2497 HK Equity</t>
        </is>
      </c>
      <c r="B319" s="5" t="inlineStr">
        <is>
          <t>FUJING HOLDINGS</t>
        </is>
      </c>
      <c r="C319" s="5" t="inlineStr">
        <is>
          <t>Consumer</t>
        </is>
      </c>
      <c r="D319" s="8">
        <f>IF($A319="","",BDP($A319,"LAST_PRICE"))</f>
        <v/>
      </c>
      <c r="E319" s="6">
        <f>IFERROR(IF(AND(ISNUMBER(D319),ISNUMBER('Market Data'!B319),'Market Data'!B319&gt;0),D319/'Market Data'!B319-1,""),"")</f>
        <v/>
      </c>
    </row>
    <row r="320" ht="22" customHeight="1">
      <c r="A320" s="5" t="inlineStr">
        <is>
          <t>2367 HK Equity</t>
        </is>
      </c>
      <c r="B320" s="5" t="inlineStr">
        <is>
          <t>GIANT BIOGENE</t>
        </is>
      </c>
      <c r="C320" s="5" t="inlineStr">
        <is>
          <t>Consumer</t>
        </is>
      </c>
      <c r="D320" s="8">
        <f>IF($A320="","",BDP($A320,"LAST_PRICE"))</f>
        <v/>
      </c>
      <c r="E320" s="6">
        <f>IFERROR(IF(AND(ISNUMBER(D320),ISNUMBER('Market Data'!B320),'Market Data'!B320&gt;0),D320/'Market Data'!B320-1,""),"")</f>
        <v/>
      </c>
    </row>
    <row r="321" ht="22" customHeight="1">
      <c r="A321" s="5" t="inlineStr">
        <is>
          <t>6831 HK Equity</t>
        </is>
      </c>
      <c r="B321" s="5" t="inlineStr">
        <is>
          <t>GREEN TEA GROUP</t>
        </is>
      </c>
      <c r="C321" s="5" t="inlineStr">
        <is>
          <t>Consumer</t>
        </is>
      </c>
      <c r="D321" s="8">
        <f>IF($A321="","",BDP($A321,"LAST_PRICE"))</f>
        <v/>
      </c>
      <c r="E321" s="6">
        <f>IFERROR(IF(AND(ISNUMBER(D321),ISNUMBER('Market Data'!B321),'Market Data'!B321&gt;0),D321/'Market Data'!B321-1,""),"")</f>
        <v/>
      </c>
    </row>
    <row r="322" ht="22" customHeight="1">
      <c r="A322" s="5" t="inlineStr">
        <is>
          <t>1364 HK Equity</t>
        </is>
      </c>
      <c r="B322" s="5" t="inlineStr">
        <is>
          <t>GUMING</t>
        </is>
      </c>
      <c r="C322" s="5" t="inlineStr">
        <is>
          <t>Consumer</t>
        </is>
      </c>
      <c r="D322" s="8">
        <f>IF($A322="","",BDP($A322,"LAST_PRICE"))</f>
        <v/>
      </c>
      <c r="E322" s="6">
        <f>IFERROR(IF(AND(ISNUMBER(D322),ISNUMBER('Market Data'!B322),'Market Data'!B322&gt;0),D322/'Market Data'!B322-1,""),"")</f>
        <v/>
      </c>
    </row>
    <row r="323" ht="22" customHeight="1">
      <c r="A323" s="5" t="inlineStr">
        <is>
          <t>2517 HK Equity</t>
        </is>
      </c>
      <c r="B323" s="5" t="inlineStr">
        <is>
          <t>GUOQUAN</t>
        </is>
      </c>
      <c r="C323" s="5" t="inlineStr">
        <is>
          <t>Consumer</t>
        </is>
      </c>
      <c r="D323" s="8">
        <f>IF($A323="","",BDP($A323,"LAST_PRICE"))</f>
        <v/>
      </c>
      <c r="E323" s="6">
        <f>IFERROR(IF(AND(ISNUMBER(D323),ISNUMBER('Market Data'!B323),'Market Data'!B323&gt;0),D323/'Market Data'!B323-1,""),"")</f>
        <v/>
      </c>
    </row>
    <row r="324" ht="22" customHeight="1">
      <c r="A324" s="5" t="inlineStr">
        <is>
          <t>3288 HK Equity</t>
        </is>
      </c>
      <c r="B324" s="5" t="inlineStr">
        <is>
          <t>HAITIAN FLAV</t>
        </is>
      </c>
      <c r="C324" s="5" t="inlineStr">
        <is>
          <t>Consumer</t>
        </is>
      </c>
      <c r="D324" s="8">
        <f>IF($A324="","",BDP($A324,"LAST_PRICE"))</f>
        <v/>
      </c>
      <c r="E324" s="6">
        <f>IFERROR(IF(AND(ISNUMBER(D324),ISNUMBER('Market Data'!B324),'Market Data'!B324&gt;0),D324/'Market Data'!B324-1,""),"")</f>
        <v/>
      </c>
    </row>
    <row r="325" ht="22" customHeight="1">
      <c r="A325" s="5" t="inlineStr">
        <is>
          <t>9869 HK Equity</t>
        </is>
      </c>
      <c r="B325" s="5" t="inlineStr">
        <is>
          <t>HELENS</t>
        </is>
      </c>
      <c r="C325" s="5" t="inlineStr">
        <is>
          <t>Consumer</t>
        </is>
      </c>
      <c r="D325" s="8">
        <f>IF($A325="","",BDP($A325,"LAST_PRICE"))</f>
        <v/>
      </c>
      <c r="E325" s="6">
        <f>IFERROR(IF(AND(ISNUMBER(D325),ISNUMBER('Market Data'!B325),'Market Data'!B325&gt;0),D325/'Market Data'!B325-1,""),"")</f>
        <v/>
      </c>
    </row>
    <row r="326" ht="22" customHeight="1">
      <c r="A326" s="5" t="inlineStr">
        <is>
          <t>2583 HK Equity</t>
        </is>
      </c>
      <c r="B326" s="5" t="inlineStr">
        <is>
          <t>HIPINE</t>
        </is>
      </c>
      <c r="C326" s="5" t="inlineStr">
        <is>
          <t>Consumer</t>
        </is>
      </c>
      <c r="D326" s="8">
        <f>IF($A326="","",BDP($A326,"LAST_PRICE"))</f>
        <v/>
      </c>
      <c r="E326" s="6">
        <f>IFERROR(IF(AND(ISNUMBER(D326),ISNUMBER('Market Data'!B326),'Market Data'!B326&gt;0),D326/'Market Data'!B326-1,""),"")</f>
        <v/>
      </c>
    </row>
    <row r="327" ht="22" customHeight="1">
      <c r="A327" s="5" t="inlineStr">
        <is>
          <t>6603 HK Equity</t>
        </is>
      </c>
      <c r="B327" s="5" t="inlineStr">
        <is>
          <t>IFBH</t>
        </is>
      </c>
      <c r="C327" s="5" t="inlineStr">
        <is>
          <t>Consumer</t>
        </is>
      </c>
      <c r="D327" s="8">
        <f>IF($A327="","",BDP($A327,"LAST_PRICE"))</f>
        <v/>
      </c>
      <c r="E327" s="6">
        <f>IFERROR(IF(AND(ISNUMBER(D327),ISNUMBER('Market Data'!B327),'Market Data'!B327&gt;0),D327/'Market Data'!B327-1,""),"")</f>
        <v/>
      </c>
    </row>
    <row r="328" ht="22" customHeight="1">
      <c r="A328" s="5" t="inlineStr">
        <is>
          <t>2625 HK Equity</t>
        </is>
      </c>
      <c r="B328" s="5" t="inlineStr">
        <is>
          <t>JIANGSU HORIZON</t>
        </is>
      </c>
      <c r="C328" s="5" t="inlineStr">
        <is>
          <t>Consumer</t>
        </is>
      </c>
      <c r="D328" s="8">
        <f>IF($A328="","",BDP($A328,"LAST_PRICE"))</f>
        <v/>
      </c>
      <c r="E328" s="6">
        <f>IFERROR(IF(AND(ISNUMBER(D328),ISNUMBER('Market Data'!B328),'Market Data'!B328&gt;0),D328/'Market Data'!B328-1,""),"")</f>
        <v/>
      </c>
    </row>
    <row r="329" ht="22" customHeight="1">
      <c r="A329" s="5" t="inlineStr">
        <is>
          <t>1927 HK Equity</t>
        </is>
      </c>
      <c r="B329" s="5" t="inlineStr">
        <is>
          <t>JIUJIUWANG</t>
        </is>
      </c>
      <c r="C329" s="5" t="inlineStr">
        <is>
          <t>Consumer</t>
        </is>
      </c>
      <c r="D329" s="8">
        <f>IF($A329="","",BDP($A329,"LAST_PRICE"))</f>
        <v/>
      </c>
      <c r="E329" s="6">
        <f>IFERROR(IF(AND(ISNUMBER(D329),ISNUMBER('Market Data'!B329),'Market Data'!B329&gt;0),D329/'Market Data'!B329-1,""),"")</f>
        <v/>
      </c>
    </row>
    <row r="330" ht="22" customHeight="1">
      <c r="A330" s="5" t="inlineStr">
        <is>
          <t>699 HK Equity</t>
        </is>
      </c>
      <c r="B330" s="5" t="inlineStr">
        <is>
          <t>JOYSON ELEC</t>
        </is>
      </c>
      <c r="C330" s="5" t="inlineStr">
        <is>
          <t>Consumer</t>
        </is>
      </c>
      <c r="D330" s="8">
        <f>IF($A330="","",BDP($A330,"LAST_PRICE"))</f>
        <v/>
      </c>
      <c r="E330" s="6">
        <f>IFERROR(IF(AND(ISNUMBER(D330),ISNUMBER('Market Data'!B330),'Market Data'!B330&gt;0),D330/'Market Data'!B330-1,""),"")</f>
        <v/>
      </c>
    </row>
    <row r="331" ht="22" customHeight="1">
      <c r="A331" s="5" t="inlineStr">
        <is>
          <t>6911 HK Equity</t>
        </is>
      </c>
      <c r="B331" s="5" t="inlineStr">
        <is>
          <t>LANCANG TEA</t>
        </is>
      </c>
      <c r="C331" s="5" t="inlineStr">
        <is>
          <t>Consumer</t>
        </is>
      </c>
      <c r="D331" s="8">
        <f>IF($A331="","",BDP($A331,"LAST_PRICE"))</f>
        <v/>
      </c>
      <c r="E331" s="6">
        <f>IFERROR(IF(AND(ISNUMBER(D331),ISNUMBER('Market Data'!B331),'Market Data'!B331&gt;0),D331/'Market Data'!B331-1,""),"")</f>
        <v/>
      </c>
    </row>
    <row r="332" ht="22" customHeight="1">
      <c r="A332" s="5" t="inlineStr">
        <is>
          <t>6181 HK Equity</t>
        </is>
      </c>
      <c r="B332" s="5" t="inlineStr">
        <is>
          <t>LAOPU GOLD</t>
        </is>
      </c>
      <c r="C332" s="5" t="inlineStr">
        <is>
          <t>Consumer</t>
        </is>
      </c>
      <c r="D332" s="8">
        <f>IF($A332="","",BDP($A332,"LAST_PRICE"))</f>
        <v/>
      </c>
      <c r="E332" s="6">
        <f>IFERROR(IF(AND(ISNUMBER(D332),ISNUMBER('Market Data'!B332),'Market Data'!B332&gt;0),D332/'Market Data'!B332-1,""),"")</f>
        <v/>
      </c>
    </row>
    <row r="333" ht="22" customHeight="1">
      <c r="A333" s="5" t="inlineStr">
        <is>
          <t>9863 HK Equity</t>
        </is>
      </c>
      <c r="B333" s="5" t="inlineStr">
        <is>
          <t>LEAPMOTOR</t>
        </is>
      </c>
      <c r="C333" s="5" t="inlineStr">
        <is>
          <t>Consumer</t>
        </is>
      </c>
      <c r="D333" s="8">
        <f>IF($A333="","",BDP($A333,"LAST_PRICE"))</f>
        <v/>
      </c>
      <c r="E333" s="6">
        <f>IFERROR(IF(AND(ISNUMBER(D333),ISNUMBER('Market Data'!B333),'Market Data'!B333&gt;0),D333/'Market Data'!B333-1,""),"")</f>
        <v/>
      </c>
    </row>
    <row r="334" ht="22" customHeight="1">
      <c r="A334" s="5" t="inlineStr">
        <is>
          <t>2015 HK Equity</t>
        </is>
      </c>
      <c r="B334" s="5" t="inlineStr">
        <is>
          <t>LI AUTO-W</t>
        </is>
      </c>
      <c r="C334" s="5" t="inlineStr">
        <is>
          <t>Consumer</t>
        </is>
      </c>
      <c r="D334" s="8">
        <f>IF($A334="","",BDP($A334,"LAST_PRICE"))</f>
        <v/>
      </c>
      <c r="E334" s="6">
        <f>IFERROR(IF(AND(ISNUMBER(D334),ISNUMBER('Market Data'!B334),'Market Data'!B334&gt;0),D334/'Market Data'!B334-1,""),"")</f>
        <v/>
      </c>
    </row>
    <row r="335" ht="22" customHeight="1">
      <c r="A335" s="5" t="inlineStr">
        <is>
          <t>6658 HK Equity</t>
        </is>
      </c>
      <c r="B335" s="5" t="inlineStr">
        <is>
          <t>LIULIUMEI</t>
        </is>
      </c>
      <c r="C335" s="5" t="inlineStr">
        <is>
          <t>Consumer</t>
        </is>
      </c>
      <c r="D335" s="8">
        <f>IF($A335="","",BDP($A335,"LAST_PRICE"))</f>
        <v/>
      </c>
      <c r="E335" s="6">
        <f>IFERROR(IF(AND(ISNUMBER(D335),ISNUMBER('Market Data'!B335),'Market Data'!B335&gt;0),D335/'Market Data'!B335-1,""),"")</f>
        <v/>
      </c>
    </row>
    <row r="336" ht="22" customHeight="1">
      <c r="A336" s="5" t="inlineStr">
        <is>
          <t>2290 HK Equity</t>
        </is>
      </c>
      <c r="B336" s="5" t="inlineStr">
        <is>
          <t>LUNG FUNG GROUP</t>
        </is>
      </c>
      <c r="C336" s="5" t="inlineStr">
        <is>
          <t>Consumer</t>
        </is>
      </c>
      <c r="D336" s="8">
        <f>IF($A336="","",BDP($A336,"LAST_PRICE"))</f>
        <v/>
      </c>
      <c r="E336" s="6">
        <f>IFERROR(IF(AND(ISNUMBER(D336),ISNUMBER('Market Data'!B336),'Market Data'!B336&gt;0),D336/'Market Data'!B336-1,""),"")</f>
        <v/>
      </c>
    </row>
    <row r="337" ht="22" customHeight="1">
      <c r="A337" s="5" t="inlineStr">
        <is>
          <t>2451 HK Equity</t>
        </is>
      </c>
      <c r="B337" s="5" t="inlineStr">
        <is>
          <t>LUYUAN GP HLDG</t>
        </is>
      </c>
      <c r="C337" s="5" t="inlineStr">
        <is>
          <t>Consumer</t>
        </is>
      </c>
      <c r="D337" s="8">
        <f>IF($A337="","",BDP($A337,"LAST_PRICE"))</f>
        <v/>
      </c>
      <c r="E337" s="6">
        <f>IFERROR(IF(AND(ISNUMBER(D337),ISNUMBER('Market Data'!B337),'Market Data'!B337&gt;0),D337/'Market Data'!B337-1,""),"")</f>
        <v/>
      </c>
    </row>
    <row r="338" ht="22" customHeight="1">
      <c r="A338" s="5" t="inlineStr">
        <is>
          <t>1318 HK Equity</t>
        </is>
      </c>
      <c r="B338" s="5" t="inlineStr">
        <is>
          <t>MAO GEPING</t>
        </is>
      </c>
      <c r="C338" s="5" t="inlineStr">
        <is>
          <t>Consumer</t>
        </is>
      </c>
      <c r="D338" s="8">
        <f>IF($A338="","",BDP($A338,"LAST_PRICE"))</f>
        <v/>
      </c>
      <c r="E338" s="6">
        <f>IFERROR(IF(AND(ISNUMBER(D338),ISNUMBER('Market Data'!B338),'Market Data'!B338&gt;0),D338/'Market Data'!B338-1,""),"")</f>
        <v/>
      </c>
    </row>
    <row r="339" ht="22" customHeight="1">
      <c r="A339" s="5" t="inlineStr">
        <is>
          <t>2097 HK Equity</t>
        </is>
      </c>
      <c r="B339" s="5" t="inlineStr">
        <is>
          <t>MIXUE GROUP</t>
        </is>
      </c>
      <c r="C339" s="5" t="inlineStr">
        <is>
          <t>Consumer</t>
        </is>
      </c>
      <c r="D339" s="8">
        <f>IF($A339="","",BDP($A339,"LAST_PRICE"))</f>
        <v/>
      </c>
      <c r="E339" s="6">
        <f>IFERROR(IF(AND(ISNUMBER(D339),ISNUMBER('Market Data'!B339),'Market Data'!B339&gt;0),D339/'Market Data'!B339-1,""),"")</f>
        <v/>
      </c>
    </row>
    <row r="340" ht="22" customHeight="1">
      <c r="A340" s="5" t="inlineStr">
        <is>
          <t>9896 HK Equity</t>
        </is>
      </c>
      <c r="B340" s="5" t="inlineStr">
        <is>
          <t>MNSO</t>
        </is>
      </c>
      <c r="C340" s="5" t="inlineStr">
        <is>
          <t>Consumer</t>
        </is>
      </c>
      <c r="D340" s="8">
        <f>IF($A340="","",BDP($A340,"LAST_PRICE"))</f>
        <v/>
      </c>
      <c r="E340" s="6">
        <f>IFERROR(IF(AND(ISNUMBER(D340),ISNUMBER('Market Data'!B340),'Market Data'!B340&gt;0),D340/'Market Data'!B340-1,""),"")</f>
        <v/>
      </c>
    </row>
    <row r="341" ht="22" customHeight="1">
      <c r="A341" s="5" t="inlineStr">
        <is>
          <t>2585 HK Equity</t>
        </is>
      </c>
      <c r="B341" s="5" t="inlineStr">
        <is>
          <t>MOKINGRAN</t>
        </is>
      </c>
      <c r="C341" s="5" t="inlineStr">
        <is>
          <t>Consumer</t>
        </is>
      </c>
      <c r="D341" s="8">
        <f>IF($A341="","",BDP($A341,"LAST_PRICE"))</f>
        <v/>
      </c>
      <c r="E341" s="6">
        <f>IFERROR(IF(AND(ISNUMBER(D341),ISNUMBER('Market Data'!B341),'Market Data'!B341&gt;0),D341/'Market Data'!B341-1,""),"")</f>
        <v/>
      </c>
    </row>
    <row r="342" ht="22" customHeight="1">
      <c r="A342" s="5" t="inlineStr">
        <is>
          <t>2714 HK Equity</t>
        </is>
      </c>
      <c r="B342" s="5" t="inlineStr">
        <is>
          <t>MUYUAN</t>
        </is>
      </c>
      <c r="C342" s="5" t="inlineStr">
        <is>
          <t>Consumer</t>
        </is>
      </c>
      <c r="D342" s="8">
        <f>IF($A342="","",BDP($A342,"LAST_PRICE"))</f>
        <v/>
      </c>
      <c r="E342" s="6">
        <f>IFERROR(IF(AND(ISNUMBER(D342),ISNUMBER('Market Data'!B342),'Market Data'!B342&gt;0),D342/'Market Data'!B342-1,""),"")</f>
        <v/>
      </c>
    </row>
    <row r="343" ht="22" customHeight="1">
      <c r="A343" s="5" t="inlineStr">
        <is>
          <t>2261 HK Equity</t>
        </is>
      </c>
      <c r="B343" s="5" t="inlineStr">
        <is>
          <t>NASN TECH</t>
        </is>
      </c>
      <c r="C343" s="5" t="inlineStr">
        <is>
          <t>Consumer</t>
        </is>
      </c>
      <c r="D343" s="8">
        <f>IF($A343="","",BDP($A343,"LAST_PRICE"))</f>
        <v/>
      </c>
      <c r="E343" s="6">
        <f>IFERROR(IF(AND(ISNUMBER(D343),ISNUMBER('Market Data'!B343),'Market Data'!B343&gt;0),D343/'Market Data'!B343-1,""),"")</f>
        <v/>
      </c>
    </row>
    <row r="344" ht="22" customHeight="1">
      <c r="A344" s="5" t="inlineStr">
        <is>
          <t>2150 HK Equity</t>
        </is>
      </c>
      <c r="B344" s="5" t="inlineStr">
        <is>
          <t>NAYUKI</t>
        </is>
      </c>
      <c r="C344" s="5" t="inlineStr">
        <is>
          <t>Consumer</t>
        </is>
      </c>
      <c r="D344" s="8">
        <f>IF($A344="","",BDP($A344,"LAST_PRICE"))</f>
        <v/>
      </c>
      <c r="E344" s="6">
        <f>IFERROR(IF(AND(ISNUMBER(D344),ISNUMBER('Market Data'!B344),'Market Data'!B344&gt;0),D344/'Market Data'!B344-1,""),"")</f>
        <v/>
      </c>
    </row>
    <row r="345" ht="22" customHeight="1">
      <c r="A345" s="5" t="inlineStr">
        <is>
          <t>2632 HK Equity</t>
        </is>
      </c>
      <c r="B345" s="5" t="inlineStr">
        <is>
          <t>NEW VISION CO</t>
        </is>
      </c>
      <c r="C345" s="5" t="inlineStr">
        <is>
          <t>Consumer</t>
        </is>
      </c>
      <c r="D345" s="8">
        <f>IF($A345="","",BDP($A345,"LAST_PRICE"))</f>
        <v/>
      </c>
      <c r="E345" s="6">
        <f>IFERROR(IF(AND(ISNUMBER(D345),ISNUMBER('Market Data'!B345),'Market Data'!B345&gt;0),D345/'Market Data'!B345-1,""),"")</f>
        <v/>
      </c>
    </row>
    <row r="346" ht="22" customHeight="1">
      <c r="A346" s="5" t="inlineStr">
        <is>
          <t>2573 HK Equity</t>
        </is>
      </c>
      <c r="B346" s="5" t="inlineStr">
        <is>
          <t>NEWTREND GROUP</t>
        </is>
      </c>
      <c r="C346" s="5" t="inlineStr">
        <is>
          <t>Consumer</t>
        </is>
      </c>
      <c r="D346" s="8">
        <f>IF($A346="","",BDP($A346,"LAST_PRICE"))</f>
        <v/>
      </c>
      <c r="E346" s="6">
        <f>IFERROR(IF(AND(ISNUMBER(D346),ISNUMBER('Market Data'!B346),'Market Data'!B346&gt;0),D346/'Market Data'!B346-1,""),"")</f>
        <v/>
      </c>
    </row>
    <row r="347" ht="22" customHeight="1">
      <c r="A347" s="5" t="inlineStr">
        <is>
          <t>2530 HK Equity</t>
        </is>
      </c>
      <c r="B347" s="5" t="inlineStr">
        <is>
          <t>NUMANS</t>
        </is>
      </c>
      <c r="C347" s="5" t="inlineStr">
        <is>
          <t>Consumer</t>
        </is>
      </c>
      <c r="D347" s="8">
        <f>IF($A347="","",BDP($A347,"LAST_PRICE"))</f>
        <v/>
      </c>
      <c r="E347" s="6">
        <f>IFERROR(IF(AND(ISNUMBER(D347),ISNUMBER('Market Data'!B347),'Market Data'!B347&gt;0),D347/'Market Data'!B347-1,""),"")</f>
        <v/>
      </c>
    </row>
    <row r="348" ht="22" customHeight="1">
      <c r="A348" s="5" t="inlineStr">
        <is>
          <t>2411 HK Equity</t>
        </is>
      </c>
      <c r="B348" s="5" t="inlineStr">
        <is>
          <t>PAGODA GP</t>
        </is>
      </c>
      <c r="C348" s="5" t="inlineStr">
        <is>
          <t>Consumer</t>
        </is>
      </c>
      <c r="D348" s="8">
        <f>IF($A348="","",BDP($A348,"LAST_PRICE"))</f>
        <v/>
      </c>
      <c r="E348" s="6">
        <f>IFERROR(IF(AND(ISNUMBER(D348),ISNUMBER('Market Data'!B348),'Market Data'!B348&gt;0),D348/'Market Data'!B348-1,""),"")</f>
        <v/>
      </c>
    </row>
    <row r="349" ht="22" customHeight="1">
      <c r="A349" s="5" t="inlineStr">
        <is>
          <t>2536 HK Equity</t>
        </is>
      </c>
      <c r="B349" s="5" t="inlineStr">
        <is>
          <t>PALASINO</t>
        </is>
      </c>
      <c r="C349" s="5" t="inlineStr">
        <is>
          <t>Consumer</t>
        </is>
      </c>
      <c r="D349" s="8">
        <f>IF($A349="","",BDP($A349,"LAST_PRICE"))</f>
        <v/>
      </c>
      <c r="E349" s="6">
        <f>IFERROR(IF(AND(ISNUMBER(D349),ISNUMBER('Market Data'!B349),'Market Data'!B349&gt;0),D349/'Market Data'!B349-1,""),"")</f>
        <v/>
      </c>
    </row>
    <row r="350" ht="22" customHeight="1">
      <c r="A350" s="5" t="inlineStr">
        <is>
          <t>2889 HK Equity</t>
        </is>
      </c>
      <c r="B350" s="5" t="inlineStr">
        <is>
          <t>PATEO</t>
        </is>
      </c>
      <c r="C350" s="5" t="inlineStr">
        <is>
          <t>Consumer</t>
        </is>
      </c>
      <c r="D350" s="8">
        <f>IF($A350="","",BDP($A350,"LAST_PRICE"))</f>
        <v/>
      </c>
      <c r="E350" s="6">
        <f>IFERROR(IF(AND(ISNUMBER(D350),ISNUMBER('Market Data'!B350),'Market Data'!B350&gt;0),D350/'Market Data'!B350-1,""),"")</f>
        <v/>
      </c>
    </row>
    <row r="351" ht="22" customHeight="1">
      <c r="A351" s="5" t="inlineStr">
        <is>
          <t>2797 HK Equity</t>
        </is>
      </c>
      <c r="B351" s="5" t="inlineStr">
        <is>
          <t>QIYUNSHAN FOOD</t>
        </is>
      </c>
      <c r="C351" s="5" t="inlineStr">
        <is>
          <t>Consumer</t>
        </is>
      </c>
      <c r="D351" s="8">
        <f>IF($A351="","",BDP($A351,"LAST_PRICE"))</f>
        <v/>
      </c>
      <c r="E351" s="6">
        <f>IFERROR(IF(AND(ISNUMBER(D351),ISNUMBER('Market Data'!B351),'Market Data'!B351&gt;0),D351/'Market Data'!B351-1,""),"")</f>
        <v/>
      </c>
    </row>
    <row r="352" ht="22" customHeight="1">
      <c r="A352" s="5" t="inlineStr">
        <is>
          <t>2720 HK Equity</t>
        </is>
      </c>
      <c r="B352" s="5" t="inlineStr">
        <is>
          <t>RIDGE OUTDOOR</t>
        </is>
      </c>
      <c r="C352" s="5" t="inlineStr">
        <is>
          <t>Consumer</t>
        </is>
      </c>
      <c r="D352" s="8">
        <f>IF($A352="","",BDP($A352,"LAST_PRICE"))</f>
        <v/>
      </c>
      <c r="E352" s="6">
        <f>IFERROR(IF(AND(ISNUMBER(D352),ISNUMBER('Market Data'!B352),'Market Data'!B352&gt;0),D352/'Market Data'!B352-1,""),"")</f>
        <v/>
      </c>
    </row>
    <row r="353" ht="22" customHeight="1">
      <c r="A353" s="5" t="inlineStr">
        <is>
          <t>1334 HK Equity</t>
        </is>
      </c>
      <c r="B353" s="5" t="inlineStr">
        <is>
          <t>RUICHANG INTL</t>
        </is>
      </c>
      <c r="C353" s="5" t="inlineStr">
        <is>
          <t>Consumer</t>
        </is>
      </c>
      <c r="D353" s="8">
        <f>IF($A353="","",BDP($A353,"LAST_PRICE"))</f>
        <v/>
      </c>
      <c r="E353" s="6">
        <f>IFERROR(IF(AND(ISNUMBER(D353),ISNUMBER('Market Data'!B353),'Market Data'!B353&gt;0),D353/'Market Data'!B353-1,""),"")</f>
        <v/>
      </c>
    </row>
    <row r="354" ht="22" customHeight="1">
      <c r="A354" s="5" t="inlineStr">
        <is>
          <t>2050 HK Equity</t>
        </is>
      </c>
      <c r="B354" s="5" t="inlineStr">
        <is>
          <t>SANHUA</t>
        </is>
      </c>
      <c r="C354" s="5" t="inlineStr">
        <is>
          <t>Consumer</t>
        </is>
      </c>
      <c r="D354" s="8">
        <f>IF($A354="","",BDP($A354,"LAST_PRICE"))</f>
        <v/>
      </c>
      <c r="E354" s="6">
        <f>IFERROR(IF(AND(ISNUMBER(D354),ISNUMBER('Market Data'!B354),'Market Data'!B354&gt;0),D354/'Market Data'!B354-1,""),"")</f>
        <v/>
      </c>
    </row>
    <row r="355" ht="22" customHeight="1">
      <c r="A355" s="5" t="inlineStr">
        <is>
          <t>6913 HK Equity</t>
        </is>
      </c>
      <c r="B355" s="5" t="inlineStr">
        <is>
          <t>SCVE GROUP</t>
        </is>
      </c>
      <c r="C355" s="5" t="inlineStr">
        <is>
          <t>Consumer</t>
        </is>
      </c>
      <c r="D355" s="8">
        <f>IF($A355="","",BDP($A355,"LAST_PRICE"))</f>
        <v/>
      </c>
      <c r="E355" s="6">
        <f>IFERROR(IF(AND(ISNUMBER(D355),ISNUMBER('Market Data'!B355),'Market Data'!B355&gt;0),D355/'Market Data'!B355-1,""),"")</f>
        <v/>
      </c>
    </row>
    <row r="356" ht="22" customHeight="1">
      <c r="A356" s="5" t="inlineStr">
        <is>
          <t>9927 HK Equity</t>
        </is>
      </c>
      <c r="B356" s="5" t="inlineStr">
        <is>
          <t>SERES</t>
        </is>
      </c>
      <c r="C356" s="5" t="inlineStr">
        <is>
          <t>Consumer</t>
        </is>
      </c>
      <c r="D356" s="8">
        <f>IF($A356="","",BDP($A356,"LAST_PRICE"))</f>
        <v/>
      </c>
      <c r="E356" s="6">
        <f>IFERROR(IF(AND(ISNUMBER(D356),ISNUMBER('Market Data'!B356),'Market Data'!B356&gt;0),D356/'Market Data'!B356-1,""),"")</f>
        <v/>
      </c>
    </row>
    <row r="357" ht="22" customHeight="1">
      <c r="A357" s="5" t="inlineStr">
        <is>
          <t>625 HK Equity</t>
        </is>
      </c>
      <c r="B357" s="5" t="inlineStr">
        <is>
          <t>SHEIN-W</t>
        </is>
      </c>
      <c r="C357" s="5" t="inlineStr">
        <is>
          <t>Consumer</t>
        </is>
      </c>
      <c r="D357" s="8">
        <f>IF($A357="","",BDP($A357,"LAST_PRICE"))</f>
        <v/>
      </c>
      <c r="E357" s="6">
        <f>IFERROR(IF(AND(ISNUMBER(D357),ISNUMBER('Market Data'!B357),'Market Data'!B357&gt;0),D357/'Market Data'!B357-1,""),"")</f>
        <v/>
      </c>
    </row>
    <row r="358" ht="22" customHeight="1">
      <c r="A358" s="5" t="inlineStr">
        <is>
          <t>9676 HK Equity</t>
        </is>
      </c>
      <c r="B358" s="5" t="inlineStr">
        <is>
          <t>SHIYUE DAOTIAN</t>
        </is>
      </c>
      <c r="C358" s="5" t="inlineStr">
        <is>
          <t>Consumer</t>
        </is>
      </c>
      <c r="D358" s="8">
        <f>IF($A358="","",BDP($A358,"LAST_PRICE"))</f>
        <v/>
      </c>
      <c r="E358" s="6">
        <f>IFERROR(IF(AND(ISNUMBER(D358),ISNUMBER('Market Data'!B358),'Market Data'!B358&gt;0),D358/'Market Data'!B358-1,""),"")</f>
        <v/>
      </c>
    </row>
    <row r="359" ht="22" customHeight="1">
      <c r="A359" s="5" t="inlineStr">
        <is>
          <t>2698 HK Equity</t>
        </is>
      </c>
      <c r="B359" s="5" t="inlineStr">
        <is>
          <t>SOFTCARE</t>
        </is>
      </c>
      <c r="C359" s="5" t="inlineStr">
        <is>
          <t>Consumer</t>
        </is>
      </c>
      <c r="D359" s="8">
        <f>IF($A359="","",BDP($A359,"LAST_PRICE"))</f>
        <v/>
      </c>
      <c r="E359" s="6">
        <f>IFERROR(IF(AND(ISNUMBER(D359),ISNUMBER('Market Data'!B359),'Market Data'!B359&gt;0),D359/'Market Data'!B359-1,""),"")</f>
        <v/>
      </c>
    </row>
    <row r="360" ht="22" customHeight="1">
      <c r="A360" s="5" t="inlineStr">
        <is>
          <t>664 HK Equity</t>
        </is>
      </c>
      <c r="B360" s="5" t="inlineStr">
        <is>
          <t>TONGSHIFU</t>
        </is>
      </c>
      <c r="C360" s="5" t="inlineStr">
        <is>
          <t>Consumer</t>
        </is>
      </c>
      <c r="D360" s="8">
        <f>IF($A360="","",BDP($A360,"LAST_PRICE"))</f>
        <v/>
      </c>
      <c r="E360" s="6">
        <f>IFERROR(IF(AND(ISNUMBER(D360),ISNUMBER('Market Data'!B360),'Market Data'!B360&gt;0),D360/'Market Data'!B360-1,""),"")</f>
        <v/>
      </c>
    </row>
    <row r="361" ht="22" customHeight="1">
      <c r="A361" s="5" t="inlineStr">
        <is>
          <t>2429 HK Equity</t>
        </is>
      </c>
      <c r="B361" s="5" t="inlineStr">
        <is>
          <t>UBOX ONLINE</t>
        </is>
      </c>
      <c r="C361" s="5" t="inlineStr">
        <is>
          <t>Consumer</t>
        </is>
      </c>
      <c r="D361" s="8">
        <f>IF($A361="","",BDP($A361,"LAST_PRICE"))</f>
        <v/>
      </c>
      <c r="E361" s="6">
        <f>IFERROR(IF(AND(ISNUMBER(D361),ISNUMBER('Market Data'!B361),'Market Data'!B361&gt;0),D361/'Market Data'!B361-1,""),"")</f>
        <v/>
      </c>
    </row>
    <row r="362" ht="22" customHeight="1">
      <c r="A362" s="5" t="inlineStr">
        <is>
          <t>9985 HK Equity</t>
        </is>
      </c>
      <c r="B362" s="5" t="inlineStr">
        <is>
          <t>WEILONG</t>
        </is>
      </c>
      <c r="C362" s="5" t="inlineStr">
        <is>
          <t>Consumer</t>
        </is>
      </c>
      <c r="D362" s="8">
        <f>IF($A362="","",BDP($A362,"LAST_PRICE"))</f>
        <v/>
      </c>
      <c r="E362" s="6">
        <f>IFERROR(IF(AND(ISNUMBER(D362),ISNUMBER('Market Data'!B362),'Market Data'!B362&gt;0),D362/'Market Data'!B362-1,""),"")</f>
        <v/>
      </c>
    </row>
    <row r="363" ht="22" customHeight="1">
      <c r="A363" s="5" t="inlineStr">
        <is>
          <t>2408 HK Equity</t>
        </is>
      </c>
      <c r="B363" s="5" t="inlineStr">
        <is>
          <t>XIAO NOODLES</t>
        </is>
      </c>
      <c r="C363" s="5" t="inlineStr">
        <is>
          <t>Consumer</t>
        </is>
      </c>
      <c r="D363" s="8">
        <f>IF($A363="","",BDP($A363,"LAST_PRICE"))</f>
        <v/>
      </c>
      <c r="E363" s="6">
        <f>IFERROR(IF(AND(ISNUMBER(D363),ISNUMBER('Market Data'!B363),'Market Data'!B363&gt;0),D363/'Market Data'!B363-1,""),"")</f>
        <v/>
      </c>
    </row>
    <row r="364" ht="22" customHeight="1">
      <c r="A364" s="5" t="inlineStr">
        <is>
          <t>999 HK Equity</t>
        </is>
      </c>
      <c r="B364" s="5" t="inlineStr">
        <is>
          <t>XIAOCAIYUAN</t>
        </is>
      </c>
      <c r="C364" s="5" t="inlineStr">
        <is>
          <t>Consumer</t>
        </is>
      </c>
      <c r="D364" s="8">
        <f>IF($A364="","",BDP($A364,"LAST_PRICE"))</f>
        <v/>
      </c>
      <c r="E364" s="6">
        <f>IFERROR(IF(AND(ISNUMBER(D364),ISNUMBER('Market Data'!B364),'Market Data'!B364&gt;0),D364/'Market Data'!B364-1,""),"")</f>
        <v/>
      </c>
    </row>
    <row r="365" ht="22" customHeight="1">
      <c r="A365" s="5" t="inlineStr">
        <is>
          <t>9868 HK Equity</t>
        </is>
      </c>
      <c r="B365" s="5" t="inlineStr">
        <is>
          <t>XPENG-W</t>
        </is>
      </c>
      <c r="C365" s="5" t="inlineStr">
        <is>
          <t>Consumer</t>
        </is>
      </c>
      <c r="D365" s="8">
        <f>IF($A365="","",BDP($A365,"LAST_PRICE"))</f>
        <v/>
      </c>
      <c r="E365" s="6">
        <f>IFERROR(IF(AND(ISNUMBER(D365),ISNUMBER('Market Data'!B365),'Market Data'!B365&gt;0),D365/'Market Data'!B365-1,""),"")</f>
        <v/>
      </c>
    </row>
    <row r="366" ht="22" customHeight="1">
      <c r="A366" s="5" t="inlineStr">
        <is>
          <t>6715 HK Equity</t>
        </is>
      </c>
      <c r="B366" s="5" t="inlineStr">
        <is>
          <t>XUNLONG SCITECH</t>
        </is>
      </c>
      <c r="C366" s="5" t="inlineStr">
        <is>
          <t>Consumer</t>
        </is>
      </c>
      <c r="D366" s="8">
        <f>IF($A366="","",BDP($A366,"LAST_PRICE"))</f>
        <v/>
      </c>
      <c r="E366" s="6">
        <f>IFERROR(IF(AND(ISNUMBER(D366),ISNUMBER('Market Data'!B366),'Market Data'!B366&gt;0),D366/'Market Data'!B366-1,""),"")</f>
        <v/>
      </c>
    </row>
    <row r="367" ht="22" customHeight="1">
      <c r="A367" s="5" t="inlineStr">
        <is>
          <t>2473 HK Equity</t>
        </is>
      </c>
      <c r="B367" s="5" t="inlineStr">
        <is>
          <t>XXF</t>
        </is>
      </c>
      <c r="C367" s="5" t="inlineStr">
        <is>
          <t>Consumer</t>
        </is>
      </c>
      <c r="D367" s="8">
        <f>IF($A367="","",BDP($A367,"LAST_PRICE"))</f>
        <v/>
      </c>
      <c r="E367" s="6">
        <f>IFERROR(IF(AND(ISNUMBER(D367),ISNUMBER('Market Data'!B367),'Market Data'!B367&gt;0),D367/'Market Data'!B367-1,""),"")</f>
        <v/>
      </c>
    </row>
    <row r="368" ht="22" customHeight="1">
      <c r="A368" s="5" t="inlineStr">
        <is>
          <t>1497 HK Equity</t>
        </is>
      </c>
      <c r="B368" s="5" t="inlineStr">
        <is>
          <t>YAN PALACE</t>
        </is>
      </c>
      <c r="C368" s="5" t="inlineStr">
        <is>
          <t>Consumer</t>
        </is>
      </c>
      <c r="D368" s="8">
        <f>IF($A368="","",BDP($A368,"LAST_PRICE"))</f>
        <v/>
      </c>
      <c r="E368" s="6">
        <f>IFERROR(IF(AND(ISNUMBER(D368),ISNUMBER('Market Data'!B368),'Market Data'!B368&gt;0),D368/'Market Data'!B368-1,""),"")</f>
        <v/>
      </c>
    </row>
    <row r="369" ht="22" customHeight="1">
      <c r="A369" s="5" t="inlineStr">
        <is>
          <t>2347 HK Equity</t>
        </is>
      </c>
      <c r="B369" s="5" t="inlineStr">
        <is>
          <t>YOHO GROUP</t>
        </is>
      </c>
      <c r="C369" s="5" t="inlineStr">
        <is>
          <t>Consumer</t>
        </is>
      </c>
      <c r="D369" s="8">
        <f>IF($A369="","",BDP($A369,"LAST_PRICE"))</f>
        <v/>
      </c>
      <c r="E369" s="6">
        <f>IFERROR(IF(AND(ISNUMBER(D369),ISNUMBER('Market Data'!B369),'Market Data'!B369&gt;0),D369/'Market Data'!B369-1,""),"")</f>
        <v/>
      </c>
    </row>
    <row r="370" ht="22" customHeight="1">
      <c r="A370" s="5" t="inlineStr">
        <is>
          <t>9858 HK Equity</t>
        </is>
      </c>
      <c r="B370" s="5" t="inlineStr">
        <is>
          <t>YOURAN DAIRY</t>
        </is>
      </c>
      <c r="C370" s="5" t="inlineStr">
        <is>
          <t>Consumer</t>
        </is>
      </c>
      <c r="D370" s="8">
        <f>IF($A370="","",BDP($A370,"LAST_PRICE"))</f>
        <v/>
      </c>
      <c r="E370" s="6">
        <f>IFERROR(IF(AND(ISNUMBER(D370),ISNUMBER('Market Data'!B370),'Market Data'!B370&gt;0),D370/'Market Data'!B370-1,""),"")</f>
        <v/>
      </c>
    </row>
    <row r="371" ht="22" customHeight="1">
      <c r="A371" s="5" t="inlineStr">
        <is>
          <t>2147 HK Equity</t>
        </is>
      </c>
      <c r="B371" s="5" t="inlineStr">
        <is>
          <t>ZHENGWEI GROUP</t>
        </is>
      </c>
      <c r="C371" s="5" t="inlineStr">
        <is>
          <t>Consumer</t>
        </is>
      </c>
      <c r="D371" s="8">
        <f>IF($A371="","",BDP($A371,"LAST_PRICE"))</f>
        <v/>
      </c>
      <c r="E371" s="6">
        <f>IFERROR(IF(AND(ISNUMBER(D371),ISNUMBER('Market Data'!B371),'Market Data'!B371&gt;0),D371/'Market Data'!B371-1,""),"")</f>
        <v/>
      </c>
    </row>
    <row r="372" ht="22" customHeight="1">
      <c r="A372" s="5" t="inlineStr">
        <is>
          <t>2650 HK Equity</t>
        </is>
      </c>
      <c r="B372" s="5" t="inlineStr">
        <is>
          <t>ZHIDA TECH</t>
        </is>
      </c>
      <c r="C372" s="5" t="inlineStr">
        <is>
          <t>Consumer</t>
        </is>
      </c>
      <c r="D372" s="8">
        <f>IF($A372="","",BDP($A372,"LAST_PRICE"))</f>
        <v/>
      </c>
      <c r="E372" s="6">
        <f>IFERROR(IF(AND(ISNUMBER(D372),ISNUMBER('Market Data'!B372),'Market Data'!B372&gt;0),D372/'Market Data'!B372-1,""),"")</f>
        <v/>
      </c>
    </row>
    <row r="373" ht="22" customHeight="1">
      <c r="A373" s="5" t="inlineStr">
        <is>
          <t>6168 HK Equity</t>
        </is>
      </c>
      <c r="B373" s="5" t="inlineStr">
        <is>
          <t>ZHOU LIU FU</t>
        </is>
      </c>
      <c r="C373" s="5" t="inlineStr">
        <is>
          <t>Consumer</t>
        </is>
      </c>
      <c r="D373" s="8">
        <f>IF($A373="","",BDP($A373,"LAST_PRICE"))</f>
        <v/>
      </c>
      <c r="E373" s="6">
        <f>IFERROR(IF(AND(ISNUMBER(D373),ISNUMBER('Market Data'!B373),'Market Data'!B373&gt;0),D373/'Market Data'!B373-1,""),"")</f>
        <v/>
      </c>
    </row>
    <row r="374" ht="22" customHeight="1">
      <c r="A374" s="5" t="inlineStr">
        <is>
          <t>6979 HK Equity</t>
        </is>
      </c>
      <c r="B374" s="5" t="inlineStr">
        <is>
          <t>ZJLD</t>
        </is>
      </c>
      <c r="C374" s="5" t="inlineStr">
        <is>
          <t>Consumer</t>
        </is>
      </c>
      <c r="D374" s="8">
        <f>IF($A374="","",BDP($A374,"LAST_PRICE"))</f>
        <v/>
      </c>
      <c r="E374" s="6">
        <f>IFERROR(IF(AND(ISNUMBER(D374),ISNUMBER('Market Data'!B374),'Market Data'!B374&gt;0),D374/'Market Data'!B374-1,""),"")</f>
        <v/>
      </c>
    </row>
    <row r="375" ht="22" customHeight="1">
      <c r="A375" s="5" t="inlineStr">
        <is>
          <t>2672 HK Equity</t>
        </is>
      </c>
      <c r="B375" s="5" t="inlineStr">
        <is>
          <t>BAIGE DIGITAL</t>
        </is>
      </c>
      <c r="C375" s="5" t="inlineStr">
        <is>
          <t>Financials</t>
        </is>
      </c>
      <c r="D375" s="8">
        <f>IF($A375="","",BDP($A375,"LAST_PRICE"))</f>
        <v/>
      </c>
      <c r="E375" s="6">
        <f>IFERROR(IF(AND(ISNUMBER(D375),ISNUMBER('Market Data'!B375),'Market Data'!B375&gt;0),D375/'Market Data'!B375-1,""),"")</f>
        <v/>
      </c>
    </row>
    <row r="376" ht="22" customHeight="1">
      <c r="A376" s="5" t="inlineStr">
        <is>
          <t>9889 HK Equity</t>
        </is>
      </c>
      <c r="B376" s="5" t="inlineStr">
        <is>
          <t>DRCB</t>
        </is>
      </c>
      <c r="C376" s="5" t="inlineStr">
        <is>
          <t>Financials</t>
        </is>
      </c>
      <c r="D376" s="8">
        <f>IF($A376="","",BDP($A376,"LAST_PRICE"))</f>
        <v/>
      </c>
      <c r="E376" s="6">
        <f>IFERROR(IF(AND(ISNUMBER(D376),ISNUMBER('Market Data'!B376),'Market Data'!B376&gt;0),D376/'Market Data'!B376-1,""),"")</f>
        <v/>
      </c>
    </row>
    <row r="377" ht="22" customHeight="1">
      <c r="A377" s="5" t="inlineStr">
        <is>
          <t>1828 HK Equity</t>
        </is>
      </c>
      <c r="B377" s="5" t="inlineStr">
        <is>
          <t>FWD</t>
        </is>
      </c>
      <c r="C377" s="5" t="inlineStr">
        <is>
          <t>Financials</t>
        </is>
      </c>
      <c r="D377" s="8">
        <f>IF($A377="","",BDP($A377,"LAST_PRICE"))</f>
        <v/>
      </c>
      <c r="E377" s="6">
        <f>IFERROR(IF(AND(ISNUMBER(D377),ISNUMBER('Market Data'!B377),'Market Data'!B377&gt;0),D377/'Market Data'!B377-1,""),"")</f>
        <v/>
      </c>
    </row>
    <row r="378" ht="22" customHeight="1">
      <c r="A378" s="5" t="inlineStr">
        <is>
          <t>9636 HK Equity</t>
        </is>
      </c>
      <c r="B378" s="5" t="inlineStr">
        <is>
          <t>JF WEALTH</t>
        </is>
      </c>
      <c r="C378" s="5" t="inlineStr">
        <is>
          <t>Financials</t>
        </is>
      </c>
      <c r="D378" s="8">
        <f>IF($A378="","",BDP($A378,"LAST_PRICE"))</f>
        <v/>
      </c>
      <c r="E378" s="6">
        <f>IFERROR(IF(AND(ISNUMBER(D378),ISNUMBER('Market Data'!B378),'Market Data'!B378&gt;0),D378/'Market Data'!B378-1,""),"")</f>
        <v/>
      </c>
    </row>
    <row r="379" ht="22" customHeight="1">
      <c r="A379" s="5" t="inlineStr">
        <is>
          <t>2691 HK Equity</t>
        </is>
      </c>
      <c r="B379" s="5" t="inlineStr">
        <is>
          <t>NANHUA FUTURES</t>
        </is>
      </c>
      <c r="C379" s="5" t="inlineStr">
        <is>
          <t>Financials</t>
        </is>
      </c>
      <c r="D379" s="8">
        <f>IF($A379="","",BDP($A379,"LAST_PRICE"))</f>
        <v/>
      </c>
      <c r="E379" s="6">
        <f>IFERROR(IF(AND(ISNUMBER(D379),ISNUMBER('Market Data'!B379),'Market Data'!B379&gt;0),D379/'Market Data'!B379-1,""),"")</f>
        <v/>
      </c>
    </row>
    <row r="380" ht="22" customHeight="1">
      <c r="A380" s="5" t="inlineStr">
        <is>
          <t>6686 HK Equity</t>
        </is>
      </c>
      <c r="B380" s="5" t="inlineStr">
        <is>
          <t>NOAH HOLDINGS-S</t>
        </is>
      </c>
      <c r="C380" s="5" t="inlineStr">
        <is>
          <t>Financials</t>
        </is>
      </c>
      <c r="D380" s="8">
        <f>IF($A380="","",BDP($A380,"LAST_PRICE"))</f>
        <v/>
      </c>
      <c r="E380" s="6">
        <f>IFERROR(IF(AND(ISNUMBER(D380),ISNUMBER('Market Data'!B380),'Market Data'!B380&gt;0),D380/'Market Data'!B380-1,""),"")</f>
        <v/>
      </c>
    </row>
    <row r="381" ht="22" customHeight="1">
      <c r="A381" s="5" t="inlineStr">
        <is>
          <t>2378 HK Equity</t>
        </is>
      </c>
      <c r="B381" s="5" t="inlineStr">
        <is>
          <t>PRU</t>
        </is>
      </c>
      <c r="C381" s="5" t="inlineStr">
        <is>
          <t>Financials</t>
        </is>
      </c>
      <c r="D381" s="8">
        <f>IF($A381="","",BDP($A381,"LAST_PRICE"))</f>
        <v/>
      </c>
      <c r="E381" s="6">
        <f>IFERROR(IF(AND(ISNUMBER(D381),ISNUMBER('Market Data'!B381),'Market Data'!B381&gt;0),D381/'Market Data'!B381-1,""),"")</f>
        <v/>
      </c>
    </row>
    <row r="382" ht="22" customHeight="1">
      <c r="A382" s="5" t="inlineStr">
        <is>
          <t>2661 HK Equity</t>
        </is>
      </c>
      <c r="B382" s="5" t="inlineStr">
        <is>
          <t>QINGSONG HEALTH</t>
        </is>
      </c>
      <c r="C382" s="5" t="inlineStr">
        <is>
          <t>Financials</t>
        </is>
      </c>
      <c r="D382" s="8">
        <f>IF($A382="","",BDP($A382,"LAST_PRICE"))</f>
        <v/>
      </c>
      <c r="E382" s="6">
        <f>IFERROR(IF(AND(ISNUMBER(D382),ISNUMBER('Market Data'!B382),'Market Data'!B382&gt;0),D382/'Market Data'!B382-1,""),"")</f>
        <v/>
      </c>
    </row>
    <row r="383" ht="22" customHeight="1">
      <c r="A383" s="5" t="inlineStr">
        <is>
          <t>2621 HK Equity</t>
        </is>
      </c>
      <c r="B383" s="5" t="inlineStr">
        <is>
          <t>SHOUHUI GROUP</t>
        </is>
      </c>
      <c r="C383" s="5" t="inlineStr">
        <is>
          <t>Financials</t>
        </is>
      </c>
      <c r="D383" s="8">
        <f>IF($A383="","",BDP($A383,"LAST_PRICE"))</f>
        <v/>
      </c>
      <c r="E383" s="6">
        <f>IFERROR(IF(AND(ISNUMBER(D383),ISNUMBER('Market Data'!B383),'Market Data'!B383&gt;0),D383/'Market Data'!B383-1,""),"")</f>
        <v/>
      </c>
    </row>
    <row r="384" ht="22" customHeight="1">
      <c r="A384" s="5" t="inlineStr">
        <is>
          <t>6963 HK Equity</t>
        </is>
      </c>
      <c r="B384" s="5" t="inlineStr">
        <is>
          <t>SUNSHINE INS</t>
        </is>
      </c>
      <c r="C384" s="5" t="inlineStr">
        <is>
          <t>Financials</t>
        </is>
      </c>
      <c r="D384" s="8">
        <f>IF($A384="","",BDP($A384,"LAST_PRICE"))</f>
        <v/>
      </c>
      <c r="E384" s="6">
        <f>IFERROR(IF(AND(ISNUMBER(D384),ISNUMBER('Market Data'!B384),'Market Data'!B384&gt;0),D384/'Market Data'!B384-1,""),"")</f>
        <v/>
      </c>
    </row>
    <row r="385" ht="22" customHeight="1">
      <c r="A385" s="5" t="inlineStr">
        <is>
          <t>1973 HK Equity</t>
        </is>
      </c>
      <c r="B385" s="5" t="inlineStr">
        <is>
          <t>TIAN TU CAPITAL</t>
        </is>
      </c>
      <c r="C385" s="5" t="inlineStr">
        <is>
          <t>Financials</t>
        </is>
      </c>
      <c r="D385" s="8">
        <f>IF($A385="","",BDP($A385,"LAST_PRICE"))</f>
        <v/>
      </c>
      <c r="E385" s="6">
        <f>IFERROR(IF(AND(ISNUMBER(D385),ISNUMBER('Market Data'!B385),'Market Data'!B385&gt;0),D385/'Market Data'!B385-1,""),"")</f>
        <v/>
      </c>
    </row>
    <row r="386" ht="22" customHeight="1">
      <c r="A386" s="5" t="inlineStr">
        <is>
          <t>2596 HK Equity</t>
        </is>
      </c>
      <c r="B386" s="5" t="inlineStr">
        <is>
          <t>YIBIN BANK</t>
        </is>
      </c>
      <c r="C386" s="5" t="inlineStr">
        <is>
          <t>Financials</t>
        </is>
      </c>
      <c r="D386" s="8">
        <f>IF($A386="","",BDP($A386,"LAST_PRICE"))</f>
        <v/>
      </c>
      <c r="E386" s="6">
        <f>IFERROR(IF(AND(ISNUMBER(D386),ISNUMBER('Market Data'!B386),'Market Data'!B386&gt;0),D386/'Market Data'!B386-1,""),"")</f>
        <v/>
      </c>
    </row>
    <row r="387" ht="22" customHeight="1">
      <c r="A387" s="5" t="inlineStr">
        <is>
          <t>1471 HK Equity</t>
        </is>
      </c>
      <c r="B387" s="5" t="inlineStr">
        <is>
          <t>ZHONGMIAO</t>
        </is>
      </c>
      <c r="C387" s="5" t="inlineStr">
        <is>
          <t>Financials</t>
        </is>
      </c>
      <c r="D387" s="8">
        <f>IF($A387="","",BDP($A387,"LAST_PRICE"))</f>
        <v/>
      </c>
      <c r="E387" s="6">
        <f>IFERROR(IF(AND(ISNUMBER(D387),ISNUMBER('Market Data'!B387),'Market Data'!B387&gt;0),D387/'Market Data'!B387-1,""),"")</f>
        <v/>
      </c>
    </row>
    <row r="388" ht="22" customHeight="1">
      <c r="A388" s="5" t="inlineStr">
        <is>
          <t>2649 HK Equity</t>
        </is>
      </c>
      <c r="B388" s="5" t="inlineStr">
        <is>
          <t>ALSCO POOLING</t>
        </is>
      </c>
      <c r="C388" s="5" t="inlineStr">
        <is>
          <t>Industrials</t>
        </is>
      </c>
      <c r="D388" s="8">
        <f>IF($A388="","",BDP($A388,"LAST_PRICE"))</f>
        <v/>
      </c>
      <c r="E388" s="6">
        <f>IFERROR(IF(AND(ISNUMBER(D388),ISNUMBER('Market Data'!B388),'Market Data'!B388&gt;0),D388/'Market Data'!B388-1,""),"")</f>
        <v/>
      </c>
    </row>
    <row r="389" ht="22" customHeight="1">
      <c r="A389" s="5" t="inlineStr">
        <is>
          <t>1333 HK Equity</t>
        </is>
      </c>
      <c r="B389" s="5" t="inlineStr">
        <is>
          <t>BRETON</t>
        </is>
      </c>
      <c r="C389" s="5" t="inlineStr">
        <is>
          <t>Industrials</t>
        </is>
      </c>
      <c r="D389" s="8">
        <f>IF($A389="","",BDP($A389,"LAST_PRICE"))</f>
        <v/>
      </c>
      <c r="E389" s="6">
        <f>IFERROR(IF(AND(ISNUMBER(D389),ISNUMBER('Market Data'!B389),'Market Data'!B389&gt;0),D389/'Market Data'!B389-1,""),"")</f>
        <v/>
      </c>
    </row>
    <row r="390" ht="22" customHeight="1">
      <c r="A390" s="5" t="inlineStr">
        <is>
          <t>3931 HK Equity</t>
        </is>
      </c>
      <c r="B390" s="5" t="inlineStr">
        <is>
          <t>CALB</t>
        </is>
      </c>
      <c r="C390" s="5" t="inlineStr">
        <is>
          <t>Industrials</t>
        </is>
      </c>
      <c r="D390" s="8">
        <f>IF($A390="","",BDP($A390,"LAST_PRICE"))</f>
        <v/>
      </c>
      <c r="E390" s="6">
        <f>IFERROR(IF(AND(ISNUMBER(D390),ISNUMBER('Market Data'!B390),'Market Data'!B390&gt;0),D390/'Market Data'!B390-1,""),"")</f>
        <v/>
      </c>
    </row>
    <row r="391" ht="22" customHeight="1">
      <c r="A391" s="5" t="inlineStr">
        <is>
          <t>3750 HK Equity</t>
        </is>
      </c>
      <c r="B391" s="5" t="inlineStr">
        <is>
          <t>CATL</t>
        </is>
      </c>
      <c r="C391" s="5" t="inlineStr">
        <is>
          <t>Industrials</t>
        </is>
      </c>
      <c r="D391" s="8">
        <f>IF($A391="","",BDP($A391,"LAST_PRICE"))</f>
        <v/>
      </c>
      <c r="E391" s="6">
        <f>IFERROR(IF(AND(ISNUMBER(D391),ISNUMBER('Market Data'!B391),'Market Data'!B391&gt;0),D391/'Market Data'!B391-1,""),"")</f>
        <v/>
      </c>
    </row>
    <row r="392" ht="22" customHeight="1">
      <c r="A392" s="5" t="inlineStr">
        <is>
          <t>2285 HK Equity</t>
        </is>
      </c>
      <c r="B392" s="5" t="inlineStr">
        <is>
          <t>CHERVON</t>
        </is>
      </c>
      <c r="C392" s="5" t="inlineStr">
        <is>
          <t>Industrials</t>
        </is>
      </c>
      <c r="D392" s="8">
        <f>IF($A392="","",BDP($A392,"LAST_PRICE"))</f>
        <v/>
      </c>
      <c r="E392" s="6">
        <f>IFERROR(IF(AND(ISNUMBER(D392),ISNUMBER('Market Data'!B392),'Market Data'!B392&gt;0),D392/'Market Data'!B392-1,""),"")</f>
        <v/>
      </c>
    </row>
    <row r="393" ht="22" customHeight="1">
      <c r="A393" s="5" t="inlineStr">
        <is>
          <t>2507 HK Equity</t>
        </is>
      </c>
      <c r="B393" s="5" t="inlineStr">
        <is>
          <t>CIRRUS</t>
        </is>
      </c>
      <c r="C393" s="5" t="inlineStr">
        <is>
          <t>Industrials</t>
        </is>
      </c>
      <c r="D393" s="8">
        <f>IF($A393="","",BDP($A393,"LAST_PRICE"))</f>
        <v/>
      </c>
      <c r="E393" s="6">
        <f>IFERROR(IF(AND(ISNUMBER(D393),ISNUMBER('Market Data'!B393),'Market Data'!B393&gt;0),D393/'Market Data'!B393-1,""),"")</f>
        <v/>
      </c>
    </row>
    <row r="394" ht="22" customHeight="1">
      <c r="A394" s="5" t="inlineStr">
        <is>
          <t>2579 HK Equity</t>
        </is>
      </c>
      <c r="B394" s="5" t="inlineStr">
        <is>
          <t>CNGR</t>
        </is>
      </c>
      <c r="C394" s="5" t="inlineStr">
        <is>
          <t>Industrials</t>
        </is>
      </c>
      <c r="D394" s="8">
        <f>IF($A394="","",BDP($A394,"LAST_PRICE"))</f>
        <v/>
      </c>
      <c r="E394" s="6">
        <f>IFERROR(IF(AND(ISNUMBER(D394),ISNUMBER('Market Data'!B394),'Market Data'!B394&gt;0),D394/'Market Data'!B394-1,""),"")</f>
        <v/>
      </c>
    </row>
    <row r="395" ht="22" customHeight="1">
      <c r="A395" s="5" t="inlineStr">
        <is>
          <t>2613 HK Equity</t>
        </is>
      </c>
      <c r="B395" s="5" t="inlineStr">
        <is>
          <t>CONTIOCEAN</t>
        </is>
      </c>
      <c r="C395" s="5" t="inlineStr">
        <is>
          <t>Industrials</t>
        </is>
      </c>
      <c r="D395" s="8">
        <f>IF($A395="","",BDP($A395,"LAST_PRICE"))</f>
        <v/>
      </c>
      <c r="E395" s="6">
        <f>IFERROR(IF(AND(ISNUMBER(D395),ISNUMBER('Market Data'!B395),'Market Data'!B395&gt;0),D395/'Market Data'!B395-1,""),"")</f>
        <v/>
      </c>
    </row>
    <row r="396" ht="22" customHeight="1">
      <c r="A396" s="5" t="inlineStr">
        <is>
          <t>1081 HK Equity</t>
        </is>
      </c>
      <c r="B396" s="5" t="inlineStr">
        <is>
          <t>DAJIN</t>
        </is>
      </c>
      <c r="C396" s="5" t="inlineStr">
        <is>
          <t>Industrials</t>
        </is>
      </c>
      <c r="D396" s="8">
        <f>IF($A396="","",BDP($A396,"LAST_PRICE"))</f>
        <v/>
      </c>
      <c r="E396" s="6">
        <f>IFERROR(IF(AND(ISNUMBER(D396),ISNUMBER('Market Data'!B396),'Market Data'!B396&gt;0),D396/'Market Data'!B396-1,""),"")</f>
        <v/>
      </c>
    </row>
    <row r="397" ht="22" customHeight="1">
      <c r="A397" s="5" t="inlineStr">
        <is>
          <t>2418 HK Equity</t>
        </is>
      </c>
      <c r="B397" s="5" t="inlineStr">
        <is>
          <t>DEEWIN</t>
        </is>
      </c>
      <c r="C397" s="5" t="inlineStr">
        <is>
          <t>Industrials</t>
        </is>
      </c>
      <c r="D397" s="8">
        <f>IF($A397="","",BDP($A397,"LAST_PRICE"))</f>
        <v/>
      </c>
      <c r="E397" s="6">
        <f>IFERROR(IF(AND(ISNUMBER(D397),ISNUMBER('Market Data'!B397),'Market Data'!B397&gt;0),D397/'Market Data'!B397-1,""),"")</f>
        <v/>
      </c>
    </row>
    <row r="398" ht="22" customHeight="1">
      <c r="A398" s="5" t="inlineStr">
        <is>
          <t>1440 HK Equity</t>
        </is>
      </c>
      <c r="B398" s="5" t="inlineStr">
        <is>
          <t>DEYUN HOLDING</t>
        </is>
      </c>
      <c r="C398" s="5" t="inlineStr">
        <is>
          <t>Industrials</t>
        </is>
      </c>
      <c r="D398" s="8">
        <f>IF($A398="","",BDP($A398,"LAST_PRICE"))</f>
        <v/>
      </c>
      <c r="E398" s="6">
        <f>IFERROR(IF(AND(ISNUMBER(D398),ISNUMBER('Market Data'!B398),'Market Data'!B398&gt;0),D398/'Market Data'!B398-1,""),"")</f>
        <v/>
      </c>
    </row>
    <row r="399" ht="22" customHeight="1">
      <c r="A399" s="5" t="inlineStr">
        <is>
          <t>2865 HK Equity</t>
        </is>
      </c>
      <c r="B399" s="5" t="inlineStr">
        <is>
          <t>DRINDA</t>
        </is>
      </c>
      <c r="C399" s="5" t="inlineStr">
        <is>
          <t>Industrials</t>
        </is>
      </c>
      <c r="D399" s="8">
        <f>IF($A399="","",BDP($A399,"LAST_PRICE"))</f>
        <v/>
      </c>
      <c r="E399" s="6">
        <f>IFERROR(IF(AND(ISNUMBER(D399),ISNUMBER('Market Data'!B399),'Market Data'!B399&gt;0),D399/'Market Data'!B399-1,""),"")</f>
        <v/>
      </c>
    </row>
    <row r="400" ht="22" customHeight="1">
      <c r="A400" s="5" t="inlineStr">
        <is>
          <t>2442 HK Equity</t>
        </is>
      </c>
      <c r="B400" s="5" t="inlineStr">
        <is>
          <t>EASY SMART GP</t>
        </is>
      </c>
      <c r="C400" s="5" t="inlineStr">
        <is>
          <t>Industrials</t>
        </is>
      </c>
      <c r="D400" s="8">
        <f>IF($A400="","",BDP($A400,"LAST_PRICE"))</f>
        <v/>
      </c>
      <c r="E400" s="6">
        <f>IFERROR(IF(AND(ISNUMBER(D400),ISNUMBER('Market Data'!B400),'Market Data'!B400&gt;0),D400/'Market Data'!B400-1,""),"")</f>
        <v/>
      </c>
    </row>
    <row r="401" ht="22" customHeight="1">
      <c r="A401" s="5" t="inlineStr">
        <is>
          <t>2505 HK Equity</t>
        </is>
      </c>
      <c r="B401" s="5" t="inlineStr">
        <is>
          <t>EDA GROUP HLDGS</t>
        </is>
      </c>
      <c r="C401" s="5" t="inlineStr">
        <is>
          <t>Industrials</t>
        </is>
      </c>
      <c r="D401" s="8">
        <f>IF($A401="","",BDP($A401,"LAST_PRICE"))</f>
        <v/>
      </c>
      <c r="E401" s="6">
        <f>IFERROR(IF(AND(ISNUMBER(D401),ISNUMBER('Market Data'!B401),'Market Data'!B401&gt;0),D401/'Market Data'!B401-1,""),"")</f>
        <v/>
      </c>
    </row>
    <row r="402" ht="22" customHeight="1">
      <c r="A402" s="5" t="inlineStr">
        <is>
          <t>2516 HK Equity</t>
        </is>
      </c>
      <c r="B402" s="5" t="inlineStr">
        <is>
          <t>FAR INTL</t>
        </is>
      </c>
      <c r="C402" s="5" t="inlineStr">
        <is>
          <t>Industrials</t>
        </is>
      </c>
      <c r="D402" s="8">
        <f>IF($A402="","",BDP($A402,"LAST_PRICE"))</f>
        <v/>
      </c>
      <c r="E402" s="6">
        <f>IFERROR(IF(AND(ISNUMBER(D402),ISNUMBER('Market Data'!B402),'Market Data'!B402&gt;0),D402/'Market Data'!B402-1,""),"")</f>
        <v/>
      </c>
    </row>
    <row r="403" ht="22" customHeight="1">
      <c r="A403" s="5" t="inlineStr">
        <is>
          <t>2499 HK Equity</t>
        </is>
      </c>
      <c r="B403" s="5" t="inlineStr">
        <is>
          <t>FOLANGSI</t>
        </is>
      </c>
      <c r="C403" s="5" t="inlineStr">
        <is>
          <t>Industrials</t>
        </is>
      </c>
      <c r="D403" s="8">
        <f>IF($A403="","",BDP($A403,"LAST_PRICE"))</f>
        <v/>
      </c>
      <c r="E403" s="6">
        <f>IFERROR(IF(AND(ISNUMBER(D403),ISNUMBER('Market Data'!B403),'Market Data'!B403&gt;0),D403/'Market Data'!B403-1,""),"")</f>
        <v/>
      </c>
    </row>
    <row r="404" ht="22" customHeight="1">
      <c r="A404" s="5" t="inlineStr">
        <is>
          <t>1489 HK Equity</t>
        </is>
      </c>
      <c r="B404" s="5" t="inlineStr">
        <is>
          <t>GC CONSTRUCTION</t>
        </is>
      </c>
      <c r="C404" s="5" t="inlineStr">
        <is>
          <t>Industrials</t>
        </is>
      </c>
      <c r="D404" s="8">
        <f>IF($A404="","",BDP($A404,"LAST_PRICE"))</f>
        <v/>
      </c>
      <c r="E404" s="6">
        <f>IFERROR(IF(AND(ISNUMBER(D404),ISNUMBER('Market Data'!B404),'Market Data'!B404&gt;0),D404/'Market Data'!B404-1,""),"")</f>
        <v/>
      </c>
    </row>
    <row r="405" ht="22" customHeight="1">
      <c r="A405" s="5" t="inlineStr">
        <is>
          <t>2246 HK Equity</t>
        </is>
      </c>
      <c r="B405" s="5" t="inlineStr">
        <is>
          <t>GOGOX</t>
        </is>
      </c>
      <c r="C405" s="5" t="inlineStr">
        <is>
          <t>Industrials</t>
        </is>
      </c>
      <c r="D405" s="8">
        <f>IF($A405="","",BDP($A405,"LAST_PRICE"))</f>
        <v/>
      </c>
      <c r="E405" s="6">
        <f>IFERROR(IF(AND(ISNUMBER(D405),ISNUMBER('Market Data'!B405),'Market Data'!B405&gt;0),D405/'Market Data'!B405-1,""),"")</f>
        <v/>
      </c>
    </row>
    <row r="406" ht="22" customHeight="1">
      <c r="A406" s="5" t="inlineStr">
        <is>
          <t>2582 HK Equity</t>
        </is>
      </c>
      <c r="B406" s="5" t="inlineStr">
        <is>
          <t>GUOFUHEE</t>
        </is>
      </c>
      <c r="C406" s="5" t="inlineStr">
        <is>
          <t>Industrials</t>
        </is>
      </c>
      <c r="D406" s="8">
        <f>IF($A406="","",BDP($A406,"LAST_PRICE"))</f>
        <v/>
      </c>
      <c r="E406" s="6">
        <f>IFERROR(IF(AND(ISNUMBER(D406),ISNUMBER('Market Data'!B406),'Market Data'!B406&gt;0),D406/'Market Data'!B406-1,""),"")</f>
        <v/>
      </c>
    </row>
    <row r="407" ht="22" customHeight="1">
      <c r="A407" s="5" t="inlineStr">
        <is>
          <t>3200 HK Equity</t>
        </is>
      </c>
      <c r="B407" s="5" t="inlineStr">
        <is>
          <t>HANS CNC</t>
        </is>
      </c>
      <c r="C407" s="5" t="inlineStr">
        <is>
          <t>Industrials</t>
        </is>
      </c>
      <c r="D407" s="8">
        <f>IF($A407="","",BDP($A407,"LAST_PRICE"))</f>
        <v/>
      </c>
      <c r="E407" s="6">
        <f>IFERROR(IF(AND(ISNUMBER(D407),ISNUMBER('Market Data'!B407),'Market Data'!B407&gt;0),D407/'Market Data'!B407-1,""),"")</f>
        <v/>
      </c>
    </row>
    <row r="408" ht="22" customHeight="1">
      <c r="A408" s="5" t="inlineStr">
        <is>
          <t>9930 HK Equity</t>
        </is>
      </c>
      <c r="B408" s="5" t="inlineStr">
        <is>
          <t>HORIZON CD</t>
        </is>
      </c>
      <c r="C408" s="5" t="inlineStr">
        <is>
          <t>Industrials</t>
        </is>
      </c>
      <c r="D408" s="8">
        <f>IF($A408="","",BDP($A408,"LAST_PRICE"))</f>
        <v/>
      </c>
      <c r="E408" s="6">
        <f>IFERROR(IF(AND(ISNUMBER(D408),ISNUMBER('Market Data'!B408),'Market Data'!B408&gt;0),D408/'Market Data'!B408-1,""),"")</f>
        <v/>
      </c>
    </row>
    <row r="409" ht="22" customHeight="1">
      <c r="A409" s="5" t="inlineStr">
        <is>
          <t>1111 HK Equity</t>
        </is>
      </c>
      <c r="B409" s="5" t="inlineStr">
        <is>
          <t>HUASHI GROUP</t>
        </is>
      </c>
      <c r="C409" s="5" t="inlineStr">
        <is>
          <t>Industrials</t>
        </is>
      </c>
      <c r="D409" s="8">
        <f>IF($A409="","",BDP($A409,"LAST_PRICE"))</f>
        <v/>
      </c>
      <c r="E409" s="6">
        <f>IFERROR(IF(AND(ISNUMBER(D409),ISNUMBER('Market Data'!B409),'Market Data'!B409&gt;0),D409/'Market Data'!B409-1,""),"")</f>
        <v/>
      </c>
    </row>
    <row r="410" ht="22" customHeight="1">
      <c r="A410" s="5" t="inlineStr">
        <is>
          <t>1641 HK Equity</t>
        </is>
      </c>
      <c r="B410" s="5" t="inlineStr">
        <is>
          <t>HX COLDCHAIN</t>
        </is>
      </c>
      <c r="C410" s="5" t="inlineStr">
        <is>
          <t>Industrials</t>
        </is>
      </c>
      <c r="D410" s="8">
        <f>IF($A410="","",BDP($A410,"LAST_PRICE"))</f>
        <v/>
      </c>
      <c r="E410" s="6">
        <f>IFERROR(IF(AND(ISNUMBER(D410),ISNUMBER('Market Data'!B410),'Market Data'!B410&gt;0),D410/'Market Data'!B410-1,""),"")</f>
        <v/>
      </c>
    </row>
    <row r="411" ht="22" customHeight="1">
      <c r="A411" s="5" t="inlineStr">
        <is>
          <t>1519 HK Equity</t>
        </is>
      </c>
      <c r="B411" s="5" t="inlineStr">
        <is>
          <t>J&amp;T EXPRESS-W</t>
        </is>
      </c>
      <c r="C411" s="5" t="inlineStr">
        <is>
          <t>Industrials</t>
        </is>
      </c>
      <c r="D411" s="8">
        <f>IF($A411="","",BDP($A411,"LAST_PRICE"))</f>
        <v/>
      </c>
      <c r="E411" s="6">
        <f>IFERROR(IF(AND(ISNUMBER(D411),ISNUMBER('Market Data'!B411),'Market Data'!B411&gt;0),D411/'Market Data'!B411-1,""),"")</f>
        <v/>
      </c>
    </row>
    <row r="412" ht="22" customHeight="1">
      <c r="A412" s="5" t="inlineStr">
        <is>
          <t>2618 HK Equity</t>
        </is>
      </c>
      <c r="B412" s="5" t="inlineStr">
        <is>
          <t>JD LOGISTICS</t>
        </is>
      </c>
      <c r="C412" s="5" t="inlineStr">
        <is>
          <t>Industrials</t>
        </is>
      </c>
      <c r="D412" s="8">
        <f>IF($A412="","",BDP($A412,"LAST_PRICE"))</f>
        <v/>
      </c>
      <c r="E412" s="6">
        <f>IFERROR(IF(AND(ISNUMBER(D412),ISNUMBER('Market Data'!B412),'Market Data'!B412&gt;0),D412/'Market Data'!B412-1,""),"")</f>
        <v/>
      </c>
    </row>
    <row r="413" ht="22" customHeight="1">
      <c r="A413" s="5" t="inlineStr">
        <is>
          <t>6680 HK Equity</t>
        </is>
      </c>
      <c r="B413" s="5" t="inlineStr">
        <is>
          <t>JLMAG</t>
        </is>
      </c>
      <c r="C413" s="5" t="inlineStr">
        <is>
          <t>Industrials</t>
        </is>
      </c>
      <c r="D413" s="8">
        <f>IF($A413="","",BDP($A413,"LAST_PRICE"))</f>
        <v/>
      </c>
      <c r="E413" s="6">
        <f>IFERROR(IF(AND(ISNUMBER(D413),ISNUMBER('Market Data'!B413),'Market Data'!B413&gt;0),D413/'Market Data'!B413-1,""),"")</f>
        <v/>
      </c>
    </row>
    <row r="414" ht="22" customHeight="1">
      <c r="A414" s="5" t="inlineStr">
        <is>
          <t>1413 HK Equity</t>
        </is>
      </c>
      <c r="B414" s="5" t="inlineStr">
        <is>
          <t>KWONG LUEN ENG</t>
        </is>
      </c>
      <c r="C414" s="5" t="inlineStr">
        <is>
          <t>Industrials</t>
        </is>
      </c>
      <c r="D414" s="8">
        <f>IF($A414="","",BDP($A414,"LAST_PRICE"))</f>
        <v/>
      </c>
      <c r="E414" s="6">
        <f>IFERROR(IF(AND(ISNUMBER(D414),ISNUMBER('Market Data'!B414),'Market Data'!B414&gt;0),D414/'Market Data'!B414-1,""),"")</f>
        <v/>
      </c>
    </row>
    <row r="415" ht="22" customHeight="1">
      <c r="A415" s="5" t="inlineStr">
        <is>
          <t>3952 HK Equity</t>
        </is>
      </c>
      <c r="B415" s="5" t="inlineStr">
        <is>
          <t>LAIFUAL</t>
        </is>
      </c>
      <c r="C415" s="5" t="inlineStr">
        <is>
          <t>Industrials</t>
        </is>
      </c>
      <c r="D415" s="8">
        <f>IF($A415="","",BDP($A415,"LAST_PRICE"))</f>
        <v/>
      </c>
      <c r="E415" s="6">
        <f>IFERROR(IF(AND(ISNUMBER(D415),ISNUMBER('Market Data'!B415),'Market Data'!B415&gt;0),D415/'Market Data'!B415-1,""),"")</f>
        <v/>
      </c>
    </row>
    <row r="416" ht="22" customHeight="1">
      <c r="A416" s="5" t="inlineStr">
        <is>
          <t>2490 HK Equity</t>
        </is>
      </c>
      <c r="B416" s="5" t="inlineStr">
        <is>
          <t>LC LOGISTICS</t>
        </is>
      </c>
      <c r="C416" s="5" t="inlineStr">
        <is>
          <t>Industrials</t>
        </is>
      </c>
      <c r="D416" s="8">
        <f>IF($A416="","",BDP($A416,"LAST_PRICE"))</f>
        <v/>
      </c>
      <c r="E416" s="6">
        <f>IFERROR(IF(AND(ISNUMBER(D416),ISNUMBER('Market Data'!B416),'Market Data'!B416&gt;0),D416/'Market Data'!B416-1,""),"")</f>
        <v/>
      </c>
    </row>
    <row r="417" ht="22" customHeight="1">
      <c r="A417" s="5" t="inlineStr">
        <is>
          <t>2129 HK Equity</t>
        </is>
      </c>
      <c r="B417" s="5" t="inlineStr">
        <is>
          <t>LEGION CONSO</t>
        </is>
      </c>
      <c r="C417" s="5" t="inlineStr">
        <is>
          <t>Industrials</t>
        </is>
      </c>
      <c r="D417" s="8">
        <f>IF($A417="","",BDP($A417,"LAST_PRICE"))</f>
        <v/>
      </c>
      <c r="E417" s="6">
        <f>IFERROR(IF(AND(ISNUMBER(D417),ISNUMBER('Market Data'!B417),'Market Data'!B417&gt;0),D417/'Market Data'!B417-1,""),"")</f>
        <v/>
      </c>
    </row>
    <row r="418" ht="22" customHeight="1">
      <c r="A418" s="5" t="inlineStr">
        <is>
          <t>2482 HK Equity</t>
        </is>
      </c>
      <c r="B418" s="5" t="inlineStr">
        <is>
          <t>LOGORY</t>
        </is>
      </c>
      <c r="C418" s="5" t="inlineStr">
        <is>
          <t>Industrials</t>
        </is>
      </c>
      <c r="D418" s="8">
        <f>IF($A418="","",BDP($A418,"LAST_PRICE"))</f>
        <v/>
      </c>
      <c r="E418" s="6">
        <f>IFERROR(IF(AND(ISNUMBER(D418),ISNUMBER('Market Data'!B418),'Market Data'!B418&gt;0),D418/'Market Data'!B418-1,""),"")</f>
        <v/>
      </c>
    </row>
    <row r="419" ht="22" customHeight="1">
      <c r="A419" s="5" t="inlineStr">
        <is>
          <t>2465 HK Equity</t>
        </is>
      </c>
      <c r="B419" s="5" t="inlineStr">
        <is>
          <t>LOPAL TECH</t>
        </is>
      </c>
      <c r="C419" s="5" t="inlineStr">
        <is>
          <t>Industrials</t>
        </is>
      </c>
      <c r="D419" s="8">
        <f>IF($A419="","",BDP($A419,"LAST_PRICE"))</f>
        <v/>
      </c>
      <c r="E419" s="6">
        <f>IFERROR(IF(AND(ISNUMBER(D419),ISNUMBER('Market Data'!B419),'Market Data'!B419&gt;0),D419/'Market Data'!B419-1,""),"")</f>
        <v/>
      </c>
    </row>
    <row r="420" ht="22" customHeight="1">
      <c r="A420" s="5" t="inlineStr">
        <is>
          <t>2155 HK Equity</t>
        </is>
      </c>
      <c r="B420" s="5" t="inlineStr">
        <is>
          <t>MORIMATSU INTL</t>
        </is>
      </c>
      <c r="C420" s="5" t="inlineStr">
        <is>
          <t>Industrials</t>
        </is>
      </c>
      <c r="D420" s="8">
        <f>IF($A420="","",BDP($A420,"LAST_PRICE"))</f>
        <v/>
      </c>
      <c r="E420" s="6">
        <f>IFERROR(IF(AND(ISNUMBER(D420),ISNUMBER('Market Data'!B420),'Market Data'!B420&gt;0),D420/'Market Data'!B420-1,""),"")</f>
        <v/>
      </c>
    </row>
    <row r="421" ht="22" customHeight="1">
      <c r="A421" s="5" t="inlineStr">
        <is>
          <t>2350 HK Equity</t>
        </is>
      </c>
      <c r="B421" s="5" t="inlineStr">
        <is>
          <t>MTT GROUP</t>
        </is>
      </c>
      <c r="C421" s="5" t="inlineStr">
        <is>
          <t>Industrials</t>
        </is>
      </c>
      <c r="D421" s="8">
        <f>IF($A421="","",BDP($A421,"LAST_PRICE"))</f>
        <v/>
      </c>
      <c r="E421" s="6">
        <f>IFERROR(IF(AND(ISNUMBER(D421),ISNUMBER('Market Data'!B421),'Market Data'!B421&gt;0),D421/'Market Data'!B421-1,""),"")</f>
        <v/>
      </c>
    </row>
    <row r="422" ht="22" customHeight="1">
      <c r="A422" s="5" t="inlineStr">
        <is>
          <t>2570 HK Equity</t>
        </is>
      </c>
      <c r="B422" s="5" t="inlineStr">
        <is>
          <t>REFIRE</t>
        </is>
      </c>
      <c r="C422" s="5" t="inlineStr">
        <is>
          <t>Industrials</t>
        </is>
      </c>
      <c r="D422" s="8">
        <f>IF($A422="","",BDP($A422,"LAST_PRICE"))</f>
        <v/>
      </c>
      <c r="E422" s="6">
        <f>IFERROR(IF(AND(ISNUMBER(D422),ISNUMBER('Market Data'!B422),'Market Data'!B422&gt;0),D422/'Market Data'!B422-1,""),"")</f>
        <v/>
      </c>
    </row>
    <row r="423" ht="22" customHeight="1">
      <c r="A423" s="5" t="inlineStr">
        <is>
          <t>666 HK Equity</t>
        </is>
      </c>
      <c r="B423" s="5" t="inlineStr">
        <is>
          <t>REPT BATTERO</t>
        </is>
      </c>
      <c r="C423" s="5" t="inlineStr">
        <is>
          <t>Industrials</t>
        </is>
      </c>
      <c r="D423" s="8">
        <f>IF($A423="","",BDP($A423,"LAST_PRICE"))</f>
        <v/>
      </c>
      <c r="E423" s="6">
        <f>IFERROR(IF(AND(ISNUMBER(D423),ISNUMBER('Market Data'!B423),'Market Data'!B423&gt;0),D423/'Market Data'!B423-1,""),"")</f>
        <v/>
      </c>
    </row>
    <row r="424" ht="22" customHeight="1">
      <c r="A424" s="5" t="inlineStr">
        <is>
          <t>537 HK Equity</t>
        </is>
      </c>
      <c r="B424" s="5" t="inlineStr">
        <is>
          <t>RIGOL</t>
        </is>
      </c>
      <c r="C424" s="5" t="inlineStr">
        <is>
          <t>Industrials</t>
        </is>
      </c>
      <c r="D424" s="8">
        <f>IF($A424="","",BDP($A424,"LAST_PRICE"))</f>
        <v/>
      </c>
      <c r="E424" s="6">
        <f>IFERROR(IF(AND(ISNUMBER(D424),ISNUMBER('Market Data'!B424),'Market Data'!B424&gt;0),D424/'Market Data'!B424-1,""),"")</f>
        <v/>
      </c>
    </row>
    <row r="425" ht="22" customHeight="1">
      <c r="A425" s="5" t="inlineStr">
        <is>
          <t>2571 HK Equity</t>
        </is>
      </c>
      <c r="B425" s="5" t="inlineStr">
        <is>
          <t>SAIMO</t>
        </is>
      </c>
      <c r="C425" s="5" t="inlineStr">
        <is>
          <t>Industrials</t>
        </is>
      </c>
      <c r="D425" s="8">
        <f>IF($A425="","",BDP($A425,"LAST_PRICE"))</f>
        <v/>
      </c>
      <c r="E425" s="6">
        <f>IFERROR(IF(AND(ISNUMBER(D425),ISNUMBER('Market Data'!B425),'Market Data'!B425&gt;0),D425/'Market Data'!B425-1,""),"")</f>
        <v/>
      </c>
    </row>
    <row r="426" ht="22" customHeight="1">
      <c r="A426" s="5" t="inlineStr">
        <is>
          <t>6031 HK Equity</t>
        </is>
      </c>
      <c r="B426" s="5" t="inlineStr">
        <is>
          <t>SANY HEAVY IND</t>
        </is>
      </c>
      <c r="C426" s="5" t="inlineStr">
        <is>
          <t>Industrials</t>
        </is>
      </c>
      <c r="D426" s="8">
        <f>IF($A426="","",BDP($A426,"LAST_PRICE"))</f>
        <v/>
      </c>
      <c r="E426" s="6">
        <f>IFERROR(IF(AND(ISNUMBER(D426),ISNUMBER('Market Data'!B426),'Market Data'!B426&gt;0),D426/'Market Data'!B426-1,""),"")</f>
        <v/>
      </c>
    </row>
    <row r="427" ht="22" customHeight="1">
      <c r="A427" s="5" t="inlineStr">
        <is>
          <t>2409 HK Equity</t>
        </is>
      </c>
      <c r="B427" s="5" t="inlineStr">
        <is>
          <t>SEACON</t>
        </is>
      </c>
      <c r="C427" s="5" t="inlineStr">
        <is>
          <t>Industrials</t>
        </is>
      </c>
      <c r="D427" s="8">
        <f>IF($A427="","",BDP($A427,"LAST_PRICE"))</f>
        <v/>
      </c>
      <c r="E427" s="6">
        <f>IFERROR(IF(AND(ISNUMBER(D427),ISNUMBER('Market Data'!B427),'Market Data'!B427&gt;0),D427/'Market Data'!B427-1,""),"")</f>
        <v/>
      </c>
    </row>
    <row r="428" ht="22" customHeight="1">
      <c r="A428" s="5" t="inlineStr">
        <is>
          <t>6067 HK Equity</t>
        </is>
      </c>
      <c r="B428" s="5" t="inlineStr">
        <is>
          <t>SENIOR MATERIAL</t>
        </is>
      </c>
      <c r="C428" s="5" t="inlineStr">
        <is>
          <t>Industrials</t>
        </is>
      </c>
      <c r="D428" s="8">
        <f>IF($A428="","",BDP($A428,"LAST_PRICE"))</f>
        <v/>
      </c>
      <c r="E428" s="6">
        <f>IFERROR(IF(AND(ISNUMBER(D428),ISNUMBER('Market Data'!B428),'Market Data'!B428&gt;0),D428/'Market Data'!B428-1,""),"")</f>
        <v/>
      </c>
    </row>
    <row r="429" ht="22" customHeight="1">
      <c r="A429" s="5" t="inlineStr">
        <is>
          <t>6936 HK Equity</t>
        </is>
      </c>
      <c r="B429" s="5" t="inlineStr">
        <is>
          <t>SF HOLDING</t>
        </is>
      </c>
      <c r="C429" s="5" t="inlineStr">
        <is>
          <t>Industrials</t>
        </is>
      </c>
      <c r="D429" s="8">
        <f>IF($A429="","",BDP($A429,"LAST_PRICE"))</f>
        <v/>
      </c>
      <c r="E429" s="6">
        <f>IFERROR(IF(AND(ISNUMBER(D429),ISNUMBER('Market Data'!B429),'Market Data'!B429&gt;0),D429/'Market Data'!B429-1,""),"")</f>
        <v/>
      </c>
    </row>
    <row r="430" ht="22" customHeight="1">
      <c r="A430" s="5" t="inlineStr">
        <is>
          <t>9699 HK Equity</t>
        </is>
      </c>
      <c r="B430" s="5" t="inlineStr">
        <is>
          <t>SF INTRA-CITY</t>
        </is>
      </c>
      <c r="C430" s="5" t="inlineStr">
        <is>
          <t>Industrials</t>
        </is>
      </c>
      <c r="D430" s="8">
        <f>IF($A430="","",BDP($A430,"LAST_PRICE"))</f>
        <v/>
      </c>
      <c r="E430" s="6">
        <f>IFERROR(IF(AND(ISNUMBER(D430),ISNUMBER('Market Data'!B430),'Market Data'!B430&gt;0),D430/'Market Data'!B430-1,""),"")</f>
        <v/>
      </c>
    </row>
    <row r="431" ht="22" customHeight="1">
      <c r="A431" s="5" t="inlineStr">
        <is>
          <t>2520 HK Equity</t>
        </is>
      </c>
      <c r="B431" s="5" t="inlineStr">
        <is>
          <t>SHANXI INSTALL</t>
        </is>
      </c>
      <c r="C431" s="5" t="inlineStr">
        <is>
          <t>Industrials</t>
        </is>
      </c>
      <c r="D431" s="8">
        <f>IF($A431="","",BDP($A431,"LAST_PRICE"))</f>
        <v/>
      </c>
      <c r="E431" s="6">
        <f>IFERROR(IF(AND(ISNUMBER(D431),ISNUMBER('Market Data'!B431),'Market Data'!B431&gt;0),D431/'Market Data'!B431-1,""),"")</f>
        <v/>
      </c>
    </row>
    <row r="432" ht="22" customHeight="1">
      <c r="A432" s="5" t="inlineStr">
        <is>
          <t>6960 HK Equity</t>
        </is>
      </c>
      <c r="B432" s="5" t="inlineStr">
        <is>
          <t>SHUANGDENG</t>
        </is>
      </c>
      <c r="C432" s="5" t="inlineStr">
        <is>
          <t>Industrials</t>
        </is>
      </c>
      <c r="D432" s="8">
        <f>IF($A432="","",BDP($A432,"LAST_PRICE"))</f>
        <v/>
      </c>
      <c r="E432" s="6">
        <f>IFERROR(IF(AND(ISNUMBER(D432),ISNUMBER('Market Data'!B432),'Market Data'!B432&gt;0),D432/'Market Data'!B432-1,""),"")</f>
        <v/>
      </c>
    </row>
    <row r="433" ht="22" customHeight="1">
      <c r="A433" s="5" t="inlineStr">
        <is>
          <t>6656 HK Equity</t>
        </is>
      </c>
      <c r="B433" s="5" t="inlineStr">
        <is>
          <t>SIGENERGY</t>
        </is>
      </c>
      <c r="C433" s="5" t="inlineStr">
        <is>
          <t>Industrials</t>
        </is>
      </c>
      <c r="D433" s="8">
        <f>IF($A433="","",BDP($A433,"LAST_PRICE"))</f>
        <v/>
      </c>
      <c r="E433" s="6">
        <f>IFERROR(IF(AND(ISNUMBER(D433),ISNUMBER('Market Data'!B433),'Market Data'!B433&gt;0),D433/'Market Data'!B433-1,""),"")</f>
        <v/>
      </c>
    </row>
    <row r="434" ht="22" customHeight="1">
      <c r="A434" s="5" t="inlineStr">
        <is>
          <t>2402 HK Equity</t>
        </is>
      </c>
      <c r="B434" s="5" t="inlineStr">
        <is>
          <t>SINOHYTEC</t>
        </is>
      </c>
      <c r="C434" s="5" t="inlineStr">
        <is>
          <t>Industrials</t>
        </is>
      </c>
      <c r="D434" s="8">
        <f>IF($A434="","",BDP($A434,"LAST_PRICE"))</f>
        <v/>
      </c>
      <c r="E434" s="6">
        <f>IFERROR(IF(AND(ISNUMBER(D434),ISNUMBER('Market Data'!B434),'Market Data'!B434&gt;0),D434/'Market Data'!B434-1,""),"")</f>
        <v/>
      </c>
    </row>
    <row r="435" ht="22" customHeight="1">
      <c r="A435" s="5" t="inlineStr">
        <is>
          <t>9663 HK Equity</t>
        </is>
      </c>
      <c r="B435" s="5" t="inlineStr">
        <is>
          <t>SINOSYNERGY</t>
        </is>
      </c>
      <c r="C435" s="5" t="inlineStr">
        <is>
          <t>Industrials</t>
        </is>
      </c>
      <c r="D435" s="8">
        <f>IF($A435="","",BDP($A435,"LAST_PRICE"))</f>
        <v/>
      </c>
      <c r="E435" s="6">
        <f>IFERROR(IF(AND(ISNUMBER(D435),ISNUMBER('Market Data'!B435),'Market Data'!B435&gt;0),D435/'Market Data'!B435-1,""),"")</f>
        <v/>
      </c>
    </row>
    <row r="436" ht="22" customHeight="1">
      <c r="A436" s="5" t="inlineStr">
        <is>
          <t>2153 HK Equity</t>
        </is>
      </c>
      <c r="B436" s="5" t="inlineStr">
        <is>
          <t>TAT HONG EQUIP</t>
        </is>
      </c>
      <c r="C436" s="5" t="inlineStr">
        <is>
          <t>Industrials</t>
        </is>
      </c>
      <c r="D436" s="8">
        <f>IF($A436="","",BDP($A436,"LAST_PRICE"))</f>
        <v/>
      </c>
      <c r="E436" s="6">
        <f>IFERROR(IF(AND(ISNUMBER(D436),ISNUMBER('Market Data'!B436),'Market Data'!B436&gt;0),D436/'Market Data'!B436-1,""),"")</f>
        <v/>
      </c>
    </row>
    <row r="437" ht="22" customHeight="1">
      <c r="A437" s="5" t="inlineStr">
        <is>
          <t>2515 HK Equity</t>
        </is>
      </c>
      <c r="B437" s="5" t="inlineStr">
        <is>
          <t>TJCD</t>
        </is>
      </c>
      <c r="C437" s="5" t="inlineStr">
        <is>
          <t>Industrials</t>
        </is>
      </c>
      <c r="D437" s="8">
        <f>IF($A437="","",BDP($A437,"LAST_PRICE"))</f>
        <v/>
      </c>
      <c r="E437" s="6">
        <f>IFERROR(IF(AND(ISNUMBER(D437),ISNUMBER('Market Data'!B437),'Market Data'!B437&gt;0),D437/'Market Data'!B437-1,""),"")</f>
        <v/>
      </c>
    </row>
    <row r="438" ht="22" customHeight="1">
      <c r="A438" s="5" t="inlineStr">
        <is>
          <t>7688 HK Equity</t>
        </is>
      </c>
      <c r="B438" s="5" t="inlineStr">
        <is>
          <t>TOPNC</t>
        </is>
      </c>
      <c r="C438" s="5" t="inlineStr">
        <is>
          <t>Industrials</t>
        </is>
      </c>
      <c r="D438" s="8">
        <f>IF($A438="","",BDP($A438,"LAST_PRICE"))</f>
        <v/>
      </c>
      <c r="E438" s="6">
        <f>IFERROR(IF(AND(ISNUMBER(D438),ISNUMBER('Market Data'!B438),'Market Data'!B438&gt;0),D438/'Market Data'!B438-1,""),"")</f>
        <v/>
      </c>
    </row>
    <row r="439" ht="22" customHeight="1">
      <c r="A439" s="5" t="inlineStr">
        <is>
          <t>2510 HK Equity</t>
        </is>
      </c>
      <c r="B439" s="5" t="inlineStr">
        <is>
          <t>TS LINES</t>
        </is>
      </c>
      <c r="C439" s="5" t="inlineStr">
        <is>
          <t>Industrials</t>
        </is>
      </c>
      <c r="D439" s="8">
        <f>IF($A439="","",BDP($A439,"LAST_PRICE"))</f>
        <v/>
      </c>
      <c r="E439" s="6">
        <f>IFERROR(IF(AND(ISNUMBER(D439),ISNUMBER('Market Data'!B439),'Market Data'!B439&gt;0),D439/'Market Data'!B439-1,""),"")</f>
        <v/>
      </c>
    </row>
    <row r="440" ht="22" customHeight="1">
      <c r="A440" s="5" t="inlineStr">
        <is>
          <t>2195 HK Equity</t>
        </is>
      </c>
      <c r="B440" s="5" t="inlineStr">
        <is>
          <t>UNITY ENT</t>
        </is>
      </c>
      <c r="C440" s="5" t="inlineStr">
        <is>
          <t>Industrials</t>
        </is>
      </c>
      <c r="D440" s="8">
        <f>IF($A440="","",BDP($A440,"LAST_PRICE"))</f>
        <v/>
      </c>
      <c r="E440" s="6">
        <f>IFERROR(IF(AND(ISNUMBER(D440),ISNUMBER('Market Data'!B440),'Market Data'!B440&gt;0),D440/'Market Data'!B440-1,""),"")</f>
        <v/>
      </c>
    </row>
    <row r="441" ht="22" customHeight="1">
      <c r="A441" s="5" t="inlineStr">
        <is>
          <t>2671 HK Equity</t>
        </is>
      </c>
      <c r="B441" s="5" t="inlineStr">
        <is>
          <t>USAS BUILDING</t>
        </is>
      </c>
      <c r="C441" s="5" t="inlineStr">
        <is>
          <t>Industrials</t>
        </is>
      </c>
      <c r="D441" s="8">
        <f>IF($A441="","",BDP($A441,"LAST_PRICE"))</f>
        <v/>
      </c>
      <c r="E441" s="6">
        <f>IFERROR(IF(AND(ISNUMBER(D441),ISNUMBER('Market Data'!B441),'Market Data'!B441&gt;0),D441/'Market Data'!B441-1,""),"")</f>
        <v/>
      </c>
    </row>
    <row r="442" ht="22" customHeight="1">
      <c r="A442" s="5" t="inlineStr">
        <is>
          <t>2260 HK Equity</t>
        </is>
      </c>
      <c r="B442" s="5" t="inlineStr">
        <is>
          <t>VANOV HOLDINGS</t>
        </is>
      </c>
      <c r="C442" s="5" t="inlineStr">
        <is>
          <t>Industrials</t>
        </is>
      </c>
      <c r="D442" s="8">
        <f>IF($A442="","",BDP($A442,"LAST_PRICE"))</f>
        <v/>
      </c>
      <c r="E442" s="6">
        <f>IFERROR(IF(AND(ISNUMBER(D442),ISNUMBER('Market Data'!B442),'Market Data'!B442&gt;0),D442/'Market Data'!B442-1,""),"")</f>
        <v/>
      </c>
    </row>
    <row r="443" ht="22" customHeight="1">
      <c r="A443" s="5" t="inlineStr">
        <is>
          <t>9639 HK Equity</t>
        </is>
      </c>
      <c r="B443" s="5" t="inlineStr">
        <is>
          <t>WING LEE DEV</t>
        </is>
      </c>
      <c r="C443" s="5" t="inlineStr">
        <is>
          <t>Industrials</t>
        </is>
      </c>
      <c r="D443" s="8">
        <f>IF($A443="","",BDP($A443,"LAST_PRICE"))</f>
        <v/>
      </c>
      <c r="E443" s="6">
        <f>IFERROR(IF(AND(ISNUMBER(D443),ISNUMBER('Market Data'!B443),'Market Data'!B443&gt;0),D443/'Market Data'!B443-1,""),"")</f>
        <v/>
      </c>
    </row>
    <row r="444" ht="22" customHeight="1">
      <c r="A444" s="5" t="inlineStr">
        <is>
          <t>2535 HK Equity</t>
        </is>
      </c>
      <c r="B444" s="5" t="inlineStr">
        <is>
          <t>WK GROUP</t>
        </is>
      </c>
      <c r="C444" s="5" t="inlineStr">
        <is>
          <t>Industrials</t>
        </is>
      </c>
      <c r="D444" s="8">
        <f>IF($A444="","",BDP($A444,"LAST_PRICE"))</f>
        <v/>
      </c>
      <c r="E444" s="6">
        <f>IFERROR(IF(AND(ISNUMBER(D444),ISNUMBER('Market Data'!B444),'Market Data'!B444&gt;0),D444/'Market Data'!B444-1,""),"")</f>
        <v/>
      </c>
    </row>
    <row r="445" ht="22" customHeight="1">
      <c r="A445" s="5" t="inlineStr">
        <is>
          <t>470 HK Equity</t>
        </is>
      </c>
      <c r="B445" s="5" t="inlineStr">
        <is>
          <t>WUXI LEAD</t>
        </is>
      </c>
      <c r="C445" s="5" t="inlineStr">
        <is>
          <t>Industrials</t>
        </is>
      </c>
      <c r="D445" s="8">
        <f>IF($A445="","",BDP($A445,"LAST_PRICE"))</f>
        <v/>
      </c>
      <c r="E445" s="6">
        <f>IFERROR(IF(AND(ISNUMBER(D445),ISNUMBER('Market Data'!B445),'Market Data'!B445&gt;0),D445/'Market Data'!B445-1,""),"")</f>
        <v/>
      </c>
    </row>
    <row r="446" ht="22" customHeight="1">
      <c r="A446" s="5" t="inlineStr">
        <is>
          <t>3677 HK Equity</t>
        </is>
      </c>
      <c r="B446" s="5" t="inlineStr">
        <is>
          <t>ZENERGY</t>
        </is>
      </c>
      <c r="C446" s="5" t="inlineStr">
        <is>
          <t>Industrials</t>
        </is>
      </c>
      <c r="D446" s="8">
        <f>IF($A446="","",BDP($A446,"LAST_PRICE"))</f>
        <v/>
      </c>
      <c r="E446" s="6">
        <f>IFERROR(IF(AND(ISNUMBER(D446),ISNUMBER('Market Data'!B446),'Market Data'!B446&gt;0),D446/'Market Data'!B446-1,""),"")</f>
        <v/>
      </c>
    </row>
    <row r="447" ht="22" customHeight="1">
      <c r="A447" s="5" t="inlineStr">
        <is>
          <t>2692 HK Equity</t>
        </is>
      </c>
      <c r="B447" s="5" t="inlineStr">
        <is>
          <t>ZHAOWEI</t>
        </is>
      </c>
      <c r="C447" s="5" t="inlineStr">
        <is>
          <t>Industrials</t>
        </is>
      </c>
      <c r="D447" s="8">
        <f>IF($A447="","",BDP($A447,"LAST_PRICE"))</f>
        <v/>
      </c>
      <c r="E447" s="6">
        <f>IFERROR(IF(AND(ISNUMBER(D447),ISNUMBER('Market Data'!B447),'Market Data'!B447&gt;0),D447/'Market Data'!B447-1,""),"")</f>
        <v/>
      </c>
    </row>
    <row r="448" ht="22" customHeight="1">
      <c r="A448" s="5" t="inlineStr">
        <is>
          <t>2187 HK Equity</t>
        </is>
      </c>
      <c r="B448" s="5" t="inlineStr">
        <is>
          <t>ZHIXIN GP HLDG</t>
        </is>
      </c>
      <c r="C448" s="5" t="inlineStr">
        <is>
          <t>Industrials</t>
        </is>
      </c>
      <c r="D448" s="8">
        <f>IF($A448="","",BDP($A448,"LAST_PRICE"))</f>
        <v/>
      </c>
      <c r="E448" s="6">
        <f>IFERROR(IF(AND(ISNUMBER(D448),ISNUMBER('Market Data'!B448),'Market Data'!B448&gt;0),D448/'Market Data'!B448-1,""),"")</f>
        <v/>
      </c>
    </row>
    <row r="449" ht="22" customHeight="1">
      <c r="A449" s="5" t="inlineStr">
        <is>
          <t>2503 HK Equity</t>
        </is>
      </c>
      <c r="B449" s="5" t="inlineStr">
        <is>
          <t>ZHONGSHENJIANYE</t>
        </is>
      </c>
      <c r="C449" s="5" t="inlineStr">
        <is>
          <t>Industrials</t>
        </is>
      </c>
      <c r="D449" s="8">
        <f>IF($A449="","",BDP($A449,"LAST_PRICE"))</f>
        <v/>
      </c>
      <c r="E449" s="6">
        <f>IFERROR(IF(AND(ISNUMBER(D449),ISNUMBER('Market Data'!B449),'Market Data'!B449&gt;0),D449/'Market Data'!B449-1,""),"")</f>
        <v/>
      </c>
    </row>
    <row r="450" ht="22" customHeight="1">
      <c r="A450" s="5" t="inlineStr">
        <is>
          <t>1855 HK Equity</t>
        </is>
      </c>
      <c r="B450" s="5" t="inlineStr">
        <is>
          <t>ZONBONG ENVIRO</t>
        </is>
      </c>
      <c r="C450" s="5" t="inlineStr">
        <is>
          <t>Industrials</t>
        </is>
      </c>
      <c r="D450" s="8">
        <f>IF($A450="","",BDP($A450,"LAST_PRICE"))</f>
        <v/>
      </c>
      <c r="E450" s="6">
        <f>IFERROR(IF(AND(ISNUMBER(D450),ISNUMBER('Market Data'!B450),'Market Data'!B450&gt;0),D450/'Market Data'!B450-1,""),"")</f>
        <v/>
      </c>
    </row>
    <row r="451" ht="22" customHeight="1">
      <c r="A451" s="5" t="inlineStr">
        <is>
          <t>2433 HK Equity</t>
        </is>
      </c>
      <c r="B451" s="5" t="inlineStr">
        <is>
          <t>ZT HN GROUP</t>
        </is>
      </c>
      <c r="C451" s="5" t="inlineStr">
        <is>
          <t>Industrials</t>
        </is>
      </c>
      <c r="D451" s="8">
        <f>IF($A451="","",BDP($A451,"LAST_PRICE"))</f>
        <v/>
      </c>
      <c r="E451" s="6">
        <f>IFERROR(IF(AND(ISNUMBER(D451),ISNUMBER('Market Data'!B451),'Market Data'!B451&gt;0),D451/'Market Data'!B451-1,""),"")</f>
        <v/>
      </c>
    </row>
    <row r="452" ht="22" customHeight="1">
      <c r="A452" s="5" t="inlineStr">
        <is>
          <t>6745 HK Equity</t>
        </is>
      </c>
      <c r="B452" s="5" t="inlineStr">
        <is>
          <t>BEFAR GROUP</t>
        </is>
      </c>
      <c r="C452" s="5" t="inlineStr">
        <is>
          <t>Materials/Energy</t>
        </is>
      </c>
      <c r="D452" s="8">
        <f>IF($A452="","",BDP($A452,"LAST_PRICE"))</f>
        <v/>
      </c>
      <c r="E452" s="6">
        <f>IFERROR(IF(AND(ISNUMBER(D452),ISNUMBER('Market Data'!B452),'Market Data'!B452&gt;0),D452/'Market Data'!B452-1,""),"")</f>
        <v/>
      </c>
    </row>
    <row r="453" ht="22" customHeight="1">
      <c r="A453" s="5" t="inlineStr">
        <is>
          <t>2439 HK Equity</t>
        </is>
      </c>
      <c r="B453" s="5" t="inlineStr">
        <is>
          <t>CH TREASURES NM</t>
        </is>
      </c>
      <c r="C453" s="5" t="inlineStr">
        <is>
          <t>Materials/Energy</t>
        </is>
      </c>
      <c r="D453" s="8">
        <f>IF($A453="","",BDP($A453,"LAST_PRICE"))</f>
        <v/>
      </c>
      <c r="E453" s="6">
        <f>IFERROR(IF(AND(ISNUMBER(D453),ISNUMBER('Market Data'!B453),'Market Data'!B453&gt;0),D453/'Market Data'!B453-1,""),"")</f>
        <v/>
      </c>
    </row>
    <row r="454" ht="22" customHeight="1">
      <c r="A454" s="5" t="inlineStr">
        <is>
          <t>6693 HK Equity</t>
        </is>
      </c>
      <c r="B454" s="5" t="inlineStr">
        <is>
          <t>CHIFENG GOLD</t>
        </is>
      </c>
      <c r="C454" s="5" t="inlineStr">
        <is>
          <t>Materials/Energy</t>
        </is>
      </c>
      <c r="D454" s="8">
        <f>IF($A454="","",BDP($A454,"LAST_PRICE"))</f>
        <v/>
      </c>
      <c r="E454" s="6">
        <f>IFERROR(IF(AND(ISNUMBER(D454),ISNUMBER('Market Data'!B454),'Market Data'!B454&gt;0),D454/'Market Data'!B454-1,""),"")</f>
        <v/>
      </c>
    </row>
    <row r="455" ht="22" customHeight="1">
      <c r="A455" s="5" t="inlineStr">
        <is>
          <t>2237 HK Equity</t>
        </is>
      </c>
      <c r="B455" s="5" t="inlineStr">
        <is>
          <t>CHINA GRAPHITE</t>
        </is>
      </c>
      <c r="C455" s="5" t="inlineStr">
        <is>
          <t>Materials/Energy</t>
        </is>
      </c>
      <c r="D455" s="8">
        <f>IF($A455="","",BDP($A455,"LAST_PRICE"))</f>
        <v/>
      </c>
      <c r="E455" s="6">
        <f>IFERROR(IF(AND(ISNUMBER(D455),ISNUMBER('Market Data'!B455),'Market Data'!B455&gt;0),D455/'Market Data'!B455-1,""),"")</f>
        <v/>
      </c>
    </row>
    <row r="456" ht="22" customHeight="1">
      <c r="A456" s="5" t="inlineStr">
        <is>
          <t>2788 HK Equity</t>
        </is>
      </c>
      <c r="B456" s="5" t="inlineStr">
        <is>
          <t>CHUANGXIN IND</t>
        </is>
      </c>
      <c r="C456" s="5" t="inlineStr">
        <is>
          <t>Materials/Energy</t>
        </is>
      </c>
      <c r="D456" s="8">
        <f>IF($A456="","",BDP($A456,"LAST_PRICE"))</f>
        <v/>
      </c>
      <c r="E456" s="6">
        <f>IFERROR(IF(AND(ISNUMBER(D456),ISNUMBER('Market Data'!B456),'Market Data'!B456&gt;0),D456/'Market Data'!B456-1,""),"")</f>
        <v/>
      </c>
    </row>
    <row r="457" ht="22" customHeight="1">
      <c r="A457" s="5" t="inlineStr">
        <is>
          <t>2560 HK Equity</t>
        </is>
      </c>
      <c r="B457" s="5" t="inlineStr">
        <is>
          <t>CONCH MAT TECH</t>
        </is>
      </c>
      <c r="C457" s="5" t="inlineStr">
        <is>
          <t>Materials/Energy</t>
        </is>
      </c>
      <c r="D457" s="8">
        <f>IF($A457="","",BDP($A457,"LAST_PRICE"))</f>
        <v/>
      </c>
      <c r="E457" s="6">
        <f>IFERROR(IF(AND(ISNUMBER(D457),ISNUMBER('Market Data'!B457),'Market Data'!B457&gt;0),D457/'Market Data'!B457-1,""),"")</f>
        <v/>
      </c>
    </row>
    <row r="458" ht="22" customHeight="1">
      <c r="A458" s="5" t="inlineStr">
        <is>
          <t>6616 HK Equity</t>
        </is>
      </c>
      <c r="B458" s="5" t="inlineStr">
        <is>
          <t>GLOBAL NEW MAT</t>
        </is>
      </c>
      <c r="C458" s="5" t="inlineStr">
        <is>
          <t>Materials/Energy</t>
        </is>
      </c>
      <c r="D458" s="8">
        <f>IF($A458="","",BDP($A458,"LAST_PRICE"))</f>
        <v/>
      </c>
      <c r="E458" s="6">
        <f>IFERROR(IF(AND(ISNUMBER(D458),ISNUMBER('Market Data'!B458),'Market Data'!B458&gt;0),D458/'Market Data'!B458-1,""),"")</f>
        <v/>
      </c>
    </row>
    <row r="459" ht="22" customHeight="1">
      <c r="A459" s="5" t="inlineStr">
        <is>
          <t>9609 HK Equity</t>
        </is>
      </c>
      <c r="B459" s="5" t="inlineStr">
        <is>
          <t>HAIWEI ELEC</t>
        </is>
      </c>
      <c r="C459" s="5" t="inlineStr">
        <is>
          <t>Materials/Energy</t>
        </is>
      </c>
      <c r="D459" s="8">
        <f>IF($A459="","",BDP($A459,"LAST_PRICE"))</f>
        <v/>
      </c>
      <c r="E459" s="6">
        <f>IFERROR(IF(AND(ISNUMBER(D459),ISNUMBER('Market Data'!B459),'Market Data'!B459&gt;0),D459/'Market Data'!B459-1,""),"")</f>
        <v/>
      </c>
    </row>
    <row r="460" ht="22" customHeight="1">
      <c r="A460" s="5" t="inlineStr">
        <is>
          <t>2265 HK Equity</t>
        </is>
      </c>
      <c r="B460" s="5" t="inlineStr">
        <is>
          <t>HC ENV TECH</t>
        </is>
      </c>
      <c r="C460" s="5" t="inlineStr">
        <is>
          <t>Materials/Energy</t>
        </is>
      </c>
      <c r="D460" s="8">
        <f>IF($A460="","",BDP($A460,"LAST_PRICE"))</f>
        <v/>
      </c>
      <c r="E460" s="6">
        <f>IFERROR(IF(AND(ISNUMBER(D460),ISNUMBER('Market Data'!B460),'Market Data'!B460&gt;0),D460/'Market Data'!B460-1,""),"")</f>
        <v/>
      </c>
    </row>
    <row r="461" ht="22" customHeight="1">
      <c r="A461" s="5" t="inlineStr">
        <is>
          <t>2450 HK Equity</t>
        </is>
      </c>
      <c r="B461" s="5" t="inlineStr">
        <is>
          <t>HUAIBEI GD CO</t>
        </is>
      </c>
      <c r="C461" s="5" t="inlineStr">
        <is>
          <t>Materials/Energy</t>
        </is>
      </c>
      <c r="D461" s="8">
        <f>IF($A461="","",BDP($A461,"LAST_PRICE"))</f>
        <v/>
      </c>
      <c r="E461" s="6">
        <f>IFERROR(IF(AND(ISNUMBER(D461),ISNUMBER('Market Data'!B461),'Market Data'!B461&gt;0),D461/'Market Data'!B461-1,""),"")</f>
        <v/>
      </c>
    </row>
    <row r="462" ht="22" customHeight="1">
      <c r="A462" s="5" t="inlineStr">
        <is>
          <t>6661 HK Equity</t>
        </is>
      </c>
      <c r="B462" s="5" t="inlineStr">
        <is>
          <t>HUZHOU GAS</t>
        </is>
      </c>
      <c r="C462" s="5" t="inlineStr">
        <is>
          <t>Materials/Energy</t>
        </is>
      </c>
      <c r="D462" s="8">
        <f>IF($A462="","",BDP($A462,"LAST_PRICE"))</f>
        <v/>
      </c>
      <c r="E462" s="6">
        <f>IFERROR(IF(AND(ISNUMBER(D462),ISNUMBER('Market Data'!B462),'Market Data'!B462&gt;0),D462/'Market Data'!B462-1,""),"")</f>
        <v/>
      </c>
    </row>
    <row r="463" ht="22" customHeight="1">
      <c r="A463" s="5" t="inlineStr">
        <is>
          <t>3858 HK Equity</t>
        </is>
      </c>
      <c r="B463" s="5" t="inlineStr">
        <is>
          <t>JIAXIN INTL RES</t>
        </is>
      </c>
      <c r="C463" s="5" t="inlineStr">
        <is>
          <t>Materials/Energy</t>
        </is>
      </c>
      <c r="D463" s="8">
        <f>IF($A463="","",BDP($A463,"LAST_PRICE"))</f>
        <v/>
      </c>
      <c r="E463" s="6">
        <f>IFERROR(IF(AND(ISNUMBER(D463),ISNUMBER('Market Data'!B463),'Market Data'!B463&gt;0),D463/'Market Data'!B463-1,""),"")</f>
        <v/>
      </c>
    </row>
    <row r="464" ht="22" customHeight="1">
      <c r="A464" s="5" t="inlineStr">
        <is>
          <t>3636 HK Equity</t>
        </is>
      </c>
      <c r="B464" s="5" t="inlineStr">
        <is>
          <t>JINXUN RESOURCE</t>
        </is>
      </c>
      <c r="C464" s="5" t="inlineStr">
        <is>
          <t>Materials/Energy</t>
        </is>
      </c>
      <c r="D464" s="8">
        <f>IF($A464="","",BDP($A464,"LAST_PRICE"))</f>
        <v/>
      </c>
      <c r="E464" s="6">
        <f>IFERROR(IF(AND(ISNUMBER(D464),ISNUMBER('Market Data'!B464),'Market Data'!B464&gt;0),D464/'Market Data'!B464-1,""),"")</f>
        <v/>
      </c>
    </row>
    <row r="465" ht="22" customHeight="1">
      <c r="A465" s="5" t="inlineStr">
        <is>
          <t>2693 HK Equity</t>
        </is>
      </c>
      <c r="B465" s="5" t="inlineStr">
        <is>
          <t>JINYAN KAOLIN</t>
        </is>
      </c>
      <c r="C465" s="5" t="inlineStr">
        <is>
          <t>Materials/Energy</t>
        </is>
      </c>
      <c r="D465" s="8">
        <f>IF($A465="","",BDP($A465,"LAST_PRICE"))</f>
        <v/>
      </c>
      <c r="E465" s="6">
        <f>IFERROR(IF(AND(ISNUMBER(D465),ISNUMBER('Market Data'!B465),'Market Data'!B465&gt;0),D465/'Market Data'!B465-1,""),"")</f>
        <v/>
      </c>
    </row>
    <row r="466" ht="22" customHeight="1">
      <c r="A466" s="5" t="inlineStr">
        <is>
          <t>2502 HK Equity</t>
        </is>
      </c>
      <c r="B466" s="5" t="inlineStr">
        <is>
          <t>JINYUAN HCHEM</t>
        </is>
      </c>
      <c r="C466" s="5" t="inlineStr">
        <is>
          <t>Materials/Energy</t>
        </is>
      </c>
      <c r="D466" s="8">
        <f>IF($A466="","",BDP($A466,"LAST_PRICE"))</f>
        <v/>
      </c>
      <c r="E466" s="6">
        <f>IFERROR(IF(AND(ISNUMBER(D466),ISNUMBER('Market Data'!B466),'Market Data'!B466&gt;0),D466/'Market Data'!B466-1,""),"")</f>
        <v/>
      </c>
    </row>
    <row r="467" ht="22" customHeight="1">
      <c r="A467" s="5" t="inlineStr">
        <is>
          <t>1407 HK Equity</t>
        </is>
      </c>
      <c r="B467" s="5" t="inlineStr">
        <is>
          <t>JY GAS</t>
        </is>
      </c>
      <c r="C467" s="5" t="inlineStr">
        <is>
          <t>Materials/Energy</t>
        </is>
      </c>
      <c r="D467" s="8">
        <f>IF($A467="","",BDP($A467,"LAST_PRICE"))</f>
        <v/>
      </c>
      <c r="E467" s="6">
        <f>IFERROR(IF(AND(ISNUMBER(D467),ISNUMBER('Market Data'!B467),'Market Data'!B467&gt;0),D467/'Market Data'!B467-1,""),"")</f>
        <v/>
      </c>
    </row>
    <row r="468" ht="22" customHeight="1">
      <c r="A468" s="5" t="inlineStr">
        <is>
          <t>2245 HK Equity</t>
        </is>
      </c>
      <c r="B468" s="5" t="inlineStr">
        <is>
          <t>LYGEND RESOURCE</t>
        </is>
      </c>
      <c r="C468" s="5" t="inlineStr">
        <is>
          <t>Materials/Energy</t>
        </is>
      </c>
      <c r="D468" s="8">
        <f>IF($A468="","",BDP($A468,"LAST_PRICE"))</f>
        <v/>
      </c>
      <c r="E468" s="6">
        <f>IFERROR(IF(AND(ISNUMBER(D468),ISNUMBER('Market Data'!B468),'Market Data'!B468&gt;0),D468/'Market Data'!B468-1,""),"")</f>
        <v/>
      </c>
    </row>
    <row r="469" ht="22" customHeight="1">
      <c r="A469" s="5" t="inlineStr">
        <is>
          <t>6228 HK Equity</t>
        </is>
      </c>
      <c r="B469" s="5" t="inlineStr">
        <is>
          <t>MERDEKAGOLD-DRS</t>
        </is>
      </c>
      <c r="C469" s="5" t="inlineStr">
        <is>
          <t>Materials/Energy</t>
        </is>
      </c>
      <c r="D469" s="8">
        <f>IF($A469="","",BDP($A469,"LAST_PRICE"))</f>
        <v/>
      </c>
      <c r="E469" s="6">
        <f>IFERROR(IF(AND(ISNUMBER(D469),ISNUMBER('Market Data'!B469),'Market Data'!B469&gt;0),D469/'Market Data'!B469-1,""),"")</f>
        <v/>
      </c>
    </row>
    <row r="470" ht="22" customHeight="1">
      <c r="A470" s="5" t="inlineStr">
        <is>
          <t>9879 HK Equity</t>
        </is>
      </c>
      <c r="B470" s="5" t="inlineStr">
        <is>
          <t>MIGAO GROUP</t>
        </is>
      </c>
      <c r="C470" s="5" t="inlineStr">
        <is>
          <t>Materials/Energy</t>
        </is>
      </c>
      <c r="D470" s="8">
        <f>IF($A470="","",BDP($A470,"LAST_PRICE"))</f>
        <v/>
      </c>
      <c r="E470" s="6">
        <f>IFERROR(IF(AND(ISNUMBER(D470),ISNUMBER('Market Data'!B470),'Market Data'!B470&gt;0),D470/'Market Data'!B470-1,""),"")</f>
        <v/>
      </c>
    </row>
    <row r="471" ht="22" customHeight="1">
      <c r="A471" s="5" t="inlineStr">
        <is>
          <t>2610 HK Equity</t>
        </is>
      </c>
      <c r="B471" s="5" t="inlineStr">
        <is>
          <t>NANSHAN AL INTL</t>
        </is>
      </c>
      <c r="C471" s="5" t="inlineStr">
        <is>
          <t>Materials/Energy</t>
        </is>
      </c>
      <c r="D471" s="8">
        <f>IF($A471="","",BDP($A471,"LAST_PRICE"))</f>
        <v/>
      </c>
      <c r="E471" s="6">
        <f>IFERROR(IF(AND(ISNUMBER(D471),ISNUMBER('Market Data'!B471),'Market Data'!B471&gt;0),D471/'Market Data'!B471-1,""),"")</f>
        <v/>
      </c>
    </row>
    <row r="472" ht="22" customHeight="1">
      <c r="A472" s="5" t="inlineStr">
        <is>
          <t>2489 HK Equity</t>
        </is>
      </c>
      <c r="B472" s="5" t="inlineStr">
        <is>
          <t>PERSISTENCE RES</t>
        </is>
      </c>
      <c r="C472" s="5" t="inlineStr">
        <is>
          <t>Materials/Energy</t>
        </is>
      </c>
      <c r="D472" s="8">
        <f>IF($A472="","",BDP($A472,"LAST_PRICE"))</f>
        <v/>
      </c>
      <c r="E472" s="6">
        <f>IFERROR(IF(AND(ISNUMBER(D472),ISNUMBER('Market Data'!B472),'Market Data'!B472&gt;0),D472/'Market Data'!B472-1,""),"")</f>
        <v/>
      </c>
    </row>
    <row r="473" ht="22" customHeight="1">
      <c r="A473" s="5" t="inlineStr">
        <is>
          <t>9607 HK Equity</t>
        </is>
      </c>
      <c r="B473" s="5" t="inlineStr">
        <is>
          <t>RA MATERIALS</t>
        </is>
      </c>
      <c r="C473" s="5" t="inlineStr">
        <is>
          <t>Materials/Energy</t>
        </is>
      </c>
      <c r="D473" s="8">
        <f>IF($A473="","",BDP($A473,"LAST_PRICE"))</f>
        <v/>
      </c>
      <c r="E473" s="6">
        <f>IFERROR(IF(AND(ISNUMBER(D473),ISNUMBER('Market Data'!B473),'Market Data'!B473&gt;0),D473/'Market Data'!B473-1,""),"")</f>
        <v/>
      </c>
    </row>
    <row r="474" ht="22" customHeight="1">
      <c r="A474" s="5" t="inlineStr">
        <is>
          <t>2459 HK Equity</t>
        </is>
      </c>
      <c r="B474" s="5" t="inlineStr">
        <is>
          <t>SANERGY GROUP</t>
        </is>
      </c>
      <c r="C474" s="5" t="inlineStr">
        <is>
          <t>Materials/Energy</t>
        </is>
      </c>
      <c r="D474" s="8">
        <f>IF($A474="","",BDP($A474,"LAST_PRICE"))</f>
        <v/>
      </c>
      <c r="E474" s="6">
        <f>IFERROR(IF(AND(ISNUMBER(D474),ISNUMBER('Market Data'!B474),'Market Data'!B474&gt;0),D474/'Market Data'!B474-1,""),"")</f>
        <v/>
      </c>
    </row>
    <row r="475" ht="22" customHeight="1">
      <c r="A475" s="5" t="inlineStr">
        <is>
          <t>2553 HK Equity</t>
        </is>
      </c>
      <c r="B475" s="5" t="inlineStr">
        <is>
          <t>SHOUGANG LANZA</t>
        </is>
      </c>
      <c r="C475" s="5" t="inlineStr">
        <is>
          <t>Materials/Energy</t>
        </is>
      </c>
      <c r="D475" s="8">
        <f>IF($A475="","",BDP($A475,"LAST_PRICE"))</f>
        <v/>
      </c>
      <c r="E475" s="6">
        <f>IFERROR(IF(AND(ISNUMBER(D475),ISNUMBER('Market Data'!B475),'Market Data'!B475&gt;0),D475/'Market Data'!B475-1,""),"")</f>
        <v/>
      </c>
    </row>
    <row r="476" ht="22" customHeight="1">
      <c r="A476" s="5" t="inlineStr">
        <is>
          <t>2569 HK Equity</t>
        </is>
      </c>
      <c r="B476" s="5" t="inlineStr">
        <is>
          <t>SOFT INTL</t>
        </is>
      </c>
      <c r="C476" s="5" t="inlineStr">
        <is>
          <t>Materials/Energy</t>
        </is>
      </c>
      <c r="D476" s="8">
        <f>IF($A476="","",BDP($A476,"LAST_PRICE"))</f>
        <v/>
      </c>
      <c r="E476" s="6">
        <f>IFERROR(IF(AND(ISNUMBER(D476),ISNUMBER('Market Data'!B476),'Market Data'!B476&gt;0),D476/'Market Data'!B476-1,""),"")</f>
        <v/>
      </c>
    </row>
    <row r="477" ht="22" customHeight="1">
      <c r="A477" s="5" t="inlineStr">
        <is>
          <t>2321 HK Equity</t>
        </is>
      </c>
      <c r="B477" s="5" t="inlineStr">
        <is>
          <t>SWANGCHAICHUAN</t>
        </is>
      </c>
      <c r="C477" s="5" t="inlineStr">
        <is>
          <t>Materials/Energy</t>
        </is>
      </c>
      <c r="D477" s="8">
        <f>IF($A477="","",BDP($A477,"LAST_PRICE"))</f>
        <v/>
      </c>
      <c r="E477" s="6">
        <f>IFERROR(IF(AND(ISNUMBER(D477),ISNUMBER('Market Data'!B477),'Market Data'!B477&gt;0),D477/'Market Data'!B477-1,""),"")</f>
        <v/>
      </c>
    </row>
    <row r="478" ht="22" customHeight="1">
      <c r="A478" s="5" t="inlineStr">
        <is>
          <t>9696 HK Equity</t>
        </is>
      </c>
      <c r="B478" s="5" t="inlineStr">
        <is>
          <t>TIANQI LITHIUM</t>
        </is>
      </c>
      <c r="C478" s="5" t="inlineStr">
        <is>
          <t>Materials/Energy</t>
        </is>
      </c>
      <c r="D478" s="8">
        <f>IF($A478="","",BDP($A478,"LAST_PRICE"))</f>
        <v/>
      </c>
      <c r="E478" s="6">
        <f>IFERROR(IF(AND(ISNUMBER(D478),ISNUMBER('Market Data'!B478),'Market Data'!B478&gt;0),D478/'Market Data'!B478-1,""),"")</f>
        <v/>
      </c>
    </row>
    <row r="479" ht="22" customHeight="1">
      <c r="A479" s="5" t="inlineStr">
        <is>
          <t>2372 HK Equity</t>
        </is>
      </c>
      <c r="B479" s="5" t="inlineStr">
        <is>
          <t>WEILI HOLDINGS</t>
        </is>
      </c>
      <c r="C479" s="5" t="inlineStr">
        <is>
          <t>Materials/Energy</t>
        </is>
      </c>
      <c r="D479" s="8">
        <f>IF($A479="","",BDP($A479,"LAST_PRICE"))</f>
        <v/>
      </c>
      <c r="E479" s="6">
        <f>IFERROR(IF(AND(ISNUMBER(D479),ISNUMBER('Market Data'!B479),'Market Data'!B479&gt;0),D479/'Market Data'!B479-1,""),"")</f>
        <v/>
      </c>
    </row>
    <row r="480" ht="22" customHeight="1">
      <c r="A480" s="5" t="inlineStr">
        <is>
          <t>2481 HK Equity</t>
        </is>
      </c>
      <c r="B480" s="5" t="inlineStr">
        <is>
          <t>WISE LIVING TEC</t>
        </is>
      </c>
      <c r="C480" s="5" t="inlineStr">
        <is>
          <t>Materials/Energy</t>
        </is>
      </c>
      <c r="D480" s="8">
        <f>IF($A480="","",BDP($A480,"LAST_PRICE"))</f>
        <v/>
      </c>
      <c r="E480" s="6">
        <f>IFERROR(IF(AND(ISNUMBER(D480),ISNUMBER('Market Data'!B480),'Market Data'!B480&gt;0),D480/'Market Data'!B480-1,""),"")</f>
        <v/>
      </c>
    </row>
    <row r="481" ht="22" customHeight="1">
      <c r="A481" s="5" t="inlineStr">
        <is>
          <t>9981 HK Equity</t>
        </is>
      </c>
      <c r="B481" s="5" t="inlineStr">
        <is>
          <t>WOER</t>
        </is>
      </c>
      <c r="C481" s="5" t="inlineStr">
        <is>
          <t>Materials/Energy</t>
        </is>
      </c>
      <c r="D481" s="8">
        <f>IF($A481="","",BDP($A481,"LAST_PRICE"))</f>
        <v/>
      </c>
      <c r="E481" s="6">
        <f>IFERROR(IF(AND(ISNUMBER(D481),ISNUMBER('Market Data'!B481),'Market Data'!B481&gt;0),D481/'Market Data'!B481-1,""),"")</f>
        <v/>
      </c>
    </row>
    <row r="482" ht="22" customHeight="1">
      <c r="A482" s="5" t="inlineStr">
        <is>
          <t>2881 HK Equity</t>
        </is>
      </c>
      <c r="B482" s="5" t="inlineStr">
        <is>
          <t>WUHAN YOUJI</t>
        </is>
      </c>
      <c r="C482" s="5" t="inlineStr">
        <is>
          <t>Materials/Energy</t>
        </is>
      </c>
      <c r="D482" s="8">
        <f>IF($A482="","",BDP($A482,"LAST_PRICE"))</f>
        <v/>
      </c>
      <c r="E482" s="6">
        <f>IFERROR(IF(AND(ISNUMBER(D482),ISNUMBER('Market Data'!B482),'Market Data'!B482&gt;0),D482/'Market Data'!B482-1,""),"")</f>
        <v/>
      </c>
    </row>
    <row r="483" ht="22" customHeight="1">
      <c r="A483" s="5" t="inlineStr">
        <is>
          <t>2546 HK Equity</t>
        </is>
      </c>
      <c r="B483" s="5" t="inlineStr">
        <is>
          <t>ZHIHUI MINING</t>
        </is>
      </c>
      <c r="C483" s="5" t="inlineStr">
        <is>
          <t>Materials/Energy</t>
        </is>
      </c>
      <c r="D483" s="8">
        <f>IF($A483="","",BDP($A483,"LAST_PRICE"))</f>
        <v/>
      </c>
      <c r="E483" s="6">
        <f>IFERROR(IF(AND(ISNUMBER(D483),ISNUMBER('Market Data'!B483),'Market Data'!B483&gt;0),D483/'Market Data'!B483-1,""),"")</f>
        <v/>
      </c>
    </row>
    <row r="484" ht="22" customHeight="1">
      <c r="A484" s="5" t="inlineStr">
        <is>
          <t>2259 HK Equity</t>
        </is>
      </c>
      <c r="B484" s="5" t="inlineStr">
        <is>
          <t>ZIJIN GOLD INTL</t>
        </is>
      </c>
      <c r="C484" s="5" t="inlineStr">
        <is>
          <t>Materials/Energy</t>
        </is>
      </c>
      <c r="D484" s="8">
        <f>IF($A484="","",BDP($A484,"LAST_PRICE"))</f>
        <v/>
      </c>
      <c r="E484" s="6">
        <f>IFERROR(IF(AND(ISNUMBER(D484),ISNUMBER('Market Data'!B484),'Market Data'!B484&gt;0),D484/'Market Data'!B484-1,""),"")</f>
        <v/>
      </c>
    </row>
    <row r="485" ht="22" customHeight="1">
      <c r="A485" s="5" t="inlineStr">
        <is>
          <t>2210 HK Equity</t>
        </is>
      </c>
      <c r="B485" s="5" t="inlineStr">
        <is>
          <t>BEIJING JIAYE</t>
        </is>
      </c>
      <c r="C485" s="5" t="inlineStr">
        <is>
          <t>Real Estate</t>
        </is>
      </c>
      <c r="D485" s="8">
        <f>IF($A485="","",BDP($A485,"LAST_PRICE"))</f>
        <v/>
      </c>
      <c r="E485" s="6">
        <f>IFERROR(IF(AND(ISNUMBER(D485),ISNUMBER('Market Data'!B485),'Market Data'!B485&gt;0),D485/'Market Data'!B485-1,""),"")</f>
        <v/>
      </c>
    </row>
    <row r="486" ht="22" customHeight="1">
      <c r="A486" s="5" t="inlineStr">
        <is>
          <t>9982 HK Equity</t>
        </is>
      </c>
      <c r="B486" s="5" t="inlineStr">
        <is>
          <t>CENTRALCHINA MT</t>
        </is>
      </c>
      <c r="C486" s="5" t="inlineStr">
        <is>
          <t>Real Estate</t>
        </is>
      </c>
      <c r="D486" s="8">
        <f>IF($A486="","",BDP($A486,"LAST_PRICE"))</f>
        <v/>
      </c>
      <c r="E486" s="6">
        <f>IFERROR(IF(AND(ISNUMBER(D486),ISNUMBER('Market Data'!B486),'Market Data'!B486&gt;0),D486/'Market Data'!B486-1,""),"")</f>
        <v/>
      </c>
    </row>
    <row r="487" ht="22" customHeight="1">
      <c r="A487" s="5" t="inlineStr">
        <is>
          <t>2270 HK Equity</t>
        </is>
      </c>
      <c r="B487" s="5" t="inlineStr">
        <is>
          <t>DESUN SERVICES</t>
        </is>
      </c>
      <c r="C487" s="5" t="inlineStr">
        <is>
          <t>Real Estate</t>
        </is>
      </c>
      <c r="D487" s="8">
        <f>IF($A487="","",BDP($A487,"LAST_PRICE"))</f>
        <v/>
      </c>
      <c r="E487" s="6">
        <f>IFERROR(IF(AND(ISNUMBER(D487),ISNUMBER('Market Data'!B487),'Market Data'!B487&gt;0),D487/'Market Data'!B487-1,""),"")</f>
        <v/>
      </c>
    </row>
    <row r="488" ht="22" customHeight="1">
      <c r="A488" s="5" t="inlineStr">
        <is>
          <t>2215 HK Equity</t>
        </is>
      </c>
      <c r="B488" s="5" t="inlineStr">
        <is>
          <t>DEXIN SER GROUP</t>
        </is>
      </c>
      <c r="C488" s="5" t="inlineStr">
        <is>
          <t>Real Estate</t>
        </is>
      </c>
      <c r="D488" s="8">
        <f>IF($A488="","",BDP($A488,"LAST_PRICE"))</f>
        <v/>
      </c>
      <c r="E488" s="6">
        <f>IFERROR(IF(AND(ISNUMBER(D488),ISNUMBER('Market Data'!B488),'Market Data'!B488&gt;0),D488/'Market Data'!B488-1,""),"")</f>
        <v/>
      </c>
    </row>
    <row r="489" ht="22" customHeight="1">
      <c r="A489" s="5" t="inlineStr">
        <is>
          <t>2352 HK Equity</t>
        </is>
      </c>
      <c r="B489" s="5" t="inlineStr">
        <is>
          <t>DOWELL SERVICE</t>
        </is>
      </c>
      <c r="C489" s="5" t="inlineStr">
        <is>
          <t>Real Estate</t>
        </is>
      </c>
      <c r="D489" s="8">
        <f>IF($A489="","",BDP($A489,"LAST_PRICE"))</f>
        <v/>
      </c>
      <c r="E489" s="6">
        <f>IFERROR(IF(AND(ISNUMBER(D489),ISNUMBER('Market Data'!B489),'Market Data'!B489&gt;0),D489/'Market Data'!B489-1,""),"")</f>
        <v/>
      </c>
    </row>
    <row r="490" ht="22" customHeight="1">
      <c r="A490" s="5" t="inlineStr">
        <is>
          <t>6668 HK Equity</t>
        </is>
      </c>
      <c r="B490" s="5" t="inlineStr">
        <is>
          <t>E-STAR CM</t>
        </is>
      </c>
      <c r="C490" s="5" t="inlineStr">
        <is>
          <t>Real Estate</t>
        </is>
      </c>
      <c r="D490" s="8">
        <f>IF($A490="","",BDP($A490,"LAST_PRICE"))</f>
        <v/>
      </c>
      <c r="E490" s="6">
        <f>IFERROR(IF(AND(ISNUMBER(D490),ISNUMBER('Market Data'!B490),'Market Data'!B490&gt;0),D490/'Market Data'!B490-1,""),"")</f>
        <v/>
      </c>
    </row>
    <row r="491" ht="22" customHeight="1">
      <c r="A491" s="5" t="inlineStr">
        <is>
          <t>2529 HK Equity</t>
        </is>
      </c>
      <c r="B491" s="5" t="inlineStr">
        <is>
          <t>HOLLWIN URBAN</t>
        </is>
      </c>
      <c r="C491" s="5" t="inlineStr">
        <is>
          <t>Real Estate</t>
        </is>
      </c>
      <c r="D491" s="8">
        <f>IF($A491="","",BDP($A491,"LAST_PRICE"))</f>
        <v/>
      </c>
      <c r="E491" s="6">
        <f>IFERROR(IF(AND(ISNUMBER(D491),ISNUMBER('Market Data'!B491),'Market Data'!B491&gt;0),D491/'Market Data'!B491-1,""),"")</f>
        <v/>
      </c>
    </row>
    <row r="492" ht="22" customHeight="1">
      <c r="A492" s="5" t="inlineStr">
        <is>
          <t>2205 HK Equity</t>
        </is>
      </c>
      <c r="B492" s="5" t="inlineStr">
        <is>
          <t>KANGQIAO SER</t>
        </is>
      </c>
      <c r="C492" s="5" t="inlineStr">
        <is>
          <t>Real Estate</t>
        </is>
      </c>
      <c r="D492" s="8">
        <f>IF($A492="","",BDP($A492,"LAST_PRICE"))</f>
        <v/>
      </c>
      <c r="E492" s="6">
        <f>IFERROR(IF(AND(ISNUMBER(D492),ISNUMBER('Market Data'!B492),'Market Data'!B492&gt;0),D492/'Market Data'!B492-1,""),"")</f>
        <v/>
      </c>
    </row>
    <row r="493" ht="22" customHeight="1">
      <c r="A493" s="5" t="inlineStr">
        <is>
          <t>1354 HK Equity</t>
        </is>
      </c>
      <c r="B493" s="5" t="inlineStr">
        <is>
          <t>KINGFARPROPERTY</t>
        </is>
      </c>
      <c r="C493" s="5" t="inlineStr">
        <is>
          <t>Real Estate</t>
        </is>
      </c>
      <c r="D493" s="8">
        <f>IF($A493="","",BDP($A493,"LAST_PRICE"))</f>
        <v/>
      </c>
      <c r="E493" s="6">
        <f>IFERROR(IF(AND(ISNUMBER(D493),ISNUMBER('Market Data'!B493),'Market Data'!B493&gt;0),D493/'Market Data'!B493-1,""),"")</f>
        <v/>
      </c>
    </row>
    <row r="494" ht="22" customHeight="1">
      <c r="A494" s="5" t="inlineStr">
        <is>
          <t>1965 HK Equity</t>
        </is>
      </c>
      <c r="B494" s="5" t="inlineStr">
        <is>
          <t>LANDSEA LIFE</t>
        </is>
      </c>
      <c r="C494" s="5" t="inlineStr">
        <is>
          <t>Real Estate</t>
        </is>
      </c>
      <c r="D494" s="8">
        <f>IF($A494="","",BDP($A494,"LAST_PRICE"))</f>
        <v/>
      </c>
      <c r="E494" s="6">
        <f>IFERROR(IF(AND(ISNUMBER(D494),ISNUMBER('Market Data'!B494),'Market Data'!B494&gt;0),D494/'Market Data'!B494-1,""),"")</f>
        <v/>
      </c>
    </row>
    <row r="495" ht="22" customHeight="1">
      <c r="A495" s="5" t="inlineStr">
        <is>
          <t>2539 HK Equity</t>
        </is>
      </c>
      <c r="B495" s="5" t="inlineStr">
        <is>
          <t>LEMO SERVICES</t>
        </is>
      </c>
      <c r="C495" s="5" t="inlineStr">
        <is>
          <t>Real Estate</t>
        </is>
      </c>
      <c r="D495" s="8">
        <f>IF($A495="","",BDP($A495,"LAST_PRICE"))</f>
        <v/>
      </c>
      <c r="E495" s="6">
        <f>IFERROR(IF(AND(ISNUMBER(D495),ISNUMBER('Market Data'!B495),'Market Data'!B495&gt;0),D495/'Market Data'!B495-1,""),"")</f>
        <v/>
      </c>
    </row>
    <row r="496" ht="22" customHeight="1">
      <c r="A496" s="5" t="inlineStr">
        <is>
          <t>2165 HK Equity</t>
        </is>
      </c>
      <c r="B496" s="5" t="inlineStr">
        <is>
          <t>LING YUE SER GP</t>
        </is>
      </c>
      <c r="C496" s="5" t="inlineStr">
        <is>
          <t>Real Estate</t>
        </is>
      </c>
      <c r="D496" s="8">
        <f>IF($A496="","",BDP($A496,"LAST_PRICE"))</f>
        <v/>
      </c>
      <c r="E496" s="6">
        <f>IFERROR(IF(AND(ISNUMBER(D496),ISNUMBER('Market Data'!B496),'Market Data'!B496&gt;0),D496/'Market Data'!B496-1,""),"")</f>
        <v/>
      </c>
    </row>
    <row r="497" ht="22" customHeight="1">
      <c r="A497" s="5" t="inlineStr">
        <is>
          <t>2376 HK Equity</t>
        </is>
      </c>
      <c r="B497" s="5" t="inlineStr">
        <is>
          <t>LUSHANGSERVICES</t>
        </is>
      </c>
      <c r="C497" s="5" t="inlineStr">
        <is>
          <t>Real Estate</t>
        </is>
      </c>
      <c r="D497" s="8">
        <f>IF($A497="","",BDP($A497,"LAST_PRICE"))</f>
        <v/>
      </c>
      <c r="E497" s="6">
        <f>IFERROR(IF(AND(ISNUMBER(D497),ISNUMBER('Market Data'!B497),'Market Data'!B497&gt;0),D497/'Market Data'!B497-1,""),"")</f>
        <v/>
      </c>
    </row>
    <row r="498" ht="22" customHeight="1">
      <c r="A498" s="5" t="inlineStr">
        <is>
          <t>3658 HK Equity</t>
        </is>
      </c>
      <c r="B498" s="5" t="inlineStr">
        <is>
          <t>NEW HOPE SERV</t>
        </is>
      </c>
      <c r="C498" s="5" t="inlineStr">
        <is>
          <t>Real Estate</t>
        </is>
      </c>
      <c r="D498" s="8">
        <f>IF($A498="","",BDP($A498,"LAST_PRICE"))</f>
        <v/>
      </c>
      <c r="E498" s="6">
        <f>IFERROR(IF(AND(ISNUMBER(D498),ISNUMBER('Market Data'!B498),'Market Data'!B498&gt;0),D498/'Market Data'!B498-1,""),"")</f>
        <v/>
      </c>
    </row>
    <row r="499" ht="22" customHeight="1">
      <c r="A499" s="5" t="inlineStr">
        <is>
          <t>2602 HK Equity</t>
        </is>
      </c>
      <c r="B499" s="5" t="inlineStr">
        <is>
          <t>ONEWO</t>
        </is>
      </c>
      <c r="C499" s="5" t="inlineStr">
        <is>
          <t>Real Estate</t>
        </is>
      </c>
      <c r="D499" s="8">
        <f>IF($A499="","",BDP($A499,"LAST_PRICE"))</f>
        <v/>
      </c>
      <c r="E499" s="6">
        <f>IFERROR(IF(AND(ISNUMBER(D499),ISNUMBER('Market Data'!B499),'Market Data'!B499&gt;0),D499/'Market Data'!B499-1,""),"")</f>
        <v/>
      </c>
    </row>
    <row r="500" ht="22" customHeight="1">
      <c r="A500" s="5" t="inlineStr">
        <is>
          <t>2370 HK Equity</t>
        </is>
      </c>
      <c r="B500" s="5" t="inlineStr">
        <is>
          <t>REDCO HEALTHY</t>
        </is>
      </c>
      <c r="C500" s="5" t="inlineStr">
        <is>
          <t>Real Estate</t>
        </is>
      </c>
      <c r="D500" s="8">
        <f>IF($A500="","",BDP($A500,"LAST_PRICE"))</f>
        <v/>
      </c>
      <c r="E500" s="6">
        <f>IFERROR(IF(AND(ISNUMBER(D500),ISNUMBER('Market Data'!B500),'Market Data'!B500&gt;0),D500/'Market Data'!B500-1,""),"")</f>
        <v/>
      </c>
    </row>
    <row r="501" ht="22" customHeight="1">
      <c r="A501" s="5" t="inlineStr">
        <is>
          <t>2146 HK Equity</t>
        </is>
      </c>
      <c r="B501" s="5" t="inlineStr">
        <is>
          <t>ROISERV</t>
        </is>
      </c>
      <c r="C501" s="5" t="inlineStr">
        <is>
          <t>Real Estate</t>
        </is>
      </c>
      <c r="D501" s="8">
        <f>IF($A501="","",BDP($A501,"LAST_PRICE"))</f>
        <v/>
      </c>
      <c r="E501" s="6">
        <f>IFERROR(IF(AND(ISNUMBER(D501),ISNUMBER('Market Data'!B501),'Market Data'!B501&gt;0),D501/'Market Data'!B501-1,""),"")</f>
        <v/>
      </c>
    </row>
    <row r="502" ht="22" customHeight="1">
      <c r="A502" s="5" t="inlineStr">
        <is>
          <t>2455 HK Equity</t>
        </is>
      </c>
      <c r="B502" s="5" t="inlineStr">
        <is>
          <t>RUNHUA SERVICE</t>
        </is>
      </c>
      <c r="C502" s="5" t="inlineStr">
        <is>
          <t>Real Estate</t>
        </is>
      </c>
      <c r="D502" s="8">
        <f>IF($A502="","",BDP($A502,"LAST_PRICE"))</f>
        <v/>
      </c>
      <c r="E502" s="6">
        <f>IFERROR(IF(AND(ISNUMBER(D502),ISNUMBER('Market Data'!B502),'Market Data'!B502&gt;0),D502/'Market Data'!B502-1,""),"")</f>
        <v/>
      </c>
    </row>
    <row r="503" ht="22" customHeight="1">
      <c r="A503" s="5" t="inlineStr">
        <is>
          <t>6611 HK Equity</t>
        </is>
      </c>
      <c r="B503" s="5" t="inlineStr">
        <is>
          <t>SANXUN GROUP</t>
        </is>
      </c>
      <c r="C503" s="5" t="inlineStr">
        <is>
          <t>Real Estate</t>
        </is>
      </c>
      <c r="D503" s="8">
        <f>IF($A503="","",BDP($A503,"LAST_PRICE"))</f>
        <v/>
      </c>
      <c r="E503" s="6">
        <f>IFERROR(IF(AND(ISNUMBER(D503),ISNUMBER('Market Data'!B503),'Market Data'!B503&gt;0),D503/'Market Data'!B503-1,""),"")</f>
        <v/>
      </c>
    </row>
    <row r="504" ht="22" customHeight="1">
      <c r="A504" s="5" t="inlineStr">
        <is>
          <t>606 HK Equity</t>
        </is>
      </c>
      <c r="B504" s="5" t="inlineStr">
        <is>
          <t>SCE CM</t>
        </is>
      </c>
      <c r="C504" s="5" t="inlineStr">
        <is>
          <t>Real Estate</t>
        </is>
      </c>
      <c r="D504" s="8">
        <f>IF($A504="","",BDP($A504,"LAST_PRICE"))</f>
        <v/>
      </c>
      <c r="E504" s="6">
        <f>IFERROR(IF(AND(ISNUMBER(D504),ISNUMBER('Market Data'!B504),'Market Data'!B504&gt;0),D504/'Market Data'!B504-1,""),"")</f>
        <v/>
      </c>
    </row>
    <row r="505" ht="22" customHeight="1">
      <c r="A505" s="5" t="inlineStr">
        <is>
          <t>2191 HK Equity</t>
        </is>
      </c>
      <c r="B505" s="5" t="inlineStr">
        <is>
          <t>SF REIT</t>
        </is>
      </c>
      <c r="C505" s="5" t="inlineStr">
        <is>
          <t>Real Estate</t>
        </is>
      </c>
      <c r="D505" s="8">
        <f>IF($A505="","",BDP($A505,"LAST_PRICE"))</f>
        <v/>
      </c>
      <c r="E505" s="6">
        <f>IFERROR(IF(AND(ISNUMBER(D505),ISNUMBER('Market Data'!B505),'Market Data'!B505&gt;0),D505/'Market Data'!B505-1,""),"")</f>
        <v/>
      </c>
    </row>
    <row r="506" ht="22" customHeight="1">
      <c r="A506" s="5" t="inlineStr">
        <is>
          <t>2521 HK Equity</t>
        </is>
      </c>
      <c r="B506" s="5" t="inlineStr">
        <is>
          <t>SHENGHUI CLEAN</t>
        </is>
      </c>
      <c r="C506" s="5" t="inlineStr">
        <is>
          <t>Real Estate</t>
        </is>
      </c>
      <c r="D506" s="8">
        <f>IF($A506="","",BDP($A506,"LAST_PRICE"))</f>
        <v/>
      </c>
      <c r="E506" s="6">
        <f>IFERROR(IF(AND(ISNUMBER(D506),ISNUMBER('Market Data'!B506),'Market Data'!B506&gt;0),D506/'Market Data'!B506-1,""),"")</f>
        <v/>
      </c>
    </row>
    <row r="507" ht="22" customHeight="1">
      <c r="A507" s="5" t="inlineStr">
        <is>
          <t>9608 HK Equity</t>
        </is>
      </c>
      <c r="B507" s="5" t="inlineStr">
        <is>
          <t>SUNDY SERVICE</t>
        </is>
      </c>
      <c r="C507" s="5" t="inlineStr">
        <is>
          <t>Real Estate</t>
        </is>
      </c>
      <c r="D507" s="8">
        <f>IF($A507="","",BDP($A507,"LAST_PRICE"))</f>
        <v/>
      </c>
      <c r="E507" s="6">
        <f>IFERROR(IF(AND(ISNUMBER(D507),ISNUMBER('Market Data'!B507),'Market Data'!B507&gt;0),D507/'Market Data'!B507-1,""),"")</f>
        <v/>
      </c>
    </row>
    <row r="508" ht="22" customHeight="1">
      <c r="A508" s="5" t="inlineStr">
        <is>
          <t>2152 HK Equity</t>
        </is>
      </c>
      <c r="B508" s="5" t="inlineStr">
        <is>
          <t>SUXIN SERVICES</t>
        </is>
      </c>
      <c r="C508" s="5" t="inlineStr">
        <is>
          <t>Real Estate</t>
        </is>
      </c>
      <c r="D508" s="8">
        <f>IF($A508="","",BDP($A508,"LAST_PRICE"))</f>
        <v/>
      </c>
      <c r="E508" s="6">
        <f>IFERROR(IF(AND(ISNUMBER(D508),ISNUMBER('Market Data'!B508),'Market Data'!B508&gt;0),D508/'Market Data'!B508-1,""),"")</f>
        <v/>
      </c>
    </row>
    <row r="509" ht="22" customHeight="1">
      <c r="A509" s="5" t="inlineStr">
        <is>
          <t>6626 HK Equity</t>
        </is>
      </c>
      <c r="B509" s="5" t="inlineStr">
        <is>
          <t>YUEXIU SERVICES</t>
        </is>
      </c>
      <c r="C509" s="5" t="inlineStr">
        <is>
          <t>Real Estate</t>
        </is>
      </c>
      <c r="D509" s="8">
        <f>IF($A509="","",BDP($A509,"LAST_PRICE"))</f>
        <v/>
      </c>
      <c r="E509" s="6">
        <f>IFERROR(IF(AND(ISNUMBER(D509),ISNUMBER('Market Data'!B509),'Market Data'!B509&gt;0),D509/'Market Data'!B509-1,""),"")</f>
        <v/>
      </c>
    </row>
    <row r="510" ht="22" customHeight="1">
      <c r="A510" s="5" t="inlineStr">
        <is>
          <t>2271 HK Equity</t>
        </is>
      </c>
      <c r="B510" s="5" t="inlineStr">
        <is>
          <t>ZHONGAN SERVICE</t>
        </is>
      </c>
      <c r="C510" s="5" t="inlineStr">
        <is>
          <t>Real Estate</t>
        </is>
      </c>
      <c r="D510" s="8">
        <f>IF($A510="","",BDP($A510,"LAST_PRICE"))</f>
        <v/>
      </c>
      <c r="E510" s="6">
        <f>IFERROR(IF(AND(ISNUMBER(D510),ISNUMBER('Market Data'!B510),'Market Data'!B510&gt;0),D510/'Market Data'!B510-1,""),"")</f>
        <v/>
      </c>
    </row>
    <row r="511" ht="22" customHeight="1">
      <c r="A511" s="5" t="inlineStr">
        <is>
          <t>1490 HK Equity</t>
        </is>
      </c>
      <c r="B511" s="5" t="inlineStr">
        <is>
          <t>CHESHI</t>
        </is>
      </c>
      <c r="C511" s="5" t="inlineStr">
        <is>
          <t>Media &amp; telecom</t>
        </is>
      </c>
      <c r="D511" s="8">
        <f>IF($A511="","",BDP($A511,"LAST_PRICE"))</f>
        <v/>
      </c>
      <c r="E511" s="6">
        <f>IFERROR(IF(AND(ISNUMBER(D511),ISNUMBER('Market Data'!B511),'Market Data'!B511&gt;0),D511/'Market Data'!B511-1,""),"")</f>
        <v/>
      </c>
    </row>
    <row r="512" ht="22" customHeight="1">
      <c r="A512" s="5" t="inlineStr">
        <is>
          <t>6610 HK Equity</t>
        </is>
      </c>
      <c r="B512" s="5" t="inlineStr">
        <is>
          <t>FLOWING CLOUD</t>
        </is>
      </c>
      <c r="C512" s="5" t="inlineStr">
        <is>
          <t>Media &amp; telecom</t>
        </is>
      </c>
      <c r="D512" s="8">
        <f>IF($A512="","",BDP($A512,"LAST_PRICE"))</f>
        <v/>
      </c>
      <c r="E512" s="6">
        <f>IFERROR(IF(AND(ISNUMBER(D512),ISNUMBER('Market Data'!B512),'Market Data'!B512&gt;0),D512/'Market Data'!B512-1,""),"")</f>
        <v/>
      </c>
    </row>
    <row r="513" ht="22" customHeight="1">
      <c r="A513" s="5" t="inlineStr">
        <is>
          <t>2695 HK Equity</t>
        </is>
      </c>
      <c r="B513" s="5" t="inlineStr">
        <is>
          <t>IMPRESSION DHP</t>
        </is>
      </c>
      <c r="C513" s="5" t="inlineStr">
        <is>
          <t>Media &amp; telecom</t>
        </is>
      </c>
      <c r="D513" s="8">
        <f>IF($A513="","",BDP($A513,"LAST_PRICE"))</f>
        <v/>
      </c>
      <c r="E513" s="6">
        <f>IFERROR(IF(AND(ISNUMBER(D513),ISNUMBER('Market Data'!B513),'Market Data'!B513&gt;0),D513/'Market Data'!B513-1,""),"")</f>
        <v/>
      </c>
    </row>
    <row r="514" ht="22" customHeight="1">
      <c r="A514" s="5" t="inlineStr">
        <is>
          <t>2540 HK Equity</t>
        </is>
      </c>
      <c r="B514" s="5" t="inlineStr">
        <is>
          <t>LESI GROUP</t>
        </is>
      </c>
      <c r="C514" s="5" t="inlineStr">
        <is>
          <t>Media &amp; telecom</t>
        </is>
      </c>
      <c r="D514" s="8">
        <f>IF($A514="","",BDP($A514,"LAST_PRICE"))</f>
        <v/>
      </c>
      <c r="E514" s="6">
        <f>IFERROR(IF(AND(ISNUMBER(D514),ISNUMBER('Market Data'!B514),'Market Data'!B514&gt;0),D514/'Market Data'!B514-1,""),"")</f>
        <v/>
      </c>
    </row>
    <row r="515" ht="22" customHeight="1">
      <c r="A515" s="5" t="inlineStr">
        <is>
          <t>9857 HK Equity</t>
        </is>
      </c>
      <c r="B515" s="5" t="inlineStr">
        <is>
          <t>LINMON MEDIA</t>
        </is>
      </c>
      <c r="C515" s="5" t="inlineStr">
        <is>
          <t>Media &amp; telecom</t>
        </is>
      </c>
      <c r="D515" s="8">
        <f>IF($A515="","",BDP($A515,"LAST_PRICE"))</f>
        <v/>
      </c>
      <c r="E515" s="6">
        <f>IFERROR(IF(AND(ISNUMBER(D515),ISNUMBER('Market Data'!B515),'Market Data'!B515&gt;0),D515/'Market Data'!B515-1,""),"")</f>
        <v/>
      </c>
    </row>
    <row r="516" ht="22" customHeight="1">
      <c r="A516" s="5" t="inlineStr">
        <is>
          <t>6696 HK Equity</t>
        </is>
      </c>
      <c r="B516" s="5" t="inlineStr">
        <is>
          <t>MANY IDEA CLOUD</t>
        </is>
      </c>
      <c r="C516" s="5" t="inlineStr">
        <is>
          <t>Media &amp; telecom</t>
        </is>
      </c>
      <c r="D516" s="8">
        <f>IF($A516="","",BDP($A516,"LAST_PRICE"))</f>
        <v/>
      </c>
      <c r="E516" s="6">
        <f>IFERROR(IF(AND(ISNUMBER(D516),ISNUMBER('Market Data'!B516),'Market Data'!B516&gt;0),D516/'Market Data'!B516-1,""),"")</f>
        <v/>
      </c>
    </row>
    <row r="517" ht="22" customHeight="1">
      <c r="A517" s="5" t="inlineStr">
        <is>
          <t>1284 HK Equity</t>
        </is>
      </c>
      <c r="B517" s="5" t="inlineStr">
        <is>
          <t>NEW MEDIA LAB</t>
        </is>
      </c>
      <c r="C517" s="5" t="inlineStr">
        <is>
          <t>Media &amp; telecom</t>
        </is>
      </c>
      <c r="D517" s="8">
        <f>IF($A517="","",BDP($A517,"LAST_PRICE"))</f>
        <v/>
      </c>
      <c r="E517" s="6">
        <f>IFERROR(IF(AND(ISNUMBER(D517),ISNUMBER('Market Data'!B517),'Market Data'!B517&gt;0),D517/'Market Data'!B517-1,""),"")</f>
        <v/>
      </c>
    </row>
    <row r="518" ht="22" customHeight="1">
      <c r="A518" s="5" t="inlineStr">
        <is>
          <t>2486 HK Equity</t>
        </is>
      </c>
      <c r="B518" s="5" t="inlineStr">
        <is>
          <t>PLUS GP HOLDING</t>
        </is>
      </c>
      <c r="C518" s="5" t="inlineStr">
        <is>
          <t>Media &amp; telecom</t>
        </is>
      </c>
      <c r="D518" s="8">
        <f>IF($A518="","",BDP($A518,"LAST_PRICE"))</f>
        <v/>
      </c>
      <c r="E518" s="6">
        <f>IFERROR(IF(AND(ISNUMBER(D518),ISNUMBER('Market Data'!B518),'Market Data'!B518&gt;0),D518/'Market Data'!B518-1,""),"")</f>
        <v/>
      </c>
    </row>
    <row r="519" ht="22" customHeight="1">
      <c r="A519" s="5" t="inlineStr">
        <is>
          <t>2405 HK Equity</t>
        </is>
      </c>
      <c r="B519" s="5" t="inlineStr">
        <is>
          <t>POWERWIN TECH</t>
        </is>
      </c>
      <c r="C519" s="5" t="inlineStr">
        <is>
          <t>Media &amp; telecom</t>
        </is>
      </c>
      <c r="D519" s="8">
        <f>IF($A519="","",BDP($A519,"LAST_PRICE"))</f>
        <v/>
      </c>
      <c r="E519" s="6">
        <f>IFERROR(IF(AND(ISNUMBER(D519),ISNUMBER('Market Data'!B519),'Market Data'!B519&gt;0),D519/'Market Data'!B519-1,""),"")</f>
        <v/>
      </c>
    </row>
    <row r="520" ht="22" customHeight="1">
      <c r="A520" s="5" t="inlineStr">
        <is>
          <t>6633 HK Equity</t>
        </is>
      </c>
      <c r="B520" s="5" t="inlineStr">
        <is>
          <t>QINGCI GAMES</t>
        </is>
      </c>
      <c r="C520" s="5" t="inlineStr">
        <is>
          <t>Media &amp; telecom</t>
        </is>
      </c>
      <c r="D520" s="8">
        <f>IF($A520="","",BDP($A520,"LAST_PRICE"))</f>
        <v/>
      </c>
      <c r="E520" s="6">
        <f>IFERROR(IF(AND(ISNUMBER(D520),ISNUMBER('Market Data'!B520),'Market Data'!B520&gt;0),D520/'Market Data'!B520-1,""),"")</f>
        <v/>
      </c>
    </row>
    <row r="521" ht="22" customHeight="1">
      <c r="A521" s="5" t="inlineStr">
        <is>
          <t>917 HK Equity</t>
        </is>
      </c>
      <c r="B521" s="5" t="inlineStr">
        <is>
          <t>QUNABOX GROUP</t>
        </is>
      </c>
      <c r="C521" s="5" t="inlineStr">
        <is>
          <t>Media &amp; telecom</t>
        </is>
      </c>
      <c r="D521" s="8">
        <f>IF($A521="","",BDP($A521,"LAST_PRICE"))</f>
        <v/>
      </c>
      <c r="E521" s="6">
        <f>IFERROR(IF(AND(ISNUMBER(D521),ISNUMBER('Market Data'!B521),'Market Data'!B521&gt;0),D521/'Market Data'!B521-1,""),"")</f>
        <v/>
      </c>
    </row>
    <row r="522" ht="22" customHeight="1">
      <c r="A522" s="5" t="inlineStr">
        <is>
          <t>2422 HK Equity</t>
        </is>
      </c>
      <c r="B522" s="5" t="inlineStr">
        <is>
          <t>REGO INTERACT</t>
        </is>
      </c>
      <c r="C522" s="5" t="inlineStr">
        <is>
          <t>Media &amp; telecom</t>
        </is>
      </c>
      <c r="D522" s="8">
        <f>IF($A522="","",BDP($A522,"LAST_PRICE"))</f>
        <v/>
      </c>
      <c r="E522" s="6">
        <f>IFERROR(IF(AND(ISNUMBER(D522),ISNUMBER('Market Data'!B522),'Market Data'!B522&gt;0),D522/'Market Data'!B522-1,""),"")</f>
        <v/>
      </c>
    </row>
    <row r="523" ht="22" customHeight="1">
      <c r="A523" s="5" t="inlineStr">
        <is>
          <t>2250 HK Equity</t>
        </is>
      </c>
      <c r="B523" s="5" t="inlineStr">
        <is>
          <t>SEMK HOLDINGS</t>
        </is>
      </c>
      <c r="C523" s="5" t="inlineStr">
        <is>
          <t>Media &amp; telecom</t>
        </is>
      </c>
      <c r="D523" s="8">
        <f>IF($A523="","",BDP($A523,"LAST_PRICE"))</f>
        <v/>
      </c>
      <c r="E523" s="6">
        <f>IFERROR(IF(AND(ISNUMBER(D523),ISNUMBER('Market Data'!B523),'Market Data'!B523&gt;0),D523/'Market Data'!B523-1,""),"")</f>
        <v/>
      </c>
    </row>
    <row r="524" ht="22" customHeight="1">
      <c r="A524" s="5" t="inlineStr">
        <is>
          <t>6698 HK Equity</t>
        </is>
      </c>
      <c r="B524" s="5" t="inlineStr">
        <is>
          <t>STAR CM</t>
        </is>
      </c>
      <c r="C524" s="5" t="inlineStr">
        <is>
          <t>Media &amp; telecom</t>
        </is>
      </c>
      <c r="D524" s="8">
        <f>IF($A524="","",BDP($A524,"LAST_PRICE"))</f>
        <v/>
      </c>
      <c r="E524" s="6">
        <f>IFERROR(IF(AND(ISNUMBER(D524),ISNUMBER('Market Data'!B524),'Market Data'!B524&gt;0),D524/'Market Data'!B524-1,""),"")</f>
        <v/>
      </c>
    </row>
    <row r="525" ht="22" customHeight="1">
      <c r="A525" s="5" t="inlineStr">
        <is>
          <t>6683 HK Equity</t>
        </is>
      </c>
      <c r="B525" s="5" t="inlineStr">
        <is>
          <t>STARPLUS LEGEND</t>
        </is>
      </c>
      <c r="C525" s="5" t="inlineStr">
        <is>
          <t>Media &amp; telecom</t>
        </is>
      </c>
      <c r="D525" s="8">
        <f>IF($A525="","",BDP($A525,"LAST_PRICE"))</f>
        <v/>
      </c>
      <c r="E525" s="6">
        <f>IFERROR(IF(AND(ISNUMBER(D525),ISNUMBER('Market Data'!B525),'Market Data'!B525&gt;0),D525/'Market Data'!B525-1,""),"")</f>
        <v/>
      </c>
    </row>
    <row r="526" ht="22" customHeight="1">
      <c r="A526" s="5" t="inlineStr">
        <is>
          <t>2125 HK Equity</t>
        </is>
      </c>
      <c r="B526" s="5" t="inlineStr">
        <is>
          <t>STRAWBEAR ENT</t>
        </is>
      </c>
      <c r="C526" s="5" t="inlineStr">
        <is>
          <t>Media &amp; telecom</t>
        </is>
      </c>
      <c r="D526" s="8">
        <f>IF($A526="","",BDP($A526,"LAST_PRICE"))</f>
        <v/>
      </c>
      <c r="E526" s="6">
        <f>IFERROR(IF(AND(ISNUMBER(D526),ISNUMBER('Market Data'!B526),'Market Data'!B526&gt;0),D526/'Market Data'!B526-1,""),"")</f>
        <v/>
      </c>
    </row>
    <row r="527" ht="22" customHeight="1">
      <c r="A527" s="5" t="inlineStr">
        <is>
          <t>1948 HK Equity</t>
        </is>
      </c>
      <c r="B527" s="5" t="inlineStr">
        <is>
          <t>UJU HOLDING</t>
        </is>
      </c>
      <c r="C527" s="5" t="inlineStr">
        <is>
          <t>Media &amp; telecom</t>
        </is>
      </c>
      <c r="D527" s="8">
        <f>IF($A527="","",BDP($A527,"LAST_PRICE"))</f>
        <v/>
      </c>
      <c r="E527" s="6">
        <f>IFERROR(IF(AND(ISNUMBER(D527),ISNUMBER('Market Data'!B527),'Market Data'!B527&gt;0),D527/'Market Data'!B527-1,""),"")</f>
        <v/>
      </c>
    </row>
    <row r="528" ht="22" customHeight="1">
      <c r="A528" s="5" t="inlineStr">
        <is>
          <t>2495 HK Equity</t>
        </is>
      </c>
      <c r="B528" s="5" t="inlineStr">
        <is>
          <t>VOICECOMM</t>
        </is>
      </c>
      <c r="C528" s="5" t="inlineStr">
        <is>
          <t>Media &amp; telecom</t>
        </is>
      </c>
      <c r="D528" s="8">
        <f>IF($A528="","",BDP($A528,"LAST_PRICE"))</f>
        <v/>
      </c>
      <c r="E528" s="6">
        <f>IFERROR(IF(AND(ISNUMBER(D528),ISNUMBER('Market Data'!B528),'Market Data'!B528&gt;0),D528/'Market Data'!B528-1,""),"")</f>
        <v/>
      </c>
    </row>
    <row r="529" ht="22" customHeight="1">
      <c r="A529" s="5" t="inlineStr">
        <is>
          <t>2306 HK Equity</t>
        </is>
      </c>
      <c r="B529" s="5" t="inlineStr">
        <is>
          <t>YH ENT</t>
        </is>
      </c>
      <c r="C529" s="5" t="inlineStr">
        <is>
          <t>Media &amp; telecom</t>
        </is>
      </c>
      <c r="D529" s="8">
        <f>IF($A529="","",BDP($A529,"LAST_PRICE"))</f>
        <v/>
      </c>
      <c r="E529" s="6">
        <f>IFERROR(IF(AND(ISNUMBER(D529),ISNUMBER('Market Data'!B529),'Market Data'!B529&gt;0),D529/'Market Data'!B529-1,""),"")</f>
        <v/>
      </c>
    </row>
    <row r="530" ht="22" customHeight="1">
      <c r="A530" s="5" t="inlineStr">
        <is>
          <t>2545 HK Equity</t>
        </is>
      </c>
      <c r="B530" s="5" t="inlineStr">
        <is>
          <t>ZHONGGAN COMM</t>
        </is>
      </c>
      <c r="C530" s="5" t="inlineStr">
        <is>
          <t>Media &amp; telecom</t>
        </is>
      </c>
      <c r="D530" s="8">
        <f>IF($A530="","",BDP($A530,"LAST_PRICE"))</f>
        <v/>
      </c>
      <c r="E530" s="6">
        <f>IFERROR(IF(AND(ISNUMBER(D530),ISNUMBER('Market Data'!B530),'Market Data'!B530&gt;0),D530/'Market Data'!B530-1,""),"")</f>
        <v/>
      </c>
    </row>
    <row r="531" ht="22" customHeight="1">
      <c r="A531" s="5" t="inlineStr">
        <is>
          <t>9890 HK Equity</t>
        </is>
      </c>
      <c r="B531" s="5" t="inlineStr">
        <is>
          <t>ZX INC</t>
        </is>
      </c>
      <c r="C531" s="5" t="inlineStr">
        <is>
          <t>Media &amp; telecom</t>
        </is>
      </c>
      <c r="D531" s="8">
        <f>IF($A531="","",BDP($A531,"LAST_PRICE"))</f>
        <v/>
      </c>
      <c r="E531" s="6">
        <f>IFERROR(IF(AND(ISNUMBER(D531),ISNUMBER('Market Data'!B531),'Market Data'!B531&gt;0),D531/'Market Data'!B531-1,""),"")</f>
        <v/>
      </c>
    </row>
  </sheetData>
  <mergeCells count="1">
    <mergeCell ref="G15:O15"/>
  </mergeCells>
  <printOptions horizontalCentered="1"/>
  <pageMargins left="0.75" right="0.75" top="1" bottom="1" header="0.5" footer="0.5"/>
  <pageSetup orientation="landscape" paperSize="8" fitToHeight="0" fitToWidth="1"/>
  <drawing xmlns:r="http://schemas.openxmlformats.org/officeDocument/2006/relationships" r:id="rId1"/>
  <tableParts count="1">
    <tablePart xmlns:r="http://schemas.openxmlformats.org/officeDocument/2006/relationships" r:id="rId2"/>
  </tableParts>
</worksheet>
</file>

<file path=xl/worksheets/sheet2.xml><?xml version="1.0" encoding="utf-8"?>
<ns0:worksheet xmlns:ns0="http://schemas.openxmlformats.org/spreadsheetml/2006/main" xmlns:ns1="http://schemas.openxmlformats.org/officeDocument/2006/relationships">
  <ns0:sheetPr>
    <ns0:outlinePr summaryBelow="1" summaryRight="1"/>
    <ns0:pageSetUpPr fitToPage="1"/>
  </ns0:sheetPr>
  <ns0:dimension ref="A1:Q80"/>
  <ns0:sheetViews>
    <ns0:sheetView showGridLines="0" zoomScale="90" workbookViewId="0">
      <ns0:pane xSplit="2" ySplit="7" topLeftCell="C8" activePane="bottomRight" state="frozen"/>
      <ns0:selection pane="topRight"/>
      <ns0:selection pane="bottomLeft"/>
      <ns0:selection pane="bottomRight" activeCell="A1" sqref="A1"/>
    </ns0:sheetView>
  </ns0:sheetViews>
  <ns0:sheetFormatPr baseColWidth="8" defaultRowHeight="15"/>
  <ns0:cols>
    <ns0:col width="19" customWidth="1" min="1" max="1"/>
    <ns0:col width="19" customWidth="1" min="2" max="2"/>
    <ns0:col width="20" customWidth="1" min="3" max="3"/>
    <ns0:col width="28" customWidth="1" min="4" max="4"/>
    <ns0:col width="21" customWidth="1" min="5" max="5"/>
    <ns0:col width="21" customWidth="1" min="6" max="6"/>
    <ns0:col width="3" customWidth="1" min="7" max="7"/>
    <ns0:col width="12" customWidth="1" min="8" max="8"/>
    <ns0:col width="12" customWidth="1" min="9" max="9"/>
    <ns0:col width="12" customWidth="1" min="10" max="10"/>
    <ns0:col width="12" customWidth="1" min="11" max="11"/>
    <ns0:col width="12" customWidth="1" min="12" max="12"/>
    <ns0:col width="12" customWidth="1" min="13" max="13"/>
    <ns0:col width="12" customWidth="1" min="14" max="14"/>
    <ns0:col hidden="1" width="13" customWidth="1" min="16" max="16"/>
  </ns0:cols>
  <ns0:sheetData>
    <ns0:row r="1" ht="22" customHeight="1">
      <ns0:c r="A1" s="1" t="n"/>
      <ns0:c r="B1" s="1" t="n"/>
      <ns0:c r="C1" s="1" t="n"/>
      <ns0:c r="D1" s="1" t="n"/>
      <ns0:c r="E1" s="1" t="n"/>
      <ns0:c r="F1" s="1" t="n"/>
      <ns0:c r="G1" s="1" t="n"/>
      <ns0:c r="H1" s="1" t="n"/>
      <ns0:c r="I1" s="1" t="n"/>
      <ns0:c r="J1" s="1" t="n"/>
      <ns0:c r="K1" s="1" t="n"/>
      <ns0:c r="L1" s="1" t="n"/>
      <ns0:c r="M1" s="1" t="n"/>
      <ns0:c r="N1" s="1" t="n"/>
      <ns0:c r="O1" s="1" t="n"/>
      <ns0:c r="P1" s="1" t="n"/>
      <ns0:c r="Q1" s="1" t="n"/>
    </ns0:row>
    <ns0:row r="2" ht="22" customHeight="1">
      <ns0:c r="A2" s="2" t="inlineStr">
        <ns0:is>
          <ns0:t>A/H premiums</ns0:t>
        </ns0:is>
      </ns0:c>
      <ns0:c r="B2" s="1" t="n"/>
      <ns0:c r="C2" s="1" t="n"/>
      <ns0:c r="D2" s="1" t="n"/>
      <ns0:c r="E2" s="1" t="n"/>
      <ns0:c r="F2" s="1" t="n"/>
      <ns0:c r="G2" s="1" t="n"/>
      <ns0:c r="H2" s="1" t="n"/>
      <ns0:c r="I2" s="1" t="n"/>
      <ns0:c r="J2" s="1" t="n"/>
      <ns0:c r="K2" s="1" t="n"/>
      <ns0:c r="L2" s="1" t="n"/>
      <ns0:c r="M2" s="1" t="n"/>
      <ns0:c r="N2" s="1" t="n"/>
      <ns0:c r="O2" s="1" t="n"/>
      <ns0:c r="P2" s="1" t="n"/>
      <ns0:c r="Q2" s="1" t="n"/>
    </ns0:row>
    <ns0:row r="3" ht="22" customHeight="1">
      <ns0:c r="A3" s="1" t="n"/>
      <ns0:c r="B3" s="1" t="n"/>
      <ns0:c r="C3" s="1" t="n"/>
      <ns0:c r="D3" s="1" t="n"/>
      <ns0:c r="E3" s="1" t="n"/>
      <ns0:c r="F3" s="1" t="n"/>
      <ns0:c r="G3" s="1" t="n"/>
      <ns0:c r="H3" s="1" t="n"/>
      <ns0:c r="I3" s="1" t="n"/>
      <ns0:c r="J3" s="1" t="n"/>
      <ns0:c r="K3" s="1" t="n"/>
      <ns0:c r="L3" s="1" t="n"/>
      <ns0:c r="M3" s="1" t="n"/>
      <ns0:c r="N3" s="1" t="n"/>
      <ns0:c r="O3" s="1" t="n"/>
      <ns0:c r="P3" s="1">
        <ns0:f>IFERROR(MATCH(TEXT(VALUE(IFERROR(LEFT(TRIM($B$4),FIND(" ",TRIM($B$4))-1),IFERROR(LEFT(TRIM($B$4),FIND(".",TRIM($B$4))-1),TRIM($B$4)))),"0000"),'Market Data'!$P$3:$P$64,0),IFERROR(MATCH(TEXT(VALUE(IFERROR(LEFT(TRIM($B$4),FIND(" ",TRIM($B$4))-1),IFERROR(LEFT(TRIM($B$4),FIND(".",TRIM($B$4))-1),TRIM($B$4)))),"000000")&amp;" CH Equity",'Market Data'!$R$3:$R$64,0),0))</ns0:f>
        <ns0:v>10</ns0:v>
      </ns0:c>
      <ns0:c r="Q3" s="1" t="n"/>
    </ns0:row>
    <ns0:row r="4" ht="22" customHeight="1">
      <ns0:c r="A4" s="10" t="inlineStr">
        <ns0:is>
          <ns0:t>Chart stock</ns0:t>
        </ns0:is>
      </ns0:c>
      <ns0:c r="B4" s="11" t="inlineStr">
        <ns0:is>
          <ns0:t>3986</ns0:t>
        </ns0:is>
      </ns0:c>
      <ns0:c r="C4" s="1" t="n"/>
      <ns0:c r="D4" s="10" t="inlineStr">
        <ns0:is>
          <ns0:t>Price source</ns0:t>
        </ns0:is>
      </ns0:c>
      <ns0:c r="E4" s="12" t="inlineStr">
        <ns0:is>
          <ns0:t>Stored</ns0:t>
        </ns0:is>
      </ns0:c>
      <ns0:c r="F4" s="1" t="n"/>
      <ns0:c r="G4" s="1" t="n"/>
      <ns0:c r="H4" s="13" t="str">
        <ns0:f>IF($P$3=0,"Choose an A/H code",IFERROR(INDEX('Market Data'!$S$3:$S$64,$P$3),""))</ns0:f>
        <ns0:v>GIGADEVICE</ns0:v>
      </ns0:c>
      <ns0:c r="O4" s="1" t="n"/>
      <ns0:c r="P4" s="1" t="str">
        <ns0:f>IFERROR(INDEX('Market Data'!$Q$3:$Q$64,$P$3),"")</ns0:f>
        <ns0:v>3986 HK Equity</ns0:v>
      </ns0:c>
      <ns0:c r="Q4" s="1" t="n"/>
    </ns0:row>
    <ns0:row r="5" ht="22" customHeight="1">
      <ns0:c r="A5" s="9" t="str">
        <ns0:f>IF($E$4="Stored","Stored snapshot through 2026-10-02 | A/H requests off",IF($E$4="Bloomberg","Bloomberg current quotes and history | IPO Live updates separately","Choose Stored or Bloomberg in E4"))</ns0:f>
        <ns0:v>Stored snapshot through 2026-10-02 | A/H requests off</ns0:v>
      </ns0:c>
      <ns0:c r="G5" s="1" t="n"/>
      <ns0:c r="H5" s="1" t="n"/>
      <ns0:c r="I5" s="1" t="n"/>
      <ns0:c r="J5" s="1" t="n"/>
      <ns0:c r="K5" s="1" t="n"/>
      <ns0:c r="L5" s="1" t="n"/>
      <ns0:c r="M5" s="1" t="n"/>
      <ns0:c r="N5" s="1" t="n"/>
      <ns0:c r="O5" s="1" t="n"/>
      <ns0:c r="P5" s="1" t="str">
        <ns0:f>IFERROR(INDEX('Market Data'!$R$3:$R$64,$P$3),"")</ns0:f>
        <ns0:v>603986 CH Equity</ns0:v>
      </ns0:c>
      <ns0:c r="Q5" s="1" t="n"/>
    </ns0:row>
    <ns0:row r="6" ht="22" customHeight="1">
      <ns0:c r="A6" s="1" t="n"/>
      <ns0:c r="B6" s="1" t="n"/>
      <ns0:c r="C6" s="1" t="n"/>
      <ns0:c r="D6" s="1" t="n"/>
      <ns0:c r="E6" s="1" t="n"/>
      <ns0:c r="F6" s="1" t="n"/>
      <ns0:c r="G6" s="1" t="n"/>
      <ns0:c r="H6" s="1" t="n"/>
      <ns0:c r="I6" s="1" t="n"/>
      <ns0:c r="J6" s="1" t="n"/>
      <ns0:c r="K6" s="1" t="n"/>
      <ns0:c r="L6" s="1" t="n"/>
      <ns0:c r="M6" s="1" t="n"/>
      <ns0:c r="N6" s="1" t="n"/>
      <ns0:c r="O6" s="1" t="n"/>
      <ns0:c r="P6" s="1">
        <ns0:f>IFERROR(INDEX('Market Data'!$V$3:$V$64,$P$3),"")</ns0:f>
        <ns0:v>46035</ns0:v>
      </ns0:c>
      <ns0:c r="Q6" s="1" t="n"/>
    </ns0:row>
    <ns0:row r="7" ht="30" customHeight="1">
      <ns0:c r="A7" s="4" t="inlineStr">
        <ns0:is>
          <ns0:t>A code</ns0:t>
        </ns0:is>
      </ns0:c>
      <ns0:c r="B7" s="4" t="inlineStr">
        <ns0:is>
          <ns0:t>H code</ns0:t>
        </ns0:is>
      </ns0:c>
      <ns0:c r="C7" s="4" t="inlineStr">
        <ns0:is>
          <ns0:t>Sector</ns0:t>
        </ns0:is>
      </ns0:c>
      <ns0:c r="D7" s="4" t="inlineStr">
        <ns0:is>
          <ns0:t>Subsector</ns0:t>
        </ns0:is>
      </ns0:c>
      <ns0:c r="E7" s="4" t="inlineStr">
        <ns0:is>
          <ns0:t>Premium at IPO</ns0:t>
        </ns0:is>
      </ns0:c>
      <ns0:c r="F7" s="4" t="inlineStr">
        <ns0:is>
          <ns0:t>Premium latest</ns0:t>
        </ns0:is>
      </ns0:c>
      <ns0:c r="G7" s="1" t="n"/>
      <ns0:c r="H7" s="1" t="n"/>
      <ns0:c r="I7" s="1" t="n"/>
      <ns0:c r="J7" s="1" t="n"/>
      <ns0:c r="K7" s="1" t="n"/>
      <ns0:c r="L7" s="1" t="n"/>
      <ns0:c r="M7" s="1" t="n"/>
      <ns0:c r="N7" s="1" t="n"/>
      <ns0:c r="O7" s="1" t="n"/>
      <ns0:c r="P7" s="1">
        <ns0:f>IFERROR(INDEX('Market Data'!$X$3:$X$64,$P$3),"")</ns0:f>
        <ns0:v>1302</ns0:v>
      </ns0:c>
      <ns0:c r="Q7" s="1" t="n"/>
    </ns0:row>
    <ns0:row r="8" ht="22" customHeight="1">
      <ns0:c r="A8" s="5" t="str">
        <ns0:f>'Market Data'!R3</ns0:f>
        <ns0:v>300866 CH Equity</ns0:v>
      </ns0:c>
      <ns0:c r="B8" s="5" t="str">
        <ns0:f>'Market Data'!Q3</ns0:f>
        <ns0:v>668 HK Equity</ns0:v>
      </ns0:c>
      <ns0:c r="C8" s="5" t="str">
        <ns0:f>'Market Data'!T3</ns0:f>
        <ns0:v>Technology</ns0:v>
      </ns0:c>
      <ns0:c r="D8" s="5" t="str">
        <ns0:f>'Market Data'!U3</ns0:f>
        <ns0:v>Hardware &amp; electronics</ns0:v>
      </ns0:c>
      <ns0:c r="E8" s="6">
        <ns0:f>IF('Market Data'!Z3=1,"Class ratio review",IF(ISNUMBER('Market Data'!W3),'Market Data'!W3,""))</ns0:f>
        <ns0:v>0.2520261144162763</ns0:v>
      </ns0:c>
      <ns0:c r="F8" s="6">
        <ns0:f>'Market Data'!AE3</ns0:f>
        <ns0:v>0.2793389441151368</ns0:v>
      </ns0:c>
      <ns0:c r="G8" s="1" t="n"/>
      <ns0:c r="H8" s="1" t="n"/>
      <ns0:c r="I8" s="1" t="n"/>
      <ns0:c r="J8" s="1" t="n"/>
      <ns0:c r="K8" s="1" t="n"/>
      <ns0:c r="L8" s="1" t="n"/>
      <ns0:c r="M8" s="1" t="n"/>
      <ns0:c r="N8" s="1" t="n"/>
      <ns0:c r="O8" s="1" t="n"/>
      <ns0:c r="P8" s="1">
        <ns0:f>IFERROR(INDEX('Market Data'!$Y$3:$Y$64,$P$3),"")</ns0:f>
        <ns0:v>178</ns0:v>
      </ns0:c>
      <ns0:c r="Q8" s="1" t="n"/>
    </ns0:row>
    <ns0:row r="9" ht="22" customHeight="1">
      <ns0:c r="A9" s="5" t="str">
        <ns0:f>'Market Data'!R4</ns0:f>
        <ns0:v>300408 CH Equity</ns0:v>
      </ns0:c>
      <ns0:c r="B9" s="5" t="str">
        <ns0:f>'Market Data'!Q4</ns0:f>
        <ns0:v>6951 HK Equity</ns0:v>
      </ns0:c>
      <ns0:c r="C9" s="5" t="str">
        <ns0:f>'Market Data'!T4</ns0:f>
        <ns0:v>Technology</ns0:v>
      </ns0:c>
      <ns0:c r="D9" s="5" t="str">
        <ns0:f>'Market Data'!U4</ns0:f>
        <ns0:v>Hardware &amp; electronics</ns0:v>
      </ns0:c>
      <ns0:c r="E9" s="6">
        <ns0:f>IF('Market Data'!Z4=1,"Class ratio review",IF(ISNUMBER('Market Data'!W4),'Market Data'!W4,""))</ns0:f>
        <ns0:v>0.500860406715397</ns0:v>
      </ns0:c>
      <ns0:c r="F9" s="6">
        <ns0:f>'Market Data'!AE4</ns0:f>
        <ns0:v>0.10638216390041078</ns0:v>
      </ns0:c>
      <ns0:c r="G9" s="1" t="n"/>
      <ns0:c r="H9" s="1" t="n"/>
      <ns0:c r="I9" s="1" t="n"/>
      <ns0:c r="J9" s="1" t="n"/>
      <ns0:c r="K9" s="1" t="n"/>
      <ns0:c r="L9" s="1" t="n"/>
      <ns0:c r="M9" s="1" t="n"/>
      <ns0:c r="N9" s="1" t="n"/>
      <ns0:c r="O9" s="1" t="n"/>
      <ns0:c r="P9" s="1">
        <ns0:f>IFERROR(INDEX('Market Data'!$Z$3:$Z$64,$P$3),"")</ns0:f>
        <ns0:v>0</ns0:v>
      </ns0:c>
      <ns0:c r="Q9" s="1" t="n"/>
    </ns0:row>
    <ns0:row r="10" ht="22" customHeight="1">
      <ns0:c r="A10" s="5" t="str">
        <ns0:f>'Market Data'!R5</ns0:f>
        <ns0:v>688630 CH Equity</ns0:v>
      </ns0:c>
      <ns0:c r="B10" s="5" t="str">
        <ns0:f>'Market Data'!Q5</ns0:f>
        <ns0:v>9630 HK Equity</ns0:v>
      </ns0:c>
      <ns0:c r="C10" s="5" t="str">
        <ns0:f>'Market Data'!T5</ns0:f>
        <ns0:v>Technology</ns0:v>
      </ns0:c>
      <ns0:c r="D10" s="5" t="str">
        <ns0:f>'Market Data'!U5</ns0:f>
        <ns0:v>Semiconductors</ns0:v>
      </ns0:c>
      <ns0:c r="E10" s="6">
        <ns0:f>IF('Market Data'!Z5=1,"Class ratio review",IF(ISNUMBER('Market Data'!W5),'Market Data'!W5,""))</ns0:f>
        <ns0:v>1.536823708458356</ns0:v>
      </ns0:c>
      <ns0:c r="F10" s="6">
        <ns0:f>'Market Data'!AE5</ns0:f>
        <ns0:v>0.4213796470314264</ns0:v>
      </ns0:c>
      <ns0:c r="G10" s="1" t="n"/>
      <ns0:c r="H10" s="1" t="n"/>
      <ns0:c r="I10" s="1" t="n"/>
      <ns0:c r="J10" s="1" t="n"/>
      <ns0:c r="K10" s="1" t="n"/>
      <ns0:c r="L10" s="1" t="n"/>
      <ns0:c r="M10" s="1" t="n"/>
      <ns0:c r="N10" s="1" t="n"/>
      <ns0:c r="O10" s="1" t="n"/>
      <ns0:c r="P10" s="1">
        <ns0:f>IFERROR(IF(AND($E$4="Bloomberg",$P$3&gt;0,COUNT('Live History'!$A$5:$A$3004)&gt;0,COUNT('Live History'!$D$5:$D$3004)&gt;0,COUNT('Live History'!$G$5:$G$3004)&gt;0,MIN('Live History'!$A$5:$A$3004)=$P$6,MAX('Live History'!$A$5:$A$3004)&lt;=TODAY(),MAX('Live History'!$A$5:$A$3004)&gt;=MIN(TODAY()-8,$P$17),ABS(INDEX('Live History'!$B$5:$B$3004,MATCH($P$6,'Live History'!$A$5:$A$3004,0))-$P$16)&lt;=MAX(0.005,$P$16*0.0005)),1,0),0)</ns0:f>
        <ns0:v>0</ns0:v>
      </ns0:c>
      <ns0:c r="Q10" s="1" t="n"/>
    </ns0:row>
    <ns0:row r="11" ht="22" customHeight="1">
      <ns0:c r="A11" s="5" t="str">
        <ns0:f>'Market Data'!R6</ns0:f>
        <ns0:v>603083 CH Equity</ns0:v>
      </ns0:c>
      <ns0:c r="B11" s="5" t="str">
        <ns0:f>'Market Data'!Q6</ns0:f>
        <ns0:v>6166 HK Equity</ns0:v>
      </ns0:c>
      <ns0:c r="C11" s="5" t="str">
        <ns0:f>'Market Data'!T6</ns0:f>
        <ns0:v>Technology</ns0:v>
      </ns0:c>
      <ns0:c r="D11" s="5" t="str">
        <ns0:f>'Market Data'!U6</ns0:f>
        <ns0:v>Hardware &amp; electronics</ns0:v>
      </ns0:c>
      <ns0:c r="E11" s="6">
        <ns0:f>IF('Market Data'!Z6=1,"Class ratio review",IF(ISNUMBER('Market Data'!W6),'Market Data'!W6,""))</ns0:f>
        <ns0:v>0.8847835136622919</ns0:v>
      </ns0:c>
      <ns0:c r="F11" s="6">
        <ns0:f>'Market Data'!AE6</ns0:f>
        <ns0:v>1.1313998095215636</ns0:v>
      </ns0:c>
      <ns0:c r="G11" s="1" t="n"/>
      <ns0:c r="H11" s="1" t="n"/>
      <ns0:c r="I11" s="1" t="n"/>
      <ns0:c r="J11" s="1" t="n"/>
      <ns0:c r="K11" s="1" t="n"/>
      <ns0:c r="L11" s="1" t="n"/>
      <ns0:c r="M11" s="1" t="n"/>
      <ns0:c r="N11" s="1" t="n"/>
      <ns0:c r="O11" s="1" t="n"/>
      <ns0:c r="P11" s="1">
        <ns0:f>MAX(1,MIN(3000,IF($E$4="Stored",N($P$8),IF($P$10=1,COUNT('Live History'!$A$5:$A$3004)+$P$21,0))))</ns0:f>
        <ns0:v>178</ns0:v>
      </ns0:c>
      <ns0:c r="Q11" s="1" t="n"/>
    </ns0:row>
    <ns0:row r="12" ht="22" customHeight="1">
      <ns0:c r="A12" s="5" t="str">
        <ns0:f>'Market Data'!R7</ns0:f>
        <ns0:v>001389 CH Equity</ns0:v>
      </ns0:c>
      <ns0:c r="B12" s="5" t="str">
        <ns0:f>'Market Data'!Q7</ns0:f>
        <ns0:v>1989 HK Equity</ns0:v>
      </ns0:c>
      <ns0:c r="C12" s="5" t="str">
        <ns0:f>'Market Data'!T7</ns0:f>
        <ns0:v>Technology</ns0:v>
      </ns0:c>
      <ns0:c r="D12" s="5" t="str">
        <ns0:f>'Market Data'!U7</ns0:f>
        <ns0:v>Hardware &amp; electronics</ns0:v>
      </ns0:c>
      <ns0:c r="E12" s="6">
        <ns0:f>IF('Market Data'!Z7=1,"Class ratio review",IF(ISNUMBER('Market Data'!W7),'Market Data'!W7,""))</ns0:f>
        <ns0:v>0.8355779793107252</ns0:v>
      </ns0:c>
      <ns0:c r="F12" s="6">
        <ns0:f>'Market Data'!AE7</ns0:f>
        <ns0:v>0.7504761791350376</ns0:v>
      </ns0:c>
      <ns0:c r="G12" s="1" t="n"/>
      <ns0:c r="H12" s="1" t="n"/>
      <ns0:c r="I12" s="1" t="n"/>
      <ns0:c r="J12" s="1" t="n"/>
      <ns0:c r="K12" s="1" t="n"/>
      <ns0:c r="L12" s="1" t="n"/>
      <ns0:c r="M12" s="1" t="n"/>
      <ns0:c r="N12" s="1" t="n"/>
      <ns0:c r="O12" s="1" t="n"/>
      <ns0:c r="P12" s="1">
        <ns0:f>IFERROR(IF(AND($E$4="Bloomberg",$P$3&gt;0,ISNUMBER($P$18),$P$18&gt;0,ISNUMBER($P$19),$P$19&gt;0,ISNUMBER($P$20),$P$20&gt;0),1,0),0)</ns0:f>
        <ns0:v>0</ns0:v>
      </ns0:c>
      <ns0:c r="Q12" s="1" t="n"/>
    </ns0:row>
    <ns0:row r="13" ht="22" customHeight="1">
      <ns0:c r="A13" s="5" t="str">
        <ns0:f>'Market Data'!R8</ns0:f>
        <ns0:v>301377 CH Equity</ns0:v>
      </ns0:c>
      <ns0:c r="B13" s="5" t="str">
        <ns0:f>'Market Data'!Q8</ns0:f>
        <ns0:v>1377 HK Equity</ns0:v>
      </ns0:c>
      <ns0:c r="C13" s="5" t="str">
        <ns0:f>'Market Data'!T8</ns0:f>
        <ns0:v>Technology</ns0:v>
      </ns0:c>
      <ns0:c r="D13" s="5" t="str">
        <ns0:f>'Market Data'!U8</ns0:f>
        <ns0:v>Hardware &amp; electronics</ns0:v>
      </ns0:c>
      <ns0:c r="E13" s="6">
        <ns0:f>IF('Market Data'!Z8=1,"Class ratio review",IF(ISNUMBER('Market Data'!W8),'Market Data'!W8,""))</ns0:f>
        <ns0:v>0.4368609141676048</ns0:v>
      </ns0:c>
      <ns0:c r="F13" s="6">
        <ns0:f>'Market Data'!AE8</ns0:f>
        <ns0:v>0.5312561440815489</ns0:v>
      </ns0:c>
      <ns0:c r="G13" s="1" t="n"/>
      <ns0:c r="H13" s="1" t="n"/>
      <ns0:c r="I13" s="1" t="n"/>
      <ns0:c r="J13" s="1" t="n"/>
      <ns0:c r="K13" s="1" t="n"/>
      <ns0:c r="L13" s="1" t="n"/>
      <ns0:c r="M13" s="1" t="n"/>
      <ns0:c r="N13" s="1" t="n"/>
      <ns0:c r="O13" s="1" t="n"/>
      <ns0:c r="P13" s="1">
        <ns0:f>IFERROR(MATCH($P$6,'Live History'!$A$5:$A$3004,0),1)</ns0:f>
        <ns0:v>1</ns0:v>
      </ns0:c>
      <ns0:c r="Q13" s="1" t="n"/>
    </ns0:row>
    <ns0:row r="14" ht="22" customHeight="1">
      <ns0:c r="A14" s="5" t="str">
        <ns0:f>'Market Data'!R9</ns0:f>
        <ns0:v>002747 CH Equity</ns0:v>
      </ns0:c>
      <ns0:c r="B14" s="5" t="str">
        <ns0:f>'Market Data'!Q9</ns0:f>
        <ns0:v>2715 HK Equity</ns0:v>
      </ns0:c>
      <ns0:c r="C14" s="5" t="str">
        <ns0:f>'Market Data'!T9</ns0:f>
        <ns0:v>Technology</ns0:v>
      </ns0:c>
      <ns0:c r="D14" s="5" t="str">
        <ns0:f>'Market Data'!U9</ns0:f>
        <ns0:v>Robotics &amp; autonomous driving</ns0:v>
      </ns0:c>
      <ns0:c r="E14" s="6">
        <ns0:f>IF('Market Data'!Z9=1,"Class ratio review",IF(ISNUMBER('Market Data'!W9),'Market Data'!W9,""))</ns0:f>
        <ns0:v>0.6403917085845023</ns0:v>
      </ns0:c>
      <ns0:c r="F14" s="6">
        <ns0:f>'Market Data'!AE9</ns0:f>
        <ns0:v>1.3437640741414598</ns0:v>
      </ns0:c>
      <ns0:c r="G14" s="1" t="n"/>
      <ns0:c r="H14" s="1" t="n"/>
      <ns0:c r="I14" s="1" t="n"/>
      <ns0:c r="J14" s="1" t="n"/>
      <ns0:c r="K14" s="1" t="n"/>
      <ns0:c r="L14" s="1" t="n"/>
      <ns0:c r="M14" s="1" t="n"/>
      <ns0:c r="N14" s="1" t="n"/>
      <ns0:c r="O14" s="1" t="n"/>
      <ns0:c r="P14" s="1" t="n"/>
      <ns0:c r="Q14" s="1" t="n"/>
    </ns0:row>
    <ns0:row r="15" ht="22" customHeight="1">
      <ns0:c r="A15" s="5" t="str">
        <ns0:f>'Market Data'!R10</ns0:f>
        <ns0:v>300638 CH Equity</ns0:v>
      </ns0:c>
      <ns0:c r="B15" s="5" t="str">
        <ns0:f>'Market Data'!Q10</ns0:f>
        <ns0:v>638 HK Equity</ns0:v>
      </ns0:c>
      <ns0:c r="C15" s="5" t="str">
        <ns0:f>'Market Data'!T10</ns0:f>
        <ns0:v>Technology</ns0:v>
      </ns0:c>
      <ns0:c r="D15" s="5" t="str">
        <ns0:f>'Market Data'!U10</ns0:f>
        <ns0:v>Hardware &amp; electronics</ns0:v>
      </ns0:c>
      <ns0:c r="E15" s="6">
        <ns0:f>IF('Market Data'!Z10=1,"Class ratio review",IF(ISNUMBER('Market Data'!W10),'Market Data'!W10,""))</ns0:f>
        <ns0:v>0.5188276997277903</ns0:v>
      </ns0:c>
      <ns0:c r="F15" s="6">
        <ns0:f>'Market Data'!AE10</ns0:f>
        <ns0:v>2.3886574963641065</ns0:v>
      </ns0:c>
      <ns0:c r="G15" s="1" t="n"/>
      <ns0:c r="H15" s="1" t="n"/>
      <ns0:c r="I15" s="1" t="n"/>
      <ns0:c r="J15" s="1" t="n"/>
      <ns0:c r="K15" s="1" t="n"/>
      <ns0:c r="L15" s="1" t="n"/>
      <ns0:c r="M15" s="1" t="n"/>
      <ns0:c r="N15" s="1" t="n"/>
      <ns0:c r="O15" s="1" t="n"/>
      <ns0:c r="P15" s="1" t="n"/>
      <ns0:c r="Q15" s="1" t="n"/>
    </ns0:row>
    <ns0:row r="16" ht="22" customHeight="1">
      <ns0:c r="A16" s="5" t="str">
        <ns0:f>'Market Data'!R11</ns0:f>
        <ns0:v>688279 CH Equity</ns0:v>
      </ns0:c>
      <ns0:c r="B16" s="5" t="str">
        <ns0:f>'Market Data'!Q11</ns0:f>
        <ns0:v>1304 HK Equity</ns0:v>
      </ns0:c>
      <ns0:c r="C16" s="5" t="str">
        <ns0:f>'Market Data'!T11</ns0:f>
        <ns0:v>Technology</ns0:v>
      </ns0:c>
      <ns0:c r="D16" s="5" t="str">
        <ns0:f>'Market Data'!U11</ns0:f>
        <ns0:v>Semiconductors</ns0:v>
      </ns0:c>
      <ns0:c r="E16" s="6">
        <ns0:f>IF('Market Data'!Z11=1,"Class ratio review",IF(ISNUMBER('Market Data'!W11),'Market Data'!W11,""))</ns0:f>
        <ns0:v>0.6632199096283972</ns0:v>
      </ns0:c>
      <ns0:c r="F16" s="6">
        <ns0:f>'Market Data'!AE11</ns0:f>
        <ns0:v>0.9616210408026276</ns0:v>
      </ns0:c>
      <ns0:c r="G16" s="1" t="n"/>
      <ns0:c r="H16" s="1" t="n"/>
      <ns0:c r="I16" s="1" t="n"/>
      <ns0:c r="J16" s="1" t="n"/>
      <ns0:c r="K16" s="1" t="n"/>
      <ns0:c r="L16" s="1" t="n"/>
      <ns0:c r="M16" s="1" t="n"/>
      <ns0:c r="N16" s="1" t="n"/>
      <ns0:c r="O16" s="1" t="n"/>
      <ns0:c r="P16" s="1">
        <ns0:f>IFERROR(INDEX('Market Data'!$AA$3:$AA$64,$P$3),"")</ns0:f>
        <ns0:v>222.8</ns0:v>
      </ns0:c>
      <ns0:c r="Q16" s="1" t="n"/>
    </ns0:row>
    <ns0:row r="17" ht="22" customHeight="1">
      <ns0:c r="A17" s="5" t="str">
        <ns0:f>'Market Data'!R12</ns0:f>
        <ns0:v>603986 CH Equity</ns0:v>
      </ns0:c>
      <ns0:c r="B17" s="5" t="str">
        <ns0:f>'Market Data'!Q12</ns0:f>
        <ns0:v>3986 HK Equity</ns0:v>
      </ns0:c>
      <ns0:c r="C17" s="5" t="str">
        <ns0:f>'Market Data'!T12</ns0:f>
        <ns0:v>Technology</ns0:v>
      </ns0:c>
      <ns0:c r="D17" s="5" t="str">
        <ns0:f>'Market Data'!U12</ns0:f>
        <ns0:v>Semiconductors</ns0:v>
      </ns0:c>
      <ns0:c r="E17" s="6">
        <ns0:f>IF('Market Data'!Z12=1,"Class ratio review",IF(ISNUMBER('Market Data'!W12),'Market Data'!W12,""))</ns0:f>
        <ns0:v>0.8053598039459299</ns0:v>
      </ns0:c>
      <ns0:c r="F17" s="6">
        <ns0:f>'Market Data'!AE12</ns0:f>
        <ns0:v>-0.08939929271121771</ns0:v>
      </ns0:c>
      <ns0:c r="G17" s="1" t="n"/>
      <ns0:c r="H17" s="1" t="n"/>
      <ns0:c r="I17" s="1" t="n"/>
      <ns0:c r="J17" s="1" t="n"/>
      <ns0:c r="K17" s="1" t="n"/>
      <ns0:c r="L17" s="1" t="n"/>
      <ns0:c r="M17" s="1" t="n"/>
      <ns0:c r="N17" s="1" t="n"/>
      <ns0:c r="O17" s="1" t="n"/>
      <ns0:c r="P17" s="1">
        <ns0:f>IFERROR(INDEX('Market Data'!$AB$3:$AB$64,$P$3),"")</ns0:f>
        <ns0:v>46297</ns0:v>
      </ns0:c>
      <ns0:c r="Q17" s="1" t="n"/>
    </ns0:row>
    <ns0:row r="18" ht="22" customHeight="1">
      <ns0:c r="A18" s="5" t="str">
        <ns0:f>'Market Data'!R13</ns0:f>
        <ns0:v>002768 CH Equity</ns0:v>
      </ns0:c>
      <ns0:c r="B18" s="5" t="str">
        <ns0:f>'Market Data'!Q13</ns0:f>
        <ns0:v>2768 HK Equity</ns0:v>
      </ns0:c>
      <ns0:c r="C18" s="5" t="str">
        <ns0:f>'Market Data'!T13</ns0:f>
        <ns0:v>Technology</ns0:v>
      </ns0:c>
      <ns0:c r="D18" s="5" t="str">
        <ns0:f>'Market Data'!U13</ns0:f>
        <ns0:v>Hardware &amp; electronics</ns0:v>
      </ns0:c>
      <ns0:c r="E18" s="6">
        <ns0:f>IF('Market Data'!Z13=1,"Class ratio review",IF(ISNUMBER('Market Data'!W13),'Market Data'!W13,""))</ns0:f>
        <ns0:v>0.7410647090938356</ns0:v>
      </ns0:c>
      <ns0:c r="F18" s="6">
        <ns0:f>'Market Data'!AE13</ns0:f>
        <ns0:v>1.1692279870688633</ns0:v>
      </ns0:c>
      <ns0:c r="G18" s="1" t="n"/>
      <ns0:c r="H18" s="1" t="n"/>
      <ns0:c r="I18" s="1" t="n"/>
      <ns0:c r="J18" s="1" t="n"/>
      <ns0:c r="K18" s="1" t="n"/>
      <ns0:c r="L18" s="1" t="n"/>
      <ns0:c r="M18" s="1" t="n"/>
      <ns0:c r="N18" s="1" t="n"/>
      <ns0:c r="O18" s="1" t="n"/>
      <ns0:c r="P18" s="1">
        <ns0:f>IFERROR(INDEX('Market Data'!$AC$3:$AC$64,$P$3),"")</ns0:f>
        <ns0:v>353.9</ns0:v>
      </ns0:c>
      <ns0:c r="Q18" s="1" t="n"/>
    </ns0:row>
    <ns0:row r="19" ht="22" customHeight="1">
      <ns0:c r="A19" s="5" t="str">
        <ns0:f>'Market Data'!R14</ns0:f>
        <ns0:v>603296 CH Equity</ns0:v>
      </ns0:c>
      <ns0:c r="B19" s="5" t="str">
        <ns0:f>'Market Data'!Q14</ns0:f>
        <ns0:v>3296 HK Equity</ns0:v>
      </ns0:c>
      <ns0:c r="C19" s="5" t="str">
        <ns0:f>'Market Data'!T14</ns0:f>
        <ns0:v>Technology</ns0:v>
      </ns0:c>
      <ns0:c r="D19" s="5" t="str">
        <ns0:f>'Market Data'!U14</ns0:f>
        <ns0:v>Hardware &amp; electronics</ns0:v>
      </ns0:c>
      <ns0:c r="E19" s="6" t="str">
        <ns0:f>IF('Market Data'!Z14=1,"Class ratio review",IF(ISNUMBER('Market Data'!W14),'Market Data'!W14,""))</ns0:f>
        <ns0:v>Class ratio review</ns0:v>
      </ns0:c>
      <ns0:c r="F19" s="6" t="str">
        <ns0:f>'Market Data'!AE14</ns0:f>
        <ns0:v>Class ratio review</ns0:v>
      </ns0:c>
      <ns0:c r="G19" s="1" t="n"/>
      <ns0:c r="H19" s="1" t="n"/>
      <ns0:c r="I19" s="1" t="n"/>
      <ns0:c r="J19" s="1" t="n"/>
      <ns0:c r="K19" s="1" t="n"/>
      <ns0:c r="L19" s="1" t="n"/>
      <ns0:c r="M19" s="1" t="n"/>
      <ns0:c r="N19" s="1" t="n"/>
      <ns0:c r="O19" s="1" t="n"/>
      <ns0:c r="P19" s="1">
        <ns0:f>IFERROR(INDEX('Market Data'!$AD$3:$AD$64,$P$3),"")</ns0:f>
        <ns0:v>454.8</ns0:v>
      </ns0:c>
      <ns0:c r="Q19" s="1" t="n"/>
    </ns0:row>
    <ns0:row r="20" ht="22" customHeight="1">
      <ns0:c r="A20" s="5" t="str">
        <ns0:f>'Market Data'!R15</ns0:f>
        <ns0:v>300223 CH Equity</ns0:v>
      </ns0:c>
      <ns0:c r="B20" s="5" t="str">
        <ns0:f>'Market Data'!Q15</ns0:f>
        <ns0:v>3223 HK Equity</ns0:v>
      </ns0:c>
      <ns0:c r="C20" s="5" t="str">
        <ns0:f>'Market Data'!T15</ns0:f>
        <ns0:v>Technology</ns0:v>
      </ns0:c>
      <ns0:c r="D20" s="5" t="str">
        <ns0:f>'Market Data'!U15</ns0:f>
        <ns0:v>Semiconductors</ns0:v>
      </ns0:c>
      <ns0:c r="E20" s="6">
        <ns0:f>IF('Market Data'!Z15=1,"Class ratio review",IF(ISNUMBER('Market Data'!W15),'Market Data'!W15,""))</ns0:f>
        <ns0:v>0.5588992835998536</ns0:v>
      </ns0:c>
      <ns0:c r="F20" s="6">
        <ns0:f>'Market Data'!AE15</ns0:f>
        <ns0:v>0.6981352631295665</ns0:v>
      </ns0:c>
      <ns0:c r="G20" s="1" t="n"/>
      <ns0:c r="H20" s="1" t="n"/>
      <ns0:c r="I20" s="1" t="n"/>
      <ns0:c r="J20" s="1" t="n"/>
      <ns0:c r="K20" s="1" t="n"/>
      <ns0:c r="L20" s="1" t="n"/>
      <ns0:c r="M20" s="1" t="n"/>
      <ns0:c r="N20" s="1" t="n"/>
      <ns0:c r="O20" s="1" t="n"/>
      <ns0:c r="P20" s="1">
        <ns0:f>IFERROR(INDEX('Market Data'!$AK$3:$AK$64,$P$3),"")</ns0:f>
        <ns0:v>1.170220971107483</ns0:v>
      </ns0:c>
      <ns0:c r="Q20" s="1" t="n"/>
    </ns0:row>
    <ns0:row r="21" ht="22" customHeight="1">
      <ns0:c r="A21" s="5" t="str">
        <ns0:f>'Market Data'!R16</ns0:f>
        <ns0:v>002803 CH Equity</ns0:v>
      </ns0:c>
      <ns0:c r="B21" s="5" t="str">
        <ns0:f>'Market Data'!Q16</ns0:f>
        <ns0:v>2603 HK Equity</ns0:v>
      </ns0:c>
      <ns0:c r="C21" s="5" t="str">
        <ns0:f>'Market Data'!T16</ns0:f>
        <ns0:v>Technology</ns0:v>
      </ns0:c>
      <ns0:c r="D21" s="5" t="str">
        <ns0:f>'Market Data'!U16</ns0:f>
        <ns0:v>Internet &amp; fintech</ns0:v>
      </ns0:c>
      <ns0:c r="E21" s="6">
        <ns0:f>IF('Market Data'!Z16=1,"Class ratio review",IF(ISNUMBER('Market Data'!W16),'Market Data'!W16,""))</ns0:f>
        <ns0:v>1.051770687103271</ns0:v>
      </ns0:c>
      <ns0:c r="F21" s="6">
        <ns0:f>'Market Data'!AE16</ns0:f>
        <ns0:v>0.9853539358940027</ns0:v>
      </ns0:c>
      <ns0:c r="G21" s="1" t="n"/>
      <ns0:c r="H21" s="1" t="n"/>
      <ns0:c r="I21" s="1" t="n"/>
      <ns0:c r="J21" s="1" t="n"/>
      <ns0:c r="K21" s="1" t="n"/>
      <ns0:c r="L21" s="1" t="n"/>
      <ns0:c r="M21" s="1" t="n"/>
      <ns0:c r="N21" s="1" t="n"/>
      <ns0:c r="O21" s="1" t="n"/>
      <ns0:c r="P21" s="1">
        <ns0:f>IFERROR(IF(AND($P$10=1,$P$12=1,MAX('Live History'!$A$5:$A$3004)&lt;TODAY()),1,0),0)</ns0:f>
        <ns0:v>0</ns0:v>
      </ns0:c>
      <ns0:c r="Q21" s="1" t="n"/>
    </ns0:row>
    <ns0:row r="22" ht="22" customHeight="1">
      <ns0:c r="A22" s="5" t="str">
        <ns0:f>'Market Data'!R17</ns0:f>
        <ns0:v>300433 CH Equity</ns0:v>
      </ns0:c>
      <ns0:c r="B22" s="5" t="str">
        <ns0:f>'Market Data'!Q17</ns0:f>
        <ns0:v>6613 HK Equity</ns0:v>
      </ns0:c>
      <ns0:c r="C22" s="5" t="str">
        <ns0:f>'Market Data'!T17</ns0:f>
        <ns0:v>Technology</ns0:v>
      </ns0:c>
      <ns0:c r="D22" s="5" t="str">
        <ns0:f>'Market Data'!U17</ns0:f>
        <ns0:v>Hardware &amp; electronics</ns0:v>
      </ns0:c>
      <ns0:c r="E22" s="6">
        <ns0:f>IF('Market Data'!Z17=1,"Class ratio review",IF(ISNUMBER('Market Data'!W17),'Market Data'!W17,""))</ns0:f>
        <ns0:v>0.4038102437954136</ns0:v>
      </ns0:c>
      <ns0:c r="F22" s="6">
        <ns0:f>'Market Data'!AE17</ns0:f>
        <ns0:v>0.7701235756780325</ns0:v>
      </ns0:c>
      <ns0:c r="G22" s="1" t="n"/>
      <ns0:c r="H22" s="1" t="n"/>
      <ns0:c r="I22" s="1" t="n"/>
      <ns0:c r="J22" s="1" t="n"/>
      <ns0:c r="K22" s="1" t="n"/>
      <ns0:c r="L22" s="1" t="n"/>
      <ns0:c r="M22" s="1" t="n"/>
      <ns0:c r="N22" s="1" t="n"/>
      <ns0:c r="O22" s="1" t="n"/>
      <ns0:c r="P22" s="1" t="n"/>
      <ns0:c r="Q22" s="1" t="n"/>
    </ns0:row>
    <ns0:row r="23" ht="22" customHeight="1">
      <ns0:c r="A23" s="5" t="str">
        <ns0:f>'Market Data'!R18</ns0:f>
        <ns0:v>002600 CH Equity</ns0:v>
      </ns0:c>
      <ns0:c r="B23" s="5" t="str">
        <ns0:f>'Market Data'!Q18</ns0:f>
        <ns0:v>1688 HK Equity</ns0:v>
      </ns0:c>
      <ns0:c r="C23" s="5" t="str">
        <ns0:f>'Market Data'!T18</ns0:f>
        <ns0:v>Technology</ns0:v>
      </ns0:c>
      <ns0:c r="D23" s="5" t="str">
        <ns0:f>'Market Data'!U18</ns0:f>
        <ns0:v>Hardware &amp; electronics</ns0:v>
      </ns0:c>
      <ns0:c r="E23" s="6">
        <ns0:f>IF('Market Data'!Z18=1,"Class ratio review",IF(ISNUMBER('Market Data'!W18),'Market Data'!W18,""))</ns0:f>
        <ns0:v>1.027135402608245</ns0:v>
      </ns0:c>
      <ns0:c r="F23" s="6">
        <ns0:f>'Market Data'!AE18</ns0:f>
        <ns0:v>1.5415402443796893</ns0:v>
      </ns0:c>
      <ns0:c r="G23" s="1" t="n"/>
      <ns0:c r="H23" s="1" t="n"/>
      <ns0:c r="I23" s="1" t="n"/>
      <ns0:c r="J23" s="1" t="n"/>
      <ns0:c r="K23" s="1" t="n"/>
      <ns0:c r="L23" s="1" t="n"/>
      <ns0:c r="M23" s="1" t="n"/>
      <ns0:c r="N23" s="1" t="n"/>
      <ns0:c r="O23" s="1" t="n"/>
      <ns0:c r="P23" s="1" t="n"/>
      <ns0:c r="Q23" s="1" t="n"/>
    </ns0:row>
    <ns0:row r="24" ht="22" customHeight="1">
      <ns0:c r="A24" s="5" t="str">
        <ns0:f>'Market Data'!R19</ns0:f>
        <ns0:v>603341 CH Equity</ns0:v>
      </ns0:c>
      <ns0:c r="B24" s="5" t="str">
        <ns0:f>'Market Data'!Q19</ns0:f>
        <ns0:v>9611 HK Equity</ns0:v>
      </ns0:c>
      <ns0:c r="C24" s="5" t="str">
        <ns0:f>'Market Data'!T19</ns0:f>
        <ns0:v>Technology</ns0:v>
      </ns0:c>
      <ns0:c r="D24" s="5" t="str">
        <ns0:f>'Market Data'!U19</ns0:f>
        <ns0:v>Hardware &amp; electronics</ns0:v>
      </ns0:c>
      <ns0:c r="E24" s="6">
        <ns0:f>IF('Market Data'!Z19=1,"Class ratio review",IF(ISNUMBER('Market Data'!W19),'Market Data'!W19,""))</ns0:f>
        <ns0:v>0.7562628822941935</ns0:v>
      </ns0:c>
      <ns0:c r="F24" s="6">
        <ns0:f>'Market Data'!AE19</ns0:f>
        <ns0:v>1.0438234321773052</ns0:v>
      </ns0:c>
      <ns0:c r="G24" s="1" t="n"/>
      <ns0:c r="H24" s="14" t="str">
        <ns0:f>IF($P$3=0,"",IF($P$9=1,"Premium withheld pending share-class ratio review",IF($E$4="Stored","Stored through "&amp;TEXT($P$17,"dd-mmm-yy"),IF($P$10=1,"Bloomberg through "&amp;TEXT(MAX('Live History'!$A$5:$A$3004),"dd-mmm-yy")&amp;IF($P$21=1," plus today's live quote",""),"Bloomberg history unavailable or failed validation. Choose Stored to view the saved chart."))))</ns0:f>
        <ns0:v>Stored through 02-Oct-26</ns0:v>
      </ns0:c>
      <ns0:c r="O24" s="1" t="n"/>
      <ns0:c r="P24" s="1" t="n"/>
      <ns0:c r="Q24" s="1" t="n"/>
    </ns0:row>
    <ns0:row r="25" ht="22" customHeight="1">
      <ns0:c r="A25" s="5" t="str">
        <ns0:f>'Market Data'!R20</ns0:f>
        <ns0:v>002475 CH Equity</ns0:v>
      </ns0:c>
      <ns0:c r="B25" s="5" t="str">
        <ns0:f>'Market Data'!Q20</ns0:f>
        <ns0:v>2475 HK Equity</ns0:v>
      </ns0:c>
      <ns0:c r="C25" s="5" t="str">
        <ns0:f>'Market Data'!T20</ns0:f>
        <ns0:v>Technology</ns0:v>
      </ns0:c>
      <ns0:c r="D25" s="5" t="str">
        <ns0:f>'Market Data'!U20</ns0:f>
        <ns0:v>Hardware &amp; electronics</ns0:v>
      </ns0:c>
      <ns0:c r="E25" s="6">
        <ns0:f>IF('Market Data'!Z20=1,"Class ratio review",IF(ISNUMBER('Market Data'!W20),'Market Data'!W20,""))</ns0:f>
        <ns0:v>0.1393804807691597</ns0:v>
      </ns0:c>
      <ns0:c r="F25" s="6">
        <ns0:f>'Market Data'!AE20</ns0:f>
        <ns0:v>0.0924272446051535</ns0:v>
      </ns0:c>
      <ns0:c r="G25" s="1" t="n"/>
      <ns0:c r="O25" s="1" t="n"/>
      <ns0:c r="P25" s="1" t="n"/>
      <ns0:c r="Q25" s="1" t="n"/>
    </ns0:row>
    <ns0:row r="26" ht="22" customHeight="1">
      <ns0:c r="A26" s="5" t="str">
        <ns0:f>'Market Data'!R21</ns0:f>
        <ns0:v>002881 CH Equity</ns0:v>
      </ns0:c>
      <ns0:c r="B26" s="5" t="str">
        <ns0:f>'Market Data'!Q21</ns0:f>
        <ns0:v>3268 HK Equity</ns0:v>
      </ns0:c>
      <ns0:c r="C26" s="5" t="str">
        <ns0:f>'Market Data'!T21</ns0:f>
        <ns0:v>Technology</ns0:v>
      </ns0:c>
      <ns0:c r="D26" s="5" t="str">
        <ns0:f>'Market Data'!U21</ns0:f>
        <ns0:v>Hardware &amp; electronics</ns0:v>
      </ns0:c>
      <ns0:c r="E26" s="6">
        <ns0:f>IF('Market Data'!Z21=1,"Class ratio review",IF(ISNUMBER('Market Data'!W21),'Market Data'!W21,""))</ns0:f>
        <ns0:v>0.92405825180059</ns0:v>
      </ns0:c>
      <ns0:c r="F26" s="6">
        <ns0:f>'Market Data'!AE21</ns0:f>
        <ns0:v>1.8359469362667626</ns0:v>
      </ns0:c>
      <ns0:c r="G26" s="1" t="n"/>
      <ns0:c r="H26" s="1" t="n"/>
      <ns0:c r="I26" s="1" t="n"/>
      <ns0:c r="J26" s="1" t="n"/>
      <ns0:c r="K26" s="1" t="n"/>
      <ns0:c r="L26" s="1" t="n"/>
      <ns0:c r="M26" s="1" t="n"/>
      <ns0:c r="N26" s="1" t="n"/>
      <ns0:c r="O26" s="1" t="n"/>
      <ns0:c r="P26" s="1" t="n"/>
      <ns0:c r="Q26" s="1" t="n"/>
    </ns0:row>
    <ns0:row r="27" ht="22" customHeight="1">
      <ns0:c r="A27" s="5" t="str">
        <ns0:f>'Market Data'!R22</ns0:f>
        <ns0:v>000333 CH Equity</ns0:v>
      </ns0:c>
      <ns0:c r="B27" s="5" t="str">
        <ns0:f>'Market Data'!Q22</ns0:f>
        <ns0:v>300 HK Equity</ns0:v>
      </ns0:c>
      <ns0:c r="C27" s="5" t="str">
        <ns0:f>'Market Data'!T22</ns0:f>
        <ns0:v>Technology</ns0:v>
      </ns0:c>
      <ns0:c r="D27" s="5" t="str">
        <ns0:f>'Market Data'!U22</ns0:f>
        <ns0:v>Hardware &amp; electronics</ns0:v>
      </ns0:c>
      <ns0:c r="E27" s="6">
        <ns0:f>IF('Market Data'!Z22=1,"Class ratio review",IF(ISNUMBER('Market Data'!W22),'Market Data'!W22,""))</ns0:f>
        <ns0:v>0.2738505993011224</ns0:v>
      </ns0:c>
      <ns0:c r="F27" s="6">
        <ns0:f>'Market Data'!AE22</ns0:f>
        <ns0:v>0.02835655277794169</ns0:v>
      </ns0:c>
      <ns0:c r="G27" s="1" t="n"/>
      <ns0:c r="H27" s="15" t="inlineStr">
        <ns0:is>
          <ns0:t>IPO premium uses the H offer price and the prior A/FX closes.</ns0:t>
        </ns0:is>
      </ns0:c>
      <ns0:c r="O27" s="1" t="n"/>
      <ns0:c r="P27" s="1" t="n"/>
      <ns0:c r="Q27" s="1" t="n"/>
    </ns0:row>
    <ns0:row r="28" ht="22" customHeight="1">
      <ns0:c r="A28" s="5" t="str">
        <ns0:f>'Market Data'!R23</ns0:f>
        <ns0:v>688008 CH Equity</ns0:v>
      </ns0:c>
      <ns0:c r="B28" s="5" t="str">
        <ns0:f>'Market Data'!Q23</ns0:f>
        <ns0:v>6809 HK Equity</ns0:v>
      </ns0:c>
      <ns0:c r="C28" s="5" t="str">
        <ns0:f>'Market Data'!T23</ns0:f>
        <ns0:v>Technology</ns0:v>
      </ns0:c>
      <ns0:c r="D28" s="5" t="str">
        <ns0:f>'Market Data'!U23</ns0:f>
        <ns0:v>Semiconductors</ns0:v>
      </ns0:c>
      <ns0:c r="E28" s="6">
        <ns0:f>IF('Market Data'!Z23=1,"Class ratio review",IF(ISNUMBER('Market Data'!W23),'Market Data'!W23,""))</ns0:f>
        <ns0:v>0.7228570052912511</ns0:v>
      </ns0:c>
      <ns0:c r="F28" s="6">
        <ns0:f>'Market Data'!AE23</ns0:f>
        <ns0:v>-0.1825020557156255</ns0:v>
      </ns0:c>
      <ns0:c r="G28" s="1" t="n"/>
      <ns0:c r="O28" s="1" t="n"/>
      <ns0:c r="P28" s="1" t="n"/>
      <ns0:c r="Q28" s="1" t="n"/>
    </ns0:row>
    <ns0:row r="29" ht="22" customHeight="1">
      <ns0:c r="A29" s="5" t="str">
        <ns0:f>'Market Data'!R24</ns0:f>
        <ns0:v>688249 CH Equity</ns0:v>
      </ns0:c>
      <ns0:c r="B29" s="5" t="str">
        <ns0:f>'Market Data'!Q24</ns0:f>
        <ns0:v>2249 HK Equity</ns0:v>
      </ns0:c>
      <ns0:c r="C29" s="5" t="str">
        <ns0:f>'Market Data'!T24</ns0:f>
        <ns0:v>Technology</ns0:v>
      </ns0:c>
      <ns0:c r="D29" s="5" t="str">
        <ns0:f>'Market Data'!U24</ns0:f>
        <ns0:v>Semiconductors</ns0:v>
      </ns0:c>
      <ns0:c r="E29" s="6">
        <ns0:f>IF('Market Data'!Z24=1,"Class ratio review",IF(ISNUMBER('Market Data'!W24),'Market Data'!W24,""))</ns0:f>
        <ns0:v>1.325998291622374</ns0:v>
      </ns0:c>
      <ns0:c r="F29" s="6">
        <ns0:f>'Market Data'!AE24</ns0:f>
        <ns0:v>0.4916453015554203</ns0:v>
      </ns0:c>
      <ns0:c r="G29" s="1" t="n"/>
      <ns0:c r="H29" s="1" t="n"/>
      <ns0:c r="I29" s="1" t="n"/>
      <ns0:c r="J29" s="1" t="n"/>
      <ns0:c r="K29" s="1" t="n"/>
      <ns0:c r="L29" s="1" t="n"/>
      <ns0:c r="M29" s="1" t="n"/>
      <ns0:c r="N29" s="1" t="n"/>
      <ns0:c r="O29" s="1" t="n"/>
      <ns0:c r="P29" s="1" t="n"/>
      <ns0:c r="Q29" s="1" t="n"/>
    </ns0:row>
    <ns0:row r="30" ht="22" customHeight="1">
      <ns0:c r="A30" s="5" t="str">
        <ns0:f>'Market Data'!R25</ns0:f>
        <ns0:v>688052 CH Equity</ns0:v>
      </ns0:c>
      <ns0:c r="B30" s="5" t="str">
        <ns0:f>'Market Data'!Q25</ns0:f>
        <ns0:v>2676 HK Equity</ns0:v>
      </ns0:c>
      <ns0:c r="C30" s="5" t="str">
        <ns0:f>'Market Data'!T25</ns0:f>
        <ns0:v>Technology</ns0:v>
      </ns0:c>
      <ns0:c r="D30" s="5" t="str">
        <ns0:f>'Market Data'!U25</ns0:f>
        <ns0:v>Semiconductors</ns0:v>
      </ns0:c>
      <ns0:c r="E30" s="6">
        <ns0:f>IF('Market Data'!Z25=1,"Class ratio review",IF(ISNUMBER('Market Data'!W25),'Market Data'!W25,""))</ns0:f>
        <ns0:v>0.5014413283611168</ns0:v>
      </ns0:c>
      <ns0:c r="F30" s="6">
        <ns0:f>'Market Data'!AE25</ns0:f>
        <ns0:v>0.6267448228948256</ns0:v>
      </ns0:c>
      <ns0:c r="G30" s="1" t="n"/>
      <ns0:c r="H30" s="14" t="str">
        <ns0:f>IF(OR($E$4&lt;&gt;"Bloomberg",$P$3=0),"",IF($P$10&lt;&gt;1,"Same-date check awaits valid Bloomberg history",IF(COUNTIF('Chart Data'!$I$5:$I$3004,"&lt;&gt;0")=0,"No matching snapshot dates to compare",IF(COUNTIF('Chart Data'!$I$5:$I$3004,-1)=0,"Same-date check: "&amp;COUNTIF('Chart Data'!$I$5:$I$3004,1)&amp;" closes agree","Same-date check: "&amp;COUNTIF('Chart Data'!$I$5:$I$3004,-1)&amp;" of "&amp;COUNTIF('Chart Data'!$I$5:$I$3004,"&lt;&gt;0")&amp;" dates differ; review H / A / FX closes"))))</ns0:f>
        <ns0:v/>
      </ns0:c>
      <ns0:c r="O30" s="1" t="n"/>
      <ns0:c r="P30" s="1" t="n"/>
      <ns0:c r="Q30" s="1" t="n"/>
    </ns0:row>
    <ns0:row r="31" ht="22" customHeight="1">
      <ns0:c r="A31" s="5" t="str">
        <ns0:f>'Market Data'!R26</ns0:f>
        <ns0:v>300077 CH Equity</ns0:v>
      </ns0:c>
      <ns0:c r="B31" s="5" t="str">
        <ns0:f>'Market Data'!Q26</ns0:f>
        <ns0:v>2701 HK Equity</ns0:v>
      </ns0:c>
      <ns0:c r="C31" s="5" t="str">
        <ns0:f>'Market Data'!T26</ns0:f>
        <ns0:v>Technology</ns0:v>
      </ns0:c>
      <ns0:c r="D31" s="5" t="str">
        <ns0:f>'Market Data'!U26</ns0:f>
        <ns0:v>Semiconductors</ns0:v>
      </ns0:c>
      <ns0:c r="E31" s="6">
        <ns0:f>IF('Market Data'!Z26=1,"Class ratio review",IF(ISNUMBER('Market Data'!W26),'Market Data'!W26,""))</ns0:f>
        <ns0:v>1.289784059811521</ns0:v>
      </ns0:c>
      <ns0:c r="F31" s="6">
        <ns0:f>'Market Data'!AE26</ns0:f>
        <ns0:v>2.1436972900582223</ns0:v>
      </ns0:c>
      <ns0:c r="G31" s="1" t="n"/>
      <ns0:c r="O31" s="1" t="n"/>
      <ns0:c r="P31" s="1" t="n"/>
      <ns0:c r="Q31" s="1" t="n"/>
    </ns0:row>
    <ns0:row r="32" ht="22" customHeight="1">
      <ns0:c r="A32" s="5" t="str">
        <ns0:f>'Market Data'!R27</ns0:f>
        <ns0:v>603501 CH Equity</ns0:v>
      </ns0:c>
      <ns0:c r="B32" s="5" t="str">
        <ns0:f>'Market Data'!Q27</ns0:f>
        <ns0:v>501 HK Equity</ns0:v>
      </ns0:c>
      <ns0:c r="C32" s="5" t="str">
        <ns0:f>'Market Data'!T27</ns0:f>
        <ns0:v>Technology</ns0:v>
      </ns0:c>
      <ns0:c r="D32" s="5" t="str">
        <ns0:f>'Market Data'!U27</ns0:f>
        <ns0:v>Semiconductors</ns0:v>
      </ns0:c>
      <ns0:c r="E32" s="6">
        <ns0:f>IF('Market Data'!Z27=1,"Class ratio review",IF(ISNUMBER('Market Data'!W27),'Market Data'!W27,""))</ns0:f>
        <ns0:v>0.3999864869445338</ns0:v>
      </ns0:c>
      <ns0:c r="F32" s="6">
        <ns0:f>'Market Data'!AE27</ns0:f>
        <ns0:v>0.3714022243014419</ns0:v>
      </ns0:c>
      <ns0:c r="G32" s="1" t="n"/>
      <ns0:c r="O32" s="1" t="n"/>
      <ns0:c r="P32" s="1" t="n"/>
      <ns0:c r="Q32" s="1" t="n"/>
    </ns0:row>
    <ns0:row r="33" ht="22" customHeight="1">
      <ns0:c r="A33" s="5" t="str">
        <ns0:f>'Market Data'!R28</ns0:f>
        <ns0:v>300661 CH Equity</ns0:v>
      </ns0:c>
      <ns0:c r="B33" s="5" t="str">
        <ns0:f>'Market Data'!Q28</ns0:f>
        <ns0:v>3661 HK Equity</ns0:v>
      </ns0:c>
      <ns0:c r="C33" s="5" t="str">
        <ns0:f>'Market Data'!T28</ns0:f>
        <ns0:v>Technology</ns0:v>
      </ns0:c>
      <ns0:c r="D33" s="5" t="str">
        <ns0:f>'Market Data'!U28</ns0:f>
        <ns0:v>Semiconductors</ns0:v>
      </ns0:c>
      <ns0:c r="E33" s="6">
        <ns0:f>IF('Market Data'!Z28=1,"Class ratio review",IF(ISNUMBER('Market Data'!W28),'Market Data'!W28,""))</ns0:f>
        <ns0:v>0.8731941725166752</ns0:v>
      </ns0:c>
      <ns0:c r="F33" s="6">
        <ns0:f>'Market Data'!AE28</ns0:f>
        <ns0:v>0.5381043914818808</ns0:v>
      </ns0:c>
      <ns0:c r="G33" s="1" t="n"/>
      <ns0:c r="H33" s="1" t="n"/>
      <ns0:c r="I33" s="1" t="n"/>
      <ns0:c r="J33" s="1" t="n"/>
      <ns0:c r="K33" s="1" t="n"/>
      <ns0:c r="L33" s="1" t="n"/>
      <ns0:c r="M33" s="1" t="n"/>
      <ns0:c r="N33" s="1" t="n"/>
      <ns0:c r="O33" s="1" t="n"/>
      <ns0:c r="P33" s="1" t="n"/>
      <ns0:c r="Q33" s="1" t="n"/>
    </ns0:row>
    <ns0:row r="34" ht="22" customHeight="1">
      <ns0:c r="A34" s="5" t="str">
        <ns0:f>'Market Data'!R29</ns0:f>
        <ns0:v>688234 CH Equity</ns0:v>
      </ns0:c>
      <ns0:c r="B34" s="5" t="str">
        <ns0:f>'Market Data'!Q29</ns0:f>
        <ns0:v>2631 HK Equity</ns0:v>
      </ns0:c>
      <ns0:c r="C34" s="5" t="str">
        <ns0:f>'Market Data'!T29</ns0:f>
        <ns0:v>Technology</ns0:v>
      </ns0:c>
      <ns0:c r="D34" s="5" t="str">
        <ns0:f>'Market Data'!U29</ns0:f>
        <ns0:v>Semiconductors</ns0:v>
      </ns0:c>
      <ns0:c r="E34" s="6">
        <ns0:f>IF('Market Data'!Z29=1,"Class ratio review",IF(ISNUMBER('Market Data'!W29),'Market Data'!W29,""))</ns0:f>
        <ns0:v>0.7004447788835688</ns0:v>
      </ns0:c>
      <ns0:c r="F34" s="6">
        <ns0:f>'Market Data'!AE29</ns0:f>
        <ns0:v>0.7807487926225969</ns0:v>
      </ns0:c>
      <ns0:c r="G34" s="1" t="n"/>
      <ns0:c r="H34" s="1" t="n"/>
      <ns0:c r="I34" s="1" t="n"/>
      <ns0:c r="J34" s="1" t="n"/>
      <ns0:c r="K34" s="1" t="n"/>
      <ns0:c r="L34" s="1" t="n"/>
      <ns0:c r="M34" s="1" t="n"/>
      <ns0:c r="N34" s="1" t="n"/>
      <ns0:c r="O34" s="1" t="n"/>
      <ns0:c r="P34" s="1" t="n"/>
      <ns0:c r="Q34" s="1" t="n"/>
    </ns0:row>
    <ns0:row r="35" ht="22" customHeight="1">
      <ns0:c r="A35" s="5" t="str">
        <ns0:f>'Market Data'!R30</ns0:f>
        <ns0:v>300476 CH Equity</ns0:v>
      </ns0:c>
      <ns0:c r="B35" s="5" t="str">
        <ns0:f>'Market Data'!Q30</ns0:f>
        <ns0:v>2476 HK Equity</ns0:v>
      </ns0:c>
      <ns0:c r="C35" s="5" t="str">
        <ns0:f>'Market Data'!T30</ns0:f>
        <ns0:v>Technology</ns0:v>
      </ns0:c>
      <ns0:c r="D35" s="5" t="str">
        <ns0:f>'Market Data'!U30</ns0:f>
        <ns0:v>Hardware &amp; electronics</ns0:v>
      </ns0:c>
      <ns0:c r="E35" s="6">
        <ns0:f>IF('Market Data'!Z30=1,"Class ratio review",IF(ISNUMBER('Market Data'!W30),'Market Data'!W30,""))</ns0:f>
        <ns0:v>0.8767286635181304</ns0:v>
      </ns0:c>
      <ns0:c r="F35" s="6">
        <ns0:f>'Market Data'!AE30</ns0:f>
        <ns0:v>0.26139144143466764</ns0:v>
      </ns0:c>
      <ns0:c r="G35" s="1" t="n"/>
      <ns0:c r="H35" s="1" t="n"/>
      <ns0:c r="I35" s="1" t="n"/>
      <ns0:c r="J35" s="1" t="n"/>
      <ns0:c r="K35" s="1" t="n"/>
      <ns0:c r="L35" s="1" t="n"/>
      <ns0:c r="M35" s="1" t="n"/>
      <ns0:c r="N35" s="1" t="n"/>
      <ns0:c r="O35" s="1" t="n"/>
      <ns0:c r="P35" s="1" t="n"/>
      <ns0:c r="Q35" s="1" t="n"/>
    </ns0:row>
    <ns0:row r="36" ht="22" customHeight="1">
      <ns0:c r="A36" s="5" t="str">
        <ns0:f>'Market Data'!R31</ns0:f>
        <ns0:v>300308 CH Equity</ns0:v>
      </ns0:c>
      <ns0:c r="B36" s="5" t="str">
        <ns0:f>'Market Data'!Q31</ns0:f>
        <ns0:v>3308 HK Equity</ns0:v>
      </ns0:c>
      <ns0:c r="C36" s="5" t="str">
        <ns0:f>'Market Data'!T31</ns0:f>
        <ns0:v>Technology</ns0:v>
      </ns0:c>
      <ns0:c r="D36" s="5" t="str">
        <ns0:f>'Market Data'!U31</ns0:f>
        <ns0:v>Hardware &amp; electronics</ns0:v>
      </ns0:c>
      <ns0:c r="E36" s="6">
        <ns0:f>IF('Market Data'!Z31=1,"Class ratio review",IF(ISNUMBER('Market Data'!W31),'Market Data'!W31,""))</ns0:f>
        <ns0:v>0.1236453059984712</ns0:v>
      </ns0:c>
      <ns0:c r="F36" s="6">
        <ns0:f>'Market Data'!AE31</ns0:f>
        <ns0:v>-0.1174874609308455</ns0:v>
      </ns0:c>
      <ns0:c r="G36" s="1" t="n"/>
      <ns0:c r="H36" s="1" t="n"/>
      <ns0:c r="I36" s="1" t="n"/>
      <ns0:c r="J36" s="1" t="n"/>
      <ns0:c r="K36" s="1" t="n"/>
      <ns0:c r="L36" s="1" t="n"/>
      <ns0:c r="M36" s="1" t="n"/>
      <ns0:c r="N36" s="1" t="n"/>
      <ns0:c r="O36" s="1" t="n"/>
      <ns0:c r="P36" s="1" t="n"/>
      <ns0:c r="Q36" s="1" t="n"/>
    </ns0:row>
    <ns0:row r="37" ht="22" customHeight="1">
      <ns0:c r="A37" s="5" t="str">
        <ns0:f>'Market Data'!R32</ns0:f>
        <ns0:v>002821 CH Equity</ns0:v>
      </ns0:c>
      <ns0:c r="B37" s="5" t="str">
        <ns0:f>'Market Data'!Q32</ns0:f>
        <ns0:v>6821 HK Equity</ns0:v>
      </ns0:c>
      <ns0:c r="C37" s="5" t="str">
        <ns0:f>'Market Data'!T32</ns0:f>
        <ns0:v>Healthcare</ns0:v>
      </ns0:c>
      <ns0:c r="D37" s="5" t="str">
        <ns0:f>'Market Data'!U32</ns0:f>
        <ns0:v>CXO / pharma services</ns0:v>
      </ns0:c>
      <ns0:c r="E37" s="6">
        <ns0:f>IF('Market Data'!Z32=1,"Class ratio review",IF(ISNUMBER('Market Data'!W32),'Market Data'!W32,""))</ns0:f>
        <ns0:v>0.5063530555213849</ns0:v>
      </ns0:c>
      <ns0:c r="F37" s="6">
        <ns0:f>'Market Data'!AE32</ns0:f>
        <ns0:v>0.32489243439551885</ns0:v>
      </ns0:c>
      <ns0:c r="G37" s="1" t="n"/>
      <ns0:c r="H37" s="1" t="n"/>
      <ns0:c r="I37" s="1" t="n"/>
      <ns0:c r="J37" s="1" t="n"/>
      <ns0:c r="K37" s="1" t="n"/>
      <ns0:c r="L37" s="1" t="n"/>
      <ns0:c r="M37" s="1" t="n"/>
      <ns0:c r="N37" s="1" t="n"/>
      <ns0:c r="O37" s="1" t="n"/>
      <ns0:c r="P37" s="1" t="n"/>
      <ns0:c r="Q37" s="1" t="n"/>
    </ns0:row>
    <ns0:row r="38" ht="22" customHeight="1">
      <ns0:c r="A38" s="5" t="str">
        <ns0:f>'Market Data'!R33</ns0:f>
        <ns0:v>688796 CH Equity</ns0:v>
      </ns0:c>
      <ns0:c r="B38" s="5" t="str">
        <ns0:f>'Market Data'!Q33</ns0:f>
        <ns0:v>2315 HK Equity</ns0:v>
      </ns0:c>
      <ns0:c r="C38" s="5" t="str">
        <ns0:f>'Market Data'!T33</ns0:f>
        <ns0:v>Healthcare</ns0:v>
      </ns0:c>
      <ns0:c r="D38" s="5" t="str">
        <ns0:f>'Market Data'!U33</ns0:f>
        <ns0:v>Biotech pre-revenue (18A)</ns0:v>
      </ns0:c>
      <ns0:c r="E38" s="6" t="str">
        <ns0:f>IF('Market Data'!Z33=1,"Class ratio review",IF(ISNUMBER('Market Data'!W33),'Market Data'!W33,""))</ns0:f>
        <ns0:v/>
      </ns0:c>
      <ns0:c r="F38" s="6">
        <ns0:f>'Market Data'!AE33</ns0:f>
        <ns0:v>1.1993908451785855</ns0:v>
      </ns0:c>
      <ns0:c r="G38" s="1" t="n"/>
      <ns0:c r="H38" s="1" t="n"/>
      <ns0:c r="I38" s="1" t="n"/>
      <ns0:c r="J38" s="1" t="n"/>
      <ns0:c r="K38" s="1" t="n"/>
      <ns0:c r="L38" s="1" t="n"/>
      <ns0:c r="M38" s="1" t="n"/>
      <ns0:c r="N38" s="1" t="n"/>
      <ns0:c r="O38" s="1" t="n"/>
      <ns0:c r="P38" s="1" t="n"/>
      <ns0:c r="Q38" s="1" t="n"/>
    </ns0:row>
    <ns0:row r="39" ht="22" customHeight="1">
      <ns0:c r="A39" s="5" t="str">
        <ns0:f>'Market Data'!R34</ns0:f>
        <ns0:v>301087 CH Equity</ns0:v>
      </ns0:c>
      <ns0:c r="B39" s="5" t="str">
        <ns0:f>'Market Data'!Q34</ns0:f>
        <ns0:v>1187 HK Equity</ns0:v>
      </ns0:c>
      <ns0:c r="C39" s="5" t="str">
        <ns0:f>'Market Data'!T34</ns0:f>
        <ns0:v>Healthcare</ns0:v>
      </ns0:c>
      <ns0:c r="D39" s="5" t="str">
        <ns0:f>'Market Data'!U34</ns0:f>
        <ns0:v>Medical devices</ns0:v>
      </ns0:c>
      <ns0:c r="E39" s="6">
        <ns0:f>IF('Market Data'!Z34=1,"Class ratio review",IF(ISNUMBER('Market Data'!W34),'Market Data'!W34,""))</ns0:f>
        <ns0:v>0.5459973984264159</ns0:v>
      </ns0:c>
      <ns0:c r="F39" s="6">
        <ns0:f>'Market Data'!AE34</ns0:f>
        <ns0:v>1.168154786440251</ns0:v>
      </ns0:c>
      <ns0:c r="G39" s="1" t="n"/>
      <ns0:c r="H39" s="1" t="n"/>
      <ns0:c r="I39" s="1" t="n"/>
      <ns0:c r="J39" s="1" t="n"/>
      <ns0:c r="K39" s="1" t="n"/>
      <ns0:c r="L39" s="1" t="n"/>
      <ns0:c r="M39" s="1" t="n"/>
      <ns0:c r="N39" s="1" t="n"/>
      <ns0:c r="O39" s="1" t="n"/>
      <ns0:c r="P39" s="1" t="n"/>
      <ns0:c r="Q39" s="1" t="n"/>
    </ns0:row>
    <ns0:row r="40" ht="22" customHeight="1">
      <ns0:c r="A40" s="5" t="str">
        <ns0:f>'Market Data'!R35</ns0:f>
        <ns0:v>600276 CH Equity</ns0:v>
      </ns0:c>
      <ns0:c r="B40" s="5" t="str">
        <ns0:f>'Market Data'!Q35</ns0:f>
        <ns0:v>1276 HK Equity</ns0:v>
      </ns0:c>
      <ns0:c r="C40" s="5" t="str">
        <ns0:f>'Market Data'!T35</ns0:f>
        <ns0:v>Healthcare</ns0:v>
      </ns0:c>
      <ns0:c r="D40" s="5" t="str">
        <ns0:f>'Market Data'!U35</ns0:f>
        <ns0:v>Biopharma commercial</ns0:v>
      </ns0:c>
      <ns0:c r="E40" s="6">
        <ns0:f>IF('Market Data'!Z35=1,"Class ratio review",IF(ISNUMBER('Market Data'!W35),'Market Data'!W35,""))</ns0:f>
        <ns0:v>0.3717927521392789</ns0:v>
      </ns0:c>
      <ns0:c r="F40" s="6">
        <ns0:f>'Market Data'!AE35</ns0:f>
        <ns0:v>0.11225190971150223</ns0:v>
      </ns0:c>
      <ns0:c r="G40" s="1" t="n"/>
      <ns0:c r="H40" s="1" t="n"/>
      <ns0:c r="I40" s="1" t="n"/>
      <ns0:c r="J40" s="1" t="n"/>
      <ns0:c r="K40" s="1" t="n"/>
      <ns0:c r="L40" s="1" t="n"/>
      <ns0:c r="M40" s="1" t="n"/>
      <ns0:c r="N40" s="1" t="n"/>
      <ns0:c r="O40" s="1" t="n"/>
      <ns0:c r="P40" s="1" t="n"/>
      <ns0:c r="Q40" s="1" t="n"/>
    </ns0:row>
    <ns0:row r="41" ht="22" customHeight="1">
      <ns0:c r="A41" s="5" t="str">
        <ns0:f>'Market Data'!R36</ns0:f>
        <ns0:v>603127 CH Equity</ns0:v>
      </ns0:c>
      <ns0:c r="B41" s="5" t="str">
        <ns0:f>'Market Data'!Q36</ns0:f>
        <ns0:v>6127 HK Equity</ns0:v>
      </ns0:c>
      <ns0:c r="C41" s="5" t="str">
        <ns0:f>'Market Data'!T36</ns0:f>
        <ns0:v>Healthcare</ns0:v>
      </ns0:c>
      <ns0:c r="D41" s="5" t="str">
        <ns0:f>'Market Data'!U36</ns0:f>
        <ns0:v>CXO / pharma services</ns0:v>
      </ns0:c>
      <ns0:c r="E41" s="6">
        <ns0:f>IF('Market Data'!Z36=1,"Class ratio review",IF(ISNUMBER('Market Data'!W36),'Market Data'!W36,""))</ns0:f>
        <ns0:v>0.1228036468155336</ns0:v>
      </ns0:c>
      <ns0:c r="F41" s="6">
        <ns0:f>'Market Data'!AE36</ns0:f>
        <ns0:v>0.896511961722515</ns0:v>
      </ns0:c>
      <ns0:c r="G41" s="1" t="n"/>
      <ns0:c r="H41" s="1" t="n"/>
      <ns0:c r="I41" s="1" t="n"/>
      <ns0:c r="J41" s="1" t="n"/>
      <ns0:c r="K41" s="1" t="n"/>
      <ns0:c r="L41" s="1" t="n"/>
      <ns0:c r="M41" s="1" t="n"/>
      <ns0:c r="N41" s="1" t="n"/>
      <ns0:c r="O41" s="1" t="n"/>
      <ns0:c r="P41" s="1" t="n"/>
      <ns0:c r="Q41" s="1" t="n"/>
    </ns0:row>
    <ns0:row r="42" ht="22" customHeight="1">
      <ns0:c r="A42" s="5" t="str">
        <ns0:f>'Market Data'!R37</ns0:f>
        <ns0:v>688062 CH Equity</ns0:v>
      </ns0:c>
      <ns0:c r="B42" s="5" t="str">
        <ns0:f>'Market Data'!Q37</ns0:f>
        <ns0:v>2493 HK Equity</ns0:v>
      </ns0:c>
      <ns0:c r="C42" s="5" t="str">
        <ns0:f>'Market Data'!T37</ns0:f>
        <ns0:v>Healthcare</ns0:v>
      </ns0:c>
      <ns0:c r="D42" s="5" t="str">
        <ns0:f>'Market Data'!U37</ns0:f>
        <ns0:v>Biotech pre-revenue (18A)</ns0:v>
      </ns0:c>
      <ns0:c r="E42" s="6">
        <ns0:f>IF('Market Data'!Z37=1,"Class ratio review",IF(ISNUMBER('Market Data'!W37),'Market Data'!W37,""))</ns0:f>
        <ns0:v>0.5353276435442151</ns0:v>
      </ns0:c>
      <ns0:c r="F42" s="6">
        <ns0:f>'Market Data'!AE37</ns0:f>
        <ns0:v>0.5154585756104568</ns0:v>
      </ns0:c>
      <ns0:c r="G42" s="1" t="n"/>
      <ns0:c r="H42" s="1" t="n"/>
      <ns0:c r="I42" s="1" t="n"/>
      <ns0:c r="J42" s="1" t="n"/>
      <ns0:c r="K42" s="1" t="n"/>
      <ns0:c r="L42" s="1" t="n"/>
      <ns0:c r="M42" s="1" t="n"/>
      <ns0:c r="N42" s="1" t="n"/>
      <ns0:c r="O42" s="1" t="n"/>
      <ns0:c r="P42" s="1" t="n"/>
      <ns0:c r="Q42" s="1" t="n"/>
    </ns0:row>
    <ns0:row r="43" ht="22" customHeight="1">
      <ns0:c r="A43" s="5" t="str">
        <ns0:f>'Market Data'!R38</ns0:f>
        <ns0:v>603345 CH Equity</ns0:v>
      </ns0:c>
      <ns0:c r="B43" s="5" t="str">
        <ns0:f>'Market Data'!Q38</ns0:f>
        <ns0:v>2648 HK Equity</ns0:v>
      </ns0:c>
      <ns0:c r="C43" s="5" t="str">
        <ns0:f>'Market Data'!T38</ns0:f>
        <ns0:v>Consumer</ns0:v>
      </ns0:c>
      <ns0:c r="D43" s="5" t="str">
        <ns0:f>'Market Data'!U38</ns0:f>
        <ns0:v>Beverages / packaged food</ns0:v>
      </ns0:c>
      <ns0:c r="E43" s="6">
        <ns0:f>IF('Market Data'!Z38=1,"Class ratio review",IF(ISNUMBER('Market Data'!W38),'Market Data'!W38,""))</ns0:f>
        <ns0:v>0.4180238171815873</ns0:v>
      </ns0:c>
      <ns0:c r="F43" s="6">
        <ns0:f>'Market Data'!AE38</ns0:f>
        <ns0:v>0.5319957972948746</ns0:v>
      </ns0:c>
      <ns0:c r="G43" s="1" t="n"/>
      <ns0:c r="H43" s="1" t="n"/>
      <ns0:c r="I43" s="1" t="n"/>
      <ns0:c r="J43" s="1" t="n"/>
      <ns0:c r="K43" s="1" t="n"/>
      <ns0:c r="L43" s="1" t="n"/>
      <ns0:c r="M43" s="1" t="n"/>
      <ns0:c r="N43" s="1" t="n"/>
      <ns0:c r="O43" s="1" t="n"/>
      <ns0:c r="P43" s="1" t="n"/>
      <ns0:c r="Q43" s="1" t="n"/>
    </ns0:row>
    <ns0:row r="44" ht="22" customHeight="1">
      <ns0:c r="A44" s="5" t="str">
        <ns0:f>'Market Data'!R39</ns0:f>
        <ns0:v>601888 CH Equity</ns0:v>
      </ns0:c>
      <ns0:c r="B44" s="5" t="str">
        <ns0:f>'Market Data'!Q39</ns0:f>
        <ns0:v>1880 HK Equity</ns0:v>
      </ns0:c>
      <ns0:c r="C44" s="5" t="str">
        <ns0:f>'Market Data'!T39</ns0:f>
        <ns0:v>Consumer</ns0:v>
      </ns0:c>
      <ns0:c r="D44" s="5" t="str">
        <ns0:f>'Market Data'!U39</ns0:f>
        <ns0:v>Retail / distribution</ns0:v>
      </ns0:c>
      <ns0:c r="E44" s="6">
        <ns0:f>IF('Market Data'!Z39=1,"Class ratio review",IF(ISNUMBER('Market Data'!W39),'Market Data'!W39,""))</ns0:f>
        <ns0:v>0.3793294035935706</ns0:v>
      </ns0:c>
      <ns0:c r="F44" s="6">
        <ns0:f>'Market Data'!AE39</ns0:f>
        <ns0:v>0.3126072122496495</ns0:v>
      </ns0:c>
      <ns0:c r="G44" s="1" t="n"/>
      <ns0:c r="H44" s="1" t="n"/>
      <ns0:c r="I44" s="1" t="n"/>
      <ns0:c r="J44" s="1" t="n"/>
      <ns0:c r="K44" s="1" t="n"/>
      <ns0:c r="L44" s="1" t="n"/>
      <ns0:c r="M44" s="1" t="n"/>
      <ns0:c r="N44" s="1" t="n"/>
      <ns0:c r="O44" s="1" t="n"/>
      <ns0:c r="P44" s="1" t="n"/>
      <ns0:c r="Q44" s="1" t="n"/>
    </ns0:row>
    <ns0:row r="45" ht="22" customHeight="1">
      <ns0:c r="A45" s="5" t="str">
        <ns0:f>'Market Data'!R40</ns0:f>
        <ns0:v>605499 CH Equity</ns0:v>
      </ns0:c>
      <ns0:c r="B45" s="5" t="str">
        <ns0:f>'Market Data'!Q40</ns0:f>
        <ns0:v>9980 HK Equity</ns0:v>
      </ns0:c>
      <ns0:c r="C45" s="5" t="str">
        <ns0:f>'Market Data'!T40</ns0:f>
        <ns0:v>Consumer</ns0:v>
      </ns0:c>
      <ns0:c r="D45" s="5" t="str">
        <ns0:f>'Market Data'!U40</ns0:f>
        <ns0:v>Beverages / packaged food</ns0:v>
      </ns0:c>
      <ns0:c r="E45" s="6">
        <ns0:f>IF('Market Data'!Z40=1,"Class ratio review",IF(ISNUMBER('Market Data'!W40),'Market Data'!W40,""))</ns0:f>
        <ns0:v>0.164347770233308</ns0:v>
      </ns0:c>
      <ns0:c r="F45" s="6">
        <ns0:f>'Market Data'!AE40</ns0:f>
        <ns0:v>0.3974181277320741</ns0:v>
      </ns0:c>
      <ns0:c r="G45" s="1" t="n"/>
      <ns0:c r="H45" s="1" t="n"/>
      <ns0:c r="I45" s="1" t="n"/>
      <ns0:c r="J45" s="1" t="n"/>
      <ns0:c r="K45" s="1" t="n"/>
      <ns0:c r="L45" s="1" t="n"/>
      <ns0:c r="M45" s="1" t="n"/>
      <ns0:c r="N45" s="1" t="n"/>
      <ns0:c r="O45" s="1" t="n"/>
      <ns0:c r="P45" s="1" t="n"/>
      <ns0:c r="Q45" s="1" t="n"/>
    </ns0:row>
    <ns0:row r="46" ht="22" customHeight="1">
      <ns0:c r="A46" s="5" t="str">
        <ns0:f>'Market Data'!R41</ns0:f>
        <ns0:v>603288 CH Equity</ns0:v>
      </ns0:c>
      <ns0:c r="B46" s="5" t="str">
        <ns0:f>'Market Data'!Q41</ns0:f>
        <ns0:v>3288 HK Equity</ns0:v>
      </ns0:c>
      <ns0:c r="C46" s="5" t="str">
        <ns0:f>'Market Data'!T41</ns0:f>
        <ns0:v>Consumer</ns0:v>
      </ns0:c>
      <ns0:c r="D46" s="5" t="str">
        <ns0:f>'Market Data'!U41</ns0:f>
        <ns0:v>Beverages / packaged food</ns0:v>
      </ns0:c>
      <ns0:c r="E46" s="6">
        <ns0:f>IF('Market Data'!Z41=1,"Class ratio review",IF(ISNUMBER('Market Data'!W41),'Market Data'!W41,""))</ns0:f>
        <ns0:v>0.2106914335045933</ns0:v>
      </ns0:c>
      <ns0:c r="F46" s="6">
        <ns0:f>'Market Data'!AE41</ns0:f>
        <ns0:v>0.535452120713418</ns0:v>
      </ns0:c>
      <ns0:c r="G46" s="1" t="n"/>
      <ns0:c r="H46" s="1" t="n"/>
      <ns0:c r="I46" s="1" t="n"/>
      <ns0:c r="J46" s="1" t="n"/>
      <ns0:c r="K46" s="1" t="n"/>
      <ns0:c r="L46" s="1" t="n"/>
      <ns0:c r="M46" s="1" t="n"/>
      <ns0:c r="N46" s="1" t="n"/>
      <ns0:c r="O46" s="1" t="n"/>
      <ns0:c r="P46" s="1" t="n"/>
      <ns0:c r="Q46" s="1" t="n"/>
    </ns0:row>
    <ns0:row r="47" ht="22" customHeight="1">
      <ns0:c r="A47" s="5" t="str">
        <ns0:f>'Market Data'!R42</ns0:f>
        <ns0:v>600699 CH Equity</ns0:v>
      </ns0:c>
      <ns0:c r="B47" s="5" t="str">
        <ns0:f>'Market Data'!Q42</ns0:f>
        <ns0:v>699 HK Equity</ns0:v>
      </ns0:c>
      <ns0:c r="C47" s="5" t="str">
        <ns0:f>'Market Data'!T42</ns0:f>
        <ns0:v>Consumer</ns0:v>
      </ns0:c>
      <ns0:c r="D47" s="5" t="str">
        <ns0:f>'Market Data'!U42</ns0:f>
        <ns0:v>Auto parts / supply chain</ns0:v>
      </ns0:c>
      <ns0:c r="E47" s="6">
        <ns0:f>IF('Market Data'!Z42=1,"Class ratio review",IF(ISNUMBER('Market Data'!W42),'Market Data'!W42,""))</ns0:f>
        <ns0:v>0.4817814496430481</ns0:v>
      </ns0:c>
      <ns0:c r="F47" s="6">
        <ns0:f>'Market Data'!AE42</ns0:f>
        <ns0:v>1.2521233783577972</ns0:v>
      </ns0:c>
      <ns0:c r="G47" s="1" t="n"/>
      <ns0:c r="H47" s="1" t="n"/>
      <ns0:c r="I47" s="1" t="n"/>
      <ns0:c r="J47" s="1" t="n"/>
      <ns0:c r="K47" s="1" t="n"/>
      <ns0:c r="L47" s="1" t="n"/>
      <ns0:c r="M47" s="1" t="n"/>
      <ns0:c r="N47" s="1" t="n"/>
      <ns0:c r="O47" s="1" t="n"/>
      <ns0:c r="P47" s="1" t="n"/>
      <ns0:c r="Q47" s="1" t="n"/>
    </ns0:row>
    <ns0:row r="48" ht="22" customHeight="1">
      <ns0:c r="A48" s="5" t="str">
        <ns0:f>'Market Data'!R43</ns0:f>
        <ns0:v>002714 CH Equity</ns0:v>
      </ns0:c>
      <ns0:c r="B48" s="5" t="str">
        <ns0:f>'Market Data'!Q43</ns0:f>
        <ns0:v>2714 HK Equity</ns0:v>
      </ns0:c>
      <ns0:c r="C48" s="5" t="str">
        <ns0:f>'Market Data'!T43</ns0:f>
        <ns0:v>Consumer</ns0:v>
      </ns0:c>
      <ns0:c r="D48" s="5" t="str">
        <ns0:f>'Market Data'!U43</ns0:f>
        <ns0:v>Beverages / packaged food</ns0:v>
      </ns0:c>
      <ns0:c r="E48" s="6">
        <ns0:f>IF('Market Data'!Z43=1,"Class ratio review",IF(ISNUMBER('Market Data'!W43),'Market Data'!W43,""))</ns0:f>
        <ns0:v>0.3490507625616515</ns0:v>
      </ns0:c>
      <ns0:c r="F48" s="6">
        <ns0:f>'Market Data'!AE43</ns0:f>
        <ns0:v>0.3506220832928941</ns0:v>
      </ns0:c>
      <ns0:c r="G48" s="1" t="n"/>
      <ns0:c r="H48" s="1" t="n"/>
      <ns0:c r="I48" s="1" t="n"/>
      <ns0:c r="J48" s="1" t="n"/>
      <ns0:c r="K48" s="1" t="n"/>
      <ns0:c r="L48" s="1" t="n"/>
      <ns0:c r="M48" s="1" t="n"/>
      <ns0:c r="N48" s="1" t="n"/>
      <ns0:c r="O48" s="1" t="n"/>
      <ns0:c r="P48" s="1" t="n"/>
      <ns0:c r="Q48" s="1" t="n"/>
    </ns0:row>
    <ns0:row r="49" ht="22" customHeight="1">
      <ns0:c r="A49" s="5" t="str">
        <ns0:f>'Market Data'!R44</ns0:f>
        <ns0:v>002050 CH Equity</ns0:v>
      </ns0:c>
      <ns0:c r="B49" s="5" t="str">
        <ns0:f>'Market Data'!Q44</ns0:f>
        <ns0:v>2050 HK Equity</ns0:v>
      </ns0:c>
      <ns0:c r="C49" s="5" t="str">
        <ns0:f>'Market Data'!T44</ns0:f>
        <ns0:v>Consumer</ns0:v>
      </ns0:c>
      <ns0:c r="D49" s="5" t="str">
        <ns0:f>'Market Data'!U44</ns0:f>
        <ns0:v>Auto parts / supply chain</ns0:v>
      </ns0:c>
      <ns0:c r="E49" s="6">
        <ns0:f>IF('Market Data'!Z44=1,"Class ratio review",IF(ISNUMBER('Market Data'!W44),'Market Data'!W44,""))</ns0:f>
        <ns0:v>0.2090361956961675</ns0:v>
      </ns0:c>
      <ns0:c r="F49" s="6">
        <ns0:f>'Market Data'!AE44</ns0:f>
        <ns0:v>0.7296602184705387</ns0:v>
      </ns0:c>
      <ns0:c r="G49" s="1" t="n"/>
      <ns0:c r="H49" s="1" t="n"/>
      <ns0:c r="I49" s="1" t="n"/>
      <ns0:c r="J49" s="1" t="n"/>
      <ns0:c r="K49" s="1" t="n"/>
      <ns0:c r="L49" s="1" t="n"/>
      <ns0:c r="M49" s="1" t="n"/>
      <ns0:c r="N49" s="1" t="n"/>
      <ns0:c r="O49" s="1" t="n"/>
      <ns0:c r="P49" s="1" t="n"/>
      <ns0:c r="Q49" s="1" t="n"/>
    </ns0:row>
    <ns0:row r="50" ht="22" customHeight="1">
      <ns0:c r="A50" s="5" t="str">
        <ns0:f>'Market Data'!R45</ns0:f>
        <ns0:v>601127 CH Equity</ns0:v>
      </ns0:c>
      <ns0:c r="B50" s="5" t="str">
        <ns0:f>'Market Data'!Q45</ns0:f>
        <ns0:v>9927 HK Equity</ns0:v>
      </ns0:c>
      <ns0:c r="C50" s="5" t="str">
        <ns0:f>'Market Data'!T45</ns0:f>
        <ns0:v>Consumer</ns0:v>
      </ns0:c>
      <ns0:c r="D50" s="5" t="str">
        <ns0:f>'Market Data'!U45</ns0:f>
        <ns0:v>Autos (NEV OEM)</ns0:v>
      </ns0:c>
      <ns0:c r="E50" s="6">
        <ns0:f>IF('Market Data'!Z45=1,"Class ratio review",IF(ISNUMBER('Market Data'!W45),'Market Data'!W45,""))</ns0:f>
        <ns0:v>0.2741195080579462</ns0:v>
      </ns0:c>
      <ns0:c r="F50" s="6">
        <ns0:f>'Market Data'!AE45</ns0:f>
        <ns0:v>0.47108121006387904</ns0:v>
      </ns0:c>
      <ns0:c r="G50" s="1" t="n"/>
      <ns0:c r="H50" s="1" t="n"/>
      <ns0:c r="I50" s="1" t="n"/>
      <ns0:c r="J50" s="1" t="n"/>
      <ns0:c r="K50" s="1" t="n"/>
      <ns0:c r="L50" s="1" t="n"/>
      <ns0:c r="M50" s="1" t="n"/>
      <ns0:c r="N50" s="1" t="n"/>
      <ns0:c r="O50" s="1" t="n"/>
      <ns0:c r="P50" s="1" t="n"/>
      <ns0:c r="Q50" s="1" t="n"/>
    </ns0:row>
    <ns0:row r="51" ht="22" customHeight="1">
      <ns0:c r="A51" s="5" t="str">
        <ns0:f>'Market Data'!R46</ns0:f>
        <ns0:v>603093 CH Equity</ns0:v>
      </ns0:c>
      <ns0:c r="B51" s="5" t="str">
        <ns0:f>'Market Data'!Q46</ns0:f>
        <ns0:v>2691 HK Equity</ns0:v>
      </ns0:c>
      <ns0:c r="C51" s="5" t="str">
        <ns0:f>'Market Data'!T46</ns0:f>
        <ns0:v>Financials</ns0:v>
      </ns0:c>
      <ns0:c r="D51" s="5" t="str">
        <ns0:f>'Market Data'!U46</ns0:f>
        <ns0:v>Brokers / asset management</ns0:v>
      </ns0:c>
      <ns0:c r="E51" s="6">
        <ns0:f>IF('Market Data'!Z46=1,"Class ratio review",IF(ISNUMBER('Market Data'!W46),'Market Data'!W46,""))</ns0:f>
        <ns0:v>0.7734655267000201</ns0:v>
      </ns0:c>
      <ns0:c r="F51" s="6">
        <ns0:f>'Market Data'!AE46</ns0:f>
        <ns0:v>1.6190659829548428</ns0:v>
      </ns0:c>
      <ns0:c r="G51" s="1" t="n"/>
      <ns0:c r="H51" s="1" t="n"/>
      <ns0:c r="I51" s="1" t="n"/>
      <ns0:c r="J51" s="1" t="n"/>
      <ns0:c r="K51" s="1" t="n"/>
      <ns0:c r="L51" s="1" t="n"/>
      <ns0:c r="M51" s="1" t="n"/>
      <ns0:c r="N51" s="1" t="n"/>
      <ns0:c r="O51" s="1" t="n"/>
      <ns0:c r="P51" s="1" t="n"/>
      <ns0:c r="Q51" s="1" t="n"/>
    </ns0:row>
    <ns0:row r="52" ht="22" customHeight="1">
      <ns0:c r="A52" s="5" t="str">
        <ns0:f>'Market Data'!R47</ns0:f>
        <ns0:v>300750 CH Equity</ns0:v>
      </ns0:c>
      <ns0:c r="B52" s="5" t="str">
        <ns0:f>'Market Data'!Q47</ns0:f>
        <ns0:v>3750 HK Equity</ns0:v>
      </ns0:c>
      <ns0:c r="C52" s="5" t="str">
        <ns0:f>'Market Data'!T47</ns0:f>
        <ns0:v>Industrials</ns0:v>
      </ns0:c>
      <ns0:c r="D52" s="5" t="str">
        <ns0:f>'Market Data'!U47</ns0:f>
        <ns0:v>Batteries / energy storage</ns0:v>
      </ns0:c>
      <ns0:c r="E52" s="6">
        <ns0:f>IF('Market Data'!Z47=1,"Class ratio review",IF(ISNUMBER('Market Data'!W47),'Market Data'!W47,""))</ns0:f>
        <ns0:v>0.07147976472803852</ns0:v>
      </ns0:c>
      <ns0:c r="F52" s="6">
        <ns0:f>'Market Data'!AE47</ns0:f>
        <ns0:v>-0.28552217512772793</ns0:v>
      </ns0:c>
      <ns0:c r="G52" s="1" t="n"/>
      <ns0:c r="H52" s="1" t="n"/>
      <ns0:c r="I52" s="1" t="n"/>
      <ns0:c r="J52" s="1" t="n"/>
      <ns0:c r="K52" s="1" t="n"/>
      <ns0:c r="L52" s="1" t="n"/>
      <ns0:c r="M52" s="1" t="n"/>
      <ns0:c r="N52" s="1" t="n"/>
      <ns0:c r="O52" s="1" t="n"/>
      <ns0:c r="P52" s="1" t="n"/>
      <ns0:c r="Q52" s="1" t="n"/>
    </ns0:row>
    <ns0:row r="53" ht="22" customHeight="1">
      <ns0:c r="A53" s="5" t="str">
        <ns0:f>'Market Data'!R48</ns0:f>
        <ns0:v>300919 CH Equity</ns0:v>
      </ns0:c>
      <ns0:c r="B53" s="5" t="str">
        <ns0:f>'Market Data'!Q48</ns0:f>
        <ns0:v>2579 HK Equity</ns0:v>
      </ns0:c>
      <ns0:c r="C53" s="5" t="str">
        <ns0:f>'Market Data'!T48</ns0:f>
        <ns0:v>Industrials</ns0:v>
      </ns0:c>
      <ns0:c r="D53" s="5" t="str">
        <ns0:f>'Market Data'!U48</ns0:f>
        <ns0:v>Batteries / energy storage</ns0:v>
      </ns0:c>
      <ns0:c r="E53" s="6">
        <ns0:f>IF('Market Data'!Z48=1,"Class ratio review",IF(ISNUMBER('Market Data'!W48),'Market Data'!W48,""))</ns0:f>
        <ns0:v>0.5933150243759158</ns0:v>
      </ns0:c>
      <ns0:c r="F53" s="6">
        <ns0:f>'Market Data'!AE48</ns0:f>
        <ns0:v>1.105267099712206</ns0:v>
      </ns0:c>
      <ns0:c r="G53" s="1" t="n"/>
      <ns0:c r="H53" s="1" t="n"/>
      <ns0:c r="I53" s="1" t="n"/>
      <ns0:c r="J53" s="1" t="n"/>
      <ns0:c r="K53" s="1" t="n"/>
      <ns0:c r="L53" s="1" t="n"/>
      <ns0:c r="M53" s="1" t="n"/>
      <ns0:c r="N53" s="1" t="n"/>
      <ns0:c r="O53" s="1" t="n"/>
      <ns0:c r="P53" s="1" t="n"/>
      <ns0:c r="Q53" s="1" t="n"/>
    </ns0:row>
    <ns0:row r="54" ht="22" customHeight="1">
      <ns0:c r="A54" s="5" t="str">
        <ns0:f>'Market Data'!R49</ns0:f>
        <ns0:v>002487 CH Equity</ns0:v>
      </ns0:c>
      <ns0:c r="B54" s="5" t="str">
        <ns0:f>'Market Data'!Q49</ns0:f>
        <ns0:v>1081 HK Equity</ns0:v>
      </ns0:c>
      <ns0:c r="C54" s="5" t="str">
        <ns0:f>'Market Data'!T49</ns0:f>
        <ns0:v>Industrials</ns0:v>
      </ns0:c>
      <ns0:c r="D54" s="5" t="str">
        <ns0:f>'Market Data'!U49</ns0:f>
        <ns0:v>Solar / wind supply chain</ns0:v>
      </ns0:c>
      <ns0:c r="E54" s="6">
        <ns0:f>IF('Market Data'!Z49=1,"Class ratio review",IF(ISNUMBER('Market Data'!W49),'Market Data'!W49,""))</ns0:f>
        <ns0:v>0.1779886483068924</ns0:v>
      </ns0:c>
      <ns0:c r="F54" s="6">
        <ns0:f>'Market Data'!AE49</ns0:f>
        <ns0:v>0.7002363073623787</ns0:v>
      </ns0:c>
      <ns0:c r="G54" s="1" t="n"/>
      <ns0:c r="H54" s="1" t="n"/>
      <ns0:c r="I54" s="1" t="n"/>
      <ns0:c r="J54" s="1" t="n"/>
      <ns0:c r="K54" s="1" t="n"/>
      <ns0:c r="L54" s="1" t="n"/>
      <ns0:c r="M54" s="1" t="n"/>
      <ns0:c r="N54" s="1" t="n"/>
      <ns0:c r="O54" s="1" t="n"/>
      <ns0:c r="P54" s="1" t="n"/>
      <ns0:c r="Q54" s="1" t="n"/>
    </ns0:row>
    <ns0:row r="55" ht="22" customHeight="1">
      <ns0:c r="A55" s="5" t="str">
        <ns0:f>'Market Data'!R50</ns0:f>
        <ns0:v>002865 CH Equity</ns0:v>
      </ns0:c>
      <ns0:c r="B55" s="5" t="str">
        <ns0:f>'Market Data'!Q50</ns0:f>
        <ns0:v>2865 HK Equity</ns0:v>
      </ns0:c>
      <ns0:c r="C55" s="5" t="str">
        <ns0:f>'Market Data'!T50</ns0:f>
        <ns0:v>Industrials</ns0:v>
      </ns0:c>
      <ns0:c r="D55" s="5" t="str">
        <ns0:f>'Market Data'!U50</ns0:f>
        <ns0:v>Solar / wind supply chain</ns0:v>
      </ns0:c>
      <ns0:c r="E55" s="6">
        <ns0:f>IF('Market Data'!Z50=1,"Class ratio review",IF(ISNUMBER('Market Data'!W50),'Market Data'!W50,""))</ns0:f>
        <ns0:v>0.9925577053905341</ns0:v>
      </ns0:c>
      <ns0:c r="F55" s="6">
        <ns0:f>'Market Data'!AE50</ns0:f>
        <ns0:v>2.743885178854844</ns0:v>
      </ns0:c>
      <ns0:c r="G55" s="1" t="n"/>
      <ns0:c r="H55" s="1" t="n"/>
      <ns0:c r="I55" s="1" t="n"/>
      <ns0:c r="J55" s="1" t="n"/>
      <ns0:c r="K55" s="1" t="n"/>
      <ns0:c r="L55" s="1" t="n"/>
      <ns0:c r="M55" s="1" t="n"/>
      <ns0:c r="N55" s="1" t="n"/>
      <ns0:c r="O55" s="1" t="n"/>
      <ns0:c r="P55" s="1" t="n"/>
      <ns0:c r="Q55" s="1" t="n"/>
    </ns0:row>
    <ns0:row r="56" ht="22" customHeight="1">
      <ns0:c r="A56" s="5" t="str">
        <ns0:f>'Market Data'!R51</ns0:f>
        <ns0:v>301200 CH Equity</ns0:v>
      </ns0:c>
      <ns0:c r="B56" s="5" t="str">
        <ns0:f>'Market Data'!Q51</ns0:f>
        <ns0:v>3200 HK Equity</ns0:v>
      </ns0:c>
      <ns0:c r="C56" s="5" t="str">
        <ns0:f>'Market Data'!T51</ns0:f>
        <ns0:v>Industrials</ns0:v>
      </ns0:c>
      <ns0:c r="D56" s="5" t="str">
        <ns0:f>'Market Data'!U51</ns0:f>
        <ns0:v>Capital goods / machinery</ns0:v>
      </ns0:c>
      <ns0:c r="E56" s="6">
        <ns0:f>IF('Market Data'!Z51=1,"Class ratio review",IF(ISNUMBER('Market Data'!W51),'Market Data'!W51,""))</ns0:f>
        <ns0:v>0.8404472160438905</ns0:v>
      </ns0:c>
      <ns0:c r="F56" s="6">
        <ns0:f>'Market Data'!AE51</ns0:f>
        <ns0:v>1.798446511651607</ns0:v>
      </ns0:c>
      <ns0:c r="G56" s="1" t="n"/>
      <ns0:c r="H56" s="1" t="n"/>
      <ns0:c r="I56" s="1" t="n"/>
      <ns0:c r="J56" s="1" t="n"/>
      <ns0:c r="K56" s="1" t="n"/>
      <ns0:c r="L56" s="1" t="n"/>
      <ns0:c r="M56" s="1" t="n"/>
      <ns0:c r="N56" s="1" t="n"/>
      <ns0:c r="O56" s="1" t="n"/>
      <ns0:c r="P56" s="1" t="n"/>
      <ns0:c r="Q56" s="1" t="n"/>
    </ns0:row>
    <ns0:row r="57" ht="22" customHeight="1">
      <ns0:c r="A57" s="5" t="str">
        <ns0:f>'Market Data'!R52</ns0:f>
        <ns0:v>300748 CH Equity</ns0:v>
      </ns0:c>
      <ns0:c r="B57" s="5" t="str">
        <ns0:f>'Market Data'!Q52</ns0:f>
        <ns0:v>6680 HK Equity</ns0:v>
      </ns0:c>
      <ns0:c r="C57" s="5" t="str">
        <ns0:f>'Market Data'!T52</ns0:f>
        <ns0:v>Industrials</ns0:v>
      </ns0:c>
      <ns0:c r="D57" s="5" t="str">
        <ns0:f>'Market Data'!U52</ns0:f>
        <ns0:v>Capital goods / machinery</ns0:v>
      </ns0:c>
      <ns0:c r="E57" s="6">
        <ns0:f>IF('Market Data'!Z52=1,"Class ratio review",IF(ISNUMBER('Market Data'!W52),'Market Data'!W52,""))</ns0:f>
        <ns0:v>0.3851392241624685</ns0:v>
      </ns0:c>
      <ns0:c r="F57" s="6">
        <ns0:f>'Market Data'!AE52</ns0:f>
        <ns0:v>0.906353217121717</ns0:v>
      </ns0:c>
      <ns0:c r="G57" s="1" t="n"/>
      <ns0:c r="H57" s="1" t="n"/>
      <ns0:c r="I57" s="1" t="n"/>
      <ns0:c r="J57" s="1" t="n"/>
      <ns0:c r="K57" s="1" t="n"/>
      <ns0:c r="L57" s="1" t="n"/>
      <ns0:c r="M57" s="1" t="n"/>
      <ns0:c r="N57" s="1" t="n"/>
      <ns0:c r="O57" s="1" t="n"/>
      <ns0:c r="P57" s="1" t="n"/>
      <ns0:c r="Q57" s="1" t="n"/>
    </ns0:row>
    <ns0:row r="58" ht="22" customHeight="1">
      <ns0:c r="A58" s="5" t="str">
        <ns0:f>'Market Data'!R53</ns0:f>
        <ns0:v>603906 CH Equity</ns0:v>
      </ns0:c>
      <ns0:c r="B58" s="5" t="str">
        <ns0:f>'Market Data'!Q53</ns0:f>
        <ns0:v>2465 HK Equity</ns0:v>
      </ns0:c>
      <ns0:c r="C58" s="5" t="str">
        <ns0:f>'Market Data'!T53</ns0:f>
        <ns0:v>Industrials</ns0:v>
      </ns0:c>
      <ns0:c r="D58" s="5" t="str">
        <ns0:f>'Market Data'!U53</ns0:f>
        <ns0:v>Batteries / energy storage</ns0:v>
      </ns0:c>
      <ns0:c r="E58" s="6">
        <ns0:f>IF('Market Data'!Z53=1,"Class ratio review",IF(ISNUMBER('Market Data'!W53),'Market Data'!W53,""))</ns0:f>
        <ns0:v>1.031689833511006</ns0:v>
      </ns0:c>
      <ns0:c r="F58" s="6">
        <ns0:f>'Market Data'!AE53</ns0:f>
        <ns0:v>1.4674426677615147</ns0:v>
      </ns0:c>
      <ns0:c r="G58" s="1" t="n"/>
      <ns0:c r="H58" s="1" t="n"/>
      <ns0:c r="I58" s="1" t="n"/>
      <ns0:c r="J58" s="1" t="n"/>
      <ns0:c r="K58" s="1" t="n"/>
      <ns0:c r="L58" s="1" t="n"/>
      <ns0:c r="M58" s="1" t="n"/>
      <ns0:c r="N58" s="1" t="n"/>
      <ns0:c r="O58" s="1" t="n"/>
      <ns0:c r="P58" s="1" t="n"/>
      <ns0:c r="Q58" s="1" t="n"/>
    </ns0:row>
    <ns0:row r="59" ht="22" customHeight="1">
      <ns0:c r="A59" s="5" t="str">
        <ns0:f>'Market Data'!R54</ns0:f>
        <ns0:v>688337 CH Equity</ns0:v>
      </ns0:c>
      <ns0:c r="B59" s="5" t="str">
        <ns0:f>'Market Data'!Q54</ns0:f>
        <ns0:v>537 HK Equity</ns0:v>
      </ns0:c>
      <ns0:c r="C59" s="5" t="str">
        <ns0:f>'Market Data'!T54</ns0:f>
        <ns0:v>Industrials</ns0:v>
      </ns0:c>
      <ns0:c r="D59" s="5" t="str">
        <ns0:f>'Market Data'!U54</ns0:f>
        <ns0:v>Capital goods / machinery</ns0:v>
      </ns0:c>
      <ns0:c r="E59" s="6">
        <ns0:f>IF('Market Data'!Z54=1,"Class ratio review",IF(ISNUMBER('Market Data'!W54),'Market Data'!W54,""))</ns0:f>
        <ns0:v>0.4357895942395955</ns0:v>
      </ns0:c>
      <ns0:c r="F59" s="6">
        <ns0:f>'Market Data'!AE54</ns0:f>
        <ns0:v>1.3483023685532194</ns0:v>
      </ns0:c>
      <ns0:c r="G59" s="1" t="n"/>
      <ns0:c r="H59" s="1" t="n"/>
      <ns0:c r="I59" s="1" t="n"/>
      <ns0:c r="J59" s="1" t="n"/>
      <ns0:c r="K59" s="1" t="n"/>
      <ns0:c r="L59" s="1" t="n"/>
      <ns0:c r="M59" s="1" t="n"/>
      <ns0:c r="N59" s="1" t="n"/>
      <ns0:c r="O59" s="1" t="n"/>
      <ns0:c r="P59" s="1" t="n"/>
      <ns0:c r="Q59" s="1" t="n"/>
    </ns0:row>
    <ns0:row r="60" ht="22" customHeight="1">
      <ns0:c r="A60" s="5" t="str">
        <ns0:f>'Market Data'!R55</ns0:f>
        <ns0:v>600031 CH Equity</ns0:v>
      </ns0:c>
      <ns0:c r="B60" s="5" t="str">
        <ns0:f>'Market Data'!Q55</ns0:f>
        <ns0:v>6031 HK Equity</ns0:v>
      </ns0:c>
      <ns0:c r="C60" s="5" t="str">
        <ns0:f>'Market Data'!T55</ns0:f>
        <ns0:v>Industrials</ns0:v>
      </ns0:c>
      <ns0:c r="D60" s="5" t="str">
        <ns0:f>'Market Data'!U55</ns0:f>
        <ns0:v>Capital goods / machinery</ns0:v>
      </ns0:c>
      <ns0:c r="E60" s="6">
        <ns0:f>IF('Market Data'!Z55=1,"Class ratio review",IF(ISNUMBER('Market Data'!W55),'Market Data'!W55,""))</ns0:f>
        <ns0:v>0.1539559735378748</ns0:v>
      </ns0:c>
      <ns0:c r="F60" s="6">
        <ns0:f>'Market Data'!AE55</ns0:f>
        <ns0:v>0.20536895080505735</ns0:v>
      </ns0:c>
      <ns0:c r="G60" s="1" t="n"/>
      <ns0:c r="H60" s="1" t="n"/>
      <ns0:c r="I60" s="1" t="n"/>
      <ns0:c r="J60" s="1" t="n"/>
      <ns0:c r="K60" s="1" t="n"/>
      <ns0:c r="L60" s="1" t="n"/>
      <ns0:c r="M60" s="1" t="n"/>
      <ns0:c r="N60" s="1" t="n"/>
      <ns0:c r="O60" s="1" t="n"/>
      <ns0:c r="P60" s="1" t="n"/>
      <ns0:c r="Q60" s="1" t="n"/>
    </ns0:row>
    <ns0:row r="61" ht="22" customHeight="1">
      <ns0:c r="A61" s="5" t="str">
        <ns0:f>'Market Data'!R56</ns0:f>
        <ns0:v>300568 CH Equity</ns0:v>
      </ns0:c>
      <ns0:c r="B61" s="5" t="str">
        <ns0:f>'Market Data'!Q56</ns0:f>
        <ns0:v>6067 HK Equity</ns0:v>
      </ns0:c>
      <ns0:c r="C61" s="5" t="str">
        <ns0:f>'Market Data'!T56</ns0:f>
        <ns0:v>Industrials</ns0:v>
      </ns0:c>
      <ns0:c r="D61" s="5" t="str">
        <ns0:f>'Market Data'!U56</ns0:f>
        <ns0:v>Batteries / energy storage</ns0:v>
      </ns0:c>
      <ns0:c r="E61" s="6">
        <ns0:f>IF('Market Data'!Z56=1,"Class ratio review",IF(ISNUMBER('Market Data'!W56),'Market Data'!W56,""))</ns0:f>
        <ns0:v>1.620473494641234</ns0:v>
      </ns0:c>
      <ns0:c r="F61" s="6">
        <ns0:f>'Market Data'!AE56</ns0:f>
        <ns0:v>1.6445481816556757</ns0:v>
      </ns0:c>
      <ns0:c r="G61" s="1" t="n"/>
      <ns0:c r="H61" s="1" t="n"/>
      <ns0:c r="I61" s="1" t="n"/>
      <ns0:c r="J61" s="1" t="n"/>
      <ns0:c r="K61" s="1" t="n"/>
      <ns0:c r="L61" s="1" t="n"/>
      <ns0:c r="M61" s="1" t="n"/>
      <ns0:c r="N61" s="1" t="n"/>
      <ns0:c r="O61" s="1" t="n"/>
      <ns0:c r="P61" s="1" t="n"/>
      <ns0:c r="Q61" s="1" t="n"/>
    </ns0:row>
    <ns0:row r="62" ht="22" customHeight="1">
      <ns0:c r="A62" s="5" t="str">
        <ns0:f>'Market Data'!R57</ns0:f>
        <ns0:v>002352 CH Equity</ns0:v>
      </ns0:c>
      <ns0:c r="B62" s="5" t="str">
        <ns0:f>'Market Data'!Q57</ns0:f>
        <ns0:v>6936 HK Equity</ns0:v>
      </ns0:c>
      <ns0:c r="C62" s="5" t="str">
        <ns0:f>'Market Data'!T57</ns0:f>
        <ns0:v>Industrials</ns0:v>
      </ns0:c>
      <ns0:c r="D62" s="5" t="str">
        <ns0:f>'Market Data'!U57</ns0:f>
        <ns0:v>Logistics</ns0:v>
      </ns0:c>
      <ns0:c r="E62" s="6">
        <ns0:f>IF('Market Data'!Z57=1,"Class ratio review",IF(ISNUMBER('Market Data'!W57),'Market Data'!W57,""))</ns0:f>
        <ns0:v>0.3172424114480312</ns0:v>
      </ns0:c>
      <ns0:c r="F62" s="6">
        <ns0:f>'Market Data'!AE57</ns0:f>
        <ns0:v>0.2566763719841212</ns0:v>
      </ns0:c>
      <ns0:c r="G62" s="1" t="n"/>
      <ns0:c r="H62" s="1" t="n"/>
      <ns0:c r="I62" s="1" t="n"/>
      <ns0:c r="J62" s="1" t="n"/>
      <ns0:c r="K62" s="1" t="n"/>
      <ns0:c r="L62" s="1" t="n"/>
      <ns0:c r="M62" s="1" t="n"/>
      <ns0:c r="N62" s="1" t="n"/>
      <ns0:c r="O62" s="1" t="n"/>
      <ns0:c r="P62" s="1" t="n"/>
      <ns0:c r="Q62" s="1" t="n"/>
    </ns0:row>
    <ns0:row r="63" ht="22" customHeight="1">
      <ns0:c r="A63" s="5" t="str">
        <ns0:f>'Market Data'!R58</ns0:f>
        <ns0:v>688339 CH Equity</ns0:v>
      </ns0:c>
      <ns0:c r="B63" s="5" t="str">
        <ns0:f>'Market Data'!Q58</ns0:f>
        <ns0:v>2402 HK Equity</ns0:v>
      </ns0:c>
      <ns0:c r="C63" s="5" t="str">
        <ns0:f>'Market Data'!T58</ns0:f>
        <ns0:v>Industrials</ns0:v>
      </ns0:c>
      <ns0:c r="D63" s="5" t="str">
        <ns0:f>'Market Data'!U58</ns0:f>
        <ns0:v>Batteries / energy storage</ns0:v>
      </ns0:c>
      <ns0:c r="E63" s="6">
        <ns0:f>IF('Market Data'!Z58=1,"Class ratio review",IF(ISNUMBER('Market Data'!W58),'Market Data'!W58,""))</ns0:f>
        <ns0:v>0.5414695676167804</ns0:v>
      </ns0:c>
      <ns0:c r="F63" s="6">
        <ns0:f>'Market Data'!AE58</ns0:f>
        <ns0:v>1.3907866163096356</ns0:v>
      </ns0:c>
      <ns0:c r="G63" s="1" t="n"/>
      <ns0:c r="H63" s="1" t="n"/>
      <ns0:c r="I63" s="1" t="n"/>
      <ns0:c r="J63" s="1" t="n"/>
      <ns0:c r="K63" s="1" t="n"/>
      <ns0:c r="L63" s="1" t="n"/>
      <ns0:c r="M63" s="1" t="n"/>
      <ns0:c r="N63" s="1" t="n"/>
      <ns0:c r="O63" s="1" t="n"/>
      <ns0:c r="P63" s="1" t="n"/>
      <ns0:c r="Q63" s="1" t="n"/>
    </ns0:row>
    <ns0:row r="64" ht="22" customHeight="1">
      <ns0:c r="A64" s="5" t="str">
        <ns0:f>'Market Data'!R59</ns0:f>
        <ns0:v>300450 CH Equity</ns0:v>
      </ns0:c>
      <ns0:c r="B64" s="5" t="str">
        <ns0:f>'Market Data'!Q59</ns0:f>
        <ns0:v>470 HK Equity</ns0:v>
      </ns0:c>
      <ns0:c r="C64" s="5" t="str">
        <ns0:f>'Market Data'!T59</ns0:f>
        <ns0:v>Industrials</ns0:v>
      </ns0:c>
      <ns0:c r="D64" s="5" t="str">
        <ns0:f>'Market Data'!U59</ns0:f>
        <ns0:v>Capital goods / machinery</ns0:v>
      </ns0:c>
      <ns0:c r="E64" s="6">
        <ns0:f>IF('Market Data'!Z59=1,"Class ratio review",IF(ISNUMBER('Market Data'!W59),'Market Data'!W59,""))</ns0:f>
        <ns0:v>0.4181560119687209</ns0:v>
      </ns0:c>
      <ns0:c r="F64" s="6">
        <ns0:f>'Market Data'!AE59</ns0:f>
        <ns0:v>0.4922452821348706</ns0:v>
      </ns0:c>
      <ns0:c r="G64" s="1" t="n"/>
      <ns0:c r="H64" s="1" t="n"/>
      <ns0:c r="I64" s="1" t="n"/>
      <ns0:c r="J64" s="1" t="n"/>
      <ns0:c r="K64" s="1" t="n"/>
      <ns0:c r="L64" s="1" t="n"/>
      <ns0:c r="M64" s="1" t="n"/>
      <ns0:c r="N64" s="1" t="n"/>
      <ns0:c r="O64" s="1" t="n"/>
      <ns0:c r="P64" s="1" t="n"/>
      <ns0:c r="Q64" s="1" t="n"/>
    </ns0:row>
    <ns0:row r="65" ht="22" customHeight="1">
      <ns0:c r="A65" s="5" t="str">
        <ns0:f>'Market Data'!R60</ns0:f>
        <ns0:v>003021 CH Equity</ns0:v>
      </ns0:c>
      <ns0:c r="B65" s="5" t="str">
        <ns0:f>'Market Data'!Q60</ns0:f>
        <ns0:v>2692 HK Equity</ns0:v>
      </ns0:c>
      <ns0:c r="C65" s="5" t="str">
        <ns0:f>'Market Data'!T60</ns0:f>
        <ns0:v>Industrials</ns0:v>
      </ns0:c>
      <ns0:c r="D65" s="5" t="str">
        <ns0:f>'Market Data'!U60</ns0:f>
        <ns0:v>Capital goods / machinery</ns0:v>
      </ns0:c>
      <ns0:c r="E65" s="6">
        <ns0:f>IF('Market Data'!Z60=1,"Class ratio review",IF(ISNUMBER('Market Data'!W60),'Market Data'!W60,""))</ns0:f>
        <ns0:v>0.8718967094565884</ns0:v>
      </ns0:c>
      <ns0:c r="F65" s="6">
        <ns0:f>'Market Data'!AE60</ns0:f>
        <ns0:v>1.1898780825865924</ns0:v>
      </ns0:c>
      <ns0:c r="G65" s="1" t="n"/>
      <ns0:c r="H65" s="1" t="n"/>
      <ns0:c r="I65" s="1" t="n"/>
      <ns0:c r="J65" s="1" t="n"/>
      <ns0:c r="K65" s="1" t="n"/>
      <ns0:c r="L65" s="1" t="n"/>
      <ns0:c r="M65" s="1" t="n"/>
      <ns0:c r="N65" s="1" t="n"/>
      <ns0:c r="O65" s="1" t="n"/>
      <ns0:c r="P65" s="1" t="n"/>
      <ns0:c r="Q65" s="1" t="n"/>
    </ns0:row>
    <ns0:row r="66" ht="22" customHeight="1">
      <ns0:c r="A66" s="5" t="str">
        <ns0:f>'Market Data'!R61</ns0:f>
        <ns0:v>601678 CH Equity</ns0:v>
      </ns0:c>
      <ns0:c r="B66" s="5" t="str">
        <ns0:f>'Market Data'!Q61</ns0:f>
        <ns0:v>6745 HK Equity</ns0:v>
      </ns0:c>
      <ns0:c r="C66" s="5" t="str">
        <ns0:f>'Market Data'!T61</ns0:f>
        <ns0:v>Materials/Energy</ns0:v>
      </ns0:c>
      <ns0:c r="D66" s="5" t="str">
        <ns0:f>'Market Data'!U61</ns0:f>
        <ns0:v>Chemicals</ns0:v>
      </ns0:c>
      <ns0:c r="E66" s="6">
        <ns0:f>IF('Market Data'!Z61=1,"Class ratio review",IF(ISNUMBER('Market Data'!W61),'Market Data'!W61,""))</ns0:f>
        <ns0:v>0.9003358524421166</ns0:v>
      </ns0:c>
      <ns0:c r="F66" s="6">
        <ns0:f>'Market Data'!AE61</ns0:f>
        <ns0:v>1.3738768271037514</ns0:v>
      </ns0:c>
      <ns0:c r="G66" s="1" t="n"/>
      <ns0:c r="H66" s="1" t="n"/>
      <ns0:c r="I66" s="1" t="n"/>
      <ns0:c r="J66" s="1" t="n"/>
      <ns0:c r="K66" s="1" t="n"/>
      <ns0:c r="L66" s="1" t="n"/>
      <ns0:c r="M66" s="1" t="n"/>
      <ns0:c r="N66" s="1" t="n"/>
      <ns0:c r="O66" s="1" t="n"/>
      <ns0:c r="P66" s="1" t="n"/>
      <ns0:c r="Q66" s="1" t="n"/>
    </ns0:row>
    <ns0:row r="67" ht="22" customHeight="1">
      <ns0:c r="A67" s="5" t="str">
        <ns0:f>'Market Data'!R62</ns0:f>
        <ns0:v>600988 CH Equity</ns0:v>
      </ns0:c>
      <ns0:c r="B67" s="5" t="str">
        <ns0:f>'Market Data'!Q62</ns0:f>
        <ns0:v>6693 HK Equity</ns0:v>
      </ns0:c>
      <ns0:c r="C67" s="5" t="str">
        <ns0:f>'Market Data'!T62</ns0:f>
        <ns0:v>Materials/Energy</ns0:v>
      </ns0:c>
      <ns0:c r="D67" s="5" t="str">
        <ns0:f>'Market Data'!U62</ns0:f>
        <ns0:v>Mining / metals</ns0:v>
      </ns0:c>
      <ns0:c r="E67" s="6">
        <ns0:f>IF('Market Data'!Z62=1,"Class ratio review",IF(ISNUMBER('Market Data'!W62),'Market Data'!W62,""))</ns0:f>
        <ns0:v>0.5060884785721669</ns0:v>
      </ns0:c>
      <ns0:c r="F67" s="6">
        <ns0:f>'Market Data'!AE62</ns0:f>
        <ns0:v>0.3084777167046926</ns0:v>
      </ns0:c>
      <ns0:c r="G67" s="1" t="n"/>
      <ns0:c r="H67" s="1" t="n"/>
      <ns0:c r="I67" s="1" t="n"/>
      <ns0:c r="J67" s="1" t="n"/>
      <ns0:c r="K67" s="1" t="n"/>
      <ns0:c r="L67" s="1" t="n"/>
      <ns0:c r="M67" s="1" t="n"/>
      <ns0:c r="N67" s="1" t="n"/>
      <ns0:c r="O67" s="1" t="n"/>
      <ns0:c r="P67" s="1" t="n"/>
      <ns0:c r="Q67" s="1" t="n"/>
    </ns0:row>
    <ns0:row r="68" ht="22" customHeight="1">
      <ns0:c r="A68" s="5" t="str">
        <ns0:f>'Market Data'!R63</ns0:f>
        <ns0:v>002466 CH Equity</ns0:v>
      </ns0:c>
      <ns0:c r="B68" s="5" t="str">
        <ns0:f>'Market Data'!Q63</ns0:f>
        <ns0:v>9696 HK Equity</ns0:v>
      </ns0:c>
      <ns0:c r="C68" s="5" t="str">
        <ns0:f>'Market Data'!T63</ns0:f>
        <ns0:v>Materials/Energy</ns0:v>
      </ns0:c>
      <ns0:c r="D68" s="5" t="str">
        <ns0:f>'Market Data'!U63</ns0:f>
        <ns0:v>Mining / metals</ns0:v>
      </ns0:c>
      <ns0:c r="E68" s="6">
        <ns0:f>IF('Market Data'!Z63=1,"Class ratio review",IF(ISNUMBER('Market Data'!W63),'Market Data'!W63,""))</ns0:f>
        <ns0:v>0.821056463369509</ns0:v>
      </ns0:c>
      <ns0:c r="F68" s="6">
        <ns0:f>'Market Data'!AE63</ns0:f>
        <ns0:v>0.6702622016693685</ns0:v>
      </ns0:c>
      <ns0:c r="G68" s="1" t="n"/>
      <ns0:c r="H68" s="1" t="n"/>
      <ns0:c r="I68" s="1" t="n"/>
      <ns0:c r="J68" s="1" t="n"/>
      <ns0:c r="K68" s="1" t="n"/>
      <ns0:c r="L68" s="1" t="n"/>
      <ns0:c r="M68" s="1" t="n"/>
      <ns0:c r="N68" s="1" t="n"/>
      <ns0:c r="O68" s="1" t="n"/>
      <ns0:c r="P68" s="1" t="n"/>
      <ns0:c r="Q68" s="1" t="n"/>
    </ns0:row>
    <ns0:row r="69" ht="22" customHeight="1">
      <ns0:c r="A69" s="5" t="str">
        <ns0:f>'Market Data'!R64</ns0:f>
        <ns0:v>002130 CH Equity</ns0:v>
      </ns0:c>
      <ns0:c r="B69" s="5" t="str">
        <ns0:f>'Market Data'!Q64</ns0:f>
        <ns0:v>9981 HK Equity</ns0:v>
      </ns0:c>
      <ns0:c r="C69" s="5" t="str">
        <ns0:f>'Market Data'!T64</ns0:f>
        <ns0:v>Materials/Energy</ns0:v>
      </ns0:c>
      <ns0:c r="D69" s="5" t="str">
        <ns0:f>'Market Data'!U64</ns0:f>
        <ns0:v>Chemicals</ns0:v>
      </ns0:c>
      <ns0:c r="E69" s="6">
        <ns0:f>IF('Market Data'!Z64=1,"Class ratio review",IF(ISNUMBER('Market Data'!W64),'Market Data'!W64,""))</ns0:f>
        <ns0:v>0.5859799074141645</ns0:v>
      </ns0:c>
      <ns0:c r="F69" s="6">
        <ns0:f>'Market Data'!AE64</ns0:f>
        <ns0:v>1.2696507970492048</ns0:v>
      </ns0:c>
      <ns0:c r="G69" s="1" t="n"/>
      <ns0:c r="H69" s="1" t="n"/>
      <ns0:c r="I69" s="1" t="n"/>
      <ns0:c r="J69" s="1" t="n"/>
      <ns0:c r="K69" s="1" t="n"/>
      <ns0:c r="L69" s="1" t="n"/>
      <ns0:c r="M69" s="1" t="n"/>
      <ns0:c r="N69" s="1" t="n"/>
      <ns0:c r="O69" s="1" t="n"/>
      <ns0:c r="P69" s="1" t="n"/>
      <ns0:c r="Q69" s="1" t="n"/>
    </ns0:row>
    <ns0:row r="70" ht="22" customHeight="1">
      <ns0:c r="A70" s="1" t="n"/>
      <ns0:c r="B70" s="1" t="n"/>
      <ns0:c r="C70" s="1" t="n"/>
      <ns0:c r="D70" s="1" t="n"/>
      <ns0:c r="E70" s="1" t="n"/>
      <ns0:c r="F70" s="1" t="n"/>
      <ns0:c r="G70" s="1" t="n"/>
      <ns0:c r="H70" s="1" t="n"/>
      <ns0:c r="I70" s="1" t="n"/>
      <ns0:c r="J70" s="1" t="n"/>
      <ns0:c r="K70" s="1" t="n"/>
      <ns0:c r="L70" s="1" t="n"/>
      <ns0:c r="M70" s="1" t="n"/>
      <ns0:c r="N70" s="1" t="n"/>
      <ns0:c r="O70" s="1" t="n"/>
      <ns0:c r="P70" s="1" t="n"/>
      <ns0:c r="Q70" s="1" t="n"/>
    </ns0:row>
    <ns0:row r="71" ht="22" customHeight="1">
      <ns0:c r="A71" s="1" t="n"/>
      <ns0:c r="B71" s="1" t="n"/>
      <ns0:c r="C71" s="1" t="n"/>
      <ns0:c r="D71" s="1" t="n"/>
      <ns0:c r="E71" s="1" t="n"/>
      <ns0:c r="F71" s="1" t="n"/>
      <ns0:c r="G71" s="1" t="n"/>
      <ns0:c r="H71" s="1" t="n"/>
      <ns0:c r="I71" s="1" t="n"/>
      <ns0:c r="J71" s="1" t="n"/>
      <ns0:c r="K71" s="1" t="n"/>
      <ns0:c r="L71" s="1" t="n"/>
      <ns0:c r="M71" s="1" t="n"/>
      <ns0:c r="N71" s="1" t="n"/>
      <ns0:c r="O71" s="1" t="n"/>
      <ns0:c r="P71" s="1" t="n"/>
      <ns0:c r="Q71" s="1" t="n"/>
    </ns0:row>
    <ns0:row r="72" ht="22" customHeight="1">
      <ns0:c r="A72" s="1" t="n"/>
      <ns0:c r="B72" s="1" t="n"/>
      <ns0:c r="C72" s="1" t="n"/>
      <ns0:c r="D72" s="1" t="n"/>
      <ns0:c r="E72" s="1" t="n"/>
      <ns0:c r="F72" s="1" t="n"/>
      <ns0:c r="G72" s="1" t="n"/>
      <ns0:c r="H72" s="1" t="n"/>
      <ns0:c r="I72" s="1" t="n"/>
      <ns0:c r="J72" s="1" t="n"/>
      <ns0:c r="K72" s="1" t="n"/>
      <ns0:c r="L72" s="1" t="n"/>
      <ns0:c r="M72" s="1" t="n"/>
      <ns0:c r="N72" s="1" t="n"/>
      <ns0:c r="O72" s="1" t="n"/>
      <ns0:c r="P72" s="1" t="n"/>
      <ns0:c r="Q72" s="1" t="n"/>
    </ns0:row>
    <ns0:row r="73" ht="22" customHeight="1">
      <ns0:c r="A73" s="1" t="n"/>
      <ns0:c r="B73" s="1" t="n"/>
      <ns0:c r="C73" s="1" t="n"/>
      <ns0:c r="D73" s="1" t="n"/>
      <ns0:c r="E73" s="1" t="n"/>
      <ns0:c r="F73" s="1" t="n"/>
      <ns0:c r="G73" s="1" t="n"/>
      <ns0:c r="H73" s="1" t="n"/>
      <ns0:c r="I73" s="1" t="n"/>
      <ns0:c r="J73" s="1" t="n"/>
      <ns0:c r="K73" s="1" t="n"/>
      <ns0:c r="L73" s="1" t="n"/>
      <ns0:c r="M73" s="1" t="n"/>
      <ns0:c r="N73" s="1" t="n"/>
      <ns0:c r="O73" s="1" t="n"/>
      <ns0:c r="P73" s="1" t="n"/>
      <ns0:c r="Q73" s="1" t="n"/>
    </ns0:row>
    <ns0:row r="74" ht="22" customHeight="1">
      <ns0:c r="A74" s="1" t="n"/>
      <ns0:c r="B74" s="1" t="n"/>
      <ns0:c r="C74" s="1" t="n"/>
      <ns0:c r="D74" s="1" t="n"/>
      <ns0:c r="E74" s="1" t="n"/>
      <ns0:c r="F74" s="1" t="n"/>
      <ns0:c r="G74" s="1" t="n"/>
      <ns0:c r="H74" s="1" t="n"/>
      <ns0:c r="I74" s="1" t="n"/>
      <ns0:c r="J74" s="1" t="n"/>
      <ns0:c r="K74" s="1" t="n"/>
      <ns0:c r="L74" s="1" t="n"/>
      <ns0:c r="M74" s="1" t="n"/>
      <ns0:c r="N74" s="1" t="n"/>
      <ns0:c r="O74" s="1" t="n"/>
      <ns0:c r="P74" s="1" t="n"/>
      <ns0:c r="Q74" s="1" t="n"/>
    </ns0:row>
    <ns0:row r="75" ht="22" customHeight="1">
      <ns0:c r="A75" s="1" t="n"/>
      <ns0:c r="B75" s="1" t="n"/>
      <ns0:c r="C75" s="1" t="n"/>
      <ns0:c r="D75" s="1" t="n"/>
      <ns0:c r="E75" s="1" t="n"/>
      <ns0:c r="F75" s="1" t="n"/>
      <ns0:c r="G75" s="1" t="n"/>
      <ns0:c r="H75" s="1" t="n"/>
      <ns0:c r="I75" s="1" t="n"/>
      <ns0:c r="J75" s="1" t="n"/>
      <ns0:c r="K75" s="1" t="n"/>
      <ns0:c r="L75" s="1" t="n"/>
      <ns0:c r="M75" s="1" t="n"/>
      <ns0:c r="N75" s="1" t="n"/>
      <ns0:c r="O75" s="1" t="n"/>
      <ns0:c r="P75" s="1" t="n"/>
      <ns0:c r="Q75" s="1" t="n"/>
    </ns0:row>
    <ns0:row r="76" ht="22" customHeight="1">
      <ns0:c r="A76" s="1" t="n"/>
      <ns0:c r="B76" s="1" t="n"/>
      <ns0:c r="C76" s="1" t="n"/>
      <ns0:c r="D76" s="1" t="n"/>
      <ns0:c r="E76" s="1" t="n"/>
      <ns0:c r="F76" s="1" t="n"/>
      <ns0:c r="G76" s="1" t="n"/>
      <ns0:c r="H76" s="1" t="n"/>
      <ns0:c r="I76" s="1" t="n"/>
      <ns0:c r="J76" s="1" t="n"/>
      <ns0:c r="K76" s="1" t="n"/>
      <ns0:c r="L76" s="1" t="n"/>
      <ns0:c r="M76" s="1" t="n"/>
      <ns0:c r="N76" s="1" t="n"/>
      <ns0:c r="O76" s="1" t="n"/>
      <ns0:c r="P76" s="1" t="n"/>
      <ns0:c r="Q76" s="1" t="n"/>
    </ns0:row>
    <ns0:row r="77" ht="22" customHeight="1">
      <ns0:c r="A77" s="1" t="n"/>
      <ns0:c r="B77" s="1" t="n"/>
      <ns0:c r="C77" s="1" t="n"/>
      <ns0:c r="D77" s="1" t="n"/>
      <ns0:c r="E77" s="1" t="n"/>
      <ns0:c r="F77" s="1" t="n"/>
      <ns0:c r="G77" s="1" t="n"/>
      <ns0:c r="H77" s="1" t="n"/>
      <ns0:c r="I77" s="1" t="n"/>
      <ns0:c r="J77" s="1" t="n"/>
      <ns0:c r="K77" s="1" t="n"/>
      <ns0:c r="L77" s="1" t="n"/>
      <ns0:c r="M77" s="1" t="n"/>
      <ns0:c r="N77" s="1" t="n"/>
      <ns0:c r="O77" s="1" t="n"/>
      <ns0:c r="P77" s="1" t="n"/>
      <ns0:c r="Q77" s="1" t="n"/>
    </ns0:row>
    <ns0:row r="78" ht="22" customHeight="1">
      <ns0:c r="A78" s="1" t="n"/>
      <ns0:c r="B78" s="1" t="n"/>
      <ns0:c r="C78" s="1" t="n"/>
      <ns0:c r="D78" s="1" t="n"/>
      <ns0:c r="E78" s="1" t="n"/>
      <ns0:c r="F78" s="1" t="n"/>
      <ns0:c r="G78" s="1" t="n"/>
      <ns0:c r="H78" s="1" t="n"/>
      <ns0:c r="I78" s="1" t="n"/>
      <ns0:c r="J78" s="1" t="n"/>
      <ns0:c r="K78" s="1" t="n"/>
      <ns0:c r="L78" s="1" t="n"/>
      <ns0:c r="M78" s="1" t="n"/>
      <ns0:c r="N78" s="1" t="n"/>
      <ns0:c r="O78" s="1" t="n"/>
      <ns0:c r="P78" s="1" t="n"/>
      <ns0:c r="Q78" s="1" t="n"/>
    </ns0:row>
    <ns0:row r="79" ht="22" customHeight="1">
      <ns0:c r="A79" s="1" t="n"/>
      <ns0:c r="B79" s="1" t="n"/>
      <ns0:c r="C79" s="1" t="n"/>
      <ns0:c r="D79" s="1" t="n"/>
      <ns0:c r="E79" s="1" t="n"/>
      <ns0:c r="F79" s="1" t="n"/>
      <ns0:c r="G79" s="1" t="n"/>
      <ns0:c r="H79" s="1" t="n"/>
      <ns0:c r="I79" s="1" t="n"/>
      <ns0:c r="J79" s="1" t="n"/>
      <ns0:c r="K79" s="1" t="n"/>
      <ns0:c r="L79" s="1" t="n"/>
      <ns0:c r="M79" s="1" t="n"/>
      <ns0:c r="N79" s="1" t="n"/>
      <ns0:c r="O79" s="1" t="n"/>
      <ns0:c r="P79" s="1" t="n"/>
      <ns0:c r="Q79" s="1" t="n"/>
    </ns0:row>
    <ns0:row r="80" ht="22" customHeight="1">
      <ns0:c r="A80" s="1" t="n"/>
      <ns0:c r="B80" s="1" t="n"/>
      <ns0:c r="C80" s="1" t="n"/>
      <ns0:c r="D80" s="1" t="n"/>
      <ns0:c r="E80" s="1" t="n"/>
      <ns0:c r="F80" s="1" t="n"/>
      <ns0:c r="G80" s="1" t="n"/>
      <ns0:c r="H80" s="1" t="n"/>
      <ns0:c r="I80" s="1" t="n"/>
      <ns0:c r="J80" s="1" t="n"/>
      <ns0:c r="K80" s="1" t="n"/>
      <ns0:c r="L80" s="1" t="n"/>
      <ns0:c r="M80" s="1" t="n"/>
      <ns0:c r="N80" s="1" t="n"/>
      <ns0:c r="O80" s="1" t="n"/>
      <ns0:c r="P80" s="1" t="n"/>
      <ns0:c r="Q80" s="1" t="n"/>
    </ns0:row>
  </ns0:sheetData>
  <ns0:mergeCells count="5">
    <ns0:mergeCell ref="H4:N4"/>
    <ns0:mergeCell ref="A5:F5"/>
    <ns0:mergeCell ref="H27:N28"/>
    <ns0:mergeCell ref="H30:N32"/>
    <ns0:mergeCell ref="H24:N25"/>
  </ns0:mergeCells>
  <ns0:dataValidations count="2">
    <ns0:dataValidation sqref="B4" showDropDown="0" showInputMessage="0" showErrorMessage="0" allowBlank="1" type="list">
      <ns0:formula1>AHPairList</ns0:formula1>
    </ns0:dataValidation>
    <ns0:dataValidation sqref="E4" showDropDown="0" showInputMessage="0" showErrorMessage="1" allowBlank="0" errorTitle="Choose a price source" error="Choose Stored or Bloomberg." type="list">
      <ns0:formula1>"Stored,Bloomberg"</ns0:formula1>
    </ns0:dataValidation>
  </ns0:dataValidations>
  <ns0:printOptions horizontalCentered="1"/>
  <ns0:pageMargins left="0.75" right="0.75" top="1" bottom="1" header="0.5" footer="0.5"/>
  <ns0:pageSetup orientation="landscape" paperSize="8" fitToHeight="0" fitToWidth="1"/>
  <ns0:drawing ns1:id="rId1"/>
  <ns0:tableParts count="1">
    <ns0:tablePart ns1:id="rId2"/>
  </ns0:tableParts>
</ns0:worksheet>
</file>

<file path=xl/worksheets/sheet3.xml><?xml version="1.0" encoding="utf-8"?>
<ns0:worksheet xmlns:ns0="http://schemas.openxmlformats.org/spreadsheetml/2006/main" xmlns:ns1="http://schemas.openxmlformats.org/officeDocument/2006/relationships">
  <ns0:sheetPr>
    <ns0:tabColor rgb="FF1F4E79"/>
    <ns0:outlinePr summaryBelow="1" summaryRight="1"/>
    <ns0:pageSetUpPr fitToPage="1"/>
  </ns0:sheetPr>
  <ns0:dimension ref="A1:BW61"/>
  <ns0:sheetViews>
    <ns0:sheetView showGridLines="0" zoomScale="90" workbookViewId="0">
      <ns0:pane xSplit="2" topLeftCell="C1" activePane="topRight" state="frozen"/>
      <ns0:selection pane="topRight" activeCell="A1" sqref="A1"/>
    </ns0:sheetView>
  </ns0:sheetViews>
  <ns0:sheetFormatPr baseColWidth="8" defaultRowHeight="15"/>
  <ns0:cols>
    <ns0:col width="27" customWidth="1" min="1" max="1"/>
    <ns0:col width="22" customWidth="1" min="2" max="2"/>
    <ns0:col width="14" customWidth="1" min="3" max="3"/>
    <ns0:col width="12" customWidth="1" min="4" max="4"/>
    <ns0:col width="22" customWidth="1" min="5" max="5"/>
    <ns0:col width="20" customWidth="1" min="6" max="6"/>
    <ns0:col width="24" customWidth="1" min="7" max="7"/>
    <ns0:col width="17" customWidth="1" min="8" max="8"/>
    <ns0:col width="12" customWidth="1" min="9" max="9"/>
    <ns0:col width="9" customWidth="1" min="10" max="10"/>
    <ns0:col width="9" customWidth="1" min="11" max="11"/>
    <ns0:col width="9" customWidth="1" min="12" max="12"/>
    <ns0:col width="8" customWidth="1" min="13" max="13"/>
    <ns0:col width="8" customWidth="1" min="14" max="14"/>
    <ns0:col width="11" customWidth="1" min="15" max="15"/>
    <ns0:col width="12" customWidth="1" min="16" max="16"/>
    <ns0:col width="10" customWidth="1" min="17" max="17"/>
    <ns0:col width="9" customWidth="1" min="18" max="18"/>
    <ns0:col width="11" customWidth="1" min="19" max="19"/>
    <ns0:col width="8" customWidth="1" min="20" max="20"/>
    <ns0:col width="10" customWidth="1" min="21" max="21"/>
    <ns0:col width="8" customWidth="1" min="22" max="22"/>
    <ns0:col width="13" customWidth="1" min="23" max="23"/>
    <ns0:col width="15" customWidth="1" min="24" max="24"/>
    <ns0:col width="11" customWidth="1" min="25" max="25"/>
    <ns0:col width="46" customWidth="1" min="26" max="26"/>
    <ns0:col width="9" customWidth="1" min="27" max="27"/>
    <ns0:col width="17" customWidth="1" min="28" max="28"/>
    <ns0:col width="13" customWidth="1" min="29" max="29"/>
    <ns0:col width="34" customWidth="1" min="30" max="30"/>
    <ns0:col width="14" customWidth="1" min="31" max="31"/>
    <ns0:col width="14" customWidth="1" min="32" max="32"/>
    <ns0:col width="9" customWidth="1" min="33" max="33"/>
    <ns0:col width="18" customWidth="1" min="34" max="34"/>
    <ns0:col width="10" customWidth="1" min="35" max="35"/>
    <ns0:col width="11" customWidth="1" min="36" max="36"/>
    <ns0:col width="10" customWidth="1" min="37" max="37"/>
    <ns0:col width="9" customWidth="1" min="38" max="38"/>
    <ns0:col width="9" customWidth="1" min="39" max="39"/>
    <ns0:col width="9" customWidth="1" min="40" max="40"/>
    <ns0:col width="9" customWidth="1" min="41" max="41"/>
    <ns0:col width="9" customWidth="1" min="42" max="42"/>
    <ns0:col width="9" customWidth="1" min="43" max="43"/>
    <ns0:col width="9" customWidth="1" min="44" max="44"/>
    <ns0:col width="10" customWidth="1" min="45" max="45"/>
    <ns0:col width="10" customWidth="1" min="46" max="46"/>
    <ns0:col width="10" customWidth="1" min="47" max="47"/>
    <ns0:col width="10" customWidth="1" min="48" max="48"/>
    <ns0:col width="11" customWidth="1" min="49" max="49"/>
    <ns0:col width="11" customWidth="1" min="50" max="50"/>
    <ns0:col width="10" customWidth="1" min="51" max="51"/>
    <ns0:col width="11" customWidth="1" min="52" max="52"/>
    <ns0:col width="11" customWidth="1" min="53" max="53"/>
    <ns0:col width="8" customWidth="1" min="54" max="54"/>
    <ns0:col width="8" customWidth="1" min="55" max="55"/>
    <ns0:col width="10" customWidth="1" min="56" max="56"/>
    <ns0:col width="10" customWidth="1" min="57" max="57"/>
    <ns0:col width="8" customWidth="1" min="58" max="58"/>
    <ns0:col width="11" customWidth="1" min="59" max="59"/>
    <ns0:col width="10" customWidth="1" min="60" max="60"/>
    <ns0:col width="10" customWidth="1" min="61" max="61"/>
    <ns0:col width="8" customWidth="1" min="62" max="62"/>
    <ns0:col width="11" customWidth="1" min="63" max="63"/>
    <ns0:col width="11" customWidth="1" min="64" max="64"/>
    <ns0:col width="10" customWidth="1" min="65" max="65"/>
    <ns0:col width="11" customWidth="1" min="66" max="66"/>
    <ns0:col width="14" customWidth="1" min="67" max="67"/>
    <ns0:col width="11" customWidth="1" min="68" max="68"/>
    <ns0:col width="11" customWidth="1" min="69" max="69"/>
    <ns0:col width="30" customWidth="1" min="70" max="70"/>
    <ns0:col width="34" customWidth="1" min="71" max="71"/>
    <ns0:col width="9" customWidth="1" min="72" max="72"/>
    <ns0:col width="14" customWidth="1" min="73" max="73"/>
    <ns0:col width="8" customWidth="1" min="74" max="74"/>
    <ns0:col width="46" customWidth="1" min="75" max="75"/>
  </ns0:cols>
  <ns0:sheetData>
    <ns0:row r="1" ht="30" customHeight="1">
      <ns0:c r="A1" s="16" t="inlineStr">
        <ns0:is>
          <ns0:t>COMPS SCREENER</ns0:t>
        </ns0:is>
      </ns0:c>
    </ns0:row>
    <ns0:row r="2" ht="34" customHeight="1">
      <ns0:c r="A2" s="17" t="inlineStr">
        <ns0:is>
          <ns0:t>Pick a deal in the blue cell, or type your own terms in the override column. Comps rank same-subsector first. Blue = input, grey = calculated.</ns0:t>
        </ns0:is>
      </ns0:c>
    </ns0:row>
    <ns0:row r="3"/>
    <ns0:row r="4" ht="30" customHeight="1">
      <ns0:c r="A4" s="231" t="inlineStr">
        <ns0:is>
          <ns0:t>TARGET</ns0:t>
        </ns0:is>
      </ns0:c>
      <ns0:c r="B4" s="232" t="n"/>
      <ns0:c r="C4" s="232" t="n"/>
      <ns0:c r="D4" s="232" t="n"/>
      <ns0:c r="E4" s="233" t="n"/>
    </ns0:row>
    <ns0:row r="5" ht="34" customHeight="1">
      <ns0:c r="A5" s="21" t="inlineStr">
        <ns0:is>
          <ns0:t>Pick a deal (pipeline or listed)</ns0:t>
        </ns0:is>
      </ns0:c>
      <ns0:c r="B5" s="234" t="inlineStr">
        <ns0:is>
          <ns0:t>Beijing ESWIN Computing Technology Co., Ltd.</ns0:t>
        </ns0:is>
      </ns0:c>
      <ns0:c r="C5" s="255" t="n"/>
      <ns0:c r="D5" s="255" t="n"/>
      <ns0:c r="E5" s="255" t="n"/>
      <ns0:c r="F5" s="255" t="n"/>
      <ns0:c r="G5" s="24">
        <ns0:f>IF(AND($D$8="",N($D$9)&lt;=0),"No subsector or size set: ranking on profile and recency only.",IF($D$8="","No subsector set: ranking on size, profile and recency.",IF(N($D$9)&lt;=0,"No deal size yet: ranking on subsector, profile and recency. Type an expected size to add size proximity.","Ranking on "&amp;$D$8&amp;", size HK$"&amp;TEXT($D$9,"#,##0")&amp;"m.")))</ns0:f>
        <ns0:v/>
      </ns0:c>
    </ns0:row>
    <ns0:row r="6" ht="30" customHeight="1">
      <ns0:c r="A6" s="235" t="inlineStr">
        <ns0:is>
          <ns0:t>Attribute</ns0:t>
        </ns0:is>
      </ns0:c>
      <ns0:c r="B6" s="229" t="inlineStr">
        <ns0:is>
          <ns0:t>From the pick</ns0:t>
        </ns0:is>
      </ns0:c>
      <ns0:c r="C6" s="229" t="inlineStr">
        <ns0:is>
          <ns0:t>Override (type)</ns0:t>
        </ns0:is>
      </ns0:c>
      <ns0:c r="D6" s="229" t="inlineStr">
        <ns0:is>
          <ns0:t>Used</ns0:t>
        </ns0:is>
      </ns0:c>
      <ns0:c r="E6" s="236" t="inlineStr"/>
    </ns0:row>
    <ns0:row r="7" ht="30" customHeight="1">
      <ns0:c r="A7" s="21" t="inlineStr">
        <ns0:is>
          <ns0:t>Sector</ns0:t>
        </ns0:is>
      </ns0:c>
      <ns0:c r="B7" s="24">
        <ns0:f>IFERROR(INDEX('Calc (scoring engine)'!$AB$3:$AB$539,MATCH($B$5,AllDeals,0)),"")</ns0:f>
        <ns0:v/>
      </ns0:c>
      <ns0:c r="C7" s="237" t="n"/>
      <ns0:c r="D7" s="24">
        <ns0:f>IF($C7&lt;&gt;"",$C7,$B7)</ns0:f>
        <ns0:v/>
      </ns0:c>
      <ns0:c r="E7" s="29" t="n"/>
      <ns0:c r="G7" s="238" t="inlineStr">
        <ns0:is>
          <ns0:t>SIZE BENCHMARK</ns0:t>
        </ns0:is>
      </ns0:c>
      <ns0:c r="H7" s="23" t="n"/>
    </ns0:row>
    <ns0:row r="8" ht="16" customHeight="1">
      <ns0:c r="A8" s="21" t="inlineStr">
        <ns0:is>
          <ns0:t>Subsector (ranks first)</ns0:t>
        </ns0:is>
      </ns0:c>
      <ns0:c r="B8" s="24">
        <ns0:f>IFERROR(INDEX('Calc (scoring engine)'!$AC$3:$AC$539,MATCH($B$5,AllDeals,0)),"")</ns0:f>
        <ns0:v/>
      </ns0:c>
      <ns0:c r="C8" s="237" t="n"/>
      <ns0:c r="D8" s="24">
        <ns0:f>IF($C8&lt;&gt;"",$C8,$B8)</ns0:f>
        <ns0:v/>
      </ns0:c>
      <ns0:c r="E8" s="31" t="n"/>
      <ns0:c r="G8" s="32" t="inlineStr">
        <ns0:is>
          <ns0:t>Percentile vs 2021-26 deals</ns0:t>
        </ns0:is>
      </ns0:c>
      <ns0:c r="H8" s="33">
        <ns0:f>IF(N($D$9)&lt;=0,"n/a",COUNTIF(Database!$I$5:$I$528,"&lt;"&amp;$D$9)/COUNT(Database!$I$5:$I$528))</ns0:f>
        <ns0:v/>
      </ns0:c>
    </ns0:row>
    <ns0:row r="9" ht="16" customHeight="1">
      <ns0:c r="A9" s="21" t="inlineStr">
        <ns0:is>
          <ns0:t>Size (HK$m)</ns0:t>
        </ns0:is>
      </ns0:c>
      <ns0:c r="B9" s="34">
        <ns0:f>IFERROR(INDEX('Calc (scoring engine)'!$AD$3:$AD$539,MATCH($B$5,AllDeals,0)),"")</ns0:f>
        <ns0:v/>
      </ns0:c>
      <ns0:c r="C9" s="239" t="n"/>
      <ns0:c r="D9" s="34">
        <ns0:f>IF($C9&lt;&gt;"",$C9,$B9)</ns0:f>
        <ns0:v/>
      </ns0:c>
      <ns0:c r="E9" s="29" t="n"/>
      <ns0:c r="G9" s="32" t="inlineStr">
        <ns0:is>
          <ns0:t>Bucket</ns0:t>
        </ns0:is>
      </ns0:c>
      <ns0:c r="H9" s="24">
        <ns0:f>IF(N($D$9)&lt;=0,"size not set",IF($D$9&gt;=20000,"Mega",IF($D$9&gt;=5000,"Large",IF($D$9&gt;=1000,"Mid","Small"))))</ns0:f>
        <ns0:v/>
      </ns0:c>
    </ns0:row>
    <ns0:row r="10" ht="16" customHeight="1">
      <ns0:c r="A10" s="21" t="inlineStr">
        <ns0:is>
          <ns0:t>Profitable (Y/N)</ns0:t>
        </ns0:is>
      </ns0:c>
      <ns0:c r="B10" s="24">
        <ns0:f>IFERROR(INDEX('Calc (scoring engine)'!$AE$3:$AE$539,MATCH($B$5,AllDeals,0)),"")</ns0:f>
        <ns0:v/>
      </ns0:c>
      <ns0:c r="C10" s="237" t="n"/>
      <ns0:c r="D10" s="24">
        <ns0:f>IF($C10&lt;&gt;"",$C10,$B10)</ns0:f>
        <ns0:v/>
      </ns0:c>
      <ns0:c r="E10" s="31" t="n"/>
    </ns0:row>
    <ns0:row r="11" ht="30" customHeight="1">
      <ns0:c r="A11" s="21" t="inlineStr">
        <ns0:is>
          <ns0:t>H-share (Y/N)</ns0:t>
        </ns0:is>
      </ns0:c>
      <ns0:c r="B11" s="24">
        <ns0:f>IFERROR(INDEX('Calc (scoring engine)'!$AF$3:$AF$539,MATCH($B$5,AllDeals,0)),"")</ns0:f>
        <ns0:v/>
      </ns0:c>
      <ns0:c r="C11" s="237" t="n"/>
      <ns0:c r="D11" s="24">
        <ns0:f>IF($C11&lt;&gt;"",$C11,$B11)</ns0:f>
        <ns0:v/>
      </ns0:c>
      <ns0:c r="E11" s="29" t="n"/>
      <ns0:c r="G11" s="238" t="inlineStr">
        <ns0:is>
          <ns0:t>ON FILE FOR THIS DEAL</ns0:t>
        </ns0:is>
      </ns0:c>
      <ns0:c r="H11" s="23" t="n"/>
    </ns0:row>
    <ns0:row r="12" ht="16" customHeight="1">
      <ns0:c r="A12" s="21" t="inlineStr">
        <ns0:is>
          <ns0:t>IPO / expected date</ns0:t>
        </ns0:is>
      </ns0:c>
      <ns0:c r="B12" s="36">
        <ns0:f>IFERROR(INDEX('Calc (scoring engine)'!$AG$3:$AG$539,MATCH($B$5,AllDeals,0)),"")</ns0:f>
        <ns0:v/>
      </ns0:c>
      <ns0:c r="C12" s="240" t="n"/>
      <ns0:c r="D12" s="36">
        <ns0:f>IF($C12&lt;&gt;"",$C12,IF(ISNUMBER($B12),$B12,IFERROR(DATEVALUE($B12),TODAY())))</ns0:f>
        <ns0:v/>
      </ns0:c>
      <ns0:c r="E12" s="31" t="n"/>
      <ns0:c r="G12" s="32" t="inlineStr">
        <ns0:is>
          <ns0:t>Day-1</ns0:t>
        </ns0:is>
      </ns0:c>
      <ns0:c r="H12" s="38">
        <ns0:f>IFERROR(IF(INDEX(Database!$AJ$5:$AJ$528,MATCH($B$5,Database!$B$5:$B$528,0))="","—",INDEX(Database!$AJ$5:$AJ$528,MATCH($B$5,Database!$B$5:$B$528,0))),"not listed yet")</ns0:f>
        <ns0:v/>
      </ns0:c>
    </ns0:row>
    <ns0:row r="13" ht="16" customHeight="1">
      <ns0:c r="A13" s="21" t="inlineStr">
        <ns0:is>
          <ns0:t>Target P/E (x)</ns0:t>
        </ns0:is>
      </ns0:c>
      <ns0:c r="B13" s="39">
        <ns0:f>IFERROR(INDEX('Calc (scoring engine)'!$AH$3:$AH$539,MATCH($B$5,AllDeals,0)),"")</ns0:f>
        <ns0:v/>
      </ns0:c>
      <ns0:c r="C13" s="241" t="n"/>
      <ns0:c r="D13" s="39">
        <ns0:f>IF($C13&lt;&gt;"",$C13,$B13)</ns0:f>
        <ns0:v/>
      </ns0:c>
      <ns0:c r="E13" s="29" t="n"/>
      <ns0:c r="G13" s="32" t="inlineStr">
        <ns0:is>
          <ns0:t>1-month</ns0:t>
        </ns0:is>
      </ns0:c>
      <ns0:c r="H13" s="38">
        <ns0:f>IFERROR(IF(INDEX(Database!$AQ$5:$AQ$528,MATCH($B$5,Database!$B$5:$B$528,0))="","—",INDEX(Database!$AQ$5:$AQ$528,MATCH($B$5,Database!$B$5:$B$528,0))),"not listed yet")</ns0:f>
        <ns0:v/>
      </ns0:c>
    </ns0:row>
    <ns0:row r="14" ht="16" customHeight="1">
      <ns0:c r="A14" s="21" t="inlineStr">
        <ns0:is>
          <ns0:t>Public sub (x), expected</ns0:t>
        </ns0:is>
      </ns0:c>
      <ns0:c r="B14" s="41">
        <ns0:f>IFERROR(INDEX(Database!$S$5:$S$528,MATCH($B$5,Database!$B$5:$B$528,0)),"")</ns0:f>
        <ns0:v/>
      </ns0:c>
      <ns0:c r="C14" s="242" t="n"/>
      <ns0:c r="D14" s="41">
        <ns0:f>IF($C14&lt;&gt;"",$C14,$B14)</ns0:f>
        <ns0:v/>
      </ns0:c>
      <ns0:c r="E14" s="31" t="n"/>
      <ns0:c r="G14" s="32" t="inlineStr">
        <ns0:is>
          <ns0:t>Public sub (x)</ns0:t>
        </ns0:is>
      </ns0:c>
      <ns0:c r="H14" s="41">
        <ns0:f>IFERROR(IF(INDEX(Database!$S$5:$S$528,MATCH($B$5,Database!$B$5:$B$528,0))="","—",INDEX(Database!$S$5:$S$528,MATCH($B$5,Database!$B$5:$B$528,0))),"not listed yet")</ns0:f>
        <ns0:v/>
      </ns0:c>
    </ns0:row>
    <ns0:row r="15" ht="30" customHeight="1">
      <ns0:c r="A15" s="243" t="inlineStr">
        <ns0:is>
          <ns0:t>RANK AND FILTER</ns0:t>
        </ns0:is>
      </ns0:c>
      <ns0:c r="B15" s="244" t="inlineStr">
        <ns0:is>
          <ns0:t>Setting</ns0:t>
        </ns0:is>
      </ns0:c>
      <ns0:c r="C15" s="244" t="inlineStr"/>
      <ns0:c r="D15" s="244" t="inlineStr"/>
      <ns0:c r="E15" s="245" t="inlineStr"/>
      <ns0:c r="G15" s="32" t="inlineStr">
        <ns0:is>
          <ns0:t>Cornerstone %</ns0:t>
        </ns0:is>
      </ns0:c>
      <ns0:c r="H15" s="44">
        <ns0:f>IFERROR(IF(INDEX(Database!$U$5:$U$528,MATCH($B$5,Database!$B$5:$B$528,0))="","—",INDEX(Database!$U$5:$U$528,MATCH($B$5,Database!$B$5:$B$528,0))),"not listed yet")</ns0:f>
        <ns0:v/>
      </ns0:c>
    </ns0:row>
    <ns0:row r="16" ht="16" customHeight="1">
      <ns0:c r="A16" s="21" t="inlineStr">
        <ns0:is>
          <ns0:t>Rank by</ns0:t>
        </ns0:is>
      </ns0:c>
      <ns0:c r="B16" s="246" t="inlineStr">
        <ns0:is>
          <ns0:t>standard</ns0:t>
        </ns0:is>
      </ns0:c>
      <ns0:c r="C16" s="46" t="n"/>
      <ns0:c r="D16" s="46" t="n"/>
      <ns0:c r="E16" s="29" t="n"/>
      <ns0:c r="G16" s="32" t="inlineStr">
        <ns0:is>
          <ns0:t>Sponsors</ns0:t>
        </ns0:is>
      </ns0:c>
      <ns0:c r="H16" s="24">
        <ns0:f>IFERROR(IF(INDEX(Database!$BU$5:$BU$528,MATCH($B$5,Database!$B$5:$B$528,0))="","—",INDEX(Database!$BU$5:$BU$528,MATCH($B$5,Database!$B$5:$B$528,0))),"not listed yet")</ns0:f>
        <ns0:v/>
      </ns0:c>
    </ns0:row>
    <ns0:row r="17" ht="16" customHeight="1">
      <ns0:c r="A17" s="21" t="inlineStr">
        <ns0:is>
          <ns0:t>Cornerstone investor to match (e.g. hillhouse)</ns0:t>
        </ns0:is>
      </ns0:c>
      <ns0:c r="B17" s="237" t="n"/>
      <ns0:c r="C17" s="32" t="inlineStr">
        <ns0:is>
          <ns0:t>Force-include codes (9888, 2015)</ns0:t>
        </ns0:is>
      </ns0:c>
      <ns0:c r="D17" s="237" t="n"/>
      <ns0:c r="E17" s="29" t="n"/>
    </ns0:row>
    <ns0:row r="18" ht="16" customHeight="1">
      <ns0:c r="A18" s="47" t="inlineStr">
        <ns0:is>
          <ns0:t>A-share filter</ns0:t>
        </ns0:is>
      </ns0:c>
      <ns0:c r="B18" s="247" t="inlineStr">
        <ns0:is>
          <ns0:t>All</ns0:t>
        </ns0:is>
      </ns0:c>
      <ns0:c r="C18" s="49" t="inlineStr">
        <ns0:is>
          <ns0:t>Comps to show (3-15)</ns0:t>
        </ns0:is>
      </ns0:c>
      <ns0:c r="D18" s="248" t="n">
        <ns0:v>10</ns0:v>
      </ns0:c>
      <ns0:c r="E18" s="51" t="n"/>
    </ns0:row>
    <ns0:row r="19" ht="30" customHeight="1">
      <ns0:c r="A19" s="221" t="inlineStr">
        <ns0:is>
          <ns0:t>IDENTITY</ns0:t>
        </ns0:is>
      </ns0:c>
      <ns0:c r="B19" s="23" t="n"/>
      <ns0:c r="C19" s="23" t="n"/>
      <ns0:c r="D19" s="23" t="n"/>
      <ns0:c r="E19" s="23" t="n"/>
      <ns0:c r="F19" s="23" t="n"/>
      <ns0:c r="G19" s="23" t="n"/>
      <ns0:c r="H19" s="23" t="n"/>
      <ns0:c r="I19" s="222" t="inlineStr">
        <ns0:is>
          <ns0:t>DEAL TERMS</ns0:t>
        </ns0:is>
      </ns0:c>
      <ns0:c r="J19" s="23" t="n"/>
      <ns0:c r="K19" s="23" t="n"/>
      <ns0:c r="L19" s="23" t="n"/>
      <ns0:c r="M19" s="23" t="n"/>
      <ns0:c r="N19" s="23" t="n"/>
      <ns0:c r="O19" s="23" t="n"/>
      <ns0:c r="P19" s="23" t="n"/>
      <ns0:c r="Q19" s="223" t="inlineStr">
        <ns0:is>
          <ns0:t>DEMAND</ns0:t>
        </ns0:is>
      </ns0:c>
      <ns0:c r="R19" s="23" t="n"/>
      <ns0:c r="S19" s="23" t="n"/>
      <ns0:c r="T19" s="23" t="n"/>
      <ns0:c r="U19" s="23" t="n"/>
      <ns0:c r="V19" s="23" t="n"/>
      <ns0:c r="W19" s="23" t="n"/>
      <ns0:c r="X19" s="23" t="n"/>
      <ns0:c r="Y19" s="23" t="n"/>
      <ns0:c r="Z19" s="23" t="n"/>
      <ns0:c r="AA19" s="23" t="n"/>
      <ns0:c r="AB19" s="23" t="n"/>
      <ns0:c r="AC19" s="23" t="n"/>
      <ns0:c r="AD19" s="23" t="n"/>
      <ns0:c r="AE19" s="23" t="n"/>
      <ns0:c r="AF19" s="224" t="inlineStr">
        <ns0:is>
          <ns0:t>PERFORMANCE</ns0:t>
        </ns0:is>
      </ns0:c>
      <ns0:c r="AG19" s="23" t="n"/>
      <ns0:c r="AH19" s="23" t="n"/>
      <ns0:c r="AI19" s="23" t="n"/>
      <ns0:c r="AJ19" s="23" t="n"/>
      <ns0:c r="AK19" s="23" t="n"/>
      <ns0:c r="AL19" s="23" t="n"/>
      <ns0:c r="AM19" s="23" t="n"/>
      <ns0:c r="AN19" s="23" t="n"/>
      <ns0:c r="AO19" s="23" t="n"/>
      <ns0:c r="AP19" s="23" t="n"/>
      <ns0:c r="AQ19" s="23" t="n"/>
      <ns0:c r="AR19" s="23" t="n"/>
      <ns0:c r="AS19" s="23" t="n"/>
      <ns0:c r="AT19" s="23" t="n"/>
      <ns0:c r="AU19" s="23" t="n"/>
      <ns0:c r="AV19" s="23" t="n"/>
      <ns0:c r="AW19" s="23" t="n"/>
      <ns0:c r="AX19" s="23" t="n"/>
      <ns0:c r="AY19" s="23" t="n"/>
      <ns0:c r="AZ19" s="225" t="inlineStr">
        <ns0:is>
          <ns0:t>FUNDAMENTALS</ns0:t>
        </ns0:is>
      </ns0:c>
      <ns0:c r="BA19" s="23" t="n"/>
      <ns0:c r="BB19" s="23" t="n"/>
      <ns0:c r="BC19" s="23" t="n"/>
      <ns0:c r="BD19" s="23" t="n"/>
      <ns0:c r="BE19" s="23" t="n"/>
      <ns0:c r="BF19" s="23" t="n"/>
      <ns0:c r="BG19" s="23" t="n"/>
      <ns0:c r="BH19" s="23" t="n"/>
      <ns0:c r="BI19" s="23" t="n"/>
      <ns0:c r="BJ19" s="226" t="inlineStr">
        <ns0:is>
          <ns0:t>A / H</ns0:t>
        </ns0:is>
      </ns0:c>
      <ns0:c r="BK19" s="23" t="n"/>
      <ns0:c r="BL19" s="23" t="n"/>
      <ns0:c r="BM19" s="23" t="n"/>
      <ns0:c r="BN19" s="23" t="n"/>
      <ns0:c r="BO19" s="23" t="n"/>
      <ns0:c r="BP19" s="23" t="n"/>
      <ns0:c r="BQ19" s="23" t="n"/>
      <ns0:c r="BR19" s="227" t="inlineStr">
        <ns0:is>
          <ns0:t>BANKS &amp; DOCS</ns0:t>
        </ns0:is>
      </ns0:c>
      <ns0:c r="BS19" s="23" t="n"/>
      <ns0:c r="BT19" s="228" t="inlineStr">
        <ns0:is>
          <ns0:t>SCORING</ns0:t>
        </ns0:is>
      </ns0:c>
      <ns0:c r="BU19" s="23" t="n"/>
      <ns0:c r="BV19" s="23" t="n"/>
      <ns0:c r="BW19" s="23" t="n"/>
    </ns0:row>
    <ns0:row r="20" ht="48" customHeight="1">
      <ns0:c r="A20" s="229" t="inlineStr">
        <ns0:is>
          <ns0:t>Rank</ns0:t>
        </ns0:is>
      </ns0:c>
      <ns0:c r="B20" s="229" t="inlineStr">
        <ns0:is>
          <ns0:t>Name</ns0:t>
        </ns0:is>
      </ns0:c>
      <ns0:c r="C20" s="229" t="inlineStr">
        <ns0:is>
          <ns0:t>Code</ns0:t>
        </ns0:is>
      </ns0:c>
      <ns0:c r="D20" s="229" t="inlineStr">
        <ns0:is>
          <ns0:t>Sector</ns0:t>
        </ns0:is>
      </ns0:c>
      <ns0:c r="E20" s="229" t="inlineStr">
        <ns0:is>
          <ns0:t>Subsector</ns0:t>
        </ns0:is>
      </ns0:c>
      <ns0:c r="F20" s="229" t="inlineStr">
        <ns0:is>
          <ns0:t>Industry (AAStocks)</ns0:t>
        </ns0:is>
      </ns0:c>
      <ns0:c r="G20" s="229" t="inlineStr">
        <ns0:is>
          <ns0:t>Regime</ns0:t>
        </ns0:is>
      </ns0:c>
      <ns0:c r="H20" s="229" t="inlineStr">
        <ns0:is>
          <ns0:t>IPO date</ns0:t>
        </ns0:is>
      </ns0:c>
      <ns0:c r="I20" s="229" t="inlineStr">
        <ns0:is>
          <ns0:t>Deal size (HK$m)</ns0:t>
        </ns0:is>
      </ns0:c>
      <ns0:c r="J20" s="229" t="inlineStr">
        <ns0:is>
          <ns0:t>Range low (HK$)</ns0:t>
        </ns0:is>
      </ns0:c>
      <ns0:c r="K20" s="229" t="inlineStr">
        <ns0:is>
          <ns0:t>Max/cap (HK$)</ns0:t>
        </ns0:is>
      </ns0:c>
      <ns0:c r="L20" s="229" t="inlineStr">
        <ns0:is>
          <ns0:t>Final px (HK$)</ns0:t>
        </ns0:is>
      </ns0:c>
      <ns0:c r="M20" s="229" t="inlineStr">
        <ns0:is>
          <ns0:t>Priced at cap</ns0:t>
        </ns0:is>
      </ns0:c>
      <ns0:c r="N20" s="229" t="inlineStr">
        <ns0:is>
          <ns0:t>% of cap</ns0:t>
        </ns0:is>
      </ns0:c>
      <ns0:c r="O20" s="229" t="inlineStr">
        <ns0:is>
          <ns0:t>Priced in range %</ns0:t>
        </ns0:is>
      </ns0:c>
      <ns0:c r="P20" s="229" t="inlineStr">
        <ns0:is>
          <ns0:t>Mkt cap at IPO (HK$m)</ns0:t>
        </ns0:is>
      </ns0:c>
      <ns0:c r="Q20" s="229" t="inlineStr">
        <ns0:is>
          <ns0:t>Public sub (x)</ns0:t>
        </ns0:is>
      </ns0:c>
      <ns0:c r="R20" s="229" t="inlineStr">
        <ns0:is>
          <ns0:t>Intl sub (x)</ns0:t>
        </ns0:is>
      </ns0:c>
      <ns0:c r="S20" s="229" t="inlineStr">
        <ns0:is>
          <ns0:t>Cornerstone %</ns0:t>
        </ns0:is>
      </ns0:c>
      <ns0:c r="T20" s="229" t="inlineStr">
        <ns0:is>
          <ns0:t>Intl placees</ns0:t>
        </ns0:is>
      </ns0:c>
      <ns0:c r="U20" s="229" t="inlineStr">
        <ns0:is>
          <ns0:t>Public alloc % (final)</ns0:t>
        </ns0:is>
      </ns0:c>
      <ns0:c r="V20" s="229" t="inlineStr">
        <ns0:is>
          <ns0:t>Clawback</ns0:t>
        </ns0:is>
      </ns0:c>
      <ns0:c r="W20" s="229" t="inlineStr">
        <ns0:is>
          <ns0:t>Eff. free float (HK$m)</ns0:t>
        </ns0:is>
      </ns0:c>
      <ns0:c r="X20" s="229" t="inlineStr">
        <ns0:is>
          <ns0:t>Eff. free float (shares)</ns0:t>
        </ns0:is>
      </ns0:c>
      <ns0:c r="Y20" s="229" t="inlineStr">
        <ns0:is>
          <ns0:t>Eff. free float (% of cap)</ns0:t>
        </ns0:is>
      </ns0:c>
      <ns0:c r="Z20" s="229" t="inlineStr">
        <ns0:is>
          <ns0:t>Cornerstone investors</ns0:t>
        </ns0:is>
      </ns0:c>
      <ns0:c r="AA20" s="229" t="inlineStr">
        <ns0:is>
          <ns0:t>Greenshoe size (%)</ns0:t>
        </ns0:is>
      </ns0:c>
      <ns0:c r="AB20" s="229" t="inlineStr">
        <ns0:is>
          <ns0:t>Shoe outcome (final)</ns0:t>
        </ns0:is>
      </ns0:c>
      <ns0:c r="AC20" s="229" t="inlineStr">
        <ns0:is>
          <ns0:t>Shoe ends (filed)</ns0:t>
        </ns0:is>
      </ns0:c>
      <ns0:c r="AD20" s="229" t="inlineStr">
        <ns0:is>
          <ns0:t>Stabilising manager</ns0:t>
        </ns0:is>
      </ns0:c>
      <ns0:c r="AE20" s="229" t="inlineStr">
        <ns0:is>
          <ns0:t>SM key</ns0:t>
        </ns0:is>
      </ns0:c>
      <ns0:c r="AF20" s="229" t="inlineStr">
        <ns0:is>
          <ns0:t>Grey mkt % vs offer</ns0:t>
        </ns0:is>
      </ns0:c>
      <ns0:c r="AG20" s="229" t="inlineStr">
        <ns0:is>
          <ns0:t>Day-1</ns0:t>
        </ns0:is>
      </ns0:c>
      <ns0:c r="AH20" s="229" t="inlineStr">
        <ns0:is>
          <ns0:t>Benchmark index Day-1</ns0:t>
        </ns0:is>
      </ns0:c>
      <ns0:c r="AI20" s="229" t="inlineStr">
        <ns0:is>
          <ns0:t>Day-1 open pop</ns0:t>
        </ns0:is>
      </ns0:c>
      <ns0:c r="AJ20" s="229" t="inlineStr">
        <ns0:is>
          <ns0:t>Day-1 open to close</ns0:t>
        </ns0:is>
      </ns0:c>
      <ns0:c r="AK20" s="229" t="inlineStr">
        <ns0:is>
          <ns0:t>Day-1 vol / retail float (x)</ns0:t>
        </ns0:is>
      </ns0:c>
      <ns0:c r="AL20" s="229" t="inlineStr">
        <ns0:is>
          <ns0:t>Day-1 range %</ns0:t>
        </ns0:is>
      </ns0:c>
      <ns0:c r="AM20" s="229" t="inlineStr">
        <ns0:is>
          <ns0:t>1-week</ns0:t>
        </ns0:is>
      </ns0:c>
      <ns0:c r="AN20" s="229" t="inlineStr">
        <ns0:is>
          <ns0:t>1-month</ns0:t>
        </ns0:is>
      </ns0:c>
      <ns0:c r="AO20" s="229" t="inlineStr">
        <ns0:is>
          <ns0:t>3-month</ns0:t>
        </ns0:is>
      </ns0:c>
      <ns0:c r="AP20" s="230" t="inlineStr">
        <ns0:is>
          <ns0:t>1w ex-pop</ns0:t>
        </ns0:is>
      </ns0:c>
      <ns0:c r="AQ20" s="230" t="inlineStr">
        <ns0:is>
          <ns0:t>1m ex-pop</ns0:t>
        </ns0:is>
      </ns0:c>
      <ns0:c r="AR20" s="230" t="inlineStr">
        <ns0:is>
          <ns0:t>3m ex-pop</ns0:t>
        </ns0:is>
      </ns0:c>
      <ns0:c r="AS20" s="229" t="inlineStr">
        <ns0:is>
          <ns0:t>Alpha 1w vs index</ns0:t>
        </ns0:is>
      </ns0:c>
      <ns0:c r="AT20" s="229" t="inlineStr">
        <ns0:is>
          <ns0:t>Alpha 1m vs index</ns0:t>
        </ns0:is>
      </ns0:c>
      <ns0:c r="AU20" s="229" t="inlineStr">
        <ns0:is>
          <ns0:t>Alpha 3m vs index</ns0:t>
        </ns0:is>
      </ns0:c>
      <ns0:c r="AV20" s="230" t="inlineStr">
        <ns0:is>
          <ns0:t>Alpha 1m ex-pop</ns0:t>
        </ns0:is>
      </ns0:c>
      <ns0:c r="AW20" s="229" t="inlineStr">
        <ns0:is>
          <ns0:t>Index, IPO to 1m</ns0:t>
        </ns0:is>
      </ns0:c>
      <ns0:c r="AX20" s="229" t="inlineStr">
        <ns0:is>
          <ns0:t>Index, day-1 to 1m</ns0:t>
        </ns0:is>
      </ns0:c>
      <ns0:c r="AY20" s="229" t="inlineStr">
        <ns0:is>
          <ns0:t>Since IPO</ns0:t>
        </ns0:is>
      </ns0:c>
      <ns0:c r="AZ20" s="229" t="inlineStr">
        <ns0:is>
          <ns0:t>Latest FY rev (HK$m)</ns0:t>
        </ns0:is>
      </ns0:c>
      <ns0:c r="BA20" s="229" t="inlineStr">
        <ns0:is>
          <ns0:t>Latest FY NI (HK$m)</ns0:t>
        </ns0:is>
      </ns0:c>
      <ns0:c r="BB20" s="229" t="inlineStr">
        <ns0:is>
          <ns0:t>Profitable</ns0:t>
        </ns0:is>
      </ns0:c>
      <ns0:c r="BC20" s="229" t="inlineStr">
        <ns0:is>
          <ns0:t>P/E at IPO</ns0:t>
        </ns0:is>
      </ns0:c>
      <ns0:c r="BD20" s="229" t="inlineStr">
        <ns0:is>
          <ns0:t>P/E at IPO (BBG)</ns0:t>
        </ns0:is>
      </ns0:c>
      <ns0:c r="BE20" s="229" t="inlineStr">
        <ns0:is>
          <ns0:t>P/E today (BBG)</ns0:t>
        </ns0:is>
      </ns0:c>
      <ns0:c r="BF20" s="229" t="inlineStr">
        <ns0:is>
          <ns0:t>P/S at IPO</ns0:t>
        </ns0:is>
      </ns0:c>
      <ns0:c r="BG20" s="229" t="inlineStr">
        <ns0:is>
          <ns0:t>P/S today (BBG)</ns0:t>
        </ns0:is>
      </ns0:c>
      <ns0:c r="BH20" s="229" t="inlineStr">
        <ns0:is>
          <ns0:t>P/E now (x)</ns0:t>
        </ns0:is>
      </ns0:c>
      <ns0:c r="BI20" s="229" t="inlineStr">
        <ns0:is>
          <ns0:t>P/S now (x)</ns0:t>
        </ns0:is>
      </ns0:c>
      <ns0:c r="BJ20" s="229" t="inlineStr">
        <ns0:is>
          <ns0:t>A/H pair</ns0:t>
        </ns0:is>
      </ns0:c>
      <ns0:c r="BK20" s="229" t="inlineStr">
        <ns0:is>
          <ns0:t>A-share code</ns0:t>
        </ns0:is>
      </ns0:c>
      <ns0:c r="BL20" s="229" t="inlineStr">
        <ns0:is>
          <ns0:t>A prem vs H at IPO</ns0:t>
        </ns0:is>
      </ns0:c>
      <ns0:c r="BM20" s="229" t="inlineStr">
        <ns0:is>
          <ns0:t>A close used (HK$)</ns0:t>
        </ns0:is>
      </ns0:c>
      <ns0:c r="BN20" s="229" t="inlineStr">
        <ns0:is>
          <ns0:t>A premium (today)</ns0:t>
        </ns0:is>
      </ns0:c>
      <ns0:c r="BO20" s="229" t="inlineStr">
        <ns0:is>
          <ns0:t>A-line mkt cap now (HK$m)</ns0:t>
        </ns0:is>
      </ns0:c>
      <ns0:c r="BP20" s="229" t="inlineStr">
        <ns0:is>
          <ns0:t>A P/E @H-IPO (BBG)</ns0:t>
        </ns0:is>
      </ns0:c>
      <ns0:c r="BQ20" s="229" t="inlineStr">
        <ns0:is>
          <ns0:t>HSAHP @IPO (BBG)</ns0:t>
        </ns0:is>
      </ns0:c>
      <ns0:c r="BR20" s="229" t="inlineStr">
        <ns0:is>
          <ns0:t>Sponsors</ns0:t>
        </ns0:is>
      </ns0:c>
      <ns0:c r="BS20" s="229" t="inlineStr">
        <ns0:is>
          <ns0:t>Bookrunners</ns0:t>
        </ns0:is>
      </ns0:c>
      <ns0:c r="BT20" s="229" t="inlineStr">
        <ns0:is>
          <ns0:t>Shared CS</ns0:t>
        </ns0:is>
      </ns0:c>
      <ns0:c r="BU20" s="229" t="inlineStr">
        <ns0:is>
          <ns0:t>Match</ns0:t>
        </ns0:is>
      </ns0:c>
      <ns0:c r="BV20" s="229" t="inlineStr">
        <ns0:is>
          <ns0:t>Score</ns0:t>
        </ns0:is>
      </ns0:c>
      <ns0:c r="BW20" s="229" t="inlineStr">
        <ns0:is>
          <ns0:t>why</ns0:t>
        </ns0:is>
      </ns0:c>
    </ns0:row>
    <ns0:row r="21">
      <ns0:c r="A21" s="52">
        <ns0:f>IF(OR(1&gt;MAX(3,MIN(15,N($D$18))),IFERROR(LARGE('Calc (scoring engine)'!$K$5:$K$528,1),-999999)&lt;=-900000),"",1)</ns0:f>
        <ns0:v/>
      </ns0:c>
      <ns0:c r="B21" s="24">
        <ns0:f>IF(OR(1&gt;MAX(3,MIN(15,N($D$18))),IFERROR(LARGE('Calc (scoring engine)'!$K$5:$K$528,1),-999999)&lt;=-900000),"",IFERROR(IF(INDEX(Database!$B$5:$B$528,MATCH(LARGE('Calc (scoring engine)'!$K$5:$K$528,1),'Calc (scoring engine)'!$K$5:$K$528,0))="","—",INDEX(Database!$B$5:$B$528,MATCH(LARGE('Calc (scoring engine)'!$K$5:$K$528,1),'Calc (scoring engine)'!$K$5:$K$528,0))),""))</ns0:f>
        <ns0:v/>
      </ns0:c>
      <ns0:c r="C21" s="53">
        <ns0:f>IF(OR(1&gt;MAX(3,MIN(15,N($D$18))),IFERROR(LARGE('Calc (scoring engine)'!$K$5:$K$528,1),-999999)&lt;=-900000),"",IFERROR(IF(INDEX(Database!$A$5:$A$528,MATCH(LARGE('Calc (scoring engine)'!$K$5:$K$528,1),'Calc (scoring engine)'!$K$5:$K$528,0))="","—",INDEX(Database!$A$5:$A$528,MATCH(LARGE('Calc (scoring engine)'!$K$5:$K$528,1),'Calc (scoring engine)'!$K$5:$K$528,0))),""))</ns0:f>
        <ns0:v/>
      </ns0:c>
      <ns0:c r="D21" s="24">
        <ns0:f>IF(OR(1&gt;MAX(3,MIN(15,N($D$18))),IFERROR(LARGE('Calc (scoring engine)'!$K$5:$K$528,1),-999999)&lt;=-900000),"",IFERROR(IF(INDEX(Database!$D$5:$D$528,MATCH(LARGE('Calc (scoring engine)'!$K$5:$K$528,1),'Calc (scoring engine)'!$K$5:$K$528,0))="","—",INDEX(Database!$D$5:$D$528,MATCH(LARGE('Calc (scoring engine)'!$K$5:$K$528,1),'Calc (scoring engine)'!$K$5:$K$528,0))),""))</ns0:f>
        <ns0:v/>
      </ns0:c>
      <ns0:c r="E21" s="24">
        <ns0:f>IF(OR(1&gt;MAX(3,MIN(15,N($D$18))),IFERROR(LARGE('Calc (scoring engine)'!$K$5:$K$528,1),-999999)&lt;=-900000),"",IFERROR(IF(INDEX(Database!$E$5:$E$528,MATCH(LARGE('Calc (scoring engine)'!$K$5:$K$528,1),'Calc (scoring engine)'!$K$5:$K$528,0))="","—",INDEX(Database!$E$5:$E$528,MATCH(LARGE('Calc (scoring engine)'!$K$5:$K$528,1),'Calc (scoring engine)'!$K$5:$K$528,0))),""))</ns0:f>
        <ns0:v/>
      </ns0:c>
      <ns0:c r="F21" s="24">
        <ns0:f>IF(OR(1&gt;MAX(3,MIN(15,N($D$18))),IFERROR(LARGE('Calc (scoring engine)'!$K$5:$K$528,1),-999999)&lt;=-900000),"",IFERROR(IF(INDEX(Database!$F$5:$F$528,MATCH(LARGE('Calc (scoring engine)'!$K$5:$K$528,1),'Calc (scoring engine)'!$K$5:$K$528,0))="","—",INDEX(Database!$F$5:$F$528,MATCH(LARGE('Calc (scoring engine)'!$K$5:$K$528,1),'Calc (scoring engine)'!$K$5:$K$528,0))),""))</ns0:f>
        <ns0:v/>
      </ns0:c>
      <ns0:c r="G21" s="24">
        <ns0:f>IF(OR(1&gt;MAX(3,MIN(15,N($D$18))),IFERROR(LARGE('Calc (scoring engine)'!$K$5:$K$528,1),-999999)&lt;=-900000),"",IFERROR(IF(INDEX(Database!$G$5:$G$528,MATCH(LARGE('Calc (scoring engine)'!$K$5:$K$528,1),'Calc (scoring engine)'!$K$5:$K$528,0))="","—",INDEX(Database!$G$5:$G$528,MATCH(LARGE('Calc (scoring engine)'!$K$5:$K$528,1),'Calc (scoring engine)'!$K$5:$K$528,0))),""))</ns0:f>
        <ns0:v/>
      </ns0:c>
      <ns0:c r="H21" s="36">
        <ns0:f>IF(OR(1&gt;MAX(3,MIN(15,N($D$18))),IFERROR(LARGE('Calc (scoring engine)'!$K$5:$K$528,1),-999999)&lt;=-900000),"",IFERROR(IF(INDEX(Database!$H$5:$H$528,MATCH(LARGE('Calc (scoring engine)'!$K$5:$K$528,1),'Calc (scoring engine)'!$K$5:$K$528,0))="","—",INDEX(Database!$H$5:$H$528,MATCH(LARGE('Calc (scoring engine)'!$K$5:$K$528,1),'Calc (scoring engine)'!$K$5:$K$528,0))),""))</ns0:f>
        <ns0:v/>
      </ns0:c>
      <ns0:c r="I21" s="34">
        <ns0:f>IF(OR(1&gt;MAX(3,MIN(15,N($D$18))),IFERROR(LARGE('Calc (scoring engine)'!$K$5:$K$528,1),-999999)&lt;=-900000),"",IFERROR(IF(INDEX(Database!$I$5:$I$528,MATCH(LARGE('Calc (scoring engine)'!$K$5:$K$528,1),'Calc (scoring engine)'!$K$5:$K$528,0))="","—",INDEX(Database!$I$5:$I$528,MATCH(LARGE('Calc (scoring engine)'!$K$5:$K$528,1),'Calc (scoring engine)'!$K$5:$K$528,0))),""))</ns0:f>
        <ns0:v/>
      </ns0:c>
      <ns0:c r="J21" s="54">
        <ns0:f>IF(OR(1&gt;MAX(3,MIN(15,N($D$18))),IFERROR(LARGE('Calc (scoring engine)'!$K$5:$K$528,1),-999999)&lt;=-900000),"",IFERROR(IF(INDEX(Database!$K$5:$K$528,MATCH(LARGE('Calc (scoring engine)'!$K$5:$K$528,1),'Calc (scoring engine)'!$K$5:$K$528,0))="","—",INDEX(Database!$K$5:$K$528,MATCH(LARGE('Calc (scoring engine)'!$K$5:$K$528,1),'Calc (scoring engine)'!$K$5:$K$528,0))),""))</ns0:f>
        <ns0:v/>
      </ns0:c>
      <ns0:c r="K21" s="54">
        <ns0:f>IF(OR(1&gt;MAX(3,MIN(15,N($D$18))),IFERROR(LARGE('Calc (scoring engine)'!$K$5:$K$528,1),-999999)&lt;=-900000),"",IFERROR(IF(INDEX(Database!$L$5:$L$528,MATCH(LARGE('Calc (scoring engine)'!$K$5:$K$528,1),'Calc (scoring engine)'!$K$5:$K$528,0))="","—",INDEX(Database!$L$5:$L$528,MATCH(LARGE('Calc (scoring engine)'!$K$5:$K$528,1),'Calc (scoring engine)'!$K$5:$K$528,0))),""))</ns0:f>
        <ns0:v/>
      </ns0:c>
      <ns0:c r="L21" s="54">
        <ns0:f>IF(OR(1&gt;MAX(3,MIN(15,N($D$18))),IFERROR(LARGE('Calc (scoring engine)'!$K$5:$K$528,1),-999999)&lt;=-900000),"",IFERROR(IF(INDEX(Database!$M$5:$M$528,MATCH(LARGE('Calc (scoring engine)'!$K$5:$K$528,1),'Calc (scoring engine)'!$K$5:$K$528,0))="","—",INDEX(Database!$M$5:$M$528,MATCH(LARGE('Calc (scoring engine)'!$K$5:$K$528,1),'Calc (scoring engine)'!$K$5:$K$528,0))),""))</ns0:f>
        <ns0:v/>
      </ns0:c>
      <ns0:c r="M21" s="24">
        <ns0:f>IF(OR(1&gt;MAX(3,MIN(15,N($D$18))),IFERROR(LARGE('Calc (scoring engine)'!$K$5:$K$528,1),-999999)&lt;=-900000),"",IFERROR(IF(INDEX(Database!$N$5:$N$528,MATCH(LARGE('Calc (scoring engine)'!$K$5:$K$528,1),'Calc (scoring engine)'!$K$5:$K$528,0))="","—",INDEX(Database!$N$5:$N$528,MATCH(LARGE('Calc (scoring engine)'!$K$5:$K$528,1),'Calc (scoring engine)'!$K$5:$K$528,0))),""))</ns0:f>
        <ns0:v/>
      </ns0:c>
      <ns0:c r="N21" s="44">
        <ns0:f>IF(OR(1&gt;MAX(3,MIN(15,N($D$18))),IFERROR(LARGE('Calc (scoring engine)'!$K$5:$K$528,1),-999999)&lt;=-900000),"",IFERROR(IF(INDEX(Database!$O$5:$O$528,MATCH(LARGE('Calc (scoring engine)'!$K$5:$K$528,1),'Calc (scoring engine)'!$K$5:$K$528,0))="","—",INDEX(Database!$O$5:$O$528,MATCH(LARGE('Calc (scoring engine)'!$K$5:$K$528,1),'Calc (scoring engine)'!$K$5:$K$528,0))),""))</ns0:f>
        <ns0:v/>
      </ns0:c>
      <ns0:c r="O21" s="44">
        <ns0:f>IF(OR(1&gt;MAX(3,MIN(15,N($D$18))),IFERROR(LARGE('Calc (scoring engine)'!$K$5:$K$528,1),-999999)&lt;=-900000),"",IFERROR(IF(INDEX(Database!$P$5:$P$528,MATCH(LARGE('Calc (scoring engine)'!$K$5:$K$528,1),'Calc (scoring engine)'!$K$5:$K$528,0))="","—",INDEX(Database!$P$5:$P$528,MATCH(LARGE('Calc (scoring engine)'!$K$5:$K$528,1),'Calc (scoring engine)'!$K$5:$K$528,0))),""))</ns0:f>
        <ns0:v/>
      </ns0:c>
      <ns0:c r="P21" s="34">
        <ns0:f>IF(OR(1&gt;MAX(3,MIN(15,N($D$18))),IFERROR(LARGE('Calc (scoring engine)'!$K$5:$K$528,1),-999999)&lt;=-900000),"",IFERROR(IF(INDEX(Database!$Q$5:$Q$528,MATCH(LARGE('Calc (scoring engine)'!$K$5:$K$528,1),'Calc (scoring engine)'!$K$5:$K$528,0))="","—",INDEX(Database!$Q$5:$Q$528,MATCH(LARGE('Calc (scoring engine)'!$K$5:$K$528,1),'Calc (scoring engine)'!$K$5:$K$528,0))),""))</ns0:f>
        <ns0:v/>
      </ns0:c>
      <ns0:c r="Q21" s="41">
        <ns0:f>IF(OR(1&gt;MAX(3,MIN(15,N($D$18))),IFERROR(LARGE('Calc (scoring engine)'!$K$5:$K$528,1),-999999)&lt;=-900000),"",IFERROR(IF(INDEX(Database!$S$5:$S$528,MATCH(LARGE('Calc (scoring engine)'!$K$5:$K$528,1),'Calc (scoring engine)'!$K$5:$K$528,0))="","—",INDEX(Database!$S$5:$S$528,MATCH(LARGE('Calc (scoring engine)'!$K$5:$K$528,1),'Calc (scoring engine)'!$K$5:$K$528,0))),""))</ns0:f>
        <ns0:v/>
      </ns0:c>
      <ns0:c r="R21" s="55">
        <ns0:f>IF(OR(1&gt;MAX(3,MIN(15,N($D$18))),IFERROR(LARGE('Calc (scoring engine)'!$K$5:$K$528,1),-999999)&lt;=-900000),"",IFERROR(IF(INDEX(Database!$T$5:$T$528,MATCH(LARGE('Calc (scoring engine)'!$K$5:$K$528,1),'Calc (scoring engine)'!$K$5:$K$528,0))="","—",INDEX(Database!$T$5:$T$528,MATCH(LARGE('Calc (scoring engine)'!$K$5:$K$528,1),'Calc (scoring engine)'!$K$5:$K$528,0))),""))</ns0:f>
        <ns0:v/>
      </ns0:c>
      <ns0:c r="S21" s="56">
        <ns0:f>IF(OR(1&gt;MAX(3,MIN(15,N($D$18))),IFERROR(LARGE('Calc (scoring engine)'!$K$5:$K$528,1),-999999)&lt;=-900000),"",IFERROR(IF(INDEX(Database!$U$5:$U$528,MATCH(LARGE('Calc (scoring engine)'!$K$5:$K$528,1),'Calc (scoring engine)'!$K$5:$K$528,0))="","—",INDEX(Database!$U$5:$U$528,MATCH(LARGE('Calc (scoring engine)'!$K$5:$K$528,1),'Calc (scoring engine)'!$K$5:$K$528,0))),""))</ns0:f>
        <ns0:v/>
      </ns0:c>
      <ns0:c r="T21" s="57">
        <ns0:f>IF(OR(1&gt;MAX(3,MIN(15,N($D$18))),IFERROR(LARGE('Calc (scoring engine)'!$K$5:$K$528,1),-999999)&lt;=-900000),"",IFERROR(IF(INDEX(Database!$V$5:$V$528,MATCH(LARGE('Calc (scoring engine)'!$K$5:$K$528,1),'Calc (scoring engine)'!$K$5:$K$528,0))="","—",INDEX(Database!$V$5:$V$528,MATCH(LARGE('Calc (scoring engine)'!$K$5:$K$528,1),'Calc (scoring engine)'!$K$5:$K$528,0))),""))</ns0:f>
        <ns0:v/>
      </ns0:c>
      <ns0:c r="U21" s="44">
        <ns0:f>IF(OR(1&gt;MAX(3,MIN(15,N($D$18))),IFERROR(LARGE('Calc (scoring engine)'!$K$5:$K$528,1),-999999)&lt;=-900000),"",IFERROR(IF(INDEX(Database!$W$5:$W$528,MATCH(LARGE('Calc (scoring engine)'!$K$5:$K$528,1),'Calc (scoring engine)'!$K$5:$K$528,0))="","—",INDEX(Database!$W$5:$W$528,MATCH(LARGE('Calc (scoring engine)'!$K$5:$K$528,1),'Calc (scoring engine)'!$K$5:$K$528,0))),""))</ns0:f>
        <ns0:v/>
      </ns0:c>
      <ns0:c r="V21" s="24">
        <ns0:f>IF(OR(1&gt;MAX(3,MIN(15,N($D$18))),IFERROR(LARGE('Calc (scoring engine)'!$K$5:$K$528,1),-999999)&lt;=-900000),"",IFERROR(IF(INDEX(Database!$X$5:$X$528,MATCH(LARGE('Calc (scoring engine)'!$K$5:$K$528,1),'Calc (scoring engine)'!$K$5:$K$528,0))="","—",INDEX(Database!$X$5:$X$528,MATCH(LARGE('Calc (scoring engine)'!$K$5:$K$528,1),'Calc (scoring engine)'!$K$5:$K$528,0))),""))</ns0:f>
        <ns0:v/>
      </ns0:c>
      <ns0:c r="W21" s="34">
        <ns0:f>IF(OR(1&gt;MAX(3,MIN(15,N($D$18))),IFERROR(LARGE('Calc (scoring engine)'!$K$5:$K$528,1),-999999)&lt;=-900000),"",IFERROR(IF(INDEX(Database!$Y$5:$Y$528,MATCH(LARGE('Calc (scoring engine)'!$K$5:$K$528,1),'Calc (scoring engine)'!$K$5:$K$528,0))="","—",INDEX(Database!$Y$5:$Y$528,MATCH(LARGE('Calc (scoring engine)'!$K$5:$K$528,1),'Calc (scoring engine)'!$K$5:$K$528,0))),""))</ns0:f>
        <ns0:v/>
      </ns0:c>
      <ns0:c r="X21" s="34">
        <ns0:f>IF(OR(1&gt;MAX(3,MIN(15,N($D$18))),IFERROR(LARGE('Calc (scoring engine)'!$K$5:$K$528,1),-999999)&lt;=-900000),"",IFERROR(IF(INDEX(Database!$Z$5:$Z$528,MATCH(LARGE('Calc (scoring engine)'!$K$5:$K$528,1),'Calc (scoring engine)'!$K$5:$K$528,0))="","—",INDEX(Database!$Z$5:$Z$528,MATCH(LARGE('Calc (scoring engine)'!$K$5:$K$528,1),'Calc (scoring engine)'!$K$5:$K$528,0))),""))</ns0:f>
        <ns0:v/>
      </ns0:c>
      <ns0:c r="Y21" s="44">
        <ns0:f>IF(OR(1&gt;MAX(3,MIN(15,N($D$18))),IFERROR(LARGE('Calc (scoring engine)'!$K$5:$K$528,1),-999999)&lt;=-900000),"",IFERROR(IF(INDEX(Database!$AA$5:$AA$528,MATCH(LARGE('Calc (scoring engine)'!$K$5:$K$528,1),'Calc (scoring engine)'!$K$5:$K$528,0))="","—",INDEX(Database!$AA$5:$AA$528,MATCH(LARGE('Calc (scoring engine)'!$K$5:$K$528,1),'Calc (scoring engine)'!$K$5:$K$528,0))),""))</ns0:f>
        <ns0:v/>
      </ns0:c>
      <ns0:c r="Z21" s="24">
        <ns0:f>IF(OR(1&gt;MAX(3,MIN(15,N($D$18))),IFERROR(LARGE('Calc (scoring engine)'!$K$5:$K$528,1),-999999)&lt;=-900000),"",IFERROR(IF(INDEX(Database!$AB$5:$AB$528,MATCH(LARGE('Calc (scoring engine)'!$K$5:$K$528,1),'Calc (scoring engine)'!$K$5:$K$528,0))="","—",INDEX(Database!$AB$5:$AB$528,MATCH(LARGE('Calc (scoring engine)'!$K$5:$K$528,1),'Calc (scoring engine)'!$K$5:$K$528,0))),""))</ns0:f>
        <ns0:v/>
      </ns0:c>
      <ns0:c r="AA21" s="44">
        <ns0:f>IF(OR(1&gt;MAX(3,MIN(15,N($D$18))),IFERROR(LARGE('Calc (scoring engine)'!$K$5:$K$528,1),-999999)&lt;=-900000),"",IFERROR(IF(INDEX(Database!$AD$5:$AD$528,MATCH(LARGE('Calc (scoring engine)'!$K$5:$K$528,1),'Calc (scoring engine)'!$K$5:$K$528,0))="","—",INDEX(Database!$AD$5:$AD$528,MATCH(LARGE('Calc (scoring engine)'!$K$5:$K$528,1),'Calc (scoring engine)'!$K$5:$K$528,0))),""))</ns0:f>
        <ns0:v/>
      </ns0:c>
      <ns0:c r="AB21" s="24">
        <ns0:f>IF(OR(1&gt;MAX(3,MIN(15,N($D$18))),IFERROR(LARGE('Calc (scoring engine)'!$K$5:$K$528,1),-999999)&lt;=-900000),"",IFERROR(IF(INDEX(Database!$AE$5:$AE$528,MATCH(LARGE('Calc (scoring engine)'!$K$5:$K$528,1),'Calc (scoring engine)'!$K$5:$K$528,0))="","—",INDEX(Database!$AE$5:$AE$528,MATCH(LARGE('Calc (scoring engine)'!$K$5:$K$528,1),'Calc (scoring engine)'!$K$5:$K$528,0))),""))</ns0:f>
        <ns0:v/>
      </ns0:c>
      <ns0:c r="AC21" s="24">
        <ns0:f>IF(OR(1&gt;MAX(3,MIN(15,N($D$18))),IFERROR(LARGE('Calc (scoring engine)'!$K$5:$K$528,1),-999999)&lt;=-900000),"",IFERROR(IF(INDEX(Database!$AF$5:$AF$528,MATCH(LARGE('Calc (scoring engine)'!$K$5:$K$528,1),'Calc (scoring engine)'!$K$5:$K$528,0))="","—",INDEX(Database!$AF$5:$AF$528,MATCH(LARGE('Calc (scoring engine)'!$K$5:$K$528,1),'Calc (scoring engine)'!$K$5:$K$528,0))),""))</ns0:f>
        <ns0:v/>
      </ns0:c>
      <ns0:c r="AD21" s="24">
        <ns0:f>IF(OR(1&gt;MAX(3,MIN(15,N($D$18))),IFERROR(LARGE('Calc (scoring engine)'!$K$5:$K$528,1),-999999)&lt;=-900000),"",IFERROR(IF(INDEX(Database!$AG$5:$AG$528,MATCH(LARGE('Calc (scoring engine)'!$K$5:$K$528,1),'Calc (scoring engine)'!$K$5:$K$528,0))="","—",INDEX(Database!$AG$5:$AG$528,MATCH(LARGE('Calc (scoring engine)'!$K$5:$K$528,1),'Calc (scoring engine)'!$K$5:$K$528,0))),""))</ns0:f>
        <ns0:v/>
      </ns0:c>
      <ns0:c r="AE21" s="24">
        <ns0:f>IF(OR(1&gt;MAX(3,MIN(15,N($D$18))),IFERROR(LARGE('Calc (scoring engine)'!$K$5:$K$528,1),-999999)&lt;=-900000),"",IFERROR(IF(INDEX(Database!$AH$5:$AH$528,MATCH(LARGE('Calc (scoring engine)'!$K$5:$K$528,1),'Calc (scoring engine)'!$K$5:$K$528,0))="","—",INDEX(Database!$AH$5:$AH$528,MATCH(LARGE('Calc (scoring engine)'!$K$5:$K$528,1),'Calc (scoring engine)'!$K$5:$K$528,0))),""))</ns0:f>
        <ns0:v/>
      </ns0:c>
      <ns0:c r="AF21" s="38">
        <ns0:f>IF(OR(1&gt;MAX(3,MIN(15,N($D$18))),IFERROR(LARGE('Calc (scoring engine)'!$K$5:$K$528,1),-999999)&lt;=-900000),"",IFERROR(IF(INDEX(Database!$AI$5:$AI$528,MATCH(LARGE('Calc (scoring engine)'!$K$5:$K$528,1),'Calc (scoring engine)'!$K$5:$K$528,0))="","—",INDEX(Database!$AI$5:$AI$528,MATCH(LARGE('Calc (scoring engine)'!$K$5:$K$528,1),'Calc (scoring engine)'!$K$5:$K$528,0))),""))</ns0:f>
        <ns0:v/>
      </ns0:c>
      <ns0:c r="AG21" s="38">
        <ns0:f>IF(OR(1&gt;MAX(3,MIN(15,N($D$18))),IFERROR(LARGE('Calc (scoring engine)'!$K$5:$K$528,1),-999999)&lt;=-900000),"",IFERROR(IF(INDEX(Database!$AJ$5:$AJ$528,MATCH(LARGE('Calc (scoring engine)'!$K$5:$K$528,1),'Calc (scoring engine)'!$K$5:$K$528,0))="","—",INDEX(Database!$AJ$5:$AJ$528,MATCH(LARGE('Calc (scoring engine)'!$K$5:$K$528,1),'Calc (scoring engine)'!$K$5:$K$528,0))),""))</ns0:f>
        <ns0:v/>
      </ns0:c>
      <ns0:c r="AH21" s="38">
        <ns0:f>IF(OR(1&gt;MAX(3,MIN(15,N($D$18))),IFERROR(LARGE('Calc (scoring engine)'!$K$5:$K$528,1),-999999)&lt;=-900000),"",IFERROR(IF(INDEX(Database!$AK$5:$AK$528,MATCH(LARGE('Calc (scoring engine)'!$K$5:$K$528,1),'Calc (scoring engine)'!$K$5:$K$528,0))="","—",INDEX(Database!$AK$5:$AK$528,MATCH(LARGE('Calc (scoring engine)'!$K$5:$K$528,1),'Calc (scoring engine)'!$K$5:$K$528,0))),""))</ns0:f>
        <ns0:v/>
      </ns0:c>
      <ns0:c r="AI21" s="38">
        <ns0:f>IF(OR(1&gt;MAX(3,MIN(15,N($D$18))),IFERROR(LARGE('Calc (scoring engine)'!$K$5:$K$528,1),-999999)&lt;=-900000),"",IFERROR(IF(INDEX(Database!$AL$5:$AL$528,MATCH(LARGE('Calc (scoring engine)'!$K$5:$K$528,1),'Calc (scoring engine)'!$K$5:$K$528,0))="","—",INDEX(Database!$AL$5:$AL$528,MATCH(LARGE('Calc (scoring engine)'!$K$5:$K$528,1),'Calc (scoring engine)'!$K$5:$K$528,0))),""))</ns0:f>
        <ns0:v/>
      </ns0:c>
      <ns0:c r="AJ21" s="38">
        <ns0:f>IF(OR(1&gt;MAX(3,MIN(15,N($D$18))),IFERROR(LARGE('Calc (scoring engine)'!$K$5:$K$528,1),-999999)&lt;=-900000),"",IFERROR(IF(INDEX(Database!$AM$5:$AM$528,MATCH(LARGE('Calc (scoring engine)'!$K$5:$K$528,1),'Calc (scoring engine)'!$K$5:$K$528,0))="","—",INDEX(Database!$AM$5:$AM$528,MATCH(LARGE('Calc (scoring engine)'!$K$5:$K$528,1),'Calc (scoring engine)'!$K$5:$K$528,0))),""))</ns0:f>
        <ns0:v/>
      </ns0:c>
      <ns0:c r="AK21" s="39">
        <ns0:f>IF(OR(1&gt;MAX(3,MIN(15,N($D$18))),IFERROR(LARGE('Calc (scoring engine)'!$K$5:$K$528,1),-999999)&lt;=-900000),"",IFERROR(IF(INDEX(Database!$AN$5:$AN$528,MATCH(LARGE('Calc (scoring engine)'!$K$5:$K$528,1),'Calc (scoring engine)'!$K$5:$K$528,0))="","—",INDEX(Database!$AN$5:$AN$528,MATCH(LARGE('Calc (scoring engine)'!$K$5:$K$528,1),'Calc (scoring engine)'!$K$5:$K$528,0))),""))</ns0:f>
        <ns0:v/>
      </ns0:c>
      <ns0:c r="AL21" s="44">
        <ns0:f>IF(OR(1&gt;MAX(3,MIN(15,N($D$18))),IFERROR(LARGE('Calc (scoring engine)'!$K$5:$K$528,1),-999999)&lt;=-900000),"",IFERROR(IF(INDEX(Database!$AO$5:$AO$528,MATCH(LARGE('Calc (scoring engine)'!$K$5:$K$528,1),'Calc (scoring engine)'!$K$5:$K$528,0))="","—",INDEX(Database!$AO$5:$AO$528,MATCH(LARGE('Calc (scoring engine)'!$K$5:$K$528,1),'Calc (scoring engine)'!$K$5:$K$528,0))),""))</ns0:f>
        <ns0:v/>
      </ns0:c>
      <ns0:c r="AM21" s="38">
        <ns0:f>IF(OR(1&gt;MAX(3,MIN(15,N($D$18))),IFERROR(LARGE('Calc (scoring engine)'!$K$5:$K$528,1),-999999)&lt;=-900000),"",IFERROR(IF(INDEX(Database!$AP$5:$AP$528,MATCH(LARGE('Calc (scoring engine)'!$K$5:$K$528,1),'Calc (scoring engine)'!$K$5:$K$528,0))="","—",INDEX(Database!$AP$5:$AP$528,MATCH(LARGE('Calc (scoring engine)'!$K$5:$K$528,1),'Calc (scoring engine)'!$K$5:$K$528,0))),""))</ns0:f>
        <ns0:v/>
      </ns0:c>
      <ns0:c r="AN21" s="38">
        <ns0:f>IF(OR(1&gt;MAX(3,MIN(15,N($D$18))),IFERROR(LARGE('Calc (scoring engine)'!$K$5:$K$528,1),-999999)&lt;=-900000),"",IFERROR(IF(INDEX(Database!$AQ$5:$AQ$528,MATCH(LARGE('Calc (scoring engine)'!$K$5:$K$528,1),'Calc (scoring engine)'!$K$5:$K$528,0))="","—",INDEX(Database!$AQ$5:$AQ$528,MATCH(LARGE('Calc (scoring engine)'!$K$5:$K$528,1),'Calc (scoring engine)'!$K$5:$K$528,0))),""))</ns0:f>
        <ns0:v/>
      </ns0:c>
      <ns0:c r="AO21" s="38">
        <ns0:f>IF(OR(1&gt;MAX(3,MIN(15,N($D$18))),IFERROR(LARGE('Calc (scoring engine)'!$K$5:$K$528,1),-999999)&lt;=-900000),"",IFERROR(IF(INDEX(Database!$AR$5:$AR$528,MATCH(LARGE('Calc (scoring engine)'!$K$5:$K$528,1),'Calc (scoring engine)'!$K$5:$K$528,0))="","—",INDEX(Database!$AR$5:$AR$528,MATCH(LARGE('Calc (scoring engine)'!$K$5:$K$528,1),'Calc (scoring engine)'!$K$5:$K$528,0))),""))</ns0:f>
        <ns0:v/>
      </ns0:c>
      <ns0:c r="AP21" s="38">
        <ns0:f>IF(OR(1&gt;MAX(3,MIN(15,N($D$18))),IFERROR(LARGE('Calc (scoring engine)'!$K$5:$K$528,1),-999999)&lt;=-900000),"",IFERROR(IF(INDEX(Database!$AS$5:$AS$528,MATCH(LARGE('Calc (scoring engine)'!$K$5:$K$528,1),'Calc (scoring engine)'!$K$5:$K$528,0))="","—",INDEX(Database!$AS$5:$AS$528,MATCH(LARGE('Calc (scoring engine)'!$K$5:$K$528,1),'Calc (scoring engine)'!$K$5:$K$528,0))),""))</ns0:f>
        <ns0:v/>
      </ns0:c>
      <ns0:c r="AQ21" s="38">
        <ns0:f>IF(OR(1&gt;MAX(3,MIN(15,N($D$18))),IFERROR(LARGE('Calc (scoring engine)'!$K$5:$K$528,1),-999999)&lt;=-900000),"",IFERROR(IF(INDEX(Database!$AT$5:$AT$528,MATCH(LARGE('Calc (scoring engine)'!$K$5:$K$528,1),'Calc (scoring engine)'!$K$5:$K$528,0))="","—",INDEX(Database!$AT$5:$AT$528,MATCH(LARGE('Calc (scoring engine)'!$K$5:$K$528,1),'Calc (scoring engine)'!$K$5:$K$528,0))),""))</ns0:f>
        <ns0:v/>
      </ns0:c>
      <ns0:c r="AR21" s="38">
        <ns0:f>IF(OR(1&gt;MAX(3,MIN(15,N($D$18))),IFERROR(LARGE('Calc (scoring engine)'!$K$5:$K$528,1),-999999)&lt;=-900000),"",IFERROR(IF(INDEX(Database!$AU$5:$AU$528,MATCH(LARGE('Calc (scoring engine)'!$K$5:$K$528,1),'Calc (scoring engine)'!$K$5:$K$528,0))="","—",INDEX(Database!$AU$5:$AU$528,MATCH(LARGE('Calc (scoring engine)'!$K$5:$K$528,1),'Calc (scoring engine)'!$K$5:$K$528,0))),""))</ns0:f>
        <ns0:v/>
      </ns0:c>
      <ns0:c r="AS21" s="38">
        <ns0:f>IF(OR(1&gt;MAX(3,MIN(15,N($D$18))),IFERROR(LARGE('Calc (scoring engine)'!$K$5:$K$528,1),-999999)&lt;=-900000),"",IFERROR(IF(INDEX(Database!$AV$5:$AV$528,MATCH(LARGE('Calc (scoring engine)'!$K$5:$K$528,1),'Calc (scoring engine)'!$K$5:$K$528,0))="","—",INDEX(Database!$AV$5:$AV$528,MATCH(LARGE('Calc (scoring engine)'!$K$5:$K$528,1),'Calc (scoring engine)'!$K$5:$K$528,0))),""))</ns0:f>
        <ns0:v/>
      </ns0:c>
      <ns0:c r="AT21" s="38">
        <ns0:f>IF(OR(1&gt;MAX(3,MIN(15,N($D$18))),IFERROR(LARGE('Calc (scoring engine)'!$K$5:$K$528,1),-999999)&lt;=-900000),"",IFERROR(IF(INDEX(Database!$AW$5:$AW$528,MATCH(LARGE('Calc (scoring engine)'!$K$5:$K$528,1),'Calc (scoring engine)'!$K$5:$K$528,0))="","—",INDEX(Database!$AW$5:$AW$528,MATCH(LARGE('Calc (scoring engine)'!$K$5:$K$528,1),'Calc (scoring engine)'!$K$5:$K$528,0))),""))</ns0:f>
        <ns0:v/>
      </ns0:c>
      <ns0:c r="AU21" s="38">
        <ns0:f>IF(OR(1&gt;MAX(3,MIN(15,N($D$18))),IFERROR(LARGE('Calc (scoring engine)'!$K$5:$K$528,1),-999999)&lt;=-900000),"",IFERROR(IF(INDEX(Database!$AX$5:$AX$528,MATCH(LARGE('Calc (scoring engine)'!$K$5:$K$528,1),'Calc (scoring engine)'!$K$5:$K$528,0))="","—",INDEX(Database!$AX$5:$AX$528,MATCH(LARGE('Calc (scoring engine)'!$K$5:$K$528,1),'Calc (scoring engine)'!$K$5:$K$528,0))),""))</ns0:f>
        <ns0:v/>
      </ns0:c>
      <ns0:c r="AV21" s="38">
        <ns0:f>IF(OR(1&gt;MAX(3,MIN(15,N($D$18))),IFERROR(LARGE('Calc (scoring engine)'!$K$5:$K$528,1),-999999)&lt;=-900000),"",IFERROR(IF(INDEX(Database!$AY$5:$AY$528,MATCH(LARGE('Calc (scoring engine)'!$K$5:$K$528,1),'Calc (scoring engine)'!$K$5:$K$528,0))="","—",INDEX(Database!$AY$5:$AY$528,MATCH(LARGE('Calc (scoring engine)'!$K$5:$K$528,1),'Calc (scoring engine)'!$K$5:$K$528,0))),""))</ns0:f>
        <ns0:v/>
      </ns0:c>
      <ns0:c r="AW21" s="38">
        <ns0:f>IF(OR(1&gt;MAX(3,MIN(15,N($D$18))),IFERROR(LARGE('Calc (scoring engine)'!$K$5:$K$528,1),-999999)&lt;=-900000),"",IFERROR(IF(INDEX(Database!$AZ$5:$AZ$528,MATCH(LARGE('Calc (scoring engine)'!$K$5:$K$528,1),'Calc (scoring engine)'!$K$5:$K$528,0))="","—",INDEX(Database!$AZ$5:$AZ$528,MATCH(LARGE('Calc (scoring engine)'!$K$5:$K$528,1),'Calc (scoring engine)'!$K$5:$K$528,0))),""))</ns0:f>
        <ns0:v/>
      </ns0:c>
      <ns0:c r="AX21" s="38">
        <ns0:f>IF(OR(1&gt;MAX(3,MIN(15,N($D$18))),IFERROR(LARGE('Calc (scoring engine)'!$K$5:$K$528,1),-999999)&lt;=-900000),"",IFERROR(IF(INDEX(Database!$BA$5:$BA$528,MATCH(LARGE('Calc (scoring engine)'!$K$5:$K$528,1),'Calc (scoring engine)'!$K$5:$K$528,0))="","—",INDEX(Database!$BA$5:$BA$528,MATCH(LARGE('Calc (scoring engine)'!$K$5:$K$528,1),'Calc (scoring engine)'!$K$5:$K$528,0))),""))</ns0:f>
        <ns0:v/>
      </ns0:c>
      <ns0:c r="AY21" s="38">
        <ns0:f>IF(OR(1&gt;MAX(3,MIN(15,N($D$18))),IFERROR(LARGE('Calc (scoring engine)'!$K$5:$K$528,1),-999999)&lt;=-900000),"",IFERROR(IF(INDEX(Database!$BC$5:$BC$528,MATCH(LARGE('Calc (scoring engine)'!$K$5:$K$528,1),'Calc (scoring engine)'!$K$5:$K$528,0))="","—",INDEX(Database!$BC$5:$BC$528,MATCH(LARGE('Calc (scoring engine)'!$K$5:$K$528,1),'Calc (scoring engine)'!$K$5:$K$528,0))),""))</ns0:f>
        <ns0:v/>
      </ns0:c>
      <ns0:c r="AZ21" s="34">
        <ns0:f>IF(OR(1&gt;MAX(3,MIN(15,N($D$18))),IFERROR(LARGE('Calc (scoring engine)'!$K$5:$K$528,1),-999999)&lt;=-900000),"",IFERROR(IF(INDEX(Database!$BE$5:$BE$528,MATCH(LARGE('Calc (scoring engine)'!$K$5:$K$528,1),'Calc (scoring engine)'!$K$5:$K$528,0))="","—",INDEX(Database!$BE$5:$BE$528,MATCH(LARGE('Calc (scoring engine)'!$K$5:$K$528,1),'Calc (scoring engine)'!$K$5:$K$528,0))),""))</ns0:f>
        <ns0:v/>
      </ns0:c>
      <ns0:c r="BA21" s="34">
        <ns0:f>IF(OR(1&gt;MAX(3,MIN(15,N($D$18))),IFERROR(LARGE('Calc (scoring engine)'!$K$5:$K$528,1),-999999)&lt;=-900000),"",IFERROR(IF(INDEX(Database!$BF$5:$BF$528,MATCH(LARGE('Calc (scoring engine)'!$K$5:$K$528,1),'Calc (scoring engine)'!$K$5:$K$528,0))="","—",INDEX(Database!$BF$5:$BF$528,MATCH(LARGE('Calc (scoring engine)'!$K$5:$K$528,1),'Calc (scoring engine)'!$K$5:$K$528,0))),""))</ns0:f>
        <ns0:v/>
      </ns0:c>
      <ns0:c r="BB21" s="24">
        <ns0:f>IF(OR(1&gt;MAX(3,MIN(15,N($D$18))),IFERROR(LARGE('Calc (scoring engine)'!$K$5:$K$528,1),-999999)&lt;=-900000),"",IFERROR(IF(INDEX(Database!$BG$5:$BG$528,MATCH(LARGE('Calc (scoring engine)'!$K$5:$K$528,1),'Calc (scoring engine)'!$K$5:$K$528,0))="","—",INDEX(Database!$BG$5:$BG$528,MATCH(LARGE('Calc (scoring engine)'!$K$5:$K$528,1),'Calc (scoring engine)'!$K$5:$K$528,0))),""))</ns0:f>
        <ns0:v/>
      </ns0:c>
      <ns0:c r="BC21" s="39">
        <ns0:f>IF(OR(1&gt;MAX(3,MIN(15,N($D$18))),IFERROR(LARGE('Calc (scoring engine)'!$K$5:$K$528,1),-999999)&lt;=-900000),"",IFERROR(IF(N(INDEX(Database!$BH$5:$BH$528,MATCH(LARGE('Calc (scoring engine)'!$K$5:$K$528,1),'Calc (scoring engine)'!$K$5:$K$528,0)))&lt;=0,IF(INDEX(Database!$BG$5:$BG$528,MATCH(LARGE('Calc (scoring engine)'!$K$5:$K$528,1),'Calc (scoring engine)'!$K$5:$K$528,0))="N","n/m","—"),INDEX(Database!$BH$5:$BH$528,MATCH(LARGE('Calc (scoring engine)'!$K$5:$K$528,1),'Calc (scoring engine)'!$K$5:$K$528,0))),""))</ns0:f>
        <ns0:v/>
      </ns0:c>
      <ns0:c r="BD21" s="39">
        <ns0:f>IF(OR(1&gt;MAX(3,MIN(15,N($D$18))),IFERROR(LARGE('Calc (scoring engine)'!$K$5:$K$528,1),-999999)&lt;=-900000),"",IFERROR(IF(INDEX(Database!$BI$5:$BI$528,MATCH(LARGE('Calc (scoring engine)'!$K$5:$K$528,1),'Calc (scoring engine)'!$K$5:$K$528,0))="","—",INDEX(Database!$BI$5:$BI$528,MATCH(LARGE('Calc (scoring engine)'!$K$5:$K$528,1),'Calc (scoring engine)'!$K$5:$K$528,0))),""))</ns0:f>
        <ns0:v/>
      </ns0:c>
      <ns0:c r="BE21" s="39">
        <ns0:f>IF(OR(1&gt;MAX(3,MIN(15,N($D$18))),IFERROR(LARGE('Calc (scoring engine)'!$K$5:$K$528,1),-999999)&lt;=-900000),"",IFERROR(IF(INDEX(Database!$BJ$5:$BJ$528,MATCH(LARGE('Calc (scoring engine)'!$K$5:$K$528,1),'Calc (scoring engine)'!$K$5:$K$528,0))="","—",INDEX(Database!$BJ$5:$BJ$528,MATCH(LARGE('Calc (scoring engine)'!$K$5:$K$528,1),'Calc (scoring engine)'!$K$5:$K$528,0))),""))</ns0:f>
        <ns0:v/>
      </ns0:c>
      <ns0:c r="BF21" s="39">
        <ns0:f>IF(OR(1&gt;MAX(3,MIN(15,N($D$18))),IFERROR(LARGE('Calc (scoring engine)'!$K$5:$K$528,1),-999999)&lt;=-900000),"",IFERROR(IF(INDEX(Database!$BK$5:$BK$528,MATCH(LARGE('Calc (scoring engine)'!$K$5:$K$528,1),'Calc (scoring engine)'!$K$5:$K$528,0))="","—",INDEX(Database!$BK$5:$BK$528,MATCH(LARGE('Calc (scoring engine)'!$K$5:$K$528,1),'Calc (scoring engine)'!$K$5:$K$528,0))),""))</ns0:f>
        <ns0:v/>
      </ns0:c>
      <ns0:c r="BG21" s="39">
        <ns0:f>IF(OR(1&gt;MAX(3,MIN(15,N($D$18))),IFERROR(LARGE('Calc (scoring engine)'!$K$5:$K$528,1),-999999)&lt;=-900000),"",IFERROR(IF(INDEX(Database!$BL$5:$BL$528,MATCH(LARGE('Calc (scoring engine)'!$K$5:$K$528,1),'Calc (scoring engine)'!$K$5:$K$528,0))="","—",INDEX(Database!$BL$5:$BL$528,MATCH(LARGE('Calc (scoring engine)'!$K$5:$K$528,1),'Calc (scoring engine)'!$K$5:$K$528,0))),""))</ns0:f>
        <ns0:v/>
      </ns0:c>
      <ns0:c r="BH21" s="39">
        <ns0:f>IF(OR(1&gt;MAX(3,MIN(15,N($D$18))),IFERROR(LARGE('Calc (scoring engine)'!$K$5:$K$528,1),-999999)&lt;=-900000),"",IFERROR(IFERROR(BDP(TEXT(INDEX(Database!$A$5:$A$528,MATCH(LARGE('Calc (scoring engine)'!$K$5:$K$528,1),'Calc (scoring engine)'!$K$5:$K$528,0)),"0")&amp;" HK Equity","PE_RATIO"),IF(INDEX(Database!$BJ$5:$BJ$528,MATCH(LARGE('Calc (scoring engine)'!$K$5:$K$528,1),'Calc (scoring engine)'!$K$5:$K$528,0))="","—",INDEX(Database!$BJ$5:$BJ$528,MATCH(LARGE('Calc (scoring engine)'!$K$5:$K$528,1),'Calc (scoring engine)'!$K$5:$K$528,0)))),""))</ns0:f>
        <ns0:v/>
      </ns0:c>
      <ns0:c r="BI21" s="39">
        <ns0:f>IF(OR(1&gt;MAX(3,MIN(15,N($D$18))),IFERROR(LARGE('Calc (scoring engine)'!$K$5:$K$528,1),-999999)&lt;=-900000),"",IFERROR(IFERROR(BDP(TEXT(INDEX(Database!$A$5:$A$528,MATCH(LARGE('Calc (scoring engine)'!$K$5:$K$528,1),'Calc (scoring engine)'!$K$5:$K$528,0)),"0")&amp;" HK Equity","PX_TO_SALES_RATIO"),IF(INDEX(Database!$BK$5:$BK$528,MATCH(LARGE('Calc (scoring engine)'!$K$5:$K$528,1),'Calc (scoring engine)'!$K$5:$K$528,0))="","—",INDEX(Database!$BK$5:$BK$528,MATCH(LARGE('Calc (scoring engine)'!$K$5:$K$528,1),'Calc (scoring engine)'!$K$5:$K$528,0)))),""))</ns0:f>
        <ns0:v/>
      </ns0:c>
      <ns0:c r="BJ21" s="24">
        <ns0:f>IF(OR(1&gt;MAX(3,MIN(15,N($D$18))),IFERROR(LARGE('Calc (scoring engine)'!$K$5:$K$528,1),-999999)&lt;=-900000),"",IFERROR(IF(INDEX(Database!$BM$5:$BM$528,MATCH(LARGE('Calc (scoring engine)'!$K$5:$K$528,1),'Calc (scoring engine)'!$K$5:$K$528,0))="","—",INDEX(Database!$BM$5:$BM$528,MATCH(LARGE('Calc (scoring engine)'!$K$5:$K$528,1),'Calc (scoring engine)'!$K$5:$K$528,0))),""))</ns0:f>
        <ns0:v/>
      </ns0:c>
      <ns0:c r="BK21" s="24">
        <ns0:f>IF(OR(1&gt;MAX(3,MIN(15,N($D$18))),IFERROR(LARGE('Calc (scoring engine)'!$K$5:$K$528,1),-999999)&lt;=-900000),"",IFERROR(IF(INDEX(Database!$BN$5:$BN$528,MATCH(LARGE('Calc (scoring engine)'!$K$5:$K$528,1),'Calc (scoring engine)'!$K$5:$K$528,0))="","—",INDEX(Database!$BN$5:$BN$528,MATCH(LARGE('Calc (scoring engine)'!$K$5:$K$528,1),'Calc (scoring engine)'!$K$5:$K$528,0))),""))</ns0:f>
        <ns0:v/>
      </ns0:c>
      <ns0:c r="BL21" s="38">
        <ns0:f>IF(OR(1&gt;MAX(3,MIN(15,N($D$18))),IFERROR(LARGE('Calc (scoring engine)'!$K$5:$K$528,1),-999999)&lt;=-900000),"",IFERROR(IF(INDEX(Database!$BO$5:$BO$528,MATCH(LARGE('Calc (scoring engine)'!$K$5:$K$528,1),'Calc (scoring engine)'!$K$5:$K$528,0))="","—",INDEX(Database!$BO$5:$BO$528,MATCH(LARGE('Calc (scoring engine)'!$K$5:$K$528,1),'Calc (scoring engine)'!$K$5:$K$528,0))),""))</ns0:f>
        <ns0:v/>
      </ns0:c>
      <ns0:c r="BM21" s="54">
        <ns0:f>IF(OR(1&gt;MAX(3,MIN(15,N($D$18))),IFERROR(LARGE('Calc (scoring engine)'!$K$5:$K$528,1),-999999)&lt;=-900000),"",IFERROR(IF(INDEX(Database!$BP$5:$BP$528,MATCH(LARGE('Calc (scoring engine)'!$K$5:$K$528,1),'Calc (scoring engine)'!$K$5:$K$528,0))="","—",INDEX(Database!$BP$5:$BP$528,MATCH(LARGE('Calc (scoring engine)'!$K$5:$K$528,1),'Calc (scoring engine)'!$K$5:$K$528,0))),""))</ns0:f>
        <ns0:v/>
      </ns0:c>
      <ns0:c r="BN21" s="58">
        <ns0:f>IF(OR(1&gt;MAX(3,MIN(15,N($D$18))),IFERROR(LARGE('Calc (scoring engine)'!$K$5:$K$528,1),-999999)&lt;=-900000),"",IFERROR(IF(INDEX(Database!$BQ$5:$BQ$528,MATCH(LARGE('Calc (scoring engine)'!$K$5:$K$528,1),'Calc (scoring engine)'!$K$5:$K$528,0))="","—",INDEX(Database!$BQ$5:$BQ$528,MATCH(LARGE('Calc (scoring engine)'!$K$5:$K$528,1),'Calc (scoring engine)'!$K$5:$K$528,0))),""))</ns0:f>
        <ns0:v/>
      </ns0:c>
      <ns0:c r="BO21" s="34">
        <ns0:f>IF(OR(1&gt;MAX(3,MIN(15,N($D$18))),IFERROR(LARGE('Calc (scoring engine)'!$K$5:$K$528,1),-999999)&lt;=-900000),"",IFERROR(IF(INDEX(Database!$BR$5:$BR$528,MATCH(LARGE('Calc (scoring engine)'!$K$5:$K$528,1),'Calc (scoring engine)'!$K$5:$K$528,0))="","—",INDEX(Database!$BR$5:$BR$528,MATCH(LARGE('Calc (scoring engine)'!$K$5:$K$528,1),'Calc (scoring engine)'!$K$5:$K$528,0))),""))</ns0:f>
        <ns0:v/>
      </ns0:c>
      <ns0:c r="BP21" s="39">
        <ns0:f>IF(OR(1&gt;MAX(3,MIN(15,N($D$18))),IFERROR(LARGE('Calc (scoring engine)'!$K$5:$K$528,1),-999999)&lt;=-900000),"",IFERROR(IF(INDEX(Database!$BS$5:$BS$528,MATCH(LARGE('Calc (scoring engine)'!$K$5:$K$528,1),'Calc (scoring engine)'!$K$5:$K$528,0))="","—",INDEX(Database!$BS$5:$BS$528,MATCH(LARGE('Calc (scoring engine)'!$K$5:$K$528,1),'Calc (scoring engine)'!$K$5:$K$528,0))),""))</ns0:f>
        <ns0:v/>
      </ns0:c>
      <ns0:c r="BQ21" s="39">
        <ns0:f>IF(OR(1&gt;MAX(3,MIN(15,N($D$18))),IFERROR(LARGE('Calc (scoring engine)'!$K$5:$K$528,1),-999999)&lt;=-900000),"",IFERROR(IF(INDEX(Database!$BT$5:$BT$528,MATCH(LARGE('Calc (scoring engine)'!$K$5:$K$528,1),'Calc (scoring engine)'!$K$5:$K$528,0))="","—",INDEX(Database!$BT$5:$BT$528,MATCH(LARGE('Calc (scoring engine)'!$K$5:$K$528,1),'Calc (scoring engine)'!$K$5:$K$528,0))),""))</ns0:f>
        <ns0:v/>
      </ns0:c>
      <ns0:c r="BR21" s="24">
        <ns0:f>IF(OR(1&gt;MAX(3,MIN(15,N($D$18))),IFERROR(LARGE('Calc (scoring engine)'!$K$5:$K$528,1),-999999)&lt;=-900000),"",IFERROR(IF(INDEX(Database!$BU$5:$BU$528,MATCH(LARGE('Calc (scoring engine)'!$K$5:$K$528,1),'Calc (scoring engine)'!$K$5:$K$528,0))="","—",INDEX(Database!$BU$5:$BU$528,MATCH(LARGE('Calc (scoring engine)'!$K$5:$K$528,1),'Calc (scoring engine)'!$K$5:$K$528,0))),""))</ns0:f>
        <ns0:v/>
      </ns0:c>
      <ns0:c r="BS21" s="24">
        <ns0:f>IF(OR(1&gt;MAX(3,MIN(15,N($D$18))),IFERROR(LARGE('Calc (scoring engine)'!$K$5:$K$528,1),-999999)&lt;=-900000),"",IFERROR(IF(INDEX(Database!$BW$5:$BW$528,MATCH(LARGE('Calc (scoring engine)'!$K$5:$K$528,1),'Calc (scoring engine)'!$K$5:$K$528,0))="","—",INDEX(Database!$BW$5:$BW$528,MATCH(LARGE('Calc (scoring engine)'!$K$5:$K$528,1),'Calc (scoring engine)'!$K$5:$K$528,0))),""))</ns0:f>
        <ns0:v/>
      </ns0:c>
      <ns0:c r="BT21" s="57">
        <ns0:f>IF(OR(1&gt;MAX(3,MIN(15,N($D$18))),IFERROR(LARGE('Calc (scoring engine)'!$K$5:$K$528,1),-999999)&lt;=-900000),"",IFERROR(IF(INDEX('Calc (scoring engine)'!$H$5:$H$528,MATCH(LARGE('Calc (scoring engine)'!$K$5:$K$528,1),'Calc (scoring engine)'!$K$5:$K$528,0))&gt;0,INDEX('Calc (scoring engine)'!$H$5:$H$528,MATCH(LARGE('Calc (scoring engine)'!$K$5:$K$528,1),'Calc (scoring engine)'!$K$5:$K$528,0)),""),""))</ns0:f>
        <ns0:v/>
      </ns0:c>
      <ns0:c r="BU21" s="24">
        <ns0:f>IF(OR(1&gt;MAX(3,MIN(15,N($D$18))),IFERROR(LARGE('Calc (scoring engine)'!$K$5:$K$528,1),-999999)&lt;=-900000),"",IF(IFERROR(INDEX('Calc (scoring engine)'!$B$5:$B$528,MATCH(LARGE('Calc (scoring engine)'!$K$5:$K$528,1),'Calc (scoring engine)'!$K$5:$K$528,0)),0)=1,"same subsector","sector only"))</ns0:f>
        <ns0:v/>
      </ns0:c>
      <ns0:c r="BV21" s="57">
        <ns0:f>IF(OR(1&gt;MAX(3,MIN(15,N($D$18))),IFERROR(LARGE('Calc (scoring engine)'!$K$5:$K$528,1),-999999)&lt;=-900000),"",ROUND(IFERROR(LARGE('Calc (scoring engine)'!$K$5:$K$528,1),0),0))</ns0:f>
        <ns0:v/>
      </ns0:c>
      <ns0:c r="BW21" s="24">
        <ns0:f>IF(OR(1&gt;MAX(3,MIN(15,N($D$18))),IFERROR(LARGE('Calc (scoring engine)'!$K$5:$K$528,1),-999999)&lt;=-900000),"",IFERROR("sub "&amp;INDEX('Calc (scoring engine)'!$B$5:$B$528,MATCH(LARGE('Calc (scoring engine)'!$K$5:$K$528,1),'Calc (scoring engine)'!$K$5:$K$528,0))*W_SUB&amp;" + size "&amp;ROUND(INDEX('Calc (scoring engine)'!$D$5:$D$528,MATCH(LARGE('Calc (scoring engine)'!$K$5:$K$528,1),'Calc (scoring engine)'!$K$5:$K$528,0))*W_SIZE,0)&amp;" + prof "&amp;INDEX('Calc (scoring engine)'!$E$5:$E$528,MATCH(LARGE('Calc (scoring engine)'!$K$5:$K$528,1),'Calc (scoring engine)'!$K$5:$K$528,0))*W_PROF&amp;" + recency "&amp;ROUND(INDEX('Calc (scoring engine)'!$G$5:$G$528,MATCH(LARGE('Calc (scoring engine)'!$K$5:$K$528,1),'Calc (scoring engine)'!$K$5:$K$528,0))*W_REC,0)&amp;IF(INDEX('Calc (scoring engine)'!$H$5:$H$528,MATCH(LARGE('Calc (scoring engine)'!$K$5:$K$528,1),'Calc (scoring engine)'!$K$5:$K$528,0))&gt;0," + shared CS x"&amp;INDEX('Calc (scoring engine)'!$H$5:$H$528,MATCH(LARGE('Calc (scoring engine)'!$K$5:$K$528,1),'Calc (scoring engine)'!$K$5:$K$528,0)),""),""))</ns0:f>
        <ns0:v/>
      </ns0:c>
    </ns0:row>
    <ns0:row r="22">
      <ns0:c r="A22" s="52">
        <ns0:f>IF(OR(2&gt;MAX(3,MIN(15,N($D$18))),IFERROR(LARGE('Calc (scoring engine)'!$K$5:$K$528,2),-999999)&lt;=-900000),"",2)</ns0:f>
        <ns0:v/>
      </ns0:c>
      <ns0:c r="B22" s="24">
        <ns0:f>IF(OR(2&gt;MAX(3,MIN(15,N($D$18))),IFERROR(LARGE('Calc (scoring engine)'!$K$5:$K$528,2),-999999)&lt;=-900000),"",IFERROR(IF(INDEX(Database!$B$5:$B$528,MATCH(LARGE('Calc (scoring engine)'!$K$5:$K$528,2),'Calc (scoring engine)'!$K$5:$K$528,0))="","—",INDEX(Database!$B$5:$B$528,MATCH(LARGE('Calc (scoring engine)'!$K$5:$K$528,2),'Calc (scoring engine)'!$K$5:$K$528,0))),""))</ns0:f>
        <ns0:v/>
      </ns0:c>
      <ns0:c r="C22" s="53">
        <ns0:f>IF(OR(2&gt;MAX(3,MIN(15,N($D$18))),IFERROR(LARGE('Calc (scoring engine)'!$K$5:$K$528,2),-999999)&lt;=-900000),"",IFERROR(IF(INDEX(Database!$A$5:$A$528,MATCH(LARGE('Calc (scoring engine)'!$K$5:$K$528,2),'Calc (scoring engine)'!$K$5:$K$528,0))="","—",INDEX(Database!$A$5:$A$528,MATCH(LARGE('Calc (scoring engine)'!$K$5:$K$528,2),'Calc (scoring engine)'!$K$5:$K$528,0))),""))</ns0:f>
        <ns0:v/>
      </ns0:c>
      <ns0:c r="D22" s="24">
        <ns0:f>IF(OR(2&gt;MAX(3,MIN(15,N($D$18))),IFERROR(LARGE('Calc (scoring engine)'!$K$5:$K$528,2),-999999)&lt;=-900000),"",IFERROR(IF(INDEX(Database!$D$5:$D$528,MATCH(LARGE('Calc (scoring engine)'!$K$5:$K$528,2),'Calc (scoring engine)'!$K$5:$K$528,0))="","—",INDEX(Database!$D$5:$D$528,MATCH(LARGE('Calc (scoring engine)'!$K$5:$K$528,2),'Calc (scoring engine)'!$K$5:$K$528,0))),""))</ns0:f>
        <ns0:v/>
      </ns0:c>
      <ns0:c r="E22" s="24">
        <ns0:f>IF(OR(2&gt;MAX(3,MIN(15,N($D$18))),IFERROR(LARGE('Calc (scoring engine)'!$K$5:$K$528,2),-999999)&lt;=-900000),"",IFERROR(IF(INDEX(Database!$E$5:$E$528,MATCH(LARGE('Calc (scoring engine)'!$K$5:$K$528,2),'Calc (scoring engine)'!$K$5:$K$528,0))="","—",INDEX(Database!$E$5:$E$528,MATCH(LARGE('Calc (scoring engine)'!$K$5:$K$528,2),'Calc (scoring engine)'!$K$5:$K$528,0))),""))</ns0:f>
        <ns0:v/>
      </ns0:c>
      <ns0:c r="F22" s="24">
        <ns0:f>IF(OR(2&gt;MAX(3,MIN(15,N($D$18))),IFERROR(LARGE('Calc (scoring engine)'!$K$5:$K$528,2),-999999)&lt;=-900000),"",IFERROR(IF(INDEX(Database!$F$5:$F$528,MATCH(LARGE('Calc (scoring engine)'!$K$5:$K$528,2),'Calc (scoring engine)'!$K$5:$K$528,0))="","—",INDEX(Database!$F$5:$F$528,MATCH(LARGE('Calc (scoring engine)'!$K$5:$K$528,2),'Calc (scoring engine)'!$K$5:$K$528,0))),""))</ns0:f>
        <ns0:v/>
      </ns0:c>
      <ns0:c r="G22" s="24">
        <ns0:f>IF(OR(2&gt;MAX(3,MIN(15,N($D$18))),IFERROR(LARGE('Calc (scoring engine)'!$K$5:$K$528,2),-999999)&lt;=-900000),"",IFERROR(IF(INDEX(Database!$G$5:$G$528,MATCH(LARGE('Calc (scoring engine)'!$K$5:$K$528,2),'Calc (scoring engine)'!$K$5:$K$528,0))="","—",INDEX(Database!$G$5:$G$528,MATCH(LARGE('Calc (scoring engine)'!$K$5:$K$528,2),'Calc (scoring engine)'!$K$5:$K$528,0))),""))</ns0:f>
        <ns0:v/>
      </ns0:c>
      <ns0:c r="H22" s="36">
        <ns0:f>IF(OR(2&gt;MAX(3,MIN(15,N($D$18))),IFERROR(LARGE('Calc (scoring engine)'!$K$5:$K$528,2),-999999)&lt;=-900000),"",IFERROR(IF(INDEX(Database!$H$5:$H$528,MATCH(LARGE('Calc (scoring engine)'!$K$5:$K$528,2),'Calc (scoring engine)'!$K$5:$K$528,0))="","—",INDEX(Database!$H$5:$H$528,MATCH(LARGE('Calc (scoring engine)'!$K$5:$K$528,2),'Calc (scoring engine)'!$K$5:$K$528,0))),""))</ns0:f>
        <ns0:v/>
      </ns0:c>
      <ns0:c r="I22" s="34">
        <ns0:f>IF(OR(2&gt;MAX(3,MIN(15,N($D$18))),IFERROR(LARGE('Calc (scoring engine)'!$K$5:$K$528,2),-999999)&lt;=-900000),"",IFERROR(IF(INDEX(Database!$I$5:$I$528,MATCH(LARGE('Calc (scoring engine)'!$K$5:$K$528,2),'Calc (scoring engine)'!$K$5:$K$528,0))="","—",INDEX(Database!$I$5:$I$528,MATCH(LARGE('Calc (scoring engine)'!$K$5:$K$528,2),'Calc (scoring engine)'!$K$5:$K$528,0))),""))</ns0:f>
        <ns0:v/>
      </ns0:c>
      <ns0:c r="J22" s="54">
        <ns0:f>IF(OR(2&gt;MAX(3,MIN(15,N($D$18))),IFERROR(LARGE('Calc (scoring engine)'!$K$5:$K$528,2),-999999)&lt;=-900000),"",IFERROR(IF(INDEX(Database!$K$5:$K$528,MATCH(LARGE('Calc (scoring engine)'!$K$5:$K$528,2),'Calc (scoring engine)'!$K$5:$K$528,0))="","—",INDEX(Database!$K$5:$K$528,MATCH(LARGE('Calc (scoring engine)'!$K$5:$K$528,2),'Calc (scoring engine)'!$K$5:$K$528,0))),""))</ns0:f>
        <ns0:v/>
      </ns0:c>
      <ns0:c r="K22" s="54">
        <ns0:f>IF(OR(2&gt;MAX(3,MIN(15,N($D$18))),IFERROR(LARGE('Calc (scoring engine)'!$K$5:$K$528,2),-999999)&lt;=-900000),"",IFERROR(IF(INDEX(Database!$L$5:$L$528,MATCH(LARGE('Calc (scoring engine)'!$K$5:$K$528,2),'Calc (scoring engine)'!$K$5:$K$528,0))="","—",INDEX(Database!$L$5:$L$528,MATCH(LARGE('Calc (scoring engine)'!$K$5:$K$528,2),'Calc (scoring engine)'!$K$5:$K$528,0))),""))</ns0:f>
        <ns0:v/>
      </ns0:c>
      <ns0:c r="L22" s="54">
        <ns0:f>IF(OR(2&gt;MAX(3,MIN(15,N($D$18))),IFERROR(LARGE('Calc (scoring engine)'!$K$5:$K$528,2),-999999)&lt;=-900000),"",IFERROR(IF(INDEX(Database!$M$5:$M$528,MATCH(LARGE('Calc (scoring engine)'!$K$5:$K$528,2),'Calc (scoring engine)'!$K$5:$K$528,0))="","—",INDEX(Database!$M$5:$M$528,MATCH(LARGE('Calc (scoring engine)'!$K$5:$K$528,2),'Calc (scoring engine)'!$K$5:$K$528,0))),""))</ns0:f>
        <ns0:v/>
      </ns0:c>
      <ns0:c r="M22" s="24">
        <ns0:f>IF(OR(2&gt;MAX(3,MIN(15,N($D$18))),IFERROR(LARGE('Calc (scoring engine)'!$K$5:$K$528,2),-999999)&lt;=-900000),"",IFERROR(IF(INDEX(Database!$N$5:$N$528,MATCH(LARGE('Calc (scoring engine)'!$K$5:$K$528,2),'Calc (scoring engine)'!$K$5:$K$528,0))="","—",INDEX(Database!$N$5:$N$528,MATCH(LARGE('Calc (scoring engine)'!$K$5:$K$528,2),'Calc (scoring engine)'!$K$5:$K$528,0))),""))</ns0:f>
        <ns0:v/>
      </ns0:c>
      <ns0:c r="N22" s="44">
        <ns0:f>IF(OR(2&gt;MAX(3,MIN(15,N($D$18))),IFERROR(LARGE('Calc (scoring engine)'!$K$5:$K$528,2),-999999)&lt;=-900000),"",IFERROR(IF(INDEX(Database!$O$5:$O$528,MATCH(LARGE('Calc (scoring engine)'!$K$5:$K$528,2),'Calc (scoring engine)'!$K$5:$K$528,0))="","—",INDEX(Database!$O$5:$O$528,MATCH(LARGE('Calc (scoring engine)'!$K$5:$K$528,2),'Calc (scoring engine)'!$K$5:$K$528,0))),""))</ns0:f>
        <ns0:v/>
      </ns0:c>
      <ns0:c r="O22" s="44">
        <ns0:f>IF(OR(2&gt;MAX(3,MIN(15,N($D$18))),IFERROR(LARGE('Calc (scoring engine)'!$K$5:$K$528,2),-999999)&lt;=-900000),"",IFERROR(IF(INDEX(Database!$P$5:$P$528,MATCH(LARGE('Calc (scoring engine)'!$K$5:$K$528,2),'Calc (scoring engine)'!$K$5:$K$528,0))="","—",INDEX(Database!$P$5:$P$528,MATCH(LARGE('Calc (scoring engine)'!$K$5:$K$528,2),'Calc (scoring engine)'!$K$5:$K$528,0))),""))</ns0:f>
        <ns0:v/>
      </ns0:c>
      <ns0:c r="P22" s="34">
        <ns0:f>IF(OR(2&gt;MAX(3,MIN(15,N($D$18))),IFERROR(LARGE('Calc (scoring engine)'!$K$5:$K$528,2),-999999)&lt;=-900000),"",IFERROR(IF(INDEX(Database!$Q$5:$Q$528,MATCH(LARGE('Calc (scoring engine)'!$K$5:$K$528,2),'Calc (scoring engine)'!$K$5:$K$528,0))="","—",INDEX(Database!$Q$5:$Q$528,MATCH(LARGE('Calc (scoring engine)'!$K$5:$K$528,2),'Calc (scoring engine)'!$K$5:$K$528,0))),""))</ns0:f>
        <ns0:v/>
      </ns0:c>
      <ns0:c r="Q22" s="41">
        <ns0:f>IF(OR(2&gt;MAX(3,MIN(15,N($D$18))),IFERROR(LARGE('Calc (scoring engine)'!$K$5:$K$528,2),-999999)&lt;=-900000),"",IFERROR(IF(INDEX(Database!$S$5:$S$528,MATCH(LARGE('Calc (scoring engine)'!$K$5:$K$528,2),'Calc (scoring engine)'!$K$5:$K$528,0))="","—",INDEX(Database!$S$5:$S$528,MATCH(LARGE('Calc (scoring engine)'!$K$5:$K$528,2),'Calc (scoring engine)'!$K$5:$K$528,0))),""))</ns0:f>
        <ns0:v/>
      </ns0:c>
      <ns0:c r="R22" s="55">
        <ns0:f>IF(OR(2&gt;MAX(3,MIN(15,N($D$18))),IFERROR(LARGE('Calc (scoring engine)'!$K$5:$K$528,2),-999999)&lt;=-900000),"",IFERROR(IF(INDEX(Database!$T$5:$T$528,MATCH(LARGE('Calc (scoring engine)'!$K$5:$K$528,2),'Calc (scoring engine)'!$K$5:$K$528,0))="","—",INDEX(Database!$T$5:$T$528,MATCH(LARGE('Calc (scoring engine)'!$K$5:$K$528,2),'Calc (scoring engine)'!$K$5:$K$528,0))),""))</ns0:f>
        <ns0:v/>
      </ns0:c>
      <ns0:c r="S22" s="56">
        <ns0:f>IF(OR(2&gt;MAX(3,MIN(15,N($D$18))),IFERROR(LARGE('Calc (scoring engine)'!$K$5:$K$528,2),-999999)&lt;=-900000),"",IFERROR(IF(INDEX(Database!$U$5:$U$528,MATCH(LARGE('Calc (scoring engine)'!$K$5:$K$528,2),'Calc (scoring engine)'!$K$5:$K$528,0))="","—",INDEX(Database!$U$5:$U$528,MATCH(LARGE('Calc (scoring engine)'!$K$5:$K$528,2),'Calc (scoring engine)'!$K$5:$K$528,0))),""))</ns0:f>
        <ns0:v/>
      </ns0:c>
      <ns0:c r="T22" s="57">
        <ns0:f>IF(OR(2&gt;MAX(3,MIN(15,N($D$18))),IFERROR(LARGE('Calc (scoring engine)'!$K$5:$K$528,2),-999999)&lt;=-900000),"",IFERROR(IF(INDEX(Database!$V$5:$V$528,MATCH(LARGE('Calc (scoring engine)'!$K$5:$K$528,2),'Calc (scoring engine)'!$K$5:$K$528,0))="","—",INDEX(Database!$V$5:$V$528,MATCH(LARGE('Calc (scoring engine)'!$K$5:$K$528,2),'Calc (scoring engine)'!$K$5:$K$528,0))),""))</ns0:f>
        <ns0:v/>
      </ns0:c>
      <ns0:c r="U22" s="44">
        <ns0:f>IF(OR(2&gt;MAX(3,MIN(15,N($D$18))),IFERROR(LARGE('Calc (scoring engine)'!$K$5:$K$528,2),-999999)&lt;=-900000),"",IFERROR(IF(INDEX(Database!$W$5:$W$528,MATCH(LARGE('Calc (scoring engine)'!$K$5:$K$528,2),'Calc (scoring engine)'!$K$5:$K$528,0))="","—",INDEX(Database!$W$5:$W$528,MATCH(LARGE('Calc (scoring engine)'!$K$5:$K$528,2),'Calc (scoring engine)'!$K$5:$K$528,0))),""))</ns0:f>
        <ns0:v/>
      </ns0:c>
      <ns0:c r="V22" s="24">
        <ns0:f>IF(OR(2&gt;MAX(3,MIN(15,N($D$18))),IFERROR(LARGE('Calc (scoring engine)'!$K$5:$K$528,2),-999999)&lt;=-900000),"",IFERROR(IF(INDEX(Database!$X$5:$X$528,MATCH(LARGE('Calc (scoring engine)'!$K$5:$K$528,2),'Calc (scoring engine)'!$K$5:$K$528,0))="","—",INDEX(Database!$X$5:$X$528,MATCH(LARGE('Calc (scoring engine)'!$K$5:$K$528,2),'Calc (scoring engine)'!$K$5:$K$528,0))),""))</ns0:f>
        <ns0:v/>
      </ns0:c>
      <ns0:c r="W22" s="34">
        <ns0:f>IF(OR(2&gt;MAX(3,MIN(15,N($D$18))),IFERROR(LARGE('Calc (scoring engine)'!$K$5:$K$528,2),-999999)&lt;=-900000),"",IFERROR(IF(INDEX(Database!$Y$5:$Y$528,MATCH(LARGE('Calc (scoring engine)'!$K$5:$K$528,2),'Calc (scoring engine)'!$K$5:$K$528,0))="","—",INDEX(Database!$Y$5:$Y$528,MATCH(LARGE('Calc (scoring engine)'!$K$5:$K$528,2),'Calc (scoring engine)'!$K$5:$K$528,0))),""))</ns0:f>
        <ns0:v/>
      </ns0:c>
      <ns0:c r="X22" s="34">
        <ns0:f>IF(OR(2&gt;MAX(3,MIN(15,N($D$18))),IFERROR(LARGE('Calc (scoring engine)'!$K$5:$K$528,2),-999999)&lt;=-900000),"",IFERROR(IF(INDEX(Database!$Z$5:$Z$528,MATCH(LARGE('Calc (scoring engine)'!$K$5:$K$528,2),'Calc (scoring engine)'!$K$5:$K$528,0))="","—",INDEX(Database!$Z$5:$Z$528,MATCH(LARGE('Calc (scoring engine)'!$K$5:$K$528,2),'Calc (scoring engine)'!$K$5:$K$528,0))),""))</ns0:f>
        <ns0:v/>
      </ns0:c>
      <ns0:c r="Y22" s="44">
        <ns0:f>IF(OR(2&gt;MAX(3,MIN(15,N($D$18))),IFERROR(LARGE('Calc (scoring engine)'!$K$5:$K$528,2),-999999)&lt;=-900000),"",IFERROR(IF(INDEX(Database!$AA$5:$AA$528,MATCH(LARGE('Calc (scoring engine)'!$K$5:$K$528,2),'Calc (scoring engine)'!$K$5:$K$528,0))="","—",INDEX(Database!$AA$5:$AA$528,MATCH(LARGE('Calc (scoring engine)'!$K$5:$K$528,2),'Calc (scoring engine)'!$K$5:$K$528,0))),""))</ns0:f>
        <ns0:v/>
      </ns0:c>
      <ns0:c r="Z22" s="24">
        <ns0:f>IF(OR(2&gt;MAX(3,MIN(15,N($D$18))),IFERROR(LARGE('Calc (scoring engine)'!$K$5:$K$528,2),-999999)&lt;=-900000),"",IFERROR(IF(INDEX(Database!$AB$5:$AB$528,MATCH(LARGE('Calc (scoring engine)'!$K$5:$K$528,2),'Calc (scoring engine)'!$K$5:$K$528,0))="","—",INDEX(Database!$AB$5:$AB$528,MATCH(LARGE('Calc (scoring engine)'!$K$5:$K$528,2),'Calc (scoring engine)'!$K$5:$K$528,0))),""))</ns0:f>
        <ns0:v/>
      </ns0:c>
      <ns0:c r="AA22" s="44">
        <ns0:f>IF(OR(2&gt;MAX(3,MIN(15,N($D$18))),IFERROR(LARGE('Calc (scoring engine)'!$K$5:$K$528,2),-999999)&lt;=-900000),"",IFERROR(IF(INDEX(Database!$AD$5:$AD$528,MATCH(LARGE('Calc (scoring engine)'!$K$5:$K$528,2),'Calc (scoring engine)'!$K$5:$K$528,0))="","—",INDEX(Database!$AD$5:$AD$528,MATCH(LARGE('Calc (scoring engine)'!$K$5:$K$528,2),'Calc (scoring engine)'!$K$5:$K$528,0))),""))</ns0:f>
        <ns0:v/>
      </ns0:c>
      <ns0:c r="AB22" s="24">
        <ns0:f>IF(OR(2&gt;MAX(3,MIN(15,N($D$18))),IFERROR(LARGE('Calc (scoring engine)'!$K$5:$K$528,2),-999999)&lt;=-900000),"",IFERROR(IF(INDEX(Database!$AE$5:$AE$528,MATCH(LARGE('Calc (scoring engine)'!$K$5:$K$528,2),'Calc (scoring engine)'!$K$5:$K$528,0))="","—",INDEX(Database!$AE$5:$AE$528,MATCH(LARGE('Calc (scoring engine)'!$K$5:$K$528,2),'Calc (scoring engine)'!$K$5:$K$528,0))),""))</ns0:f>
        <ns0:v/>
      </ns0:c>
      <ns0:c r="AC22" s="24">
        <ns0:f>IF(OR(2&gt;MAX(3,MIN(15,N($D$18))),IFERROR(LARGE('Calc (scoring engine)'!$K$5:$K$528,2),-999999)&lt;=-900000),"",IFERROR(IF(INDEX(Database!$AF$5:$AF$528,MATCH(LARGE('Calc (scoring engine)'!$K$5:$K$528,2),'Calc (scoring engine)'!$K$5:$K$528,0))="","—",INDEX(Database!$AF$5:$AF$528,MATCH(LARGE('Calc (scoring engine)'!$K$5:$K$528,2),'Calc (scoring engine)'!$K$5:$K$528,0))),""))</ns0:f>
        <ns0:v/>
      </ns0:c>
      <ns0:c r="AD22" s="24">
        <ns0:f>IF(OR(2&gt;MAX(3,MIN(15,N($D$18))),IFERROR(LARGE('Calc (scoring engine)'!$K$5:$K$528,2),-999999)&lt;=-900000),"",IFERROR(IF(INDEX(Database!$AG$5:$AG$528,MATCH(LARGE('Calc (scoring engine)'!$K$5:$K$528,2),'Calc (scoring engine)'!$K$5:$K$528,0))="","—",INDEX(Database!$AG$5:$AG$528,MATCH(LARGE('Calc (scoring engine)'!$K$5:$K$528,2),'Calc (scoring engine)'!$K$5:$K$528,0))),""))</ns0:f>
        <ns0:v/>
      </ns0:c>
      <ns0:c r="AE22" s="24">
        <ns0:f>IF(OR(2&gt;MAX(3,MIN(15,N($D$18))),IFERROR(LARGE('Calc (scoring engine)'!$K$5:$K$528,2),-999999)&lt;=-900000),"",IFERROR(IF(INDEX(Database!$AH$5:$AH$528,MATCH(LARGE('Calc (scoring engine)'!$K$5:$K$528,2),'Calc (scoring engine)'!$K$5:$K$528,0))="","—",INDEX(Database!$AH$5:$AH$528,MATCH(LARGE('Calc (scoring engine)'!$K$5:$K$528,2),'Calc (scoring engine)'!$K$5:$K$528,0))),""))</ns0:f>
        <ns0:v/>
      </ns0:c>
      <ns0:c r="AF22" s="38">
        <ns0:f>IF(OR(2&gt;MAX(3,MIN(15,N($D$18))),IFERROR(LARGE('Calc (scoring engine)'!$K$5:$K$528,2),-999999)&lt;=-900000),"",IFERROR(IF(INDEX(Database!$AI$5:$AI$528,MATCH(LARGE('Calc (scoring engine)'!$K$5:$K$528,2),'Calc (scoring engine)'!$K$5:$K$528,0))="","—",INDEX(Database!$AI$5:$AI$528,MATCH(LARGE('Calc (scoring engine)'!$K$5:$K$528,2),'Calc (scoring engine)'!$K$5:$K$528,0))),""))</ns0:f>
        <ns0:v/>
      </ns0:c>
      <ns0:c r="AG22" s="38">
        <ns0:f>IF(OR(2&gt;MAX(3,MIN(15,N($D$18))),IFERROR(LARGE('Calc (scoring engine)'!$K$5:$K$528,2),-999999)&lt;=-900000),"",IFERROR(IF(INDEX(Database!$AJ$5:$AJ$528,MATCH(LARGE('Calc (scoring engine)'!$K$5:$K$528,2),'Calc (scoring engine)'!$K$5:$K$528,0))="","—",INDEX(Database!$AJ$5:$AJ$528,MATCH(LARGE('Calc (scoring engine)'!$K$5:$K$528,2),'Calc (scoring engine)'!$K$5:$K$528,0))),""))</ns0:f>
        <ns0:v/>
      </ns0:c>
      <ns0:c r="AH22" s="38">
        <ns0:f>IF(OR(2&gt;MAX(3,MIN(15,N($D$18))),IFERROR(LARGE('Calc (scoring engine)'!$K$5:$K$528,2),-999999)&lt;=-900000),"",IFERROR(IF(INDEX(Database!$AK$5:$AK$528,MATCH(LARGE('Calc (scoring engine)'!$K$5:$K$528,2),'Calc (scoring engine)'!$K$5:$K$528,0))="","—",INDEX(Database!$AK$5:$AK$528,MATCH(LARGE('Calc (scoring engine)'!$K$5:$K$528,2),'Calc (scoring engine)'!$K$5:$K$528,0))),""))</ns0:f>
        <ns0:v/>
      </ns0:c>
      <ns0:c r="AI22" s="38">
        <ns0:f>IF(OR(2&gt;MAX(3,MIN(15,N($D$18))),IFERROR(LARGE('Calc (scoring engine)'!$K$5:$K$528,2),-999999)&lt;=-900000),"",IFERROR(IF(INDEX(Database!$AL$5:$AL$528,MATCH(LARGE('Calc (scoring engine)'!$K$5:$K$528,2),'Calc (scoring engine)'!$K$5:$K$528,0))="","—",INDEX(Database!$AL$5:$AL$528,MATCH(LARGE('Calc (scoring engine)'!$K$5:$K$528,2),'Calc (scoring engine)'!$K$5:$K$528,0))),""))</ns0:f>
        <ns0:v/>
      </ns0:c>
      <ns0:c r="AJ22" s="38">
        <ns0:f>IF(OR(2&gt;MAX(3,MIN(15,N($D$18))),IFERROR(LARGE('Calc (scoring engine)'!$K$5:$K$528,2),-999999)&lt;=-900000),"",IFERROR(IF(INDEX(Database!$AM$5:$AM$528,MATCH(LARGE('Calc (scoring engine)'!$K$5:$K$528,2),'Calc (scoring engine)'!$K$5:$K$528,0))="","—",INDEX(Database!$AM$5:$AM$528,MATCH(LARGE('Calc (scoring engine)'!$K$5:$K$528,2),'Calc (scoring engine)'!$K$5:$K$528,0))),""))</ns0:f>
        <ns0:v/>
      </ns0:c>
      <ns0:c r="AK22" s="39">
        <ns0:f>IF(OR(2&gt;MAX(3,MIN(15,N($D$18))),IFERROR(LARGE('Calc (scoring engine)'!$K$5:$K$528,2),-999999)&lt;=-900000),"",IFERROR(IF(INDEX(Database!$AN$5:$AN$528,MATCH(LARGE('Calc (scoring engine)'!$K$5:$K$528,2),'Calc (scoring engine)'!$K$5:$K$528,0))="","—",INDEX(Database!$AN$5:$AN$528,MATCH(LARGE('Calc (scoring engine)'!$K$5:$K$528,2),'Calc (scoring engine)'!$K$5:$K$528,0))),""))</ns0:f>
        <ns0:v/>
      </ns0:c>
      <ns0:c r="AL22" s="44">
        <ns0:f>IF(OR(2&gt;MAX(3,MIN(15,N($D$18))),IFERROR(LARGE('Calc (scoring engine)'!$K$5:$K$528,2),-999999)&lt;=-900000),"",IFERROR(IF(INDEX(Database!$AO$5:$AO$528,MATCH(LARGE('Calc (scoring engine)'!$K$5:$K$528,2),'Calc (scoring engine)'!$K$5:$K$528,0))="","—",INDEX(Database!$AO$5:$AO$528,MATCH(LARGE('Calc (scoring engine)'!$K$5:$K$528,2),'Calc (scoring engine)'!$K$5:$K$528,0))),""))</ns0:f>
        <ns0:v/>
      </ns0:c>
      <ns0:c r="AM22" s="38">
        <ns0:f>IF(OR(2&gt;MAX(3,MIN(15,N($D$18))),IFERROR(LARGE('Calc (scoring engine)'!$K$5:$K$528,2),-999999)&lt;=-900000),"",IFERROR(IF(INDEX(Database!$AP$5:$AP$528,MATCH(LARGE('Calc (scoring engine)'!$K$5:$K$528,2),'Calc (scoring engine)'!$K$5:$K$528,0))="","—",INDEX(Database!$AP$5:$AP$528,MATCH(LARGE('Calc (scoring engine)'!$K$5:$K$528,2),'Calc (scoring engine)'!$K$5:$K$528,0))),""))</ns0:f>
        <ns0:v/>
      </ns0:c>
      <ns0:c r="AN22" s="38">
        <ns0:f>IF(OR(2&gt;MAX(3,MIN(15,N($D$18))),IFERROR(LARGE('Calc (scoring engine)'!$K$5:$K$528,2),-999999)&lt;=-900000),"",IFERROR(IF(INDEX(Database!$AQ$5:$AQ$528,MATCH(LARGE('Calc (scoring engine)'!$K$5:$K$528,2),'Calc (scoring engine)'!$K$5:$K$528,0))="","—",INDEX(Database!$AQ$5:$AQ$528,MATCH(LARGE('Calc (scoring engine)'!$K$5:$K$528,2),'Calc (scoring engine)'!$K$5:$K$528,0))),""))</ns0:f>
        <ns0:v/>
      </ns0:c>
      <ns0:c r="AO22" s="38">
        <ns0:f>IF(OR(2&gt;MAX(3,MIN(15,N($D$18))),IFERROR(LARGE('Calc (scoring engine)'!$K$5:$K$528,2),-999999)&lt;=-900000),"",IFERROR(IF(INDEX(Database!$AR$5:$AR$528,MATCH(LARGE('Calc (scoring engine)'!$K$5:$K$528,2),'Calc (scoring engine)'!$K$5:$K$528,0))="","—",INDEX(Database!$AR$5:$AR$528,MATCH(LARGE('Calc (scoring engine)'!$K$5:$K$528,2),'Calc (scoring engine)'!$K$5:$K$528,0))),""))</ns0:f>
        <ns0:v/>
      </ns0:c>
      <ns0:c r="AP22" s="38">
        <ns0:f>IF(OR(2&gt;MAX(3,MIN(15,N($D$18))),IFERROR(LARGE('Calc (scoring engine)'!$K$5:$K$528,2),-999999)&lt;=-900000),"",IFERROR(IF(INDEX(Database!$AS$5:$AS$528,MATCH(LARGE('Calc (scoring engine)'!$K$5:$K$528,2),'Calc (scoring engine)'!$K$5:$K$528,0))="","—",INDEX(Database!$AS$5:$AS$528,MATCH(LARGE('Calc (scoring engine)'!$K$5:$K$528,2),'Calc (scoring engine)'!$K$5:$K$528,0))),""))</ns0:f>
        <ns0:v/>
      </ns0:c>
      <ns0:c r="AQ22" s="38">
        <ns0:f>IF(OR(2&gt;MAX(3,MIN(15,N($D$18))),IFERROR(LARGE('Calc (scoring engine)'!$K$5:$K$528,2),-999999)&lt;=-900000),"",IFERROR(IF(INDEX(Database!$AT$5:$AT$528,MATCH(LARGE('Calc (scoring engine)'!$K$5:$K$528,2),'Calc (scoring engine)'!$K$5:$K$528,0))="","—",INDEX(Database!$AT$5:$AT$528,MATCH(LARGE('Calc (scoring engine)'!$K$5:$K$528,2),'Calc (scoring engine)'!$K$5:$K$528,0))),""))</ns0:f>
        <ns0:v/>
      </ns0:c>
      <ns0:c r="AR22" s="38">
        <ns0:f>IF(OR(2&gt;MAX(3,MIN(15,N($D$18))),IFERROR(LARGE('Calc (scoring engine)'!$K$5:$K$528,2),-999999)&lt;=-900000),"",IFERROR(IF(INDEX(Database!$AU$5:$AU$528,MATCH(LARGE('Calc (scoring engine)'!$K$5:$K$528,2),'Calc (scoring engine)'!$K$5:$K$528,0))="","—",INDEX(Database!$AU$5:$AU$528,MATCH(LARGE('Calc (scoring engine)'!$K$5:$K$528,2),'Calc (scoring engine)'!$K$5:$K$528,0))),""))</ns0:f>
        <ns0:v/>
      </ns0:c>
      <ns0:c r="AS22" s="38">
        <ns0:f>IF(OR(2&gt;MAX(3,MIN(15,N($D$18))),IFERROR(LARGE('Calc (scoring engine)'!$K$5:$K$528,2),-999999)&lt;=-900000),"",IFERROR(IF(INDEX(Database!$AV$5:$AV$528,MATCH(LARGE('Calc (scoring engine)'!$K$5:$K$528,2),'Calc (scoring engine)'!$K$5:$K$528,0))="","—",INDEX(Database!$AV$5:$AV$528,MATCH(LARGE('Calc (scoring engine)'!$K$5:$K$528,2),'Calc (scoring engine)'!$K$5:$K$528,0))),""))</ns0:f>
        <ns0:v/>
      </ns0:c>
      <ns0:c r="AT22" s="38">
        <ns0:f>IF(OR(2&gt;MAX(3,MIN(15,N($D$18))),IFERROR(LARGE('Calc (scoring engine)'!$K$5:$K$528,2),-999999)&lt;=-900000),"",IFERROR(IF(INDEX(Database!$AW$5:$AW$528,MATCH(LARGE('Calc (scoring engine)'!$K$5:$K$528,2),'Calc (scoring engine)'!$K$5:$K$528,0))="","—",INDEX(Database!$AW$5:$AW$528,MATCH(LARGE('Calc (scoring engine)'!$K$5:$K$528,2),'Calc (scoring engine)'!$K$5:$K$528,0))),""))</ns0:f>
        <ns0:v/>
      </ns0:c>
      <ns0:c r="AU22" s="38">
        <ns0:f>IF(OR(2&gt;MAX(3,MIN(15,N($D$18))),IFERROR(LARGE('Calc (scoring engine)'!$K$5:$K$528,2),-999999)&lt;=-900000),"",IFERROR(IF(INDEX(Database!$AX$5:$AX$528,MATCH(LARGE('Calc (scoring engine)'!$K$5:$K$528,2),'Calc (scoring engine)'!$K$5:$K$528,0))="","—",INDEX(Database!$AX$5:$AX$528,MATCH(LARGE('Calc (scoring engine)'!$K$5:$K$528,2),'Calc (scoring engine)'!$K$5:$K$528,0))),""))</ns0:f>
        <ns0:v/>
      </ns0:c>
      <ns0:c r="AV22" s="38">
        <ns0:f>IF(OR(2&gt;MAX(3,MIN(15,N($D$18))),IFERROR(LARGE('Calc (scoring engine)'!$K$5:$K$528,2),-999999)&lt;=-900000),"",IFERROR(IF(INDEX(Database!$AY$5:$AY$528,MATCH(LARGE('Calc (scoring engine)'!$K$5:$K$528,2),'Calc (scoring engine)'!$K$5:$K$528,0))="","—",INDEX(Database!$AY$5:$AY$528,MATCH(LARGE('Calc (scoring engine)'!$K$5:$K$528,2),'Calc (scoring engine)'!$K$5:$K$528,0))),""))</ns0:f>
        <ns0:v/>
      </ns0:c>
      <ns0:c r="AW22" s="38">
        <ns0:f>IF(OR(2&gt;MAX(3,MIN(15,N($D$18))),IFERROR(LARGE('Calc (scoring engine)'!$K$5:$K$528,2),-999999)&lt;=-900000),"",IFERROR(IF(INDEX(Database!$AZ$5:$AZ$528,MATCH(LARGE('Calc (scoring engine)'!$K$5:$K$528,2),'Calc (scoring engine)'!$K$5:$K$528,0))="","—",INDEX(Database!$AZ$5:$AZ$528,MATCH(LARGE('Calc (scoring engine)'!$K$5:$K$528,2),'Calc (scoring engine)'!$K$5:$K$528,0))),""))</ns0:f>
        <ns0:v/>
      </ns0:c>
      <ns0:c r="AX22" s="38">
        <ns0:f>IF(OR(2&gt;MAX(3,MIN(15,N($D$18))),IFERROR(LARGE('Calc (scoring engine)'!$K$5:$K$528,2),-999999)&lt;=-900000),"",IFERROR(IF(INDEX(Database!$BA$5:$BA$528,MATCH(LARGE('Calc (scoring engine)'!$K$5:$K$528,2),'Calc (scoring engine)'!$K$5:$K$528,0))="","—",INDEX(Database!$BA$5:$BA$528,MATCH(LARGE('Calc (scoring engine)'!$K$5:$K$528,2),'Calc (scoring engine)'!$K$5:$K$528,0))),""))</ns0:f>
        <ns0:v/>
      </ns0:c>
      <ns0:c r="AY22" s="38">
        <ns0:f>IF(OR(2&gt;MAX(3,MIN(15,N($D$18))),IFERROR(LARGE('Calc (scoring engine)'!$K$5:$K$528,2),-999999)&lt;=-900000),"",IFERROR(IF(INDEX(Database!$BC$5:$BC$528,MATCH(LARGE('Calc (scoring engine)'!$K$5:$K$528,2),'Calc (scoring engine)'!$K$5:$K$528,0))="","—",INDEX(Database!$BC$5:$BC$528,MATCH(LARGE('Calc (scoring engine)'!$K$5:$K$528,2),'Calc (scoring engine)'!$K$5:$K$528,0))),""))</ns0:f>
        <ns0:v/>
      </ns0:c>
      <ns0:c r="AZ22" s="34">
        <ns0:f>IF(OR(2&gt;MAX(3,MIN(15,N($D$18))),IFERROR(LARGE('Calc (scoring engine)'!$K$5:$K$528,2),-999999)&lt;=-900000),"",IFERROR(IF(INDEX(Database!$BE$5:$BE$528,MATCH(LARGE('Calc (scoring engine)'!$K$5:$K$528,2),'Calc (scoring engine)'!$K$5:$K$528,0))="","—",INDEX(Database!$BE$5:$BE$528,MATCH(LARGE('Calc (scoring engine)'!$K$5:$K$528,2),'Calc (scoring engine)'!$K$5:$K$528,0))),""))</ns0:f>
        <ns0:v/>
      </ns0:c>
      <ns0:c r="BA22" s="34">
        <ns0:f>IF(OR(2&gt;MAX(3,MIN(15,N($D$18))),IFERROR(LARGE('Calc (scoring engine)'!$K$5:$K$528,2),-999999)&lt;=-900000),"",IFERROR(IF(INDEX(Database!$BF$5:$BF$528,MATCH(LARGE('Calc (scoring engine)'!$K$5:$K$528,2),'Calc (scoring engine)'!$K$5:$K$528,0))="","—",INDEX(Database!$BF$5:$BF$528,MATCH(LARGE('Calc (scoring engine)'!$K$5:$K$528,2),'Calc (scoring engine)'!$K$5:$K$528,0))),""))</ns0:f>
        <ns0:v/>
      </ns0:c>
      <ns0:c r="BB22" s="24">
        <ns0:f>IF(OR(2&gt;MAX(3,MIN(15,N($D$18))),IFERROR(LARGE('Calc (scoring engine)'!$K$5:$K$528,2),-999999)&lt;=-900000),"",IFERROR(IF(INDEX(Database!$BG$5:$BG$528,MATCH(LARGE('Calc (scoring engine)'!$K$5:$K$528,2),'Calc (scoring engine)'!$K$5:$K$528,0))="","—",INDEX(Database!$BG$5:$BG$528,MATCH(LARGE('Calc (scoring engine)'!$K$5:$K$528,2),'Calc (scoring engine)'!$K$5:$K$528,0))),""))</ns0:f>
        <ns0:v/>
      </ns0:c>
      <ns0:c r="BC22" s="39">
        <ns0:f>IF(OR(2&gt;MAX(3,MIN(15,N($D$18))),IFERROR(LARGE('Calc (scoring engine)'!$K$5:$K$528,2),-999999)&lt;=-900000),"",IFERROR(IF(N(INDEX(Database!$BH$5:$BH$528,MATCH(LARGE('Calc (scoring engine)'!$K$5:$K$528,2),'Calc (scoring engine)'!$K$5:$K$528,0)))&lt;=0,IF(INDEX(Database!$BG$5:$BG$528,MATCH(LARGE('Calc (scoring engine)'!$K$5:$K$528,2),'Calc (scoring engine)'!$K$5:$K$528,0))="N","n/m","—"),INDEX(Database!$BH$5:$BH$528,MATCH(LARGE('Calc (scoring engine)'!$K$5:$K$528,2),'Calc (scoring engine)'!$K$5:$K$528,0))),""))</ns0:f>
        <ns0:v/>
      </ns0:c>
      <ns0:c r="BD22" s="39">
        <ns0:f>IF(OR(2&gt;MAX(3,MIN(15,N($D$18))),IFERROR(LARGE('Calc (scoring engine)'!$K$5:$K$528,2),-999999)&lt;=-900000),"",IFERROR(IF(INDEX(Database!$BI$5:$BI$528,MATCH(LARGE('Calc (scoring engine)'!$K$5:$K$528,2),'Calc (scoring engine)'!$K$5:$K$528,0))="","—",INDEX(Database!$BI$5:$BI$528,MATCH(LARGE('Calc (scoring engine)'!$K$5:$K$528,2),'Calc (scoring engine)'!$K$5:$K$528,0))),""))</ns0:f>
        <ns0:v/>
      </ns0:c>
      <ns0:c r="BE22" s="39">
        <ns0:f>IF(OR(2&gt;MAX(3,MIN(15,N($D$18))),IFERROR(LARGE('Calc (scoring engine)'!$K$5:$K$528,2),-999999)&lt;=-900000),"",IFERROR(IF(INDEX(Database!$BJ$5:$BJ$528,MATCH(LARGE('Calc (scoring engine)'!$K$5:$K$528,2),'Calc (scoring engine)'!$K$5:$K$528,0))="","—",INDEX(Database!$BJ$5:$BJ$528,MATCH(LARGE('Calc (scoring engine)'!$K$5:$K$528,2),'Calc (scoring engine)'!$K$5:$K$528,0))),""))</ns0:f>
        <ns0:v/>
      </ns0:c>
      <ns0:c r="BF22" s="39">
        <ns0:f>IF(OR(2&gt;MAX(3,MIN(15,N($D$18))),IFERROR(LARGE('Calc (scoring engine)'!$K$5:$K$528,2),-999999)&lt;=-900000),"",IFERROR(IF(INDEX(Database!$BK$5:$BK$528,MATCH(LARGE('Calc (scoring engine)'!$K$5:$K$528,2),'Calc (scoring engine)'!$K$5:$K$528,0))="","—",INDEX(Database!$BK$5:$BK$528,MATCH(LARGE('Calc (scoring engine)'!$K$5:$K$528,2),'Calc (scoring engine)'!$K$5:$K$528,0))),""))</ns0:f>
        <ns0:v/>
      </ns0:c>
      <ns0:c r="BG22" s="39">
        <ns0:f>IF(OR(2&gt;MAX(3,MIN(15,N($D$18))),IFERROR(LARGE('Calc (scoring engine)'!$K$5:$K$528,2),-999999)&lt;=-900000),"",IFERROR(IF(INDEX(Database!$BL$5:$BL$528,MATCH(LARGE('Calc (scoring engine)'!$K$5:$K$528,2),'Calc (scoring engine)'!$K$5:$K$528,0))="","—",INDEX(Database!$BL$5:$BL$528,MATCH(LARGE('Calc (scoring engine)'!$K$5:$K$528,2),'Calc (scoring engine)'!$K$5:$K$528,0))),""))</ns0:f>
        <ns0:v/>
      </ns0:c>
      <ns0:c r="BH22" s="39">
        <ns0:f>IF(OR(2&gt;MAX(3,MIN(15,N($D$18))),IFERROR(LARGE('Calc (scoring engine)'!$K$5:$K$528,2),-999999)&lt;=-900000),"",IFERROR(IFERROR(BDP(TEXT(INDEX(Database!$A$5:$A$528,MATCH(LARGE('Calc (scoring engine)'!$K$5:$K$528,2),'Calc (scoring engine)'!$K$5:$K$528,0)),"0")&amp;" HK Equity","PE_RATIO"),IF(INDEX(Database!$BJ$5:$BJ$528,MATCH(LARGE('Calc (scoring engine)'!$K$5:$K$528,2),'Calc (scoring engine)'!$K$5:$K$528,0))="","—",INDEX(Database!$BJ$5:$BJ$528,MATCH(LARGE('Calc (scoring engine)'!$K$5:$K$528,2),'Calc (scoring engine)'!$K$5:$K$528,0)))),""))</ns0:f>
        <ns0:v/>
      </ns0:c>
      <ns0:c r="BI22" s="39">
        <ns0:f>IF(OR(2&gt;MAX(3,MIN(15,N($D$18))),IFERROR(LARGE('Calc (scoring engine)'!$K$5:$K$528,2),-999999)&lt;=-900000),"",IFERROR(IFERROR(BDP(TEXT(INDEX(Database!$A$5:$A$528,MATCH(LARGE('Calc (scoring engine)'!$K$5:$K$528,2),'Calc (scoring engine)'!$K$5:$K$528,0)),"0")&amp;" HK Equity","PX_TO_SALES_RATIO"),IF(INDEX(Database!$BK$5:$BK$528,MATCH(LARGE('Calc (scoring engine)'!$K$5:$K$528,2),'Calc (scoring engine)'!$K$5:$K$528,0))="","—",INDEX(Database!$BK$5:$BK$528,MATCH(LARGE('Calc (scoring engine)'!$K$5:$K$528,2),'Calc (scoring engine)'!$K$5:$K$528,0)))),""))</ns0:f>
        <ns0:v/>
      </ns0:c>
      <ns0:c r="BJ22" s="24">
        <ns0:f>IF(OR(2&gt;MAX(3,MIN(15,N($D$18))),IFERROR(LARGE('Calc (scoring engine)'!$K$5:$K$528,2),-999999)&lt;=-900000),"",IFERROR(IF(INDEX(Database!$BM$5:$BM$528,MATCH(LARGE('Calc (scoring engine)'!$K$5:$K$528,2),'Calc (scoring engine)'!$K$5:$K$528,0))="","—",INDEX(Database!$BM$5:$BM$528,MATCH(LARGE('Calc (scoring engine)'!$K$5:$K$528,2),'Calc (scoring engine)'!$K$5:$K$528,0))),""))</ns0:f>
        <ns0:v/>
      </ns0:c>
      <ns0:c r="BK22" s="24">
        <ns0:f>IF(OR(2&gt;MAX(3,MIN(15,N($D$18))),IFERROR(LARGE('Calc (scoring engine)'!$K$5:$K$528,2),-999999)&lt;=-900000),"",IFERROR(IF(INDEX(Database!$BN$5:$BN$528,MATCH(LARGE('Calc (scoring engine)'!$K$5:$K$528,2),'Calc (scoring engine)'!$K$5:$K$528,0))="","—",INDEX(Database!$BN$5:$BN$528,MATCH(LARGE('Calc (scoring engine)'!$K$5:$K$528,2),'Calc (scoring engine)'!$K$5:$K$528,0))),""))</ns0:f>
        <ns0:v/>
      </ns0:c>
      <ns0:c r="BL22" s="38">
        <ns0:f>IF(OR(2&gt;MAX(3,MIN(15,N($D$18))),IFERROR(LARGE('Calc (scoring engine)'!$K$5:$K$528,2),-999999)&lt;=-900000),"",IFERROR(IF(INDEX(Database!$BO$5:$BO$528,MATCH(LARGE('Calc (scoring engine)'!$K$5:$K$528,2),'Calc (scoring engine)'!$K$5:$K$528,0))="","—",INDEX(Database!$BO$5:$BO$528,MATCH(LARGE('Calc (scoring engine)'!$K$5:$K$528,2),'Calc (scoring engine)'!$K$5:$K$528,0))),""))</ns0:f>
        <ns0:v/>
      </ns0:c>
      <ns0:c r="BM22" s="54">
        <ns0:f>IF(OR(2&gt;MAX(3,MIN(15,N($D$18))),IFERROR(LARGE('Calc (scoring engine)'!$K$5:$K$528,2),-999999)&lt;=-900000),"",IFERROR(IF(INDEX(Database!$BP$5:$BP$528,MATCH(LARGE('Calc (scoring engine)'!$K$5:$K$528,2),'Calc (scoring engine)'!$K$5:$K$528,0))="","—",INDEX(Database!$BP$5:$BP$528,MATCH(LARGE('Calc (scoring engine)'!$K$5:$K$528,2),'Calc (scoring engine)'!$K$5:$K$528,0))),""))</ns0:f>
        <ns0:v/>
      </ns0:c>
      <ns0:c r="BN22" s="58">
        <ns0:f>IF(OR(2&gt;MAX(3,MIN(15,N($D$18))),IFERROR(LARGE('Calc (scoring engine)'!$K$5:$K$528,2),-999999)&lt;=-900000),"",IFERROR(IF(INDEX(Database!$BQ$5:$BQ$528,MATCH(LARGE('Calc (scoring engine)'!$K$5:$K$528,2),'Calc (scoring engine)'!$K$5:$K$528,0))="","—",INDEX(Database!$BQ$5:$BQ$528,MATCH(LARGE('Calc (scoring engine)'!$K$5:$K$528,2),'Calc (scoring engine)'!$K$5:$K$528,0))),""))</ns0:f>
        <ns0:v/>
      </ns0:c>
      <ns0:c r="BO22" s="34">
        <ns0:f>IF(OR(2&gt;MAX(3,MIN(15,N($D$18))),IFERROR(LARGE('Calc (scoring engine)'!$K$5:$K$528,2),-999999)&lt;=-900000),"",IFERROR(IF(INDEX(Database!$BR$5:$BR$528,MATCH(LARGE('Calc (scoring engine)'!$K$5:$K$528,2),'Calc (scoring engine)'!$K$5:$K$528,0))="","—",INDEX(Database!$BR$5:$BR$528,MATCH(LARGE('Calc (scoring engine)'!$K$5:$K$528,2),'Calc (scoring engine)'!$K$5:$K$528,0))),""))</ns0:f>
        <ns0:v/>
      </ns0:c>
      <ns0:c r="BP22" s="39">
        <ns0:f>IF(OR(2&gt;MAX(3,MIN(15,N($D$18))),IFERROR(LARGE('Calc (scoring engine)'!$K$5:$K$528,2),-999999)&lt;=-900000),"",IFERROR(IF(INDEX(Database!$BS$5:$BS$528,MATCH(LARGE('Calc (scoring engine)'!$K$5:$K$528,2),'Calc (scoring engine)'!$K$5:$K$528,0))="","—",INDEX(Database!$BS$5:$BS$528,MATCH(LARGE('Calc (scoring engine)'!$K$5:$K$528,2),'Calc (scoring engine)'!$K$5:$K$528,0))),""))</ns0:f>
        <ns0:v/>
      </ns0:c>
      <ns0:c r="BQ22" s="39">
        <ns0:f>IF(OR(2&gt;MAX(3,MIN(15,N($D$18))),IFERROR(LARGE('Calc (scoring engine)'!$K$5:$K$528,2),-999999)&lt;=-900000),"",IFERROR(IF(INDEX(Database!$BT$5:$BT$528,MATCH(LARGE('Calc (scoring engine)'!$K$5:$K$528,2),'Calc (scoring engine)'!$K$5:$K$528,0))="","—",INDEX(Database!$BT$5:$BT$528,MATCH(LARGE('Calc (scoring engine)'!$K$5:$K$528,2),'Calc (scoring engine)'!$K$5:$K$528,0))),""))</ns0:f>
        <ns0:v/>
      </ns0:c>
      <ns0:c r="BR22" s="24">
        <ns0:f>IF(OR(2&gt;MAX(3,MIN(15,N($D$18))),IFERROR(LARGE('Calc (scoring engine)'!$K$5:$K$528,2),-999999)&lt;=-900000),"",IFERROR(IF(INDEX(Database!$BU$5:$BU$528,MATCH(LARGE('Calc (scoring engine)'!$K$5:$K$528,2),'Calc (scoring engine)'!$K$5:$K$528,0))="","—",INDEX(Database!$BU$5:$BU$528,MATCH(LARGE('Calc (scoring engine)'!$K$5:$K$528,2),'Calc (scoring engine)'!$K$5:$K$528,0))),""))</ns0:f>
        <ns0:v/>
      </ns0:c>
      <ns0:c r="BS22" s="24">
        <ns0:f>IF(OR(2&gt;MAX(3,MIN(15,N($D$18))),IFERROR(LARGE('Calc (scoring engine)'!$K$5:$K$528,2),-999999)&lt;=-900000),"",IFERROR(IF(INDEX(Database!$BW$5:$BW$528,MATCH(LARGE('Calc (scoring engine)'!$K$5:$K$528,2),'Calc (scoring engine)'!$K$5:$K$528,0))="","—",INDEX(Database!$BW$5:$BW$528,MATCH(LARGE('Calc (scoring engine)'!$K$5:$K$528,2),'Calc (scoring engine)'!$K$5:$K$528,0))),""))</ns0:f>
        <ns0:v/>
      </ns0:c>
      <ns0:c r="BT22" s="57">
        <ns0:f>IF(OR(2&gt;MAX(3,MIN(15,N($D$18))),IFERROR(LARGE('Calc (scoring engine)'!$K$5:$K$528,2),-999999)&lt;=-900000),"",IFERROR(IF(INDEX('Calc (scoring engine)'!$H$5:$H$528,MATCH(LARGE('Calc (scoring engine)'!$K$5:$K$528,2),'Calc (scoring engine)'!$K$5:$K$528,0))&gt;0,INDEX('Calc (scoring engine)'!$H$5:$H$528,MATCH(LARGE('Calc (scoring engine)'!$K$5:$K$528,2),'Calc (scoring engine)'!$K$5:$K$528,0)),""),""))</ns0:f>
        <ns0:v/>
      </ns0:c>
      <ns0:c r="BU22" s="24">
        <ns0:f>IF(OR(2&gt;MAX(3,MIN(15,N($D$18))),IFERROR(LARGE('Calc (scoring engine)'!$K$5:$K$528,2),-999999)&lt;=-900000),"",IF(IFERROR(INDEX('Calc (scoring engine)'!$B$5:$B$528,MATCH(LARGE('Calc (scoring engine)'!$K$5:$K$528,2),'Calc (scoring engine)'!$K$5:$K$528,0)),0)=1,"same subsector","sector only"))</ns0:f>
        <ns0:v/>
      </ns0:c>
      <ns0:c r="BV22" s="57">
        <ns0:f>IF(OR(2&gt;MAX(3,MIN(15,N($D$18))),IFERROR(LARGE('Calc (scoring engine)'!$K$5:$K$528,2),-999999)&lt;=-900000),"",ROUND(IFERROR(LARGE('Calc (scoring engine)'!$K$5:$K$528,2),0),0))</ns0:f>
        <ns0:v/>
      </ns0:c>
      <ns0:c r="BW22" s="24">
        <ns0:f>IF(OR(2&gt;MAX(3,MIN(15,N($D$18))),IFERROR(LARGE('Calc (scoring engine)'!$K$5:$K$528,2),-999999)&lt;=-900000),"",IFERROR("sub "&amp;INDEX('Calc (scoring engine)'!$B$5:$B$528,MATCH(LARGE('Calc (scoring engine)'!$K$5:$K$528,2),'Calc (scoring engine)'!$K$5:$K$528,0))*W_SUB&amp;" + size "&amp;ROUND(INDEX('Calc (scoring engine)'!$D$5:$D$528,MATCH(LARGE('Calc (scoring engine)'!$K$5:$K$528,2),'Calc (scoring engine)'!$K$5:$K$528,0))*W_SIZE,0)&amp;" + prof "&amp;INDEX('Calc (scoring engine)'!$E$5:$E$528,MATCH(LARGE('Calc (scoring engine)'!$K$5:$K$528,2),'Calc (scoring engine)'!$K$5:$K$528,0))*W_PROF&amp;" + recency "&amp;ROUND(INDEX('Calc (scoring engine)'!$G$5:$G$528,MATCH(LARGE('Calc (scoring engine)'!$K$5:$K$528,2),'Calc (scoring engine)'!$K$5:$K$528,0))*W_REC,0)&amp;IF(INDEX('Calc (scoring engine)'!$H$5:$H$528,MATCH(LARGE('Calc (scoring engine)'!$K$5:$K$528,2),'Calc (scoring engine)'!$K$5:$K$528,0))&gt;0," + shared CS x"&amp;INDEX('Calc (scoring engine)'!$H$5:$H$528,MATCH(LARGE('Calc (scoring engine)'!$K$5:$K$528,2),'Calc (scoring engine)'!$K$5:$K$528,0)),""),""))</ns0:f>
        <ns0:v/>
      </ns0:c>
    </ns0:row>
    <ns0:row r="23">
      <ns0:c r="A23" s="52">
        <ns0:f>IF(OR(3&gt;MAX(3,MIN(15,N($D$18))),IFERROR(LARGE('Calc (scoring engine)'!$K$5:$K$528,3),-999999)&lt;=-900000),"",3)</ns0:f>
        <ns0:v/>
      </ns0:c>
      <ns0:c r="B23" s="24">
        <ns0:f>IF(OR(3&gt;MAX(3,MIN(15,N($D$18))),IFERROR(LARGE('Calc (scoring engine)'!$K$5:$K$528,3),-999999)&lt;=-900000),"",IFERROR(IF(INDEX(Database!$B$5:$B$528,MATCH(LARGE('Calc (scoring engine)'!$K$5:$K$528,3),'Calc (scoring engine)'!$K$5:$K$528,0))="","—",INDEX(Database!$B$5:$B$528,MATCH(LARGE('Calc (scoring engine)'!$K$5:$K$528,3),'Calc (scoring engine)'!$K$5:$K$528,0))),""))</ns0:f>
        <ns0:v/>
      </ns0:c>
      <ns0:c r="C23" s="53">
        <ns0:f>IF(OR(3&gt;MAX(3,MIN(15,N($D$18))),IFERROR(LARGE('Calc (scoring engine)'!$K$5:$K$528,3),-999999)&lt;=-900000),"",IFERROR(IF(INDEX(Database!$A$5:$A$528,MATCH(LARGE('Calc (scoring engine)'!$K$5:$K$528,3),'Calc (scoring engine)'!$K$5:$K$528,0))="","—",INDEX(Database!$A$5:$A$528,MATCH(LARGE('Calc (scoring engine)'!$K$5:$K$528,3),'Calc (scoring engine)'!$K$5:$K$528,0))),""))</ns0:f>
        <ns0:v/>
      </ns0:c>
      <ns0:c r="D23" s="24">
        <ns0:f>IF(OR(3&gt;MAX(3,MIN(15,N($D$18))),IFERROR(LARGE('Calc (scoring engine)'!$K$5:$K$528,3),-999999)&lt;=-900000),"",IFERROR(IF(INDEX(Database!$D$5:$D$528,MATCH(LARGE('Calc (scoring engine)'!$K$5:$K$528,3),'Calc (scoring engine)'!$K$5:$K$528,0))="","—",INDEX(Database!$D$5:$D$528,MATCH(LARGE('Calc (scoring engine)'!$K$5:$K$528,3),'Calc (scoring engine)'!$K$5:$K$528,0))),""))</ns0:f>
        <ns0:v/>
      </ns0:c>
      <ns0:c r="E23" s="24">
        <ns0:f>IF(OR(3&gt;MAX(3,MIN(15,N($D$18))),IFERROR(LARGE('Calc (scoring engine)'!$K$5:$K$528,3),-999999)&lt;=-900000),"",IFERROR(IF(INDEX(Database!$E$5:$E$528,MATCH(LARGE('Calc (scoring engine)'!$K$5:$K$528,3),'Calc (scoring engine)'!$K$5:$K$528,0))="","—",INDEX(Database!$E$5:$E$528,MATCH(LARGE('Calc (scoring engine)'!$K$5:$K$528,3),'Calc (scoring engine)'!$K$5:$K$528,0))),""))</ns0:f>
        <ns0:v/>
      </ns0:c>
      <ns0:c r="F23" s="24">
        <ns0:f>IF(OR(3&gt;MAX(3,MIN(15,N($D$18))),IFERROR(LARGE('Calc (scoring engine)'!$K$5:$K$528,3),-999999)&lt;=-900000),"",IFERROR(IF(INDEX(Database!$F$5:$F$528,MATCH(LARGE('Calc (scoring engine)'!$K$5:$K$528,3),'Calc (scoring engine)'!$K$5:$K$528,0))="","—",INDEX(Database!$F$5:$F$528,MATCH(LARGE('Calc (scoring engine)'!$K$5:$K$528,3),'Calc (scoring engine)'!$K$5:$K$528,0))),""))</ns0:f>
        <ns0:v/>
      </ns0:c>
      <ns0:c r="G23" s="24">
        <ns0:f>IF(OR(3&gt;MAX(3,MIN(15,N($D$18))),IFERROR(LARGE('Calc (scoring engine)'!$K$5:$K$528,3),-999999)&lt;=-900000),"",IFERROR(IF(INDEX(Database!$G$5:$G$528,MATCH(LARGE('Calc (scoring engine)'!$K$5:$K$528,3),'Calc (scoring engine)'!$K$5:$K$528,0))="","—",INDEX(Database!$G$5:$G$528,MATCH(LARGE('Calc (scoring engine)'!$K$5:$K$528,3),'Calc (scoring engine)'!$K$5:$K$528,0))),""))</ns0:f>
        <ns0:v/>
      </ns0:c>
      <ns0:c r="H23" s="36">
        <ns0:f>IF(OR(3&gt;MAX(3,MIN(15,N($D$18))),IFERROR(LARGE('Calc (scoring engine)'!$K$5:$K$528,3),-999999)&lt;=-900000),"",IFERROR(IF(INDEX(Database!$H$5:$H$528,MATCH(LARGE('Calc (scoring engine)'!$K$5:$K$528,3),'Calc (scoring engine)'!$K$5:$K$528,0))="","—",INDEX(Database!$H$5:$H$528,MATCH(LARGE('Calc (scoring engine)'!$K$5:$K$528,3),'Calc (scoring engine)'!$K$5:$K$528,0))),""))</ns0:f>
        <ns0:v/>
      </ns0:c>
      <ns0:c r="I23" s="34">
        <ns0:f>IF(OR(3&gt;MAX(3,MIN(15,N($D$18))),IFERROR(LARGE('Calc (scoring engine)'!$K$5:$K$528,3),-999999)&lt;=-900000),"",IFERROR(IF(INDEX(Database!$I$5:$I$528,MATCH(LARGE('Calc (scoring engine)'!$K$5:$K$528,3),'Calc (scoring engine)'!$K$5:$K$528,0))="","—",INDEX(Database!$I$5:$I$528,MATCH(LARGE('Calc (scoring engine)'!$K$5:$K$528,3),'Calc (scoring engine)'!$K$5:$K$528,0))),""))</ns0:f>
        <ns0:v/>
      </ns0:c>
      <ns0:c r="J23" s="54">
        <ns0:f>IF(OR(3&gt;MAX(3,MIN(15,N($D$18))),IFERROR(LARGE('Calc (scoring engine)'!$K$5:$K$528,3),-999999)&lt;=-900000),"",IFERROR(IF(INDEX(Database!$K$5:$K$528,MATCH(LARGE('Calc (scoring engine)'!$K$5:$K$528,3),'Calc (scoring engine)'!$K$5:$K$528,0))="","—",INDEX(Database!$K$5:$K$528,MATCH(LARGE('Calc (scoring engine)'!$K$5:$K$528,3),'Calc (scoring engine)'!$K$5:$K$528,0))),""))</ns0:f>
        <ns0:v/>
      </ns0:c>
      <ns0:c r="K23" s="54">
        <ns0:f>IF(OR(3&gt;MAX(3,MIN(15,N($D$18))),IFERROR(LARGE('Calc (scoring engine)'!$K$5:$K$528,3),-999999)&lt;=-900000),"",IFERROR(IF(INDEX(Database!$L$5:$L$528,MATCH(LARGE('Calc (scoring engine)'!$K$5:$K$528,3),'Calc (scoring engine)'!$K$5:$K$528,0))="","—",INDEX(Database!$L$5:$L$528,MATCH(LARGE('Calc (scoring engine)'!$K$5:$K$528,3),'Calc (scoring engine)'!$K$5:$K$528,0))),""))</ns0:f>
        <ns0:v/>
      </ns0:c>
      <ns0:c r="L23" s="54">
        <ns0:f>IF(OR(3&gt;MAX(3,MIN(15,N($D$18))),IFERROR(LARGE('Calc (scoring engine)'!$K$5:$K$528,3),-999999)&lt;=-900000),"",IFERROR(IF(INDEX(Database!$M$5:$M$528,MATCH(LARGE('Calc (scoring engine)'!$K$5:$K$528,3),'Calc (scoring engine)'!$K$5:$K$528,0))="","—",INDEX(Database!$M$5:$M$528,MATCH(LARGE('Calc (scoring engine)'!$K$5:$K$528,3),'Calc (scoring engine)'!$K$5:$K$528,0))),""))</ns0:f>
        <ns0:v/>
      </ns0:c>
      <ns0:c r="M23" s="24">
        <ns0:f>IF(OR(3&gt;MAX(3,MIN(15,N($D$18))),IFERROR(LARGE('Calc (scoring engine)'!$K$5:$K$528,3),-999999)&lt;=-900000),"",IFERROR(IF(INDEX(Database!$N$5:$N$528,MATCH(LARGE('Calc (scoring engine)'!$K$5:$K$528,3),'Calc (scoring engine)'!$K$5:$K$528,0))="","—",INDEX(Database!$N$5:$N$528,MATCH(LARGE('Calc (scoring engine)'!$K$5:$K$528,3),'Calc (scoring engine)'!$K$5:$K$528,0))),""))</ns0:f>
        <ns0:v/>
      </ns0:c>
      <ns0:c r="N23" s="44">
        <ns0:f>IF(OR(3&gt;MAX(3,MIN(15,N($D$18))),IFERROR(LARGE('Calc (scoring engine)'!$K$5:$K$528,3),-999999)&lt;=-900000),"",IFERROR(IF(INDEX(Database!$O$5:$O$528,MATCH(LARGE('Calc (scoring engine)'!$K$5:$K$528,3),'Calc (scoring engine)'!$K$5:$K$528,0))="","—",INDEX(Database!$O$5:$O$528,MATCH(LARGE('Calc (scoring engine)'!$K$5:$K$528,3),'Calc (scoring engine)'!$K$5:$K$528,0))),""))</ns0:f>
        <ns0:v/>
      </ns0:c>
      <ns0:c r="O23" s="44">
        <ns0:f>IF(OR(3&gt;MAX(3,MIN(15,N($D$18))),IFERROR(LARGE('Calc (scoring engine)'!$K$5:$K$528,3),-999999)&lt;=-900000),"",IFERROR(IF(INDEX(Database!$P$5:$P$528,MATCH(LARGE('Calc (scoring engine)'!$K$5:$K$528,3),'Calc (scoring engine)'!$K$5:$K$528,0))="","—",INDEX(Database!$P$5:$P$528,MATCH(LARGE('Calc (scoring engine)'!$K$5:$K$528,3),'Calc (scoring engine)'!$K$5:$K$528,0))),""))</ns0:f>
        <ns0:v/>
      </ns0:c>
      <ns0:c r="P23" s="34">
        <ns0:f>IF(OR(3&gt;MAX(3,MIN(15,N($D$18))),IFERROR(LARGE('Calc (scoring engine)'!$K$5:$K$528,3),-999999)&lt;=-900000),"",IFERROR(IF(INDEX(Database!$Q$5:$Q$528,MATCH(LARGE('Calc (scoring engine)'!$K$5:$K$528,3),'Calc (scoring engine)'!$K$5:$K$528,0))="","—",INDEX(Database!$Q$5:$Q$528,MATCH(LARGE('Calc (scoring engine)'!$K$5:$K$528,3),'Calc (scoring engine)'!$K$5:$K$528,0))),""))</ns0:f>
        <ns0:v/>
      </ns0:c>
      <ns0:c r="Q23" s="41">
        <ns0:f>IF(OR(3&gt;MAX(3,MIN(15,N($D$18))),IFERROR(LARGE('Calc (scoring engine)'!$K$5:$K$528,3),-999999)&lt;=-900000),"",IFERROR(IF(INDEX(Database!$S$5:$S$528,MATCH(LARGE('Calc (scoring engine)'!$K$5:$K$528,3),'Calc (scoring engine)'!$K$5:$K$528,0))="","—",INDEX(Database!$S$5:$S$528,MATCH(LARGE('Calc (scoring engine)'!$K$5:$K$528,3),'Calc (scoring engine)'!$K$5:$K$528,0))),""))</ns0:f>
        <ns0:v/>
      </ns0:c>
      <ns0:c r="R23" s="55">
        <ns0:f>IF(OR(3&gt;MAX(3,MIN(15,N($D$18))),IFERROR(LARGE('Calc (scoring engine)'!$K$5:$K$528,3),-999999)&lt;=-900000),"",IFERROR(IF(INDEX(Database!$T$5:$T$528,MATCH(LARGE('Calc (scoring engine)'!$K$5:$K$528,3),'Calc (scoring engine)'!$K$5:$K$528,0))="","—",INDEX(Database!$T$5:$T$528,MATCH(LARGE('Calc (scoring engine)'!$K$5:$K$528,3),'Calc (scoring engine)'!$K$5:$K$528,0))),""))</ns0:f>
        <ns0:v/>
      </ns0:c>
      <ns0:c r="S23" s="56">
        <ns0:f>IF(OR(3&gt;MAX(3,MIN(15,N($D$18))),IFERROR(LARGE('Calc (scoring engine)'!$K$5:$K$528,3),-999999)&lt;=-900000),"",IFERROR(IF(INDEX(Database!$U$5:$U$528,MATCH(LARGE('Calc (scoring engine)'!$K$5:$K$528,3),'Calc (scoring engine)'!$K$5:$K$528,0))="","—",INDEX(Database!$U$5:$U$528,MATCH(LARGE('Calc (scoring engine)'!$K$5:$K$528,3),'Calc (scoring engine)'!$K$5:$K$528,0))),""))</ns0:f>
        <ns0:v/>
      </ns0:c>
      <ns0:c r="T23" s="57">
        <ns0:f>IF(OR(3&gt;MAX(3,MIN(15,N($D$18))),IFERROR(LARGE('Calc (scoring engine)'!$K$5:$K$528,3),-999999)&lt;=-900000),"",IFERROR(IF(INDEX(Database!$V$5:$V$528,MATCH(LARGE('Calc (scoring engine)'!$K$5:$K$528,3),'Calc (scoring engine)'!$K$5:$K$528,0))="","—",INDEX(Database!$V$5:$V$528,MATCH(LARGE('Calc (scoring engine)'!$K$5:$K$528,3),'Calc (scoring engine)'!$K$5:$K$528,0))),""))</ns0:f>
        <ns0:v/>
      </ns0:c>
      <ns0:c r="U23" s="44">
        <ns0:f>IF(OR(3&gt;MAX(3,MIN(15,N($D$18))),IFERROR(LARGE('Calc (scoring engine)'!$K$5:$K$528,3),-999999)&lt;=-900000),"",IFERROR(IF(INDEX(Database!$W$5:$W$528,MATCH(LARGE('Calc (scoring engine)'!$K$5:$K$528,3),'Calc (scoring engine)'!$K$5:$K$528,0))="","—",INDEX(Database!$W$5:$W$528,MATCH(LARGE('Calc (scoring engine)'!$K$5:$K$528,3),'Calc (scoring engine)'!$K$5:$K$528,0))),""))</ns0:f>
        <ns0:v/>
      </ns0:c>
      <ns0:c r="V23" s="24">
        <ns0:f>IF(OR(3&gt;MAX(3,MIN(15,N($D$18))),IFERROR(LARGE('Calc (scoring engine)'!$K$5:$K$528,3),-999999)&lt;=-900000),"",IFERROR(IF(INDEX(Database!$X$5:$X$528,MATCH(LARGE('Calc (scoring engine)'!$K$5:$K$528,3),'Calc (scoring engine)'!$K$5:$K$528,0))="","—",INDEX(Database!$X$5:$X$528,MATCH(LARGE('Calc (scoring engine)'!$K$5:$K$528,3),'Calc (scoring engine)'!$K$5:$K$528,0))),""))</ns0:f>
        <ns0:v/>
      </ns0:c>
      <ns0:c r="W23" s="34">
        <ns0:f>IF(OR(3&gt;MAX(3,MIN(15,N($D$18))),IFERROR(LARGE('Calc (scoring engine)'!$K$5:$K$528,3),-999999)&lt;=-900000),"",IFERROR(IF(INDEX(Database!$Y$5:$Y$528,MATCH(LARGE('Calc (scoring engine)'!$K$5:$K$528,3),'Calc (scoring engine)'!$K$5:$K$528,0))="","—",INDEX(Database!$Y$5:$Y$528,MATCH(LARGE('Calc (scoring engine)'!$K$5:$K$528,3),'Calc (scoring engine)'!$K$5:$K$528,0))),""))</ns0:f>
        <ns0:v/>
      </ns0:c>
      <ns0:c r="X23" s="34">
        <ns0:f>IF(OR(3&gt;MAX(3,MIN(15,N($D$18))),IFERROR(LARGE('Calc (scoring engine)'!$K$5:$K$528,3),-999999)&lt;=-900000),"",IFERROR(IF(INDEX(Database!$Z$5:$Z$528,MATCH(LARGE('Calc (scoring engine)'!$K$5:$K$528,3),'Calc (scoring engine)'!$K$5:$K$528,0))="","—",INDEX(Database!$Z$5:$Z$528,MATCH(LARGE('Calc (scoring engine)'!$K$5:$K$528,3),'Calc (scoring engine)'!$K$5:$K$528,0))),""))</ns0:f>
        <ns0:v/>
      </ns0:c>
      <ns0:c r="Y23" s="44">
        <ns0:f>IF(OR(3&gt;MAX(3,MIN(15,N($D$18))),IFERROR(LARGE('Calc (scoring engine)'!$K$5:$K$528,3),-999999)&lt;=-900000),"",IFERROR(IF(INDEX(Database!$AA$5:$AA$528,MATCH(LARGE('Calc (scoring engine)'!$K$5:$K$528,3),'Calc (scoring engine)'!$K$5:$K$528,0))="","—",INDEX(Database!$AA$5:$AA$528,MATCH(LARGE('Calc (scoring engine)'!$K$5:$K$528,3),'Calc (scoring engine)'!$K$5:$K$528,0))),""))</ns0:f>
        <ns0:v/>
      </ns0:c>
      <ns0:c r="Z23" s="24">
        <ns0:f>IF(OR(3&gt;MAX(3,MIN(15,N($D$18))),IFERROR(LARGE('Calc (scoring engine)'!$K$5:$K$528,3),-999999)&lt;=-900000),"",IFERROR(IF(INDEX(Database!$AB$5:$AB$528,MATCH(LARGE('Calc (scoring engine)'!$K$5:$K$528,3),'Calc (scoring engine)'!$K$5:$K$528,0))="","—",INDEX(Database!$AB$5:$AB$528,MATCH(LARGE('Calc (scoring engine)'!$K$5:$K$528,3),'Calc (scoring engine)'!$K$5:$K$528,0))),""))</ns0:f>
        <ns0:v/>
      </ns0:c>
      <ns0:c r="AA23" s="44">
        <ns0:f>IF(OR(3&gt;MAX(3,MIN(15,N($D$18))),IFERROR(LARGE('Calc (scoring engine)'!$K$5:$K$528,3),-999999)&lt;=-900000),"",IFERROR(IF(INDEX(Database!$AD$5:$AD$528,MATCH(LARGE('Calc (scoring engine)'!$K$5:$K$528,3),'Calc (scoring engine)'!$K$5:$K$528,0))="","—",INDEX(Database!$AD$5:$AD$528,MATCH(LARGE('Calc (scoring engine)'!$K$5:$K$528,3),'Calc (scoring engine)'!$K$5:$K$528,0))),""))</ns0:f>
        <ns0:v/>
      </ns0:c>
      <ns0:c r="AB23" s="24">
        <ns0:f>IF(OR(3&gt;MAX(3,MIN(15,N($D$18))),IFERROR(LARGE('Calc (scoring engine)'!$K$5:$K$528,3),-999999)&lt;=-900000),"",IFERROR(IF(INDEX(Database!$AE$5:$AE$528,MATCH(LARGE('Calc (scoring engine)'!$K$5:$K$528,3),'Calc (scoring engine)'!$K$5:$K$528,0))="","—",INDEX(Database!$AE$5:$AE$528,MATCH(LARGE('Calc (scoring engine)'!$K$5:$K$528,3),'Calc (scoring engine)'!$K$5:$K$528,0))),""))</ns0:f>
        <ns0:v/>
      </ns0:c>
      <ns0:c r="AC23" s="24">
        <ns0:f>IF(OR(3&gt;MAX(3,MIN(15,N($D$18))),IFERROR(LARGE('Calc (scoring engine)'!$K$5:$K$528,3),-999999)&lt;=-900000),"",IFERROR(IF(INDEX(Database!$AF$5:$AF$528,MATCH(LARGE('Calc (scoring engine)'!$K$5:$K$528,3),'Calc (scoring engine)'!$K$5:$K$528,0))="","—",INDEX(Database!$AF$5:$AF$528,MATCH(LARGE('Calc (scoring engine)'!$K$5:$K$528,3),'Calc (scoring engine)'!$K$5:$K$528,0))),""))</ns0:f>
        <ns0:v/>
      </ns0:c>
      <ns0:c r="AD23" s="24">
        <ns0:f>IF(OR(3&gt;MAX(3,MIN(15,N($D$18))),IFERROR(LARGE('Calc (scoring engine)'!$K$5:$K$528,3),-999999)&lt;=-900000),"",IFERROR(IF(INDEX(Database!$AG$5:$AG$528,MATCH(LARGE('Calc (scoring engine)'!$K$5:$K$528,3),'Calc (scoring engine)'!$K$5:$K$528,0))="","—",INDEX(Database!$AG$5:$AG$528,MATCH(LARGE('Calc (scoring engine)'!$K$5:$K$528,3),'Calc (scoring engine)'!$K$5:$K$528,0))),""))</ns0:f>
        <ns0:v/>
      </ns0:c>
      <ns0:c r="AE23" s="24">
        <ns0:f>IF(OR(3&gt;MAX(3,MIN(15,N($D$18))),IFERROR(LARGE('Calc (scoring engine)'!$K$5:$K$528,3),-999999)&lt;=-900000),"",IFERROR(IF(INDEX(Database!$AH$5:$AH$528,MATCH(LARGE('Calc (scoring engine)'!$K$5:$K$528,3),'Calc (scoring engine)'!$K$5:$K$528,0))="","—",INDEX(Database!$AH$5:$AH$528,MATCH(LARGE('Calc (scoring engine)'!$K$5:$K$528,3),'Calc (scoring engine)'!$K$5:$K$528,0))),""))</ns0:f>
        <ns0:v/>
      </ns0:c>
      <ns0:c r="AF23" s="38">
        <ns0:f>IF(OR(3&gt;MAX(3,MIN(15,N($D$18))),IFERROR(LARGE('Calc (scoring engine)'!$K$5:$K$528,3),-999999)&lt;=-900000),"",IFERROR(IF(INDEX(Database!$AI$5:$AI$528,MATCH(LARGE('Calc (scoring engine)'!$K$5:$K$528,3),'Calc (scoring engine)'!$K$5:$K$528,0))="","—",INDEX(Database!$AI$5:$AI$528,MATCH(LARGE('Calc (scoring engine)'!$K$5:$K$528,3),'Calc (scoring engine)'!$K$5:$K$528,0))),""))</ns0:f>
        <ns0:v/>
      </ns0:c>
      <ns0:c r="AG23" s="38">
        <ns0:f>IF(OR(3&gt;MAX(3,MIN(15,N($D$18))),IFERROR(LARGE('Calc (scoring engine)'!$K$5:$K$528,3),-999999)&lt;=-900000),"",IFERROR(IF(INDEX(Database!$AJ$5:$AJ$528,MATCH(LARGE('Calc (scoring engine)'!$K$5:$K$528,3),'Calc (scoring engine)'!$K$5:$K$528,0))="","—",INDEX(Database!$AJ$5:$AJ$528,MATCH(LARGE('Calc (scoring engine)'!$K$5:$K$528,3),'Calc (scoring engine)'!$K$5:$K$528,0))),""))</ns0:f>
        <ns0:v/>
      </ns0:c>
      <ns0:c r="AH23" s="38">
        <ns0:f>IF(OR(3&gt;MAX(3,MIN(15,N($D$18))),IFERROR(LARGE('Calc (scoring engine)'!$K$5:$K$528,3),-999999)&lt;=-900000),"",IFERROR(IF(INDEX(Database!$AK$5:$AK$528,MATCH(LARGE('Calc (scoring engine)'!$K$5:$K$528,3),'Calc (scoring engine)'!$K$5:$K$528,0))="","—",INDEX(Database!$AK$5:$AK$528,MATCH(LARGE('Calc (scoring engine)'!$K$5:$K$528,3),'Calc (scoring engine)'!$K$5:$K$528,0))),""))</ns0:f>
        <ns0:v/>
      </ns0:c>
      <ns0:c r="AI23" s="38">
        <ns0:f>IF(OR(3&gt;MAX(3,MIN(15,N($D$18))),IFERROR(LARGE('Calc (scoring engine)'!$K$5:$K$528,3),-999999)&lt;=-900000),"",IFERROR(IF(INDEX(Database!$AL$5:$AL$528,MATCH(LARGE('Calc (scoring engine)'!$K$5:$K$528,3),'Calc (scoring engine)'!$K$5:$K$528,0))="","—",INDEX(Database!$AL$5:$AL$528,MATCH(LARGE('Calc (scoring engine)'!$K$5:$K$528,3),'Calc (scoring engine)'!$K$5:$K$528,0))),""))</ns0:f>
        <ns0:v/>
      </ns0:c>
      <ns0:c r="AJ23" s="38">
        <ns0:f>IF(OR(3&gt;MAX(3,MIN(15,N($D$18))),IFERROR(LARGE('Calc (scoring engine)'!$K$5:$K$528,3),-999999)&lt;=-900000),"",IFERROR(IF(INDEX(Database!$AM$5:$AM$528,MATCH(LARGE('Calc (scoring engine)'!$K$5:$K$528,3),'Calc (scoring engine)'!$K$5:$K$528,0))="","—",INDEX(Database!$AM$5:$AM$528,MATCH(LARGE('Calc (scoring engine)'!$K$5:$K$528,3),'Calc (scoring engine)'!$K$5:$K$528,0))),""))</ns0:f>
        <ns0:v/>
      </ns0:c>
      <ns0:c r="AK23" s="39">
        <ns0:f>IF(OR(3&gt;MAX(3,MIN(15,N($D$18))),IFERROR(LARGE('Calc (scoring engine)'!$K$5:$K$528,3),-999999)&lt;=-900000),"",IFERROR(IF(INDEX(Database!$AN$5:$AN$528,MATCH(LARGE('Calc (scoring engine)'!$K$5:$K$528,3),'Calc (scoring engine)'!$K$5:$K$528,0))="","—",INDEX(Database!$AN$5:$AN$528,MATCH(LARGE('Calc (scoring engine)'!$K$5:$K$528,3),'Calc (scoring engine)'!$K$5:$K$528,0))),""))</ns0:f>
        <ns0:v/>
      </ns0:c>
      <ns0:c r="AL23" s="44">
        <ns0:f>IF(OR(3&gt;MAX(3,MIN(15,N($D$18))),IFERROR(LARGE('Calc (scoring engine)'!$K$5:$K$528,3),-999999)&lt;=-900000),"",IFERROR(IF(INDEX(Database!$AO$5:$AO$528,MATCH(LARGE('Calc (scoring engine)'!$K$5:$K$528,3),'Calc (scoring engine)'!$K$5:$K$528,0))="","—",INDEX(Database!$AO$5:$AO$528,MATCH(LARGE('Calc (scoring engine)'!$K$5:$K$528,3),'Calc (scoring engine)'!$K$5:$K$528,0))),""))</ns0:f>
        <ns0:v/>
      </ns0:c>
      <ns0:c r="AM23" s="38">
        <ns0:f>IF(OR(3&gt;MAX(3,MIN(15,N($D$18))),IFERROR(LARGE('Calc (scoring engine)'!$K$5:$K$528,3),-999999)&lt;=-900000),"",IFERROR(IF(INDEX(Database!$AP$5:$AP$528,MATCH(LARGE('Calc (scoring engine)'!$K$5:$K$528,3),'Calc (scoring engine)'!$K$5:$K$528,0))="","—",INDEX(Database!$AP$5:$AP$528,MATCH(LARGE('Calc (scoring engine)'!$K$5:$K$528,3),'Calc (scoring engine)'!$K$5:$K$528,0))),""))</ns0:f>
        <ns0:v/>
      </ns0:c>
      <ns0:c r="AN23" s="38">
        <ns0:f>IF(OR(3&gt;MAX(3,MIN(15,N($D$18))),IFERROR(LARGE('Calc (scoring engine)'!$K$5:$K$528,3),-999999)&lt;=-900000),"",IFERROR(IF(INDEX(Database!$AQ$5:$AQ$528,MATCH(LARGE('Calc (scoring engine)'!$K$5:$K$528,3),'Calc (scoring engine)'!$K$5:$K$528,0))="","—",INDEX(Database!$AQ$5:$AQ$528,MATCH(LARGE('Calc (scoring engine)'!$K$5:$K$528,3),'Calc (scoring engine)'!$K$5:$K$528,0))),""))</ns0:f>
        <ns0:v/>
      </ns0:c>
      <ns0:c r="AO23" s="38">
        <ns0:f>IF(OR(3&gt;MAX(3,MIN(15,N($D$18))),IFERROR(LARGE('Calc (scoring engine)'!$K$5:$K$528,3),-999999)&lt;=-900000),"",IFERROR(IF(INDEX(Database!$AR$5:$AR$528,MATCH(LARGE('Calc (scoring engine)'!$K$5:$K$528,3),'Calc (scoring engine)'!$K$5:$K$528,0))="","—",INDEX(Database!$AR$5:$AR$528,MATCH(LARGE('Calc (scoring engine)'!$K$5:$K$528,3),'Calc (scoring engine)'!$K$5:$K$528,0))),""))</ns0:f>
        <ns0:v/>
      </ns0:c>
      <ns0:c r="AP23" s="38">
        <ns0:f>IF(OR(3&gt;MAX(3,MIN(15,N($D$18))),IFERROR(LARGE('Calc (scoring engine)'!$K$5:$K$528,3),-999999)&lt;=-900000),"",IFERROR(IF(INDEX(Database!$AS$5:$AS$528,MATCH(LARGE('Calc (scoring engine)'!$K$5:$K$528,3),'Calc (scoring engine)'!$K$5:$K$528,0))="","—",INDEX(Database!$AS$5:$AS$528,MATCH(LARGE('Calc (scoring engine)'!$K$5:$K$528,3),'Calc (scoring engine)'!$K$5:$K$528,0))),""))</ns0:f>
        <ns0:v/>
      </ns0:c>
      <ns0:c r="AQ23" s="38">
        <ns0:f>IF(OR(3&gt;MAX(3,MIN(15,N($D$18))),IFERROR(LARGE('Calc (scoring engine)'!$K$5:$K$528,3),-999999)&lt;=-900000),"",IFERROR(IF(INDEX(Database!$AT$5:$AT$528,MATCH(LARGE('Calc (scoring engine)'!$K$5:$K$528,3),'Calc (scoring engine)'!$K$5:$K$528,0))="","—",INDEX(Database!$AT$5:$AT$528,MATCH(LARGE('Calc (scoring engine)'!$K$5:$K$528,3),'Calc (scoring engine)'!$K$5:$K$528,0))),""))</ns0:f>
        <ns0:v/>
      </ns0:c>
      <ns0:c r="AR23" s="38">
        <ns0:f>IF(OR(3&gt;MAX(3,MIN(15,N($D$18))),IFERROR(LARGE('Calc (scoring engine)'!$K$5:$K$528,3),-999999)&lt;=-900000),"",IFERROR(IF(INDEX(Database!$AU$5:$AU$528,MATCH(LARGE('Calc (scoring engine)'!$K$5:$K$528,3),'Calc (scoring engine)'!$K$5:$K$528,0))="","—",INDEX(Database!$AU$5:$AU$528,MATCH(LARGE('Calc (scoring engine)'!$K$5:$K$528,3),'Calc (scoring engine)'!$K$5:$K$528,0))),""))</ns0:f>
        <ns0:v/>
      </ns0:c>
      <ns0:c r="AS23" s="38">
        <ns0:f>IF(OR(3&gt;MAX(3,MIN(15,N($D$18))),IFERROR(LARGE('Calc (scoring engine)'!$K$5:$K$528,3),-999999)&lt;=-900000),"",IFERROR(IF(INDEX(Database!$AV$5:$AV$528,MATCH(LARGE('Calc (scoring engine)'!$K$5:$K$528,3),'Calc (scoring engine)'!$K$5:$K$528,0))="","—",INDEX(Database!$AV$5:$AV$528,MATCH(LARGE('Calc (scoring engine)'!$K$5:$K$528,3),'Calc (scoring engine)'!$K$5:$K$528,0))),""))</ns0:f>
        <ns0:v/>
      </ns0:c>
      <ns0:c r="AT23" s="38">
        <ns0:f>IF(OR(3&gt;MAX(3,MIN(15,N($D$18))),IFERROR(LARGE('Calc (scoring engine)'!$K$5:$K$528,3),-999999)&lt;=-900000),"",IFERROR(IF(INDEX(Database!$AW$5:$AW$528,MATCH(LARGE('Calc (scoring engine)'!$K$5:$K$528,3),'Calc (scoring engine)'!$K$5:$K$528,0))="","—",INDEX(Database!$AW$5:$AW$528,MATCH(LARGE('Calc (scoring engine)'!$K$5:$K$528,3),'Calc (scoring engine)'!$K$5:$K$528,0))),""))</ns0:f>
        <ns0:v/>
      </ns0:c>
      <ns0:c r="AU23" s="38">
        <ns0:f>IF(OR(3&gt;MAX(3,MIN(15,N($D$18))),IFERROR(LARGE('Calc (scoring engine)'!$K$5:$K$528,3),-999999)&lt;=-900000),"",IFERROR(IF(INDEX(Database!$AX$5:$AX$528,MATCH(LARGE('Calc (scoring engine)'!$K$5:$K$528,3),'Calc (scoring engine)'!$K$5:$K$528,0))="","—",INDEX(Database!$AX$5:$AX$528,MATCH(LARGE('Calc (scoring engine)'!$K$5:$K$528,3),'Calc (scoring engine)'!$K$5:$K$528,0))),""))</ns0:f>
        <ns0:v/>
      </ns0:c>
      <ns0:c r="AV23" s="38">
        <ns0:f>IF(OR(3&gt;MAX(3,MIN(15,N($D$18))),IFERROR(LARGE('Calc (scoring engine)'!$K$5:$K$528,3),-999999)&lt;=-900000),"",IFERROR(IF(INDEX(Database!$AY$5:$AY$528,MATCH(LARGE('Calc (scoring engine)'!$K$5:$K$528,3),'Calc (scoring engine)'!$K$5:$K$528,0))="","—",INDEX(Database!$AY$5:$AY$528,MATCH(LARGE('Calc (scoring engine)'!$K$5:$K$528,3),'Calc (scoring engine)'!$K$5:$K$528,0))),""))</ns0:f>
        <ns0:v/>
      </ns0:c>
      <ns0:c r="AW23" s="38">
        <ns0:f>IF(OR(3&gt;MAX(3,MIN(15,N($D$18))),IFERROR(LARGE('Calc (scoring engine)'!$K$5:$K$528,3),-999999)&lt;=-900000),"",IFERROR(IF(INDEX(Database!$AZ$5:$AZ$528,MATCH(LARGE('Calc (scoring engine)'!$K$5:$K$528,3),'Calc (scoring engine)'!$K$5:$K$528,0))="","—",INDEX(Database!$AZ$5:$AZ$528,MATCH(LARGE('Calc (scoring engine)'!$K$5:$K$528,3),'Calc (scoring engine)'!$K$5:$K$528,0))),""))</ns0:f>
        <ns0:v/>
      </ns0:c>
      <ns0:c r="AX23" s="38">
        <ns0:f>IF(OR(3&gt;MAX(3,MIN(15,N($D$18))),IFERROR(LARGE('Calc (scoring engine)'!$K$5:$K$528,3),-999999)&lt;=-900000),"",IFERROR(IF(INDEX(Database!$BA$5:$BA$528,MATCH(LARGE('Calc (scoring engine)'!$K$5:$K$528,3),'Calc (scoring engine)'!$K$5:$K$528,0))="","—",INDEX(Database!$BA$5:$BA$528,MATCH(LARGE('Calc (scoring engine)'!$K$5:$K$528,3),'Calc (scoring engine)'!$K$5:$K$528,0))),""))</ns0:f>
        <ns0:v/>
      </ns0:c>
      <ns0:c r="AY23" s="38">
        <ns0:f>IF(OR(3&gt;MAX(3,MIN(15,N($D$18))),IFERROR(LARGE('Calc (scoring engine)'!$K$5:$K$528,3),-999999)&lt;=-900000),"",IFERROR(IF(INDEX(Database!$BC$5:$BC$528,MATCH(LARGE('Calc (scoring engine)'!$K$5:$K$528,3),'Calc (scoring engine)'!$K$5:$K$528,0))="","—",INDEX(Database!$BC$5:$BC$528,MATCH(LARGE('Calc (scoring engine)'!$K$5:$K$528,3),'Calc (scoring engine)'!$K$5:$K$528,0))),""))</ns0:f>
        <ns0:v/>
      </ns0:c>
      <ns0:c r="AZ23" s="34">
        <ns0:f>IF(OR(3&gt;MAX(3,MIN(15,N($D$18))),IFERROR(LARGE('Calc (scoring engine)'!$K$5:$K$528,3),-999999)&lt;=-900000),"",IFERROR(IF(INDEX(Database!$BE$5:$BE$528,MATCH(LARGE('Calc (scoring engine)'!$K$5:$K$528,3),'Calc (scoring engine)'!$K$5:$K$528,0))="","—",INDEX(Database!$BE$5:$BE$528,MATCH(LARGE('Calc (scoring engine)'!$K$5:$K$528,3),'Calc (scoring engine)'!$K$5:$K$528,0))),""))</ns0:f>
        <ns0:v/>
      </ns0:c>
      <ns0:c r="BA23" s="34">
        <ns0:f>IF(OR(3&gt;MAX(3,MIN(15,N($D$18))),IFERROR(LARGE('Calc (scoring engine)'!$K$5:$K$528,3),-999999)&lt;=-900000),"",IFERROR(IF(INDEX(Database!$BF$5:$BF$528,MATCH(LARGE('Calc (scoring engine)'!$K$5:$K$528,3),'Calc (scoring engine)'!$K$5:$K$528,0))="","—",INDEX(Database!$BF$5:$BF$528,MATCH(LARGE('Calc (scoring engine)'!$K$5:$K$528,3),'Calc (scoring engine)'!$K$5:$K$528,0))),""))</ns0:f>
        <ns0:v/>
      </ns0:c>
      <ns0:c r="BB23" s="24">
        <ns0:f>IF(OR(3&gt;MAX(3,MIN(15,N($D$18))),IFERROR(LARGE('Calc (scoring engine)'!$K$5:$K$528,3),-999999)&lt;=-900000),"",IFERROR(IF(INDEX(Database!$BG$5:$BG$528,MATCH(LARGE('Calc (scoring engine)'!$K$5:$K$528,3),'Calc (scoring engine)'!$K$5:$K$528,0))="","—",INDEX(Database!$BG$5:$BG$528,MATCH(LARGE('Calc (scoring engine)'!$K$5:$K$528,3),'Calc (scoring engine)'!$K$5:$K$528,0))),""))</ns0:f>
        <ns0:v/>
      </ns0:c>
      <ns0:c r="BC23" s="39">
        <ns0:f>IF(OR(3&gt;MAX(3,MIN(15,N($D$18))),IFERROR(LARGE('Calc (scoring engine)'!$K$5:$K$528,3),-999999)&lt;=-900000),"",IFERROR(IF(N(INDEX(Database!$BH$5:$BH$528,MATCH(LARGE('Calc (scoring engine)'!$K$5:$K$528,3),'Calc (scoring engine)'!$K$5:$K$528,0)))&lt;=0,IF(INDEX(Database!$BG$5:$BG$528,MATCH(LARGE('Calc (scoring engine)'!$K$5:$K$528,3),'Calc (scoring engine)'!$K$5:$K$528,0))="N","n/m","—"),INDEX(Database!$BH$5:$BH$528,MATCH(LARGE('Calc (scoring engine)'!$K$5:$K$528,3),'Calc (scoring engine)'!$K$5:$K$528,0))),""))</ns0:f>
        <ns0:v/>
      </ns0:c>
      <ns0:c r="BD23" s="39">
        <ns0:f>IF(OR(3&gt;MAX(3,MIN(15,N($D$18))),IFERROR(LARGE('Calc (scoring engine)'!$K$5:$K$528,3),-999999)&lt;=-900000),"",IFERROR(IF(INDEX(Database!$BI$5:$BI$528,MATCH(LARGE('Calc (scoring engine)'!$K$5:$K$528,3),'Calc (scoring engine)'!$K$5:$K$528,0))="","—",INDEX(Database!$BI$5:$BI$528,MATCH(LARGE('Calc (scoring engine)'!$K$5:$K$528,3),'Calc (scoring engine)'!$K$5:$K$528,0))),""))</ns0:f>
        <ns0:v/>
      </ns0:c>
      <ns0:c r="BE23" s="39">
        <ns0:f>IF(OR(3&gt;MAX(3,MIN(15,N($D$18))),IFERROR(LARGE('Calc (scoring engine)'!$K$5:$K$528,3),-999999)&lt;=-900000),"",IFERROR(IF(INDEX(Database!$BJ$5:$BJ$528,MATCH(LARGE('Calc (scoring engine)'!$K$5:$K$528,3),'Calc (scoring engine)'!$K$5:$K$528,0))="","—",INDEX(Database!$BJ$5:$BJ$528,MATCH(LARGE('Calc (scoring engine)'!$K$5:$K$528,3),'Calc (scoring engine)'!$K$5:$K$528,0))),""))</ns0:f>
        <ns0:v/>
      </ns0:c>
      <ns0:c r="BF23" s="39">
        <ns0:f>IF(OR(3&gt;MAX(3,MIN(15,N($D$18))),IFERROR(LARGE('Calc (scoring engine)'!$K$5:$K$528,3),-999999)&lt;=-900000),"",IFERROR(IF(INDEX(Database!$BK$5:$BK$528,MATCH(LARGE('Calc (scoring engine)'!$K$5:$K$528,3),'Calc (scoring engine)'!$K$5:$K$528,0))="","—",INDEX(Database!$BK$5:$BK$528,MATCH(LARGE('Calc (scoring engine)'!$K$5:$K$528,3),'Calc (scoring engine)'!$K$5:$K$528,0))),""))</ns0:f>
        <ns0:v/>
      </ns0:c>
      <ns0:c r="BG23" s="39">
        <ns0:f>IF(OR(3&gt;MAX(3,MIN(15,N($D$18))),IFERROR(LARGE('Calc (scoring engine)'!$K$5:$K$528,3),-999999)&lt;=-900000),"",IFERROR(IF(INDEX(Database!$BL$5:$BL$528,MATCH(LARGE('Calc (scoring engine)'!$K$5:$K$528,3),'Calc (scoring engine)'!$K$5:$K$528,0))="","—",INDEX(Database!$BL$5:$BL$528,MATCH(LARGE('Calc (scoring engine)'!$K$5:$K$528,3),'Calc (scoring engine)'!$K$5:$K$528,0))),""))</ns0:f>
        <ns0:v/>
      </ns0:c>
      <ns0:c r="BH23" s="39">
        <ns0:f>IF(OR(3&gt;MAX(3,MIN(15,N($D$18))),IFERROR(LARGE('Calc (scoring engine)'!$K$5:$K$528,3),-999999)&lt;=-900000),"",IFERROR(IFERROR(BDP(TEXT(INDEX(Database!$A$5:$A$528,MATCH(LARGE('Calc (scoring engine)'!$K$5:$K$528,3),'Calc (scoring engine)'!$K$5:$K$528,0)),"0")&amp;" HK Equity","PE_RATIO"),IF(INDEX(Database!$BJ$5:$BJ$528,MATCH(LARGE('Calc (scoring engine)'!$K$5:$K$528,3),'Calc (scoring engine)'!$K$5:$K$528,0))="","—",INDEX(Database!$BJ$5:$BJ$528,MATCH(LARGE('Calc (scoring engine)'!$K$5:$K$528,3),'Calc (scoring engine)'!$K$5:$K$528,0)))),""))</ns0:f>
        <ns0:v/>
      </ns0:c>
      <ns0:c r="BI23" s="39">
        <ns0:f>IF(OR(3&gt;MAX(3,MIN(15,N($D$18))),IFERROR(LARGE('Calc (scoring engine)'!$K$5:$K$528,3),-999999)&lt;=-900000),"",IFERROR(IFERROR(BDP(TEXT(INDEX(Database!$A$5:$A$528,MATCH(LARGE('Calc (scoring engine)'!$K$5:$K$528,3),'Calc (scoring engine)'!$K$5:$K$528,0)),"0")&amp;" HK Equity","PX_TO_SALES_RATIO"),IF(INDEX(Database!$BK$5:$BK$528,MATCH(LARGE('Calc (scoring engine)'!$K$5:$K$528,3),'Calc (scoring engine)'!$K$5:$K$528,0))="","—",INDEX(Database!$BK$5:$BK$528,MATCH(LARGE('Calc (scoring engine)'!$K$5:$K$528,3),'Calc (scoring engine)'!$K$5:$K$528,0)))),""))</ns0:f>
        <ns0:v/>
      </ns0:c>
      <ns0:c r="BJ23" s="24">
        <ns0:f>IF(OR(3&gt;MAX(3,MIN(15,N($D$18))),IFERROR(LARGE('Calc (scoring engine)'!$K$5:$K$528,3),-999999)&lt;=-900000),"",IFERROR(IF(INDEX(Database!$BM$5:$BM$528,MATCH(LARGE('Calc (scoring engine)'!$K$5:$K$528,3),'Calc (scoring engine)'!$K$5:$K$528,0))="","—",INDEX(Database!$BM$5:$BM$528,MATCH(LARGE('Calc (scoring engine)'!$K$5:$K$528,3),'Calc (scoring engine)'!$K$5:$K$528,0))),""))</ns0:f>
        <ns0:v/>
      </ns0:c>
      <ns0:c r="BK23" s="24">
        <ns0:f>IF(OR(3&gt;MAX(3,MIN(15,N($D$18))),IFERROR(LARGE('Calc (scoring engine)'!$K$5:$K$528,3),-999999)&lt;=-900000),"",IFERROR(IF(INDEX(Database!$BN$5:$BN$528,MATCH(LARGE('Calc (scoring engine)'!$K$5:$K$528,3),'Calc (scoring engine)'!$K$5:$K$528,0))="","—",INDEX(Database!$BN$5:$BN$528,MATCH(LARGE('Calc (scoring engine)'!$K$5:$K$528,3),'Calc (scoring engine)'!$K$5:$K$528,0))),""))</ns0:f>
        <ns0:v/>
      </ns0:c>
      <ns0:c r="BL23" s="38">
        <ns0:f>IF(OR(3&gt;MAX(3,MIN(15,N($D$18))),IFERROR(LARGE('Calc (scoring engine)'!$K$5:$K$528,3),-999999)&lt;=-900000),"",IFERROR(IF(INDEX(Database!$BO$5:$BO$528,MATCH(LARGE('Calc (scoring engine)'!$K$5:$K$528,3),'Calc (scoring engine)'!$K$5:$K$528,0))="","—",INDEX(Database!$BO$5:$BO$528,MATCH(LARGE('Calc (scoring engine)'!$K$5:$K$528,3),'Calc (scoring engine)'!$K$5:$K$528,0))),""))</ns0:f>
        <ns0:v/>
      </ns0:c>
      <ns0:c r="BM23" s="54">
        <ns0:f>IF(OR(3&gt;MAX(3,MIN(15,N($D$18))),IFERROR(LARGE('Calc (scoring engine)'!$K$5:$K$528,3),-999999)&lt;=-900000),"",IFERROR(IF(INDEX(Database!$BP$5:$BP$528,MATCH(LARGE('Calc (scoring engine)'!$K$5:$K$528,3),'Calc (scoring engine)'!$K$5:$K$528,0))="","—",INDEX(Database!$BP$5:$BP$528,MATCH(LARGE('Calc (scoring engine)'!$K$5:$K$528,3),'Calc (scoring engine)'!$K$5:$K$528,0))),""))</ns0:f>
        <ns0:v/>
      </ns0:c>
      <ns0:c r="BN23" s="58">
        <ns0:f>IF(OR(3&gt;MAX(3,MIN(15,N($D$18))),IFERROR(LARGE('Calc (scoring engine)'!$K$5:$K$528,3),-999999)&lt;=-900000),"",IFERROR(IF(INDEX(Database!$BQ$5:$BQ$528,MATCH(LARGE('Calc (scoring engine)'!$K$5:$K$528,3),'Calc (scoring engine)'!$K$5:$K$528,0))="","—",INDEX(Database!$BQ$5:$BQ$528,MATCH(LARGE('Calc (scoring engine)'!$K$5:$K$528,3),'Calc (scoring engine)'!$K$5:$K$528,0))),""))</ns0:f>
        <ns0:v/>
      </ns0:c>
      <ns0:c r="BO23" s="34">
        <ns0:f>IF(OR(3&gt;MAX(3,MIN(15,N($D$18))),IFERROR(LARGE('Calc (scoring engine)'!$K$5:$K$528,3),-999999)&lt;=-900000),"",IFERROR(IF(INDEX(Database!$BR$5:$BR$528,MATCH(LARGE('Calc (scoring engine)'!$K$5:$K$528,3),'Calc (scoring engine)'!$K$5:$K$528,0))="","—",INDEX(Database!$BR$5:$BR$528,MATCH(LARGE('Calc (scoring engine)'!$K$5:$K$528,3),'Calc (scoring engine)'!$K$5:$K$528,0))),""))</ns0:f>
        <ns0:v/>
      </ns0:c>
      <ns0:c r="BP23" s="39">
        <ns0:f>IF(OR(3&gt;MAX(3,MIN(15,N($D$18))),IFERROR(LARGE('Calc (scoring engine)'!$K$5:$K$528,3),-999999)&lt;=-900000),"",IFERROR(IF(INDEX(Database!$BS$5:$BS$528,MATCH(LARGE('Calc (scoring engine)'!$K$5:$K$528,3),'Calc (scoring engine)'!$K$5:$K$528,0))="","—",INDEX(Database!$BS$5:$BS$528,MATCH(LARGE('Calc (scoring engine)'!$K$5:$K$528,3),'Calc (scoring engine)'!$K$5:$K$528,0))),""))</ns0:f>
        <ns0:v/>
      </ns0:c>
      <ns0:c r="BQ23" s="39">
        <ns0:f>IF(OR(3&gt;MAX(3,MIN(15,N($D$18))),IFERROR(LARGE('Calc (scoring engine)'!$K$5:$K$528,3),-999999)&lt;=-900000),"",IFERROR(IF(INDEX(Database!$BT$5:$BT$528,MATCH(LARGE('Calc (scoring engine)'!$K$5:$K$528,3),'Calc (scoring engine)'!$K$5:$K$528,0))="","—",INDEX(Database!$BT$5:$BT$528,MATCH(LARGE('Calc (scoring engine)'!$K$5:$K$528,3),'Calc (scoring engine)'!$K$5:$K$528,0))),""))</ns0:f>
        <ns0:v/>
      </ns0:c>
      <ns0:c r="BR23" s="24">
        <ns0:f>IF(OR(3&gt;MAX(3,MIN(15,N($D$18))),IFERROR(LARGE('Calc (scoring engine)'!$K$5:$K$528,3),-999999)&lt;=-900000),"",IFERROR(IF(INDEX(Database!$BU$5:$BU$528,MATCH(LARGE('Calc (scoring engine)'!$K$5:$K$528,3),'Calc (scoring engine)'!$K$5:$K$528,0))="","—",INDEX(Database!$BU$5:$BU$528,MATCH(LARGE('Calc (scoring engine)'!$K$5:$K$528,3),'Calc (scoring engine)'!$K$5:$K$528,0))),""))</ns0:f>
        <ns0:v/>
      </ns0:c>
      <ns0:c r="BS23" s="24">
        <ns0:f>IF(OR(3&gt;MAX(3,MIN(15,N($D$18))),IFERROR(LARGE('Calc (scoring engine)'!$K$5:$K$528,3),-999999)&lt;=-900000),"",IFERROR(IF(INDEX(Database!$BW$5:$BW$528,MATCH(LARGE('Calc (scoring engine)'!$K$5:$K$528,3),'Calc (scoring engine)'!$K$5:$K$528,0))="","—",INDEX(Database!$BW$5:$BW$528,MATCH(LARGE('Calc (scoring engine)'!$K$5:$K$528,3),'Calc (scoring engine)'!$K$5:$K$528,0))),""))</ns0:f>
        <ns0:v/>
      </ns0:c>
      <ns0:c r="BT23" s="57">
        <ns0:f>IF(OR(3&gt;MAX(3,MIN(15,N($D$18))),IFERROR(LARGE('Calc (scoring engine)'!$K$5:$K$528,3),-999999)&lt;=-900000),"",IFERROR(IF(INDEX('Calc (scoring engine)'!$H$5:$H$528,MATCH(LARGE('Calc (scoring engine)'!$K$5:$K$528,3),'Calc (scoring engine)'!$K$5:$K$528,0))&gt;0,INDEX('Calc (scoring engine)'!$H$5:$H$528,MATCH(LARGE('Calc (scoring engine)'!$K$5:$K$528,3),'Calc (scoring engine)'!$K$5:$K$528,0)),""),""))</ns0:f>
        <ns0:v/>
      </ns0:c>
      <ns0:c r="BU23" s="24">
        <ns0:f>IF(OR(3&gt;MAX(3,MIN(15,N($D$18))),IFERROR(LARGE('Calc (scoring engine)'!$K$5:$K$528,3),-999999)&lt;=-900000),"",IF(IFERROR(INDEX('Calc (scoring engine)'!$B$5:$B$528,MATCH(LARGE('Calc (scoring engine)'!$K$5:$K$528,3),'Calc (scoring engine)'!$K$5:$K$528,0)),0)=1,"same subsector","sector only"))</ns0:f>
        <ns0:v/>
      </ns0:c>
      <ns0:c r="BV23" s="57">
        <ns0:f>IF(OR(3&gt;MAX(3,MIN(15,N($D$18))),IFERROR(LARGE('Calc (scoring engine)'!$K$5:$K$528,3),-999999)&lt;=-900000),"",ROUND(IFERROR(LARGE('Calc (scoring engine)'!$K$5:$K$528,3),0),0))</ns0:f>
        <ns0:v/>
      </ns0:c>
      <ns0:c r="BW23" s="24">
        <ns0:f>IF(OR(3&gt;MAX(3,MIN(15,N($D$18))),IFERROR(LARGE('Calc (scoring engine)'!$K$5:$K$528,3),-999999)&lt;=-900000),"",IFERROR("sub "&amp;INDEX('Calc (scoring engine)'!$B$5:$B$528,MATCH(LARGE('Calc (scoring engine)'!$K$5:$K$528,3),'Calc (scoring engine)'!$K$5:$K$528,0))*W_SUB&amp;" + size "&amp;ROUND(INDEX('Calc (scoring engine)'!$D$5:$D$528,MATCH(LARGE('Calc (scoring engine)'!$K$5:$K$528,3),'Calc (scoring engine)'!$K$5:$K$528,0))*W_SIZE,0)&amp;" + prof "&amp;INDEX('Calc (scoring engine)'!$E$5:$E$528,MATCH(LARGE('Calc (scoring engine)'!$K$5:$K$528,3),'Calc (scoring engine)'!$K$5:$K$528,0))*W_PROF&amp;" + recency "&amp;ROUND(INDEX('Calc (scoring engine)'!$G$5:$G$528,MATCH(LARGE('Calc (scoring engine)'!$K$5:$K$528,3),'Calc (scoring engine)'!$K$5:$K$528,0))*W_REC,0)&amp;IF(INDEX('Calc (scoring engine)'!$H$5:$H$528,MATCH(LARGE('Calc (scoring engine)'!$K$5:$K$528,3),'Calc (scoring engine)'!$K$5:$K$528,0))&gt;0," + shared CS x"&amp;INDEX('Calc (scoring engine)'!$H$5:$H$528,MATCH(LARGE('Calc (scoring engine)'!$K$5:$K$528,3),'Calc (scoring engine)'!$K$5:$K$528,0)),""),""))</ns0:f>
        <ns0:v/>
      </ns0:c>
    </ns0:row>
    <ns0:row r="24">
      <ns0:c r="A24" s="52">
        <ns0:f>IF(OR(4&gt;MAX(3,MIN(15,N($D$18))),IFERROR(LARGE('Calc (scoring engine)'!$K$5:$K$528,4),-999999)&lt;=-900000),"",4)</ns0:f>
        <ns0:v/>
      </ns0:c>
      <ns0:c r="B24" s="24">
        <ns0:f>IF(OR(4&gt;MAX(3,MIN(15,N($D$18))),IFERROR(LARGE('Calc (scoring engine)'!$K$5:$K$528,4),-999999)&lt;=-900000),"",IFERROR(IF(INDEX(Database!$B$5:$B$528,MATCH(LARGE('Calc (scoring engine)'!$K$5:$K$528,4),'Calc (scoring engine)'!$K$5:$K$528,0))="","—",INDEX(Database!$B$5:$B$528,MATCH(LARGE('Calc (scoring engine)'!$K$5:$K$528,4),'Calc (scoring engine)'!$K$5:$K$528,0))),""))</ns0:f>
        <ns0:v/>
      </ns0:c>
      <ns0:c r="C24" s="53">
        <ns0:f>IF(OR(4&gt;MAX(3,MIN(15,N($D$18))),IFERROR(LARGE('Calc (scoring engine)'!$K$5:$K$528,4),-999999)&lt;=-900000),"",IFERROR(IF(INDEX(Database!$A$5:$A$528,MATCH(LARGE('Calc (scoring engine)'!$K$5:$K$528,4),'Calc (scoring engine)'!$K$5:$K$528,0))="","—",INDEX(Database!$A$5:$A$528,MATCH(LARGE('Calc (scoring engine)'!$K$5:$K$528,4),'Calc (scoring engine)'!$K$5:$K$528,0))),""))</ns0:f>
        <ns0:v/>
      </ns0:c>
      <ns0:c r="D24" s="24">
        <ns0:f>IF(OR(4&gt;MAX(3,MIN(15,N($D$18))),IFERROR(LARGE('Calc (scoring engine)'!$K$5:$K$528,4),-999999)&lt;=-900000),"",IFERROR(IF(INDEX(Database!$D$5:$D$528,MATCH(LARGE('Calc (scoring engine)'!$K$5:$K$528,4),'Calc (scoring engine)'!$K$5:$K$528,0))="","—",INDEX(Database!$D$5:$D$528,MATCH(LARGE('Calc (scoring engine)'!$K$5:$K$528,4),'Calc (scoring engine)'!$K$5:$K$528,0))),""))</ns0:f>
        <ns0:v/>
      </ns0:c>
      <ns0:c r="E24" s="24">
        <ns0:f>IF(OR(4&gt;MAX(3,MIN(15,N($D$18))),IFERROR(LARGE('Calc (scoring engine)'!$K$5:$K$528,4),-999999)&lt;=-900000),"",IFERROR(IF(INDEX(Database!$E$5:$E$528,MATCH(LARGE('Calc (scoring engine)'!$K$5:$K$528,4),'Calc (scoring engine)'!$K$5:$K$528,0))="","—",INDEX(Database!$E$5:$E$528,MATCH(LARGE('Calc (scoring engine)'!$K$5:$K$528,4),'Calc (scoring engine)'!$K$5:$K$528,0))),""))</ns0:f>
        <ns0:v/>
      </ns0:c>
      <ns0:c r="F24" s="24">
        <ns0:f>IF(OR(4&gt;MAX(3,MIN(15,N($D$18))),IFERROR(LARGE('Calc (scoring engine)'!$K$5:$K$528,4),-999999)&lt;=-900000),"",IFERROR(IF(INDEX(Database!$F$5:$F$528,MATCH(LARGE('Calc (scoring engine)'!$K$5:$K$528,4),'Calc (scoring engine)'!$K$5:$K$528,0))="","—",INDEX(Database!$F$5:$F$528,MATCH(LARGE('Calc (scoring engine)'!$K$5:$K$528,4),'Calc (scoring engine)'!$K$5:$K$528,0))),""))</ns0:f>
        <ns0:v/>
      </ns0:c>
      <ns0:c r="G24" s="24">
        <ns0:f>IF(OR(4&gt;MAX(3,MIN(15,N($D$18))),IFERROR(LARGE('Calc (scoring engine)'!$K$5:$K$528,4),-999999)&lt;=-900000),"",IFERROR(IF(INDEX(Database!$G$5:$G$528,MATCH(LARGE('Calc (scoring engine)'!$K$5:$K$528,4),'Calc (scoring engine)'!$K$5:$K$528,0))="","—",INDEX(Database!$G$5:$G$528,MATCH(LARGE('Calc (scoring engine)'!$K$5:$K$528,4),'Calc (scoring engine)'!$K$5:$K$528,0))),""))</ns0:f>
        <ns0:v/>
      </ns0:c>
      <ns0:c r="H24" s="36">
        <ns0:f>IF(OR(4&gt;MAX(3,MIN(15,N($D$18))),IFERROR(LARGE('Calc (scoring engine)'!$K$5:$K$528,4),-999999)&lt;=-900000),"",IFERROR(IF(INDEX(Database!$H$5:$H$528,MATCH(LARGE('Calc (scoring engine)'!$K$5:$K$528,4),'Calc (scoring engine)'!$K$5:$K$528,0))="","—",INDEX(Database!$H$5:$H$528,MATCH(LARGE('Calc (scoring engine)'!$K$5:$K$528,4),'Calc (scoring engine)'!$K$5:$K$528,0))),""))</ns0:f>
        <ns0:v/>
      </ns0:c>
      <ns0:c r="I24" s="34">
        <ns0:f>IF(OR(4&gt;MAX(3,MIN(15,N($D$18))),IFERROR(LARGE('Calc (scoring engine)'!$K$5:$K$528,4),-999999)&lt;=-900000),"",IFERROR(IF(INDEX(Database!$I$5:$I$528,MATCH(LARGE('Calc (scoring engine)'!$K$5:$K$528,4),'Calc (scoring engine)'!$K$5:$K$528,0))="","—",INDEX(Database!$I$5:$I$528,MATCH(LARGE('Calc (scoring engine)'!$K$5:$K$528,4),'Calc (scoring engine)'!$K$5:$K$528,0))),""))</ns0:f>
        <ns0:v/>
      </ns0:c>
      <ns0:c r="J24" s="54">
        <ns0:f>IF(OR(4&gt;MAX(3,MIN(15,N($D$18))),IFERROR(LARGE('Calc (scoring engine)'!$K$5:$K$528,4),-999999)&lt;=-900000),"",IFERROR(IF(INDEX(Database!$K$5:$K$528,MATCH(LARGE('Calc (scoring engine)'!$K$5:$K$528,4),'Calc (scoring engine)'!$K$5:$K$528,0))="","—",INDEX(Database!$K$5:$K$528,MATCH(LARGE('Calc (scoring engine)'!$K$5:$K$528,4),'Calc (scoring engine)'!$K$5:$K$528,0))),""))</ns0:f>
        <ns0:v/>
      </ns0:c>
      <ns0:c r="K24" s="54">
        <ns0:f>IF(OR(4&gt;MAX(3,MIN(15,N($D$18))),IFERROR(LARGE('Calc (scoring engine)'!$K$5:$K$528,4),-999999)&lt;=-900000),"",IFERROR(IF(INDEX(Database!$L$5:$L$528,MATCH(LARGE('Calc (scoring engine)'!$K$5:$K$528,4),'Calc (scoring engine)'!$K$5:$K$528,0))="","—",INDEX(Database!$L$5:$L$528,MATCH(LARGE('Calc (scoring engine)'!$K$5:$K$528,4),'Calc (scoring engine)'!$K$5:$K$528,0))),""))</ns0:f>
        <ns0:v/>
      </ns0:c>
      <ns0:c r="L24" s="54">
        <ns0:f>IF(OR(4&gt;MAX(3,MIN(15,N($D$18))),IFERROR(LARGE('Calc (scoring engine)'!$K$5:$K$528,4),-999999)&lt;=-900000),"",IFERROR(IF(INDEX(Database!$M$5:$M$528,MATCH(LARGE('Calc (scoring engine)'!$K$5:$K$528,4),'Calc (scoring engine)'!$K$5:$K$528,0))="","—",INDEX(Database!$M$5:$M$528,MATCH(LARGE('Calc (scoring engine)'!$K$5:$K$528,4),'Calc (scoring engine)'!$K$5:$K$528,0))),""))</ns0:f>
        <ns0:v/>
      </ns0:c>
      <ns0:c r="M24" s="24">
        <ns0:f>IF(OR(4&gt;MAX(3,MIN(15,N($D$18))),IFERROR(LARGE('Calc (scoring engine)'!$K$5:$K$528,4),-999999)&lt;=-900000),"",IFERROR(IF(INDEX(Database!$N$5:$N$528,MATCH(LARGE('Calc (scoring engine)'!$K$5:$K$528,4),'Calc (scoring engine)'!$K$5:$K$528,0))="","—",INDEX(Database!$N$5:$N$528,MATCH(LARGE('Calc (scoring engine)'!$K$5:$K$528,4),'Calc (scoring engine)'!$K$5:$K$528,0))),""))</ns0:f>
        <ns0:v/>
      </ns0:c>
      <ns0:c r="N24" s="44">
        <ns0:f>IF(OR(4&gt;MAX(3,MIN(15,N($D$18))),IFERROR(LARGE('Calc (scoring engine)'!$K$5:$K$528,4),-999999)&lt;=-900000),"",IFERROR(IF(INDEX(Database!$O$5:$O$528,MATCH(LARGE('Calc (scoring engine)'!$K$5:$K$528,4),'Calc (scoring engine)'!$K$5:$K$528,0))="","—",INDEX(Database!$O$5:$O$528,MATCH(LARGE('Calc (scoring engine)'!$K$5:$K$528,4),'Calc (scoring engine)'!$K$5:$K$528,0))),""))</ns0:f>
        <ns0:v/>
      </ns0:c>
      <ns0:c r="O24" s="44">
        <ns0:f>IF(OR(4&gt;MAX(3,MIN(15,N($D$18))),IFERROR(LARGE('Calc (scoring engine)'!$K$5:$K$528,4),-999999)&lt;=-900000),"",IFERROR(IF(INDEX(Database!$P$5:$P$528,MATCH(LARGE('Calc (scoring engine)'!$K$5:$K$528,4),'Calc (scoring engine)'!$K$5:$K$528,0))="","—",INDEX(Database!$P$5:$P$528,MATCH(LARGE('Calc (scoring engine)'!$K$5:$K$528,4),'Calc (scoring engine)'!$K$5:$K$528,0))),""))</ns0:f>
        <ns0:v/>
      </ns0:c>
      <ns0:c r="P24" s="34">
        <ns0:f>IF(OR(4&gt;MAX(3,MIN(15,N($D$18))),IFERROR(LARGE('Calc (scoring engine)'!$K$5:$K$528,4),-999999)&lt;=-900000),"",IFERROR(IF(INDEX(Database!$Q$5:$Q$528,MATCH(LARGE('Calc (scoring engine)'!$K$5:$K$528,4),'Calc (scoring engine)'!$K$5:$K$528,0))="","—",INDEX(Database!$Q$5:$Q$528,MATCH(LARGE('Calc (scoring engine)'!$K$5:$K$528,4),'Calc (scoring engine)'!$K$5:$K$528,0))),""))</ns0:f>
        <ns0:v/>
      </ns0:c>
      <ns0:c r="Q24" s="41">
        <ns0:f>IF(OR(4&gt;MAX(3,MIN(15,N($D$18))),IFERROR(LARGE('Calc (scoring engine)'!$K$5:$K$528,4),-999999)&lt;=-900000),"",IFERROR(IF(INDEX(Database!$S$5:$S$528,MATCH(LARGE('Calc (scoring engine)'!$K$5:$K$528,4),'Calc (scoring engine)'!$K$5:$K$528,0))="","—",INDEX(Database!$S$5:$S$528,MATCH(LARGE('Calc (scoring engine)'!$K$5:$K$528,4),'Calc (scoring engine)'!$K$5:$K$528,0))),""))</ns0:f>
        <ns0:v/>
      </ns0:c>
      <ns0:c r="R24" s="55">
        <ns0:f>IF(OR(4&gt;MAX(3,MIN(15,N($D$18))),IFERROR(LARGE('Calc (scoring engine)'!$K$5:$K$528,4),-999999)&lt;=-900000),"",IFERROR(IF(INDEX(Database!$T$5:$T$528,MATCH(LARGE('Calc (scoring engine)'!$K$5:$K$528,4),'Calc (scoring engine)'!$K$5:$K$528,0))="","—",INDEX(Database!$T$5:$T$528,MATCH(LARGE('Calc (scoring engine)'!$K$5:$K$528,4),'Calc (scoring engine)'!$K$5:$K$528,0))),""))</ns0:f>
        <ns0:v/>
      </ns0:c>
      <ns0:c r="S24" s="56">
        <ns0:f>IF(OR(4&gt;MAX(3,MIN(15,N($D$18))),IFERROR(LARGE('Calc (scoring engine)'!$K$5:$K$528,4),-999999)&lt;=-900000),"",IFERROR(IF(INDEX(Database!$U$5:$U$528,MATCH(LARGE('Calc (scoring engine)'!$K$5:$K$528,4),'Calc (scoring engine)'!$K$5:$K$528,0))="","—",INDEX(Database!$U$5:$U$528,MATCH(LARGE('Calc (scoring engine)'!$K$5:$K$528,4),'Calc (scoring engine)'!$K$5:$K$528,0))),""))</ns0:f>
        <ns0:v/>
      </ns0:c>
      <ns0:c r="T24" s="57">
        <ns0:f>IF(OR(4&gt;MAX(3,MIN(15,N($D$18))),IFERROR(LARGE('Calc (scoring engine)'!$K$5:$K$528,4),-999999)&lt;=-900000),"",IFERROR(IF(INDEX(Database!$V$5:$V$528,MATCH(LARGE('Calc (scoring engine)'!$K$5:$K$528,4),'Calc (scoring engine)'!$K$5:$K$528,0))="","—",INDEX(Database!$V$5:$V$528,MATCH(LARGE('Calc (scoring engine)'!$K$5:$K$528,4),'Calc (scoring engine)'!$K$5:$K$528,0))),""))</ns0:f>
        <ns0:v/>
      </ns0:c>
      <ns0:c r="U24" s="44">
        <ns0:f>IF(OR(4&gt;MAX(3,MIN(15,N($D$18))),IFERROR(LARGE('Calc (scoring engine)'!$K$5:$K$528,4),-999999)&lt;=-900000),"",IFERROR(IF(INDEX(Database!$W$5:$W$528,MATCH(LARGE('Calc (scoring engine)'!$K$5:$K$528,4),'Calc (scoring engine)'!$K$5:$K$528,0))="","—",INDEX(Database!$W$5:$W$528,MATCH(LARGE('Calc (scoring engine)'!$K$5:$K$528,4),'Calc (scoring engine)'!$K$5:$K$528,0))),""))</ns0:f>
        <ns0:v/>
      </ns0:c>
      <ns0:c r="V24" s="24">
        <ns0:f>IF(OR(4&gt;MAX(3,MIN(15,N($D$18))),IFERROR(LARGE('Calc (scoring engine)'!$K$5:$K$528,4),-999999)&lt;=-900000),"",IFERROR(IF(INDEX(Database!$X$5:$X$528,MATCH(LARGE('Calc (scoring engine)'!$K$5:$K$528,4),'Calc (scoring engine)'!$K$5:$K$528,0))="","—",INDEX(Database!$X$5:$X$528,MATCH(LARGE('Calc (scoring engine)'!$K$5:$K$528,4),'Calc (scoring engine)'!$K$5:$K$528,0))),""))</ns0:f>
        <ns0:v/>
      </ns0:c>
      <ns0:c r="W24" s="34">
        <ns0:f>IF(OR(4&gt;MAX(3,MIN(15,N($D$18))),IFERROR(LARGE('Calc (scoring engine)'!$K$5:$K$528,4),-999999)&lt;=-900000),"",IFERROR(IF(INDEX(Database!$Y$5:$Y$528,MATCH(LARGE('Calc (scoring engine)'!$K$5:$K$528,4),'Calc (scoring engine)'!$K$5:$K$528,0))="","—",INDEX(Database!$Y$5:$Y$528,MATCH(LARGE('Calc (scoring engine)'!$K$5:$K$528,4),'Calc (scoring engine)'!$K$5:$K$528,0))),""))</ns0:f>
        <ns0:v/>
      </ns0:c>
      <ns0:c r="X24" s="34">
        <ns0:f>IF(OR(4&gt;MAX(3,MIN(15,N($D$18))),IFERROR(LARGE('Calc (scoring engine)'!$K$5:$K$528,4),-999999)&lt;=-900000),"",IFERROR(IF(INDEX(Database!$Z$5:$Z$528,MATCH(LARGE('Calc (scoring engine)'!$K$5:$K$528,4),'Calc (scoring engine)'!$K$5:$K$528,0))="","—",INDEX(Database!$Z$5:$Z$528,MATCH(LARGE('Calc (scoring engine)'!$K$5:$K$528,4),'Calc (scoring engine)'!$K$5:$K$528,0))),""))</ns0:f>
        <ns0:v/>
      </ns0:c>
      <ns0:c r="Y24" s="44">
        <ns0:f>IF(OR(4&gt;MAX(3,MIN(15,N($D$18))),IFERROR(LARGE('Calc (scoring engine)'!$K$5:$K$528,4),-999999)&lt;=-900000),"",IFERROR(IF(INDEX(Database!$AA$5:$AA$528,MATCH(LARGE('Calc (scoring engine)'!$K$5:$K$528,4),'Calc (scoring engine)'!$K$5:$K$528,0))="","—",INDEX(Database!$AA$5:$AA$528,MATCH(LARGE('Calc (scoring engine)'!$K$5:$K$528,4),'Calc (scoring engine)'!$K$5:$K$528,0))),""))</ns0:f>
        <ns0:v/>
      </ns0:c>
      <ns0:c r="Z24" s="24">
        <ns0:f>IF(OR(4&gt;MAX(3,MIN(15,N($D$18))),IFERROR(LARGE('Calc (scoring engine)'!$K$5:$K$528,4),-999999)&lt;=-900000),"",IFERROR(IF(INDEX(Database!$AB$5:$AB$528,MATCH(LARGE('Calc (scoring engine)'!$K$5:$K$528,4),'Calc (scoring engine)'!$K$5:$K$528,0))="","—",INDEX(Database!$AB$5:$AB$528,MATCH(LARGE('Calc (scoring engine)'!$K$5:$K$528,4),'Calc (scoring engine)'!$K$5:$K$528,0))),""))</ns0:f>
        <ns0:v/>
      </ns0:c>
      <ns0:c r="AA24" s="44">
        <ns0:f>IF(OR(4&gt;MAX(3,MIN(15,N($D$18))),IFERROR(LARGE('Calc (scoring engine)'!$K$5:$K$528,4),-999999)&lt;=-900000),"",IFERROR(IF(INDEX(Database!$AD$5:$AD$528,MATCH(LARGE('Calc (scoring engine)'!$K$5:$K$528,4),'Calc (scoring engine)'!$K$5:$K$528,0))="","—",INDEX(Database!$AD$5:$AD$528,MATCH(LARGE('Calc (scoring engine)'!$K$5:$K$528,4),'Calc (scoring engine)'!$K$5:$K$528,0))),""))</ns0:f>
        <ns0:v/>
      </ns0:c>
      <ns0:c r="AB24" s="24">
        <ns0:f>IF(OR(4&gt;MAX(3,MIN(15,N($D$18))),IFERROR(LARGE('Calc (scoring engine)'!$K$5:$K$528,4),-999999)&lt;=-900000),"",IFERROR(IF(INDEX(Database!$AE$5:$AE$528,MATCH(LARGE('Calc (scoring engine)'!$K$5:$K$528,4),'Calc (scoring engine)'!$K$5:$K$528,0))="","—",INDEX(Database!$AE$5:$AE$528,MATCH(LARGE('Calc (scoring engine)'!$K$5:$K$528,4),'Calc (scoring engine)'!$K$5:$K$528,0))),""))</ns0:f>
        <ns0:v/>
      </ns0:c>
      <ns0:c r="AC24" s="24">
        <ns0:f>IF(OR(4&gt;MAX(3,MIN(15,N($D$18))),IFERROR(LARGE('Calc (scoring engine)'!$K$5:$K$528,4),-999999)&lt;=-900000),"",IFERROR(IF(INDEX(Database!$AF$5:$AF$528,MATCH(LARGE('Calc (scoring engine)'!$K$5:$K$528,4),'Calc (scoring engine)'!$K$5:$K$528,0))="","—",INDEX(Database!$AF$5:$AF$528,MATCH(LARGE('Calc (scoring engine)'!$K$5:$K$528,4),'Calc (scoring engine)'!$K$5:$K$528,0))),""))</ns0:f>
        <ns0:v/>
      </ns0:c>
      <ns0:c r="AD24" s="24">
        <ns0:f>IF(OR(4&gt;MAX(3,MIN(15,N($D$18))),IFERROR(LARGE('Calc (scoring engine)'!$K$5:$K$528,4),-999999)&lt;=-900000),"",IFERROR(IF(INDEX(Database!$AG$5:$AG$528,MATCH(LARGE('Calc (scoring engine)'!$K$5:$K$528,4),'Calc (scoring engine)'!$K$5:$K$528,0))="","—",INDEX(Database!$AG$5:$AG$528,MATCH(LARGE('Calc (scoring engine)'!$K$5:$K$528,4),'Calc (scoring engine)'!$K$5:$K$528,0))),""))</ns0:f>
        <ns0:v/>
      </ns0:c>
      <ns0:c r="AE24" s="24">
        <ns0:f>IF(OR(4&gt;MAX(3,MIN(15,N($D$18))),IFERROR(LARGE('Calc (scoring engine)'!$K$5:$K$528,4),-999999)&lt;=-900000),"",IFERROR(IF(INDEX(Database!$AH$5:$AH$528,MATCH(LARGE('Calc (scoring engine)'!$K$5:$K$528,4),'Calc (scoring engine)'!$K$5:$K$528,0))="","—",INDEX(Database!$AH$5:$AH$528,MATCH(LARGE('Calc (scoring engine)'!$K$5:$K$528,4),'Calc (scoring engine)'!$K$5:$K$528,0))),""))</ns0:f>
        <ns0:v/>
      </ns0:c>
      <ns0:c r="AF24" s="38">
        <ns0:f>IF(OR(4&gt;MAX(3,MIN(15,N($D$18))),IFERROR(LARGE('Calc (scoring engine)'!$K$5:$K$528,4),-999999)&lt;=-900000),"",IFERROR(IF(INDEX(Database!$AI$5:$AI$528,MATCH(LARGE('Calc (scoring engine)'!$K$5:$K$528,4),'Calc (scoring engine)'!$K$5:$K$528,0))="","—",INDEX(Database!$AI$5:$AI$528,MATCH(LARGE('Calc (scoring engine)'!$K$5:$K$528,4),'Calc (scoring engine)'!$K$5:$K$528,0))),""))</ns0:f>
        <ns0:v/>
      </ns0:c>
      <ns0:c r="AG24" s="38">
        <ns0:f>IF(OR(4&gt;MAX(3,MIN(15,N($D$18))),IFERROR(LARGE('Calc (scoring engine)'!$K$5:$K$528,4),-999999)&lt;=-900000),"",IFERROR(IF(INDEX(Database!$AJ$5:$AJ$528,MATCH(LARGE('Calc (scoring engine)'!$K$5:$K$528,4),'Calc (scoring engine)'!$K$5:$K$528,0))="","—",INDEX(Database!$AJ$5:$AJ$528,MATCH(LARGE('Calc (scoring engine)'!$K$5:$K$528,4),'Calc (scoring engine)'!$K$5:$K$528,0))),""))</ns0:f>
        <ns0:v/>
      </ns0:c>
      <ns0:c r="AH24" s="38">
        <ns0:f>IF(OR(4&gt;MAX(3,MIN(15,N($D$18))),IFERROR(LARGE('Calc (scoring engine)'!$K$5:$K$528,4),-999999)&lt;=-900000),"",IFERROR(IF(INDEX(Database!$AK$5:$AK$528,MATCH(LARGE('Calc (scoring engine)'!$K$5:$K$528,4),'Calc (scoring engine)'!$K$5:$K$528,0))="","—",INDEX(Database!$AK$5:$AK$528,MATCH(LARGE('Calc (scoring engine)'!$K$5:$K$528,4),'Calc (scoring engine)'!$K$5:$K$528,0))),""))</ns0:f>
        <ns0:v/>
      </ns0:c>
      <ns0:c r="AI24" s="38">
        <ns0:f>IF(OR(4&gt;MAX(3,MIN(15,N($D$18))),IFERROR(LARGE('Calc (scoring engine)'!$K$5:$K$528,4),-999999)&lt;=-900000),"",IFERROR(IF(INDEX(Database!$AL$5:$AL$528,MATCH(LARGE('Calc (scoring engine)'!$K$5:$K$528,4),'Calc (scoring engine)'!$K$5:$K$528,0))="","—",INDEX(Database!$AL$5:$AL$528,MATCH(LARGE('Calc (scoring engine)'!$K$5:$K$528,4),'Calc (scoring engine)'!$K$5:$K$528,0))),""))</ns0:f>
        <ns0:v/>
      </ns0:c>
      <ns0:c r="AJ24" s="38">
        <ns0:f>IF(OR(4&gt;MAX(3,MIN(15,N($D$18))),IFERROR(LARGE('Calc (scoring engine)'!$K$5:$K$528,4),-999999)&lt;=-900000),"",IFERROR(IF(INDEX(Database!$AM$5:$AM$528,MATCH(LARGE('Calc (scoring engine)'!$K$5:$K$528,4),'Calc (scoring engine)'!$K$5:$K$528,0))="","—",INDEX(Database!$AM$5:$AM$528,MATCH(LARGE('Calc (scoring engine)'!$K$5:$K$528,4),'Calc (scoring engine)'!$K$5:$K$528,0))),""))</ns0:f>
        <ns0:v/>
      </ns0:c>
      <ns0:c r="AK24" s="39">
        <ns0:f>IF(OR(4&gt;MAX(3,MIN(15,N($D$18))),IFERROR(LARGE('Calc (scoring engine)'!$K$5:$K$528,4),-999999)&lt;=-900000),"",IFERROR(IF(INDEX(Database!$AN$5:$AN$528,MATCH(LARGE('Calc (scoring engine)'!$K$5:$K$528,4),'Calc (scoring engine)'!$K$5:$K$528,0))="","—",INDEX(Database!$AN$5:$AN$528,MATCH(LARGE('Calc (scoring engine)'!$K$5:$K$528,4),'Calc (scoring engine)'!$K$5:$K$528,0))),""))</ns0:f>
        <ns0:v/>
      </ns0:c>
      <ns0:c r="AL24" s="44">
        <ns0:f>IF(OR(4&gt;MAX(3,MIN(15,N($D$18))),IFERROR(LARGE('Calc (scoring engine)'!$K$5:$K$528,4),-999999)&lt;=-900000),"",IFERROR(IF(INDEX(Database!$AO$5:$AO$528,MATCH(LARGE('Calc (scoring engine)'!$K$5:$K$528,4),'Calc (scoring engine)'!$K$5:$K$528,0))="","—",INDEX(Database!$AO$5:$AO$528,MATCH(LARGE('Calc (scoring engine)'!$K$5:$K$528,4),'Calc (scoring engine)'!$K$5:$K$528,0))),""))</ns0:f>
        <ns0:v/>
      </ns0:c>
      <ns0:c r="AM24" s="38">
        <ns0:f>IF(OR(4&gt;MAX(3,MIN(15,N($D$18))),IFERROR(LARGE('Calc (scoring engine)'!$K$5:$K$528,4),-999999)&lt;=-900000),"",IFERROR(IF(INDEX(Database!$AP$5:$AP$528,MATCH(LARGE('Calc (scoring engine)'!$K$5:$K$528,4),'Calc (scoring engine)'!$K$5:$K$528,0))="","—",INDEX(Database!$AP$5:$AP$528,MATCH(LARGE('Calc (scoring engine)'!$K$5:$K$528,4),'Calc (scoring engine)'!$K$5:$K$528,0))),""))</ns0:f>
        <ns0:v/>
      </ns0:c>
      <ns0:c r="AN24" s="38">
        <ns0:f>IF(OR(4&gt;MAX(3,MIN(15,N($D$18))),IFERROR(LARGE('Calc (scoring engine)'!$K$5:$K$528,4),-999999)&lt;=-900000),"",IFERROR(IF(INDEX(Database!$AQ$5:$AQ$528,MATCH(LARGE('Calc (scoring engine)'!$K$5:$K$528,4),'Calc (scoring engine)'!$K$5:$K$528,0))="","—",INDEX(Database!$AQ$5:$AQ$528,MATCH(LARGE('Calc (scoring engine)'!$K$5:$K$528,4),'Calc (scoring engine)'!$K$5:$K$528,0))),""))</ns0:f>
        <ns0:v/>
      </ns0:c>
      <ns0:c r="AO24" s="38">
        <ns0:f>IF(OR(4&gt;MAX(3,MIN(15,N($D$18))),IFERROR(LARGE('Calc (scoring engine)'!$K$5:$K$528,4),-999999)&lt;=-900000),"",IFERROR(IF(INDEX(Database!$AR$5:$AR$528,MATCH(LARGE('Calc (scoring engine)'!$K$5:$K$528,4),'Calc (scoring engine)'!$K$5:$K$528,0))="","—",INDEX(Database!$AR$5:$AR$528,MATCH(LARGE('Calc (scoring engine)'!$K$5:$K$528,4),'Calc (scoring engine)'!$K$5:$K$528,0))),""))</ns0:f>
        <ns0:v/>
      </ns0:c>
      <ns0:c r="AP24" s="38">
        <ns0:f>IF(OR(4&gt;MAX(3,MIN(15,N($D$18))),IFERROR(LARGE('Calc (scoring engine)'!$K$5:$K$528,4),-999999)&lt;=-900000),"",IFERROR(IF(INDEX(Database!$AS$5:$AS$528,MATCH(LARGE('Calc (scoring engine)'!$K$5:$K$528,4),'Calc (scoring engine)'!$K$5:$K$528,0))="","—",INDEX(Database!$AS$5:$AS$528,MATCH(LARGE('Calc (scoring engine)'!$K$5:$K$528,4),'Calc (scoring engine)'!$K$5:$K$528,0))),""))</ns0:f>
        <ns0:v/>
      </ns0:c>
      <ns0:c r="AQ24" s="38">
        <ns0:f>IF(OR(4&gt;MAX(3,MIN(15,N($D$18))),IFERROR(LARGE('Calc (scoring engine)'!$K$5:$K$528,4),-999999)&lt;=-900000),"",IFERROR(IF(INDEX(Database!$AT$5:$AT$528,MATCH(LARGE('Calc (scoring engine)'!$K$5:$K$528,4),'Calc (scoring engine)'!$K$5:$K$528,0))="","—",INDEX(Database!$AT$5:$AT$528,MATCH(LARGE('Calc (scoring engine)'!$K$5:$K$528,4),'Calc (scoring engine)'!$K$5:$K$528,0))),""))</ns0:f>
        <ns0:v/>
      </ns0:c>
      <ns0:c r="AR24" s="38">
        <ns0:f>IF(OR(4&gt;MAX(3,MIN(15,N($D$18))),IFERROR(LARGE('Calc (scoring engine)'!$K$5:$K$528,4),-999999)&lt;=-900000),"",IFERROR(IF(INDEX(Database!$AU$5:$AU$528,MATCH(LARGE('Calc (scoring engine)'!$K$5:$K$528,4),'Calc (scoring engine)'!$K$5:$K$528,0))="","—",INDEX(Database!$AU$5:$AU$528,MATCH(LARGE('Calc (scoring engine)'!$K$5:$K$528,4),'Calc (scoring engine)'!$K$5:$K$528,0))),""))</ns0:f>
        <ns0:v/>
      </ns0:c>
      <ns0:c r="AS24" s="38">
        <ns0:f>IF(OR(4&gt;MAX(3,MIN(15,N($D$18))),IFERROR(LARGE('Calc (scoring engine)'!$K$5:$K$528,4),-999999)&lt;=-900000),"",IFERROR(IF(INDEX(Database!$AV$5:$AV$528,MATCH(LARGE('Calc (scoring engine)'!$K$5:$K$528,4),'Calc (scoring engine)'!$K$5:$K$528,0))="","—",INDEX(Database!$AV$5:$AV$528,MATCH(LARGE('Calc (scoring engine)'!$K$5:$K$528,4),'Calc (scoring engine)'!$K$5:$K$528,0))),""))</ns0:f>
        <ns0:v/>
      </ns0:c>
      <ns0:c r="AT24" s="38">
        <ns0:f>IF(OR(4&gt;MAX(3,MIN(15,N($D$18))),IFERROR(LARGE('Calc (scoring engine)'!$K$5:$K$528,4),-999999)&lt;=-900000),"",IFERROR(IF(INDEX(Database!$AW$5:$AW$528,MATCH(LARGE('Calc (scoring engine)'!$K$5:$K$528,4),'Calc (scoring engine)'!$K$5:$K$528,0))="","—",INDEX(Database!$AW$5:$AW$528,MATCH(LARGE('Calc (scoring engine)'!$K$5:$K$528,4),'Calc (scoring engine)'!$K$5:$K$528,0))),""))</ns0:f>
        <ns0:v/>
      </ns0:c>
      <ns0:c r="AU24" s="38">
        <ns0:f>IF(OR(4&gt;MAX(3,MIN(15,N($D$18))),IFERROR(LARGE('Calc (scoring engine)'!$K$5:$K$528,4),-999999)&lt;=-900000),"",IFERROR(IF(INDEX(Database!$AX$5:$AX$528,MATCH(LARGE('Calc (scoring engine)'!$K$5:$K$528,4),'Calc (scoring engine)'!$K$5:$K$528,0))="","—",INDEX(Database!$AX$5:$AX$528,MATCH(LARGE('Calc (scoring engine)'!$K$5:$K$528,4),'Calc (scoring engine)'!$K$5:$K$528,0))),""))</ns0:f>
        <ns0:v/>
      </ns0:c>
      <ns0:c r="AV24" s="38">
        <ns0:f>IF(OR(4&gt;MAX(3,MIN(15,N($D$18))),IFERROR(LARGE('Calc (scoring engine)'!$K$5:$K$528,4),-999999)&lt;=-900000),"",IFERROR(IF(INDEX(Database!$AY$5:$AY$528,MATCH(LARGE('Calc (scoring engine)'!$K$5:$K$528,4),'Calc (scoring engine)'!$K$5:$K$528,0))="","—",INDEX(Database!$AY$5:$AY$528,MATCH(LARGE('Calc (scoring engine)'!$K$5:$K$528,4),'Calc (scoring engine)'!$K$5:$K$528,0))),""))</ns0:f>
        <ns0:v/>
      </ns0:c>
      <ns0:c r="AW24" s="38">
        <ns0:f>IF(OR(4&gt;MAX(3,MIN(15,N($D$18))),IFERROR(LARGE('Calc (scoring engine)'!$K$5:$K$528,4),-999999)&lt;=-900000),"",IFERROR(IF(INDEX(Database!$AZ$5:$AZ$528,MATCH(LARGE('Calc (scoring engine)'!$K$5:$K$528,4),'Calc (scoring engine)'!$K$5:$K$528,0))="","—",INDEX(Database!$AZ$5:$AZ$528,MATCH(LARGE('Calc (scoring engine)'!$K$5:$K$528,4),'Calc (scoring engine)'!$K$5:$K$528,0))),""))</ns0:f>
        <ns0:v/>
      </ns0:c>
      <ns0:c r="AX24" s="38">
        <ns0:f>IF(OR(4&gt;MAX(3,MIN(15,N($D$18))),IFERROR(LARGE('Calc (scoring engine)'!$K$5:$K$528,4),-999999)&lt;=-900000),"",IFERROR(IF(INDEX(Database!$BA$5:$BA$528,MATCH(LARGE('Calc (scoring engine)'!$K$5:$K$528,4),'Calc (scoring engine)'!$K$5:$K$528,0))="","—",INDEX(Database!$BA$5:$BA$528,MATCH(LARGE('Calc (scoring engine)'!$K$5:$K$528,4),'Calc (scoring engine)'!$K$5:$K$528,0))),""))</ns0:f>
        <ns0:v/>
      </ns0:c>
      <ns0:c r="AY24" s="38">
        <ns0:f>IF(OR(4&gt;MAX(3,MIN(15,N($D$18))),IFERROR(LARGE('Calc (scoring engine)'!$K$5:$K$528,4),-999999)&lt;=-900000),"",IFERROR(IF(INDEX(Database!$BC$5:$BC$528,MATCH(LARGE('Calc (scoring engine)'!$K$5:$K$528,4),'Calc (scoring engine)'!$K$5:$K$528,0))="","—",INDEX(Database!$BC$5:$BC$528,MATCH(LARGE('Calc (scoring engine)'!$K$5:$K$528,4),'Calc (scoring engine)'!$K$5:$K$528,0))),""))</ns0:f>
        <ns0:v/>
      </ns0:c>
      <ns0:c r="AZ24" s="34">
        <ns0:f>IF(OR(4&gt;MAX(3,MIN(15,N($D$18))),IFERROR(LARGE('Calc (scoring engine)'!$K$5:$K$528,4),-999999)&lt;=-900000),"",IFERROR(IF(INDEX(Database!$BE$5:$BE$528,MATCH(LARGE('Calc (scoring engine)'!$K$5:$K$528,4),'Calc (scoring engine)'!$K$5:$K$528,0))="","—",INDEX(Database!$BE$5:$BE$528,MATCH(LARGE('Calc (scoring engine)'!$K$5:$K$528,4),'Calc (scoring engine)'!$K$5:$K$528,0))),""))</ns0:f>
        <ns0:v/>
      </ns0:c>
      <ns0:c r="BA24" s="34">
        <ns0:f>IF(OR(4&gt;MAX(3,MIN(15,N($D$18))),IFERROR(LARGE('Calc (scoring engine)'!$K$5:$K$528,4),-999999)&lt;=-900000),"",IFERROR(IF(INDEX(Database!$BF$5:$BF$528,MATCH(LARGE('Calc (scoring engine)'!$K$5:$K$528,4),'Calc (scoring engine)'!$K$5:$K$528,0))="","—",INDEX(Database!$BF$5:$BF$528,MATCH(LARGE('Calc (scoring engine)'!$K$5:$K$528,4),'Calc (scoring engine)'!$K$5:$K$528,0))),""))</ns0:f>
        <ns0:v/>
      </ns0:c>
      <ns0:c r="BB24" s="24">
        <ns0:f>IF(OR(4&gt;MAX(3,MIN(15,N($D$18))),IFERROR(LARGE('Calc (scoring engine)'!$K$5:$K$528,4),-999999)&lt;=-900000),"",IFERROR(IF(INDEX(Database!$BG$5:$BG$528,MATCH(LARGE('Calc (scoring engine)'!$K$5:$K$528,4),'Calc (scoring engine)'!$K$5:$K$528,0))="","—",INDEX(Database!$BG$5:$BG$528,MATCH(LARGE('Calc (scoring engine)'!$K$5:$K$528,4),'Calc (scoring engine)'!$K$5:$K$528,0))),""))</ns0:f>
        <ns0:v/>
      </ns0:c>
      <ns0:c r="BC24" s="39">
        <ns0:f>IF(OR(4&gt;MAX(3,MIN(15,N($D$18))),IFERROR(LARGE('Calc (scoring engine)'!$K$5:$K$528,4),-999999)&lt;=-900000),"",IFERROR(IF(N(INDEX(Database!$BH$5:$BH$528,MATCH(LARGE('Calc (scoring engine)'!$K$5:$K$528,4),'Calc (scoring engine)'!$K$5:$K$528,0)))&lt;=0,IF(INDEX(Database!$BG$5:$BG$528,MATCH(LARGE('Calc (scoring engine)'!$K$5:$K$528,4),'Calc (scoring engine)'!$K$5:$K$528,0))="N","n/m","—"),INDEX(Database!$BH$5:$BH$528,MATCH(LARGE('Calc (scoring engine)'!$K$5:$K$528,4),'Calc (scoring engine)'!$K$5:$K$528,0))),""))</ns0:f>
        <ns0:v/>
      </ns0:c>
      <ns0:c r="BD24" s="39">
        <ns0:f>IF(OR(4&gt;MAX(3,MIN(15,N($D$18))),IFERROR(LARGE('Calc (scoring engine)'!$K$5:$K$528,4),-999999)&lt;=-900000),"",IFERROR(IF(INDEX(Database!$BI$5:$BI$528,MATCH(LARGE('Calc (scoring engine)'!$K$5:$K$528,4),'Calc (scoring engine)'!$K$5:$K$528,0))="","—",INDEX(Database!$BI$5:$BI$528,MATCH(LARGE('Calc (scoring engine)'!$K$5:$K$528,4),'Calc (scoring engine)'!$K$5:$K$528,0))),""))</ns0:f>
        <ns0:v/>
      </ns0:c>
      <ns0:c r="BE24" s="39">
        <ns0:f>IF(OR(4&gt;MAX(3,MIN(15,N($D$18))),IFERROR(LARGE('Calc (scoring engine)'!$K$5:$K$528,4),-999999)&lt;=-900000),"",IFERROR(IF(INDEX(Database!$BJ$5:$BJ$528,MATCH(LARGE('Calc (scoring engine)'!$K$5:$K$528,4),'Calc (scoring engine)'!$K$5:$K$528,0))="","—",INDEX(Database!$BJ$5:$BJ$528,MATCH(LARGE('Calc (scoring engine)'!$K$5:$K$528,4),'Calc (scoring engine)'!$K$5:$K$528,0))),""))</ns0:f>
        <ns0:v/>
      </ns0:c>
      <ns0:c r="BF24" s="39">
        <ns0:f>IF(OR(4&gt;MAX(3,MIN(15,N($D$18))),IFERROR(LARGE('Calc (scoring engine)'!$K$5:$K$528,4),-999999)&lt;=-900000),"",IFERROR(IF(INDEX(Database!$BK$5:$BK$528,MATCH(LARGE('Calc (scoring engine)'!$K$5:$K$528,4),'Calc (scoring engine)'!$K$5:$K$528,0))="","—",INDEX(Database!$BK$5:$BK$528,MATCH(LARGE('Calc (scoring engine)'!$K$5:$K$528,4),'Calc (scoring engine)'!$K$5:$K$528,0))),""))</ns0:f>
        <ns0:v/>
      </ns0:c>
      <ns0:c r="BG24" s="39">
        <ns0:f>IF(OR(4&gt;MAX(3,MIN(15,N($D$18))),IFERROR(LARGE('Calc (scoring engine)'!$K$5:$K$528,4),-999999)&lt;=-900000),"",IFERROR(IF(INDEX(Database!$BL$5:$BL$528,MATCH(LARGE('Calc (scoring engine)'!$K$5:$K$528,4),'Calc (scoring engine)'!$K$5:$K$528,0))="","—",INDEX(Database!$BL$5:$BL$528,MATCH(LARGE('Calc (scoring engine)'!$K$5:$K$528,4),'Calc (scoring engine)'!$K$5:$K$528,0))),""))</ns0:f>
        <ns0:v/>
      </ns0:c>
      <ns0:c r="BH24" s="39">
        <ns0:f>IF(OR(4&gt;MAX(3,MIN(15,N($D$18))),IFERROR(LARGE('Calc (scoring engine)'!$K$5:$K$528,4),-999999)&lt;=-900000),"",IFERROR(IFERROR(BDP(TEXT(INDEX(Database!$A$5:$A$528,MATCH(LARGE('Calc (scoring engine)'!$K$5:$K$528,4),'Calc (scoring engine)'!$K$5:$K$528,0)),"0")&amp;" HK Equity","PE_RATIO"),IF(INDEX(Database!$BJ$5:$BJ$528,MATCH(LARGE('Calc (scoring engine)'!$K$5:$K$528,4),'Calc (scoring engine)'!$K$5:$K$528,0))="","—",INDEX(Database!$BJ$5:$BJ$528,MATCH(LARGE('Calc (scoring engine)'!$K$5:$K$528,4),'Calc (scoring engine)'!$K$5:$K$528,0)))),""))</ns0:f>
        <ns0:v/>
      </ns0:c>
      <ns0:c r="BI24" s="39">
        <ns0:f>IF(OR(4&gt;MAX(3,MIN(15,N($D$18))),IFERROR(LARGE('Calc (scoring engine)'!$K$5:$K$528,4),-999999)&lt;=-900000),"",IFERROR(IFERROR(BDP(TEXT(INDEX(Database!$A$5:$A$528,MATCH(LARGE('Calc (scoring engine)'!$K$5:$K$528,4),'Calc (scoring engine)'!$K$5:$K$528,0)),"0")&amp;" HK Equity","PX_TO_SALES_RATIO"),IF(INDEX(Database!$BK$5:$BK$528,MATCH(LARGE('Calc (scoring engine)'!$K$5:$K$528,4),'Calc (scoring engine)'!$K$5:$K$528,0))="","—",INDEX(Database!$BK$5:$BK$528,MATCH(LARGE('Calc (scoring engine)'!$K$5:$K$528,4),'Calc (scoring engine)'!$K$5:$K$528,0)))),""))</ns0:f>
        <ns0:v/>
      </ns0:c>
      <ns0:c r="BJ24" s="24">
        <ns0:f>IF(OR(4&gt;MAX(3,MIN(15,N($D$18))),IFERROR(LARGE('Calc (scoring engine)'!$K$5:$K$528,4),-999999)&lt;=-900000),"",IFERROR(IF(INDEX(Database!$BM$5:$BM$528,MATCH(LARGE('Calc (scoring engine)'!$K$5:$K$528,4),'Calc (scoring engine)'!$K$5:$K$528,0))="","—",INDEX(Database!$BM$5:$BM$528,MATCH(LARGE('Calc (scoring engine)'!$K$5:$K$528,4),'Calc (scoring engine)'!$K$5:$K$528,0))),""))</ns0:f>
        <ns0:v/>
      </ns0:c>
      <ns0:c r="BK24" s="24">
        <ns0:f>IF(OR(4&gt;MAX(3,MIN(15,N($D$18))),IFERROR(LARGE('Calc (scoring engine)'!$K$5:$K$528,4),-999999)&lt;=-900000),"",IFERROR(IF(INDEX(Database!$BN$5:$BN$528,MATCH(LARGE('Calc (scoring engine)'!$K$5:$K$528,4),'Calc (scoring engine)'!$K$5:$K$528,0))="","—",INDEX(Database!$BN$5:$BN$528,MATCH(LARGE('Calc (scoring engine)'!$K$5:$K$528,4),'Calc (scoring engine)'!$K$5:$K$528,0))),""))</ns0:f>
        <ns0:v/>
      </ns0:c>
      <ns0:c r="BL24" s="38">
        <ns0:f>IF(OR(4&gt;MAX(3,MIN(15,N($D$18))),IFERROR(LARGE('Calc (scoring engine)'!$K$5:$K$528,4),-999999)&lt;=-900000),"",IFERROR(IF(INDEX(Database!$BO$5:$BO$528,MATCH(LARGE('Calc (scoring engine)'!$K$5:$K$528,4),'Calc (scoring engine)'!$K$5:$K$528,0))="","—",INDEX(Database!$BO$5:$BO$528,MATCH(LARGE('Calc (scoring engine)'!$K$5:$K$528,4),'Calc (scoring engine)'!$K$5:$K$528,0))),""))</ns0:f>
        <ns0:v/>
      </ns0:c>
      <ns0:c r="BM24" s="54">
        <ns0:f>IF(OR(4&gt;MAX(3,MIN(15,N($D$18))),IFERROR(LARGE('Calc (scoring engine)'!$K$5:$K$528,4),-999999)&lt;=-900000),"",IFERROR(IF(INDEX(Database!$BP$5:$BP$528,MATCH(LARGE('Calc (scoring engine)'!$K$5:$K$528,4),'Calc (scoring engine)'!$K$5:$K$528,0))="","—",INDEX(Database!$BP$5:$BP$528,MATCH(LARGE('Calc (scoring engine)'!$K$5:$K$528,4),'Calc (scoring engine)'!$K$5:$K$528,0))),""))</ns0:f>
        <ns0:v/>
      </ns0:c>
      <ns0:c r="BN24" s="58">
        <ns0:f>IF(OR(4&gt;MAX(3,MIN(15,N($D$18))),IFERROR(LARGE('Calc (scoring engine)'!$K$5:$K$528,4),-999999)&lt;=-900000),"",IFERROR(IF(INDEX(Database!$BQ$5:$BQ$528,MATCH(LARGE('Calc (scoring engine)'!$K$5:$K$528,4),'Calc (scoring engine)'!$K$5:$K$528,0))="","—",INDEX(Database!$BQ$5:$BQ$528,MATCH(LARGE('Calc (scoring engine)'!$K$5:$K$528,4),'Calc (scoring engine)'!$K$5:$K$528,0))),""))</ns0:f>
        <ns0:v/>
      </ns0:c>
      <ns0:c r="BO24" s="34">
        <ns0:f>IF(OR(4&gt;MAX(3,MIN(15,N($D$18))),IFERROR(LARGE('Calc (scoring engine)'!$K$5:$K$528,4),-999999)&lt;=-900000),"",IFERROR(IF(INDEX(Database!$BR$5:$BR$528,MATCH(LARGE('Calc (scoring engine)'!$K$5:$K$528,4),'Calc (scoring engine)'!$K$5:$K$528,0))="","—",INDEX(Database!$BR$5:$BR$528,MATCH(LARGE('Calc (scoring engine)'!$K$5:$K$528,4),'Calc (scoring engine)'!$K$5:$K$528,0))),""))</ns0:f>
        <ns0:v/>
      </ns0:c>
      <ns0:c r="BP24" s="39">
        <ns0:f>IF(OR(4&gt;MAX(3,MIN(15,N($D$18))),IFERROR(LARGE('Calc (scoring engine)'!$K$5:$K$528,4),-999999)&lt;=-900000),"",IFERROR(IF(INDEX(Database!$BS$5:$BS$528,MATCH(LARGE('Calc (scoring engine)'!$K$5:$K$528,4),'Calc (scoring engine)'!$K$5:$K$528,0))="","—",INDEX(Database!$BS$5:$BS$528,MATCH(LARGE('Calc (scoring engine)'!$K$5:$K$528,4),'Calc (scoring engine)'!$K$5:$K$528,0))),""))</ns0:f>
        <ns0:v/>
      </ns0:c>
      <ns0:c r="BQ24" s="39">
        <ns0:f>IF(OR(4&gt;MAX(3,MIN(15,N($D$18))),IFERROR(LARGE('Calc (scoring engine)'!$K$5:$K$528,4),-999999)&lt;=-900000),"",IFERROR(IF(INDEX(Database!$BT$5:$BT$528,MATCH(LARGE('Calc (scoring engine)'!$K$5:$K$528,4),'Calc (scoring engine)'!$K$5:$K$528,0))="","—",INDEX(Database!$BT$5:$BT$528,MATCH(LARGE('Calc (scoring engine)'!$K$5:$K$528,4),'Calc (scoring engine)'!$K$5:$K$528,0))),""))</ns0:f>
        <ns0:v/>
      </ns0:c>
      <ns0:c r="BR24" s="24">
        <ns0:f>IF(OR(4&gt;MAX(3,MIN(15,N($D$18))),IFERROR(LARGE('Calc (scoring engine)'!$K$5:$K$528,4),-999999)&lt;=-900000),"",IFERROR(IF(INDEX(Database!$BU$5:$BU$528,MATCH(LARGE('Calc (scoring engine)'!$K$5:$K$528,4),'Calc (scoring engine)'!$K$5:$K$528,0))="","—",INDEX(Database!$BU$5:$BU$528,MATCH(LARGE('Calc (scoring engine)'!$K$5:$K$528,4),'Calc (scoring engine)'!$K$5:$K$528,0))),""))</ns0:f>
        <ns0:v/>
      </ns0:c>
      <ns0:c r="BS24" s="24">
        <ns0:f>IF(OR(4&gt;MAX(3,MIN(15,N($D$18))),IFERROR(LARGE('Calc (scoring engine)'!$K$5:$K$528,4),-999999)&lt;=-900000),"",IFERROR(IF(INDEX(Database!$BW$5:$BW$528,MATCH(LARGE('Calc (scoring engine)'!$K$5:$K$528,4),'Calc (scoring engine)'!$K$5:$K$528,0))="","—",INDEX(Database!$BW$5:$BW$528,MATCH(LARGE('Calc (scoring engine)'!$K$5:$K$528,4),'Calc (scoring engine)'!$K$5:$K$528,0))),""))</ns0:f>
        <ns0:v/>
      </ns0:c>
      <ns0:c r="BT24" s="57">
        <ns0:f>IF(OR(4&gt;MAX(3,MIN(15,N($D$18))),IFERROR(LARGE('Calc (scoring engine)'!$K$5:$K$528,4),-999999)&lt;=-900000),"",IFERROR(IF(INDEX('Calc (scoring engine)'!$H$5:$H$528,MATCH(LARGE('Calc (scoring engine)'!$K$5:$K$528,4),'Calc (scoring engine)'!$K$5:$K$528,0))&gt;0,INDEX('Calc (scoring engine)'!$H$5:$H$528,MATCH(LARGE('Calc (scoring engine)'!$K$5:$K$528,4),'Calc (scoring engine)'!$K$5:$K$528,0)),""),""))</ns0:f>
        <ns0:v/>
      </ns0:c>
      <ns0:c r="BU24" s="24">
        <ns0:f>IF(OR(4&gt;MAX(3,MIN(15,N($D$18))),IFERROR(LARGE('Calc (scoring engine)'!$K$5:$K$528,4),-999999)&lt;=-900000),"",IF(IFERROR(INDEX('Calc (scoring engine)'!$B$5:$B$528,MATCH(LARGE('Calc (scoring engine)'!$K$5:$K$528,4),'Calc (scoring engine)'!$K$5:$K$528,0)),0)=1,"same subsector","sector only"))</ns0:f>
        <ns0:v/>
      </ns0:c>
      <ns0:c r="BV24" s="57">
        <ns0:f>IF(OR(4&gt;MAX(3,MIN(15,N($D$18))),IFERROR(LARGE('Calc (scoring engine)'!$K$5:$K$528,4),-999999)&lt;=-900000),"",ROUND(IFERROR(LARGE('Calc (scoring engine)'!$K$5:$K$528,4),0),0))</ns0:f>
        <ns0:v/>
      </ns0:c>
      <ns0:c r="BW24" s="24">
        <ns0:f>IF(OR(4&gt;MAX(3,MIN(15,N($D$18))),IFERROR(LARGE('Calc (scoring engine)'!$K$5:$K$528,4),-999999)&lt;=-900000),"",IFERROR("sub "&amp;INDEX('Calc (scoring engine)'!$B$5:$B$528,MATCH(LARGE('Calc (scoring engine)'!$K$5:$K$528,4),'Calc (scoring engine)'!$K$5:$K$528,0))*W_SUB&amp;" + size "&amp;ROUND(INDEX('Calc (scoring engine)'!$D$5:$D$528,MATCH(LARGE('Calc (scoring engine)'!$K$5:$K$528,4),'Calc (scoring engine)'!$K$5:$K$528,0))*W_SIZE,0)&amp;" + prof "&amp;INDEX('Calc (scoring engine)'!$E$5:$E$528,MATCH(LARGE('Calc (scoring engine)'!$K$5:$K$528,4),'Calc (scoring engine)'!$K$5:$K$528,0))*W_PROF&amp;" + recency "&amp;ROUND(INDEX('Calc (scoring engine)'!$G$5:$G$528,MATCH(LARGE('Calc (scoring engine)'!$K$5:$K$528,4),'Calc (scoring engine)'!$K$5:$K$528,0))*W_REC,0)&amp;IF(INDEX('Calc (scoring engine)'!$H$5:$H$528,MATCH(LARGE('Calc (scoring engine)'!$K$5:$K$528,4),'Calc (scoring engine)'!$K$5:$K$528,0))&gt;0," + shared CS x"&amp;INDEX('Calc (scoring engine)'!$H$5:$H$528,MATCH(LARGE('Calc (scoring engine)'!$K$5:$K$528,4),'Calc (scoring engine)'!$K$5:$K$528,0)),""),""))</ns0:f>
        <ns0:v/>
      </ns0:c>
    </ns0:row>
    <ns0:row r="25">
      <ns0:c r="A25" s="52">
        <ns0:f>IF(OR(5&gt;MAX(3,MIN(15,N($D$18))),IFERROR(LARGE('Calc (scoring engine)'!$K$5:$K$528,5),-999999)&lt;=-900000),"",5)</ns0:f>
        <ns0:v/>
      </ns0:c>
      <ns0:c r="B25" s="24">
        <ns0:f>IF(OR(5&gt;MAX(3,MIN(15,N($D$18))),IFERROR(LARGE('Calc (scoring engine)'!$K$5:$K$528,5),-999999)&lt;=-900000),"",IFERROR(IF(INDEX(Database!$B$5:$B$528,MATCH(LARGE('Calc (scoring engine)'!$K$5:$K$528,5),'Calc (scoring engine)'!$K$5:$K$528,0))="","—",INDEX(Database!$B$5:$B$528,MATCH(LARGE('Calc (scoring engine)'!$K$5:$K$528,5),'Calc (scoring engine)'!$K$5:$K$528,0))),""))</ns0:f>
        <ns0:v/>
      </ns0:c>
      <ns0:c r="C25" s="53">
        <ns0:f>IF(OR(5&gt;MAX(3,MIN(15,N($D$18))),IFERROR(LARGE('Calc (scoring engine)'!$K$5:$K$528,5),-999999)&lt;=-900000),"",IFERROR(IF(INDEX(Database!$A$5:$A$528,MATCH(LARGE('Calc (scoring engine)'!$K$5:$K$528,5),'Calc (scoring engine)'!$K$5:$K$528,0))="","—",INDEX(Database!$A$5:$A$528,MATCH(LARGE('Calc (scoring engine)'!$K$5:$K$528,5),'Calc (scoring engine)'!$K$5:$K$528,0))),""))</ns0:f>
        <ns0:v/>
      </ns0:c>
      <ns0:c r="D25" s="24">
        <ns0:f>IF(OR(5&gt;MAX(3,MIN(15,N($D$18))),IFERROR(LARGE('Calc (scoring engine)'!$K$5:$K$528,5),-999999)&lt;=-900000),"",IFERROR(IF(INDEX(Database!$D$5:$D$528,MATCH(LARGE('Calc (scoring engine)'!$K$5:$K$528,5),'Calc (scoring engine)'!$K$5:$K$528,0))="","—",INDEX(Database!$D$5:$D$528,MATCH(LARGE('Calc (scoring engine)'!$K$5:$K$528,5),'Calc (scoring engine)'!$K$5:$K$528,0))),""))</ns0:f>
        <ns0:v/>
      </ns0:c>
      <ns0:c r="E25" s="24">
        <ns0:f>IF(OR(5&gt;MAX(3,MIN(15,N($D$18))),IFERROR(LARGE('Calc (scoring engine)'!$K$5:$K$528,5),-999999)&lt;=-900000),"",IFERROR(IF(INDEX(Database!$E$5:$E$528,MATCH(LARGE('Calc (scoring engine)'!$K$5:$K$528,5),'Calc (scoring engine)'!$K$5:$K$528,0))="","—",INDEX(Database!$E$5:$E$528,MATCH(LARGE('Calc (scoring engine)'!$K$5:$K$528,5),'Calc (scoring engine)'!$K$5:$K$528,0))),""))</ns0:f>
        <ns0:v/>
      </ns0:c>
      <ns0:c r="F25" s="24">
        <ns0:f>IF(OR(5&gt;MAX(3,MIN(15,N($D$18))),IFERROR(LARGE('Calc (scoring engine)'!$K$5:$K$528,5),-999999)&lt;=-900000),"",IFERROR(IF(INDEX(Database!$F$5:$F$528,MATCH(LARGE('Calc (scoring engine)'!$K$5:$K$528,5),'Calc (scoring engine)'!$K$5:$K$528,0))="","—",INDEX(Database!$F$5:$F$528,MATCH(LARGE('Calc (scoring engine)'!$K$5:$K$528,5),'Calc (scoring engine)'!$K$5:$K$528,0))),""))</ns0:f>
        <ns0:v/>
      </ns0:c>
      <ns0:c r="G25" s="24">
        <ns0:f>IF(OR(5&gt;MAX(3,MIN(15,N($D$18))),IFERROR(LARGE('Calc (scoring engine)'!$K$5:$K$528,5),-999999)&lt;=-900000),"",IFERROR(IF(INDEX(Database!$G$5:$G$528,MATCH(LARGE('Calc (scoring engine)'!$K$5:$K$528,5),'Calc (scoring engine)'!$K$5:$K$528,0))="","—",INDEX(Database!$G$5:$G$528,MATCH(LARGE('Calc (scoring engine)'!$K$5:$K$528,5),'Calc (scoring engine)'!$K$5:$K$528,0))),""))</ns0:f>
        <ns0:v/>
      </ns0:c>
      <ns0:c r="H25" s="36">
        <ns0:f>IF(OR(5&gt;MAX(3,MIN(15,N($D$18))),IFERROR(LARGE('Calc (scoring engine)'!$K$5:$K$528,5),-999999)&lt;=-900000),"",IFERROR(IF(INDEX(Database!$H$5:$H$528,MATCH(LARGE('Calc (scoring engine)'!$K$5:$K$528,5),'Calc (scoring engine)'!$K$5:$K$528,0))="","—",INDEX(Database!$H$5:$H$528,MATCH(LARGE('Calc (scoring engine)'!$K$5:$K$528,5),'Calc (scoring engine)'!$K$5:$K$528,0))),""))</ns0:f>
        <ns0:v/>
      </ns0:c>
      <ns0:c r="I25" s="34">
        <ns0:f>IF(OR(5&gt;MAX(3,MIN(15,N($D$18))),IFERROR(LARGE('Calc (scoring engine)'!$K$5:$K$528,5),-999999)&lt;=-900000),"",IFERROR(IF(INDEX(Database!$I$5:$I$528,MATCH(LARGE('Calc (scoring engine)'!$K$5:$K$528,5),'Calc (scoring engine)'!$K$5:$K$528,0))="","—",INDEX(Database!$I$5:$I$528,MATCH(LARGE('Calc (scoring engine)'!$K$5:$K$528,5),'Calc (scoring engine)'!$K$5:$K$528,0))),""))</ns0:f>
        <ns0:v/>
      </ns0:c>
      <ns0:c r="J25" s="54">
        <ns0:f>IF(OR(5&gt;MAX(3,MIN(15,N($D$18))),IFERROR(LARGE('Calc (scoring engine)'!$K$5:$K$528,5),-999999)&lt;=-900000),"",IFERROR(IF(INDEX(Database!$K$5:$K$528,MATCH(LARGE('Calc (scoring engine)'!$K$5:$K$528,5),'Calc (scoring engine)'!$K$5:$K$528,0))="","—",INDEX(Database!$K$5:$K$528,MATCH(LARGE('Calc (scoring engine)'!$K$5:$K$528,5),'Calc (scoring engine)'!$K$5:$K$528,0))),""))</ns0:f>
        <ns0:v/>
      </ns0:c>
      <ns0:c r="K25" s="54">
        <ns0:f>IF(OR(5&gt;MAX(3,MIN(15,N($D$18))),IFERROR(LARGE('Calc (scoring engine)'!$K$5:$K$528,5),-999999)&lt;=-900000),"",IFERROR(IF(INDEX(Database!$L$5:$L$528,MATCH(LARGE('Calc (scoring engine)'!$K$5:$K$528,5),'Calc (scoring engine)'!$K$5:$K$528,0))="","—",INDEX(Database!$L$5:$L$528,MATCH(LARGE('Calc (scoring engine)'!$K$5:$K$528,5),'Calc (scoring engine)'!$K$5:$K$528,0))),""))</ns0:f>
        <ns0:v/>
      </ns0:c>
      <ns0:c r="L25" s="54">
        <ns0:f>IF(OR(5&gt;MAX(3,MIN(15,N($D$18))),IFERROR(LARGE('Calc (scoring engine)'!$K$5:$K$528,5),-999999)&lt;=-900000),"",IFERROR(IF(INDEX(Database!$M$5:$M$528,MATCH(LARGE('Calc (scoring engine)'!$K$5:$K$528,5),'Calc (scoring engine)'!$K$5:$K$528,0))="","—",INDEX(Database!$M$5:$M$528,MATCH(LARGE('Calc (scoring engine)'!$K$5:$K$528,5),'Calc (scoring engine)'!$K$5:$K$528,0))),""))</ns0:f>
        <ns0:v/>
      </ns0:c>
      <ns0:c r="M25" s="24">
        <ns0:f>IF(OR(5&gt;MAX(3,MIN(15,N($D$18))),IFERROR(LARGE('Calc (scoring engine)'!$K$5:$K$528,5),-999999)&lt;=-900000),"",IFERROR(IF(INDEX(Database!$N$5:$N$528,MATCH(LARGE('Calc (scoring engine)'!$K$5:$K$528,5),'Calc (scoring engine)'!$K$5:$K$528,0))="","—",INDEX(Database!$N$5:$N$528,MATCH(LARGE('Calc (scoring engine)'!$K$5:$K$528,5),'Calc (scoring engine)'!$K$5:$K$528,0))),""))</ns0:f>
        <ns0:v/>
      </ns0:c>
      <ns0:c r="N25" s="44">
        <ns0:f>IF(OR(5&gt;MAX(3,MIN(15,N($D$18))),IFERROR(LARGE('Calc (scoring engine)'!$K$5:$K$528,5),-999999)&lt;=-900000),"",IFERROR(IF(INDEX(Database!$O$5:$O$528,MATCH(LARGE('Calc (scoring engine)'!$K$5:$K$528,5),'Calc (scoring engine)'!$K$5:$K$528,0))="","—",INDEX(Database!$O$5:$O$528,MATCH(LARGE('Calc (scoring engine)'!$K$5:$K$528,5),'Calc (scoring engine)'!$K$5:$K$528,0))),""))</ns0:f>
        <ns0:v/>
      </ns0:c>
      <ns0:c r="O25" s="44">
        <ns0:f>IF(OR(5&gt;MAX(3,MIN(15,N($D$18))),IFERROR(LARGE('Calc (scoring engine)'!$K$5:$K$528,5),-999999)&lt;=-900000),"",IFERROR(IF(INDEX(Database!$P$5:$P$528,MATCH(LARGE('Calc (scoring engine)'!$K$5:$K$528,5),'Calc (scoring engine)'!$K$5:$K$528,0))="","—",INDEX(Database!$P$5:$P$528,MATCH(LARGE('Calc (scoring engine)'!$K$5:$K$528,5),'Calc (scoring engine)'!$K$5:$K$528,0))),""))</ns0:f>
        <ns0:v/>
      </ns0:c>
      <ns0:c r="P25" s="34">
        <ns0:f>IF(OR(5&gt;MAX(3,MIN(15,N($D$18))),IFERROR(LARGE('Calc (scoring engine)'!$K$5:$K$528,5),-999999)&lt;=-900000),"",IFERROR(IF(INDEX(Database!$Q$5:$Q$528,MATCH(LARGE('Calc (scoring engine)'!$K$5:$K$528,5),'Calc (scoring engine)'!$K$5:$K$528,0))="","—",INDEX(Database!$Q$5:$Q$528,MATCH(LARGE('Calc (scoring engine)'!$K$5:$K$528,5),'Calc (scoring engine)'!$K$5:$K$528,0))),""))</ns0:f>
        <ns0:v/>
      </ns0:c>
      <ns0:c r="Q25" s="41">
        <ns0:f>IF(OR(5&gt;MAX(3,MIN(15,N($D$18))),IFERROR(LARGE('Calc (scoring engine)'!$K$5:$K$528,5),-999999)&lt;=-900000),"",IFERROR(IF(INDEX(Database!$S$5:$S$528,MATCH(LARGE('Calc (scoring engine)'!$K$5:$K$528,5),'Calc (scoring engine)'!$K$5:$K$528,0))="","—",INDEX(Database!$S$5:$S$528,MATCH(LARGE('Calc (scoring engine)'!$K$5:$K$528,5),'Calc (scoring engine)'!$K$5:$K$528,0))),""))</ns0:f>
        <ns0:v/>
      </ns0:c>
      <ns0:c r="R25" s="55">
        <ns0:f>IF(OR(5&gt;MAX(3,MIN(15,N($D$18))),IFERROR(LARGE('Calc (scoring engine)'!$K$5:$K$528,5),-999999)&lt;=-900000),"",IFERROR(IF(INDEX(Database!$T$5:$T$528,MATCH(LARGE('Calc (scoring engine)'!$K$5:$K$528,5),'Calc (scoring engine)'!$K$5:$K$528,0))="","—",INDEX(Database!$T$5:$T$528,MATCH(LARGE('Calc (scoring engine)'!$K$5:$K$528,5),'Calc (scoring engine)'!$K$5:$K$528,0))),""))</ns0:f>
        <ns0:v/>
      </ns0:c>
      <ns0:c r="S25" s="56">
        <ns0:f>IF(OR(5&gt;MAX(3,MIN(15,N($D$18))),IFERROR(LARGE('Calc (scoring engine)'!$K$5:$K$528,5),-999999)&lt;=-900000),"",IFERROR(IF(INDEX(Database!$U$5:$U$528,MATCH(LARGE('Calc (scoring engine)'!$K$5:$K$528,5),'Calc (scoring engine)'!$K$5:$K$528,0))="","—",INDEX(Database!$U$5:$U$528,MATCH(LARGE('Calc (scoring engine)'!$K$5:$K$528,5),'Calc (scoring engine)'!$K$5:$K$528,0))),""))</ns0:f>
        <ns0:v/>
      </ns0:c>
      <ns0:c r="T25" s="57">
        <ns0:f>IF(OR(5&gt;MAX(3,MIN(15,N($D$18))),IFERROR(LARGE('Calc (scoring engine)'!$K$5:$K$528,5),-999999)&lt;=-900000),"",IFERROR(IF(INDEX(Database!$V$5:$V$528,MATCH(LARGE('Calc (scoring engine)'!$K$5:$K$528,5),'Calc (scoring engine)'!$K$5:$K$528,0))="","—",INDEX(Database!$V$5:$V$528,MATCH(LARGE('Calc (scoring engine)'!$K$5:$K$528,5),'Calc (scoring engine)'!$K$5:$K$528,0))),""))</ns0:f>
        <ns0:v/>
      </ns0:c>
      <ns0:c r="U25" s="44">
        <ns0:f>IF(OR(5&gt;MAX(3,MIN(15,N($D$18))),IFERROR(LARGE('Calc (scoring engine)'!$K$5:$K$528,5),-999999)&lt;=-900000),"",IFERROR(IF(INDEX(Database!$W$5:$W$528,MATCH(LARGE('Calc (scoring engine)'!$K$5:$K$528,5),'Calc (scoring engine)'!$K$5:$K$528,0))="","—",INDEX(Database!$W$5:$W$528,MATCH(LARGE('Calc (scoring engine)'!$K$5:$K$528,5),'Calc (scoring engine)'!$K$5:$K$528,0))),""))</ns0:f>
        <ns0:v/>
      </ns0:c>
      <ns0:c r="V25" s="24">
        <ns0:f>IF(OR(5&gt;MAX(3,MIN(15,N($D$18))),IFERROR(LARGE('Calc (scoring engine)'!$K$5:$K$528,5),-999999)&lt;=-900000),"",IFERROR(IF(INDEX(Database!$X$5:$X$528,MATCH(LARGE('Calc (scoring engine)'!$K$5:$K$528,5),'Calc (scoring engine)'!$K$5:$K$528,0))="","—",INDEX(Database!$X$5:$X$528,MATCH(LARGE('Calc (scoring engine)'!$K$5:$K$528,5),'Calc (scoring engine)'!$K$5:$K$528,0))),""))</ns0:f>
        <ns0:v/>
      </ns0:c>
      <ns0:c r="W25" s="34">
        <ns0:f>IF(OR(5&gt;MAX(3,MIN(15,N($D$18))),IFERROR(LARGE('Calc (scoring engine)'!$K$5:$K$528,5),-999999)&lt;=-900000),"",IFERROR(IF(INDEX(Database!$Y$5:$Y$528,MATCH(LARGE('Calc (scoring engine)'!$K$5:$K$528,5),'Calc (scoring engine)'!$K$5:$K$528,0))="","—",INDEX(Database!$Y$5:$Y$528,MATCH(LARGE('Calc (scoring engine)'!$K$5:$K$528,5),'Calc (scoring engine)'!$K$5:$K$528,0))),""))</ns0:f>
        <ns0:v/>
      </ns0:c>
      <ns0:c r="X25" s="34">
        <ns0:f>IF(OR(5&gt;MAX(3,MIN(15,N($D$18))),IFERROR(LARGE('Calc (scoring engine)'!$K$5:$K$528,5),-999999)&lt;=-900000),"",IFERROR(IF(INDEX(Database!$Z$5:$Z$528,MATCH(LARGE('Calc (scoring engine)'!$K$5:$K$528,5),'Calc (scoring engine)'!$K$5:$K$528,0))="","—",INDEX(Database!$Z$5:$Z$528,MATCH(LARGE('Calc (scoring engine)'!$K$5:$K$528,5),'Calc (scoring engine)'!$K$5:$K$528,0))),""))</ns0:f>
        <ns0:v/>
      </ns0:c>
      <ns0:c r="Y25" s="44">
        <ns0:f>IF(OR(5&gt;MAX(3,MIN(15,N($D$18))),IFERROR(LARGE('Calc (scoring engine)'!$K$5:$K$528,5),-999999)&lt;=-900000),"",IFERROR(IF(INDEX(Database!$AA$5:$AA$528,MATCH(LARGE('Calc (scoring engine)'!$K$5:$K$528,5),'Calc (scoring engine)'!$K$5:$K$528,0))="","—",INDEX(Database!$AA$5:$AA$528,MATCH(LARGE('Calc (scoring engine)'!$K$5:$K$528,5),'Calc (scoring engine)'!$K$5:$K$528,0))),""))</ns0:f>
        <ns0:v/>
      </ns0:c>
      <ns0:c r="Z25" s="24">
        <ns0:f>IF(OR(5&gt;MAX(3,MIN(15,N($D$18))),IFERROR(LARGE('Calc (scoring engine)'!$K$5:$K$528,5),-999999)&lt;=-900000),"",IFERROR(IF(INDEX(Database!$AB$5:$AB$528,MATCH(LARGE('Calc (scoring engine)'!$K$5:$K$528,5),'Calc (scoring engine)'!$K$5:$K$528,0))="","—",INDEX(Database!$AB$5:$AB$528,MATCH(LARGE('Calc (scoring engine)'!$K$5:$K$528,5),'Calc (scoring engine)'!$K$5:$K$528,0))),""))</ns0:f>
        <ns0:v/>
      </ns0:c>
      <ns0:c r="AA25" s="44">
        <ns0:f>IF(OR(5&gt;MAX(3,MIN(15,N($D$18))),IFERROR(LARGE('Calc (scoring engine)'!$K$5:$K$528,5),-999999)&lt;=-900000),"",IFERROR(IF(INDEX(Database!$AD$5:$AD$528,MATCH(LARGE('Calc (scoring engine)'!$K$5:$K$528,5),'Calc (scoring engine)'!$K$5:$K$528,0))="","—",INDEX(Database!$AD$5:$AD$528,MATCH(LARGE('Calc (scoring engine)'!$K$5:$K$528,5),'Calc (scoring engine)'!$K$5:$K$528,0))),""))</ns0:f>
        <ns0:v/>
      </ns0:c>
      <ns0:c r="AB25" s="24">
        <ns0:f>IF(OR(5&gt;MAX(3,MIN(15,N($D$18))),IFERROR(LARGE('Calc (scoring engine)'!$K$5:$K$528,5),-999999)&lt;=-900000),"",IFERROR(IF(INDEX(Database!$AE$5:$AE$528,MATCH(LARGE('Calc (scoring engine)'!$K$5:$K$528,5),'Calc (scoring engine)'!$K$5:$K$528,0))="","—",INDEX(Database!$AE$5:$AE$528,MATCH(LARGE('Calc (scoring engine)'!$K$5:$K$528,5),'Calc (scoring engine)'!$K$5:$K$528,0))),""))</ns0:f>
        <ns0:v/>
      </ns0:c>
      <ns0:c r="AC25" s="24">
        <ns0:f>IF(OR(5&gt;MAX(3,MIN(15,N($D$18))),IFERROR(LARGE('Calc (scoring engine)'!$K$5:$K$528,5),-999999)&lt;=-900000),"",IFERROR(IF(INDEX(Database!$AF$5:$AF$528,MATCH(LARGE('Calc (scoring engine)'!$K$5:$K$528,5),'Calc (scoring engine)'!$K$5:$K$528,0))="","—",INDEX(Database!$AF$5:$AF$528,MATCH(LARGE('Calc (scoring engine)'!$K$5:$K$528,5),'Calc (scoring engine)'!$K$5:$K$528,0))),""))</ns0:f>
        <ns0:v/>
      </ns0:c>
      <ns0:c r="AD25" s="24">
        <ns0:f>IF(OR(5&gt;MAX(3,MIN(15,N($D$18))),IFERROR(LARGE('Calc (scoring engine)'!$K$5:$K$528,5),-999999)&lt;=-900000),"",IFERROR(IF(INDEX(Database!$AG$5:$AG$528,MATCH(LARGE('Calc (scoring engine)'!$K$5:$K$528,5),'Calc (scoring engine)'!$K$5:$K$528,0))="","—",INDEX(Database!$AG$5:$AG$528,MATCH(LARGE('Calc (scoring engine)'!$K$5:$K$528,5),'Calc (scoring engine)'!$K$5:$K$528,0))),""))</ns0:f>
        <ns0:v/>
      </ns0:c>
      <ns0:c r="AE25" s="24">
        <ns0:f>IF(OR(5&gt;MAX(3,MIN(15,N($D$18))),IFERROR(LARGE('Calc (scoring engine)'!$K$5:$K$528,5),-999999)&lt;=-900000),"",IFERROR(IF(INDEX(Database!$AH$5:$AH$528,MATCH(LARGE('Calc (scoring engine)'!$K$5:$K$528,5),'Calc (scoring engine)'!$K$5:$K$528,0))="","—",INDEX(Database!$AH$5:$AH$528,MATCH(LARGE('Calc (scoring engine)'!$K$5:$K$528,5),'Calc (scoring engine)'!$K$5:$K$528,0))),""))</ns0:f>
        <ns0:v/>
      </ns0:c>
      <ns0:c r="AF25" s="38">
        <ns0:f>IF(OR(5&gt;MAX(3,MIN(15,N($D$18))),IFERROR(LARGE('Calc (scoring engine)'!$K$5:$K$528,5),-999999)&lt;=-900000),"",IFERROR(IF(INDEX(Database!$AI$5:$AI$528,MATCH(LARGE('Calc (scoring engine)'!$K$5:$K$528,5),'Calc (scoring engine)'!$K$5:$K$528,0))="","—",INDEX(Database!$AI$5:$AI$528,MATCH(LARGE('Calc (scoring engine)'!$K$5:$K$528,5),'Calc (scoring engine)'!$K$5:$K$528,0))),""))</ns0:f>
        <ns0:v/>
      </ns0:c>
      <ns0:c r="AG25" s="38">
        <ns0:f>IF(OR(5&gt;MAX(3,MIN(15,N($D$18))),IFERROR(LARGE('Calc (scoring engine)'!$K$5:$K$528,5),-999999)&lt;=-900000),"",IFERROR(IF(INDEX(Database!$AJ$5:$AJ$528,MATCH(LARGE('Calc (scoring engine)'!$K$5:$K$528,5),'Calc (scoring engine)'!$K$5:$K$528,0))="","—",INDEX(Database!$AJ$5:$AJ$528,MATCH(LARGE('Calc (scoring engine)'!$K$5:$K$528,5),'Calc (scoring engine)'!$K$5:$K$528,0))),""))</ns0:f>
        <ns0:v/>
      </ns0:c>
      <ns0:c r="AH25" s="38">
        <ns0:f>IF(OR(5&gt;MAX(3,MIN(15,N($D$18))),IFERROR(LARGE('Calc (scoring engine)'!$K$5:$K$528,5),-999999)&lt;=-900000),"",IFERROR(IF(INDEX(Database!$AK$5:$AK$528,MATCH(LARGE('Calc (scoring engine)'!$K$5:$K$528,5),'Calc (scoring engine)'!$K$5:$K$528,0))="","—",INDEX(Database!$AK$5:$AK$528,MATCH(LARGE('Calc (scoring engine)'!$K$5:$K$528,5),'Calc (scoring engine)'!$K$5:$K$528,0))),""))</ns0:f>
        <ns0:v/>
      </ns0:c>
      <ns0:c r="AI25" s="38">
        <ns0:f>IF(OR(5&gt;MAX(3,MIN(15,N($D$18))),IFERROR(LARGE('Calc (scoring engine)'!$K$5:$K$528,5),-999999)&lt;=-900000),"",IFERROR(IF(INDEX(Database!$AL$5:$AL$528,MATCH(LARGE('Calc (scoring engine)'!$K$5:$K$528,5),'Calc (scoring engine)'!$K$5:$K$528,0))="","—",INDEX(Database!$AL$5:$AL$528,MATCH(LARGE('Calc (scoring engine)'!$K$5:$K$528,5),'Calc (scoring engine)'!$K$5:$K$528,0))),""))</ns0:f>
        <ns0:v/>
      </ns0:c>
      <ns0:c r="AJ25" s="38">
        <ns0:f>IF(OR(5&gt;MAX(3,MIN(15,N($D$18))),IFERROR(LARGE('Calc (scoring engine)'!$K$5:$K$528,5),-999999)&lt;=-900000),"",IFERROR(IF(INDEX(Database!$AM$5:$AM$528,MATCH(LARGE('Calc (scoring engine)'!$K$5:$K$528,5),'Calc (scoring engine)'!$K$5:$K$528,0))="","—",INDEX(Database!$AM$5:$AM$528,MATCH(LARGE('Calc (scoring engine)'!$K$5:$K$528,5),'Calc (scoring engine)'!$K$5:$K$528,0))),""))</ns0:f>
        <ns0:v/>
      </ns0:c>
      <ns0:c r="AK25" s="39">
        <ns0:f>IF(OR(5&gt;MAX(3,MIN(15,N($D$18))),IFERROR(LARGE('Calc (scoring engine)'!$K$5:$K$528,5),-999999)&lt;=-900000),"",IFERROR(IF(INDEX(Database!$AN$5:$AN$528,MATCH(LARGE('Calc (scoring engine)'!$K$5:$K$528,5),'Calc (scoring engine)'!$K$5:$K$528,0))="","—",INDEX(Database!$AN$5:$AN$528,MATCH(LARGE('Calc (scoring engine)'!$K$5:$K$528,5),'Calc (scoring engine)'!$K$5:$K$528,0))),""))</ns0:f>
        <ns0:v/>
      </ns0:c>
      <ns0:c r="AL25" s="44">
        <ns0:f>IF(OR(5&gt;MAX(3,MIN(15,N($D$18))),IFERROR(LARGE('Calc (scoring engine)'!$K$5:$K$528,5),-999999)&lt;=-900000),"",IFERROR(IF(INDEX(Database!$AO$5:$AO$528,MATCH(LARGE('Calc (scoring engine)'!$K$5:$K$528,5),'Calc (scoring engine)'!$K$5:$K$528,0))="","—",INDEX(Database!$AO$5:$AO$528,MATCH(LARGE('Calc (scoring engine)'!$K$5:$K$528,5),'Calc (scoring engine)'!$K$5:$K$528,0))),""))</ns0:f>
        <ns0:v/>
      </ns0:c>
      <ns0:c r="AM25" s="38">
        <ns0:f>IF(OR(5&gt;MAX(3,MIN(15,N($D$18))),IFERROR(LARGE('Calc (scoring engine)'!$K$5:$K$528,5),-999999)&lt;=-900000),"",IFERROR(IF(INDEX(Database!$AP$5:$AP$528,MATCH(LARGE('Calc (scoring engine)'!$K$5:$K$528,5),'Calc (scoring engine)'!$K$5:$K$528,0))="","—",INDEX(Database!$AP$5:$AP$528,MATCH(LARGE('Calc (scoring engine)'!$K$5:$K$528,5),'Calc (scoring engine)'!$K$5:$K$528,0))),""))</ns0:f>
        <ns0:v/>
      </ns0:c>
      <ns0:c r="AN25" s="38">
        <ns0:f>IF(OR(5&gt;MAX(3,MIN(15,N($D$18))),IFERROR(LARGE('Calc (scoring engine)'!$K$5:$K$528,5),-999999)&lt;=-900000),"",IFERROR(IF(INDEX(Database!$AQ$5:$AQ$528,MATCH(LARGE('Calc (scoring engine)'!$K$5:$K$528,5),'Calc (scoring engine)'!$K$5:$K$528,0))="","—",INDEX(Database!$AQ$5:$AQ$528,MATCH(LARGE('Calc (scoring engine)'!$K$5:$K$528,5),'Calc (scoring engine)'!$K$5:$K$528,0))),""))</ns0:f>
        <ns0:v/>
      </ns0:c>
      <ns0:c r="AO25" s="38">
        <ns0:f>IF(OR(5&gt;MAX(3,MIN(15,N($D$18))),IFERROR(LARGE('Calc (scoring engine)'!$K$5:$K$528,5),-999999)&lt;=-900000),"",IFERROR(IF(INDEX(Database!$AR$5:$AR$528,MATCH(LARGE('Calc (scoring engine)'!$K$5:$K$528,5),'Calc (scoring engine)'!$K$5:$K$528,0))="","—",INDEX(Database!$AR$5:$AR$528,MATCH(LARGE('Calc (scoring engine)'!$K$5:$K$528,5),'Calc (scoring engine)'!$K$5:$K$528,0))),""))</ns0:f>
        <ns0:v/>
      </ns0:c>
      <ns0:c r="AP25" s="38">
        <ns0:f>IF(OR(5&gt;MAX(3,MIN(15,N($D$18))),IFERROR(LARGE('Calc (scoring engine)'!$K$5:$K$528,5),-999999)&lt;=-900000),"",IFERROR(IF(INDEX(Database!$AS$5:$AS$528,MATCH(LARGE('Calc (scoring engine)'!$K$5:$K$528,5),'Calc (scoring engine)'!$K$5:$K$528,0))="","—",INDEX(Database!$AS$5:$AS$528,MATCH(LARGE('Calc (scoring engine)'!$K$5:$K$528,5),'Calc (scoring engine)'!$K$5:$K$528,0))),""))</ns0:f>
        <ns0:v/>
      </ns0:c>
      <ns0:c r="AQ25" s="38">
        <ns0:f>IF(OR(5&gt;MAX(3,MIN(15,N($D$18))),IFERROR(LARGE('Calc (scoring engine)'!$K$5:$K$528,5),-999999)&lt;=-900000),"",IFERROR(IF(INDEX(Database!$AT$5:$AT$528,MATCH(LARGE('Calc (scoring engine)'!$K$5:$K$528,5),'Calc (scoring engine)'!$K$5:$K$528,0))="","—",INDEX(Database!$AT$5:$AT$528,MATCH(LARGE('Calc (scoring engine)'!$K$5:$K$528,5),'Calc (scoring engine)'!$K$5:$K$528,0))),""))</ns0:f>
        <ns0:v/>
      </ns0:c>
      <ns0:c r="AR25" s="38">
        <ns0:f>IF(OR(5&gt;MAX(3,MIN(15,N($D$18))),IFERROR(LARGE('Calc (scoring engine)'!$K$5:$K$528,5),-999999)&lt;=-900000),"",IFERROR(IF(INDEX(Database!$AU$5:$AU$528,MATCH(LARGE('Calc (scoring engine)'!$K$5:$K$528,5),'Calc (scoring engine)'!$K$5:$K$528,0))="","—",INDEX(Database!$AU$5:$AU$528,MATCH(LARGE('Calc (scoring engine)'!$K$5:$K$528,5),'Calc (scoring engine)'!$K$5:$K$528,0))),""))</ns0:f>
        <ns0:v/>
      </ns0:c>
      <ns0:c r="AS25" s="38">
        <ns0:f>IF(OR(5&gt;MAX(3,MIN(15,N($D$18))),IFERROR(LARGE('Calc (scoring engine)'!$K$5:$K$528,5),-999999)&lt;=-900000),"",IFERROR(IF(INDEX(Database!$AV$5:$AV$528,MATCH(LARGE('Calc (scoring engine)'!$K$5:$K$528,5),'Calc (scoring engine)'!$K$5:$K$528,0))="","—",INDEX(Database!$AV$5:$AV$528,MATCH(LARGE('Calc (scoring engine)'!$K$5:$K$528,5),'Calc (scoring engine)'!$K$5:$K$528,0))),""))</ns0:f>
        <ns0:v/>
      </ns0:c>
      <ns0:c r="AT25" s="38">
        <ns0:f>IF(OR(5&gt;MAX(3,MIN(15,N($D$18))),IFERROR(LARGE('Calc (scoring engine)'!$K$5:$K$528,5),-999999)&lt;=-900000),"",IFERROR(IF(INDEX(Database!$AW$5:$AW$528,MATCH(LARGE('Calc (scoring engine)'!$K$5:$K$528,5),'Calc (scoring engine)'!$K$5:$K$528,0))="","—",INDEX(Database!$AW$5:$AW$528,MATCH(LARGE('Calc (scoring engine)'!$K$5:$K$528,5),'Calc (scoring engine)'!$K$5:$K$528,0))),""))</ns0:f>
        <ns0:v/>
      </ns0:c>
      <ns0:c r="AU25" s="38">
        <ns0:f>IF(OR(5&gt;MAX(3,MIN(15,N($D$18))),IFERROR(LARGE('Calc (scoring engine)'!$K$5:$K$528,5),-999999)&lt;=-900000),"",IFERROR(IF(INDEX(Database!$AX$5:$AX$528,MATCH(LARGE('Calc (scoring engine)'!$K$5:$K$528,5),'Calc (scoring engine)'!$K$5:$K$528,0))="","—",INDEX(Database!$AX$5:$AX$528,MATCH(LARGE('Calc (scoring engine)'!$K$5:$K$528,5),'Calc (scoring engine)'!$K$5:$K$528,0))),""))</ns0:f>
        <ns0:v/>
      </ns0:c>
      <ns0:c r="AV25" s="38">
        <ns0:f>IF(OR(5&gt;MAX(3,MIN(15,N($D$18))),IFERROR(LARGE('Calc (scoring engine)'!$K$5:$K$528,5),-999999)&lt;=-900000),"",IFERROR(IF(INDEX(Database!$AY$5:$AY$528,MATCH(LARGE('Calc (scoring engine)'!$K$5:$K$528,5),'Calc (scoring engine)'!$K$5:$K$528,0))="","—",INDEX(Database!$AY$5:$AY$528,MATCH(LARGE('Calc (scoring engine)'!$K$5:$K$528,5),'Calc (scoring engine)'!$K$5:$K$528,0))),""))</ns0:f>
        <ns0:v/>
      </ns0:c>
      <ns0:c r="AW25" s="38">
        <ns0:f>IF(OR(5&gt;MAX(3,MIN(15,N($D$18))),IFERROR(LARGE('Calc (scoring engine)'!$K$5:$K$528,5),-999999)&lt;=-900000),"",IFERROR(IF(INDEX(Database!$AZ$5:$AZ$528,MATCH(LARGE('Calc (scoring engine)'!$K$5:$K$528,5),'Calc (scoring engine)'!$K$5:$K$528,0))="","—",INDEX(Database!$AZ$5:$AZ$528,MATCH(LARGE('Calc (scoring engine)'!$K$5:$K$528,5),'Calc (scoring engine)'!$K$5:$K$528,0))),""))</ns0:f>
        <ns0:v/>
      </ns0:c>
      <ns0:c r="AX25" s="38">
        <ns0:f>IF(OR(5&gt;MAX(3,MIN(15,N($D$18))),IFERROR(LARGE('Calc (scoring engine)'!$K$5:$K$528,5),-999999)&lt;=-900000),"",IFERROR(IF(INDEX(Database!$BA$5:$BA$528,MATCH(LARGE('Calc (scoring engine)'!$K$5:$K$528,5),'Calc (scoring engine)'!$K$5:$K$528,0))="","—",INDEX(Database!$BA$5:$BA$528,MATCH(LARGE('Calc (scoring engine)'!$K$5:$K$528,5),'Calc (scoring engine)'!$K$5:$K$528,0))),""))</ns0:f>
        <ns0:v/>
      </ns0:c>
      <ns0:c r="AY25" s="38">
        <ns0:f>IF(OR(5&gt;MAX(3,MIN(15,N($D$18))),IFERROR(LARGE('Calc (scoring engine)'!$K$5:$K$528,5),-999999)&lt;=-900000),"",IFERROR(IF(INDEX(Database!$BC$5:$BC$528,MATCH(LARGE('Calc (scoring engine)'!$K$5:$K$528,5),'Calc (scoring engine)'!$K$5:$K$528,0))="","—",INDEX(Database!$BC$5:$BC$528,MATCH(LARGE('Calc (scoring engine)'!$K$5:$K$528,5),'Calc (scoring engine)'!$K$5:$K$528,0))),""))</ns0:f>
        <ns0:v/>
      </ns0:c>
      <ns0:c r="AZ25" s="34">
        <ns0:f>IF(OR(5&gt;MAX(3,MIN(15,N($D$18))),IFERROR(LARGE('Calc (scoring engine)'!$K$5:$K$528,5),-999999)&lt;=-900000),"",IFERROR(IF(INDEX(Database!$BE$5:$BE$528,MATCH(LARGE('Calc (scoring engine)'!$K$5:$K$528,5),'Calc (scoring engine)'!$K$5:$K$528,0))="","—",INDEX(Database!$BE$5:$BE$528,MATCH(LARGE('Calc (scoring engine)'!$K$5:$K$528,5),'Calc (scoring engine)'!$K$5:$K$528,0))),""))</ns0:f>
        <ns0:v/>
      </ns0:c>
      <ns0:c r="BA25" s="34">
        <ns0:f>IF(OR(5&gt;MAX(3,MIN(15,N($D$18))),IFERROR(LARGE('Calc (scoring engine)'!$K$5:$K$528,5),-999999)&lt;=-900000),"",IFERROR(IF(INDEX(Database!$BF$5:$BF$528,MATCH(LARGE('Calc (scoring engine)'!$K$5:$K$528,5),'Calc (scoring engine)'!$K$5:$K$528,0))="","—",INDEX(Database!$BF$5:$BF$528,MATCH(LARGE('Calc (scoring engine)'!$K$5:$K$528,5),'Calc (scoring engine)'!$K$5:$K$528,0))),""))</ns0:f>
        <ns0:v/>
      </ns0:c>
      <ns0:c r="BB25" s="24">
        <ns0:f>IF(OR(5&gt;MAX(3,MIN(15,N($D$18))),IFERROR(LARGE('Calc (scoring engine)'!$K$5:$K$528,5),-999999)&lt;=-900000),"",IFERROR(IF(INDEX(Database!$BG$5:$BG$528,MATCH(LARGE('Calc (scoring engine)'!$K$5:$K$528,5),'Calc (scoring engine)'!$K$5:$K$528,0))="","—",INDEX(Database!$BG$5:$BG$528,MATCH(LARGE('Calc (scoring engine)'!$K$5:$K$528,5),'Calc (scoring engine)'!$K$5:$K$528,0))),""))</ns0:f>
        <ns0:v/>
      </ns0:c>
      <ns0:c r="BC25" s="39">
        <ns0:f>IF(OR(5&gt;MAX(3,MIN(15,N($D$18))),IFERROR(LARGE('Calc (scoring engine)'!$K$5:$K$528,5),-999999)&lt;=-900000),"",IFERROR(IF(N(INDEX(Database!$BH$5:$BH$528,MATCH(LARGE('Calc (scoring engine)'!$K$5:$K$528,5),'Calc (scoring engine)'!$K$5:$K$528,0)))&lt;=0,IF(INDEX(Database!$BG$5:$BG$528,MATCH(LARGE('Calc (scoring engine)'!$K$5:$K$528,5),'Calc (scoring engine)'!$K$5:$K$528,0))="N","n/m","—"),INDEX(Database!$BH$5:$BH$528,MATCH(LARGE('Calc (scoring engine)'!$K$5:$K$528,5),'Calc (scoring engine)'!$K$5:$K$528,0))),""))</ns0:f>
        <ns0:v/>
      </ns0:c>
      <ns0:c r="BD25" s="39">
        <ns0:f>IF(OR(5&gt;MAX(3,MIN(15,N($D$18))),IFERROR(LARGE('Calc (scoring engine)'!$K$5:$K$528,5),-999999)&lt;=-900000),"",IFERROR(IF(INDEX(Database!$BI$5:$BI$528,MATCH(LARGE('Calc (scoring engine)'!$K$5:$K$528,5),'Calc (scoring engine)'!$K$5:$K$528,0))="","—",INDEX(Database!$BI$5:$BI$528,MATCH(LARGE('Calc (scoring engine)'!$K$5:$K$528,5),'Calc (scoring engine)'!$K$5:$K$528,0))),""))</ns0:f>
        <ns0:v/>
      </ns0:c>
      <ns0:c r="BE25" s="39">
        <ns0:f>IF(OR(5&gt;MAX(3,MIN(15,N($D$18))),IFERROR(LARGE('Calc (scoring engine)'!$K$5:$K$528,5),-999999)&lt;=-900000),"",IFERROR(IF(INDEX(Database!$BJ$5:$BJ$528,MATCH(LARGE('Calc (scoring engine)'!$K$5:$K$528,5),'Calc (scoring engine)'!$K$5:$K$528,0))="","—",INDEX(Database!$BJ$5:$BJ$528,MATCH(LARGE('Calc (scoring engine)'!$K$5:$K$528,5),'Calc (scoring engine)'!$K$5:$K$528,0))),""))</ns0:f>
        <ns0:v/>
      </ns0:c>
      <ns0:c r="BF25" s="39">
        <ns0:f>IF(OR(5&gt;MAX(3,MIN(15,N($D$18))),IFERROR(LARGE('Calc (scoring engine)'!$K$5:$K$528,5),-999999)&lt;=-900000),"",IFERROR(IF(INDEX(Database!$BK$5:$BK$528,MATCH(LARGE('Calc (scoring engine)'!$K$5:$K$528,5),'Calc (scoring engine)'!$K$5:$K$528,0))="","—",INDEX(Database!$BK$5:$BK$528,MATCH(LARGE('Calc (scoring engine)'!$K$5:$K$528,5),'Calc (scoring engine)'!$K$5:$K$528,0))),""))</ns0:f>
        <ns0:v/>
      </ns0:c>
      <ns0:c r="BG25" s="39">
        <ns0:f>IF(OR(5&gt;MAX(3,MIN(15,N($D$18))),IFERROR(LARGE('Calc (scoring engine)'!$K$5:$K$528,5),-999999)&lt;=-900000),"",IFERROR(IF(INDEX(Database!$BL$5:$BL$528,MATCH(LARGE('Calc (scoring engine)'!$K$5:$K$528,5),'Calc (scoring engine)'!$K$5:$K$528,0))="","—",INDEX(Database!$BL$5:$BL$528,MATCH(LARGE('Calc (scoring engine)'!$K$5:$K$528,5),'Calc (scoring engine)'!$K$5:$K$528,0))),""))</ns0:f>
        <ns0:v/>
      </ns0:c>
      <ns0:c r="BH25" s="39">
        <ns0:f>IF(OR(5&gt;MAX(3,MIN(15,N($D$18))),IFERROR(LARGE('Calc (scoring engine)'!$K$5:$K$528,5),-999999)&lt;=-900000),"",IFERROR(IFERROR(BDP(TEXT(INDEX(Database!$A$5:$A$528,MATCH(LARGE('Calc (scoring engine)'!$K$5:$K$528,5),'Calc (scoring engine)'!$K$5:$K$528,0)),"0")&amp;" HK Equity","PE_RATIO"),IF(INDEX(Database!$BJ$5:$BJ$528,MATCH(LARGE('Calc (scoring engine)'!$K$5:$K$528,5),'Calc (scoring engine)'!$K$5:$K$528,0))="","—",INDEX(Database!$BJ$5:$BJ$528,MATCH(LARGE('Calc (scoring engine)'!$K$5:$K$528,5),'Calc (scoring engine)'!$K$5:$K$528,0)))),""))</ns0:f>
        <ns0:v/>
      </ns0:c>
      <ns0:c r="BI25" s="39">
        <ns0:f>IF(OR(5&gt;MAX(3,MIN(15,N($D$18))),IFERROR(LARGE('Calc (scoring engine)'!$K$5:$K$528,5),-999999)&lt;=-900000),"",IFERROR(IFERROR(BDP(TEXT(INDEX(Database!$A$5:$A$528,MATCH(LARGE('Calc (scoring engine)'!$K$5:$K$528,5),'Calc (scoring engine)'!$K$5:$K$528,0)),"0")&amp;" HK Equity","PX_TO_SALES_RATIO"),IF(INDEX(Database!$BK$5:$BK$528,MATCH(LARGE('Calc (scoring engine)'!$K$5:$K$528,5),'Calc (scoring engine)'!$K$5:$K$528,0))="","—",INDEX(Database!$BK$5:$BK$528,MATCH(LARGE('Calc (scoring engine)'!$K$5:$K$528,5),'Calc (scoring engine)'!$K$5:$K$528,0)))),""))</ns0:f>
        <ns0:v/>
      </ns0:c>
      <ns0:c r="BJ25" s="24">
        <ns0:f>IF(OR(5&gt;MAX(3,MIN(15,N($D$18))),IFERROR(LARGE('Calc (scoring engine)'!$K$5:$K$528,5),-999999)&lt;=-900000),"",IFERROR(IF(INDEX(Database!$BM$5:$BM$528,MATCH(LARGE('Calc (scoring engine)'!$K$5:$K$528,5),'Calc (scoring engine)'!$K$5:$K$528,0))="","—",INDEX(Database!$BM$5:$BM$528,MATCH(LARGE('Calc (scoring engine)'!$K$5:$K$528,5),'Calc (scoring engine)'!$K$5:$K$528,0))),""))</ns0:f>
        <ns0:v/>
      </ns0:c>
      <ns0:c r="BK25" s="24">
        <ns0:f>IF(OR(5&gt;MAX(3,MIN(15,N($D$18))),IFERROR(LARGE('Calc (scoring engine)'!$K$5:$K$528,5),-999999)&lt;=-900000),"",IFERROR(IF(INDEX(Database!$BN$5:$BN$528,MATCH(LARGE('Calc (scoring engine)'!$K$5:$K$528,5),'Calc (scoring engine)'!$K$5:$K$528,0))="","—",INDEX(Database!$BN$5:$BN$528,MATCH(LARGE('Calc (scoring engine)'!$K$5:$K$528,5),'Calc (scoring engine)'!$K$5:$K$528,0))),""))</ns0:f>
        <ns0:v/>
      </ns0:c>
      <ns0:c r="BL25" s="38">
        <ns0:f>IF(OR(5&gt;MAX(3,MIN(15,N($D$18))),IFERROR(LARGE('Calc (scoring engine)'!$K$5:$K$528,5),-999999)&lt;=-900000),"",IFERROR(IF(INDEX(Database!$BO$5:$BO$528,MATCH(LARGE('Calc (scoring engine)'!$K$5:$K$528,5),'Calc (scoring engine)'!$K$5:$K$528,0))="","—",INDEX(Database!$BO$5:$BO$528,MATCH(LARGE('Calc (scoring engine)'!$K$5:$K$528,5),'Calc (scoring engine)'!$K$5:$K$528,0))),""))</ns0:f>
        <ns0:v/>
      </ns0:c>
      <ns0:c r="BM25" s="54">
        <ns0:f>IF(OR(5&gt;MAX(3,MIN(15,N($D$18))),IFERROR(LARGE('Calc (scoring engine)'!$K$5:$K$528,5),-999999)&lt;=-900000),"",IFERROR(IF(INDEX(Database!$BP$5:$BP$528,MATCH(LARGE('Calc (scoring engine)'!$K$5:$K$528,5),'Calc (scoring engine)'!$K$5:$K$528,0))="","—",INDEX(Database!$BP$5:$BP$528,MATCH(LARGE('Calc (scoring engine)'!$K$5:$K$528,5),'Calc (scoring engine)'!$K$5:$K$528,0))),""))</ns0:f>
        <ns0:v/>
      </ns0:c>
      <ns0:c r="BN25" s="58">
        <ns0:f>IF(OR(5&gt;MAX(3,MIN(15,N($D$18))),IFERROR(LARGE('Calc (scoring engine)'!$K$5:$K$528,5),-999999)&lt;=-900000),"",IFERROR(IF(INDEX(Database!$BQ$5:$BQ$528,MATCH(LARGE('Calc (scoring engine)'!$K$5:$K$528,5),'Calc (scoring engine)'!$K$5:$K$528,0))="","—",INDEX(Database!$BQ$5:$BQ$528,MATCH(LARGE('Calc (scoring engine)'!$K$5:$K$528,5),'Calc (scoring engine)'!$K$5:$K$528,0))),""))</ns0:f>
        <ns0:v/>
      </ns0:c>
      <ns0:c r="BO25" s="34">
        <ns0:f>IF(OR(5&gt;MAX(3,MIN(15,N($D$18))),IFERROR(LARGE('Calc (scoring engine)'!$K$5:$K$528,5),-999999)&lt;=-900000),"",IFERROR(IF(INDEX(Database!$BR$5:$BR$528,MATCH(LARGE('Calc (scoring engine)'!$K$5:$K$528,5),'Calc (scoring engine)'!$K$5:$K$528,0))="","—",INDEX(Database!$BR$5:$BR$528,MATCH(LARGE('Calc (scoring engine)'!$K$5:$K$528,5),'Calc (scoring engine)'!$K$5:$K$528,0))),""))</ns0:f>
        <ns0:v/>
      </ns0:c>
      <ns0:c r="BP25" s="39">
        <ns0:f>IF(OR(5&gt;MAX(3,MIN(15,N($D$18))),IFERROR(LARGE('Calc (scoring engine)'!$K$5:$K$528,5),-999999)&lt;=-900000),"",IFERROR(IF(INDEX(Database!$BS$5:$BS$528,MATCH(LARGE('Calc (scoring engine)'!$K$5:$K$528,5),'Calc (scoring engine)'!$K$5:$K$528,0))="","—",INDEX(Database!$BS$5:$BS$528,MATCH(LARGE('Calc (scoring engine)'!$K$5:$K$528,5),'Calc (scoring engine)'!$K$5:$K$528,0))),""))</ns0:f>
        <ns0:v/>
      </ns0:c>
      <ns0:c r="BQ25" s="39">
        <ns0:f>IF(OR(5&gt;MAX(3,MIN(15,N($D$18))),IFERROR(LARGE('Calc (scoring engine)'!$K$5:$K$528,5),-999999)&lt;=-900000),"",IFERROR(IF(INDEX(Database!$BT$5:$BT$528,MATCH(LARGE('Calc (scoring engine)'!$K$5:$K$528,5),'Calc (scoring engine)'!$K$5:$K$528,0))="","—",INDEX(Database!$BT$5:$BT$528,MATCH(LARGE('Calc (scoring engine)'!$K$5:$K$528,5),'Calc (scoring engine)'!$K$5:$K$528,0))),""))</ns0:f>
        <ns0:v/>
      </ns0:c>
      <ns0:c r="BR25" s="24">
        <ns0:f>IF(OR(5&gt;MAX(3,MIN(15,N($D$18))),IFERROR(LARGE('Calc (scoring engine)'!$K$5:$K$528,5),-999999)&lt;=-900000),"",IFERROR(IF(INDEX(Database!$BU$5:$BU$528,MATCH(LARGE('Calc (scoring engine)'!$K$5:$K$528,5),'Calc (scoring engine)'!$K$5:$K$528,0))="","—",INDEX(Database!$BU$5:$BU$528,MATCH(LARGE('Calc (scoring engine)'!$K$5:$K$528,5),'Calc (scoring engine)'!$K$5:$K$528,0))),""))</ns0:f>
        <ns0:v/>
      </ns0:c>
      <ns0:c r="BS25" s="24">
        <ns0:f>IF(OR(5&gt;MAX(3,MIN(15,N($D$18))),IFERROR(LARGE('Calc (scoring engine)'!$K$5:$K$528,5),-999999)&lt;=-900000),"",IFERROR(IF(INDEX(Database!$BW$5:$BW$528,MATCH(LARGE('Calc (scoring engine)'!$K$5:$K$528,5),'Calc (scoring engine)'!$K$5:$K$528,0))="","—",INDEX(Database!$BW$5:$BW$528,MATCH(LARGE('Calc (scoring engine)'!$K$5:$K$528,5),'Calc (scoring engine)'!$K$5:$K$528,0))),""))</ns0:f>
        <ns0:v/>
      </ns0:c>
      <ns0:c r="BT25" s="57">
        <ns0:f>IF(OR(5&gt;MAX(3,MIN(15,N($D$18))),IFERROR(LARGE('Calc (scoring engine)'!$K$5:$K$528,5),-999999)&lt;=-900000),"",IFERROR(IF(INDEX('Calc (scoring engine)'!$H$5:$H$528,MATCH(LARGE('Calc (scoring engine)'!$K$5:$K$528,5),'Calc (scoring engine)'!$K$5:$K$528,0))&gt;0,INDEX('Calc (scoring engine)'!$H$5:$H$528,MATCH(LARGE('Calc (scoring engine)'!$K$5:$K$528,5),'Calc (scoring engine)'!$K$5:$K$528,0)),""),""))</ns0:f>
        <ns0:v/>
      </ns0:c>
      <ns0:c r="BU25" s="24">
        <ns0:f>IF(OR(5&gt;MAX(3,MIN(15,N($D$18))),IFERROR(LARGE('Calc (scoring engine)'!$K$5:$K$528,5),-999999)&lt;=-900000),"",IF(IFERROR(INDEX('Calc (scoring engine)'!$B$5:$B$528,MATCH(LARGE('Calc (scoring engine)'!$K$5:$K$528,5),'Calc (scoring engine)'!$K$5:$K$528,0)),0)=1,"same subsector","sector only"))</ns0:f>
        <ns0:v/>
      </ns0:c>
      <ns0:c r="BV25" s="57">
        <ns0:f>IF(OR(5&gt;MAX(3,MIN(15,N($D$18))),IFERROR(LARGE('Calc (scoring engine)'!$K$5:$K$528,5),-999999)&lt;=-900000),"",ROUND(IFERROR(LARGE('Calc (scoring engine)'!$K$5:$K$528,5),0),0))</ns0:f>
        <ns0:v/>
      </ns0:c>
      <ns0:c r="BW25" s="24">
        <ns0:f>IF(OR(5&gt;MAX(3,MIN(15,N($D$18))),IFERROR(LARGE('Calc (scoring engine)'!$K$5:$K$528,5),-999999)&lt;=-900000),"",IFERROR("sub "&amp;INDEX('Calc (scoring engine)'!$B$5:$B$528,MATCH(LARGE('Calc (scoring engine)'!$K$5:$K$528,5),'Calc (scoring engine)'!$K$5:$K$528,0))*W_SUB&amp;" + size "&amp;ROUND(INDEX('Calc (scoring engine)'!$D$5:$D$528,MATCH(LARGE('Calc (scoring engine)'!$K$5:$K$528,5),'Calc (scoring engine)'!$K$5:$K$528,0))*W_SIZE,0)&amp;" + prof "&amp;INDEX('Calc (scoring engine)'!$E$5:$E$528,MATCH(LARGE('Calc (scoring engine)'!$K$5:$K$528,5),'Calc (scoring engine)'!$K$5:$K$528,0))*W_PROF&amp;" + recency "&amp;ROUND(INDEX('Calc (scoring engine)'!$G$5:$G$528,MATCH(LARGE('Calc (scoring engine)'!$K$5:$K$528,5),'Calc (scoring engine)'!$K$5:$K$528,0))*W_REC,0)&amp;IF(INDEX('Calc (scoring engine)'!$H$5:$H$528,MATCH(LARGE('Calc (scoring engine)'!$K$5:$K$528,5),'Calc (scoring engine)'!$K$5:$K$528,0))&gt;0," + shared CS x"&amp;INDEX('Calc (scoring engine)'!$H$5:$H$528,MATCH(LARGE('Calc (scoring engine)'!$K$5:$K$528,5),'Calc (scoring engine)'!$K$5:$K$528,0)),""),""))</ns0:f>
        <ns0:v/>
      </ns0:c>
    </ns0:row>
    <ns0:row r="26">
      <ns0:c r="A26" s="52">
        <ns0:f>IF(OR(6&gt;MAX(3,MIN(15,N($D$18))),IFERROR(LARGE('Calc (scoring engine)'!$K$5:$K$528,6),-999999)&lt;=-900000),"",6)</ns0:f>
        <ns0:v/>
      </ns0:c>
      <ns0:c r="B26" s="24">
        <ns0:f>IF(OR(6&gt;MAX(3,MIN(15,N($D$18))),IFERROR(LARGE('Calc (scoring engine)'!$K$5:$K$528,6),-999999)&lt;=-900000),"",IFERROR(IF(INDEX(Database!$B$5:$B$528,MATCH(LARGE('Calc (scoring engine)'!$K$5:$K$528,6),'Calc (scoring engine)'!$K$5:$K$528,0))="","—",INDEX(Database!$B$5:$B$528,MATCH(LARGE('Calc (scoring engine)'!$K$5:$K$528,6),'Calc (scoring engine)'!$K$5:$K$528,0))),""))</ns0:f>
        <ns0:v/>
      </ns0:c>
      <ns0:c r="C26" s="53">
        <ns0:f>IF(OR(6&gt;MAX(3,MIN(15,N($D$18))),IFERROR(LARGE('Calc (scoring engine)'!$K$5:$K$528,6),-999999)&lt;=-900000),"",IFERROR(IF(INDEX(Database!$A$5:$A$528,MATCH(LARGE('Calc (scoring engine)'!$K$5:$K$528,6),'Calc (scoring engine)'!$K$5:$K$528,0))="","—",INDEX(Database!$A$5:$A$528,MATCH(LARGE('Calc (scoring engine)'!$K$5:$K$528,6),'Calc (scoring engine)'!$K$5:$K$528,0))),""))</ns0:f>
        <ns0:v/>
      </ns0:c>
      <ns0:c r="D26" s="24">
        <ns0:f>IF(OR(6&gt;MAX(3,MIN(15,N($D$18))),IFERROR(LARGE('Calc (scoring engine)'!$K$5:$K$528,6),-999999)&lt;=-900000),"",IFERROR(IF(INDEX(Database!$D$5:$D$528,MATCH(LARGE('Calc (scoring engine)'!$K$5:$K$528,6),'Calc (scoring engine)'!$K$5:$K$528,0))="","—",INDEX(Database!$D$5:$D$528,MATCH(LARGE('Calc (scoring engine)'!$K$5:$K$528,6),'Calc (scoring engine)'!$K$5:$K$528,0))),""))</ns0:f>
        <ns0:v/>
      </ns0:c>
      <ns0:c r="E26" s="24">
        <ns0:f>IF(OR(6&gt;MAX(3,MIN(15,N($D$18))),IFERROR(LARGE('Calc (scoring engine)'!$K$5:$K$528,6),-999999)&lt;=-900000),"",IFERROR(IF(INDEX(Database!$E$5:$E$528,MATCH(LARGE('Calc (scoring engine)'!$K$5:$K$528,6),'Calc (scoring engine)'!$K$5:$K$528,0))="","—",INDEX(Database!$E$5:$E$528,MATCH(LARGE('Calc (scoring engine)'!$K$5:$K$528,6),'Calc (scoring engine)'!$K$5:$K$528,0))),""))</ns0:f>
        <ns0:v/>
      </ns0:c>
      <ns0:c r="F26" s="24">
        <ns0:f>IF(OR(6&gt;MAX(3,MIN(15,N($D$18))),IFERROR(LARGE('Calc (scoring engine)'!$K$5:$K$528,6),-999999)&lt;=-900000),"",IFERROR(IF(INDEX(Database!$F$5:$F$528,MATCH(LARGE('Calc (scoring engine)'!$K$5:$K$528,6),'Calc (scoring engine)'!$K$5:$K$528,0))="","—",INDEX(Database!$F$5:$F$528,MATCH(LARGE('Calc (scoring engine)'!$K$5:$K$528,6),'Calc (scoring engine)'!$K$5:$K$528,0))),""))</ns0:f>
        <ns0:v/>
      </ns0:c>
      <ns0:c r="G26" s="24">
        <ns0:f>IF(OR(6&gt;MAX(3,MIN(15,N($D$18))),IFERROR(LARGE('Calc (scoring engine)'!$K$5:$K$528,6),-999999)&lt;=-900000),"",IFERROR(IF(INDEX(Database!$G$5:$G$528,MATCH(LARGE('Calc (scoring engine)'!$K$5:$K$528,6),'Calc (scoring engine)'!$K$5:$K$528,0))="","—",INDEX(Database!$G$5:$G$528,MATCH(LARGE('Calc (scoring engine)'!$K$5:$K$528,6),'Calc (scoring engine)'!$K$5:$K$528,0))),""))</ns0:f>
        <ns0:v/>
      </ns0:c>
      <ns0:c r="H26" s="36">
        <ns0:f>IF(OR(6&gt;MAX(3,MIN(15,N($D$18))),IFERROR(LARGE('Calc (scoring engine)'!$K$5:$K$528,6),-999999)&lt;=-900000),"",IFERROR(IF(INDEX(Database!$H$5:$H$528,MATCH(LARGE('Calc (scoring engine)'!$K$5:$K$528,6),'Calc (scoring engine)'!$K$5:$K$528,0))="","—",INDEX(Database!$H$5:$H$528,MATCH(LARGE('Calc (scoring engine)'!$K$5:$K$528,6),'Calc (scoring engine)'!$K$5:$K$528,0))),""))</ns0:f>
        <ns0:v/>
      </ns0:c>
      <ns0:c r="I26" s="34">
        <ns0:f>IF(OR(6&gt;MAX(3,MIN(15,N($D$18))),IFERROR(LARGE('Calc (scoring engine)'!$K$5:$K$528,6),-999999)&lt;=-900000),"",IFERROR(IF(INDEX(Database!$I$5:$I$528,MATCH(LARGE('Calc (scoring engine)'!$K$5:$K$528,6),'Calc (scoring engine)'!$K$5:$K$528,0))="","—",INDEX(Database!$I$5:$I$528,MATCH(LARGE('Calc (scoring engine)'!$K$5:$K$528,6),'Calc (scoring engine)'!$K$5:$K$528,0))),""))</ns0:f>
        <ns0:v/>
      </ns0:c>
      <ns0:c r="J26" s="54">
        <ns0:f>IF(OR(6&gt;MAX(3,MIN(15,N($D$18))),IFERROR(LARGE('Calc (scoring engine)'!$K$5:$K$528,6),-999999)&lt;=-900000),"",IFERROR(IF(INDEX(Database!$K$5:$K$528,MATCH(LARGE('Calc (scoring engine)'!$K$5:$K$528,6),'Calc (scoring engine)'!$K$5:$K$528,0))="","—",INDEX(Database!$K$5:$K$528,MATCH(LARGE('Calc (scoring engine)'!$K$5:$K$528,6),'Calc (scoring engine)'!$K$5:$K$528,0))),""))</ns0:f>
        <ns0:v/>
      </ns0:c>
      <ns0:c r="K26" s="54">
        <ns0:f>IF(OR(6&gt;MAX(3,MIN(15,N($D$18))),IFERROR(LARGE('Calc (scoring engine)'!$K$5:$K$528,6),-999999)&lt;=-900000),"",IFERROR(IF(INDEX(Database!$L$5:$L$528,MATCH(LARGE('Calc (scoring engine)'!$K$5:$K$528,6),'Calc (scoring engine)'!$K$5:$K$528,0))="","—",INDEX(Database!$L$5:$L$528,MATCH(LARGE('Calc (scoring engine)'!$K$5:$K$528,6),'Calc (scoring engine)'!$K$5:$K$528,0))),""))</ns0:f>
        <ns0:v/>
      </ns0:c>
      <ns0:c r="L26" s="54">
        <ns0:f>IF(OR(6&gt;MAX(3,MIN(15,N($D$18))),IFERROR(LARGE('Calc (scoring engine)'!$K$5:$K$528,6),-999999)&lt;=-900000),"",IFERROR(IF(INDEX(Database!$M$5:$M$528,MATCH(LARGE('Calc (scoring engine)'!$K$5:$K$528,6),'Calc (scoring engine)'!$K$5:$K$528,0))="","—",INDEX(Database!$M$5:$M$528,MATCH(LARGE('Calc (scoring engine)'!$K$5:$K$528,6),'Calc (scoring engine)'!$K$5:$K$528,0))),""))</ns0:f>
        <ns0:v/>
      </ns0:c>
      <ns0:c r="M26" s="24">
        <ns0:f>IF(OR(6&gt;MAX(3,MIN(15,N($D$18))),IFERROR(LARGE('Calc (scoring engine)'!$K$5:$K$528,6),-999999)&lt;=-900000),"",IFERROR(IF(INDEX(Database!$N$5:$N$528,MATCH(LARGE('Calc (scoring engine)'!$K$5:$K$528,6),'Calc (scoring engine)'!$K$5:$K$528,0))="","—",INDEX(Database!$N$5:$N$528,MATCH(LARGE('Calc (scoring engine)'!$K$5:$K$528,6),'Calc (scoring engine)'!$K$5:$K$528,0))),""))</ns0:f>
        <ns0:v/>
      </ns0:c>
      <ns0:c r="N26" s="44">
        <ns0:f>IF(OR(6&gt;MAX(3,MIN(15,N($D$18))),IFERROR(LARGE('Calc (scoring engine)'!$K$5:$K$528,6),-999999)&lt;=-900000),"",IFERROR(IF(INDEX(Database!$O$5:$O$528,MATCH(LARGE('Calc (scoring engine)'!$K$5:$K$528,6),'Calc (scoring engine)'!$K$5:$K$528,0))="","—",INDEX(Database!$O$5:$O$528,MATCH(LARGE('Calc (scoring engine)'!$K$5:$K$528,6),'Calc (scoring engine)'!$K$5:$K$528,0))),""))</ns0:f>
        <ns0:v/>
      </ns0:c>
      <ns0:c r="O26" s="44">
        <ns0:f>IF(OR(6&gt;MAX(3,MIN(15,N($D$18))),IFERROR(LARGE('Calc (scoring engine)'!$K$5:$K$528,6),-999999)&lt;=-900000),"",IFERROR(IF(INDEX(Database!$P$5:$P$528,MATCH(LARGE('Calc (scoring engine)'!$K$5:$K$528,6),'Calc (scoring engine)'!$K$5:$K$528,0))="","—",INDEX(Database!$P$5:$P$528,MATCH(LARGE('Calc (scoring engine)'!$K$5:$K$528,6),'Calc (scoring engine)'!$K$5:$K$528,0))),""))</ns0:f>
        <ns0:v/>
      </ns0:c>
      <ns0:c r="P26" s="34">
        <ns0:f>IF(OR(6&gt;MAX(3,MIN(15,N($D$18))),IFERROR(LARGE('Calc (scoring engine)'!$K$5:$K$528,6),-999999)&lt;=-900000),"",IFERROR(IF(INDEX(Database!$Q$5:$Q$528,MATCH(LARGE('Calc (scoring engine)'!$K$5:$K$528,6),'Calc (scoring engine)'!$K$5:$K$528,0))="","—",INDEX(Database!$Q$5:$Q$528,MATCH(LARGE('Calc (scoring engine)'!$K$5:$K$528,6),'Calc (scoring engine)'!$K$5:$K$528,0))),""))</ns0:f>
        <ns0:v/>
      </ns0:c>
      <ns0:c r="Q26" s="41">
        <ns0:f>IF(OR(6&gt;MAX(3,MIN(15,N($D$18))),IFERROR(LARGE('Calc (scoring engine)'!$K$5:$K$528,6),-999999)&lt;=-900000),"",IFERROR(IF(INDEX(Database!$S$5:$S$528,MATCH(LARGE('Calc (scoring engine)'!$K$5:$K$528,6),'Calc (scoring engine)'!$K$5:$K$528,0))="","—",INDEX(Database!$S$5:$S$528,MATCH(LARGE('Calc (scoring engine)'!$K$5:$K$528,6),'Calc (scoring engine)'!$K$5:$K$528,0))),""))</ns0:f>
        <ns0:v/>
      </ns0:c>
      <ns0:c r="R26" s="55">
        <ns0:f>IF(OR(6&gt;MAX(3,MIN(15,N($D$18))),IFERROR(LARGE('Calc (scoring engine)'!$K$5:$K$528,6),-999999)&lt;=-900000),"",IFERROR(IF(INDEX(Database!$T$5:$T$528,MATCH(LARGE('Calc (scoring engine)'!$K$5:$K$528,6),'Calc (scoring engine)'!$K$5:$K$528,0))="","—",INDEX(Database!$T$5:$T$528,MATCH(LARGE('Calc (scoring engine)'!$K$5:$K$528,6),'Calc (scoring engine)'!$K$5:$K$528,0))),""))</ns0:f>
        <ns0:v/>
      </ns0:c>
      <ns0:c r="S26" s="56">
        <ns0:f>IF(OR(6&gt;MAX(3,MIN(15,N($D$18))),IFERROR(LARGE('Calc (scoring engine)'!$K$5:$K$528,6),-999999)&lt;=-900000),"",IFERROR(IF(INDEX(Database!$U$5:$U$528,MATCH(LARGE('Calc (scoring engine)'!$K$5:$K$528,6),'Calc (scoring engine)'!$K$5:$K$528,0))="","—",INDEX(Database!$U$5:$U$528,MATCH(LARGE('Calc (scoring engine)'!$K$5:$K$528,6),'Calc (scoring engine)'!$K$5:$K$528,0))),""))</ns0:f>
        <ns0:v/>
      </ns0:c>
      <ns0:c r="T26" s="57">
        <ns0:f>IF(OR(6&gt;MAX(3,MIN(15,N($D$18))),IFERROR(LARGE('Calc (scoring engine)'!$K$5:$K$528,6),-999999)&lt;=-900000),"",IFERROR(IF(INDEX(Database!$V$5:$V$528,MATCH(LARGE('Calc (scoring engine)'!$K$5:$K$528,6),'Calc (scoring engine)'!$K$5:$K$528,0))="","—",INDEX(Database!$V$5:$V$528,MATCH(LARGE('Calc (scoring engine)'!$K$5:$K$528,6),'Calc (scoring engine)'!$K$5:$K$528,0))),""))</ns0:f>
        <ns0:v/>
      </ns0:c>
      <ns0:c r="U26" s="44">
        <ns0:f>IF(OR(6&gt;MAX(3,MIN(15,N($D$18))),IFERROR(LARGE('Calc (scoring engine)'!$K$5:$K$528,6),-999999)&lt;=-900000),"",IFERROR(IF(INDEX(Database!$W$5:$W$528,MATCH(LARGE('Calc (scoring engine)'!$K$5:$K$528,6),'Calc (scoring engine)'!$K$5:$K$528,0))="","—",INDEX(Database!$W$5:$W$528,MATCH(LARGE('Calc (scoring engine)'!$K$5:$K$528,6),'Calc (scoring engine)'!$K$5:$K$528,0))),""))</ns0:f>
        <ns0:v/>
      </ns0:c>
      <ns0:c r="V26" s="24">
        <ns0:f>IF(OR(6&gt;MAX(3,MIN(15,N($D$18))),IFERROR(LARGE('Calc (scoring engine)'!$K$5:$K$528,6),-999999)&lt;=-900000),"",IFERROR(IF(INDEX(Database!$X$5:$X$528,MATCH(LARGE('Calc (scoring engine)'!$K$5:$K$528,6),'Calc (scoring engine)'!$K$5:$K$528,0))="","—",INDEX(Database!$X$5:$X$528,MATCH(LARGE('Calc (scoring engine)'!$K$5:$K$528,6),'Calc (scoring engine)'!$K$5:$K$528,0))),""))</ns0:f>
        <ns0:v/>
      </ns0:c>
      <ns0:c r="W26" s="34">
        <ns0:f>IF(OR(6&gt;MAX(3,MIN(15,N($D$18))),IFERROR(LARGE('Calc (scoring engine)'!$K$5:$K$528,6),-999999)&lt;=-900000),"",IFERROR(IF(INDEX(Database!$Y$5:$Y$528,MATCH(LARGE('Calc (scoring engine)'!$K$5:$K$528,6),'Calc (scoring engine)'!$K$5:$K$528,0))="","—",INDEX(Database!$Y$5:$Y$528,MATCH(LARGE('Calc (scoring engine)'!$K$5:$K$528,6),'Calc (scoring engine)'!$K$5:$K$528,0))),""))</ns0:f>
        <ns0:v/>
      </ns0:c>
      <ns0:c r="X26" s="34">
        <ns0:f>IF(OR(6&gt;MAX(3,MIN(15,N($D$18))),IFERROR(LARGE('Calc (scoring engine)'!$K$5:$K$528,6),-999999)&lt;=-900000),"",IFERROR(IF(INDEX(Database!$Z$5:$Z$528,MATCH(LARGE('Calc (scoring engine)'!$K$5:$K$528,6),'Calc (scoring engine)'!$K$5:$K$528,0))="","—",INDEX(Database!$Z$5:$Z$528,MATCH(LARGE('Calc (scoring engine)'!$K$5:$K$528,6),'Calc (scoring engine)'!$K$5:$K$528,0))),""))</ns0:f>
        <ns0:v/>
      </ns0:c>
      <ns0:c r="Y26" s="44">
        <ns0:f>IF(OR(6&gt;MAX(3,MIN(15,N($D$18))),IFERROR(LARGE('Calc (scoring engine)'!$K$5:$K$528,6),-999999)&lt;=-900000),"",IFERROR(IF(INDEX(Database!$AA$5:$AA$528,MATCH(LARGE('Calc (scoring engine)'!$K$5:$K$528,6),'Calc (scoring engine)'!$K$5:$K$528,0))="","—",INDEX(Database!$AA$5:$AA$528,MATCH(LARGE('Calc (scoring engine)'!$K$5:$K$528,6),'Calc (scoring engine)'!$K$5:$K$528,0))),""))</ns0:f>
        <ns0:v/>
      </ns0:c>
      <ns0:c r="Z26" s="24">
        <ns0:f>IF(OR(6&gt;MAX(3,MIN(15,N($D$18))),IFERROR(LARGE('Calc (scoring engine)'!$K$5:$K$528,6),-999999)&lt;=-900000),"",IFERROR(IF(INDEX(Database!$AB$5:$AB$528,MATCH(LARGE('Calc (scoring engine)'!$K$5:$K$528,6),'Calc (scoring engine)'!$K$5:$K$528,0))="","—",INDEX(Database!$AB$5:$AB$528,MATCH(LARGE('Calc (scoring engine)'!$K$5:$K$528,6),'Calc (scoring engine)'!$K$5:$K$528,0))),""))</ns0:f>
        <ns0:v/>
      </ns0:c>
      <ns0:c r="AA26" s="44">
        <ns0:f>IF(OR(6&gt;MAX(3,MIN(15,N($D$18))),IFERROR(LARGE('Calc (scoring engine)'!$K$5:$K$528,6),-999999)&lt;=-900000),"",IFERROR(IF(INDEX(Database!$AD$5:$AD$528,MATCH(LARGE('Calc (scoring engine)'!$K$5:$K$528,6),'Calc (scoring engine)'!$K$5:$K$528,0))="","—",INDEX(Database!$AD$5:$AD$528,MATCH(LARGE('Calc (scoring engine)'!$K$5:$K$528,6),'Calc (scoring engine)'!$K$5:$K$528,0))),""))</ns0:f>
        <ns0:v/>
      </ns0:c>
      <ns0:c r="AB26" s="24">
        <ns0:f>IF(OR(6&gt;MAX(3,MIN(15,N($D$18))),IFERROR(LARGE('Calc (scoring engine)'!$K$5:$K$528,6),-999999)&lt;=-900000),"",IFERROR(IF(INDEX(Database!$AE$5:$AE$528,MATCH(LARGE('Calc (scoring engine)'!$K$5:$K$528,6),'Calc (scoring engine)'!$K$5:$K$528,0))="","—",INDEX(Database!$AE$5:$AE$528,MATCH(LARGE('Calc (scoring engine)'!$K$5:$K$528,6),'Calc (scoring engine)'!$K$5:$K$528,0))),""))</ns0:f>
        <ns0:v/>
      </ns0:c>
      <ns0:c r="AC26" s="24">
        <ns0:f>IF(OR(6&gt;MAX(3,MIN(15,N($D$18))),IFERROR(LARGE('Calc (scoring engine)'!$K$5:$K$528,6),-999999)&lt;=-900000),"",IFERROR(IF(INDEX(Database!$AF$5:$AF$528,MATCH(LARGE('Calc (scoring engine)'!$K$5:$K$528,6),'Calc (scoring engine)'!$K$5:$K$528,0))="","—",INDEX(Database!$AF$5:$AF$528,MATCH(LARGE('Calc (scoring engine)'!$K$5:$K$528,6),'Calc (scoring engine)'!$K$5:$K$528,0))),""))</ns0:f>
        <ns0:v/>
      </ns0:c>
      <ns0:c r="AD26" s="24">
        <ns0:f>IF(OR(6&gt;MAX(3,MIN(15,N($D$18))),IFERROR(LARGE('Calc (scoring engine)'!$K$5:$K$528,6),-999999)&lt;=-900000),"",IFERROR(IF(INDEX(Database!$AG$5:$AG$528,MATCH(LARGE('Calc (scoring engine)'!$K$5:$K$528,6),'Calc (scoring engine)'!$K$5:$K$528,0))="","—",INDEX(Database!$AG$5:$AG$528,MATCH(LARGE('Calc (scoring engine)'!$K$5:$K$528,6),'Calc (scoring engine)'!$K$5:$K$528,0))),""))</ns0:f>
        <ns0:v/>
      </ns0:c>
      <ns0:c r="AE26" s="24">
        <ns0:f>IF(OR(6&gt;MAX(3,MIN(15,N($D$18))),IFERROR(LARGE('Calc (scoring engine)'!$K$5:$K$528,6),-999999)&lt;=-900000),"",IFERROR(IF(INDEX(Database!$AH$5:$AH$528,MATCH(LARGE('Calc (scoring engine)'!$K$5:$K$528,6),'Calc (scoring engine)'!$K$5:$K$528,0))="","—",INDEX(Database!$AH$5:$AH$528,MATCH(LARGE('Calc (scoring engine)'!$K$5:$K$528,6),'Calc (scoring engine)'!$K$5:$K$528,0))),""))</ns0:f>
        <ns0:v/>
      </ns0:c>
      <ns0:c r="AF26" s="38">
        <ns0:f>IF(OR(6&gt;MAX(3,MIN(15,N($D$18))),IFERROR(LARGE('Calc (scoring engine)'!$K$5:$K$528,6),-999999)&lt;=-900000),"",IFERROR(IF(INDEX(Database!$AI$5:$AI$528,MATCH(LARGE('Calc (scoring engine)'!$K$5:$K$528,6),'Calc (scoring engine)'!$K$5:$K$528,0))="","—",INDEX(Database!$AI$5:$AI$528,MATCH(LARGE('Calc (scoring engine)'!$K$5:$K$528,6),'Calc (scoring engine)'!$K$5:$K$528,0))),""))</ns0:f>
        <ns0:v/>
      </ns0:c>
      <ns0:c r="AG26" s="38">
        <ns0:f>IF(OR(6&gt;MAX(3,MIN(15,N($D$18))),IFERROR(LARGE('Calc (scoring engine)'!$K$5:$K$528,6),-999999)&lt;=-900000),"",IFERROR(IF(INDEX(Database!$AJ$5:$AJ$528,MATCH(LARGE('Calc (scoring engine)'!$K$5:$K$528,6),'Calc (scoring engine)'!$K$5:$K$528,0))="","—",INDEX(Database!$AJ$5:$AJ$528,MATCH(LARGE('Calc (scoring engine)'!$K$5:$K$528,6),'Calc (scoring engine)'!$K$5:$K$528,0))),""))</ns0:f>
        <ns0:v/>
      </ns0:c>
      <ns0:c r="AH26" s="38">
        <ns0:f>IF(OR(6&gt;MAX(3,MIN(15,N($D$18))),IFERROR(LARGE('Calc (scoring engine)'!$K$5:$K$528,6),-999999)&lt;=-900000),"",IFERROR(IF(INDEX(Database!$AK$5:$AK$528,MATCH(LARGE('Calc (scoring engine)'!$K$5:$K$528,6),'Calc (scoring engine)'!$K$5:$K$528,0))="","—",INDEX(Database!$AK$5:$AK$528,MATCH(LARGE('Calc (scoring engine)'!$K$5:$K$528,6),'Calc (scoring engine)'!$K$5:$K$528,0))),""))</ns0:f>
        <ns0:v/>
      </ns0:c>
      <ns0:c r="AI26" s="38">
        <ns0:f>IF(OR(6&gt;MAX(3,MIN(15,N($D$18))),IFERROR(LARGE('Calc (scoring engine)'!$K$5:$K$528,6),-999999)&lt;=-900000),"",IFERROR(IF(INDEX(Database!$AL$5:$AL$528,MATCH(LARGE('Calc (scoring engine)'!$K$5:$K$528,6),'Calc (scoring engine)'!$K$5:$K$528,0))="","—",INDEX(Database!$AL$5:$AL$528,MATCH(LARGE('Calc (scoring engine)'!$K$5:$K$528,6),'Calc (scoring engine)'!$K$5:$K$528,0))),""))</ns0:f>
        <ns0:v/>
      </ns0:c>
      <ns0:c r="AJ26" s="38">
        <ns0:f>IF(OR(6&gt;MAX(3,MIN(15,N($D$18))),IFERROR(LARGE('Calc (scoring engine)'!$K$5:$K$528,6),-999999)&lt;=-900000),"",IFERROR(IF(INDEX(Database!$AM$5:$AM$528,MATCH(LARGE('Calc (scoring engine)'!$K$5:$K$528,6),'Calc (scoring engine)'!$K$5:$K$528,0))="","—",INDEX(Database!$AM$5:$AM$528,MATCH(LARGE('Calc (scoring engine)'!$K$5:$K$528,6),'Calc (scoring engine)'!$K$5:$K$528,0))),""))</ns0:f>
        <ns0:v/>
      </ns0:c>
      <ns0:c r="AK26" s="39">
        <ns0:f>IF(OR(6&gt;MAX(3,MIN(15,N($D$18))),IFERROR(LARGE('Calc (scoring engine)'!$K$5:$K$528,6),-999999)&lt;=-900000),"",IFERROR(IF(INDEX(Database!$AN$5:$AN$528,MATCH(LARGE('Calc (scoring engine)'!$K$5:$K$528,6),'Calc (scoring engine)'!$K$5:$K$528,0))="","—",INDEX(Database!$AN$5:$AN$528,MATCH(LARGE('Calc (scoring engine)'!$K$5:$K$528,6),'Calc (scoring engine)'!$K$5:$K$528,0))),""))</ns0:f>
        <ns0:v/>
      </ns0:c>
      <ns0:c r="AL26" s="44">
        <ns0:f>IF(OR(6&gt;MAX(3,MIN(15,N($D$18))),IFERROR(LARGE('Calc (scoring engine)'!$K$5:$K$528,6),-999999)&lt;=-900000),"",IFERROR(IF(INDEX(Database!$AO$5:$AO$528,MATCH(LARGE('Calc (scoring engine)'!$K$5:$K$528,6),'Calc (scoring engine)'!$K$5:$K$528,0))="","—",INDEX(Database!$AO$5:$AO$528,MATCH(LARGE('Calc (scoring engine)'!$K$5:$K$528,6),'Calc (scoring engine)'!$K$5:$K$528,0))),""))</ns0:f>
        <ns0:v/>
      </ns0:c>
      <ns0:c r="AM26" s="38">
        <ns0:f>IF(OR(6&gt;MAX(3,MIN(15,N($D$18))),IFERROR(LARGE('Calc (scoring engine)'!$K$5:$K$528,6),-999999)&lt;=-900000),"",IFERROR(IF(INDEX(Database!$AP$5:$AP$528,MATCH(LARGE('Calc (scoring engine)'!$K$5:$K$528,6),'Calc (scoring engine)'!$K$5:$K$528,0))="","—",INDEX(Database!$AP$5:$AP$528,MATCH(LARGE('Calc (scoring engine)'!$K$5:$K$528,6),'Calc (scoring engine)'!$K$5:$K$528,0))),""))</ns0:f>
        <ns0:v/>
      </ns0:c>
      <ns0:c r="AN26" s="38">
        <ns0:f>IF(OR(6&gt;MAX(3,MIN(15,N($D$18))),IFERROR(LARGE('Calc (scoring engine)'!$K$5:$K$528,6),-999999)&lt;=-900000),"",IFERROR(IF(INDEX(Database!$AQ$5:$AQ$528,MATCH(LARGE('Calc (scoring engine)'!$K$5:$K$528,6),'Calc (scoring engine)'!$K$5:$K$528,0))="","—",INDEX(Database!$AQ$5:$AQ$528,MATCH(LARGE('Calc (scoring engine)'!$K$5:$K$528,6),'Calc (scoring engine)'!$K$5:$K$528,0))),""))</ns0:f>
        <ns0:v/>
      </ns0:c>
      <ns0:c r="AO26" s="38">
        <ns0:f>IF(OR(6&gt;MAX(3,MIN(15,N($D$18))),IFERROR(LARGE('Calc (scoring engine)'!$K$5:$K$528,6),-999999)&lt;=-900000),"",IFERROR(IF(INDEX(Database!$AR$5:$AR$528,MATCH(LARGE('Calc (scoring engine)'!$K$5:$K$528,6),'Calc (scoring engine)'!$K$5:$K$528,0))="","—",INDEX(Database!$AR$5:$AR$528,MATCH(LARGE('Calc (scoring engine)'!$K$5:$K$528,6),'Calc (scoring engine)'!$K$5:$K$528,0))),""))</ns0:f>
        <ns0:v/>
      </ns0:c>
      <ns0:c r="AP26" s="38">
        <ns0:f>IF(OR(6&gt;MAX(3,MIN(15,N($D$18))),IFERROR(LARGE('Calc (scoring engine)'!$K$5:$K$528,6),-999999)&lt;=-900000),"",IFERROR(IF(INDEX(Database!$AS$5:$AS$528,MATCH(LARGE('Calc (scoring engine)'!$K$5:$K$528,6),'Calc (scoring engine)'!$K$5:$K$528,0))="","—",INDEX(Database!$AS$5:$AS$528,MATCH(LARGE('Calc (scoring engine)'!$K$5:$K$528,6),'Calc (scoring engine)'!$K$5:$K$528,0))),""))</ns0:f>
        <ns0:v/>
      </ns0:c>
      <ns0:c r="AQ26" s="38">
        <ns0:f>IF(OR(6&gt;MAX(3,MIN(15,N($D$18))),IFERROR(LARGE('Calc (scoring engine)'!$K$5:$K$528,6),-999999)&lt;=-900000),"",IFERROR(IF(INDEX(Database!$AT$5:$AT$528,MATCH(LARGE('Calc (scoring engine)'!$K$5:$K$528,6),'Calc (scoring engine)'!$K$5:$K$528,0))="","—",INDEX(Database!$AT$5:$AT$528,MATCH(LARGE('Calc (scoring engine)'!$K$5:$K$528,6),'Calc (scoring engine)'!$K$5:$K$528,0))),""))</ns0:f>
        <ns0:v/>
      </ns0:c>
      <ns0:c r="AR26" s="38">
        <ns0:f>IF(OR(6&gt;MAX(3,MIN(15,N($D$18))),IFERROR(LARGE('Calc (scoring engine)'!$K$5:$K$528,6),-999999)&lt;=-900000),"",IFERROR(IF(INDEX(Database!$AU$5:$AU$528,MATCH(LARGE('Calc (scoring engine)'!$K$5:$K$528,6),'Calc (scoring engine)'!$K$5:$K$528,0))="","—",INDEX(Database!$AU$5:$AU$528,MATCH(LARGE('Calc (scoring engine)'!$K$5:$K$528,6),'Calc (scoring engine)'!$K$5:$K$528,0))),""))</ns0:f>
        <ns0:v/>
      </ns0:c>
      <ns0:c r="AS26" s="38">
        <ns0:f>IF(OR(6&gt;MAX(3,MIN(15,N($D$18))),IFERROR(LARGE('Calc (scoring engine)'!$K$5:$K$528,6),-999999)&lt;=-900000),"",IFERROR(IF(INDEX(Database!$AV$5:$AV$528,MATCH(LARGE('Calc (scoring engine)'!$K$5:$K$528,6),'Calc (scoring engine)'!$K$5:$K$528,0))="","—",INDEX(Database!$AV$5:$AV$528,MATCH(LARGE('Calc (scoring engine)'!$K$5:$K$528,6),'Calc (scoring engine)'!$K$5:$K$528,0))),""))</ns0:f>
        <ns0:v/>
      </ns0:c>
      <ns0:c r="AT26" s="38">
        <ns0:f>IF(OR(6&gt;MAX(3,MIN(15,N($D$18))),IFERROR(LARGE('Calc (scoring engine)'!$K$5:$K$528,6),-999999)&lt;=-900000),"",IFERROR(IF(INDEX(Database!$AW$5:$AW$528,MATCH(LARGE('Calc (scoring engine)'!$K$5:$K$528,6),'Calc (scoring engine)'!$K$5:$K$528,0))="","—",INDEX(Database!$AW$5:$AW$528,MATCH(LARGE('Calc (scoring engine)'!$K$5:$K$528,6),'Calc (scoring engine)'!$K$5:$K$528,0))),""))</ns0:f>
        <ns0:v/>
      </ns0:c>
      <ns0:c r="AU26" s="38">
        <ns0:f>IF(OR(6&gt;MAX(3,MIN(15,N($D$18))),IFERROR(LARGE('Calc (scoring engine)'!$K$5:$K$528,6),-999999)&lt;=-900000),"",IFERROR(IF(INDEX(Database!$AX$5:$AX$528,MATCH(LARGE('Calc (scoring engine)'!$K$5:$K$528,6),'Calc (scoring engine)'!$K$5:$K$528,0))="","—",INDEX(Database!$AX$5:$AX$528,MATCH(LARGE('Calc (scoring engine)'!$K$5:$K$528,6),'Calc (scoring engine)'!$K$5:$K$528,0))),""))</ns0:f>
        <ns0:v/>
      </ns0:c>
      <ns0:c r="AV26" s="38">
        <ns0:f>IF(OR(6&gt;MAX(3,MIN(15,N($D$18))),IFERROR(LARGE('Calc (scoring engine)'!$K$5:$K$528,6),-999999)&lt;=-900000),"",IFERROR(IF(INDEX(Database!$AY$5:$AY$528,MATCH(LARGE('Calc (scoring engine)'!$K$5:$K$528,6),'Calc (scoring engine)'!$K$5:$K$528,0))="","—",INDEX(Database!$AY$5:$AY$528,MATCH(LARGE('Calc (scoring engine)'!$K$5:$K$528,6),'Calc (scoring engine)'!$K$5:$K$528,0))),""))</ns0:f>
        <ns0:v/>
      </ns0:c>
      <ns0:c r="AW26" s="38">
        <ns0:f>IF(OR(6&gt;MAX(3,MIN(15,N($D$18))),IFERROR(LARGE('Calc (scoring engine)'!$K$5:$K$528,6),-999999)&lt;=-900000),"",IFERROR(IF(INDEX(Database!$AZ$5:$AZ$528,MATCH(LARGE('Calc (scoring engine)'!$K$5:$K$528,6),'Calc (scoring engine)'!$K$5:$K$528,0))="","—",INDEX(Database!$AZ$5:$AZ$528,MATCH(LARGE('Calc (scoring engine)'!$K$5:$K$528,6),'Calc (scoring engine)'!$K$5:$K$528,0))),""))</ns0:f>
        <ns0:v/>
      </ns0:c>
      <ns0:c r="AX26" s="38">
        <ns0:f>IF(OR(6&gt;MAX(3,MIN(15,N($D$18))),IFERROR(LARGE('Calc (scoring engine)'!$K$5:$K$528,6),-999999)&lt;=-900000),"",IFERROR(IF(INDEX(Database!$BA$5:$BA$528,MATCH(LARGE('Calc (scoring engine)'!$K$5:$K$528,6),'Calc (scoring engine)'!$K$5:$K$528,0))="","—",INDEX(Database!$BA$5:$BA$528,MATCH(LARGE('Calc (scoring engine)'!$K$5:$K$528,6),'Calc (scoring engine)'!$K$5:$K$528,0))),""))</ns0:f>
        <ns0:v/>
      </ns0:c>
      <ns0:c r="AY26" s="38">
        <ns0:f>IF(OR(6&gt;MAX(3,MIN(15,N($D$18))),IFERROR(LARGE('Calc (scoring engine)'!$K$5:$K$528,6),-999999)&lt;=-900000),"",IFERROR(IF(INDEX(Database!$BC$5:$BC$528,MATCH(LARGE('Calc (scoring engine)'!$K$5:$K$528,6),'Calc (scoring engine)'!$K$5:$K$528,0))="","—",INDEX(Database!$BC$5:$BC$528,MATCH(LARGE('Calc (scoring engine)'!$K$5:$K$528,6),'Calc (scoring engine)'!$K$5:$K$528,0))),""))</ns0:f>
        <ns0:v/>
      </ns0:c>
      <ns0:c r="AZ26" s="34">
        <ns0:f>IF(OR(6&gt;MAX(3,MIN(15,N($D$18))),IFERROR(LARGE('Calc (scoring engine)'!$K$5:$K$528,6),-999999)&lt;=-900000),"",IFERROR(IF(INDEX(Database!$BE$5:$BE$528,MATCH(LARGE('Calc (scoring engine)'!$K$5:$K$528,6),'Calc (scoring engine)'!$K$5:$K$528,0))="","—",INDEX(Database!$BE$5:$BE$528,MATCH(LARGE('Calc (scoring engine)'!$K$5:$K$528,6),'Calc (scoring engine)'!$K$5:$K$528,0))),""))</ns0:f>
        <ns0:v/>
      </ns0:c>
      <ns0:c r="BA26" s="34">
        <ns0:f>IF(OR(6&gt;MAX(3,MIN(15,N($D$18))),IFERROR(LARGE('Calc (scoring engine)'!$K$5:$K$528,6),-999999)&lt;=-900000),"",IFERROR(IF(INDEX(Database!$BF$5:$BF$528,MATCH(LARGE('Calc (scoring engine)'!$K$5:$K$528,6),'Calc (scoring engine)'!$K$5:$K$528,0))="","—",INDEX(Database!$BF$5:$BF$528,MATCH(LARGE('Calc (scoring engine)'!$K$5:$K$528,6),'Calc (scoring engine)'!$K$5:$K$528,0))),""))</ns0:f>
        <ns0:v/>
      </ns0:c>
      <ns0:c r="BB26" s="24">
        <ns0:f>IF(OR(6&gt;MAX(3,MIN(15,N($D$18))),IFERROR(LARGE('Calc (scoring engine)'!$K$5:$K$528,6),-999999)&lt;=-900000),"",IFERROR(IF(INDEX(Database!$BG$5:$BG$528,MATCH(LARGE('Calc (scoring engine)'!$K$5:$K$528,6),'Calc (scoring engine)'!$K$5:$K$528,0))="","—",INDEX(Database!$BG$5:$BG$528,MATCH(LARGE('Calc (scoring engine)'!$K$5:$K$528,6),'Calc (scoring engine)'!$K$5:$K$528,0))),""))</ns0:f>
        <ns0:v/>
      </ns0:c>
      <ns0:c r="BC26" s="39">
        <ns0:f>IF(OR(6&gt;MAX(3,MIN(15,N($D$18))),IFERROR(LARGE('Calc (scoring engine)'!$K$5:$K$528,6),-999999)&lt;=-900000),"",IFERROR(IF(N(INDEX(Database!$BH$5:$BH$528,MATCH(LARGE('Calc (scoring engine)'!$K$5:$K$528,6),'Calc (scoring engine)'!$K$5:$K$528,0)))&lt;=0,IF(INDEX(Database!$BG$5:$BG$528,MATCH(LARGE('Calc (scoring engine)'!$K$5:$K$528,6),'Calc (scoring engine)'!$K$5:$K$528,0))="N","n/m","—"),INDEX(Database!$BH$5:$BH$528,MATCH(LARGE('Calc (scoring engine)'!$K$5:$K$528,6),'Calc (scoring engine)'!$K$5:$K$528,0))),""))</ns0:f>
        <ns0:v/>
      </ns0:c>
      <ns0:c r="BD26" s="39">
        <ns0:f>IF(OR(6&gt;MAX(3,MIN(15,N($D$18))),IFERROR(LARGE('Calc (scoring engine)'!$K$5:$K$528,6),-999999)&lt;=-900000),"",IFERROR(IF(INDEX(Database!$BI$5:$BI$528,MATCH(LARGE('Calc (scoring engine)'!$K$5:$K$528,6),'Calc (scoring engine)'!$K$5:$K$528,0))="","—",INDEX(Database!$BI$5:$BI$528,MATCH(LARGE('Calc (scoring engine)'!$K$5:$K$528,6),'Calc (scoring engine)'!$K$5:$K$528,0))),""))</ns0:f>
        <ns0:v/>
      </ns0:c>
      <ns0:c r="BE26" s="39">
        <ns0:f>IF(OR(6&gt;MAX(3,MIN(15,N($D$18))),IFERROR(LARGE('Calc (scoring engine)'!$K$5:$K$528,6),-999999)&lt;=-900000),"",IFERROR(IF(INDEX(Database!$BJ$5:$BJ$528,MATCH(LARGE('Calc (scoring engine)'!$K$5:$K$528,6),'Calc (scoring engine)'!$K$5:$K$528,0))="","—",INDEX(Database!$BJ$5:$BJ$528,MATCH(LARGE('Calc (scoring engine)'!$K$5:$K$528,6),'Calc (scoring engine)'!$K$5:$K$528,0))),""))</ns0:f>
        <ns0:v/>
      </ns0:c>
      <ns0:c r="BF26" s="39">
        <ns0:f>IF(OR(6&gt;MAX(3,MIN(15,N($D$18))),IFERROR(LARGE('Calc (scoring engine)'!$K$5:$K$528,6),-999999)&lt;=-900000),"",IFERROR(IF(INDEX(Database!$BK$5:$BK$528,MATCH(LARGE('Calc (scoring engine)'!$K$5:$K$528,6),'Calc (scoring engine)'!$K$5:$K$528,0))="","—",INDEX(Database!$BK$5:$BK$528,MATCH(LARGE('Calc (scoring engine)'!$K$5:$K$528,6),'Calc (scoring engine)'!$K$5:$K$528,0))),""))</ns0:f>
        <ns0:v/>
      </ns0:c>
      <ns0:c r="BG26" s="39">
        <ns0:f>IF(OR(6&gt;MAX(3,MIN(15,N($D$18))),IFERROR(LARGE('Calc (scoring engine)'!$K$5:$K$528,6),-999999)&lt;=-900000),"",IFERROR(IF(INDEX(Database!$BL$5:$BL$528,MATCH(LARGE('Calc (scoring engine)'!$K$5:$K$528,6),'Calc (scoring engine)'!$K$5:$K$528,0))="","—",INDEX(Database!$BL$5:$BL$528,MATCH(LARGE('Calc (scoring engine)'!$K$5:$K$528,6),'Calc (scoring engine)'!$K$5:$K$528,0))),""))</ns0:f>
        <ns0:v/>
      </ns0:c>
      <ns0:c r="BH26" s="39">
        <ns0:f>IF(OR(6&gt;MAX(3,MIN(15,N($D$18))),IFERROR(LARGE('Calc (scoring engine)'!$K$5:$K$528,6),-999999)&lt;=-900000),"",IFERROR(IFERROR(BDP(TEXT(INDEX(Database!$A$5:$A$528,MATCH(LARGE('Calc (scoring engine)'!$K$5:$K$528,6),'Calc (scoring engine)'!$K$5:$K$528,0)),"0")&amp;" HK Equity","PE_RATIO"),IF(INDEX(Database!$BJ$5:$BJ$528,MATCH(LARGE('Calc (scoring engine)'!$K$5:$K$528,6),'Calc (scoring engine)'!$K$5:$K$528,0))="","—",INDEX(Database!$BJ$5:$BJ$528,MATCH(LARGE('Calc (scoring engine)'!$K$5:$K$528,6),'Calc (scoring engine)'!$K$5:$K$528,0)))),""))</ns0:f>
        <ns0:v/>
      </ns0:c>
      <ns0:c r="BI26" s="39">
        <ns0:f>IF(OR(6&gt;MAX(3,MIN(15,N($D$18))),IFERROR(LARGE('Calc (scoring engine)'!$K$5:$K$528,6),-999999)&lt;=-900000),"",IFERROR(IFERROR(BDP(TEXT(INDEX(Database!$A$5:$A$528,MATCH(LARGE('Calc (scoring engine)'!$K$5:$K$528,6),'Calc (scoring engine)'!$K$5:$K$528,0)),"0")&amp;" HK Equity","PX_TO_SALES_RATIO"),IF(INDEX(Database!$BK$5:$BK$528,MATCH(LARGE('Calc (scoring engine)'!$K$5:$K$528,6),'Calc (scoring engine)'!$K$5:$K$528,0))="","—",INDEX(Database!$BK$5:$BK$528,MATCH(LARGE('Calc (scoring engine)'!$K$5:$K$528,6),'Calc (scoring engine)'!$K$5:$K$528,0)))),""))</ns0:f>
        <ns0:v/>
      </ns0:c>
      <ns0:c r="BJ26" s="24">
        <ns0:f>IF(OR(6&gt;MAX(3,MIN(15,N($D$18))),IFERROR(LARGE('Calc (scoring engine)'!$K$5:$K$528,6),-999999)&lt;=-900000),"",IFERROR(IF(INDEX(Database!$BM$5:$BM$528,MATCH(LARGE('Calc (scoring engine)'!$K$5:$K$528,6),'Calc (scoring engine)'!$K$5:$K$528,0))="","—",INDEX(Database!$BM$5:$BM$528,MATCH(LARGE('Calc (scoring engine)'!$K$5:$K$528,6),'Calc (scoring engine)'!$K$5:$K$528,0))),""))</ns0:f>
        <ns0:v/>
      </ns0:c>
      <ns0:c r="BK26" s="24">
        <ns0:f>IF(OR(6&gt;MAX(3,MIN(15,N($D$18))),IFERROR(LARGE('Calc (scoring engine)'!$K$5:$K$528,6),-999999)&lt;=-900000),"",IFERROR(IF(INDEX(Database!$BN$5:$BN$528,MATCH(LARGE('Calc (scoring engine)'!$K$5:$K$528,6),'Calc (scoring engine)'!$K$5:$K$528,0))="","—",INDEX(Database!$BN$5:$BN$528,MATCH(LARGE('Calc (scoring engine)'!$K$5:$K$528,6),'Calc (scoring engine)'!$K$5:$K$528,0))),""))</ns0:f>
        <ns0:v/>
      </ns0:c>
      <ns0:c r="BL26" s="38">
        <ns0:f>IF(OR(6&gt;MAX(3,MIN(15,N($D$18))),IFERROR(LARGE('Calc (scoring engine)'!$K$5:$K$528,6),-999999)&lt;=-900000),"",IFERROR(IF(INDEX(Database!$BO$5:$BO$528,MATCH(LARGE('Calc (scoring engine)'!$K$5:$K$528,6),'Calc (scoring engine)'!$K$5:$K$528,0))="","—",INDEX(Database!$BO$5:$BO$528,MATCH(LARGE('Calc (scoring engine)'!$K$5:$K$528,6),'Calc (scoring engine)'!$K$5:$K$528,0))),""))</ns0:f>
        <ns0:v/>
      </ns0:c>
      <ns0:c r="BM26" s="54">
        <ns0:f>IF(OR(6&gt;MAX(3,MIN(15,N($D$18))),IFERROR(LARGE('Calc (scoring engine)'!$K$5:$K$528,6),-999999)&lt;=-900000),"",IFERROR(IF(INDEX(Database!$BP$5:$BP$528,MATCH(LARGE('Calc (scoring engine)'!$K$5:$K$528,6),'Calc (scoring engine)'!$K$5:$K$528,0))="","—",INDEX(Database!$BP$5:$BP$528,MATCH(LARGE('Calc (scoring engine)'!$K$5:$K$528,6),'Calc (scoring engine)'!$K$5:$K$528,0))),""))</ns0:f>
        <ns0:v/>
      </ns0:c>
      <ns0:c r="BN26" s="58">
        <ns0:f>IF(OR(6&gt;MAX(3,MIN(15,N($D$18))),IFERROR(LARGE('Calc (scoring engine)'!$K$5:$K$528,6),-999999)&lt;=-900000),"",IFERROR(IF(INDEX(Database!$BQ$5:$BQ$528,MATCH(LARGE('Calc (scoring engine)'!$K$5:$K$528,6),'Calc (scoring engine)'!$K$5:$K$528,0))="","—",INDEX(Database!$BQ$5:$BQ$528,MATCH(LARGE('Calc (scoring engine)'!$K$5:$K$528,6),'Calc (scoring engine)'!$K$5:$K$528,0))),""))</ns0:f>
        <ns0:v/>
      </ns0:c>
      <ns0:c r="BO26" s="34">
        <ns0:f>IF(OR(6&gt;MAX(3,MIN(15,N($D$18))),IFERROR(LARGE('Calc (scoring engine)'!$K$5:$K$528,6),-999999)&lt;=-900000),"",IFERROR(IF(INDEX(Database!$BR$5:$BR$528,MATCH(LARGE('Calc (scoring engine)'!$K$5:$K$528,6),'Calc (scoring engine)'!$K$5:$K$528,0))="","—",INDEX(Database!$BR$5:$BR$528,MATCH(LARGE('Calc (scoring engine)'!$K$5:$K$528,6),'Calc (scoring engine)'!$K$5:$K$528,0))),""))</ns0:f>
        <ns0:v/>
      </ns0:c>
      <ns0:c r="BP26" s="39">
        <ns0:f>IF(OR(6&gt;MAX(3,MIN(15,N($D$18))),IFERROR(LARGE('Calc (scoring engine)'!$K$5:$K$528,6),-999999)&lt;=-900000),"",IFERROR(IF(INDEX(Database!$BS$5:$BS$528,MATCH(LARGE('Calc (scoring engine)'!$K$5:$K$528,6),'Calc (scoring engine)'!$K$5:$K$528,0))="","—",INDEX(Database!$BS$5:$BS$528,MATCH(LARGE('Calc (scoring engine)'!$K$5:$K$528,6),'Calc (scoring engine)'!$K$5:$K$528,0))),""))</ns0:f>
        <ns0:v/>
      </ns0:c>
      <ns0:c r="BQ26" s="39">
        <ns0:f>IF(OR(6&gt;MAX(3,MIN(15,N($D$18))),IFERROR(LARGE('Calc (scoring engine)'!$K$5:$K$528,6),-999999)&lt;=-900000),"",IFERROR(IF(INDEX(Database!$BT$5:$BT$528,MATCH(LARGE('Calc (scoring engine)'!$K$5:$K$528,6),'Calc (scoring engine)'!$K$5:$K$528,0))="","—",INDEX(Database!$BT$5:$BT$528,MATCH(LARGE('Calc (scoring engine)'!$K$5:$K$528,6),'Calc (scoring engine)'!$K$5:$K$528,0))),""))</ns0:f>
        <ns0:v/>
      </ns0:c>
      <ns0:c r="BR26" s="24">
        <ns0:f>IF(OR(6&gt;MAX(3,MIN(15,N($D$18))),IFERROR(LARGE('Calc (scoring engine)'!$K$5:$K$528,6),-999999)&lt;=-900000),"",IFERROR(IF(INDEX(Database!$BU$5:$BU$528,MATCH(LARGE('Calc (scoring engine)'!$K$5:$K$528,6),'Calc (scoring engine)'!$K$5:$K$528,0))="","—",INDEX(Database!$BU$5:$BU$528,MATCH(LARGE('Calc (scoring engine)'!$K$5:$K$528,6),'Calc (scoring engine)'!$K$5:$K$528,0))),""))</ns0:f>
        <ns0:v/>
      </ns0:c>
      <ns0:c r="BS26" s="24">
        <ns0:f>IF(OR(6&gt;MAX(3,MIN(15,N($D$18))),IFERROR(LARGE('Calc (scoring engine)'!$K$5:$K$528,6),-999999)&lt;=-900000),"",IFERROR(IF(INDEX(Database!$BW$5:$BW$528,MATCH(LARGE('Calc (scoring engine)'!$K$5:$K$528,6),'Calc (scoring engine)'!$K$5:$K$528,0))="","—",INDEX(Database!$BW$5:$BW$528,MATCH(LARGE('Calc (scoring engine)'!$K$5:$K$528,6),'Calc (scoring engine)'!$K$5:$K$528,0))),""))</ns0:f>
        <ns0:v/>
      </ns0:c>
      <ns0:c r="BT26" s="57">
        <ns0:f>IF(OR(6&gt;MAX(3,MIN(15,N($D$18))),IFERROR(LARGE('Calc (scoring engine)'!$K$5:$K$528,6),-999999)&lt;=-900000),"",IFERROR(IF(INDEX('Calc (scoring engine)'!$H$5:$H$528,MATCH(LARGE('Calc (scoring engine)'!$K$5:$K$528,6),'Calc (scoring engine)'!$K$5:$K$528,0))&gt;0,INDEX('Calc (scoring engine)'!$H$5:$H$528,MATCH(LARGE('Calc (scoring engine)'!$K$5:$K$528,6),'Calc (scoring engine)'!$K$5:$K$528,0)),""),""))</ns0:f>
        <ns0:v/>
      </ns0:c>
      <ns0:c r="BU26" s="24">
        <ns0:f>IF(OR(6&gt;MAX(3,MIN(15,N($D$18))),IFERROR(LARGE('Calc (scoring engine)'!$K$5:$K$528,6),-999999)&lt;=-900000),"",IF(IFERROR(INDEX('Calc (scoring engine)'!$B$5:$B$528,MATCH(LARGE('Calc (scoring engine)'!$K$5:$K$528,6),'Calc (scoring engine)'!$K$5:$K$528,0)),0)=1,"same subsector","sector only"))</ns0:f>
        <ns0:v/>
      </ns0:c>
      <ns0:c r="BV26" s="57">
        <ns0:f>IF(OR(6&gt;MAX(3,MIN(15,N($D$18))),IFERROR(LARGE('Calc (scoring engine)'!$K$5:$K$528,6),-999999)&lt;=-900000),"",ROUND(IFERROR(LARGE('Calc (scoring engine)'!$K$5:$K$528,6),0),0))</ns0:f>
        <ns0:v/>
      </ns0:c>
      <ns0:c r="BW26" s="24">
        <ns0:f>IF(OR(6&gt;MAX(3,MIN(15,N($D$18))),IFERROR(LARGE('Calc (scoring engine)'!$K$5:$K$528,6),-999999)&lt;=-900000),"",IFERROR("sub "&amp;INDEX('Calc (scoring engine)'!$B$5:$B$528,MATCH(LARGE('Calc (scoring engine)'!$K$5:$K$528,6),'Calc (scoring engine)'!$K$5:$K$528,0))*W_SUB&amp;" + size "&amp;ROUND(INDEX('Calc (scoring engine)'!$D$5:$D$528,MATCH(LARGE('Calc (scoring engine)'!$K$5:$K$528,6),'Calc (scoring engine)'!$K$5:$K$528,0))*W_SIZE,0)&amp;" + prof "&amp;INDEX('Calc (scoring engine)'!$E$5:$E$528,MATCH(LARGE('Calc (scoring engine)'!$K$5:$K$528,6),'Calc (scoring engine)'!$K$5:$K$528,0))*W_PROF&amp;" + recency "&amp;ROUND(INDEX('Calc (scoring engine)'!$G$5:$G$528,MATCH(LARGE('Calc (scoring engine)'!$K$5:$K$528,6),'Calc (scoring engine)'!$K$5:$K$528,0))*W_REC,0)&amp;IF(INDEX('Calc (scoring engine)'!$H$5:$H$528,MATCH(LARGE('Calc (scoring engine)'!$K$5:$K$528,6),'Calc (scoring engine)'!$K$5:$K$528,0))&gt;0," + shared CS x"&amp;INDEX('Calc (scoring engine)'!$H$5:$H$528,MATCH(LARGE('Calc (scoring engine)'!$K$5:$K$528,6),'Calc (scoring engine)'!$K$5:$K$528,0)),""),""))</ns0:f>
        <ns0:v/>
      </ns0:c>
    </ns0:row>
    <ns0:row r="27">
      <ns0:c r="A27" s="52">
        <ns0:f>IF(OR(7&gt;MAX(3,MIN(15,N($D$18))),IFERROR(LARGE('Calc (scoring engine)'!$K$5:$K$528,7),-999999)&lt;=-900000),"",7)</ns0:f>
        <ns0:v/>
      </ns0:c>
      <ns0:c r="B27" s="24">
        <ns0:f>IF(OR(7&gt;MAX(3,MIN(15,N($D$18))),IFERROR(LARGE('Calc (scoring engine)'!$K$5:$K$528,7),-999999)&lt;=-900000),"",IFERROR(IF(INDEX(Database!$B$5:$B$528,MATCH(LARGE('Calc (scoring engine)'!$K$5:$K$528,7),'Calc (scoring engine)'!$K$5:$K$528,0))="","—",INDEX(Database!$B$5:$B$528,MATCH(LARGE('Calc (scoring engine)'!$K$5:$K$528,7),'Calc (scoring engine)'!$K$5:$K$528,0))),""))</ns0:f>
        <ns0:v/>
      </ns0:c>
      <ns0:c r="C27" s="53">
        <ns0:f>IF(OR(7&gt;MAX(3,MIN(15,N($D$18))),IFERROR(LARGE('Calc (scoring engine)'!$K$5:$K$528,7),-999999)&lt;=-900000),"",IFERROR(IF(INDEX(Database!$A$5:$A$528,MATCH(LARGE('Calc (scoring engine)'!$K$5:$K$528,7),'Calc (scoring engine)'!$K$5:$K$528,0))="","—",INDEX(Database!$A$5:$A$528,MATCH(LARGE('Calc (scoring engine)'!$K$5:$K$528,7),'Calc (scoring engine)'!$K$5:$K$528,0))),""))</ns0:f>
        <ns0:v/>
      </ns0:c>
      <ns0:c r="D27" s="24">
        <ns0:f>IF(OR(7&gt;MAX(3,MIN(15,N($D$18))),IFERROR(LARGE('Calc (scoring engine)'!$K$5:$K$528,7),-999999)&lt;=-900000),"",IFERROR(IF(INDEX(Database!$D$5:$D$528,MATCH(LARGE('Calc (scoring engine)'!$K$5:$K$528,7),'Calc (scoring engine)'!$K$5:$K$528,0))="","—",INDEX(Database!$D$5:$D$528,MATCH(LARGE('Calc (scoring engine)'!$K$5:$K$528,7),'Calc (scoring engine)'!$K$5:$K$528,0))),""))</ns0:f>
        <ns0:v/>
      </ns0:c>
      <ns0:c r="E27" s="24">
        <ns0:f>IF(OR(7&gt;MAX(3,MIN(15,N($D$18))),IFERROR(LARGE('Calc (scoring engine)'!$K$5:$K$528,7),-999999)&lt;=-900000),"",IFERROR(IF(INDEX(Database!$E$5:$E$528,MATCH(LARGE('Calc (scoring engine)'!$K$5:$K$528,7),'Calc (scoring engine)'!$K$5:$K$528,0))="","—",INDEX(Database!$E$5:$E$528,MATCH(LARGE('Calc (scoring engine)'!$K$5:$K$528,7),'Calc (scoring engine)'!$K$5:$K$528,0))),""))</ns0:f>
        <ns0:v/>
      </ns0:c>
      <ns0:c r="F27" s="24">
        <ns0:f>IF(OR(7&gt;MAX(3,MIN(15,N($D$18))),IFERROR(LARGE('Calc (scoring engine)'!$K$5:$K$528,7),-999999)&lt;=-900000),"",IFERROR(IF(INDEX(Database!$F$5:$F$528,MATCH(LARGE('Calc (scoring engine)'!$K$5:$K$528,7),'Calc (scoring engine)'!$K$5:$K$528,0))="","—",INDEX(Database!$F$5:$F$528,MATCH(LARGE('Calc (scoring engine)'!$K$5:$K$528,7),'Calc (scoring engine)'!$K$5:$K$528,0))),""))</ns0:f>
        <ns0:v/>
      </ns0:c>
      <ns0:c r="G27" s="24">
        <ns0:f>IF(OR(7&gt;MAX(3,MIN(15,N($D$18))),IFERROR(LARGE('Calc (scoring engine)'!$K$5:$K$528,7),-999999)&lt;=-900000),"",IFERROR(IF(INDEX(Database!$G$5:$G$528,MATCH(LARGE('Calc (scoring engine)'!$K$5:$K$528,7),'Calc (scoring engine)'!$K$5:$K$528,0))="","—",INDEX(Database!$G$5:$G$528,MATCH(LARGE('Calc (scoring engine)'!$K$5:$K$528,7),'Calc (scoring engine)'!$K$5:$K$528,0))),""))</ns0:f>
        <ns0:v/>
      </ns0:c>
      <ns0:c r="H27" s="36">
        <ns0:f>IF(OR(7&gt;MAX(3,MIN(15,N($D$18))),IFERROR(LARGE('Calc (scoring engine)'!$K$5:$K$528,7),-999999)&lt;=-900000),"",IFERROR(IF(INDEX(Database!$H$5:$H$528,MATCH(LARGE('Calc (scoring engine)'!$K$5:$K$528,7),'Calc (scoring engine)'!$K$5:$K$528,0))="","—",INDEX(Database!$H$5:$H$528,MATCH(LARGE('Calc (scoring engine)'!$K$5:$K$528,7),'Calc (scoring engine)'!$K$5:$K$528,0))),""))</ns0:f>
        <ns0:v/>
      </ns0:c>
      <ns0:c r="I27" s="34">
        <ns0:f>IF(OR(7&gt;MAX(3,MIN(15,N($D$18))),IFERROR(LARGE('Calc (scoring engine)'!$K$5:$K$528,7),-999999)&lt;=-900000),"",IFERROR(IF(INDEX(Database!$I$5:$I$528,MATCH(LARGE('Calc (scoring engine)'!$K$5:$K$528,7),'Calc (scoring engine)'!$K$5:$K$528,0))="","—",INDEX(Database!$I$5:$I$528,MATCH(LARGE('Calc (scoring engine)'!$K$5:$K$528,7),'Calc (scoring engine)'!$K$5:$K$528,0))),""))</ns0:f>
        <ns0:v/>
      </ns0:c>
      <ns0:c r="J27" s="54">
        <ns0:f>IF(OR(7&gt;MAX(3,MIN(15,N($D$18))),IFERROR(LARGE('Calc (scoring engine)'!$K$5:$K$528,7),-999999)&lt;=-900000),"",IFERROR(IF(INDEX(Database!$K$5:$K$528,MATCH(LARGE('Calc (scoring engine)'!$K$5:$K$528,7),'Calc (scoring engine)'!$K$5:$K$528,0))="","—",INDEX(Database!$K$5:$K$528,MATCH(LARGE('Calc (scoring engine)'!$K$5:$K$528,7),'Calc (scoring engine)'!$K$5:$K$528,0))),""))</ns0:f>
        <ns0:v/>
      </ns0:c>
      <ns0:c r="K27" s="54">
        <ns0:f>IF(OR(7&gt;MAX(3,MIN(15,N($D$18))),IFERROR(LARGE('Calc (scoring engine)'!$K$5:$K$528,7),-999999)&lt;=-900000),"",IFERROR(IF(INDEX(Database!$L$5:$L$528,MATCH(LARGE('Calc (scoring engine)'!$K$5:$K$528,7),'Calc (scoring engine)'!$K$5:$K$528,0))="","—",INDEX(Database!$L$5:$L$528,MATCH(LARGE('Calc (scoring engine)'!$K$5:$K$528,7),'Calc (scoring engine)'!$K$5:$K$528,0))),""))</ns0:f>
        <ns0:v/>
      </ns0:c>
      <ns0:c r="L27" s="54">
        <ns0:f>IF(OR(7&gt;MAX(3,MIN(15,N($D$18))),IFERROR(LARGE('Calc (scoring engine)'!$K$5:$K$528,7),-999999)&lt;=-900000),"",IFERROR(IF(INDEX(Database!$M$5:$M$528,MATCH(LARGE('Calc (scoring engine)'!$K$5:$K$528,7),'Calc (scoring engine)'!$K$5:$K$528,0))="","—",INDEX(Database!$M$5:$M$528,MATCH(LARGE('Calc (scoring engine)'!$K$5:$K$528,7),'Calc (scoring engine)'!$K$5:$K$528,0))),""))</ns0:f>
        <ns0:v/>
      </ns0:c>
      <ns0:c r="M27" s="24">
        <ns0:f>IF(OR(7&gt;MAX(3,MIN(15,N($D$18))),IFERROR(LARGE('Calc (scoring engine)'!$K$5:$K$528,7),-999999)&lt;=-900000),"",IFERROR(IF(INDEX(Database!$N$5:$N$528,MATCH(LARGE('Calc (scoring engine)'!$K$5:$K$528,7),'Calc (scoring engine)'!$K$5:$K$528,0))="","—",INDEX(Database!$N$5:$N$528,MATCH(LARGE('Calc (scoring engine)'!$K$5:$K$528,7),'Calc (scoring engine)'!$K$5:$K$528,0))),""))</ns0:f>
        <ns0:v/>
      </ns0:c>
      <ns0:c r="N27" s="44">
        <ns0:f>IF(OR(7&gt;MAX(3,MIN(15,N($D$18))),IFERROR(LARGE('Calc (scoring engine)'!$K$5:$K$528,7),-999999)&lt;=-900000),"",IFERROR(IF(INDEX(Database!$O$5:$O$528,MATCH(LARGE('Calc (scoring engine)'!$K$5:$K$528,7),'Calc (scoring engine)'!$K$5:$K$528,0))="","—",INDEX(Database!$O$5:$O$528,MATCH(LARGE('Calc (scoring engine)'!$K$5:$K$528,7),'Calc (scoring engine)'!$K$5:$K$528,0))),""))</ns0:f>
        <ns0:v/>
      </ns0:c>
      <ns0:c r="O27" s="44">
        <ns0:f>IF(OR(7&gt;MAX(3,MIN(15,N($D$18))),IFERROR(LARGE('Calc (scoring engine)'!$K$5:$K$528,7),-999999)&lt;=-900000),"",IFERROR(IF(INDEX(Database!$P$5:$P$528,MATCH(LARGE('Calc (scoring engine)'!$K$5:$K$528,7),'Calc (scoring engine)'!$K$5:$K$528,0))="","—",INDEX(Database!$P$5:$P$528,MATCH(LARGE('Calc (scoring engine)'!$K$5:$K$528,7),'Calc (scoring engine)'!$K$5:$K$528,0))),""))</ns0:f>
        <ns0:v/>
      </ns0:c>
      <ns0:c r="P27" s="34">
        <ns0:f>IF(OR(7&gt;MAX(3,MIN(15,N($D$18))),IFERROR(LARGE('Calc (scoring engine)'!$K$5:$K$528,7),-999999)&lt;=-900000),"",IFERROR(IF(INDEX(Database!$Q$5:$Q$528,MATCH(LARGE('Calc (scoring engine)'!$K$5:$K$528,7),'Calc (scoring engine)'!$K$5:$K$528,0))="","—",INDEX(Database!$Q$5:$Q$528,MATCH(LARGE('Calc (scoring engine)'!$K$5:$K$528,7),'Calc (scoring engine)'!$K$5:$K$528,0))),""))</ns0:f>
        <ns0:v/>
      </ns0:c>
      <ns0:c r="Q27" s="41">
        <ns0:f>IF(OR(7&gt;MAX(3,MIN(15,N($D$18))),IFERROR(LARGE('Calc (scoring engine)'!$K$5:$K$528,7),-999999)&lt;=-900000),"",IFERROR(IF(INDEX(Database!$S$5:$S$528,MATCH(LARGE('Calc (scoring engine)'!$K$5:$K$528,7),'Calc (scoring engine)'!$K$5:$K$528,0))="","—",INDEX(Database!$S$5:$S$528,MATCH(LARGE('Calc (scoring engine)'!$K$5:$K$528,7),'Calc (scoring engine)'!$K$5:$K$528,0))),""))</ns0:f>
        <ns0:v/>
      </ns0:c>
      <ns0:c r="R27" s="55">
        <ns0:f>IF(OR(7&gt;MAX(3,MIN(15,N($D$18))),IFERROR(LARGE('Calc (scoring engine)'!$K$5:$K$528,7),-999999)&lt;=-900000),"",IFERROR(IF(INDEX(Database!$T$5:$T$528,MATCH(LARGE('Calc (scoring engine)'!$K$5:$K$528,7),'Calc (scoring engine)'!$K$5:$K$528,0))="","—",INDEX(Database!$T$5:$T$528,MATCH(LARGE('Calc (scoring engine)'!$K$5:$K$528,7),'Calc (scoring engine)'!$K$5:$K$528,0))),""))</ns0:f>
        <ns0:v/>
      </ns0:c>
      <ns0:c r="S27" s="56">
        <ns0:f>IF(OR(7&gt;MAX(3,MIN(15,N($D$18))),IFERROR(LARGE('Calc (scoring engine)'!$K$5:$K$528,7),-999999)&lt;=-900000),"",IFERROR(IF(INDEX(Database!$U$5:$U$528,MATCH(LARGE('Calc (scoring engine)'!$K$5:$K$528,7),'Calc (scoring engine)'!$K$5:$K$528,0))="","—",INDEX(Database!$U$5:$U$528,MATCH(LARGE('Calc (scoring engine)'!$K$5:$K$528,7),'Calc (scoring engine)'!$K$5:$K$528,0))),""))</ns0:f>
        <ns0:v/>
      </ns0:c>
      <ns0:c r="T27" s="57">
        <ns0:f>IF(OR(7&gt;MAX(3,MIN(15,N($D$18))),IFERROR(LARGE('Calc (scoring engine)'!$K$5:$K$528,7),-999999)&lt;=-900000),"",IFERROR(IF(INDEX(Database!$V$5:$V$528,MATCH(LARGE('Calc (scoring engine)'!$K$5:$K$528,7),'Calc (scoring engine)'!$K$5:$K$528,0))="","—",INDEX(Database!$V$5:$V$528,MATCH(LARGE('Calc (scoring engine)'!$K$5:$K$528,7),'Calc (scoring engine)'!$K$5:$K$528,0))),""))</ns0:f>
        <ns0:v/>
      </ns0:c>
      <ns0:c r="U27" s="44">
        <ns0:f>IF(OR(7&gt;MAX(3,MIN(15,N($D$18))),IFERROR(LARGE('Calc (scoring engine)'!$K$5:$K$528,7),-999999)&lt;=-900000),"",IFERROR(IF(INDEX(Database!$W$5:$W$528,MATCH(LARGE('Calc (scoring engine)'!$K$5:$K$528,7),'Calc (scoring engine)'!$K$5:$K$528,0))="","—",INDEX(Database!$W$5:$W$528,MATCH(LARGE('Calc (scoring engine)'!$K$5:$K$528,7),'Calc (scoring engine)'!$K$5:$K$528,0))),""))</ns0:f>
        <ns0:v/>
      </ns0:c>
      <ns0:c r="V27" s="24">
        <ns0:f>IF(OR(7&gt;MAX(3,MIN(15,N($D$18))),IFERROR(LARGE('Calc (scoring engine)'!$K$5:$K$528,7),-999999)&lt;=-900000),"",IFERROR(IF(INDEX(Database!$X$5:$X$528,MATCH(LARGE('Calc (scoring engine)'!$K$5:$K$528,7),'Calc (scoring engine)'!$K$5:$K$528,0))="","—",INDEX(Database!$X$5:$X$528,MATCH(LARGE('Calc (scoring engine)'!$K$5:$K$528,7),'Calc (scoring engine)'!$K$5:$K$528,0))),""))</ns0:f>
        <ns0:v/>
      </ns0:c>
      <ns0:c r="W27" s="34">
        <ns0:f>IF(OR(7&gt;MAX(3,MIN(15,N($D$18))),IFERROR(LARGE('Calc (scoring engine)'!$K$5:$K$528,7),-999999)&lt;=-900000),"",IFERROR(IF(INDEX(Database!$Y$5:$Y$528,MATCH(LARGE('Calc (scoring engine)'!$K$5:$K$528,7),'Calc (scoring engine)'!$K$5:$K$528,0))="","—",INDEX(Database!$Y$5:$Y$528,MATCH(LARGE('Calc (scoring engine)'!$K$5:$K$528,7),'Calc (scoring engine)'!$K$5:$K$528,0))),""))</ns0:f>
        <ns0:v/>
      </ns0:c>
      <ns0:c r="X27" s="34">
        <ns0:f>IF(OR(7&gt;MAX(3,MIN(15,N($D$18))),IFERROR(LARGE('Calc (scoring engine)'!$K$5:$K$528,7),-999999)&lt;=-900000),"",IFERROR(IF(INDEX(Database!$Z$5:$Z$528,MATCH(LARGE('Calc (scoring engine)'!$K$5:$K$528,7),'Calc (scoring engine)'!$K$5:$K$528,0))="","—",INDEX(Database!$Z$5:$Z$528,MATCH(LARGE('Calc (scoring engine)'!$K$5:$K$528,7),'Calc (scoring engine)'!$K$5:$K$528,0))),""))</ns0:f>
        <ns0:v/>
      </ns0:c>
      <ns0:c r="Y27" s="44">
        <ns0:f>IF(OR(7&gt;MAX(3,MIN(15,N($D$18))),IFERROR(LARGE('Calc (scoring engine)'!$K$5:$K$528,7),-999999)&lt;=-900000),"",IFERROR(IF(INDEX(Database!$AA$5:$AA$528,MATCH(LARGE('Calc (scoring engine)'!$K$5:$K$528,7),'Calc (scoring engine)'!$K$5:$K$528,0))="","—",INDEX(Database!$AA$5:$AA$528,MATCH(LARGE('Calc (scoring engine)'!$K$5:$K$528,7),'Calc (scoring engine)'!$K$5:$K$528,0))),""))</ns0:f>
        <ns0:v/>
      </ns0:c>
      <ns0:c r="Z27" s="24">
        <ns0:f>IF(OR(7&gt;MAX(3,MIN(15,N($D$18))),IFERROR(LARGE('Calc (scoring engine)'!$K$5:$K$528,7),-999999)&lt;=-900000),"",IFERROR(IF(INDEX(Database!$AB$5:$AB$528,MATCH(LARGE('Calc (scoring engine)'!$K$5:$K$528,7),'Calc (scoring engine)'!$K$5:$K$528,0))="","—",INDEX(Database!$AB$5:$AB$528,MATCH(LARGE('Calc (scoring engine)'!$K$5:$K$528,7),'Calc (scoring engine)'!$K$5:$K$528,0))),""))</ns0:f>
        <ns0:v/>
      </ns0:c>
      <ns0:c r="AA27" s="44">
        <ns0:f>IF(OR(7&gt;MAX(3,MIN(15,N($D$18))),IFERROR(LARGE('Calc (scoring engine)'!$K$5:$K$528,7),-999999)&lt;=-900000),"",IFERROR(IF(INDEX(Database!$AD$5:$AD$528,MATCH(LARGE('Calc (scoring engine)'!$K$5:$K$528,7),'Calc (scoring engine)'!$K$5:$K$528,0))="","—",INDEX(Database!$AD$5:$AD$528,MATCH(LARGE('Calc (scoring engine)'!$K$5:$K$528,7),'Calc (scoring engine)'!$K$5:$K$528,0))),""))</ns0:f>
        <ns0:v/>
      </ns0:c>
      <ns0:c r="AB27" s="24">
        <ns0:f>IF(OR(7&gt;MAX(3,MIN(15,N($D$18))),IFERROR(LARGE('Calc (scoring engine)'!$K$5:$K$528,7),-999999)&lt;=-900000),"",IFERROR(IF(INDEX(Database!$AE$5:$AE$528,MATCH(LARGE('Calc (scoring engine)'!$K$5:$K$528,7),'Calc (scoring engine)'!$K$5:$K$528,0))="","—",INDEX(Database!$AE$5:$AE$528,MATCH(LARGE('Calc (scoring engine)'!$K$5:$K$528,7),'Calc (scoring engine)'!$K$5:$K$528,0))),""))</ns0:f>
        <ns0:v/>
      </ns0:c>
      <ns0:c r="AC27" s="24">
        <ns0:f>IF(OR(7&gt;MAX(3,MIN(15,N($D$18))),IFERROR(LARGE('Calc (scoring engine)'!$K$5:$K$528,7),-999999)&lt;=-900000),"",IFERROR(IF(INDEX(Database!$AF$5:$AF$528,MATCH(LARGE('Calc (scoring engine)'!$K$5:$K$528,7),'Calc (scoring engine)'!$K$5:$K$528,0))="","—",INDEX(Database!$AF$5:$AF$528,MATCH(LARGE('Calc (scoring engine)'!$K$5:$K$528,7),'Calc (scoring engine)'!$K$5:$K$528,0))),""))</ns0:f>
        <ns0:v/>
      </ns0:c>
      <ns0:c r="AD27" s="24">
        <ns0:f>IF(OR(7&gt;MAX(3,MIN(15,N($D$18))),IFERROR(LARGE('Calc (scoring engine)'!$K$5:$K$528,7),-999999)&lt;=-900000),"",IFERROR(IF(INDEX(Database!$AG$5:$AG$528,MATCH(LARGE('Calc (scoring engine)'!$K$5:$K$528,7),'Calc (scoring engine)'!$K$5:$K$528,0))="","—",INDEX(Database!$AG$5:$AG$528,MATCH(LARGE('Calc (scoring engine)'!$K$5:$K$528,7),'Calc (scoring engine)'!$K$5:$K$528,0))),""))</ns0:f>
        <ns0:v/>
      </ns0:c>
      <ns0:c r="AE27" s="24">
        <ns0:f>IF(OR(7&gt;MAX(3,MIN(15,N($D$18))),IFERROR(LARGE('Calc (scoring engine)'!$K$5:$K$528,7),-999999)&lt;=-900000),"",IFERROR(IF(INDEX(Database!$AH$5:$AH$528,MATCH(LARGE('Calc (scoring engine)'!$K$5:$K$528,7),'Calc (scoring engine)'!$K$5:$K$528,0))="","—",INDEX(Database!$AH$5:$AH$528,MATCH(LARGE('Calc (scoring engine)'!$K$5:$K$528,7),'Calc (scoring engine)'!$K$5:$K$528,0))),""))</ns0:f>
        <ns0:v/>
      </ns0:c>
      <ns0:c r="AF27" s="38">
        <ns0:f>IF(OR(7&gt;MAX(3,MIN(15,N($D$18))),IFERROR(LARGE('Calc (scoring engine)'!$K$5:$K$528,7),-999999)&lt;=-900000),"",IFERROR(IF(INDEX(Database!$AI$5:$AI$528,MATCH(LARGE('Calc (scoring engine)'!$K$5:$K$528,7),'Calc (scoring engine)'!$K$5:$K$528,0))="","—",INDEX(Database!$AI$5:$AI$528,MATCH(LARGE('Calc (scoring engine)'!$K$5:$K$528,7),'Calc (scoring engine)'!$K$5:$K$528,0))),""))</ns0:f>
        <ns0:v/>
      </ns0:c>
      <ns0:c r="AG27" s="38">
        <ns0:f>IF(OR(7&gt;MAX(3,MIN(15,N($D$18))),IFERROR(LARGE('Calc (scoring engine)'!$K$5:$K$528,7),-999999)&lt;=-900000),"",IFERROR(IF(INDEX(Database!$AJ$5:$AJ$528,MATCH(LARGE('Calc (scoring engine)'!$K$5:$K$528,7),'Calc (scoring engine)'!$K$5:$K$528,0))="","—",INDEX(Database!$AJ$5:$AJ$528,MATCH(LARGE('Calc (scoring engine)'!$K$5:$K$528,7),'Calc (scoring engine)'!$K$5:$K$528,0))),""))</ns0:f>
        <ns0:v/>
      </ns0:c>
      <ns0:c r="AH27" s="38">
        <ns0:f>IF(OR(7&gt;MAX(3,MIN(15,N($D$18))),IFERROR(LARGE('Calc (scoring engine)'!$K$5:$K$528,7),-999999)&lt;=-900000),"",IFERROR(IF(INDEX(Database!$AK$5:$AK$528,MATCH(LARGE('Calc (scoring engine)'!$K$5:$K$528,7),'Calc (scoring engine)'!$K$5:$K$528,0))="","—",INDEX(Database!$AK$5:$AK$528,MATCH(LARGE('Calc (scoring engine)'!$K$5:$K$528,7),'Calc (scoring engine)'!$K$5:$K$528,0))),""))</ns0:f>
        <ns0:v/>
      </ns0:c>
      <ns0:c r="AI27" s="38">
        <ns0:f>IF(OR(7&gt;MAX(3,MIN(15,N($D$18))),IFERROR(LARGE('Calc (scoring engine)'!$K$5:$K$528,7),-999999)&lt;=-900000),"",IFERROR(IF(INDEX(Database!$AL$5:$AL$528,MATCH(LARGE('Calc (scoring engine)'!$K$5:$K$528,7),'Calc (scoring engine)'!$K$5:$K$528,0))="","—",INDEX(Database!$AL$5:$AL$528,MATCH(LARGE('Calc (scoring engine)'!$K$5:$K$528,7),'Calc (scoring engine)'!$K$5:$K$528,0))),""))</ns0:f>
        <ns0:v/>
      </ns0:c>
      <ns0:c r="AJ27" s="38">
        <ns0:f>IF(OR(7&gt;MAX(3,MIN(15,N($D$18))),IFERROR(LARGE('Calc (scoring engine)'!$K$5:$K$528,7),-999999)&lt;=-900000),"",IFERROR(IF(INDEX(Database!$AM$5:$AM$528,MATCH(LARGE('Calc (scoring engine)'!$K$5:$K$528,7),'Calc (scoring engine)'!$K$5:$K$528,0))="","—",INDEX(Database!$AM$5:$AM$528,MATCH(LARGE('Calc (scoring engine)'!$K$5:$K$528,7),'Calc (scoring engine)'!$K$5:$K$528,0))),""))</ns0:f>
        <ns0:v/>
      </ns0:c>
      <ns0:c r="AK27" s="39">
        <ns0:f>IF(OR(7&gt;MAX(3,MIN(15,N($D$18))),IFERROR(LARGE('Calc (scoring engine)'!$K$5:$K$528,7),-999999)&lt;=-900000),"",IFERROR(IF(INDEX(Database!$AN$5:$AN$528,MATCH(LARGE('Calc (scoring engine)'!$K$5:$K$528,7),'Calc (scoring engine)'!$K$5:$K$528,0))="","—",INDEX(Database!$AN$5:$AN$528,MATCH(LARGE('Calc (scoring engine)'!$K$5:$K$528,7),'Calc (scoring engine)'!$K$5:$K$528,0))),""))</ns0:f>
        <ns0:v/>
      </ns0:c>
      <ns0:c r="AL27" s="44">
        <ns0:f>IF(OR(7&gt;MAX(3,MIN(15,N($D$18))),IFERROR(LARGE('Calc (scoring engine)'!$K$5:$K$528,7),-999999)&lt;=-900000),"",IFERROR(IF(INDEX(Database!$AO$5:$AO$528,MATCH(LARGE('Calc (scoring engine)'!$K$5:$K$528,7),'Calc (scoring engine)'!$K$5:$K$528,0))="","—",INDEX(Database!$AO$5:$AO$528,MATCH(LARGE('Calc (scoring engine)'!$K$5:$K$528,7),'Calc (scoring engine)'!$K$5:$K$528,0))),""))</ns0:f>
        <ns0:v/>
      </ns0:c>
      <ns0:c r="AM27" s="38">
        <ns0:f>IF(OR(7&gt;MAX(3,MIN(15,N($D$18))),IFERROR(LARGE('Calc (scoring engine)'!$K$5:$K$528,7),-999999)&lt;=-900000),"",IFERROR(IF(INDEX(Database!$AP$5:$AP$528,MATCH(LARGE('Calc (scoring engine)'!$K$5:$K$528,7),'Calc (scoring engine)'!$K$5:$K$528,0))="","—",INDEX(Database!$AP$5:$AP$528,MATCH(LARGE('Calc (scoring engine)'!$K$5:$K$528,7),'Calc (scoring engine)'!$K$5:$K$528,0))),""))</ns0:f>
        <ns0:v/>
      </ns0:c>
      <ns0:c r="AN27" s="38">
        <ns0:f>IF(OR(7&gt;MAX(3,MIN(15,N($D$18))),IFERROR(LARGE('Calc (scoring engine)'!$K$5:$K$528,7),-999999)&lt;=-900000),"",IFERROR(IF(INDEX(Database!$AQ$5:$AQ$528,MATCH(LARGE('Calc (scoring engine)'!$K$5:$K$528,7),'Calc (scoring engine)'!$K$5:$K$528,0))="","—",INDEX(Database!$AQ$5:$AQ$528,MATCH(LARGE('Calc (scoring engine)'!$K$5:$K$528,7),'Calc (scoring engine)'!$K$5:$K$528,0))),""))</ns0:f>
        <ns0:v/>
      </ns0:c>
      <ns0:c r="AO27" s="38">
        <ns0:f>IF(OR(7&gt;MAX(3,MIN(15,N($D$18))),IFERROR(LARGE('Calc (scoring engine)'!$K$5:$K$528,7),-999999)&lt;=-900000),"",IFERROR(IF(INDEX(Database!$AR$5:$AR$528,MATCH(LARGE('Calc (scoring engine)'!$K$5:$K$528,7),'Calc (scoring engine)'!$K$5:$K$528,0))="","—",INDEX(Database!$AR$5:$AR$528,MATCH(LARGE('Calc (scoring engine)'!$K$5:$K$528,7),'Calc (scoring engine)'!$K$5:$K$528,0))),""))</ns0:f>
        <ns0:v/>
      </ns0:c>
      <ns0:c r="AP27" s="38">
        <ns0:f>IF(OR(7&gt;MAX(3,MIN(15,N($D$18))),IFERROR(LARGE('Calc (scoring engine)'!$K$5:$K$528,7),-999999)&lt;=-900000),"",IFERROR(IF(INDEX(Database!$AS$5:$AS$528,MATCH(LARGE('Calc (scoring engine)'!$K$5:$K$528,7),'Calc (scoring engine)'!$K$5:$K$528,0))="","—",INDEX(Database!$AS$5:$AS$528,MATCH(LARGE('Calc (scoring engine)'!$K$5:$K$528,7),'Calc (scoring engine)'!$K$5:$K$528,0))),""))</ns0:f>
        <ns0:v/>
      </ns0:c>
      <ns0:c r="AQ27" s="38">
        <ns0:f>IF(OR(7&gt;MAX(3,MIN(15,N($D$18))),IFERROR(LARGE('Calc (scoring engine)'!$K$5:$K$528,7),-999999)&lt;=-900000),"",IFERROR(IF(INDEX(Database!$AT$5:$AT$528,MATCH(LARGE('Calc (scoring engine)'!$K$5:$K$528,7),'Calc (scoring engine)'!$K$5:$K$528,0))="","—",INDEX(Database!$AT$5:$AT$528,MATCH(LARGE('Calc (scoring engine)'!$K$5:$K$528,7),'Calc (scoring engine)'!$K$5:$K$528,0))),""))</ns0:f>
        <ns0:v/>
      </ns0:c>
      <ns0:c r="AR27" s="38">
        <ns0:f>IF(OR(7&gt;MAX(3,MIN(15,N($D$18))),IFERROR(LARGE('Calc (scoring engine)'!$K$5:$K$528,7),-999999)&lt;=-900000),"",IFERROR(IF(INDEX(Database!$AU$5:$AU$528,MATCH(LARGE('Calc (scoring engine)'!$K$5:$K$528,7),'Calc (scoring engine)'!$K$5:$K$528,0))="","—",INDEX(Database!$AU$5:$AU$528,MATCH(LARGE('Calc (scoring engine)'!$K$5:$K$528,7),'Calc (scoring engine)'!$K$5:$K$528,0))),""))</ns0:f>
        <ns0:v/>
      </ns0:c>
      <ns0:c r="AS27" s="38">
        <ns0:f>IF(OR(7&gt;MAX(3,MIN(15,N($D$18))),IFERROR(LARGE('Calc (scoring engine)'!$K$5:$K$528,7),-999999)&lt;=-900000),"",IFERROR(IF(INDEX(Database!$AV$5:$AV$528,MATCH(LARGE('Calc (scoring engine)'!$K$5:$K$528,7),'Calc (scoring engine)'!$K$5:$K$528,0))="","—",INDEX(Database!$AV$5:$AV$528,MATCH(LARGE('Calc (scoring engine)'!$K$5:$K$528,7),'Calc (scoring engine)'!$K$5:$K$528,0))),""))</ns0:f>
        <ns0:v/>
      </ns0:c>
      <ns0:c r="AT27" s="38">
        <ns0:f>IF(OR(7&gt;MAX(3,MIN(15,N($D$18))),IFERROR(LARGE('Calc (scoring engine)'!$K$5:$K$528,7),-999999)&lt;=-900000),"",IFERROR(IF(INDEX(Database!$AW$5:$AW$528,MATCH(LARGE('Calc (scoring engine)'!$K$5:$K$528,7),'Calc (scoring engine)'!$K$5:$K$528,0))="","—",INDEX(Database!$AW$5:$AW$528,MATCH(LARGE('Calc (scoring engine)'!$K$5:$K$528,7),'Calc (scoring engine)'!$K$5:$K$528,0))),""))</ns0:f>
        <ns0:v/>
      </ns0:c>
      <ns0:c r="AU27" s="38">
        <ns0:f>IF(OR(7&gt;MAX(3,MIN(15,N($D$18))),IFERROR(LARGE('Calc (scoring engine)'!$K$5:$K$528,7),-999999)&lt;=-900000),"",IFERROR(IF(INDEX(Database!$AX$5:$AX$528,MATCH(LARGE('Calc (scoring engine)'!$K$5:$K$528,7),'Calc (scoring engine)'!$K$5:$K$528,0))="","—",INDEX(Database!$AX$5:$AX$528,MATCH(LARGE('Calc (scoring engine)'!$K$5:$K$528,7),'Calc (scoring engine)'!$K$5:$K$528,0))),""))</ns0:f>
        <ns0:v/>
      </ns0:c>
      <ns0:c r="AV27" s="38">
        <ns0:f>IF(OR(7&gt;MAX(3,MIN(15,N($D$18))),IFERROR(LARGE('Calc (scoring engine)'!$K$5:$K$528,7),-999999)&lt;=-900000),"",IFERROR(IF(INDEX(Database!$AY$5:$AY$528,MATCH(LARGE('Calc (scoring engine)'!$K$5:$K$528,7),'Calc (scoring engine)'!$K$5:$K$528,0))="","—",INDEX(Database!$AY$5:$AY$528,MATCH(LARGE('Calc (scoring engine)'!$K$5:$K$528,7),'Calc (scoring engine)'!$K$5:$K$528,0))),""))</ns0:f>
        <ns0:v/>
      </ns0:c>
      <ns0:c r="AW27" s="38">
        <ns0:f>IF(OR(7&gt;MAX(3,MIN(15,N($D$18))),IFERROR(LARGE('Calc (scoring engine)'!$K$5:$K$528,7),-999999)&lt;=-900000),"",IFERROR(IF(INDEX(Database!$AZ$5:$AZ$528,MATCH(LARGE('Calc (scoring engine)'!$K$5:$K$528,7),'Calc (scoring engine)'!$K$5:$K$528,0))="","—",INDEX(Database!$AZ$5:$AZ$528,MATCH(LARGE('Calc (scoring engine)'!$K$5:$K$528,7),'Calc (scoring engine)'!$K$5:$K$528,0))),""))</ns0:f>
        <ns0:v/>
      </ns0:c>
      <ns0:c r="AX27" s="38">
        <ns0:f>IF(OR(7&gt;MAX(3,MIN(15,N($D$18))),IFERROR(LARGE('Calc (scoring engine)'!$K$5:$K$528,7),-999999)&lt;=-900000),"",IFERROR(IF(INDEX(Database!$BA$5:$BA$528,MATCH(LARGE('Calc (scoring engine)'!$K$5:$K$528,7),'Calc (scoring engine)'!$K$5:$K$528,0))="","—",INDEX(Database!$BA$5:$BA$528,MATCH(LARGE('Calc (scoring engine)'!$K$5:$K$528,7),'Calc (scoring engine)'!$K$5:$K$528,0))),""))</ns0:f>
        <ns0:v/>
      </ns0:c>
      <ns0:c r="AY27" s="38">
        <ns0:f>IF(OR(7&gt;MAX(3,MIN(15,N($D$18))),IFERROR(LARGE('Calc (scoring engine)'!$K$5:$K$528,7),-999999)&lt;=-900000),"",IFERROR(IF(INDEX(Database!$BC$5:$BC$528,MATCH(LARGE('Calc (scoring engine)'!$K$5:$K$528,7),'Calc (scoring engine)'!$K$5:$K$528,0))="","—",INDEX(Database!$BC$5:$BC$528,MATCH(LARGE('Calc (scoring engine)'!$K$5:$K$528,7),'Calc (scoring engine)'!$K$5:$K$528,0))),""))</ns0:f>
        <ns0:v/>
      </ns0:c>
      <ns0:c r="AZ27" s="34">
        <ns0:f>IF(OR(7&gt;MAX(3,MIN(15,N($D$18))),IFERROR(LARGE('Calc (scoring engine)'!$K$5:$K$528,7),-999999)&lt;=-900000),"",IFERROR(IF(INDEX(Database!$BE$5:$BE$528,MATCH(LARGE('Calc (scoring engine)'!$K$5:$K$528,7),'Calc (scoring engine)'!$K$5:$K$528,0))="","—",INDEX(Database!$BE$5:$BE$528,MATCH(LARGE('Calc (scoring engine)'!$K$5:$K$528,7),'Calc (scoring engine)'!$K$5:$K$528,0))),""))</ns0:f>
        <ns0:v/>
      </ns0:c>
      <ns0:c r="BA27" s="34">
        <ns0:f>IF(OR(7&gt;MAX(3,MIN(15,N($D$18))),IFERROR(LARGE('Calc (scoring engine)'!$K$5:$K$528,7),-999999)&lt;=-900000),"",IFERROR(IF(INDEX(Database!$BF$5:$BF$528,MATCH(LARGE('Calc (scoring engine)'!$K$5:$K$528,7),'Calc (scoring engine)'!$K$5:$K$528,0))="","—",INDEX(Database!$BF$5:$BF$528,MATCH(LARGE('Calc (scoring engine)'!$K$5:$K$528,7),'Calc (scoring engine)'!$K$5:$K$528,0))),""))</ns0:f>
        <ns0:v/>
      </ns0:c>
      <ns0:c r="BB27" s="24">
        <ns0:f>IF(OR(7&gt;MAX(3,MIN(15,N($D$18))),IFERROR(LARGE('Calc (scoring engine)'!$K$5:$K$528,7),-999999)&lt;=-900000),"",IFERROR(IF(INDEX(Database!$BG$5:$BG$528,MATCH(LARGE('Calc (scoring engine)'!$K$5:$K$528,7),'Calc (scoring engine)'!$K$5:$K$528,0))="","—",INDEX(Database!$BG$5:$BG$528,MATCH(LARGE('Calc (scoring engine)'!$K$5:$K$528,7),'Calc (scoring engine)'!$K$5:$K$528,0))),""))</ns0:f>
        <ns0:v/>
      </ns0:c>
      <ns0:c r="BC27" s="39">
        <ns0:f>IF(OR(7&gt;MAX(3,MIN(15,N($D$18))),IFERROR(LARGE('Calc (scoring engine)'!$K$5:$K$528,7),-999999)&lt;=-900000),"",IFERROR(IF(N(INDEX(Database!$BH$5:$BH$528,MATCH(LARGE('Calc (scoring engine)'!$K$5:$K$528,7),'Calc (scoring engine)'!$K$5:$K$528,0)))&lt;=0,IF(INDEX(Database!$BG$5:$BG$528,MATCH(LARGE('Calc (scoring engine)'!$K$5:$K$528,7),'Calc (scoring engine)'!$K$5:$K$528,0))="N","n/m","—"),INDEX(Database!$BH$5:$BH$528,MATCH(LARGE('Calc (scoring engine)'!$K$5:$K$528,7),'Calc (scoring engine)'!$K$5:$K$528,0))),""))</ns0:f>
        <ns0:v/>
      </ns0:c>
      <ns0:c r="BD27" s="39">
        <ns0:f>IF(OR(7&gt;MAX(3,MIN(15,N($D$18))),IFERROR(LARGE('Calc (scoring engine)'!$K$5:$K$528,7),-999999)&lt;=-900000),"",IFERROR(IF(INDEX(Database!$BI$5:$BI$528,MATCH(LARGE('Calc (scoring engine)'!$K$5:$K$528,7),'Calc (scoring engine)'!$K$5:$K$528,0))="","—",INDEX(Database!$BI$5:$BI$528,MATCH(LARGE('Calc (scoring engine)'!$K$5:$K$528,7),'Calc (scoring engine)'!$K$5:$K$528,0))),""))</ns0:f>
        <ns0:v/>
      </ns0:c>
      <ns0:c r="BE27" s="39">
        <ns0:f>IF(OR(7&gt;MAX(3,MIN(15,N($D$18))),IFERROR(LARGE('Calc (scoring engine)'!$K$5:$K$528,7),-999999)&lt;=-900000),"",IFERROR(IF(INDEX(Database!$BJ$5:$BJ$528,MATCH(LARGE('Calc (scoring engine)'!$K$5:$K$528,7),'Calc (scoring engine)'!$K$5:$K$528,0))="","—",INDEX(Database!$BJ$5:$BJ$528,MATCH(LARGE('Calc (scoring engine)'!$K$5:$K$528,7),'Calc (scoring engine)'!$K$5:$K$528,0))),""))</ns0:f>
        <ns0:v/>
      </ns0:c>
      <ns0:c r="BF27" s="39">
        <ns0:f>IF(OR(7&gt;MAX(3,MIN(15,N($D$18))),IFERROR(LARGE('Calc (scoring engine)'!$K$5:$K$528,7),-999999)&lt;=-900000),"",IFERROR(IF(INDEX(Database!$BK$5:$BK$528,MATCH(LARGE('Calc (scoring engine)'!$K$5:$K$528,7),'Calc (scoring engine)'!$K$5:$K$528,0))="","—",INDEX(Database!$BK$5:$BK$528,MATCH(LARGE('Calc (scoring engine)'!$K$5:$K$528,7),'Calc (scoring engine)'!$K$5:$K$528,0))),""))</ns0:f>
        <ns0:v/>
      </ns0:c>
      <ns0:c r="BG27" s="39">
        <ns0:f>IF(OR(7&gt;MAX(3,MIN(15,N($D$18))),IFERROR(LARGE('Calc (scoring engine)'!$K$5:$K$528,7),-999999)&lt;=-900000),"",IFERROR(IF(INDEX(Database!$BL$5:$BL$528,MATCH(LARGE('Calc (scoring engine)'!$K$5:$K$528,7),'Calc (scoring engine)'!$K$5:$K$528,0))="","—",INDEX(Database!$BL$5:$BL$528,MATCH(LARGE('Calc (scoring engine)'!$K$5:$K$528,7),'Calc (scoring engine)'!$K$5:$K$528,0))),""))</ns0:f>
        <ns0:v/>
      </ns0:c>
      <ns0:c r="BH27" s="39">
        <ns0:f>IF(OR(7&gt;MAX(3,MIN(15,N($D$18))),IFERROR(LARGE('Calc (scoring engine)'!$K$5:$K$528,7),-999999)&lt;=-900000),"",IFERROR(IFERROR(BDP(TEXT(INDEX(Database!$A$5:$A$528,MATCH(LARGE('Calc (scoring engine)'!$K$5:$K$528,7),'Calc (scoring engine)'!$K$5:$K$528,0)),"0")&amp;" HK Equity","PE_RATIO"),IF(INDEX(Database!$BJ$5:$BJ$528,MATCH(LARGE('Calc (scoring engine)'!$K$5:$K$528,7),'Calc (scoring engine)'!$K$5:$K$528,0))="","—",INDEX(Database!$BJ$5:$BJ$528,MATCH(LARGE('Calc (scoring engine)'!$K$5:$K$528,7),'Calc (scoring engine)'!$K$5:$K$528,0)))),""))</ns0:f>
        <ns0:v/>
      </ns0:c>
      <ns0:c r="BI27" s="39">
        <ns0:f>IF(OR(7&gt;MAX(3,MIN(15,N($D$18))),IFERROR(LARGE('Calc (scoring engine)'!$K$5:$K$528,7),-999999)&lt;=-900000),"",IFERROR(IFERROR(BDP(TEXT(INDEX(Database!$A$5:$A$528,MATCH(LARGE('Calc (scoring engine)'!$K$5:$K$528,7),'Calc (scoring engine)'!$K$5:$K$528,0)),"0")&amp;" HK Equity","PX_TO_SALES_RATIO"),IF(INDEX(Database!$BK$5:$BK$528,MATCH(LARGE('Calc (scoring engine)'!$K$5:$K$528,7),'Calc (scoring engine)'!$K$5:$K$528,0))="","—",INDEX(Database!$BK$5:$BK$528,MATCH(LARGE('Calc (scoring engine)'!$K$5:$K$528,7),'Calc (scoring engine)'!$K$5:$K$528,0)))),""))</ns0:f>
        <ns0:v/>
      </ns0:c>
      <ns0:c r="BJ27" s="24">
        <ns0:f>IF(OR(7&gt;MAX(3,MIN(15,N($D$18))),IFERROR(LARGE('Calc (scoring engine)'!$K$5:$K$528,7),-999999)&lt;=-900000),"",IFERROR(IF(INDEX(Database!$BM$5:$BM$528,MATCH(LARGE('Calc (scoring engine)'!$K$5:$K$528,7),'Calc (scoring engine)'!$K$5:$K$528,0))="","—",INDEX(Database!$BM$5:$BM$528,MATCH(LARGE('Calc (scoring engine)'!$K$5:$K$528,7),'Calc (scoring engine)'!$K$5:$K$528,0))),""))</ns0:f>
        <ns0:v/>
      </ns0:c>
      <ns0:c r="BK27" s="24">
        <ns0:f>IF(OR(7&gt;MAX(3,MIN(15,N($D$18))),IFERROR(LARGE('Calc (scoring engine)'!$K$5:$K$528,7),-999999)&lt;=-900000),"",IFERROR(IF(INDEX(Database!$BN$5:$BN$528,MATCH(LARGE('Calc (scoring engine)'!$K$5:$K$528,7),'Calc (scoring engine)'!$K$5:$K$528,0))="","—",INDEX(Database!$BN$5:$BN$528,MATCH(LARGE('Calc (scoring engine)'!$K$5:$K$528,7),'Calc (scoring engine)'!$K$5:$K$528,0))),""))</ns0:f>
        <ns0:v/>
      </ns0:c>
      <ns0:c r="BL27" s="38">
        <ns0:f>IF(OR(7&gt;MAX(3,MIN(15,N($D$18))),IFERROR(LARGE('Calc (scoring engine)'!$K$5:$K$528,7),-999999)&lt;=-900000),"",IFERROR(IF(INDEX(Database!$BO$5:$BO$528,MATCH(LARGE('Calc (scoring engine)'!$K$5:$K$528,7),'Calc (scoring engine)'!$K$5:$K$528,0))="","—",INDEX(Database!$BO$5:$BO$528,MATCH(LARGE('Calc (scoring engine)'!$K$5:$K$528,7),'Calc (scoring engine)'!$K$5:$K$528,0))),""))</ns0:f>
        <ns0:v/>
      </ns0:c>
      <ns0:c r="BM27" s="54">
        <ns0:f>IF(OR(7&gt;MAX(3,MIN(15,N($D$18))),IFERROR(LARGE('Calc (scoring engine)'!$K$5:$K$528,7),-999999)&lt;=-900000),"",IFERROR(IF(INDEX(Database!$BP$5:$BP$528,MATCH(LARGE('Calc (scoring engine)'!$K$5:$K$528,7),'Calc (scoring engine)'!$K$5:$K$528,0))="","—",INDEX(Database!$BP$5:$BP$528,MATCH(LARGE('Calc (scoring engine)'!$K$5:$K$528,7),'Calc (scoring engine)'!$K$5:$K$528,0))),""))</ns0:f>
        <ns0:v/>
      </ns0:c>
      <ns0:c r="BN27" s="58">
        <ns0:f>IF(OR(7&gt;MAX(3,MIN(15,N($D$18))),IFERROR(LARGE('Calc (scoring engine)'!$K$5:$K$528,7),-999999)&lt;=-900000),"",IFERROR(IF(INDEX(Database!$BQ$5:$BQ$528,MATCH(LARGE('Calc (scoring engine)'!$K$5:$K$528,7),'Calc (scoring engine)'!$K$5:$K$528,0))="","—",INDEX(Database!$BQ$5:$BQ$528,MATCH(LARGE('Calc (scoring engine)'!$K$5:$K$528,7),'Calc (scoring engine)'!$K$5:$K$528,0))),""))</ns0:f>
        <ns0:v/>
      </ns0:c>
      <ns0:c r="BO27" s="34">
        <ns0:f>IF(OR(7&gt;MAX(3,MIN(15,N($D$18))),IFERROR(LARGE('Calc (scoring engine)'!$K$5:$K$528,7),-999999)&lt;=-900000),"",IFERROR(IF(INDEX(Database!$BR$5:$BR$528,MATCH(LARGE('Calc (scoring engine)'!$K$5:$K$528,7),'Calc (scoring engine)'!$K$5:$K$528,0))="","—",INDEX(Database!$BR$5:$BR$528,MATCH(LARGE('Calc (scoring engine)'!$K$5:$K$528,7),'Calc (scoring engine)'!$K$5:$K$528,0))),""))</ns0:f>
        <ns0:v/>
      </ns0:c>
      <ns0:c r="BP27" s="39">
        <ns0:f>IF(OR(7&gt;MAX(3,MIN(15,N($D$18))),IFERROR(LARGE('Calc (scoring engine)'!$K$5:$K$528,7),-999999)&lt;=-900000),"",IFERROR(IF(INDEX(Database!$BS$5:$BS$528,MATCH(LARGE('Calc (scoring engine)'!$K$5:$K$528,7),'Calc (scoring engine)'!$K$5:$K$528,0))="","—",INDEX(Database!$BS$5:$BS$528,MATCH(LARGE('Calc (scoring engine)'!$K$5:$K$528,7),'Calc (scoring engine)'!$K$5:$K$528,0))),""))</ns0:f>
        <ns0:v/>
      </ns0:c>
      <ns0:c r="BQ27" s="39">
        <ns0:f>IF(OR(7&gt;MAX(3,MIN(15,N($D$18))),IFERROR(LARGE('Calc (scoring engine)'!$K$5:$K$528,7),-999999)&lt;=-900000),"",IFERROR(IF(INDEX(Database!$BT$5:$BT$528,MATCH(LARGE('Calc (scoring engine)'!$K$5:$K$528,7),'Calc (scoring engine)'!$K$5:$K$528,0))="","—",INDEX(Database!$BT$5:$BT$528,MATCH(LARGE('Calc (scoring engine)'!$K$5:$K$528,7),'Calc (scoring engine)'!$K$5:$K$528,0))),""))</ns0:f>
        <ns0:v/>
      </ns0:c>
      <ns0:c r="BR27" s="24">
        <ns0:f>IF(OR(7&gt;MAX(3,MIN(15,N($D$18))),IFERROR(LARGE('Calc (scoring engine)'!$K$5:$K$528,7),-999999)&lt;=-900000),"",IFERROR(IF(INDEX(Database!$BU$5:$BU$528,MATCH(LARGE('Calc (scoring engine)'!$K$5:$K$528,7),'Calc (scoring engine)'!$K$5:$K$528,0))="","—",INDEX(Database!$BU$5:$BU$528,MATCH(LARGE('Calc (scoring engine)'!$K$5:$K$528,7),'Calc (scoring engine)'!$K$5:$K$528,0))),""))</ns0:f>
        <ns0:v/>
      </ns0:c>
      <ns0:c r="BS27" s="24">
        <ns0:f>IF(OR(7&gt;MAX(3,MIN(15,N($D$18))),IFERROR(LARGE('Calc (scoring engine)'!$K$5:$K$528,7),-999999)&lt;=-900000),"",IFERROR(IF(INDEX(Database!$BW$5:$BW$528,MATCH(LARGE('Calc (scoring engine)'!$K$5:$K$528,7),'Calc (scoring engine)'!$K$5:$K$528,0))="","—",INDEX(Database!$BW$5:$BW$528,MATCH(LARGE('Calc (scoring engine)'!$K$5:$K$528,7),'Calc (scoring engine)'!$K$5:$K$528,0))),""))</ns0:f>
        <ns0:v/>
      </ns0:c>
      <ns0:c r="BT27" s="57">
        <ns0:f>IF(OR(7&gt;MAX(3,MIN(15,N($D$18))),IFERROR(LARGE('Calc (scoring engine)'!$K$5:$K$528,7),-999999)&lt;=-900000),"",IFERROR(IF(INDEX('Calc (scoring engine)'!$H$5:$H$528,MATCH(LARGE('Calc (scoring engine)'!$K$5:$K$528,7),'Calc (scoring engine)'!$K$5:$K$528,0))&gt;0,INDEX('Calc (scoring engine)'!$H$5:$H$528,MATCH(LARGE('Calc (scoring engine)'!$K$5:$K$528,7),'Calc (scoring engine)'!$K$5:$K$528,0)),""),""))</ns0:f>
        <ns0:v/>
      </ns0:c>
      <ns0:c r="BU27" s="24">
        <ns0:f>IF(OR(7&gt;MAX(3,MIN(15,N($D$18))),IFERROR(LARGE('Calc (scoring engine)'!$K$5:$K$528,7),-999999)&lt;=-900000),"",IF(IFERROR(INDEX('Calc (scoring engine)'!$B$5:$B$528,MATCH(LARGE('Calc (scoring engine)'!$K$5:$K$528,7),'Calc (scoring engine)'!$K$5:$K$528,0)),0)=1,"same subsector","sector only"))</ns0:f>
        <ns0:v/>
      </ns0:c>
      <ns0:c r="BV27" s="57">
        <ns0:f>IF(OR(7&gt;MAX(3,MIN(15,N($D$18))),IFERROR(LARGE('Calc (scoring engine)'!$K$5:$K$528,7),-999999)&lt;=-900000),"",ROUND(IFERROR(LARGE('Calc (scoring engine)'!$K$5:$K$528,7),0),0))</ns0:f>
        <ns0:v/>
      </ns0:c>
      <ns0:c r="BW27" s="24">
        <ns0:f>IF(OR(7&gt;MAX(3,MIN(15,N($D$18))),IFERROR(LARGE('Calc (scoring engine)'!$K$5:$K$528,7),-999999)&lt;=-900000),"",IFERROR("sub "&amp;INDEX('Calc (scoring engine)'!$B$5:$B$528,MATCH(LARGE('Calc (scoring engine)'!$K$5:$K$528,7),'Calc (scoring engine)'!$K$5:$K$528,0))*W_SUB&amp;" + size "&amp;ROUND(INDEX('Calc (scoring engine)'!$D$5:$D$528,MATCH(LARGE('Calc (scoring engine)'!$K$5:$K$528,7),'Calc (scoring engine)'!$K$5:$K$528,0))*W_SIZE,0)&amp;" + prof "&amp;INDEX('Calc (scoring engine)'!$E$5:$E$528,MATCH(LARGE('Calc (scoring engine)'!$K$5:$K$528,7),'Calc (scoring engine)'!$K$5:$K$528,0))*W_PROF&amp;" + recency "&amp;ROUND(INDEX('Calc (scoring engine)'!$G$5:$G$528,MATCH(LARGE('Calc (scoring engine)'!$K$5:$K$528,7),'Calc (scoring engine)'!$K$5:$K$528,0))*W_REC,0)&amp;IF(INDEX('Calc (scoring engine)'!$H$5:$H$528,MATCH(LARGE('Calc (scoring engine)'!$K$5:$K$528,7),'Calc (scoring engine)'!$K$5:$K$528,0))&gt;0," + shared CS x"&amp;INDEX('Calc (scoring engine)'!$H$5:$H$528,MATCH(LARGE('Calc (scoring engine)'!$K$5:$K$528,7),'Calc (scoring engine)'!$K$5:$K$528,0)),""),""))</ns0:f>
        <ns0:v/>
      </ns0:c>
    </ns0:row>
    <ns0:row r="28">
      <ns0:c r="A28" s="52">
        <ns0:f>IF(OR(8&gt;MAX(3,MIN(15,N($D$18))),IFERROR(LARGE('Calc (scoring engine)'!$K$5:$K$528,8),-999999)&lt;=-900000),"",8)</ns0:f>
        <ns0:v/>
      </ns0:c>
      <ns0:c r="B28" s="24">
        <ns0:f>IF(OR(8&gt;MAX(3,MIN(15,N($D$18))),IFERROR(LARGE('Calc (scoring engine)'!$K$5:$K$528,8),-999999)&lt;=-900000),"",IFERROR(IF(INDEX(Database!$B$5:$B$528,MATCH(LARGE('Calc (scoring engine)'!$K$5:$K$528,8),'Calc (scoring engine)'!$K$5:$K$528,0))="","—",INDEX(Database!$B$5:$B$528,MATCH(LARGE('Calc (scoring engine)'!$K$5:$K$528,8),'Calc (scoring engine)'!$K$5:$K$528,0))),""))</ns0:f>
        <ns0:v/>
      </ns0:c>
      <ns0:c r="C28" s="53">
        <ns0:f>IF(OR(8&gt;MAX(3,MIN(15,N($D$18))),IFERROR(LARGE('Calc (scoring engine)'!$K$5:$K$528,8),-999999)&lt;=-900000),"",IFERROR(IF(INDEX(Database!$A$5:$A$528,MATCH(LARGE('Calc (scoring engine)'!$K$5:$K$528,8),'Calc (scoring engine)'!$K$5:$K$528,0))="","—",INDEX(Database!$A$5:$A$528,MATCH(LARGE('Calc (scoring engine)'!$K$5:$K$528,8),'Calc (scoring engine)'!$K$5:$K$528,0))),""))</ns0:f>
        <ns0:v/>
      </ns0:c>
      <ns0:c r="D28" s="24">
        <ns0:f>IF(OR(8&gt;MAX(3,MIN(15,N($D$18))),IFERROR(LARGE('Calc (scoring engine)'!$K$5:$K$528,8),-999999)&lt;=-900000),"",IFERROR(IF(INDEX(Database!$D$5:$D$528,MATCH(LARGE('Calc (scoring engine)'!$K$5:$K$528,8),'Calc (scoring engine)'!$K$5:$K$528,0))="","—",INDEX(Database!$D$5:$D$528,MATCH(LARGE('Calc (scoring engine)'!$K$5:$K$528,8),'Calc (scoring engine)'!$K$5:$K$528,0))),""))</ns0:f>
        <ns0:v/>
      </ns0:c>
      <ns0:c r="E28" s="24">
        <ns0:f>IF(OR(8&gt;MAX(3,MIN(15,N($D$18))),IFERROR(LARGE('Calc (scoring engine)'!$K$5:$K$528,8),-999999)&lt;=-900000),"",IFERROR(IF(INDEX(Database!$E$5:$E$528,MATCH(LARGE('Calc (scoring engine)'!$K$5:$K$528,8),'Calc (scoring engine)'!$K$5:$K$528,0))="","—",INDEX(Database!$E$5:$E$528,MATCH(LARGE('Calc (scoring engine)'!$K$5:$K$528,8),'Calc (scoring engine)'!$K$5:$K$528,0))),""))</ns0:f>
        <ns0:v/>
      </ns0:c>
      <ns0:c r="F28" s="24">
        <ns0:f>IF(OR(8&gt;MAX(3,MIN(15,N($D$18))),IFERROR(LARGE('Calc (scoring engine)'!$K$5:$K$528,8),-999999)&lt;=-900000),"",IFERROR(IF(INDEX(Database!$F$5:$F$528,MATCH(LARGE('Calc (scoring engine)'!$K$5:$K$528,8),'Calc (scoring engine)'!$K$5:$K$528,0))="","—",INDEX(Database!$F$5:$F$528,MATCH(LARGE('Calc (scoring engine)'!$K$5:$K$528,8),'Calc (scoring engine)'!$K$5:$K$528,0))),""))</ns0:f>
        <ns0:v/>
      </ns0:c>
      <ns0:c r="G28" s="24">
        <ns0:f>IF(OR(8&gt;MAX(3,MIN(15,N($D$18))),IFERROR(LARGE('Calc (scoring engine)'!$K$5:$K$528,8),-999999)&lt;=-900000),"",IFERROR(IF(INDEX(Database!$G$5:$G$528,MATCH(LARGE('Calc (scoring engine)'!$K$5:$K$528,8),'Calc (scoring engine)'!$K$5:$K$528,0))="","—",INDEX(Database!$G$5:$G$528,MATCH(LARGE('Calc (scoring engine)'!$K$5:$K$528,8),'Calc (scoring engine)'!$K$5:$K$528,0))),""))</ns0:f>
        <ns0:v/>
      </ns0:c>
      <ns0:c r="H28" s="36">
        <ns0:f>IF(OR(8&gt;MAX(3,MIN(15,N($D$18))),IFERROR(LARGE('Calc (scoring engine)'!$K$5:$K$528,8),-999999)&lt;=-900000),"",IFERROR(IF(INDEX(Database!$H$5:$H$528,MATCH(LARGE('Calc (scoring engine)'!$K$5:$K$528,8),'Calc (scoring engine)'!$K$5:$K$528,0))="","—",INDEX(Database!$H$5:$H$528,MATCH(LARGE('Calc (scoring engine)'!$K$5:$K$528,8),'Calc (scoring engine)'!$K$5:$K$528,0))),""))</ns0:f>
        <ns0:v/>
      </ns0:c>
      <ns0:c r="I28" s="34">
        <ns0:f>IF(OR(8&gt;MAX(3,MIN(15,N($D$18))),IFERROR(LARGE('Calc (scoring engine)'!$K$5:$K$528,8),-999999)&lt;=-900000),"",IFERROR(IF(INDEX(Database!$I$5:$I$528,MATCH(LARGE('Calc (scoring engine)'!$K$5:$K$528,8),'Calc (scoring engine)'!$K$5:$K$528,0))="","—",INDEX(Database!$I$5:$I$528,MATCH(LARGE('Calc (scoring engine)'!$K$5:$K$528,8),'Calc (scoring engine)'!$K$5:$K$528,0))),""))</ns0:f>
        <ns0:v/>
      </ns0:c>
      <ns0:c r="J28" s="54">
        <ns0:f>IF(OR(8&gt;MAX(3,MIN(15,N($D$18))),IFERROR(LARGE('Calc (scoring engine)'!$K$5:$K$528,8),-999999)&lt;=-900000),"",IFERROR(IF(INDEX(Database!$K$5:$K$528,MATCH(LARGE('Calc (scoring engine)'!$K$5:$K$528,8),'Calc (scoring engine)'!$K$5:$K$528,0))="","—",INDEX(Database!$K$5:$K$528,MATCH(LARGE('Calc (scoring engine)'!$K$5:$K$528,8),'Calc (scoring engine)'!$K$5:$K$528,0))),""))</ns0:f>
        <ns0:v/>
      </ns0:c>
      <ns0:c r="K28" s="54">
        <ns0:f>IF(OR(8&gt;MAX(3,MIN(15,N($D$18))),IFERROR(LARGE('Calc (scoring engine)'!$K$5:$K$528,8),-999999)&lt;=-900000),"",IFERROR(IF(INDEX(Database!$L$5:$L$528,MATCH(LARGE('Calc (scoring engine)'!$K$5:$K$528,8),'Calc (scoring engine)'!$K$5:$K$528,0))="","—",INDEX(Database!$L$5:$L$528,MATCH(LARGE('Calc (scoring engine)'!$K$5:$K$528,8),'Calc (scoring engine)'!$K$5:$K$528,0))),""))</ns0:f>
        <ns0:v/>
      </ns0:c>
      <ns0:c r="L28" s="54">
        <ns0:f>IF(OR(8&gt;MAX(3,MIN(15,N($D$18))),IFERROR(LARGE('Calc (scoring engine)'!$K$5:$K$528,8),-999999)&lt;=-900000),"",IFERROR(IF(INDEX(Database!$M$5:$M$528,MATCH(LARGE('Calc (scoring engine)'!$K$5:$K$528,8),'Calc (scoring engine)'!$K$5:$K$528,0))="","—",INDEX(Database!$M$5:$M$528,MATCH(LARGE('Calc (scoring engine)'!$K$5:$K$528,8),'Calc (scoring engine)'!$K$5:$K$528,0))),""))</ns0:f>
        <ns0:v/>
      </ns0:c>
      <ns0:c r="M28" s="24">
        <ns0:f>IF(OR(8&gt;MAX(3,MIN(15,N($D$18))),IFERROR(LARGE('Calc (scoring engine)'!$K$5:$K$528,8),-999999)&lt;=-900000),"",IFERROR(IF(INDEX(Database!$N$5:$N$528,MATCH(LARGE('Calc (scoring engine)'!$K$5:$K$528,8),'Calc (scoring engine)'!$K$5:$K$528,0))="","—",INDEX(Database!$N$5:$N$528,MATCH(LARGE('Calc (scoring engine)'!$K$5:$K$528,8),'Calc (scoring engine)'!$K$5:$K$528,0))),""))</ns0:f>
        <ns0:v/>
      </ns0:c>
      <ns0:c r="N28" s="44">
        <ns0:f>IF(OR(8&gt;MAX(3,MIN(15,N($D$18))),IFERROR(LARGE('Calc (scoring engine)'!$K$5:$K$528,8),-999999)&lt;=-900000),"",IFERROR(IF(INDEX(Database!$O$5:$O$528,MATCH(LARGE('Calc (scoring engine)'!$K$5:$K$528,8),'Calc (scoring engine)'!$K$5:$K$528,0))="","—",INDEX(Database!$O$5:$O$528,MATCH(LARGE('Calc (scoring engine)'!$K$5:$K$528,8),'Calc (scoring engine)'!$K$5:$K$528,0))),""))</ns0:f>
        <ns0:v/>
      </ns0:c>
      <ns0:c r="O28" s="44">
        <ns0:f>IF(OR(8&gt;MAX(3,MIN(15,N($D$18))),IFERROR(LARGE('Calc (scoring engine)'!$K$5:$K$528,8),-999999)&lt;=-900000),"",IFERROR(IF(INDEX(Database!$P$5:$P$528,MATCH(LARGE('Calc (scoring engine)'!$K$5:$K$528,8),'Calc (scoring engine)'!$K$5:$K$528,0))="","—",INDEX(Database!$P$5:$P$528,MATCH(LARGE('Calc (scoring engine)'!$K$5:$K$528,8),'Calc (scoring engine)'!$K$5:$K$528,0))),""))</ns0:f>
        <ns0:v/>
      </ns0:c>
      <ns0:c r="P28" s="34">
        <ns0:f>IF(OR(8&gt;MAX(3,MIN(15,N($D$18))),IFERROR(LARGE('Calc (scoring engine)'!$K$5:$K$528,8),-999999)&lt;=-900000),"",IFERROR(IF(INDEX(Database!$Q$5:$Q$528,MATCH(LARGE('Calc (scoring engine)'!$K$5:$K$528,8),'Calc (scoring engine)'!$K$5:$K$528,0))="","—",INDEX(Database!$Q$5:$Q$528,MATCH(LARGE('Calc (scoring engine)'!$K$5:$K$528,8),'Calc (scoring engine)'!$K$5:$K$528,0))),""))</ns0:f>
        <ns0:v/>
      </ns0:c>
      <ns0:c r="Q28" s="41">
        <ns0:f>IF(OR(8&gt;MAX(3,MIN(15,N($D$18))),IFERROR(LARGE('Calc (scoring engine)'!$K$5:$K$528,8),-999999)&lt;=-900000),"",IFERROR(IF(INDEX(Database!$S$5:$S$528,MATCH(LARGE('Calc (scoring engine)'!$K$5:$K$528,8),'Calc (scoring engine)'!$K$5:$K$528,0))="","—",INDEX(Database!$S$5:$S$528,MATCH(LARGE('Calc (scoring engine)'!$K$5:$K$528,8),'Calc (scoring engine)'!$K$5:$K$528,0))),""))</ns0:f>
        <ns0:v/>
      </ns0:c>
      <ns0:c r="R28" s="55">
        <ns0:f>IF(OR(8&gt;MAX(3,MIN(15,N($D$18))),IFERROR(LARGE('Calc (scoring engine)'!$K$5:$K$528,8),-999999)&lt;=-900000),"",IFERROR(IF(INDEX(Database!$T$5:$T$528,MATCH(LARGE('Calc (scoring engine)'!$K$5:$K$528,8),'Calc (scoring engine)'!$K$5:$K$528,0))="","—",INDEX(Database!$T$5:$T$528,MATCH(LARGE('Calc (scoring engine)'!$K$5:$K$528,8),'Calc (scoring engine)'!$K$5:$K$528,0))),""))</ns0:f>
        <ns0:v/>
      </ns0:c>
      <ns0:c r="S28" s="56">
        <ns0:f>IF(OR(8&gt;MAX(3,MIN(15,N($D$18))),IFERROR(LARGE('Calc (scoring engine)'!$K$5:$K$528,8),-999999)&lt;=-900000),"",IFERROR(IF(INDEX(Database!$U$5:$U$528,MATCH(LARGE('Calc (scoring engine)'!$K$5:$K$528,8),'Calc (scoring engine)'!$K$5:$K$528,0))="","—",INDEX(Database!$U$5:$U$528,MATCH(LARGE('Calc (scoring engine)'!$K$5:$K$528,8),'Calc (scoring engine)'!$K$5:$K$528,0))),""))</ns0:f>
        <ns0:v/>
      </ns0:c>
      <ns0:c r="T28" s="57">
        <ns0:f>IF(OR(8&gt;MAX(3,MIN(15,N($D$18))),IFERROR(LARGE('Calc (scoring engine)'!$K$5:$K$528,8),-999999)&lt;=-900000),"",IFERROR(IF(INDEX(Database!$V$5:$V$528,MATCH(LARGE('Calc (scoring engine)'!$K$5:$K$528,8),'Calc (scoring engine)'!$K$5:$K$528,0))="","—",INDEX(Database!$V$5:$V$528,MATCH(LARGE('Calc (scoring engine)'!$K$5:$K$528,8),'Calc (scoring engine)'!$K$5:$K$528,0))),""))</ns0:f>
        <ns0:v/>
      </ns0:c>
      <ns0:c r="U28" s="44">
        <ns0:f>IF(OR(8&gt;MAX(3,MIN(15,N($D$18))),IFERROR(LARGE('Calc (scoring engine)'!$K$5:$K$528,8),-999999)&lt;=-900000),"",IFERROR(IF(INDEX(Database!$W$5:$W$528,MATCH(LARGE('Calc (scoring engine)'!$K$5:$K$528,8),'Calc (scoring engine)'!$K$5:$K$528,0))="","—",INDEX(Database!$W$5:$W$528,MATCH(LARGE('Calc (scoring engine)'!$K$5:$K$528,8),'Calc (scoring engine)'!$K$5:$K$528,0))),""))</ns0:f>
        <ns0:v/>
      </ns0:c>
      <ns0:c r="V28" s="24">
        <ns0:f>IF(OR(8&gt;MAX(3,MIN(15,N($D$18))),IFERROR(LARGE('Calc (scoring engine)'!$K$5:$K$528,8),-999999)&lt;=-900000),"",IFERROR(IF(INDEX(Database!$X$5:$X$528,MATCH(LARGE('Calc (scoring engine)'!$K$5:$K$528,8),'Calc (scoring engine)'!$K$5:$K$528,0))="","—",INDEX(Database!$X$5:$X$528,MATCH(LARGE('Calc (scoring engine)'!$K$5:$K$528,8),'Calc (scoring engine)'!$K$5:$K$528,0))),""))</ns0:f>
        <ns0:v/>
      </ns0:c>
      <ns0:c r="W28" s="34">
        <ns0:f>IF(OR(8&gt;MAX(3,MIN(15,N($D$18))),IFERROR(LARGE('Calc (scoring engine)'!$K$5:$K$528,8),-999999)&lt;=-900000),"",IFERROR(IF(INDEX(Database!$Y$5:$Y$528,MATCH(LARGE('Calc (scoring engine)'!$K$5:$K$528,8),'Calc (scoring engine)'!$K$5:$K$528,0))="","—",INDEX(Database!$Y$5:$Y$528,MATCH(LARGE('Calc (scoring engine)'!$K$5:$K$528,8),'Calc (scoring engine)'!$K$5:$K$528,0))),""))</ns0:f>
        <ns0:v/>
      </ns0:c>
      <ns0:c r="X28" s="34">
        <ns0:f>IF(OR(8&gt;MAX(3,MIN(15,N($D$18))),IFERROR(LARGE('Calc (scoring engine)'!$K$5:$K$528,8),-999999)&lt;=-900000),"",IFERROR(IF(INDEX(Database!$Z$5:$Z$528,MATCH(LARGE('Calc (scoring engine)'!$K$5:$K$528,8),'Calc (scoring engine)'!$K$5:$K$528,0))="","—",INDEX(Database!$Z$5:$Z$528,MATCH(LARGE('Calc (scoring engine)'!$K$5:$K$528,8),'Calc (scoring engine)'!$K$5:$K$528,0))),""))</ns0:f>
        <ns0:v/>
      </ns0:c>
      <ns0:c r="Y28" s="44">
        <ns0:f>IF(OR(8&gt;MAX(3,MIN(15,N($D$18))),IFERROR(LARGE('Calc (scoring engine)'!$K$5:$K$528,8),-999999)&lt;=-900000),"",IFERROR(IF(INDEX(Database!$AA$5:$AA$528,MATCH(LARGE('Calc (scoring engine)'!$K$5:$K$528,8),'Calc (scoring engine)'!$K$5:$K$528,0))="","—",INDEX(Database!$AA$5:$AA$528,MATCH(LARGE('Calc (scoring engine)'!$K$5:$K$528,8),'Calc (scoring engine)'!$K$5:$K$528,0))),""))</ns0:f>
        <ns0:v/>
      </ns0:c>
      <ns0:c r="Z28" s="24">
        <ns0:f>IF(OR(8&gt;MAX(3,MIN(15,N($D$18))),IFERROR(LARGE('Calc (scoring engine)'!$K$5:$K$528,8),-999999)&lt;=-900000),"",IFERROR(IF(INDEX(Database!$AB$5:$AB$528,MATCH(LARGE('Calc (scoring engine)'!$K$5:$K$528,8),'Calc (scoring engine)'!$K$5:$K$528,0))="","—",INDEX(Database!$AB$5:$AB$528,MATCH(LARGE('Calc (scoring engine)'!$K$5:$K$528,8),'Calc (scoring engine)'!$K$5:$K$528,0))),""))</ns0:f>
        <ns0:v/>
      </ns0:c>
      <ns0:c r="AA28" s="44">
        <ns0:f>IF(OR(8&gt;MAX(3,MIN(15,N($D$18))),IFERROR(LARGE('Calc (scoring engine)'!$K$5:$K$528,8),-999999)&lt;=-900000),"",IFERROR(IF(INDEX(Database!$AD$5:$AD$528,MATCH(LARGE('Calc (scoring engine)'!$K$5:$K$528,8),'Calc (scoring engine)'!$K$5:$K$528,0))="","—",INDEX(Database!$AD$5:$AD$528,MATCH(LARGE('Calc (scoring engine)'!$K$5:$K$528,8),'Calc (scoring engine)'!$K$5:$K$528,0))),""))</ns0:f>
        <ns0:v/>
      </ns0:c>
      <ns0:c r="AB28" s="24">
        <ns0:f>IF(OR(8&gt;MAX(3,MIN(15,N($D$18))),IFERROR(LARGE('Calc (scoring engine)'!$K$5:$K$528,8),-999999)&lt;=-900000),"",IFERROR(IF(INDEX(Database!$AE$5:$AE$528,MATCH(LARGE('Calc (scoring engine)'!$K$5:$K$528,8),'Calc (scoring engine)'!$K$5:$K$528,0))="","—",INDEX(Database!$AE$5:$AE$528,MATCH(LARGE('Calc (scoring engine)'!$K$5:$K$528,8),'Calc (scoring engine)'!$K$5:$K$528,0))),""))</ns0:f>
        <ns0:v/>
      </ns0:c>
      <ns0:c r="AC28" s="24">
        <ns0:f>IF(OR(8&gt;MAX(3,MIN(15,N($D$18))),IFERROR(LARGE('Calc (scoring engine)'!$K$5:$K$528,8),-999999)&lt;=-900000),"",IFERROR(IF(INDEX(Database!$AF$5:$AF$528,MATCH(LARGE('Calc (scoring engine)'!$K$5:$K$528,8),'Calc (scoring engine)'!$K$5:$K$528,0))="","—",INDEX(Database!$AF$5:$AF$528,MATCH(LARGE('Calc (scoring engine)'!$K$5:$K$528,8),'Calc (scoring engine)'!$K$5:$K$528,0))),""))</ns0:f>
        <ns0:v/>
      </ns0:c>
      <ns0:c r="AD28" s="24">
        <ns0:f>IF(OR(8&gt;MAX(3,MIN(15,N($D$18))),IFERROR(LARGE('Calc (scoring engine)'!$K$5:$K$528,8),-999999)&lt;=-900000),"",IFERROR(IF(INDEX(Database!$AG$5:$AG$528,MATCH(LARGE('Calc (scoring engine)'!$K$5:$K$528,8),'Calc (scoring engine)'!$K$5:$K$528,0))="","—",INDEX(Database!$AG$5:$AG$528,MATCH(LARGE('Calc (scoring engine)'!$K$5:$K$528,8),'Calc (scoring engine)'!$K$5:$K$528,0))),""))</ns0:f>
        <ns0:v/>
      </ns0:c>
      <ns0:c r="AE28" s="24">
        <ns0:f>IF(OR(8&gt;MAX(3,MIN(15,N($D$18))),IFERROR(LARGE('Calc (scoring engine)'!$K$5:$K$528,8),-999999)&lt;=-900000),"",IFERROR(IF(INDEX(Database!$AH$5:$AH$528,MATCH(LARGE('Calc (scoring engine)'!$K$5:$K$528,8),'Calc (scoring engine)'!$K$5:$K$528,0))="","—",INDEX(Database!$AH$5:$AH$528,MATCH(LARGE('Calc (scoring engine)'!$K$5:$K$528,8),'Calc (scoring engine)'!$K$5:$K$528,0))),""))</ns0:f>
        <ns0:v/>
      </ns0:c>
      <ns0:c r="AF28" s="38">
        <ns0:f>IF(OR(8&gt;MAX(3,MIN(15,N($D$18))),IFERROR(LARGE('Calc (scoring engine)'!$K$5:$K$528,8),-999999)&lt;=-900000),"",IFERROR(IF(INDEX(Database!$AI$5:$AI$528,MATCH(LARGE('Calc (scoring engine)'!$K$5:$K$528,8),'Calc (scoring engine)'!$K$5:$K$528,0))="","—",INDEX(Database!$AI$5:$AI$528,MATCH(LARGE('Calc (scoring engine)'!$K$5:$K$528,8),'Calc (scoring engine)'!$K$5:$K$528,0))),""))</ns0:f>
        <ns0:v/>
      </ns0:c>
      <ns0:c r="AG28" s="38">
        <ns0:f>IF(OR(8&gt;MAX(3,MIN(15,N($D$18))),IFERROR(LARGE('Calc (scoring engine)'!$K$5:$K$528,8),-999999)&lt;=-900000),"",IFERROR(IF(INDEX(Database!$AJ$5:$AJ$528,MATCH(LARGE('Calc (scoring engine)'!$K$5:$K$528,8),'Calc (scoring engine)'!$K$5:$K$528,0))="","—",INDEX(Database!$AJ$5:$AJ$528,MATCH(LARGE('Calc (scoring engine)'!$K$5:$K$528,8),'Calc (scoring engine)'!$K$5:$K$528,0))),""))</ns0:f>
        <ns0:v/>
      </ns0:c>
      <ns0:c r="AH28" s="38">
        <ns0:f>IF(OR(8&gt;MAX(3,MIN(15,N($D$18))),IFERROR(LARGE('Calc (scoring engine)'!$K$5:$K$528,8),-999999)&lt;=-900000),"",IFERROR(IF(INDEX(Database!$AK$5:$AK$528,MATCH(LARGE('Calc (scoring engine)'!$K$5:$K$528,8),'Calc (scoring engine)'!$K$5:$K$528,0))="","—",INDEX(Database!$AK$5:$AK$528,MATCH(LARGE('Calc (scoring engine)'!$K$5:$K$528,8),'Calc (scoring engine)'!$K$5:$K$528,0))),""))</ns0:f>
        <ns0:v/>
      </ns0:c>
      <ns0:c r="AI28" s="38">
        <ns0:f>IF(OR(8&gt;MAX(3,MIN(15,N($D$18))),IFERROR(LARGE('Calc (scoring engine)'!$K$5:$K$528,8),-999999)&lt;=-900000),"",IFERROR(IF(INDEX(Database!$AL$5:$AL$528,MATCH(LARGE('Calc (scoring engine)'!$K$5:$K$528,8),'Calc (scoring engine)'!$K$5:$K$528,0))="","—",INDEX(Database!$AL$5:$AL$528,MATCH(LARGE('Calc (scoring engine)'!$K$5:$K$528,8),'Calc (scoring engine)'!$K$5:$K$528,0))),""))</ns0:f>
        <ns0:v/>
      </ns0:c>
      <ns0:c r="AJ28" s="38">
        <ns0:f>IF(OR(8&gt;MAX(3,MIN(15,N($D$18))),IFERROR(LARGE('Calc (scoring engine)'!$K$5:$K$528,8),-999999)&lt;=-900000),"",IFERROR(IF(INDEX(Database!$AM$5:$AM$528,MATCH(LARGE('Calc (scoring engine)'!$K$5:$K$528,8),'Calc (scoring engine)'!$K$5:$K$528,0))="","—",INDEX(Database!$AM$5:$AM$528,MATCH(LARGE('Calc (scoring engine)'!$K$5:$K$528,8),'Calc (scoring engine)'!$K$5:$K$528,0))),""))</ns0:f>
        <ns0:v/>
      </ns0:c>
      <ns0:c r="AK28" s="39">
        <ns0:f>IF(OR(8&gt;MAX(3,MIN(15,N($D$18))),IFERROR(LARGE('Calc (scoring engine)'!$K$5:$K$528,8),-999999)&lt;=-900000),"",IFERROR(IF(INDEX(Database!$AN$5:$AN$528,MATCH(LARGE('Calc (scoring engine)'!$K$5:$K$528,8),'Calc (scoring engine)'!$K$5:$K$528,0))="","—",INDEX(Database!$AN$5:$AN$528,MATCH(LARGE('Calc (scoring engine)'!$K$5:$K$528,8),'Calc (scoring engine)'!$K$5:$K$528,0))),""))</ns0:f>
        <ns0:v/>
      </ns0:c>
      <ns0:c r="AL28" s="44">
        <ns0:f>IF(OR(8&gt;MAX(3,MIN(15,N($D$18))),IFERROR(LARGE('Calc (scoring engine)'!$K$5:$K$528,8),-999999)&lt;=-900000),"",IFERROR(IF(INDEX(Database!$AO$5:$AO$528,MATCH(LARGE('Calc (scoring engine)'!$K$5:$K$528,8),'Calc (scoring engine)'!$K$5:$K$528,0))="","—",INDEX(Database!$AO$5:$AO$528,MATCH(LARGE('Calc (scoring engine)'!$K$5:$K$528,8),'Calc (scoring engine)'!$K$5:$K$528,0))),""))</ns0:f>
        <ns0:v/>
      </ns0:c>
      <ns0:c r="AM28" s="38">
        <ns0:f>IF(OR(8&gt;MAX(3,MIN(15,N($D$18))),IFERROR(LARGE('Calc (scoring engine)'!$K$5:$K$528,8),-999999)&lt;=-900000),"",IFERROR(IF(INDEX(Database!$AP$5:$AP$528,MATCH(LARGE('Calc (scoring engine)'!$K$5:$K$528,8),'Calc (scoring engine)'!$K$5:$K$528,0))="","—",INDEX(Database!$AP$5:$AP$528,MATCH(LARGE('Calc (scoring engine)'!$K$5:$K$528,8),'Calc (scoring engine)'!$K$5:$K$528,0))),""))</ns0:f>
        <ns0:v/>
      </ns0:c>
      <ns0:c r="AN28" s="38">
        <ns0:f>IF(OR(8&gt;MAX(3,MIN(15,N($D$18))),IFERROR(LARGE('Calc (scoring engine)'!$K$5:$K$528,8),-999999)&lt;=-900000),"",IFERROR(IF(INDEX(Database!$AQ$5:$AQ$528,MATCH(LARGE('Calc (scoring engine)'!$K$5:$K$528,8),'Calc (scoring engine)'!$K$5:$K$528,0))="","—",INDEX(Database!$AQ$5:$AQ$528,MATCH(LARGE('Calc (scoring engine)'!$K$5:$K$528,8),'Calc (scoring engine)'!$K$5:$K$528,0))),""))</ns0:f>
        <ns0:v/>
      </ns0:c>
      <ns0:c r="AO28" s="38">
        <ns0:f>IF(OR(8&gt;MAX(3,MIN(15,N($D$18))),IFERROR(LARGE('Calc (scoring engine)'!$K$5:$K$528,8),-999999)&lt;=-900000),"",IFERROR(IF(INDEX(Database!$AR$5:$AR$528,MATCH(LARGE('Calc (scoring engine)'!$K$5:$K$528,8),'Calc (scoring engine)'!$K$5:$K$528,0))="","—",INDEX(Database!$AR$5:$AR$528,MATCH(LARGE('Calc (scoring engine)'!$K$5:$K$528,8),'Calc (scoring engine)'!$K$5:$K$528,0))),""))</ns0:f>
        <ns0:v/>
      </ns0:c>
      <ns0:c r="AP28" s="38">
        <ns0:f>IF(OR(8&gt;MAX(3,MIN(15,N($D$18))),IFERROR(LARGE('Calc (scoring engine)'!$K$5:$K$528,8),-999999)&lt;=-900000),"",IFERROR(IF(INDEX(Database!$AS$5:$AS$528,MATCH(LARGE('Calc (scoring engine)'!$K$5:$K$528,8),'Calc (scoring engine)'!$K$5:$K$528,0))="","—",INDEX(Database!$AS$5:$AS$528,MATCH(LARGE('Calc (scoring engine)'!$K$5:$K$528,8),'Calc (scoring engine)'!$K$5:$K$528,0))),""))</ns0:f>
        <ns0:v/>
      </ns0:c>
      <ns0:c r="AQ28" s="38">
        <ns0:f>IF(OR(8&gt;MAX(3,MIN(15,N($D$18))),IFERROR(LARGE('Calc (scoring engine)'!$K$5:$K$528,8),-999999)&lt;=-900000),"",IFERROR(IF(INDEX(Database!$AT$5:$AT$528,MATCH(LARGE('Calc (scoring engine)'!$K$5:$K$528,8),'Calc (scoring engine)'!$K$5:$K$528,0))="","—",INDEX(Database!$AT$5:$AT$528,MATCH(LARGE('Calc (scoring engine)'!$K$5:$K$528,8),'Calc (scoring engine)'!$K$5:$K$528,0))),""))</ns0:f>
        <ns0:v/>
      </ns0:c>
      <ns0:c r="AR28" s="38">
        <ns0:f>IF(OR(8&gt;MAX(3,MIN(15,N($D$18))),IFERROR(LARGE('Calc (scoring engine)'!$K$5:$K$528,8),-999999)&lt;=-900000),"",IFERROR(IF(INDEX(Database!$AU$5:$AU$528,MATCH(LARGE('Calc (scoring engine)'!$K$5:$K$528,8),'Calc (scoring engine)'!$K$5:$K$528,0))="","—",INDEX(Database!$AU$5:$AU$528,MATCH(LARGE('Calc (scoring engine)'!$K$5:$K$528,8),'Calc (scoring engine)'!$K$5:$K$528,0))),""))</ns0:f>
        <ns0:v/>
      </ns0:c>
      <ns0:c r="AS28" s="38">
        <ns0:f>IF(OR(8&gt;MAX(3,MIN(15,N($D$18))),IFERROR(LARGE('Calc (scoring engine)'!$K$5:$K$528,8),-999999)&lt;=-900000),"",IFERROR(IF(INDEX(Database!$AV$5:$AV$528,MATCH(LARGE('Calc (scoring engine)'!$K$5:$K$528,8),'Calc (scoring engine)'!$K$5:$K$528,0))="","—",INDEX(Database!$AV$5:$AV$528,MATCH(LARGE('Calc (scoring engine)'!$K$5:$K$528,8),'Calc (scoring engine)'!$K$5:$K$528,0))),""))</ns0:f>
        <ns0:v/>
      </ns0:c>
      <ns0:c r="AT28" s="38">
        <ns0:f>IF(OR(8&gt;MAX(3,MIN(15,N($D$18))),IFERROR(LARGE('Calc (scoring engine)'!$K$5:$K$528,8),-999999)&lt;=-900000),"",IFERROR(IF(INDEX(Database!$AW$5:$AW$528,MATCH(LARGE('Calc (scoring engine)'!$K$5:$K$528,8),'Calc (scoring engine)'!$K$5:$K$528,0))="","—",INDEX(Database!$AW$5:$AW$528,MATCH(LARGE('Calc (scoring engine)'!$K$5:$K$528,8),'Calc (scoring engine)'!$K$5:$K$528,0))),""))</ns0:f>
        <ns0:v/>
      </ns0:c>
      <ns0:c r="AU28" s="38">
        <ns0:f>IF(OR(8&gt;MAX(3,MIN(15,N($D$18))),IFERROR(LARGE('Calc (scoring engine)'!$K$5:$K$528,8),-999999)&lt;=-900000),"",IFERROR(IF(INDEX(Database!$AX$5:$AX$528,MATCH(LARGE('Calc (scoring engine)'!$K$5:$K$528,8),'Calc (scoring engine)'!$K$5:$K$528,0))="","—",INDEX(Database!$AX$5:$AX$528,MATCH(LARGE('Calc (scoring engine)'!$K$5:$K$528,8),'Calc (scoring engine)'!$K$5:$K$528,0))),""))</ns0:f>
        <ns0:v/>
      </ns0:c>
      <ns0:c r="AV28" s="38">
        <ns0:f>IF(OR(8&gt;MAX(3,MIN(15,N($D$18))),IFERROR(LARGE('Calc (scoring engine)'!$K$5:$K$528,8),-999999)&lt;=-900000),"",IFERROR(IF(INDEX(Database!$AY$5:$AY$528,MATCH(LARGE('Calc (scoring engine)'!$K$5:$K$528,8),'Calc (scoring engine)'!$K$5:$K$528,0))="","—",INDEX(Database!$AY$5:$AY$528,MATCH(LARGE('Calc (scoring engine)'!$K$5:$K$528,8),'Calc (scoring engine)'!$K$5:$K$528,0))),""))</ns0:f>
        <ns0:v/>
      </ns0:c>
      <ns0:c r="AW28" s="38">
        <ns0:f>IF(OR(8&gt;MAX(3,MIN(15,N($D$18))),IFERROR(LARGE('Calc (scoring engine)'!$K$5:$K$528,8),-999999)&lt;=-900000),"",IFERROR(IF(INDEX(Database!$AZ$5:$AZ$528,MATCH(LARGE('Calc (scoring engine)'!$K$5:$K$528,8),'Calc (scoring engine)'!$K$5:$K$528,0))="","—",INDEX(Database!$AZ$5:$AZ$528,MATCH(LARGE('Calc (scoring engine)'!$K$5:$K$528,8),'Calc (scoring engine)'!$K$5:$K$528,0))),""))</ns0:f>
        <ns0:v/>
      </ns0:c>
      <ns0:c r="AX28" s="38">
        <ns0:f>IF(OR(8&gt;MAX(3,MIN(15,N($D$18))),IFERROR(LARGE('Calc (scoring engine)'!$K$5:$K$528,8),-999999)&lt;=-900000),"",IFERROR(IF(INDEX(Database!$BA$5:$BA$528,MATCH(LARGE('Calc (scoring engine)'!$K$5:$K$528,8),'Calc (scoring engine)'!$K$5:$K$528,0))="","—",INDEX(Database!$BA$5:$BA$528,MATCH(LARGE('Calc (scoring engine)'!$K$5:$K$528,8),'Calc (scoring engine)'!$K$5:$K$528,0))),""))</ns0:f>
        <ns0:v/>
      </ns0:c>
      <ns0:c r="AY28" s="38">
        <ns0:f>IF(OR(8&gt;MAX(3,MIN(15,N($D$18))),IFERROR(LARGE('Calc (scoring engine)'!$K$5:$K$528,8),-999999)&lt;=-900000),"",IFERROR(IF(INDEX(Database!$BC$5:$BC$528,MATCH(LARGE('Calc (scoring engine)'!$K$5:$K$528,8),'Calc (scoring engine)'!$K$5:$K$528,0))="","—",INDEX(Database!$BC$5:$BC$528,MATCH(LARGE('Calc (scoring engine)'!$K$5:$K$528,8),'Calc (scoring engine)'!$K$5:$K$528,0))),""))</ns0:f>
        <ns0:v/>
      </ns0:c>
      <ns0:c r="AZ28" s="34">
        <ns0:f>IF(OR(8&gt;MAX(3,MIN(15,N($D$18))),IFERROR(LARGE('Calc (scoring engine)'!$K$5:$K$528,8),-999999)&lt;=-900000),"",IFERROR(IF(INDEX(Database!$BE$5:$BE$528,MATCH(LARGE('Calc (scoring engine)'!$K$5:$K$528,8),'Calc (scoring engine)'!$K$5:$K$528,0))="","—",INDEX(Database!$BE$5:$BE$528,MATCH(LARGE('Calc (scoring engine)'!$K$5:$K$528,8),'Calc (scoring engine)'!$K$5:$K$528,0))),""))</ns0:f>
        <ns0:v/>
      </ns0:c>
      <ns0:c r="BA28" s="34">
        <ns0:f>IF(OR(8&gt;MAX(3,MIN(15,N($D$18))),IFERROR(LARGE('Calc (scoring engine)'!$K$5:$K$528,8),-999999)&lt;=-900000),"",IFERROR(IF(INDEX(Database!$BF$5:$BF$528,MATCH(LARGE('Calc (scoring engine)'!$K$5:$K$528,8),'Calc (scoring engine)'!$K$5:$K$528,0))="","—",INDEX(Database!$BF$5:$BF$528,MATCH(LARGE('Calc (scoring engine)'!$K$5:$K$528,8),'Calc (scoring engine)'!$K$5:$K$528,0))),""))</ns0:f>
        <ns0:v/>
      </ns0:c>
      <ns0:c r="BB28" s="24">
        <ns0:f>IF(OR(8&gt;MAX(3,MIN(15,N($D$18))),IFERROR(LARGE('Calc (scoring engine)'!$K$5:$K$528,8),-999999)&lt;=-900000),"",IFERROR(IF(INDEX(Database!$BG$5:$BG$528,MATCH(LARGE('Calc (scoring engine)'!$K$5:$K$528,8),'Calc (scoring engine)'!$K$5:$K$528,0))="","—",INDEX(Database!$BG$5:$BG$528,MATCH(LARGE('Calc (scoring engine)'!$K$5:$K$528,8),'Calc (scoring engine)'!$K$5:$K$528,0))),""))</ns0:f>
        <ns0:v/>
      </ns0:c>
      <ns0:c r="BC28" s="39">
        <ns0:f>IF(OR(8&gt;MAX(3,MIN(15,N($D$18))),IFERROR(LARGE('Calc (scoring engine)'!$K$5:$K$528,8),-999999)&lt;=-900000),"",IFERROR(IF(N(INDEX(Database!$BH$5:$BH$528,MATCH(LARGE('Calc (scoring engine)'!$K$5:$K$528,8),'Calc (scoring engine)'!$K$5:$K$528,0)))&lt;=0,IF(INDEX(Database!$BG$5:$BG$528,MATCH(LARGE('Calc (scoring engine)'!$K$5:$K$528,8),'Calc (scoring engine)'!$K$5:$K$528,0))="N","n/m","—"),INDEX(Database!$BH$5:$BH$528,MATCH(LARGE('Calc (scoring engine)'!$K$5:$K$528,8),'Calc (scoring engine)'!$K$5:$K$528,0))),""))</ns0:f>
        <ns0:v/>
      </ns0:c>
      <ns0:c r="BD28" s="39">
        <ns0:f>IF(OR(8&gt;MAX(3,MIN(15,N($D$18))),IFERROR(LARGE('Calc (scoring engine)'!$K$5:$K$528,8),-999999)&lt;=-900000),"",IFERROR(IF(INDEX(Database!$BI$5:$BI$528,MATCH(LARGE('Calc (scoring engine)'!$K$5:$K$528,8),'Calc (scoring engine)'!$K$5:$K$528,0))="","—",INDEX(Database!$BI$5:$BI$528,MATCH(LARGE('Calc (scoring engine)'!$K$5:$K$528,8),'Calc (scoring engine)'!$K$5:$K$528,0))),""))</ns0:f>
        <ns0:v/>
      </ns0:c>
      <ns0:c r="BE28" s="39">
        <ns0:f>IF(OR(8&gt;MAX(3,MIN(15,N($D$18))),IFERROR(LARGE('Calc (scoring engine)'!$K$5:$K$528,8),-999999)&lt;=-900000),"",IFERROR(IF(INDEX(Database!$BJ$5:$BJ$528,MATCH(LARGE('Calc (scoring engine)'!$K$5:$K$528,8),'Calc (scoring engine)'!$K$5:$K$528,0))="","—",INDEX(Database!$BJ$5:$BJ$528,MATCH(LARGE('Calc (scoring engine)'!$K$5:$K$528,8),'Calc (scoring engine)'!$K$5:$K$528,0))),""))</ns0:f>
        <ns0:v/>
      </ns0:c>
      <ns0:c r="BF28" s="39">
        <ns0:f>IF(OR(8&gt;MAX(3,MIN(15,N($D$18))),IFERROR(LARGE('Calc (scoring engine)'!$K$5:$K$528,8),-999999)&lt;=-900000),"",IFERROR(IF(INDEX(Database!$BK$5:$BK$528,MATCH(LARGE('Calc (scoring engine)'!$K$5:$K$528,8),'Calc (scoring engine)'!$K$5:$K$528,0))="","—",INDEX(Database!$BK$5:$BK$528,MATCH(LARGE('Calc (scoring engine)'!$K$5:$K$528,8),'Calc (scoring engine)'!$K$5:$K$528,0))),""))</ns0:f>
        <ns0:v/>
      </ns0:c>
      <ns0:c r="BG28" s="39">
        <ns0:f>IF(OR(8&gt;MAX(3,MIN(15,N($D$18))),IFERROR(LARGE('Calc (scoring engine)'!$K$5:$K$528,8),-999999)&lt;=-900000),"",IFERROR(IF(INDEX(Database!$BL$5:$BL$528,MATCH(LARGE('Calc (scoring engine)'!$K$5:$K$528,8),'Calc (scoring engine)'!$K$5:$K$528,0))="","—",INDEX(Database!$BL$5:$BL$528,MATCH(LARGE('Calc (scoring engine)'!$K$5:$K$528,8),'Calc (scoring engine)'!$K$5:$K$528,0))),""))</ns0:f>
        <ns0:v/>
      </ns0:c>
      <ns0:c r="BH28" s="39">
        <ns0:f>IF(OR(8&gt;MAX(3,MIN(15,N($D$18))),IFERROR(LARGE('Calc (scoring engine)'!$K$5:$K$528,8),-999999)&lt;=-900000),"",IFERROR(IFERROR(BDP(TEXT(INDEX(Database!$A$5:$A$528,MATCH(LARGE('Calc (scoring engine)'!$K$5:$K$528,8),'Calc (scoring engine)'!$K$5:$K$528,0)),"0")&amp;" HK Equity","PE_RATIO"),IF(INDEX(Database!$BJ$5:$BJ$528,MATCH(LARGE('Calc (scoring engine)'!$K$5:$K$528,8),'Calc (scoring engine)'!$K$5:$K$528,0))="","—",INDEX(Database!$BJ$5:$BJ$528,MATCH(LARGE('Calc (scoring engine)'!$K$5:$K$528,8),'Calc (scoring engine)'!$K$5:$K$528,0)))),""))</ns0:f>
        <ns0:v/>
      </ns0:c>
      <ns0:c r="BI28" s="39">
        <ns0:f>IF(OR(8&gt;MAX(3,MIN(15,N($D$18))),IFERROR(LARGE('Calc (scoring engine)'!$K$5:$K$528,8),-999999)&lt;=-900000),"",IFERROR(IFERROR(BDP(TEXT(INDEX(Database!$A$5:$A$528,MATCH(LARGE('Calc (scoring engine)'!$K$5:$K$528,8),'Calc (scoring engine)'!$K$5:$K$528,0)),"0")&amp;" HK Equity","PX_TO_SALES_RATIO"),IF(INDEX(Database!$BK$5:$BK$528,MATCH(LARGE('Calc (scoring engine)'!$K$5:$K$528,8),'Calc (scoring engine)'!$K$5:$K$528,0))="","—",INDEX(Database!$BK$5:$BK$528,MATCH(LARGE('Calc (scoring engine)'!$K$5:$K$528,8),'Calc (scoring engine)'!$K$5:$K$528,0)))),""))</ns0:f>
        <ns0:v/>
      </ns0:c>
      <ns0:c r="BJ28" s="24">
        <ns0:f>IF(OR(8&gt;MAX(3,MIN(15,N($D$18))),IFERROR(LARGE('Calc (scoring engine)'!$K$5:$K$528,8),-999999)&lt;=-900000),"",IFERROR(IF(INDEX(Database!$BM$5:$BM$528,MATCH(LARGE('Calc (scoring engine)'!$K$5:$K$528,8),'Calc (scoring engine)'!$K$5:$K$528,0))="","—",INDEX(Database!$BM$5:$BM$528,MATCH(LARGE('Calc (scoring engine)'!$K$5:$K$528,8),'Calc (scoring engine)'!$K$5:$K$528,0))),""))</ns0:f>
        <ns0:v/>
      </ns0:c>
      <ns0:c r="BK28" s="24">
        <ns0:f>IF(OR(8&gt;MAX(3,MIN(15,N($D$18))),IFERROR(LARGE('Calc (scoring engine)'!$K$5:$K$528,8),-999999)&lt;=-900000),"",IFERROR(IF(INDEX(Database!$BN$5:$BN$528,MATCH(LARGE('Calc (scoring engine)'!$K$5:$K$528,8),'Calc (scoring engine)'!$K$5:$K$528,0))="","—",INDEX(Database!$BN$5:$BN$528,MATCH(LARGE('Calc (scoring engine)'!$K$5:$K$528,8),'Calc (scoring engine)'!$K$5:$K$528,0))),""))</ns0:f>
        <ns0:v/>
      </ns0:c>
      <ns0:c r="BL28" s="38">
        <ns0:f>IF(OR(8&gt;MAX(3,MIN(15,N($D$18))),IFERROR(LARGE('Calc (scoring engine)'!$K$5:$K$528,8),-999999)&lt;=-900000),"",IFERROR(IF(INDEX(Database!$BO$5:$BO$528,MATCH(LARGE('Calc (scoring engine)'!$K$5:$K$528,8),'Calc (scoring engine)'!$K$5:$K$528,0))="","—",INDEX(Database!$BO$5:$BO$528,MATCH(LARGE('Calc (scoring engine)'!$K$5:$K$528,8),'Calc (scoring engine)'!$K$5:$K$528,0))),""))</ns0:f>
        <ns0:v/>
      </ns0:c>
      <ns0:c r="BM28" s="54">
        <ns0:f>IF(OR(8&gt;MAX(3,MIN(15,N($D$18))),IFERROR(LARGE('Calc (scoring engine)'!$K$5:$K$528,8),-999999)&lt;=-900000),"",IFERROR(IF(INDEX(Database!$BP$5:$BP$528,MATCH(LARGE('Calc (scoring engine)'!$K$5:$K$528,8),'Calc (scoring engine)'!$K$5:$K$528,0))="","—",INDEX(Database!$BP$5:$BP$528,MATCH(LARGE('Calc (scoring engine)'!$K$5:$K$528,8),'Calc (scoring engine)'!$K$5:$K$528,0))),""))</ns0:f>
        <ns0:v/>
      </ns0:c>
      <ns0:c r="BN28" s="58">
        <ns0:f>IF(OR(8&gt;MAX(3,MIN(15,N($D$18))),IFERROR(LARGE('Calc (scoring engine)'!$K$5:$K$528,8),-999999)&lt;=-900000),"",IFERROR(IF(INDEX(Database!$BQ$5:$BQ$528,MATCH(LARGE('Calc (scoring engine)'!$K$5:$K$528,8),'Calc (scoring engine)'!$K$5:$K$528,0))="","—",INDEX(Database!$BQ$5:$BQ$528,MATCH(LARGE('Calc (scoring engine)'!$K$5:$K$528,8),'Calc (scoring engine)'!$K$5:$K$528,0))),""))</ns0:f>
        <ns0:v/>
      </ns0:c>
      <ns0:c r="BO28" s="34">
        <ns0:f>IF(OR(8&gt;MAX(3,MIN(15,N($D$18))),IFERROR(LARGE('Calc (scoring engine)'!$K$5:$K$528,8),-999999)&lt;=-900000),"",IFERROR(IF(INDEX(Database!$BR$5:$BR$528,MATCH(LARGE('Calc (scoring engine)'!$K$5:$K$528,8),'Calc (scoring engine)'!$K$5:$K$528,0))="","—",INDEX(Database!$BR$5:$BR$528,MATCH(LARGE('Calc (scoring engine)'!$K$5:$K$528,8),'Calc (scoring engine)'!$K$5:$K$528,0))),""))</ns0:f>
        <ns0:v/>
      </ns0:c>
      <ns0:c r="BP28" s="39">
        <ns0:f>IF(OR(8&gt;MAX(3,MIN(15,N($D$18))),IFERROR(LARGE('Calc (scoring engine)'!$K$5:$K$528,8),-999999)&lt;=-900000),"",IFERROR(IF(INDEX(Database!$BS$5:$BS$528,MATCH(LARGE('Calc (scoring engine)'!$K$5:$K$528,8),'Calc (scoring engine)'!$K$5:$K$528,0))="","—",INDEX(Database!$BS$5:$BS$528,MATCH(LARGE('Calc (scoring engine)'!$K$5:$K$528,8),'Calc (scoring engine)'!$K$5:$K$528,0))),""))</ns0:f>
        <ns0:v/>
      </ns0:c>
      <ns0:c r="BQ28" s="39">
        <ns0:f>IF(OR(8&gt;MAX(3,MIN(15,N($D$18))),IFERROR(LARGE('Calc (scoring engine)'!$K$5:$K$528,8),-999999)&lt;=-900000),"",IFERROR(IF(INDEX(Database!$BT$5:$BT$528,MATCH(LARGE('Calc (scoring engine)'!$K$5:$K$528,8),'Calc (scoring engine)'!$K$5:$K$528,0))="","—",INDEX(Database!$BT$5:$BT$528,MATCH(LARGE('Calc (scoring engine)'!$K$5:$K$528,8),'Calc (scoring engine)'!$K$5:$K$528,0))),""))</ns0:f>
        <ns0:v/>
      </ns0:c>
      <ns0:c r="BR28" s="24">
        <ns0:f>IF(OR(8&gt;MAX(3,MIN(15,N($D$18))),IFERROR(LARGE('Calc (scoring engine)'!$K$5:$K$528,8),-999999)&lt;=-900000),"",IFERROR(IF(INDEX(Database!$BU$5:$BU$528,MATCH(LARGE('Calc (scoring engine)'!$K$5:$K$528,8),'Calc (scoring engine)'!$K$5:$K$528,0))="","—",INDEX(Database!$BU$5:$BU$528,MATCH(LARGE('Calc (scoring engine)'!$K$5:$K$528,8),'Calc (scoring engine)'!$K$5:$K$528,0))),""))</ns0:f>
        <ns0:v/>
      </ns0:c>
      <ns0:c r="BS28" s="24">
        <ns0:f>IF(OR(8&gt;MAX(3,MIN(15,N($D$18))),IFERROR(LARGE('Calc (scoring engine)'!$K$5:$K$528,8),-999999)&lt;=-900000),"",IFERROR(IF(INDEX(Database!$BW$5:$BW$528,MATCH(LARGE('Calc (scoring engine)'!$K$5:$K$528,8),'Calc (scoring engine)'!$K$5:$K$528,0))="","—",INDEX(Database!$BW$5:$BW$528,MATCH(LARGE('Calc (scoring engine)'!$K$5:$K$528,8),'Calc (scoring engine)'!$K$5:$K$528,0))),""))</ns0:f>
        <ns0:v/>
      </ns0:c>
      <ns0:c r="BT28" s="57">
        <ns0:f>IF(OR(8&gt;MAX(3,MIN(15,N($D$18))),IFERROR(LARGE('Calc (scoring engine)'!$K$5:$K$528,8),-999999)&lt;=-900000),"",IFERROR(IF(INDEX('Calc (scoring engine)'!$H$5:$H$528,MATCH(LARGE('Calc (scoring engine)'!$K$5:$K$528,8),'Calc (scoring engine)'!$K$5:$K$528,0))&gt;0,INDEX('Calc (scoring engine)'!$H$5:$H$528,MATCH(LARGE('Calc (scoring engine)'!$K$5:$K$528,8),'Calc (scoring engine)'!$K$5:$K$528,0)),""),""))</ns0:f>
        <ns0:v/>
      </ns0:c>
      <ns0:c r="BU28" s="24">
        <ns0:f>IF(OR(8&gt;MAX(3,MIN(15,N($D$18))),IFERROR(LARGE('Calc (scoring engine)'!$K$5:$K$528,8),-999999)&lt;=-900000),"",IF(IFERROR(INDEX('Calc (scoring engine)'!$B$5:$B$528,MATCH(LARGE('Calc (scoring engine)'!$K$5:$K$528,8),'Calc (scoring engine)'!$K$5:$K$528,0)),0)=1,"same subsector","sector only"))</ns0:f>
        <ns0:v/>
      </ns0:c>
      <ns0:c r="BV28" s="57">
        <ns0:f>IF(OR(8&gt;MAX(3,MIN(15,N($D$18))),IFERROR(LARGE('Calc (scoring engine)'!$K$5:$K$528,8),-999999)&lt;=-900000),"",ROUND(IFERROR(LARGE('Calc (scoring engine)'!$K$5:$K$528,8),0),0))</ns0:f>
        <ns0:v/>
      </ns0:c>
      <ns0:c r="BW28" s="24">
        <ns0:f>IF(OR(8&gt;MAX(3,MIN(15,N($D$18))),IFERROR(LARGE('Calc (scoring engine)'!$K$5:$K$528,8),-999999)&lt;=-900000),"",IFERROR("sub "&amp;INDEX('Calc (scoring engine)'!$B$5:$B$528,MATCH(LARGE('Calc (scoring engine)'!$K$5:$K$528,8),'Calc (scoring engine)'!$K$5:$K$528,0))*W_SUB&amp;" + size "&amp;ROUND(INDEX('Calc (scoring engine)'!$D$5:$D$528,MATCH(LARGE('Calc (scoring engine)'!$K$5:$K$528,8),'Calc (scoring engine)'!$K$5:$K$528,0))*W_SIZE,0)&amp;" + prof "&amp;INDEX('Calc (scoring engine)'!$E$5:$E$528,MATCH(LARGE('Calc (scoring engine)'!$K$5:$K$528,8),'Calc (scoring engine)'!$K$5:$K$528,0))*W_PROF&amp;" + recency "&amp;ROUND(INDEX('Calc (scoring engine)'!$G$5:$G$528,MATCH(LARGE('Calc (scoring engine)'!$K$5:$K$528,8),'Calc (scoring engine)'!$K$5:$K$528,0))*W_REC,0)&amp;IF(INDEX('Calc (scoring engine)'!$H$5:$H$528,MATCH(LARGE('Calc (scoring engine)'!$K$5:$K$528,8),'Calc (scoring engine)'!$K$5:$K$528,0))&gt;0," + shared CS x"&amp;INDEX('Calc (scoring engine)'!$H$5:$H$528,MATCH(LARGE('Calc (scoring engine)'!$K$5:$K$528,8),'Calc (scoring engine)'!$K$5:$K$528,0)),""),""))</ns0:f>
        <ns0:v/>
      </ns0:c>
    </ns0:row>
    <ns0:row r="29">
      <ns0:c r="A29" s="52">
        <ns0:f>IF(OR(9&gt;MAX(3,MIN(15,N($D$18))),IFERROR(LARGE('Calc (scoring engine)'!$K$5:$K$528,9),-999999)&lt;=-900000),"",9)</ns0:f>
        <ns0:v/>
      </ns0:c>
      <ns0:c r="B29" s="24">
        <ns0:f>IF(OR(9&gt;MAX(3,MIN(15,N($D$18))),IFERROR(LARGE('Calc (scoring engine)'!$K$5:$K$528,9),-999999)&lt;=-900000),"",IFERROR(IF(INDEX(Database!$B$5:$B$528,MATCH(LARGE('Calc (scoring engine)'!$K$5:$K$528,9),'Calc (scoring engine)'!$K$5:$K$528,0))="","—",INDEX(Database!$B$5:$B$528,MATCH(LARGE('Calc (scoring engine)'!$K$5:$K$528,9),'Calc (scoring engine)'!$K$5:$K$528,0))),""))</ns0:f>
        <ns0:v/>
      </ns0:c>
      <ns0:c r="C29" s="53">
        <ns0:f>IF(OR(9&gt;MAX(3,MIN(15,N($D$18))),IFERROR(LARGE('Calc (scoring engine)'!$K$5:$K$528,9),-999999)&lt;=-900000),"",IFERROR(IF(INDEX(Database!$A$5:$A$528,MATCH(LARGE('Calc (scoring engine)'!$K$5:$K$528,9),'Calc (scoring engine)'!$K$5:$K$528,0))="","—",INDEX(Database!$A$5:$A$528,MATCH(LARGE('Calc (scoring engine)'!$K$5:$K$528,9),'Calc (scoring engine)'!$K$5:$K$528,0))),""))</ns0:f>
        <ns0:v/>
      </ns0:c>
      <ns0:c r="D29" s="24">
        <ns0:f>IF(OR(9&gt;MAX(3,MIN(15,N($D$18))),IFERROR(LARGE('Calc (scoring engine)'!$K$5:$K$528,9),-999999)&lt;=-900000),"",IFERROR(IF(INDEX(Database!$D$5:$D$528,MATCH(LARGE('Calc (scoring engine)'!$K$5:$K$528,9),'Calc (scoring engine)'!$K$5:$K$528,0))="","—",INDEX(Database!$D$5:$D$528,MATCH(LARGE('Calc (scoring engine)'!$K$5:$K$528,9),'Calc (scoring engine)'!$K$5:$K$528,0))),""))</ns0:f>
        <ns0:v/>
      </ns0:c>
      <ns0:c r="E29" s="24">
        <ns0:f>IF(OR(9&gt;MAX(3,MIN(15,N($D$18))),IFERROR(LARGE('Calc (scoring engine)'!$K$5:$K$528,9),-999999)&lt;=-900000),"",IFERROR(IF(INDEX(Database!$E$5:$E$528,MATCH(LARGE('Calc (scoring engine)'!$K$5:$K$528,9),'Calc (scoring engine)'!$K$5:$K$528,0))="","—",INDEX(Database!$E$5:$E$528,MATCH(LARGE('Calc (scoring engine)'!$K$5:$K$528,9),'Calc (scoring engine)'!$K$5:$K$528,0))),""))</ns0:f>
        <ns0:v/>
      </ns0:c>
      <ns0:c r="F29" s="24">
        <ns0:f>IF(OR(9&gt;MAX(3,MIN(15,N($D$18))),IFERROR(LARGE('Calc (scoring engine)'!$K$5:$K$528,9),-999999)&lt;=-900000),"",IFERROR(IF(INDEX(Database!$F$5:$F$528,MATCH(LARGE('Calc (scoring engine)'!$K$5:$K$528,9),'Calc (scoring engine)'!$K$5:$K$528,0))="","—",INDEX(Database!$F$5:$F$528,MATCH(LARGE('Calc (scoring engine)'!$K$5:$K$528,9),'Calc (scoring engine)'!$K$5:$K$528,0))),""))</ns0:f>
        <ns0:v/>
      </ns0:c>
      <ns0:c r="G29" s="24">
        <ns0:f>IF(OR(9&gt;MAX(3,MIN(15,N($D$18))),IFERROR(LARGE('Calc (scoring engine)'!$K$5:$K$528,9),-999999)&lt;=-900000),"",IFERROR(IF(INDEX(Database!$G$5:$G$528,MATCH(LARGE('Calc (scoring engine)'!$K$5:$K$528,9),'Calc (scoring engine)'!$K$5:$K$528,0))="","—",INDEX(Database!$G$5:$G$528,MATCH(LARGE('Calc (scoring engine)'!$K$5:$K$528,9),'Calc (scoring engine)'!$K$5:$K$528,0))),""))</ns0:f>
        <ns0:v/>
      </ns0:c>
      <ns0:c r="H29" s="36">
        <ns0:f>IF(OR(9&gt;MAX(3,MIN(15,N($D$18))),IFERROR(LARGE('Calc (scoring engine)'!$K$5:$K$528,9),-999999)&lt;=-900000),"",IFERROR(IF(INDEX(Database!$H$5:$H$528,MATCH(LARGE('Calc (scoring engine)'!$K$5:$K$528,9),'Calc (scoring engine)'!$K$5:$K$528,0))="","—",INDEX(Database!$H$5:$H$528,MATCH(LARGE('Calc (scoring engine)'!$K$5:$K$528,9),'Calc (scoring engine)'!$K$5:$K$528,0))),""))</ns0:f>
        <ns0:v/>
      </ns0:c>
      <ns0:c r="I29" s="34">
        <ns0:f>IF(OR(9&gt;MAX(3,MIN(15,N($D$18))),IFERROR(LARGE('Calc (scoring engine)'!$K$5:$K$528,9),-999999)&lt;=-900000),"",IFERROR(IF(INDEX(Database!$I$5:$I$528,MATCH(LARGE('Calc (scoring engine)'!$K$5:$K$528,9),'Calc (scoring engine)'!$K$5:$K$528,0))="","—",INDEX(Database!$I$5:$I$528,MATCH(LARGE('Calc (scoring engine)'!$K$5:$K$528,9),'Calc (scoring engine)'!$K$5:$K$528,0))),""))</ns0:f>
        <ns0:v/>
      </ns0:c>
      <ns0:c r="J29" s="54">
        <ns0:f>IF(OR(9&gt;MAX(3,MIN(15,N($D$18))),IFERROR(LARGE('Calc (scoring engine)'!$K$5:$K$528,9),-999999)&lt;=-900000),"",IFERROR(IF(INDEX(Database!$K$5:$K$528,MATCH(LARGE('Calc (scoring engine)'!$K$5:$K$528,9),'Calc (scoring engine)'!$K$5:$K$528,0))="","—",INDEX(Database!$K$5:$K$528,MATCH(LARGE('Calc (scoring engine)'!$K$5:$K$528,9),'Calc (scoring engine)'!$K$5:$K$528,0))),""))</ns0:f>
        <ns0:v/>
      </ns0:c>
      <ns0:c r="K29" s="54">
        <ns0:f>IF(OR(9&gt;MAX(3,MIN(15,N($D$18))),IFERROR(LARGE('Calc (scoring engine)'!$K$5:$K$528,9),-999999)&lt;=-900000),"",IFERROR(IF(INDEX(Database!$L$5:$L$528,MATCH(LARGE('Calc (scoring engine)'!$K$5:$K$528,9),'Calc (scoring engine)'!$K$5:$K$528,0))="","—",INDEX(Database!$L$5:$L$528,MATCH(LARGE('Calc (scoring engine)'!$K$5:$K$528,9),'Calc (scoring engine)'!$K$5:$K$528,0))),""))</ns0:f>
        <ns0:v/>
      </ns0:c>
      <ns0:c r="L29" s="54">
        <ns0:f>IF(OR(9&gt;MAX(3,MIN(15,N($D$18))),IFERROR(LARGE('Calc (scoring engine)'!$K$5:$K$528,9),-999999)&lt;=-900000),"",IFERROR(IF(INDEX(Database!$M$5:$M$528,MATCH(LARGE('Calc (scoring engine)'!$K$5:$K$528,9),'Calc (scoring engine)'!$K$5:$K$528,0))="","—",INDEX(Database!$M$5:$M$528,MATCH(LARGE('Calc (scoring engine)'!$K$5:$K$528,9),'Calc (scoring engine)'!$K$5:$K$528,0))),""))</ns0:f>
        <ns0:v/>
      </ns0:c>
      <ns0:c r="M29" s="24">
        <ns0:f>IF(OR(9&gt;MAX(3,MIN(15,N($D$18))),IFERROR(LARGE('Calc (scoring engine)'!$K$5:$K$528,9),-999999)&lt;=-900000),"",IFERROR(IF(INDEX(Database!$N$5:$N$528,MATCH(LARGE('Calc (scoring engine)'!$K$5:$K$528,9),'Calc (scoring engine)'!$K$5:$K$528,0))="","—",INDEX(Database!$N$5:$N$528,MATCH(LARGE('Calc (scoring engine)'!$K$5:$K$528,9),'Calc (scoring engine)'!$K$5:$K$528,0))),""))</ns0:f>
        <ns0:v/>
      </ns0:c>
      <ns0:c r="N29" s="44">
        <ns0:f>IF(OR(9&gt;MAX(3,MIN(15,N($D$18))),IFERROR(LARGE('Calc (scoring engine)'!$K$5:$K$528,9),-999999)&lt;=-900000),"",IFERROR(IF(INDEX(Database!$O$5:$O$528,MATCH(LARGE('Calc (scoring engine)'!$K$5:$K$528,9),'Calc (scoring engine)'!$K$5:$K$528,0))="","—",INDEX(Database!$O$5:$O$528,MATCH(LARGE('Calc (scoring engine)'!$K$5:$K$528,9),'Calc (scoring engine)'!$K$5:$K$528,0))),""))</ns0:f>
        <ns0:v/>
      </ns0:c>
      <ns0:c r="O29" s="44">
        <ns0:f>IF(OR(9&gt;MAX(3,MIN(15,N($D$18))),IFERROR(LARGE('Calc (scoring engine)'!$K$5:$K$528,9),-999999)&lt;=-900000),"",IFERROR(IF(INDEX(Database!$P$5:$P$528,MATCH(LARGE('Calc (scoring engine)'!$K$5:$K$528,9),'Calc (scoring engine)'!$K$5:$K$528,0))="","—",INDEX(Database!$P$5:$P$528,MATCH(LARGE('Calc (scoring engine)'!$K$5:$K$528,9),'Calc (scoring engine)'!$K$5:$K$528,0))),""))</ns0:f>
        <ns0:v/>
      </ns0:c>
      <ns0:c r="P29" s="34">
        <ns0:f>IF(OR(9&gt;MAX(3,MIN(15,N($D$18))),IFERROR(LARGE('Calc (scoring engine)'!$K$5:$K$528,9),-999999)&lt;=-900000),"",IFERROR(IF(INDEX(Database!$Q$5:$Q$528,MATCH(LARGE('Calc (scoring engine)'!$K$5:$K$528,9),'Calc (scoring engine)'!$K$5:$K$528,0))="","—",INDEX(Database!$Q$5:$Q$528,MATCH(LARGE('Calc (scoring engine)'!$K$5:$K$528,9),'Calc (scoring engine)'!$K$5:$K$528,0))),""))</ns0:f>
        <ns0:v/>
      </ns0:c>
      <ns0:c r="Q29" s="41">
        <ns0:f>IF(OR(9&gt;MAX(3,MIN(15,N($D$18))),IFERROR(LARGE('Calc (scoring engine)'!$K$5:$K$528,9),-999999)&lt;=-900000),"",IFERROR(IF(INDEX(Database!$S$5:$S$528,MATCH(LARGE('Calc (scoring engine)'!$K$5:$K$528,9),'Calc (scoring engine)'!$K$5:$K$528,0))="","—",INDEX(Database!$S$5:$S$528,MATCH(LARGE('Calc (scoring engine)'!$K$5:$K$528,9),'Calc (scoring engine)'!$K$5:$K$528,0))),""))</ns0:f>
        <ns0:v/>
      </ns0:c>
      <ns0:c r="R29" s="55">
        <ns0:f>IF(OR(9&gt;MAX(3,MIN(15,N($D$18))),IFERROR(LARGE('Calc (scoring engine)'!$K$5:$K$528,9),-999999)&lt;=-900000),"",IFERROR(IF(INDEX(Database!$T$5:$T$528,MATCH(LARGE('Calc (scoring engine)'!$K$5:$K$528,9),'Calc (scoring engine)'!$K$5:$K$528,0))="","—",INDEX(Database!$T$5:$T$528,MATCH(LARGE('Calc (scoring engine)'!$K$5:$K$528,9),'Calc (scoring engine)'!$K$5:$K$528,0))),""))</ns0:f>
        <ns0:v/>
      </ns0:c>
      <ns0:c r="S29" s="56">
        <ns0:f>IF(OR(9&gt;MAX(3,MIN(15,N($D$18))),IFERROR(LARGE('Calc (scoring engine)'!$K$5:$K$528,9),-999999)&lt;=-900000),"",IFERROR(IF(INDEX(Database!$U$5:$U$528,MATCH(LARGE('Calc (scoring engine)'!$K$5:$K$528,9),'Calc (scoring engine)'!$K$5:$K$528,0))="","—",INDEX(Database!$U$5:$U$528,MATCH(LARGE('Calc (scoring engine)'!$K$5:$K$528,9),'Calc (scoring engine)'!$K$5:$K$528,0))),""))</ns0:f>
        <ns0:v/>
      </ns0:c>
      <ns0:c r="T29" s="57">
        <ns0:f>IF(OR(9&gt;MAX(3,MIN(15,N($D$18))),IFERROR(LARGE('Calc (scoring engine)'!$K$5:$K$528,9),-999999)&lt;=-900000),"",IFERROR(IF(INDEX(Database!$V$5:$V$528,MATCH(LARGE('Calc (scoring engine)'!$K$5:$K$528,9),'Calc (scoring engine)'!$K$5:$K$528,0))="","—",INDEX(Database!$V$5:$V$528,MATCH(LARGE('Calc (scoring engine)'!$K$5:$K$528,9),'Calc (scoring engine)'!$K$5:$K$528,0))),""))</ns0:f>
        <ns0:v/>
      </ns0:c>
      <ns0:c r="U29" s="44">
        <ns0:f>IF(OR(9&gt;MAX(3,MIN(15,N($D$18))),IFERROR(LARGE('Calc (scoring engine)'!$K$5:$K$528,9),-999999)&lt;=-900000),"",IFERROR(IF(INDEX(Database!$W$5:$W$528,MATCH(LARGE('Calc (scoring engine)'!$K$5:$K$528,9),'Calc (scoring engine)'!$K$5:$K$528,0))="","—",INDEX(Database!$W$5:$W$528,MATCH(LARGE('Calc (scoring engine)'!$K$5:$K$528,9),'Calc (scoring engine)'!$K$5:$K$528,0))),""))</ns0:f>
        <ns0:v/>
      </ns0:c>
      <ns0:c r="V29" s="24">
        <ns0:f>IF(OR(9&gt;MAX(3,MIN(15,N($D$18))),IFERROR(LARGE('Calc (scoring engine)'!$K$5:$K$528,9),-999999)&lt;=-900000),"",IFERROR(IF(INDEX(Database!$X$5:$X$528,MATCH(LARGE('Calc (scoring engine)'!$K$5:$K$528,9),'Calc (scoring engine)'!$K$5:$K$528,0))="","—",INDEX(Database!$X$5:$X$528,MATCH(LARGE('Calc (scoring engine)'!$K$5:$K$528,9),'Calc (scoring engine)'!$K$5:$K$528,0))),""))</ns0:f>
        <ns0:v/>
      </ns0:c>
      <ns0:c r="W29" s="34">
        <ns0:f>IF(OR(9&gt;MAX(3,MIN(15,N($D$18))),IFERROR(LARGE('Calc (scoring engine)'!$K$5:$K$528,9),-999999)&lt;=-900000),"",IFERROR(IF(INDEX(Database!$Y$5:$Y$528,MATCH(LARGE('Calc (scoring engine)'!$K$5:$K$528,9),'Calc (scoring engine)'!$K$5:$K$528,0))="","—",INDEX(Database!$Y$5:$Y$528,MATCH(LARGE('Calc (scoring engine)'!$K$5:$K$528,9),'Calc (scoring engine)'!$K$5:$K$528,0))),""))</ns0:f>
        <ns0:v/>
      </ns0:c>
      <ns0:c r="X29" s="34">
        <ns0:f>IF(OR(9&gt;MAX(3,MIN(15,N($D$18))),IFERROR(LARGE('Calc (scoring engine)'!$K$5:$K$528,9),-999999)&lt;=-900000),"",IFERROR(IF(INDEX(Database!$Z$5:$Z$528,MATCH(LARGE('Calc (scoring engine)'!$K$5:$K$528,9),'Calc (scoring engine)'!$K$5:$K$528,0))="","—",INDEX(Database!$Z$5:$Z$528,MATCH(LARGE('Calc (scoring engine)'!$K$5:$K$528,9),'Calc (scoring engine)'!$K$5:$K$528,0))),""))</ns0:f>
        <ns0:v/>
      </ns0:c>
      <ns0:c r="Y29" s="44">
        <ns0:f>IF(OR(9&gt;MAX(3,MIN(15,N($D$18))),IFERROR(LARGE('Calc (scoring engine)'!$K$5:$K$528,9),-999999)&lt;=-900000),"",IFERROR(IF(INDEX(Database!$AA$5:$AA$528,MATCH(LARGE('Calc (scoring engine)'!$K$5:$K$528,9),'Calc (scoring engine)'!$K$5:$K$528,0))="","—",INDEX(Database!$AA$5:$AA$528,MATCH(LARGE('Calc (scoring engine)'!$K$5:$K$528,9),'Calc (scoring engine)'!$K$5:$K$528,0))),""))</ns0:f>
        <ns0:v/>
      </ns0:c>
      <ns0:c r="Z29" s="24">
        <ns0:f>IF(OR(9&gt;MAX(3,MIN(15,N($D$18))),IFERROR(LARGE('Calc (scoring engine)'!$K$5:$K$528,9),-999999)&lt;=-900000),"",IFERROR(IF(INDEX(Database!$AB$5:$AB$528,MATCH(LARGE('Calc (scoring engine)'!$K$5:$K$528,9),'Calc (scoring engine)'!$K$5:$K$528,0))="","—",INDEX(Database!$AB$5:$AB$528,MATCH(LARGE('Calc (scoring engine)'!$K$5:$K$528,9),'Calc (scoring engine)'!$K$5:$K$528,0))),""))</ns0:f>
        <ns0:v/>
      </ns0:c>
      <ns0:c r="AA29" s="44">
        <ns0:f>IF(OR(9&gt;MAX(3,MIN(15,N($D$18))),IFERROR(LARGE('Calc (scoring engine)'!$K$5:$K$528,9),-999999)&lt;=-900000),"",IFERROR(IF(INDEX(Database!$AD$5:$AD$528,MATCH(LARGE('Calc (scoring engine)'!$K$5:$K$528,9),'Calc (scoring engine)'!$K$5:$K$528,0))="","—",INDEX(Database!$AD$5:$AD$528,MATCH(LARGE('Calc (scoring engine)'!$K$5:$K$528,9),'Calc (scoring engine)'!$K$5:$K$528,0))),""))</ns0:f>
        <ns0:v/>
      </ns0:c>
      <ns0:c r="AB29" s="24">
        <ns0:f>IF(OR(9&gt;MAX(3,MIN(15,N($D$18))),IFERROR(LARGE('Calc (scoring engine)'!$K$5:$K$528,9),-999999)&lt;=-900000),"",IFERROR(IF(INDEX(Database!$AE$5:$AE$528,MATCH(LARGE('Calc (scoring engine)'!$K$5:$K$528,9),'Calc (scoring engine)'!$K$5:$K$528,0))="","—",INDEX(Database!$AE$5:$AE$528,MATCH(LARGE('Calc (scoring engine)'!$K$5:$K$528,9),'Calc (scoring engine)'!$K$5:$K$528,0))),""))</ns0:f>
        <ns0:v/>
      </ns0:c>
      <ns0:c r="AC29" s="24">
        <ns0:f>IF(OR(9&gt;MAX(3,MIN(15,N($D$18))),IFERROR(LARGE('Calc (scoring engine)'!$K$5:$K$528,9),-999999)&lt;=-900000),"",IFERROR(IF(INDEX(Database!$AF$5:$AF$528,MATCH(LARGE('Calc (scoring engine)'!$K$5:$K$528,9),'Calc (scoring engine)'!$K$5:$K$528,0))="","—",INDEX(Database!$AF$5:$AF$528,MATCH(LARGE('Calc (scoring engine)'!$K$5:$K$528,9),'Calc (scoring engine)'!$K$5:$K$528,0))),""))</ns0:f>
        <ns0:v/>
      </ns0:c>
      <ns0:c r="AD29" s="24">
        <ns0:f>IF(OR(9&gt;MAX(3,MIN(15,N($D$18))),IFERROR(LARGE('Calc (scoring engine)'!$K$5:$K$528,9),-999999)&lt;=-900000),"",IFERROR(IF(INDEX(Database!$AG$5:$AG$528,MATCH(LARGE('Calc (scoring engine)'!$K$5:$K$528,9),'Calc (scoring engine)'!$K$5:$K$528,0))="","—",INDEX(Database!$AG$5:$AG$528,MATCH(LARGE('Calc (scoring engine)'!$K$5:$K$528,9),'Calc (scoring engine)'!$K$5:$K$528,0))),""))</ns0:f>
        <ns0:v/>
      </ns0:c>
      <ns0:c r="AE29" s="24">
        <ns0:f>IF(OR(9&gt;MAX(3,MIN(15,N($D$18))),IFERROR(LARGE('Calc (scoring engine)'!$K$5:$K$528,9),-999999)&lt;=-900000),"",IFERROR(IF(INDEX(Database!$AH$5:$AH$528,MATCH(LARGE('Calc (scoring engine)'!$K$5:$K$528,9),'Calc (scoring engine)'!$K$5:$K$528,0))="","—",INDEX(Database!$AH$5:$AH$528,MATCH(LARGE('Calc (scoring engine)'!$K$5:$K$528,9),'Calc (scoring engine)'!$K$5:$K$528,0))),""))</ns0:f>
        <ns0:v/>
      </ns0:c>
      <ns0:c r="AF29" s="38">
        <ns0:f>IF(OR(9&gt;MAX(3,MIN(15,N($D$18))),IFERROR(LARGE('Calc (scoring engine)'!$K$5:$K$528,9),-999999)&lt;=-900000),"",IFERROR(IF(INDEX(Database!$AI$5:$AI$528,MATCH(LARGE('Calc (scoring engine)'!$K$5:$K$528,9),'Calc (scoring engine)'!$K$5:$K$528,0))="","—",INDEX(Database!$AI$5:$AI$528,MATCH(LARGE('Calc (scoring engine)'!$K$5:$K$528,9),'Calc (scoring engine)'!$K$5:$K$528,0))),""))</ns0:f>
        <ns0:v/>
      </ns0:c>
      <ns0:c r="AG29" s="38">
        <ns0:f>IF(OR(9&gt;MAX(3,MIN(15,N($D$18))),IFERROR(LARGE('Calc (scoring engine)'!$K$5:$K$528,9),-999999)&lt;=-900000),"",IFERROR(IF(INDEX(Database!$AJ$5:$AJ$528,MATCH(LARGE('Calc (scoring engine)'!$K$5:$K$528,9),'Calc (scoring engine)'!$K$5:$K$528,0))="","—",INDEX(Database!$AJ$5:$AJ$528,MATCH(LARGE('Calc (scoring engine)'!$K$5:$K$528,9),'Calc (scoring engine)'!$K$5:$K$528,0))),""))</ns0:f>
        <ns0:v/>
      </ns0:c>
      <ns0:c r="AH29" s="38">
        <ns0:f>IF(OR(9&gt;MAX(3,MIN(15,N($D$18))),IFERROR(LARGE('Calc (scoring engine)'!$K$5:$K$528,9),-999999)&lt;=-900000),"",IFERROR(IF(INDEX(Database!$AK$5:$AK$528,MATCH(LARGE('Calc (scoring engine)'!$K$5:$K$528,9),'Calc (scoring engine)'!$K$5:$K$528,0))="","—",INDEX(Database!$AK$5:$AK$528,MATCH(LARGE('Calc (scoring engine)'!$K$5:$K$528,9),'Calc (scoring engine)'!$K$5:$K$528,0))),""))</ns0:f>
        <ns0:v/>
      </ns0:c>
      <ns0:c r="AI29" s="38">
        <ns0:f>IF(OR(9&gt;MAX(3,MIN(15,N($D$18))),IFERROR(LARGE('Calc (scoring engine)'!$K$5:$K$528,9),-999999)&lt;=-900000),"",IFERROR(IF(INDEX(Database!$AL$5:$AL$528,MATCH(LARGE('Calc (scoring engine)'!$K$5:$K$528,9),'Calc (scoring engine)'!$K$5:$K$528,0))="","—",INDEX(Database!$AL$5:$AL$528,MATCH(LARGE('Calc (scoring engine)'!$K$5:$K$528,9),'Calc (scoring engine)'!$K$5:$K$528,0))),""))</ns0:f>
        <ns0:v/>
      </ns0:c>
      <ns0:c r="AJ29" s="38">
        <ns0:f>IF(OR(9&gt;MAX(3,MIN(15,N($D$18))),IFERROR(LARGE('Calc (scoring engine)'!$K$5:$K$528,9),-999999)&lt;=-900000),"",IFERROR(IF(INDEX(Database!$AM$5:$AM$528,MATCH(LARGE('Calc (scoring engine)'!$K$5:$K$528,9),'Calc (scoring engine)'!$K$5:$K$528,0))="","—",INDEX(Database!$AM$5:$AM$528,MATCH(LARGE('Calc (scoring engine)'!$K$5:$K$528,9),'Calc (scoring engine)'!$K$5:$K$528,0))),""))</ns0:f>
        <ns0:v/>
      </ns0:c>
      <ns0:c r="AK29" s="39">
        <ns0:f>IF(OR(9&gt;MAX(3,MIN(15,N($D$18))),IFERROR(LARGE('Calc (scoring engine)'!$K$5:$K$528,9),-999999)&lt;=-900000),"",IFERROR(IF(INDEX(Database!$AN$5:$AN$528,MATCH(LARGE('Calc (scoring engine)'!$K$5:$K$528,9),'Calc (scoring engine)'!$K$5:$K$528,0))="","—",INDEX(Database!$AN$5:$AN$528,MATCH(LARGE('Calc (scoring engine)'!$K$5:$K$528,9),'Calc (scoring engine)'!$K$5:$K$528,0))),""))</ns0:f>
        <ns0:v/>
      </ns0:c>
      <ns0:c r="AL29" s="44">
        <ns0:f>IF(OR(9&gt;MAX(3,MIN(15,N($D$18))),IFERROR(LARGE('Calc (scoring engine)'!$K$5:$K$528,9),-999999)&lt;=-900000),"",IFERROR(IF(INDEX(Database!$AO$5:$AO$528,MATCH(LARGE('Calc (scoring engine)'!$K$5:$K$528,9),'Calc (scoring engine)'!$K$5:$K$528,0))="","—",INDEX(Database!$AO$5:$AO$528,MATCH(LARGE('Calc (scoring engine)'!$K$5:$K$528,9),'Calc (scoring engine)'!$K$5:$K$528,0))),""))</ns0:f>
        <ns0:v/>
      </ns0:c>
      <ns0:c r="AM29" s="38">
        <ns0:f>IF(OR(9&gt;MAX(3,MIN(15,N($D$18))),IFERROR(LARGE('Calc (scoring engine)'!$K$5:$K$528,9),-999999)&lt;=-900000),"",IFERROR(IF(INDEX(Database!$AP$5:$AP$528,MATCH(LARGE('Calc (scoring engine)'!$K$5:$K$528,9),'Calc (scoring engine)'!$K$5:$K$528,0))="","—",INDEX(Database!$AP$5:$AP$528,MATCH(LARGE('Calc (scoring engine)'!$K$5:$K$528,9),'Calc (scoring engine)'!$K$5:$K$528,0))),""))</ns0:f>
        <ns0:v/>
      </ns0:c>
      <ns0:c r="AN29" s="38">
        <ns0:f>IF(OR(9&gt;MAX(3,MIN(15,N($D$18))),IFERROR(LARGE('Calc (scoring engine)'!$K$5:$K$528,9),-999999)&lt;=-900000),"",IFERROR(IF(INDEX(Database!$AQ$5:$AQ$528,MATCH(LARGE('Calc (scoring engine)'!$K$5:$K$528,9),'Calc (scoring engine)'!$K$5:$K$528,0))="","—",INDEX(Database!$AQ$5:$AQ$528,MATCH(LARGE('Calc (scoring engine)'!$K$5:$K$528,9),'Calc (scoring engine)'!$K$5:$K$528,0))),""))</ns0:f>
        <ns0:v/>
      </ns0:c>
      <ns0:c r="AO29" s="38">
        <ns0:f>IF(OR(9&gt;MAX(3,MIN(15,N($D$18))),IFERROR(LARGE('Calc (scoring engine)'!$K$5:$K$528,9),-999999)&lt;=-900000),"",IFERROR(IF(INDEX(Database!$AR$5:$AR$528,MATCH(LARGE('Calc (scoring engine)'!$K$5:$K$528,9),'Calc (scoring engine)'!$K$5:$K$528,0))="","—",INDEX(Database!$AR$5:$AR$528,MATCH(LARGE('Calc (scoring engine)'!$K$5:$K$528,9),'Calc (scoring engine)'!$K$5:$K$528,0))),""))</ns0:f>
        <ns0:v/>
      </ns0:c>
      <ns0:c r="AP29" s="38">
        <ns0:f>IF(OR(9&gt;MAX(3,MIN(15,N($D$18))),IFERROR(LARGE('Calc (scoring engine)'!$K$5:$K$528,9),-999999)&lt;=-900000),"",IFERROR(IF(INDEX(Database!$AS$5:$AS$528,MATCH(LARGE('Calc (scoring engine)'!$K$5:$K$528,9),'Calc (scoring engine)'!$K$5:$K$528,0))="","—",INDEX(Database!$AS$5:$AS$528,MATCH(LARGE('Calc (scoring engine)'!$K$5:$K$528,9),'Calc (scoring engine)'!$K$5:$K$528,0))),""))</ns0:f>
        <ns0:v/>
      </ns0:c>
      <ns0:c r="AQ29" s="38">
        <ns0:f>IF(OR(9&gt;MAX(3,MIN(15,N($D$18))),IFERROR(LARGE('Calc (scoring engine)'!$K$5:$K$528,9),-999999)&lt;=-900000),"",IFERROR(IF(INDEX(Database!$AT$5:$AT$528,MATCH(LARGE('Calc (scoring engine)'!$K$5:$K$528,9),'Calc (scoring engine)'!$K$5:$K$528,0))="","—",INDEX(Database!$AT$5:$AT$528,MATCH(LARGE('Calc (scoring engine)'!$K$5:$K$528,9),'Calc (scoring engine)'!$K$5:$K$528,0))),""))</ns0:f>
        <ns0:v/>
      </ns0:c>
      <ns0:c r="AR29" s="38">
        <ns0:f>IF(OR(9&gt;MAX(3,MIN(15,N($D$18))),IFERROR(LARGE('Calc (scoring engine)'!$K$5:$K$528,9),-999999)&lt;=-900000),"",IFERROR(IF(INDEX(Database!$AU$5:$AU$528,MATCH(LARGE('Calc (scoring engine)'!$K$5:$K$528,9),'Calc (scoring engine)'!$K$5:$K$528,0))="","—",INDEX(Database!$AU$5:$AU$528,MATCH(LARGE('Calc (scoring engine)'!$K$5:$K$528,9),'Calc (scoring engine)'!$K$5:$K$528,0))),""))</ns0:f>
        <ns0:v/>
      </ns0:c>
      <ns0:c r="AS29" s="38">
        <ns0:f>IF(OR(9&gt;MAX(3,MIN(15,N($D$18))),IFERROR(LARGE('Calc (scoring engine)'!$K$5:$K$528,9),-999999)&lt;=-900000),"",IFERROR(IF(INDEX(Database!$AV$5:$AV$528,MATCH(LARGE('Calc (scoring engine)'!$K$5:$K$528,9),'Calc (scoring engine)'!$K$5:$K$528,0))="","—",INDEX(Database!$AV$5:$AV$528,MATCH(LARGE('Calc (scoring engine)'!$K$5:$K$528,9),'Calc (scoring engine)'!$K$5:$K$528,0))),""))</ns0:f>
        <ns0:v/>
      </ns0:c>
      <ns0:c r="AT29" s="38">
        <ns0:f>IF(OR(9&gt;MAX(3,MIN(15,N($D$18))),IFERROR(LARGE('Calc (scoring engine)'!$K$5:$K$528,9),-999999)&lt;=-900000),"",IFERROR(IF(INDEX(Database!$AW$5:$AW$528,MATCH(LARGE('Calc (scoring engine)'!$K$5:$K$528,9),'Calc (scoring engine)'!$K$5:$K$528,0))="","—",INDEX(Database!$AW$5:$AW$528,MATCH(LARGE('Calc (scoring engine)'!$K$5:$K$528,9),'Calc (scoring engine)'!$K$5:$K$528,0))),""))</ns0:f>
        <ns0:v/>
      </ns0:c>
      <ns0:c r="AU29" s="38">
        <ns0:f>IF(OR(9&gt;MAX(3,MIN(15,N($D$18))),IFERROR(LARGE('Calc (scoring engine)'!$K$5:$K$528,9),-999999)&lt;=-900000),"",IFERROR(IF(INDEX(Database!$AX$5:$AX$528,MATCH(LARGE('Calc (scoring engine)'!$K$5:$K$528,9),'Calc (scoring engine)'!$K$5:$K$528,0))="","—",INDEX(Database!$AX$5:$AX$528,MATCH(LARGE('Calc (scoring engine)'!$K$5:$K$528,9),'Calc (scoring engine)'!$K$5:$K$528,0))),""))</ns0:f>
        <ns0:v/>
      </ns0:c>
      <ns0:c r="AV29" s="38">
        <ns0:f>IF(OR(9&gt;MAX(3,MIN(15,N($D$18))),IFERROR(LARGE('Calc (scoring engine)'!$K$5:$K$528,9),-999999)&lt;=-900000),"",IFERROR(IF(INDEX(Database!$AY$5:$AY$528,MATCH(LARGE('Calc (scoring engine)'!$K$5:$K$528,9),'Calc (scoring engine)'!$K$5:$K$528,0))="","—",INDEX(Database!$AY$5:$AY$528,MATCH(LARGE('Calc (scoring engine)'!$K$5:$K$528,9),'Calc (scoring engine)'!$K$5:$K$528,0))),""))</ns0:f>
        <ns0:v/>
      </ns0:c>
      <ns0:c r="AW29" s="38">
        <ns0:f>IF(OR(9&gt;MAX(3,MIN(15,N($D$18))),IFERROR(LARGE('Calc (scoring engine)'!$K$5:$K$528,9),-999999)&lt;=-900000),"",IFERROR(IF(INDEX(Database!$AZ$5:$AZ$528,MATCH(LARGE('Calc (scoring engine)'!$K$5:$K$528,9),'Calc (scoring engine)'!$K$5:$K$528,0))="","—",INDEX(Database!$AZ$5:$AZ$528,MATCH(LARGE('Calc (scoring engine)'!$K$5:$K$528,9),'Calc (scoring engine)'!$K$5:$K$528,0))),""))</ns0:f>
        <ns0:v/>
      </ns0:c>
      <ns0:c r="AX29" s="38">
        <ns0:f>IF(OR(9&gt;MAX(3,MIN(15,N($D$18))),IFERROR(LARGE('Calc (scoring engine)'!$K$5:$K$528,9),-999999)&lt;=-900000),"",IFERROR(IF(INDEX(Database!$BA$5:$BA$528,MATCH(LARGE('Calc (scoring engine)'!$K$5:$K$528,9),'Calc (scoring engine)'!$K$5:$K$528,0))="","—",INDEX(Database!$BA$5:$BA$528,MATCH(LARGE('Calc (scoring engine)'!$K$5:$K$528,9),'Calc (scoring engine)'!$K$5:$K$528,0))),""))</ns0:f>
        <ns0:v/>
      </ns0:c>
      <ns0:c r="AY29" s="38">
        <ns0:f>IF(OR(9&gt;MAX(3,MIN(15,N($D$18))),IFERROR(LARGE('Calc (scoring engine)'!$K$5:$K$528,9),-999999)&lt;=-900000),"",IFERROR(IF(INDEX(Database!$BC$5:$BC$528,MATCH(LARGE('Calc (scoring engine)'!$K$5:$K$528,9),'Calc (scoring engine)'!$K$5:$K$528,0))="","—",INDEX(Database!$BC$5:$BC$528,MATCH(LARGE('Calc (scoring engine)'!$K$5:$K$528,9),'Calc (scoring engine)'!$K$5:$K$528,0))),""))</ns0:f>
        <ns0:v/>
      </ns0:c>
      <ns0:c r="AZ29" s="34">
        <ns0:f>IF(OR(9&gt;MAX(3,MIN(15,N($D$18))),IFERROR(LARGE('Calc (scoring engine)'!$K$5:$K$528,9),-999999)&lt;=-900000),"",IFERROR(IF(INDEX(Database!$BE$5:$BE$528,MATCH(LARGE('Calc (scoring engine)'!$K$5:$K$528,9),'Calc (scoring engine)'!$K$5:$K$528,0))="","—",INDEX(Database!$BE$5:$BE$528,MATCH(LARGE('Calc (scoring engine)'!$K$5:$K$528,9),'Calc (scoring engine)'!$K$5:$K$528,0))),""))</ns0:f>
        <ns0:v/>
      </ns0:c>
      <ns0:c r="BA29" s="34">
        <ns0:f>IF(OR(9&gt;MAX(3,MIN(15,N($D$18))),IFERROR(LARGE('Calc (scoring engine)'!$K$5:$K$528,9),-999999)&lt;=-900000),"",IFERROR(IF(INDEX(Database!$BF$5:$BF$528,MATCH(LARGE('Calc (scoring engine)'!$K$5:$K$528,9),'Calc (scoring engine)'!$K$5:$K$528,0))="","—",INDEX(Database!$BF$5:$BF$528,MATCH(LARGE('Calc (scoring engine)'!$K$5:$K$528,9),'Calc (scoring engine)'!$K$5:$K$528,0))),""))</ns0:f>
        <ns0:v/>
      </ns0:c>
      <ns0:c r="BB29" s="24">
        <ns0:f>IF(OR(9&gt;MAX(3,MIN(15,N($D$18))),IFERROR(LARGE('Calc (scoring engine)'!$K$5:$K$528,9),-999999)&lt;=-900000),"",IFERROR(IF(INDEX(Database!$BG$5:$BG$528,MATCH(LARGE('Calc (scoring engine)'!$K$5:$K$528,9),'Calc (scoring engine)'!$K$5:$K$528,0))="","—",INDEX(Database!$BG$5:$BG$528,MATCH(LARGE('Calc (scoring engine)'!$K$5:$K$528,9),'Calc (scoring engine)'!$K$5:$K$528,0))),""))</ns0:f>
        <ns0:v/>
      </ns0:c>
      <ns0:c r="BC29" s="39">
        <ns0:f>IF(OR(9&gt;MAX(3,MIN(15,N($D$18))),IFERROR(LARGE('Calc (scoring engine)'!$K$5:$K$528,9),-999999)&lt;=-900000),"",IFERROR(IF(N(INDEX(Database!$BH$5:$BH$528,MATCH(LARGE('Calc (scoring engine)'!$K$5:$K$528,9),'Calc (scoring engine)'!$K$5:$K$528,0)))&lt;=0,IF(INDEX(Database!$BG$5:$BG$528,MATCH(LARGE('Calc (scoring engine)'!$K$5:$K$528,9),'Calc (scoring engine)'!$K$5:$K$528,0))="N","n/m","—"),INDEX(Database!$BH$5:$BH$528,MATCH(LARGE('Calc (scoring engine)'!$K$5:$K$528,9),'Calc (scoring engine)'!$K$5:$K$528,0))),""))</ns0:f>
        <ns0:v/>
      </ns0:c>
      <ns0:c r="BD29" s="39">
        <ns0:f>IF(OR(9&gt;MAX(3,MIN(15,N($D$18))),IFERROR(LARGE('Calc (scoring engine)'!$K$5:$K$528,9),-999999)&lt;=-900000),"",IFERROR(IF(INDEX(Database!$BI$5:$BI$528,MATCH(LARGE('Calc (scoring engine)'!$K$5:$K$528,9),'Calc (scoring engine)'!$K$5:$K$528,0))="","—",INDEX(Database!$BI$5:$BI$528,MATCH(LARGE('Calc (scoring engine)'!$K$5:$K$528,9),'Calc (scoring engine)'!$K$5:$K$528,0))),""))</ns0:f>
        <ns0:v/>
      </ns0:c>
      <ns0:c r="BE29" s="39">
        <ns0:f>IF(OR(9&gt;MAX(3,MIN(15,N($D$18))),IFERROR(LARGE('Calc (scoring engine)'!$K$5:$K$528,9),-999999)&lt;=-900000),"",IFERROR(IF(INDEX(Database!$BJ$5:$BJ$528,MATCH(LARGE('Calc (scoring engine)'!$K$5:$K$528,9),'Calc (scoring engine)'!$K$5:$K$528,0))="","—",INDEX(Database!$BJ$5:$BJ$528,MATCH(LARGE('Calc (scoring engine)'!$K$5:$K$528,9),'Calc (scoring engine)'!$K$5:$K$528,0))),""))</ns0:f>
        <ns0:v/>
      </ns0:c>
      <ns0:c r="BF29" s="39">
        <ns0:f>IF(OR(9&gt;MAX(3,MIN(15,N($D$18))),IFERROR(LARGE('Calc (scoring engine)'!$K$5:$K$528,9),-999999)&lt;=-900000),"",IFERROR(IF(INDEX(Database!$BK$5:$BK$528,MATCH(LARGE('Calc (scoring engine)'!$K$5:$K$528,9),'Calc (scoring engine)'!$K$5:$K$528,0))="","—",INDEX(Database!$BK$5:$BK$528,MATCH(LARGE('Calc (scoring engine)'!$K$5:$K$528,9),'Calc (scoring engine)'!$K$5:$K$528,0))),""))</ns0:f>
        <ns0:v/>
      </ns0:c>
      <ns0:c r="BG29" s="39">
        <ns0:f>IF(OR(9&gt;MAX(3,MIN(15,N($D$18))),IFERROR(LARGE('Calc (scoring engine)'!$K$5:$K$528,9),-999999)&lt;=-900000),"",IFERROR(IF(INDEX(Database!$BL$5:$BL$528,MATCH(LARGE('Calc (scoring engine)'!$K$5:$K$528,9),'Calc (scoring engine)'!$K$5:$K$528,0))="","—",INDEX(Database!$BL$5:$BL$528,MATCH(LARGE('Calc (scoring engine)'!$K$5:$K$528,9),'Calc (scoring engine)'!$K$5:$K$528,0))),""))</ns0:f>
        <ns0:v/>
      </ns0:c>
      <ns0:c r="BH29" s="39">
        <ns0:f>IF(OR(9&gt;MAX(3,MIN(15,N($D$18))),IFERROR(LARGE('Calc (scoring engine)'!$K$5:$K$528,9),-999999)&lt;=-900000),"",IFERROR(IFERROR(BDP(TEXT(INDEX(Database!$A$5:$A$528,MATCH(LARGE('Calc (scoring engine)'!$K$5:$K$528,9),'Calc (scoring engine)'!$K$5:$K$528,0)),"0")&amp;" HK Equity","PE_RATIO"),IF(INDEX(Database!$BJ$5:$BJ$528,MATCH(LARGE('Calc (scoring engine)'!$K$5:$K$528,9),'Calc (scoring engine)'!$K$5:$K$528,0))="","—",INDEX(Database!$BJ$5:$BJ$528,MATCH(LARGE('Calc (scoring engine)'!$K$5:$K$528,9),'Calc (scoring engine)'!$K$5:$K$528,0)))),""))</ns0:f>
        <ns0:v/>
      </ns0:c>
      <ns0:c r="BI29" s="39">
        <ns0:f>IF(OR(9&gt;MAX(3,MIN(15,N($D$18))),IFERROR(LARGE('Calc (scoring engine)'!$K$5:$K$528,9),-999999)&lt;=-900000),"",IFERROR(IFERROR(BDP(TEXT(INDEX(Database!$A$5:$A$528,MATCH(LARGE('Calc (scoring engine)'!$K$5:$K$528,9),'Calc (scoring engine)'!$K$5:$K$528,0)),"0")&amp;" HK Equity","PX_TO_SALES_RATIO"),IF(INDEX(Database!$BK$5:$BK$528,MATCH(LARGE('Calc (scoring engine)'!$K$5:$K$528,9),'Calc (scoring engine)'!$K$5:$K$528,0))="","—",INDEX(Database!$BK$5:$BK$528,MATCH(LARGE('Calc (scoring engine)'!$K$5:$K$528,9),'Calc (scoring engine)'!$K$5:$K$528,0)))),""))</ns0:f>
        <ns0:v/>
      </ns0:c>
      <ns0:c r="BJ29" s="24">
        <ns0:f>IF(OR(9&gt;MAX(3,MIN(15,N($D$18))),IFERROR(LARGE('Calc (scoring engine)'!$K$5:$K$528,9),-999999)&lt;=-900000),"",IFERROR(IF(INDEX(Database!$BM$5:$BM$528,MATCH(LARGE('Calc (scoring engine)'!$K$5:$K$528,9),'Calc (scoring engine)'!$K$5:$K$528,0))="","—",INDEX(Database!$BM$5:$BM$528,MATCH(LARGE('Calc (scoring engine)'!$K$5:$K$528,9),'Calc (scoring engine)'!$K$5:$K$528,0))),""))</ns0:f>
        <ns0:v/>
      </ns0:c>
      <ns0:c r="BK29" s="24">
        <ns0:f>IF(OR(9&gt;MAX(3,MIN(15,N($D$18))),IFERROR(LARGE('Calc (scoring engine)'!$K$5:$K$528,9),-999999)&lt;=-900000),"",IFERROR(IF(INDEX(Database!$BN$5:$BN$528,MATCH(LARGE('Calc (scoring engine)'!$K$5:$K$528,9),'Calc (scoring engine)'!$K$5:$K$528,0))="","—",INDEX(Database!$BN$5:$BN$528,MATCH(LARGE('Calc (scoring engine)'!$K$5:$K$528,9),'Calc (scoring engine)'!$K$5:$K$528,0))),""))</ns0:f>
        <ns0:v/>
      </ns0:c>
      <ns0:c r="BL29" s="38">
        <ns0:f>IF(OR(9&gt;MAX(3,MIN(15,N($D$18))),IFERROR(LARGE('Calc (scoring engine)'!$K$5:$K$528,9),-999999)&lt;=-900000),"",IFERROR(IF(INDEX(Database!$BO$5:$BO$528,MATCH(LARGE('Calc (scoring engine)'!$K$5:$K$528,9),'Calc (scoring engine)'!$K$5:$K$528,0))="","—",INDEX(Database!$BO$5:$BO$528,MATCH(LARGE('Calc (scoring engine)'!$K$5:$K$528,9),'Calc (scoring engine)'!$K$5:$K$528,0))),""))</ns0:f>
        <ns0:v/>
      </ns0:c>
      <ns0:c r="BM29" s="54">
        <ns0:f>IF(OR(9&gt;MAX(3,MIN(15,N($D$18))),IFERROR(LARGE('Calc (scoring engine)'!$K$5:$K$528,9),-999999)&lt;=-900000),"",IFERROR(IF(INDEX(Database!$BP$5:$BP$528,MATCH(LARGE('Calc (scoring engine)'!$K$5:$K$528,9),'Calc (scoring engine)'!$K$5:$K$528,0))="","—",INDEX(Database!$BP$5:$BP$528,MATCH(LARGE('Calc (scoring engine)'!$K$5:$K$528,9),'Calc (scoring engine)'!$K$5:$K$528,0))),""))</ns0:f>
        <ns0:v/>
      </ns0:c>
      <ns0:c r="BN29" s="58">
        <ns0:f>IF(OR(9&gt;MAX(3,MIN(15,N($D$18))),IFERROR(LARGE('Calc (scoring engine)'!$K$5:$K$528,9),-999999)&lt;=-900000),"",IFERROR(IF(INDEX(Database!$BQ$5:$BQ$528,MATCH(LARGE('Calc (scoring engine)'!$K$5:$K$528,9),'Calc (scoring engine)'!$K$5:$K$528,0))="","—",INDEX(Database!$BQ$5:$BQ$528,MATCH(LARGE('Calc (scoring engine)'!$K$5:$K$528,9),'Calc (scoring engine)'!$K$5:$K$528,0))),""))</ns0:f>
        <ns0:v/>
      </ns0:c>
      <ns0:c r="BO29" s="34">
        <ns0:f>IF(OR(9&gt;MAX(3,MIN(15,N($D$18))),IFERROR(LARGE('Calc (scoring engine)'!$K$5:$K$528,9),-999999)&lt;=-900000),"",IFERROR(IF(INDEX(Database!$BR$5:$BR$528,MATCH(LARGE('Calc (scoring engine)'!$K$5:$K$528,9),'Calc (scoring engine)'!$K$5:$K$528,0))="","—",INDEX(Database!$BR$5:$BR$528,MATCH(LARGE('Calc (scoring engine)'!$K$5:$K$528,9),'Calc (scoring engine)'!$K$5:$K$528,0))),""))</ns0:f>
        <ns0:v/>
      </ns0:c>
      <ns0:c r="BP29" s="39">
        <ns0:f>IF(OR(9&gt;MAX(3,MIN(15,N($D$18))),IFERROR(LARGE('Calc (scoring engine)'!$K$5:$K$528,9),-999999)&lt;=-900000),"",IFERROR(IF(INDEX(Database!$BS$5:$BS$528,MATCH(LARGE('Calc (scoring engine)'!$K$5:$K$528,9),'Calc (scoring engine)'!$K$5:$K$528,0))="","—",INDEX(Database!$BS$5:$BS$528,MATCH(LARGE('Calc (scoring engine)'!$K$5:$K$528,9),'Calc (scoring engine)'!$K$5:$K$528,0))),""))</ns0:f>
        <ns0:v/>
      </ns0:c>
      <ns0:c r="BQ29" s="39">
        <ns0:f>IF(OR(9&gt;MAX(3,MIN(15,N($D$18))),IFERROR(LARGE('Calc (scoring engine)'!$K$5:$K$528,9),-999999)&lt;=-900000),"",IFERROR(IF(INDEX(Database!$BT$5:$BT$528,MATCH(LARGE('Calc (scoring engine)'!$K$5:$K$528,9),'Calc (scoring engine)'!$K$5:$K$528,0))="","—",INDEX(Database!$BT$5:$BT$528,MATCH(LARGE('Calc (scoring engine)'!$K$5:$K$528,9),'Calc (scoring engine)'!$K$5:$K$528,0))),""))</ns0:f>
        <ns0:v/>
      </ns0:c>
      <ns0:c r="BR29" s="24">
        <ns0:f>IF(OR(9&gt;MAX(3,MIN(15,N($D$18))),IFERROR(LARGE('Calc (scoring engine)'!$K$5:$K$528,9),-999999)&lt;=-900000),"",IFERROR(IF(INDEX(Database!$BU$5:$BU$528,MATCH(LARGE('Calc (scoring engine)'!$K$5:$K$528,9),'Calc (scoring engine)'!$K$5:$K$528,0))="","—",INDEX(Database!$BU$5:$BU$528,MATCH(LARGE('Calc (scoring engine)'!$K$5:$K$528,9),'Calc (scoring engine)'!$K$5:$K$528,0))),""))</ns0:f>
        <ns0:v/>
      </ns0:c>
      <ns0:c r="BS29" s="24">
        <ns0:f>IF(OR(9&gt;MAX(3,MIN(15,N($D$18))),IFERROR(LARGE('Calc (scoring engine)'!$K$5:$K$528,9),-999999)&lt;=-900000),"",IFERROR(IF(INDEX(Database!$BW$5:$BW$528,MATCH(LARGE('Calc (scoring engine)'!$K$5:$K$528,9),'Calc (scoring engine)'!$K$5:$K$528,0))="","—",INDEX(Database!$BW$5:$BW$528,MATCH(LARGE('Calc (scoring engine)'!$K$5:$K$528,9),'Calc (scoring engine)'!$K$5:$K$528,0))),""))</ns0:f>
        <ns0:v/>
      </ns0:c>
      <ns0:c r="BT29" s="57">
        <ns0:f>IF(OR(9&gt;MAX(3,MIN(15,N($D$18))),IFERROR(LARGE('Calc (scoring engine)'!$K$5:$K$528,9),-999999)&lt;=-900000),"",IFERROR(IF(INDEX('Calc (scoring engine)'!$H$5:$H$528,MATCH(LARGE('Calc (scoring engine)'!$K$5:$K$528,9),'Calc (scoring engine)'!$K$5:$K$528,0))&gt;0,INDEX('Calc (scoring engine)'!$H$5:$H$528,MATCH(LARGE('Calc (scoring engine)'!$K$5:$K$528,9),'Calc (scoring engine)'!$K$5:$K$528,0)),""),""))</ns0:f>
        <ns0:v/>
      </ns0:c>
      <ns0:c r="BU29" s="24">
        <ns0:f>IF(OR(9&gt;MAX(3,MIN(15,N($D$18))),IFERROR(LARGE('Calc (scoring engine)'!$K$5:$K$528,9),-999999)&lt;=-900000),"",IF(IFERROR(INDEX('Calc (scoring engine)'!$B$5:$B$528,MATCH(LARGE('Calc (scoring engine)'!$K$5:$K$528,9),'Calc (scoring engine)'!$K$5:$K$528,0)),0)=1,"same subsector","sector only"))</ns0:f>
        <ns0:v/>
      </ns0:c>
      <ns0:c r="BV29" s="57">
        <ns0:f>IF(OR(9&gt;MAX(3,MIN(15,N($D$18))),IFERROR(LARGE('Calc (scoring engine)'!$K$5:$K$528,9),-999999)&lt;=-900000),"",ROUND(IFERROR(LARGE('Calc (scoring engine)'!$K$5:$K$528,9),0),0))</ns0:f>
        <ns0:v/>
      </ns0:c>
      <ns0:c r="BW29" s="24">
        <ns0:f>IF(OR(9&gt;MAX(3,MIN(15,N($D$18))),IFERROR(LARGE('Calc (scoring engine)'!$K$5:$K$528,9),-999999)&lt;=-900000),"",IFERROR("sub "&amp;INDEX('Calc (scoring engine)'!$B$5:$B$528,MATCH(LARGE('Calc (scoring engine)'!$K$5:$K$528,9),'Calc (scoring engine)'!$K$5:$K$528,0))*W_SUB&amp;" + size "&amp;ROUND(INDEX('Calc (scoring engine)'!$D$5:$D$528,MATCH(LARGE('Calc (scoring engine)'!$K$5:$K$528,9),'Calc (scoring engine)'!$K$5:$K$528,0))*W_SIZE,0)&amp;" + prof "&amp;INDEX('Calc (scoring engine)'!$E$5:$E$528,MATCH(LARGE('Calc (scoring engine)'!$K$5:$K$528,9),'Calc (scoring engine)'!$K$5:$K$528,0))*W_PROF&amp;" + recency "&amp;ROUND(INDEX('Calc (scoring engine)'!$G$5:$G$528,MATCH(LARGE('Calc (scoring engine)'!$K$5:$K$528,9),'Calc (scoring engine)'!$K$5:$K$528,0))*W_REC,0)&amp;IF(INDEX('Calc (scoring engine)'!$H$5:$H$528,MATCH(LARGE('Calc (scoring engine)'!$K$5:$K$528,9),'Calc (scoring engine)'!$K$5:$K$528,0))&gt;0," + shared CS x"&amp;INDEX('Calc (scoring engine)'!$H$5:$H$528,MATCH(LARGE('Calc (scoring engine)'!$K$5:$K$528,9),'Calc (scoring engine)'!$K$5:$K$528,0)),""),""))</ns0:f>
        <ns0:v/>
      </ns0:c>
    </ns0:row>
    <ns0:row r="30">
      <ns0:c r="A30" s="52">
        <ns0:f>IF(OR(10&gt;MAX(3,MIN(15,N($D$18))),IFERROR(LARGE('Calc (scoring engine)'!$K$5:$K$528,10),-999999)&lt;=-900000),"",10)</ns0:f>
        <ns0:v/>
      </ns0:c>
      <ns0:c r="B30" s="24">
        <ns0:f>IF(OR(10&gt;MAX(3,MIN(15,N($D$18))),IFERROR(LARGE('Calc (scoring engine)'!$K$5:$K$528,10),-999999)&lt;=-900000),"",IFERROR(IF(INDEX(Database!$B$5:$B$528,MATCH(LARGE('Calc (scoring engine)'!$K$5:$K$528,10),'Calc (scoring engine)'!$K$5:$K$528,0))="","—",INDEX(Database!$B$5:$B$528,MATCH(LARGE('Calc (scoring engine)'!$K$5:$K$528,10),'Calc (scoring engine)'!$K$5:$K$528,0))),""))</ns0:f>
        <ns0:v/>
      </ns0:c>
      <ns0:c r="C30" s="53">
        <ns0:f>IF(OR(10&gt;MAX(3,MIN(15,N($D$18))),IFERROR(LARGE('Calc (scoring engine)'!$K$5:$K$528,10),-999999)&lt;=-900000),"",IFERROR(IF(INDEX(Database!$A$5:$A$528,MATCH(LARGE('Calc (scoring engine)'!$K$5:$K$528,10),'Calc (scoring engine)'!$K$5:$K$528,0))="","—",INDEX(Database!$A$5:$A$528,MATCH(LARGE('Calc (scoring engine)'!$K$5:$K$528,10),'Calc (scoring engine)'!$K$5:$K$528,0))),""))</ns0:f>
        <ns0:v/>
      </ns0:c>
      <ns0:c r="D30" s="24">
        <ns0:f>IF(OR(10&gt;MAX(3,MIN(15,N($D$18))),IFERROR(LARGE('Calc (scoring engine)'!$K$5:$K$528,10),-999999)&lt;=-900000),"",IFERROR(IF(INDEX(Database!$D$5:$D$528,MATCH(LARGE('Calc (scoring engine)'!$K$5:$K$528,10),'Calc (scoring engine)'!$K$5:$K$528,0))="","—",INDEX(Database!$D$5:$D$528,MATCH(LARGE('Calc (scoring engine)'!$K$5:$K$528,10),'Calc (scoring engine)'!$K$5:$K$528,0))),""))</ns0:f>
        <ns0:v/>
      </ns0:c>
      <ns0:c r="E30" s="24">
        <ns0:f>IF(OR(10&gt;MAX(3,MIN(15,N($D$18))),IFERROR(LARGE('Calc (scoring engine)'!$K$5:$K$528,10),-999999)&lt;=-900000),"",IFERROR(IF(INDEX(Database!$E$5:$E$528,MATCH(LARGE('Calc (scoring engine)'!$K$5:$K$528,10),'Calc (scoring engine)'!$K$5:$K$528,0))="","—",INDEX(Database!$E$5:$E$528,MATCH(LARGE('Calc (scoring engine)'!$K$5:$K$528,10),'Calc (scoring engine)'!$K$5:$K$528,0))),""))</ns0:f>
        <ns0:v/>
      </ns0:c>
      <ns0:c r="F30" s="24">
        <ns0:f>IF(OR(10&gt;MAX(3,MIN(15,N($D$18))),IFERROR(LARGE('Calc (scoring engine)'!$K$5:$K$528,10),-999999)&lt;=-900000),"",IFERROR(IF(INDEX(Database!$F$5:$F$528,MATCH(LARGE('Calc (scoring engine)'!$K$5:$K$528,10),'Calc (scoring engine)'!$K$5:$K$528,0))="","—",INDEX(Database!$F$5:$F$528,MATCH(LARGE('Calc (scoring engine)'!$K$5:$K$528,10),'Calc (scoring engine)'!$K$5:$K$528,0))),""))</ns0:f>
        <ns0:v/>
      </ns0:c>
      <ns0:c r="G30" s="24">
        <ns0:f>IF(OR(10&gt;MAX(3,MIN(15,N($D$18))),IFERROR(LARGE('Calc (scoring engine)'!$K$5:$K$528,10),-999999)&lt;=-900000),"",IFERROR(IF(INDEX(Database!$G$5:$G$528,MATCH(LARGE('Calc (scoring engine)'!$K$5:$K$528,10),'Calc (scoring engine)'!$K$5:$K$528,0))="","—",INDEX(Database!$G$5:$G$528,MATCH(LARGE('Calc (scoring engine)'!$K$5:$K$528,10),'Calc (scoring engine)'!$K$5:$K$528,0))),""))</ns0:f>
        <ns0:v/>
      </ns0:c>
      <ns0:c r="H30" s="36">
        <ns0:f>IF(OR(10&gt;MAX(3,MIN(15,N($D$18))),IFERROR(LARGE('Calc (scoring engine)'!$K$5:$K$528,10),-999999)&lt;=-900000),"",IFERROR(IF(INDEX(Database!$H$5:$H$528,MATCH(LARGE('Calc (scoring engine)'!$K$5:$K$528,10),'Calc (scoring engine)'!$K$5:$K$528,0))="","—",INDEX(Database!$H$5:$H$528,MATCH(LARGE('Calc (scoring engine)'!$K$5:$K$528,10),'Calc (scoring engine)'!$K$5:$K$528,0))),""))</ns0:f>
        <ns0:v/>
      </ns0:c>
      <ns0:c r="I30" s="34">
        <ns0:f>IF(OR(10&gt;MAX(3,MIN(15,N($D$18))),IFERROR(LARGE('Calc (scoring engine)'!$K$5:$K$528,10),-999999)&lt;=-900000),"",IFERROR(IF(INDEX(Database!$I$5:$I$528,MATCH(LARGE('Calc (scoring engine)'!$K$5:$K$528,10),'Calc (scoring engine)'!$K$5:$K$528,0))="","—",INDEX(Database!$I$5:$I$528,MATCH(LARGE('Calc (scoring engine)'!$K$5:$K$528,10),'Calc (scoring engine)'!$K$5:$K$528,0))),""))</ns0:f>
        <ns0:v/>
      </ns0:c>
      <ns0:c r="J30" s="54">
        <ns0:f>IF(OR(10&gt;MAX(3,MIN(15,N($D$18))),IFERROR(LARGE('Calc (scoring engine)'!$K$5:$K$528,10),-999999)&lt;=-900000),"",IFERROR(IF(INDEX(Database!$K$5:$K$528,MATCH(LARGE('Calc (scoring engine)'!$K$5:$K$528,10),'Calc (scoring engine)'!$K$5:$K$528,0))="","—",INDEX(Database!$K$5:$K$528,MATCH(LARGE('Calc (scoring engine)'!$K$5:$K$528,10),'Calc (scoring engine)'!$K$5:$K$528,0))),""))</ns0:f>
        <ns0:v/>
      </ns0:c>
      <ns0:c r="K30" s="54">
        <ns0:f>IF(OR(10&gt;MAX(3,MIN(15,N($D$18))),IFERROR(LARGE('Calc (scoring engine)'!$K$5:$K$528,10),-999999)&lt;=-900000),"",IFERROR(IF(INDEX(Database!$L$5:$L$528,MATCH(LARGE('Calc (scoring engine)'!$K$5:$K$528,10),'Calc (scoring engine)'!$K$5:$K$528,0))="","—",INDEX(Database!$L$5:$L$528,MATCH(LARGE('Calc (scoring engine)'!$K$5:$K$528,10),'Calc (scoring engine)'!$K$5:$K$528,0))),""))</ns0:f>
        <ns0:v/>
      </ns0:c>
      <ns0:c r="L30" s="54">
        <ns0:f>IF(OR(10&gt;MAX(3,MIN(15,N($D$18))),IFERROR(LARGE('Calc (scoring engine)'!$K$5:$K$528,10),-999999)&lt;=-900000),"",IFERROR(IF(INDEX(Database!$M$5:$M$528,MATCH(LARGE('Calc (scoring engine)'!$K$5:$K$528,10),'Calc (scoring engine)'!$K$5:$K$528,0))="","—",INDEX(Database!$M$5:$M$528,MATCH(LARGE('Calc (scoring engine)'!$K$5:$K$528,10),'Calc (scoring engine)'!$K$5:$K$528,0))),""))</ns0:f>
        <ns0:v/>
      </ns0:c>
      <ns0:c r="M30" s="24">
        <ns0:f>IF(OR(10&gt;MAX(3,MIN(15,N($D$18))),IFERROR(LARGE('Calc (scoring engine)'!$K$5:$K$528,10),-999999)&lt;=-900000),"",IFERROR(IF(INDEX(Database!$N$5:$N$528,MATCH(LARGE('Calc (scoring engine)'!$K$5:$K$528,10),'Calc (scoring engine)'!$K$5:$K$528,0))="","—",INDEX(Database!$N$5:$N$528,MATCH(LARGE('Calc (scoring engine)'!$K$5:$K$528,10),'Calc (scoring engine)'!$K$5:$K$528,0))),""))</ns0:f>
        <ns0:v/>
      </ns0:c>
      <ns0:c r="N30" s="44">
        <ns0:f>IF(OR(10&gt;MAX(3,MIN(15,N($D$18))),IFERROR(LARGE('Calc (scoring engine)'!$K$5:$K$528,10),-999999)&lt;=-900000),"",IFERROR(IF(INDEX(Database!$O$5:$O$528,MATCH(LARGE('Calc (scoring engine)'!$K$5:$K$528,10),'Calc (scoring engine)'!$K$5:$K$528,0))="","—",INDEX(Database!$O$5:$O$528,MATCH(LARGE('Calc (scoring engine)'!$K$5:$K$528,10),'Calc (scoring engine)'!$K$5:$K$528,0))),""))</ns0:f>
        <ns0:v/>
      </ns0:c>
      <ns0:c r="O30" s="44">
        <ns0:f>IF(OR(10&gt;MAX(3,MIN(15,N($D$18))),IFERROR(LARGE('Calc (scoring engine)'!$K$5:$K$528,10),-999999)&lt;=-900000),"",IFERROR(IF(INDEX(Database!$P$5:$P$528,MATCH(LARGE('Calc (scoring engine)'!$K$5:$K$528,10),'Calc (scoring engine)'!$K$5:$K$528,0))="","—",INDEX(Database!$P$5:$P$528,MATCH(LARGE('Calc (scoring engine)'!$K$5:$K$528,10),'Calc (scoring engine)'!$K$5:$K$528,0))),""))</ns0:f>
        <ns0:v/>
      </ns0:c>
      <ns0:c r="P30" s="34">
        <ns0:f>IF(OR(10&gt;MAX(3,MIN(15,N($D$18))),IFERROR(LARGE('Calc (scoring engine)'!$K$5:$K$528,10),-999999)&lt;=-900000),"",IFERROR(IF(INDEX(Database!$Q$5:$Q$528,MATCH(LARGE('Calc (scoring engine)'!$K$5:$K$528,10),'Calc (scoring engine)'!$K$5:$K$528,0))="","—",INDEX(Database!$Q$5:$Q$528,MATCH(LARGE('Calc (scoring engine)'!$K$5:$K$528,10),'Calc (scoring engine)'!$K$5:$K$528,0))),""))</ns0:f>
        <ns0:v/>
      </ns0:c>
      <ns0:c r="Q30" s="41">
        <ns0:f>IF(OR(10&gt;MAX(3,MIN(15,N($D$18))),IFERROR(LARGE('Calc (scoring engine)'!$K$5:$K$528,10),-999999)&lt;=-900000),"",IFERROR(IF(INDEX(Database!$S$5:$S$528,MATCH(LARGE('Calc (scoring engine)'!$K$5:$K$528,10),'Calc (scoring engine)'!$K$5:$K$528,0))="","—",INDEX(Database!$S$5:$S$528,MATCH(LARGE('Calc (scoring engine)'!$K$5:$K$528,10),'Calc (scoring engine)'!$K$5:$K$528,0))),""))</ns0:f>
        <ns0:v/>
      </ns0:c>
      <ns0:c r="R30" s="55">
        <ns0:f>IF(OR(10&gt;MAX(3,MIN(15,N($D$18))),IFERROR(LARGE('Calc (scoring engine)'!$K$5:$K$528,10),-999999)&lt;=-900000),"",IFERROR(IF(INDEX(Database!$T$5:$T$528,MATCH(LARGE('Calc (scoring engine)'!$K$5:$K$528,10),'Calc (scoring engine)'!$K$5:$K$528,0))="","—",INDEX(Database!$T$5:$T$528,MATCH(LARGE('Calc (scoring engine)'!$K$5:$K$528,10),'Calc (scoring engine)'!$K$5:$K$528,0))),""))</ns0:f>
        <ns0:v/>
      </ns0:c>
      <ns0:c r="S30" s="56">
        <ns0:f>IF(OR(10&gt;MAX(3,MIN(15,N($D$18))),IFERROR(LARGE('Calc (scoring engine)'!$K$5:$K$528,10),-999999)&lt;=-900000),"",IFERROR(IF(INDEX(Database!$U$5:$U$528,MATCH(LARGE('Calc (scoring engine)'!$K$5:$K$528,10),'Calc (scoring engine)'!$K$5:$K$528,0))="","—",INDEX(Database!$U$5:$U$528,MATCH(LARGE('Calc (scoring engine)'!$K$5:$K$528,10),'Calc (scoring engine)'!$K$5:$K$528,0))),""))</ns0:f>
        <ns0:v/>
      </ns0:c>
      <ns0:c r="T30" s="57">
        <ns0:f>IF(OR(10&gt;MAX(3,MIN(15,N($D$18))),IFERROR(LARGE('Calc (scoring engine)'!$K$5:$K$528,10),-999999)&lt;=-900000),"",IFERROR(IF(INDEX(Database!$V$5:$V$528,MATCH(LARGE('Calc (scoring engine)'!$K$5:$K$528,10),'Calc (scoring engine)'!$K$5:$K$528,0))="","—",INDEX(Database!$V$5:$V$528,MATCH(LARGE('Calc (scoring engine)'!$K$5:$K$528,10),'Calc (scoring engine)'!$K$5:$K$528,0))),""))</ns0:f>
        <ns0:v/>
      </ns0:c>
      <ns0:c r="U30" s="44">
        <ns0:f>IF(OR(10&gt;MAX(3,MIN(15,N($D$18))),IFERROR(LARGE('Calc (scoring engine)'!$K$5:$K$528,10),-999999)&lt;=-900000),"",IFERROR(IF(INDEX(Database!$W$5:$W$528,MATCH(LARGE('Calc (scoring engine)'!$K$5:$K$528,10),'Calc (scoring engine)'!$K$5:$K$528,0))="","—",INDEX(Database!$W$5:$W$528,MATCH(LARGE('Calc (scoring engine)'!$K$5:$K$528,10),'Calc (scoring engine)'!$K$5:$K$528,0))),""))</ns0:f>
        <ns0:v/>
      </ns0:c>
      <ns0:c r="V30" s="24">
        <ns0:f>IF(OR(10&gt;MAX(3,MIN(15,N($D$18))),IFERROR(LARGE('Calc (scoring engine)'!$K$5:$K$528,10),-999999)&lt;=-900000),"",IFERROR(IF(INDEX(Database!$X$5:$X$528,MATCH(LARGE('Calc (scoring engine)'!$K$5:$K$528,10),'Calc (scoring engine)'!$K$5:$K$528,0))="","—",INDEX(Database!$X$5:$X$528,MATCH(LARGE('Calc (scoring engine)'!$K$5:$K$528,10),'Calc (scoring engine)'!$K$5:$K$528,0))),""))</ns0:f>
        <ns0:v/>
      </ns0:c>
      <ns0:c r="W30" s="34">
        <ns0:f>IF(OR(10&gt;MAX(3,MIN(15,N($D$18))),IFERROR(LARGE('Calc (scoring engine)'!$K$5:$K$528,10),-999999)&lt;=-900000),"",IFERROR(IF(INDEX(Database!$Y$5:$Y$528,MATCH(LARGE('Calc (scoring engine)'!$K$5:$K$528,10),'Calc (scoring engine)'!$K$5:$K$528,0))="","—",INDEX(Database!$Y$5:$Y$528,MATCH(LARGE('Calc (scoring engine)'!$K$5:$K$528,10),'Calc (scoring engine)'!$K$5:$K$528,0))),""))</ns0:f>
        <ns0:v/>
      </ns0:c>
      <ns0:c r="X30" s="34">
        <ns0:f>IF(OR(10&gt;MAX(3,MIN(15,N($D$18))),IFERROR(LARGE('Calc (scoring engine)'!$K$5:$K$528,10),-999999)&lt;=-900000),"",IFERROR(IF(INDEX(Database!$Z$5:$Z$528,MATCH(LARGE('Calc (scoring engine)'!$K$5:$K$528,10),'Calc (scoring engine)'!$K$5:$K$528,0))="","—",INDEX(Database!$Z$5:$Z$528,MATCH(LARGE('Calc (scoring engine)'!$K$5:$K$528,10),'Calc (scoring engine)'!$K$5:$K$528,0))),""))</ns0:f>
        <ns0:v/>
      </ns0:c>
      <ns0:c r="Y30" s="44">
        <ns0:f>IF(OR(10&gt;MAX(3,MIN(15,N($D$18))),IFERROR(LARGE('Calc (scoring engine)'!$K$5:$K$528,10),-999999)&lt;=-900000),"",IFERROR(IF(INDEX(Database!$AA$5:$AA$528,MATCH(LARGE('Calc (scoring engine)'!$K$5:$K$528,10),'Calc (scoring engine)'!$K$5:$K$528,0))="","—",INDEX(Database!$AA$5:$AA$528,MATCH(LARGE('Calc (scoring engine)'!$K$5:$K$528,10),'Calc (scoring engine)'!$K$5:$K$528,0))),""))</ns0:f>
        <ns0:v/>
      </ns0:c>
      <ns0:c r="Z30" s="24">
        <ns0:f>IF(OR(10&gt;MAX(3,MIN(15,N($D$18))),IFERROR(LARGE('Calc (scoring engine)'!$K$5:$K$528,10),-999999)&lt;=-900000),"",IFERROR(IF(INDEX(Database!$AB$5:$AB$528,MATCH(LARGE('Calc (scoring engine)'!$K$5:$K$528,10),'Calc (scoring engine)'!$K$5:$K$528,0))="","—",INDEX(Database!$AB$5:$AB$528,MATCH(LARGE('Calc (scoring engine)'!$K$5:$K$528,10),'Calc (scoring engine)'!$K$5:$K$528,0))),""))</ns0:f>
        <ns0:v/>
      </ns0:c>
      <ns0:c r="AA30" s="44">
        <ns0:f>IF(OR(10&gt;MAX(3,MIN(15,N($D$18))),IFERROR(LARGE('Calc (scoring engine)'!$K$5:$K$528,10),-999999)&lt;=-900000),"",IFERROR(IF(INDEX(Database!$AD$5:$AD$528,MATCH(LARGE('Calc (scoring engine)'!$K$5:$K$528,10),'Calc (scoring engine)'!$K$5:$K$528,0))="","—",INDEX(Database!$AD$5:$AD$528,MATCH(LARGE('Calc (scoring engine)'!$K$5:$K$528,10),'Calc (scoring engine)'!$K$5:$K$528,0))),""))</ns0:f>
        <ns0:v/>
      </ns0:c>
      <ns0:c r="AB30" s="24">
        <ns0:f>IF(OR(10&gt;MAX(3,MIN(15,N($D$18))),IFERROR(LARGE('Calc (scoring engine)'!$K$5:$K$528,10),-999999)&lt;=-900000),"",IFERROR(IF(INDEX(Database!$AE$5:$AE$528,MATCH(LARGE('Calc (scoring engine)'!$K$5:$K$528,10),'Calc (scoring engine)'!$K$5:$K$528,0))="","—",INDEX(Database!$AE$5:$AE$528,MATCH(LARGE('Calc (scoring engine)'!$K$5:$K$528,10),'Calc (scoring engine)'!$K$5:$K$528,0))),""))</ns0:f>
        <ns0:v/>
      </ns0:c>
      <ns0:c r="AC30" s="24">
        <ns0:f>IF(OR(10&gt;MAX(3,MIN(15,N($D$18))),IFERROR(LARGE('Calc (scoring engine)'!$K$5:$K$528,10),-999999)&lt;=-900000),"",IFERROR(IF(INDEX(Database!$AF$5:$AF$528,MATCH(LARGE('Calc (scoring engine)'!$K$5:$K$528,10),'Calc (scoring engine)'!$K$5:$K$528,0))="","—",INDEX(Database!$AF$5:$AF$528,MATCH(LARGE('Calc (scoring engine)'!$K$5:$K$528,10),'Calc (scoring engine)'!$K$5:$K$528,0))),""))</ns0:f>
        <ns0:v/>
      </ns0:c>
      <ns0:c r="AD30" s="24">
        <ns0:f>IF(OR(10&gt;MAX(3,MIN(15,N($D$18))),IFERROR(LARGE('Calc (scoring engine)'!$K$5:$K$528,10),-999999)&lt;=-900000),"",IFERROR(IF(INDEX(Database!$AG$5:$AG$528,MATCH(LARGE('Calc (scoring engine)'!$K$5:$K$528,10),'Calc (scoring engine)'!$K$5:$K$528,0))="","—",INDEX(Database!$AG$5:$AG$528,MATCH(LARGE('Calc (scoring engine)'!$K$5:$K$528,10),'Calc (scoring engine)'!$K$5:$K$528,0))),""))</ns0:f>
        <ns0:v/>
      </ns0:c>
      <ns0:c r="AE30" s="24">
        <ns0:f>IF(OR(10&gt;MAX(3,MIN(15,N($D$18))),IFERROR(LARGE('Calc (scoring engine)'!$K$5:$K$528,10),-999999)&lt;=-900000),"",IFERROR(IF(INDEX(Database!$AH$5:$AH$528,MATCH(LARGE('Calc (scoring engine)'!$K$5:$K$528,10),'Calc (scoring engine)'!$K$5:$K$528,0))="","—",INDEX(Database!$AH$5:$AH$528,MATCH(LARGE('Calc (scoring engine)'!$K$5:$K$528,10),'Calc (scoring engine)'!$K$5:$K$528,0))),""))</ns0:f>
        <ns0:v/>
      </ns0:c>
      <ns0:c r="AF30" s="38">
        <ns0:f>IF(OR(10&gt;MAX(3,MIN(15,N($D$18))),IFERROR(LARGE('Calc (scoring engine)'!$K$5:$K$528,10),-999999)&lt;=-900000),"",IFERROR(IF(INDEX(Database!$AI$5:$AI$528,MATCH(LARGE('Calc (scoring engine)'!$K$5:$K$528,10),'Calc (scoring engine)'!$K$5:$K$528,0))="","—",INDEX(Database!$AI$5:$AI$528,MATCH(LARGE('Calc (scoring engine)'!$K$5:$K$528,10),'Calc (scoring engine)'!$K$5:$K$528,0))),""))</ns0:f>
        <ns0:v/>
      </ns0:c>
      <ns0:c r="AG30" s="38">
        <ns0:f>IF(OR(10&gt;MAX(3,MIN(15,N($D$18))),IFERROR(LARGE('Calc (scoring engine)'!$K$5:$K$528,10),-999999)&lt;=-900000),"",IFERROR(IF(INDEX(Database!$AJ$5:$AJ$528,MATCH(LARGE('Calc (scoring engine)'!$K$5:$K$528,10),'Calc (scoring engine)'!$K$5:$K$528,0))="","—",INDEX(Database!$AJ$5:$AJ$528,MATCH(LARGE('Calc (scoring engine)'!$K$5:$K$528,10),'Calc (scoring engine)'!$K$5:$K$528,0))),""))</ns0:f>
        <ns0:v/>
      </ns0:c>
      <ns0:c r="AH30" s="38">
        <ns0:f>IF(OR(10&gt;MAX(3,MIN(15,N($D$18))),IFERROR(LARGE('Calc (scoring engine)'!$K$5:$K$528,10),-999999)&lt;=-900000),"",IFERROR(IF(INDEX(Database!$AK$5:$AK$528,MATCH(LARGE('Calc (scoring engine)'!$K$5:$K$528,10),'Calc (scoring engine)'!$K$5:$K$528,0))="","—",INDEX(Database!$AK$5:$AK$528,MATCH(LARGE('Calc (scoring engine)'!$K$5:$K$528,10),'Calc (scoring engine)'!$K$5:$K$528,0))),""))</ns0:f>
        <ns0:v/>
      </ns0:c>
      <ns0:c r="AI30" s="38">
        <ns0:f>IF(OR(10&gt;MAX(3,MIN(15,N($D$18))),IFERROR(LARGE('Calc (scoring engine)'!$K$5:$K$528,10),-999999)&lt;=-900000),"",IFERROR(IF(INDEX(Database!$AL$5:$AL$528,MATCH(LARGE('Calc (scoring engine)'!$K$5:$K$528,10),'Calc (scoring engine)'!$K$5:$K$528,0))="","—",INDEX(Database!$AL$5:$AL$528,MATCH(LARGE('Calc (scoring engine)'!$K$5:$K$528,10),'Calc (scoring engine)'!$K$5:$K$528,0))),""))</ns0:f>
        <ns0:v/>
      </ns0:c>
      <ns0:c r="AJ30" s="38">
        <ns0:f>IF(OR(10&gt;MAX(3,MIN(15,N($D$18))),IFERROR(LARGE('Calc (scoring engine)'!$K$5:$K$528,10),-999999)&lt;=-900000),"",IFERROR(IF(INDEX(Database!$AM$5:$AM$528,MATCH(LARGE('Calc (scoring engine)'!$K$5:$K$528,10),'Calc (scoring engine)'!$K$5:$K$528,0))="","—",INDEX(Database!$AM$5:$AM$528,MATCH(LARGE('Calc (scoring engine)'!$K$5:$K$528,10),'Calc (scoring engine)'!$K$5:$K$528,0))),""))</ns0:f>
        <ns0:v/>
      </ns0:c>
      <ns0:c r="AK30" s="39">
        <ns0:f>IF(OR(10&gt;MAX(3,MIN(15,N($D$18))),IFERROR(LARGE('Calc (scoring engine)'!$K$5:$K$528,10),-999999)&lt;=-900000),"",IFERROR(IF(INDEX(Database!$AN$5:$AN$528,MATCH(LARGE('Calc (scoring engine)'!$K$5:$K$528,10),'Calc (scoring engine)'!$K$5:$K$528,0))="","—",INDEX(Database!$AN$5:$AN$528,MATCH(LARGE('Calc (scoring engine)'!$K$5:$K$528,10),'Calc (scoring engine)'!$K$5:$K$528,0))),""))</ns0:f>
        <ns0:v/>
      </ns0:c>
      <ns0:c r="AL30" s="44">
        <ns0:f>IF(OR(10&gt;MAX(3,MIN(15,N($D$18))),IFERROR(LARGE('Calc (scoring engine)'!$K$5:$K$528,10),-999999)&lt;=-900000),"",IFERROR(IF(INDEX(Database!$AO$5:$AO$528,MATCH(LARGE('Calc (scoring engine)'!$K$5:$K$528,10),'Calc (scoring engine)'!$K$5:$K$528,0))="","—",INDEX(Database!$AO$5:$AO$528,MATCH(LARGE('Calc (scoring engine)'!$K$5:$K$528,10),'Calc (scoring engine)'!$K$5:$K$528,0))),""))</ns0:f>
        <ns0:v/>
      </ns0:c>
      <ns0:c r="AM30" s="38">
        <ns0:f>IF(OR(10&gt;MAX(3,MIN(15,N($D$18))),IFERROR(LARGE('Calc (scoring engine)'!$K$5:$K$528,10),-999999)&lt;=-900000),"",IFERROR(IF(INDEX(Database!$AP$5:$AP$528,MATCH(LARGE('Calc (scoring engine)'!$K$5:$K$528,10),'Calc (scoring engine)'!$K$5:$K$528,0))="","—",INDEX(Database!$AP$5:$AP$528,MATCH(LARGE('Calc (scoring engine)'!$K$5:$K$528,10),'Calc (scoring engine)'!$K$5:$K$528,0))),""))</ns0:f>
        <ns0:v/>
      </ns0:c>
      <ns0:c r="AN30" s="38">
        <ns0:f>IF(OR(10&gt;MAX(3,MIN(15,N($D$18))),IFERROR(LARGE('Calc (scoring engine)'!$K$5:$K$528,10),-999999)&lt;=-900000),"",IFERROR(IF(INDEX(Database!$AQ$5:$AQ$528,MATCH(LARGE('Calc (scoring engine)'!$K$5:$K$528,10),'Calc (scoring engine)'!$K$5:$K$528,0))="","—",INDEX(Database!$AQ$5:$AQ$528,MATCH(LARGE('Calc (scoring engine)'!$K$5:$K$528,10),'Calc (scoring engine)'!$K$5:$K$528,0))),""))</ns0:f>
        <ns0:v/>
      </ns0:c>
      <ns0:c r="AO30" s="38">
        <ns0:f>IF(OR(10&gt;MAX(3,MIN(15,N($D$18))),IFERROR(LARGE('Calc (scoring engine)'!$K$5:$K$528,10),-999999)&lt;=-900000),"",IFERROR(IF(INDEX(Database!$AR$5:$AR$528,MATCH(LARGE('Calc (scoring engine)'!$K$5:$K$528,10),'Calc (scoring engine)'!$K$5:$K$528,0))="","—",INDEX(Database!$AR$5:$AR$528,MATCH(LARGE('Calc (scoring engine)'!$K$5:$K$528,10),'Calc (scoring engine)'!$K$5:$K$528,0))),""))</ns0:f>
        <ns0:v/>
      </ns0:c>
      <ns0:c r="AP30" s="38">
        <ns0:f>IF(OR(10&gt;MAX(3,MIN(15,N($D$18))),IFERROR(LARGE('Calc (scoring engine)'!$K$5:$K$528,10),-999999)&lt;=-900000),"",IFERROR(IF(INDEX(Database!$AS$5:$AS$528,MATCH(LARGE('Calc (scoring engine)'!$K$5:$K$528,10),'Calc (scoring engine)'!$K$5:$K$528,0))="","—",INDEX(Database!$AS$5:$AS$528,MATCH(LARGE('Calc (scoring engine)'!$K$5:$K$528,10),'Calc (scoring engine)'!$K$5:$K$528,0))),""))</ns0:f>
        <ns0:v/>
      </ns0:c>
      <ns0:c r="AQ30" s="38">
        <ns0:f>IF(OR(10&gt;MAX(3,MIN(15,N($D$18))),IFERROR(LARGE('Calc (scoring engine)'!$K$5:$K$528,10),-999999)&lt;=-900000),"",IFERROR(IF(INDEX(Database!$AT$5:$AT$528,MATCH(LARGE('Calc (scoring engine)'!$K$5:$K$528,10),'Calc (scoring engine)'!$K$5:$K$528,0))="","—",INDEX(Database!$AT$5:$AT$528,MATCH(LARGE('Calc (scoring engine)'!$K$5:$K$528,10),'Calc (scoring engine)'!$K$5:$K$528,0))),""))</ns0:f>
        <ns0:v/>
      </ns0:c>
      <ns0:c r="AR30" s="38">
        <ns0:f>IF(OR(10&gt;MAX(3,MIN(15,N($D$18))),IFERROR(LARGE('Calc (scoring engine)'!$K$5:$K$528,10),-999999)&lt;=-900000),"",IFERROR(IF(INDEX(Database!$AU$5:$AU$528,MATCH(LARGE('Calc (scoring engine)'!$K$5:$K$528,10),'Calc (scoring engine)'!$K$5:$K$528,0))="","—",INDEX(Database!$AU$5:$AU$528,MATCH(LARGE('Calc (scoring engine)'!$K$5:$K$528,10),'Calc (scoring engine)'!$K$5:$K$528,0))),""))</ns0:f>
        <ns0:v/>
      </ns0:c>
      <ns0:c r="AS30" s="38">
        <ns0:f>IF(OR(10&gt;MAX(3,MIN(15,N($D$18))),IFERROR(LARGE('Calc (scoring engine)'!$K$5:$K$528,10),-999999)&lt;=-900000),"",IFERROR(IF(INDEX(Database!$AV$5:$AV$528,MATCH(LARGE('Calc (scoring engine)'!$K$5:$K$528,10),'Calc (scoring engine)'!$K$5:$K$528,0))="","—",INDEX(Database!$AV$5:$AV$528,MATCH(LARGE('Calc (scoring engine)'!$K$5:$K$528,10),'Calc (scoring engine)'!$K$5:$K$528,0))),""))</ns0:f>
        <ns0:v/>
      </ns0:c>
      <ns0:c r="AT30" s="38">
        <ns0:f>IF(OR(10&gt;MAX(3,MIN(15,N($D$18))),IFERROR(LARGE('Calc (scoring engine)'!$K$5:$K$528,10),-999999)&lt;=-900000),"",IFERROR(IF(INDEX(Database!$AW$5:$AW$528,MATCH(LARGE('Calc (scoring engine)'!$K$5:$K$528,10),'Calc (scoring engine)'!$K$5:$K$528,0))="","—",INDEX(Database!$AW$5:$AW$528,MATCH(LARGE('Calc (scoring engine)'!$K$5:$K$528,10),'Calc (scoring engine)'!$K$5:$K$528,0))),""))</ns0:f>
        <ns0:v/>
      </ns0:c>
      <ns0:c r="AU30" s="38">
        <ns0:f>IF(OR(10&gt;MAX(3,MIN(15,N($D$18))),IFERROR(LARGE('Calc (scoring engine)'!$K$5:$K$528,10),-999999)&lt;=-900000),"",IFERROR(IF(INDEX(Database!$AX$5:$AX$528,MATCH(LARGE('Calc (scoring engine)'!$K$5:$K$528,10),'Calc (scoring engine)'!$K$5:$K$528,0))="","—",INDEX(Database!$AX$5:$AX$528,MATCH(LARGE('Calc (scoring engine)'!$K$5:$K$528,10),'Calc (scoring engine)'!$K$5:$K$528,0))),""))</ns0:f>
        <ns0:v/>
      </ns0:c>
      <ns0:c r="AV30" s="38">
        <ns0:f>IF(OR(10&gt;MAX(3,MIN(15,N($D$18))),IFERROR(LARGE('Calc (scoring engine)'!$K$5:$K$528,10),-999999)&lt;=-900000),"",IFERROR(IF(INDEX(Database!$AY$5:$AY$528,MATCH(LARGE('Calc (scoring engine)'!$K$5:$K$528,10),'Calc (scoring engine)'!$K$5:$K$528,0))="","—",INDEX(Database!$AY$5:$AY$528,MATCH(LARGE('Calc (scoring engine)'!$K$5:$K$528,10),'Calc (scoring engine)'!$K$5:$K$528,0))),""))</ns0:f>
        <ns0:v/>
      </ns0:c>
      <ns0:c r="AW30" s="38">
        <ns0:f>IF(OR(10&gt;MAX(3,MIN(15,N($D$18))),IFERROR(LARGE('Calc (scoring engine)'!$K$5:$K$528,10),-999999)&lt;=-900000),"",IFERROR(IF(INDEX(Database!$AZ$5:$AZ$528,MATCH(LARGE('Calc (scoring engine)'!$K$5:$K$528,10),'Calc (scoring engine)'!$K$5:$K$528,0))="","—",INDEX(Database!$AZ$5:$AZ$528,MATCH(LARGE('Calc (scoring engine)'!$K$5:$K$528,10),'Calc (scoring engine)'!$K$5:$K$528,0))),""))</ns0:f>
        <ns0:v/>
      </ns0:c>
      <ns0:c r="AX30" s="38">
        <ns0:f>IF(OR(10&gt;MAX(3,MIN(15,N($D$18))),IFERROR(LARGE('Calc (scoring engine)'!$K$5:$K$528,10),-999999)&lt;=-900000),"",IFERROR(IF(INDEX(Database!$BA$5:$BA$528,MATCH(LARGE('Calc (scoring engine)'!$K$5:$K$528,10),'Calc (scoring engine)'!$K$5:$K$528,0))="","—",INDEX(Database!$BA$5:$BA$528,MATCH(LARGE('Calc (scoring engine)'!$K$5:$K$528,10),'Calc (scoring engine)'!$K$5:$K$528,0))),""))</ns0:f>
        <ns0:v/>
      </ns0:c>
      <ns0:c r="AY30" s="38">
        <ns0:f>IF(OR(10&gt;MAX(3,MIN(15,N($D$18))),IFERROR(LARGE('Calc (scoring engine)'!$K$5:$K$528,10),-999999)&lt;=-900000),"",IFERROR(IF(INDEX(Database!$BC$5:$BC$528,MATCH(LARGE('Calc (scoring engine)'!$K$5:$K$528,10),'Calc (scoring engine)'!$K$5:$K$528,0))="","—",INDEX(Database!$BC$5:$BC$528,MATCH(LARGE('Calc (scoring engine)'!$K$5:$K$528,10),'Calc (scoring engine)'!$K$5:$K$528,0))),""))</ns0:f>
        <ns0:v/>
      </ns0:c>
      <ns0:c r="AZ30" s="34">
        <ns0:f>IF(OR(10&gt;MAX(3,MIN(15,N($D$18))),IFERROR(LARGE('Calc (scoring engine)'!$K$5:$K$528,10),-999999)&lt;=-900000),"",IFERROR(IF(INDEX(Database!$BE$5:$BE$528,MATCH(LARGE('Calc (scoring engine)'!$K$5:$K$528,10),'Calc (scoring engine)'!$K$5:$K$528,0))="","—",INDEX(Database!$BE$5:$BE$528,MATCH(LARGE('Calc (scoring engine)'!$K$5:$K$528,10),'Calc (scoring engine)'!$K$5:$K$528,0))),""))</ns0:f>
        <ns0:v/>
      </ns0:c>
      <ns0:c r="BA30" s="34">
        <ns0:f>IF(OR(10&gt;MAX(3,MIN(15,N($D$18))),IFERROR(LARGE('Calc (scoring engine)'!$K$5:$K$528,10),-999999)&lt;=-900000),"",IFERROR(IF(INDEX(Database!$BF$5:$BF$528,MATCH(LARGE('Calc (scoring engine)'!$K$5:$K$528,10),'Calc (scoring engine)'!$K$5:$K$528,0))="","—",INDEX(Database!$BF$5:$BF$528,MATCH(LARGE('Calc (scoring engine)'!$K$5:$K$528,10),'Calc (scoring engine)'!$K$5:$K$528,0))),""))</ns0:f>
        <ns0:v/>
      </ns0:c>
      <ns0:c r="BB30" s="24">
        <ns0:f>IF(OR(10&gt;MAX(3,MIN(15,N($D$18))),IFERROR(LARGE('Calc (scoring engine)'!$K$5:$K$528,10),-999999)&lt;=-900000),"",IFERROR(IF(INDEX(Database!$BG$5:$BG$528,MATCH(LARGE('Calc (scoring engine)'!$K$5:$K$528,10),'Calc (scoring engine)'!$K$5:$K$528,0))="","—",INDEX(Database!$BG$5:$BG$528,MATCH(LARGE('Calc (scoring engine)'!$K$5:$K$528,10),'Calc (scoring engine)'!$K$5:$K$528,0))),""))</ns0:f>
        <ns0:v/>
      </ns0:c>
      <ns0:c r="BC30" s="39">
        <ns0:f>IF(OR(10&gt;MAX(3,MIN(15,N($D$18))),IFERROR(LARGE('Calc (scoring engine)'!$K$5:$K$528,10),-999999)&lt;=-900000),"",IFERROR(IF(N(INDEX(Database!$BH$5:$BH$528,MATCH(LARGE('Calc (scoring engine)'!$K$5:$K$528,10),'Calc (scoring engine)'!$K$5:$K$528,0)))&lt;=0,IF(INDEX(Database!$BG$5:$BG$528,MATCH(LARGE('Calc (scoring engine)'!$K$5:$K$528,10),'Calc (scoring engine)'!$K$5:$K$528,0))="N","n/m","—"),INDEX(Database!$BH$5:$BH$528,MATCH(LARGE('Calc (scoring engine)'!$K$5:$K$528,10),'Calc (scoring engine)'!$K$5:$K$528,0))),""))</ns0:f>
        <ns0:v/>
      </ns0:c>
      <ns0:c r="BD30" s="39">
        <ns0:f>IF(OR(10&gt;MAX(3,MIN(15,N($D$18))),IFERROR(LARGE('Calc (scoring engine)'!$K$5:$K$528,10),-999999)&lt;=-900000),"",IFERROR(IF(INDEX(Database!$BI$5:$BI$528,MATCH(LARGE('Calc (scoring engine)'!$K$5:$K$528,10),'Calc (scoring engine)'!$K$5:$K$528,0))="","—",INDEX(Database!$BI$5:$BI$528,MATCH(LARGE('Calc (scoring engine)'!$K$5:$K$528,10),'Calc (scoring engine)'!$K$5:$K$528,0))),""))</ns0:f>
        <ns0:v/>
      </ns0:c>
      <ns0:c r="BE30" s="39">
        <ns0:f>IF(OR(10&gt;MAX(3,MIN(15,N($D$18))),IFERROR(LARGE('Calc (scoring engine)'!$K$5:$K$528,10),-999999)&lt;=-900000),"",IFERROR(IF(INDEX(Database!$BJ$5:$BJ$528,MATCH(LARGE('Calc (scoring engine)'!$K$5:$K$528,10),'Calc (scoring engine)'!$K$5:$K$528,0))="","—",INDEX(Database!$BJ$5:$BJ$528,MATCH(LARGE('Calc (scoring engine)'!$K$5:$K$528,10),'Calc (scoring engine)'!$K$5:$K$528,0))),""))</ns0:f>
        <ns0:v/>
      </ns0:c>
      <ns0:c r="BF30" s="39">
        <ns0:f>IF(OR(10&gt;MAX(3,MIN(15,N($D$18))),IFERROR(LARGE('Calc (scoring engine)'!$K$5:$K$528,10),-999999)&lt;=-900000),"",IFERROR(IF(INDEX(Database!$BK$5:$BK$528,MATCH(LARGE('Calc (scoring engine)'!$K$5:$K$528,10),'Calc (scoring engine)'!$K$5:$K$528,0))="","—",INDEX(Database!$BK$5:$BK$528,MATCH(LARGE('Calc (scoring engine)'!$K$5:$K$528,10),'Calc (scoring engine)'!$K$5:$K$528,0))),""))</ns0:f>
        <ns0:v/>
      </ns0:c>
      <ns0:c r="BG30" s="39">
        <ns0:f>IF(OR(10&gt;MAX(3,MIN(15,N($D$18))),IFERROR(LARGE('Calc (scoring engine)'!$K$5:$K$528,10),-999999)&lt;=-900000),"",IFERROR(IF(INDEX(Database!$BL$5:$BL$528,MATCH(LARGE('Calc (scoring engine)'!$K$5:$K$528,10),'Calc (scoring engine)'!$K$5:$K$528,0))="","—",INDEX(Database!$BL$5:$BL$528,MATCH(LARGE('Calc (scoring engine)'!$K$5:$K$528,10),'Calc (scoring engine)'!$K$5:$K$528,0))),""))</ns0:f>
        <ns0:v/>
      </ns0:c>
      <ns0:c r="BH30" s="39">
        <ns0:f>IF(OR(10&gt;MAX(3,MIN(15,N($D$18))),IFERROR(LARGE('Calc (scoring engine)'!$K$5:$K$528,10),-999999)&lt;=-900000),"",IFERROR(IFERROR(BDP(TEXT(INDEX(Database!$A$5:$A$528,MATCH(LARGE('Calc (scoring engine)'!$K$5:$K$528,10),'Calc (scoring engine)'!$K$5:$K$528,0)),"0")&amp;" HK Equity","PE_RATIO"),IF(INDEX(Database!$BJ$5:$BJ$528,MATCH(LARGE('Calc (scoring engine)'!$K$5:$K$528,10),'Calc (scoring engine)'!$K$5:$K$528,0))="","—",INDEX(Database!$BJ$5:$BJ$528,MATCH(LARGE('Calc (scoring engine)'!$K$5:$K$528,10),'Calc (scoring engine)'!$K$5:$K$528,0)))),""))</ns0:f>
        <ns0:v/>
      </ns0:c>
      <ns0:c r="BI30" s="39">
        <ns0:f>IF(OR(10&gt;MAX(3,MIN(15,N($D$18))),IFERROR(LARGE('Calc (scoring engine)'!$K$5:$K$528,10),-999999)&lt;=-900000),"",IFERROR(IFERROR(BDP(TEXT(INDEX(Database!$A$5:$A$528,MATCH(LARGE('Calc (scoring engine)'!$K$5:$K$528,10),'Calc (scoring engine)'!$K$5:$K$528,0)),"0")&amp;" HK Equity","PX_TO_SALES_RATIO"),IF(INDEX(Database!$BK$5:$BK$528,MATCH(LARGE('Calc (scoring engine)'!$K$5:$K$528,10),'Calc (scoring engine)'!$K$5:$K$528,0))="","—",INDEX(Database!$BK$5:$BK$528,MATCH(LARGE('Calc (scoring engine)'!$K$5:$K$528,10),'Calc (scoring engine)'!$K$5:$K$528,0)))),""))</ns0:f>
        <ns0:v/>
      </ns0:c>
      <ns0:c r="BJ30" s="24">
        <ns0:f>IF(OR(10&gt;MAX(3,MIN(15,N($D$18))),IFERROR(LARGE('Calc (scoring engine)'!$K$5:$K$528,10),-999999)&lt;=-900000),"",IFERROR(IF(INDEX(Database!$BM$5:$BM$528,MATCH(LARGE('Calc (scoring engine)'!$K$5:$K$528,10),'Calc (scoring engine)'!$K$5:$K$528,0))="","—",INDEX(Database!$BM$5:$BM$528,MATCH(LARGE('Calc (scoring engine)'!$K$5:$K$528,10),'Calc (scoring engine)'!$K$5:$K$528,0))),""))</ns0:f>
        <ns0:v/>
      </ns0:c>
      <ns0:c r="BK30" s="24">
        <ns0:f>IF(OR(10&gt;MAX(3,MIN(15,N($D$18))),IFERROR(LARGE('Calc (scoring engine)'!$K$5:$K$528,10),-999999)&lt;=-900000),"",IFERROR(IF(INDEX(Database!$BN$5:$BN$528,MATCH(LARGE('Calc (scoring engine)'!$K$5:$K$528,10),'Calc (scoring engine)'!$K$5:$K$528,0))="","—",INDEX(Database!$BN$5:$BN$528,MATCH(LARGE('Calc (scoring engine)'!$K$5:$K$528,10),'Calc (scoring engine)'!$K$5:$K$528,0))),""))</ns0:f>
        <ns0:v/>
      </ns0:c>
      <ns0:c r="BL30" s="38">
        <ns0:f>IF(OR(10&gt;MAX(3,MIN(15,N($D$18))),IFERROR(LARGE('Calc (scoring engine)'!$K$5:$K$528,10),-999999)&lt;=-900000),"",IFERROR(IF(INDEX(Database!$BO$5:$BO$528,MATCH(LARGE('Calc (scoring engine)'!$K$5:$K$528,10),'Calc (scoring engine)'!$K$5:$K$528,0))="","—",INDEX(Database!$BO$5:$BO$528,MATCH(LARGE('Calc (scoring engine)'!$K$5:$K$528,10),'Calc (scoring engine)'!$K$5:$K$528,0))),""))</ns0:f>
        <ns0:v/>
      </ns0:c>
      <ns0:c r="BM30" s="54">
        <ns0:f>IF(OR(10&gt;MAX(3,MIN(15,N($D$18))),IFERROR(LARGE('Calc (scoring engine)'!$K$5:$K$528,10),-999999)&lt;=-900000),"",IFERROR(IF(INDEX(Database!$BP$5:$BP$528,MATCH(LARGE('Calc (scoring engine)'!$K$5:$K$528,10),'Calc (scoring engine)'!$K$5:$K$528,0))="","—",INDEX(Database!$BP$5:$BP$528,MATCH(LARGE('Calc (scoring engine)'!$K$5:$K$528,10),'Calc (scoring engine)'!$K$5:$K$528,0))),""))</ns0:f>
        <ns0:v/>
      </ns0:c>
      <ns0:c r="BN30" s="58">
        <ns0:f>IF(OR(10&gt;MAX(3,MIN(15,N($D$18))),IFERROR(LARGE('Calc (scoring engine)'!$K$5:$K$528,10),-999999)&lt;=-900000),"",IFERROR(IF(INDEX(Database!$BQ$5:$BQ$528,MATCH(LARGE('Calc (scoring engine)'!$K$5:$K$528,10),'Calc (scoring engine)'!$K$5:$K$528,0))="","—",INDEX(Database!$BQ$5:$BQ$528,MATCH(LARGE('Calc (scoring engine)'!$K$5:$K$528,10),'Calc (scoring engine)'!$K$5:$K$528,0))),""))</ns0:f>
        <ns0:v/>
      </ns0:c>
      <ns0:c r="BO30" s="34">
        <ns0:f>IF(OR(10&gt;MAX(3,MIN(15,N($D$18))),IFERROR(LARGE('Calc (scoring engine)'!$K$5:$K$528,10),-999999)&lt;=-900000),"",IFERROR(IF(INDEX(Database!$BR$5:$BR$528,MATCH(LARGE('Calc (scoring engine)'!$K$5:$K$528,10),'Calc (scoring engine)'!$K$5:$K$528,0))="","—",INDEX(Database!$BR$5:$BR$528,MATCH(LARGE('Calc (scoring engine)'!$K$5:$K$528,10),'Calc (scoring engine)'!$K$5:$K$528,0))),""))</ns0:f>
        <ns0:v/>
      </ns0:c>
      <ns0:c r="BP30" s="39">
        <ns0:f>IF(OR(10&gt;MAX(3,MIN(15,N($D$18))),IFERROR(LARGE('Calc (scoring engine)'!$K$5:$K$528,10),-999999)&lt;=-900000),"",IFERROR(IF(INDEX(Database!$BS$5:$BS$528,MATCH(LARGE('Calc (scoring engine)'!$K$5:$K$528,10),'Calc (scoring engine)'!$K$5:$K$528,0))="","—",INDEX(Database!$BS$5:$BS$528,MATCH(LARGE('Calc (scoring engine)'!$K$5:$K$528,10),'Calc (scoring engine)'!$K$5:$K$528,0))),""))</ns0:f>
        <ns0:v/>
      </ns0:c>
      <ns0:c r="BQ30" s="39">
        <ns0:f>IF(OR(10&gt;MAX(3,MIN(15,N($D$18))),IFERROR(LARGE('Calc (scoring engine)'!$K$5:$K$528,10),-999999)&lt;=-900000),"",IFERROR(IF(INDEX(Database!$BT$5:$BT$528,MATCH(LARGE('Calc (scoring engine)'!$K$5:$K$528,10),'Calc (scoring engine)'!$K$5:$K$528,0))="","—",INDEX(Database!$BT$5:$BT$528,MATCH(LARGE('Calc (scoring engine)'!$K$5:$K$528,10),'Calc (scoring engine)'!$K$5:$K$528,0))),""))</ns0:f>
        <ns0:v/>
      </ns0:c>
      <ns0:c r="BR30" s="24">
        <ns0:f>IF(OR(10&gt;MAX(3,MIN(15,N($D$18))),IFERROR(LARGE('Calc (scoring engine)'!$K$5:$K$528,10),-999999)&lt;=-900000),"",IFERROR(IF(INDEX(Database!$BU$5:$BU$528,MATCH(LARGE('Calc (scoring engine)'!$K$5:$K$528,10),'Calc (scoring engine)'!$K$5:$K$528,0))="","—",INDEX(Database!$BU$5:$BU$528,MATCH(LARGE('Calc (scoring engine)'!$K$5:$K$528,10),'Calc (scoring engine)'!$K$5:$K$528,0))),""))</ns0:f>
        <ns0:v/>
      </ns0:c>
      <ns0:c r="BS30" s="24">
        <ns0:f>IF(OR(10&gt;MAX(3,MIN(15,N($D$18))),IFERROR(LARGE('Calc (scoring engine)'!$K$5:$K$528,10),-999999)&lt;=-900000),"",IFERROR(IF(INDEX(Database!$BW$5:$BW$528,MATCH(LARGE('Calc (scoring engine)'!$K$5:$K$528,10),'Calc (scoring engine)'!$K$5:$K$528,0))="","—",INDEX(Database!$BW$5:$BW$528,MATCH(LARGE('Calc (scoring engine)'!$K$5:$K$528,10),'Calc (scoring engine)'!$K$5:$K$528,0))),""))</ns0:f>
        <ns0:v/>
      </ns0:c>
      <ns0:c r="BT30" s="57">
        <ns0:f>IF(OR(10&gt;MAX(3,MIN(15,N($D$18))),IFERROR(LARGE('Calc (scoring engine)'!$K$5:$K$528,10),-999999)&lt;=-900000),"",IFERROR(IF(INDEX('Calc (scoring engine)'!$H$5:$H$528,MATCH(LARGE('Calc (scoring engine)'!$K$5:$K$528,10),'Calc (scoring engine)'!$K$5:$K$528,0))&gt;0,INDEX('Calc (scoring engine)'!$H$5:$H$528,MATCH(LARGE('Calc (scoring engine)'!$K$5:$K$528,10),'Calc (scoring engine)'!$K$5:$K$528,0)),""),""))</ns0:f>
        <ns0:v/>
      </ns0:c>
      <ns0:c r="BU30" s="24">
        <ns0:f>IF(OR(10&gt;MAX(3,MIN(15,N($D$18))),IFERROR(LARGE('Calc (scoring engine)'!$K$5:$K$528,10),-999999)&lt;=-900000),"",IF(IFERROR(INDEX('Calc (scoring engine)'!$B$5:$B$528,MATCH(LARGE('Calc (scoring engine)'!$K$5:$K$528,10),'Calc (scoring engine)'!$K$5:$K$528,0)),0)=1,"same subsector","sector only"))</ns0:f>
        <ns0:v/>
      </ns0:c>
      <ns0:c r="BV30" s="57">
        <ns0:f>IF(OR(10&gt;MAX(3,MIN(15,N($D$18))),IFERROR(LARGE('Calc (scoring engine)'!$K$5:$K$528,10),-999999)&lt;=-900000),"",ROUND(IFERROR(LARGE('Calc (scoring engine)'!$K$5:$K$528,10),0),0))</ns0:f>
        <ns0:v/>
      </ns0:c>
      <ns0:c r="BW30" s="24">
        <ns0:f>IF(OR(10&gt;MAX(3,MIN(15,N($D$18))),IFERROR(LARGE('Calc (scoring engine)'!$K$5:$K$528,10),-999999)&lt;=-900000),"",IFERROR("sub "&amp;INDEX('Calc (scoring engine)'!$B$5:$B$528,MATCH(LARGE('Calc (scoring engine)'!$K$5:$K$528,10),'Calc (scoring engine)'!$K$5:$K$528,0))*W_SUB&amp;" + size "&amp;ROUND(INDEX('Calc (scoring engine)'!$D$5:$D$528,MATCH(LARGE('Calc (scoring engine)'!$K$5:$K$528,10),'Calc (scoring engine)'!$K$5:$K$528,0))*W_SIZE,0)&amp;" + prof "&amp;INDEX('Calc (scoring engine)'!$E$5:$E$528,MATCH(LARGE('Calc (scoring engine)'!$K$5:$K$528,10),'Calc (scoring engine)'!$K$5:$K$528,0))*W_PROF&amp;" + recency "&amp;ROUND(INDEX('Calc (scoring engine)'!$G$5:$G$528,MATCH(LARGE('Calc (scoring engine)'!$K$5:$K$528,10),'Calc (scoring engine)'!$K$5:$K$528,0))*W_REC,0)&amp;IF(INDEX('Calc (scoring engine)'!$H$5:$H$528,MATCH(LARGE('Calc (scoring engine)'!$K$5:$K$528,10),'Calc (scoring engine)'!$K$5:$K$528,0))&gt;0," + shared CS x"&amp;INDEX('Calc (scoring engine)'!$H$5:$H$528,MATCH(LARGE('Calc (scoring engine)'!$K$5:$K$528,10),'Calc (scoring engine)'!$K$5:$K$528,0)),""),""))</ns0:f>
        <ns0:v/>
      </ns0:c>
    </ns0:row>
    <ns0:row r="31">
      <ns0:c r="A31" s="52">
        <ns0:f>IF(OR(11&gt;MAX(3,MIN(15,N($D$18))),IFERROR(LARGE('Calc (scoring engine)'!$K$5:$K$528,11),-999999)&lt;=-900000),"",11)</ns0:f>
        <ns0:v/>
      </ns0:c>
      <ns0:c r="B31" s="24">
        <ns0:f>IF(OR(11&gt;MAX(3,MIN(15,N($D$18))),IFERROR(LARGE('Calc (scoring engine)'!$K$5:$K$528,11),-999999)&lt;=-900000),"",IFERROR(IF(INDEX(Database!$B$5:$B$528,MATCH(LARGE('Calc (scoring engine)'!$K$5:$K$528,11),'Calc (scoring engine)'!$K$5:$K$528,0))="","—",INDEX(Database!$B$5:$B$528,MATCH(LARGE('Calc (scoring engine)'!$K$5:$K$528,11),'Calc (scoring engine)'!$K$5:$K$528,0))),""))</ns0:f>
        <ns0:v/>
      </ns0:c>
      <ns0:c r="C31" s="53">
        <ns0:f>IF(OR(11&gt;MAX(3,MIN(15,N($D$18))),IFERROR(LARGE('Calc (scoring engine)'!$K$5:$K$528,11),-999999)&lt;=-900000),"",IFERROR(IF(INDEX(Database!$A$5:$A$528,MATCH(LARGE('Calc (scoring engine)'!$K$5:$K$528,11),'Calc (scoring engine)'!$K$5:$K$528,0))="","—",INDEX(Database!$A$5:$A$528,MATCH(LARGE('Calc (scoring engine)'!$K$5:$K$528,11),'Calc (scoring engine)'!$K$5:$K$528,0))),""))</ns0:f>
        <ns0:v/>
      </ns0:c>
      <ns0:c r="D31" s="24">
        <ns0:f>IF(OR(11&gt;MAX(3,MIN(15,N($D$18))),IFERROR(LARGE('Calc (scoring engine)'!$K$5:$K$528,11),-999999)&lt;=-900000),"",IFERROR(IF(INDEX(Database!$D$5:$D$528,MATCH(LARGE('Calc (scoring engine)'!$K$5:$K$528,11),'Calc (scoring engine)'!$K$5:$K$528,0))="","—",INDEX(Database!$D$5:$D$528,MATCH(LARGE('Calc (scoring engine)'!$K$5:$K$528,11),'Calc (scoring engine)'!$K$5:$K$528,0))),""))</ns0:f>
        <ns0:v/>
      </ns0:c>
      <ns0:c r="E31" s="24">
        <ns0:f>IF(OR(11&gt;MAX(3,MIN(15,N($D$18))),IFERROR(LARGE('Calc (scoring engine)'!$K$5:$K$528,11),-999999)&lt;=-900000),"",IFERROR(IF(INDEX(Database!$E$5:$E$528,MATCH(LARGE('Calc (scoring engine)'!$K$5:$K$528,11),'Calc (scoring engine)'!$K$5:$K$528,0))="","—",INDEX(Database!$E$5:$E$528,MATCH(LARGE('Calc (scoring engine)'!$K$5:$K$528,11),'Calc (scoring engine)'!$K$5:$K$528,0))),""))</ns0:f>
        <ns0:v/>
      </ns0:c>
      <ns0:c r="F31" s="24">
        <ns0:f>IF(OR(11&gt;MAX(3,MIN(15,N($D$18))),IFERROR(LARGE('Calc (scoring engine)'!$K$5:$K$528,11),-999999)&lt;=-900000),"",IFERROR(IF(INDEX(Database!$F$5:$F$528,MATCH(LARGE('Calc (scoring engine)'!$K$5:$K$528,11),'Calc (scoring engine)'!$K$5:$K$528,0))="","—",INDEX(Database!$F$5:$F$528,MATCH(LARGE('Calc (scoring engine)'!$K$5:$K$528,11),'Calc (scoring engine)'!$K$5:$K$528,0))),""))</ns0:f>
        <ns0:v/>
      </ns0:c>
      <ns0:c r="G31" s="24">
        <ns0:f>IF(OR(11&gt;MAX(3,MIN(15,N($D$18))),IFERROR(LARGE('Calc (scoring engine)'!$K$5:$K$528,11),-999999)&lt;=-900000),"",IFERROR(IF(INDEX(Database!$G$5:$G$528,MATCH(LARGE('Calc (scoring engine)'!$K$5:$K$528,11),'Calc (scoring engine)'!$K$5:$K$528,0))="","—",INDEX(Database!$G$5:$G$528,MATCH(LARGE('Calc (scoring engine)'!$K$5:$K$528,11),'Calc (scoring engine)'!$K$5:$K$528,0))),""))</ns0:f>
        <ns0:v/>
      </ns0:c>
      <ns0:c r="H31" s="36">
        <ns0:f>IF(OR(11&gt;MAX(3,MIN(15,N($D$18))),IFERROR(LARGE('Calc (scoring engine)'!$K$5:$K$528,11),-999999)&lt;=-900000),"",IFERROR(IF(INDEX(Database!$H$5:$H$528,MATCH(LARGE('Calc (scoring engine)'!$K$5:$K$528,11),'Calc (scoring engine)'!$K$5:$K$528,0))="","—",INDEX(Database!$H$5:$H$528,MATCH(LARGE('Calc (scoring engine)'!$K$5:$K$528,11),'Calc (scoring engine)'!$K$5:$K$528,0))),""))</ns0:f>
        <ns0:v/>
      </ns0:c>
      <ns0:c r="I31" s="34">
        <ns0:f>IF(OR(11&gt;MAX(3,MIN(15,N($D$18))),IFERROR(LARGE('Calc (scoring engine)'!$K$5:$K$528,11),-999999)&lt;=-900000),"",IFERROR(IF(INDEX(Database!$I$5:$I$528,MATCH(LARGE('Calc (scoring engine)'!$K$5:$K$528,11),'Calc (scoring engine)'!$K$5:$K$528,0))="","—",INDEX(Database!$I$5:$I$528,MATCH(LARGE('Calc (scoring engine)'!$K$5:$K$528,11),'Calc (scoring engine)'!$K$5:$K$528,0))),""))</ns0:f>
        <ns0:v/>
      </ns0:c>
      <ns0:c r="J31" s="54">
        <ns0:f>IF(OR(11&gt;MAX(3,MIN(15,N($D$18))),IFERROR(LARGE('Calc (scoring engine)'!$K$5:$K$528,11),-999999)&lt;=-900000),"",IFERROR(IF(INDEX(Database!$K$5:$K$528,MATCH(LARGE('Calc (scoring engine)'!$K$5:$K$528,11),'Calc (scoring engine)'!$K$5:$K$528,0))="","—",INDEX(Database!$K$5:$K$528,MATCH(LARGE('Calc (scoring engine)'!$K$5:$K$528,11),'Calc (scoring engine)'!$K$5:$K$528,0))),""))</ns0:f>
        <ns0:v/>
      </ns0:c>
      <ns0:c r="K31" s="54">
        <ns0:f>IF(OR(11&gt;MAX(3,MIN(15,N($D$18))),IFERROR(LARGE('Calc (scoring engine)'!$K$5:$K$528,11),-999999)&lt;=-900000),"",IFERROR(IF(INDEX(Database!$L$5:$L$528,MATCH(LARGE('Calc (scoring engine)'!$K$5:$K$528,11),'Calc (scoring engine)'!$K$5:$K$528,0))="","—",INDEX(Database!$L$5:$L$528,MATCH(LARGE('Calc (scoring engine)'!$K$5:$K$528,11),'Calc (scoring engine)'!$K$5:$K$528,0))),""))</ns0:f>
        <ns0:v/>
      </ns0:c>
      <ns0:c r="L31" s="54">
        <ns0:f>IF(OR(11&gt;MAX(3,MIN(15,N($D$18))),IFERROR(LARGE('Calc (scoring engine)'!$K$5:$K$528,11),-999999)&lt;=-900000),"",IFERROR(IF(INDEX(Database!$M$5:$M$528,MATCH(LARGE('Calc (scoring engine)'!$K$5:$K$528,11),'Calc (scoring engine)'!$K$5:$K$528,0))="","—",INDEX(Database!$M$5:$M$528,MATCH(LARGE('Calc (scoring engine)'!$K$5:$K$528,11),'Calc (scoring engine)'!$K$5:$K$528,0))),""))</ns0:f>
        <ns0:v/>
      </ns0:c>
      <ns0:c r="M31" s="24">
        <ns0:f>IF(OR(11&gt;MAX(3,MIN(15,N($D$18))),IFERROR(LARGE('Calc (scoring engine)'!$K$5:$K$528,11),-999999)&lt;=-900000),"",IFERROR(IF(INDEX(Database!$N$5:$N$528,MATCH(LARGE('Calc (scoring engine)'!$K$5:$K$528,11),'Calc (scoring engine)'!$K$5:$K$528,0))="","—",INDEX(Database!$N$5:$N$528,MATCH(LARGE('Calc (scoring engine)'!$K$5:$K$528,11),'Calc (scoring engine)'!$K$5:$K$528,0))),""))</ns0:f>
        <ns0:v/>
      </ns0:c>
      <ns0:c r="N31" s="44">
        <ns0:f>IF(OR(11&gt;MAX(3,MIN(15,N($D$18))),IFERROR(LARGE('Calc (scoring engine)'!$K$5:$K$528,11),-999999)&lt;=-900000),"",IFERROR(IF(INDEX(Database!$O$5:$O$528,MATCH(LARGE('Calc (scoring engine)'!$K$5:$K$528,11),'Calc (scoring engine)'!$K$5:$K$528,0))="","—",INDEX(Database!$O$5:$O$528,MATCH(LARGE('Calc (scoring engine)'!$K$5:$K$528,11),'Calc (scoring engine)'!$K$5:$K$528,0))),""))</ns0:f>
        <ns0:v/>
      </ns0:c>
      <ns0:c r="O31" s="44">
        <ns0:f>IF(OR(11&gt;MAX(3,MIN(15,N($D$18))),IFERROR(LARGE('Calc (scoring engine)'!$K$5:$K$528,11),-999999)&lt;=-900000),"",IFERROR(IF(INDEX(Database!$P$5:$P$528,MATCH(LARGE('Calc (scoring engine)'!$K$5:$K$528,11),'Calc (scoring engine)'!$K$5:$K$528,0))="","—",INDEX(Database!$P$5:$P$528,MATCH(LARGE('Calc (scoring engine)'!$K$5:$K$528,11),'Calc (scoring engine)'!$K$5:$K$528,0))),""))</ns0:f>
        <ns0:v/>
      </ns0:c>
      <ns0:c r="P31" s="34">
        <ns0:f>IF(OR(11&gt;MAX(3,MIN(15,N($D$18))),IFERROR(LARGE('Calc (scoring engine)'!$K$5:$K$528,11),-999999)&lt;=-900000),"",IFERROR(IF(INDEX(Database!$Q$5:$Q$528,MATCH(LARGE('Calc (scoring engine)'!$K$5:$K$528,11),'Calc (scoring engine)'!$K$5:$K$528,0))="","—",INDEX(Database!$Q$5:$Q$528,MATCH(LARGE('Calc (scoring engine)'!$K$5:$K$528,11),'Calc (scoring engine)'!$K$5:$K$528,0))),""))</ns0:f>
        <ns0:v/>
      </ns0:c>
      <ns0:c r="Q31" s="41">
        <ns0:f>IF(OR(11&gt;MAX(3,MIN(15,N($D$18))),IFERROR(LARGE('Calc (scoring engine)'!$K$5:$K$528,11),-999999)&lt;=-900000),"",IFERROR(IF(INDEX(Database!$S$5:$S$528,MATCH(LARGE('Calc (scoring engine)'!$K$5:$K$528,11),'Calc (scoring engine)'!$K$5:$K$528,0))="","—",INDEX(Database!$S$5:$S$528,MATCH(LARGE('Calc (scoring engine)'!$K$5:$K$528,11),'Calc (scoring engine)'!$K$5:$K$528,0))),""))</ns0:f>
        <ns0:v/>
      </ns0:c>
      <ns0:c r="R31" s="55">
        <ns0:f>IF(OR(11&gt;MAX(3,MIN(15,N($D$18))),IFERROR(LARGE('Calc (scoring engine)'!$K$5:$K$528,11),-999999)&lt;=-900000),"",IFERROR(IF(INDEX(Database!$T$5:$T$528,MATCH(LARGE('Calc (scoring engine)'!$K$5:$K$528,11),'Calc (scoring engine)'!$K$5:$K$528,0))="","—",INDEX(Database!$T$5:$T$528,MATCH(LARGE('Calc (scoring engine)'!$K$5:$K$528,11),'Calc (scoring engine)'!$K$5:$K$528,0))),""))</ns0:f>
        <ns0:v/>
      </ns0:c>
      <ns0:c r="S31" s="56">
        <ns0:f>IF(OR(11&gt;MAX(3,MIN(15,N($D$18))),IFERROR(LARGE('Calc (scoring engine)'!$K$5:$K$528,11),-999999)&lt;=-900000),"",IFERROR(IF(INDEX(Database!$U$5:$U$528,MATCH(LARGE('Calc (scoring engine)'!$K$5:$K$528,11),'Calc (scoring engine)'!$K$5:$K$528,0))="","—",INDEX(Database!$U$5:$U$528,MATCH(LARGE('Calc (scoring engine)'!$K$5:$K$528,11),'Calc (scoring engine)'!$K$5:$K$528,0))),""))</ns0:f>
        <ns0:v/>
      </ns0:c>
      <ns0:c r="T31" s="57">
        <ns0:f>IF(OR(11&gt;MAX(3,MIN(15,N($D$18))),IFERROR(LARGE('Calc (scoring engine)'!$K$5:$K$528,11),-999999)&lt;=-900000),"",IFERROR(IF(INDEX(Database!$V$5:$V$528,MATCH(LARGE('Calc (scoring engine)'!$K$5:$K$528,11),'Calc (scoring engine)'!$K$5:$K$528,0))="","—",INDEX(Database!$V$5:$V$528,MATCH(LARGE('Calc (scoring engine)'!$K$5:$K$528,11),'Calc (scoring engine)'!$K$5:$K$528,0))),""))</ns0:f>
        <ns0:v/>
      </ns0:c>
      <ns0:c r="U31" s="44">
        <ns0:f>IF(OR(11&gt;MAX(3,MIN(15,N($D$18))),IFERROR(LARGE('Calc (scoring engine)'!$K$5:$K$528,11),-999999)&lt;=-900000),"",IFERROR(IF(INDEX(Database!$W$5:$W$528,MATCH(LARGE('Calc (scoring engine)'!$K$5:$K$528,11),'Calc (scoring engine)'!$K$5:$K$528,0))="","—",INDEX(Database!$W$5:$W$528,MATCH(LARGE('Calc (scoring engine)'!$K$5:$K$528,11),'Calc (scoring engine)'!$K$5:$K$528,0))),""))</ns0:f>
        <ns0:v/>
      </ns0:c>
      <ns0:c r="V31" s="24">
        <ns0:f>IF(OR(11&gt;MAX(3,MIN(15,N($D$18))),IFERROR(LARGE('Calc (scoring engine)'!$K$5:$K$528,11),-999999)&lt;=-900000),"",IFERROR(IF(INDEX(Database!$X$5:$X$528,MATCH(LARGE('Calc (scoring engine)'!$K$5:$K$528,11),'Calc (scoring engine)'!$K$5:$K$528,0))="","—",INDEX(Database!$X$5:$X$528,MATCH(LARGE('Calc (scoring engine)'!$K$5:$K$528,11),'Calc (scoring engine)'!$K$5:$K$528,0))),""))</ns0:f>
        <ns0:v/>
      </ns0:c>
      <ns0:c r="W31" s="34">
        <ns0:f>IF(OR(11&gt;MAX(3,MIN(15,N($D$18))),IFERROR(LARGE('Calc (scoring engine)'!$K$5:$K$528,11),-999999)&lt;=-900000),"",IFERROR(IF(INDEX(Database!$Y$5:$Y$528,MATCH(LARGE('Calc (scoring engine)'!$K$5:$K$528,11),'Calc (scoring engine)'!$K$5:$K$528,0))="","—",INDEX(Database!$Y$5:$Y$528,MATCH(LARGE('Calc (scoring engine)'!$K$5:$K$528,11),'Calc (scoring engine)'!$K$5:$K$528,0))),""))</ns0:f>
        <ns0:v/>
      </ns0:c>
      <ns0:c r="X31" s="34">
        <ns0:f>IF(OR(11&gt;MAX(3,MIN(15,N($D$18))),IFERROR(LARGE('Calc (scoring engine)'!$K$5:$K$528,11),-999999)&lt;=-900000),"",IFERROR(IF(INDEX(Database!$Z$5:$Z$528,MATCH(LARGE('Calc (scoring engine)'!$K$5:$K$528,11),'Calc (scoring engine)'!$K$5:$K$528,0))="","—",INDEX(Database!$Z$5:$Z$528,MATCH(LARGE('Calc (scoring engine)'!$K$5:$K$528,11),'Calc (scoring engine)'!$K$5:$K$528,0))),""))</ns0:f>
        <ns0:v/>
      </ns0:c>
      <ns0:c r="Y31" s="44">
        <ns0:f>IF(OR(11&gt;MAX(3,MIN(15,N($D$18))),IFERROR(LARGE('Calc (scoring engine)'!$K$5:$K$528,11),-999999)&lt;=-900000),"",IFERROR(IF(INDEX(Database!$AA$5:$AA$528,MATCH(LARGE('Calc (scoring engine)'!$K$5:$K$528,11),'Calc (scoring engine)'!$K$5:$K$528,0))="","—",INDEX(Database!$AA$5:$AA$528,MATCH(LARGE('Calc (scoring engine)'!$K$5:$K$528,11),'Calc (scoring engine)'!$K$5:$K$528,0))),""))</ns0:f>
        <ns0:v/>
      </ns0:c>
      <ns0:c r="Z31" s="24">
        <ns0:f>IF(OR(11&gt;MAX(3,MIN(15,N($D$18))),IFERROR(LARGE('Calc (scoring engine)'!$K$5:$K$528,11),-999999)&lt;=-900000),"",IFERROR(IF(INDEX(Database!$AB$5:$AB$528,MATCH(LARGE('Calc (scoring engine)'!$K$5:$K$528,11),'Calc (scoring engine)'!$K$5:$K$528,0))="","—",INDEX(Database!$AB$5:$AB$528,MATCH(LARGE('Calc (scoring engine)'!$K$5:$K$528,11),'Calc (scoring engine)'!$K$5:$K$528,0))),""))</ns0:f>
        <ns0:v/>
      </ns0:c>
      <ns0:c r="AA31" s="44">
        <ns0:f>IF(OR(11&gt;MAX(3,MIN(15,N($D$18))),IFERROR(LARGE('Calc (scoring engine)'!$K$5:$K$528,11),-999999)&lt;=-900000),"",IFERROR(IF(INDEX(Database!$AD$5:$AD$528,MATCH(LARGE('Calc (scoring engine)'!$K$5:$K$528,11),'Calc (scoring engine)'!$K$5:$K$528,0))="","—",INDEX(Database!$AD$5:$AD$528,MATCH(LARGE('Calc (scoring engine)'!$K$5:$K$528,11),'Calc (scoring engine)'!$K$5:$K$528,0))),""))</ns0:f>
        <ns0:v/>
      </ns0:c>
      <ns0:c r="AB31" s="24">
        <ns0:f>IF(OR(11&gt;MAX(3,MIN(15,N($D$18))),IFERROR(LARGE('Calc (scoring engine)'!$K$5:$K$528,11),-999999)&lt;=-900000),"",IFERROR(IF(INDEX(Database!$AE$5:$AE$528,MATCH(LARGE('Calc (scoring engine)'!$K$5:$K$528,11),'Calc (scoring engine)'!$K$5:$K$528,0))="","—",INDEX(Database!$AE$5:$AE$528,MATCH(LARGE('Calc (scoring engine)'!$K$5:$K$528,11),'Calc (scoring engine)'!$K$5:$K$528,0))),""))</ns0:f>
        <ns0:v/>
      </ns0:c>
      <ns0:c r="AC31" s="24">
        <ns0:f>IF(OR(11&gt;MAX(3,MIN(15,N($D$18))),IFERROR(LARGE('Calc (scoring engine)'!$K$5:$K$528,11),-999999)&lt;=-900000),"",IFERROR(IF(INDEX(Database!$AF$5:$AF$528,MATCH(LARGE('Calc (scoring engine)'!$K$5:$K$528,11),'Calc (scoring engine)'!$K$5:$K$528,0))="","—",INDEX(Database!$AF$5:$AF$528,MATCH(LARGE('Calc (scoring engine)'!$K$5:$K$528,11),'Calc (scoring engine)'!$K$5:$K$528,0))),""))</ns0:f>
        <ns0:v/>
      </ns0:c>
      <ns0:c r="AD31" s="24">
        <ns0:f>IF(OR(11&gt;MAX(3,MIN(15,N($D$18))),IFERROR(LARGE('Calc (scoring engine)'!$K$5:$K$528,11),-999999)&lt;=-900000),"",IFERROR(IF(INDEX(Database!$AG$5:$AG$528,MATCH(LARGE('Calc (scoring engine)'!$K$5:$K$528,11),'Calc (scoring engine)'!$K$5:$K$528,0))="","—",INDEX(Database!$AG$5:$AG$528,MATCH(LARGE('Calc (scoring engine)'!$K$5:$K$528,11),'Calc (scoring engine)'!$K$5:$K$528,0))),""))</ns0:f>
        <ns0:v/>
      </ns0:c>
      <ns0:c r="AE31" s="24">
        <ns0:f>IF(OR(11&gt;MAX(3,MIN(15,N($D$18))),IFERROR(LARGE('Calc (scoring engine)'!$K$5:$K$528,11),-999999)&lt;=-900000),"",IFERROR(IF(INDEX(Database!$AH$5:$AH$528,MATCH(LARGE('Calc (scoring engine)'!$K$5:$K$528,11),'Calc (scoring engine)'!$K$5:$K$528,0))="","—",INDEX(Database!$AH$5:$AH$528,MATCH(LARGE('Calc (scoring engine)'!$K$5:$K$528,11),'Calc (scoring engine)'!$K$5:$K$528,0))),""))</ns0:f>
        <ns0:v/>
      </ns0:c>
      <ns0:c r="AF31" s="38">
        <ns0:f>IF(OR(11&gt;MAX(3,MIN(15,N($D$18))),IFERROR(LARGE('Calc (scoring engine)'!$K$5:$K$528,11),-999999)&lt;=-900000),"",IFERROR(IF(INDEX(Database!$AI$5:$AI$528,MATCH(LARGE('Calc (scoring engine)'!$K$5:$K$528,11),'Calc (scoring engine)'!$K$5:$K$528,0))="","—",INDEX(Database!$AI$5:$AI$528,MATCH(LARGE('Calc (scoring engine)'!$K$5:$K$528,11),'Calc (scoring engine)'!$K$5:$K$528,0))),""))</ns0:f>
        <ns0:v/>
      </ns0:c>
      <ns0:c r="AG31" s="38">
        <ns0:f>IF(OR(11&gt;MAX(3,MIN(15,N($D$18))),IFERROR(LARGE('Calc (scoring engine)'!$K$5:$K$528,11),-999999)&lt;=-900000),"",IFERROR(IF(INDEX(Database!$AJ$5:$AJ$528,MATCH(LARGE('Calc (scoring engine)'!$K$5:$K$528,11),'Calc (scoring engine)'!$K$5:$K$528,0))="","—",INDEX(Database!$AJ$5:$AJ$528,MATCH(LARGE('Calc (scoring engine)'!$K$5:$K$528,11),'Calc (scoring engine)'!$K$5:$K$528,0))),""))</ns0:f>
        <ns0:v/>
      </ns0:c>
      <ns0:c r="AH31" s="38">
        <ns0:f>IF(OR(11&gt;MAX(3,MIN(15,N($D$18))),IFERROR(LARGE('Calc (scoring engine)'!$K$5:$K$528,11),-999999)&lt;=-900000),"",IFERROR(IF(INDEX(Database!$AK$5:$AK$528,MATCH(LARGE('Calc (scoring engine)'!$K$5:$K$528,11),'Calc (scoring engine)'!$K$5:$K$528,0))="","—",INDEX(Database!$AK$5:$AK$528,MATCH(LARGE('Calc (scoring engine)'!$K$5:$K$528,11),'Calc (scoring engine)'!$K$5:$K$528,0))),""))</ns0:f>
        <ns0:v/>
      </ns0:c>
      <ns0:c r="AI31" s="38">
        <ns0:f>IF(OR(11&gt;MAX(3,MIN(15,N($D$18))),IFERROR(LARGE('Calc (scoring engine)'!$K$5:$K$528,11),-999999)&lt;=-900000),"",IFERROR(IF(INDEX(Database!$AL$5:$AL$528,MATCH(LARGE('Calc (scoring engine)'!$K$5:$K$528,11),'Calc (scoring engine)'!$K$5:$K$528,0))="","—",INDEX(Database!$AL$5:$AL$528,MATCH(LARGE('Calc (scoring engine)'!$K$5:$K$528,11),'Calc (scoring engine)'!$K$5:$K$528,0))),""))</ns0:f>
        <ns0:v/>
      </ns0:c>
      <ns0:c r="AJ31" s="38">
        <ns0:f>IF(OR(11&gt;MAX(3,MIN(15,N($D$18))),IFERROR(LARGE('Calc (scoring engine)'!$K$5:$K$528,11),-999999)&lt;=-900000),"",IFERROR(IF(INDEX(Database!$AM$5:$AM$528,MATCH(LARGE('Calc (scoring engine)'!$K$5:$K$528,11),'Calc (scoring engine)'!$K$5:$K$528,0))="","—",INDEX(Database!$AM$5:$AM$528,MATCH(LARGE('Calc (scoring engine)'!$K$5:$K$528,11),'Calc (scoring engine)'!$K$5:$K$528,0))),""))</ns0:f>
        <ns0:v/>
      </ns0:c>
      <ns0:c r="AK31" s="39">
        <ns0:f>IF(OR(11&gt;MAX(3,MIN(15,N($D$18))),IFERROR(LARGE('Calc (scoring engine)'!$K$5:$K$528,11),-999999)&lt;=-900000),"",IFERROR(IF(INDEX(Database!$AN$5:$AN$528,MATCH(LARGE('Calc (scoring engine)'!$K$5:$K$528,11),'Calc (scoring engine)'!$K$5:$K$528,0))="","—",INDEX(Database!$AN$5:$AN$528,MATCH(LARGE('Calc (scoring engine)'!$K$5:$K$528,11),'Calc (scoring engine)'!$K$5:$K$528,0))),""))</ns0:f>
        <ns0:v/>
      </ns0:c>
      <ns0:c r="AL31" s="44">
        <ns0:f>IF(OR(11&gt;MAX(3,MIN(15,N($D$18))),IFERROR(LARGE('Calc (scoring engine)'!$K$5:$K$528,11),-999999)&lt;=-900000),"",IFERROR(IF(INDEX(Database!$AO$5:$AO$528,MATCH(LARGE('Calc (scoring engine)'!$K$5:$K$528,11),'Calc (scoring engine)'!$K$5:$K$528,0))="","—",INDEX(Database!$AO$5:$AO$528,MATCH(LARGE('Calc (scoring engine)'!$K$5:$K$528,11),'Calc (scoring engine)'!$K$5:$K$528,0))),""))</ns0:f>
        <ns0:v/>
      </ns0:c>
      <ns0:c r="AM31" s="38">
        <ns0:f>IF(OR(11&gt;MAX(3,MIN(15,N($D$18))),IFERROR(LARGE('Calc (scoring engine)'!$K$5:$K$528,11),-999999)&lt;=-900000),"",IFERROR(IF(INDEX(Database!$AP$5:$AP$528,MATCH(LARGE('Calc (scoring engine)'!$K$5:$K$528,11),'Calc (scoring engine)'!$K$5:$K$528,0))="","—",INDEX(Database!$AP$5:$AP$528,MATCH(LARGE('Calc (scoring engine)'!$K$5:$K$528,11),'Calc (scoring engine)'!$K$5:$K$528,0))),""))</ns0:f>
        <ns0:v/>
      </ns0:c>
      <ns0:c r="AN31" s="38">
        <ns0:f>IF(OR(11&gt;MAX(3,MIN(15,N($D$18))),IFERROR(LARGE('Calc (scoring engine)'!$K$5:$K$528,11),-999999)&lt;=-900000),"",IFERROR(IF(INDEX(Database!$AQ$5:$AQ$528,MATCH(LARGE('Calc (scoring engine)'!$K$5:$K$528,11),'Calc (scoring engine)'!$K$5:$K$528,0))="","—",INDEX(Database!$AQ$5:$AQ$528,MATCH(LARGE('Calc (scoring engine)'!$K$5:$K$528,11),'Calc (scoring engine)'!$K$5:$K$528,0))),""))</ns0:f>
        <ns0:v/>
      </ns0:c>
      <ns0:c r="AO31" s="38">
        <ns0:f>IF(OR(11&gt;MAX(3,MIN(15,N($D$18))),IFERROR(LARGE('Calc (scoring engine)'!$K$5:$K$528,11),-999999)&lt;=-900000),"",IFERROR(IF(INDEX(Database!$AR$5:$AR$528,MATCH(LARGE('Calc (scoring engine)'!$K$5:$K$528,11),'Calc (scoring engine)'!$K$5:$K$528,0))="","—",INDEX(Database!$AR$5:$AR$528,MATCH(LARGE('Calc (scoring engine)'!$K$5:$K$528,11),'Calc (scoring engine)'!$K$5:$K$528,0))),""))</ns0:f>
        <ns0:v/>
      </ns0:c>
      <ns0:c r="AP31" s="38">
        <ns0:f>IF(OR(11&gt;MAX(3,MIN(15,N($D$18))),IFERROR(LARGE('Calc (scoring engine)'!$K$5:$K$528,11),-999999)&lt;=-900000),"",IFERROR(IF(INDEX(Database!$AS$5:$AS$528,MATCH(LARGE('Calc (scoring engine)'!$K$5:$K$528,11),'Calc (scoring engine)'!$K$5:$K$528,0))="","—",INDEX(Database!$AS$5:$AS$528,MATCH(LARGE('Calc (scoring engine)'!$K$5:$K$528,11),'Calc (scoring engine)'!$K$5:$K$528,0))),""))</ns0:f>
        <ns0:v/>
      </ns0:c>
      <ns0:c r="AQ31" s="38">
        <ns0:f>IF(OR(11&gt;MAX(3,MIN(15,N($D$18))),IFERROR(LARGE('Calc (scoring engine)'!$K$5:$K$528,11),-999999)&lt;=-900000),"",IFERROR(IF(INDEX(Database!$AT$5:$AT$528,MATCH(LARGE('Calc (scoring engine)'!$K$5:$K$528,11),'Calc (scoring engine)'!$K$5:$K$528,0))="","—",INDEX(Database!$AT$5:$AT$528,MATCH(LARGE('Calc (scoring engine)'!$K$5:$K$528,11),'Calc (scoring engine)'!$K$5:$K$528,0))),""))</ns0:f>
        <ns0:v/>
      </ns0:c>
      <ns0:c r="AR31" s="38">
        <ns0:f>IF(OR(11&gt;MAX(3,MIN(15,N($D$18))),IFERROR(LARGE('Calc (scoring engine)'!$K$5:$K$528,11),-999999)&lt;=-900000),"",IFERROR(IF(INDEX(Database!$AU$5:$AU$528,MATCH(LARGE('Calc (scoring engine)'!$K$5:$K$528,11),'Calc (scoring engine)'!$K$5:$K$528,0))="","—",INDEX(Database!$AU$5:$AU$528,MATCH(LARGE('Calc (scoring engine)'!$K$5:$K$528,11),'Calc (scoring engine)'!$K$5:$K$528,0))),""))</ns0:f>
        <ns0:v/>
      </ns0:c>
      <ns0:c r="AS31" s="38">
        <ns0:f>IF(OR(11&gt;MAX(3,MIN(15,N($D$18))),IFERROR(LARGE('Calc (scoring engine)'!$K$5:$K$528,11),-999999)&lt;=-900000),"",IFERROR(IF(INDEX(Database!$AV$5:$AV$528,MATCH(LARGE('Calc (scoring engine)'!$K$5:$K$528,11),'Calc (scoring engine)'!$K$5:$K$528,0))="","—",INDEX(Database!$AV$5:$AV$528,MATCH(LARGE('Calc (scoring engine)'!$K$5:$K$528,11),'Calc (scoring engine)'!$K$5:$K$528,0))),""))</ns0:f>
        <ns0:v/>
      </ns0:c>
      <ns0:c r="AT31" s="38">
        <ns0:f>IF(OR(11&gt;MAX(3,MIN(15,N($D$18))),IFERROR(LARGE('Calc (scoring engine)'!$K$5:$K$528,11),-999999)&lt;=-900000),"",IFERROR(IF(INDEX(Database!$AW$5:$AW$528,MATCH(LARGE('Calc (scoring engine)'!$K$5:$K$528,11),'Calc (scoring engine)'!$K$5:$K$528,0))="","—",INDEX(Database!$AW$5:$AW$528,MATCH(LARGE('Calc (scoring engine)'!$K$5:$K$528,11),'Calc (scoring engine)'!$K$5:$K$528,0))),""))</ns0:f>
        <ns0:v/>
      </ns0:c>
      <ns0:c r="AU31" s="38">
        <ns0:f>IF(OR(11&gt;MAX(3,MIN(15,N($D$18))),IFERROR(LARGE('Calc (scoring engine)'!$K$5:$K$528,11),-999999)&lt;=-900000),"",IFERROR(IF(INDEX(Database!$AX$5:$AX$528,MATCH(LARGE('Calc (scoring engine)'!$K$5:$K$528,11),'Calc (scoring engine)'!$K$5:$K$528,0))="","—",INDEX(Database!$AX$5:$AX$528,MATCH(LARGE('Calc (scoring engine)'!$K$5:$K$528,11),'Calc (scoring engine)'!$K$5:$K$528,0))),""))</ns0:f>
        <ns0:v/>
      </ns0:c>
      <ns0:c r="AV31" s="38">
        <ns0:f>IF(OR(11&gt;MAX(3,MIN(15,N($D$18))),IFERROR(LARGE('Calc (scoring engine)'!$K$5:$K$528,11),-999999)&lt;=-900000),"",IFERROR(IF(INDEX(Database!$AY$5:$AY$528,MATCH(LARGE('Calc (scoring engine)'!$K$5:$K$528,11),'Calc (scoring engine)'!$K$5:$K$528,0))="","—",INDEX(Database!$AY$5:$AY$528,MATCH(LARGE('Calc (scoring engine)'!$K$5:$K$528,11),'Calc (scoring engine)'!$K$5:$K$528,0))),""))</ns0:f>
        <ns0:v/>
      </ns0:c>
      <ns0:c r="AW31" s="38">
        <ns0:f>IF(OR(11&gt;MAX(3,MIN(15,N($D$18))),IFERROR(LARGE('Calc (scoring engine)'!$K$5:$K$528,11),-999999)&lt;=-900000),"",IFERROR(IF(INDEX(Database!$AZ$5:$AZ$528,MATCH(LARGE('Calc (scoring engine)'!$K$5:$K$528,11),'Calc (scoring engine)'!$K$5:$K$528,0))="","—",INDEX(Database!$AZ$5:$AZ$528,MATCH(LARGE('Calc (scoring engine)'!$K$5:$K$528,11),'Calc (scoring engine)'!$K$5:$K$528,0))),""))</ns0:f>
        <ns0:v/>
      </ns0:c>
      <ns0:c r="AX31" s="38">
        <ns0:f>IF(OR(11&gt;MAX(3,MIN(15,N($D$18))),IFERROR(LARGE('Calc (scoring engine)'!$K$5:$K$528,11),-999999)&lt;=-900000),"",IFERROR(IF(INDEX(Database!$BA$5:$BA$528,MATCH(LARGE('Calc (scoring engine)'!$K$5:$K$528,11),'Calc (scoring engine)'!$K$5:$K$528,0))="","—",INDEX(Database!$BA$5:$BA$528,MATCH(LARGE('Calc (scoring engine)'!$K$5:$K$528,11),'Calc (scoring engine)'!$K$5:$K$528,0))),""))</ns0:f>
        <ns0:v/>
      </ns0:c>
      <ns0:c r="AY31" s="38">
        <ns0:f>IF(OR(11&gt;MAX(3,MIN(15,N($D$18))),IFERROR(LARGE('Calc (scoring engine)'!$K$5:$K$528,11),-999999)&lt;=-900000),"",IFERROR(IF(INDEX(Database!$BC$5:$BC$528,MATCH(LARGE('Calc (scoring engine)'!$K$5:$K$528,11),'Calc (scoring engine)'!$K$5:$K$528,0))="","—",INDEX(Database!$BC$5:$BC$528,MATCH(LARGE('Calc (scoring engine)'!$K$5:$K$528,11),'Calc (scoring engine)'!$K$5:$K$528,0))),""))</ns0:f>
        <ns0:v/>
      </ns0:c>
      <ns0:c r="AZ31" s="34">
        <ns0:f>IF(OR(11&gt;MAX(3,MIN(15,N($D$18))),IFERROR(LARGE('Calc (scoring engine)'!$K$5:$K$528,11),-999999)&lt;=-900000),"",IFERROR(IF(INDEX(Database!$BE$5:$BE$528,MATCH(LARGE('Calc (scoring engine)'!$K$5:$K$528,11),'Calc (scoring engine)'!$K$5:$K$528,0))="","—",INDEX(Database!$BE$5:$BE$528,MATCH(LARGE('Calc (scoring engine)'!$K$5:$K$528,11),'Calc (scoring engine)'!$K$5:$K$528,0))),""))</ns0:f>
        <ns0:v/>
      </ns0:c>
      <ns0:c r="BA31" s="34">
        <ns0:f>IF(OR(11&gt;MAX(3,MIN(15,N($D$18))),IFERROR(LARGE('Calc (scoring engine)'!$K$5:$K$528,11),-999999)&lt;=-900000),"",IFERROR(IF(INDEX(Database!$BF$5:$BF$528,MATCH(LARGE('Calc (scoring engine)'!$K$5:$K$528,11),'Calc (scoring engine)'!$K$5:$K$528,0))="","—",INDEX(Database!$BF$5:$BF$528,MATCH(LARGE('Calc (scoring engine)'!$K$5:$K$528,11),'Calc (scoring engine)'!$K$5:$K$528,0))),""))</ns0:f>
        <ns0:v/>
      </ns0:c>
      <ns0:c r="BB31" s="24">
        <ns0:f>IF(OR(11&gt;MAX(3,MIN(15,N($D$18))),IFERROR(LARGE('Calc (scoring engine)'!$K$5:$K$528,11),-999999)&lt;=-900000),"",IFERROR(IF(INDEX(Database!$BG$5:$BG$528,MATCH(LARGE('Calc (scoring engine)'!$K$5:$K$528,11),'Calc (scoring engine)'!$K$5:$K$528,0))="","—",INDEX(Database!$BG$5:$BG$528,MATCH(LARGE('Calc (scoring engine)'!$K$5:$K$528,11),'Calc (scoring engine)'!$K$5:$K$528,0))),""))</ns0:f>
        <ns0:v/>
      </ns0:c>
      <ns0:c r="BC31" s="39">
        <ns0:f>IF(OR(11&gt;MAX(3,MIN(15,N($D$18))),IFERROR(LARGE('Calc (scoring engine)'!$K$5:$K$528,11),-999999)&lt;=-900000),"",IFERROR(IF(N(INDEX(Database!$BH$5:$BH$528,MATCH(LARGE('Calc (scoring engine)'!$K$5:$K$528,11),'Calc (scoring engine)'!$K$5:$K$528,0)))&lt;=0,IF(INDEX(Database!$BG$5:$BG$528,MATCH(LARGE('Calc (scoring engine)'!$K$5:$K$528,11),'Calc (scoring engine)'!$K$5:$K$528,0))="N","n/m","—"),INDEX(Database!$BH$5:$BH$528,MATCH(LARGE('Calc (scoring engine)'!$K$5:$K$528,11),'Calc (scoring engine)'!$K$5:$K$528,0))),""))</ns0:f>
        <ns0:v/>
      </ns0:c>
      <ns0:c r="BD31" s="39">
        <ns0:f>IF(OR(11&gt;MAX(3,MIN(15,N($D$18))),IFERROR(LARGE('Calc (scoring engine)'!$K$5:$K$528,11),-999999)&lt;=-900000),"",IFERROR(IF(INDEX(Database!$BI$5:$BI$528,MATCH(LARGE('Calc (scoring engine)'!$K$5:$K$528,11),'Calc (scoring engine)'!$K$5:$K$528,0))="","—",INDEX(Database!$BI$5:$BI$528,MATCH(LARGE('Calc (scoring engine)'!$K$5:$K$528,11),'Calc (scoring engine)'!$K$5:$K$528,0))),""))</ns0:f>
        <ns0:v/>
      </ns0:c>
      <ns0:c r="BE31" s="39">
        <ns0:f>IF(OR(11&gt;MAX(3,MIN(15,N($D$18))),IFERROR(LARGE('Calc (scoring engine)'!$K$5:$K$528,11),-999999)&lt;=-900000),"",IFERROR(IF(INDEX(Database!$BJ$5:$BJ$528,MATCH(LARGE('Calc (scoring engine)'!$K$5:$K$528,11),'Calc (scoring engine)'!$K$5:$K$528,0))="","—",INDEX(Database!$BJ$5:$BJ$528,MATCH(LARGE('Calc (scoring engine)'!$K$5:$K$528,11),'Calc (scoring engine)'!$K$5:$K$528,0))),""))</ns0:f>
        <ns0:v/>
      </ns0:c>
      <ns0:c r="BF31" s="39">
        <ns0:f>IF(OR(11&gt;MAX(3,MIN(15,N($D$18))),IFERROR(LARGE('Calc (scoring engine)'!$K$5:$K$528,11),-999999)&lt;=-900000),"",IFERROR(IF(INDEX(Database!$BK$5:$BK$528,MATCH(LARGE('Calc (scoring engine)'!$K$5:$K$528,11),'Calc (scoring engine)'!$K$5:$K$528,0))="","—",INDEX(Database!$BK$5:$BK$528,MATCH(LARGE('Calc (scoring engine)'!$K$5:$K$528,11),'Calc (scoring engine)'!$K$5:$K$528,0))),""))</ns0:f>
        <ns0:v/>
      </ns0:c>
      <ns0:c r="BG31" s="39">
        <ns0:f>IF(OR(11&gt;MAX(3,MIN(15,N($D$18))),IFERROR(LARGE('Calc (scoring engine)'!$K$5:$K$528,11),-999999)&lt;=-900000),"",IFERROR(IF(INDEX(Database!$BL$5:$BL$528,MATCH(LARGE('Calc (scoring engine)'!$K$5:$K$528,11),'Calc (scoring engine)'!$K$5:$K$528,0))="","—",INDEX(Database!$BL$5:$BL$528,MATCH(LARGE('Calc (scoring engine)'!$K$5:$K$528,11),'Calc (scoring engine)'!$K$5:$K$528,0))),""))</ns0:f>
        <ns0:v/>
      </ns0:c>
      <ns0:c r="BH31" s="39">
        <ns0:f>IF(OR(11&gt;MAX(3,MIN(15,N($D$18))),IFERROR(LARGE('Calc (scoring engine)'!$K$5:$K$528,11),-999999)&lt;=-900000),"",IFERROR(IFERROR(BDP(TEXT(INDEX(Database!$A$5:$A$528,MATCH(LARGE('Calc (scoring engine)'!$K$5:$K$528,11),'Calc (scoring engine)'!$K$5:$K$528,0)),"0")&amp;" HK Equity","PE_RATIO"),IF(INDEX(Database!$BJ$5:$BJ$528,MATCH(LARGE('Calc (scoring engine)'!$K$5:$K$528,11),'Calc (scoring engine)'!$K$5:$K$528,0))="","—",INDEX(Database!$BJ$5:$BJ$528,MATCH(LARGE('Calc (scoring engine)'!$K$5:$K$528,11),'Calc (scoring engine)'!$K$5:$K$528,0)))),""))</ns0:f>
        <ns0:v/>
      </ns0:c>
      <ns0:c r="BI31" s="39">
        <ns0:f>IF(OR(11&gt;MAX(3,MIN(15,N($D$18))),IFERROR(LARGE('Calc (scoring engine)'!$K$5:$K$528,11),-999999)&lt;=-900000),"",IFERROR(IFERROR(BDP(TEXT(INDEX(Database!$A$5:$A$528,MATCH(LARGE('Calc (scoring engine)'!$K$5:$K$528,11),'Calc (scoring engine)'!$K$5:$K$528,0)),"0")&amp;" HK Equity","PX_TO_SALES_RATIO"),IF(INDEX(Database!$BK$5:$BK$528,MATCH(LARGE('Calc (scoring engine)'!$K$5:$K$528,11),'Calc (scoring engine)'!$K$5:$K$528,0))="","—",INDEX(Database!$BK$5:$BK$528,MATCH(LARGE('Calc (scoring engine)'!$K$5:$K$528,11),'Calc (scoring engine)'!$K$5:$K$528,0)))),""))</ns0:f>
        <ns0:v/>
      </ns0:c>
      <ns0:c r="BJ31" s="24">
        <ns0:f>IF(OR(11&gt;MAX(3,MIN(15,N($D$18))),IFERROR(LARGE('Calc (scoring engine)'!$K$5:$K$528,11),-999999)&lt;=-900000),"",IFERROR(IF(INDEX(Database!$BM$5:$BM$528,MATCH(LARGE('Calc (scoring engine)'!$K$5:$K$528,11),'Calc (scoring engine)'!$K$5:$K$528,0))="","—",INDEX(Database!$BM$5:$BM$528,MATCH(LARGE('Calc (scoring engine)'!$K$5:$K$528,11),'Calc (scoring engine)'!$K$5:$K$528,0))),""))</ns0:f>
        <ns0:v/>
      </ns0:c>
      <ns0:c r="BK31" s="24">
        <ns0:f>IF(OR(11&gt;MAX(3,MIN(15,N($D$18))),IFERROR(LARGE('Calc (scoring engine)'!$K$5:$K$528,11),-999999)&lt;=-900000),"",IFERROR(IF(INDEX(Database!$BN$5:$BN$528,MATCH(LARGE('Calc (scoring engine)'!$K$5:$K$528,11),'Calc (scoring engine)'!$K$5:$K$528,0))="","—",INDEX(Database!$BN$5:$BN$528,MATCH(LARGE('Calc (scoring engine)'!$K$5:$K$528,11),'Calc (scoring engine)'!$K$5:$K$528,0))),""))</ns0:f>
        <ns0:v/>
      </ns0:c>
      <ns0:c r="BL31" s="38">
        <ns0:f>IF(OR(11&gt;MAX(3,MIN(15,N($D$18))),IFERROR(LARGE('Calc (scoring engine)'!$K$5:$K$528,11),-999999)&lt;=-900000),"",IFERROR(IF(INDEX(Database!$BO$5:$BO$528,MATCH(LARGE('Calc (scoring engine)'!$K$5:$K$528,11),'Calc (scoring engine)'!$K$5:$K$528,0))="","—",INDEX(Database!$BO$5:$BO$528,MATCH(LARGE('Calc (scoring engine)'!$K$5:$K$528,11),'Calc (scoring engine)'!$K$5:$K$528,0))),""))</ns0:f>
        <ns0:v/>
      </ns0:c>
      <ns0:c r="BM31" s="54">
        <ns0:f>IF(OR(11&gt;MAX(3,MIN(15,N($D$18))),IFERROR(LARGE('Calc (scoring engine)'!$K$5:$K$528,11),-999999)&lt;=-900000),"",IFERROR(IF(INDEX(Database!$BP$5:$BP$528,MATCH(LARGE('Calc (scoring engine)'!$K$5:$K$528,11),'Calc (scoring engine)'!$K$5:$K$528,0))="","—",INDEX(Database!$BP$5:$BP$528,MATCH(LARGE('Calc (scoring engine)'!$K$5:$K$528,11),'Calc (scoring engine)'!$K$5:$K$528,0))),""))</ns0:f>
        <ns0:v/>
      </ns0:c>
      <ns0:c r="BN31" s="58">
        <ns0:f>IF(OR(11&gt;MAX(3,MIN(15,N($D$18))),IFERROR(LARGE('Calc (scoring engine)'!$K$5:$K$528,11),-999999)&lt;=-900000),"",IFERROR(IF(INDEX(Database!$BQ$5:$BQ$528,MATCH(LARGE('Calc (scoring engine)'!$K$5:$K$528,11),'Calc (scoring engine)'!$K$5:$K$528,0))="","—",INDEX(Database!$BQ$5:$BQ$528,MATCH(LARGE('Calc (scoring engine)'!$K$5:$K$528,11),'Calc (scoring engine)'!$K$5:$K$528,0))),""))</ns0:f>
        <ns0:v/>
      </ns0:c>
      <ns0:c r="BO31" s="34">
        <ns0:f>IF(OR(11&gt;MAX(3,MIN(15,N($D$18))),IFERROR(LARGE('Calc (scoring engine)'!$K$5:$K$528,11),-999999)&lt;=-900000),"",IFERROR(IF(INDEX(Database!$BR$5:$BR$528,MATCH(LARGE('Calc (scoring engine)'!$K$5:$K$528,11),'Calc (scoring engine)'!$K$5:$K$528,0))="","—",INDEX(Database!$BR$5:$BR$528,MATCH(LARGE('Calc (scoring engine)'!$K$5:$K$528,11),'Calc (scoring engine)'!$K$5:$K$528,0))),""))</ns0:f>
        <ns0:v/>
      </ns0:c>
      <ns0:c r="BP31" s="39">
        <ns0:f>IF(OR(11&gt;MAX(3,MIN(15,N($D$18))),IFERROR(LARGE('Calc (scoring engine)'!$K$5:$K$528,11),-999999)&lt;=-900000),"",IFERROR(IF(INDEX(Database!$BS$5:$BS$528,MATCH(LARGE('Calc (scoring engine)'!$K$5:$K$528,11),'Calc (scoring engine)'!$K$5:$K$528,0))="","—",INDEX(Database!$BS$5:$BS$528,MATCH(LARGE('Calc (scoring engine)'!$K$5:$K$528,11),'Calc (scoring engine)'!$K$5:$K$528,0))),""))</ns0:f>
        <ns0:v/>
      </ns0:c>
      <ns0:c r="BQ31" s="39">
        <ns0:f>IF(OR(11&gt;MAX(3,MIN(15,N($D$18))),IFERROR(LARGE('Calc (scoring engine)'!$K$5:$K$528,11),-999999)&lt;=-900000),"",IFERROR(IF(INDEX(Database!$BT$5:$BT$528,MATCH(LARGE('Calc (scoring engine)'!$K$5:$K$528,11),'Calc (scoring engine)'!$K$5:$K$528,0))="","—",INDEX(Database!$BT$5:$BT$528,MATCH(LARGE('Calc (scoring engine)'!$K$5:$K$528,11),'Calc (scoring engine)'!$K$5:$K$528,0))),""))</ns0:f>
        <ns0:v/>
      </ns0:c>
      <ns0:c r="BR31" s="24">
        <ns0:f>IF(OR(11&gt;MAX(3,MIN(15,N($D$18))),IFERROR(LARGE('Calc (scoring engine)'!$K$5:$K$528,11),-999999)&lt;=-900000),"",IFERROR(IF(INDEX(Database!$BU$5:$BU$528,MATCH(LARGE('Calc (scoring engine)'!$K$5:$K$528,11),'Calc (scoring engine)'!$K$5:$K$528,0))="","—",INDEX(Database!$BU$5:$BU$528,MATCH(LARGE('Calc (scoring engine)'!$K$5:$K$528,11),'Calc (scoring engine)'!$K$5:$K$528,0))),""))</ns0:f>
        <ns0:v/>
      </ns0:c>
      <ns0:c r="BS31" s="24">
        <ns0:f>IF(OR(11&gt;MAX(3,MIN(15,N($D$18))),IFERROR(LARGE('Calc (scoring engine)'!$K$5:$K$528,11),-999999)&lt;=-900000),"",IFERROR(IF(INDEX(Database!$BW$5:$BW$528,MATCH(LARGE('Calc (scoring engine)'!$K$5:$K$528,11),'Calc (scoring engine)'!$K$5:$K$528,0))="","—",INDEX(Database!$BW$5:$BW$528,MATCH(LARGE('Calc (scoring engine)'!$K$5:$K$528,11),'Calc (scoring engine)'!$K$5:$K$528,0))),""))</ns0:f>
        <ns0:v/>
      </ns0:c>
      <ns0:c r="BT31" s="57">
        <ns0:f>IF(OR(11&gt;MAX(3,MIN(15,N($D$18))),IFERROR(LARGE('Calc (scoring engine)'!$K$5:$K$528,11),-999999)&lt;=-900000),"",IFERROR(IF(INDEX('Calc (scoring engine)'!$H$5:$H$528,MATCH(LARGE('Calc (scoring engine)'!$K$5:$K$528,11),'Calc (scoring engine)'!$K$5:$K$528,0))&gt;0,INDEX('Calc (scoring engine)'!$H$5:$H$528,MATCH(LARGE('Calc (scoring engine)'!$K$5:$K$528,11),'Calc (scoring engine)'!$K$5:$K$528,0)),""),""))</ns0:f>
        <ns0:v/>
      </ns0:c>
      <ns0:c r="BU31" s="24">
        <ns0:f>IF(OR(11&gt;MAX(3,MIN(15,N($D$18))),IFERROR(LARGE('Calc (scoring engine)'!$K$5:$K$528,11),-999999)&lt;=-900000),"",IF(IFERROR(INDEX('Calc (scoring engine)'!$B$5:$B$528,MATCH(LARGE('Calc (scoring engine)'!$K$5:$K$528,11),'Calc (scoring engine)'!$K$5:$K$528,0)),0)=1,"same subsector","sector only"))</ns0:f>
        <ns0:v/>
      </ns0:c>
      <ns0:c r="BV31" s="57">
        <ns0:f>IF(OR(11&gt;MAX(3,MIN(15,N($D$18))),IFERROR(LARGE('Calc (scoring engine)'!$K$5:$K$528,11),-999999)&lt;=-900000),"",ROUND(IFERROR(LARGE('Calc (scoring engine)'!$K$5:$K$528,11),0),0))</ns0:f>
        <ns0:v/>
      </ns0:c>
      <ns0:c r="BW31" s="24">
        <ns0:f>IF(OR(11&gt;MAX(3,MIN(15,N($D$18))),IFERROR(LARGE('Calc (scoring engine)'!$K$5:$K$528,11),-999999)&lt;=-900000),"",IFERROR("sub "&amp;INDEX('Calc (scoring engine)'!$B$5:$B$528,MATCH(LARGE('Calc (scoring engine)'!$K$5:$K$528,11),'Calc (scoring engine)'!$K$5:$K$528,0))*W_SUB&amp;" + size "&amp;ROUND(INDEX('Calc (scoring engine)'!$D$5:$D$528,MATCH(LARGE('Calc (scoring engine)'!$K$5:$K$528,11),'Calc (scoring engine)'!$K$5:$K$528,0))*W_SIZE,0)&amp;" + prof "&amp;INDEX('Calc (scoring engine)'!$E$5:$E$528,MATCH(LARGE('Calc (scoring engine)'!$K$5:$K$528,11),'Calc (scoring engine)'!$K$5:$K$528,0))*W_PROF&amp;" + recency "&amp;ROUND(INDEX('Calc (scoring engine)'!$G$5:$G$528,MATCH(LARGE('Calc (scoring engine)'!$K$5:$K$528,11),'Calc (scoring engine)'!$K$5:$K$528,0))*W_REC,0)&amp;IF(INDEX('Calc (scoring engine)'!$H$5:$H$528,MATCH(LARGE('Calc (scoring engine)'!$K$5:$K$528,11),'Calc (scoring engine)'!$K$5:$K$528,0))&gt;0," + shared CS x"&amp;INDEX('Calc (scoring engine)'!$H$5:$H$528,MATCH(LARGE('Calc (scoring engine)'!$K$5:$K$528,11),'Calc (scoring engine)'!$K$5:$K$528,0)),""),""))</ns0:f>
        <ns0:v/>
      </ns0:c>
    </ns0:row>
    <ns0:row r="32">
      <ns0:c r="A32" s="52">
        <ns0:f>IF(OR(12&gt;MAX(3,MIN(15,N($D$18))),IFERROR(LARGE('Calc (scoring engine)'!$K$5:$K$528,12),-999999)&lt;=-900000),"",12)</ns0:f>
        <ns0:v/>
      </ns0:c>
      <ns0:c r="B32" s="24">
        <ns0:f>IF(OR(12&gt;MAX(3,MIN(15,N($D$18))),IFERROR(LARGE('Calc (scoring engine)'!$K$5:$K$528,12),-999999)&lt;=-900000),"",IFERROR(IF(INDEX(Database!$B$5:$B$528,MATCH(LARGE('Calc (scoring engine)'!$K$5:$K$528,12),'Calc (scoring engine)'!$K$5:$K$528,0))="","—",INDEX(Database!$B$5:$B$528,MATCH(LARGE('Calc (scoring engine)'!$K$5:$K$528,12),'Calc (scoring engine)'!$K$5:$K$528,0))),""))</ns0:f>
        <ns0:v/>
      </ns0:c>
      <ns0:c r="C32" s="53">
        <ns0:f>IF(OR(12&gt;MAX(3,MIN(15,N($D$18))),IFERROR(LARGE('Calc (scoring engine)'!$K$5:$K$528,12),-999999)&lt;=-900000),"",IFERROR(IF(INDEX(Database!$A$5:$A$528,MATCH(LARGE('Calc (scoring engine)'!$K$5:$K$528,12),'Calc (scoring engine)'!$K$5:$K$528,0))="","—",INDEX(Database!$A$5:$A$528,MATCH(LARGE('Calc (scoring engine)'!$K$5:$K$528,12),'Calc (scoring engine)'!$K$5:$K$528,0))),""))</ns0:f>
        <ns0:v/>
      </ns0:c>
      <ns0:c r="D32" s="24">
        <ns0:f>IF(OR(12&gt;MAX(3,MIN(15,N($D$18))),IFERROR(LARGE('Calc (scoring engine)'!$K$5:$K$528,12),-999999)&lt;=-900000),"",IFERROR(IF(INDEX(Database!$D$5:$D$528,MATCH(LARGE('Calc (scoring engine)'!$K$5:$K$528,12),'Calc (scoring engine)'!$K$5:$K$528,0))="","—",INDEX(Database!$D$5:$D$528,MATCH(LARGE('Calc (scoring engine)'!$K$5:$K$528,12),'Calc (scoring engine)'!$K$5:$K$528,0))),""))</ns0:f>
        <ns0:v/>
      </ns0:c>
      <ns0:c r="E32" s="24">
        <ns0:f>IF(OR(12&gt;MAX(3,MIN(15,N($D$18))),IFERROR(LARGE('Calc (scoring engine)'!$K$5:$K$528,12),-999999)&lt;=-900000),"",IFERROR(IF(INDEX(Database!$E$5:$E$528,MATCH(LARGE('Calc (scoring engine)'!$K$5:$K$528,12),'Calc (scoring engine)'!$K$5:$K$528,0))="","—",INDEX(Database!$E$5:$E$528,MATCH(LARGE('Calc (scoring engine)'!$K$5:$K$528,12),'Calc (scoring engine)'!$K$5:$K$528,0))),""))</ns0:f>
        <ns0:v/>
      </ns0:c>
      <ns0:c r="F32" s="24">
        <ns0:f>IF(OR(12&gt;MAX(3,MIN(15,N($D$18))),IFERROR(LARGE('Calc (scoring engine)'!$K$5:$K$528,12),-999999)&lt;=-900000),"",IFERROR(IF(INDEX(Database!$F$5:$F$528,MATCH(LARGE('Calc (scoring engine)'!$K$5:$K$528,12),'Calc (scoring engine)'!$K$5:$K$528,0))="","—",INDEX(Database!$F$5:$F$528,MATCH(LARGE('Calc (scoring engine)'!$K$5:$K$528,12),'Calc (scoring engine)'!$K$5:$K$528,0))),""))</ns0:f>
        <ns0:v/>
      </ns0:c>
      <ns0:c r="G32" s="24">
        <ns0:f>IF(OR(12&gt;MAX(3,MIN(15,N($D$18))),IFERROR(LARGE('Calc (scoring engine)'!$K$5:$K$528,12),-999999)&lt;=-900000),"",IFERROR(IF(INDEX(Database!$G$5:$G$528,MATCH(LARGE('Calc (scoring engine)'!$K$5:$K$528,12),'Calc (scoring engine)'!$K$5:$K$528,0))="","—",INDEX(Database!$G$5:$G$528,MATCH(LARGE('Calc (scoring engine)'!$K$5:$K$528,12),'Calc (scoring engine)'!$K$5:$K$528,0))),""))</ns0:f>
        <ns0:v/>
      </ns0:c>
      <ns0:c r="H32" s="36">
        <ns0:f>IF(OR(12&gt;MAX(3,MIN(15,N($D$18))),IFERROR(LARGE('Calc (scoring engine)'!$K$5:$K$528,12),-999999)&lt;=-900000),"",IFERROR(IF(INDEX(Database!$H$5:$H$528,MATCH(LARGE('Calc (scoring engine)'!$K$5:$K$528,12),'Calc (scoring engine)'!$K$5:$K$528,0))="","—",INDEX(Database!$H$5:$H$528,MATCH(LARGE('Calc (scoring engine)'!$K$5:$K$528,12),'Calc (scoring engine)'!$K$5:$K$528,0))),""))</ns0:f>
        <ns0:v/>
      </ns0:c>
      <ns0:c r="I32" s="34">
        <ns0:f>IF(OR(12&gt;MAX(3,MIN(15,N($D$18))),IFERROR(LARGE('Calc (scoring engine)'!$K$5:$K$528,12),-999999)&lt;=-900000),"",IFERROR(IF(INDEX(Database!$I$5:$I$528,MATCH(LARGE('Calc (scoring engine)'!$K$5:$K$528,12),'Calc (scoring engine)'!$K$5:$K$528,0))="","—",INDEX(Database!$I$5:$I$528,MATCH(LARGE('Calc (scoring engine)'!$K$5:$K$528,12),'Calc (scoring engine)'!$K$5:$K$528,0))),""))</ns0:f>
        <ns0:v/>
      </ns0:c>
      <ns0:c r="J32" s="54">
        <ns0:f>IF(OR(12&gt;MAX(3,MIN(15,N($D$18))),IFERROR(LARGE('Calc (scoring engine)'!$K$5:$K$528,12),-999999)&lt;=-900000),"",IFERROR(IF(INDEX(Database!$K$5:$K$528,MATCH(LARGE('Calc (scoring engine)'!$K$5:$K$528,12),'Calc (scoring engine)'!$K$5:$K$528,0))="","—",INDEX(Database!$K$5:$K$528,MATCH(LARGE('Calc (scoring engine)'!$K$5:$K$528,12),'Calc (scoring engine)'!$K$5:$K$528,0))),""))</ns0:f>
        <ns0:v/>
      </ns0:c>
      <ns0:c r="K32" s="54">
        <ns0:f>IF(OR(12&gt;MAX(3,MIN(15,N($D$18))),IFERROR(LARGE('Calc (scoring engine)'!$K$5:$K$528,12),-999999)&lt;=-900000),"",IFERROR(IF(INDEX(Database!$L$5:$L$528,MATCH(LARGE('Calc (scoring engine)'!$K$5:$K$528,12),'Calc (scoring engine)'!$K$5:$K$528,0))="","—",INDEX(Database!$L$5:$L$528,MATCH(LARGE('Calc (scoring engine)'!$K$5:$K$528,12),'Calc (scoring engine)'!$K$5:$K$528,0))),""))</ns0:f>
        <ns0:v/>
      </ns0:c>
      <ns0:c r="L32" s="54">
        <ns0:f>IF(OR(12&gt;MAX(3,MIN(15,N($D$18))),IFERROR(LARGE('Calc (scoring engine)'!$K$5:$K$528,12),-999999)&lt;=-900000),"",IFERROR(IF(INDEX(Database!$M$5:$M$528,MATCH(LARGE('Calc (scoring engine)'!$K$5:$K$528,12),'Calc (scoring engine)'!$K$5:$K$528,0))="","—",INDEX(Database!$M$5:$M$528,MATCH(LARGE('Calc (scoring engine)'!$K$5:$K$528,12),'Calc (scoring engine)'!$K$5:$K$528,0))),""))</ns0:f>
        <ns0:v/>
      </ns0:c>
      <ns0:c r="M32" s="24">
        <ns0:f>IF(OR(12&gt;MAX(3,MIN(15,N($D$18))),IFERROR(LARGE('Calc (scoring engine)'!$K$5:$K$528,12),-999999)&lt;=-900000),"",IFERROR(IF(INDEX(Database!$N$5:$N$528,MATCH(LARGE('Calc (scoring engine)'!$K$5:$K$528,12),'Calc (scoring engine)'!$K$5:$K$528,0))="","—",INDEX(Database!$N$5:$N$528,MATCH(LARGE('Calc (scoring engine)'!$K$5:$K$528,12),'Calc (scoring engine)'!$K$5:$K$528,0))),""))</ns0:f>
        <ns0:v/>
      </ns0:c>
      <ns0:c r="N32" s="44">
        <ns0:f>IF(OR(12&gt;MAX(3,MIN(15,N($D$18))),IFERROR(LARGE('Calc (scoring engine)'!$K$5:$K$528,12),-999999)&lt;=-900000),"",IFERROR(IF(INDEX(Database!$O$5:$O$528,MATCH(LARGE('Calc (scoring engine)'!$K$5:$K$528,12),'Calc (scoring engine)'!$K$5:$K$528,0))="","—",INDEX(Database!$O$5:$O$528,MATCH(LARGE('Calc (scoring engine)'!$K$5:$K$528,12),'Calc (scoring engine)'!$K$5:$K$528,0))),""))</ns0:f>
        <ns0:v/>
      </ns0:c>
      <ns0:c r="O32" s="44">
        <ns0:f>IF(OR(12&gt;MAX(3,MIN(15,N($D$18))),IFERROR(LARGE('Calc (scoring engine)'!$K$5:$K$528,12),-999999)&lt;=-900000),"",IFERROR(IF(INDEX(Database!$P$5:$P$528,MATCH(LARGE('Calc (scoring engine)'!$K$5:$K$528,12),'Calc (scoring engine)'!$K$5:$K$528,0))="","—",INDEX(Database!$P$5:$P$528,MATCH(LARGE('Calc (scoring engine)'!$K$5:$K$528,12),'Calc (scoring engine)'!$K$5:$K$528,0))),""))</ns0:f>
        <ns0:v/>
      </ns0:c>
      <ns0:c r="P32" s="34">
        <ns0:f>IF(OR(12&gt;MAX(3,MIN(15,N($D$18))),IFERROR(LARGE('Calc (scoring engine)'!$K$5:$K$528,12),-999999)&lt;=-900000),"",IFERROR(IF(INDEX(Database!$Q$5:$Q$528,MATCH(LARGE('Calc (scoring engine)'!$K$5:$K$528,12),'Calc (scoring engine)'!$K$5:$K$528,0))="","—",INDEX(Database!$Q$5:$Q$528,MATCH(LARGE('Calc (scoring engine)'!$K$5:$K$528,12),'Calc (scoring engine)'!$K$5:$K$528,0))),""))</ns0:f>
        <ns0:v/>
      </ns0:c>
      <ns0:c r="Q32" s="41">
        <ns0:f>IF(OR(12&gt;MAX(3,MIN(15,N($D$18))),IFERROR(LARGE('Calc (scoring engine)'!$K$5:$K$528,12),-999999)&lt;=-900000),"",IFERROR(IF(INDEX(Database!$S$5:$S$528,MATCH(LARGE('Calc (scoring engine)'!$K$5:$K$528,12),'Calc (scoring engine)'!$K$5:$K$528,0))="","—",INDEX(Database!$S$5:$S$528,MATCH(LARGE('Calc (scoring engine)'!$K$5:$K$528,12),'Calc (scoring engine)'!$K$5:$K$528,0))),""))</ns0:f>
        <ns0:v/>
      </ns0:c>
      <ns0:c r="R32" s="55">
        <ns0:f>IF(OR(12&gt;MAX(3,MIN(15,N($D$18))),IFERROR(LARGE('Calc (scoring engine)'!$K$5:$K$528,12),-999999)&lt;=-900000),"",IFERROR(IF(INDEX(Database!$T$5:$T$528,MATCH(LARGE('Calc (scoring engine)'!$K$5:$K$528,12),'Calc (scoring engine)'!$K$5:$K$528,0))="","—",INDEX(Database!$T$5:$T$528,MATCH(LARGE('Calc (scoring engine)'!$K$5:$K$528,12),'Calc (scoring engine)'!$K$5:$K$528,0))),""))</ns0:f>
        <ns0:v/>
      </ns0:c>
      <ns0:c r="S32" s="56">
        <ns0:f>IF(OR(12&gt;MAX(3,MIN(15,N($D$18))),IFERROR(LARGE('Calc (scoring engine)'!$K$5:$K$528,12),-999999)&lt;=-900000),"",IFERROR(IF(INDEX(Database!$U$5:$U$528,MATCH(LARGE('Calc (scoring engine)'!$K$5:$K$528,12),'Calc (scoring engine)'!$K$5:$K$528,0))="","—",INDEX(Database!$U$5:$U$528,MATCH(LARGE('Calc (scoring engine)'!$K$5:$K$528,12),'Calc (scoring engine)'!$K$5:$K$528,0))),""))</ns0:f>
        <ns0:v/>
      </ns0:c>
      <ns0:c r="T32" s="57">
        <ns0:f>IF(OR(12&gt;MAX(3,MIN(15,N($D$18))),IFERROR(LARGE('Calc (scoring engine)'!$K$5:$K$528,12),-999999)&lt;=-900000),"",IFERROR(IF(INDEX(Database!$V$5:$V$528,MATCH(LARGE('Calc (scoring engine)'!$K$5:$K$528,12),'Calc (scoring engine)'!$K$5:$K$528,0))="","—",INDEX(Database!$V$5:$V$528,MATCH(LARGE('Calc (scoring engine)'!$K$5:$K$528,12),'Calc (scoring engine)'!$K$5:$K$528,0))),""))</ns0:f>
        <ns0:v/>
      </ns0:c>
      <ns0:c r="U32" s="44">
        <ns0:f>IF(OR(12&gt;MAX(3,MIN(15,N($D$18))),IFERROR(LARGE('Calc (scoring engine)'!$K$5:$K$528,12),-999999)&lt;=-900000),"",IFERROR(IF(INDEX(Database!$W$5:$W$528,MATCH(LARGE('Calc (scoring engine)'!$K$5:$K$528,12),'Calc (scoring engine)'!$K$5:$K$528,0))="","—",INDEX(Database!$W$5:$W$528,MATCH(LARGE('Calc (scoring engine)'!$K$5:$K$528,12),'Calc (scoring engine)'!$K$5:$K$528,0))),""))</ns0:f>
        <ns0:v/>
      </ns0:c>
      <ns0:c r="V32" s="24">
        <ns0:f>IF(OR(12&gt;MAX(3,MIN(15,N($D$18))),IFERROR(LARGE('Calc (scoring engine)'!$K$5:$K$528,12),-999999)&lt;=-900000),"",IFERROR(IF(INDEX(Database!$X$5:$X$528,MATCH(LARGE('Calc (scoring engine)'!$K$5:$K$528,12),'Calc (scoring engine)'!$K$5:$K$528,0))="","—",INDEX(Database!$X$5:$X$528,MATCH(LARGE('Calc (scoring engine)'!$K$5:$K$528,12),'Calc (scoring engine)'!$K$5:$K$528,0))),""))</ns0:f>
        <ns0:v/>
      </ns0:c>
      <ns0:c r="W32" s="34">
        <ns0:f>IF(OR(12&gt;MAX(3,MIN(15,N($D$18))),IFERROR(LARGE('Calc (scoring engine)'!$K$5:$K$528,12),-999999)&lt;=-900000),"",IFERROR(IF(INDEX(Database!$Y$5:$Y$528,MATCH(LARGE('Calc (scoring engine)'!$K$5:$K$528,12),'Calc (scoring engine)'!$K$5:$K$528,0))="","—",INDEX(Database!$Y$5:$Y$528,MATCH(LARGE('Calc (scoring engine)'!$K$5:$K$528,12),'Calc (scoring engine)'!$K$5:$K$528,0))),""))</ns0:f>
        <ns0:v/>
      </ns0:c>
      <ns0:c r="X32" s="34">
        <ns0:f>IF(OR(12&gt;MAX(3,MIN(15,N($D$18))),IFERROR(LARGE('Calc (scoring engine)'!$K$5:$K$528,12),-999999)&lt;=-900000),"",IFERROR(IF(INDEX(Database!$Z$5:$Z$528,MATCH(LARGE('Calc (scoring engine)'!$K$5:$K$528,12),'Calc (scoring engine)'!$K$5:$K$528,0))="","—",INDEX(Database!$Z$5:$Z$528,MATCH(LARGE('Calc (scoring engine)'!$K$5:$K$528,12),'Calc (scoring engine)'!$K$5:$K$528,0))),""))</ns0:f>
        <ns0:v/>
      </ns0:c>
      <ns0:c r="Y32" s="44">
        <ns0:f>IF(OR(12&gt;MAX(3,MIN(15,N($D$18))),IFERROR(LARGE('Calc (scoring engine)'!$K$5:$K$528,12),-999999)&lt;=-900000),"",IFERROR(IF(INDEX(Database!$AA$5:$AA$528,MATCH(LARGE('Calc (scoring engine)'!$K$5:$K$528,12),'Calc (scoring engine)'!$K$5:$K$528,0))="","—",INDEX(Database!$AA$5:$AA$528,MATCH(LARGE('Calc (scoring engine)'!$K$5:$K$528,12),'Calc (scoring engine)'!$K$5:$K$528,0))),""))</ns0:f>
        <ns0:v/>
      </ns0:c>
      <ns0:c r="Z32" s="24">
        <ns0:f>IF(OR(12&gt;MAX(3,MIN(15,N($D$18))),IFERROR(LARGE('Calc (scoring engine)'!$K$5:$K$528,12),-999999)&lt;=-900000),"",IFERROR(IF(INDEX(Database!$AB$5:$AB$528,MATCH(LARGE('Calc (scoring engine)'!$K$5:$K$528,12),'Calc (scoring engine)'!$K$5:$K$528,0))="","—",INDEX(Database!$AB$5:$AB$528,MATCH(LARGE('Calc (scoring engine)'!$K$5:$K$528,12),'Calc (scoring engine)'!$K$5:$K$528,0))),""))</ns0:f>
        <ns0:v/>
      </ns0:c>
      <ns0:c r="AA32" s="44">
        <ns0:f>IF(OR(12&gt;MAX(3,MIN(15,N($D$18))),IFERROR(LARGE('Calc (scoring engine)'!$K$5:$K$528,12),-999999)&lt;=-900000),"",IFERROR(IF(INDEX(Database!$AD$5:$AD$528,MATCH(LARGE('Calc (scoring engine)'!$K$5:$K$528,12),'Calc (scoring engine)'!$K$5:$K$528,0))="","—",INDEX(Database!$AD$5:$AD$528,MATCH(LARGE('Calc (scoring engine)'!$K$5:$K$528,12),'Calc (scoring engine)'!$K$5:$K$528,0))),""))</ns0:f>
        <ns0:v/>
      </ns0:c>
      <ns0:c r="AB32" s="24">
        <ns0:f>IF(OR(12&gt;MAX(3,MIN(15,N($D$18))),IFERROR(LARGE('Calc (scoring engine)'!$K$5:$K$528,12),-999999)&lt;=-900000),"",IFERROR(IF(INDEX(Database!$AE$5:$AE$528,MATCH(LARGE('Calc (scoring engine)'!$K$5:$K$528,12),'Calc (scoring engine)'!$K$5:$K$528,0))="","—",INDEX(Database!$AE$5:$AE$528,MATCH(LARGE('Calc (scoring engine)'!$K$5:$K$528,12),'Calc (scoring engine)'!$K$5:$K$528,0))),""))</ns0:f>
        <ns0:v/>
      </ns0:c>
      <ns0:c r="AC32" s="24">
        <ns0:f>IF(OR(12&gt;MAX(3,MIN(15,N($D$18))),IFERROR(LARGE('Calc (scoring engine)'!$K$5:$K$528,12),-999999)&lt;=-900000),"",IFERROR(IF(INDEX(Database!$AF$5:$AF$528,MATCH(LARGE('Calc (scoring engine)'!$K$5:$K$528,12),'Calc (scoring engine)'!$K$5:$K$528,0))="","—",INDEX(Database!$AF$5:$AF$528,MATCH(LARGE('Calc (scoring engine)'!$K$5:$K$528,12),'Calc (scoring engine)'!$K$5:$K$528,0))),""))</ns0:f>
        <ns0:v/>
      </ns0:c>
      <ns0:c r="AD32" s="24">
        <ns0:f>IF(OR(12&gt;MAX(3,MIN(15,N($D$18))),IFERROR(LARGE('Calc (scoring engine)'!$K$5:$K$528,12),-999999)&lt;=-900000),"",IFERROR(IF(INDEX(Database!$AG$5:$AG$528,MATCH(LARGE('Calc (scoring engine)'!$K$5:$K$528,12),'Calc (scoring engine)'!$K$5:$K$528,0))="","—",INDEX(Database!$AG$5:$AG$528,MATCH(LARGE('Calc (scoring engine)'!$K$5:$K$528,12),'Calc (scoring engine)'!$K$5:$K$528,0))),""))</ns0:f>
        <ns0:v/>
      </ns0:c>
      <ns0:c r="AE32" s="24">
        <ns0:f>IF(OR(12&gt;MAX(3,MIN(15,N($D$18))),IFERROR(LARGE('Calc (scoring engine)'!$K$5:$K$528,12),-999999)&lt;=-900000),"",IFERROR(IF(INDEX(Database!$AH$5:$AH$528,MATCH(LARGE('Calc (scoring engine)'!$K$5:$K$528,12),'Calc (scoring engine)'!$K$5:$K$528,0))="","—",INDEX(Database!$AH$5:$AH$528,MATCH(LARGE('Calc (scoring engine)'!$K$5:$K$528,12),'Calc (scoring engine)'!$K$5:$K$528,0))),""))</ns0:f>
        <ns0:v/>
      </ns0:c>
      <ns0:c r="AF32" s="38">
        <ns0:f>IF(OR(12&gt;MAX(3,MIN(15,N($D$18))),IFERROR(LARGE('Calc (scoring engine)'!$K$5:$K$528,12),-999999)&lt;=-900000),"",IFERROR(IF(INDEX(Database!$AI$5:$AI$528,MATCH(LARGE('Calc (scoring engine)'!$K$5:$K$528,12),'Calc (scoring engine)'!$K$5:$K$528,0))="","—",INDEX(Database!$AI$5:$AI$528,MATCH(LARGE('Calc (scoring engine)'!$K$5:$K$528,12),'Calc (scoring engine)'!$K$5:$K$528,0))),""))</ns0:f>
        <ns0:v/>
      </ns0:c>
      <ns0:c r="AG32" s="38">
        <ns0:f>IF(OR(12&gt;MAX(3,MIN(15,N($D$18))),IFERROR(LARGE('Calc (scoring engine)'!$K$5:$K$528,12),-999999)&lt;=-900000),"",IFERROR(IF(INDEX(Database!$AJ$5:$AJ$528,MATCH(LARGE('Calc (scoring engine)'!$K$5:$K$528,12),'Calc (scoring engine)'!$K$5:$K$528,0))="","—",INDEX(Database!$AJ$5:$AJ$528,MATCH(LARGE('Calc (scoring engine)'!$K$5:$K$528,12),'Calc (scoring engine)'!$K$5:$K$528,0))),""))</ns0:f>
        <ns0:v/>
      </ns0:c>
      <ns0:c r="AH32" s="38">
        <ns0:f>IF(OR(12&gt;MAX(3,MIN(15,N($D$18))),IFERROR(LARGE('Calc (scoring engine)'!$K$5:$K$528,12),-999999)&lt;=-900000),"",IFERROR(IF(INDEX(Database!$AK$5:$AK$528,MATCH(LARGE('Calc (scoring engine)'!$K$5:$K$528,12),'Calc (scoring engine)'!$K$5:$K$528,0))="","—",INDEX(Database!$AK$5:$AK$528,MATCH(LARGE('Calc (scoring engine)'!$K$5:$K$528,12),'Calc (scoring engine)'!$K$5:$K$528,0))),""))</ns0:f>
        <ns0:v/>
      </ns0:c>
      <ns0:c r="AI32" s="38">
        <ns0:f>IF(OR(12&gt;MAX(3,MIN(15,N($D$18))),IFERROR(LARGE('Calc (scoring engine)'!$K$5:$K$528,12),-999999)&lt;=-900000),"",IFERROR(IF(INDEX(Database!$AL$5:$AL$528,MATCH(LARGE('Calc (scoring engine)'!$K$5:$K$528,12),'Calc (scoring engine)'!$K$5:$K$528,0))="","—",INDEX(Database!$AL$5:$AL$528,MATCH(LARGE('Calc (scoring engine)'!$K$5:$K$528,12),'Calc (scoring engine)'!$K$5:$K$528,0))),""))</ns0:f>
        <ns0:v/>
      </ns0:c>
      <ns0:c r="AJ32" s="38">
        <ns0:f>IF(OR(12&gt;MAX(3,MIN(15,N($D$18))),IFERROR(LARGE('Calc (scoring engine)'!$K$5:$K$528,12),-999999)&lt;=-900000),"",IFERROR(IF(INDEX(Database!$AM$5:$AM$528,MATCH(LARGE('Calc (scoring engine)'!$K$5:$K$528,12),'Calc (scoring engine)'!$K$5:$K$528,0))="","—",INDEX(Database!$AM$5:$AM$528,MATCH(LARGE('Calc (scoring engine)'!$K$5:$K$528,12),'Calc (scoring engine)'!$K$5:$K$528,0))),""))</ns0:f>
        <ns0:v/>
      </ns0:c>
      <ns0:c r="AK32" s="39">
        <ns0:f>IF(OR(12&gt;MAX(3,MIN(15,N($D$18))),IFERROR(LARGE('Calc (scoring engine)'!$K$5:$K$528,12),-999999)&lt;=-900000),"",IFERROR(IF(INDEX(Database!$AN$5:$AN$528,MATCH(LARGE('Calc (scoring engine)'!$K$5:$K$528,12),'Calc (scoring engine)'!$K$5:$K$528,0))="","—",INDEX(Database!$AN$5:$AN$528,MATCH(LARGE('Calc (scoring engine)'!$K$5:$K$528,12),'Calc (scoring engine)'!$K$5:$K$528,0))),""))</ns0:f>
        <ns0:v/>
      </ns0:c>
      <ns0:c r="AL32" s="44">
        <ns0:f>IF(OR(12&gt;MAX(3,MIN(15,N($D$18))),IFERROR(LARGE('Calc (scoring engine)'!$K$5:$K$528,12),-999999)&lt;=-900000),"",IFERROR(IF(INDEX(Database!$AO$5:$AO$528,MATCH(LARGE('Calc (scoring engine)'!$K$5:$K$528,12),'Calc (scoring engine)'!$K$5:$K$528,0))="","—",INDEX(Database!$AO$5:$AO$528,MATCH(LARGE('Calc (scoring engine)'!$K$5:$K$528,12),'Calc (scoring engine)'!$K$5:$K$528,0))),""))</ns0:f>
        <ns0:v/>
      </ns0:c>
      <ns0:c r="AM32" s="38">
        <ns0:f>IF(OR(12&gt;MAX(3,MIN(15,N($D$18))),IFERROR(LARGE('Calc (scoring engine)'!$K$5:$K$528,12),-999999)&lt;=-900000),"",IFERROR(IF(INDEX(Database!$AP$5:$AP$528,MATCH(LARGE('Calc (scoring engine)'!$K$5:$K$528,12),'Calc (scoring engine)'!$K$5:$K$528,0))="","—",INDEX(Database!$AP$5:$AP$528,MATCH(LARGE('Calc (scoring engine)'!$K$5:$K$528,12),'Calc (scoring engine)'!$K$5:$K$528,0))),""))</ns0:f>
        <ns0:v/>
      </ns0:c>
      <ns0:c r="AN32" s="38">
        <ns0:f>IF(OR(12&gt;MAX(3,MIN(15,N($D$18))),IFERROR(LARGE('Calc (scoring engine)'!$K$5:$K$528,12),-999999)&lt;=-900000),"",IFERROR(IF(INDEX(Database!$AQ$5:$AQ$528,MATCH(LARGE('Calc (scoring engine)'!$K$5:$K$528,12),'Calc (scoring engine)'!$K$5:$K$528,0))="","—",INDEX(Database!$AQ$5:$AQ$528,MATCH(LARGE('Calc (scoring engine)'!$K$5:$K$528,12),'Calc (scoring engine)'!$K$5:$K$528,0))),""))</ns0:f>
        <ns0:v/>
      </ns0:c>
      <ns0:c r="AO32" s="38">
        <ns0:f>IF(OR(12&gt;MAX(3,MIN(15,N($D$18))),IFERROR(LARGE('Calc (scoring engine)'!$K$5:$K$528,12),-999999)&lt;=-900000),"",IFERROR(IF(INDEX(Database!$AR$5:$AR$528,MATCH(LARGE('Calc (scoring engine)'!$K$5:$K$528,12),'Calc (scoring engine)'!$K$5:$K$528,0))="","—",INDEX(Database!$AR$5:$AR$528,MATCH(LARGE('Calc (scoring engine)'!$K$5:$K$528,12),'Calc (scoring engine)'!$K$5:$K$528,0))),""))</ns0:f>
        <ns0:v/>
      </ns0:c>
      <ns0:c r="AP32" s="38">
        <ns0:f>IF(OR(12&gt;MAX(3,MIN(15,N($D$18))),IFERROR(LARGE('Calc (scoring engine)'!$K$5:$K$528,12),-999999)&lt;=-900000),"",IFERROR(IF(INDEX(Database!$AS$5:$AS$528,MATCH(LARGE('Calc (scoring engine)'!$K$5:$K$528,12),'Calc (scoring engine)'!$K$5:$K$528,0))="","—",INDEX(Database!$AS$5:$AS$528,MATCH(LARGE('Calc (scoring engine)'!$K$5:$K$528,12),'Calc (scoring engine)'!$K$5:$K$528,0))),""))</ns0:f>
        <ns0:v/>
      </ns0:c>
      <ns0:c r="AQ32" s="38">
        <ns0:f>IF(OR(12&gt;MAX(3,MIN(15,N($D$18))),IFERROR(LARGE('Calc (scoring engine)'!$K$5:$K$528,12),-999999)&lt;=-900000),"",IFERROR(IF(INDEX(Database!$AT$5:$AT$528,MATCH(LARGE('Calc (scoring engine)'!$K$5:$K$528,12),'Calc (scoring engine)'!$K$5:$K$528,0))="","—",INDEX(Database!$AT$5:$AT$528,MATCH(LARGE('Calc (scoring engine)'!$K$5:$K$528,12),'Calc (scoring engine)'!$K$5:$K$528,0))),""))</ns0:f>
        <ns0:v/>
      </ns0:c>
      <ns0:c r="AR32" s="38">
        <ns0:f>IF(OR(12&gt;MAX(3,MIN(15,N($D$18))),IFERROR(LARGE('Calc (scoring engine)'!$K$5:$K$528,12),-999999)&lt;=-900000),"",IFERROR(IF(INDEX(Database!$AU$5:$AU$528,MATCH(LARGE('Calc (scoring engine)'!$K$5:$K$528,12),'Calc (scoring engine)'!$K$5:$K$528,0))="","—",INDEX(Database!$AU$5:$AU$528,MATCH(LARGE('Calc (scoring engine)'!$K$5:$K$528,12),'Calc (scoring engine)'!$K$5:$K$528,0))),""))</ns0:f>
        <ns0:v/>
      </ns0:c>
      <ns0:c r="AS32" s="38">
        <ns0:f>IF(OR(12&gt;MAX(3,MIN(15,N($D$18))),IFERROR(LARGE('Calc (scoring engine)'!$K$5:$K$528,12),-999999)&lt;=-900000),"",IFERROR(IF(INDEX(Database!$AV$5:$AV$528,MATCH(LARGE('Calc (scoring engine)'!$K$5:$K$528,12),'Calc (scoring engine)'!$K$5:$K$528,0))="","—",INDEX(Database!$AV$5:$AV$528,MATCH(LARGE('Calc (scoring engine)'!$K$5:$K$528,12),'Calc (scoring engine)'!$K$5:$K$528,0))),""))</ns0:f>
        <ns0:v/>
      </ns0:c>
      <ns0:c r="AT32" s="38">
        <ns0:f>IF(OR(12&gt;MAX(3,MIN(15,N($D$18))),IFERROR(LARGE('Calc (scoring engine)'!$K$5:$K$528,12),-999999)&lt;=-900000),"",IFERROR(IF(INDEX(Database!$AW$5:$AW$528,MATCH(LARGE('Calc (scoring engine)'!$K$5:$K$528,12),'Calc (scoring engine)'!$K$5:$K$528,0))="","—",INDEX(Database!$AW$5:$AW$528,MATCH(LARGE('Calc (scoring engine)'!$K$5:$K$528,12),'Calc (scoring engine)'!$K$5:$K$528,0))),""))</ns0:f>
        <ns0:v/>
      </ns0:c>
      <ns0:c r="AU32" s="38">
        <ns0:f>IF(OR(12&gt;MAX(3,MIN(15,N($D$18))),IFERROR(LARGE('Calc (scoring engine)'!$K$5:$K$528,12),-999999)&lt;=-900000),"",IFERROR(IF(INDEX(Database!$AX$5:$AX$528,MATCH(LARGE('Calc (scoring engine)'!$K$5:$K$528,12),'Calc (scoring engine)'!$K$5:$K$528,0))="","—",INDEX(Database!$AX$5:$AX$528,MATCH(LARGE('Calc (scoring engine)'!$K$5:$K$528,12),'Calc (scoring engine)'!$K$5:$K$528,0))),""))</ns0:f>
        <ns0:v/>
      </ns0:c>
      <ns0:c r="AV32" s="38">
        <ns0:f>IF(OR(12&gt;MAX(3,MIN(15,N($D$18))),IFERROR(LARGE('Calc (scoring engine)'!$K$5:$K$528,12),-999999)&lt;=-900000),"",IFERROR(IF(INDEX(Database!$AY$5:$AY$528,MATCH(LARGE('Calc (scoring engine)'!$K$5:$K$528,12),'Calc (scoring engine)'!$K$5:$K$528,0))="","—",INDEX(Database!$AY$5:$AY$528,MATCH(LARGE('Calc (scoring engine)'!$K$5:$K$528,12),'Calc (scoring engine)'!$K$5:$K$528,0))),""))</ns0:f>
        <ns0:v/>
      </ns0:c>
      <ns0:c r="AW32" s="38">
        <ns0:f>IF(OR(12&gt;MAX(3,MIN(15,N($D$18))),IFERROR(LARGE('Calc (scoring engine)'!$K$5:$K$528,12),-999999)&lt;=-900000),"",IFERROR(IF(INDEX(Database!$AZ$5:$AZ$528,MATCH(LARGE('Calc (scoring engine)'!$K$5:$K$528,12),'Calc (scoring engine)'!$K$5:$K$528,0))="","—",INDEX(Database!$AZ$5:$AZ$528,MATCH(LARGE('Calc (scoring engine)'!$K$5:$K$528,12),'Calc (scoring engine)'!$K$5:$K$528,0))),""))</ns0:f>
        <ns0:v/>
      </ns0:c>
      <ns0:c r="AX32" s="38">
        <ns0:f>IF(OR(12&gt;MAX(3,MIN(15,N($D$18))),IFERROR(LARGE('Calc (scoring engine)'!$K$5:$K$528,12),-999999)&lt;=-900000),"",IFERROR(IF(INDEX(Database!$BA$5:$BA$528,MATCH(LARGE('Calc (scoring engine)'!$K$5:$K$528,12),'Calc (scoring engine)'!$K$5:$K$528,0))="","—",INDEX(Database!$BA$5:$BA$528,MATCH(LARGE('Calc (scoring engine)'!$K$5:$K$528,12),'Calc (scoring engine)'!$K$5:$K$528,0))),""))</ns0:f>
        <ns0:v/>
      </ns0:c>
      <ns0:c r="AY32" s="38">
        <ns0:f>IF(OR(12&gt;MAX(3,MIN(15,N($D$18))),IFERROR(LARGE('Calc (scoring engine)'!$K$5:$K$528,12),-999999)&lt;=-900000),"",IFERROR(IF(INDEX(Database!$BC$5:$BC$528,MATCH(LARGE('Calc (scoring engine)'!$K$5:$K$528,12),'Calc (scoring engine)'!$K$5:$K$528,0))="","—",INDEX(Database!$BC$5:$BC$528,MATCH(LARGE('Calc (scoring engine)'!$K$5:$K$528,12),'Calc (scoring engine)'!$K$5:$K$528,0))),""))</ns0:f>
        <ns0:v/>
      </ns0:c>
      <ns0:c r="AZ32" s="34">
        <ns0:f>IF(OR(12&gt;MAX(3,MIN(15,N($D$18))),IFERROR(LARGE('Calc (scoring engine)'!$K$5:$K$528,12),-999999)&lt;=-900000),"",IFERROR(IF(INDEX(Database!$BE$5:$BE$528,MATCH(LARGE('Calc (scoring engine)'!$K$5:$K$528,12),'Calc (scoring engine)'!$K$5:$K$528,0))="","—",INDEX(Database!$BE$5:$BE$528,MATCH(LARGE('Calc (scoring engine)'!$K$5:$K$528,12),'Calc (scoring engine)'!$K$5:$K$528,0))),""))</ns0:f>
        <ns0:v/>
      </ns0:c>
      <ns0:c r="BA32" s="34">
        <ns0:f>IF(OR(12&gt;MAX(3,MIN(15,N($D$18))),IFERROR(LARGE('Calc (scoring engine)'!$K$5:$K$528,12),-999999)&lt;=-900000),"",IFERROR(IF(INDEX(Database!$BF$5:$BF$528,MATCH(LARGE('Calc (scoring engine)'!$K$5:$K$528,12),'Calc (scoring engine)'!$K$5:$K$528,0))="","—",INDEX(Database!$BF$5:$BF$528,MATCH(LARGE('Calc (scoring engine)'!$K$5:$K$528,12),'Calc (scoring engine)'!$K$5:$K$528,0))),""))</ns0:f>
        <ns0:v/>
      </ns0:c>
      <ns0:c r="BB32" s="24">
        <ns0:f>IF(OR(12&gt;MAX(3,MIN(15,N($D$18))),IFERROR(LARGE('Calc (scoring engine)'!$K$5:$K$528,12),-999999)&lt;=-900000),"",IFERROR(IF(INDEX(Database!$BG$5:$BG$528,MATCH(LARGE('Calc (scoring engine)'!$K$5:$K$528,12),'Calc (scoring engine)'!$K$5:$K$528,0))="","—",INDEX(Database!$BG$5:$BG$528,MATCH(LARGE('Calc (scoring engine)'!$K$5:$K$528,12),'Calc (scoring engine)'!$K$5:$K$528,0))),""))</ns0:f>
        <ns0:v/>
      </ns0:c>
      <ns0:c r="BC32" s="39">
        <ns0:f>IF(OR(12&gt;MAX(3,MIN(15,N($D$18))),IFERROR(LARGE('Calc (scoring engine)'!$K$5:$K$528,12),-999999)&lt;=-900000),"",IFERROR(IF(N(INDEX(Database!$BH$5:$BH$528,MATCH(LARGE('Calc (scoring engine)'!$K$5:$K$528,12),'Calc (scoring engine)'!$K$5:$K$528,0)))&lt;=0,IF(INDEX(Database!$BG$5:$BG$528,MATCH(LARGE('Calc (scoring engine)'!$K$5:$K$528,12),'Calc (scoring engine)'!$K$5:$K$528,0))="N","n/m","—"),INDEX(Database!$BH$5:$BH$528,MATCH(LARGE('Calc (scoring engine)'!$K$5:$K$528,12),'Calc (scoring engine)'!$K$5:$K$528,0))),""))</ns0:f>
        <ns0:v/>
      </ns0:c>
      <ns0:c r="BD32" s="39">
        <ns0:f>IF(OR(12&gt;MAX(3,MIN(15,N($D$18))),IFERROR(LARGE('Calc (scoring engine)'!$K$5:$K$528,12),-999999)&lt;=-900000),"",IFERROR(IF(INDEX(Database!$BI$5:$BI$528,MATCH(LARGE('Calc (scoring engine)'!$K$5:$K$528,12),'Calc (scoring engine)'!$K$5:$K$528,0))="","—",INDEX(Database!$BI$5:$BI$528,MATCH(LARGE('Calc (scoring engine)'!$K$5:$K$528,12),'Calc (scoring engine)'!$K$5:$K$528,0))),""))</ns0:f>
        <ns0:v/>
      </ns0:c>
      <ns0:c r="BE32" s="39">
        <ns0:f>IF(OR(12&gt;MAX(3,MIN(15,N($D$18))),IFERROR(LARGE('Calc (scoring engine)'!$K$5:$K$528,12),-999999)&lt;=-900000),"",IFERROR(IF(INDEX(Database!$BJ$5:$BJ$528,MATCH(LARGE('Calc (scoring engine)'!$K$5:$K$528,12),'Calc (scoring engine)'!$K$5:$K$528,0))="","—",INDEX(Database!$BJ$5:$BJ$528,MATCH(LARGE('Calc (scoring engine)'!$K$5:$K$528,12),'Calc (scoring engine)'!$K$5:$K$528,0))),""))</ns0:f>
        <ns0:v/>
      </ns0:c>
      <ns0:c r="BF32" s="39">
        <ns0:f>IF(OR(12&gt;MAX(3,MIN(15,N($D$18))),IFERROR(LARGE('Calc (scoring engine)'!$K$5:$K$528,12),-999999)&lt;=-900000),"",IFERROR(IF(INDEX(Database!$BK$5:$BK$528,MATCH(LARGE('Calc (scoring engine)'!$K$5:$K$528,12),'Calc (scoring engine)'!$K$5:$K$528,0))="","—",INDEX(Database!$BK$5:$BK$528,MATCH(LARGE('Calc (scoring engine)'!$K$5:$K$528,12),'Calc (scoring engine)'!$K$5:$K$528,0))),""))</ns0:f>
        <ns0:v/>
      </ns0:c>
      <ns0:c r="BG32" s="39">
        <ns0:f>IF(OR(12&gt;MAX(3,MIN(15,N($D$18))),IFERROR(LARGE('Calc (scoring engine)'!$K$5:$K$528,12),-999999)&lt;=-900000),"",IFERROR(IF(INDEX(Database!$BL$5:$BL$528,MATCH(LARGE('Calc (scoring engine)'!$K$5:$K$528,12),'Calc (scoring engine)'!$K$5:$K$528,0))="","—",INDEX(Database!$BL$5:$BL$528,MATCH(LARGE('Calc (scoring engine)'!$K$5:$K$528,12),'Calc (scoring engine)'!$K$5:$K$528,0))),""))</ns0:f>
        <ns0:v/>
      </ns0:c>
      <ns0:c r="BH32" s="39">
        <ns0:f>IF(OR(12&gt;MAX(3,MIN(15,N($D$18))),IFERROR(LARGE('Calc (scoring engine)'!$K$5:$K$528,12),-999999)&lt;=-900000),"",IFERROR(IFERROR(BDP(TEXT(INDEX(Database!$A$5:$A$528,MATCH(LARGE('Calc (scoring engine)'!$K$5:$K$528,12),'Calc (scoring engine)'!$K$5:$K$528,0)),"0")&amp;" HK Equity","PE_RATIO"),IF(INDEX(Database!$BJ$5:$BJ$528,MATCH(LARGE('Calc (scoring engine)'!$K$5:$K$528,12),'Calc (scoring engine)'!$K$5:$K$528,0))="","—",INDEX(Database!$BJ$5:$BJ$528,MATCH(LARGE('Calc (scoring engine)'!$K$5:$K$528,12),'Calc (scoring engine)'!$K$5:$K$528,0)))),""))</ns0:f>
        <ns0:v/>
      </ns0:c>
      <ns0:c r="BI32" s="39">
        <ns0:f>IF(OR(12&gt;MAX(3,MIN(15,N($D$18))),IFERROR(LARGE('Calc (scoring engine)'!$K$5:$K$528,12),-999999)&lt;=-900000),"",IFERROR(IFERROR(BDP(TEXT(INDEX(Database!$A$5:$A$528,MATCH(LARGE('Calc (scoring engine)'!$K$5:$K$528,12),'Calc (scoring engine)'!$K$5:$K$528,0)),"0")&amp;" HK Equity","PX_TO_SALES_RATIO"),IF(INDEX(Database!$BK$5:$BK$528,MATCH(LARGE('Calc (scoring engine)'!$K$5:$K$528,12),'Calc (scoring engine)'!$K$5:$K$528,0))="","—",INDEX(Database!$BK$5:$BK$528,MATCH(LARGE('Calc (scoring engine)'!$K$5:$K$528,12),'Calc (scoring engine)'!$K$5:$K$528,0)))),""))</ns0:f>
        <ns0:v/>
      </ns0:c>
      <ns0:c r="BJ32" s="24">
        <ns0:f>IF(OR(12&gt;MAX(3,MIN(15,N($D$18))),IFERROR(LARGE('Calc (scoring engine)'!$K$5:$K$528,12),-999999)&lt;=-900000),"",IFERROR(IF(INDEX(Database!$BM$5:$BM$528,MATCH(LARGE('Calc (scoring engine)'!$K$5:$K$528,12),'Calc (scoring engine)'!$K$5:$K$528,0))="","—",INDEX(Database!$BM$5:$BM$528,MATCH(LARGE('Calc (scoring engine)'!$K$5:$K$528,12),'Calc (scoring engine)'!$K$5:$K$528,0))),""))</ns0:f>
        <ns0:v/>
      </ns0:c>
      <ns0:c r="BK32" s="24">
        <ns0:f>IF(OR(12&gt;MAX(3,MIN(15,N($D$18))),IFERROR(LARGE('Calc (scoring engine)'!$K$5:$K$528,12),-999999)&lt;=-900000),"",IFERROR(IF(INDEX(Database!$BN$5:$BN$528,MATCH(LARGE('Calc (scoring engine)'!$K$5:$K$528,12),'Calc (scoring engine)'!$K$5:$K$528,0))="","—",INDEX(Database!$BN$5:$BN$528,MATCH(LARGE('Calc (scoring engine)'!$K$5:$K$528,12),'Calc (scoring engine)'!$K$5:$K$528,0))),""))</ns0:f>
        <ns0:v/>
      </ns0:c>
      <ns0:c r="BL32" s="38">
        <ns0:f>IF(OR(12&gt;MAX(3,MIN(15,N($D$18))),IFERROR(LARGE('Calc (scoring engine)'!$K$5:$K$528,12),-999999)&lt;=-900000),"",IFERROR(IF(INDEX(Database!$BO$5:$BO$528,MATCH(LARGE('Calc (scoring engine)'!$K$5:$K$528,12),'Calc (scoring engine)'!$K$5:$K$528,0))="","—",INDEX(Database!$BO$5:$BO$528,MATCH(LARGE('Calc (scoring engine)'!$K$5:$K$528,12),'Calc (scoring engine)'!$K$5:$K$528,0))),""))</ns0:f>
        <ns0:v/>
      </ns0:c>
      <ns0:c r="BM32" s="54">
        <ns0:f>IF(OR(12&gt;MAX(3,MIN(15,N($D$18))),IFERROR(LARGE('Calc (scoring engine)'!$K$5:$K$528,12),-999999)&lt;=-900000),"",IFERROR(IF(INDEX(Database!$BP$5:$BP$528,MATCH(LARGE('Calc (scoring engine)'!$K$5:$K$528,12),'Calc (scoring engine)'!$K$5:$K$528,0))="","—",INDEX(Database!$BP$5:$BP$528,MATCH(LARGE('Calc (scoring engine)'!$K$5:$K$528,12),'Calc (scoring engine)'!$K$5:$K$528,0))),""))</ns0:f>
        <ns0:v/>
      </ns0:c>
      <ns0:c r="BN32" s="58">
        <ns0:f>IF(OR(12&gt;MAX(3,MIN(15,N($D$18))),IFERROR(LARGE('Calc (scoring engine)'!$K$5:$K$528,12),-999999)&lt;=-900000),"",IFERROR(IF(INDEX(Database!$BQ$5:$BQ$528,MATCH(LARGE('Calc (scoring engine)'!$K$5:$K$528,12),'Calc (scoring engine)'!$K$5:$K$528,0))="","—",INDEX(Database!$BQ$5:$BQ$528,MATCH(LARGE('Calc (scoring engine)'!$K$5:$K$528,12),'Calc (scoring engine)'!$K$5:$K$528,0))),""))</ns0:f>
        <ns0:v/>
      </ns0:c>
      <ns0:c r="BO32" s="34">
        <ns0:f>IF(OR(12&gt;MAX(3,MIN(15,N($D$18))),IFERROR(LARGE('Calc (scoring engine)'!$K$5:$K$528,12),-999999)&lt;=-900000),"",IFERROR(IF(INDEX(Database!$BR$5:$BR$528,MATCH(LARGE('Calc (scoring engine)'!$K$5:$K$528,12),'Calc (scoring engine)'!$K$5:$K$528,0))="","—",INDEX(Database!$BR$5:$BR$528,MATCH(LARGE('Calc (scoring engine)'!$K$5:$K$528,12),'Calc (scoring engine)'!$K$5:$K$528,0))),""))</ns0:f>
        <ns0:v/>
      </ns0:c>
      <ns0:c r="BP32" s="39">
        <ns0:f>IF(OR(12&gt;MAX(3,MIN(15,N($D$18))),IFERROR(LARGE('Calc (scoring engine)'!$K$5:$K$528,12),-999999)&lt;=-900000),"",IFERROR(IF(INDEX(Database!$BS$5:$BS$528,MATCH(LARGE('Calc (scoring engine)'!$K$5:$K$528,12),'Calc (scoring engine)'!$K$5:$K$528,0))="","—",INDEX(Database!$BS$5:$BS$528,MATCH(LARGE('Calc (scoring engine)'!$K$5:$K$528,12),'Calc (scoring engine)'!$K$5:$K$528,0))),""))</ns0:f>
        <ns0:v/>
      </ns0:c>
      <ns0:c r="BQ32" s="39">
        <ns0:f>IF(OR(12&gt;MAX(3,MIN(15,N($D$18))),IFERROR(LARGE('Calc (scoring engine)'!$K$5:$K$528,12),-999999)&lt;=-900000),"",IFERROR(IF(INDEX(Database!$BT$5:$BT$528,MATCH(LARGE('Calc (scoring engine)'!$K$5:$K$528,12),'Calc (scoring engine)'!$K$5:$K$528,0))="","—",INDEX(Database!$BT$5:$BT$528,MATCH(LARGE('Calc (scoring engine)'!$K$5:$K$528,12),'Calc (scoring engine)'!$K$5:$K$528,0))),""))</ns0:f>
        <ns0:v/>
      </ns0:c>
      <ns0:c r="BR32" s="24">
        <ns0:f>IF(OR(12&gt;MAX(3,MIN(15,N($D$18))),IFERROR(LARGE('Calc (scoring engine)'!$K$5:$K$528,12),-999999)&lt;=-900000),"",IFERROR(IF(INDEX(Database!$BU$5:$BU$528,MATCH(LARGE('Calc (scoring engine)'!$K$5:$K$528,12),'Calc (scoring engine)'!$K$5:$K$528,0))="","—",INDEX(Database!$BU$5:$BU$528,MATCH(LARGE('Calc (scoring engine)'!$K$5:$K$528,12),'Calc (scoring engine)'!$K$5:$K$528,0))),""))</ns0:f>
        <ns0:v/>
      </ns0:c>
      <ns0:c r="BS32" s="24">
        <ns0:f>IF(OR(12&gt;MAX(3,MIN(15,N($D$18))),IFERROR(LARGE('Calc (scoring engine)'!$K$5:$K$528,12),-999999)&lt;=-900000),"",IFERROR(IF(INDEX(Database!$BW$5:$BW$528,MATCH(LARGE('Calc (scoring engine)'!$K$5:$K$528,12),'Calc (scoring engine)'!$K$5:$K$528,0))="","—",INDEX(Database!$BW$5:$BW$528,MATCH(LARGE('Calc (scoring engine)'!$K$5:$K$528,12),'Calc (scoring engine)'!$K$5:$K$528,0))),""))</ns0:f>
        <ns0:v/>
      </ns0:c>
      <ns0:c r="BT32" s="57">
        <ns0:f>IF(OR(12&gt;MAX(3,MIN(15,N($D$18))),IFERROR(LARGE('Calc (scoring engine)'!$K$5:$K$528,12),-999999)&lt;=-900000),"",IFERROR(IF(INDEX('Calc (scoring engine)'!$H$5:$H$528,MATCH(LARGE('Calc (scoring engine)'!$K$5:$K$528,12),'Calc (scoring engine)'!$K$5:$K$528,0))&gt;0,INDEX('Calc (scoring engine)'!$H$5:$H$528,MATCH(LARGE('Calc (scoring engine)'!$K$5:$K$528,12),'Calc (scoring engine)'!$K$5:$K$528,0)),""),""))</ns0:f>
        <ns0:v/>
      </ns0:c>
      <ns0:c r="BU32" s="24">
        <ns0:f>IF(OR(12&gt;MAX(3,MIN(15,N($D$18))),IFERROR(LARGE('Calc (scoring engine)'!$K$5:$K$528,12),-999999)&lt;=-900000),"",IF(IFERROR(INDEX('Calc (scoring engine)'!$B$5:$B$528,MATCH(LARGE('Calc (scoring engine)'!$K$5:$K$528,12),'Calc (scoring engine)'!$K$5:$K$528,0)),0)=1,"same subsector","sector only"))</ns0:f>
        <ns0:v/>
      </ns0:c>
      <ns0:c r="BV32" s="57">
        <ns0:f>IF(OR(12&gt;MAX(3,MIN(15,N($D$18))),IFERROR(LARGE('Calc (scoring engine)'!$K$5:$K$528,12),-999999)&lt;=-900000),"",ROUND(IFERROR(LARGE('Calc (scoring engine)'!$K$5:$K$528,12),0),0))</ns0:f>
        <ns0:v/>
      </ns0:c>
      <ns0:c r="BW32" s="24">
        <ns0:f>IF(OR(12&gt;MAX(3,MIN(15,N($D$18))),IFERROR(LARGE('Calc (scoring engine)'!$K$5:$K$528,12),-999999)&lt;=-900000),"",IFERROR("sub "&amp;INDEX('Calc (scoring engine)'!$B$5:$B$528,MATCH(LARGE('Calc (scoring engine)'!$K$5:$K$528,12),'Calc (scoring engine)'!$K$5:$K$528,0))*W_SUB&amp;" + size "&amp;ROUND(INDEX('Calc (scoring engine)'!$D$5:$D$528,MATCH(LARGE('Calc (scoring engine)'!$K$5:$K$528,12),'Calc (scoring engine)'!$K$5:$K$528,0))*W_SIZE,0)&amp;" + prof "&amp;INDEX('Calc (scoring engine)'!$E$5:$E$528,MATCH(LARGE('Calc (scoring engine)'!$K$5:$K$528,12),'Calc (scoring engine)'!$K$5:$K$528,0))*W_PROF&amp;" + recency "&amp;ROUND(INDEX('Calc (scoring engine)'!$G$5:$G$528,MATCH(LARGE('Calc (scoring engine)'!$K$5:$K$528,12),'Calc (scoring engine)'!$K$5:$K$528,0))*W_REC,0)&amp;IF(INDEX('Calc (scoring engine)'!$H$5:$H$528,MATCH(LARGE('Calc (scoring engine)'!$K$5:$K$528,12),'Calc (scoring engine)'!$K$5:$K$528,0))&gt;0," + shared CS x"&amp;INDEX('Calc (scoring engine)'!$H$5:$H$528,MATCH(LARGE('Calc (scoring engine)'!$K$5:$K$528,12),'Calc (scoring engine)'!$K$5:$K$528,0)),""),""))</ns0:f>
        <ns0:v/>
      </ns0:c>
    </ns0:row>
    <ns0:row r="33">
      <ns0:c r="A33" s="52">
        <ns0:f>IF(OR(13&gt;MAX(3,MIN(15,N($D$18))),IFERROR(LARGE('Calc (scoring engine)'!$K$5:$K$528,13),-999999)&lt;=-900000),"",13)</ns0:f>
        <ns0:v/>
      </ns0:c>
      <ns0:c r="B33" s="24">
        <ns0:f>IF(OR(13&gt;MAX(3,MIN(15,N($D$18))),IFERROR(LARGE('Calc (scoring engine)'!$K$5:$K$528,13),-999999)&lt;=-900000),"",IFERROR(IF(INDEX(Database!$B$5:$B$528,MATCH(LARGE('Calc (scoring engine)'!$K$5:$K$528,13),'Calc (scoring engine)'!$K$5:$K$528,0))="","—",INDEX(Database!$B$5:$B$528,MATCH(LARGE('Calc (scoring engine)'!$K$5:$K$528,13),'Calc (scoring engine)'!$K$5:$K$528,0))),""))</ns0:f>
        <ns0:v/>
      </ns0:c>
      <ns0:c r="C33" s="53">
        <ns0:f>IF(OR(13&gt;MAX(3,MIN(15,N($D$18))),IFERROR(LARGE('Calc (scoring engine)'!$K$5:$K$528,13),-999999)&lt;=-900000),"",IFERROR(IF(INDEX(Database!$A$5:$A$528,MATCH(LARGE('Calc (scoring engine)'!$K$5:$K$528,13),'Calc (scoring engine)'!$K$5:$K$528,0))="","—",INDEX(Database!$A$5:$A$528,MATCH(LARGE('Calc (scoring engine)'!$K$5:$K$528,13),'Calc (scoring engine)'!$K$5:$K$528,0))),""))</ns0:f>
        <ns0:v/>
      </ns0:c>
      <ns0:c r="D33" s="24">
        <ns0:f>IF(OR(13&gt;MAX(3,MIN(15,N($D$18))),IFERROR(LARGE('Calc (scoring engine)'!$K$5:$K$528,13),-999999)&lt;=-900000),"",IFERROR(IF(INDEX(Database!$D$5:$D$528,MATCH(LARGE('Calc (scoring engine)'!$K$5:$K$528,13),'Calc (scoring engine)'!$K$5:$K$528,0))="","—",INDEX(Database!$D$5:$D$528,MATCH(LARGE('Calc (scoring engine)'!$K$5:$K$528,13),'Calc (scoring engine)'!$K$5:$K$528,0))),""))</ns0:f>
        <ns0:v/>
      </ns0:c>
      <ns0:c r="E33" s="24">
        <ns0:f>IF(OR(13&gt;MAX(3,MIN(15,N($D$18))),IFERROR(LARGE('Calc (scoring engine)'!$K$5:$K$528,13),-999999)&lt;=-900000),"",IFERROR(IF(INDEX(Database!$E$5:$E$528,MATCH(LARGE('Calc (scoring engine)'!$K$5:$K$528,13),'Calc (scoring engine)'!$K$5:$K$528,0))="","—",INDEX(Database!$E$5:$E$528,MATCH(LARGE('Calc (scoring engine)'!$K$5:$K$528,13),'Calc (scoring engine)'!$K$5:$K$528,0))),""))</ns0:f>
        <ns0:v/>
      </ns0:c>
      <ns0:c r="F33" s="24">
        <ns0:f>IF(OR(13&gt;MAX(3,MIN(15,N($D$18))),IFERROR(LARGE('Calc (scoring engine)'!$K$5:$K$528,13),-999999)&lt;=-900000),"",IFERROR(IF(INDEX(Database!$F$5:$F$528,MATCH(LARGE('Calc (scoring engine)'!$K$5:$K$528,13),'Calc (scoring engine)'!$K$5:$K$528,0))="","—",INDEX(Database!$F$5:$F$528,MATCH(LARGE('Calc (scoring engine)'!$K$5:$K$528,13),'Calc (scoring engine)'!$K$5:$K$528,0))),""))</ns0:f>
        <ns0:v/>
      </ns0:c>
      <ns0:c r="G33" s="24">
        <ns0:f>IF(OR(13&gt;MAX(3,MIN(15,N($D$18))),IFERROR(LARGE('Calc (scoring engine)'!$K$5:$K$528,13),-999999)&lt;=-900000),"",IFERROR(IF(INDEX(Database!$G$5:$G$528,MATCH(LARGE('Calc (scoring engine)'!$K$5:$K$528,13),'Calc (scoring engine)'!$K$5:$K$528,0))="","—",INDEX(Database!$G$5:$G$528,MATCH(LARGE('Calc (scoring engine)'!$K$5:$K$528,13),'Calc (scoring engine)'!$K$5:$K$528,0))),""))</ns0:f>
        <ns0:v/>
      </ns0:c>
      <ns0:c r="H33" s="36">
        <ns0:f>IF(OR(13&gt;MAX(3,MIN(15,N($D$18))),IFERROR(LARGE('Calc (scoring engine)'!$K$5:$K$528,13),-999999)&lt;=-900000),"",IFERROR(IF(INDEX(Database!$H$5:$H$528,MATCH(LARGE('Calc (scoring engine)'!$K$5:$K$528,13),'Calc (scoring engine)'!$K$5:$K$528,0))="","—",INDEX(Database!$H$5:$H$528,MATCH(LARGE('Calc (scoring engine)'!$K$5:$K$528,13),'Calc (scoring engine)'!$K$5:$K$528,0))),""))</ns0:f>
        <ns0:v/>
      </ns0:c>
      <ns0:c r="I33" s="34">
        <ns0:f>IF(OR(13&gt;MAX(3,MIN(15,N($D$18))),IFERROR(LARGE('Calc (scoring engine)'!$K$5:$K$528,13),-999999)&lt;=-900000),"",IFERROR(IF(INDEX(Database!$I$5:$I$528,MATCH(LARGE('Calc (scoring engine)'!$K$5:$K$528,13),'Calc (scoring engine)'!$K$5:$K$528,0))="","—",INDEX(Database!$I$5:$I$528,MATCH(LARGE('Calc (scoring engine)'!$K$5:$K$528,13),'Calc (scoring engine)'!$K$5:$K$528,0))),""))</ns0:f>
        <ns0:v/>
      </ns0:c>
      <ns0:c r="J33" s="54">
        <ns0:f>IF(OR(13&gt;MAX(3,MIN(15,N($D$18))),IFERROR(LARGE('Calc (scoring engine)'!$K$5:$K$528,13),-999999)&lt;=-900000),"",IFERROR(IF(INDEX(Database!$K$5:$K$528,MATCH(LARGE('Calc (scoring engine)'!$K$5:$K$528,13),'Calc (scoring engine)'!$K$5:$K$528,0))="","—",INDEX(Database!$K$5:$K$528,MATCH(LARGE('Calc (scoring engine)'!$K$5:$K$528,13),'Calc (scoring engine)'!$K$5:$K$528,0))),""))</ns0:f>
        <ns0:v/>
      </ns0:c>
      <ns0:c r="K33" s="54">
        <ns0:f>IF(OR(13&gt;MAX(3,MIN(15,N($D$18))),IFERROR(LARGE('Calc (scoring engine)'!$K$5:$K$528,13),-999999)&lt;=-900000),"",IFERROR(IF(INDEX(Database!$L$5:$L$528,MATCH(LARGE('Calc (scoring engine)'!$K$5:$K$528,13),'Calc (scoring engine)'!$K$5:$K$528,0))="","—",INDEX(Database!$L$5:$L$528,MATCH(LARGE('Calc (scoring engine)'!$K$5:$K$528,13),'Calc (scoring engine)'!$K$5:$K$528,0))),""))</ns0:f>
        <ns0:v/>
      </ns0:c>
      <ns0:c r="L33" s="54">
        <ns0:f>IF(OR(13&gt;MAX(3,MIN(15,N($D$18))),IFERROR(LARGE('Calc (scoring engine)'!$K$5:$K$528,13),-999999)&lt;=-900000),"",IFERROR(IF(INDEX(Database!$M$5:$M$528,MATCH(LARGE('Calc (scoring engine)'!$K$5:$K$528,13),'Calc (scoring engine)'!$K$5:$K$528,0))="","—",INDEX(Database!$M$5:$M$528,MATCH(LARGE('Calc (scoring engine)'!$K$5:$K$528,13),'Calc (scoring engine)'!$K$5:$K$528,0))),""))</ns0:f>
        <ns0:v/>
      </ns0:c>
      <ns0:c r="M33" s="24">
        <ns0:f>IF(OR(13&gt;MAX(3,MIN(15,N($D$18))),IFERROR(LARGE('Calc (scoring engine)'!$K$5:$K$528,13),-999999)&lt;=-900000),"",IFERROR(IF(INDEX(Database!$N$5:$N$528,MATCH(LARGE('Calc (scoring engine)'!$K$5:$K$528,13),'Calc (scoring engine)'!$K$5:$K$528,0))="","—",INDEX(Database!$N$5:$N$528,MATCH(LARGE('Calc (scoring engine)'!$K$5:$K$528,13),'Calc (scoring engine)'!$K$5:$K$528,0))),""))</ns0:f>
        <ns0:v/>
      </ns0:c>
      <ns0:c r="N33" s="44">
        <ns0:f>IF(OR(13&gt;MAX(3,MIN(15,N($D$18))),IFERROR(LARGE('Calc (scoring engine)'!$K$5:$K$528,13),-999999)&lt;=-900000),"",IFERROR(IF(INDEX(Database!$O$5:$O$528,MATCH(LARGE('Calc (scoring engine)'!$K$5:$K$528,13),'Calc (scoring engine)'!$K$5:$K$528,0))="","—",INDEX(Database!$O$5:$O$528,MATCH(LARGE('Calc (scoring engine)'!$K$5:$K$528,13),'Calc (scoring engine)'!$K$5:$K$528,0))),""))</ns0:f>
        <ns0:v/>
      </ns0:c>
      <ns0:c r="O33" s="44">
        <ns0:f>IF(OR(13&gt;MAX(3,MIN(15,N($D$18))),IFERROR(LARGE('Calc (scoring engine)'!$K$5:$K$528,13),-999999)&lt;=-900000),"",IFERROR(IF(INDEX(Database!$P$5:$P$528,MATCH(LARGE('Calc (scoring engine)'!$K$5:$K$528,13),'Calc (scoring engine)'!$K$5:$K$528,0))="","—",INDEX(Database!$P$5:$P$528,MATCH(LARGE('Calc (scoring engine)'!$K$5:$K$528,13),'Calc (scoring engine)'!$K$5:$K$528,0))),""))</ns0:f>
        <ns0:v/>
      </ns0:c>
      <ns0:c r="P33" s="34">
        <ns0:f>IF(OR(13&gt;MAX(3,MIN(15,N($D$18))),IFERROR(LARGE('Calc (scoring engine)'!$K$5:$K$528,13),-999999)&lt;=-900000),"",IFERROR(IF(INDEX(Database!$Q$5:$Q$528,MATCH(LARGE('Calc (scoring engine)'!$K$5:$K$528,13),'Calc (scoring engine)'!$K$5:$K$528,0))="","—",INDEX(Database!$Q$5:$Q$528,MATCH(LARGE('Calc (scoring engine)'!$K$5:$K$528,13),'Calc (scoring engine)'!$K$5:$K$528,0))),""))</ns0:f>
        <ns0:v/>
      </ns0:c>
      <ns0:c r="Q33" s="41">
        <ns0:f>IF(OR(13&gt;MAX(3,MIN(15,N($D$18))),IFERROR(LARGE('Calc (scoring engine)'!$K$5:$K$528,13),-999999)&lt;=-900000),"",IFERROR(IF(INDEX(Database!$S$5:$S$528,MATCH(LARGE('Calc (scoring engine)'!$K$5:$K$528,13),'Calc (scoring engine)'!$K$5:$K$528,0))="","—",INDEX(Database!$S$5:$S$528,MATCH(LARGE('Calc (scoring engine)'!$K$5:$K$528,13),'Calc (scoring engine)'!$K$5:$K$528,0))),""))</ns0:f>
        <ns0:v/>
      </ns0:c>
      <ns0:c r="R33" s="55">
        <ns0:f>IF(OR(13&gt;MAX(3,MIN(15,N($D$18))),IFERROR(LARGE('Calc (scoring engine)'!$K$5:$K$528,13),-999999)&lt;=-900000),"",IFERROR(IF(INDEX(Database!$T$5:$T$528,MATCH(LARGE('Calc (scoring engine)'!$K$5:$K$528,13),'Calc (scoring engine)'!$K$5:$K$528,0))="","—",INDEX(Database!$T$5:$T$528,MATCH(LARGE('Calc (scoring engine)'!$K$5:$K$528,13),'Calc (scoring engine)'!$K$5:$K$528,0))),""))</ns0:f>
        <ns0:v/>
      </ns0:c>
      <ns0:c r="S33" s="56">
        <ns0:f>IF(OR(13&gt;MAX(3,MIN(15,N($D$18))),IFERROR(LARGE('Calc (scoring engine)'!$K$5:$K$528,13),-999999)&lt;=-900000),"",IFERROR(IF(INDEX(Database!$U$5:$U$528,MATCH(LARGE('Calc (scoring engine)'!$K$5:$K$528,13),'Calc (scoring engine)'!$K$5:$K$528,0))="","—",INDEX(Database!$U$5:$U$528,MATCH(LARGE('Calc (scoring engine)'!$K$5:$K$528,13),'Calc (scoring engine)'!$K$5:$K$528,0))),""))</ns0:f>
        <ns0:v/>
      </ns0:c>
      <ns0:c r="T33" s="57">
        <ns0:f>IF(OR(13&gt;MAX(3,MIN(15,N($D$18))),IFERROR(LARGE('Calc (scoring engine)'!$K$5:$K$528,13),-999999)&lt;=-900000),"",IFERROR(IF(INDEX(Database!$V$5:$V$528,MATCH(LARGE('Calc (scoring engine)'!$K$5:$K$528,13),'Calc (scoring engine)'!$K$5:$K$528,0))="","—",INDEX(Database!$V$5:$V$528,MATCH(LARGE('Calc (scoring engine)'!$K$5:$K$528,13),'Calc (scoring engine)'!$K$5:$K$528,0))),""))</ns0:f>
        <ns0:v/>
      </ns0:c>
      <ns0:c r="U33" s="44">
        <ns0:f>IF(OR(13&gt;MAX(3,MIN(15,N($D$18))),IFERROR(LARGE('Calc (scoring engine)'!$K$5:$K$528,13),-999999)&lt;=-900000),"",IFERROR(IF(INDEX(Database!$W$5:$W$528,MATCH(LARGE('Calc (scoring engine)'!$K$5:$K$528,13),'Calc (scoring engine)'!$K$5:$K$528,0))="","—",INDEX(Database!$W$5:$W$528,MATCH(LARGE('Calc (scoring engine)'!$K$5:$K$528,13),'Calc (scoring engine)'!$K$5:$K$528,0))),""))</ns0:f>
        <ns0:v/>
      </ns0:c>
      <ns0:c r="V33" s="24">
        <ns0:f>IF(OR(13&gt;MAX(3,MIN(15,N($D$18))),IFERROR(LARGE('Calc (scoring engine)'!$K$5:$K$528,13),-999999)&lt;=-900000),"",IFERROR(IF(INDEX(Database!$X$5:$X$528,MATCH(LARGE('Calc (scoring engine)'!$K$5:$K$528,13),'Calc (scoring engine)'!$K$5:$K$528,0))="","—",INDEX(Database!$X$5:$X$528,MATCH(LARGE('Calc (scoring engine)'!$K$5:$K$528,13),'Calc (scoring engine)'!$K$5:$K$528,0))),""))</ns0:f>
        <ns0:v/>
      </ns0:c>
      <ns0:c r="W33" s="34">
        <ns0:f>IF(OR(13&gt;MAX(3,MIN(15,N($D$18))),IFERROR(LARGE('Calc (scoring engine)'!$K$5:$K$528,13),-999999)&lt;=-900000),"",IFERROR(IF(INDEX(Database!$Y$5:$Y$528,MATCH(LARGE('Calc (scoring engine)'!$K$5:$K$528,13),'Calc (scoring engine)'!$K$5:$K$528,0))="","—",INDEX(Database!$Y$5:$Y$528,MATCH(LARGE('Calc (scoring engine)'!$K$5:$K$528,13),'Calc (scoring engine)'!$K$5:$K$528,0))),""))</ns0:f>
        <ns0:v/>
      </ns0:c>
      <ns0:c r="X33" s="34">
        <ns0:f>IF(OR(13&gt;MAX(3,MIN(15,N($D$18))),IFERROR(LARGE('Calc (scoring engine)'!$K$5:$K$528,13),-999999)&lt;=-900000),"",IFERROR(IF(INDEX(Database!$Z$5:$Z$528,MATCH(LARGE('Calc (scoring engine)'!$K$5:$K$528,13),'Calc (scoring engine)'!$K$5:$K$528,0))="","—",INDEX(Database!$Z$5:$Z$528,MATCH(LARGE('Calc (scoring engine)'!$K$5:$K$528,13),'Calc (scoring engine)'!$K$5:$K$528,0))),""))</ns0:f>
        <ns0:v/>
      </ns0:c>
      <ns0:c r="Y33" s="44">
        <ns0:f>IF(OR(13&gt;MAX(3,MIN(15,N($D$18))),IFERROR(LARGE('Calc (scoring engine)'!$K$5:$K$528,13),-999999)&lt;=-900000),"",IFERROR(IF(INDEX(Database!$AA$5:$AA$528,MATCH(LARGE('Calc (scoring engine)'!$K$5:$K$528,13),'Calc (scoring engine)'!$K$5:$K$528,0))="","—",INDEX(Database!$AA$5:$AA$528,MATCH(LARGE('Calc (scoring engine)'!$K$5:$K$528,13),'Calc (scoring engine)'!$K$5:$K$528,0))),""))</ns0:f>
        <ns0:v/>
      </ns0:c>
      <ns0:c r="Z33" s="24">
        <ns0:f>IF(OR(13&gt;MAX(3,MIN(15,N($D$18))),IFERROR(LARGE('Calc (scoring engine)'!$K$5:$K$528,13),-999999)&lt;=-900000),"",IFERROR(IF(INDEX(Database!$AB$5:$AB$528,MATCH(LARGE('Calc (scoring engine)'!$K$5:$K$528,13),'Calc (scoring engine)'!$K$5:$K$528,0))="","—",INDEX(Database!$AB$5:$AB$528,MATCH(LARGE('Calc (scoring engine)'!$K$5:$K$528,13),'Calc (scoring engine)'!$K$5:$K$528,0))),""))</ns0:f>
        <ns0:v/>
      </ns0:c>
      <ns0:c r="AA33" s="44">
        <ns0:f>IF(OR(13&gt;MAX(3,MIN(15,N($D$18))),IFERROR(LARGE('Calc (scoring engine)'!$K$5:$K$528,13),-999999)&lt;=-900000),"",IFERROR(IF(INDEX(Database!$AD$5:$AD$528,MATCH(LARGE('Calc (scoring engine)'!$K$5:$K$528,13),'Calc (scoring engine)'!$K$5:$K$528,0))="","—",INDEX(Database!$AD$5:$AD$528,MATCH(LARGE('Calc (scoring engine)'!$K$5:$K$528,13),'Calc (scoring engine)'!$K$5:$K$528,0))),""))</ns0:f>
        <ns0:v/>
      </ns0:c>
      <ns0:c r="AB33" s="24">
        <ns0:f>IF(OR(13&gt;MAX(3,MIN(15,N($D$18))),IFERROR(LARGE('Calc (scoring engine)'!$K$5:$K$528,13),-999999)&lt;=-900000),"",IFERROR(IF(INDEX(Database!$AE$5:$AE$528,MATCH(LARGE('Calc (scoring engine)'!$K$5:$K$528,13),'Calc (scoring engine)'!$K$5:$K$528,0))="","—",INDEX(Database!$AE$5:$AE$528,MATCH(LARGE('Calc (scoring engine)'!$K$5:$K$528,13),'Calc (scoring engine)'!$K$5:$K$528,0))),""))</ns0:f>
        <ns0:v/>
      </ns0:c>
      <ns0:c r="AC33" s="24">
        <ns0:f>IF(OR(13&gt;MAX(3,MIN(15,N($D$18))),IFERROR(LARGE('Calc (scoring engine)'!$K$5:$K$528,13),-999999)&lt;=-900000),"",IFERROR(IF(INDEX(Database!$AF$5:$AF$528,MATCH(LARGE('Calc (scoring engine)'!$K$5:$K$528,13),'Calc (scoring engine)'!$K$5:$K$528,0))="","—",INDEX(Database!$AF$5:$AF$528,MATCH(LARGE('Calc (scoring engine)'!$K$5:$K$528,13),'Calc (scoring engine)'!$K$5:$K$528,0))),""))</ns0:f>
        <ns0:v/>
      </ns0:c>
      <ns0:c r="AD33" s="24">
        <ns0:f>IF(OR(13&gt;MAX(3,MIN(15,N($D$18))),IFERROR(LARGE('Calc (scoring engine)'!$K$5:$K$528,13),-999999)&lt;=-900000),"",IFERROR(IF(INDEX(Database!$AG$5:$AG$528,MATCH(LARGE('Calc (scoring engine)'!$K$5:$K$528,13),'Calc (scoring engine)'!$K$5:$K$528,0))="","—",INDEX(Database!$AG$5:$AG$528,MATCH(LARGE('Calc (scoring engine)'!$K$5:$K$528,13),'Calc (scoring engine)'!$K$5:$K$528,0))),""))</ns0:f>
        <ns0:v/>
      </ns0:c>
      <ns0:c r="AE33" s="24">
        <ns0:f>IF(OR(13&gt;MAX(3,MIN(15,N($D$18))),IFERROR(LARGE('Calc (scoring engine)'!$K$5:$K$528,13),-999999)&lt;=-900000),"",IFERROR(IF(INDEX(Database!$AH$5:$AH$528,MATCH(LARGE('Calc (scoring engine)'!$K$5:$K$528,13),'Calc (scoring engine)'!$K$5:$K$528,0))="","—",INDEX(Database!$AH$5:$AH$528,MATCH(LARGE('Calc (scoring engine)'!$K$5:$K$528,13),'Calc (scoring engine)'!$K$5:$K$528,0))),""))</ns0:f>
        <ns0:v/>
      </ns0:c>
      <ns0:c r="AF33" s="38">
        <ns0:f>IF(OR(13&gt;MAX(3,MIN(15,N($D$18))),IFERROR(LARGE('Calc (scoring engine)'!$K$5:$K$528,13),-999999)&lt;=-900000),"",IFERROR(IF(INDEX(Database!$AI$5:$AI$528,MATCH(LARGE('Calc (scoring engine)'!$K$5:$K$528,13),'Calc (scoring engine)'!$K$5:$K$528,0))="","—",INDEX(Database!$AI$5:$AI$528,MATCH(LARGE('Calc (scoring engine)'!$K$5:$K$528,13),'Calc (scoring engine)'!$K$5:$K$528,0))),""))</ns0:f>
        <ns0:v/>
      </ns0:c>
      <ns0:c r="AG33" s="38">
        <ns0:f>IF(OR(13&gt;MAX(3,MIN(15,N($D$18))),IFERROR(LARGE('Calc (scoring engine)'!$K$5:$K$528,13),-999999)&lt;=-900000),"",IFERROR(IF(INDEX(Database!$AJ$5:$AJ$528,MATCH(LARGE('Calc (scoring engine)'!$K$5:$K$528,13),'Calc (scoring engine)'!$K$5:$K$528,0))="","—",INDEX(Database!$AJ$5:$AJ$528,MATCH(LARGE('Calc (scoring engine)'!$K$5:$K$528,13),'Calc (scoring engine)'!$K$5:$K$528,0))),""))</ns0:f>
        <ns0:v/>
      </ns0:c>
      <ns0:c r="AH33" s="38">
        <ns0:f>IF(OR(13&gt;MAX(3,MIN(15,N($D$18))),IFERROR(LARGE('Calc (scoring engine)'!$K$5:$K$528,13),-999999)&lt;=-900000),"",IFERROR(IF(INDEX(Database!$AK$5:$AK$528,MATCH(LARGE('Calc (scoring engine)'!$K$5:$K$528,13),'Calc (scoring engine)'!$K$5:$K$528,0))="","—",INDEX(Database!$AK$5:$AK$528,MATCH(LARGE('Calc (scoring engine)'!$K$5:$K$528,13),'Calc (scoring engine)'!$K$5:$K$528,0))),""))</ns0:f>
        <ns0:v/>
      </ns0:c>
      <ns0:c r="AI33" s="38">
        <ns0:f>IF(OR(13&gt;MAX(3,MIN(15,N($D$18))),IFERROR(LARGE('Calc (scoring engine)'!$K$5:$K$528,13),-999999)&lt;=-900000),"",IFERROR(IF(INDEX(Database!$AL$5:$AL$528,MATCH(LARGE('Calc (scoring engine)'!$K$5:$K$528,13),'Calc (scoring engine)'!$K$5:$K$528,0))="","—",INDEX(Database!$AL$5:$AL$528,MATCH(LARGE('Calc (scoring engine)'!$K$5:$K$528,13),'Calc (scoring engine)'!$K$5:$K$528,0))),""))</ns0:f>
        <ns0:v/>
      </ns0:c>
      <ns0:c r="AJ33" s="38">
        <ns0:f>IF(OR(13&gt;MAX(3,MIN(15,N($D$18))),IFERROR(LARGE('Calc (scoring engine)'!$K$5:$K$528,13),-999999)&lt;=-900000),"",IFERROR(IF(INDEX(Database!$AM$5:$AM$528,MATCH(LARGE('Calc (scoring engine)'!$K$5:$K$528,13),'Calc (scoring engine)'!$K$5:$K$528,0))="","—",INDEX(Database!$AM$5:$AM$528,MATCH(LARGE('Calc (scoring engine)'!$K$5:$K$528,13),'Calc (scoring engine)'!$K$5:$K$528,0))),""))</ns0:f>
        <ns0:v/>
      </ns0:c>
      <ns0:c r="AK33" s="39">
        <ns0:f>IF(OR(13&gt;MAX(3,MIN(15,N($D$18))),IFERROR(LARGE('Calc (scoring engine)'!$K$5:$K$528,13),-999999)&lt;=-900000),"",IFERROR(IF(INDEX(Database!$AN$5:$AN$528,MATCH(LARGE('Calc (scoring engine)'!$K$5:$K$528,13),'Calc (scoring engine)'!$K$5:$K$528,0))="","—",INDEX(Database!$AN$5:$AN$528,MATCH(LARGE('Calc (scoring engine)'!$K$5:$K$528,13),'Calc (scoring engine)'!$K$5:$K$528,0))),""))</ns0:f>
        <ns0:v/>
      </ns0:c>
      <ns0:c r="AL33" s="44">
        <ns0:f>IF(OR(13&gt;MAX(3,MIN(15,N($D$18))),IFERROR(LARGE('Calc (scoring engine)'!$K$5:$K$528,13),-999999)&lt;=-900000),"",IFERROR(IF(INDEX(Database!$AO$5:$AO$528,MATCH(LARGE('Calc (scoring engine)'!$K$5:$K$528,13),'Calc (scoring engine)'!$K$5:$K$528,0))="","—",INDEX(Database!$AO$5:$AO$528,MATCH(LARGE('Calc (scoring engine)'!$K$5:$K$528,13),'Calc (scoring engine)'!$K$5:$K$528,0))),""))</ns0:f>
        <ns0:v/>
      </ns0:c>
      <ns0:c r="AM33" s="38">
        <ns0:f>IF(OR(13&gt;MAX(3,MIN(15,N($D$18))),IFERROR(LARGE('Calc (scoring engine)'!$K$5:$K$528,13),-999999)&lt;=-900000),"",IFERROR(IF(INDEX(Database!$AP$5:$AP$528,MATCH(LARGE('Calc (scoring engine)'!$K$5:$K$528,13),'Calc (scoring engine)'!$K$5:$K$528,0))="","—",INDEX(Database!$AP$5:$AP$528,MATCH(LARGE('Calc (scoring engine)'!$K$5:$K$528,13),'Calc (scoring engine)'!$K$5:$K$528,0))),""))</ns0:f>
        <ns0:v/>
      </ns0:c>
      <ns0:c r="AN33" s="38">
        <ns0:f>IF(OR(13&gt;MAX(3,MIN(15,N($D$18))),IFERROR(LARGE('Calc (scoring engine)'!$K$5:$K$528,13),-999999)&lt;=-900000),"",IFERROR(IF(INDEX(Database!$AQ$5:$AQ$528,MATCH(LARGE('Calc (scoring engine)'!$K$5:$K$528,13),'Calc (scoring engine)'!$K$5:$K$528,0))="","—",INDEX(Database!$AQ$5:$AQ$528,MATCH(LARGE('Calc (scoring engine)'!$K$5:$K$528,13),'Calc (scoring engine)'!$K$5:$K$528,0))),""))</ns0:f>
        <ns0:v/>
      </ns0:c>
      <ns0:c r="AO33" s="38">
        <ns0:f>IF(OR(13&gt;MAX(3,MIN(15,N($D$18))),IFERROR(LARGE('Calc (scoring engine)'!$K$5:$K$528,13),-999999)&lt;=-900000),"",IFERROR(IF(INDEX(Database!$AR$5:$AR$528,MATCH(LARGE('Calc (scoring engine)'!$K$5:$K$528,13),'Calc (scoring engine)'!$K$5:$K$528,0))="","—",INDEX(Database!$AR$5:$AR$528,MATCH(LARGE('Calc (scoring engine)'!$K$5:$K$528,13),'Calc (scoring engine)'!$K$5:$K$528,0))),""))</ns0:f>
        <ns0:v/>
      </ns0:c>
      <ns0:c r="AP33" s="38">
        <ns0:f>IF(OR(13&gt;MAX(3,MIN(15,N($D$18))),IFERROR(LARGE('Calc (scoring engine)'!$K$5:$K$528,13),-999999)&lt;=-900000),"",IFERROR(IF(INDEX(Database!$AS$5:$AS$528,MATCH(LARGE('Calc (scoring engine)'!$K$5:$K$528,13),'Calc (scoring engine)'!$K$5:$K$528,0))="","—",INDEX(Database!$AS$5:$AS$528,MATCH(LARGE('Calc (scoring engine)'!$K$5:$K$528,13),'Calc (scoring engine)'!$K$5:$K$528,0))),""))</ns0:f>
        <ns0:v/>
      </ns0:c>
      <ns0:c r="AQ33" s="38">
        <ns0:f>IF(OR(13&gt;MAX(3,MIN(15,N($D$18))),IFERROR(LARGE('Calc (scoring engine)'!$K$5:$K$528,13),-999999)&lt;=-900000),"",IFERROR(IF(INDEX(Database!$AT$5:$AT$528,MATCH(LARGE('Calc (scoring engine)'!$K$5:$K$528,13),'Calc (scoring engine)'!$K$5:$K$528,0))="","—",INDEX(Database!$AT$5:$AT$528,MATCH(LARGE('Calc (scoring engine)'!$K$5:$K$528,13),'Calc (scoring engine)'!$K$5:$K$528,0))),""))</ns0:f>
        <ns0:v/>
      </ns0:c>
      <ns0:c r="AR33" s="38">
        <ns0:f>IF(OR(13&gt;MAX(3,MIN(15,N($D$18))),IFERROR(LARGE('Calc (scoring engine)'!$K$5:$K$528,13),-999999)&lt;=-900000),"",IFERROR(IF(INDEX(Database!$AU$5:$AU$528,MATCH(LARGE('Calc (scoring engine)'!$K$5:$K$528,13),'Calc (scoring engine)'!$K$5:$K$528,0))="","—",INDEX(Database!$AU$5:$AU$528,MATCH(LARGE('Calc (scoring engine)'!$K$5:$K$528,13),'Calc (scoring engine)'!$K$5:$K$528,0))),""))</ns0:f>
        <ns0:v/>
      </ns0:c>
      <ns0:c r="AS33" s="38">
        <ns0:f>IF(OR(13&gt;MAX(3,MIN(15,N($D$18))),IFERROR(LARGE('Calc (scoring engine)'!$K$5:$K$528,13),-999999)&lt;=-900000),"",IFERROR(IF(INDEX(Database!$AV$5:$AV$528,MATCH(LARGE('Calc (scoring engine)'!$K$5:$K$528,13),'Calc (scoring engine)'!$K$5:$K$528,0))="","—",INDEX(Database!$AV$5:$AV$528,MATCH(LARGE('Calc (scoring engine)'!$K$5:$K$528,13),'Calc (scoring engine)'!$K$5:$K$528,0))),""))</ns0:f>
        <ns0:v/>
      </ns0:c>
      <ns0:c r="AT33" s="38">
        <ns0:f>IF(OR(13&gt;MAX(3,MIN(15,N($D$18))),IFERROR(LARGE('Calc (scoring engine)'!$K$5:$K$528,13),-999999)&lt;=-900000),"",IFERROR(IF(INDEX(Database!$AW$5:$AW$528,MATCH(LARGE('Calc (scoring engine)'!$K$5:$K$528,13),'Calc (scoring engine)'!$K$5:$K$528,0))="","—",INDEX(Database!$AW$5:$AW$528,MATCH(LARGE('Calc (scoring engine)'!$K$5:$K$528,13),'Calc (scoring engine)'!$K$5:$K$528,0))),""))</ns0:f>
        <ns0:v/>
      </ns0:c>
      <ns0:c r="AU33" s="38">
        <ns0:f>IF(OR(13&gt;MAX(3,MIN(15,N($D$18))),IFERROR(LARGE('Calc (scoring engine)'!$K$5:$K$528,13),-999999)&lt;=-900000),"",IFERROR(IF(INDEX(Database!$AX$5:$AX$528,MATCH(LARGE('Calc (scoring engine)'!$K$5:$K$528,13),'Calc (scoring engine)'!$K$5:$K$528,0))="","—",INDEX(Database!$AX$5:$AX$528,MATCH(LARGE('Calc (scoring engine)'!$K$5:$K$528,13),'Calc (scoring engine)'!$K$5:$K$528,0))),""))</ns0:f>
        <ns0:v/>
      </ns0:c>
      <ns0:c r="AV33" s="38">
        <ns0:f>IF(OR(13&gt;MAX(3,MIN(15,N($D$18))),IFERROR(LARGE('Calc (scoring engine)'!$K$5:$K$528,13),-999999)&lt;=-900000),"",IFERROR(IF(INDEX(Database!$AY$5:$AY$528,MATCH(LARGE('Calc (scoring engine)'!$K$5:$K$528,13),'Calc (scoring engine)'!$K$5:$K$528,0))="","—",INDEX(Database!$AY$5:$AY$528,MATCH(LARGE('Calc (scoring engine)'!$K$5:$K$528,13),'Calc (scoring engine)'!$K$5:$K$528,0))),""))</ns0:f>
        <ns0:v/>
      </ns0:c>
      <ns0:c r="AW33" s="38">
        <ns0:f>IF(OR(13&gt;MAX(3,MIN(15,N($D$18))),IFERROR(LARGE('Calc (scoring engine)'!$K$5:$K$528,13),-999999)&lt;=-900000),"",IFERROR(IF(INDEX(Database!$AZ$5:$AZ$528,MATCH(LARGE('Calc (scoring engine)'!$K$5:$K$528,13),'Calc (scoring engine)'!$K$5:$K$528,0))="","—",INDEX(Database!$AZ$5:$AZ$528,MATCH(LARGE('Calc (scoring engine)'!$K$5:$K$528,13),'Calc (scoring engine)'!$K$5:$K$528,0))),""))</ns0:f>
        <ns0:v/>
      </ns0:c>
      <ns0:c r="AX33" s="38">
        <ns0:f>IF(OR(13&gt;MAX(3,MIN(15,N($D$18))),IFERROR(LARGE('Calc (scoring engine)'!$K$5:$K$528,13),-999999)&lt;=-900000),"",IFERROR(IF(INDEX(Database!$BA$5:$BA$528,MATCH(LARGE('Calc (scoring engine)'!$K$5:$K$528,13),'Calc (scoring engine)'!$K$5:$K$528,0))="","—",INDEX(Database!$BA$5:$BA$528,MATCH(LARGE('Calc (scoring engine)'!$K$5:$K$528,13),'Calc (scoring engine)'!$K$5:$K$528,0))),""))</ns0:f>
        <ns0:v/>
      </ns0:c>
      <ns0:c r="AY33" s="38">
        <ns0:f>IF(OR(13&gt;MAX(3,MIN(15,N($D$18))),IFERROR(LARGE('Calc (scoring engine)'!$K$5:$K$528,13),-999999)&lt;=-900000),"",IFERROR(IF(INDEX(Database!$BC$5:$BC$528,MATCH(LARGE('Calc (scoring engine)'!$K$5:$K$528,13),'Calc (scoring engine)'!$K$5:$K$528,0))="","—",INDEX(Database!$BC$5:$BC$528,MATCH(LARGE('Calc (scoring engine)'!$K$5:$K$528,13),'Calc (scoring engine)'!$K$5:$K$528,0))),""))</ns0:f>
        <ns0:v/>
      </ns0:c>
      <ns0:c r="AZ33" s="34">
        <ns0:f>IF(OR(13&gt;MAX(3,MIN(15,N($D$18))),IFERROR(LARGE('Calc (scoring engine)'!$K$5:$K$528,13),-999999)&lt;=-900000),"",IFERROR(IF(INDEX(Database!$BE$5:$BE$528,MATCH(LARGE('Calc (scoring engine)'!$K$5:$K$528,13),'Calc (scoring engine)'!$K$5:$K$528,0))="","—",INDEX(Database!$BE$5:$BE$528,MATCH(LARGE('Calc (scoring engine)'!$K$5:$K$528,13),'Calc (scoring engine)'!$K$5:$K$528,0))),""))</ns0:f>
        <ns0:v/>
      </ns0:c>
      <ns0:c r="BA33" s="34">
        <ns0:f>IF(OR(13&gt;MAX(3,MIN(15,N($D$18))),IFERROR(LARGE('Calc (scoring engine)'!$K$5:$K$528,13),-999999)&lt;=-900000),"",IFERROR(IF(INDEX(Database!$BF$5:$BF$528,MATCH(LARGE('Calc (scoring engine)'!$K$5:$K$528,13),'Calc (scoring engine)'!$K$5:$K$528,0))="","—",INDEX(Database!$BF$5:$BF$528,MATCH(LARGE('Calc (scoring engine)'!$K$5:$K$528,13),'Calc (scoring engine)'!$K$5:$K$528,0))),""))</ns0:f>
        <ns0:v/>
      </ns0:c>
      <ns0:c r="BB33" s="24">
        <ns0:f>IF(OR(13&gt;MAX(3,MIN(15,N($D$18))),IFERROR(LARGE('Calc (scoring engine)'!$K$5:$K$528,13),-999999)&lt;=-900000),"",IFERROR(IF(INDEX(Database!$BG$5:$BG$528,MATCH(LARGE('Calc (scoring engine)'!$K$5:$K$528,13),'Calc (scoring engine)'!$K$5:$K$528,0))="","—",INDEX(Database!$BG$5:$BG$528,MATCH(LARGE('Calc (scoring engine)'!$K$5:$K$528,13),'Calc (scoring engine)'!$K$5:$K$528,0))),""))</ns0:f>
        <ns0:v/>
      </ns0:c>
      <ns0:c r="BC33" s="39">
        <ns0:f>IF(OR(13&gt;MAX(3,MIN(15,N($D$18))),IFERROR(LARGE('Calc (scoring engine)'!$K$5:$K$528,13),-999999)&lt;=-900000),"",IFERROR(IF(N(INDEX(Database!$BH$5:$BH$528,MATCH(LARGE('Calc (scoring engine)'!$K$5:$K$528,13),'Calc (scoring engine)'!$K$5:$K$528,0)))&lt;=0,IF(INDEX(Database!$BG$5:$BG$528,MATCH(LARGE('Calc (scoring engine)'!$K$5:$K$528,13),'Calc (scoring engine)'!$K$5:$K$528,0))="N","n/m","—"),INDEX(Database!$BH$5:$BH$528,MATCH(LARGE('Calc (scoring engine)'!$K$5:$K$528,13),'Calc (scoring engine)'!$K$5:$K$528,0))),""))</ns0:f>
        <ns0:v/>
      </ns0:c>
      <ns0:c r="BD33" s="39">
        <ns0:f>IF(OR(13&gt;MAX(3,MIN(15,N($D$18))),IFERROR(LARGE('Calc (scoring engine)'!$K$5:$K$528,13),-999999)&lt;=-900000),"",IFERROR(IF(INDEX(Database!$BI$5:$BI$528,MATCH(LARGE('Calc (scoring engine)'!$K$5:$K$528,13),'Calc (scoring engine)'!$K$5:$K$528,0))="","—",INDEX(Database!$BI$5:$BI$528,MATCH(LARGE('Calc (scoring engine)'!$K$5:$K$528,13),'Calc (scoring engine)'!$K$5:$K$528,0))),""))</ns0:f>
        <ns0:v/>
      </ns0:c>
      <ns0:c r="BE33" s="39">
        <ns0:f>IF(OR(13&gt;MAX(3,MIN(15,N($D$18))),IFERROR(LARGE('Calc (scoring engine)'!$K$5:$K$528,13),-999999)&lt;=-900000),"",IFERROR(IF(INDEX(Database!$BJ$5:$BJ$528,MATCH(LARGE('Calc (scoring engine)'!$K$5:$K$528,13),'Calc (scoring engine)'!$K$5:$K$528,0))="","—",INDEX(Database!$BJ$5:$BJ$528,MATCH(LARGE('Calc (scoring engine)'!$K$5:$K$528,13),'Calc (scoring engine)'!$K$5:$K$528,0))),""))</ns0:f>
        <ns0:v/>
      </ns0:c>
      <ns0:c r="BF33" s="39">
        <ns0:f>IF(OR(13&gt;MAX(3,MIN(15,N($D$18))),IFERROR(LARGE('Calc (scoring engine)'!$K$5:$K$528,13),-999999)&lt;=-900000),"",IFERROR(IF(INDEX(Database!$BK$5:$BK$528,MATCH(LARGE('Calc (scoring engine)'!$K$5:$K$528,13),'Calc (scoring engine)'!$K$5:$K$528,0))="","—",INDEX(Database!$BK$5:$BK$528,MATCH(LARGE('Calc (scoring engine)'!$K$5:$K$528,13),'Calc (scoring engine)'!$K$5:$K$528,0))),""))</ns0:f>
        <ns0:v/>
      </ns0:c>
      <ns0:c r="BG33" s="39">
        <ns0:f>IF(OR(13&gt;MAX(3,MIN(15,N($D$18))),IFERROR(LARGE('Calc (scoring engine)'!$K$5:$K$528,13),-999999)&lt;=-900000),"",IFERROR(IF(INDEX(Database!$BL$5:$BL$528,MATCH(LARGE('Calc (scoring engine)'!$K$5:$K$528,13),'Calc (scoring engine)'!$K$5:$K$528,0))="","—",INDEX(Database!$BL$5:$BL$528,MATCH(LARGE('Calc (scoring engine)'!$K$5:$K$528,13),'Calc (scoring engine)'!$K$5:$K$528,0))),""))</ns0:f>
        <ns0:v/>
      </ns0:c>
      <ns0:c r="BH33" s="39">
        <ns0:f>IF(OR(13&gt;MAX(3,MIN(15,N($D$18))),IFERROR(LARGE('Calc (scoring engine)'!$K$5:$K$528,13),-999999)&lt;=-900000),"",IFERROR(IFERROR(BDP(TEXT(INDEX(Database!$A$5:$A$528,MATCH(LARGE('Calc (scoring engine)'!$K$5:$K$528,13),'Calc (scoring engine)'!$K$5:$K$528,0)),"0")&amp;" HK Equity","PE_RATIO"),IF(INDEX(Database!$BJ$5:$BJ$528,MATCH(LARGE('Calc (scoring engine)'!$K$5:$K$528,13),'Calc (scoring engine)'!$K$5:$K$528,0))="","—",INDEX(Database!$BJ$5:$BJ$528,MATCH(LARGE('Calc (scoring engine)'!$K$5:$K$528,13),'Calc (scoring engine)'!$K$5:$K$528,0)))),""))</ns0:f>
        <ns0:v/>
      </ns0:c>
      <ns0:c r="BI33" s="39">
        <ns0:f>IF(OR(13&gt;MAX(3,MIN(15,N($D$18))),IFERROR(LARGE('Calc (scoring engine)'!$K$5:$K$528,13),-999999)&lt;=-900000),"",IFERROR(IFERROR(BDP(TEXT(INDEX(Database!$A$5:$A$528,MATCH(LARGE('Calc (scoring engine)'!$K$5:$K$528,13),'Calc (scoring engine)'!$K$5:$K$528,0)),"0")&amp;" HK Equity","PX_TO_SALES_RATIO"),IF(INDEX(Database!$BK$5:$BK$528,MATCH(LARGE('Calc (scoring engine)'!$K$5:$K$528,13),'Calc (scoring engine)'!$K$5:$K$528,0))="","—",INDEX(Database!$BK$5:$BK$528,MATCH(LARGE('Calc (scoring engine)'!$K$5:$K$528,13),'Calc (scoring engine)'!$K$5:$K$528,0)))),""))</ns0:f>
        <ns0:v/>
      </ns0:c>
      <ns0:c r="BJ33" s="24">
        <ns0:f>IF(OR(13&gt;MAX(3,MIN(15,N($D$18))),IFERROR(LARGE('Calc (scoring engine)'!$K$5:$K$528,13),-999999)&lt;=-900000),"",IFERROR(IF(INDEX(Database!$BM$5:$BM$528,MATCH(LARGE('Calc (scoring engine)'!$K$5:$K$528,13),'Calc (scoring engine)'!$K$5:$K$528,0))="","—",INDEX(Database!$BM$5:$BM$528,MATCH(LARGE('Calc (scoring engine)'!$K$5:$K$528,13),'Calc (scoring engine)'!$K$5:$K$528,0))),""))</ns0:f>
        <ns0:v/>
      </ns0:c>
      <ns0:c r="BK33" s="24">
        <ns0:f>IF(OR(13&gt;MAX(3,MIN(15,N($D$18))),IFERROR(LARGE('Calc (scoring engine)'!$K$5:$K$528,13),-999999)&lt;=-900000),"",IFERROR(IF(INDEX(Database!$BN$5:$BN$528,MATCH(LARGE('Calc (scoring engine)'!$K$5:$K$528,13),'Calc (scoring engine)'!$K$5:$K$528,0))="","—",INDEX(Database!$BN$5:$BN$528,MATCH(LARGE('Calc (scoring engine)'!$K$5:$K$528,13),'Calc (scoring engine)'!$K$5:$K$528,0))),""))</ns0:f>
        <ns0:v/>
      </ns0:c>
      <ns0:c r="BL33" s="38">
        <ns0:f>IF(OR(13&gt;MAX(3,MIN(15,N($D$18))),IFERROR(LARGE('Calc (scoring engine)'!$K$5:$K$528,13),-999999)&lt;=-900000),"",IFERROR(IF(INDEX(Database!$BO$5:$BO$528,MATCH(LARGE('Calc (scoring engine)'!$K$5:$K$528,13),'Calc (scoring engine)'!$K$5:$K$528,0))="","—",INDEX(Database!$BO$5:$BO$528,MATCH(LARGE('Calc (scoring engine)'!$K$5:$K$528,13),'Calc (scoring engine)'!$K$5:$K$528,0))),""))</ns0:f>
        <ns0:v/>
      </ns0:c>
      <ns0:c r="BM33" s="54">
        <ns0:f>IF(OR(13&gt;MAX(3,MIN(15,N($D$18))),IFERROR(LARGE('Calc (scoring engine)'!$K$5:$K$528,13),-999999)&lt;=-900000),"",IFERROR(IF(INDEX(Database!$BP$5:$BP$528,MATCH(LARGE('Calc (scoring engine)'!$K$5:$K$528,13),'Calc (scoring engine)'!$K$5:$K$528,0))="","—",INDEX(Database!$BP$5:$BP$528,MATCH(LARGE('Calc (scoring engine)'!$K$5:$K$528,13),'Calc (scoring engine)'!$K$5:$K$528,0))),""))</ns0:f>
        <ns0:v/>
      </ns0:c>
      <ns0:c r="BN33" s="58">
        <ns0:f>IF(OR(13&gt;MAX(3,MIN(15,N($D$18))),IFERROR(LARGE('Calc (scoring engine)'!$K$5:$K$528,13),-999999)&lt;=-900000),"",IFERROR(IF(INDEX(Database!$BQ$5:$BQ$528,MATCH(LARGE('Calc (scoring engine)'!$K$5:$K$528,13),'Calc (scoring engine)'!$K$5:$K$528,0))="","—",INDEX(Database!$BQ$5:$BQ$528,MATCH(LARGE('Calc (scoring engine)'!$K$5:$K$528,13),'Calc (scoring engine)'!$K$5:$K$528,0))),""))</ns0:f>
        <ns0:v/>
      </ns0:c>
      <ns0:c r="BO33" s="34">
        <ns0:f>IF(OR(13&gt;MAX(3,MIN(15,N($D$18))),IFERROR(LARGE('Calc (scoring engine)'!$K$5:$K$528,13),-999999)&lt;=-900000),"",IFERROR(IF(INDEX(Database!$BR$5:$BR$528,MATCH(LARGE('Calc (scoring engine)'!$K$5:$K$528,13),'Calc (scoring engine)'!$K$5:$K$528,0))="","—",INDEX(Database!$BR$5:$BR$528,MATCH(LARGE('Calc (scoring engine)'!$K$5:$K$528,13),'Calc (scoring engine)'!$K$5:$K$528,0))),""))</ns0:f>
        <ns0:v/>
      </ns0:c>
      <ns0:c r="BP33" s="39">
        <ns0:f>IF(OR(13&gt;MAX(3,MIN(15,N($D$18))),IFERROR(LARGE('Calc (scoring engine)'!$K$5:$K$528,13),-999999)&lt;=-900000),"",IFERROR(IF(INDEX(Database!$BS$5:$BS$528,MATCH(LARGE('Calc (scoring engine)'!$K$5:$K$528,13),'Calc (scoring engine)'!$K$5:$K$528,0))="","—",INDEX(Database!$BS$5:$BS$528,MATCH(LARGE('Calc (scoring engine)'!$K$5:$K$528,13),'Calc (scoring engine)'!$K$5:$K$528,0))),""))</ns0:f>
        <ns0:v/>
      </ns0:c>
      <ns0:c r="BQ33" s="39">
        <ns0:f>IF(OR(13&gt;MAX(3,MIN(15,N($D$18))),IFERROR(LARGE('Calc (scoring engine)'!$K$5:$K$528,13),-999999)&lt;=-900000),"",IFERROR(IF(INDEX(Database!$BT$5:$BT$528,MATCH(LARGE('Calc (scoring engine)'!$K$5:$K$528,13),'Calc (scoring engine)'!$K$5:$K$528,0))="","—",INDEX(Database!$BT$5:$BT$528,MATCH(LARGE('Calc (scoring engine)'!$K$5:$K$528,13),'Calc (scoring engine)'!$K$5:$K$528,0))),""))</ns0:f>
        <ns0:v/>
      </ns0:c>
      <ns0:c r="BR33" s="24">
        <ns0:f>IF(OR(13&gt;MAX(3,MIN(15,N($D$18))),IFERROR(LARGE('Calc (scoring engine)'!$K$5:$K$528,13),-999999)&lt;=-900000),"",IFERROR(IF(INDEX(Database!$BU$5:$BU$528,MATCH(LARGE('Calc (scoring engine)'!$K$5:$K$528,13),'Calc (scoring engine)'!$K$5:$K$528,0))="","—",INDEX(Database!$BU$5:$BU$528,MATCH(LARGE('Calc (scoring engine)'!$K$5:$K$528,13),'Calc (scoring engine)'!$K$5:$K$528,0))),""))</ns0:f>
        <ns0:v/>
      </ns0:c>
      <ns0:c r="BS33" s="24">
        <ns0:f>IF(OR(13&gt;MAX(3,MIN(15,N($D$18))),IFERROR(LARGE('Calc (scoring engine)'!$K$5:$K$528,13),-999999)&lt;=-900000),"",IFERROR(IF(INDEX(Database!$BW$5:$BW$528,MATCH(LARGE('Calc (scoring engine)'!$K$5:$K$528,13),'Calc (scoring engine)'!$K$5:$K$528,0))="","—",INDEX(Database!$BW$5:$BW$528,MATCH(LARGE('Calc (scoring engine)'!$K$5:$K$528,13),'Calc (scoring engine)'!$K$5:$K$528,0))),""))</ns0:f>
        <ns0:v/>
      </ns0:c>
      <ns0:c r="BT33" s="57">
        <ns0:f>IF(OR(13&gt;MAX(3,MIN(15,N($D$18))),IFERROR(LARGE('Calc (scoring engine)'!$K$5:$K$528,13),-999999)&lt;=-900000),"",IFERROR(IF(INDEX('Calc (scoring engine)'!$H$5:$H$528,MATCH(LARGE('Calc (scoring engine)'!$K$5:$K$528,13),'Calc (scoring engine)'!$K$5:$K$528,0))&gt;0,INDEX('Calc (scoring engine)'!$H$5:$H$528,MATCH(LARGE('Calc (scoring engine)'!$K$5:$K$528,13),'Calc (scoring engine)'!$K$5:$K$528,0)),""),""))</ns0:f>
        <ns0:v/>
      </ns0:c>
      <ns0:c r="BU33" s="24">
        <ns0:f>IF(OR(13&gt;MAX(3,MIN(15,N($D$18))),IFERROR(LARGE('Calc (scoring engine)'!$K$5:$K$528,13),-999999)&lt;=-900000),"",IF(IFERROR(INDEX('Calc (scoring engine)'!$B$5:$B$528,MATCH(LARGE('Calc (scoring engine)'!$K$5:$K$528,13),'Calc (scoring engine)'!$K$5:$K$528,0)),0)=1,"same subsector","sector only"))</ns0:f>
        <ns0:v/>
      </ns0:c>
      <ns0:c r="BV33" s="57">
        <ns0:f>IF(OR(13&gt;MAX(3,MIN(15,N($D$18))),IFERROR(LARGE('Calc (scoring engine)'!$K$5:$K$528,13),-999999)&lt;=-900000),"",ROUND(IFERROR(LARGE('Calc (scoring engine)'!$K$5:$K$528,13),0),0))</ns0:f>
        <ns0:v/>
      </ns0:c>
      <ns0:c r="BW33" s="24">
        <ns0:f>IF(OR(13&gt;MAX(3,MIN(15,N($D$18))),IFERROR(LARGE('Calc (scoring engine)'!$K$5:$K$528,13),-999999)&lt;=-900000),"",IFERROR("sub "&amp;INDEX('Calc (scoring engine)'!$B$5:$B$528,MATCH(LARGE('Calc (scoring engine)'!$K$5:$K$528,13),'Calc (scoring engine)'!$K$5:$K$528,0))*W_SUB&amp;" + size "&amp;ROUND(INDEX('Calc (scoring engine)'!$D$5:$D$528,MATCH(LARGE('Calc (scoring engine)'!$K$5:$K$528,13),'Calc (scoring engine)'!$K$5:$K$528,0))*W_SIZE,0)&amp;" + prof "&amp;INDEX('Calc (scoring engine)'!$E$5:$E$528,MATCH(LARGE('Calc (scoring engine)'!$K$5:$K$528,13),'Calc (scoring engine)'!$K$5:$K$528,0))*W_PROF&amp;" + recency "&amp;ROUND(INDEX('Calc (scoring engine)'!$G$5:$G$528,MATCH(LARGE('Calc (scoring engine)'!$K$5:$K$528,13),'Calc (scoring engine)'!$K$5:$K$528,0))*W_REC,0)&amp;IF(INDEX('Calc (scoring engine)'!$H$5:$H$528,MATCH(LARGE('Calc (scoring engine)'!$K$5:$K$528,13),'Calc (scoring engine)'!$K$5:$K$528,0))&gt;0," + shared CS x"&amp;INDEX('Calc (scoring engine)'!$H$5:$H$528,MATCH(LARGE('Calc (scoring engine)'!$K$5:$K$528,13),'Calc (scoring engine)'!$K$5:$K$528,0)),""),""))</ns0:f>
        <ns0:v/>
      </ns0:c>
    </ns0:row>
    <ns0:row r="34">
      <ns0:c r="A34" s="52">
        <ns0:f>IF(OR(14&gt;MAX(3,MIN(15,N($D$18))),IFERROR(LARGE('Calc (scoring engine)'!$K$5:$K$528,14),-999999)&lt;=-900000),"",14)</ns0:f>
        <ns0:v/>
      </ns0:c>
      <ns0:c r="B34" s="24">
        <ns0:f>IF(OR(14&gt;MAX(3,MIN(15,N($D$18))),IFERROR(LARGE('Calc (scoring engine)'!$K$5:$K$528,14),-999999)&lt;=-900000),"",IFERROR(IF(INDEX(Database!$B$5:$B$528,MATCH(LARGE('Calc (scoring engine)'!$K$5:$K$528,14),'Calc (scoring engine)'!$K$5:$K$528,0))="","—",INDEX(Database!$B$5:$B$528,MATCH(LARGE('Calc (scoring engine)'!$K$5:$K$528,14),'Calc (scoring engine)'!$K$5:$K$528,0))),""))</ns0:f>
        <ns0:v/>
      </ns0:c>
      <ns0:c r="C34" s="53">
        <ns0:f>IF(OR(14&gt;MAX(3,MIN(15,N($D$18))),IFERROR(LARGE('Calc (scoring engine)'!$K$5:$K$528,14),-999999)&lt;=-900000),"",IFERROR(IF(INDEX(Database!$A$5:$A$528,MATCH(LARGE('Calc (scoring engine)'!$K$5:$K$528,14),'Calc (scoring engine)'!$K$5:$K$528,0))="","—",INDEX(Database!$A$5:$A$528,MATCH(LARGE('Calc (scoring engine)'!$K$5:$K$528,14),'Calc (scoring engine)'!$K$5:$K$528,0))),""))</ns0:f>
        <ns0:v/>
      </ns0:c>
      <ns0:c r="D34" s="24">
        <ns0:f>IF(OR(14&gt;MAX(3,MIN(15,N($D$18))),IFERROR(LARGE('Calc (scoring engine)'!$K$5:$K$528,14),-999999)&lt;=-900000),"",IFERROR(IF(INDEX(Database!$D$5:$D$528,MATCH(LARGE('Calc (scoring engine)'!$K$5:$K$528,14),'Calc (scoring engine)'!$K$5:$K$528,0))="","—",INDEX(Database!$D$5:$D$528,MATCH(LARGE('Calc (scoring engine)'!$K$5:$K$528,14),'Calc (scoring engine)'!$K$5:$K$528,0))),""))</ns0:f>
        <ns0:v/>
      </ns0:c>
      <ns0:c r="E34" s="24">
        <ns0:f>IF(OR(14&gt;MAX(3,MIN(15,N($D$18))),IFERROR(LARGE('Calc (scoring engine)'!$K$5:$K$528,14),-999999)&lt;=-900000),"",IFERROR(IF(INDEX(Database!$E$5:$E$528,MATCH(LARGE('Calc (scoring engine)'!$K$5:$K$528,14),'Calc (scoring engine)'!$K$5:$K$528,0))="","—",INDEX(Database!$E$5:$E$528,MATCH(LARGE('Calc (scoring engine)'!$K$5:$K$528,14),'Calc (scoring engine)'!$K$5:$K$528,0))),""))</ns0:f>
        <ns0:v/>
      </ns0:c>
      <ns0:c r="F34" s="24">
        <ns0:f>IF(OR(14&gt;MAX(3,MIN(15,N($D$18))),IFERROR(LARGE('Calc (scoring engine)'!$K$5:$K$528,14),-999999)&lt;=-900000),"",IFERROR(IF(INDEX(Database!$F$5:$F$528,MATCH(LARGE('Calc (scoring engine)'!$K$5:$K$528,14),'Calc (scoring engine)'!$K$5:$K$528,0))="","—",INDEX(Database!$F$5:$F$528,MATCH(LARGE('Calc (scoring engine)'!$K$5:$K$528,14),'Calc (scoring engine)'!$K$5:$K$528,0))),""))</ns0:f>
        <ns0:v/>
      </ns0:c>
      <ns0:c r="G34" s="24">
        <ns0:f>IF(OR(14&gt;MAX(3,MIN(15,N($D$18))),IFERROR(LARGE('Calc (scoring engine)'!$K$5:$K$528,14),-999999)&lt;=-900000),"",IFERROR(IF(INDEX(Database!$G$5:$G$528,MATCH(LARGE('Calc (scoring engine)'!$K$5:$K$528,14),'Calc (scoring engine)'!$K$5:$K$528,0))="","—",INDEX(Database!$G$5:$G$528,MATCH(LARGE('Calc (scoring engine)'!$K$5:$K$528,14),'Calc (scoring engine)'!$K$5:$K$528,0))),""))</ns0:f>
        <ns0:v/>
      </ns0:c>
      <ns0:c r="H34" s="36">
        <ns0:f>IF(OR(14&gt;MAX(3,MIN(15,N($D$18))),IFERROR(LARGE('Calc (scoring engine)'!$K$5:$K$528,14),-999999)&lt;=-900000),"",IFERROR(IF(INDEX(Database!$H$5:$H$528,MATCH(LARGE('Calc (scoring engine)'!$K$5:$K$528,14),'Calc (scoring engine)'!$K$5:$K$528,0))="","—",INDEX(Database!$H$5:$H$528,MATCH(LARGE('Calc (scoring engine)'!$K$5:$K$528,14),'Calc (scoring engine)'!$K$5:$K$528,0))),""))</ns0:f>
        <ns0:v/>
      </ns0:c>
      <ns0:c r="I34" s="34">
        <ns0:f>IF(OR(14&gt;MAX(3,MIN(15,N($D$18))),IFERROR(LARGE('Calc (scoring engine)'!$K$5:$K$528,14),-999999)&lt;=-900000),"",IFERROR(IF(INDEX(Database!$I$5:$I$528,MATCH(LARGE('Calc (scoring engine)'!$K$5:$K$528,14),'Calc (scoring engine)'!$K$5:$K$528,0))="","—",INDEX(Database!$I$5:$I$528,MATCH(LARGE('Calc (scoring engine)'!$K$5:$K$528,14),'Calc (scoring engine)'!$K$5:$K$528,0))),""))</ns0:f>
        <ns0:v/>
      </ns0:c>
      <ns0:c r="J34" s="54">
        <ns0:f>IF(OR(14&gt;MAX(3,MIN(15,N($D$18))),IFERROR(LARGE('Calc (scoring engine)'!$K$5:$K$528,14),-999999)&lt;=-900000),"",IFERROR(IF(INDEX(Database!$K$5:$K$528,MATCH(LARGE('Calc (scoring engine)'!$K$5:$K$528,14),'Calc (scoring engine)'!$K$5:$K$528,0))="","—",INDEX(Database!$K$5:$K$528,MATCH(LARGE('Calc (scoring engine)'!$K$5:$K$528,14),'Calc (scoring engine)'!$K$5:$K$528,0))),""))</ns0:f>
        <ns0:v/>
      </ns0:c>
      <ns0:c r="K34" s="54">
        <ns0:f>IF(OR(14&gt;MAX(3,MIN(15,N($D$18))),IFERROR(LARGE('Calc (scoring engine)'!$K$5:$K$528,14),-999999)&lt;=-900000),"",IFERROR(IF(INDEX(Database!$L$5:$L$528,MATCH(LARGE('Calc (scoring engine)'!$K$5:$K$528,14),'Calc (scoring engine)'!$K$5:$K$528,0))="","—",INDEX(Database!$L$5:$L$528,MATCH(LARGE('Calc (scoring engine)'!$K$5:$K$528,14),'Calc (scoring engine)'!$K$5:$K$528,0))),""))</ns0:f>
        <ns0:v/>
      </ns0:c>
      <ns0:c r="L34" s="54">
        <ns0:f>IF(OR(14&gt;MAX(3,MIN(15,N($D$18))),IFERROR(LARGE('Calc (scoring engine)'!$K$5:$K$528,14),-999999)&lt;=-900000),"",IFERROR(IF(INDEX(Database!$M$5:$M$528,MATCH(LARGE('Calc (scoring engine)'!$K$5:$K$528,14),'Calc (scoring engine)'!$K$5:$K$528,0))="","—",INDEX(Database!$M$5:$M$528,MATCH(LARGE('Calc (scoring engine)'!$K$5:$K$528,14),'Calc (scoring engine)'!$K$5:$K$528,0))),""))</ns0:f>
        <ns0:v/>
      </ns0:c>
      <ns0:c r="M34" s="24">
        <ns0:f>IF(OR(14&gt;MAX(3,MIN(15,N($D$18))),IFERROR(LARGE('Calc (scoring engine)'!$K$5:$K$528,14),-999999)&lt;=-900000),"",IFERROR(IF(INDEX(Database!$N$5:$N$528,MATCH(LARGE('Calc (scoring engine)'!$K$5:$K$528,14),'Calc (scoring engine)'!$K$5:$K$528,0))="","—",INDEX(Database!$N$5:$N$528,MATCH(LARGE('Calc (scoring engine)'!$K$5:$K$528,14),'Calc (scoring engine)'!$K$5:$K$528,0))),""))</ns0:f>
        <ns0:v/>
      </ns0:c>
      <ns0:c r="N34" s="44">
        <ns0:f>IF(OR(14&gt;MAX(3,MIN(15,N($D$18))),IFERROR(LARGE('Calc (scoring engine)'!$K$5:$K$528,14),-999999)&lt;=-900000),"",IFERROR(IF(INDEX(Database!$O$5:$O$528,MATCH(LARGE('Calc (scoring engine)'!$K$5:$K$528,14),'Calc (scoring engine)'!$K$5:$K$528,0))="","—",INDEX(Database!$O$5:$O$528,MATCH(LARGE('Calc (scoring engine)'!$K$5:$K$528,14),'Calc (scoring engine)'!$K$5:$K$528,0))),""))</ns0:f>
        <ns0:v/>
      </ns0:c>
      <ns0:c r="O34" s="44">
        <ns0:f>IF(OR(14&gt;MAX(3,MIN(15,N($D$18))),IFERROR(LARGE('Calc (scoring engine)'!$K$5:$K$528,14),-999999)&lt;=-900000),"",IFERROR(IF(INDEX(Database!$P$5:$P$528,MATCH(LARGE('Calc (scoring engine)'!$K$5:$K$528,14),'Calc (scoring engine)'!$K$5:$K$528,0))="","—",INDEX(Database!$P$5:$P$528,MATCH(LARGE('Calc (scoring engine)'!$K$5:$K$528,14),'Calc (scoring engine)'!$K$5:$K$528,0))),""))</ns0:f>
        <ns0:v/>
      </ns0:c>
      <ns0:c r="P34" s="34">
        <ns0:f>IF(OR(14&gt;MAX(3,MIN(15,N($D$18))),IFERROR(LARGE('Calc (scoring engine)'!$K$5:$K$528,14),-999999)&lt;=-900000),"",IFERROR(IF(INDEX(Database!$Q$5:$Q$528,MATCH(LARGE('Calc (scoring engine)'!$K$5:$K$528,14),'Calc (scoring engine)'!$K$5:$K$528,0))="","—",INDEX(Database!$Q$5:$Q$528,MATCH(LARGE('Calc (scoring engine)'!$K$5:$K$528,14),'Calc (scoring engine)'!$K$5:$K$528,0))),""))</ns0:f>
        <ns0:v/>
      </ns0:c>
      <ns0:c r="Q34" s="41">
        <ns0:f>IF(OR(14&gt;MAX(3,MIN(15,N($D$18))),IFERROR(LARGE('Calc (scoring engine)'!$K$5:$K$528,14),-999999)&lt;=-900000),"",IFERROR(IF(INDEX(Database!$S$5:$S$528,MATCH(LARGE('Calc (scoring engine)'!$K$5:$K$528,14),'Calc (scoring engine)'!$K$5:$K$528,0))="","—",INDEX(Database!$S$5:$S$528,MATCH(LARGE('Calc (scoring engine)'!$K$5:$K$528,14),'Calc (scoring engine)'!$K$5:$K$528,0))),""))</ns0:f>
        <ns0:v/>
      </ns0:c>
      <ns0:c r="R34" s="55">
        <ns0:f>IF(OR(14&gt;MAX(3,MIN(15,N($D$18))),IFERROR(LARGE('Calc (scoring engine)'!$K$5:$K$528,14),-999999)&lt;=-900000),"",IFERROR(IF(INDEX(Database!$T$5:$T$528,MATCH(LARGE('Calc (scoring engine)'!$K$5:$K$528,14),'Calc (scoring engine)'!$K$5:$K$528,0))="","—",INDEX(Database!$T$5:$T$528,MATCH(LARGE('Calc (scoring engine)'!$K$5:$K$528,14),'Calc (scoring engine)'!$K$5:$K$528,0))),""))</ns0:f>
        <ns0:v/>
      </ns0:c>
      <ns0:c r="S34" s="56">
        <ns0:f>IF(OR(14&gt;MAX(3,MIN(15,N($D$18))),IFERROR(LARGE('Calc (scoring engine)'!$K$5:$K$528,14),-999999)&lt;=-900000),"",IFERROR(IF(INDEX(Database!$U$5:$U$528,MATCH(LARGE('Calc (scoring engine)'!$K$5:$K$528,14),'Calc (scoring engine)'!$K$5:$K$528,0))="","—",INDEX(Database!$U$5:$U$528,MATCH(LARGE('Calc (scoring engine)'!$K$5:$K$528,14),'Calc (scoring engine)'!$K$5:$K$528,0))),""))</ns0:f>
        <ns0:v/>
      </ns0:c>
      <ns0:c r="T34" s="57">
        <ns0:f>IF(OR(14&gt;MAX(3,MIN(15,N($D$18))),IFERROR(LARGE('Calc (scoring engine)'!$K$5:$K$528,14),-999999)&lt;=-900000),"",IFERROR(IF(INDEX(Database!$V$5:$V$528,MATCH(LARGE('Calc (scoring engine)'!$K$5:$K$528,14),'Calc (scoring engine)'!$K$5:$K$528,0))="","—",INDEX(Database!$V$5:$V$528,MATCH(LARGE('Calc (scoring engine)'!$K$5:$K$528,14),'Calc (scoring engine)'!$K$5:$K$528,0))),""))</ns0:f>
        <ns0:v/>
      </ns0:c>
      <ns0:c r="U34" s="44">
        <ns0:f>IF(OR(14&gt;MAX(3,MIN(15,N($D$18))),IFERROR(LARGE('Calc (scoring engine)'!$K$5:$K$528,14),-999999)&lt;=-900000),"",IFERROR(IF(INDEX(Database!$W$5:$W$528,MATCH(LARGE('Calc (scoring engine)'!$K$5:$K$528,14),'Calc (scoring engine)'!$K$5:$K$528,0))="","—",INDEX(Database!$W$5:$W$528,MATCH(LARGE('Calc (scoring engine)'!$K$5:$K$528,14),'Calc (scoring engine)'!$K$5:$K$528,0))),""))</ns0:f>
        <ns0:v/>
      </ns0:c>
      <ns0:c r="V34" s="24">
        <ns0:f>IF(OR(14&gt;MAX(3,MIN(15,N($D$18))),IFERROR(LARGE('Calc (scoring engine)'!$K$5:$K$528,14),-999999)&lt;=-900000),"",IFERROR(IF(INDEX(Database!$X$5:$X$528,MATCH(LARGE('Calc (scoring engine)'!$K$5:$K$528,14),'Calc (scoring engine)'!$K$5:$K$528,0))="","—",INDEX(Database!$X$5:$X$528,MATCH(LARGE('Calc (scoring engine)'!$K$5:$K$528,14),'Calc (scoring engine)'!$K$5:$K$528,0))),""))</ns0:f>
        <ns0:v/>
      </ns0:c>
      <ns0:c r="W34" s="34">
        <ns0:f>IF(OR(14&gt;MAX(3,MIN(15,N($D$18))),IFERROR(LARGE('Calc (scoring engine)'!$K$5:$K$528,14),-999999)&lt;=-900000),"",IFERROR(IF(INDEX(Database!$Y$5:$Y$528,MATCH(LARGE('Calc (scoring engine)'!$K$5:$K$528,14),'Calc (scoring engine)'!$K$5:$K$528,0))="","—",INDEX(Database!$Y$5:$Y$528,MATCH(LARGE('Calc (scoring engine)'!$K$5:$K$528,14),'Calc (scoring engine)'!$K$5:$K$528,0))),""))</ns0:f>
        <ns0:v/>
      </ns0:c>
      <ns0:c r="X34" s="34">
        <ns0:f>IF(OR(14&gt;MAX(3,MIN(15,N($D$18))),IFERROR(LARGE('Calc (scoring engine)'!$K$5:$K$528,14),-999999)&lt;=-900000),"",IFERROR(IF(INDEX(Database!$Z$5:$Z$528,MATCH(LARGE('Calc (scoring engine)'!$K$5:$K$528,14),'Calc (scoring engine)'!$K$5:$K$528,0))="","—",INDEX(Database!$Z$5:$Z$528,MATCH(LARGE('Calc (scoring engine)'!$K$5:$K$528,14),'Calc (scoring engine)'!$K$5:$K$528,0))),""))</ns0:f>
        <ns0:v/>
      </ns0:c>
      <ns0:c r="Y34" s="44">
        <ns0:f>IF(OR(14&gt;MAX(3,MIN(15,N($D$18))),IFERROR(LARGE('Calc (scoring engine)'!$K$5:$K$528,14),-999999)&lt;=-900000),"",IFERROR(IF(INDEX(Database!$AA$5:$AA$528,MATCH(LARGE('Calc (scoring engine)'!$K$5:$K$528,14),'Calc (scoring engine)'!$K$5:$K$528,0))="","—",INDEX(Database!$AA$5:$AA$528,MATCH(LARGE('Calc (scoring engine)'!$K$5:$K$528,14),'Calc (scoring engine)'!$K$5:$K$528,0))),""))</ns0:f>
        <ns0:v/>
      </ns0:c>
      <ns0:c r="Z34" s="24">
        <ns0:f>IF(OR(14&gt;MAX(3,MIN(15,N($D$18))),IFERROR(LARGE('Calc (scoring engine)'!$K$5:$K$528,14),-999999)&lt;=-900000),"",IFERROR(IF(INDEX(Database!$AB$5:$AB$528,MATCH(LARGE('Calc (scoring engine)'!$K$5:$K$528,14),'Calc (scoring engine)'!$K$5:$K$528,0))="","—",INDEX(Database!$AB$5:$AB$528,MATCH(LARGE('Calc (scoring engine)'!$K$5:$K$528,14),'Calc (scoring engine)'!$K$5:$K$528,0))),""))</ns0:f>
        <ns0:v/>
      </ns0:c>
      <ns0:c r="AA34" s="44">
        <ns0:f>IF(OR(14&gt;MAX(3,MIN(15,N($D$18))),IFERROR(LARGE('Calc (scoring engine)'!$K$5:$K$528,14),-999999)&lt;=-900000),"",IFERROR(IF(INDEX(Database!$AD$5:$AD$528,MATCH(LARGE('Calc (scoring engine)'!$K$5:$K$528,14),'Calc (scoring engine)'!$K$5:$K$528,0))="","—",INDEX(Database!$AD$5:$AD$528,MATCH(LARGE('Calc (scoring engine)'!$K$5:$K$528,14),'Calc (scoring engine)'!$K$5:$K$528,0))),""))</ns0:f>
        <ns0:v/>
      </ns0:c>
      <ns0:c r="AB34" s="24">
        <ns0:f>IF(OR(14&gt;MAX(3,MIN(15,N($D$18))),IFERROR(LARGE('Calc (scoring engine)'!$K$5:$K$528,14),-999999)&lt;=-900000),"",IFERROR(IF(INDEX(Database!$AE$5:$AE$528,MATCH(LARGE('Calc (scoring engine)'!$K$5:$K$528,14),'Calc (scoring engine)'!$K$5:$K$528,0))="","—",INDEX(Database!$AE$5:$AE$528,MATCH(LARGE('Calc (scoring engine)'!$K$5:$K$528,14),'Calc (scoring engine)'!$K$5:$K$528,0))),""))</ns0:f>
        <ns0:v/>
      </ns0:c>
      <ns0:c r="AC34" s="24">
        <ns0:f>IF(OR(14&gt;MAX(3,MIN(15,N($D$18))),IFERROR(LARGE('Calc (scoring engine)'!$K$5:$K$528,14),-999999)&lt;=-900000),"",IFERROR(IF(INDEX(Database!$AF$5:$AF$528,MATCH(LARGE('Calc (scoring engine)'!$K$5:$K$528,14),'Calc (scoring engine)'!$K$5:$K$528,0))="","—",INDEX(Database!$AF$5:$AF$528,MATCH(LARGE('Calc (scoring engine)'!$K$5:$K$528,14),'Calc (scoring engine)'!$K$5:$K$528,0))),""))</ns0:f>
        <ns0:v/>
      </ns0:c>
      <ns0:c r="AD34" s="24">
        <ns0:f>IF(OR(14&gt;MAX(3,MIN(15,N($D$18))),IFERROR(LARGE('Calc (scoring engine)'!$K$5:$K$528,14),-999999)&lt;=-900000),"",IFERROR(IF(INDEX(Database!$AG$5:$AG$528,MATCH(LARGE('Calc (scoring engine)'!$K$5:$K$528,14),'Calc (scoring engine)'!$K$5:$K$528,0))="","—",INDEX(Database!$AG$5:$AG$528,MATCH(LARGE('Calc (scoring engine)'!$K$5:$K$528,14),'Calc (scoring engine)'!$K$5:$K$528,0))),""))</ns0:f>
        <ns0:v/>
      </ns0:c>
      <ns0:c r="AE34" s="24">
        <ns0:f>IF(OR(14&gt;MAX(3,MIN(15,N($D$18))),IFERROR(LARGE('Calc (scoring engine)'!$K$5:$K$528,14),-999999)&lt;=-900000),"",IFERROR(IF(INDEX(Database!$AH$5:$AH$528,MATCH(LARGE('Calc (scoring engine)'!$K$5:$K$528,14),'Calc (scoring engine)'!$K$5:$K$528,0))="","—",INDEX(Database!$AH$5:$AH$528,MATCH(LARGE('Calc (scoring engine)'!$K$5:$K$528,14),'Calc (scoring engine)'!$K$5:$K$528,0))),""))</ns0:f>
        <ns0:v/>
      </ns0:c>
      <ns0:c r="AF34" s="38">
        <ns0:f>IF(OR(14&gt;MAX(3,MIN(15,N($D$18))),IFERROR(LARGE('Calc (scoring engine)'!$K$5:$K$528,14),-999999)&lt;=-900000),"",IFERROR(IF(INDEX(Database!$AI$5:$AI$528,MATCH(LARGE('Calc (scoring engine)'!$K$5:$K$528,14),'Calc (scoring engine)'!$K$5:$K$528,0))="","—",INDEX(Database!$AI$5:$AI$528,MATCH(LARGE('Calc (scoring engine)'!$K$5:$K$528,14),'Calc (scoring engine)'!$K$5:$K$528,0))),""))</ns0:f>
        <ns0:v/>
      </ns0:c>
      <ns0:c r="AG34" s="38">
        <ns0:f>IF(OR(14&gt;MAX(3,MIN(15,N($D$18))),IFERROR(LARGE('Calc (scoring engine)'!$K$5:$K$528,14),-999999)&lt;=-900000),"",IFERROR(IF(INDEX(Database!$AJ$5:$AJ$528,MATCH(LARGE('Calc (scoring engine)'!$K$5:$K$528,14),'Calc (scoring engine)'!$K$5:$K$528,0))="","—",INDEX(Database!$AJ$5:$AJ$528,MATCH(LARGE('Calc (scoring engine)'!$K$5:$K$528,14),'Calc (scoring engine)'!$K$5:$K$528,0))),""))</ns0:f>
        <ns0:v/>
      </ns0:c>
      <ns0:c r="AH34" s="38">
        <ns0:f>IF(OR(14&gt;MAX(3,MIN(15,N($D$18))),IFERROR(LARGE('Calc (scoring engine)'!$K$5:$K$528,14),-999999)&lt;=-900000),"",IFERROR(IF(INDEX(Database!$AK$5:$AK$528,MATCH(LARGE('Calc (scoring engine)'!$K$5:$K$528,14),'Calc (scoring engine)'!$K$5:$K$528,0))="","—",INDEX(Database!$AK$5:$AK$528,MATCH(LARGE('Calc (scoring engine)'!$K$5:$K$528,14),'Calc (scoring engine)'!$K$5:$K$528,0))),""))</ns0:f>
        <ns0:v/>
      </ns0:c>
      <ns0:c r="AI34" s="38">
        <ns0:f>IF(OR(14&gt;MAX(3,MIN(15,N($D$18))),IFERROR(LARGE('Calc (scoring engine)'!$K$5:$K$528,14),-999999)&lt;=-900000),"",IFERROR(IF(INDEX(Database!$AL$5:$AL$528,MATCH(LARGE('Calc (scoring engine)'!$K$5:$K$528,14),'Calc (scoring engine)'!$K$5:$K$528,0))="","—",INDEX(Database!$AL$5:$AL$528,MATCH(LARGE('Calc (scoring engine)'!$K$5:$K$528,14),'Calc (scoring engine)'!$K$5:$K$528,0))),""))</ns0:f>
        <ns0:v/>
      </ns0:c>
      <ns0:c r="AJ34" s="38">
        <ns0:f>IF(OR(14&gt;MAX(3,MIN(15,N($D$18))),IFERROR(LARGE('Calc (scoring engine)'!$K$5:$K$528,14),-999999)&lt;=-900000),"",IFERROR(IF(INDEX(Database!$AM$5:$AM$528,MATCH(LARGE('Calc (scoring engine)'!$K$5:$K$528,14),'Calc (scoring engine)'!$K$5:$K$528,0))="","—",INDEX(Database!$AM$5:$AM$528,MATCH(LARGE('Calc (scoring engine)'!$K$5:$K$528,14),'Calc (scoring engine)'!$K$5:$K$528,0))),""))</ns0:f>
        <ns0:v/>
      </ns0:c>
      <ns0:c r="AK34" s="39">
        <ns0:f>IF(OR(14&gt;MAX(3,MIN(15,N($D$18))),IFERROR(LARGE('Calc (scoring engine)'!$K$5:$K$528,14),-999999)&lt;=-900000),"",IFERROR(IF(INDEX(Database!$AN$5:$AN$528,MATCH(LARGE('Calc (scoring engine)'!$K$5:$K$528,14),'Calc (scoring engine)'!$K$5:$K$528,0))="","—",INDEX(Database!$AN$5:$AN$528,MATCH(LARGE('Calc (scoring engine)'!$K$5:$K$528,14),'Calc (scoring engine)'!$K$5:$K$528,0))),""))</ns0:f>
        <ns0:v/>
      </ns0:c>
      <ns0:c r="AL34" s="44">
        <ns0:f>IF(OR(14&gt;MAX(3,MIN(15,N($D$18))),IFERROR(LARGE('Calc (scoring engine)'!$K$5:$K$528,14),-999999)&lt;=-900000),"",IFERROR(IF(INDEX(Database!$AO$5:$AO$528,MATCH(LARGE('Calc (scoring engine)'!$K$5:$K$528,14),'Calc (scoring engine)'!$K$5:$K$528,0))="","—",INDEX(Database!$AO$5:$AO$528,MATCH(LARGE('Calc (scoring engine)'!$K$5:$K$528,14),'Calc (scoring engine)'!$K$5:$K$528,0))),""))</ns0:f>
        <ns0:v/>
      </ns0:c>
      <ns0:c r="AM34" s="38">
        <ns0:f>IF(OR(14&gt;MAX(3,MIN(15,N($D$18))),IFERROR(LARGE('Calc (scoring engine)'!$K$5:$K$528,14),-999999)&lt;=-900000),"",IFERROR(IF(INDEX(Database!$AP$5:$AP$528,MATCH(LARGE('Calc (scoring engine)'!$K$5:$K$528,14),'Calc (scoring engine)'!$K$5:$K$528,0))="","—",INDEX(Database!$AP$5:$AP$528,MATCH(LARGE('Calc (scoring engine)'!$K$5:$K$528,14),'Calc (scoring engine)'!$K$5:$K$528,0))),""))</ns0:f>
        <ns0:v/>
      </ns0:c>
      <ns0:c r="AN34" s="38">
        <ns0:f>IF(OR(14&gt;MAX(3,MIN(15,N($D$18))),IFERROR(LARGE('Calc (scoring engine)'!$K$5:$K$528,14),-999999)&lt;=-900000),"",IFERROR(IF(INDEX(Database!$AQ$5:$AQ$528,MATCH(LARGE('Calc (scoring engine)'!$K$5:$K$528,14),'Calc (scoring engine)'!$K$5:$K$528,0))="","—",INDEX(Database!$AQ$5:$AQ$528,MATCH(LARGE('Calc (scoring engine)'!$K$5:$K$528,14),'Calc (scoring engine)'!$K$5:$K$528,0))),""))</ns0:f>
        <ns0:v/>
      </ns0:c>
      <ns0:c r="AO34" s="38">
        <ns0:f>IF(OR(14&gt;MAX(3,MIN(15,N($D$18))),IFERROR(LARGE('Calc (scoring engine)'!$K$5:$K$528,14),-999999)&lt;=-900000),"",IFERROR(IF(INDEX(Database!$AR$5:$AR$528,MATCH(LARGE('Calc (scoring engine)'!$K$5:$K$528,14),'Calc (scoring engine)'!$K$5:$K$528,0))="","—",INDEX(Database!$AR$5:$AR$528,MATCH(LARGE('Calc (scoring engine)'!$K$5:$K$528,14),'Calc (scoring engine)'!$K$5:$K$528,0))),""))</ns0:f>
        <ns0:v/>
      </ns0:c>
      <ns0:c r="AP34" s="38">
        <ns0:f>IF(OR(14&gt;MAX(3,MIN(15,N($D$18))),IFERROR(LARGE('Calc (scoring engine)'!$K$5:$K$528,14),-999999)&lt;=-900000),"",IFERROR(IF(INDEX(Database!$AS$5:$AS$528,MATCH(LARGE('Calc (scoring engine)'!$K$5:$K$528,14),'Calc (scoring engine)'!$K$5:$K$528,0))="","—",INDEX(Database!$AS$5:$AS$528,MATCH(LARGE('Calc (scoring engine)'!$K$5:$K$528,14),'Calc (scoring engine)'!$K$5:$K$528,0))),""))</ns0:f>
        <ns0:v/>
      </ns0:c>
      <ns0:c r="AQ34" s="38">
        <ns0:f>IF(OR(14&gt;MAX(3,MIN(15,N($D$18))),IFERROR(LARGE('Calc (scoring engine)'!$K$5:$K$528,14),-999999)&lt;=-900000),"",IFERROR(IF(INDEX(Database!$AT$5:$AT$528,MATCH(LARGE('Calc (scoring engine)'!$K$5:$K$528,14),'Calc (scoring engine)'!$K$5:$K$528,0))="","—",INDEX(Database!$AT$5:$AT$528,MATCH(LARGE('Calc (scoring engine)'!$K$5:$K$528,14),'Calc (scoring engine)'!$K$5:$K$528,0))),""))</ns0:f>
        <ns0:v/>
      </ns0:c>
      <ns0:c r="AR34" s="38">
        <ns0:f>IF(OR(14&gt;MAX(3,MIN(15,N($D$18))),IFERROR(LARGE('Calc (scoring engine)'!$K$5:$K$528,14),-999999)&lt;=-900000),"",IFERROR(IF(INDEX(Database!$AU$5:$AU$528,MATCH(LARGE('Calc (scoring engine)'!$K$5:$K$528,14),'Calc (scoring engine)'!$K$5:$K$528,0))="","—",INDEX(Database!$AU$5:$AU$528,MATCH(LARGE('Calc (scoring engine)'!$K$5:$K$528,14),'Calc (scoring engine)'!$K$5:$K$528,0))),""))</ns0:f>
        <ns0:v/>
      </ns0:c>
      <ns0:c r="AS34" s="38">
        <ns0:f>IF(OR(14&gt;MAX(3,MIN(15,N($D$18))),IFERROR(LARGE('Calc (scoring engine)'!$K$5:$K$528,14),-999999)&lt;=-900000),"",IFERROR(IF(INDEX(Database!$AV$5:$AV$528,MATCH(LARGE('Calc (scoring engine)'!$K$5:$K$528,14),'Calc (scoring engine)'!$K$5:$K$528,0))="","—",INDEX(Database!$AV$5:$AV$528,MATCH(LARGE('Calc (scoring engine)'!$K$5:$K$528,14),'Calc (scoring engine)'!$K$5:$K$528,0))),""))</ns0:f>
        <ns0:v/>
      </ns0:c>
      <ns0:c r="AT34" s="38">
        <ns0:f>IF(OR(14&gt;MAX(3,MIN(15,N($D$18))),IFERROR(LARGE('Calc (scoring engine)'!$K$5:$K$528,14),-999999)&lt;=-900000),"",IFERROR(IF(INDEX(Database!$AW$5:$AW$528,MATCH(LARGE('Calc (scoring engine)'!$K$5:$K$528,14),'Calc (scoring engine)'!$K$5:$K$528,0))="","—",INDEX(Database!$AW$5:$AW$528,MATCH(LARGE('Calc (scoring engine)'!$K$5:$K$528,14),'Calc (scoring engine)'!$K$5:$K$528,0))),""))</ns0:f>
        <ns0:v/>
      </ns0:c>
      <ns0:c r="AU34" s="38">
        <ns0:f>IF(OR(14&gt;MAX(3,MIN(15,N($D$18))),IFERROR(LARGE('Calc (scoring engine)'!$K$5:$K$528,14),-999999)&lt;=-900000),"",IFERROR(IF(INDEX(Database!$AX$5:$AX$528,MATCH(LARGE('Calc (scoring engine)'!$K$5:$K$528,14),'Calc (scoring engine)'!$K$5:$K$528,0))="","—",INDEX(Database!$AX$5:$AX$528,MATCH(LARGE('Calc (scoring engine)'!$K$5:$K$528,14),'Calc (scoring engine)'!$K$5:$K$528,0))),""))</ns0:f>
        <ns0:v/>
      </ns0:c>
      <ns0:c r="AV34" s="38">
        <ns0:f>IF(OR(14&gt;MAX(3,MIN(15,N($D$18))),IFERROR(LARGE('Calc (scoring engine)'!$K$5:$K$528,14),-999999)&lt;=-900000),"",IFERROR(IF(INDEX(Database!$AY$5:$AY$528,MATCH(LARGE('Calc (scoring engine)'!$K$5:$K$528,14),'Calc (scoring engine)'!$K$5:$K$528,0))="","—",INDEX(Database!$AY$5:$AY$528,MATCH(LARGE('Calc (scoring engine)'!$K$5:$K$528,14),'Calc (scoring engine)'!$K$5:$K$528,0))),""))</ns0:f>
        <ns0:v/>
      </ns0:c>
      <ns0:c r="AW34" s="38">
        <ns0:f>IF(OR(14&gt;MAX(3,MIN(15,N($D$18))),IFERROR(LARGE('Calc (scoring engine)'!$K$5:$K$528,14),-999999)&lt;=-900000),"",IFERROR(IF(INDEX(Database!$AZ$5:$AZ$528,MATCH(LARGE('Calc (scoring engine)'!$K$5:$K$528,14),'Calc (scoring engine)'!$K$5:$K$528,0))="","—",INDEX(Database!$AZ$5:$AZ$528,MATCH(LARGE('Calc (scoring engine)'!$K$5:$K$528,14),'Calc (scoring engine)'!$K$5:$K$528,0))),""))</ns0:f>
        <ns0:v/>
      </ns0:c>
      <ns0:c r="AX34" s="38">
        <ns0:f>IF(OR(14&gt;MAX(3,MIN(15,N($D$18))),IFERROR(LARGE('Calc (scoring engine)'!$K$5:$K$528,14),-999999)&lt;=-900000),"",IFERROR(IF(INDEX(Database!$BA$5:$BA$528,MATCH(LARGE('Calc (scoring engine)'!$K$5:$K$528,14),'Calc (scoring engine)'!$K$5:$K$528,0))="","—",INDEX(Database!$BA$5:$BA$528,MATCH(LARGE('Calc (scoring engine)'!$K$5:$K$528,14),'Calc (scoring engine)'!$K$5:$K$528,0))),""))</ns0:f>
        <ns0:v/>
      </ns0:c>
      <ns0:c r="AY34" s="38">
        <ns0:f>IF(OR(14&gt;MAX(3,MIN(15,N($D$18))),IFERROR(LARGE('Calc (scoring engine)'!$K$5:$K$528,14),-999999)&lt;=-900000),"",IFERROR(IF(INDEX(Database!$BC$5:$BC$528,MATCH(LARGE('Calc (scoring engine)'!$K$5:$K$528,14),'Calc (scoring engine)'!$K$5:$K$528,0))="","—",INDEX(Database!$BC$5:$BC$528,MATCH(LARGE('Calc (scoring engine)'!$K$5:$K$528,14),'Calc (scoring engine)'!$K$5:$K$528,0))),""))</ns0:f>
        <ns0:v/>
      </ns0:c>
      <ns0:c r="AZ34" s="34">
        <ns0:f>IF(OR(14&gt;MAX(3,MIN(15,N($D$18))),IFERROR(LARGE('Calc (scoring engine)'!$K$5:$K$528,14),-999999)&lt;=-900000),"",IFERROR(IF(INDEX(Database!$BE$5:$BE$528,MATCH(LARGE('Calc (scoring engine)'!$K$5:$K$528,14),'Calc (scoring engine)'!$K$5:$K$528,0))="","—",INDEX(Database!$BE$5:$BE$528,MATCH(LARGE('Calc (scoring engine)'!$K$5:$K$528,14),'Calc (scoring engine)'!$K$5:$K$528,0))),""))</ns0:f>
        <ns0:v/>
      </ns0:c>
      <ns0:c r="BA34" s="34">
        <ns0:f>IF(OR(14&gt;MAX(3,MIN(15,N($D$18))),IFERROR(LARGE('Calc (scoring engine)'!$K$5:$K$528,14),-999999)&lt;=-900000),"",IFERROR(IF(INDEX(Database!$BF$5:$BF$528,MATCH(LARGE('Calc (scoring engine)'!$K$5:$K$528,14),'Calc (scoring engine)'!$K$5:$K$528,0))="","—",INDEX(Database!$BF$5:$BF$528,MATCH(LARGE('Calc (scoring engine)'!$K$5:$K$528,14),'Calc (scoring engine)'!$K$5:$K$528,0))),""))</ns0:f>
        <ns0:v/>
      </ns0:c>
      <ns0:c r="BB34" s="24">
        <ns0:f>IF(OR(14&gt;MAX(3,MIN(15,N($D$18))),IFERROR(LARGE('Calc (scoring engine)'!$K$5:$K$528,14),-999999)&lt;=-900000),"",IFERROR(IF(INDEX(Database!$BG$5:$BG$528,MATCH(LARGE('Calc (scoring engine)'!$K$5:$K$528,14),'Calc (scoring engine)'!$K$5:$K$528,0))="","—",INDEX(Database!$BG$5:$BG$528,MATCH(LARGE('Calc (scoring engine)'!$K$5:$K$528,14),'Calc (scoring engine)'!$K$5:$K$528,0))),""))</ns0:f>
        <ns0:v/>
      </ns0:c>
      <ns0:c r="BC34" s="39">
        <ns0:f>IF(OR(14&gt;MAX(3,MIN(15,N($D$18))),IFERROR(LARGE('Calc (scoring engine)'!$K$5:$K$528,14),-999999)&lt;=-900000),"",IFERROR(IF(N(INDEX(Database!$BH$5:$BH$528,MATCH(LARGE('Calc (scoring engine)'!$K$5:$K$528,14),'Calc (scoring engine)'!$K$5:$K$528,0)))&lt;=0,IF(INDEX(Database!$BG$5:$BG$528,MATCH(LARGE('Calc (scoring engine)'!$K$5:$K$528,14),'Calc (scoring engine)'!$K$5:$K$528,0))="N","n/m","—"),INDEX(Database!$BH$5:$BH$528,MATCH(LARGE('Calc (scoring engine)'!$K$5:$K$528,14),'Calc (scoring engine)'!$K$5:$K$528,0))),""))</ns0:f>
        <ns0:v/>
      </ns0:c>
      <ns0:c r="BD34" s="39">
        <ns0:f>IF(OR(14&gt;MAX(3,MIN(15,N($D$18))),IFERROR(LARGE('Calc (scoring engine)'!$K$5:$K$528,14),-999999)&lt;=-900000),"",IFERROR(IF(INDEX(Database!$BI$5:$BI$528,MATCH(LARGE('Calc (scoring engine)'!$K$5:$K$528,14),'Calc (scoring engine)'!$K$5:$K$528,0))="","—",INDEX(Database!$BI$5:$BI$528,MATCH(LARGE('Calc (scoring engine)'!$K$5:$K$528,14),'Calc (scoring engine)'!$K$5:$K$528,0))),""))</ns0:f>
        <ns0:v/>
      </ns0:c>
      <ns0:c r="BE34" s="39">
        <ns0:f>IF(OR(14&gt;MAX(3,MIN(15,N($D$18))),IFERROR(LARGE('Calc (scoring engine)'!$K$5:$K$528,14),-999999)&lt;=-900000),"",IFERROR(IF(INDEX(Database!$BJ$5:$BJ$528,MATCH(LARGE('Calc (scoring engine)'!$K$5:$K$528,14),'Calc (scoring engine)'!$K$5:$K$528,0))="","—",INDEX(Database!$BJ$5:$BJ$528,MATCH(LARGE('Calc (scoring engine)'!$K$5:$K$528,14),'Calc (scoring engine)'!$K$5:$K$528,0))),""))</ns0:f>
        <ns0:v/>
      </ns0:c>
      <ns0:c r="BF34" s="39">
        <ns0:f>IF(OR(14&gt;MAX(3,MIN(15,N($D$18))),IFERROR(LARGE('Calc (scoring engine)'!$K$5:$K$528,14),-999999)&lt;=-900000),"",IFERROR(IF(INDEX(Database!$BK$5:$BK$528,MATCH(LARGE('Calc (scoring engine)'!$K$5:$K$528,14),'Calc (scoring engine)'!$K$5:$K$528,0))="","—",INDEX(Database!$BK$5:$BK$528,MATCH(LARGE('Calc (scoring engine)'!$K$5:$K$528,14),'Calc (scoring engine)'!$K$5:$K$528,0))),""))</ns0:f>
        <ns0:v/>
      </ns0:c>
      <ns0:c r="BG34" s="39">
        <ns0:f>IF(OR(14&gt;MAX(3,MIN(15,N($D$18))),IFERROR(LARGE('Calc (scoring engine)'!$K$5:$K$528,14),-999999)&lt;=-900000),"",IFERROR(IF(INDEX(Database!$BL$5:$BL$528,MATCH(LARGE('Calc (scoring engine)'!$K$5:$K$528,14),'Calc (scoring engine)'!$K$5:$K$528,0))="","—",INDEX(Database!$BL$5:$BL$528,MATCH(LARGE('Calc (scoring engine)'!$K$5:$K$528,14),'Calc (scoring engine)'!$K$5:$K$528,0))),""))</ns0:f>
        <ns0:v/>
      </ns0:c>
      <ns0:c r="BH34" s="39">
        <ns0:f>IF(OR(14&gt;MAX(3,MIN(15,N($D$18))),IFERROR(LARGE('Calc (scoring engine)'!$K$5:$K$528,14),-999999)&lt;=-900000),"",IFERROR(IFERROR(BDP(TEXT(INDEX(Database!$A$5:$A$528,MATCH(LARGE('Calc (scoring engine)'!$K$5:$K$528,14),'Calc (scoring engine)'!$K$5:$K$528,0)),"0")&amp;" HK Equity","PE_RATIO"),IF(INDEX(Database!$BJ$5:$BJ$528,MATCH(LARGE('Calc (scoring engine)'!$K$5:$K$528,14),'Calc (scoring engine)'!$K$5:$K$528,0))="","—",INDEX(Database!$BJ$5:$BJ$528,MATCH(LARGE('Calc (scoring engine)'!$K$5:$K$528,14),'Calc (scoring engine)'!$K$5:$K$528,0)))),""))</ns0:f>
        <ns0:v/>
      </ns0:c>
      <ns0:c r="BI34" s="39">
        <ns0:f>IF(OR(14&gt;MAX(3,MIN(15,N($D$18))),IFERROR(LARGE('Calc (scoring engine)'!$K$5:$K$528,14),-999999)&lt;=-900000),"",IFERROR(IFERROR(BDP(TEXT(INDEX(Database!$A$5:$A$528,MATCH(LARGE('Calc (scoring engine)'!$K$5:$K$528,14),'Calc (scoring engine)'!$K$5:$K$528,0)),"0")&amp;" HK Equity","PX_TO_SALES_RATIO"),IF(INDEX(Database!$BK$5:$BK$528,MATCH(LARGE('Calc (scoring engine)'!$K$5:$K$528,14),'Calc (scoring engine)'!$K$5:$K$528,0))="","—",INDEX(Database!$BK$5:$BK$528,MATCH(LARGE('Calc (scoring engine)'!$K$5:$K$528,14),'Calc (scoring engine)'!$K$5:$K$528,0)))),""))</ns0:f>
        <ns0:v/>
      </ns0:c>
      <ns0:c r="BJ34" s="24">
        <ns0:f>IF(OR(14&gt;MAX(3,MIN(15,N($D$18))),IFERROR(LARGE('Calc (scoring engine)'!$K$5:$K$528,14),-999999)&lt;=-900000),"",IFERROR(IF(INDEX(Database!$BM$5:$BM$528,MATCH(LARGE('Calc (scoring engine)'!$K$5:$K$528,14),'Calc (scoring engine)'!$K$5:$K$528,0))="","—",INDEX(Database!$BM$5:$BM$528,MATCH(LARGE('Calc (scoring engine)'!$K$5:$K$528,14),'Calc (scoring engine)'!$K$5:$K$528,0))),""))</ns0:f>
        <ns0:v/>
      </ns0:c>
      <ns0:c r="BK34" s="24">
        <ns0:f>IF(OR(14&gt;MAX(3,MIN(15,N($D$18))),IFERROR(LARGE('Calc (scoring engine)'!$K$5:$K$528,14),-999999)&lt;=-900000),"",IFERROR(IF(INDEX(Database!$BN$5:$BN$528,MATCH(LARGE('Calc (scoring engine)'!$K$5:$K$528,14),'Calc (scoring engine)'!$K$5:$K$528,0))="","—",INDEX(Database!$BN$5:$BN$528,MATCH(LARGE('Calc (scoring engine)'!$K$5:$K$528,14),'Calc (scoring engine)'!$K$5:$K$528,0))),""))</ns0:f>
        <ns0:v/>
      </ns0:c>
      <ns0:c r="BL34" s="38">
        <ns0:f>IF(OR(14&gt;MAX(3,MIN(15,N($D$18))),IFERROR(LARGE('Calc (scoring engine)'!$K$5:$K$528,14),-999999)&lt;=-900000),"",IFERROR(IF(INDEX(Database!$BO$5:$BO$528,MATCH(LARGE('Calc (scoring engine)'!$K$5:$K$528,14),'Calc (scoring engine)'!$K$5:$K$528,0))="","—",INDEX(Database!$BO$5:$BO$528,MATCH(LARGE('Calc (scoring engine)'!$K$5:$K$528,14),'Calc (scoring engine)'!$K$5:$K$528,0))),""))</ns0:f>
        <ns0:v/>
      </ns0:c>
      <ns0:c r="BM34" s="54">
        <ns0:f>IF(OR(14&gt;MAX(3,MIN(15,N($D$18))),IFERROR(LARGE('Calc (scoring engine)'!$K$5:$K$528,14),-999999)&lt;=-900000),"",IFERROR(IF(INDEX(Database!$BP$5:$BP$528,MATCH(LARGE('Calc (scoring engine)'!$K$5:$K$528,14),'Calc (scoring engine)'!$K$5:$K$528,0))="","—",INDEX(Database!$BP$5:$BP$528,MATCH(LARGE('Calc (scoring engine)'!$K$5:$K$528,14),'Calc (scoring engine)'!$K$5:$K$528,0))),""))</ns0:f>
        <ns0:v/>
      </ns0:c>
      <ns0:c r="BN34" s="58">
        <ns0:f>IF(OR(14&gt;MAX(3,MIN(15,N($D$18))),IFERROR(LARGE('Calc (scoring engine)'!$K$5:$K$528,14),-999999)&lt;=-900000),"",IFERROR(IF(INDEX(Database!$BQ$5:$BQ$528,MATCH(LARGE('Calc (scoring engine)'!$K$5:$K$528,14),'Calc (scoring engine)'!$K$5:$K$528,0))="","—",INDEX(Database!$BQ$5:$BQ$528,MATCH(LARGE('Calc (scoring engine)'!$K$5:$K$528,14),'Calc (scoring engine)'!$K$5:$K$528,0))),""))</ns0:f>
        <ns0:v/>
      </ns0:c>
      <ns0:c r="BO34" s="34">
        <ns0:f>IF(OR(14&gt;MAX(3,MIN(15,N($D$18))),IFERROR(LARGE('Calc (scoring engine)'!$K$5:$K$528,14),-999999)&lt;=-900000),"",IFERROR(IF(INDEX(Database!$BR$5:$BR$528,MATCH(LARGE('Calc (scoring engine)'!$K$5:$K$528,14),'Calc (scoring engine)'!$K$5:$K$528,0))="","—",INDEX(Database!$BR$5:$BR$528,MATCH(LARGE('Calc (scoring engine)'!$K$5:$K$528,14),'Calc (scoring engine)'!$K$5:$K$528,0))),""))</ns0:f>
        <ns0:v/>
      </ns0:c>
      <ns0:c r="BP34" s="39">
        <ns0:f>IF(OR(14&gt;MAX(3,MIN(15,N($D$18))),IFERROR(LARGE('Calc (scoring engine)'!$K$5:$K$528,14),-999999)&lt;=-900000),"",IFERROR(IF(INDEX(Database!$BS$5:$BS$528,MATCH(LARGE('Calc (scoring engine)'!$K$5:$K$528,14),'Calc (scoring engine)'!$K$5:$K$528,0))="","—",INDEX(Database!$BS$5:$BS$528,MATCH(LARGE('Calc (scoring engine)'!$K$5:$K$528,14),'Calc (scoring engine)'!$K$5:$K$528,0))),""))</ns0:f>
        <ns0:v/>
      </ns0:c>
      <ns0:c r="BQ34" s="39">
        <ns0:f>IF(OR(14&gt;MAX(3,MIN(15,N($D$18))),IFERROR(LARGE('Calc (scoring engine)'!$K$5:$K$528,14),-999999)&lt;=-900000),"",IFERROR(IF(INDEX(Database!$BT$5:$BT$528,MATCH(LARGE('Calc (scoring engine)'!$K$5:$K$528,14),'Calc (scoring engine)'!$K$5:$K$528,0))="","—",INDEX(Database!$BT$5:$BT$528,MATCH(LARGE('Calc (scoring engine)'!$K$5:$K$528,14),'Calc (scoring engine)'!$K$5:$K$528,0))),""))</ns0:f>
        <ns0:v/>
      </ns0:c>
      <ns0:c r="BR34" s="24">
        <ns0:f>IF(OR(14&gt;MAX(3,MIN(15,N($D$18))),IFERROR(LARGE('Calc (scoring engine)'!$K$5:$K$528,14),-999999)&lt;=-900000),"",IFERROR(IF(INDEX(Database!$BU$5:$BU$528,MATCH(LARGE('Calc (scoring engine)'!$K$5:$K$528,14),'Calc (scoring engine)'!$K$5:$K$528,0))="","—",INDEX(Database!$BU$5:$BU$528,MATCH(LARGE('Calc (scoring engine)'!$K$5:$K$528,14),'Calc (scoring engine)'!$K$5:$K$528,0))),""))</ns0:f>
        <ns0:v/>
      </ns0:c>
      <ns0:c r="BS34" s="24">
        <ns0:f>IF(OR(14&gt;MAX(3,MIN(15,N($D$18))),IFERROR(LARGE('Calc (scoring engine)'!$K$5:$K$528,14),-999999)&lt;=-900000),"",IFERROR(IF(INDEX(Database!$BW$5:$BW$528,MATCH(LARGE('Calc (scoring engine)'!$K$5:$K$528,14),'Calc (scoring engine)'!$K$5:$K$528,0))="","—",INDEX(Database!$BW$5:$BW$528,MATCH(LARGE('Calc (scoring engine)'!$K$5:$K$528,14),'Calc (scoring engine)'!$K$5:$K$528,0))),""))</ns0:f>
        <ns0:v/>
      </ns0:c>
      <ns0:c r="BT34" s="57">
        <ns0:f>IF(OR(14&gt;MAX(3,MIN(15,N($D$18))),IFERROR(LARGE('Calc (scoring engine)'!$K$5:$K$528,14),-999999)&lt;=-900000),"",IFERROR(IF(INDEX('Calc (scoring engine)'!$H$5:$H$528,MATCH(LARGE('Calc (scoring engine)'!$K$5:$K$528,14),'Calc (scoring engine)'!$K$5:$K$528,0))&gt;0,INDEX('Calc (scoring engine)'!$H$5:$H$528,MATCH(LARGE('Calc (scoring engine)'!$K$5:$K$528,14),'Calc (scoring engine)'!$K$5:$K$528,0)),""),""))</ns0:f>
        <ns0:v/>
      </ns0:c>
      <ns0:c r="BU34" s="24">
        <ns0:f>IF(OR(14&gt;MAX(3,MIN(15,N($D$18))),IFERROR(LARGE('Calc (scoring engine)'!$K$5:$K$528,14),-999999)&lt;=-900000),"",IF(IFERROR(INDEX('Calc (scoring engine)'!$B$5:$B$528,MATCH(LARGE('Calc (scoring engine)'!$K$5:$K$528,14),'Calc (scoring engine)'!$K$5:$K$528,0)),0)=1,"same subsector","sector only"))</ns0:f>
        <ns0:v/>
      </ns0:c>
      <ns0:c r="BV34" s="57">
        <ns0:f>IF(OR(14&gt;MAX(3,MIN(15,N($D$18))),IFERROR(LARGE('Calc (scoring engine)'!$K$5:$K$528,14),-999999)&lt;=-900000),"",ROUND(IFERROR(LARGE('Calc (scoring engine)'!$K$5:$K$528,14),0),0))</ns0:f>
        <ns0:v/>
      </ns0:c>
      <ns0:c r="BW34" s="24">
        <ns0:f>IF(OR(14&gt;MAX(3,MIN(15,N($D$18))),IFERROR(LARGE('Calc (scoring engine)'!$K$5:$K$528,14),-999999)&lt;=-900000),"",IFERROR("sub "&amp;INDEX('Calc (scoring engine)'!$B$5:$B$528,MATCH(LARGE('Calc (scoring engine)'!$K$5:$K$528,14),'Calc (scoring engine)'!$K$5:$K$528,0))*W_SUB&amp;" + size "&amp;ROUND(INDEX('Calc (scoring engine)'!$D$5:$D$528,MATCH(LARGE('Calc (scoring engine)'!$K$5:$K$528,14),'Calc (scoring engine)'!$K$5:$K$528,0))*W_SIZE,0)&amp;" + prof "&amp;INDEX('Calc (scoring engine)'!$E$5:$E$528,MATCH(LARGE('Calc (scoring engine)'!$K$5:$K$528,14),'Calc (scoring engine)'!$K$5:$K$528,0))*W_PROF&amp;" + recency "&amp;ROUND(INDEX('Calc (scoring engine)'!$G$5:$G$528,MATCH(LARGE('Calc (scoring engine)'!$K$5:$K$528,14),'Calc (scoring engine)'!$K$5:$K$528,0))*W_REC,0)&amp;IF(INDEX('Calc (scoring engine)'!$H$5:$H$528,MATCH(LARGE('Calc (scoring engine)'!$K$5:$K$528,14),'Calc (scoring engine)'!$K$5:$K$528,0))&gt;0," + shared CS x"&amp;INDEX('Calc (scoring engine)'!$H$5:$H$528,MATCH(LARGE('Calc (scoring engine)'!$K$5:$K$528,14),'Calc (scoring engine)'!$K$5:$K$528,0)),""),""))</ns0:f>
        <ns0:v/>
      </ns0:c>
    </ns0:row>
    <ns0:row r="35">
      <ns0:c r="A35" s="52">
        <ns0:f>IF(OR(15&gt;MAX(3,MIN(15,N($D$18))),IFERROR(LARGE('Calc (scoring engine)'!$K$5:$K$528,15),-999999)&lt;=-900000),"",15)</ns0:f>
        <ns0:v/>
      </ns0:c>
      <ns0:c r="B35" s="24">
        <ns0:f>IF(OR(15&gt;MAX(3,MIN(15,N($D$18))),IFERROR(LARGE('Calc (scoring engine)'!$K$5:$K$528,15),-999999)&lt;=-900000),"",IFERROR(IF(INDEX(Database!$B$5:$B$528,MATCH(LARGE('Calc (scoring engine)'!$K$5:$K$528,15),'Calc (scoring engine)'!$K$5:$K$528,0))="","—",INDEX(Database!$B$5:$B$528,MATCH(LARGE('Calc (scoring engine)'!$K$5:$K$528,15),'Calc (scoring engine)'!$K$5:$K$528,0))),""))</ns0:f>
        <ns0:v/>
      </ns0:c>
      <ns0:c r="C35" s="53">
        <ns0:f>IF(OR(15&gt;MAX(3,MIN(15,N($D$18))),IFERROR(LARGE('Calc (scoring engine)'!$K$5:$K$528,15),-999999)&lt;=-900000),"",IFERROR(IF(INDEX(Database!$A$5:$A$528,MATCH(LARGE('Calc (scoring engine)'!$K$5:$K$528,15),'Calc (scoring engine)'!$K$5:$K$528,0))="","—",INDEX(Database!$A$5:$A$528,MATCH(LARGE('Calc (scoring engine)'!$K$5:$K$528,15),'Calc (scoring engine)'!$K$5:$K$528,0))),""))</ns0:f>
        <ns0:v/>
      </ns0:c>
      <ns0:c r="D35" s="24">
        <ns0:f>IF(OR(15&gt;MAX(3,MIN(15,N($D$18))),IFERROR(LARGE('Calc (scoring engine)'!$K$5:$K$528,15),-999999)&lt;=-900000),"",IFERROR(IF(INDEX(Database!$D$5:$D$528,MATCH(LARGE('Calc (scoring engine)'!$K$5:$K$528,15),'Calc (scoring engine)'!$K$5:$K$528,0))="","—",INDEX(Database!$D$5:$D$528,MATCH(LARGE('Calc (scoring engine)'!$K$5:$K$528,15),'Calc (scoring engine)'!$K$5:$K$528,0))),""))</ns0:f>
        <ns0:v/>
      </ns0:c>
      <ns0:c r="E35" s="24">
        <ns0:f>IF(OR(15&gt;MAX(3,MIN(15,N($D$18))),IFERROR(LARGE('Calc (scoring engine)'!$K$5:$K$528,15),-999999)&lt;=-900000),"",IFERROR(IF(INDEX(Database!$E$5:$E$528,MATCH(LARGE('Calc (scoring engine)'!$K$5:$K$528,15),'Calc (scoring engine)'!$K$5:$K$528,0))="","—",INDEX(Database!$E$5:$E$528,MATCH(LARGE('Calc (scoring engine)'!$K$5:$K$528,15),'Calc (scoring engine)'!$K$5:$K$528,0))),""))</ns0:f>
        <ns0:v/>
      </ns0:c>
      <ns0:c r="F35" s="24">
        <ns0:f>IF(OR(15&gt;MAX(3,MIN(15,N($D$18))),IFERROR(LARGE('Calc (scoring engine)'!$K$5:$K$528,15),-999999)&lt;=-900000),"",IFERROR(IF(INDEX(Database!$F$5:$F$528,MATCH(LARGE('Calc (scoring engine)'!$K$5:$K$528,15),'Calc (scoring engine)'!$K$5:$K$528,0))="","—",INDEX(Database!$F$5:$F$528,MATCH(LARGE('Calc (scoring engine)'!$K$5:$K$528,15),'Calc (scoring engine)'!$K$5:$K$528,0))),""))</ns0:f>
        <ns0:v/>
      </ns0:c>
      <ns0:c r="G35" s="24">
        <ns0:f>IF(OR(15&gt;MAX(3,MIN(15,N($D$18))),IFERROR(LARGE('Calc (scoring engine)'!$K$5:$K$528,15),-999999)&lt;=-900000),"",IFERROR(IF(INDEX(Database!$G$5:$G$528,MATCH(LARGE('Calc (scoring engine)'!$K$5:$K$528,15),'Calc (scoring engine)'!$K$5:$K$528,0))="","—",INDEX(Database!$G$5:$G$528,MATCH(LARGE('Calc (scoring engine)'!$K$5:$K$528,15),'Calc (scoring engine)'!$K$5:$K$528,0))),""))</ns0:f>
        <ns0:v/>
      </ns0:c>
      <ns0:c r="H35" s="36">
        <ns0:f>IF(OR(15&gt;MAX(3,MIN(15,N($D$18))),IFERROR(LARGE('Calc (scoring engine)'!$K$5:$K$528,15),-999999)&lt;=-900000),"",IFERROR(IF(INDEX(Database!$H$5:$H$528,MATCH(LARGE('Calc (scoring engine)'!$K$5:$K$528,15),'Calc (scoring engine)'!$K$5:$K$528,0))="","—",INDEX(Database!$H$5:$H$528,MATCH(LARGE('Calc (scoring engine)'!$K$5:$K$528,15),'Calc (scoring engine)'!$K$5:$K$528,0))),""))</ns0:f>
        <ns0:v/>
      </ns0:c>
      <ns0:c r="I35" s="34">
        <ns0:f>IF(OR(15&gt;MAX(3,MIN(15,N($D$18))),IFERROR(LARGE('Calc (scoring engine)'!$K$5:$K$528,15),-999999)&lt;=-900000),"",IFERROR(IF(INDEX(Database!$I$5:$I$528,MATCH(LARGE('Calc (scoring engine)'!$K$5:$K$528,15),'Calc (scoring engine)'!$K$5:$K$528,0))="","—",INDEX(Database!$I$5:$I$528,MATCH(LARGE('Calc (scoring engine)'!$K$5:$K$528,15),'Calc (scoring engine)'!$K$5:$K$528,0))),""))</ns0:f>
        <ns0:v/>
      </ns0:c>
      <ns0:c r="J35" s="54">
        <ns0:f>IF(OR(15&gt;MAX(3,MIN(15,N($D$18))),IFERROR(LARGE('Calc (scoring engine)'!$K$5:$K$528,15),-999999)&lt;=-900000),"",IFERROR(IF(INDEX(Database!$K$5:$K$528,MATCH(LARGE('Calc (scoring engine)'!$K$5:$K$528,15),'Calc (scoring engine)'!$K$5:$K$528,0))="","—",INDEX(Database!$K$5:$K$528,MATCH(LARGE('Calc (scoring engine)'!$K$5:$K$528,15),'Calc (scoring engine)'!$K$5:$K$528,0))),""))</ns0:f>
        <ns0:v/>
      </ns0:c>
      <ns0:c r="K35" s="54">
        <ns0:f>IF(OR(15&gt;MAX(3,MIN(15,N($D$18))),IFERROR(LARGE('Calc (scoring engine)'!$K$5:$K$528,15),-999999)&lt;=-900000),"",IFERROR(IF(INDEX(Database!$L$5:$L$528,MATCH(LARGE('Calc (scoring engine)'!$K$5:$K$528,15),'Calc (scoring engine)'!$K$5:$K$528,0))="","—",INDEX(Database!$L$5:$L$528,MATCH(LARGE('Calc (scoring engine)'!$K$5:$K$528,15),'Calc (scoring engine)'!$K$5:$K$528,0))),""))</ns0:f>
        <ns0:v/>
      </ns0:c>
      <ns0:c r="L35" s="54">
        <ns0:f>IF(OR(15&gt;MAX(3,MIN(15,N($D$18))),IFERROR(LARGE('Calc (scoring engine)'!$K$5:$K$528,15),-999999)&lt;=-900000),"",IFERROR(IF(INDEX(Database!$M$5:$M$528,MATCH(LARGE('Calc (scoring engine)'!$K$5:$K$528,15),'Calc (scoring engine)'!$K$5:$K$528,0))="","—",INDEX(Database!$M$5:$M$528,MATCH(LARGE('Calc (scoring engine)'!$K$5:$K$528,15),'Calc (scoring engine)'!$K$5:$K$528,0))),""))</ns0:f>
        <ns0:v/>
      </ns0:c>
      <ns0:c r="M35" s="24">
        <ns0:f>IF(OR(15&gt;MAX(3,MIN(15,N($D$18))),IFERROR(LARGE('Calc (scoring engine)'!$K$5:$K$528,15),-999999)&lt;=-900000),"",IFERROR(IF(INDEX(Database!$N$5:$N$528,MATCH(LARGE('Calc (scoring engine)'!$K$5:$K$528,15),'Calc (scoring engine)'!$K$5:$K$528,0))="","—",INDEX(Database!$N$5:$N$528,MATCH(LARGE('Calc (scoring engine)'!$K$5:$K$528,15),'Calc (scoring engine)'!$K$5:$K$528,0))),""))</ns0:f>
        <ns0:v/>
      </ns0:c>
      <ns0:c r="N35" s="44">
        <ns0:f>IF(OR(15&gt;MAX(3,MIN(15,N($D$18))),IFERROR(LARGE('Calc (scoring engine)'!$K$5:$K$528,15),-999999)&lt;=-900000),"",IFERROR(IF(INDEX(Database!$O$5:$O$528,MATCH(LARGE('Calc (scoring engine)'!$K$5:$K$528,15),'Calc (scoring engine)'!$K$5:$K$528,0))="","—",INDEX(Database!$O$5:$O$528,MATCH(LARGE('Calc (scoring engine)'!$K$5:$K$528,15),'Calc (scoring engine)'!$K$5:$K$528,0))),""))</ns0:f>
        <ns0:v/>
      </ns0:c>
      <ns0:c r="O35" s="44">
        <ns0:f>IF(OR(15&gt;MAX(3,MIN(15,N($D$18))),IFERROR(LARGE('Calc (scoring engine)'!$K$5:$K$528,15),-999999)&lt;=-900000),"",IFERROR(IF(INDEX(Database!$P$5:$P$528,MATCH(LARGE('Calc (scoring engine)'!$K$5:$K$528,15),'Calc (scoring engine)'!$K$5:$K$528,0))="","—",INDEX(Database!$P$5:$P$528,MATCH(LARGE('Calc (scoring engine)'!$K$5:$K$528,15),'Calc (scoring engine)'!$K$5:$K$528,0))),""))</ns0:f>
        <ns0:v/>
      </ns0:c>
      <ns0:c r="P35" s="34">
        <ns0:f>IF(OR(15&gt;MAX(3,MIN(15,N($D$18))),IFERROR(LARGE('Calc (scoring engine)'!$K$5:$K$528,15),-999999)&lt;=-900000),"",IFERROR(IF(INDEX(Database!$Q$5:$Q$528,MATCH(LARGE('Calc (scoring engine)'!$K$5:$K$528,15),'Calc (scoring engine)'!$K$5:$K$528,0))="","—",INDEX(Database!$Q$5:$Q$528,MATCH(LARGE('Calc (scoring engine)'!$K$5:$K$528,15),'Calc (scoring engine)'!$K$5:$K$528,0))),""))</ns0:f>
        <ns0:v/>
      </ns0:c>
      <ns0:c r="Q35" s="41">
        <ns0:f>IF(OR(15&gt;MAX(3,MIN(15,N($D$18))),IFERROR(LARGE('Calc (scoring engine)'!$K$5:$K$528,15),-999999)&lt;=-900000),"",IFERROR(IF(INDEX(Database!$S$5:$S$528,MATCH(LARGE('Calc (scoring engine)'!$K$5:$K$528,15),'Calc (scoring engine)'!$K$5:$K$528,0))="","—",INDEX(Database!$S$5:$S$528,MATCH(LARGE('Calc (scoring engine)'!$K$5:$K$528,15),'Calc (scoring engine)'!$K$5:$K$528,0))),""))</ns0:f>
        <ns0:v/>
      </ns0:c>
      <ns0:c r="R35" s="55">
        <ns0:f>IF(OR(15&gt;MAX(3,MIN(15,N($D$18))),IFERROR(LARGE('Calc (scoring engine)'!$K$5:$K$528,15),-999999)&lt;=-900000),"",IFERROR(IF(INDEX(Database!$T$5:$T$528,MATCH(LARGE('Calc (scoring engine)'!$K$5:$K$528,15),'Calc (scoring engine)'!$K$5:$K$528,0))="","—",INDEX(Database!$T$5:$T$528,MATCH(LARGE('Calc (scoring engine)'!$K$5:$K$528,15),'Calc (scoring engine)'!$K$5:$K$528,0))),""))</ns0:f>
        <ns0:v/>
      </ns0:c>
      <ns0:c r="S35" s="56">
        <ns0:f>IF(OR(15&gt;MAX(3,MIN(15,N($D$18))),IFERROR(LARGE('Calc (scoring engine)'!$K$5:$K$528,15),-999999)&lt;=-900000),"",IFERROR(IF(INDEX(Database!$U$5:$U$528,MATCH(LARGE('Calc (scoring engine)'!$K$5:$K$528,15),'Calc (scoring engine)'!$K$5:$K$528,0))="","—",INDEX(Database!$U$5:$U$528,MATCH(LARGE('Calc (scoring engine)'!$K$5:$K$528,15),'Calc (scoring engine)'!$K$5:$K$528,0))),""))</ns0:f>
        <ns0:v/>
      </ns0:c>
      <ns0:c r="T35" s="57">
        <ns0:f>IF(OR(15&gt;MAX(3,MIN(15,N($D$18))),IFERROR(LARGE('Calc (scoring engine)'!$K$5:$K$528,15),-999999)&lt;=-900000),"",IFERROR(IF(INDEX(Database!$V$5:$V$528,MATCH(LARGE('Calc (scoring engine)'!$K$5:$K$528,15),'Calc (scoring engine)'!$K$5:$K$528,0))="","—",INDEX(Database!$V$5:$V$528,MATCH(LARGE('Calc (scoring engine)'!$K$5:$K$528,15),'Calc (scoring engine)'!$K$5:$K$528,0))),""))</ns0:f>
        <ns0:v/>
      </ns0:c>
      <ns0:c r="U35" s="44">
        <ns0:f>IF(OR(15&gt;MAX(3,MIN(15,N($D$18))),IFERROR(LARGE('Calc (scoring engine)'!$K$5:$K$528,15),-999999)&lt;=-900000),"",IFERROR(IF(INDEX(Database!$W$5:$W$528,MATCH(LARGE('Calc (scoring engine)'!$K$5:$K$528,15),'Calc (scoring engine)'!$K$5:$K$528,0))="","—",INDEX(Database!$W$5:$W$528,MATCH(LARGE('Calc (scoring engine)'!$K$5:$K$528,15),'Calc (scoring engine)'!$K$5:$K$528,0))),""))</ns0:f>
        <ns0:v/>
      </ns0:c>
      <ns0:c r="V35" s="24">
        <ns0:f>IF(OR(15&gt;MAX(3,MIN(15,N($D$18))),IFERROR(LARGE('Calc (scoring engine)'!$K$5:$K$528,15),-999999)&lt;=-900000),"",IFERROR(IF(INDEX(Database!$X$5:$X$528,MATCH(LARGE('Calc (scoring engine)'!$K$5:$K$528,15),'Calc (scoring engine)'!$K$5:$K$528,0))="","—",INDEX(Database!$X$5:$X$528,MATCH(LARGE('Calc (scoring engine)'!$K$5:$K$528,15),'Calc (scoring engine)'!$K$5:$K$528,0))),""))</ns0:f>
        <ns0:v/>
      </ns0:c>
      <ns0:c r="W35" s="34">
        <ns0:f>IF(OR(15&gt;MAX(3,MIN(15,N($D$18))),IFERROR(LARGE('Calc (scoring engine)'!$K$5:$K$528,15),-999999)&lt;=-900000),"",IFERROR(IF(INDEX(Database!$Y$5:$Y$528,MATCH(LARGE('Calc (scoring engine)'!$K$5:$K$528,15),'Calc (scoring engine)'!$K$5:$K$528,0))="","—",INDEX(Database!$Y$5:$Y$528,MATCH(LARGE('Calc (scoring engine)'!$K$5:$K$528,15),'Calc (scoring engine)'!$K$5:$K$528,0))),""))</ns0:f>
        <ns0:v/>
      </ns0:c>
      <ns0:c r="X35" s="34">
        <ns0:f>IF(OR(15&gt;MAX(3,MIN(15,N($D$18))),IFERROR(LARGE('Calc (scoring engine)'!$K$5:$K$528,15),-999999)&lt;=-900000),"",IFERROR(IF(INDEX(Database!$Z$5:$Z$528,MATCH(LARGE('Calc (scoring engine)'!$K$5:$K$528,15),'Calc (scoring engine)'!$K$5:$K$528,0))="","—",INDEX(Database!$Z$5:$Z$528,MATCH(LARGE('Calc (scoring engine)'!$K$5:$K$528,15),'Calc (scoring engine)'!$K$5:$K$528,0))),""))</ns0:f>
        <ns0:v/>
      </ns0:c>
      <ns0:c r="Y35" s="44">
        <ns0:f>IF(OR(15&gt;MAX(3,MIN(15,N($D$18))),IFERROR(LARGE('Calc (scoring engine)'!$K$5:$K$528,15),-999999)&lt;=-900000),"",IFERROR(IF(INDEX(Database!$AA$5:$AA$528,MATCH(LARGE('Calc (scoring engine)'!$K$5:$K$528,15),'Calc (scoring engine)'!$K$5:$K$528,0))="","—",INDEX(Database!$AA$5:$AA$528,MATCH(LARGE('Calc (scoring engine)'!$K$5:$K$528,15),'Calc (scoring engine)'!$K$5:$K$528,0))),""))</ns0:f>
        <ns0:v/>
      </ns0:c>
      <ns0:c r="Z35" s="24">
        <ns0:f>IF(OR(15&gt;MAX(3,MIN(15,N($D$18))),IFERROR(LARGE('Calc (scoring engine)'!$K$5:$K$528,15),-999999)&lt;=-900000),"",IFERROR(IF(INDEX(Database!$AB$5:$AB$528,MATCH(LARGE('Calc (scoring engine)'!$K$5:$K$528,15),'Calc (scoring engine)'!$K$5:$K$528,0))="","—",INDEX(Database!$AB$5:$AB$528,MATCH(LARGE('Calc (scoring engine)'!$K$5:$K$528,15),'Calc (scoring engine)'!$K$5:$K$528,0))),""))</ns0:f>
        <ns0:v/>
      </ns0:c>
      <ns0:c r="AA35" s="44">
        <ns0:f>IF(OR(15&gt;MAX(3,MIN(15,N($D$18))),IFERROR(LARGE('Calc (scoring engine)'!$K$5:$K$528,15),-999999)&lt;=-900000),"",IFERROR(IF(INDEX(Database!$AD$5:$AD$528,MATCH(LARGE('Calc (scoring engine)'!$K$5:$K$528,15),'Calc (scoring engine)'!$K$5:$K$528,0))="","—",INDEX(Database!$AD$5:$AD$528,MATCH(LARGE('Calc (scoring engine)'!$K$5:$K$528,15),'Calc (scoring engine)'!$K$5:$K$528,0))),""))</ns0:f>
        <ns0:v/>
      </ns0:c>
      <ns0:c r="AB35" s="24">
        <ns0:f>IF(OR(15&gt;MAX(3,MIN(15,N($D$18))),IFERROR(LARGE('Calc (scoring engine)'!$K$5:$K$528,15),-999999)&lt;=-900000),"",IFERROR(IF(INDEX(Database!$AE$5:$AE$528,MATCH(LARGE('Calc (scoring engine)'!$K$5:$K$528,15),'Calc (scoring engine)'!$K$5:$K$528,0))="","—",INDEX(Database!$AE$5:$AE$528,MATCH(LARGE('Calc (scoring engine)'!$K$5:$K$528,15),'Calc (scoring engine)'!$K$5:$K$528,0))),""))</ns0:f>
        <ns0:v/>
      </ns0:c>
      <ns0:c r="AC35" s="24">
        <ns0:f>IF(OR(15&gt;MAX(3,MIN(15,N($D$18))),IFERROR(LARGE('Calc (scoring engine)'!$K$5:$K$528,15),-999999)&lt;=-900000),"",IFERROR(IF(INDEX(Database!$AF$5:$AF$528,MATCH(LARGE('Calc (scoring engine)'!$K$5:$K$528,15),'Calc (scoring engine)'!$K$5:$K$528,0))="","—",INDEX(Database!$AF$5:$AF$528,MATCH(LARGE('Calc (scoring engine)'!$K$5:$K$528,15),'Calc (scoring engine)'!$K$5:$K$528,0))),""))</ns0:f>
        <ns0:v/>
      </ns0:c>
      <ns0:c r="AD35" s="24">
        <ns0:f>IF(OR(15&gt;MAX(3,MIN(15,N($D$18))),IFERROR(LARGE('Calc (scoring engine)'!$K$5:$K$528,15),-999999)&lt;=-900000),"",IFERROR(IF(INDEX(Database!$AG$5:$AG$528,MATCH(LARGE('Calc (scoring engine)'!$K$5:$K$528,15),'Calc (scoring engine)'!$K$5:$K$528,0))="","—",INDEX(Database!$AG$5:$AG$528,MATCH(LARGE('Calc (scoring engine)'!$K$5:$K$528,15),'Calc (scoring engine)'!$K$5:$K$528,0))),""))</ns0:f>
        <ns0:v/>
      </ns0:c>
      <ns0:c r="AE35" s="24">
        <ns0:f>IF(OR(15&gt;MAX(3,MIN(15,N($D$18))),IFERROR(LARGE('Calc (scoring engine)'!$K$5:$K$528,15),-999999)&lt;=-900000),"",IFERROR(IF(INDEX(Database!$AH$5:$AH$528,MATCH(LARGE('Calc (scoring engine)'!$K$5:$K$528,15),'Calc (scoring engine)'!$K$5:$K$528,0))="","—",INDEX(Database!$AH$5:$AH$528,MATCH(LARGE('Calc (scoring engine)'!$K$5:$K$528,15),'Calc (scoring engine)'!$K$5:$K$528,0))),""))</ns0:f>
        <ns0:v/>
      </ns0:c>
      <ns0:c r="AF35" s="38">
        <ns0:f>IF(OR(15&gt;MAX(3,MIN(15,N($D$18))),IFERROR(LARGE('Calc (scoring engine)'!$K$5:$K$528,15),-999999)&lt;=-900000),"",IFERROR(IF(INDEX(Database!$AI$5:$AI$528,MATCH(LARGE('Calc (scoring engine)'!$K$5:$K$528,15),'Calc (scoring engine)'!$K$5:$K$528,0))="","—",INDEX(Database!$AI$5:$AI$528,MATCH(LARGE('Calc (scoring engine)'!$K$5:$K$528,15),'Calc (scoring engine)'!$K$5:$K$528,0))),""))</ns0:f>
        <ns0:v/>
      </ns0:c>
      <ns0:c r="AG35" s="38">
        <ns0:f>IF(OR(15&gt;MAX(3,MIN(15,N($D$18))),IFERROR(LARGE('Calc (scoring engine)'!$K$5:$K$528,15),-999999)&lt;=-900000),"",IFERROR(IF(INDEX(Database!$AJ$5:$AJ$528,MATCH(LARGE('Calc (scoring engine)'!$K$5:$K$528,15),'Calc (scoring engine)'!$K$5:$K$528,0))="","—",INDEX(Database!$AJ$5:$AJ$528,MATCH(LARGE('Calc (scoring engine)'!$K$5:$K$528,15),'Calc (scoring engine)'!$K$5:$K$528,0))),""))</ns0:f>
        <ns0:v/>
      </ns0:c>
      <ns0:c r="AH35" s="38">
        <ns0:f>IF(OR(15&gt;MAX(3,MIN(15,N($D$18))),IFERROR(LARGE('Calc (scoring engine)'!$K$5:$K$528,15),-999999)&lt;=-900000),"",IFERROR(IF(INDEX(Database!$AK$5:$AK$528,MATCH(LARGE('Calc (scoring engine)'!$K$5:$K$528,15),'Calc (scoring engine)'!$K$5:$K$528,0))="","—",INDEX(Database!$AK$5:$AK$528,MATCH(LARGE('Calc (scoring engine)'!$K$5:$K$528,15),'Calc (scoring engine)'!$K$5:$K$528,0))),""))</ns0:f>
        <ns0:v/>
      </ns0:c>
      <ns0:c r="AI35" s="38">
        <ns0:f>IF(OR(15&gt;MAX(3,MIN(15,N($D$18))),IFERROR(LARGE('Calc (scoring engine)'!$K$5:$K$528,15),-999999)&lt;=-900000),"",IFERROR(IF(INDEX(Database!$AL$5:$AL$528,MATCH(LARGE('Calc (scoring engine)'!$K$5:$K$528,15),'Calc (scoring engine)'!$K$5:$K$528,0))="","—",INDEX(Database!$AL$5:$AL$528,MATCH(LARGE('Calc (scoring engine)'!$K$5:$K$528,15),'Calc (scoring engine)'!$K$5:$K$528,0))),""))</ns0:f>
        <ns0:v/>
      </ns0:c>
      <ns0:c r="AJ35" s="38">
        <ns0:f>IF(OR(15&gt;MAX(3,MIN(15,N($D$18))),IFERROR(LARGE('Calc (scoring engine)'!$K$5:$K$528,15),-999999)&lt;=-900000),"",IFERROR(IF(INDEX(Database!$AM$5:$AM$528,MATCH(LARGE('Calc (scoring engine)'!$K$5:$K$528,15),'Calc (scoring engine)'!$K$5:$K$528,0))="","—",INDEX(Database!$AM$5:$AM$528,MATCH(LARGE('Calc (scoring engine)'!$K$5:$K$528,15),'Calc (scoring engine)'!$K$5:$K$528,0))),""))</ns0:f>
        <ns0:v/>
      </ns0:c>
      <ns0:c r="AK35" s="39">
        <ns0:f>IF(OR(15&gt;MAX(3,MIN(15,N($D$18))),IFERROR(LARGE('Calc (scoring engine)'!$K$5:$K$528,15),-999999)&lt;=-900000),"",IFERROR(IF(INDEX(Database!$AN$5:$AN$528,MATCH(LARGE('Calc (scoring engine)'!$K$5:$K$528,15),'Calc (scoring engine)'!$K$5:$K$528,0))="","—",INDEX(Database!$AN$5:$AN$528,MATCH(LARGE('Calc (scoring engine)'!$K$5:$K$528,15),'Calc (scoring engine)'!$K$5:$K$528,0))),""))</ns0:f>
        <ns0:v/>
      </ns0:c>
      <ns0:c r="AL35" s="44">
        <ns0:f>IF(OR(15&gt;MAX(3,MIN(15,N($D$18))),IFERROR(LARGE('Calc (scoring engine)'!$K$5:$K$528,15),-999999)&lt;=-900000),"",IFERROR(IF(INDEX(Database!$AO$5:$AO$528,MATCH(LARGE('Calc (scoring engine)'!$K$5:$K$528,15),'Calc (scoring engine)'!$K$5:$K$528,0))="","—",INDEX(Database!$AO$5:$AO$528,MATCH(LARGE('Calc (scoring engine)'!$K$5:$K$528,15),'Calc (scoring engine)'!$K$5:$K$528,0))),""))</ns0:f>
        <ns0:v/>
      </ns0:c>
      <ns0:c r="AM35" s="38">
        <ns0:f>IF(OR(15&gt;MAX(3,MIN(15,N($D$18))),IFERROR(LARGE('Calc (scoring engine)'!$K$5:$K$528,15),-999999)&lt;=-900000),"",IFERROR(IF(INDEX(Database!$AP$5:$AP$528,MATCH(LARGE('Calc (scoring engine)'!$K$5:$K$528,15),'Calc (scoring engine)'!$K$5:$K$528,0))="","—",INDEX(Database!$AP$5:$AP$528,MATCH(LARGE('Calc (scoring engine)'!$K$5:$K$528,15),'Calc (scoring engine)'!$K$5:$K$528,0))),""))</ns0:f>
        <ns0:v/>
      </ns0:c>
      <ns0:c r="AN35" s="38">
        <ns0:f>IF(OR(15&gt;MAX(3,MIN(15,N($D$18))),IFERROR(LARGE('Calc (scoring engine)'!$K$5:$K$528,15),-999999)&lt;=-900000),"",IFERROR(IF(INDEX(Database!$AQ$5:$AQ$528,MATCH(LARGE('Calc (scoring engine)'!$K$5:$K$528,15),'Calc (scoring engine)'!$K$5:$K$528,0))="","—",INDEX(Database!$AQ$5:$AQ$528,MATCH(LARGE('Calc (scoring engine)'!$K$5:$K$528,15),'Calc (scoring engine)'!$K$5:$K$528,0))),""))</ns0:f>
        <ns0:v/>
      </ns0:c>
      <ns0:c r="AO35" s="38">
        <ns0:f>IF(OR(15&gt;MAX(3,MIN(15,N($D$18))),IFERROR(LARGE('Calc (scoring engine)'!$K$5:$K$528,15),-999999)&lt;=-900000),"",IFERROR(IF(INDEX(Database!$AR$5:$AR$528,MATCH(LARGE('Calc (scoring engine)'!$K$5:$K$528,15),'Calc (scoring engine)'!$K$5:$K$528,0))="","—",INDEX(Database!$AR$5:$AR$528,MATCH(LARGE('Calc (scoring engine)'!$K$5:$K$528,15),'Calc (scoring engine)'!$K$5:$K$528,0))),""))</ns0:f>
        <ns0:v/>
      </ns0:c>
      <ns0:c r="AP35" s="38">
        <ns0:f>IF(OR(15&gt;MAX(3,MIN(15,N($D$18))),IFERROR(LARGE('Calc (scoring engine)'!$K$5:$K$528,15),-999999)&lt;=-900000),"",IFERROR(IF(INDEX(Database!$AS$5:$AS$528,MATCH(LARGE('Calc (scoring engine)'!$K$5:$K$528,15),'Calc (scoring engine)'!$K$5:$K$528,0))="","—",INDEX(Database!$AS$5:$AS$528,MATCH(LARGE('Calc (scoring engine)'!$K$5:$K$528,15),'Calc (scoring engine)'!$K$5:$K$528,0))),""))</ns0:f>
        <ns0:v/>
      </ns0:c>
      <ns0:c r="AQ35" s="38">
        <ns0:f>IF(OR(15&gt;MAX(3,MIN(15,N($D$18))),IFERROR(LARGE('Calc (scoring engine)'!$K$5:$K$528,15),-999999)&lt;=-900000),"",IFERROR(IF(INDEX(Database!$AT$5:$AT$528,MATCH(LARGE('Calc (scoring engine)'!$K$5:$K$528,15),'Calc (scoring engine)'!$K$5:$K$528,0))="","—",INDEX(Database!$AT$5:$AT$528,MATCH(LARGE('Calc (scoring engine)'!$K$5:$K$528,15),'Calc (scoring engine)'!$K$5:$K$528,0))),""))</ns0:f>
        <ns0:v/>
      </ns0:c>
      <ns0:c r="AR35" s="38">
        <ns0:f>IF(OR(15&gt;MAX(3,MIN(15,N($D$18))),IFERROR(LARGE('Calc (scoring engine)'!$K$5:$K$528,15),-999999)&lt;=-900000),"",IFERROR(IF(INDEX(Database!$AU$5:$AU$528,MATCH(LARGE('Calc (scoring engine)'!$K$5:$K$528,15),'Calc (scoring engine)'!$K$5:$K$528,0))="","—",INDEX(Database!$AU$5:$AU$528,MATCH(LARGE('Calc (scoring engine)'!$K$5:$K$528,15),'Calc (scoring engine)'!$K$5:$K$528,0))),""))</ns0:f>
        <ns0:v/>
      </ns0:c>
      <ns0:c r="AS35" s="38">
        <ns0:f>IF(OR(15&gt;MAX(3,MIN(15,N($D$18))),IFERROR(LARGE('Calc (scoring engine)'!$K$5:$K$528,15),-999999)&lt;=-900000),"",IFERROR(IF(INDEX(Database!$AV$5:$AV$528,MATCH(LARGE('Calc (scoring engine)'!$K$5:$K$528,15),'Calc (scoring engine)'!$K$5:$K$528,0))="","—",INDEX(Database!$AV$5:$AV$528,MATCH(LARGE('Calc (scoring engine)'!$K$5:$K$528,15),'Calc (scoring engine)'!$K$5:$K$528,0))),""))</ns0:f>
        <ns0:v/>
      </ns0:c>
      <ns0:c r="AT35" s="38">
        <ns0:f>IF(OR(15&gt;MAX(3,MIN(15,N($D$18))),IFERROR(LARGE('Calc (scoring engine)'!$K$5:$K$528,15),-999999)&lt;=-900000),"",IFERROR(IF(INDEX(Database!$AW$5:$AW$528,MATCH(LARGE('Calc (scoring engine)'!$K$5:$K$528,15),'Calc (scoring engine)'!$K$5:$K$528,0))="","—",INDEX(Database!$AW$5:$AW$528,MATCH(LARGE('Calc (scoring engine)'!$K$5:$K$528,15),'Calc (scoring engine)'!$K$5:$K$528,0))),""))</ns0:f>
        <ns0:v/>
      </ns0:c>
      <ns0:c r="AU35" s="38">
        <ns0:f>IF(OR(15&gt;MAX(3,MIN(15,N($D$18))),IFERROR(LARGE('Calc (scoring engine)'!$K$5:$K$528,15),-999999)&lt;=-900000),"",IFERROR(IF(INDEX(Database!$AX$5:$AX$528,MATCH(LARGE('Calc (scoring engine)'!$K$5:$K$528,15),'Calc (scoring engine)'!$K$5:$K$528,0))="","—",INDEX(Database!$AX$5:$AX$528,MATCH(LARGE('Calc (scoring engine)'!$K$5:$K$528,15),'Calc (scoring engine)'!$K$5:$K$528,0))),""))</ns0:f>
        <ns0:v/>
      </ns0:c>
      <ns0:c r="AV35" s="38">
        <ns0:f>IF(OR(15&gt;MAX(3,MIN(15,N($D$18))),IFERROR(LARGE('Calc (scoring engine)'!$K$5:$K$528,15),-999999)&lt;=-900000),"",IFERROR(IF(INDEX(Database!$AY$5:$AY$528,MATCH(LARGE('Calc (scoring engine)'!$K$5:$K$528,15),'Calc (scoring engine)'!$K$5:$K$528,0))="","—",INDEX(Database!$AY$5:$AY$528,MATCH(LARGE('Calc (scoring engine)'!$K$5:$K$528,15),'Calc (scoring engine)'!$K$5:$K$528,0))),""))</ns0:f>
        <ns0:v/>
      </ns0:c>
      <ns0:c r="AW35" s="38">
        <ns0:f>IF(OR(15&gt;MAX(3,MIN(15,N($D$18))),IFERROR(LARGE('Calc (scoring engine)'!$K$5:$K$528,15),-999999)&lt;=-900000),"",IFERROR(IF(INDEX(Database!$AZ$5:$AZ$528,MATCH(LARGE('Calc (scoring engine)'!$K$5:$K$528,15),'Calc (scoring engine)'!$K$5:$K$528,0))="","—",INDEX(Database!$AZ$5:$AZ$528,MATCH(LARGE('Calc (scoring engine)'!$K$5:$K$528,15),'Calc (scoring engine)'!$K$5:$K$528,0))),""))</ns0:f>
        <ns0:v/>
      </ns0:c>
      <ns0:c r="AX35" s="38">
        <ns0:f>IF(OR(15&gt;MAX(3,MIN(15,N($D$18))),IFERROR(LARGE('Calc (scoring engine)'!$K$5:$K$528,15),-999999)&lt;=-900000),"",IFERROR(IF(INDEX(Database!$BA$5:$BA$528,MATCH(LARGE('Calc (scoring engine)'!$K$5:$K$528,15),'Calc (scoring engine)'!$K$5:$K$528,0))="","—",INDEX(Database!$BA$5:$BA$528,MATCH(LARGE('Calc (scoring engine)'!$K$5:$K$528,15),'Calc (scoring engine)'!$K$5:$K$528,0))),""))</ns0:f>
        <ns0:v/>
      </ns0:c>
      <ns0:c r="AY35" s="38">
        <ns0:f>IF(OR(15&gt;MAX(3,MIN(15,N($D$18))),IFERROR(LARGE('Calc (scoring engine)'!$K$5:$K$528,15),-999999)&lt;=-900000),"",IFERROR(IF(INDEX(Database!$BC$5:$BC$528,MATCH(LARGE('Calc (scoring engine)'!$K$5:$K$528,15),'Calc (scoring engine)'!$K$5:$K$528,0))="","—",INDEX(Database!$BC$5:$BC$528,MATCH(LARGE('Calc (scoring engine)'!$K$5:$K$528,15),'Calc (scoring engine)'!$K$5:$K$528,0))),""))</ns0:f>
        <ns0:v/>
      </ns0:c>
      <ns0:c r="AZ35" s="34">
        <ns0:f>IF(OR(15&gt;MAX(3,MIN(15,N($D$18))),IFERROR(LARGE('Calc (scoring engine)'!$K$5:$K$528,15),-999999)&lt;=-900000),"",IFERROR(IF(INDEX(Database!$BE$5:$BE$528,MATCH(LARGE('Calc (scoring engine)'!$K$5:$K$528,15),'Calc (scoring engine)'!$K$5:$K$528,0))="","—",INDEX(Database!$BE$5:$BE$528,MATCH(LARGE('Calc (scoring engine)'!$K$5:$K$528,15),'Calc (scoring engine)'!$K$5:$K$528,0))),""))</ns0:f>
        <ns0:v/>
      </ns0:c>
      <ns0:c r="BA35" s="34">
        <ns0:f>IF(OR(15&gt;MAX(3,MIN(15,N($D$18))),IFERROR(LARGE('Calc (scoring engine)'!$K$5:$K$528,15),-999999)&lt;=-900000),"",IFERROR(IF(INDEX(Database!$BF$5:$BF$528,MATCH(LARGE('Calc (scoring engine)'!$K$5:$K$528,15),'Calc (scoring engine)'!$K$5:$K$528,0))="","—",INDEX(Database!$BF$5:$BF$528,MATCH(LARGE('Calc (scoring engine)'!$K$5:$K$528,15),'Calc (scoring engine)'!$K$5:$K$528,0))),""))</ns0:f>
        <ns0:v/>
      </ns0:c>
      <ns0:c r="BB35" s="24">
        <ns0:f>IF(OR(15&gt;MAX(3,MIN(15,N($D$18))),IFERROR(LARGE('Calc (scoring engine)'!$K$5:$K$528,15),-999999)&lt;=-900000),"",IFERROR(IF(INDEX(Database!$BG$5:$BG$528,MATCH(LARGE('Calc (scoring engine)'!$K$5:$K$528,15),'Calc (scoring engine)'!$K$5:$K$528,0))="","—",INDEX(Database!$BG$5:$BG$528,MATCH(LARGE('Calc (scoring engine)'!$K$5:$K$528,15),'Calc (scoring engine)'!$K$5:$K$528,0))),""))</ns0:f>
        <ns0:v/>
      </ns0:c>
      <ns0:c r="BC35" s="39">
        <ns0:f>IF(OR(15&gt;MAX(3,MIN(15,N($D$18))),IFERROR(LARGE('Calc (scoring engine)'!$K$5:$K$528,15),-999999)&lt;=-900000),"",IFERROR(IF(N(INDEX(Database!$BH$5:$BH$528,MATCH(LARGE('Calc (scoring engine)'!$K$5:$K$528,15),'Calc (scoring engine)'!$K$5:$K$528,0)))&lt;=0,IF(INDEX(Database!$BG$5:$BG$528,MATCH(LARGE('Calc (scoring engine)'!$K$5:$K$528,15),'Calc (scoring engine)'!$K$5:$K$528,0))="N","n/m","—"),INDEX(Database!$BH$5:$BH$528,MATCH(LARGE('Calc (scoring engine)'!$K$5:$K$528,15),'Calc (scoring engine)'!$K$5:$K$528,0))),""))</ns0:f>
        <ns0:v/>
      </ns0:c>
      <ns0:c r="BD35" s="39">
        <ns0:f>IF(OR(15&gt;MAX(3,MIN(15,N($D$18))),IFERROR(LARGE('Calc (scoring engine)'!$K$5:$K$528,15),-999999)&lt;=-900000),"",IFERROR(IF(INDEX(Database!$BI$5:$BI$528,MATCH(LARGE('Calc (scoring engine)'!$K$5:$K$528,15),'Calc (scoring engine)'!$K$5:$K$528,0))="","—",INDEX(Database!$BI$5:$BI$528,MATCH(LARGE('Calc (scoring engine)'!$K$5:$K$528,15),'Calc (scoring engine)'!$K$5:$K$528,0))),""))</ns0:f>
        <ns0:v/>
      </ns0:c>
      <ns0:c r="BE35" s="39">
        <ns0:f>IF(OR(15&gt;MAX(3,MIN(15,N($D$18))),IFERROR(LARGE('Calc (scoring engine)'!$K$5:$K$528,15),-999999)&lt;=-900000),"",IFERROR(IF(INDEX(Database!$BJ$5:$BJ$528,MATCH(LARGE('Calc (scoring engine)'!$K$5:$K$528,15),'Calc (scoring engine)'!$K$5:$K$528,0))="","—",INDEX(Database!$BJ$5:$BJ$528,MATCH(LARGE('Calc (scoring engine)'!$K$5:$K$528,15),'Calc (scoring engine)'!$K$5:$K$528,0))),""))</ns0:f>
        <ns0:v/>
      </ns0:c>
      <ns0:c r="BF35" s="39">
        <ns0:f>IF(OR(15&gt;MAX(3,MIN(15,N($D$18))),IFERROR(LARGE('Calc (scoring engine)'!$K$5:$K$528,15),-999999)&lt;=-900000),"",IFERROR(IF(INDEX(Database!$BK$5:$BK$528,MATCH(LARGE('Calc (scoring engine)'!$K$5:$K$528,15),'Calc (scoring engine)'!$K$5:$K$528,0))="","—",INDEX(Database!$BK$5:$BK$528,MATCH(LARGE('Calc (scoring engine)'!$K$5:$K$528,15),'Calc (scoring engine)'!$K$5:$K$528,0))),""))</ns0:f>
        <ns0:v/>
      </ns0:c>
      <ns0:c r="BG35" s="39">
        <ns0:f>IF(OR(15&gt;MAX(3,MIN(15,N($D$18))),IFERROR(LARGE('Calc (scoring engine)'!$K$5:$K$528,15),-999999)&lt;=-900000),"",IFERROR(IF(INDEX(Database!$BL$5:$BL$528,MATCH(LARGE('Calc (scoring engine)'!$K$5:$K$528,15),'Calc (scoring engine)'!$K$5:$K$528,0))="","—",INDEX(Database!$BL$5:$BL$528,MATCH(LARGE('Calc (scoring engine)'!$K$5:$K$528,15),'Calc (scoring engine)'!$K$5:$K$528,0))),""))</ns0:f>
        <ns0:v/>
      </ns0:c>
      <ns0:c r="BH35" s="39">
        <ns0:f>IF(OR(15&gt;MAX(3,MIN(15,N($D$18))),IFERROR(LARGE('Calc (scoring engine)'!$K$5:$K$528,15),-999999)&lt;=-900000),"",IFERROR(IFERROR(BDP(TEXT(INDEX(Database!$A$5:$A$528,MATCH(LARGE('Calc (scoring engine)'!$K$5:$K$528,15),'Calc (scoring engine)'!$K$5:$K$528,0)),"0")&amp;" HK Equity","PE_RATIO"),IF(INDEX(Database!$BJ$5:$BJ$528,MATCH(LARGE('Calc (scoring engine)'!$K$5:$K$528,15),'Calc (scoring engine)'!$K$5:$K$528,0))="","—",INDEX(Database!$BJ$5:$BJ$528,MATCH(LARGE('Calc (scoring engine)'!$K$5:$K$528,15),'Calc (scoring engine)'!$K$5:$K$528,0)))),""))</ns0:f>
        <ns0:v/>
      </ns0:c>
      <ns0:c r="BI35" s="39">
        <ns0:f>IF(OR(15&gt;MAX(3,MIN(15,N($D$18))),IFERROR(LARGE('Calc (scoring engine)'!$K$5:$K$528,15),-999999)&lt;=-900000),"",IFERROR(IFERROR(BDP(TEXT(INDEX(Database!$A$5:$A$528,MATCH(LARGE('Calc (scoring engine)'!$K$5:$K$528,15),'Calc (scoring engine)'!$K$5:$K$528,0)),"0")&amp;" HK Equity","PX_TO_SALES_RATIO"),IF(INDEX(Database!$BK$5:$BK$528,MATCH(LARGE('Calc (scoring engine)'!$K$5:$K$528,15),'Calc (scoring engine)'!$K$5:$K$528,0))="","—",INDEX(Database!$BK$5:$BK$528,MATCH(LARGE('Calc (scoring engine)'!$K$5:$K$528,15),'Calc (scoring engine)'!$K$5:$K$528,0)))),""))</ns0:f>
        <ns0:v/>
      </ns0:c>
      <ns0:c r="BJ35" s="24">
        <ns0:f>IF(OR(15&gt;MAX(3,MIN(15,N($D$18))),IFERROR(LARGE('Calc (scoring engine)'!$K$5:$K$528,15),-999999)&lt;=-900000),"",IFERROR(IF(INDEX(Database!$BM$5:$BM$528,MATCH(LARGE('Calc (scoring engine)'!$K$5:$K$528,15),'Calc (scoring engine)'!$K$5:$K$528,0))="","—",INDEX(Database!$BM$5:$BM$528,MATCH(LARGE('Calc (scoring engine)'!$K$5:$K$528,15),'Calc (scoring engine)'!$K$5:$K$528,0))),""))</ns0:f>
        <ns0:v/>
      </ns0:c>
      <ns0:c r="BK35" s="24">
        <ns0:f>IF(OR(15&gt;MAX(3,MIN(15,N($D$18))),IFERROR(LARGE('Calc (scoring engine)'!$K$5:$K$528,15),-999999)&lt;=-900000),"",IFERROR(IF(INDEX(Database!$BN$5:$BN$528,MATCH(LARGE('Calc (scoring engine)'!$K$5:$K$528,15),'Calc (scoring engine)'!$K$5:$K$528,0))="","—",INDEX(Database!$BN$5:$BN$528,MATCH(LARGE('Calc (scoring engine)'!$K$5:$K$528,15),'Calc (scoring engine)'!$K$5:$K$528,0))),""))</ns0:f>
        <ns0:v/>
      </ns0:c>
      <ns0:c r="BL35" s="38">
        <ns0:f>IF(OR(15&gt;MAX(3,MIN(15,N($D$18))),IFERROR(LARGE('Calc (scoring engine)'!$K$5:$K$528,15),-999999)&lt;=-900000),"",IFERROR(IF(INDEX(Database!$BO$5:$BO$528,MATCH(LARGE('Calc (scoring engine)'!$K$5:$K$528,15),'Calc (scoring engine)'!$K$5:$K$528,0))="","—",INDEX(Database!$BO$5:$BO$528,MATCH(LARGE('Calc (scoring engine)'!$K$5:$K$528,15),'Calc (scoring engine)'!$K$5:$K$528,0))),""))</ns0:f>
        <ns0:v/>
      </ns0:c>
      <ns0:c r="BM35" s="54">
        <ns0:f>IF(OR(15&gt;MAX(3,MIN(15,N($D$18))),IFERROR(LARGE('Calc (scoring engine)'!$K$5:$K$528,15),-999999)&lt;=-900000),"",IFERROR(IF(INDEX(Database!$BP$5:$BP$528,MATCH(LARGE('Calc (scoring engine)'!$K$5:$K$528,15),'Calc (scoring engine)'!$K$5:$K$528,0))="","—",INDEX(Database!$BP$5:$BP$528,MATCH(LARGE('Calc (scoring engine)'!$K$5:$K$528,15),'Calc (scoring engine)'!$K$5:$K$528,0))),""))</ns0:f>
        <ns0:v/>
      </ns0:c>
      <ns0:c r="BN35" s="58">
        <ns0:f>IF(OR(15&gt;MAX(3,MIN(15,N($D$18))),IFERROR(LARGE('Calc (scoring engine)'!$K$5:$K$528,15),-999999)&lt;=-900000),"",IFERROR(IF(INDEX(Database!$BQ$5:$BQ$528,MATCH(LARGE('Calc (scoring engine)'!$K$5:$K$528,15),'Calc (scoring engine)'!$K$5:$K$528,0))="","—",INDEX(Database!$BQ$5:$BQ$528,MATCH(LARGE('Calc (scoring engine)'!$K$5:$K$528,15),'Calc (scoring engine)'!$K$5:$K$528,0))),""))</ns0:f>
        <ns0:v/>
      </ns0:c>
      <ns0:c r="BO35" s="34">
        <ns0:f>IF(OR(15&gt;MAX(3,MIN(15,N($D$18))),IFERROR(LARGE('Calc (scoring engine)'!$K$5:$K$528,15),-999999)&lt;=-900000),"",IFERROR(IF(INDEX(Database!$BR$5:$BR$528,MATCH(LARGE('Calc (scoring engine)'!$K$5:$K$528,15),'Calc (scoring engine)'!$K$5:$K$528,0))="","—",INDEX(Database!$BR$5:$BR$528,MATCH(LARGE('Calc (scoring engine)'!$K$5:$K$528,15),'Calc (scoring engine)'!$K$5:$K$528,0))),""))</ns0:f>
        <ns0:v/>
      </ns0:c>
      <ns0:c r="BP35" s="39">
        <ns0:f>IF(OR(15&gt;MAX(3,MIN(15,N($D$18))),IFERROR(LARGE('Calc (scoring engine)'!$K$5:$K$528,15),-999999)&lt;=-900000),"",IFERROR(IF(INDEX(Database!$BS$5:$BS$528,MATCH(LARGE('Calc (scoring engine)'!$K$5:$K$528,15),'Calc (scoring engine)'!$K$5:$K$528,0))="","—",INDEX(Database!$BS$5:$BS$528,MATCH(LARGE('Calc (scoring engine)'!$K$5:$K$528,15),'Calc (scoring engine)'!$K$5:$K$528,0))),""))</ns0:f>
        <ns0:v/>
      </ns0:c>
      <ns0:c r="BQ35" s="39">
        <ns0:f>IF(OR(15&gt;MAX(3,MIN(15,N($D$18))),IFERROR(LARGE('Calc (scoring engine)'!$K$5:$K$528,15),-999999)&lt;=-900000),"",IFERROR(IF(INDEX(Database!$BT$5:$BT$528,MATCH(LARGE('Calc (scoring engine)'!$K$5:$K$528,15),'Calc (scoring engine)'!$K$5:$K$528,0))="","—",INDEX(Database!$BT$5:$BT$528,MATCH(LARGE('Calc (scoring engine)'!$K$5:$K$528,15),'Calc (scoring engine)'!$K$5:$K$528,0))),""))</ns0:f>
        <ns0:v/>
      </ns0:c>
      <ns0:c r="BR35" s="24">
        <ns0:f>IF(OR(15&gt;MAX(3,MIN(15,N($D$18))),IFERROR(LARGE('Calc (scoring engine)'!$K$5:$K$528,15),-999999)&lt;=-900000),"",IFERROR(IF(INDEX(Database!$BU$5:$BU$528,MATCH(LARGE('Calc (scoring engine)'!$K$5:$K$528,15),'Calc (scoring engine)'!$K$5:$K$528,0))="","—",INDEX(Database!$BU$5:$BU$528,MATCH(LARGE('Calc (scoring engine)'!$K$5:$K$528,15),'Calc (scoring engine)'!$K$5:$K$528,0))),""))</ns0:f>
        <ns0:v/>
      </ns0:c>
      <ns0:c r="BS35" s="24">
        <ns0:f>IF(OR(15&gt;MAX(3,MIN(15,N($D$18))),IFERROR(LARGE('Calc (scoring engine)'!$K$5:$K$528,15),-999999)&lt;=-900000),"",IFERROR(IF(INDEX(Database!$BW$5:$BW$528,MATCH(LARGE('Calc (scoring engine)'!$K$5:$K$528,15),'Calc (scoring engine)'!$K$5:$K$528,0))="","—",INDEX(Database!$BW$5:$BW$528,MATCH(LARGE('Calc (scoring engine)'!$K$5:$K$528,15),'Calc (scoring engine)'!$K$5:$K$528,0))),""))</ns0:f>
        <ns0:v/>
      </ns0:c>
      <ns0:c r="BT35" s="57">
        <ns0:f>IF(OR(15&gt;MAX(3,MIN(15,N($D$18))),IFERROR(LARGE('Calc (scoring engine)'!$K$5:$K$528,15),-999999)&lt;=-900000),"",IFERROR(IF(INDEX('Calc (scoring engine)'!$H$5:$H$528,MATCH(LARGE('Calc (scoring engine)'!$K$5:$K$528,15),'Calc (scoring engine)'!$K$5:$K$528,0))&gt;0,INDEX('Calc (scoring engine)'!$H$5:$H$528,MATCH(LARGE('Calc (scoring engine)'!$K$5:$K$528,15),'Calc (scoring engine)'!$K$5:$K$528,0)),""),""))</ns0:f>
        <ns0:v/>
      </ns0:c>
      <ns0:c r="BU35" s="24">
        <ns0:f>IF(OR(15&gt;MAX(3,MIN(15,N($D$18))),IFERROR(LARGE('Calc (scoring engine)'!$K$5:$K$528,15),-999999)&lt;=-900000),"",IF(IFERROR(INDEX('Calc (scoring engine)'!$B$5:$B$528,MATCH(LARGE('Calc (scoring engine)'!$K$5:$K$528,15),'Calc (scoring engine)'!$K$5:$K$528,0)),0)=1,"same subsector","sector only"))</ns0:f>
        <ns0:v/>
      </ns0:c>
      <ns0:c r="BV35" s="57">
        <ns0:f>IF(OR(15&gt;MAX(3,MIN(15,N($D$18))),IFERROR(LARGE('Calc (scoring engine)'!$K$5:$K$528,15),-999999)&lt;=-900000),"",ROUND(IFERROR(LARGE('Calc (scoring engine)'!$K$5:$K$528,15),0),0))</ns0:f>
        <ns0:v/>
      </ns0:c>
      <ns0:c r="BW35" s="24">
        <ns0:f>IF(OR(15&gt;MAX(3,MIN(15,N($D$18))),IFERROR(LARGE('Calc (scoring engine)'!$K$5:$K$528,15),-999999)&lt;=-900000),"",IFERROR("sub "&amp;INDEX('Calc (scoring engine)'!$B$5:$B$528,MATCH(LARGE('Calc (scoring engine)'!$K$5:$K$528,15),'Calc (scoring engine)'!$K$5:$K$528,0))*W_SUB&amp;" + size "&amp;ROUND(INDEX('Calc (scoring engine)'!$D$5:$D$528,MATCH(LARGE('Calc (scoring engine)'!$K$5:$K$528,15),'Calc (scoring engine)'!$K$5:$K$528,0))*W_SIZE,0)&amp;" + prof "&amp;INDEX('Calc (scoring engine)'!$E$5:$E$528,MATCH(LARGE('Calc (scoring engine)'!$K$5:$K$528,15),'Calc (scoring engine)'!$K$5:$K$528,0))*W_PROF&amp;" + recency "&amp;ROUND(INDEX('Calc (scoring engine)'!$G$5:$G$528,MATCH(LARGE('Calc (scoring engine)'!$K$5:$K$528,15),'Calc (scoring engine)'!$K$5:$K$528,0))*W_REC,0)&amp;IF(INDEX('Calc (scoring engine)'!$H$5:$H$528,MATCH(LARGE('Calc (scoring engine)'!$K$5:$K$528,15),'Calc (scoring engine)'!$K$5:$K$528,0))&gt;0," + shared CS x"&amp;INDEX('Calc (scoring engine)'!$H$5:$H$528,MATCH(LARGE('Calc (scoring engine)'!$K$5:$K$528,15),'Calc (scoring engine)'!$K$5:$K$528,0)),""),""))</ns0:f>
        <ns0:v/>
      </ns0:c>
    </ns0:row>
    <ns0:row r="36"/>
    <ns0:row r="37">
      <ns0:c r="A37" s="59" t="inlineStr">
        <ns0:is>
          <ns0:t>Median of shown comps</ns0:t>
        </ns0:is>
      </ns0:c>
      <ns0:c r="B37" s="60" t="n"/>
      <ns0:c r="C37" s="60" t="n"/>
      <ns0:c r="D37" s="60" t="n"/>
      <ns0:c r="E37" s="60" t="n"/>
      <ns0:c r="F37" s="60" t="n"/>
      <ns0:c r="G37" s="60" t="n"/>
      <ns0:c r="H37" s="60" t="n"/>
      <ns0:c r="I37" s="61">
        <ns0:f>IFERROR(MEDIAN(I21:I35),"")</ns0:f>
        <ns0:v/>
      </ns0:c>
      <ns0:c r="J37" s="62">
        <ns0:f>IFERROR(MEDIAN(J21:J35),"")</ns0:f>
        <ns0:v/>
      </ns0:c>
      <ns0:c r="K37" s="62">
        <ns0:f>IFERROR(MEDIAN(K21:K35),"")</ns0:f>
        <ns0:v/>
      </ns0:c>
      <ns0:c r="L37" s="62">
        <ns0:f>IFERROR(MEDIAN(L21:L35),"")</ns0:f>
        <ns0:v/>
      </ns0:c>
      <ns0:c r="M37" s="60" t="n"/>
      <ns0:c r="N37" s="63">
        <ns0:f>IFERROR(MEDIAN(N21:N35),"")</ns0:f>
        <ns0:v/>
      </ns0:c>
      <ns0:c r="O37" s="63">
        <ns0:f>IFERROR(MEDIAN(O21:O35),"")</ns0:f>
        <ns0:v/>
      </ns0:c>
      <ns0:c r="P37" s="61">
        <ns0:f>IFERROR(MEDIAN(P21:P35),"")</ns0:f>
        <ns0:v/>
      </ns0:c>
      <ns0:c r="Q37" s="64">
        <ns0:f>IFERROR(MEDIAN(Q21:Q35),"")</ns0:f>
        <ns0:v/>
      </ns0:c>
      <ns0:c r="R37" s="65">
        <ns0:f>IFERROR(MEDIAN(R21:R35),"")</ns0:f>
        <ns0:v/>
      </ns0:c>
      <ns0:c r="S37" s="66">
        <ns0:f>IFERROR(MEDIAN(S21:S35),"")</ns0:f>
        <ns0:v/>
      </ns0:c>
      <ns0:c r="T37" s="67">
        <ns0:f>IFERROR(MEDIAN(T21:T35),"")</ns0:f>
        <ns0:v/>
      </ns0:c>
      <ns0:c r="U37" s="63">
        <ns0:f>IFERROR(MEDIAN(U21:U35),"")</ns0:f>
        <ns0:v/>
      </ns0:c>
      <ns0:c r="V37" s="60" t="n"/>
      <ns0:c r="W37" s="61">
        <ns0:f>IFERROR(MEDIAN(W21:W35),"")</ns0:f>
        <ns0:v/>
      </ns0:c>
      <ns0:c r="X37" s="61">
        <ns0:f>IFERROR(MEDIAN(X21:X35),"")</ns0:f>
        <ns0:v/>
      </ns0:c>
      <ns0:c r="Y37" s="63">
        <ns0:f>IFERROR(MEDIAN(Y21:Y35),"")</ns0:f>
        <ns0:v/>
      </ns0:c>
      <ns0:c r="Z37" s="60" t="n"/>
      <ns0:c r="AA37" s="63">
        <ns0:f>IFERROR(MEDIAN(AA21:AA35),"")</ns0:f>
        <ns0:v/>
      </ns0:c>
      <ns0:c r="AB37" s="60" t="n"/>
      <ns0:c r="AC37" s="60" t="n"/>
      <ns0:c r="AD37" s="60" t="n"/>
      <ns0:c r="AE37" s="60" t="n"/>
      <ns0:c r="AF37" s="68">
        <ns0:f>IFERROR(MEDIAN(AF21:AF35),"")</ns0:f>
        <ns0:v/>
      </ns0:c>
      <ns0:c r="AG37" s="68">
        <ns0:f>IFERROR(MEDIAN(AG21:AG35),"")</ns0:f>
        <ns0:v/>
      </ns0:c>
      <ns0:c r="AH37" s="68">
        <ns0:f>IFERROR(MEDIAN(AH21:AH35),"")</ns0:f>
        <ns0:v/>
      </ns0:c>
      <ns0:c r="AI37" s="68">
        <ns0:f>IFERROR(MEDIAN(AI21:AI35),"")</ns0:f>
        <ns0:v/>
      </ns0:c>
      <ns0:c r="AJ37" s="68">
        <ns0:f>IFERROR(MEDIAN(AJ21:AJ35),"")</ns0:f>
        <ns0:v/>
      </ns0:c>
      <ns0:c r="AK37" s="69">
        <ns0:f>IFERROR(MEDIAN(AK21:AK35),"")</ns0:f>
        <ns0:v/>
      </ns0:c>
      <ns0:c r="AL37" s="63">
        <ns0:f>IFERROR(MEDIAN(AL21:AL35),"")</ns0:f>
        <ns0:v/>
      </ns0:c>
      <ns0:c r="AM37" s="68">
        <ns0:f>IFERROR(MEDIAN(AM21:AM35),"")</ns0:f>
        <ns0:v/>
      </ns0:c>
      <ns0:c r="AN37" s="68">
        <ns0:f>IFERROR(MEDIAN(AN21:AN35),"")</ns0:f>
        <ns0:v/>
      </ns0:c>
      <ns0:c r="AO37" s="68">
        <ns0:f>IFERROR(MEDIAN(AO21:AO35),"")</ns0:f>
        <ns0:v/>
      </ns0:c>
      <ns0:c r="AP37" s="68">
        <ns0:f>IFERROR(MEDIAN(AP21:AP35),"")</ns0:f>
        <ns0:v/>
      </ns0:c>
      <ns0:c r="AQ37" s="68">
        <ns0:f>IFERROR(MEDIAN(AQ21:AQ35),"")</ns0:f>
        <ns0:v/>
      </ns0:c>
      <ns0:c r="AR37" s="68">
        <ns0:f>IFERROR(MEDIAN(AR21:AR35),"")</ns0:f>
        <ns0:v/>
      </ns0:c>
      <ns0:c r="AS37" s="68">
        <ns0:f>IFERROR(MEDIAN(AS21:AS35),"")</ns0:f>
        <ns0:v/>
      </ns0:c>
      <ns0:c r="AT37" s="68">
        <ns0:f>IFERROR(MEDIAN(AT21:AT35),"")</ns0:f>
        <ns0:v/>
      </ns0:c>
      <ns0:c r="AU37" s="68">
        <ns0:f>IFERROR(MEDIAN(AU21:AU35),"")</ns0:f>
        <ns0:v/>
      </ns0:c>
      <ns0:c r="AV37" s="68">
        <ns0:f>IFERROR(MEDIAN(AV21:AV35),"")</ns0:f>
        <ns0:v/>
      </ns0:c>
      <ns0:c r="AW37" s="68">
        <ns0:f>IFERROR(MEDIAN(AW21:AW35),"")</ns0:f>
        <ns0:v/>
      </ns0:c>
      <ns0:c r="AX37" s="68">
        <ns0:f>IFERROR(MEDIAN(AX21:AX35),"")</ns0:f>
        <ns0:v/>
      </ns0:c>
      <ns0:c r="AY37" s="68">
        <ns0:f>IFERROR(MEDIAN(AY21:AY35),"")</ns0:f>
        <ns0:v/>
      </ns0:c>
      <ns0:c r="AZ37" s="61">
        <ns0:f>IFERROR(MEDIAN(AZ21:AZ35),"")</ns0:f>
        <ns0:v/>
      </ns0:c>
      <ns0:c r="BA37" s="61">
        <ns0:f>IFERROR(MEDIAN(BA21:BA35),"")</ns0:f>
        <ns0:v/>
      </ns0:c>
      <ns0:c r="BB37" s="60" t="n"/>
      <ns0:c r="BC37" s="69">
        <ns0:f>IFERROR(MEDIAN(BC21:BC35),"")</ns0:f>
        <ns0:v/>
      </ns0:c>
      <ns0:c r="BD37" s="69">
        <ns0:f>IFERROR(MEDIAN(BD21:BD35),"")</ns0:f>
        <ns0:v/>
      </ns0:c>
      <ns0:c r="BE37" s="69">
        <ns0:f>IFERROR(MEDIAN(BE21:BE35),"")</ns0:f>
        <ns0:v/>
      </ns0:c>
      <ns0:c r="BF37" s="69">
        <ns0:f>IFERROR(MEDIAN(BF21:BF35),"")</ns0:f>
        <ns0:v/>
      </ns0:c>
      <ns0:c r="BG37" s="69">
        <ns0:f>IFERROR(MEDIAN(BG21:BG35),"")</ns0:f>
        <ns0:v/>
      </ns0:c>
      <ns0:c r="BH37" s="69">
        <ns0:f>IFERROR(MEDIAN(BH21:BH35),"")</ns0:f>
        <ns0:v/>
      </ns0:c>
      <ns0:c r="BI37" s="69">
        <ns0:f>IFERROR(MEDIAN(BI21:BI35),"")</ns0:f>
        <ns0:v/>
      </ns0:c>
      <ns0:c r="BJ37" s="60" t="n"/>
      <ns0:c r="BK37" s="60" t="n"/>
      <ns0:c r="BL37" s="68">
        <ns0:f>IFERROR(MEDIAN(BL21:BL35),"")</ns0:f>
        <ns0:v/>
      </ns0:c>
      <ns0:c r="BM37" s="62">
        <ns0:f>IFERROR(MEDIAN(BM21:BM35),"")</ns0:f>
        <ns0:v/>
      </ns0:c>
      <ns0:c r="BN37" s="70">
        <ns0:f>IFERROR(MEDIAN(BN21:BN35),"")</ns0:f>
        <ns0:v/>
      </ns0:c>
      <ns0:c r="BO37" s="61">
        <ns0:f>IFERROR(MEDIAN(BO21:BO35),"")</ns0:f>
        <ns0:v/>
      </ns0:c>
      <ns0:c r="BP37" s="69">
        <ns0:f>IFERROR(MEDIAN(BP21:BP35),"")</ns0:f>
        <ns0:v/>
      </ns0:c>
      <ns0:c r="BQ37" s="69">
        <ns0:f>IFERROR(MEDIAN(BQ21:BQ35),"")</ns0:f>
        <ns0:v/>
      </ns0:c>
      <ns0:c r="BR37" s="60" t="n"/>
      <ns0:c r="BS37" s="60" t="n"/>
      <ns0:c r="BT37" s="60" t="n"/>
      <ns0:c r="BU37" s="60" t="n"/>
      <ns0:c r="BV37" s="60" t="n"/>
      <ns0:c r="BW37" s="60" t="n"/>
    </ns0:row>
    <ns0:row r="38"/>
    <ns0:row r="39"/>
    <ns0:row r="40" ht="30" customHeight="1">
      <ns0:c r="A40" s="249" t="inlineStr">
        <ns0:is>
          <ns0:t>TARGET VS CLOSEST COMP</ns0:t>
        </ns0:is>
      </ns0:c>
      <ns0:c r="B40" s="250" t="n"/>
      <ns0:c r="C40" s="250" t="n"/>
      <ns0:c r="D40" s="250" t="n"/>
    </ns0:row>
    <ns0:row r="41" ht="30" customHeight="1">
      <ns0:c r="A41" s="251" t="inlineStr"/>
      <ns0:c r="B41" s="251" t="inlineStr">
        <ns0:is>
          <ns0:t>Target</ns0:t>
        </ns0:is>
      </ns0:c>
      <ns0:c r="C41" s="251" t="inlineStr">
        <ns0:is>
          <ns0:t>Comp #1</ns0:t>
        </ns0:is>
      </ns0:c>
      <ns0:c r="D41" s="251" t="inlineStr">
        <ns0:is>
          <ns0:t>Median of shown</ns0:t>
        </ns0:is>
      </ns0:c>
    </ns0:row>
    <ns0:row r="42">
      <ns0:c r="A42" s="32" t="inlineStr">
        <ns0:is>
          <ns0:t>Name</ns0:t>
        </ns0:is>
      </ns0:c>
      <ns0:c r="B42" s="24">
        <ns0:f>$B$5</ns0:f>
        <ns0:v/>
      </ns0:c>
      <ns0:c r="C42" s="24">
        <ns0:f>IFERROR($B$21,"")</ns0:f>
        <ns0:v/>
      </ns0:c>
    </ns0:row>
    <ns0:row r="43">
      <ns0:c r="A43" s="32" t="inlineStr">
        <ns0:is>
          <ns0:t>Subsector</ns0:t>
        </ns0:is>
      </ns0:c>
      <ns0:c r="B43" s="24">
        <ns0:f>$D$8</ns0:f>
        <ns0:v/>
      </ns0:c>
      <ns0:c r="C43" s="24">
        <ns0:f>IFERROR($E$21,"")</ns0:f>
        <ns0:v/>
      </ns0:c>
    </ns0:row>
    <ns0:row r="44">
      <ns0:c r="A44" s="32" t="inlineStr">
        <ns0:is>
          <ns0:t>Size HK$m</ns0:t>
        </ns0:is>
      </ns0:c>
      <ns0:c r="B44" s="24">
        <ns0:f>$D$9</ns0:f>
        <ns0:v/>
      </ns0:c>
      <ns0:c r="C44" s="24">
        <ns0:f>IFERROR($I$21,"")</ns0:f>
        <ns0:v/>
      </ns0:c>
      <ns0:c r="D44" s="24">
        <ns0:f>IFERROR($I$37,"")</ns0:f>
        <ns0:v/>
      </ns0:c>
    </ns0:row>
    <ns0:row r="45">
      <ns0:c r="A45" s="32" t="inlineStr">
        <ns0:is>
          <ns0:t>P/E (x)</ns0:t>
        </ns0:is>
      </ns0:c>
      <ns0:c r="B45" s="24">
        <ns0:f>"—"</ns0:f>
        <ns0:v/>
      </ns0:c>
      <ns0:c r="C45" s="24">
        <ns0:f>IFERROR($BC$21,"")</ns0:f>
        <ns0:v/>
      </ns0:c>
      <ns0:c r="D45" s="24">
        <ns0:f>IFERROR($BC$37,"")</ns0:f>
        <ns0:v/>
      </ns0:c>
    </ns0:row>
    <ns0:row r="46">
      <ns0:c r="A46" s="32" t="inlineStr">
        <ns0:is>
          <ns0:t>Public sub (x)</ns0:t>
        </ns0:is>
      </ns0:c>
      <ns0:c r="B46" s="24">
        <ns0:f>"—"</ns0:f>
        <ns0:v/>
      </ns0:c>
      <ns0:c r="C46" s="24">
        <ns0:f>IFERROR($Q$21,"")</ns0:f>
        <ns0:v/>
      </ns0:c>
      <ns0:c r="D46" s="24">
        <ns0:f>IFERROR($Q$37,"")</ns0:f>
        <ns0:v/>
      </ns0:c>
    </ns0:row>
    <ns0:row r="47">
      <ns0:c r="A47" s="32" t="inlineStr">
        <ns0:is>
          <ns0:t>Day-1</ns0:t>
        </ns0:is>
      </ns0:c>
      <ns0:c r="B47" s="24">
        <ns0:f>"—"</ns0:f>
        <ns0:v/>
      </ns0:c>
      <ns0:c r="C47" s="24">
        <ns0:f>IFERROR($AG$21,"")</ns0:f>
        <ns0:v/>
      </ns0:c>
      <ns0:c r="D47" s="24">
        <ns0:f>IFERROR($AG$37,"")</ns0:f>
        <ns0:v/>
      </ns0:c>
    </ns0:row>
    <ns0:row r="48">
      <ns0:c r="A48" s="32" t="inlineStr">
        <ns0:is>
          <ns0:t>1-month</ns0:t>
        </ns0:is>
      </ns0:c>
      <ns0:c r="B48" s="24">
        <ns0:f>"—"</ns0:f>
        <ns0:v/>
      </ns0:c>
      <ns0:c r="C48" s="24">
        <ns0:f>IFERROR($AN$21,"")</ns0:f>
        <ns0:v/>
      </ns0:c>
      <ns0:c r="D48" s="24">
        <ns0:f>IFERROR($AN$37,"")</ns0:f>
        <ns0:v/>
      </ns0:c>
    </ns0:row>
    <ns0:row r="49">
      <ns0:c r="A49" s="32" t="inlineStr">
        <ns0:is>
          <ns0:t>3-month</ns0:t>
        </ns0:is>
      </ns0:c>
      <ns0:c r="B49" s="24">
        <ns0:f>"—"</ns0:f>
        <ns0:v/>
      </ns0:c>
      <ns0:c r="C49" s="24">
        <ns0:f>IFERROR($AO$21,"")</ns0:f>
        <ns0:v/>
      </ns0:c>
      <ns0:c r="D49" s="24">
        <ns0:f>IFERROR($AO$37,"")</ns0:f>
        <ns0:v/>
      </ns0:c>
    </ns0:row>
    <ns0:row r="50"/>
    <ns0:row r="51"/>
    <ns0:row r="52" ht="30" customHeight="1">
      <ns0:c r="A52" s="252" t="inlineStr">
        <ns0:is>
          <ns0:t>A-SHARE PANEL (live on the terminal; scraped quote off it)</ns0:t>
        </ns0:is>
      </ns0:c>
      <ns0:c r="B52" s="253" t="n"/>
      <ns0:c r="C52" s="253" t="n"/>
      <ns0:c r="D52" s="253" t="n"/>
      <ns0:c r="F52" s="252" t="inlineStr">
        <ns0:is>
          <ns0:t>A-SHARE CLOSE, LAST MONTH (fills on the terminal)</ns0:t>
        </ns0:is>
      </ns0:c>
      <ns0:c r="G52" s="253" t="n"/>
    </ns0:row>
    <ns0:row r="53">
      <ns0:c r="A53" s="32" t="inlineStr">
        <ns0:is>
          <ns0:t>A price now (CNY)</ns0:t>
        </ns0:is>
      </ns0:c>
      <ns0:c r="B53" s="55">
        <ns0:f>IF($F$54="","no A line",IFERROR(BDP($F$54,"PX_LAST"),IFERROR(INDEX(Pipeline!$V$6:$V$18,MATCH($B$5,Pipeline!$B$6:$B$18,0)),"Awaiting quote")))</ns0:f>
        <ns0:v/>
      </ns0:c>
      <ns0:c r="F53" s="24">
        <ns0:f>IFERROR(INDEX(Database!$BN$5:$BN$528,MATCH($B$5,Database!$B$5:$B$528,0)),IFERROR(INDEX(Pipeline!$U$6:$U$18,MATCH($B$5,Pipeline!$B$6:$B$18,0)),""))</ns0:f>
        <ns0:v/>
      </ns0:c>
      <ns0:c r="G53" s="71" t="inlineStr">
        <ns0:is>
          <ns0:t>A-share code of the pick</ns0:t>
        </ns0:is>
      </ns0:c>
    </ns0:row>
    <ns0:row r="54">
      <ns0:c r="A54" s="32" t="inlineStr">
        <ns0:is>
          <ns0:t>CNY to HKD</ns0:t>
        </ns0:is>
      </ns0:c>
      <ns0:c r="B54" s="72">
        <ns0:f>IFERROR(BDP("CNYHKD Curncy","PX_LAST"),"Awaiting quote")</ns0:f>
        <ns0:v/>
      </ns0:c>
      <ns0:c r="F54" s="24">
        <ns0:f>IFERROR(IF(F53="","",LEFT(F53,FIND(".",F53)-1)&amp;" CH Equity"),"")</ns0:f>
        <ns0:v/>
      </ns0:c>
      <ns0:c r="G54" s="71" t="inlineStr">
        <ns0:is>
          <ns0:t>Bloomberg ticker</ns0:t>
        </ns0:is>
      </ns0:c>
    </ns0:row>
    <ns0:row r="55" ht="30" customHeight="1">
      <ns0:c r="A55" s="32" t="inlineStr">
        <ns0:is>
          <ns0:t>A price (HK$)</ns0:t>
        </ns0:is>
      </ns0:c>
      <ns0:c r="B55" s="55">
        <ns0:f>IF(OR(NOT(ISNUMBER(A_PX)),N(A_FX)&lt;=0),"n/a",A_PX*A_FX)</ns0:f>
        <ns0:v/>
      </ns0:c>
      <ns0:c r="F55" s="254" t="inlineStr">
        <ns0:is>
          <ns0:t>Date</ns0:t>
        </ns0:is>
      </ns0:c>
      <ns0:c r="G55" s="254" t="inlineStr">
        <ns0:is>
          <ns0:t>Close (CNY)</ns0:t>
        </ns0:is>
      </ns0:c>
    </ns0:row>
    <ns0:row r="56">
      <ns0:c r="A56" s="32" t="inlineStr">
        <ns0:is>
          <ns0:t>A P/E (TTM)</ns0:t>
        </ns0:is>
      </ns0:c>
      <ns0:c r="B56" s="39">
        <ns0:f>IF($F$54="","n/a",IFERROR(BDP($F$54,"PE_RATIO"),IFERROR(INDEX(Pipeline!$W$6:$W$18,MATCH($B$5,Pipeline!$B$6:$B$18,0)),"Awaiting quote")))</ns0:f>
        <ns0:v/>
      </ns0:c>
      <ns0:c r="F56" s="24">
        <ns0:f>IF($F$54="","no A-share for this pick",IFERROR(BDH($F$54,"PX_LAST",TODAY()-31,TODAY()),"Awaiting quote"))</ns0:f>
        <ns0:v/>
      </ns0:c>
    </ns0:row>
    <ns0:row r="57">
      <ns0:c r="A57" s="32" t="inlineStr">
        <ns0:is>
          <ns0:t>H offer / cap (HK$)</ns0:t>
        </ns0:is>
      </ns0:c>
      <ns0:c r="B57" s="55">
        <ns0:f>IFERROR(INDEX(Database!$M$5:$M$528,MATCH($B$5,Database!$B$5:$B$528,0)),IFERROR(INDEX(Pipeline!$L$6:$L$18,MATCH($B$5,Pipeline!$B$6:$B$18,0)),""))</ns0:f>
        <ns0:v/>
      </ns0:c>
    </ns0:row>
    <ns0:row r="58">
      <ns0:c r="A58" s="32" t="inlineStr">
        <ns0:is>
          <ns0:t>A premium vs H (+ = A above)</ns0:t>
        </ns0:is>
      </ns0:c>
      <ns0:c r="B58" s="58">
        <ns0:f>IFERROR(IF(OR(N(A_HKD)&lt;=0,N(H_TRM)&lt;=0),"n/a",A_HKD/H_TRM-1),"n/a")</ns0:f>
        <ns0:v/>
      </ns0:c>
    </ns0:row>
    <ns0:row r="59">
      <ns0:c r="A59" s="32" t="inlineStr">
        <ns0:is>
          <ns0:t>H P/E now (TTM)</ns0:t>
        </ns0:is>
      </ns0:c>
      <ns0:c r="B59" s="39">
        <ns0:f>IF(IFERROR(TEXT(VALUE(IFERROR(INDEX(Database!$A$5:$A$528,MATCH($B$5,Database!$B$5:$B$528,0)),IFERROR(INDEX(Pipeline!$A$6:$A$18,MATCH($B$5,Pipeline!$B$6:$B$18,0)),""))),"0")&amp;" HK Equity","")="","n/a",IFERROR(BDP(IFERROR(TEXT(VALUE(IFERROR(INDEX(Database!$A$5:$A$528,MATCH($B$5,Database!$B$5:$B$528,0)),IFERROR(INDEX(Pipeline!$A$6:$A$18,MATCH($B$5,Pipeline!$B$6:$B$18,0)),""))),"0")&amp;" HK Equity",""),"PE_RATIO"),IFERROR(INDEX(Database!$BJ$5:$BJ$528,MATCH($B$5,Database!$B$5:$B$528,0)),"Awaiting quote")))</ns0:f>
        <ns0:v/>
      </ns0:c>
    </ns0:row>
    <ns0:row r="60">
      <ns0:c r="A60" s="32" t="inlineStr">
        <ns0:is>
          <ns0:t>H P/S now</ns0:t>
        </ns0:is>
      </ns0:c>
      <ns0:c r="B60" s="39">
        <ns0:f>IF(IFERROR(TEXT(VALUE(IFERROR(INDEX(Database!$A$5:$A$528,MATCH($B$5,Database!$B$5:$B$528,0)),IFERROR(INDEX(Pipeline!$A$6:$A$18,MATCH($B$5,Pipeline!$B$6:$B$18,0)),""))),"0")&amp;" HK Equity","")="","n/a",IFERROR(BDP(IFERROR(TEXT(VALUE(IFERROR(INDEX(Database!$A$5:$A$528,MATCH($B$5,Database!$B$5:$B$528,0)),IFERROR(INDEX(Pipeline!$A$6:$A$18,MATCH($B$5,Pipeline!$B$6:$B$18,0)),""))),"0")&amp;" HK Equity",""),"PX_TO_SALES_RATIO"),IFERROR(INDEX(Database!$BK$5:$BK$528,MATCH($B$5,Database!$B$5:$B$528,0)),"Awaiting quote")))</ns0:f>
        <ns0:v/>
      </ns0:c>
    </ns0:row>
    <ns0:row r="61">
      <ns0:c r="A61" s="32" t="inlineStr">
        <ns0:is>
          <ns0:t>A-line company mkt cap (HK$m)</ns0:t>
        </ns0:is>
      </ns0:c>
      <ns0:c r="B61" s="34">
        <ns0:f>IF($F$54="","no A line",IFERROR(BDP($F$54,"CUR_MKT_CAP")*IF(N(A_FX)&gt;0,A_FX,NA()),IFERROR(INDEX(Database!$BR$5:$BR$528,MATCH($B$5,Database!$B$5:$B$528,0)),"Awaiting quote")))</ns0:f>
        <ns0:v/>
      </ns0:c>
    </ns0:row>
  </ns0:sheetData>
  <ns0:mergeCells count="16">
    <ns0:mergeCell ref="F52:G52"/>
    <ns0:mergeCell ref="AF19:AY19"/>
    <ns0:mergeCell ref="AZ19:BI19"/>
    <ns0:mergeCell ref="BJ19:BQ19"/>
    <ns0:mergeCell ref="A4:E4"/>
    <ns0:mergeCell ref="A40:D40"/>
    <ns0:mergeCell ref="A2:L2"/>
    <ns0:mergeCell ref="G7:H7"/>
    <ns0:mergeCell ref="G11:H11"/>
    <ns0:mergeCell ref="B5:F5"/>
    <ns0:mergeCell ref="I19:P19"/>
    <ns0:mergeCell ref="Q19:AE19"/>
    <ns0:mergeCell ref="A52:D52"/>
    <ns0:mergeCell ref="A19:H19"/>
    <ns0:mergeCell ref="BT19:BW19"/>
    <ns0:mergeCell ref="BR19:BS19"/>
  </ns0:mergeCells>
  <ns0:conditionalFormatting sqref="A21:BW21">
    <ns0:cfRule type="expression" priority="24" dxfId="1">
      <ns0:formula>$BU21="same subsector"</ns0:formula>
    </ns0:cfRule>
    <ns0:cfRule type="expression" priority="25" dxfId="2">
      <ns0:formula>$BU21="sector only"</ns0:formula>
    </ns0:cfRule>
  </ns0:conditionalFormatting>
  <ns0:conditionalFormatting sqref="A22:BW22">
    <ns0:cfRule type="expression" priority="26" dxfId="3">
      <ns0:formula>$BU22="same subsector"</ns0:formula>
    </ns0:cfRule>
    <ns0:cfRule type="expression" priority="27" dxfId="4">
      <ns0:formula>$BU22="sector only"</ns0:formula>
    </ns0:cfRule>
  </ns0:conditionalFormatting>
  <ns0:conditionalFormatting sqref="A23:BW23">
    <ns0:cfRule type="expression" priority="28" dxfId="5">
      <ns0:formula>$BU23="same subsector"</ns0:formula>
    </ns0:cfRule>
    <ns0:cfRule type="expression" priority="29" dxfId="6">
      <ns0:formula>$BU23="sector only"</ns0:formula>
    </ns0:cfRule>
  </ns0:conditionalFormatting>
  <ns0:conditionalFormatting sqref="A24:BW24">
    <ns0:cfRule type="expression" priority="30" dxfId="7">
      <ns0:formula>$BU24="same subsector"</ns0:formula>
    </ns0:cfRule>
    <ns0:cfRule type="expression" priority="31" dxfId="8">
      <ns0:formula>$BU24="sector only"</ns0:formula>
    </ns0:cfRule>
  </ns0:conditionalFormatting>
  <ns0:conditionalFormatting sqref="A25:BW25">
    <ns0:cfRule type="expression" priority="32" dxfId="9">
      <ns0:formula>$BU25="same subsector"</ns0:formula>
    </ns0:cfRule>
    <ns0:cfRule type="expression" priority="33" dxfId="10">
      <ns0:formula>$BU25="sector only"</ns0:formula>
    </ns0:cfRule>
  </ns0:conditionalFormatting>
  <ns0:conditionalFormatting sqref="A26:BW26">
    <ns0:cfRule type="expression" priority="34" dxfId="11">
      <ns0:formula>$BU26="same subsector"</ns0:formula>
    </ns0:cfRule>
    <ns0:cfRule type="expression" priority="35" dxfId="12">
      <ns0:formula>$BU26="sector only"</ns0:formula>
    </ns0:cfRule>
  </ns0:conditionalFormatting>
  <ns0:conditionalFormatting sqref="A27:BW27">
    <ns0:cfRule type="expression" priority="36" dxfId="13">
      <ns0:formula>$BU27="same subsector"</ns0:formula>
    </ns0:cfRule>
    <ns0:cfRule type="expression" priority="37" dxfId="14">
      <ns0:formula>$BU27="sector only"</ns0:formula>
    </ns0:cfRule>
  </ns0:conditionalFormatting>
  <ns0:conditionalFormatting sqref="A28:BW28">
    <ns0:cfRule type="expression" priority="38" dxfId="15">
      <ns0:formula>$BU28="same subsector"</ns0:formula>
    </ns0:cfRule>
    <ns0:cfRule type="expression" priority="39" dxfId="16">
      <ns0:formula>$BU28="sector only"</ns0:formula>
    </ns0:cfRule>
  </ns0:conditionalFormatting>
  <ns0:conditionalFormatting sqref="A29:BW29">
    <ns0:cfRule type="expression" priority="40" dxfId="17">
      <ns0:formula>$BU29="same subsector"</ns0:formula>
    </ns0:cfRule>
    <ns0:cfRule type="expression" priority="41" dxfId="18">
      <ns0:formula>$BU29="sector only"</ns0:formula>
    </ns0:cfRule>
  </ns0:conditionalFormatting>
  <ns0:conditionalFormatting sqref="A30:BW30">
    <ns0:cfRule type="expression" priority="42" dxfId="19">
      <ns0:formula>$BU30="same subsector"</ns0:formula>
    </ns0:cfRule>
    <ns0:cfRule type="expression" priority="43" dxfId="20">
      <ns0:formula>$BU30="sector only"</ns0:formula>
    </ns0:cfRule>
  </ns0:conditionalFormatting>
  <ns0:conditionalFormatting sqref="A31:BW31">
    <ns0:cfRule type="expression" priority="44" dxfId="21">
      <ns0:formula>$BU31="same subsector"</ns0:formula>
    </ns0:cfRule>
    <ns0:cfRule type="expression" priority="45" dxfId="22">
      <ns0:formula>$BU31="sector only"</ns0:formula>
    </ns0:cfRule>
  </ns0:conditionalFormatting>
  <ns0:conditionalFormatting sqref="A32:BW32">
    <ns0:cfRule type="expression" priority="46" dxfId="23">
      <ns0:formula>$BU32="same subsector"</ns0:formula>
    </ns0:cfRule>
    <ns0:cfRule type="expression" priority="47" dxfId="24">
      <ns0:formula>$BU32="sector only"</ns0:formula>
    </ns0:cfRule>
  </ns0:conditionalFormatting>
  <ns0:conditionalFormatting sqref="A33:BW33">
    <ns0:cfRule type="expression" priority="48" dxfId="25">
      <ns0:formula>$BU33="same subsector"</ns0:formula>
    </ns0:cfRule>
    <ns0:cfRule type="expression" priority="49" dxfId="26">
      <ns0:formula>$BU33="sector only"</ns0:formula>
    </ns0:cfRule>
  </ns0:conditionalFormatting>
  <ns0:conditionalFormatting sqref="A34:BW34">
    <ns0:cfRule type="expression" priority="50" dxfId="27">
      <ns0:formula>$BU34="same subsector"</ns0:formula>
    </ns0:cfRule>
    <ns0:cfRule type="expression" priority="51" dxfId="28">
      <ns0:formula>$BU34="sector only"</ns0:formula>
    </ns0:cfRule>
  </ns0:conditionalFormatting>
  <ns0:conditionalFormatting sqref="A35:BW35">
    <ns0:cfRule type="expression" priority="52" dxfId="29">
      <ns0:formula>$BU35="same subsector"</ns0:formula>
    </ns0:cfRule>
    <ns0:cfRule type="expression" priority="53" dxfId="30">
      <ns0:formula>$BU35="sector only"</ns0:formula>
    </ns0:cfRule>
  </ns0:conditionalFormatting>
  <ns0:conditionalFormatting sqref="AQ21:AQ35">
    <ns0:cfRule type="colorScale" priority="1">
      <ns0:colorScale>
        <ns0:cfvo type="num" val="-60"/>
        <ns0:cfvo type="num" val="0"/>
        <ns0:cfvo type="num" val="60"/>
        <ns0:color rgb="FFE9C5C5"/>
        <ns0:color rgb="FFFFFFFF"/>
        <ns0:color rgb="FFCEDFCF"/>
      </ns0:colorScale>
    </ns0:cfRule>
  </ns0:conditionalFormatting>
  <ns0:conditionalFormatting sqref="AH21:AH35">
    <ns0:cfRule type="colorScale" priority="2">
      <ns0:colorScale>
        <ns0:cfvo type="num" val="-60"/>
        <ns0:cfvo type="num" val="0"/>
        <ns0:cfvo type="num" val="60"/>
        <ns0:color rgb="FFE9C5C5"/>
        <ns0:color rgb="FFFFFFFF"/>
        <ns0:color rgb="FFCEDFCF"/>
      </ns0:colorScale>
    </ns0:cfRule>
  </ns0:conditionalFormatting>
  <ns0:conditionalFormatting sqref="AX21:AX35">
    <ns0:cfRule type="colorScale" priority="3">
      <ns0:colorScale>
        <ns0:cfvo type="num" val="-60"/>
        <ns0:cfvo type="num" val="0"/>
        <ns0:cfvo type="num" val="60"/>
        <ns0:color rgb="FFE9C5C5"/>
        <ns0:color rgb="FFFFFFFF"/>
        <ns0:color rgb="FFCEDFCF"/>
      </ns0:colorScale>
    </ns0:cfRule>
  </ns0:conditionalFormatting>
  <ns0:conditionalFormatting sqref="AW21:AW35">
    <ns0:cfRule type="colorScale" priority="4">
      <ns0:colorScale>
        <ns0:cfvo type="num" val="-60"/>
        <ns0:cfvo type="num" val="0"/>
        <ns0:cfvo type="num" val="60"/>
        <ns0:color rgb="FFE9C5C5"/>
        <ns0:color rgb="FFFFFFFF"/>
        <ns0:color rgb="FFCEDFCF"/>
      </ns0:colorScale>
    </ns0:cfRule>
  </ns0:conditionalFormatting>
  <ns0:conditionalFormatting sqref="AP21:AP35">
    <ns0:cfRule type="colorScale" priority="5">
      <ns0:colorScale>
        <ns0:cfvo type="num" val="-60"/>
        <ns0:cfvo type="num" val="0"/>
        <ns0:cfvo type="num" val="60"/>
        <ns0:color rgb="FFE9C5C5"/>
        <ns0:color rgb="FFFFFFFF"/>
        <ns0:color rgb="FFCEDFCF"/>
      </ns0:colorScale>
    </ns0:cfRule>
  </ns0:conditionalFormatting>
  <ns0:conditionalFormatting sqref="AT21:AT35">
    <ns0:cfRule type="colorScale" priority="6">
      <ns0:colorScale>
        <ns0:cfvo type="num" val="-60"/>
        <ns0:cfvo type="num" val="0"/>
        <ns0:cfvo type="num" val="60"/>
        <ns0:color rgb="FFE9C5C5"/>
        <ns0:color rgb="FFFFFFFF"/>
        <ns0:color rgb="FFCEDFCF"/>
      </ns0:colorScale>
    </ns0:cfRule>
  </ns0:conditionalFormatting>
  <ns0:conditionalFormatting sqref="AN21:AN35">
    <ns0:cfRule type="colorScale" priority="7">
      <ns0:colorScale>
        <ns0:cfvo type="num" val="-60"/>
        <ns0:cfvo type="num" val="0"/>
        <ns0:cfvo type="num" val="60"/>
        <ns0:color rgb="FFE9C5C5"/>
        <ns0:color rgb="FFFFFFFF"/>
        <ns0:color rgb="FFCEDFCF"/>
      </ns0:colorScale>
    </ns0:cfRule>
  </ns0:conditionalFormatting>
  <ns0:conditionalFormatting sqref="AR21:AR35">
    <ns0:cfRule type="colorScale" priority="8">
      <ns0:colorScale>
        <ns0:cfvo type="num" val="-60"/>
        <ns0:cfvo type="num" val="0"/>
        <ns0:cfvo type="num" val="60"/>
        <ns0:color rgb="FFE9C5C5"/>
        <ns0:color rgb="FFFFFFFF"/>
        <ns0:color rgb="FFCEDFCF"/>
      </ns0:colorScale>
    </ns0:cfRule>
  </ns0:conditionalFormatting>
  <ns0:conditionalFormatting sqref="AU21:AU35">
    <ns0:cfRule type="colorScale" priority="9">
      <ns0:colorScale>
        <ns0:cfvo type="num" val="-60"/>
        <ns0:cfvo type="num" val="0"/>
        <ns0:cfvo type="num" val="60"/>
        <ns0:color rgb="FFE9C5C5"/>
        <ns0:color rgb="FFFFFFFF"/>
        <ns0:color rgb="FFCEDFCF"/>
      </ns0:colorScale>
    </ns0:cfRule>
  </ns0:conditionalFormatting>
  <ns0:conditionalFormatting sqref="AF21:AF35">
    <ns0:cfRule type="colorScale" priority="10">
      <ns0:colorScale>
        <ns0:cfvo type="num" val="-60"/>
        <ns0:cfvo type="num" val="0"/>
        <ns0:cfvo type="num" val="60"/>
        <ns0:color rgb="FFE9C5C5"/>
        <ns0:color rgb="FFFFFFFF"/>
        <ns0:color rgb="FFCEDFCF"/>
      </ns0:colorScale>
    </ns0:cfRule>
  </ns0:conditionalFormatting>
  <ns0:conditionalFormatting sqref="AV21:AV35">
    <ns0:cfRule type="colorScale" priority="11">
      <ns0:colorScale>
        <ns0:cfvo type="num" val="-60"/>
        <ns0:cfvo type="num" val="0"/>
        <ns0:cfvo type="num" val="60"/>
        <ns0:color rgb="FFE9C5C5"/>
        <ns0:color rgb="FFFFFFFF"/>
        <ns0:color rgb="FFCEDFCF"/>
      </ns0:colorScale>
    </ns0:cfRule>
  </ns0:conditionalFormatting>
  <ns0:conditionalFormatting sqref="BN21:BN35">
    <ns0:cfRule type="colorScale" priority="12">
      <ns0:colorScale>
        <ns0:cfvo type="num" val="-60"/>
        <ns0:cfvo type="num" val="0"/>
        <ns0:cfvo type="num" val="60"/>
        <ns0:color rgb="FFE9C5C5"/>
        <ns0:color rgb="FFFFFFFF"/>
        <ns0:color rgb="FFCEDFCF"/>
      </ns0:colorScale>
    </ns0:cfRule>
  </ns0:conditionalFormatting>
  <ns0:conditionalFormatting sqref="AG21:AG35">
    <ns0:cfRule type="colorScale" priority="13">
      <ns0:colorScale>
        <ns0:cfvo type="num" val="-60"/>
        <ns0:cfvo type="num" val="0"/>
        <ns0:cfvo type="num" val="60"/>
        <ns0:color rgb="FFE9C5C5"/>
        <ns0:color rgb="FFFFFFFF"/>
        <ns0:color rgb="FFCEDFCF"/>
      </ns0:colorScale>
    </ns0:cfRule>
  </ns0:conditionalFormatting>
  <ns0:conditionalFormatting sqref="AM21:AM35">
    <ns0:cfRule type="colorScale" priority="14">
      <ns0:colorScale>
        <ns0:cfvo type="num" val="-60"/>
        <ns0:cfvo type="num" val="0"/>
        <ns0:cfvo type="num" val="60"/>
        <ns0:color rgb="FFE9C5C5"/>
        <ns0:color rgb="FFFFFFFF"/>
        <ns0:color rgb="FFCEDFCF"/>
      </ns0:colorScale>
    </ns0:cfRule>
  </ns0:conditionalFormatting>
  <ns0:conditionalFormatting sqref="AJ21:AJ35">
    <ns0:cfRule type="colorScale" priority="15">
      <ns0:colorScale>
        <ns0:cfvo type="num" val="-60"/>
        <ns0:cfvo type="num" val="0"/>
        <ns0:cfvo type="num" val="60"/>
        <ns0:color rgb="FFE9C5C5"/>
        <ns0:color rgb="FFFFFFFF"/>
        <ns0:color rgb="FFCEDFCF"/>
      </ns0:colorScale>
    </ns0:cfRule>
  </ns0:conditionalFormatting>
  <ns0:conditionalFormatting sqref="AI21:AI35">
    <ns0:cfRule type="colorScale" priority="16">
      <ns0:colorScale>
        <ns0:cfvo type="num" val="-60"/>
        <ns0:cfvo type="num" val="0"/>
        <ns0:cfvo type="num" val="60"/>
        <ns0:color rgb="FFE9C5C5"/>
        <ns0:color rgb="FFFFFFFF"/>
        <ns0:color rgb="FFCEDFCF"/>
      </ns0:colorScale>
    </ns0:cfRule>
  </ns0:conditionalFormatting>
  <ns0:conditionalFormatting sqref="BL21:BL35">
    <ns0:cfRule type="colorScale" priority="17">
      <ns0:colorScale>
        <ns0:cfvo type="num" val="-60"/>
        <ns0:cfvo type="num" val="0"/>
        <ns0:cfvo type="num" val="60"/>
        <ns0:color rgb="FFE9C5C5"/>
        <ns0:color rgb="FFFFFFFF"/>
        <ns0:color rgb="FFCEDFCF"/>
      </ns0:colorScale>
    </ns0:cfRule>
  </ns0:conditionalFormatting>
  <ns0:conditionalFormatting sqref="AS21:AS35">
    <ns0:cfRule type="colorScale" priority="18">
      <ns0:colorScale>
        <ns0:cfvo type="num" val="-60"/>
        <ns0:cfvo type="num" val="0"/>
        <ns0:cfvo type="num" val="60"/>
        <ns0:color rgb="FFE9C5C5"/>
        <ns0:color rgb="FFFFFFFF"/>
        <ns0:color rgb="FFCEDFCF"/>
      </ns0:colorScale>
    </ns0:cfRule>
  </ns0:conditionalFormatting>
  <ns0:conditionalFormatting sqref="AO21:AO35">
    <ns0:cfRule type="colorScale" priority="19">
      <ns0:colorScale>
        <ns0:cfvo type="num" val="-60"/>
        <ns0:cfvo type="num" val="0"/>
        <ns0:cfvo type="num" val="60"/>
        <ns0:color rgb="FFE9C5C5"/>
        <ns0:color rgb="FFFFFFFF"/>
        <ns0:color rgb="FFCEDFCF"/>
      </ns0:colorScale>
    </ns0:cfRule>
  </ns0:conditionalFormatting>
  <ns0:conditionalFormatting sqref="AY21:AY35">
    <ns0:cfRule type="colorScale" priority="20">
      <ns0:colorScale>
        <ns0:cfvo type="num" val="-60"/>
        <ns0:cfvo type="num" val="0"/>
        <ns0:cfvo type="num" val="60"/>
        <ns0:color rgb="FFE9C5C5"/>
        <ns0:color rgb="FFFFFFFF"/>
        <ns0:color rgb="FFCEDFCF"/>
      </ns0:colorScale>
    </ns0:cfRule>
  </ns0:conditionalFormatting>
  <ns0:conditionalFormatting sqref="I21:I35">
    <ns0:cfRule type="dataBar" priority="21">
      <ns0:dataBar showValue="1">
        <ns0:cfvo type="min"/>
        <ns0:cfvo type="max"/>
        <ns0:color rgb="FF7086A6"/>
      </ns0:dataBar>
    </ns0:cfRule>
  </ns0:conditionalFormatting>
  <ns0:conditionalFormatting sqref="Q21:Q35">
    <ns0:cfRule type="dataBar" priority="22">
      <ns0:dataBar showValue="1">
        <ns0:cfvo type="min"/>
        <ns0:cfvo type="max"/>
        <ns0:color rgb="FF7086A6"/>
      </ns0:dataBar>
    </ns0:cfRule>
  </ns0:conditionalFormatting>
  <ns0:conditionalFormatting sqref="S21:S35">
    <ns0:cfRule type="dataBar" priority="23">
      <ns0:dataBar showValue="1">
        <ns0:cfvo type="min"/>
        <ns0:cfvo type="max"/>
        <ns0:color rgb="FF7086A6"/>
      </ns0:dataBar>
    </ns0:cfRule>
  </ns0:conditionalFormatting>
  <ns0:conditionalFormatting sqref="A21:BW35">
    <ns0:cfRule type="expression" priority="54" dxfId="31" stopIfTrue="0">
      <ns0:formula>MOD(ROW(),2)=0</ns0:formula>
    </ns0:cfRule>
  </ns0:conditionalFormatting>
  <ns0:dataValidations count="3">
    <ns0:dataValidation sqref="B5" showDropDown="0" showInputMessage="0" showErrorMessage="0" allowBlank="1" type="list">
      <ns0:formula1>=AllDeals</ns0:formula1>
    </ns0:dataValidation>
    <ns0:dataValidation sqref="B16" showDropDown="0" showInputMessage="0" showErrorMessage="0" allowBlank="0" type="list">
      <ns0:formula1>"standard,cornerstone overlap first,demand-similar first"</ns0:formula1>
    </ns0:dataValidation>
    <ns0:dataValidation sqref="B18" showDropDown="0" showInputMessage="0" showErrorMessage="0" allowBlank="0" type="list">
      <ns0:formula1>"All,With A-share,Without A-share"</ns0:formula1>
    </ns0:dataValidation>
  </ns0:dataValidations>
  <ns0:printOptions horizontalCentered="1"/>
  <ns0:pageMargins left="0.75" right="0.75" top="1" bottom="1" header="0.5" footer="0.5"/>
  <ns0:pageSetup orientation="landscape" paperSize="8" fitToHeight="0" fitToWidth="1"/>
  <ns0:drawing ns1:id="rId1"/>
</ns0:worksheet>
</file>

<file path=xl/worksheets/sheet4.xml><?xml version="1.0" encoding="utf-8"?>
<ns0:worksheet xmlns:ns0="http://schemas.openxmlformats.org/spreadsheetml/2006/main" xmlns:ns1="http://schemas.openxmlformats.org/officeDocument/2006/relationships">
  <ns0:sheetPr>
    <ns0:tabColor rgb="FF1F3864"/>
    <ns0:outlinePr summaryBelow="1" summaryRight="1"/>
    <ns0:pageSetUpPr fitToPage="1"/>
  </ns0:sheetPr>
  <ns0:dimension ref="A1:CC528"/>
  <ns0:sheetViews>
    <ns0:sheetView showGridLines="0" zoomScale="90" workbookViewId="0">
      <ns0:pane xSplit="2" ySplit="4" topLeftCell="C5" activePane="bottomRight" state="frozen"/>
      <ns0:selection pane="topRight"/>
      <ns0:selection pane="bottomLeft"/>
      <ns0:selection pane="bottomRight" activeCell="A1" sqref="A1"/>
    </ns0:sheetView>
  </ns0:sheetViews>
  <ns0:sheetFormatPr baseColWidth="8" defaultRowHeight="15"/>
  <ns0:cols>
    <ns0:col width="7" customWidth="1" min="1" max="1"/>
    <ns0:col width="22" customWidth="1" min="2" max="2"/>
    <ns0:col width="13" customWidth="1" min="3" max="3"/>
    <ns0:col width="12" customWidth="1" min="4" max="4"/>
    <ns0:col width="22" customWidth="1" min="5" max="5"/>
    <ns0:col width="20" customWidth="1" min="6" max="6"/>
    <ns0:col width="9" customWidth="1" min="7" max="7"/>
    <ns0:col width="11" customWidth="1" min="8" max="8"/>
    <ns0:col width="12" customWidth="1" min="9" max="9"/>
    <ns0:col width="15" customWidth="1" min="10" max="10"/>
    <ns0:col width="9" customWidth="1" min="11" max="11"/>
    <ns0:col width="9" customWidth="1" min="12" max="12"/>
    <ns0:col width="9" customWidth="1" min="13" max="13"/>
    <ns0:col width="8" customWidth="1" min="14" max="14"/>
    <ns0:col width="8" customWidth="1" min="15" max="15"/>
    <ns0:col width="11" customWidth="1" min="16" max="16"/>
    <ns0:col width="12" customWidth="1" min="17" max="17"/>
    <ns0:col width="26" customWidth="1" min="18" max="18"/>
    <ns0:col width="10" customWidth="1" min="19" max="19"/>
    <ns0:col width="9" customWidth="1" min="20" max="20"/>
    <ns0:col width="11" customWidth="1" min="21" max="21"/>
    <ns0:col width="8" customWidth="1" min="22" max="22"/>
    <ns0:col width="10" customWidth="1" min="23" max="23"/>
    <ns0:col width="8" customWidth="1" min="24" max="24"/>
    <ns0:col width="13" customWidth="1" min="25" max="25"/>
    <ns0:col width="15" customWidth="1" min="26" max="26"/>
    <ns0:col width="11" customWidth="1" min="27" max="27"/>
    <ns0:col width="46" customWidth="1" min="28" max="28"/>
    <ns0:col width="16" customWidth="1" min="29" max="29"/>
    <ns0:col width="9" customWidth="1" min="30" max="30"/>
    <ns0:col width="17" customWidth="1" min="31" max="31"/>
    <ns0:col width="13" customWidth="1" min="32" max="32"/>
    <ns0:col width="34" customWidth="1" min="33" max="33"/>
    <ns0:col width="14" customWidth="1" min="34" max="34"/>
    <ns0:col width="14" customWidth="1" min="35" max="35"/>
    <ns0:col width="9" customWidth="1" min="36" max="36"/>
    <ns0:col width="18" customWidth="1" min="37" max="37"/>
    <ns0:col width="10" customWidth="1" min="38" max="38"/>
    <ns0:col width="11" customWidth="1" min="39" max="39"/>
    <ns0:col width="10" customWidth="1" min="40" max="40"/>
    <ns0:col width="9" customWidth="1" min="41" max="41"/>
    <ns0:col width="9" customWidth="1" min="42" max="42"/>
    <ns0:col width="9" customWidth="1" min="43" max="43"/>
    <ns0:col width="9" customWidth="1" min="44" max="44"/>
    <ns0:col width="9" customWidth="1" min="45" max="45"/>
    <ns0:col width="9" customWidth="1" min="46" max="46"/>
    <ns0:col width="9" customWidth="1" min="47" max="47"/>
    <ns0:col width="10" customWidth="1" min="48" max="48"/>
    <ns0:col width="10" customWidth="1" min="49" max="49"/>
    <ns0:col width="10" customWidth="1" min="50" max="50"/>
    <ns0:col width="10" customWidth="1" min="51" max="51"/>
    <ns0:col width="11" customWidth="1" min="52" max="52"/>
    <ns0:col width="11" customWidth="1" min="53" max="53"/>
    <ns0:col width="22" customWidth="1" min="54" max="54"/>
    <ns0:col width="10" customWidth="1" min="55" max="55"/>
    <ns0:col width="11" customWidth="1" min="56" max="56"/>
    <ns0:col width="11" customWidth="1" min="57" max="57"/>
    <ns0:col width="11" customWidth="1" min="58" max="58"/>
    <ns0:col width="8" customWidth="1" min="59" max="59"/>
    <ns0:col width="8" customWidth="1" min="60" max="60"/>
    <ns0:col width="10" customWidth="1" min="61" max="61"/>
    <ns0:col width="10" customWidth="1" min="62" max="62"/>
    <ns0:col width="8" customWidth="1" min="63" max="63"/>
    <ns0:col width="11" customWidth="1" min="64" max="64"/>
    <ns0:col width="8" customWidth="1" min="65" max="65"/>
    <ns0:col width="11" customWidth="1" min="66" max="66"/>
    <ns0:col width="11" customWidth="1" min="67" max="67"/>
    <ns0:col width="10" customWidth="1" min="68" max="68"/>
    <ns0:col width="11" customWidth="1" min="69" max="69"/>
    <ns0:col width="14" customWidth="1" min="70" max="70"/>
    <ns0:col width="11" customWidth="1" min="71" max="71"/>
    <ns0:col width="11" customWidth="1" min="72" max="72"/>
    <ns0:col width="30" customWidth="1" min="73" max="73"/>
    <ns0:col width="30" customWidth="1" min="74" max="74"/>
    <ns0:col width="34" customWidth="1" min="75" max="75"/>
    <ns0:col width="34" customWidth="1" min="76" max="76"/>
    <ns0:col width="11" customWidth="1" min="77" max="77"/>
    <ns0:col width="13" customWidth="1" min="78" max="78"/>
    <ns0:col width="15" customWidth="1" min="79" max="79"/>
    <ns0:col width="40" customWidth="1" min="80" max="80"/>
    <ns0:col width="64" customWidth="1" min="81" max="81"/>
  </ns0:cols>
  <ns0:sheetData>
    <ns0:row r="1" ht="30" customHeight="1">
      <ns0:c r="A1" s="16" t="inlineStr">
        <ns0:is>
          <ns0:t>HK IPO DATABASE, Main Board 2021-2026</ns0:t>
        </ns0:is>
      </ns0:c>
    </ns0:row>
    <ns0:row r="2" ht="34" customHeight="1">
      <ns0:c r="A2" s="17" t="inlineStr">
        <ns0:is>
          <ns0:t>One row per deal. Money in HK$m, returns in %. Day-1 + = closed above the offer. Orange = sources disagree; grey = calculated; blue = input.</ns0:t>
        </ns0:is>
      </ns0:c>
    </ns0:row>
    <ns0:row r="3" ht="30" customHeight="1">
      <ns0:c r="A3" s="221" t="inlineStr">
        <ns0:is>
          <ns0:t>IDENTITY</ns0:t>
        </ns0:is>
      </ns0:c>
      <ns0:c r="B3" s="23" t="n"/>
      <ns0:c r="C3" s="23" t="n"/>
      <ns0:c r="D3" s="23" t="n"/>
      <ns0:c r="E3" s="23" t="n"/>
      <ns0:c r="F3" s="23" t="n"/>
      <ns0:c r="G3" s="23" t="n"/>
      <ns0:c r="H3" s="23" t="n"/>
      <ns0:c r="I3" s="222" t="inlineStr">
        <ns0:is>
          <ns0:t>DEAL TERMS</ns0:t>
        </ns0:is>
      </ns0:c>
      <ns0:c r="J3" s="23" t="n"/>
      <ns0:c r="K3" s="23" t="n"/>
      <ns0:c r="L3" s="23" t="n"/>
      <ns0:c r="M3" s="23" t="n"/>
      <ns0:c r="N3" s="23" t="n"/>
      <ns0:c r="O3" s="23" t="n"/>
      <ns0:c r="P3" s="23" t="n"/>
      <ns0:c r="Q3" s="23" t="n"/>
      <ns0:c r="R3" s="23" t="n"/>
      <ns0:c r="S3" s="223" t="inlineStr">
        <ns0:is>
          <ns0:t>DEMAND</ns0:t>
        </ns0:is>
      </ns0:c>
      <ns0:c r="T3" s="23" t="n"/>
      <ns0:c r="U3" s="23" t="n"/>
      <ns0:c r="V3" s="23" t="n"/>
      <ns0:c r="W3" s="23" t="n"/>
      <ns0:c r="X3" s="23" t="n"/>
      <ns0:c r="Y3" s="23" t="n"/>
      <ns0:c r="Z3" s="23" t="n"/>
      <ns0:c r="AA3" s="23" t="n"/>
      <ns0:c r="AB3" s="23" t="n"/>
      <ns0:c r="AC3" s="23" t="n"/>
      <ns0:c r="AD3" s="23" t="n"/>
      <ns0:c r="AE3" s="23" t="n"/>
      <ns0:c r="AF3" s="23" t="n"/>
      <ns0:c r="AG3" s="23" t="n"/>
      <ns0:c r="AH3" s="23" t="n"/>
      <ns0:c r="AI3" s="224" t="inlineStr">
        <ns0:is>
          <ns0:t>PERFORMANCE</ns0:t>
        </ns0:is>
      </ns0:c>
      <ns0:c r="AJ3" s="23" t="n"/>
      <ns0:c r="AK3" s="23" t="n"/>
      <ns0:c r="AL3" s="23" t="n"/>
      <ns0:c r="AM3" s="23" t="n"/>
      <ns0:c r="AN3" s="23" t="n"/>
      <ns0:c r="AO3" s="23" t="n"/>
      <ns0:c r="AP3" s="23" t="n"/>
      <ns0:c r="AQ3" s="23" t="n"/>
      <ns0:c r="AR3" s="23" t="n"/>
      <ns0:c r="AS3" s="23" t="n"/>
      <ns0:c r="AT3" s="23" t="n"/>
      <ns0:c r="AU3" s="23" t="n"/>
      <ns0:c r="AV3" s="23" t="n"/>
      <ns0:c r="AW3" s="23" t="n"/>
      <ns0:c r="AX3" s="23" t="n"/>
      <ns0:c r="AY3" s="23" t="n"/>
      <ns0:c r="AZ3" s="23" t="n"/>
      <ns0:c r="BA3" s="23" t="n"/>
      <ns0:c r="BB3" s="23" t="n"/>
      <ns0:c r="BC3" s="23" t="n"/>
      <ns0:c r="BD3" s="23" t="n"/>
      <ns0:c r="BE3" s="225" t="inlineStr">
        <ns0:is>
          <ns0:t>FUNDAMENTALS</ns0:t>
        </ns0:is>
      </ns0:c>
      <ns0:c r="BF3" s="23" t="n"/>
      <ns0:c r="BG3" s="23" t="n"/>
      <ns0:c r="BH3" s="23" t="n"/>
      <ns0:c r="BI3" s="23" t="n"/>
      <ns0:c r="BJ3" s="23" t="n"/>
      <ns0:c r="BK3" s="23" t="n"/>
      <ns0:c r="BL3" s="23" t="n"/>
      <ns0:c r="BM3" s="226" t="inlineStr">
        <ns0:is>
          <ns0:t>A / H</ns0:t>
        </ns0:is>
      </ns0:c>
      <ns0:c r="BN3" s="23" t="n"/>
      <ns0:c r="BO3" s="23" t="n"/>
      <ns0:c r="BP3" s="23" t="n"/>
      <ns0:c r="BQ3" s="23" t="n"/>
      <ns0:c r="BR3" s="23" t="n"/>
      <ns0:c r="BS3" s="23" t="n"/>
      <ns0:c r="BT3" s="23" t="n"/>
      <ns0:c r="BU3" s="227" t="inlineStr">
        <ns0:is>
          <ns0:t>BANKS &amp; DOCS</ns0:t>
        </ns0:is>
      </ns0:c>
      <ns0:c r="BV3" s="23" t="n"/>
      <ns0:c r="BW3" s="23" t="n"/>
      <ns0:c r="BX3" s="23" t="n"/>
      <ns0:c r="BY3" s="23" t="n"/>
      <ns0:c r="BZ3" s="23" t="n"/>
      <ns0:c r="CA3" s="23" t="n"/>
      <ns0:c r="CB3" s="256" t="inlineStr">
        <ns0:is>
          <ns0:t>NOTES</ns0:t>
        </ns0:is>
      </ns0:c>
      <ns0:c r="CC3" s="23" t="n"/>
    </ns0:row>
    <ns0:row r="4" ht="48" customHeight="1">
      <ns0:c r="A4" s="229" t="inlineStr">
        <ns0:is>
          <ns0:t>Code</ns0:t>
        </ns0:is>
      </ns0:c>
      <ns0:c r="B4" s="229" t="inlineStr">
        <ns0:is>
          <ns0:t>Name</ns0:t>
        </ns0:is>
      </ns0:c>
      <ns0:c r="C4" s="229" t="inlineStr">
        <ns0:is>
          <ns0:t>Name (CN)</ns0:t>
        </ns0:is>
      </ns0:c>
      <ns0:c r="D4" s="229" t="inlineStr">
        <ns0:is>
          <ns0:t>Sector</ns0:t>
        </ns0:is>
      </ns0:c>
      <ns0:c r="E4" s="229" t="inlineStr">
        <ns0:is>
          <ns0:t>Subsector</ns0:t>
        </ns0:is>
      </ns0:c>
      <ns0:c r="F4" s="229" t="inlineStr">
        <ns0:is>
          <ns0:t>Industry (AAStocks)</ns0:t>
        </ns0:is>
      </ns0:c>
      <ns0:c r="G4" s="229" t="inlineStr">
        <ns0:is>
          <ns0:t>Regime</ns0:t>
        </ns0:is>
      </ns0:c>
      <ns0:c r="H4" s="229" t="inlineStr">
        <ns0:is>
          <ns0:t>IPO date</ns0:t>
        </ns0:is>
      </ns0:c>
      <ns0:c r="I4" s="229" t="inlineStr">
        <ns0:is>
          <ns0:t>Deal size (HK$m)</ns0:t>
        </ns0:is>
      </ns0:c>
      <ns0:c r="J4" s="229" t="inlineStr">
        <ns0:is>
          <ns0:t>Size basis</ns0:t>
        </ns0:is>
      </ns0:c>
      <ns0:c r="K4" s="229" t="inlineStr">
        <ns0:is>
          <ns0:t>Range low (HK$)</ns0:t>
        </ns0:is>
      </ns0:c>
      <ns0:c r="L4" s="229" t="inlineStr">
        <ns0:is>
          <ns0:t>Max/cap (HK$)</ns0:t>
        </ns0:is>
      </ns0:c>
      <ns0:c r="M4" s="229" t="inlineStr">
        <ns0:is>
          <ns0:t>Final px (HK$)</ns0:t>
        </ns0:is>
      </ns0:c>
      <ns0:c r="N4" s="229" t="inlineStr">
        <ns0:is>
          <ns0:t>Priced at cap</ns0:t>
        </ns0:is>
      </ns0:c>
      <ns0:c r="O4" s="229" t="inlineStr">
        <ns0:is>
          <ns0:t>% of cap</ns0:t>
        </ns0:is>
      </ns0:c>
      <ns0:c r="P4" s="229" t="inlineStr">
        <ns0:is>
          <ns0:t>Priced in range %</ns0:t>
        </ns0:is>
      </ns0:c>
      <ns0:c r="Q4" s="229" t="inlineStr">
        <ns0:is>
          <ns0:t>Mkt cap at IPO (HK$m)</ns0:t>
        </ns0:is>
      </ns0:c>
      <ns0:c r="R4" s="229" t="inlineStr">
        <ns0:is>
          <ns0:t>Mkt cap basis</ns0:t>
        </ns0:is>
      </ns0:c>
      <ns0:c r="S4" s="229" t="inlineStr">
        <ns0:is>
          <ns0:t>Public sub (x)</ns0:t>
        </ns0:is>
      </ns0:c>
      <ns0:c r="T4" s="229" t="inlineStr">
        <ns0:is>
          <ns0:t>Intl sub (x)</ns0:t>
        </ns0:is>
      </ns0:c>
      <ns0:c r="U4" s="229" t="inlineStr">
        <ns0:is>
          <ns0:t>Cornerstone (% of offer)</ns0:t>
        </ns0:is>
      </ns0:c>
      <ns0:c r="V4" s="229" t="inlineStr">
        <ns0:is>
          <ns0:t>Intl placees</ns0:t>
        </ns0:is>
      </ns0:c>
      <ns0:c r="W4" s="229" t="inlineStr">
        <ns0:is>
          <ns0:t>Public alloc % (final)</ns0:t>
        </ns0:is>
      </ns0:c>
      <ns0:c r="X4" s="229" t="inlineStr">
        <ns0:is>
          <ns0:t>Clawback</ns0:t>
        </ns0:is>
      </ns0:c>
      <ns0:c r="Y4" s="229" t="inlineStr">
        <ns0:is>
          <ns0:t>Eff. free float (HK$m)</ns0:t>
        </ns0:is>
      </ns0:c>
      <ns0:c r="Z4" s="229" t="inlineStr">
        <ns0:is>
          <ns0:t>Eff. free float (shares)</ns0:t>
        </ns0:is>
      </ns0:c>
      <ns0:c r="AA4" s="229" t="inlineStr">
        <ns0:is>
          <ns0:t>Eff. free float (% of cap)</ns0:t>
        </ns0:is>
      </ns0:c>
      <ns0:c r="AB4" s="229" t="inlineStr">
        <ns0:is>
          <ns0:t>Cornerstone investors</ns0:t>
        </ns0:is>
      </ns0:c>
      <ns0:c r="AC4" s="229" t="inlineStr">
        <ns0:is>
          <ns0:t>CS keys</ns0:t>
        </ns0:is>
      </ns0:c>
      <ns0:c r="AD4" s="229" t="inlineStr">
        <ns0:is>
          <ns0:t>Greenshoe size (%)</ns0:t>
        </ns0:is>
      </ns0:c>
      <ns0:c r="AE4" s="229" t="inlineStr">
        <ns0:is>
          <ns0:t>Shoe outcome (final)</ns0:t>
        </ns0:is>
      </ns0:c>
      <ns0:c r="AF4" s="229" t="inlineStr">
        <ns0:is>
          <ns0:t>Shoe ends (filed)</ns0:t>
        </ns0:is>
      </ns0:c>
      <ns0:c r="AG4" s="229" t="inlineStr">
        <ns0:is>
          <ns0:t>Stabilising manager</ns0:t>
        </ns0:is>
      </ns0:c>
      <ns0:c r="AH4" s="229" t="inlineStr">
        <ns0:is>
          <ns0:t>SM key</ns0:t>
        </ns0:is>
      </ns0:c>
      <ns0:c r="AI4" s="229" t="inlineStr">
        <ns0:is>
          <ns0:t>Grey mkt % vs offer</ns0:t>
        </ns0:is>
      </ns0:c>
      <ns0:c r="AJ4" s="229" t="inlineStr">
        <ns0:is>
          <ns0:t>Day-1</ns0:t>
        </ns0:is>
      </ns0:c>
      <ns0:c r="AK4" s="229" t="inlineStr">
        <ns0:is>
          <ns0:t>Benchmark index Day-1</ns0:t>
        </ns0:is>
      </ns0:c>
      <ns0:c r="AL4" s="229" t="inlineStr">
        <ns0:is>
          <ns0:t>Day-1 open pop</ns0:t>
        </ns0:is>
      </ns0:c>
      <ns0:c r="AM4" s="229" t="inlineStr">
        <ns0:is>
          <ns0:t>Day-1 open to close</ns0:t>
        </ns0:is>
      </ns0:c>
      <ns0:c r="AN4" s="229" t="inlineStr">
        <ns0:is>
          <ns0:t>Day-1 vol / retail float (x)</ns0:t>
        </ns0:is>
      </ns0:c>
      <ns0:c r="AO4" s="229" t="inlineStr">
        <ns0:is>
          <ns0:t>Day-1 range %</ns0:t>
        </ns0:is>
      </ns0:c>
      <ns0:c r="AP4" s="229" t="inlineStr">
        <ns0:is>
          <ns0:t>1-week</ns0:t>
        </ns0:is>
      </ns0:c>
      <ns0:c r="AQ4" s="229" t="inlineStr">
        <ns0:is>
          <ns0:t>1-month</ns0:t>
        </ns0:is>
      </ns0:c>
      <ns0:c r="AR4" s="229" t="inlineStr">
        <ns0:is>
          <ns0:t>3-month</ns0:t>
        </ns0:is>
      </ns0:c>
      <ns0:c r="AS4" s="230" t="inlineStr">
        <ns0:is>
          <ns0:t>1w ex-pop</ns0:t>
        </ns0:is>
      </ns0:c>
      <ns0:c r="AT4" s="230" t="inlineStr">
        <ns0:is>
          <ns0:t>1m ex-pop</ns0:t>
        </ns0:is>
      </ns0:c>
      <ns0:c r="AU4" s="230" t="inlineStr">
        <ns0:is>
          <ns0:t>3m ex-pop</ns0:t>
        </ns0:is>
      </ns0:c>
      <ns0:c r="AV4" s="229" t="inlineStr">
        <ns0:is>
          <ns0:t>Alpha 1w vs index</ns0:t>
        </ns0:is>
      </ns0:c>
      <ns0:c r="AW4" s="229" t="inlineStr">
        <ns0:is>
          <ns0:t>Alpha 1m vs index</ns0:t>
        </ns0:is>
      </ns0:c>
      <ns0:c r="AX4" s="229" t="inlineStr">
        <ns0:is>
          <ns0:t>Alpha 3m vs index</ns0:t>
        </ns0:is>
      </ns0:c>
      <ns0:c r="AY4" s="230" t="inlineStr">
        <ns0:is>
          <ns0:t>Alpha 1m ex-pop</ns0:t>
        </ns0:is>
      </ns0:c>
      <ns0:c r="AZ4" s="229" t="inlineStr">
        <ns0:is>
          <ns0:t>Index, IPO to 1m</ns0:t>
        </ns0:is>
      </ns0:c>
      <ns0:c r="BA4" s="229" t="inlineStr">
        <ns0:is>
          <ns0:t>Index, day-1 to 1m</ns0:t>
        </ns0:is>
      </ns0:c>
      <ns0:c r="BB4" s="229" t="inlineStr">
        <ns0:is>
          <ns0:t>Benchmark</ns0:t>
        </ns0:is>
      </ns0:c>
      <ns0:c r="BC4" s="229" t="inlineStr">
        <ns0:is>
          <ns0:t>Since IPO</ns0:t>
        </ns0:is>
      </ns0:c>
      <ns0:c r="BD4" s="229" t="inlineStr">
        <ns0:is>
          <ns0:t>Prices as of</ns0:t>
        </ns0:is>
      </ns0:c>
      <ns0:c r="BE4" s="229" t="inlineStr">
        <ns0:is>
          <ns0:t>Latest FY rev (HK$m)</ns0:t>
        </ns0:is>
      </ns0:c>
      <ns0:c r="BF4" s="229" t="inlineStr">
        <ns0:is>
          <ns0:t>Latest FY NI (HK$m)</ns0:t>
        </ns0:is>
      </ns0:c>
      <ns0:c r="BG4" s="229" t="inlineStr">
        <ns0:is>
          <ns0:t>Profitable</ns0:t>
        </ns0:is>
      </ns0:c>
      <ns0:c r="BH4" s="229" t="inlineStr">
        <ns0:is>
          <ns0:t>P/E at IPO</ns0:t>
        </ns0:is>
      </ns0:c>
      <ns0:c r="BI4" s="229" t="inlineStr">
        <ns0:is>
          <ns0:t>P/E at IPO (BBG)</ns0:t>
        </ns0:is>
      </ns0:c>
      <ns0:c r="BJ4" s="229" t="inlineStr">
        <ns0:is>
          <ns0:t>P/E today (BBG)</ns0:t>
        </ns0:is>
      </ns0:c>
      <ns0:c r="BK4" s="229" t="inlineStr">
        <ns0:is>
          <ns0:t>P/S at IPO</ns0:t>
        </ns0:is>
      </ns0:c>
      <ns0:c r="BL4" s="229" t="inlineStr">
        <ns0:is>
          <ns0:t>P/S today (BBG)</ns0:t>
        </ns0:is>
      </ns0:c>
      <ns0:c r="BM4" s="229" t="inlineStr">
        <ns0:is>
          <ns0:t>A/H pair</ns0:t>
        </ns0:is>
      </ns0:c>
      <ns0:c r="BN4" s="229" t="inlineStr">
        <ns0:is>
          <ns0:t>A-share code</ns0:t>
        </ns0:is>
      </ns0:c>
      <ns0:c r="BO4" s="229" t="inlineStr">
        <ns0:is>
          <ns0:t>A prem vs H at IPO</ns0:t>
        </ns0:is>
      </ns0:c>
      <ns0:c r="BP4" s="229" t="inlineStr">
        <ns0:is>
          <ns0:t>A close used (HK$)</ns0:t>
        </ns0:is>
      </ns0:c>
      <ns0:c r="BQ4" s="229" t="inlineStr">
        <ns0:is>
          <ns0:t>A premium (today)</ns0:t>
        </ns0:is>
      </ns0:c>
      <ns0:c r="BR4" s="229" t="inlineStr">
        <ns0:is>
          <ns0:t>A-line mkt cap now (HK$m)</ns0:t>
        </ns0:is>
      </ns0:c>
      <ns0:c r="BS4" s="229" t="inlineStr">
        <ns0:is>
          <ns0:t>A P/E @H-IPO (BBG)</ns0:t>
        </ns0:is>
      </ns0:c>
      <ns0:c r="BT4" s="229" t="inlineStr">
        <ns0:is>
          <ns0:t>HSAHP @IPO (BBG)</ns0:t>
        </ns0:is>
      </ns0:c>
      <ns0:c r="BU4" s="229" t="inlineStr">
        <ns0:is>
          <ns0:t>Sponsors</ns0:t>
        </ns0:is>
      </ns0:c>
      <ns0:c r="BV4" s="229" t="inlineStr">
        <ns0:is>
          <ns0:t>Sponsors (AAStocks)</ns0:t>
        </ns0:is>
      </ns0:c>
      <ns0:c r="BW4" s="229" t="inlineStr">
        <ns0:is>
          <ns0:t>Bookrunners</ns0:t>
        </ns0:is>
      </ns0:c>
      <ns0:c r="BX4" s="229" t="inlineStr">
        <ns0:is>
          <ns0:t>Underwriters (AAStocks)</ns0:t>
        </ns0:is>
      </ns0:c>
      <ns0:c r="BY4" s="229" t="inlineStr">
        <ns0:is>
          <ns0:t>Prospectus</ns0:t>
        </ns0:is>
      </ns0:c>
      <ns0:c r="BZ4" s="229" t="inlineStr">
        <ns0:is>
          <ns0:t>Allotment result</ns0:t>
        </ns0:is>
      </ns0:c>
      <ns0:c r="CA4" s="229" t="inlineStr">
        <ns0:is>
          <ns0:t>Stabilisation notice</ns0:t>
        </ns0:is>
      </ns0:c>
      <ns0:c r="CB4" s="229" t="inlineStr">
        <ns0:is>
          <ns0:t>Valuation notes</ns0:t>
        </ns0:is>
      </ns0:c>
      <ns0:c r="CC4" s="229" t="inlineStr">
        <ns0:is>
          <ns0:t>Notes on blanks</ns0:t>
        </ns0:is>
      </ns0:c>
    </ns0:row>
    <ns0:row r="5" ht="22" customHeight="1">
      <ns0:c r="A5" s="73" t="inlineStr">
        <ns0:is>
          <ns0:t>9600</ns0:t>
        </ns0:is>
      </ns0:c>
      <ns0:c r="B5" s="74" t="inlineStr">
        <ns0:is>
          <ns0:t>NEWLINK TECH</ns0:t>
        </ns0:is>
      </ns0:c>
      <ns0:c r="C5" s="74" t="inlineStr">
        <ns0:is>
          <ns0:t>新紐科技</ns0:t>
        </ns0:is>
      </ns0:c>
      <ns0:c r="D5" s="74" t="inlineStr">
        <ns0:is>
          <ns0:t>Healthcare</ns0:t>
        </ns0:is>
      </ns0:c>
      <ns0:c r="E5" s="74" t="inlineStr">
        <ns0:is>
          <ns0:t>Digital health</ns0:t>
        </ns0:is>
      </ns0:c>
      <ns0:c r="F5" s="74" t="inlineStr">
        <ns0:is>
          <ns0:t>IT Consulting &amp; Other Services</ns0:t>
        </ns0:is>
      </ns0:c>
      <ns0:c r="G5" s="74" t="inlineStr">
        <ns0:is>
          <ns0:t>Standard</ns0:t>
        </ns0:is>
      </ns0:c>
      <ns0:c r="H5" s="75" t="n">
        <ns0:v>44202</ns0:v>
      </ns0:c>
      <ns0:c r="I5" s="76" t="n">
        <ns0:v>872</ns0:v>
      </ns0:c>
      <ns0:c r="J5" s="74" t="inlineStr">
        <ns0:is>
          <ns0:t>gross (price x shares)</ns0:t>
        </ns0:is>
      </ns0:c>
      <ns0:c r="K5" s="77" t="n">
        <ns0:v>3.06</ns0:v>
      </ns0:c>
      <ns0:c r="L5" s="77" t="n">
        <ns0:v>4.36</ns0:v>
      </ns0:c>
      <ns0:c r="M5" s="77" t="n">
        <ns0:v>4.36</ns0:v>
      </ns0:c>
      <ns0:c r="N5" s="74" t="inlineStr">
        <ns0:is>
          <ns0:t>Y</ns0:t>
        </ns0:is>
      </ns0:c>
      <ns0:c r="O5" s="78" t="n">
        <ns0:v>100</ns0:v>
      </ns0:c>
      <ns0:c r="P5" s="78" t="n">
        <ns0:v>100</ns0:v>
      </ns0:c>
      <ns0:c r="Q5" s="79" t="n">
        <ns0:v>3488</ns0:v>
      </ns0:c>
      <ns0:c r="R5" s="74" t="inlineStr">
        <ns0:is>
          <ns0:t>aastocks:上市市值 at the struck price</ns0:t>
        </ns0:is>
      </ns0:c>
      <ns0:c r="S5" s="80" t="n">
        <ns0:v>446.57</ns0:v>
      </ns0:c>
      <ns0:c r="T5" s="81" t="n">
        <ns0:v>2.4</ns0:v>
      </ns0:c>
      <ns0:c r="U5" s="82" t="n">
        <ns0:v>25.8</ns0:v>
      </ns0:c>
      <ns0:c r="V5" s="83" t="n">
        <ns0:v>302</ns0:v>
      </ns0:c>
      <ns0:c r="W5" s="84" t="n"/>
      <ns0:c r="X5" s="85" t="n"/>
      <ns0:c r="Y5" s="79" t="n">
        <ns0:v>647.02</ns0:v>
      </ns0:c>
      <ns0:c r="Z5" s="79" t="n">
        <ns0:v>148400000</ns0:v>
      </ns0:c>
      <ns0:c r="AA5" s="78" t="n">
        <ns0:v>18.55</ns0:v>
      </ns0:c>
      <ns0:c r="AB5" s="74" t="inlineStr">
        <ns0:is>
          <ns0:t>Caitong Fund Management Co., Ltd; Hony Goldstream Special Opportunity Fund I</ns0:t>
        </ns0:is>
      </ns0:c>
      <ns0:c r="AC5" s="74" t="inlineStr">
        <ns0:is>
          <ns0:t>caitong;hony</ns0:t>
        </ns0:is>
      </ns0:c>
      <ns0:c r="AD5" s="78" t="n">
        <ns0:v>10</ns0:v>
      </ns0:c>
      <ns0:c r="AE5" s="74" t="inlineStr">
        <ns0:is>
          <ns0:t>lapsed</ns0:t>
        </ns0:is>
      </ns0:c>
      <ns0:c r="AF5" s="85" t="n"/>
      <ns0:c r="AG5" s="74" t="inlineStr">
        <ns0:is>
          <ns0:t>Mont Avenir Capital Limited</ns0:t>
        </ns0:is>
      </ns0:c>
      <ns0:c r="AH5" s="74" t="inlineStr">
        <ns0:is>
          <ns0:t>Mont Avenir</ns0:t>
        </ns0:is>
      </ns0:c>
      <ns0:c r="AI5" s="86" t="n">
        <ns0:v>0.92</ns0:v>
      </ns0:c>
      <ns0:c r="AJ5" s="87" t="n">
        <ns0:v>-5.96</ns0:v>
      </ns0:c>
      <ns0:c r="AK5" s="87" t="n">
        <ns0:v>-0.11</ns0:v>
      </ns0:c>
      <ns0:c r="AL5" s="87" t="n">
        <ns0:v>-5.5</ns0:v>
      </ns0:c>
      <ns0:c r="AM5" s="87" t="n">
        <ns0:v>-0.49</ns0:v>
      </ns0:c>
      <ns0:c r="AN5" s="88" t="n"/>
      <ns0:c r="AO5" s="78" t="n">
        <ns0:v>10.19</ns0:v>
      </ns0:c>
      <ns0:c r="AP5" s="87" t="n">
        <ns0:v>-11.24</ns0:v>
      </ns0:c>
      <ns0:c r="AQ5" s="87" t="n">
        <ns0:v>-27.98</ns0:v>
      </ns0:c>
      <ns0:c r="AR5" s="87" t="n">
        <ns0:v>-50.23</ns0:v>
      </ns0:c>
      <ns0:c r="AS5" s="87" t="n">
        <ns0:v>-5.61</ns0:v>
      </ns0:c>
      <ns0:c r="AT5" s="87" t="n">
        <ns0:v>-23.42</ns0:v>
      </ns0:c>
      <ns0:c r="AU5" s="87" t="n">
        <ns0:v>-47.08</ns0:v>
      </ns0:c>
      <ns0:c r="AV5" s="87" t="n">
        <ns0:v>-14.15</ns0:v>
      </ns0:c>
      <ns0:c r="AW5" s="87" t="n">
        <ns0:v>-41.54</ns0:v>
      </ns0:c>
      <ns0:c r="AX5" s="87" t="n">
        <ns0:v>-46.95</ns0:v>
      </ns0:c>
      <ns0:c r="AY5" s="87" t="n">
        <ns0:v>-37.1</ns0:v>
      </ns0:c>
      <ns0:c r="AZ5" s="87" t="n">
        <ns0:v>13.56</ns0:v>
      </ns0:c>
      <ns0:c r="BA5" s="87" t="n">
        <ns0:v>13.68</ns0:v>
      </ns0:c>
      <ns0:c r="BB5" s="74" t="inlineStr">
        <ns0:is>
          <ns0:t>China Biotech ETF (HS biotech proxy)</ns0:t>
        </ns0:is>
      </ns0:c>
      <ns0:c r="BC5" s="87" t="n">
        <ns0:v>-97</ns0:v>
      </ns0:c>
      <ns0:c r="BD5" s="75" t="n">
        <ns0:v>46297</ns0:v>
      </ns0:c>
      <ns0:c r="BE5" s="76" t="n">
        <ns0:v>163.9</ns0:v>
      </ns0:c>
      <ns0:c r="BF5" s="79" t="n">
        <ns0:v>36.4</ns0:v>
      </ns0:c>
      <ns0:c r="BG5" s="74" t="inlineStr">
        <ns0:is>
          <ns0:t>Y</ns0:t>
        </ns0:is>
      </ns0:c>
      <ns0:c r="BH5" s="89" t="n">
        <ns0:v>95.8</ns0:v>
      </ns0:c>
      <ns0:c r="BI5" s="88" t="n"/>
      <ns0:c r="BJ5" s="88" t="n"/>
      <ns0:c r="BK5" s="89" t="n">
        <ns0:v>21.3</ns0:v>
      </ns0:c>
      <ns0:c r="BL5" s="90">
        <ns0:f>IFERROR(IF('BBG Verify'!S5="","Awaiting Bloomberg",'BBG Verify'!S5),"Awaiting Bloomberg")</ns0:f>
        <ns0:v/>
      </ns0:c>
      <ns0:c r="BM5" s="91" t="inlineStr">
        <ns0:is>
          <ns0:t>N</ns0:t>
        </ns0:is>
      </ns0:c>
      <ns0:c r="BN5" s="92">
        <ns0:f>IFERROR(IF('BBG Verify'!K5="","Awaiting Bloomberg",'BBG Verify'!K5),"Awaiting Bloomberg")</ns0:f>
        <ns0:v/>
      </ns0:c>
      <ns0:c r="BO5" s="74" t="inlineStr">
        <ns0:is>
          <ns0:t>N/A</ns0:t>
        </ns0:is>
      </ns0:c>
      <ns0:c r="BP5" s="74" t="inlineStr">
        <ns0:is>
          <ns0:t>N/A</ns0:t>
        </ns0:is>
      </ns0:c>
      <ns0:c r="BQ5" s="74" t="inlineStr">
        <ns0:is>
          <ns0:t>N/A</ns0:t>
        </ns0:is>
      </ns0:c>
      <ns0:c r="BR5" s="74" t="inlineStr">
        <ns0:is>
          <ns0:t>N/A</ns0:t>
        </ns0:is>
      </ns0:c>
      <ns0:c r="BS5" s="74" t="inlineStr">
        <ns0:is>
          <ns0:t>N/A</ns0:t>
        </ns0:is>
      </ns0:c>
      <ns0:c r="BT5" s="74" t="inlineStr">
        <ns0:is>
          <ns0:t>N/A</ns0:t>
        </ns0:is>
      </ns0:c>
      <ns0:c r="BU5" s="91" t="inlineStr">
        <ns0:is>
          <ns0:t>Mont Avenir Capital Limited</ns0:t>
        </ns0:is>
      </ns0:c>
      <ns0:c r="BV5" s="74" t="inlineStr">
        <ns0:is>
          <ns0:t>Mont Avenir Capital Limited</ns0:t>
        </ns0:is>
      </ns0:c>
      <ns0:c r="BW5" s="74" t="inlineStr">
        <ns0:is>
          <ns0:t>Mont Avenir Capital Limited; SPDB International Capital Limited; Futu Securities International (Hong Kong) Limited; AMTD Global Markets Limited; China Merchants Securities (HK) Co., Limited</ns0:t>
        </ns0:is>
      </ns0:c>
      <ns0:c r="BX5" s="74" t="inlineStr">
        <ns0:is>
          <ns0:t>AMTD Global Markets Limited; China Merchants Securities (HK) Company Limited; Futu Securities International (Hong Kong) Limited; Mont Avenir Capital Limited; SPDB International Capital Limited</ns0:t>
        </ns0:is>
      </ns0:c>
      <ns0:c r="BY5" s="93">
        <ns0:f>HYPERLINK("https://www1.hkexnews.hk/listedco/listconews/sehk/2020/1221/2020122100005.pdf","prospectus")</ns0:f>
        <ns0:v/>
      </ns0:c>
      <ns0:c r="BZ5" s="93">
        <ns0:f>HYPERLINK("https://www1.hkexnews.hk/listedco/listconews/sehk/2021/0105/2021010500020.htm","allotment")</ns0:f>
        <ns0:v/>
      </ns0:c>
      <ns0:c r="CA5" s="93">
        <ns0:f>HYPERLINK("https://www1.hkexnews.hk/listedco/listconews/sehk/2021/0124/2021012400011.pdf","stabilisation")</ns0:f>
        <ns0:v/>
      </ns0:c>
      <ns0:c r="CB5" s="94" t="n"/>
      <ns0:c r="CC5" s="74" t="inlineStr">
        <ns0:is>
          <ns0:t>greenshoe: outcome published; expiry date not in the notice; 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ns0:t>
        </ns0:is>
      </ns0:c>
    </ns0:row>
    <ns0:row r="6" ht="22" customHeight="1">
      <ns0:c r="A6" s="73" t="inlineStr">
        <ns0:is>
          <ns0:t>1855</ns0:t>
        </ns0:is>
      </ns0:c>
      <ns0:c r="B6" s="74" t="inlineStr">
        <ns0:is>
          <ns0:t>ZONBONG ENVIRO</ns0:t>
        </ns0:is>
      </ns0:c>
      <ns0:c r="C6" s="74" t="inlineStr">
        <ns0:is>
          <ns0:t>中慶股份</ns0:t>
        </ns0:is>
      </ns0:c>
      <ns0:c r="D6" s="74" t="inlineStr">
        <ns0:is>
          <ns0:t>Industrials</ns0:t>
        </ns0:is>
      </ns0:c>
      <ns0:c r="E6" s="74" t="inlineStr">
        <ns0:is>
          <ns0:t>Construction / engineering</ns0:t>
        </ns0:is>
      </ns0:c>
      <ns0:c r="F6" s="74" t="inlineStr">
        <ns0:is>
          <ns0:t>Building Construction</ns0:t>
        </ns0:is>
      </ns0:c>
      <ns0:c r="G6" s="74" t="inlineStr">
        <ns0:is>
          <ns0:t>Standard</ns0:t>
        </ns0:is>
      </ns0:c>
      <ns0:c r="H6" s="75" t="n">
        <ns0:v>44202</ns0:v>
      </ns0:c>
      <ns0:c r="I6" s="76" t="n">
        <ns0:v>137.5</ns0:v>
      </ns0:c>
      <ns0:c r="J6" s="74" t="inlineStr">
        <ns0:is>
          <ns0:t>gross (price x shares)</ns0:t>
        </ns0:is>
      </ns0:c>
      <ns0:c r="K6" s="95" t="n"/>
      <ns0:c r="L6" s="77" t="n">
        <ns0:v>2</ns0:v>
      </ns0:c>
      <ns0:c r="M6" s="77" t="n">
        <ns0:v>2</ns0:v>
      </ns0:c>
      <ns0:c r="N6" s="74" t="inlineStr">
        <ns0:is>
          <ns0:t>Y</ns0:t>
        </ns0:is>
      </ns0:c>
      <ns0:c r="O6" s="78" t="n">
        <ns0:v>100</ns0:v>
      </ns0:c>
      <ns0:c r="P6" s="84" t="n"/>
      <ns0:c r="Q6" s="79" t="n">
        <ns0:v>594</ns0:v>
      </ns0:c>
      <ns0:c r="R6" s="74" t="inlineStr">
        <ns0:is>
          <ns0:t>aastocks:上市市值 at the struck price</ns0:t>
        </ns0:is>
      </ns0:c>
      <ns0:c r="S6" s="80" t="n">
        <ns0:v>36.25</ns0:v>
      </ns0:c>
      <ns0:c r="T6" s="81" t="n">
        <ns0:v>1.01</ns0:v>
      </ns0:c>
      <ns0:c r="U6" s="82" t="n">
        <ns0:v>0</ns0:v>
      </ns0:c>
      <ns0:c r="V6" s="83" t="n">
        <ns0:v>60</ns0:v>
      </ns0:c>
      <ns0:c r="W6" s="84" t="n"/>
      <ns0:c r="X6" s="85" t="n"/>
      <ns0:c r="Y6" s="79" t="n">
        <ns0:v>137.5</ns0:v>
      </ns0:c>
      <ns0:c r="Z6" s="79" t="n">
        <ns0:v>68750000</ns0:v>
      </ns0:c>
      <ns0:c r="AA6" s="78" t="n">
        <ns0:v>23.15</ns0:v>
      </ns0:c>
      <ns0:c r="AB6" s="74" t="inlineStr">
        <ns0:is>
          <ns0:t>none — no cornerstone tranche</ns0:t>
        </ns0:is>
      </ns0:c>
      <ns0:c r="AC6" s="74" t="inlineStr">
        <ns0:is>
          <ns0:t>none</ns0:t>
        </ns0:is>
      </ns0:c>
      <ns0:c r="AD6" s="84" t="n"/>
      <ns0:c r="AE6" s="74" t="inlineStr">
        <ns0:is>
          <ns0:t>lapsed</ns0:t>
        </ns0:is>
      </ns0:c>
      <ns0:c r="AF6" s="85" t="n"/>
      <ns0:c r="AG6" s="74" t="inlineStr">
        <ns0:is>
          <ns0:t>China Tonghai Securities Limited</ns0:t>
        </ns0:is>
      </ns0:c>
      <ns0:c r="AH6" s="74" t="inlineStr">
        <ns0:is>
          <ns0:t>China Tonghai</ns0:t>
        </ns0:is>
      </ns0:c>
      <ns0:c r="AI6" s="86" t="n">
        <ns0:v>1</ns0:v>
      </ns0:c>
      <ns0:c r="AJ6" s="87" t="n">
        <ns0:v>2.5</ns0:v>
      </ns0:c>
      <ns0:c r="AK6" s="87" t="n">
        <ns0:v>0.91</ns0:v>
      </ns0:c>
      <ns0:c r="AL6" s="87" t="n">
        <ns0:v>-0.5</ns0:v>
      </ns0:c>
      <ns0:c r="AM6" s="87" t="n">
        <ns0:v>3.02</ns0:v>
      </ns0:c>
      <ns0:c r="AN6" s="88" t="n"/>
      <ns0:c r="AO6" s="78" t="n">
        <ns0:v>17.59</ns0:v>
      </ns0:c>
      <ns0:c r="AP6" s="87" t="n">
        <ns0:v>-5</ns0:v>
      </ns0:c>
      <ns0:c r="AQ6" s="87" t="n">
        <ns0:v>-5</ns0:v>
      </ns0:c>
      <ns0:c r="AR6" s="87" t="n">
        <ns0:v>3.5</ns0:v>
      </ns0:c>
      <ns0:c r="AS6" s="87" t="n">
        <ns0:v>-7.32</ns0:v>
      </ns0:c>
      <ns0:c r="AT6" s="87" t="n">
        <ns0:v>-7.32</ns0:v>
      </ns0:c>
      <ns0:c r="AU6" s="87" t="n">
        <ns0:v>0.98</ns0:v>
      </ns0:c>
      <ns0:c r="AV6" s="87" t="n">
        <ns0:v>-5.71</ns0:v>
      </ns0:c>
      <ns0:c r="AW6" s="87" t="n">
        <ns0:v>-15.56</ns0:v>
      </ns0:c>
      <ns0:c r="AX6" s="87" t="n">
        <ns0:v>3.47</ns0:v>
      </ns0:c>
      <ns0:c r="AY6" s="87" t="n">
        <ns0:v>-16.88</ns0:v>
      </ns0:c>
      <ns0:c r="AZ6" s="87" t="n">
        <ns0:v>10.56</ns0:v>
      </ns0:c>
      <ns0:c r="BA6" s="87" t="n">
        <ns0:v>9.56</ns0:v>
      </ns0:c>
      <ns0:c r="BB6" s="74" t="inlineStr">
        <ns0:is>
          <ns0:t>Hang Seng Commerce &amp; Industry sub-index</ns0:t>
        </ns0:is>
      </ns0:c>
      <ns0:c r="BC6" s="87" t="n">
        <ns0:v>-77.8</ns0:v>
      </ns0:c>
      <ns0:c r="BD6" s="75" t="n">
        <ns0:v>46297</ns0:v>
      </ns0:c>
      <ns0:c r="BE6" s="76" t="n">
        <ns0:v>987.2</ns0:v>
      </ns0:c>
      <ns0:c r="BF6" s="79" t="n">
        <ns0:v>54.4</ns0:v>
      </ns0:c>
      <ns0:c r="BG6" s="74" t="inlineStr">
        <ns0:is>
          <ns0:t>Y</ns0:t>
        </ns0:is>
      </ns0:c>
      <ns0:c r="BH6" s="89" t="n">
        <ns0:v>10.9</ns0:v>
      </ns0:c>
      <ns0:c r="BI6" s="88" t="n"/>
      <ns0:c r="BJ6" s="89" t="n">
        <ns0:v>5.7</ns0:v>
      </ns0:c>
      <ns0:c r="BK6" s="89" t="n">
        <ns0:v>0.6</ns0:v>
      </ns0:c>
      <ns0:c r="BL6" s="90">
        <ns0:f>IFERROR(IF('BBG Verify'!S6="","Awaiting Bloomberg",'BBG Verify'!S6),"Awaiting Bloomberg")</ns0:f>
        <ns0:v/>
      </ns0:c>
      <ns0:c r="BM6" s="91" t="inlineStr">
        <ns0:is>
          <ns0:t>N</ns0:t>
        </ns0:is>
      </ns0:c>
      <ns0:c r="BN6" s="92">
        <ns0:f>IFERROR(IF('BBG Verify'!K6="","Awaiting Bloomberg",'BBG Verify'!K6),"Awaiting Bloomberg")</ns0:f>
        <ns0:v/>
      </ns0:c>
      <ns0:c r="BO6" s="74" t="inlineStr">
        <ns0:is>
          <ns0:t>N/A</ns0:t>
        </ns0:is>
      </ns0:c>
      <ns0:c r="BP6" s="74" t="inlineStr">
        <ns0:is>
          <ns0:t>N/A</ns0:t>
        </ns0:is>
      </ns0:c>
      <ns0:c r="BQ6" s="74" t="inlineStr">
        <ns0:is>
          <ns0:t>N/A</ns0:t>
        </ns0:is>
      </ns0:c>
      <ns0:c r="BR6" s="74" t="inlineStr">
        <ns0:is>
          <ns0:t>N/A</ns0:t>
        </ns0:is>
      </ns0:c>
      <ns0:c r="BS6" s="74" t="inlineStr">
        <ns0:is>
          <ns0:t>N/A</ns0:t>
        </ns0:is>
      </ns0:c>
      <ns0:c r="BT6" s="74" t="inlineStr">
        <ns0:is>
          <ns0:t>N/A</ns0:t>
        </ns0:is>
      </ns0:c>
      <ns0:c r="BU6" s="91" t="inlineStr">
        <ns0:is>
          <ns0:t>China Tonghai Capital Limited</ns0:t>
        </ns0:is>
      </ns0:c>
      <ns0:c r="BV6" s="74" t="inlineStr">
        <ns0:is>
          <ns0:t>China Tonghai Capital Limited</ns0:t>
        </ns0:is>
      </ns0:c>
      <ns0:c r="BW6" s="74" t="inlineStr">
        <ns0:is>
          <ns0:t>China Tonghai Securities Limited; CMBC Securities Company Limited; Southwest Securities (HK) Brokerage Limited; SPDB International Capital Limited</ns0:t>
        </ns0:is>
      </ns0:c>
      <ns0:c r="BX6" s="74" t="inlineStr">
        <ns0:is>
          <ns0: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ns0:t>
        </ns0:is>
      </ns0:c>
      <ns0:c r="BY6" s="93">
        <ns0:f>HYPERLINK("https://www1.hkexnews.hk/listedco/listconews/sehk/2020/1222/2020122200050.htm","prospectus")</ns0:f>
        <ns0:v/>
      </ns0:c>
      <ns0:c r="BZ6" s="93">
        <ns0:f>HYPERLINK("https://www1.hkexnews.hk/listedco/listconews/sehk/2021/0105/2021010500038.htm","allotment")</ns0:f>
        <ns0:v/>
      </ns0:c>
      <ns0:c r="CA6" s="93">
        <ns0:f>HYPERLINK("https://www1.hkexnews.hk/listedco/listconews/sehk/2021/0203/2021020300669.pdf","stabilisation")</ns0:f>
        <ns0:v/>
      </ns0:c>
      <ns0:c r="CB6" s="94" t="n"/>
      <ns0:c r="CC6" s="74" t="inlineStr">
        <ns0:is>
          <ns0:t>greenshoe: outcome published; expiry date not in the notice; price range: fixed-price offering (no indicative range); range low: maximum offer price only, no floor published; cornerstone list: no cornerstone tranche; greenshoe size: no over-allotment option; allocation: allocation table not in this notice's format (older prose announcement); day-1 tape: volume on file; the retail multiple needs the final public split, which this notice does not state</ns0:t>
        </ns0:is>
      </ns0:c>
    </ns0:row>
    <ns0:row r="7" ht="22" customHeight="1">
      <ns0:c r="A7" s="73" t="inlineStr">
        <ns0:is>
          <ns0:t>1440</ns0:t>
        </ns0:is>
      </ns0:c>
      <ns0:c r="B7" s="74" t="inlineStr">
        <ns0:is>
          <ns0:t>DEYUN HOLDING</ns0:t>
        </ns0:is>
      </ns0:c>
      <ns0:c r="C7" s="74" t="inlineStr">
        <ns0:is>
          <ns0:t>應星控股</ns0:t>
        </ns0:is>
      </ns0:c>
      <ns0:c r="D7" s="74" t="inlineStr">
        <ns0:is>
          <ns0:t>Industrials</ns0:t>
        </ns0:is>
      </ns0:c>
      <ns0:c r="E7" s="74" t="inlineStr">
        <ns0:is>
          <ns0:t>Construction / engineering</ns0:t>
        </ns0:is>
      </ns0:c>
      <ns0:c r="F7" s="74" t="inlineStr">
        <ns0:is>
          <ns0:t>Textiles</ns0:t>
        </ns0:is>
      </ns0:c>
      <ns0:c r="G7" s="74" t="inlineStr">
        <ns0:is>
          <ns0:t>Standard</ns0:t>
        </ns0:is>
      </ns0:c>
      <ns0:c r="H7" s="75" t="n">
        <ns0:v>44209</ns0:v>
      </ns0:c>
      <ns0:c r="I7" s="76" t="n">
        <ns0:v>126</ns0:v>
      </ns0:c>
      <ns0:c r="J7" s="74" t="inlineStr">
        <ns0:is>
          <ns0:t>gross (price x shares)</ns0:t>
        </ns0:is>
      </ns0:c>
      <ns0:c r="K7" s="77" t="n">
        <ns0:v>0.4</ns0:v>
      </ns0:c>
      <ns0:c r="L7" s="77" t="n">
        <ns0:v>0.5</ns0:v>
      </ns0:c>
      <ns0:c r="M7" s="77" t="n">
        <ns0:v>0.4</ns0:v>
      </ns0:c>
      <ns0:c r="N7" s="74" t="inlineStr">
        <ns0:is>
          <ns0:t>N</ns0:t>
        </ns0:is>
      </ns0:c>
      <ns0:c r="O7" s="78" t="n">
        <ns0:v>80</ns0:v>
      </ns0:c>
      <ns0:c r="P7" s="78" t="n">
        <ns0:v>0</ns0:v>
      </ns0:c>
      <ns0:c r="Q7" s="79" t="n">
        <ns0:v>560</ns0:v>
      </ns0:c>
      <ns0:c r="R7" s="74" t="inlineStr">
        <ns0:is>
          <ns0:t>derived:deal size / offer % of enlarged capital</ns0:t>
        </ns0:is>
      </ns0:c>
      <ns0:c r="S7" s="80" t="n">
        <ns0:v>33.62</ns0:v>
      </ns0:c>
      <ns0:c r="T7" s="81" t="n">
        <ns0:v>0.96</ns0:v>
      </ns0:c>
      <ns0:c r="U7" s="82" t="n">
        <ns0:v>45.1</ns0:v>
      </ns0:c>
      <ns0:c r="V7" s="83" t="n">
        <ns0:v>218</ns0:v>
      </ns0:c>
      <ns0:c r="W7" s="78" t="n">
        <ns0:v>20</ns0:v>
      </ns0:c>
      <ns0:c r="X7" s="85" t="n"/>
      <ns0:c r="Y7" s="79" t="n">
        <ns0:v>69.17</ns0:v>
      </ns0:c>
      <ns0:c r="Z7" s="79" t="n">
        <ns0:v>172935000</ns0:v>
      </ns0:c>
      <ns0:c r="AA7" s="78" t="n">
        <ns0:v>12.35</ns0:v>
      </ns0:c>
      <ns0:c r="AB7" s="74" t="inlineStr">
        <ns0:is>
          <ns0:t>Cheng Hung Ping; Tam Yuk Ching Jenny; Tsai Chuen Sui Robert</ns0:t>
        </ns0:is>
      </ns0:c>
      <ns0:c r="AC7" s="74" t="inlineStr">
        <ns0:is>
          <ns0:t>cheng-hung;tam;tsai</ns0:t>
        </ns0:is>
      </ns0:c>
      <ns0:c r="AD7" s="78" t="n">
        <ns0:v>7.5</ns0:v>
      </ns0:c>
      <ns0:c r="AE7" s="85" t="n"/>
      <ns0:c r="AF7" s="74" t="inlineStr">
        <ns0:is>
          <ns0:t>2021-01-30</ns0:t>
        </ns0:is>
      </ns0:c>
      <ns0:c r="AG7" s="74" t="inlineStr">
        <ns0:is>
          <ns0:t>Dakin Securities Limited</ns0:t>
        </ns0:is>
      </ns0:c>
      <ns0:c r="AH7" s="74" t="inlineStr">
        <ns0:is>
          <ns0:t>Dakin</ns0:t>
        </ns0:is>
      </ns0:c>
      <ns0:c r="AI7" s="86" t="n">
        <ns0:v>7.5</ns0:v>
      </ns0:c>
      <ns0:c r="AJ7" s="87" t="n">
        <ns0:v>3.75</ns0:v>
      </ns0:c>
      <ns0:c r="AK7" s="87" t="n">
        <ns0:v>0.09</ns0:v>
      </ns0:c>
      <ns0:c r="AL7" s="87" t="n">
        <ns0:v>5</ns0:v>
      </ns0:c>
      <ns0:c r="AM7" s="87" t="n">
        <ns0:v>-1.19</ns0:v>
      </ns0:c>
      <ns0:c r="AN7" s="89" t="n">
        <ns0:v>1.52</ns0:v>
      </ns0:c>
      <ns0:c r="AO7" s="78" t="n">
        <ns0:v>27.38</ns0:v>
      </ns0:c>
      <ns0:c r="AP7" s="87" t="n">
        <ns0:v>25</ns0:v>
      </ns0:c>
      <ns0:c r="AQ7" s="87" t="n">
        <ns0:v>60</ns0:v>
      </ns0:c>
      <ns0:c r="AR7" s="87" t="n">
        <ns0:v>22.5</ns0:v>
      </ns0:c>
      <ns0:c r="AS7" s="87" t="n">
        <ns0:v>20.48</ns0:v>
      </ns0:c>
      <ns0:c r="AT7" s="87" t="n">
        <ns0:v>54.22</ns0:v>
      </ns0:c>
      <ns0:c r="AU7" s="87" t="n">
        <ns0:v>18.07</ns0:v>
      </ns0:c>
      <ns0:c r="AV7" s="87" t="n">
        <ns0:v>15.11</ns0:v>
      </ns0:c>
      <ns0:c r="AW7" s="87" t="n">
        <ns0:v>45.86</ns0:v>
      </ns0:c>
      <ns0:c r="AX7" s="87" t="n">
        <ns0:v>20.13</ns0:v>
      </ns0:c>
      <ns0:c r="AY7" s="87" t="n">
        <ns0:v>40.18</ns0:v>
      </ns0:c>
      <ns0:c r="AZ7" s="87" t="n">
        <ns0:v>14.14</ns0:v>
      </ns0:c>
      <ns0:c r="BA7" s="87" t="n">
        <ns0:v>14.04</ns0:v>
      </ns0:c>
      <ns0:c r="BB7" s="74" t="inlineStr">
        <ns0:is>
          <ns0:t>Hang Seng Commerce &amp; Industry sub-index</ns0:t>
        </ns0:is>
      </ns0:c>
      <ns0:c r="BC7" s="87" t="n">
        <ns0:v>4750</ns0:v>
      </ns0:c>
      <ns0:c r="BD7" s="75" t="n">
        <ns0:v>46297</ns0:v>
      </ns0:c>
      <ns0:c r="BE7" s="76" t="n">
        <ns0:v>223.8</ns0:v>
      </ns0:c>
      <ns0:c r="BF7" s="79" t="n">
        <ns0:v>46</ns0:v>
      </ns0:c>
      <ns0:c r="BG7" s="74" t="inlineStr">
        <ns0:is>
          <ns0:t>Y</ns0:t>
        </ns0:is>
      </ns0:c>
      <ns0:c r="BH7" s="89" t="n">
        <ns0:v>12.2</ns0:v>
      </ns0:c>
      <ns0:c r="BI7" s="88" t="n"/>
      <ns0:c r="BJ7" s="88" t="n"/>
      <ns0:c r="BK7" s="89" t="n">
        <ns0:v>2.5</ns0:v>
      </ns0:c>
      <ns0:c r="BL7" s="90">
        <ns0:f>IFERROR(IF('BBG Verify'!S7="","Awaiting Bloomberg",'BBG Verify'!S7),"Awaiting Bloomberg")</ns0:f>
        <ns0:v/>
      </ns0:c>
      <ns0:c r="BM7" s="91" t="inlineStr">
        <ns0:is>
          <ns0:t>N</ns0:t>
        </ns0:is>
      </ns0:c>
      <ns0:c r="BN7" s="92">
        <ns0:f>IFERROR(IF('BBG Verify'!K7="","Awaiting Bloomberg",'BBG Verify'!K7),"Awaiting Bloomberg")</ns0:f>
        <ns0:v/>
      </ns0:c>
      <ns0:c r="BO7" s="74" t="inlineStr">
        <ns0:is>
          <ns0:t>N/A</ns0:t>
        </ns0:is>
      </ns0:c>
      <ns0:c r="BP7" s="74" t="inlineStr">
        <ns0:is>
          <ns0:t>N/A</ns0:t>
        </ns0:is>
      </ns0:c>
      <ns0:c r="BQ7" s="74" t="inlineStr">
        <ns0:is>
          <ns0:t>N/A</ns0:t>
        </ns0:is>
      </ns0:c>
      <ns0:c r="BR7" s="74" t="inlineStr">
        <ns0:is>
          <ns0:t>N/A</ns0:t>
        </ns0:is>
      </ns0:c>
      <ns0:c r="BS7" s="74" t="inlineStr">
        <ns0:is>
          <ns0:t>N/A</ns0:t>
        </ns0:is>
      </ns0:c>
      <ns0:c r="BT7" s="74" t="inlineStr">
        <ns0:is>
          <ns0:t>N/A</ns0:t>
        </ns0:is>
      </ns0:c>
      <ns0:c r="BU7" s="91" t="inlineStr">
        <ns0:is>
          <ns0:t>Dakin Capital Limited</ns0:t>
        </ns0:is>
      </ns0:c>
      <ns0:c r="BV7" s="74" t="inlineStr">
        <ns0:is>
          <ns0:t>Dakin Capital Limited</ns0:t>
        </ns0:is>
      </ns0:c>
      <ns0:c r="BW7" s="74" t="inlineStr">
        <ns0:is>
          <ns0:t>Dakin Securities Limited; BOCOM International Securities Limited</ns0:t>
        </ns0:is>
      </ns0:c>
      <ns0:c r="BX7" s="74" t="inlineStr">
        <ns0:is>
          <ns0:t>Beta International Securities Limited; CCB International Capital Limited; Dakin Securities Limited; I Win Securities Limited; Red Eagle Securities Limited; Yuzhou Financial Holdings Limited</ns0:t>
        </ns0:is>
      </ns0:c>
      <ns0:c r="BY7" s="93">
        <ns0:f>HYPERLINK("https://www1.hkexnews.hk/listedco/listconews/sehk/2020/1228/2020122800063.pdf","prospectus")</ns0:f>
        <ns0:v/>
      </ns0:c>
      <ns0:c r="BZ7" s="93">
        <ns0:f>HYPERLINK("https://www1.hkexnews.hk/listedco/listconews/sehk/2021/0112/2021011200008.htm","allotment")</ns0:f>
        <ns0:v/>
      </ns0:c>
      <ns0:c r="CA7" s="85" t="n"/>
      <ns0:c r="CB7" s="94" t="n"/>
      <ns0:c r="CC7" s="74" t="inlineStr">
        <ns0:is>
          <ns0:t>greenshoe: end-of-stabilisation notice not found; allocation: clawback line not in this notice; a 12-28% split is consistent with either a tier-1 clawback or a placing shortfall</ns0:t>
        </ns0:is>
      </ns0:c>
    </ns0:row>
    <ns0:row r="8" ht="22" customHeight="1">
      <ns0:c r="A8" s="73" t="inlineStr">
        <ns0:is>
          <ns0:t>2129</ns0:t>
        </ns0:is>
      </ns0:c>
      <ns0:c r="B8" s="74" t="inlineStr">
        <ns0:is>
          <ns0:t>LEGION CONSO</ns0:t>
        </ns0:is>
      </ns0:c>
      <ns0:c r="C8" s="74" t="inlineStr">
        <ns0:is>
          <ns0:t>LEGION CONSO</ns0:t>
        </ns0:is>
      </ns0:c>
      <ns0:c r="D8" s="74" t="inlineStr">
        <ns0:is>
          <ns0:t>Industrials</ns0:t>
        </ns0:is>
      </ns0:c>
      <ns0:c r="E8" s="74" t="inlineStr">
        <ns0:is>
          <ns0:t>Logistics</ns0:t>
        </ns0:is>
      </ns0:c>
      <ns0:c r="F8" s="74" t="inlineStr">
        <ns0:is>
          <ns0:t>Air Freight &amp; Logistics</ns0:t>
        </ns0:is>
      </ns0:c>
      <ns0:c r="G8" s="74" t="inlineStr">
        <ns0:is>
          <ns0:t>Standard</ns0:t>
        </ns0:is>
      </ns0:c>
      <ns0:c r="H8" s="75" t="n">
        <ns0:v>44209</ns0:v>
      </ns0:c>
      <ns0:c r="I8" s="76" t="n">
        <ns0:v>125</ns0:v>
      </ns0:c>
      <ns0:c r="J8" s="74" t="inlineStr">
        <ns0:is>
          <ns0:t>gross (price x shares)</ns0:t>
        </ns0:is>
      </ns0:c>
      <ns0:c r="K8" s="77" t="n">
        <ns0:v>0.4</ns0:v>
      </ns0:c>
      <ns0:c r="L8" s="77" t="n">
        <ns0:v>0.52</ns0:v>
      </ns0:c>
      <ns0:c r="M8" s="77" t="n">
        <ns0:v>0.4</ns0:v>
      </ns0:c>
      <ns0:c r="N8" s="74" t="inlineStr">
        <ns0:is>
          <ns0:t>N</ns0:t>
        </ns0:is>
      </ns0:c>
      <ns0:c r="O8" s="78" t="n">
        <ns0:v>76.90000000000001</ns0:v>
      </ns0:c>
      <ns0:c r="P8" s="78" t="n">
        <ns0:v>0</ns0:v>
      </ns0:c>
      <ns0:c r="Q8" s="79" t="n">
        <ns0:v>615.4</ns0:v>
      </ns0:c>
      <ns0:c r="R8" s="74" t="inlineStr">
        <ns0:is>
          <ns0:t>aastocks:上市市值 at the struck price</ns0:t>
        </ns0:is>
      </ns0:c>
      <ns0:c r="S8" s="80" t="n">
        <ns0:v>443.37</ns0:v>
      </ns0:c>
      <ns0:c r="T8" s="81" t="n">
        <ns0:v>1.5</ns0:v>
      </ns0:c>
      <ns0:c r="U8" s="82" t="n">
        <ns0:v>0</ns0:v>
      </ns0:c>
      <ns0:c r="V8" s="83" t="n">
        <ns0:v>90</ns0:v>
      </ns0:c>
      <ns0:c r="W8" s="84" t="n"/>
      <ns0:c r="X8" s="85" t="n"/>
      <ns0:c r="Y8" s="79" t="n">
        <ns0:v>125</ns0:v>
      </ns0:c>
      <ns0:c r="Z8" s="79" t="n">
        <ns0:v>312500000</ns0:v>
      </ns0:c>
      <ns0:c r="AA8" s="78" t="n">
        <ns0:v>20.31</ns0:v>
      </ns0:c>
      <ns0:c r="AB8" s="74" t="inlineStr">
        <ns0:is>
          <ns0:t>none — no cornerstone tranche</ns0:t>
        </ns0:is>
      </ns0:c>
      <ns0:c r="AC8" s="74" t="inlineStr">
        <ns0:is>
          <ns0:t>none</ns0:t>
        </ns0:is>
      </ns0:c>
      <ns0:c r="AD8" s="84" t="n"/>
      <ns0:c r="AE8" s="85" t="n"/>
      <ns0:c r="AF8" s="85" t="n"/>
      <ns0:c r="AG8" s="74" t="inlineStr">
        <ns0:is>
          <ns0:t>Alpha Financial Group Limited</ns0:t>
        </ns0:is>
      </ns0:c>
      <ns0:c r="AH8" s="74" t="inlineStr">
        <ns0:is>
          <ns0:t>Alpha</ns0:t>
        </ns0:is>
      </ns0:c>
      <ns0:c r="AI8" s="86" t="n">
        <ns0:v>27.5</ns0:v>
      </ns0:c>
      <ns0:c r="AJ8" s="87" t="n">
        <ns0:v>-12.5</ns0:v>
      </ns0:c>
      <ns0:c r="AK8" s="87" t="n">
        <ns0:v>0.09</ns0:v>
      </ns0:c>
      <ns0:c r="AL8" s="87" t="n">
        <ns0:v>15</ns0:v>
      </ns0:c>
      <ns0:c r="AM8" s="87" t="n">
        <ns0:v>-23.91</ns0:v>
      </ns0:c>
      <ns0:c r="AN8" s="88" t="n"/>
      <ns0:c r="AO8" s="78" t="n">
        <ns0:v>32.61</ns0:v>
      </ns0:c>
      <ns0:c r="AP8" s="87" t="n">
        <ns0:v>-31.25</ns0:v>
      </ns0:c>
      <ns0:c r="AQ8" s="87" t="n">
        <ns0:v>-42</ns0:v>
      </ns0:c>
      <ns0:c r="AR8" s="87" t="n">
        <ns0:v>-55</ns0:v>
      </ns0:c>
      <ns0:c r="AS8" s="87" t="n">
        <ns0:v>-21.43</ns0:v>
      </ns0:c>
      <ns0:c r="AT8" s="87" t="n">
        <ns0:v>-33.71</ns0:v>
      </ns0:c>
      <ns0:c r="AU8" s="87" t="n">
        <ns0:v>-48.57</ns0:v>
      </ns0:c>
      <ns0:c r="AV8" s="87" t="n">
        <ns0:v>-41.14</ns0:v>
      </ns0:c>
      <ns0:c r="AW8" s="87" t="n">
        <ns0:v>-56.14</ns0:v>
      </ns0:c>
      <ns0:c r="AX8" s="87" t="n">
        <ns0:v>-57.37</ns0:v>
      </ns0:c>
      <ns0:c r="AY8" s="87" t="n">
        <ns0:v>-47.75</ns0:v>
      </ns0:c>
      <ns0:c r="AZ8" s="87" t="n">
        <ns0:v>14.14</ns0:v>
      </ns0:c>
      <ns0:c r="BA8" s="87" t="n">
        <ns0:v>14.04</ns0:v>
      </ns0:c>
      <ns0:c r="BB8" s="74" t="inlineStr">
        <ns0:is>
          <ns0:t>Hang Seng Commerce &amp; Industry sub-index</ns0:t>
        </ns0:is>
      </ns0:c>
      <ns0:c r="BC8" s="87" t="n">
        <ns0:v>-30</ns0:v>
      </ns0:c>
      <ns0:c r="BD8" s="75" t="n">
        <ns0:v>46297</ns0:v>
      </ns0:c>
      <ns0:c r="BE8" s="76" t="n">
        <ns0:v>248.9</ns0:v>
      </ns0:c>
      <ns0:c r="BF8" s="79" t="n">
        <ns0:v>34.5</ns0:v>
      </ns0:c>
      <ns0:c r="BG8" s="74" t="inlineStr">
        <ns0:is>
          <ns0:t>Y</ns0:t>
        </ns0:is>
      </ns0:c>
      <ns0:c r="BH8" s="89" t="n">
        <ns0:v>17.8</ns0:v>
      </ns0:c>
      <ns0:c r="BI8" s="88" t="n"/>
      <ns0:c r="BJ8" s="88" t="n"/>
      <ns0:c r="BK8" s="89" t="n">
        <ns0:v>2.5</ns0:v>
      </ns0:c>
      <ns0:c r="BL8" s="90">
        <ns0:f>IFERROR(IF('BBG Verify'!S8="","Awaiting Bloomberg",'BBG Verify'!S8),"Awaiting Bloomberg")</ns0:f>
        <ns0:v/>
      </ns0:c>
      <ns0:c r="BM8" s="91" t="inlineStr">
        <ns0:is>
          <ns0:t>N</ns0:t>
        </ns0:is>
      </ns0:c>
      <ns0:c r="BN8" s="92">
        <ns0:f>IFERROR(IF('BBG Verify'!K8="","Awaiting Bloomberg",'BBG Verify'!K8),"Awaiting Bloomberg")</ns0:f>
        <ns0:v/>
      </ns0:c>
      <ns0:c r="BO8" s="74" t="inlineStr">
        <ns0:is>
          <ns0:t>N/A</ns0:t>
        </ns0:is>
      </ns0:c>
      <ns0:c r="BP8" s="74" t="inlineStr">
        <ns0:is>
          <ns0:t>N/A</ns0:t>
        </ns0:is>
      </ns0:c>
      <ns0:c r="BQ8" s="74" t="inlineStr">
        <ns0:is>
          <ns0:t>N/A</ns0:t>
        </ns0:is>
      </ns0:c>
      <ns0:c r="BR8" s="74" t="inlineStr">
        <ns0:is>
          <ns0:t>N/A</ns0:t>
        </ns0:is>
      </ns0:c>
      <ns0:c r="BS8" s="74" t="inlineStr">
        <ns0:is>
          <ns0:t>N/A</ns0:t>
        </ns0:is>
      </ns0:c>
      <ns0:c r="BT8" s="74" t="inlineStr">
        <ns0:is>
          <ns0:t>N/A</ns0:t>
        </ns0:is>
      </ns0:c>
      <ns0:c r="BU8" s="91" t="inlineStr">
        <ns0:is>
          <ns0:t>Ample Capital Limited</ns0:t>
        </ns0:is>
      </ns0:c>
      <ns0:c r="BV8" s="74" t="inlineStr">
        <ns0:is>
          <ns0:t>Ample Capital Limited</ns0:t>
        </ns0:is>
      </ns0:c>
      <ns0:c r="BW8" s="74" t="inlineStr">
        <ns0:is>
          <ns0: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ns0:t>
        </ns0:is>
      </ns0:c>
      <ns0:c r="BX8" s="74" t="inlineStr">
        <ns0:is>
          <ns0: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ns0:t>
        </ns0:is>
      </ns0:c>
      <ns0:c r="BY8" s="93">
        <ns0:f>HYPERLINK("https://www1.hkexnews.hk/listedco/listconews/sehk/2020/1230/2020123000007.pdf","prospectus")</ns0:f>
        <ns0:v/>
      </ns0:c>
      <ns0:c r="BZ8" s="93">
        <ns0:f>HYPERLINK("https://www1.hkexnews.hk/listedco/listconews/sehk/2021/0112/2021011200024.htm","allotment")</ns0:f>
        <ns0:v/>
      </ns0:c>
      <ns0:c r="CA8" s="85" t="n"/>
      <ns0:c r="CB8" s="94" t="n"/>
      <ns0:c r="CC8" s="74" t="inlineStr">
        <ns0:is>
          <ns0:t>greenshoe: no over-allotment option; sponsor: English name not in the filing; AAStocks 保薦人 shown; cornerstone list: no cornerstone tranche; greenshoe size: no over-allotment option; allocation: allocation table not in this notice's format (older prose announcement); day-1 tape: volume on file; the retail multiple needs the final public split, which this notice does not state</ns0:t>
        </ns0:is>
      </ns0:c>
    </ns0:row>
    <ns0:row r="9" ht="22" customHeight="1">
      <ns0:c r="A9" s="73" t="inlineStr">
        <ns0:is>
          <ns0:t>2153</ns0:t>
        </ns0:is>
      </ns0:c>
      <ns0:c r="B9" s="74" t="inlineStr">
        <ns0:is>
          <ns0:t>TAT HONG EQUIP</ns0:t>
        </ns0:is>
      </ns0:c>
      <ns0:c r="C9" s="74" t="inlineStr">
        <ns0:is>
          <ns0:t>達豐設備</ns0:t>
        </ns0:is>
      </ns0:c>
      <ns0:c r="D9" s="74" t="inlineStr">
        <ns0:is>
          <ns0:t>Industrials</ns0:t>
        </ns0:is>
      </ns0:c>
      <ns0:c r="E9" s="74" t="inlineStr">
        <ns0:is>
          <ns0:t>Capital goods / machinery</ns0:t>
        </ns0:is>
      </ns0:c>
      <ns0:c r="F9" s="74" t="inlineStr">
        <ns0:is>
          <ns0:t>Construction &amp; Engineering</ns0:t>
        </ns0:is>
      </ns0:c>
      <ns0:c r="G9" s="74" t="inlineStr">
        <ns0:is>
          <ns0:t>Standard</ns0:t>
        </ns0:is>
      </ns0:c>
      <ns0:c r="H9" s="75" t="n">
        <ns0:v>44209</ns0:v>
      </ns0:c>
      <ns0:c r="I9" s="76" t="n">
        <ns0:v>644.8</ns0:v>
      </ns0:c>
      <ns0:c r="J9" s="74" t="inlineStr">
        <ns0:is>
          <ns0:t>gross (price x shares)</ns0:t>
        </ns0:is>
      </ns0:c>
      <ns0:c r="K9" s="77" t="n">
        <ns0:v>1.5</ns0:v>
      </ns0:c>
      <ns0:c r="L9" s="77" t="n">
        <ns0:v>1.96</ns0:v>
      </ns0:c>
      <ns0:c r="M9" s="77" t="n">
        <ns0:v>1.73</ns0:v>
      </ns0:c>
      <ns0:c r="N9" s="74" t="inlineStr">
        <ns0:is>
          <ns0:t>N</ns0:t>
        </ns0:is>
      </ns0:c>
      <ns0:c r="O9" s="78" t="n">
        <ns0:v>88.3</ns0:v>
      </ns0:c>
      <ns0:c r="P9" s="78" t="n">
        <ns0:v>50</ns0:v>
      </ns0:c>
      <ns0:c r="Q9" s="79" t="n">
        <ns0:v>2018.7</ns0:v>
      </ns0:c>
      <ns0:c r="R9" s="74" t="inlineStr">
        <ns0:is>
          <ns0:t>prospectus:stated market capitalisation</ns0:t>
        </ns0:is>
      </ns0:c>
      <ns0:c r="S9" s="80" t="n">
        <ns0:v>10.3</ns0:v>
      </ns0:c>
      <ns0:c r="T9" s="81" t="n">
        <ns0:v>1.02</ns0:v>
      </ns0:c>
      <ns0:c r="U9" s="82" t="n">
        <ns0:v>37.5</ns0:v>
      </ns0:c>
      <ns0:c r="V9" s="83" t="n">
        <ns0:v>135</ns0:v>
      </ns0:c>
      <ns0:c r="W9" s="84" t="n"/>
      <ns0:c r="X9" s="85" t="n"/>
      <ns0:c r="Y9" s="79" t="n">
        <ns0:v>403</ns0:v>
      </ns0:c>
      <ns0:c r="Z9" s="79" t="n">
        <ns0:v>232950000</ns0:v>
      </ns0:c>
      <ns0:c r="AA9" s="78" t="n">
        <ns0:v>19.96</ns0:v>
      </ns0:c>
      <ns0:c r="AB9" s="74" t="inlineStr">
        <ns0:is>
          <ns0:t>Yanlord Investment Limited; Zoomlion International Trading (H.K.) Co., Limited</ns0:t>
        </ns0:is>
      </ns0:c>
      <ns0:c r="AC9" s="74" t="inlineStr">
        <ns0:is>
          <ns0:t>yanlord;zoomlion</ns0:t>
        </ns0:is>
      </ns0:c>
      <ns0:c r="AD9" s="78" t="n">
        <ns0:v>11.9</ns0:v>
      </ns0:c>
      <ns0:c r="AE9" s="74" t="inlineStr">
        <ns0:is>
          <ns0:t>lapsed</ns0:t>
        </ns0:is>
      </ns0:c>
      <ns0:c r="AF9" s="85" t="n"/>
      <ns0:c r="AG9" s="74" t="inlineStr">
        <ns0:is>
          <ns0:t>Fortune</ns0:t>
        </ns0:is>
      </ns0:c>
      <ns0:c r="AH9" s="74" t="inlineStr">
        <ns0:is>
          <ns0:t>Fortune</ns0:t>
        </ns0:is>
      </ns0:c>
      <ns0:c r="AI9" s="86" t="n">
        <ns0:v>-4.62</ns0:v>
      </ns0:c>
      <ns0:c r="AJ9" s="87" t="n">
        <ns0:v>-8.67</ns0:v>
      </ns0:c>
      <ns0:c r="AK9" s="87" t="n">
        <ns0:v>0.09</ns0:v>
      </ns0:c>
      <ns0:c r="AL9" s="87" t="n">
        <ns0:v>-19.08</ns0:v>
      </ns0:c>
      <ns0:c r="AM9" s="87" t="n">
        <ns0:v>12.86</ns0:v>
      </ns0:c>
      <ns0:c r="AN9" s="88" t="n"/>
      <ns0:c r="AO9" s="78" t="n">
        <ns0:v>20</ns0:v>
      </ns0:c>
      <ns0:c r="AP9" s="87" t="n">
        <ns0:v>5.78</ns0:v>
      </ns0:c>
      <ns0:c r="AQ9" s="87" t="n">
        <ns0:v>-13.87</ns0:v>
      </ns0:c>
      <ns0:c r="AR9" s="87" t="n">
        <ns0:v>-13.29</ns0:v>
      </ns0:c>
      <ns0:c r="AS9" s="87" t="n">
        <ns0:v>15.82</ns0:v>
      </ns0:c>
      <ns0:c r="AT9" s="87" t="n">
        <ns0:v>-5.69</ns0:v>
      </ns0:c>
      <ns0:c r="AU9" s="87" t="n">
        <ns0:v>-5.06</ns0:v>
      </ns0:c>
      <ns0:c r="AV9" s="87" t="n">
        <ns0:v>-4.11</ns0:v>
      </ns0:c>
      <ns0:c r="AW9" s="87" t="n">
        <ns0:v>-28.01</ns0:v>
      </ns0:c>
      <ns0:c r="AX9" s="87" t="n">
        <ns0:v>-15.66</ns0:v>
      </ns0:c>
      <ns0:c r="AY9" s="87" t="n">
        <ns0:v>-19.73</ns0:v>
      </ns0:c>
      <ns0:c r="AZ9" s="87" t="n">
        <ns0:v>14.14</ns0:v>
      </ns0:c>
      <ns0:c r="BA9" s="87" t="n">
        <ns0:v>14.04</ns0:v>
      </ns0:c>
      <ns0:c r="BB9" s="74" t="inlineStr">
        <ns0:is>
          <ns0:t>Hang Seng Commerce &amp; Industry sub-index</ns0:t>
        </ns0:is>
      </ns0:c>
      <ns0:c r="BC9" s="87" t="n">
        <ns0:v>-52.31</ns0:v>
      </ns0:c>
      <ns0:c r="BD9" s="75" t="n">
        <ns0:v>46297</ns0:v>
      </ns0:c>
      <ns0:c r="BE9" s="76" t="n">
        <ns0:v>819.4</ns0:v>
      </ns0:c>
      <ns0:c r="BF9" s="79" t="n">
        <ns0:v>84.09999999999999</ns0:v>
      </ns0:c>
      <ns0:c r="BG9" s="74" t="inlineStr">
        <ns0:is>
          <ns0:t>Y</ns0:t>
        </ns0:is>
      </ns0:c>
      <ns0:c r="BH9" s="89" t="n">
        <ns0:v>24</ns0:v>
      </ns0:c>
      <ns0:c r="BI9" s="88" t="n"/>
      <ns0:c r="BJ9" s="88" t="n"/>
      <ns0:c r="BK9" s="89" t="n">
        <ns0:v>2.5</ns0:v>
      </ns0:c>
      <ns0:c r="BL9" s="90">
        <ns0:f>IFERROR(IF('BBG Verify'!S9="","Awaiting Bloomberg",'BBG Verify'!S9),"Awaiting Bloomberg")</ns0:f>
        <ns0:v/>
      </ns0:c>
      <ns0:c r="BM9" s="91" t="inlineStr">
        <ns0:is>
          <ns0:t>N</ns0:t>
        </ns0:is>
      </ns0:c>
      <ns0:c r="BN9" s="92">
        <ns0:f>IFERROR(IF('BBG Verify'!K9="","Awaiting Bloomberg",'BBG Verify'!K9),"Awaiting Bloomberg")</ns0:f>
        <ns0:v/>
      </ns0:c>
      <ns0:c r="BO9" s="74" t="inlineStr">
        <ns0:is>
          <ns0:t>N/A</ns0:t>
        </ns0:is>
      </ns0:c>
      <ns0:c r="BP9" s="74" t="inlineStr">
        <ns0:is>
          <ns0:t>N/A</ns0:t>
        </ns0:is>
      </ns0:c>
      <ns0:c r="BQ9" s="74" t="inlineStr">
        <ns0:is>
          <ns0:t>N/A</ns0:t>
        </ns0:is>
      </ns0:c>
      <ns0:c r="BR9" s="74" t="inlineStr">
        <ns0:is>
          <ns0:t>N/A</ns0:t>
        </ns0:is>
      </ns0:c>
      <ns0:c r="BS9" s="74" t="inlineStr">
        <ns0:is>
          <ns0:t>N/A</ns0:t>
        </ns0:is>
      </ns0:c>
      <ns0:c r="BT9" s="74" t="inlineStr">
        <ns0:is>
          <ns0:t>N/A</ns0:t>
        </ns0:is>
      </ns0:c>
      <ns0:c r="BU9" s="91" t="inlineStr">
        <ns0:is>
          <ns0:t>Fortune Financial Capital Limited</ns0:t>
        </ns0:is>
      </ns0:c>
      <ns0:c r="BV9" s="74" t="inlineStr">
        <ns0:is>
          <ns0:t>Fortune Financial Capital Limited</ns0:t>
        </ns0:is>
      </ns0:c>
      <ns0:c r="BW9" s="74" t="inlineStr">
        <ns0:is>
          <ns0: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ns0:t>
        </ns0:is>
      </ns0:c>
      <ns0:c r="BX9" s="74" t="inlineStr">
        <ns0:is>
          <ns0: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ns0:t>
        </ns0:is>
      </ns0:c>
      <ns0:c r="BY9" s="93">
        <ns0:f>HYPERLINK("https://www1.hkexnews.hk/listedco/listconews/sehk/2020/1230/2020123000017.pdf","prospectus")</ns0:f>
        <ns0:v/>
      </ns0:c>
      <ns0:c r="BZ9" s="93">
        <ns0:f>HYPERLINK("https://www1.hkexnews.hk/listedco/listconews/sehk/2021/0112/2021011200086.htm","allotment")</ns0:f>
        <ns0:v/>
      </ns0:c>
      <ns0:c r="CA9" s="93">
        <ns0:f>HYPERLINK("https://www1.hkexnews.hk/listedco/listconews/sehk/2021/0204/2021020400633.pdf","stabilisation")</ns0:f>
        <ns0:v/>
      </ns0:c>
      <ns0:c r="CB9" s="94" t="n"/>
      <ns0:c r="CC9" s="74" t="inlineStr">
        <ns0:is>
          <ns0:t>greenshoe: outcome published; expiry date not in the notice; allocation: allocation table not in this notice's format (older prose announcement); day-1 tape: volume on file; the retail multiple needs the final public split, which this notice does not state</ns0:t>
        </ns0:is>
      </ns0:c>
    </ns0:row>
    <ns0:row r="10" ht="22" customHeight="1">
      <ns0:c r="A10" s="73" t="inlineStr">
        <ns0:is>
          <ns0:t>1643</ns0:t>
        </ns0:is>
      </ns0:c>
      <ns0:c r="B10" s="74" t="inlineStr">
        <ns0:is>
          <ns0:t>MODERN CHI MED</ns0:t>
        </ns0:is>
      </ns0:c>
      <ns0:c r="C10" s="74" t="inlineStr">
        <ns0:is>
          <ns0:t>現代中藥集團</ns0:t>
        </ns0:is>
      </ns0:c>
      <ns0:c r="D10" s="74" t="inlineStr">
        <ns0:is>
          <ns0:t>Healthcare</ns0:t>
        </ns0:is>
      </ns0:c>
      <ns0:c r="E10" s="74" t="inlineStr">
        <ns0:is>
          <ns0:t>TCM</ns0:t>
        </ns0:is>
      </ns0:c>
      <ns0:c r="F10" s="74" t="inlineStr">
        <ns0:is>
          <ns0:t>Pharmaceuticals</ns0:t>
        </ns0:is>
      </ns0:c>
      <ns0:c r="G10" s="74" t="inlineStr">
        <ns0:is>
          <ns0:t>Standard</ns0:t>
        </ns0:is>
      </ns0:c>
      <ns0:c r="H10" s="75" t="n">
        <ns0:v>44211</ns0:v>
      </ns0:c>
      <ns0:c r="I10" s="76" t="n">
        <ns0:v>177</ns0:v>
      </ns0:c>
      <ns0:c r="J10" s="74" t="inlineStr">
        <ns0:is>
          <ns0:t>gross (price x shares)</ns0:t>
        </ns0:is>
      </ns0:c>
      <ns0:c r="K10" s="77" t="n">
        <ns0:v>0.92</ns0:v>
      </ns0:c>
      <ns0:c r="L10" s="77" t="n">
        <ns0:v>1.47</ns0:v>
      </ns0:c>
      <ns0:c r="M10" s="77" t="n">
        <ns0:v>1.18</ns0:v>
      </ns0:c>
      <ns0:c r="N10" s="74" t="inlineStr">
        <ns0:is>
          <ns0:t>N</ns0:t>
        </ns0:is>
      </ns0:c>
      <ns0:c r="O10" s="78" t="n">
        <ns0:v>80.3</ns0:v>
      </ns0:c>
      <ns0:c r="P10" s="78" t="n">
        <ns0:v>47.3</ns0:v>
      </ns0:c>
      <ns0:c r="Q10" s="79" t="n">
        <ns0:v>816.9</ns0:v>
      </ns0:c>
      <ns0:c r="R10" s="74" t="inlineStr">
        <ns0:is>
          <ns0:t>aastocks:上市市值 at the struck price</ns0:t>
        </ns0:is>
      </ns0:c>
      <ns0:c r="S10" s="80" t="n">
        <ns0:v>30.66</ns0:v>
      </ns0:c>
      <ns0:c r="T10" s="81" t="n">
        <ns0:v>1.004</ns0:v>
      </ns0:c>
      <ns0:c r="U10" s="82" t="n">
        <ns0:v>0</ns0:v>
      </ns0:c>
      <ns0:c r="V10" s="83" t="n">
        <ns0:v>124</ns0:v>
      </ns0:c>
      <ns0:c r="W10" s="84" t="n"/>
      <ns0:c r="X10" s="85" t="n"/>
      <ns0:c r="Y10" s="79" t="n">
        <ns0:v>177</ns0:v>
      </ns0:c>
      <ns0:c r="Z10" s="79" t="n">
        <ns0:v>150000000</ns0:v>
      </ns0:c>
      <ns0:c r="AA10" s="78" t="n">
        <ns0:v>21.67</ns0:v>
      </ns0:c>
      <ns0:c r="AB10" s="74" t="inlineStr">
        <ns0:is>
          <ns0:t>none — no cornerstone tranche</ns0:t>
        </ns0:is>
      </ns0:c>
      <ns0:c r="AC10" s="74" t="inlineStr">
        <ns0:is>
          <ns0:t>none</ns0:t>
        </ns0:is>
      </ns0:c>
      <ns0:c r="AD10" s="78" t="n">
        <ns0:v>7</ns0:v>
      </ns0:c>
      <ns0:c r="AE10" s="85" t="n"/>
      <ns0:c r="AF10" s="74" t="inlineStr">
        <ns0:is>
          <ns0:t>2021-02-06</ns0:t>
        </ns0:is>
      </ns0:c>
      <ns0:c r="AG10" s="74" t="inlineStr">
        <ns0:is>
          <ns0:t>Wealth Link Securities Limited</ns0:t>
        </ns0:is>
      </ns0:c>
      <ns0:c r="AH10" s="74" t="inlineStr">
        <ns0:is>
          <ns0:t>Wealth Link</ns0:t>
        </ns0:is>
      </ns0:c>
      <ns0:c r="AI10" s="86" t="n">
        <ns0:v>17.8</ns0:v>
      </ns0:c>
      <ns0:c r="AJ10" s="87" t="n">
        <ns0:v>6.78</ns0:v>
      </ns0:c>
      <ns0:c r="AK10" s="87" t="n">
        <ns0:v>-0.4</ns0:v>
      </ns0:c>
      <ns0:c r="AL10" s="87" t="n">
        <ns0:v>-0.85</ns0:v>
      </ns0:c>
      <ns0:c r="AM10" s="87" t="n">
        <ns0:v>7.7</ns0:v>
      </ns0:c>
      <ns0:c r="AN10" s="88" t="n"/>
      <ns0:c r="AO10" s="78" t="n">
        <ns0:v>23.08</ns0:v>
      </ns0:c>
      <ns0:c r="AP10" s="87" t="n">
        <ns0:v>-11.86</ns0:v>
      </ns0:c>
      <ns0:c r="AQ10" s="87" t="n">
        <ns0:v>-21.19</ns0:v>
      </ns0:c>
      <ns0:c r="AR10" s="87" t="n">
        <ns0:v>-28.81</ns0:v>
      </ns0:c>
      <ns0:c r="AS10" s="87" t="n">
        <ns0:v>-17.46</ns0:v>
      </ns0:c>
      <ns0:c r="AT10" s="87" t="n">
        <ns0:v>-26.19</ns0:v>
      </ns0:c>
      <ns0:c r="AU10" s="87" t="n">
        <ns0:v>-33.33</ns0:v>
      </ns0:c>
      <ns0:c r="AV10" s="87" t="n">
        <ns0:v>-22.93</ns0:v>
      </ns0:c>
      <ns0:c r="AW10" s="87" t="n">
        <ns0:v>-36.53</ns0:v>
      </ns0:c>
      <ns0:c r="AX10" s="87" t="n">
        <ns0:v>-26.19</ns0:v>
      </ns0:c>
      <ns0:c r="AY10" s="87" t="n">
        <ns0:v>-42</ns0:v>
      </ns0:c>
      <ns0:c r="AZ10" s="87" t="n">
        <ns0:v>15.34</ns0:v>
      </ns0:c>
      <ns0:c r="BA10" s="87" t="n">
        <ns0:v>15.81</ns0:v>
      </ns0:c>
      <ns0:c r="BB10" s="74" t="inlineStr">
        <ns0:is>
          <ns0:t>China Biotech ETF (HS biotech proxy)</ns0:t>
        </ns0:is>
      </ns0:c>
      <ns0:c r="BC10" s="87" t="n">
        <ns0:v>-43.64</ns0:v>
      </ns0:c>
      <ns0:c r="BD10" s="75" t="n">
        <ns0:v>46297</ns0:v>
      </ns0:c>
      <ns0:c r="BE10" s="76" t="n">
        <ns0:v>240.6</ns0:v>
      </ns0:c>
      <ns0:c r="BF10" s="79" t="n">
        <ns0:v>50.9</ns0:v>
      </ns0:c>
      <ns0:c r="BG10" s="74" t="inlineStr">
        <ns0:is>
          <ns0:t>Y</ns0:t>
        </ns0:is>
      </ns0:c>
      <ns0:c r="BH10" s="89" t="n">
        <ns0:v>16</ns0:v>
      </ns0:c>
      <ns0:c r="BI10" s="88" t="n"/>
      <ns0:c r="BJ10" s="88" t="n"/>
      <ns0:c r="BK10" s="89" t="n">
        <ns0:v>3.4</ns0:v>
      </ns0:c>
      <ns0:c r="BL10" s="90">
        <ns0:f>IFERROR(IF('BBG Verify'!S10="","Awaiting Bloomberg",'BBG Verify'!S10),"Awaiting Bloomberg")</ns0:f>
        <ns0:v/>
      </ns0:c>
      <ns0:c r="BM10" s="91" t="inlineStr">
        <ns0:is>
          <ns0:t>N</ns0:t>
        </ns0:is>
      </ns0:c>
      <ns0:c r="BN10" s="92">
        <ns0:f>IFERROR(IF('BBG Verify'!K10="","Awaiting Bloomberg",'BBG Verify'!K10),"Awaiting Bloomberg")</ns0:f>
        <ns0:v/>
      </ns0:c>
      <ns0:c r="BO10" s="74" t="inlineStr">
        <ns0:is>
          <ns0:t>N/A</ns0:t>
        </ns0:is>
      </ns0:c>
      <ns0:c r="BP10" s="74" t="inlineStr">
        <ns0:is>
          <ns0:t>N/A</ns0:t>
        </ns0:is>
      </ns0:c>
      <ns0:c r="BQ10" s="74" t="inlineStr">
        <ns0:is>
          <ns0:t>N/A</ns0:t>
        </ns0:is>
      </ns0:c>
      <ns0:c r="BR10" s="74" t="inlineStr">
        <ns0:is>
          <ns0:t>N/A</ns0:t>
        </ns0:is>
      </ns0:c>
      <ns0:c r="BS10" s="74" t="inlineStr">
        <ns0:is>
          <ns0:t>N/A</ns0:t>
        </ns0:is>
      </ns0:c>
      <ns0:c r="BT10" s="74" t="inlineStr">
        <ns0:is>
          <ns0:t>N/A</ns0:t>
        </ns0:is>
      </ns0:c>
      <ns0:c r="BU10" s="91" t="inlineStr">
        <ns0:is>
          <ns0:t>Soochow Securities International Capital Limited</ns0:t>
        </ns0:is>
      </ns0:c>
      <ns0:c r="BV10" s="74" t="inlineStr">
        <ns0:is>
          <ns0:t>Soochow Securities International Capital Limited</ns0:t>
        </ns0:is>
      </ns0:c>
      <ns0:c r="BW10" s="74" t="inlineStr">
        <ns0:is>
          <ns0:t>SPDB International Capital Limited; BOCOM International Securities Limited; Yue Xiu Securities Company Limited; Shanxi Securities International Limited; Elstone Securities Limited</ns0:t>
        </ns0:is>
      </ns0:c>
      <ns0:c r="BX10" s="74" t="inlineStr">
        <ns0:is>
          <ns0: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ns0:t>
        </ns0:is>
      </ns0:c>
      <ns0:c r="BY10" s="93">
        <ns0:f>HYPERLINK("https://www1.hkexnews.hk/listedco/listconews/sehk/2020/1231/2020123100103.pdf","prospectus")</ns0:f>
        <ns0:v/>
      </ns0:c>
      <ns0:c r="BZ10" s="93">
        <ns0:f>HYPERLINK("https://www1.hkexnews.hk/listedco/listconews/sehk/2021/0114/2021011400022.htm","allotment")</ns0:f>
        <ns0:v/>
      </ns0:c>
      <ns0:c r="CA10" s="85" t="n"/>
      <ns0:c r="CB10" s="94" t="n"/>
      <ns0:c r="CC10" s="74" t="inlineStr">
        <ns0:is>
          <ns0:t>greenshoe: end-of-stabilisation notice not found; 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ns0:t>
        </ns0:is>
      </ns0:c>
    </ns0:row>
    <ns0:row r="11" ht="22" customHeight="1">
      <ns0:c r="A11" s="73" t="inlineStr">
        <ns0:is>
          <ns0:t>2146</ns0:t>
        </ns0:is>
      </ns0:c>
      <ns0:c r="B11" s="74" t="inlineStr">
        <ns0:is>
          <ns0:t>ROISERV</ns0:t>
        </ns0:is>
      </ns0:c>
      <ns0:c r="C11" s="74" t="inlineStr">
        <ns0:is>
          <ns0:t>榮萬家</ns0:t>
        </ns0:is>
      </ns0:c>
      <ns0:c r="D11" s="74" t="inlineStr">
        <ns0:is>
          <ns0:t>Real Estate</ns0:t>
        </ns0:is>
      </ns0:c>
      <ns0:c r="E11" s="74" t="inlineStr">
        <ns0:is>
          <ns0:t>Property management</ns0:t>
        </ns0:is>
      </ns0:c>
      <ns0:c r="F11" s="74" t="inlineStr">
        <ns0:is>
          <ns0:t>Property Service and Management</ns0:t>
        </ns0:is>
      </ns0:c>
      <ns0:c r="G11" s="74" t="inlineStr">
        <ns0:is>
          <ns0:t>Standard</ns0:t>
        </ns0:is>
      </ns0:c>
      <ns0:c r="H11" s="75" t="n">
        <ns0:v>44211</ns0:v>
      </ns0:c>
      <ns0:c r="I11" s="76" t="n">
        <ns0:v>1265.2</ns0:v>
      </ns0:c>
      <ns0:c r="J11" s="74" t="inlineStr">
        <ns0:is>
          <ns0:t>gross (price x shares)</ns0:t>
        </ns0:is>
      </ns0:c>
      <ns0:c r="K11" s="77" t="n">
        <ns0:v>13.46</ns0:v>
      </ns0:c>
      <ns0:c r="L11" s="77" t="n">
        <ns0:v>18.36</ns0:v>
      </ns0:c>
      <ns0:c r="M11" s="77" t="n">
        <ns0:v>13.46</ns0:v>
      </ns0:c>
      <ns0:c r="N11" s="74" t="inlineStr">
        <ns0:is>
          <ns0:t>N</ns0:t>
        </ns0:is>
      </ns0:c>
      <ns0:c r="O11" s="78" t="n">
        <ns0:v>73.3</ns0:v>
      </ns0:c>
      <ns0:c r="P11" s="78" t="n">
        <ns0:v>0</ns0:v>
      </ns0:c>
      <ns0:c r="Q11" s="79" t="n">
        <ns0:v>6411.7</ns0:v>
      </ns0:c>
      <ns0:c r="R11" s="74" t="inlineStr">
        <ns0:is>
          <ns0:t>aastocks:上市市值 at the struck price</ns0:t>
        </ns0:is>
      </ns0:c>
      <ns0:c r="S11" s="80" t="n">
        <ns0:v>6.62</ns0:v>
      </ns0:c>
      <ns0:c r="T11" s="81" t="n">
        <ns0:v>1.94</ns0:v>
      </ns0:c>
      <ns0:c r="U11" s="82" t="n">
        <ns0:v>0</ns0:v>
      </ns0:c>
      <ns0:c r="V11" s="83" t="n">
        <ns0:v>108</ns0:v>
      </ns0:c>
      <ns0:c r="W11" s="84" t="n"/>
      <ns0:c r="X11" s="85" t="n"/>
      <ns0:c r="Y11" s="79" t="n">
        <ns0:v>1265.2</ns0:v>
      </ns0:c>
      <ns0:c r="Z11" s="79" t="n">
        <ns0:v>94000000</ns0:v>
      </ns0:c>
      <ns0:c r="AA11" s="78" t="n">
        <ns0:v>19.73</ns0:v>
      </ns0:c>
      <ns0:c r="AB11" s="74" t="inlineStr">
        <ns0:is>
          <ns0:t>none — no cornerstone tranche</ns0:t>
        </ns0:is>
      </ns0:c>
      <ns0:c r="AC11" s="74" t="inlineStr">
        <ns0:is>
          <ns0:t>none</ns0:t>
        </ns0:is>
      </ns0:c>
      <ns0:c r="AD11" s="78" t="n">
        <ns0:v>6.05</ns0:v>
      </ns0:c>
      <ns0:c r="AE11" s="74" t="inlineStr">
        <ns0:is>
          <ns0:t>lapsed</ns0:t>
        </ns0:is>
      </ns0:c>
      <ns0:c r="AF11" s="74" t="inlineStr">
        <ns0:is>
          <ns0:t>2021-02-07</ns0:t>
        </ns0:is>
      </ns0:c>
      <ns0:c r="AG11" s="74" t="inlineStr">
        <ns0:is>
          <ns0:t>Huatai Financial Holdings</ns0:t>
        </ns0:is>
      </ns0:c>
      <ns0:c r="AH11" s="74" t="inlineStr">
        <ns0:is>
          <ns0:t>Huatai</ns0:t>
        </ns0:is>
      </ns0:c>
      <ns0:c r="AI11" s="96" t="n"/>
      <ns0:c r="AJ11" s="87" t="n">
        <ns0:v>-8.17</ns0:v>
      </ns0:c>
      <ns0:c r="AK11" s="87" t="n">
        <ns0:v>0.03</ns0:v>
      </ns0:c>
      <ns0:c r="AL11" s="87" t="n">
        <ns0:v>-4.9</ns0:v>
      </ns0:c>
      <ns0:c r="AM11" s="87" t="n">
        <ns0:v>-3.44</ns0:v>
      </ns0:c>
      <ns0:c r="AN11" s="88" t="n"/>
      <ns0:c r="AO11" s="78" t="n">
        <ns0:v>6.56</ns0:v>
      </ns0:c>
      <ns0:c r="AP11" s="87" t="n">
        <ns0:v>-11.59</ns0:v>
      </ns0:c>
      <ns0:c r="AQ11" s="87" t="n">
        <ns0:v>-34.03</ns0:v>
      </ns0:c>
      <ns0:c r="AR11" s="87" t="n">
        <ns0:v>-36.85</ns0:v>
      </ns0:c>
      <ns0:c r="AS11" s="87" t="n">
        <ns0:v>-3.72</ns0:v>
      </ns0:c>
      <ns0:c r="AT11" s="87" t="n">
        <ns0:v>-28.16</ns0:v>
      </ns0:c>
      <ns0:c r="AU11" s="87" t="n">
        <ns0:v>-31.23</ns0:v>
      </ns0:c>
      <ns0:c r="AV11" s="87" t="n">
        <ns0:v>-13.66</ns0:v>
      </ns0:c>
      <ns0:c r="AW11" s="87" t="n">
        <ns0:v>-36.68</ns0:v>
      </ns0:c>
      <ns0:c r="AX11" s="87" t="n">
        <ns0:v>-47.57</ns0:v>
      </ns0:c>
      <ns0:c r="AY11" s="87" t="n">
        <ns0:v>-30.78</ns0:v>
      </ns0:c>
      <ns0:c r="AZ11" s="87" t="n">
        <ns0:v>2.65</ns0:v>
      </ns0:c>
      <ns0:c r="BA11" s="87" t="n">
        <ns0:v>2.62</ns0:v>
      </ns0:c>
      <ns0:c r="BB11" s="74" t="inlineStr">
        <ns0:is>
          <ns0:t>Hang Seng Properties sub-index</ns0:t>
        </ns0:is>
      </ns0:c>
      <ns0:c r="BC11" s="87" t="n">
        <ns0:v>-86.63</ns0:v>
      </ns0:c>
      <ns0:c r="BD11" s="75" t="n">
        <ns0:v>46297</ns0:v>
      </ns0:c>
      <ns0:c r="BE11" s="76" t="n">
        <ns0:v>1410.2</ns0:v>
      </ns0:c>
      <ns0:c r="BF11" s="79" t="n">
        <ns0:v>124.5</ns0:v>
      </ns0:c>
      <ns0:c r="BG11" s="74" t="inlineStr">
        <ns0:is>
          <ns0:t>Y</ns0:t>
        </ns0:is>
      </ns0:c>
      <ns0:c r="BH11" s="89" t="n">
        <ns0:v>51.5</ns0:v>
      </ns0:c>
      <ns0:c r="BI11" s="89" t="n">
        <ns0:v>10.7</ns0:v>
      </ns0:c>
      <ns0:c r="BJ11" s="89" t="n">
        <ns0:v>5.9</ns0:v>
      </ns0:c>
      <ns0:c r="BK11" s="89" t="n">
        <ns0:v>4.5</ns0:v>
      </ns0:c>
      <ns0:c r="BL11" s="90">
        <ns0:f>IFERROR(IF('BBG Verify'!S11="","Awaiting Bloomberg",'BBG Verify'!S11),"Awaiting Bloomberg")</ns0:f>
        <ns0:v/>
      </ns0:c>
      <ns0:c r="BM11" s="91" t="inlineStr">
        <ns0:is>
          <ns0:t>N</ns0:t>
        </ns0:is>
      </ns0:c>
      <ns0:c r="BN11" s="92">
        <ns0:f>IFERROR(IF('BBG Verify'!K11="","Awaiting Bloomberg",'BBG Verify'!K11),"Awaiting Bloomberg")</ns0:f>
        <ns0:v/>
      </ns0:c>
      <ns0:c r="BO11" s="74" t="inlineStr">
        <ns0:is>
          <ns0:t>N/A</ns0:t>
        </ns0:is>
      </ns0:c>
      <ns0:c r="BP11" s="74" t="inlineStr">
        <ns0:is>
          <ns0:t>N/A</ns0:t>
        </ns0:is>
      </ns0:c>
      <ns0:c r="BQ11" s="74" t="inlineStr">
        <ns0:is>
          <ns0:t>N/A</ns0:t>
        </ns0:is>
      </ns0:c>
      <ns0:c r="BR11" s="74" t="inlineStr">
        <ns0:is>
          <ns0:t>N/A</ns0:t>
        </ns0:is>
      </ns0:c>
      <ns0:c r="BS11" s="74" t="inlineStr">
        <ns0:is>
          <ns0:t>N/A</ns0:t>
        </ns0:is>
      </ns0:c>
      <ns0:c r="BT11" s="74" t="inlineStr">
        <ns0:is>
          <ns0:t>N/A</ns0:t>
        </ns0:is>
      </ns0:c>
      <ns0:c r="BU11" s="91" t="inlineStr">
        <ns0:is>
          <ns0:t>Huatai Financial Holdings (Hong Kong) Limited</ns0:t>
        </ns0:is>
      </ns0:c>
      <ns0:c r="BV11" s="74" t="inlineStr">
        <ns0:is>
          <ns0:t>Huatai Financial Holdings (Hong Kong) Limited</ns0:t>
        </ns0:is>
      </ns0:c>
      <ns0:c r="BW11" s="74" t="inlineStr">
        <ns0:is>
          <ns0: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ns0:t>
        </ns0:is>
      </ns0:c>
      <ns0:c r="BX11" s="74" t="inlineStr">
        <ns0:is>
          <ns0: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ns0:t>
        </ns0:is>
      </ns0:c>
      <ns0:c r="BY11" s="93">
        <ns0:f>HYPERLINK("https://www1.hkexnews.hk/listedco/listconews/sehk/2020/1231/2020123100013.pdf","prospectus")</ns0:f>
        <ns0:v/>
      </ns0:c>
      <ns0:c r="BZ11" s="93">
        <ns0:f>HYPERLINK("https://www1.hkexnews.hk/listedco/listconews/sehk/2021/0114/2021011400038.htm","allotment")</ns0:f>
        <ns0:v/>
      </ns0:c>
      <ns0:c r="CA11" s="93">
        <ns0:f>HYPERLINK("https://www1.hkexnews.hk/listedco/listconews/sehk/2021/0207/2021020700027.pdf","stabilisation")</ns0:f>
        <ns0:v/>
      </ns0:c>
      <ns0:c r="CB11" s="94" t="n"/>
      <ns0:c r="CC11" s="74" t="inlineStr">
        <ns0:is>
          <ns0:t>market cap: published listing cap used; the estimate from stated market capitalisation, rescaled to the offer price disagreed; cornerstone list: no cornerstone tranche; grey market: etnet's story of the session gave only the Phillip open (13.5, +0.3% vs offer) on 2021-01-14; no close was published; allocation: allocation table not in this notice's format (older prose announcement); day-1 tape: volume on file; the retail multiple needs the final public split, which this notice does not state</ns0:t>
        </ns0:is>
      </ns0:c>
    </ns0:row>
    <ns0:row r="12" ht="22" customHeight="1">
      <ns0:c r="A12" s="73" t="inlineStr">
        <ns0:is>
          <ns0:t>2125</ns0:t>
        </ns0:is>
      </ns0:c>
      <ns0:c r="B12" s="74" t="inlineStr">
        <ns0:is>
          <ns0:t>STRAWBEAR ENT</ns0:t>
        </ns0:is>
      </ns0:c>
      <ns0:c r="C12" s="74" t="inlineStr">
        <ns0:is>
          <ns0:t>稻草熊娛樂</ns0:t>
        </ns0:is>
      </ns0:c>
      <ns0:c r="D12" s="74" t="inlineStr">
        <ns0:is>
          <ns0:t>Media &amp; telecom</ns0:t>
        </ns0:is>
      </ns0:c>
      <ns0:c r="E12" s="74" t="inlineStr">
        <ns0:is>
          <ns0:t>Media / advertising</ns0:t>
        </ns0:is>
      </ns0:c>
      <ns0:c r="F12" s="74" t="inlineStr">
        <ns0:is>
          <ns0:t>Movies &amp; Entertainment</ns0:t>
        </ns0:is>
      </ns0:c>
      <ns0:c r="G12" s="74" t="inlineStr">
        <ns0:is>
          <ns0:t>Standard</ns0:t>
        </ns0:is>
      </ns0:c>
      <ns0:c r="H12" s="75" t="n">
        <ns0:v>44211</ns0:v>
      </ns0:c>
      <ns0:c r="I12" s="76" t="n">
        <ns0:v>974.8</ns0:v>
      </ns0:c>
      <ns0:c r="J12" s="74" t="inlineStr">
        <ns0:is>
          <ns0:t>gross (price x shares)</ns0:t>
        </ns0:is>
      </ns0:c>
      <ns0:c r="K12" s="77" t="n">
        <ns0:v>5.1</ns0:v>
      </ns0:c>
      <ns0:c r="L12" s="77" t="n">
        <ns0:v>6.16</ns0:v>
      </ns0:c>
      <ns0:c r="M12" s="77" t="n">
        <ns0:v>5.88</ns0:v>
      </ns0:c>
      <ns0:c r="N12" s="74" t="inlineStr">
        <ns0:is>
          <ns0:t>N</ns0:t>
        </ns0:is>
      </ns0:c>
      <ns0:c r="O12" s="78" t="n">
        <ns0:v>95.5</ns0:v>
      </ns0:c>
      <ns0:c r="P12" s="78" t="n">
        <ns0:v>73.59999999999999</ns0:v>
      </ns0:c>
      <ns0:c r="Q12" s="79" t="n">
        <ns0:v>3381.8</ns0:v>
      </ns0:c>
      <ns0:c r="R12" s="74" t="inlineStr">
        <ns0:is>
          <ns0:t>prospectus:stated market capitalisation</ns0:t>
        </ns0:is>
      </ns0:c>
      <ns0:c r="S12" s="80" t="n">
        <ns0:v>403.54</ns0:v>
      </ns0:c>
      <ns0:c r="T12" s="81" t="n">
        <ns0:v>13.41</ns0:v>
      </ns0:c>
      <ns0:c r="U12" s="82" t="n">
        <ns0:v>40</ns0:v>
      </ns0:c>
      <ns0:c r="V12" s="83" t="n">
        <ns0:v>233</ns0:v>
      </ns0:c>
      <ns0:c r="W12" s="78" t="n">
        <ns0:v>50</ns0:v>
      </ns0:c>
      <ns0:c r="X12" s="74" t="inlineStr">
        <ns0:is>
          <ns0:t>YES</ns0:t>
        </ns0:is>
      </ns0:c>
      <ns0:c r="Y12" s="79" t="n">
        <ns0:v>584.88</ns0:v>
      </ns0:c>
      <ns0:c r="Z12" s="79" t="n">
        <ns0:v>99468000</ns0:v>
      </ns0:c>
      <ns0:c r="AA12" s="78" t="n">
        <ns0:v>17.29</ns0:v>
      </ns0:c>
      <ns0:c r="AB12" s="74" t="inlineStr">
        <ns0:is>
          <ns0:t>Origin Flair Limited; Snow Lake Funds and Accounts; Vipshop International Holdings Limited</ns0:t>
        </ns0:is>
      </ns0:c>
      <ns0:c r="AC12" s="74" t="inlineStr">
        <ns0:is>
          <ns0:t>origin;snow;vipshop</ns0:t>
        </ns0:is>
      </ns0:c>
      <ns0:c r="AD12" s="78" t="n">
        <ns0:v>14.68</ns0:v>
      </ns0:c>
      <ns0:c r="AE12" s="74" t="inlineStr">
        <ns0:is>
          <ns0:t>full</ns0:t>
        </ns0:is>
      </ns0:c>
      <ns0:c r="AF12" s="74" t="inlineStr">
        <ns0:is>
          <ns0:t>2021-02-07</ns0:t>
        </ns0:is>
      </ns0:c>
      <ns0:c r="AG12" s="74" t="inlineStr">
        <ns0:is>
          <ns0:t>China Securities</ns0:t>
        </ns0:is>
      </ns0:c>
      <ns0:c r="AH12" s="74" t="inlineStr">
        <ns0:is>
          <ns0:t>China Securities</ns0:t>
        </ns0:is>
      </ns0:c>
      <ns0:c r="AI12" s="86" t="n">
        <ns0:v>31.12</ns0:v>
      </ns0:c>
      <ns0:c r="AJ12" s="87" t="n">
        <ns0:v>83.67</ns0:v>
      </ns0:c>
      <ns0:c r="AK12" s="87" t="n">
        <ns0:v>0.27</ns0:v>
      </ns0:c>
      <ns0:c r="AL12" s="87" t="n">
        <ns0:v>19.05</ns0:v>
      </ns0:c>
      <ns0:c r="AM12" s="87" t="n">
        <ns0:v>54.28</ns0:v>
      </ns0:c>
      <ns0:c r="AN12" s="89" t="n">
        <ns0:v>3.59</ns0:v>
      </ns0:c>
      <ns0:c r="AO12" s="78" t="n">
        <ns0:v>75.14</ns0:v>
      </ns0:c>
      <ns0:c r="AP12" s="87" t="n">
        <ns0:v>25.85</ns0:v>
      </ns0:c>
      <ns0:c r="AQ12" s="87" t="n">
        <ns0:v>32.31</ns0:v>
      </ns0:c>
      <ns0:c r="AR12" s="87" t="n">
        <ns0:v>130.95</ns0:v>
      </ns0:c>
      <ns0:c r="AS12" s="87" t="n">
        <ns0:v>-31.48</ns0:v>
      </ns0:c>
      <ns0:c r="AT12" s="87" t="n">
        <ns0:v>-27.96</ns0:v>
      </ns0:c>
      <ns0:c r="AU12" s="87" t="n">
        <ns0:v>25.74</ns0:v>
      </ns0:c>
      <ns0:c r="AV12" s="87" t="n">
        <ns0:v>22.51</ns0:v>
      </ns0:c>
      <ns0:c r="AW12" s="87" t="n">
        <ns0:v>23.23</ns0:v>
      </ns0:c>
      <ns0:c r="AX12" s="87" t="n">
        <ns0:v>130.51</ns0:v>
      </ns0:c>
      <ns0:c r="AY12" s="87" t="n">
        <ns0:v>-36.75</ns0:v>
      </ns0:c>
      <ns0:c r="AZ12" s="87" t="n">
        <ns0:v>9.08</ns0:v>
      </ns0:c>
      <ns0:c r="BA12" s="87" t="n">
        <ns0:v>8.789999999999999</ns0:v>
      </ns0:c>
      <ns0:c r="BB12" s="74" t="inlineStr">
        <ns0:is>
          <ns0:t>Hang Seng Index</ns0:t>
        </ns0:is>
      </ns0:c>
      <ns0:c r="BC12" s="87" t="n">
        <ns0:v>-95.31999999999999</ns0:v>
      </ns0:c>
      <ns0:c r="BD12" s="75" t="n">
        <ns0:v>46297</ns0:v>
      </ns0:c>
      <ns0:c r="BE12" s="76" t="n">
        <ns0:v>836.3</ns0:v>
      </ns0:c>
      <ns0:c r="BF12" s="79" t="n">
        <ns0:v>55.4</ns0:v>
      </ns0:c>
      <ns0:c r="BG12" s="74" t="inlineStr">
        <ns0:is>
          <ns0:t>Y</ns0:t>
        </ns0:is>
      </ns0:c>
      <ns0:c r="BH12" s="89" t="n">
        <ns0:v>61</ns0:v>
      </ns0:c>
      <ns0:c r="BI12" s="88" t="n"/>
      <ns0:c r="BJ12" s="88" t="n"/>
      <ns0:c r="BK12" s="89" t="n">
        <ns0:v>4</ns0:v>
      </ns0:c>
      <ns0:c r="BL12" s="90">
        <ns0:f>IFERROR(IF('BBG Verify'!S12="","Awaiting Bloomberg",'BBG Verify'!S12),"Awaiting Bloomberg")</ns0:f>
        <ns0:v/>
      </ns0:c>
      <ns0:c r="BM12" s="91" t="inlineStr">
        <ns0:is>
          <ns0:t>N</ns0:t>
        </ns0:is>
      </ns0:c>
      <ns0:c r="BN12" s="92">
        <ns0:f>IFERROR(IF('BBG Verify'!K12="","Awaiting Bloomberg",'BBG Verify'!K12),"Awaiting Bloomberg")</ns0:f>
        <ns0:v/>
      </ns0:c>
      <ns0:c r="BO12" s="74" t="inlineStr">
        <ns0:is>
          <ns0:t>N/A</ns0:t>
        </ns0:is>
      </ns0:c>
      <ns0:c r="BP12" s="74" t="inlineStr">
        <ns0:is>
          <ns0:t>N/A</ns0:t>
        </ns0:is>
      </ns0:c>
      <ns0:c r="BQ12" s="74" t="inlineStr">
        <ns0:is>
          <ns0:t>N/A</ns0:t>
        </ns0:is>
      </ns0:c>
      <ns0:c r="BR12" s="74" t="inlineStr">
        <ns0:is>
          <ns0:t>N/A</ns0:t>
        </ns0:is>
      </ns0:c>
      <ns0:c r="BS12" s="74" t="inlineStr">
        <ns0:is>
          <ns0:t>N/A</ns0:t>
        </ns0:is>
      </ns0:c>
      <ns0:c r="BT12" s="74" t="inlineStr">
        <ns0:is>
          <ns0:t>N/A</ns0:t>
        </ns0:is>
      </ns0:c>
      <ns0:c r="BU12" s="91" t="inlineStr">
        <ns0:is>
          <ns0:t>China Merchants Securities (HK) Co., Limited; China Securities (International) Corporate Finance Company Limited</ns0:t>
        </ns0:is>
      </ns0:c>
      <ns0:c r="BV12" s="74" t="inlineStr">
        <ns0:is>
          <ns0:t>China Securities (International) Corporate Finance Company Limited; China Merchants Securities (HK) Company Limited</ns0:t>
        </ns0:is>
      </ns0:c>
      <ns0:c r="BW12" s="74" t="inlineStr">
        <ns0:is>
          <ns0: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ns0:t>
        </ns0:is>
      </ns0:c>
      <ns0:c r="BX12" s="74" t="inlineStr">
        <ns0:is>
          <ns0: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ns0:t>
        </ns0:is>
      </ns0:c>
      <ns0:c r="BY12" s="93">
        <ns0:f>HYPERLINK("https://www1.hkexnews.hk/listedco/listconews/sehk/2020/1231/2020123100263.pdf","prospectus")</ns0:f>
        <ns0:v/>
      </ns0:c>
      <ns0:c r="BZ12" s="93">
        <ns0:f>HYPERLINK("https://www1.hkexnews.hk/listedco/listconews/sehk/2021/0114/2021011400088.htm","allotment")</ns0:f>
        <ns0:v/>
      </ns0:c>
      <ns0:c r="CA12" s="93">
        <ns0:f>HYPERLINK("https://www1.hkexnews.hk/listedco/listconews/sehk/2021/0207/2021020700085.pdf","stabilisation")</ns0:f>
        <ns0:v/>
      </ns0:c>
      <ns0:c r="CB12" s="94" t="n"/>
      <ns0:c r="CC12" s="74" t="inlineStr">
        <ns0:is>
          <ns0:t>cornerstone: table parse 80% rejected (institutional total implies 40%); the filed aggregate-amount sentence used</ns0:t>
        </ns0:is>
      </ns0:c>
    </ns0:row>
    <ns0:row r="13" ht="22" customHeight="1">
      <ns0:c r="A13" s="73" t="inlineStr">
        <ns0:is>
          <ns0:t>2158</ns0:t>
        </ns0:is>
      </ns0:c>
      <ns0:c r="B13" s="74" t="inlineStr">
        <ns0:is>
          <ns0:t>YIDU TECH</ns0:t>
        </ns0:is>
      </ns0:c>
      <ns0:c r="C13" s="74" t="inlineStr">
        <ns0:is>
          <ns0:t>醫渡科技</ns0:t>
        </ns0:is>
      </ns0:c>
      <ns0:c r="D13" s="74" t="inlineStr">
        <ns0:is>
          <ns0:t>Healthcare</ns0:t>
        </ns0:is>
      </ns0:c>
      <ns0:c r="E13" s="74" t="inlineStr">
        <ns0:is>
          <ns0:t>Digital health</ns0:t>
        </ns0:is>
      </ns0:c>
      <ns0:c r="F13" s="74" t="inlineStr">
        <ns0:is>
          <ns0:t>Health Care Services</ns0:t>
        </ns0:is>
      </ns0:c>
      <ns0:c r="G13" s="74" t="inlineStr">
        <ns0:is>
          <ns0:t>Standard</ns0:t>
        </ns0:is>
      </ns0:c>
      <ns0:c r="H13" s="75" t="n">
        <ns0:v>44211</ns0:v>
      </ns0:c>
      <ns0:c r="I13" s="76" t="n">
        <ns0:v>4114.6</ns0:v>
      </ns0:c>
      <ns0:c r="J13" s="74" t="inlineStr">
        <ns0:is>
          <ns0:t>gross (price x shares)</ns0:t>
        </ns0:is>
      </ns0:c>
      <ns0:c r="K13" s="77" t="n">
        <ns0:v>23.5</ns0:v>
      </ns0:c>
      <ns0:c r="L13" s="77" t="n">
        <ns0:v>26.3</ns0:v>
      </ns0:c>
      <ns0:c r="M13" s="77" t="n">
        <ns0:v>26.3</ns0:v>
      </ns0:c>
      <ns0:c r="N13" s="74" t="inlineStr">
        <ns0:is>
          <ns0:t>Y</ns0:t>
        </ns0:is>
      </ns0:c>
      <ns0:c r="O13" s="78" t="n">
        <ns0:v>100</ns0:v>
      </ns0:c>
      <ns0:c r="P13" s="78" t="n">
        <ns0:v>100</ns0:v>
      </ns0:c>
      <ns0:c r="Q13" s="79" t="n">
        <ns0:v>21154.8</ns0:v>
      </ns0:c>
      <ns0:c r="R13" s="74" t="inlineStr">
        <ns0:is>
          <ns0:t>derived:deal size / offer % of enlarged capital</ns0:t>
        </ns0:is>
      </ns0:c>
      <ns0:c r="S13" s="80" t="n">
        <ns0:v>1633.84</ns0:v>
      </ns0:c>
      <ns0:c r="T13" s="81" t="n">
        <ns0:v>33.4</ns0:v>
      </ns0:c>
      <ns0:c r="U13" s="82" t="n">
        <ns0:v>15.1</ns0:v>
      </ns0:c>
      <ns0:c r="V13" s="83" t="n">
        <ns0:v>267</ns0:v>
      </ns0:c>
      <ns0:c r="W13" s="78" t="n">
        <ns0:v>50</ns0:v>
      </ns0:c>
      <ns0:c r="X13" s="74" t="inlineStr">
        <ns0:is>
          <ns0:t>YES</ns0:t>
        </ns0:is>
      </ns0:c>
      <ns0:c r="Y13" s="79" t="n">
        <ns0:v>3493.3</ns0:v>
      </ns0:c>
      <ns0:c r="Z13" s="79" t="n">
        <ns0:v>132826050</ns0:v>
      </ns0:c>
      <ns0:c r="AA13" s="78" t="n">
        <ns0:v>16.51</ns0:v>
      </ns0:c>
      <ns0:c r="AB13" s="74" t="inlineStr">
        <ns0:is>
          <ns0:t>3W Fund Management Limited; China Orient Multi-Strategy Master Fund; CPP Investment Board PMI-2 Inc; Matthews Funds; OrbiMed Capital LLC; Tencent Mobility Limited; Velmar Company Limited</ns0:t>
        </ns0:is>
      </ns0:c>
      <ns0:c r="AC13" s="74" t="inlineStr">
        <ns0:is>
          <ns0:t>3w;orient;cpp;matthews;orbimed;tencent;velmar</ns0:t>
        </ns0:is>
      </ns0:c>
      <ns0:c r="AD13" s="78" t="n">
        <ns0:v>17.35</ns0:v>
      </ns0:c>
      <ns0:c r="AE13" s="74" t="inlineStr">
        <ns0:is>
          <ns0:t>full</ns0:t>
        </ns0:is>
      </ns0:c>
      <ns0:c r="AF13" s="74" t="inlineStr">
        <ns0:is>
          <ns0:t>2021-02-06</ns0:t>
        </ns0:is>
      </ns0:c>
      <ns0:c r="AG13" s="74" t="inlineStr">
        <ns0:is>
          <ns0:t>Goldman Sachs</ns0:t>
        </ns0:is>
      </ns0:c>
      <ns0:c r="AH13" s="74" t="inlineStr">
        <ns0:is>
          <ns0:t>Goldman Sachs</ns0:t>
        </ns0:is>
      </ns0:c>
      <ns0:c r="AI13" s="86" t="n">
        <ns0:v>121.48</ns0:v>
      </ns0:c>
      <ns0:c r="AJ13" s="87" t="n">
        <ns0:v>147.91</ns0:v>
      </ns0:c>
      <ns0:c r="AK13" s="87" t="n">
        <ns0:v>-0.4</ns0:v>
      </ns0:c>
      <ns0:c r="AL13" s="87" t="n">
        <ns0:v>121.48</ns0:v>
      </ns0:c>
      <ns0:c r="AM13" s="87" t="n">
        <ns0:v>11.93</ns0:v>
      </ns0:c>
      <ns0:c r="AN13" s="89" t="n">
        <ns0:v>1.45</ns0:v>
      </ns0:c>
      <ns0:c r="AO13" s="78" t="n">
        <ns0:v>19.83</ns0:v>
      </ns0:c>
      <ns0:c r="AP13" s="87" t="n">
        <ns0:v>135.74</ns0:v>
      </ns0:c>
      <ns0:c r="AQ13" s="87" t="n">
        <ns0:v>136.12</ns0:v>
      </ns0:c>
      <ns0:c r="AR13" s="87" t="n">
        <ns0:v>38.78</ns0:v>
      </ns0:c>
      <ns0:c r="AS13" s="87" t="n">
        <ns0:v>-4.91</ns0:v>
      </ns0:c>
      <ns0:c r="AT13" s="87" t="n">
        <ns0:v>-4.76</ns0:v>
      </ns0:c>
      <ns0:c r="AU13" s="87" t="n">
        <ns0:v>-44.02</ns0:v>
      </ns0:c>
      <ns0:c r="AV13" s="87" t="n">
        <ns0:v>124.67</ns0:v>
      </ns0:c>
      <ns0:c r="AW13" s="87" t="n">
        <ns0:v>120.78</ns0:v>
      </ns0:c>
      <ns0:c r="AX13" s="87" t="n">
        <ns0:v>41.4</ns0:v>
      </ns0:c>
      <ns0:c r="AY13" s="87" t="n">
        <ns0:v>-20.57</ns0:v>
      </ns0:c>
      <ns0:c r="AZ13" s="87" t="n">
        <ns0:v>15.34</ns0:v>
      </ns0:c>
      <ns0:c r="BA13" s="87" t="n">
        <ns0:v>15.81</ns0:v>
      </ns0:c>
      <ns0:c r="BB13" s="74" t="inlineStr">
        <ns0:is>
          <ns0:t>China Biotech ETF (HS biotech proxy)</ns0:t>
        </ns0:is>
      </ns0:c>
      <ns0:c r="BC13" s="87" t="n">
        <ns0:v>-87.40000000000001</ns0:v>
      </ns0:c>
      <ns0:c r="BD13" s="75" t="n">
        <ns0:v>46297</ns0:v>
      </ns0:c>
      <ns0:c r="BE13" s="76" t="n">
        <ns0:v>613.9</ns0:v>
      </ns0:c>
      <ns0:c r="BF13" s="97" t="n"/>
      <ns0:c r="BG13" s="85" t="n"/>
      <ns0:c r="BH13" s="90">
        <ns0:f>IFERROR(IF('BBG Verify'!O13="","Awaiting Bloomberg",'BBG Verify'!O13),"Awaiting Bloomberg")</ns0:f>
        <ns0:v/>
      </ns0:c>
      <ns0:c r="BI13" s="88" t="n"/>
      <ns0:c r="BJ13" s="89" t="n">
        <ns0:v>51.4</ns0:v>
      </ns0:c>
      <ns0:c r="BK13" s="89" t="n">
        <ns0:v>34.5</ns0:v>
      </ns0:c>
      <ns0:c r="BL13" s="90">
        <ns0:f>IFERROR(IF('BBG Verify'!S13="","Awaiting Bloomberg",'BBG Verify'!S13),"Awaiting Bloomberg")</ns0:f>
        <ns0:v/>
      </ns0:c>
      <ns0:c r="BM13" s="91" t="inlineStr">
        <ns0:is>
          <ns0:t>N</ns0:t>
        </ns0:is>
      </ns0:c>
      <ns0:c r="BN13" s="92">
        <ns0:f>IFERROR(IF('BBG Verify'!K13="","Awaiting Bloomberg",'BBG Verify'!K13),"Awaiting Bloomberg")</ns0:f>
        <ns0:v/>
      </ns0:c>
      <ns0:c r="BO13" s="74" t="inlineStr">
        <ns0:is>
          <ns0:t>N/A</ns0:t>
        </ns0:is>
      </ns0:c>
      <ns0:c r="BP13" s="74" t="inlineStr">
        <ns0:is>
          <ns0:t>N/A</ns0:t>
        </ns0:is>
      </ns0:c>
      <ns0:c r="BQ13" s="74" t="inlineStr">
        <ns0:is>
          <ns0:t>N/A</ns0:t>
        </ns0:is>
      </ns0:c>
      <ns0:c r="BR13" s="74" t="inlineStr">
        <ns0:is>
          <ns0:t>N/A</ns0:t>
        </ns0:is>
      </ns0:c>
      <ns0:c r="BS13" s="74" t="inlineStr">
        <ns0:is>
          <ns0:t>N/A</ns0:t>
        </ns0:is>
      </ns0:c>
      <ns0:c r="BT13" s="74" t="inlineStr">
        <ns0:is>
          <ns0:t>N/A</ns0:t>
        </ns0:is>
      </ns0:c>
      <ns0:c r="BU13" s="91" t="inlineStr">
        <ns0:is>
          <ns0:t>Goldman Sachs (Asia) L.L.C; China International Capital Corporation Hong Kong Securities Limited</ns0:t>
        </ns0:is>
      </ns0:c>
      <ns0:c r="BV13" s="74" t="inlineStr">
        <ns0:is>
          <ns0:t>China International Capital Corporation Hong Kong Securities Limited; Goldman Sachs (Asia) L.L.C.</ns0:t>
        </ns0:is>
      </ns0:c>
      <ns0:c r="BW13" s="74" t="inlineStr">
        <ns0:is>
          <ns0:t>Goldman Sachs (Asia) L.L.C; China International Capital Corporation Hong Kong Securities Limited; Citigroup Global Markets Asia Limited; Citigroup Global Markets Limited</ns0:t>
        </ns0:is>
      </ns0:c>
      <ns0:c r="BX13" s="74" t="inlineStr">
        <ns0:is>
          <ns0:t>Citigroup Global Markets Asia Limited; China International Capital Corporation Hong Kong Securities Limited; China Merchants Securities (HK) Company Limited; Goldman Sachs (Asia) L.L.C.</ns0:t>
        </ns0:is>
      </ns0:c>
      <ns0:c r="BY13" s="93">
        <ns0:f>HYPERLINK("https://www1.hkexnews.hk/listedco/listconews/sehk/2020/1231/2020123100119.pdf","prospectus")</ns0:f>
        <ns0:v/>
      </ns0:c>
      <ns0:c r="BZ13" s="93">
        <ns0:f>HYPERLINK("https://www1.hkexnews.hk/listedco/listconews/sehk/2021/0114/2021011400064.htm","allotment")</ns0:f>
        <ns0:v/>
      </ns0:c>
      <ns0:c r="CA13" s="93">
        <ns0:f>HYPERLINK("https://www1.hkexnews.hk/listedco/listconews/sehk/2021/0207/2021020700079.pdf","stabilisation")</ns0:f>
        <ns0:v/>
      </ns0:c>
      <ns0:c r="CB13" s="94" t="n"/>
      <ns0:c r="CC13" s="74" t="inlineStr">
        <ns0:is>
          <ns0:t>P/E: net income not extractable; market cap: prospectus 'market capitalisation' line is the listing-rule threshold, not the issuer's figure; rejected; financials: not extractable; pre-IPO year outside the AAStocks window</ns0:t>
        </ns0:is>
      </ns0:c>
    </ns0:row>
    <ns0:row r="14" ht="22" customHeight="1">
      <ns0:c r="A14" s="73" t="inlineStr">
        <ns0:is>
          <ns0:t>1490</ns0:t>
        </ns0:is>
      </ns0:c>
      <ns0:c r="B14" s="74" t="inlineStr">
        <ns0:is>
          <ns0:t>CHESHI</ns0:t>
        </ns0:is>
      </ns0:c>
      <ns0:c r="C14" s="74" t="inlineStr">
        <ns0:is>
          <ns0:t>AI X TECH</ns0:t>
        </ns0:is>
      </ns0:c>
      <ns0:c r="D14" s="74" t="inlineStr">
        <ns0:is>
          <ns0:t>Media &amp; telecom</ns0:t>
        </ns0:is>
      </ns0:c>
      <ns0:c r="E14" s="74" t="inlineStr">
        <ns0:is>
          <ns0:t>Media / advertising</ns0:t>
        </ns0:is>
      </ns0:c>
      <ns0:c r="F14" s="74" t="inlineStr">
        <ns0:is>
          <ns0:t>Advertising</ns0:t>
        </ns0:is>
      </ns0:c>
      <ns0:c r="G14" s="74" t="inlineStr">
        <ns0:is>
          <ns0:t>Standard</ns0:t>
        </ns0:is>
      </ns0:c>
      <ns0:c r="H14" s="75" t="n">
        <ns0:v>44211</ns0:v>
      </ns0:c>
      <ns0:c r="I14" s="76" t="n">
        <ns0:v>250.9</ns0:v>
      </ns0:c>
      <ns0:c r="J14" s="74" t="inlineStr">
        <ns0:is>
          <ns0:t>gross (price x shares)</ns0:t>
        </ns0:is>
      </ns0:c>
      <ns0:c r="K14" s="95" t="n"/>
      <ns0:c r="L14" s="77" t="n">
        <ns0:v>1.23</ns0:v>
      </ns0:c>
      <ns0:c r="M14" s="77" t="n">
        <ns0:v>1.23</ns0:v>
      </ns0:c>
      <ns0:c r="N14" s="74" t="inlineStr">
        <ns0:is>
          <ns0:t>Y</ns0:t>
        </ns0:is>
      </ns0:c>
      <ns0:c r="O14" s="78" t="n">
        <ns0:v>100</ns0:v>
      </ns0:c>
      <ns0:c r="P14" s="84" t="n"/>
      <ns0:c r="Q14" s="79" t="n">
        <ns0:v>1456.8</ns0:v>
      </ns0:c>
      <ns0:c r="R14" s="74" t="inlineStr">
        <ns0:is>
          <ns0:t>aastocks:上市市值 at the struck price</ns0:t>
        </ns0:is>
      </ns0:c>
      <ns0:c r="S14" s="80" t="n">
        <ns0:v>1274.76</ns0:v>
      </ns0:c>
      <ns0:c r="T14" s="81" t="n">
        <ns0:v>21.7</ns0:v>
      </ns0:c>
      <ns0:c r="U14" s="82" t="n">
        <ns0:v>36.4</ns0:v>
      </ns0:c>
      <ns0:c r="V14" s="83" t="n">
        <ns0:v>204</ns0:v>
      </ns0:c>
      <ns0:c r="W14" s="78" t="n">
        <ns0:v>50</ns0:v>
      </ns0:c>
      <ns0:c r="X14" s="74" t="inlineStr">
        <ns0:is>
          <ns0:t>YES</ns0:t>
        </ns0:is>
      </ns0:c>
      <ns0:c r="Y14" s="79" t="n">
        <ns0:v>159.57</ns0:v>
      </ns0:c>
      <ns0:c r="Z14" s="79" t="n">
        <ns0:v>129744000</ns0:v>
      </ns0:c>
      <ns0:c r="AA14" s="78" t="n">
        <ns0:v>10.95</ns0:v>
      </ns0:c>
      <ns0:c r="AB14" s="74" t="inlineStr">
        <ns0:is>
          <ns0:t>Coast Flagship Investment SPC; Goldstream Capital Management Limited; Huatai Financial Holdings (Hong Kong) Limited; Shimmering Skyline L.P</ns0:t>
        </ns0:is>
      </ns0:c>
      <ns0:c r="AC14" s="74" t="inlineStr">
        <ns0:is>
          <ns0:t>coast;goldstream;huatai;shimmering</ns0:t>
        </ns0:is>
      </ns0:c>
      <ns0:c r="AD14" s="84" t="n"/>
      <ns0:c r="AE14" s="74" t="inlineStr">
        <ns0:is>
          <ns0:t>full</ns0:t>
        </ns0:is>
      </ns0:c>
      <ns0:c r="AF14" s="74" t="inlineStr">
        <ns0:is>
          <ns0:t>2021-02-07</ns0:t>
        </ns0:is>
      </ns0:c>
      <ns0:c r="AG14" s="74" t="inlineStr">
        <ns0:is>
          <ns0:t>ABCI Securities Company Limited</ns0:t>
        </ns0:is>
      </ns0:c>
      <ns0:c r="AH14" s="74" t="inlineStr">
        <ns0:is>
          <ns0:t>ABCI</ns0:t>
        </ns0:is>
      </ns0:c>
      <ns0:c r="AI14" s="86" t="n">
        <ns0:v>48.78</ns0:v>
      </ns0:c>
      <ns0:c r="AJ14" s="87" t="n">
        <ns0:v>21.95</ns0:v>
      </ns0:c>
      <ns0:c r="AK14" s="87" t="n">
        <ns0:v>0.27</ns0:v>
      </ns0:c>
      <ns0:c r="AL14" s="87" t="n">
        <ns0:v>38.21</ns0:v>
      </ns0:c>
      <ns0:c r="AM14" s="87" t="n">
        <ns0:v>-11.76</ns0:v>
      </ns0:c>
      <ns0:c r="AN14" s="89" t="n">
        <ns0:v>2.8</ns0:v>
      </ns0:c>
      <ns0:c r="AO14" s="78" t="n">
        <ns0:v>19.41</ns0:v>
      </ns0:c>
      <ns0:c r="AP14" s="87" t="n">
        <ns0:v>10.57</ns0:v>
      </ns0:c>
      <ns0:c r="AQ14" s="87" t="n">
        <ns0:v>8.130000000000001</ns0:v>
      </ns0:c>
      <ns0:c r="AR14" s="87" t="n">
        <ns0:v>21.14</ns0:v>
      </ns0:c>
      <ns0:c r="AS14" s="87" t="n">
        <ns0:v>-9.33</ns0:v>
      </ns0:c>
      <ns0:c r="AT14" s="87" t="n">
        <ns0:v>-11.33</ns0:v>
      </ns0:c>
      <ns0:c r="AU14" s="87" t="n">
        <ns0:v>-0.66</ns0:v>
      </ns0:c>
      <ns0:c r="AV14" s="87" t="n">
        <ns0:v>7.23</ns0:v>
      </ns0:c>
      <ns0:c r="AW14" s="87" t="n">
        <ns0:v>-0.95</ns0:v>
      </ns0:c>
      <ns0:c r="AX14" s="87" t="n">
        <ns0:v>20.7</ns0:v>
      </ns0:c>
      <ns0:c r="AY14" s="87" t="n">
        <ns0:v>-20.12</ns0:v>
      </ns0:c>
      <ns0:c r="AZ14" s="87" t="n">
        <ns0:v>9.08</ns0:v>
      </ns0:c>
      <ns0:c r="BA14" s="87" t="n">
        <ns0:v>8.789999999999999</ns0:v>
      </ns0:c>
      <ns0:c r="BB14" s="74" t="inlineStr">
        <ns0:is>
          <ns0:t>Hang Seng Index</ns0:t>
        </ns0:is>
      </ns0:c>
      <ns0:c r="BC14" s="87" t="n">
        <ns0:v>-78.86</ns0:v>
      </ns0:c>
      <ns0:c r="BD14" s="75" t="n">
        <ns0:v>46297</ns0:v>
      </ns0:c>
      <ns0:c r="BE14" s="98" t="n"/>
      <ns0:c r="BF14" s="79" t="n">
        <ns0:v>52.4</ns0:v>
      </ns0:c>
      <ns0:c r="BG14" s="74" t="inlineStr">
        <ns0:is>
          <ns0:t>Y</ns0:t>
        </ns0:is>
      </ns0:c>
      <ns0:c r="BH14" s="89" t="n">
        <ns0:v>27.8</ns0:v>
      </ns0:c>
      <ns0:c r="BI14" s="89" t="n">
        <ns0:v>15.1</ns0:v>
      </ns0:c>
      <ns0:c r="BJ14" s="88" t="n"/>
      <ns0:c r="BK14" s="88" t="n"/>
      <ns0:c r="BL14" s="90">
        <ns0:f>IFERROR(IF('BBG Verify'!S14="","Awaiting Bloomberg",'BBG Verify'!S14),"Awaiting Bloomberg")</ns0:f>
        <ns0:v/>
      </ns0:c>
      <ns0:c r="BM14" s="91" t="inlineStr">
        <ns0:is>
          <ns0:t>N</ns0:t>
        </ns0:is>
      </ns0:c>
      <ns0:c r="BN14" s="92">
        <ns0:f>IFERROR(IF('BBG Verify'!K14="","Awaiting Bloomberg",'BBG Verify'!K14),"Awaiting Bloomberg")</ns0:f>
        <ns0:v/>
      </ns0:c>
      <ns0:c r="BO14" s="74" t="inlineStr">
        <ns0:is>
          <ns0:t>N/A</ns0:t>
        </ns0:is>
      </ns0:c>
      <ns0:c r="BP14" s="74" t="inlineStr">
        <ns0:is>
          <ns0:t>N/A</ns0:t>
        </ns0:is>
      </ns0:c>
      <ns0:c r="BQ14" s="74" t="inlineStr">
        <ns0:is>
          <ns0:t>N/A</ns0:t>
        </ns0:is>
      </ns0:c>
      <ns0:c r="BR14" s="74" t="inlineStr">
        <ns0:is>
          <ns0:t>N/A</ns0:t>
        </ns0:is>
      </ns0:c>
      <ns0:c r="BS14" s="74" t="inlineStr">
        <ns0:is>
          <ns0:t>N/A</ns0:t>
        </ns0:is>
      </ns0:c>
      <ns0:c r="BT14" s="74" t="inlineStr">
        <ns0:is>
          <ns0:t>N/A</ns0:t>
        </ns0:is>
      </ns0:c>
      <ns0:c r="BU14" s="91" t="inlineStr">
        <ns0:is>
          <ns0:t>ABCI Capital Limited</ns0:t>
        </ns0:is>
      </ns0:c>
      <ns0:c r="BV14" s="74" t="inlineStr">
        <ns0:is>
          <ns0:t>ABCI Capital Limited</ns0:t>
        </ns0:is>
      </ns0:c>
      <ns0:c r="BW14" s="74" t="inlineStr">
        <ns0:is>
          <ns0:t>ABCI Capital Limited; SBI China Capital Financial Services Limited; Harvest International Securities Company Limited; BOCOM International Securities Limited; Haitong International Securities Company Limited; Futu Securities International (Hong Kong) Limited; Valuable Capital Limited; Yue Xiu Securities Company Limited</ns0:t>
        </ns0:is>
      </ns0:c>
      <ns0:c r="BX14" s="74" t="inlineStr">
        <ns0:is>
          <ns0: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ns0:t>
        </ns0:is>
      </ns0:c>
      <ns0:c r="BY14" s="93">
        <ns0:f>HYPERLINK("https://www1.hkexnews.hk/listedco/listconews/sehk/2020/1231/2020123100280.htm","prospectus")</ns0:f>
        <ns0:v/>
      </ns0:c>
      <ns0:c r="BZ14" s="93">
        <ns0:f>HYPERLINK("https://www1.hkexnews.hk/listedco/listconews/sehk/2021/0114/2021011400106.htm","allotment")</ns0:f>
        <ns0:v/>
      </ns0:c>
      <ns0:c r="CA14" s="93">
        <ns0:f>HYPERLINK("https://www1.hkexnews.hk/listedco/listconews/sehk/2021/0207/2021020700025.pdf","stabilisation")</ns0:f>
        <ns0:v/>
      </ns0:c>
      <ns0:c r="CB14" s="94" t="n"/>
      <ns0:c r="CC14" s="74" t="inlineStr">
        <ns0:is>
          <ns0:t>price range: fixed-price offering (no indicative range); range low: maximum offer price only, no floor published; market cap: published listing cap used; the estimate from deal size / offer % of enlarged capital disagreed; cornerstone %: upper bound: AAStocks institutional total / deal size; greenshoe size: no over-allotment option; P/S: revenue not extractable; financials: not extractable; pre-IPO year outside the AAStocks window</ns0:t>
        </ns0:is>
      </ns0:c>
    </ns0:row>
    <ns0:row r="15" ht="22" customHeight="1">
      <ns0:c r="A15" s="73" t="inlineStr">
        <ns0:is>
          <ns0:t>9608</ns0:t>
        </ns0:is>
      </ns0:c>
      <ns0:c r="B15" s="74" t="inlineStr">
        <ns0:is>
          <ns0:t>SUNDY SERVICE</ns0:t>
        </ns0:is>
      </ns0:c>
      <ns0:c r="C15" s="74" t="inlineStr">
        <ns0:is>
          <ns0:t>宋都服務</ns0:t>
        </ns0:is>
      </ns0:c>
      <ns0:c r="D15" s="74" t="inlineStr">
        <ns0:is>
          <ns0:t>Real Estate</ns0:t>
        </ns0:is>
      </ns0:c>
      <ns0:c r="E15" s="74" t="inlineStr">
        <ns0:is>
          <ns0:t>Property management</ns0:t>
        </ns0:is>
      </ns0:c>
      <ns0:c r="F15" s="74" t="inlineStr">
        <ns0:is>
          <ns0:t>Property Service and Management</ns0:t>
        </ns0:is>
      </ns0:c>
      <ns0:c r="G15" s="74" t="inlineStr">
        <ns0:is>
          <ns0:t>Standard</ns0:t>
        </ns0:is>
      </ns0:c>
      <ns0:c r="H15" s="75" t="n">
        <ns0:v>44214</ns0:v>
      </ns0:c>
      <ns0:c r="I15" s="76" t="n">
        <ns0:v>200</ns0:v>
      </ns0:c>
      <ns0:c r="J15" s="74" t="inlineStr">
        <ns0:is>
          <ns0:t>gross (price x shares)</ns0:t>
        </ns0:is>
      </ns0:c>
      <ns0:c r="K15" s="77" t="n">
        <ns0:v>0.21</ns0:v>
      </ns0:c>
      <ns0:c r="L15" s="77" t="n">
        <ns0:v>0.29</ns0:v>
      </ns0:c>
      <ns0:c r="M15" s="77" t="n">
        <ns0:v>0.25</ns0:v>
      </ns0:c>
      <ns0:c r="N15" s="74" t="inlineStr">
        <ns0:is>
          <ns0:t>N</ns0:t>
        </ns0:is>
      </ns0:c>
      <ns0:c r="O15" s="78" t="n">
        <ns0:v>86.2</ns0:v>
      </ns0:c>
      <ns0:c r="P15" s="78" t="n">
        <ns0:v>50</ns0:v>
      </ns0:c>
      <ns0:c r="Q15" s="79" t="n">
        <ns0:v>672</ns0:v>
      </ns0:c>
      <ns0:c r="R15" s="74" t="inlineStr">
        <ns0:is>
          <ns0:t>prospectus:stated market capitalisation</ns0:t>
        </ns0:is>
      </ns0:c>
      <ns0:c r="S15" s="80" t="n">
        <ns0:v>25.24</ns0:v>
      </ns0:c>
      <ns0:c r="T15" s="81" t="n">
        <ns0:v>1.31</ns0:v>
      </ns0:c>
      <ns0:c r="U15" s="82" t="n">
        <ns0:v>14.88</ns0:v>
      </ns0:c>
      <ns0:c r="V15" s="83" t="n">
        <ns0:v>87</ns0:v>
      </ns0:c>
      <ns0:c r="W15" s="78" t="n">
        <ns0:v>30</ns0:v>
      </ns0:c>
      <ns0:c r="X15" s="74" t="inlineStr">
        <ns0:is>
          <ns0:t>YES</ns0:t>
        </ns0:is>
      </ns0:c>
      <ns0:c r="Y15" s="79" t="n">
        <ns0:v>170.24</ns0:v>
      </ns0:c>
      <ns0:c r="Z15" s="79" t="n">
        <ns0:v>680960000</ns0:v>
      </ns0:c>
      <ns0:c r="AA15" s="78" t="n">
        <ns0:v>25.33</ns0:v>
      </ns0:c>
      <ns0:c r="AB15" s="74" t="inlineStr">
        <ns0:is>
          <ns0:t>Jiu Rong Holdings Limited</ns0:t>
        </ns0:is>
      </ns0:c>
      <ns0:c r="AC15" s="74" t="inlineStr">
        <ns0:is>
          <ns0:t>jiu</ns0:t>
        </ns0:is>
      </ns0:c>
      <ns0:c r="AD15" s="78" t="n">
        <ns0:v>5</ns0:v>
      </ns0:c>
      <ns0:c r="AE15" s="74" t="inlineStr">
        <ns0:is>
          <ns0:t>lapsed (no over-allocation)</ns0:t>
        </ns0:is>
      </ns0:c>
      <ns0:c r="AF15" s="74" t="inlineStr">
        <ns0:is>
          <ns0:t>2021-02-06</ns0:t>
        </ns0:is>
      </ns0:c>
      <ns0:c r="AG15" s="74" t="inlineStr">
        <ns0:is>
          <ns0:t>Elstone Securities Limited</ns0:t>
        </ns0:is>
      </ns0:c>
      <ns0:c r="AH15" s="74" t="inlineStr">
        <ns0:is>
          <ns0:t>Elstone</ns0:t>
        </ns0:is>
      </ns0:c>
      <ns0:c r="AI15" s="86" t="n">
        <ns0:v>-6.4</ns0:v>
      </ns0:c>
      <ns0:c r="AJ15" s="87" t="n">
        <ns0:v>-36</ns0:v>
      </ns0:c>
      <ns0:c r="AK15" s="87" t="n">
        <ns0:v>0.54</ns0:v>
      </ns0:c>
      <ns0:c r="AL15" s="87" t="n">
        <ns0:v>-10</ns0:v>
      </ns0:c>
      <ns0:c r="AM15" s="87" t="n">
        <ns0:v>-28.89</ns0:v>
      </ns0:c>
      <ns0:c r="AN15" s="89" t="n">
        <ns0:v>2.23</ns0:v>
      </ns0:c>
      <ns0:c r="AO15" s="78" t="n">
        <ns0:v>30.67</ns0:v>
      </ns0:c>
      <ns0:c r="AP15" s="87" t="n">
        <ns0:v>-48</ns0:v>
      </ns0:c>
      <ns0:c r="AQ15" s="87" t="n">
        <ns0:v>-50.4</ns0:v>
      </ns0:c>
      <ns0:c r="AR15" s="87" t="n">
        <ns0:v>-52.4</ns0:v>
      </ns0:c>
      <ns0:c r="AS15" s="87" t="n">
        <ns0:v>-18.75</ns0:v>
      </ns0:c>
      <ns0:c r="AT15" s="87" t="n">
        <ns0:v>-22.5</ns0:v>
      </ns0:c>
      <ns0:c r="AU15" s="87" t="n">
        <ns0:v>-25.63</ns0:v>
      </ns0:c>
      <ns0:c r="AV15" s="87" t="n">
        <ns0:v>-49.1</ns0:v>
      </ns0:c>
      <ns0:c r="AW15" s="87" t="n">
        <ns0:v>-52.84</ns0:v>
      </ns0:c>
      <ns0:c r="AX15" s="87" t="n">
        <ns0:v>-63.17</ns0:v>
      </ns0:c>
      <ns0:c r="AY15" s="87" t="n">
        <ns0:v>-24.4</ns0:v>
      </ns0:c>
      <ns0:c r="AZ15" s="87" t="n">
        <ns0:v>2.44</ns0:v>
      </ns0:c>
      <ns0:c r="BA15" s="87" t="n">
        <ns0:v>1.9</ns0:v>
      </ns0:c>
      <ns0:c r="BB15" s="74" t="inlineStr">
        <ns0:is>
          <ns0:t>Hang Seng Properties sub-index</ns0:t>
        </ns0:is>
      </ns0:c>
      <ns0:c r="BC15" s="87" t="n">
        <ns0:v>-80</ns0:v>
      </ns0:c>
      <ns0:c r="BD15" s="75" t="n">
        <ns0:v>46297</ns0:v>
      </ns0:c>
      <ns0:c r="BE15" s="76" t="n">
        <ns0:v>244.7</ns0:v>
      </ns0:c>
      <ns0:c r="BF15" s="79" t="n">
        <ns0:v>38.8</ns0:v>
      </ns0:c>
      <ns0:c r="BG15" s="74" t="inlineStr">
        <ns0:is>
          <ns0:t>Y</ns0:t>
        </ns0:is>
      </ns0:c>
      <ns0:c r="BH15" s="89" t="n">
        <ns0:v>17.3</ns0:v>
      </ns0:c>
      <ns0:c r="BI15" s="88" t="n"/>
      <ns0:c r="BJ15" s="89" t="n">
        <ns0:v>9.300000000000001</ns0:v>
      </ns0:c>
      <ns0:c r="BK15" s="89" t="n">
        <ns0:v>2.7</ns0:v>
      </ns0:c>
      <ns0:c r="BL15" s="90">
        <ns0:f>IFERROR(IF('BBG Verify'!S15="","Awaiting Bloomberg",'BBG Verify'!S15),"Awaiting Bloomberg")</ns0:f>
        <ns0:v/>
      </ns0:c>
      <ns0:c r="BM15" s="91" t="inlineStr">
        <ns0:is>
          <ns0:t>N</ns0:t>
        </ns0:is>
      </ns0:c>
      <ns0:c r="BN15" s="92">
        <ns0:f>IFERROR(IF('BBG Verify'!K15="","Awaiting Bloomberg",'BBG Verify'!K15),"Awaiting Bloomberg")</ns0:f>
        <ns0:v/>
      </ns0:c>
      <ns0:c r="BO15" s="74" t="inlineStr">
        <ns0:is>
          <ns0:t>N/A</ns0:t>
        </ns0:is>
      </ns0:c>
      <ns0:c r="BP15" s="74" t="inlineStr">
        <ns0:is>
          <ns0:t>N/A</ns0:t>
        </ns0:is>
      </ns0:c>
      <ns0:c r="BQ15" s="74" t="inlineStr">
        <ns0:is>
          <ns0:t>N/A</ns0:t>
        </ns0:is>
      </ns0:c>
      <ns0:c r="BR15" s="74" t="inlineStr">
        <ns0:is>
          <ns0:t>N/A</ns0:t>
        </ns0:is>
      </ns0:c>
      <ns0:c r="BS15" s="74" t="inlineStr">
        <ns0:is>
          <ns0:t>N/A</ns0:t>
        </ns0:is>
      </ns0:c>
      <ns0:c r="BT15" s="74" t="inlineStr">
        <ns0:is>
          <ns0:t>N/A</ns0:t>
        </ns0:is>
      </ns0:c>
      <ns0:c r="BU15" s="91" t="inlineStr">
        <ns0:is>
          <ns0:t>Cinda International Capital Limited</ns0:t>
        </ns0:is>
      </ns0:c>
      <ns0:c r="BV15" s="74" t="inlineStr">
        <ns0:is>
          <ns0:t>Cinda International Capital Limited</ns0:t>
        </ns0:is>
      </ns0:c>
      <ns0:c r="BW15" s="74" t="inlineStr">
        <ns0:is>
          <ns0:t>Cinda International Capital Limited; Elstone Securities Limited; CCB International Capital Limited; Crosby Securities Limited</ns0:t>
        </ns0:is>
      </ns0:c>
      <ns0:c r="BX15" s="74" t="inlineStr">
        <ns0:is>
          <ns0: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ns0:t>
        </ns0:is>
      </ns0:c>
      <ns0:c r="BY15" s="93">
        <ns0:f>HYPERLINK("https://www1.hkexnews.hk/listedco/listconews/sehk/2020/1231/2020123100097.pdf","prospectus")</ns0:f>
        <ns0:v/>
      </ns0:c>
      <ns0:c r="BZ15" s="93">
        <ns0:f>HYPERLINK("https://www1.hkexnews.hk/listedco/listconews/sehk/2021/0115/2021011500020.htm","allotment")</ns0:f>
        <ns0:v/>
      </ns0:c>
      <ns0:c r="CA15" s="93">
        <ns0:f>HYPERLINK("https://www1.hkexnews.hk/listedco/listconews/sehk/2021/0208/2021020800187.pdf","stabilisation")</ns0:f>
        <ns0:v/>
      </ns0:c>
      <ns0:c r="CB15" s="94" t="n"/>
      <ns0:c r="CC15" s="74" t="inlineStr"/>
    </ns0:row>
    <ns0:row r="16" ht="22" customHeight="1">
      <ns0:c r="A16" s="73" t="inlineStr">
        <ns0:is>
          <ns0:t>2159</ns0:t>
        </ns0:is>
      </ns0:c>
      <ns0:c r="B16" s="74" t="inlineStr">
        <ns0:is>
          <ns0:t>MEDIWELCOME</ns0:t>
        </ns0:is>
      </ns0:c>
      <ns0:c r="C16" s="74" t="inlineStr">
        <ns0:is>
          <ns0:t>麥迪衛康</ns0:t>
        </ns0:is>
      </ns0:c>
      <ns0:c r="D16" s="74" t="inlineStr">
        <ns0:is>
          <ns0:t>Healthcare</ns0:t>
        </ns0:is>
      </ns0:c>
      <ns0:c r="E16" s="74" t="inlineStr">
        <ns0:is>
          <ns0:t>Digital health</ns0:t>
        </ns0:is>
      </ns0:c>
      <ns0:c r="F16" s="74" t="inlineStr">
        <ns0:is>
          <ns0:t>Health Care Services</ns0:t>
        </ns0:is>
      </ns0:c>
      <ns0:c r="G16" s="74" t="inlineStr">
        <ns0:is>
          <ns0:t>Standard</ns0:t>
        </ns0:is>
      </ns0:c>
      <ns0:c r="H16" s="75" t="n">
        <ns0:v>44215</ns0:v>
      </ns0:c>
      <ns0:c r="I16" s="76" t="n">
        <ns0:v>150</ns0:v>
      </ns0:c>
      <ns0:c r="J16" s="74" t="inlineStr">
        <ns0:is>
          <ns0:t>gross (price x shares)</ns0:t>
        </ns0:is>
      </ns0:c>
      <ns0:c r="K16" s="77" t="n">
        <ns0:v>3</ns0:v>
      </ns0:c>
      <ns0:c r="L16" s="77" t="n">
        <ns0:v>4</ns0:v>
      </ns0:c>
      <ns0:c r="M16" s="77" t="n">
        <ns0:v>3</ns0:v>
      </ns0:c>
      <ns0:c r="N16" s="74" t="inlineStr">
        <ns0:is>
          <ns0:t>N</ns0:t>
        </ns0:is>
      </ns0:c>
      <ns0:c r="O16" s="78" t="n">
        <ns0:v>75</ns0:v>
      </ns0:c>
      <ns0:c r="P16" s="78" t="n">
        <ns0:v>0</ns0:v>
      </ns0:c>
      <ns0:c r="Q16" s="79" t="n">
        <ns0:v>750</ns0:v>
      </ns0:c>
      <ns0:c r="R16" s="74" t="inlineStr">
        <ns0:is>
          <ns0:t>aastocks:上市市值 at the struck price</ns0:t>
        </ns0:is>
      </ns0:c>
      <ns0:c r="S16" s="80" t="n">
        <ns0:v>168.75</ns0:v>
      </ns0:c>
      <ns0:c r="T16" s="81" t="n">
        <ns0:v>1.13</ns0:v>
      </ns0:c>
      <ns0:c r="U16" s="82" t="n">
        <ns0:v>0</ns0:v>
      </ns0:c>
      <ns0:c r="V16" s="83" t="n">
        <ns0:v>205</ns0:v>
      </ns0:c>
      <ns0:c r="W16" s="78" t="n">
        <ns0:v>50</ns0:v>
      </ns0:c>
      <ns0:c r="X16" s="74" t="inlineStr">
        <ns0:is>
          <ns0:t>YES</ns0:t>
        </ns0:is>
      </ns0:c>
      <ns0:c r="Y16" s="79" t="n">
        <ns0:v>150</ns0:v>
      </ns0:c>
      <ns0:c r="Z16" s="79" t="n">
        <ns0:v>50000000</ns0:v>
      </ns0:c>
      <ns0:c r="AA16" s="78" t="n">
        <ns0:v>20</ns0:v>
      </ns0:c>
      <ns0:c r="AB16" s="74" t="inlineStr">
        <ns0:is>
          <ns0:t>none — no cornerstone tranche</ns0:t>
        </ns0:is>
      </ns0:c>
      <ns0:c r="AC16" s="74" t="inlineStr">
        <ns0:is>
          <ns0:t>none</ns0:t>
        </ns0:is>
      </ns0:c>
      <ns0:c r="AD16" s="78" t="n">
        <ns0:v>15</ns0:v>
      </ns0:c>
      <ns0:c r="AE16" s="74" t="inlineStr">
        <ns0:is>
          <ns0:t>lapsed</ns0:t>
        </ns0:is>
      </ns0:c>
      <ns0:c r="AF16" s="85" t="n"/>
      <ns0:c r="AG16" s="85" t="n"/>
      <ns0:c r="AH16" s="85" t="n"/>
      <ns0:c r="AI16" s="86" t="n">
        <ns0:v>10.67</ns0:v>
      </ns0:c>
      <ns0:c r="AJ16" s="87" t="n">
        <ns0:v>26.33</ns0:v>
      </ns0:c>
      <ns0:c r="AK16" s="87" t="n">
        <ns0:v>1.09</ns0:v>
      </ns0:c>
      <ns0:c r="AL16" s="87" t="n">
        <ns0:v>33.33</ns0:v>
      </ns0:c>
      <ns0:c r="AM16" s="87" t="n">
        <ns0:v>-5.25</ns0:v>
      </ns0:c>
      <ns0:c r="AN16" s="89" t="n">
        <ns0:v>4.02</ns0:v>
      </ns0:c>
      <ns0:c r="AO16" s="78" t="n">
        <ns0:v>30.25</ns0:v>
      </ns0:c>
      <ns0:c r="AP16" s="87" t="n">
        <ns0:v>24.67</ns0:v>
      </ns0:c>
      <ns0:c r="AQ16" s="87" t="n">
        <ns0:v>22.67</ns0:v>
      </ns0:c>
      <ns0:c r="AR16" s="87" t="n">
        <ns0:v>-8.33</ns0:v>
      </ns0:c>
      <ns0:c r="AS16" s="87" t="n">
        <ns0:v>-1.31</ns0:v>
      </ns0:c>
      <ns0:c r="AT16" s="87" t="n">
        <ns0:v>-2.9</ns0:v>
      </ns0:c>
      <ns0:c r="AU16" s="87" t="n">
        <ns0:v>-27.44</ns0:v>
      </ns0:c>
      <ns0:c r="AV16" s="87" t="n">
        <ns0:v>17.7</ns0:v>
      </ns0:c>
      <ns0:c r="AW16" s="87" t="n">
        <ns0:v>14.24</ns0:v>
      </ns0:c>
      <ns0:c r="AX16" s="87" t="n">
        <ns0:v>-9.49</ns0:v>
      </ns0:c>
      <ns0:c r="AY16" s="87" t="n">
        <ns0:v>-10.16</ns0:v>
      </ns0:c>
      <ns0:c r="AZ16" s="87" t="n">
        <ns0:v>8.43</ns0:v>
      </ns0:c>
      <ns0:c r="BA16" s="87" t="n">
        <ns0:v>7.26</ns0:v>
      </ns0:c>
      <ns0:c r="BB16" s="74" t="inlineStr">
        <ns0:is>
          <ns0:t>China Biotech ETF (HS biotech proxy)</ns0:t>
        </ns0:is>
      </ns0:c>
      <ns0:c r="BC16" s="87" t="n">
        <ns0:v>-44.5</ns0:v>
      </ns0:c>
      <ns0:c r="BD16" s="75" t="n">
        <ns0:v>46297</ns0:v>
      </ns0:c>
      <ns0:c r="BE16" s="76" t="n">
        <ns0:v>469.9</ns0:v>
      </ns0:c>
      <ns0:c r="BF16" s="79" t="n">
        <ns0:v>28.6</ns0:v>
      </ns0:c>
      <ns0:c r="BG16" s="74" t="inlineStr">
        <ns0:is>
          <ns0:t>Y</ns0:t>
        </ns0:is>
      </ns0:c>
      <ns0:c r="BH16" s="89" t="n">
        <ns0:v>26.2</ns0:v>
      </ns0:c>
      <ns0:c r="BI16" s="88" t="n"/>
      <ns0:c r="BJ16" s="89" t="n">
        <ns0:v>10.6</ns0:v>
      </ns0:c>
      <ns0:c r="BK16" s="89" t="n">
        <ns0:v>1.6</ns0:v>
      </ns0:c>
      <ns0:c r="BL16" s="90">
        <ns0:f>IFERROR(IF('BBG Verify'!S16="","Awaiting Bloomberg",'BBG Verify'!S16),"Awaiting Bloomberg")</ns0:f>
        <ns0:v/>
      </ns0:c>
      <ns0:c r="BM16" s="91" t="inlineStr">
        <ns0:is>
          <ns0:t>N</ns0:t>
        </ns0:is>
      </ns0:c>
      <ns0:c r="BN16" s="92">
        <ns0:f>IFERROR(IF('BBG Verify'!K16="","Awaiting Bloomberg",'BBG Verify'!K16),"Awaiting Bloomberg")</ns0:f>
        <ns0:v/>
      </ns0:c>
      <ns0:c r="BO16" s="74" t="inlineStr">
        <ns0:is>
          <ns0:t>N/A</ns0:t>
        </ns0:is>
      </ns0:c>
      <ns0:c r="BP16" s="74" t="inlineStr">
        <ns0:is>
          <ns0:t>N/A</ns0:t>
        </ns0:is>
      </ns0:c>
      <ns0:c r="BQ16" s="74" t="inlineStr">
        <ns0:is>
          <ns0:t>N/A</ns0:t>
        </ns0:is>
      </ns0:c>
      <ns0:c r="BR16" s="74" t="inlineStr">
        <ns0:is>
          <ns0:t>N/A</ns0:t>
        </ns0:is>
      </ns0:c>
      <ns0:c r="BS16" s="74" t="inlineStr">
        <ns0:is>
          <ns0:t>N/A</ns0:t>
        </ns0:is>
      </ns0:c>
      <ns0:c r="BT16" s="74" t="inlineStr">
        <ns0:is>
          <ns0:t>N/A</ns0:t>
        </ns0:is>
      </ns0:c>
      <ns0:c r="BU16" s="91" t="inlineStr">
        <ns0:is>
          <ns0:t>CEB International Capital Corporation Limited</ns0:t>
        </ns0:is>
      </ns0:c>
      <ns0:c r="BV16" s="74" t="inlineStr">
        <ns0:is>
          <ns0:t>CEB International Capital Corporation Limited</ns0:t>
        </ns0:is>
      </ns0:c>
      <ns0:c r="BW16" s="74" t="inlineStr">
        <ns0:is>
          <ns0:t>CEB International Capital Corporation Limited; Aristo Securities Limited; BOCOM International Securities Limited; CMBC Securities Company Limited; SPDB International Capital Limited</ns0:t>
        </ns0:is>
      </ns0:c>
      <ns0:c r="BX16" s="74" t="inlineStr">
        <ns0:is>
          <ns0:t>Aristo Securities Limited; Beta International Securities Limited; CEB International Capital Corporation Limited; CMBC Securities Company Limited; Ruibang Securities Limited; SPDB International Capital Limited; Wonderland International Securities Limited</ns0:t>
        </ns0:is>
      </ns0:c>
      <ns0:c r="BY16" s="93">
        <ns0:f>HYPERLINK("https://www1.hkexnews.hk/listedco/listconews/sehk/2020/1231/2020123100137.pdf","prospectus")</ns0:f>
        <ns0:v/>
      </ns0:c>
      <ns0:c r="BZ16" s="93">
        <ns0:f>HYPERLINK("https://www1.hkexnews.hk/listedco/listconews/sehk/2021/0118/2021011800013.htm","allotment")</ns0:f>
        <ns0:v/>
      </ns0:c>
      <ns0:c r="CA16" s="93">
        <ns0:f>HYPERLINK("https://www1.hkexnews.hk/listedco/listconews/sehk/2021/0209/2021020900406.pdf","stabilisation")</ns0:f>
        <ns0:v/>
      </ns0:c>
      <ns0:c r="CB16" s="94" t="n"/>
      <ns0:c r="CC16" s="74" t="inlineStr">
        <ns0:is>
          <ns0:t>greenshoe: outcome published; expiry date not in the notice; market cap: published listing cap used; the estimate from deal size / offer % of enlarged capital disagreed; cornerstone list: no cornerstone tranche; stabilising manager: not named in the allotment notice or prospectus glossary</ns0:t>
        </ns0:is>
      </ns0:c>
    </ns0:row>
    <ns0:row r="17" ht="22" customHeight="1">
      <ns0:c r="A17" s="73" t="inlineStr">
        <ns0:is>
          <ns0:t>6668</ns0:t>
        </ns0:is>
      </ns0:c>
      <ns0:c r="B17" s="74" t="inlineStr">
        <ns0:is>
          <ns0:t>E-STAR CM</ns0:t>
        </ns0:is>
      </ns0:c>
      <ns0:c r="C17" s="74" t="inlineStr">
        <ns0:is>
          <ns0:t>星盛商業</ns0:t>
        </ns0:is>
      </ns0:c>
      <ns0:c r="D17" s="74" t="inlineStr">
        <ns0:is>
          <ns0:t>Real Estate</ns0:t>
        </ns0:is>
      </ns0:c>
      <ns0:c r="E17" s="74" t="inlineStr">
        <ns0:is>
          <ns0:t>Property management</ns0:t>
        </ns0:is>
      </ns0:c>
      <ns0:c r="F17" s="74" t="inlineStr">
        <ns0:is>
          <ns0:t>Property Service and Management</ns0:t>
        </ns0:is>
      </ns0:c>
      <ns0:c r="G17" s="74" t="inlineStr">
        <ns0:is>
          <ns0:t>Standard</ns0:t>
        </ns0:is>
      </ns0:c>
      <ns0:c r="H17" s="75" t="n">
        <ns0:v>44222</ns0:v>
      </ns0:c>
      <ns0:c r="I17" s="76" t="n">
        <ns0:v>965</ns0:v>
      </ns0:c>
      <ns0:c r="J17" s="74" t="inlineStr">
        <ns0:is>
          <ns0:t>gross (price x shares)</ns0:t>
        </ns0:is>
      </ns0:c>
      <ns0:c r="K17" s="77" t="n">
        <ns0:v>3.2</ns0:v>
      </ns0:c>
      <ns0:c r="L17" s="77" t="n">
        <ns0:v>3.88</ns0:v>
      </ns0:c>
      <ns0:c r="M17" s="77" t="n">
        <ns0:v>3.86</ns0:v>
      </ns0:c>
      <ns0:c r="N17" s="74" t="inlineStr">
        <ns0:is>
          <ns0:t>N</ns0:t>
        </ns0:is>
      </ns0:c>
      <ns0:c r="O17" s="78" t="n">
        <ns0:v>99.5</ns0:v>
      </ns0:c>
      <ns0:c r="P17" s="78" t="n">
        <ns0:v>97.09999999999999</ns0:v>
      </ns0:c>
      <ns0:c r="Q17" s="79" t="n">
        <ns0:v>3482.5</ns0:v>
      </ns0:c>
      <ns0:c r="R17" s="74" t="inlineStr">
        <ns0:is>
          <ns0:t>derived:deal size / offer % of enlarged capital</ns0:t>
        </ns0:is>
      </ns0:c>
      <ns0:c r="S17" s="80" t="n">
        <ns0:v>756.85</ns0:v>
      </ns0:c>
      <ns0:c r="T17" s="81" t="n">
        <ns0:v>9</ns0:v>
      </ns0:c>
      <ns0:c r="U17" s="82" t="n">
        <ns0:v>32</ns0:v>
      </ns0:c>
      <ns0:c r="V17" s="83" t="n">
        <ns0:v>167</ns0:v>
      </ns0:c>
      <ns0:c r="W17" s="78" t="n">
        <ns0:v>50</ns0:v>
      </ns0:c>
      <ns0:c r="X17" s="74" t="inlineStr">
        <ns0:is>
          <ns0:t>YES</ns0:t>
        </ns0:is>
      </ns0:c>
      <ns0:c r="Y17" s="79" t="n">
        <ns0:v>656.2</ns0:v>
      </ns0:c>
      <ns0:c r="Z17" s="79" t="n">
        <ns0:v>170000000</ns0:v>
      </ns0:c>
      <ns0:c r="AA17" s="78" t="n">
        <ns0:v>18.84</ns0:v>
      </ns0:c>
      <ns0:c r="AB17" s="74" t="inlineStr">
        <ns0:is>
          <ns0:t>Pilgrim Ever Project Company Limited; SCGC Capital Holding Company Limited; Shenzhen Qichang Investment Holding Limited; Virtues Origin SPC</ns0:t>
        </ns0:is>
      </ns0:c>
      <ns0:c r="AC17" s="74" t="inlineStr">
        <ns0:is>
          <ns0:t>pilgrim;scgc;shenzhen-qichang;virtues</ns0:t>
        </ns0:is>
      </ns0:c>
      <ns0:c r="AD17" s="78" t="n">
        <ns0:v>8</ns0:v>
      </ns0:c>
      <ns0:c r="AE17" s="74" t="inlineStr">
        <ns0:is>
          <ns0:t>partial</ns0:t>
        </ns0:is>
      </ns0:c>
      <ns0:c r="AF17" s="74" t="inlineStr">
        <ns0:is>
          <ns0:t>2021-02-18</ns0:t>
        </ns0:is>
      </ns0:c>
      <ns0:c r="AG17" s="74" t="inlineStr">
        <ns0:is>
          <ns0:t>CCB International Capital Limited</ns0:t>
        </ns0:is>
      </ns0:c>
      <ns0:c r="AH17" s="74" t="inlineStr">
        <ns0:is>
          <ns0:t>CCB</ns0:t>
        </ns0:is>
      </ns0:c>
      <ns0:c r="AI17" s="86" t="n">
        <ns0:v>21.5</ns0:v>
      </ns0:c>
      <ns0:c r="AJ17" s="87" t="n">
        <ns0:v>3.63</ns0:v>
      </ns0:c>
      <ns0:c r="AK17" s="87" t="n">
        <ns0:v>0.22</ns0:v>
      </ns0:c>
      <ns0:c r="AL17" s="87" t="n">
        <ns0:v>13.99</ns0:v>
      </ns0:c>
      <ns0:c r="AM17" s="87" t="n">
        <ns0:v>-9.09</ns0:v>
      </ns0:c>
      <ns0:c r="AN17" s="89" t="n">
        <ns0:v>1.51</ns0:v>
      </ns0:c>
      <ns0:c r="AO17" s="78" t="n">
        <ns0:v>14.09</ns0:v>
      </ns0:c>
      <ns0:c r="AP17" s="87" t="n">
        <ns0:v>3.11</ns0:v>
      </ns0:c>
      <ns0:c r="AQ17" s="87" t="n">
        <ns0:v>-8.029999999999999</ns0:v>
      </ns0:c>
      <ns0:c r="AR17" s="87" t="n">
        <ns0:v>16.58</ns0:v>
      </ns0:c>
      <ns0:c r="AS17" s="87" t="n">
        <ns0:v>-0.5</ns0:v>
      </ns0:c>
      <ns0:c r="AT17" s="87" t="n">
        <ns0:v>-11.25</ns0:v>
      </ns0:c>
      <ns0:c r="AU17" s="87" t="n">
        <ns0:v>12.5</ns0:v>
      </ns0:c>
      <ns0:c r="AV17" s="87" t="n">
        <ns0:v>5.99</ns0:v>
      </ns0:c>
      <ns0:c r="AW17" s="87" t="n">
        <ns0:v>-16.36</ns0:v>
      </ns0:c>
      <ns0:c r="AX17" s="87" t="n">
        <ns0:v>8.76</ns0:v>
      </ns0:c>
      <ns0:c r="AY17" s="87" t="n">
        <ns0:v>-19.34</ns0:v>
      </ns0:c>
      <ns0:c r="AZ17" s="87" t="n">
        <ns0:v>8.33</ns0:v>
      </ns0:c>
      <ns0:c r="BA17" s="87" t="n">
        <ns0:v>8.09</ns0:v>
      </ns0:c>
      <ns0:c r="BB17" s="74" t="inlineStr">
        <ns0:is>
          <ns0:t>Hang Seng Properties sub-index</ns0:t>
        </ns0:is>
      </ns0:c>
      <ns0:c r="BC17" s="87" t="n">
        <ns0:v>-64.12</ns0:v>
      </ns0:c>
      <ns0:c r="BD17" s="75" t="n">
        <ns0:v>46297</ns0:v>
      </ns0:c>
      <ns0:c r="BE17" s="76" t="n">
        <ns0:v>426</ns0:v>
      </ns0:c>
      <ns0:c r="BF17" s="97" t="n"/>
      <ns0:c r="BG17" s="85" t="n"/>
      <ns0:c r="BH17" s="90">
        <ns0:f>IFERROR(IF('BBG Verify'!O17="","Awaiting Bloomberg",'BBG Verify'!O17),"Awaiting Bloomberg")</ns0:f>
        <ns0:v/>
      </ns0:c>
      <ns0:c r="BI17" s="88" t="n"/>
      <ns0:c r="BJ17" s="89" t="n">
        <ns0:v>7.9</ns0:v>
      </ns0:c>
      <ns0:c r="BK17" s="89" t="n">
        <ns0:v>8.199999999999999</ns0:v>
      </ns0:c>
      <ns0:c r="BL17" s="90">
        <ns0:f>IFERROR(IF('BBG Verify'!S17="","Awaiting Bloomberg",'BBG Verify'!S17),"Awaiting Bloomberg")</ns0:f>
        <ns0:v/>
      </ns0:c>
      <ns0:c r="BM17" s="91" t="inlineStr">
        <ns0:is>
          <ns0:t>N</ns0:t>
        </ns0:is>
      </ns0:c>
      <ns0:c r="BN17" s="92">
        <ns0:f>IFERROR(IF('BBG Verify'!K17="","Awaiting Bloomberg",'BBG Verify'!K17),"Awaiting Bloomberg")</ns0:f>
        <ns0:v/>
      </ns0:c>
      <ns0:c r="BO17" s="74" t="inlineStr">
        <ns0:is>
          <ns0:t>N/A</ns0:t>
        </ns0:is>
      </ns0:c>
      <ns0:c r="BP17" s="74" t="inlineStr">
        <ns0:is>
          <ns0:t>N/A</ns0:t>
        </ns0:is>
      </ns0:c>
      <ns0:c r="BQ17" s="74" t="inlineStr">
        <ns0:is>
          <ns0:t>N/A</ns0:t>
        </ns0:is>
      </ns0:c>
      <ns0:c r="BR17" s="74" t="inlineStr">
        <ns0:is>
          <ns0:t>N/A</ns0:t>
        </ns0:is>
      </ns0:c>
      <ns0:c r="BS17" s="74" t="inlineStr">
        <ns0:is>
          <ns0:t>N/A</ns0:t>
        </ns0:is>
      </ns0:c>
      <ns0:c r="BT17" s="74" t="inlineStr">
        <ns0:is>
          <ns0:t>N/A</ns0:t>
        </ns0:is>
      </ns0:c>
      <ns0:c r="BU17" s="91" t="inlineStr">
        <ns0:is>
          <ns0:t>CCB International Capital Limited; China Securities (International) Corporate Finance Company Limited</ns0:t>
        </ns0:is>
      </ns0:c>
      <ns0:c r="BV17" s="74" t="inlineStr">
        <ns0:is>
          <ns0:t>CCB International Capital Limited; China Securities (International) Corporate Finance Company Limited</ns0:t>
        </ns0:is>
      </ns0:c>
      <ns0:c r="BW17" s="74" t="inlineStr">
        <ns0:is>
          <ns0: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ns0:t>
        </ns0:is>
      </ns0:c>
      <ns0:c r="BX17" s="74" t="inlineStr">
        <ns0:is>
          <ns0: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ns0:t>
        </ns0:is>
      </ns0:c>
      <ns0:c r="BY17" s="93">
        <ns0:f>HYPERLINK("https://www1.hkexnews.hk/listedco/listconews/sehk/2021/0114/2021011400003.pdf","prospectus")</ns0:f>
        <ns0:v/>
      </ns0:c>
      <ns0:c r="BZ17" s="93">
        <ns0:f>HYPERLINK("https://www1.hkexnews.hk/listedco/listconews/sehk/2021/0125/2021012500004.htm","allotment")</ns0:f>
        <ns0:v/>
      </ns0:c>
      <ns0:c r="CA17" s="93">
        <ns0:f>HYPERLINK("https://www1.hkexnews.hk/listedco/listconews/sehk/2021/0218/2021021800882.pdf","stabilisation")</ns0:f>
        <ns0:v/>
      </ns0:c>
      <ns0:c r="CB17" s="94" t="n"/>
      <ns0:c r="CC17" s="74" t="inlineStr">
        <ns0:is>
          <ns0:t>P/E: net income not extractable; financials: not extractable; pre-IPO year outside the AAStocks window</ns0:t>
        </ns0:is>
      </ns0:c>
    </ns0:row>
    <ns0:row r="18" ht="22" customHeight="1">
      <ns0:c r="A18" s="73" t="inlineStr">
        <ns0:is>
          <ns0:t>2160</ns0:t>
        </ns0:is>
      </ns0:c>
      <ns0:c r="B18" s="74" t="inlineStr">
        <ns0:is>
          <ns0:t>CARDIOFLOW-B</ns0:t>
        </ns0:is>
      </ns0:c>
      <ns0:c r="C18" s="74" t="inlineStr">
        <ns0:is>
          <ns0:t>微創心通－Ｂ</ns0:t>
        </ns0:is>
      </ns0:c>
      <ns0:c r="D18" s="74" t="inlineStr">
        <ns0:is>
          <ns0:t>Healthcare</ns0:t>
        </ns0:is>
      </ns0:c>
      <ns0:c r="E18" s="74" t="inlineStr">
        <ns0:is>
          <ns0:t>Medical devices</ns0:t>
        </ns0:is>
      </ns0:c>
      <ns0:c r="F18" s="74" t="inlineStr">
        <ns0:is>
          <ns0:t>Biotechnology</ns0:t>
        </ns0:is>
      </ns0:c>
      <ns0:c r="G18" s="74" t="inlineStr">
        <ns0:is>
          <ns0:t>18A</ns0:t>
        </ns0:is>
      </ns0:c>
      <ns0:c r="H18" s="75" t="n">
        <ns0:v>44231</ns0:v>
      </ns0:c>
      <ns0:c r="I18" s="76" t="n">
        <ns0:v>2508.6</ns0:v>
      </ns0:c>
      <ns0:c r="J18" s="74" t="inlineStr">
        <ns0:is>
          <ns0:t>gross (price x shares)</ns0:t>
        </ns0:is>
      </ns0:c>
      <ns0:c r="K18" s="95" t="n"/>
      <ns0:c r="L18" s="77" t="n">
        <ns0:v>12.2</ns0:v>
      </ns0:c>
      <ns0:c r="M18" s="77" t="n">
        <ns0:v>12.2</ns0:v>
      </ns0:c>
      <ns0:c r="N18" s="74" t="inlineStr">
        <ns0:is>
          <ns0:t>Y</ns0:t>
        </ns0:is>
      </ns0:c>
      <ns0:c r="O18" s="78" t="n">
        <ns0:v>100</ns0:v>
      </ns0:c>
      <ns0:c r="P18" s="84" t="n"/>
      <ns0:c r="Q18" s="79" t="n">
        <ns0:v>27925.2</ns0:v>
      </ns0:c>
      <ns0:c r="R18" s="74" t="inlineStr">
        <ns0:is>
          <ns0:t>aastocks:上市市值 at the struck price</ns0:t>
        </ns0:is>
      </ns0:c>
      <ns0:c r="S18" s="80" t="n">
        <ns0:v>769</ns0:v>
      </ns0:c>
      <ns0:c r="T18" s="81" t="n">
        <ns0:v>54</ns0:v>
      </ns0:c>
      <ns0:c r="U18" s="82" t="n">
        <ns0:v>38.9</ns0:v>
      </ns0:c>
      <ns0:c r="V18" s="83" t="n">
        <ns0:v>281</ns0:v>
      </ns0:c>
      <ns0:c r="W18" s="84" t="n"/>
      <ns0:c r="X18" s="85" t="n"/>
      <ns0:c r="Y18" s="79" t="n">
        <ns0:v>1532.75</ns0:v>
      </ns0:c>
      <ns0:c r="Z18" s="79" t="n">
        <ns0:v>125633820</ns0:v>
      </ns0:c>
      <ns0:c r="AA18" s="78" t="n">
        <ns0:v>5.49</ns0:v>
      </ns0:c>
      <ns0:c r="AB18" s="74" t="inlineStr">
        <ns0:is>
          <ns0: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ns0:t>
        </ns0:is>
      </ns0:c>
      <ns0:c r="AC18" s="74" t="inlineStr">
        <ns0:is>
          <ns0:t>3w;cdg;china-asset;cpe;gaoling;yhg;gic;indus;kunlun;lake;pinpoint;snow;taikang;tybourne;woodline;wt;yi</ns0:t>
        </ns0:is>
      </ns0:c>
      <ns0:c r="AD18" s="84" t="n"/>
      <ns0:c r="AE18" s="74" t="inlineStr">
        <ns0:is>
          <ns0:t>full</ns0:t>
        </ns0:is>
      </ns0:c>
      <ns0:c r="AF18" s="74" t="inlineStr">
        <ns0:is>
          <ns0:t>2021-02-28</ns0:t>
        </ns0:is>
      </ns0:c>
      <ns0:c r="AG18" s="85" t="n"/>
      <ns0:c r="AH18" s="85" t="n"/>
      <ns0:c r="AI18" s="86" t="n">
        <ns0:v>65.56999999999999</ns0:v>
      </ns0:c>
      <ns0:c r="AJ18" s="87" t="n">
        <ns0:v>54.26</ns0:v>
      </ns0:c>
      <ns0:c r="AK18" s="87" t="n">
        <ns0:v>-0.19</ns0:v>
      </ns0:c>
      <ns0:c r="AL18" s="87" t="n">
        <ns0:v>76.23</ns0:v>
      </ns0:c>
      <ns0:c r="AM18" s="87" t="n">
        <ns0:v>-12.47</ns0:v>
      </ns0:c>
      <ns0:c r="AN18" s="88" t="n"/>
      <ns0:c r="AO18" s="78" t="n">
        <ns0:v>18.98</ns0:v>
      </ns0:c>
      <ns0:c r="AP18" s="87" t="n">
        <ns0:v>59.67</ns0:v>
      </ns0:c>
      <ns0:c r="AQ18" s="87" t="n">
        <ns0:v>29.51</ns0:v>
      </ns0:c>
      <ns0:c r="AR18" s="87" t="n">
        <ns0:v>27.54</ns0:v>
      </ns0:c>
      <ns0:c r="AS18" s="87" t="n">
        <ns0:v>3.51</ns0:v>
      </ns0:c>
      <ns0:c r="AT18" s="87" t="n">
        <ns0:v>-16.04</ns0:v>
      </ns0:c>
      <ns0:c r="AU18" s="87" t="n">
        <ns0:v>-17.32</ns0:v>
      </ns0:c>
      <ns0:c r="AV18" s="87" t="n">
        <ns0:v>53.43</ns0:v>
      </ns0:c>
      <ns0:c r="AW18" s="87" t="n">
        <ns0:v>48.39</ns0:v>
      </ns0:c>
      <ns0:c r="AX18" s="87" t="n">
        <ns0:v>36.5</ns0:v>
      </ns0:c>
      <ns0:c r="AY18" s="87" t="n">
        <ns0:v>2.69</ns0:v>
      </ns0:c>
      <ns0:c r="AZ18" s="87" t="n">
        <ns0:v>-18.88</ns0:v>
      </ns0:c>
      <ns0:c r="BA18" s="87" t="n">
        <ns0:v>-18.73</ns0:v>
      </ns0:c>
      <ns0:c r="BB18" s="74" t="inlineStr">
        <ns0:is>
          <ns0:t>China Biotech ETF (HS biotech proxy)</ns0:t>
        </ns0:is>
      </ns0:c>
      <ns0:c r="BC18" s="87" t="n">
        <ns0:v>-97.90000000000001</ns0:v>
      </ns0:c>
      <ns0:c r="BD18" s="75" t="n">
        <ns0:v>46265</ns0:v>
      </ns0:c>
      <ns0:c r="BE18" s="76" t="n">
        <ns0:v>53.3</ns0:v>
      </ns0:c>
      <ns0:c r="BF18" s="79" t="n">
        <ns0:v>-91.8</ns0:v>
      </ns0:c>
      <ns0:c r="BG18" s="74" t="inlineStr">
        <ns0:is>
          <ns0:t>N</ns0:t>
        </ns0:is>
      </ns0:c>
      <ns0:c r="BH18" s="74" t="inlineStr">
        <ns0:is>
          <ns0:t>n/m</ns0:t>
        </ns0:is>
      </ns0:c>
      <ns0:c r="BI18" s="88" t="n"/>
      <ns0:c r="BJ18" s="88" t="n"/>
      <ns0:c r="BK18" s="89" t="n">
        <ns0:v>523.9</ns0:v>
      </ns0:c>
      <ns0:c r="BL18" s="90">
        <ns0:f>IFERROR(IF('BBG Verify'!S18="","Awaiting Bloomberg",'BBG Verify'!S18),"Awaiting Bloomberg")</ns0:f>
        <ns0:v/>
      </ns0:c>
      <ns0:c r="BM18" s="91" t="inlineStr">
        <ns0:is>
          <ns0:t>N</ns0:t>
        </ns0:is>
      </ns0:c>
      <ns0:c r="BN18" s="92">
        <ns0:f>IFERROR(IF('BBG Verify'!K18="","Awaiting Bloomberg",'BBG Verify'!K18),"Awaiting Bloomberg")</ns0:f>
        <ns0:v/>
      </ns0:c>
      <ns0:c r="BO18" s="74" t="inlineStr">
        <ns0:is>
          <ns0:t>N/A</ns0:t>
        </ns0:is>
      </ns0:c>
      <ns0:c r="BP18" s="74" t="inlineStr">
        <ns0:is>
          <ns0:t>N/A</ns0:t>
        </ns0:is>
      </ns0:c>
      <ns0:c r="BQ18" s="74" t="inlineStr">
        <ns0:is>
          <ns0:t>N/A</ns0:t>
        </ns0:is>
      </ns0:c>
      <ns0:c r="BR18" s="74" t="inlineStr">
        <ns0:is>
          <ns0:t>N/A</ns0:t>
        </ns0:is>
      </ns0:c>
      <ns0:c r="BS18" s="74" t="inlineStr">
        <ns0:is>
          <ns0:t>N/A</ns0:t>
        </ns0:is>
      </ns0:c>
      <ns0:c r="BT18" s="74" t="inlineStr">
        <ns0:is>
          <ns0:t>N/A</ns0:t>
        </ns0:is>
      </ns0:c>
      <ns0:c r="BU18" s="91" t="inlineStr">
        <ns0:is>
          <ns0:t>J.P. Morgan Securities (Far East) Limited; Citigroup Global Markets Asia Limited; China International Capital Corporation Hong Kong Securities Limited</ns0:t>
        </ns0:is>
      </ns0:c>
      <ns0:c r="BV18" s="74" t="inlineStr">
        <ns0:is>
          <ns0:t>China International Capital Corporation Hong Kong Securities Limited; J.P. Morgan Securities (Far East) Limited; Citigroup Global Markets Asia Limited</ns0:t>
        </ns0:is>
      </ns0:c>
      <ns0:c r="BW18" s="74" t="inlineStr">
        <ns0:is>
          <ns0:t>J.P. Morgan Securities (Asia Pacific) Limited; Citigroup Global Markets Asia Limited; China International Capital Corporation Hong Kong Securities Limited; J.P. Morgan Securities plc; Citigroup Global Markets Limited</ns0:t>
        </ns0:is>
      </ns0:c>
      <ns0:c r="BX18" s="74" t="inlineStr">
        <ns0:is>
          <ns0:t>Citigroup Global Markets Asia Limited; China International Capital Corporation Hong Kong Securities Limited; J.P. Morgan Securities (Asia Pacific) Limited</ns0:t>
        </ns0:is>
      </ns0:c>
      <ns0:c r="BY18" s="93">
        <ns0:f>HYPERLINK("https://www1.hkexnews.hk/listedco/listconews/sehk/2021/0126/2021012600169.htm","prospectus")</ns0:f>
        <ns0:v/>
      </ns0:c>
      <ns0:c r="BZ18" s="93">
        <ns0:f>HYPERLINK("https://www1.hkexnews.hk/listedco/listconews/sehk/2021/0203/2021020300020.htm","allotment")</ns0:f>
        <ns0:v/>
      </ns0:c>
      <ns0:c r="CA18" s="93">
        <ns0:f>HYPERLINK("https://www1.hkexnews.hk/listedco/listconews/sehk/2021/0228/2021022800029.pdf","stabilisation")</ns0:f>
        <ns0:v/>
      </ns0:c>
      <ns0:c r="CB18" s="94" t="n"/>
      <ns0:c r="CC18" s="74" t="inlineStr">
        <ns0:is>
          <ns0:t>P/E: loss-making at IPO, use P/S; price range: fixed-price offering (no indicative range); range low: maximum offer price only, no floor published; cornerstone %: upper bound: AAStocks institutional total / deal size; greenshoe size: no over-allotment option; P/S: 524x on HK$53.3m revenue, effectively pre-revenue; not comparable; stabilising manager: not named in the allotment notice or prospectus glossary; price series: last available quoted close 2026-08-31; may be suspended, delisted or a source gap; price and benchmark end on that date; allocation: allocation table not in this notice's format (older prose announcement); day-1 tape: volume on file; the retail multiple needs the final public split, which this notice does not state</ns0:t>
        </ns0:is>
      </ns0:c>
    </ns0:row>
    <ns0:row r="19" ht="22" customHeight="1">
      <ns0:c r="A19" s="73" t="inlineStr">
        <ns0:is>
          <ns0:t>2161</ns0:t>
        </ns0:is>
      </ns0:c>
      <ns0:c r="B19" s="74" t="inlineStr">
        <ns0:is>
          <ns0:t>JBM HEALTHCARE</ns0:t>
        </ns0:is>
      </ns0:c>
      <ns0:c r="C19" s="74" t="inlineStr">
        <ns0:is>
          <ns0:t>健倍苗苗</ns0:t>
        </ns0:is>
      </ns0:c>
      <ns0:c r="D19" s="74" t="inlineStr">
        <ns0:is>
          <ns0:t>Healthcare</ns0:t>
        </ns0:is>
      </ns0:c>
      <ns0:c r="E19" s="74" t="inlineStr">
        <ns0:is>
          <ns0:t>Biopharma commercial</ns0:t>
        </ns0:is>
      </ns0:c>
      <ns0:c r="F19" s="74" t="inlineStr">
        <ns0:is>
          <ns0:t>Health Care Supplies</ns0:t>
        </ns0:is>
      </ns0:c>
      <ns0:c r="G19" s="74" t="inlineStr">
        <ns0:is>
          <ns0:t>Standard</ns0:t>
        </ns0:is>
      </ns0:c>
      <ns0:c r="H19" s="75" t="n">
        <ns0:v>44232</ns0:v>
      </ns0:c>
      <ns0:c r="I19" s="76" t="n">
        <ns0:v>10.6</ns0:v>
      </ns0:c>
      <ns0:c r="J19" s="74" t="inlineStr">
        <ns0:is>
          <ns0:t>net proceeds</ns0:t>
        </ns0:is>
      </ns0:c>
      <ns0:c r="K19" s="95" t="n"/>
      <ns0:c r="L19" s="77" t="n">
        <ns0:v>1.2</ns0:v>
      </ns0:c>
      <ns0:c r="M19" s="77" t="n">
        <ns0:v>1.2</ns0:v>
      </ns0:c>
      <ns0:c r="N19" s="74" t="inlineStr">
        <ns0:is>
          <ns0:t>Y</ns0:t>
        </ns0:is>
      </ns0:c>
      <ns0:c r="O19" s="78" t="n">
        <ns0:v>100</ns0:v>
      </ns0:c>
      <ns0:c r="P19" s="84" t="n"/>
      <ns0:c r="Q19" s="79" t="n">
        <ns0:v>1072.4</ns0:v>
      </ns0:c>
      <ns0:c r="R19" s="74" t="inlineStr">
        <ns0:is>
          <ns0:t>press:broker factsheet (cyberquote 2161.pdf): HK$1,072.4m at HK$1.20 | FINANCIALS (HKD x1.0): JBM Healthcare FY2020 (Mar-YE) prospectus: revenue HK$381.5m, profit HK$44.3m</ns0:t>
        </ns0:is>
      </ns0:c>
      <ns0:c r="S19" s="80" t="n">
        <ns0:v>22.47</ns0:v>
      </ns0:c>
      <ns0:c r="T19" s="99">
        <ns0:f>IFERROR(IF('BBG Verify'!E19="","Awaiting Bloomberg",'BBG Verify'!E19),"Awaiting Bloomberg")</ns0:f>
        <ns0:v/>
      </ns0:c>
      <ns0:c r="U19" s="82" t="n">
        <ns0:v>0</ns0:v>
      </ns0:c>
      <ns0:c r="V19" s="100" t="n"/>
      <ns0:c r="W19" s="84" t="n"/>
      <ns0:c r="X19" s="85" t="n"/>
      <ns0:c r="Y19" s="79" t="n">
        <ns0:v>10.6</ns0:v>
      </ns0:c>
      <ns0:c r="Z19" s="97" t="n"/>
      <ns0:c r="AA19" s="78" t="n">
        <ns0:v>0.99</ns0:v>
      </ns0:c>
      <ns0:c r="AB19" s="74" t="inlineStr">
        <ns0:is>
          <ns0:t>none — no cornerstone tranche</ns0:t>
        </ns0:is>
      </ns0:c>
      <ns0:c r="AC19" s="74" t="inlineStr">
        <ns0:is>
          <ns0:t>none</ns0:t>
        </ns0:is>
      </ns0:c>
      <ns0:c r="AD19" s="84" t="n"/>
      <ns0:c r="AE19" s="85" t="n"/>
      <ns0:c r="AF19" s="85" t="n"/>
      <ns0:c r="AG19" s="85" t="n"/>
      <ns0:c r="AH19" s="85" t="n"/>
      <ns0:c r="AI19" s="86" t="n">
        <ns0:v>14.17</ns0:v>
      </ns0:c>
      <ns0:c r="AJ19" s="87" t="n">
        <ns0:v>80</ns0:v>
      </ns0:c>
      <ns0:c r="AK19" s="87" t="n">
        <ns0:v>1.02</ns0:v>
      </ns0:c>
      <ns0:c r="AL19" s="87" t="n">
        <ns0:v>23.33</ns0:v>
      </ns0:c>
      <ns0:c r="AM19" s="87" t="n">
        <ns0:v>45.95</ns0:v>
      </ns0:c>
      <ns0:c r="AN19" s="88" t="n"/>
      <ns0:c r="AO19" s="78" t="n">
        <ns0:v>116.89</ns0:v>
      </ns0:c>
      <ns0:c r="AP19" s="87" t="n">
        <ns0:v>100</ns0:v>
      </ns0:c>
      <ns0:c r="AQ19" s="87" t="n">
        <ns0:v>21.67</ns0:v>
      </ns0:c>
      <ns0:c r="AR19" s="87" t="n">
        <ns0:v>50</ns0:v>
      </ns0:c>
      <ns0:c r="AS19" s="87" t="n">
        <ns0:v>11.11</ns0:v>
      </ns0:c>
      <ns0:c r="AT19" s="87" t="n">
        <ns0:v>-32.41</ns0:v>
      </ns0:c>
      <ns0:c r="AU19" s="87" t="n">
        <ns0:v>-16.67</ns0:v>
      </ns0:c>
      <ns0:c r="AV19" s="87" t="n">
        <ns0:v>93.61</ns0:v>
      </ns0:c>
      <ns0:c r="AW19" s="87" t="n">
        <ns0:v>39.37</ns0:v>
      </ns0:c>
      <ns0:c r="AX19" s="87" t="n">
        <ns0:v>56.87</ns0:v>
      </ns0:c>
      <ns0:c r="AY19" s="87" t="n">
        <ns0:v>-13.87</ns0:v>
      </ns0:c>
      <ns0:c r="AZ19" s="87" t="n">
        <ns0:v>-17.7</ns0:v>
      </ns0:c>
      <ns0:c r="BA19" s="87" t="n">
        <ns0:v>-18.54</ns0:v>
      </ns0:c>
      <ns0:c r="BB19" s="74" t="inlineStr">
        <ns0:is>
          <ns0:t>China Biotech ETF (HS biotech proxy)</ns0:t>
        </ns0:is>
      </ns0:c>
      <ns0:c r="BC19" s="87" t="n">
        <ns0:v>35</ns0:v>
      </ns0:c>
      <ns0:c r="BD19" s="75" t="n">
        <ns0:v>46297</ns0:v>
      </ns0:c>
      <ns0:c r="BE19" s="76" t="n">
        <ns0:v>381.5</ns0:v>
      </ns0:c>
      <ns0:c r="BF19" s="79" t="n">
        <ns0:v>44.3</ns0:v>
      </ns0:c>
      <ns0:c r="BG19" s="74" t="inlineStr">
        <ns0:is>
          <ns0:t>Y</ns0:t>
        </ns0:is>
      </ns0:c>
      <ns0:c r="BH19" s="89" t="n">
        <ns0:v>24.2</ns0:v>
      </ns0:c>
      <ns0:c r="BI19" s="88" t="n"/>
      <ns0:c r="BJ19" s="89" t="n">
        <ns0:v>7.4</ns0:v>
      </ns0:c>
      <ns0:c r="BK19" s="89" t="n">
        <ns0:v>2.8</ns0:v>
      </ns0:c>
      <ns0:c r="BL19" s="90">
        <ns0:f>IFERROR(IF('BBG Verify'!S19="","Awaiting Bloomberg",'BBG Verify'!S19),"Awaiting Bloomberg")</ns0:f>
        <ns0:v/>
      </ns0:c>
      <ns0:c r="BM19" s="91" t="inlineStr">
        <ns0:is>
          <ns0:t>N</ns0:t>
        </ns0:is>
      </ns0:c>
      <ns0:c r="BN19" s="92">
        <ns0:f>IFERROR(IF('BBG Verify'!K19="","Awaiting Bloomberg",'BBG Verify'!K19),"Awaiting Bloomberg")</ns0:f>
        <ns0:v/>
      </ns0:c>
      <ns0:c r="BO19" s="74" t="inlineStr">
        <ns0:is>
          <ns0:t>N/A</ns0:t>
        </ns0:is>
      </ns0:c>
      <ns0:c r="BP19" s="74" t="inlineStr">
        <ns0:is>
          <ns0:t>N/A</ns0:t>
        </ns0:is>
      </ns0:c>
      <ns0:c r="BQ19" s="74" t="inlineStr">
        <ns0:is>
          <ns0:t>N/A</ns0:t>
        </ns0:is>
      </ns0:c>
      <ns0:c r="BR19" s="74" t="inlineStr">
        <ns0:is>
          <ns0:t>N/A</ns0:t>
        </ns0:is>
      </ns0:c>
      <ns0:c r="BS19" s="74" t="inlineStr">
        <ns0:is>
          <ns0:t>N/A</ns0:t>
        </ns0:is>
      </ns0:c>
      <ns0:c r="BT19" s="74" t="inlineStr">
        <ns0:is>
          <ns0:t>N/A</ns0:t>
        </ns0:is>
      </ns0:c>
      <ns0:c r="BU19" s="91" t="inlineStr">
        <ns0:is>
          <ns0:t>China Galaxy International Securities (Hong Kong) Company Limited</ns0:t>
        </ns0:is>
      </ns0:c>
      <ns0:c r="BV19" s="74" t="inlineStr">
        <ns0:is>
          <ns0:t>China Galaxy International Securities (Hong Kong) Company Limited</ns0:t>
        </ns0:is>
      </ns0:c>
      <ns0:c r="BW19" s="74" t="inlineStr">
        <ns0:is>
          <ns0: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ns0:t>
        </ns0:is>
      </ns0:c>
      <ns0:c r="BX19" s="74" t="inlineStr">
        <ns0:is>
          <ns0: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ns0:t>
        </ns0:is>
      </ns0:c>
      <ns0:c r="BY19" s="93">
        <ns0:f>HYPERLINK("https://www1.hkexnews.hk/listedco/listconews/sehk/2021/0126/2021012600248.pdf","prospectus")</ns0:f>
        <ns0:v/>
      </ns0:c>
      <ns0:c r="BZ19" s="93">
        <ns0:f>HYPERLINK("https://www1.hkexnews.hk/listedco/listconews/sehk/2021/0204/2021020400012.htm","allotment")</ns0:f>
        <ns0:v/>
      </ns0:c>
      <ns0:c r="CA19" s="85" t="n"/>
      <ns0:c r="CB19" s="94" t="n"/>
      <ns0:c r="CC19" s="74" t="inlineStr">
        <ns0:is>
          <ns0:t>intl sub: not stated in the filing; greenshoe: no over-allotment option; range low: maximum offer price only, no floor published; sponsor: English name not in the filing; AAStocks 保薦人 shown; cornerstone list: no cornerstone tranche; greenshoe size: no over-allotment option; stabilising manager: no over-allotment option, so none appointed;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20" ht="22" customHeight="1">
      <ns0:c r="A20" s="73" t="inlineStr">
        <ns0:is>
          <ns0:t>1024</ns0:t>
        </ns0:is>
      </ns0:c>
      <ns0:c r="B20" s="74" t="inlineStr">
        <ns0:is>
          <ns0:t>KUAISHOU-W</ns0:t>
        </ns0:is>
      </ns0:c>
      <ns0:c r="C20" s="74" t="inlineStr">
        <ns0:is>
          <ns0:t>快手－Ｗ</ns0:t>
        </ns0:is>
      </ns0:c>
      <ns0:c r="D20" s="74" t="inlineStr">
        <ns0:is>
          <ns0:t>Technology</ns0:t>
        </ns0:is>
      </ns0:c>
      <ns0:c r="E20" s="74" t="inlineStr">
        <ns0:is>
          <ns0:t>Internet &amp; fintech</ns0:t>
        </ns0:is>
      </ns0:c>
      <ns0:c r="F20" s="74" t="inlineStr">
        <ns0:is>
          <ns0:t>e-Commerce &amp; Internet Services</ns0:t>
        </ns0:is>
      </ns0:c>
      <ns0:c r="G20" s="74" t="inlineStr">
        <ns0:is>
          <ns0:t>WVR</ns0:t>
        </ns0:is>
      </ns0:c>
      <ns0:c r="H20" s="75" t="n">
        <ns0:v>44232</ns0:v>
      </ns0:c>
      <ns0:c r="I20" s="76" t="n">
        <ns0:v>42000.1</ns0:v>
      </ns0:c>
      <ns0:c r="J20" s="74" t="inlineStr">
        <ns0:is>
          <ns0:t>gross (price x shares)</ns0:t>
        </ns0:is>
      </ns0:c>
      <ns0:c r="K20" s="95" t="n"/>
      <ns0:c r="L20" s="77" t="n">
        <ns0:v>115</ns0:v>
      </ns0:c>
      <ns0:c r="M20" s="77" t="n">
        <ns0:v>115</ns0:v>
      </ns0:c>
      <ns0:c r="N20" s="74" t="inlineStr">
        <ns0:is>
          <ns0:t>Y</ns0:t>
        </ns0:is>
      </ns0:c>
      <ns0:c r="O20" s="78" t="n">
        <ns0:v>100</ns0:v>
      </ns0:c>
      <ns0:c r="P20" s="84" t="n"/>
      <ns0:c r="Q20" s="79" t="n">
        <ns0:v>457482.6</ns0:v>
      </ns0:c>
      <ns0:c r="R20" s="74" t="inlineStr">
        <ns0:is>
          <ns0:t>aastocks:上市市值 at the struck price</ns0:t>
        </ns0:is>
      </ns0:c>
      <ns0:c r="S20" s="80" t="n">
        <ns0:v>1204.16</ns0:v>
      </ns0:c>
      <ns0:c r="T20" s="81" t="n">
        <ns0:v>39</ns0:v>
      </ns0:c>
      <ns0:c r="U20" s="82" t="n">
        <ns0:v>45.23</ns0:v>
      </ns0:c>
      <ns0:c r="V20" s="83" t="n">
        <ns0:v>734</ns0:v>
      </ns0:c>
      <ns0:c r="W20" s="84" t="n"/>
      <ns0:c r="X20" s="85" t="n"/>
      <ns0:c r="Y20" s="79" t="n">
        <ns0:v>23003.45</ns0:v>
      </ns0:c>
      <ns0:c r="Z20" s="79" t="n">
        <ns0:v>200030227</ns0:v>
      </ns0:c>
      <ns0:c r="AA20" s="78" t="n">
        <ns0:v>5.03</ns0:v>
      </ns0:c>
      <ns0:c r="AB20" s="74" t="inlineStr">
        <ns0:is>
          <ns0:t>Aranda Investments Pte. Ltd; BlackRock; CPP Investment Board PMI-2 Inc; FIL Investment Management (Hong Kong) Limited; GIC Private Limited; Invesco Ltd; Morgan Stanley Asia Limited; Morgan Stanley Investment Management Inc; Sunny Festive Limited; The Capital Group Funds</ns0:t>
        </ns0:is>
      </ns0:c>
      <ns0:c r="AC20" s="74" t="inlineStr">
        <ns0:is>
          <ns0:t>aranda;blackrock;cpp;fil;gic;invesco;morgan;sunny;the-capital</ns0:t>
        </ns0:is>
      </ns0:c>
      <ns0:c r="AD20" s="84" t="n"/>
      <ns0:c r="AE20" s="74" t="inlineStr">
        <ns0:is>
          <ns0:t>full</ns0:t>
        </ns0:is>
      </ns0:c>
      <ns0:c r="AF20" s="74" t="inlineStr">
        <ns0:is>
          <ns0:t>2021-02-28</ns0:t>
        </ns0:is>
      </ns0:c>
      <ns0:c r="AG20" s="74" t="inlineStr">
        <ns0:is>
          <ns0:t>Morgan Stanley Asia Limited</ns0:t>
        </ns0:is>
      </ns0:c>
      <ns0:c r="AH20" s="74" t="inlineStr">
        <ns0:is>
          <ns0:t>Morgan Stanley</ns0:t>
        </ns0:is>
      </ns0:c>
      <ns0:c r="AI20" s="86" t="n">
        <ns0:v>191.83</ns0:v>
      </ns0:c>
      <ns0:c r="AJ20" s="87" t="n">
        <ns0:v>160.87</ns0:v>
      </ns0:c>
      <ns0:c r="AK20" s="87" t="n">
        <ns0:v>-0.92</ns0:v>
      </ns0:c>
      <ns0:c r="AL20" s="87" t="n">
        <ns0:v>193.91</ns0:v>
      </ns0:c>
      <ns0:c r="AM20" s="87" t="n">
        <ns0:v>-11.24</ns0:v>
      </ns0:c>
      <ns0:c r="AN20" s="88" t="n"/>
      <ns0:c r="AO20" s="78" t="n">
        <ns0:v>13.31</ns0:v>
      </ns0:c>
      <ns0:c r="AP20" s="87" t="n">
        <ns0:v>250.43</ns0:v>
      </ns0:c>
      <ns0:c r="AQ20" s="87" t="n">
        <ns0:v>141.91</ns0:v>
      </ns0:c>
      <ns0:c r="AR20" s="87" t="n">
        <ns0:v>105.39</ns0:v>
      </ns0:c>
      <ns0:c r="AS20" s="87" t="n">
        <ns0:v>34.33</ns0:v>
      </ns0:c>
      <ns0:c r="AT20" s="87" t="n">
        <ns0:v>-7.27</ns0:v>
      </ns0:c>
      <ns0:c r="AU20" s="87" t="n">
        <ns0:v>-21.27</ns0:v>
      </ns0:c>
      <ns0:c r="AV20" s="87" t="n">
        <ns0:v>242.45</ns0:v>
      </ns0:c>
      <ns0:c r="AW20" s="87" t="n">
        <ns0:v>158.43</ns0:v>
      </ns0:c>
      <ns0:c r="AX20" s="87" t="n">
        <ns0:v>126.23</ns0:v>
      </ns0:c>
      <ns0:c r="AY20" s="87" t="n">
        <ns0:v>8.48</ns0:v>
      </ns0:c>
      <ns0:c r="AZ20" s="87" t="n">
        <ns0:v>-16.52</ns0:v>
      </ns0:c>
      <ns0:c r="BA20" s="87" t="n">
        <ns0:v>-15.75</ns0:v>
      </ns0:c>
      <ns0:c r="BB20" s="74" t="inlineStr">
        <ns0:is>
          <ns0:t>HSTECH (Hang Seng TECH ETF)</ns0:t>
        </ns0:is>
      </ns0:c>
      <ns0:c r="BC20" s="87" t="n">
        <ns0:v>-74.28</ns0:v>
      </ns0:c>
      <ns0:c r="BD20" s="75" t="n">
        <ns0:v>46297</ns0:v>
      </ns0:c>
      <ns0:c r="BE20" s="98" t="n"/>
      <ns0:c r="BF20" s="97" t="n"/>
      <ns0:c r="BG20" s="85" t="n"/>
      <ns0:c r="BH20" s="90">
        <ns0:f>IFERROR(IF('BBG Verify'!O20="","Awaiting Bloomberg",'BBG Verify'!O20),"Awaiting Bloomberg")</ns0:f>
        <ns0:v/>
      </ns0:c>
      <ns0:c r="BI20" s="88" t="n"/>
      <ns0:c r="BJ20" s="89" t="n">
        <ns0:v>8</ns0:v>
      </ns0:c>
      <ns0:c r="BK20" s="88" t="n"/>
      <ns0:c r="BL20" s="90">
        <ns0:f>IFERROR(IF('BBG Verify'!S20="","Awaiting Bloomberg",'BBG Verify'!S20),"Awaiting Bloomberg")</ns0:f>
        <ns0:v/>
      </ns0:c>
      <ns0:c r="BM20" s="91" t="inlineStr">
        <ns0:is>
          <ns0:t>N</ns0:t>
        </ns0:is>
      </ns0:c>
      <ns0:c r="BN20" s="92">
        <ns0:f>IFERROR(IF('BBG Verify'!K20="","Awaiting Bloomberg",'BBG Verify'!K20),"Awaiting Bloomberg")</ns0:f>
        <ns0:v/>
      </ns0:c>
      <ns0:c r="BO20" s="74" t="inlineStr">
        <ns0:is>
          <ns0:t>N/A</ns0:t>
        </ns0:is>
      </ns0:c>
      <ns0:c r="BP20" s="74" t="inlineStr">
        <ns0:is>
          <ns0:t>N/A</ns0:t>
        </ns0:is>
      </ns0:c>
      <ns0:c r="BQ20" s="74" t="inlineStr">
        <ns0:is>
          <ns0:t>N/A</ns0:t>
        </ns0:is>
      </ns0:c>
      <ns0:c r="BR20" s="74" t="inlineStr">
        <ns0:is>
          <ns0:t>N/A</ns0:t>
        </ns0:is>
      </ns0:c>
      <ns0:c r="BS20" s="74" t="inlineStr">
        <ns0:is>
          <ns0:t>N/A</ns0:t>
        </ns0:is>
      </ns0:c>
      <ns0:c r="BT20" s="74" t="inlineStr">
        <ns0:is>
          <ns0:t>N/A</ns0:t>
        </ns0:is>
      </ns0:c>
      <ns0:c r="BU20" s="91" t="inlineStr">
        <ns0:is>
          <ns0:t>Morgan Stanley Asia Limited; Merrill Lynch Far East Limited; China Renaissance Securities (Hong Kong) Limited</ns0:t>
        </ns0:is>
      </ns0:c>
      <ns0:c r="BV20" s="74" t="inlineStr">
        <ns0:is>
          <ns0:t>Morgan Stanley Asia Limited; Merrill Lynch Far East Limited; China Renaissance Securities (Hong Kong) Limited</ns0:t>
        </ns0:is>
      </ns0:c>
      <ns0:c r="BW20" s="74" t="inlineStr">
        <ns0:is>
          <ns0:t>Morgan Stanley &amp; Co. International plc; Canary Wharf London E14 4QA United Kingdom Merrill Lynch (Asia Pacific) Limited; China Renaissance Securities (Hong Kong) Limited; ICBC International Securities Limited</ns0:t>
        </ns0:is>
      </ns0:c>
      <ns0:c r="BX20" s="74" t="inlineStr">
        <ns0:is>
          <ns0: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ns0:t>
        </ns0:is>
      </ns0:c>
      <ns0:c r="BY20" s="93">
        <ns0:f>HYPERLINK("https://www1.hkexnews.hk/listedco/listconews/sehk/2021/0126/2021012600093.htm","prospectus")</ns0:f>
        <ns0:v/>
      </ns0:c>
      <ns0:c r="BZ20" s="93">
        <ns0:f>HYPERLINK("https://www1.hkexnews.hk/listedco/listconews/sehk/2021/0204/2021020400034.htm","allotment")</ns0:f>
        <ns0:v/>
      </ns0:c>
      <ns0:c r="CA20" s="93">
        <ns0:f>HYPERLINK("https://www1.hkexnews.hk/listedco/listconews/sehk/2021/0301/2021030100029.pdf","stabilisation")</ns0:f>
        <ns0:v/>
      </ns0:c>
      <ns0:c r="CB20" s="94" t="n"/>
      <ns0:c r="CC20" s="74" t="inlineStr">
        <ns0:is>
          <ns0:t>P/E: net income not extractable; price range: fixed-price offering (no indicative range); range low: maximum offer price only, no floor published; A/H: no A-share listing; nearest A proxy Mango Excellent Media (300413.SZ); greenshoe size: no over-allotment option; P/S: revenue not extractable; financials: not extractable; pre-IPO year outside the AAStocks window; allocation: allocation table not in this notice's format (older prose announcement); day-1 tape: volume on file; the retail multiple needs the final public split, which this notice does not state</ns0:t>
        </ns0:is>
      </ns0:c>
    </ns0:row>
    <ns0:row r="21" ht="22" customHeight="1">
      <ns0:c r="A21" s="73" t="inlineStr">
        <ns0:is>
          <ns0:t>2170</ns0:t>
        </ns0:is>
      </ns0:c>
      <ns0:c r="B21" s="74" t="inlineStr">
        <ns0:is>
          <ns0:t>BASECARE-B</ns0:t>
        </ns0:is>
      </ns0:c>
      <ns0:c r="C21" s="74" t="inlineStr">
        <ns0:is>
          <ns0:t>貝康醫療－Ｂ</ns0:t>
        </ns0:is>
      </ns0:c>
      <ns0:c r="D21" s="74" t="inlineStr">
        <ns0:is>
          <ns0:t>Healthcare</ns0:t>
        </ns0:is>
      </ns0:c>
      <ns0:c r="E21" s="74" t="inlineStr">
        <ns0:is>
          <ns0:t>Medical devices</ns0:t>
        </ns0:is>
      </ns0:c>
      <ns0:c r="F21" s="74" t="inlineStr">
        <ns0:is>
          <ns0:t>Biotechnology</ns0:t>
        </ns0:is>
      </ns0:c>
      <ns0:c r="G21" s="74" t="inlineStr">
        <ns0:is>
          <ns0:t>18A</ns0:t>
        </ns0:is>
      </ns0:c>
      <ns0:c r="H21" s="75" t="n">
        <ns0:v>44235</ns0:v>
      </ns0:c>
      <ns0:c r="I21" s="76" t="n">
        <ns0:v>1824</ns0:v>
      </ns0:c>
      <ns0:c r="J21" s="74" t="inlineStr">
        <ns0:is>
          <ns0:t>gross (price x shares)</ns0:t>
        </ns0:is>
      </ns0:c>
      <ns0:c r="K21" s="95" t="n"/>
      <ns0:c r="L21" s="77" t="n">
        <ns0:v>27.36</ns0:v>
      </ns0:c>
      <ns0:c r="M21" s="77" t="n">
        <ns0:v>27.36</ns0:v>
      </ns0:c>
      <ns0:c r="N21" s="74" t="inlineStr">
        <ns0:is>
          <ns0:t>Y</ns0:t>
        </ns0:is>
      </ns0:c>
      <ns0:c r="O21" s="78" t="n">
        <ns0:v>100</ns0:v>
      </ns0:c>
      <ns0:c r="P21" s="84" t="n"/>
      <ns0:c r="Q21" s="79" t="n">
        <ns0:v>7346.9</ns0:v>
      </ns0:c>
      <ns0:c r="R21" s="74" t="inlineStr">
        <ns0:is>
          <ns0:t>aastocks:上市市值 at the struck price</ns0:t>
        </ns0:is>
      </ns0:c>
      <ns0:c r="S21" s="80" t="n">
        <ns0:v>402.8</ns0:v>
      </ns0:c>
      <ns0:c r="T21" s="81" t="n">
        <ns0:v>21.8</ns0:v>
      </ns0:c>
      <ns0:c r="U21" s="82" t="n">
        <ns0:v>17</ns0:v>
      </ns0:c>
      <ns0:c r="V21" s="83" t="n">
        <ns0:v>112</ns0:v>
      </ns0:c>
      <ns0:c r="W21" s="78" t="n">
        <ns0:v>50</ns0:v>
      </ns0:c>
      <ns0:c r="X21" s="74" t="inlineStr">
        <ns0:is>
          <ns0:t>YES</ns0:t>
        </ns0:is>
      </ns0:c>
      <ns0:c r="Y21" s="79" t="n">
        <ns0:v>1513.92</ns0:v>
      </ns0:c>
      <ns0:c r="Z21" s="79" t="n">
        <ns0:v>55333610</ns0:v>
      </ns0:c>
      <ns0:c r="AA21" s="78" t="n">
        <ns0:v>20.61</ns0:v>
      </ns0:c>
      <ns0:c r="AB21" s="74" t="inlineStr">
        <ns0:is>
          <ns0:t>Affin Hwang Asset Management Berhad; CRF Investment Holdings Company Limited; Foresight Funds; IvyRock Asset Management (HK) Limited; Lake Bleu Prime Healthcare Master Fund Limited; OrbiMed Funds; WinTwin Capital Limited</ns0:t>
        </ns0:is>
      </ns0:c>
      <ns0:c r="AC21" s="74" t="inlineStr">
        <ns0:is>
          <ns0:t>affin;crf;foresight;ivyrock;lake;orbimed;wintwin</ns0:t>
        </ns0:is>
      </ns0:c>
      <ns0:c r="AD21" s="84" t="n"/>
      <ns0:c r="AE21" s="74" t="inlineStr">
        <ns0:is>
          <ns0:t>partial</ns0:t>
        </ns0:is>
      </ns0:c>
      <ns0:c r="AF21" s="74" t="inlineStr">
        <ns0:is>
          <ns0:t>2021-03-03</ns0:t>
        </ns0:is>
      </ns0:c>
      <ns0:c r="AG21" s="74" t="inlineStr">
        <ns0:is>
          <ns0:t>CLSA Limited</ns0:t>
        </ns0:is>
      </ns0:c>
      <ns0:c r="AH21" s="74" t="inlineStr">
        <ns0:is>
          <ns0:t>CLSA</ns0:t>
        </ns0:is>
      </ns0:c>
      <ns0:c r="AI21" s="86" t="n">
        <ns0:v>16.78</ns0:v>
      </ns0:c>
      <ns0:c r="AJ21" s="87" t="n">
        <ns0:v>1.24</ns0:v>
      </ns0:c>
      <ns0:c r="AK21" s="87" t="n">
        <ns0:v>0.85</ns0:v>
      </ns0:c>
      <ns0:c r="AL21" s="87" t="n">
        <ns0:v>9.65</ns0:v>
      </ns0:c>
      <ns0:c r="AM21" s="87" t="n">
        <ns0:v>-7.67</ns0:v>
      </ns0:c>
      <ns0:c r="AN21" s="89" t="n">
        <ns0:v>1.53</ns0:v>
      </ns0:c>
      <ns0:c r="AO21" s="78" t="n">
        <ns0:v>15.83</ns0:v>
      </ns0:c>
      <ns0:c r="AP21" s="87" t="n">
        <ns0:v>16.96</ns0:v>
      </ns0:c>
      <ns0:c r="AQ21" s="87" t="n">
        <ns0:v>-25.26</ns0:v>
      </ns0:c>
      <ns0:c r="AR21" s="87" t="n">
        <ns0:v>-1.32</ns0:v>
      </ns0:c>
      <ns0:c r="AS21" s="87" t="n">
        <ns0:v>15.53</ns0:v>
      </ns0:c>
      <ns0:c r="AT21" s="87" t="n">
        <ns0:v>-26.18</ns0:v>
      </ns0:c>
      <ns0:c r="AU21" s="87" t="n">
        <ns0:v>-2.53</ns0:v>
      </ns0:c>
      <ns0:c r="AV21" s="87" t="n">
        <ns0:v>11.93</ns0:v>
      </ns0:c>
      <ns0:c r="AW21" s="87" t="n">
        <ns0:v>-9.67</ns0:v>
      </ns0:c>
      <ns0:c r="AX21" s="87" t="n">
        <ns0:v>6.3</ns0:v>
      </ns0:c>
      <ns0:c r="AY21" s="87" t="n">
        <ns0:v>-9.880000000000001</ns0:v>
      </ns0:c>
      <ns0:c r="AZ21" s="87" t="n">
        <ns0:v>-15.59</ns0:v>
      </ns0:c>
      <ns0:c r="BA21" s="87" t="n">
        <ns0:v>-16.3</ns0:v>
      </ns0:c>
      <ns0:c r="BB21" s="74" t="inlineStr">
        <ns0:is>
          <ns0:t>China Biotech ETF (HS biotech proxy)</ns0:t>
        </ns0:is>
      </ns0:c>
      <ns0:c r="BC21" s="87" t="n">
        <ns0:v>-95.38</ns0:v>
      </ns0:c>
      <ns0:c r="BD21" s="75" t="n">
        <ns0:v>46297</ns0:v>
      </ns0:c>
      <ns0:c r="BE21" s="76" t="n">
        <ns0:v>46</ns0:v>
      </ns0:c>
      <ns0:c r="BF21" s="97" t="n"/>
      <ns0:c r="BG21" s="85" t="n"/>
      <ns0:c r="BH21" s="90">
        <ns0:f>IFERROR(IF('BBG Verify'!O21="","Awaiting Bloomberg",'BBG Verify'!O21),"Awaiting Bloomberg")</ns0:f>
        <ns0:v/>
      </ns0:c>
      <ns0:c r="BI21" s="88" t="n"/>
      <ns0:c r="BJ21" s="88" t="n"/>
      <ns0:c r="BK21" s="89" t="n">
        <ns0:v>159.7</ns0:v>
      </ns0:c>
      <ns0:c r="BL21" s="90">
        <ns0:f>IFERROR(IF('BBG Verify'!S21="","Awaiting Bloomberg",'BBG Verify'!S21),"Awaiting Bloomberg")</ns0:f>
        <ns0:v/>
      </ns0:c>
      <ns0:c r="BM21" s="91" t="inlineStr">
        <ns0:is>
          <ns0:t>N</ns0:t>
        </ns0:is>
      </ns0:c>
      <ns0:c r="BN21" s="92">
        <ns0:f>IFERROR(IF('BBG Verify'!K21="","Awaiting Bloomberg",'BBG Verify'!K21),"Awaiting Bloomberg")</ns0:f>
        <ns0:v/>
      </ns0:c>
      <ns0:c r="BO21" s="74" t="inlineStr">
        <ns0:is>
          <ns0:t>N/A</ns0:t>
        </ns0:is>
      </ns0:c>
      <ns0:c r="BP21" s="74" t="inlineStr">
        <ns0:is>
          <ns0:t>N/A</ns0:t>
        </ns0:is>
      </ns0:c>
      <ns0:c r="BQ21" s="74" t="inlineStr">
        <ns0:is>
          <ns0:t>N/A</ns0:t>
        </ns0:is>
      </ns0:c>
      <ns0:c r="BR21" s="74" t="inlineStr">
        <ns0:is>
          <ns0:t>N/A</ns0:t>
        </ns0:is>
      </ns0:c>
      <ns0:c r="BS21" s="74" t="inlineStr">
        <ns0:is>
          <ns0:t>N/A</ns0:t>
        </ns0:is>
      </ns0:c>
      <ns0:c r="BT21" s="74" t="inlineStr">
        <ns0:is>
          <ns0:t>N/A</ns0:t>
        </ns0:is>
      </ns0:c>
      <ns0:c r="BU21" s="91" t="inlineStr">
        <ns0:is>
          <ns0:t>CLSA Capital Markets Limited</ns0:t>
        </ns0:is>
      </ns0:c>
      <ns0:c r="BV21" s="74" t="inlineStr">
        <ns0:is>
          <ns0:t>CLSA Capital Markets Limited</ns0:t>
        </ns0:is>
      </ns0:c>
      <ns0:c r="BW21" s="74" t="inlineStr">
        <ns0:is>
          <ns0:t>CLSA Limited; Citigroup Global Markets Asia Limited; China International Capital Corporation Hong Kong Securities Limited; Citigroup Global Markets Limited; 1 1 2– China International Capital Corporation Hong Kong Securities Limited; Haitong International Securities Company Limited; CMB International Capital Limited; ICBC International Capital Limited; SPDB International Capital Limited</ns0:t>
        </ns0:is>
      </ns0:c>
      <ns0:c r="BX21" s="74" t="inlineStr">
        <ns0:is>
          <ns0: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ns0:t>
        </ns0:is>
      </ns0:c>
      <ns0:c r="BY21" s="93">
        <ns0:f>HYPERLINK("https://www1.hkexnews.hk/listedco/listconews/sehk/2021/0127/2021012700036.htm","prospectus")</ns0:f>
        <ns0:v/>
      </ns0:c>
      <ns0:c r="BZ21" s="93">
        <ns0:f>HYPERLINK("https://www1.hkexnews.hk/listedco/listconews/sehk/2021/0205/2021020500040.htm","allotment")</ns0:f>
        <ns0:v/>
      </ns0:c>
      <ns0:c r="CA21" s="93">
        <ns0:f>HYPERLINK("https://www1.hkexnews.hk/listedco/listconews/sehk/2021/0304/2021030400005.pdf","stabilisation")</ns0:f>
        <ns0:v/>
      </ns0:c>
      <ns0:c r="CB21" s="94" t="n"/>
      <ns0:c r="CC21" s="74" t="inlineStr">
        <ns0:is>
          <ns0:t>P/E: net income not extractable; price range: fixed-price offering (no indicative range); range low: maximum offer price only, no floor published; cornerstone: % from the prospectus; AAStocks table includes non-cornerstone orders; greenshoe size: no over-allotment option; financials: not extractable; pre-IPO year outside the AAStocks window</ns0:t>
        </ns0:is>
      </ns0:c>
    </ns0:row>
    <ns0:row r="22" ht="22" customHeight="1">
      <ns0:c r="A22" s="73" t="inlineStr">
        <ns0:is>
          <ns0:t>1473</ns0:t>
        </ns0:is>
      </ns0:c>
      <ns0:c r="B22" s="74" t="inlineStr">
        <ns0:is>
          <ns0:t>PANGAEA CONNECT</ns0:t>
        </ns0:is>
      </ns0:c>
      <ns0:c r="C22" s="74" t="inlineStr">
        <ns0:is>
          <ns0:t>環聯連訊</ns0:t>
        </ns0:is>
      </ns0:c>
      <ns0:c r="D22" s="74" t="inlineStr">
        <ns0:is>
          <ns0:t>Technology</ns0:t>
        </ns0:is>
      </ns0:c>
      <ns0:c r="E22" s="74" t="inlineStr">
        <ns0:is>
          <ns0:t>Software &amp; AI</ns0:t>
        </ns0:is>
      </ns0:c>
      <ns0:c r="F22" s="74" t="inlineStr">
        <ns0:is>
          <ns0:t>Telecommunications &amp; Networking Equipment</ns0:t>
        </ns0:is>
      </ns0:c>
      <ns0:c r="G22" s="74" t="inlineStr">
        <ns0:is>
          <ns0:t>Standard</ns0:t>
        </ns0:is>
      </ns0:c>
      <ns0:c r="H22" s="75" t="n">
        <ns0:v>44246</ns0:v>
      </ns0:c>
      <ns0:c r="I22" s="76" t="n">
        <ns0:v>140</ns0:v>
      </ns0:c>
      <ns0:c r="J22" s="74" t="inlineStr">
        <ns0:is>
          <ns0:t>gross (price x shares)</ns0:t>
        </ns0:is>
      </ns0:c>
      <ns0:c r="K22" s="77" t="n">
        <ns0:v>0.52</ns0:v>
      </ns0:c>
      <ns0:c r="L22" s="77" t="n">
        <ns0:v>0.58</ns0:v>
      </ns0:c>
      <ns0:c r="M22" s="77" t="n">
        <ns0:v>0.5600000000000001</ns0:v>
      </ns0:c>
      <ns0:c r="N22" s="74" t="inlineStr">
        <ns0:is>
          <ns0:t>N</ns0:t>
        </ns0:is>
      </ns0:c>
      <ns0:c r="O22" s="78" t="n">
        <ns0:v>96.59999999999999</ns0:v>
      </ns0:c>
      <ns0:c r="P22" s="78" t="n">
        <ns0:v>66.7</ns0:v>
      </ns0:c>
      <ns0:c r="Q22" s="79" t="n">
        <ns0:v>502.1</ns0:v>
      </ns0:c>
      <ns0:c r="R22" s="74" t="inlineStr">
        <ns0:is>
          <ns0:t>prospectus:stated market capitalisation, rescaled to the offer price</ns0:t>
        </ns0:is>
      </ns0:c>
      <ns0:c r="S22" s="80" t="n">
        <ns0:v>64.15000000000001</ns0:v>
      </ns0:c>
      <ns0:c r="T22" s="81" t="n">
        <ns0:v>1.01</ns0:v>
      </ns0:c>
      <ns0:c r="U22" s="82" t="n">
        <ns0:v>0</ns0:v>
      </ns0:c>
      <ns0:c r="V22" s="83" t="n">
        <ns0:v>165</ns0:v>
      </ns0:c>
      <ns0:c r="W22" s="84" t="n"/>
      <ns0:c r="X22" s="85" t="n"/>
      <ns0:c r="Y22" s="79" t="n">
        <ns0:v>140</ns0:v>
      </ns0:c>
      <ns0:c r="Z22" s="79" t="n">
        <ns0:v>250000000</ns0:v>
      </ns0:c>
      <ns0:c r="AA22" s="78" t="n">
        <ns0:v>27.88</ns0:v>
      </ns0:c>
      <ns0:c r="AB22" s="74" t="inlineStr">
        <ns0:is>
          <ns0:t>none — no cornerstone tranche</ns0:t>
        </ns0:is>
      </ns0:c>
      <ns0:c r="AC22" s="74" t="inlineStr">
        <ns0:is>
          <ns0:t>none</ns0:t>
        </ns0:is>
      </ns0:c>
      <ns0:c r="AD22" s="78" t="n">
        <ns0:v>15</ns0:v>
      </ns0:c>
      <ns0:c r="AE22" s="85" t="n"/>
      <ns0:c r="AF22" s="85" t="n"/>
      <ns0:c r="AG22" s="74" t="inlineStr">
        <ns0:is>
          <ns0:t>Stabilisin g Manager</ns0:t>
        </ns0:is>
      </ns0:c>
      <ns0:c r="AH22" s="74" t="inlineStr">
        <ns0:is>
          <ns0:t>Stabilisin g</ns0:t>
        </ns0:is>
      </ns0:c>
      <ns0:c r="AI22" s="86" t="n">
        <ns0:v>12.5</ns0:v>
      </ns0:c>
      <ns0:c r="AJ22" s="87" t="n">
        <ns0:v>26.79</ns0:v>
      </ns0:c>
      <ns0:c r="AK22" s="87" t="n">
        <ns0:v>-2.14</ns0:v>
      </ns0:c>
      <ns0:c r="AL22" s="87" t="n">
        <ns0:v>19.64</ns0:v>
      </ns0:c>
      <ns0:c r="AM22" s="87" t="n">
        <ns0:v>5.98</ns0:v>
      </ns0:c>
      <ns0:c r="AN22" s="88" t="n"/>
      <ns0:c r="AO22" s="78" t="n">
        <ns0:v>31.34</ns0:v>
      </ns0:c>
      <ns0:c r="AP22" s="87" t="n">
        <ns0:v>1.79</ns0:v>
      </ns0:c>
      <ns0:c r="AQ22" s="87" t="n">
        <ns0:v>8.93</ns0:v>
      </ns0:c>
      <ns0:c r="AR22" s="87" t="n">
        <ns0:v>16.07</ns0:v>
      </ns0:c>
      <ns0:c r="AS22" s="87" t="n">
        <ns0:v>-19.72</ns0:v>
      </ns0:c>
      <ns0:c r="AT22" s="87" t="n">
        <ns0:v>-14.09</ns0:v>
      </ns0:c>
      <ns0:c r="AU22" s="87" t="n">
        <ns0:v>-8.449999999999999</ns0:v>
      </ns0:c>
      <ns0:c r="AV22" s="87" t="n">
        <ns0:v>18.57</ns0:v>
      </ns0:c>
      <ns0:c r="AW22" s="87" t="n">
        <ns0:v>30.32</ns0:v>
      </ns0:c>
      <ns0:c r="AX22" s="87" t="n">
        <ns0:v>41.65</ns0:v>
      </ns0:c>
      <ns0:c r="AY22" s="87" t="n">
        <ns0:v>5.58</ns0:v>
      </ns0:c>
      <ns0:c r="AZ22" s="87" t="n">
        <ns0:v>-21.39</ns0:v>
      </ns0:c>
      <ns0:c r="BA22" s="87" t="n">
        <ns0:v>-19.67</ns0:v>
      </ns0:c>
      <ns0:c r="BB22" s="74" t="inlineStr">
        <ns0:is>
          <ns0:t>HSTECH (Hang Seng TECH ETF)</ns0:t>
        </ns0:is>
      </ns0:c>
      <ns0:c r="BC22" s="87" t="n">
        <ns0:v>166.07</ns0:v>
      </ns0:c>
      <ns0:c r="BD22" s="75" t="n">
        <ns0:v>46297</ns0:v>
      </ns0:c>
      <ns0:c r="BE22" s="98" t="n"/>
      <ns0:c r="BF22" s="79" t="n">
        <ns0:v>34.9</ns0:v>
      </ns0:c>
      <ns0:c r="BG22" s="74" t="inlineStr">
        <ns0:is>
          <ns0:t>Y</ns0:t>
        </ns0:is>
      </ns0:c>
      <ns0:c r="BH22" s="89" t="n">
        <ns0:v>14.4</ns0:v>
      </ns0:c>
      <ns0:c r="BI22" s="88" t="n"/>
      <ns0:c r="BJ22" s="89" t="n">
        <ns0:v>37.1</ns0:v>
      </ns0:c>
      <ns0:c r="BK22" s="88" t="n"/>
      <ns0:c r="BL22" s="90">
        <ns0:f>IFERROR(IF('BBG Verify'!S22="","Awaiting Bloomberg",'BBG Verify'!S22),"Awaiting Bloomberg")</ns0:f>
        <ns0:v/>
      </ns0:c>
      <ns0:c r="BM22" s="91" t="inlineStr">
        <ns0:is>
          <ns0:t>N</ns0:t>
        </ns0:is>
      </ns0:c>
      <ns0:c r="BN22" s="92">
        <ns0:f>IFERROR(IF('BBG Verify'!K22="","Awaiting Bloomberg",'BBG Verify'!K22),"Awaiting Bloomberg")</ns0:f>
        <ns0:v/>
      </ns0:c>
      <ns0:c r="BO22" s="74" t="inlineStr">
        <ns0:is>
          <ns0:t>N/A</ns0:t>
        </ns0:is>
      </ns0:c>
      <ns0:c r="BP22" s="74" t="inlineStr">
        <ns0:is>
          <ns0:t>N/A</ns0:t>
        </ns0:is>
      </ns0:c>
      <ns0:c r="BQ22" s="74" t="inlineStr">
        <ns0:is>
          <ns0:t>N/A</ns0:t>
        </ns0:is>
      </ns0:c>
      <ns0:c r="BR22" s="74" t="inlineStr">
        <ns0:is>
          <ns0:t>N/A</ns0:t>
        </ns0:is>
      </ns0:c>
      <ns0:c r="BS22" s="74" t="inlineStr">
        <ns0:is>
          <ns0:t>N/A</ns0:t>
        </ns0:is>
      </ns0:c>
      <ns0:c r="BT22" s="74" t="inlineStr">
        <ns0:is>
          <ns0:t>N/A</ns0:t>
        </ns0:is>
      </ns0:c>
      <ns0:c r="BU22" s="91" t="inlineStr">
        <ns0:is>
          <ns0:t>Honestum International Limited</ns0:t>
        </ns0:is>
      </ns0:c>
      <ns0:c r="BV22" s="74" t="inlineStr">
        <ns0:is>
          <ns0:t>Honestum International Limited</ns0:t>
        </ns0:is>
      </ns0:c>
      <ns0:c r="BW22" s="74" t="inlineStr">
        <ns0:is>
          <ns0:t>CMBC Securities Company Limited; Forwin Securities Group Limited; Lego Securities Limited; Crosby Securities Limited; GLAM Capital Limited</ns0:t>
        </ns0:is>
      </ns0:c>
      <ns0:c r="BX22" s="74" t="inlineStr">
        <ns0:is>
          <ns0:t>CMBC Securities Company Limited; Crosby Securities Limited; Enhanced Securities Limited; Forwin Securities Group Limited; GLAM Capital Limited; Lego Securities Limited; Victory Securities Company Limited</ns0:t>
        </ns0:is>
      </ns0:c>
      <ns0:c r="BY22" s="93">
        <ns0:f>HYPERLINK("https://www1.hkexnews.hk/listedco/listconews/sehk/2021/0129/2021012901777.pdf","prospectus")</ns0:f>
        <ns0:v/>
      </ns0:c>
      <ns0:c r="BZ22" s="93">
        <ns0:f>HYPERLINK("https://www1.hkexnews.hk/listedco/listconews/sehk/2021/0218/2021021800016.htm","allotment")</ns0:f>
        <ns0:v/>
      </ns0:c>
      <ns0:c r="CA22" s="93">
        <ns0:f>HYPERLINK("https://www1.hkexnews.hk/listedco/listconews/sehk/2021/0308/2021030801177.pdf","stabilisation")</ns0:f>
        <ns0:v/>
      </ns0:c>
      <ns0:c r="CB22" s="94" t="n"/>
      <ns0:c r="CC22" s="74" t="inlineStr">
        <ns0:is>
          <ns0:t>greenshoe: end-of-stabilisation notice not found; market cap: prospectus cap HK$520m at HK$0.58, rescaled to HK$0.56; cornerstone list: no cornerstone tranche; P/S: revenue not extractable; financials: not extractable; pre-IPO year outside the AAStocks window; stabilisation notice: notice linked; outcome wording not recognised, result left blank; allocation: allocation table not in this notice's format (older prose announcement); day-1 tape: volume on file; the retail multiple needs the final public split, which this notice does not state</ns0:t>
        </ns0:is>
      </ns0:c>
    </ns0:row>
    <ns0:row r="23" ht="22" customHeight="1">
      <ns0:c r="A23" s="73" t="inlineStr">
        <ns0:is>
          <ns0:t>6127</ns0:t>
        </ns0:is>
      </ns0:c>
      <ns0:c r="B23" s="74" t="inlineStr">
        <ns0:is>
          <ns0:t>JOINN</ns0:t>
        </ns0:is>
      </ns0:c>
      <ns0:c r="C23" s="74" t="inlineStr">
        <ns0:is>
          <ns0:t>昭衍新藥</ns0:t>
        </ns0:is>
      </ns0:c>
      <ns0:c r="D23" s="74" t="inlineStr">
        <ns0:is>
          <ns0:t>Healthcare</ns0:t>
        </ns0:is>
      </ns0:c>
      <ns0:c r="E23" s="74" t="inlineStr">
        <ns0:is>
          <ns0:t>CXO / pharma services</ns0:t>
        </ns0:is>
      </ns0:c>
      <ns0:c r="F23" s="74" t="inlineStr">
        <ns0:is>
          <ns0:t>Health Care Services</ns0:t>
        </ns0:is>
      </ns0:c>
      <ns0:c r="G23" s="74" t="inlineStr">
        <ns0:is>
          <ns0:t>Standard</ns0:t>
        </ns0:is>
      </ns0:c>
      <ns0:c r="H23" s="75" t="n">
        <ns0:v>44253</ns0:v>
      </ns0:c>
      <ns0:c r="I23" s="76" t="n">
        <ns0:v>6542</ns0:v>
      </ns0:c>
      <ns0:c r="J23" s="74" t="inlineStr">
        <ns0:is>
          <ns0:t>gross (price x shares)</ns0:t>
        </ns0:is>
      </ns0:c>
      <ns0:c r="K23" s="77" t="n">
        <ns0:v>133</ns0:v>
      </ns0:c>
      <ns0:c r="L23" s="77" t="n">
        <ns0:v>151</ns0:v>
      </ns0:c>
      <ns0:c r="M23" s="77" t="n">
        <ns0:v>151</ns0:v>
      </ns0:c>
      <ns0:c r="N23" s="74" t="inlineStr">
        <ns0:is>
          <ns0:t>Y</ns0:t>
        </ns0:is>
      </ns0:c>
      <ns0:c r="O23" s="78" t="n">
        <ns0:v>100</ns0:v>
      </ns0:c>
      <ns0:c r="P23" s="78" t="n">
        <ns0:v>100</ns0:v>
      </ns0:c>
      <ns0:c r="Q23" s="79" t="n">
        <ns0:v>40893.9</ns0:v>
      </ns0:c>
      <ns0:c r="R23" s="74" t="inlineStr">
        <ns0:is>
          <ns0:t>aastocks:上市市值 at the struck price</ns0:t>
        </ns0:is>
      </ns0:c>
      <ns0:c r="S23" s="80" t="n">
        <ns0:v>310</ns0:v>
      </ns0:c>
      <ns0:c r="T23" s="81" t="n">
        <ns0:v>26</ns0:v>
      </ns0:c>
      <ns0:c r="U23" s="82" t="n">
        <ns0:v>31.8</ns0:v>
      </ns0:c>
      <ns0:c r="V23" s="83" t="n">
        <ns0:v>339</ns0:v>
      </ns0:c>
      <ns0:c r="W23" s="78" t="n">
        <ns0:v>36</ns0:v>
      </ns0:c>
      <ns0:c r="X23" s="74" t="inlineStr">
        <ns0:is>
          <ns0:t>YES</ns0:t>
        </ns0:is>
      </ns0:c>
      <ns0:c r="Y23" s="79" t="n">
        <ns0:v>4461.64</ns0:v>
      </ns0:c>
      <ns0:c r="Z23" s="79" t="n">
        <ns0:v>29547514</ns0:v>
      </ns0:c>
      <ns0:c r="AA23" s="78" t="n">
        <ns0:v>10.91</ns0:v>
      </ns0:c>
      <ns0:c r="AB23" s="74" t="inlineStr">
        <ns0:is>
          <ns0: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ns0:t>
        </ns0:is>
      </ns0:c>
      <ns0:c r="AC23" s="74" t="inlineStr">
        <ns0:is>
          <ns0:t>carmignac;structural;cpe;crf;janchor;lake;octagon;orbimed;scc;valliance</ns0:t>
        </ns0:is>
      </ns0:c>
      <ns0:c r="AD23" s="78" t="n">
        <ns0:v>5.8</ns0:v>
      </ns0:c>
      <ns0:c r="AE23" s="74" t="inlineStr">
        <ns0:is>
          <ns0:t>partial</ns0:t>
        </ns0:is>
      </ns0:c>
      <ns0:c r="AF23" s="74" t="inlineStr">
        <ns0:is>
          <ns0:t>2021-03-21</ns0:t>
        </ns0:is>
      </ns0:c>
      <ns0:c r="AG23" s="85" t="n"/>
      <ns0:c r="AH23" s="85" t="n"/>
      <ns0:c r="AI23" s="86" t="n">
        <ns0:v>-3.97</ns0:v>
      </ns0:c>
      <ns0:c r="AJ23" s="87" t="n">
        <ns0:v>-8.609999999999999</ns0:v>
      </ns0:c>
      <ns0:c r="AK23" s="87" t="n">
        <ns0:v>-2.12</ns0:v>
      </ns0:c>
      <ns0:c r="AL23" s="87" t="n">
        <ns0:v>-1.99</ns0:v>
      </ns0:c>
      <ns0:c r="AM23" s="87" t="n">
        <ns0:v>-6.75</ns0:v>
      </ns0:c>
      <ns0:c r="AN23" s="89" t="n">
        <ns0:v>0.75</ns0:v>
      </ns0:c>
      <ns0:c r="AO23" s="78" t="n">
        <ns0:v>6.76</ns0:v>
      </ns0:c>
      <ns0:c r="AP23" s="87" t="n">
        <ns0:v>-12.58</ns0:v>
      </ns0:c>
      <ns0:c r="AQ23" s="87" t="n">
        <ns0:v>-8.48</ns0:v>
      </ns0:c>
      <ns0:c r="AR23" s="87" t="n">
        <ns0:v>4.17</ns0:v>
      </ns0:c>
      <ns0:c r="AS23" s="87" t="n">
        <ns0:v>-4.34</ns0:v>
      </ns0:c>
      <ns0:c r="AT23" s="87" t="n">
        <ns0:v>0.14</ns0:v>
      </ns0:c>
      <ns0:c r="AU23" s="87" t="n">
        <ns0:v>13.98</ns0:v>
      </ns0:c>
      <ns0:c r="AV23" s="87" t="n">
        <ns0:v>-5.7</ns0:v>
      </ns0:c>
      <ns0:c r="AW23" s="87" t="n">
        <ns0:v>-0.34</ns0:v>
      </ns0:c>
      <ns0:c r="AX23" s="87" t="n">
        <ns0:v>-5.9</ns0:v>
      </ns0:c>
      <ns0:c r="AY23" s="87" t="n">
        <ns0:v>6.29</ns0:v>
      </ns0:c>
      <ns0:c r="AZ23" s="87" t="n">
        <ns0:v>-8.140000000000001</ns0:v>
      </ns0:c>
      <ns0:c r="BA23" s="87" t="n">
        <ns0:v>-6.15</ns0:v>
      </ns0:c>
      <ns0:c r="BB23" s="74" t="inlineStr">
        <ns0:is>
          <ns0:t>China Biotech ETF (HS biotech proxy)</ns0:t>
        </ns0:is>
      </ns0:c>
      <ns0:c r="BC23" s="87" t="n">
        <ns0:v>-44.72</ns0:v>
      </ns0:c>
      <ns0:c r="BD23" s="75" t="n">
        <ns0:v>46297</ns0:v>
      </ns0:c>
      <ns0:c r="BE23" s="98" t="n"/>
      <ns0:c r="BF23" s="97" t="n"/>
      <ns0:c r="BG23" s="85" t="n"/>
      <ns0:c r="BH23" s="89" t="n">
        <ns0:v>87.5</ns0:v>
      </ns0:c>
      <ns0:c r="BI23" s="89" t="n">
        <ns0:v>87.5</ns0:v>
      </ns0:c>
      <ns0:c r="BJ23" s="89" t="n">
        <ns0:v>34.6</ns0:v>
      </ns0:c>
      <ns0:c r="BK23" s="88" t="n"/>
      <ns0:c r="BL23" s="90">
        <ns0:f>IFERROR(IF('BBG Verify'!S23="","Awaiting Bloomberg",'BBG Verify'!S23),"Awaiting Bloomberg")</ns0:f>
        <ns0:v/>
      </ns0:c>
      <ns0:c r="BM23" s="91" t="inlineStr">
        <ns0:is>
          <ns0:t>Y</ns0:t>
        </ns0:is>
      </ns0:c>
      <ns0:c r="BN23" s="74" t="inlineStr">
        <ns0:is>
          <ns0:t>603127.SS</ns0:t>
        </ns0:is>
      </ns0:c>
      <ns0:c r="BO23" s="87" t="n">
        <ns0:v>12.28</ns0:v>
      </ns0:c>
      <ns0:c r="BP23" s="77" t="n">
        <ns0:v>169.5434</ns0:v>
      </ns0:c>
      <ns0:c r="BQ23" s="101" t="n">
        <ns0:v>0.8965</ns0:v>
      </ns0:c>
      <ns0:c r="BR23" s="79" t="n">
        <ns0:v>43245.7</ns0:v>
      </ns0:c>
      <ns0:c r="BS23" s="90">
        <ns0:f>IFERROR(IF('BBG Verify'!Q23="","Awaiting Bloomberg",'BBG Verify'!Q23),"Awaiting Bloomberg")</ns0:f>
        <ns0:v/>
      </ns0:c>
      <ns0:c r="BT23" s="90">
        <ns0:f>IFERROR(IF('BBG Verify'!R23="","Awaiting Bloomberg",'BBG Verify'!R23),"Awaiting Bloomberg")</ns0:f>
        <ns0:v/>
      </ns0:c>
      <ns0:c r="BU23" s="91" t="inlineStr">
        <ns0:is>
          <ns0:t>CLSA Capital Markets Limited</ns0:t>
        </ns0:is>
      </ns0:c>
      <ns0:c r="BV23" s="74" t="inlineStr">
        <ns0:is>
          <ns0:t>CLSA Capital Markets Limited</ns0:t>
        </ns0:is>
      </ns0:c>
      <ns0:c r="BW23" s="74" t="inlineStr">
        <ns0:is>
          <ns0: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ns0:t>
        </ns0:is>
      </ns0:c>
      <ns0:c r="BX23" s="74" t="inlineStr">
        <ns0:is>
          <ns0: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ns0:t>
        </ns0:is>
      </ns0:c>
      <ns0:c r="BY23" s="93">
        <ns0:f>HYPERLINK("https://www1.hkexnews.hk/listedco/listconews/sehk/2021/0216/2021021600009.pdf","prospectus")</ns0:f>
        <ns0:v/>
      </ns0:c>
      <ns0:c r="BZ23" s="93">
        <ns0:f>HYPERLINK("https://www1.hkexnews.hk/listedco/listconews/sehk/2021/0225/2021022500020.htm","allotment")</ns0:f>
        <ns0:v/>
      </ns0:c>
      <ns0:c r="CA23" s="93">
        <ns0:f>HYPERLINK("https://www1.hkexnews.hk/listedco/listconews/sehk/2021/0321/2021032100045.pdf","stabilisation")</ns0:f>
        <ns0:v/>
      </ns0:c>
      <ns0:c r="CB23" s="94" t="n"/>
      <ns0:c r="CC23" s="74" t="inlineStr">
        <ns0:is>
          <ns0:t>P/E: Bloomberg trailing-12m basis (prospectus-year multiple not derivable); A/H: H listed Feb 2021; CRO safety-evaluation leader; P/S: revenue not extractable; stabilising manager: not named in the allotment notice or prospectus glossary; financials: not extractable; pre-IPO year outside the AAStocks window</ns0:t>
        </ns0:is>
      </ns0:c>
    </ns0:row>
    <ns0:row r="24" ht="22" customHeight="1">
      <ns0:c r="A24" s="73" t="inlineStr">
        <ns0:is>
          <ns0:t>6601</ns0:t>
        </ns0:is>
      </ns0:c>
      <ns0:c r="B24" s="74" t="inlineStr">
        <ns0:is>
          <ns0:t>CHEERWIN GP</ns0:t>
        </ns0:is>
      </ns0:c>
      <ns0:c r="C24" s="74" t="inlineStr">
        <ns0:is>
          <ns0:t>朝雲集團</ns0:t>
        </ns0:is>
      </ns0:c>
      <ns0:c r="D24" s="74" t="inlineStr">
        <ns0:is>
          <ns0:t>Consumer</ns0:t>
        </ns0:is>
      </ns0:c>
      <ns0:c r="E24" s="74" t="inlineStr">
        <ns0:is>
          <ns0:t>Beauty / personal care</ns0:t>
        </ns0:is>
      </ns0:c>
      <ns0:c r="F24" s="74" t="inlineStr">
        <ns0:is>
          <ns0:t>Household Products</ns0:t>
        </ns0:is>
      </ns0:c>
      <ns0:c r="G24" s="74" t="inlineStr">
        <ns0:is>
          <ns0:t>Standard</ns0:t>
        </ns0:is>
      </ns0:c>
      <ns0:c r="H24" s="75" t="n">
        <ns0:v>44265</ns0:v>
      </ns0:c>
      <ns0:c r="I24" s="76" t="n">
        <ns0:v>3066.7</ns0:v>
      </ns0:c>
      <ns0:c r="J24" s="74" t="inlineStr">
        <ns0:is>
          <ns0:t>gross (price x shares)</ns0:t>
        </ns0:is>
      </ns0:c>
      <ns0:c r="K24" s="77" t="n">
        <ns0:v>7.8</ns0:v>
      </ns0:c>
      <ns0:c r="L24" s="77" t="n">
        <ns0:v>9.199999999999999</ns0:v>
      </ns0:c>
      <ns0:c r="M24" s="77" t="n">
        <ns0:v>9.199999999999999</ns0:v>
      </ns0:c>
      <ns0:c r="N24" s="74" t="inlineStr">
        <ns0:is>
          <ns0:t>Y</ns0:t>
        </ns0:is>
      </ns0:c>
      <ns0:c r="O24" s="78" t="n">
        <ns0:v>100</ns0:v>
      </ns0:c>
      <ns0:c r="P24" s="78" t="n">
        <ns0:v>100</ns0:v>
      </ns0:c>
      <ns0:c r="Q24" s="79" t="n">
        <ns0:v>12266.7</ns0:v>
      </ns0:c>
      <ns0:c r="R24" s="74" t="inlineStr">
        <ns0:is>
          <ns0:t>aastocks:上市市值 at the struck price</ns0:t>
        </ns0:is>
      </ns0:c>
      <ns0:c r="S24" s="80" t="n">
        <ns0:v>172.32</ns0:v>
      </ns0:c>
      <ns0:c r="T24" s="81" t="n">
        <ns0:v>13.8</ns0:v>
      </ns0:c>
      <ns0:c r="U24" s="82" t="n">
        <ns0:v>0</ns0:v>
      </ns0:c>
      <ns0:c r="V24" s="83" t="n">
        <ns0:v>270</ns0:v>
      </ns0:c>
      <ns0:c r="W24" s="78" t="n">
        <ns0:v>50</ns0:v>
      </ns0:c>
      <ns0:c r="X24" s="74" t="inlineStr">
        <ns0:is>
          <ns0:t>YES</ns0:t>
        </ns0:is>
      </ns0:c>
      <ns0:c r="Y24" s="79" t="n">
        <ns0:v>3066.7</ns0:v>
      </ns0:c>
      <ns0:c r="Z24" s="79" t="n">
        <ns0:v>333333500</ns0:v>
      </ns0:c>
      <ns0:c r="AA24" s="78" t="n">
        <ns0:v>25</ns0:v>
      </ns0:c>
      <ns0:c r="AB24" s="74" t="inlineStr">
        <ns0:is>
          <ns0:t>none — no cornerstone tranche</ns0:t>
        </ns0:is>
      </ns0:c>
      <ns0:c r="AC24" s="74" t="inlineStr">
        <ns0:is>
          <ns0:t>none</ns0:t>
        </ns0:is>
      </ns0:c>
      <ns0:c r="AD24" s="78" t="n">
        <ns0:v>6</ns0:v>
      </ns0:c>
      <ns0:c r="AE24" s="74" t="inlineStr">
        <ns0:is>
          <ns0:t>lapsed</ns0:t>
        </ns0:is>
      </ns0:c>
      <ns0:c r="AF24" s="74" t="inlineStr">
        <ns0:is>
          <ns0:t>2021-04-02</ns0:t>
        </ns0:is>
      </ns0:c>
      <ns0:c r="AG24" s="74" t="inlineStr">
        <ns0:is>
          <ns0:t>Morgan Stanley Asia Limited DEFINITIONS –2 8</ns0:t>
        </ns0:is>
      </ns0:c>
      <ns0:c r="AH24" s="74" t="inlineStr">
        <ns0:is>
          <ns0:t>Morgan Stanley</ns0:t>
        </ns0:is>
      </ns0:c>
      <ns0:c r="AI24" s="86" t="n">
        <ns0:v>-20</ns0:v>
      </ns0:c>
      <ns0:c r="AJ24" s="87" t="n">
        <ns0:v>-13.15</ns0:v>
      </ns0:c>
      <ns0:c r="AK24" s="87" t="n">
        <ns0:v>1.68</ns0:v>
      </ns0:c>
      <ns0:c r="AL24" s="87" t="n">
        <ns0:v>-14.24</ns0:v>
      </ns0:c>
      <ns0:c r="AM24" s="87" t="n">
        <ns0:v>1.27</ns0:v>
      </ns0:c>
      <ns0:c r="AN24" s="89" t="n">
        <ns0:v>1.3</ns0:v>
      </ns0:c>
      <ns0:c r="AO24" s="78" t="n">
        <ns0:v>17.62</ns0:v>
      </ns0:c>
      <ns0:c r="AP24" s="87" t="n">
        <ns0:v>-9.24</ns0:v>
      </ns0:c>
      <ns0:c r="AQ24" s="87" t="n">
        <ns0:v>-9.779999999999999</ns0:v>
      </ns0:c>
      <ns0:c r="AR24" s="87" t="n">
        <ns0:v>-9.779999999999999</ns0:v>
      </ns0:c>
      <ns0:c r="AS24" s="87" t="n">
        <ns0:v>4.5</ns0:v>
      </ns0:c>
      <ns0:c r="AT24" s="87" t="n">
        <ns0:v>3.88</ns0:v>
      </ns0:c>
      <ns0:c r="AU24" s="87" t="n">
        <ns0:v>3.88</ns0:v>
      </ns0:c>
      <ns0:c r="AV24" s="87" t="n">
        <ns0:v>-12.74</ns0:v>
      </ns0:c>
      <ns0:c r="AW24" s="87" t="n">
        <ns0:v>-9.15</ns0:v>
      </ns0:c>
      <ns0:c r="AX24" s="87" t="n">
        <ns0:v>-13.12</ns0:v>
      </ns0:c>
      <ns0:c r="AY24" s="87" t="n">
        <ns0:v>6.15</ns0:v>
      </ns0:c>
      <ns0:c r="AZ24" s="87" t="n">
        <ns0:v>-0.63</ns0:v>
      </ns0:c>
      <ns0:c r="BA24" s="87" t="n">
        <ns0:v>-2.27</ns0:v>
      </ns0:c>
      <ns0:c r="BB24" s="74" t="inlineStr">
        <ns0:is>
          <ns0:t>Hang Seng Commerce &amp; Industry sub-index</ns0:t>
        </ns0:is>
      </ns0:c>
      <ns0:c r="BC24" s="87" t="n">
        <ns0:v>-76.41</ns0:v>
      </ns0:c>
      <ns0:c r="BD24" s="75" t="n">
        <ns0:v>46297</ns0:v>
      </ns0:c>
      <ns0:c r="BE24" s="76" t="n">
        <ns0:v>1521.7</ns0:v>
      </ns0:c>
      <ns0:c r="BF24" s="79" t="n">
        <ns0:v>202.8</ns0:v>
      </ns0:c>
      <ns0:c r="BG24" s="74" t="inlineStr">
        <ns0:is>
          <ns0:t>Y</ns0:t>
        </ns0:is>
      </ns0:c>
      <ns0:c r="BH24" s="89" t="n">
        <ns0:v>60.5</ns0:v>
      </ns0:c>
      <ns0:c r="BI24" s="88" t="n"/>
      <ns0:c r="BJ24" s="89" t="n">
        <ns0:v>11.5</ns0:v>
      </ns0:c>
      <ns0:c r="BK24" s="89" t="n">
        <ns0:v>8.1</ns0:v>
      </ns0:c>
      <ns0:c r="BL24" s="90">
        <ns0:f>IFERROR(IF('BBG Verify'!S24="","Awaiting Bloomberg",'BBG Verify'!S24),"Awaiting Bloomberg")</ns0:f>
        <ns0:v/>
      </ns0:c>
      <ns0:c r="BM24" s="91" t="inlineStr">
        <ns0:is>
          <ns0:t>N</ns0:t>
        </ns0:is>
      </ns0:c>
      <ns0:c r="BN24" s="92">
        <ns0:f>IFERROR(IF('BBG Verify'!K24="","Awaiting Bloomberg",'BBG Verify'!K24),"Awaiting Bloomberg")</ns0:f>
        <ns0:v/>
      </ns0:c>
      <ns0:c r="BO24" s="74" t="inlineStr">
        <ns0:is>
          <ns0:t>N/A</ns0:t>
        </ns0:is>
      </ns0:c>
      <ns0:c r="BP24" s="74" t="inlineStr">
        <ns0:is>
          <ns0:t>N/A</ns0:t>
        </ns0:is>
      </ns0:c>
      <ns0:c r="BQ24" s="74" t="inlineStr">
        <ns0:is>
          <ns0:t>N/A</ns0:t>
        </ns0:is>
      </ns0:c>
      <ns0:c r="BR24" s="74" t="inlineStr">
        <ns0:is>
          <ns0:t>N/A</ns0:t>
        </ns0:is>
      </ns0:c>
      <ns0:c r="BS24" s="74" t="inlineStr">
        <ns0:is>
          <ns0:t>N/A</ns0:t>
        </ns0:is>
      </ns0:c>
      <ns0:c r="BT24" s="74" t="inlineStr">
        <ns0:is>
          <ns0:t>N/A</ns0:t>
        </ns0:is>
      </ns0:c>
      <ns0:c r="BU24" s="91" t="inlineStr">
        <ns0:is>
          <ns0:t>Morgan Stanley Asia Limited; China International Capital Corporation Hong Kong Securities Limited</ns0:t>
        </ns0:is>
      </ns0:c>
      <ns0:c r="BV24" s="74" t="inlineStr">
        <ns0:is>
          <ns0:t>Morgan Stanley Asia Limited; China International Capital Corporation (HK) Ltd</ns0:t>
        </ns0:is>
      </ns0:c>
      <ns0:c r="BW24" s="74" t="inlineStr">
        <ns0:is>
          <ns0:t>Morgan Stanley Asia Limited; China International Capital Corporation Hong Kong Securities Limited</ns0:t>
        </ns0:is>
      </ns0:c>
      <ns0:c r="BX24" s="74" t="inlineStr">
        <ns0:is>
          <ns0:t>China International Capital Corporation Hong Kong Securities Limited; Futu Securities International (Hong Kong) Limited; Morgan Stanley Asia Limited</ns0:t>
        </ns0:is>
      </ns0:c>
      <ns0:c r="BY24" s="93">
        <ns0:f>HYPERLINK("https://www1.hkexnews.hk/listedco/listconews/sehk/2021/0226/2021022600033.pdf","prospectus")</ns0:f>
        <ns0:v/>
      </ns0:c>
      <ns0:c r="BZ24" s="93">
        <ns0:f>HYPERLINK("https://www1.hkexnews.hk/listedco/listconews/sehk/2021/0309/2021030900022.htm","allotment")</ns0:f>
        <ns0:v/>
      </ns0:c>
      <ns0:c r="CA24" s="93">
        <ns0:f>HYPERLINK("https://www1.hkexnews.hk/listedco/listconews/sehk/2021/0407/2021040700023.pdf","stabilisation")</ns0:f>
        <ns0:v/>
      </ns0:c>
      <ns0:c r="CB24" s="94" t="n"/>
      <ns0:c r="CC24" s="74" t="inlineStr">
        <ns0:is>
          <ns0:t>market cap: published listing cap used; the estimate from deal size / offer % of enlarged capital disagreed; cornerstone list: no cornerstone tranche</ns0:t>
        </ns0:is>
      </ns0:c>
    </ns0:row>
    <ns0:row r="25" ht="22" customHeight="1">
      <ns0:c r="A25" s="73" t="inlineStr">
        <ns0:is>
          <ns0:t>1413</ns0:t>
        </ns0:is>
      </ns0:c>
      <ns0:c r="B25" s="74" t="inlineStr">
        <ns0:is>
          <ns0:t>KWONG LUEN ENG</ns0:t>
        </ns0:is>
      </ns0:c>
      <ns0:c r="C25" s="74" t="inlineStr">
        <ns0:is>
          <ns0:t>鑄帝控股</ns0:t>
        </ns0:is>
      </ns0:c>
      <ns0:c r="D25" s="74" t="inlineStr">
        <ns0:is>
          <ns0:t>Industrials</ns0:t>
        </ns0:is>
      </ns0:c>
      <ns0:c r="E25" s="74" t="inlineStr">
        <ns0:is>
          <ns0:t>Construction / engineering</ns0:t>
        </ns0:is>
      </ns0:c>
      <ns0:c r="F25" s="74" t="inlineStr">
        <ns0:is>
          <ns0:t>Construction &amp; Engineering</ns0:t>
        </ns0:is>
      </ns0:c>
      <ns0:c r="G25" s="74" t="inlineStr">
        <ns0:is>
          <ns0:t>Standard</ns0:t>
        </ns0:is>
      </ns0:c>
      <ns0:c r="H25" s="75" t="n">
        <ns0:v>44266</ns0:v>
      </ns0:c>
      <ns0:c r="I25" s="76" t="n">
        <ns0:v>135</ns0:v>
      </ns0:c>
      <ns0:c r="J25" s="74" t="inlineStr">
        <ns0:is>
          <ns0:t>gross (price x shares)</ns0:t>
        </ns0:is>
      </ns0:c>
      <ns0:c r="K25" s="77" t="n">
        <ns0:v>0.5</ns0:v>
      </ns0:c>
      <ns0:c r="L25" s="77" t="n">
        <ns0:v>0.54</ns0:v>
      </ns0:c>
      <ns0:c r="M25" s="77" t="n">
        <ns0:v>0.54</ns0:v>
      </ns0:c>
      <ns0:c r="N25" s="74" t="inlineStr">
        <ns0:is>
          <ns0:t>Y</ns0:t>
        </ns0:is>
      </ns0:c>
      <ns0:c r="O25" s="78" t="n">
        <ns0:v>100</ns0:v>
      </ns0:c>
      <ns0:c r="P25" s="78" t="n">
        <ns0:v>100</ns0:v>
      </ns0:c>
      <ns0:c r="Q25" s="79" t="n">
        <ns0:v>540</ns0:v>
      </ns0:c>
      <ns0:c r="R25" s="74" t="inlineStr">
        <ns0:is>
          <ns0:t>aastocks:上市市值 at the struck price</ns0:t>
        </ns0:is>
      </ns0:c>
      <ns0:c r="S25" s="80" t="n">
        <ns0:v>54.29</ns0:v>
      </ns0:c>
      <ns0:c r="T25" s="81" t="n">
        <ns0:v>1.05</ns0:v>
      </ns0:c>
      <ns0:c r="U25" s="82" t="n">
        <ns0:v>0</ns0:v>
      </ns0:c>
      <ns0:c r="V25" s="83" t="n">
        <ns0:v>147</ns0:v>
      </ns0:c>
      <ns0:c r="W25" s="78" t="n">
        <ns0:v>40</ns0:v>
      </ns0:c>
      <ns0:c r="X25" s="74" t="inlineStr">
        <ns0:is>
          <ns0:t>YES</ns0:t>
        </ns0:is>
      </ns0:c>
      <ns0:c r="Y25" s="79" t="n">
        <ns0:v>135</ns0:v>
      </ns0:c>
      <ns0:c r="Z25" s="79" t="n">
        <ns0:v>250000000</ns0:v>
      </ns0:c>
      <ns0:c r="AA25" s="78" t="n">
        <ns0:v>25</ns0:v>
      </ns0:c>
      <ns0:c r="AB25" s="74" t="inlineStr">
        <ns0:is>
          <ns0:t>none — no cornerstone tranche</ns0:t>
        </ns0:is>
      </ns0:c>
      <ns0:c r="AC25" s="74" t="inlineStr">
        <ns0:is>
          <ns0:t>none</ns0:t>
        </ns0:is>
      </ns0:c>
      <ns0:c r="AD25" s="78" t="n">
        <ns0:v>15</ns0:v>
      </ns0:c>
      <ns0:c r="AE25" s="85" t="n"/>
      <ns0:c r="AF25" s="85" t="n"/>
      <ns0:c r="AG25" s="74" t="inlineStr">
        <ns0:is>
          <ns0:t>Space Securities Limited</ns0:t>
        </ns0:is>
      </ns0:c>
      <ns0:c r="AH25" s="74" t="inlineStr">
        <ns0:is>
          <ns0:t>Space</ns0:t>
        </ns0:is>
      </ns0:c>
      <ns0:c r="AI25" s="86" t="n">
        <ns0:v>3.7</ns0:v>
      </ns0:c>
      <ns0:c r="AJ25" s="87" t="n">
        <ns0:v>-22.22</ns0:v>
      </ns0:c>
      <ns0:c r="AK25" s="87" t="n">
        <ns0:v>3.06</ns0:v>
      </ns0:c>
      <ns0:c r="AL25" s="87" t="n">
        <ns0:v>-5.56</ns0:v>
      </ns0:c>
      <ns0:c r="AM25" s="87" t="n">
        <ns0:v>-17.64</ns0:v>
      </ns0:c>
      <ns0:c r="AN25" s="89" t="n">
        <ns0:v>3.43</ns0:v>
      </ns0:c>
      <ns0:c r="AO25" s="78" t="n">
        <ns0:v>22.55</ns0:v>
      </ns0:c>
      <ns0:c r="AP25" s="87" t="n">
        <ns0:v>-29.63</ns0:v>
      </ns0:c>
      <ns0:c r="AQ25" s="87" t="n">
        <ns0:v>-37.96</ns0:v>
      </ns0:c>
      <ns0:c r="AR25" s="87" t="n">
        <ns0:v>-40.74</ns0:v>
      </ns0:c>
      <ns0:c r="AS25" s="87" t="n">
        <ns0:v>-9.529999999999999</ns0:v>
      </ns0:c>
      <ns0:c r="AT25" s="87" t="n">
        <ns0:v>-20.24</ns0:v>
      </ns0:c>
      <ns0:c r="AU25" s="87" t="n">
        <ns0:v>-23.81</ns0:v>
      </ns0:c>
      <ns0:c r="AV25" s="87" t="n">
        <ns0:v>-33.31</ns0:v>
      </ns0:c>
      <ns0:c r="AW25" s="87" t="n">
        <ns0:v>-38</ns0:v>
      </ns0:c>
      <ns0:c r="AX25" s="87" t="n">
        <ns0:v>-42.08</ns0:v>
      </ns0:c>
      <ns0:c r="AY25" s="87" t="n">
        <ns0:v>-17.31</ns0:v>
      </ns0:c>
      <ns0:c r="AZ25" s="87" t="n">
        <ns0:v>0.04</ns0:v>
      </ns0:c>
      <ns0:c r="BA25" s="87" t="n">
        <ns0:v>-2.93</ns0:v>
      </ns0:c>
      <ns0:c r="BB25" s="74" t="inlineStr">
        <ns0:is>
          <ns0:t>Hang Seng Commerce &amp; Industry sub-index</ns0:t>
        </ns0:is>
      </ns0:c>
      <ns0:c r="BC25" s="87" t="n">
        <ns0:v>-91.84999999999999</ns0:v>
      </ns0:c>
      <ns0:c r="BD25" s="75" t="n">
        <ns0:v>46297</ns0:v>
      </ns0:c>
      <ns0:c r="BE25" s="76" t="n">
        <ns0:v>404.8</ns0:v>
      </ns0:c>
      <ns0:c r="BF25" s="79" t="n">
        <ns0:v>38.4</ns0:v>
      </ns0:c>
      <ns0:c r="BG25" s="74" t="inlineStr">
        <ns0:is>
          <ns0:t>Y</ns0:t>
        </ns0:is>
      </ns0:c>
      <ns0:c r="BH25" s="89" t="n">
        <ns0:v>14.1</ns0:v>
      </ns0:c>
      <ns0:c r="BI25" s="88" t="n"/>
      <ns0:c r="BJ25" s="88" t="n"/>
      <ns0:c r="BK25" s="89" t="n">
        <ns0:v>1.3</ns0:v>
      </ns0:c>
      <ns0:c r="BL25" s="90">
        <ns0:f>IFERROR(IF('BBG Verify'!S25="","Awaiting Bloomberg",'BBG Verify'!S25),"Awaiting Bloomberg")</ns0:f>
        <ns0:v/>
      </ns0:c>
      <ns0:c r="BM25" s="91" t="inlineStr">
        <ns0:is>
          <ns0:t>N</ns0:t>
        </ns0:is>
      </ns0:c>
      <ns0:c r="BN25" s="92">
        <ns0:f>IFERROR(IF('BBG Verify'!K25="","Awaiting Bloomberg",'BBG Verify'!K25),"Awaiting Bloomberg")</ns0:f>
        <ns0:v/>
      </ns0:c>
      <ns0:c r="BO25" s="74" t="inlineStr">
        <ns0:is>
          <ns0:t>N/A</ns0:t>
        </ns0:is>
      </ns0:c>
      <ns0:c r="BP25" s="74" t="inlineStr">
        <ns0:is>
          <ns0:t>N/A</ns0:t>
        </ns0:is>
      </ns0:c>
      <ns0:c r="BQ25" s="74" t="inlineStr">
        <ns0:is>
          <ns0:t>N/A</ns0:t>
        </ns0:is>
      </ns0:c>
      <ns0:c r="BR25" s="74" t="inlineStr">
        <ns0:is>
          <ns0:t>N/A</ns0:t>
        </ns0:is>
      </ns0:c>
      <ns0:c r="BS25" s="74" t="inlineStr">
        <ns0:is>
          <ns0:t>N/A</ns0:t>
        </ns0:is>
      </ns0:c>
      <ns0:c r="BT25" s="74" t="inlineStr">
        <ns0:is>
          <ns0:t>N/A</ns0:t>
        </ns0:is>
      </ns0:c>
      <ns0:c r="BU25" s="91" t="inlineStr">
        <ns0:is>
          <ns0:t>Grande Capital Limited</ns0:t>
        </ns0:is>
      </ns0:c>
      <ns0:c r="BV25" s="74" t="inlineStr">
        <ns0:is>
          <ns0:t>Grande Capital Limited</ns0:t>
        </ns0:is>
      </ns0:c>
      <ns0:c r="BW25" s="74" t="inlineStr">
        <ns0:is>
          <ns0:t>Space Securities Limited; CMBC Securities Company Limited; Innovax Securities Limited; SPDB International Capital Limited</ns0:t>
        </ns0:is>
      </ns0:c>
      <ns0:c r="BX25" s="74" t="inlineStr">
        <ns0:is>
          <ns0: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ns0:t>
        </ns0:is>
      </ns0:c>
      <ns0:c r="BY25" s="93">
        <ns0:f>HYPERLINK("https://www1.hkexnews.hk/listedco/listconews/sehk/2021/0226/2021022600013.pdf","prospectus")</ns0:f>
        <ns0:v/>
      </ns0:c>
      <ns0:c r="BZ25" s="93">
        <ns0:f>HYPERLINK("https://www1.hkexnews.hk/listedco/listconews/sehk/2021/0310/2021031000014.htm","allotment")</ns0:f>
        <ns0:v/>
      </ns0:c>
      <ns0:c r="CA25" s="85" t="n"/>
      <ns0:c r="CB25" s="94" t="n"/>
      <ns0:c r="CC25" s="74" t="inlineStr">
        <ns0:is>
          <ns0:t>greenshoe: end-of-stabilisation notice not found; sponsor: English name not in the filing; AAStocks 保薦人 shown; cornerstone list: no cornerstone tranche</ns0:t>
        </ns0:is>
      </ns0:c>
    </ns0:row>
    <ns0:row r="26" ht="22" customHeight="1">
      <ns0:c r="A26" s="73" t="inlineStr">
        <ns0:is>
          <ns0:t>2518</ns0:t>
        </ns0:is>
      </ns0:c>
      <ns0:c r="B26" s="74" t="inlineStr">
        <ns0:is>
          <ns0:t>AUTOHOME-S</ns0:t>
        </ns0:is>
      </ns0:c>
      <ns0:c r="C26" s="74" t="inlineStr">
        <ns0:is>
          <ns0:t>汽車之家－Ｓ</ns0:t>
        </ns0:is>
      </ns0:c>
      <ns0:c r="D26" s="74" t="inlineStr">
        <ns0:is>
          <ns0:t>Technology</ns0:t>
        </ns0:is>
      </ns0:c>
      <ns0:c r="E26" s="74" t="inlineStr">
        <ns0:is>
          <ns0:t>Internet &amp; fintech</ns0:t>
        </ns0:is>
      </ns0:c>
      <ns0:c r="F26" s="74" t="inlineStr">
        <ns0:is>
          <ns0:t>e-Commerce &amp; Internet Services</ns0:t>
        </ns0:is>
      </ns0:c>
      <ns0:c r="G26" s="74" t="inlineStr">
        <ns0:is>
          <ns0:t>Secondary</ns0:t>
        </ns0:is>
      </ns0:c>
      <ns0:c r="H26" s="75" t="n">
        <ns0:v>44270</ns0:v>
      </ns0:c>
      <ns0:c r="I26" s="76" t="n">
        <ns0:v>5340.3</ns0:v>
      </ns0:c>
      <ns0:c r="J26" s="74" t="inlineStr">
        <ns0:is>
          <ns0:t>gross (price x shares)</ns0:t>
        </ns0:is>
      </ns0:c>
      <ns0:c r="K26" s="95" t="n"/>
      <ns0:c r="L26" s="77" t="n">
        <ns0:v>251.8</ns0:v>
      </ns0:c>
      <ns0:c r="M26" s="77" t="n">
        <ns0:v>176.3</ns0:v>
      </ns0:c>
      <ns0:c r="N26" s="74" t="inlineStr">
        <ns0:is>
          <ns0:t>N</ns0:t>
        </ns0:is>
      </ns0:c>
      <ns0:c r="O26" s="78" t="n">
        <ns0:v>70</ns0:v>
      </ns0:c>
      <ns0:c r="P26" s="84" t="n"/>
      <ns0:c r="Q26" s="79" t="n">
        <ns0:v>88980</ns0:v>
      </ns0:c>
      <ns0:c r="R26" s="74" t="inlineStr">
        <ns0:is>
          <ns0:t>press:lanjinger.com/d/154659: 开盘181港元 市值913.77亿 | FINANCIALS (RMB x1.1): Autohome FY2020 PR: net revenues RMB8,658.6m, NI attributable RMB3,405.2m</ns0:t>
        </ns0:is>
      </ns0:c>
      <ns0:c r="S26" s="80" t="n">
        <ns0:v>10.71</ns0:v>
      </ns0:c>
      <ns0:c r="T26" s="81" t="n">
        <ns0:v>4</ns0:v>
      </ns0:c>
      <ns0:c r="U26" s="82" t="n">
        <ns0:v>0</ns0:v>
      </ns0:c>
      <ns0:c r="V26" s="83" t="n">
        <ns0:v>110</ns0:v>
      </ns0:c>
      <ns0:c r="W26" s="84" t="n"/>
      <ns0:c r="X26" s="85" t="n"/>
      <ns0:c r="Y26" s="79" t="n">
        <ns0:v>5340.3</ns0:v>
      </ns0:c>
      <ns0:c r="Z26" s="79" t="n">
        <ns0:v>30291200</ns0:v>
      </ns0:c>
      <ns0:c r="AA26" s="78" t="n">
        <ns0:v>6</ns0:v>
      </ns0:c>
      <ns0:c r="AB26" s="74" t="inlineStr">
        <ns0:is>
          <ns0:t>none — no cornerstone tranche</ns0:t>
        </ns0:is>
      </ns0:c>
      <ns0:c r="AC26" s="74" t="inlineStr">
        <ns0:is>
          <ns0:t>none</ns0:t>
        </ns0:is>
      </ns0:c>
      <ns0:c r="AD26" s="78" t="n">
        <ns0:v>6</ns0:v>
      </ns0:c>
      <ns0:c r="AE26" s="74" t="inlineStr">
        <ns0:is>
          <ns0:t>full</ns0:t>
        </ns0:is>
      </ns0:c>
      <ns0:c r="AF26" s="74" t="inlineStr">
        <ns0:is>
          <ns0:t>2021-04-08</ns0:t>
        </ns0:is>
      </ns0:c>
      <ns0:c r="AG26" s="85" t="n"/>
      <ns0:c r="AH26" s="85" t="n"/>
      <ns0:c r="AI26" s="86" t="n">
        <ns0:v>6.92</ns0:v>
      </ns0:c>
      <ns0:c r="AJ26" s="87" t="n">
        <ns0:v>2.1</ns0:v>
      </ns0:c>
      <ns0:c r="AK26" s="87" t="n">
        <ns0:v>-2.55</ns0:v>
      </ns0:c>
      <ns0:c r="AL26" s="87" t="n">
        <ns0:v>2.67</ns0:v>
      </ns0:c>
      <ns0:c r="AM26" s="87" t="n">
        <ns0:v>-0.5600000000000001</ns0:v>
      </ns0:c>
      <ns0:c r="AN26" s="88" t="n"/>
      <ns0:c r="AO26" s="78" t="n">
        <ns0:v>3.54</ns0:v>
      </ns0:c>
      <ns0:c r="AP26" s="87" t="n">
        <ns0:v>10.72</ns0:v>
      </ns0:c>
      <ns0:c r="AQ26" s="87" t="n">
        <ns0:v>3.52</ns0:v>
      </ns0:c>
      <ns0:c r="AR26" s="87" t="n">
        <ns0:v>-28.64</ns0:v>
      </ns0:c>
      <ns0:c r="AS26" s="87" t="n">
        <ns0:v>8.44</ns0:v>
      </ns0:c>
      <ns0:c r="AT26" s="87" t="n">
        <ns0:v>1.39</ns0:v>
      </ns0:c>
      <ns0:c r="AU26" s="87" t="n">
        <ns0:v>-30.11</ns0:v>
      </ns0:c>
      <ns0:c r="AV26" s="87" t="n">
        <ns0:v>10.48</ns0:v>
      </ns0:c>
      <ns0:c r="AW26" s="87" t="n">
        <ns0:v>6.55</ns0:v>
      </ns0:c>
      <ns0:c r="AX26" s="87" t="n">
        <ns0:v>-21.39</ns0:v>
      </ns0:c>
      <ns0:c r="AY26" s="87" t="n">
        <ns0:v>1.88</ns0:v>
      </ns0:c>
      <ns0:c r="AZ26" s="87" t="n">
        <ns0:v>-3.03</ns0:v>
      </ns0:c>
      <ns0:c r="BA26" s="87" t="n">
        <ns0:v>-0.49</ns0:v>
      </ns0:c>
      <ns0:c r="BB26" s="74" t="inlineStr">
        <ns0:is>
          <ns0:t>HSTECH (Hang Seng TECH ETF)</ns0:t>
        </ns0:is>
      </ns0:c>
      <ns0:c r="BC26" s="87" t="n">
        <ns0:v>-76.52</ns0:v>
      </ns0:c>
      <ns0:c r="BD26" s="75" t="n">
        <ns0:v>46297</ns0:v>
      </ns0:c>
      <ns0:c r="BE26" s="76" t="n">
        <ns0:v>9524.5</ns0:v>
      </ns0:c>
      <ns0:c r="BF26" s="79" t="n">
        <ns0:v>3745.7</ns0:v>
      </ns0:c>
      <ns0:c r="BG26" s="74" t="inlineStr">
        <ns0:is>
          <ns0:t>Y</ns0:t>
        </ns0:is>
      </ns0:c>
      <ns0:c r="BH26" s="89" t="n">
        <ns0:v>23.8</ns0:v>
      </ns0:c>
      <ns0:c r="BI26" s="88" t="n"/>
      <ns0:c r="BJ26" s="88" t="n"/>
      <ns0:c r="BK26" s="89" t="n">
        <ns0:v>9.300000000000001</ns0:v>
      </ns0:c>
      <ns0:c r="BL26" s="90">
        <ns0:f>IFERROR(IF('BBG Verify'!S26="","Awaiting Bloomberg",'BBG Verify'!S26),"Awaiting Bloomberg")</ns0:f>
        <ns0:v/>
      </ns0:c>
      <ns0:c r="BM26" s="91" t="inlineStr">
        <ns0:is>
          <ns0:t>N</ns0:t>
        </ns0:is>
      </ns0:c>
      <ns0:c r="BN26" s="92">
        <ns0:f>IFERROR(IF('BBG Verify'!K26="","Awaiting Bloomberg",'BBG Verify'!K26),"Awaiting Bloomberg")</ns0:f>
        <ns0:v/>
      </ns0:c>
      <ns0:c r="BO26" s="74" t="inlineStr">
        <ns0:is>
          <ns0:t>N/A</ns0:t>
        </ns0:is>
      </ns0:c>
      <ns0:c r="BP26" s="74" t="inlineStr">
        <ns0:is>
          <ns0:t>N/A</ns0:t>
        </ns0:is>
      </ns0:c>
      <ns0:c r="BQ26" s="74" t="inlineStr">
        <ns0:is>
          <ns0:t>N/A</ns0:t>
        </ns0:is>
      </ns0:c>
      <ns0:c r="BR26" s="74" t="inlineStr">
        <ns0:is>
          <ns0:t>N/A</ns0:t>
        </ns0:is>
      </ns0:c>
      <ns0:c r="BS26" s="74" t="inlineStr">
        <ns0:is>
          <ns0:t>N/A</ns0:t>
        </ns0:is>
      </ns0:c>
      <ns0:c r="BT26" s="74" t="inlineStr">
        <ns0:is>
          <ns0:t>N/A</ns0:t>
        </ns0:is>
      </ns0:c>
      <ns0:c r="BU26" s="91" t="inlineStr">
        <ns0:is>
          <ns0:t>China International Capital Corporation Hong Kong Securities Limited; (in alphabetical order with no ranking assigned) Credit Suisse (Hong Kong) Limited; Goldman Sachs (Asia) L.L.C</ns0:t>
        </ns0:is>
      </ns0:c>
      <ns0:c r="BV26" s="74" t="inlineStr">
        <ns0:is>
          <ns0:t>China International Capital Corporation Hong Kong Securities Limited; Goldman Sachs (Asia) L.L.C.; Credit Suisse (Hong Kong) Limited</ns0:t>
        </ns0:is>
      </ns0:c>
      <ns0:c r="BW26" s="74" t="inlineStr">
        <ns0:is>
          <ns0: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ns0:t>
        </ns0:is>
      </ns0:c>
      <ns0:c r="BX26" s="74" t="inlineStr">
        <ns0:is>
          <ns0: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ns0:t>
        </ns0:is>
      </ns0:c>
      <ns0:c r="BY26" s="93">
        <ns0:f>HYPERLINK("https://www1.hkexnews.hk/listedco/listconews/sehk/2021/0304/2021030400013.pdf","prospectus")</ns0:f>
        <ns0:v/>
      </ns0:c>
      <ns0:c r="BZ26" s="93">
        <ns0:f>HYPERLINK("https://www1.hkexnews.hk/listedco/listconews/sehk/2021/0312/2021031200028.htm","allotment")</ns0:f>
        <ns0:v/>
      </ns0:c>
      <ns0:c r="CA26" s="93">
        <ns0:f>HYPERLINK("https://www1.hkexnews.hk/listedco/listconews/sehk/2021/0409/2021040900003.pdf","stabilisation")</ns0:f>
        <ns0:v/>
      </ns0:c>
      <ns0:c r="CB26" s="94" t="n"/>
      <ns0:c r="CC26" s="74" t="inlineStr">
        <ns0:is>
          <ns0:t>range low: maximum offer price only, no floor published; cornerstone list: no cornerstone tranche; stabilising manager: not named in the allotment notice or prospectus glossary; allocation: allocation table not in this notice's format (older prose announcement); day-1 tape: volume on file; the retail multiple needs the final public split, which this notice does not state</ns0:t>
        </ns0:is>
      </ns0:c>
    </ns0:row>
    <ns0:row r="27" ht="22" customHeight="1">
      <ns0:c r="A27" s="73" t="inlineStr">
        <ns0:is>
          <ns0:t>1927</ns0:t>
        </ns0:is>
      </ns0:c>
      <ns0:c r="B27" s="74" t="inlineStr">
        <ns0:is>
          <ns0:t>JIUJIUWANG</ns0:t>
        </ns0:is>
      </ns0:c>
      <ns0:c r="C27" s="74" t="inlineStr">
        <ns0:is>
          <ns0:t>久久王</ns0:t>
        </ns0:is>
      </ns0:c>
      <ns0:c r="D27" s="74" t="inlineStr">
        <ns0:is>
          <ns0:t>Consumer</ns0:t>
        </ns0:is>
      </ns0:c>
      <ns0:c r="E27" s="74" t="inlineStr">
        <ns0:is>
          <ns0:t>Beverages / packaged food</ns0:t>
        </ns0:is>
      </ns0:c>
      <ns0:c r="F27" s="74" t="inlineStr">
        <ns0:is>
          <ns0:t>Packaged Foods</ns0:t>
        </ns0:is>
      </ns0:c>
      <ns0:c r="G27" s="74" t="inlineStr">
        <ns0:is>
          <ns0:t>Standard</ns0:t>
        </ns0:is>
      </ns0:c>
      <ns0:c r="H27" s="75" t="n">
        <ns0:v>44271</ns0:v>
      </ns0:c>
      <ns0:c r="I27" s="76" t="n">
        <ns0:v>148.5</ns0:v>
      </ns0:c>
      <ns0:c r="J27" s="74" t="inlineStr">
        <ns0:is>
          <ns0:t>gross (price x shares)</ns0:t>
        </ns0:is>
      </ns0:c>
      <ns0:c r="K27" s="77" t="n">
        <ns0:v>0.65</ns0:v>
      </ns0:c>
      <ns0:c r="L27" s="77" t="n">
        <ns0:v>0.75</ns0:v>
      </ns0:c>
      <ns0:c r="M27" s="77" t="n">
        <ns0:v>0.75</ns0:v>
      </ns0:c>
      <ns0:c r="N27" s="74" t="inlineStr">
        <ns0:is>
          <ns0:t>Y</ns0:t>
        </ns0:is>
      </ns0:c>
      <ns0:c r="O27" s="78" t="n">
        <ns0:v>100</ns0:v>
      </ns0:c>
      <ns0:c r="P27" s="78" t="n">
        <ns0:v>100</ns0:v>
      </ns0:c>
      <ns0:c r="Q27" s="79" t="n">
        <ns0:v>594</ns0:v>
      </ns0:c>
      <ns0:c r="R27" s="74" t="inlineStr">
        <ns0:is>
          <ns0:t>aastocks:上市市值 at the struck price</ns0:t>
        </ns0:is>
      </ns0:c>
      <ns0:c r="S27" s="80" t="n">
        <ns0:v>214.36</ns0:v>
      </ns0:c>
      <ns0:c r="T27" s="81" t="n">
        <ns0:v>1.14</ns0:v>
      </ns0:c>
      <ns0:c r="U27" s="82" t="n">
        <ns0:v>0</ns0:v>
      </ns0:c>
      <ns0:c r="V27" s="83" t="n">
        <ns0:v>222</ns0:v>
      </ns0:c>
      <ns0:c r="W27" s="84" t="n"/>
      <ns0:c r="X27" s="85" t="n"/>
      <ns0:c r="Y27" s="79" t="n">
        <ns0:v>148.5</ns0:v>
      </ns0:c>
      <ns0:c r="Z27" s="79" t="n">
        <ns0:v>198000000</ns0:v>
      </ns0:c>
      <ns0:c r="AA27" s="78" t="n">
        <ns0:v>25</ns0:v>
      </ns0:c>
      <ns0:c r="AB27" s="74" t="inlineStr">
        <ns0:is>
          <ns0:t>none — no cornerstone tranche</ns0:t>
        </ns0:is>
      </ns0:c>
      <ns0:c r="AC27" s="74" t="inlineStr">
        <ns0:is>
          <ns0:t>none</ns0:t>
        </ns0:is>
      </ns0:c>
      <ns0:c r="AD27" s="78" t="n">
        <ns0:v>15</ns0:v>
      </ns0:c>
      <ns0:c r="AE27" s="85" t="n"/>
      <ns0:c r="AF27" s="85" t="n"/>
      <ns0:c r="AG27" s="74" t="inlineStr">
        <ns0:is>
          <ns0:t>First Fidelity Capi tal</ns0:t>
        </ns0:is>
      </ns0:c>
      <ns0:c r="AH27" s="74" t="inlineStr">
        <ns0:is>
          <ns0:t>First Fidelity Capi</ns0:t>
        </ns0:is>
      </ns0:c>
      <ns0:c r="AI27" s="86" t="n">
        <ns0:v>0</ns0:v>
      </ns0:c>
      <ns0:c r="AJ27" s="87" t="n">
        <ns0:v>-26.67</ns0:v>
      </ns0:c>
      <ns0:c r="AK27" s="87" t="n">
        <ns0:v>2.23</ns0:v>
      </ns0:c>
      <ns0:c r="AL27" s="87" t="n">
        <ns0:v>-8</ns0:v>
      </ns0:c>
      <ns0:c r="AM27" s="87" t="n">
        <ns0:v>-20.29</ns0:v>
      </ns0:c>
      <ns0:c r="AN27" s="88" t="n"/>
      <ns0:c r="AO27" s="78" t="n">
        <ns0:v>46.38</ns0:v>
      </ns0:c>
      <ns0:c r="AP27" s="87" t="n">
        <ns0:v>-34.67</ns0:v>
      </ns0:c>
      <ns0:c r="AQ27" s="87" t="n">
        <ns0:v>-40</ns0:v>
      </ns0:c>
      <ns0:c r="AR27" s="87" t="n">
        <ns0:v>-46.67</ns0:v>
      </ns0:c>
      <ns0:c r="AS27" s="87" t="n">
        <ns0:v>-10.91</ns0:v>
      </ns0:c>
      <ns0:c r="AT27" s="87" t="n">
        <ns0:v>-18.18</ns0:v>
      </ns0:c>
      <ns0:c r="AU27" s="87" t="n">
        <ns0:v>-27.27</ns0:v>
      </ns0:c>
      <ns0:c r="AV27" s="87" t="n">
        <ns0:v>-34</ns0:v>
      </ns0:c>
      <ns0:c r="AW27" s="87" t="n">
        <ns0:v>-42.02</ns0:v>
      </ns0:c>
      <ns0:c r="AX27" s="87" t="n">
        <ns0:v>-49.65</ns0:v>
      </ns0:c>
      <ns0:c r="AY27" s="87" t="n">
        <ns0:v>-17.97</ns0:v>
      </ns0:c>
      <ns0:c r="AZ27" s="87" t="n">
        <ns0:v>2.02</ns0:v>
      </ns0:c>
      <ns0:c r="BA27" s="87" t="n">
        <ns0:v>-0.21</ns0:v>
      </ns0:c>
      <ns0:c r="BB27" s="74" t="inlineStr">
        <ns0:is>
          <ns0:t>Hang Seng Commerce &amp; Industry sub-index</ns0:t>
        </ns0:is>
      </ns0:c>
      <ns0:c r="BC27" s="87" t="n">
        <ns0:v>-54.67</ns0:v>
      </ns0:c>
      <ns0:c r="BD27" s="75" t="n">
        <ns0:v>46297</ns0:v>
      </ns0:c>
      <ns0:c r="BE27" s="76" t="n">
        <ns0:v>455.5</ns0:v>
      </ns0:c>
      <ns0:c r="BF27" s="79" t="n">
        <ns0:v>47.5</ns0:v>
      </ns0:c>
      <ns0:c r="BG27" s="74" t="inlineStr">
        <ns0:is>
          <ns0:t>Y</ns0:t>
        </ns0:is>
      </ns0:c>
      <ns0:c r="BH27" s="89" t="n">
        <ns0:v>12.5</ns0:v>
      </ns0:c>
      <ns0:c r="BI27" s="89" t="n">
        <ns0:v>6.2</ns0:v>
      </ns0:c>
      <ns0:c r="BJ27" s="88" t="n"/>
      <ns0:c r="BK27" s="89" t="n">
        <ns0:v>1.3</ns0:v>
      </ns0:c>
      <ns0:c r="BL27" s="90">
        <ns0:f>IFERROR(IF('BBG Verify'!S27="","Awaiting Bloomberg",'BBG Verify'!S27),"Awaiting Bloomberg")</ns0:f>
        <ns0:v/>
      </ns0:c>
      <ns0:c r="BM27" s="91" t="inlineStr">
        <ns0:is>
          <ns0:t>N</ns0:t>
        </ns0:is>
      </ns0:c>
      <ns0:c r="BN27" s="92">
        <ns0:f>IFERROR(IF('BBG Verify'!K27="","Awaiting Bloomberg",'BBG Verify'!K27),"Awaiting Bloomberg")</ns0:f>
        <ns0:v/>
      </ns0:c>
      <ns0:c r="BO27" s="74" t="inlineStr">
        <ns0:is>
          <ns0:t>N/A</ns0:t>
        </ns0:is>
      </ns0:c>
      <ns0:c r="BP27" s="74" t="inlineStr">
        <ns0:is>
          <ns0:t>N/A</ns0:t>
        </ns0:is>
      </ns0:c>
      <ns0:c r="BQ27" s="74" t="inlineStr">
        <ns0:is>
          <ns0:t>N/A</ns0:t>
        </ns0:is>
      </ns0:c>
      <ns0:c r="BR27" s="74" t="inlineStr">
        <ns0:is>
          <ns0:t>N/A</ns0:t>
        </ns0:is>
      </ns0:c>
      <ns0:c r="BS27" s="74" t="inlineStr">
        <ns0:is>
          <ns0:t>N/A</ns0:t>
        </ns0:is>
      </ns0:c>
      <ns0:c r="BT27" s="74" t="inlineStr">
        <ns0:is>
          <ns0:t>N/A</ns0:t>
        </ns0:is>
      </ns0:c>
      <ns0:c r="BU27" s="91" t="inlineStr">
        <ns0:is>
          <ns0:t>Lego Corporate Finance Limited</ns0:t>
        </ns0:is>
      </ns0:c>
      <ns0:c r="BV27" s="74" t="inlineStr">
        <ns0:is>
          <ns0:t>Lego Corporate Finance Limited</ns0:t>
        </ns0:is>
      </ns0:c>
      <ns0:c r="BW27" s="74" t="inlineStr">
        <ns0:is>
          <ns0: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ns0:t>
        </ns0:is>
      </ns0:c>
      <ns0:c r="BX27" s="74" t="inlineStr">
        <ns0:is>
          <ns0: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ns0:t>
        </ns0:is>
      </ns0:c>
      <ns0:c r="BY27" s="93">
        <ns0:f>HYPERLINK("https://www1.hkexnews.hk/listedco/listconews/sehk/2021/0226/2021022600021.pdf","prospectus")</ns0:f>
        <ns0:v/>
      </ns0:c>
      <ns0:c r="BZ27" s="93">
        <ns0:f>HYPERLINK("https://www1.hkexnews.hk/listedco/listconews/sehk/2021/0315/2021031500018.htm","allotment")</ns0:f>
        <ns0:v/>
      </ns0:c>
      <ns0:c r="CA27" s="93">
        <ns0:f>HYPERLINK("https://www1.hkexnews.hk/listedco/listconews/sehk/2021/0414/2021041401047.pdf","stabilisation")</ns0:f>
        <ns0:v/>
      </ns0:c>
      <ns0:c r="CB27" s="94" t="n"/>
      <ns0:c r="CC27" s="74" t="inlineStr">
        <ns0:is>
          <ns0:t>greenshoe: end-of-stabilisation notice not found; market cap: published listing cap used; the estimate from deal size / offer % of enlarged capital disagreed; cornerstone list: no cornerstone tranche; stabilisation notice: notice linked; outcome wording not recognised, result left blank; allocation: allocation table not in this notice's format (older prose announcement); day-1 tape: volume on file; the retail multiple needs the final public split, which this notice does not state</ns0:t>
        </ns0:is>
      </ns0:c>
    </ns0:row>
    <ns0:row r="28" ht="22" customHeight="1">
      <ns0:c r="A28" s="73" t="inlineStr">
        <ns0:is>
          <ns0:t>9888</ns0:t>
        </ns0:is>
      </ns0:c>
      <ns0:c r="B28" s="74" t="inlineStr">
        <ns0:is>
          <ns0:t>BIDU-SW</ns0:t>
        </ns0:is>
      </ns0:c>
      <ns0:c r="C28" s="74" t="inlineStr">
        <ns0:is>
          <ns0:t>百度集團－Ｗ</ns0:t>
        </ns0:is>
      </ns0:c>
      <ns0:c r="D28" s="74" t="inlineStr">
        <ns0:is>
          <ns0:t>Technology</ns0:t>
        </ns0:is>
      </ns0:c>
      <ns0:c r="E28" s="74" t="inlineStr">
        <ns0:is>
          <ns0:t>Internet &amp; fintech</ns0:t>
        </ns0:is>
      </ns0:c>
      <ns0:c r="F28" s="74" t="inlineStr">
        <ns0:is>
          <ns0:t>e-Commerce &amp; Internet Services</ns0:t>
        </ns0:is>
      </ns0:c>
      <ns0:c r="G28" s="74" t="inlineStr">
        <ns0:is>
          <ns0:t>Secondary + WVR</ns0:t>
        </ns0:is>
      </ns0:c>
      <ns0:c r="H28" s="75" t="n">
        <ns0:v>44278</ns0:v>
      </ns0:c>
      <ns0:c r="I28" s="76" t="n">
        <ns0:v>23940</ns0:v>
      </ns0:c>
      <ns0:c r="J28" s="74" t="inlineStr">
        <ns0:is>
          <ns0:t>gross (price x shares)</ns0:t>
        </ns0:is>
      </ns0:c>
      <ns0:c r="K28" s="95" t="n"/>
      <ns0:c r="L28" s="77" t="n">
        <ns0:v>295</ns0:v>
      </ns0:c>
      <ns0:c r="M28" s="77" t="n">
        <ns0:v>252</ns0:v>
      </ns0:c>
      <ns0:c r="N28" s="74" t="inlineStr">
        <ns0:is>
          <ns0:t>N</ns0:t>
        </ns0:is>
      </ns0:c>
      <ns0:c r="O28" s="78" t="n">
        <ns0:v>85.40000000000001</ns0:v>
      </ns0:c>
      <ns0:c r="P28" s="84" t="n"/>
      <ns0:c r="Q28" s="79" t="n">
        <ns0:v>712800</ns0:v>
      </ns0:c>
      <ns0:c r="R28" s="74" t="inlineStr">
        <ns0:is>
          <ns0:t>press:sina tech 2021-03-23 + STCN: 总市值7128亿港元 | FINANCIALS (RMB x1.1): Baidu FY2020 PR: total revenues RMB107,074m, NI attributable RMB22,472m</ns0:t>
        </ns0:is>
      </ns0:c>
      <ns0:c r="S28" s="80" t="n">
        <ns0:v>112.01</ns0:v>
      </ns0:c>
      <ns0:c r="T28" s="81" t="n">
        <ns0:v>10</ns0:v>
      </ns0:c>
      <ns0:c r="U28" s="82" t="n">
        <ns0:v>0</ns0:v>
      </ns0:c>
      <ns0:c r="V28" s="83" t="n">
        <ns0:v>13</ns0:v>
      </ns0:c>
      <ns0:c r="W28" s="84" t="n"/>
      <ns0:c r="X28" s="85" t="n"/>
      <ns0:c r="Y28" s="79" t="n">
        <ns0:v>23940</ns0:v>
      </ns0:c>
      <ns0:c r="Z28" s="79" t="n">
        <ns0:v>95000000</ns0:v>
      </ns0:c>
      <ns0:c r="AA28" s="78" t="n">
        <ns0:v>3.36</ns0:v>
      </ns0:c>
      <ns0:c r="AB28" s="74" t="inlineStr">
        <ns0:is>
          <ns0:t>none — no cornerstone tranche</ns0:t>
        </ns0:is>
      </ns0:c>
      <ns0:c r="AC28" s="74" t="inlineStr">
        <ns0:is>
          <ns0:t>none</ns0:t>
        </ns0:is>
      </ns0:c>
      <ns0:c r="AD28" s="78" t="n">
        <ns0:v>10</ns0:v>
      </ns0:c>
      <ns0:c r="AE28" s="85" t="n"/>
      <ns0:c r="AF28" s="74" t="inlineStr">
        <ns0:is>
          <ns0:t>2021-04-16</ns0:t>
        </ns0:is>
      </ns0:c>
      <ns0:c r="AG28" s="74" t="inlineStr">
        <ns0:is>
          <ns0:t>Merrill Lynch</ns0:t>
        </ns0:is>
      </ns0:c>
      <ns0:c r="AH28" s="74" t="inlineStr">
        <ns0:is>
          <ns0:t>Merrill Lynch</ns0:t>
        </ns0:is>
      </ns0:c>
      <ns0:c r="AI28" s="86" t="n">
        <ns0:v>1.11</ns0:v>
      </ns0:c>
      <ns0:c r="AJ28" s="87" t="n">
        <ns0:v>0</ns0:v>
      </ns0:c>
      <ns0:c r="AK28" s="87" t="n">
        <ns0:v>-2.37</ns0:v>
      </ns0:c>
      <ns0:c r="AL28" s="87" t="n">
        <ns0:v>0.79</ns0:v>
      </ns0:c>
      <ns0:c r="AM28" s="87" t="n">
        <ns0:v>-0.78</ns0:v>
      </ns0:c>
      <ns0:c r="AN28" s="88" t="n"/>
      <ns0:c r="AO28" s="78" t="n">
        <ns0:v>1.97</ns0:v>
      </ns0:c>
      <ns0:c r="AP28" s="87" t="n">
        <ns0:v>-19.92</ns0:v>
      </ns0:c>
      <ns0:c r="AQ28" s="87" t="n">
        <ns0:v>-14.84</ns0:v>
      </ns0:c>
      <ns0:c r="AR28" s="87" t="n">
        <ns0:v>-24.4</ns0:v>
      </ns0:c>
      <ns0:c r="AS28" s="87" t="n">
        <ns0:v>-19.92</ns0:v>
      </ns0:c>
      <ns0:c r="AT28" s="87" t="n">
        <ns0:v>-14.84</ns0:v>
      </ns0:c>
      <ns0:c r="AU28" s="87" t="n">
        <ns0:v>-24.4</ns0:v>
      </ns0:c>
      <ns0:c r="AV28" s="87" t="n">
        <ns0:v>-16.19</ns0:v>
      </ns0:c>
      <ns0:c r="AW28" s="87" t="n">
        <ns0:v>-14.43</ns0:v>
      </ns0:c>
      <ns0:c r="AX28" s="87" t="n">
        <ns0:v>-21.14</ns0:v>
      </ns0:c>
      <ns0:c r="AY28" s="87" t="n">
        <ns0:v>-16.84</ns0:v>
      </ns0:c>
      <ns0:c r="AZ28" s="87" t="n">
        <ns0:v>-0.41</ns0:v>
      </ns0:c>
      <ns0:c r="BA28" s="87" t="n">
        <ns0:v>2</ns0:v>
      </ns0:c>
      <ns0:c r="BB28" s="74" t="inlineStr">
        <ns0:is>
          <ns0:t>HSTECH (Hang Seng TECH ETF)</ns0:t>
        </ns0:is>
      </ns0:c>
      <ns0:c r="BC28" s="87" t="n">
        <ns0:v>-66.98</ns0:v>
      </ns0:c>
      <ns0:c r="BD28" s="75" t="n">
        <ns0:v>46297</ns0:v>
      </ns0:c>
      <ns0:c r="BE28" s="76" t="n">
        <ns0:v>117781.4</ns0:v>
      </ns0:c>
      <ns0:c r="BF28" s="79" t="n">
        <ns0:v>24719.2</ns0:v>
      </ns0:c>
      <ns0:c r="BG28" s="74" t="inlineStr">
        <ns0:is>
          <ns0:t>Y</ns0:t>
        </ns0:is>
      </ns0:c>
      <ns0:c r="BH28" s="89" t="n">
        <ns0:v>28.8</ns0:v>
      </ns0:c>
      <ns0:c r="BI28" s="88" t="n"/>
      <ns0:c r="BJ28" s="88" t="n"/>
      <ns0:c r="BK28" s="89" t="n">
        <ns0:v>6.1</ns0:v>
      </ns0:c>
      <ns0:c r="BL28" s="90">
        <ns0:f>IFERROR(IF('BBG Verify'!S28="","Awaiting Bloomberg",'BBG Verify'!S28),"Awaiting Bloomberg")</ns0:f>
        <ns0:v/>
      </ns0:c>
      <ns0:c r="BM28" s="91" t="inlineStr">
        <ns0:is>
          <ns0:t>N</ns0:t>
        </ns0:is>
      </ns0:c>
      <ns0:c r="BN28" s="92">
        <ns0:f>IFERROR(IF('BBG Verify'!K28="","Awaiting Bloomberg",'BBG Verify'!K28),"Awaiting Bloomberg")</ns0:f>
        <ns0:v/>
      </ns0:c>
      <ns0:c r="BO28" s="74" t="inlineStr">
        <ns0:is>
          <ns0:t>N/A</ns0:t>
        </ns0:is>
      </ns0:c>
      <ns0:c r="BP28" s="74" t="inlineStr">
        <ns0:is>
          <ns0:t>N/A</ns0:t>
        </ns0:is>
      </ns0:c>
      <ns0:c r="BQ28" s="74" t="inlineStr">
        <ns0:is>
          <ns0:t>N/A</ns0:t>
        </ns0:is>
      </ns0:c>
      <ns0:c r="BR28" s="74" t="inlineStr">
        <ns0:is>
          <ns0:t>N/A</ns0:t>
        </ns0:is>
      </ns0:c>
      <ns0:c r="BS28" s="74" t="inlineStr">
        <ns0:is>
          <ns0:t>N/A</ns0:t>
        </ns0:is>
      </ns0:c>
      <ns0:c r="BT28" s="74" t="inlineStr">
        <ns0:is>
          <ns0:t>N/A</ns0:t>
        </ns0:is>
      </ns0:c>
      <ns0:c r="BU28" s="91" t="inlineStr">
        <ns0:is>
          <ns0:t>Merrill Lynch (Asia Pacific) Limited; CLSA Capital Markets Limited; Goldman Sachs (Asia) L.L.C; CLSA Limited</ns0:t>
        </ns0:is>
      </ns0:c>
      <ns0:c r="BV28" s="74" t="inlineStr">
        <ns0:is>
          <ns0:t>Merrill Lynch (Asia Pacific) Limited; Goldman Sachs (Asia) L.L.C.; CLSA Capital Markets Limited</ns0:t>
        </ns0:is>
      </ns0:c>
      <ns0:c r="BW28" s="74" t="inlineStr">
        <ns0:is>
          <ns0: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ns0:t>
        </ns0:is>
      </ns0:c>
      <ns0:c r="BX28" s="74" t="inlineStr">
        <ns0:is>
          <ns0: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ns0:t>
        </ns0:is>
      </ns0:c>
      <ns0:c r="BY28" s="93">
        <ns0:f>HYPERLINK("https://www1.hkexnews.hk/listedco/listconews/sehk/2021/0312/2021031200021.pdf","prospectus")</ns0:f>
        <ns0:v/>
      </ns0:c>
      <ns0:c r="BZ28" s="93">
        <ns0:f>HYPERLINK("https://www1.hkexnews.hk/listedco/listconews/sehk/2021/0322/2021032200016.htm","allotment")</ns0:f>
        <ns0:v/>
      </ns0:c>
      <ns0:c r="CA28" s="93">
        <ns0:f>HYPERLINK("https://www1.hkexnews.hk/listedco/listconews/sehk/2021/0418/2021041800007.pdf","stabilisation")</ns0:f>
        <ns0:v/>
      </ns0:c>
      <ns0:c r="CB28" s="94" t="n"/>
      <ns0:c r="CC28" s="74" t="inlineStr">
        <ns0:is>
          <ns0:t>greenshoe: end-of-stabilisation notice not found; range low: maximum offer price only, no floor published; cornerstone list: no cornerstone tranche; stabilisation notice: notice linked; outcome wording not recognised, result left blank; allocation: allocation table not in this notice's format (older prose announcement); day-1 tape: volume on file; the retail multiple needs the final public split, which this notice does not state</ns0:t>
        </ns0:is>
      </ns0:c>
    </ns0:row>
    <ns0:row r="29" ht="22" customHeight="1">
      <ns0:c r="A29" s="73" t="inlineStr">
        <ns0:is>
          <ns0:t>2187</ns0:t>
        </ns0:is>
      </ns0:c>
      <ns0:c r="B29" s="74" t="inlineStr">
        <ns0:is>
          <ns0:t>ZHIXIN GP HLDG</ns0:t>
        </ns0:is>
      </ns0:c>
      <ns0:c r="C29" s="74" t="inlineStr">
        <ns0:is>
          <ns0:t>智欣集團控股</ns0:t>
        </ns0:is>
      </ns0:c>
      <ns0:c r="D29" s="74" t="inlineStr">
        <ns0:is>
          <ns0:t>Industrials</ns0:t>
        </ns0:is>
      </ns0:c>
      <ns0:c r="E29" s="74" t="inlineStr">
        <ns0:is>
          <ns0:t>Construction / engineering</ns0:t>
        </ns0:is>
      </ns0:c>
      <ns0:c r="F29" s="74" t="inlineStr">
        <ns0:is>
          <ns0:t>Construction Materials</ns0:t>
        </ns0:is>
      </ns0:c>
      <ns0:c r="G29" s="74" t="inlineStr">
        <ns0:is>
          <ns0:t>Standard</ns0:t>
        </ns0:is>
      </ns0:c>
      <ns0:c r="H29" s="75" t="n">
        <ns0:v>44281</ns0:v>
      </ns0:c>
      <ns0:c r="I29" s="76" t="n">
        <ns0:v>241.4</ns0:v>
      </ns0:c>
      <ns0:c r="J29" s="74" t="inlineStr">
        <ns0:is>
          <ns0:t>net proceeds</ns0:t>
        </ns0:is>
      </ns0:c>
      <ns0:c r="K29" s="95" t="n"/>
      <ns0:c r="L29" s="77" t="n">
        <ns0:v>1.5</ns0:v>
      </ns0:c>
      <ns0:c r="M29" s="77" t="n">
        <ns0:v>1.5</ns0:v>
      </ns0:c>
      <ns0:c r="N29" s="74" t="inlineStr">
        <ns0:is>
          <ns0:t>Y</ns0:t>
        </ns0:is>
      </ns0:c>
      <ns0:c r="O29" s="78" t="n">
        <ns0:v>100</ns0:v>
      </ns0:c>
      <ns0:c r="P29" s="84" t="n"/>
      <ns0:c r="Q29" s="79" t="n">
        <ns0:v>1122</ns0:v>
      </ns0:c>
      <ns0:c r="R29" s="74" t="inlineStr">
        <ns0:is>
          <ns0:t>prospectus:stated market capitalisation</ns0:t>
        </ns0:is>
      </ns0:c>
      <ns0:c r="S29" s="80" t="n">
        <ns0:v>25.24</ns0:v>
      </ns0:c>
      <ns0:c r="T29" s="99">
        <ns0:f>IFERROR(IF('BBG Verify'!E29="","Awaiting Bloomberg",'BBG Verify'!E29),"Awaiting Bloomberg")</ns0:f>
        <ns0:v/>
      </ns0:c>
      <ns0:c r="U29" s="82" t="n">
        <ns0:v>30.3</ns0:v>
      </ns0:c>
      <ns0:c r="V29" s="83" t="n">
        <ns0:v>195</ns0:v>
      </ns0:c>
      <ns0:c r="W29" s="84" t="n"/>
      <ns0:c r="X29" s="85" t="n"/>
      <ns0:c r="Y29" s="79" t="n">
        <ns0:v>168.26</ns0:v>
      </ns0:c>
      <ns0:c r="Z29" s="97" t="n"/>
      <ns0:c r="AA29" s="78" t="n">
        <ns0:v>15</ns0:v>
      </ns0:c>
      <ns0:c r="AB29" s="74" t="inlineStr">
        <ns0:is>
          <ns0:t>Tenancy Co., Limited; Wang Miao</ns0:t>
        </ns0:is>
      </ns0:c>
      <ns0:c r="AC29" s="74" t="inlineStr">
        <ns0:is>
          <ns0:t>tenancy;wang-miao</ns0:t>
        </ns0:is>
      </ns0:c>
      <ns0:c r="AD29" s="84" t="n"/>
      <ns0:c r="AE29" s="85" t="n"/>
      <ns0:c r="AF29" s="85" t="n"/>
      <ns0:c r="AG29" s="85" t="n"/>
      <ns0:c r="AH29" s="85" t="n"/>
      <ns0:c r="AI29" s="86" t="n">
        <ns0:v>4</ns0:v>
      </ns0:c>
      <ns0:c r="AJ29" s="87" t="n">
        <ns0:v>-29.33</ns0:v>
      </ns0:c>
      <ns0:c r="AK29" s="87" t="n">
        <ns0:v>2.32</ns0:v>
      </ns0:c>
      <ns0:c r="AL29" s="87" t="n">
        <ns0:v>-3.33</ns0:v>
      </ns0:c>
      <ns0:c r="AM29" s="87" t="n">
        <ns0:v>-26.9</ns0:v>
      </ns0:c>
      <ns0:c r="AN29" s="88" t="n"/>
      <ns0:c r="AO29" s="78" t="n">
        <ns0:v>33.1</ns0:v>
      </ns0:c>
      <ns0:c r="AP29" s="87" t="n">
        <ns0:v>-30</ns0:v>
      </ns0:c>
      <ns0:c r="AQ29" s="87" t="n">
        <ns0:v>-23.33</ns0:v>
      </ns0:c>
      <ns0:c r="AR29" s="87" t="n">
        <ns0:v>-16</ns0:v>
      </ns0:c>
      <ns0:c r="AS29" s="87" t="n">
        <ns0:v>-0.95</ns0:v>
      </ns0:c>
      <ns0:c r="AT29" s="87" t="n">
        <ns0:v>8.49</ns0:v>
      </ns0:c>
      <ns0:c r="AU29" s="87" t="n">
        <ns0:v>18.86</ns0:v>
      </ns0:c>
      <ns0:c r="AV29" s="87" t="n">
        <ns0:v>-34.83</ns0:v>
      </ns0:c>
      <ns0:c r="AW29" s="87" t="n">
        <ns0:v>-29.89</ns0:v>
      </ns0:c>
      <ns0:c r="AX29" s="87" t="n">
        <ns0:v>-25.18</ns0:v>
      </ns0:c>
      <ns0:c r="AY29" s="87" t="n">
        <ns0:v>4.34</ns0:v>
      </ns0:c>
      <ns0:c r="AZ29" s="87" t="n">
        <ns0:v>6.56</ns0:v>
      </ns0:c>
      <ns0:c r="BA29" s="87" t="n">
        <ns0:v>4.15</ns0:v>
      </ns0:c>
      <ns0:c r="BB29" s="74" t="inlineStr">
        <ns0:is>
          <ns0:t>Hang Seng Commerce &amp; Industry sub-index</ns0:t>
        </ns0:is>
      </ns0:c>
      <ns0:c r="BC29" s="87" t="n">
        <ns0:v>-68.33</ns0:v>
      </ns0:c>
      <ns0:c r="BD29" s="75" t="n">
        <ns0:v>46297</ns0:v>
      </ns0:c>
      <ns0:c r="BE29" s="76" t="n">
        <ns0:v>649.9</ns0:v>
      </ns0:c>
      <ns0:c r="BF29" s="79" t="n">
        <ns0:v>46</ns0:v>
      </ns0:c>
      <ns0:c r="BG29" s="74" t="inlineStr">
        <ns0:is>
          <ns0:t>Y</ns0:t>
        </ns0:is>
      </ns0:c>
      <ns0:c r="BH29" s="89" t="n">
        <ns0:v>24.4</ns0:v>
      </ns0:c>
      <ns0:c r="BI29" s="89" t="n">
        <ns0:v>8.199999999999999</ns0:v>
      </ns0:c>
      <ns0:c r="BJ29" s="88" t="n"/>
      <ns0:c r="BK29" s="89" t="n">
        <ns0:v>1.7</ns0:v>
      </ns0:c>
      <ns0:c r="BL29" s="90">
        <ns0:f>IFERROR(IF('BBG Verify'!S29="","Awaiting Bloomberg",'BBG Verify'!S29),"Awaiting Bloomberg")</ns0:f>
        <ns0:v/>
      </ns0:c>
      <ns0:c r="BM29" s="91" t="inlineStr">
        <ns0:is>
          <ns0:t>N</ns0:t>
        </ns0:is>
      </ns0:c>
      <ns0:c r="BN29" s="92">
        <ns0:f>IFERROR(IF('BBG Verify'!K29="","Awaiting Bloomberg",'BBG Verify'!K29),"Awaiting Bloomberg")</ns0:f>
        <ns0:v/>
      </ns0:c>
      <ns0:c r="BO29" s="74" t="inlineStr">
        <ns0:is>
          <ns0:t>N/A</ns0:t>
        </ns0:is>
      </ns0:c>
      <ns0:c r="BP29" s="74" t="inlineStr">
        <ns0:is>
          <ns0:t>N/A</ns0:t>
        </ns0:is>
      </ns0:c>
      <ns0:c r="BQ29" s="74" t="inlineStr">
        <ns0:is>
          <ns0:t>N/A</ns0:t>
        </ns0:is>
      </ns0:c>
      <ns0:c r="BR29" s="74" t="inlineStr">
        <ns0:is>
          <ns0:t>N/A</ns0:t>
        </ns0:is>
      </ns0:c>
      <ns0:c r="BS29" s="74" t="inlineStr">
        <ns0:is>
          <ns0:t>N/A</ns0:t>
        </ns0:is>
      </ns0:c>
      <ns0:c r="BT29" s="74" t="inlineStr">
        <ns0:is>
          <ns0:t>N/A</ns0:t>
        </ns0:is>
      </ns0:c>
      <ns0:c r="BU29" s="91" t="inlineStr">
        <ns0:is>
          <ns0:t>Kingsway Capital Limited</ns0:t>
        </ns0:is>
      </ns0:c>
      <ns0:c r="BV29" s="74" t="inlineStr">
        <ns0:is>
          <ns0:t>Kingsway Capital Limited</ns0:t>
        </ns0:is>
      </ns0:c>
      <ns0:c r="BW29" s="74" t="inlineStr">
        <ns0:is>
          <ns0:t>Kingsway Financial Services Group Limited; Seazen Resources Securities Limited; Zhongtai International Securities Limited; SPDB International Capital Limited</ns0:t>
        </ns0:is>
      </ns0:c>
      <ns0:c r="BX29" s="74" t="inlineStr">
        <ns0:is>
          <ns0:t>Haitong International Securities Company Limited; Kingsway Financial Services Group Limited; SPDB International Capital Limited; Seazen Resources Securities Limited; Zhongtai International Securities Limited; ZMF Asset Management Limited</ns0:t>
        </ns0:is>
      </ns0:c>
      <ns0:c r="BY29" s="93">
        <ns0:f>HYPERLINK("https://www1.hkexnews.hk/listedco/listconews/sehk/2021/0316/2021031600111.pdf","prospectus")</ns0:f>
        <ns0:v/>
      </ns0:c>
      <ns0:c r="BZ29" s="93">
        <ns0:f>HYPERLINK("https://www1.hkexnews.hk/listedco/listconews/sehk/2021/0325/2021032500100.htm","allotment")</ns0:f>
        <ns0:v/>
      </ns0:c>
      <ns0:c r="CA29" s="85" t="n"/>
      <ns0:c r="CB29" s="94" t="n"/>
      <ns0:c r="CC29" s="74" t="inlineStr">
        <ns0:is>
          <ns0:t>intl sub: parsed 0.9x rejected (implausible against a 25x public book); BBG Verify CP037 fills it; greenshoe: no over-allotment option; range low: maximum offer price only, no floor published; cornerstone: table parse 80% rejected (institutional total implies 30%); the AAStocks institutional total used; greenshoe size: no over-allotment option; stabilising manager: no over-allotment option, so none appointed;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30" ht="22" customHeight="1">
      <ns0:c r="A30" s="73" t="inlineStr">
        <ns0:is>
          <ns0:t>9626</ns0:t>
        </ns0:is>
      </ns0:c>
      <ns0:c r="B30" s="74" t="inlineStr">
        <ns0:is>
          <ns0:t>BILIBILI-SW</ns0:t>
        </ns0:is>
      </ns0:c>
      <ns0:c r="C30" s="74" t="inlineStr">
        <ns0:is>
          <ns0:t>嗶哩嗶哩－Ｗ</ns0:t>
        </ns0:is>
      </ns0:c>
      <ns0:c r="D30" s="74" t="inlineStr">
        <ns0:is>
          <ns0:t>Technology</ns0:t>
        </ns0:is>
      </ns0:c>
      <ns0:c r="E30" s="74" t="inlineStr">
        <ns0:is>
          <ns0:t>Internet &amp; fintech</ns0:t>
        </ns0:is>
      </ns0:c>
      <ns0:c r="F30" s="74" t="inlineStr">
        <ns0:is>
          <ns0:t>e-Commerce &amp; Internet Services</ns0:t>
        </ns0:is>
      </ns0:c>
      <ns0:c r="G30" s="74" t="inlineStr">
        <ns0:is>
          <ns0:t>Secondary + WVR</ns0:t>
        </ns0:is>
      </ns0:c>
      <ns0:c r="H30" s="75" t="n">
        <ns0:v>44284</ns0:v>
      </ns0:c>
      <ns0:c r="I30" s="76" t="n">
        <ns0:v>20200</ns0:v>
      </ns0:c>
      <ns0:c r="J30" s="74" t="inlineStr">
        <ns0:is>
          <ns0:t>gross (price x shares)</ns0:t>
        </ns0:is>
      </ns0:c>
      <ns0:c r="K30" s="95" t="n"/>
      <ns0:c r="L30" s="77" t="n">
        <ns0:v>988</ns0:v>
      </ns0:c>
      <ns0:c r="M30" s="77" t="n">
        <ns0:v>808</ns0:v>
      </ns0:c>
      <ns0:c r="N30" s="74" t="inlineStr">
        <ns0:is>
          <ns0:t>N</ns0:t>
        </ns0:is>
      </ns0:c>
      <ns0:c r="O30" s="78" t="n">
        <ns0:v>81.8</ns0:v>
      </ns0:c>
      <ns0:c r="P30" s="84" t="n"/>
      <ns0:c r="Q30" s="79" t="n">
        <ns0:v>298019</ns0:v>
      </ns0:c>
      <ns0:c r="R30" s="74" t="inlineStr">
        <ns0:is>
          <ns0:t>press:chinanews 2021-03-30: 总市值约2980.19亿港元 | FINANCIALS (RMB x1.1): Bilibili FY2020 PR/20-F: total net revenues RMB11,999.0m (stored NI is the attributable line, kept)</ns0:t>
        </ns0:is>
      </ns0:c>
      <ns0:c r="S30" s="80" t="n">
        <ns0:v>174.19</ns0:v>
      </ns0:c>
      <ns0:c r="T30" s="81" t="n">
        <ns0:v>11.9</ns0:v>
      </ns0:c>
      <ns0:c r="U30" s="82" t="n">
        <ns0:v>0</ns0:v>
      </ns0:c>
      <ns0:c r="V30" s="83" t="n">
        <ns0:v>396</ns0:v>
      </ns0:c>
      <ns0:c r="W30" s="84" t="n"/>
      <ns0:c r="X30" s="85" t="n"/>
      <ns0:c r="Y30" s="79" t="n">
        <ns0:v>20200</ns0:v>
      </ns0:c>
      <ns0:c r="Z30" s="79" t="n">
        <ns0:v>25000000</ns0:v>
      </ns0:c>
      <ns0:c r="AA30" s="78" t="n">
        <ns0:v>6.78</ns0:v>
      </ns0:c>
      <ns0:c r="AB30" s="74" t="inlineStr">
        <ns0:is>
          <ns0:t>none — no cornerstone tranche</ns0:t>
        </ns0:is>
      </ns0:c>
      <ns0:c r="AC30" s="74" t="inlineStr">
        <ns0:is>
          <ns0:t>none</ns0:t>
        </ns0:is>
      </ns0:c>
      <ns0:c r="AD30" s="78" t="n">
        <ns0:v>6.6</ns0:v>
      </ns0:c>
      <ns0:c r="AE30" s="74" t="inlineStr">
        <ns0:is>
          <ns0:t>full</ns0:t>
        </ns0:is>
      </ns0:c>
      <ns0:c r="AF30" s="74" t="inlineStr">
        <ns0:is>
          <ns0:t>2021-04-22</ns0:t>
        </ns0:is>
      </ns0:c>
      <ns0:c r="AG30" s="74" t="inlineStr">
        <ns0:is>
          <ns0:t>Morgan Stanley Asia Limited</ns0:t>
        </ns0:is>
      </ns0:c>
      <ns0:c r="AH30" s="74" t="inlineStr">
        <ns0:is>
          <ns0:t>Morgan Stanley</ns0:t>
        </ns0:is>
      </ns0:c>
      <ns0:c r="AI30" s="86" t="n">
        <ns0:v>-6.56</ns0:v>
      </ns0:c>
      <ns0:c r="AJ30" s="87" t="n">
        <ns0:v>-0.99</ns0:v>
      </ns0:c>
      <ns0:c r="AK30" s="87" t="n">
        <ns0:v>-1.99</ns0:v>
      </ns0:c>
      <ns0:c r="AL30" s="87" t="n">
        <ns0:v>-2.23</ns0:v>
      </ns0:c>
      <ns0:c r="AM30" s="87" t="n">
        <ns0:v>1.27</ns0:v>
      </ns0:c>
      <ns0:c r="AN30" s="88" t="n"/>
      <ns0:c r="AO30" s="78" t="n">
        <ns0:v>5.95</ns0:v>
      </ns0:c>
      <ns0:c r="AP30" s="87" t="n">
        <ns0:v>5.82</ns0:v>
      </ns0:c>
      <ns0:c r="AQ30" s="87" t="n">
        <ns0:v>10.27</ns0:v>
      </ns0:c>
      <ns0:c r="AR30" s="87" t="n">
        <ns0:v>15.72</ns0:v>
      </ns0:c>
      <ns0:c r="AS30" s="87" t="n">
        <ns0:v>6.88</ns0:v>
      </ns0:c>
      <ns0:c r="AT30" s="87" t="n">
        <ns0:v>11.37</ns0:v>
      </ns0:c>
      <ns0:c r="AU30" s="87" t="n">
        <ns0:v>16.88</ns0:v>
      </ns0:c>
      <ns0:c r="AV30" s="87" t="n">
        <ns0:v>1.79</ns0:v>
      </ns0:c>
      <ns0:c r="AW30" s="87" t="n">
        <ns0:v>7.85</ns0:v>
      </ns0:c>
      <ns0:c r="AX30" s="87" t="n">
        <ns0:v>18.57</ns0:v>
      </ns0:c>
      <ns0:c r="AY30" s="87" t="n">
        <ns0:v>6.88</ns0:v>
      </ns0:c>
      <ns0:c r="AZ30" s="87" t="n">
        <ns0:v>2.42</ns0:v>
      </ns0:c>
      <ns0:c r="BA30" s="87" t="n">
        <ns0:v>4.49</ns0:v>
      </ns0:c>
      <ns0:c r="BB30" s="74" t="inlineStr">
        <ns0:is>
          <ns0:t>HSTECH (Hang Seng TECH ETF)</ns0:t>
        </ns0:is>
      </ns0:c>
      <ns0:c r="BC30" s="87" t="n">
        <ns0:v>-85.89</ns0:v>
      </ns0:c>
      <ns0:c r="BD30" s="75" t="n">
        <ns0:v>46297</ns0:v>
      </ns0:c>
      <ns0:c r="BE30" s="76" t="n">
        <ns0:v>13198.9</ns0:v>
      </ns0:c>
      <ns0:c r="BF30" s="79" t="n">
        <ns0:v>-3359.4</ns0:v>
      </ns0:c>
      <ns0:c r="BG30" s="74" t="inlineStr">
        <ns0:is>
          <ns0:t>N</ns0:t>
        </ns0:is>
      </ns0:c>
      <ns0:c r="BH30" s="74" t="inlineStr">
        <ns0:is>
          <ns0:t>n/m</ns0:t>
        </ns0:is>
      </ns0:c>
      <ns0:c r="BI30" s="88" t="n"/>
      <ns0:c r="BJ30" s="88" t="n"/>
      <ns0:c r="BK30" s="89" t="n">
        <ns0:v>22.6</ns0:v>
      </ns0:c>
      <ns0:c r="BL30" s="90">
        <ns0:f>IFERROR(IF('BBG Verify'!S30="","Awaiting Bloomberg",'BBG Verify'!S30),"Awaiting Bloomberg")</ns0:f>
        <ns0:v/>
      </ns0:c>
      <ns0:c r="BM30" s="91" t="inlineStr">
        <ns0:is>
          <ns0:t>N</ns0:t>
        </ns0:is>
      </ns0:c>
      <ns0:c r="BN30" s="92">
        <ns0:f>IFERROR(IF('BBG Verify'!K30="","Awaiting Bloomberg",'BBG Verify'!K30),"Awaiting Bloomberg")</ns0:f>
        <ns0:v/>
      </ns0:c>
      <ns0:c r="BO30" s="74" t="inlineStr">
        <ns0:is>
          <ns0:t>N/A</ns0:t>
        </ns0:is>
      </ns0:c>
      <ns0:c r="BP30" s="74" t="inlineStr">
        <ns0:is>
          <ns0:t>N/A</ns0:t>
        </ns0:is>
      </ns0:c>
      <ns0:c r="BQ30" s="74" t="inlineStr">
        <ns0:is>
          <ns0:t>N/A</ns0:t>
        </ns0:is>
      </ns0:c>
      <ns0:c r="BR30" s="74" t="inlineStr">
        <ns0:is>
          <ns0:t>N/A</ns0:t>
        </ns0:is>
      </ns0:c>
      <ns0:c r="BS30" s="74" t="inlineStr">
        <ns0:is>
          <ns0:t>N/A</ns0:t>
        </ns0:is>
      </ns0:c>
      <ns0:c r="BT30" s="74" t="inlineStr">
        <ns0:is>
          <ns0:t>N/A</ns0:t>
        </ns0:is>
      </ns0:c>
      <ns0:c r="BU30" s="91" t="inlineStr">
        <ns0:is>
          <ns0:t>Morgan Stanley Asia Limited; Goldman Sachs (Asia) L.L.C; J.P. Morgan Securities (Far East) Limited; UBS Securities Hong Kong Limited</ns0:t>
        </ns0:is>
      </ns0:c>
      <ns0:c r="BV30" s="74" t="inlineStr">
        <ns0:is>
          <ns0:t>Morgan Stanley Asia Limited; J.P. Morgan Securities (Far East) Limited; UBS Securities Hong Kong Limited; Goldman Sachs (Asia) L.L.C.</ns0:t>
        </ns0:is>
      </ns0:c>
      <ns0:c r="BW30" s="74" t="inlineStr">
        <ns0:is>
          <ns0: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Merrill Lynch (Asia Pacific) Limited</ns0:t>
        </ns0:is>
      </ns0:c>
      <ns0:c r="BX30" s="74" t="inlineStr">
        <ns0:is>
          <ns0: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ns0:t>
        </ns0:is>
      </ns0:c>
      <ns0:c r="BY30" s="93">
        <ns0:f>HYPERLINK("https://www1.hkexnews.hk/listedco/listconews/sehk/2021/0318/2021031800173.pdf","prospectus")</ns0:f>
        <ns0:v/>
      </ns0:c>
      <ns0:c r="BZ30" s="93">
        <ns0:f>HYPERLINK("https://www1.hkexnews.hk/listedco/listconews/sehk/2021/0326/2021032600074.htm","allotment")</ns0:f>
        <ns0:v/>
      </ns0:c>
      <ns0:c r="CA30" s="93">
        <ns0:f>HYPERLINK("https://www1.hkexnews.hk/listedco/listconews/sehk/2021/0422/2021042202002.pdf","stabilisation")</ns0:f>
        <ns0:v/>
      </ns0:c>
      <ns0:c r="CB30" s="94" t="n"/>
      <ns0:c r="CC30" s="74" t="inlineStr">
        <ns0:is>
          <ns0:t>P/E: loss-making at IPO, use P/S; range low: maximum offer price only, no floor published; cornerstone list: no cornerstone tranche; allocation: allocation table not in this notice's format (older prose announcement); day-1 tape: volume on file; the retail multiple needs the final public split, which this notice does not state</ns0:t>
        </ns0:is>
      </ns0:c>
    </ns0:row>
    <ns0:row r="31" ht="22" customHeight="1">
      <ns0:c r="A31" s="73" t="inlineStr">
        <ns0:is>
          <ns0:t>6939</ns0:t>
        </ns0:is>
      </ns0:c>
      <ns0:c r="B31" s="74" t="inlineStr">
        <ns0:is>
          <ns0:t>MEGAIN</ns0:t>
        </ns0:is>
      </ns0:c>
      <ns0:c r="C31" s="74" t="inlineStr">
        <ns0:is>
          <ns0:t>美佳音控股</ns0:t>
        </ns0:is>
      </ns0:c>
      <ns0:c r="D31" s="74" t="inlineStr">
        <ns0:is>
          <ns0:t>Technology</ns0:t>
        </ns0:is>
      </ns0:c>
      <ns0:c r="E31" s="74" t="inlineStr">
        <ns0:is>
          <ns0:t>Semiconductors</ns0:t>
        </ns0:is>
      </ns0:c>
      <ns0:c r="F31" s="74" t="inlineStr">
        <ns0:is>
          <ns0:t>Electrical Components &amp; Equipment</ns0:t>
        </ns0:is>
      </ns0:c>
      <ns0:c r="G31" s="74" t="inlineStr">
        <ns0:is>
          <ns0:t>Standard</ns0:t>
        </ns0:is>
      </ns0:c>
      <ns0:c r="H31" s="75" t="n">
        <ns0:v>44286</ns0:v>
      </ns0:c>
      <ns0:c r="I31" s="76" t="n">
        <ns0:v>157.5</ns0:v>
      </ns0:c>
      <ns0:c r="J31" s="74" t="inlineStr">
        <ns0:is>
          <ns0:t>gross (price x shares)</ns0:t>
        </ns0:is>
      </ns0:c>
      <ns0:c r="K31" s="77" t="n">
        <ns0:v>1.15</ns0:v>
      </ns0:c>
      <ns0:c r="L31" s="77" t="n">
        <ns0:v>1.35</ns0:v>
      </ns0:c>
      <ns0:c r="M31" s="77" t="n">
        <ns0:v>1.26</ns0:v>
      </ns0:c>
      <ns0:c r="N31" s="74" t="inlineStr">
        <ns0:is>
          <ns0:t>N</ns0:t>
        </ns0:is>
      </ns0:c>
      <ns0:c r="O31" s="78" t="n">
        <ns0:v>93.3</ns0:v>
      </ns0:c>
      <ns0:c r="P31" s="78" t="n">
        <ns0:v>55</ns0:v>
      </ns0:c>
      <ns0:c r="Q31" s="79" t="n">
        <ns0:v>693.4</ns0:v>
      </ns0:c>
      <ns0:c r="R31" s="74" t="inlineStr">
        <ns0:is>
          <ns0:t>aastocks:上市市值 at the struck price</ns0:t>
        </ns0:is>
      </ns0:c>
      <ns0:c r="S31" s="80" t="n">
        <ns0:v>22.43</ns0:v>
      </ns0:c>
      <ns0:c r="T31" s="81" t="n">
        <ns0:v>1.71</ns0:v>
      </ns0:c>
      <ns0:c r="U31" s="82" t="n">
        <ns0:v>0</ns0:v>
      </ns0:c>
      <ns0:c r="V31" s="83" t="n">
        <ns0:v>201</ns0:v>
      </ns0:c>
      <ns0:c r="W31" s="78" t="n">
        <ns0:v>30</ns0:v>
      </ns0:c>
      <ns0:c r="X31" s="74" t="inlineStr">
        <ns0:is>
          <ns0:t>YES</ns0:t>
        </ns0:is>
      </ns0:c>
      <ns0:c r="Y31" s="79" t="n">
        <ns0:v>157.5</ns0:v>
      </ns0:c>
      <ns0:c r="Z31" s="79" t="n">
        <ns0:v>125000000</ns0:v>
      </ns0:c>
      <ns0:c r="AA31" s="78" t="n">
        <ns0:v>22.71</ns0:v>
      </ns0:c>
      <ns0:c r="AB31" s="74" t="inlineStr">
        <ns0:is>
          <ns0:t>none — no cornerstone tranche</ns0:t>
        </ns0:is>
      </ns0:c>
      <ns0:c r="AC31" s="74" t="inlineStr">
        <ns0:is>
          <ns0:t>none</ns0:t>
        </ns0:is>
      </ns0:c>
      <ns0:c r="AD31" s="78" t="n">
        <ns0:v>16.63</ns0:v>
      </ns0:c>
      <ns0:c r="AE31" s="74" t="inlineStr">
        <ns0:is>
          <ns0:t>full</ns0:t>
        </ns0:is>
      </ns0:c>
      <ns0:c r="AF31" s="85" t="n"/>
      <ns0:c r="AG31" s="74" t="inlineStr">
        <ns0:is>
          <ns0:t>CMBC Securities Company Limited</ns0:t>
        </ns0:is>
      </ns0:c>
      <ns0:c r="AH31" s="74" t="inlineStr">
        <ns0:is>
          <ns0:t>CMBC</ns0:t>
        </ns0:is>
      </ns0:c>
      <ns0:c r="AI31" s="86" t="n">
        <ns0:v>6.35</ns0:v>
      </ns0:c>
      <ns0:c r="AJ31" s="87" t="n">
        <ns0:v>6.35</ns0:v>
      </ns0:c>
      <ns0:c r="AK31" s="87" t="n">
        <ns0:v>0</ns0:v>
      </ns0:c>
      <ns0:c r="AL31" s="87" t="n">
        <ns0:v>10.32</ns0:v>
      </ns0:c>
      <ns0:c r="AM31" s="87" t="n">
        <ns0:v>-3.6</ns0:v>
      </ns0:c>
      <ns0:c r="AN31" s="89" t="n">
        <ns0:v>1.89</ns0:v>
      </ns0:c>
      <ns0:c r="AO31" s="78" t="n">
        <ns0:v>12.23</ns0:v>
      </ns0:c>
      <ns0:c r="AP31" s="87" t="n">
        <ns0:v>12.7</ns0:v>
      </ns0:c>
      <ns0:c r="AQ31" s="87" t="n">
        <ns0:v>15.08</ns0:v>
      </ns0:c>
      <ns0:c r="AR31" s="87" t="n">
        <ns0:v>44.44</ns0:v>
      </ns0:c>
      <ns0:c r="AS31" s="87" t="n">
        <ns0:v>5.97</ns0:v>
      </ns0:c>
      <ns0:c r="AT31" s="87" t="n">
        <ns0:v>8.210000000000001</ns0:v>
      </ns0:c>
      <ns0:c r="AU31" s="87" t="n">
        <ns0:v>35.82</ns0:v>
      </ns0:c>
      <ns0:c r="AV31" s="87" t="n">
        <ns0:v>12.64</ns0:v>
      </ns0:c>
      <ns0:c r="AW31" s="87" t="n">
        <ns0:v>13.91</ns0:v>
      </ns0:c>
      <ns0:c r="AX31" s="87" t="n">
        <ns0:v>50.84</ns0:v>
      </ns0:c>
      <ns0:c r="AY31" s="87" t="n">
        <ns0:v>7.04</ns0:v>
      </ns0:c>
      <ns0:c r="AZ31" s="87" t="n">
        <ns0:v>1.17</ns0:v>
      </ns0:c>
      <ns0:c r="BA31" s="87" t="n">
        <ns0:v>1.17</ns0:v>
      </ns0:c>
      <ns0:c r="BB31" s="74" t="inlineStr">
        <ns0:is>
          <ns0:t>HSTECH (Hang Seng TECH ETF)</ns0:t>
        </ns0:is>
      </ns0:c>
      <ns0:c r="BC31" s="87" t="n">
        <ns0:v>-5.56</ns0:v>
      </ns0:c>
      <ns0:c r="BD31" s="75" t="n">
        <ns0:v>46297</ns0:v>
      </ns0:c>
      <ns0:c r="BE31" s="76" t="n">
        <ns0:v>173.8</ns0:v>
      </ns0:c>
      <ns0:c r="BF31" s="79" t="n">
        <ns0:v>45.4</ns0:v>
      </ns0:c>
      <ns0:c r="BG31" s="74" t="inlineStr">
        <ns0:is>
          <ns0:t>Y</ns0:t>
        </ns0:is>
      </ns0:c>
      <ns0:c r="BH31" s="89" t="n">
        <ns0:v>15.3</ns0:v>
      </ns0:c>
      <ns0:c r="BI31" s="88" t="n"/>
      <ns0:c r="BJ31" s="88" t="n"/>
      <ns0:c r="BK31" s="89" t="n">
        <ns0:v>4</ns0:v>
      </ns0:c>
      <ns0:c r="BL31" s="90">
        <ns0:f>IFERROR(IF('BBG Verify'!S31="","Awaiting Bloomberg",'BBG Verify'!S31),"Awaiting Bloomberg")</ns0:f>
        <ns0:v/>
      </ns0:c>
      <ns0:c r="BM31" s="91" t="inlineStr">
        <ns0:is>
          <ns0:t>N</ns0:t>
        </ns0:is>
      </ns0:c>
      <ns0:c r="BN31" s="92">
        <ns0:f>IFERROR(IF('BBG Verify'!K31="","Awaiting Bloomberg",'BBG Verify'!K31),"Awaiting Bloomberg")</ns0:f>
        <ns0:v/>
      </ns0:c>
      <ns0:c r="BO31" s="74" t="inlineStr">
        <ns0:is>
          <ns0:t>N/A</ns0:t>
        </ns0:is>
      </ns0:c>
      <ns0:c r="BP31" s="74" t="inlineStr">
        <ns0:is>
          <ns0:t>N/A</ns0:t>
        </ns0:is>
      </ns0:c>
      <ns0:c r="BQ31" s="74" t="inlineStr">
        <ns0:is>
          <ns0:t>N/A</ns0:t>
        </ns0:is>
      </ns0:c>
      <ns0:c r="BR31" s="74" t="inlineStr">
        <ns0:is>
          <ns0:t>N/A</ns0:t>
        </ns0:is>
      </ns0:c>
      <ns0:c r="BS31" s="74" t="inlineStr">
        <ns0:is>
          <ns0:t>N/A</ns0:t>
        </ns0:is>
      </ns0:c>
      <ns0:c r="BT31" s="74" t="inlineStr">
        <ns0:is>
          <ns0:t>N/A</ns0:t>
        </ns0:is>
      </ns0:c>
      <ns0:c r="BU31" s="91" t="inlineStr">
        <ns0:is>
          <ns0:t>CMBC International Capital Limited</ns0:t>
        </ns0:is>
      </ns0:c>
      <ns0:c r="BV31" s="74" t="inlineStr">
        <ns0:is>
          <ns0:t>CMBC International Capital Limited</ns0:t>
        </ns0:is>
      </ns0:c>
      <ns0:c r="BW31" s="74" t="inlineStr">
        <ns0:is>
          <ns0:t>CMBC Securities Company Limited; Yuan Tong Global Securities Limited; CCB International Capital Limited; Haitong International Securities Company Limited; BOCOM International Securities Limited; Dongxing Securities (Hong Kong) Company Limited; Vision Finance International Company Limited</ns0:t>
        </ns0:is>
      </ns0:c>
      <ns0:c r="BX31" s="74" t="inlineStr">
        <ns0:is>
          <ns0: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ns0:t>
        </ns0:is>
      </ns0:c>
      <ns0:c r="BY31" s="93">
        <ns0:f>HYPERLINK("https://www1.hkexnews.hk/listedco/listconews/sehk/2021/0318/2021031800013.pdf","prospectus")</ns0:f>
        <ns0:v/>
      </ns0:c>
      <ns0:c r="BZ31" s="93">
        <ns0:f>HYPERLINK("https://www1.hkexnews.hk/listedco/listconews/sehk/2021/0330/2021033000148.htm","allotment")</ns0:f>
        <ns0:v/>
      </ns0:c>
      <ns0:c r="CA31" s="93">
        <ns0:f>HYPERLINK("https://www1.hkexnews.hk/listedco/listconews/sehk/2021/0422/2021042201830.pdf","stabilisation")</ns0:f>
        <ns0:v/>
      </ns0:c>
      <ns0:c r="CB31" s="94" t="n"/>
      <ns0:c r="CC31" s="74" t="inlineStr">
        <ns0:is>
          <ns0:t>greenshoe: outcome published; expiry date not in the notice; market cap: published listing cap used; the estimate from deal size / offer % of enlarged capital disagreed; cornerstone list: no cornerstone tranche</ns0:t>
        </ns0:is>
      </ns0:c>
    </ns0:row>
    <ns0:row r="32" ht="22" customHeight="1">
      <ns0:c r="A32" s="73" t="inlineStr">
        <ns0:is>
          <ns0:t>6608</ns0:t>
        </ns0:is>
      </ns0:c>
      <ns0:c r="B32" s="74" t="inlineStr">
        <ns0:is>
          <ns0:t>BAIRONG-W</ns0:t>
        </ns0:is>
      </ns0:c>
      <ns0:c r="C32" s="74" t="inlineStr">
        <ns0:is>
          <ns0:t>百融智能－Ｗ</ns0:t>
        </ns0:is>
      </ns0:c>
      <ns0:c r="D32" s="74" t="inlineStr">
        <ns0:is>
          <ns0:t>Technology</ns0:t>
        </ns0:is>
      </ns0:c>
      <ns0:c r="E32" s="74" t="inlineStr">
        <ns0:is>
          <ns0:t>Internet &amp; fintech</ns0:t>
        </ns0:is>
      </ns0:c>
      <ns0:c r="F32" s="74" t="inlineStr">
        <ns0:is>
          <ns0:t>Systems Software</ns0:t>
        </ns0:is>
      </ns0:c>
      <ns0:c r="G32" s="74" t="inlineStr">
        <ns0:is>
          <ns0:t>WVR</ns0:t>
        </ns0:is>
      </ns0:c>
      <ns0:c r="H32" s="75" t="n">
        <ns0:v>44286</ns0:v>
      </ns0:c>
      <ns0:c r="I32" s="76" t="n">
        <ns0:v>3937.6</ns0:v>
      </ns0:c>
      <ns0:c r="J32" s="74" t="inlineStr">
        <ns0:is>
          <ns0:t>gross (price x shares)</ns0:t>
        </ns0:is>
      </ns0:c>
      <ns0:c r="K32" s="95" t="n"/>
      <ns0:c r="L32" s="77" t="n">
        <ns0:v>31.8</ns0:v>
      </ns0:c>
      <ns0:c r="M32" s="77" t="n">
        <ns0:v>31.8</ns0:v>
      </ns0:c>
      <ns0:c r="N32" s="74" t="inlineStr">
        <ns0:is>
          <ns0:t>Y</ns0:t>
        </ns0:is>
      </ns0:c>
      <ns0:c r="O32" s="78" t="n">
        <ns0:v>100</ns0:v>
      </ns0:c>
      <ns0:c r="P32" s="84" t="n"/>
      <ns0:c r="Q32" s="79" t="n">
        <ns0:v>15750.2</ns0:v>
      </ns0:c>
      <ns0:c r="R32" s="74" t="inlineStr">
        <ns0:is>
          <ns0:t>aastocks:上市市值 at the struck price</ns0:t>
        </ns0:is>
      </ns0:c>
      <ns0:c r="S32" s="80" t="n">
        <ns0:v>150.67</ns0:v>
      </ns0:c>
      <ns0:c r="T32" s="81" t="n">
        <ns0:v>36.3</ns0:v>
      </ns0:c>
      <ns0:c r="U32" s="82" t="n">
        <ns0:v>47.3</ns0:v>
      </ns0:c>
      <ns0:c r="V32" s="83" t="n">
        <ns0:v>198</ns0:v>
      </ns0:c>
      <ns0:c r="W32" s="84" t="n"/>
      <ns0:c r="X32" s="85" t="n"/>
      <ns0:c r="Y32" s="79" t="n">
        <ns0:v>2075.12</ns0:v>
      </ns0:c>
      <ns0:c r="Z32" s="79" t="n">
        <ns0:v>65254458</ns0:v>
      </ns0:c>
      <ns0:c r="AA32" s="78" t="n">
        <ns0:v>13.18</ns0:v>
      </ns0:c>
      <ns0:c r="AB32" s="74" t="inlineStr">
        <ns0:is>
          <ns0:t>Cederberg Capital Limited; China Structural Reform Fund Corporation Limited; Franchise Fund LP</ns0:t>
        </ns0:is>
      </ns0:c>
      <ns0:c r="AC32" s="74" t="inlineStr">
        <ns0:is>
          <ns0:t>cederberg;structural;franchise</ns0:t>
        </ns0:is>
      </ns0:c>
      <ns0:c r="AD32" s="78" t="n">
        <ns0:v>5.19</ns0:v>
      </ns0:c>
      <ns0:c r="AE32" s="74" t="inlineStr">
        <ns0:is>
          <ns0:t>lapsed</ns0:t>
        </ns0:is>
      </ns0:c>
      <ns0:c r="AF32" s="85" t="n"/>
      <ns0:c r="AG32" s="85" t="n"/>
      <ns0:c r="AH32" s="85" t="n"/>
      <ns0:c r="AI32" s="86" t="n">
        <ns0:v>-7.23</ns0:v>
      </ns0:c>
      <ns0:c r="AJ32" s="87" t="n">
        <ns0:v>-16.04</ns0:v>
      </ns0:c>
      <ns0:c r="AK32" s="87" t="n">
        <ns0:v>0</ns0:v>
      </ns0:c>
      <ns0:c r="AL32" s="87" t="n">
        <ns0:v>-7.39</ns0:v>
      </ns0:c>
      <ns0:c r="AM32" s="87" t="n">
        <ns0:v>-9.34</ns0:v>
      </ns0:c>
      <ns0:c r="AN32" s="88" t="n"/>
      <ns0:c r="AO32" s="78" t="n">
        <ns0:v>9.51</ns0:v>
      </ns0:c>
      <ns0:c r="AP32" s="87" t="n">
        <ns0:v>-23.11</ns0:v>
      </ns0:c>
      <ns0:c r="AQ32" s="87" t="n">
        <ns0:v>-35.06</ns0:v>
      </ns0:c>
      <ns0:c r="AR32" s="87" t="n">
        <ns0:v>-40.57</ns0:v>
      </ns0:c>
      <ns0:c r="AS32" s="87" t="n">
        <ns0:v>-8.42</ns0:v>
      </ns0:c>
      <ns0:c r="AT32" s="87" t="n">
        <ns0:v>-22.65</ns0:v>
      </ns0:c>
      <ns0:c r="AU32" s="87" t="n">
        <ns0:v>-29.22</ns0:v>
      </ns0:c>
      <ns0:c r="AV32" s="87" t="n">
        <ns0:v>-23.17</ns0:v>
      </ns0:c>
      <ns0:c r="AW32" s="87" t="n">
        <ns0:v>-36.23</ns0:v>
      </ns0:c>
      <ns0:c r="AX32" s="87" t="n">
        <ns0:v>-34.17</ns0:v>
      </ns0:c>
      <ns0:c r="AY32" s="87" t="n">
        <ns0:v>-23.82</ns0:v>
      </ns0:c>
      <ns0:c r="AZ32" s="87" t="n">
        <ns0:v>1.17</ns0:v>
      </ns0:c>
      <ns0:c r="BA32" s="87" t="n">
        <ns0:v>1.17</ns0:v>
      </ns0:c>
      <ns0:c r="BB32" s="74" t="inlineStr">
        <ns0:is>
          <ns0:t>HSTECH (Hang Seng TECH ETF)</ns0:t>
        </ns0:is>
      </ns0:c>
      <ns0:c r="BC32" s="87" t="n">
        <ns0:v>-84.04000000000001</ns0:v>
      </ns0:c>
      <ns0:c r="BD32" s="75" t="n">
        <ns0:v>46297</ns0:v>
      </ns0:c>
      <ns0:c r="BE32" s="76" t="n">
        <ns0:v>447</ns0:v>
      </ns0:c>
      <ns0:c r="BF32" s="79" t="n">
        <ns0:v>-103.6</ns0:v>
      </ns0:c>
      <ns0:c r="BG32" s="74" t="inlineStr">
        <ns0:is>
          <ns0:t>N</ns0:t>
        </ns0:is>
      </ns0:c>
      <ns0:c r="BH32" s="74" t="inlineStr">
        <ns0:is>
          <ns0:t>n/m</ns0:t>
        </ns0:is>
      </ns0:c>
      <ns0:c r="BI32" s="88" t="n"/>
      <ns0:c r="BJ32" s="89" t="n">
        <ns0:v>32.3</ns0:v>
      </ns0:c>
      <ns0:c r="BK32" s="89" t="n">
        <ns0:v>35.2</ns0:v>
      </ns0:c>
      <ns0:c r="BL32" s="90">
        <ns0:f>IFERROR(IF('BBG Verify'!S32="","Awaiting Bloomberg",'BBG Verify'!S32),"Awaiting Bloomberg")</ns0:f>
        <ns0:v/>
      </ns0:c>
      <ns0:c r="BM32" s="91" t="inlineStr">
        <ns0:is>
          <ns0:t>N</ns0:t>
        </ns0:is>
      </ns0:c>
      <ns0:c r="BN32" s="92">
        <ns0:f>IFERROR(IF('BBG Verify'!K32="","Awaiting Bloomberg",'BBG Verify'!K32),"Awaiting Bloomberg")</ns0:f>
        <ns0:v/>
      </ns0:c>
      <ns0:c r="BO32" s="74" t="inlineStr">
        <ns0:is>
          <ns0:t>N/A</ns0:t>
        </ns0:is>
      </ns0:c>
      <ns0:c r="BP32" s="74" t="inlineStr">
        <ns0:is>
          <ns0:t>N/A</ns0:t>
        </ns0:is>
      </ns0:c>
      <ns0:c r="BQ32" s="74" t="inlineStr">
        <ns0:is>
          <ns0:t>N/A</ns0:t>
        </ns0:is>
      </ns0:c>
      <ns0:c r="BR32" s="74" t="inlineStr">
        <ns0:is>
          <ns0:t>N/A</ns0:t>
        </ns0:is>
      </ns0:c>
      <ns0:c r="BS32" s="74" t="inlineStr">
        <ns0:is>
          <ns0:t>N/A</ns0:t>
        </ns0:is>
      </ns0:c>
      <ns0:c r="BT32" s="74" t="inlineStr">
        <ns0:is>
          <ns0:t>N/A</ns0:t>
        </ns0:is>
      </ns0:c>
      <ns0:c r="BU32" s="91" t="inlineStr">
        <ns0:is>
          <ns0:t>Morgan Stanley Asia Limited; China International Capital Corporation Hong Kong Securities Limited; CMBC International Capital Limited</ns0:t>
        </ns0:is>
      </ns0:c>
      <ns0:c r="BV32" s="74" t="inlineStr">
        <ns0:is>
          <ns0:t>China International Capital Corporation Hong Kong Securities Limited; Morgan Stanley Asia Limited; CMBC International Capital Limited</ns0:t>
        </ns0:is>
      </ns0:c>
      <ns0:c r="BW32" s="74" t="inlineStr">
        <ns0:is>
          <ns0: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ns0:t>
        </ns0:is>
      </ns0:c>
      <ns0:c r="BX32" s="74" t="inlineStr">
        <ns0:is>
          <ns0: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ns0:t>
        </ns0:is>
      </ns0:c>
      <ns0:c r="BY32" s="93">
        <ns0:f>HYPERLINK("https://www1.hkexnews.hk/listedco/listconews/sehk/2021/0319/2021031900021.pdf","prospectus")</ns0:f>
        <ns0:v/>
      </ns0:c>
      <ns0:c r="BZ32" s="93">
        <ns0:f>HYPERLINK("https://www1.hkexnews.hk/listedco/listconews/sehk/2021/0330/2021033000204.htm","allotment")</ns0:f>
        <ns0:v/>
      </ns0:c>
      <ns0:c r="CA32" s="93">
        <ns0:f>HYPERLINK("https://www1.hkexnews.hk/listedco/listconews/sehk/2021/0423/2021042302099.pdf","stabilisation")</ns0:f>
        <ns0:v/>
      </ns0:c>
      <ns0:c r="CB32" s="94" t="n"/>
      <ns0:c r="CC32" s="74" t="inlineStr">
        <ns0:is>
          <ns0:t>P/E: loss-making at IPO, use P/S; greenshoe: outcome published; expiry date not in the notice; range low: maximum offer price only, no floor published; market cap: prospectus 'market capitalisation' line is the listing-rule threshold, not the issuer's figure; rejected; stabilising manager: not named in the allotment notice or prospectus glossary; allocation: allocation table not in this notice's format (older prose announcement); day-1 tape: volume on file; the retail multiple needs the final public split, which this notice does not state</ns0:t>
        </ns0:is>
      </ns0:c>
    </ns0:row>
    <ns0:row r="33" ht="22" customHeight="1">
      <ns0:c r="A33" s="73" t="inlineStr">
        <ns0:is>
          <ns0:t>2195</ns0:t>
        </ns0:is>
      </ns0:c>
      <ns0:c r="B33" s="74" t="inlineStr">
        <ns0:is>
          <ns0:t>UNITY ENT</ns0:t>
        </ns0:is>
      </ns0:c>
      <ns0:c r="C33" s="74" t="inlineStr">
        <ns0:is>
          <ns0:t>盈滙企業控股</ns0:t>
        </ns0:is>
      </ns0:c>
      <ns0:c r="D33" s="74" t="inlineStr">
        <ns0:is>
          <ns0:t>Industrials</ns0:t>
        </ns0:is>
      </ns0:c>
      <ns0:c r="E33" s="74" t="inlineStr">
        <ns0:is>
          <ns0:t>Construction / engineering</ns0:t>
        </ns0:is>
      </ns0:c>
      <ns0:c r="F33" s="74" t="inlineStr">
        <ns0:is>
          <ns0:t>Building Construction</ns0:t>
        </ns0:is>
      </ns0:c>
      <ns0:c r="G33" s="74" t="inlineStr">
        <ns0:is>
          <ns0:t>Standard</ns0:t>
        </ns0:is>
      </ns0:c>
      <ns0:c r="H33" s="75" t="n">
        <ns0:v>44286</ns0:v>
      </ns0:c>
      <ns0:c r="I33" s="76" t="n">
        <ns0:v>140</ns0:v>
      </ns0:c>
      <ns0:c r="J33" s="74" t="inlineStr">
        <ns0:is>
          <ns0:t>gross (price x shares)</ns0:t>
        </ns0:is>
      </ns0:c>
      <ns0:c r="K33" s="77" t="n">
        <ns0:v>0.5</ns0:v>
      </ns0:c>
      <ns0:c r="L33" s="77" t="n">
        <ns0:v>0.5600000000000001</ns0:v>
      </ns0:c>
      <ns0:c r="M33" s="77" t="n">
        <ns0:v>0.5600000000000001</ns0:v>
      </ns0:c>
      <ns0:c r="N33" s="74" t="inlineStr">
        <ns0:is>
          <ns0:t>Y</ns0:t>
        </ns0:is>
      </ns0:c>
      <ns0:c r="O33" s="78" t="n">
        <ns0:v>100</ns0:v>
      </ns0:c>
      <ns0:c r="P33" s="78" t="n">
        <ns0:v>100</ns0:v>
      </ns0:c>
      <ns0:c r="Q33" s="79" t="n">
        <ns0:v>560</ns0:v>
      </ns0:c>
      <ns0:c r="R33" s="74" t="inlineStr">
        <ns0:is>
          <ns0:t>aastocks:上市市值 at the struck price</ns0:t>
        </ns0:is>
      </ns0:c>
      <ns0:c r="S33" s="80" t="n">
        <ns0:v>21.65</ns0:v>
      </ns0:c>
      <ns0:c r="T33" s="81" t="n">
        <ns0:v>1.08</ns0:v>
      </ns0:c>
      <ns0:c r="U33" s="82" t="n">
        <ns0:v>0</ns0:v>
      </ns0:c>
      <ns0:c r="V33" s="83" t="n">
        <ns0:v>129</ns0:v>
      </ns0:c>
      <ns0:c r="W33" s="78" t="n">
        <ns0:v>30</ns0:v>
      </ns0:c>
      <ns0:c r="X33" s="74" t="inlineStr">
        <ns0:is>
          <ns0:t>YES</ns0:t>
        </ns0:is>
      </ns0:c>
      <ns0:c r="Y33" s="79" t="n">
        <ns0:v>140</ns0:v>
      </ns0:c>
      <ns0:c r="Z33" s="79" t="n">
        <ns0:v>250000000</ns0:v>
      </ns0:c>
      <ns0:c r="AA33" s="78" t="n">
        <ns0:v>25</ns0:v>
      </ns0:c>
      <ns0:c r="AB33" s="74" t="inlineStr">
        <ns0:is>
          <ns0:t>none — no cornerstone tranche</ns0:t>
        </ns0:is>
      </ns0:c>
      <ns0:c r="AC33" s="74" t="inlineStr">
        <ns0:is>
          <ns0:t>none</ns0:t>
        </ns0:is>
      </ns0:c>
      <ns0:c r="AD33" s="84" t="n"/>
      <ns0:c r="AE33" s="85" t="n"/>
      <ns0:c r="AF33" s="74" t="inlineStr">
        <ns0:is>
          <ns0:t>2021-04-23</ns0:t>
        </ns0:is>
      </ns0:c>
      <ns0:c r="AG33" s="85" t="n"/>
      <ns0:c r="AH33" s="85" t="n"/>
      <ns0:c r="AI33" s="86" t="n">
        <ns0:v>-29.46</ns0:v>
      </ns0:c>
      <ns0:c r="AJ33" s="87" t="n">
        <ns0:v>-41.07</ns0:v>
      </ns0:c>
      <ns0:c r="AK33" s="87" t="n">
        <ns0:v>-0.23</ns0:v>
      </ns0:c>
      <ns0:c r="AL33" s="87" t="n">
        <ns0:v>-28.57</ns0:v>
      </ns0:c>
      <ns0:c r="AM33" s="87" t="n">
        <ns0:v>-17.5</ns0:v>
      </ns0:c>
      <ns0:c r="AN33" s="89" t="n">
        <ns0:v>1.4</ns0:v>
      </ns0:c>
      <ns0:c r="AO33" s="78" t="n">
        <ns0:v>21.25</ns0:v>
      </ns0:c>
      <ns0:c r="AP33" s="87" t="n">
        <ns0:v>-46.43</ns0:v>
      </ns0:c>
      <ns0:c r="AQ33" s="87" t="n">
        <ns0:v>-17.86</ns0:v>
      </ns0:c>
      <ns0:c r="AR33" s="87" t="n">
        <ns0:v>-24.11</ns0:v>
      </ns0:c>
      <ns0:c r="AS33" s="87" t="n">
        <ns0:v>-9.1</ns0:v>
      </ns0:c>
      <ns0:c r="AT33" s="87" t="n">
        <ns0:v>39.39</ns0:v>
      </ns0:c>
      <ns0:c r="AU33" s="87" t="n">
        <ns0:v>28.78</ns0:v>
      </ns0:c>
      <ns0:c r="AV33" s="87" t="n">
        <ns0:v>-46.9</ns0:v>
      </ns0:c>
      <ns0:c r="AW33" s="87" t="n">
        <ns0:v>-19.52</ns0:v>
      </ns0:c>
      <ns0:c r="AX33" s="87" t="n">
        <ns0:v>-25.43</ns0:v>
      </ns0:c>
      <ns0:c r="AY33" s="87" t="n">
        <ns0:v>37.49</ns0:v>
      </ns0:c>
      <ns0:c r="AZ33" s="87" t="n">
        <ns0:v>1.66</ns0:v>
      </ns0:c>
      <ns0:c r="BA33" s="87" t="n">
        <ns0:v>1.9</ns0:v>
      </ns0:c>
      <ns0:c r="BB33" s="74" t="inlineStr">
        <ns0:is>
          <ns0:t>Hang Seng Commerce &amp; Industry sub-index</ns0:t>
        </ns0:is>
      </ns0:c>
      <ns0:c r="BC33" s="87" t="n">
        <ns0:v>-95.54000000000001</ns0:v>
      </ns0:c>
      <ns0:c r="BD33" s="75" t="n">
        <ns0:v>46297</ns0:v>
      </ns0:c>
      <ns0:c r="BE33" s="76" t="n">
        <ns0:v>302</ns0:v>
      </ns0:c>
      <ns0:c r="BF33" s="79" t="n">
        <ns0:v>43.2</ns0:v>
      </ns0:c>
      <ns0:c r="BG33" s="74" t="inlineStr">
        <ns0:is>
          <ns0:t>Y</ns0:t>
        </ns0:is>
      </ns0:c>
      <ns0:c r="BH33" s="89" t="n">
        <ns0:v>13</ns0:v>
      </ns0:c>
      <ns0:c r="BI33" s="89" t="n">
        <ns0:v>6.6</ns0:v>
      </ns0:c>
      <ns0:c r="BJ33" s="88" t="n"/>
      <ns0:c r="BK33" s="89" t="n">
        <ns0:v>1.9</ns0:v>
      </ns0:c>
      <ns0:c r="BL33" s="90">
        <ns0:f>IFERROR(IF('BBG Verify'!S33="","Awaiting Bloomberg",'BBG Verify'!S33),"Awaiting Bloomberg")</ns0:f>
        <ns0:v/>
      </ns0:c>
      <ns0:c r="BM33" s="91" t="inlineStr">
        <ns0:is>
          <ns0:t>N</ns0:t>
        </ns0:is>
      </ns0:c>
      <ns0:c r="BN33" s="92">
        <ns0:f>IFERROR(IF('BBG Verify'!K33="","Awaiting Bloomberg",'BBG Verify'!K33),"Awaiting Bloomberg")</ns0:f>
        <ns0:v/>
      </ns0:c>
      <ns0:c r="BO33" s="74" t="inlineStr">
        <ns0:is>
          <ns0:t>N/A</ns0:t>
        </ns0:is>
      </ns0:c>
      <ns0:c r="BP33" s="74" t="inlineStr">
        <ns0:is>
          <ns0:t>N/A</ns0:t>
        </ns0:is>
      </ns0:c>
      <ns0:c r="BQ33" s="74" t="inlineStr">
        <ns0:is>
          <ns0:t>N/A</ns0:t>
        </ns0:is>
      </ns0:c>
      <ns0:c r="BR33" s="74" t="inlineStr">
        <ns0:is>
          <ns0:t>N/A</ns0:t>
        </ns0:is>
      </ns0:c>
      <ns0:c r="BS33" s="74" t="inlineStr">
        <ns0:is>
          <ns0:t>N/A</ns0:t>
        </ns0:is>
      </ns0:c>
      <ns0:c r="BT33" s="74" t="inlineStr">
        <ns0:is>
          <ns0:t>N/A</ns0:t>
        </ns0:is>
      </ns0:c>
      <ns0:c r="BU33" s="91" t="inlineStr">
        <ns0:is>
          <ns0:t>Grande Capital Limited</ns0:t>
        </ns0:is>
      </ns0:c>
      <ns0:c r="BV33" s="74" t="inlineStr">
        <ns0:is>
          <ns0:t>Grande Capital Limited</ns0:t>
        </ns0:is>
      </ns0:c>
      <ns0:c r="BW33" s="74" t="inlineStr">
        <ns0:is>
          <ns0:t>Zhong J ia Securities Limited; MTF Securities Limited</ns0:t>
        </ns0:is>
      </ns0:c>
      <ns0:c r="BX33" s="74" t="inlineStr">
        <ns0:is>
          <ns0:t>ChaoShang Securities Limited; Get Nice Securities Limited; Head &amp; Shoulders Securities Limited; MTF Securities Limited; Sinomax Securities Limited; Vinco Capital Limited; Zhong Jia Securities Limited</ns0:t>
        </ns0:is>
      </ns0:c>
      <ns0:c r="BY33" s="93">
        <ns0:f>HYPERLINK("https://www1.hkexnews.hk/listedco/listconews/sehk/2021/0319/2021031900036.htm","prospectus")</ns0:f>
        <ns0:v/>
      </ns0:c>
      <ns0:c r="BZ33" s="93">
        <ns0:f>HYPERLINK("https://www1.hkexnews.hk/listedco/listconews/sehk/2021/0330/2021033000230.htm","allotment")</ns0:f>
        <ns0:v/>
      </ns0:c>
      <ns0:c r="CA33" s="85" t="n"/>
      <ns0:c r="CB33" s="94" t="n"/>
      <ns0:c r="CC33" s="74" t="inlineStr">
        <ns0:is>
          <ns0:t>greenshoe: no over-allotment option; sponsor: English name not in the filing; AAStocks 保薦人 shown; cornerstone list: no cornerstone tranche; greenshoe size: no over-allotment option; stabilising manager: no over-allotment option, so none appointed</ns0:t>
        </ns0:is>
      </ns0:c>
    </ns0:row>
    <ns0:row r="34" ht="22" customHeight="1">
      <ns0:c r="A34" s="73" t="inlineStr">
        <ns0:is>
          <ns0:t>9959</ns0:t>
        </ns0:is>
      </ns0:c>
      <ns0:c r="B34" s="74" t="inlineStr">
        <ns0:is>
          <ns0:t>LINKLOGIS–W</ns0:t>
        </ns0:is>
      </ns0:c>
      <ns0:c r="C34" s="74" t="inlineStr">
        <ns0:is>
          <ns0:t>聯易融科技－Ｗ</ns0:t>
        </ns0:is>
      </ns0:c>
      <ns0:c r="D34" s="74" t="inlineStr">
        <ns0:is>
          <ns0:t>Technology</ns0:t>
        </ns0:is>
      </ns0:c>
      <ns0:c r="E34" s="74" t="inlineStr">
        <ns0:is>
          <ns0:t>Internet &amp; fintech</ns0:t>
        </ns0:is>
      </ns0:c>
      <ns0:c r="F34" s="74" t="inlineStr">
        <ns0:is>
          <ns0:t>IT Consulting &amp; Other Services</ns0:t>
        </ns0:is>
      </ns0:c>
      <ns0:c r="G34" s="74" t="inlineStr">
        <ns0:is>
          <ns0:t>WVR</ns0:t>
        </ns0:is>
      </ns0:c>
      <ns0:c r="H34" s="75" t="n">
        <ns0:v>44295</ns0:v>
      </ns0:c>
      <ns0:c r="I34" s="76" t="n">
        <ns0:v>7961.6</ns0:v>
      </ns0:c>
      <ns0:c r="J34" s="74" t="inlineStr">
        <ns0:is>
          <ns0:t>gross (price x shares)</ns0:t>
        </ns0:is>
      </ns0:c>
      <ns0:c r="K34" s="77" t="n">
        <ns0:v>16.28</ns0:v>
      </ns0:c>
      <ns0:c r="L34" s="77" t="n">
        <ns0:v>18.28</ns0:v>
      </ns0:c>
      <ns0:c r="M34" s="77" t="n">
        <ns0:v>17.58</ns0:v>
      </ns0:c>
      <ns0:c r="N34" s="74" t="inlineStr">
        <ns0:is>
          <ns0:t>N</ns0:t>
        </ns0:is>
      </ns0:c>
      <ns0:c r="O34" s="78" t="n">
        <ns0:v>96.2</ns0:v>
      </ns0:c>
      <ns0:c r="P34" s="78" t="n">
        <ns0:v>65</ns0:v>
      </ns0:c>
      <ns0:c r="Q34" s="79" t="n">
        <ns0:v>35452.4</ns0:v>
      </ns0:c>
      <ns0:c r="R34" s="74" t="inlineStr">
        <ns0:is>
          <ns0:t>prospectus:stated market capitalisation, rescaled to the offer price</ns0:t>
        </ns0:is>
      </ns0:c>
      <ns0:c r="S34" s="80" t="n">
        <ns0:v>98.45999999999999</ns0:v>
      </ns0:c>
      <ns0:c r="T34" s="81" t="n">
        <ns0:v>14.83</ns0:v>
      </ns0:c>
      <ns0:c r="U34" s="82" t="n">
        <ns0:v>35.6</ns0:v>
      </ns0:c>
      <ns0:c r="V34" s="83" t="n">
        <ns0:v>294</ns0:v>
      </ns0:c>
      <ns0:c r="W34" s="84" t="n"/>
      <ns0:c r="X34" s="85" t="n"/>
      <ns0:c r="Y34" s="79" t="n">
        <ns0:v>5127.27</ns0:v>
      </ns0:c>
      <ns0:c r="Z34" s="79" t="n">
        <ns0:v>291653754</ns0:v>
      </ns0:c>
      <ns0:c r="AA34" s="78" t="n">
        <ns0:v>14.46</ns0:v>
      </ns0:c>
      <ns0:c r="AB34" s="74" t="inlineStr">
        <ns0:is>
          <ns0:t>BlackRock Funds; EDB Investments; Fidelity International; Janus Henderson Funds; Ontario Teachers Pension Plan Board; Sequoia Funds</ns0:t>
        </ns0:is>
      </ns0:c>
      <ns0:c r="AC34" s="74" t="inlineStr">
        <ns0:is>
          <ns0:t>blackrock;edb;fidelity;janus;ontario;sequoia</ns0:t>
        </ns0:is>
      </ns0:c>
      <ns0:c r="AD34" s="78" t="n">
        <ns0:v>15</ns0:v>
      </ns0:c>
      <ns0:c r="AE34" s="74" t="inlineStr">
        <ns0:is>
          <ns0:t>full</ns0:t>
        </ns0:is>
      </ns0:c>
      <ns0:c r="AF34" s="74" t="inlineStr">
        <ns0:is>
          <ns0:t>2021-04-30</ns0:t>
        </ns0:is>
      </ns0:c>
      <ns0:c r="AG34" s="74" t="inlineStr">
        <ns0:is>
          <ns0:t>Goldman Sachs</ns0:t>
        </ns0:is>
      </ns0:c>
      <ns0:c r="AH34" s="74" t="inlineStr">
        <ns0:is>
          <ns0:t>Goldman Sachs</ns0:t>
        </ns0:is>
      </ns0:c>
      <ns0:c r="AI34" s="86" t="n">
        <ns0:v>3.98</ns0:v>
      </ns0:c>
      <ns0:c r="AJ34" s="87" t="n">
        <ns0:v>9.9</ns0:v>
      </ns0:c>
      <ns0:c r="AK34" s="87" t="n">
        <ns0:v>-1.73</ns0:v>
      </ns0:c>
      <ns0:c r="AL34" s="87" t="n">
        <ns0:v>9.9</ns0:v>
      </ns0:c>
      <ns0:c r="AM34" s="87" t="n">
        <ns0:v>0</ns0:v>
      </ns0:c>
      <ns0:c r="AN34" s="88" t="n"/>
      <ns0:c r="AO34" s="78" t="n">
        <ns0:v>7.35</ns0:v>
      </ns0:c>
      <ns0:c r="AP34" s="87" t="n">
        <ns0:v>25.43</ns0:v>
      </ns0:c>
      <ns0:c r="AQ34" s="87" t="n">
        <ns0:v>25.14</ns0:v>
      </ns0:c>
      <ns0:c r="AR34" s="87" t="n">
        <ns0:v>-17.41</ns0:v>
      </ns0:c>
      <ns0:c r="AS34" s="87" t="n">
        <ns0:v>14.13</ns0:v>
      </ns0:c>
      <ns0:c r="AT34" s="87" t="n">
        <ns0:v>13.87</ns0:v>
      </ns0:c>
      <ns0:c r="AU34" s="87" t="n">
        <ns0:v>-24.85</ns0:v>
      </ns0:c>
      <ns0:c r="AV34" s="87" t="n">
        <ns0:v>28.11</ns0:v>
      </ns0:c>
      <ns0:c r="AW34" s="87" t="n">
        <ns0:v>31.82</ns0:v>
      </ns0:c>
      <ns0:c r="AX34" s="87" t="n">
        <ns0:v>-6.26</ns0:v>
      </ns0:c>
      <ns0:c r="AY34" s="87" t="n">
        <ns0:v>18.91</ns0:v>
      </ns0:c>
      <ns0:c r="AZ34" s="87" t="n">
        <ns0:v>-6.68</ns0:v>
      </ns0:c>
      <ns0:c r="BA34" s="87" t="n">
        <ns0:v>-5.04</ns0:v>
      </ns0:c>
      <ns0:c r="BB34" s="74" t="inlineStr">
        <ns0:is>
          <ns0:t>HSTECH (Hang Seng TECH ETF)</ns0:t>
        </ns0:is>
      </ns0:c>
      <ns0:c r="BC34" s="87" t="n">
        <ns0:v>-87.31999999999999</ns0:v>
      </ns0:c>
      <ns0:c r="BD34" s="75" t="n">
        <ns0:v>46297</ns0:v>
      </ns0:c>
      <ns0:c r="BE34" s="76" t="n">
        <ns0:v>167.9</ns0:v>
      </ns0:c>
      <ns0:c r="BF34" s="79" t="n">
        <ns0:v>-787</ns0:v>
      </ns0:c>
      <ns0:c r="BG34" s="74" t="inlineStr">
        <ns0:is>
          <ns0:t>N</ns0:t>
        </ns0:is>
      </ns0:c>
      <ns0:c r="BH34" s="74" t="inlineStr">
        <ns0:is>
          <ns0:t>n/m</ns0:t>
        </ns0:is>
      </ns0:c>
      <ns0:c r="BI34" s="88" t="n"/>
      <ns0:c r="BJ34" s="88" t="n"/>
      <ns0:c r="BK34" s="89" t="n">
        <ns0:v>211.2</ns0:v>
      </ns0:c>
      <ns0:c r="BL34" s="90">
        <ns0:f>IFERROR(IF('BBG Verify'!S34="","Awaiting Bloomberg",'BBG Verify'!S34),"Awaiting Bloomberg")</ns0:f>
        <ns0:v/>
      </ns0:c>
      <ns0:c r="BM34" s="91" t="inlineStr">
        <ns0:is>
          <ns0:t>N</ns0:t>
        </ns0:is>
      </ns0:c>
      <ns0:c r="BN34" s="92">
        <ns0:f>IFERROR(IF('BBG Verify'!K34="","Awaiting Bloomberg",'BBG Verify'!K34),"Awaiting Bloomberg")</ns0:f>
        <ns0:v/>
      </ns0:c>
      <ns0:c r="BO34" s="74" t="inlineStr">
        <ns0:is>
          <ns0:t>N/A</ns0:t>
        </ns0:is>
      </ns0:c>
      <ns0:c r="BP34" s="74" t="inlineStr">
        <ns0:is>
          <ns0:t>N/A</ns0:t>
        </ns0:is>
      </ns0:c>
      <ns0:c r="BQ34" s="74" t="inlineStr">
        <ns0:is>
          <ns0:t>N/A</ns0:t>
        </ns0:is>
      </ns0:c>
      <ns0:c r="BR34" s="74" t="inlineStr">
        <ns0:is>
          <ns0:t>N/A</ns0:t>
        </ns0:is>
      </ns0:c>
      <ns0:c r="BS34" s="74" t="inlineStr">
        <ns0:is>
          <ns0:t>N/A</ns0:t>
        </ns0:is>
      </ns0:c>
      <ns0:c r="BT34" s="74" t="inlineStr">
        <ns0:is>
          <ns0:t>N/A</ns0:t>
        </ns0:is>
      </ns0:c>
      <ns0:c r="BU34" s="91" t="inlineStr">
        <ns0:is>
          <ns0:t>Goldman Sachs (Asia) L.L.C; China International Capital Corporation Hong Kong Securities Limited</ns0:t>
        </ns0:is>
      </ns0:c>
      <ns0:c r="BV34" s="74" t="inlineStr">
        <ns0:is>
          <ns0:t>China International Capital Corporation Hong Kong Securities Limited; Goldman Sachs (Asia) L.L.C.</ns0:t>
        </ns0:is>
      </ns0:c>
      <ns0:c r="BW34" s="74" t="inlineStr">
        <ns0:is>
          <ns0:t>Goldman Sachs (Asia) L.L.C; China International Capital Corporation Hong Kong Securities Limited; Citigroup Global Markets Asia Limited; Kong) Limited; CLSA Limited</ns0:t>
        </ns0:is>
      </ns0:c>
      <ns0:c r="BX34" s="74" t="inlineStr">
        <ns0:is>
          <ns0: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ns0:t>
        </ns0:is>
      </ns0:c>
      <ns0:c r="BY34" s="93">
        <ns0:f>HYPERLINK("https://www1.hkexnews.hk/listedco/listconews/sehk/2021/0326/2021032600037.pdf","prospectus")</ns0:f>
        <ns0:v/>
      </ns0:c>
      <ns0:c r="BZ34" s="93">
        <ns0:f>HYPERLINK("https://www1.hkexnews.hk/listedco/listconews/sehk/2021/0408/2021040800096.htm","allotment")</ns0:f>
        <ns0:v/>
      </ns0:c>
      <ns0:c r="CA34" s="93">
        <ns0:f>HYPERLINK("https://www1.hkexnews.hk/listedco/listconews/sehk/2021/0430/2021043002237.pdf","stabilisation")</ns0:f>
        <ns0:v/>
      </ns0:c>
      <ns0:c r="CB34" s="94" t="n"/>
      <ns0:c r="CC34" s="74" t="inlineStr">
        <ns0:is>
          <ns0:t>P/E: loss-making at IPO, use P/S; market cap: prospectus cap HK$36,864m at HK$18.28, rescaled to HK$17.58; cornerstone: % from the prospectus; AAStocks table includes non-cornerstone orders; allocation: allocation table not in this notice's format (older prose announcement); day-1 tape: volume on file; the retail multiple needs the final public split, which this notice does not state</ns0:t>
        </ns0:is>
      </ns0:c>
    </ns0:row>
    <ns0:row r="35" ht="22" customHeight="1">
      <ns0:c r="A35" s="73" t="inlineStr">
        <ns0:is>
          <ns0:t>9961</ns0:t>
        </ns0:is>
      </ns0:c>
      <ns0:c r="B35" s="74" t="inlineStr">
        <ns0:is>
          <ns0:t>TRIP.COM-S</ns0:t>
        </ns0:is>
      </ns0:c>
      <ns0:c r="C35" s="74" t="inlineStr">
        <ns0:is>
          <ns0:t>攜程集團－Ｓ</ns0:t>
        </ns0:is>
      </ns0:c>
      <ns0:c r="D35" s="74" t="inlineStr">
        <ns0:is>
          <ns0:t>Technology</ns0:t>
        </ns0:is>
      </ns0:c>
      <ns0:c r="E35" s="74" t="inlineStr">
        <ns0:is>
          <ns0:t>Internet &amp; fintech</ns0:t>
        </ns0:is>
      </ns0:c>
      <ns0:c r="F35" s="74" t="inlineStr">
        <ns0:is>
          <ns0:t>Tourism</ns0:t>
        </ns0:is>
      </ns0:c>
      <ns0:c r="G35" s="74" t="inlineStr">
        <ns0:is>
          <ns0:t>Secondary</ns0:t>
        </ns0:is>
      </ns0:c>
      <ns0:c r="H35" s="75" t="n">
        <ns0:v>44305</ns0:v>
      </ns0:c>
      <ns0:c r="I35" s="76" t="n">
        <ns0:v>8478.299999999999</ns0:v>
      </ns0:c>
      <ns0:c r="J35" s="74" t="inlineStr">
        <ns0:is>
          <ns0:t>gross (price x shares)</ns0:t>
        </ns0:is>
      </ns0:c>
      <ns0:c r="K35" s="95" t="n"/>
      <ns0:c r="L35" s="77" t="n">
        <ns0:v>333</ns0:v>
      </ns0:c>
      <ns0:c r="M35" s="77" t="n">
        <ns0:v>268</ns0:v>
      </ns0:c>
      <ns0:c r="N35" s="74" t="inlineStr">
        <ns0:is>
          <ns0:t>N</ns0:t>
        </ns0:is>
      </ns0:c>
      <ns0:c r="O35" s="78" t="n">
        <ns0:v>80.5</ns0:v>
      </ns0:c>
      <ns0:c r="P35" s="84" t="n"/>
      <ns0:c r="Q35" s="79" t="n">
        <ns0:v>210692.8</ns0:v>
      </ns0:c>
      <ns0:c r="R35" s="74" t="inlineStr">
        <ns0:is>
          <ns0:t>prospectus:stated market capitalisation</ns0:t>
        </ns0:is>
      </ns0:c>
      <ns0:c r="S35" s="80" t="n">
        <ns0:v>17.78</ns0:v>
      </ns0:c>
      <ns0:c r="T35" s="81" t="n">
        <ns0:v>5.06</ns0:v>
      </ns0:c>
      <ns0:c r="U35" s="82" t="n">
        <ns0:v>0</ns0:v>
      </ns0:c>
      <ns0:c r="V35" s="83" t="n">
        <ns0:v>123</ns0:v>
      </ns0:c>
      <ns0:c r="W35" s="84" t="n"/>
      <ns0:c r="X35" s="85" t="n"/>
      <ns0:c r="Y35" s="79" t="n">
        <ns0:v>8478.299999999999</ns0:v>
      </ns0:c>
      <ns0:c r="Z35" s="79" t="n">
        <ns0:v>31635600</ns0:v>
      </ns0:c>
      <ns0:c r="AA35" s="78" t="n">
        <ns0:v>4.02</ns0:v>
      </ns0:c>
      <ns0:c r="AB35" s="74" t="inlineStr">
        <ns0:is>
          <ns0:t>none — no cornerstone tranche</ns0:t>
        </ns0:is>
      </ns0:c>
      <ns0:c r="AC35" s="74" t="inlineStr">
        <ns0:is>
          <ns0:t>none</ns0:t>
        </ns0:is>
      </ns0:c>
      <ns0:c r="AD35" s="78" t="n">
        <ns0:v>6.4</ns0:v>
      </ns0:c>
      <ns0:c r="AE35" s="74" t="inlineStr">
        <ns0:is>
          <ns0:t>full</ns0:t>
        </ns0:is>
      </ns0:c>
      <ns0:c r="AF35" s="74" t="inlineStr">
        <ns0:is>
          <ns0:t>2021-05-13</ns0:t>
        </ns0:is>
      </ns0:c>
      <ns0:c r="AG35" s="85" t="n"/>
      <ns0:c r="AH35" s="85" t="n"/>
      <ns0:c r="AI35" s="86" t="n">
        <ns0:v>3.73</ns0:v>
      </ns0:c>
      <ns0:c r="AJ35" s="87" t="n">
        <ns0:v>4.55</ns0:v>
      </ns0:c>
      <ns0:c r="AK35" s="87" t="n">
        <ns0:v>1.35</ns0:v>
      </ns0:c>
      <ns0:c r="AL35" s="87" t="n">
        <ns0:v>4.85</ns0:v>
      </ns0:c>
      <ns0:c r="AM35" s="87" t="n">
        <ns0:v>-0.29</ns0:v>
      </ns0:c>
      <ns0:c r="AN35" s="88" t="n"/>
      <ns0:c r="AO35" s="78" t="n">
        <ns0:v>2.14</ns0:v>
      </ns0:c>
      <ns0:c r="AP35" s="87" t="n">
        <ns0:v>11.49</ns0:v>
      </ns0:c>
      <ns0:c r="AQ35" s="87" t="n">
        <ns0:v>13.73</ns0:v>
      </ns0:c>
      <ns0:c r="AR35" s="87" t="n">
        <ns0:v>-16.04</ns0:v>
      </ns0:c>
      <ns0:c r="AS35" s="87" t="n">
        <ns0:v>6.64</ns0:v>
      </ns0:c>
      <ns0:c r="AT35" s="87" t="n">
        <ns0:v>8.779999999999999</ns0:v>
      </ns0:c>
      <ns0:c r="AU35" s="87" t="n">
        <ns0:v>-19.69</ns0:v>
      </ns0:c>
      <ns0:c r="AV35" s="87" t="n">
        <ns0:v>8.550000000000001</ns0:v>
      </ns0:c>
      <ns0:c r="AW35" s="87" t="n">
        <ns0:v>18.69</ns0:v>
      </ns0:c>
      <ns0:c r="AX35" s="87" t="n">
        <ns0:v>-5.26</ns0:v>
      </ns0:c>
      <ns0:c r="AY35" s="87" t="n">
        <ns0:v>15.01</ns0:v>
      </ns0:c>
      <ns0:c r="AZ35" s="87" t="n">
        <ns0:v>-4.96</ns0:v>
      </ns0:c>
      <ns0:c r="BA35" s="87" t="n">
        <ns0:v>-6.23</ns0:v>
      </ns0:c>
      <ns0:c r="BB35" s="74" t="inlineStr">
        <ns0:is>
          <ns0:t>HSTECH (Hang Seng TECH ETF)</ns0:t>
        </ns0:is>
      </ns0:c>
      <ns0:c r="BC35" s="87" t="n">
        <ns0:v>12.84</ns0:v>
      </ns0:c>
      <ns0:c r="BD35" s="75" t="n">
        <ns0:v>46297</ns0:v>
      </ns0:c>
      <ns0:c r="BE35" s="76" t="n">
        <ns0:v>20147.6</ns0:v>
      </ns0:c>
      <ns0:c r="BF35" s="79" t="n">
        <ns0:v>-3571.7</ns0:v>
      </ns0:c>
      <ns0:c r="BG35" s="74" t="inlineStr">
        <ns0:is>
          <ns0:t>N</ns0:t>
        </ns0:is>
      </ns0:c>
      <ns0:c r="BH35" s="74" t="inlineStr">
        <ns0:is>
          <ns0:t>n/m</ns0:t>
        </ns0:is>
      </ns0:c>
      <ns0:c r="BI35" s="88" t="n"/>
      <ns0:c r="BJ35" s="89" t="n">
        <ns0:v>7.3</ns0:v>
      </ns0:c>
      <ns0:c r="BK35" s="89" t="n">
        <ns0:v>10.5</ns0:v>
      </ns0:c>
      <ns0:c r="BL35" s="90">
        <ns0:f>IFERROR(IF('BBG Verify'!S35="","Awaiting Bloomberg",'BBG Verify'!S35),"Awaiting Bloomberg")</ns0:f>
        <ns0:v/>
      </ns0:c>
      <ns0:c r="BM35" s="91" t="inlineStr">
        <ns0:is>
          <ns0:t>N</ns0:t>
        </ns0:is>
      </ns0:c>
      <ns0:c r="BN35" s="92">
        <ns0:f>IFERROR(IF('BBG Verify'!K35="","Awaiting Bloomberg",'BBG Verify'!K35),"Awaiting Bloomberg")</ns0:f>
        <ns0:v/>
      </ns0:c>
      <ns0:c r="BO35" s="74" t="inlineStr">
        <ns0:is>
          <ns0:t>N/A</ns0:t>
        </ns0:is>
      </ns0:c>
      <ns0:c r="BP35" s="74" t="inlineStr">
        <ns0:is>
          <ns0:t>N/A</ns0:t>
        </ns0:is>
      </ns0:c>
      <ns0:c r="BQ35" s="74" t="inlineStr">
        <ns0:is>
          <ns0:t>N/A</ns0:t>
        </ns0:is>
      </ns0:c>
      <ns0:c r="BR35" s="74" t="inlineStr">
        <ns0:is>
          <ns0:t>N/A</ns0:t>
        </ns0:is>
      </ns0:c>
      <ns0:c r="BS35" s="74" t="inlineStr">
        <ns0:is>
          <ns0:t>N/A</ns0:t>
        </ns0:is>
      </ns0:c>
      <ns0:c r="BT35" s="74" t="inlineStr">
        <ns0:is>
          <ns0:t>N/A</ns0:t>
        </ns0:is>
      </ns0:c>
      <ns0:c r="BU35" s="91" t="inlineStr">
        <ns0:is>
          <ns0:t>J.P. Morgan Securities (Far East) Limited; China International Capital Corporation Hong Kong Securities Limited; Goldman Sachs (Asia) L.L.C; J.P. Morgan Securities (Asia Pacific) Limited; The Hongkong and Shanghai Banking Corporation Limited; CMB International Capital Limited</ns0:t>
        </ns0:is>
      </ns0:c>
      <ns0:c r="BV35" s="74" t="inlineStr">
        <ns0:is>
          <ns0:t>China International Capital Corporation Hong Kong Securities Limited; J.P. Morgan Securities (Far East) Limited; Goldman Sachs (Asia) L.L.C.</ns0:t>
        </ns0:is>
      </ns0:c>
      <ns0:c r="BW35" s="74" t="inlineStr">
        <ns0:is>
          <ns0:t>ICBC International Securities Limited; ABCI Securities Company Limited</ns0:t>
        </ns0:is>
      </ns0:c>
      <ns0:c r="BX35" s="74" t="inlineStr">
        <ns0:is>
          <ns0: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ns0:t>
        </ns0:is>
      </ns0:c>
      <ns0:c r="BY35" s="93">
        <ns0:f>HYPERLINK("https://www1.hkexnews.hk/listedco/listconews/sehk/2021/0408/2021040800019.pdf","prospectus")</ns0:f>
        <ns0:v/>
      </ns0:c>
      <ns0:c r="BZ35" s="93">
        <ns0:f>HYPERLINK("https://www1.hkexnews.hk/listedco/listconews/sehk/2021/0416/2021041600028.htm","allotment")</ns0:f>
        <ns0:v/>
      </ns0:c>
      <ns0:c r="CA35" s="93">
        <ns0:f>HYPERLINK("https://www1.hkexnews.hk/listedco/listconews/sehk/2021/0513/2021051300333.pdf","stabilisation")</ns0:f>
        <ns0:v/>
      </ns0:c>
      <ns0:c r="CB35" s="94" t="n"/>
      <ns0:c r="CC35" s="74" t="inlineStr">
        <ns0:is>
          <ns0:t>P/E: loss-making at IPO, use P/S; range low: maximum offer price only, no floor published; cornerstone list: no cornerstone tranche; stabilising manager: not named in the allotment notice or prospectus glossary; allocation: allocation table not in this notice's format (older prose announcement); day-1 tape: volume on file; the retail multiple needs the final public split, which this notice does not state</ns0:t>
        </ns0:is>
      </ns0:c>
    </ns0:row>
    <ns0:row r="36" ht="22" customHeight="1">
      <ns0:c r="A36" s="73" t="inlineStr">
        <ns0:is>
          <ns0:t>6622</ns0:t>
        </ns0:is>
      </ns0:c>
      <ns0:c r="B36" s="74" t="inlineStr">
        <ns0:is>
          <ns0:t>ZHAOKE OPHTH-B</ns0:t>
        </ns0:is>
      </ns0:c>
      <ns0:c r="C36" s="74" t="inlineStr">
        <ns0:is>
          <ns0:t>兆科眼科－Ｂ</ns0:t>
        </ns0:is>
      </ns0:c>
      <ns0:c r="D36" s="74" t="inlineStr">
        <ns0:is>
          <ns0:t>Healthcare</ns0:t>
        </ns0:is>
      </ns0:c>
      <ns0:c r="E36" s="74" t="inlineStr">
        <ns0:is>
          <ns0:t>Biotech pre-revenue (18A)</ns0:t>
        </ns0:is>
      </ns0:c>
      <ns0:c r="F36" s="74" t="inlineStr">
        <ns0:is>
          <ns0:t>Biotechnology</ns0:t>
        </ns0:is>
      </ns0:c>
      <ns0:c r="G36" s="74" t="inlineStr">
        <ns0:is>
          <ns0:t>18A</ns0:t>
        </ns0:is>
      </ns0:c>
      <ns0:c r="H36" s="75" t="n">
        <ns0:v>44315</ns0:v>
      </ns0:c>
      <ns0:c r="I36" s="76" t="n">
        <ns0:v>2075.9</ns0:v>
      </ns0:c>
      <ns0:c r="J36" s="74" t="inlineStr">
        <ns0:is>
          <ns0:t>gross (price x shares)</ns0:t>
        </ns0:is>
      </ns0:c>
      <ns0:c r="K36" s="77" t="n">
        <ns0:v>15.38</ns0:v>
      </ns0:c>
      <ns0:c r="L36" s="77" t="n">
        <ns0:v>16.8</ns0:v>
      </ns0:c>
      <ns0:c r="M36" s="77" t="n">
        <ns0:v>16.8</ns0:v>
      </ns0:c>
      <ns0:c r="N36" s="74" t="inlineStr">
        <ns0:is>
          <ns0:t>Y</ns0:t>
        </ns0:is>
      </ns0:c>
      <ns0:c r="O36" s="78" t="n">
        <ns0:v>100</ns0:v>
      </ns0:c>
      <ns0:c r="P36" s="78" t="n">
        <ns0:v>100</ns0:v>
      </ns0:c>
      <ns0:c r="Q36" s="79" t="n">
        <ns0:v>8077.4</ns0:v>
      </ns0:c>
      <ns0:c r="R36" s="74" t="inlineStr">
        <ns0:is>
          <ns0:t>derived:deal size / offer % of enlarged capital</ns0:t>
        </ns0:is>
      </ns0:c>
      <ns0:c r="S36" s="80" t="n">
        <ns0:v>56</ns0:v>
      </ns0:c>
      <ns0:c r="T36" s="81" t="n">
        <ns0:v>5.3</ns0:v>
      </ns0:c>
      <ns0:c r="U36" s="82" t="n">
        <ns0:v>20.6</ns0:v>
      </ns0:c>
      <ns0:c r="V36" s="83" t="n">
        <ns0:v>110</ns0:v>
      </ns0:c>
      <ns0:c r="W36" s="84" t="n"/>
      <ns0:c r="X36" s="85" t="n"/>
      <ns0:c r="Y36" s="79" t="n">
        <ns0:v>1648.26</ns0:v>
      </ns0:c>
      <ns0:c r="Z36" s="79" t="n">
        <ns0:v>98112595</ns0:v>
      </ns0:c>
      <ns0:c r="AA36" s="78" t="n">
        <ns0:v>20.41</ns0:v>
      </ns0:c>
      <ns0:c r="AB36" s="74" t="inlineStr">
        <ns0:is>
          <ns0:t>CaaS Capital Master Fund LP; GIC Private Limited; Golden Valley Global Limited; Jennison Associates LLC; Mass Ave Global, Inc; Matthews Asia Growth Fund and Matthews Asia Innovators Fund; OrbiMed Partners Master Fund Limited; OrbiMed Genesis Master Fund, L.P; VMS Zhaoke Investment Fund SP</ns0:t>
        </ns0:is>
      </ns0:c>
      <ns0:c r="AC36" s="74" t="inlineStr">
        <ns0:is>
          <ns0:t>caas;gic;golden-valley;jennison;mass;matthews;orbimed;vms</ns0:t>
        </ns0:is>
      </ns0:c>
      <ns0:c r="AD36" s="78" t="n">
        <ns0:v>5</ns0:v>
      </ns0:c>
      <ns0:c r="AE36" s="74" t="inlineStr">
        <ns0:is>
          <ns0:t>lapsed</ns0:t>
        </ns0:is>
      </ns0:c>
      <ns0:c r="AF36" s="74" t="inlineStr">
        <ns0:is>
          <ns0:t>2021-05-21</ns0:t>
        </ns0:is>
      </ns0:c>
      <ns0:c r="AG36" s="74" t="inlineStr">
        <ns0:is>
          <ns0:t>Goldman Sachs</ns0:t>
        </ns0:is>
      </ns0:c>
      <ns0:c r="AH36" s="74" t="inlineStr">
        <ns0:is>
          <ns0:t>Goldman Sachs</ns0:t>
        </ns0:is>
      </ns0:c>
      <ns0:c r="AI36" s="86" t="n">
        <ns0:v>-5.83</ns0:v>
      </ns0:c>
      <ns0:c r="AJ36" s="87" t="n">
        <ns0:v>-14.76</ns0:v>
      </ns0:c>
      <ns0:c r="AK36" s="87" t="n">
        <ns0:v>-0.84</ns0:v>
      </ns0:c>
      <ns0:c r="AL36" s="87" t="n">
        <ns0:v>-7.62</ns0:v>
      </ns0:c>
      <ns0:c r="AM36" s="87" t="n">
        <ns0:v>-7.73</ns0:v>
      </ns0:c>
      <ns0:c r="AN36" s="88" t="n"/>
      <ns0:c r="AO36" s="78" t="n">
        <ns0:v>8.51</ns0:v>
      </ns0:c>
      <ns0:c r="AP36" s="87" t="n">
        <ns0:v>-32.14</ns0:v>
      </ns0:c>
      <ns0:c r="AQ36" s="87" t="n">
        <ns0:v>-20.95</ns0:v>
      </ns0:c>
      <ns0:c r="AR36" s="87" t="n">
        <ns0:v>-52.38</ns0:v>
      </ns0:c>
      <ns0:c r="AS36" s="87" t="n">
        <ns0:v>-20.39</ns0:v>
      </ns0:c>
      <ns0:c r="AT36" s="87" t="n">
        <ns0:v>-7.26</ns0:v>
      </ns0:c>
      <ns0:c r="AU36" s="87" t="n">
        <ns0:v>-44.13</ns0:v>
      </ns0:c>
      <ns0:c r="AV36" s="87" t="n">
        <ns0:v>-27.25</ns0:v>
      </ns0:c>
      <ns0:c r="AW36" s="87" t="n">
        <ns0:v>-25.08</ns0:v>
      </ns0:c>
      <ns0:c r="AX36" s="87" t="n">
        <ns0:v>-46.33</ns0:v>
      </ns0:c>
      <ns0:c r="AY36" s="87" t="n">
        <ns0:v>-12.27</ns0:v>
      </ns0:c>
      <ns0:c r="AZ36" s="87" t="n">
        <ns0:v>4.13</ns0:v>
      </ns0:c>
      <ns0:c r="BA36" s="87" t="n">
        <ns0:v>5.01</ns0:v>
      </ns0:c>
      <ns0:c r="BB36" s="74" t="inlineStr">
        <ns0:is>
          <ns0:t>China Biotech ETF (HS biotech proxy)</ns0:t>
        </ns0:is>
      </ns0:c>
      <ns0:c r="BC36" s="87" t="n">
        <ns0:v>-85.20999999999999</ns0:v>
      </ns0:c>
      <ns0:c r="BD36" s="75" t="n">
        <ns0:v>46297</ns0:v>
      </ns0:c>
      <ns0:c r="BE36" s="76" t="n">
        <ns0:v>0</ns0:v>
      </ns0:c>
      <ns0:c r="BF36" s="79" t="n">
        <ns0:v>-799.7</ns0:v>
      </ns0:c>
      <ns0:c r="BG36" s="74" t="inlineStr">
        <ns0:is>
          <ns0:t>N</ns0:t>
        </ns0:is>
      </ns0:c>
      <ns0:c r="BH36" s="74" t="inlineStr">
        <ns0:is>
          <ns0:t>n/m</ns0:t>
        </ns0:is>
      </ns0:c>
      <ns0:c r="BI36" s="88" t="n"/>
      <ns0:c r="BJ36" s="88" t="n"/>
      <ns0:c r="BK36" s="74" t="inlineStr">
        <ns0:is>
          <ns0:t>pre-rev</ns0:t>
        </ns0:is>
      </ns0:c>
      <ns0:c r="BL36" s="90">
        <ns0:f>IFERROR(IF('BBG Verify'!S36="","Awaiting Bloomberg",'BBG Verify'!S36),"Awaiting Bloomberg")</ns0:f>
        <ns0:v/>
      </ns0:c>
      <ns0:c r="BM36" s="91" t="inlineStr">
        <ns0:is>
          <ns0:t>N</ns0:t>
        </ns0:is>
      </ns0:c>
      <ns0:c r="BN36" s="92">
        <ns0:f>IFERROR(IF('BBG Verify'!K36="","Awaiting Bloomberg",'BBG Verify'!K36),"Awaiting Bloomberg")</ns0:f>
        <ns0:v/>
      </ns0:c>
      <ns0:c r="BO36" s="74" t="inlineStr">
        <ns0:is>
          <ns0:t>N/A</ns0:t>
        </ns0:is>
      </ns0:c>
      <ns0:c r="BP36" s="74" t="inlineStr">
        <ns0:is>
          <ns0:t>N/A</ns0:t>
        </ns0:is>
      </ns0:c>
      <ns0:c r="BQ36" s="74" t="inlineStr">
        <ns0:is>
          <ns0:t>N/A</ns0:t>
        </ns0:is>
      </ns0:c>
      <ns0:c r="BR36" s="74" t="inlineStr">
        <ns0:is>
          <ns0:t>N/A</ns0:t>
        </ns0:is>
      </ns0:c>
      <ns0:c r="BS36" s="74" t="inlineStr">
        <ns0:is>
          <ns0:t>N/A</ns0:t>
        </ns0:is>
      </ns0:c>
      <ns0:c r="BT36" s="74" t="inlineStr">
        <ns0:is>
          <ns0:t>N/A</ns0:t>
        </ns0:is>
      </ns0:c>
      <ns0:c r="BU36" s="91" t="inlineStr">
        <ns0:is>
          <ns0:t>Goldman Sachs (Asia) L.L.C; Jefferies Hong Kong Limited</ns0:t>
        </ns0:is>
      </ns0:c>
      <ns0:c r="BV36" s="74" t="inlineStr">
        <ns0:is>
          <ns0:t>Jefferies Hong Kong Limited; Goldman Sachs (Asia) L.L.C.</ns0:t>
        </ns0:is>
      </ns0:c>
      <ns0:c r="BW36" s="74" t="inlineStr">
        <ns0:is>
          <ns0:t>Goldman Sachs (Asia) L.L.C; Jefferies Hong Kong Limited; Haitong International Securities Company Limited; The Hongkong and Shanghai Banking Corporation Limited; Fosun Hani Securities Limited; Macquarie Capital Limited; SPDB International Capital Limited; VMS Securities Limited</ns0:t>
        </ns0:is>
      </ns0:c>
      <ns0:c r="BX36" s="74" t="inlineStr">
        <ns0:is>
          <ns0:t>Fosun Hani Securities Limited; Goldman Sachs (Asia) L.L.C.; Haitong International Securities Company Limited; The Hongkong and Shanghai Banking Corporation Limited; Jefferies Hong Kong Limited; Macquarie Capital Limited; SPDB International Capital Limited; VMS Securities Limited</ns0:t>
        </ns0:is>
      </ns0:c>
      <ns0:c r="BY36" s="93">
        <ns0:f>HYPERLINK("https://www1.hkexnews.hk/listedco/listconews/sehk/2021/0416/2021041600009.pdf","prospectus")</ns0:f>
        <ns0:v/>
      </ns0:c>
      <ns0:c r="BZ36" s="93">
        <ns0:f>HYPERLINK("https://www1.hkexnews.hk/listedco/listconews/sehk/2021/0428/2021042800066.htm","allotment")</ns0:f>
        <ns0:v/>
      </ns0:c>
      <ns0:c r="CA36" s="93">
        <ns0:f>HYPERLINK("https://www1.hkexnews.hk/listedco/listconews/sehk/2021/0521/2021052101496.pdf","stabilisation")</ns0:f>
        <ns0:v/>
      </ns0:c>
      <ns0:c r="CB36" s="94" t="n"/>
      <ns0:c r="CC36" s="74" t="inlineStr">
        <ns0:is>
          <ns0:t>P/E: loss-making at IPO, use P/S; P/S: pre-revenue issuer, no sales multiple; allocation: allocation table not in this notice's format (older prose announcement); day-1 tape: volume on file; the retail multiple needs the final public split, which this notice does not state</ns0:t>
        </ns0:is>
      </ns0:c>
    </ns0:row>
    <ns0:row r="37" ht="22" customHeight="1">
      <ns0:c r="A37" s="73" t="inlineStr">
        <ns0:is>
          <ns0:t>2191</ns0:t>
        </ns0:is>
      </ns0:c>
      <ns0:c r="B37" s="74" t="inlineStr">
        <ns0:is>
          <ns0:t>SF REIT</ns0:t>
        </ns0:is>
      </ns0:c>
      <ns0:c r="C37" s="74" t="inlineStr">
        <ns0:is>
          <ns0:t>順豐房託</ns0:t>
        </ns0:is>
      </ns0:c>
      <ns0:c r="D37" s="74" t="inlineStr">
        <ns0:is>
          <ns0:t>Real Estate</ns0:t>
        </ns0:is>
      </ns0:c>
      <ns0:c r="E37" s="74" t="inlineStr">
        <ns0:is>
          <ns0:t>REITs / asset-light</ns0:t>
        </ns0:is>
      </ns0:c>
      <ns0:c r="F37" s="74" t="inlineStr">
        <ns0:is>
          <ns0:t>Office and Commercial REIT's</ns0:t>
        </ns0:is>
      </ns0:c>
      <ns0:c r="G37" s="74" t="inlineStr">
        <ns0:is>
          <ns0:t>Standard</ns0:t>
        </ns0:is>
      </ns0:c>
      <ns0:c r="H37" s="75" t="n">
        <ns0:v>44333</ns0:v>
      </ns0:c>
      <ns0:c r="I37" s="76" t="n">
        <ns0:v>2498</ns0:v>
      </ns0:c>
      <ns0:c r="J37" s="74" t="inlineStr">
        <ns0:is>
          <ns0:t>net proceeds</ns0:t>
        </ns0:is>
      </ns0:c>
      <ns0:c r="K37" s="77" t="n">
        <ns0:v>4.68</ns0:v>
      </ns0:c>
      <ns0:c r="L37" s="77" t="n">
        <ns0:v>5.16</ns0:v>
      </ns0:c>
      <ns0:c r="M37" s="77" t="n">
        <ns0:v>4.98</ns0:v>
      </ns0:c>
      <ns0:c r="N37" s="74" t="inlineStr">
        <ns0:is>
          <ns0:t>N</ns0:t>
        </ns0:is>
      </ns0:c>
      <ns0:c r="O37" s="78" t="n">
        <ns0:v>96.5</ns0:v>
      </ns0:c>
      <ns0:c r="P37" s="78" t="n">
        <ns0:v>62.5</ns0:v>
      </ns0:c>
      <ns0:c r="Q37" s="79" t="n">
        <ns0:v>4128</ns0:v>
      </ns0:c>
      <ns0:c r="R37" s="74" t="inlineStr">
        <ns0:is>
          <ns0:t>prospectus:stated market capitalisation</ns0:t>
        </ns0:is>
      </ns0:c>
      <ns0:c r="S37" s="80" t="n">
        <ns0:v>5</ns0:v>
      </ns0:c>
      <ns0:c r="T37" s="81" t="n">
        <ns0:v>3</ns0:v>
      </ns0:c>
      <ns0:c r="U37" s="82" t="n">
        <ns0:v>14.9</ns0:v>
      </ns0:c>
      <ns0:c r="V37" s="83" t="n">
        <ns0:v>126</ns0:v>
      </ns0:c>
      <ns0:c r="W37" s="84" t="n"/>
      <ns0:c r="X37" s="85" t="n"/>
      <ns0:c r="Y37" s="79" t="n">
        <ns0:v>2125.8</ns0:v>
      </ns0:c>
      <ns0:c r="Z37" s="97" t="n"/>
      <ns0:c r="AA37" s="78" t="n">
        <ns0:v>51.5</ns0:v>
      </ns0:c>
      <ns0:c r="AB37" s="74" t="inlineStr">
        <ns0:is>
          <ns0:t>China Orient Multi-Strategy Master Fund; CI Global Asset Management</ns0:t>
        </ns0:is>
      </ns0:c>
      <ns0:c r="AC37" s="74" t="inlineStr">
        <ns0:is>
          <ns0:t>orient;ci</ns0:t>
        </ns0:is>
      </ns0:c>
      <ns0:c r="AD37" s="78" t="n">
        <ns0:v>5</ns0:v>
      </ns0:c>
      <ns0:c r="AE37" s="74" t="inlineStr">
        <ns0:is>
          <ns0:t>lapsed</ns0:t>
        </ns0:is>
      </ns0:c>
      <ns0:c r="AF37" s="85" t="n"/>
      <ns0:c r="AG37" s="74" t="inlineStr">
        <ns0:is>
          <ns0:t>Credit Suisse</ns0:t>
        </ns0:is>
      </ns0:c>
      <ns0:c r="AH37" s="74" t="inlineStr">
        <ns0:is>
          <ns0:t>Credit Suisse</ns0:t>
        </ns0:is>
      </ns0:c>
      <ns0:c r="AI37" s="86" t="n">
        <ns0:v>-0.8</ns0:v>
      </ns0:c>
      <ns0:c r="AJ37" s="87" t="n">
        <ns0:v>-16.47</ns0:v>
      </ns0:c>
      <ns0:c r="AK37" s="87" t="n">
        <ns0:v>-0.14</ns0:v>
      </ns0:c>
      <ns0:c r="AL37" s="87" t="n">
        <ns0:v>-9.84</ns0:v>
      </ns0:c>
      <ns0:c r="AM37" s="87" t="n">
        <ns0:v>-7.35</ns0:v>
      </ns0:c>
      <ns0:c r="AN37" s="88" t="n"/>
      <ns0:c r="AO37" s="78" t="n">
        <ns0:v>9.800000000000001</ns0:v>
      </ns0:c>
      <ns0:c r="AP37" s="87" t="n">
        <ns0:v>-7.63</ns0:v>
      </ns0:c>
      <ns0:c r="AQ37" s="87" t="n">
        <ns0:v>-9.640000000000001</ns0:v>
      </ns0:c>
      <ns0:c r="AR37" s="87" t="n">
        <ns0:v>-12.45</ns0:v>
      </ns0:c>
      <ns0:c r="AS37" s="87" t="n">
        <ns0:v>10.58</ns0:v>
      </ns0:c>
      <ns0:c r="AT37" s="87" t="n">
        <ns0:v>8.18</ns0:v>
      </ns0:c>
      <ns0:c r="AU37" s="87" t="n">
        <ns0:v>4.81</ns0:v>
      </ns0:c>
      <ns0:c r="AV37" s="87" t="n">
        <ns0:v>-9.73</ns0:v>
      </ns0:c>
      <ns0:c r="AW37" s="87" t="n">
        <ns0:v>-12.34</ns0:v>
      </ns0:c>
      <ns0:c r="AX37" s="87" t="n">
        <ns0:v>-5.34</ns0:v>
      </ns0:c>
      <ns0:c r="AY37" s="87" t="n">
        <ns0:v>5.33</ns0:v>
      </ns0:c>
      <ns0:c r="AZ37" s="87" t="n">
        <ns0:v>2.7</ns0:v>
      </ns0:c>
      <ns0:c r="BA37" s="87" t="n">
        <ns0:v>2.85</ns0:v>
      </ns0:c>
      <ns0:c r="BB37" s="74" t="inlineStr">
        <ns0:is>
          <ns0:t>Hang Seng Properties sub-index</ns0:t>
        </ns0:is>
      </ns0:c>
      <ns0:c r="BC37" s="87" t="n">
        <ns0:v>-49.1</ns0:v>
      </ns0:c>
      <ns0:c r="BD37" s="75" t="n">
        <ns0:v>46297</ns0:v>
      </ns0:c>
      <ns0:c r="BE37" s="76" t="n">
        <ns0:v>279</ns0:v>
      </ns0:c>
      <ns0:c r="BF37" s="79" t="n">
        <ns0:v>26.9</ns0:v>
      </ns0:c>
      <ns0:c r="BG37" s="74" t="inlineStr">
        <ns0:is>
          <ns0:t>Y</ns0:t>
        </ns0:is>
      </ns0:c>
      <ns0:c r="BH37" s="89" t="n">
        <ns0:v>153.5</ns0:v>
      </ns0:c>
      <ns0:c r="BI37" s="88" t="n"/>
      <ns0:c r="BJ37" s="89" t="n">
        <ns0:v>106.9</ns0:v>
      </ns0:c>
      <ns0:c r="BK37" s="89" t="n">
        <ns0:v>14.8</ns0:v>
      </ns0:c>
      <ns0:c r="BL37" s="90">
        <ns0:f>IFERROR(IF('BBG Verify'!S37="","Awaiting Bloomberg",'BBG Verify'!S37),"Awaiting Bloomberg")</ns0:f>
        <ns0:v/>
      </ns0:c>
      <ns0:c r="BM37" s="91" t="inlineStr">
        <ns0:is>
          <ns0:t>N</ns0:t>
        </ns0:is>
      </ns0:c>
      <ns0:c r="BN37" s="92">
        <ns0:f>IFERROR(IF('BBG Verify'!K37="","Awaiting Bloomberg",'BBG Verify'!K37),"Awaiting Bloomberg")</ns0:f>
        <ns0:v/>
      </ns0:c>
      <ns0:c r="BO37" s="74" t="inlineStr">
        <ns0:is>
          <ns0:t>N/A</ns0:t>
        </ns0:is>
      </ns0:c>
      <ns0:c r="BP37" s="74" t="inlineStr">
        <ns0:is>
          <ns0:t>N/A</ns0:t>
        </ns0:is>
      </ns0:c>
      <ns0:c r="BQ37" s="74" t="inlineStr">
        <ns0:is>
          <ns0:t>N/A</ns0:t>
        </ns0:is>
      </ns0:c>
      <ns0:c r="BR37" s="74" t="inlineStr">
        <ns0:is>
          <ns0:t>N/A</ns0:t>
        </ns0:is>
      </ns0:c>
      <ns0:c r="BS37" s="74" t="inlineStr">
        <ns0:is>
          <ns0:t>N/A</ns0:t>
        </ns0:is>
      </ns0:c>
      <ns0:c r="BT37" s="74" t="inlineStr">
        <ns0:is>
          <ns0:t>N/A</ns0:t>
        </ns0:is>
      </ns0:c>
      <ns0:c r="BU37" s="91" t="inlineStr">
        <ns0:is>
          <ns0:t>Credit Suisse (Hong Kong) Limited; DBS Asia Capital Limited; J.P. Morgan Securities (Asia Pacific) Limited</ns0:t>
        </ns0:is>
      </ns0:c>
      <ns0:c r="BV37" s="74" t="inlineStr">
        <ns0:is>
          <ns0:t>Credit Suisse (Hong Kong) Limited; DBS Asia Capital Limited; J.P. Morgan Securities (Asia Pacific) Limited</ns0:t>
        </ns0:is>
      </ns0:c>
      <ns0:c r="BW37" s="74" t="inlineStr">
        <ns0:is>
          <ns0: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ns0:t>
        </ns0:is>
      </ns0:c>
      <ns0:c r="BX37" s="74" t="inlineStr">
        <ns0:is>
          <ns0:t>Credit Suisse (Hong Kong) Limited; DBS Asia Capital Limited; J.P. Morgan Securities (Asia Pacific) Limited</ns0:t>
        </ns0:is>
      </ns0:c>
      <ns0:c r="BY37" s="93">
        <ns0:f>HYPERLINK("https://www1.hkexnews.hk/listedco/listconews/sehk/2021/0505/2021050500053.pdf","prospectus")</ns0:f>
        <ns0:v/>
      </ns0:c>
      <ns0:c r="BZ37" s="93">
        <ns0:f>HYPERLINK("https://www1.hkexnews.hk/listedco/listconews/sehk/2021/0514/2021051400092.htm","allotment")</ns0:f>
        <ns0:v/>
      </ns0:c>
      <ns0:c r="CA37" s="93">
        <ns0:f>HYPERLINK("https://www1.hkexnews.hk/listedco/listconews/sehk/2021/0609/2021060900679.pdf","stabilisation")</ns0:f>
        <ns0:v/>
      </ns0:c>
      <ns0:c r="CB37" s="94" t="n"/>
      <ns0:c r="CC37" s="74" t="inlineStr">
        <ns0:is>
          <ns0:t>greenshoe: outcome published; expiry date not in the notice; sponsor: English name not in the filing; AAStocks 保薦人 shown;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38" ht="22" customHeight="1">
      <ns0:c r="A38" s="73" t="inlineStr">
        <ns0:is>
          <ns0:t>3658</ns0:t>
        </ns0:is>
      </ns0:c>
      <ns0:c r="B38" s="74" t="inlineStr">
        <ns0:is>
          <ns0:t>NEW HOPE SERV</ns0:t>
        </ns0:is>
      </ns0:c>
      <ns0:c r="C38" s="74" t="inlineStr">
        <ns0:is>
          <ns0:t>新希望服務</ns0:t>
        </ns0:is>
      </ns0:c>
      <ns0:c r="D38" s="74" t="inlineStr">
        <ns0:is>
          <ns0:t>Real Estate</ns0:t>
        </ns0:is>
      </ns0:c>
      <ns0:c r="E38" s="74" t="inlineStr">
        <ns0:is>
          <ns0:t>Property management</ns0:t>
        </ns0:is>
      </ns0:c>
      <ns0:c r="F38" s="74" t="inlineStr">
        <ns0:is>
          <ns0:t>Property Service and Management</ns0:t>
        </ns0:is>
      </ns0:c>
      <ns0:c r="G38" s="74" t="inlineStr">
        <ns0:is>
          <ns0:t>Standard</ns0:t>
        </ns0:is>
      </ns0:c>
      <ns0:c r="H38" s="75" t="n">
        <ns0:v>44341</ns0:v>
      </ns0:c>
      <ns0:c r="I38" s="76" t="n">
        <ns0:v>760</ns0:v>
      </ns0:c>
      <ns0:c r="J38" s="74" t="inlineStr">
        <ns0:is>
          <ns0:t>gross (price x shares)</ns0:t>
        </ns0:is>
      </ns0:c>
      <ns0:c r="K38" s="77" t="n">
        <ns0:v>3.8</ns0:v>
      </ns0:c>
      <ns0:c r="L38" s="77" t="n">
        <ns0:v>4.7</ns0:v>
      </ns0:c>
      <ns0:c r="M38" s="77" t="n">
        <ns0:v>3.8</ns0:v>
      </ns0:c>
      <ns0:c r="N38" s="74" t="inlineStr">
        <ns0:is>
          <ns0:t>N</ns0:t>
        </ns0:is>
      </ns0:c>
      <ns0:c r="O38" s="78" t="n">
        <ns0:v>80.90000000000001</ns0:v>
      </ns0:c>
      <ns0:c r="P38" s="78" t="n">
        <ns0:v>0</ns0:v>
      </ns0:c>
      <ns0:c r="Q38" s="79" t="n">
        <ns0:v>3686.1</ns0:v>
      </ns0:c>
      <ns0:c r="R38" s="74" t="inlineStr">
        <ns0:is>
          <ns0:t>aastocks:上市市值 at the struck price</ns0:t>
        </ns0:is>
      </ns0:c>
      <ns0:c r="S38" s="80" t="n">
        <ns0:v>4.75</ns0:v>
      </ns0:c>
      <ns0:c r="T38" s="81" t="n">
        <ns0:v>1.78</ns0:v>
      </ns0:c>
      <ns0:c r="U38" s="82" t="n">
        <ns0:v>50.3</ns0:v>
      </ns0:c>
      <ns0:c r="V38" s="83" t="n">
        <ns0:v>96</ns0:v>
      </ns0:c>
      <ns0:c r="W38" s="84" t="n"/>
      <ns0:c r="X38" s="85" t="n"/>
      <ns0:c r="Y38" s="79" t="n">
        <ns0:v>377.72</ns0:v>
      </ns0:c>
      <ns0:c r="Z38" s="79" t="n">
        <ns0:v>99400000</ns0:v>
      </ns0:c>
      <ns0:c r="AA38" s="78" t="n">
        <ns0:v>10.25</ns0:v>
      </ns0:c>
      <ns0:c r="AB38" s="74" t="inlineStr">
        <ns0:is>
          <ns0:t>China Sichuan International Investment Limited; Golden Star International Pty Limited; Green Better Limited; Keltic Investment (HK) Limited; Neptune Investments Holdings Limited; Peak Reinsurance Company Limited</ns0:t>
        </ns0:is>
      </ns0:c>
      <ns0:c r="AC38" s="74" t="inlineStr">
        <ns0:is>
          <ns0:t>sichuan;golden-star;green;keltic;neptune;peak</ns0:t>
        </ns0:is>
      </ns0:c>
      <ns0:c r="AD38" s="78" t="n">
        <ns0:v>7.7</ns0:v>
      </ns0:c>
      <ns0:c r="AE38" s="74" t="inlineStr">
        <ns0:is>
          <ns0:t>partial</ns0:t>
        </ns0:is>
      </ns0:c>
      <ns0:c r="AF38" s="85" t="n"/>
      <ns0:c r="AG38" s="85" t="n"/>
      <ns0:c r="AH38" s="85" t="n"/>
      <ns0:c r="AI38" s="86" t="n">
        <ns0:v>-3.16</ns0:v>
      </ns0:c>
      <ns0:c r="AJ38" s="87" t="n">
        <ns0:v>0.53</ns0:v>
      </ns0:c>
      <ns0:c r="AK38" s="87" t="n">
        <ns0:v>0.6</ns0:v>
      </ns0:c>
      <ns0:c r="AL38" s="87" t="n">
        <ns0:v>0</ns0:v>
      </ns0:c>
      <ns0:c r="AM38" s="87" t="n">
        <ns0:v>0.53</ns0:v>
      </ns0:c>
      <ns0:c r="AN38" s="88" t="n"/>
      <ns0:c r="AO38" s="78" t="n">
        <ns0:v>6.32</ns0:v>
      </ns0:c>
      <ns0:c r="AP38" s="87" t="n">
        <ns0:v>5</ns0:v>
      </ns0:c>
      <ns0:c r="AQ38" s="87" t="n">
        <ns0:v>-25.79</ns0:v>
      </ns0:c>
      <ns0:c r="AR38" s="87" t="n">
        <ns0:v>-45.26</ns0:v>
      </ns0:c>
      <ns0:c r="AS38" s="87" t="n">
        <ns0:v>4.45</ns0:v>
      </ns0:c>
      <ns0:c r="AT38" s="87" t="n">
        <ns0:v>-26.18</ns0:v>
      </ns0:c>
      <ns0:c r="AU38" s="87" t="n">
        <ns0:v>-45.55</ns0:v>
      </ns0:c>
      <ns0:c r="AV38" s="87" t="n">
        <ns0:v>3.61</ns0:v>
      </ns0:c>
      <ns0:c r="AW38" s="87" t="n">
        <ns0:v>-26.66</ns0:v>
      </ns0:c>
      <ns0:c r="AX38" s="87" t="n">
        <ns0:v>-35.18</ns0:v>
      </ns0:c>
      <ns0:c r="AY38" s="87" t="n">
        <ns0:v>-26.45</ns0:v>
      </ns0:c>
      <ns0:c r="AZ38" s="87" t="n">
        <ns0:v>0.87</ns0:v>
      </ns0:c>
      <ns0:c r="BA38" s="87" t="n">
        <ns0:v>0.27</ns0:v>
      </ns0:c>
      <ns0:c r="BB38" s="74" t="inlineStr">
        <ns0:is>
          <ns0:t>Hang Seng Properties sub-index</ns0:t>
        </ns0:is>
      </ns0:c>
      <ns0:c r="BC38" s="87" t="n">
        <ns0:v>-56.71</ns0:v>
      </ns0:c>
      <ns0:c r="BD38" s="75" t="n">
        <ns0:v>46297</ns0:v>
      </ns0:c>
      <ns0:c r="BE38" s="76" t="n">
        <ns0:v>647.1</ns0:v>
      </ns0:c>
      <ns0:c r="BF38" s="79" t="n">
        <ns0:v>120.7</ns0:v>
      </ns0:c>
      <ns0:c r="BG38" s="74" t="inlineStr">
        <ns0:is>
          <ns0:t>Y</ns0:t>
        </ns0:is>
      </ns0:c>
      <ns0:c r="BH38" s="89" t="n">
        <ns0:v>30.5</ns0:v>
      </ns0:c>
      <ns0:c r="BI38" s="88" t="n"/>
      <ns0:c r="BJ38" s="89" t="n">
        <ns0:v>5.9</ns0:v>
      </ns0:c>
      <ns0:c r="BK38" s="89" t="n">
        <ns0:v>5.7</ns0:v>
      </ns0:c>
      <ns0:c r="BL38" s="90">
        <ns0:f>IFERROR(IF('BBG Verify'!S38="","Awaiting Bloomberg",'BBG Verify'!S38),"Awaiting Bloomberg")</ns0:f>
        <ns0:v/>
      </ns0:c>
      <ns0:c r="BM38" s="91" t="inlineStr">
        <ns0:is>
          <ns0:t>N</ns0:t>
        </ns0:is>
      </ns0:c>
      <ns0:c r="BN38" s="92">
        <ns0:f>IFERROR(IF('BBG Verify'!K38="","Awaiting Bloomberg",'BBG Verify'!K38),"Awaiting Bloomberg")</ns0:f>
        <ns0:v/>
      </ns0:c>
      <ns0:c r="BO38" s="74" t="inlineStr">
        <ns0:is>
          <ns0:t>N/A</ns0:t>
        </ns0:is>
      </ns0:c>
      <ns0:c r="BP38" s="74" t="inlineStr">
        <ns0:is>
          <ns0:t>N/A</ns0:t>
        </ns0:is>
      </ns0:c>
      <ns0:c r="BQ38" s="74" t="inlineStr">
        <ns0:is>
          <ns0:t>N/A</ns0:t>
        </ns0:is>
      </ns0:c>
      <ns0:c r="BR38" s="74" t="inlineStr">
        <ns0:is>
          <ns0:t>N/A</ns0:t>
        </ns0:is>
      </ns0:c>
      <ns0:c r="BS38" s="74" t="inlineStr">
        <ns0:is>
          <ns0:t>N/A</ns0:t>
        </ns0:is>
      </ns0:c>
      <ns0:c r="BT38" s="74" t="inlineStr">
        <ns0:is>
          <ns0:t>N/A</ns0:t>
        </ns0:is>
      </ns0:c>
      <ns0:c r="BU38" s="91" t="inlineStr">
        <ns0:is>
          <ns0:t>ABCI Capital Limited</ns0:t>
        </ns0:is>
      </ns0:c>
      <ns0:c r="BV38" s="74" t="inlineStr">
        <ns0:is>
          <ns0:t>ABCI Capital Limited</ns0:t>
        </ns0:is>
      </ns0:c>
      <ns0:c r="BW38" s="74" t="inlineStr">
        <ns0:is>
          <ns0:t>ABCI Capital Limited; Haitong International Securities Company Limited; CMB International Capital Limited; CLSA Limited; CMBC Securities Company Limited; China Everbright Securities (HK) Limited</ns0:t>
        </ns0:is>
      </ns0:c>
      <ns0:c r="BX38" s="74" t="inlineStr">
        <ns0:is>
          <ns0: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ns0:t>
        </ns0:is>
      </ns0:c>
      <ns0:c r="BY38" s="93">
        <ns0:f>HYPERLINK("https://www1.hkexnews.hk/listedco/listconews/sehk/2021/0511/2021051100021.pdf","prospectus")</ns0:f>
        <ns0:v/>
      </ns0:c>
      <ns0:c r="BZ38" s="93">
        <ns0:f>HYPERLINK("https://www1.hkexnews.hk/listedco/listconews/sehk/2021/0524/2021052400010.htm","allotment")</ns0:f>
        <ns0:v/>
      </ns0:c>
      <ns0:c r="CA38" s="93">
        <ns0:f>HYPERLINK("https://www1.hkexnews.hk/listedco/listconews/sehk/2021/0615/2021061500076.pdf","stabilisation")</ns0:f>
        <ns0:v/>
      </ns0:c>
      <ns0:c r="CB38" s="94" t="n"/>
      <ns0:c r="CC38" s="74" t="inlineStr">
        <ns0:is>
          <ns0:t>greenshoe: outcome published; expiry date not in the notice; stabilising manager: not named in the allotment notice or prospectus glossary; allocation: allocation table not in this notice's format (older prose announcement); day-1 tape: volume on file; the retail multiple needs the final public split, which this notice does not state</ns0:t>
        </ns0:is>
      </ns0:c>
    </ns0:row>
    <ns0:row r="39" ht="22" customHeight="1">
      <ns0:c r="A39" s="73" t="inlineStr">
        <ns0:is>
          <ns0:t>2618</ns0:t>
        </ns0:is>
      </ns0:c>
      <ns0:c r="B39" s="74" t="inlineStr">
        <ns0:is>
          <ns0:t>JD LOGISTICS</ns0:t>
        </ns0:is>
      </ns0:c>
      <ns0:c r="C39" s="74" t="inlineStr">
        <ns0:is>
          <ns0:t>京東物流</ns0:t>
        </ns0:is>
      </ns0:c>
      <ns0:c r="D39" s="74" t="inlineStr">
        <ns0:is>
          <ns0:t>Industrials</ns0:t>
        </ns0:is>
      </ns0:c>
      <ns0:c r="E39" s="74" t="inlineStr">
        <ns0:is>
          <ns0:t>Logistics</ns0:t>
        </ns0:is>
      </ns0:c>
      <ns0:c r="F39" s="74" t="inlineStr">
        <ns0:is>
          <ns0:t>Air Freight &amp; Logistics</ns0:t>
        </ns0:is>
      </ns0:c>
      <ns0:c r="G39" s="74" t="inlineStr">
        <ns0:is>
          <ns0:t>Standard</ns0:t>
        </ns0:is>
      </ns0:c>
      <ns0:c r="H39" s="75" t="n">
        <ns0:v>44344</ns0:v>
      </ns0:c>
      <ns0:c r="I39" s="76" t="n">
        <ns0:v>24585.7</ns0:v>
      </ns0:c>
      <ns0:c r="J39" s="74" t="inlineStr">
        <ns0:is>
          <ns0:t>gross (price x shares)</ns0:t>
        </ns0:is>
      </ns0:c>
      <ns0:c r="K39" s="95" t="n"/>
      <ns0:c r="L39" s="77" t="n">
        <ns0:v>43.36</ns0:v>
      </ns0:c>
      <ns0:c r="M39" s="77" t="n">
        <ns0:v>40.36</ns0:v>
      </ns0:c>
      <ns0:c r="N39" s="74" t="inlineStr">
        <ns0:is>
          <ns0:t>N</ns0:t>
        </ns0:is>
      </ns0:c>
      <ns0:c r="O39" s="78" t="n">
        <ns0:v>93.09999999999999</ns0:v>
      </ns0:c>
      <ns0:c r="P39" s="84" t="n"/>
      <ns0:c r="Q39" s="79" t="n">
        <ns0:v>266382.9</ns0:v>
      </ns0:c>
      <ns0:c r="R39" s="74" t="inlineStr">
        <ns0:is>
          <ns0:t>aastocks:上市市值 at the struck price</ns0:t>
        </ns0:is>
      </ns0:c>
      <ns0:c r="S39" s="80" t="n">
        <ns0:v>715.61</ns0:v>
      </ns0:c>
      <ns0:c r="T39" s="81" t="n">
        <ns0:v>10.8</ns0:v>
      </ns0:c>
      <ns0:c r="U39" s="82" t="n">
        <ns0:v>48.33</ns0:v>
      </ns0:c>
      <ns0:c r="V39" s="83" t="n">
        <ns0:v>580</ns0:v>
      </ns0:c>
      <ns0:c r="W39" s="78" t="n">
        <ns0:v>9</ns0:v>
      </ns0:c>
      <ns0:c r="X39" s="74" t="inlineStr">
        <ns0:is>
          <ns0:t>NO</ns0:t>
        </ns0:is>
      </ns0:c>
      <ns0:c r="Y39" s="79" t="n">
        <ns0:v>12703.43</ns0:v>
      </ns0:c>
      <ns0:c r="Z39" s="79" t="n">
        <ns0:v>314753385</ns0:v>
      </ns0:c>
      <ns0:c r="AA39" s="78" t="n">
        <ns0:v>4.77</ns0:v>
      </ns0:c>
      <ns0:c r="AB39" s="74" t="inlineStr">
        <ns0:is>
          <ns0:t>China Chengtong Investment Company Limited; Internet Fund IIIA Pte. Ltd; Matthews Funds; Oaktree Emerging Markets Equity Fund, L.P; SoftBank Group; The Blackstone Group Inc</ns0:t>
        </ns0:is>
      </ns0:c>
      <ns0:c r="AC39" s="74" t="inlineStr">
        <ns0:is>
          <ns0:t>chengtong;internet;matthews;oaktree;softbank;blackstone</ns0:t>
        </ns0:is>
      </ns0:c>
      <ns0:c r="AD39" s="78" t="n">
        <ns0:v>10</ns0:v>
      </ns0:c>
      <ns0:c r="AE39" s="74" t="inlineStr">
        <ns0:is>
          <ns0:t>full</ns0:t>
        </ns0:is>
      </ns0:c>
      <ns0:c r="AF39" s="74" t="inlineStr">
        <ns0:is>
          <ns0:t>2021-06-20</ns0:t>
        </ns0:is>
      </ns0:c>
      <ns0:c r="AG39" s="74" t="inlineStr">
        <ns0:is>
          <ns0:t>Merrill Lynch</ns0:t>
        </ns0:is>
      </ns0:c>
      <ns0:c r="AH39" s="74" t="inlineStr">
        <ns0:is>
          <ns0:t>Merrill Lynch</ns0:t>
        </ns0:is>
      </ns0:c>
      <ns0:c r="AI39" s="86" t="n">
        <ns0:v>20.29</ns0:v>
      </ns0:c>
      <ns0:c r="AJ39" s="87" t="n">
        <ns0:v>3.32</ns0:v>
      </ns0:c>
      <ns0:c r="AK39" s="87" t="n">
        <ns0:v>-1.23</ns0:v>
      </ns0:c>
      <ns0:c r="AL39" s="87" t="n">
        <ns0:v>14.1</ns0:v>
      </ns0:c>
      <ns0:c r="AM39" s="87" t="n">
        <ns0:v>-9.449999999999999</ns0:v>
      </ns0:c>
      <ns0:c r="AN39" s="89" t="n">
        <ns0:v>2.89</ns0:v>
      </ns0:c>
      <ns0:c r="AO39" s="78" t="n">
        <ns0:v>14.12</ns0:v>
      </ns0:c>
      <ns0:c r="AP39" s="87" t="n">
        <ns0:v>16.33</ns0:v>
      </ns0:c>
      <ns0:c r="AQ39" s="87" t="n">
        <ns0:v>4.19</ns0:v>
      </ns0:c>
      <ns0:c r="AR39" s="87" t="n">
        <ns0:v>-24.18</ns0:v>
      </ns0:c>
      <ns0:c r="AS39" s="87" t="n">
        <ns0:v>12.59</ns0:v>
      </ns0:c>
      <ns0:c r="AT39" s="87" t="n">
        <ns0:v>0.84</ns0:v>
      </ns0:c>
      <ns0:c r="AU39" s="87" t="n">
        <ns0:v>-26.62</ns0:v>
      </ns0:c>
      <ns0:c r="AV39" s="87" t="n">
        <ns0:v>15.58</ns0:v>
      </ns0:c>
      <ns0:c r="AW39" s="87" t="n">
        <ns0:v>-0.14</ns0:v>
      </ns0:c>
      <ns0:c r="AX39" s="87" t="n">
        <ns0:v>-9.92</ns0:v>
      </ns0:c>
      <ns0:c r="AY39" s="87" t="n">
        <ns0:v>-4.79</ns0:v>
      </ns0:c>
      <ns0:c r="AZ39" s="87" t="n">
        <ns0:v>4.33</ns0:v>
      </ns0:c>
      <ns0:c r="BA39" s="87" t="n">
        <ns0:v>5.63</ns0:v>
      </ns0:c>
      <ns0:c r="BB39" s="74" t="inlineStr">
        <ns0:is>
          <ns0:t>Hang Seng Commerce &amp; Industry sub-index</ns0:t>
        </ns0:is>
      </ns0:c>
      <ns0:c r="BC39" s="87" t="n">
        <ns0:v>-76</ns0:v>
      </ns0:c>
      <ns0:c r="BD39" s="75" t="n">
        <ns0:v>46297</ns0:v>
      </ns0:c>
      <ns0:c r="BE39" s="76" t="n">
        <ns0:v>80712.2</ns0:v>
      </ns0:c>
      <ns0:c r="BF39" s="79" t="n">
        <ns0:v>-4441</ns0:v>
      </ns0:c>
      <ns0:c r="BG39" s="74" t="inlineStr">
        <ns0:is>
          <ns0:t>N</ns0:t>
        </ns0:is>
      </ns0:c>
      <ns0:c r="BH39" s="74" t="inlineStr">
        <ns0:is>
          <ns0:t>n/m</ns0:t>
        </ns0:is>
      </ns0:c>
      <ns0:c r="BI39" s="88" t="n"/>
      <ns0:c r="BJ39" s="89" t="n">
        <ns0:v>8.9</ns0:v>
      </ns0:c>
      <ns0:c r="BK39" s="89" t="n">
        <ns0:v>3.3</ns0:v>
      </ns0:c>
      <ns0:c r="BL39" s="90">
        <ns0:f>IFERROR(IF('BBG Verify'!S39="","Awaiting Bloomberg",'BBG Verify'!S39),"Awaiting Bloomberg")</ns0:f>
        <ns0:v/>
      </ns0:c>
      <ns0:c r="BM39" s="91" t="inlineStr">
        <ns0:is>
          <ns0:t>N</ns0:t>
        </ns0:is>
      </ns0:c>
      <ns0:c r="BN39" s="92">
        <ns0:f>IFERROR(IF('BBG Verify'!K39="","Awaiting Bloomberg",'BBG Verify'!K39),"Awaiting Bloomberg")</ns0:f>
        <ns0:v/>
      </ns0:c>
      <ns0:c r="BO39" s="74" t="inlineStr">
        <ns0:is>
          <ns0:t>N/A</ns0:t>
        </ns0:is>
      </ns0:c>
      <ns0:c r="BP39" s="74" t="inlineStr">
        <ns0:is>
          <ns0:t>N/A</ns0:t>
        </ns0:is>
      </ns0:c>
      <ns0:c r="BQ39" s="74" t="inlineStr">
        <ns0:is>
          <ns0:t>N/A</ns0:t>
        </ns0:is>
      </ns0:c>
      <ns0:c r="BR39" s="74" t="inlineStr">
        <ns0:is>
          <ns0:t>N/A</ns0:t>
        </ns0:is>
      </ns0:c>
      <ns0:c r="BS39" s="74" t="inlineStr">
        <ns0:is>
          <ns0:t>N/A</ns0:t>
        </ns0:is>
      </ns0:c>
      <ns0:c r="BT39" s="74" t="inlineStr">
        <ns0:is>
          <ns0:t>N/A</ns0:t>
        </ns0:is>
      </ns0:c>
      <ns0:c r="BU39" s="91" t="inlineStr">
        <ns0:is>
          <ns0:t>Merrill Lynch (Asia Pacific) Limited; Goldman Sachs (Asia) L.L.C; Haitong International Capital Limited; UBS AG Hong Kong Branch; Haitong International Securities Company Limited</ns0:t>
        </ns0:is>
      </ns0:c>
      <ns0:c r="BV39" s="74" t="inlineStr">
        <ns0:is>
          <ns0:t>Haitong International Capital Limited; Merrill Lynch (Asia Pacific) Limited; Goldman Sachs (Asia) L.L.C.</ns0:t>
        </ns0:is>
      </ns0:c>
      <ns0:c r="BW39" s="74" t="inlineStr">
        <ns0:is>
          <ns0:t>Merrill Lynch (Asia Pacific) Limited; Goldman Sachs (Asia) L.L.C; Haitong International Securities Company Limited; UBS AG Hong Kong Branch; CLSA Limited; ICBC International Capital Limited; CCB International Capital Limited; China Renaissance Securities (Hong Kong) Limited; BOCOM International Securities Limited; BOCI Asia Limited; ABCI Capital Limited; Guotai Junan Securities (Hong Kong) Limited; Futu Securities International (Hong Kong) Limited; Mizuho Securities Asia Limited</ns0:t>
        </ns0:is>
      </ns0:c>
      <ns0:c r="BX39" s="74" t="inlineStr">
        <ns0:is>
          <ns0: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ns0:t>
        </ns0:is>
      </ns0:c>
      <ns0:c r="BY39" s="93">
        <ns0:f>HYPERLINK("https://www1.hkexnews.hk/listedco/listconews/sehk/2021/0517/2021051700091.pdf","prospectus")</ns0:f>
        <ns0:v/>
      </ns0:c>
      <ns0:c r="BZ39" s="93">
        <ns0:f>HYPERLINK("https://www1.hkexnews.hk/listedco/listconews/sehk/2021/0527/2021052700014.htm","allotment")</ns0:f>
        <ns0:v/>
      </ns0:c>
      <ns0:c r="CA39" s="93">
        <ns0:f>HYPERLINK("https://www1.hkexnews.hk/listedco/listconews/sehk/2021/0620/2021062000009.pdf","stabilisation")</ns0:f>
        <ns0:v/>
      </ns0:c>
      <ns0:c r="CB39" s="94" t="n"/>
      <ns0:c r="CC39" s="74" t="inlineStr">
        <ns0:is>
          <ns0:t>P/E: loss-making at IPO, use P/S; range low: maximum offer price only, no floor published; market cap: prospectus 'market capitalisation' line is the listing-rule threshold, not the issuer's figure; rejected</ns0:t>
        </ns0:is>
      </ns0:c>
    </ns0:row>
    <ns0:row r="40" ht="22" customHeight="1">
      <ns0:c r="A40" s="73" t="inlineStr">
        <ns0:is>
          <ns0:t>9982</ns0:t>
        </ns0:is>
      </ns0:c>
      <ns0:c r="B40" s="74" t="inlineStr">
        <ns0:is>
          <ns0:t>CENTRALCHINA MT</ns0:t>
        </ns0:is>
      </ns0:c>
      <ns0:c r="C40" s="74" t="inlineStr">
        <ns0:is>
          <ns0:t>中原建業</ns0:t>
        </ns0:is>
      </ns0:c>
      <ns0:c r="D40" s="74" t="inlineStr">
        <ns0:is>
          <ns0:t>Real Estate</ns0:t>
        </ns0:is>
      </ns0:c>
      <ns0:c r="E40" s="74" t="inlineStr">
        <ns0:is>
          <ns0:t>Property management</ns0:t>
        </ns0:is>
      </ns0:c>
      <ns0:c r="F40" s="74" t="inlineStr">
        <ns0:is>
          <ns0:t>Property Development</ns0:t>
        </ns0:is>
      </ns0:c>
      <ns0:c r="G40" s="74" t="inlineStr">
        <ns0:is>
          <ns0:t>Standard</ns0:t>
        </ns0:is>
      </ns0:c>
      <ns0:c r="H40" s="75" t="n">
        <ns0:v>44347</ns0:v>
      </ns0:c>
      <ns0:c r="I40" s="76" t="n">
        <ns0:v>984.5</ns0:v>
      </ns0:c>
      <ns0:c r="J40" s="74" t="inlineStr">
        <ns0:is>
          <ns0:t>gross (price x shares)</ns0:t>
        </ns0:is>
      </ns0:c>
      <ns0:c r="K40" s="77" t="n">
        <ns0:v>2.4</ns0:v>
      </ns0:c>
      <ns0:c r="L40" s="77" t="n">
        <ns0:v>3.2</ns0:v>
      </ns0:c>
      <ns0:c r="M40" s="77" t="n">
        <ns0:v>3</ns0:v>
      </ns0:c>
      <ns0:c r="N40" s="74" t="inlineStr">
        <ns0:is>
          <ns0:t>N</ns0:t>
        </ns0:is>
      </ns0:c>
      <ns0:c r="O40" s="78" t="n">
        <ns0:v>93.8</ns0:v>
      </ns0:c>
      <ns0:c r="P40" s="78" t="n">
        <ns0:v>75</ns0:v>
      </ns0:c>
      <ns0:c r="Q40" s="79" t="n">
        <ns0:v>8712.4</ns0:v>
      </ns0:c>
      <ns0:c r="R40" s="74" t="inlineStr">
        <ns0:is>
          <ns0:t>derived:deal size / offer % of enlarged capital</ns0:t>
        </ns0:is>
      </ns0:c>
      <ns0:c r="S40" s="80" t="n">
        <ns0:v>4.99</ns0:v>
      </ns0:c>
      <ns0:c r="T40" s="81" t="n">
        <ns0:v>0.72</ns0:v>
      </ns0:c>
      <ns0:c r="U40" s="82" t="n">
        <ns0:v>4.8</ns0:v>
      </ns0:c>
      <ns0:c r="V40" s="83" t="n">
        <ns0:v>137</ns0:v>
      </ns0:c>
      <ns0:c r="W40" s="84" t="n"/>
      <ns0:c r="X40" s="85" t="n"/>
      <ns0:c r="Y40" s="79" t="n">
        <ns0:v>937.24</ns0:v>
      </ns0:c>
      <ns0:c r="Z40" s="79" t="n">
        <ns0:v>312419744</ns0:v>
      </ns0:c>
      <ns0:c r="AA40" s="78" t="n">
        <ns0:v>10.76</ns0:v>
      </ns0:c>
      <ns0:c r="AB40" s="74" t="inlineStr">
        <ns0:is>
          <ns0:t>Lucky Advent Limited</ns0:t>
        </ns0:is>
      </ns0:c>
      <ns0:c r="AC40" s="74" t="inlineStr">
        <ns0:is>
          <ns0:t>lucky</ns0:t>
        </ns0:is>
      </ns0:c>
      <ns0:c r="AD40" s="78" t="n">
        <ns0:v>10</ns0:v>
      </ns0:c>
      <ns0:c r="AE40" s="74" t="inlineStr">
        <ns0:is>
          <ns0:t>lapsed</ns0:t>
        </ns0:is>
      </ns0:c>
      <ns0:c r="AF40" s="74" t="inlineStr">
        <ns0:is>
          <ns0:t>2021-06-23</ns0:t>
        </ns0:is>
      </ns0:c>
      <ns0:c r="AG40" s="74" t="inlineStr">
        <ns0:is>
          <ns0:t>BN P Paribas Securities</ns0:t>
        </ns0:is>
      </ns0:c>
      <ns0:c r="AH40" s="74" t="inlineStr">
        <ns0:is>
          <ns0:t>BN P</ns0:t>
        </ns0:is>
      </ns0:c>
      <ns0:c r="AI40" s="86" t="n">
        <ns0:v>-14</ns0:v>
      </ns0:c>
      <ns0:c r="AJ40" s="87" t="n">
        <ns0:v>-12</ns0:v>
      </ns0:c>
      <ns0:c r="AK40" s="87" t="n">
        <ns0:v>-1.43</ns0:v>
      </ns0:c>
      <ns0:c r="AL40" s="87" t="n">
        <ns0:v>-16.67</ns0:v>
      </ns0:c>
      <ns0:c r="AM40" s="87" t="n">
        <ns0:v>5.6</ns0:v>
      </ns0:c>
      <ns0:c r="AN40" s="88" t="n"/>
      <ns0:c r="AO40" s="78" t="n">
        <ns0:v>15.2</ns0:v>
      </ns0:c>
      <ns0:c r="AP40" s="87" t="n">
        <ns0:v>-9</ns0:v>
      </ns0:c>
      <ns0:c r="AQ40" s="87" t="n">
        <ns0:v>-23.67</ns0:v>
      </ns0:c>
      <ns0:c r="AR40" s="87" t="n">
        <ns0:v>-38.33</ns0:v>
      </ns0:c>
      <ns0:c r="AS40" s="87" t="n">
        <ns0:v>3.41</ns0:v>
      </ns0:c>
      <ns0:c r="AT40" s="87" t="n">
        <ns0:v>-13.26</ns0:v>
      </ns0:c>
      <ns0:c r="AU40" s="87" t="n">
        <ns0:v>-29.92</ns0:v>
      </ns0:c>
      <ns0:c r="AV40" s="87" t="n">
        <ns0:v>-6.86</ns0:v>
      </ns0:c>
      <ns0:c r="AW40" s="87" t="n">
        <ns0:v>-20.27</ns0:v>
      </ns0:c>
      <ns0:c r="AX40" s="87" t="n">
        <ns0:v>-25.76</ns0:v>
      </ns0:c>
      <ns0:c r="AY40" s="87" t="n">
        <ns0:v>-11.26</ns0:v>
      </ns0:c>
      <ns0:c r="AZ40" s="87" t="n">
        <ns0:v>-3.4</ns0:v>
      </ns0:c>
      <ns0:c r="BA40" s="87" t="n">
        <ns0:v>-2</ns0:v>
      </ns0:c>
      <ns0:c r="BB40" s="74" t="inlineStr">
        <ns0:is>
          <ns0:t>Hang Seng Properties sub-index</ns0:t>
        </ns0:is>
      </ns0:c>
      <ns0:c r="BC40" s="87" t="n">
        <ns0:v>-97.27</ns0:v>
      </ns0:c>
      <ns0:c r="BD40" s="75" t="n">
        <ns0:v>46297</ns0:v>
      </ns0:c>
      <ns0:c r="BE40" s="76" t="n">
        <ns0:v>1267.2</ns0:v>
      </ns0:c>
      <ns0:c r="BF40" s="79" t="n">
        <ns0:v>749.1</ns0:v>
      </ns0:c>
      <ns0:c r="BG40" s="74" t="inlineStr">
        <ns0:is>
          <ns0:t>Y</ns0:t>
        </ns0:is>
      </ns0:c>
      <ns0:c r="BH40" s="89" t="n">
        <ns0:v>11.6</ns0:v>
      </ns0:c>
      <ns0:c r="BI40" s="88" t="n"/>
      <ns0:c r="BJ40" s="89" t="n">
        <ns0:v>6.1</ns0:v>
      </ns0:c>
      <ns0:c r="BK40" s="89" t="n">
        <ns0:v>6.9</ns0:v>
      </ns0:c>
      <ns0:c r="BL40" s="90">
        <ns0:f>IFERROR(IF('BBG Verify'!S40="","Awaiting Bloomberg",'BBG Verify'!S40),"Awaiting Bloomberg")</ns0:f>
        <ns0:v/>
      </ns0:c>
      <ns0:c r="BM40" s="91" t="inlineStr">
        <ns0:is>
          <ns0:t>N</ns0:t>
        </ns0:is>
      </ns0:c>
      <ns0:c r="BN40" s="92">
        <ns0:f>IFERROR(IF('BBG Verify'!K40="","Awaiting Bloomberg",'BBG Verify'!K40),"Awaiting Bloomberg")</ns0:f>
        <ns0:v/>
      </ns0:c>
      <ns0:c r="BO40" s="74" t="inlineStr">
        <ns0:is>
          <ns0:t>N/A</ns0:t>
        </ns0:is>
      </ns0:c>
      <ns0:c r="BP40" s="74" t="inlineStr">
        <ns0:is>
          <ns0:t>N/A</ns0:t>
        </ns0:is>
      </ns0:c>
      <ns0:c r="BQ40" s="74" t="inlineStr">
        <ns0:is>
          <ns0:t>N/A</ns0:t>
        </ns0:is>
      </ns0:c>
      <ns0:c r="BR40" s="74" t="inlineStr">
        <ns0:is>
          <ns0:t>N/A</ns0:t>
        </ns0:is>
      </ns0:c>
      <ns0:c r="BS40" s="74" t="inlineStr">
        <ns0:is>
          <ns0:t>N/A</ns0:t>
        </ns0:is>
      </ns0:c>
      <ns0:c r="BT40" s="74" t="inlineStr">
        <ns0:is>
          <ns0:t>N/A</ns0:t>
        </ns0:is>
      </ns0:c>
      <ns0:c r="BU40" s="91" t="inlineStr">
        <ns0:is>
          <ns0:t>ICBC International Capital Limited; CCB International Capital Limited; to CCRE and our Company BNP Paribas Securities (Asia) Limited</ns0:t>
        </ns0:is>
      </ns0:c>
      <ns0:c r="BV40" s="74" t="inlineStr">
        <ns0:is>
          <ns0:t>CCB International Capital Limited; ICBC International Capital Limited</ns0:t>
        </ns0:is>
      </ns0:c>
      <ns0:c r="BW40" s="74" t="inlineStr">
        <ns0:is>
          <ns0:t>BNP Paribas Securities (Asia) Limited; CCB International Capital Limited; ICBC International Capital Limited; ABCI Capital Limited; China Galaxy International Securities (Hong Kong) Co., Limited; CMB International Capital Limited; CRIC Securities Company Limited</ns0:t>
        </ns0:is>
      </ns0:c>
      <ns0:c r="BX40" s="74" t="inlineStr">
        <ns0:is>
          <ns0: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ns0:t>
        </ns0:is>
      </ns0:c>
      <ns0:c r="BY40" s="93">
        <ns0:f>HYPERLINK("https://www1.hkexnews.hk/listedco/listconews/sehk/2021/0518/2021051800033.pdf","prospectus")</ns0:f>
        <ns0:v/>
      </ns0:c>
      <ns0:c r="BZ40" s="93">
        <ns0:f>HYPERLINK("https://www1.hkexnews.hk/listedco/listconews/sehk/2021/0528/2021052800048.htm","allotment")</ns0:f>
        <ns0:v/>
      </ns0:c>
      <ns0:c r="CA40" s="93">
        <ns0:f>HYPERLINK("https://www1.hkexnews.hk/listedco/listconews/sehk/2021/0623/2021062301182.pdf","stabilisation")</ns0:f>
        <ns0:v/>
      </ns0:c>
      <ns0:c r="CB40" s="94" t="n"/>
      <ns0:c r="CC40" s="74" t="inlineStr">
        <ns0:is>
          <ns0:t>allocation: allocation table not in this notice's format (older prose announcement); day-1 tape: volume on file; the retail multiple needs the final public split, which this notice does not state</ns0:t>
        </ns0:is>
      </ns0:c>
    </ns0:row>
    <ns0:row r="41" ht="22" customHeight="1">
      <ns0:c r="A41" s="73" t="inlineStr">
        <ns0:is>
          <ns0:t>6699</ns0:t>
        </ns0:is>
      </ns0:c>
      <ns0:c r="B41" s="74" t="inlineStr">
        <ns0:is>
          <ns0:t>ANGELALIGN</ns0:t>
        </ns0:is>
      </ns0:c>
      <ns0:c r="C41" s="74" t="inlineStr">
        <ns0:is>
          <ns0:t>時代天使</ns0:t>
        </ns0:is>
      </ns0:c>
      <ns0:c r="D41" s="74" t="inlineStr">
        <ns0:is>
          <ns0:t>Healthcare</ns0:t>
        </ns0:is>
      </ns0:c>
      <ns0:c r="E41" s="74" t="inlineStr">
        <ns0:is>
          <ns0:t>Medical devices</ns0:t>
        </ns0:is>
      </ns0:c>
      <ns0:c r="F41" s="74" t="inlineStr">
        <ns0:is>
          <ns0:t>Health Care Services</ns0:t>
        </ns0:is>
      </ns0:c>
      <ns0:c r="G41" s="74" t="inlineStr">
        <ns0:is>
          <ns0:t>Standard</ns0:t>
        </ns0:is>
      </ns0:c>
      <ns0:c r="H41" s="75" t="n">
        <ns0:v>44363</ns0:v>
      </ns0:c>
      <ns0:c r="I41" s="76" t="n">
        <ns0:v>2911.5</ns0:v>
      </ns0:c>
      <ns0:c r="J41" s="74" t="inlineStr">
        <ns0:is>
          <ns0:t>gross (price x shares)</ns0:t>
        </ns0:is>
      </ns0:c>
      <ns0:c r="K41" s="77" t="n">
        <ns0:v>147</ns0:v>
      </ns0:c>
      <ns0:c r="L41" s="77" t="n">
        <ns0:v>173</ns0:v>
      </ns0:c>
      <ns0:c r="M41" s="77" t="n">
        <ns0:v>173</ns0:v>
      </ns0:c>
      <ns0:c r="N41" s="74" t="inlineStr">
        <ns0:is>
          <ns0:t>Y</ns0:t>
        </ns0:is>
      </ns0:c>
      <ns0:c r="O41" s="78" t="n">
        <ns0:v>100</ns0:v>
      </ns0:c>
      <ns0:c r="P41" s="78" t="n">
        <ns0:v>100</ns0:v>
      </ns0:c>
      <ns0:c r="Q41" s="79" t="n">
        <ns0:v>24373.6</ns0:v>
      </ns0:c>
      <ns0:c r="R41" s="74" t="inlineStr">
        <ns0:is>
          <ns0:t>prospectus:stated market capitalisation</ns0:t>
        </ns0:is>
      </ns0:c>
      <ns0:c r="S41" s="80" t="n">
        <ns0:v>2079.16</ns0:v>
      </ns0:c>
      <ns0:c r="T41" s="81" t="n">
        <ns0:v>114.7</ns0:v>
      </ns0:c>
      <ns0:c r="U41" s="82" t="n">
        <ns0:v>0</ns0:v>
      </ns0:c>
      <ns0:c r="V41" s="83" t="n">
        <ns0:v>194</ns0:v>
      </ns0:c>
      <ns0:c r="W41" s="84" t="n"/>
      <ns0:c r="X41" s="85" t="n"/>
      <ns0:c r="Y41" s="79" t="n">
        <ns0:v>2911.5</ns0:v>
      </ns0:c>
      <ns0:c r="Z41" s="79" t="n">
        <ns0:v>16829600</ns0:v>
      </ns0:c>
      <ns0:c r="AA41" s="78" t="n">
        <ns0:v>11.95</ns0:v>
      </ns0:c>
      <ns0:c r="AB41" s="74" t="inlineStr">
        <ns0:is>
          <ns0:t>none — no cornerstone tranche</ns0:t>
        </ns0:is>
      </ns0:c>
      <ns0:c r="AC41" s="74" t="inlineStr">
        <ns0:is>
          <ns0:t>none</ns0:t>
        </ns0:is>
      </ns0:c>
      <ns0:c r="AD41" s="78" t="n">
        <ns0:v>10</ns0:v>
      </ns0:c>
      <ns0:c r="AE41" s="74" t="inlineStr">
        <ns0:is>
          <ns0:t>full</ns0:t>
        </ns0:is>
      </ns0:c>
      <ns0:c r="AF41" s="74" t="inlineStr">
        <ns0:is>
          <ns0:t>2021-07-08</ns0:t>
        </ns0:is>
      </ns0:c>
      <ns0:c r="AG41" s="74" t="inlineStr">
        <ns0:is>
          <ns0:t>Goldman Sachs</ns0:t>
        </ns0:is>
      </ns0:c>
      <ns0:c r="AH41" s="74" t="inlineStr">
        <ns0:is>
          <ns0:t>Goldman Sachs</ns0:t>
        </ns0:is>
      </ns0:c>
      <ns0:c r="AI41" s="86" t="n">
        <ns0:v>113.06</ns0:v>
      </ns0:c>
      <ns0:c r="AJ41" s="87" t="n">
        <ns0:v>131.79</ns0:v>
      </ns0:c>
      <ns0:c r="AK41" s="87" t="n">
        <ns0:v>-2.8</ns0:v>
      </ns0:c>
      <ns0:c r="AL41" s="87" t="n">
        <ns0:v>131.21</ns0:v>
      </ns0:c>
      <ns0:c r="AM41" s="87" t="n">
        <ns0:v>0.25</ns0:v>
      </ns0:c>
      <ns0:c r="AN41" s="88" t="n"/>
      <ns0:c r="AO41" s="78" t="n">
        <ns0:v>28.75</ns0:v>
      </ns0:c>
      <ns0:c r="AP41" s="87" t="n">
        <ns0:v>144.51</ns0:v>
      </ns0:c>
      <ns0:c r="AQ41" s="87" t="n">
        <ns0:v>141.97</ns0:v>
      </ns0:c>
      <ns0:c r="AR41" s="87" t="n">
        <ns0:v>109.36</ns0:v>
      </ns0:c>
      <ns0:c r="AS41" s="87" t="n">
        <ns0:v>5.49</ns0:v>
      </ns0:c>
      <ns0:c r="AT41" s="87" t="n">
        <ns0:v>4.39</ns0:v>
      </ns0:c>
      <ns0:c r="AU41" s="87" t="n">
        <ns0:v>-9.68</ns0:v>
      </ns0:c>
      <ns0:c r="AV41" s="87" t="n">
        <ns0:v>141.81</ns0:v>
      </ns0:c>
      <ns0:c r="AW41" s="87" t="n">
        <ns0:v>141.37</ns0:v>
      </ns0:c>
      <ns0:c r="AX41" s="87" t="n">
        <ns0:v>123.22</ns0:v>
      </ns0:c>
      <ns0:c r="AY41" s="87" t="n">
        <ns0:v>0.89</ns0:v>
      </ns0:c>
      <ns0:c r="AZ41" s="87" t="n">
        <ns0:v>0.6</ns0:v>
      </ns0:c>
      <ns0:c r="BA41" s="87" t="n">
        <ns0:v>3.5</ns0:v>
      </ns0:c>
      <ns0:c r="BB41" s="74" t="inlineStr">
        <ns0:is>
          <ns0:t>China Biotech ETF (HS biotech proxy)</ns0:t>
        </ns0:is>
      </ns0:c>
      <ns0:c r="BC41" s="87" t="n">
        <ns0:v>-51.13</ns0:v>
      </ns0:c>
      <ns0:c r="BD41" s="75" t="n">
        <ns0:v>46297</ns0:v>
      </ns0:c>
      <ns0:c r="BE41" s="76" t="n">
        <ns0:v>898.2</ns0:v>
      </ns0:c>
      <ns0:c r="BF41" s="79" t="n">
        <ns0:v>166</ns0:v>
      </ns0:c>
      <ns0:c r="BG41" s="74" t="inlineStr">
        <ns0:is>
          <ns0:t>Y</ns0:t>
        </ns0:is>
      </ns0:c>
      <ns0:c r="BH41" s="89" t="n">
        <ns0:v>146.8</ns0:v>
      </ns0:c>
      <ns0:c r="BI41" s="89" t="n">
        <ns0:v>282.1</ns0:v>
      </ns0:c>
      <ns0:c r="BJ41" s="89" t="n">
        <ns0:v>70.59999999999999</ns0:v>
      </ns0:c>
      <ns0:c r="BK41" s="89" t="n">
        <ns0:v>27.1</ns0:v>
      </ns0:c>
      <ns0:c r="BL41" s="90">
        <ns0:f>IFERROR(IF('BBG Verify'!S41="","Awaiting Bloomberg",'BBG Verify'!S41),"Awaiting Bloomberg")</ns0:f>
        <ns0:v/>
      </ns0:c>
      <ns0:c r="BM41" s="91" t="inlineStr">
        <ns0:is>
          <ns0:t>N</ns0:t>
        </ns0:is>
      </ns0:c>
      <ns0:c r="BN41" s="92">
        <ns0:f>IFERROR(IF('BBG Verify'!K41="","Awaiting Bloomberg",'BBG Verify'!K41),"Awaiting Bloomberg")</ns0:f>
        <ns0:v/>
      </ns0:c>
      <ns0:c r="BO41" s="74" t="inlineStr">
        <ns0:is>
          <ns0:t>N/A</ns0:t>
        </ns0:is>
      </ns0:c>
      <ns0:c r="BP41" s="74" t="inlineStr">
        <ns0:is>
          <ns0:t>N/A</ns0:t>
        </ns0:is>
      </ns0:c>
      <ns0:c r="BQ41" s="74" t="inlineStr">
        <ns0:is>
          <ns0:t>N/A</ns0:t>
        </ns0:is>
      </ns0:c>
      <ns0:c r="BR41" s="74" t="inlineStr">
        <ns0:is>
          <ns0:t>N/A</ns0:t>
        </ns0:is>
      </ns0:c>
      <ns0:c r="BS41" s="74" t="inlineStr">
        <ns0:is>
          <ns0:t>N/A</ns0:t>
        </ns0:is>
      </ns0:c>
      <ns0:c r="BT41" s="74" t="inlineStr">
        <ns0:is>
          <ns0:t>N/A</ns0:t>
        </ns0:is>
      </ns0:c>
      <ns0:c r="BU41" s="91" t="inlineStr">
        <ns0:is>
          <ns0: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ns0:t>
        </ns0:is>
      </ns0:c>
      <ns0:c r="BV41" s="74" t="inlineStr">
        <ns0:is>
          <ns0:t>China International Capital Corporation Hong Kong Securities Limited; Goldman Sachs (Asia) L.L.C.</ns0:t>
        </ns0:is>
      </ns0:c>
      <ns0:c r="BW41" s="74" t="inlineStr">
        <ns0:is>
          <ns0:t>China International Capital Corporation Hong Kong Securities Limited; Goldman Sachs (Asia) L.L.C.</ns0:t>
        </ns0:is>
      </ns0:c>
      <ns0:c r="BX41" s="74" t="inlineStr">
        <ns0:is>
          <ns0:t>China International Capital Corporation Hong Kong Securities Limited; Goldman Sachs (Asia) L.L.C.</ns0:t>
        </ns0:is>
      </ns0:c>
      <ns0:c r="BY41" s="93">
        <ns0:f>HYPERLINK("https://www1.hkexnews.hk/listedco/listconews/sehk/2021/0603/2021060300011.pdf","prospectus")</ns0:f>
        <ns0:v/>
      </ns0:c>
      <ns0:c r="BZ41" s="93">
        <ns0:f>HYPERLINK("https://www1.hkexnews.hk/listedco/listconews/sehk/2021/0615/2021061500010.htm","allotment")</ns0:f>
        <ns0:v/>
      </ns0:c>
      <ns0:c r="CA41" s="93">
        <ns0:f>HYPERLINK("https://www1.hkexnews.hk/listedco/listconews/sehk/2021/0708/2021070801042.pdf","stabilisation")</ns0:f>
        <ns0:v/>
      </ns0:c>
      <ns0:c r="CB41" s="94" t="n"/>
      <ns0:c r="CC41" s="74" t="inlineStr">
        <ns0:is>
          <ns0:t>cornerstone list: no cornerstone tranche; allocation: allocation table not in this notice's format (older prose announcement); day-1 tape: volume on file; the retail multiple needs the final public split, which this notice does not state</ns0:t>
        </ns0:is>
      </ns0:c>
    </ns0:row>
    <ns0:row r="42" ht="22" customHeight="1">
      <ns0:c r="A42" s="73" t="inlineStr">
        <ns0:is>
          <ns0:t>2171</ns0:t>
        </ns0:is>
      </ns0:c>
      <ns0:c r="B42" s="74" t="inlineStr">
        <ns0:is>
          <ns0:t>CARSGEN-B</ns0:t>
        </ns0:is>
      </ns0:c>
      <ns0:c r="C42" s="74" t="inlineStr">
        <ns0:is>
          <ns0:t>科濟藥業－Ｂ</ns0:t>
        </ns0:is>
      </ns0:c>
      <ns0:c r="D42" s="74" t="inlineStr">
        <ns0:is>
          <ns0:t>Healthcare</ns0:t>
        </ns0:is>
      </ns0:c>
      <ns0:c r="E42" s="74" t="inlineStr">
        <ns0:is>
          <ns0:t>Biotech pre-revenue (18A)</ns0:t>
        </ns0:is>
      </ns0:c>
      <ns0:c r="F42" s="74" t="inlineStr">
        <ns0:is>
          <ns0:t>Biotechnology</ns0:t>
        </ns0:is>
      </ns0:c>
      <ns0:c r="G42" s="74" t="inlineStr">
        <ns0:is>
          <ns0:t>18A</ns0:t>
        </ns0:is>
      </ns0:c>
      <ns0:c r="H42" s="75" t="n">
        <ns0:v>44365</ns0:v>
      </ns0:c>
      <ns0:c r="I42" s="76" t="n">
        <ns0:v>3107.7</ns0:v>
      </ns0:c>
      <ns0:c r="J42" s="74" t="inlineStr">
        <ns0:is>
          <ns0:t>gross (price x shares)</ns0:t>
        </ns0:is>
      </ns0:c>
      <ns0:c r="K42" s="77" t="n">
        <ns0:v>29.6</ns0:v>
      </ns0:c>
      <ns0:c r="L42" s="77" t="n">
        <ns0:v>32.8</ns0:v>
      </ns0:c>
      <ns0:c r="M42" s="77" t="n">
        <ns0:v>32.8</ns0:v>
      </ns0:c>
      <ns0:c r="N42" s="74" t="inlineStr">
        <ns0:is>
          <ns0:t>Y</ns0:t>
        </ns0:is>
      </ns0:c>
      <ns0:c r="O42" s="78" t="n">
        <ns0:v>100</ns0:v>
      </ns0:c>
      <ns0:c r="P42" s="78" t="n">
        <ns0:v>100</ns0:v>
      </ns0:c>
      <ns0:c r="Q42" s="79" t="n">
        <ns0:v>17700</ns0:v>
      </ns0:c>
      <ns0:c r="R42" s="74" t="inlineStr">
        <ns0:is>
          <ns0:t>prospectus:stated market capitalisation</ns0:t>
        </ns0:is>
      </ns0:c>
      <ns0:c r="S42" s="80" t="n">
        <ns0:v>434.57</ns0:v>
      </ns0:c>
      <ns0:c r="T42" s="81" t="n">
        <ns0:v>8.199999999999999</ns0:v>
      </ns0:c>
      <ns0:c r="U42" s="82" t="n">
        <ns0:v>27.2</ns0:v>
      </ns0:c>
      <ns0:c r="V42" s="83" t="n">
        <ns0:v>106</ns0:v>
      </ns0:c>
      <ns0:c r="W42" s="78" t="n">
        <ns0:v>50</ns0:v>
      </ns0:c>
      <ns0:c r="X42" s="74" t="inlineStr">
        <ns0:is>
          <ns0:t>YES</ns0:t>
        </ns0:is>
      </ns0:c>
      <ns0:c r="Y42" s="79" t="n">
        <ns0:v>2262.41</ns0:v>
      </ns0:c>
      <ns0:c r="Z42" s="79" t="n">
        <ns0:v>68975816</ns0:v>
      </ns0:c>
      <ns0:c r="AA42" s="78" t="n">
        <ns0:v>12.78</ns0:v>
      </ns0:c>
      <ns0:c r="AB42" s="74" t="inlineStr">
        <ns0:is>
          <ns0:t>Affin Hwang Asset Management Berhad; China Southern Asset Management Co., Ltd; CloudAlpha Master Fund; Dymon Asia Capital (Singapore) Pte. Ltd; Foresight Fund Management Co., Ltd; GF Fund Management Co., Ltd; IvyRock Asset Management (HK) Limited; LAV Star Limited; WT Asset Management Limited</ns0:t>
        </ns0:is>
      </ns0:c>
      <ns0:c r="AC42" s="74" t="inlineStr">
        <ns0:is>
          <ns0:t>affin;southern;cloudalpha;dymon;foresight;gf;ivyrock;lav;wt</ns0:t>
        </ns0:is>
      </ns0:c>
      <ns0:c r="AD42" s="78" t="n">
        <ns0:v>5.5</ns0:v>
      </ns0:c>
      <ns0:c r="AE42" s="74" t="inlineStr">
        <ns0:is>
          <ns0:t>lapsed</ns0:t>
        </ns0:is>
      </ns0:c>
      <ns0:c r="AF42" s="74" t="inlineStr">
        <ns0:is>
          <ns0:t>2021-07-10</ns0:t>
        </ns0:is>
      </ns0:c>
      <ns0:c r="AG42" s="74" t="inlineStr">
        <ns0:is>
          <ns0:t>Goldman Sachs</ns0:t>
        </ns0:is>
      </ns0:c>
      <ns0:c r="AH42" s="74" t="inlineStr">
        <ns0:is>
          <ns0:t>Goldman Sachs</ns0:t>
        </ns0:is>
      </ns0:c>
      <ns0:c r="AI42" s="86" t="n">
        <ns0:v>-16.01</ns0:v>
      </ns0:c>
      <ns0:c r="AJ42" s="87" t="n">
        <ns0:v>-8.539999999999999</ns0:v>
      </ns0:c>
      <ns0:c r="AK42" s="87" t="n">
        <ns0:v>1.58</ns0:v>
      </ns0:c>
      <ns0:c r="AL42" s="87" t="n">
        <ns0:v>-17.53</ns0:v>
      </ns0:c>
      <ns0:c r="AM42" s="87" t="n">
        <ns0:v>10.9</ns0:v>
      </ns0:c>
      <ns0:c r="AN42" s="89" t="n">
        <ns0:v>1.15</ns0:v>
      </ns0:c>
      <ns0:c r="AO42" s="78" t="n">
        <ns0:v>21.81</ns0:v>
      </ns0:c>
      <ns0:c r="AP42" s="87" t="n">
        <ns0:v>-3.05</ns0:v>
      </ns0:c>
      <ns0:c r="AQ42" s="87" t="n">
        <ns0:v>-8.69</ns0:v>
      </ns0:c>
      <ns0:c r="AR42" s="87" t="n">
        <ns0:v>32.16</ns0:v>
      </ns0:c>
      <ns0:c r="AS42" s="87" t="n">
        <ns0:v>6</ns0:v>
      </ns0:c>
      <ns0:c r="AT42" s="87" t="n">
        <ns0:v>-0.16</ns0:v>
      </ns0:c>
      <ns0:c r="AU42" s="87" t="n">
        <ns0:v>44.5</ns0:v>
      </ns0:c>
      <ns0:c r="AV42" s="87" t="n">
        <ns0:v>-9.98</ns0:v>
      </ns0:c>
      <ns0:c r="AW42" s="87" t="n">
        <ns0:v>-12.93</ns0:v>
      </ns0:c>
      <ns0:c r="AX42" s="87" t="n">
        <ns0:v>45.72</ns0:v>
      </ns0:c>
      <ns0:c r="AY42" s="87" t="n">
        <ns0:v>-2.77</ns0:v>
      </ns0:c>
      <ns0:c r="AZ42" s="87" t="n">
        <ns0:v>4.24</ns0:v>
      </ns0:c>
      <ns0:c r="BA42" s="87" t="n">
        <ns0:v>2.61</ns0:v>
      </ns0:c>
      <ns0:c r="BB42" s="74" t="inlineStr">
        <ns0:is>
          <ns0:t>China Biotech ETF (HS biotech proxy)</ns0:t>
        </ns0:is>
      </ns0:c>
      <ns0:c r="BC42" s="87" t="n">
        <ns0:v>-62.04</ns0:v>
      </ns0:c>
      <ns0:c r="BD42" s="75" t="n">
        <ns0:v>46297</ns0:v>
      </ns0:c>
      <ns0:c r="BE42" s="76" t="n">
        <ns0:v>34.1</ns0:v>
      </ns0:c>
      <ns0:c r="BF42" s="79" t="n">
        <ns0:v>-291.6</ns0:v>
      </ns0:c>
      <ns0:c r="BG42" s="74" t="inlineStr">
        <ns0:is>
          <ns0:t>N</ns0:t>
        </ns0:is>
      </ns0:c>
      <ns0:c r="BH42" s="74" t="inlineStr">
        <ns0:is>
          <ns0:t>n/m</ns0:t>
        </ns0:is>
      </ns0:c>
      <ns0:c r="BI42" s="88" t="n"/>
      <ns0:c r="BJ42" s="88" t="n"/>
      <ns0:c r="BK42" s="89" t="n">
        <ns0:v>519.1</ns0:v>
      </ns0:c>
      <ns0:c r="BL42" s="90">
        <ns0:f>IFERROR(IF('BBG Verify'!S42="","Awaiting Bloomberg",'BBG Verify'!S42),"Awaiting Bloomberg")</ns0:f>
        <ns0:v/>
      </ns0:c>
      <ns0:c r="BM42" s="91" t="inlineStr">
        <ns0:is>
          <ns0:t>N</ns0:t>
        </ns0:is>
      </ns0:c>
      <ns0:c r="BN42" s="92">
        <ns0:f>IFERROR(IF('BBG Verify'!K42="","Awaiting Bloomberg",'BBG Verify'!K42),"Awaiting Bloomberg")</ns0:f>
        <ns0:v/>
      </ns0:c>
      <ns0:c r="BO42" s="74" t="inlineStr">
        <ns0:is>
          <ns0:t>N/A</ns0:t>
        </ns0:is>
      </ns0:c>
      <ns0:c r="BP42" s="74" t="inlineStr">
        <ns0:is>
          <ns0:t>N/A</ns0:t>
        </ns0:is>
      </ns0:c>
      <ns0:c r="BQ42" s="74" t="inlineStr">
        <ns0:is>
          <ns0:t>N/A</ns0:t>
        </ns0:is>
      </ns0:c>
      <ns0:c r="BR42" s="74" t="inlineStr">
        <ns0:is>
          <ns0:t>N/A</ns0:t>
        </ns0:is>
      </ns0:c>
      <ns0:c r="BS42" s="74" t="inlineStr">
        <ns0:is>
          <ns0:t>N/A</ns0:t>
        </ns0:is>
      </ns0:c>
      <ns0:c r="BT42" s="74" t="inlineStr">
        <ns0:is>
          <ns0:t>N/A</ns0:t>
        </ns0:is>
      </ns0:c>
      <ns0:c r="BU42" s="91" t="inlineStr">
        <ns0:is>
          <ns0:t>Goldman Sachs (Asia) L.L.C; UBS Securities Hong Kong Limited</ns0:t>
        </ns0:is>
      </ns0:c>
      <ns0:c r="BV42" s="74" t="inlineStr">
        <ns0:is>
          <ns0:t>UBS Securities Hong Kong Limited; Goldman Sachs (Asia) L.L.C.</ns0:t>
        </ns0:is>
      </ns0:c>
      <ns0:c r="BW42" s="74" t="inlineStr">
        <ns0:is>
          <ns0:t>Goldman Sachs (Asia) L.L.C; UBS AG Hong Kong Branch; CLSA Limited; Credit Suisse (Hong Kong) Limited</ns0:t>
        </ns0:is>
      </ns0:c>
      <ns0:c r="BX42" s="74" t="inlineStr">
        <ns0:is>
          <ns0:t>CLSA Limited; Credit Suisse (Hong Kong) Limited; Goldman Sachs (Asia) L.L.C.; UBS AG Hong Kong Branch</ns0:t>
        </ns0:is>
      </ns0:c>
      <ns0:c r="BY42" s="93">
        <ns0:f>HYPERLINK("https://www1.hkexnews.hk/listedco/listconews/sehk/2021/0607/2021060700009.pdf","prospectus")</ns0:f>
        <ns0:v/>
      </ns0:c>
      <ns0:c r="BZ42" s="93">
        <ns0:f>HYPERLINK("https://www1.hkexnews.hk/listedco/listconews/sehk/2021/0617/2021061700006.htm","allotment")</ns0:f>
        <ns0:v/>
      </ns0:c>
      <ns0:c r="CA42" s="93">
        <ns0:f>HYPERLINK("https://www1.hkexnews.hk/listedco/listconews/sehk/2021/0712/2021071200836.pdf","stabilisation")</ns0:f>
        <ns0:v/>
      </ns0:c>
      <ns0:c r="CB42" s="94" t="n"/>
      <ns0:c r="CC42" s="74" t="inlineStr">
        <ns0:is>
          <ns0:t>P/E: loss-making at IPO, use P/S; cornerstone: % from the prospectus; AAStocks table includes non-cornerstone orders; P/S: 519x on HK$34.1m revenue, effectively pre-revenue; not comparable</ns0:t>
        </ns0:is>
      </ns0:c>
    </ns0:row>
    <ns0:row r="43" ht="22" customHeight="1">
      <ns0:c r="A43" s="73" t="inlineStr">
        <ns0:is>
          <ns0:t>9858</ns0:t>
        </ns0:is>
      </ns0:c>
      <ns0:c r="B43" s="74" t="inlineStr">
        <ns0:is>
          <ns0:t>YOURAN DAIRY</ns0:t>
        </ns0:is>
      </ns0:c>
      <ns0:c r="C43" s="74" t="inlineStr">
        <ns0:is>
          <ns0:t>優然牧業</ns0:t>
        </ns0:is>
      </ns0:c>
      <ns0:c r="D43" s="74" t="inlineStr">
        <ns0:is>
          <ns0:t>Consumer</ns0:t>
        </ns0:is>
      </ns0:c>
      <ns0:c r="E43" s="74" t="inlineStr">
        <ns0:is>
          <ns0:t>Beverages / packaged food</ns0:t>
        </ns0:is>
      </ns0:c>
      <ns0:c r="F43" s="74" t="inlineStr">
        <ns0:is>
          <ns0:t>Dairy Products</ns0:t>
        </ns0:is>
      </ns0:c>
      <ns0:c r="G43" s="74" t="inlineStr">
        <ns0:is>
          <ns0:t>Standard</ns0:t>
        </ns0:is>
      </ns0:c>
      <ns0:c r="H43" s="75" t="n">
        <ns0:v>44365</ns0:v>
      </ns0:c>
      <ns0:c r="I43" s="76" t="n">
        <ns0:v>4993.7</ns0:v>
      </ns0:c>
      <ns0:c r="J43" s="74" t="inlineStr">
        <ns0:is>
          <ns0:t>gross (price x shares)</ns0:t>
        </ns0:is>
      </ns0:c>
      <ns0:c r="K43" s="77" t="n">
        <ns0:v>6.98</ns0:v>
      </ns0:c>
      <ns0:c r="L43" s="77" t="n">
        <ns0:v>8.66</ns0:v>
      </ns0:c>
      <ns0:c r="M43" s="77" t="n">
        <ns0:v>6.98</ns0:v>
      </ns0:c>
      <ns0:c r="N43" s="74" t="inlineStr">
        <ns0:is>
          <ns0:t>N</ns0:t>
        </ns0:is>
      </ns0:c>
      <ns0:c r="O43" s="78" t="n">
        <ns0:v>80.59999999999999</ns0:v>
      </ns0:c>
      <ns0:c r="P43" s="78" t="n">
        <ns0:v>0</ns0:v>
      </ns0:c>
      <ns0:c r="Q43" s="79" t="n">
        <ns0:v>31631.2</ns0:v>
      </ns0:c>
      <ns0:c r="R43" s="74" t="inlineStr">
        <ns0:is>
          <ns0:t>aastocks:上市市值 at the struck price</ns0:t>
        </ns0:is>
      </ns0:c>
      <ns0:c r="S43" s="80" t="n">
        <ns0:v>3.73</ns0:v>
      </ns0:c>
      <ns0:c r="T43" s="81" t="n">
        <ns0:v>3.88</ns0:v>
      </ns0:c>
      <ns0:c r="U43" s="82" t="n">
        <ns0:v>7.77</ns0:v>
      </ns0:c>
      <ns0:c r="V43" s="83" t="n">
        <ns0:v>100</ns0:v>
      </ns0:c>
      <ns0:c r="W43" s="84" t="n"/>
      <ns0:c r="X43" s="85" t="n"/>
      <ns0:c r="Y43" s="79" t="n">
        <ns0:v>4605.69</ns0:v>
      </ns0:c>
      <ns0:c r="Z43" s="79" t="n">
        <ns0:v>659845700</ns0:v>
      </ns0:c>
      <ns0:c r="AA43" s="78" t="n">
        <ns0:v>14.56</ns0:v>
      </ns0:c>
      <ns0:c r="AB43" s="74" t="inlineStr">
        <ns0:is>
          <ns0:t>CITIC-Prudential Life Insurance Company Limited; Harvest Private Wealth Thematic Fund SPC</ns0:t>
        </ns0:is>
      </ns0:c>
      <ns0:c r="AC43" s="74" t="inlineStr">
        <ns0:is>
          <ns0:t>citic;harvest</ns0:t>
        </ns0:is>
      </ns0:c>
      <ns0:c r="AD43" s="78" t="n">
        <ns0:v>16.97</ns0:v>
      </ns0:c>
      <ns0:c r="AE43" s="74" t="inlineStr">
        <ns0:is>
          <ns0:t>lapsed</ns0:t>
        </ns0:is>
      </ns0:c>
      <ns0:c r="AF43" s="74" t="inlineStr">
        <ns0:is>
          <ns0:t>2021-07-10</ns0:t>
        </ns0:is>
      </ns0:c>
      <ns0:c r="AG43" s="74" t="inlineStr">
        <ns0:is>
          <ns0:t>Credit Suisse</ns0:t>
        </ns0:is>
      </ns0:c>
      <ns0:c r="AH43" s="74" t="inlineStr">
        <ns0:is>
          <ns0:t>Credit Suisse</ns0:t>
        </ns0:is>
      </ns0:c>
      <ns0:c r="AI43" s="86" t="n">
        <ns0:v>-8.31</ns0:v>
      </ns0:c>
      <ns0:c r="AJ43" s="87" t="n">
        <ns0:v>-11.89</ns0:v>
      </ns0:c>
      <ns0:c r="AK43" s="87" t="n">
        <ns0:v>2.1</ns0:v>
      </ns0:c>
      <ns0:c r="AL43" s="87" t="n">
        <ns0:v>-10.03</ns0:v>
      </ns0:c>
      <ns0:c r="AM43" s="87" t="n">
        <ns0:v>-2.07</ns0:v>
      </ns0:c>
      <ns0:c r="AN43" s="88" t="n"/>
      <ns0:c r="AO43" s="78" t="n">
        <ns0:v>15.61</ns0:v>
      </ns0:c>
      <ns0:c r="AP43" s="87" t="n">
        <ns0:v>-11.32</ns0:v>
      </ns0:c>
      <ns0:c r="AQ43" s="87" t="n">
        <ns0:v>-26.93</ns0:v>
      </ns0:c>
      <ns0:c r="AR43" s="87" t="n">
        <ns0:v>-29.08</ns0:v>
      </ns0:c>
      <ns0:c r="AS43" s="87" t="n">
        <ns0:v>0.65</ns0:v>
      </ns0:c>
      <ns0:c r="AT43" s="87" t="n">
        <ns0:v>-17.07</ns0:v>
      </ns0:c>
      <ns0:c r="AU43" s="87" t="n">
        <ns0:v>-19.51</ns0:v>
      </ns0:c>
      <ns0:c r="AV43" s="87" t="n">
        <ns0:v>-16.57</ns0:v>
      </ns0:c>
      <ns0:c r="AW43" s="87" t="n">
        <ns0:v>-23.51</ns0:v>
      </ns0:c>
      <ns0:c r="AX43" s="87" t="n">
        <ns0:v>-13.87</ns0:v>
      </ns0:c>
      <ns0:c r="AY43" s="87" t="n">
        <ns0:v>-11.67</ns0:v>
      </ns0:c>
      <ns0:c r="AZ43" s="87" t="n">
        <ns0:v>-3.42</ns0:v>
      </ns0:c>
      <ns0:c r="BA43" s="87" t="n">
        <ns0:v>-5.4</ns0:v>
      </ns0:c>
      <ns0:c r="BB43" s="74" t="inlineStr">
        <ns0:is>
          <ns0:t>Hang Seng Commerce &amp; Industry sub-index</ns0:t>
        </ns0:is>
      </ns0:c>
      <ns0:c r="BC43" s="87" t="n">
        <ns0:v>-44.91</ns0:v>
      </ns0:c>
      <ns0:c r="BD43" s="75" t="n">
        <ns0:v>46297</ns0:v>
      </ns0:c>
      <ns0:c r="BE43" s="76" t="n">
        <ns0:v>12959.3</ns0:v>
      </ns0:c>
      <ns0:c r="BF43" s="79" t="n">
        <ns0:v>1694.7</ns0:v>
      </ns0:c>
      <ns0:c r="BG43" s="74" t="inlineStr">
        <ns0:is>
          <ns0:t>Y</ns0:t>
        </ns0:is>
      </ns0:c>
      <ns0:c r="BH43" s="89" t="n">
        <ns0:v>18.7</ns0:v>
      </ns0:c>
      <ns0:c r="BI43" s="89" t="n">
        <ns0:v>12.3</ns0:v>
      </ns0:c>
      <ns0:c r="BJ43" s="88" t="n"/>
      <ns0:c r="BK43" s="89" t="n">
        <ns0:v>2.4</ns0:v>
      </ns0:c>
      <ns0:c r="BL43" s="90">
        <ns0:f>IFERROR(IF('BBG Verify'!S43="","Awaiting Bloomberg",'BBG Verify'!S43),"Awaiting Bloomberg")</ns0:f>
        <ns0:v/>
      </ns0:c>
      <ns0:c r="BM43" s="91" t="inlineStr">
        <ns0:is>
          <ns0:t>N</ns0:t>
        </ns0:is>
      </ns0:c>
      <ns0:c r="BN43" s="92">
        <ns0:f>IFERROR(IF('BBG Verify'!K43="","Awaiting Bloomberg",'BBG Verify'!K43),"Awaiting Bloomberg")</ns0:f>
        <ns0:v/>
      </ns0:c>
      <ns0:c r="BO43" s="74" t="inlineStr">
        <ns0:is>
          <ns0:t>N/A</ns0:t>
        </ns0:is>
      </ns0:c>
      <ns0:c r="BP43" s="74" t="inlineStr">
        <ns0:is>
          <ns0:t>N/A</ns0:t>
        </ns0:is>
      </ns0:c>
      <ns0:c r="BQ43" s="74" t="inlineStr">
        <ns0:is>
          <ns0:t>N/A</ns0:t>
        </ns0:is>
      </ns0:c>
      <ns0:c r="BR43" s="74" t="inlineStr">
        <ns0:is>
          <ns0:t>N/A</ns0:t>
        </ns0:is>
      </ns0:c>
      <ns0:c r="BS43" s="74" t="inlineStr">
        <ns0:is>
          <ns0:t>N/A</ns0:t>
        </ns0:is>
      </ns0:c>
      <ns0:c r="BT43" s="74" t="inlineStr">
        <ns0:is>
          <ns0:t>N/A</ns0:t>
        </ns0:is>
      </ns0:c>
      <ns0:c r="BU43" s="91" t="inlineStr">
        <ns0:is>
          <ns0:t>Huatai Financial Holdings (Hong Kong) Limited; Credit Suisse (Hong Kong) Limited</ns0:t>
        </ns0:is>
      </ns0:c>
      <ns0:c r="BV43" s="74" t="inlineStr">
        <ns0:is>
          <ns0:t>Huatai Financial Holdings (Hong Kong) Limited; Credit Suisse (Hong Kong) Limited</ns0:t>
        </ns0:is>
      </ns0:c>
      <ns0:c r="BW43" s="74" t="inlineStr">
        <ns0:is>
          <ns0:t>Huatai Financial Holdings (Hong Kong) Limited; Credit Suisse (Hong Kong) Limited; Citigroup Global Markets Asia Limited; CLSA Limited; Citigroup Global Markets Limited; Canary Wharf London E14 5LB United Kingdom CLSA Limited; The Hongkong and Shanghai Banking Corporation Limited; BOCOM International Securities Limited; Corporate Finance Company Limited; ICBC International Capital Limited; Futu Securities International (Hong Kong) Limited</ns0:t>
        </ns0:is>
      </ns0:c>
      <ns0:c r="BX43" s="74" t="inlineStr">
        <ns0:is>
          <ns0: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ns0:t>
        </ns0:is>
      </ns0:c>
      <ns0:c r="BY43" s="93">
        <ns0:f>HYPERLINK("https://www1.hkexnews.hk/listedco/listconews/sehk/2021/0607/2021060700019.pdf","prospectus")</ns0:f>
        <ns0:v/>
      </ns0:c>
      <ns0:c r="BZ43" s="93">
        <ns0:f>HYPERLINK("https://www1.hkexnews.hk/listedco/listconews/sehk/2021/0617/2021061700034.htm","allotment")</ns0:f>
        <ns0:v/>
      </ns0:c>
      <ns0:c r="CA43" s="93">
        <ns0:f>HYPERLINK("https://www1.hkexnews.hk/listedco/listconews/sehk/2021/0711/2021071100011.pdf","stabilisation")</ns0:f>
        <ns0:v/>
      </ns0:c>
      <ns0:c r="CB43" s="94" t="n"/>
      <ns0:c r="CC43" s="74" t="inlineStr">
        <ns0:is>
          <ns0:t>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ns0:t>
        </ns0:is>
      </ns0:c>
    </ns0:row>
    <ns0:row r="44" ht="22" customHeight="1">
      <ns0:c r="A44" s="73" t="inlineStr">
        <ns0:is>
          <ns0:t>2155</ns0:t>
        </ns0:is>
      </ns0:c>
      <ns0:c r="B44" s="74" t="inlineStr">
        <ns0:is>
          <ns0:t>MORIMATSU INTL</ns0:t>
        </ns0:is>
      </ns0:c>
      <ns0:c r="C44" s="74" t="inlineStr">
        <ns0:is>
          <ns0:t>森松國際</ns0:t>
        </ns0:is>
      </ns0:c>
      <ns0:c r="D44" s="74" t="inlineStr">
        <ns0:is>
          <ns0:t>Industrials</ns0:t>
        </ns0:is>
      </ns0:c>
      <ns0:c r="E44" s="74" t="inlineStr">
        <ns0:is>
          <ns0:t>Capital goods / machinery</ns0:t>
        </ns0:is>
      </ns0:c>
      <ns0:c r="F44" s="74" t="inlineStr">
        <ns0:is>
          <ns0:t>Industrial Machinery</ns0:t>
        </ns0:is>
      </ns0:c>
      <ns0:c r="G44" s="74" t="inlineStr">
        <ns0:is>
          <ns0:t>Standard</ns0:t>
        </ns0:is>
      </ns0:c>
      <ns0:c r="H44" s="75" t="n">
        <ns0:v>44375</ns0:v>
      </ns0:c>
      <ns0:c r="I44" s="76" t="n">
        <ns0:v>620</ns0:v>
      </ns0:c>
      <ns0:c r="J44" s="74" t="inlineStr">
        <ns0:is>
          <ns0:t>gross (price x shares)</ns0:t>
        </ns0:is>
      </ns0:c>
      <ns0:c r="K44" s="77" t="n">
        <ns0:v>2.2</ns0:v>
      </ns0:c>
      <ns0:c r="L44" s="77" t="n">
        <ns0:v>2.48</ns0:v>
      </ns0:c>
      <ns0:c r="M44" s="77" t="n">
        <ns0:v>2.48</ns0:v>
      </ns0:c>
      <ns0:c r="N44" s="74" t="inlineStr">
        <ns0:is>
          <ns0:t>Y</ns0:t>
        </ns0:is>
      </ns0:c>
      <ns0:c r="O44" s="78" t="n">
        <ns0:v>100</ns0:v>
      </ns0:c>
      <ns0:c r="P44" s="78" t="n">
        <ns0:v>100</ns0:v>
      </ns0:c>
      <ns0:c r="Q44" s="79" t="n">
        <ns0:v>2755.6</ns0:v>
      </ns0:c>
      <ns0:c r="R44" s="74" t="inlineStr">
        <ns0:is>
          <ns0:t>derived:deal size / offer % of enlarged capital</ns0:t>
        </ns0:is>
      </ns0:c>
      <ns0:c r="S44" s="80" t="n">
        <ns0:v>23.71</ns0:v>
      </ns0:c>
      <ns0:c r="T44" s="81" t="n">
        <ns0:v>2.36</ns0:v>
      </ns0:c>
      <ns0:c r="U44" s="82" t="n">
        <ns0:v>44.63</ns0:v>
      </ns0:c>
      <ns0:c r="V44" s="83" t="n">
        <ns0:v>134</ns0:v>
      </ns0:c>
      <ns0:c r="W44" s="78" t="n">
        <ns0:v>30</ns0:v>
      </ns0:c>
      <ns0:c r="X44" s="74" t="inlineStr">
        <ns0:is>
          <ns0:t>YES</ns0:t>
        </ns0:is>
      </ns0:c>
      <ns0:c r="Y44" s="79" t="n">
        <ns0:v>343.29</ns0:v>
      </ns0:c>
      <ns0:c r="Z44" s="79" t="n">
        <ns0:v>138425000</ns0:v>
      </ns0:c>
      <ns0:c r="AA44" s="78" t="n">
        <ns0:v>12.46</ns0:v>
      </ns0:c>
      <ns0:c r="AB44" s="74" t="inlineStr">
        <ns0:is>
          <ns0:t>China Universal Asset Management Limited Liability Company; Huayou HongKong Holding Limited; Hwa-An International Limited; Jingzhirui (Suzhou) Microelectronic Technology Co., Ltd; WuXi Biologics HealthCare Venture; Zhang Ning</ns0:t>
        </ns0:is>
      </ns0:c>
      <ns0:c r="AC44" s="74" t="inlineStr">
        <ns0:is>
          <ns0:t>universal;huayou;hwa;jingzhirui;wuxi;zhang-ning</ns0:t>
        </ns0:is>
      </ns0:c>
      <ns0:c r="AD44" s="78" t="n">
        <ns0:v>12.37</ns0:v>
      </ns0:c>
      <ns0:c r="AE44" s="74" t="inlineStr">
        <ns0:is>
          <ns0:t>full</ns0:t>
        </ns0:is>
      </ns0:c>
      <ns0:c r="AF44" s="85" t="n"/>
      <ns0:c r="AG44" s="74" t="inlineStr">
        <ns0:is>
          <ns0:t>Sinolink Securities</ns0:t>
        </ns0:is>
      </ns0:c>
      <ns0:c r="AH44" s="74" t="inlineStr">
        <ns0:is>
          <ns0:t>Sinolink</ns0:t>
        </ns0:is>
      </ns0:c>
      <ns0:c r="AI44" s="86" t="n">
        <ns0:v>61.29</ns0:v>
      </ns0:c>
      <ns0:c r="AJ44" s="87" t="n">
        <ns0:v>258.87</ns0:v>
      </ns0:c>
      <ns0:c r="AK44" s="87" t="n">
        <ns0:v>0.6899999999999999</ns0:v>
      </ns0:c>
      <ns0:c r="AL44" s="87" t="n">
        <ns0:v>100</ns0:v>
      </ns0:c>
      <ns0:c r="AM44" s="87" t="n">
        <ns0:v>79.44</ns0:v>
      </ns0:c>
      <ns0:c r="AN44" s="89" t="n">
        <ns0:v>2.3</ns0:v>
      </ns0:c>
      <ns0:c r="AO44" s="78" t="n">
        <ns0:v>116.94</ns0:v>
      </ns0:c>
      <ns0:c r="AP44" s="87" t="n">
        <ns0:v>459.68</ns0:v>
      </ns0:c>
      <ns0:c r="AQ44" s="87" t="n">
        <ns0:v>303.23</ns0:v>
      </ns0:c>
      <ns0:c r="AR44" s="87" t="n">
        <ns0:v>290.73</ns0:v>
      </ns0:c>
      <ns0:c r="AS44" s="87" t="n">
        <ns0:v>55.96</ns0:v>
      </ns0:c>
      <ns0:c r="AT44" s="87" t="n">
        <ns0:v>12.36</ns0:v>
      </ns0:c>
      <ns0:c r="AU44" s="87" t="n">
        <ns0:v>8.880000000000001</ns0:v>
      </ns0:c>
      <ns0:c r="AV44" s="87" t="n">
        <ns0:v>465.58</ns0:v>
      </ns0:c>
      <ns0:c r="AW44" s="87" t="n">
        <ns0:v>320.73</ns0:v>
      </ns0:c>
      <ns0:c r="AX44" s="87" t="n">
        <ns0:v>311.13</ns0:v>
      </ns0:c>
      <ns0:c r="AY44" s="87" t="n">
        <ns0:v>30.43</ns0:v>
      </ns0:c>
      <ns0:c r="AZ44" s="87" t="n">
        <ns0:v>-17.5</ns0:v>
      </ns0:c>
      <ns0:c r="BA44" s="87" t="n">
        <ns0:v>-18.07</ns0:v>
      </ns0:c>
      <ns0:c r="BB44" s="74" t="inlineStr">
        <ns0:is>
          <ns0:t>Hang Seng Commerce &amp; Industry sub-index</ns0:t>
        </ns0:is>
      </ns0:c>
      <ns0:c r="BC44" s="87" t="n">
        <ns0:v>184.07</ns0:v>
      </ns0:c>
      <ns0:c r="BD44" s="75" t="n">
        <ns0:v>46297</ns0:v>
      </ns0:c>
      <ns0:c r="BE44" s="76" t="n">
        <ns0:v>3109</ns0:v>
      </ns0:c>
      <ns0:c r="BF44" s="79" t="n">
        <ns0:v>161.3</ns0:v>
      </ns0:c>
      <ns0:c r="BG44" s="74" t="inlineStr">
        <ns0:is>
          <ns0:t>Y</ns0:t>
        </ns0:is>
      </ns0:c>
      <ns0:c r="BH44" s="89" t="n">
        <ns0:v>17.1</ns0:v>
      </ns0:c>
      <ns0:c r="BI44" s="88" t="n"/>
      <ns0:c r="BJ44" s="89" t="n">
        <ns0:v>13.4</ns0:v>
      </ns0:c>
      <ns0:c r="BK44" s="89" t="n">
        <ns0:v>0.9</ns0:v>
      </ns0:c>
      <ns0:c r="BL44" s="90">
        <ns0:f>IFERROR(IF('BBG Verify'!S44="","Awaiting Bloomberg",'BBG Verify'!S44),"Awaiting Bloomberg")</ns0:f>
        <ns0:v/>
      </ns0:c>
      <ns0:c r="BM44" s="91" t="inlineStr">
        <ns0:is>
          <ns0:t>N</ns0:t>
        </ns0:is>
      </ns0:c>
      <ns0:c r="BN44" s="92">
        <ns0:f>IFERROR(IF('BBG Verify'!K44="","Awaiting Bloomberg",'BBG Verify'!K44),"Awaiting Bloomberg")</ns0:f>
        <ns0:v/>
      </ns0:c>
      <ns0:c r="BO44" s="74" t="inlineStr">
        <ns0:is>
          <ns0:t>N/A</ns0:t>
        </ns0:is>
      </ns0:c>
      <ns0:c r="BP44" s="74" t="inlineStr">
        <ns0:is>
          <ns0:t>N/A</ns0:t>
        </ns0:is>
      </ns0:c>
      <ns0:c r="BQ44" s="74" t="inlineStr">
        <ns0:is>
          <ns0:t>N/A</ns0:t>
        </ns0:is>
      </ns0:c>
      <ns0:c r="BR44" s="74" t="inlineStr">
        <ns0:is>
          <ns0:t>N/A</ns0:t>
        </ns0:is>
      </ns0:c>
      <ns0:c r="BS44" s="74" t="inlineStr">
        <ns0:is>
          <ns0:t>N/A</ns0:t>
        </ns0:is>
      </ns0:c>
      <ns0:c r="BT44" s="74" t="inlineStr">
        <ns0:is>
          <ns0:t>N/A</ns0:t>
        </ns0:is>
      </ns0:c>
      <ns0:c r="BU44" s="91" t="inlineStr">
        <ns0:is>
          <ns0:t>Sinolink Securities (Hong Kong) Company Limited</ns0:t>
        </ns0:is>
      </ns0:c>
      <ns0:c r="BV44" s="74" t="inlineStr">
        <ns0:is>
          <ns0:t>Sinolink Securities (Hong Kong) Company Limited</ns0:t>
        </ns0:is>
      </ns0:c>
      <ns0:c r="BW44" s="74" t="inlineStr">
        <ns0:is>
          <ns0:t>Sinolink Securities (Hong Kong) Company Limited; Haitong International Securities Company Limited; Innovax Securities Limited</ns0:t>
        </ns0:is>
      </ns0:c>
      <ns0:c r="BX44" s="74" t="inlineStr">
        <ns0:is>
          <ns0:t>Futu Securities International (Hong Kong) Limited; Haitong International Securities Company Limited; Innovax Securities Limited; Livermore Holdings Limited; Sinolink Securities (Hong Kong) Company Limited; Sinomax Securities Limited</ns0:t>
        </ns0:is>
      </ns0:c>
      <ns0:c r="BY44" s="93">
        <ns0:f>HYPERLINK("https://www1.hkexnews.hk/listedco/listconews/sehk/2021/0615/2021061500023.pdf","prospectus")</ns0:f>
        <ns0:v/>
      </ns0:c>
      <ns0:c r="BZ44" s="93">
        <ns0:f>HYPERLINK("https://www1.hkexnews.hk/listedco/listconews/sehk/2021/0625/2021062500064.htm","allotment")</ns0:f>
        <ns0:v/>
      </ns0:c>
      <ns0:c r="CA44" s="93">
        <ns0:f>HYPERLINK("https://www1.hkexnews.hk/listedco/listconews/sehk/2021/0719/2021071900868.pdf","stabilisation")</ns0:f>
        <ns0:v/>
      </ns0:c>
      <ns0:c r="CB44" s="94" t="n"/>
      <ns0:c r="CC44" s="74" t="inlineStr">
        <ns0:is>
          <ns0:t>greenshoe: outcome published; expiry date not in the notice</ns0:t>
        </ns0:is>
      </ns0:c>
    </ns0:row>
    <ns0:row r="45" ht="22" customHeight="1">
      <ns0:c r="A45" s="73" t="inlineStr">
        <ns0:is>
          <ns0:t>6626</ns0:t>
        </ns0:is>
      </ns0:c>
      <ns0:c r="B45" s="74" t="inlineStr">
        <ns0:is>
          <ns0:t>YUEXIU SERVICES</ns0:t>
        </ns0:is>
      </ns0:c>
      <ns0:c r="C45" s="74" t="inlineStr">
        <ns0:is>
          <ns0:t>越秀服務</ns0:t>
        </ns0:is>
      </ns0:c>
      <ns0:c r="D45" s="74" t="inlineStr">
        <ns0:is>
          <ns0:t>Real Estate</ns0:t>
        </ns0:is>
      </ns0:c>
      <ns0:c r="E45" s="74" t="inlineStr">
        <ns0:is>
          <ns0:t>Property management</ns0:t>
        </ns0:is>
      </ns0:c>
      <ns0:c r="F45" s="74" t="inlineStr">
        <ns0:is>
          <ns0:t>Property Service and Management</ns0:t>
        </ns0:is>
      </ns0:c>
      <ns0:c r="G45" s="74" t="inlineStr">
        <ns0:is>
          <ns0:t>Standard</ns0:t>
        </ns0:is>
      </ns0:c>
      <ns0:c r="H45" s="75" t="n">
        <ns0:v>44375</ns0:v>
      </ns0:c>
      <ns0:c r="I45" s="76" t="n">
        <ns0:v>1803.9</ns0:v>
      </ns0:c>
      <ns0:c r="J45" s="74" t="inlineStr">
        <ns0:is>
          <ns0:t>gross (price x shares)</ns0:t>
        </ns0:is>
      </ns0:c>
      <ns0:c r="K45" s="77" t="n">
        <ns0:v>4.88</ns0:v>
      </ns0:c>
      <ns0:c r="L45" s="77" t="n">
        <ns0:v>6.52</ns0:v>
      </ns0:c>
      <ns0:c r="M45" s="77" t="n">
        <ns0:v>4.88</ns0:v>
      </ns0:c>
      <ns0:c r="N45" s="74" t="inlineStr">
        <ns0:is>
          <ns0:t>N</ns0:t>
        </ns0:is>
      </ns0:c>
      <ns0:c r="O45" s="78" t="n">
        <ns0:v>74.8</ns0:v>
      </ns0:c>
      <ns0:c r="P45" s="78" t="n">
        <ns0:v>0</ns0:v>
      </ns0:c>
      <ns0:c r="Q45" s="79" t="n">
        <ns0:v>9295.700000000001</ns0:v>
      </ns0:c>
      <ns0:c r="R45" s="74" t="inlineStr">
        <ns0:is>
          <ns0:t>aastocks:上市市值 at the struck price</ns0:t>
        </ns0:is>
      </ns0:c>
      <ns0:c r="S45" s="80" t="n">
        <ns0:v>9.880000000000001</ns0:v>
      </ns0:c>
      <ns0:c r="T45" s="81" t="n">
        <ns0:v>2.4</ns0:v>
      </ns0:c>
      <ns0:c r="U45" s="82" t="n">
        <ns0:v>10.76</ns0:v>
      </ns0:c>
      <ns0:c r="V45" s="83" t="n">
        <ns0:v>164</ns0:v>
      </ns0:c>
      <ns0:c r="W45" s="84" t="n"/>
      <ns0:c r="X45" s="85" t="n"/>
      <ns0:c r="Y45" s="79" t="n">
        <ns0:v>1609.8</ns0:v>
      </ns0:c>
      <ns0:c r="Z45" s="79" t="n">
        <ns0:v>329884584</ns0:v>
      </ns0:c>
      <ns0:c r="AA45" s="78" t="n">
        <ns0:v>17.32</ns0:v>
      </ns0:c>
      <ns0:c r="AB45" s="74" t="inlineStr">
        <ns0:is>
          <ns0:t>Crotona Assets Limited; Goingup Inc Limited; Jiang Ganjun; Kaiser Private Equity Fund SPC-SPI; Ke Jiansheng; Keltic Investment (HK) Limited; New China Asset Management (Hong Kong) Limited; SensePower Management Limited; Sunfly Holding Co., Ltd; Wealthking Investments Limited</ns0:t>
        </ns0:is>
      </ns0:c>
      <ns0:c r="AC45" s="74" t="inlineStr">
        <ns0:is>
          <ns0:t>crotona;goingup;jiang-ganjun;kaiser;ke;keltic;new;sensepower;sunfly;wealthking</ns0:t>
        </ns0:is>
      </ns0:c>
      <ns0:c r="AD45" s="78" t="n">
        <ns0:v>6.11</ns0:v>
      </ns0:c>
      <ns0:c r="AE45" s="74" t="inlineStr">
        <ns0:is>
          <ns0:t>partial</ns0:t>
        </ns0:is>
      </ns0:c>
      <ns0:c r="AF45" s="74" t="inlineStr">
        <ns0:is>
          <ns0:t>2021-07-21</ns0:t>
        </ns0:is>
      </ns0:c>
      <ns0:c r="AG45" s="74" t="inlineStr">
        <ns0:is>
          <ns0:t>Yue Xiu Securities Company Limited</ns0:t>
        </ns0:is>
      </ns0:c>
      <ns0:c r="AH45" s="74" t="inlineStr">
        <ns0:is>
          <ns0:t>Yue Xiu</ns0:t>
        </ns0:is>
      </ns0:c>
      <ns0:c r="AI45" s="86" t="n">
        <ns0:v>0.41</ns0:v>
      </ns0:c>
      <ns0:c r="AJ45" s="87" t="n">
        <ns0:v>0</ns0:v>
      </ns0:c>
      <ns0:c r="AK45" s="87" t="n">
        <ns0:v>-0.45</ns0:v>
      </ns0:c>
      <ns0:c r="AL45" s="87" t="n">
        <ns0:v>-1.64</ns0:v>
      </ns0:c>
      <ns0:c r="AM45" s="87" t="n">
        <ns0:v>1.67</ns0:v>
      </ns0:c>
      <ns0:c r="AN45" s="88" t="n"/>
      <ns0:c r="AO45" s="78" t="n">
        <ns0:v>4.79</ns0:v>
      </ns0:c>
      <ns0:c r="AP45" s="87" t="n">
        <ns0:v>10.04</ns0:v>
      </ns0:c>
      <ns0:c r="AQ45" s="87" t="n">
        <ns0:v>-13.93</ns0:v>
      </ns0:c>
      <ns0:c r="AR45" s="87" t="n">
        <ns0:v>-33.81</ns0:v>
      </ns0:c>
      <ns0:c r="AS45" s="87" t="n">
        <ns0:v>10.04</ns0:v>
      </ns0:c>
      <ns0:c r="AT45" s="87" t="n">
        <ns0:v>-13.93</ns0:v>
      </ns0:c>
      <ns0:c r="AU45" s="87" t="n">
        <ns0:v>-33.81</ns0:v>
      </ns0:c>
      <ns0:c r="AV45" s="87" t="n">
        <ns0:v>12.74</ns0:v>
      </ns0:c>
      <ns0:c r="AW45" s="87" t="n">
        <ns0:v>-5.36</ns0:v>
      </ns0:c>
      <ns0:c r="AX45" s="87" t="n">
        <ns0:v>-13.45</ns0:v>
      </ns0:c>
      <ns0:c r="AY45" s="87" t="n">
        <ns0:v>-5.77</ns0:v>
      </ns0:c>
      <ns0:c r="AZ45" s="87" t="n">
        <ns0:v>-8.57</ns0:v>
      </ns0:c>
      <ns0:c r="BA45" s="87" t="n">
        <ns0:v>-8.16</ns0:v>
      </ns0:c>
      <ns0:c r="BB45" s="74" t="inlineStr">
        <ns0:is>
          <ns0:t>Hang Seng Properties sub-index</ns0:t>
        </ns0:is>
      </ns0:c>
      <ns0:c r="BC45" s="87" t="n">
        <ns0:v>-63.83</ns0:v>
      </ns0:c>
      <ns0:c r="BD45" s="75" t="n">
        <ns0:v>46297</ns0:v>
      </ns0:c>
      <ns0:c r="BE45" s="76" t="n">
        <ns0:v>1284.9</ns0:v>
      </ns0:c>
      <ns0:c r="BF45" s="79" t="n">
        <ns0:v>224.1</ns0:v>
      </ns0:c>
      <ns0:c r="BG45" s="74" t="inlineStr">
        <ns0:is>
          <ns0:t>Y</ns0:t>
        </ns0:is>
      </ns0:c>
      <ns0:c r="BH45" s="89" t="n">
        <ns0:v>41.5</ns0:v>
      </ns0:c>
      <ns0:c r="BI45" s="88" t="n"/>
      <ns0:c r="BJ45" s="89" t="n">
        <ns0:v>8</ns0:v>
      </ns0:c>
      <ns0:c r="BK45" s="89" t="n">
        <ns0:v>7.2</ns0:v>
      </ns0:c>
      <ns0:c r="BL45" s="90">
        <ns0:f>IFERROR(IF('BBG Verify'!S45="","Awaiting Bloomberg",'BBG Verify'!S45),"Awaiting Bloomberg")</ns0:f>
        <ns0:v/>
      </ns0:c>
      <ns0:c r="BM45" s="91" t="inlineStr">
        <ns0:is>
          <ns0:t>N</ns0:t>
        </ns0:is>
      </ns0:c>
      <ns0:c r="BN45" s="92">
        <ns0:f>IFERROR(IF('BBG Verify'!K45="","Awaiting Bloomberg",'BBG Verify'!K45),"Awaiting Bloomberg")</ns0:f>
        <ns0:v/>
      </ns0:c>
      <ns0:c r="BO45" s="74" t="inlineStr">
        <ns0:is>
          <ns0:t>N/A</ns0:t>
        </ns0:is>
      </ns0:c>
      <ns0:c r="BP45" s="74" t="inlineStr">
        <ns0:is>
          <ns0:t>N/A</ns0:t>
        </ns0:is>
      </ns0:c>
      <ns0:c r="BQ45" s="74" t="inlineStr">
        <ns0:is>
          <ns0:t>N/A</ns0:t>
        </ns0:is>
      </ns0:c>
      <ns0:c r="BR45" s="74" t="inlineStr">
        <ns0:is>
          <ns0:t>N/A</ns0:t>
        </ns0:is>
      </ns0:c>
      <ns0:c r="BS45" s="74" t="inlineStr">
        <ns0:is>
          <ns0:t>N/A</ns0:t>
        </ns0:is>
      </ns0:c>
      <ns0:c r="BT45" s="74" t="inlineStr">
        <ns0:is>
          <ns0:t>N/A</ns0:t>
        </ns0:is>
      </ns0:c>
      <ns0:c r="BU45" s="91" t="inlineStr">
        <ns0:is>
          <ns0:t>ABCI Capital Limited; China Securities (International) Corporate Finance Company Limited; CCB International Capital Limited; Yue Xiu Capital Limited</ns0:t>
        </ns0:is>
      </ns0:c>
      <ns0:c r="BV45" s="74" t="inlineStr">
        <ns0:is>
          <ns0:t>CCB International Capital Limited; China Securities (International) Corporate Finance Company Limited; Yue Xiu Capital Limited; ABCI Capital Limited</ns0:t>
        </ns0:is>
      </ns0:c>
      <ns0:c r="BW45" s="74" t="inlineStr">
        <ns0:is>
          <ns0: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ns0:t>
        </ns0:is>
      </ns0:c>
      <ns0:c r="BX45" s="74" t="inlineStr">
        <ns0:is>
          <ns0: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ns0:t>
        </ns0:is>
      </ns0:c>
      <ns0:c r="BY45" s="93">
        <ns0:f>HYPERLINK("https://www1.hkexnews.hk/listedco/listconews/sehk/2021/0616/2021061600035.pdf","prospectus")</ns0:f>
        <ns0:v/>
      </ns0:c>
      <ns0:c r="BZ45" s="93">
        <ns0:f>HYPERLINK("https://www1.hkexnews.hk/listedco/listconews/sehk/2021/0625/2021062500178.htm","allotment")</ns0:f>
        <ns0:v/>
      </ns0:c>
      <ns0:c r="CA45" s="93">
        <ns0:f>HYPERLINK("https://www1.hkexnews.hk/listedco/listconews/sehk/2021/0721/2021072101184.pdf","stabilisation")</ns0:f>
        <ns0:v/>
      </ns0:c>
      <ns0:c r="CB45" s="94" t="n"/>
      <ns0:c r="CC45" s="74" t="inlineStr">
        <ns0:is>
          <ns0:t>market cap: published listing cap used; the estimate from stated market capitalisation, rescaled to the offer price disagreed; cornerstone: % from the prospectus; AAStocks table includes non-cornerstone orders; allocation: allocation table not in this notice's format (older prose announcement); day-1 tape: volume on file; the retail multiple needs the final public split, which this notice does not state</ns0:t>
        </ns0:is>
      </ns0:c>
    </ns0:row>
    <ns0:row r="46" ht="22" customHeight="1">
      <ns0:c r="A46" s="73" t="inlineStr">
        <ns0:is>
          <ns0:t>0013</ns0:t>
        </ns0:is>
      </ns0:c>
      <ns0:c r="B46" s="74" t="inlineStr">
        <ns0:is>
          <ns0:t>HUTCHMED</ns0:t>
        </ns0:is>
      </ns0:c>
      <ns0:c r="C46" s="74" t="inlineStr">
        <ns0:is>
          <ns0:t>和黃醫藥</ns0:t>
        </ns0:is>
      </ns0:c>
      <ns0:c r="D46" s="74" t="inlineStr">
        <ns0:is>
          <ns0:t>Healthcare</ns0:t>
        </ns0:is>
      </ns0:c>
      <ns0:c r="E46" s="74" t="inlineStr">
        <ns0:is>
          <ns0:t>Biopharma commercial</ns0:t>
        </ns0:is>
      </ns0:c>
      <ns0:c r="F46" s="74" t="inlineStr">
        <ns0:is>
          <ns0:t>Biotechnology</ns0:t>
        </ns0:is>
      </ns0:c>
      <ns0:c r="G46" s="74" t="inlineStr">
        <ns0:is>
          <ns0:t>Standard</ns0:t>
        </ns0:is>
      </ns0:c>
      <ns0:c r="H46" s="75" t="n">
        <ns0:v>44377</ns0:v>
      </ns0:c>
      <ns0:c r="I46" s="76" t="n">
        <ns0:v>4170.4</ns0:v>
      </ns0:c>
      <ns0:c r="J46" s="74" t="inlineStr">
        <ns0:is>
          <ns0:t>gross (price x shares)</ns0:t>
        </ns0:is>
      </ns0:c>
      <ns0:c r="K46" s="95" t="n"/>
      <ns0:c r="L46" s="77" t="n">
        <ns0:v>45</ns0:v>
      </ns0:c>
      <ns0:c r="M46" s="77" t="n">
        <ns0:v>40.1</ns0:v>
      </ns0:c>
      <ns0:c r="N46" s="74" t="inlineStr">
        <ns0:is>
          <ns0:t>N</ns0:t>
        </ns0:is>
      </ns0:c>
      <ns0:c r="O46" s="78" t="n">
        <ns0:v>89.09999999999999</ns0:v>
      </ns0:c>
      <ns0:c r="P46" s="84" t="n"/>
      <ns0:c r="Q46" s="79" t="n">
        <ns0:v>34025.5</ns0:v>
      </ns0:c>
      <ns0:c r="R46" s="74" t="inlineStr">
        <ns0:is>
          <ns0:t>prospectus:stated market capitalisation, rescaled to the offer price</ns0:t>
        </ns0:is>
      </ns0:c>
      <ns0:c r="S46" s="80" t="n">
        <ns0:v>5.23</ns0:v>
      </ns0:c>
      <ns0:c r="T46" s="81" t="n">
        <ns0:v>5</ns0:v>
      </ns0:c>
      <ns0:c r="U46" s="82" t="n">
        <ns0:v>44.9</ns0:v>
      </ns0:c>
      <ns0:c r="V46" s="83" t="n">
        <ns0:v>50</ns0:v>
      </ns0:c>
      <ns0:c r="W46" s="84" t="n"/>
      <ns0:c r="X46" s="85" t="n"/>
      <ns0:c r="Y46" s="79" t="n">
        <ns0:v>2297.89</ns0:v>
      </ns0:c>
      <ns0:c r="Z46" s="79" t="n">
        <ns0:v>57304000</ns0:v>
      </ns0:c>
      <ns0:c r="AA46" s="78" t="n">
        <ns0:v>6.75</ns0:v>
      </ns0:c>
      <ns0:c r="AB46" s="74" t="inlineStr">
        <ns0:is>
          <ns0:t>CA Fern Parent; CICC Grandeur (Xiamen) Equity Investment Fund Partnership (L.P.); CPP Investments; General Atlantic Singapore HCM Pte. Ltd; HBM Healthcare Investments (Cayman) Ltd</ns0:t>
        </ns0:is>
      </ns0:c>
      <ns0:c r="AC46" s="74" t="inlineStr">
        <ns0:is>
          <ns0:t>ca;china-international;cpp;general;hbm</ns0:t>
        </ns0:is>
      </ns0:c>
      <ns0:c r="AD46" s="78" t="n">
        <ns0:v>5.1</ns0:v>
      </ns0:c>
      <ns0:c r="AE46" s="74" t="inlineStr">
        <ns0:is>
          <ns0:t>full</ns0:t>
        </ns0:is>
      </ns0:c>
      <ns0:c r="AF46" s="74" t="inlineStr">
        <ns0:is>
          <ns0:t>2021-07-23</ns0:t>
        </ns0:is>
      </ns0:c>
      <ns0:c r="AG46" s="74" t="inlineStr">
        <ns0:is>
          <ns0:t>Morgan Stanley Asia Limited</ns0:t>
        </ns0:is>
      </ns0:c>
      <ns0:c r="AH46" s="74" t="inlineStr">
        <ns0:is>
          <ns0:t>Morgan Stanley</ns0:t>
        </ns0:is>
      </ns0:c>
      <ns0:c r="AI46" s="86" t="n">
        <ns0:v>24.94</ns0:v>
      </ns0:c>
      <ns0:c r="AJ46" s="87" t="n">
        <ns0:v>50.37</ns0:v>
      </ns0:c>
      <ns0:c r="AK46" s="87" t="n">
        <ns0:v>-0.71</ns0:v>
      </ns0:c>
      <ns0:c r="AL46" s="87" t="n">
        <ns0:v>28.18</ns0:v>
      </ns0:c>
      <ns0:c r="AM46" s="87" t="n">
        <ns0:v>17.31</ns0:v>
      </ns0:c>
      <ns0:c r="AN46" s="88" t="n"/>
      <ns0:c r="AO46" s="78" t="n">
        <ns0:v>67.31999999999999</ns0:v>
      </ns0:c>
      <ns0:c r="AP46" s="87" t="n">
        <ns0:v>42.02</ns0:v>
      </ns0:c>
      <ns0:c r="AQ46" s="87" t="n">
        <ns0:v>76.06</ns0:v>
      </ns0:c>
      <ns0:c r="AR46" s="87" t="n">
        <ns0:v>44.26</ns0:v>
      </ns0:c>
      <ns0:c r="AS46" s="87" t="n">
        <ns0:v>-5.55</ns0:v>
      </ns0:c>
      <ns0:c r="AT46" s="87" t="n">
        <ns0:v>17.08</ns0:v>
      </ns0:c>
      <ns0:c r="AU46" s="87" t="n">
        <ns0:v>-4.06</ns0:v>
      </ns0:c>
      <ns0:c r="AV46" s="87" t="n">
        <ns0:v>48.98</ns0:v>
      </ns0:c>
      <ns0:c r="AW46" s="87" t="n">
        <ns0:v>85.86</ns0:v>
      </ns0:c>
      <ns0:c r="AX46" s="87" t="n">
        <ns0:v>62.51</ns0:v>
      </ns0:c>
      <ns0:c r="AY46" s="87" t="n">
        <ns0:v>26.24</ns0:v>
      </ns0:c>
      <ns0:c r="AZ46" s="87" t="n">
        <ns0:v>-9.800000000000001</ns0:v>
      </ns0:c>
      <ns0:c r="BA46" s="87" t="n">
        <ns0:v>-9.16</ns0:v>
      </ns0:c>
      <ns0:c r="BB46" s="74" t="inlineStr">
        <ns0:is>
          <ns0:t>China Biotech ETF (HS biotech proxy)</ns0:t>
        </ns0:is>
      </ns0:c>
      <ns0:c r="BC46" s="87" t="n">
        <ns0:v>-43.89</ns0:v>
      </ns0:c>
      <ns0:c r="BD46" s="75" t="n">
        <ns0:v>46297</ns0:v>
      </ns0:c>
      <ns0:c r="BE46" s="76" t="n">
        <ns0:v>1778.2</ns0:v>
      </ns0:c>
      <ns0:c r="BF46" s="79" t="n">
        <ns0:v>-901</ns0:v>
      </ns0:c>
      <ns0:c r="BG46" s="74" t="inlineStr">
        <ns0:is>
          <ns0:t>N</ns0:t>
        </ns0:is>
      </ns0:c>
      <ns0:c r="BH46" s="74" t="inlineStr">
        <ns0:is>
          <ns0:t>n/m</ns0:t>
        </ns0:is>
      </ns0:c>
      <ns0:c r="BI46" s="88" t="n"/>
      <ns0:c r="BJ46" s="88" t="n"/>
      <ns0:c r="BK46" s="89" t="n">
        <ns0:v>19.1</ns0:v>
      </ns0:c>
      <ns0:c r="BL46" s="90">
        <ns0:f>IFERROR(IF('BBG Verify'!S46="","Awaiting Bloomberg",'BBG Verify'!S46),"Awaiting Bloomberg")</ns0:f>
        <ns0:v/>
      </ns0:c>
      <ns0:c r="BM46" s="91" t="inlineStr">
        <ns0:is>
          <ns0:t>N</ns0:t>
        </ns0:is>
      </ns0:c>
      <ns0:c r="BN46" s="92">
        <ns0:f>IFERROR(IF('BBG Verify'!K46="","Awaiting Bloomberg",'BBG Verify'!K46),"Awaiting Bloomberg")</ns0:f>
        <ns0:v/>
      </ns0:c>
      <ns0:c r="BO46" s="74" t="inlineStr">
        <ns0:is>
          <ns0:t>N/A</ns0:t>
        </ns0:is>
      </ns0:c>
      <ns0:c r="BP46" s="74" t="inlineStr">
        <ns0:is>
          <ns0:t>N/A</ns0:t>
        </ns0:is>
      </ns0:c>
      <ns0:c r="BQ46" s="74" t="inlineStr">
        <ns0:is>
          <ns0:t>N/A</ns0:t>
        </ns0:is>
      </ns0:c>
      <ns0:c r="BR46" s="74" t="inlineStr">
        <ns0:is>
          <ns0:t>N/A</ns0:t>
        </ns0:is>
      </ns0:c>
      <ns0:c r="BS46" s="74" t="inlineStr">
        <ns0:is>
          <ns0:t>N/A</ns0:t>
        </ns0:is>
      </ns0:c>
      <ns0:c r="BT46" s="74" t="inlineStr">
        <ns0:is>
          <ns0:t>N/A</ns0:t>
        </ns0:is>
      </ns0:c>
      <ns0:c r="BU46" s="91" t="inlineStr">
        <ns0:is>
          <ns0:t>Morgan Stanley Asia Limited; Jefferies Hong Kong Limited; China International Capital Corporation Hong Kong Securities Limited</ns0:t>
        </ns0:is>
      </ns0:c>
      <ns0:c r="BV46" s="74" t="inlineStr">
        <ns0:is>
          <ns0:t>China International Capital Corporation Hong Kong Securities Limited; Jefferies Hong Kong Limited; Morgan Stanley Asia Limited</ns0:t>
        </ns0:is>
      </ns0:c>
      <ns0:c r="BW46" s="74" t="inlineStr">
        <ns0:is>
          <ns0:t>Morgan Stanley Asia Limited; Jefferies Hong Kong Limited; China International Capital Corporation Hong Kong Securities Limited; Credit Suisse (Hong Kong) Limited; Morgan Stanley &amp; Co. International plc; London E14 4QA United Kingdom Jefferies Hong Kong Limited; The Hongkong and Shanghai Banking Corporation Limited; Macquarie Capital Limited; Deutsche Bank AG, Hong Kong Branch; BOCI Asia Limited; CMB International Capital Limited; China Merchants Securities (HK) Co., Limited</ns0:t>
        </ns0:is>
      </ns0:c>
      <ns0:c r="BX46" s="74" t="inlineStr">
        <ns0:is>
          <ns0: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ns0:t>
        </ns0:is>
      </ns0:c>
      <ns0:c r="BY46" s="93">
        <ns0:f>HYPERLINK("https://www1.hkexnews.hk/listedco/listconews/sehk/2021/0618/2021061800169.pdf","prospectus")</ns0:f>
        <ns0:v/>
      </ns0:c>
      <ns0:c r="BZ46" s="93">
        <ns0:f>HYPERLINK("https://www1.hkexnews.hk/listedco/listconews/sehk/2021/0629/2021062900052.htm","allotment")</ns0:f>
        <ns0:v/>
      </ns0:c>
      <ns0:c r="CA46" s="93">
        <ns0:f>HYPERLINK("https://www1.hkexnews.hk/listedco/listconews/sehk/2021/0723/2021072300852.pdf","stabilisation")</ns0:f>
        <ns0:v/>
      </ns0:c>
      <ns0:c r="CB46" s="94" t="n"/>
      <ns0:c r="CC46" s="74" t="inlineStr">
        <ns0:is>
          <ns0:t>P/E: loss-making at IPO, use P/S; range low: maximum offer price only, no floor published; market cap: prospectus cap HK$38,183m at HK$45.00, rescaled to HK$40.10; allocation: allocation table not in this notice's format (older prose announcement); day-1 tape: volume on file; the retail multiple needs the final public split, which this notice does not state</ns0:t>
        </ns0:is>
      </ns0:c>
    </ns0:row>
    <ns0:row r="47" ht="22" customHeight="1">
      <ns0:c r="A47" s="73" t="inlineStr">
        <ns0:is>
          <ns0:t>2150</ns0:t>
        </ns0:is>
      </ns0:c>
      <ns0:c r="B47" s="74" t="inlineStr">
        <ns0:is>
          <ns0:t>NAYUKI</ns0:t>
        </ns0:is>
      </ns0:c>
      <ns0:c r="C47" s="74" t="inlineStr">
        <ns0:is>
          <ns0:t>奈雪的茶</ns0:t>
        </ns0:is>
      </ns0:c>
      <ns0:c r="D47" s="74" t="inlineStr">
        <ns0:is>
          <ns0:t>Consumer</ns0:t>
        </ns0:is>
      </ns0:c>
      <ns0:c r="E47" s="74" t="inlineStr">
        <ns0:is>
          <ns0:t>F&amp;B chains / restaurants</ns0:t>
        </ns0:is>
      </ns0:c>
      <ns0:c r="F47" s="74" t="inlineStr">
        <ns0:is>
          <ns0:t>Restaurants</ns0:t>
        </ns0:is>
      </ns0:c>
      <ns0:c r="G47" s="74" t="inlineStr">
        <ns0:is>
          <ns0:t>Standard</ns0:t>
        </ns0:is>
      </ns0:c>
      <ns0:c r="H47" s="75" t="n">
        <ns0:v>44377</ns0:v>
      </ns0:c>
      <ns0:c r="I47" s="76" t="n">
        <ns0:v>4842.4</ns0:v>
      </ns0:c>
      <ns0:c r="J47" s="74" t="inlineStr">
        <ns0:is>
          <ns0:t>net proceeds</ns0:t>
        </ns0:is>
      </ns0:c>
      <ns0:c r="K47" s="77" t="n">
        <ns0:v>17.2</ns0:v>
      </ns0:c>
      <ns0:c r="L47" s="77" t="n">
        <ns0:v>19.8</ns0:v>
      </ns0:c>
      <ns0:c r="M47" s="77" t="n">
        <ns0:v>19.8</ns0:v>
      </ns0:c>
      <ns0:c r="N47" s="74" t="inlineStr">
        <ns0:is>
          <ns0:t>Y</ns0:t>
        </ns0:is>
      </ns0:c>
      <ns0:c r="O47" s="78" t="n">
        <ns0:v>100</ns0:v>
      </ns0:c>
      <ns0:c r="P47" s="78" t="n">
        <ns0:v>100</ns0:v>
      </ns0:c>
      <ns0:c r="Q47" s="79" t="n">
        <ns0:v>29500.2</ns0:v>
      </ns0:c>
      <ns0:c r="R47" s="74" t="inlineStr">
        <ns0:is>
          <ns0:t>prospectus:stated market capitalisation</ns0:t>
        </ns0:is>
      </ns0:c>
      <ns0:c r="S47" s="80" t="n">
        <ns0:v>432.03</ns0:v>
      </ns0:c>
      <ns0:c r="T47" s="81" t="n">
        <ns0:v>18.18</ns0:v>
      </ns0:c>
      <ns0:c r="U47" s="82" t="n">
        <ns0:v>23.6</ns0:v>
      </ns0:c>
      <ns0:c r="V47" s="83" t="n">
        <ns0:v>393</ns0:v>
      </ns0:c>
      <ns0:c r="W47" s="84" t="n"/>
      <ns0:c r="X47" s="85" t="n"/>
      <ns0:c r="Y47" s="79" t="n">
        <ns0:v>3699.59</ns0:v>
      </ns0:c>
      <ns0:c r="Z47" s="97" t="n"/>
      <ns0:c r="AA47" s="78" t="n">
        <ns0:v>12.54</ns0:v>
      </ns0:c>
      <ns0:c r="AB47" s="74" t="inlineStr">
        <ns0:is>
          <ns0:t>China Southern Asset Management Co., Ltd; China Universal Asset Management Co., LtdChina Universal Asset Management Co., Ltd; GF Fund Management Co., Ltd; Grand Rejuvenation Premium Selection Fund SPC; UBS Funds</ns0:t>
        </ns0:is>
      </ns0:c>
      <ns0:c r="AC47" s="74" t="inlineStr">
        <ns0:is>
          <ns0:t>southern;universal;gf;grand-rejuvenation;ubs</ns0:t>
        </ns0:is>
      </ns0:c>
      <ns0:c r="AD47" s="78" t="n">
        <ns0:v>15</ns0:v>
      </ns0:c>
      <ns0:c r="AE47" s="74" t="inlineStr">
        <ns0:is>
          <ns0:t>lapsed</ns0:t>
        </ns0:is>
      </ns0:c>
      <ns0:c r="AF47" s="74" t="inlineStr">
        <ns0:is>
          <ns0:t>2021-07-23</ns0:t>
        </ns0:is>
      </ns0:c>
      <ns0:c r="AG47" s="74" t="inlineStr">
        <ns0:is>
          <ns0:t>J.P. Morgan Securities</ns0:t>
        </ns0:is>
      </ns0:c>
      <ns0:c r="AH47" s="74" t="inlineStr">
        <ns0:is>
          <ns0:t>JP Morgan</ns0:t>
        </ns0:is>
      </ns0:c>
      <ns0:c r="AI47" s="86" t="n">
        <ns0:v>-1.31</ns0:v>
      </ns0:c>
      <ns0:c r="AJ47" s="87" t="n">
        <ns0:v>-13.54</ns0:v>
      </ns0:c>
      <ns0:c r="AK47" s="87" t="n">
        <ns0:v>-0.7</ns0:v>
      </ns0:c>
      <ns0:c r="AL47" s="87" t="n">
        <ns0:v>-4.75</ns0:v>
      </ns0:c>
      <ns0:c r="AM47" s="87" t="n">
        <ns0:v>-9.23</ns0:v>
      </ns0:c>
      <ns0:c r="AN47" s="88" t="n"/>
      <ns0:c r="AO47" s="78" t="n">
        <ns0:v>12.2</ns0:v>
      </ns0:c>
      <ns0:c r="AP47" s="87" t="n">
        <ns0:v>-19.09</ns0:v>
      </ns0:c>
      <ns0:c r="AQ47" s="87" t="n">
        <ns0:v>-42.93</ns0:v>
      </ns0:c>
      <ns0:c r="AR47" s="87" t="n">
        <ns0:v>-39.19</ns0:v>
      </ns0:c>
      <ns0:c r="AS47" s="87" t="n">
        <ns0:v>-6.42</ns0:v>
      </ns0:c>
      <ns0:c r="AT47" s="87" t="n">
        <ns0:v>-33.99</ns0:v>
      </ns0:c>
      <ns0:c r="AU47" s="87" t="n">
        <ns0:v>-29.67</ns0:v>
      </ns0:c>
      <ns0:c r="AV47" s="87" t="n">
        <ns0:v>-9.67</ns0:v>
      </ns0:c>
      <ns0:c r="AW47" s="87" t="n">
        <ns0:v>-28.13</ns0:v>
      </ns0:c>
      <ns0:c r="AX47" s="87" t="n">
        <ns0:v>-20.13</ns0:v>
      </ns0:c>
      <ns0:c r="AY47" s="87" t="n">
        <ns0:v>-19.79</ns0:v>
      </ns0:c>
      <ns0:c r="AZ47" s="87" t="n">
        <ns0:v>-14.8</ns0:v>
      </ns0:c>
      <ns0:c r="BA47" s="87" t="n">
        <ns0:v>-14.2</ns0:v>
      </ns0:c>
      <ns0:c r="BB47" s="74" t="inlineStr">
        <ns0:is>
          <ns0:t>Hang Seng Commerce &amp; Industry sub-index</ns0:t>
        </ns0:is>
      </ns0:c>
      <ns0:c r="BC47" s="87" t="n">
        <ns0:v>-96.54000000000001</ns0:v>
      </ns0:c>
      <ns0:c r="BD47" s="75" t="n">
        <ns0:v>46297</ns0:v>
      </ns0:c>
      <ns0:c r="BE47" s="76" t="n">
        <ns0:v>3362.9</ns0:v>
      </ns0:c>
      <ns0:c r="BF47" s="79" t="n">
        <ns0:v>-223.6</ns0:v>
      </ns0:c>
      <ns0:c r="BG47" s="74" t="inlineStr">
        <ns0:is>
          <ns0:t>N</ns0:t>
        </ns0:is>
      </ns0:c>
      <ns0:c r="BH47" s="74" t="inlineStr">
        <ns0:is>
          <ns0:t>n/m</ns0:t>
        </ns0:is>
      </ns0:c>
      <ns0:c r="BI47" s="88" t="n"/>
      <ns0:c r="BJ47" s="88" t="n"/>
      <ns0:c r="BK47" s="89" t="n">
        <ns0:v>8.800000000000001</ns0:v>
      </ns0:c>
      <ns0:c r="BL47" s="90">
        <ns0:f>IFERROR(IF('BBG Verify'!S47="","Awaiting Bloomberg",'BBG Verify'!S47),"Awaiting Bloomberg")</ns0:f>
        <ns0:v/>
      </ns0:c>
      <ns0:c r="BM47" s="91" t="inlineStr">
        <ns0:is>
          <ns0:t>N</ns0:t>
        </ns0:is>
      </ns0:c>
      <ns0:c r="BN47" s="92">
        <ns0:f>IFERROR(IF('BBG Verify'!K47="","Awaiting Bloomberg",'BBG Verify'!K47),"Awaiting Bloomberg")</ns0:f>
        <ns0:v/>
      </ns0:c>
      <ns0:c r="BO47" s="74" t="inlineStr">
        <ns0:is>
          <ns0:t>N/A</ns0:t>
        </ns0:is>
      </ns0:c>
      <ns0:c r="BP47" s="74" t="inlineStr">
        <ns0:is>
          <ns0:t>N/A</ns0:t>
        </ns0:is>
      </ns0:c>
      <ns0:c r="BQ47" s="74" t="inlineStr">
        <ns0:is>
          <ns0:t>N/A</ns0:t>
        </ns0:is>
      </ns0:c>
      <ns0:c r="BR47" s="74" t="inlineStr">
        <ns0:is>
          <ns0:t>N/A</ns0:t>
        </ns0:is>
      </ns0:c>
      <ns0:c r="BS47" s="74" t="inlineStr">
        <ns0:is>
          <ns0:t>N/A</ns0:t>
        </ns0:is>
      </ns0:c>
      <ns0:c r="BT47" s="74" t="inlineStr">
        <ns0:is>
          <ns0:t>N/A</ns0:t>
        </ns0:is>
      </ns0:c>
      <ns0:c r="BU47" s="91" t="inlineStr">
        <ns0:is>
          <ns0:t>J.P. Morgan Securities (Far East) Limited; CMB International Capital Limited; Huatai Financial Holdings (Hong Kong) Limited</ns0:t>
        </ns0:is>
      </ns0:c>
      <ns0:c r="BV47" s="74" t="inlineStr">
        <ns0:is>
          <ns0:t>J.P. Morgan Securities (Far East) Limited; Huatai Financial Holdings (Hong Kong) Limited; CMB International Capital Limited</ns0:t>
        </ns0:is>
      </ns0:c>
      <ns0:c r="BW47" s="74" t="inlineStr">
        <ns0:is>
          <ns0: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ns0:t>
        </ns0:is>
      </ns0:c>
      <ns0:c r="BX47" s="74" t="inlineStr">
        <ns0:is>
          <ns0: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ns0:t>
        </ns0:is>
      </ns0:c>
      <ns0:c r="BY47" s="93">
        <ns0:f>HYPERLINK("https://www1.hkexnews.hk/listedco/listconews/sehk/2021/0618/2021061800009.pdf","prospectus")</ns0:f>
        <ns0:v/>
      </ns0:c>
      <ns0:c r="BZ47" s="93">
        <ns0:f>HYPERLINK("https://www1.hkexnews.hk/listedco/listconews/sehk/2021/0629/2021062900074.htm","allotment")</ns0:f>
        <ns0:v/>
      </ns0:c>
      <ns0:c r="CA47" s="93">
        <ns0:f>HYPERLINK("https://www1.hkexnews.hk/listedco/listconews/sehk/2021/0723/2021072300965.pdf","stabilisation")</ns0:f>
        <ns0:v/>
      </ns0:c>
      <ns0:c r="CB47" s="94" t="n"/>
      <ns0:c r="CC47" s="74" t="inlineStr">
        <ns0:is>
          <ns0:t>P/E: loss-making at IPO, use P/S;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48" ht="22" customHeight="1">
      <ns0:c r="A48" s="73" t="inlineStr">
        <ns0:is>
          <ns0:t>0606</ns0:t>
        </ns0:is>
      </ns0:c>
      <ns0:c r="B48" s="74" t="inlineStr">
        <ns0:is>
          <ns0:t>SCE CM</ns0:t>
        </ns0:is>
      </ns0:c>
      <ns0:c r="C48" s="74" t="inlineStr">
        <ns0:is>
          <ns0:t>中駿商管</ns0:t>
        </ns0:is>
      </ns0:c>
      <ns0:c r="D48" s="74" t="inlineStr">
        <ns0:is>
          <ns0:t>Real Estate</ns0:t>
        </ns0:is>
      </ns0:c>
      <ns0:c r="E48" s="74" t="inlineStr">
        <ns0:is>
          <ns0:t>Property management</ns0:t>
        </ns0:is>
      </ns0:c>
      <ns0:c r="F48" s="74" t="inlineStr">
        <ns0:is>
          <ns0:t>Property Service and Management</ns0:t>
        </ns0:is>
      </ns0:c>
      <ns0:c r="G48" s="74" t="inlineStr">
        <ns0:is>
          <ns0:t>Standard</ns0:t>
        </ns0:is>
      </ns0:c>
      <ns0:c r="H48" s="75" t="n">
        <ns0:v>44379</ns0:v>
      </ns0:c>
      <ns0:c r="I48" s="76" t="n">
        <ns0:v>1850</ns0:v>
      </ns0:c>
      <ns0:c r="J48" s="74" t="inlineStr">
        <ns0:is>
          <ns0:t>gross (price x shares)</ns0:t>
        </ns0:is>
      </ns0:c>
      <ns0:c r="K48" s="77" t="n">
        <ns0:v>3.7</ns0:v>
      </ns0:c>
      <ns0:c r="L48" s="77" t="n">
        <ns0:v>4.6</ns0:v>
      </ns0:c>
      <ns0:c r="M48" s="77" t="n">
        <ns0:v>3.7</ns0:v>
      </ns0:c>
      <ns0:c r="N48" s="74" t="inlineStr">
        <ns0:is>
          <ns0:t>N</ns0:t>
        </ns0:is>
      </ns0:c>
      <ns0:c r="O48" s="78" t="n">
        <ns0:v>80.40000000000001</ns0:v>
      </ns0:c>
      <ns0:c r="P48" s="78" t="n">
        <ns0:v>0</ns0:v>
      </ns0:c>
      <ns0:c r="Q48" s="79" t="n">
        <ns0:v>7400</ns0:v>
      </ns0:c>
      <ns0:c r="R48" s="74" t="inlineStr">
        <ns0:is>
          <ns0:t>derived:deal size / offer % of enlarged capital</ns0:t>
        </ns0:is>
      </ns0:c>
      <ns0:c r="S48" s="80" t="n">
        <ns0:v>1.3</ns0:v>
      </ns0:c>
      <ns0:c r="T48" s="81" t="n">
        <ns0:v>3.65</ns0:v>
      </ns0:c>
      <ns0:c r="U48" s="82" t="n">
        <ns0:v>32.6</ns0:v>
      </ns0:c>
      <ns0:c r="V48" s="83" t="n">
        <ns0:v>121</ns0:v>
      </ns0:c>
      <ns0:c r="W48" s="84" t="n"/>
      <ns0:c r="X48" s="85" t="n"/>
      <ns0:c r="Y48" s="79" t="n">
        <ns0:v>1246.9</ns0:v>
      </ns0:c>
      <ns0:c r="Z48" s="79" t="n">
        <ns0:v>337000000</ns0:v>
      </ns0:c>
      <ns0:c r="AA48" s="78" t="n">
        <ns0:v>16.85</ns0:v>
      </ns0:c>
      <ns0:c r="AB48" s="74" t="inlineStr">
        <ns0:is>
          <ns0:t>He Sheng Overseas Holdings Limited; King Terrace Limited; Lam Yuen Ying; TX Capital Value Fund</ns0:t>
        </ns0:is>
      </ns0:c>
      <ns0:c r="AC48" s="74" t="inlineStr">
        <ns0:is>
          <ns0:t>he-sheng;king;lam;tx</ns0:t>
        </ns0:is>
      </ns0:c>
      <ns0:c r="AD48" s="78" t="n">
        <ns0:v>10</ns0:v>
      </ns0:c>
      <ns0:c r="AE48" s="74" t="inlineStr">
        <ns0:is>
          <ns0:t>full</ns0:t>
        </ns0:is>
      </ns0:c>
      <ns0:c r="AF48" s="74" t="inlineStr">
        <ns0:is>
          <ns0:t>2021-07-24</ns0:t>
        </ns0:is>
      </ns0:c>
      <ns0:c r="AG48" s="74" t="inlineStr">
        <ns0:is>
          <ns0:t>UBS AG Hong Kong Branch</ns0:t>
        </ns0:is>
      </ns0:c>
      <ns0:c r="AH48" s="74" t="inlineStr">
        <ns0:is>
          <ns0:t>UBS</ns0:t>
        </ns0:is>
      </ns0:c>
      <ns0:c r="AI48" s="86" t="n">
        <ns0:v>5.95</ns0:v>
      </ns0:c>
      <ns0:c r="AJ48" s="87" t="n">
        <ns0:v>8.109999999999999</ns0:v>
      </ns0:c>
      <ns0:c r="AK48" s="87" t="n">
        <ns0:v>-1.01</ns0:v>
      </ns0:c>
      <ns0:c r="AL48" s="87" t="n">
        <ns0:v>2.97</ns0:v>
      </ns0:c>
      <ns0:c r="AM48" s="87" t="n">
        <ns0:v>4.99</ns0:v>
      </ns0:c>
      <ns0:c r="AN48" s="88" t="n"/>
      <ns0:c r="AO48" s="78" t="n">
        <ns0:v>9.19</ns0:v>
      </ns0:c>
      <ns0:c r="AP48" s="87" t="n">
        <ns0:v>11.89</ns0:v>
      </ns0:c>
      <ns0:c r="AQ48" s="87" t="n">
        <ns0:v>8.92</ns0:v>
      </ns0:c>
      <ns0:c r="AR48" s="87" t="n">
        <ns0:v>14.05</ns0:v>
      </ns0:c>
      <ns0:c r="AS48" s="87" t="n">
        <ns0:v>3.5</ns0:v>
      </ns0:c>
      <ns0:c r="AT48" s="87" t="n">
        <ns0:v>0.75</ns0:v>
      </ns0:c>
      <ns0:c r="AU48" s="87" t="n">
        <ns0:v>5.49</ns0:v>
      </ns0:c>
      <ns0:c r="AV48" s="87" t="n">
        <ns0:v>15.43</ns0:v>
      </ns0:c>
      <ns0:c r="AW48" s="87" t="n">
        <ns0:v>16.43</ns0:v>
      </ns0:c>
      <ns0:c r="AX48" s="87" t="n">
        <ns0:v>27.06</ns0:v>
      </ns0:c>
      <ns0:c r="AY48" s="87" t="n">
        <ns0:v>7.31</ns0:v>
      </ns0:c>
      <ns0:c r="AZ48" s="87" t="n">
        <ns0:v>-7.51</ns0:v>
      </ns0:c>
      <ns0:c r="BA48" s="87" t="n">
        <ns0:v>-6.56</ns0:v>
      </ns0:c>
      <ns0:c r="BB48" s="74" t="inlineStr">
        <ns0:is>
          <ns0:t>Hang Seng Properties sub-index</ns0:t>
        </ns0:is>
      </ns0:c>
      <ns0:c r="BC48" s="87" t="n">
        <ns0:v>-93.3</ns0:v>
      </ns0:c>
      <ns0:c r="BD48" s="75" t="n">
        <ns0:v>46297</ns0:v>
      </ns0:c>
      <ns0:c r="BE48" s="76" t="n">
        <ns0:v>885.8</ns0:v>
      </ns0:c>
      <ns0:c r="BF48" s="79" t="n">
        <ns0:v>178.8</ns0:v>
      </ns0:c>
      <ns0:c r="BG48" s="74" t="inlineStr">
        <ns0:is>
          <ns0:t>Y</ns0:t>
        </ns0:is>
      </ns0:c>
      <ns0:c r="BH48" s="89" t="n">
        <ns0:v>41.4</ns0:v>
      </ns0:c>
      <ns0:c r="BI48" s="88" t="n"/>
      <ns0:c r="BJ48" s="88" t="n"/>
      <ns0:c r="BK48" s="89" t="n">
        <ns0:v>8.4</ns0:v>
      </ns0:c>
      <ns0:c r="BL48" s="90">
        <ns0:f>IFERROR(IF('BBG Verify'!S48="","Awaiting Bloomberg",'BBG Verify'!S48),"Awaiting Bloomberg")</ns0:f>
        <ns0:v/>
      </ns0:c>
      <ns0:c r="BM48" s="91" t="inlineStr">
        <ns0:is>
          <ns0:t>N</ns0:t>
        </ns0:is>
      </ns0:c>
      <ns0:c r="BN48" s="92">
        <ns0:f>IFERROR(IF('BBG Verify'!K48="","Awaiting Bloomberg",'BBG Verify'!K48),"Awaiting Bloomberg")</ns0:f>
        <ns0:v/>
      </ns0:c>
      <ns0:c r="BO48" s="74" t="inlineStr">
        <ns0:is>
          <ns0:t>N/A</ns0:t>
        </ns0:is>
      </ns0:c>
      <ns0:c r="BP48" s="74" t="inlineStr">
        <ns0:is>
          <ns0:t>N/A</ns0:t>
        </ns0:is>
      </ns0:c>
      <ns0:c r="BQ48" s="74" t="inlineStr">
        <ns0:is>
          <ns0:t>N/A</ns0:t>
        </ns0:is>
      </ns0:c>
      <ns0:c r="BR48" s="74" t="inlineStr">
        <ns0:is>
          <ns0:t>N/A</ns0:t>
        </ns0:is>
      </ns0:c>
      <ns0:c r="BS48" s="74" t="inlineStr">
        <ns0:is>
          <ns0:t>N/A</ns0:t>
        </ns0:is>
      </ns0:c>
      <ns0:c r="BT48" s="74" t="inlineStr">
        <ns0:is>
          <ns0:t>N/A</ns0:t>
        </ns0:is>
      </ns0:c>
      <ns0:c r="BU48" s="91" t="inlineStr">
        <ns0:is>
          <ns0:t>UBS AG Hong Kong Branch</ns0:t>
        </ns0:is>
      </ns0:c>
      <ns0:c r="BV48" s="74" t="inlineStr">
        <ns0:is>
          <ns0:t>UBS Securities Hong Kong Limited; Merrill Lynch (Asia Pacific) Limited; Merrill Lynch Far East Limited; UBS AG Hong Kong Branch</ns0:t>
        </ns0:is>
      </ns0:c>
      <ns0:c r="BW48" s="74" t="inlineStr">
        <ns0:is>
          <ns0:t>CLSA Limited; CRIC Securities Company Limited; Futu Securities International (Hong Kong) Limited; The Hongkong and Shanghai Banking Corporation Limited; Merrill Lynch (Asia Pacific) Limited; UBS AG Hong Kong Branch</ns0:t>
        </ns0:is>
      </ns0:c>
      <ns0:c r="BX48" s="74" t="inlineStr">
        <ns0:is>
          <ns0:t>CLSA Limited; CRIC Securities Company Limited; Futu Securities International (Hong Kong) Limited; The Hongkong and Shanghai Banking Corporation Limited; Merrill Lynch (Asia Pacific) Limited; UBS AG Hong Kong Branch</ns0:t>
        </ns0:is>
      </ns0:c>
      <ns0:c r="BY48" s="93">
        <ns0:f>HYPERLINK("https://www1.hkexnews.hk/listedco/listconews/sehk/2021/0621/2021062100009.pdf","prospectus")</ns0:f>
        <ns0:v/>
      </ns0:c>
      <ns0:c r="BZ48" s="93">
        <ns0:f>HYPERLINK("https://www1.hkexnews.hk/listedco/listconews/sehk/2021/0630/2021063000308.htm","allotment")</ns0:f>
        <ns0:v/>
      </ns0:c>
      <ns0:c r="CA48" s="93">
        <ns0:f>HYPERLINK("https://www1.hkexnews.hk/listedco/listconews/sehk/2021/0726/2021072600097.pdf","stabilisation")</ns0:f>
        <ns0:v/>
      </ns0:c>
      <ns0:c r="CB48" s="94" t="n"/>
      <ns0:c r="CC48" s="74" t="inlineStr">
        <ns0:is>
          <ns0:t>allocation: allocation table not in this notice's format (older prose announcement); day-1 tape: volume on file; the retail multiple needs the final public split, which this notice does not state</ns0:t>
        </ns0:is>
      </ns0:c>
    </ns0:row>
    <ns0:row r="49" ht="22" customHeight="1">
      <ns0:c r="A49" s="73" t="inlineStr">
        <ns0:is>
          <ns0:t>2190</ns0:t>
        </ns0:is>
      </ns0:c>
      <ns0:c r="B49" s="74" t="inlineStr">
        <ns0:is>
          <ns0:t>ZYLOXTB-B</ns0:t>
        </ns0:is>
      </ns0:c>
      <ns0:c r="C49" s="74" t="inlineStr">
        <ns0:is>
          <ns0:t>歸創通橋</ns0:t>
        </ns0:is>
      </ns0:c>
      <ns0:c r="D49" s="74" t="inlineStr">
        <ns0:is>
          <ns0:t>Healthcare</ns0:t>
        </ns0:is>
      </ns0:c>
      <ns0:c r="E49" s="74" t="inlineStr">
        <ns0:is>
          <ns0:t>Medical devices</ns0:t>
        </ns0:is>
      </ns0:c>
      <ns0:c r="F49" s="74" t="inlineStr">
        <ns0:is>
          <ns0:t>Biotechnology</ns0:t>
        </ns0:is>
      </ns0:c>
      <ns0:c r="G49" s="74" t="inlineStr">
        <ns0:is>
          <ns0:t>18A</ns0:t>
        </ns0:is>
      </ns0:c>
      <ns0:c r="H49" s="75" t="n">
        <ns0:v>44382</ns0:v>
      </ns0:c>
      <ns0:c r="I49" s="76" t="n">
        <ns0:v>2562</ns0:v>
      </ns0:c>
      <ns0:c r="J49" s="74" t="inlineStr">
        <ns0:is>
          <ns0:t>gross (price x shares)</ns0:t>
        </ns0:is>
      </ns0:c>
      <ns0:c r="K49" s="77" t="n">
        <ns0:v>39.8</ns0:v>
      </ns0:c>
      <ns0:c r="L49" s="77" t="n">
        <ns0:v>42.7</ns0:v>
      </ns0:c>
      <ns0:c r="M49" s="77" t="n">
        <ns0:v>42.7</ns0:v>
      </ns0:c>
      <ns0:c r="N49" s="74" t="inlineStr">
        <ns0:is>
          <ns0:t>Y</ns0:t>
        </ns0:is>
      </ns0:c>
      <ns0:c r="O49" s="78" t="n">
        <ns0:v>100</ns0:v>
      </ns0:c>
      <ns0:c r="P49" s="78" t="n">
        <ns0:v>100</ns0:v>
      </ns0:c>
      <ns0:c r="Q49" s="79" t="n">
        <ns0:v>12317.3</ns0:v>
      </ns0:c>
      <ns0:c r="R49" s="74" t="inlineStr">
        <ns0:is>
          <ns0:t>derived:deal size / offer % of enlarged capital</ns0:t>
        </ns0:is>
      </ns0:c>
      <ns0:c r="S49" s="80" t="n">
        <ns0:v>1190.37</ns0:v>
      </ns0:c>
      <ns0:c r="T49" s="81" t="n">
        <ns0:v>22.5</ns0:v>
      </ns0:c>
      <ns0:c r="U49" s="82" t="n">
        <ns0:v>44.9</ns0:v>
      </ns0:c>
      <ns0:c r="V49" s="83" t="n">
        <ns0:v>154</ns0:v>
      </ns0:c>
      <ns0:c r="W49" s="78" t="n">
        <ns0:v>50</ns0:v>
      </ns0:c>
      <ns0:c r="X49" s="74" t="inlineStr">
        <ns0:is>
          <ns0:t>YES</ns0:t>
        </ns0:is>
      </ns0:c>
      <ns0:c r="Y49" s="79" t="n">
        <ns0:v>1411.66</ns0:v>
      </ns0:c>
      <ns0:c r="Z49" s="79" t="n">
        <ns0:v>33060000</ns0:v>
      </ns0:c>
      <ns0:c r="AA49" s="78" t="n">
        <ns0:v>11.46</ns0:v>
      </ns0:c>
      <ns0:c r="AB49" s="74" t="inlineStr">
        <ns0:is>
          <ns0: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ns0:t>
        </ns0:is>
      </ns0:c>
      <ns0:c r="AC49" s="74" t="inlineStr">
        <ns0:is>
          <ns0:t>aihc;athos;boyu;cormorant;fidelity;gaoling;yhg;hudson;ivyrock;lake;octagon;sage;snow</ns0:t>
        </ns0:is>
      </ns0:c>
      <ns0:c r="AD49" s="78" t="n">
        <ns0:v>15.94</ns0:v>
      </ns0:c>
      <ns0:c r="AE49" s="74" t="inlineStr">
        <ns0:is>
          <ns0:t>full</ns0:t>
        </ns0:is>
      </ns0:c>
      <ns0:c r="AF49" s="74" t="inlineStr">
        <ns0:is>
          <ns0:t>2021-07-25</ns0:t>
        </ns0:is>
      </ns0:c>
      <ns0:c r="AG49" s="74" t="inlineStr">
        <ns0:is>
          <ns0:t>Morgan Stanley Asia Limited</ns0:t>
        </ns0:is>
      </ns0:c>
      <ns0:c r="AH49" s="74" t="inlineStr">
        <ns0:is>
          <ns0:t>Morgan Stanley</ns0:t>
        </ns0:is>
      </ns0:c>
      <ns0:c r="AI49" s="86" t="n">
        <ns0:v>30.21</ns0:v>
      </ns0:c>
      <ns0:c r="AJ49" s="87" t="n">
        <ns0:v>40.52</ns0:v>
      </ns0:c>
      <ns0:c r="AK49" s="87" t="n">
        <ns0:v>-0.55</ns0:v>
      </ns0:c>
      <ns0:c r="AL49" s="87" t="n">
        <ns0:v>28.81</ns0:v>
      </ns0:c>
      <ns0:c r="AM49" s="87" t="n">
        <ns0:v>9.09</ns0:v>
      </ns0:c>
      <ns0:c r="AN49" s="89" t="n">
        <ns0:v>1.97</ns0:v>
      </ns0:c>
      <ns0:c r="AO49" s="78" t="n">
        <ns0:v>18.73</ns0:v>
      </ns0:c>
      <ns0:c r="AP49" s="87" t="n">
        <ns0:v>29.51</ns0:v>
      </ns0:c>
      <ns0:c r="AQ49" s="87" t="n">
        <ns0:v>8.67</ns0:v>
      </ns0:c>
      <ns0:c r="AR49" s="87" t="n">
        <ns0:v>-1.64</ns0:v>
      </ns0:c>
      <ns0:c r="AS49" s="87" t="n">
        <ns0:v>-7.84</ns0:v>
      </ns0:c>
      <ns0:c r="AT49" s="87" t="n">
        <ns0:v>-22.67</ns0:v>
      </ns0:c>
      <ns0:c r="AU49" s="87" t="n">
        <ns0:v>-30</ns0:v>
      </ns0:c>
      <ns0:c r="AV49" s="87" t="n">
        <ns0:v>30.01</ns0:v>
      </ns0:c>
      <ns0:c r="AW49" s="87" t="n">
        <ns0:v>9.76</ns0:v>
      </ns0:c>
      <ns0:c r="AX49" s="87" t="n">
        <ns0:v>14.7</ns0:v>
      </ns0:c>
      <ns0:c r="AY49" s="87" t="n">
        <ns0:v>-22.14</ns0:v>
      </ns0:c>
      <ns0:c r="AZ49" s="87" t="n">
        <ns0:v>-1.09</ns0:v>
      </ns0:c>
      <ns0:c r="BA49" s="87" t="n">
        <ns0:v>-0.53</ns0:v>
      </ns0:c>
      <ns0:c r="BB49" s="74" t="inlineStr">
        <ns0:is>
          <ns0:t>China Biotech ETF (HS biotech proxy)</ns0:t>
        </ns0:is>
      </ns0:c>
      <ns0:c r="BC49" s="87" t="n">
        <ns0:v>-49.79</ns0:v>
      </ns0:c>
      <ns0:c r="BD49" s="75" t="n">
        <ns0:v>46297</ns0:v>
      </ns0:c>
      <ns0:c r="BE49" s="76" t="n">
        <ns0:v>30.4</ns0:v>
      </ns0:c>
      <ns0:c r="BF49" s="79" t="n">
        <ns0:v>-110.5</ns0:v>
      </ns0:c>
      <ns0:c r="BG49" s="74" t="inlineStr">
        <ns0:is>
          <ns0:t>N</ns0:t>
        </ns0:is>
      </ns0:c>
      <ns0:c r="BH49" s="74" t="inlineStr">
        <ns0:is>
          <ns0:t>n/m</ns0:t>
        </ns0:is>
      </ns0:c>
      <ns0:c r="BI49" s="88" t="n"/>
      <ns0:c r="BJ49" s="89" t="n">
        <ns0:v>22.4</ns0:v>
      </ns0:c>
      <ns0:c r="BK49" s="89" t="n">
        <ns0:v>405.2</ns0:v>
      </ns0:c>
      <ns0:c r="BL49" s="90">
        <ns0:f>IFERROR(IF('BBG Verify'!S49="","Awaiting Bloomberg",'BBG Verify'!S49),"Awaiting Bloomberg")</ns0:f>
        <ns0:v/>
      </ns0:c>
      <ns0:c r="BM49" s="91" t="inlineStr">
        <ns0:is>
          <ns0:t>N</ns0:t>
        </ns0:is>
      </ns0:c>
      <ns0:c r="BN49" s="92">
        <ns0:f>IFERROR(IF('BBG Verify'!K49="","Awaiting Bloomberg",'BBG Verify'!K49),"Awaiting Bloomberg")</ns0:f>
        <ns0:v/>
      </ns0:c>
      <ns0:c r="BO49" s="74" t="inlineStr">
        <ns0:is>
          <ns0:t>N/A</ns0:t>
        </ns0:is>
      </ns0:c>
      <ns0:c r="BP49" s="74" t="inlineStr">
        <ns0:is>
          <ns0:t>N/A</ns0:t>
        </ns0:is>
      </ns0:c>
      <ns0:c r="BQ49" s="74" t="inlineStr">
        <ns0:is>
          <ns0:t>N/A</ns0:t>
        </ns0:is>
      </ns0:c>
      <ns0:c r="BR49" s="74" t="inlineStr">
        <ns0:is>
          <ns0:t>N/A</ns0:t>
        </ns0:is>
      </ns0:c>
      <ns0:c r="BS49" s="74" t="inlineStr">
        <ns0:is>
          <ns0:t>N/A</ns0:t>
        </ns0:is>
      </ns0:c>
      <ns0:c r="BT49" s="74" t="inlineStr">
        <ns0:is>
          <ns0:t>N/A</ns0:t>
        </ns0:is>
      </ns0:c>
      <ns0:c r="BU49" s="91" t="inlineStr">
        <ns0:is>
          <ns0:t>Morgan Stanley Asia Limited; CLSA Capital Markets Limited</ns0:t>
        </ns0:is>
      </ns0:c>
      <ns0:c r="BV49" s="74" t="inlineStr">
        <ns0:is>
          <ns0:t>Morgan Stanley Asia Limited; CLSA Capital Markets Limited</ns0:t>
        </ns0:is>
      </ns0:c>
      <ns0:c r="BW49" s="74" t="inlineStr">
        <ns0:is>
          <ns0:t>Morgan Stanley Asia Limited; CLSA Limited; China Industrial Securities International Capital Limited; Essence International Securities (Hong Kong) Limited; ICBC International Capital Limited; CMB International Capital Limited; Morgan Stanley &amp; Co. International plc; London E14 4QA United Kingdom CLSA Limited</ns0:t>
        </ns0:is>
      </ns0:c>
      <ns0:c r="BX49" s="74" t="inlineStr">
        <ns0:is>
          <ns0:t>China Industrial Securities International Capital Limited; CLSA Limited; CMB International Capital Limited; Essence International Securities (Hong Kong) Limited; ICBC International Securities Limited; Morgan Stanley Asia Limited</ns0:t>
        </ns0:is>
      </ns0:c>
      <ns0:c r="BY49" s="93">
        <ns0:f>HYPERLINK("https://www1.hkexnews.hk/listedco/listconews/sehk/2021/0622/2021062200009.pdf","prospectus")</ns0:f>
        <ns0:v/>
      </ns0:c>
      <ns0:c r="BZ49" s="93">
        <ns0:f>HYPERLINK("https://www1.hkexnews.hk/listedco/listconews/sehk/2021/0702/2021070200028.htm","allotment")</ns0:f>
        <ns0:v/>
      </ns0:c>
      <ns0:c r="CA49" s="93">
        <ns0:f>HYPERLINK("https://www1.hkexnews.hk/listedco/listconews/sehk/2021/0726/2021072601655.pdf","stabilisation")</ns0:f>
        <ns0:v/>
      </ns0:c>
      <ns0:c r="CB49" s="94" t="n"/>
      <ns0:c r="CC49" s="74" t="inlineStr">
        <ns0:is>
          <ns0:t>P/E: loss-making at IPO, use P/S; market cap: prospectus 'market capitalisation' line is the listing-rule threshold, not the issuer's figure; rejected; P/S: 405x on HK$30.4m revenue, effectively pre-revenue; not comparable</ns0:t>
        </ns0:is>
      </ns0:c>
    </ns0:row>
    <ns0:row r="50" ht="22" customHeight="1">
      <ns0:c r="A50" s="73" t="inlineStr">
        <ns0:is>
          <ns0:t>2219</ns0:t>
        </ns0:is>
      </ns0:c>
      <ns0:c r="B50" s="74" t="inlineStr">
        <ns0:is>
          <ns0:t>CHAOJU EYE CARE</ns0:t>
        </ns0:is>
      </ns0:c>
      <ns0:c r="C50" s="74" t="inlineStr">
        <ns0:is>
          <ns0:t>朝聚眼科</ns0:t>
        </ns0:is>
      </ns0:c>
      <ns0:c r="D50" s="74" t="inlineStr">
        <ns0:is>
          <ns0:t>Healthcare</ns0:t>
        </ns0:is>
      </ns0:c>
      <ns0:c r="E50" s="74" t="inlineStr">
        <ns0:is>
          <ns0:t>Hospitals / clinics</ns0:t>
        </ns0:is>
      </ns0:c>
      <ns0:c r="F50" s="74" t="inlineStr">
        <ns0:is>
          <ns0:t>Health Care Services</ns0:t>
        </ns0:is>
      </ns0:c>
      <ns0:c r="G50" s="74" t="inlineStr">
        <ns0:is>
          <ns0:t>Standard</ns0:t>
        </ns0:is>
      </ns0:c>
      <ns0:c r="H50" s="75" t="n">
        <ns0:v>44384</ns0:v>
      </ns0:c>
      <ns0:c r="I50" s="76" t="n">
        <ns0:v>1811.9</ns0:v>
      </ns0:c>
      <ns0:c r="J50" s="74" t="inlineStr">
        <ns0:is>
          <ns0:t>gross (price x shares)</ns0:t>
        </ns0:is>
      </ns0:c>
      <ns0:c r="K50" s="77" t="n">
        <ns0:v>9.48</ns0:v>
      </ns0:c>
      <ns0:c r="L50" s="77" t="n">
        <ns0:v>10.6</ns0:v>
      </ns0:c>
      <ns0:c r="M50" s="77" t="n">
        <ns0:v>10.6</ns0:v>
      </ns0:c>
      <ns0:c r="N50" s="74" t="inlineStr">
        <ns0:is>
          <ns0:t>Y</ns0:t>
        </ns0:is>
      </ns0:c>
      <ns0:c r="O50" s="78" t="n">
        <ns0:v>100</ns0:v>
      </ns0:c>
      <ns0:c r="P50" s="78" t="n">
        <ns0:v>100</ns0:v>
      </ns0:c>
      <ns0:c r="Q50" s="79" t="n">
        <ns0:v>7288.4</ns0:v>
      </ns0:c>
      <ns0:c r="R50" s="74" t="inlineStr">
        <ns0:is>
          <ns0:t>derived:deal size / offer % of enlarged capital</ns0:t>
        </ns0:is>
      </ns0:c>
      <ns0:c r="S50" s="80" t="n">
        <ns0:v>113.97</ns0:v>
      </ns0:c>
      <ns0:c r="T50" s="81" t="n">
        <ns0:v>17.83</ns0:v>
      </ns0:c>
      <ns0:c r="U50" s="82" t="n">
        <ns0:v>49.4</ns0:v>
      </ns0:c>
      <ns0:c r="V50" s="83" t="n">
        <ns0:v>115</ns0:v>
      </ns0:c>
      <ns0:c r="W50" s="78" t="n">
        <ns0:v>50</ns0:v>
      </ns0:c>
      <ns0:c r="X50" s="74" t="inlineStr">
        <ns0:is>
          <ns0:t>YES</ns0:t>
        </ns0:is>
      </ns0:c>
      <ns0:c r="Y50" s="79" t="n">
        <ns0:v>916.8200000000001</ns0:v>
      </ns0:c>
      <ns0:c r="Z50" s="79" t="n">
        <ns0:v>86490580</ns0:v>
      </ns0:c>
      <ns0:c r="AA50" s="78" t="n">
        <ns0:v>12.58</ns0:v>
      </ns0:c>
      <ns0:c r="AB50" s="74" t="inlineStr">
        <ns0:is>
          <ns0:t>Fullgoal Fund Management Co., Ltd; Gigantic Wealth Holdings Limited; GT Cedar Capital (Hong Kong) Limited; The Valliance Fund</ns0:t>
        </ns0:is>
      </ns0:c>
      <ns0:c r="AC50" s="74" t="inlineStr">
        <ns0:is>
          <ns0:t>fullgoal;gigantic;gt;valliance</ns0:t>
        </ns0:is>
      </ns0:c>
      <ns0:c r="AD50" s="78" t="n">
        <ns0:v>15</ns0:v>
      </ns0:c>
      <ns0:c r="AE50" s="74" t="inlineStr">
        <ns0:is>
          <ns0:t>full</ns0:t>
        </ns0:is>
      </ns0:c>
      <ns0:c r="AF50" s="74" t="inlineStr">
        <ns0:is>
          <ns0:t>2021-07-29</ns0:t>
        </ns0:is>
      </ns0:c>
      <ns0:c r="AG50" s="74" t="inlineStr">
        <ns0:is>
          <ns0:t>Haitong International Securities Company Limited</ns0:t>
        </ns0:is>
      </ns0:c>
      <ns0:c r="AH50" s="74" t="inlineStr">
        <ns0:is>
          <ns0:t>Haitong</ns0:t>
        </ns0:is>
      </ns0:c>
      <ns0:c r="AI50" s="86" t="n">
        <ns0:v>2.08</ns0:v>
      </ns0:c>
      <ns0:c r="AJ50" s="87" t="n">
        <ns0:v>33.02</ns0:v>
      </ns0:c>
      <ns0:c r="AK50" s="87" t="n">
        <ns0:v>2.08</ns0:v>
      </ns0:c>
      <ns0:c r="AL50" s="87" t="n">
        <ns0:v>0</ns0:v>
      </ns0:c>
      <ns0:c r="AM50" s="87" t="n">
        <ns0:v>33.02</ns0:v>
      </ns0:c>
      <ns0:c r="AN50" s="89" t="n">
        <ns0:v>1.94</ns0:v>
      </ns0:c>
      <ns0:c r="AO50" s="78" t="n">
        <ns0:v>53.77</ns0:v>
      </ns0:c>
      <ns0:c r="AP50" s="87" t="n">
        <ns0:v>44.34</ns0:v>
      </ns0:c>
      <ns0:c r="AQ50" s="87" t="n">
        <ns0:v>25.47</ns0:v>
      </ns0:c>
      <ns0:c r="AR50" s="87" t="n">
        <ns0:v>-10.47</ns0:v>
      </ns0:c>
      <ns0:c r="AS50" s="87" t="n">
        <ns0:v>8.51</ns0:v>
      </ns0:c>
      <ns0:c r="AT50" s="87" t="n">
        <ns0:v>-5.68</ns0:v>
      </ns0:c>
      <ns0:c r="AU50" s="87" t="n">
        <ns0:v>-32.69</ns0:v>
      </ns0:c>
      <ns0:c r="AV50" s="87" t="n">
        <ns0:v>39.55</ns0:v>
      </ns0:c>
      <ns0:c r="AW50" s="87" t="n">
        <ns0:v>21.82</ns0:v>
      </ns0:c>
      <ns0:c r="AX50" s="87" t="n">
        <ns0:v>2.92</ns0:v>
      </ns0:c>
      <ns0:c r="AY50" s="87" t="n">
        <ns0:v>-7.22</ns0:v>
      </ns0:c>
      <ns0:c r="AZ50" s="87" t="n">
        <ns0:v>3.65</ns0:v>
      </ns0:c>
      <ns0:c r="BA50" s="87" t="n">
        <ns0:v>1.54</ns0:v>
      </ns0:c>
      <ns0:c r="BB50" s="74" t="inlineStr">
        <ns0:is>
          <ns0:t>China Biotech ETF (HS biotech proxy)</ns0:t>
        </ns0:is>
      </ns0:c>
      <ns0:c r="BC50" s="87" t="n">
        <ns0:v>-77.41</ns0:v>
      </ns0:c>
      <ns0:c r="BD50" s="75" t="n">
        <ns0:v>46297</ns0:v>
      </ns0:c>
      <ns0:c r="BE50" s="76" t="n">
        <ns0:v>873.7</ns0:v>
      </ns0:c>
      <ns0:c r="BF50" s="79" t="n">
        <ns0:v>132.6</ns0:v>
      </ns0:c>
      <ns0:c r="BG50" s="74" t="inlineStr">
        <ns0:is>
          <ns0:t>Y</ns0:t>
        </ns0:is>
      </ns0:c>
      <ns0:c r="BH50" s="89" t="n">
        <ns0:v>55</ns0:v>
      </ns0:c>
      <ns0:c r="BI50" s="88" t="n"/>
      <ns0:c r="BJ50" s="89" t="n">
        <ns0:v>8.5</ns0:v>
      </ns0:c>
      <ns0:c r="BK50" s="89" t="n">
        <ns0:v>8.300000000000001</ns0:v>
      </ns0:c>
      <ns0:c r="BL50" s="90">
        <ns0:f>IFERROR(IF('BBG Verify'!S50="","Awaiting Bloomberg",'BBG Verify'!S50),"Awaiting Bloomberg")</ns0:f>
        <ns0:v/>
      </ns0:c>
      <ns0:c r="BM50" s="91" t="inlineStr">
        <ns0:is>
          <ns0:t>N</ns0:t>
        </ns0:is>
      </ns0:c>
      <ns0:c r="BN50" s="92">
        <ns0:f>IFERROR(IF('BBG Verify'!K50="","Awaiting Bloomberg",'BBG Verify'!K50),"Awaiting Bloomberg")</ns0:f>
        <ns0:v/>
      </ns0:c>
      <ns0:c r="BO50" s="74" t="inlineStr">
        <ns0:is>
          <ns0:t>N/A</ns0:t>
        </ns0:is>
      </ns0:c>
      <ns0:c r="BP50" s="74" t="inlineStr">
        <ns0:is>
          <ns0:t>N/A</ns0:t>
        </ns0:is>
      </ns0:c>
      <ns0:c r="BQ50" s="74" t="inlineStr">
        <ns0:is>
          <ns0:t>N/A</ns0:t>
        </ns0:is>
      </ns0:c>
      <ns0:c r="BR50" s="74" t="inlineStr">
        <ns0:is>
          <ns0:t>N/A</ns0:t>
        </ns0:is>
      </ns0:c>
      <ns0:c r="BS50" s="74" t="inlineStr">
        <ns0:is>
          <ns0:t>N/A</ns0:t>
        </ns0:is>
      </ns0:c>
      <ns0:c r="BT50" s="74" t="inlineStr">
        <ns0:is>
          <ns0:t>N/A</ns0:t>
        </ns0:is>
      </ns0:c>
      <ns0:c r="BU50" s="91" t="inlineStr">
        <ns0:is>
          <ns0:t>Haitong International Capital Limited; Industrial and Commercial Bank of China (Asia) Limited; Hong Kong Share Registrar Computershare Hong Kong Investor Services Limited; Industrial and Commercial Bank of China Co., Ltd., Xiamen Xinglin Branch</ns0:t>
        </ns0:is>
      </ns0:c>
      <ns0:c r="BV50" s="74" t="inlineStr">
        <ns0:is>
          <ns0:t>Haitong International Capital Limited; Huatai Financial Holdings (Hong Kong) Limited</ns0:t>
        </ns0:is>
      </ns0:c>
      <ns0:c r="BW50" s="74" t="inlineStr">
        <ns0:is>
          <ns0:t>Huatai Financial Holdings (Hong Kong) Limited; Haitong International Securities Company Limited</ns0:t>
        </ns0:is>
      </ns0:c>
      <ns0:c r="BX50" s="74" t="inlineStr">
        <ns0:is>
          <ns0:t>Huatai Financial Holdings (Hong Kong) Limited; Haitong International Securities Company Limited</ns0:t>
        </ns0:is>
      </ns0:c>
      <ns0:c r="BY50" s="93">
        <ns0:f>HYPERLINK("https://www1.hkexnews.hk/listedco/listconews/sehk/2021/0624/2021062400013.pdf","prospectus")</ns0:f>
        <ns0:v/>
      </ns0:c>
      <ns0:c r="BZ50" s="93">
        <ns0:f>HYPERLINK("https://www1.hkexnews.hk/listedco/listconews/sehk/2021/0706/2021070600016.htm","allotment")</ns0:f>
        <ns0:v/>
      </ns0:c>
      <ns0:c r="CA50" s="93">
        <ns0:f>HYPERLINK("https://www1.hkexnews.hk/listedco/listconews/sehk/2021/0729/2021072901513.pdf","stabilisation")</ns0:f>
        <ns0:v/>
      </ns0:c>
      <ns0:c r="CB50" s="94" t="n"/>
      <ns0:c r="CC50" s="74" t="inlineStr"/>
    </ns0:row>
    <ns0:row r="51" ht="22" customHeight="1">
      <ns0:c r="A51" s="73" t="inlineStr">
        <ns0:is>
          <ns0:t>9868</ns0:t>
        </ns0:is>
      </ns0:c>
      <ns0:c r="B51" s="74" t="inlineStr">
        <ns0:is>
          <ns0:t>XPENG-W</ns0:t>
        </ns0:is>
      </ns0:c>
      <ns0:c r="C51" s="74" t="inlineStr">
        <ns0:is>
          <ns0:t>小鵬集團－Ｗ</ns0:t>
        </ns0:is>
      </ns0:c>
      <ns0:c r="D51" s="74" t="inlineStr">
        <ns0:is>
          <ns0:t>Consumer</ns0:t>
        </ns0:is>
      </ns0:c>
      <ns0:c r="E51" s="74" t="inlineStr">
        <ns0:is>
          <ns0:t>Autos (NEV OEM)</ns0:t>
        </ns0:is>
      </ns0:c>
      <ns0:c r="F51" s="74" t="inlineStr">
        <ns0:is>
          <ns0:t>Automobile Manufacturers</ns0:t>
        </ns0:is>
      </ns0:c>
      <ns0:c r="G51" s="74" t="inlineStr">
        <ns0:is>
          <ns0:t>WVR</ns0:t>
        </ns0:is>
      </ns0:c>
      <ns0:c r="H51" s="75" t="n">
        <ns0:v>44384</ns0:v>
      </ns0:c>
      <ns0:c r="I51" s="76" t="n">
        <ns0:v>14025</ns0:v>
      </ns0:c>
      <ns0:c r="J51" s="74" t="inlineStr">
        <ns0:is>
          <ns0:t>gross (price x shares)</ns0:t>
        </ns0:is>
      </ns0:c>
      <ns0:c r="K51" s="95" t="n"/>
      <ns0:c r="L51" s="77" t="n">
        <ns0:v>180</ns0:v>
      </ns0:c>
      <ns0:c r="M51" s="77" t="n">
        <ns0:v>165</ns0:v>
      </ns0:c>
      <ns0:c r="N51" s="74" t="inlineStr">
        <ns0:is>
          <ns0:t>N</ns0:t>
        </ns0:is>
      </ns0:c>
      <ns0:c r="O51" s="78" t="n">
        <ns0:v>91.7</ns0:v>
      </ns0:c>
      <ns0:c r="P51" s="84" t="n"/>
      <ns0:c r="Q51" s="79" t="n">
        <ns0:v>270000</ns0:v>
      </ns0:c>
      <ns0:c r="R51" s="74" t="inlineStr">
        <ns0:is>
          <ns0:t>press:sina 2021-07-07: 市值超2700亿港元 | FINANCIALS (RMB x1.1): XPeng FY2020 PR: total revenues RMB5,844.3m, net loss RMB2,732.0m</ns0:t>
        </ns0:is>
      </ns0:c>
      <ns0:c r="S51" s="80" t="n">
        <ns0:v>14.73</ns0:v>
      </ns0:c>
      <ns0:c r="T51" s="81" t="n">
        <ns0:v>2.36</ns0:v>
      </ns0:c>
      <ns0:c r="U51" s="82" t="n">
        <ns0:v>0</ns0:v>
      </ns0:c>
      <ns0:c r="V51" s="83" t="n">
        <ns0:v>127</ns0:v>
      </ns0:c>
      <ns0:c r="W51" s="84" t="n"/>
      <ns0:c r="X51" s="85" t="n"/>
      <ns0:c r="Y51" s="79" t="n">
        <ns0:v>14025</ns0:v>
      </ns0:c>
      <ns0:c r="Z51" s="79" t="n">
        <ns0:v>85000000</ns0:v>
      </ns0:c>
      <ns0:c r="AA51" s="78" t="n">
        <ns0:v>5.19</ns0:v>
      </ns0:c>
      <ns0:c r="AB51" s="74" t="inlineStr">
        <ns0:is>
          <ns0:t>none — no cornerstone tranche</ns0:t>
        </ns0:is>
      </ns0:c>
      <ns0:c r="AC51" s="74" t="inlineStr">
        <ns0:is>
          <ns0:t>none</ns0:t>
        </ns0:is>
      </ns0:c>
      <ns0:c r="AD51" s="78" t="n">
        <ns0:v>7.5</ns0:v>
      </ns0:c>
      <ns0:c r="AE51" s="74" t="inlineStr">
        <ns0:is>
          <ns0:t>partial</ns0:t>
        </ns0:is>
      </ns0:c>
      <ns0:c r="AF51" s="85" t="n"/>
      <ns0:c r="AG51" s="74" t="inlineStr">
        <ns0:is>
          <ns0:t>J.P. Morgan Securities</ns0:t>
        </ns0:is>
      </ns0:c>
      <ns0:c r="AH51" s="74" t="inlineStr">
        <ns0:is>
          <ns0:t>JP Morgan</ns0:t>
        </ns0:is>
      </ns0:c>
      <ns0:c r="AI51" s="86" t="n">
        <ns0:v>-0.42</ns0:v>
      </ns0:c>
      <ns0:c r="AJ51" s="87" t="n">
        <ns0:v>0</ns0:v>
      </ns0:c>
      <ns0:c r="AK51" s="87" t="n">
        <ns0:v>-0.16</ns0:v>
      </ns0:c>
      <ns0:c r="AL51" s="87" t="n">
        <ns0:v>1.82</ns0:v>
      </ns0:c>
      <ns0:c r="AM51" s="87" t="n">
        <ns0:v>-1.79</ns0:v>
      </ns0:c>
      <ns0:c r="AN51" s="88" t="n"/>
      <ns0:c r="AO51" s="78" t="n">
        <ns0:v>5.48</ns0:v>
      </ns0:c>
      <ns0:c r="AP51" s="87" t="n">
        <ns0:v>-8.48</ns0:v>
      </ns0:c>
      <ns0:c r="AQ51" s="87" t="n">
        <ns0:v>-0.12</ns0:v>
      </ns0:c>
      <ns0:c r="AR51" s="87" t="n">
        <ns0:v>-17.7</ns0:v>
      </ns0:c>
      <ns0:c r="AS51" s="87" t="n">
        <ns0:v>-8.48</ns0:v>
      </ns0:c>
      <ns0:c r="AT51" s="87" t="n">
        <ns0:v>-0.12</ns0:v>
      </ns0:c>
      <ns0:c r="AU51" s="87" t="n">
        <ns0:v>-17.7</ns0:v>
      </ns0:c>
      <ns0:c r="AV51" s="87" t="n">
        <ns0:v>-8.69</ns0:v>
      </ns0:c>
      <ns0:c r="AW51" s="87" t="n">
        <ns0:v>8.289999999999999</ns0:v>
      </ns0:c>
      <ns0:c r="AX51" s="87" t="n">
        <ns0:v>0.82</ns0:v>
      </ns0:c>
      <ns0:c r="AY51" s="87" t="n">
        <ns0:v>8.15</ns0:v>
      </ns0:c>
      <ns0:c r="AZ51" s="87" t="n">
        <ns0:v>-8.41</ns0:v>
      </ns0:c>
      <ns0:c r="BA51" s="87" t="n">
        <ns0:v>-8.27</ns0:v>
      </ns0:c>
      <ns0:c r="BB51" s="74" t="inlineStr">
        <ns0:is>
          <ns0:t>Hang Seng Commerce &amp; Industry sub-index</ns0:t>
        </ns0:is>
      </ns0:c>
      <ns0:c r="BC51" s="87" t="n">
        <ns0:v>-77.95999999999999</ns0:v>
      </ns0:c>
      <ns0:c r="BD51" s="75" t="n">
        <ns0:v>46297</ns0:v>
      </ns0:c>
      <ns0:c r="BE51" s="76" t="n">
        <ns0:v>6428.7</ns0:v>
      </ns0:c>
      <ns0:c r="BF51" s="79" t="n">
        <ns0:v>-3005.2</ns0:v>
      </ns0:c>
      <ns0:c r="BG51" s="74" t="inlineStr">
        <ns0:is>
          <ns0:t>N</ns0:t>
        </ns0:is>
      </ns0:c>
      <ns0:c r="BH51" s="74" t="inlineStr">
        <ns0:is>
          <ns0:t>n/m</ns0:t>
        </ns0:is>
      </ns0:c>
      <ns0:c r="BI51" s="88" t="n"/>
      <ns0:c r="BJ51" s="88" t="n"/>
      <ns0:c r="BK51" s="89" t="n">
        <ns0:v>42</ns0:v>
      </ns0:c>
      <ns0:c r="BL51" s="90">
        <ns0:f>IFERROR(IF('BBG Verify'!S51="","Awaiting Bloomberg",'BBG Verify'!S51),"Awaiting Bloomberg")</ns0:f>
        <ns0:v/>
      </ns0:c>
      <ns0:c r="BM51" s="91" t="inlineStr">
        <ns0:is>
          <ns0:t>N</ns0:t>
        </ns0:is>
      </ns0:c>
      <ns0:c r="BN51" s="92">
        <ns0:f>IFERROR(IF('BBG Verify'!K51="","Awaiting Bloomberg",'BBG Verify'!K51),"Awaiting Bloomberg")</ns0:f>
        <ns0:v/>
      </ns0:c>
      <ns0:c r="BO51" s="74" t="inlineStr">
        <ns0:is>
          <ns0:t>N/A</ns0:t>
        </ns0:is>
      </ns0:c>
      <ns0:c r="BP51" s="74" t="inlineStr">
        <ns0:is>
          <ns0:t>N/A</ns0:t>
        </ns0:is>
      </ns0:c>
      <ns0:c r="BQ51" s="74" t="inlineStr">
        <ns0:is>
          <ns0:t>N/A</ns0:t>
        </ns0:is>
      </ns0:c>
      <ns0:c r="BR51" s="74" t="inlineStr">
        <ns0:is>
          <ns0:t>N/A</ns0:t>
        </ns0:is>
      </ns0:c>
      <ns0:c r="BS51" s="74" t="inlineStr">
        <ns0:is>
          <ns0:t>N/A</ns0:t>
        </ns0:is>
      </ns0:c>
      <ns0:c r="BT51" s="74" t="inlineStr">
        <ns0:is>
          <ns0:t>N/A</ns0:t>
        </ns0:is>
      </ns0:c>
      <ns0:c r="BU51" s="91" t="inlineStr">
        <ns0:is>
          <ns0:t>J.P. Morgan Securities (Far East) Limited; Merrill Lynch (Asia Pacific) Limited; J.P. Morgan Securities (Asia Pacific) Limited; Citigroup Global Markets Asia Limited</ns0:t>
        </ns0:is>
      </ns0:c>
      <ns0:c r="BV51" s="74" t="inlineStr">
        <ns0:is>
          <ns0:t>J.P. Morgan Securities (Far East) Limited; Merrill Lynch (Asia Pacific) Limited</ns0:t>
        </ns0:is>
      </ns0:c>
      <ns0:c r="BW51" s="74" t="inlineStr">
        <ns0:is>
          <ns0: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ns0:t>
        </ns0:is>
      </ns0:c>
      <ns0:c r="BX51" s="74" t="inlineStr">
        <ns0:is>
          <ns0:t>ABCI Securities Company Limited; BOCI Asia Limited; Citigroup Global Markets Asia Limited; CLSA Limited; Futu Securities International (Hong Kong) Limited; J.P. Morgan Securities (Asia Pacific) Limited; Merrill Lynch (Asia Pacific) Limited</ns0:t>
        </ns0:is>
      </ns0:c>
      <ns0:c r="BY51" s="93">
        <ns0:f>HYPERLINK("https://www1.hkexnews.hk/listedco/listconews/sehk/2021/0625/2021062500039.pdf","prospectus")</ns0:f>
        <ns0:v/>
      </ns0:c>
      <ns0:c r="BZ51" s="93">
        <ns0:f>HYPERLINK("https://www1.hkexnews.hk/listedco/listconews/sehk/2021/0706/2021070600032.htm","allotment")</ns0:f>
        <ns0:v/>
      </ns0:c>
      <ns0:c r="CA51" s="93">
        <ns0:f>HYPERLINK("https://www1.hkexnews.hk/listedco/listconews/sehk/2021/0730/2021073001378.pdf","stabilisation")</ns0:f>
        <ns0:v/>
      </ns0:c>
      <ns0:c r="CB51" s="94" t="n"/>
      <ns0:c r="CC51" s="74" t="inlineStr">
        <ns0:is>
          <ns0:t>P/E: loss-making at IPO, use P/S; greenshoe: outcome published; expiry date not in the notice; range low: maximum offer price only, no floor published; cornerstone list: no cornerstone tranche; allocation: allocation table not in this notice's format (older prose announcement); day-1 tape: volume on file; the retail multiple needs the final public split, which this notice does not state</ns0:t>
        </ns0:is>
      </ns0:c>
    </ns0:row>
    <ns0:row r="52" ht="22" customHeight="1">
      <ns0:c r="A52" s="73" t="inlineStr">
        <ns0:is>
          <ns0:t>1965</ns0:t>
        </ns0:is>
      </ns0:c>
      <ns0:c r="B52" s="74" t="inlineStr">
        <ns0:is>
          <ns0:t>LANDSEA LIFE</ns0:t>
        </ns0:is>
      </ns0:c>
      <ns0:c r="C52" s="74" t="inlineStr">
        <ns0:is>
          <ns0:t>朗詩綠色生活</ns0:t>
        </ns0:is>
      </ns0:c>
      <ns0:c r="D52" s="74" t="inlineStr">
        <ns0:is>
          <ns0:t>Real Estate</ns0:t>
        </ns0:is>
      </ns0:c>
      <ns0:c r="E52" s="74" t="inlineStr">
        <ns0:is>
          <ns0:t>Property management</ns0:t>
        </ns0:is>
      </ns0:c>
      <ns0:c r="F52" s="74" t="inlineStr">
        <ns0:is>
          <ns0:t>Property Service and Management</ns0:t>
        </ns0:is>
      </ns0:c>
      <ns0:c r="G52" s="74" t="inlineStr">
        <ns0:is>
          <ns0:t>Standard</ns0:t>
        </ns0:is>
      </ns0:c>
      <ns0:c r="H52" s="75" t="n">
        <ns0:v>44385</ns0:v>
      </ns0:c>
      <ns0:c r="I52" s="76" t="n">
        <ns0:v>318</ns0:v>
      </ns0:c>
      <ns0:c r="J52" s="74" t="inlineStr">
        <ns0:is>
          <ns0:t>gross (price x shares)</ns0:t>
        </ns0:is>
      </ns0:c>
      <ns0:c r="K52" s="77" t="n">
        <ns0:v>2.86</ns0:v>
      </ns0:c>
      <ns0:c r="L52" s="77" t="n">
        <ns0:v>4.16</ns0:v>
      </ns0:c>
      <ns0:c r="M52" s="77" t="n">
        <ns0:v>3.18</ns0:v>
      </ns0:c>
      <ns0:c r="N52" s="74" t="inlineStr">
        <ns0:is>
          <ns0:t>N</ns0:t>
        </ns0:is>
      </ns0:c>
      <ns0:c r="O52" s="78" t="n">
        <ns0:v>76.40000000000001</ns0:v>
      </ns0:c>
      <ns0:c r="P52" s="78" t="n">
        <ns0:v>24.6</ns0:v>
      </ns0:c>
      <ns0:c r="Q52" s="79" t="n">
        <ns0:v>1583</ns0:v>
      </ns0:c>
      <ns0:c r="R52" s="74" t="inlineStr">
        <ns0:is>
          <ns0:t>aastocks:上市市值 at the struck price</ns0:t>
        </ns0:is>
      </ns0:c>
      <ns0:c r="S52" s="80" t="n">
        <ns0:v>8.01</ns0:v>
      </ns0:c>
      <ns0:c r="T52" s="81" t="n">
        <ns0:v>1.25</ns0:v>
      </ns0:c>
      <ns0:c r="U52" s="82" t="n">
        <ns0:v>24.5</ns0:v>
      </ns0:c>
      <ns0:c r="V52" s="83" t="n">
        <ns0:v>138</ns0:v>
      </ns0:c>
      <ns0:c r="W52" s="84" t="n"/>
      <ns0:c r="X52" s="85" t="n"/>
      <ns0:c r="Y52" s="79" t="n">
        <ns0:v>240.09</ns0:v>
      </ns0:c>
      <ns0:c r="Z52" s="79" t="n">
        <ns0:v>75500000</ns0:v>
      </ns0:c>
      <ns0:c r="AA52" s="78" t="n">
        <ns0:v>15.17</ns0:v>
      </ns0:c>
      <ns0:c r="AB52" s="74" t="inlineStr">
        <ns0:is>
          <ns0:t>CURA International (Hong Kong) Investment Management Company Limited</ns0:t>
        </ns0:is>
      </ns0:c>
      <ns0:c r="AC52" s="74" t="inlineStr">
        <ns0:is>
          <ns0:t>cura</ns0:t>
        </ns0:is>
      </ns0:c>
      <ns0:c r="AD52" s="78" t="n">
        <ns0:v>10</ns0:v>
      </ns0:c>
      <ns0:c r="AE52" s="74" t="inlineStr">
        <ns0:is>
          <ns0:t>partial</ns0:t>
        </ns0:is>
      </ns0:c>
      <ns0:c r="AF52" s="74" t="inlineStr">
        <ns0:is>
          <ns0:t>2021-07-30</ns0:t>
        </ns0:is>
      </ns0:c>
      <ns0:c r="AG52" s="74" t="inlineStr">
        <ns0:is>
          <ns0:t>Haitong International Securities Company Limited</ns0:t>
        </ns0:is>
      </ns0:c>
      <ns0:c r="AH52" s="74" t="inlineStr">
        <ns0:is>
          <ns0:t>Haitong</ns0:t>
        </ns0:is>
      </ns0:c>
      <ns0:c r="AI52" s="86" t="n">
        <ns0:v>66.67</ns0:v>
      </ns0:c>
      <ns0:c r="AJ52" s="87" t="n">
        <ns0:v>41.51</ns0:v>
      </ns0:c>
      <ns0:c r="AK52" s="87" t="n">
        <ns0:v>-1.47</ns0:v>
      </ns0:c>
      <ns0:c r="AL52" s="87" t="n">
        <ns0:v>88.68000000000001</ns0:v>
      </ns0:c>
      <ns0:c r="AM52" s="87" t="n">
        <ns0:v>-25</ns0:v>
      </ns0:c>
      <ns0:c r="AN52" s="88" t="n"/>
      <ns0:c r="AO52" s="78" t="n">
        <ns0:v>51.67</ns0:v>
      </ns0:c>
      <ns0:c r="AP52" s="87" t="n">
        <ns0:v>2.52</ns0:v>
      </ns0:c>
      <ns0:c r="AQ52" s="87" t="n">
        <ns0:v>0</ns0:v>
      </ns0:c>
      <ns0:c r="AR52" s="87" t="n">
        <ns0:v>3.77</ns0:v>
      </ns0:c>
      <ns0:c r="AS52" s="87" t="n">
        <ns0:v>-27.55</ns0:v>
      </ns0:c>
      <ns0:c r="AT52" s="87" t="n">
        <ns0:v>-29.33</ns0:v>
      </ns0:c>
      <ns0:c r="AU52" s="87" t="n">
        <ns0:v>-26.67</ns0:v>
      </ns0:c>
      <ns0:c r="AV52" s="87" t="n">
        <ns0:v>2.52</ns0:v>
      </ns0:c>
      <ns0:c r="AW52" s="87" t="n">
        <ns0:v>9.33</ns0:v>
      </ns0:c>
      <ns0:c r="AX52" s="87" t="n">
        <ns0:v>15.35</ns0:v>
      </ns0:c>
      <ns0:c r="AY52" s="87" t="n">
        <ns0:v>-21.36</ns0:v>
      </ns0:c>
      <ns0:c r="AZ52" s="87" t="n">
        <ns0:v>-9.33</ns0:v>
      </ns0:c>
      <ns0:c r="BA52" s="87" t="n">
        <ns0:v>-7.97</ns0:v>
      </ns0:c>
      <ns0:c r="BB52" s="74" t="inlineStr">
        <ns0:is>
          <ns0:t>Hang Seng Properties sub-index</ns0:t>
        </ns0:is>
      </ns0:c>
      <ns0:c r="BC52" s="87" t="n">
        <ns0:v>-95.72</ns0:v>
      </ns0:c>
      <ns0:c r="BD52" s="75" t="n">
        <ns0:v>46297</ns0:v>
      </ns0:c>
      <ns0:c r="BE52" s="76" t="n">
        <ns0:v>131.9</ns0:v>
      </ns0:c>
      <ns0:c r="BF52" s="79" t="n">
        <ns0:v>72.09999999999999</ns0:v>
      </ns0:c>
      <ns0:c r="BG52" s="74" t="inlineStr">
        <ns0:is>
          <ns0:t>Y</ns0:t>
        </ns0:is>
      </ns0:c>
      <ns0:c r="BH52" s="89" t="n">
        <ns0:v>22</ns0:v>
      </ns0:c>
      <ns0:c r="BI52" s="88" t="n"/>
      <ns0:c r="BJ52" s="89" t="n">
        <ns0:v>1.9</ns0:v>
      </ns0:c>
      <ns0:c r="BK52" s="89" t="n">
        <ns0:v>12</ns0:v>
      </ns0:c>
      <ns0:c r="BL52" s="90">
        <ns0:f>IFERROR(IF('BBG Verify'!S52="","Awaiting Bloomberg",'BBG Verify'!S52),"Awaiting Bloomberg")</ns0:f>
        <ns0:v/>
      </ns0:c>
      <ns0:c r="BM52" s="91" t="inlineStr">
        <ns0:is>
          <ns0:t>N</ns0:t>
        </ns0:is>
      </ns0:c>
      <ns0:c r="BN52" s="92">
        <ns0:f>IFERROR(IF('BBG Verify'!K52="","Awaiting Bloomberg",'BBG Verify'!K52),"Awaiting Bloomberg")</ns0:f>
        <ns0:v/>
      </ns0:c>
      <ns0:c r="BO52" s="74" t="inlineStr">
        <ns0:is>
          <ns0:t>N/A</ns0:t>
        </ns0:is>
      </ns0:c>
      <ns0:c r="BP52" s="74" t="inlineStr">
        <ns0:is>
          <ns0:t>N/A</ns0:t>
        </ns0:is>
      </ns0:c>
      <ns0:c r="BQ52" s="74" t="inlineStr">
        <ns0:is>
          <ns0:t>N/A</ns0:t>
        </ns0:is>
      </ns0:c>
      <ns0:c r="BR52" s="74" t="inlineStr">
        <ns0:is>
          <ns0:t>N/A</ns0:t>
        </ns0:is>
      </ns0:c>
      <ns0:c r="BS52" s="74" t="inlineStr">
        <ns0:is>
          <ns0:t>N/A</ns0:t>
        </ns0:is>
      </ns0:c>
      <ns0:c r="BT52" s="74" t="inlineStr">
        <ns0:is>
          <ns0:t>N/A</ns0:t>
        </ns0:is>
      </ns0:c>
      <ns0:c r="BU52" s="91" t="inlineStr">
        <ns0:is>
          <ns0:t>Haitong International Capital Limited</ns0:t>
        </ns0:is>
      </ns0:c>
      <ns0:c r="BV52" s="74" t="inlineStr">
        <ns0:is>
          <ns0:t>Haitong International Capital Limited</ns0:t>
        </ns0:is>
      </ns0:c>
      <ns0:c r="BW52" s="74" t="inlineStr">
        <ns0:is>
          <ns0: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ns0:t>
        </ns0:is>
      </ns0:c>
      <ns0:c r="BX52" s="74" t="inlineStr">
        <ns0:is>
          <ns0: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ns0:t>
        </ns0:is>
      </ns0:c>
      <ns0:c r="BY52" s="93">
        <ns0:f>HYPERLINK("https://www1.hkexnews.hk/listedco/listconews/sehk/2021/0625/2021062500057.pdf","prospectus")</ns0:f>
        <ns0:v/>
      </ns0:c>
      <ns0:c r="BZ52" s="93">
        <ns0:f>HYPERLINK("https://www1.hkexnews.hk/listedco/listconews/sehk/2021/0707/2021070700022.htm","allotment")</ns0:f>
        <ns0:v/>
      </ns0:c>
      <ns0:c r="CA52" s="93">
        <ns0:f>HYPERLINK("https://www1.hkexnews.hk/listedco/listconews/sehk/2021/0730/2021073001922.pdf","stabilisation")</ns0:f>
        <ns0:v/>
      </ns0:c>
      <ns0:c r="CB52" s="94" t="n"/>
      <ns0:c r="CC52" s="74" t="inlineStr">
        <ns0:is>
          <ns0:t>market cap: published listing cap used; the estimate from deal size / offer % of enlarged capital disagreed; cornerstone: table parse 76% rejected (institutional total implies 25%); the AAStocks institutional total used; allocation: allocation table not in this notice's format (older prose announcement); day-1 tape: volume on file; the retail multiple needs the final public split, which this notice does not state</ns0:t>
        </ns0:is>
      </ns0:c>
    </ns0:row>
    <ns0:row r="53" ht="22" customHeight="1">
      <ns0:c r="A53" s="73" t="inlineStr">
        <ns0:is>
          <ns0:t>2162</ns0:t>
        </ns0:is>
      </ns0:c>
      <ns0:c r="B53" s="74" t="inlineStr">
        <ns0:is>
          <ns0:t>KEYMED BIO-B</ns0:t>
        </ns0:is>
      </ns0:c>
      <ns0:c r="C53" s="74" t="inlineStr">
        <ns0:is>
          <ns0:t>康諾亞－Ｂ</ns0:t>
        </ns0:is>
      </ns0:c>
      <ns0:c r="D53" s="74" t="inlineStr">
        <ns0:is>
          <ns0:t>Healthcare</ns0:t>
        </ns0:is>
      </ns0:c>
      <ns0:c r="E53" s="74" t="inlineStr">
        <ns0:is>
          <ns0:t>Biotech pre-revenue (18A)</ns0:t>
        </ns0:is>
      </ns0:c>
      <ns0:c r="F53" s="74" t="inlineStr">
        <ns0:is>
          <ns0:t>Biotechnology</ns0:t>
        </ns0:is>
      </ns0:c>
      <ns0:c r="G53" s="74" t="inlineStr">
        <ns0:is>
          <ns0:t>18A</ns0:t>
        </ns0:is>
      </ns0:c>
      <ns0:c r="H53" s="75" t="n">
        <ns0:v>44385</ns0:v>
      </ns0:c>
      <ns0:c r="I53" s="76" t="n">
        <ns0:v>3105.5</ns0:v>
      </ns0:c>
      <ns0:c r="J53" s="74" t="inlineStr">
        <ns0:is>
          <ns0:t>gross (price x shares)</ns0:t>
        </ns0:is>
      </ns0:c>
      <ns0:c r="K53" s="77" t="n">
        <ns0:v>50.5</ns0:v>
      </ns0:c>
      <ns0:c r="L53" s="77" t="n">
        <ns0:v>53.3</ns0:v>
      </ns0:c>
      <ns0:c r="M53" s="77" t="n">
        <ns0:v>53.3</ns0:v>
      </ns0:c>
      <ns0:c r="N53" s="74" t="inlineStr">
        <ns0:is>
          <ns0:t>Y</ns0:t>
        </ns0:is>
      </ns0:c>
      <ns0:c r="O53" s="78" t="n">
        <ns0:v>100</ns0:v>
      </ns0:c>
      <ns0:c r="P53" s="78" t="n">
        <ns0:v>100</ns0:v>
      </ns0:c>
      <ns0:c r="Q53" s="79" t="n">
        <ns0:v>13685.3</ns0:v>
      </ns0:c>
      <ns0:c r="R53" s="74" t="inlineStr">
        <ns0:is>
          <ns0:t>prospectus:stated market capitalisation</ns0:t>
        </ns0:is>
      </ns0:c>
      <ns0:c r="S53" s="80" t="n">
        <ns0:v>429.97</ns0:v>
      </ns0:c>
      <ns0:c r="T53" s="81" t="n">
        <ns0:v>21.9</ns0:v>
      </ns0:c>
      <ns0:c r="U53" s="82" t="n">
        <ns0:v>20</ns0:v>
      </ns0:c>
      <ns0:c r="V53" s="83" t="n">
        <ns0:v>158</ns0:v>
      </ns0:c>
      <ns0:c r="W53" s="78" t="n">
        <ns0:v>50</ns0:v>
      </ns0:c>
      <ns0:c r="X53" s="74" t="inlineStr">
        <ns0:is>
          <ns0:t>YES</ns0:t>
        </ns0:is>
      </ns0:c>
      <ns0:c r="Y53" s="79" t="n">
        <ns0:v>2484.4</ns0:v>
      </ns0:c>
      <ns0:c r="Z53" s="79" t="n">
        <ns0:v>46611600</ns0:v>
      </ns0:c>
      <ns0:c r="AA53" s="78" t="n">
        <ns0:v>18.15</ns0:v>
      </ns0:c>
      <ns0:c r="AB53" s="74" t="inlineStr">
        <ns0:is>
          <ns0: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ns0:t>
        </ns0:is>
      </ns0:c>
      <ns0:c r="AC53" s="74" t="inlineStr">
        <ns0:is>
          <ns0:t>aranda;boyu;double;dragon;hillhouse;hudson;invesco;janchor;lake;lav;octagon;sage;springhill;ubs;yi</ns0:t>
        </ns0:is>
      </ns0:c>
      <ns0:c r="AD53" s="78" t="n">
        <ns0:v>10.78</ns0:v>
      </ns0:c>
      <ns0:c r="AE53" s="74" t="inlineStr">
        <ns0:is>
          <ns0:t>full</ns0:t>
        </ns0:is>
      </ns0:c>
      <ns0:c r="AF53" s="74" t="inlineStr">
        <ns0:is>
          <ns0:t>2021-07-30</ns0:t>
        </ns0:is>
      </ns0:c>
      <ns0:c r="AG53" s="74" t="inlineStr">
        <ns0:is>
          <ns0:t>Morgan Stanley Asia Limited</ns0:t>
        </ns0:is>
      </ns0:c>
      <ns0:c r="AH53" s="74" t="inlineStr">
        <ns0:is>
          <ns0:t>Morgan Stanley</ns0:t>
        </ns0:is>
      </ns0:c>
      <ns0:c r="AI53" s="86" t="n">
        <ns0:v>34.15</ns0:v>
      </ns0:c>
      <ns0:c r="AJ53" s="87" t="n">
        <ns0:v>27.58</ns0:v>
      </ns0:c>
      <ns0:c r="AK53" s="87" t="n">
        <ns0:v>-1.91</ns0:v>
      </ns0:c>
      <ns0:c r="AL53" s="87" t="n">
        <ns0:v>46.34</ns0:v>
      </ns0:c>
      <ns0:c r="AM53" s="87" t="n">
        <ns0:v>-12.82</ns0:v>
      </ns0:c>
      <ns0:c r="AN53" s="89" t="n">
        <ns0:v>1.46</ns0:v>
      </ns0:c>
      <ns0:c r="AO53" s="78" t="n">
        <ns0:v>17.44</ns0:v>
      </ns0:c>
      <ns0:c r="AP53" s="87" t="n">
        <ns0:v>27.95</ns0:v>
      </ns0:c>
      <ns0:c r="AQ53" s="87" t="n">
        <ns0:v>22.51</ns0:v>
      </ns0:c>
      <ns0:c r="AR53" s="87" t="n">
        <ns0:v>-6.19</ns0:v>
      </ns0:c>
      <ns0:c r="AS53" s="87" t="n">
        <ns0:v>0.29</ns0:v>
      </ns0:c>
      <ns0:c r="AT53" s="87" t="n">
        <ns0:v>-3.97</ns0:v>
      </ns0:c>
      <ns0:c r="AU53" s="87" t="n">
        <ns0:v>-26.47</ns0:v>
      </ns0:c>
      <ns0:c r="AV53" s="87" t="n">
        <ns0:v>26.02</ns0:v>
      </ns0:c>
      <ns0:c r="AW53" s="87" t="n">
        <ns0:v>25.29</ns0:v>
      </ns0:c>
      <ns0:c r="AX53" s="87" t="n">
        <ns0:v>7.58</ns0:v>
      </ns0:c>
      <ns0:c r="AY53" s="87" t="n">
        <ns0:v>-3.08</ns0:v>
      </ns0:c>
      <ns0:c r="AZ53" s="87" t="n">
        <ns0:v>-2.78</ns0:v>
      </ns0:c>
      <ns0:c r="BA53" s="87" t="n">
        <ns0:v>-0.89</ns0:v>
      </ns0:c>
      <ns0:c r="BB53" s="74" t="inlineStr">
        <ns0:is>
          <ns0:t>China Biotech ETF (HS biotech proxy)</ns0:t>
        </ns0:is>
      </ns0:c>
      <ns0:c r="BC53" s="87" t="n">
        <ns0:v>47.94</ns0:v>
      </ns0:c>
      <ns0:c r="BD53" s="75" t="n">
        <ns0:v>46297</ns0:v>
      </ns0:c>
      <ns0:c r="BE53" s="76" t="n">
        <ns0:v>0</ns0:v>
      </ns0:c>
      <ns0:c r="BF53" s="79" t="n">
        <ns0:v>-900.7</ns0:v>
      </ns0:c>
      <ns0:c r="BG53" s="74" t="inlineStr">
        <ns0:is>
          <ns0:t>N</ns0:t>
        </ns0:is>
      </ns0:c>
      <ns0:c r="BH53" s="74" t="inlineStr">
        <ns0:is>
          <ns0:t>n/m</ns0:t>
        </ns0:is>
      </ns0:c>
      <ns0:c r="BI53" s="88" t="n"/>
      <ns0:c r="BJ53" s="88" t="n"/>
      <ns0:c r="BK53" s="74" t="inlineStr">
        <ns0:is>
          <ns0:t>pre-rev</ns0:t>
        </ns0:is>
      </ns0:c>
      <ns0:c r="BL53" s="90">
        <ns0:f>IFERROR(IF('BBG Verify'!S53="","Awaiting Bloomberg",'BBG Verify'!S53),"Awaiting Bloomberg")</ns0:f>
        <ns0:v/>
      </ns0:c>
      <ns0:c r="BM53" s="91" t="inlineStr">
        <ns0:is>
          <ns0:t>N</ns0:t>
        </ns0:is>
      </ns0:c>
      <ns0:c r="BN53" s="92">
        <ns0:f>IFERROR(IF('BBG Verify'!K53="","Awaiting Bloomberg",'BBG Verify'!K53),"Awaiting Bloomberg")</ns0:f>
        <ns0:v/>
      </ns0:c>
      <ns0:c r="BO53" s="74" t="inlineStr">
        <ns0:is>
          <ns0:t>N/A</ns0:t>
        </ns0:is>
      </ns0:c>
      <ns0:c r="BP53" s="74" t="inlineStr">
        <ns0:is>
          <ns0:t>N/A</ns0:t>
        </ns0:is>
      </ns0:c>
      <ns0:c r="BQ53" s="74" t="inlineStr">
        <ns0:is>
          <ns0:t>N/A</ns0:t>
        </ns0:is>
      </ns0:c>
      <ns0:c r="BR53" s="74" t="inlineStr">
        <ns0:is>
          <ns0:t>N/A</ns0:t>
        </ns0:is>
      </ns0:c>
      <ns0:c r="BS53" s="74" t="inlineStr">
        <ns0:is>
          <ns0:t>N/A</ns0:t>
        </ns0:is>
      </ns0:c>
      <ns0:c r="BT53" s="74" t="inlineStr">
        <ns0:is>
          <ns0:t>N/A</ns0:t>
        </ns0:is>
      </ns0:c>
      <ns0:c r="BU53" s="91" t="inlineStr">
        <ns0:is>
          <ns0:t>Morgan Stanley Asia Limited; China International Capital Corporation Hong Kong Securities Limited; Huatai Financial Holdings (Hong Kong) Limited</ns0:t>
        </ns0:is>
      </ns0:c>
      <ns0:c r="BV53" s="74" t="inlineStr">
        <ns0:is>
          <ns0:t>China International Capital Corporation Hong Kong Securities Limited; Morgan Stanley Asia Limited; Huatai Financial Holdings (Hong Kong) Limited</ns0:t>
        </ns0:is>
      </ns0:c>
      <ns0:c r="BW53" s="74" t="inlineStr">
        <ns0:is>
          <ns0:t>Morgan Stanley Asia Limited; China International Capital Corporation Hong Kong Securities Limited; Huatai Financial Holdings (Hong Kong) Limited; Morgan Stanley &amp; Co. International plc; China Everbright Securities (HK) Limited</ns0:t>
        </ns0:is>
      </ns0:c>
      <ns0:c r="BX53" s="74" t="inlineStr">
        <ns0:is>
          <ns0:t>China Everbright Securities (HK) Limited; China International Capital Corporation Hong Kong Securities Limited; Huatai Financial Holdings (Hong Kong) Limited; Morgan Stanley Asia Limited</ns0:t>
        </ns0:is>
      </ns0:c>
      <ns0:c r="BY53" s="93">
        <ns0:f>HYPERLINK("https://www1.hkexnews.hk/listedco/listconews/sehk/2021/0625/2021062500031.pdf","prospectus")</ns0:f>
        <ns0:v/>
      </ns0:c>
      <ns0:c r="BZ53" s="93">
        <ns0:f>HYPERLINK("https://www1.hkexnews.hk/listedco/listconews/sehk/2021/0707/2021070700054.htm","allotment")</ns0:f>
        <ns0:v/>
      </ns0:c>
      <ns0:c r="CA53" s="93">
        <ns0:f>HYPERLINK("https://www1.hkexnews.hk/listedco/listconews/sehk/2021/0730/2021073001918.pdf","stabilisation")</ns0:f>
        <ns0:v/>
      </ns0:c>
      <ns0:c r="CB53" s="94" t="n"/>
      <ns0:c r="CC53" s="74" t="inlineStr">
        <ns0:is>
          <ns0:t>P/E: loss-making at IPO, use P/S; cornerstone: % from the prospectus; AAStocks table includes non-cornerstone orders; P/S: pre-revenue issuer, no sales multiple</ns0:t>
        </ns0:is>
      </ns0:c>
    </ns0:row>
    <ns0:row r="54" ht="22" customHeight="1">
      <ns0:c r="A54" s="73" t="inlineStr">
        <ns0:is>
          <ns0:t>2209</ns0:t>
        </ns0:is>
      </ns0:c>
      <ns0:c r="B54" s="74" t="inlineStr">
        <ns0:is>
          <ns0:t>YESASIA HLDGS</ns0:t>
        </ns0:is>
      </ns0:c>
      <ns0:c r="C54" s="74" t="inlineStr">
        <ns0:is>
          <ns0:t>喆麗控股</ns0:t>
        </ns0:is>
      </ns0:c>
      <ns0:c r="D54" s="74" t="inlineStr">
        <ns0:is>
          <ns0:t>Technology</ns0:t>
        </ns0:is>
      </ns0:c>
      <ns0:c r="E54" s="74" t="inlineStr">
        <ns0:is>
          <ns0:t>Internet &amp; fintech</ns0:t>
        </ns0:is>
      </ns0:c>
      <ns0:c r="F54" s="74" t="inlineStr">
        <ns0:is>
          <ns0:t>e-Commerce &amp; Internet Services</ns0:t>
        </ns0:is>
      </ns0:c>
      <ns0:c r="G54" s="74" t="inlineStr">
        <ns0:is>
          <ns0:t>Standard</ns0:t>
        </ns0:is>
      </ns0:c>
      <ns0:c r="H54" s="75" t="n">
        <ns0:v>44386</ns0:v>
      </ns0:c>
      <ns0:c r="I54" s="76" t="n">
        <ns0:v>91</ns0:v>
      </ns0:c>
      <ns0:c r="J54" s="74" t="inlineStr">
        <ns0:is>
          <ns0:t>net proceeds</ns0:t>
        </ns0:is>
      </ns0:c>
      <ns0:c r="K54" s="77" t="n">
        <ns0:v>3</ns0:v>
      </ns0:c>
      <ns0:c r="L54" s="77" t="n">
        <ns0:v>3.33</ns0:v>
      </ns0:c>
      <ns0:c r="M54" s="77" t="n">
        <ns0:v>3.28</ns0:v>
      </ns0:c>
      <ns0:c r="N54" s="74" t="inlineStr">
        <ns0:is>
          <ns0:t>N</ns0:t>
        </ns0:is>
      </ns0:c>
      <ns0:c r="O54" s="78" t="n">
        <ns0:v>98.5</ns0:v>
      </ns0:c>
      <ns0:c r="P54" s="78" t="n">
        <ns0:v>84.8</ns0:v>
      </ns0:c>
      <ns0:c r="Q54" s="79" t="n">
        <ns0:v>1316</ns0:v>
      </ns0:c>
      <ns0:c r="R54" s="74" t="inlineStr">
        <ns0:is>
          <ns0:t>aastocks:上市市值 at the struck price</ns0:t>
        </ns0:is>
      </ns0:c>
      <ns0:c r="S54" s="80" t="n">
        <ns0:v>145.3</ns0:v>
      </ns0:c>
      <ns0:c r="T54" s="81" t="n">
        <ns0:v>3.2</ns0:v>
      </ns0:c>
      <ns0:c r="U54" s="82" t="n">
        <ns0:v>37.94</ns0:v>
      </ns0:c>
      <ns0:c r="V54" s="83" t="n">
        <ns0:v>82</ns0:v>
      </ns0:c>
      <ns0:c r="W54" s="84" t="n"/>
      <ns0:c r="X54" s="85" t="n"/>
      <ns0:c r="Y54" s="79" t="n">
        <ns0:v>56.47</ns0:v>
      </ns0:c>
      <ns0:c r="Z54" s="97" t="n"/>
      <ns0:c r="AA54" s="78" t="n">
        <ns0:v>4.29</ns0:v>
      </ns0:c>
      <ns0:c r="AB54" s="74" t="inlineStr">
        <ns0:is>
          <ns0:t>CS Logistics Holdings Ltd; Triple Surge Holdings Limited</ns0:t>
        </ns0:is>
      </ns0:c>
      <ns0:c r="AC54" s="74" t="inlineStr">
        <ns0:is>
          <ns0:t>cs;triple</ns0:t>
        </ns0:is>
      </ns0:c>
      <ns0:c r="AD54" s="78" t="n">
        <ns0:v>11.3</ns0:v>
      </ns0:c>
      <ns0:c r="AE54" s="74" t="inlineStr">
        <ns0:is>
          <ns0:t>partial</ns0:t>
        </ns0:is>
      </ns0:c>
      <ns0:c r="AF54" s="74" t="inlineStr">
        <ns0:is>
          <ns0:t>2021-08-01</ns0:t>
        </ns0:is>
      </ns0:c>
      <ns0:c r="AG54" s="74" t="inlineStr">
        <ns0:is>
          <ns0:t>UOB Kay Hian</ns0:t>
        </ns0:is>
      </ns0:c>
      <ns0:c r="AH54" s="74" t="inlineStr">
        <ns0:is>
          <ns0:t>UOB Kay</ns0:t>
        </ns0:is>
      </ns0:c>
      <ns0:c r="AI54" s="86" t="n">
        <ns0:v>35.37</ns0:v>
      </ns0:c>
      <ns0:c r="AJ54" s="87" t="n">
        <ns0:v>5.49</ns0:v>
      </ns0:c>
      <ns0:c r="AK54" s="87" t="n">
        <ns0:v>1.03</ns0:v>
      </ns0:c>
      <ns0:c r="AL54" s="87" t="n">
        <ns0:v>47.26</ns0:v>
      </ns0:c>
      <ns0:c r="AM54" s="87" t="n">
        <ns0:v>-28.36</ns0:v>
      </ns0:c>
      <ns0:c r="AN54" s="88" t="n"/>
      <ns0:c r="AO54" s="78" t="n">
        <ns0:v>31.47</ns0:v>
      </ns0:c>
      <ns0:c r="AP54" s="87" t="n">
        <ns0:v>-7.62</ns0:v>
      </ns0:c>
      <ns0:c r="AQ54" s="87" t="n">
        <ns0:v>-20.12</ns0:v>
      </ns0:c>
      <ns0:c r="AR54" s="87" t="n">
        <ns0:v>-56.1</ns0:v>
      </ns0:c>
      <ns0:c r="AS54" s="87" t="n">
        <ns0:v>-12.43</ns0:v>
      </ns0:c>
      <ns0:c r="AT54" s="87" t="n">
        <ns0:v>-24.28</ns0:v>
      </ns0:c>
      <ns0:c r="AU54" s="87" t="n">
        <ns0:v>-58.38</ns0:v>
      </ns0:c>
      <ns0:c r="AV54" s="87" t="n">
        <ns0:v>-11.53</ns0:v>
      </ns0:c>
      <ns0:c r="AW54" s="87" t="n">
        <ns0:v>-10.79</ns0:v>
      </ns0:c>
      <ns0:c r="AX54" s="87" t="n">
        <ns0:v>-40.38</ns0:v>
      </ns0:c>
      <ns0:c r="AY54" s="87" t="n">
        <ns0:v>-14.02</ns0:v>
      </ns0:c>
      <ns0:c r="AZ54" s="87" t="n">
        <ns0:v>-9.33</ns0:v>
      </ns0:c>
      <ns0:c r="BA54" s="87" t="n">
        <ns0:v>-10.26</ns0:v>
      </ns0:c>
      <ns0:c r="BB54" s="74" t="inlineStr">
        <ns0:is>
          <ns0:t>HSTECH (Hang Seng TECH ETF)</ns0:t>
        </ns0:is>
      </ns0:c>
      <ns0:c r="BC54" s="87" t="n">
        <ns0:v>-3.2</ns0:v>
      </ns0:c>
      <ns0:c r="BD54" s="75" t="n">
        <ns0:v>46297</ns0:v>
      </ns0:c>
      <ns0:c r="BE54" s="76" t="n">
        <ns0:v>1351.9</ns0:v>
      </ns0:c>
      <ns0:c r="BF54" s="79" t="n">
        <ns0:v>87.5</ns0:v>
      </ns0:c>
      <ns0:c r="BG54" s="74" t="inlineStr">
        <ns0:is>
          <ns0:t>Y</ns0:t>
        </ns0:is>
      </ns0:c>
      <ns0:c r="BH54" s="89" t="n">
        <ns0:v>15</ns0:v>
      </ns0:c>
      <ns0:c r="BI54" s="88" t="n"/>
      <ns0:c r="BJ54" s="89" t="n">
        <ns0:v>8.199999999999999</ns0:v>
      </ns0:c>
      <ns0:c r="BK54" s="89" t="n">
        <ns0:v>1</ns0:v>
      </ns0:c>
      <ns0:c r="BL54" s="90">
        <ns0:f>IFERROR(IF('BBG Verify'!S54="","Awaiting Bloomberg",'BBG Verify'!S54),"Awaiting Bloomberg")</ns0:f>
        <ns0:v/>
      </ns0:c>
      <ns0:c r="BM54" s="91" t="inlineStr">
        <ns0:is>
          <ns0:t>N</ns0:t>
        </ns0:is>
      </ns0:c>
      <ns0:c r="BN54" s="92">
        <ns0:f>IFERROR(IF('BBG Verify'!K54="","Awaiting Bloomberg",'BBG Verify'!K54),"Awaiting Bloomberg")</ns0:f>
        <ns0:v/>
      </ns0:c>
      <ns0:c r="BO54" s="74" t="inlineStr">
        <ns0:is>
          <ns0:t>N/A</ns0:t>
        </ns0:is>
      </ns0:c>
      <ns0:c r="BP54" s="74" t="inlineStr">
        <ns0:is>
          <ns0:t>N/A</ns0:t>
        </ns0:is>
      </ns0:c>
      <ns0:c r="BQ54" s="74" t="inlineStr">
        <ns0:is>
          <ns0:t>N/A</ns0:t>
        </ns0:is>
      </ns0:c>
      <ns0:c r="BR54" s="74" t="inlineStr">
        <ns0:is>
          <ns0:t>N/A</ns0:t>
        </ns0:is>
      </ns0:c>
      <ns0:c r="BS54" s="74" t="inlineStr">
        <ns0:is>
          <ns0:t>N/A</ns0:t>
        </ns0:is>
      </ns0:c>
      <ns0:c r="BT54" s="74" t="inlineStr">
        <ns0:is>
          <ns0:t>N/A</ns0:t>
        </ns0:is>
      </ns0:c>
      <ns0:c r="BU54" s="91" t="inlineStr">
        <ns0:is>
          <ns0:t>UOB Kay Hian (Hong Kong) Limited</ns0:t>
        </ns0:is>
      </ns0:c>
      <ns0:c r="BV54" s="74" t="inlineStr">
        <ns0:is>
          <ns0:t>UOB Kay Hian (Hong Kong) Limited</ns0:t>
        </ns0:is>
      </ns0:c>
      <ns0:c r="BW54" s="74" t="inlineStr">
        <ns0:is>
          <ns0:t>UOB Kay Hian (Hong Kong) Limited; Anuenue Securities Limited; China Everbright Securities (HK) Limited; Haitong International Securities Company Limited; ICBC International Capital Limited; Soochow Securities International Brokerage Limited; VMS Securities Limited</ns0:t>
        </ns0:is>
      </ns0:c>
      <ns0:c r="BX54" s="74" t="inlineStr">
        <ns0:is>
          <ns0: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ns0:t>
        </ns0:is>
      </ns0:c>
      <ns0:c r="BY54" s="93">
        <ns0:f>HYPERLINK("https://www1.hkexnews.hk/listedco/listconews/sehk/2021/0628/2021062800027.pdf","prospectus")</ns0:f>
        <ns0:v/>
      </ns0:c>
      <ns0:c r="BZ54" s="93">
        <ns0:f>HYPERLINK("https://www1.hkexnews.hk/listedco/listconews/sehk/2021/0708/2021070800026.htm","allotment")</ns0:f>
        <ns0:v/>
      </ns0:c>
      <ns0:c r="CA54" s="93">
        <ns0:f>HYPERLINK("https://www1.hkexnews.hk/listedco/listconews/sehk/2021/0801/2021080100011.pdf","stabilisation")</ns0:f>
        <ns0:v/>
      </ns0:c>
      <ns0:c r="CB54" s="94" t="n"/>
      <ns0:c r="CC54" s="74" t="inlineStr">
        <ns0:is>
          <ns0:t>market cap: published listing cap used; the estimate from deal size / offer % of enlarged capital disagreed; deal size: stated gross HK$4.5m rejected, below the net proceeds of HK$91.0m;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55" ht="22" customHeight="1">
      <ns0:c r="A55" s="73" t="inlineStr">
        <ns0:is>
          <ns0:t>2165</ns0:t>
        </ns0:is>
      </ns0:c>
      <ns0:c r="B55" s="74" t="inlineStr">
        <ns0:is>
          <ns0:t>LING YUE SER GP</ns0:t>
        </ns0:is>
      </ns0:c>
      <ns0:c r="C55" s="74" t="inlineStr">
        <ns0:is>
          <ns0:t>領悅服務集團</ns0:t>
        </ns0:is>
      </ns0:c>
      <ns0:c r="D55" s="74" t="inlineStr">
        <ns0:is>
          <ns0:t>Real Estate</ns0:t>
        </ns0:is>
      </ns0:c>
      <ns0:c r="E55" s="74" t="inlineStr">
        <ns0:is>
          <ns0:t>Property management</ns0:t>
        </ns0:is>
      </ns0:c>
      <ns0:c r="F55" s="74" t="inlineStr">
        <ns0:is>
          <ns0:t>Property Service and Management</ns0:t>
        </ns0:is>
      </ns0:c>
      <ns0:c r="G55" s="74" t="inlineStr">
        <ns0:is>
          <ns0:t>Standard</ns0:t>
        </ns0:is>
      </ns0:c>
      <ns0:c r="H55" s="75" t="n">
        <ns0:v>44389</ns0:v>
      </ns0:c>
      <ns0:c r="I55" s="76" t="n">
        <ns0:v>293.3</ns0:v>
      </ns0:c>
      <ns0:c r="J55" s="74" t="inlineStr">
        <ns0:is>
          <ns0:t>gross (price x shares)</ns0:t>
        </ns0:is>
      </ns0:c>
      <ns0:c r="K55" s="77" t="n">
        <ns0:v>3.75</ns0:v>
      </ns0:c>
      <ns0:c r="L55" s="77" t="n">
        <ns0:v>4.55</ns0:v>
      </ns0:c>
      <ns0:c r="M55" s="77" t="n">
        <ns0:v>4.19</ns0:v>
      </ns0:c>
      <ns0:c r="N55" s="74" t="inlineStr">
        <ns0:is>
          <ns0:t>N</ns0:t>
        </ns0:is>
      </ns0:c>
      <ns0:c r="O55" s="78" t="n">
        <ns0:v>92.09999999999999</ns0:v>
      </ns0:c>
      <ns0:c r="P55" s="78" t="n">
        <ns0:v>55</ns0:v>
      </ns0:c>
      <ns0:c r="Q55" s="79" t="n">
        <ns0:v>1058.8</ns0:v>
      </ns0:c>
      <ns0:c r="R55" s="74" t="inlineStr">
        <ns0:is>
          <ns0:t>derived:deal size / offer % of enlarged capital</ns0:t>
        </ns0:is>
      </ns0:c>
      <ns0:c r="S55" s="80" t="n">
        <ns0:v>5.23</ns0:v>
      </ns0:c>
      <ns0:c r="T55" s="81" t="n">
        <ns0:v>1.2</ns0:v>
      </ns0:c>
      <ns0:c r="U55" s="82" t="n">
        <ns0:v>0</ns0:v>
      </ns0:c>
      <ns0:c r="V55" s="83" t="n">
        <ns0:v>111</ns0:v>
      </ns0:c>
      <ns0:c r="W55" s="84" t="n"/>
      <ns0:c r="X55" s="85" t="n"/>
      <ns0:c r="Y55" s="79" t="n">
        <ns0:v>293.3</ns0:v>
      </ns0:c>
      <ns0:c r="Z55" s="79" t="n">
        <ns0:v>70000000</ns0:v>
      </ns0:c>
      <ns0:c r="AA55" s="78" t="n">
        <ns0:v>27.7</ns0:v>
      </ns0:c>
      <ns0:c r="AB55" s="74" t="inlineStr">
        <ns0:is>
          <ns0:t>none — no cornerstone tranche</ns0:t>
        </ns0:is>
      </ns0:c>
      <ns0:c r="AC55" s="74" t="inlineStr">
        <ns0:is>
          <ns0:t>none</ns0:t>
        </ns0:is>
      </ns0:c>
      <ns0:c r="AD55" s="78" t="n">
        <ns0:v>16.5</ns0:v>
      </ns0:c>
      <ns0:c r="AE55" s="74" t="inlineStr">
        <ns0:is>
          <ns0:t>partial</ns0:t>
        </ns0:is>
      </ns0:c>
      <ns0:c r="AF55" s="74" t="inlineStr">
        <ns0:is>
          <ns0:t>2021-08-04</ns0:t>
        </ns0:is>
      </ns0:c>
      <ns0:c r="AG55" s="74" t="inlineStr">
        <ns0:is>
          <ns0:t>CCB International Capital Limited</ns0:t>
        </ns0:is>
      </ns0:c>
      <ns0:c r="AH55" s="74" t="inlineStr">
        <ns0:is>
          <ns0:t>CCB</ns0:t>
        </ns0:is>
      </ns0:c>
      <ns0:c r="AI55" s="86" t="n">
        <ns0:v>37.23</ns0:v>
      </ns0:c>
      <ns0:c r="AJ55" s="87" t="n">
        <ns0:v>0</ns0:v>
      </ns0:c>
      <ns0:c r="AK55" s="87" t="n">
        <ns0:v>1.28</ns0:v>
      </ns0:c>
      <ns0:c r="AL55" s="87" t="n">
        <ns0:v>24.11</ns0:v>
      </ns0:c>
      <ns0:c r="AM55" s="87" t="n">
        <ns0:v>-19.43</ns0:v>
      </ns0:c>
      <ns0:c r="AN55" s="88" t="n"/>
      <ns0:c r="AO55" s="78" t="n">
        <ns0:v>25.19</ns0:v>
      </ns0:c>
      <ns0:c r="AP55" s="87" t="n">
        <ns0:v>0</ns0:v>
      </ns0:c>
      <ns0:c r="AQ55" s="87" t="n">
        <ns0:v>0.24</ns0:v>
      </ns0:c>
      <ns0:c r="AR55" s="87" t="n">
        <ns0:v>0</ns0:v>
      </ns0:c>
      <ns0:c r="AS55" s="87" t="n">
        <ns0:v>0</ns0:v>
      </ns0:c>
      <ns0:c r="AT55" s="87" t="n">
        <ns0:v>0.24</ns0:v>
      </ns0:c>
      <ns0:c r="AU55" s="87" t="n">
        <ns0:v>0</ns0:v>
      </ns0:c>
      <ns0:c r="AV55" s="87" t="n">
        <ns0:v>-1.01</ns0:v>
      </ns0:c>
      <ns0:c r="AW55" s="87" t="n">
        <ns0:v>5.83</ns0:v>
      </ns0:c>
      <ns0:c r="AX55" s="87" t="n">
        <ns0:v>9.390000000000001</ns0:v>
      </ns0:c>
      <ns0:c r="AY55" s="87" t="n">
        <ns0:v>7.02</ns0:v>
      </ns0:c>
      <ns0:c r="AZ55" s="87" t="n">
        <ns0:v>-5.59</ns0:v>
      </ns0:c>
      <ns0:c r="BA55" s="87" t="n">
        <ns0:v>-6.78</ns0:v>
      </ns0:c>
      <ns0:c r="BB55" s="74" t="inlineStr">
        <ns0:is>
          <ns0:t>Hang Seng Properties sub-index</ns0:t>
        </ns0:is>
      </ns0:c>
      <ns0:c r="BC55" s="87" t="n">
        <ns0:v>-60.74</ns0:v>
      </ns0:c>
      <ns0:c r="BD55" s="75" t="n">
        <ns0:v>46297</ns0:v>
      </ns0:c>
      <ns0:c r="BE55" s="76" t="n">
        <ns0:v>471</ns0:v>
      </ns0:c>
      <ns0:c r="BF55" s="79" t="n">
        <ns0:v>77.3</ns0:v>
      </ns0:c>
      <ns0:c r="BG55" s="74" t="inlineStr">
        <ns0:is>
          <ns0:t>Y</ns0:t>
        </ns0:is>
      </ns0:c>
      <ns0:c r="BH55" s="89" t="n">
        <ns0:v>13.7</ns0:v>
      </ns0:c>
      <ns0:c r="BI55" s="88" t="n"/>
      <ns0:c r="BJ55" s="89" t="n">
        <ns0:v>5.1</ns0:v>
      </ns0:c>
      <ns0:c r="BK55" s="89" t="n">
        <ns0:v>2.2</ns0:v>
      </ns0:c>
      <ns0:c r="BL55" s="90">
        <ns0:f>IFERROR(IF('BBG Verify'!S55="","Awaiting Bloomberg",'BBG Verify'!S55),"Awaiting Bloomberg")</ns0:f>
        <ns0:v/>
      </ns0:c>
      <ns0:c r="BM55" s="91" t="inlineStr">
        <ns0:is>
          <ns0:t>N</ns0:t>
        </ns0:is>
      </ns0:c>
      <ns0:c r="BN55" s="92">
        <ns0:f>IFERROR(IF('BBG Verify'!K55="","Awaiting Bloomberg",'BBG Verify'!K55),"Awaiting Bloomberg")</ns0:f>
        <ns0:v/>
      </ns0:c>
      <ns0:c r="BO55" s="74" t="inlineStr">
        <ns0:is>
          <ns0:t>N/A</ns0:t>
        </ns0:is>
      </ns0:c>
      <ns0:c r="BP55" s="74" t="inlineStr">
        <ns0:is>
          <ns0:t>N/A</ns0:t>
        </ns0:is>
      </ns0:c>
      <ns0:c r="BQ55" s="74" t="inlineStr">
        <ns0:is>
          <ns0:t>N/A</ns0:t>
        </ns0:is>
      </ns0:c>
      <ns0:c r="BR55" s="74" t="inlineStr">
        <ns0:is>
          <ns0:t>N/A</ns0:t>
        </ns0:is>
      </ns0:c>
      <ns0:c r="BS55" s="74" t="inlineStr">
        <ns0:is>
          <ns0:t>N/A</ns0:t>
        </ns0:is>
      </ns0:c>
      <ns0:c r="BT55" s="74" t="inlineStr">
        <ns0:is>
          <ns0:t>N/A</ns0:t>
        </ns0:is>
      </ns0:c>
      <ns0:c r="BU55" s="91" t="inlineStr">
        <ns0:is>
          <ns0:t>CCB International Capital Limited</ns0:t>
        </ns0:is>
      </ns0:c>
      <ns0:c r="BV55" s="74" t="inlineStr">
        <ns0:is>
          <ns0:t>CCB International Capital Limited</ns0:t>
        </ns0:is>
      </ns0:c>
      <ns0:c r="BW55" s="74" t="inlineStr">
        <ns0:is>
          <ns0:t>CCB International Capital Limited; CMB International Capital Limited; Huatai Financial Holdings (Hong Kong) Limited; Seazen Resources Securities Limited; Shenwan Hongyuan Securities (H.K.) Limited; CMBC Securities Company Limited</ns0:t>
        </ns0:is>
      </ns0:c>
      <ns0:c r="BX55" s="74" t="inlineStr">
        <ns0:is>
          <ns0: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ns0:t>
        </ns0:is>
      </ns0:c>
      <ns0:c r="BY55" s="93">
        <ns0:f>HYPERLINK("https://www1.hkexnews.hk/listedco/listconews/sehk/2021/0629/2021062900045.pdf","prospectus")</ns0:f>
        <ns0:v/>
      </ns0:c>
      <ns0:c r="BZ55" s="93">
        <ns0:f>HYPERLINK("https://www1.hkexnews.hk/listedco/listconews/sehk/2021/0709/2021070900020.htm","allotment")</ns0:f>
        <ns0:v/>
      </ns0:c>
      <ns0:c r="CA55" s="93">
        <ns0:f>HYPERLINK("https://www1.hkexnews.hk/listedco/listconews/sehk/2021/0805/2021080500013.pdf","stabilisation")</ns0:f>
        <ns0:v/>
      </ns0:c>
      <ns0:c r="CB55" s="94" t="n"/>
      <ns0:c r="CC55" s="74" t="inlineStr">
        <ns0:is>
          <ns0:t>cornerstone list: no cornerstone tranche; allocation: allocation table not in this notice's format (older prose announcement); day-1 tape: volume on file; the retail multiple needs the final public split, which this notice does not state</ns0:t>
        </ns0:is>
      </ns0:c>
    </ns0:row>
    <ns0:row r="56" ht="22" customHeight="1">
      <ns0:c r="A56" s="73" t="inlineStr">
        <ns0:is>
          <ns0:t>2177</ns0:t>
        </ns0:is>
      </ns0:c>
      <ns0:c r="B56" s="74" t="inlineStr">
        <ns0:is>
          <ns0:t>UNQ HOLDINGS</ns0:t>
        </ns0:is>
      </ns0:c>
      <ns0:c r="C56" s="74" t="inlineStr">
        <ns0:is>
          <ns0:t>優趣匯控股</ns0:t>
        </ns0:is>
      </ns0:c>
      <ns0:c r="D56" s="74" t="inlineStr">
        <ns0:is>
          <ns0:t>Technology</ns0:t>
        </ns0:is>
      </ns0:c>
      <ns0:c r="E56" s="74" t="inlineStr">
        <ns0:is>
          <ns0:t>Internet &amp; fintech</ns0:t>
        </ns0:is>
      </ns0:c>
      <ns0:c r="F56" s="74" t="inlineStr">
        <ns0:is>
          <ns0:t>e-Commerce &amp; Internet Services</ns0:t>
        </ns0:is>
      </ns0:c>
      <ns0:c r="G56" s="74" t="inlineStr">
        <ns0:is>
          <ns0:t>Standard</ns0:t>
        </ns0:is>
      </ns0:c>
      <ns0:c r="H56" s="75" t="n">
        <ns0:v>44389</ns0:v>
      </ns0:c>
      <ns0:c r="I56" s="76" t="n">
        <ns0:v>327.99</ns0:v>
      </ns0:c>
      <ns0:c r="J56" s="74" t="inlineStr">
        <ns0:is>
          <ns0:t>net proceeds</ns0:t>
        </ns0:is>
      </ns0:c>
      <ns0:c r="K56" s="77" t="n">
        <ns0:v>11.86</ns0:v>
      </ns0:c>
      <ns0:c r="L56" s="77" t="n">
        <ns0:v>15.35</ns0:v>
      </ns0:c>
      <ns0:c r="M56" s="77" t="n">
        <ns0:v>11.86</ns0:v>
      </ns0:c>
      <ns0:c r="N56" s="74" t="inlineStr">
        <ns0:is>
          <ns0:t>N</ns0:t>
        </ns0:is>
      </ns0:c>
      <ns0:c r="O56" s="78" t="n">
        <ns0:v>77.3</ns0:v>
      </ns0:c>
      <ns0:c r="P56" s="78" t="n">
        <ns0:v>0</ns0:v>
      </ns0:c>
      <ns0:c r="Q56" s="79" t="n">
        <ns0:v>2414.9</ns0:v>
      </ns0:c>
      <ns0:c r="R56" s="74" t="inlineStr">
        <ns0:is>
          <ns0:t>aastocks:上市市值 at the struck price</ns0:t>
        </ns0:is>
      </ns0:c>
      <ns0:c r="S56" s="80" t="n">
        <ns0:v>25.45</ns0:v>
      </ns0:c>
      <ns0:c r="T56" s="81" t="n">
        <ns0:v>1.83</ns0:v>
      </ns0:c>
      <ns0:c r="U56" s="82" t="n">
        <ns0:v>31.3</ns0:v>
      </ns0:c>
      <ns0:c r="V56" s="83" t="n">
        <ns0:v>150</ns0:v>
      </ns0:c>
      <ns0:c r="W56" s="78" t="n">
        <ns0:v>30</ns0:v>
      </ns0:c>
      <ns0:c r="X56" s="74" t="inlineStr">
        <ns0:is>
          <ns0:t>YES</ns0:t>
        </ns0:is>
      </ns0:c>
      <ns0:c r="Y56" s="79" t="n">
        <ns0:v>225.33</ns0:v>
      </ns0:c>
      <ns0:c r="Z56" s="97" t="n"/>
      <ns0:c r="AA56" s="78" t="n">
        <ns0:v>9.33</ns0:v>
      </ns0:c>
      <ns0:c r="AB56" s="74" t="inlineStr">
        <ns0:is>
          <ns0:t>Country Garden Property Services HK Holdings Company Limited; Kobayashi Pharmaceutical Co., Ltd; Unicharm Corporation</ns0:t>
        </ns0:is>
      </ns0:c>
      <ns0:c r="AC56" s="74" t="inlineStr">
        <ns0:is>
          <ns0:t>country;kobayashi;unicharm</ns0:t>
        </ns0:is>
      </ns0:c>
      <ns0:c r="AD56" s="78" t="n">
        <ns0:v>17.7</ns0:v>
      </ns0:c>
      <ns0:c r="AE56" s="74" t="inlineStr">
        <ns0:is>
          <ns0:t>lapsed</ns0:t>
        </ns0:is>
      </ns0:c>
      <ns0:c r="AF56" s="74" t="inlineStr">
        <ns0:is>
          <ns0:t>2021-08-04</ns0:t>
        </ns0:is>
      </ns0:c>
      <ns0:c r="AG56" s="74" t="inlineStr">
        <ns0:is>
          <ns0:t>China International Capital Corporation Hong Kong Securities Limited</ns0:t>
        </ns0:is>
      </ns0:c>
      <ns0:c r="AH56" s="74" t="inlineStr">
        <ns0:is>
          <ns0:t>China International</ns0:t>
        </ns0:is>
      </ns0:c>
      <ns0:c r="AI56" s="86" t="n">
        <ns0:v>4.89</ns0:v>
      </ns0:c>
      <ns0:c r="AJ56" s="87" t="n">
        <ns0:v>-23.78</ns0:v>
      </ns0:c>
      <ns0:c r="AK56" s="87" t="n">
        <ns0:v>1.22</ns0:v>
      </ns0:c>
      <ns0:c r="AL56" s="87" t="n">
        <ns0:v>3.04</ns0:v>
      </ns0:c>
      <ns0:c r="AM56" s="87" t="n">
        <ns0:v>-26.03</ns0:v>
      </ns0:c>
      <ns0:c r="AN56" s="89" t="n">
        <ns0:v>2.02</ns0:v>
      </ns0:c>
      <ns0:c r="AO56" s="78" t="n">
        <ns0:v>29.05</ns0:v>
      </ns0:c>
      <ns0:c r="AP56" s="87" t="n">
        <ns0:v>-29.09</ns0:v>
      </ns0:c>
      <ns0:c r="AQ56" s="87" t="n">
        <ns0:v>-50.42</ns0:v>
      </ns0:c>
      <ns0:c r="AR56" s="87" t="n">
        <ns0:v>-57</ns0:v>
      </ns0:c>
      <ns0:c r="AS56" s="87" t="n">
        <ns0:v>-6.97</ns0:v>
      </ns0:c>
      <ns0:c r="AT56" s="87" t="n">
        <ns0:v>-34.95</ns0:v>
      </ns0:c>
      <ns0:c r="AU56" s="87" t="n">
        <ns0:v>-43.58</ns0:v>
      </ns0:c>
      <ns0:c r="AV56" s="87" t="n">
        <ns0:v>-29.02</ns0:v>
      </ns0:c>
      <ns0:c r="AW56" s="87" t="n">
        <ns0:v>-42.4</ns0:v>
      </ns0:c>
      <ns0:c r="AX56" s="87" t="n">
        <ns0:v>-43.14</ns0:v>
      </ns0:c>
      <ns0:c r="AY56" s="87" t="n">
        <ns0:v>-25.82</ns0:v>
      </ns0:c>
      <ns0:c r="AZ56" s="87" t="n">
        <ns0:v>-8.02</ns0:v>
      </ns0:c>
      <ns0:c r="BA56" s="87" t="n">
        <ns0:v>-9.130000000000001</ns0:v>
      </ns0:c>
      <ns0:c r="BB56" s="74" t="inlineStr">
        <ns0:is>
          <ns0:t>HSTECH (Hang Seng TECH ETF)</ns0:t>
        </ns0:is>
      </ns0:c>
      <ns0:c r="BC56" s="87" t="n">
        <ns0:v>-80.19</ns0:v>
      </ns0:c>
      <ns0:c r="BD56" s="75" t="n">
        <ns0:v>46297</ns0:v>
      </ns0:c>
      <ns0:c r="BE56" s="76" t="n">
        <ns0:v>3080.9</ns0:v>
      </ns0:c>
      <ns0:c r="BF56" s="79" t="n">
        <ns0:v>47.3</ns0:v>
      </ns0:c>
      <ns0:c r="BG56" s="74" t="inlineStr">
        <ns0:is>
          <ns0:t>Y</ns0:t>
        </ns0:is>
      </ns0:c>
      <ns0:c r="BH56" s="89" t="n">
        <ns0:v>51.1</ns0:v>
      </ns0:c>
      <ns0:c r="BI56" s="88" t="n"/>
      <ns0:c r="BJ56" s="89" t="n">
        <ns0:v>12.5</ns0:v>
      </ns0:c>
      <ns0:c r="BK56" s="89" t="n">
        <ns0:v>0.8</ns0:v>
      </ns0:c>
      <ns0:c r="BL56" s="90">
        <ns0:f>IFERROR(IF('BBG Verify'!S56="","Awaiting Bloomberg",'BBG Verify'!S56),"Awaiting Bloomberg")</ns0:f>
        <ns0:v/>
      </ns0:c>
      <ns0:c r="BM56" s="91" t="inlineStr">
        <ns0:is>
          <ns0:t>N</ns0:t>
        </ns0:is>
      </ns0:c>
      <ns0:c r="BN56" s="92">
        <ns0:f>IFERROR(IF('BBG Verify'!K56="","Awaiting Bloomberg",'BBG Verify'!K56),"Awaiting Bloomberg")</ns0:f>
        <ns0:v/>
      </ns0:c>
      <ns0:c r="BO56" s="74" t="inlineStr">
        <ns0:is>
          <ns0:t>N/A</ns0:t>
        </ns0:is>
      </ns0:c>
      <ns0:c r="BP56" s="74" t="inlineStr">
        <ns0:is>
          <ns0:t>N/A</ns0:t>
        </ns0:is>
      </ns0:c>
      <ns0:c r="BQ56" s="74" t="inlineStr">
        <ns0:is>
          <ns0:t>N/A</ns0:t>
        </ns0:is>
      </ns0:c>
      <ns0:c r="BR56" s="74" t="inlineStr">
        <ns0:is>
          <ns0:t>N/A</ns0:t>
        </ns0:is>
      </ns0:c>
      <ns0:c r="BS56" s="74" t="inlineStr">
        <ns0:is>
          <ns0:t>N/A</ns0:t>
        </ns0:is>
      </ns0:c>
      <ns0:c r="BT56" s="74" t="inlineStr">
        <ns0:is>
          <ns0:t>N/A</ns0:t>
        </ns0:is>
      </ns0:c>
      <ns0:c r="BU56" s="91" t="inlineStr">
        <ns0:is>
          <ns0:t>China International Capital Corporation Hong Kong Securities Limited</ns0:t>
        </ns0:is>
      </ns0:c>
      <ns0:c r="BV56" s="74" t="inlineStr">
        <ns0:is>
          <ns0:t>China International Capital Corporation Hong Kong Securities Limited</ns0:t>
        </ns0:is>
      </ns0:c>
      <ns0:c r="BW56" s="74" t="inlineStr">
        <ns0:is>
          <ns0: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Zhongtai International Securities Limited</ns0:t>
        </ns0:is>
      </ns0:c>
      <ns0:c r="BX56" s="74" t="inlineStr">
        <ns0:is>
          <ns0: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ns0:t>
        </ns0:is>
      </ns0:c>
      <ns0:c r="BY56" s="93">
        <ns0:f>HYPERLINK("https://www1.hkexnews.hk/listedco/listconews/sehk/2021/0628/2021062800009.pdf","prospectus")</ns0:f>
        <ns0:v/>
      </ns0:c>
      <ns0:c r="BZ56" s="93">
        <ns0:f>HYPERLINK("https://www1.hkexnews.hk/listedco/listconews/sehk/2021/0709/2021070900048.htm","allotment")</ns0:f>
        <ns0:v/>
      </ns0:c>
      <ns0:c r="CA56" s="93">
        <ns0:f>HYPERLINK("https://www1.hkexnews.hk/listedco/listconews/sehk/2021/0804/2021080401759.pdf","stabilisation")</ns0:f>
        <ns0:v/>
      </ns0:c>
      <ns0:c r="CB56" s="94" t="n"/>
      <ns0:c r="CC56" s="74" t="inlineStr">
        <ns0:is>
          <ns0:t>market cap: published listing cap used; the estimate from stated market capitalisation, rescaled to the offer price disagreed; eff float shares: share count unavailable; the HK$m figure is exact</ns0:t>
        </ns0:is>
      </ns0:c>
    </ns0:row>
    <ns0:row r="57" ht="22" customHeight="1">
      <ns0:c r="A57" s="73" t="inlineStr">
        <ns0:is>
          <ns0:t>6913</ns0:t>
        </ns0:is>
      </ns0:c>
      <ns0:c r="B57" s="74" t="inlineStr">
        <ns0:is>
          <ns0:t>SCVE GROUP</ns0:t>
        </ns0:is>
      </ns0:c>
      <ns0:c r="C57" s="74" t="inlineStr">
        <ns0:is>
          <ns0:t>華南職業教育</ns0:t>
        </ns0:is>
      </ns0:c>
      <ns0:c r="D57" s="74" t="inlineStr">
        <ns0:is>
          <ns0:t>Consumer</ns0:t>
        </ns0:is>
      </ns0:c>
      <ns0:c r="E57" s="74" t="inlineStr">
        <ns0:is>
          <ns0:t>Consumer services / education</ns0:t>
        </ns0:is>
      </ns0:c>
      <ns0:c r="F57" s="74" t="inlineStr">
        <ns0:is>
          <ns0:t>Education Services</ns0:t>
        </ns0:is>
      </ns0:c>
      <ns0:c r="G57" s="74" t="inlineStr">
        <ns0:is>
          <ns0:t>Standard</ns0:t>
        </ns0:is>
      </ns0:c>
      <ns0:c r="H57" s="75" t="n">
        <ns0:v>44390</ns0:v>
      </ns0:c>
      <ns0:c r="I57" s="76" t="n">
        <ns0:v>531.1</ns0:v>
      </ns0:c>
      <ns0:c r="J57" s="74" t="inlineStr">
        <ns0:is>
          <ns0:t>gross (price x shares)</ns0:t>
        </ns0:is>
      </ns0:c>
      <ns0:c r="K57" s="77" t="n">
        <ns0:v>1.59</ns0:v>
      </ns0:c>
      <ns0:c r="L57" s="77" t="n">
        <ns0:v>2.01</ns0:v>
      </ns0:c>
      <ns0:c r="M57" s="77" t="n">
        <ns0:v>1.59</ns0:v>
      </ns0:c>
      <ns0:c r="N57" s="74" t="inlineStr">
        <ns0:is>
          <ns0:t>N</ns0:t>
        </ns0:is>
      </ns0:c>
      <ns0:c r="O57" s="78" t="n">
        <ns0:v>79.09999999999999</ns0:v>
      </ns0:c>
      <ns0:c r="P57" s="78" t="n">
        <ns0:v>0</ns0:v>
      </ns0:c>
      <ns0:c r="Q57" s="79" t="n">
        <ns0:v>2564.2</ns0:v>
      </ns0:c>
      <ns0:c r="R57" s="74" t="inlineStr">
        <ns0:is>
          <ns0:t>aastocks:上市市值 at the struck price</ns0:t>
        </ns0:is>
      </ns0:c>
      <ns0:c r="S57" s="80" t="n">
        <ns0:v>6.01</ns0:v>
      </ns0:c>
      <ns0:c r="T57" s="81" t="n">
        <ns0:v>1.99</ns0:v>
      </ns0:c>
      <ns0:c r="U57" s="82" t="n">
        <ns0:v>0</ns0:v>
      </ns0:c>
      <ns0:c r="V57" s="83" t="n">
        <ns0:v>101</ns0:v>
      </ns0:c>
      <ns0:c r="W57" s="84" t="n"/>
      <ns0:c r="X57" s="85" t="n"/>
      <ns0:c r="Y57" s="79" t="n">
        <ns0:v>531.1</ns0:v>
      </ns0:c>
      <ns0:c r="Z57" s="79" t="n">
        <ns0:v>334000000</ns0:v>
      </ns0:c>
      <ns0:c r="AA57" s="78" t="n">
        <ns0:v>20.71</ns0:v>
      </ns0:c>
      <ns0:c r="AB57" s="74" t="inlineStr">
        <ns0:is>
          <ns0:t>none — no cornerstone tranche</ns0:t>
        </ns0:is>
      </ns0:c>
      <ns0:c r="AC57" s="74" t="inlineStr">
        <ns0:is>
          <ns0:t>none</ns0:t>
        </ns0:is>
      </ns0:c>
      <ns0:c r="AD57" s="78" t="n">
        <ns0:v>12.3</ns0:v>
      </ns0:c>
      <ns0:c r="AE57" s="74" t="inlineStr">
        <ns0:is>
          <ns0:t>lapsed</ns0:t>
        </ns0:is>
      </ns0:c>
      <ns0:c r="AF57" s="85" t="n"/>
      <ns0:c r="AG57" s="74" t="inlineStr">
        <ns0:is>
          <ns0:t>BNP Paribas Securities</ns0:t>
        </ns0:is>
      </ns0:c>
      <ns0:c r="AH57" s="74" t="inlineStr">
        <ns0:is>
          <ns0:t>BNP Paribas</ns0:t>
        </ns0:is>
      </ns0:c>
      <ns0:c r="AI57" s="86" t="n">
        <ns0:v>-6.29</ns0:v>
      </ns0:c>
      <ns0:c r="AJ57" s="87" t="n">
        <ns0:v>-16.98</ns0:v>
      </ns0:c>
      <ns0:c r="AK57" s="87" t="n">
        <ns0:v>1.89</ns0:v>
      </ns0:c>
      <ns0:c r="AL57" s="87" t="n">
        <ns0:v>-8.81</ns0:v>
      </ns0:c>
      <ns0:c r="AM57" s="87" t="n">
        <ns0:v>-8.960000000000001</ns0:v>
      </ns0:c>
      <ns0:c r="AN57" s="88" t="n"/>
      <ns0:c r="AO57" s="78" t="n">
        <ns0:v>17.24</ns0:v>
      </ns0:c>
      <ns0:c r="AP57" s="87" t="n">
        <ns0:v>-33.33</ns0:v>
      </ns0:c>
      <ns0:c r="AQ57" s="87" t="n">
        <ns0:v>-11.95</ns0:v>
      </ns0:c>
      <ns0:c r="AR57" s="87" t="n">
        <ns0:v>-24.53</ns0:v>
      </ns0:c>
      <ns0:c r="AS57" s="87" t="n">
        <ns0:v>-19.69</ns0:v>
      </ns0:c>
      <ns0:c r="AT57" s="87" t="n">
        <ns0:v>6.06</ns0:v>
      </ns0:c>
      <ns0:c r="AU57" s="87" t="n">
        <ns0:v>-9.09</ns0:v>
      </ns0:c>
      <ns0:c r="AV57" s="87" t="n">
        <ns0:v>-32.43</ns0:v>
      </ns0:c>
      <ns0:c r="AW57" s="87" t="n">
        <ns0:v>-6.8</ns0:v>
      </ns0:c>
      <ns0:c r="AX57" s="87" t="n">
        <ns0:v>-12.42</ns0:v>
      </ns0:c>
      <ns0:c r="AY57" s="87" t="n">
        <ns0:v>12.97</ns0:v>
      </ns0:c>
      <ns0:c r="AZ57" s="87" t="n">
        <ns0:v>-5.15</ns0:v>
      </ns0:c>
      <ns0:c r="BA57" s="87" t="n">
        <ns0:v>-6.91</ns0:v>
      </ns0:c>
      <ns0:c r="BB57" s="74" t="inlineStr">
        <ns0:is>
          <ns0:t>Hang Seng Commerce &amp; Industry sub-index</ns0:t>
        </ns0:is>
      </ns0:c>
      <ns0:c r="BC57" s="87" t="n">
        <ns0:v>-94.34</ns0:v>
      </ns0:c>
      <ns0:c r="BD57" s="75" t="n">
        <ns0:v>46297</ns0:v>
      </ns0:c>
      <ns0:c r="BE57" s="76" t="n">
        <ns0:v>495</ns0:v>
      </ns0:c>
      <ns0:c r="BF57" s="79" t="n">
        <ns0:v>187</ns0:v>
      </ns0:c>
      <ns0:c r="BG57" s="74" t="inlineStr">
        <ns0:is>
          <ns0:t>Y</ns0:t>
        </ns0:is>
      </ns0:c>
      <ns0:c r="BH57" s="89" t="n">
        <ns0:v>13.7</ns0:v>
      </ns0:c>
      <ns0:c r="BI57" s="88" t="n"/>
      <ns0:c r="BJ57" s="88" t="n"/>
      <ns0:c r="BK57" s="89" t="n">
        <ns0:v>5.2</ns0:v>
      </ns0:c>
      <ns0:c r="BL57" s="90">
        <ns0:f>IFERROR(IF('BBG Verify'!S57="","Awaiting Bloomberg",'BBG Verify'!S57),"Awaiting Bloomberg")</ns0:f>
        <ns0:v/>
      </ns0:c>
      <ns0:c r="BM57" s="91" t="inlineStr">
        <ns0:is>
          <ns0:t>N</ns0:t>
        </ns0:is>
      </ns0:c>
      <ns0:c r="BN57" s="92">
        <ns0:f>IFERROR(IF('BBG Verify'!K57="","Awaiting Bloomberg",'BBG Verify'!K57),"Awaiting Bloomberg")</ns0:f>
        <ns0:v/>
      </ns0:c>
      <ns0:c r="BO57" s="74" t="inlineStr">
        <ns0:is>
          <ns0:t>N/A</ns0:t>
        </ns0:is>
      </ns0:c>
      <ns0:c r="BP57" s="74" t="inlineStr">
        <ns0:is>
          <ns0:t>N/A</ns0:t>
        </ns0:is>
      </ns0:c>
      <ns0:c r="BQ57" s="74" t="inlineStr">
        <ns0:is>
          <ns0:t>N/A</ns0:t>
        </ns0:is>
      </ns0:c>
      <ns0:c r="BR57" s="74" t="inlineStr">
        <ns0:is>
          <ns0:t>N/A</ns0:t>
        </ns0:is>
      </ns0:c>
      <ns0:c r="BS57" s="74" t="inlineStr">
        <ns0:is>
          <ns0:t>N/A</ns0:t>
        </ns0:is>
      </ns0:c>
      <ns0:c r="BT57" s="74" t="inlineStr">
        <ns0:is>
          <ns0:t>N/A</ns0:t>
        </ns0:is>
      </ns0:c>
      <ns0:c r="BU57" s="91" t="inlineStr">
        <ns0:is>
          <ns0:t>BNP Paribas Securities (Asia) Limited</ns0:t>
        </ns0:is>
      </ns0:c>
      <ns0:c r="BV57" s="74" t="inlineStr">
        <ns0:is>
          <ns0:t>BNP Paribas Securities (Asia) Limited</ns0:t>
        </ns0:is>
      </ns0:c>
      <ns0:c r="BW57" s="74" t="inlineStr">
        <ns0:is>
          <ns0:t>BNP Paribas Securities (Asia) Limited; Haitong International Securities Company Limited; CCB International Capital Limited; CMB International Capital Limited; Futu Securities International (Hong Kong) Limited; China Galaxy International Securities (Hong Kong) Co., Limited</ns0:t>
        </ns0:is>
      </ns0:c>
      <ns0:c r="BX57" s="74" t="inlineStr">
        <ns0:is>
          <ns0: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ns0:t>
        </ns0:is>
      </ns0:c>
      <ns0:c r="BY57" s="93">
        <ns0:f>HYPERLINK("https://www1.hkexnews.hk/listedco/listconews/sehk/2021/0630/2021063000199.pdf","prospectus")</ns0:f>
        <ns0:v/>
      </ns0:c>
      <ns0:c r="BZ57" s="93">
        <ns0:f>HYPERLINK("https://www1.hkexnews.hk/listedco/listconews/sehk/2021/0712/2021071200022.htm","allotment")</ns0:f>
        <ns0:v/>
      </ns0:c>
      <ns0:c r="CA57" s="93">
        <ns0:f>HYPERLINK("https://www1.hkexnews.hk/listedco/listconews/sehk/2021/0805/2021080500675.pdf","stabilisation")</ns0:f>
        <ns0:v/>
      </ns0:c>
      <ns0:c r="CB57" s="94" t="n"/>
      <ns0:c r="CC57" s="74" t="inlineStr">
        <ns0:is>
          <ns0:t>greenshoe: outcome published; expiry date not in the notice; 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ns0:t>
        </ns0:is>
      </ns0:c>
    </ns0:row>
    <ns0:row r="58" ht="22" customHeight="1">
      <ns0:c r="A58" s="73" t="inlineStr">
        <ns0:is>
          <ns0:t>2137</ns0:t>
        </ns0:is>
      </ns0:c>
      <ns0:c r="B58" s="74" t="inlineStr">
        <ns0:is>
          <ns0:t>BRII - B</ns0:t>
        </ns0:is>
      </ns0:c>
      <ns0:c r="C58" s="74" t="inlineStr">
        <ns0:is>
          <ns0:t>騰盛博藥－Ｂ</ns0:t>
        </ns0:is>
      </ns0:c>
      <ns0:c r="D58" s="74" t="inlineStr">
        <ns0:is>
          <ns0:t>Healthcare</ns0:t>
        </ns0:is>
      </ns0:c>
      <ns0:c r="E58" s="74" t="inlineStr">
        <ns0:is>
          <ns0:t>Biotech pre-revenue (18A)</ns0:t>
        </ns0:is>
      </ns0:c>
      <ns0:c r="F58" s="74" t="inlineStr">
        <ns0:is>
          <ns0:t>Biotechnology</ns0:t>
        </ns0:is>
      </ns0:c>
      <ns0:c r="G58" s="74" t="inlineStr">
        <ns0:is>
          <ns0:t>Standard</ns0:t>
        </ns0:is>
      </ns0:c>
      <ns0:c r="H58" s="75" t="n">
        <ns0:v>44390</ns0:v>
      </ns0:c>
      <ns0:c r="I58" s="76" t="n">
        <ns0:v>2482.7</ns0:v>
      </ns0:c>
      <ns0:c r="J58" s="74" t="inlineStr">
        <ns0:is>
          <ns0:t>gross (price x shares)</ns0:t>
        </ns0:is>
      </ns0:c>
      <ns0:c r="K58" s="77" t="n">
        <ns0:v>21</ns0:v>
      </ns0:c>
      <ns0:c r="L58" s="77" t="n">
        <ns0:v>22.25</ns0:v>
      </ns0:c>
      <ns0:c r="M58" s="77" t="n">
        <ns0:v>22.25</ns0:v>
      </ns0:c>
      <ns0:c r="N58" s="74" t="inlineStr">
        <ns0:is>
          <ns0:t>Y</ns0:t>
        </ns0:is>
      </ns0:c>
      <ns0:c r="O58" s="78" t="n">
        <ns0:v>100</ns0:v>
      </ns0:c>
      <ns0:c r="P58" s="78" t="n">
        <ns0:v>100</ns0:v>
      </ns0:c>
      <ns0:c r="Q58" s="79" t="n">
        <ns0:v>13987</ns0:v>
      </ns0:c>
      <ns0:c r="R58" s="74" t="inlineStr">
        <ns0:is>
          <ns0:t>derived:deal size / offer % of enlarged capital</ns0:t>
        </ns0:is>
      </ns0:c>
      <ns0:c r="S58" s="80" t="n">
        <ns0:v>292</ns0:v>
      </ns0:c>
      <ns0:c r="T58" s="81" t="n">
        <ns0:v>12</ns0:v>
      </ns0:c>
      <ns0:c r="U58" s="82" t="n">
        <ns0:v>47.52</ns0:v>
      </ns0:c>
      <ns0:c r="V58" s="83" t="n">
        <ns0:v>160</ns0:v>
      </ns0:c>
      <ns0:c r="W58" s="78" t="n">
        <ns0:v>50</ns0:v>
      </ns0:c>
      <ns0:c r="X58" s="74" t="inlineStr">
        <ns0:is>
          <ns0:t>YES</ns0:t>
        </ns0:is>
      </ns0:c>
      <ns0:c r="Y58" s="79" t="n">
        <ns0:v>1302.92</ns0:v>
      </ns0:c>
      <ns0:c r="Z58" s="79" t="n">
        <ns0:v>58557184</ns0:v>
      </ns0:c>
      <ns0:c r="AA58" s="78" t="n">
        <ns0:v>9.32</ns0:v>
      </ns0:c>
      <ns0:c r="AB58" s="74" t="inlineStr">
        <ns0:is>
          <ns0: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ns0:t>
        </ns0:is>
      </ns0:c>
      <ns0:c r="AC58" s="74" t="inlineStr">
        <ns0:is>
          <ns0:t>aihc;athos;boyu;invesco;rbc;sage;scc;springhill;valliance;ubs;youyu</ns0:t>
        </ns0:is>
      </ns0:c>
      <ns0:c r="AD58" s="78" t="n">
        <ns0:v>6.1</ns0:v>
      </ns0:c>
      <ns0:c r="AE58" s="74" t="inlineStr">
        <ns0:is>
          <ns0:t>partial</ns0:t>
        </ns0:is>
      </ns0:c>
      <ns0:c r="AF58" s="74" t="inlineStr">
        <ns0:is>
          <ns0:t>2021-08-05</ns0:t>
        </ns0:is>
      </ns0:c>
      <ns0:c r="AG58" s="74" t="inlineStr">
        <ns0:is>
          <ns0:t>Morgan Stanley Asia Limited</ns0:t>
        </ns0:is>
      </ns0:c>
      <ns0:c r="AH58" s="74" t="inlineStr">
        <ns0:is>
          <ns0:t>Morgan Stanley</ns0:t>
        </ns0:is>
      </ns0:c>
      <ns0:c r="AI58" s="86" t="n">
        <ns0:v>-6.07</ns0:v>
      </ns0:c>
      <ns0:c r="AJ58" s="87" t="n">
        <ns0:v>3.15</ns0:v>
      </ns0:c>
      <ns0:c r="AK58" s="87" t="n">
        <ns0:v>-0.48</ns0:v>
      </ns0:c>
      <ns0:c r="AL58" s="87" t="n">
        <ns0:v>-3.82</ns0:v>
      </ns0:c>
      <ns0:c r="AM58" s="87" t="n">
        <ns0:v>7.25</ns0:v>
      </ns0:c>
      <ns0:c r="AN58" s="89" t="n">
        <ns0:v>1.21</ns0:v>
      </ns0:c>
      <ns0:c r="AO58" s="78" t="n">
        <ns0:v>16.12</ns0:v>
      </ns0:c>
      <ns0:c r="AP58" s="87" t="n">
        <ns0:v>-6.52</ns0:v>
      </ns0:c>
      <ns0:c r="AQ58" s="87" t="n">
        <ns0:v>79.78</ns0:v>
      </ns0:c>
      <ns0:c r="AR58" s="87" t="n">
        <ns0:v>22.02</ns0:v>
      </ns0:c>
      <ns0:c r="AS58" s="87" t="n">
        <ns0:v>-9.369999999999999</ns0:v>
      </ns0:c>
      <ns0:c r="AT58" s="87" t="n">
        <ns0:v>74.29000000000001</ns0:v>
      </ns0:c>
      <ns0:c r="AU58" s="87" t="n">
        <ns0:v>18.29</ns0:v>
      </ns0:c>
      <ns0:c r="AV58" s="87" t="n">
        <ns0:v>-6.88</ns0:v>
      </ns0:c>
      <ns0:c r="AW58" s="87" t="n">
        <ns0:v>87.09999999999999</ns0:v>
      </ns0:c>
      <ns0:c r="AX58" s="87" t="n">
        <ns0:v>39.45</ns0:v>
      </ns0:c>
      <ns0:c r="AY58" s="87" t="n">
        <ns0:v>81.17</ns0:v>
      </ns0:c>
      <ns0:c r="AZ58" s="87" t="n">
        <ns0:v>-7.32</ns0:v>
      </ns0:c>
      <ns0:c r="BA58" s="87" t="n">
        <ns0:v>-6.88</ns0:v>
      </ns0:c>
      <ns0:c r="BB58" s="74" t="inlineStr">
        <ns0:is>
          <ns0:t>China Biotech ETF (HS biotech proxy)</ns0:t>
        </ns0:is>
      </ns0:c>
      <ns0:c r="BC58" s="87" t="n">
        <ns0:v>-96.13</ns0:v>
      </ns0:c>
      <ns0:c r="BD58" s="75" t="n">
        <ns0:v>46297</ns0:v>
      </ns0:c>
      <ns0:c r="BE58" s="76" t="n">
        <ns0:v>34.1</ns0:v>
      </ns0:c>
      <ns0:c r="BF58" s="79" t="n">
        <ns0:v>-1411.9</ns0:v>
      </ns0:c>
      <ns0:c r="BG58" s="74" t="inlineStr">
        <ns0:is>
          <ns0:t>N</ns0:t>
        </ns0:is>
      </ns0:c>
      <ns0:c r="BH58" s="74" t="inlineStr">
        <ns0:is>
          <ns0:t>n/m</ns0:t>
        </ns0:is>
      </ns0:c>
      <ns0:c r="BI58" s="88" t="n"/>
      <ns0:c r="BJ58" s="88" t="n"/>
      <ns0:c r="BK58" s="89" t="n">
        <ns0:v>410.2</ns0:v>
      </ns0:c>
      <ns0:c r="BL58" s="90">
        <ns0:f>IFERROR(IF('BBG Verify'!S58="","Awaiting Bloomberg",'BBG Verify'!S58),"Awaiting Bloomberg")</ns0:f>
        <ns0:v/>
      </ns0:c>
      <ns0:c r="BM58" s="91" t="inlineStr">
        <ns0:is>
          <ns0:t>N</ns0:t>
        </ns0:is>
      </ns0:c>
      <ns0:c r="BN58" s="92">
        <ns0:f>IFERROR(IF('BBG Verify'!K58="","Awaiting Bloomberg",'BBG Verify'!K58),"Awaiting Bloomberg")</ns0:f>
        <ns0:v/>
      </ns0:c>
      <ns0:c r="BO58" s="74" t="inlineStr">
        <ns0:is>
          <ns0:t>N/A</ns0:t>
        </ns0:is>
      </ns0:c>
      <ns0:c r="BP58" s="74" t="inlineStr">
        <ns0:is>
          <ns0:t>N/A</ns0:t>
        </ns0:is>
      </ns0:c>
      <ns0:c r="BQ58" s="74" t="inlineStr">
        <ns0:is>
          <ns0:t>N/A</ns0:t>
        </ns0:is>
      </ns0:c>
      <ns0:c r="BR58" s="74" t="inlineStr">
        <ns0:is>
          <ns0:t>N/A</ns0:t>
        </ns0:is>
      </ns0:c>
      <ns0:c r="BS58" s="74" t="inlineStr">
        <ns0:is>
          <ns0:t>N/A</ns0:t>
        </ns0:is>
      </ns0:c>
      <ns0:c r="BT58" s="74" t="inlineStr">
        <ns0:is>
          <ns0:t>N/A</ns0:t>
        </ns0:is>
      </ns0:c>
      <ns0:c r="BU58" s="91" t="inlineStr">
        <ns0:is>
          <ns0:t>Morgan Stanley Asia Limited; UBS Securities Hong Kong Limited</ns0:t>
        </ns0:is>
      </ns0:c>
      <ns0:c r="BV58" s="74" t="inlineStr">
        <ns0:is>
          <ns0:t>Morgan Stanley Asia Limited; UBS Securities Hong Kong Limited</ns0:t>
        </ns0:is>
      </ns0:c>
      <ns0:c r="BW58" s="74" t="inlineStr">
        <ns0:is>
          <ns0:t>Morgan Stanley Asia Limited; UBS AG Hong Kong Branch; China International Capital Corporation Hong Kong Securities Limited</ns0:t>
        </ns0:is>
      </ns0:c>
      <ns0:c r="BX58" s="74" t="inlineStr">
        <ns0:is>
          <ns0:t>China International Capital Corporation Hong Kong Securities Limited; Morgan Stanley Asia Limited; UBS AG Hong Kong Branch</ns0:t>
        </ns0:is>
      </ns0:c>
      <ns0:c r="BY58" s="93">
        <ns0:f>HYPERLINK("https://www1.hkexnews.hk/listedco/listconews/sehk/2021/0630/2021063000045.pdf","prospectus")</ns0:f>
        <ns0:v/>
      </ns0:c>
      <ns0:c r="BZ58" s="93">
        <ns0:f>HYPERLINK("https://www1.hkexnews.hk/listedco/listconews/sehk/2021/0712/2021071200036.htm","allotment")</ns0:f>
        <ns0:v/>
      </ns0:c>
      <ns0:c r="CA58" s="93">
        <ns0:f>HYPERLINK("https://www1.hkexnews.hk/listedco/listconews/sehk/2021/0805/2021080502190.pdf","stabilisation")</ns0:f>
        <ns0:v/>
      </ns0:c>
      <ns0:c r="CB58" s="94" t="n"/>
      <ns0:c r="CC58" s="74" t="inlineStr">
        <ns0:is>
          <ns0:t>P/E: loss-making at IPO, use P/S; P/S: 410x on HK$34.1m revenue, effectively pre-revenue; not comparable</ns0:t>
        </ns0:is>
      </ns0:c>
    </ns0:row>
    <ns0:row r="59" ht="22" customHeight="1">
      <ns0:c r="A59" s="73" t="inlineStr">
        <ns0:is>
          <ns0:t>2192</ns0:t>
        </ns0:is>
      </ns0:c>
      <ns0:c r="B59" s="74" t="inlineStr">
        <ns0:is>
          <ns0:t>MEDLIVE</ns0:t>
        </ns0:is>
      </ns0:c>
      <ns0:c r="C59" s="74" t="inlineStr">
        <ns0:is>
          <ns0:t>醫脈通</ns0:t>
        </ns0:is>
      </ns0:c>
      <ns0:c r="D59" s="74" t="inlineStr">
        <ns0:is>
          <ns0:t>Healthcare</ns0:t>
        </ns0:is>
      </ns0:c>
      <ns0:c r="E59" s="74" t="inlineStr">
        <ns0:is>
          <ns0:t>Digital health</ns0:t>
        </ns0:is>
      </ns0:c>
      <ns0:c r="F59" s="74" t="inlineStr">
        <ns0:is>
          <ns0:t>Health Care Services</ns0:t>
        </ns0:is>
      </ns0:c>
      <ns0:c r="G59" s="74" t="inlineStr">
        <ns0:is>
          <ns0:t>Standard</ns0:t>
        </ns0:is>
      </ns0:c>
      <ns0:c r="H59" s="75" t="n">
        <ns0:v>44392</ns0:v>
      </ns0:c>
      <ns0:c r="I59" s="76" t="n">
        <ns0:v>4218.6</ns0:v>
      </ns0:c>
      <ns0:c r="J59" s="74" t="inlineStr">
        <ns0:is>
          <ns0:t>gross (price x shares)</ns0:t>
        </ns0:is>
      </ns0:c>
      <ns0:c r="K59" s="77" t="n">
        <ns0:v>24.1</ns0:v>
      </ns0:c>
      <ns0:c r="L59" s="77" t="n">
        <ns0:v>27.2</ns0:v>
      </ns0:c>
      <ns0:c r="M59" s="77" t="n">
        <ns0:v>27.2</ns0:v>
      </ns0:c>
      <ns0:c r="N59" s="74" t="inlineStr">
        <ns0:is>
          <ns0:t>Y</ns0:t>
        </ns0:is>
      </ns0:c>
      <ns0:c r="O59" s="78" t="n">
        <ns0:v>100</ns0:v>
      </ns0:c>
      <ns0:c r="P59" s="78" t="n">
        <ns0:v>100</ns0:v>
      </ns0:c>
      <ns0:c r="Q59" s="79" t="n">
        <ns0:v>17703</ns0:v>
      </ns0:c>
      <ns0:c r="R59" s="74" t="inlineStr">
        <ns0:is>
          <ns0:t>prospectus:stated market capitalisation</ns0:t>
        </ns0:is>
      </ns0:c>
      <ns0:c r="S59" s="80" t="n">
        <ns0:v>592.41</ns0:v>
      </ns0:c>
      <ns0:c r="T59" s="81" t="n">
        <ns0:v>31.2</ns0:v>
      </ns0:c>
      <ns0:c r="U59" s="82" t="n">
        <ns0:v>40.48</ns0:v>
      </ns0:c>
      <ns0:c r="V59" s="83" t="n">
        <ns0:v>207</ns0:v>
      </ns0:c>
      <ns0:c r="W59" s="84" t="n"/>
      <ns0:c r="X59" s="85" t="n"/>
      <ns0:c r="Y59" s="79" t="n">
        <ns0:v>2510.91</ns0:v>
      </ns0:c>
      <ns0:c r="Z59" s="79" t="n">
        <ns0:v>92313139</ns0:v>
      </ns0:c>
      <ns0:c r="AA59" s="78" t="n">
        <ns0:v>14.18</ns0:v>
      </ns0:c>
      <ns0:c r="AB59" s="74" t="inlineStr">
        <ns0:is>
          <ns0:t>Fidelity Investments; FIL Investment Management (Hong Kong) Limited; GIC Private Limited; Matthews Funds; OrbiMed Funds; Springhill Master Fund Limited; Tencent Mobility Limited</ns0:t>
        </ns0:is>
      </ns0:c>
      <ns0:c r="AC59" s="74" t="inlineStr">
        <ns0:is>
          <ns0:t>fidelity;fil;gic;matthews;orbimed;springhill;tencent</ns0:t>
        </ns0:is>
      </ns0:c>
      <ns0:c r="AD59" s="78" t="n">
        <ns0:v>5.2</ns0:v>
      </ns0:c>
      <ns0:c r="AE59" s="74" t="inlineStr">
        <ns0:is>
          <ns0:t>partial</ns0:t>
        </ns0:is>
      </ns0:c>
      <ns0:c r="AF59" s="74" t="inlineStr">
        <ns0:is>
          <ns0:t>2021-08-06</ns0:t>
        </ns0:is>
      </ns0:c>
      <ns0:c r="AG59" s="74" t="inlineStr">
        <ns0:is>
          <ns0:t>Goldman Sachs</ns0:t>
        </ns0:is>
      </ns0:c>
      <ns0:c r="AH59" s="74" t="inlineStr">
        <ns0:is>
          <ns0:t>Goldman Sachs</ns0:t>
        </ns0:is>
      </ns0:c>
      <ns0:c r="AI59" s="86" t="n">
        <ns0:v>6.62</ns0:v>
      </ns0:c>
      <ns0:c r="AJ59" s="87" t="n">
        <ns0:v>13.97</ns0:v>
      </ns0:c>
      <ns0:c r="AK59" s="87" t="n">
        <ns0:v>-0.71</ns0:v>
      </ns0:c>
      <ns0:c r="AL59" s="87" t="n">
        <ns0:v>6.25</ns0:v>
      </ns0:c>
      <ns0:c r="AM59" s="87" t="n">
        <ns0:v>7.27</ns0:v>
      </ns0:c>
      <ns0:c r="AN59" s="88" t="n"/>
      <ns0:c r="AO59" s="78" t="n">
        <ns0:v>14.53</ns0:v>
      </ns0:c>
      <ns0:c r="AP59" s="87" t="n">
        <ns0:v>11.21</ns0:v>
      </ns0:c>
      <ns0:c r="AQ59" s="87" t="n">
        <ns0:v>29.23</ns0:v>
      </ns0:c>
      <ns0:c r="AR59" s="87" t="n">
        <ns0:v>42.28</ns0:v>
      </ns0:c>
      <ns0:c r="AS59" s="87" t="n">
        <ns0:v>-2.42</ns0:v>
      </ns0:c>
      <ns0:c r="AT59" s="87" t="n">
        <ns0:v>13.39</ns0:v>
      </ns0:c>
      <ns0:c r="AU59" s="87" t="n">
        <ns0:v>24.84</ns0:v>
      </ns0:c>
      <ns0:c r="AV59" s="87" t="n">
        <ns0:v>13.47</ns0:v>
      </ns0:c>
      <ns0:c r="AW59" s="87" t="n">
        <ns0:v>39.37</ns0:v>
      </ns0:c>
      <ns0:c r="AX59" s="87" t="n">
        <ns0:v>60.8</ns0:v>
      </ns0:c>
      <ns0:c r="AY59" s="87" t="n">
        <ns0:v>22.89</ns0:v>
      </ns0:c>
      <ns0:c r="AZ59" s="87" t="n">
        <ns0:v>-10.14</ns0:v>
      </ns0:c>
      <ns0:c r="BA59" s="87" t="n">
        <ns0:v>-9.5</ns0:v>
      </ns0:c>
      <ns0:c r="BB59" s="74" t="inlineStr">
        <ns0:is>
          <ns0:t>China Biotech ETF (HS biotech proxy)</ns0:t>
        </ns0:is>
      </ns0:c>
      <ns0:c r="BC59" s="87" t="n">
        <ns0:v>-76.36</ns0:v>
      </ns0:c>
      <ns0:c r="BD59" s="75" t="n">
        <ns0:v>46297</ns0:v>
      </ns0:c>
      <ns0:c r="BE59" s="76" t="n">
        <ns0:v>234.9</ns0:v>
      </ns0:c>
      <ns0:c r="BF59" s="79" t="n">
        <ns0:v>93.7</ns0:v>
      </ns0:c>
      <ns0:c r="BG59" s="74" t="inlineStr">
        <ns0:is>
          <ns0:t>Y</ns0:t>
        </ns0:is>
      </ns0:c>
      <ns0:c r="BH59" s="89" t="n">
        <ns0:v>188.9</ns0:v>
      </ns0:c>
      <ns0:c r="BI59" s="88" t="n"/>
      <ns0:c r="BJ59" s="89" t="n">
        <ns0:v>15.2</ns0:v>
      </ns0:c>
      <ns0:c r="BK59" s="89" t="n">
        <ns0:v>75.40000000000001</ns0:v>
      </ns0:c>
      <ns0:c r="BL59" s="90">
        <ns0:f>IFERROR(IF('BBG Verify'!S59="","Awaiting Bloomberg",'BBG Verify'!S59),"Awaiting Bloomberg")</ns0:f>
        <ns0:v/>
      </ns0:c>
      <ns0:c r="BM59" s="91" t="inlineStr">
        <ns0:is>
          <ns0:t>N</ns0:t>
        </ns0:is>
      </ns0:c>
      <ns0:c r="BN59" s="92">
        <ns0:f>IFERROR(IF('BBG Verify'!K59="","Awaiting Bloomberg",'BBG Verify'!K59),"Awaiting Bloomberg")</ns0:f>
        <ns0:v/>
      </ns0:c>
      <ns0:c r="BO59" s="74" t="inlineStr">
        <ns0:is>
          <ns0:t>N/A</ns0:t>
        </ns0:is>
      </ns0:c>
      <ns0:c r="BP59" s="74" t="inlineStr">
        <ns0:is>
          <ns0:t>N/A</ns0:t>
        </ns0:is>
      </ns0:c>
      <ns0:c r="BQ59" s="74" t="inlineStr">
        <ns0:is>
          <ns0:t>N/A</ns0:t>
        </ns0:is>
      </ns0:c>
      <ns0:c r="BR59" s="74" t="inlineStr">
        <ns0:is>
          <ns0:t>N/A</ns0:t>
        </ns0:is>
      </ns0:c>
      <ns0:c r="BS59" s="74" t="inlineStr">
        <ns0:is>
          <ns0:t>N/A</ns0:t>
        </ns0:is>
      </ns0:c>
      <ns0:c r="BT59" s="74" t="inlineStr">
        <ns0:is>
          <ns0:t>N/A</ns0:t>
        </ns0:is>
      </ns0:c>
      <ns0:c r="BU59" s="91" t="inlineStr">
        <ns0:is>
          <ns0: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ns0:t>
        </ns0:is>
      </ns0:c>
      <ns0:c r="BV59" s="74" t="inlineStr">
        <ns0:is>
          <ns0:t>Haitong International Capital Limited; Goldman Sachs (Asia) L.L.C.</ns0:t>
        </ns0:is>
      </ns0:c>
      <ns0:c r="BW59" s="74" t="inlineStr">
        <ns0:is>
          <ns0:t>China International Capital Corporation Hong Kong Securities Limited; Goldman Sachs (Asia) L.L.C.; Haitong International Securities Company Limited</ns0:t>
        </ns0:is>
      </ns0:c>
      <ns0:c r="BX59" s="74" t="inlineStr">
        <ns0:is>
          <ns0:t>China International Capital Corporation Hong Kong Securities Limited; Goldman Sachs (Asia) L.L.C.; Haitong International Securities Company Limited</ns0:t>
        </ns0:is>
      </ns0:c>
      <ns0:c r="BY59" s="93">
        <ns0:f>HYPERLINK("https://www1.hkexnews.hk/listedco/listconews/sehk/2021/0630/2021063000187.pdf","prospectus")</ns0:f>
        <ns0:v/>
      </ns0:c>
      <ns0:c r="BZ59" s="93">
        <ns0:f>HYPERLINK("https://www1.hkexnews.hk/listedco/listconews/sehk/2021/0714/2021071400028.htm","allotment")</ns0:f>
        <ns0:v/>
      </ns0:c>
      <ns0:c r="CA59" s="93">
        <ns0:f>HYPERLINK("https://www1.hkexnews.hk/listedco/listconews/sehk/2021/0808/2021080800055.pdf","stabilisation")</ns0:f>
        <ns0:v/>
      </ns0:c>
      <ns0:c r="CB59" s="94" t="n"/>
      <ns0:c r="CC59" s="74" t="inlineStr">
        <ns0:is>
          <ns0:t>allocation: allocation table not in this notice's format (older prose announcement); day-1 tape: volume on file; the retail multiple needs the final public split, which this notice does not state</ns0:t>
        </ns0:is>
      </ns0:c>
    </ns0:row>
    <ns0:row r="60" ht="22" customHeight="1">
      <ns0:c r="A60" s="73" t="inlineStr">
        <ns0:is>
          <ns0:t>6909</ns0:t>
        </ns0:is>
      </ns0:c>
      <ns0:c r="B60" s="74" t="inlineStr">
        <ns0:is>
          <ns0:t>BETTERLIFE HLDG</ns0:t>
        </ns0:is>
      </ns0:c>
      <ns0:c r="C60" s="74" t="inlineStr">
        <ns0:is>
          <ns0:t>百得利控股</ns0:t>
        </ns0:is>
      </ns0:c>
      <ns0:c r="D60" s="74" t="inlineStr">
        <ns0:is>
          <ns0:t>Consumer</ns0:t>
        </ns0:is>
      </ns0:c>
      <ns0:c r="E60" s="74" t="inlineStr">
        <ns0:is>
          <ns0:t>Retail / distribution</ns0:t>
        </ns0:is>
      </ns0:c>
      <ns0:c r="F60" s="74" t="inlineStr">
        <ns0:is>
          <ns0:t>Automotive Retail</ns0:t>
        </ns0:is>
      </ns0:c>
      <ns0:c r="G60" s="74" t="inlineStr">
        <ns0:is>
          <ns0:t>Standard</ns0:t>
        </ns0:is>
      </ns0:c>
      <ns0:c r="H60" s="75" t="n">
        <ns0:v>44392</ns0:v>
      </ns0:c>
      <ns0:c r="I60" s="76" t="n">
        <ns0:v>660</ns0:v>
      </ns0:c>
      <ns0:c r="J60" s="74" t="inlineStr">
        <ns0:is>
          <ns0:t>gross (price x shares)</ns0:t>
        </ns0:is>
      </ns0:c>
      <ns0:c r="K60" s="77" t="n">
        <ns0:v>4</ns0:v>
      </ns0:c>
      <ns0:c r="L60" s="77" t="n">
        <ns0:v>4.8</ns0:v>
      </ns0:c>
      <ns0:c r="M60" s="77" t="n">
        <ns0:v>4.4</ns0:v>
      </ns0:c>
      <ns0:c r="N60" s="74" t="inlineStr">
        <ns0:is>
          <ns0:t>N</ns0:t>
        </ns0:is>
      </ns0:c>
      <ns0:c r="O60" s="78" t="n">
        <ns0:v>91.7</ns0:v>
      </ns0:c>
      <ns0:c r="P60" s="78" t="n">
        <ns0:v>50</ns0:v>
      </ns0:c>
      <ns0:c r="Q60" s="79" t="n">
        <ns0:v>2640</ns0:v>
      </ns0:c>
      <ns0:c r="R60" s="74" t="inlineStr">
        <ns0:is>
          <ns0:t>derived:deal size / offer % of enlarged capital</ns0:t>
        </ns0:is>
      </ns0:c>
      <ns0:c r="S60" s="80" t="n">
        <ns0:v>43.92</ns0:v>
      </ns0:c>
      <ns0:c r="T60" s="81" t="n">
        <ns0:v>2.28</ns0:v>
      </ns0:c>
      <ns0:c r="U60" s="82" t="n">
        <ns0:v>0</ns0:v>
      </ns0:c>
      <ns0:c r="V60" s="83" t="n">
        <ns0:v>127</ns0:v>
      </ns0:c>
      <ns0:c r="W60" s="78" t="n">
        <ns0:v>30</ns0:v>
      </ns0:c>
      <ns0:c r="X60" s="74" t="inlineStr">
        <ns0:is>
          <ns0:t>YES</ns0:t>
        </ns0:is>
      </ns0:c>
      <ns0:c r="Y60" s="79" t="n">
        <ns0:v>660</ns0:v>
      </ns0:c>
      <ns0:c r="Z60" s="79" t="n">
        <ns0:v>150000000</ns0:v>
      </ns0:c>
      <ns0:c r="AA60" s="78" t="n">
        <ns0:v>25</ns0:v>
      </ns0:c>
      <ns0:c r="AB60" s="74" t="inlineStr">
        <ns0:is>
          <ns0:t>none — no cornerstone tranche</ns0:t>
        </ns0:is>
      </ns0:c>
      <ns0:c r="AC60" s="74" t="inlineStr">
        <ns0:is>
          <ns0:t>none</ns0:t>
        </ns0:is>
      </ns0:c>
      <ns0:c r="AD60" s="78" t="n">
        <ns0:v>9.800000000000001</ns0:v>
      </ns0:c>
      <ns0:c r="AE60" s="74" t="inlineStr">
        <ns0:is>
          <ns0:t>full</ns0:t>
        </ns0:is>
      </ns0:c>
      <ns0:c r="AF60" s="85" t="n"/>
      <ns0:c r="AG60" s="74" t="inlineStr">
        <ns0:is>
          <ns0:t>Macquarie</ns0:t>
        </ns0:is>
      </ns0:c>
      <ns0:c r="AH60" s="74" t="inlineStr">
        <ns0:is>
          <ns0:t>Macquarie</ns0:t>
        </ns0:is>
      </ns0:c>
      <ns0:c r="AI60" s="86" t="n">
        <ns0:v>31.36</ns0:v>
      </ns0:c>
      <ns0:c r="AJ60" s="87" t="n">
        <ns0:v>25</ns0:v>
      </ns0:c>
      <ns0:c r="AK60" s="87" t="n">
        <ns0:v>0.38</ns0:v>
      </ns0:c>
      <ns0:c r="AL60" s="87" t="n">
        <ns0:v>34.09</ns0:v>
      </ns0:c>
      <ns0:c r="AM60" s="87" t="n">
        <ns0:v>-6.78</ns0:v>
      </ns0:c>
      <ns0:c r="AN60" s="89" t="n">
        <ns0:v>2.57</ns0:v>
      </ns0:c>
      <ns0:c r="AO60" s="78" t="n">
        <ns0:v>23.56</ns0:v>
      </ns0:c>
      <ns0:c r="AP60" s="87" t="n">
        <ns0:v>89.55</ns0:v>
      </ns0:c>
      <ns0:c r="AQ60" s="87" t="n">
        <ns0:v>63.41</ns0:v>
      </ns0:c>
      <ns0:c r="AR60" s="87" t="n">
        <ns0:v>57.27</ns0:v>
      </ns0:c>
      <ns0:c r="AS60" s="87" t="n">
        <ns0:v>51.64</ns0:v>
      </ns0:c>
      <ns0:c r="AT60" s="87" t="n">
        <ns0:v>30.73</ns0:v>
      </ns0:c>
      <ns0:c r="AU60" s="87" t="n">
        <ns0:v>25.82</ns0:v>
      </ns0:c>
      <ns0:c r="AV60" s="87" t="n">
        <ns0:v>90.8</ns0:v>
      </ns0:c>
      <ns0:c r="AW60" s="87" t="n">
        <ns0:v>71.28</ns0:v>
      </ns0:c>
      <ns0:c r="AX60" s="87" t="n">
        <ns0:v>68.45</ns0:v>
      </ns0:c>
      <ns0:c r="AY60" s="87" t="n">
        <ns0:v>38.95</ns0:v>
      </ns0:c>
      <ns0:c r="AZ60" s="87" t="n">
        <ns0:v>-7.87</ns0:v>
      </ns0:c>
      <ns0:c r="BA60" s="87" t="n">
        <ns0:v>-8.220000000000001</ns0:v>
      </ns0:c>
      <ns0:c r="BB60" s="74" t="inlineStr">
        <ns0:is>
          <ns0:t>Hang Seng Commerce &amp; Industry sub-index</ns0:t>
        </ns0:is>
      </ns0:c>
      <ns0:c r="BC60" s="87" t="n">
        <ns0:v>-94.93000000000001</ns0:v>
      </ns0:c>
      <ns0:c r="BD60" s="75" t="n">
        <ns0:v>46297</ns0:v>
      </ns0:c>
      <ns0:c r="BE60" s="76" t="n">
        <ns0:v>9386.4</ns0:v>
      </ns0:c>
      <ns0:c r="BF60" s="79" t="n">
        <ns0:v>337.1</ns0:v>
      </ns0:c>
      <ns0:c r="BG60" s="74" t="inlineStr">
        <ns0:is>
          <ns0:t>Y</ns0:t>
        </ns0:is>
      </ns0:c>
      <ns0:c r="BH60" s="89" t="n">
        <ns0:v>7.8</ns0:v>
      </ns0:c>
      <ns0:c r="BI60" s="88" t="n"/>
      <ns0:c r="BJ60" s="89" t="n">
        <ns0:v>62.1</ns0:v>
      </ns0:c>
      <ns0:c r="BK60" s="89" t="n">
        <ns0:v>0.3</ns0:v>
      </ns0:c>
      <ns0:c r="BL60" s="90">
        <ns0:f>IFERROR(IF('BBG Verify'!S60="","Awaiting Bloomberg",'BBG Verify'!S60),"Awaiting Bloomberg")</ns0:f>
        <ns0:v/>
      </ns0:c>
      <ns0:c r="BM60" s="91" t="inlineStr">
        <ns0:is>
          <ns0:t>N</ns0:t>
        </ns0:is>
      </ns0:c>
      <ns0:c r="BN60" s="92">
        <ns0:f>IFERROR(IF('BBG Verify'!K60="","Awaiting Bloomberg",'BBG Verify'!K60),"Awaiting Bloomberg")</ns0:f>
        <ns0:v/>
      </ns0:c>
      <ns0:c r="BO60" s="74" t="inlineStr">
        <ns0:is>
          <ns0:t>N/A</ns0:t>
        </ns0:is>
      </ns0:c>
      <ns0:c r="BP60" s="74" t="inlineStr">
        <ns0:is>
          <ns0:t>N/A</ns0:t>
        </ns0:is>
      </ns0:c>
      <ns0:c r="BQ60" s="74" t="inlineStr">
        <ns0:is>
          <ns0:t>N/A</ns0:t>
        </ns0:is>
      </ns0:c>
      <ns0:c r="BR60" s="74" t="inlineStr">
        <ns0:is>
          <ns0:t>N/A</ns0:t>
        </ns0:is>
      </ns0:c>
      <ns0:c r="BS60" s="74" t="inlineStr">
        <ns0:is>
          <ns0:t>N/A</ns0:t>
        </ns0:is>
      </ns0:c>
      <ns0:c r="BT60" s="74" t="inlineStr">
        <ns0:is>
          <ns0:t>N/A</ns0:t>
        </ns0:is>
      </ns0:c>
      <ns0:c r="BU60" s="91" t="inlineStr">
        <ns0:is>
          <ns0:t>Macquarie Capital Limited</ns0:t>
        </ns0:is>
      </ns0:c>
      <ns0:c r="BV60" s="74" t="inlineStr">
        <ns0:is>
          <ns0:t>Macquarie Capital Limited</ns0:t>
        </ns0:is>
      </ns0:c>
      <ns0:c r="BW60" s="74" t="inlineStr">
        <ns0:is>
          <ns0:t>Macquarie Capital Limited; Huatai Financial Holdings (Hong Kong) Limited; BOCOM International Securities Limited; UOB Kay Hian (Hong Kong) Limited; DBS Asia Capital Limited; First Shanghai Securities Limited; Maxa Capital Limited</ns0:t>
        </ns0:is>
      </ns0:c>
      <ns0:c r="BX60" s="74" t="inlineStr">
        <ns0:is>
          <ns0: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ns0:t>
        </ns0:is>
      </ns0:c>
      <ns0:c r="BY60" s="93">
        <ns0:f>HYPERLINK("https://www1.hkexnews.hk/listedco/listconews/sehk/2021/0630/2021063000067.pdf","prospectus")</ns0:f>
        <ns0:v/>
      </ns0:c>
      <ns0:c r="BZ60" s="93">
        <ns0:f>HYPERLINK("https://www1.hkexnews.hk/listedco/listconews/sehk/2021/0714/2021071400040.htm","allotment")</ns0:f>
        <ns0:v/>
      </ns0:c>
      <ns0:c r="CA60" s="93">
        <ns0:f>HYPERLINK("https://www1.hkexnews.hk/listedco/listconews/sehk/2021/0808/2021080800009.pdf","stabilisation")</ns0:f>
        <ns0:v/>
      </ns0:c>
      <ns0:c r="CB60" s="94" t="n"/>
      <ns0:c r="CC60" s="74" t="inlineStr">
        <ns0:is>
          <ns0:t>greenshoe: outcome published; expiry date not in the notice; cornerstone list: no cornerstone tranche</ns0:t>
        </ns0:is>
      </ns0:c>
    </ns0:row>
    <ns0:row r="61" ht="22" customHeight="1">
      <ns0:c r="A61" s="73" t="inlineStr">
        <ns0:is>
          <ns0:t>2215</ns0:t>
        </ns0:is>
      </ns0:c>
      <ns0:c r="B61" s="74" t="inlineStr">
        <ns0:is>
          <ns0:t>DEXIN SER GROUP</ns0:t>
        </ns0:is>
      </ns0:c>
      <ns0:c r="C61" s="74" t="inlineStr">
        <ns0:is>
          <ns0:t>德信服務集團</ns0:t>
        </ns0:is>
      </ns0:c>
      <ns0:c r="D61" s="74" t="inlineStr">
        <ns0:is>
          <ns0:t>Real Estate</ns0:t>
        </ns0:is>
      </ns0:c>
      <ns0:c r="E61" s="74" t="inlineStr">
        <ns0:is>
          <ns0:t>Property management</ns0:t>
        </ns0:is>
      </ns0:c>
      <ns0:c r="F61" s="74" t="inlineStr">
        <ns0:is>
          <ns0:t>Property Service and Management</ns0:t>
        </ns0:is>
      </ns0:c>
      <ns0:c r="G61" s="74" t="inlineStr">
        <ns0:is>
          <ns0:t>Standard</ns0:t>
        </ns0:is>
      </ns0:c>
      <ns0:c r="H61" s="75" t="n">
        <ns0:v>44392</ns0:v>
      </ns0:c>
      <ns0:c r="I61" s="76" t="n">
        <ns0:v>765</ns0:v>
      </ns0:c>
      <ns0:c r="J61" s="74" t="inlineStr">
        <ns0:is>
          <ns0:t>gross (price x shares)</ns0:t>
        </ns0:is>
      </ns0:c>
      <ns0:c r="K61" s="77" t="n">
        <ns0:v>2.66</ns0:v>
      </ns0:c>
      <ns0:c r="L61" s="77" t="n">
        <ns0:v>3.44</ns0:v>
      </ns0:c>
      <ns0:c r="M61" s="77" t="n">
        <ns0:v>3.06</ns0:v>
      </ns0:c>
      <ns0:c r="N61" s="74" t="inlineStr">
        <ns0:is>
          <ns0:t>N</ns0:t>
        </ns0:is>
      </ns0:c>
      <ns0:c r="O61" s="78" t="n">
        <ns0:v>89</ns0:v>
      </ns0:c>
      <ns0:c r="P61" s="78" t="n">
        <ns0:v>51.3</ns0:v>
      </ns0:c>
      <ns0:c r="Q61" s="79" t="n">
        <ns0:v>2760.7</ns0:v>
      </ns0:c>
      <ns0:c r="R61" s="74" t="inlineStr">
        <ns0:is>
          <ns0:t>derived:deal size / offer % of enlarged capital</ns0:t>
        </ns0:is>
      </ns0:c>
      <ns0:c r="S61" s="80" t="n">
        <ns0:v>3.08</ns0:v>
      </ns0:c>
      <ns0:c r="T61" s="81" t="n">
        <ns0:v>1.31</ns0:v>
      </ns0:c>
      <ns0:c r="U61" s="82" t="n">
        <ns0:v>21.4</ns0:v>
      </ns0:c>
      <ns0:c r="V61" s="83" t="n">
        <ns0:v>111</ns0:v>
      </ns0:c>
      <ns0:c r="W61" s="84" t="n"/>
      <ns0:c r="X61" s="85" t="n"/>
      <ns0:c r="Y61" s="79" t="n">
        <ns0:v>601.29</ns0:v>
      </ns0:c>
      <ns0:c r="Z61" s="79" t="n">
        <ns0:v>196500000</ns0:v>
      </ns0:c>
      <ns0:c r="AA61" s="78" t="n">
        <ns0:v>21.78</ns0:v>
      </ns0:c>
      <ns0:c r="AB61" s="74" t="inlineStr">
        <ns0:is>
          <ns0:t>Hangzhou Jintou Shenghan Investment Partnership (Limited Partnership); Hangzhou Light Industrial Association Investment Group Co.,Ltd; JIC TRUST CO., LTD</ns0:t>
        </ns0:is>
      </ns0:c>
      <ns0:c r="AC61" s="74" t="inlineStr">
        <ns0:is>
          <ns0:t>hangzhou-jintou;hangzhou-light;jic</ns0:t>
        </ns0:is>
      </ns0:c>
      <ns0:c r="AD61" s="78" t="n">
        <ns0:v>15</ns0:v>
      </ns0:c>
      <ns0:c r="AE61" s="74" t="inlineStr">
        <ns0:is>
          <ns0:t>partial</ns0:t>
        </ns0:is>
      </ns0:c>
      <ns0:c r="AF61" s="74" t="inlineStr">
        <ns0:is>
          <ns0:t>2021-08-07</ns0:t>
        </ns0:is>
      </ns0:c>
      <ns0:c r="AG61" s="74" t="inlineStr">
        <ns0:is>
          <ns0:t>CCB International Capital Limited</ns0:t>
        </ns0:is>
      </ns0:c>
      <ns0:c r="AH61" s="74" t="inlineStr">
        <ns0:is>
          <ns0:t>CCB</ns0:t>
        </ns0:is>
      </ns0:c>
      <ns0:c r="AI61" s="86" t="n">
        <ns0:v>-3.27</ns0:v>
      </ns0:c>
      <ns0:c r="AJ61" s="87" t="n">
        <ns0:v>0</ns0:v>
      </ns0:c>
      <ns0:c r="AK61" s="87" t="n">
        <ns0:v>1.98</ns0:v>
      </ns0:c>
      <ns0:c r="AL61" s="87" t="n">
        <ns0:v>0</ns0:v>
      </ns0:c>
      <ns0:c r="AM61" s="87" t="n">
        <ns0:v>0</ns0:v>
      </ns0:c>
      <ns0:c r="AN61" s="88" t="n"/>
      <ns0:c r="AO61" s="78" t="n">
        <ns0:v>2.61</ns0:v>
      </ns0:c>
      <ns0:c r="AP61" s="87" t="n">
        <ns0:v>-0</ns0:v>
      </ns0:c>
      <ns0:c r="AQ61" s="87" t="n">
        <ns0:v>9.800000000000001</ns0:v>
      </ns0:c>
      <ns0:c r="AR61" s="87" t="n">
        <ns0:v>10.13</ns0:v>
      </ns0:c>
      <ns0:c r="AS61" s="87" t="n">
        <ns0:v>0</ns0:v>
      </ns0:c>
      <ns0:c r="AT61" s="87" t="n">
        <ns0:v>9.800000000000001</ns0:v>
      </ns0:c>
      <ns0:c r="AU61" s="87" t="n">
        <ns0:v>10.13</ns0:v>
      </ns0:c>
      <ns0:c r="AV61" s="87" t="n">
        <ns0:v>-1.15</ns0:v>
      </ns0:c>
      <ns0:c r="AW61" s="87" t="n">
        <ns0:v>14.33</ns0:v>
      </ns0:c>
      <ns0:c r="AX61" s="87" t="n">
        <ns0:v>19.43</ns0:v>
      </ns0:c>
      <ns0:c r="AY61" s="87" t="n">
        <ns0:v>16.19</ns0:v>
      </ns0:c>
      <ns0:c r="AZ61" s="87" t="n">
        <ns0:v>-4.53</ns0:v>
      </ns0:c>
      <ns0:c r="BA61" s="87" t="n">
        <ns0:v>-6.39</ns0:v>
      </ns0:c>
      <ns0:c r="BB61" s="74" t="inlineStr">
        <ns0:is>
          <ns0:t>Hang Seng Properties sub-index</ns0:t>
        </ns0:is>
      </ns0:c>
      <ns0:c r="BC61" s="87" t="n">
        <ns0:v>-92.97</ns0:v>
      </ns0:c>
      <ns0:c r="BD61" s="75" t="n">
        <ns0:v>46297</ns0:v>
      </ns0:c>
      <ns0:c r="BE61" s="76" t="n">
        <ns0:v>761.6</ns0:v>
      </ns0:c>
      <ns0:c r="BF61" s="79" t="n">
        <ns0:v>116.4</ns0:v>
      </ns0:c>
      <ns0:c r="BG61" s="74" t="inlineStr">
        <ns0:is>
          <ns0:t>Y</ns0:t>
        </ns0:is>
      </ns0:c>
      <ns0:c r="BH61" s="89" t="n">
        <ns0:v>23.7</ns0:v>
      </ns0:c>
      <ns0:c r="BI61" s="88" t="n"/>
      <ns0:c r="BJ61" s="88" t="n"/>
      <ns0:c r="BK61" s="89" t="n">
        <ns0:v>3.6</ns0:v>
      </ns0:c>
      <ns0:c r="BL61" s="90">
        <ns0:f>IFERROR(IF('BBG Verify'!S61="","Awaiting Bloomberg",'BBG Verify'!S61),"Awaiting Bloomberg")</ns0:f>
        <ns0:v/>
      </ns0:c>
      <ns0:c r="BM61" s="91" t="inlineStr">
        <ns0:is>
          <ns0:t>N</ns0:t>
        </ns0:is>
      </ns0:c>
      <ns0:c r="BN61" s="92">
        <ns0:f>IFERROR(IF('BBG Verify'!K61="","Awaiting Bloomberg",'BBG Verify'!K61),"Awaiting Bloomberg")</ns0:f>
        <ns0:v/>
      </ns0:c>
      <ns0:c r="BO61" s="74" t="inlineStr">
        <ns0:is>
          <ns0:t>N/A</ns0:t>
        </ns0:is>
      </ns0:c>
      <ns0:c r="BP61" s="74" t="inlineStr">
        <ns0:is>
          <ns0:t>N/A</ns0:t>
        </ns0:is>
      </ns0:c>
      <ns0:c r="BQ61" s="74" t="inlineStr">
        <ns0:is>
          <ns0:t>N/A</ns0:t>
        </ns0:is>
      </ns0:c>
      <ns0:c r="BR61" s="74" t="inlineStr">
        <ns0:is>
          <ns0:t>N/A</ns0:t>
        </ns0:is>
      </ns0:c>
      <ns0:c r="BS61" s="74" t="inlineStr">
        <ns0:is>
          <ns0:t>N/A</ns0:t>
        </ns0:is>
      </ns0:c>
      <ns0:c r="BT61" s="74" t="inlineStr">
        <ns0:is>
          <ns0:t>N/A</ns0:t>
        </ns0:is>
      </ns0:c>
      <ns0:c r="BU61" s="91" t="inlineStr">
        <ns0:is>
          <ns0:t>CCB International Capital Limited</ns0:t>
        </ns0:is>
      </ns0:c>
      <ns0:c r="BV61" s="74" t="inlineStr">
        <ns0:is>
          <ns0:t>CCB International Capital Limited</ns0:t>
        </ns0:is>
      </ns0:c>
      <ns0:c r="BW61" s="74" t="inlineStr">
        <ns0:is>
          <ns0:t>CCB International Capital Limited; China Industrial Securities International Capital Limited; Zhongtai International Securities Limited; Vision Capital International Holdings Limited</ns0:t>
        </ns0:is>
      </ns0:c>
      <ns0:c r="BX61" s="74" t="inlineStr">
        <ns0:is>
          <ns0:t>CCB International Capital Limited; China Industrial Securities International Capital Limited; Futu Securities International (Hong Kong) Limited; I Win Securities Limited; Valuable Capital Limited; Vision Capital International Holdings Limited; Zhongtai International Securities Limited</ns0:t>
        </ns0:is>
      </ns0:c>
      <ns0:c r="BY61" s="93">
        <ns0:f>HYPERLINK("https://www1.hkexnews.hk/listedco/listconews/sehk/2021/0629/2021062900043.pdf","prospectus")</ns0:f>
        <ns0:v/>
      </ns0:c>
      <ns0:c r="BZ61" s="93">
        <ns0:f>HYPERLINK("https://www1.hkexnews.hk/listedco/listconews/sehk/2021/0714/2021071400259.htm","allotment")</ns0:f>
        <ns0:v/>
      </ns0:c>
      <ns0:c r="CA61" s="93">
        <ns0:f>HYPERLINK("https://www1.hkexnews.hk/listedco/listconews/sehk/2021/0808/2021080800043.pdf","stabilisation")</ns0:f>
        <ns0:v/>
      </ns0:c>
      <ns0:c r="CB61" s="94" t="n"/>
      <ns0:c r="CC61" s="74" t="inlineStr">
        <ns0:is>
          <ns0:t>allocation: allocation table not in this notice's format (older prose announcement); day-1 tape: volume on file; the retail multiple needs the final public split, which this notice does not state</ns0:t>
        </ns0:is>
      </ns0:c>
    </ns0:row>
    <ns0:row r="62" ht="22" customHeight="1">
      <ns0:c r="A62" s="73" t="inlineStr">
        <ns0:is>
          <ns0:t>9960</ns0:t>
        </ns0:is>
      </ns0:c>
      <ns0:c r="B62" s="74" t="inlineStr">
        <ns0:is>
          <ns0:t>KINDSTAR GLOBAL</ns0:t>
        </ns0:is>
      </ns0:c>
      <ns0:c r="C62" s="74" t="inlineStr">
        <ns0:is>
          <ns0:t>康聖環球</ns0:t>
        </ns0:is>
      </ns0:c>
      <ns0:c r="D62" s="74" t="inlineStr">
        <ns0:is>
          <ns0:t>Healthcare</ns0:t>
        </ns0:is>
      </ns0:c>
      <ns0:c r="E62" s="74" t="inlineStr">
        <ns0:is>
          <ns0:t>CXO / pharma services</ns0:t>
        </ns0:is>
      </ns0:c>
      <ns0:c r="F62" s="74" t="inlineStr">
        <ns0:is>
          <ns0:t>Health Care Services</ns0:t>
        </ns0:is>
      </ns0:c>
      <ns0:c r="G62" s="74" t="inlineStr">
        <ns0:is>
          <ns0:t>Standard</ns0:t>
        </ns0:is>
      </ns0:c>
      <ns0:c r="H62" s="75" t="n">
        <ns0:v>44393</ns0:v>
      </ns0:c>
      <ns0:c r="I62" s="76" t="n">
        <ns0:v>2214.2</ns0:v>
      </ns0:c>
      <ns0:c r="J62" s="74" t="inlineStr">
        <ns0:is>
          <ns0:t>gross (price x shares)</ns0:t>
        </ns0:is>
      </ns0:c>
      <ns0:c r="K62" s="77" t="n">
        <ns0:v>8.6</ns0:v>
      </ns0:c>
      <ns0:c r="L62" s="77" t="n">
        <ns0:v>9.779999999999999</ns0:v>
      </ns0:c>
      <ns0:c r="M62" s="77" t="n">
        <ns0:v>9.779999999999999</ns0:v>
      </ns0:c>
      <ns0:c r="N62" s="74" t="inlineStr">
        <ns0:is>
          <ns0:t>Y</ns0:t>
        </ns0:is>
      </ns0:c>
      <ns0:c r="O62" s="78" t="n">
        <ns0:v>100</ns0:v>
      </ns0:c>
      <ns0:c r="P62" s="78" t="n">
        <ns0:v>100</ns0:v>
      </ns0:c>
      <ns0:c r="Q62" s="79" t="n">
        <ns0:v>7993.5</ns0:v>
      </ns0:c>
      <ns0:c r="R62" s="74" t="inlineStr">
        <ns0:is>
          <ns0:t>derived:deal size / offer % of enlarged capital</ns0:t>
        </ns0:is>
      </ns0:c>
      <ns0:c r="S62" s="80" t="n">
        <ns0:v>543.03</ns0:v>
      </ns0:c>
      <ns0:c r="T62" s="81" t="n">
        <ns0:v>13.81</ns0:v>
      </ns0:c>
      <ns0:c r="U62" s="82" t="n">
        <ns0:v>49.08</ns0:v>
      </ns0:c>
      <ns0:c r="V62" s="83" t="n">
        <ns0:v>162</ns0:v>
      </ns0:c>
      <ns0:c r="W62" s="78" t="n">
        <ns0:v>50</ns0:v>
      </ns0:c>
      <ns0:c r="X62" s="74" t="inlineStr">
        <ns0:is>
          <ns0:t>YES</ns0:t>
        </ns0:is>
      </ns0:c>
      <ns0:c r="Y62" s="79" t="n">
        <ns0:v>1127.47</ns0:v>
      </ns0:c>
      <ns0:c r="Z62" s="79" t="n">
        <ns0:v>115285426</ns0:v>
      </ns0:c>
      <ns0:c r="AA62" s="78" t="n">
        <ns0:v>14.1</ns0:v>
      </ns0:c>
      <ns0:c r="AB62" s="74" t="inlineStr">
        <ns0:is>
          <ns0:t>Athos Capital Limited; BlackRock; Carmignac Funds; China Pinnacle Equity Management Limited; DNCA Finance; IvyRock Asset Management (HK) Limited; Snow Lake Capital (HK) Limited</ns0:t>
        </ns0:is>
      </ns0:c>
      <ns0:c r="AC62" s="74" t="inlineStr">
        <ns0:is>
          <ns0:t>athos;blackrock;carmignac;pinnacle;dnca;ivyrock;snow</ns0:t>
        </ns0:is>
      </ns0:c>
      <ns0:c r="AD62" s="78" t="n">
        <ns0:v>7.2</ns0:v>
      </ns0:c>
      <ns0:c r="AE62" s="74" t="inlineStr">
        <ns0:is>
          <ns0:t>lapsed</ns0:t>
        </ns0:is>
      </ns0:c>
      <ns0:c r="AF62" s="74" t="inlineStr">
        <ns0:is>
          <ns0:t>2021-08-06</ns0:t>
        </ns0:is>
      </ns0:c>
      <ns0:c r="AG62" s="74" t="inlineStr">
        <ns0:is>
          <ns0:t>Goldman Sachs</ns0:t>
        </ns0:is>
      </ns0:c>
      <ns0:c r="AH62" s="74" t="inlineStr">
        <ns0:is>
          <ns0:t>Goldman Sachs</ns0:t>
        </ns0:is>
      </ns0:c>
      <ns0:c r="AI62" s="86" t="n">
        <ns0:v>-7.06</ns0:v>
      </ns0:c>
      <ns0:c r="AJ62" s="87" t="n">
        <ns0:v>-7.57</ns0:v>
      </ns0:c>
      <ns0:c r="AK62" s="87" t="n">
        <ns0:v>-0.34</ns0:v>
      </ns0:c>
      <ns0:c r="AL62" s="87" t="n">
        <ns0:v>0</ns0:v>
      </ns0:c>
      <ns0:c r="AM62" s="87" t="n">
        <ns0:v>-7.57</ns0:v>
      </ns0:c>
      <ns0:c r="AN62" s="89" t="n">
        <ns0:v>0.86</ns0:v>
      </ns0:c>
      <ns0:c r="AO62" s="78" t="n">
        <ns0:v>7.67</ns0:v>
      </ns0:c>
      <ns0:c r="AP62" s="87" t="n">
        <ns0:v>-18</ns0:v>
      </ns0:c>
      <ns0:c r="AQ62" s="87" t="n">
        <ns0:v>-20.76</ns0:v>
      </ns0:c>
      <ns0:c r="AR62" s="87" t="n">
        <ns0:v>-45.3</ns0:v>
      </ns0:c>
      <ns0:c r="AS62" s="87" t="n">
        <ns0:v>-11.28</ns0:v>
      </ns0:c>
      <ns0:c r="AT62" s="87" t="n">
        <ns0:v>-14.27</ns0:v>
      </ns0:c>
      <ns0:c r="AU62" s="87" t="n">
        <ns0:v>-40.82</ns0:v>
      </ns0:c>
      <ns0:c r="AV62" s="87" t="n">
        <ns0:v>-13.98</ns0:v>
      </ns0:c>
      <ns0:c r="AW62" s="87" t="n">
        <ns0:v>-10.43</ns0:v>
      </ns0:c>
      <ns0:c r="AX62" s="87" t="n">
        <ns0:v>-28.86</ns0:v>
      </ns0:c>
      <ns0:c r="AY62" s="87" t="n">
        <ns0:v>-4.25</ns0:v>
      </ns0:c>
      <ns0:c r="AZ62" s="87" t="n">
        <ns0:v>-10.33</ns0:v>
      </ns0:c>
      <ns0:c r="BA62" s="87" t="n">
        <ns0:v>-10.02</ns0:v>
      </ns0:c>
      <ns0:c r="BB62" s="74" t="inlineStr">
        <ns0:is>
          <ns0:t>China Biotech ETF (HS biotech proxy)</ns0:t>
        </ns0:is>
      </ns0:c>
      <ns0:c r="BC62" s="87" t="n">
        <ns0:v>-90.8</ns0:v>
      </ns0:c>
      <ns0:c r="BD62" s="75" t="n">
        <ns0:v>46297</ns0:v>
      </ns0:c>
      <ns0:c r="BE62" s="76" t="n">
        <ns0:v>980.5</ns0:v>
      </ns0:c>
      <ns0:c r="BF62" s="79" t="n">
        <ns0:v>-1067.1</ns0:v>
      </ns0:c>
      <ns0:c r="BG62" s="74" t="inlineStr">
        <ns0:is>
          <ns0:t>N</ns0:t>
        </ns0:is>
      </ns0:c>
      <ns0:c r="BH62" s="74" t="inlineStr">
        <ns0:is>
          <ns0:t>n/m</ns0:t>
        </ns0:is>
      </ns0:c>
      <ns0:c r="BI62" s="88" t="n"/>
      <ns0:c r="BJ62" s="88" t="n"/>
      <ns0:c r="BK62" s="89" t="n">
        <ns0:v>8.199999999999999</ns0:v>
      </ns0:c>
      <ns0:c r="BL62" s="90">
        <ns0:f>IFERROR(IF('BBG Verify'!S62="","Awaiting Bloomberg",'BBG Verify'!S62),"Awaiting Bloomberg")</ns0:f>
        <ns0:v/>
      </ns0:c>
      <ns0:c r="BM62" s="91" t="inlineStr">
        <ns0:is>
          <ns0:t>N</ns0:t>
        </ns0:is>
      </ns0:c>
      <ns0:c r="BN62" s="92">
        <ns0:f>IFERROR(IF('BBG Verify'!K62="","Awaiting Bloomberg",'BBG Verify'!K62),"Awaiting Bloomberg")</ns0:f>
        <ns0:v/>
      </ns0:c>
      <ns0:c r="BO62" s="74" t="inlineStr">
        <ns0:is>
          <ns0:t>N/A</ns0:t>
        </ns0:is>
      </ns0:c>
      <ns0:c r="BP62" s="74" t="inlineStr">
        <ns0:is>
          <ns0:t>N/A</ns0:t>
        </ns0:is>
      </ns0:c>
      <ns0:c r="BQ62" s="74" t="inlineStr">
        <ns0:is>
          <ns0:t>N/A</ns0:t>
        </ns0:is>
      </ns0:c>
      <ns0:c r="BR62" s="74" t="inlineStr">
        <ns0:is>
          <ns0:t>N/A</ns0:t>
        </ns0:is>
      </ns0:c>
      <ns0:c r="BS62" s="74" t="inlineStr">
        <ns0:is>
          <ns0:t>N/A</ns0:t>
        </ns0:is>
      </ns0:c>
      <ns0:c r="BT62" s="74" t="inlineStr">
        <ns0:is>
          <ns0:t>N/A</ns0:t>
        </ns0:is>
      </ns0:c>
      <ns0:c r="BU62" s="91" t="inlineStr">
        <ns0:is>
          <ns0:t>Goldman Sachs (Asia) L.L.C; China International Capital Corporation Hong Kong Securities Limited; Credit Suisse (Hong Kong) Limited</ns0:t>
        </ns0:is>
      </ns0:c>
      <ns0:c r="BV62" s="74" t="inlineStr">
        <ns0:is>
          <ns0:t>China International Capital Corporation Hong Kong Securities Limited; Goldman Sachs (Asia) L.L.C.; Credit Suisse (Hong Kong) Limited</ns0:t>
        </ns0:is>
      </ns0:c>
      <ns0:c r="BW62" s="74" t="inlineStr">
        <ns0:is>
          <ns0:t>Goldman Sachs (Asia) L.L.C; China International Capital Corporation Hong Kong Securities Limited; Credit Suisse (Hong Kong) Limited</ns0:t>
        </ns0:is>
      </ns0:c>
      <ns0:c r="BX62" s="74" t="inlineStr">
        <ns0:is>
          <ns0:t>China International Capital Corporation Hong Kong Securities Limited; Credit Suisse (Hong Kong) Limited; Futu Securities International (Hong Kong) Limited; Guotai Junan Securities (Hong Kong) Limited; Goldman Sachs (Asia) L.L.C.; VMS Securities Limited</ns0:t>
        </ns0:is>
      </ns0:c>
      <ns0:c r="BY62" s="93">
        <ns0:f>HYPERLINK("https://www1.hkexnews.hk/listedco/listconews/sehk/2021/0629/2021062900037.pdf","prospectus")</ns0:f>
        <ns0:v/>
      </ns0:c>
      <ns0:c r="BZ62" s="93">
        <ns0:f>HYPERLINK("https://www1.hkexnews.hk/listedco/listconews/sehk/2021/0715/2021071500008.htm","allotment")</ns0:f>
        <ns0:v/>
      </ns0:c>
      <ns0:c r="CA62" s="93">
        <ns0:f>HYPERLINK("https://www1.hkexnews.hk/listedco/listconews/sehk/2021/0806/2021080601107.pdf","stabilisation")</ns0:f>
        <ns0:v/>
      </ns0:c>
      <ns0:c r="CB62" s="94" t="n"/>
      <ns0:c r="CC62" s="74" t="inlineStr">
        <ns0:is>
          <ns0:t>P/E: loss-making at IPO, use P/S</ns0:t>
        </ns0:is>
      </ns0:c>
    </ns0:row>
    <ns0:row r="63" ht="22" customHeight="1">
      <ns0:c r="A63" s="73" t="inlineStr">
        <ns0:is>
          <ns0:t>2175</ns0:t>
        </ns0:is>
      </ns0:c>
      <ns0:c r="B63" s="74" t="inlineStr">
        <ns0:is>
          <ns0:t>CH GENERAL EDU</ns0:t>
        </ns0:is>
      </ns0:c>
      <ns0:c r="C63" s="74" t="inlineStr">
        <ns0:is>
          <ns0:t>中國通才教育</ns0:t>
        </ns0:is>
      </ns0:c>
      <ns0:c r="D63" s="74" t="inlineStr">
        <ns0:is>
          <ns0:t>Consumer</ns0:t>
        </ns0:is>
      </ns0:c>
      <ns0:c r="E63" s="74" t="inlineStr">
        <ns0:is>
          <ns0:t>Consumer services / education</ns0:t>
        </ns0:is>
      </ns0:c>
      <ns0:c r="F63" s="74" t="inlineStr">
        <ns0:is>
          <ns0:t>Education Services</ns0:t>
        </ns0:is>
      </ns0:c>
      <ns0:c r="G63" s="74" t="inlineStr">
        <ns0:is>
          <ns0:t>Standard</ns0:t>
        </ns0:is>
      </ns0:c>
      <ns0:c r="H63" s="75" t="n">
        <ns0:v>44393</ns0:v>
      </ns0:c>
      <ns0:c r="I63" s="76" t="n">
        <ns0:v>461.2</ns0:v>
      </ns0:c>
      <ns0:c r="J63" s="74" t="inlineStr">
        <ns0:is>
          <ns0:t>gross (price x shares)</ns0:t>
        </ns0:is>
      </ns0:c>
      <ns0:c r="K63" s="77" t="n">
        <ns0:v>3.16</ns0:v>
      </ns0:c>
      <ns0:c r="L63" s="77" t="n">
        <ns0:v>4.38</ns0:v>
      </ns0:c>
      <ns0:c r="M63" s="77" t="n">
        <ns0:v>3.69</ns0:v>
      </ns0:c>
      <ns0:c r="N63" s="74" t="inlineStr">
        <ns0:is>
          <ns0:t>N</ns0:t>
        </ns0:is>
      </ns0:c>
      <ns0:c r="O63" s="78" t="n">
        <ns0:v>84.2</ns0:v>
      </ns0:c>
      <ns0:c r="P63" s="78" t="n">
        <ns0:v>43.4</ns0:v>
      </ns0:c>
      <ns0:c r="Q63" s="79" t="n">
        <ns0:v>2117</ns0:v>
      </ns0:c>
      <ns0:c r="R63" s="74" t="inlineStr">
        <ns0:is>
          <ns0:t>aastocks:上市市值 at the struck price</ns0:t>
        </ns0:is>
      </ns0:c>
      <ns0:c r="S63" s="80" t="n">
        <ns0:v>4.12</ns0:v>
      </ns0:c>
      <ns0:c r="T63" s="81" t="n">
        <ns0:v>1.47</ns0:v>
      </ns0:c>
      <ns0:c r="U63" s="82" t="n">
        <ns0:v>0</ns0:v>
      </ns0:c>
      <ns0:c r="V63" s="83" t="n">
        <ns0:v>110</ns0:v>
      </ns0:c>
      <ns0:c r="W63" s="84" t="n"/>
      <ns0:c r="X63" s="85" t="n"/>
      <ns0:c r="Y63" s="79" t="n">
        <ns0:v>461.2</ns0:v>
      </ns0:c>
      <ns0:c r="Z63" s="79" t="n">
        <ns0:v>125000000</ns0:v>
      </ns0:c>
      <ns0:c r="AA63" s="78" t="n">
        <ns0:v>21.79</ns0:v>
      </ns0:c>
      <ns0:c r="AB63" s="74" t="inlineStr">
        <ns0:is>
          <ns0:t>none — no cornerstone tranche</ns0:t>
        </ns0:is>
      </ns0:c>
      <ns0:c r="AC63" s="74" t="inlineStr">
        <ns0:is>
          <ns0:t>none</ns0:t>
        </ns0:is>
      </ns0:c>
      <ns0:c r="AD63" s="78" t="n">
        <ns0:v>20</ns0:v>
      </ns0:c>
      <ns0:c r="AE63" s="74" t="inlineStr">
        <ns0:is>
          <ns0:t>partial</ns0:t>
        </ns0:is>
      </ns0:c>
      <ns0:c r="AF63" s="85" t="n"/>
      <ns0:c r="AG63" s="74" t="inlineStr">
        <ns0:is>
          <ns0:t>Guotai Junan Securities</ns0:t>
        </ns0:is>
      </ns0:c>
      <ns0:c r="AH63" s="74" t="inlineStr">
        <ns0:is>
          <ns0:t>Guotai Junan</ns0:t>
        </ns0:is>
      </ns0:c>
      <ns0:c r="AI63" s="86" t="n">
        <ns0:v>-10.84</ns0:v>
      </ns0:c>
      <ns0:c r="AJ63" s="87" t="n">
        <ns0:v>0</ns0:v>
      </ns0:c>
      <ns0:c r="AK63" s="87" t="n">
        <ns0:v>-0.06</ns0:v>
      </ns0:c>
      <ns0:c r="AL63" s="87" t="n">
        <ns0:v>-10.84</ns0:v>
      </ns0:c>
      <ns0:c r="AM63" s="87" t="n">
        <ns0:v>12.16</ns0:v>
      </ns0:c>
      <ns0:c r="AN63" s="88" t="n"/>
      <ns0:c r="AO63" s="78" t="n">
        <ns0:v>12.46</ns0:v>
      </ns0:c>
      <ns0:c r="AP63" s="87" t="n">
        <ns0:v>0.8100000000000001</ns0:v>
      </ns0:c>
      <ns0:c r="AQ63" s="87" t="n">
        <ns0:v>20.6</ns0:v>
      </ns0:c>
      <ns0:c r="AR63" s="87" t="n">
        <ns0:v>16.8</ns0:v>
      </ns0:c>
      <ns0:c r="AS63" s="87" t="n">
        <ns0:v>0.8100000000000001</ns0:v>
      </ns0:c>
      <ns0:c r="AT63" s="87" t="n">
        <ns0:v>20.6</ns0:v>
      </ns0:c>
      <ns0:c r="AU63" s="87" t="n">
        <ns0:v>16.8</ns0:v>
      </ns0:c>
      <ns0:c r="AV63" s="87" t="n">
        <ns0:v>4.18</ns0:v>
      </ns0:c>
      <ns0:c r="AW63" s="87" t="n">
        <ns0:v>30.6</ns0:v>
      </ns0:c>
      <ns0:c r="AX63" s="87" t="n">
        <ns0:v>26.69</ns0:v>
      </ns0:c>
      <ns0:c r="AY63" s="87" t="n">
        <ns0:v>30.55</ns0:v>
      </ns0:c>
      <ns0:c r="AZ63" s="87" t="n">
        <ns0:v>-10</ns0:v>
      </ns0:c>
      <ns0:c r="BA63" s="87" t="n">
        <ns0:v>-9.949999999999999</ns0:v>
      </ns0:c>
      <ns0:c r="BB63" s="74" t="inlineStr">
        <ns0:is>
          <ns0:t>Hang Seng Commerce &amp; Industry sub-index</ns0:t>
        </ns0:is>
      </ns0:c>
      <ns0:c r="BC63" s="87" t="n">
        <ns0:v>-40.24</ns0:v>
      </ns0:c>
      <ns0:c r="BD63" s="75" t="n">
        <ns0:v>46297</ns0:v>
      </ns0:c>
      <ns0:c r="BE63" s="76" t="n">
        <ns0:v>298.2</ns0:v>
      </ns0:c>
      <ns0:c r="BF63" s="79" t="n">
        <ns0:v>157</ns0:v>
      </ns0:c>
      <ns0:c r="BG63" s="74" t="inlineStr">
        <ns0:is>
          <ns0:t>Y</ns0:t>
        </ns0:is>
      </ns0:c>
      <ns0:c r="BH63" s="89" t="n">
        <ns0:v>13.5</ns0:v>
      </ns0:c>
      <ns0:c r="BI63" s="88" t="n"/>
      <ns0:c r="BJ63" s="89" t="n">
        <ns0:v>13.5</ns0:v>
      </ns0:c>
      <ns0:c r="BK63" s="89" t="n">
        <ns0:v>7.1</ns0:v>
      </ns0:c>
      <ns0:c r="BL63" s="90">
        <ns0:f>IFERROR(IF('BBG Verify'!S63="","Awaiting Bloomberg",'BBG Verify'!S63),"Awaiting Bloomberg")</ns0:f>
        <ns0:v/>
      </ns0:c>
      <ns0:c r="BM63" s="91" t="inlineStr">
        <ns0:is>
          <ns0:t>N</ns0:t>
        </ns0:is>
      </ns0:c>
      <ns0:c r="BN63" s="92">
        <ns0:f>IFERROR(IF('BBG Verify'!K63="","Awaiting Bloomberg",'BBG Verify'!K63),"Awaiting Bloomberg")</ns0:f>
        <ns0:v/>
      </ns0:c>
      <ns0:c r="BO63" s="74" t="inlineStr">
        <ns0:is>
          <ns0:t>N/A</ns0:t>
        </ns0:is>
      </ns0:c>
      <ns0:c r="BP63" s="74" t="inlineStr">
        <ns0:is>
          <ns0:t>N/A</ns0:t>
        </ns0:is>
      </ns0:c>
      <ns0:c r="BQ63" s="74" t="inlineStr">
        <ns0:is>
          <ns0:t>N/A</ns0:t>
        </ns0:is>
      </ns0:c>
      <ns0:c r="BR63" s="74" t="inlineStr">
        <ns0:is>
          <ns0:t>N/A</ns0:t>
        </ns0:is>
      </ns0:c>
      <ns0:c r="BS63" s="74" t="inlineStr">
        <ns0:is>
          <ns0:t>N/A</ns0:t>
        </ns0:is>
      </ns0:c>
      <ns0:c r="BT63" s="74" t="inlineStr">
        <ns0:is>
          <ns0:t>N/A</ns0:t>
        </ns0:is>
      </ns0:c>
      <ns0:c r="BU63" s="91" t="inlineStr">
        <ns0:is>
          <ns0:t>Guotai Junan Capital Limited</ns0:t>
        </ns0:is>
      </ns0:c>
      <ns0:c r="BV63" s="74" t="inlineStr">
        <ns0:is>
          <ns0:t>Guotai Junan Capital Limited</ns0:t>
        </ns0:is>
      </ns0:c>
      <ns0:c r="BW63" s="74" t="inlineStr">
        <ns0:is>
          <ns0: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ns0:t>
        </ns0:is>
      </ns0:c>
      <ns0:c r="BX63" s="74" t="inlineStr">
        <ns0:is>
          <ns0: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ns0:t>
        </ns0:is>
      </ns0:c>
      <ns0:c r="BY63" s="93">
        <ns0:f>HYPERLINK("https://www1.hkexnews.hk/listedco/listconews/sehk/2021/0630/2021063000077.pdf","prospectus")</ns0:f>
        <ns0:v/>
      </ns0:c>
      <ns0:c r="BZ63" s="93">
        <ns0:f>HYPERLINK("https://www1.hkexnews.hk/listedco/listconews/sehk/2021/0715/2021071500034.htm","allotment")</ns0:f>
        <ns0:v/>
      </ns0:c>
      <ns0:c r="CA63" s="93">
        <ns0:f>HYPERLINK("https://www1.hkexnews.hk/listedco/listconews/sehk/2021/0808/2021080800003.pdf","stabilisation")</ns0:f>
        <ns0:v/>
      </ns0:c>
      <ns0:c r="CB63" s="94" t="n"/>
      <ns0:c r="CC63" s="74" t="inlineStr">
        <ns0:is>
          <ns0:t>greenshoe: outcome published; expiry date not in the notice; market cap: published listing cap used; the estimate from stated market capitalisation, rescaled to the offer price disagreed; cornerstone list: no cornerstone tranche; allocation: allocation table not in this notice's format (older prose announcement); day-1 tape: volume on file; the retail multiple needs the final public split, which this notice does not state</ns0:t>
        </ns0:is>
      </ns0:c>
    </ns0:row>
    <ns0:row r="64" ht="22" customHeight="1">
      <ns0:c r="A64" s="73" t="inlineStr">
        <ns0:is>
          <ns0:t>2205</ns0:t>
        </ns0:is>
      </ns0:c>
      <ns0:c r="B64" s="74" t="inlineStr">
        <ns0:is>
          <ns0:t>KANGQIAO SER</ns0:t>
        </ns0:is>
      </ns0:c>
      <ns0:c r="C64" s="74" t="inlineStr">
        <ns0:is>
          <ns0:t>康橋悅生活</ns0:t>
        </ns0:is>
      </ns0:c>
      <ns0:c r="D64" s="74" t="inlineStr">
        <ns0:is>
          <ns0:t>Real Estate</ns0:t>
        </ns0:is>
      </ns0:c>
      <ns0:c r="E64" s="74" t="inlineStr">
        <ns0:is>
          <ns0:t>Property management</ns0:t>
        </ns0:is>
      </ns0:c>
      <ns0:c r="F64" s="74" t="inlineStr">
        <ns0:is>
          <ns0:t>Property Service and Management</ns0:t>
        </ns0:is>
      </ns0:c>
      <ns0:c r="G64" s="74" t="inlineStr">
        <ns0:is>
          <ns0:t>Standard</ns0:t>
        </ns0:is>
      </ns0:c>
      <ns0:c r="H64" s="75" t="n">
        <ns0:v>44393</ns0:v>
      </ns0:c>
      <ns0:c r="I64" s="76" t="n">
        <ns0:v>644</ns0:v>
      </ns0:c>
      <ns0:c r="J64" s="74" t="inlineStr">
        <ns0:is>
          <ns0:t>gross (price x shares)</ns0:t>
        </ns0:is>
      </ns0:c>
      <ns0:c r="K64" s="77" t="n">
        <ns0:v>2.78</ns0:v>
      </ns0:c>
      <ns0:c r="L64" s="77" t="n">
        <ns0:v>3.88</ns0:v>
      </ns0:c>
      <ns0:c r="M64" s="77" t="n">
        <ns0:v>3.68</ns0:v>
      </ns0:c>
      <ns0:c r="N64" s="74" t="inlineStr">
        <ns0:is>
          <ns0:t>N</ns0:t>
        </ns0:is>
      </ns0:c>
      <ns0:c r="O64" s="78" t="n">
        <ns0:v>94.8</ns0:v>
      </ns0:c>
      <ns0:c r="P64" s="78" t="n">
        <ns0:v>81.8</ns0:v>
      </ns0:c>
      <ns0:c r="Q64" s="79" t="n">
        <ns0:v>2324.1</ns0:v>
      </ns0:c>
      <ns0:c r="R64" s="74" t="inlineStr">
        <ns0:is>
          <ns0:t>derived:deal size / offer % of enlarged capital</ns0:t>
        </ns0:is>
      </ns0:c>
      <ns0:c r="S64" s="80" t="n">
        <ns0:v>23.72</ns0:v>
      </ns0:c>
      <ns0:c r="T64" s="81" t="n">
        <ns0:v>1.55</ns0:v>
      </ns0:c>
      <ns0:c r="U64" s="82" t="n">
        <ns0:v>38.55</ns0:v>
      </ns0:c>
      <ns0:c r="V64" s="83" t="n">
        <ns0:v>127</ns0:v>
      </ns0:c>
      <ns0:c r="W64" s="78" t="n">
        <ns0:v>30</ns0:v>
      </ns0:c>
      <ns0:c r="X64" s="74" t="inlineStr">
        <ns0:is>
          <ns0:t>YES</ns0:t>
        </ns0:is>
      </ns0:c>
      <ns0:c r="Y64" s="79" t="n">
        <ns0:v>395.74</ns0:v>
      </ns0:c>
      <ns0:c r="Z64" s="79" t="n">
        <ns0:v>107537500</ns0:v>
      </ns0:c>
      <ns0:c r="AA64" s="78" t="n">
        <ns0:v>17.03</ns0:v>
      </ns0:c>
      <ns0:c r="AB64" s="74" t="inlineStr">
        <ns0:is>
          <ns0:t>58.com Holdings Inc; Autobio Group Co., Ltd; Country Garden Property Services HK Holdings Company Limited</ns0:t>
        </ns0:is>
      </ns0:c>
      <ns0:c r="AC64" s="74" t="inlineStr">
        <ns0:is>
          <ns0:t>58;autobio;country</ns0:t>
        </ns0:is>
      </ns0:c>
      <ns0:c r="AD64" s="78" t="n">
        <ns0:v>10.2</ns0:v>
      </ns0:c>
      <ns0:c r="AE64" s="74" t="inlineStr">
        <ns0:is>
          <ns0:t>lapsed</ns0:t>
        </ns0:is>
      </ns0:c>
      <ns0:c r="AF64" s="74" t="inlineStr">
        <ns0:is>
          <ns0:t>2021-08-08</ns0:t>
        </ns0:is>
      </ns0:c>
      <ns0:c r="AG64" s="74" t="inlineStr">
        <ns0:is>
          <ns0:t>CCB International Capital Limited</ns0:t>
        </ns0:is>
      </ns0:c>
      <ns0:c r="AH64" s="74" t="inlineStr">
        <ns0:is>
          <ns0:t>CCB</ns0:t>
        </ns0:is>
      </ns0:c>
      <ns0:c r="AI64" s="86" t="n">
        <ns0:v>-2.17</ns0:v>
      </ns0:c>
      <ns0:c r="AJ64" s="87" t="n">
        <ns0:v>-1.09</ns0:v>
      </ns0:c>
      <ns0:c r="AK64" s="87" t="n">
        <ns0:v>-0.38</ns0:v>
      </ns0:c>
      <ns0:c r="AL64" s="87" t="n">
        <ns0:v>0</ns0:v>
      </ns0:c>
      <ns0:c r="AM64" s="87" t="n">
        <ns0:v>-1.09</ns0:v>
      </ns0:c>
      <ns0:c r="AN64" s="89" t="n">
        <ns0:v>1.05</ns0:v>
      </ns0:c>
      <ns0:c r="AO64" s="78" t="n">
        <ns0:v>7.34</ns0:v>
      </ns0:c>
      <ns0:c r="AP64" s="87" t="n">
        <ns0:v>-1.09</ns0:v>
      </ns0:c>
      <ns0:c r="AQ64" s="87" t="n">
        <ns0:v>-2.99</ns0:v>
      </ns0:c>
      <ns0:c r="AR64" s="87" t="n">
        <ns0:v>-0.82</ns0:v>
      </ns0:c>
      <ns0:c r="AS64" s="87" t="n">
        <ns0:v>0</ns0:v>
      </ns0:c>
      <ns0:c r="AT64" s="87" t="n">
        <ns0:v>-1.92</ns0:v>
      </ns0:c>
      <ns0:c r="AU64" s="87" t="n">
        <ns0:v>0.27</ns0:v>
      </ns0:c>
      <ns0:c r="AV64" s="87" t="n">
        <ns0:v>0.46</ns0:v>
      </ns0:c>
      <ns0:c r="AW64" s="87" t="n">
        <ns0:v>2.73</ns0:v>
      </ns0:c>
      <ns0:c r="AX64" s="87" t="n">
        <ns0:v>10.38</ns0:v>
      </ns0:c>
      <ns0:c r="AY64" s="87" t="n">
        <ns0:v>3.44</ns0:v>
      </ns0:c>
      <ns0:c r="AZ64" s="87" t="n">
        <ns0:v>-5.72</ns0:v>
      </ns0:c>
      <ns0:c r="BA64" s="87" t="n">
        <ns0:v>-5.36</ns0:v>
      </ns0:c>
      <ns0:c r="BB64" s="74" t="inlineStr">
        <ns0:is>
          <ns0:t>Hang Seng Properties sub-index</ns0:t>
        </ns0:is>
      </ns0:c>
      <ns0:c r="BC64" s="87" t="n">
        <ns0:v>-88.04000000000001</ns0:v>
      </ns0:c>
      <ns0:c r="BD64" s="75" t="n">
        <ns0:v>46297</ns0:v>
      </ns0:c>
      <ns0:c r="BE64" s="76" t="n">
        <ns0:v>633.1</ns0:v>
      </ns0:c>
      <ns0:c r="BF64" s="79" t="n">
        <ns0:v>101</ns0:v>
      </ns0:c>
      <ns0:c r="BG64" s="74" t="inlineStr">
        <ns0:is>
          <ns0:t>Y</ns0:t>
        </ns0:is>
      </ns0:c>
      <ns0:c r="BH64" s="89" t="n">
        <ns0:v>23</ns0:v>
      </ns0:c>
      <ns0:c r="BI64" s="89" t="n">
        <ns0:v>16.3</ns0:v>
      </ns0:c>
      <ns0:c r="BJ64" s="88" t="n"/>
      <ns0:c r="BK64" s="89" t="n">
        <ns0:v>3.7</ns0:v>
      </ns0:c>
      <ns0:c r="BL64" s="90">
        <ns0:f>IFERROR(IF('BBG Verify'!S64="","Awaiting Bloomberg",'BBG Verify'!S64),"Awaiting Bloomberg")</ns0:f>
        <ns0:v/>
      </ns0:c>
      <ns0:c r="BM64" s="91" t="inlineStr">
        <ns0:is>
          <ns0:t>N</ns0:t>
        </ns0:is>
      </ns0:c>
      <ns0:c r="BN64" s="92">
        <ns0:f>IFERROR(IF('BBG Verify'!K64="","Awaiting Bloomberg",'BBG Verify'!K64),"Awaiting Bloomberg")</ns0:f>
        <ns0:v/>
      </ns0:c>
      <ns0:c r="BO64" s="74" t="inlineStr">
        <ns0:is>
          <ns0:t>N/A</ns0:t>
        </ns0:is>
      </ns0:c>
      <ns0:c r="BP64" s="74" t="inlineStr">
        <ns0:is>
          <ns0:t>N/A</ns0:t>
        </ns0:is>
      </ns0:c>
      <ns0:c r="BQ64" s="74" t="inlineStr">
        <ns0:is>
          <ns0:t>N/A</ns0:t>
        </ns0:is>
      </ns0:c>
      <ns0:c r="BR64" s="74" t="inlineStr">
        <ns0:is>
          <ns0:t>N/A</ns0:t>
        </ns0:is>
      </ns0:c>
      <ns0:c r="BS64" s="74" t="inlineStr">
        <ns0:is>
          <ns0:t>N/A</ns0:t>
        </ns0:is>
      </ns0:c>
      <ns0:c r="BT64" s="74" t="inlineStr">
        <ns0:is>
          <ns0:t>N/A</ns0:t>
        </ns0:is>
      </ns0:c>
      <ns0:c r="BU64" s="91" t="inlineStr">
        <ns0:is>
          <ns0:t>CCB International Capital Limited</ns0:t>
        </ns0:is>
      </ns0:c>
      <ns0:c r="BV64" s="74" t="inlineStr">
        <ns0:is>
          <ns0:t>CCB International Capital Limited</ns0:t>
        </ns0:is>
      </ns0:c>
      <ns0:c r="BW64" s="74" t="inlineStr">
        <ns0:is>
          <ns0:t>CCB International Capital Limited; Haitong International Securities Company Limited; Sheng Yuan Securities Limited; Shenwan Hongyuan Securities (H.K.) Limited; DL SECURITIES (HK) LIMITED</ns0:t>
        </ns0:is>
      </ns0:c>
      <ns0:c r="BX64" s="74" t="inlineStr">
        <ns0:is>
          <ns0: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ns0:t>
        </ns0:is>
      </ns0:c>
      <ns0:c r="BY64" s="93">
        <ns0:f>HYPERLINK("https://www1.hkexnews.hk/listedco/listconews/sehk/2021/0629/2021062900193.pdf","prospectus")</ns0:f>
        <ns0:v/>
      </ns0:c>
      <ns0:c r="BZ64" s="93">
        <ns0:f>HYPERLINK("https://www1.hkexnews.hk/listedco/listconews/sehk/2021/0715/2021071500080.htm","allotment")</ns0:f>
        <ns0:v/>
      </ns0:c>
      <ns0:c r="CA64" s="93">
        <ns0:f>HYPERLINK("https://www1.hkexnews.hk/listedco/listconews/sehk/2021/0809/2021080900033.pdf","stabilisation")</ns0:f>
        <ns0:v/>
      </ns0:c>
      <ns0:c r="CB64" s="94" t="n"/>
      <ns0:c r="CC64" s="74" t="inlineStr"/>
    </ns0:row>
    <ns0:row r="65" ht="22" customHeight="1">
      <ns0:c r="A65" s="73" t="inlineStr">
        <ns0:is>
          <ns0:t>6616</ns0:t>
        </ns0:is>
      </ns0:c>
      <ns0:c r="B65" s="74" t="inlineStr">
        <ns0:is>
          <ns0:t>GLOBAL NEW MAT</ns0:t>
        </ns0:is>
      </ns0:c>
      <ns0:c r="C65" s="74" t="inlineStr">
        <ns0:is>
          <ns0:t>環球新材國際</ns0:t>
        </ns0:is>
      </ns0:c>
      <ns0:c r="D65" s="74" t="inlineStr">
        <ns0:is>
          <ns0:t>Materials/Energy</ns0:t>
        </ns0:is>
      </ns0:c>
      <ns0:c r="E65" s="74" t="inlineStr">
        <ns0:is>
          <ns0:t>Chemicals</ns0:t>
        </ns0:is>
      </ns0:c>
      <ns0:c r="F65" s="74" t="inlineStr">
        <ns0:is>
          <ns0:t>Diversified Chemicals</ns0:t>
        </ns0:is>
      </ns0:c>
      <ns0:c r="G65" s="74" t="inlineStr">
        <ns0:is>
          <ns0:t>Standard</ns0:t>
        </ns0:is>
      </ns0:c>
      <ns0:c r="H65" s="75" t="n">
        <ns0:v>44393</ns0:v>
      </ns0:c>
      <ns0:c r="I65" s="76" t="n">
        <ns0:v>944.7</ns0:v>
      </ns0:c>
      <ns0:c r="J65" s="74" t="inlineStr">
        <ns0:is>
          <ns0:t>gross (price x shares)</ns0:t>
        </ns0:is>
      </ns0:c>
      <ns0:c r="K65" s="77" t="n">
        <ns0:v>3.52</ns0:v>
      </ns0:c>
      <ns0:c r="L65" s="77" t="n">
        <ns0:v>4.22</ns0:v>
      </ns0:c>
      <ns0:c r="M65" s="77" t="n">
        <ns0:v>3.25</ns0:v>
      </ns0:c>
      <ns0:c r="N65" s="74" t="inlineStr">
        <ns0:is>
          <ns0:t>N</ns0:t>
        </ns0:is>
      </ns0:c>
      <ns0:c r="O65" s="78" t="n">
        <ns0:v>77</ns0:v>
      </ns0:c>
      <ns0:c r="P65" s="78" t="n">
        <ns0:v>-38.6</ns0:v>
      </ns0:c>
      <ns0:c r="Q65" s="79" t="n">
        <ns0:v>4741.6</ns0:v>
      </ns0:c>
      <ns0:c r="R65" s="74" t="inlineStr">
        <ns0:is>
          <ns0:t>aastocks:上市市值 at the struck price</ns0:t>
        </ns0:is>
      </ns0:c>
      <ns0:c r="S65" s="80" t="n">
        <ns0:v>10.79</ns0:v>
      </ns0:c>
      <ns0:c r="T65" s="81" t="n">
        <ns0:v>1.16</ns0:v>
      </ns0:c>
      <ns0:c r="U65" s="82" t="n">
        <ns0:v>2.1</ns0:v>
      </ns0:c>
      <ns0:c r="V65" s="83" t="n">
        <ns0:v>177</ns0:v>
      </ns0:c>
      <ns0:c r="W65" s="84" t="n"/>
      <ns0:c r="X65" s="85" t="n"/>
      <ns0:c r="Y65" s="79" t="n">
        <ns0:v>924.86</ns0:v>
      </ns0:c>
      <ns0:c r="Z65" s="79" t="n">
        <ns0:v>284569846</ns0:v>
      </ns0:c>
      <ns0:c r="AA65" s="78" t="n">
        <ns0:v>19.51</ns0:v>
      </ns0:c>
      <ns0:c r="AB65" s="74" t="inlineStr">
        <ns0:is>
          <ns0:t>Shanghai Huijin Asset Management Co., Ltd; YBN Investments</ns0:t>
        </ns0:is>
      </ns0:c>
      <ns0:c r="AC65" s="74" t="inlineStr">
        <ns0:is>
          <ns0:t>shanghai-huijin;ybn</ns0:t>
        </ns0:is>
      </ns0:c>
      <ns0:c r="AD65" s="78" t="n">
        <ns0:v>6.6</ns0:v>
      </ns0:c>
      <ns0:c r="AE65" s="74" t="inlineStr">
        <ns0:is>
          <ns0:t>partial</ns0:t>
        </ns0:is>
      </ns0:c>
      <ns0:c r="AF65" s="74" t="inlineStr">
        <ns0:is>
          <ns0:t>2021-08-05</ns0:t>
        </ns0:is>
      </ns0:c>
      <ns0:c r="AG65" s="74" t="inlineStr">
        <ns0:is>
          <ns0:t>Essence International Securities</ns0:t>
        </ns0:is>
      </ns0:c>
      <ns0:c r="AH65" s="74" t="inlineStr">
        <ns0:is>
          <ns0:t>Essence</ns0:t>
        </ns0:is>
      </ns0:c>
      <ns0:c r="AI65" s="86" t="n">
        <ns0:v>21.54</ns0:v>
      </ns0:c>
      <ns0:c r="AJ65" s="87" t="n">
        <ns0:v>13.85</ns0:v>
      </ns0:c>
      <ns0:c r="AK65" s="87" t="n">
        <ns0:v>-0.06</ns0:v>
      </ns0:c>
      <ns0:c r="AL65" s="87" t="n">
        <ns0:v>26.15</ns0:v>
      </ns0:c>
      <ns0:c r="AM65" s="87" t="n">
        <ns0:v>-9.75</ns0:v>
      </ns0:c>
      <ns0:c r="AN65" s="88" t="n"/>
      <ns0:c r="AO65" s="78" t="n">
        <ns0:v>13.41</ns0:v>
      </ns0:c>
      <ns0:c r="AP65" s="87" t="n">
        <ns0:v>26.46</ns0:v>
      </ns0:c>
      <ns0:c r="AQ65" s="87" t="n">
        <ns0:v>93.84999999999999</ns0:v>
      </ns0:c>
      <ns0:c r="AR65" s="87" t="n">
        <ns0:v>61.54</ns0:v>
      </ns0:c>
      <ns0:c r="AS65" s="87" t="n">
        <ns0:v>11.08</ns0:v>
      </ns0:c>
      <ns0:c r="AT65" s="87" t="n">
        <ns0:v>70.27</ns0:v>
      </ns0:c>
      <ns0:c r="AU65" s="87" t="n">
        <ns0:v>41.89</ns0:v>
      </ns0:c>
      <ns0:c r="AV65" s="87" t="n">
        <ns0:v>29.83</ns0:v>
      </ns0:c>
      <ns0:c r="AW65" s="87" t="n">
        <ns0:v>103.85</ns0:v>
      </ns0:c>
      <ns0:c r="AX65" s="87" t="n">
        <ns0:v>71.43000000000001</ns0:v>
      </ns0:c>
      <ns0:c r="AY65" s="87" t="n">
        <ns0:v>80.22</ns0:v>
      </ns0:c>
      <ns0:c r="AZ65" s="87" t="n">
        <ns0:v>-10</ns0:v>
      </ns0:c>
      <ns0:c r="BA65" s="87" t="n">
        <ns0:v>-9.949999999999999</ns0:v>
      </ns0:c>
      <ns0:c r="BB65" s="74" t="inlineStr">
        <ns0:is>
          <ns0:t>Hang Seng Commerce &amp; Industry sub-index</ns0:t>
        </ns0:is>
      </ns0:c>
      <ns0:c r="BC65" s="87" t="n">
        <ns0:v>178.46</ns0:v>
      </ns0:c>
      <ns0:c r="BD65" s="75" t="n">
        <ns0:v>46297</ns0:v>
      </ns0:c>
      <ns0:c r="BE65" s="76" t="n">
        <ns0:v>626</ns0:v>
      </ns0:c>
      <ns0:c r="BF65" s="79" t="n">
        <ns0:v>168.1</ns0:v>
      </ns0:c>
      <ns0:c r="BG65" s="74" t="inlineStr">
        <ns0:is>
          <ns0:t>Y</ns0:t>
        </ns0:is>
      </ns0:c>
      <ns0:c r="BH65" s="89" t="n">
        <ns0:v>28.2</ns0:v>
      </ns0:c>
      <ns0:c r="BI65" s="88" t="n"/>
      <ns0:c r="BJ65" s="88" t="n"/>
      <ns0:c r="BK65" s="89" t="n">
        <ns0:v>7.6</ns0:v>
      </ns0:c>
      <ns0:c r="BL65" s="90">
        <ns0:f>IFERROR(IF('BBG Verify'!S65="","Awaiting Bloomberg",'BBG Verify'!S65),"Awaiting Bloomberg")</ns0:f>
        <ns0:v/>
      </ns0:c>
      <ns0:c r="BM65" s="91" t="inlineStr">
        <ns0:is>
          <ns0:t>N</ns0:t>
        </ns0:is>
      </ns0:c>
      <ns0:c r="BN65" s="92">
        <ns0:f>IFERROR(IF('BBG Verify'!K65="","Awaiting Bloomberg",'BBG Verify'!K65),"Awaiting Bloomberg")</ns0:f>
        <ns0:v/>
      </ns0:c>
      <ns0:c r="BO65" s="74" t="inlineStr">
        <ns0:is>
          <ns0:t>N/A</ns0:t>
        </ns0:is>
      </ns0:c>
      <ns0:c r="BP65" s="74" t="inlineStr">
        <ns0:is>
          <ns0:t>N/A</ns0:t>
        </ns0:is>
      </ns0:c>
      <ns0:c r="BQ65" s="74" t="inlineStr">
        <ns0:is>
          <ns0:t>N/A</ns0:t>
        </ns0:is>
      </ns0:c>
      <ns0:c r="BR65" s="74" t="inlineStr">
        <ns0:is>
          <ns0:t>N/A</ns0:t>
        </ns0:is>
      </ns0:c>
      <ns0:c r="BS65" s="74" t="inlineStr">
        <ns0:is>
          <ns0:t>N/A</ns0:t>
        </ns0:is>
      </ns0:c>
      <ns0:c r="BT65" s="74" t="inlineStr">
        <ns0:is>
          <ns0:t>N/A</ns0:t>
        </ns0:is>
      </ns0:c>
      <ns0:c r="BU65" s="91" t="inlineStr">
        <ns0:is>
          <ns0:t>Essence Corporate Finance (Hong Kong) Limited</ns0:t>
        </ns0:is>
      </ns0:c>
      <ns0:c r="BV65" s="74" t="inlineStr">
        <ns0:is>
          <ns0:t>Essence Corporate Finance (Hong Kong) Limited</ns0:t>
        </ns0:is>
      </ns0:c>
      <ns0:c r="BW65" s="74" t="inlineStr">
        <ns0:is>
          <ns0: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ns0:t>
        </ns0:is>
      </ns0:c>
      <ns0:c r="BX65" s="74" t="inlineStr">
        <ns0:is>
          <ns0: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ns0:t>
        </ns0:is>
      </ns0:c>
      <ns0:c r="BY65" s="93">
        <ns0:f>HYPERLINK("https://www1.hkexnews.hk/listedco/listconews/sehk/2021/0630/2021063000059.pdf","prospectus")</ns0:f>
        <ns0:v/>
      </ns0:c>
      <ns0:c r="BZ65" s="93">
        <ns0:f>HYPERLINK("https://www1.hkexnews.hk/listedco/listconews/sehk/2021/0715/2021071500120.htm","allotment")</ns0:f>
        <ns0:v/>
      </ns0:c>
      <ns0:c r="CA65" s="93">
        <ns0:f>HYPERLINK("https://www1.hkexnews.hk/listedco/listconews/sehk/2021/0805/2021080502158.pdf","stabilisation")</ns0:f>
        <ns0:v/>
      </ns0:c>
      <ns0:c r="CB65" s="94" t="n"/>
      <ns0:c r="CC65" s="74" t="inlineStr">
        <ns0:is>
          <ns0:t>price range: priced HK$3.25, below the HK$3.52 floor (downward offer price adjustment); 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ns0:t>
        </ns0:is>
      </ns0:c>
    </ns0:row>
    <ns0:row r="66" ht="22" customHeight="1">
      <ns0:c r="A66" s="73" t="inlineStr">
        <ns0:is>
          <ns0:t>6611</ns0:t>
        </ns0:is>
      </ns0:c>
      <ns0:c r="B66" s="74" t="inlineStr">
        <ns0:is>
          <ns0:t>SANXUN GROUP</ns0:t>
        </ns0:is>
      </ns0:c>
      <ns0:c r="C66" s="74" t="inlineStr">
        <ns0:is>
          <ns0:t>三巽集團</ns0:t>
        </ns0:is>
      </ns0:c>
      <ns0:c r="D66" s="74" t="inlineStr">
        <ns0:is>
          <ns0:t>Real Estate</ns0:t>
        </ns0:is>
      </ns0:c>
      <ns0:c r="E66" s="74" t="inlineStr">
        <ns0:is>
          <ns0:t>Developers</ns0:t>
        </ns0:is>
      </ns0:c>
      <ns0:c r="F66" s="74" t="inlineStr">
        <ns0:is>
          <ns0:t>Property Development</ns0:t>
        </ns0:is>
      </ns0:c>
      <ns0:c r="G66" s="74" t="inlineStr">
        <ns0:is>
          <ns0:t>Standard</ns0:t>
        </ns0:is>
      </ns0:c>
      <ns0:c r="H66" s="75" t="n">
        <ns0:v>44396</ns0:v>
      </ns0:c>
      <ns0:c r="I66" s="76" t="n">
        <ns0:v>783.8</ns0:v>
      </ns0:c>
      <ns0:c r="J66" s="74" t="inlineStr">
        <ns0:is>
          <ns0:t>gross (price x shares)</ns0:t>
        </ns0:is>
      </ns0:c>
      <ns0:c r="K66" s="77" t="n">
        <ns0:v>3.3</ns0:v>
      </ns0:c>
      <ns0:c r="L66" s="77" t="n">
        <ns0:v>5.2</ns0:v>
      </ns0:c>
      <ns0:c r="M66" s="77" t="n">
        <ns0:v>4.75</ns0:v>
      </ns0:c>
      <ns0:c r="N66" s="74" t="inlineStr">
        <ns0:is>
          <ns0:t>N</ns0:t>
        </ns0:is>
      </ns0:c>
      <ns0:c r="O66" s="78" t="n">
        <ns0:v>91.3</ns0:v>
      </ns0:c>
      <ns0:c r="P66" s="78" t="n">
        <ns0:v>76.3</ns0:v>
      </ns0:c>
      <ns0:c r="Q66" s="79" t="n">
        <ns0:v>2805</ns0:v>
      </ns0:c>
      <ns0:c r="R66" s="74" t="inlineStr">
        <ns0:is>
          <ns0:t>prospectus:stated market capitalisation</ns0:t>
        </ns0:is>
      </ns0:c>
      <ns0:c r="S66" s="80" t="n">
        <ns0:v>3.22</ns0:v>
      </ns0:c>
      <ns0:c r="T66" s="81" t="n">
        <ns0:v>1.29</ns0:v>
      </ns0:c>
      <ns0:c r="U66" s="82" t="n">
        <ns0:v>0</ns0:v>
      </ns0:c>
      <ns0:c r="V66" s="83" t="n">
        <ns0:v>109</ns0:v>
      </ns0:c>
      <ns0:c r="W66" s="84" t="n"/>
      <ns0:c r="X66" s="85" t="n"/>
      <ns0:c r="Y66" s="79" t="n">
        <ns0:v>783.8</ns0:v>
      </ns0:c>
      <ns0:c r="Z66" s="79" t="n">
        <ns0:v>165000000</ns0:v>
      </ns0:c>
      <ns0:c r="AA66" s="78" t="n">
        <ns0:v>27.94</ns0:v>
      </ns0:c>
      <ns0:c r="AB66" s="74" t="inlineStr">
        <ns0:is>
          <ns0:t>none — no cornerstone tranche</ns0:t>
        </ns0:is>
      </ns0:c>
      <ns0:c r="AC66" s="74" t="inlineStr">
        <ns0:is>
          <ns0:t>none</ns0:t>
        </ns0:is>
      </ns0:c>
      <ns0:c r="AD66" s="78" t="n">
        <ns0:v>15</ns0:v>
      </ns0:c>
      <ns0:c r="AE66" s="74" t="inlineStr">
        <ns0:is>
          <ns0:t>partial</ns0:t>
        </ns0:is>
      </ns0:c>
      <ns0:c r="AF66" s="74" t="inlineStr">
        <ns0:is>
          <ns0:t>2021-08-11</ns0:t>
        </ns0:is>
      </ns0:c>
      <ns0:c r="AG66" s="74" t="inlineStr">
        <ns0:is>
          <ns0:t>CCB International Capital Limited</ns0:t>
        </ns0:is>
      </ns0:c>
      <ns0:c r="AH66" s="74" t="inlineStr">
        <ns0:is>
          <ns0:t>CCB</ns0:t>
        </ns0:is>
      </ns0:c>
      <ns0:c r="AI66" s="86" t="n">
        <ns0:v>0.63</ns0:v>
      </ns0:c>
      <ns0:c r="AJ66" s="87" t="n">
        <ns0:v>0</ns0:v>
      </ns0:c>
      <ns0:c r="AK66" s="87" t="n">
        <ns0:v>-1.17</ns0:v>
      </ns0:c>
      <ns0:c r="AL66" s="87" t="n">
        <ns0:v>0.21</ns0:v>
      </ns0:c>
      <ns0:c r="AM66" s="87" t="n">
        <ns0:v>-0.21</ns0:v>
      </ns0:c>
      <ns0:c r="AN66" s="88" t="n"/>
      <ns0:c r="AO66" s="78" t="n">
        <ns0:v>0.42</ns0:v>
      </ns0:c>
      <ns0:c r="AP66" s="87" t="n">
        <ns0:v>0</ns0:v>
      </ns0:c>
      <ns0:c r="AQ66" s="87" t="n">
        <ns0:v>-7.37</ns0:v>
      </ns0:c>
      <ns0:c r="AR66" s="87" t="n">
        <ns0:v>-3.16</ns0:v>
      </ns0:c>
      <ns0:c r="AS66" s="87" t="n">
        <ns0:v>0</ns0:v>
      </ns0:c>
      <ns0:c r="AT66" s="87" t="n">
        <ns0:v>-7.37</ns0:v>
      </ns0:c>
      <ns0:c r="AU66" s="87" t="n">
        <ns0:v>-3.16</ns0:v>
      </ns0:c>
      <ns0:c r="AV66" s="87" t="n">
        <ns0:v>4.15</ns0:v>
      </ns0:c>
      <ns0:c r="AW66" s="87" t="n">
        <ns0:v>-1.03</ns0:v>
      </ns0:c>
      <ns0:c r="AX66" s="87" t="n">
        <ns0:v>7.04</ns0:v>
      </ns0:c>
      <ns0:c r="AY66" s="87" t="n">
        <ns0:v>-2.14</ns0:v>
      </ns0:c>
      <ns0:c r="AZ66" s="87" t="n">
        <ns0:v>-6.34</ns0:v>
      </ns0:c>
      <ns0:c r="BA66" s="87" t="n">
        <ns0:v>-5.23</ns0:v>
      </ns0:c>
      <ns0:c r="BB66" s="74" t="inlineStr">
        <ns0:is>
          <ns0:t>Hang Seng Properties sub-index</ns0:t>
        </ns0:is>
      </ns0:c>
      <ns0:c r="BC66" s="87" t="n">
        <ns0:v>-99.03</ns0:v>
      </ns0:c>
      <ns0:c r="BD66" s="75" t="n">
        <ns0:v>45747</ns0:v>
      </ns0:c>
      <ns0:c r="BE66" s="76" t="n">
        <ns0:v>4340.7</ns0:v>
      </ns0:c>
      <ns0:c r="BF66" s="79" t="n">
        <ns0:v>404.5</ns0:v>
      </ns0:c>
      <ns0:c r="BG66" s="74" t="inlineStr">
        <ns0:is>
          <ns0:t>Y</ns0:t>
        </ns0:is>
      </ns0:c>
      <ns0:c r="BH66" s="89" t="n">
        <ns0:v>6.9</ns0:v>
      </ns0:c>
      <ns0:c r="BI66" s="88" t="n"/>
      <ns0:c r="BJ66" s="88" t="n"/>
      <ns0:c r="BK66" s="89" t="n">
        <ns0:v>0.6</ns0:v>
      </ns0:c>
      <ns0:c r="BL66" s="90">
        <ns0:f>IFERROR(IF('BBG Verify'!S66="","Awaiting Bloomberg",'BBG Verify'!S66),"Awaiting Bloomberg")</ns0:f>
        <ns0:v/>
      </ns0:c>
      <ns0:c r="BM66" s="91" t="inlineStr">
        <ns0:is>
          <ns0:t>N</ns0:t>
        </ns0:is>
      </ns0:c>
      <ns0:c r="BN66" s="92">
        <ns0:f>IFERROR(IF('BBG Verify'!K66="","Awaiting Bloomberg",'BBG Verify'!K66),"Awaiting Bloomberg")</ns0:f>
        <ns0:v/>
      </ns0:c>
      <ns0:c r="BO66" s="74" t="inlineStr">
        <ns0:is>
          <ns0:t>N/A</ns0:t>
        </ns0:is>
      </ns0:c>
      <ns0:c r="BP66" s="74" t="inlineStr">
        <ns0:is>
          <ns0:t>N/A</ns0:t>
        </ns0:is>
      </ns0:c>
      <ns0:c r="BQ66" s="74" t="inlineStr">
        <ns0:is>
          <ns0:t>N/A</ns0:t>
        </ns0:is>
      </ns0:c>
      <ns0:c r="BR66" s="74" t="inlineStr">
        <ns0:is>
          <ns0:t>N/A</ns0:t>
        </ns0:is>
      </ns0:c>
      <ns0:c r="BS66" s="74" t="inlineStr">
        <ns0:is>
          <ns0:t>N/A</ns0:t>
        </ns0:is>
      </ns0:c>
      <ns0:c r="BT66" s="74" t="inlineStr">
        <ns0:is>
          <ns0:t>N/A</ns0:t>
        </ns0:is>
      </ns0:c>
      <ns0:c r="BU66" s="91" t="inlineStr">
        <ns0:is>
          <ns0:t>CCB International Capital Limited</ns0:t>
        </ns0:is>
      </ns0:c>
      <ns0:c r="BV66" s="74" t="inlineStr">
        <ns0:is>
          <ns0:t>CCB International Capital Limited</ns0:t>
        </ns0:is>
      </ns0:c>
      <ns0:c r="BW66" s="74" t="inlineStr">
        <ns0:is>
          <ns0:t>CCB International Capital Limited; CRIC Securities Company Limited; BOCOM International Securities Limited</ns0:t>
        </ns0:is>
      </ns0:c>
      <ns0:c r="BX66" s="74" t="inlineStr">
        <ns0:is>
          <ns0:t>Beta International Securities Limited; CCB International Capital Limited; CRIC Securities Company Limited; Futu Securities International (Hong Kong) Limited; I Win Securities Limited; Valuable Capital Limited</ns0:t>
        </ns0:is>
      </ns0:c>
      <ns0:c r="BY66" s="93">
        <ns0:f>HYPERLINK("https://www1.hkexnews.hk/listedco/listconews/sehk/2021/0630/2021063000037.pdf","prospectus")</ns0:f>
        <ns0:v/>
      </ns0:c>
      <ns0:c r="BZ66" s="93">
        <ns0:f>HYPERLINK("https://www1.hkexnews.hk/listedco/listconews/sehk/2021/0716/2021071600044.htm","allotment")</ns0:f>
        <ns0:v/>
      </ns0:c>
      <ns0:c r="CA66" s="93">
        <ns0:f>HYPERLINK("https://www1.hkexnews.hk/listedco/listconews/sehk/2021/0811/2021081101494.pdf","stabilisation")</ns0:f>
        <ns0:v/>
      </ns0:c>
      <ns0:c r="CB66" s="94" t="n"/>
      <ns0:c r="CC66" s="74" t="inlineStr">
        <ns0:is>
          <ns0:t>sponsor: English name not in the filing; AAStocks 保薦人 shown; cornerstone list: no cornerstone tranche; price series: Confirmed suspension; last traded close 2025-03-31; price and benchmark returns both end on that date.; allocation: allocation table not in this notice's format (older prose announcement); day-1 tape: volume on file; the retail multiple needs the final public split, which this notice does not state</ns0:t>
        </ns0:is>
      </ns0:c>
    </ns0:row>
    <ns0:row r="67" ht="22" customHeight="1">
      <ns0:c r="A67" s="73" t="inlineStr">
        <ns0:is>
          <ns0:t>2015</ns0:t>
        </ns0:is>
      </ns0:c>
      <ns0:c r="B67" s="74" t="inlineStr">
        <ns0:is>
          <ns0:t>LI AUTO-W</ns0:t>
        </ns0:is>
      </ns0:c>
      <ns0:c r="C67" s="74" t="inlineStr">
        <ns0:is>
          <ns0:t>理想汽車－Ｗ</ns0:t>
        </ns0:is>
      </ns0:c>
      <ns0:c r="D67" s="74" t="inlineStr">
        <ns0:is>
          <ns0:t>Consumer</ns0:t>
        </ns0:is>
      </ns0:c>
      <ns0:c r="E67" s="74" t="inlineStr">
        <ns0:is>
          <ns0:t>Autos (NEV OEM)</ns0:t>
        </ns0:is>
      </ns0:c>
      <ns0:c r="F67" s="74" t="inlineStr">
        <ns0:is>
          <ns0:t>Automobile Manufacturers</ns0:t>
        </ns0:is>
      </ns0:c>
      <ns0:c r="G67" s="74" t="inlineStr">
        <ns0:is>
          <ns0:t>WVR</ns0:t>
        </ns0:is>
      </ns0:c>
      <ns0:c r="H67" s="75" t="n">
        <ns0:v>44420</ns0:v>
      </ns0:c>
      <ns0:c r="I67" s="76" t="n">
        <ns0:v>11800</ns0:v>
      </ns0:c>
      <ns0:c r="J67" s="74" t="inlineStr">
        <ns0:is>
          <ns0:t>gross (price x shares)</ns0:t>
        </ns0:is>
      </ns0:c>
      <ns0:c r="K67" s="95" t="n"/>
      <ns0:c r="L67" s="77" t="n">
        <ns0:v>150</ns0:v>
      </ns0:c>
      <ns0:c r="M67" s="77" t="n">
        <ns0:v>118</ns0:v>
      </ns0:c>
      <ns0:c r="N67" s="74" t="inlineStr">
        <ns0:is>
          <ns0:t>N</ns0:t>
        </ns0:is>
      </ns0:c>
      <ns0:c r="O67" s="78" t="n">
        <ns0:v>78.7</ns0:v>
      </ns0:c>
      <ns0:c r="P67" s="84" t="n"/>
      <ns0:c r="Q67" s="79" t="n">
        <ns0:v>242136</ns0:v>
      </ns0:c>
      <ns0:c r="R67" s="74" t="inlineStr">
        <ns0:is>
          <ns0:t>prospectus:stated market capitalisation, rescaled to the offer price</ns0:t>
        </ns0:is>
      </ns0:c>
      <ns0:c r="S67" s="80" t="n">
        <ns0:v>5.5</ns0:v>
      </ns0:c>
      <ns0:c r="T67" s="81" t="n">
        <ns0:v>7.9</ns0:v>
      </ns0:c>
      <ns0:c r="U67" s="82" t="n">
        <ns0:v>0</ns0:v>
      </ns0:c>
      <ns0:c r="V67" s="83" t="n">
        <ns0:v>108</ns0:v>
      </ns0:c>
      <ns0:c r="W67" s="84" t="n"/>
      <ns0:c r="X67" s="85" t="n"/>
      <ns0:c r="Y67" s="79" t="n">
        <ns0:v>11800</ns0:v>
      </ns0:c>
      <ns0:c r="Z67" s="79" t="n">
        <ns0:v>100000000</ns0:v>
      </ns0:c>
      <ns0:c r="AA67" s="78" t="n">
        <ns0:v>4.87</ns0:v>
      </ns0:c>
      <ns0:c r="AB67" s="74" t="inlineStr">
        <ns0:is>
          <ns0:t>none — no cornerstone tranche</ns0:t>
        </ns0:is>
      </ns0:c>
      <ns0:c r="AC67" s="74" t="inlineStr">
        <ns0:is>
          <ns0:t>none</ns0:t>
        </ns0:is>
      </ns0:c>
      <ns0:c r="AD67" s="78" t="n">
        <ns0:v>5.56</ns0:v>
      </ns0:c>
      <ns0:c r="AE67" s="74" t="inlineStr">
        <ns0:is>
          <ns0:t>partial</ns0:t>
        </ns0:is>
      </ns0:c>
      <ns0:c r="AF67" s="85" t="n"/>
      <ns0:c r="AG67" s="74" t="inlineStr">
        <ns0:is>
          <ns0:t>Goldman Sachs</ns0:t>
        </ns0:is>
      </ns0:c>
      <ns0:c r="AH67" s="74" t="inlineStr">
        <ns0:is>
          <ns0:t>Goldman Sachs</ns0:t>
        </ns0:is>
      </ns0:c>
      <ns0:c r="AI67" s="86" t="n">
        <ns0:v>-1.78</ns0:v>
      </ns0:c>
      <ns0:c r="AJ67" s="87" t="n">
        <ns0:v>-0.85</ns0:v>
      </ns0:c>
      <ns0:c r="AK67" s="87" t="n">
        <ns0:v>-0.17</ns0:v>
      </ns0:c>
      <ns0:c r="AL67" s="87" t="n">
        <ns0:v>0</ns0:v>
      </ns0:c>
      <ns0:c r="AM67" s="87" t="n">
        <ns0:v>-0.85</ns0:v>
      </ns0:c>
      <ns0:c r="AN67" s="88" t="n"/>
      <ns0:c r="AO67" s="78" t="n">
        <ns0:v>2.54</ns0:v>
      </ns0:c>
      <ns0:c r="AP67" s="87" t="n">
        <ns0:v>-7.71</ns0:v>
      </ns0:c>
      <ns0:c r="AQ67" s="87" t="n">
        <ns0:v>0.76</ns0:v>
      </ns0:c>
      <ns0:c r="AR67" s="87" t="n">
        <ns0:v>0.85</ns0:v>
      </ns0:c>
      <ns0:c r="AS67" s="87" t="n">
        <ns0:v>-6.92</ns0:v>
      </ns0:c>
      <ns0:c r="AT67" s="87" t="n">
        <ns0:v>1.62</ns0:v>
      </ns0:c>
      <ns0:c r="AU67" s="87" t="n">
        <ns0:v>1.71</ns0:v>
      </ns0:c>
      <ns0:c r="AV67" s="87" t="n">
        <ns0:v>0.27</ns0:v>
      </ns0:c>
      <ns0:c r="AW67" s="87" t="n">
        <ns0:v>2.02</ns0:v>
      </ns0:c>
      <ns0:c r="AX67" s="87" t="n">
        <ns0:v>5.17</ns0:v>
      </ns0:c>
      <ns0:c r="AY67" s="87" t="n">
        <ns0:v>2.71</ns0:v>
      </ns0:c>
      <ns0:c r="AZ67" s="87" t="n">
        <ns0:v>-1.26</ns0:v>
      </ns0:c>
      <ns0:c r="BA67" s="87" t="n">
        <ns0:v>-1.09</ns0:v>
      </ns0:c>
      <ns0:c r="BB67" s="74" t="inlineStr">
        <ns0:is>
          <ns0:t>Hang Seng Commerce &amp; Industry sub-index</ns0:t>
        </ns0:is>
      </ns0:c>
      <ns0:c r="BC67" s="87" t="n">
        <ns0:v>-63.88</ns0:v>
      </ns0:c>
      <ns0:c r="BD67" s="75" t="n">
        <ns0:v>46297</ns0:v>
      </ns0:c>
      <ns0:c r="BE67" s="76" t="n">
        <ns0:v>10402.3</ns0:v>
      </ns0:c>
      <ns0:c r="BF67" s="79" t="n">
        <ns0:v>-166.9</ns0:v>
      </ns0:c>
      <ns0:c r="BG67" s="74" t="inlineStr">
        <ns0:is>
          <ns0:t>N</ns0:t>
        </ns0:is>
      </ns0:c>
      <ns0:c r="BH67" s="74" t="inlineStr">
        <ns0:is>
          <ns0:t>n/m</ns0:t>
        </ns0:is>
      </ns0:c>
      <ns0:c r="BI67" s="88" t="n"/>
      <ns0:c r="BJ67" s="88" t="n"/>
      <ns0:c r="BK67" s="89" t="n">
        <ns0:v>23.3</ns0:v>
      </ns0:c>
      <ns0:c r="BL67" s="90">
        <ns0:f>IFERROR(IF('BBG Verify'!S67="","Awaiting Bloomberg",'BBG Verify'!S67),"Awaiting Bloomberg")</ns0:f>
        <ns0:v/>
      </ns0:c>
      <ns0:c r="BM67" s="91" t="inlineStr">
        <ns0:is>
          <ns0:t>N</ns0:t>
        </ns0:is>
      </ns0:c>
      <ns0:c r="BN67" s="92">
        <ns0:f>IFERROR(IF('BBG Verify'!K67="","Awaiting Bloomberg",'BBG Verify'!K67),"Awaiting Bloomberg")</ns0:f>
        <ns0:v/>
      </ns0:c>
      <ns0:c r="BO67" s="74" t="inlineStr">
        <ns0:is>
          <ns0:t>N/A</ns0:t>
        </ns0:is>
      </ns0:c>
      <ns0:c r="BP67" s="74" t="inlineStr">
        <ns0:is>
          <ns0:t>N/A</ns0:t>
        </ns0:is>
      </ns0:c>
      <ns0:c r="BQ67" s="74" t="inlineStr">
        <ns0:is>
          <ns0:t>N/A</ns0:t>
        </ns0:is>
      </ns0:c>
      <ns0:c r="BR67" s="74" t="inlineStr">
        <ns0:is>
          <ns0:t>N/A</ns0:t>
        </ns0:is>
      </ns0:c>
      <ns0:c r="BS67" s="74" t="inlineStr">
        <ns0:is>
          <ns0:t>N/A</ns0:t>
        </ns0:is>
      </ns0:c>
      <ns0:c r="BT67" s="74" t="inlineStr">
        <ns0:is>
          <ns0:t>N/A</ns0:t>
        </ns0:is>
      </ns0:c>
      <ns0:c r="BU67" s="91" t="inlineStr">
        <ns0:is>
          <ns0:t>Goldman Sachs (Asia) L.L.C; China International Capital Corporation Hong Kong Securities Limited</ns0:t>
        </ns0:is>
      </ns0:c>
      <ns0:c r="BV67" s="74" t="inlineStr">
        <ns0:is>
          <ns0:t>China International Capital Corporation Hong Kong Securities Limited; Goldman Sachs (Asia) L.L.C.</ns0:t>
        </ns0:is>
      </ns0:c>
      <ns0:c r="BW67" s="74" t="inlineStr">
        <ns0:is>
          <ns0: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ns0:t>
        </ns0:is>
      </ns0:c>
      <ns0:c r="BX67" s="74" t="inlineStr">
        <ns0:is>
          <ns0:t>BOCI Asia Limited; China International Capital Corporation Hong Kong Securities Limited; CLSA Limited; CMB International Capital Limited; Futu Securities International (Hong Kong) Limited; Goldman Sachs (Asia) L.L.C.; UBS AG Hong Kong Branch</ns0:t>
        </ns0:is>
      </ns0:c>
      <ns0:c r="BY67" s="93">
        <ns0:f>HYPERLINK("https://www1.hkexnews.hk/listedco/listconews/sehk/2021/0803/2021080300011.pdf","prospectus")</ns0:f>
        <ns0:v/>
      </ns0:c>
      <ns0:c r="BZ67" s="93">
        <ns0:f>HYPERLINK("https://www1.hkexnews.hk/listedco/listconews/sehk/2021/0811/2021081100020.htm","allotment")</ns0:f>
        <ns0:v/>
      </ns0:c>
      <ns0:c r="CA67" s="93">
        <ns0:f>HYPERLINK("https://www1.hkexnews.hk/listedco/listconews/sehk/2021/0905/2021090500025.pdf","stabilisation")</ns0:f>
        <ns0:v/>
      </ns0:c>
      <ns0:c r="CB67" s="94" t="n"/>
      <ns0:c r="CC67" s="74" t="inlineStr">
        <ns0:is>
          <ns0:t>P/E: loss-making at IPO, use P/S; greenshoe: outcome published; expiry date not in the notice; range low: maximum offer price only, no floor published; market cap: prospectus cap HK$307,800m at HK$150.00, rescaled to HK$118.00; cornerstone list: no cornerstone tranche; allocation: allocation table not in this notice's format (older prose announcement); day-1 tape: volume on file; the retail multiple needs the final public split, which this notice does not state</ns0:t>
        </ns0:is>
      </ns0:c>
    </ns0:row>
    <ns0:row r="68" ht="22" customHeight="1">
      <ns0:c r="A68" s="73" t="inlineStr">
        <ns0:is>
          <ns0:t>6609</ns0:t>
        </ns0:is>
      </ns0:c>
      <ns0:c r="B68" s="74" t="inlineStr">
        <ns0:is>
          <ns0:t>HEARTCARE-B</ns0:t>
        </ns0:is>
      </ns0:c>
      <ns0:c r="C68" s="74" t="inlineStr">
        <ns0:is>
          <ns0:t>心瑋醫療－Ｂ</ns0:t>
        </ns0:is>
      </ns0:c>
      <ns0:c r="D68" s="74" t="inlineStr">
        <ns0:is>
          <ns0:t>Healthcare</ns0:t>
        </ns0:is>
      </ns0:c>
      <ns0:c r="E68" s="74" t="inlineStr">
        <ns0:is>
          <ns0:t>Medical devices</ns0:t>
        </ns0:is>
      </ns0:c>
      <ns0:c r="F68" s="74" t="inlineStr">
        <ns0:is>
          <ns0:t>Biotechnology</ns0:t>
        </ns0:is>
      </ns0:c>
      <ns0:c r="G68" s="74" t="inlineStr">
        <ns0:is>
          <ns0:t>18A</ns0:t>
        </ns0:is>
      </ns0:c>
      <ns0:c r="H68" s="75" t="n">
        <ns0:v>44428</ns0:v>
      </ns0:c>
      <ns0:c r="I68" s="76" t="n">
        <ns0:v>459.7</ns0:v>
      </ns0:c>
      <ns0:c r="J68" s="74" t="inlineStr">
        <ns0:is>
          <ns0:t>net proceeds</ns0:t>
        </ns0:is>
      </ns0:c>
      <ns0:c r="K68" s="77" t="n">
        <ns0:v>160</ns0:v>
      </ns0:c>
      <ns0:c r="L68" s="77" t="n">
        <ns0:v>171</ns0:v>
      </ns0:c>
      <ns0:c r="M68" s="77" t="n">
        <ns0:v>171</ns0:v>
      </ns0:c>
      <ns0:c r="N68" s="74" t="inlineStr">
        <ns0:is>
          <ns0:t>Y</ns0:t>
        </ns0:is>
      </ns0:c>
      <ns0:c r="O68" s="78" t="n">
        <ns0:v>100</ns0:v>
      </ns0:c>
      <ns0:c r="P68" s="78" t="n">
        <ns0:v>100</ns0:v>
      </ns0:c>
      <ns0:c r="Q68" s="79" t="n">
        <ns0:v>6640.7</ns0:v>
      </ns0:c>
      <ns0:c r="R68" s="74" t="inlineStr">
        <ns0:is>
          <ns0:t>aastocks:上市市值 at the struck price</ns0:t>
        </ns0:is>
      </ns0:c>
      <ns0:c r="S68" s="80" t="n">
        <ns0:v>333.14</ns0:v>
      </ns0:c>
      <ns0:c r="T68" s="81" t="n">
        <ns0:v>8.300000000000001</ns0:v>
      </ns0:c>
      <ns0:c r="U68" s="82" t="n">
        <ns0:v>13.8</ns0:v>
      </ns0:c>
      <ns0:c r="V68" s="83" t="n">
        <ns0:v>44</ns0:v>
      </ns0:c>
      <ns0:c r="W68" s="78" t="n">
        <ns0:v>50</ns0:v>
      </ns0:c>
      <ns0:c r="X68" s="74" t="inlineStr">
        <ns0:is>
          <ns0:t>YES</ns0:t>
        </ns0:is>
      </ns0:c>
      <ns0:c r="Y68" s="79" t="n">
        <ns0:v>396.26</ns0:v>
      </ns0:c>
      <ns0:c r="Z68" s="97" t="n"/>
      <ns0:c r="AA68" s="78" t="n">
        <ns0:v>5.97</ns0:v>
      </ns0:c>
      <ns0:c r="AB68" s="74" t="inlineStr">
        <ns0:is>
          <ns0:t>3W Fund Management Limited; Aspex Master Fund; Boyu Capital Opportunities Master Fund; Goldstream Capital Segregated Portfolio Company - Goldstream Healthcare Focus Fund SP; Lake Bleu Prime Healthcare Master Fund Limited; LYFE CAPITAL FUND III (DRAGON), L.P; Octagon Investments Master Fund LP; Sage Partners Master Fund; Superstring Capital Master Fund LP; The Valliance Fund</ns0:t>
        </ns0:is>
      </ns0:c>
      <ns0:c r="AC68" s="74" t="inlineStr">
        <ns0:is>
          <ns0:t>3w;aspex;boyu;goldstream;lake;lyfe;octagon;sage;superstring;valliance</ns0:t>
        </ns0:is>
      </ns0:c>
      <ns0:c r="AD68" s="78" t="n">
        <ns0:v>9.470000000000001</ns0:v>
      </ns0:c>
      <ns0:c r="AE68" s="74" t="inlineStr">
        <ns0:is>
          <ns0:t>lapsed</ns0:t>
        </ns0:is>
      </ns0:c>
      <ns0:c r="AF68" s="85" t="n"/>
      <ns0:c r="AG68" s="74" t="inlineStr">
        <ns0:is>
          <ns0:t>Goldman Sachs</ns0:t>
        </ns0:is>
      </ns0:c>
      <ns0:c r="AH68" s="74" t="inlineStr">
        <ns0:is>
          <ns0:t>Goldman Sachs</ns0:t>
        </ns0:is>
      </ns0:c>
      <ns0:c r="AI68" s="86" t="n">
        <ns0:v>-14.91</ns0:v>
      </ns0:c>
      <ns0:c r="AJ68" s="87" t="n">
        <ns0:v>-24.56</ns0:v>
      </ns0:c>
      <ns0:c r="AK68" s="87" t="n">
        <ns0:v>-4.89</ns0:v>
      </ns0:c>
      <ns0:c r="AL68" s="87" t="n">
        <ns0:v>-17.43</ns0:v>
      </ns0:c>
      <ns0:c r="AM68" s="87" t="n">
        <ns0:v>-8.640000000000001</ns0:v>
      </ns0:c>
      <ns0:c r="AN68" s="89" t="n">
        <ns0:v>0.62</ns0:v>
      </ns0:c>
      <ns0:c r="AO68" s="78" t="n">
        <ns0:v>11.33</ns0:v>
      </ns0:c>
      <ns0:c r="AP68" s="87" t="n">
        <ns0:v>-28.19</ns0:v>
      </ns0:c>
      <ns0:c r="AQ68" s="87" t="n">
        <ns0:v>-42.4</ns0:v>
      </ns0:c>
      <ns0:c r="AR68" s="87" t="n">
        <ns0:v>-56.9</ns0:v>
      </ns0:c>
      <ns0:c r="AS68" s="87" t="n">
        <ns0:v>-4.81</ns0:v>
      </ns0:c>
      <ns0:c r="AT68" s="87" t="n">
        <ns0:v>-23.65</ns0:v>
      </ns0:c>
      <ns0:c r="AU68" s="87" t="n">
        <ns0:v>-42.87</ns0:v>
      </ns0:c>
      <ns0:c r="AV68" s="87" t="n">
        <ns0:v>-24.24</ns0:v>
      </ns0:c>
      <ns0:c r="AW68" s="87" t="n">
        <ns0:v>-42.45</ns0:v>
      </ns0:c>
      <ns0:c r="AX68" s="87" t="n">
        <ns0:v>-47.55</ns0:v>
      </ns0:c>
      <ns0:c r="AY68" s="87" t="n">
        <ns0:v>-28.85</ns0:v>
      </ns0:c>
      <ns0:c r="AZ68" s="87" t="n">
        <ns0:v>0.05</ns0:v>
      </ns0:c>
      <ns0:c r="BA68" s="87" t="n">
        <ns0:v>5.2</ns0:v>
      </ns0:c>
      <ns0:c r="BB68" s="74" t="inlineStr">
        <ns0:is>
          <ns0:t>China Biotech ETF (HS biotech proxy)</ns0:t>
        </ns0:is>
      </ns0:c>
      <ns0:c r="BC68" s="87" t="n">
        <ns0:v>-68.92</ns0:v>
      </ns0:c>
      <ns0:c r="BD68" s="75" t="n">
        <ns0:v>46297</ns0:v>
      </ns0:c>
      <ns0:c r="BE68" s="76" t="n">
        <ns0:v>0.1</ns0:v>
      </ns0:c>
      <ns0:c r="BF68" s="97" t="n"/>
      <ns0:c r="BG68" s="85" t="n"/>
      <ns0:c r="BH68" s="90">
        <ns0:f>IFERROR(IF('BBG Verify'!O68="","Awaiting Bloomberg",'BBG Verify'!O68),"Awaiting Bloomberg")</ns0:f>
        <ns0:v/>
      </ns0:c>
      <ns0:c r="BI68" s="88" t="n"/>
      <ns0:c r="BJ68" s="89" t="n">
        <ns0:v>20.8</ns0:v>
      </ns0:c>
      <ns0:c r="BK68" s="89" t="n">
        <ns0:v>66407</ns0:v>
      </ns0:c>
      <ns0:c r="BL68" s="90">
        <ns0:f>IFERROR(IF('BBG Verify'!S68="","Awaiting Bloomberg",'BBG Verify'!S68),"Awaiting Bloomberg")</ns0:f>
        <ns0:v/>
      </ns0:c>
      <ns0:c r="BM68" s="91" t="inlineStr">
        <ns0:is>
          <ns0:t>N</ns0:t>
        </ns0:is>
      </ns0:c>
      <ns0:c r="BN68" s="92">
        <ns0:f>IFERROR(IF('BBG Verify'!K68="","Awaiting Bloomberg",'BBG Verify'!K68),"Awaiting Bloomberg")</ns0:f>
        <ns0:v/>
      </ns0:c>
      <ns0:c r="BO68" s="74" t="inlineStr">
        <ns0:is>
          <ns0:t>N/A</ns0:t>
        </ns0:is>
      </ns0:c>
      <ns0:c r="BP68" s="74" t="inlineStr">
        <ns0:is>
          <ns0:t>N/A</ns0:t>
        </ns0:is>
      </ns0:c>
      <ns0:c r="BQ68" s="74" t="inlineStr">
        <ns0:is>
          <ns0:t>N/A</ns0:t>
        </ns0:is>
      </ns0:c>
      <ns0:c r="BR68" s="74" t="inlineStr">
        <ns0:is>
          <ns0:t>N/A</ns0:t>
        </ns0:is>
      </ns0:c>
      <ns0:c r="BS68" s="74" t="inlineStr">
        <ns0:is>
          <ns0:t>N/A</ns0:t>
        </ns0:is>
      </ns0:c>
      <ns0:c r="BT68" s="74" t="inlineStr">
        <ns0:is>
          <ns0:t>N/A</ns0:t>
        </ns0:is>
      </ns0:c>
      <ns0:c r="BU68" s="91" t="inlineStr">
        <ns0:is>
          <ns0:t>Goldman Sachs (Asia) L.L.C; China International Capital Corporation Hong Kong Securities Limited</ns0:t>
        </ns0:is>
      </ns0:c>
      <ns0:c r="BV68" s="74" t="inlineStr">
        <ns0:is>
          <ns0:t>China International Capital Corporation Hong Kong Securities Limited; Goldman Sachs (Asia) L.L.C.</ns0:t>
        </ns0:is>
      </ns0:c>
      <ns0:c r="BW68" s="74" t="inlineStr">
        <ns0:is>
          <ns0:t>Goldman Sachs (Asia) L.L.C; China International Capital Corporation Hong Kong Securities Limited</ns0:t>
        </ns0:is>
      </ns0:c>
      <ns0:c r="BX68" s="74" t="inlineStr">
        <ns0:is>
          <ns0:t>China International Capital Corporation Hong Kong Securities Limited; Futu Securities International (Hong Kong) Limited; Goldman Sachs (Asia) L.L.C.</ns0:t>
        </ns0:is>
      </ns0:c>
      <ns0:c r="BY68" s="93">
        <ns0:f>HYPERLINK("https://www1.hkexnews.hk/listedco/listconews/sehk/2021/0810/2021081000015.pdf","prospectus")</ns0:f>
        <ns0:v/>
      </ns0:c>
      <ns0:c r="BZ68" s="93">
        <ns0:f>HYPERLINK("https://www1.hkexnews.hk/listedco/listconews/sehk/2021/0819/2021081900014.htm","allotment")</ns0:f>
        <ns0:v/>
      </ns0:c>
      <ns0:c r="CA68" s="93">
        <ns0:f>HYPERLINK("https://www1.hkexnews.hk/listedco/listconews/sehk/2021/0912/2021091200105.pdf","stabilisation")</ns0:f>
        <ns0:v/>
      </ns0:c>
      <ns0:c r="CB68" s="94" t="n"/>
      <ns0:c r="CC68" s="74" t="inlineStr">
        <ns0:is>
          <ns0:t>P/E: net income not extractable; greenshoe: outcome published; expiry date not in the notice; market cap: published listing cap used; the estimate from deal size / offer % of enlarged capital disagreed; cornerstone: % from the prospectus; AAStocks table includes non-cornerstone orders; P/S: 66,407x on HK$0.1m revenue, effectively pre-revenue; not comparable; financials: not extractable; pre-IPO year outside the AAStocks window; eff float shares: share count unavailable; the HK$m figure is exact</ns0:t>
        </ns0:is>
      </ns0:c>
    </ns0:row>
    <ns0:row r="69" ht="22" customHeight="1">
      <ns0:c r="A69" s="73" t="inlineStr">
        <ns0:is>
          <ns0:t>6669</ns0:t>
        </ns0:is>
      </ns0:c>
      <ns0:c r="B69" s="74" t="inlineStr">
        <ns0:is>
          <ns0:t>ACOTEC-B</ns0:t>
        </ns0:is>
      </ns0:c>
      <ns0:c r="C69" s="74" t="inlineStr">
        <ns0:is>
          <ns0:t>先瑞達醫療－Ｂ</ns0:t>
        </ns0:is>
      </ns0:c>
      <ns0:c r="D69" s="74" t="inlineStr">
        <ns0:is>
          <ns0:t>Healthcare</ns0:t>
        </ns0:is>
      </ns0:c>
      <ns0:c r="E69" s="74" t="inlineStr">
        <ns0:is>
          <ns0:t>Medical devices</ns0:t>
        </ns0:is>
      </ns0:c>
      <ns0:c r="F69" s="74" t="inlineStr">
        <ns0:is>
          <ns0:t>Biotechnology</ns0:t>
        </ns0:is>
      </ns0:c>
      <ns0:c r="G69" s="74" t="inlineStr">
        <ns0:is>
          <ns0:t>18A</ns0:t>
        </ns0:is>
      </ns0:c>
      <ns0:c r="H69" s="75" t="n">
        <ns0:v>44432</ns0:v>
      </ns0:c>
      <ns0:c r="I69" s="76" t="n">
        <ns0:v>1633.5</ns0:v>
      </ns0:c>
      <ns0:c r="J69" s="74" t="inlineStr">
        <ns0:is>
          <ns0:t>gross (price x shares)</ns0:t>
        </ns0:is>
      </ns0:c>
      <ns0:c r="K69" s="77" t="n">
        <ns0:v>22.2</ns0:v>
      </ns0:c>
      <ns0:c r="L69" s="77" t="n">
        <ns0:v>23.8</ns0:v>
      </ns0:c>
      <ns0:c r="M69" s="77" t="n">
        <ns0:v>23.8</ns0:v>
      </ns0:c>
      <ns0:c r="N69" s="74" t="inlineStr">
        <ns0:is>
          <ns0:t>Y</ns0:t>
        </ns0:is>
      </ns0:c>
      <ns0:c r="O69" s="78" t="n">
        <ns0:v>100</ns0:v>
      </ns0:c>
      <ns0:c r="P69" s="78" t="n">
        <ns0:v>100</ns0:v>
      </ns0:c>
      <ns0:c r="Q69" s="79" t="n">
        <ns0:v>6694.7</ns0:v>
      </ns0:c>
      <ns0:c r="R69" s="74" t="inlineStr">
        <ns0:is>
          <ns0:t>derived:deal size / offer % of enlarged capital</ns0:t>
        </ns0:is>
      </ns0:c>
      <ns0:c r="S69" s="80" t="n">
        <ns0:v>654.51</ns0:v>
      </ns0:c>
      <ns0:c r="T69" s="81" t="n">
        <ns0:v>4.86</ns0:v>
      </ns0:c>
      <ns0:c r="U69" s="82" t="n">
        <ns0:v>28.5</ns0:v>
      </ns0:c>
      <ns0:c r="V69" s="83" t="n">
        <ns0:v>189</ns0:v>
      </ns0:c>
      <ns0:c r="W69" s="78" t="n">
        <ns0:v>50</ns0:v>
      </ns0:c>
      <ns0:c r="X69" s="74" t="inlineStr">
        <ns0:is>
          <ns0:t>YES</ns0:t>
        </ns0:is>
      </ns0:c>
      <ns0:c r="Y69" s="79" t="n">
        <ns0:v>1167.95</ns0:v>
      </ns0:c>
      <ns0:c r="Z69" s="79" t="n">
        <ns0:v>49072595</ns0:v>
      </ns0:c>
      <ns0:c r="AA69" s="78" t="n">
        <ns0:v>17.45</ns0:v>
      </ns0:c>
      <ns0:c r="AB69" s="74" t="inlineStr">
        <ns0:is>
          <ns0:t>Athos Asia Event Driven Master Fund; China International Capital Corporation Limited; China Universal Asset Management Limited Liability Company; CPE Investment Wu Limited;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ns0:t>
        </ns0:is>
      </ns0:c>
      <ns0:c r="AC69" s="74" t="inlineStr">
        <ns0:is>
          <ns0:t>athos;china-international;universal;cpe;daguan;dymon;healthcare;new-journey;panjing;perseverance;pinpoint;primeone;valliance</ns0:t>
        </ns0:is>
      </ns0:c>
      <ns0:c r="AD69" s="78" t="n">
        <ns0:v>11.72</ns0:v>
      </ns0:c>
      <ns0:c r="AE69" s="74" t="inlineStr">
        <ns0:is>
          <ns0:t>lapsed</ns0:t>
        </ns0:is>
      </ns0:c>
      <ns0:c r="AF69" s="74" t="inlineStr">
        <ns0:is>
          <ns0:t>2021-09-16</ns0:t>
        </ns0:is>
      </ns0:c>
      <ns0:c r="AG69" s="74" t="inlineStr">
        <ns0:is>
          <ns0:t>Morgan Stanley Asia Limited</ns0:t>
        </ns0:is>
      </ns0:c>
      <ns0:c r="AH69" s="74" t="inlineStr">
        <ns0:is>
          <ns0:t>Morgan Stanley</ns0:t>
        </ns0:is>
      </ns0:c>
      <ns0:c r="AI69" s="86" t="n">
        <ns0:v>-25.38</ns0:v>
      </ns0:c>
      <ns0:c r="AJ69" s="87" t="n">
        <ns0:v>-26.05</ns0:v>
      </ns0:c>
      <ns0:c r="AK69" s="87" t="n">
        <ns0:v>1.9</ns0:v>
      </ns0:c>
      <ns0:c r="AL69" s="87" t="n">
        <ns0:v>-23.03</ns0:v>
      </ns0:c>
      <ns0:c r="AM69" s="87" t="n">
        <ns0:v>-3.92</ns0:v>
      </ns0:c>
      <ns0:c r="AN69" s="89" t="n">
        <ns0:v>0.9</ns0:v>
      </ns0:c>
      <ns0:c r="AO69" s="78" t="n">
        <ns0:v>7.53</ns0:v>
      </ns0:c>
      <ns0:c r="AP69" s="87" t="n">
        <ns0:v>-26.89</ns0:v>
      </ns0:c>
      <ns0:c r="AQ69" s="87" t="n">
        <ns0:v>-37.9</ns0:v>
      </ns0:c>
      <ns0:c r="AR69" s="87" t="n">
        <ns0:v>-41.01</ns0:v>
      </ns0:c>
      <ns0:c r="AS69" s="87" t="n">
        <ns0:v>-1.14</ns0:v>
      </ns0:c>
      <ns0:c r="AT69" s="87" t="n">
        <ns0:v>-16.02</ns0:v>
      </ns0:c>
      <ns0:c r="AU69" s="87" t="n">
        <ns0:v>-20.23</ns0:v>
      </ns0:c>
      <ns0:c r="AV69" s="87" t="n">
        <ns0:v>-25.03</ns0:v>
      </ns0:c>
      <ns0:c r="AW69" s="87" t="n">
        <ns0:v>-38.55</ns0:v>
      </ns0:c>
      <ns0:c r="AX69" s="87" t="n">
        <ns0:v>-36.11</ns0:v>
      </ns0:c>
      <ns0:c r="AY69" s="87" t="n">
        <ns0:v>-14.79</ns0:v>
      </ns0:c>
      <ns0:c r="AZ69" s="87" t="n">
        <ns0:v>0.65</ns0:v>
      </ns0:c>
      <ns0:c r="BA69" s="87" t="n">
        <ns0:v>-1.23</ns0:v>
      </ns0:c>
      <ns0:c r="BB69" s="74" t="inlineStr">
        <ns0:is>
          <ns0:t>China Biotech ETF (HS biotech proxy)</ns0:t>
        </ns0:is>
      </ns0:c>
      <ns0:c r="BC69" s="87" t="n">
        <ns0:v>-74.59999999999999</ns0:v>
      </ns0:c>
      <ns0:c r="BD69" s="75" t="n">
        <ns0:v>46297</ns0:v>
      </ns0:c>
      <ns0:c r="BE69" s="76" t="n">
        <ns0:v>21.6</ns0:v>
      </ns0:c>
      <ns0:c r="BF69" s="79" t="n">
        <ns0:v>-4.1</ns0:v>
      </ns0:c>
      <ns0:c r="BG69" s="74" t="inlineStr">
        <ns0:is>
          <ns0:t>N</ns0:t>
        </ns0:is>
      </ns0:c>
      <ns0:c r="BH69" s="74" t="inlineStr">
        <ns0:is>
          <ns0:t>n/m</ns0:t>
        </ns0:is>
      </ns0:c>
      <ns0:c r="BI69" s="88" t="n"/>
      <ns0:c r="BJ69" s="89" t="n">
        <ns0:v>14</ns0:v>
      </ns0:c>
      <ns0:c r="BK69" s="89" t="n">
        <ns0:v>309.9</ns0:v>
      </ns0:c>
      <ns0:c r="BL69" s="90">
        <ns0:f>IFERROR(IF('BBG Verify'!S69="","Awaiting Bloomberg",'BBG Verify'!S69),"Awaiting Bloomberg")</ns0:f>
        <ns0:v/>
      </ns0:c>
      <ns0:c r="BM69" s="91" t="inlineStr">
        <ns0:is>
          <ns0:t>N</ns0:t>
        </ns0:is>
      </ns0:c>
      <ns0:c r="BN69" s="92">
        <ns0:f>IFERROR(IF('BBG Verify'!K69="","Awaiting Bloomberg",'BBG Verify'!K69),"Awaiting Bloomberg")</ns0:f>
        <ns0:v/>
      </ns0:c>
      <ns0:c r="BO69" s="74" t="inlineStr">
        <ns0:is>
          <ns0:t>N/A</ns0:t>
        </ns0:is>
      </ns0:c>
      <ns0:c r="BP69" s="74" t="inlineStr">
        <ns0:is>
          <ns0:t>N/A</ns0:t>
        </ns0:is>
      </ns0:c>
      <ns0:c r="BQ69" s="74" t="inlineStr">
        <ns0:is>
          <ns0:t>N/A</ns0:t>
        </ns0:is>
      </ns0:c>
      <ns0:c r="BR69" s="74" t="inlineStr">
        <ns0:is>
          <ns0:t>N/A</ns0:t>
        </ns0:is>
      </ns0:c>
      <ns0:c r="BS69" s="74" t="inlineStr">
        <ns0:is>
          <ns0:t>N/A</ns0:t>
        </ns0:is>
      </ns0:c>
      <ns0:c r="BT69" s="74" t="inlineStr">
        <ns0:is>
          <ns0:t>N/A</ns0:t>
        </ns0:is>
      </ns0:c>
      <ns0:c r="BU69" s="91" t="inlineStr">
        <ns0:is>
          <ns0:t>Morgan Stanley Asia Limited; China International Capital Corporation Hong Kong Securities Limited</ns0:t>
        </ns0:is>
      </ns0:c>
      <ns0:c r="BV69" s="74" t="inlineStr">
        <ns0:is>
          <ns0:t>China International Capital Corporation Hong Kong Securities Limited; Morgan Stanley Asia Limited</ns0:t>
        </ns0:is>
      </ns0:c>
      <ns0:c r="BW69" s="74" t="inlineStr">
        <ns0:is>
          <ns0:t>Morgan Stanley Asia Limited; Morgan Stanley &amp; Co. International plc; China Merchants Securities (HK) Co., Limited; Valuable Capital Limited</ns0:t>
        </ns0:is>
      </ns0:c>
      <ns0:c r="BX69" s="74" t="inlineStr">
        <ns0:is>
          <ns0:t>China International Capital Corporation Hong Kong Securities Limited; China Merchants Securities (HK) Company Limited; Morgan Stanley Asia Limited; Valuable Capital Limited</ns0:t>
        </ns0:is>
      </ns0:c>
      <ns0:c r="BY69" s="93">
        <ns0:f>HYPERLINK("https://www1.hkexnews.hk/listedco/listconews/sehk/2021/0812/2021081200017.pdf","prospectus")</ns0:f>
        <ns0:v/>
      </ns0:c>
      <ns0:c r="BZ69" s="93">
        <ns0:f>HYPERLINK("https://www1.hkexnews.hk/listedco/listconews/sehk/2021/0823/2021082300014.htm","allotment")</ns0:f>
        <ns0:v/>
      </ns0:c>
      <ns0:c r="CA69" s="93">
        <ns0:f>HYPERLINK("https://www1.hkexnews.hk/listedco/listconews/sehk/2021/0916/2021091601755.pdf","stabilisation")</ns0:f>
        <ns0:v/>
      </ns0:c>
      <ns0:c r="CB69" s="94" t="n"/>
      <ns0:c r="CC69" s="74" t="inlineStr">
        <ns0:is>
          <ns0:t>P/E: loss-making at IPO, use P/S; cornerstone: % from the prospectus; AAStocks table includes non-cornerstone orders; P/S: 310x on HK$21.6m revenue, effectively pre-revenue; not comparable</ns0:t>
        </ns0:is>
      </ns0:c>
    </ns0:row>
    <ns0:row r="70" ht="22" customHeight="1">
      <ns0:c r="A70" s="73" t="inlineStr">
        <ns0:is>
          <ns0:t>9869</ns0:t>
        </ns0:is>
      </ns0:c>
      <ns0:c r="B70" s="74" t="inlineStr">
        <ns0:is>
          <ns0:t>HELENS</ns0:t>
        </ns0:is>
      </ns0:c>
      <ns0:c r="C70" s="74" t="inlineStr">
        <ns0:is>
          <ns0:t>海倫司</ns0:t>
        </ns0:is>
      </ns0:c>
      <ns0:c r="D70" s="74" t="inlineStr">
        <ns0:is>
          <ns0:t>Consumer</ns0:t>
        </ns0:is>
      </ns0:c>
      <ns0:c r="E70" s="74" t="inlineStr">
        <ns0:is>
          <ns0:t>F&amp;B chains / restaurants</ns0:t>
        </ns0:is>
      </ns0:c>
      <ns0:c r="F70" s="74" t="inlineStr">
        <ns0:is>
          <ns0:t>Restaurants</ns0:t>
        </ns0:is>
      </ns0:c>
      <ns0:c r="G70" s="74" t="inlineStr">
        <ns0:is>
          <ns0:t>Standard</ns0:t>
        </ns0:is>
      </ns0:c>
      <ns0:c r="H70" s="75" t="n">
        <ns0:v>44449</ns0:v>
      </ns0:c>
      <ns0:c r="I70" s="76" t="n">
        <ns0:v>2662</ns0:v>
      </ns0:c>
      <ns0:c r="J70" s="74" t="inlineStr">
        <ns0:is>
          <ns0:t>gross (price x shares)</ns0:t>
        </ns0:is>
      </ns0:c>
      <ns0:c r="K70" s="77" t="n">
        <ns0:v>18.82</ns0:v>
      </ns0:c>
      <ns0:c r="L70" s="77" t="n">
        <ns0:v>20.72</ns0:v>
      </ns0:c>
      <ns0:c r="M70" s="77" t="n">
        <ns0:v>19.77</ns0:v>
      </ns0:c>
      <ns0:c r="N70" s="74" t="inlineStr">
        <ns0:is>
          <ns0:t>N</ns0:t>
        </ns0:is>
      </ns0:c>
      <ns0:c r="O70" s="78" t="n">
        <ns0:v>95.40000000000001</ns0:v>
      </ns0:c>
      <ns0:c r="P70" s="78" t="n">
        <ns0:v>50</ns0:v>
      </ns0:c>
      <ns0:c r="Q70" s="79" t="n">
        <ns0:v>27135.6</ns0:v>
      </ns0:c>
      <ns0:c r="R70" s="74" t="inlineStr">
        <ns0:is>
          <ns0:t>prospectus:stated market capitalisation, rescaled to the offer price</ns0:t>
        </ns0:is>
      </ns0:c>
      <ns0:c r="S70" s="80" t="n">
        <ns0:v>30.8</ns0:v>
      </ns0:c>
      <ns0:c r="T70" s="81" t="n">
        <ns0:v>25.58</ns0:v>
      </ns0:c>
      <ns0:c r="U70" s="82" t="n">
        <ns0:v>0</ns0:v>
      </ns0:c>
      <ns0:c r="V70" s="83" t="n">
        <ns0:v>145</ns0:v>
      </ns0:c>
      <ns0:c r="W70" s="84" t="n"/>
      <ns0:c r="X70" s="85" t="n"/>
      <ns0:c r="Y70" s="79" t="n">
        <ns0:v>2662</ns0:v>
      </ns0:c>
      <ns0:c r="Z70" s="79" t="n">
        <ns0:v>134650000</ns0:v>
      </ns0:c>
      <ns0:c r="AA70" s="78" t="n">
        <ns0:v>9.81</ns0:v>
      </ns0:c>
      <ns0:c r="AB70" s="74" t="inlineStr">
        <ns0:is>
          <ns0:t>none — no cornerstone tranche</ns0:t>
        </ns0:is>
      </ns0:c>
      <ns0:c r="AC70" s="74" t="inlineStr">
        <ns0:is>
          <ns0:t>none</ns0:t>
        </ns0:is>
      </ns0:c>
      <ns0:c r="AD70" s="78" t="n">
        <ns0:v>19.4478</ns0:v>
      </ns0:c>
      <ns0:c r="AE70" s="74" t="inlineStr">
        <ns0:is>
          <ns0:t>full</ns0:t>
        </ns0:is>
      </ns0:c>
      <ns0:c r="AF70" s="74" t="inlineStr">
        <ns0:is>
          <ns0:t>2021-10-03</ns0:t>
        </ns0:is>
      </ns0:c>
      <ns0:c r="AG70" s="74" t="inlineStr">
        <ns0:is>
          <ns0:t>China International Capital Corporation Hong Kong Securities Limited</ns0:t>
        </ns0:is>
      </ns0:c>
      <ns0:c r="AH70" s="74" t="inlineStr">
        <ns0:is>
          <ns0:t>China International</ns0:t>
        </ns0:is>
      </ns0:c>
      <ns0:c r="AI70" s="86" t="n">
        <ns0:v>6.22</ns0:v>
      </ns0:c>
      <ns0:c r="AJ70" s="87" t="n">
        <ns0:v>22.91</ns0:v>
      </ns0:c>
      <ns0:c r="AK70" s="87" t="n">
        <ns0:v>2.15</ns0:v>
      </ns0:c>
      <ns0:c r="AL70" s="87" t="n">
        <ns0:v>16.59</ns0:v>
      </ns0:c>
      <ns0:c r="AM70" s="87" t="n">
        <ns0:v>5.42</ns0:v>
      </ns0:c>
      <ns0:c r="AN70" s="88" t="n"/>
      <ns0:c r="AO70" s="78" t="n">
        <ns0:v>11.93</ns0:v>
      </ns0:c>
      <ns0:c r="AP70" s="87" t="n">
        <ns0:v>16.34</ns0:v>
      </ns0:c>
      <ns0:c r="AQ70" s="87" t="n">
        <ns0:v>2.93</ns0:v>
      </ns0:c>
      <ns0:c r="AR70" s="87" t="n">
        <ns0:v>4.96</ns0:v>
      </ns0:c>
      <ns0:c r="AS70" s="87" t="n">
        <ns0:v>-5.35</ns0:v>
      </ns0:c>
      <ns0:c r="AT70" s="87" t="n">
        <ns0:v>-16.26</ns0:v>
      </ns0:c>
      <ns0:c r="AU70" s="87" t="n">
        <ns0:v>-14.6</ns0:v>
      </ns0:c>
      <ns0:c r="AV70" s="87" t="n">
        <ns0:v>19.3</ns0:v>
      </ns0:c>
      <ns0:c r="AW70" s="87" t="n">
        <ns0:v>5.11</ns0:v>
      </ns0:c>
      <ns0:c r="AX70" s="87" t="n">
        <ns0:v>16.34</ns0:v>
      </ns0:c>
      <ns0:c r="AY70" s="87" t="n">
        <ns0:v>-12.03</ns0:v>
      </ns0:c>
      <ns0:c r="AZ70" s="87" t="n">
        <ns0:v>-2.18</ns0:v>
      </ns0:c>
      <ns0:c r="BA70" s="87" t="n">
        <ns0:v>-4.23</ns0:v>
      </ns0:c>
      <ns0:c r="BB70" s="74" t="inlineStr">
        <ns0:is>
          <ns0:t>Hang Seng Commerce &amp; Industry sub-index</ns0:t>
        </ns0:is>
      </ns0:c>
      <ns0:c r="BC70" s="87" t="n">
        <ns0:v>-95.25</ns0:v>
      </ns0:c>
      <ns0:c r="BD70" s="75" t="n">
        <ns0:v>46297</ns0:v>
      </ns0:c>
      <ns0:c r="BE70" s="76" t="n">
        <ns0:v>899.7</ns0:v>
      </ns0:c>
      <ns0:c r="BF70" s="79" t="n">
        <ns0:v>106.7</ns0:v>
      </ns0:c>
      <ns0:c r="BG70" s="74" t="inlineStr">
        <ns0:is>
          <ns0:t>Y</ns0:t>
        </ns0:is>
      </ns0:c>
      <ns0:c r="BH70" s="89" t="n">
        <ns0:v>254.3</ns0:v>
      </ns0:c>
      <ns0:c r="BI70" s="88" t="n"/>
      <ns0:c r="BJ70" s="89" t="n">
        <ns0:v>49.6</ns0:v>
      </ns0:c>
      <ns0:c r="BK70" s="89" t="n">
        <ns0:v>30.2</ns0:v>
      </ns0:c>
      <ns0:c r="BL70" s="90">
        <ns0:f>IFERROR(IF('BBG Verify'!S70="","Awaiting Bloomberg",'BBG Verify'!S70),"Awaiting Bloomberg")</ns0:f>
        <ns0:v/>
      </ns0:c>
      <ns0:c r="BM70" s="91" t="inlineStr">
        <ns0:is>
          <ns0:t>N</ns0:t>
        </ns0:is>
      </ns0:c>
      <ns0:c r="BN70" s="92">
        <ns0:f>IFERROR(IF('BBG Verify'!K70="","Awaiting Bloomberg",'BBG Verify'!K70),"Awaiting Bloomberg")</ns0:f>
        <ns0:v/>
      </ns0:c>
      <ns0:c r="BO70" s="74" t="inlineStr">
        <ns0:is>
          <ns0:t>N/A</ns0:t>
        </ns0:is>
      </ns0:c>
      <ns0:c r="BP70" s="74" t="inlineStr">
        <ns0:is>
          <ns0:t>N/A</ns0:t>
        </ns0:is>
      </ns0:c>
      <ns0:c r="BQ70" s="74" t="inlineStr">
        <ns0:is>
          <ns0:t>N/A</ns0:t>
        </ns0:is>
      </ns0:c>
      <ns0:c r="BR70" s="74" t="inlineStr">
        <ns0:is>
          <ns0:t>N/A</ns0:t>
        </ns0:is>
      </ns0:c>
      <ns0:c r="BS70" s="74" t="inlineStr">
        <ns0:is>
          <ns0:t>N/A</ns0:t>
        </ns0:is>
      </ns0:c>
      <ns0:c r="BT70" s="74" t="inlineStr">
        <ns0:is>
          <ns0:t>N/A</ns0:t>
        </ns0:is>
      </ns0:c>
      <ns0:c r="BU70" s="91" t="inlineStr">
        <ns0:is>
          <ns0: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ns0:t>
        </ns0:is>
      </ns0:c>
      <ns0:c r="BV70" s="74" t="inlineStr">
        <ns0:is>
          <ns0:t>China International Capital Corporation Hong Kong Securities Limited</ns0:t>
        </ns0:is>
      </ns0:c>
      <ns0:c r="BW70" s="74" t="inlineStr">
        <ns0:is>
          <ns0:t>China International Capital Corporation Hong Kong Securities Limited</ns0:t>
        </ns0:is>
      </ns0:c>
      <ns0:c r="BX70" s="74" t="inlineStr">
        <ns0:is>
          <ns0:t>China International Capital Corporation Hong Kong Securities Limited</ns0:t>
        </ns0:is>
      </ns0:c>
      <ns0:c r="BY70" s="93">
        <ns0:f>HYPERLINK("https://www1.hkexnews.hk/listedco/listconews/sehk/2021/0831/2021083100011.pdf","prospectus")</ns0:f>
        <ns0:v/>
      </ns0:c>
      <ns0:c r="BZ70" s="93">
        <ns0:f>HYPERLINK("https://www1.hkexnews.hk/listedco/listconews/sehk/2021/0909/2021090900010.htm","allotment")</ns0:f>
        <ns0:v/>
      </ns0:c>
      <ns0:c r="CA70" s="93">
        <ns0:f>HYPERLINK("https://www1.hkexnews.hk/listedco/listconews/sehk/2021/1003/2021100300023.pdf","stabilisation")</ns0:f>
        <ns0:v/>
      </ns0:c>
      <ns0:c r="CB70" s="94" t="n"/>
      <ns0:c r="CC70" s="74" t="inlineStr">
        <ns0:is>
          <ns0:t>market cap: prospectus cap HK$25,832m at HK$18.82, rescaled to HK$19.77; cornerstone list: no cornerstone tranche; allocation: allocation table not in this notice's format (older prose announcement); day-1 tape: volume on file; the retail multiple needs the final public split, which this notice does not state</ns0:t>
        </ns0:is>
      </ns0:c>
    </ns0:row>
    <ns0:row r="71" ht="22" customHeight="1">
      <ns0:c r="A71" s="73" t="inlineStr">
        <ns0:is>
          <ns0:t>2216</ns0:t>
        </ns0:is>
      </ns0:c>
      <ns0:c r="B71" s="74" t="inlineStr">
        <ns0:is>
          <ns0:t>BRONCUS-B</ns0:t>
        </ns0:is>
      </ns0:c>
      <ns0:c r="C71" s="74" t="inlineStr">
        <ns0:is>
          <ns0:t>堃博醫療－Ｂ</ns0:t>
        </ns0:is>
      </ns0:c>
      <ns0:c r="D71" s="74" t="inlineStr">
        <ns0:is>
          <ns0:t>Healthcare</ns0:t>
        </ns0:is>
      </ns0:c>
      <ns0:c r="E71" s="74" t="inlineStr">
        <ns0:is>
          <ns0:t>Medical devices</ns0:t>
        </ns0:is>
      </ns0:c>
      <ns0:c r="F71" s="74" t="inlineStr">
        <ns0:is>
          <ns0:t>Biotechnology</ns0:t>
        </ns0:is>
      </ns0:c>
      <ns0:c r="G71" s="74" t="inlineStr">
        <ns0:is>
          <ns0:t>18A</ns0:t>
        </ns0:is>
      </ns0:c>
      <ns0:c r="H71" s="75" t="n">
        <ns0:v>44463</ns0:v>
      </ns0:c>
      <ns0:c r="I71" s="76" t="n">
        <ns0:v>1670.9</ns0:v>
      </ns0:c>
      <ns0:c r="J71" s="74" t="inlineStr">
        <ns0:is>
          <ns0:t>gross (price x shares)</ns0:t>
        </ns0:is>
      </ns0:c>
      <ns0:c r="K71" s="77" t="n">
        <ns0:v>17.2</ns0:v>
      </ns0:c>
      <ns0:c r="L71" s="77" t="n">
        <ns0:v>18.7</ns0:v>
      </ns0:c>
      <ns0:c r="M71" s="77" t="n">
        <ns0:v>18.7</ns0:v>
      </ns0:c>
      <ns0:c r="N71" s="74" t="inlineStr">
        <ns0:is>
          <ns0:t>Y</ns0:t>
        </ns0:is>
      </ns0:c>
      <ns0:c r="O71" s="78" t="n">
        <ns0:v>100</ns0:v>
      </ns0:c>
      <ns0:c r="P71" s="78" t="n">
        <ns0:v>100</ns0:v>
      </ns0:c>
      <ns0:c r="Q71" s="79" t="n">
        <ns0:v>9435</ns0:v>
      </ns0:c>
      <ns0:c r="R71" s="74" t="inlineStr">
        <ns0:is>
          <ns0:t>prospectus:stated market capitalisation</ns0:t>
        </ns0:is>
      </ns0:c>
      <ns0:c r="S71" s="80" t="n">
        <ns0:v>11.13</ns0:v>
      </ns0:c>
      <ns0:c r="T71" s="81" t="n">
        <ns0:v>4.1</ns0:v>
      </ns0:c>
      <ns0:c r="U71" s="82" t="n">
        <ns0:v>42.3</ns0:v>
      </ns0:c>
      <ns0:c r="V71" s="83" t="n">
        <ns0:v>103</ns0:v>
      </ns0:c>
      <ns0:c r="W71" s="84" t="n"/>
      <ns0:c r="X71" s="85" t="n"/>
      <ns0:c r="Y71" s="79" t="n">
        <ns0:v>964.11</ns0:v>
      </ns0:c>
      <ns0:c r="Z71" s="79" t="n">
        <ns0:v>51557835</ns0:v>
      </ns0:c>
      <ns0:c r="AA71" s="78" t="n">
        <ns0:v>10.22</ns0:v>
      </ns0:c>
      <ns0:c r="AB71" s="74" t="inlineStr">
        <ns0:is>
          <ns0: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ns0:t>
        </ns0:is>
      </ns0:c>
      <ns0:c r="AC71" s="74" t="inlineStr">
        <ns0:is>
          <ns0:t>artisan;cephei;emerging;lake;snow;springhill;summer;valliance;ubs;healthcare</ns0:t>
        </ns0:is>
      </ns0:c>
      <ns0:c r="AD71" s="78" t="n">
        <ns0:v>7</ns0:v>
      </ns0:c>
      <ns0:c r="AE71" s="74" t="inlineStr">
        <ns0:is>
          <ns0:t>lapsed</ns0:t>
        </ns0:is>
      </ns0:c>
      <ns0:c r="AF71" s="74" t="inlineStr">
        <ns0:is>
          <ns0:t>2021-10-16</ns0:t>
        </ns0:is>
      </ns0:c>
      <ns0:c r="AG71" s="74" t="inlineStr">
        <ns0:is>
          <ns0:t>Goldman Sachs</ns0:t>
        </ns0:is>
      </ns0:c>
      <ns0:c r="AH71" s="74" t="inlineStr">
        <ns0:is>
          <ns0:t>Goldman Sachs</ns0:t>
        </ns0:is>
      </ns0:c>
      <ns0:c r="AI71" s="86" t="n">
        <ns0:v>-10.59</ns0:v>
      </ns0:c>
      <ns0:c r="AJ71" s="87" t="n">
        <ns0:v>-19.79</ns0:v>
      </ns0:c>
      <ns0:c r="AK71" s="87" t="n">
        <ns0:v>-0.17</ns0:v>
      </ns0:c>
      <ns0:c r="AL71" s="87" t="n">
        <ns0:v>-3.74</ns0:v>
      </ns0:c>
      <ns0:c r="AM71" s="87" t="n">
        <ns0:v>-16.67</ns0:v>
      </ns0:c>
      <ns0:c r="AN71" s="88" t="n"/>
      <ns0:c r="AO71" s="78" t="n">
        <ns0:v>18.89</ns0:v>
      </ns0:c>
      <ns0:c r="AP71" s="87" t="n">
        <ns0:v>-27.81</ns0:v>
      </ns0:c>
      <ns0:c r="AQ71" s="87" t="n">
        <ns0:v>-39.57</ns0:v>
      </ns0:c>
      <ns0:c r="AR71" s="87" t="n">
        <ns0:v>-56.74</ns0:v>
      </ns0:c>
      <ns0:c r="AS71" s="87" t="n">
        <ns0:v>-10</ns0:v>
      </ns0:c>
      <ns0:c r="AT71" s="87" t="n">
        <ns0:v>-24.66</ns0:v>
      </ns0:c>
      <ns0:c r="AU71" s="87" t="n">
        <ns0:v>-46.07</ns0:v>
      </ns0:c>
      <ns0:c r="AV71" s="87" t="n">
        <ns0:v>-25.6</ns0:v>
      </ns0:c>
      <ns0:c r="AW71" s="87" t="n">
        <ns0:v>-32.85</ns0:v>
      </ns0:c>
      <ns0:c r="AX71" s="87" t="n">
        <ns0:v>-40.49</ns0:v>
      </ns0:c>
      <ns0:c r="AY71" s="87" t="n">
        <ns0:v>-18.1</ns0:v>
      </ns0:c>
      <ns0:c r="AZ71" s="87" t="n">
        <ns0:v>-6.72</ns0:v>
      </ns0:c>
      <ns0:c r="BA71" s="87" t="n">
        <ns0:v>-6.56</ns0:v>
      </ns0:c>
      <ns0:c r="BB71" s="74" t="inlineStr">
        <ns0:is>
          <ns0:t>China Biotech ETF (HS biotech proxy)</ns0:t>
        </ns0:is>
      </ns0:c>
      <ns0:c r="BC71" s="87" t="n">
        <ns0:v>-96.02</ns0:v>
      </ns0:c>
      <ns0:c r="BD71" s="75" t="n">
        <ns0:v>46297</ns0:v>
      </ns0:c>
      <ns0:c r="BE71" s="76" t="n">
        <ns0:v>4.1</ns0:v>
      </ns0:c>
      <ns0:c r="BF71" s="97" t="n"/>
      <ns0:c r="BG71" s="85" t="n"/>
      <ns0:c r="BH71" s="90">
        <ns0:f>IFERROR(IF('BBG Verify'!O71="","Awaiting Bloomberg",'BBG Verify'!O71),"Awaiting Bloomberg")</ns0:f>
        <ns0:v/>
      </ns0:c>
      <ns0:c r="BI71" s="88" t="n"/>
      <ns0:c r="BJ71" s="88" t="n"/>
      <ns0:c r="BK71" s="89" t="n">
        <ns0:v>2301.2</ns0:v>
      </ns0:c>
      <ns0:c r="BL71" s="90">
        <ns0:f>IFERROR(IF('BBG Verify'!S71="","Awaiting Bloomberg",'BBG Verify'!S71),"Awaiting Bloomberg")</ns0:f>
        <ns0:v/>
      </ns0:c>
      <ns0:c r="BM71" s="91" t="inlineStr">
        <ns0:is>
          <ns0:t>N</ns0:t>
        </ns0:is>
      </ns0:c>
      <ns0:c r="BN71" s="92">
        <ns0:f>IFERROR(IF('BBG Verify'!K71="","Awaiting Bloomberg",'BBG Verify'!K71),"Awaiting Bloomberg")</ns0:f>
        <ns0:v/>
      </ns0:c>
      <ns0:c r="BO71" s="74" t="inlineStr">
        <ns0:is>
          <ns0:t>N/A</ns0:t>
        </ns0:is>
      </ns0:c>
      <ns0:c r="BP71" s="74" t="inlineStr">
        <ns0:is>
          <ns0:t>N/A</ns0:t>
        </ns0:is>
      </ns0:c>
      <ns0:c r="BQ71" s="74" t="inlineStr">
        <ns0:is>
          <ns0:t>N/A</ns0:t>
        </ns0:is>
      </ns0:c>
      <ns0:c r="BR71" s="74" t="inlineStr">
        <ns0:is>
          <ns0:t>N/A</ns0:t>
        </ns0:is>
      </ns0:c>
      <ns0:c r="BS71" s="74" t="inlineStr">
        <ns0:is>
          <ns0:t>N/A</ns0:t>
        </ns0:is>
      </ns0:c>
      <ns0:c r="BT71" s="74" t="inlineStr">
        <ns0:is>
          <ns0:t>N/A</ns0:t>
        </ns0:is>
      </ns0:c>
      <ns0:c r="BU71" s="91" t="inlineStr">
        <ns0:is>
          <ns0:t>Goldman Sachs (Asia) L.L.C; Haitong International Capital Limited</ns0:t>
        </ns0:is>
      </ns0:c>
      <ns0:c r="BV71" s="74" t="inlineStr">
        <ns0:is>
          <ns0:t>Haitong International Capital Limited; Goldman Sachs (Asia) L.L.C.</ns0:t>
        </ns0:is>
      </ns0:c>
      <ns0:c r="BW71" s="74" t="inlineStr">
        <ns0:is>
          <ns0:t>Goldman Sachs (Asia) L.L.C; Haitong International Securities Company Limited; Credit Suisse (Hong Kong) Limited; CMB International Capital Limited; Huatai Financial Holdings (Hong Kong) Limited; China Industrial Securities International Capital Limited; CNCB (Hong Kong) Capital Limited</ns0:t>
        </ns0:is>
      </ns0:c>
      <ns0:c r="BX71" s="74" t="inlineStr">
        <ns0:is>
          <ns0:t>China Industrial Securities International Capital Limited; CMB International Capital Limited; CNCB (Hong Kong) Capital Limited; Credit Suisse (Hong Kong) Limited; Goldman Sachs (Asia) L.L.C.; Huatai Financial Holdings (Hong Kong) Limited; Haitong International Securities Company Limited</ns0:t>
        </ns0:is>
      </ns0:c>
      <ns0:c r="BY71" s="93">
        <ns0:f>HYPERLINK("https://www1.hkexnews.hk/listedco/listconews/sehk/2021/0913/2021091300015.pdf","prospectus")</ns0:f>
        <ns0:v/>
      </ns0:c>
      <ns0:c r="BZ71" s="93">
        <ns0:f>HYPERLINK("https://www1.hkexnews.hk/listedco/listconews/sehk/2021/0923/2021092300020.htm","allotment")</ns0:f>
        <ns0:v/>
      </ns0:c>
      <ns0:c r="CA71" s="93">
        <ns0:f>HYPERLINK("https://www1.hkexnews.hk/listedco/listconews/sehk/2021/1017/2021101700017.pdf","stabilisation")</ns0:f>
        <ns0:v/>
      </ns0:c>
      <ns0:c r="CB71" s="94" t="n"/>
      <ns0:c r="CC71" s="74" t="inlineStr">
        <ns0:is>
          <ns0:t>P/E: net income not extractable; P/S: 2,301x on HK$4.1m revenue, effectively pre-revenue; not comparable; financials: not extractable; pre-IPO year outside the AAStocks window; allocation: allocation table not in this notice's format (older prose announcement); day-1 tape: volume on file; the retail multiple needs the final public split, which this notice does not state</ns0:t>
        </ns0:is>
      </ns0:c>
    </ns0:row>
    <ns0:row r="72" ht="22" customHeight="1">
      <ns0:c r="A72" s="73" t="inlineStr">
        <ns0:is>
          <ns0:t>9889</ns0:t>
        </ns0:is>
      </ns0:c>
      <ns0:c r="B72" s="74" t="inlineStr">
        <ns0:is>
          <ns0:t>DRCB</ns0:t>
        </ns0:is>
      </ns0:c>
      <ns0:c r="C72" s="74" t="inlineStr">
        <ns0:is>
          <ns0:t>東莞農商銀行</ns0:t>
        </ns0:is>
      </ns0:c>
      <ns0:c r="D72" s="74" t="inlineStr">
        <ns0:is>
          <ns0:t>Financials</ns0:t>
        </ns0:is>
      </ns0:c>
      <ns0:c r="E72" s="74" t="inlineStr">
        <ns0:is>
          <ns0:t>Banks</ns0:t>
        </ns0:is>
      </ns0:c>
      <ns0:c r="F72" s="74" t="inlineStr">
        <ns0:is>
          <ns0:t>Diversified Banks</ns0:t>
        </ns0:is>
      </ns0:c>
      <ns0:c r="G72" s="74" t="inlineStr">
        <ns0:is>
          <ns0:t>Standard</ns0:t>
        </ns0:is>
      </ns0:c>
      <ns0:c r="H72" s="75" t="n">
        <ns0:v>44468</ns0:v>
      </ns0:c>
      <ns0:c r="I72" s="76" t="n">
        <ns0:v>8881.700000000001</ns0:v>
      </ns0:c>
      <ns0:c r="J72" s="74" t="inlineStr">
        <ns0:is>
          <ns0:t>net proceeds</ns0:t>
        </ns0:is>
      </ns0:c>
      <ns0:c r="K72" s="95" t="n"/>
      <ns0:c r="L72" s="77" t="n">
        <ns0:v>7.92</ns0:v>
      </ns0:c>
      <ns0:c r="M72" s="77" t="n">
        <ns0:v>7.92</ns0:v>
      </ns0:c>
      <ns0:c r="N72" s="74" t="inlineStr">
        <ns0:is>
          <ns0:t>Y</ns0:t>
        </ns0:is>
      </ns0:c>
      <ns0:c r="O72" s="78" t="n">
        <ns0:v>100</ns0:v>
      </ns0:c>
      <ns0:c r="P72" s="84" t="n"/>
      <ns0:c r="Q72" s="79" t="n">
        <ns0:v>57278.2</ns0:v>
      </ns0:c>
      <ns0:c r="R72" s="74" t="inlineStr">
        <ns0:is>
          <ns0:t>aastocks:上市市值 at the struck price</ns0:t>
        </ns0:is>
      </ns0:c>
      <ns0:c r="S72" s="80" t="n">
        <ns0:v>0.22</ns0:v>
      </ns0:c>
      <ns0:c r="T72" s="81" t="n">
        <ns0:v>1.18</ns0:v>
      </ns0:c>
      <ns0:c r="U72" s="82" t="n">
        <ns0:v>11.3</ns0:v>
      </ns0:c>
      <ns0:c r="V72" s="83" t="n">
        <ns0:v>126</ns0:v>
      </ns0:c>
      <ns0:c r="W72" s="78" t="n">
        <ns0:v>2.25</ns0:v>
      </ns0:c>
      <ns0:c r="X72" s="74" t="inlineStr">
        <ns0:is>
          <ns0:t>NO</ns0:t>
        </ns0:is>
      </ns0:c>
      <ns0:c r="Y72" s="79" t="n">
        <ns0:v>7878.07</ns0:v>
      </ns0:c>
      <ns0:c r="Z72" s="97" t="n"/>
      <ns0:c r="AA72" s="78" t="n">
        <ns0:v>13.75</ns0:v>
      </ns0:c>
      <ns0:c r="AB72" s="74" t="inlineStr">
        <ns0:is>
          <ns0:t>Fook Man Development Company Limited</ns0:t>
        </ns0:is>
      </ns0:c>
      <ns0:c r="AC72" s="74" t="inlineStr">
        <ns0:is>
          <ns0:t>fook</ns0:t>
        </ns0:is>
      </ns0:c>
      <ns0:c r="AD72" s="78" t="n">
        <ns0:v>16.67</ns0:v>
      </ns0:c>
      <ns0:c r="AE72" s="74" t="inlineStr">
        <ns0:is>
          <ns0:t>lapsed (no over-allocation)</ns0:t>
        </ns0:is>
      </ns0:c>
      <ns0:c r="AF72" s="85" t="n"/>
      <ns0:c r="AG72" s="74" t="inlineStr">
        <ns0:is>
          <ns0:t>ABCI Securities Company Limited</ns0:t>
        </ns0:is>
      </ns0:c>
      <ns0:c r="AH72" s="74" t="inlineStr">
        <ns0:is>
          <ns0:t>ABCI</ns0:t>
        </ns0:is>
      </ns0:c>
      <ns0:c r="AI72" s="86" t="n">
        <ns0:v>-5.3</ns0:v>
      </ns0:c>
      <ns0:c r="AJ72" s="87" t="n">
        <ns0:v>4.17</ns0:v>
      </ns0:c>
      <ns0:c r="AK72" s="87" t="n">
        <ns0:v>1.74</ns0:v>
      </ns0:c>
      <ns0:c r="AL72" s="87" t="n">
        <ns0:v>1.01</ns0:v>
      </ns0:c>
      <ns0:c r="AM72" s="87" t="n">
        <ns0:v>3.13</ns0:v>
      </ns0:c>
      <ns0:c r="AN72" s="89" t="n">
        <ns0:v>1.13</ns0:v>
      </ns0:c>
      <ns0:c r="AO72" s="78" t="n">
        <ns0:v>23.63</ns0:v>
      </ns0:c>
      <ns0:c r="AP72" s="87" t="n">
        <ns0:v>-4.92</ns0:v>
      </ns0:c>
      <ns0:c r="AQ72" s="87" t="n">
        <ns0:v>-8.59</ns0:v>
      </ns0:c>
      <ns0:c r="AR72" s="87" t="n">
        <ns0:v>-4.67</ns0:v>
      </ns0:c>
      <ns0:c r="AS72" s="87" t="n">
        <ns0:v>-8.73</ns0:v>
      </ns0:c>
      <ns0:c r="AT72" s="87" t="n">
        <ns0:v>-12.25</ns0:v>
      </ns0:c>
      <ns0:c r="AU72" s="87" t="n">
        <ns0:v>-8.49</ns0:v>
      </ns0:c>
      <ns0:c r="AV72" s="87" t="n">
        <ns0:v>-8.08</ns0:v>
      </ns0:c>
      <ns0:c r="AW72" s="87" t="n">
        <ns0:v>-12.64</ns0:v>
      </ns0:c>
      <ns0:c r="AX72" s="87" t="n">
        <ns0:v>-6</ns0:v>
      </ns0:c>
      <ns0:c r="AY72" s="87" t="n">
        <ns0:v>-14.52</ns0:v>
      </ns0:c>
      <ns0:c r="AZ72" s="87" t="n">
        <ns0:v>4.05</ns0:v>
      </ns0:c>
      <ns0:c r="BA72" s="87" t="n">
        <ns0:v>2.27</ns0:v>
      </ns0:c>
      <ns0:c r="BB72" s="74" t="inlineStr">
        <ns0:is>
          <ns0:t>Hang Seng Finance sub-index</ns0:t>
        </ns0:is>
      </ns0:c>
      <ns0:c r="BC72" s="87" t="n">
        <ns0:v>-60.48</ns0:v>
      </ns0:c>
      <ns0:c r="BD72" s="75" t="n">
        <ns0:v>46297</ns0:v>
      </ns0:c>
      <ns0:c r="BE72" s="98" t="n"/>
      <ns0:c r="BF72" s="97" t="n"/>
      <ns0:c r="BG72" s="85" t="n"/>
      <ns0:c r="BH72" s="90">
        <ns0:f>IFERROR(IF('BBG Verify'!O72="","Awaiting Bloomberg",'BBG Verify'!O72),"Awaiting Bloomberg")</ns0:f>
        <ns0:v/>
      </ns0:c>
      <ns0:c r="BI72" s="88" t="n"/>
      <ns0:c r="BJ72" s="89" t="n">
        <ns0:v>5</ns0:v>
      </ns0:c>
      <ns0:c r="BK72" s="88" t="n"/>
      <ns0:c r="BL72" s="90">
        <ns0:f>IFERROR(IF('BBG Verify'!S72="","Awaiting Bloomberg",'BBG Verify'!S72),"Awaiting Bloomberg")</ns0:f>
        <ns0:v/>
      </ns0:c>
      <ns0:c r="BM72" s="91" t="inlineStr">
        <ns0:is>
          <ns0:t>N</ns0:t>
        </ns0:is>
      </ns0:c>
      <ns0:c r="BN72" s="92">
        <ns0:f>IFERROR(IF('BBG Verify'!K72="","Awaiting Bloomberg",'BBG Verify'!K72),"Awaiting Bloomberg")</ns0:f>
        <ns0:v/>
      </ns0:c>
      <ns0:c r="BO72" s="74" t="inlineStr">
        <ns0:is>
          <ns0:t>N/A</ns0:t>
        </ns0:is>
      </ns0:c>
      <ns0:c r="BP72" s="74" t="inlineStr">
        <ns0:is>
          <ns0:t>N/A</ns0:t>
        </ns0:is>
      </ns0:c>
      <ns0:c r="BQ72" s="74" t="inlineStr">
        <ns0:is>
          <ns0:t>N/A</ns0:t>
        </ns0:is>
      </ns0:c>
      <ns0:c r="BR72" s="74" t="inlineStr">
        <ns0:is>
          <ns0:t>N/A</ns0:t>
        </ns0:is>
      </ns0:c>
      <ns0:c r="BS72" s="74" t="inlineStr">
        <ns0:is>
          <ns0:t>N/A</ns0:t>
        </ns0:is>
      </ns0:c>
      <ns0:c r="BT72" s="74" t="inlineStr">
        <ns0:is>
          <ns0:t>N/A</ns0:t>
        </ns0:is>
      </ns0:c>
      <ns0:c r="BU72" s="91" t="inlineStr">
        <ns0:is>
          <ns0:t>China Merchants Securities (HK) Co., Limited; CMB International Capital Limited; ABCI Capital Limited; ICBC International Capital Limited</ns0:t>
        </ns0:is>
      </ns0:c>
      <ns0:c r="BV72" s="74" t="inlineStr">
        <ns0:is>
          <ns0:t>CMB International Capital Limited; China Merchants Securities (HK) Company Limited; ICBC International Capital Limited; ABCI Capital Limited</ns0:t>
        </ns0:is>
      </ns0:c>
      <ns0:c r="BW72" s="74" t="inlineStr">
        <ns0:is>
          <ns0:t>ABCI Capital Limited; China Merchants Securities (HK) Co., Limited; CMB International Capital Limited; Fortune (HK) Securities Limited; ICBC International Capital Limited; Haitong International Securities Company Limited; CCB International Capital Limited; AMTD Global Markets Limited</ns0:t>
        </ns0:is>
      </ns0:c>
      <ns0:c r="BX72" s="74" t="inlineStr">
        <ns0:is>
          <ns0: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ns0:t>
        </ns0:is>
      </ns0:c>
      <ns0:c r="BY72" s="93">
        <ns0:f>HYPERLINK("https://www1.hkexnews.hk/listedco/listconews/sehk/2021/0916/2021091600052.htm","prospectus")</ns0:f>
        <ns0:v/>
      </ns0:c>
      <ns0:c r="BZ72" s="93">
        <ns0:f>HYPERLINK("https://www1.hkexnews.hk/listedco/listconews/sehk/2021/0928/2021092800010.htm","allotment")</ns0:f>
        <ns0:v/>
      </ns0:c>
      <ns0:c r="CA72" s="93">
        <ns0:f>HYPERLINK("https://www1.hkexnews.hk/listedco/listconews/sehk/2021/1021/2021102100557.pdf","stabilisation")</ns0:f>
        <ns0:v/>
      </ns0:c>
      <ns0:c r="CB72" s="94" t="n"/>
      <ns0:c r="CC72" s="74" t="inlineStr">
        <ns0:is>
          <ns0:t>P/E: net income not extractable; greenshoe: outcome published; expiry date not in the notice; price range: fixed-price offering (no indicative range); range low: maximum offer price only, no floor published; cornerstone %: upper bound: AAStocks institutional total / deal size; P/S: revenue not extractable; financials: not extractable; pre-IPO year outside the AAStocks window; eff float shares: share count unavailable; the HK$m figure is exact</ns0:t>
        </ns0:is>
      </ns0:c>
    </ns0:row>
    <ns0:row r="73" ht="22" customHeight="1">
      <ns0:c r="A73" s="73" t="inlineStr">
        <ns0:is>
          <ns0:t>6628</ns0:t>
        </ns0:is>
      </ns0:c>
      <ns0:c r="B73" s="74" t="inlineStr">
        <ns0:is>
          <ns0:t>TRANSCENTA-B</ns0:t>
        </ns0:is>
      </ns0:c>
      <ns0:c r="C73" s="74" t="inlineStr">
        <ns0:is>
          <ns0:t>創勝集團醫藥－Ｂ</ns0:t>
        </ns0:is>
      </ns0:c>
      <ns0:c r="D73" s="74" t="inlineStr">
        <ns0:is>
          <ns0:t>Healthcare</ns0:t>
        </ns0:is>
      </ns0:c>
      <ns0:c r="E73" s="74" t="inlineStr">
        <ns0:is>
          <ns0:t>Biotech pre-revenue (18A)</ns0:t>
        </ns0:is>
      </ns0:c>
      <ns0:c r="F73" s="74" t="inlineStr">
        <ns0:is>
          <ns0:t>Biotechnology</ns0:t>
        </ns0:is>
      </ns0:c>
      <ns0:c r="G73" s="74" t="inlineStr">
        <ns0:is>
          <ns0:t>18A</ns0:t>
        </ns0:is>
      </ns0:c>
      <ns0:c r="H73" s="75" t="n">
        <ns0:v>44468</ns0:v>
      </ns0:c>
      <ns0:c r="I73" s="76" t="n">
        <ns0:v>645.3</ns0:v>
      </ns0:c>
      <ns0:c r="J73" s="74" t="inlineStr">
        <ns0:is>
          <ns0:t>gross (price x shares)</ns0:t>
        </ns0:is>
      </ns0:c>
      <ns0:c r="K73" s="95" t="n"/>
      <ns0:c r="L73" s="77" t="n">
        <ns0:v>16</ns0:v>
      </ns0:c>
      <ns0:c r="M73" s="77" t="n">
        <ns0:v>16</ns0:v>
      </ns0:c>
      <ns0:c r="N73" s="74" t="inlineStr">
        <ns0:is>
          <ns0:t>Y</ns0:t>
        </ns0:is>
      </ns0:c>
      <ns0:c r="O73" s="78" t="n">
        <ns0:v>100</ns0:v>
      </ns0:c>
      <ns0:c r="P73" s="84" t="n"/>
      <ns0:c r="Q73" s="79" t="n">
        <ns0:v>6265</ns0:v>
      </ns0:c>
      <ns0:c r="R73" s="74" t="inlineStr">
        <ns0:is>
          <ns0:t>derived:deal size / offer % of enlarged capital</ns0:t>
        </ns0:is>
      </ns0:c>
      <ns0:c r="S73" s="80" t="n">
        <ns0:v>60.7</ns0:v>
      </ns0:c>
      <ns0:c r="T73" s="81" t="n">
        <ns0:v>2.1</ns0:v>
      </ns0:c>
      <ns0:c r="U73" s="82" t="n">
        <ns0:v>82.2</ns0:v>
      </ns0:c>
      <ns0:c r="V73" s="83" t="n">
        <ns0:v>109</ns0:v>
      </ns0:c>
      <ns0:c r="W73" s="84" t="n"/>
      <ns0:c r="X73" s="85" t="n"/>
      <ns0:c r="Y73" s="79" t="n">
        <ns0:v>114.86</ns0:v>
      </ns0:c>
      <ns0:c r="Z73" s="79" t="n">
        <ns0:v>7178740</ns0:v>
      </ns0:c>
      <ns0:c r="AA73" s="78" t="n">
        <ns0:v>1.83</ns0:v>
      </ns0:c>
      <ns0:c r="AB73" s="74" t="inlineStr">
        <ns0:is>
          <ns0:t>China Structural Reform Fund Corporation Limited; LAV Biosciences Fund V, L.P</ns0:t>
        </ns0:is>
      </ns0:c>
      <ns0:c r="AC73" s="74" t="inlineStr">
        <ns0:is>
          <ns0:t>structural;lav</ns0:t>
        </ns0:is>
      </ns0:c>
      <ns0:c r="AD73" s="78" t="n">
        <ns0:v>15.1</ns0:v>
      </ns0:c>
      <ns0:c r="AE73" s="74" t="inlineStr">
        <ns0:is>
          <ns0:t>lapsed</ns0:t>
        </ns0:is>
      </ns0:c>
      <ns0:c r="AF73" s="74" t="inlineStr">
        <ns0:is>
          <ns0:t>2021-10-17</ns0:t>
        </ns0:is>
      </ns0:c>
      <ns0:c r="AG73" s="74" t="inlineStr">
        <ns0:is>
          <ns0:t>Goldman Sachs</ns0:t>
        </ns0:is>
      </ns0:c>
      <ns0:c r="AH73" s="74" t="inlineStr">
        <ns0:is>
          <ns0:t>Goldman Sachs</ns0:t>
        </ns0:is>
      </ns0:c>
      <ns0:c r="AI73" s="86" t="n">
        <ns0:v>-17.75</ns0:v>
      </ns0:c>
      <ns0:c r="AJ73" s="87" t="n">
        <ns0:v>-17.25</ns0:v>
      </ns0:c>
      <ns0:c r="AK73" s="87" t="n">
        <ns0:v>-1.22</ns0:v>
      </ns0:c>
      <ns0:c r="AL73" s="87" t="n">
        <ns0:v>-18.75</ns0:v>
      </ns0:c>
      <ns0:c r="AM73" s="87" t="n">
        <ns0:v>1.85</ns0:v>
      </ns0:c>
      <ns0:c r="AN73" s="88" t="n"/>
      <ns0:c r="AO73" s="78" t="n">
        <ns0:v>9.69</ns0:v>
      </ns0:c>
      <ns0:c r="AP73" s="87" t="n">
        <ns0:v>-3.12</ns0:v>
      </ns0:c>
      <ns0:c r="AQ73" s="87" t="n">
        <ns0:v>-43.81</ns0:v>
      </ns0:c>
      <ns0:c r="AR73" s="87" t="n">
        <ns0:v>-42.5</ns0:v>
      </ns0:c>
      <ns0:c r="AS73" s="87" t="n">
        <ns0:v>17.08</ns0:v>
      </ns0:c>
      <ns0:c r="AT73" s="87" t="n">
        <ns0:v>-32.1</ns0:v>
      </ns0:c>
      <ns0:c r="AU73" s="87" t="n">
        <ns0:v>-30.51</ns0:v>
      </ns0:c>
      <ns0:c r="AV73" s="87" t="n">
        <ns0:v>-1.95</ns0:v>
      </ns0:c>
      <ns0:c r="AW73" s="87" t="n">
        <ns0:v>-34.62</ns0:v>
      </ns0:c>
      <ns0:c r="AX73" s="87" t="n">
        <ns0:v>-26.95</ns0:v>
      </ns0:c>
      <ns0:c r="AY73" s="87" t="n">
        <ns0:v>-24.04</ns0:v>
      </ns0:c>
      <ns0:c r="AZ73" s="87" t="n">
        <ns0:v>-9.19</ns0:v>
      </ns0:c>
      <ns0:c r="BA73" s="87" t="n">
        <ns0:v>-8.06</ns0:v>
      </ns0:c>
      <ns0:c r="BB73" s="74" t="inlineStr">
        <ns0:is>
          <ns0:t>China Biotech ETF (HS biotech proxy)</ns0:t>
        </ns0:is>
      </ns0:c>
      <ns0:c r="BC73" s="87" t="n">
        <ns0:v>-94.38</ns0:v>
      </ns0:c>
      <ns0:c r="BD73" s="75" t="n">
        <ns0:v>46297</ns0:v>
      </ns0:c>
      <ns0:c r="BE73" s="76" t="n">
        <ns0:v>7.5</ns0:v>
      </ns0:c>
      <ns0:c r="BF73" s="79" t="n">
        <ns0:v>-27.3</ns0:v>
      </ns0:c>
      <ns0:c r="BG73" s="74" t="inlineStr">
        <ns0:is>
          <ns0:t>N</ns0:t>
        </ns0:is>
      </ns0:c>
      <ns0:c r="BH73" s="74" t="inlineStr">
        <ns0:is>
          <ns0:t>n/m</ns0:t>
        </ns0:is>
      </ns0:c>
      <ns0:c r="BI73" s="88" t="n"/>
      <ns0:c r="BJ73" s="88" t="n"/>
      <ns0:c r="BK73" s="89" t="n">
        <ns0:v>835.3</ns0:v>
      </ns0:c>
      <ns0:c r="BL73" s="90">
        <ns0:f>IFERROR(IF('BBG Verify'!S73="","Awaiting Bloomberg",'BBG Verify'!S73),"Awaiting Bloomberg")</ns0:f>
        <ns0:v/>
      </ns0:c>
      <ns0:c r="BM73" s="91" t="inlineStr">
        <ns0:is>
          <ns0:t>N</ns0:t>
        </ns0:is>
      </ns0:c>
      <ns0:c r="BN73" s="92">
        <ns0:f>IFERROR(IF('BBG Verify'!K73="","Awaiting Bloomberg",'BBG Verify'!K73),"Awaiting Bloomberg")</ns0:f>
        <ns0:v/>
      </ns0:c>
      <ns0:c r="BO73" s="74" t="inlineStr">
        <ns0:is>
          <ns0:t>N/A</ns0:t>
        </ns0:is>
      </ns0:c>
      <ns0:c r="BP73" s="74" t="inlineStr">
        <ns0:is>
          <ns0:t>N/A</ns0:t>
        </ns0:is>
      </ns0:c>
      <ns0:c r="BQ73" s="74" t="inlineStr">
        <ns0:is>
          <ns0:t>N/A</ns0:t>
        </ns0:is>
      </ns0:c>
      <ns0:c r="BR73" s="74" t="inlineStr">
        <ns0:is>
          <ns0:t>N/A</ns0:t>
        </ns0:is>
      </ns0:c>
      <ns0:c r="BS73" s="74" t="inlineStr">
        <ns0:is>
          <ns0:t>N/A</ns0:t>
        </ns0:is>
      </ns0:c>
      <ns0:c r="BT73" s="74" t="inlineStr">
        <ns0:is>
          <ns0:t>N/A</ns0:t>
        </ns0:is>
      </ns0:c>
      <ns0:c r="BU73" s="91" t="inlineStr">
        <ns0:is>
          <ns0: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ns0:t>
        </ns0:is>
      </ns0:c>
      <ns0:c r="BV73" s="74" t="inlineStr">
        <ns0:is>
          <ns0:t>China International Capital Corporation Hong Kong Securities Limited; Goldman Sachs (Asia) L.L.C.</ns0:t>
        </ns0:is>
      </ns0:c>
      <ns0:c r="BW73" s="74" t="inlineStr">
        <ns0:is>
          <ns0:t>BOCI Asia Limited; China International Capital Corporation Hong Kong Securities Limited; China Renaissance Securities (Hong Kong) Limited; Goldman Sachs (Asia) L.L.C.</ns0:t>
        </ns0:is>
      </ns0:c>
      <ns0:c r="BX73" s="74" t="inlineStr">
        <ns0:is>
          <ns0:t>BOCI Asia Limited; China International Capital Corporation Hong Kong Securities Limited; China Renaissance Securities (Hong Kong) Limited; Goldman Sachs (Asia) L.L.C.</ns0:t>
        </ns0:is>
      </ns0:c>
      <ns0:c r="BY73" s="93">
        <ns0:f>HYPERLINK("https://www1.hkexnews.hk/listedco/listconews/sehk/2021/0914/2021091400015.pdf","prospectus")</ns0:f>
        <ns0:v/>
      </ns0:c>
      <ns0:c r="BZ73" s="93">
        <ns0:f>HYPERLINK("https://www1.hkexnews.hk/listedco/listconews/sehk/2021/0928/2021092800028.htm","allotment")</ns0:f>
        <ns0:v/>
      </ns0:c>
      <ns0:c r="CA73" s="93">
        <ns0:f>HYPERLINK("https://www1.hkexnews.hk/listedco/listconews/sehk/2021/1017/2021101700005.pdf","stabilisation")</ns0:f>
        <ns0:v/>
      </ns0:c>
      <ns0:c r="CB73" s="94" t="n"/>
      <ns0:c r="CC73" s="74" t="inlineStr">
        <ns0:is>
          <ns0:t>P/E: loss-making at IPO, use P/S; range low: maximum offer price only, no floor published; cornerstone: table parse 83% rejected (institutional total implies 46%); the filed aggregate-amount sentence used; P/S: 835x on HK$7.5m revenue, effectively pre-revenue; not comparable; allocation: allocation table not in this notice's format (older prose announcement); day-1 tape: volume on file; the retail multiple needs the final public split, which this notice does not state</ns0:t>
        </ns0:is>
      </ns0:c>
    </ns0:row>
    <ns0:row r="74" ht="22" customHeight="1">
      <ns0:c r="A74" s="73" t="inlineStr">
        <ns0:is>
          <ns0:t>2378</ns0:t>
        </ns0:is>
      </ns0:c>
      <ns0:c r="B74" s="74" t="inlineStr">
        <ns0:is>
          <ns0:t>PRU</ns0:t>
        </ns0:is>
      </ns0:c>
      <ns0:c r="C74" s="74" t="inlineStr">
        <ns0:is>
          <ns0:t>保誠</ns0:t>
        </ns0:is>
      </ns0:c>
      <ns0:c r="D74" s="74" t="inlineStr">
        <ns0:is>
          <ns0:t>Financials</ns0:t>
        </ns0:is>
      </ns0:c>
      <ns0:c r="E74" s="74" t="inlineStr">
        <ns0:is>
          <ns0:t>Insurance</ns0:t>
        </ns0:is>
      </ns0:c>
      <ns0:c r="F74" s="85" t="n"/>
      <ns0:c r="G74" s="74" t="inlineStr">
        <ns0:is>
          <ns0:t>Standard</ns0:t>
        </ns0:is>
      </ns0:c>
      <ns0:c r="H74" s="75" t="n">
        <ns0:v>44473</ns0:v>
      </ns0:c>
      <ns0:c r="I74" s="76" t="n">
        <ns0:v>18500</ns0:v>
      </ns0:c>
      <ns0:c r="J74" s="74" t="inlineStr">
        <ns0:is>
          <ns0:t>net proceeds</ns0:t>
        </ns0:is>
      </ns0:c>
      <ns0:c r="K74" s="95" t="n"/>
      <ns0:c r="L74" s="77" t="n">
        <ns0:v>172</ns0:v>
      </ns0:c>
      <ns0:c r="M74" s="77" t="n">
        <ns0:v>143.8</ns0:v>
      </ns0:c>
      <ns0:c r="N74" s="74" t="inlineStr">
        <ns0:is>
          <ns0:t>N</ns0:t>
        </ns0:is>
      </ns0:c>
      <ns0:c r="O74" s="78" t="n">
        <ns0:v>83.59999999999999</ns0:v>
      </ns0:c>
      <ns0:c r="P74" s="84" t="n"/>
      <ns0:c r="Q74" s="102">
        <ns0:f>IFERROR(IF('BBG Verify'!M74="","Awaiting Bloomberg",'BBG Verify'!M74),"Awaiting Bloomberg")</ns0:f>
        <ns0:v/>
      </ns0:c>
      <ns0:c r="R74" s="85" t="n"/>
      <ns0:c r="S74" s="80" t="n">
        <ns0:v>1.43</ns0:v>
      </ns0:c>
      <ns0:c r="T74" s="81" t="n">
        <ns0:v>1.43</ns0:v>
      </ns0:c>
      <ns0:c r="U74" s="82" t="n">
        <ns0:v>0</ns0:v>
      </ns0:c>
      <ns0:c r="V74" s="100" t="n"/>
      <ns0:c r="W74" s="84" t="n"/>
      <ns0:c r="X74" s="85" t="n"/>
      <ns0:c r="Y74" s="79" t="n">
        <ns0:v>18500</ns0:v>
      </ns0:c>
      <ns0:c r="Z74" s="97" t="n"/>
      <ns0:c r="AA74" s="84" t="n"/>
      <ns0:c r="AB74" s="74" t="inlineStr">
        <ns0:is>
          <ns0:t>none — no cornerstone tranche</ns0:t>
        </ns0:is>
      </ns0:c>
      <ns0:c r="AC74" s="74" t="inlineStr">
        <ns0:is>
          <ns0:t>none</ns0:t>
        </ns0:is>
      </ns0:c>
      <ns0:c r="AD74" s="84" t="n"/>
      <ns0:c r="AE74" s="85" t="n"/>
      <ns0:c r="AF74" s="85" t="n"/>
      <ns0:c r="AG74" s="85" t="n"/>
      <ns0:c r="AH74" s="85" t="n"/>
      <ns0:c r="AI74" s="96" t="n"/>
      <ns0:c r="AJ74" s="87" t="n">
        <ns0:v>4.73</ns0:v>
      </ns0:c>
      <ns0:c r="AK74" s="87" t="n">
        <ns0:v>-1.72</ns0:v>
      </ns0:c>
      <ns0:c r="AL74" s="87" t="n">
        <ns0:v>4.38</ns0:v>
      </ns0:c>
      <ns0:c r="AM74" s="87" t="n">
        <ns0:v>0.34</ns0:v>
      </ns0:c>
      <ns0:c r="AN74" s="88" t="n"/>
      <ns0:c r="AO74" s="78" t="n">
        <ns0:v>1.93</ns0:v>
      </ns0:c>
      <ns0:c r="AP74" s="87" t="n">
        <ns0:v>10.64</ns0:v>
      </ns0:c>
      <ns0:c r="AQ74" s="87" t="n">
        <ns0:v>8.9</ns0:v>
      </ns0:c>
      <ns0:c r="AR74" s="87" t="n">
        <ns0:v>-6.05</ns0:v>
      </ns0:c>
      <ns0:c r="AS74" s="87" t="n">
        <ns0:v>5.64</ns0:v>
      </ns0:c>
      <ns0:c r="AT74" s="87" t="n">
        <ns0:v>3.98</ns0:v>
      </ns0:c>
      <ns0:c r="AU74" s="87" t="n">
        <ns0:v>-10.29</ns0:v>
      </ns0:c>
      <ns0:c r="AV74" s="87" t="n">
        <ns0:v>8.119999999999999</ns0:v>
      </ns0:c>
      <ns0:c r="AW74" s="87" t="n">
        <ns0:v>7.57</ns0:v>
      </ns0:c>
      <ns0:c r="AX74" s="87" t="n">
        <ns0:v>-6.76</ns0:v>
      </ns0:c>
      <ns0:c r="AY74" s="87" t="n">
        <ns0:v>0.88</ns0:v>
      </ns0:c>
      <ns0:c r="AZ74" s="87" t="n">
        <ns0:v>1.33</ns0:v>
      </ns0:c>
      <ns0:c r="BA74" s="87" t="n">
        <ns0:v>3.1</ns0:v>
      </ns0:c>
      <ns0:c r="BB74" s="74" t="inlineStr">
        <ns0:is>
          <ns0:t>Hang Seng Finance sub-index</ns0:t>
        </ns0:is>
      </ns0:c>
      <ns0:c r="BC74" s="87" t="n">
        <ns0:v>-33.94</ns0:v>
      </ns0:c>
      <ns0:c r="BD74" s="75" t="n">
        <ns0:v>46297</ns0:v>
      </ns0:c>
      <ns0:c r="BE74" s="98" t="n"/>
      <ns0:c r="BF74" s="97" t="n"/>
      <ns0:c r="BG74" s="85" t="n"/>
      <ns0:c r="BH74" s="89" t="n">
        <ns0:v>17.4</ns0:v>
      </ns0:c>
      <ns0:c r="BI74" s="89" t="n">
        <ns0:v>17.4</ns0:v>
      </ns0:c>
      <ns0:c r="BJ74" s="89" t="n">
        <ns0:v>8.800000000000001</ns0:v>
      </ns0:c>
      <ns0:c r="BK74" s="88" t="n"/>
      <ns0:c r="BL74" s="90">
        <ns0:f>IFERROR(IF('BBG Verify'!S74="","Awaiting Bloomberg",'BBG Verify'!S74),"Awaiting Bloomberg")</ns0:f>
        <ns0:v/>
      </ns0:c>
      <ns0:c r="BM74" s="91" t="inlineStr">
        <ns0:is>
          <ns0:t>N</ns0:t>
        </ns0:is>
      </ns0:c>
      <ns0:c r="BN74" s="92">
        <ns0:f>IFERROR(IF('BBG Verify'!K74="","Awaiting Bloomberg",'BBG Verify'!K74),"Awaiting Bloomberg")</ns0:f>
        <ns0:v/>
      </ns0:c>
      <ns0:c r="BO74" s="74" t="inlineStr">
        <ns0:is>
          <ns0:t>N/A</ns0:t>
        </ns0:is>
      </ns0:c>
      <ns0:c r="BP74" s="74" t="inlineStr">
        <ns0:is>
          <ns0:t>N/A</ns0:t>
        </ns0:is>
      </ns0:c>
      <ns0:c r="BQ74" s="74" t="inlineStr">
        <ns0:is>
          <ns0:t>N/A</ns0:t>
        </ns0:is>
      </ns0:c>
      <ns0:c r="BR74" s="74" t="inlineStr">
        <ns0:is>
          <ns0:t>N/A</ns0:t>
        </ns0:is>
      </ns0:c>
      <ns0:c r="BS74" s="74" t="inlineStr">
        <ns0:is>
          <ns0:t>N/A</ns0:t>
        </ns0:is>
      </ns0:c>
      <ns0:c r="BT74" s="74" t="inlineStr">
        <ns0:is>
          <ns0:t>N/A</ns0:t>
        </ns0:is>
      </ns0:c>
      <ns0:c r="BU74" s="91" t="inlineStr">
        <ns0:is>
          <ns0:t>N/A — existing listing (2021 share offer)</ns0:t>
        </ns0:is>
      </ns0:c>
      <ns0:c r="BV74" s="74" t="inlineStr">
        <ns0:is>
          <ns0:t>not reported by AAStocks; see Sponsors</ns0:t>
        </ns0:is>
      </ns0:c>
      <ns0:c r="BW74" s="74" t="inlineStr">
        <ns0:is>
          <ns0:t>Citi; Goldman Sachs; CLSA Limited; HSBC; BofA Securities; Credit Suisse; UBS AG; UOB Kay Hian</ns0:t>
        </ns0:is>
      </ns0:c>
      <ns0:c r="BX74" s="85" t="n"/>
      <ns0:c r="BY74" s="93">
        <ns0:f>HYPERLINK("https://www1.hkexnews.hk/listedco/listconews/sehk/2021/0920/2021092000007.pdf","prospectus")</ns0:f>
        <ns0:v/>
      </ns0:c>
      <ns0:c r="BZ74" s="93">
        <ns0:f>HYPERLINK("https://www1.hkexnews.hk/listedco/listconews/sehk/2021/0930/2021093000120.htm","allotment")</ns0:f>
        <ns0:v/>
      </ns0:c>
      <ns0:c r="CA74" s="85" t="n"/>
      <ns0:c r="CB74" s="94" t="n"/>
      <ns0:c r="CC74" s="74" t="inlineStr">
        <ns0:is>
          <ns0:t>P/E: Bloomberg trailing-12m basis (prospectus-year multiple not derivable); greenshoe: no over-allotment option; range low: maximum offer price only, no floor published; sponsor: no sponsor: an already-listed issuer's offer; Rothschild &amp; Co was financial adviser; market cap: no share count, offer % of capital or published listing cap; cornerstone list: no cornerstone tranche; greenshoe size: no over-allotment option; P/S: revenue not extractable; stabilising manager: no over-allotment option, so none appointed; financials: not extractable; pre-IPO year outside the AAStocks window; grey market: close not verified in the captured sources; historical press archives may hold one; eff free float: % of cap not computable: market cap not derivable; eff float shares: share count unavailable; the HK$m figure is exact; AAStocks fields: no AAStocks IPO page (listing by introduction or transfer, no public offer); allocation: allocation table not in this notice's format (older prose announcement); day-1 tape: volume on file; the retail multiple needs the final public split, which this notice does not state</ns0:t>
        </ns0:is>
      </ns0:c>
    </ns0:row>
    <ns0:row r="75" ht="22" customHeight="1">
      <ns0:c r="A75" s="73" t="inlineStr">
        <ns0:is>
          <ns0:t>2256</ns0:t>
        </ns0:is>
      </ns0:c>
      <ns0:c r="B75" s="74" t="inlineStr">
        <ns0:is>
          <ns0:t>ABBISKO-B</ns0:t>
        </ns0:is>
      </ns0:c>
      <ns0:c r="C75" s="74" t="inlineStr">
        <ns0:is>
          <ns0:t>和譽－Ｂ</ns0:t>
        </ns0:is>
      </ns0:c>
      <ns0:c r="D75" s="74" t="inlineStr">
        <ns0:is>
          <ns0:t>Healthcare</ns0:t>
        </ns0:is>
      </ns0:c>
      <ns0:c r="E75" s="74" t="inlineStr">
        <ns0:is>
          <ns0:t>Biotech pre-revenue (18A)</ns0:t>
        </ns0:is>
      </ns0:c>
      <ns0:c r="F75" s="74" t="inlineStr">
        <ns0:is>
          <ns0:t>Biotechnology</ns0:t>
        </ns0:is>
      </ns0:c>
      <ns0:c r="G75" s="74" t="inlineStr">
        <ns0:is>
          <ns0:t>18A</ns0:t>
        </ns0:is>
      </ns0:c>
      <ns0:c r="H75" s="75" t="n">
        <ns0:v>44484</ns0:v>
      </ns0:c>
      <ns0:c r="I75" s="76" t="n">
        <ns0:v>1753.6</ns0:v>
      </ns0:c>
      <ns0:c r="J75" s="74" t="inlineStr">
        <ns0:is>
          <ns0:t>gross (price x shares)</ns0:t>
        </ns0:is>
      </ns0:c>
      <ns0:c r="K75" s="77" t="n">
        <ns0:v>12.16</ns0:v>
      </ns0:c>
      <ns0:c r="L75" s="77" t="n">
        <ns0:v>12.46</ns0:v>
      </ns0:c>
      <ns0:c r="M75" s="77" t="n">
        <ns0:v>12.46</ns0:v>
      </ns0:c>
      <ns0:c r="N75" s="74" t="inlineStr">
        <ns0:is>
          <ns0:t>Y</ns0:t>
        </ns0:is>
      </ns0:c>
      <ns0:c r="O75" s="78" t="n">
        <ns0:v>100</ns0:v>
      </ns0:c>
      <ns0:c r="P75" s="78" t="n">
        <ns0:v>100</ns0:v>
      </ns0:c>
      <ns0:c r="Q75" s="79" t="n">
        <ns0:v>8542</ns0:v>
      </ns0:c>
      <ns0:c r="R75" s="74" t="inlineStr">
        <ns0:is>
          <ns0:t>prospectus:stated market capitalisation</ns0:t>
        </ns0:is>
      </ns0:c>
      <ns0:c r="S75" s="80" t="n">
        <ns0:v>5.64</ns0:v>
      </ns0:c>
      <ns0:c r="T75" s="81" t="n">
        <ns0:v>4.65</ns0:v>
      </ns0:c>
      <ns0:c r="U75" s="82" t="n">
        <ns0:v>56.63</ns0:v>
      </ns0:c>
      <ns0:c r="V75" s="83" t="n">
        <ns0:v>124</ns0:v>
      </ns0:c>
      <ns0:c r="W75" s="84" t="n"/>
      <ns0:c r="X75" s="85" t="n"/>
      <ns0:c r="Y75" s="79" t="n">
        <ns0:v>760.54</ns0:v>
      </ns0:c>
      <ns0:c r="Z75" s="79" t="n">
        <ns0:v>61037203</ns0:v>
      </ns0:c>
      <ns0:c r="AA75" s="78" t="n">
        <ns0:v>8.9</ns0:v>
      </ns0:c>
      <ns0:c r="AB75" s="74" t="inlineStr">
        <ns0:is>
          <ns0: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ns0:t>
        </ns0:is>
      </ns0:c>
      <ns0:c r="AC75" s="74" t="inlineStr">
        <ns0:is>
          <ns0:t>aihc;aranda;blackrock;epsomite;hudson;janchor;lake;lav;orbimed;ubs;vivo</ns0:t>
        </ns0:is>
      </ns0:c>
      <ns0:c r="AD75" s="78" t="n">
        <ns0:v>8.5</ns0:v>
      </ns0:c>
      <ns0:c r="AE75" s="74" t="inlineStr">
        <ns0:is>
          <ns0:t>partial</ns0:t>
        </ns0:is>
      </ns0:c>
      <ns0:c r="AF75" s="85" t="n"/>
      <ns0:c r="AG75" s="74" t="inlineStr">
        <ns0:is>
          <ns0:t>Morgan Stanley Asia Limited</ns0:t>
        </ns0:is>
      </ns0:c>
      <ns0:c r="AH75" s="74" t="inlineStr">
        <ns0:is>
          <ns0:t>Morgan Stanley</ns0:t>
        </ns0:is>
      </ns0:c>
      <ns0:c r="AI75" s="86" t="n">
        <ns0:v>-7.22</ns0:v>
      </ns0:c>
      <ns0:c r="AJ75" s="87" t="n">
        <ns0:v>-0.48</ns0:v>
      </ns0:c>
      <ns0:c r="AK75" s="87" t="n">
        <ns0:v>-0.07000000000000001</ns0:v>
      </ns0:c>
      <ns0:c r="AL75" s="87" t="n">
        <ns0:v>-9.31</ns0:v>
      </ns0:c>
      <ns0:c r="AM75" s="87" t="n">
        <ns0:v>9.74</ns0:v>
      </ns0:c>
      <ns0:c r="AN75" s="88" t="n"/>
      <ns0:c r="AO75" s="84" t="n"/>
      <ns0:c r="AP75" s="87" t="n">
        <ns0:v>-6.9</ns0:v>
      </ns0:c>
      <ns0:c r="AQ75" s="87" t="n">
        <ns0:v>-13</ns0:v>
      </ns0:c>
      <ns0:c r="AR75" s="87" t="n">
        <ns0:v>-31.94</ns0:v>
      </ns0:c>
      <ns0:c r="AS75" s="87" t="n">
        <ns0:v>-6.45</ns0:v>
      </ns0:c>
      <ns0:c r="AT75" s="87" t="n">
        <ns0:v>-12.58</ns0:v>
      </ns0:c>
      <ns0:c r="AU75" s="87" t="n">
        <ns0:v>-31.61</ns0:v>
      </ns0:c>
      <ns0:c r="AV75" s="87" t="n">
        <ns0:v>-7.73</ns0:v>
      </ns0:c>
      <ns0:c r="AW75" s="87" t="n">
        <ns0:v>-10.74</ns0:v>
      </ns0:c>
      <ns0:c r="AX75" s="87" t="n">
        <ns0:v>-15.87</ns0:v>
      </ns0:c>
      <ns0:c r="AY75" s="87" t="n">
        <ns0:v>-10.38</ns0:v>
      </ns0:c>
      <ns0:c r="AZ75" s="87" t="n">
        <ns0:v>-2.26</ns0:v>
      </ns0:c>
      <ns0:c r="BA75" s="87" t="n">
        <ns0:v>-2.2</ns0:v>
      </ns0:c>
      <ns0:c r="BB75" s="74" t="inlineStr">
        <ns0:is>
          <ns0:t>China Biotech ETF (HS biotech proxy)</ns0:t>
        </ns0:is>
      </ns0:c>
      <ns0:c r="BC75" s="87" t="n">
        <ns0:v>-29.78</ns0:v>
      </ns0:c>
      <ns0:c r="BD75" s="75" t="n">
        <ns0:v>46297</ns0:v>
      </ns0:c>
      <ns0:c r="BE75" s="76" t="n">
        <ns0:v>0.6</ns0:v>
      </ns0:c>
      <ns0:c r="BF75" s="79" t="n">
        <ns0:v>-147.3</ns0:v>
      </ns0:c>
      <ns0:c r="BG75" s="74" t="inlineStr">
        <ns0:is>
          <ns0:t>N</ns0:t>
        </ns0:is>
      </ns0:c>
      <ns0:c r="BH75" s="74" t="inlineStr">
        <ns0:is>
          <ns0:t>n/m</ns0:t>
        </ns0:is>
      </ns0:c>
      <ns0:c r="BI75" s="88" t="n"/>
      <ns0:c r="BJ75" s="89" t="n">
        <ns0:v>111.1</ns0:v>
      </ns0:c>
      <ns0:c r="BK75" s="89" t="n">
        <ns0:v>14236.7</ns0:v>
      </ns0:c>
      <ns0:c r="BL75" s="90">
        <ns0:f>IFERROR(IF('BBG Verify'!S75="","Awaiting Bloomberg",'BBG Verify'!S75),"Awaiting Bloomberg")</ns0:f>
        <ns0:v/>
      </ns0:c>
      <ns0:c r="BM75" s="91" t="inlineStr">
        <ns0:is>
          <ns0:t>N</ns0:t>
        </ns0:is>
      </ns0:c>
      <ns0:c r="BN75" s="92">
        <ns0:f>IFERROR(IF('BBG Verify'!K75="","Awaiting Bloomberg",'BBG Verify'!K75),"Awaiting Bloomberg")</ns0:f>
        <ns0:v/>
      </ns0:c>
      <ns0:c r="BO75" s="74" t="inlineStr">
        <ns0:is>
          <ns0:t>N/A</ns0:t>
        </ns0:is>
      </ns0:c>
      <ns0:c r="BP75" s="74" t="inlineStr">
        <ns0:is>
          <ns0:t>N/A</ns0:t>
        </ns0:is>
      </ns0:c>
      <ns0:c r="BQ75" s="74" t="inlineStr">
        <ns0:is>
          <ns0:t>N/A</ns0:t>
        </ns0:is>
      </ns0:c>
      <ns0:c r="BR75" s="74" t="inlineStr">
        <ns0:is>
          <ns0:t>N/A</ns0:t>
        </ns0:is>
      </ns0:c>
      <ns0:c r="BS75" s="74" t="inlineStr">
        <ns0:is>
          <ns0:t>N/A</ns0:t>
        </ns0:is>
      </ns0:c>
      <ns0:c r="BT75" s="74" t="inlineStr">
        <ns0:is>
          <ns0:t>N/A</ns0:t>
        </ns0:is>
      </ns0:c>
      <ns0:c r="BU75" s="91" t="inlineStr">
        <ns0:is>
          <ns0:t>Morgan Stanley Asia Limited; J.P. Morgan Securities (Far East) Limited</ns0:t>
        </ns0:is>
      </ns0:c>
      <ns0:c r="BV75" s="74" t="inlineStr">
        <ns0:is>
          <ns0:t>Morgan Stanley Asia Limited; J.P. Morgan Securities (Far East) Limited</ns0:t>
        </ns0:is>
      </ns0:c>
      <ns0:c r="BW75" s="74" t="inlineStr">
        <ns0:is>
          <ns0:t>Morgan Stanley Asia Limited; J.P. Morgan Securities (Asia Pacific) Limited; China International Capital Corporation Hong Kong Securities Limited</ns0:t>
        </ns0:is>
      </ns0:c>
      <ns0:c r="BX75" s="74" t="inlineStr">
        <ns0:is>
          <ns0: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ns0:t>
        </ns0:is>
      </ns0:c>
      <ns0:c r="BY75" s="93">
        <ns0:f>HYPERLINK("https://www1.hkexnews.hk/listedco/listconews/sehk/2021/0930/2021093000017.pdf","prospectus")</ns0:f>
        <ns0:v/>
      </ns0:c>
      <ns0:c r="BZ75" s="93">
        <ns0:f>HYPERLINK("https://www1.hkexnews.hk/listedco/listconews/sehk/2021/1012/2021101200008.htm","allotment")</ns0:f>
        <ns0:v/>
      </ns0:c>
      <ns0:c r="CA75" s="93">
        <ns0:f>HYPERLINK("https://www1.hkexnews.hk/listedco/listconews/sehk/2021/1105/2021110501527.pdf","stabilisation")</ns0:f>
        <ns0:v/>
      </ns0:c>
      <ns0:c r="CB75" s="94" t="n"/>
      <ns0:c r="CC75" s="74" t="inlineStr">
        <ns0:is>
          <ns0:t>P/E: loss-making at IPO, use P/S; greenshoe: outcome published; expiry date not in the notice; P/S: 14,237x on HK$0.6m revenue, effectively pre-revenue; not comparable; listing date: Formal listing 13 October 2021; first share trading 15 October after Typhoon Kompasu closure. Company announcement: https://www.abbisko.com/newsDetail/90.html; allocation: allocation table not in this notice's format (older prose announcement); day-1 tape: no listing-day bar in the kline feed</ns0:t>
        </ns0:is>
      </ns0:c>
    </ns0:row>
    <ns0:row r="76" ht="22" customHeight="1">
      <ns0:c r="A76" s="73" t="inlineStr">
        <ns0:is>
          <ns0:t>2235</ns0:t>
        </ns0:is>
      </ns0:c>
      <ns0:c r="B76" s="74" t="inlineStr">
        <ns0:is>
          <ns0:t>MICROTECH MED-B</ns0:t>
        </ns0:is>
      </ns0:c>
      <ns0:c r="C76" s="74" t="inlineStr">
        <ns0:is>
          <ns0:t>微泰醫療－Ｂ</ns0:t>
        </ns0:is>
      </ns0:c>
      <ns0:c r="D76" s="74" t="inlineStr">
        <ns0:is>
          <ns0:t>Healthcare</ns0:t>
        </ns0:is>
      </ns0:c>
      <ns0:c r="E76" s="74" t="inlineStr">
        <ns0:is>
          <ns0:t>Medical devices</ns0:t>
        </ns0:is>
      </ns0:c>
      <ns0:c r="F76" s="74" t="inlineStr">
        <ns0:is>
          <ns0:t>Biotechnology</ns0:t>
        </ns0:is>
      </ns0:c>
      <ns0:c r="G76" s="74" t="inlineStr">
        <ns0:is>
          <ns0:t>18A</ns0:t>
        </ns0:is>
      </ns0:c>
      <ns0:c r="H76" s="75" t="n">
        <ns0:v>44488</ns0:v>
      </ns0:c>
      <ns0:c r="I76" s="76" t="n">
        <ns0:v>1937.6</ns0:v>
      </ns0:c>
      <ns0:c r="J76" s="74" t="inlineStr">
        <ns0:is>
          <ns0:t>gross (price x shares)</ns0:t>
        </ns0:is>
      </ns0:c>
      <ns0:c r="K76" s="77" t="n">
        <ns0:v>27.7</ns0:v>
      </ns0:c>
      <ns0:c r="L76" s="77" t="n">
        <ns0:v>31.15</ns0:v>
      </ns0:c>
      <ns0:c r="M76" s="77" t="n">
        <ns0:v>30.5</ns0:v>
      </ns0:c>
      <ns0:c r="N76" s="74" t="inlineStr">
        <ns0:is>
          <ns0:t>N</ns0:t>
        </ns0:is>
      </ns0:c>
      <ns0:c r="O76" s="78" t="n">
        <ns0:v>97.90000000000001</ns0:v>
      </ns0:c>
      <ns0:c r="P76" s="78" t="n">
        <ns0:v>81.2</ns0:v>
      </ns0:c>
      <ns0:c r="Q76" s="79" t="n">
        <ns0:v>11485.5</ns0:v>
      </ns0:c>
      <ns0:c r="R76" s="74" t="inlineStr">
        <ns0:is>
          <ns0:t>derived:deal size / offer % of enlarged capital</ns0:t>
        </ns0:is>
      </ns0:c>
      <ns0:c r="S76" s="80" t="n">
        <ns0:v>6.79</ns0:v>
      </ns0:c>
      <ns0:c r="T76" s="81" t="n">
        <ns0:v>4.9</ns0:v>
      </ns0:c>
      <ns0:c r="U76" s="82" t="n">
        <ns0:v>61.7</ns0:v>
      </ns0:c>
      <ns0:c r="V76" s="83" t="n">
        <ns0:v>107</ns0:v>
      </ns0:c>
      <ns0:c r="W76" s="84" t="n"/>
      <ns0:c r="X76" s="85" t="n"/>
      <ns0:c r="Y76" s="79" t="n">
        <ns0:v>742.1</ns0:v>
      </ns0:c>
      <ns0:c r="Z76" s="79" t="n">
        <ns0:v>24331798</ns0:v>
      </ns0:c>
      <ns0:c r="AA76" s="78" t="n">
        <ns0:v>6.46</ns0:v>
      </ns0:c>
      <ns0:c r="AB76" s="74" t="inlineStr">
        <ns0:is>
          <ns0: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ns0:t>
        </ns0:is>
      </ns0:c>
      <ns0:c r="AC76" s="74" t="inlineStr">
        <ns0:is>
          <ns0:t>boyu;hudson;invesco;lake;lav;octagon;orbimed;sage;springhill;tencent;ubs</ns0:t>
        </ns0:is>
      </ns0:c>
      <ns0:c r="AD76" s="78" t="n">
        <ns0:v>17.36</ns0:v>
      </ns0:c>
      <ns0:c r="AE76" s="74" t="inlineStr">
        <ns0:is>
          <ns0:t>partial</ns0:t>
        </ns0:is>
      </ns0:c>
      <ns0:c r="AF76" s="74" t="inlineStr">
        <ns0:is>
          <ns0:t>2021-11-10</ns0:t>
        </ns0:is>
      </ns0:c>
      <ns0:c r="AG76" s="74" t="inlineStr">
        <ns0:is>
          <ns0:t>Goldman Sachs</ns0:t>
        </ns0:is>
      </ns0:c>
      <ns0:c r="AH76" s="74" t="inlineStr">
        <ns0:is>
          <ns0:t>Goldman Sachs</ns0:t>
        </ns0:is>
      </ns0:c>
      <ns0:c r="AI76" s="86" t="n">
        <ns0:v>1.31</ns0:v>
      </ns0:c>
      <ns0:c r="AJ76" s="87" t="n">
        <ns0:v>0</ns0:v>
      </ns0:c>
      <ns0:c r="AK76" s="87" t="n">
        <ns0:v>1.83</ns0:v>
      </ns0:c>
      <ns0:c r="AL76" s="87" t="n">
        <ns0:v>1.64</ns0:v>
      </ns0:c>
      <ns0:c r="AM76" s="87" t="n">
        <ns0:v>-1.61</ns0:v>
      </ns0:c>
      <ns0:c r="AN76" s="88" t="n"/>
      <ns0:c r="AO76" s="78" t="n">
        <ns0:v>3.23</ns0:v>
      </ns0:c>
      <ns0:c r="AP76" s="87" t="n">
        <ns0:v>0.16</ns0:v>
      </ns0:c>
      <ns0:c r="AQ76" s="87" t="n">
        <ns0:v>-6.56</ns0:v>
      </ns0:c>
      <ns0:c r="AR76" s="87" t="n">
        <ns0:v>-35.74</ns0:v>
      </ns0:c>
      <ns0:c r="AS76" s="87" t="n">
        <ns0:v>0.16</ns0:v>
      </ns0:c>
      <ns0:c r="AT76" s="87" t="n">
        <ns0:v>-6.56</ns0:v>
      </ns0:c>
      <ns0:c r="AU76" s="87" t="n">
        <ns0:v>-35.74</ns0:v>
      </ns0:c>
      <ns0:c r="AV76" s="87" t="n">
        <ns0:v>-1.15</ns0:v>
      </ns0:c>
      <ns0:c r="AW76" s="87" t="n">
        <ns0:v>-7.91</ns0:v>
      </ns0:c>
      <ns0:c r="AX76" s="87" t="n">
        <ns0:v>-20.8</ns0:v>
      </ns0:c>
      <ns0:c r="AY76" s="87" t="n">
        <ns0:v>-6.09</ns0:v>
      </ns0:c>
      <ns0:c r="AZ76" s="87" t="n">
        <ns0:v>1.35</ns0:v>
      </ns0:c>
      <ns0:c r="BA76" s="87" t="n">
        <ns0:v>-0.47</ns0:v>
      </ns0:c>
      <ns0:c r="BB76" s="74" t="inlineStr">
        <ns0:is>
          <ns0:t>China Biotech ETF (HS biotech proxy)</ns0:t>
        </ns0:is>
      </ns0:c>
      <ns0:c r="BC76" s="87" t="n">
        <ns0:v>-77.23</ns0:v>
      </ns0:c>
      <ns0:c r="BD76" s="75" t="n">
        <ns0:v>46297</ns0:v>
      </ns0:c>
      <ns0:c r="BE76" s="76" t="n">
        <ns0:v>19.5</ns0:v>
      </ns0:c>
      <ns0:c r="BF76" s="79" t="n">
        <ns0:v>-4.5</ns0:v>
      </ns0:c>
      <ns0:c r="BG76" s="74" t="inlineStr">
        <ns0:is>
          <ns0:t>N</ns0:t>
        </ns0:is>
      </ns0:c>
      <ns0:c r="BH76" s="74" t="inlineStr">
        <ns0:is>
          <ns0:t>n/m</ns0:t>
        </ns0:is>
      </ns0:c>
      <ns0:c r="BI76" s="88" t="n"/>
      <ns0:c r="BJ76" s="89" t="n">
        <ns0:v>62.2</ns0:v>
      </ns0:c>
      <ns0:c r="BK76" s="89" t="n">
        <ns0:v>589</ns0:v>
      </ns0:c>
      <ns0:c r="BL76" s="90">
        <ns0:f>IFERROR(IF('BBG Verify'!S76="","Awaiting Bloomberg",'BBG Verify'!S76),"Awaiting Bloomberg")</ns0:f>
        <ns0:v/>
      </ns0:c>
      <ns0:c r="BM76" s="91" t="inlineStr">
        <ns0:is>
          <ns0:t>N</ns0:t>
        </ns0:is>
      </ns0:c>
      <ns0:c r="BN76" s="92">
        <ns0:f>IFERROR(IF('BBG Verify'!K76="","Awaiting Bloomberg",'BBG Verify'!K76),"Awaiting Bloomberg")</ns0:f>
        <ns0:v/>
      </ns0:c>
      <ns0:c r="BO76" s="74" t="inlineStr">
        <ns0:is>
          <ns0:t>N/A</ns0:t>
        </ns0:is>
      </ns0:c>
      <ns0:c r="BP76" s="74" t="inlineStr">
        <ns0:is>
          <ns0:t>N/A</ns0:t>
        </ns0:is>
      </ns0:c>
      <ns0:c r="BQ76" s="74" t="inlineStr">
        <ns0:is>
          <ns0:t>N/A</ns0:t>
        </ns0:is>
      </ns0:c>
      <ns0:c r="BR76" s="74" t="inlineStr">
        <ns0:is>
          <ns0:t>N/A</ns0:t>
        </ns0:is>
      </ns0:c>
      <ns0:c r="BS76" s="74" t="inlineStr">
        <ns0:is>
          <ns0:t>N/A</ns0:t>
        </ns0:is>
      </ns0:c>
      <ns0:c r="BT76" s="74" t="inlineStr">
        <ns0:is>
          <ns0:t>N/A</ns0:t>
        </ns0:is>
      </ns0:c>
      <ns0:c r="BU76" s="91" t="inlineStr">
        <ns0:is>
          <ns0:t>Goldman Sachs (Asia) L.L.C; China International Capital Corporation Hong Kong Securities Limited</ns0:t>
        </ns0:is>
      </ns0:c>
      <ns0:c r="BV76" s="74" t="inlineStr">
        <ns0:is>
          <ns0:t>China International Capital Corporation Hong Kong Securities Limited; Goldman Sachs (Asia) L.L.C.</ns0:t>
        </ns0:is>
      </ns0:c>
      <ns0:c r="BW76" s="74" t="inlineStr">
        <ns0:is>
          <ns0:t>Goldman Sachs (Asia) L.L.C; China International Capital Corporation Hong Kong Securities Limited; CLSA Limited</ns0:t>
        </ns0:is>
      </ns0:c>
      <ns0:c r="BX76" s="74" t="inlineStr">
        <ns0:is>
          <ns0:t>China International Capital Corporation Hong Kong Securities Limited; CLSA Limited; Goldman Sachs (Asia) L.L.C.</ns0:t>
        </ns0:is>
      </ns0:c>
      <ns0:c r="BY76" s="93">
        <ns0:f>HYPERLINK("https://www1.hkexnews.hk/listedco/listconews/sehk/2021/1006/2021100600007.pdf","prospectus")</ns0:f>
        <ns0:v/>
      </ns0:c>
      <ns0:c r="BZ76" s="93">
        <ns0:f>HYPERLINK("https://www1.hkexnews.hk/listedco/listconews/sehk/2021/1018/2021101800008.htm","allotment")</ns0:f>
        <ns0:v/>
      </ns0:c>
      <ns0:c r="CA76" s="93">
        <ns0:f>HYPERLINK("https://www1.hkexnews.hk/listedco/listconews/sehk/2021/1111/2021111100027.pdf","stabilisation")</ns0:f>
        <ns0:v/>
      </ns0:c>
      <ns0:c r="CB76" s="94" t="n"/>
      <ns0:c r="CC76" s="74" t="inlineStr">
        <ns0:is>
          <ns0:t>P/E: loss-making at IPO, use P/S; P/S: 589x on HK$19.5m revenue, effectively pre-revenue; not comparable; deal size: stated gross HK$75.7m rejected, below the net proceeds of HK$1,815.1m; allocation: allocation table not in this notice's format (older prose announcement); day-1 tape: volume on file; the retail multiple needs the final public split, which this notice does not state</ns0:t>
        </ns0:is>
      </ns0:c>
    </ns0:row>
    <ns0:row r="77" ht="22" customHeight="1">
      <ns0:c r="A77" s="73" t="inlineStr">
        <ns0:is>
          <ns0:t>2252</ns0:t>
        </ns0:is>
      </ns0:c>
      <ns0:c r="B77" s="74" t="inlineStr">
        <ns0:is>
          <ns0:t>MEDBOT-B</ns0:t>
        </ns0:is>
      </ns0:c>
      <ns0:c r="C77" s="74" t="inlineStr">
        <ns0:is>
          <ns0:t>微創機器人－Ｂ</ns0:t>
        </ns0:is>
      </ns0:c>
      <ns0:c r="D77" s="74" t="inlineStr">
        <ns0:is>
          <ns0:t>Healthcare</ns0:t>
        </ns0:is>
      </ns0:c>
      <ns0:c r="E77" s="74" t="inlineStr">
        <ns0:is>
          <ns0:t>Medical devices</ns0:t>
        </ns0:is>
      </ns0:c>
      <ns0:c r="F77" s="74" t="inlineStr">
        <ns0:is>
          <ns0:t>Biotechnology</ns0:t>
        </ns0:is>
      </ns0:c>
      <ns0:c r="G77" s="74" t="inlineStr">
        <ns0:is>
          <ns0:t>18A</ns0:t>
        </ns0:is>
      </ns0:c>
      <ns0:c r="H77" s="75" t="n">
        <ns0:v>44502</ns0:v>
      </ns0:c>
      <ns0:c r="I77" s="76" t="n">
        <ns0:v>1563.8</ns0:v>
      </ns0:c>
      <ns0:c r="J77" s="74" t="inlineStr">
        <ns0:is>
          <ns0:t>gross (price x shares)</ns0:t>
        </ns0:is>
      </ns0:c>
      <ns0:c r="K77" s="77" t="n">
        <ns0:v>36</ns0:v>
      </ns0:c>
      <ns0:c r="L77" s="77" t="n">
        <ns0:v>43.2</ns0:v>
      </ns0:c>
      <ns0:c r="M77" s="77" t="n">
        <ns0:v>43.2</ns0:v>
      </ns0:c>
      <ns0:c r="N77" s="74" t="inlineStr">
        <ns0:is>
          <ns0:t>Y</ns0:t>
        </ns0:is>
      </ns0:c>
      <ns0:c r="O77" s="78" t="n">
        <ns0:v>100</ns0:v>
      </ns0:c>
      <ns0:c r="P77" s="78" t="n">
        <ns0:v>100</ns0:v>
      </ns0:c>
      <ns0:c r="Q77" s="79" t="n">
        <ns0:v>41411.3</ns0:v>
      </ns0:c>
      <ns0:c r="R77" s="74" t="inlineStr">
        <ns0:is>
          <ns0:t>aastocks:上市市值 at the struck price</ns0:t>
        </ns0:is>
      </ns0:c>
      <ns0:c r="S77" s="80" t="n">
        <ns0:v>163.83</ns0:v>
      </ns0:c>
      <ns0:c r="T77" s="81" t="n">
        <ns0:v>16</ns0:v>
      </ns0:c>
      <ns0:c r="U77" s="82" t="n">
        <ns0:v>45</ns0:v>
      </ns0:c>
      <ns0:c r="V77" s="83" t="n">
        <ns0:v>114</ns0:v>
      </ns0:c>
      <ns0:c r="W77" s="84" t="n"/>
      <ns0:c r="X77" s="85" t="n"/>
      <ns0:c r="Y77" s="79" t="n">
        <ns0:v>860.09</ns0:v>
      </ns0:c>
      <ns0:c r="Z77" s="79" t="n">
        <ns0:v>19910000</ns0:v>
      </ns0:c>
      <ns0:c r="AA77" s="78" t="n">
        <ns0:v>2.08</ns0:v>
      </ns0:c>
      <ns0:c r="AB77" s="74" t="inlineStr">
        <ns0:is>
          <ns0:t>Artisan China Post-Venture Master Fund LP; Aspex Master Fund; CloudAlpha Master Fund; Hillhouse Funds; LAV Fund VI, L.P; Snow Lake Funds and Accounts; Yorkool International Limited</ns0:t>
        </ns0:is>
      </ns0:c>
      <ns0:c r="AC77" s="74" t="inlineStr">
        <ns0:is>
          <ns0:t>artisan;aspex;cloudalpha;hillhouse;lav;snow;yorkool</ns0:t>
        </ns0:is>
      </ns0:c>
      <ns0:c r="AD77" s="78" t="n">
        <ns0:v>15</ns0:v>
      </ns0:c>
      <ns0:c r="AE77" s="74" t="inlineStr">
        <ns0:is>
          <ns0:t>full</ns0:t>
        </ns0:is>
      </ns0:c>
      <ns0:c r="AF77" s="74" t="inlineStr">
        <ns0:is>
          <ns0:t>2021-11-25</ns0:t>
        </ns0:is>
      </ns0:c>
      <ns0:c r="AG77" s="85" t="n"/>
      <ns0:c r="AH77" s="85" t="n"/>
      <ns0:c r="AI77" s="86" t="n">
        <ns0:v>-7.06</ns0:v>
      </ns0:c>
      <ns0:c r="AJ77" s="87" t="n">
        <ns0:v>6.02</ns0:v>
      </ns0:c>
      <ns0:c r="AK77" s="87" t="n">
        <ns0:v>-1.59</ns0:v>
      </ns0:c>
      <ns0:c r="AL77" s="87" t="n">
        <ns0:v>-7.87</ns0:v>
      </ns0:c>
      <ns0:c r="AM77" s="87" t="n">
        <ns0:v>15.08</ns0:v>
      </ns0:c>
      <ns0:c r="AN77" s="88" t="n"/>
      <ns0:c r="AO77" s="78" t="n">
        <ns0:v>24.62</ns0:v>
      </ns0:c>
      <ns0:c r="AP77" s="87" t="n">
        <ns0:v>34.03</ns0:v>
      </ns0:c>
      <ns0:c r="AQ77" s="87" t="n">
        <ns0:v>24.19</ns0:v>
      </ns0:c>
      <ns0:c r="AR77" s="87" t="n">
        <ns0:v>9.949999999999999</ns0:v>
      </ns0:c>
      <ns0:c r="AS77" s="87" t="n">
        <ns0:v>26.42</ns0:v>
      </ns0:c>
      <ns0:c r="AT77" s="87" t="n">
        <ns0:v>17.14</ns0:v>
      </ns0:c>
      <ns0:c r="AU77" s="87" t="n">
        <ns0:v>3.71</ns0:v>
      </ns0:c>
      <ns0:c r="AV77" s="87" t="n">
        <ns0:v>36.38</ns0:v>
      </ns0:c>
      <ns0:c r="AW77" s="87" t="n">
        <ns0:v>22.54</ns0:v>
      </ns0:c>
      <ns0:c r="AX77" s="87" t="n">
        <ns0:v>32.97</ns0:v>
      </ns0:c>
      <ns0:c r="AY77" s="87" t="n">
        <ns0:v>13.85</ns0:v>
      </ns0:c>
      <ns0:c r="AZ77" s="87" t="n">
        <ns0:v>1.65</ns0:v>
      </ns0:c>
      <ns0:c r="BA77" s="87" t="n">
        <ns0:v>3.29</ns0:v>
      </ns0:c>
      <ns0:c r="BB77" s="74" t="inlineStr">
        <ns0:is>
          <ns0:t>China Biotech ETF (HS biotech proxy)</ns0:t>
        </ns0:is>
      </ns0:c>
      <ns0:c r="BC77" s="87" t="n">
        <ns0:v>-50.97</ns0:v>
      </ns0:c>
      <ns0:c r="BD77" s="75" t="n">
        <ns0:v>46265</ns0:v>
      </ns0:c>
      <ns0:c r="BE77" s="76" t="n">
        <ns0:v>8.800000000000001</ns0:v>
      </ns0:c>
      <ns0:c r="BF77" s="79" t="n">
        <ns0:v>-53.9</ns0:v>
      </ns0:c>
      <ns0:c r="BG77" s="74" t="inlineStr">
        <ns0:is>
          <ns0:t>N</ns0:t>
        </ns0:is>
      </ns0:c>
      <ns0:c r="BH77" s="74" t="inlineStr">
        <ns0:is>
          <ns0:t>n/m</ns0:t>
        </ns0:is>
      </ns0:c>
      <ns0:c r="BI77" s="88" t="n"/>
      <ns0:c r="BJ77" s="88" t="n"/>
      <ns0:c r="BK77" s="89" t="n">
        <ns0:v>4705.8</ns0:v>
      </ns0:c>
      <ns0:c r="BL77" s="90">
        <ns0:f>IFERROR(IF('BBG Verify'!S77="","Awaiting Bloomberg",'BBG Verify'!S77),"Awaiting Bloomberg")</ns0:f>
        <ns0:v/>
      </ns0:c>
      <ns0:c r="BM77" s="91" t="inlineStr">
        <ns0:is>
          <ns0:t>N</ns0:t>
        </ns0:is>
      </ns0:c>
      <ns0:c r="BN77" s="92">
        <ns0:f>IFERROR(IF('BBG Verify'!K77="","Awaiting Bloomberg",'BBG Verify'!K77),"Awaiting Bloomberg")</ns0:f>
        <ns0:v/>
      </ns0:c>
      <ns0:c r="BO77" s="74" t="inlineStr">
        <ns0:is>
          <ns0:t>N/A</ns0:t>
        </ns0:is>
      </ns0:c>
      <ns0:c r="BP77" s="74" t="inlineStr">
        <ns0:is>
          <ns0:t>N/A</ns0:t>
        </ns0:is>
      </ns0:c>
      <ns0:c r="BQ77" s="74" t="inlineStr">
        <ns0:is>
          <ns0:t>N/A</ns0:t>
        </ns0:is>
      </ns0:c>
      <ns0:c r="BR77" s="74" t="inlineStr">
        <ns0:is>
          <ns0:t>N/A</ns0:t>
        </ns0:is>
      </ns0:c>
      <ns0:c r="BS77" s="74" t="inlineStr">
        <ns0:is>
          <ns0:t>N/A</ns0:t>
        </ns0:is>
      </ns0:c>
      <ns0:c r="BT77" s="74" t="inlineStr">
        <ns0:is>
          <ns0:t>N/A</ns0:t>
        </ns0:is>
      </ns0:c>
      <ns0:c r="BU77" s="91" t="inlineStr">
        <ns0:is>
          <ns0:t>J.P. Morgan Securities (Far East) Limited; China International Capital Corporation Hong Kong Securities Limited</ns0:t>
        </ns0:is>
      </ns0:c>
      <ns0:c r="BV77" s="74" t="inlineStr">
        <ns0:is>
          <ns0:t>China International Capital Corporation Hong Kong Securities Limited; J.P. Morgan Securities (Far East) Limited</ns0:t>
        </ns0:is>
      </ns0:c>
      <ns0:c r="BW77" s="74" t="inlineStr">
        <ns0:is>
          <ns0:t>J.P. Morgan Securities (Asia Pacific) Limited; China International Capital Corporation Hong Kong Securities Limited</ns0:t>
        </ns0:is>
      </ns0:c>
      <ns0:c r="BX77" s="74" t="inlineStr">
        <ns0:is>
          <ns0:t>China International Capital Corporation Hong Kong Securities Limited; Futu Securities International (Hong Kong) Limited; J.P. Morgan Securities (Asia Pacific) Limited; Livermore Holdings Limited</ns0:t>
        </ns0:is>
      </ns0:c>
      <ns0:c r="BY77" s="93">
        <ns0:f>HYPERLINK("https://www1.hkexnews.hk/listedco/listconews/sehk/2021/1021/2021102100011.pdf","prospectus")</ns0:f>
        <ns0:v/>
      </ns0:c>
      <ns0:c r="BZ77" s="93">
        <ns0:f>HYPERLINK("https://www1.hkexnews.hk/listedco/listconews/sehk/2021/1101/2021110100012.htm","allotment")</ns0:f>
        <ns0:v/>
      </ns0:c>
      <ns0:c r="CA77" s="93">
        <ns0:f>HYPERLINK("https://www1.hkexnews.hk/listedco/listconews/sehk/2021/1125/2021112501059.pdf","stabilisation")</ns0:f>
        <ns0:v/>
      </ns0:c>
      <ns0:c r="CB77" s="94" t="n"/>
      <ns0:c r="CC77" s="74" t="inlineStr">
        <ns0:is>
          <ns0:t>P/E: loss-making at IPO, use P/S; P/S: 4,706x on HK$8.8m revenue, effectively pre-revenue; not comparable; stabilising manager: not named in the allotment notice or prospectus glossary; price series: last available quoted close 2026-08-31; may be suspended, delisted or a source gap; price and benchmark end on that date; allocation: allocation table not in this notice's format (older prose announcement); day-1 tape: volume on file; the retail multiple needs the final public split, which this notice does not state</ns0:t>
        </ns0:is>
      </ns0:c>
    </ns0:row>
    <ns0:row r="78" ht="22" customHeight="1">
      <ns0:c r="A78" s="73" t="inlineStr">
        <ns0:is>
          <ns0:t>2251</ns0:t>
        </ns0:is>
      </ns0:c>
      <ns0:c r="B78" s="74" t="inlineStr">
        <ns0:is>
          <ns0:t>AIRDOC-B</ns0:t>
        </ns0:is>
      </ns0:c>
      <ns0:c r="C78" s="74" t="inlineStr">
        <ns0:is>
          <ns0:t>鷹瞳科技－Ｂ</ns0:t>
        </ns0:is>
      </ns0:c>
      <ns0:c r="D78" s="74" t="inlineStr">
        <ns0:is>
          <ns0:t>Healthcare</ns0:t>
        </ns0:is>
      </ns0:c>
      <ns0:c r="E78" s="74" t="inlineStr">
        <ns0:is>
          <ns0:t>Digital health</ns0:t>
        </ns0:is>
      </ns0:c>
      <ns0:c r="F78" s="74" t="inlineStr">
        <ns0:is>
          <ns0:t>Biotechnology</ns0:t>
        </ns0:is>
      </ns0:c>
      <ns0:c r="G78" s="74" t="inlineStr">
        <ns0:is>
          <ns0:t>18A</ns0:t>
        </ns0:is>
      </ns0:c>
      <ns0:c r="H78" s="75" t="n">
        <ns0:v>44505</ns0:v>
      </ns0:c>
      <ns0:c r="I78" s="76" t="n">
        <ns0:v>1566.4</ns0:v>
      </ns0:c>
      <ns0:c r="J78" s="74" t="inlineStr">
        <ns0:is>
          <ns0:t>net proceeds</ns0:t>
        </ns0:is>
      </ns0:c>
      <ns0:c r="K78" s="77" t="n">
        <ns0:v>75.09999999999999</ns0:v>
      </ns0:c>
      <ns0:c r="L78" s="77" t="n">
        <ns0:v>81.3</ns0:v>
      </ns0:c>
      <ns0:c r="M78" s="77" t="n">
        <ns0:v>75.09999999999999</ns0:v>
      </ns0:c>
      <ns0:c r="N78" s="74" t="inlineStr">
        <ns0:is>
          <ns0:t>N</ns0:t>
        </ns0:is>
      </ns0:c>
      <ns0:c r="O78" s="78" t="n">
        <ns0:v>92.40000000000001</ns0:v>
      </ns0:c>
      <ns0:c r="P78" s="78" t="n">
        <ns0:v>0</ns0:v>
      </ns0:c>
      <ns0:c r="Q78" s="79" t="n">
        <ns0:v>8099.1</ns0:v>
      </ns0:c>
      <ns0:c r="R78" s="74" t="inlineStr">
        <ns0:is>
          <ns0:t>aastocks:上市市值 at the struck price</ns0:t>
        </ns0:is>
      </ns0:c>
      <ns0:c r="S78" s="80" t="n">
        <ns0:v>6.18</ns0:v>
      </ns0:c>
      <ns0:c r="T78" s="81" t="n">
        <ns0:v>2.9</ns0:v>
      </ns0:c>
      <ns0:c r="U78" s="82" t="n">
        <ns0:v>32.3</ns0:v>
      </ns0:c>
      <ns0:c r="V78" s="83" t="n">
        <ns0:v>127</ns0:v>
      </ns0:c>
      <ns0:c r="W78" s="84" t="n"/>
      <ns0:c r="X78" s="85" t="n"/>
      <ns0:c r="Y78" s="79" t="n">
        <ns0:v>1060.45</ns0:v>
      </ns0:c>
      <ns0:c r="Z78" s="97" t="n"/>
      <ns0:c r="AA78" s="78" t="n">
        <ns0:v>13.09</ns0:v>
      </ns0:c>
      <ns0:c r="AB78" s="74" t="inlineStr">
        <ns0:is>
          <ns0:t>CloudAlpha Master Fund; GF Fund Management Co., Ltd; IvyRock Asset Management (HK) Limited; Lake Bleu Prime Healthcare Master Fund Limited; LAV Star Opportunities Limited; LMR Master Fund Limited; OrbiMed Genesis Master Fund, L.P; OrbiMed New Horizons Master Fund, L.P; WT Asset Management Limited</ns0:t>
        </ns0:is>
      </ns0:c>
      <ns0:c r="AC78" s="74" t="inlineStr">
        <ns0:is>
          <ns0:t>cloudalpha;gf;ivyrock;lake;lav;lmr;orbimed;wt</ns0:t>
        </ns0:is>
      </ns0:c>
      <ns0:c r="AD78" s="78" t="n">
        <ns0:v>10</ns0:v>
      </ns0:c>
      <ns0:c r="AE78" s="74" t="inlineStr">
        <ns0:is>
          <ns0:t>lapsed</ns0:t>
        </ns0:is>
      </ns0:c>
      <ns0:c r="AF78" s="74" t="inlineStr">
        <ns0:is>
          <ns0:t>2021-11-28</ns0:t>
        </ns0:is>
      </ns0:c>
      <ns0:c r="AG78" s="85" t="n"/>
      <ns0:c r="AH78" s="85" t="n"/>
      <ns0:c r="AI78" s="86" t="n">
        <ns0:v>-2.8</ns0:v>
      </ns0:c>
      <ns0:c r="AJ78" s="87" t="n">
        <ns0:v>-9.449999999999999</ns0:v>
      </ns0:c>
      <ns0:c r="AK78" s="87" t="n">
        <ns0:v>-1.32</ns0:v>
      </ns0:c>
      <ns0:c r="AL78" s="87" t="n">
        <ns0:v>-9.99</ns0:v>
      </ns0:c>
      <ns0:c r="AM78" s="87" t="n">
        <ns0:v>0.6</ns0:v>
      </ns0:c>
      <ns0:c r="AN78" s="88" t="n"/>
      <ns0:c r="AO78" s="78" t="n">
        <ns0:v>13.98</ns0:v>
      </ns0:c>
      <ns0:c r="AP78" s="87" t="n">
        <ns0:v>-12.98</ns0:v>
      </ns0:c>
      <ns0:c r="AQ78" s="87" t="n">
        <ns0:v>-24.37</ns0:v>
      </ns0:c>
      <ns0:c r="AR78" s="87" t="n">
        <ns0:v>-56.06</ns0:v>
      </ns0:c>
      <ns0:c r="AS78" s="87" t="n">
        <ns0:v>-3.9</ns0:v>
      </ns0:c>
      <ns0:c r="AT78" s="87" t="n">
        <ns0:v>-16.48</ns0:v>
      </ns0:c>
      <ns0:c r="AU78" s="87" t="n">
        <ns0:v>-51.47</ns0:v>
      </ns0:c>
      <ns0:c r="AV78" s="87" t="n">
        <ns0:v>-13.64</ns0:v>
      </ns0:c>
      <ns0:c r="AW78" s="87" t="n">
        <ns0:v>-20.53</ns0:v>
      </ns0:c>
      <ns0:c r="AX78" s="87" t="n">
        <ns0:v>-31.59</ns0:v>
      </ns0:c>
      <ns0:c r="AY78" s="87" t="n">
        <ns0:v>-13.92</ns0:v>
      </ns0:c>
      <ns0:c r="AZ78" s="87" t="n">
        <ns0:v>-3.84</ns0:v>
      </ns0:c>
      <ns0:c r="BA78" s="87" t="n">
        <ns0:v>-2.56</ns0:v>
      </ns0:c>
      <ns0:c r="BB78" s="74" t="inlineStr">
        <ns0:is>
          <ns0:t>China Biotech ETF (HS biotech proxy)</ns0:t>
        </ns0:is>
      </ns0:c>
      <ns0:c r="BC78" s="87" t="n">
        <ns0:v>-87.75</ns0:v>
      </ns0:c>
      <ns0:c r="BD78" s="75" t="n">
        <ns0:v>46297</ns0:v>
      </ns0:c>
      <ns0:c r="BE78" s="76" t="n">
        <ns0:v>7.2</ns0:v>
      </ns0:c>
      <ns0:c r="BF78" s="79" t="n">
        <ns0:v>-53.7</ns0:v>
      </ns0:c>
      <ns0:c r="BG78" s="74" t="inlineStr">
        <ns0:is>
          <ns0:t>N</ns0:t>
        </ns0:is>
      </ns0:c>
      <ns0:c r="BH78" s="74" t="inlineStr">
        <ns0:is>
          <ns0:t>n/m</ns0:t>
        </ns0:is>
      </ns0:c>
      <ns0:c r="BI78" s="88" t="n"/>
      <ns0:c r="BJ78" s="88" t="n"/>
      <ns0:c r="BK78" s="89" t="n">
        <ns0:v>1124.9</ns0:v>
      </ns0:c>
      <ns0:c r="BL78" s="90">
        <ns0:f>IFERROR(IF('BBG Verify'!S78="","Awaiting Bloomberg",'BBG Verify'!S78),"Awaiting Bloomberg")</ns0:f>
        <ns0:v/>
      </ns0:c>
      <ns0:c r="BM78" s="91" t="inlineStr">
        <ns0:is>
          <ns0:t>N</ns0:t>
        </ns0:is>
      </ns0:c>
      <ns0:c r="BN78" s="92">
        <ns0:f>IFERROR(IF('BBG Verify'!K78="","Awaiting Bloomberg",'BBG Verify'!K78),"Awaiting Bloomberg")</ns0:f>
        <ns0:v/>
      </ns0:c>
      <ns0:c r="BO78" s="74" t="inlineStr">
        <ns0:is>
          <ns0:t>N/A</ns0:t>
        </ns0:is>
      </ns0:c>
      <ns0:c r="BP78" s="74" t="inlineStr">
        <ns0:is>
          <ns0:t>N/A</ns0:t>
        </ns0:is>
      </ns0:c>
      <ns0:c r="BQ78" s="74" t="inlineStr">
        <ns0:is>
          <ns0:t>N/A</ns0:t>
        </ns0:is>
      </ns0:c>
      <ns0:c r="BR78" s="74" t="inlineStr">
        <ns0:is>
          <ns0:t>N/A</ns0:t>
        </ns0:is>
      </ns0:c>
      <ns0:c r="BS78" s="74" t="inlineStr">
        <ns0:is>
          <ns0:t>N/A</ns0:t>
        </ns0:is>
      </ns0:c>
      <ns0:c r="BT78" s="74" t="inlineStr">
        <ns0:is>
          <ns0:t>N/A</ns0:t>
        </ns0:is>
      </ns0:c>
      <ns0:c r="BU78" s="91" t="inlineStr">
        <ns0:is>
          <ns0:t>UBS Securities Hong Kong Limited; CLSA Capital Markets Limited; UBS AG Hong Kong Branch; CLSA Limited</ns0:t>
        </ns0:is>
      </ns0:c>
      <ns0:c r="BV78" s="74" t="inlineStr">
        <ns0:is>
          <ns0:t>UBS Securities Hong Kong Limited; CLSA Capital Markets Limited</ns0:t>
        </ns0:is>
      </ns0:c>
      <ns0:c r="BW78" s="74" t="inlineStr">
        <ns0:is>
          <ns0:t>UBS AG Hong Kong Branch; CLSA Limited; CMB International Capital Limited; Haitong International Securities Company Limited; Essence International Securities (Hong Kong) Limited; Fosun Hani Securities Limited; GF Securities (Hong Kong) Brokerage Limited; Guodu Securities (Hong Kong) Limited; SPDB International Capital Limited</ns0:t>
        </ns0:is>
      </ns0:c>
      <ns0:c r="BX78" s="74" t="inlineStr">
        <ns0:is>
          <ns0: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ns0:t>
        </ns0:is>
      </ns0:c>
      <ns0:c r="BY78" s="93">
        <ns0:f>HYPERLINK("https://www1.hkexnews.hk/listedco/listconews/sehk/2021/1026/2021102600012.htm","prospectus")</ns0:f>
        <ns0:v/>
      </ns0:c>
      <ns0:c r="BZ78" s="93">
        <ns0:f>HYPERLINK("https://www1.hkexnews.hk/listedco/listconews/sehk/2021/1104/2021110400022.htm","allotment")</ns0:f>
        <ns0:v/>
      </ns0:c>
      <ns0:c r="CA78" s="93">
        <ns0:f>HYPERLINK("https://www1.hkexnews.hk/listedco/listconews/sehk/2021/1128/2021112800017.pdf","stabilisation")</ns0:f>
        <ns0:v/>
      </ns0:c>
      <ns0:c r="CB78" s="94" t="n"/>
      <ns0:c r="CC78" s="74" t="inlineStr">
        <ns0:is>
          <ns0:t>P/E: loss-making at IPO, use P/S; P/S: 1,125x on HK$7.2m revenue, effectively pre-revenue; not comparable; stabilising manager: not named in the allotment notice or prospectus glossary;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79" ht="22" customHeight="1">
      <ns0:c r="A79" s="73" t="inlineStr">
        <ns0:is>
          <ns0:t>2197</ns0:t>
        </ns0:is>
      </ns0:c>
      <ns0:c r="B79" s="74" t="inlineStr">
        <ns0:is>
          <ns0:t>CLOVER BIO-B</ns0:t>
        </ns0:is>
      </ns0:c>
      <ns0:c r="C79" s="74" t="inlineStr">
        <ns0:is>
          <ns0:t>三葉草生物－Ｂ</ns0:t>
        </ns0:is>
      </ns0:c>
      <ns0:c r="D79" s="74" t="inlineStr">
        <ns0:is>
          <ns0:t>Healthcare</ns0:t>
        </ns0:is>
      </ns0:c>
      <ns0:c r="E79" s="74" t="inlineStr">
        <ns0:is>
          <ns0:t>Biotech pre-revenue (18A)</ns0:t>
        </ns0:is>
      </ns0:c>
      <ns0:c r="F79" s="74" t="inlineStr">
        <ns0:is>
          <ns0:t>Biotechnology</ns0:t>
        </ns0:is>
      </ns0:c>
      <ns0:c r="G79" s="74" t="inlineStr">
        <ns0:is>
          <ns0:t>18A</ns0:t>
        </ns0:is>
      </ns0:c>
      <ns0:c r="H79" s="75" t="n">
        <ns0:v>44505</ns0:v>
      </ns0:c>
      <ns0:c r="I79" s="76" t="n">
        <ns0:v>2007</ns0:v>
      </ns0:c>
      <ns0:c r="J79" s="74" t="inlineStr">
        <ns0:is>
          <ns0:t>gross (price x shares)</ns0:t>
        </ns0:is>
      </ns0:c>
      <ns0:c r="K79" s="77" t="n">
        <ns0:v>12.8</ns0:v>
      </ns0:c>
      <ns0:c r="L79" s="77" t="n">
        <ns0:v>13.5</ns0:v>
      </ns0:c>
      <ns0:c r="M79" s="77" t="n">
        <ns0:v>13.38</ns0:v>
      </ns0:c>
      <ns0:c r="N79" s="74" t="inlineStr">
        <ns0:is>
          <ns0:t>N</ns0:t>
        </ns0:is>
      </ns0:c>
      <ns0:c r="O79" s="78" t="n">
        <ns0:v>99.09999999999999</ns0:v>
      </ns0:c>
      <ns0:c r="P79" s="78" t="n">
        <ns0:v>82.90000000000001</ns0:v>
      </ns0:c>
      <ns0:c r="Q79" s="79" t="n">
        <ns0:v>14823.9</ns0:v>
      </ns0:c>
      <ns0:c r="R79" s="74" t="inlineStr">
        <ns0:is>
          <ns0:t>prospectus:stated market capitalisation</ns0:t>
        </ns0:is>
      </ns0:c>
      <ns0:c r="S79" s="80" t="n">
        <ns0:v>4.4</ns0:v>
      </ns0:c>
      <ns0:c r="T79" s="81" t="n">
        <ns0:v>3.21</ns0:v>
      </ns0:c>
      <ns0:c r="U79" s="82" t="n">
        <ns0:v>10.8</ns0:v>
      </ns0:c>
      <ns0:c r="V79" s="83" t="n">
        <ns0:v>126</ns0:v>
      </ns0:c>
      <ns0:c r="W79" s="84" t="n"/>
      <ns0:c r="X79" s="85" t="n"/>
      <ns0:c r="Y79" s="79" t="n">
        <ns0:v>1790.24</ns0:v>
      </ns0:c>
      <ns0:c r="Z79" s="79" t="n">
        <ns0:v>133800000</ns0:v>
      </ns0:c>
      <ns0:c r="AA79" s="78" t="n">
        <ns0:v>12.08</ns0:v>
      </ns0:c>
      <ns0:c r="AB79" s="74" t="inlineStr">
        <ns0:is>
          <ns0:t>Athos Capital Limited; HHLR Fund, L.P.; YHG Investment, L.P; Oceanpine Capital Management Limited; OrbiMed Funds; Rock Springs Capital Master Fund LP; Springhill Master Fund Limited; Superstring Capital Master Fund LP; Toroa Master Fund</ns0:t>
        </ns0:is>
      </ns0:c>
      <ns0:c r="AC79" s="74" t="inlineStr">
        <ns0:is>
          <ns0:t>athos;hhlr;yhg;oceanpine;orbimed;rock;springhill;superstring;toroa</ns0:t>
        </ns0:is>
      </ns0:c>
      <ns0:c r="AD79" s="78" t="n">
        <ns0:v>6.9</ns0:v>
      </ns0:c>
      <ns0:c r="AE79" s="74" t="inlineStr">
        <ns0:is>
          <ns0:t>lapsed</ns0:t>
        </ns0:is>
      </ns0:c>
      <ns0:c r="AF79" s="74" t="inlineStr">
        <ns0:is>
          <ns0:t>2021-11-27</ns0:t>
        </ns0:is>
      </ns0:c>
      <ns0:c r="AG79" s="85" t="n"/>
      <ns0:c r="AH79" s="85" t="n"/>
      <ns0:c r="AI79" s="86" t="n">
        <ns0:v>-1.2</ns0:v>
      </ns0:c>
      <ns0:c r="AJ79" s="87" t="n">
        <ns0:v>-2.99</ns0:v>
      </ns0:c>
      <ns0:c r="AK79" s="87" t="n">
        <ns0:v>-1.32</ns0:v>
      </ns0:c>
      <ns0:c r="AL79" s="87" t="n">
        <ns0:v>0</ns0:v>
      </ns0:c>
      <ns0:c r="AM79" s="87" t="n">
        <ns0:v>-2.99</ns0:v>
      </ns0:c>
      <ns0:c r="AN79" s="88" t="n"/>
      <ns0:c r="AO79" s="78" t="n">
        <ns0:v>10.01</ns0:v>
      </ns0:c>
      <ns0:c r="AP79" s="87" t="n">
        <ns0:v>-22.57</ns0:v>
      </ns0:c>
      <ns0:c r="AQ79" s="87" t="n">
        <ns0:v>-16.89</ns0:v>
      </ns0:c>
      <ns0:c r="AR79" s="87" t="n">
        <ns0:v>-17.79</ns0:v>
      </ns0:c>
      <ns0:c r="AS79" s="87" t="n">
        <ns0:v>-20.18</ns0:v>
      </ns0:c>
      <ns0:c r="AT79" s="87" t="n">
        <ns0:v>-14.33</ns0:v>
      </ns0:c>
      <ns0:c r="AU79" s="87" t="n">
        <ns0:v>-15.26</ns0:v>
      </ns0:c>
      <ns0:c r="AV79" s="87" t="n">
        <ns0:v>-23.23</ns0:v>
      </ns0:c>
      <ns0:c r="AW79" s="87" t="n">
        <ns0:v>-13.05</ns0:v>
      </ns0:c>
      <ns0:c r="AX79" s="87" t="n">
        <ns0:v>6.68</ns0:v>
      </ns0:c>
      <ns0:c r="AY79" s="87" t="n">
        <ns0:v>-11.77</ns0:v>
      </ns0:c>
      <ns0:c r="AZ79" s="87" t="n">
        <ns0:v>-3.84</ns0:v>
      </ns0:c>
      <ns0:c r="BA79" s="87" t="n">
        <ns0:v>-2.56</ns0:v>
      </ns0:c>
      <ns0:c r="BB79" s="74" t="inlineStr">
        <ns0:is>
          <ns0:t>China Biotech ETF (HS biotech proxy)</ns0:t>
        </ns0:is>
      </ns0:c>
      <ns0:c r="BC79" s="87" t="n">
        <ns0:v>-86.66</ns0:v>
      </ns0:c>
      <ns0:c r="BD79" s="75" t="n">
        <ns0:v>46297</ns0:v>
      </ns0:c>
      <ns0:c r="BE79" s="76" t="n">
        <ns0:v>1119.8</ns0:v>
      </ns0:c>
      <ns0:c r="BF79" s="79" t="n">
        <ns0:v>-163</ns0:v>
      </ns0:c>
      <ns0:c r="BG79" s="74" t="inlineStr">
        <ns0:is>
          <ns0:t>N</ns0:t>
        </ns0:is>
      </ns0:c>
      <ns0:c r="BH79" s="74" t="inlineStr">
        <ns0:is>
          <ns0:t>n/m</ns0:t>
        </ns0:is>
      </ns0:c>
      <ns0:c r="BI79" s="88" t="n"/>
      <ns0:c r="BJ79" s="88" t="n"/>
      <ns0:c r="BK79" s="89" t="n">
        <ns0:v>13.2</ns0:v>
      </ns0:c>
      <ns0:c r="BL79" s="90">
        <ns0:f>IFERROR(IF('BBG Verify'!S79="","Awaiting Bloomberg",'BBG Verify'!S79),"Awaiting Bloomberg")</ns0:f>
        <ns0:v/>
      </ns0:c>
      <ns0:c r="BM79" s="91" t="inlineStr">
        <ns0:is>
          <ns0:t>N</ns0:t>
        </ns0:is>
      </ns0:c>
      <ns0:c r="BN79" s="92">
        <ns0:f>IFERROR(IF('BBG Verify'!K79="","Awaiting Bloomberg",'BBG Verify'!K79),"Awaiting Bloomberg")</ns0:f>
        <ns0:v/>
      </ns0:c>
      <ns0:c r="BO79" s="74" t="inlineStr">
        <ns0:is>
          <ns0:t>N/A</ns0:t>
        </ns0:is>
      </ns0:c>
      <ns0:c r="BP79" s="74" t="inlineStr">
        <ns0:is>
          <ns0:t>N/A</ns0:t>
        </ns0:is>
      </ns0:c>
      <ns0:c r="BQ79" s="74" t="inlineStr">
        <ns0:is>
          <ns0:t>N/A</ns0:t>
        </ns0:is>
      </ns0:c>
      <ns0:c r="BR79" s="74" t="inlineStr">
        <ns0:is>
          <ns0:t>N/A</ns0:t>
        </ns0:is>
      </ns0:c>
      <ns0:c r="BS79" s="74" t="inlineStr">
        <ns0:is>
          <ns0:t>N/A</ns0:t>
        </ns0:is>
      </ns0:c>
      <ns0:c r="BT79" s="74" t="inlineStr">
        <ns0:is>
          <ns0:t>N/A</ns0:t>
        </ns0:is>
      </ns0:c>
      <ns0:c r="BU79" s="91" t="inlineStr">
        <ns0:is>
          <ns0:t>Goldman Sachs (Asia) L.L.C; China International Capital Corporation Hong Kong Securities Limited</ns0:t>
        </ns0:is>
      </ns0:c>
      <ns0:c r="BV79" s="74" t="inlineStr">
        <ns0:is>
          <ns0:t>China International Capital Corporation Hong Kong Securities Limited; Goldman Sachs (Asia) L.L.C.</ns0:t>
        </ns0:is>
      </ns0:c>
      <ns0:c r="BW79" s="74" t="inlineStr">
        <ns0:is>
          <ns0:t>China International Capital Corporation Hong Kong Securities Limited; Credit Suisse (Hong Kong) Limited; Goldman Sachs (Asia) L.L.C.</ns0:t>
        </ns0:is>
      </ns0:c>
      <ns0:c r="BX79" s="74" t="inlineStr">
        <ns0:is>
          <ns0:t>China International Capital Corporation Hong Kong Securities Limited; Credit Suisse (Hong Kong) Limited; Goldman Sachs (Asia) L.L.C.</ns0:t>
        </ns0:is>
      </ns0:c>
      <ns0:c r="BY79" s="93">
        <ns0:f>HYPERLINK("https://www1.hkexnews.hk/listedco/listconews/sehk/2021/1025/2021102500007.pdf","prospectus")</ns0:f>
        <ns0:v/>
      </ns0:c>
      <ns0:c r="BZ79" s="93">
        <ns0:f>HYPERLINK("https://www1.hkexnews.hk/listedco/listconews/sehk/2021/1104/2021110400036.htm","allotment")</ns0:f>
        <ns0:v/>
      </ns0:c>
      <ns0:c r="CA79" s="93">
        <ns0:f>HYPERLINK("https://www1.hkexnews.hk/listedco/listconews/sehk/2021/1129/2021112900089.pdf","stabilisation")</ns0:f>
        <ns0:v/>
      </ns0:c>
      <ns0:c r="CB79" s="94" t="n"/>
      <ns0:c r="CC79" s="74" t="inlineStr">
        <ns0:is>
          <ns0:t>P/E: loss-making at IPO, use P/S; cornerstone: % from the prospectus; AAStocks table includes non-cornerstone orders; stabilising manager: not named in the allotment notice or prospectus glossary; allocation: allocation table not in this notice's format (older prose announcement); day-1 tape: volume on file; the retail multiple needs the final public split, which this notice does not state</ns0:t>
        </ns0:is>
      </ns0:c>
    </ns0:row>
    <ns0:row r="80" ht="22" customHeight="1">
      <ns0:c r="A80" s="73" t="inlineStr">
        <ns0:is>
          <ns0:t>1948</ns0:t>
        </ns0:is>
      </ns0:c>
      <ns0:c r="B80" s="74" t="inlineStr">
        <ns0:is>
          <ns0:t>UJU HOLDING</ns0:t>
        </ns0:is>
      </ns0:c>
      <ns0:c r="C80" s="74" t="inlineStr">
        <ns0:is>
          <ns0:t>優矩控股</ns0:t>
        </ns0:is>
      </ns0:c>
      <ns0:c r="D80" s="74" t="inlineStr">
        <ns0:is>
          <ns0:t>Media &amp; telecom</ns0:t>
        </ns0:is>
      </ns0:c>
      <ns0:c r="E80" s="74" t="inlineStr">
        <ns0:is>
          <ns0:t>Media / advertising</ns0:t>
        </ns0:is>
      </ns0:c>
      <ns0:c r="F80" s="74" t="inlineStr">
        <ns0:is>
          <ns0:t>Advertising</ns0:t>
        </ns0:is>
      </ns0:c>
      <ns0:c r="G80" s="74" t="inlineStr">
        <ns0:is>
          <ns0:t>Standard</ns0:t>
        </ns0:is>
      </ns0:c>
      <ns0:c r="H80" s="75" t="n">
        <ns0:v>44508</ns0:v>
      </ns0:c>
      <ns0:c r="I80" s="76" t="n">
        <ns0:v>804</ns0:v>
      </ns0:c>
      <ns0:c r="J80" s="74" t="inlineStr">
        <ns0:is>
          <ns0:t>gross (price x shares)</ns0:t>
        </ns0:is>
      </ns0:c>
      <ns0:c r="K80" s="77" t="n">
        <ns0:v>6.7</ns0:v>
      </ns0:c>
      <ns0:c r="L80" s="77" t="n">
        <ns0:v>9.16</ns0:v>
      </ns0:c>
      <ns0:c r="M80" s="77" t="n">
        <ns0:v>6.7</ns0:v>
      </ns0:c>
      <ns0:c r="N80" s="74" t="inlineStr">
        <ns0:is>
          <ns0:t>N</ns0:t>
        </ns0:is>
      </ns0:c>
      <ns0:c r="O80" s="78" t="n">
        <ns0:v>73.09999999999999</ns0:v>
      </ns0:c>
      <ns0:c r="P80" s="78" t="n">
        <ns0:v>0</ns0:v>
      </ns0:c>
      <ns0:c r="Q80" s="79" t="n">
        <ns0:v>5099.6</ns0:v>
      </ns0:c>
      <ns0:c r="R80" s="74" t="inlineStr">
        <ns0:is>
          <ns0:t>aastocks:上市市值 at the struck price</ns0:t>
        </ns0:is>
      </ns0:c>
      <ns0:c r="S80" s="80" t="n">
        <ns0:v>4.56</ns0:v>
      </ns0:c>
      <ns0:c r="T80" s="81" t="n">
        <ns0:v>2.07</ns0:v>
      </ns0:c>
      <ns0:c r="U80" s="82" t="n">
        <ns0:v>14.5</ns0:v>
      </ns0:c>
      <ns0:c r="V80" s="83" t="n">
        <ns0:v>141</ns0:v>
      </ns0:c>
      <ns0:c r="W80" s="84" t="n"/>
      <ns0:c r="X80" s="85" t="n"/>
      <ns0:c r="Y80" s="79" t="n">
        <ns0:v>687.42</ns0:v>
      </ns0:c>
      <ns0:c r="Z80" s="79" t="n">
        <ns0:v>102600000</ns0:v>
      </ns0:c>
      <ns0:c r="AA80" s="78" t="n">
        <ns0:v>13.48</ns0:v>
      </ns0:c>
      <ns0:c r="AB80" s="74" t="inlineStr">
        <ns0:is>
          <ns0:t>BYTEDANCE (HK) LIMITED; Green Better Limited</ns0:t>
        </ns0:is>
      </ns0:c>
      <ns0:c r="AC80" s="74" t="inlineStr">
        <ns0:is>
          <ns0:t>bytedance;green</ns0:t>
        </ns0:is>
      </ns0:c>
      <ns0:c r="AD80" s="78" t="n">
        <ns0:v>18</ns0:v>
      </ns0:c>
      <ns0:c r="AE80" s="74" t="inlineStr">
        <ns0:is>
          <ns0:t>lapsed</ns0:t>
        </ns0:is>
      </ns0:c>
      <ns0:c r="AF80" s="74" t="inlineStr">
        <ns0:is>
          <ns0:t>2021-11-28</ns0:t>
        </ns0:is>
      </ns0:c>
      <ns0:c r="AG80" s="74" t="inlineStr">
        <ns0:is>
          <ns0:t>Guotai Junan Securities</ns0:t>
        </ns0:is>
      </ns0:c>
      <ns0:c r="AH80" s="74" t="inlineStr">
        <ns0:is>
          <ns0:t>Guotai Junan</ns0:t>
        </ns0:is>
      </ns0:c>
      <ns0:c r="AI80" s="86" t="n">
        <ns0:v>-4.48</ns0:v>
      </ns0:c>
      <ns0:c r="AJ80" s="87" t="n">
        <ns0:v>-4.48</ns0:v>
      </ns0:c>
      <ns0:c r="AK80" s="87" t="n">
        <ns0:v>-0.43</ns0:v>
      </ns0:c>
      <ns0:c r="AL80" s="87" t="n">
        <ns0:v>0</ns0:v>
      </ns0:c>
      <ns0:c r="AM80" s="87" t="n">
        <ns0:v>-4.48</ns0:v>
      </ns0:c>
      <ns0:c r="AN80" s="88" t="n"/>
      <ns0:c r="AO80" s="78" t="n">
        <ns0:v>7.16</ns0:v>
      </ns0:c>
      <ns0:c r="AP80" s="87" t="n">
        <ns0:v>-1.94</ns0:v>
      </ns0:c>
      <ns0:c r="AQ80" s="87" t="n">
        <ns0:v>-19.4</ns0:v>
      </ns0:c>
      <ns0:c r="AR80" s="87" t="n">
        <ns0:v>-13.58</ns0:v>
      </ns0:c>
      <ns0:c r="AS80" s="87" t="n">
        <ns0:v>2.66</ns0:v>
      </ns0:c>
      <ns0:c r="AT80" s="87" t="n">
        <ns0:v>-15.62</ns0:v>
      </ns0:c>
      <ns0:c r="AU80" s="87" t="n">
        <ns0:v>-9.529999999999999</ns0:v>
      </ns0:c>
      <ns0:c r="AV80" s="87" t="n">
        <ns0:v>-4.03</ns0:v>
      </ns0:c>
      <ns0:c r="AW80" s="87" t="n">
        <ns0:v>-15.83</ns0:v>
      </ns0:c>
      <ns0:c r="AX80" s="87" t="n">
        <ns0:v>-13.42</ns0:v>
      </ns0:c>
      <ns0:c r="AY80" s="87" t="n">
        <ns0:v>-12.47</ns0:v>
      </ns0:c>
      <ns0:c r="AZ80" s="87" t="n">
        <ns0:v>-3.57</ns0:v>
      </ns0:c>
      <ns0:c r="BA80" s="87" t="n">
        <ns0:v>-3.15</ns0:v>
      </ns0:c>
      <ns0:c r="BB80" s="74" t="inlineStr">
        <ns0:is>
          <ns0:t>Hang Seng Index</ns0:t>
        </ns0:is>
      </ns0:c>
      <ns0:c r="BC80" s="87" t="n">
        <ns0:v>-45.3</ns0:v>
      </ns0:c>
      <ns0:c r="BD80" s="75" t="n">
        <ns0:v>46297</ns0:v>
      </ns0:c>
      <ns0:c r="BE80" s="76" t="n">
        <ns0:v>6996.8</ns0:v>
      </ns0:c>
      <ns0:c r="BF80" s="79" t="n">
        <ns0:v>146.5</ns0:v>
      </ns0:c>
      <ns0:c r="BG80" s="74" t="inlineStr">
        <ns0:is>
          <ns0:t>Y</ns0:t>
        </ns0:is>
      </ns0:c>
      <ns0:c r="BH80" s="89" t="n">
        <ns0:v>34.8</ns0:v>
      </ns0:c>
      <ns0:c r="BI80" s="88" t="n"/>
      <ns0:c r="BJ80" s="89" t="n">
        <ns0:v>12.9</ns0:v>
      </ns0:c>
      <ns0:c r="BK80" s="89" t="n">
        <ns0:v>0.7</ns0:v>
      </ns0:c>
      <ns0:c r="BL80" s="90">
        <ns0:f>IFERROR(IF('BBG Verify'!S80="","Awaiting Bloomberg",'BBG Verify'!S80),"Awaiting Bloomberg")</ns0:f>
        <ns0:v/>
      </ns0:c>
      <ns0:c r="BM80" s="91" t="inlineStr">
        <ns0:is>
          <ns0:t>N</ns0:t>
        </ns0:is>
      </ns0:c>
      <ns0:c r="BN80" s="92">
        <ns0:f>IFERROR(IF('BBG Verify'!K80="","Awaiting Bloomberg",'BBG Verify'!K80),"Awaiting Bloomberg")</ns0:f>
        <ns0:v/>
      </ns0:c>
      <ns0:c r="BO80" s="74" t="inlineStr">
        <ns0:is>
          <ns0:t>N/A</ns0:t>
        </ns0:is>
      </ns0:c>
      <ns0:c r="BP80" s="74" t="inlineStr">
        <ns0:is>
          <ns0:t>N/A</ns0:t>
        </ns0:is>
      </ns0:c>
      <ns0:c r="BQ80" s="74" t="inlineStr">
        <ns0:is>
          <ns0:t>N/A</ns0:t>
        </ns0:is>
      </ns0:c>
      <ns0:c r="BR80" s="74" t="inlineStr">
        <ns0:is>
          <ns0:t>N/A</ns0:t>
        </ns0:is>
      </ns0:c>
      <ns0:c r="BS80" s="74" t="inlineStr">
        <ns0:is>
          <ns0:t>N/A</ns0:t>
        </ns0:is>
      </ns0:c>
      <ns0:c r="BT80" s="74" t="inlineStr">
        <ns0:is>
          <ns0:t>N/A</ns0:t>
        </ns0:is>
      </ns0:c>
      <ns0:c r="BU80" s="91" t="inlineStr">
        <ns0:is>
          <ns0:t>CMBC International Capital Limited; SBI China Capital Hong Kong Securities Limited</ns0:t>
        </ns0:is>
      </ns0:c>
      <ns0:c r="BV80" s="74" t="inlineStr">
        <ns0:is>
          <ns0:t>CMBC International Capital Limited</ns0:t>
        </ns0:is>
      </ns0:c>
      <ns0:c r="BW80" s="74" t="inlineStr">
        <ns0:is>
          <ns0: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ns0:t>
        </ns0:is>
      </ns0:c>
      <ns0:c r="BX80" s="74" t="inlineStr">
        <ns0:is>
          <ns0: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ns0:t>
        </ns0:is>
      </ns0:c>
      <ns0:c r="BY80" s="93">
        <ns0:f>HYPERLINK("https://www1.hkexnews.hk/listedco/listconews/sehk/2021/1026/2021102600091.pdf","prospectus")</ns0:f>
        <ns0:v/>
      </ns0:c>
      <ns0:c r="BZ80" s="93">
        <ns0:f>HYPERLINK("https://www1.hkexnews.hk/listedco/listconews/sehk/2021/1105/2021110500012.htm","allotment")</ns0:f>
        <ns0:v/>
      </ns0:c>
      <ns0:c r="CA80" s="93">
        <ns0:f>HYPERLINK("https://www1.hkexnews.hk/listedco/listconews/sehk/2021/1128/2021112800021.pdf","stabilisation")</ns0:f>
        <ns0:v/>
      </ns0:c>
      <ns0:c r="CB80" s="94" t="n"/>
      <ns0:c r="CC80" s="74" t="inlineStr">
        <ns0:is>
          <ns0:t>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ns0:t>
        </ns0:is>
      </ns0:c>
    </ns0:row>
    <ns0:row r="81" ht="22" customHeight="1">
      <ns0:c r="A81" s="73" t="inlineStr">
        <ns0:is>
          <ns0:t>2210</ns0:t>
        </ns0:is>
      </ns0:c>
      <ns0:c r="B81" s="74" t="inlineStr">
        <ns0:is>
          <ns0:t>BEIJING JIAYE</ns0:t>
        </ns0:is>
      </ns0:c>
      <ns0:c r="C81" s="74" t="inlineStr">
        <ns0:is>
          <ns0:t>京城佳業</ns0:t>
        </ns0:is>
      </ns0:c>
      <ns0:c r="D81" s="74" t="inlineStr">
        <ns0:is>
          <ns0:t>Real Estate</ns0:t>
        </ns0:is>
      </ns0:c>
      <ns0:c r="E81" s="74" t="inlineStr">
        <ns0:is>
          <ns0:t>Property management</ns0:t>
        </ns0:is>
      </ns0:c>
      <ns0:c r="F81" s="74" t="inlineStr">
        <ns0:is>
          <ns0:t>Property Service and Management</ns0:t>
        </ns0:is>
      </ns0:c>
      <ns0:c r="G81" s="74" t="inlineStr">
        <ns0:is>
          <ns0:t>Standard</ns0:t>
        </ns0:is>
      </ns0:c>
      <ns0:c r="H81" s="75" t="n">
        <ns0:v>44510</ns0:v>
      </ns0:c>
      <ns0:c r="I81" s="76" t="n">
        <ns0:v>303.6</ns0:v>
      </ns0:c>
      <ns0:c r="J81" s="74" t="inlineStr">
        <ns0:is>
          <ns0:t>gross (price x shares)</ns0:t>
        </ns0:is>
      </ns0:c>
      <ns0:c r="K81" s="95" t="n"/>
      <ns0:c r="L81" s="77" t="n">
        <ns0:v>9.960000000000001</ns0:v>
      </ns0:c>
      <ns0:c r="M81" s="77" t="n">
        <ns0:v>8.279999999999999</ns0:v>
      </ns0:c>
      <ns0:c r="N81" s="74" t="inlineStr">
        <ns0:is>
          <ns0:t>N</ns0:t>
        </ns0:is>
      </ns0:c>
      <ns0:c r="O81" s="78" t="n">
        <ns0:v>83.09999999999999</ns0:v>
      </ns0:c>
      <ns0:c r="P81" s="84" t="n"/>
      <ns0:c r="Q81" s="79" t="n">
        <ns0:v>1214.4</ns0:v>
      </ns0:c>
      <ns0:c r="R81" s="74" t="inlineStr">
        <ns0:is>
          <ns0:t>derived:deal size / offer % of enlarged capital</ns0:t>
        </ns0:is>
      </ns0:c>
      <ns0:c r="S81" s="80" t="n">
        <ns0:v>2.88</ns0:v>
      </ns0:c>
      <ns0:c r="T81" s="81" t="n">
        <ns0:v>1.41</ns0:v>
      </ns0:c>
      <ns0:c r="U81" s="82" t="n">
        <ns0:v>48.9</ns0:v>
      </ns0:c>
      <ns0:c r="V81" s="83" t="n">
        <ns0:v>110</ns0:v>
      </ns0:c>
      <ns0:c r="W81" s="84" t="n"/>
      <ns0:c r="X81" s="85" t="n"/>
      <ns0:c r="Y81" s="79" t="n">
        <ns0:v>155.14</ns0:v>
      </ns0:c>
      <ns0:c r="Z81" s="79" t="n">
        <ns0:v>18736939</ns0:v>
      </ns0:c>
      <ns0:c r="AA81" s="78" t="n">
        <ns0:v>12.78</ns0:v>
      </ns0:c>
      <ns0:c r="AB81" s="74" t="inlineStr">
        <ns0:is>
          <ns0:t>Glodon (Hongkong) Software Limited; Keltic Investment (HK) Limited</ns0:t>
        </ns0:is>
      </ns0:c>
      <ns0:c r="AC81" s="74" t="inlineStr">
        <ns0:is>
          <ns0:t>glodon;keltic</ns0:t>
        </ns0:is>
      </ns0:c>
      <ns0:c r="AD81" s="78" t="n">
        <ns0:v>15</ns0:v>
      </ns0:c>
      <ns0:c r="AE81" s="74" t="inlineStr">
        <ns0:is>
          <ns0:t>lapsed</ns0:t>
        </ns0:is>
      </ns0:c>
      <ns0:c r="AF81" s="74" t="inlineStr">
        <ns0:is>
          <ns0:t>2021-12-03</ns0:t>
        </ns0:is>
      </ns0:c>
      <ns0:c r="AG81" s="74" t="inlineStr">
        <ns0:is>
          <ns0:t>China International Capital Corporation Hong Kong Securities Limited</ns0:t>
        </ns0:is>
      </ns0:c>
      <ns0:c r="AH81" s="74" t="inlineStr">
        <ns0:is>
          <ns0:t>China International</ns0:t>
        </ns0:is>
      </ns0:c>
      <ns0:c r="AI81" s="86" t="n">
        <ns0:v>-0.97</ns0:v>
      </ns0:c>
      <ns0:c r="AJ81" s="87" t="n">
        <ns0:v>-0.24</ns0:v>
      </ns0:c>
      <ns0:c r="AK81" s="87" t="n">
        <ns0:v>3.06</ns0:v>
      </ns0:c>
      <ns0:c r="AL81" s="87" t="n">
        <ns0:v>0</ns0:v>
      </ns0:c>
      <ns0:c r="AM81" s="87" t="n">
        <ns0:v>-0.24</ns0:v>
      </ns0:c>
      <ns0:c r="AN81" s="88" t="n"/>
      <ns0:c r="AO81" s="78" t="n">
        <ns0:v>5.92</ns0:v>
      </ns0:c>
      <ns0:c r="AP81" s="87" t="n">
        <ns0:v>-9.300000000000001</ns0:v>
      </ns0:c>
      <ns0:c r="AQ81" s="87" t="n">
        <ns0:v>-31.28</ns0:v>
      </ns0:c>
      <ns0:c r="AR81" s="87" t="n">
        <ns0:v>-42.63</ns0:v>
      </ns0:c>
      <ns0:c r="AS81" s="87" t="n">
        <ns0:v>-9.08</ns0:v>
      </ns0:c>
      <ns0:c r="AT81" s="87" t="n">
        <ns0:v>-31.11</ns0:v>
      </ns0:c>
      <ns0:c r="AU81" s="87" t="n">
        <ns0:v>-42.49</ns0:v>
      </ns0:c>
      <ns0:c r="AV81" s="87" t="n">
        <ns0:v>-13.82</ns0:v>
      </ns0:c>
      <ns0:c r="AW81" s="87" t="n">
        <ns0:v>-34.16</ns0:v>
      </ns0:c>
      <ns0:c r="AX81" s="87" t="n">
        <ns0:v>-51.1</ns0:v>
      </ns0:c>
      <ns0:c r="AY81" s="87" t="n">
        <ns0:v>-30.94</ns0:v>
      </ns0:c>
      <ns0:c r="AZ81" s="87" t="n">
        <ns0:v>2.88</ns0:v>
      </ns0:c>
      <ns0:c r="BA81" s="87" t="n">
        <ns0:v>-0.17</ns0:v>
      </ns0:c>
      <ns0:c r="BB81" s="74" t="inlineStr">
        <ns0:is>
          <ns0:t>Hang Seng Properties sub-index</ns0:t>
        </ns0:is>
      </ns0:c>
      <ns0:c r="BC81" s="87" t="n">
        <ns0:v>-75.84999999999999</ns0:v>
      </ns0:c>
      <ns0:c r="BD81" s="75" t="n">
        <ns0:v>46297</ns0:v>
      </ns0:c>
      <ns0:c r="BE81" s="76" t="n">
        <ns0:v>1199.6</ns0:v>
      </ns0:c>
      <ns0:c r="BF81" s="79" t="n">
        <ns0:v>75.59999999999999</ns0:v>
      </ns0:c>
      <ns0:c r="BG81" s="74" t="inlineStr">
        <ns0:is>
          <ns0:t>Y</ns0:t>
        </ns0:is>
      </ns0:c>
      <ns0:c r="BH81" s="89" t="n">
        <ns0:v>16.1</ns0:v>
      </ns0:c>
      <ns0:c r="BI81" s="88" t="n"/>
      <ns0:c r="BJ81" s="89" t="n">
        <ns0:v>4.6</ns0:v>
      </ns0:c>
      <ns0:c r="BK81" s="89" t="n">
        <ns0:v>1</ns0:v>
      </ns0:c>
      <ns0:c r="BL81" s="90">
        <ns0:f>IFERROR(IF('BBG Verify'!S81="","Awaiting Bloomberg",'BBG Verify'!S81),"Awaiting Bloomberg")</ns0:f>
        <ns0:v/>
      </ns0:c>
      <ns0:c r="BM81" s="91" t="inlineStr">
        <ns0:is>
          <ns0:t>N</ns0:t>
        </ns0:is>
      </ns0:c>
      <ns0:c r="BN81" s="92">
        <ns0:f>IFERROR(IF('BBG Verify'!K81="","Awaiting Bloomberg",'BBG Verify'!K81),"Awaiting Bloomberg")</ns0:f>
        <ns0:v/>
      </ns0:c>
      <ns0:c r="BO81" s="74" t="inlineStr">
        <ns0:is>
          <ns0:t>N/A</ns0:t>
        </ns0:is>
      </ns0:c>
      <ns0:c r="BP81" s="74" t="inlineStr">
        <ns0:is>
          <ns0:t>N/A</ns0:t>
        </ns0:is>
      </ns0:c>
      <ns0:c r="BQ81" s="74" t="inlineStr">
        <ns0:is>
          <ns0:t>N/A</ns0:t>
        </ns0:is>
      </ns0:c>
      <ns0:c r="BR81" s="74" t="inlineStr">
        <ns0:is>
          <ns0:t>N/A</ns0:t>
        </ns0:is>
      </ns0:c>
      <ns0:c r="BS81" s="74" t="inlineStr">
        <ns0:is>
          <ns0:t>N/A</ns0:t>
        </ns0:is>
      </ns0:c>
      <ns0:c r="BT81" s="74" t="inlineStr">
        <ns0:is>
          <ns0:t>N/A</ns0:t>
        </ns0:is>
      </ns0:c>
      <ns0:c r="BU81" s="91" t="inlineStr">
        <ns0:is>
          <ns0:t>China International Capital Corporation Hong Kong Securities Limited</ns0:t>
        </ns0:is>
      </ns0:c>
      <ns0:c r="BV81" s="74" t="inlineStr">
        <ns0:is>
          <ns0:t>China International Capital Corporation Hong Kong Securities Limited</ns0:t>
        </ns0:is>
      </ns0:c>
      <ns0:c r="BW81" s="74" t="inlineStr">
        <ns0:is>
          <ns0:t>China International Capital Corporation Hong Kong Securities Limited; Zhongtai International Securities Limited; BOCOM International Securities Limited; CMBC Securities Company Limited; CCB International Capital Limited</ns0:t>
        </ns0:is>
      </ns0:c>
      <ns0:c r="BX81" s="74" t="inlineStr">
        <ns0:is>
          <ns0:t>Beta International Securities Limited; CCB International Capital Limited; China International Capital Corporation Hong Kong Securities Limited; CMBC Securities Company Limited; CMB International Capital Limited; Zhongtai International Securities Limited</ns0:t>
        </ns0:is>
      </ns0:c>
      <ns0:c r="BY81" s="93">
        <ns0:f>HYPERLINK("https://www1.hkexnews.hk/listedco/listconews/sehk/2021/1029/2021102900097.pdf","prospectus")</ns0:f>
        <ns0:v/>
      </ns0:c>
      <ns0:c r="BZ81" s="93">
        <ns0:f>HYPERLINK("https://www1.hkexnews.hk/listedco/listconews/sehk/2021/1109/2021110900030.htm","allotment")</ns0:f>
        <ns0:v/>
      </ns0:c>
      <ns0:c r="CA81" s="93">
        <ns0:f>HYPERLINK("https://www1.hkexnews.hk/listedco/listconews/sehk/2021/1203/2021120301558.pdf","stabilisation")</ns0:f>
        <ns0:v/>
      </ns0:c>
      <ns0:c r="CB81" s="94" t="n"/>
      <ns0:c r="CC81" s="74" t="inlineStr">
        <ns0:is>
          <ns0:t>range low: maximum offer price only, no floor published; allocation: allocation table not in this notice's format (older prose announcement); day-1 tape: volume on file; the retail multiple needs the final public split, which this notice does not state</ns0:t>
        </ns0:is>
      </ns0:c>
    </ns0:row>
    <ns0:row r="82" ht="22" customHeight="1">
      <ns0:c r="A82" s="73" t="inlineStr">
        <ns0:is>
          <ns0:t>2265</ns0:t>
        </ns0:is>
      </ns0:c>
      <ns0:c r="B82" s="74" t="inlineStr">
        <ns0:is>
          <ns0:t>HC ENV TECH</ns0:t>
        </ns0:is>
      </ns0:c>
      <ns0:c r="C82" s="74" t="inlineStr">
        <ns0:is>
          <ns0:t>鴻承環保科技</ns0:t>
        </ns0:is>
      </ns0:c>
      <ns0:c r="D82" s="74" t="inlineStr">
        <ns0:is>
          <ns0:t>Materials/Energy</ns0:t>
        </ns0:is>
      </ns0:c>
      <ns0:c r="E82" s="74" t="inlineStr">
        <ns0:is>
          <ns0:t>Oil &amp; gas / utilities</ns0:t>
        </ns0:is>
      </ns0:c>
      <ns0:c r="F82" s="74" t="inlineStr">
        <ns0:is>
          <ns0:t>Environmental &amp; Facilities Services</ns0:t>
        </ns0:is>
      </ns0:c>
      <ns0:c r="G82" s="74" t="inlineStr">
        <ns0:is>
          <ns0:t>Standard</ns0:t>
        </ns0:is>
      </ns0:c>
      <ns0:c r="H82" s="75" t="n">
        <ns0:v>44512</ns0:v>
      </ns0:c>
      <ns0:c r="I82" s="76" t="n">
        <ns0:v>255</ns0:v>
      </ns0:c>
      <ns0:c r="J82" s="74" t="inlineStr">
        <ns0:is>
          <ns0:t>gross (price x shares)</ns0:t>
        </ns0:is>
      </ns0:c>
      <ns0:c r="K82" s="95" t="n"/>
      <ns0:c r="L82" s="77" t="n">
        <ns0:v>1.48</ns0:v>
      </ns0:c>
      <ns0:c r="M82" s="77" t="n">
        <ns0:v>1.02</ns0:v>
      </ns0:c>
      <ns0:c r="N82" s="74" t="inlineStr">
        <ns0:is>
          <ns0:t>N</ns0:t>
        </ns0:is>
      </ns0:c>
      <ns0:c r="O82" s="78" t="n">
        <ns0:v>68.90000000000001</ns0:v>
      </ns0:c>
      <ns0:c r="P82" s="84" t="n"/>
      <ns0:c r="Q82" s="79" t="n">
        <ns0:v>1133.3</ns0:v>
      </ns0:c>
      <ns0:c r="R82" s="74" t="inlineStr">
        <ns0:is>
          <ns0:t>derived:deal size / offer % of enlarged capital</ns0:t>
        </ns0:is>
      </ns0:c>
      <ns0:c r="S82" s="80" t="n">
        <ns0:v>24.26</ns0:v>
      </ns0:c>
      <ns0:c r="T82" s="81" t="n">
        <ns0:v>1.02</ns0:v>
      </ns0:c>
      <ns0:c r="U82" s="82" t="n">
        <ns0:v>0</ns0:v>
      </ns0:c>
      <ns0:c r="V82" s="83" t="n">
        <ns0:v>146</ns0:v>
      </ns0:c>
      <ns0:c r="W82" s="78" t="n">
        <ns0:v>30</ns0:v>
      </ns0:c>
      <ns0:c r="X82" s="74" t="inlineStr">
        <ns0:is>
          <ns0:t>YES</ns0:t>
        </ns0:is>
      </ns0:c>
      <ns0:c r="Y82" s="79" t="n">
        <ns0:v>255</ns0:v>
      </ns0:c>
      <ns0:c r="Z82" s="79" t="n">
        <ns0:v>250000000</ns0:v>
      </ns0:c>
      <ns0:c r="AA82" s="78" t="n">
        <ns0:v>22.5</ns0:v>
      </ns0:c>
      <ns0:c r="AB82" s="74" t="inlineStr">
        <ns0:is>
          <ns0:t>none — no cornerstone tranche</ns0:t>
        </ns0:is>
      </ns0:c>
      <ns0:c r="AC82" s="74" t="inlineStr">
        <ns0:is>
          <ns0:t>none</ns0:t>
        </ns0:is>
      </ns0:c>
      <ns0:c r="AD82" s="78" t="n">
        <ns0:v>20</ns0:v>
      </ns0:c>
      <ns0:c r="AE82" s="74" t="inlineStr">
        <ns0:is>
          <ns0:t>lapsed (no over-allocation)</ns0:t>
        </ns0:is>
      </ns0:c>
      <ns0:c r="AF82" s="74" t="inlineStr">
        <ns0:is>
          <ns0:t>2021-12-03</ns0:t>
        </ns0:is>
      </ns0:c>
      <ns0:c r="AG82" s="74" t="inlineStr">
        <ns0:is>
          <ns0:t>First Shanghai Securities Limited</ns0:t>
        </ns0:is>
      </ns0:c>
      <ns0:c r="AH82" s="74" t="inlineStr">
        <ns0:is>
          <ns0:t>First Shanghai</ns0:t>
        </ns0:is>
      </ns0:c>
      <ns0:c r="AI82" s="86" t="n">
        <ns0:v>0.98</ns0:v>
      </ns0:c>
      <ns0:c r="AJ82" s="87" t="n">
        <ns0:v>-10.78</ns0:v>
      </ns0:c>
      <ns0:c r="AK82" s="87" t="n">
        <ns0:v>0.66</ns0:v>
      </ns0:c>
      <ns0:c r="AL82" s="87" t="n">
        <ns0:v>1.96</ns0:v>
      </ns0:c>
      <ns0:c r="AM82" s="87" t="n">
        <ns0:v>-12.5</ns0:v>
      </ns0:c>
      <ns0:c r="AN82" s="89" t="n">
        <ns0:v>0.6899999999999999</ns0:v>
      </ns0:c>
      <ns0:c r="AO82" s="78" t="n">
        <ns0:v>15.38</ns0:v>
      </ns0:c>
      <ns0:c r="AP82" s="87" t="n">
        <ns0:v>-3.92</ns0:v>
      </ns0:c>
      <ns0:c r="AQ82" s="87" t="n">
        <ns0:v>-10.78</ns0:v>
      </ns0:c>
      <ns0:c r="AR82" s="87" t="n">
        <ns0:v>-17.65</ns0:v>
      </ns0:c>
      <ns0:c r="AS82" s="87" t="n">
        <ns0:v>7.69</ns0:v>
      </ns0:c>
      <ns0:c r="AT82" s="87" t="n">
        <ns0:v>0</ns0:v>
      </ns0:c>
      <ns0:c r="AU82" s="87" t="n">
        <ns0:v>-7.7</ns0:v>
      </ns0:c>
      <ns0:c r="AV82" s="87" t="n">
        <ns0:v>-2.51</ns0:v>
      </ns0:c>
      <ns0:c r="AW82" s="87" t="n">
        <ns0:v>-2.37</ns0:v>
      </ns0:c>
      <ns0:c r="AX82" s="87" t="n">
        <ns0:v>-4.62</ns0:v>
      </ns0:c>
      <ns0:c r="AY82" s="87" t="n">
        <ns0:v>9.01</ns0:v>
      </ns0:c>
      <ns0:c r="AZ82" s="87" t="n">
        <ns0:v>-8.41</ns0:v>
      </ns0:c>
      <ns0:c r="BA82" s="87" t="n">
        <ns0:v>-9.01</ns0:v>
      </ns0:c>
      <ns0:c r="BB82" s="74" t="inlineStr">
        <ns0:is>
          <ns0:t>Hang Seng Commerce &amp; Industry sub-index</ns0:t>
        </ns0:is>
      </ns0:c>
      <ns0:c r="BC82" s="87" t="n">
        <ns0:v>7.84</ns0:v>
      </ns0:c>
      <ns0:c r="BD82" s="75" t="n">
        <ns0:v>46297</ns0:v>
      </ns0:c>
      <ns0:c r="BE82" s="76" t="n">
        <ns0:v>225.9</ns0:v>
      </ns0:c>
      <ns0:c r="BF82" s="79" t="n">
        <ns0:v>80.2</ns0:v>
      </ns0:c>
      <ns0:c r="BG82" s="74" t="inlineStr">
        <ns0:is>
          <ns0:t>Y</ns0:t>
        </ns0:is>
      </ns0:c>
      <ns0:c r="BH82" s="89" t="n">
        <ns0:v>14.1</ns0:v>
      </ns0:c>
      <ns0:c r="BI82" s="88" t="n"/>
      <ns0:c r="BJ82" s="89" t="n">
        <ns0:v>12.2</ns0:v>
      </ns0:c>
      <ns0:c r="BK82" s="89" t="n">
        <ns0:v>5</ns0:v>
      </ns0:c>
      <ns0:c r="BL82" s="90">
        <ns0:f>IFERROR(IF('BBG Verify'!S82="","Awaiting Bloomberg",'BBG Verify'!S82),"Awaiting Bloomberg")</ns0:f>
        <ns0:v/>
      </ns0:c>
      <ns0:c r="BM82" s="91" t="inlineStr">
        <ns0:is>
          <ns0:t>N</ns0:t>
        </ns0:is>
      </ns0:c>
      <ns0:c r="BN82" s="92">
        <ns0:f>IFERROR(IF('BBG Verify'!K82="","Awaiting Bloomberg",'BBG Verify'!K82),"Awaiting Bloomberg")</ns0:f>
        <ns0:v/>
      </ns0:c>
      <ns0:c r="BO82" s="74" t="inlineStr">
        <ns0:is>
          <ns0:t>N/A</ns0:t>
        </ns0:is>
      </ns0:c>
      <ns0:c r="BP82" s="74" t="inlineStr">
        <ns0:is>
          <ns0:t>N/A</ns0:t>
        </ns0:is>
      </ns0:c>
      <ns0:c r="BQ82" s="74" t="inlineStr">
        <ns0:is>
          <ns0:t>N/A</ns0:t>
        </ns0:is>
      </ns0:c>
      <ns0:c r="BR82" s="74" t="inlineStr">
        <ns0:is>
          <ns0:t>N/A</ns0:t>
        </ns0:is>
      </ns0:c>
      <ns0:c r="BS82" s="74" t="inlineStr">
        <ns0:is>
          <ns0:t>N/A</ns0:t>
        </ns0:is>
      </ns0:c>
      <ns0:c r="BT82" s="74" t="inlineStr">
        <ns0:is>
          <ns0:t>N/A</ns0:t>
        </ns0:is>
      </ns0:c>
      <ns0:c r="BU82" s="91" t="inlineStr">
        <ns0:is>
          <ns0:t>First Shanghai Capital Limited</ns0:t>
        </ns0:is>
      </ns0:c>
      <ns0:c r="BV82" s="74" t="inlineStr">
        <ns0:is>
          <ns0:t>First Shanghai Capital Limited</ns0:t>
        </ns0:is>
      </ns0:c>
      <ns0:c r="BW82" s="74" t="inlineStr">
        <ns0:is>
          <ns0:t>First Shanghai Securities Limited; Zhongtai International Securities Limited; Valuable Capital Limited; ICBC International Capital Limited; Blackwell Global Securities Limited</ns0:t>
        </ns0:is>
      </ns0:c>
      <ns0:c r="BX82" s="74" t="inlineStr">
        <ns0:is>
          <ns0:t>Blackwell Global Securities Limited; China Galaxy International Securities (Hong Kong) Company Limited; First Shanghai Securities Limited; Fosun Hani Securities Limited; ICBC International Securities Limited; Valuable Capital Limited; Zhongtai International Securities Limited</ns0:t>
        </ns0:is>
      </ns0:c>
      <ns0:c r="BY82" s="93">
        <ns0:f>HYPERLINK("https://www1.hkexnews.hk/listedco/listconews/sehk/2021/1029/2021102900113.pdf","prospectus")</ns0:f>
        <ns0:v/>
      </ns0:c>
      <ns0:c r="BZ82" s="93">
        <ns0:f>HYPERLINK("https://www1.hkexnews.hk/listedco/listconews/sehk/2021/1111/2021111100010.htm","allotment")</ns0:f>
        <ns0:v/>
      </ns0:c>
      <ns0:c r="CA82" s="93">
        <ns0:f>HYPERLINK("https://www1.hkexnews.hk/listedco/listconews/sehk/2021/1203/2021120301544.pdf","stabilisation")</ns0:f>
        <ns0:v/>
      </ns0:c>
      <ns0:c r="CB82" s="94" t="n"/>
      <ns0:c r="CC82" s="74" t="inlineStr">
        <ns0:is>
          <ns0:t>range low: maximum offer price only, no floor published; cornerstone list: no cornerstone tranche</ns0:t>
        </ns0:is>
      </ns0:c>
    </ns0:row>
    <ns0:row r="83" ht="22" customHeight="1">
      <ns0:c r="A83" s="73" t="inlineStr">
        <ns0:is>
          <ns0:t>9899</ns0:t>
        </ns0:is>
      </ns0:c>
      <ns0:c r="B83" s="74" t="inlineStr">
        <ns0:is>
          <ns0:t>CLOUD VILLAGE</ns0:t>
        </ns0:is>
      </ns0:c>
      <ns0:c r="C83" s="74" t="inlineStr">
        <ns0:is>
          <ns0:t>網易雲音樂</ns0:t>
        </ns0:is>
      </ns0:c>
      <ns0:c r="D83" s="74" t="inlineStr">
        <ns0:is>
          <ns0:t>Technology</ns0:t>
        </ns0:is>
      </ns0:c>
      <ns0:c r="E83" s="74" t="inlineStr">
        <ns0:is>
          <ns0:t>Internet &amp; fintech</ns0:t>
        </ns0:is>
      </ns0:c>
      <ns0:c r="F83" s="74" t="inlineStr">
        <ns0:is>
          <ns0:t>e-Commerce &amp; Internet Services</ns0:t>
        </ns0:is>
      </ns0:c>
      <ns0:c r="G83" s="74" t="inlineStr">
        <ns0:is>
          <ns0:t>Standard</ns0:t>
        </ns0:is>
      </ns0:c>
      <ns0:c r="H83" s="75" t="n">
        <ns0:v>44532</ns0:v>
      </ns0:c>
      <ns0:c r="I83" s="76" t="n">
        <ns0:v>3280</ns0:v>
      </ns0:c>
      <ns0:c r="J83" s="74" t="inlineStr">
        <ns0:is>
          <ns0:t>gross (price x shares)</ns0:t>
        </ns0:is>
      </ns0:c>
      <ns0:c r="K83" s="95" t="n"/>
      <ns0:c r="L83" s="77" t="n">
        <ns0:v>220</ns0:v>
      </ns0:c>
      <ns0:c r="M83" s="77" t="n">
        <ns0:v>205</ns0:v>
      </ns0:c>
      <ns0:c r="N83" s="74" t="inlineStr">
        <ns0:is>
          <ns0:t>N</ns0:t>
        </ns0:is>
      </ns0:c>
      <ns0:c r="O83" s="78" t="n">
        <ns0:v>93.2</ns0:v>
      </ns0:c>
      <ns0:c r="P83" s="84" t="n"/>
      <ns0:c r="Q83" s="79" t="n">
        <ns0:v>36782.6</ns0:v>
      </ns0:c>
      <ns0:c r="R83" s="74" t="inlineStr">
        <ns0:is>
          <ns0:t>prospectus:stated market capitalisation, rescaled to the offer price</ns0:t>
        </ns0:is>
      </ns0:c>
      <ns0:c r="S83" s="80" t="n">
        <ns0:v>8.92</ns0:v>
      </ns0:c>
      <ns0:c r="T83" s="81" t="n">
        <ns0:v>1.7</ns0:v>
      </ns0:c>
      <ns0:c r="U83" s="82" t="n">
        <ns0:v>83.15000000000001</ns0:v>
      </ns0:c>
      <ns0:c r="V83" s="83" t="n">
        <ns0:v>144</ns0:v>
      </ns0:c>
      <ns0:c r="W83" s="84" t="n"/>
      <ns0:c r="X83" s="85" t="n"/>
      <ns0:c r="Y83" s="79" t="n">
        <ns0:v>552.6799999999999</ns0:v>
      </ns0:c>
      <ns0:c r="Z83" s="79" t="n">
        <ns0:v>2696000</ns0:v>
      </ns0:c>
      <ns0:c r="AA83" s="78" t="n">
        <ns0:v>1.5</ns0:v>
      </ns0:c>
      <ns0:c r="AB83" s="74" t="inlineStr">
        <ns0:is>
          <ns0:t>NetEase, Inc; Orbis Investment Management Limited; Sony Music Entertainment</ns0:t>
        </ns0:is>
      </ns0:c>
      <ns0:c r="AC83" s="74" t="inlineStr">
        <ns0:is>
          <ns0:t>netease;orbis;sony</ns0:t>
        </ns0:is>
      </ns0:c>
      <ns0:c r="AD83" s="78" t="n">
        <ns0:v>7.7</ns0:v>
      </ns0:c>
      <ns0:c r="AE83" s="74" t="inlineStr">
        <ns0:is>
          <ns0:t>lapsed</ns0:t>
        </ns0:is>
      </ns0:c>
      <ns0:c r="AF83" s="74" t="inlineStr">
        <ns0:is>
          <ns0:t>2021-12-26</ns0:t>
        </ns0:is>
      </ns0:c>
      <ns0:c r="AG83" s="74" t="inlineStr">
        <ns0:is>
          <ns0:t>Merrill Lynch</ns0:t>
        </ns0:is>
      </ns0:c>
      <ns0:c r="AH83" s="74" t="inlineStr">
        <ns0:is>
          <ns0:t>Merrill Lynch</ns0:t>
        </ns0:is>
      </ns0:c>
      <ns0:c r="AI83" s="86" t="n">
        <ns0:v>-2.24</ns0:v>
      </ns0:c>
      <ns0:c r="AJ83" s="87" t="n">
        <ns0:v>-2.49</ns0:v>
      </ns0:c>
      <ns0:c r="AK83" s="87" t="n">
        <ns0:v>-0.92</ns0:v>
      </ns0:c>
      <ns0:c r="AL83" s="87" t="n">
        <ns0:v>0</ns0:v>
      </ns0:c>
      <ns0:c r="AM83" s="87" t="n">
        <ns0:v>-2.49</ns0:v>
      </ns0:c>
      <ns0:c r="AN83" s="88" t="n"/>
      <ns0:c r="AO83" s="78" t="n">
        <ns0:v>2.59</ns0:v>
      </ns0:c>
      <ns0:c r="AP83" s="87" t="n">
        <ns0:v>-2.73</ns0:v>
      </ns0:c>
      <ns0:c r="AQ83" s="87" t="n">
        <ns0:v>-27.02</ns0:v>
      </ns0:c>
      <ns0:c r="AR83" s="87" t="n">
        <ns0:v>-55.12</ns0:v>
      </ns0:c>
      <ns0:c r="AS83" s="87" t="n">
        <ns0:v>-0.25</ns0:v>
      </ns0:c>
      <ns0:c r="AT83" s="87" t="n">
        <ns0:v>-25.16</ns0:v>
      </ns0:c>
      <ns0:c r="AU83" s="87" t="n">
        <ns0:v>-53.97</ns0:v>
      </ns0:c>
      <ns0:c r="AV83" s="87" t="n">
        <ns0:v>-3.15</ns0:v>
      </ns0:c>
      <ns0:c r="AW83" s="87" t="n">
        <ns0:v>-20.01</ns0:v>
      </ns0:c>
      <ns0:c r="AX83" s="87" t="n">
        <ns0:v>-29.15</ns0:v>
      </ns0:c>
      <ns0:c r="AY83" s="87" t="n">
        <ns0:v>-19.02</ns0:v>
      </ns0:c>
      <ns0:c r="AZ83" s="87" t="n">
        <ns0:v>-7.01</ns0:v>
      </ns0:c>
      <ns0:c r="BA83" s="87" t="n">
        <ns0:v>-6.14</ns0:v>
      </ns0:c>
      <ns0:c r="BB83" s="74" t="inlineStr">
        <ns0:is>
          <ns0:t>HSTECH (Hang Seng TECH ETF)</ns0:t>
        </ns0:is>
      </ns0:c>
      <ns0:c r="BC83" s="87" t="n">
        <ns0:v>-59.29</ns0:v>
      </ns0:c>
      <ns0:c r="BD83" s="75" t="n">
        <ns0:v>46297</ns0:v>
      </ns0:c>
      <ns0:c r="BE83" s="76" t="n">
        <ns0:v>5385.3</ns0:v>
      </ns0:c>
      <ns0:c r="BF83" s="97" t="n"/>
      <ns0:c r="BG83" s="85" t="n"/>
      <ns0:c r="BH83" s="90">
        <ns0:f>IFERROR(IF('BBG Verify'!O83="","Awaiting Bloomberg",'BBG Verify'!O83),"Awaiting Bloomberg")</ns0:f>
        <ns0:v/>
      </ns0:c>
      <ns0:c r="BI83" s="88" t="n"/>
      <ns0:c r="BJ83" s="89" t="n">
        <ns0:v>7.7</ns0:v>
      </ns0:c>
      <ns0:c r="BK83" s="89" t="n">
        <ns0:v>6.8</ns0:v>
      </ns0:c>
      <ns0:c r="BL83" s="90">
        <ns0:f>IFERROR(IF('BBG Verify'!S83="","Awaiting Bloomberg",'BBG Verify'!S83),"Awaiting Bloomberg")</ns0:f>
        <ns0:v/>
      </ns0:c>
      <ns0:c r="BM83" s="91" t="inlineStr">
        <ns0:is>
          <ns0:t>N</ns0:t>
        </ns0:is>
      </ns0:c>
      <ns0:c r="BN83" s="92">
        <ns0:f>IFERROR(IF('BBG Verify'!K83="","Awaiting Bloomberg",'BBG Verify'!K83),"Awaiting Bloomberg")</ns0:f>
        <ns0:v/>
      </ns0:c>
      <ns0:c r="BO83" s="74" t="inlineStr">
        <ns0:is>
          <ns0:t>N/A</ns0:t>
        </ns0:is>
      </ns0:c>
      <ns0:c r="BP83" s="74" t="inlineStr">
        <ns0:is>
          <ns0:t>N/A</ns0:t>
        </ns0:is>
      </ns0:c>
      <ns0:c r="BQ83" s="74" t="inlineStr">
        <ns0:is>
          <ns0:t>N/A</ns0:t>
        </ns0:is>
      </ns0:c>
      <ns0:c r="BR83" s="74" t="inlineStr">
        <ns0:is>
          <ns0:t>N/A</ns0:t>
        </ns0:is>
      </ns0:c>
      <ns0:c r="BS83" s="74" t="inlineStr">
        <ns0:is>
          <ns0:t>N/A</ns0:t>
        </ns0:is>
      </ns0:c>
      <ns0:c r="BT83" s="74" t="inlineStr">
        <ns0:is>
          <ns0:t>N/A</ns0:t>
        </ns0:is>
      </ns0:c>
      <ns0:c r="BU83" s="91" t="inlineStr">
        <ns0:is>
          <ns0:t>BofA Securities; CICC; Credit Suisse</ns0:t>
        </ns0:is>
      </ns0:c>
      <ns0:c r="BV83" s="74" t="inlineStr">
        <ns0:is>
          <ns0:t>China International Capital Corporation Hong Kong Securities Limited; Merrill Lynch (Asia Pacific) Limited; Credit Suisse (Hong Kong) Limited</ns0:t>
        </ns0:is>
      </ns0:c>
      <ns0:c r="BW83" s="74" t="inlineStr">
        <ns0:is>
          <ns0: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ns0:t>
        </ns0:is>
      </ns0:c>
      <ns0:c r="BX83" s="74" t="inlineStr">
        <ns0:is>
          <ns0: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ns0:t>
        </ns0:is>
      </ns0:c>
      <ns0:c r="BY83" s="93">
        <ns0:f>HYPERLINK("https://www1.hkexnews.hk/listedco/listconews/sehk/2021/1123/2021112300032.pdf","prospectus")</ns0:f>
        <ns0:v/>
      </ns0:c>
      <ns0:c r="BZ83" s="93">
        <ns0:f>HYPERLINK("https://www1.hkexnews.hk/listedco/listconews/sehk/2021/1201/2021120100040.htm","allotment")</ns0:f>
        <ns0:v/>
      </ns0:c>
      <ns0:c r="CA83" s="93">
        <ns0:f>HYPERLINK("https://www1.hkexnews.hk/listedco/listconews/sehk/2021/1227/2021122700001.pdf","stabilisation")</ns0:f>
        <ns0:v/>
      </ns0:c>
      <ns0:c r="CB83" s="94" t="n"/>
      <ns0:c r="CC83" s="74" t="inlineStr">
        <ns0:is>
          <ns0:t>P/E: net income not extractable; range low: maximum offer price only, no floor published; market cap: prospectus cap HK$39,474m at HK$220.00, rescaled to HK$205.00; financials: not extractable; pre-IPO year outside the AAStocks window; allocation: allocation table not in this notice's format (older prose announcement); day-1 tape: volume on file; the retail multiple needs the final public split, which this notice does not state</ns0:t>
        </ns0:is>
      </ns0:c>
    </ns0:row>
    <ns0:row r="84" ht="22" customHeight="1">
      <ns0:c r="A84" s="73" t="inlineStr">
        <ns0:is>
          <ns0:t>9898</ns0:t>
        </ns0:is>
      </ns0:c>
      <ns0:c r="B84" s="74" t="inlineStr">
        <ns0:is>
          <ns0:t>WB-SW</ns0:t>
        </ns0:is>
      </ns0:c>
      <ns0:c r="C84" s="74" t="inlineStr">
        <ns0:is>
          <ns0:t>微博－ＳＷ</ns0:t>
        </ns0:is>
      </ns0:c>
      <ns0:c r="D84" s="74" t="inlineStr">
        <ns0:is>
          <ns0:t>Technology</ns0:t>
        </ns0:is>
      </ns0:c>
      <ns0:c r="E84" s="74" t="inlineStr">
        <ns0:is>
          <ns0:t>Internet &amp; fintech</ns0:t>
        </ns0:is>
      </ns0:c>
      <ns0:c r="F84" s="74" t="inlineStr">
        <ns0:is>
          <ns0:t>e-Commerce &amp; Internet Services</ns0:t>
        </ns0:is>
      </ns0:c>
      <ns0:c r="G84" s="74" t="inlineStr">
        <ns0:is>
          <ns0:t>Secondary + WVR</ns0:t>
        </ns0:is>
      </ns0:c>
      <ns0:c r="H84" s="75" t="n">
        <ns0:v>44538</ns0:v>
      </ns0:c>
      <ns0:c r="I84" s="76" t="n">
        <ns0:v>3000.8</ns0:v>
      </ns0:c>
      <ns0:c r="J84" s="74" t="inlineStr">
        <ns0:is>
          <ns0:t>gross (price x shares)</ns0:t>
        </ns0:is>
      </ns0:c>
      <ns0:c r="K84" s="95" t="n"/>
      <ns0:c r="L84" s="77" t="n">
        <ns0:v>388</ns0:v>
      </ns0:c>
      <ns0:c r="M84" s="77" t="n">
        <ns0:v>272.8</ns0:v>
      </ns0:c>
      <ns0:c r="N84" s="74" t="inlineStr">
        <ns0:is>
          <ns0:t>N</ns0:t>
        </ns0:is>
      </ns0:c>
      <ns0:c r="O84" s="78" t="n">
        <ns0:v>70.3</ns0:v>
      </ns0:c>
      <ns0:c r="P84" s="84" t="n"/>
      <ns0:c r="Q84" s="79" t="n">
        <ns0:v>91022</ns0:v>
      </ns0:c>
      <ns0:c r="R84" s="74" t="inlineStr">
        <ns0:is>
          <ns0:t>prospectus:stated market capitalisation</ns0:t>
        </ns0:is>
      </ns0:c>
      <ns0:c r="S84" s="80" t="n">
        <ns0:v>2.67</ns0:v>
      </ns0:c>
      <ns0:c r="T84" s="81" t="n">
        <ns0:v>5.5</ns0:v>
      </ns0:c>
      <ns0:c r="U84" s="82" t="n">
        <ns0:v>0</ns0:v>
      </ns0:c>
      <ns0:c r="V84" s="83" t="n">
        <ns0:v>148</ns0:v>
      </ns0:c>
      <ns0:c r="W84" s="84" t="n"/>
      <ns0:c r="X84" s="85" t="n"/>
      <ns0:c r="Y84" s="79" t="n">
        <ns0:v>3000.8</ns0:v>
      </ns0:c>
      <ns0:c r="Z84" s="79" t="n">
        <ns0:v>11000000</ns0:v>
      </ns0:c>
      <ns0:c r="AA84" s="78" t="n">
        <ns0:v>3.3</ns0:v>
      </ns0:c>
      <ns0:c r="AB84" s="74" t="inlineStr">
        <ns0:is>
          <ns0:t>none — no cornerstone tranche</ns0:t>
        </ns0:is>
      </ns0:c>
      <ns0:c r="AC84" s="74" t="inlineStr">
        <ns0:is>
          <ns0:t>none</ns0:t>
        </ns0:is>
      </ns0:c>
      <ns0:c r="AD84" s="78" t="n">
        <ns0:v>5.4</ns0:v>
      </ns0:c>
      <ns0:c r="AE84" s="74" t="inlineStr">
        <ns0:is>
          <ns0:t>partial</ns0:t>
        </ns0:is>
      </ns0:c>
      <ns0:c r="AF84" s="74" t="inlineStr">
        <ns0:is>
          <ns0:t>2022-01-01</ns0:t>
        </ns0:is>
      </ns0:c>
      <ns0:c r="AG84" s="74" t="inlineStr">
        <ns0:is>
          <ns0:t>Goldman Sachs</ns0:t>
        </ns0:is>
      </ns0:c>
      <ns0:c r="AH84" s="74" t="inlineStr">
        <ns0:is>
          <ns0:t>Goldman Sachs</ns0:t>
        </ns0:is>
      </ns0:c>
      <ns0:c r="AI84" s="86" t="n">
        <ns0:v>-6.16</ns0:v>
      </ns0:c>
      <ns0:c r="AJ84" s="87" t="n">
        <ns0:v>-7.18</ns0:v>
      </ns0:c>
      <ns0:c r="AK84" s="87" t="n">
        <ns0:v>-0.25</ns0:v>
      </ns0:c>
      <ns0:c r="AL84" s="87" t="n">
        <ns0:v>-6.09</ns0:v>
      </ns0:c>
      <ns0:c r="AM84" s="87" t="n">
        <ns0:v>-1.16</ns0:v>
      </ns0:c>
      <ns0:c r="AN84" s="88" t="n"/>
      <ns0:c r="AO84" s="78" t="n">
        <ns0:v>2.26</ns0:v>
      </ns0:c>
      <ns0:c r="AP84" s="87" t="n">
        <ns0:v>-19.65</ns0:v>
      </ns0:c>
      <ns0:c r="AQ84" s="87" t="n">
        <ns0:v>-4.4</ns0:v>
      </ns0:c>
      <ns0:c r="AR84" s="87" t="n">
        <ns0:v>-28.52</ns0:v>
      </ns0:c>
      <ns0:c r="AS84" s="87" t="n">
        <ns0:v>-13.43</ns0:v>
      </ns0:c>
      <ns0:c r="AT84" s="87" t="n">
        <ns0:v>3</ns0:v>
      </ns0:c>
      <ns0:c r="AU84" s="87" t="n">
        <ns0:v>-22.99</ns0:v>
      </ns0:c>
      <ns0:c r="AV84" s="87" t="n">
        <ns0:v>-16.44</ns0:v>
      </ns0:c>
      <ns0:c r="AW84" s="87" t="n">
        <ns0:v>3.72</ns0:v>
      </ns0:c>
      <ns0:c r="AX84" s="87" t="n">
        <ns0:v>0.45</ns0:v>
      </ns0:c>
      <ns0:c r="AY84" s="87" t="n">
        <ns0:v>10.89</ns0:v>
      </ns0:c>
      <ns0:c r="AZ84" s="87" t="n">
        <ns0:v>-8.119999999999999</ns0:v>
      </ns0:c>
      <ns0:c r="BA84" s="87" t="n">
        <ns0:v>-7.89</ns0:v>
      </ns0:c>
      <ns0:c r="BB84" s="74" t="inlineStr">
        <ns0:is>
          <ns0:t>HSTECH (Hang Seng TECH ETF)</ns0:t>
        </ns0:is>
      </ns0:c>
      <ns0:c r="BC84" s="87" t="n">
        <ns0:v>-81.79000000000001</ns0:v>
      </ns0:c>
      <ns0:c r="BD84" s="75" t="n">
        <ns0:v>46297</ns0:v>
      </ns0:c>
      <ns0:c r="BE84" s="98" t="n"/>
      <ns0:c r="BF84" s="97" t="n"/>
      <ns0:c r="BG84" s="85" t="n"/>
      <ns0:c r="BH84" s="89" t="n">
        <ns0:v>11.2</ns0:v>
      </ns0:c>
      <ns0:c r="BI84" s="89" t="n">
        <ns0:v>11.2</ns0:v>
      </ns0:c>
      <ns0:c r="BJ84" s="89" t="n">
        <ns0:v>4.9</ns0:v>
      </ns0:c>
      <ns0:c r="BK84" s="88" t="n"/>
      <ns0:c r="BL84" s="90">
        <ns0:f>IFERROR(IF('BBG Verify'!S84="","Awaiting Bloomberg",'BBG Verify'!S84),"Awaiting Bloomberg")</ns0:f>
        <ns0:v/>
      </ns0:c>
      <ns0:c r="BM84" s="91" t="inlineStr">
        <ns0:is>
          <ns0:t>N</ns0:t>
        </ns0:is>
      </ns0:c>
      <ns0:c r="BN84" s="92">
        <ns0:f>IFERROR(IF('BBG Verify'!K84="","Awaiting Bloomberg",'BBG Verify'!K84),"Awaiting Bloomberg")</ns0:f>
        <ns0:v/>
      </ns0:c>
      <ns0:c r="BO84" s="74" t="inlineStr">
        <ns0:is>
          <ns0:t>N/A</ns0:t>
        </ns0:is>
      </ns0:c>
      <ns0:c r="BP84" s="74" t="inlineStr">
        <ns0:is>
          <ns0:t>N/A</ns0:t>
        </ns0:is>
      </ns0:c>
      <ns0:c r="BQ84" s="74" t="inlineStr">
        <ns0:is>
          <ns0:t>N/A</ns0:t>
        </ns0:is>
      </ns0:c>
      <ns0:c r="BR84" s="74" t="inlineStr">
        <ns0:is>
          <ns0:t>N/A</ns0:t>
        </ns0:is>
      </ns0:c>
      <ns0:c r="BS84" s="74" t="inlineStr">
        <ns0:is>
          <ns0:t>N/A</ns0:t>
        </ns0:is>
      </ns0:c>
      <ns0:c r="BT84" s="74" t="inlineStr">
        <ns0:is>
          <ns0:t>N/A</ns0:t>
        </ns0:is>
      </ns0:c>
      <ns0:c r="BU84" s="91" t="inlineStr">
        <ns0:is>
          <ns0:t>Goldman Sachs (Asia) L.L.C; Credit Suisse (Hong Kong) Limited; CLSA Capital Markets Limited; China International Capital Corporation Hong Kong Securities Limited; CLSA Limited</ns0:t>
        </ns0:is>
      </ns0:c>
      <ns0:c r="BV84" s="74" t="inlineStr">
        <ns0:is>
          <ns0:t>China International Capital Corporation Hong Kong Securities Limited; Goldman Sachs (Asia) L.L.C.; CLSA Capital Markets Limited; Credit Suisse (Hong Kong) Limited</ns0:t>
        </ns0:is>
      </ns0:c>
      <ns0:c r="BW84" s="74" t="inlineStr">
        <ns0:is>
          <ns0:t>Goldman Sachs (Asia) L.L.C; Credit Suisse (Hong Kong) Limited; CLSA Limited; China International Capital Corporation Hong Kong Securities Limited; Nomura International (Hong Kong) Limited; Deutsche Bank AG, Hong Kong Branch; Haitong International Securities Company Limited; Huatai Financial Holdings (Hong Kong) Limited; Valuable Capital Limited; ABCI Capital Limited; CMBC Securities Company Limited; CMB International Capital Limited</ns0:t>
        </ns0:is>
      </ns0:c>
      <ns0:c r="BX84" s="74" t="inlineStr">
        <ns0:is>
          <ns0: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ns0:t>
        </ns0:is>
      </ns0:c>
      <ns0:c r="BY84" s="93">
        <ns0:f>HYPERLINK("https://www1.hkexnews.hk/listedco/listconews/sehk/2021/1129/2021112900007.pdf","prospectus")</ns0:f>
        <ns0:v/>
      </ns0:c>
      <ns0:c r="BZ84" s="93">
        <ns0:f>HYPERLINK("https://www1.hkexnews.hk/listedco/listconews/sehk/2021/1207/2021120700020.htm","allotment")</ns0:f>
        <ns0:v/>
      </ns0:c>
      <ns0:c r="CA84" s="93">
        <ns0:f>HYPERLINK("https://www1.hkexnews.hk/listedco/listconews/sehk/2022/0102/2022010200019.pdf","stabilisation")</ns0:f>
        <ns0:v/>
      </ns0:c>
      <ns0:c r="CB84" s="94" t="n"/>
      <ns0:c r="CC84" s="74" t="inlineStr">
        <ns0:is>
          <ns0:t>P/E: Bloomberg trailing-12m basis (prospectus-year multiple not derivable); range low: maximum offer price only, no floor published; cornerstone list: no cornerstone tranche; P/S: revenue not extractable; financials: not extractable; pre-IPO year outside the AAStocks window; allocation: allocation table not in this notice's format (older prose announcement); day-1 tape: volume on file; the retail multiple needs the final public split, which this notice does not state</ns0:t>
        </ns0:is>
      </ns0:c>
    </ns0:row>
    <ns0:row r="85" ht="22" customHeight="1">
      <ns0:c r="A85" s="73" t="inlineStr">
        <ns0:is>
          <ns0:t>1228</ns0:t>
        </ns0:is>
      </ns0:c>
      <ns0:c r="B85" s="74" t="inlineStr">
        <ns0:is>
          <ns0:t>CANBRIDGE-B</ns0:t>
        </ns0:is>
      </ns0:c>
      <ns0:c r="C85" s="74" t="inlineStr">
        <ns0:is>
          <ns0:t>北海康成－Ｂ</ns0:t>
        </ns0:is>
      </ns0:c>
      <ns0:c r="D85" s="74" t="inlineStr">
        <ns0:is>
          <ns0:t>Healthcare</ns0:t>
        </ns0:is>
      </ns0:c>
      <ns0:c r="E85" s="74" t="inlineStr">
        <ns0:is>
          <ns0:t>Biotech pre-revenue (18A)</ns0:t>
        </ns0:is>
      </ns0:c>
      <ns0:c r="F85" s="74" t="inlineStr">
        <ns0:is>
          <ns0:t>Biotechnology</ns0:t>
        </ns0:is>
      </ns0:c>
      <ns0:c r="G85" s="74" t="inlineStr">
        <ns0:is>
          <ns0:t>18A</ns0:t>
        </ns0:is>
      </ns0:c>
      <ns0:c r="H85" s="75" t="n">
        <ns0:v>44540</ns0:v>
      </ns0:c>
      <ns0:c r="I85" s="76" t="n">
        <ns0:v>685.1</ns0:v>
      </ns0:c>
      <ns0:c r="J85" s="74" t="inlineStr">
        <ns0:is>
          <ns0:t>gross (price x shares)</ns0:t>
        </ns0:is>
      </ns0:c>
      <ns0:c r="K85" s="95" t="n"/>
      <ns0:c r="L85" s="77" t="n">
        <ns0:v>12.18</ns0:v>
      </ns0:c>
      <ns0:c r="M85" s="77" t="n">
        <ns0:v>12.18</ns0:v>
      </ns0:c>
      <ns0:c r="N85" s="74" t="inlineStr">
        <ns0:is>
          <ns0:t>Y</ns0:t>
        </ns0:is>
      </ns0:c>
      <ns0:c r="O85" s="78" t="n">
        <ns0:v>100</ns0:v>
      </ns0:c>
      <ns0:c r="P85" s="84" t="n"/>
      <ns0:c r="Q85" s="79" t="n">
        <ns0:v>5166.7</ns0:v>
      </ns0:c>
      <ns0:c r="R85" s="74" t="inlineStr">
        <ns0:is>
          <ns0:t>prospectus:stated market capitalisation</ns0:t>
        </ns0:is>
      </ns0:c>
      <ns0:c r="S85" s="80" t="n">
        <ns0:v>1.97</ns0:v>
      </ns0:c>
      <ns0:c r="T85" s="81" t="n">
        <ns0:v>2.8</ns0:v>
      </ns0:c>
      <ns0:c r="U85" s="82" t="n">
        <ns0:v>75.8</ns0:v>
      </ns0:c>
      <ns0:c r="V85" s="83" t="n">
        <ns0:v>113</ns0:v>
      </ns0:c>
      <ns0:c r="W85" s="84" t="n"/>
      <ns0:c r="X85" s="85" t="n"/>
      <ns0:c r="Y85" s="79" t="n">
        <ns0:v>165.79</ns0:v>
      </ns0:c>
      <ns0:c r="Z85" s="79" t="n">
        <ns0:v>13612742</ns0:v>
      </ns0:c>
      <ns0:c r="AA85" s="78" t="n">
        <ns0:v>3.21</ns0:v>
      </ns0:c>
      <ns0:c r="AB85" s="74" t="inlineStr">
        <ns0:is>
          <ns0:t>Belinda A. Termeer; General Atlantic Singapore CP Pte. Ltd; Hongkong Ruihua Investment Management Limited; Hudson Bay Master Fund Ltd; Janus Investors; RA Capital Healthcare Fund, L.P; WuXi Biologics HealthCare Venture</ns0:t>
        </ns0:is>
      </ns0:c>
      <ns0:c r="AC85" s="74" t="inlineStr">
        <ns0:is>
          <ns0:t>belinda;general;hongkong;hudson;janus;ra;wuxi</ns0:t>
        </ns0:is>
      </ns0:c>
      <ns0:c r="AD85" s="78" t="n">
        <ns0:v>11.8</ns0:v>
      </ns0:c>
      <ns0:c r="AE85" s="74" t="inlineStr">
        <ns0:is>
          <ns0:t>lapsed</ns0:t>
        </ns0:is>
      </ns0:c>
      <ns0:c r="AF85" s="74" t="inlineStr">
        <ns0:is>
          <ns0:t>2022-01-02</ns0:t>
        </ns0:is>
      </ns0:c>
      <ns0:c r="AG85" s="85" t="n"/>
      <ns0:c r="AH85" s="85" t="n"/>
      <ns0:c r="AI85" s="86" t="n">
        <ns0:v>-9.69</ns0:v>
      </ns0:c>
      <ns0:c r="AJ85" s="87" t="n">
        <ns0:v>-26.93</ns0:v>
      </ns0:c>
      <ns0:c r="AK85" s="87" t="n">
        <ns0:v>-1.54</ns0:v>
      </ns0:c>
      <ns0:c r="AL85" s="87" t="n">
        <ns0:v>-19.54</ns0:v>
      </ns0:c>
      <ns0:c r="AM85" s="87" t="n">
        <ns0:v>-9.18</ns0:v>
      </ns0:c>
      <ns0:c r="AN85" s="88" t="n"/>
      <ns0:c r="AO85" s="78" t="n">
        <ns0:v>14.08</ns0:v>
      </ns0:c>
      <ns0:c r="AP85" s="87" t="n">
        <ns0:v>-30.13</ns0:v>
      </ns0:c>
      <ns0:c r="AQ85" s="87" t="n">
        <ns0:v>-32.84</ns0:v>
      </ns0:c>
      <ns0:c r="AR85" s="87" t="n">
        <ns0:v>-64.37</ns0:v>
      </ns0:c>
      <ns0:c r="AS85" s="87" t="n">
        <ns0:v>-4.38</ns0:v>
      </ns0:c>
      <ns0:c r="AT85" s="87" t="n">
        <ns0:v>-8.09</ns0:v>
      </ns0:c>
      <ns0:c r="AU85" s="87" t="n">
        <ns0:v>-51.24</ns0:v>
      </ns0:c>
      <ns0:c r="AV85" s="87" t="n">
        <ns0:v>-23.79</ns0:v>
      </ns0:c>
      <ns0:c r="AW85" s="87" t="n">
        <ns0:v>-22.11</ns0:v>
      </ns0:c>
      <ns0:c r="AX85" s="87" t="n">
        <ns0:v>-26.66</ns0:v>
      </ns0:c>
      <ns0:c r="AY85" s="87" t="n">
        <ns0:v>1.24</ns0:v>
      </ns0:c>
      <ns0:c r="AZ85" s="87" t="n">
        <ns0:v>-10.73</ns0:v>
      </ns0:c>
      <ns0:c r="BA85" s="87" t="n">
        <ns0:v>-9.33</ns0:v>
      </ns0:c>
      <ns0:c r="BB85" s="74" t="inlineStr">
        <ns0:is>
          <ns0:t>China Biotech ETF (HS biotech proxy)</ns0:t>
        </ns0:is>
      </ns0:c>
      <ns0:c r="BC85" s="87" t="n">
        <ns0:v>-83.17</ns0:v>
      </ns0:c>
      <ns0:c r="BD85" s="75" t="n">
        <ns0:v>46297</ns0:v>
      </ns0:c>
      <ns0:c r="BE85" s="76" t="n">
        <ns0:v>2.1</ns0:v>
      </ns0:c>
      <ns0:c r="BF85" s="79" t="n">
        <ns0:v>-172.4</ns0:v>
      </ns0:c>
      <ns0:c r="BG85" s="74" t="inlineStr">
        <ns0:is>
          <ns0:t>N</ns0:t>
        </ns0:is>
      </ns0:c>
      <ns0:c r="BH85" s="74" t="inlineStr">
        <ns0:is>
          <ns0:t>n/m</ns0:t>
        </ns0:is>
      </ns0:c>
      <ns0:c r="BI85" s="88" t="n"/>
      <ns0:c r="BJ85" s="89" t="n">
        <ns0:v>37.8</ns0:v>
      </ns0:c>
      <ns0:c r="BK85" s="89" t="n">
        <ns0:v>2460.3</ns0:v>
      </ns0:c>
      <ns0:c r="BL85" s="90">
        <ns0:f>IFERROR(IF('BBG Verify'!S85="","Awaiting Bloomberg",'BBG Verify'!S85),"Awaiting Bloomberg")</ns0:f>
        <ns0:v/>
      </ns0:c>
      <ns0:c r="BM85" s="91" t="inlineStr">
        <ns0:is>
          <ns0:t>N</ns0:t>
        </ns0:is>
      </ns0:c>
      <ns0:c r="BN85" s="92">
        <ns0:f>IFERROR(IF('BBG Verify'!K85="","Awaiting Bloomberg",'BBG Verify'!K85),"Awaiting Bloomberg")</ns0:f>
        <ns0:v/>
      </ns0:c>
      <ns0:c r="BO85" s="74" t="inlineStr">
        <ns0:is>
          <ns0:t>N/A</ns0:t>
        </ns0:is>
      </ns0:c>
      <ns0:c r="BP85" s="74" t="inlineStr">
        <ns0:is>
          <ns0:t>N/A</ns0:t>
        </ns0:is>
      </ns0:c>
      <ns0:c r="BQ85" s="74" t="inlineStr">
        <ns0:is>
          <ns0:t>N/A</ns0:t>
        </ns0:is>
      </ns0:c>
      <ns0:c r="BR85" s="74" t="inlineStr">
        <ns0:is>
          <ns0:t>N/A</ns0:t>
        </ns0:is>
      </ns0:c>
      <ns0:c r="BS85" s="74" t="inlineStr">
        <ns0:is>
          <ns0:t>N/A</ns0:t>
        </ns0:is>
      </ns0:c>
      <ns0:c r="BT85" s="74" t="inlineStr">
        <ns0:is>
          <ns0:t>N/A</ns0:t>
        </ns0:is>
      </ns0:c>
      <ns0:c r="BU85" s="91" t="inlineStr">
        <ns0:is>
          <ns0:t>Morgan Stanley Asia Limited; Jefferies Hong Kong Limited</ns0:t>
        </ns0:is>
      </ns0:c>
      <ns0:c r="BV85" s="74" t="inlineStr">
        <ns0:is>
          <ns0:t>Jefferies Hong Kong Limited; Morgan Stanley Asia Limited</ns0:t>
        </ns0:is>
      </ns0:c>
      <ns0:c r="BW85" s="74" t="inlineStr">
        <ns0:is>
          <ns0:t>Morgan Stanley Asia Limited; Jefferies Hong Kong Limited; Haitong International Securities Company Limited; Morgan Stanley &amp; Co. International plc; China Merchants Securities (HK) Co., Limited; BOCI Asia Limited</ns0:t>
        </ns0:is>
      </ns0:c>
      <ns0:c r="BX85" s="74" t="inlineStr">
        <ns0:is>
          <ns0:t>BOCI Asia Limited; China Merchants Securities (HK) Company Limited; Futu Securities International (Hong Kong) Limited; Haitong International Securities Company Limited; Jefferies Hong Kong Limited; Morgan Stanley Asia Limited</ns0:t>
        </ns0:is>
      </ns0:c>
      <ns0:c r="BY85" s="93">
        <ns0:f>HYPERLINK("https://www1.hkexnews.hk/listedco/listconews/sehk/2021/1130/2021113000013.pdf","prospectus")</ns0:f>
        <ns0:v/>
      </ns0:c>
      <ns0:c r="BZ85" s="93">
        <ns0:f>HYPERLINK("https://www1.hkexnews.hk/listedco/listconews/sehk/2021/1209/2021120900010.htm","allotment")</ns0:f>
        <ns0:v/>
      </ns0:c>
      <ns0:c r="CA85" s="93">
        <ns0:f>HYPERLINK("https://www1.hkexnews.hk/listedco/listconews/sehk/2022/0102/2022010200017.pdf","stabilisation")</ns0:f>
        <ns0:v/>
      </ns0:c>
      <ns0:c r="CB85" s="94" t="n"/>
      <ns0:c r="CC85" s="74" t="inlineStr">
        <ns0:is>
          <ns0:t>P/E: loss-making at IPO, use P/S; range low: maximum offer price only, no floor published; P/S: 2,460x on HK$2.1m revenue, effectively pre-revenue; not comparable; stabilising manager: not named in the allotment notice or prospectus glossary; allocation: allocation table not in this notice's format (older prose announcement); day-1 tape: volume on file; the retail multiple needs the final public split, which this notice does not state</ns0:t>
        </ns0:is>
      </ns0:c>
    </ns0:row>
    <ns0:row r="86" ht="22" customHeight="1">
      <ns0:c r="A86" s="73" t="inlineStr">
        <ns0:is>
          <ns0:t>2273</ns0:t>
        </ns0:is>
      </ns0:c>
      <ns0:c r="B86" s="74" t="inlineStr">
        <ns0:is>
          <ns0:t>GUSHENGTANG</ns0:t>
        </ns0:is>
      </ns0:c>
      <ns0:c r="C86" s="74" t="inlineStr">
        <ns0:is>
          <ns0:t>固生堂</ns0:t>
        </ns0:is>
      </ns0:c>
      <ns0:c r="D86" s="74" t="inlineStr">
        <ns0:is>
          <ns0:t>Healthcare</ns0:t>
        </ns0:is>
      </ns0:c>
      <ns0:c r="E86" s="74" t="inlineStr">
        <ns0:is>
          <ns0:t>TCM</ns0:t>
        </ns0:is>
      </ns0:c>
      <ns0:c r="F86" s="74" t="inlineStr">
        <ns0:is>
          <ns0:t>Health Care Services</ns0:t>
        </ns0:is>
      </ns0:c>
      <ns0:c r="G86" s="74" t="inlineStr">
        <ns0:is>
          <ns0:t>Standard</ns0:t>
        </ns0:is>
      </ns0:c>
      <ns0:c r="H86" s="75" t="n">
        <ns0:v>44540</ns0:v>
      </ns0:c>
      <ns0:c r="I86" s="76" t="n">
        <ns0:v>808.5</ns0:v>
      </ns0:c>
      <ns0:c r="J86" s="74" t="inlineStr">
        <ns0:is>
          <ns0:t>gross (price x shares)</ns0:t>
        </ns0:is>
      </ns0:c>
      <ns0:c r="K86" s="77" t="n">
        <ns0:v>25.8</ns0:v>
      </ns0:c>
      <ns0:c r="L86" s="77" t="n">
        <ns0:v>29</ns0:v>
      </ns0:c>
      <ns0:c r="M86" s="77" t="n">
        <ns0:v>29</ns0:v>
      </ns0:c>
      <ns0:c r="N86" s="74" t="inlineStr">
        <ns0:is>
          <ns0:t>Y</ns0:t>
        </ns0:is>
      </ns0:c>
      <ns0:c r="O86" s="78" t="n">
        <ns0:v>100</ns0:v>
      </ns0:c>
      <ns0:c r="P86" s="78" t="n">
        <ns0:v>100</ns0:v>
      </ns0:c>
      <ns0:c r="Q86" s="79" t="n">
        <ns0:v>5914.4</ns0:v>
      </ns0:c>
      <ns0:c r="R86" s="74" t="inlineStr">
        <ns0:is>
          <ns0:t>derived:deal size / offer % of enlarged capital</ns0:t>
        </ns0:is>
      </ns0:c>
      <ns0:c r="S86" s="80" t="n">
        <ns0:v>2.84</ns0:v>
      </ns0:c>
      <ns0:c r="T86" s="81" t="n">
        <ns0:v>4.4</ns0:v>
      </ns0:c>
      <ns0:c r="U86" s="82" t="n">
        <ns0:v>40.32</ns0:v>
      </ns0:c>
      <ns0:c r="V86" s="83" t="n">
        <ns0:v>69</ns0:v>
      </ns0:c>
      <ns0:c r="W86" s="84" t="n"/>
      <ns0:c r="X86" s="85" t="n"/>
      <ns0:c r="Y86" s="79" t="n">
        <ns0:v>482.51</ns0:v>
      </ns0:c>
      <ns0:c r="Z86" s="79" t="n">
        <ns0:v>16637590</ns0:v>
      </ns0:c>
      <ns0:c r="AA86" s="78" t="n">
        <ns0:v>8.16</ns0:v>
      </ns0:c>
      <ns0:c r="AB86" s="74" t="inlineStr">
        <ns0:is>
          <ns0:t>Boyu Capital Opportunities Master Fund; Foresight Funds; Sage Partners Master Fund; UBS Asset Management (Singapore) Ltd</ns0:t>
        </ns0:is>
      </ns0:c>
      <ns0:c r="AC86" s="74" t="inlineStr">
        <ns0:is>
          <ns0:t>boyu;foresight;sage;ubs</ns0:t>
        </ns0:is>
      </ns0:c>
      <ns0:c r="AD86" s="78" t="n">
        <ns0:v>15.14</ns0:v>
      </ns0:c>
      <ns0:c r="AE86" s="74" t="inlineStr">
        <ns0:is>
          <ns0:t>lapsed</ns0:t>
        </ns0:is>
      </ns0:c>
      <ns0:c r="AF86" s="74" t="inlineStr">
        <ns0:is>
          <ns0:t>2022-01-02</ns0:t>
        </ns0:is>
      </ns0:c>
      <ns0:c r="AG86" s="74" t="inlineStr">
        <ns0:is>
          <ns0:t>Merrill Lynch International</ns0:t>
        </ns0:is>
      </ns0:c>
      <ns0:c r="AH86" s="74" t="inlineStr">
        <ns0:is>
          <ns0:t>Merrill Lynch</ns0:t>
        </ns0:is>
      </ns0:c>
      <ns0:c r="AI86" s="86" t="n">
        <ns0:v>18.62</ns0:v>
      </ns0:c>
      <ns0:c r="AJ86" s="87" t="n">
        <ns0:v>0</ns0:v>
      </ns0:c>
      <ns0:c r="AK86" s="87" t="n">
        <ns0:v>-1.54</ns0:v>
      </ns0:c>
      <ns0:c r="AL86" s="87" t="n">
        <ns0:v>15.17</ns0:v>
      </ns0:c>
      <ns0:c r="AM86" s="87" t="n">
        <ns0:v>-13.17</ns0:v>
      </ns0:c>
      <ns0:c r="AN86" s="88" t="n"/>
      <ns0:c r="AO86" s="78" t="n">
        <ns0:v>16.77</ns0:v>
      </ns0:c>
      <ns0:c r="AP86" s="87" t="n">
        <ns0:v>-17.24</ns0:v>
      </ns0:c>
      <ns0:c r="AQ86" s="87" t="n">
        <ns0:v>45.86</ns0:v>
      </ns0:c>
      <ns0:c r="AR86" s="87" t="n">
        <ns0:v>-28.45</ns0:v>
      </ns0:c>
      <ns0:c r="AS86" s="87" t="n">
        <ns0:v>-17.24</ns0:v>
      </ns0:c>
      <ns0:c r="AT86" s="87" t="n">
        <ns0:v>45.86</ns0:v>
      </ns0:c>
      <ns0:c r="AU86" s="87" t="n">
        <ns0:v>-28.45</ns0:v>
      </ns0:c>
      <ns0:c r="AV86" s="87" t="n">
        <ns0:v>-10.9</ns0:v>
      </ns0:c>
      <ns0:c r="AW86" s="87" t="n">
        <ns0:v>56.59</ns0:v>
      </ns0:c>
      <ns0:c r="AX86" s="87" t="n">
        <ns0:v>9.26</ns0:v>
      </ns0:c>
      <ns0:c r="AY86" s="87" t="n">
        <ns0:v>55.19</ns0:v>
      </ns0:c>
      <ns0:c r="AZ86" s="87" t="n">
        <ns0:v>-10.73</ns0:v>
      </ns0:c>
      <ns0:c r="BA86" s="87" t="n">
        <ns0:v>-9.33</ns0:v>
      </ns0:c>
      <ns0:c r="BB86" s="74" t="inlineStr">
        <ns0:is>
          <ns0:t>China Biotech ETF (HS biotech proxy)</ns0:t>
        </ns0:is>
      </ns0:c>
      <ns0:c r="BC86" s="87" t="n">
        <ns0:v>-9.859999999999999</ns0:v>
      </ns0:c>
      <ns0:c r="BD86" s="75" t="n">
        <ns0:v>46297</ns0:v>
      </ns0:c>
      <ns0:c r="BE86" s="76" t="n">
        <ns0:v>1017.9</ns0:v>
      </ns0:c>
      <ns0:c r="BF86" s="79" t="n">
        <ns0:v>-280.9</ns0:v>
      </ns0:c>
      <ns0:c r="BG86" s="74" t="inlineStr">
        <ns0:is>
          <ns0:t>N</ns0:t>
        </ns0:is>
      </ns0:c>
      <ns0:c r="BH86" s="74" t="inlineStr">
        <ns0:is>
          <ns0:t>n/m</ns0:t>
        </ns0:is>
      </ns0:c>
      <ns0:c r="BI86" s="88" t="n"/>
      <ns0:c r="BJ86" s="89" t="n">
        <ns0:v>15.7</ns0:v>
      </ns0:c>
      <ns0:c r="BK86" s="89" t="n">
        <ns0:v>5.8</ns0:v>
      </ns0:c>
      <ns0:c r="BL86" s="90">
        <ns0:f>IFERROR(IF('BBG Verify'!S86="","Awaiting Bloomberg",'BBG Verify'!S86),"Awaiting Bloomberg")</ns0:f>
        <ns0:v/>
      </ns0:c>
      <ns0:c r="BM86" s="91" t="inlineStr">
        <ns0:is>
          <ns0:t>N</ns0:t>
        </ns0:is>
      </ns0:c>
      <ns0:c r="BN86" s="92">
        <ns0:f>IFERROR(IF('BBG Verify'!K86="","Awaiting Bloomberg",'BBG Verify'!K86),"Awaiting Bloomberg")</ns0:f>
        <ns0:v/>
      </ns0:c>
      <ns0:c r="BO86" s="74" t="inlineStr">
        <ns0:is>
          <ns0:t>N/A</ns0:t>
        </ns0:is>
      </ns0:c>
      <ns0:c r="BP86" s="74" t="inlineStr">
        <ns0:is>
          <ns0:t>N/A</ns0:t>
        </ns0:is>
      </ns0:c>
      <ns0:c r="BQ86" s="74" t="inlineStr">
        <ns0:is>
          <ns0:t>N/A</ns0:t>
        </ns0:is>
      </ns0:c>
      <ns0:c r="BR86" s="74" t="inlineStr">
        <ns0:is>
          <ns0:t>N/A</ns0:t>
        </ns0:is>
      </ns0:c>
      <ns0:c r="BS86" s="74" t="inlineStr">
        <ns0:is>
          <ns0:t>N/A</ns0:t>
        </ns0:is>
      </ns0:c>
      <ns0:c r="BT86" s="74" t="inlineStr">
        <ns0:is>
          <ns0:t>N/A</ns0:t>
        </ns0:is>
      </ns0:c>
      <ns0:c r="BU86" s="91" t="inlineStr">
        <ns0:is>
          <ns0:t>Merrill Lynch (Asia Pacific) Limited; Haitong International Capital Limited; Haitong International Securities Company Limited</ns0:t>
        </ns0:is>
      </ns0:c>
      <ns0:c r="BV86" s="74" t="inlineStr">
        <ns0:is>
          <ns0:t>Haitong International Capital Limited; Merrill Lynch (Asia Pacific) Limited</ns0:t>
        </ns0:is>
      </ns0:c>
      <ns0:c r="BW86" s="74" t="inlineStr">
        <ns0:is>
          <ns0:t>Merrill Lynch (Asia Pacific) Limited; Haitong International Securities Company Limited; China International Capital Corporation Hong Kong Securities Limited; GF Securities (Hong Kong) Brokerage Limited; ICBC International Capital Limited</ns0:t>
        </ns0:is>
      </ns0:c>
      <ns0:c r="BX86" s="74" t="inlineStr">
        <ns0:is>
          <ns0: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ns0:t>
        </ns0:is>
      </ns0:c>
      <ns0:c r="BY86" s="93">
        <ns0:f>HYPERLINK("https://www1.hkexnews.hk/listedco/listconews/sehk/2021/1130/2021113000025.pdf","prospectus")</ns0:f>
        <ns0:v/>
      </ns0:c>
      <ns0:c r="BZ86" s="93">
        <ns0:f>HYPERLINK("https://www1.hkexnews.hk/listedco/listconews/sehk/2021/1209/2021120900040.htm","allotment")</ns0:f>
        <ns0:v/>
      </ns0:c>
      <ns0:c r="CA86" s="93">
        <ns0:f>HYPERLINK("https://www1.hkexnews.hk/listedco/listconews/sehk/2022/0103/2022010302918.pdf","stabilisation")</ns0:f>
        <ns0:v/>
      </ns0:c>
      <ns0:c r="CB86" s="94" t="n"/>
      <ns0:c r="CC86" s="74" t="inlineStr">
        <ns0:is>
          <ns0:t>P/E: loss-making at IPO, use P/S; greenshoe: conflict: notice read 'lapsed' but Bloomberg records 4,181,700 shares exercised; check the notice; market cap: prospectus 'market capitalisation' line is the listing-rule threshold, not the issuer's figure; rejected; allocation: allocation table not in this notice's format (older prose announcement); day-1 tape: volume on file; the retail multiple needs the final public split, which this notice does not state</ns0:t>
        </ns0:is>
      </ns0:c>
    </ns0:row>
    <ns0:row r="87" ht="22" customHeight="1">
      <ns0:c r="A87" s="73" t="inlineStr">
        <ns0:is>
          <ns0:t>6821</ns0:t>
        </ns0:is>
      </ns0:c>
      <ns0:c r="B87" s="74" t="inlineStr">
        <ns0:is>
          <ns0:t>ASYMCHEM</ns0:t>
        </ns0:is>
      </ns0:c>
      <ns0:c r="C87" s="74" t="inlineStr">
        <ns0:is>
          <ns0:t>凱萊英</ns0:t>
        </ns0:is>
      </ns0:c>
      <ns0:c r="D87" s="74" t="inlineStr">
        <ns0:is>
          <ns0:t>Healthcare</ns0:t>
        </ns0:is>
      </ns0:c>
      <ns0:c r="E87" s="74" t="inlineStr">
        <ns0:is>
          <ns0:t>CXO / pharma services</ns0:t>
        </ns0:is>
      </ns0:c>
      <ns0:c r="F87" s="74" t="inlineStr">
        <ns0:is>
          <ns0:t>Pharmaceuticals</ns0:t>
        </ns0:is>
      </ns0:c>
      <ns0:c r="G87" s="74" t="inlineStr">
        <ns0:is>
          <ns0:t>Standard</ns0:t>
        </ns0:is>
      </ns0:c>
      <ns0:c r="H87" s="75" t="n">
        <ns0:v>44540</ns0:v>
      </ns0:c>
      <ns0:c r="I87" s="76" t="n">
        <ns0:v>7145.2</ns0:v>
      </ns0:c>
      <ns0:c r="J87" s="74" t="inlineStr">
        <ns0:is>
          <ns0:t>gross (price x shares)</ns0:t>
        </ns0:is>
      </ns0:c>
      <ns0:c r="K87" s="77" t="n">
        <ns0:v>350</ns0:v>
      </ns0:c>
      <ns0:c r="L87" s="77" t="n">
        <ns0:v>410</ns0:v>
      </ns0:c>
      <ns0:c r="M87" s="77" t="n">
        <ns0:v>388</ns0:v>
      </ns0:c>
      <ns0:c r="N87" s="74" t="inlineStr">
        <ns0:is>
          <ns0:t>N</ns0:t>
        </ns0:is>
      </ns0:c>
      <ns0:c r="O87" s="78" t="n">
        <ns0:v>94.59999999999999</ns0:v>
      </ns0:c>
      <ns0:c r="P87" s="78" t="n">
        <ns0:v>63.3</ns0:v>
      </ns0:c>
      <ns0:c r="Q87" s="79" t="n">
        <ns0:v>141820</ns0:v>
      </ns0:c>
      <ns0:c r="R87" s="74" t="inlineStr">
        <ns0:is>
          <ns0:t>prospectus:stated market capitalisation</ns0:t>
        </ns0:is>
      </ns0:c>
      <ns0:c r="S87" s="80" t="n">
        <ns0:v>4.5</ns0:v>
      </ns0:c>
      <ns0:c r="T87" s="81" t="n">
        <ns0:v>4.5</ns0:v>
      </ns0:c>
      <ns0:c r="U87" s="82" t="n">
        <ns0:v>0</ns0:v>
      </ns0:c>
      <ns0:c r="V87" s="83" t="n">
        <ns0:v>102</ns0:v>
      </ns0:c>
      <ns0:c r="W87" s="84" t="n"/>
      <ns0:c r="X87" s="85" t="n"/>
      <ns0:c r="Y87" s="79" t="n">
        <ns0:v>7145.2</ns0:v>
      </ns0:c>
      <ns0:c r="Z87" s="79" t="n">
        <ns0:v>18415400</ns0:v>
      </ns0:c>
      <ns0:c r="AA87" s="78" t="n">
        <ns0:v>5.04</ns0:v>
      </ns0:c>
      <ns0:c r="AB87" s="74" t="inlineStr">
        <ns0:is>
          <ns0:t>none — no cornerstone tranche</ns0:t>
        </ns0:is>
      </ns0:c>
      <ns0:c r="AC87" s="74" t="inlineStr">
        <ns0:is>
          <ns0:t>none</ns0:t>
        </ns0:is>
      </ns0:c>
      <ns0:c r="AD87" s="78" t="n">
        <ns0:v>7.97</ns0:v>
      </ns0:c>
      <ns0:c r="AE87" s="74" t="inlineStr">
        <ns0:is>
          <ns0:t>partial</ns0:t>
        </ns0:is>
      </ns0:c>
      <ns0:c r="AF87" s="74" t="inlineStr">
        <ns0:is>
          <ns0:t>2022-01-02</ns0:t>
        </ns0:is>
      </ns0:c>
      <ns0:c r="AG87" s="74" t="inlineStr">
        <ns0:is>
          <ns0:t>Goldman Sachs</ns0:t>
        </ns0:is>
      </ns0:c>
      <ns0:c r="AH87" s="74" t="inlineStr">
        <ns0:is>
          <ns0:t>Goldman Sachs</ns0:t>
        </ns0:is>
      </ns0:c>
      <ns0:c r="AI87" s="86" t="n">
        <ns0:v>-4.38</ns0:v>
      </ns0:c>
      <ns0:c r="AJ87" s="87" t="n">
        <ns0:v>-4.64</ns0:v>
      </ns0:c>
      <ns0:c r="AK87" s="87" t="n">
        <ns0:v>-1.54</ns0:v>
      </ns0:c>
      <ns0:c r="AL87" s="87" t="n">
        <ns0:v>0</ns0:v>
      </ns0:c>
      <ns0:c r="AM87" s="87" t="n">
        <ns0:v>-4.64</ns0:v>
      </ns0:c>
      <ns0:c r="AN87" s="88" t="n"/>
      <ns0:c r="AO87" s="78" t="n">
        <ns0:v>5.52</ns0:v>
      </ns0:c>
      <ns0:c r="AP87" s="87" t="n">
        <ns0:v>-16.55</ns0:v>
      </ns0:c>
      <ns0:c r="AQ87" s="87" t="n">
        <ns0:v>-32.27</ns0:v>
      </ns0:c>
      <ns0:c r="AR87" s="87" t="n">
        <ns0:v>-44.85</ns0:v>
      </ns0:c>
      <ns0:c r="AS87" s="87" t="n">
        <ns0:v>-12.49</ns0:v>
      </ns0:c>
      <ns0:c r="AT87" s="87" t="n">
        <ns0:v>-28.97</ns0:v>
      </ns0:c>
      <ns0:c r="AU87" s="87" t="n">
        <ns0:v>-42.17</ns0:v>
      </ns0:c>
      <ns0:c r="AV87" s="87" t="n">
        <ns0:v>-10.21</ns0:v>
      </ns0:c>
      <ns0:c r="AW87" s="87" t="n">
        <ns0:v>-21.54</ns0:v>
      </ns0:c>
      <ns0:c r="AX87" s="87" t="n">
        <ns0:v>-7.14</ns0:v>
      </ns0:c>
      <ns0:c r="AY87" s="87" t="n">
        <ns0:v>-19.64</ns0:v>
      </ns0:c>
      <ns0:c r="AZ87" s="87" t="n">
        <ns0:v>-10.73</ns0:v>
      </ns0:c>
      <ns0:c r="BA87" s="87" t="n">
        <ns0:v>-9.33</ns0:v>
      </ns0:c>
      <ns0:c r="BB87" s="74" t="inlineStr">
        <ns0:is>
          <ns0:t>China Biotech ETF (HS biotech proxy)</ns0:t>
        </ns0:is>
      </ns0:c>
      <ns0:c r="BC87" s="87" t="n">
        <ns0:v>-39.89</ns0:v>
      </ns0:c>
      <ns0:c r="BD87" s="75" t="n">
        <ns0:v>46297</ns0:v>
      </ns0:c>
      <ns0:c r="BE87" s="76" t="n">
        <ns0:v>3450.4</ns0:v>
      </ns0:c>
      <ns0:c r="BF87" s="79" t="n">
        <ns0:v>791.7</ns0:v>
      </ns0:c>
      <ns0:c r="BG87" s="74" t="inlineStr">
        <ns0:is>
          <ns0:t>Y</ns0:t>
        </ns0:is>
      </ns0:c>
      <ns0:c r="BH87" s="89" t="n">
        <ns0:v>179.1</ns0:v>
      </ns0:c>
      <ns0:c r="BI87" s="88" t="n"/>
      <ns0:c r="BJ87" s="88" t="n"/>
      <ns0:c r="BK87" s="89" t="n">
        <ns0:v>41.1</ns0:v>
      </ns0:c>
      <ns0:c r="BL87" s="90">
        <ns0:f>IFERROR(IF('BBG Verify'!S87="","Awaiting Bloomberg",'BBG Verify'!S87),"Awaiting Bloomberg")</ns0:f>
        <ns0:v/>
      </ns0:c>
      <ns0:c r="BM87" s="91" t="inlineStr">
        <ns0:is>
          <ns0:t>Y</ns0:t>
        </ns0:is>
      </ns0:c>
      <ns0:c r="BN87" s="74" t="inlineStr">
        <ns0:is>
          <ns0:t>002821.SZ</ns0:t>
        </ns0:is>
      </ns0:c>
      <ns0:c r="BO87" s="87" t="n">
        <ns0:v>50.64</ns0:v>
      </ns0:c>
      <ns0:c r="BP87" s="77" t="n">
        <ns0:v>584.465</ns0:v>
      </ns0:c>
      <ns0:c r="BQ87" s="101" t="n">
        <ns0:v>0.3249</ns0:v>
      </ns0:c>
      <ns0:c r="BR87" s="79" t="n">
        <ns0:v>79923.7</ns0:v>
      </ns0:c>
      <ns0:c r="BS87" s="90">
        <ns0:f>IFERROR(IF('BBG Verify'!Q87="","Awaiting Bloomberg",'BBG Verify'!Q87),"Awaiting Bloomberg")</ns0:f>
        <ns0:v/>
      </ns0:c>
      <ns0:c r="BT87" s="90">
        <ns0:f>IFERROR(IF('BBG Verify'!R87="","Awaiting Bloomberg",'BBG Verify'!R87),"Awaiting Bloomberg")</ns0:f>
        <ns0:v/>
      </ns0:c>
      <ns0:c r="BU87" s="91" t="inlineStr">
        <ns0:is>
          <ns0:t>Goldman Sachs (Asia) L.L.C; CLSA Capital Markets Limited</ns0:t>
        </ns0:is>
      </ns0:c>
      <ns0:c r="BV87" s="74" t="inlineStr">
        <ns0:is>
          <ns0:t>Goldman Sachs (Asia) L.L.C.; CLSA Capital Markets Limited</ns0:t>
        </ns0:is>
      </ns0:c>
      <ns0:c r="BW87" s="74" t="inlineStr">
        <ns0:is>
          <ns0:t>Goldman Sachs (Asia) L.L.C; CLSA Limited; Credit Suisse (Hong Kong) Limited; Citigroup Global Markets Asia Limited; BOCOM International Securities Limited</ns0:t>
        </ns0:is>
      </ns0:c>
      <ns0:c r="BX87" s="74" t="inlineStr">
        <ns0:is>
          <ns0:t>Beta International Securities Limited; Citigroup Global Markets Asia Limited; CLSA Limited; Credit Suisse (Hong Kong) Limited; Guotai Junan Securities (Hong Kong) Limited; Goldman Sachs (Asia) L.L.C.</ns0:t>
        </ns0:is>
      </ns0:c>
      <ns0:c r="BY87" s="93">
        <ns0:f>HYPERLINK("https://www1.hkexnews.hk/listedco/listconews/sehk/2021/1130/2021113000029.pdf","prospectus")</ns0:f>
        <ns0:v/>
      </ns0:c>
      <ns0:c r="BZ87" s="93">
        <ns0:f>HYPERLINK("https://www1.hkexnews.hk/listedco/listconews/sehk/2021/1209/2021120900056.htm","allotment")</ns0:f>
        <ns0:v/>
      </ns0:c>
      <ns0:c r="CA87" s="93">
        <ns0:f>HYPERLINK("https://www1.hkexnews.hk/listedco/listconews/sehk/2022/0102/2022010200055.pdf","stabilisation")</ns0:f>
        <ns0:v/>
      </ns0:c>
      <ns0:c r="CB87" s="94" t="n"/>
      <ns0:c r="CC87" s="74" t="inlineStr">
        <ns0:is>
          <ns0:t>A/H: H listed Dec 2021 (CDMO); cornerstone list: no cornerstone tranche; allocation: allocation table not in this notice's format (older prose announcement); day-1 tape: volume on file; the retail multiple needs the final public split, which this notice does not state</ns0:t>
        </ns0:is>
      </ns0:c>
    </ns0:row>
    <ns0:row r="88" ht="22" customHeight="1">
      <ns0:c r="A88" s="73" t="inlineStr">
        <ns0:is>
          <ns0:t>2279</ns0:t>
        </ns0:is>
      </ns0:c>
      <ns0:c r="B88" s="74" t="inlineStr">
        <ns0:is>
          <ns0:t>YONGHE MEDICAL</ns0:t>
        </ns0:is>
      </ns0:c>
      <ns0:c r="C88" s="74" t="inlineStr">
        <ns0:is>
          <ns0:t>雍禾醫療</ns0:t>
        </ns0:is>
      </ns0:c>
      <ns0:c r="D88" s="74" t="inlineStr">
        <ns0:is>
          <ns0:t>Healthcare</ns0:t>
        </ns0:is>
      </ns0:c>
      <ns0:c r="E88" s="74" t="inlineStr">
        <ns0:is>
          <ns0:t>Hospitals / clinics</ns0:t>
        </ns0:is>
      </ns0:c>
      <ns0:c r="F88" s="74" t="inlineStr">
        <ns0:is>
          <ns0:t>Health Care Services</ns0:t>
        </ns0:is>
      </ns0:c>
      <ns0:c r="G88" s="74" t="inlineStr">
        <ns0:is>
          <ns0:t>Standard</ns0:t>
        </ns0:is>
      </ns0:c>
      <ns0:c r="H88" s="75" t="n">
        <ns0:v>44543</ns0:v>
      </ns0:c>
      <ns0:c r="I88" s="76" t="n">
        <ns0:v>1491.9</ns0:v>
      </ns0:c>
      <ns0:c r="J88" s="74" t="inlineStr">
        <ns0:is>
          <ns0:t>gross (price x shares)</ns0:t>
        </ns0:is>
      </ns0:c>
      <ns0:c r="K88" s="95" t="n"/>
      <ns0:c r="L88" s="77" t="n">
        <ns0:v>15.8</ns0:v>
      </ns0:c>
      <ns0:c r="M88" s="77" t="n">
        <ns0:v>15.8</ns0:v>
      </ns0:c>
      <ns0:c r="N88" s="74" t="inlineStr">
        <ns0:is>
          <ns0:t>Y</ns0:t>
        </ns0:is>
      </ns0:c>
      <ns0:c r="O88" s="78" t="n">
        <ns0:v>100</ns0:v>
      </ns0:c>
      <ns0:c r="P88" s="84" t="n"/>
      <ns0:c r="Q88" s="79" t="n">
        <ns0:v>8215.299999999999</ns0:v>
      </ns0:c>
      <ns0:c r="R88" s="74" t="inlineStr">
        <ns0:is>
          <ns0:t>prospectus:stated market capitalisation</ns0:t>
        </ns0:is>
      </ns0:c>
      <ns0:c r="S88" s="80" t="n">
        <ns0:v>160.06</ns0:v>
      </ns0:c>
      <ns0:c r="T88" s="81" t="n">
        <ns0:v>8.390000000000001</ns0:v>
      </ns0:c>
      <ns0:c r="U88" s="82" t="n">
        <ns0:v>50</ns0:v>
      </ns0:c>
      <ns0:c r="V88" s="83" t="n">
        <ns0:v>25</ns0:v>
      </ns0:c>
      <ns0:c r="W88" s="78" t="n">
        <ns0:v>50</ns0:v>
      </ns0:c>
      <ns0:c r="X88" s="74" t="inlineStr">
        <ns0:is>
          <ns0:t>YES</ns0:t>
        </ns0:is>
      </ns0:c>
      <ns0:c r="Y88" s="79" t="n">
        <ns0:v>745.95</ns0:v>
      </ns0:c>
      <ns0:c r="Z88" s="79" t="n">
        <ns0:v>47212000</ns0:v>
      </ns0:c>
      <ns0:c r="AA88" s="78" t="n">
        <ns0:v>9.08</ns0:v>
      </ns0:c>
      <ns0:c r="AB88" s="74" t="inlineStr">
        <ns0:is>
          <ns0: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ns0:t>
        </ns0:is>
      </ns0:c>
      <ns0:c r="AC88" s="74" t="inlineStr">
        <ns0:is>
          <ns0:t>athos;enreal;hudson;ivyrock;lake;lav;ncc;wt;yi;york</ns0:t>
        </ns0:is>
      </ns0:c>
      <ns0:c r="AD88" s="78" t="n">
        <ns0:v>9.199999999999999</ns0:v>
      </ns0:c>
      <ns0:c r="AE88" s="74" t="inlineStr">
        <ns0:is>
          <ns0:t>partial</ns0:t>
        </ns0:is>
      </ns0:c>
      <ns0:c r="AF88" s="74" t="inlineStr">
        <ns0:is>
          <ns0:t>2022-01-05</ns0:t>
        </ns0:is>
      </ns0:c>
      <ns0:c r="AG88" s="74" t="inlineStr">
        <ns0:is>
          <ns0:t>Morgan Stanley Asia Limited</ns0:t>
        </ns0:is>
      </ns0:c>
      <ns0:c r="AH88" s="74" t="inlineStr">
        <ns0:is>
          <ns0:t>Morgan Stanley</ns0:t>
        </ns0:is>
      </ns0:c>
      <ns0:c r="AI88" s="86" t="n">
        <ns0:v>-3.54</ns0:v>
      </ns0:c>
      <ns0:c r="AJ88" s="87" t="n">
        <ns0:v>5.06</ns0:v>
      </ns0:c>
      <ns0:c r="AK88" s="87" t="n">
        <ns0:v>-1.9</ns0:v>
      </ns0:c>
      <ns0:c r="AL88" s="87" t="n">
        <ns0:v>-0.25</ns0:v>
      </ns0:c>
      <ns0:c r="AM88" s="87" t="n">
        <ns0:v>5.32</ns0:v>
      </ns0:c>
      <ns0:c r="AN88" s="89" t="n">
        <ns0:v>1.3</ns0:v>
      </ns0:c>
      <ns0:c r="AO88" s="78" t="n">
        <ns0:v>17.26</ns0:v>
      </ns0:c>
      <ns0:c r="AP88" s="87" t="n">
        <ns0:v>1.14</ns0:v>
      </ns0:c>
      <ns0:c r="AQ88" s="87" t="n">
        <ns0:v>-17.34</ns0:v>
      </ns0:c>
      <ns0:c r="AR88" s="87" t="n">
        <ns0:v>-38.1</ns0:v>
      </ns0:c>
      <ns0:c r="AS88" s="87" t="n">
        <ns0:v>-3.73</ns0:v>
      </ns0:c>
      <ns0:c r="AT88" s="87" t="n">
        <ns0:v>-21.32</ns0:v>
      </ns0:c>
      <ns0:c r="AU88" s="87" t="n">
        <ns0:v>-41.08</ns0:v>
      </ns0:c>
      <ns0:c r="AV88" s="87" t="n">
        <ns0:v>8.140000000000001</ns0:v>
      </ns0:c>
      <ns0:c r="AW88" s="87" t="n">
        <ns0:v>-9.119999999999999</ns0:v>
      </ns0:c>
      <ns0:c r="AX88" s="87" t="n">
        <ns0:v>-6.64</ns0:v>
      </ns0:c>
      <ns0:c r="AY88" s="87" t="n">
        <ns0:v>-14.87</ns0:v>
      </ns0:c>
      <ns0:c r="AZ88" s="87" t="n">
        <ns0:v>-8.220000000000001</ns0:v>
      </ns0:c>
      <ns0:c r="BA88" s="87" t="n">
        <ns0:v>-6.45</ns0:v>
      </ns0:c>
      <ns0:c r="BB88" s="74" t="inlineStr">
        <ns0:is>
          <ns0:t>China Biotech ETF (HS biotech proxy)</ns0:t>
        </ns0:is>
      </ns0:c>
      <ns0:c r="BC88" s="87" t="n">
        <ns0:v>-87.28</ns0:v>
      </ns0:c>
      <ns0:c r="BD88" s="75" t="n">
        <ns0:v>46297</ns0:v>
      </ns0:c>
      <ns0:c r="BE88" s="76" t="n">
        <ns0:v>1801.8</ns0:v>
      </ns0:c>
      <ns0:c r="BF88" s="79" t="n">
        <ns0:v>179.3</ns0:v>
      </ns0:c>
      <ns0:c r="BG88" s="74" t="inlineStr">
        <ns0:is>
          <ns0:t>Y</ns0:t>
        </ns0:is>
      </ns0:c>
      <ns0:c r="BH88" s="89" t="n">
        <ns0:v>45.8</ns0:v>
      </ns0:c>
      <ns0:c r="BI88" s="88" t="n"/>
      <ns0:c r="BJ88" s="89" t="n">
        <ns0:v>14.9</ns0:v>
      </ns0:c>
      <ns0:c r="BK88" s="89" t="n">
        <ns0:v>4.6</ns0:v>
      </ns0:c>
      <ns0:c r="BL88" s="90">
        <ns0:f>IFERROR(IF('BBG Verify'!S88="","Awaiting Bloomberg",'BBG Verify'!S88),"Awaiting Bloomberg")</ns0:f>
        <ns0:v/>
      </ns0:c>
      <ns0:c r="BM88" s="91" t="inlineStr">
        <ns0:is>
          <ns0:t>N</ns0:t>
        </ns0:is>
      </ns0:c>
      <ns0:c r="BN88" s="92">
        <ns0:f>IFERROR(IF('BBG Verify'!K88="","Awaiting Bloomberg",'BBG Verify'!K88),"Awaiting Bloomberg")</ns0:f>
        <ns0:v/>
      </ns0:c>
      <ns0:c r="BO88" s="74" t="inlineStr">
        <ns0:is>
          <ns0:t>N/A</ns0:t>
        </ns0:is>
      </ns0:c>
      <ns0:c r="BP88" s="74" t="inlineStr">
        <ns0:is>
          <ns0:t>N/A</ns0:t>
        </ns0:is>
      </ns0:c>
      <ns0:c r="BQ88" s="74" t="inlineStr">
        <ns0:is>
          <ns0:t>N/A</ns0:t>
        </ns0:is>
      </ns0:c>
      <ns0:c r="BR88" s="74" t="inlineStr">
        <ns0:is>
          <ns0:t>N/A</ns0:t>
        </ns0:is>
      </ns0:c>
      <ns0:c r="BS88" s="74" t="inlineStr">
        <ns0:is>
          <ns0:t>N/A</ns0:t>
        </ns0:is>
      </ns0:c>
      <ns0:c r="BT88" s="74" t="inlineStr">
        <ns0:is>
          <ns0:t>N/A</ns0:t>
        </ns0:is>
      </ns0:c>
      <ns0:c r="BU88" s="91" t="inlineStr">
        <ns0:is>
          <ns0:t>Morgan Stanley Asia Limited; China International Capital Corporation Hong Kong Securities Limited</ns0:t>
        </ns0:is>
      </ns0:c>
      <ns0:c r="BV88" s="74" t="inlineStr">
        <ns0:is>
          <ns0:t>China International Capital Corporation Hong Kong Securities Limited; Morgan Stanley Asia Limited</ns0:t>
        </ns0:is>
      </ns0:c>
      <ns0:c r="BW88" s="74" t="inlineStr">
        <ns0:is>
          <ns0:t>Morgan Stanley Asia Limited; China International Capital Corporation Hong Kong Securities Limited; Morgan Stanley &amp; Co. International plc</ns0:t>
        </ns0:is>
      </ns0:c>
      <ns0:c r="BX88" s="74" t="inlineStr">
        <ns0:is>
          <ns0:t>China International Capital Corporation Hong Kong Securities Limited; Morgan Stanley Asia Limited</ns0:t>
        </ns0:is>
      </ns0:c>
      <ns0:c r="BY88" s="93">
        <ns0:f>HYPERLINK("https://www1.hkexnews.hk/listedco/listconews/sehk/2021/1201/2021120100031.pdf","prospectus")</ns0:f>
        <ns0:v/>
      </ns0:c>
      <ns0:c r="BZ88" s="93">
        <ns0:f>HYPERLINK("https://www1.hkexnews.hk/listedco/listconews/sehk/2021/1210/2021121000062.htm","allotment")</ns0:f>
        <ns0:v/>
      </ns0:c>
      <ns0:c r="CA88" s="93">
        <ns0:f>HYPERLINK("https://www1.hkexnews.hk/listedco/listconews/sehk/2022/0105/2022010502109.pdf","stabilisation")</ns0:f>
        <ns0:v/>
      </ns0:c>
      <ns0:c r="CB88" s="94" t="n"/>
      <ns0:c r="CC88" s="74" t="inlineStr">
        <ns0:is>
          <ns0:t>range low: maximum offer price only, no floor published</ns0:t>
        </ns0:is>
      </ns0:c>
    </ns0:row>
    <ns0:row r="89" ht="22" customHeight="1">
      <ns0:c r="A89" s="73" t="inlineStr">
        <ns0:is>
          <ns0:t>9699</ns0:t>
        </ns0:is>
      </ns0:c>
      <ns0:c r="B89" s="74" t="inlineStr">
        <ns0:is>
          <ns0:t>SF INTRA-CITY</ns0:t>
        </ns0:is>
      </ns0:c>
      <ns0:c r="C89" s="74" t="inlineStr">
        <ns0:is>
          <ns0:t>順豐同城</ns0:t>
        </ns0:is>
      </ns0:c>
      <ns0:c r="D89" s="74" t="inlineStr">
        <ns0:is>
          <ns0:t>Industrials</ns0:t>
        </ns0:is>
      </ns0:c>
      <ns0:c r="E89" s="74" t="inlineStr">
        <ns0:is>
          <ns0:t>Logistics</ns0:t>
        </ns0:is>
      </ns0:c>
      <ns0:c r="F89" s="74" t="inlineStr">
        <ns0:is>
          <ns0:t>Air Freight &amp; Logistics</ns0:t>
        </ns0:is>
      </ns0:c>
      <ns0:c r="G89" s="74" t="inlineStr">
        <ns0:is>
          <ns0:t>Standard</ns0:t>
        </ns0:is>
      </ns0:c>
      <ns0:c r="H89" s="75" t="n">
        <ns0:v>44544</ns0:v>
      </ns0:c>
      <ns0:c r="I89" s="76" t="n">
        <ns0:v>2154</ns0:v>
      </ns0:c>
      <ns0:c r="J89" s="74" t="inlineStr">
        <ns0:is>
          <ns0:t>gross (price x shares)</ns0:t>
        </ns0:is>
      </ns0:c>
      <ns0:c r="K89" s="77" t="n">
        <ns0:v>16.42</ns0:v>
      </ns0:c>
      <ns0:c r="L89" s="77" t="n">
        <ns0:v>17.96</ns0:v>
      </ns0:c>
      <ns0:c r="M89" s="77" t="n">
        <ns0:v>16.42</ns0:v>
      </ns0:c>
      <ns0:c r="N89" s="74" t="inlineStr">
        <ns0:is>
          <ns0:t>N</ns0:t>
        </ns0:is>
      </ns0:c>
      <ns0:c r="O89" s="78" t="n">
        <ns0:v>91.40000000000001</ns0:v>
      </ns0:c>
      <ns0:c r="P89" s="78" t="n">
        <ns0:v>0</ns0:v>
      </ns0:c>
      <ns0:c r="Q89" s="79" t="n">
        <ns0:v>14013.1</ns0:v>
      </ns0:c>
      <ns0:c r="R89" s="74" t="inlineStr">
        <ns0:is>
          <ns0:t>prospectus:stated market capitalisation, rescaled to the offer price</ns0:t>
        </ns0:is>
      </ns0:c>
      <ns0:c r="S89" s="80" t="n">
        <ns0:v>2.93</ns0:v>
      </ns0:c>
      <ns0:c r="T89" s="81" t="n">
        <ns0:v>2.41</ns0:v>
      </ns0:c>
      <ns0:c r="U89" s="82" t="n">
        <ns0:v>43.9</ns0:v>
      </ns0:c>
      <ns0:c r="V89" s="83" t="n">
        <ns0:v>24</ns0:v>
      </ns0:c>
      <ns0:c r="W89" s="84" t="n"/>
      <ns0:c r="X89" s="85" t="n"/>
      <ns0:c r="Y89" s="79" t="n">
        <ns0:v>1208.39</ns0:v>
      </ns0:c>
      <ns0:c r="Z89" s="79" t="n">
        <ns0:v>73592429</ns0:v>
      </ns0:c>
      <ns0:c r="AA89" s="78" t="n">
        <ns0:v>8.619999999999999</ns0:v>
      </ns0:c>
      <ns0:c r="AB89" s="74" t="inlineStr">
        <ns0:is>
          <ns0:t>Hello Inc; Taobao China Holding Limited</ns0:t>
        </ns0:is>
      </ns0:c>
      <ns0:c r="AC89" s="74" t="inlineStr">
        <ns0:is>
          <ns0:t>hello;taobao</ns0:t>
        </ns0:is>
      </ns0:c>
      <ns0:c r="AD89" s="78" t="n">
        <ns0:v>5.6</ns0:v>
      </ns0:c>
      <ns0:c r="AE89" s="74" t="inlineStr">
        <ns0:is>
          <ns0:t>lapsed</ns0:t>
        </ns0:is>
      </ns0:c>
      <ns0:c r="AF89" s="85" t="n"/>
      <ns0:c r="AG89" s="74" t="inlineStr">
        <ns0:is>
          <ns0:t>China International Capital Corporation Hong Kong Securities Limited</ns0:t>
        </ns0:is>
      </ns0:c>
      <ns0:c r="AH89" s="74" t="inlineStr">
        <ns0:is>
          <ns0:t>China International</ns0:t>
        </ns0:is>
      </ns0:c>
      <ns0:c r="AI89" s="86" t="n">
        <ns0:v>-2.31</ns0:v>
      </ns0:c>
      <ns0:c r="AJ89" s="87" t="n">
        <ns0:v>-9.26</ns0:v>
      </ns0:c>
      <ns0:c r="AK89" s="87" t="n">
        <ns0:v>-1.28</ns0:v>
      </ns0:c>
      <ns0:c r="AL89" s="87" t="n">
        <ns0:v>-7.43</ns0:v>
      </ns0:c>
      <ns0:c r="AM89" s="87" t="n">
        <ns0:v>-1.98</ns0:v>
      </ns0:c>
      <ns0:c r="AN89" s="88" t="n"/>
      <ns0:c r="AO89" s="78" t="n">
        <ns0:v>10.79</ns0:v>
      </ns0:c>
      <ns0:c r="AP89" s="87" t="n">
        <ns0:v>-6.94</ns0:v>
      </ns0:c>
      <ns0:c r="AQ89" s="87" t="n">
        <ns0:v>-19.85</ns0:v>
      </ns0:c>
      <ns0:c r="AR89" s="87" t="n">
        <ns0:v>-52.01</ns0:v>
      </ns0:c>
      <ns0:c r="AS89" s="87" t="n">
        <ns0:v>2.56</ns0:v>
      </ns0:c>
      <ns0:c r="AT89" s="87" t="n">
        <ns0:v>-11.67</ns0:v>
      </ns0:c>
      <ns0:c r="AU89" s="87" t="n">
        <ns0:v>-47.11</ns0:v>
      </ns0:c>
      <ns0:c r="AV89" s="87" t="n">
        <ns0:v>-0.86</ns0:v>
      </ns0:c>
      <ns0:c r="AW89" s="87" t="n">
        <ns0:v>-18.45</ns0:v>
      </ns0:c>
      <ns0:c r="AX89" s="87" t="n">
        <ns0:v>-32.97</ns0:v>
      </ns0:c>
      <ns0:c r="AY89" s="87" t="n">
        <ns0:v>-11.54</ns0:v>
      </ns0:c>
      <ns0:c r="AZ89" s="87" t="n">
        <ns0:v>-1.4</ns0:v>
      </ns0:c>
      <ns0:c r="BA89" s="87" t="n">
        <ns0:v>-0.13</ns0:v>
      </ns0:c>
      <ns0:c r="BB89" s="74" t="inlineStr">
        <ns0:is>
          <ns0:t>Hang Seng Commerce &amp; Industry sub-index</ns0:t>
        </ns0:is>
      </ns0:c>
      <ns0:c r="BC89" s="87" t="n">
        <ns0:v>-48.81</ns0:v>
      </ns0:c>
      <ns0:c r="BD89" s="75" t="n">
        <ns0:v>46297</ns0:v>
      </ns0:c>
      <ns0:c r="BE89" s="76" t="n">
        <ns0:v>5327.7</ns0:v>
      </ns0:c>
      <ns0:c r="BF89" s="79" t="n">
        <ns0:v>-833.4</ns0:v>
      </ns0:c>
      <ns0:c r="BG89" s="74" t="inlineStr">
        <ns0:is>
          <ns0:t>N</ns0:t>
        </ns0:is>
      </ns0:c>
      <ns0:c r="BH89" s="74" t="inlineStr">
        <ns0:is>
          <ns0:t>n/m</ns0:t>
        </ns0:is>
      </ns0:c>
      <ns0:c r="BI89" s="88" t="n"/>
      <ns0:c r="BJ89" s="89" t="n">
        <ns0:v>22.6</ns0:v>
      </ns0:c>
      <ns0:c r="BK89" s="89" t="n">
        <ns0:v>2.6</ns0:v>
      </ns0:c>
      <ns0:c r="BL89" s="90">
        <ns0:f>IFERROR(IF('BBG Verify'!S89="","Awaiting Bloomberg",'BBG Verify'!S89),"Awaiting Bloomberg")</ns0:f>
        <ns0:v/>
      </ns0:c>
      <ns0:c r="BM89" s="91" t="inlineStr">
        <ns0:is>
          <ns0:t>N</ns0:t>
        </ns0:is>
      </ns0:c>
      <ns0:c r="BN89" s="92">
        <ns0:f>IFERROR(IF('BBG Verify'!K89="","Awaiting Bloomberg",'BBG Verify'!K89),"Awaiting Bloomberg")</ns0:f>
        <ns0:v/>
      </ns0:c>
      <ns0:c r="BO89" s="74" t="inlineStr">
        <ns0:is>
          <ns0:t>N/A</ns0:t>
        </ns0:is>
      </ns0:c>
      <ns0:c r="BP89" s="74" t="inlineStr">
        <ns0:is>
          <ns0:t>N/A</ns0:t>
        </ns0:is>
      </ns0:c>
      <ns0:c r="BQ89" s="74" t="inlineStr">
        <ns0:is>
          <ns0:t>N/A</ns0:t>
        </ns0:is>
      </ns0:c>
      <ns0:c r="BR89" s="74" t="inlineStr">
        <ns0:is>
          <ns0:t>N/A</ns0:t>
        </ns0:is>
      </ns0:c>
      <ns0:c r="BS89" s="74" t="inlineStr">
        <ns0:is>
          <ns0:t>N/A</ns0:t>
        </ns0:is>
      </ns0:c>
      <ns0:c r="BT89" s="74" t="inlineStr">
        <ns0:is>
          <ns0:t>N/A</ns0:t>
        </ns0:is>
      </ns0:c>
      <ns0:c r="BU89" s="91" t="inlineStr">
        <ns0:is>
          <ns0:t>China International Capital Corporation Hong Kong Securities Limited; Merrill Lynch (Asia Pacific) Limited</ns0:t>
        </ns0:is>
      </ns0:c>
      <ns0:c r="BV89" s="74" t="inlineStr">
        <ns0:is>
          <ns0:t>China International Capital Corporation Hong Kong Securities Limited; Merrill Lynch (Asia Pacific) Limited</ns0:t>
        </ns0:is>
      </ns0:c>
      <ns0:c r="BW89" s="74" t="inlineStr">
        <ns0:is>
          <ns0:t>China International Capital Corporation Hong Kong Securities Limited; Merrill Lynch (Asia Pacific) Limited; Credit Suisse (Hong Kong) Limited; Huatai Financial Holdings (Hong Kong) Limited; CLSA Limited; CMB International Capital Limited; ABCI Capital Limited; Futu Securities International (Hong Kong) Limited</ns0:t>
        </ns0:is>
      </ns0:c>
      <ns0:c r="BX89" s="74" t="inlineStr">
        <ns0:is>
          <ns0: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ns0:t>
        </ns0:is>
      </ns0:c>
      <ns0:c r="BY89" s="93">
        <ns0:f>HYPERLINK("https://www1.hkexnews.hk/listedco/listconews/sehk/2021/1130/2021113000021.pdf","prospectus")</ns0:f>
        <ns0:v/>
      </ns0:c>
      <ns0:c r="BZ89" s="93">
        <ns0:f>HYPERLINK("https://www1.hkexnews.hk/listedco/listconews/sehk/2021/1213/2021121300010.htm","allotment")</ns0:f>
        <ns0:v/>
      </ns0:c>
      <ns0:c r="CA89" s="93">
        <ns0:f>HYPERLINK("https://www1.hkexnews.hk/listedco/listconews/sehk/2022/0106/2022010601365.pdf","stabilisation")</ns0:f>
        <ns0:v/>
      </ns0:c>
      <ns0:c r="CB89" s="94" t="n"/>
      <ns0:c r="CC89" s="74" t="inlineStr">
        <ns0:is>
          <ns0:t>P/E: loss-making at IPO, use P/S; greenshoe: outcome published; expiry date not in the notice; market cap: prospectus cap HK$15,327m at HK$17.96, rescaled to HK$16.42; allocation: allocation table not in this notice's format (older prose announcement); day-1 tape: volume on file; the retail multiple needs the final public split, which this notice does not state</ns0:t>
        </ns0:is>
      </ns0:c>
    </ns0:row>
    <ns0:row r="90" ht="22" customHeight="1">
      <ns0:c r="A90" s="73" t="inlineStr">
        <ns0:is>
          <ns0:t>2276</ns0:t>
        </ns0:is>
      </ns0:c>
      <ns0:c r="B90" s="74" t="inlineStr">
        <ns0:is>
          <ns0:t>CONANT OPTICAL</ns0:t>
        </ns0:is>
      </ns0:c>
      <ns0:c r="C90" s="74" t="inlineStr">
        <ns0:is>
          <ns0:t>康耐特光學</ns0:t>
        </ns0:is>
      </ns0:c>
      <ns0:c r="D90" s="74" t="inlineStr">
        <ns0:is>
          <ns0:t>Healthcare</ns0:t>
        </ns0:is>
      </ns0:c>
      <ns0:c r="E90" s="74" t="inlineStr">
        <ns0:is>
          <ns0:t>Medical devices</ns0:t>
        </ns0:is>
      </ns0:c>
      <ns0:c r="F90" s="74" t="inlineStr">
        <ns0:is>
          <ns0:t>Optical Products</ns0:t>
        </ns0:is>
      </ns0:c>
      <ns0:c r="G90" s="74" t="inlineStr">
        <ns0:is>
          <ns0:t>Standard</ns0:t>
        </ns0:is>
      </ns0:c>
      <ns0:c r="H90" s="75" t="n">
        <ns0:v>44546</ns0:v>
      </ns0:c>
      <ns0:c r="I90" s="76" t="n">
        <ns0:v>542.3</ns0:v>
      </ns0:c>
      <ns0:c r="J90" s="74" t="inlineStr">
        <ns0:is>
          <ns0:t>gross (price x shares)</ns0:t>
        </ns0:is>
      </ns0:c>
      <ns0:c r="K90" s="77" t="n">
        <ns0:v>4.46</ns0:v>
      </ns0:c>
      <ns0:c r="L90" s="77" t="n">
        <ns0:v>6.1</ns0:v>
      </ns0:c>
      <ns0:c r="M90" s="77" t="n">
        <ns0:v>4.46</ns0:v>
      </ns0:c>
      <ns0:c r="N90" s="74" t="inlineStr">
        <ns0:is>
          <ns0:t>N</ns0:t>
        </ns0:is>
      </ns0:c>
      <ns0:c r="O90" s="78" t="n">
        <ns0:v>73.09999999999999</ns0:v>
      </ns0:c>
      <ns0:c r="P90" s="78" t="n">
        <ns0:v>0</ns0:v>
      </ns0:c>
      <ns0:c r="Q90" s="79" t="n">
        <ns0:v>1902.6</ns0:v>
      </ns0:c>
      <ns0:c r="R90" s="74" t="inlineStr">
        <ns0:is>
          <ns0:t>prospectus:stated market capitalisation</ns0:t>
        </ns0:is>
      </ns0:c>
      <ns0:c r="S90" s="80" t="n">
        <ns0:v>1.78</ns0:v>
      </ns0:c>
      <ns0:c r="T90" s="81" t="n">
        <ns0:v>1.12</ns0:v>
      </ns0:c>
      <ns0:c r="U90" s="82" t="n">
        <ns0:v>0</ns0:v>
      </ns0:c>
      <ns0:c r="V90" s="83" t="n">
        <ns0:v>113</ns0:v>
      </ns0:c>
      <ns0:c r="W90" s="84" t="n"/>
      <ns0:c r="X90" s="85" t="n"/>
      <ns0:c r="Y90" s="79" t="n">
        <ns0:v>542.3</ns0:v>
      </ns0:c>
      <ns0:c r="Z90" s="79" t="n">
        <ns0:v>121600000</ns0:v>
      </ns0:c>
      <ns0:c r="AA90" s="78" t="n">
        <ns0:v>28.5</ns0:v>
      </ns0:c>
      <ns0:c r="AB90" s="74" t="inlineStr">
        <ns0:is>
          <ns0:t>none — no cornerstone tranche</ns0:t>
        </ns0:is>
      </ns0:c>
      <ns0:c r="AC90" s="74" t="inlineStr">
        <ns0:is>
          <ns0:t>none</ns0:t>
        </ns0:is>
      </ns0:c>
      <ns0:c r="AD90" s="78" t="n">
        <ns0:v>15</ns0:v>
      </ns0:c>
      <ns0:c r="AE90" s="74" t="inlineStr">
        <ns0:is>
          <ns0:t>lapsed (no over-allocation)</ns0:t>
        </ns0:is>
      </ns0:c>
      <ns0:c r="AF90" s="74" t="inlineStr">
        <ns0:is>
          <ns0:t>2022-01-08</ns0:t>
        </ns0:is>
      </ns0:c>
      <ns0:c r="AG90" s="74" t="inlineStr">
        <ns0:is>
          <ns0:t>Guotai Junan Securities</ns0:t>
        </ns0:is>
      </ns0:c>
      <ns0:c r="AH90" s="74" t="inlineStr">
        <ns0:is>
          <ns0:t>Guotai Junan</ns0:t>
        </ns0:is>
      </ns0:c>
      <ns0:c r="AI90" s="86" t="n">
        <ns0:v>0.45</ns0:v>
      </ns0:c>
      <ns0:c r="AJ90" s="87" t="n">
        <ns0:v>2.02</ns0:v>
      </ns0:c>
      <ns0:c r="AK90" s="87" t="n">
        <ns0:v>3.05</ns0:v>
      </ns0:c>
      <ns0:c r="AL90" s="87" t="n">
        <ns0:v>-0.67</ns0:v>
      </ns0:c>
      <ns0:c r="AM90" s="87" t="n">
        <ns0:v>2.71</ns0:v>
      </ns0:c>
      <ns0:c r="AN90" s="88" t="n"/>
      <ns0:c r="AO90" s="78" t="n">
        <ns0:v>10.84</ns0:v>
      </ns0:c>
      <ns0:c r="AP90" s="87" t="n">
        <ns0:v>0.45</ns0:v>
      </ns0:c>
      <ns0:c r="AQ90" s="87" t="n">
        <ns0:v>-2.69</ns0:v>
      </ns0:c>
      <ns0:c r="AR90" s="87" t="n">
        <ns0:v>4.48</ns0:v>
      </ns0:c>
      <ns0:c r="AS90" s="87" t="n">
        <ns0:v>-1.54</ns0:v>
      </ns0:c>
      <ns0:c r="AT90" s="87" t="n">
        <ns0:v>-4.62</ns0:v>
      </ns0:c>
      <ns0:c r="AU90" s="87" t="n">
        <ns0:v>2.41</ns0:v>
      </ns0:c>
      <ns0:c r="AV90" s="87" t="n">
        <ns0:v>1.2</ns0:v>
      </ns0:c>
      <ns0:c r="AW90" s="87" t="n">
        <ns0:v>0.59</ns0:v>
      </ns0:c>
      <ns0:c r="AX90" s="87" t="n">
        <ns0:v>24.37</ns0:v>
      </ns0:c>
      <ns0:c r="AY90" s="87" t="n">
        <ns0:v>1.52</ns0:v>
      </ns0:c>
      <ns0:c r="AZ90" s="87" t="n">
        <ns0:v>-3.28</ns0:v>
      </ns0:c>
      <ns0:c r="BA90" s="87" t="n">
        <ns0:v>-6.14</ns0:v>
      </ns0:c>
      <ns0:c r="BB90" s="74" t="inlineStr">
        <ns0:is>
          <ns0:t>China Biotech ETF (HS biotech proxy)</ns0:t>
        </ns0:is>
      </ns0:c>
      <ns0:c r="BC90" s="87" t="n">
        <ns0:v>699.1</ns0:v>
      </ns0:c>
      <ns0:c r="BD90" s="75" t="n">
        <ns0:v>46297</ns0:v>
      </ns0:c>
      <ns0:c r="BE90" s="76" t="n">
        <ns0:v>13.5</ns0:v>
      </ns0:c>
      <ns0:c r="BF90" s="79" t="n">
        <ns0:v>-1.6</ns0:v>
      </ns0:c>
      <ns0:c r="BG90" s="74" t="inlineStr">
        <ns0:is>
          <ns0:t>N</ns0:t>
        </ns0:is>
      </ns0:c>
      <ns0:c r="BH90" s="74" t="inlineStr">
        <ns0:is>
          <ns0:t>n/m</ns0:t>
        </ns0:is>
      </ns0:c>
      <ns0:c r="BI90" s="88" t="n"/>
      <ns0:c r="BJ90" s="89" t="n">
        <ns0:v>28.3</ns0:v>
      </ns0:c>
      <ns0:c r="BK90" s="89" t="n">
        <ns0:v>140.9</ns0:v>
      </ns0:c>
      <ns0:c r="BL90" s="90">
        <ns0:f>IFERROR(IF('BBG Verify'!S90="","Awaiting Bloomberg",'BBG Verify'!S90),"Awaiting Bloomberg")</ns0:f>
        <ns0:v/>
      </ns0:c>
      <ns0:c r="BM90" s="91" t="inlineStr">
        <ns0:is>
          <ns0:t>N</ns0:t>
        </ns0:is>
      </ns0:c>
      <ns0:c r="BN90" s="92">
        <ns0:f>IFERROR(IF('BBG Verify'!K90="","Awaiting Bloomberg",'BBG Verify'!K90),"Awaiting Bloomberg")</ns0:f>
        <ns0:v/>
      </ns0:c>
      <ns0:c r="BO90" s="74" t="inlineStr">
        <ns0:is>
          <ns0:t>N/A</ns0:t>
        </ns0:is>
      </ns0:c>
      <ns0:c r="BP90" s="74" t="inlineStr">
        <ns0:is>
          <ns0:t>N/A</ns0:t>
        </ns0:is>
      </ns0:c>
      <ns0:c r="BQ90" s="74" t="inlineStr">
        <ns0:is>
          <ns0:t>N/A</ns0:t>
        </ns0:is>
      </ns0:c>
      <ns0:c r="BR90" s="74" t="inlineStr">
        <ns0:is>
          <ns0:t>N/A</ns0:t>
        </ns0:is>
      </ns0:c>
      <ns0:c r="BS90" s="74" t="inlineStr">
        <ns0:is>
          <ns0:t>N/A</ns0:t>
        </ns0:is>
      </ns0:c>
      <ns0:c r="BT90" s="74" t="inlineStr">
        <ns0:is>
          <ns0:t>N/A</ns0:t>
        </ns0:is>
      </ns0:c>
      <ns0:c r="BU90" s="91" t="inlineStr">
        <ns0:is>
          <ns0:t>Guotai Junan Capital Limited</ns0:t>
        </ns0:is>
      </ns0:c>
      <ns0:c r="BV90" s="74" t="inlineStr">
        <ns0:is>
          <ns0:t>Guotai Junan Capital Limited</ns0:t>
        </ns0:is>
      </ns0:c>
      <ns0:c r="BW90" s="74" t="inlineStr">
        <ns0:is>
          <ns0:t>Guotai Junan Securities (Hong Kong) Limited</ns0:t>
        </ns0:is>
      </ns0:c>
      <ns0:c r="BX90" s="74" t="inlineStr">
        <ns0:is>
          <ns0:t>Ever-Long Securities Company Limited; Guotai Junan Securities (Hong Kong) Limited; HTF Securities Limited; Merdeka Securities Limited</ns0:t>
        </ns0:is>
      </ns0:c>
      <ns0:c r="BY90" s="93">
        <ns0:f>HYPERLINK("https://www1.hkexnews.hk/listedco/listconews/sehk/2021/1130/2021113000017.pdf","prospectus")</ns0:f>
        <ns0:v/>
      </ns0:c>
      <ns0:c r="BZ90" s="93">
        <ns0:f>HYPERLINK("https://www1.hkexnews.hk/listedco/listconews/sehk/2021/1215/2021121500014.htm","allotment")</ns0:f>
        <ns0:v/>
      </ns0:c>
      <ns0:c r="CA90" s="93">
        <ns0:f>HYPERLINK("https://www1.hkexnews.hk/listedco/listconews/sehk/2022/0109/2022010900013.pdf","stabilisation")</ns0:f>
        <ns0:v/>
      </ns0:c>
      <ns0:c r="CB90" s="94" t="n"/>
      <ns0:c r="CC90" s="74" t="inlineStr">
        <ns0:is>
          <ns0:t>P/E: loss-making at IPO, use P/S; cornerstone list: no cornerstone tranche; allocation: allocation table not in this notice's format (older prose announcement); day-1 tape: volume on file; the retail multiple needs the final public split, which this notice does not state</ns0:t>
        </ns0:is>
      </ns0:c>
    </ns0:row>
    <ns0:row r="91" ht="22" customHeight="1">
      <ns0:c r="A91" s="73" t="inlineStr">
        <ns0:is>
          <ns0:t>6633</ns0:t>
        </ns0:is>
      </ns0:c>
      <ns0:c r="B91" s="74" t="inlineStr">
        <ns0:is>
          <ns0:t>QINGCI GAMES</ns0:t>
        </ns0:is>
      </ns0:c>
      <ns0:c r="C91" s="74" t="inlineStr">
        <ns0:is>
          <ns0:t>青瓷遊戲</ns0:t>
        </ns0:is>
      </ns0:c>
      <ns0:c r="D91" s="74" t="inlineStr">
        <ns0:is>
          <ns0:t>Media &amp; telecom</ns0:t>
        </ns0:is>
      </ns0:c>
      <ns0:c r="E91" s="74" t="inlineStr">
        <ns0:is>
          <ns0:t>Media / advertising</ns0:t>
        </ns0:is>
      </ns0:c>
      <ns0:c r="F91" s="74" t="inlineStr">
        <ns0:is>
          <ns0:t>Gaming Software</ns0:t>
        </ns0:is>
      </ns0:c>
      <ns0:c r="G91" s="74" t="inlineStr">
        <ns0:is>
          <ns0:t>Standard</ns0:t>
        </ns0:is>
      </ns0:c>
      <ns0:c r="H91" s="75" t="n">
        <ns0:v>44546</ns0:v>
      </ns0:c>
      <ns0:c r="I91" s="76" t="n">
        <ns0:v>952</ns0:v>
      </ns0:c>
      <ns0:c r="J91" s="74" t="inlineStr">
        <ns0:is>
          <ns0:t>gross (price x shares)</ns0:t>
        </ns0:is>
      </ns0:c>
      <ns0:c r="K91" s="77" t="n">
        <ns0:v>11.2</ns0:v>
      </ns0:c>
      <ns0:c r="L91" s="77" t="n">
        <ns0:v>14</ns0:v>
      </ns0:c>
      <ns0:c r="M91" s="77" t="n">
        <ns0:v>11.2</ns0:v>
      </ns0:c>
      <ns0:c r="N91" s="74" t="inlineStr">
        <ns0:is>
          <ns0:t>N</ns0:t>
        </ns0:is>
      </ns0:c>
      <ns0:c r="O91" s="78" t="n">
        <ns0:v>80</ns0:v>
      </ns0:c>
      <ns0:c r="P91" s="78" t="n">
        <ns0:v>0</ns0:v>
      </ns0:c>
      <ns0:c r="Q91" s="79" t="n">
        <ns0:v>7672</ns0:v>
      </ns0:c>
      <ns0:c r="R91" s="74" t="inlineStr">
        <ns0:is>
          <ns0:t>prospectus:stated market capitalisation</ns0:t>
        </ns0:is>
      </ns0:c>
      <ns0:c r="S91" s="80" t="n">
        <ns0:v>3.64</ns0:v>
      </ns0:c>
      <ns0:c r="T91" s="81" t="n">
        <ns0:v>1.77</ns0:v>
      </ns0:c>
      <ns0:c r="U91" s="82" t="n">
        <ns0:v>57.3</ns0:v>
      </ns0:c>
      <ns0:c r="V91" s="83" t="n">
        <ns0:v>113</ns0:v>
      </ns0:c>
      <ns0:c r="W91" s="84" t="n"/>
      <ns0:c r="X91" s="85" t="n"/>
      <ns0:c r="Y91" s="79" t="n">
        <ns0:v>406.5</ns0:v>
      </ns0:c>
      <ns0:c r="Z91" s="79" t="n">
        <ns0:v>36295000</ns0:v>
      </ns0:c>
      <ns0:c r="AA91" s="78" t="n">
        <ns0:v>5.3</ns0:v>
      </ns0:c>
      <ns0:c r="AB91" s="74" t="inlineStr">
        <ns0:is>
          <ns0:t>ABCI China Dynamic Growth SP; Boyu Capital Opportunities Master Fund; GF Global Capital Limited; Harvest Alternative Investment Opportunities Fund SP3; I-China Holdings Limited; Qookka Entertainment Limited</ns0:t>
        </ns0:is>
      </ns0:c>
      <ns0:c r="AC91" s="74" t="inlineStr">
        <ns0:is>
          <ns0:t>agricultural;boyu;gf;harvest;china-holdings;qookka</ns0:t>
        </ns0:is>
      </ns0:c>
      <ns0:c r="AD91" s="78" t="n">
        <ns0:v>7.11</ns0:v>
      </ns0:c>
      <ns0:c r="AE91" s="74" t="inlineStr">
        <ns0:is>
          <ns0:t>partial</ns0:t>
        </ns0:is>
      </ns0:c>
      <ns0:c r="AF91" s="74" t="inlineStr">
        <ns0:is>
          <ns0:t>2022-01-08</ns0:t>
        </ns0:is>
      </ns0:c>
      <ns0:c r="AG91" s="74" t="inlineStr">
        <ns0:is>
          <ns0:t>China International Capital Corporation Hong Kong Securities Limited</ns0:t>
        </ns0:is>
      </ns0:c>
      <ns0:c r="AH91" s="74" t="inlineStr">
        <ns0:is>
          <ns0:t>China International</ns0:t>
        </ns0:is>
      </ns0:c>
      <ns0:c r="AI91" s="86" t="n">
        <ns0:v>-8.93</ns0:v>
      </ns0:c>
      <ns0:c r="AJ91" s="87" t="n">
        <ns0:v>-4.64</ns0:v>
      </ns0:c>
      <ns0:c r="AK91" s="87" t="n">
        <ns0:v>0.23</ns0:v>
      </ns0:c>
      <ns0:c r="AL91" s="87" t="n">
        <ns0:v>-8.93</ns0:v>
      </ns0:c>
      <ns0:c r="AM91" s="87" t="n">
        <ns0:v>4.71</ns0:v>
      </ns0:c>
      <ns0:c r="AN91" s="88" t="n"/>
      <ns0:c r="AO91" s="78" t="n">
        <ns0:v>16.37</ns0:v>
      </ns0:c>
      <ns0:c r="AP91" s="87" t="n">
        <ns0:v>-4.46</ns0:v>
      </ns0:c>
      <ns0:c r="AQ91" s="87" t="n">
        <ns0:v>-21.34</ns0:v>
      </ns0:c>
      <ns0:c r="AR91" s="87" t="n">
        <ns0:v>-61.88</ns0:v>
      </ns0:c>
      <ns0:c r="AS91" s="87" t="n">
        <ns0:v>0.19</ns0:v>
      </ns0:c>
      <ns0:c r="AT91" s="87" t="n">
        <ns0:v>-17.51</ns0:v>
      </ns0:c>
      <ns0:c r="AU91" s="87" t="n">
        <ns0:v>-60.03</ns0:v>
      </ns0:c>
      <ns0:c r="AV91" s="87" t="n">
        <ns0:v>-3.49</ns0:v>
      </ns0:c>
      <ns0:c r="AW91" s="87" t="n">
        <ns0:v>-24.74</ns0:v>
      </ns0:c>
      <ns0:c r="AX91" s="87" t="n">
        <ns0:v>-52.49</ns0:v>
      </ns0:c>
      <ns0:c r="AY91" s="87" t="n">
        <ns0:v>-20.67</ns0:v>
      </ns0:c>
      <ns0:c r="AZ91" s="87" t="n">
        <ns0:v>3.4</ns0:v>
      </ns0:c>
      <ns0:c r="BA91" s="87" t="n">
        <ns0:v>3.16</ns0:v>
      </ns0:c>
      <ns0:c r="BB91" s="74" t="inlineStr">
        <ns0:is>
          <ns0:t>Hang Seng Index</ns0:t>
        </ns0:is>
      </ns0:c>
      <ns0:c r="BC91" s="87" t="n">
        <ns0:v>-72.05</ns0:v>
      </ns0:c>
      <ns0:c r="BD91" s="75" t="n">
        <ns0:v>46297</ns0:v>
      </ns0:c>
      <ns0:c r="BE91" s="76" t="n">
        <ns0:v>1349.6</ns0:v>
      </ns0:c>
      <ns0:c r="BF91" s="79" t="n">
        <ns0:v>124.6</ns0:v>
      </ns0:c>
      <ns0:c r="BG91" s="74" t="inlineStr">
        <ns0:is>
          <ns0:t>Y</ns0:t>
        </ns0:is>
      </ns0:c>
      <ns0:c r="BH91" s="89" t="n">
        <ns0:v>61.6</ns0:v>
      </ns0:c>
      <ns0:c r="BI91" s="88" t="n"/>
      <ns0:c r="BJ91" s="89" t="n">
        <ns0:v>14.8</ns0:v>
      </ns0:c>
      <ns0:c r="BK91" s="89" t="n">
        <ns0:v>5.7</ns0:v>
      </ns0:c>
      <ns0:c r="BL91" s="90">
        <ns0:f>IFERROR(IF('BBG Verify'!S91="","Awaiting Bloomberg",'BBG Verify'!S91),"Awaiting Bloomberg")</ns0:f>
        <ns0:v/>
      </ns0:c>
      <ns0:c r="BM91" s="91" t="inlineStr">
        <ns0:is>
          <ns0:t>N</ns0:t>
        </ns0:is>
      </ns0:c>
      <ns0:c r="BN91" s="92">
        <ns0:f>IFERROR(IF('BBG Verify'!K91="","Awaiting Bloomberg",'BBG Verify'!K91),"Awaiting Bloomberg")</ns0:f>
        <ns0:v/>
      </ns0:c>
      <ns0:c r="BO91" s="74" t="inlineStr">
        <ns0:is>
          <ns0:t>N/A</ns0:t>
        </ns0:is>
      </ns0:c>
      <ns0:c r="BP91" s="74" t="inlineStr">
        <ns0:is>
          <ns0:t>N/A</ns0:t>
        </ns0:is>
      </ns0:c>
      <ns0:c r="BQ91" s="74" t="inlineStr">
        <ns0:is>
          <ns0:t>N/A</ns0:t>
        </ns0:is>
      </ns0:c>
      <ns0:c r="BR91" s="74" t="inlineStr">
        <ns0:is>
          <ns0:t>N/A</ns0:t>
        </ns0:is>
      </ns0:c>
      <ns0:c r="BS91" s="74" t="inlineStr">
        <ns0:is>
          <ns0:t>N/A</ns0:t>
        </ns0:is>
      </ns0:c>
      <ns0:c r="BT91" s="74" t="inlineStr">
        <ns0:is>
          <ns0:t>N/A</ns0:t>
        </ns0:is>
      </ns0:c>
      <ns0:c r="BU91" s="91" t="inlineStr">
        <ns0:is>
          <ns0:t>China International Capital Corporation Hong Kong Securities Limited; CLSA Capital Markets Limited; CLSA Limited</ns0:t>
        </ns0:is>
      </ns0:c>
      <ns0:c r="BV91" s="74" t="inlineStr">
        <ns0:is>
          <ns0:t>China International Capital Corporation Hong Kong Securities Limited; CLSA Capital Markets Limited</ns0:t>
        </ns0:is>
      </ns0:c>
      <ns0:c r="BW91" s="74" t="inlineStr">
        <ns0:is>
          <ns0:t>China International Capital Corporation Hong Kong Securities Limited; CLSA Limited; China Merchants Securities (HK) Co., Limited; (Below in alphabetical order) ABCI Capital Limited; Guotai Junan Securities (Hong Kong) Limited; Valuable Capital Limited</ns0:t>
        </ns0:is>
      </ns0:c>
      <ns0:c r="BX91" s="74" t="inlineStr">
        <ns0:is>
          <ns0:t>ABCI Securities Company Limited; China International Capital Corporation Hong Kong Securities Limited; CLSA Limited; China Merchants Securities (HK) Company Limited; Guotai Junan Securities (Hong Kong) Limited; TFI Securities and Futures Limited; Valuable Capital Limited</ns0:t>
        </ns0:is>
      </ns0:c>
      <ns0:c r="BY91" s="93">
        <ns0:f>HYPERLINK("https://www1.hkexnews.hk/listedco/listconews/sehk/2021/1206/2021120600013.pdf","prospectus")</ns0:f>
        <ns0:v/>
      </ns0:c>
      <ns0:c r="BZ91" s="93">
        <ns0:f>HYPERLINK("https://www1.hkexnews.hk/listedco/listconews/sehk/2021/1215/2021121500032.htm","allotment")</ns0:f>
        <ns0:v/>
      </ns0:c>
      <ns0:c r="CA91" s="93">
        <ns0:f>HYPERLINK("https://www1.hkexnews.hk/listedco/listconews/sehk/2022/0110/2022011000737.pdf","stabilisation")</ns0:f>
        <ns0:v/>
      </ns0:c>
      <ns0:c r="CB91" s="94" t="n"/>
      <ns0:c r="CC91" s="74" t="inlineStr">
        <ns0:is>
          <ns0:t>allocation: allocation table not in this notice's format (older prose announcement); day-1 tape: volume on file; the retail multiple needs the final public split, which this notice does not state</ns0:t>
        </ns0:is>
      </ns0:c>
    </ns0:row>
    <ns0:row r="92" ht="22" customHeight="1">
      <ns0:c r="A92" s="73" t="inlineStr">
        <ns0:is>
          <ns0:t>2270</ns0:t>
        </ns0:is>
      </ns0:c>
      <ns0:c r="B92" s="74" t="inlineStr">
        <ns0:is>
          <ns0:t>DESUN SERVICES</ns0:t>
        </ns0:is>
      </ns0:c>
      <ns0:c r="C92" s="74" t="inlineStr">
        <ns0:is>
          <ns0:t>德商產投服務</ns0:t>
        </ns0:is>
      </ns0:c>
      <ns0:c r="D92" s="74" t="inlineStr">
        <ns0:is>
          <ns0:t>Real Estate</ns0:t>
        </ns0:is>
      </ns0:c>
      <ns0:c r="E92" s="74" t="inlineStr">
        <ns0:is>
          <ns0:t>Property management</ns0:t>
        </ns0:is>
      </ns0:c>
      <ns0:c r="F92" s="74" t="inlineStr">
        <ns0:is>
          <ns0:t>Property Service and Management</ns0:t>
        </ns0:is>
      </ns0:c>
      <ns0:c r="G92" s="74" t="inlineStr">
        <ns0:is>
          <ns0:t>Standard</ns0:t>
        </ns0:is>
      </ns0:c>
      <ns0:c r="H92" s="75" t="n">
        <ns0:v>44547</ns0:v>
      </ns0:c>
      <ns0:c r="I92" s="76" t="n">
        <ns0:v>166.5</ns0:v>
      </ns0:c>
      <ns0:c r="J92" s="74" t="inlineStr">
        <ns0:is>
          <ns0:t>gross (price x shares)</ns0:t>
        </ns0:is>
      </ns0:c>
      <ns0:c r="K92" s="77" t="n">
        <ns0:v>1.1</ns0:v>
      </ns0:c>
      <ns0:c r="L92" s="77" t="n">
        <ns0:v>1.46</ns0:v>
      </ns0:c>
      <ns0:c r="M92" s="77" t="n">
        <ns0:v>1.11</ns0:v>
      </ns0:c>
      <ns0:c r="N92" s="74" t="inlineStr">
        <ns0:is>
          <ns0:t>N</ns0:t>
        </ns0:is>
      </ns0:c>
      <ns0:c r="O92" s="78" t="n">
        <ns0:v>76</ns0:v>
      </ns0:c>
      <ns0:c r="P92" s="78" t="n">
        <ns0:v>2.8</ns0:v>
      </ns0:c>
      <ns0:c r="Q92" s="79" t="n">
        <ns0:v>660</ns0:v>
      </ns0:c>
      <ns0:c r="R92" s="74" t="inlineStr">
        <ns0:is>
          <ns0:t>prospectus:stated market capitalisation</ns0:t>
        </ns0:is>
      </ns0:c>
      <ns0:c r="S92" s="80" t="n">
        <ns0:v>1.37</ns0:v>
      </ns0:c>
      <ns0:c r="T92" s="81" t="n">
        <ns0:v>1.17</ns0:v>
      </ns0:c>
      <ns0:c r="U92" s="82" t="n">
        <ns0:v>0</ns0:v>
      </ns0:c>
      <ns0:c r="V92" s="83" t="n">
        <ns0:v>110</ns0:v>
      </ns0:c>
      <ns0:c r="W92" s="84" t="n"/>
      <ns0:c r="X92" s="85" t="n"/>
      <ns0:c r="Y92" s="79" t="n">
        <ns0:v>166.5</ns0:v>
      </ns0:c>
      <ns0:c r="Z92" s="79" t="n">
        <ns0:v>150000000</ns0:v>
      </ns0:c>
      <ns0:c r="AA92" s="78" t="n">
        <ns0:v>25.23</ns0:v>
      </ns0:c>
      <ns0:c r="AB92" s="74" t="inlineStr">
        <ns0:is>
          <ns0:t>none — no cornerstone tranche</ns0:t>
        </ns0:is>
      </ns0:c>
      <ns0:c r="AC92" s="74" t="inlineStr">
        <ns0:is>
          <ns0:t>none</ns0:t>
        </ns0:is>
      </ns0:c>
      <ns0:c r="AD92" s="78" t="n">
        <ns0:v>15</ns0:v>
      </ns0:c>
      <ns0:c r="AE92" s="74" t="inlineStr">
        <ns0:is>
          <ns0:t>partial</ns0:t>
        </ns0:is>
      </ns0:c>
      <ns0:c r="AF92" s="74" t="inlineStr">
        <ns0:is>
          <ns0:t>2022-01-06</ns0:t>
        </ns0:is>
      </ns0:c>
      <ns0:c r="AG92" s="74" t="inlineStr">
        <ns0:is>
          <ns0:t>Shenwan Hongyuan Securities</ns0:t>
        </ns0:is>
      </ns0:c>
      <ns0:c r="AH92" s="74" t="inlineStr">
        <ns0:is>
          <ns0:t>Shenwan Hongyuan</ns0:t>
        </ns0:is>
      </ns0:c>
      <ns0:c r="AI92" s="86" t="n">
        <ns0:v>7.21</ns0:v>
      </ns0:c>
      <ns0:c r="AJ92" s="87" t="n">
        <ns0:v>-5.41</ns0:v>
      </ns0:c>
      <ns0:c r="AK92" s="87" t="n">
        <ns0:v>-0.34</ns0:v>
      </ns0:c>
      <ns0:c r="AL92" s="87" t="n">
        <ns0:v>4.5</ns0:v>
      </ns0:c>
      <ns0:c r="AM92" s="87" t="n">
        <ns0:v>-9.48</ns0:v>
      </ns0:c>
      <ns0:c r="AN92" s="88" t="n"/>
      <ns0:c r="AO92" s="78" t="n">
        <ns0:v>12.93</ns0:v>
      </ns0:c>
      <ns0:c r="AP92" s="87" t="n">
        <ns0:v>0</ns0:v>
      </ns0:c>
      <ns0:c r="AQ92" s="87" t="n">
        <ns0:v>-1.8</ns0:v>
      </ns0:c>
      <ns0:c r="AR92" s="87" t="n">
        <ns0:v>-0.9</ns0:v>
      </ns0:c>
      <ns0:c r="AS92" s="87" t="n">
        <ns0:v>5.72</ns0:v>
      </ns0:c>
      <ns0:c r="AT92" s="87" t="n">
        <ns0:v>3.82</ns0:v>
      </ns0:c>
      <ns0:c r="AU92" s="87" t="n">
        <ns0:v>4.77</ns0:v>
      </ns0:c>
      <ns0:c r="AV92" s="87" t="n">
        <ns0:v>0.83</ns0:v>
      </ns0:c>
      <ns0:c r="AW92" s="87" t="n">
        <ns0:v>-3.13</ns0:v>
      </ns0:c>
      <ns0:c r="AX92" s="87" t="n">
        <ns0:v>-2.05</ns0:v>
      </ns0:c>
      <ns0:c r="AY92" s="87" t="n">
        <ns0:v>2.14</ns0:v>
      </ns0:c>
      <ns0:c r="AZ92" s="87" t="n">
        <ns0:v>1.33</ns0:v>
      </ns0:c>
      <ns0:c r="BA92" s="87" t="n">
        <ns0:v>1.68</ns0:v>
      </ns0:c>
      <ns0:c r="BB92" s="74" t="inlineStr">
        <ns0:is>
          <ns0:t>Hang Seng Properties sub-index</ns0:t>
        </ns0:is>
      </ns0:c>
      <ns0:c r="BC92" s="87" t="n">
        <ns0:v>438.29</ns0:v>
      </ns0:c>
      <ns0:c r="BD92" s="75" t="n">
        <ns0:v>46297</ns0:v>
      </ns0:c>
      <ns0:c r="BE92" s="76" t="n">
        <ns0:v>61.3</ns0:v>
      </ns0:c>
      <ns0:c r="BF92" s="79" t="n">
        <ns0:v>47.2</ns0:v>
      </ns0:c>
      <ns0:c r="BG92" s="74" t="inlineStr">
        <ns0:is>
          <ns0:t>Y</ns0:t>
        </ns0:is>
      </ns0:c>
      <ns0:c r="BH92" s="89" t="n">
        <ns0:v>14</ns0:v>
      </ns0:c>
      <ns0:c r="BI92" s="88" t="n"/>
      <ns0:c r="BJ92" s="89" t="n">
        <ns0:v>104.3</ns0:v>
      </ns0:c>
      <ns0:c r="BK92" s="89" t="n">
        <ns0:v>10.8</ns0:v>
      </ns0:c>
      <ns0:c r="BL92" s="90">
        <ns0:f>IFERROR(IF('BBG Verify'!S92="","Awaiting Bloomberg",'BBG Verify'!S92),"Awaiting Bloomberg")</ns0:f>
        <ns0:v/>
      </ns0:c>
      <ns0:c r="BM92" s="91" t="inlineStr">
        <ns0:is>
          <ns0:t>N</ns0:t>
        </ns0:is>
      </ns0:c>
      <ns0:c r="BN92" s="92">
        <ns0:f>IFERROR(IF('BBG Verify'!K92="","Awaiting Bloomberg",'BBG Verify'!K92),"Awaiting Bloomberg")</ns0:f>
        <ns0:v/>
      </ns0:c>
      <ns0:c r="BO92" s="74" t="inlineStr">
        <ns0:is>
          <ns0:t>N/A</ns0:t>
        </ns0:is>
      </ns0:c>
      <ns0:c r="BP92" s="74" t="inlineStr">
        <ns0:is>
          <ns0:t>N/A</ns0:t>
        </ns0:is>
      </ns0:c>
      <ns0:c r="BQ92" s="74" t="inlineStr">
        <ns0:is>
          <ns0:t>N/A</ns0:t>
        </ns0:is>
      </ns0:c>
      <ns0:c r="BR92" s="74" t="inlineStr">
        <ns0:is>
          <ns0:t>N/A</ns0:t>
        </ns0:is>
      </ns0:c>
      <ns0:c r="BS92" s="74" t="inlineStr">
        <ns0:is>
          <ns0:t>N/A</ns0:t>
        </ns0:is>
      </ns0:c>
      <ns0:c r="BT92" s="74" t="inlineStr">
        <ns0:is>
          <ns0:t>N/A</ns0:t>
        </ns0:is>
      </ns0:c>
      <ns0:c r="BU92" s="91" t="inlineStr">
        <ns0:is>
          <ns0:t>Shenwan Hongyuan Capital (H.K.) Limited</ns0:t>
        </ns0:is>
      </ns0:c>
      <ns0:c r="BV92" s="74" t="inlineStr">
        <ns0:is>
          <ns0:t>Shenwan Hongyuan Capital (H.K.) Limited</ns0:t>
        </ns0:is>
      </ns0:c>
      <ns0:c r="BW92" s="74" t="inlineStr">
        <ns0:is>
          <ns0:t>Shenwan Hongyuan Securities (H.K.) Limited; China Everbright Securities (HK) Limited; Guosen Securities (HK) Capital Company Limited; Livermore Holdings Limited; CMBC Securities Company Limited; SPDB International Capital Limited; ZMF Asset Management Limited</ns0:t>
        </ns0:is>
      </ns0:c>
      <ns0:c r="BX92" s="74" t="inlineStr">
        <ns0:is>
          <ns0:t>China Everbright Securities (HK) Limited; CMBC Securities Company Limited; Guosen Securities (HK) Capital Company Limited; Livermore Holdings Limited; Shenwan Hongyuan Securities (H.K.) Limited; SPDB International Capital Limited; ZMF Asset Management Limited</ns0:t>
        </ns0:is>
      </ns0:c>
      <ns0:c r="BY92" s="93">
        <ns0:f>HYPERLINK("https://www1.hkexnews.hk/listedco/listconews/sehk/2021/1130/2021113000045.pdf","prospectus")</ns0:f>
        <ns0:v/>
      </ns0:c>
      <ns0:c r="BZ92" s="93">
        <ns0:f>HYPERLINK("https://www1.hkexnews.hk/listedco/listconews/sehk/2021/1216/2021121600022.htm","allotment")</ns0:f>
        <ns0:v/>
      </ns0:c>
      <ns0:c r="CA92" s="93">
        <ns0:f>HYPERLINK("https://www1.hkexnews.hk/listedco/listconews/sehk/2022/0106/2022010601685.pdf","stabilisation")</ns0:f>
        <ns0:v/>
      </ns0:c>
      <ns0:c r="CB92" s="94" t="n"/>
      <ns0:c r="CC92" s="74" t="inlineStr">
        <ns0:is>
          <ns0:t>cornerstone list: no cornerstone tranche; allocation: allocation table not in this notice's format (older prose announcement); day-1 tape: volume on file; the retail multiple needs the final public split, which this notice does not state</ns0:t>
        </ns0:is>
      </ns0:c>
    </ns0:row>
    <ns0:row r="93" ht="22" customHeight="1">
      <ns0:c r="A93" s="73" t="inlineStr">
        <ns0:is>
          <ns0:t>2185</ns0:t>
        </ns0:is>
      </ns0:c>
      <ns0:c r="B93" s="74" t="inlineStr">
        <ns0:is>
          <ns0:t>BIOHEART-B</ns0:t>
        </ns0:is>
      </ns0:c>
      <ns0:c r="C93" s="74" t="inlineStr">
        <ns0:is>
          <ns0:t>百心安－Ｂ</ns0:t>
        </ns0:is>
      </ns0:c>
      <ns0:c r="D93" s="74" t="inlineStr">
        <ns0:is>
          <ns0:t>Healthcare</ns0:t>
        </ns0:is>
      </ns0:c>
      <ns0:c r="E93" s="74" t="inlineStr">
        <ns0:is>
          <ns0:t>Medical devices</ns0:t>
        </ns0:is>
      </ns0:c>
      <ns0:c r="F93" s="74" t="inlineStr">
        <ns0:is>
          <ns0:t>Health Care Equipment</ns0:t>
        </ns0:is>
      </ns0:c>
      <ns0:c r="G93" s="74" t="inlineStr">
        <ns0:is>
          <ns0:t>18A</ns0:t>
        </ns0:is>
      </ns0:c>
      <ns0:c r="H93" s="75" t="n">
        <ns0:v>44553</ns0:v>
      </ns0:c>
      <ns0:c r="I93" s="76" t="n">
        <ns0:v>508.7</ns0:v>
      </ns0:c>
      <ns0:c r="J93" s="74" t="inlineStr">
        <ns0:is>
          <ns0:t>gross (price x shares)</ns0:t>
        </ns0:is>
      </ns0:c>
      <ns0:c r="K93" s="95" t="n"/>
      <ns0:c r="L93" s="77" t="n">
        <ns0:v>24.79</ns0:v>
      </ns0:c>
      <ns0:c r="M93" s="77" t="n">
        <ns0:v>21.25</ns0:v>
      </ns0:c>
      <ns0:c r="N93" s="74" t="inlineStr">
        <ns0:is>
          <ns0:t>N</ns0:t>
        </ns0:is>
      </ns0:c>
      <ns0:c r="O93" s="78" t="n">
        <ns0:v>85.7</ns0:v>
      </ns0:c>
      <ns0:c r="P93" s="84" t="n"/>
      <ns0:c r="Q93" s="79" t="n">
        <ns0:v>4574.6</ns0:v>
      </ns0:c>
      <ns0:c r="R93" s="74" t="inlineStr">
        <ns0:is>
          <ns0:t>derived:deal size / offer % of enlarged capital</ns0:t>
        </ns0:is>
      </ns0:c>
      <ns0:c r="S93" s="80" t="n">
        <ns0:v>1.52</ns0:v>
      </ns0:c>
      <ns0:c r="T93" s="81" t="n">
        <ns0:v>1.16</ns0:v>
      </ns0:c>
      <ns0:c r="U93" s="82" t="n">
        <ns0:v>0</ns0:v>
      </ns0:c>
      <ns0:c r="V93" s="83" t="n">
        <ns0:v>111</ns0:v>
      </ns0:c>
      <ns0:c r="W93" s="84" t="n"/>
      <ns0:c r="X93" s="85" t="n"/>
      <ns0:c r="Y93" s="79" t="n">
        <ns0:v>508.7</ns0:v>
      </ns0:c>
      <ns0:c r="Z93" s="79" t="n">
        <ns0:v>23937000</ns0:v>
      </ns0:c>
      <ns0:c r="AA93" s="78" t="n">
        <ns0:v>11.12</ns0:v>
      </ns0:c>
      <ns0:c r="AB93" s="74" t="inlineStr">
        <ns0:is>
          <ns0:t>none — no cornerstone tranche</ns0:t>
        </ns0:is>
      </ns0:c>
      <ns0:c r="AC93" s="74" t="inlineStr">
        <ns0:is>
          <ns0:t>none</ns0:t>
        </ns0:is>
      </ns0:c>
      <ns0:c r="AD93" s="78" t="n">
        <ns0:v>15.44</ns0:v>
      </ns0:c>
      <ns0:c r="AE93" s="74" t="inlineStr">
        <ns0:is>
          <ns0:t>lapsed</ns0:t>
        </ns0:is>
      </ns0:c>
      <ns0:c r="AF93" s="85" t="n"/>
      <ns0:c r="AG93" s="74" t="inlineStr">
        <ns0:is>
          <ns0:t>Huatai Financial Holdings</ns0:t>
        </ns0:is>
      </ns0:c>
      <ns0:c r="AH93" s="74" t="inlineStr">
        <ns0:is>
          <ns0:t>Huatai</ns0:t>
        </ns0:is>
      </ns0:c>
      <ns0:c r="AI93" s="86" t="n">
        <ns0:v>-4.47</ns0:v>
      </ns0:c>
      <ns0:c r="AJ93" s="87" t="n">
        <ns0:v>-5.41</ns0:v>
      </ns0:c>
      <ns0:c r="AK93" s="87" t="n">
        <ns0:v>-1.24</ns0:v>
      </ns0:c>
      <ns0:c r="AL93" s="87" t="n">
        <ns0:v>-11.15</ns0:v>
      </ns0:c>
      <ns0:c r="AM93" s="87" t="n">
        <ns0:v>6.46</ns0:v>
      </ns0:c>
      <ns0:c r="AN93" s="88" t="n"/>
      <ns0:c r="AO93" s="78" t="n">
        <ns0:v>11.28</ns0:v>
      </ns0:c>
      <ns0:c r="AP93" s="87" t="n">
        <ns0:v>27.29</ns0:v>
      </ns0:c>
      <ns0:c r="AQ93" s="87" t="n">
        <ns0:v>37.18</ns0:v>
      </ns0:c>
      <ns0:c r="AR93" s="87" t="n">
        <ns0:v>110.82</ns0:v>
      </ns0:c>
      <ns0:c r="AS93" s="87" t="n">
        <ns0:v>34.57</ns0:v>
      </ns0:c>
      <ns0:c r="AT93" s="87" t="n">
        <ns0:v>45.03</ns0:v>
      </ns0:c>
      <ns0:c r="AU93" s="87" t="n">
        <ns0:v>122.88</ns0:v>
      </ns0:c>
      <ns0:c r="AV93" s="87" t="n">
        <ns0:v>27.61</ns0:v>
      </ns0:c>
      <ns0:c r="AW93" s="87" t="n">
        <ns0:v>45.84</ns0:v>
      </ns0:c>
      <ns0:c r="AX93" s="87" t="n">
        <ns0:v>131.04</ns0:v>
      </ns0:c>
      <ns0:c r="AY93" s="87" t="n">
        <ns0:v>52.55</ns0:v>
      </ns0:c>
      <ns0:c r="AZ93" s="87" t="n">
        <ns0:v>-8.66</ns0:v>
      </ns0:c>
      <ns0:c r="BA93" s="87" t="n">
        <ns0:v>-7.52</ns0:v>
      </ns0:c>
      <ns0:c r="BB93" s="74" t="inlineStr">
        <ns0:is>
          <ns0:t>China Biotech ETF (HS biotech proxy)</ns0:t>
        </ns0:is>
      </ns0:c>
      <ns0:c r="BC93" s="87" t="n">
        <ns0:v>-93.27</ns0:v>
      </ns0:c>
      <ns0:c r="BD93" s="75" t="n">
        <ns0:v>46297</ns0:v>
      </ns0:c>
      <ns0:c r="BE93" s="76" t="n">
        <ns0:v>67.90000000000001</ns0:v>
      </ns0:c>
      <ns0:c r="BF93" s="79" t="n">
        <ns0:v>-15</ns0:v>
      </ns0:c>
      <ns0:c r="BG93" s="74" t="inlineStr">
        <ns0:is>
          <ns0:t>N</ns0:t>
        </ns0:is>
      </ns0:c>
      <ns0:c r="BH93" s="74" t="inlineStr">
        <ns0:is>
          <ns0:t>n/m</ns0:t>
        </ns0:is>
      </ns0:c>
      <ns0:c r="BI93" s="88" t="n"/>
      <ns0:c r="BJ93" s="88" t="n"/>
      <ns0:c r="BK93" s="89" t="n">
        <ns0:v>67.40000000000001</ns0:v>
      </ns0:c>
      <ns0:c r="BL93" s="90">
        <ns0:f>IFERROR(IF('BBG Verify'!S93="","Awaiting Bloomberg",'BBG Verify'!S93),"Awaiting Bloomberg")</ns0:f>
        <ns0:v/>
      </ns0:c>
      <ns0:c r="BM93" s="91" t="inlineStr">
        <ns0:is>
          <ns0:t>N</ns0:t>
        </ns0:is>
      </ns0:c>
      <ns0:c r="BN93" s="92">
        <ns0:f>IFERROR(IF('BBG Verify'!K93="","Awaiting Bloomberg",'BBG Verify'!K93),"Awaiting Bloomberg")</ns0:f>
        <ns0:v/>
      </ns0:c>
      <ns0:c r="BO93" s="74" t="inlineStr">
        <ns0:is>
          <ns0:t>N/A</ns0:t>
        </ns0:is>
      </ns0:c>
      <ns0:c r="BP93" s="74" t="inlineStr">
        <ns0:is>
          <ns0:t>N/A</ns0:t>
        </ns0:is>
      </ns0:c>
      <ns0:c r="BQ93" s="74" t="inlineStr">
        <ns0:is>
          <ns0:t>N/A</ns0:t>
        </ns0:is>
      </ns0:c>
      <ns0:c r="BR93" s="74" t="inlineStr">
        <ns0:is>
          <ns0:t>N/A</ns0:t>
        </ns0:is>
      </ns0:c>
      <ns0:c r="BS93" s="74" t="inlineStr">
        <ns0:is>
          <ns0:t>N/A</ns0:t>
        </ns0:is>
      </ns0:c>
      <ns0:c r="BT93" s="74" t="inlineStr">
        <ns0:is>
          <ns0:t>N/A</ns0:t>
        </ns0:is>
      </ns0:c>
      <ns0:c r="BU93" s="91" t="inlineStr">
        <ns0:is>
          <ns0:t>Huatai Financial Holdings (Hong Kong) Limited</ns0:t>
        </ns0:is>
      </ns0:c>
      <ns0:c r="BV93" s="74" t="inlineStr">
        <ns0:is>
          <ns0:t>Huatai Financial Holdings (Hong Kong) Limited</ns0:t>
        </ns0:is>
      </ns0:c>
      <ns0:c r="BW93" s="74" t="inlineStr">
        <ns0:is>
          <ns0:t>Huatai Financial Holdings (Hong Kong) Limited</ns0:t>
        </ns0:is>
      </ns0:c>
      <ns0:c r="BX93" s="74" t="inlineStr">
        <ns0:is>
          <ns0:t>Huatai Financial Holdings (Hong Kong) Limited</ns0:t>
        </ns0:is>
      </ns0:c>
      <ns0:c r="BY93" s="93">
        <ns0:f>HYPERLINK("https://www1.hkexnews.hk/listedco/listconews/sehk/2021/1213/2021121300025.pdf","prospectus")</ns0:f>
        <ns0:v/>
      </ns0:c>
      <ns0:c r="BZ93" s="93">
        <ns0:f>HYPERLINK("https://www1.hkexnews.hk/listedco/listconews/sehk/2021/1222/2021122200010.htm","allotment")</ns0:f>
        <ns0:v/>
      </ns0:c>
      <ns0:c r="CA93" s="93">
        <ns0:f>HYPERLINK("https://www1.hkexnews.hk/listedco/listconews/sehk/2022/0117/2022011700011.pdf","stabilisation")</ns0:f>
        <ns0:v/>
      </ns0:c>
      <ns0:c r="CB93" s="94" t="n"/>
      <ns0:c r="CC93" s="74" t="inlineStr">
        <ns0:is>
          <ns0:t>P/E: loss-making at IPO, use P/S; greenshoe: outcome published; expiry date not in the notice; range low: maximum offer price only, no floor published; cornerstone list: no cornerstone tranche; deal size: stated gross HK$26.5m rejected, below the net proceeds of HK$441.7m; allocation: allocation table not in this notice's format (older prose announcement); day-1 tape: volume on file; the retail multiple needs the final public split, which this notice does not state</ns0:t>
        </ns0:is>
      </ns0:c>
    </ns0:row>
    <ns0:row r="94" ht="22" customHeight="1">
      <ns0:c r="A94" s="73" t="inlineStr">
        <ns0:is>
          <ns0:t>2285</ns0:t>
        </ns0:is>
      </ns0:c>
      <ns0:c r="B94" s="74" t="inlineStr">
        <ns0:is>
          <ns0:t>CHERVON</ns0:t>
        </ns0:is>
      </ns0:c>
      <ns0:c r="C94" s="74" t="inlineStr">
        <ns0:is>
          <ns0:t>泉峰控股</ns0:t>
        </ns0:is>
      </ns0:c>
      <ns0:c r="D94" s="74" t="inlineStr">
        <ns0:is>
          <ns0:t>Industrials</ns0:t>
        </ns0:is>
      </ns0:c>
      <ns0:c r="E94" s="74" t="inlineStr">
        <ns0:is>
          <ns0:t>Capital goods / machinery</ns0:t>
        </ns0:is>
      </ns0:c>
      <ns0:c r="F94" s="74" t="inlineStr">
        <ns0:is>
          <ns0:t>Household Appliances</ns0:t>
        </ns0:is>
      </ns0:c>
      <ns0:c r="G94" s="74" t="inlineStr">
        <ns0:is>
          <ns0:t>Standard</ns0:t>
        </ns0:is>
      </ns0:c>
      <ns0:c r="H94" s="75" t="n">
        <ns0:v>44560</ns0:v>
      </ns0:c>
      <ns0:c r="I94" s="76" t="n">
        <ns0:v>3135.5</ns0:v>
      </ns0:c>
      <ns0:c r="J94" s="74" t="inlineStr">
        <ns0:is>
          <ns0:t>gross (price x shares)</ns0:t>
        </ns0:is>
      </ns0:c>
      <ns0:c r="K94" s="77" t="n">
        <ns0:v>37.6</ns0:v>
      </ns0:c>
      <ns0:c r="L94" s="77" t="n">
        <ns0:v>43.6</ns0:v>
      </ns0:c>
      <ns0:c r="M94" s="77" t="n">
        <ns0:v>43.6</ns0:v>
      </ns0:c>
      <ns0:c r="N94" s="74" t="inlineStr">
        <ns0:is>
          <ns0:t>Y</ns0:t>
        </ns0:is>
      </ns0:c>
      <ns0:c r="O94" s="78" t="n">
        <ns0:v>100</ns0:v>
      </ns0:c>
      <ns0:c r="P94" s="78" t="n">
        <ns0:v>100</ns0:v>
      </ns0:c>
      <ns0:c r="Q94" s="79" t="n">
        <ns0:v>18030</ns0:v>
      </ns0:c>
      <ns0:c r="R94" s="74" t="inlineStr">
        <ns0:is>
          <ns0:t>prospectus:stated market capitalisation</ns0:t>
        </ns0:is>
      </ns0:c>
      <ns0:c r="S94" s="80" t="n">
        <ns0:v>7.49</ns0:v>
      </ns0:c>
      <ns0:c r="T94" s="81" t="n">
        <ns0:v>7.27</ns0:v>
      </ns0:c>
      <ns0:c r="U94" s="82" t="n">
        <ns0:v>13.8</ns0:v>
      </ns0:c>
      <ns0:c r="V94" s="83" t="n">
        <ns0:v>120</ns0:v>
      </ns0:c>
      <ns0:c r="W94" s="84" t="n"/>
      <ns0:c r="X94" s="85" t="n"/>
      <ns0:c r="Y94" s="79" t="n">
        <ns0:v>2702.8</ns0:v>
      </ns0:c>
      <ns0:c r="Z94" s="79" t="n">
        <ns0:v>61991592</ns0:v>
      </ns0:c>
      <ns0:c r="AA94" s="78" t="n">
        <ns0:v>14.99</ns0:v>
      </ns0:c>
      <ns0:c r="AB94" s="74" t="inlineStr">
        <ns0:is>
          <ns0:t>3W Fund Management Limited; Dragon Billion China Master Fund; Greenwoods Asset Management Hong Kong Limited; IvyRock Asset Management (HK) Limited; Luo Jinhong; Value Partners Hong Kong Limited</ns0:t>
        </ns0:is>
      </ns0:c>
      <ns0:c r="AC94" s="74" t="inlineStr">
        <ns0:is>
          <ns0:t>3w;dragon;greenwoods;ivyrock;luo-jinhong;value</ns0:t>
        </ns0:is>
      </ns0:c>
      <ns0:c r="AD94" s="78" t="n">
        <ns0:v>10</ns0:v>
      </ns0:c>
      <ns0:c r="AE94" s="74" t="inlineStr">
        <ns0:is>
          <ns0:t>full</ns0:t>
        </ns0:is>
      </ns0:c>
      <ns0:c r="AF94" s="74" t="inlineStr">
        <ns0:is>
          <ns0:t>2022-01-21</ns0:t>
        </ns0:is>
      </ns0:c>
      <ns0:c r="AG94" s="85" t="n"/>
      <ns0:c r="AH94" s="85" t="n"/>
      <ns0:c r="AI94" s="86" t="n">
        <ns0:v>15.25</ns0:v>
      </ns0:c>
      <ns0:c r="AJ94" s="87" t="n">
        <ns0:v>28.44</ns0:v>
      </ns0:c>
      <ns0:c r="AK94" s="87" t="n">
        <ns0:v>0.24</ns0:v>
      </ns0:c>
      <ns0:c r="AL94" s="87" t="n">
        <ns0:v>18.81</ns0:v>
      </ns0:c>
      <ns0:c r="AM94" s="87" t="n">
        <ns0:v>8.109999999999999</ns0:v>
      </ns0:c>
      <ns0:c r="AN94" s="88" t="n"/>
      <ns0:c r="AO94" s="78" t="n">
        <ns0:v>12.16</ns0:v>
      </ns0:c>
      <ns0:c r="AP94" s="87" t="n">
        <ns0:v>27.98</ns0:v>
      </ns0:c>
      <ns0:c r="AQ94" s="87" t="n">
        <ns0:v>28.9</ns0:v>
      </ns0:c>
      <ns0:c r="AR94" s="87" t="n">
        <ns0:v>27.06</ns0:v>
      </ns0:c>
      <ns0:c r="AS94" s="87" t="n">
        <ns0:v>-0.36</ns0:v>
      </ns0:c>
      <ns0:c r="AT94" s="87" t="n">
        <ns0:v>0.36</ns0:v>
      </ns0:c>
      <ns0:c r="AU94" s="87" t="n">
        <ns0:v>-1.07</ns0:v>
      </ns0:c>
      <ns0:c r="AV94" s="87" t="n">
        <ns0:v>28.96</ns0:v>
      </ns0:c>
      <ns0:c r="AW94" s="87" t="n">
        <ns0:v>30.61</ns0:v>
      </ns0:c>
      <ns0:c r="AX94" s="87" t="n">
        <ns0:v>38.55</ns0:v>
      </ns0:c>
      <ns0:c r="AY94" s="87" t="n">
        <ns0:v>2.31</ns0:v>
      </ns0:c>
      <ns0:c r="AZ94" s="87" t="n">
        <ns0:v>-1.71</ns0:v>
      </ns0:c>
      <ns0:c r="BA94" s="87" t="n">
        <ns0:v>-1.95</ns0:v>
      </ns0:c>
      <ns0:c r="BB94" s="74" t="inlineStr">
        <ns0:is>
          <ns0:t>Hang Seng Commerce &amp; Industry sub-index</ns0:t>
        </ns0:is>
      </ns0:c>
      <ns0:c r="BC94" s="87" t="n">
        <ns0:v>-33.67</ns0:v>
      </ns0:c>
      <ns0:c r="BD94" s="75" t="n">
        <ns0:v>46297</ns0:v>
      </ns0:c>
      <ns0:c r="BE94" s="76" t="n">
        <ns0:v>9367</ns0:v>
      </ns0:c>
      <ns0:c r="BF94" s="79" t="n">
        <ns0:v>377.4</ns0:v>
      </ns0:c>
      <ns0:c r="BG94" s="74" t="inlineStr">
        <ns0:is>
          <ns0:t>Y</ns0:t>
        </ns0:is>
      </ns0:c>
      <ns0:c r="BH94" s="89" t="n">
        <ns0:v>47.8</ns0:v>
      </ns0:c>
      <ns0:c r="BI94" s="89" t="n">
        <ns0:v>26</ns0:v>
      </ns0:c>
      <ns0:c r="BJ94" s="89" t="n">
        <ns0:v>12.5</ns0:v>
      </ns0:c>
      <ns0:c r="BK94" s="89" t="n">
        <ns0:v>1.9</ns0:v>
      </ns0:c>
      <ns0:c r="BL94" s="90">
        <ns0:f>IFERROR(IF('BBG Verify'!S94="","Awaiting Bloomberg",'BBG Verify'!S94),"Awaiting Bloomberg")</ns0:f>
        <ns0:v/>
      </ns0:c>
      <ns0:c r="BM94" s="91" t="inlineStr">
        <ns0:is>
          <ns0:t>N</ns0:t>
        </ns0:is>
      </ns0:c>
      <ns0:c r="BN94" s="92">
        <ns0:f>IFERROR(IF('BBG Verify'!K94="","Awaiting Bloomberg",'BBG Verify'!K94),"Awaiting Bloomberg")</ns0:f>
        <ns0:v/>
      </ns0:c>
      <ns0:c r="BO94" s="74" t="inlineStr">
        <ns0:is>
          <ns0:t>N/A</ns0:t>
        </ns0:is>
      </ns0:c>
      <ns0:c r="BP94" s="74" t="inlineStr">
        <ns0:is>
          <ns0:t>N/A</ns0:t>
        </ns0:is>
      </ns0:c>
      <ns0:c r="BQ94" s="74" t="inlineStr">
        <ns0:is>
          <ns0:t>N/A</ns0:t>
        </ns0:is>
      </ns0:c>
      <ns0:c r="BR94" s="74" t="inlineStr">
        <ns0:is>
          <ns0:t>N/A</ns0:t>
        </ns0:is>
      </ns0:c>
      <ns0:c r="BS94" s="74" t="inlineStr">
        <ns0:is>
          <ns0:t>N/A</ns0:t>
        </ns0:is>
      </ns0:c>
      <ns0:c r="BT94" s="74" t="inlineStr">
        <ns0:is>
          <ns0:t>N/A</ns0:t>
        </ns0:is>
      </ns0:c>
      <ns0:c r="BU94" s="91" t="inlineStr">
        <ns0:is>
          <ns0:t>China International Capital Corporation Hong Kong Securities Limited; Citigroup Global Markets Asia Limited</ns0:t>
        </ns0:is>
      </ns0:c>
      <ns0:c r="BV94" s="74" t="inlineStr">
        <ns0:is>
          <ns0:t>China International Capital Corporation Hong Kong Securities Limited; Citigroup Global Markets Asia Limited</ns0:t>
        </ns0:is>
      </ns0:c>
      <ns0:c r="BW94" s="74" t="inlineStr">
        <ns0:is>
          <ns0: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ns0:t>
        </ns0:is>
      </ns0:c>
      <ns0:c r="BX94" s="74" t="inlineStr">
        <ns0:is>
          <ns0:t>Beta International Securities Limited; Citigroup Global Markets Asia Limited; China International Capital Corporation Hong Kong Securities Limited; CMB International Capital Limited; The Hongkong and Shanghai Banking Corporation Limited</ns0:t>
        </ns0:is>
      </ns0:c>
      <ns0:c r="BY94" s="93">
        <ns0:f>HYPERLINK("https://www1.hkexnews.hk/listedco/listconews/sehk/2021/1217/2021121700005.pdf","prospectus")</ns0:f>
        <ns0:v/>
      </ns0:c>
      <ns0:c r="BZ94" s="93">
        <ns0:f>HYPERLINK("https://www1.hkexnews.hk/listedco/listconews/sehk/2021/1229/2021122900020.htm","allotment")</ns0:f>
        <ns0:v/>
      </ns0:c>
      <ns0:c r="CA94" s="93">
        <ns0:f>HYPERLINK("https://www1.hkexnews.hk/listedco/listconews/sehk/2022/0121/2022012101124.pdf","stabilisation")</ns0:f>
        <ns0:v/>
      </ns0:c>
      <ns0:c r="CB94" s="94" t="n"/>
      <ns0:c r="CC94" s="74" t="inlineStr">
        <ns0:is>
          <ns0:t>cornerstone: % from the prospectus; AAStocks table includes non-cornerstone orders; stabilising manager: not named in the allotment notice or prospectus glossary; allocation: allocation table not in this notice's format (older prose announcement); day-1 tape: volume on file; the retail multiple needs the final public split, which this notice does not state</ns0:t>
        </ns0:is>
      </ns0:c>
    </ns0:row>
    <ns0:row r="95" ht="22" customHeight="1">
      <ns0:c r="A95" s="73" t="inlineStr">
        <ns0:is>
          <ns0:t>2257</ns0:t>
        </ns0:is>
      </ns0:c>
      <ns0:c r="B95" s="74" t="inlineStr">
        <ns0:is>
          <ns0:t>SIRNAOMICS-B</ns0:t>
        </ns0:is>
      </ns0:c>
      <ns0:c r="C95" s="74" t="inlineStr">
        <ns0:is>
          <ns0:t>聖諾醫藥－Ｂ</ns0:t>
        </ns0:is>
      </ns0:c>
      <ns0:c r="D95" s="74" t="inlineStr">
        <ns0:is>
          <ns0:t>Healthcare</ns0:t>
        </ns0:is>
      </ns0:c>
      <ns0:c r="E95" s="74" t="inlineStr">
        <ns0:is>
          <ns0:t>Biotech pre-revenue (18A)</ns0:t>
        </ns0:is>
      </ns0:c>
      <ns0:c r="F95" s="74" t="inlineStr">
        <ns0:is>
          <ns0:t>Biotechnology</ns0:t>
        </ns0:is>
      </ns0:c>
      <ns0:c r="G95" s="74" t="inlineStr">
        <ns0:is>
          <ns0:t>18A</ns0:t>
        </ns0:is>
      </ns0:c>
      <ns0:c r="H95" s="75" t="n">
        <ns0:v>44560</ns0:v>
      </ns0:c>
      <ns0:c r="I95" s="76" t="n">
        <ns0:v>496.9</ns0:v>
      </ns0:c>
      <ns0:c r="J95" s="74" t="inlineStr">
        <ns0:is>
          <ns0:t>gross (price x shares)</ns0:t>
        </ns0:is>
      </ns0:c>
      <ns0:c r="K95" s="95" t="n"/>
      <ns0:c r="L95" s="77" t="n">
        <ns0:v>65.90000000000001</ns0:v>
      </ns0:c>
      <ns0:c r="M95" s="77" t="n">
        <ns0:v>65.90000000000001</ns0:v>
      </ns0:c>
      <ns0:c r="N95" s="74" t="inlineStr">
        <ns0:is>
          <ns0:t>Y</ns0:t>
        </ns0:is>
      </ns0:c>
      <ns0:c r="O95" s="78" t="n">
        <ns0:v>100</ns0:v>
      </ns0:c>
      <ns0:c r="P95" s="84" t="n"/>
      <ns0:c r="Q95" s="79" t="n">
        <ns0:v>5261.1</ns0:v>
      </ns0:c>
      <ns0:c r="R95" s="74" t="inlineStr">
        <ns0:is>
          <ns0:t>prospectus:stated market capitalisation, rescaled to the offer price</ns0:t>
        </ns0:is>
      </ns0:c>
      <ns0:c r="S95" s="80" t="n">
        <ns0:v>5.68</ns0:v>
      </ns0:c>
      <ns0:c r="T95" s="81" t="n">
        <ns0:v>1.22</ns0:v>
      </ns0:c>
      <ns0:c r="U95" s="82" t="n">
        <ns0:v>41.1</ns0:v>
      </ns0:c>
      <ns0:c r="V95" s="83" t="n">
        <ns0:v>147</ns0:v>
      </ns0:c>
      <ns0:c r="W95" s="84" t="n"/>
      <ns0:c r="X95" s="85" t="n"/>
      <ns0:c r="Y95" s="79" t="n">
        <ns0:v>292.67</ns0:v>
      </ns0:c>
      <ns0:c r="Z95" s="79" t="n">
        <ns0:v>4441060</ns0:v>
      </ns0:c>
      <ns0:c r="AA95" s="78" t="n">
        <ns0:v>5.56</ns0:v>
      </ns0:c>
      <ns0:c r="AB95" s="74" t="inlineStr">
        <ns0:is>
          <ns0:t>Kunming Jiashiqing Investment Partnership (Limited Partnership); Zhejiang Innoforce Pharmaceuticals Co., Ltd</ns0:t>
        </ns0:is>
      </ns0:c>
      <ns0:c r="AC95" s="74" t="inlineStr">
        <ns0:is>
          <ns0:t>kunming;zhejiang</ns0:t>
        </ns0:is>
      </ns0:c>
      <ns0:c r="AD95" s="78" t="n">
        <ns0:v>14.5</ns0:v>
      </ns0:c>
      <ns0:c r="AE95" s="74" t="inlineStr">
        <ns0:is>
          <ns0:t>partial</ns0:t>
        </ns0:is>
      </ns0:c>
      <ns0:c r="AF95" s="74" t="inlineStr">
        <ns0:is>
          <ns0:t>2022-01-22</ns0:t>
        </ns0:is>
      </ns0:c>
      <ns0:c r="AG95" s="74" t="inlineStr">
        <ns0:is>
          <ns0:t>China International Capital Corporation Hong Kong Securities Limited</ns0:t>
        </ns0:is>
      </ns0:c>
      <ns0:c r="AH95" s="74" t="inlineStr">
        <ns0:is>
          <ns0:t>China International</ns0:t>
        </ns0:is>
      </ns0:c>
      <ns0:c r="AI95" s="86" t="n">
        <ns0:v>0.08</ns0:v>
      </ns0:c>
      <ns0:c r="AJ95" s="87" t="n">
        <ns0:v>18.21</ns0:v>
      </ns0:c>
      <ns0:c r="AK95" s="87" t="n">
        <ns0:v>1.1</ns0:v>
      </ns0:c>
      <ns0:c r="AL95" s="87" t="n">
        <ns0:v>0</ns0:v>
      </ns0:c>
      <ns0:c r="AM95" s="87" t="n">
        <ns0:v>18.21</ns0:v>
      </ns0:c>
      <ns0:c r="AN95" s="88" t="n"/>
      <ns0:c r="AO95" s="78" t="n">
        <ns0:v>21.85</ns0:v>
      </ns0:c>
      <ns0:c r="AP95" s="87" t="n">
        <ns0:v>20.03</ns0:v>
      </ns0:c>
      <ns0:c r="AQ95" s="87" t="n">
        <ns0:v>11.53</ns0:v>
      </ns0:c>
      <ns0:c r="AR95" s="87" t="n">
        <ns0:v>22.31</ns0:v>
      </ns0:c>
      <ns0:c r="AS95" s="87" t="n">
        <ns0:v>1.54</ns0:v>
      </ns0:c>
      <ns0:c r="AT95" s="87" t="n">
        <ns0:v>-5.65</ns0:v>
      </ns0:c>
      <ns0:c r="AU95" s="87" t="n">
        <ns0:v>3.47</ns0:v>
      </ns0:c>
      <ns0:c r="AV95" s="87" t="n">
        <ns0:v>25.37</ns0:v>
      </ns0:c>
      <ns0:c r="AW95" s="87" t="n">
        <ns0:v>28.3</ns0:v>
      </ns0:c>
      <ns0:c r="AX95" s="87" t="n">
        <ns0:v>41.81</ns0:v>
      </ns0:c>
      <ns0:c r="AY95" s="87" t="n">
        <ns0:v>12.02</ns0:v>
      </ns0:c>
      <ns0:c r="AZ95" s="87" t="n">
        <ns0:v>-16.77</ns0:v>
      </ns0:c>
      <ns0:c r="BA95" s="87" t="n">
        <ns0:v>-17.67</ns0:v>
      </ns0:c>
      <ns0:c r="BB95" s="74" t="inlineStr">
        <ns0:is>
          <ns0:t>China Biotech ETF (HS biotech proxy)</ns0:t>
        </ns0:is>
      </ns0:c>
      <ns0:c r="BC95" s="87" t="n">
        <ns0:v>-94.31999999999999</ns0:v>
      </ns0:c>
      <ns0:c r="BD95" s="75" t="n">
        <ns0:v>46297</ns0:v>
      </ns0:c>
      <ns0:c r="BE95" s="76" t="n">
        <ns0:v>0</ns0:v>
      </ns0:c>
      <ns0:c r="BF95" s="79" t="n">
        <ns0:v>-361.9</ns0:v>
      </ns0:c>
      <ns0:c r="BG95" s="74" t="inlineStr">
        <ns0:is>
          <ns0:t>N</ns0:t>
        </ns0:is>
      </ns0:c>
      <ns0:c r="BH95" s="74" t="inlineStr">
        <ns0:is>
          <ns0:t>n/m</ns0:t>
        </ns0:is>
      </ns0:c>
      <ns0:c r="BI95" s="88" t="n"/>
      <ns0:c r="BJ95" s="88" t="n"/>
      <ns0:c r="BK95" s="74" t="inlineStr">
        <ns0:is>
          <ns0:t>pre-rev</ns0:t>
        </ns0:is>
      </ns0:c>
      <ns0:c r="BL95" s="90">
        <ns0:f>IFERROR(IF('BBG Verify'!S95="","Awaiting Bloomberg",'BBG Verify'!S95),"Awaiting Bloomberg")</ns0:f>
        <ns0:v/>
      </ns0:c>
      <ns0:c r="BM95" s="91" t="inlineStr">
        <ns0:is>
          <ns0:t>N</ns0:t>
        </ns0:is>
      </ns0:c>
      <ns0:c r="BN95" s="92">
        <ns0:f>IFERROR(IF('BBG Verify'!K95="","Awaiting Bloomberg",'BBG Verify'!K95),"Awaiting Bloomberg")</ns0:f>
        <ns0:v/>
      </ns0:c>
      <ns0:c r="BO95" s="74" t="inlineStr">
        <ns0:is>
          <ns0:t>N/A</ns0:t>
        </ns0:is>
      </ns0:c>
      <ns0:c r="BP95" s="74" t="inlineStr">
        <ns0:is>
          <ns0:t>N/A</ns0:t>
        </ns0:is>
      </ns0:c>
      <ns0:c r="BQ95" s="74" t="inlineStr">
        <ns0:is>
          <ns0:t>N/A</ns0:t>
        </ns0:is>
      </ns0:c>
      <ns0:c r="BR95" s="74" t="inlineStr">
        <ns0:is>
          <ns0:t>N/A</ns0:t>
        </ns0:is>
      </ns0:c>
      <ns0:c r="BS95" s="74" t="inlineStr">
        <ns0:is>
          <ns0:t>N/A</ns0:t>
        </ns0:is>
      </ns0:c>
      <ns0:c r="BT95" s="74" t="inlineStr">
        <ns0:is>
          <ns0:t>N/A</ns0:t>
        </ns0:is>
      </ns0:c>
      <ns0:c r="BU95" s="91" t="inlineStr">
        <ns0:is>
          <ns0:t>China International Capital Corporation Hong Kong Securities Limited; Nomura International (Hong Kong) Limited</ns0:t>
        </ns0:is>
      </ns0:c>
      <ns0:c r="BV95" s="74" t="inlineStr">
        <ns0:is>
          <ns0:t>China International Capital Corporation Hong Kong Securities Limited</ns0:t>
        </ns0:is>
      </ns0:c>
      <ns0:c r="BW95" s="74" t="inlineStr">
        <ns0:is>
          <ns0:t>China International Capital Corporation Hong Kong Securities Limited; The Hongkong and Shanghai Banking Corporation Limited; Nomura International (Hong Kong) Limited; China Merchants Securities (HK) Co., Limited; China PA Securities (Hong Kong) Company Limited; Alpha Win Capital Limited; Valuable Capital Limited</ns0:t>
        </ns0:is>
      </ns0:c>
      <ns0:c r="BX95" s="74" t="inlineStr">
        <ns0:is>
          <ns0: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ns0:t>
        </ns0:is>
      </ns0:c>
      <ns0:c r="BY95" s="93">
        <ns0:f>HYPERLINK("https://www1.hkexnews.hk/listedco/listconews/sehk/2021/1220/2021122000014.htm","prospectus")</ns0:f>
        <ns0:v/>
      </ns0:c>
      <ns0:c r="BZ95" s="93">
        <ns0:f>HYPERLINK("https://www1.hkexnews.hk/listedco/listconews/sehk/2021/1229/2021122900046.htm","allotment")</ns0:f>
        <ns0:v/>
      </ns0:c>
      <ns0:c r="CA95" s="93">
        <ns0:f>HYPERLINK("https://www1.hkexnews.hk/listedco/listconews/sehk/2022/0123/2022012300079.pdf","stabilisation")</ns0:f>
        <ns0:v/>
      </ns0:c>
      <ns0:c r="CB95" s="94" t="n"/>
      <ns0:c r="CC95" s="74" t="inlineStr">
        <ns0:is>
          <ns0:t>P/E: loss-making at IPO, use P/S; price range: fixed-price offering (no indicative range); range low: maximum offer price only, no floor published; market cap: prospectus cap HK$5,804m at HK$72.70, rescaled to HK$65.90; P/S: pre-revenue issuer, no sales multiple; allocation: allocation table not in this notice's format (older prose announcement); day-1 tape: volume on file; the retail multiple needs the final public split, which this notice does not state</ns0:t>
        </ns0:is>
      </ns0:c>
    </ns0:row>
    <ns0:row r="96" ht="22" customHeight="1">
      <ns0:c r="A96" s="73" t="inlineStr">
        <ns0:is>
          <ns0:t>0020</ns0:t>
        </ns0:is>
      </ns0:c>
      <ns0:c r="B96" s="74" t="inlineStr">
        <ns0:is>
          <ns0:t>SENSETIME-W</ns0:t>
        </ns0:is>
      </ns0:c>
      <ns0:c r="C96" s="74" t="inlineStr">
        <ns0:is>
          <ns0:t>商湯－Ｗ</ns0:t>
        </ns0:is>
      </ns0:c>
      <ns0:c r="D96" s="74" t="inlineStr">
        <ns0:is>
          <ns0:t>Technology</ns0:t>
        </ns0:is>
      </ns0:c>
      <ns0:c r="E96" s="74" t="inlineStr">
        <ns0:is>
          <ns0:t>Software &amp; AI</ns0:t>
        </ns0:is>
      </ns0:c>
      <ns0:c r="F96" s="74" t="inlineStr">
        <ns0:is>
          <ns0:t>Application Software</ns0:t>
        </ns0:is>
      </ns0:c>
      <ns0:c r="G96" s="74" t="inlineStr">
        <ns0:is>
          <ns0:t>WVR</ns0:t>
        </ns0:is>
      </ns0:c>
      <ns0:c r="H96" s="75" t="n">
        <ns0:v>44560</ns0:v>
      </ns0:c>
      <ns0:c r="I96" s="76" t="n">
        <ns0:v>5775</ns0:v>
      </ns0:c>
      <ns0:c r="J96" s="74" t="inlineStr">
        <ns0:is>
          <ns0:t>gross (price x shares)</ns0:t>
        </ns0:is>
      </ns0:c>
      <ns0:c r="K96" s="77" t="n">
        <ns0:v>3.85</ns0:v>
      </ns0:c>
      <ns0:c r="L96" s="77" t="n">
        <ns0:v>3.99</ns0:v>
      </ns0:c>
      <ns0:c r="M96" s="77" t="n">
        <ns0:v>3.85</ns0:v>
      </ns0:c>
      <ns0:c r="N96" s="74" t="inlineStr">
        <ns0:is>
          <ns0:t>N</ns0:t>
        </ns0:is>
      </ns0:c>
      <ns0:c r="O96" s="78" t="n">
        <ns0:v>96.5</ns0:v>
      </ns0:c>
      <ns0:c r="P96" s="78" t="n">
        <ns0:v>0</ns0:v>
      </ns0:c>
      <ns0:c r="Q96" s="79" t="n">
        <ns0:v>133529.9</ns0:v>
      </ns0:c>
      <ns0:c r="R96" s="74" t="inlineStr">
        <ns0:is>
          <ns0:t>aastocks:上市市值 at the struck price</ns0:t>
        </ns0:is>
      </ns0:c>
      <ns0:c r="S96" s="80" t="n">
        <ns0:v>5.18</ns0:v>
      </ns0:c>
      <ns0:c r="T96" s="81" t="n">
        <ns0:v>1.5</ns0:v>
      </ns0:c>
      <ns0:c r="U96" s="82" t="n">
        <ns0:v>68.89</ns0:v>
      </ns0:c>
      <ns0:c r="V96" s="83" t="n">
        <ns0:v>132</ns0:v>
      </ns0:c>
      <ns0:c r="W96" s="84" t="n"/>
      <ns0:c r="X96" s="85" t="n"/>
      <ns0:c r="Y96" s="79" t="n">
        <ns0:v>1796.6</ns0:v>
      </ns0:c>
      <ns0:c r="Z96" s="79" t="n">
        <ns0:v>466650000</ns0:v>
      </ns0:c>
      <ns0:c r="AA96" s="78" t="n">
        <ns0:v>1.35</ns0:v>
      </ns0:c>
      <ns0:c r="AB96" s="74" t="inlineStr">
        <ns0:is>
          <ns0:t>C-MER Eye Care Holdings Limited; Guosheng Overseas Holdings (Hong Kong) Limited; Guotai Junan Investments (Hong Kong) Limited; HKSTP Venture Fund; SAIC Motor HK Investment Limited; Shanghai Artificial Intelligence Industry Equity Investment Fund Partnership; Shanghai Xuhui Capital Investment Co., Ltd; Taizhou Culture &amp; Tourism Development Group Ltd; The China State-owned Enterprise Mixed Ownership Reform Fund Co., Ltd</ns0:t>
        </ns0:is>
      </ns0:c>
      <ns0:c r="AC96" s="74" t="inlineStr">
        <ns0:is>
          <ns0:t>mer;guosheng;guotai;hkstp;saic;shanghai-artificial;shanghai-xuhui;taizhou;state-owned</ns0:t>
        </ns0:is>
      </ns0:c>
      <ns0:c r="AD96" s="84" t="n"/>
      <ns0:c r="AE96" s="74" t="inlineStr">
        <ns0:is>
          <ns0:t>full</ns0:t>
        </ns0:is>
      </ns0:c>
      <ns0:c r="AF96" s="74" t="inlineStr">
        <ns0:is>
          <ns0:t>2022-01-22</ns0:t>
        </ns0:is>
      </ns0:c>
      <ns0:c r="AG96" s="74" t="inlineStr">
        <ns0:is>
          <ns0:t>China International Capital Corporation Hong Kong Securities Limited</ns0:t>
        </ns0:is>
      </ns0:c>
      <ns0:c r="AH96" s="74" t="inlineStr">
        <ns0:is>
          <ns0:t>China International</ns0:t>
        </ns0:is>
      </ns0:c>
      <ns0:c r="AI96" s="86" t="n">
        <ns0:v>-0.52</ns0:v>
      </ns0:c>
      <ns0:c r="AJ96" s="87" t="n">
        <ns0:v>7.27</ns0:v>
      </ns0:c>
      <ns0:c r="AK96" s="87" t="n">
        <ns0:v>0.28</ns0:v>
      </ns0:c>
      <ns0:c r="AL96" s="87" t="n">
        <ns0:v>1.56</ns0:v>
      </ns0:c>
      <ns0:c r="AM96" s="87" t="n">
        <ns0:v>5.62</ns0:v>
      </ns0:c>
      <ns0:c r="AN96" s="88" t="n"/>
      <ns0:c r="AO96" s="78" t="n">
        <ns0:v>21.48</ns0:v>
      </ns0:c>
      <ns0:c r="AP96" s="87" t="n">
        <ns0:v>106.49</ns0:v>
      </ns0:c>
      <ns0:c r="AQ96" s="87" t="n">
        <ns0:v>64.16</ns0:v>
      </ns0:c>
      <ns0:c r="AR96" s="87" t="n">
        <ns0:v>58.96</ns0:v>
      </ns0:c>
      <ns0:c r="AS96" s="87" t="n">
        <ns0:v>92.5</ns0:v>
      </ns0:c>
      <ns0:c r="AT96" s="87" t="n">
        <ns0:v>53.03</ns0:v>
      </ns0:c>
      <ns0:c r="AU96" s="87" t="n">
        <ns0:v>48.19</ns0:v>
      </ns0:c>
      <ns0:c r="AV96" s="87" t="n">
        <ns0:v>107.69</ns0:v>
      </ns0:c>
      <ns0:c r="AW96" s="87" t="n">
        <ns0:v>67.31</ns0:v>
      </ns0:c>
      <ns0:c r="AX96" s="87" t="n">
        <ns0:v>75.63</ns0:v>
      </ns0:c>
      <ns0:c r="AY96" s="87" t="n">
        <ns0:v>56.45</ns0:v>
      </ns0:c>
      <ns0:c r="AZ96" s="87" t="n">
        <ns0:v>-3.15</ns0:v>
      </ns0:c>
      <ns0:c r="BA96" s="87" t="n">
        <ns0:v>-3.42</ns0:v>
      </ns0:c>
      <ns0:c r="BB96" s="74" t="inlineStr">
        <ns0:is>
          <ns0:t>HSTECH (Hang Seng TECH ETF)</ns0:t>
        </ns0:is>
      </ns0:c>
      <ns0:c r="BC96" s="87" t="n">
        <ns0:v>-68.95999999999999</ns0:v>
      </ns0:c>
      <ns0:c r="BD96" s="75" t="n">
        <ns0:v>46297</ns0:v>
      </ns0:c>
      <ns0:c r="BE96" s="76" t="n">
        <ns0:v>5170.3</ns0:v>
      </ns0:c>
      <ns0:c r="BF96" s="79" t="n">
        <ns0:v>-18854.1</ns0:v>
      </ns0:c>
      <ns0:c r="BG96" s="74" t="inlineStr">
        <ns0:is>
          <ns0:t>N</ns0:t>
        </ns0:is>
      </ns0:c>
      <ns0:c r="BH96" s="74" t="inlineStr">
        <ns0:is>
          <ns0:t>n/m</ns0:t>
        </ns0:is>
      </ns0:c>
      <ns0:c r="BI96" s="88" t="n"/>
      <ns0:c r="BJ96" s="88" t="n"/>
      <ns0:c r="BK96" s="89" t="n">
        <ns0:v>25.8</ns0:v>
      </ns0:c>
      <ns0:c r="BL96" s="90">
        <ns0:f>IFERROR(IF('BBG Verify'!S96="","Awaiting Bloomberg",'BBG Verify'!S96),"Awaiting Bloomberg")</ns0:f>
        <ns0:v/>
      </ns0:c>
      <ns0:c r="BM96" s="91" t="inlineStr">
        <ns0:is>
          <ns0:t>N</ns0:t>
        </ns0:is>
      </ns0:c>
      <ns0:c r="BN96" s="92">
        <ns0:f>IFERROR(IF('BBG Verify'!K96="","Awaiting Bloomberg",'BBG Verify'!K96),"Awaiting Bloomberg")</ns0:f>
        <ns0:v/>
      </ns0:c>
      <ns0:c r="BO96" s="74" t="inlineStr">
        <ns0:is>
          <ns0:t>N/A</ns0:t>
        </ns0:is>
      </ns0:c>
      <ns0:c r="BP96" s="74" t="inlineStr">
        <ns0:is>
          <ns0:t>N/A</ns0:t>
        </ns0:is>
      </ns0:c>
      <ns0:c r="BQ96" s="74" t="inlineStr">
        <ns0:is>
          <ns0:t>N/A</ns0:t>
        </ns0:is>
      </ns0:c>
      <ns0:c r="BR96" s="74" t="inlineStr">
        <ns0:is>
          <ns0:t>N/A</ns0:t>
        </ns0:is>
      </ns0:c>
      <ns0:c r="BS96" s="74" t="inlineStr">
        <ns0:is>
          <ns0:t>N/A</ns0:t>
        </ns0:is>
      </ns0:c>
      <ns0:c r="BT96" s="74" t="inlineStr">
        <ns0:is>
          <ns0:t>N/A</ns0:t>
        </ns0:is>
      </ns0:c>
      <ns0:c r="BU96" s="91" t="inlineStr">
        <ns0:is>
          <ns0:t>CICC; Haitong International; HSBC</ns0:t>
        </ns0:is>
      </ns0:c>
      <ns0:c r="BV96" s="74" t="inlineStr">
        <ns0:is>
          <ns0:t>China International Capital Corporation Hong Kong Securities Limited; Haitong International Capital Limited; The Hongkong and Shanghai Banking Corporation Limited; HSBC Corporate Finance (Hong Kong) Limited</ns0:t>
        </ns0:is>
      </ns0:c>
      <ns0:c r="BW96" s="74" t="inlineStr">
        <ns0:is>
          <ns0:t>CMB International Capital Limited; DBS Asia Capital Limited; China Merchants Securities (HK) Co., Limited; BOCI Asia Limited; S AMENDMENTS TO THE PROSPECTUS CCB International Capital Limited; UOB Kay Hian (Hong Kong) Limited; ICBC International Capital Limited; Lu International (Hong Kong) Limited; ABCI Capital Limited; Orient Securities (Hong Kong) Limited; Futu Securities International (Hong Kong) Limited; Zero2IPO Securities Limited</ns0:t>
        </ns0:is>
      </ns0:c>
      <ns0:c r="BX96" s="74" t="inlineStr">
        <ns0:is>
          <ns0: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ns0:t>
        </ns0:is>
      </ns0:c>
      <ns0:c r="BY96" s="93">
        <ns0:f>HYPERLINK("https://www1.hkexnews.hk/listedco/listconews/sehk/2021/1220/2021122000084.htm","prospectus")</ns0:f>
        <ns0:v/>
      </ns0:c>
      <ns0:c r="BZ96" s="93">
        <ns0:f>HYPERLINK("https://www1.hkexnews.hk/listedco/listconews/sehk/2021/1229/2021122900058.htm","allotment")</ns0:f>
        <ns0:v/>
      </ns0:c>
      <ns0:c r="CA96" s="93">
        <ns0:f>HYPERLINK("https://www1.hkexnews.hk/listedco/listconews/sehk/2022/0123/2022012300035.pdf","stabilisation")</ns0:f>
        <ns0:v/>
      </ns0:c>
      <ns0:c r="CB96" s="94" t="n"/>
      <ns0:c r="CC96" s="74" t="inlineStr">
        <ns0:is>
          <ns0:t>P/E: loss-making at IPO, use P/S; A/H: no A-share listing; nearest A proxy CloudWalk Technology (688327.SS); greenshoe size: no over-allotment option; allocation: allocation table not in this notice's format (older prose announcement); day-1 tape: volume on file; the retail multiple needs the final public split, which this notice does not state</ns0:t>
        </ns0:is>
      </ns0:c>
    </ns0:row>
    <ns0:row r="97" ht="22" customHeight="1">
      <ns0:c r="A97" s="73" t="inlineStr">
        <ns0:is>
          <ns0:t>2260</ns0:t>
        </ns0:is>
      </ns0:c>
      <ns0:c r="B97" s="74" t="inlineStr">
        <ns0:is>
          <ns0:t>VANOV HOLDINGS</ns0:t>
        </ns0:is>
      </ns0:c>
      <ns0:c r="C97" s="74" t="inlineStr">
        <ns0:is>
          <ns0:t>環龍控股</ns0:t>
        </ns0:is>
      </ns0:c>
      <ns0:c r="D97" s="74" t="inlineStr">
        <ns0:is>
          <ns0:t>Industrials</ns0:t>
        </ns0:is>
      </ns0:c>
      <ns0:c r="E97" s="74" t="inlineStr">
        <ns0:is>
          <ns0:t>Capital goods / machinery</ns0:t>
        </ns0:is>
      </ns0:c>
      <ns0:c r="F97" s="74" t="inlineStr">
        <ns0:is>
          <ns0:t>Paper Products</ns0:t>
        </ns0:is>
      </ns0:c>
      <ns0:c r="G97" s="74" t="inlineStr">
        <ns0:is>
          <ns0:t>Standard</ns0:t>
        </ns0:is>
      </ns0:c>
      <ns0:c r="H97" s="75" t="n">
        <ns0:v>44572</ns0:v>
      </ns0:c>
      <ns0:c r="I97" s="76" t="n">
        <ns0:v>139.3</ns0:v>
      </ns0:c>
      <ns0:c r="J97" s="74" t="inlineStr">
        <ns0:is>
          <ns0:t>gross (price x shares)</ns0:t>
        </ns0:is>
      </ns0:c>
      <ns0:c r="K97" s="95" t="n"/>
      <ns0:c r="L97" s="77" t="n">
        <ns0:v>1.22</ns0:v>
      </ns0:c>
      <ns0:c r="M97" s="77" t="n">
        <ns0:v>1.22</ns0:v>
      </ns0:c>
      <ns0:c r="N97" s="74" t="inlineStr">
        <ns0:is>
          <ns0:t>Y</ns0:t>
        </ns0:is>
      </ns0:c>
      <ns0:c r="O97" s="78" t="n">
        <ns0:v>100</ns0:v>
      </ns0:c>
      <ns0:c r="P97" s="84" t="n"/>
      <ns0:c r="Q97" s="79" t="n">
        <ns0:v>643</ns0:v>
      </ns0:c>
      <ns0:c r="R97" s="74" t="inlineStr">
        <ns0:is>
          <ns0:t>aastocks:上市市值 at the struck price</ns0:t>
        </ns0:is>
      </ns0:c>
      <ns0:c r="S97" s="80" t="n">
        <ns0:v>13.66</ns0:v>
      </ns0:c>
      <ns0:c r="T97" s="81" t="n">
        <ns0:v>13.66</ns0:v>
      </ns0:c>
      <ns0:c r="U97" s="82" t="n">
        <ns0:v>15.9</ns0:v>
      </ns0:c>
      <ns0:c r="V97" s="83" t="n">
        <ns0:v>163</ns0:v>
      </ns0:c>
      <ns0:c r="W97" s="84" t="n"/>
      <ns0:c r="X97" s="85" t="n"/>
      <ns0:c r="Y97" s="79" t="n">
        <ns0:v>117.15</ns0:v>
      </ns0:c>
      <ns0:c r="Z97" s="79" t="n">
        <ns0:v>96042200</ns0:v>
      </ns0:c>
      <ns0:c r="AA97" s="78" t="n">
        <ns0:v>18.22</ns0:v>
      </ns0:c>
      <ns0:c r="AB97" s="74" t="inlineStr">
        <ns0:is>
          <ns0:t>Chen Xiong; Gong Chaohui</ns0:t>
        </ns0:is>
      </ns0:c>
      <ns0:c r="AC97" s="74" t="inlineStr">
        <ns0:is>
          <ns0:t>chen-xiong;gong</ns0:t>
        </ns0:is>
      </ns0:c>
      <ns0:c r="AD97" s="84" t="n"/>
      <ns0:c r="AE97" s="74" t="inlineStr">
        <ns0:is>
          <ns0:t>partial</ns0:t>
        </ns0:is>
      </ns0:c>
      <ns0:c r="AF97" s="85" t="n"/>
      <ns0:c r="AG97" s="74" t="inlineStr">
        <ns0:is>
          <ns0:t>CMBC Securities Company Limited</ns0:t>
        </ns0:is>
      </ns0:c>
      <ns0:c r="AH97" s="74" t="inlineStr">
        <ns0:is>
          <ns0:t>CMBC</ns0:t>
        </ns0:is>
      </ns0:c>
      <ns0:c r="AI97" s="86" t="n">
        <ns0:v>3.28</ns0:v>
      </ns0:c>
      <ns0:c r="AJ97" s="87" t="n">
        <ns0:v>0.82</ns0:v>
      </ns0:c>
      <ns0:c r="AK97" s="87" t="n">
        <ns0:v>0.02</ns0:v>
      </ns0:c>
      <ns0:c r="AL97" s="87" t="n">
        <ns0:v>4.1</ns0:v>
      </ns0:c>
      <ns0:c r="AM97" s="87" t="n">
        <ns0:v>-3.15</ns0:v>
      </ns0:c>
      <ns0:c r="AN97" s="88" t="n"/>
      <ns0:c r="AO97" s="78" t="n">
        <ns0:v>19.69</ns0:v>
      </ns0:c>
      <ns0:c r="AP97" s="87" t="n">
        <ns0:v>0.82</ns0:v>
      </ns0:c>
      <ns0:c r="AQ97" s="87" t="n">
        <ns0:v>0</ns0:v>
      </ns0:c>
      <ns0:c r="AR97" s="87" t="n">
        <ns0:v>0</ns0:v>
      </ns0:c>
      <ns0:c r="AS97" s="87" t="n">
        <ns0:v>0</ns0:v>
      </ns0:c>
      <ns0:c r="AT97" s="87" t="n">
        <ns0:v>-0.8100000000000001</ns0:v>
      </ns0:c>
      <ns0:c r="AU97" s="87" t="n">
        <ns0:v>-0.8100000000000001</ns0:v>
      </ns0:c>
      <ns0:c r="AV97" s="87" t="n">
        <ns0:v>-1.01</ns0:v>
      </ns0:c>
      <ns0:c r="AW97" s="87" t="n">
        <ns0:v>-0.55</ns0:v>
      </ns0:c>
      <ns0:c r="AX97" s="87" t="n">
        <ns0:v>15.79</ns0:v>
      </ns0:c>
      <ns0:c r="AY97" s="87" t="n">
        <ns0:v>-1.34</ns0:v>
      </ns0:c>
      <ns0:c r="AZ97" s="87" t="n">
        <ns0:v>0.55</ns0:v>
      </ns0:c>
      <ns0:c r="BA97" s="87" t="n">
        <ns0:v>0.53</ns0:v>
      </ns0:c>
      <ns0:c r="BB97" s="74" t="inlineStr">
        <ns0:is>
          <ns0:t>Hang Seng Commerce &amp; Industry sub-index</ns0:t>
        </ns0:is>
      </ns0:c>
      <ns0:c r="BC97" s="87" t="n">
        <ns0:v>-1.23</ns0:v>
      </ns0:c>
      <ns0:c r="BD97" s="75" t="n">
        <ns0:v>46297</ns0:v>
      </ns0:c>
      <ns0:c r="BE97" s="76" t="n">
        <ns0:v>201</ns0:v>
      </ns0:c>
      <ns0:c r="BF97" s="79" t="n">
        <ns0:v>45.1</ns0:v>
      </ns0:c>
      <ns0:c r="BG97" s="74" t="inlineStr">
        <ns0:is>
          <ns0:t>Y</ns0:t>
        </ns0:is>
      </ns0:c>
      <ns0:c r="BH97" s="89" t="n">
        <ns0:v>14.3</ns0:v>
      </ns0:c>
      <ns0:c r="BI97" s="89" t="n">
        <ns0:v>7.4</ns0:v>
      </ns0:c>
      <ns0:c r="BJ97" s="89" t="n">
        <ns0:v>14.8</ns0:v>
      </ns0:c>
      <ns0:c r="BK97" s="89" t="n">
        <ns0:v>3.2</ns0:v>
      </ns0:c>
      <ns0:c r="BL97" s="90">
        <ns0:f>IFERROR(IF('BBG Verify'!S97="","Awaiting Bloomberg",'BBG Verify'!S97),"Awaiting Bloomberg")</ns0:f>
        <ns0:v/>
      </ns0:c>
      <ns0:c r="BM97" s="91" t="inlineStr">
        <ns0:is>
          <ns0:t>N</ns0:t>
        </ns0:is>
      </ns0:c>
      <ns0:c r="BN97" s="92">
        <ns0:f>IFERROR(IF('BBG Verify'!K97="","Awaiting Bloomberg",'BBG Verify'!K97),"Awaiting Bloomberg")</ns0:f>
        <ns0:v/>
      </ns0:c>
      <ns0:c r="BO97" s="74" t="inlineStr">
        <ns0:is>
          <ns0:t>N/A</ns0:t>
        </ns0:is>
      </ns0:c>
      <ns0:c r="BP97" s="74" t="inlineStr">
        <ns0:is>
          <ns0:t>N/A</ns0:t>
        </ns0:is>
      </ns0:c>
      <ns0:c r="BQ97" s="74" t="inlineStr">
        <ns0:is>
          <ns0:t>N/A</ns0:t>
        </ns0:is>
      </ns0:c>
      <ns0:c r="BR97" s="74" t="inlineStr">
        <ns0:is>
          <ns0:t>N/A</ns0:t>
        </ns0:is>
      </ns0:c>
      <ns0:c r="BS97" s="74" t="inlineStr">
        <ns0:is>
          <ns0:t>N/A</ns0:t>
        </ns0:is>
      </ns0:c>
      <ns0:c r="BT97" s="74" t="inlineStr">
        <ns0:is>
          <ns0:t>N/A</ns0:t>
        </ns0:is>
      </ns0:c>
      <ns0:c r="BU97" s="91" t="inlineStr">
        <ns0:is>
          <ns0:t>CMBC International Capital Limited</ns0:t>
        </ns0:is>
      </ns0:c>
      <ns0:c r="BV97" s="74" t="inlineStr">
        <ns0:is>
          <ns0:t>CMBC International Capital Limited</ns0:t>
        </ns0:is>
      </ns0:c>
      <ns0:c r="BW97" s="74" t="inlineStr">
        <ns0:is>
          <ns0:t>CMBC Securities Company Limited; ABCI Capital Limited; CCB International Capital Limited; Essence International Securities (Hong Kong) Limited; CEB International Capital Corporation Limited; China Everbright Securities (HK) Limited; China Industrial Securities International Capital Limited; Livermore Holdings Limited; SBI China Capital Financial Services Limited; China Tonghai Securities Limited; Zhongtai International Securities Limited</ns0:t>
        </ns0:is>
      </ns0:c>
      <ns0:c r="BX97" s="74" t="inlineStr">
        <ns0:is>
          <ns0: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ns0:t>
        </ns0:is>
      </ns0:c>
      <ns0:c r="BY97" s="93">
        <ns0:f>HYPERLINK("https://www1.hkexnews.hk/listedco/listconews/sehk/2021/1229/2021122900078.htm","prospectus")</ns0:f>
        <ns0:v/>
      </ns0:c>
      <ns0:c r="BZ97" s="93">
        <ns0:f>HYPERLINK("https://www1.hkexnews.hk/listedco/listconews/sehk/2022/0110/2022011000034.htm","allotment")</ns0:f>
        <ns0:v/>
      </ns0:c>
      <ns0:c r="CA97" s="93">
        <ns0:f>HYPERLINK("https://www1.hkexnews.hk/listedco/listconews/sehk/2022/0204/2022020400047.pdf","stabilisation")</ns0:f>
        <ns0:v/>
      </ns0:c>
      <ns0:c r="CB97" s="94" t="n"/>
      <ns0:c r="CC97" s="74" t="inlineStr">
        <ns0:is>
          <ns0:t>greenshoe: outcome published; expiry date not in the notice; price range: fixed-price offering (no indicative range); range low: maximum offer price only, no floor published; greenshoe size: no over-allotment option; allocation: allocation table not in this notice's format (older prose announcement); day-1 tape: volume on file; the retail multiple needs the final public split, which this notice does not state</ns0:t>
        </ns0:is>
      </ns0:c>
    </ns0:row>
    <ns0:row r="98" ht="22" customHeight="1">
      <ns0:c r="A98" s="73" t="inlineStr">
        <ns0:is>
          <ns0:t>6680</ns0:t>
        </ns0:is>
      </ns0:c>
      <ns0:c r="B98" s="74" t="inlineStr">
        <ns0:is>
          <ns0:t>JLMAG</ns0:t>
        </ns0:is>
      </ns0:c>
      <ns0:c r="C98" s="74" t="inlineStr">
        <ns0:is>
          <ns0:t>金力永磁</ns0:t>
        </ns0:is>
      </ns0:c>
      <ns0:c r="D98" s="74" t="inlineStr">
        <ns0:is>
          <ns0:t>Industrials</ns0:t>
        </ns0:is>
      </ns0:c>
      <ns0:c r="E98" s="74" t="inlineStr">
        <ns0:is>
          <ns0:t>Capital goods / machinery</ns0:t>
        </ns0:is>
      </ns0:c>
      <ns0:c r="F98" s="74" t="inlineStr">
        <ns0:is>
          <ns0:t>Diversified Metals &amp; Minerals</ns0:t>
        </ns0:is>
      </ns0:c>
      <ns0:c r="G98" s="74" t="inlineStr">
        <ns0:is>
          <ns0:t>Standard</ns0:t>
        </ns0:is>
      </ns0:c>
      <ns0:c r="H98" s="75" t="n">
        <ns0:v>44575</ns0:v>
      </ns0:c>
      <ns0:c r="I98" s="76" t="n">
        <ns0:v>4240.8</ns0:v>
      </ns0:c>
      <ns0:c r="J98" s="74" t="inlineStr">
        <ns0:is>
          <ns0:t>gross (price x shares)</ns0:t>
        </ns0:is>
      </ns0:c>
      <ns0:c r="K98" s="77" t="n">
        <ns0:v>33.8</ns0:v>
      </ns0:c>
      <ns0:c r="L98" s="77" t="n">
        <ns0:v>40.3</ns0:v>
      </ns0:c>
      <ns0:c r="M98" s="77" t="n">
        <ns0:v>33.8</ns0:v>
      </ns0:c>
      <ns0:c r="N98" s="74" t="inlineStr">
        <ns0:is>
          <ns0:t>N</ns0:t>
        </ns0:is>
      </ns0:c>
      <ns0:c r="O98" s="78" t="n">
        <ns0:v>83.90000000000001</ns0:v>
      </ns0:c>
      <ns0:c r="P98" s="78" t="n">
        <ns0:v>0</ns0:v>
      </ns0:c>
      <ns0:c r="Q98" s="79" t="n">
        <ns0:v>32831.6</ns0:v>
      </ns0:c>
      <ns0:c r="R98" s="74" t="inlineStr">
        <ns0:is>
          <ns0:t>aastocks:上市市值 at the struck price</ns0:t>
        </ns0:is>
      </ns0:c>
      <ns0:c r="S98" s="80" t="n">
        <ns0:v>15</ns0:v>
      </ns0:c>
      <ns0:c r="T98" s="81" t="n">
        <ns0:v>1.57</ns0:v>
      </ns0:c>
      <ns0:c r="U98" s="82" t="n">
        <ns0:v>50.56</ns0:v>
      </ns0:c>
      <ns0:c r="V98" s="83" t="n">
        <ns0:v>161</ns0:v>
      </ns0:c>
      <ns0:c r="W98" s="84" t="n"/>
      <ns0:c r="X98" s="85" t="n"/>
      <ns0:c r="Y98" s="79" t="n">
        <ns0:v>2096.65</ns0:v>
      </ns0:c>
      <ns0:c r="Z98" s="79" t="n">
        <ns0:v>62030390</ns0:v>
      </ns0:c>
      <ns0:c r="AA98" s="78" t="n">
        <ns0:v>6.39</ns0:v>
      </ns0:c>
      <ns0:c r="AB98" s="74" t="inlineStr">
        <ns0:is>
          <ns0:t>CITIC-Prudential Life Insurance Company Limited; CR Alpha Investment II Limited; SINO-BLR Industrial Investment Fund, L.P; The China State-owned Enterprise Mixed Ownership Reform Fund Co., Ltd</ns0:t>
        </ns0:is>
      </ns0:c>
      <ns0:c r="AC98" s="74" t="inlineStr">
        <ns0:is>
          <ns0:t>citic;cr;sino-blr;state-owned</ns0:t>
        </ns0:is>
      </ns0:c>
      <ns0:c r="AD98" s="78" t="n">
        <ns0:v>15</ns0:v>
      </ns0:c>
      <ns0:c r="AE98" s="74" t="inlineStr">
        <ns0:is>
          <ns0:t>lapsed</ns0:t>
        </ns0:is>
      </ns0:c>
      <ns0:c r="AF98" s="74" t="inlineStr">
        <ns0:is>
          <ns0:t>2022-02-06</ns0:t>
        </ns0:is>
      </ns0:c>
      <ns0:c r="AG98" s="85" t="n"/>
      <ns0:c r="AH98" s="85" t="n"/>
      <ns0:c r="AI98" s="86" t="n">
        <ns0:v>-17.6</ns0:v>
      </ns0:c>
      <ns0:c r="AJ98" s="87" t="n">
        <ns0:v>-16.57</ns0:v>
      </ns0:c>
      <ns0:c r="AK98" s="87" t="n">
        <ns0:v>-0.72</ns0:v>
      </ns0:c>
      <ns0:c r="AL98" s="87" t="n">
        <ns0:v>-8.880000000000001</ns0:v>
      </ns0:c>
      <ns0:c r="AM98" s="87" t="n">
        <ns0:v>-8.44</ns0:v>
      </ns0:c>
      <ns0:c r="AN98" s="88" t="n"/>
      <ns0:c r="AO98" s="78" t="n">
        <ns0:v>9.09</ns0:v>
      </ns0:c>
      <ns0:c r="AP98" s="87" t="n">
        <ns0:v>-19.23</ns0:v>
      </ns0:c>
      <ns0:c r="AQ98" s="87" t="n">
        <ns0:v>-11.54</ns0:v>
      </ns0:c>
      <ns0:c r="AR98" s="87" t="n">
        <ns0:v>-35.06</ns0:v>
      </ns0:c>
      <ns0:c r="AS98" s="87" t="n">
        <ns0:v>-3.19</ns0:v>
      </ns0:c>
      <ns0:c r="AT98" s="87" t="n">
        <ns0:v>6.03</ns0:v>
      </ns0:c>
      <ns0:c r="AU98" s="87" t="n">
        <ns0:v>-22.16</ns0:v>
      </ns0:c>
      <ns0:c r="AV98" s="87" t="n">
        <ns0:v>-20.73</ns0:v>
      </ns0:c>
      <ns0:c r="AW98" s="87" t="n">
        <ns0:v>-10.29</ns0:v>
      </ns0:c>
      <ns0:c r="AX98" s="87" t="n">
        <ns0:v>-11.36</ns0:v>
      </ns0:c>
      <ns0:c r="AY98" s="87" t="n">
        <ns0:v>6.57</ns0:v>
      </ns0:c>
      <ns0:c r="AZ98" s="87" t="n">
        <ns0:v>-1.25</ns0:v>
      </ns0:c>
      <ns0:c r="BA98" s="87" t="n">
        <ns0:v>-0.54</ns0:v>
      </ns0:c>
      <ns0:c r="BB98" s="74" t="inlineStr">
        <ns0:is>
          <ns0:t>Hang Seng Commerce &amp; Industry sub-index</ns0:t>
        </ns0:is>
      </ns0:c>
      <ns0:c r="BC98" s="87" t="n">
        <ns0:v>-29.94</ns0:v>
      </ns0:c>
      <ns0:c r="BD98" s="75" t="n">
        <ns0:v>46297</ns0:v>
      </ns0:c>
      <ns0:c r="BE98" s="76" t="n">
        <ns0:v>2517.5</ns0:v>
      </ns0:c>
      <ns0:c r="BF98" s="79" t="n">
        <ns0:v>-0.7</ns0:v>
      </ns0:c>
      <ns0:c r="BG98" s="74" t="inlineStr">
        <ns0:is>
          <ns0:t>N</ns0:t>
        </ns0:is>
      </ns0:c>
      <ns0:c r="BH98" s="74" t="inlineStr">
        <ns0:is>
          <ns0:t>n/m</ns0:t>
        </ns0:is>
      </ns0:c>
      <ns0:c r="BI98" s="89" t="n">
        <ns0:v>30.9</ns0:v>
      </ns0:c>
      <ns0:c r="BJ98" s="89" t="n">
        <ns0:v>27.9</ns0:v>
      </ns0:c>
      <ns0:c r="BK98" s="89" t="n">
        <ns0:v>13</ns0:v>
      </ns0:c>
      <ns0:c r="BL98" s="90">
        <ns0:f>IFERROR(IF('BBG Verify'!S98="","Awaiting Bloomberg",'BBG Verify'!S98),"Awaiting Bloomberg")</ns0:f>
        <ns0:v/>
      </ns0:c>
      <ns0:c r="BM98" s="91" t="inlineStr">
        <ns0:is>
          <ns0:t>Y</ns0:t>
        </ns0:is>
      </ns0:c>
      <ns0:c r="BN98" s="74" t="inlineStr">
        <ns0:is>
          <ns0:t>300748.SZ</ns0:t>
        </ns0:is>
      </ns0:c>
      <ns0:c r="BO98" s="87" t="n">
        <ns0:v>38.51</ns0:v>
      </ns0:c>
      <ns0:c r="BP98" s="77" t="n">
        <ns0:v>46.8177</ns0:v>
      </ns0:c>
      <ns0:c r="BQ98" s="101" t="n">
        <ns0:v>0.9062</ns0:v>
      </ns0:c>
      <ns0:c r="BR98" s="79" t="n">
        <ns0:v>39007.7</ns0:v>
      </ns0:c>
      <ns0:c r="BS98" s="90">
        <ns0:f>IFERROR(IF('BBG Verify'!Q98="","Awaiting Bloomberg",'BBG Verify'!Q98),"Awaiting Bloomberg")</ns0:f>
        <ns0:v/>
      </ns0:c>
      <ns0:c r="BT98" s="90">
        <ns0:f>IFERROR(IF('BBG Verify'!R98="","Awaiting Bloomberg",'BBG Verify'!R98),"Awaiting Bloomberg")</ns0:f>
        <ns0:v/>
      </ns0:c>
      <ns0:c r="BU98" s="91" t="inlineStr">
        <ns0:is>
          <ns0:t>CLSA Capital Markets Limited; BNP Paribas Securities (Asia) Limited</ns0:t>
        </ns0:is>
      </ns0:c>
      <ns0:c r="BV98" s="74" t="inlineStr">
        <ns0:is>
          <ns0:t>BNP Paribas Securities (Asia) Limited; CLSA Capital Markets Limited</ns0:t>
        </ns0:is>
      </ns0:c>
      <ns0:c r="BW98" s="74" t="inlineStr">
        <ns0:is>
          <ns0:t>CLSA Limited; BNP Paribas Securities (Asia) Limited; DBS Asia Capital Limited</ns0:t>
        </ns0:is>
      </ns0:c>
      <ns0:c r="BX98" s="74" t="inlineStr">
        <ns0:is>
          <ns0:t>BNP Paribas Securities (Asia) Limited; CLSA Limited; DBS Asia Capital Limited; Futu Securities International (Hong Kong) Limited; Livermore Holdings Limited</ns0:t>
        </ns0:is>
      </ns0:c>
      <ns0:c r="BY98" s="93">
        <ns0:f>HYPERLINK("https://www1.hkexnews.hk/listedco/listconews/sehk/2021/1231/2021123100023.pdf","prospectus")</ns0:f>
        <ns0:v/>
      </ns0:c>
      <ns0:c r="BZ98" s="93">
        <ns0:f>HYPERLINK("https://www1.hkexnews.hk/listedco/listconews/sehk/2022/0113/2022011300010.htm","allotment")</ns0:f>
        <ns0:v/>
      </ns0:c>
      <ns0:c r="CA98" s="93">
        <ns0:f>HYPERLINK("https://www1.hkexnews.hk/listedco/listconews/sehk/2022/0206/2022020600019.pdf","stabilisation")</ns0:f>
        <ns0:v/>
      </ns0:c>
      <ns0:c r="CB98" s="94" t="n"/>
      <ns0:c r="CC98" s="74" t="inlineStr">
        <ns0:is>
          <ns0:t>P/E: loss-making at IPO, use P/S; A/H: H listed Jan 2022 (NdFeB magnets); market cap: prospectus 'market capitalisation' line is the listing-rule threshold, not the issuer's figure; rejected; stabilising manager: not named in the allotment notice or prospectus glossary; allocation: allocation table not in this notice's format (older prose announcement); day-1 tape: volume on file; the retail multiple needs the final public split, which this notice does not state</ns0:t>
        </ns0:is>
      </ns0:c>
    </ns0:row>
    <ns0:row r="99" ht="22" customHeight="1">
      <ns0:c r="A99" s="73" t="inlineStr">
        <ns0:is>
          <ns0:t>2250</ns0:t>
        </ns0:is>
      </ns0:c>
      <ns0:c r="B99" s="74" t="inlineStr">
        <ns0:is>
          <ns0:t>SEMK HOLDINGS</ns0:t>
        </ns0:is>
      </ns0:c>
      <ns0:c r="C99" s="74" t="inlineStr">
        <ns0:is>
          <ns0:t>小黃鴨德盈</ns0:t>
        </ns0:is>
      </ns0:c>
      <ns0:c r="D99" s="74" t="inlineStr">
        <ns0:is>
          <ns0:t>Media &amp; telecom</ns0:t>
        </ns0:is>
      </ns0:c>
      <ns0:c r="E99" s="74" t="inlineStr">
        <ns0:is>
          <ns0:t>Media / advertising</ns0:t>
        </ns0:is>
      </ns0:c>
      <ns0:c r="F99" s="74" t="inlineStr">
        <ns0:is>
          <ns0:t>e-Commerce &amp; Internet Services</ns0:t>
        </ns0:is>
      </ns0:c>
      <ns0:c r="G99" s="74" t="inlineStr">
        <ns0:is>
          <ns0:t>Standard</ns0:t>
        </ns0:is>
      </ns0:c>
      <ns0:c r="H99" s="75" t="n">
        <ns0:v>44578</ns0:v>
      </ns0:c>
      <ns0:c r="I99" s="76" t="n">
        <ns0:v>246</ns0:v>
      </ns0:c>
      <ns0:c r="J99" s="74" t="inlineStr">
        <ns0:is>
          <ns0:t>gross (price x shares)</ns0:t>
        </ns0:is>
      </ns0:c>
      <ns0:c r="K99" s="77" t="n">
        <ns0:v>2.05</ns0:v>
      </ns0:c>
      <ns0:c r="L99" s="77" t="n">
        <ns0:v>3.45</ns0:v>
      </ns0:c>
      <ns0:c r="M99" s="77" t="n">
        <ns0:v>2.05</ns0:v>
      </ns0:c>
      <ns0:c r="N99" s="74" t="inlineStr">
        <ns0:is>
          <ns0:t>N</ns0:t>
        </ns0:is>
      </ns0:c>
      <ns0:c r="O99" s="78" t="n">
        <ns0:v>59.4</ns0:v>
      </ns0:c>
      <ns0:c r="P99" s="78" t="n">
        <ns0:v>0</ns0:v>
      </ns0:c>
      <ns0:c r="Q99" s="79" t="n">
        <ns0:v>2881.9</ns0:v>
      </ns0:c>
      <ns0:c r="R99" s="74" t="inlineStr">
        <ns0:is>
          <ns0:t>aastocks:上市市值 at the struck price</ns0:t>
        </ns0:is>
      </ns0:c>
      <ns0:c r="S99" s="80" t="n">
        <ns0:v>7.31</ns0:v>
      </ns0:c>
      <ns0:c r="T99" s="81" t="n">
        <ns0:v>1.24</ns0:v>
      </ns0:c>
      <ns0:c r="U99" s="82" t="n">
        <ns0:v>0</ns0:v>
      </ns0:c>
      <ns0:c r="V99" s="83" t="n">
        <ns0:v>157</ns0:v>
      </ns0:c>
      <ns0:c r="W99" s="84" t="n"/>
      <ns0:c r="X99" s="85" t="n"/>
      <ns0:c r="Y99" s="79" t="n">
        <ns0:v>246</ns0:v>
      </ns0:c>
      <ns0:c r="Z99" s="79" t="n">
        <ns0:v>120000000</ns0:v>
      </ns0:c>
      <ns0:c r="AA99" s="78" t="n">
        <ns0:v>8.539999999999999</ns0:v>
      </ns0:c>
      <ns0:c r="AB99" s="74" t="inlineStr">
        <ns0:is>
          <ns0:t>none — no cornerstone tranche</ns0:t>
        </ns0:is>
      </ns0:c>
      <ns0:c r="AC99" s="74" t="inlineStr">
        <ns0:is>
          <ns0:t>none</ns0:t>
        </ns0:is>
      </ns0:c>
      <ns0:c r="AD99" s="78" t="n">
        <ns0:v>10</ns0:v>
      </ns0:c>
      <ns0:c r="AE99" s="74" t="inlineStr">
        <ns0:is>
          <ns0:t>lapsed (no over-allocation)</ns0:t>
        </ns0:is>
      </ns0:c>
      <ns0:c r="AF99" s="74" t="inlineStr">
        <ns0:is>
          <ns0:t>2022-02-06</ns0:t>
        </ns0:is>
      </ns0:c>
      <ns0:c r="AG99" s="74" t="inlineStr">
        <ns0:is>
          <ns0:t>China Everbright Securities</ns0:t>
        </ns0:is>
      </ns0:c>
      <ns0:c r="AH99" s="74" t="inlineStr">
        <ns0:is>
          <ns0:t>China Everbright</ns0:t>
        </ns0:is>
      </ns0:c>
      <ns0:c r="AI99" s="86" t="n">
        <ns0:v>10.73</ns0:v>
      </ns0:c>
      <ns0:c r="AJ99" s="87" t="n">
        <ns0:v>16.59</ns0:v>
      </ns0:c>
      <ns0:c r="AK99" s="87" t="n">
        <ns0:v>-0.68</ns0:v>
      </ns0:c>
      <ns0:c r="AL99" s="87" t="n">
        <ns0:v>26.83</ns0:v>
      </ns0:c>
      <ns0:c r="AM99" s="87" t="n">
        <ns0:v>-8.07</ns0:v>
      </ns0:c>
      <ns0:c r="AN99" s="88" t="n"/>
      <ns0:c r="AO99" s="78" t="n">
        <ns0:v>16.54</ns0:v>
      </ns0:c>
      <ns0:c r="AP99" s="87" t="n">
        <ns0:v>2.44</ns0:v>
      </ns0:c>
      <ns0:c r="AQ99" s="87" t="n">
        <ns0:v>2.44</ns0:v>
      </ns0:c>
      <ns0:c r="AR99" s="87" t="n">
        <ns0:v>-13.17</ns0:v>
      </ns0:c>
      <ns0:c r="AS99" s="87" t="n">
        <ns0:v>-12.14</ns0:v>
      </ns0:c>
      <ns0:c r="AT99" s="87" t="n">
        <ns0:v>-12.14</ns0:v>
      </ns0:c>
      <ns0:c r="AU99" s="87" t="n">
        <ns0:v>-25.53</ns0:v>
      </ns0:c>
      <ns0:c r="AV99" s="87" t="n">
        <ns0:v>1.32</ns0:v>
      </ns0:c>
      <ns0:c r="AW99" s="87" t="n">
        <ns0:v>2.67</ns0:v>
      </ns0:c>
      <ns0:c r="AX99" s="87" t="n">
        <ns0:v>2.19</ns0:v>
      </ns0:c>
      <ns0:c r="AY99" s="87" t="n">
        <ns0:v>-12.59</ns0:v>
      </ns0:c>
      <ns0:c r="AZ99" s="87" t="n">
        <ns0:v>-0.23</ns0:v>
      </ns0:c>
      <ns0:c r="BA99" s="87" t="n">
        <ns0:v>0.45</ns0:v>
      </ns0:c>
      <ns0:c r="BB99" s="74" t="inlineStr">
        <ns0:is>
          <ns0:t>Hang Seng Index</ns0:t>
        </ns0:is>
      </ns0:c>
      <ns0:c r="BC99" s="87" t="n">
        <ns0:v>-85.37</ns0:v>
      </ns0:c>
      <ns0:c r="BD99" s="75" t="n">
        <ns0:v>46297</ns0:v>
      </ns0:c>
      <ns0:c r="BE99" s="76" t="n">
        <ns0:v>233.5</ns0:v>
      </ns0:c>
      <ns0:c r="BF99" s="79" t="n">
        <ns0:v>54.5</ns0:v>
      </ns0:c>
      <ns0:c r="BG99" s="74" t="inlineStr">
        <ns0:is>
          <ns0:t>Y</ns0:t>
        </ns0:is>
      </ns0:c>
      <ns0:c r="BH99" s="89" t="n">
        <ns0:v>52.9</ns0:v>
      </ns0:c>
      <ns0:c r="BI99" s="88" t="n"/>
      <ns0:c r="BJ99" s="88" t="n"/>
      <ns0:c r="BK99" s="89" t="n">
        <ns0:v>12.3</ns0:v>
      </ns0:c>
      <ns0:c r="BL99" s="90">
        <ns0:f>IFERROR(IF('BBG Verify'!S99="","Awaiting Bloomberg",'BBG Verify'!S99),"Awaiting Bloomberg")</ns0:f>
        <ns0:v/>
      </ns0:c>
      <ns0:c r="BM99" s="91" t="inlineStr">
        <ns0:is>
          <ns0:t>N</ns0:t>
        </ns0:is>
      </ns0:c>
      <ns0:c r="BN99" s="92">
        <ns0:f>IFERROR(IF('BBG Verify'!K99="","Awaiting Bloomberg",'BBG Verify'!K99),"Awaiting Bloomberg")</ns0:f>
        <ns0:v/>
      </ns0:c>
      <ns0:c r="BO99" s="74" t="inlineStr">
        <ns0:is>
          <ns0:t>N/A</ns0:t>
        </ns0:is>
      </ns0:c>
      <ns0:c r="BP99" s="74" t="inlineStr">
        <ns0:is>
          <ns0:t>N/A</ns0:t>
        </ns0:is>
      </ns0:c>
      <ns0:c r="BQ99" s="74" t="inlineStr">
        <ns0:is>
          <ns0:t>N/A</ns0:t>
        </ns0:is>
      </ns0:c>
      <ns0:c r="BR99" s="74" t="inlineStr">
        <ns0:is>
          <ns0:t>N/A</ns0:t>
        </ns0:is>
      </ns0:c>
      <ns0:c r="BS99" s="74" t="inlineStr">
        <ns0:is>
          <ns0:t>N/A</ns0:t>
        </ns0:is>
      </ns0:c>
      <ns0:c r="BT99" s="74" t="inlineStr">
        <ns0:is>
          <ns0:t>N/A</ns0:t>
        </ns0:is>
      </ns0:c>
      <ns0:c r="BU99" s="91" t="inlineStr">
        <ns0:is>
          <ns0:t>China Everbright Capital Limited; China Everbright Securities (HK) Limited</ns0:t>
        </ns0:is>
      </ns0:c>
      <ns0:c r="BV99" s="74" t="inlineStr">
        <ns0:is>
          <ns0:t>China Everbright Capital Limited</ns0:t>
        </ns0:is>
      </ns0:c>
      <ns0:c r="BW99" s="74" t="inlineStr">
        <ns0:is>
          <ns0:t>China Everbright Securities (HK) Limited; UOB Kay Hian (Hong Kong) Limited; BOCOM International Securities Limited; CMBC Securities Company Limited; Fosun Hani Securities Limited; Grand China Securities Limited; Zhongtai International Securities Limited</ns0:t>
        </ns0:is>
      </ns0:c>
      <ns0:c r="BX99" s="74" t="inlineStr">
        <ns0:is>
          <ns0: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ns0:t>
        </ns0:is>
      </ns0:c>
      <ns0:c r="BY99" s="93">
        <ns0:f>HYPERLINK("https://www1.hkexnews.hk/listedco/listconews/sehk/2021/1230/2021123000005.pdf","prospectus")</ns0:f>
        <ns0:v/>
      </ns0:c>
      <ns0:c r="BZ99" s="93">
        <ns0:f>HYPERLINK("https://www1.hkexnews.hk/listedco/listconews/sehk/2022/0114/2022011400002.htm","allotment")</ns0:f>
        <ns0:v/>
      </ns0:c>
      <ns0:c r="CA99" s="93">
        <ns0:f>HYPERLINK("https://www1.hkexnews.hk/listedco/listconews/sehk/2022/0206/2022020600003.pdf","stabilisation")</ns0:f>
        <ns0:v/>
      </ns0:c>
      <ns0:c r="CB99" s="94" t="n"/>
      <ns0:c r="CC99" s="74" t="inlineStr">
        <ns0:is>
          <ns0:t>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ns0:t>
        </ns0:is>
      </ns0:c>
    </ns0:row>
    <ns0:row r="100" ht="22" customHeight="1">
      <ns0:c r="A100" s="73" t="inlineStr">
        <ns0:is>
          <ns0:t>2121</ns0:t>
        </ns0:is>
      </ns0:c>
      <ns0:c r="B100" s="74" t="inlineStr">
        <ns0:is>
          <ns0:t>AINNOVATION</ns0:t>
        </ns0:is>
      </ns0:c>
      <ns0:c r="C100" s="74" t="inlineStr">
        <ns0:is>
          <ns0:t>創新奇智</ns0:t>
        </ns0:is>
      </ns0:c>
      <ns0:c r="D100" s="74" t="inlineStr">
        <ns0:is>
          <ns0:t>Technology</ns0:t>
        </ns0:is>
      </ns0:c>
      <ns0:c r="E100" s="74" t="inlineStr">
        <ns0:is>
          <ns0:t>Software &amp; AI</ns0:t>
        </ns0:is>
      </ns0:c>
      <ns0:c r="F100" s="74" t="inlineStr">
        <ns0:is>
          <ns0:t>Application Software</ns0:t>
        </ns0:is>
      </ns0:c>
      <ns0:c r="G100" s="74" t="inlineStr">
        <ns0:is>
          <ns0:t>Standard</ns0:t>
        </ns0:is>
      </ns0:c>
      <ns0:c r="H100" s="75" t="n">
        <ns0:v>44588</ns0:v>
      </ns0:c>
      <ns0:c r="I100" s="76" t="n">
        <ns0:v>1176.8</ns0:v>
      </ns0:c>
      <ns0:c r="J100" s="74" t="inlineStr">
        <ns0:is>
          <ns0:t>gross (price x shares)</ns0:t>
        </ns0:is>
      </ns0:c>
      <ns0:c r="K100" s="77" t="n">
        <ns0:v>26.3</ns0:v>
      </ns0:c>
      <ns0:c r="L100" s="77" t="n">
        <ns0:v>27.3</ns0:v>
      </ns0:c>
      <ns0:c r="M100" s="77" t="n">
        <ns0:v>26.3</ns0:v>
      </ns0:c>
      <ns0:c r="N100" s="74" t="inlineStr">
        <ns0:is>
          <ns0:t>N</ns0:t>
        </ns0:is>
      </ns0:c>
      <ns0:c r="O100" s="78" t="n">
        <ns0:v>96.3</ns0:v>
      </ns0:c>
      <ns0:c r="P100" s="78" t="n">
        <ns0:v>0</ns0:v>
      </ns0:c>
      <ns0:c r="Q100" s="79" t="n">
        <ns0:v>15248.5</ns0:v>
      </ns0:c>
      <ns0:c r="R100" s="74" t="inlineStr">
        <ns0:is>
          <ns0:t>aastocks:上市市值 at the struck price</ns0:t>
        </ns0:is>
      </ns0:c>
      <ns0:c r="S100" s="80" t="n">
        <ns0:v>13.89</ns0:v>
      </ns0:c>
      <ns0:c r="T100" s="81" t="n">
        <ns0:v>2.62</ns0:v>
      </ns0:c>
      <ns0:c r="U100" s="82" t="n">
        <ns0:v>17.06</ns0:v>
      </ns0:c>
      <ns0:c r="V100" s="83" t="n">
        <ns0:v>60</ns0:v>
      </ns0:c>
      <ns0:c r="W100" s="84" t="n"/>
      <ns0:c r="X100" s="85" t="n"/>
      <ns0:c r="Y100" s="79" t="n">
        <ns0:v>976.04</ns0:v>
      </ns0:c>
      <ns0:c r="Z100" s="79" t="n">
        <ns0:v>37111005</ns0:v>
      </ns0:c>
      <ns0:c r="AA100" s="78" t="n">
        <ns0:v>6.4</ns0:v>
      </ns0:c>
      <ns0:c r="AB100" s="74" t="inlineStr">
        <ns0:is>
          <ns0:t>Laurion Capital Master Fund Ltd; SVF II Zeal</ns0:t>
        </ns0:is>
      </ns0:c>
      <ns0:c r="AC100" s="74" t="inlineStr">
        <ns0:is>
          <ns0:t>laurion;svf</ns0:t>
        </ns0:is>
      </ns0:c>
      <ns0:c r="AD100" s="78" t="n">
        <ns0:v>7.12</ns0:v>
      </ns0:c>
      <ns0:c r="AE100" s="74" t="inlineStr">
        <ns0:is>
          <ns0:t>lapsed</ns0:t>
        </ns0:is>
      </ns0:c>
      <ns0:c r="AF100" s="74" t="inlineStr">
        <ns0:is>
          <ns0:t>2022-02-19</ns0:t>
        </ns0:is>
      </ns0:c>
      <ns0:c r="AG100" s="74" t="inlineStr">
        <ns0:is>
          <ns0:t>UBS AG Hong Kong Branch</ns0:t>
        </ns0:is>
      </ns0:c>
      <ns0:c r="AH100" s="74" t="inlineStr">
        <ns0:is>
          <ns0:t>UBS</ns0:t>
        </ns0:is>
      </ns0:c>
      <ns0:c r="AI100" s="86" t="n">
        <ns0:v>-4.37</ns0:v>
      </ns0:c>
      <ns0:c r="AJ100" s="87" t="n">
        <ns0:v>-25.48</ns0:v>
      </ns0:c>
      <ns0:c r="AK100" s="87" t="n">
        <ns0:v>-3.89</ns0:v>
      </ns0:c>
      <ns0:c r="AL100" s="87" t="n">
        <ns0:v>0</ns0:v>
      </ns0:c>
      <ns0:c r="AM100" s="87" t="n">
        <ns0:v>-25.48</ns0:v>
      </ns0:c>
      <ns0:c r="AN100" s="88" t="n"/>
      <ns0:c r="AO100" s="78" t="n">
        <ns0:v>28.14</ns0:v>
      </ns0:c>
      <ns0:c r="AP100" s="87" t="n">
        <ns0:v>-34.37</ns0:v>
      </ns0:c>
      <ns0:c r="AQ100" s="87" t="n">
        <ns0:v>-46.77</ns0:v>
      </ns0:c>
      <ns0:c r="AR100" s="87" t="n">
        <ns0:v>-24.11</ns0:v>
      </ns0:c>
      <ns0:c r="AS100" s="87" t="n">
        <ns0:v>-11.93</ns0:v>
      </ns0:c>
      <ns0:c r="AT100" s="87" t="n">
        <ns0:v>-28.57</ns0:v>
      </ns0:c>
      <ns0:c r="AU100" s="87" t="n">
        <ns0:v>1.84</ns0:v>
      </ns0:c>
      <ns0:c r="AV100" s="87" t="n">
        <ns0:v>-31.3</ns0:v>
      </ns0:c>
      <ns0:c r="AW100" s="87" t="n">
        <ns0:v>-36.17</ns0:v>
      </ns0:c>
      <ns0:c r="AX100" s="87" t="n">
        <ns0:v>-0.93</ns0:v>
      </ns0:c>
      <ns0:c r="AY100" s="87" t="n">
        <ns0:v>-21.59</ns0:v>
      </ns0:c>
      <ns0:c r="AZ100" s="87" t="n">
        <ns0:v>-10.6</ns0:v>
      </ns0:c>
      <ns0:c r="BA100" s="87" t="n">
        <ns0:v>-6.98</ns0:v>
      </ns0:c>
      <ns0:c r="BB100" s="74" t="inlineStr">
        <ns0:is>
          <ns0:t>HSTECH (Hang Seng TECH ETF)</ns0:t>
        </ns0:is>
      </ns0:c>
      <ns0:c r="BC100" s="87" t="n">
        <ns0:v>-88.17</ns0:v>
      </ns0:c>
      <ns0:c r="BD100" s="75" t="n">
        <ns0:v>46297</ns0:v>
      </ns0:c>
      <ns0:c r="BE100" s="76" t="n">
        <ns0:v>508.6</ns0:v>
      </ns0:c>
      <ns0:c r="BF100" s="79" t="n">
        <ns0:v>-0.6</ns0:v>
      </ns0:c>
      <ns0:c r="BG100" s="74" t="inlineStr">
        <ns0:is>
          <ns0:t>N</ns0:t>
        </ns0:is>
      </ns0:c>
      <ns0:c r="BH100" s="74" t="inlineStr">
        <ns0:is>
          <ns0:t>n/m</ns0:t>
        </ns0:is>
      </ns0:c>
      <ns0:c r="BI100" s="88" t="n"/>
      <ns0:c r="BJ100" s="88" t="n"/>
      <ns0:c r="BK100" s="89" t="n">
        <ns0:v>30</ns0:v>
      </ns0:c>
      <ns0:c r="BL100" s="90">
        <ns0:f>IFERROR(IF('BBG Verify'!S100="","Awaiting Bloomberg",'BBG Verify'!S100),"Awaiting Bloomberg")</ns0:f>
        <ns0:v/>
      </ns0:c>
      <ns0:c r="BM100" s="91" t="inlineStr">
        <ns0:is>
          <ns0:t>N</ns0:t>
        </ns0:is>
      </ns0:c>
      <ns0:c r="BN100" s="92">
        <ns0:f>IFERROR(IF('BBG Verify'!K100="","Awaiting Bloomberg",'BBG Verify'!K100),"Awaiting Bloomberg")</ns0:f>
        <ns0:v/>
      </ns0:c>
      <ns0:c r="BO100" s="74" t="inlineStr">
        <ns0:is>
          <ns0:t>N/A</ns0:t>
        </ns0:is>
      </ns0:c>
      <ns0:c r="BP100" s="74" t="inlineStr">
        <ns0:is>
          <ns0:t>N/A</ns0:t>
        </ns0:is>
      </ns0:c>
      <ns0:c r="BQ100" s="74" t="inlineStr">
        <ns0:is>
          <ns0:t>N/A</ns0:t>
        </ns0:is>
      </ns0:c>
      <ns0:c r="BR100" s="74" t="inlineStr">
        <ns0:is>
          <ns0:t>N/A</ns0:t>
        </ns0:is>
      </ns0:c>
      <ns0:c r="BS100" s="74" t="inlineStr">
        <ns0:is>
          <ns0:t>N/A</ns0:t>
        </ns0:is>
      </ns0:c>
      <ns0:c r="BT100" s="74" t="inlineStr">
        <ns0:is>
          <ns0:t>N/A</ns0:t>
        </ns0:is>
      </ns0:c>
      <ns0:c r="BU100" s="91" t="inlineStr">
        <ns0:is>
          <ns0:t>UBS Securities Hong Kong Limited; China International Capital Corporation Hong Kong Securities Limited; China Renaissance Securities (Hong Kong) Limited</ns0:t>
        </ns0:is>
      </ns0:c>
      <ns0:c r="BV100" s="74" t="inlineStr">
        <ns0:is>
          <ns0:t>China International Capital Corporation Hong Kong Securities Limited; UBS Securities Hong Kong Limited; China Renaissance Securities (Hong Kong) Limited</ns0:t>
        </ns0:is>
      </ns0:c>
      <ns0:c r="BW100" s="74" t="inlineStr">
        <ns0:is>
          <ns0:t>UBS AG Hong Kong Branch; China International Capital Corporation Hong Kong Securities Limited; China Renaissance Securities (Hong Kong) Limited; ICBC International Capital Limited; ICBC International Securities Limited</ns0:t>
        </ns0:is>
      </ns0:c>
      <ns0:c r="BX100" s="74" t="inlineStr">
        <ns0:is>
          <ns0: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ns0:t>
        </ns0:is>
      </ns0:c>
      <ns0:c r="BY100" s="93">
        <ns0:f>HYPERLINK("https://www1.hkexnews.hk/listedco/listconews/sehk/2022/0117/2022011700007.pdf","prospectus")</ns0:f>
        <ns0:v/>
      </ns0:c>
      <ns0:c r="BZ100" s="93">
        <ns0:f>HYPERLINK("https://www1.hkexnews.hk/listedco/listconews/sehk/2022/0126/2022012600012.htm","allotment")</ns0:f>
        <ns0:v/>
      </ns0:c>
      <ns0:c r="CA100" s="93">
        <ns0:f>HYPERLINK("https://www1.hkexnews.hk/listedco/listconews/sehk/2022/0221/2022022100003.pdf","stabilisation")</ns0:f>
        <ns0:v/>
      </ns0:c>
      <ns0:c r="CB100" s="94" t="n"/>
      <ns0:c r="CC100" s="74" t="inlineStr">
        <ns0:is>
          <ns0:t>P/E: loss-making at IPO, use P/S; 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ns0:t>
        </ns0:is>
      </ns0:c>
    </ns0:row>
    <ns0:row r="101" ht="22" customHeight="1">
      <ns0:c r="A101" s="73" t="inlineStr">
        <ns0:is>
          <ns0:t>9878</ns0:t>
        </ns0:is>
      </ns0:c>
      <ns0:c r="B101" s="74" t="inlineStr">
        <ns0:is>
          <ns0:t>HUITONGDA NET</ns0:t>
        </ns0:is>
      </ns0:c>
      <ns0:c r="C101" s="74" t="inlineStr">
        <ns0:is>
          <ns0:t>匯通達網絡</ns0:t>
        </ns0:is>
      </ns0:c>
      <ns0:c r="D101" s="74" t="inlineStr">
        <ns0:is>
          <ns0:t>Technology</ns0:t>
        </ns0:is>
      </ns0:c>
      <ns0:c r="E101" s="74" t="inlineStr">
        <ns0:is>
          <ns0:t>Internet &amp; fintech</ns0:t>
        </ns0:is>
      </ns0:c>
      <ns0:c r="F101" s="74" t="inlineStr">
        <ns0:is>
          <ns0:t>e-Commerce &amp; Internet Services</ns0:t>
        </ns0:is>
      </ns0:c>
      <ns0:c r="G101" s="74" t="inlineStr">
        <ns0:is>
          <ns0:t>Standard</ns0:t>
        </ns0:is>
      </ns0:c>
      <ns0:c r="H101" s="75" t="n">
        <ns0:v>44610</ns0:v>
      </ns0:c>
      <ns0:c r="I101" s="76" t="n">
        <ns0:v>2219.1</ns0:v>
      </ns0:c>
      <ns0:c r="J101" s="74" t="inlineStr">
        <ns0:is>
          <ns0:t>gross (price x shares)</ns0:t>
        </ns0:is>
      </ns0:c>
      <ns0:c r="K101" s="77" t="n">
        <ns0:v>43</ns0:v>
      </ns0:c>
      <ns0:c r="L101" s="77" t="n">
        <ns0:v>48</ns0:v>
      </ns0:c>
      <ns0:c r="M101" s="77" t="n">
        <ns0:v>43</ns0:v>
      </ns0:c>
      <ns0:c r="N101" s="74" t="inlineStr">
        <ns0:is>
          <ns0:t>N</ns0:t>
        </ns0:is>
      </ns0:c>
      <ns0:c r="O101" s="78" t="n">
        <ns0:v>89.59999999999999</ns0:v>
      </ns0:c>
      <ns0:c r="P101" s="78" t="n">
        <ns0:v>0</ns0:v>
      </ns0:c>
      <ns0:c r="Q101" s="79" t="n">
        <ns0:v>21337.5</ns0:v>
      </ns0:c>
      <ns0:c r="R101" s="74" t="inlineStr">
        <ns0:is>
          <ns0:t>derived:deal size / offer % of enlarged capital</ns0:t>
        </ns0:is>
      </ns0:c>
      <ns0:c r="S101" s="80" t="n">
        <ns0:v>1.67</ns0:v>
      </ns0:c>
      <ns0:c r="T101" s="81" t="n">
        <ns0:v>2.05</ns0:v>
      </ns0:c>
      <ns0:c r="U101" s="82" t="n">
        <ns0:v>23</ns0:v>
      </ns0:c>
      <ns0:c r="V101" s="83" t="n">
        <ns0:v>58</ns0:v>
      </ns0:c>
      <ns0:c r="W101" s="84" t="n"/>
      <ns0:c r="X101" s="85" t="n"/>
      <ns0:c r="Y101" s="79" t="n">
        <ns0:v>1708.71</ns0:v>
      </ns0:c>
      <ns0:c r="Z101" s="79" t="n">
        <ns0:v>39736774</ns0:v>
      </ns0:c>
      <ns0:c r="AA101" s="78" t="n">
        <ns0:v>8.01</ns0:v>
      </ns0:c>
      <ns0:c r="AB101" s="74" t="inlineStr">
        <ns0:is>
          <ns0:t>Golden Feather Corporation; Greenwoods Asset Management Hong Kong Limited; Heilan Group Co., Limited; SensePower Management Limited; Skyworth Overseas Investment Holdings Limited; Windfall T&amp;L SPC</ns0:t>
        </ns0:is>
      </ns0:c>
      <ns0:c r="AC101" s="74" t="inlineStr">
        <ns0:is>
          <ns0:t>golden-feather;greenwoods;heilan;sensepower;skyworth;windfall</ns0:t>
        </ns0:is>
      </ns0:c>
      <ns0:c r="AD101" s="78" t="n">
        <ns0:v>10.4</ns0:v>
      </ns0:c>
      <ns0:c r="AE101" s="74" t="inlineStr">
        <ns0:is>
          <ns0:t>partial</ns0:t>
        </ns0:is>
      </ns0:c>
      <ns0:c r="AF101" s="74" t="inlineStr">
        <ns0:is>
          <ns0:t>2022-03-12</ns0:t>
        </ns0:is>
      </ns0:c>
      <ns0:c r="AG101" s="74" t="inlineStr">
        <ns0:is>
          <ns0:t>China International Capital Corporation Hong Kong Securities Limited</ns0:t>
        </ns0:is>
      </ns0:c>
      <ns0:c r="AH101" s="74" t="inlineStr">
        <ns0:is>
          <ns0:t>China International</ns0:t>
        </ns0:is>
      </ns0:c>
      <ns0:c r="AI101" s="86" t="n">
        <ns0:v>4.88</ns0:v>
      </ns0:c>
      <ns0:c r="AJ101" s="87" t="n">
        <ns0:v>4.88</ns0:v>
      </ns0:c>
      <ns0:c r="AK101" s="87" t="n">
        <ns0:v>-3.14</ns0:v>
      </ns0:c>
      <ns0:c r="AL101" s="87" t="n">
        <ns0:v>1.28</ns0:v>
      </ns0:c>
      <ns0:c r="AM101" s="87" t="n">
        <ns0:v>3.55</ns0:v>
      </ns0:c>
      <ns0:c r="AN101" s="88" t="n"/>
      <ns0:c r="AO101" s="78" t="n">
        <ns0:v>5.74</ns0:v>
      </ns0:c>
      <ns0:c r="AP101" s="87" t="n">
        <ns0:v>0</ns0:v>
      </ns0:c>
      <ns0:c r="AQ101" s="87" t="n">
        <ns0:v>-8.49</ns0:v>
      </ns0:c>
      <ns0:c r="AR101" s="87" t="n">
        <ns0:v>3.02</ns0:v>
      </ns0:c>
      <ns0:c r="AS101" s="87" t="n">
        <ns0:v>-4.65</ns0:v>
      </ns0:c>
      <ns0:c r="AT101" s="87" t="n">
        <ns0:v>-12.75</ns0:v>
      </ns0:c>
      <ns0:c r="AU101" s="87" t="n">
        <ns0:v>-1.77</ns0:v>
      </ns0:c>
      <ns0:c r="AV101" s="87" t="n">
        <ns0:v>9.32</ns0:v>
      </ns0:c>
      <ns0:c r="AW101" s="87" t="n">
        <ns0:v>13.55</ns0:v>
      </ns0:c>
      <ns0:c r="AX101" s="87" t="n">
        <ns0:v>31.41</ns0:v>
      </ns0:c>
      <ns0:c r="AY101" s="87" t="n">
        <ns0:v>6.77</ns0:v>
      </ns0:c>
      <ns0:c r="AZ101" s="87" t="n">
        <ns0:v>-22.04</ns0:v>
      </ns0:c>
      <ns0:c r="BA101" s="87" t="n">
        <ns0:v>-19.52</ns0:v>
      </ns0:c>
      <ns0:c r="BB101" s="74" t="inlineStr">
        <ns0:is>
          <ns0:t>HSTECH (Hang Seng TECH ETF)</ns0:t>
        </ns0:is>
      </ns0:c>
      <ns0:c r="BC101" s="87" t="n">
        <ns0:v>-84.06999999999999</ns0:v>
      </ns0:c>
      <ns0:c r="BD101" s="75" t="n">
        <ns0:v>46297</ns0:v>
      </ns0:c>
      <ns0:c r="BE101" s="76" t="n">
        <ns0:v>54592</ns0:v>
      </ns0:c>
      <ns0:c r="BF101" s="79" t="n">
        <ns0:v>-308</ns0:v>
      </ns0:c>
      <ns0:c r="BG101" s="74" t="inlineStr">
        <ns0:is>
          <ns0:t>N</ns0:t>
        </ns0:is>
      </ns0:c>
      <ns0:c r="BH101" s="74" t="inlineStr">
        <ns0:is>
          <ns0:t>n/m</ns0:t>
        </ns0:is>
      </ns0:c>
      <ns0:c r="BI101" s="88" t="n"/>
      <ns0:c r="BJ101" s="89" t="n">
        <ns0:v>14.5</ns0:v>
      </ns0:c>
      <ns0:c r="BK101" s="89" t="n">
        <ns0:v>0.4</ns0:v>
      </ns0:c>
      <ns0:c r="BL101" s="90">
        <ns0:f>IFERROR(IF('BBG Verify'!S101="","Awaiting Bloomberg",'BBG Verify'!S101),"Awaiting Bloomberg")</ns0:f>
        <ns0:v/>
      </ns0:c>
      <ns0:c r="BM101" s="91" t="inlineStr">
        <ns0:is>
          <ns0:t>N</ns0:t>
        </ns0:is>
      </ns0:c>
      <ns0:c r="BN101" s="92">
        <ns0:f>IFERROR(IF('BBG Verify'!K101="","Awaiting Bloomberg",'BBG Verify'!K101),"Awaiting Bloomberg")</ns0:f>
        <ns0:v/>
      </ns0:c>
      <ns0:c r="BO101" s="74" t="inlineStr">
        <ns0:is>
          <ns0:t>N/A</ns0:t>
        </ns0:is>
      </ns0:c>
      <ns0:c r="BP101" s="74" t="inlineStr">
        <ns0:is>
          <ns0:t>N/A</ns0:t>
        </ns0:is>
      </ns0:c>
      <ns0:c r="BQ101" s="74" t="inlineStr">
        <ns0:is>
          <ns0:t>N/A</ns0:t>
        </ns0:is>
      </ns0:c>
      <ns0:c r="BR101" s="74" t="inlineStr">
        <ns0:is>
          <ns0:t>N/A</ns0:t>
        </ns0:is>
      </ns0:c>
      <ns0:c r="BS101" s="74" t="inlineStr">
        <ns0:is>
          <ns0:t>N/A</ns0:t>
        </ns0:is>
      </ns0:c>
      <ns0:c r="BT101" s="74" t="inlineStr">
        <ns0:is>
          <ns0:t>N/A</ns0:t>
        </ns0:is>
      </ns0:c>
      <ns0:c r="BU101" s="91" t="inlineStr">
        <ns0:is>
          <ns0:t>China International Capital Corporation Hong Kong Securities Limited; Citigroup Global Markets Asia Limited; China Renaissance Securities (Hong Kong) Limited</ns0:t>
        </ns0:is>
      </ns0:c>
      <ns0:c r="BV101" s="74" t="inlineStr">
        <ns0:is>
          <ns0:t>China International Capital Corporation Hong Kong Securities Limited; China Renaissance Securities (Hong Kong) Limited; Citigroup Global Markets Asia Limited</ns0:t>
        </ns0:is>
      </ns0:c>
      <ns0:c r="BW101" s="74" t="inlineStr">
        <ns0:is>
          <ns0: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Citigroup Global Markets Limited; BOCOM International Securities Limited; BOCI Asia Limited; CCB International Capital Limited; ABCI CAPITAL LIMITED</ns0:t>
        </ns0:is>
      </ns0:c>
      <ns0:c r="BX101" s="74" t="inlineStr">
        <ns0:is>
          <ns0: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ns0:t>
        </ns0:is>
      </ns0:c>
      <ns0:c r="BY101" s="93">
        <ns0:f>HYPERLINK("https://www1.hkexnews.hk/listedco/listconews/sehk/2022/0131/2022013100005.pdf","prospectus")</ns0:f>
        <ns0:v/>
      </ns0:c>
      <ns0:c r="BZ101" s="93">
        <ns0:f>HYPERLINK("https://www1.hkexnews.hk/listedco/listconews/sehk/2022/0217/2022021700014.htm","allotment")</ns0:f>
        <ns0:v/>
      </ns0:c>
      <ns0:c r="CA101" s="93">
        <ns0:f>HYPERLINK("https://www1.hkexnews.hk/listedco/listconews/sehk/2022/0313/2022031300003.pdf","stabilisation")</ns0:f>
        <ns0:v/>
      </ns0:c>
      <ns0:c r="CB101" s="94" t="n"/>
      <ns0:c r="CC101" s="74" t="inlineStr">
        <ns0:is>
          <ns0:t>P/E: loss-making at IPO, use P/S; cornerstone: % from the prospectus; AAStocks table includes non-cornerstone orders; allocation: allocation table not in this notice's format (older prose announcement); day-1 tape: volume on file; the retail multiple needs the final public split, which this notice does not state</ns0:t>
        </ns0:is>
      </ns0:c>
    </ns0:row>
    <ns0:row r="102" ht="22" customHeight="1">
      <ns0:c r="A102" s="73" t="inlineStr">
        <ns0:is>
          <ns0:t>1406</ns0:t>
        </ns0:is>
      </ns0:c>
      <ns0:c r="B102" s="74" t="inlineStr">
        <ns0:is>
          <ns0:t>CLARITY MEDICAL</ns0:t>
        </ns0:is>
      </ns0:c>
      <ns0:c r="C102" s="74" t="inlineStr">
        <ns0:is>
          <ns0:t>清晰醫療</ns0:t>
        </ns0:is>
      </ns0:c>
      <ns0:c r="D102" s="74" t="inlineStr">
        <ns0:is>
          <ns0:t>Healthcare</ns0:t>
        </ns0:is>
      </ns0:c>
      <ns0:c r="E102" s="74" t="inlineStr">
        <ns0:is>
          <ns0:t>Hospitals / clinics</ns0:t>
        </ns0:is>
      </ns0:c>
      <ns0:c r="F102" s="74" t="inlineStr">
        <ns0:is>
          <ns0:t>Health Care Services</ns0:t>
        </ns0:is>
      </ns0:c>
      <ns0:c r="G102" s="74" t="inlineStr">
        <ns0:is>
          <ns0:t>Standard</ns0:t>
        </ns0:is>
      </ns0:c>
      <ns0:c r="H102" s="75" t="n">
        <ns0:v>44610</ns0:v>
      </ns0:c>
      <ns0:c r="I102" s="76" t="n">
        <ns0:v>217.6</ns0:v>
      </ns0:c>
      <ns0:c r="J102" s="74" t="inlineStr">
        <ns0:is>
          <ns0:t>gross (price x shares)</ns0:t>
        </ns0:is>
      </ns0:c>
      <ns0:c r="K102" s="77" t="n">
        <ns0:v>1.6</ns0:v>
      </ns0:c>
      <ns0:c r="L102" s="77" t="n">
        <ns0:v>3</ns0:v>
      </ns0:c>
      <ns0:c r="M102" s="77" t="n">
        <ns0:v>1.6</ns0:v>
      </ns0:c>
      <ns0:c r="N102" s="74" t="inlineStr">
        <ns0:is>
          <ns0:t>N</ns0:t>
        </ns0:is>
      </ns0:c>
      <ns0:c r="O102" s="78" t="n">
        <ns0:v>53.3</ns0:v>
      </ns0:c>
      <ns0:c r="P102" s="78" t="n">
        <ns0:v>0</ns0:v>
      </ns0:c>
      <ns0:c r="Q102" s="79" t="n">
        <ns0:v>1173.3</ns0:v>
      </ns0:c>
      <ns0:c r="R102" s="74" t="inlineStr">
        <ns0:is>
          <ns0:t>aastocks:上市市值 at the struck price</ns0:t>
        </ns0:is>
      </ns0:c>
      <ns0:c r="S102" s="80" t="n">
        <ns0:v>6.17</ns0:v>
      </ns0:c>
      <ns0:c r="T102" s="81" t="n">
        <ns0:v>1.13</ns0:v>
      </ns0:c>
      <ns0:c r="U102" s="82" t="n">
        <ns0:v>0</ns0:v>
      </ns0:c>
      <ns0:c r="V102" s="83" t="n">
        <ns0:v>187</ns0:v>
      </ns0:c>
      <ns0:c r="W102" s="84" t="n"/>
      <ns0:c r="X102" s="85" t="n"/>
      <ns0:c r="Y102" s="79" t="n">
        <ns0:v>217.6</ns0:v>
      </ns0:c>
      <ns0:c r="Z102" s="79" t="n">
        <ns0:v>136000000</ns0:v>
      </ns0:c>
      <ns0:c r="AA102" s="78" t="n">
        <ns0:v>18.55</ns0:v>
      </ns0:c>
      <ns0:c r="AB102" s="74" t="inlineStr">
        <ns0:is>
          <ns0:t>none — no cornerstone tranche</ns0:t>
        </ns0:is>
      </ns0:c>
      <ns0:c r="AC102" s="74" t="inlineStr">
        <ns0:is>
          <ns0:t>none</ns0:t>
        </ns0:is>
      </ns0:c>
      <ns0:c r="AD102" s="78" t="n">
        <ns0:v>5.63</ns0:v>
      </ns0:c>
      <ns0:c r="AE102" s="74" t="inlineStr">
        <ns0:is>
          <ns0:t>lapsed</ns0:t>
        </ns0:is>
      </ns0:c>
      <ns0:c r="AF102" s="74" t="inlineStr">
        <ns0:is>
          <ns0:t>2022-03-12</ns0:t>
        </ns0:is>
      </ns0:c>
      <ns0:c r="AG102" s="74" t="inlineStr">
        <ns0:is>
          <ns0:t>China Everbright Securities</ns0:t>
        </ns0:is>
      </ns0:c>
      <ns0:c r="AH102" s="74" t="inlineStr">
        <ns0:is>
          <ns0:t>China Everbright</ns0:t>
        </ns0:is>
      </ns0:c>
      <ns0:c r="AI102" s="86" t="n">
        <ns0:v>0</ns0:v>
      </ns0:c>
      <ns0:c r="AJ102" s="87" t="n">
        <ns0:v>-3.75</ns0:v>
      </ns0:c>
      <ns0:c r="AK102" s="87" t="n">
        <ns0:v>0.35</ns0:v>
      </ns0:c>
      <ns0:c r="AL102" s="87" t="n">
        <ns0:v>-0.62</ns0:v>
      </ns0:c>
      <ns0:c r="AM102" s="87" t="n">
        <ns0:v>-3.15</ns0:v>
      </ns0:c>
      <ns0:c r="AN102" s="88" t="n"/>
      <ns0:c r="AO102" s="78" t="n">
        <ns0:v>9.43</ns0:v>
      </ns0:c>
      <ns0:c r="AP102" s="87" t="n">
        <ns0:v>-10</ns0:v>
      </ns0:c>
      <ns0:c r="AQ102" s="87" t="n">
        <ns0:v>-15</ns0:v>
      </ns0:c>
      <ns0:c r="AR102" s="87" t="n">
        <ns0:v>-27.5</ns0:v>
      </ns0:c>
      <ns0:c r="AS102" s="87" t="n">
        <ns0:v>-6.49</ns0:v>
      </ns0:c>
      <ns0:c r="AT102" s="87" t="n">
        <ns0:v>-11.69</ns0:v>
      </ns0:c>
      <ns0:c r="AU102" s="87" t="n">
        <ns0:v>-24.68</ns0:v>
      </ns0:c>
      <ns0:c r="AV102" s="87" t="n">
        <ns0:v>-10.67</ns0:v>
      </ns0:c>
      <ns0:c r="AW102" s="87" t="n">
        <ns0:v>-11.11</ns0:v>
      </ns0:c>
      <ns0:c r="AX102" s="87" t="n">
        <ns0:v>-7.91</ns0:v>
      </ns0:c>
      <ns0:c r="AY102" s="87" t="n">
        <ns0:v>-7.47</ns0:v>
      </ns0:c>
      <ns0:c r="AZ102" s="87" t="n">
        <ns0:v>-3.89</ns0:v>
      </ns0:c>
      <ns0:c r="BA102" s="87" t="n">
        <ns0:v>-4.22</ns0:v>
      </ns0:c>
      <ns0:c r="BB102" s="74" t="inlineStr">
        <ns0:is>
          <ns0:t>China Biotech ETF (HS biotech proxy)</ns0:t>
        </ns0:is>
      </ns0:c>
      <ns0:c r="BC102" s="87" t="n">
        <ns0:v>-77.81</ns0:v>
      </ns0:c>
      <ns0:c r="BD102" s="75" t="n">
        <ns0:v>45761</ns0:v>
      </ns0:c>
      <ns0:c r="BE102" s="76" t="n">
        <ns0:v>222.4</ns0:v>
      </ns0:c>
      <ns0:c r="BF102" s="79" t="n">
        <ns0:v>30</ns0:v>
      </ns0:c>
      <ns0:c r="BG102" s="74" t="inlineStr">
        <ns0:is>
          <ns0:t>Y</ns0:t>
        </ns0:is>
      </ns0:c>
      <ns0:c r="BH102" s="89" t="n">
        <ns0:v>39.1</ns0:v>
      </ns0:c>
      <ns0:c r="BI102" s="88" t="n"/>
      <ns0:c r="BJ102" s="88" t="n"/>
      <ns0:c r="BK102" s="89" t="n">
        <ns0:v>5.3</ns0:v>
      </ns0:c>
      <ns0:c r="BL102" s="90">
        <ns0:f>IFERROR(IF('BBG Verify'!S102="","Awaiting Bloomberg",'BBG Verify'!S102),"Awaiting Bloomberg")</ns0:f>
        <ns0:v/>
      </ns0:c>
      <ns0:c r="BM102" s="91" t="inlineStr">
        <ns0:is>
          <ns0:t>N</ns0:t>
        </ns0:is>
      </ns0:c>
      <ns0:c r="BN102" s="92">
        <ns0:f>IFERROR(IF('BBG Verify'!K102="","Awaiting Bloomberg",'BBG Verify'!K102),"Awaiting Bloomberg")</ns0:f>
        <ns0:v/>
      </ns0:c>
      <ns0:c r="BO102" s="74" t="inlineStr">
        <ns0:is>
          <ns0:t>N/A</ns0:t>
        </ns0:is>
      </ns0:c>
      <ns0:c r="BP102" s="74" t="inlineStr">
        <ns0:is>
          <ns0:t>N/A</ns0:t>
        </ns0:is>
      </ns0:c>
      <ns0:c r="BQ102" s="74" t="inlineStr">
        <ns0:is>
          <ns0:t>N/A</ns0:t>
        </ns0:is>
      </ns0:c>
      <ns0:c r="BR102" s="74" t="inlineStr">
        <ns0:is>
          <ns0:t>N/A</ns0:t>
        </ns0:is>
      </ns0:c>
      <ns0:c r="BS102" s="74" t="inlineStr">
        <ns0:is>
          <ns0:t>N/A</ns0:t>
        </ns0:is>
      </ns0:c>
      <ns0:c r="BT102" s="74" t="inlineStr">
        <ns0:is>
          <ns0:t>N/A</ns0:t>
        </ns0:is>
      </ns0:c>
      <ns0:c r="BU102" s="91" t="inlineStr">
        <ns0:is>
          <ns0:t>China Everbright Capital Limited; China Eve rbright Securities (HK) Limited; Zhongtai International Securities Limited</ns0:t>
        </ns0:is>
      </ns0:c>
      <ns0:c r="BV102" s="74" t="inlineStr">
        <ns0:is>
          <ns0:t>China Everbright Capital Limited</ns0:t>
        </ns0:is>
      </ns0:c>
      <ns0:c r="BW102" s="74" t="inlineStr">
        <ns0:is>
          <ns0: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ns0:t>
        </ns0:is>
      </ns0:c>
      <ns0:c r="BX102" s="74" t="inlineStr">
        <ns0:is>
          <ns0: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ns0:t>
        </ns0:is>
      </ns0:c>
      <ns0:c r="BY102" s="93">
        <ns0:f>HYPERLINK("https://www1.hkexnews.hk/listedco/listconews/sehk/2022/0131/2022013100022.pdf","prospectus")</ns0:f>
        <ns0:v/>
      </ns0:c>
      <ns0:c r="BZ102" s="93">
        <ns0:f>HYPERLINK("https://www1.hkexnews.hk/listedco/listconews/sehk/2022/0217/2022021700028.htm","allotment")</ns0:f>
        <ns0:v/>
      </ns0:c>
      <ns0:c r="CA102" s="93">
        <ns0:f>HYPERLINK("https://www1.hkexnews.hk/listedco/listconews/sehk/2022/0314/2022031400039.pdf","stabilisation")</ns0:f>
        <ns0:v/>
      </ns0:c>
      <ns0:c r="CB102" s="94" t="n"/>
      <ns0:c r="CC102" s="74" t="inlineStr">
        <ns0:is>
          <ns0:t>market cap: published listing cap used; the estimate from deal size / offer % of enlarged capital disagreed; cornerstone list: no cornerstone tranche; price series: last available quoted close 2025-04-14; may be suspended, delisted or a source gap; price and benchmark end on that date; allocation: allocation table not in this notice's format (older prose announcement); day-1 tape: volume on file; the retail multiple needs the final public split, which this notice does not state</ns0:t>
        </ns0:is>
      </ns0:c>
    </ns0:row>
    <ns0:row r="103" ht="22" customHeight="1">
      <ns0:c r="A103" s="73" t="inlineStr">
        <ns0:is>
          <ns0:t>2157</ns0:t>
        </ns0:is>
      </ns0:c>
      <ns0:c r="B103" s="74" t="inlineStr">
        <ns0:is>
          <ns0:t>LEPU BIO-B</ns0:t>
        </ns0:is>
      </ns0:c>
      <ns0:c r="C103" s="74" t="inlineStr">
        <ns0:is>
          <ns0:t>樂普生物</ns0:t>
        </ns0:is>
      </ns0:c>
      <ns0:c r="D103" s="74" t="inlineStr">
        <ns0:is>
          <ns0:t>Healthcare</ns0:t>
        </ns0:is>
      </ns0:c>
      <ns0:c r="E103" s="74" t="inlineStr">
        <ns0:is>
          <ns0:t>Biotech pre-revenue (18A)</ns0:t>
        </ns0:is>
      </ns0:c>
      <ns0:c r="F103" s="74" t="inlineStr">
        <ns0:is>
          <ns0:t>Biotechnology</ns0:t>
        </ns0:is>
      </ns0:c>
      <ns0:c r="G103" s="74" t="inlineStr">
        <ns0:is>
          <ns0:t>18A</ns0:t>
        </ns0:is>
      </ns0:c>
      <ns0:c r="H103" s="75" t="n">
        <ns0:v>44615</ns0:v>
      </ns0:c>
      <ns0:c r="I103" s="76" t="n">
        <ns0:v>904.6</ns0:v>
      </ns0:c>
      <ns0:c r="J103" s="74" t="inlineStr">
        <ns0:is>
          <ns0:t>gross (price x shares)</ns0:t>
        </ns0:is>
      </ns0:c>
      <ns0:c r="K103" s="77" t="n">
        <ns0:v>6.87</ns0:v>
      </ns0:c>
      <ns0:c r="L103" s="77" t="n">
        <ns0:v>7.38</ns0:v>
      </ns0:c>
      <ns0:c r="M103" s="77" t="n">
        <ns0:v>7.13</ns0:v>
      </ns0:c>
      <ns0:c r="N103" s="74" t="inlineStr">
        <ns0:is>
          <ns0:t>N</ns0:t>
        </ns0:is>
      </ns0:c>
      <ns0:c r="O103" s="78" t="n">
        <ns0:v>96.59999999999999</ns0:v>
      </ns0:c>
      <ns0:c r="P103" s="78" t="n">
        <ns0:v>51</ns0:v>
      </ns0:c>
      <ns0:c r="Q103" s="79" t="n">
        <ns0:v>11008</ns0:v>
      </ns0:c>
      <ns0:c r="R103" s="74" t="inlineStr">
        <ns0:is>
          <ns0:t>prospectus:stated market capitalisation, rescaled to the offer price</ns0:t>
        </ns0:is>
      </ns0:c>
      <ns0:c r="S103" s="80" t="n">
        <ns0:v>5.65</ns0:v>
      </ns0:c>
      <ns0:c r="T103" s="81" t="n">
        <ns0:v>1.53</ns0:v>
      </ns0:c>
      <ns0:c r="U103" s="82" t="n">
        <ns0:v>41.61</ns0:v>
      </ns0:c>
      <ns0:c r="V103" s="83" t="n">
        <ns0:v>132</ns0:v>
      </ns0:c>
      <ns0:c r="W103" s="84" t="n"/>
      <ns0:c r="X103" s="85" t="n"/>
      <ns0:c r="Y103" s="79" t="n">
        <ns0:v>528.2</ns0:v>
      </ns0:c>
      <ns0:c r="Z103" s="79" t="n">
        <ns0:v>74082896</ns0:v>
      </ns0:c>
      <ns0:c r="AA103" s="78" t="n">
        <ns0:v>4.8</ns0:v>
      </ns0:c>
      <ns0:c r="AB103" s="74" t="inlineStr">
        <ns0:is>
          <ns0:t>King Star; Vivo Capital</ns0:t>
        </ns0:is>
      </ns0:c>
      <ns0:c r="AC103" s="74" t="inlineStr">
        <ns0:is>
          <ns0:t>king;vivo</ns0:t>
        </ns0:is>
      </ns0:c>
      <ns0:c r="AD103" s="78" t="n">
        <ns0:v>8.699999999999999</ns0:v>
      </ns0:c>
      <ns0:c r="AE103" s="74" t="inlineStr">
        <ns0:is>
          <ns0:t>partial</ns0:t>
        </ns0:is>
      </ns0:c>
      <ns0:c r="AF103" s="74" t="inlineStr">
        <ns0:is>
          <ns0:t>2022-03-17</ns0:t>
        </ns0:is>
      </ns0:c>
      <ns0:c r="AG103" s="74" t="inlineStr">
        <ns0:is>
          <ns0:t>China International Capital Corporation Hong Kong Securities Limited</ns0:t>
        </ns0:is>
      </ns0:c>
      <ns0:c r="AH103" s="74" t="inlineStr">
        <ns0:is>
          <ns0:t>China International</ns0:t>
        </ns0:is>
      </ns0:c>
      <ns0:c r="AI103" s="86" t="n">
        <ns0:v>0.42</ns0:v>
      </ns0:c>
      <ns0:c r="AJ103" s="87" t="n">
        <ns0:v>0.14</ns0:v>
      </ns0:c>
      <ns0:c r="AK103" s="87" t="n">
        <ns0:v>1.59</ns0:v>
      </ns0:c>
      <ns0:c r="AL103" s="87" t="n">
        <ns0:v>0</ns0:v>
      </ns0:c>
      <ns0:c r="AM103" s="87" t="n">
        <ns0:v>0.14</ns0:v>
      </ns0:c>
      <ns0:c r="AN103" s="88" t="n"/>
      <ns0:c r="AO103" s="78" t="n">
        <ns0:v>8.98</ns0:v>
      </ns0:c>
      <ns0:c r="AP103" s="87" t="n">
        <ns0:v>0</ns0:v>
      </ns0:c>
      <ns0:c r="AQ103" s="87" t="n">
        <ns0:v>-7.43</ns0:v>
      </ns0:c>
      <ns0:c r="AR103" s="87" t="n">
        <ns0:v>-8.699999999999999</ns0:v>
      </ns0:c>
      <ns0:c r="AS103" s="87" t="n">
        <ns0:v>-0.14</ns0:v>
      </ns0:c>
      <ns0:c r="AT103" s="87" t="n">
        <ns0:v>-7.56</ns0:v>
      </ns0:c>
      <ns0:c r="AU103" s="87" t="n">
        <ns0:v>-8.83</ns0:v>
      </ns0:c>
      <ns0:c r="AV103" s="87" t="n">
        <ns0:v>-1.78</ns0:v>
      </ns0:c>
      <ns0:c r="AW103" s="87" t="n">
        <ns0:v>-11.67</ns0:v>
      </ns0:c>
      <ns0:c r="AX103" s="87" t="n">
        <ns0:v>8.51</ns0:v>
      </ns0:c>
      <ns0:c r="AY103" s="87" t="n">
        <ns0:v>-10.17</ns0:v>
      </ns0:c>
      <ns0:c r="AZ103" s="87" t="n">
        <ns0:v>4.24</ns0:v>
      </ns0:c>
      <ns0:c r="BA103" s="87" t="n">
        <ns0:v>2.61</ns0:v>
      </ns0:c>
      <ns0:c r="BB103" s="74" t="inlineStr">
        <ns0:is>
          <ns0:t>China Biotech ETF (HS biotech proxy)</ns0:t>
        </ns0:is>
      </ns0:c>
      <ns0:c r="BC103" s="87" t="n">
        <ns0:v>-43.27</ns0:v>
      </ns0:c>
      <ns0:c r="BD103" s="75" t="n">
        <ns0:v>46297</ns0:v>
      </ns0:c>
      <ns0:c r="BE103" s="76" t="n">
        <ns0:v>0</ns0:v>
      </ns0:c>
      <ns0:c r="BF103" s="79" t="n">
        <ns0:v>-674.7</ns0:v>
      </ns0:c>
      <ns0:c r="BG103" s="74" t="inlineStr">
        <ns0:is>
          <ns0:t>N</ns0:t>
        </ns0:is>
      </ns0:c>
      <ns0:c r="BH103" s="74" t="inlineStr">
        <ns0:is>
          <ns0:t>n/m</ns0:t>
        </ns0:is>
      </ns0:c>
      <ns0:c r="BI103" s="88" t="n"/>
      <ns0:c r="BJ103" s="89" t="n">
        <ns0:v>27.2</ns0:v>
      </ns0:c>
      <ns0:c r="BK103" s="74" t="inlineStr">
        <ns0:is>
          <ns0:t>pre-rev</ns0:t>
        </ns0:is>
      </ns0:c>
      <ns0:c r="BL103" s="90">
        <ns0:f>IFERROR(IF('BBG Verify'!S103="","Awaiting Bloomberg",'BBG Verify'!S103),"Awaiting Bloomberg")</ns0:f>
        <ns0:v/>
      </ns0:c>
      <ns0:c r="BM103" s="91" t="inlineStr">
        <ns0:is>
          <ns0:t>N</ns0:t>
        </ns0:is>
      </ns0:c>
      <ns0:c r="BN103" s="92">
        <ns0:f>IFERROR(IF('BBG Verify'!K103="","Awaiting Bloomberg",'BBG Verify'!K103),"Awaiting Bloomberg")</ns0:f>
        <ns0:v/>
      </ns0:c>
      <ns0:c r="BO103" s="74" t="inlineStr">
        <ns0:is>
          <ns0:t>N/A</ns0:t>
        </ns0:is>
      </ns0:c>
      <ns0:c r="BP103" s="74" t="inlineStr">
        <ns0:is>
          <ns0:t>N/A</ns0:t>
        </ns0:is>
      </ns0:c>
      <ns0:c r="BQ103" s="74" t="inlineStr">
        <ns0:is>
          <ns0:t>N/A</ns0:t>
        </ns0:is>
      </ns0:c>
      <ns0:c r="BR103" s="74" t="inlineStr">
        <ns0:is>
          <ns0:t>N/A</ns0:t>
        </ns0:is>
      </ns0:c>
      <ns0:c r="BS103" s="74" t="inlineStr">
        <ns0:is>
          <ns0:t>N/A</ns0:t>
        </ns0:is>
      </ns0:c>
      <ns0:c r="BT103" s="74" t="inlineStr">
        <ns0:is>
          <ns0:t>N/A</ns0:t>
        </ns0:is>
      </ns0:c>
      <ns0:c r="BU103" s="91" t="inlineStr">
        <ns0:is>
          <ns0:t>China International Capital Corporation Hong Kong Securities Limited; Morgan Stanley Asia Limited</ns0:t>
        </ns0:is>
      </ns0:c>
      <ns0:c r="BV103" s="74" t="inlineStr">
        <ns0:is>
          <ns0:t>China International Capital Corporation Hong Kong Securities Limited; Morgan Stanley Asia Limited</ns0:t>
        </ns0:is>
      </ns0:c>
      <ns0:c r="BW103" s="74" t="inlineStr">
        <ns0:is>
          <ns0:t>China International Capital Corporation Hong Kong Securities Limited; Morgan Stanley Asia Limited; Morgan Stanley &amp; Co. International plc; Huatai Financial Holdings (Hong Kong) Limited; China Galaxy International Securities (Hong Kong) Co., Limited; Valuable Capital Limited</ns0:t>
        </ns0:is>
      </ns0:c>
      <ns0:c r="BX103" s="74" t="inlineStr">
        <ns0:is>
          <ns0: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ns0:t>
        </ns0:is>
      </ns0:c>
      <ns0:c r="BY103" s="93">
        <ns0:f>HYPERLINK("https://www1.hkexnews.hk/listedco/listconews/sehk/2022/0210/2022021000013.pdf","prospectus")</ns0:f>
        <ns0:v/>
      </ns0:c>
      <ns0:c r="BZ103" s="93">
        <ns0:f>HYPERLINK("https://www1.hkexnews.hk/listedco/listconews/sehk/2022/0222/2022022200012.htm","allotment")</ns0:f>
        <ns0:v/>
      </ns0:c>
      <ns0:c r="CA103" s="93">
        <ns0:f>HYPERLINK("https://www1.hkexnews.hk/listedco/listconews/sehk/2022/0317/2022031702152.pdf","stabilisation")</ns0:f>
        <ns0:v/>
      </ns0:c>
      <ns0:c r="CB103" s="94" t="n"/>
      <ns0:c r="CC103" s="74" t="inlineStr">
        <ns0:is>
          <ns0:t>P/E: loss-making at IPO, use P/S; market cap: prospectus cap HK$11,394m at HK$7.38, rescaled to HK$7.13; P/S: pre-revenue issuer, no sales multiple; deal size: stated gross HK$36.2m rejected, below the net proceeds of HK$804.2m; allocation: allocation table not in this notice's format (older prose announcement); day-1 tape: volume on file; the retail multiple needs the final public split, which this notice does not state</ns0:t>
        </ns0:is>
      </ns0:c>
    </ns0:row>
    <ns0:row r="104" ht="22" customHeight="1">
      <ns0:c r="A104" s="73" t="inlineStr">
        <ns0:is>
          <ns0:t>6639</ns0:t>
        </ns0:is>
      </ns0:c>
      <ns0:c r="B104" s="74" t="inlineStr">
        <ns0:is>
          <ns0:t>ARRAIL GROUP</ns0:t>
        </ns0:is>
      </ns0:c>
      <ns0:c r="C104" s="74" t="inlineStr">
        <ns0:is>
          <ns0:t>瑞爾集團</ns0:t>
        </ns0:is>
      </ns0:c>
      <ns0:c r="D104" s="74" t="inlineStr">
        <ns0:is>
          <ns0:t>Healthcare</ns0:t>
        </ns0:is>
      </ns0:c>
      <ns0:c r="E104" s="74" t="inlineStr">
        <ns0:is>
          <ns0:t>Hospitals / clinics</ns0:t>
        </ns0:is>
      </ns0:c>
      <ns0:c r="F104" s="74" t="inlineStr">
        <ns0:is>
          <ns0:t>Health Care Services</ns0:t>
        </ns0:is>
      </ns0:c>
      <ns0:c r="G104" s="74" t="inlineStr">
        <ns0:is>
          <ns0:t>Standard</ns0:t>
        </ns0:is>
      </ns0:c>
      <ns0:c r="H104" s="75" t="n">
        <ns0:v>44642</ns0:v>
      </ns0:c>
      <ns0:c r="I104" s="76" t="n">
        <ns0:v>680.2</ns0:v>
      </ns0:c>
      <ns0:c r="J104" s="74" t="inlineStr">
        <ns0:is>
          <ns0:t>gross (price x shares)</ns0:t>
        </ns0:is>
      </ns0:c>
      <ns0:c r="K104" s="95" t="n"/>
      <ns0:c r="L104" s="77" t="n">
        <ns0:v>14.62</ns0:v>
      </ns0:c>
      <ns0:c r="M104" s="77" t="n">
        <ns0:v>14.62</ns0:v>
      </ns0:c>
      <ns0:c r="N104" s="74" t="inlineStr">
        <ns0:is>
          <ns0:t>Y</ns0:t>
        </ns0:is>
      </ns0:c>
      <ns0:c r="O104" s="78" t="n">
        <ns0:v>100</ns0:v>
      </ns0:c>
      <ns0:c r="P104" s="84" t="n"/>
      <ns0:c r="Q104" s="79" t="n">
        <ns0:v>7474.7</ns0:v>
      </ns0:c>
      <ns0:c r="R104" s="74" t="inlineStr">
        <ns0:is>
          <ns0:t>derived:deal size / offer % of enlarged capital</ns0:t>
        </ns0:is>
      </ns0:c>
      <ns0:c r="S104" s="80" t="n">
        <ns0:v>1.74</ns0:v>
      </ns0:c>
      <ns0:c r="T104" s="81" t="n">
        <ns0:v>1.62</ns0:v>
      </ns0:c>
      <ns0:c r="U104" s="82" t="n">
        <ns0:v>31.9</ns0:v>
      </ns0:c>
      <ns0:c r="V104" s="83" t="n">
        <ns0:v>121</ns0:v>
      </ns0:c>
      <ns0:c r="W104" s="84" t="n"/>
      <ns0:c r="X104" s="85" t="n"/>
      <ns0:c r="Y104" s="79" t="n">
        <ns0:v>463.22</ns0:v>
      </ns0:c>
      <ns0:c r="Z104" s="79" t="n">
        <ns0:v>31685228</ns0:v>
      </ns0:c>
      <ns0:c r="AA104" s="78" t="n">
        <ns0:v>6.2</ns0:v>
      </ns0:c>
      <ns0:c r="AB104" s="74" t="inlineStr">
        <ns0:is>
          <ns0:t>Abax Asian Structured Private Credit Fund III, LP; Harvest International Premium Value (Secondary Market) Fund SPC; Hudson Bay Master Fund Ltd; OrbiMed Genesis Master Fund, L.P; Top Vast (Hong Kong) Limited</ns0:t>
        </ns0:is>
      </ns0:c>
      <ns0:c r="AC104" s="74" t="inlineStr">
        <ns0:is>
          <ns0:t>abax;harvest;hudson;orbimed;top</ns0:t>
        </ns0:is>
      </ns0:c>
      <ns0:c r="AD104" s="78" t="n">
        <ns0:v>10.92</ns0:v>
      </ns0:c>
      <ns0:c r="AE104" s="74" t="inlineStr">
        <ns0:is>
          <ns0:t>lapsed</ns0:t>
        </ns0:is>
      </ns0:c>
      <ns0:c r="AF104" s="74" t="inlineStr">
        <ns0:is>
          <ns0:t>2022-04-13</ns0:t>
        </ns0:is>
      </ns0:c>
      <ns0:c r="AG104" s="74" t="inlineStr">
        <ns0:is>
          <ns0:t>Morgan Stanley Asia Limited</ns0:t>
        </ns0:is>
      </ns0:c>
      <ns0:c r="AH104" s="74" t="inlineStr">
        <ns0:is>
          <ns0:t>Morgan Stanley</ns0:t>
        </ns0:is>
      </ns0:c>
      <ns0:c r="AI104" s="86" t="n">
        <ns0:v>-5.34</ns0:v>
      </ns0:c>
      <ns0:c r="AJ104" s="87" t="n">
        <ns0:v>-5.61</ns0:v>
      </ns0:c>
      <ns0:c r="AK104" s="87" t="n">
        <ns0:v>-0.8100000000000001</ns0:v>
      </ns0:c>
      <ns0:c r="AL104" s="87" t="n">
        <ns0:v>-0.14</ns0:v>
      </ns0:c>
      <ns0:c r="AM104" s="87" t="n">
        <ns0:v>-5.48</ns0:v>
      </ns0:c>
      <ns0:c r="AN104" s="88" t="n"/>
      <ns0:c r="AO104" s="78" t="n">
        <ns0:v>11.1</ns0:v>
      </ns0:c>
      <ns0:c r="AP104" s="87" t="n">
        <ns0:v>-1.5</ns0:v>
      </ns0:c>
      <ns0:c r="AQ104" s="87" t="n">
        <ns0:v>-20.52</ns0:v>
      </ns0:c>
      <ns0:c r="AR104" s="87" t="n">
        <ns0:v>-19.56</ns0:v>
      </ns0:c>
      <ns0:c r="AS104" s="87" t="n">
        <ns0:v>4.35</ns0:v>
      </ns0:c>
      <ns0:c r="AT104" s="87" t="n">
        <ns0:v>-15.8</ns0:v>
      </ns0:c>
      <ns0:c r="AU104" s="87" t="n">
        <ns0:v>-14.78</ns0:v>
      </ns0:c>
      <ns0:c r="AV104" s="87" t="n">
        <ns0:v>-3.3</ns0:v>
      </ns0:c>
      <ns0:c r="AW104" s="87" t="n">
        <ns0:v>-5.59</ns0:v>
      </ns0:c>
      <ns0:c r="AX104" s="87" t="n">
        <ns0:v>-18.89</ns0:v>
      </ns0:c>
      <ns0:c r="AY104" s="87" t="n">
        <ns0:v>-1.57</ns0:v>
      </ns0:c>
      <ns0:c r="AZ104" s="87" t="n">
        <ns0:v>-14.93</ns0:v>
      </ns0:c>
      <ns0:c r="BA104" s="87" t="n">
        <ns0:v>-14.23</ns0:v>
      </ns0:c>
      <ns0:c r="BB104" s="74" t="inlineStr">
        <ns0:is>
          <ns0:t>China Biotech ETF (HS biotech proxy)</ns0:t>
        </ns0:is>
      </ns0:c>
      <ns0:c r="BC104" s="87" t="n">
        <ns0:v>-87.48</ns0:v>
      </ns0:c>
      <ns0:c r="BD104" s="75" t="n">
        <ns0:v>45989</ns0:v>
      </ns0:c>
      <ns0:c r="BE104" s="76" t="n">
        <ns0:v>1666.6</ns0:v>
      </ns0:c>
      <ns0:c r="BF104" s="79" t="n">
        <ns0:v>-657.5</ns0:v>
      </ns0:c>
      <ns0:c r="BG104" s="74" t="inlineStr">
        <ns0:is>
          <ns0:t>N</ns0:t>
        </ns0:is>
      </ns0:c>
      <ns0:c r="BH104" s="74" t="inlineStr">
        <ns0:is>
          <ns0:t>n/m</ns0:t>
        </ns0:is>
      </ns0:c>
      <ns0:c r="BI104" s="88" t="n"/>
      <ns0:c r="BJ104" s="89" t="n">
        <ns0:v>25.6</ns0:v>
      </ns0:c>
      <ns0:c r="BK104" s="89" t="n">
        <ns0:v>4.5</ns0:v>
      </ns0:c>
      <ns0:c r="BL104" s="90">
        <ns0:f>IFERROR(IF('BBG Verify'!S104="","Awaiting Bloomberg",'BBG Verify'!S104),"Awaiting Bloomberg")</ns0:f>
        <ns0:v/>
      </ns0:c>
      <ns0:c r="BM104" s="91" t="inlineStr">
        <ns0:is>
          <ns0:t>N</ns0:t>
        </ns0:is>
      </ns0:c>
      <ns0:c r="BN104" s="92">
        <ns0:f>IFERROR(IF('BBG Verify'!K104="","Awaiting Bloomberg",'BBG Verify'!K104),"Awaiting Bloomberg")</ns0:f>
        <ns0:v/>
      </ns0:c>
      <ns0:c r="BO104" s="74" t="inlineStr">
        <ns0:is>
          <ns0:t>N/A</ns0:t>
        </ns0:is>
      </ns0:c>
      <ns0:c r="BP104" s="74" t="inlineStr">
        <ns0:is>
          <ns0:t>N/A</ns0:t>
        </ns0:is>
      </ns0:c>
      <ns0:c r="BQ104" s="74" t="inlineStr">
        <ns0:is>
          <ns0:t>N/A</ns0:t>
        </ns0:is>
      </ns0:c>
      <ns0:c r="BR104" s="74" t="inlineStr">
        <ns0:is>
          <ns0:t>N/A</ns0:t>
        </ns0:is>
      </ns0:c>
      <ns0:c r="BS104" s="74" t="inlineStr">
        <ns0:is>
          <ns0:t>N/A</ns0:t>
        </ns0:is>
      </ns0:c>
      <ns0:c r="BT104" s="74" t="inlineStr">
        <ns0:is>
          <ns0:t>N/A</ns0:t>
        </ns0:is>
      </ns0:c>
      <ns0:c r="BU104" s="91" t="inlineStr">
        <ns0:is>
          <ns0:t>Morgan Stanley Asia Limited; UBS Securities Hong Kong Limited</ns0:t>
        </ns0:is>
      </ns0:c>
      <ns0:c r="BV104" s="74" t="inlineStr">
        <ns0:is>
          <ns0:t>Morgan Stanley Asia Limited; UBS Securities Hong Kong Limited</ns0:t>
        </ns0:is>
      </ns0:c>
      <ns0:c r="BW104" s="74" t="inlineStr">
        <ns0:is>
          <ns0:t>Morgan Stanley Asia Limited; UBS AG Hong Kong Branch; China International Capital Corporation Hong Kong Securities Limited; Haitong International Securities Company Limited</ns0:t>
        </ns0:is>
      </ns0:c>
      <ns0:c r="BX104" s="74" t="inlineStr">
        <ns0:is>
          <ns0: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ns0:t>
        </ns0:is>
      </ns0:c>
      <ns0:c r="BY104" s="93">
        <ns0:f>HYPERLINK("https://www1.hkexnews.hk/listedco/listconews/sehk/2022/0309/2022030900091.pdf","prospectus")</ns0:f>
        <ns0:v/>
      </ns0:c>
      <ns0:c r="BZ104" s="93">
        <ns0:f>HYPERLINK("https://www1.hkexnews.hk/listedco/listconews/sehk/2022/0321/2022032100094.htm","allotment")</ns0:f>
        <ns0:v/>
      </ns0:c>
      <ns0:c r="CA104" s="93">
        <ns0:f>HYPERLINK("https://www1.hkexnews.hk/listedco/listconews/sehk/2022/0413/2022041301532.pdf","stabilisation")</ns0:f>
        <ns0:v/>
      </ns0:c>
      <ns0:c r="CB104" s="94" t="n"/>
      <ns0:c r="CC104" s="74" t="inlineStr">
        <ns0:is>
          <ns0:t>P/E: loss-making at IPO, use P/S; range low: maximum offer price only, no floor published; cornerstone: % from the prospectus; AAStocks table includes non-cornerstone orders; price series: last available quoted close 2025-11-28; may be suspended, delisted or a source gap; price and benchmark end on that date; allocation: allocation table not in this notice's format (older prose announcement); day-1 tape: volume on file; the retail multiple needs the final public split, which this notice does not state</ns0:t>
        </ns0:is>
      </ns0:c>
    </ns0:row>
    <ns0:row r="105" ht="22" customHeight="1">
      <ns0:c r="A105" s="73" t="inlineStr">
        <ns0:is>
          <ns0:t>9638</ns0:t>
        </ns0:is>
      </ns0:c>
      <ns0:c r="B105" s="74" t="inlineStr">
        <ns0:is>
          <ns0:t>FERRETTI</ns0:t>
        </ns0:is>
      </ns0:c>
      <ns0:c r="C105" s="74" t="inlineStr">
        <ns0:is>
          <ns0:t>法拉帝</ns0:t>
        </ns0:is>
      </ns0:c>
      <ns0:c r="D105" s="74" t="inlineStr">
        <ns0:is>
          <ns0:t>Consumer</ns0:t>
        </ns0:is>
      </ns0:c>
      <ns0:c r="E105" s="74" t="inlineStr">
        <ns0:is>
          <ns0:t>Apparel / luxury</ns0:t>
        </ns0:is>
      </ns0:c>
      <ns0:c r="F105" s="74" t="inlineStr">
        <ns0:is>
          <ns0:t>Leisure Products</ns0:t>
        </ns0:is>
      </ns0:c>
      <ns0:c r="G105" s="74" t="inlineStr">
        <ns0:is>
          <ns0:t>Standard</ns0:t>
        </ns0:is>
      </ns0:c>
      <ns0:c r="H105" s="75" t="n">
        <ns0:v>44651</ns0:v>
      </ns0:c>
      <ns0:c r="I105" s="76" t="n">
        <ns0:v>1912.3</ns0:v>
      </ns0:c>
      <ns0:c r="J105" s="74" t="inlineStr">
        <ns0:is>
          <ns0:t>gross (price x shares)</ns0:t>
        </ns0:is>
      </ns0:c>
      <ns0:c r="K105" s="77" t="n">
        <ns0:v>21.82</ns0:v>
      </ns0:c>
      <ns0:c r="L105" s="77" t="n">
        <ns0:v>28.24</ns0:v>
      </ns0:c>
      <ns0:c r="M105" s="77" t="n">
        <ns0:v>22.88</ns0:v>
      </ns0:c>
      <ns0:c r="N105" s="74" t="inlineStr">
        <ns0:is>
          <ns0:t>N</ns0:t>
        </ns0:is>
      </ns0:c>
      <ns0:c r="O105" s="78" t="n">
        <ns0:v>81</ns0:v>
      </ns0:c>
      <ns0:c r="P105" s="78" t="n">
        <ns0:v>16.5</ns0:v>
      </ns0:c>
      <ns0:c r="Q105" s="79" t="n">
        <ns0:v>9146.299999999999</ns0:v>
      </ns0:c>
      <ns0:c r="R105" s="74" t="inlineStr">
        <ns0:is>
          <ns0:t>aastocks:上市市值 at the struck price</ns0:t>
        </ns0:is>
      </ns0:c>
      <ns0:c r="S105" s="80" t="n">
        <ns0:v>1.07</ns0:v>
      </ns0:c>
      <ns0:c r="T105" s="81" t="n">
        <ns0:v>2.06</ns0:v>
      </ns0:c>
      <ns0:c r="U105" s="82" t="n">
        <ns0:v>53.02</ns0:v>
      </ns0:c>
      <ns0:c r="V105" s="83" t="n">
        <ns0:v>125</ns0:v>
      </ns0:c>
      <ns0:c r="W105" s="84" t="n"/>
      <ns0:c r="X105" s="85" t="n"/>
      <ns0:c r="Y105" s="79" t="n">
        <ns0:v>898.4</ns0:v>
      </ns0:c>
      <ns0:c r="Z105" s="79" t="n">
        <ns0:v>39265884</ns0:v>
      </ns0:c>
      <ns0:c r="AA105" s="78" t="n">
        <ns0:v>9.82</ns0:v>
      </ns0:c>
      <ns0:c r="AB105" s="74" t="inlineStr">
        <ns0:is>
          <ns0:t>Hainan Financial Holdings Co., Ltd; Hainan Free Trade Port Construction Investment Fund Co., Ltd; Qingdao Haifa Holding Development Co., Ltd; Sanya Development Holdings Co., Ltd; Sunshine Life Insurance Corporation Limited</ns0:t>
        </ns0:is>
      </ns0:c>
      <ns0:c r="AC105" s="74" t="inlineStr">
        <ns0:is>
          <ns0:t>hainan;qingdao;sanya;sunshine</ns0:t>
        </ns0:is>
      </ns0:c>
      <ns0:c r="AD105" s="78" t="n">
        <ns0:v>15</ns0:v>
      </ns0:c>
      <ns0:c r="AE105" s="74" t="inlineStr">
        <ns0:is>
          <ns0:t>partial</ns0:t>
        </ns0:is>
      </ns0:c>
      <ns0:c r="AF105" s="74" t="inlineStr">
        <ns0:is>
          <ns0:t>2022-04-24</ns0:t>
        </ns0:is>
      </ns0:c>
      <ns0:c r="AG105" s="85" t="n"/>
      <ns0:c r="AH105" s="85" t="n"/>
      <ns0:c r="AI105" s="86" t="n">
        <ns0:v>1.18</ns0:v>
      </ns0:c>
      <ns0:c r="AJ105" s="87" t="n">
        <ns0:v>-0.13</ns0:v>
      </ns0:c>
      <ns0:c r="AK105" s="87" t="n">
        <ns0:v>-1.95</ns0:v>
      </ns0:c>
      <ns0:c r="AL105" s="87" t="n">
        <ns0:v>0.74</ns0:v>
      </ns0:c>
      <ns0:c r="AM105" s="87" t="n">
        <ns0:v>-0.86</ns0:v>
      </ns0:c>
      <ns0:c r="AN105" s="88" t="n"/>
      <ns0:c r="AO105" s="78" t="n">
        <ns0:v>3.9</ns0:v>
      </ns0:c>
      <ns0:c r="AP105" s="87" t="n">
        <ns0:v>-0.13</ns0:v>
      </ns0:c>
      <ns0:c r="AQ105" s="87" t="n">
        <ns0:v>9.27</ns0:v>
      </ns0:c>
      <ns0:c r="AR105" s="87" t="n">
        <ns0:v>-13.11</ns0:v>
      </ns0:c>
      <ns0:c r="AS105" s="87" t="n">
        <ns0:v>0</ns0:v>
      </ns0:c>
      <ns0:c r="AT105" s="87" t="n">
        <ns0:v>9.41</ns0:v>
      </ns0:c>
      <ns0:c r="AU105" s="87" t="n">
        <ns0:v>-13</ns0:v>
      </ns0:c>
      <ns0:c r="AV105" s="87" t="n">
        <ns0:v>4.09</ns0:v>
      </ns0:c>
      <ns0:c r="AW105" s="87" t="n">
        <ns0:v>16.35</ns0:v>
      </ns0:c>
      <ns0:c r="AX105" s="87" t="n">
        <ns0:v>-13.58</ns0:v>
      </ns0:c>
      <ns0:c r="AY105" s="87" t="n">
        <ns0:v>14.64</ns0:v>
      </ns0:c>
      <ns0:c r="AZ105" s="87" t="n">
        <ns0:v>-7.08</ns0:v>
      </ns0:c>
      <ns0:c r="BA105" s="87" t="n">
        <ns0:v>-5.23</ns0:v>
      </ns0:c>
      <ns0:c r="BB105" s="74" t="inlineStr">
        <ns0:is>
          <ns0:t>Hang Seng Commerce &amp; Industry sub-index</ns0:t>
        </ns0:is>
      </ns0:c>
      <ns0:c r="BC105" s="87" t="n">
        <ns0:v>55.94</ns0:v>
      </ns0:c>
      <ns0:c r="BD105" s="75" t="n">
        <ns0:v>46297</ns0:v>
      </ns0:c>
      <ns0:c r="BE105" s="98" t="n"/>
      <ns0:c r="BF105" s="97" t="n"/>
      <ns0:c r="BG105" s="85" t="n"/>
      <ns0:c r="BH105" s="89" t="n">
        <ns0:v>18</ns0:v>
      </ns0:c>
      <ns0:c r="BI105" s="89" t="n">
        <ns0:v>18</ns0:v>
      </ns0:c>
      <ns0:c r="BJ105" s="89" t="n">
        <ns0:v>16</ns0:v>
      </ns0:c>
      <ns0:c r="BK105" s="88" t="n"/>
      <ns0:c r="BL105" s="90">
        <ns0:f>IFERROR(IF('BBG Verify'!S105="","Awaiting Bloomberg",'BBG Verify'!S105),"Awaiting Bloomberg")</ns0:f>
        <ns0:v/>
      </ns0:c>
      <ns0:c r="BM105" s="91" t="inlineStr">
        <ns0:is>
          <ns0:t>N</ns0:t>
        </ns0:is>
      </ns0:c>
      <ns0:c r="BN105" s="92">
        <ns0:f>IFERROR(IF('BBG Verify'!K105="","Awaiting Bloomberg",'BBG Verify'!K105),"Awaiting Bloomberg")</ns0:f>
        <ns0:v/>
      </ns0:c>
      <ns0:c r="BO105" s="74" t="inlineStr">
        <ns0:is>
          <ns0:t>N/A</ns0:t>
        </ns0:is>
      </ns0:c>
      <ns0:c r="BP105" s="74" t="inlineStr">
        <ns0:is>
          <ns0:t>N/A</ns0:t>
        </ns0:is>
      </ns0:c>
      <ns0:c r="BQ105" s="74" t="inlineStr">
        <ns0:is>
          <ns0:t>N/A</ns0:t>
        </ns0:is>
      </ns0:c>
      <ns0:c r="BR105" s="74" t="inlineStr">
        <ns0:is>
          <ns0:t>N/A</ns0:t>
        </ns0:is>
      </ns0:c>
      <ns0:c r="BS105" s="74" t="inlineStr">
        <ns0:is>
          <ns0:t>N/A</ns0:t>
        </ns0:is>
      </ns0:c>
      <ns0:c r="BT105" s="74" t="inlineStr">
        <ns0:is>
          <ns0:t>N/A</ns0:t>
        </ns0:is>
      </ns0:c>
      <ns0:c r="BU105" s="91" t="inlineStr">
        <ns0:is>
          <ns0:t>China International Capital Corporation Hong Kong Securities Limited</ns0:t>
        </ns0:is>
      </ns0:c>
      <ns0:c r="BV105" s="74" t="inlineStr">
        <ns0:is>
          <ns0:t>China International Capital Corporation Hong Kong Securities Limited</ns0:t>
        </ns0:is>
      </ns0:c>
      <ns0:c r="BW105" s="74" t="inlineStr">
        <ns0:is>
          <ns0:t>China International Capital Corporation Hong Kong Securities Limited; BNP Paribas Securities (Asia) Limited; Zhongtai International Securities Limited</ns0:t>
        </ns0:is>
      </ns0:c>
      <ns0:c r="BX105" s="74" t="inlineStr">
        <ns0:is>
          <ns0:t>BNP Paribas Securities (Asia) Limited; China International Capital Corporation Hong Kong Securities Limited; Zhongtai International Securities Limited</ns0:t>
        </ns0:is>
      </ns0:c>
      <ns0:c r="BY105" s="93">
        <ns0:f>HYPERLINK("https://www1.hkexnews.hk/listedco/listconews/sehk/2022/0322/2022032200013.pdf","prospectus")</ns0:f>
        <ns0:v/>
      </ns0:c>
      <ns0:c r="BZ105" s="93">
        <ns0:f>HYPERLINK("https://www1.hkexnews.hk/listedco/listconews/sehk/2022/0330/2022033000050.htm","allotment")</ns0:f>
        <ns0:v/>
      </ns0:c>
      <ns0:c r="CA105" s="93">
        <ns0:f>HYPERLINK("https://www1.hkexnews.hk/listedco/listconews/sehk/2022/0424/2022042400017.pdf","stabilisation")</ns0:f>
        <ns0:v/>
      </ns0:c>
      <ns0:c r="CB105" s="94" t="n"/>
      <ns0:c r="CC105" s="74" t="inlineStr">
        <ns0:is>
          <ns0:t>P/E: Bloomberg trailing-12m basis (prospectus-year multiple not derivable); P/S: revenue not extractable; stabilising manager: not named in the allotment notice or prospectus glossary; financials: not extractable; pre-IPO year outside the AAStocks window; allocation: allocation table not in this notice's format (older prose announcement); day-1 tape: volume on file; the retail multiple needs the final public split, which this notice does not state</ns0:t>
        </ns0:is>
      </ns0:c>
    </ns0:row>
    <ns0:row r="106" ht="22" customHeight="1">
      <ns0:c r="A106" s="73" t="inlineStr">
        <ns0:is>
          <ns0:t>2179</ns0:t>
        </ns0:is>
      </ns0:c>
      <ns0:c r="B106" s="74" t="inlineStr">
        <ns0:is>
          <ns0:t>RECBIO-B</ns0:t>
        </ns0:is>
      </ns0:c>
      <ns0:c r="C106" s="74" t="inlineStr">
        <ns0:is>
          <ns0:t>瑞科生物－Ｂ</ns0:t>
        </ns0:is>
      </ns0:c>
      <ns0:c r="D106" s="74" t="inlineStr">
        <ns0:is>
          <ns0:t>Healthcare</ns0:t>
        </ns0:is>
      </ns0:c>
      <ns0:c r="E106" s="74" t="inlineStr">
        <ns0:is>
          <ns0:t>Biotech pre-revenue (18A)</ns0:t>
        </ns0:is>
      </ns0:c>
      <ns0:c r="F106" s="74" t="inlineStr">
        <ns0:is>
          <ns0:t>Biotechnology</ns0:t>
        </ns0:is>
      </ns0:c>
      <ns0:c r="G106" s="74" t="inlineStr">
        <ns0:is>
          <ns0:t>18A</ns0:t>
        </ns0:is>
      </ns0:c>
      <ns0:c r="H106" s="75" t="n">
        <ns0:v>44651</ns0:v>
      </ns0:c>
      <ns0:c r="I106" s="76" t="n">
        <ns0:v>672.4</ns0:v>
      </ns0:c>
      <ns0:c r="J106" s="74" t="inlineStr">
        <ns0:is>
          <ns0:t>net proceeds</ns0:t>
        </ns0:is>
      </ns0:c>
      <ns0:c r="K106" s="95" t="n"/>
      <ns0:c r="L106" s="77" t="n">
        <ns0:v>24.8</ns0:v>
      </ns0:c>
      <ns0:c r="M106" s="77" t="n">
        <ns0:v>24.8</ns0:v>
      </ns0:c>
      <ns0:c r="N106" s="74" t="inlineStr">
        <ns0:is>
          <ns0:t>Y</ns0:t>
        </ns0:is>
      </ns0:c>
      <ns0:c r="O106" s="78" t="n">
        <ns0:v>100</ns0:v>
      </ns0:c>
      <ns0:c r="P106" s="84" t="n"/>
      <ns0:c r="Q106" s="79" t="n">
        <ns0:v>9160.799999999999</ns0:v>
      </ns0:c>
      <ns0:c r="R106" s="74" t="inlineStr">
        <ns0:is>
          <ns0:t>derived:deal size / offer % of enlarged capital</ns0:t>
        </ns0:is>
      </ns0:c>
      <ns0:c r="S106" s="80" t="n">
        <ns0:v>10.65</ns0:v>
      </ns0:c>
      <ns0:c r="T106" s="81" t="n">
        <ns0:v>1.39</ns0:v>
      </ns0:c>
      <ns0:c r="U106" s="82" t="n">
        <ns0:v>18.62</ns0:v>
      </ns0:c>
      <ns0:c r="V106" s="83" t="n">
        <ns0:v>167</ns0:v>
      </ns0:c>
      <ns0:c r="W106" s="84" t="n"/>
      <ns0:c r="X106" s="85" t="n"/>
      <ns0:c r="Y106" s="79" t="n">
        <ns0:v>547.2</ns0:v>
      </ns0:c>
      <ns0:c r="Z106" s="97" t="n"/>
      <ns0:c r="AA106" s="78" t="n">
        <ns0:v>5.97</ns0:v>
      </ns0:c>
      <ns0:c r="AB106" s="74" t="inlineStr">
        <ns0:is>
          <ns0:t>Harvest High Yield SP; SCC Growth VI Holdco C (HK) Limited; SCHP Master Fund; Yangtze River (Hong Kong) Limited</ns0:t>
        </ns0:is>
      </ns0:c>
      <ns0:c r="AC106" s="74" t="inlineStr">
        <ns0:is>
          <ns0:t>harvest;scc;schp;yangtze</ns0:t>
        </ns0:is>
      </ns0:c>
      <ns0:c r="AD106" s="78" t="n">
        <ns0:v>6.44</ns0:v>
      </ns0:c>
      <ns0:c r="AE106" s="74" t="inlineStr">
        <ns0:is>
          <ns0:t>partial</ns0:t>
        </ns0:is>
      </ns0:c>
      <ns0:c r="AF106" s="74" t="inlineStr">
        <ns0:is>
          <ns0:t>2022-04-23</ns0:t>
        </ns0:is>
      </ns0:c>
      <ns0:c r="AG106" s="74" t="inlineStr">
        <ns0:is>
          <ns0:t>Morgan Stanley Asia Limited</ns0:t>
        </ns0:is>
      </ns0:c>
      <ns0:c r="AH106" s="74" t="inlineStr">
        <ns0:is>
          <ns0:t>Morgan Stanley</ns0:t>
        </ns0:is>
      </ns0:c>
      <ns0:c r="AI106" s="86" t="n">
        <ns0:v>2.82</ns0:v>
      </ns0:c>
      <ns0:c r="AJ106" s="87" t="n">
        <ns0:v>1.81</ns0:v>
      </ns0:c>
      <ns0:c r="AK106" s="87" t="n">
        <ns0:v>-2.93</ns0:v>
      </ns0:c>
      <ns0:c r="AL106" s="87" t="n">
        <ns0:v>0.8100000000000001</ns0:v>
      </ns0:c>
      <ns0:c r="AM106" s="87" t="n">
        <ns0:v>0.99</ns0:v>
      </ns0:c>
      <ns0:c r="AN106" s="88" t="n"/>
      <ns0:c r="AO106" s="78" t="n">
        <ns0:v>5.2</ns0:v>
      </ns0:c>
      <ns0:c r="AP106" s="87" t="n">
        <ns0:v>10.08</ns0:v>
      </ns0:c>
      <ns0:c r="AQ106" s="87" t="n">
        <ns0:v>0.2</ns0:v>
      </ns0:c>
      <ns0:c r="AR106" s="87" t="n">
        <ns0:v>-8.67</ns0:v>
      </ns0:c>
      <ns0:c r="AS106" s="87" t="n">
        <ns0:v>8.119999999999999</ns0:v>
      </ns0:c>
      <ns0:c r="AT106" s="87" t="n">
        <ns0:v>-1.58</ns0:v>
      </ns0:c>
      <ns0:c r="AU106" s="87" t="n">
        <ns0:v>-10.29</ns0:v>
      </ns0:c>
      <ns0:c r="AV106" s="87" t="n">
        <ns0:v>15.66</ns0:v>
      </ns0:c>
      <ns0:c r="AW106" s="87" t="n">
        <ns0:v>16.05</ns0:v>
      </ns0:c>
      <ns0:c r="AX106" s="87" t="n">
        <ns0:v>-10.35</ns0:v>
      </ns0:c>
      <ns0:c r="AY106" s="87" t="n">
        <ns0:v>11.73</ns0:v>
      </ns0:c>
      <ns0:c r="AZ106" s="87" t="n">
        <ns0:v>-15.85</ns0:v>
      </ns0:c>
      <ns0:c r="BA106" s="87" t="n">
        <ns0:v>-13.31</ns0:v>
      </ns0:c>
      <ns0:c r="BB106" s="74" t="inlineStr">
        <ns0:is>
          <ns0:t>China Biotech ETF (HS biotech proxy)</ns0:t>
        </ns0:is>
      </ns0:c>
      <ns0:c r="BC106" s="87" t="n">
        <ns0:v>-82.23999999999999</ns0:v>
      </ns0:c>
      <ns0:c r="BD106" s="75" t="n">
        <ns0:v>46297</ns0:v>
      </ns0:c>
      <ns0:c r="BE106" s="76" t="n">
        <ns0:v>0</ns0:v>
      </ns0:c>
      <ns0:c r="BF106" s="79" t="n">
        <ns0:v>-723.4</ns0:v>
      </ns0:c>
      <ns0:c r="BG106" s="74" t="inlineStr">
        <ns0:is>
          <ns0:t>N</ns0:t>
        </ns0:is>
      </ns0:c>
      <ns0:c r="BH106" s="74" t="inlineStr">
        <ns0:is>
          <ns0:t>n/m</ns0:t>
        </ns0:is>
      </ns0:c>
      <ns0:c r="BI106" s="88" t="n"/>
      <ns0:c r="BJ106" s="88" t="n"/>
      <ns0:c r="BK106" s="74" t="inlineStr">
        <ns0:is>
          <ns0:t>pre-rev</ns0:t>
        </ns0:is>
      </ns0:c>
      <ns0:c r="BL106" s="90">
        <ns0:f>IFERROR(IF('BBG Verify'!S106="","Awaiting Bloomberg",'BBG Verify'!S106),"Awaiting Bloomberg")</ns0:f>
        <ns0:v/>
      </ns0:c>
      <ns0:c r="BM106" s="91" t="inlineStr">
        <ns0:is>
          <ns0:t>N</ns0:t>
        </ns0:is>
      </ns0:c>
      <ns0:c r="BN106" s="92">
        <ns0:f>IFERROR(IF('BBG Verify'!K106="","Awaiting Bloomberg",'BBG Verify'!K106),"Awaiting Bloomberg")</ns0:f>
        <ns0:v/>
      </ns0:c>
      <ns0:c r="BO106" s="74" t="inlineStr">
        <ns0:is>
          <ns0:t>N/A</ns0:t>
        </ns0:is>
      </ns0:c>
      <ns0:c r="BP106" s="74" t="inlineStr">
        <ns0:is>
          <ns0:t>N/A</ns0:t>
        </ns0:is>
      </ns0:c>
      <ns0:c r="BQ106" s="74" t="inlineStr">
        <ns0:is>
          <ns0:t>N/A</ns0:t>
        </ns0:is>
      </ns0:c>
      <ns0:c r="BR106" s="74" t="inlineStr">
        <ns0:is>
          <ns0:t>N/A</ns0:t>
        </ns0:is>
      </ns0:c>
      <ns0:c r="BS106" s="74" t="inlineStr">
        <ns0:is>
          <ns0:t>N/A</ns0:t>
        </ns0:is>
      </ns0:c>
      <ns0:c r="BT106" s="74" t="inlineStr">
        <ns0:is>
          <ns0:t>N/A</ns0:t>
        </ns0:is>
      </ns0:c>
      <ns0:c r="BU106" s="91" t="inlineStr">
        <ns0:is>
          <ns0:t>Morgan Stanley Asia Limited; CMB International Capital Limited; CLSA Capital Markets Limited; Morgan Stanley &amp; Co. International plc; London E14 4QA United Kingdom CMB International Capital Limited; CLSA Limited</ns0:t>
        </ns0:is>
      </ns0:c>
      <ns0:c r="BV106" s="74" t="inlineStr">
        <ns0:is>
          <ns0:t>Morgan Stanley Asia Limited; CLSA Capital Markets Limited; CMB International Capital Corporation Limited</ns0:t>
        </ns0:is>
      </ns0:c>
      <ns0:c r="BW106" s="74" t="inlineStr">
        <ns0:is>
          <ns0: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ns0:t>
        </ns0:is>
      </ns0:c>
      <ns0:c r="BX106" s="74" t="inlineStr">
        <ns0:is>
          <ns0: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ns0:t>
        </ns0:is>
      </ns0:c>
      <ns0:c r="BY106" s="93">
        <ns0:f>HYPERLINK("https://www1.hkexnews.hk/listedco/listconews/sehk/2022/0321/2022032100025.pdf","prospectus")</ns0:f>
        <ns0:v/>
      </ns0:c>
      <ns0:c r="BZ106" s="93">
        <ns0:f>HYPERLINK("https://www1.hkexnews.hk/listedco/listconews/sehk/2022/0330/2022033000086.htm","allotment")</ns0:f>
        <ns0:v/>
      </ns0:c>
      <ns0:c r="CA106" s="93">
        <ns0:f>HYPERLINK("https://www1.hkexnews.hk/listedco/listconews/sehk/2022/0424/2022042400203.pdf","stabilisation")</ns0:f>
        <ns0:v/>
      </ns0:c>
      <ns0:c r="CB106" s="94" t="n"/>
      <ns0:c r="CC106" s="74" t="inlineStr">
        <ns0:is>
          <ns0:t>P/E: loss-making at IPO, use P/S; range low: maximum offer price only, no floor published; cornerstone: % from the prospectus; AAStocks table includes non-cornerstone orders; P/S: pre-revenue issuer, no sales multiple; deal size: stated gross HK$32.5m rejected, below the net proceeds of HK$672.4m;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107" ht="22" customHeight="1">
      <ns0:c r="A107" s="73" t="inlineStr">
        <ns0:is>
          <ns0:t>2370</ns0:t>
        </ns0:is>
      </ns0:c>
      <ns0:c r="B107" s="74" t="inlineStr">
        <ns0:is>
          <ns0:t>REDCO HEALTHY</ns0:t>
        </ns0:is>
      </ns0:c>
      <ns0:c r="C107" s="74" t="inlineStr">
        <ns0:is>
          <ns0:t>力高健康生活</ns0:t>
        </ns0:is>
      </ns0:c>
      <ns0:c r="D107" s="74" t="inlineStr">
        <ns0:is>
          <ns0:t>Real Estate</ns0:t>
        </ns0:is>
      </ns0:c>
      <ns0:c r="E107" s="74" t="inlineStr">
        <ns0:is>
          <ns0:t>Property management</ns0:t>
        </ns0:is>
      </ns0:c>
      <ns0:c r="F107" s="74" t="inlineStr">
        <ns0:is>
          <ns0:t>Property Service and Management</ns0:t>
        </ns0:is>
      </ns0:c>
      <ns0:c r="G107" s="74" t="inlineStr">
        <ns0:is>
          <ns0:t>Standard</ns0:t>
        </ns0:is>
      </ns0:c>
      <ns0:c r="H107" s="75" t="n">
        <ns0:v>44651</ns0:v>
      </ns0:c>
      <ns0:c r="I107" s="76" t="n">
        <ns0:v>205</ns0:v>
      </ns0:c>
      <ns0:c r="J107" s="74" t="inlineStr">
        <ns0:is>
          <ns0:t>gross (price x shares)</ns0:t>
        </ns0:is>
      </ns0:c>
      <ns0:c r="K107" s="77" t="n">
        <ns0:v>4.1</ns0:v>
      </ns0:c>
      <ns0:c r="L107" s="77" t="n">
        <ns0:v>5.1</ns0:v>
      </ns0:c>
      <ns0:c r="M107" s="77" t="n">
        <ns0:v>4.1</ns0:v>
      </ns0:c>
      <ns0:c r="N107" s="74" t="inlineStr">
        <ns0:is>
          <ns0:t>N</ns0:t>
        </ns0:is>
      </ns0:c>
      <ns0:c r="O107" s="78" t="n">
        <ns0:v>80.40000000000001</ns0:v>
      </ns0:c>
      <ns0:c r="P107" s="78" t="n">
        <ns0:v>0</ns0:v>
      </ns0:c>
      <ns0:c r="Q107" s="79" t="n">
        <ns0:v>980.8</ns0:v>
      </ns0:c>
      <ns0:c r="R107" s="74" t="inlineStr">
        <ns0:is>
          <ns0:t>aastocks:上市市值 at the struck price</ns0:t>
        </ns0:is>
      </ns0:c>
      <ns0:c r="S107" s="80" t="n">
        <ns0:v>1.99</ns0:v>
      </ns0:c>
      <ns0:c r="T107" s="81" t="n">
        <ns0:v>1.14</ns0:v>
      </ns0:c>
      <ns0:c r="U107" s="82" t="n">
        <ns0:v>0</ns0:v>
      </ns0:c>
      <ns0:c r="V107" s="83" t="n">
        <ns0:v>210</ns0:v>
      </ns0:c>
      <ns0:c r="W107" s="84" t="n"/>
      <ns0:c r="X107" s="85" t="n"/>
      <ns0:c r="Y107" s="79" t="n">
        <ns0:v>205</ns0:v>
      </ns0:c>
      <ns0:c r="Z107" s="79" t="n">
        <ns0:v>50000000</ns0:v>
      </ns0:c>
      <ns0:c r="AA107" s="78" t="n">
        <ns0:v>20.9</ns0:v>
      </ns0:c>
      <ns0:c r="AB107" s="74" t="inlineStr">
        <ns0:is>
          <ns0:t>none — no cornerstone tranche</ns0:t>
        </ns0:is>
      </ns0:c>
      <ns0:c r="AC107" s="74" t="inlineStr">
        <ns0:is>
          <ns0:t>none</ns0:t>
        </ns0:is>
      </ns0:c>
      <ns0:c r="AD107" s="78" t="n">
        <ns0:v>15</ns0:v>
      </ns0:c>
      <ns0:c r="AE107" s="74" t="inlineStr">
        <ns0:is>
          <ns0:t>lapsed (no over-allocation)</ns0:t>
        </ns0:is>
      </ns0:c>
      <ns0:c r="AF107" s="74" t="inlineStr">
        <ns0:is>
          <ns0:t>2022-04-24</ns0:t>
        </ns0:is>
      </ns0:c>
      <ns0:c r="AG107" s="74" t="inlineStr">
        <ns0:is>
          <ns0:t>ABCI Securities Company Limited</ns0:t>
        </ns0:is>
      </ns0:c>
      <ns0:c r="AH107" s="74" t="inlineStr">
        <ns0:is>
          <ns0:t>ABCI</ns0:t>
        </ns0:is>
      </ns0:c>
      <ns0:c r="AI107" s="86" t="n">
        <ns0:v>11.46</ns0:v>
      </ns0:c>
      <ns0:c r="AJ107" s="87" t="n">
        <ns0:v>26.34</ns0:v>
      </ns0:c>
      <ns0:c r="AK107" s="87" t="n">
        <ns0:v>-1.39</ns0:v>
      </ns0:c>
      <ns0:c r="AL107" s="87" t="n">
        <ns0:v>10.98</ns0:v>
      </ns0:c>
      <ns0:c r="AM107" s="87" t="n">
        <ns0:v>13.84</ns0:v>
      </ns0:c>
      <ns0:c r="AN107" s="88" t="n"/>
      <ns0:c r="AO107" s="78" t="n">
        <ns0:v>44.84</ns0:v>
      </ns0:c>
      <ns0:c r="AP107" s="87" t="n">
        <ns0:v>101.22</ns0:v>
      </ns0:c>
      <ns0:c r="AQ107" s="87" t="n">
        <ns0:v>103.66</ns0:v>
      </ns0:c>
      <ns0:c r="AR107" s="87" t="n">
        <ns0:v>168.29</ns0:v>
      </ns0:c>
      <ns0:c r="AS107" s="87" t="n">
        <ns0:v>59.27</ns0:v>
      </ns0:c>
      <ns0:c r="AT107" s="87" t="n">
        <ns0:v>61.2</ns0:v>
      </ns0:c>
      <ns0:c r="AU107" s="87" t="n">
        <ns0:v>112.36</ns0:v>
      </ns0:c>
      <ns0:c r="AV107" s="87" t="n">
        <ns0:v>97.17</ns0:v>
      </ns0:c>
      <ns0:c r="AW107" s="87" t="n">
        <ns0:v>106.03</ns0:v>
      </ns0:c>
      <ns0:c r="AX107" s="87" t="n">
        <ns0:v>174.01</ns0:v>
      </ns0:c>
      <ns0:c r="AY107" s="87" t="n">
        <ns0:v>62.19</ns0:v>
      </ns0:c>
      <ns0:c r="AZ107" s="87" t="n">
        <ns0:v>-2.37</ns0:v>
      </ns0:c>
      <ns0:c r="BA107" s="87" t="n">
        <ns0:v>-0.99</ns0:v>
      </ns0:c>
      <ns0:c r="BB107" s="74" t="inlineStr">
        <ns0:is>
          <ns0:t>Hang Seng Properties sub-index</ns0:t>
        </ns0:is>
      </ns0:c>
      <ns0:c r="BC107" s="87" t="n">
        <ns0:v>-70</ns0:v>
      </ns0:c>
      <ns0:c r="BD107" s="75" t="n">
        <ns0:v>46297</ns0:v>
      </ns0:c>
      <ns0:c r="BE107" s="76" t="n">
        <ns0:v>243.8</ns0:v>
      </ns0:c>
      <ns0:c r="BF107" s="79" t="n">
        <ns0:v>32.8</ns0:v>
      </ns0:c>
      <ns0:c r="BG107" s="74" t="inlineStr">
        <ns0:is>
          <ns0:t>Y</ns0:t>
        </ns0:is>
      </ns0:c>
      <ns0:c r="BH107" s="89" t="n">
        <ns0:v>29.9</ns0:v>
      </ns0:c>
      <ns0:c r="BI107" s="88" t="n"/>
      <ns0:c r="BJ107" s="88" t="n"/>
      <ns0:c r="BK107" s="89" t="n">
        <ns0:v>4</ns0:v>
      </ns0:c>
      <ns0:c r="BL107" s="90">
        <ns0:f>IFERROR(IF('BBG Verify'!S107="","Awaiting Bloomberg",'BBG Verify'!S107),"Awaiting Bloomberg")</ns0:f>
        <ns0:v/>
      </ns0:c>
      <ns0:c r="BM107" s="91" t="inlineStr">
        <ns0:is>
          <ns0:t>N</ns0:t>
        </ns0:is>
      </ns0:c>
      <ns0:c r="BN107" s="92">
        <ns0:f>IFERROR(IF('BBG Verify'!K107="","Awaiting Bloomberg",'BBG Verify'!K107),"Awaiting Bloomberg")</ns0:f>
        <ns0:v/>
      </ns0:c>
      <ns0:c r="BO107" s="74" t="inlineStr">
        <ns0:is>
          <ns0:t>N/A</ns0:t>
        </ns0:is>
      </ns0:c>
      <ns0:c r="BP107" s="74" t="inlineStr">
        <ns0:is>
          <ns0:t>N/A</ns0:t>
        </ns0:is>
      </ns0:c>
      <ns0:c r="BQ107" s="74" t="inlineStr">
        <ns0:is>
          <ns0:t>N/A</ns0:t>
        </ns0:is>
      </ns0:c>
      <ns0:c r="BR107" s="74" t="inlineStr">
        <ns0:is>
          <ns0:t>N/A</ns0:t>
        </ns0:is>
      </ns0:c>
      <ns0:c r="BS107" s="74" t="inlineStr">
        <ns0:is>
          <ns0:t>N/A</ns0:t>
        </ns0:is>
      </ns0:c>
      <ns0:c r="BT107" s="74" t="inlineStr">
        <ns0:is>
          <ns0:t>N/A</ns0:t>
        </ns0:is>
      </ns0:c>
      <ns0:c r="BU107" s="91" t="inlineStr">
        <ns0:is>
          <ns0:t>ABCI Capital Limited</ns0:t>
        </ns0:is>
      </ns0:c>
      <ns0:c r="BV107" s="74" t="inlineStr">
        <ns0:is>
          <ns0:t>ABCI Capital Limited</ns0:t>
        </ns0:is>
      </ns0:c>
      <ns0:c r="BW107" s="74" t="inlineStr">
        <ns0:is>
          <ns0:t>ABCI Capital Limited; Valuable Capital Limited; Guotai Junan Securities (Hong Kong) Limited; CCB International Capital Limited; Zhongtai International Securities Limited</ns0:t>
        </ns0:is>
      </ns0:c>
      <ns0:c r="BX107" s="74" t="inlineStr">
        <ns0:is>
          <ns0: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ns0:t>
        </ns0:is>
      </ns0:c>
      <ns0:c r="BY107" s="93">
        <ns0:f>HYPERLINK("https://www1.hkexnews.hk/listedco/listconews/sehk/2022/0322/2022032200231.pdf","prospectus")</ns0:f>
        <ns0:v/>
      </ns0:c>
      <ns0:c r="BZ107" s="93">
        <ns0:f>HYPERLINK("https://www1.hkexnews.hk/listedco/listconews/sehk/2022/0330/2022033000152.htm","allotment")</ns0:f>
        <ns0:v/>
      </ns0:c>
      <ns0:c r="CA107" s="93">
        <ns0:f>HYPERLINK("https://www1.hkexnews.hk/listedco/listconews/sehk/2022/0425/2022042500019.pdf","stabilisation")</ns0:f>
        <ns0:v/>
      </ns0:c>
      <ns0:c r="CB107" s="94" t="n"/>
      <ns0:c r="CC107" s="74" t="inlineStr">
        <ns0:is>
          <ns0:t>cornerstone list: no cornerstone tranche; allocation: allocation table not in this notice's format (older prose announcement); day-1 tape: volume on file; the retail multiple needs the final public split, which this notice does not state</ns0:t>
        </ns0:is>
      </ns0:c>
    </ns0:row>
    <ns0:row r="108" ht="22" customHeight="1">
      <ns0:c r="A108" s="73" t="inlineStr">
        <ns0:is>
          <ns0:t>2390</ns0:t>
        </ns0:is>
      </ns0:c>
      <ns0:c r="B108" s="74" t="inlineStr">
        <ns0:is>
          <ns0:t>ZHIHU-W</ns0:t>
        </ns0:is>
      </ns0:c>
      <ns0:c r="C108" s="74" t="inlineStr">
        <ns0:is>
          <ns0:t>知乎－Ｗ</ns0:t>
        </ns0:is>
      </ns0:c>
      <ns0:c r="D108" s="74" t="inlineStr">
        <ns0:is>
          <ns0:t>Technology</ns0:t>
        </ns0:is>
      </ns0:c>
      <ns0:c r="E108" s="74" t="inlineStr">
        <ns0:is>
          <ns0:t>Internet &amp; fintech</ns0:t>
        </ns0:is>
      </ns0:c>
      <ns0:c r="F108" s="74" t="inlineStr">
        <ns0:is>
          <ns0:t>e-Commerce &amp; Internet Services</ns0:t>
        </ns0:is>
      </ns0:c>
      <ns0:c r="G108" s="74" t="inlineStr">
        <ns0:is>
          <ns0:t>WVR</ns0:t>
        </ns0:is>
      </ns0:c>
      <ns0:c r="H108" s="75" t="n">
        <ns0:v>44673</ns0:v>
      </ns0:c>
      <ns0:c r="I108" s="76" t="n">
        <ns0:v>833.6</ns0:v>
      </ns0:c>
      <ns0:c r="J108" s="74" t="inlineStr">
        <ns0:is>
          <ns0:t>gross (price x shares)</ns0:t>
        </ns0:is>
      </ns0:c>
      <ns0:c r="K108" s="95" t="n"/>
      <ns0:c r="L108" s="77" t="n">
        <ns0:v>32.06</ns0:v>
      </ns0:c>
      <ns0:c r="M108" s="77" t="n">
        <ns0:v>32.06</ns0:v>
      </ns0:c>
      <ns0:c r="N108" s="74" t="inlineStr">
        <ns0:is>
          <ns0:t>Y</ns0:t>
        </ns0:is>
      </ns0:c>
      <ns0:c r="O108" s="78" t="n">
        <ns0:v>100</ns0:v>
      </ns0:c>
      <ns0:c r="P108" s="84" t="n"/>
      <ns0:c r="Q108" s="79" t="n">
        <ns0:v>16410</ns0:v>
      </ns0:c>
      <ns0:c r="R108" s="74" t="inlineStr">
        <ns0:is>
          <ns0:t>prospectus:stated market capitalisation</ns0:t>
        </ns0:is>
      </ns0:c>
      <ns0:c r="S108" s="80" t="n">
        <ns0:v>1</ns0:v>
      </ns0:c>
      <ns0:c r="T108" s="81" t="n">
        <ns0:v>4.37</ns0:v>
      </ns0:c>
      <ns0:c r="U108" s="82" t="n">
        <ns0:v>0</ns0:v>
      </ns0:c>
      <ns0:c r="V108" s="83" t="n">
        <ns0:v>114</ns0:v>
      </ns0:c>
      <ns0:c r="W108" s="84" t="n"/>
      <ns0:c r="X108" s="85" t="n"/>
      <ns0:c r="Y108" s="79" t="n">
        <ns0:v>833.6</ns0:v>
      </ns0:c>
      <ns0:c r="Z108" s="79" t="n">
        <ns0:v>26000000</ns0:v>
      </ns0:c>
      <ns0:c r="AA108" s="78" t="n">
        <ns0:v>5.08</ns0:v>
      </ns0:c>
      <ns0:c r="AB108" s="74" t="inlineStr">
        <ns0:is>
          <ns0:t>none — no cornerstone tranche</ns0:t>
        </ns0:is>
      </ns0:c>
      <ns0:c r="AC108" s="74" t="inlineStr">
        <ns0:is>
          <ns0:t>none</ns0:t>
        </ns0:is>
      </ns0:c>
      <ns0:c r="AD108" s="78" t="n">
        <ns0:v>8.199999999999999</ns0:v>
      </ns0:c>
      <ns0:c r="AE108" s="74" t="inlineStr">
        <ns0:is>
          <ns0:t>lapsed</ns0:t>
        </ns0:is>
      </ns0:c>
      <ns0:c r="AF108" s="74" t="inlineStr">
        <ns0:is>
          <ns0:t>2022-05-14</ns0:t>
        </ns0:is>
      </ns0:c>
      <ns0:c r="AG108" s="74" t="inlineStr">
        <ns0:is>
          <ns0:t>Credit Suisse</ns0:t>
        </ns0:is>
      </ns0:c>
      <ns0:c r="AH108" s="74" t="inlineStr">
        <ns0:is>
          <ns0:t>Credit Suisse</ns0:t>
        </ns0:is>
      </ns0:c>
      <ns0:c r="AI108" s="86" t="n">
        <ns0:v>-22.65</ns0:v>
      </ns0:c>
      <ns0:c r="AJ108" s="87" t="n">
        <ns0:v>-23.58</ns0:v>
      </ns0:c>
      <ns0:c r="AK108" s="87" t="n">
        <ns0:v>0.31</ns0:v>
      </ns0:c>
      <ns0:c r="AL108" s="87" t="n">
        <ns0:v>-22.18</ns0:v>
      </ns0:c>
      <ns0:c r="AM108" s="87" t="n">
        <ns0:v>-1.8</ns0:v>
      </ns0:c>
      <ns0:c r="AN108" s="88" t="n"/>
      <ns0:c r="AO108" s="78" t="n">
        <ns0:v>10.62</ns0:v>
      </ns0:c>
      <ns0:c r="AP108" s="87" t="n">
        <ns0:v>-15.78</ns0:v>
      </ns0:c>
      <ns0:c r="AQ108" s="87" t="n">
        <ns0:v>-36.21</ns0:v>
      </ns0:c>
      <ns0:c r="AR108" s="87" t="n">
        <ns0:v>-32.94</ns0:v>
      </ns0:c>
      <ns0:c r="AS108" s="87" t="n">
        <ns0:v>10.21</ns0:v>
      </ns0:c>
      <ns0:c r="AT108" s="87" t="n">
        <ns0:v>-16.53</ns0:v>
      </ns0:c>
      <ns0:c r="AU108" s="87" t="n">
        <ns0:v>-12.25</ns0:v>
      </ns0:c>
      <ns0:c r="AV108" s="87" t="n">
        <ns0:v>-27.89</ns0:v>
      </ns0:c>
      <ns0:c r="AW108" s="87" t="n">
        <ns0:v>-37.89</ns0:v>
      </ns0:c>
      <ns0:c r="AX108" s="87" t="n">
        <ns0:v>-48.56</ns0:v>
      </ns0:c>
      <ns0:c r="AY108" s="87" t="n">
        <ns0:v>-17.9</ns0:v>
      </ns0:c>
      <ns0:c r="AZ108" s="87" t="n">
        <ns0:v>1.68</ns0:v>
      </ns0:c>
      <ns0:c r="BA108" s="87" t="n">
        <ns0:v>1.37</ns0:v>
      </ns0:c>
      <ns0:c r="BB108" s="74" t="inlineStr">
        <ns0:is>
          <ns0:t>HSTECH (Hang Seng TECH ETF)</ns0:t>
        </ns0:is>
      </ns0:c>
      <ns0:c r="BC108" s="87" t="n">
        <ns0:v>-71.62</ns0:v>
      </ns0:c>
      <ns0:c r="BD108" s="75" t="n">
        <ns0:v>46297</ns0:v>
      </ns0:c>
      <ns0:c r="BE108" s="98" t="n"/>
      <ns0:c r="BF108" s="97" t="n"/>
      <ns0:c r="BG108" s="85" t="n"/>
      <ns0:c r="BH108" s="90">
        <ns0:f>IFERROR(IF('BBG Verify'!O108="","Awaiting Bloomberg",'BBG Verify'!O108),"Awaiting Bloomberg")</ns0:f>
        <ns0:v/>
      </ns0:c>
      <ns0:c r="BI108" s="88" t="n"/>
      <ns0:c r="BJ108" s="88" t="n"/>
      <ns0:c r="BK108" s="88" t="n"/>
      <ns0:c r="BL108" s="90">
        <ns0:f>IFERROR(IF('BBG Verify'!S108="","Awaiting Bloomberg",'BBG Verify'!S108),"Awaiting Bloomberg")</ns0:f>
        <ns0:v/>
      </ns0:c>
      <ns0:c r="BM108" s="91" t="inlineStr">
        <ns0:is>
          <ns0:t>N</ns0:t>
        </ns0:is>
      </ns0:c>
      <ns0:c r="BN108" s="92">
        <ns0:f>IFERROR(IF('BBG Verify'!K108="","Awaiting Bloomberg",'BBG Verify'!K108),"Awaiting Bloomberg")</ns0:f>
        <ns0:v/>
      </ns0:c>
      <ns0:c r="BO108" s="74" t="inlineStr">
        <ns0:is>
          <ns0:t>N/A</ns0:t>
        </ns0:is>
      </ns0:c>
      <ns0:c r="BP108" s="74" t="inlineStr">
        <ns0:is>
          <ns0:t>N/A</ns0:t>
        </ns0:is>
      </ns0:c>
      <ns0:c r="BQ108" s="74" t="inlineStr">
        <ns0:is>
          <ns0:t>N/A</ns0:t>
        </ns0:is>
      </ns0:c>
      <ns0:c r="BR108" s="74" t="inlineStr">
        <ns0:is>
          <ns0:t>N/A</ns0:t>
        </ns0:is>
      </ns0:c>
      <ns0:c r="BS108" s="74" t="inlineStr">
        <ns0:is>
          <ns0:t>N/A</ns0:t>
        </ns0:is>
      </ns0:c>
      <ns0:c r="BT108" s="74" t="inlineStr">
        <ns0:is>
          <ns0:t>N/A</ns0:t>
        </ns0:is>
      </ns0:c>
      <ns0:c r="BU108" s="91" t="inlineStr">
        <ns0:is>
          <ns0:t>Credit Suisse (Hong Kong) Limited; J.P. Morgan Securities (Far East) Limited; China International Capital Corporation Hong Kong Securities Limited; CMB International Capital Limited</ns0:t>
        </ns0:is>
      </ns0:c>
      <ns0:c r="BV108" s="74" t="inlineStr">
        <ns0:is>
          <ns0:t>China International Capital Corporation Hong Kong Securities Limited; J.P. Morgan Securities (Far East) Limited; CMB International Capital Limited; Credit Suisse (Hong Kong) Limited</ns0:t>
        </ns0:is>
      </ns0:c>
      <ns0:c r="BW108" s="74" t="inlineStr">
        <ns0:is>
          <ns0:t>Credit Suisse (Hong Kong) Limited; J.P. Morgan Securities (Asia Pacific) Limited; China International Capital Corporation Hong Kong Securities Limited</ns0:t>
        </ns0:is>
      </ns0:c>
      <ns0:c r="BX108" s="74" t="inlineStr">
        <ns0:is>
          <ns0: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ns0:t>
        </ns0:is>
      </ns0:c>
      <ns0:c r="BY108" s="93">
        <ns0:f>HYPERLINK("https://www1.hkexnews.hk/listedco/listconews/sehk/2022/0411/2022041100022.htm","prospectus")</ns0:f>
        <ns0:v/>
      </ns0:c>
      <ns0:c r="BZ108" s="93">
        <ns0:f>HYPERLINK("https://www1.hkexnews.hk/listedco/listconews/sehk/2022/0421/2022042100020.htm","allotment")</ns0:f>
        <ns0:v/>
      </ns0:c>
      <ns0:c r="CA108" s="93">
        <ns0:f>HYPERLINK("https://www1.hkexnews.hk/listedco/listconews/sehk/2022/0515/2022051500043.pdf","stabilisation")</ns0:f>
        <ns0:v/>
      </ns0:c>
      <ns0:c r="CB108" s="94" t="n"/>
      <ns0:c r="CC108" s="74" t="inlineStr">
        <ns0:is>
          <ns0:t>P/E: net income not extractable; price range: fixed-price offering (no indicative range); range low: maximum offer price only, no floor published; cornerstone list: no cornerstone tranche; P/S: revenue not extractable; financials: not extractable; pre-IPO year outside the AAStocks window; allocation: allocation table not in this notice's format (older prose announcement); day-1 tape: volume on file; the retail multiple needs the final public split, which this notice does not state</ns0:t>
        </ns0:is>
      </ns0:c>
    </ns0:row>
    <ns0:row r="109" ht="22" customHeight="1">
      <ns0:c r="A109" s="73" t="inlineStr">
        <ns0:is>
          <ns0:t>2352</ns0:t>
        </ns0:is>
      </ns0:c>
      <ns0:c r="B109" s="74" t="inlineStr">
        <ns0:is>
          <ns0:t>DOWELL SERVICE</ns0:t>
        </ns0:is>
      </ns0:c>
      <ns0:c r="C109" s="74" t="inlineStr">
        <ns0:is>
          <ns0:t>東原仁知服務</ns0:t>
        </ns0:is>
      </ns0:c>
      <ns0:c r="D109" s="74" t="inlineStr">
        <ns0:is>
          <ns0:t>Real Estate</ns0:t>
        </ns0:is>
      </ns0:c>
      <ns0:c r="E109" s="74" t="inlineStr">
        <ns0:is>
          <ns0:t>Property management</ns0:t>
        </ns0:is>
      </ns0:c>
      <ns0:c r="F109" s="74" t="inlineStr">
        <ns0:is>
          <ns0:t>Property Service and Management</ns0:t>
        </ns0:is>
      </ns0:c>
      <ns0:c r="G109" s="74" t="inlineStr">
        <ns0:is>
          <ns0:t>Standard</ns0:t>
        </ns0:is>
      </ns0:c>
      <ns0:c r="H109" s="75" t="n">
        <ns0:v>44680</ns0:v>
      </ns0:c>
      <ns0:c r="I109" s="76" t="n">
        <ns0:v>198.3</ns0:v>
      </ns0:c>
      <ns0:c r="J109" s="74" t="inlineStr">
        <ns0:is>
          <ns0:t>gross (price x shares)</ns0:t>
        </ns0:is>
      </ns0:c>
      <ns0:c r="K109" s="77" t="n">
        <ns0:v>11.9</ns0:v>
      </ns0:c>
      <ns0:c r="L109" s="77" t="n">
        <ns0:v>15.4</ns0:v>
      </ns0:c>
      <ns0:c r="M109" s="77" t="n">
        <ns0:v>11.9</ns0:v>
      </ns0:c>
      <ns0:c r="N109" s="74" t="inlineStr">
        <ns0:is>
          <ns0:t>N</ns0:t>
        </ns0:is>
      </ns0:c>
      <ns0:c r="O109" s="78" t="n">
        <ns0:v>77.3</ns0:v>
      </ns0:c>
      <ns0:c r="P109" s="78" t="n">
        <ns0:v>0</ns0:v>
      </ns0:c>
      <ns0:c r="Q109" s="79" t="n">
        <ns0:v>793.2</ns0:v>
      </ns0:c>
      <ns0:c r="R109" s="74" t="inlineStr">
        <ns0:is>
          <ns0:t>derived:deal size / offer % of enlarged capital</ns0:t>
        </ns0:is>
      </ns0:c>
      <ns0:c r="S109" s="80" t="n">
        <ns0:v>4.35</ns0:v>
      </ns0:c>
      <ns0:c r="T109" s="81" t="n">
        <ns0:v>1.56</ns0:v>
      </ns0:c>
      <ns0:c r="U109" s="82" t="n">
        <ns0:v>0</ns0:v>
      </ns0:c>
      <ns0:c r="V109" s="83" t="n">
        <ns0:v>109</ns0:v>
      </ns0:c>
      <ns0:c r="W109" s="84" t="n"/>
      <ns0:c r="X109" s="85" t="n"/>
      <ns0:c r="Y109" s="79" t="n">
        <ns0:v>198.3</ns0:v>
      </ns0:c>
      <ns0:c r="Z109" s="79" t="n">
        <ns0:v>16666667</ns0:v>
      </ns0:c>
      <ns0:c r="AA109" s="78" t="n">
        <ns0:v>25</ns0:v>
      </ns0:c>
      <ns0:c r="AB109" s="74" t="inlineStr">
        <ns0:is>
          <ns0:t>none — no cornerstone tranche</ns0:t>
        </ns0:is>
      </ns0:c>
      <ns0:c r="AC109" s="74" t="inlineStr">
        <ns0:is>
          <ns0:t>none</ns0:t>
        </ns0:is>
      </ns0:c>
      <ns0:c r="AD109" s="78" t="n">
        <ns0:v>7.48</ns0:v>
      </ns0:c>
      <ns0:c r="AE109" s="74" t="inlineStr">
        <ns0:is>
          <ns0:t>partial</ns0:t>
        </ns0:is>
      </ns0:c>
      <ns0:c r="AF109" s="74" t="inlineStr">
        <ns0:is>
          <ns0:t>2022-05-22</ns0:t>
        </ns0:is>
      </ns0:c>
      <ns0:c r="AG109" s="74" t="inlineStr">
        <ns0:is>
          <ns0:t>Guotai Junan Securities</ns0:t>
        </ns0:is>
      </ns0:c>
      <ns0:c r="AH109" s="74" t="inlineStr">
        <ns0:is>
          <ns0:t>Guotai Junan</ns0:t>
        </ns0:is>
      </ns0:c>
      <ns0:c r="AI109" s="86" t="n">
        <ns0:v>3.03</ns0:v>
      </ns0:c>
      <ns0:c r="AJ109" s="87" t="n">
        <ns0:v>0</ns0:v>
      </ns0:c>
      <ns0:c r="AK109" s="87" t="n">
        <ns0:v>0.44</ns0:v>
      </ns0:c>
      <ns0:c r="AL109" s="87" t="n">
        <ns0:v>0</ns0:v>
      </ns0:c>
      <ns0:c r="AM109" s="87" t="n">
        <ns0:v>0</ns0:v>
      </ns0:c>
      <ns0:c r="AN109" s="88" t="n"/>
      <ns0:c r="AO109" s="78" t="n">
        <ns0:v>6.55</ns0:v>
      </ns0:c>
      <ns0:c r="AP109" s="87" t="n">
        <ns0:v>-4.2</ns0:v>
      </ns0:c>
      <ns0:c r="AQ109" s="87" t="n">
        <ns0:v>-0</ns0:v>
      </ns0:c>
      <ns0:c r="AR109" s="87" t="n">
        <ns0:v>-18.49</ns0:v>
      </ns0:c>
      <ns0:c r="AS109" s="87" t="n">
        <ns0:v>-4.2</ns0:v>
      </ns0:c>
      <ns0:c r="AT109" s="87" t="n">
        <ns0:v>0</ns0:v>
      </ns0:c>
      <ns0:c r="AU109" s="87" t="n">
        <ns0:v>-18.49</ns0:v>
      </ns0:c>
      <ns0:c r="AV109" s="87" t="n">
        <ns0:v>0.41</ns0:v>
      </ns0:c>
      <ns0:c r="AW109" s="87" t="n">
        <ns0:v>-0.61</ns0:v>
      </ns0:c>
      <ns0:c r="AX109" s="87" t="n">
        <ns0:v>-4.38</ns0:v>
      </ns0:c>
      <ns0:c r="AY109" s="87" t="n">
        <ns0:v>-0.17</ns0:v>
      </ns0:c>
      <ns0:c r="AZ109" s="87" t="n">
        <ns0:v>0.61</ns0:v>
      </ns0:c>
      <ns0:c r="BA109" s="87" t="n">
        <ns0:v>0.17</ns0:v>
      </ns0:c>
      <ns0:c r="BB109" s="74" t="inlineStr">
        <ns0:is>
          <ns0:t>Hang Seng Properties sub-index</ns0:t>
        </ns0:is>
      </ns0:c>
      <ns0:c r="BC109" s="87" t="n">
        <ns0:v>-64.70999999999999</ns0:v>
      </ns0:c>
      <ns0:c r="BD109" s="75" t="n">
        <ns0:v>46297</ns0:v>
      </ns0:c>
      <ns0:c r="BE109" s="76" t="n">
        <ns0:v>1312.8</ns0:v>
      </ns0:c>
      <ns0:c r="BF109" s="79" t="n">
        <ns0:v>143.4</ns0:v>
      </ns0:c>
      <ns0:c r="BG109" s="74" t="inlineStr">
        <ns0:is>
          <ns0:t>Y</ns0:t>
        </ns0:is>
      </ns0:c>
      <ns0:c r="BH109" s="89" t="n">
        <ns0:v>5.5</ns0:v>
      </ns0:c>
      <ns0:c r="BI109" s="88" t="n"/>
      <ns0:c r="BJ109" s="89" t="n">
        <ns0:v>7.1</ns0:v>
      </ns0:c>
      <ns0:c r="BK109" s="89" t="n">
        <ns0:v>0.6</ns0:v>
      </ns0:c>
      <ns0:c r="BL109" s="90">
        <ns0:f>IFERROR(IF('BBG Verify'!S109="","Awaiting Bloomberg",'BBG Verify'!S109),"Awaiting Bloomberg")</ns0:f>
        <ns0:v/>
      </ns0:c>
      <ns0:c r="BM109" s="91" t="inlineStr">
        <ns0:is>
          <ns0:t>N</ns0:t>
        </ns0:is>
      </ns0:c>
      <ns0:c r="BN109" s="92">
        <ns0:f>IFERROR(IF('BBG Verify'!K109="","Awaiting Bloomberg",'BBG Verify'!K109),"Awaiting Bloomberg")</ns0:f>
        <ns0:v/>
      </ns0:c>
      <ns0:c r="BO109" s="74" t="inlineStr">
        <ns0:is>
          <ns0:t>N/A</ns0:t>
        </ns0:is>
      </ns0:c>
      <ns0:c r="BP109" s="74" t="inlineStr">
        <ns0:is>
          <ns0:t>N/A</ns0:t>
        </ns0:is>
      </ns0:c>
      <ns0:c r="BQ109" s="74" t="inlineStr">
        <ns0:is>
          <ns0:t>N/A</ns0:t>
        </ns0:is>
      </ns0:c>
      <ns0:c r="BR109" s="74" t="inlineStr">
        <ns0:is>
          <ns0:t>N/A</ns0:t>
        </ns0:is>
      </ns0:c>
      <ns0:c r="BS109" s="74" t="inlineStr">
        <ns0:is>
          <ns0:t>N/A</ns0:t>
        </ns0:is>
      </ns0:c>
      <ns0:c r="BT109" s="74" t="inlineStr">
        <ns0:is>
          <ns0:t>N/A</ns0:t>
        </ns0:is>
      </ns0:c>
      <ns0:c r="BU109" s="91" t="inlineStr">
        <ns0:is>
          <ns0:t>Guotai Junan Capital Limited</ns0:t>
        </ns0:is>
      </ns0:c>
      <ns0:c r="BV109" s="74" t="inlineStr">
        <ns0:is>
          <ns0:t>Guotai Junan Capital Limited</ns0:t>
        </ns0:is>
      </ns0:c>
      <ns0:c r="BW109" s="74" t="inlineStr">
        <ns0:is>
          <ns0: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ns0:t>
        </ns0:is>
      </ns0:c>
      <ns0:c r="BX109" s="74" t="inlineStr">
        <ns0:is>
          <ns0: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ns0:t>
        </ns0:is>
      </ns0:c>
      <ns0:c r="BY109" s="93">
        <ns0:f>HYPERLINK("https://www1.hkexnews.hk/listedco/listconews/sehk/2022/0419/2022041900041.pdf","prospectus")</ns0:f>
        <ns0:v/>
      </ns0:c>
      <ns0:c r="BZ109" s="93">
        <ns0:f>HYPERLINK("https://www1.hkexnews.hk/listedco/listconews/sehk/2022/0428/2022042800071.htm","allotment")</ns0:f>
        <ns0:v/>
      </ns0:c>
      <ns0:c r="CA109" s="93">
        <ns0:f>HYPERLINK("https://www1.hkexnews.hk/listedco/listconews/sehk/2022/0523/2022052300039.pdf","stabilisation")</ns0:f>
        <ns0:v/>
      </ns0:c>
      <ns0:c r="CB109" s="94" t="n"/>
      <ns0:c r="CC109" s="74" t="inlineStr">
        <ns0:is>
          <ns0:t>cornerstone list: no cornerstone tranche; allocation: allocation table not in this notice's format (older prose announcement); day-1 tape: volume on file; the retail multiple needs the final public split, which this notice does not state</ns0:t>
        </ns0:is>
      </ns0:c>
    </ns0:row>
    <ns0:row r="110" ht="22" customHeight="1">
      <ns0:c r="A110" s="73" t="inlineStr">
        <ns0:is>
          <ns0:t>2325</ns0:t>
        </ns0:is>
      </ns0:c>
      <ns0:c r="B110" s="74" t="inlineStr">
        <ns0:is>
          <ns0:t>YUNKANG GROUP</ns0:t>
        </ns0:is>
      </ns0:c>
      <ns0:c r="C110" s="74" t="inlineStr">
        <ns0:is>
          <ns0:t>雲康集團</ns0:t>
        </ns0:is>
      </ns0:c>
      <ns0:c r="D110" s="74" t="inlineStr">
        <ns0:is>
          <ns0:t>Healthcare</ns0:t>
        </ns0:is>
      </ns0:c>
      <ns0:c r="E110" s="74" t="inlineStr">
        <ns0:is>
          <ns0:t>CXO / pharma services</ns0:t>
        </ns0:is>
      </ns0:c>
      <ns0:c r="F110" s="74" t="inlineStr">
        <ns0:is>
          <ns0:t>Health Care Services</ns0:t>
        </ns0:is>
      </ns0:c>
      <ns0:c r="G110" s="74" t="inlineStr">
        <ns0:is>
          <ns0:t>Standard</ns0:t>
        </ns0:is>
      </ns0:c>
      <ns0:c r="H110" s="75" t="n">
        <ns0:v>44699</ns0:v>
      </ns0:c>
      <ns0:c r="I110" s="76" t="n">
        <ns0:v>1090.3</ns0:v>
      </ns0:c>
      <ns0:c r="J110" s="74" t="inlineStr">
        <ns0:is>
          <ns0:t>gross (price x shares)</ns0:t>
        </ns0:is>
      </ns0:c>
      <ns0:c r="K110" s="95" t="n"/>
      <ns0:c r="L110" s="77" t="n">
        <ns0:v>7.89</ns0:v>
      </ns0:c>
      <ns0:c r="M110" s="77" t="n">
        <ns0:v>7.89</ns0:v>
      </ns0:c>
      <ns0:c r="N110" s="74" t="inlineStr">
        <ns0:is>
          <ns0:t>Y</ns0:t>
        </ns0:is>
      </ns0:c>
      <ns0:c r="O110" s="78" t="n">
        <ns0:v>100</ns0:v>
      </ns0:c>
      <ns0:c r="P110" s="84" t="n"/>
      <ns0:c r="Q110" s="79" t="n">
        <ns0:v>4343.8</ns0:v>
      </ns0:c>
      <ns0:c r="R110" s="74" t="inlineStr">
        <ns0:is>
          <ns0:t>derived:deal size / offer % of enlarged capital</ns0:t>
        </ns0:is>
      </ns0:c>
      <ns0:c r="S110" s="80" t="n">
        <ns0:v>1.35</ns0:v>
      </ns0:c>
      <ns0:c r="T110" s="81" t="n">
        <ns0:v>1.39</ns0:v>
      </ns0:c>
      <ns0:c r="U110" s="82" t="n">
        <ns0:v>30.2</ns0:v>
      </ns0:c>
      <ns0:c r="V110" s="83" t="n">
        <ns0:v>136</ns0:v>
      </ns0:c>
      <ns0:c r="W110" s="84" t="n"/>
      <ns0:c r="X110" s="85" t="n"/>
      <ns0:c r="Y110" s="79" t="n">
        <ns0:v>761.03</ns0:v>
      </ns0:c>
      <ns0:c r="Z110" s="79" t="n">
        <ns0:v>96455224</ns0:v>
      </ns0:c>
      <ns0:c r="AA110" s="78" t="n">
        <ns0:v>17.52</ns0:v>
      </ns0:c>
      <ns0:c r="AB110" s="74" t="inlineStr">
        <ns0:is>
          <ns0:t>Harvest International Premium Value (Secondary Market) Fund SPC; YHLO (Hong Kong) Limited</ns0:t>
        </ns0:is>
      </ns0:c>
      <ns0:c r="AC110" s="74" t="inlineStr">
        <ns0:is>
          <ns0:t>harvest;yhlo</ns0:t>
        </ns0:is>
      </ns0:c>
      <ns0:c r="AD110" s="78" t="n">
        <ns0:v>6.17</ns0:v>
      </ns0:c>
      <ns0:c r="AE110" s="74" t="inlineStr">
        <ns0:is>
          <ns0:t>partial</ns0:t>
        </ns0:is>
      </ns0:c>
      <ns0:c r="AF110" s="85" t="n"/>
      <ns0:c r="AG110" s="74" t="inlineStr">
        <ns0:is>
          <ns0:t>CMB International Securities Limited</ns0:t>
        </ns0:is>
      </ns0:c>
      <ns0:c r="AH110" s="74" t="inlineStr">
        <ns0:is>
          <ns0:t>CMB</ns0:t>
        </ns0:is>
      </ns0:c>
      <ns0:c r="AI110" s="86" t="n">
        <ns0:v>-3.8</ns0:v>
      </ns0:c>
      <ns0:c r="AJ110" s="87" t="n">
        <ns0:v>7.73</ns0:v>
      </ns0:c>
      <ns0:c r="AK110" s="87" t="n">
        <ns0:v>-0.88</ns0:v>
      </ns0:c>
      <ns0:c r="AL110" s="87" t="n">
        <ns0:v>0</ns0:v>
      </ns0:c>
      <ns0:c r="AM110" s="87" t="n">
        <ns0:v>7.73</ns0:v>
      </ns0:c>
      <ns0:c r="AN110" s="88" t="n"/>
      <ns0:c r="AO110" s="78" t="n">
        <ns0:v>24.08</ns0:v>
      </ns0:c>
      <ns0:c r="AP110" s="87" t="n">
        <ns0:v>15.34</ns0:v>
      </ns0:c>
      <ns0:c r="AQ110" s="87" t="n">
        <ns0:v>94.42</ns0:v>
      </ns0:c>
      <ns0:c r="AR110" s="87" t="n">
        <ns0:v>129.4</ns0:v>
      </ns0:c>
      <ns0:c r="AS110" s="87" t="n">
        <ns0:v>7.06</ns0:v>
      </ns0:c>
      <ns0:c r="AT110" s="87" t="n">
        <ns0:v>80.47</ns0:v>
      </ns0:c>
      <ns0:c r="AU110" s="87" t="n">
        <ns0:v>112.94</ns0:v>
      </ns0:c>
      <ns0:c r="AV110" s="87" t="n">
        <ns0:v>17.68</ns0:v>
      </ns0:c>
      <ns0:c r="AW110" s="87" t="n">
        <ns0:v>88.43000000000001</ns0:v>
      </ns0:c>
      <ns0:c r="AX110" s="87" t="n">
        <ns0:v>119.58</ns0:v>
      </ns0:c>
      <ns0:c r="AY110" s="87" t="n">
        <ns0:v>73.54000000000001</ns0:v>
      </ns0:c>
      <ns0:c r="AZ110" s="87" t="n">
        <ns0:v>5.99</ns0:v>
      </ns0:c>
      <ns0:c r="BA110" s="87" t="n">
        <ns0:v>6.93</ns0:v>
      </ns0:c>
      <ns0:c r="BB110" s="74" t="inlineStr">
        <ns0:is>
          <ns0:t>China Biotech ETF (HS biotech proxy)</ns0:t>
        </ns0:is>
      </ns0:c>
      <ns0:c r="BC110" s="87" t="n">
        <ns0:v>-94.11</ns0:v>
      </ns0:c>
      <ns0:c r="BD110" s="75" t="n">
        <ns0:v>46297</ns0:v>
      </ns0:c>
      <ns0:c r="BE110" s="76" t="n">
        <ns0:v>1320.4</ns0:v>
      </ns0:c>
      <ns0:c r="BF110" s="79" t="n">
        <ns0:v>286.2</ns0:v>
      </ns0:c>
      <ns0:c r="BG110" s="74" t="inlineStr">
        <ns0:is>
          <ns0:t>Y</ns0:t>
        </ns0:is>
      </ns0:c>
      <ns0:c r="BH110" s="89" t="n">
        <ns0:v>15.2</ns0:v>
      </ns0:c>
      <ns0:c r="BI110" s="88" t="n"/>
      <ns0:c r="BJ110" s="89" t="n">
        <ns0:v>58.6</ns0:v>
      </ns0:c>
      <ns0:c r="BK110" s="89" t="n">
        <ns0:v>3.3</ns0:v>
      </ns0:c>
      <ns0:c r="BL110" s="90">
        <ns0:f>IFERROR(IF('BBG Verify'!S110="","Awaiting Bloomberg",'BBG Verify'!S110),"Awaiting Bloomberg")</ns0:f>
        <ns0:v/>
      </ns0:c>
      <ns0:c r="BM110" s="91" t="inlineStr">
        <ns0:is>
          <ns0:t>N</ns0:t>
        </ns0:is>
      </ns0:c>
      <ns0:c r="BN110" s="92">
        <ns0:f>IFERROR(IF('BBG Verify'!K110="","Awaiting Bloomberg",'BBG Verify'!K110),"Awaiting Bloomberg")</ns0:f>
        <ns0:v/>
      </ns0:c>
      <ns0:c r="BO110" s="74" t="inlineStr">
        <ns0:is>
          <ns0:t>N/A</ns0:t>
        </ns0:is>
      </ns0:c>
      <ns0:c r="BP110" s="74" t="inlineStr">
        <ns0:is>
          <ns0:t>N/A</ns0:t>
        </ns0:is>
      </ns0:c>
      <ns0:c r="BQ110" s="74" t="inlineStr">
        <ns0:is>
          <ns0:t>N/A</ns0:t>
        </ns0:is>
      </ns0:c>
      <ns0:c r="BR110" s="74" t="inlineStr">
        <ns0:is>
          <ns0:t>N/A</ns0:t>
        </ns0:is>
      </ns0:c>
      <ns0:c r="BS110" s="74" t="inlineStr">
        <ns0:is>
          <ns0:t>N/A</ns0:t>
        </ns0:is>
      </ns0:c>
      <ns0:c r="BT110" s="74" t="inlineStr">
        <ns0:is>
          <ns0:t>N/A</ns0:t>
        </ns0:is>
      </ns0:c>
      <ns0:c r="BU110" s="91" t="inlineStr">
        <ns0:is>
          <ns0:t>CMB International Capital Limited; SPDB International Capital Limited</ns0:t>
        </ns0:is>
      </ns0:c>
      <ns0:c r="BV110" s="74" t="inlineStr">
        <ns0:is>
          <ns0:t>CMB International Capital Limited; SPDB International Capital Limited</ns0:t>
        </ns0:is>
      </ns0:c>
      <ns0:c r="BW110" s="74" t="inlineStr">
        <ns0:is>
          <ns0:t>CMB International Capital Limited; SPDB International Capital Limited; China Merchants Securities (HK) Co., Limited; CCB International Capital Limited; CRIC Securities Company Limited; Futu Securities International (Hong Kong) Limited</ns0:t>
        </ns0:is>
      </ns0:c>
      <ns0:c r="BX110" s="74" t="inlineStr">
        <ns0:is>
          <ns0: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ns0:t>
        </ns0:is>
      </ns0:c>
      <ns0:c r="BY110" s="93">
        <ns0:f>HYPERLINK("https://www1.hkexnews.hk/listedco/listconews/sehk/2022/0505/2022050500011.pdf","prospectus")</ns0:f>
        <ns0:v/>
      </ns0:c>
      <ns0:c r="BZ110" s="93">
        <ns0:f>HYPERLINK("https://www1.hkexnews.hk/listedco/listconews/sehk/2022/0517/2022051700032.htm","allotment")</ns0:f>
        <ns0:v/>
      </ns0:c>
      <ns0:c r="CA110" s="93">
        <ns0:f>HYPERLINK("https://www1.hkexnews.hk/listedco/listconews/sehk/2022/0610/2022061001076.pdf","stabilisation")</ns0:f>
        <ns0:v/>
      </ns0:c>
      <ns0:c r="CB110" s="94" t="n"/>
      <ns0:c r="CC110" s="74" t="inlineStr">
        <ns0:is>
          <ns0:t>greenshoe: outcome published; expiry date not in the notice; range low: maximum offer price only, no floor published; allocation: allocation table not in this notice's format (older prose announcement); day-1 tape: volume on file; the retail multiple needs the final public split, which this notice does not state</ns0:t>
        </ns0:is>
      </ns0:c>
    </ns0:row>
    <ns0:row r="111" ht="22" customHeight="1">
      <ns0:c r="A111" s="73" t="inlineStr">
        <ns0:is>
          <ns0:t>2347</ns0:t>
        </ns0:is>
      </ns0:c>
      <ns0:c r="B111" s="74" t="inlineStr">
        <ns0:is>
          <ns0:t>YOHO GROUP</ns0:t>
        </ns0:is>
      </ns0:c>
      <ns0:c r="C111" s="74" t="inlineStr">
        <ns0:is>
          <ns0:t>友和集團</ns0:t>
        </ns0:is>
      </ns0:c>
      <ns0:c r="D111" s="74" t="inlineStr">
        <ns0:is>
          <ns0:t>Consumer</ns0:t>
        </ns0:is>
      </ns0:c>
      <ns0:c r="E111" s="74" t="inlineStr">
        <ns0:is>
          <ns0:t>Retail / distribution</ns0:t>
        </ns0:is>
      </ns0:c>
      <ns0:c r="F111" s="74" t="inlineStr">
        <ns0:is>
          <ns0:t>Household Appliances Retail</ns0:t>
        </ns0:is>
      </ns0:c>
      <ns0:c r="G111" s="74" t="inlineStr">
        <ns0:is>
          <ns0:t>Standard</ns0:t>
        </ns0:is>
      </ns0:c>
      <ns0:c r="H111" s="75" t="n">
        <ns0:v>44722</ns0:v>
      </ns0:c>
      <ns0:c r="I111" s="76" t="n">
        <ns0:v>115.5</ns0:v>
      </ns0:c>
      <ns0:c r="J111" s="74" t="inlineStr">
        <ns0:is>
          <ns0:t>gross (price x shares)</ns0:t>
        </ns0:is>
      </ns0:c>
      <ns0:c r="K111" s="77" t="n">
        <ns0:v>2.1</ns0:v>
      </ns0:c>
      <ns0:c r="L111" s="77" t="n">
        <ns0:v>2.6</ns0:v>
      </ns0:c>
      <ns0:c r="M111" s="77" t="n">
        <ns0:v>2.1</ns0:v>
      </ns0:c>
      <ns0:c r="N111" s="74" t="inlineStr">
        <ns0:is>
          <ns0:t>N</ns0:t>
        </ns0:is>
      </ns0:c>
      <ns0:c r="O111" s="78" t="n">
        <ns0:v>80.8</ns0:v>
      </ns0:c>
      <ns0:c r="P111" s="78" t="n">
        <ns0:v>0</ns0:v>
      </ns0:c>
      <ns0:c r="Q111" s="79" t="n">
        <ns0:v>1251.9</ns0:v>
      </ns0:c>
      <ns0:c r="R111" s="74" t="inlineStr">
        <ns0:is>
          <ns0:t>aastocks:上市市值 at the struck price</ns0:t>
        </ns0:is>
      </ns0:c>
      <ns0:c r="S111" s="80" t="n">
        <ns0:v>8.369999999999999</ns0:v>
      </ns0:c>
      <ns0:c r="T111" s="81" t="n">
        <ns0:v>1.23</ns0:v>
      </ns0:c>
      <ns0:c r="U111" s="82" t="n">
        <ns0:v>0</ns0:v>
      </ns0:c>
      <ns0:c r="V111" s="83" t="n">
        <ns0:v>159</ns0:v>
      </ns0:c>
      <ns0:c r="W111" s="84" t="n"/>
      <ns0:c r="X111" s="85" t="n"/>
      <ns0:c r="Y111" s="79" t="n">
        <ns0:v>115.5</ns0:v>
      </ns0:c>
      <ns0:c r="Z111" s="79" t="n">
        <ns0:v>55000000</ns0:v>
      </ns0:c>
      <ns0:c r="AA111" s="78" t="n">
        <ns0:v>9.23</ns0:v>
      </ns0:c>
      <ns0:c r="AB111" s="74" t="inlineStr">
        <ns0:is>
          <ns0:t>none — no cornerstone tranche</ns0:t>
        </ns0:is>
      </ns0:c>
      <ns0:c r="AC111" s="74" t="inlineStr">
        <ns0:is>
          <ns0:t>none</ns0:t>
        </ns0:is>
      </ns0:c>
      <ns0:c r="AD111" s="78" t="n">
        <ns0:v>15</ns0:v>
      </ns0:c>
      <ns0:c r="AE111" s="74" t="inlineStr">
        <ns0:is>
          <ns0:t>lapsed</ns0:t>
        </ns0:is>
      </ns0:c>
      <ns0:c r="AF111" s="85" t="n"/>
      <ns0:c r="AG111" s="74" t="inlineStr">
        <ns0:is>
          <ns0:t>CMBC Securities Company Limited</ns0:t>
        </ns0:is>
      </ns0:c>
      <ns0:c r="AH111" s="74" t="inlineStr">
        <ns0:is>
          <ns0:t>CMBC</ns0:t>
        </ns0:is>
      </ns0:c>
      <ns0:c r="AI111" s="86" t="n">
        <ns0:v>2.38</ns0:v>
      </ns0:c>
      <ns0:c r="AJ111" s="87" t="n">
        <ns0:v>0</ns0:v>
      </ns0:c>
      <ns0:c r="AK111" s="87" t="n">
        <ns0:v>0.41</ns0:v>
      </ns0:c>
      <ns0:c r="AL111" s="87" t="n">
        <ns0:v>8.57</ns0:v>
      </ns0:c>
      <ns0:c r="AM111" s="87" t="n">
        <ns0:v>-7.89</ns0:v>
      </ns0:c>
      <ns0:c r="AN111" s="88" t="n"/>
      <ns0:c r="AO111" s="78" t="n">
        <ns0:v>19.74</ns0:v>
      </ns0:c>
      <ns0:c r="AP111" s="87" t="n">
        <ns0:v>-6.19</ns0:v>
      </ns0:c>
      <ns0:c r="AQ111" s="87" t="n">
        <ns0:v>-28.1</ns0:v>
      </ns0:c>
      <ns0:c r="AR111" s="87" t="n">
        <ns0:v>-35.24</ns0:v>
      </ns0:c>
      <ns0:c r="AS111" s="87" t="n">
        <ns0:v>-6.19</ns0:v>
      </ns0:c>
      <ns0:c r="AT111" s="87" t="n">
        <ns0:v>-28.1</ns0:v>
      </ns0:c>
      <ns0:c r="AU111" s="87" t="n">
        <ns0:v>-35.24</ns0:v>
      </ns0:c>
      <ns0:c r="AV111" s="87" t="n">
        <ns0:v>-1.68</ns0:v>
      </ns0:c>
      <ns0:c r="AW111" s="87" t="n">
        <ns0:v>-21.83</ns0:v>
      </ns0:c>
      <ns0:c r="AX111" s="87" t="n">
        <ns0:v>-20.29</ns0:v>
      </ns0:c>
      <ns0:c r="AY111" s="87" t="n">
        <ns0:v>-21.45</ns0:v>
      </ns0:c>
      <ns0:c r="AZ111" s="87" t="n">
        <ns0:v>-6.27</ns0:v>
      </ns0:c>
      <ns0:c r="BA111" s="87" t="n">
        <ns0:v>-6.65</ns0:v>
      </ns0:c>
      <ns0:c r="BB111" s="74" t="inlineStr">
        <ns0:is>
          <ns0:t>Hang Seng Commerce &amp; Industry sub-index</ns0:t>
        </ns0:is>
      </ns0:c>
      <ns0:c r="BC111" s="87" t="n">
        <ns0:v>-62.38</ns0:v>
      </ns0:c>
      <ns0:c r="BD111" s="75" t="n">
        <ns0:v>46297</ns0:v>
      </ns0:c>
      <ns0:c r="BE111" s="76" t="n">
        <ns0:v>523</ns0:v>
      </ns0:c>
      <ns0:c r="BF111" s="79" t="n">
        <ns0:v>33.7</ns0:v>
      </ns0:c>
      <ns0:c r="BG111" s="74" t="inlineStr">
        <ns0:is>
          <ns0:t>Y</ns0:t>
        </ns0:is>
      </ns0:c>
      <ns0:c r="BH111" s="89" t="n">
        <ns0:v>37.1</ns0:v>
      </ns0:c>
      <ns0:c r="BI111" s="88" t="n"/>
      <ns0:c r="BJ111" s="89" t="n">
        <ns0:v>20.8</ns0:v>
      </ns0:c>
      <ns0:c r="BK111" s="89" t="n">
        <ns0:v>2.4</ns0:v>
      </ns0:c>
      <ns0:c r="BL111" s="90">
        <ns0:f>IFERROR(IF('BBG Verify'!S111="","Awaiting Bloomberg",'BBG Verify'!S111),"Awaiting Bloomberg")</ns0:f>
        <ns0:v/>
      </ns0:c>
      <ns0:c r="BM111" s="91" t="inlineStr">
        <ns0:is>
          <ns0:t>N</ns0:t>
        </ns0:is>
      </ns0:c>
      <ns0:c r="BN111" s="92">
        <ns0:f>IFERROR(IF('BBG Verify'!K111="","Awaiting Bloomberg",'BBG Verify'!K111),"Awaiting Bloomberg")</ns0:f>
        <ns0:v/>
      </ns0:c>
      <ns0:c r="BO111" s="74" t="inlineStr">
        <ns0:is>
          <ns0:t>N/A</ns0:t>
        </ns0:is>
      </ns0:c>
      <ns0:c r="BP111" s="74" t="inlineStr">
        <ns0:is>
          <ns0:t>N/A</ns0:t>
        </ns0:is>
      </ns0:c>
      <ns0:c r="BQ111" s="74" t="inlineStr">
        <ns0:is>
          <ns0:t>N/A</ns0:t>
        </ns0:is>
      </ns0:c>
      <ns0:c r="BR111" s="74" t="inlineStr">
        <ns0:is>
          <ns0:t>N/A</ns0:t>
        </ns0:is>
      </ns0:c>
      <ns0:c r="BS111" s="74" t="inlineStr">
        <ns0:is>
          <ns0:t>N/A</ns0:t>
        </ns0:is>
      </ns0:c>
      <ns0:c r="BT111" s="74" t="inlineStr">
        <ns0:is>
          <ns0:t>N/A</ns0:t>
        </ns0:is>
      </ns0:c>
      <ns0:c r="BU111" s="91" t="inlineStr">
        <ns0:is>
          <ns0:t>CMBC International Capital Limited; Note Wings Securities Limited</ns0:t>
        </ns0:is>
      </ns0:c>
      <ns0:c r="BV111" s="74" t="inlineStr">
        <ns0:is>
          <ns0:t>CMBC International Capital Limited</ns0:t>
        </ns0:is>
      </ns0:c>
      <ns0:c r="BW111" s="74" t="inlineStr">
        <ns0:is>
          <ns0: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ns0:t>
        </ns0:is>
      </ns0:c>
      <ns0:c r="BX111" s="74" t="inlineStr">
        <ns0:is>
          <ns0: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ns0:t>
        </ns0:is>
      </ns0:c>
      <ns0:c r="BY111" s="93">
        <ns0:f>HYPERLINK("https://www1.hkexnews.hk/listedco/listconews/sehk/2022/0526/2022052600069.pdf","prospectus")</ns0:f>
        <ns0:v/>
      </ns0:c>
      <ns0:c r="BZ111" s="93">
        <ns0:f>HYPERLINK("https://www1.hkexnews.hk/listedco/listconews/sehk/2022/0609/2022060900032.htm","allotment")</ns0:f>
        <ns0:v/>
      </ns0:c>
      <ns0:c r="CA111" s="93">
        <ns0:f>HYPERLINK("https://www1.hkexnews.hk/listedco/listconews/sehk/2022/0630/2022063000818.pdf","stabilisation")</ns0:f>
        <ns0:v/>
      </ns0:c>
      <ns0:c r="CB111" s="94" t="n"/>
      <ns0:c r="CC111" s="74" t="inlineStr">
        <ns0:is>
          <ns0:t>greenshoe: outcome published; expiry date not in the notice; 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ns0:t>
        </ns0:is>
      </ns0:c>
    </ns0:row>
    <ns0:row r="112" ht="22" customHeight="1">
      <ns0:c r="A112" s="73" t="inlineStr">
        <ns0:is>
          <ns0:t>6667</ns0:t>
        </ns0:is>
      </ns0:c>
      <ns0:c r="B112" s="74" t="inlineStr">
        <ns0:is>
          <ns0:t>MEGA GENOMICS</ns0:t>
        </ns0:is>
      </ns0:c>
      <ns0:c r="C112" s="74" t="inlineStr">
        <ns0:is>
          <ns0:t>美因基因</ns0:t>
        </ns0:is>
      </ns0:c>
      <ns0:c r="D112" s="74" t="inlineStr">
        <ns0:is>
          <ns0:t>Healthcare</ns0:t>
        </ns0:is>
      </ns0:c>
      <ns0:c r="E112" s="74" t="inlineStr">
        <ns0:is>
          <ns0:t>CXO / pharma services</ns0:t>
        </ns0:is>
      </ns0:c>
      <ns0:c r="F112" s="74" t="inlineStr">
        <ns0:is>
          <ns0:t>Biotechnology - Supplies &amp; Services</ns0:t>
        </ns0:is>
      </ns0:c>
      <ns0:c r="G112" s="74" t="inlineStr">
        <ns0:is>
          <ns0:t>Standard</ns0:t>
        </ns0:is>
      </ns0:c>
      <ns0:c r="H112" s="75" t="n">
        <ns0:v>44734</ns0:v>
      </ns0:c>
      <ns0:c r="I112" s="76" t="n">
        <ns0:v>215.3</ns0:v>
      </ns0:c>
      <ns0:c r="J112" s="74" t="inlineStr">
        <ns0:is>
          <ns0:t>gross (price x shares)</ns0:t>
        </ns0:is>
      </ns0:c>
      <ns0:c r="K112" s="77" t="n">
        <ns0:v>18</ns0:v>
      </ns0:c>
      <ns0:c r="L112" s="77" t="n">
        <ns0:v>22</ns0:v>
      </ns0:c>
      <ns0:c r="M112" s="77" t="n">
        <ns0:v>18</ns0:v>
      </ns0:c>
      <ns0:c r="N112" s="74" t="inlineStr">
        <ns0:is>
          <ns0:t>N</ns0:t>
        </ns0:is>
      </ns0:c>
      <ns0:c r="O112" s="78" t="n">
        <ns0:v>81.8</ns0:v>
      </ns0:c>
      <ns0:c r="P112" s="78" t="n">
        <ns0:v>0</ns0:v>
      </ns0:c>
      <ns0:c r="Q112" s="79" t="n">
        <ns0:v>4306</ns0:v>
      </ns0:c>
      <ns0:c r="R112" s="74" t="inlineStr">
        <ns0:is>
          <ns0:t>derived:deal size / offer % of enlarged capital</ns0:t>
        </ns0:is>
      </ns0:c>
      <ns0:c r="S112" s="80" t="n">
        <ns0:v>9.619999999999999</ns0:v>
      </ns0:c>
      <ns0:c r="T112" s="81" t="n">
        <ns0:v>2.05</ns0:v>
      </ns0:c>
      <ns0:c r="U112" s="82" t="n">
        <ns0:v>75.90000000000001</ns0:v>
      </ns0:c>
      <ns0:c r="V112" s="83" t="n">
        <ns0:v>140</ns0:v>
      </ns0:c>
      <ns0:c r="W112" s="84" t="n"/>
      <ns0:c r="X112" s="85" t="n"/>
      <ns0:c r="Y112" s="79" t="n">
        <ns0:v>51.89</ns0:v>
      </ns0:c>
      <ns0:c r="Z112" s="79" t="n">
        <ns0:v>2882794</ns0:v>
      </ns0:c>
      <ns0:c r="AA112" s="78" t="n">
        <ns0:v>1.2</ns0:v>
      </ns0:c>
      <ns0:c r="AB112" s="74" t="inlineStr">
        <ns0:is>
          <ns0:t>Maccura Biotechnology Co., Ltd; Nanchang Financial Holdings Co., Ltd; Nanchang Industrial Park Equity Investment Partnership (Limited Partnership)</ns0:t>
        </ns0:is>
      </ns0:c>
      <ns0:c r="AC112" s="74" t="inlineStr">
        <ns0:is>
          <ns0:t>maccura;nanchang</ns0:t>
        </ns0:is>
      </ns0:c>
      <ns0:c r="AD112" s="78" t="n">
        <ns0:v>15</ns0:v>
      </ns0:c>
      <ns0:c r="AE112" s="74" t="inlineStr">
        <ns0:is>
          <ns0:t>lapsed</ns0:t>
        </ns0:is>
      </ns0:c>
      <ns0:c r="AF112" s="74" t="inlineStr">
        <ns0:is>
          <ns0:t>2022-07-15</ns0:t>
        </ns0:is>
      </ns0:c>
      <ns0:c r="AG112" s="74" t="inlineStr">
        <ns0:is>
          <ns0:t>China Securities</ns0:t>
        </ns0:is>
      </ns0:c>
      <ns0:c r="AH112" s="74" t="inlineStr">
        <ns0:is>
          <ns0:t>China Securities</ns0:t>
        </ns0:is>
      </ns0:c>
      <ns0:c r="AI112" s="86" t="n">
        <ns0:v>8.56</ns0:v>
      </ns0:c>
      <ns0:c r="AJ112" s="87" t="n">
        <ns0:v>0</ns0:v>
      </ns0:c>
      <ns0:c r="AK112" s="87" t="n">
        <ns0:v>-1.14</ns0:v>
      </ns0:c>
      <ns0:c r="AL112" s="87" t="n">
        <ns0:v>8.220000000000001</ns0:v>
      </ns0:c>
      <ns0:c r="AM112" s="87" t="n">
        <ns0:v>-7.6</ns0:v>
      </ns0:c>
      <ns0:c r="AN112" s="88" t="n"/>
      <ns0:c r="AO112" s="78" t="n">
        <ns0:v>15.4</ns0:v>
      </ns0:c>
      <ns0:c r="AP112" s="87" t="n">
        <ns0:v>-1.11</ns0:v>
      </ns0:c>
      <ns0:c r="AQ112" s="87" t="n">
        <ns0:v>-1.22</ns0:v>
      </ns0:c>
      <ns0:c r="AR112" s="87" t="n">
        <ns0:v>-24.22</ns0:v>
      </ns0:c>
      <ns0:c r="AS112" s="87" t="n">
        <ns0:v>-1.11</ns0:v>
      </ns0:c>
      <ns0:c r="AT112" s="87" t="n">
        <ns0:v>-1.22</ns0:v>
      </ns0:c>
      <ns0:c r="AU112" s="87" t="n">
        <ns0:v>-24.22</ns0:v>
      </ns0:c>
      <ns0:c r="AV112" s="87" t="n">
        <ns0:v>-4.87</ns0:v>
      </ns0:c>
      <ns0:c r="AW112" s="87" t="n">
        <ns0:v>-6.85</ns0:v>
      </ns0:c>
      <ns0:c r="AX112" s="87" t="n">
        <ns0:v>-9.83</ns0:v>
      </ns0:c>
      <ns0:c r="AY112" s="87" t="n">
        <ns0:v>-8.07</ns0:v>
      </ns0:c>
      <ns0:c r="AZ112" s="87" t="n">
        <ns0:v>5.63</ns0:v>
      </ns0:c>
      <ns0:c r="BA112" s="87" t="n">
        <ns0:v>6.85</ns0:v>
      </ns0:c>
      <ns0:c r="BB112" s="74" t="inlineStr">
        <ns0:is>
          <ns0:t>China Biotech ETF (HS biotech proxy)</ns0:t>
        </ns0:is>
      </ns0:c>
      <ns0:c r="BC112" s="87" t="n">
        <ns0:v>-60.83</ns0:v>
      </ns0:c>
      <ns0:c r="BD112" s="75" t="n">
        <ns0:v>46297</ns0:v>
      </ns0:c>
      <ns0:c r="BE112" s="76" t="n">
        <ns0:v>260.9</ns0:v>
      </ns0:c>
      <ns0:c r="BF112" s="79" t="n">
        <ns0:v>86.90000000000001</ns0:v>
      </ns0:c>
      <ns0:c r="BG112" s="74" t="inlineStr">
        <ns0:is>
          <ns0:t>Y</ns0:t>
        </ns0:is>
      </ns0:c>
      <ns0:c r="BH112" s="89" t="n">
        <ns0:v>49.6</ns0:v>
      </ns0:c>
      <ns0:c r="BI112" s="89" t="n">
        <ns0:v>24.8</ns0:v>
      </ns0:c>
      <ns0:c r="BJ112" s="89" t="n">
        <ns0:v>43.5</ns0:v>
      </ns0:c>
      <ns0:c r="BK112" s="89" t="n">
        <ns0:v>16.5</ns0:v>
      </ns0:c>
      <ns0:c r="BL112" s="90">
        <ns0:f>IFERROR(IF('BBG Verify'!S112="","Awaiting Bloomberg",'BBG Verify'!S112),"Awaiting Bloomberg")</ns0:f>
        <ns0:v/>
      </ns0:c>
      <ns0:c r="BM112" s="91" t="inlineStr">
        <ns0:is>
          <ns0:t>N</ns0:t>
        </ns0:is>
      </ns0:c>
      <ns0:c r="BN112" s="92">
        <ns0:f>IFERROR(IF('BBG Verify'!K112="","Awaiting Bloomberg",'BBG Verify'!K112),"Awaiting Bloomberg")</ns0:f>
        <ns0:v/>
      </ns0:c>
      <ns0:c r="BO112" s="74" t="inlineStr">
        <ns0:is>
          <ns0:t>N/A</ns0:t>
        </ns0:is>
      </ns0:c>
      <ns0:c r="BP112" s="74" t="inlineStr">
        <ns0:is>
          <ns0:t>N/A</ns0:t>
        </ns0:is>
      </ns0:c>
      <ns0:c r="BQ112" s="74" t="inlineStr">
        <ns0:is>
          <ns0:t>N/A</ns0:t>
        </ns0:is>
      </ns0:c>
      <ns0:c r="BR112" s="74" t="inlineStr">
        <ns0:is>
          <ns0:t>N/A</ns0:t>
        </ns0:is>
      </ns0:c>
      <ns0:c r="BS112" s="74" t="inlineStr">
        <ns0:is>
          <ns0:t>N/A</ns0:t>
        </ns0:is>
      </ns0:c>
      <ns0:c r="BT112" s="74" t="inlineStr">
        <ns0:is>
          <ns0:t>N/A</ns0:t>
        </ns0:is>
      </ns0:c>
      <ns0:c r="BU112" s="91" t="inlineStr">
        <ns0:is>
          <ns0:t>China Securities (International) Corporate Finance Company Limited</ns0:t>
        </ns0:is>
      </ns0:c>
      <ns0:c r="BV112" s="74" t="inlineStr">
        <ns0:is>
          <ns0:t>China Securities (International) Corporate Finance Company Limited</ns0:t>
        </ns0:is>
      </ns0:c>
      <ns0:c r="BW112" s="74" t="inlineStr">
        <ns0:is>
          <ns0:t>China Securities (International) Corporate Finance Company Limited; China Merchants Securities (HK) Co., Limited</ns0:t>
        </ns0:is>
      </ns0:c>
      <ns0:c r="BX112" s="74" t="inlineStr">
        <ns0:is>
          <ns0: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ns0:t>
        </ns0:is>
      </ns0:c>
      <ns0:c r="BY112" s="93">
        <ns0:f>HYPERLINK("https://www1.hkexnews.hk/listedco/listconews/sehk/2022/0610/2022061000015.pdf","prospectus")</ns0:f>
        <ns0:v/>
      </ns0:c>
      <ns0:c r="BZ112" s="93">
        <ns0:f>HYPERLINK("https://www1.hkexnews.hk/listedco/listconews/sehk/2022/0621/2022062100030.htm","allotment")</ns0:f>
        <ns0:v/>
      </ns0:c>
      <ns0:c r="CA112" s="93">
        <ns0:f>HYPERLINK("https://www1.hkexnews.hk/listedco/listconews/sehk/2022/0715/2022071501424.pdf","stabilisation")</ns0:f>
        <ns0:v/>
      </ns0:c>
      <ns0:c r="CB112" s="94" t="n"/>
      <ns0:c r="CC112" s="74" t="inlineStr">
        <ns0:is>
          <ns0:t>cornerstone %: upper bound: AAStocks institutional total / deal size; allocation: allocation table not in this notice's format (older prose announcement); day-1 tape: volume on file; the retail multiple needs the final public split, which this notice does not state</ns0:t>
        </ns0:is>
      </ns0:c>
    </ns0:row>
    <ns0:row r="113" ht="22" customHeight="1">
      <ns0:c r="A113" s="73" t="inlineStr">
        <ns0:is>
          <ns0:t>2246</ns0:t>
        </ns0:is>
      </ns0:c>
      <ns0:c r="B113" s="74" t="inlineStr">
        <ns0:is>
          <ns0:t>GOGOX</ns0:t>
        </ns0:is>
      </ns0:c>
      <ns0:c r="C113" s="74" t="inlineStr">
        <ns0:is>
          <ns0:t>快狗打車</ns0:t>
        </ns0:is>
      </ns0:c>
      <ns0:c r="D113" s="74" t="inlineStr">
        <ns0:is>
          <ns0:t>Industrials</ns0:t>
        </ns0:is>
      </ns0:c>
      <ns0:c r="E113" s="74" t="inlineStr">
        <ns0:is>
          <ns0:t>Logistics</ns0:t>
        </ns0:is>
      </ns0:c>
      <ns0:c r="F113" s="74" t="inlineStr">
        <ns0:is>
          <ns0:t>Air Freight &amp; Logistics</ns0:t>
        </ns0:is>
      </ns0:c>
      <ns0:c r="G113" s="74" t="inlineStr">
        <ns0:is>
          <ns0:t>Standard</ns0:t>
        </ns0:is>
      </ns0:c>
      <ns0:c r="H113" s="75" t="n">
        <ns0:v>44736</ns0:v>
      </ns0:c>
      <ns0:c r="I113" s="76" t="n">
        <ns0:v>670.8</ns0:v>
      </ns0:c>
      <ns0:c r="J113" s="74" t="inlineStr">
        <ns0:is>
          <ns0:t>gross (price x shares)</ns0:t>
        </ns0:is>
      </ns0:c>
      <ns0:c r="K113" s="95" t="n"/>
      <ns0:c r="L113" s="77" t="n">
        <ns0:v>21.5</ns0:v>
      </ns0:c>
      <ns0:c r="M113" s="77" t="n">
        <ns0:v>21.5</ns0:v>
      </ns0:c>
      <ns0:c r="N113" s="74" t="inlineStr">
        <ns0:is>
          <ns0:t>Y</ns0:t>
        </ns0:is>
      </ns0:c>
      <ns0:c r="O113" s="78" t="n">
        <ns0:v>100</ns0:v>
      </ns0:c>
      <ns0:c r="P113" s="84" t="n"/>
      <ns0:c r="Q113" s="79" t="n">
        <ns0:v>13152.9</ns0:v>
      </ns0:c>
      <ns0:c r="R113" s="74" t="inlineStr">
        <ns0:is>
          <ns0:t>derived:deal size / offer % of enlarged capital</ns0:t>
        </ns0:is>
      </ns0:c>
      <ns0:c r="S113" s="80" t="n">
        <ns0:v>4.05</ns0:v>
      </ns0:c>
      <ns0:c r="T113" s="81" t="n">
        <ns0:v>1.4</ns0:v>
      </ns0:c>
      <ns0:c r="U113" s="82" t="n">
        <ns0:v>74.3</ns0:v>
      </ns0:c>
      <ns0:c r="V113" s="83" t="n">
        <ns0:v>126</ns0:v>
      </ns0:c>
      <ns0:c r="W113" s="84" t="n"/>
      <ns0:c r="X113" s="85" t="n"/>
      <ns0:c r="Y113" s="79" t="n">
        <ns0:v>172.4</ns0:v>
      </ns0:c>
      <ns0:c r="Z113" s="79" t="n">
        <ns0:v>8018400</ns0:v>
      </ns0:c>
      <ns0:c r="AA113" s="78" t="n">
        <ns0:v>1.31</ns0:v>
      </ns0:c>
      <ns0:c r="AB113" s="74" t="inlineStr">
        <ns0:is>
          <ns0:t>Chery Commercial Vehicle (Anhui) Company Limited; GF Global Capital Limited</ns0:t>
        </ns0:is>
      </ns0:c>
      <ns0:c r="AC113" s="74" t="inlineStr">
        <ns0:is>
          <ns0:t>chery;gf</ns0:t>
        </ns0:is>
      </ns0:c>
      <ns0:c r="AD113" s="78" t="n">
        <ns0:v>19.11</ns0:v>
      </ns0:c>
      <ns0:c r="AE113" s="74" t="inlineStr">
        <ns0:is>
          <ns0:t>lapsed</ns0:t>
        </ns0:is>
      </ns0:c>
      <ns0:c r="AF113" s="74" t="inlineStr">
        <ns0:is>
          <ns0:t>2022-07-17</ns0:t>
        </ns0:is>
      </ns0:c>
      <ns0:c r="AG113" s="74" t="inlineStr">
        <ns0:is>
          <ns0:t>UBS AG Hong Kong Branch</ns0:t>
        </ns0:is>
      </ns0:c>
      <ns0:c r="AH113" s="74" t="inlineStr">
        <ns0:is>
          <ns0:t>UBS</ns0:t>
        </ns0:is>
      </ns0:c>
      <ns0:c r="AI113" s="86" t="n">
        <ns0:v>-1.86</ns0:v>
      </ns0:c>
      <ns0:c r="AJ113" s="87" t="n">
        <ns0:v>-22.23</ns0:v>
      </ns0:c>
      <ns0:c r="AK113" s="87" t="n">
        <ns0:v>3.09</ns0:v>
      </ns0:c>
      <ns0:c r="AL113" s="87" t="n">
        <ns0:v>0</ns0:v>
      </ns0:c>
      <ns0:c r="AM113" s="87" t="n">
        <ns0:v>-22.23</ns0:v>
      </ns0:c>
      <ns0:c r="AN113" s="88" t="n"/>
      <ns0:c r="AO113" s="78" t="n">
        <ns0:v>29.91</ns0:v>
      </ns0:c>
      <ns0:c r="AP113" s="87" t="n">
        <ns0:v>-47.91</ns0:v>
      </ns0:c>
      <ns0:c r="AQ113" s="87" t="n">
        <ns0:v>-68.33</ns0:v>
      </ns0:c>
      <ns0:c r="AR113" s="87" t="n">
        <ns0:v>-76.73999999999999</ns0:v>
      </ns0:c>
      <ns0:c r="AS113" s="87" t="n">
        <ns0:v>-33.02</ns0:v>
      </ns0:c>
      <ns0:c r="AT113" s="87" t="n">
        <ns0:v>-59.28</ns0:v>
      </ns0:c>
      <ns0:c r="AU113" s="87" t="n">
        <ns0:v>-70.09</ns0:v>
      </ns0:c>
      <ns0:c r="AV113" s="87" t="n">
        <ns0:v>-51.25</ns0:v>
      </ns0:c>
      <ns0:c r="AW113" s="87" t="n">
        <ns0:v>-67.92</ns0:v>
      </ns0:c>
      <ns0:c r="AX113" s="87" t="n">
        <ns0:v>-59.72</ns0:v>
      </ns0:c>
      <ns0:c r="AY113" s="87" t="n">
        <ns0:v>-55.88</ns0:v>
      </ns0:c>
      <ns0:c r="AZ113" s="87" t="n">
        <ns0:v>-0.41</ns0:v>
      </ns0:c>
      <ns0:c r="BA113" s="87" t="n">
        <ns0:v>-3.4</ns0:v>
      </ns0:c>
      <ns0:c r="BB113" s="74" t="inlineStr">
        <ns0:is>
          <ns0:t>Hang Seng Commerce &amp; Industry sub-index</ns0:t>
        </ns0:is>
      </ns0:c>
      <ns0:c r="BC113" s="87" t="n">
        <ns0:v>-99.5</ns0:v>
      </ns0:c>
      <ns0:c r="BD113" s="75" t="n">
        <ns0:v>46297</ns0:v>
      </ns0:c>
      <ns0:c r="BE113" s="76" t="n">
        <ns0:v>583.4</ns0:v>
      </ns0:c>
      <ns0:c r="BF113" s="79" t="n">
        <ns0:v>-960.1</ns0:v>
      </ns0:c>
      <ns0:c r="BG113" s="74" t="inlineStr">
        <ns0:is>
          <ns0:t>N</ns0:t>
        </ns0:is>
      </ns0:c>
      <ns0:c r="BH113" s="74" t="inlineStr">
        <ns0:is>
          <ns0:t>n/m</ns0:t>
        </ns0:is>
      </ns0:c>
      <ns0:c r="BI113" s="88" t="n"/>
      <ns0:c r="BJ113" s="88" t="n"/>
      <ns0:c r="BK113" s="89" t="n">
        <ns0:v>22.5</ns0:v>
      </ns0:c>
      <ns0:c r="BL113" s="90">
        <ns0:f>IFERROR(IF('BBG Verify'!S113="","Awaiting Bloomberg",'BBG Verify'!S113),"Awaiting Bloomberg")</ns0:f>
        <ns0:v/>
      </ns0:c>
      <ns0:c r="BM113" s="91" t="inlineStr">
        <ns0:is>
          <ns0:t>N</ns0:t>
        </ns0:is>
      </ns0:c>
      <ns0:c r="BN113" s="92">
        <ns0:f>IFERROR(IF('BBG Verify'!K113="","Awaiting Bloomberg",'BBG Verify'!K113),"Awaiting Bloomberg")</ns0:f>
        <ns0:v/>
      </ns0:c>
      <ns0:c r="BO113" s="74" t="inlineStr">
        <ns0:is>
          <ns0:t>N/A</ns0:t>
        </ns0:is>
      </ns0:c>
      <ns0:c r="BP113" s="74" t="inlineStr">
        <ns0:is>
          <ns0:t>N/A</ns0:t>
        </ns0:is>
      </ns0:c>
      <ns0:c r="BQ113" s="74" t="inlineStr">
        <ns0:is>
          <ns0:t>N/A</ns0:t>
        </ns0:is>
      </ns0:c>
      <ns0:c r="BR113" s="74" t="inlineStr">
        <ns0:is>
          <ns0:t>N/A</ns0:t>
        </ns0:is>
      </ns0:c>
      <ns0:c r="BS113" s="74" t="inlineStr">
        <ns0:is>
          <ns0:t>N/A</ns0:t>
        </ns0:is>
      </ns0:c>
      <ns0:c r="BT113" s="74" t="inlineStr">
        <ns0:is>
          <ns0:t>N/A</ns0:t>
        </ns0:is>
      </ns0:c>
      <ns0:c r="BU113" s="91" t="inlineStr">
        <ns0:is>
          <ns0:t>UBS Securities Hong Kong Limited; China International Capital Corporation Hong Kong Securities Limited; BOCOM International (Asia) Limited; ABCI Capital Limited</ns0:t>
        </ns0:is>
      </ns0:c>
      <ns0:c r="BV113" s="74" t="inlineStr">
        <ns0:is>
          <ns0:t>China International Capital Corporation Hong Kong Securities Limited; UBS Securities Hong Kong Limited; BOCOM International (Asia) Limited; ABCI Capital Limited</ns0:t>
        </ns0:is>
      </ns0:c>
      <ns0:c r="BW113" s="74" t="inlineStr">
        <ns0:is>
          <ns0:t>UBS AG Hong Kong Branch; China International Capital Corporation Hong Kong Securities Limited; BOCOM International Securities Limited; ABCI Capital Limited; Futu Securities International (Hong Kong) Limited; Zhongtai International Securities Limited; Fosun Hani Securities Limited</ns0:t>
        </ns0:is>
      </ns0:c>
      <ns0:c r="BX113" s="74" t="inlineStr">
        <ns0:is>
          <ns0: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ns0:t>
        </ns0:is>
      </ns0:c>
      <ns0:c r="BY113" s="93">
        <ns0:f>HYPERLINK("https://www1.hkexnews.hk/listedco/listconews/sehk/2022/0614/2022061400009.pdf","prospectus")</ns0:f>
        <ns0:v/>
      </ns0:c>
      <ns0:c r="BZ113" s="93">
        <ns0:f>HYPERLINK("https://www1.hkexnews.hk/listedco/listconews/sehk/2022/0623/2022062300034.htm","allotment")</ns0:f>
        <ns0:v/>
      </ns0:c>
      <ns0:c r="CA113" s="93">
        <ns0:f>HYPERLINK("https://www1.hkexnews.hk/listedco/listconews/sehk/2022/0718/2022071800093.pdf","stabilisation")</ns0:f>
        <ns0:v/>
      </ns0:c>
      <ns0:c r="CB113" s="94" t="n"/>
      <ns0:c r="CC113" s="74" t="inlineStr">
        <ns0:is>
          <ns0:t>P/E: loss-making at IPO, use P/S; range low: maximum offer price only, no floor published; allocation: allocation table not in this notice's format (older prose announcement); day-1 tape: volume on file; the retail multiple needs the final public split, which this notice does not state</ns0:t>
        </ns0:is>
      </ns0:c>
    </ns0:row>
    <ns0:row r="114" ht="22" customHeight="1">
      <ns0:c r="A114" s="73" t="inlineStr">
        <ns0:is>
          <ns0:t>2167</ns0:t>
        </ns0:is>
      </ns0:c>
      <ns0:c r="B114" s="74" t="inlineStr">
        <ns0:is>
          <ns0:t>TI CLOUD</ns0:t>
        </ns0:is>
      </ns0:c>
      <ns0:c r="C114" s="74" t="inlineStr">
        <ns0:is>
          <ns0:t>天潤雲</ns0:t>
        </ns0:is>
      </ns0:c>
      <ns0:c r="D114" s="74" t="inlineStr">
        <ns0:is>
          <ns0:t>Technology</ns0:t>
        </ns0:is>
      </ns0:c>
      <ns0:c r="E114" s="74" t="inlineStr">
        <ns0:is>
          <ns0:t>Software &amp; AI</ns0:t>
        </ns0:is>
      </ns0:c>
      <ns0:c r="F114" s="74" t="inlineStr">
        <ns0:is>
          <ns0:t>Systems Software</ns0:t>
        </ns0:is>
      </ns0:c>
      <ns0:c r="G114" s="74" t="inlineStr">
        <ns0:is>
          <ns0:t>Standard</ns0:t>
        </ns0:is>
      </ns0:c>
      <ns0:c r="H114" s="75" t="n">
        <ns0:v>44742</ns0:v>
      </ns0:c>
      <ns0:c r="I114" s="76" t="n">
        <ns0:v>559.4</ns0:v>
      </ns0:c>
      <ns0:c r="J114" s="74" t="inlineStr">
        <ns0:is>
          <ns0:t>gross (price x shares)</ns0:t>
        </ns0:is>
      </ns0:c>
      <ns0:c r="K114" s="77" t="n">
        <ns0:v>12.85</ns0:v>
      </ns0:c>
      <ns0:c r="L114" s="77" t="n">
        <ns0:v>13.85</ns0:v>
      </ns0:c>
      <ns0:c r="M114" s="77" t="n">
        <ns0:v>12.85</ns0:v>
      </ns0:c>
      <ns0:c r="N114" s="74" t="inlineStr">
        <ns0:is>
          <ns0:t>N</ns0:t>
        </ns0:is>
      </ns0:c>
      <ns0:c r="O114" s="78" t="n">
        <ns0:v>92.8</ns0:v>
      </ns0:c>
      <ns0:c r="P114" s="78" t="n">
        <ns0:v>0</ns0:v>
      </ns0:c>
      <ns0:c r="Q114" s="79" t="n">
        <ns0:v>2237.6</ns0:v>
      </ns0:c>
      <ns0:c r="R114" s="74" t="inlineStr">
        <ns0:is>
          <ns0:t>derived:deal size / offer % of enlarged capital</ns0:t>
        </ns0:is>
      </ns0:c>
      <ns0:c r="S114" s="80" t="n">
        <ns0:v>1.17</ns0:v>
      </ns0:c>
      <ns0:c r="T114" s="81" t="n">
        <ns0:v>1.27</ns0:v>
      </ns0:c>
      <ns0:c r="U114" s="82" t="n">
        <ns0:v>23.4</ns0:v>
      </ns0:c>
      <ns0:c r="V114" s="83" t="n">
        <ns0:v>116</ns0:v>
      </ns0:c>
      <ns0:c r="W114" s="84" t="n"/>
      <ns0:c r="X114" s="85" t="n"/>
      <ns0:c r="Y114" s="79" t="n">
        <ns0:v>428.5</ns0:v>
      </ns0:c>
      <ns0:c r="Z114" s="79" t="n">
        <ns0:v>33343980</ns0:v>
      </ns0:c>
      <ns0:c r="AA114" s="78" t="n">
        <ns0:v>19.15</ns0:v>
      </ns0:c>
      <ns0:c r="AB114" s="74" t="inlineStr">
        <ns0:is>
          <ns0:t>Agora, Inc; Platinum Investment Management Limited</ns0:t>
        </ns0:is>
      </ns0:c>
      <ns0:c r="AC114" s="74" t="inlineStr">
        <ns0:is>
          <ns0:t>agora;platinum</ns0:t>
        </ns0:is>
      </ns0:c>
      <ns0:c r="AD114" s="78" t="n">
        <ns0:v>8.09</ns0:v>
      </ns0:c>
      <ns0:c r="AE114" s="74" t="inlineStr">
        <ns0:is>
          <ns0:t>partial</ns0:t>
        </ns0:is>
      </ns0:c>
      <ns0:c r="AF114" s="74" t="inlineStr">
        <ns0:is>
          <ns0:t>2022-07-24</ns0:t>
        </ns0:is>
      </ns0:c>
      <ns0:c r="AG114" s="74" t="inlineStr">
        <ns0:is>
          <ns0:t>China International Capital Corporation Hong Kong Securities Limited</ns0:t>
        </ns0:is>
      </ns0:c>
      <ns0:c r="AH114" s="74" t="inlineStr">
        <ns0:is>
          <ns0:t>China International</ns0:t>
        </ns0:is>
      </ns0:c>
      <ns0:c r="AI114" s="86" t="n">
        <ns0:v>-15.8</ns0:v>
      </ns0:c>
      <ns0:c r="AJ114" s="87" t="n">
        <ns0:v>-0.08</ns0:v>
      </ns0:c>
      <ns0:c r="AK114" s="87" t="n">
        <ns0:v>-1.23</ns0:v>
      </ns0:c>
      <ns0:c r="AL114" s="87" t="n">
        <ns0:v>-0.08</ns0:v>
      </ns0:c>
      <ns0:c r="AM114" s="87" t="n">
        <ns0:v>0</ns0:v>
      </ns0:c>
      <ns0:c r="AN114" s="88" t="n"/>
      <ns0:c r="AO114" s="78" t="n">
        <ns0:v>0.16</ns0:v>
      </ns0:c>
      <ns0:c r="AP114" s="87" t="n">
        <ns0:v>2.72</ns0:v>
      </ns0:c>
      <ns0:c r="AQ114" s="87" t="n">
        <ns0:v>-19.07</ns0:v>
      </ns0:c>
      <ns0:c r="AR114" s="87" t="n">
        <ns0:v>-22.26</ns0:v>
      </ns0:c>
      <ns0:c r="AS114" s="87" t="n">
        <ns0:v>2.8</ns0:v>
      </ns0:c>
      <ns0:c r="AT114" s="87" t="n">
        <ns0:v>-19.01</ns0:v>
      </ns0:c>
      <ns0:c r="AU114" s="87" t="n">
        <ns0:v>-22.2</ns0:v>
      </ns0:c>
      <ns0:c r="AV114" s="87" t="n">
        <ns0:v>5.43</ns0:v>
      </ns0:c>
      <ns0:c r="AW114" s="87" t="n">
        <ns0:v>-6.78</ns0:v>
      </ns0:c>
      <ns0:c r="AX114" s="87" t="n">
        <ns0:v>7.17</ns0:v>
      </ns0:c>
      <ns0:c r="AY114" s="87" t="n">
        <ns0:v>-7.82</ns0:v>
      </ns0:c>
      <ns0:c r="AZ114" s="87" t="n">
        <ns0:v>-12.29</ns0:v>
      </ns0:c>
      <ns0:c r="BA114" s="87" t="n">
        <ns0:v>-11.19</ns0:v>
      </ns0:c>
      <ns0:c r="BB114" s="74" t="inlineStr">
        <ns0:is>
          <ns0:t>HSTECH (Hang Seng TECH ETF)</ns0:t>
        </ns0:is>
      </ns0:c>
      <ns0:c r="BC114" s="87" t="n">
        <ns0:v>-65.76000000000001</ns0:v>
      </ns0:c>
      <ns0:c r="BD114" s="75" t="n">
        <ns0:v>46297</ns0:v>
      </ns0:c>
      <ns0:c r="BE114" s="76" t="n">
        <ns0:v>442.1</ns0:v>
      </ns0:c>
      <ns0:c r="BF114" s="79" t="n">
        <ns0:v>19.6</ns0:v>
      </ns0:c>
      <ns0:c r="BG114" s="74" t="inlineStr">
        <ns0:is>
          <ns0:t>Y</ns0:t>
        </ns0:is>
      </ns0:c>
      <ns0:c r="BH114" s="89" t="n">
        <ns0:v>114.2</ns0:v>
      </ns0:c>
      <ns0:c r="BI114" s="88" t="n"/>
      <ns0:c r="BJ114" s="89" t="n">
        <ns0:v>10.2</ns0:v>
      </ns0:c>
      <ns0:c r="BK114" s="89" t="n">
        <ns0:v>5.1</ns0:v>
      </ns0:c>
      <ns0:c r="BL114" s="90">
        <ns0:f>IFERROR(IF('BBG Verify'!S114="","Awaiting Bloomberg",'BBG Verify'!S114),"Awaiting Bloomberg")</ns0:f>
        <ns0:v/>
      </ns0:c>
      <ns0:c r="BM114" s="91" t="inlineStr">
        <ns0:is>
          <ns0:t>N</ns0:t>
        </ns0:is>
      </ns0:c>
      <ns0:c r="BN114" s="92">
        <ns0:f>IFERROR(IF('BBG Verify'!K114="","Awaiting Bloomberg",'BBG Verify'!K114),"Awaiting Bloomberg")</ns0:f>
        <ns0:v/>
      </ns0:c>
      <ns0:c r="BO114" s="74" t="inlineStr">
        <ns0:is>
          <ns0:t>N/A</ns0:t>
        </ns0:is>
      </ns0:c>
      <ns0:c r="BP114" s="74" t="inlineStr">
        <ns0:is>
          <ns0:t>N/A</ns0:t>
        </ns0:is>
      </ns0:c>
      <ns0:c r="BQ114" s="74" t="inlineStr">
        <ns0:is>
          <ns0:t>N/A</ns0:t>
        </ns0:is>
      </ns0:c>
      <ns0:c r="BR114" s="74" t="inlineStr">
        <ns0:is>
          <ns0:t>N/A</ns0:t>
        </ns0:is>
      </ns0:c>
      <ns0:c r="BS114" s="74" t="inlineStr">
        <ns0:is>
          <ns0:t>N/A</ns0:t>
        </ns0:is>
      </ns0:c>
      <ns0:c r="BT114" s="74" t="inlineStr">
        <ns0:is>
          <ns0:t>N/A</ns0:t>
        </ns0:is>
      </ns0:c>
      <ns0:c r="BU114" s="91" t="inlineStr">
        <ns0:is>
          <ns0:t>China International Capital Corporation Hong Kong Securities Limited</ns0:t>
        </ns0:is>
      </ns0:c>
      <ns0:c r="BV114" s="74" t="inlineStr">
        <ns0:is>
          <ns0:t>China International Capital Corporation Hong Kong Securities Limited</ns0:t>
        </ns0:is>
      </ns0:c>
      <ns0:c r="BW114" s="74" t="inlineStr">
        <ns0:is>
          <ns0:t>China International Capital Corporation Hong Kong Securities Limited; Macquarie Capital Limited; CMB International Capital Limited; BOCI Asia Limited; Shenwan Hongyuan Securities (H.K.) Limited; Tiger Brokers (HK) Global Limited; Futu Securities International (Hong Kong) Limited</ns0:t>
        </ns0:is>
      </ns0:c>
      <ns0:c r="BX114" s="74" t="inlineStr">
        <ns0:is>
          <ns0: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ns0:t>
        </ns0:is>
      </ns0:c>
      <ns0:c r="BY114" s="93">
        <ns0:f>HYPERLINK("https://www1.hkexnews.hk/listedco/listconews/sehk/2022/0621/2022062100009.pdf","prospectus")</ns0:f>
        <ns0:v/>
      </ns0:c>
      <ns0:c r="BZ114" s="93">
        <ns0:f>HYPERLINK("https://www1.hkexnews.hk/listedco/listconews/sehk/2022/0629/2022062900092.htm","allotment")</ns0:f>
        <ns0:v/>
      </ns0:c>
      <ns0:c r="CA114" s="93">
        <ns0:f>HYPERLINK("https://www1.hkexnews.hk/listedco/listconews/sehk/2022/0724/2022072400037.pdf","stabilisation")</ns0:f>
        <ns0:v/>
      </ns0:c>
      <ns0:c r="CB114" s="94" t="n"/>
      <ns0:c r="CC114" s="74" t="inlineStr">
        <ns0:is>
          <ns0:t>allocation: allocation table not in this notice's format (older prose announcement); day-1 tape: volume on file; the retail multiple needs the final public split, which this notice does not state</ns0:t>
        </ns0:is>
      </ns0:c>
    </ns0:row>
    <ns0:row r="115" ht="22" customHeight="1">
      <ns0:c r="A115" s="73" t="inlineStr">
        <ns0:is>
          <ns0:t>2372</ns0:t>
        </ns0:is>
      </ns0:c>
      <ns0:c r="B115" s="74" t="inlineStr">
        <ns0:is>
          <ns0:t>WEILI HOLDINGS</ns0:t>
        </ns0:is>
      </ns0:c>
      <ns0:c r="C115" s="74" t="inlineStr">
        <ns0:is>
          <ns0:t>偉立控股</ns0:t>
        </ns0:is>
      </ns0:c>
      <ns0:c r="D115" s="74" t="inlineStr">
        <ns0:is>
          <ns0:t>Materials/Energy</ns0:t>
        </ns0:is>
      </ns0:c>
      <ns0:c r="E115" s="74" t="inlineStr">
        <ns0:is>
          <ns0:t>Chemicals</ns0:t>
        </ns0:is>
      </ns0:c>
      <ns0:c r="F115" s="74" t="inlineStr">
        <ns0:is>
          <ns0:t>Cigarette Products</ns0:t>
        </ns0:is>
      </ns0:c>
      <ns0:c r="G115" s="74" t="inlineStr">
        <ns0:is>
          <ns0:t>Standard</ns0:t>
        </ns0:is>
      </ns0:c>
      <ns0:c r="H115" s="75" t="n">
        <ns0:v>44742</ns0:v>
      </ns0:c>
      <ns0:c r="I115" s="76" t="n">
        <ns0:v>126</ns0:v>
      </ns0:c>
      <ns0:c r="J115" s="74" t="inlineStr">
        <ns0:is>
          <ns0:t>gross (price x shares)</ns0:t>
        </ns0:is>
      </ns0:c>
      <ns0:c r="K115" s="77" t="n">
        <ns0:v>0.63</ns0:v>
      </ns0:c>
      <ns0:c r="L115" s="77" t="n">
        <ns0:v>0.67</ns0:v>
      </ns0:c>
      <ns0:c r="M115" s="77" t="n">
        <ns0:v>0.63</ns0:v>
      </ns0:c>
      <ns0:c r="N115" s="74" t="inlineStr">
        <ns0:is>
          <ns0:t>N</ns0:t>
        </ns0:is>
      </ns0:c>
      <ns0:c r="O115" s="78" t="n">
        <ns0:v>94</ns0:v>
      </ns0:c>
      <ns0:c r="P115" s="78" t="n">
        <ns0:v>0</ns0:v>
      </ns0:c>
      <ns0:c r="Q115" s="79" t="n">
        <ns0:v>534.1</ns0:v>
      </ns0:c>
      <ns0:c r="R115" s="74" t="inlineStr">
        <ns0:is>
          <ns0:t>aastocks:上市市值 at the struck price</ns0:t>
        </ns0:is>
      </ns0:c>
      <ns0:c r="S115" s="80" t="n">
        <ns0:v>11.37</ns0:v>
      </ns0:c>
      <ns0:c r="T115" s="81" t="n">
        <ns0:v>1.29</ns0:v>
      </ns0:c>
      <ns0:c r="U115" s="82" t="n">
        <ns0:v>0</ns0:v>
      </ns0:c>
      <ns0:c r="V115" s="83" t="n">
        <ns0:v>171</ns0:v>
      </ns0:c>
      <ns0:c r="W115" s="84" t="n"/>
      <ns0:c r="X115" s="85" t="n"/>
      <ns0:c r="Y115" s="79" t="n">
        <ns0:v>126</ns0:v>
      </ns0:c>
      <ns0:c r="Z115" s="79" t="n">
        <ns0:v>200000000</ns0:v>
      </ns0:c>
      <ns0:c r="AA115" s="78" t="n">
        <ns0:v>23.59</ns0:v>
      </ns0:c>
      <ns0:c r="AB115" s="74" t="inlineStr">
        <ns0:is>
          <ns0:t>none — no cornerstone tranche</ns0:t>
        </ns0:is>
      </ns0:c>
      <ns0:c r="AC115" s="74" t="inlineStr">
        <ns0:is>
          <ns0:t>none</ns0:t>
        </ns0:is>
      </ns0:c>
      <ns0:c r="AD115" s="84" t="n"/>
      <ns0:c r="AE115" s="74" t="inlineStr">
        <ns0:is>
          <ns0:t>lapsed (no over-allocation)</ns0:t>
        </ns0:is>
      </ns0:c>
      <ns0:c r="AF115" s="85" t="n"/>
      <ns0:c r="AG115" s="85" t="n"/>
      <ns0:c r="AH115" s="85" t="n"/>
      <ns0:c r="AI115" s="86" t="n">
        <ns0:v>3.17</ns0:v>
      </ns0:c>
      <ns0:c r="AJ115" s="87" t="n">
        <ns0:v>0</ns0:v>
      </ns0:c>
      <ns0:c r="AK115" s="87" t="n">
        <ns0:v>-1.13</ns0:v>
      </ns0:c>
      <ns0:c r="AL115" s="87" t="n">
        <ns0:v>11.11</ns0:v>
      </ns0:c>
      <ns0:c r="AM115" s="87" t="n">
        <ns0:v>-10</ns0:v>
      </ns0:c>
      <ns0:c r="AN115" s="88" t="n"/>
      <ns0:c r="AO115" s="78" t="n">
        <ns0:v>14.29</ns0:v>
      </ns0:c>
      <ns0:c r="AP115" s="87" t="n">
        <ns0:v>4.76</ns0:v>
      </ns0:c>
      <ns0:c r="AQ115" s="87" t="n">
        <ns0:v>-30.16</ns0:v>
      </ns0:c>
      <ns0:c r="AR115" s="87" t="n">
        <ns0:v>-30.16</ns0:v>
      </ns0:c>
      <ns0:c r="AS115" s="87" t="n">
        <ns0:v>4.76</ns0:v>
      </ns0:c>
      <ns0:c r="AT115" s="87" t="n">
        <ns0:v>-30.16</ns0:v>
      </ns0:c>
      <ns0:c r="AU115" s="87" t="n">
        <ns0:v>-30.16</ns0:v>
      </ns0:c>
      <ns0:c r="AV115" s="87" t="n">
        <ns0:v>4.94</ns0:v>
      </ns0:c>
      <ns0:c r="AW115" s="87" t="n">
        <ns0:v>-21.1</ns0:v>
      </ns0:c>
      <ns0:c r="AX115" s="87" t="n">
        <ns0:v>-8.720000000000001</ns0:v>
      </ns0:c>
      <ns0:c r="AY115" s="87" t="n">
        <ns0:v>-22.14</ns0:v>
      </ns0:c>
      <ns0:c r="AZ115" s="87" t="n">
        <ns0:v>-9.06</ns0:v>
      </ns0:c>
      <ns0:c r="BA115" s="87" t="n">
        <ns0:v>-8.02</ns0:v>
      </ns0:c>
      <ns0:c r="BB115" s="74" t="inlineStr">
        <ns0:is>
          <ns0:t>Hang Seng Commerce &amp; Industry sub-index</ns0:t>
        </ns0:is>
      </ns0:c>
      <ns0:c r="BC115" s="87" t="n">
        <ns0:v>46.83</ns0:v>
      </ns0:c>
      <ns0:c r="BD115" s="75" t="n">
        <ns0:v>46297</ns0:v>
      </ns0:c>
      <ns0:c r="BE115" s="76" t="n">
        <ns0:v>407.3</ns0:v>
      </ns0:c>
      <ns0:c r="BF115" s="79" t="n">
        <ns0:v>39.3</ns0:v>
      </ns0:c>
      <ns0:c r="BG115" s="74" t="inlineStr">
        <ns0:is>
          <ns0:t>Y</ns0:t>
        </ns0:is>
      </ns0:c>
      <ns0:c r="BH115" s="89" t="n">
        <ns0:v>13.6</ns0:v>
      </ns0:c>
      <ns0:c r="BI115" s="88" t="n"/>
      <ns0:c r="BJ115" s="88" t="n"/>
      <ns0:c r="BK115" s="89" t="n">
        <ns0:v>1.3</ns0:v>
      </ns0:c>
      <ns0:c r="BL115" s="90">
        <ns0:f>IFERROR(IF('BBG Verify'!S115="","Awaiting Bloomberg",'BBG Verify'!S115),"Awaiting Bloomberg")</ns0:f>
        <ns0:v/>
      </ns0:c>
      <ns0:c r="BM115" s="91" t="inlineStr">
        <ns0:is>
          <ns0:t>N</ns0:t>
        </ns0:is>
      </ns0:c>
      <ns0:c r="BN115" s="92">
        <ns0:f>IFERROR(IF('BBG Verify'!K115="","Awaiting Bloomberg",'BBG Verify'!K115),"Awaiting Bloomberg")</ns0:f>
        <ns0:v/>
      </ns0:c>
      <ns0:c r="BO115" s="74" t="inlineStr">
        <ns0:is>
          <ns0:t>N/A</ns0:t>
        </ns0:is>
      </ns0:c>
      <ns0:c r="BP115" s="74" t="inlineStr">
        <ns0:is>
          <ns0:t>N/A</ns0:t>
        </ns0:is>
      </ns0:c>
      <ns0:c r="BQ115" s="74" t="inlineStr">
        <ns0:is>
          <ns0:t>N/A</ns0:t>
        </ns0:is>
      </ns0:c>
      <ns0:c r="BR115" s="74" t="inlineStr">
        <ns0:is>
          <ns0:t>N/A</ns0:t>
        </ns0:is>
      </ns0:c>
      <ns0:c r="BS115" s="74" t="inlineStr">
        <ns0:is>
          <ns0:t>N/A</ns0:t>
        </ns0:is>
      </ns0:c>
      <ns0:c r="BT115" s="74" t="inlineStr">
        <ns0:is>
          <ns0:t>N/A</ns0:t>
        </ns0:is>
      </ns0:c>
      <ns0:c r="BU115" s="91" t="inlineStr">
        <ns0:is>
          <ns0:t>Grande Capital Limited</ns0:t>
        </ns0:is>
      </ns0:c>
      <ns0:c r="BV115" s="74" t="inlineStr">
        <ns0:is>
          <ns0:t>Grande Capital Limited</ns0:t>
        </ns0:is>
      </ns0:c>
      <ns0:c r="BW115" s="74" t="inlineStr">
        <ns0:is>
          <ns0:t>First Shanghai Securities Limited; CRIC Securities Company Limited; Zhongtai International Securities Limited</ns0:t>
        </ns0:is>
      </ns0:c>
      <ns0:c r="BX115" s="74" t="inlineStr">
        <ns0:is>
          <ns0: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ns0:t>
        </ns0:is>
      </ns0:c>
      <ns0:c r="BY115" s="93">
        <ns0:f>HYPERLINK("https://www1.hkexnews.hk/listedco/listconews/sehk/2022/0617/2022061700066.htm","prospectus")</ns0:f>
        <ns0:v/>
      </ns0:c>
      <ns0:c r="BZ115" s="93">
        <ns0:f>HYPERLINK("https://www1.hkexnews.hk/listedco/listconews/sehk/2022/0629/2022062900108.htm","allotment")</ns0:f>
        <ns0:v/>
      </ns0:c>
      <ns0:c r="CA115" s="93">
        <ns0:f>HYPERLINK("https://www1.hkexnews.hk/listedco/listconews/sehk/2022/0722/2022072201214.pdf","stabilisation")</ns0:f>
        <ns0:v/>
      </ns0:c>
      <ns0:c r="CB115" s="94" t="n"/>
      <ns0:c r="CC115" s="74" t="inlineStr">
        <ns0:is>
          <ns0:t>greenshoe: outcome published; expiry date not in the notice; sponsor: English name not in the filing; AAStocks 保薦人 shown; cornerstone list: no cornerstone tranche; greenshoe size: no over-allotment option; stabilising manager: not named in the allotment notice or prospectus glossary; allocation: allocation table not in this notice's format (older prose announcement); day-1 tape: volume on file; the retail multiple needs the final public split, which this notice does not state</ns0:t>
        </ns0:is>
      </ns0:c>
    </ns0:row>
    <ns0:row r="116" ht="22" customHeight="1">
      <ns0:c r="A116" s="73" t="inlineStr">
        <ns0:is>
          <ns0:t>2391</ns0:t>
        </ns0:is>
      </ns0:c>
      <ns0:c r="B116" s="74" t="inlineStr">
        <ns0:is>
          <ns0:t>TUYA-W</ns0:t>
        </ns0:is>
      </ns0:c>
      <ns0:c r="C116" s="74" t="inlineStr">
        <ns0:is>
          <ns0:t>塗鴉智能－Ｗ</ns0:t>
        </ns0:is>
      </ns0:c>
      <ns0:c r="D116" s="74" t="inlineStr">
        <ns0:is>
          <ns0:t>Technology</ns0:t>
        </ns0:is>
      </ns0:c>
      <ns0:c r="E116" s="74" t="inlineStr">
        <ns0:is>
          <ns0:t>Software &amp; AI</ns0:t>
        </ns0:is>
      </ns0:c>
      <ns0:c r="F116" s="74" t="inlineStr">
        <ns0:is>
          <ns0:t>Systems Software</ns0:t>
        </ns0:is>
      </ns0:c>
      <ns0:c r="G116" s="74" t="inlineStr">
        <ns0:is>
          <ns0:t>WVR</ns0:t>
        </ns0:is>
      </ns0:c>
      <ns0:c r="H116" s="75" t="n">
        <ns0:v>44747</ns0:v>
      </ns0:c>
      <ns0:c r="I116" s="76" t="n">
        <ns0:v>140.9</ns0:v>
      </ns0:c>
      <ns0:c r="J116" s="74" t="inlineStr">
        <ns0:is>
          <ns0:t>gross (price x shares)</ns0:t>
        </ns0:is>
      </ns0:c>
      <ns0:c r="K116" s="95" t="n"/>
      <ns0:c r="L116" s="77" t="n">
        <ns0:v>22.8</ns0:v>
      </ns0:c>
      <ns0:c r="M116" s="77" t="n">
        <ns0:v>19.3</ns0:v>
      </ns0:c>
      <ns0:c r="N116" s="74" t="inlineStr">
        <ns0:is>
          <ns0:t>N</ns0:t>
        </ns0:is>
      </ns0:c>
      <ns0:c r="O116" s="78" t="n">
        <ns0:v>84.59999999999999</ns0:v>
      </ns0:c>
      <ns0:c r="P116" s="84" t="n"/>
      <ns0:c r="Q116" s="79" t="n">
        <ns0:v>13190.9</ns0:v>
      </ns0:c>
      <ns0:c r="R116" s="74" t="inlineStr">
        <ns0:is>
          <ns0:t>prospectus:stated market capitalisation</ns0:t>
        </ns0:is>
      </ns0:c>
      <ns0:c r="S116" s="80" t="n">
        <ns0:v>9.949999999999999</ns0:v>
      </ns0:c>
      <ns0:c r="T116" s="81" t="n">
        <ns0:v>1.3</ns0:v>
      </ns0:c>
      <ns0:c r="U116" s="82" t="n">
        <ns0:v>0</ns0:v>
      </ns0:c>
      <ns0:c r="V116" s="83" t="n">
        <ns0:v>103</ns0:v>
      </ns0:c>
      <ns0:c r="W116" s="84" t="n"/>
      <ns0:c r="X116" s="85" t="n"/>
      <ns0:c r="Y116" s="79" t="n">
        <ns0:v>140.9</ns0:v>
      </ns0:c>
      <ns0:c r="Z116" s="79" t="n">
        <ns0:v>7300000</ns0:v>
      </ns0:c>
      <ns0:c r="AA116" s="78" t="n">
        <ns0:v>1.07</ns0:v>
      </ns0:c>
      <ns0:c r="AB116" s="74" t="inlineStr">
        <ns0:is>
          <ns0:t>none — no cornerstone tranche</ns0:t>
        </ns0:is>
      </ns0:c>
      <ns0:c r="AC116" s="74" t="inlineStr">
        <ns0:is>
          <ns0:t>none</ns0:t>
        </ns0:is>
      </ns0:c>
      <ns0:c r="AD116" s="78" t="n">
        <ns0:v>10.33</ns0:v>
      </ns0:c>
      <ns0:c r="AE116" s="74" t="inlineStr">
        <ns0:is>
          <ns0:t>lapsed</ns0:t>
        </ns0:is>
      </ns0:c>
      <ns0:c r="AF116" s="85" t="n"/>
      <ns0:c r="AG116" s="74" t="inlineStr">
        <ns0:is>
          <ns0:t>Morgan Stanley Asia Limited</ns0:t>
        </ns0:is>
      </ns0:c>
      <ns0:c r="AH116" s="74" t="inlineStr">
        <ns0:is>
          <ns0:t>Morgan Stanley</ns0:t>
        </ns0:is>
      </ns0:c>
      <ns0:c r="AI116" s="86" t="n">
        <ns0:v>1.66</ns0:v>
      </ns0:c>
      <ns0:c r="AJ116" s="87" t="n">
        <ns0:v>0</ns0:v>
      </ns0:c>
      <ns0:c r="AK116" s="87" t="n">
        <ns0:v>-0.58</ns0:v>
      </ns0:c>
      <ns0:c r="AL116" s="87" t="n">
        <ns0:v>1.35</ns0:v>
      </ns0:c>
      <ns0:c r="AM116" s="87" t="n">
        <ns0:v>-1.33</ns0:v>
      </ns0:c>
      <ns0:c r="AN116" s="88" t="n"/>
      <ns0:c r="AO116" s="78" t="n">
        <ns0:v>3.27</ns0:v>
      </ns0:c>
      <ns0:c r="AP116" s="87" t="n">
        <ns0:v>-2.07</ns0:v>
      </ns0:c>
      <ns0:c r="AQ116" s="87" t="n">
        <ns0:v>-30.05</ns0:v>
      </ns0:c>
      <ns0:c r="AR116" s="87" t="n">
        <ns0:v>-60.62</ns0:v>
      </ns0:c>
      <ns0:c r="AS116" s="87" t="n">
        <ns0:v>-2.07</ns0:v>
      </ns0:c>
      <ns0:c r="AT116" s="87" t="n">
        <ns0:v>-30.05</ns0:v>
      </ns0:c>
      <ns0:c r="AU116" s="87" t="n">
        <ns0:v>-60.62</ns0:v>
      </ns0:c>
      <ns0:c r="AV116" s="87" t="n">
        <ns0:v>5.15</ns0:v>
      </ns0:c>
      <ns0:c r="AW116" s="87" t="n">
        <ns0:v>-16.97</ns0:v>
      </ns0:c>
      <ns0:c r="AX116" s="87" t="n">
        <ns0:v>-30.77</ns0:v>
      </ns0:c>
      <ns0:c r="AY116" s="87" t="n">
        <ns0:v>-17.48</ns0:v>
      </ns0:c>
      <ns0:c r="AZ116" s="87" t="n">
        <ns0:v>-13.08</ns0:v>
      </ns0:c>
      <ns0:c r="BA116" s="87" t="n">
        <ns0:v>-12.57</ns0:v>
      </ns0:c>
      <ns0:c r="BB116" s="74" t="inlineStr">
        <ns0:is>
          <ns0:t>HSTECH (Hang Seng TECH ETF)</ns0:t>
        </ns0:is>
      </ns0:c>
      <ns0:c r="BC116" s="87" t="n">
        <ns0:v>-32.54</ns0:v>
      </ns0:c>
      <ns0:c r="BD116" s="75" t="n">
        <ns0:v>46297</ns0:v>
      </ns0:c>
      <ns0:c r="BE116" s="76" t="n">
        <ns0:v>2356.2</ns0:v>
      </ns0:c>
      <ns0:c r="BF116" s="79" t="n">
        <ns0:v>-1368.3</ns0:v>
      </ns0:c>
      <ns0:c r="BG116" s="74" t="inlineStr">
        <ns0:is>
          <ns0:t>N</ns0:t>
        </ns0:is>
      </ns0:c>
      <ns0:c r="BH116" s="74" t="inlineStr">
        <ns0:is>
          <ns0:t>n/m</ns0:t>
        </ns0:is>
      </ns0:c>
      <ns0:c r="BI116" s="88" t="n"/>
      <ns0:c r="BJ116" s="88" t="n"/>
      <ns0:c r="BK116" s="89" t="n">
        <ns0:v>5.6</ns0:v>
      </ns0:c>
      <ns0:c r="BL116" s="90">
        <ns0:f>IFERROR(IF('BBG Verify'!S116="","Awaiting Bloomberg",'BBG Verify'!S116),"Awaiting Bloomberg")</ns0:f>
        <ns0:v/>
      </ns0:c>
      <ns0:c r="BM116" s="91" t="inlineStr">
        <ns0:is>
          <ns0:t>N</ns0:t>
        </ns0:is>
      </ns0:c>
      <ns0:c r="BN116" s="92">
        <ns0:f>IFERROR(IF('BBG Verify'!K116="","Awaiting Bloomberg",'BBG Verify'!K116),"Awaiting Bloomberg")</ns0:f>
        <ns0:v/>
      </ns0:c>
      <ns0:c r="BO116" s="74" t="inlineStr">
        <ns0:is>
          <ns0:t>N/A</ns0:t>
        </ns0:is>
      </ns0:c>
      <ns0:c r="BP116" s="74" t="inlineStr">
        <ns0:is>
          <ns0:t>N/A</ns0:t>
        </ns0:is>
      </ns0:c>
      <ns0:c r="BQ116" s="74" t="inlineStr">
        <ns0:is>
          <ns0:t>N/A</ns0:t>
        </ns0:is>
      </ns0:c>
      <ns0:c r="BR116" s="74" t="inlineStr">
        <ns0:is>
          <ns0:t>N/A</ns0:t>
        </ns0:is>
      </ns0:c>
      <ns0:c r="BS116" s="74" t="inlineStr">
        <ns0:is>
          <ns0:t>N/A</ns0:t>
        </ns0:is>
      </ns0:c>
      <ns0:c r="BT116" s="74" t="inlineStr">
        <ns0:is>
          <ns0:t>N/A</ns0:t>
        </ns0:is>
      </ns0:c>
      <ns0:c r="BU116" s="91" t="inlineStr">
        <ns0:is>
          <ns0:t>China International Capital Corporation Hong Kong Securities Limited; Merrill Lynch (Asia Pacific) Limited; Morgan Stanley Asia Limited</ns0:t>
        </ns0:is>
      </ns0:c>
      <ns0:c r="BV116" s="74" t="inlineStr">
        <ns0:is>
          <ns0:t>China International Capital Corporation Hong Kong Securities Limited; Morgan Stanley Asia Limited; Merrill Lynch (Asia Pacific) Limited</ns0:t>
        </ns0:is>
      </ns0:c>
      <ns0:c r="BW116" s="74" t="inlineStr">
        <ns0:is>
          <ns0:t>China International Capital Corporation Hong Kong Securities Limited; Morgan Stanley Asia Limited; Merrill Lynch (Asia Pacific) Limited; CMB International Capital Limited; Tiger Brokers (HK) Global Limited</ns0:t>
        </ns0:is>
      </ns0:c>
      <ns0:c r="BX116" s="74" t="inlineStr">
        <ns0:is>
          <ns0:t>China International Capital Corporation Hong Kong Securities Limited; CMB International Capital Corporation Limited; Merrill Lynch (Asia Pacific) Limited; Morgan Stanley Asia Limited; Tiger Brokers (HK) Global Limited</ns0:t>
        </ns0:is>
      </ns0:c>
      <ns0:c r="BY116" s="93">
        <ns0:f>HYPERLINK("https://www1.hkexnews.hk/listedco/listconews/sehk/2022/0622/2022062200189.pdf","prospectus")</ns0:f>
        <ns0:v/>
      </ns0:c>
      <ns0:c r="BZ116" s="93">
        <ns0:f>HYPERLINK("https://www1.hkexnews.hk/listedco/listconews/sehk/2022/0704/2022070400032.htm","allotment")</ns0:f>
        <ns0:v/>
      </ns0:c>
      <ns0:c r="CA116" s="93">
        <ns0:f>HYPERLINK("https://www1.hkexnews.hk/listedco/listconews/sehk/2022/0727/2022072701192.pdf","stabilisation")</ns0:f>
        <ns0:v/>
      </ns0:c>
      <ns0:c r="CB116" s="94" t="n"/>
      <ns0:c r="CC116" s="74" t="inlineStr">
        <ns0:is>
          <ns0:t>P/E: loss-making at IPO, use P/S; greenshoe: outcome published; expiry date not in the notice; range low: maximum offer price only, no floor published; cornerstone list: no cornerstone tranche; allocation: allocation table not in this notice's format (older prose announcement); day-1 tape: volume on file; the retail multiple needs the final public split, which this notice does not state</ns0:t>
        </ns0:is>
      </ns0:c>
    </ns0:row>
    <ns0:row r="117" ht="22" customHeight="1">
      <ns0:c r="A117" s="73" t="inlineStr">
        <ns0:is>
          <ns0:t>9955</ns0:t>
        </ns0:is>
      </ns0:c>
      <ns0:c r="B117" s="74" t="inlineStr">
        <ns0:is>
          <ns0:t>CLOUDR</ns0:t>
        </ns0:is>
      </ns0:c>
      <ns0:c r="C117" s="74" t="inlineStr">
        <ns0:is>
          <ns0:t>智雲健康</ns0:t>
        </ns0:is>
      </ns0:c>
      <ns0:c r="D117" s="74" t="inlineStr">
        <ns0:is>
          <ns0:t>Healthcare</ns0:t>
        </ns0:is>
      </ns0:c>
      <ns0:c r="E117" s="74" t="inlineStr">
        <ns0:is>
          <ns0:t>Digital health</ns0:t>
        </ns0:is>
      </ns0:c>
      <ns0:c r="F117" s="74" t="inlineStr">
        <ns0:is>
          <ns0:t>Health Care Equipment</ns0:t>
        </ns0:is>
      </ns0:c>
      <ns0:c r="G117" s="74" t="inlineStr">
        <ns0:is>
          <ns0:t>Standard</ns0:t>
        </ns0:is>
      </ns0:c>
      <ns0:c r="H117" s="75" t="n">
        <ns0:v>44748</ns0:v>
      </ns0:c>
      <ns0:c r="I117" s="76" t="n">
        <ns0:v>579.5</ns0:v>
      </ns0:c>
      <ns0:c r="J117" s="74" t="inlineStr">
        <ns0:is>
          <ns0:t>gross (price x shares)</ns0:t>
        </ns0:is>
      </ns0:c>
      <ns0:c r="K117" s="95" t="n"/>
      <ns0:c r="L117" s="77" t="n">
        <ns0:v>30.5</ns0:v>
      </ns0:c>
      <ns0:c r="M117" s="77" t="n">
        <ns0:v>30.5</ns0:v>
      </ns0:c>
      <ns0:c r="N117" s="74" t="inlineStr">
        <ns0:is>
          <ns0:t>Y</ns0:t>
        </ns0:is>
      </ns0:c>
      <ns0:c r="O117" s="78" t="n">
        <ns0:v>100</ns0:v>
      </ns0:c>
      <ns0:c r="P117" s="84" t="n"/>
      <ns0:c r="Q117" s="79" t="n">
        <ns0:v>17896</ns0:v>
      </ns0:c>
      <ns0:c r="R117" s="74" t="inlineStr">
        <ns0:is>
          <ns0:t>press:sina/雷峰网 2022-07: 收28.2港元 市值165.54亿</ns0:t>
        </ns0:is>
      </ns0:c>
      <ns0:c r="S117" s="80" t="n">
        <ns0:v>7.89</ns0:v>
      </ns0:c>
      <ns0:c r="T117" s="81" t="n">
        <ns0:v>2.15</ns0:v>
      </ns0:c>
      <ns0:c r="U117" s="82" t="n">
        <ns0:v>60.96</ns0:v>
      </ns0:c>
      <ns0:c r="V117" s="83" t="n">
        <ns0:v>194</ns0:v>
      </ns0:c>
      <ns0:c r="W117" s="84" t="n"/>
      <ns0:c r="X117" s="85" t="n"/>
      <ns0:c r="Y117" s="79" t="n">
        <ns0:v>226.24</ns0:v>
      </ns0:c>
      <ns0:c r="Z117" s="79" t="n">
        <ns0:v>7417600</ns0:v>
      </ns0:c>
      <ns0:c r="AA117" s="78" t="n">
        <ns0:v>1.26</ns0:v>
      </ns0:c>
      <ns0:c r="AB117" s="74" t="inlineStr">
        <ns0:is>
          <ns0:t>Harvest International Premium Value (Secondary Market) Fund SPC; Sanofi Foreign Participations B.V; Tasly International Capital Limited; Yangtze River (Hong Kong) Limited</ns0:t>
        </ns0:is>
      </ns0:c>
      <ns0:c r="AC117" s="74" t="inlineStr">
        <ns0:is>
          <ns0:t>harvest;sanofi;tasly;yangtze</ns0:t>
        </ns0:is>
      </ns0:c>
      <ns0:c r="AD117" s="78" t="n">
        <ns0:v>15.23</ns0:v>
      </ns0:c>
      <ns0:c r="AE117" s="74" t="inlineStr">
        <ns0:is>
          <ns0:t>lapsed</ns0:t>
        </ns0:is>
      </ns0:c>
      <ns0:c r="AF117" s="74" t="inlineStr">
        <ns0:is>
          <ns0:t>2022-07-28</ns0:t>
        </ns0:is>
      </ns0:c>
      <ns0:c r="AG117" s="74" t="inlineStr">
        <ns0:is>
          <ns0:t>Morgan Stanley Asia Limited</ns0:t>
        </ns0:is>
      </ns0:c>
      <ns0:c r="AH117" s="74" t="inlineStr">
        <ns0:is>
          <ns0:t>Morgan Stanley</ns0:t>
        </ns0:is>
      </ns0:c>
      <ns0:c r="AI117" s="86" t="n">
        <ns0:v>-0.33</ns0:v>
      </ns0:c>
      <ns0:c r="AJ117" s="87" t="n">
        <ns0:v>-7.54</ns0:v>
      </ns0:c>
      <ns0:c r="AK117" s="87" t="n">
        <ns0:v>-1.81</ns0:v>
      </ns0:c>
      <ns0:c r="AL117" s="87" t="n">
        <ns0:v>0</ns0:v>
      </ns0:c>
      <ns0:c r="AM117" s="87" t="n">
        <ns0:v>-7.54</ns0:v>
      </ns0:c>
      <ns0:c r="AN117" s="88" t="n"/>
      <ns0:c r="AO117" s="78" t="n">
        <ns0:v>20.82</ns0:v>
      </ns0:c>
      <ns0:c r="AP117" s="87" t="n">
        <ns0:v>-9.84</ns0:v>
      </ns0:c>
      <ns0:c r="AQ117" s="87" t="n">
        <ns0:v>-33.77</ns0:v>
      </ns0:c>
      <ns0:c r="AR117" s="87" t="n">
        <ns0:v>-54.43</ns0:v>
      </ns0:c>
      <ns0:c r="AS117" s="87" t="n">
        <ns0:v>-2.49</ns0:v>
      </ns0:c>
      <ns0:c r="AT117" s="87" t="n">
        <ns0:v>-28.37</ns0:v>
      </ns0:c>
      <ns0:c r="AU117" s="87" t="n">
        <ns0:v>-50.71</ns0:v>
      </ns0:c>
      <ns0:c r="AV117" s="87" t="n">
        <ns0:v>-2.59</ns0:v>
      </ns0:c>
      <ns0:c r="AW117" s="87" t="n">
        <ns0:v>-20.96</ns0:v>
      </ns0:c>
      <ns0:c r="AX117" s="87" t="n">
        <ns0:v>-30.06</ns0:v>
      </ns0:c>
      <ns0:c r="AY117" s="87" t="n">
        <ns0:v>-17.17</ns0:v>
      </ns0:c>
      <ns0:c r="AZ117" s="87" t="n">
        <ns0:v>-12.81</ns0:v>
      </ns0:c>
      <ns0:c r="BA117" s="87" t="n">
        <ns0:v>-11.2</ns0:v>
      </ns0:c>
      <ns0:c r="BB117" s="74" t="inlineStr">
        <ns0:is>
          <ns0:t>China Biotech ETF (HS biotech proxy)</ns0:t>
        </ns0:is>
      </ns0:c>
      <ns0:c r="BC117" s="87" t="n">
        <ns0:v>-98.45999999999999</ns0:v>
      </ns0:c>
      <ns0:c r="BD117" s="75" t="n">
        <ns0:v>46297</ns0:v>
      </ns0:c>
      <ns0:c r="BE117" s="98" t="n"/>
      <ns0:c r="BF117" s="97" t="n"/>
      <ns0:c r="BG117" s="85" t="n"/>
      <ns0:c r="BH117" s="90">
        <ns0:f>IFERROR(IF('BBG Verify'!O117="","Awaiting Bloomberg",'BBG Verify'!O117),"Awaiting Bloomberg")</ns0:f>
        <ns0:v/>
      </ns0:c>
      <ns0:c r="BI117" s="88" t="n"/>
      <ns0:c r="BJ117" s="88" t="n"/>
      <ns0:c r="BK117" s="88" t="n"/>
      <ns0:c r="BL117" s="90">
        <ns0:f>IFERROR(IF('BBG Verify'!S117="","Awaiting Bloomberg",'BBG Verify'!S117),"Awaiting Bloomberg")</ns0:f>
        <ns0:v/>
      </ns0:c>
      <ns0:c r="BM117" s="91" t="inlineStr">
        <ns0:is>
          <ns0:t>N</ns0:t>
        </ns0:is>
      </ns0:c>
      <ns0:c r="BN117" s="92">
        <ns0:f>IFERROR(IF('BBG Verify'!K117="","Awaiting Bloomberg",'BBG Verify'!K117),"Awaiting Bloomberg")</ns0:f>
        <ns0:v/>
      </ns0:c>
      <ns0:c r="BO117" s="74" t="inlineStr">
        <ns0:is>
          <ns0:t>N/A</ns0:t>
        </ns0:is>
      </ns0:c>
      <ns0:c r="BP117" s="74" t="inlineStr">
        <ns0:is>
          <ns0:t>N/A</ns0:t>
        </ns0:is>
      </ns0:c>
      <ns0:c r="BQ117" s="74" t="inlineStr">
        <ns0:is>
          <ns0:t>N/A</ns0:t>
        </ns0:is>
      </ns0:c>
      <ns0:c r="BR117" s="74" t="inlineStr">
        <ns0:is>
          <ns0:t>N/A</ns0:t>
        </ns0:is>
      </ns0:c>
      <ns0:c r="BS117" s="74" t="inlineStr">
        <ns0:is>
          <ns0:t>N/A</ns0:t>
        </ns0:is>
      </ns0:c>
      <ns0:c r="BT117" s="74" t="inlineStr">
        <ns0:is>
          <ns0:t>N/A</ns0:t>
        </ns0:is>
      </ns0:c>
      <ns0:c r="BU117" s="91" t="inlineStr">
        <ns0:is>
          <ns0:t>Morgan Stanley Asia Limited; J.P. Morgan Securities (Far East) Limited; J.P. Morgan Securities (Asia Pacific) Limited; China International Capital Corporation Hong Kong Securities Limited</ns0:t>
        </ns0:is>
      </ns0:c>
      <ns0:c r="BV117" s="74" t="inlineStr">
        <ns0:is>
          <ns0:t>Morgan Stanley Asia Limited; J.P. Morgan Securities (Far East) Limited</ns0:t>
        </ns0:is>
      </ns0:c>
      <ns0:c r="BW117" s="74" t="inlineStr">
        <ns0:is>
          <ns0:t>Morgan Stanley Asia Limited; J.P. Morgan Securities (Asia Pacific) Limited; China International Capital Corporation Hong Kong Securities Limited; CMB International Capital Limited; J.P. Morgan Securities plc; Valuable Capital Limited</ns0:t>
        </ns0:is>
      </ns0:c>
      <ns0:c r="BX117" s="74" t="inlineStr">
        <ns0:is>
          <ns0:t>China International Capital Corporation Hong Kong Securities Limited; CMB International Capital Limited; J.P. Morgan Securities (Asia Pacific) Limited; Morgan Stanley Asia Limited; Valuable Capital Limited</ns0:t>
        </ns0:is>
      </ns0:c>
      <ns0:c r="BY117" s="93">
        <ns0:f>HYPERLINK("https://www1.hkexnews.hk/listedco/listconews/sehk/2022/0623/2022062300064.htm","prospectus")</ns0:f>
        <ns0:v/>
      </ns0:c>
      <ns0:c r="BZ117" s="93">
        <ns0:f>HYPERLINK("https://www1.hkexnews.hk/listedco/listconews/sehk/2022/0705/2022070500012.htm","allotment")</ns0:f>
        <ns0:v/>
      </ns0:c>
      <ns0:c r="CA117" s="93">
        <ns0:f>HYPERLINK("https://www1.hkexnews.hk/listedco/listconews/sehk/2022/0728/2022072801570.pdf","stabilisation")</ns0:f>
        <ns0:v/>
      </ns0:c>
      <ns0:c r="CB117" s="94" t="n"/>
      <ns0:c r="CC117" s="74" t="inlineStr">
        <ns0:is>
          <ns0:t>P/E: net income not extractable; price range: fixed-price offering (no indicative range); range low: maximum offer price only, no floor published; P/S: revenue not extractable; financials: not extractable; pre-IPO year outside the AAStocks window; allocation: allocation table not in this notice's format (older prose announcement); day-1 tape: volume on file; the retail multiple needs the final public split, which this notice does not state</ns0:t>
        </ns0:is>
      </ns0:c>
    </ns0:row>
    <ns0:row r="118" ht="22" customHeight="1">
      <ns0:c r="A118" s="73" t="inlineStr">
        <ns0:is>
          <ns0:t>2376</ns0:t>
        </ns0:is>
      </ns0:c>
      <ns0:c r="B118" s="74" t="inlineStr">
        <ns0:is>
          <ns0:t>LUSHANGSERVICES</ns0:t>
        </ns0:is>
      </ns0:c>
      <ns0:c r="C118" s="74" t="inlineStr">
        <ns0:is>
          <ns0:t>魯商服務</ns0:t>
        </ns0:is>
      </ns0:c>
      <ns0:c r="D118" s="74" t="inlineStr">
        <ns0:is>
          <ns0:t>Real Estate</ns0:t>
        </ns0:is>
      </ns0:c>
      <ns0:c r="E118" s="74" t="inlineStr">
        <ns0:is>
          <ns0:t>Property management</ns0:t>
        </ns0:is>
      </ns0:c>
      <ns0:c r="F118" s="74" t="inlineStr">
        <ns0:is>
          <ns0:t>Property Service and Management</ns0:t>
        </ns0:is>
      </ns0:c>
      <ns0:c r="G118" s="74" t="inlineStr">
        <ns0:is>
          <ns0:t>Standard</ns0:t>
        </ns0:is>
      </ns0:c>
      <ns0:c r="H118" s="75" t="n">
        <ns0:v>44750</ns0:v>
      </ns0:c>
      <ns0:c r="I118" s="76" t="n">
        <ns0:v>197.4</ns0:v>
      </ns0:c>
      <ns0:c r="J118" s="74" t="inlineStr">
        <ns0:is>
          <ns0:t>gross (price x shares)</ns0:t>
        </ns0:is>
      </ns0:c>
      <ns0:c r="K118" s="77" t="n">
        <ns0:v>5.3</ns0:v>
      </ns0:c>
      <ns0:c r="L118" s="77" t="n">
        <ns0:v>7.92</ns0:v>
      </ns0:c>
      <ns0:c r="M118" s="77" t="n">
        <ns0:v>5.92</ns0:v>
      </ns0:c>
      <ns0:c r="N118" s="74" t="inlineStr">
        <ns0:is>
          <ns0:t>N</ns0:t>
        </ns0:is>
      </ns0:c>
      <ns0:c r="O118" s="78" t="n">
        <ns0:v>74.7</ns0:v>
      </ns0:c>
      <ns0:c r="P118" s="78" t="n">
        <ns0:v>23.7</ns0:v>
      </ns0:c>
      <ns0:c r="Q118" s="79" t="n">
        <ns0:v>967.9</ns0:v>
      </ns0:c>
      <ns0:c r="R118" s="74" t="inlineStr">
        <ns0:is>
          <ns0:t>aastocks:上市市值 at the struck price</ns0:t>
        </ns0:is>
      </ns0:c>
      <ns0:c r="S118" s="80" t="n">
        <ns0:v>7.39</ns0:v>
      </ns0:c>
      <ns0:c r="T118" s="81" t="n">
        <ns0:v>1.2</ns0:v>
      </ns0:c>
      <ns0:c r="U118" s="82" t="n">
        <ns0:v>0</ns0:v>
      </ns0:c>
      <ns0:c r="V118" s="83" t="n">
        <ns0:v>125</ns0:v>
      </ns0:c>
      <ns0:c r="W118" s="84" t="n"/>
      <ns0:c r="X118" s="85" t="n"/>
      <ns0:c r="Y118" s="79" t="n">
        <ns0:v>197.4</ns0:v>
      </ns0:c>
      <ns0:c r="Z118" s="79" t="n">
        <ns0:v>33340000</ns0:v>
      </ns0:c>
      <ns0:c r="AA118" s="78" t="n">
        <ns0:v>20.39</ns0:v>
      </ns0:c>
      <ns0:c r="AB118" s="74" t="inlineStr">
        <ns0:is>
          <ns0:t>none — no cornerstone tranche</ns0:t>
        </ns0:is>
      </ns0:c>
      <ns0:c r="AC118" s="74" t="inlineStr">
        <ns0:is>
          <ns0:t>none</ns0:t>
        </ns0:is>
      </ns0:c>
      <ns0:c r="AD118" s="78" t="n">
        <ns0:v>15</ns0:v>
      </ns0:c>
      <ns0:c r="AE118" s="74" t="inlineStr">
        <ns0:is>
          <ns0:t>lapsed</ns0:t>
        </ns0:is>
      </ns0:c>
      <ns0:c r="AF118" s="74" t="inlineStr">
        <ns0:is>
          <ns0:t>2022-07-30</ns0:t>
        </ns0:is>
      </ns0:c>
      <ns0:c r="AG118" s="74" t="inlineStr">
        <ns0:is>
          <ns0:t>ABCI Securities Company Limited</ns0:t>
        </ns0:is>
      </ns0:c>
      <ns0:c r="AH118" s="74" t="inlineStr">
        <ns0:is>
          <ns0:t>ABCI</ns0:t>
        </ns0:is>
      </ns0:c>
      <ns0:c r="AI118" s="86" t="n">
        <ns0:v>-4.73</ns0:v>
      </ns0:c>
      <ns0:c r="AJ118" s="87" t="n">
        <ns0:v>-25.17</ns0:v>
      </ns0:c>
      <ns0:c r="AK118" s="87" t="n">
        <ns0:v>0.97</ns0:v>
      </ns0:c>
      <ns0:c r="AL118" s="87" t="n">
        <ns0:v>-15.37</ns0:v>
      </ns0:c>
      <ns0:c r="AM118" s="87" t="n">
        <ns0:v>-11.58</ns0:v>
      </ns0:c>
      <ns0:c r="AN118" s="88" t="n"/>
      <ns0:c r="AO118" s="78" t="n">
        <ns0:v>20.56</ns0:v>
      </ns0:c>
      <ns0:c r="AP118" s="87" t="n">
        <ns0:v>-39.19</ns0:v>
      </ns0:c>
      <ns0:c r="AQ118" s="87" t="n">
        <ns0:v>-57.43</ns0:v>
      </ns0:c>
      <ns0:c r="AR118" s="87" t="n">
        <ns0:v>-60.3</ns0:v>
      </ns0:c>
      <ns0:c r="AS118" s="87" t="n">
        <ns0:v>-18.74</ns0:v>
      </ns0:c>
      <ns0:c r="AT118" s="87" t="n">
        <ns0:v>-43.11</ns0:v>
      </ns0:c>
      <ns0:c r="AU118" s="87" t="n">
        <ns0:v>-46.95</ns0:v>
      </ns0:c>
      <ns0:c r="AV118" s="87" t="n">
        <ns0:v>-31.5</ns0:v>
      </ns0:c>
      <ns0:c r="AW118" s="87" t="n">
        <ns0:v>-46.54</ns0:v>
      </ns0:c>
      <ns0:c r="AX118" s="87" t="n">
        <ns0:v>-41.93</ns0:v>
      </ns0:c>
      <ns0:c r="AY118" s="87" t="n">
        <ns0:v>-31.36</ns0:v>
      </ns0:c>
      <ns0:c r="AZ118" s="87" t="n">
        <ns0:v>-10.89</ns0:v>
      </ns0:c>
      <ns0:c r="BA118" s="87" t="n">
        <ns0:v>-11.75</ns0:v>
      </ns0:c>
      <ns0:c r="BB118" s="74" t="inlineStr">
        <ns0:is>
          <ns0:t>Hang Seng Properties sub-index</ns0:t>
        </ns0:is>
      </ns0:c>
      <ns0:c r="BC118" s="87" t="n">
        <ns0:v>-61.49</ns0:v>
      </ns0:c>
      <ns0:c r="BD118" s="75" t="n">
        <ns0:v>46297</ns0:v>
      </ns0:c>
      <ns0:c r="BE118" s="76" t="n">
        <ns0:v>641.1</ns0:v>
      </ns0:c>
      <ns0:c r="BF118" s="79" t="n">
        <ns0:v>84.7</ns0:v>
      </ns0:c>
      <ns0:c r="BG118" s="74" t="inlineStr">
        <ns0:is>
          <ns0:t>Y</ns0:t>
        </ns0:is>
      </ns0:c>
      <ns0:c r="BH118" s="89" t="n">
        <ns0:v>11.4</ns0:v>
      </ns0:c>
      <ns0:c r="BI118" s="88" t="n"/>
      <ns0:c r="BJ118" s="89" t="n">
        <ns0:v>7.4</ns0:v>
      </ns0:c>
      <ns0:c r="BK118" s="89" t="n">
        <ns0:v>1.5</ns0:v>
      </ns0:c>
      <ns0:c r="BL118" s="90">
        <ns0:f>IFERROR(IF('BBG Verify'!S118="","Awaiting Bloomberg",'BBG Verify'!S118),"Awaiting Bloomberg")</ns0:f>
        <ns0:v/>
      </ns0:c>
      <ns0:c r="BM118" s="91" t="inlineStr">
        <ns0:is>
          <ns0:t>N</ns0:t>
        </ns0:is>
      </ns0:c>
      <ns0:c r="BN118" s="92">
        <ns0:f>IFERROR(IF('BBG Verify'!K118="","Awaiting Bloomberg",'BBG Verify'!K118),"Awaiting Bloomberg")</ns0:f>
        <ns0:v/>
      </ns0:c>
      <ns0:c r="BO118" s="74" t="inlineStr">
        <ns0:is>
          <ns0:t>N/A</ns0:t>
        </ns0:is>
      </ns0:c>
      <ns0:c r="BP118" s="74" t="inlineStr">
        <ns0:is>
          <ns0:t>N/A</ns0:t>
        </ns0:is>
      </ns0:c>
      <ns0:c r="BQ118" s="74" t="inlineStr">
        <ns0:is>
          <ns0:t>N/A</ns0:t>
        </ns0:is>
      </ns0:c>
      <ns0:c r="BR118" s="74" t="inlineStr">
        <ns0:is>
          <ns0:t>N/A</ns0:t>
        </ns0:is>
      </ns0:c>
      <ns0:c r="BS118" s="74" t="inlineStr">
        <ns0:is>
          <ns0:t>N/A</ns0:t>
        </ns0:is>
      </ns0:c>
      <ns0:c r="BT118" s="74" t="inlineStr">
        <ns0:is>
          <ns0:t>N/A</ns0:t>
        </ns0:is>
      </ns0:c>
      <ns0:c r="BU118" s="91" t="inlineStr">
        <ns0:is>
          <ns0:t>ABCI Capital Limited</ns0:t>
        </ns0:is>
      </ns0:c>
      <ns0:c r="BV118" s="74" t="inlineStr">
        <ns0:is>
          <ns0:t>ABCI Capital Limited</ns0:t>
        </ns0:is>
      </ns0:c>
      <ns0:c r="BW118" s="74" t="inlineStr">
        <ns0:is>
          <ns0:t>ABCI Capital Limited; Zhongtai International Securities Limited; China International Capital Corporation Hong Kong Securities Limited; GF Securities (Hong Kong) Brokerage Limited; Guotai Junan Securities (Hong Kong) Limited; CMBC Securities Company Limited; Yue Xiu Securities Company Limited; China Chengtong (Hong Kong) Asset Management Company Limited; Fortune (HK) Securities Limited; Eddid Securities and Futures Limited</ns0:t>
        </ns0:is>
      </ns0:c>
      <ns0:c r="BX118" s="74" t="inlineStr">
        <ns0:is>
          <ns0: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ns0:t>
        </ns0:is>
      </ns0:c>
      <ns0:c r="BY118" s="93">
        <ns0:f>HYPERLINK("https://www1.hkexnews.hk/listedco/listconews/sehk/2022/0627/2022062700017.pdf","prospectus")</ns0:f>
        <ns0:v/>
      </ns0:c>
      <ns0:c r="BZ118" s="93">
        <ns0:f>HYPERLINK("https://www1.hkexnews.hk/listedco/listconews/sehk/2022/0707/2022070700020.htm","allotment")</ns0:f>
        <ns0:v/>
      </ns0:c>
      <ns0:c r="CA118" s="93">
        <ns0:f>HYPERLINK("https://www1.hkexnews.hk/listedco/listconews/sehk/2022/0801/2022080101943.pdf","stabilisation")</ns0:f>
        <ns0:v/>
      </ns0:c>
      <ns0:c r="CB118" s="94" t="n"/>
      <ns0:c r="CC118" s="74" t="inlineStr">
        <ns0:is>
          <ns0:t>cornerstone list: no cornerstone tranche; allocation: allocation table not in this notice's format (older prose announcement); day-1 tape: volume on file; the retail multiple needs the final public split, which this notice does not state</ns0:t>
        </ns0:is>
      </ns0:c>
    </ns0:row>
    <ns0:row r="119" ht="22" customHeight="1">
      <ns0:c r="A119" s="73" t="inlineStr">
        <ns0:is>
          <ns0:t>2392</ns0:t>
        </ns0:is>
      </ns0:c>
      <ns0:c r="B119" s="74" t="inlineStr">
        <ns0:is>
          <ns0:t>XUANWU CLOUD</ns0:t>
        </ns0:is>
      </ns0:c>
      <ns0:c r="C119" s="74" t="inlineStr">
        <ns0:is>
          <ns0:t>玄武雲</ns0:t>
        </ns0:is>
      </ns0:c>
      <ns0:c r="D119" s="74" t="inlineStr">
        <ns0:is>
          <ns0:t>Technology</ns0:t>
        </ns0:is>
      </ns0:c>
      <ns0:c r="E119" s="74" t="inlineStr">
        <ns0:is>
          <ns0:t>Software &amp; AI</ns0:t>
        </ns0:is>
      </ns0:c>
      <ns0:c r="F119" s="74" t="inlineStr">
        <ns0:is>
          <ns0:t>Systems Software</ns0:t>
        </ns0:is>
      </ns0:c>
      <ns0:c r="G119" s="74" t="inlineStr">
        <ns0:is>
          <ns0:t>Standard</ns0:t>
        </ns0:is>
      </ns0:c>
      <ns0:c r="H119" s="75" t="n">
        <ns0:v>44750</ns0:v>
      </ns0:c>
      <ns0:c r="I119" s="76" t="n">
        <ns0:v>214.6</ns0:v>
      </ns0:c>
      <ns0:c r="J119" s="74" t="inlineStr">
        <ns0:is>
          <ns0:t>gross (price x shares)</ns0:t>
        </ns0:is>
      </ns0:c>
      <ns0:c r="K119" s="77" t="n">
        <ns0:v>4.93</ns0:v>
      </ns0:c>
      <ns0:c r="L119" s="77" t="n">
        <ns0:v>6.91</ns0:v>
      </ns0:c>
      <ns0:c r="M119" s="77" t="n">
        <ns0:v>6.24</ns0:v>
      </ns0:c>
      <ns0:c r="N119" s="74" t="inlineStr">
        <ns0:is>
          <ns0:t>N</ns0:t>
        </ns0:is>
      </ns0:c>
      <ns0:c r="O119" s="78" t="n">
        <ns0:v>90.3</ns0:v>
      </ns0:c>
      <ns0:c r="P119" s="78" t="n">
        <ns0:v>66.2</ns0:v>
      </ns0:c>
      <ns0:c r="Q119" s="79" t="n">
        <ns0:v>3871.8</ns0:v>
      </ns0:c>
      <ns0:c r="R119" s="74" t="inlineStr">
        <ns0:is>
          <ns0:t>aastocks:上市市值 at the struck price</ns0:t>
        </ns0:is>
      </ns0:c>
      <ns0:c r="S119" s="80" t="n">
        <ns0:v>42.13</ns0:v>
      </ns0:c>
      <ns0:c r="T119" s="81" t="n">
        <ns0:v>2.09</ns0:v>
      </ns0:c>
      <ns0:c r="U119" s="82" t="n">
        <ns0:v>27.2</ns0:v>
      </ns0:c>
      <ns0:c r="V119" s="83" t="n">
        <ns0:v>107</ns0:v>
      </ns0:c>
      <ns0:c r="W119" s="78" t="n">
        <ns0:v>30</ns0:v>
      </ns0:c>
      <ns0:c r="X119" s="74" t="inlineStr">
        <ns0:is>
          <ns0:t>YES</ns0:t>
        </ns0:is>
      </ns0:c>
      <ns0:c r="Y119" s="79" t="n">
        <ns0:v>156.23</ns0:v>
      </ns0:c>
      <ns0:c r="Z119" s="79" t="n">
        <ns0:v>25036284</ns0:v>
      </ns0:c>
      <ns0:c r="AA119" s="78" t="n">
        <ns0:v>4.04</ns0:v>
      </ns0:c>
      <ns0:c r="AB119" s="74" t="inlineStr">
        <ns0:is>
          <ns0:t>Colorful Cloud</ns0:t>
        </ns0:is>
      </ns0:c>
      <ns0:c r="AC119" s="74" t="inlineStr">
        <ns0:is>
          <ns0:t>colorful</ns0:t>
        </ns0:is>
      </ns0:c>
      <ns0:c r="AD119" s="78" t="n">
        <ns0:v>5.62</ns0:v>
      </ns0:c>
      <ns0:c r="AE119" s="74" t="inlineStr">
        <ns0:is>
          <ns0:t>lapsed</ns0:t>
        </ns0:is>
      </ns0:c>
      <ns0:c r="AF119" s="74" t="inlineStr">
        <ns0:is>
          <ns0:t>2022-07-30</ns0:t>
        </ns0:is>
      </ns0:c>
      <ns0:c r="AG119" s="74" t="inlineStr">
        <ns0:is>
          <ns0:t>CMB International Global Markets Limited</ns0:t>
        </ns0:is>
      </ns0:c>
      <ns0:c r="AH119" s="74" t="inlineStr">
        <ns0:is>
          <ns0:t>CMB</ns0:t>
        </ns0:is>
      </ns0:c>
      <ns0:c r="AI119" s="86" t="n">
        <ns0:v>-0.64</ns0:v>
      </ns0:c>
      <ns0:c r="AJ119" s="87" t="n">
        <ns0:v>0.64</ns0:v>
      </ns0:c>
      <ns0:c r="AK119" s="87" t="n">
        <ns0:v>0.72</ns0:v>
      </ns0:c>
      <ns0:c r="AL119" s="87" t="n">
        <ns0:v>0</ns0:v>
      </ns0:c>
      <ns0:c r="AM119" s="87" t="n">
        <ns0:v>0.64</ns0:v>
      </ns0:c>
      <ns0:c r="AN119" s="89" t="n">
        <ns0:v>1.15</ns0:v>
      </ns0:c>
      <ns0:c r="AO119" s="78" t="n">
        <ns0:v>10.26</ns0:v>
      </ns0:c>
      <ns0:c r="AP119" s="87" t="n">
        <ns0:v>-7.05</ns0:v>
      </ns0:c>
      <ns0:c r="AQ119" s="87" t="n">
        <ns0:v>4.17</ns0:v>
      </ns0:c>
      <ns0:c r="AR119" s="87" t="n">
        <ns0:v>-3.21</ns0:v>
      </ns0:c>
      <ns0:c r="AS119" s="87" t="n">
        <ns0:v>-7.64</ns0:v>
      </ns0:c>
      <ns0:c r="AT119" s="87" t="n">
        <ns0:v>3.51</ns0:v>
      </ns0:c>
      <ns0:c r="AU119" s="87" t="n">
        <ns0:v>-3.83</ns0:v>
      </ns0:c>
      <ns0:c r="AV119" s="87" t="n">
        <ns0:v>-0.33</ns0:v>
      </ns0:c>
      <ns0:c r="AW119" s="87" t="n">
        <ns0:v>12.94</ns0:v>
      </ns0:c>
      <ns0:c r="AX119" s="87" t="n">
        <ns0:v>22.36</ns0:v>
      </ns0:c>
      <ns0:c r="AY119" s="87" t="n">
        <ns0:v>12.93</ns0:v>
      </ns0:c>
      <ns0:c r="AZ119" s="87" t="n">
        <ns0:v>-8.77</ns0:v>
      </ns0:c>
      <ns0:c r="BA119" s="87" t="n">
        <ns0:v>-9.42</ns0:v>
      </ns0:c>
      <ns0:c r="BB119" s="74" t="inlineStr">
        <ns0:is>
          <ns0:t>HSTECH (Hang Seng TECH ETF)</ns0:t>
        </ns0:is>
      </ns0:c>
      <ns0:c r="BC119" s="87" t="n">
        <ns0:v>-84.13</ns0:v>
      </ns0:c>
      <ns0:c r="BD119" s="75" t="n">
        <ns0:v>46297</ns0:v>
      </ns0:c>
      <ns0:c r="BE119" s="76" t="n">
        <ns0:v>876.4</ns0:v>
      </ns0:c>
      <ns0:c r="BF119" s="79" t="n">
        <ns0:v>32.2</ns0:v>
      </ns0:c>
      <ns0:c r="BG119" s="74" t="inlineStr">
        <ns0:is>
          <ns0:t>Y</ns0:t>
        </ns0:is>
      </ns0:c>
      <ns0:c r="BH119" s="89" t="n">
        <ns0:v>120.2</ns0:v>
      </ns0:c>
      <ns0:c r="BI119" s="88" t="n"/>
      <ns0:c r="BJ119" s="88" t="n"/>
      <ns0:c r="BK119" s="89" t="n">
        <ns0:v>4.4</ns0:v>
      </ns0:c>
      <ns0:c r="BL119" s="90">
        <ns0:f>IFERROR(IF('BBG Verify'!S119="","Awaiting Bloomberg",'BBG Verify'!S119),"Awaiting Bloomberg")</ns0:f>
        <ns0:v/>
      </ns0:c>
      <ns0:c r="BM119" s="91" t="inlineStr">
        <ns0:is>
          <ns0:t>N</ns0:t>
        </ns0:is>
      </ns0:c>
      <ns0:c r="BN119" s="92">
        <ns0:f>IFERROR(IF('BBG Verify'!K119="","Awaiting Bloomberg",'BBG Verify'!K119),"Awaiting Bloomberg")</ns0:f>
        <ns0:v/>
      </ns0:c>
      <ns0:c r="BO119" s="74" t="inlineStr">
        <ns0:is>
          <ns0:t>N/A</ns0:t>
        </ns0:is>
      </ns0:c>
      <ns0:c r="BP119" s="74" t="inlineStr">
        <ns0:is>
          <ns0:t>N/A</ns0:t>
        </ns0:is>
      </ns0:c>
      <ns0:c r="BQ119" s="74" t="inlineStr">
        <ns0:is>
          <ns0:t>N/A</ns0:t>
        </ns0:is>
      </ns0:c>
      <ns0:c r="BR119" s="74" t="inlineStr">
        <ns0:is>
          <ns0:t>N/A</ns0:t>
        </ns0:is>
      </ns0:c>
      <ns0:c r="BS119" s="74" t="inlineStr">
        <ns0:is>
          <ns0:t>N/A</ns0:t>
        </ns0:is>
      </ns0:c>
      <ns0:c r="BT119" s="74" t="inlineStr">
        <ns0:is>
          <ns0:t>N/A</ns0:t>
        </ns0:is>
      </ns0:c>
      <ns0:c r="BU119" s="91" t="inlineStr">
        <ns0:is>
          <ns0:t>CMB International Capital Limited</ns0:t>
        </ns0:is>
      </ns0:c>
      <ns0:c r="BV119" s="74" t="inlineStr">
        <ns0:is>
          <ns0:t>CMB International Capital Corporation Limited</ns0:t>
        </ns0:is>
      </ns0:c>
      <ns0:c r="BW119" s="74" t="inlineStr">
        <ns0:is>
          <ns0:t>CMB International Capital Limited; Huatai Financial Holdings (Hong Kong) Limited; CLSA Limited; Guotai Junan Securities (Hong Kong) Limited; Citrus Securities Limited</ns0:t>
        </ns0:is>
      </ns0:c>
      <ns0:c r="BX119" s="74" t="inlineStr">
        <ns0:is>
          <ns0:t>Citrus Securities Limited; CLSA Limited; CMB International Capital Limited; Guotai Junan Securities (Hong Kong) Limited; Huatai Financial Holdings (Hong Kong) Limited; Livermore Holdings Limited</ns0:t>
        </ns0:is>
      </ns0:c>
      <ns0:c r="BY119" s="93">
        <ns0:f>HYPERLINK("https://www1.hkexnews.hk/listedco/listconews/sehk/2022/0624/2022062400033.pdf","prospectus")</ns0:f>
        <ns0:v/>
      </ns0:c>
      <ns0:c r="BZ119" s="93">
        <ns0:f>HYPERLINK("https://www1.hkexnews.hk/listedco/listconews/sehk/2022/0707/2022070700032.htm","allotment")</ns0:f>
        <ns0:v/>
      </ns0:c>
      <ns0:c r="CA119" s="93">
        <ns0:f>HYPERLINK("https://www1.hkexnews.hk/listedco/listconews/sehk/2022/0731/2022073100021.pdf","stabilisation")</ns0:f>
        <ns0:v/>
      </ns0:c>
      <ns0:c r="CB119" s="94" t="n"/>
      <ns0:c r="CC119" s="74" t="inlineStr">
        <ns0:is>
          <ns0:t>market cap: published listing cap used; the estimate from stated market capitalisation disagreed</ns0:t>
        </ns0:is>
      </ns0:c>
    </ns0:row>
    <ns0:row r="120" ht="22" customHeight="1">
      <ns0:c r="A120" s="73" t="inlineStr">
        <ns0:is>
          <ns0:t>2297</ns0:t>
        </ns0:is>
      </ns0:c>
      <ns0:c r="B120" s="74" t="inlineStr">
        <ns0:is>
          <ns0:t>RAINMED-B</ns0:t>
        </ns0:is>
      </ns0:c>
      <ns0:c r="C120" s="74" t="inlineStr">
        <ns0:is>
          <ns0:t>潤邁德－Ｂ</ns0:t>
        </ns0:is>
      </ns0:c>
      <ns0:c r="D120" s="74" t="inlineStr">
        <ns0:is>
          <ns0:t>Healthcare</ns0:t>
        </ns0:is>
      </ns0:c>
      <ns0:c r="E120" s="74" t="inlineStr">
        <ns0:is>
          <ns0:t>Medical devices</ns0:t>
        </ns0:is>
      </ns0:c>
      <ns0:c r="F120" s="74" t="inlineStr">
        <ns0:is>
          <ns0:t>Biotechnology - Medical Devices</ns0:t>
        </ns0:is>
      </ns0:c>
      <ns0:c r="G120" s="74" t="inlineStr">
        <ns0:is>
          <ns0:t>18A</ns0:t>
        </ns0:is>
      </ns0:c>
      <ns0:c r="H120" s="75" t="n">
        <ns0:v>44750</ns0:v>
      </ns0:c>
      <ns0:c r="I120" s="76" t="n">
        <ns0:v>145.7</ns0:v>
      </ns0:c>
      <ns0:c r="J120" s="74" t="inlineStr">
        <ns0:is>
          <ns0:t>gross (price x shares)</ns0:t>
        </ns0:is>
      </ns0:c>
      <ns0:c r="K120" s="95" t="n"/>
      <ns0:c r="L120" s="77" t="n">
        <ns0:v>6.24</ns0:v>
      </ns0:c>
      <ns0:c r="M120" s="77" t="n">
        <ns0:v>6.24</ns0:v>
      </ns0:c>
      <ns0:c r="N120" s="74" t="inlineStr">
        <ns0:is>
          <ns0:t>Y</ns0:t>
        </ns0:is>
      </ns0:c>
      <ns0:c r="O120" s="78" t="n">
        <ns0:v>100</ns0:v>
      </ns0:c>
      <ns0:c r="P120" s="84" t="n"/>
      <ns0:c r="Q120" s="79" t="n">
        <ns0:v>7287.1</ns0:v>
      </ns0:c>
      <ns0:c r="R120" s="74" t="inlineStr">
        <ns0:is>
          <ns0:t>aastocks:上市市值 at the struck price</ns0:t>
        </ns0:is>
      </ns0:c>
      <ns0:c r="S120" s="80" t="n">
        <ns0:v>6.35</ns0:v>
      </ns0:c>
      <ns0:c r="T120" s="81" t="n">
        <ns0:v>1.34</ns0:v>
      </ns0:c>
      <ns0:c r="U120" s="82" t="n">
        <ns0:v>0</ns0:v>
      </ns0:c>
      <ns0:c r="V120" s="83" t="n">
        <ns0:v>154</ns0:v>
      </ns0:c>
      <ns0:c r="W120" s="84" t="n"/>
      <ns0:c r="X120" s="85" t="n"/>
      <ns0:c r="Y120" s="79" t="n">
        <ns0:v>145.7</ns0:v>
      </ns0:c>
      <ns0:c r="Z120" s="79" t="n">
        <ns0:v>23348000</ns0:v>
      </ns0:c>
      <ns0:c r="AA120" s="78" t="n">
        <ns0:v>2</ns0:v>
      </ns0:c>
      <ns0:c r="AB120" s="74" t="inlineStr">
        <ns0:is>
          <ns0:t>none — no cornerstone tranche</ns0:t>
        </ns0:is>
      </ns0:c>
      <ns0:c r="AC120" s="74" t="inlineStr">
        <ns0:is>
          <ns0:t>none</ns0:t>
        </ns0:is>
      </ns0:c>
      <ns0:c r="AD120" s="78" t="n">
        <ns0:v>18.4</ns0:v>
      </ns0:c>
      <ns0:c r="AE120" s="74" t="inlineStr">
        <ns0:is>
          <ns0:t>partial</ns0:t>
        </ns0:is>
      </ns0:c>
      <ns0:c r="AF120" s="74" t="inlineStr">
        <ns0:is>
          <ns0:t>2022-07-30</ns0:t>
        </ns0:is>
      </ns0:c>
      <ns0:c r="AG120" s="74" t="inlineStr">
        <ns0:is>
          <ns0:t>Huatai Financial Holdings</ns0:t>
        </ns0:is>
      </ns0:c>
      <ns0:c r="AH120" s="74" t="inlineStr">
        <ns0:is>
          <ns0:t>Huatai</ns0:t>
        </ns0:is>
      </ns0:c>
      <ns0:c r="AI120" s="86" t="n">
        <ns0:v>-0.64</ns0:v>
      </ns0:c>
      <ns0:c r="AJ120" s="87" t="n">
        <ns0:v>-15.38</ns0:v>
      </ns0:c>
      <ns0:c r="AK120" s="87" t="n">
        <ns0:v>-0.63</ns0:v>
      </ns0:c>
      <ns0:c r="AL120" s="87" t="n">
        <ns0:v>-10.26</ns0:v>
      </ns0:c>
      <ns0:c r="AM120" s="87" t="n">
        <ns0:v>-5.71</ns0:v>
      </ns0:c>
      <ns0:c r="AN120" s="88" t="n"/>
      <ns0:c r="AO120" s="78" t="n">
        <ns0:v>19.64</ns0:v>
      </ns0:c>
      <ns0:c r="AP120" s="87" t="n">
        <ns0:v>-18.11</ns0:v>
      </ns0:c>
      <ns0:c r="AQ120" s="87" t="n">
        <ns0:v>-33.49</ns0:v>
      </ns0:c>
      <ns0:c r="AR120" s="87" t="n">
        <ns0:v>-52.88</ns0:v>
      </ns0:c>
      <ns0:c r="AS120" s="87" t="n">
        <ns0:v>-3.23</ns0:v>
      </ns0:c>
      <ns0:c r="AT120" s="87" t="n">
        <ns0:v>-21.4</ns0:v>
      </ns0:c>
      <ns0:c r="AU120" s="87" t="n">
        <ns0:v>-44.32</ns0:v>
      </ns0:c>
      <ns0:c r="AV120" s="87" t="n">
        <ns0:v>-13.29</ns0:v>
      </ns0:c>
      <ns0:c r="AW120" s="87" t="n">
        <ns0:v>-25.89</ns0:v>
      </ns0:c>
      <ns0:c r="AX120" s="87" t="n">
        <ns0:v>-28.65</ns0:v>
      </ns0:c>
      <ns0:c r="AY120" s="87" t="n">
        <ns0:v>-14.38</ns0:v>
      </ns0:c>
      <ns0:c r="AZ120" s="87" t="n">
        <ns0:v>-7.6</ns0:v>
      </ns0:c>
      <ns0:c r="BA120" s="87" t="n">
        <ns0:v>-7.02</ns0:v>
      </ns0:c>
      <ns0:c r="BB120" s="74" t="inlineStr">
        <ns0:is>
          <ns0:t>China Biotech ETF (HS biotech proxy)</ns0:t>
        </ns0:is>
      </ns0:c>
      <ns0:c r="BC120" s="87" t="n">
        <ns0:v>-97.52</ns0:v>
      </ns0:c>
      <ns0:c r="BD120" s="75" t="n">
        <ns0:v>46297</ns0:v>
      </ns0:c>
      <ns0:c r="BE120" s="76" t="n">
        <ns0:v>89.3</ns0:v>
      </ns0:c>
      <ns0:c r="BF120" s="79" t="n">
        <ns0:v>-697</ns0:v>
      </ns0:c>
      <ns0:c r="BG120" s="74" t="inlineStr">
        <ns0:is>
          <ns0:t>N</ns0:t>
        </ns0:is>
      </ns0:c>
      <ns0:c r="BH120" s="74" t="inlineStr">
        <ns0:is>
          <ns0:t>n/m</ns0:t>
        </ns0:is>
      </ns0:c>
      <ns0:c r="BI120" s="88" t="n"/>
      <ns0:c r="BJ120" s="88" t="n"/>
      <ns0:c r="BK120" s="89" t="n">
        <ns0:v>81.59999999999999</ns0:v>
      </ns0:c>
      <ns0:c r="BL120" s="90">
        <ns0:f>IFERROR(IF('BBG Verify'!S120="","Awaiting Bloomberg",'BBG Verify'!S120),"Awaiting Bloomberg")</ns0:f>
        <ns0:v/>
      </ns0:c>
      <ns0:c r="BM120" s="91" t="inlineStr">
        <ns0:is>
          <ns0:t>N</ns0:t>
        </ns0:is>
      </ns0:c>
      <ns0:c r="BN120" s="92">
        <ns0:f>IFERROR(IF('BBG Verify'!K120="","Awaiting Bloomberg",'BBG Verify'!K120),"Awaiting Bloomberg")</ns0:f>
        <ns0:v/>
      </ns0:c>
      <ns0:c r="BO120" s="74" t="inlineStr">
        <ns0:is>
          <ns0:t>N/A</ns0:t>
        </ns0:is>
      </ns0:c>
      <ns0:c r="BP120" s="74" t="inlineStr">
        <ns0:is>
          <ns0:t>N/A</ns0:t>
        </ns0:is>
      </ns0:c>
      <ns0:c r="BQ120" s="74" t="inlineStr">
        <ns0:is>
          <ns0:t>N/A</ns0:t>
        </ns0:is>
      </ns0:c>
      <ns0:c r="BR120" s="74" t="inlineStr">
        <ns0:is>
          <ns0:t>N/A</ns0:t>
        </ns0:is>
      </ns0:c>
      <ns0:c r="BS120" s="74" t="inlineStr">
        <ns0:is>
          <ns0:t>N/A</ns0:t>
        </ns0:is>
      </ns0:c>
      <ns0:c r="BT120" s="74" t="inlineStr">
        <ns0:is>
          <ns0:t>N/A</ns0:t>
        </ns0:is>
      </ns0:c>
      <ns0:c r="BU120" s="91" t="inlineStr">
        <ns0:is>
          <ns0:t>Huatai Financial Holdings (Hong Kong) Limited</ns0:t>
        </ns0:is>
      </ns0:c>
      <ns0:c r="BV120" s="74" t="inlineStr">
        <ns0:is>
          <ns0:t>Huatai Financial Holdings (Hong Kong) Limited</ns0:t>
        </ns0:is>
      </ns0:c>
      <ns0:c r="BW120" s="74" t="inlineStr">
        <ns0:is>
          <ns0:t>Huatai Financial Holdings (Hong Kong) Limited; Zhongtai International Securities Limited; BOCOM International Securities Limited; Eddid Securities and Futures Limited</ns0:t>
        </ns0:is>
      </ns0:c>
      <ns0:c r="BX120" s="74" t="inlineStr">
        <ns0:is>
          <ns0:t>Beta International Securities Limited; Eddid Securities and Futures Limited; Huatai Financial Holdings (Hong Kong) Limited; Livermore Holdings Limited; Zhongtai International Securities Limited</ns0:t>
        </ns0:is>
      </ns0:c>
      <ns0:c r="BY120" s="93">
        <ns0:f>HYPERLINK("https://www1.hkexnews.hk/listedco/listconews/sehk/2022/0627/2022062700021.pdf","prospectus")</ns0:f>
        <ns0:v/>
      </ns0:c>
      <ns0:c r="BZ120" s="93">
        <ns0:f>HYPERLINK("https://www1.hkexnews.hk/listedco/listconews/sehk/2022/0707/2022070700056.htm","allotment")</ns0:f>
        <ns0:v/>
      </ns0:c>
      <ns0:c r="CA120" s="93">
        <ns0:f>HYPERLINK("https://www1.hkexnews.hk/listedco/listconews/sehk/2022/0801/2022080100005.pdf","stabilisation")</ns0:f>
        <ns0:v/>
      </ns0:c>
      <ns0:c r="CB120" s="94" t="n"/>
      <ns0:c r="CC120" s="74" t="inlineStr">
        <ns0:is>
          <ns0:t>P/E: loss-making at IPO, use P/S; range low: maximum offer price only, no floor published; market cap: published listing cap used; the estimate from stated market capitalisation disagreed; cornerstone list: no cornerstone tranche; allocation: allocation table not in this notice's format (older prose announcement); day-1 tape: volume on file; the retail multiple needs the final public split, which this notice does not state</ns0:t>
        </ns0:is>
      </ns0:c>
    </ns0:row>
    <ns0:row r="121" ht="22" customHeight="1">
      <ns0:c r="A121" s="73" t="inlineStr">
        <ns0:is>
          <ns0:t>2361</ns0:t>
        </ns0:is>
      </ns0:c>
      <ns0:c r="B121" s="74" t="inlineStr">
        <ns0:is>
          <ns0:t>SINOHEALTH HLDG</ns0:t>
        </ns0:is>
      </ns0:c>
      <ns0:c r="C121" s="74" t="inlineStr">
        <ns0:is>
          <ns0:t>中康科技控股</ns0:t>
        </ns0:is>
      </ns0:c>
      <ns0:c r="D121" s="74" t="inlineStr">
        <ns0:is>
          <ns0:t>Healthcare</ns0:t>
        </ns0:is>
      </ns0:c>
      <ns0:c r="E121" s="74" t="inlineStr">
        <ns0:is>
          <ns0:t>Digital health</ns0:t>
        </ns0:is>
      </ns0:c>
      <ns0:c r="F121" s="74" t="inlineStr">
        <ns0:is>
          <ns0:t>Health Care Services</ns0:t>
        </ns0:is>
      </ns0:c>
      <ns0:c r="G121" s="74" t="inlineStr">
        <ns0:is>
          <ns0:t>Standard</ns0:t>
        </ns0:is>
      </ns0:c>
      <ns0:c r="H121" s="75" t="n">
        <ns0:v>44754</ns0:v>
      </ns0:c>
      <ns0:c r="I121" s="76" t="n">
        <ns0:v>402</ns0:v>
      </ns0:c>
      <ns0:c r="J121" s="74" t="inlineStr">
        <ns0:is>
          <ns0:t>gross (price x shares)</ns0:t>
        </ns0:is>
      </ns0:c>
      <ns0:c r="K121" s="77" t="n">
        <ns0:v>5.36</ns0:v>
      </ns0:c>
      <ns0:c r="L121" s="77" t="n">
        <ns0:v>6.96</ns0:v>
      </ns0:c>
      <ns0:c r="M121" s="77" t="n">
        <ns0:v>5.36</ns0:v>
      </ns0:c>
      <ns0:c r="N121" s="74" t="inlineStr">
        <ns0:is>
          <ns0:t>N</ns0:t>
        </ns0:is>
      </ns0:c>
      <ns0:c r="O121" s="78" t="n">
        <ns0:v>77</ns0:v>
      </ns0:c>
      <ns0:c r="P121" s="78" t="n">
        <ns0:v>0</ns0:v>
      </ns0:c>
      <ns0:c r="Q121" s="79" t="n">
        <ns0:v>2978.1</ns0:v>
      </ns0:c>
      <ns0:c r="R121" s="74" t="inlineStr">
        <ns0:is>
          <ns0:t>aastocks:上市市值 at the struck price</ns0:t>
        </ns0:is>
      </ns0:c>
      <ns0:c r="S121" s="80" t="n">
        <ns0:v>2.21</ns0:v>
      </ns0:c>
      <ns0:c r="T121" s="81" t="n">
        <ns0:v>1.36</ns0:v>
      </ns0:c>
      <ns0:c r="U121" s="82" t="n">
        <ns0:v>13.8</ns0:v>
      </ns0:c>
      <ns0:c r="V121" s="83" t="n">
        <ns0:v>137</ns0:v>
      </ns0:c>
      <ns0:c r="W121" s="84" t="n"/>
      <ns0:c r="X121" s="85" t="n"/>
      <ns0:c r="Y121" s="79" t="n">
        <ns0:v>346.52</ns0:v>
      </ns0:c>
      <ns0:c r="Z121" s="79" t="n">
        <ns0:v>64650000</ns0:v>
      </ns0:c>
      <ns0:c r="AA121" s="78" t="n">
        <ns0:v>11.64</ns0:v>
      </ns0:c>
      <ns0:c r="AB121" s="74" t="inlineStr">
        <ns0:is>
          <ns0:t>Baheal Wellness Limited; Kangshi No.1 LP; Luns Family Holdings Limited; Zheng Jingjie</ns0:t>
        </ns0:is>
      </ns0:c>
      <ns0:c r="AC121" s="74" t="inlineStr">
        <ns0:is>
          <ns0:t>baheal;kangshi;luns;zheng-jingjie</ns0:t>
        </ns0:is>
      </ns0:c>
      <ns0:c r="AD121" s="78" t="n">
        <ns0:v>16.6667</ns0:v>
      </ns0:c>
      <ns0:c r="AE121" s="74" t="inlineStr">
        <ns0:is>
          <ns0:t>partial</ns0:t>
        </ns0:is>
      </ns0:c>
      <ns0:c r="AF121" s="85" t="n"/>
      <ns0:c r="AG121" s="74" t="inlineStr">
        <ns0:is>
          <ns0:t>BNP Paribas Securities</ns0:t>
        </ns0:is>
      </ns0:c>
      <ns0:c r="AH121" s="74" t="inlineStr">
        <ns0:is>
          <ns0:t>BNP Paribas</ns0:t>
        </ns0:is>
      </ns0:c>
      <ns0:c r="AI121" s="86" t="n">
        <ns0:v>-14.18</ns0:v>
      </ns0:c>
      <ns0:c r="AJ121" s="87" t="n">
        <ns0:v>0</ns0:v>
      </ns0:c>
      <ns0:c r="AK121" s="87" t="n">
        <ns0:v>-3.13</ns0:v>
      </ns0:c>
      <ns0:c r="AL121" s="87" t="n">
        <ns0:v>-11.57</ns0:v>
      </ns0:c>
      <ns0:c r="AM121" s="87" t="n">
        <ns0:v>13.08</ns0:v>
      </ns0:c>
      <ns0:c r="AN121" s="88" t="n"/>
      <ns0:c r="AO121" s="78" t="n">
        <ns0:v>25.53</ns0:v>
      </ns0:c>
      <ns0:c r="AP121" s="87" t="n">
        <ns0:v>11.94</ns0:v>
      </ns0:c>
      <ns0:c r="AQ121" s="87" t="n">
        <ns0:v>-1.49</ns0:v>
      </ns0:c>
      <ns0:c r="AR121" s="87" t="n">
        <ns0:v>-38.06</ns0:v>
      </ns0:c>
      <ns0:c r="AS121" s="87" t="n">
        <ns0:v>11.94</ns0:v>
      </ns0:c>
      <ns0:c r="AT121" s="87" t="n">
        <ns0:v>-1.49</ns0:v>
      </ns0:c>
      <ns0:c r="AU121" s="87" t="n">
        <ns0:v>-38.06</ns0:v>
      </ns0:c>
      <ns0:c r="AV121" s="87" t="n">
        <ns0:v>15.54</ns0:v>
      </ns0:c>
      <ns0:c r="AW121" s="87" t="n">
        <ns0:v>7.56</ns0:v>
      </ns0:c>
      <ns0:c r="AX121" s="87" t="n">
        <ns0:v>-12.31</ns0:v>
      </ns0:c>
      <ns0:c r="AY121" s="87" t="n">
        <ns0:v>4.62</ns0:v>
      </ns0:c>
      <ns0:c r="AZ121" s="87" t="n">
        <ns0:v>-9.050000000000001</ns0:v>
      </ns0:c>
      <ns0:c r="BA121" s="87" t="n">
        <ns0:v>-6.11</ns0:v>
      </ns0:c>
      <ns0:c r="BB121" s="74" t="inlineStr">
        <ns0:is>
          <ns0:t>China Biotech ETF (HS biotech proxy)</ns0:t>
        </ns0:is>
      </ns0:c>
      <ns0:c r="BC121" s="87" t="n">
        <ns0:v>-23.88</ns0:v>
      </ns0:c>
      <ns0:c r="BD121" s="75" t="n">
        <ns0:v>46297</ns0:v>
      </ns0:c>
      <ns0:c r="BE121" s="76" t="n">
        <ns0:v>356.6</ns0:v>
      </ns0:c>
      <ns0:c r="BF121" s="79" t="n">
        <ns0:v>79.2</ns0:v>
      </ns0:c>
      <ns0:c r="BG121" s="74" t="inlineStr">
        <ns0:is>
          <ns0:t>Y</ns0:t>
        </ns0:is>
      </ns0:c>
      <ns0:c r="BH121" s="89" t="n">
        <ns0:v>37.6</ns0:v>
      </ns0:c>
      <ns0:c r="BI121" s="88" t="n"/>
      <ns0:c r="BJ121" s="89" t="n">
        <ns0:v>22.1</ns0:v>
      </ns0:c>
      <ns0:c r="BK121" s="89" t="n">
        <ns0:v>8.4</ns0:v>
      </ns0:c>
      <ns0:c r="BL121" s="90">
        <ns0:f>IFERROR(IF('BBG Verify'!S121="","Awaiting Bloomberg",'BBG Verify'!S121),"Awaiting Bloomberg")</ns0:f>
        <ns0:v/>
      </ns0:c>
      <ns0:c r="BM121" s="91" t="inlineStr">
        <ns0:is>
          <ns0:t>N</ns0:t>
        </ns0:is>
      </ns0:c>
      <ns0:c r="BN121" s="92">
        <ns0:f>IFERROR(IF('BBG Verify'!K121="","Awaiting Bloomberg",'BBG Verify'!K121),"Awaiting Bloomberg")</ns0:f>
        <ns0:v/>
      </ns0:c>
      <ns0:c r="BO121" s="74" t="inlineStr">
        <ns0:is>
          <ns0:t>N/A</ns0:t>
        </ns0:is>
      </ns0:c>
      <ns0:c r="BP121" s="74" t="inlineStr">
        <ns0:is>
          <ns0:t>N/A</ns0:t>
        </ns0:is>
      </ns0:c>
      <ns0:c r="BQ121" s="74" t="inlineStr">
        <ns0:is>
          <ns0:t>N/A</ns0:t>
        </ns0:is>
      </ns0:c>
      <ns0:c r="BR121" s="74" t="inlineStr">
        <ns0:is>
          <ns0:t>N/A</ns0:t>
        </ns0:is>
      </ns0:c>
      <ns0:c r="BS121" s="74" t="inlineStr">
        <ns0:is>
          <ns0:t>N/A</ns0:t>
        </ns0:is>
      </ns0:c>
      <ns0:c r="BT121" s="74" t="inlineStr">
        <ns0:is>
          <ns0:t>N/A</ns0:t>
        </ns0:is>
      </ns0:c>
      <ns0:c r="BU121" s="91" t="inlineStr">
        <ns0:is>
          <ns0:t>BNP Paribas Securities (Asia) Limited</ns0:t>
        </ns0:is>
      </ns0:c>
      <ns0:c r="BV121" s="74" t="inlineStr">
        <ns0:is>
          <ns0:t>BNP Paribas Securities (Asia) Limited</ns0:t>
        </ns0:is>
      </ns0:c>
      <ns0:c r="BW121" s="74" t="inlineStr">
        <ns0:is>
          <ns0:t>BNP Paribas Securities (Asia) Limited; CCB International Capital Limited; Orient Securities (Hong Kong) Limited</ns0:t>
        </ns0:is>
      </ns0:c>
      <ns0:c r="BX121" s="74" t="inlineStr">
        <ns0:is>
          <ns0: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ns0:t>
        </ns0:is>
      </ns0:c>
      <ns0:c r="BY121" s="93">
        <ns0:f>HYPERLINK("https://www1.hkexnews.hk/listedco/listconews/sehk/2022/0628/2022062800038.pdf","prospectus")</ns0:f>
        <ns0:v/>
      </ns0:c>
      <ns0:c r="BZ121" s="93">
        <ns0:f>HYPERLINK("https://www1.hkexnews.hk/listedco/listconews/sehk/2022/0711/2022071100010.htm","allotment")</ns0:f>
        <ns0:v/>
      </ns0:c>
      <ns0:c r="CA121" s="93">
        <ns0:f>HYPERLINK("https://www1.hkexnews.hk/listedco/listconews/sehk/2022/0804/2022080401926.pdf","stabilisation")</ns0:f>
        <ns0:v/>
      </ns0:c>
      <ns0:c r="CB121" s="94" t="n"/>
      <ns0:c r="CC121" s="74" t="inlineStr">
        <ns0:is>
          <ns0:t>greenshoe: outcome published; expiry date not in the notice; allocation: allocation table not in this notice's format (older prose announcement); day-1 tape: volume on file; the retail multiple needs the final public split, which this notice does not state</ns0:t>
        </ns0:is>
      </ns0:c>
    </ns0:row>
    <ns0:row r="122" ht="22" customHeight="1">
      <ns0:c r="A122" s="73" t="inlineStr">
        <ns0:is>
          <ns0:t>2385</ns0:t>
        </ns0:is>
      </ns0:c>
      <ns0:c r="B122" s="74" t="inlineStr">
        <ns0:is>
          <ns0:t>READBOY</ns0:t>
        </ns0:is>
      </ns0:c>
      <ns0:c r="C122" s="74" t="inlineStr">
        <ns0:is>
          <ns0:t>讀書郎</ns0:t>
        </ns0:is>
      </ns0:c>
      <ns0:c r="D122" s="74" t="inlineStr">
        <ns0:is>
          <ns0:t>Technology</ns0:t>
        </ns0:is>
      </ns0:c>
      <ns0:c r="E122" s="74" t="inlineStr">
        <ns0:is>
          <ns0:t>Hardware &amp; electronics</ns0:t>
        </ns0:is>
      </ns0:c>
      <ns0:c r="F122" s="74" t="inlineStr">
        <ns0:is>
          <ns0:t>Education Services</ns0:t>
        </ns0:is>
      </ns0:c>
      <ns0:c r="G122" s="74" t="inlineStr">
        <ns0:is>
          <ns0:t>Standard</ns0:t>
        </ns0:is>
      </ns0:c>
      <ns0:c r="H122" s="75" t="n">
        <ns0:v>44754</ns0:v>
      </ns0:c>
      <ns0:c r="I122" s="76" t="n">
        <ns0:v>395.2</ns0:v>
      </ns0:c>
      <ns0:c r="J122" s="74" t="inlineStr">
        <ns0:is>
          <ns0:t>gross (price x shares)</ns0:t>
        </ns0:is>
      </ns0:c>
      <ns0:c r="K122" s="77" t="n">
        <ns0:v>7.6</ns0:v>
      </ns0:c>
      <ns0:c r="L122" s="77" t="n">
        <ns0:v>10</ns0:v>
      </ns0:c>
      <ns0:c r="M122" s="77" t="n">
        <ns0:v>7.6</ns0:v>
      </ns0:c>
      <ns0:c r="N122" s="74" t="inlineStr">
        <ns0:is>
          <ns0:t>N</ns0:t>
        </ns0:is>
      </ns0:c>
      <ns0:c r="O122" s="78" t="n">
        <ns0:v>76</ns0:v>
      </ns0:c>
      <ns0:c r="P122" s="78" t="n">
        <ns0:v>0</ns0:v>
      </ns0:c>
      <ns0:c r="Q122" s="79" t="n">
        <ns0:v>3317.2</ns0:v>
      </ns0:c>
      <ns0:c r="R122" s="74" t="inlineStr">
        <ns0:is>
          <ns0:t>aastocks:上市市值 at the struck price</ns0:t>
        </ns0:is>
      </ns0:c>
      <ns0:c r="S122" s="80" t="n">
        <ns0:v>1.73</ns0:v>
      </ns0:c>
      <ns0:c r="T122" s="81" t="n">
        <ns0:v>1.62</ns0:v>
      </ns0:c>
      <ns0:c r="U122" s="82" t="n">
        <ns0:v>54.22</ns0:v>
      </ns0:c>
      <ns0:c r="V122" s="83" t="n">
        <ns0:v>133</ns0:v>
      </ns0:c>
      <ns0:c r="W122" s="84" t="n"/>
      <ns0:c r="X122" s="85" t="n"/>
      <ns0:c r="Y122" s="79" t="n">
        <ns0:v>180.92</ns0:v>
      </ns0:c>
      <ns0:c r="Z122" s="79" t="n">
        <ns0:v>23805600</ns0:v>
      </ns0:c>
      <ns0:c r="AA122" s="78" t="n">
        <ns0:v>5.45</ns0:v>
      </ns0:c>
      <ns0:c r="AB122" s="74" t="inlineStr">
        <ns0:is>
          <ns0:t>Azure Telecommunication; Eastland; Gold Synergy; Gui Chunfang; Jin Tao; Tower Lead; Yang Xiaojie; Zheng Changping</ns0:t>
        </ns0:is>
      </ns0:c>
      <ns0:c r="AC122" s="74" t="inlineStr">
        <ns0:is>
          <ns0:t>azure;eastland;gold;gui;jin-tao;tower;yang-xiaojie;zheng-changping</ns0:t>
        </ns0:is>
      </ns0:c>
      <ns0:c r="AD122" s="78" t="n">
        <ns0:v>15</ns0:v>
      </ns0:c>
      <ns0:c r="AE122" s="74" t="inlineStr">
        <ns0:is>
          <ns0:t>lapsed</ns0:t>
        </ns0:is>
      </ns0:c>
      <ns0:c r="AF122" s="74" t="inlineStr">
        <ns0:is>
          <ns0:t>2022-08-04</ns0:t>
        </ns0:is>
      </ns0:c>
      <ns0:c r="AG122" s="74" t="inlineStr">
        <ns0:is>
          <ns0:t>China Securities</ns0:t>
        </ns0:is>
      </ns0:c>
      <ns0:c r="AH122" s="74" t="inlineStr">
        <ns0:is>
          <ns0:t>China Securities</ns0:t>
        </ns0:is>
      </ns0:c>
      <ns0:c r="AI122" s="86" t="n">
        <ns0:v>-3.03</ns0:v>
      </ns0:c>
      <ns0:c r="AJ122" s="87" t="n">
        <ns0:v>-5.26</ns0:v>
      </ns0:c>
      <ns0:c r="AK122" s="87" t="n">
        <ns0:v>-1.54</ns0:v>
      </ns0:c>
      <ns0:c r="AL122" s="87" t="n">
        <ns0:v>-28.95</ns0:v>
      </ns0:c>
      <ns0:c r="AM122" s="87" t="n">
        <ns0:v>33.34</ns0:v>
      </ns0:c>
      <ns0:c r="AN122" s="88" t="n"/>
      <ns0:c r="AO122" s="78" t="n">
        <ns0:v>37.96</ns0:v>
      </ns0:c>
      <ns0:c r="AP122" s="87" t="n">
        <ns0:v>-3.03</ns0:v>
      </ns0:c>
      <ns0:c r="AQ122" s="87" t="n">
        <ns0:v>-7.89</ns0:v>
      </ns0:c>
      <ns0:c r="AR122" s="87" t="n">
        <ns0:v>-6.32</ns0:v>
      </ns0:c>
      <ns0:c r="AS122" s="87" t="n">
        <ns0:v>2.35</ns0:v>
      </ns0:c>
      <ns0:c r="AT122" s="87" t="n">
        <ns0:v>-2.78</ns0:v>
      </ns0:c>
      <ns0:c r="AU122" s="87" t="n">
        <ns0:v>-1.12</ns0:v>
      </ns0:c>
      <ns0:c r="AV122" s="87" t="n">
        <ns0:v>-1.27</ns0:v>
      </ns0:c>
      <ns0:c r="AW122" s="87" t="n">
        <ns0:v>1.14</ns0:v>
      </ns0:c>
      <ns0:c r="AX122" s="87" t="n">
        <ns0:v>22.53</ns0:v>
      </ns0:c>
      <ns0:c r="AY122" s="87" t="n">
        <ns0:v>4.83</ns0:v>
      </ns0:c>
      <ns0:c r="AZ122" s="87" t="n">
        <ns0:v>-9.029999999999999</ns0:v>
      </ns0:c>
      <ns0:c r="BA122" s="87" t="n">
        <ns0:v>-7.61</ns0:v>
      </ns0:c>
      <ns0:c r="BB122" s="74" t="inlineStr">
        <ns0:is>
          <ns0:t>HSTECH (Hang Seng TECH ETF)</ns0:t>
        </ns0:is>
      </ns0:c>
      <ns0:c r="BC122" s="87" t="n">
        <ns0:v>-39.8</ns0:v>
      </ns0:c>
      <ns0:c r="BD122" s="75" t="n">
        <ns0:v>46297</ns0:v>
      </ns0:c>
      <ns0:c r="BE122" s="76" t="n">
        <ns0:v>894.5</ns0:v>
      </ns0:c>
      <ns0:c r="BF122" s="79" t="n">
        <ns0:v>90.40000000000001</ns0:v>
      </ns0:c>
      <ns0:c r="BG122" s="74" t="inlineStr">
        <ns0:is>
          <ns0:t>Y</ns0:t>
        </ns0:is>
      </ns0:c>
      <ns0:c r="BH122" s="89" t="n">
        <ns0:v>36.7</ns0:v>
      </ns0:c>
      <ns0:c r="BI122" s="88" t="n"/>
      <ns0:c r="BJ122" s="88" t="n"/>
      <ns0:c r="BK122" s="89" t="n">
        <ns0:v>3.7</ns0:v>
      </ns0:c>
      <ns0:c r="BL122" s="90">
        <ns0:f>IFERROR(IF('BBG Verify'!S122="","Awaiting Bloomberg",'BBG Verify'!S122),"Awaiting Bloomberg")</ns0:f>
        <ns0:v/>
      </ns0:c>
      <ns0:c r="BM122" s="91" t="inlineStr">
        <ns0:is>
          <ns0:t>N</ns0:t>
        </ns0:is>
      </ns0:c>
      <ns0:c r="BN122" s="92">
        <ns0:f>IFERROR(IF('BBG Verify'!K122="","Awaiting Bloomberg",'BBG Verify'!K122),"Awaiting Bloomberg")</ns0:f>
        <ns0:v/>
      </ns0:c>
      <ns0:c r="BO122" s="74" t="inlineStr">
        <ns0:is>
          <ns0:t>N/A</ns0:t>
        </ns0:is>
      </ns0:c>
      <ns0:c r="BP122" s="74" t="inlineStr">
        <ns0:is>
          <ns0:t>N/A</ns0:t>
        </ns0:is>
      </ns0:c>
      <ns0:c r="BQ122" s="74" t="inlineStr">
        <ns0:is>
          <ns0:t>N/A</ns0:t>
        </ns0:is>
      </ns0:c>
      <ns0:c r="BR122" s="74" t="inlineStr">
        <ns0:is>
          <ns0:t>N/A</ns0:t>
        </ns0:is>
      </ns0:c>
      <ns0:c r="BS122" s="74" t="inlineStr">
        <ns0:is>
          <ns0:t>N/A</ns0:t>
        </ns0:is>
      </ns0:c>
      <ns0:c r="BT122" s="74" t="inlineStr">
        <ns0:is>
          <ns0:t>N/A</ns0:t>
        </ns0:is>
      </ns0:c>
      <ns0:c r="BU122" s="91" t="inlineStr">
        <ns0:is>
          <ns0:t>China Securities (International) Corporate Finance Company Limited; Macquarie Capital Limited</ns0:t>
        </ns0:is>
      </ns0:c>
      <ns0:c r="BV122" s="74" t="inlineStr">
        <ns0:is>
          <ns0:t>China Securities (International) Corporate Finance Company Limited; Macquarie Capital Limited</ns0:t>
        </ns0:is>
      </ns0:c>
      <ns0:c r="BW122" s="74" t="inlineStr">
        <ns0:is>
          <ns0:t>China Securities (International) Corporate Finance Company Limited; Macquarie Capital Limited</ns0:t>
        </ns0:is>
      </ns0:c>
      <ns0:c r="BX122" s="74" t="inlineStr">
        <ns0:is>
          <ns0: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ns0:t>
        </ns0:is>
      </ns0:c>
      <ns0:c r="BY122" s="93">
        <ns0:f>HYPERLINK("https://www1.hkexnews.hk/listedco/listconews/sehk/2022/0629/2022062900037.pdf","prospectus")</ns0:f>
        <ns0:v/>
      </ns0:c>
      <ns0:c r="BZ122" s="93">
        <ns0:f>HYPERLINK("https://www1.hkexnews.hk/listedco/listconews/sehk/2022/0711/2022071100024.htm","allotment")</ns0:f>
        <ns0:v/>
      </ns0:c>
      <ns0:c r="CA122" s="93">
        <ns0:f>HYPERLINK("https://www1.hkexnews.hk/listedco/listconews/sehk/2022/0804/2022080401924.pdf","stabilisation")</ns0:f>
        <ns0:v/>
      </ns0:c>
      <ns0:c r="CB122" s="94" t="n"/>
      <ns0:c r="CC122" s="74" t="inlineStr">
        <ns0:is>
          <ns0:t>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ns0:t>
        </ns0:is>
      </ns0:c>
    </ns0:row>
    <ns0:row r="123" ht="22" customHeight="1">
      <ns0:c r="A123" s="73" t="inlineStr">
        <ns0:is>
          <ns0:t>9896</ns0:t>
        </ns0:is>
      </ns0:c>
      <ns0:c r="B123" s="74" t="inlineStr">
        <ns0:is>
          <ns0:t>MNSO</ns0:t>
        </ns0:is>
      </ns0:c>
      <ns0:c r="C123" s="74" t="inlineStr">
        <ns0:is>
          <ns0:t>名創優品</ns0:t>
        </ns0:is>
      </ns0:c>
      <ns0:c r="D123" s="74" t="inlineStr">
        <ns0:is>
          <ns0:t>Consumer</ns0:t>
        </ns0:is>
      </ns0:c>
      <ns0:c r="E123" s="74" t="inlineStr">
        <ns0:is>
          <ns0:t>Retail / distribution</ns0:t>
        </ns0:is>
      </ns0:c>
      <ns0:c r="F123" s="74" t="inlineStr">
        <ns0:is>
          <ns0:t>Hypermarkets, Supermarkets &amp; Convenience Stores</ns0:t>
        </ns0:is>
      </ns0:c>
      <ns0:c r="G123" s="74" t="inlineStr">
        <ns0:is>
          <ns0:t>Standard</ns0:t>
        </ns0:is>
      </ns0:c>
      <ns0:c r="H123" s="75" t="n">
        <ns0:v>44755</ns0:v>
      </ns0:c>
      <ns0:c r="I123" s="76" t="n">
        <ns0:v>475.7</ns0:v>
      </ns0:c>
      <ns0:c r="J123" s="74" t="inlineStr">
        <ns0:is>
          <ns0:t>net proceeds</ns0:t>
        </ns0:is>
      </ns0:c>
      <ns0:c r="K123" s="95" t="n"/>
      <ns0:c r="L123" s="77" t="n">
        <ns0:v>13.8</ns0:v>
      </ns0:c>
      <ns0:c r="M123" s="77" t="n">
        <ns0:v>13.8</ns0:v>
      </ns0:c>
      <ns0:c r="N123" s="74" t="inlineStr">
        <ns0:is>
          <ns0:t>Y</ns0:t>
        </ns0:is>
      </ns0:c>
      <ns0:c r="O123" s="78" t="n">
        <ns0:v>100</ns0:v>
      </ns0:c>
      <ns0:c r="P123" s="84" t="n"/>
      <ns0:c r="Q123" s="79" t="n">
        <ns0:v>12856.8</ns0:v>
      </ns0:c>
      <ns0:c r="R123" s="74" t="inlineStr">
        <ns0:is>
          <ns0:t>derived:deal size / offer % of enlarged capital</ns0:t>
        </ns0:is>
      </ns0:c>
      <ns0:c r="S123" s="80" t="n">
        <ns0:v>1.4</ns0:v>
      </ns0:c>
      <ns0:c r="T123" s="81" t="n">
        <ns0:v>4.84</ns0:v>
      </ns0:c>
      <ns0:c r="U123" s="82" t="n">
        <ns0:v>0</ns0:v>
      </ns0:c>
      <ns0:c r="V123" s="83" t="n">
        <ns0:v>123</ns0:v>
      </ns0:c>
      <ns0:c r="W123" s="84" t="n"/>
      <ns0:c r="X123" s="85" t="n"/>
      <ns0:c r="Y123" s="79" t="n">
        <ns0:v>475.7</ns0:v>
      </ns0:c>
      <ns0:c r="Z123" s="97" t="n"/>
      <ns0:c r="AA123" s="78" t="n">
        <ns0:v>3.7</ns0:v>
      </ns0:c>
      <ns0:c r="AB123" s="74" t="inlineStr">
        <ns0:is>
          <ns0:t>none — no cornerstone tranche</ns0:t>
        </ns0:is>
      </ns0:c>
      <ns0:c r="AC123" s="74" t="inlineStr">
        <ns0:is>
          <ns0:t>none</ns0:t>
        </ns0:is>
      </ns0:c>
      <ns0:c r="AD123" s="78" t="n">
        <ns0:v>5</ns0:v>
      </ns0:c>
      <ns0:c r="AE123" s="74" t="inlineStr">
        <ns0:is>
          <ns0:t>partial</ns0:t>
        </ns0:is>
      </ns0:c>
      <ns0:c r="AF123" s="85" t="n"/>
      <ns0:c r="AG123" s="74" t="inlineStr">
        <ns0:is>
          <ns0:t>Merrill Lynch International</ns0:t>
        </ns0:is>
      </ns0:c>
      <ns0:c r="AH123" s="74" t="inlineStr">
        <ns0:is>
          <ns0:t>Merrill Lynch</ns0:t>
        </ns0:is>
      </ns0:c>
      <ns0:c r="AI123" s="86" t="n">
        <ns0:v>-4.35</ns0:v>
      </ns0:c>
      <ns0:c r="AJ123" s="87" t="n">
        <ns0:v>-3.04</ns0:v>
      </ns0:c>
      <ns0:c r="AK123" s="87" t="n">
        <ns0:v>0.18</ns0:v>
      </ns0:c>
      <ns0:c r="AL123" s="87" t="n">
        <ns0:v>-4.35</ns0:v>
      </ns0:c>
      <ns0:c r="AM123" s="87" t="n">
        <ns0:v>1.37</ns0:v>
      </ns0:c>
      <ns0:c r="AN123" s="88" t="n"/>
      <ns0:c r="AO123" s="78" t="n">
        <ns0:v>4.09</ns0:v>
      </ns0:c>
      <ns0:c r="AP123" s="87" t="n">
        <ns0:v>3.77</ns0:v>
      </ns0:c>
      <ns0:c r="AQ123" s="87" t="n">
        <ns0:v>-12.9</ns0:v>
      </ns0:c>
      <ns0:c r="AR123" s="87" t="n">
        <ns0:v>-26.23</ns0:v>
      </ns0:c>
      <ns0:c r="AS123" s="87" t="n">
        <ns0:v>7.02</ns0:v>
      </ns0:c>
      <ns0:c r="AT123" s="87" t="n">
        <ns0:v>-10.17</ns0:v>
      </ns0:c>
      <ns0:c r="AU123" s="87" t="n">
        <ns0:v>-23.92</ns0:v>
      </ns0:c>
      <ns0:c r="AV123" s="87" t="n">
        <ns0:v>1.69</ns0:v>
      </ns0:c>
      <ns0:c r="AW123" s="87" t="n">
        <ns0:v>-9.449999999999999</ns0:v>
      </ns0:c>
      <ns0:c r="AX123" s="87" t="n">
        <ns0:v>-5.92</ns0:v>
      </ns0:c>
      <ns0:c r="AY123" s="87" t="n">
        <ns0:v>-6.55</ns0:v>
      </ns0:c>
      <ns0:c r="AZ123" s="87" t="n">
        <ns0:v>-3.45</ns0:v>
      </ns0:c>
      <ns0:c r="BA123" s="87" t="n">
        <ns0:v>-3.62</ns0:v>
      </ns0:c>
      <ns0:c r="BB123" s="74" t="inlineStr">
        <ns0:is>
          <ns0:t>Hang Seng Commerce &amp; Industry sub-index</ns0:t>
        </ns0:is>
      </ns0:c>
      <ns0:c r="BC123" s="87" t="n">
        <ns0:v>27.61</ns0:v>
      </ns0:c>
      <ns0:c r="BD123" s="75" t="n">
        <ns0:v>46297</ns0:v>
      </ns0:c>
      <ns0:c r="BE123" s="76" t="n">
        <ns0:v>11094.2</ns0:v>
      </ns0:c>
      <ns0:c r="BF123" s="79" t="n">
        <ns0:v>702</ns0:v>
      </ns0:c>
      <ns0:c r="BG123" s="74" t="inlineStr">
        <ns0:is>
          <ns0:t>Y</ns0:t>
        </ns0:is>
      </ns0:c>
      <ns0:c r="BH123" s="89" t="n">
        <ns0:v>18.3</ns0:v>
      </ns0:c>
      <ns0:c r="BI123" s="88" t="n"/>
      <ns0:c r="BJ123" s="88" t="n"/>
      <ns0:c r="BK123" s="89" t="n">
        <ns0:v>1.2</ns0:v>
      </ns0:c>
      <ns0:c r="BL123" s="90">
        <ns0:f>IFERROR(IF('BBG Verify'!S123="","Awaiting Bloomberg",'BBG Verify'!S123),"Awaiting Bloomberg")</ns0:f>
        <ns0:v/>
      </ns0:c>
      <ns0:c r="BM123" s="91" t="inlineStr">
        <ns0:is>
          <ns0:t>N</ns0:t>
        </ns0:is>
      </ns0:c>
      <ns0:c r="BN123" s="92">
        <ns0:f>IFERROR(IF('BBG Verify'!K123="","Awaiting Bloomberg",'BBG Verify'!K123),"Awaiting Bloomberg")</ns0:f>
        <ns0:v/>
      </ns0:c>
      <ns0:c r="BO123" s="74" t="inlineStr">
        <ns0:is>
          <ns0:t>N/A</ns0:t>
        </ns0:is>
      </ns0:c>
      <ns0:c r="BP123" s="74" t="inlineStr">
        <ns0:is>
          <ns0:t>N/A</ns0:t>
        </ns0:is>
      </ns0:c>
      <ns0:c r="BQ123" s="74" t="inlineStr">
        <ns0:is>
          <ns0:t>N/A</ns0:t>
        </ns0:is>
      </ns0:c>
      <ns0:c r="BR123" s="74" t="inlineStr">
        <ns0:is>
          <ns0:t>N/A</ns0:t>
        </ns0:is>
      </ns0:c>
      <ns0:c r="BS123" s="74" t="inlineStr">
        <ns0:is>
          <ns0:t>N/A</ns0:t>
        </ns0:is>
      </ns0:c>
      <ns0:c r="BT123" s="74" t="inlineStr">
        <ns0:is>
          <ns0:t>N/A</ns0:t>
        </ns0:is>
      </ns0:c>
      <ns0:c r="BU123" s="91" t="inlineStr">
        <ns0:is>
          <ns0:t>Merrill Lynch (Asia Pacific) Limited; Haitong International Capital Limited; UBS Securities Hong Kong Limited</ns0:t>
        </ns0:is>
      </ns0:c>
      <ns0:c r="BV123" s="74" t="inlineStr">
        <ns0:is>
          <ns0:t>Haitong International Capital Limited; UBS Securities Hong Kong Limited; Merrill Lynch (Asia Pacific) Limited</ns0:t>
        </ns0:is>
      </ns0:c>
      <ns0:c r="BW123" s="74" t="inlineStr">
        <ns0:is>
          <ns0:t>Merrill Lynch (Asia Pacific) Limited; Haitong International Securities Company Limited; UBS AG Hong Kong Branch; UBS Securities LLC</ns0:t>
        </ns0:is>
      </ns0:c>
      <ns0:c r="BX123" s="74" t="inlineStr">
        <ns0:is>
          <ns0:t>Futu Securities International (Hong Kong) Limited; GF Securities (Hong Kong) Brokerage Limited; Haitong International Securities Company Limited; Merrill Lynch (Asia Pacific) Limited; UBS AG Hong Kong Branch</ns0:t>
        </ns0:is>
      </ns0:c>
      <ns0:c r="BY123" s="93">
        <ns0:f>HYPERLINK("https://www1.hkexnews.hk/listedco/listconews/sehk/2022/0630/2022063000250.htm","prospectus")</ns0:f>
        <ns0:v/>
      </ns0:c>
      <ns0:c r="BZ123" s="93">
        <ns0:f>HYPERLINK("https://www1.hkexnews.hk/listedco/listconews/sehk/2022/0712/2022071200016.htm","allotment")</ns0:f>
        <ns0:v/>
      </ns0:c>
      <ns0:c r="CA123" s="93">
        <ns0:f>HYPERLINK("https://www1.hkexnews.hk/listedco/listconews/sehk/2022/0805/2022080501253.pdf","stabilisation")</ns0:f>
        <ns0:v/>
      </ns0:c>
      <ns0:c r="CB123" s="94" t="n"/>
      <ns0:c r="CC123" s="74" t="inlineStr">
        <ns0:is>
          <ns0:t>greenshoe: outcome published; expiry date not in the notice; price range: fixed-price offering (no indicative range); range low: maximum offer price only, no floor published; cornerstone list: no cornerstone tranche;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124" ht="22" customHeight="1">
      <ns0:c r="A124" s="73" t="inlineStr">
        <ns0:is>
          <ns0:t>6661</ns0:t>
        </ns0:is>
      </ns0:c>
      <ns0:c r="B124" s="74" t="inlineStr">
        <ns0:is>
          <ns0:t>HUZHOU GAS</ns0:t>
        </ns0:is>
      </ns0:c>
      <ns0:c r="C124" s="74" t="inlineStr">
        <ns0:is>
          <ns0:t>湖州燃氣</ns0:t>
        </ns0:is>
      </ns0:c>
      <ns0:c r="D124" s="74" t="inlineStr">
        <ns0:is>
          <ns0:t>Materials/Energy</ns0:t>
        </ns0:is>
      </ns0:c>
      <ns0:c r="E124" s="74" t="inlineStr">
        <ns0:is>
          <ns0:t>Oil &amp; gas / utilities</ns0:t>
        </ns0:is>
      </ns0:c>
      <ns0:c r="F124" s="74" t="inlineStr">
        <ns0:is>
          <ns0:t>Gas Utilities</ns0:t>
        </ns0:is>
      </ns0:c>
      <ns0:c r="G124" s="74" t="inlineStr">
        <ns0:is>
          <ns0:t>Standard</ns0:t>
        </ns0:is>
      </ns0:c>
      <ns0:c r="H124" s="75" t="n">
        <ns0:v>44755</ns0:v>
      </ns0:c>
      <ns0:c r="I124" s="76" t="n">
        <ns0:v>304</ns0:v>
      </ns0:c>
      <ns0:c r="J124" s="74" t="inlineStr">
        <ns0:is>
          <ns0:t>gross (price x shares)</ns0:t>
        </ns0:is>
      </ns0:c>
      <ns0:c r="K124" s="95" t="n"/>
      <ns0:c r="L124" s="77" t="n">
        <ns0:v>6.08</ns0:v>
      </ns0:c>
      <ns0:c r="M124" s="77" t="n">
        <ns0:v>6.08</ns0:v>
      </ns0:c>
      <ns0:c r="N124" s="74" t="inlineStr">
        <ns0:is>
          <ns0:t>Y</ns0:t>
        </ns0:is>
      </ns0:c>
      <ns0:c r="O124" s="78" t="n">
        <ns0:v>100</ns0:v>
      </ns0:c>
      <ns0:c r="P124" s="84" t="n"/>
      <ns0:c r="Q124" s="79" t="n">
        <ns0:v>1097.1</ns0:v>
      </ns0:c>
      <ns0:c r="R124" s="74" t="inlineStr">
        <ns0:is>
          <ns0:t>derived:deal size / offer % of enlarged capital</ns0:t>
        </ns0:is>
      </ns0:c>
      <ns0:c r="S124" s="80" t="n">
        <ns0:v>8.08</ns0:v>
      </ns0:c>
      <ns0:c r="T124" s="81" t="n">
        <ns0:v>1.18</ns0:v>
      </ns0:c>
      <ns0:c r="U124" s="82" t="n">
        <ns0:v>18.9</ns0:v>
      </ns0:c>
      <ns0:c r="V124" s="83" t="n">
        <ns0:v>119</ns0:v>
      </ns0:c>
      <ns0:c r="W124" s="84" t="n"/>
      <ns0:c r="X124" s="85" t="n"/>
      <ns0:c r="Y124" s="79" t="n">
        <ns0:v>246.54</ns0:v>
      </ns0:c>
      <ns0:c r="Z124" s="79" t="n">
        <ns0:v>40550000</ns0:v>
      </ns0:c>
      <ns0:c r="AA124" s="78" t="n">
        <ns0:v>22.47</ns0:v>
      </ns0:c>
      <ns0:c r="AB124" s="74" t="inlineStr">
        <ns0:is>
          <ns0:t>Huzhou Erqing Asset Operation Co., Ltd; Zhejiang Caixu Equity Investment Co., Ltd; Zhejiang Jiening Equity Investment Co., Ltd; Zhejiang Lichen Equity Investment Co., Ltd</ns0:t>
        </ns0:is>
      </ns0:c>
      <ns0:c r="AC124" s="74" t="inlineStr">
        <ns0:is>
          <ns0:t>huzhou;zhejiang</ns0:t>
        </ns0:is>
      </ns0:c>
      <ns0:c r="AD124" s="78" t="n">
        <ns0:v>14.6</ns0:v>
      </ns0:c>
      <ns0:c r="AE124" s="74" t="inlineStr">
        <ns0:is>
          <ns0:t>partial</ns0:t>
        </ns0:is>
      </ns0:c>
      <ns0:c r="AF124" s="74" t="inlineStr">
        <ns0:is>
          <ns0:t>2022-08-04</ns0:t>
        </ns0:is>
      </ns0:c>
      <ns0:c r="AG124" s="74" t="inlineStr">
        <ns0:is>
          <ns0:t>BOCOM International Securities</ns0:t>
        </ns0:is>
      </ns0:c>
      <ns0:c r="AH124" s="74" t="inlineStr">
        <ns0:is>
          <ns0:t>BOCOM</ns0:t>
        </ns0:is>
      </ns0:c>
      <ns0:c r="AI124" s="86" t="n">
        <ns0:v>-8.06</ns0:v>
      </ns0:c>
      <ns0:c r="AJ124" s="87" t="n">
        <ns0:v>-7.89</ns0:v>
      </ns0:c>
      <ns0:c r="AK124" s="87" t="n">
        <ns0:v>0.18</ns0:v>
      </ns0:c>
      <ns0:c r="AL124" s="87" t="n">
        <ns0:v>-1.64</ns0:v>
      </ns0:c>
      <ns0:c r="AM124" s="87" t="n">
        <ns0:v>-6.35</ns0:v>
      </ns0:c>
      <ns0:c r="AN124" s="88" t="n"/>
      <ns0:c r="AO124" s="78" t="n">
        <ns0:v>10.54</ns0:v>
      </ns0:c>
      <ns0:c r="AP124" s="87" t="n">
        <ns0:v>-1.32</ns0:v>
      </ns0:c>
      <ns0:c r="AQ124" s="87" t="n">
        <ns0:v>-9.539999999999999</ns0:v>
      </ns0:c>
      <ns0:c r="AR124" s="87" t="n">
        <ns0:v>-5.43</ns0:v>
      </ns0:c>
      <ns0:c r="AS124" s="87" t="n">
        <ns0:v>7.13</ns0:v>
      </ns0:c>
      <ns0:c r="AT124" s="87" t="n">
        <ns0:v>-1.79</ns0:v>
      </ns0:c>
      <ns0:c r="AU124" s="87" t="n">
        <ns0:v>2.67</ns0:v>
      </ns0:c>
      <ns0:c r="AV124" s="87" t="n">
        <ns0:v>-3.4</ns0:v>
      </ns0:c>
      <ns0:c r="AW124" s="87" t="n">
        <ns0:v>-6.09</ns0:v>
      </ns0:c>
      <ns0:c r="AX124" s="87" t="n">
        <ns0:v>14.88</ns0:v>
      </ns0:c>
      <ns0:c r="AY124" s="87" t="n">
        <ns0:v>1.83</ns0:v>
      </ns0:c>
      <ns0:c r="AZ124" s="87" t="n">
        <ns0:v>-3.45</ns0:v>
      </ns0:c>
      <ns0:c r="BA124" s="87" t="n">
        <ns0:v>-3.62</ns0:v>
      </ns0:c>
      <ns0:c r="BB124" s="74" t="inlineStr">
        <ns0:is>
          <ns0:t>Hang Seng Commerce &amp; Industry sub-index</ns0:t>
        </ns0:is>
      </ns0:c>
      <ns0:c r="BC124" s="87" t="n">
        <ns0:v>-18.59</ns0:v>
      </ns0:c>
      <ns0:c r="BD124" s="75" t="n">
        <ns0:v>46297</ns0:v>
      </ns0:c>
      <ns0:c r="BE124" s="76" t="n">
        <ns0:v>2044.6</ns0:v>
      </ns0:c>
      <ns0:c r="BF124" s="79" t="n">
        <ns0:v>183.4</ns0:v>
      </ns0:c>
      <ns0:c r="BG124" s="74" t="inlineStr">
        <ns0:is>
          <ns0:t>Y</ns0:t>
        </ns0:is>
      </ns0:c>
      <ns0:c r="BH124" s="89" t="n">
        <ns0:v>6</ns0:v>
      </ns0:c>
      <ns0:c r="BI124" s="88" t="n"/>
      <ns0:c r="BJ124" s="89" t="n">
        <ns0:v>9.1</ns0:v>
      </ns0:c>
      <ns0:c r="BK124" s="89" t="n">
        <ns0:v>0.5</ns0:v>
      </ns0:c>
      <ns0:c r="BL124" s="90">
        <ns0:f>IFERROR(IF('BBG Verify'!S124="","Awaiting Bloomberg",'BBG Verify'!S124),"Awaiting Bloomberg")</ns0:f>
        <ns0:v/>
      </ns0:c>
      <ns0:c r="BM124" s="91" t="inlineStr">
        <ns0:is>
          <ns0:t>N</ns0:t>
        </ns0:is>
      </ns0:c>
      <ns0:c r="BN124" s="92">
        <ns0:f>IFERROR(IF('BBG Verify'!K124="","Awaiting Bloomberg",'BBG Verify'!K124),"Awaiting Bloomberg")</ns0:f>
        <ns0:v/>
      </ns0:c>
      <ns0:c r="BO124" s="74" t="inlineStr">
        <ns0:is>
          <ns0:t>N/A</ns0:t>
        </ns0:is>
      </ns0:c>
      <ns0:c r="BP124" s="74" t="inlineStr">
        <ns0:is>
          <ns0:t>N/A</ns0:t>
        </ns0:is>
      </ns0:c>
      <ns0:c r="BQ124" s="74" t="inlineStr">
        <ns0:is>
          <ns0:t>N/A</ns0:t>
        </ns0:is>
      </ns0:c>
      <ns0:c r="BR124" s="74" t="inlineStr">
        <ns0:is>
          <ns0:t>N/A</ns0:t>
        </ns0:is>
      </ns0:c>
      <ns0:c r="BS124" s="74" t="inlineStr">
        <ns0:is>
          <ns0:t>N/A</ns0:t>
        </ns0:is>
      </ns0:c>
      <ns0:c r="BT124" s="74" t="inlineStr">
        <ns0:is>
          <ns0:t>N/A</ns0:t>
        </ns0:is>
      </ns0:c>
      <ns0:c r="BU124" s="91" t="inlineStr">
        <ns0:is>
          <ns0:t>BOCOM International (Asia) Limited</ns0:t>
        </ns0:is>
      </ns0:c>
      <ns0:c r="BV124" s="74" t="inlineStr">
        <ns0:is>
          <ns0:t>BOCOM International (Asia) Limited</ns0:t>
        </ns0:is>
      </ns0:c>
      <ns0:c r="BW124" s="74" t="inlineStr">
        <ns0:is>
          <ns0:t>CEB International Capital Corporation Limited; China Everbright Securities (HK) Limited; China Industrial Securities International Capital Limited; China Tonghai Securities Limited; CMBC Securities Company Limited; Guotai Junan Securities (Hong Kong) Limited; Zhongtai International Securities Limited</ns0:t>
        </ns0:is>
      </ns0:c>
      <ns0:c r="BX124" s="74" t="inlineStr">
        <ns0:is>
          <ns0: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ns0:t>
        </ns0:is>
      </ns0:c>
      <ns0:c r="BY124" s="93">
        <ns0:f>HYPERLINK("https://www1.hkexnews.hk/listedco/listconews/sehk/2022/0629/2022062900043.pdf","prospectus")</ns0:f>
        <ns0:v/>
      </ns0:c>
      <ns0:c r="BZ124" s="93">
        <ns0:f>HYPERLINK("https://www1.hkexnews.hk/listedco/listconews/sehk/2022/0712/2022071200042.htm","allotment")</ns0:f>
        <ns0:v/>
      </ns0:c>
      <ns0:c r="CA124" s="93">
        <ns0:f>HYPERLINK("https://www1.hkexnews.hk/listedco/listconews/sehk/2022/0805/2022080501239.pdf","stabilisation")</ns0:f>
        <ns0:v/>
      </ns0:c>
      <ns0:c r="CB124" s="94" t="n"/>
      <ns0:c r="CC124" s="74" t="inlineStr">
        <ns0:is>
          <ns0:t>range low: maximum offer price only, no floor published; cornerstone: % from the prospectus; AAStocks table includes non-cornerstone orders; allocation: allocation table not in this notice's format (older prose announcement); day-1 tape: volume on file; the retail multiple needs the final public split, which this notice does not state</ns0:t>
        </ns0:is>
      </ns0:c>
    </ns0:row>
    <ns0:row r="125" ht="22" customHeight="1">
      <ns0:c r="A125" s="73" t="inlineStr">
        <ns0:is>
          <ns0:t>6686</ns0:t>
        </ns0:is>
      </ns0:c>
      <ns0:c r="B125" s="74" t="inlineStr">
        <ns0:is>
          <ns0:t>NOAH HOLDINGS-S</ns0:t>
        </ns0:is>
      </ns0:c>
      <ns0:c r="C125" s="74" t="inlineStr">
        <ns0:is>
          <ns0:t>諾亞控股</ns0:t>
        </ns0:is>
      </ns0:c>
      <ns0:c r="D125" s="74" t="inlineStr">
        <ns0:is>
          <ns0:t>Financials</ns0:t>
        </ns0:is>
      </ns0:c>
      <ns0:c r="E125" s="74" t="inlineStr">
        <ns0:is>
          <ns0:t>Brokers / asset management</ns0:t>
        </ns0:is>
      </ns0:c>
      <ns0:c r="F125" s="74" t="inlineStr">
        <ns0:is>
          <ns0:t>Investment Holdings &amp; Assets Management</ns0:t>
        </ns0:is>
      </ns0:c>
      <ns0:c r="G125" s="74" t="inlineStr">
        <ns0:is>
          <ns0:t>Secondary</ns0:t>
        </ns0:is>
      </ns0:c>
      <ns0:c r="H125" s="75" t="n">
        <ns0:v>44755</ns0:v>
      </ns0:c>
      <ns0:c r="I125" s="76" t="n">
        <ns0:v>321.2</ns0:v>
      </ns0:c>
      <ns0:c r="J125" s="74" t="inlineStr">
        <ns0:is>
          <ns0:t>gross (price x shares)</ns0:t>
        </ns0:is>
      </ns0:c>
      <ns0:c r="K125" s="95" t="n"/>
      <ns0:c r="L125" s="77" t="n">
        <ns0:v>307</ns0:v>
      </ns0:c>
      <ns0:c r="M125" s="77" t="n">
        <ns0:v>292</ns0:v>
      </ns0:c>
      <ns0:c r="N125" s="74" t="inlineStr">
        <ns0:is>
          <ns0:t>N</ns0:t>
        </ns0:is>
      </ns0:c>
      <ns0:c r="O125" s="78" t="n">
        <ns0:v>95.09999999999999</ns0:v>
      </ns0:c>
      <ns0:c r="P125" s="84" t="n"/>
      <ns0:c r="Q125" s="79" t="n">
        <ns0:v>9575.1</ns0:v>
      </ns0:c>
      <ns0:c r="R125" s="74" t="inlineStr">
        <ns0:is>
          <ns0:t>prospectus:stated market capitalisation</ns0:t>
        </ns0:is>
      </ns0:c>
      <ns0:c r="S125" s="80" t="n">
        <ns0:v>3.26</ns0:v>
      </ns0:c>
      <ns0:c r="T125" s="81" t="n">
        <ns0:v>5.9</ns0:v>
      </ns0:c>
      <ns0:c r="U125" s="82" t="n">
        <ns0:v>0</ns0:v>
      </ns0:c>
      <ns0:c r="V125" s="83" t="n">
        <ns0:v>118</ns0:v>
      </ns0:c>
      <ns0:c r="W125" s="84" t="n"/>
      <ns0:c r="X125" s="85" t="n"/>
      <ns0:c r="Y125" s="79" t="n">
        <ns0:v>321.2</ns0:v>
      </ns0:c>
      <ns0:c r="Z125" s="79" t="n">
        <ns0:v>1100000</ns0:v>
      </ns0:c>
      <ns0:c r="AA125" s="78" t="n">
        <ns0:v>3.35</ns0:v>
      </ns0:c>
      <ns0:c r="AB125" s="74" t="inlineStr">
        <ns0:is>
          <ns0:t>none — no cornerstone tranche</ns0:t>
        </ns0:is>
      </ns0:c>
      <ns0:c r="AC125" s="74" t="inlineStr">
        <ns0:is>
          <ns0:t>none</ns0:t>
        </ns0:is>
      </ns0:c>
      <ns0:c r="AD125" s="78" t="n">
        <ns0:v>11.9</ns0:v>
      </ns0:c>
      <ns0:c r="AE125" s="74" t="inlineStr">
        <ns0:is>
          <ns0:t>partial</ns0:t>
        </ns0:is>
      </ns0:c>
      <ns0:c r="AF125" s="74" t="inlineStr">
        <ns0:is>
          <ns0:t>2022-08-05</ns0:t>
        </ns0:is>
      </ns0:c>
      <ns0:c r="AG125" s="74" t="inlineStr">
        <ns0:is>
          <ns0:t>Goldman Sachs</ns0:t>
        </ns0:is>
      </ns0:c>
      <ns0:c r="AH125" s="74" t="inlineStr">
        <ns0:is>
          <ns0:t>Goldman Sachs</ns0:t>
        </ns0:is>
      </ns0:c>
      <ns0:c r="AI125" s="86" t="n">
        <ns0:v>-5.82</ns0:v>
      </ns0:c>
      <ns0:c r="AJ125" s="87" t="n">
        <ns0:v>-4.45</ns0:v>
      </ns0:c>
      <ns0:c r="AK125" s="87" t="n">
        <ns0:v>-0.63</ns0:v>
      </ns0:c>
      <ns0:c r="AL125" s="87" t="n">
        <ns0:v>-2.4</ns0:v>
      </ns0:c>
      <ns0:c r="AM125" s="87" t="n">
        <ns0:v>-2.1</ns0:v>
      </ns0:c>
      <ns0:c r="AN125" s="88" t="n"/>
      <ns0:c r="AO125" s="78" t="n">
        <ns0:v>5.54</ns0:v>
      </ns0:c>
      <ns0:c r="AP125" s="87" t="n">
        <ns0:v>-6.16</ns0:v>
      </ns0:c>
      <ns0:c r="AQ125" s="87" t="n">
        <ns0:v>-10.62</ns0:v>
      </ns0:c>
      <ns0:c r="AR125" s="87" t="n">
        <ns0:v>-27.12</ns0:v>
      </ns0:c>
      <ns0:c r="AS125" s="87" t="n">
        <ns0:v>-1.79</ns0:v>
      </ns0:c>
      <ns0:c r="AT125" s="87" t="n">
        <ns0:v>-6.46</ns0:v>
      </ns0:c>
      <ns0:c r="AU125" s="87" t="n">
        <ns0:v>-23.73</ns0:v>
      </ns0:c>
      <ns0:c r="AV125" s="87" t="n">
        <ns0:v>-4.66</ns0:v>
      </ns0:c>
      <ns0:c r="AW125" s="87" t="n">
        <ns0:v>-7.54</ns0:v>
      </ns0:c>
      <ns0:c r="AX125" s="87" t="n">
        <ns0:v>-8.26</ns0:v>
      </ns0:c>
      <ns0:c r="AY125" s="87" t="n">
        <ns0:v>-4</ns0:v>
      </ns0:c>
      <ns0:c r="AZ125" s="87" t="n">
        <ns0:v>-3.08</ns0:v>
      </ns0:c>
      <ns0:c r="BA125" s="87" t="n">
        <ns0:v>-2.46</ns0:v>
      </ns0:c>
      <ns0:c r="BB125" s="74" t="inlineStr">
        <ns0:is>
          <ns0:t>Hang Seng Finance sub-index</ns0:t>
        </ns0:is>
      </ns0:c>
      <ns0:c r="BC125" s="87" t="n">
        <ns0:v>-56.16</ns0:v>
      </ns0:c>
      <ns0:c r="BD125" s="75" t="n">
        <ns0:v>46297</ns0:v>
      </ns0:c>
      <ns0:c r="BE125" s="76" t="n">
        <ns0:v>4759.3</ns0:v>
      </ns0:c>
      <ns0:c r="BF125" s="97" t="n"/>
      <ns0:c r="BG125" s="74" t="inlineStr">
        <ns0:is>
          <ns0:t>Y</ns0:t>
        </ns0:is>
      </ns0:c>
      <ns0:c r="BH125" s="90">
        <ns0:f>IFERROR(IF('BBG Verify'!O125="","Awaiting Bloomberg",'BBG Verify'!O125),"Awaiting Bloomberg")</ns0:f>
        <ns0:v/>
      </ns0:c>
      <ns0:c r="BI125" s="88" t="n"/>
      <ns0:c r="BJ125" s="88" t="n"/>
      <ns0:c r="BK125" s="89" t="n">
        <ns0:v>2</ns0:v>
      </ns0:c>
      <ns0:c r="BL125" s="90">
        <ns0:f>IFERROR(IF('BBG Verify'!S125="","Awaiting Bloomberg",'BBG Verify'!S125),"Awaiting Bloomberg")</ns0:f>
        <ns0:v/>
      </ns0:c>
      <ns0:c r="BM125" s="91" t="inlineStr">
        <ns0:is>
          <ns0:t>N</ns0:t>
        </ns0:is>
      </ns0:c>
      <ns0:c r="BN125" s="92">
        <ns0:f>IFERROR(IF('BBG Verify'!K125="","Awaiting Bloomberg",'BBG Verify'!K125),"Awaiting Bloomberg")</ns0:f>
        <ns0:v/>
      </ns0:c>
      <ns0:c r="BO125" s="74" t="inlineStr">
        <ns0:is>
          <ns0:t>N/A</ns0:t>
        </ns0:is>
      </ns0:c>
      <ns0:c r="BP125" s="74" t="inlineStr">
        <ns0:is>
          <ns0:t>N/A</ns0:t>
        </ns0:is>
      </ns0:c>
      <ns0:c r="BQ125" s="74" t="inlineStr">
        <ns0:is>
          <ns0:t>N/A</ns0:t>
        </ns0:is>
      </ns0:c>
      <ns0:c r="BR125" s="74" t="inlineStr">
        <ns0:is>
          <ns0:t>N/A</ns0:t>
        </ns0:is>
      </ns0:c>
      <ns0:c r="BS125" s="74" t="inlineStr">
        <ns0:is>
          <ns0:t>N/A</ns0:t>
        </ns0:is>
      </ns0:c>
      <ns0:c r="BT125" s="74" t="inlineStr">
        <ns0:is>
          <ns0:t>N/A</ns0:t>
        </ns0:is>
      </ns0:c>
      <ns0:c r="BU125" s="91" t="inlineStr">
        <ns0:is>
          <ns0:t>Goldman Sachs (Asia) L.L.C</ns0:t>
        </ns0:is>
      </ns0:c>
      <ns0:c r="BV125" s="74" t="inlineStr">
        <ns0:is>
          <ns0:t>Goldman Sachs (Asia) L.L.C.</ns0:t>
        </ns0:is>
      </ns0:c>
      <ns0:c r="BW125" s="74" t="inlineStr">
        <ns0:is>
          <ns0:t>Futu Securities International (Hong Kong) Limited</ns0:t>
        </ns0:is>
      </ns0:c>
      <ns0:c r="BX125" s="74" t="inlineStr">
        <ns0:is>
          <ns0:t>BOCI Asia Limited; DBS Asia Capital Limited; Futu Securities International (Hong Kong) Limited; Goldman Sachs (Asia) L.L.C.</ns0:t>
        </ns0:is>
      </ns0:c>
      <ns0:c r="BY125" s="93">
        <ns0:f>HYPERLINK("https://www1.hkexnews.hk/listedco/listconews/sehk/2022/0629/2022062902037.pdf","prospectus")</ns0:f>
        <ns0:v/>
      </ns0:c>
      <ns0:c r="BZ125" s="93">
        <ns0:f>HYPERLINK("https://www1.hkexnews.hk/listedco/listconews/sehk/2022/0712/2022071200028.htm","allotment")</ns0:f>
        <ns0:v/>
      </ns0:c>
      <ns0:c r="CA125" s="93">
        <ns0:f>HYPERLINK("https://www1.hkexnews.hk/listedco/listconews/sehk/2022/0805/2022080501393.pdf","stabilisation")</ns0:f>
        <ns0:v/>
      </ns0:c>
      <ns0:c r="CB125" s="94" t="n"/>
      <ns0:c r="CC125" s="74" t="inlineStr">
        <ns0:is>
          <ns0:t>P/E: withheld: 5,040x fails the 300x plausibility cap; extracted net income HK$1.9m suspect; range low: maximum offer price only, no floor published; cornerstone list: no cornerstone tranche; financials: not extractable; pre-IPO year outside the AAStocks window; allocation: allocation table not in this notice's format (older prose announcement); day-1 tape: volume on file; the retail multiple needs the final public split, which this notice does not state</ns0:t>
        </ns0:is>
      </ns0:c>
    </ns0:row>
    <ns0:row r="126" ht="22" customHeight="1">
      <ns0:c r="A126" s="73" t="inlineStr">
        <ns0:is>
          <ns0:t>9696</ns0:t>
        </ns0:is>
      </ns0:c>
      <ns0:c r="B126" s="74" t="inlineStr">
        <ns0:is>
          <ns0:t>TIANQI LITHIUM</ns0:t>
        </ns0:is>
      </ns0:c>
      <ns0:c r="C126" s="74" t="inlineStr">
        <ns0:is>
          <ns0:t>天齊鋰業</ns0:t>
        </ns0:is>
      </ns0:c>
      <ns0:c r="D126" s="74" t="inlineStr">
        <ns0:is>
          <ns0:t>Materials/Energy</ns0:t>
        </ns0:is>
      </ns0:c>
      <ns0:c r="E126" s="74" t="inlineStr">
        <ns0:is>
          <ns0:t>Mining / metals</ns0:t>
        </ns0:is>
      </ns0:c>
      <ns0:c r="F126" s="74" t="inlineStr">
        <ns0:is>
          <ns0:t>Diversified Metals &amp; Minerals</ns0:t>
        </ns0:is>
      </ns0:c>
      <ns0:c r="G126" s="74" t="inlineStr">
        <ns0:is>
          <ns0:t>Standard</ns0:t>
        </ns0:is>
      </ns0:c>
      <ns0:c r="H126" s="75" t="n">
        <ns0:v>44755</ns0:v>
      </ns0:c>
      <ns0:c r="I126" s="76" t="n">
        <ns0:v>13458</ns0:v>
      </ns0:c>
      <ns0:c r="J126" s="74" t="inlineStr">
        <ns0:is>
          <ns0:t>gross (price x shares)</ns0:t>
        </ns0:is>
      </ns0:c>
      <ns0:c r="K126" s="95" t="n"/>
      <ns0:c r="L126" s="77" t="n">
        <ns0:v>82</ns0:v>
      </ns0:c>
      <ns0:c r="M126" s="77" t="n">
        <ns0:v>82</ns0:v>
      </ns0:c>
      <ns0:c r="N126" s="74" t="inlineStr">
        <ns0:is>
          <ns0:t>Y</ns0:t>
        </ns0:is>
      </ns0:c>
      <ns0:c r="O126" s="78" t="n">
        <ns0:v>100</ns0:v>
      </ns0:c>
      <ns0:c r="P126" s="84" t="n"/>
      <ns0:c r="Q126" s="79" t="n">
        <ns0:v>123912.2</ns0:v>
      </ns0:c>
      <ns0:c r="R126" s="74" t="inlineStr">
        <ns0:is>
          <ns0:t>aastocks:上市市值 at the struck price</ns0:t>
        </ns0:is>
      </ns0:c>
      <ns0:c r="S126" s="80" t="n">
        <ns0:v>9.300000000000001</ns0:v>
      </ns0:c>
      <ns0:c r="T126" s="81" t="n">
        <ns0:v>5.2</ns0:v>
      </ns0:c>
      <ns0:c r="U126" s="82" t="n">
        <ns0:v>36.4</ns0:v>
      </ns0:c>
      <ns0:c r="V126" s="83" t="n">
        <ns0:v>251</ns0:v>
      </ns0:c>
      <ns0:c r="W126" s="84" t="n"/>
      <ns0:c r="X126" s="85" t="n"/>
      <ns0:c r="Y126" s="79" t="n">
        <ns0:v>8559.290000000001</ns0:v>
      </ns0:c>
      <ns0:c r="Z126" s="79" t="n">
        <ns0:v>104381719</ns0:v>
      </ns0:c>
      <ns0:c r="AA126" s="78" t="n">
        <ns0:v>6.91</ns0:v>
      </ns0:c>
      <ns0:c r="AB126" s="74" t="inlineStr">
        <ns0:is>
          <ns0:t>CALB Co., Ltd; CPIC Investment Management (H.K.) Company Limited; Gold Mountains (H.K.) International Mining Company Limited; LG Chem, Ltd; Pacific Asset Management Co., Limited; Shenzhen Dynanonic Company Limited; Sichuan Energy Investment (Hong Kong) Holdings Limited</ns0:t>
        </ns0:is>
      </ns0:c>
      <ns0:c r="AC126" s="74" t="inlineStr">
        <ns0:is>
          <ns0:t>calb;cpic;gold;lg;pacific-asset;shenzhen-dynanonic;sichuan</ns0:t>
        </ns0:is>
      </ns0:c>
      <ns0:c r="AD126" s="84" t="n"/>
      <ns0:c r="AE126" s="74" t="inlineStr">
        <ns0:is>
          <ns0:t>lapsed</ns0:t>
        </ns0:is>
      </ns0:c>
      <ns0:c r="AF126" s="74" t="inlineStr">
        <ns0:is>
          <ns0:t>2022-08-05</ns0:t>
        </ns0:is>
      </ns0:c>
      <ns0:c r="AG126" s="74" t="inlineStr">
        <ns0:is>
          <ns0:t>Morgan Stanley Asia Limited</ns0:t>
        </ns0:is>
      </ns0:c>
      <ns0:c r="AH126" s="74" t="inlineStr">
        <ns0:is>
          <ns0:t>Morgan Stanley</ns0:t>
        </ns0:is>
      </ns0:c>
      <ns0:c r="AI126" s="86" t="n">
        <ns0:v>-7.93</ns0:v>
      </ns0:c>
      <ns0:c r="AJ126" s="87" t="n">
        <ns0:v>0</ns0:v>
      </ns0:c>
      <ns0:c r="AK126" s="87" t="n">
        <ns0:v>0.18</ns0:v>
      </ns0:c>
      <ns0:c r="AL126" s="87" t="n">
        <ns0:v>-9.15</ns0:v>
      </ns0:c>
      <ns0:c r="AM126" s="87" t="n">
        <ns0:v>10.07</ns0:v>
      </ns0:c>
      <ns0:c r="AN126" s="88" t="n"/>
      <ns0:c r="AO126" s="78" t="n">
        <ns0:v>12.55</ns0:v>
      </ns0:c>
      <ns0:c r="AP126" s="87" t="n">
        <ns0:v>-3.84</ns0:v>
      </ns0:c>
      <ns0:c r="AQ126" s="87" t="n">
        <ns0:v>4.33</ns0:v>
      </ns0:c>
      <ns0:c r="AR126" s="87" t="n">
        <ns0:v>-21.22</ns0:v>
      </ns0:c>
      <ns0:c r="AS126" s="87" t="n">
        <ns0:v>-3.84</ns0:v>
      </ns0:c>
      <ns0:c r="AT126" s="87" t="n">
        <ns0:v>4.33</ns0:v>
      </ns0:c>
      <ns0:c r="AU126" s="87" t="n">
        <ns0:v>-21.22</ns0:v>
      </ns0:c>
      <ns0:c r="AV126" s="87" t="n">
        <ns0:v>-5.92</ns0:v>
      </ns0:c>
      <ns0:c r="AW126" s="87" t="n">
        <ns0:v>7.78</ns0:v>
      </ns0:c>
      <ns0:c r="AX126" s="87" t="n">
        <ns0:v>-0.91</ns0:v>
      </ns0:c>
      <ns0:c r="AY126" s="87" t="n">
        <ns0:v>7.95</ns0:v>
      </ns0:c>
      <ns0:c r="AZ126" s="87" t="n">
        <ns0:v>-3.45</ns0:v>
      </ns0:c>
      <ns0:c r="BA126" s="87" t="n">
        <ns0:v>-3.62</ns0:v>
      </ns0:c>
      <ns0:c r="BB126" s="74" t="inlineStr">
        <ns0:is>
          <ns0:t>Hang Seng Commerce &amp; Industry sub-index</ns0:t>
        </ns0:is>
      </ns0:c>
      <ns0:c r="BC126" s="87" t="n">
        <ns0:v>-65.61</ns0:v>
      </ns0:c>
      <ns0:c r="BD126" s="75" t="n">
        <ns0:v>46297</ns0:v>
      </ns0:c>
      <ns0:c r="BE126" s="76" t="n">
        <ns0:v>8357.700000000001</ns0:v>
      </ns0:c>
      <ns0:c r="BF126" s="79" t="n">
        <ns0:v>5258.7</ns0:v>
      </ns0:c>
      <ns0:c r="BG126" s="74" t="inlineStr">
        <ns0:is>
          <ns0:t>Y</ns0:t>
        </ns0:is>
      </ns0:c>
      <ns0:c r="BH126" s="89" t="n">
        <ns0:v>23.6</ns0:v>
      </ns0:c>
      <ns0:c r="BI126" s="89" t="n">
        <ns0:v>8.5</ns0:v>
      </ns0:c>
      <ns0:c r="BJ126" s="89" t="n">
        <ns0:v>23.2</ns0:v>
      </ns0:c>
      <ns0:c r="BK126" s="89" t="n">
        <ns0:v>14.8</ns0:v>
      </ns0:c>
      <ns0:c r="BL126" s="90">
        <ns0:f>IFERROR(IF('BBG Verify'!S126="","Awaiting Bloomberg",'BBG Verify'!S126),"Awaiting Bloomberg")</ns0:f>
        <ns0:v/>
      </ns0:c>
      <ns0:c r="BM126" s="91" t="inlineStr">
        <ns0:is>
          <ns0:t>Y</ns0:t>
        </ns0:is>
      </ns0:c>
      <ns0:c r="BN126" s="74" t="inlineStr">
        <ns0:is>
          <ns0:t>002466.SZ</ns0:t>
        </ns0:is>
      </ns0:c>
      <ns0:c r="BO126" s="87" t="n">
        <ns0:v>82.11</ns0:v>
      </ns0:c>
      <ns0:c r="BP126" s="77" t="n">
        <ns0:v>149.3266</ns0:v>
      </ns0:c>
      <ns0:c r="BQ126" s="101" t="n">
        <ns0:v>0.6703</ns0:v>
      </ns0:c>
      <ns0:c r="BR126" s="79" t="n">
        <ns0:v>80719.8</ns0:v>
      </ns0:c>
      <ns0:c r="BS126" s="90">
        <ns0:f>IFERROR(IF('BBG Verify'!Q126="","Awaiting Bloomberg",'BBG Verify'!Q126),"Awaiting Bloomberg")</ns0:f>
        <ns0:v/>
      </ns0:c>
      <ns0:c r="BT126" s="90">
        <ns0:f>IFERROR(IF('BBG Verify'!R126="","Awaiting Bloomberg",'BBG Verify'!R126),"Awaiting Bloomberg")</ns0:f>
        <ns0:v/>
      </ns0:c>
      <ns0:c r="BU126" s="91" t="inlineStr">
        <ns0:is>
          <ns0:t>Morgan Stanley Asia Limited; China International Capital Corporation Hong Kong Securities Limited; CMB International Capital Limited</ns0:t>
        </ns0:is>
      </ns0:c>
      <ns0:c r="BV126" s="74" t="inlineStr">
        <ns0:is>
          <ns0:t>China International Capital Corporation Hong Kong Securities Limited; Morgan Stanley Asia Limited; CMB International Capital Corporation Limited</ns0:t>
        </ns0:is>
      </ns0:c>
      <ns0:c r="BW126" s="74" t="inlineStr">
        <ns0:is>
          <ns0:t>Morgan Stanley Asia Limited; CMB International Capital Limited; BNP Paribas Securities (Asia) Limited; Credit Suisse (Hong Kong) Limited; China International Capital Corporation Hong Kong Securities Limited; Banco BTG Pactual S.A. – Cayman Branch; Futu Securities International (Hong Kong) Limited; Huatai Financial Holdings (Hong Kong) Limited</ns0:t>
        </ns0:is>
      </ns0:c>
      <ns0:c r="BX126" s="74" t="inlineStr">
        <ns0:is>
          <ns0: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ns0:t>
        </ns0:is>
      </ns0:c>
      <ns0:c r="BY126" s="93">
        <ns0:f>HYPERLINK("https://www1.hkexnews.hk/listedco/listconews/sehk/2022/0630/2022063000146.htm","prospectus")</ns0:f>
        <ns0:v/>
      </ns0:c>
      <ns0:c r="BZ126" s="93">
        <ns0:f>HYPERLINK("https://www1.hkexnews.hk/listedco/listconews/sehk/2022/0712/2022071200062.htm","allotment")</ns0:f>
        <ns0:v/>
      </ns0:c>
      <ns0:c r="CA126" s="93">
        <ns0:f>HYPERLINK("https://www1.hkexnews.hk/listedco/listconews/sehk/2022/0805/2022080501243.pdf","stabilisation")</ns0:f>
        <ns0:v/>
      </ns0:c>
      <ns0:c r="CB126" s="94" t="n"/>
      <ns0:c r="CC126" s="74" t="inlineStr">
        <ns0:is>
          <ns0:t>price range: fixed-price offering (no indicative range); range low: maximum offer price only, no floor published; A/H: Jul 2022, ~US$1.7bn; largest HK IPO of 2022 at pricing; cornerstone %: upper bound: AAStocks institutional total / deal size; greenshoe size: no over-allotment option; allocation: allocation table not in this notice's format (older prose announcement); day-1 tape: volume on file; the retail multiple needs the final public split, which this notice does not state</ns0:t>
        </ns0:is>
      </ns0:c>
    </ns0:row>
    <ns0:row r="127" ht="22" customHeight="1">
      <ns0:c r="A127" s="73" t="inlineStr">
        <ns0:is>
          <ns0:t>2418</ns0:t>
        </ns0:is>
      </ns0:c>
      <ns0:c r="B127" s="74" t="inlineStr">
        <ns0:is>
          <ns0:t>DEEWIN</ns0:t>
        </ns0:is>
      </ns0:c>
      <ns0:c r="C127" s="74" t="inlineStr">
        <ns0:is>
          <ns0:t>德銀天下</ns0:t>
        </ns0:is>
      </ns0:c>
      <ns0:c r="D127" s="74" t="inlineStr">
        <ns0:is>
          <ns0:t>Industrials</ns0:t>
        </ns0:is>
      </ns0:c>
      <ns0:c r="E127" s="74" t="inlineStr">
        <ns0:is>
          <ns0:t>Logistics</ns0:t>
        </ns0:is>
      </ns0:c>
      <ns0:c r="F127" s="74" t="inlineStr">
        <ns0:is>
          <ns0:t>Automotive Retail</ns0:t>
        </ns0:is>
      </ns0:c>
      <ns0:c r="G127" s="74" t="inlineStr">
        <ns0:is>
          <ns0:t>Standard</ns0:t>
        </ns0:is>
      </ns0:c>
      <ns0:c r="H127" s="75" t="n">
        <ns0:v>44757</ns0:v>
      </ns0:c>
      <ns0:c r="I127" s="76" t="n">
        <ns0:v>977.4</ns0:v>
      </ns0:c>
      <ns0:c r="J127" s="74" t="inlineStr">
        <ns0:is>
          <ns0:t>gross (price x shares)</ns0:t>
        </ns0:is>
      </ns0:c>
      <ns0:c r="K127" s="77" t="n">
        <ns0:v>1.78</ns0:v>
      </ns0:c>
      <ns0:c r="L127" s="77" t="n">
        <ns0:v>2.13</ns0:v>
      </ns0:c>
      <ns0:c r="M127" s="77" t="n">
        <ns0:v>1.8</ns0:v>
      </ns0:c>
      <ns0:c r="N127" s="74" t="inlineStr">
        <ns0:is>
          <ns0:t>N</ns0:t>
        </ns0:is>
      </ns0:c>
      <ns0:c r="O127" s="78" t="n">
        <ns0:v>84.5</ns0:v>
      </ns0:c>
      <ns0:c r="P127" s="78" t="n">
        <ns0:v>5.7</ns0:v>
      </ns0:c>
      <ns0:c r="Q127" s="79" t="n">
        <ns0:v>3909.6</ns0:v>
      </ns0:c>
      <ns0:c r="R127" s="74" t="inlineStr">
        <ns0:is>
          <ns0:t>derived:deal size / offer % of enlarged capital</ns0:t>
        </ns0:is>
      </ns0:c>
      <ns0:c r="S127" s="80" t="n">
        <ns0:v>0.42</ns0:v>
      </ns0:c>
      <ns0:c r="T127" s="81" t="n">
        <ns0:v>1.41</ns0:v>
      </ns0:c>
      <ns0:c r="U127" s="82" t="n">
        <ns0:v>21.12</ns0:v>
      </ns0:c>
      <ns0:c r="V127" s="83" t="n">
        <ns0:v>140</ns0:v>
      </ns0:c>
      <ns0:c r="W127" s="84" t="n"/>
      <ns0:c r="X127" s="85" t="n"/>
      <ns0:c r="Y127" s="79" t="n">
        <ns0:v>770.97</ns0:v>
      </ns0:c>
      <ns0:c r="Z127" s="79" t="n">
        <ns0:v>428318400</ns0:v>
      </ns0:c>
      <ns0:c r="AA127" s="78" t="n">
        <ns0:v>19.72</ns0:v>
      </ns0:c>
      <ns0:c r="AB127" s="74" t="inlineStr">
        <ns0:is>
          <ns0:t>Shaanxi Tide Automobile Air Conditioning Co., Ltd; Streamax Electronics Limited; Xian Yuanda Electronic Equipment Co., Ltd</ns0:t>
        </ns0:is>
      </ns0:c>
      <ns0:c r="AC127" s="74" t="inlineStr">
        <ns0:is>
          <ns0:t>shaanxi;streamax;xian</ns0:t>
        </ns0:is>
      </ns0:c>
      <ns0:c r="AD127" s="78" t="n">
        <ns0:v>5.28</ns0:v>
      </ns0:c>
      <ns0:c r="AE127" s="74" t="inlineStr">
        <ns0:is>
          <ns0:t>partial</ns0:t>
        </ns0:is>
      </ns0:c>
      <ns0:c r="AF127" s="74" t="inlineStr">
        <ns0:is>
          <ns0:t>2022-08-07</ns0:t>
        </ns0:is>
      </ns0:c>
      <ns0:c r="AG127" s="74" t="inlineStr">
        <ns0:is>
          <ns0:t>China Securities</ns0:t>
        </ns0:is>
      </ns0:c>
      <ns0:c r="AH127" s="74" t="inlineStr">
        <ns0:is>
          <ns0:t>China Securities</ns0:t>
        </ns0:is>
      </ns0:c>
      <ns0:c r="AI127" s="86" t="n">
        <ns0:v>-5</ns0:v>
      </ns0:c>
      <ns0:c r="AJ127" s="87" t="n">
        <ns0:v>0</ns0:v>
      </ns0:c>
      <ns0:c r="AK127" s="87" t="n">
        <ns0:v>-2.4</ns0:v>
      </ns0:c>
      <ns0:c r="AL127" s="87" t="n">
        <ns0:v>-2.78</ns0:v>
      </ns0:c>
      <ns0:c r="AM127" s="87" t="n">
        <ns0:v>2.86</ns0:v>
      </ns0:c>
      <ns0:c r="AN127" s="88" t="n"/>
      <ns0:c r="AO127" s="78" t="n">
        <ns0:v>12.57</ns0:v>
      </ns0:c>
      <ns0:c r="AP127" s="87" t="n">
        <ns0:v>-8.890000000000001</ns0:v>
      </ns0:c>
      <ns0:c r="AQ127" s="87" t="n">
        <ns0:v>-31.67</ns0:v>
      </ns0:c>
      <ns0:c r="AR127" s="87" t="n">
        <ns0:v>-46.11</ns0:v>
      </ns0:c>
      <ns0:c r="AS127" s="87" t="n">
        <ns0:v>-8.890000000000001</ns0:v>
      </ns0:c>
      <ns0:c r="AT127" s="87" t="n">
        <ns0:v>-31.67</ns0:v>
      </ns0:c>
      <ns0:c r="AU127" s="87" t="n">
        <ns0:v>-46.11</ns0:v>
      </ns0:c>
      <ns0:c r="AV127" s="87" t="n">
        <ns0:v>-9.18</ns0:v>
      </ns0:c>
      <ns0:c r="AW127" s="87" t="n">
        <ns0:v>-27.28</ns0:v>
      </ns0:c>
      <ns0:c r="AX127" s="87" t="n">
        <ns0:v>-24.25</ns0:v>
      </ns0:c>
      <ns0:c r="AY127" s="87" t="n">
        <ns0:v>-29.63</ns0:v>
      </ns0:c>
      <ns0:c r="AZ127" s="87" t="n">
        <ns0:v>-4.39</ns0:v>
      </ns0:c>
      <ns0:c r="BA127" s="87" t="n">
        <ns0:v>-2.04</ns0:v>
      </ns0:c>
      <ns0:c r="BB127" s="74" t="inlineStr">
        <ns0:is>
          <ns0:t>Hang Seng Commerce &amp; Industry sub-index</ns0:t>
        </ns0:is>
      </ns0:c>
      <ns0:c r="BC127" s="87" t="n">
        <ns0:v>46.94</ns0:v>
      </ns0:c>
      <ns0:c r="BD127" s="75" t="n">
        <ns0:v>46297</ns0:v>
      </ns0:c>
      <ns0:c r="BE127" s="76" t="n">
        <ns0:v>3439.5</ns0:v>
      </ns0:c>
      <ns0:c r="BF127" s="79" t="n">
        <ns0:v>405.6</ns0:v>
      </ns0:c>
      <ns0:c r="BG127" s="74" t="inlineStr">
        <ns0:is>
          <ns0:t>Y</ns0:t>
        </ns0:is>
      </ns0:c>
      <ns0:c r="BH127" s="89" t="n">
        <ns0:v>9.6</ns0:v>
      </ns0:c>
      <ns0:c r="BI127" s="88" t="n"/>
      <ns0:c r="BJ127" s="89" t="n">
        <ns0:v>79.7</ns0:v>
      </ns0:c>
      <ns0:c r="BK127" s="89" t="n">
        <ns0:v>1.1</ns0:v>
      </ns0:c>
      <ns0:c r="BL127" s="90">
        <ns0:f>IFERROR(IF('BBG Verify'!S127="","Awaiting Bloomberg",'BBG Verify'!S127),"Awaiting Bloomberg")</ns0:f>
        <ns0:v/>
      </ns0:c>
      <ns0:c r="BM127" s="91" t="inlineStr">
        <ns0:is>
          <ns0:t>N</ns0:t>
        </ns0:is>
      </ns0:c>
      <ns0:c r="BN127" s="92">
        <ns0:f>IFERROR(IF('BBG Verify'!K127="","Awaiting Bloomberg",'BBG Verify'!K127),"Awaiting Bloomberg")</ns0:f>
        <ns0:v/>
      </ns0:c>
      <ns0:c r="BO127" s="74" t="inlineStr">
        <ns0:is>
          <ns0:t>N/A</ns0:t>
        </ns0:is>
      </ns0:c>
      <ns0:c r="BP127" s="74" t="inlineStr">
        <ns0:is>
          <ns0:t>N/A</ns0:t>
        </ns0:is>
      </ns0:c>
      <ns0:c r="BQ127" s="74" t="inlineStr">
        <ns0:is>
          <ns0:t>N/A</ns0:t>
        </ns0:is>
      </ns0:c>
      <ns0:c r="BR127" s="74" t="inlineStr">
        <ns0:is>
          <ns0:t>N/A</ns0:t>
        </ns0:is>
      </ns0:c>
      <ns0:c r="BS127" s="74" t="inlineStr">
        <ns0:is>
          <ns0:t>N/A</ns0:t>
        </ns0:is>
      </ns0:c>
      <ns0:c r="BT127" s="74" t="inlineStr">
        <ns0:is>
          <ns0:t>N/A</ns0:t>
        </ns0:is>
      </ns0:c>
      <ns0:c r="BU127" s="91" t="inlineStr">
        <ns0:is>
          <ns0:t>China Securities (International) Corporate Finance Company Limited</ns0:t>
        </ns0:is>
      </ns0:c>
      <ns0:c r="BV127" s="74" t="inlineStr">
        <ns0:is>
          <ns0:t>China Securities (International) Corporate Finance Company Limited</ns0:t>
        </ns0:is>
      </ns0:c>
      <ns0:c r="BW127" s="74" t="inlineStr">
        <ns0:is>
          <ns0: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ns0:t>
        </ns0:is>
      </ns0:c>
      <ns0:c r="BX127" s="74" t="inlineStr">
        <ns0:is>
          <ns0: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ns0:t>
        </ns0:is>
      </ns0:c>
      <ns0:c r="BY127" s="93">
        <ns0:f>HYPERLINK("https://www1.hkexnews.hk/listedco/listconews/sehk/2022/0630/2022063000037.pdf","prospectus")</ns0:f>
        <ns0:v/>
      </ns0:c>
      <ns0:c r="BZ127" s="93">
        <ns0:f>HYPERLINK("https://www1.hkexnews.hk/listedco/listconews/sehk/2022/0714/2022071400006.htm","allotment")</ns0:f>
        <ns0:v/>
      </ns0:c>
      <ns0:c r="CA127" s="93">
        <ns0:f>HYPERLINK("https://www1.hkexnews.hk/listedco/listconews/sehk/2022/0808/2022080800065.pdf","stabilisation")</ns0:f>
        <ns0:v/>
      </ns0:c>
      <ns0:c r="CB127" s="94" t="n"/>
      <ns0:c r="CC127" s="74" t="inlineStr">
        <ns0:is>
          <ns0:t>sponsor: English name not in the filing; AAStocks 保薦人 shown; allocation: allocation table not in this notice's format (older prose announcement); day-1 tape: volume on file; the retail multiple needs the final public split, which this notice does not state</ns0:t>
        </ns0:is>
      </ns0:c>
    </ns0:row>
    <ns0:row r="128" ht="22" customHeight="1">
      <ns0:c r="A128" s="73" t="inlineStr">
        <ns0:is>
          <ns0:t>1204</ns0:t>
        </ns0:is>
      </ns0:c>
      <ns0:c r="B128" s="74" t="inlineStr">
        <ns0:is>
          <ns0:t>BOARDWARE INTEL</ns0:t>
        </ns0:is>
      </ns0:c>
      <ns0:c r="C128" s="74" t="inlineStr">
        <ns0:is>
          <ns0:t>博維智慧</ns0:t>
        </ns0:is>
      </ns0:c>
      <ns0:c r="D128" s="74" t="inlineStr">
        <ns0:is>
          <ns0:t>Technology</ns0:t>
        </ns0:is>
      </ns0:c>
      <ns0:c r="E128" s="74" t="inlineStr">
        <ns0:is>
          <ns0:t>Software &amp; AI</ns0:t>
        </ns0:is>
      </ns0:c>
      <ns0:c r="F128" s="74" t="inlineStr">
        <ns0:is>
          <ns0:t>IT Consulting &amp; Other Services</ns0:t>
        </ns0:is>
      </ns0:c>
      <ns0:c r="G128" s="74" t="inlineStr">
        <ns0:is>
          <ns0:t>Standard</ns0:t>
        </ns0:is>
      </ns0:c>
      <ns0:c r="H128" s="75" t="n">
        <ns0:v>44757</ns0:v>
      </ns0:c>
      <ns0:c r="I128" s="76" t="n">
        <ns0:v>135</ns0:v>
      </ns0:c>
      <ns0:c r="J128" s="74" t="inlineStr">
        <ns0:is>
          <ns0:t>gross (price x shares)</ns0:t>
        </ns0:is>
      </ns0:c>
      <ns0:c r="K128" s="95" t="n"/>
      <ns0:c r="L128" s="77" t="n">
        <ns0:v>1.08</ns0:v>
      </ns0:c>
      <ns0:c r="M128" s="77" t="n">
        <ns0:v>1.08</ns0:v>
      </ns0:c>
      <ns0:c r="N128" s="74" t="inlineStr">
        <ns0:is>
          <ns0:t>Y</ns0:t>
        </ns0:is>
      </ns0:c>
      <ns0:c r="O128" s="78" t="n">
        <ns0:v>100</ns0:v>
      </ns0:c>
      <ns0:c r="P128" s="84" t="n"/>
      <ns0:c r="Q128" s="79" t="n">
        <ns0:v>585</ns0:v>
      </ns0:c>
      <ns0:c r="R128" s="74" t="inlineStr">
        <ns0:is>
          <ns0:t>aastocks:上市市值 at the struck price</ns0:t>
        </ns0:is>
      </ns0:c>
      <ns0:c r="S128" s="80" t="n">
        <ns0:v>10.69</ns0:v>
      </ns0:c>
      <ns0:c r="T128" s="81" t="n">
        <ns0:v>1.03</ns0:v>
      </ns0:c>
      <ns0:c r="U128" s="82" t="n">
        <ns0:v>22.2</ns0:v>
      </ns0:c>
      <ns0:c r="V128" s="83" t="n">
        <ns0:v>136</ns0:v>
      </ns0:c>
      <ns0:c r="W128" s="84" t="n"/>
      <ns0:c r="X128" s="85" t="n"/>
      <ns0:c r="Y128" s="79" t="n">
        <ns0:v>105.03</ns0:v>
      </ns0:c>
      <ns0:c r="Z128" s="79" t="n">
        <ns0:v>97250000</ns0:v>
      </ns0:c>
      <ns0:c r="AA128" s="78" t="n">
        <ns0:v>17.95</ns0:v>
      </ns0:c>
      <ns0:c r="AB128" s="74" t="inlineStr">
        <ns0:is>
          <ns0:t>Ung Choi Kun</ns0:t>
        </ns0:is>
      </ns0:c>
      <ns0:c r="AC128" s="74" t="inlineStr">
        <ns0:is>
          <ns0:t>ung</ns0:t>
        </ns0:is>
      </ns0:c>
      <ns0:c r="AD128" s="84" t="n"/>
      <ns0:c r="AE128" s="74" t="inlineStr">
        <ns0:is>
          <ns0:t>lapsed (no over-allocation)</ns0:t>
        </ns0:is>
      </ns0:c>
      <ns0:c r="AF128" s="85" t="n"/>
      <ns0:c r="AG128" s="74" t="inlineStr">
        <ns0:is>
          <ns0:t>China Tonghai Securities Limited</ns0:t>
        </ns0:is>
      </ns0:c>
      <ns0:c r="AH128" s="74" t="inlineStr">
        <ns0:is>
          <ns0:t>China Tonghai</ns0:t>
        </ns0:is>
      </ns0:c>
      <ns0:c r="AI128" s="86" t="n">
        <ns0:v>4.63</ns0:v>
      </ns0:c>
      <ns0:c r="AJ128" s="87" t="n">
        <ns0:v>12.96</ns0:v>
      </ns0:c>
      <ns0:c r="AK128" s="87" t="n">
        <ns0:v>-2.88</ns0:v>
      </ns0:c>
      <ns0:c r="AL128" s="87" t="n">
        <ns0:v>5.56</ns0:v>
      </ns0:c>
      <ns0:c r="AM128" s="87" t="n">
        <ns0:v>7.01</ns0:v>
      </ns0:c>
      <ns0:c r="AN128" s="88" t="n"/>
      <ns0:c r="AO128" s="78" t="n">
        <ns0:v>23.68</ns0:v>
      </ns0:c>
      <ns0:c r="AP128" s="87" t="n">
        <ns0:v>12.96</ns0:v>
      </ns0:c>
      <ns0:c r="AQ128" s="87" t="n">
        <ns0:v>10.19</ns0:v>
      </ns0:c>
      <ns0:c r="AR128" s="87" t="n">
        <ns0:v>-3.7</ns0:v>
      </ns0:c>
      <ns0:c r="AS128" s="87" t="n">
        <ns0:v>0</ns0:v>
      </ns0:c>
      <ns0:c r="AT128" s="87" t="n">
        <ns0:v>-2.45</ns0:v>
      </ns0:c>
      <ns0:c r="AU128" s="87" t="n">
        <ns0:v>-14.75</ns0:v>
      </ns0:c>
      <ns0:c r="AV128" s="87" t="n">
        <ns0:v>12.56</ns0:v>
      </ns0:c>
      <ns0:c r="AW128" s="87" t="n">
        <ns0:v>15.77</ns0:v>
      </ns0:c>
      <ns0:c r="AX128" s="87" t="n">
        <ns0:v>26.3</ns0:v>
      </ns0:c>
      <ns0:c r="AY128" s="87" t="n">
        <ns0:v>0.33</ns0:v>
      </ns0:c>
      <ns0:c r="AZ128" s="87" t="n">
        <ns0:v>-5.58</ns0:v>
      </ns0:c>
      <ns0:c r="BA128" s="87" t="n">
        <ns0:v>-2.78</ns0:v>
      </ns0:c>
      <ns0:c r="BB128" s="74" t="inlineStr">
        <ns0:is>
          <ns0:t>HSTECH (Hang Seng TECH ETF)</ns0:t>
        </ns0:is>
      </ns0:c>
      <ns0:c r="BC128" s="87" t="n">
        <ns0:v>57.41</ns0:v>
      </ns0:c>
      <ns0:c r="BD128" s="75" t="n">
        <ns0:v>46297</ns0:v>
      </ns0:c>
      <ns0:c r="BE128" s="76" t="n">
        <ns0:v>534.3</ns0:v>
      </ns0:c>
      <ns0:c r="BF128" s="79" t="n">
        <ns0:v>24</ns0:v>
      </ns0:c>
      <ns0:c r="BG128" s="74" t="inlineStr">
        <ns0:is>
          <ns0:t>Y</ns0:t>
        </ns0:is>
      </ns0:c>
      <ns0:c r="BH128" s="89" t="n">
        <ns0:v>24.4</ns0:v>
      </ns0:c>
      <ns0:c r="BI128" s="88" t="n"/>
      <ns0:c r="BJ128" s="89" t="n">
        <ns0:v>113.4</ns0:v>
      </ns0:c>
      <ns0:c r="BK128" s="89" t="n">
        <ns0:v>1.1</ns0:v>
      </ns0:c>
      <ns0:c r="BL128" s="90">
        <ns0:f>IFERROR(IF('BBG Verify'!S128="","Awaiting Bloomberg",'BBG Verify'!S128),"Awaiting Bloomberg")</ns0:f>
        <ns0:v/>
      </ns0:c>
      <ns0:c r="BM128" s="91" t="inlineStr">
        <ns0:is>
          <ns0:t>N</ns0:t>
        </ns0:is>
      </ns0:c>
      <ns0:c r="BN128" s="92">
        <ns0:f>IFERROR(IF('BBG Verify'!K128="","Awaiting Bloomberg",'BBG Verify'!K128),"Awaiting Bloomberg")</ns0:f>
        <ns0:v/>
      </ns0:c>
      <ns0:c r="BO128" s="74" t="inlineStr">
        <ns0:is>
          <ns0:t>N/A</ns0:t>
        </ns0:is>
      </ns0:c>
      <ns0:c r="BP128" s="74" t="inlineStr">
        <ns0:is>
          <ns0:t>N/A</ns0:t>
        </ns0:is>
      </ns0:c>
      <ns0:c r="BQ128" s="74" t="inlineStr">
        <ns0:is>
          <ns0:t>N/A</ns0:t>
        </ns0:is>
      </ns0:c>
      <ns0:c r="BR128" s="74" t="inlineStr">
        <ns0:is>
          <ns0:t>N/A</ns0:t>
        </ns0:is>
      </ns0:c>
      <ns0:c r="BS128" s="74" t="inlineStr">
        <ns0:is>
          <ns0:t>N/A</ns0:t>
        </ns0:is>
      </ns0:c>
      <ns0:c r="BT128" s="74" t="inlineStr">
        <ns0:is>
          <ns0:t>N/A</ns0:t>
        </ns0:is>
      </ns0:c>
      <ns0:c r="BU128" s="91" t="inlineStr">
        <ns0:is>
          <ns0:t>China Tonghai Capital Limited</ns0:t>
        </ns0:is>
      </ns0:c>
      <ns0:c r="BV128" s="74" t="inlineStr">
        <ns0:is>
          <ns0:t>China Tonghai Capital Limited</ns0:t>
        </ns0:is>
      </ns0:c>
      <ns0:c r="BW128" s="74" t="inlineStr">
        <ns0:is>
          <ns0:t>China Tonghai Securities Limited; Blackwell Global Securities Limited; BOCOM International Securities Limited; CCB International Capital Limited; China Galaxy International Securities (Hong Kong) Co., Limited; CMBC Securities Company Limited; Eddid Securities and Futures Limited; Fortune (HK) Securities Limited; Innovax Securities Limited; Zhongtai International Securities Limited</ns0:t>
        </ns0:is>
      </ns0:c>
      <ns0:c r="BX128" s="74" t="inlineStr">
        <ns0:is>
          <ns0: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ns0:t>
        </ns0:is>
      </ns0:c>
      <ns0:c r="BY128" s="93">
        <ns0:f>HYPERLINK("https://www1.hkexnews.hk/listedco/listconews/sehk/2022/0629/2022062900148.htm","prospectus")</ns0:f>
        <ns0:v/>
      </ns0:c>
      <ns0:c r="BZ128" s="93">
        <ns0:f>HYPERLINK("https://www1.hkexnews.hk/listedco/listconews/sehk/2022/0714/2022071400026.htm","allotment")</ns0:f>
        <ns0:v/>
      </ns0:c>
      <ns0:c r="CA128" s="93">
        <ns0:f>HYPERLINK("https://www1.hkexnews.hk/listedco/listconews/sehk/2022/0805/2022080500015.pdf","stabilisation")</ns0:f>
        <ns0:v/>
      </ns0:c>
      <ns0:c r="CB128" s="94" t="n"/>
      <ns0:c r="CC128" s="74" t="inlineStr">
        <ns0:is>
          <ns0:t>greenshoe: outcome published; expiry date not in the notice; price range: fixed-price offering (no indicative range); range low: maximum offer price only, no floor published; cornerstone: table parse 72% rejected (institutional total implies 22%); the AAStocks institutional total used; greenshoe size: no over-allotment option; allocation: allocation table not in this notice's format (older prose announcement); day-1 tape: volume on file; the retail multiple needs the final public split, which this notice does not state</ns0:t>
        </ns0:is>
      </ns0:c>
    </ns0:row>
    <ns0:row r="129" ht="22" customHeight="1">
      <ns0:c r="A129" s="73" t="inlineStr">
        <ns0:is>
          <ns0:t>2172</ns0:t>
        </ns0:is>
      </ns0:c>
      <ns0:c r="B129" s="74" t="inlineStr">
        <ns0:is>
          <ns0:t>MICROPORT NEURO</ns0:t>
        </ns0:is>
      </ns0:c>
      <ns0:c r="C129" s="74" t="inlineStr">
        <ns0:is>
          <ns0:t>微創腦科學</ns0:t>
        </ns0:is>
      </ns0:c>
      <ns0:c r="D129" s="74" t="inlineStr">
        <ns0:is>
          <ns0:t>Healthcare</ns0:t>
        </ns0:is>
      </ns0:c>
      <ns0:c r="E129" s="74" t="inlineStr">
        <ns0:is>
          <ns0:t>Medical devices</ns0:t>
        </ns0:is>
      </ns0:c>
      <ns0:c r="F129" s="74" t="inlineStr">
        <ns0:is>
          <ns0:t>Health Care Equipment</ns0:t>
        </ns0:is>
      </ns0:c>
      <ns0:c r="G129" s="74" t="inlineStr">
        <ns0:is>
          <ns0:t>Standard</ns0:t>
        </ns0:is>
      </ns0:c>
      <ns0:c r="H129" s="75" t="n">
        <ns0:v>44757</ns0:v>
      </ns0:c>
      <ns0:c r="I129" s="76" t="n">
        <ns0:v>337.6</ns0:v>
      </ns0:c>
      <ns0:c r="J129" s="74" t="inlineStr">
        <ns0:is>
          <ns0:t>gross (price x shares)</ns0:t>
        </ns0:is>
      </ns0:c>
      <ns0:c r="K129" s="95" t="n"/>
      <ns0:c r="L129" s="77" t="n">
        <ns0:v>24.64</ns0:v>
      </ns0:c>
      <ns0:c r="M129" s="77" t="n">
        <ns0:v>24.64</ns0:v>
      </ns0:c>
      <ns0:c r="N129" s="74" t="inlineStr">
        <ns0:is>
          <ns0:t>Y</ns0:t>
        </ns0:is>
      </ns0:c>
      <ns0:c r="O129" s="78" t="n">
        <ns0:v>100</ns0:v>
      </ns0:c>
      <ns0:c r="P129" s="84" t="n"/>
      <ns0:c r="Q129" s="79" t="n">
        <ns0:v>14450</ns0:v>
      </ns0:c>
      <ns0:c r="R129" s="74" t="inlineStr">
        <ns0:is>
          <ns0:t>press:vbdata/动脉网: 上市总市值144.5亿</ns0:t>
        </ns0:is>
      </ns0:c>
      <ns0:c r="S129" s="80" t="n">
        <ns0:v>45.27</ns0:v>
      </ns0:c>
      <ns0:c r="T129" s="81" t="n">
        <ns0:v>2.14</ns0:v>
      </ns0:c>
      <ns0:c r="U129" s="82" t="n">
        <ns0:v>61.9</ns0:v>
      </ns0:c>
      <ns0:c r="V129" s="83" t="n">
        <ns0:v>110</ns0:v>
      </ns0:c>
      <ns0:c r="W129" s="84" t="n"/>
      <ns0:c r="X129" s="85" t="n"/>
      <ns0:c r="Y129" s="79" t="n">
        <ns0:v>128.63</ns0:v>
      </ns0:c>
      <ns0:c r="Z129" s="79" t="n">
        <ns0:v>5219700</ns0:v>
      </ns0:c>
      <ns0:c r="AA129" s="78" t="n">
        <ns0:v>0.89</ns0:v>
      </ns0:c>
      <ns0:c r="AB129" s="74" t="inlineStr">
        <ns0:is>
          <ns0:t>Harvest; Xinhuanet Co., Ltd</ns0:t>
        </ns0:is>
      </ns0:c>
      <ns0:c r="AC129" s="74" t="inlineStr">
        <ns0:is>
          <ns0:t>harvest;xinhuanet</ns0:t>
        </ns0:is>
      </ns0:c>
      <ns0:c r="AD129" s="84" t="n"/>
      <ns0:c r="AE129" s="74" t="inlineStr">
        <ns0:is>
          <ns0:t>lapsed</ns0:t>
        </ns0:is>
      </ns0:c>
      <ns0:c r="AF129" s="74" t="inlineStr">
        <ns0:is>
          <ns0:t>2022-08-07</ns0:t>
        </ns0:is>
      </ns0:c>
      <ns0:c r="AG129" s="74" t="inlineStr">
        <ns0:is>
          <ns0:t>China International Capital Corporation Hong Kong Securities Limited</ns0:t>
        </ns0:is>
      </ns0:c>
      <ns0:c r="AH129" s="74" t="inlineStr">
        <ns0:is>
          <ns0:t>China International</ns0:t>
        </ns0:is>
      </ns0:c>
      <ns0:c r="AI129" s="86" t="n">
        <ns0:v>-0.37</ns0:v>
      </ns0:c>
      <ns0:c r="AJ129" s="87" t="n">
        <ns0:v>-0.16</ns0:v>
      </ns0:c>
      <ns0:c r="AK129" s="87" t="n">
        <ns0:v>-2.55</ns0:v>
      </ns0:c>
      <ns0:c r="AL129" s="87" t="n">
        <ns0:v>0.24</ns0:v>
      </ns0:c>
      <ns0:c r="AM129" s="87" t="n">
        <ns0:v>-0.4</ns0:v>
      </ns0:c>
      <ns0:c r="AN129" s="88" t="n"/>
      <ns0:c r="AO129" s="78" t="n">
        <ns0:v>4.25</ns0:v>
      </ns0:c>
      <ns0:c r="AP129" s="87" t="n">
        <ns0:v>-0.37</ns0:v>
      </ns0:c>
      <ns0:c r="AQ129" s="87" t="n">
        <ns0:v>-0.97</ns0:v>
      </ns0:c>
      <ns0:c r="AR129" s="87" t="n">
        <ns0:v>-0.37</ns0:v>
      </ns0:c>
      <ns0:c r="AS129" s="87" t="n">
        <ns0:v>-0.21</ns0:v>
      </ns0:c>
      <ns0:c r="AT129" s="87" t="n">
        <ns0:v>-0.8100000000000001</ns0:v>
      </ns0:c>
      <ns0:c r="AU129" s="87" t="n">
        <ns0:v>-0.21</ns0:v>
      </ns0:c>
      <ns0:c r="AV129" s="87" t="n">
        <ns0:v>2.56</ns0:v>
      </ns0:c>
      <ns0:c r="AW129" s="87" t="n">
        <ns0:v>5.44</ns0:v>
      </ns0:c>
      <ns0:c r="AX129" s="87" t="n">
        <ns0:v>17.36</ns0:v>
      </ns0:c>
      <ns0:c r="AY129" s="87" t="n">
        <ns0:v>3.16</ns0:v>
      </ns0:c>
      <ns0:c r="AZ129" s="87" t="n">
        <ns0:v>-6.41</ns0:v>
      </ns0:c>
      <ns0:c r="BA129" s="87" t="n">
        <ns0:v>-3.97</ns0:v>
      </ns0:c>
      <ns0:c r="BB129" s="74" t="inlineStr">
        <ns0:is>
          <ns0:t>China Biotech ETF (HS biotech proxy)</ns0:t>
        </ns0:is>
      </ns0:c>
      <ns0:c r="BC129" s="87" t="n">
        <ns0:v>-67.31</ns0:v>
      </ns0:c>
      <ns0:c r="BD129" s="75" t="n">
        <ns0:v>46265</ns0:v>
      </ns0:c>
      <ns0:c r="BE129" s="76" t="n">
        <ns0:v>421.1</ns0:v>
      </ns0:c>
      <ns0:c r="BF129" s="97" t="n"/>
      <ns0:c r="BG129" s="74" t="inlineStr">
        <ns0:is>
          <ns0:t>Y</ns0:t>
        </ns0:is>
      </ns0:c>
      <ns0:c r="BH129" s="90">
        <ns0:f>IFERROR(IF('BBG Verify'!O129="","Awaiting Bloomberg",'BBG Verify'!O129),"Awaiting Bloomberg")</ns0:f>
        <ns0:v/>
      </ns0:c>
      <ns0:c r="BI129" s="88" t="n"/>
      <ns0:c r="BJ129" s="89" t="n">
        <ns0:v>23.6</ns0:v>
      </ns0:c>
      <ns0:c r="BK129" s="89" t="n">
        <ns0:v>34.3</ns0:v>
      </ns0:c>
      <ns0:c r="BL129" s="90">
        <ns0:f>IFERROR(IF('BBG Verify'!S129="","Awaiting Bloomberg",'BBG Verify'!S129),"Awaiting Bloomberg")</ns0:f>
        <ns0:v/>
      </ns0:c>
      <ns0:c r="BM129" s="91" t="inlineStr">
        <ns0:is>
          <ns0:t>N</ns0:t>
        </ns0:is>
      </ns0:c>
      <ns0:c r="BN129" s="92">
        <ns0:f>IFERROR(IF('BBG Verify'!K129="","Awaiting Bloomberg",'BBG Verify'!K129),"Awaiting Bloomberg")</ns0:f>
        <ns0:v/>
      </ns0:c>
      <ns0:c r="BO129" s="74" t="inlineStr">
        <ns0:is>
          <ns0:t>N/A</ns0:t>
        </ns0:is>
      </ns0:c>
      <ns0:c r="BP129" s="74" t="inlineStr">
        <ns0:is>
          <ns0:t>N/A</ns0:t>
        </ns0:is>
      </ns0:c>
      <ns0:c r="BQ129" s="74" t="inlineStr">
        <ns0:is>
          <ns0:t>N/A</ns0:t>
        </ns0:is>
      </ns0:c>
      <ns0:c r="BR129" s="74" t="inlineStr">
        <ns0:is>
          <ns0:t>N/A</ns0:t>
        </ns0:is>
      </ns0:c>
      <ns0:c r="BS129" s="74" t="inlineStr">
        <ns0:is>
          <ns0:t>N/A</ns0:t>
        </ns0:is>
      </ns0:c>
      <ns0:c r="BT129" s="74" t="inlineStr">
        <ns0:is>
          <ns0:t>N/A</ns0:t>
        </ns0:is>
      </ns0:c>
      <ns0:c r="BU129" s="91" t="inlineStr">
        <ns0:is>
          <ns0:t>J.P. Morgan Securities (Far East) Limited; China International Capital Corporation Hong Kong Securities Limited</ns0:t>
        </ns0:is>
      </ns0:c>
      <ns0:c r="BV129" s="74" t="inlineStr">
        <ns0:is>
          <ns0:t>China International Capital Corporation Hong Kong Securities Limited; J.P. Morgan Securities (Far East) Limited</ns0:t>
        </ns0:is>
      </ns0:c>
      <ns0:c r="BW129" s="74" t="inlineStr">
        <ns0:is>
          <ns0:t>J.P. Morgan Securities (Asia Pacific) Limited; China International Capital Corporation Hong Kong Securities Limited; J.P. Morgan Securities plc; Futu Securities International (Hong Kong) Limited; Livermore Holdings Limited</ns0:t>
        </ns0:is>
      </ns0:c>
      <ns0:c r="BX129" s="74" t="inlineStr">
        <ns0:is>
          <ns0:t>China International Capital Corporation Hong Kong Securities Limited; Futu Securities International (Hong Kong) Limited; J.P. Morgan Securities (Asia Pacific) Limited; Livermore Holdings Limited</ns0:t>
        </ns0:is>
      </ns0:c>
      <ns0:c r="BY129" s="93">
        <ns0:f>HYPERLINK("https://www1.hkexnews.hk/listedco/listconews/sehk/2022/0629/2022062900318.htm","prospectus")</ns0:f>
        <ns0:v/>
      </ns0:c>
      <ns0:c r="BZ129" s="93">
        <ns0:f>HYPERLINK("https://www1.hkexnews.hk/listedco/listconews/sehk/2022/0714/2022071400060.htm","allotment")</ns0:f>
        <ns0:v/>
      </ns0:c>
      <ns0:c r="CA129" s="93">
        <ns0:f>HYPERLINK("https://www1.hkexnews.hk/listedco/listconews/sehk/2022/0807/2022080700009.pdf","stabilisation")</ns0:f>
        <ns0:v/>
      </ns0:c>
      <ns0:c r="CB129" s="94" t="n"/>
      <ns0:c r="CC129" s="74" t="inlineStr">
        <ns0:is>
          <ns0:t>P/E: withheld: 543x fails the 300x plausibility cap; extracted net income HK$26.6m suspect; price range: fixed-price offering (no indicative range); range low: maximum offer price only, no floor published; greenshoe size: no over-allotment option; financials: not extractable; pre-IPO year outside the AAStocks window; price series: last available quoted close 2026-08-31; may be suspended, delisted or a source gap; price and benchmark end on that date; allocation: allocation table not in this notice's format (older prose announcement); day-1 tape: volume on file; the retail multiple needs the final public split, which this notice does not state</ns0:t>
        </ns0:is>
      </ns0:c>
    </ns0:row>
    <ns0:row r="130" ht="22" customHeight="1">
      <ns0:c r="A130" s="73" t="inlineStr">
        <ns0:is>
          <ns0:t>2237</ns0:t>
        </ns0:is>
      </ns0:c>
      <ns0:c r="B130" s="74" t="inlineStr">
        <ns0:is>
          <ns0:t>CHINA GRAPHITE</ns0:t>
        </ns0:is>
      </ns0:c>
      <ns0:c r="C130" s="74" t="inlineStr">
        <ns0:is>
          <ns0:t>中國石墨</ns0:t>
        </ns0:is>
      </ns0:c>
      <ns0:c r="D130" s="74" t="inlineStr">
        <ns0:is>
          <ns0:t>Materials/Energy</ns0:t>
        </ns0:is>
      </ns0:c>
      <ns0:c r="E130" s="74" t="inlineStr">
        <ns0:is>
          <ns0:t>Mining / metals</ns0:t>
        </ns0:is>
      </ns0:c>
      <ns0:c r="F130" s="74" t="inlineStr">
        <ns0:is>
          <ns0:t>Diversified Metals &amp; Minerals</ns0:t>
        </ns0:is>
      </ns0:c>
      <ns0:c r="G130" s="74" t="inlineStr">
        <ns0:is>
          <ns0:t>Standard</ns0:t>
        </ns0:is>
      </ns0:c>
      <ns0:c r="H130" s="75" t="n">
        <ns0:v>44760</ns0:v>
      </ns0:c>
      <ns0:c r="I130" s="76" t="n">
        <ns0:v>130</ns0:v>
      </ns0:c>
      <ns0:c r="J130" s="74" t="inlineStr">
        <ns0:is>
          <ns0:t>gross (price x shares)</ns0:t>
        </ns0:is>
      </ns0:c>
      <ns0:c r="K130" s="77" t="n">
        <ns0:v>0.325</ns0:v>
      </ns0:c>
      <ns0:c r="L130" s="77" t="n">
        <ns0:v>0.375</ns0:v>
      </ns0:c>
      <ns0:c r="M130" s="77" t="n">
        <ns0:v>0.325</ns0:v>
      </ns0:c>
      <ns0:c r="N130" s="74" t="inlineStr">
        <ns0:is>
          <ns0:t>N</ns0:t>
        </ns0:is>
      </ns0:c>
      <ns0:c r="O130" s="78" t="n">
        <ns0:v>86.7</ns0:v>
      </ns0:c>
      <ns0:c r="P130" s="78" t="n">
        <ns0:v>0</ns0:v>
      </ns0:c>
      <ns0:c r="Q130" s="79" t="n">
        <ns0:v>520</ns0:v>
      </ns0:c>
      <ns0:c r="R130" s="74" t="inlineStr">
        <ns0:is>
          <ns0:t>derived:deal size / offer % of enlarged capital</ns0:t>
        </ns0:is>
      </ns0:c>
      <ns0:c r="S130" s="80" t="n">
        <ns0:v>26.51</ns0:v>
      </ns0:c>
      <ns0:c r="T130" s="81" t="n">
        <ns0:v>1.06</ns0:v>
      </ns0:c>
      <ns0:c r="U130" s="82" t="n">
        <ns0:v>0</ns0:v>
      </ns0:c>
      <ns0:c r="V130" s="83" t="n">
        <ns0:v>202</ns0:v>
      </ns0:c>
      <ns0:c r="W130" s="84" t="n"/>
      <ns0:c r="X130" s="85" t="n"/>
      <ns0:c r="Y130" s="79" t="n">
        <ns0:v>130</ns0:v>
      </ns0:c>
      <ns0:c r="Z130" s="79" t="n">
        <ns0:v>400000000</ns0:v>
      </ns0:c>
      <ns0:c r="AA130" s="78" t="n">
        <ns0:v>25</ns0:v>
      </ns0:c>
      <ns0:c r="AB130" s="74" t="inlineStr">
        <ns0:is>
          <ns0:t>none — no cornerstone tranche</ns0:t>
        </ns0:is>
      </ns0:c>
      <ns0:c r="AC130" s="74" t="inlineStr">
        <ns0:is>
          <ns0:t>none</ns0:t>
        </ns0:is>
      </ns0:c>
      <ns0:c r="AD130" s="78" t="n">
        <ns0:v>15</ns0:v>
      </ns0:c>
      <ns0:c r="AE130" s="74" t="inlineStr">
        <ns0:is>
          <ns0:t>lapsed (no over-allocation)</ns0:t>
        </ns0:is>
      </ns0:c>
      <ns0:c r="AF130" s="85" t="n"/>
      <ns0:c r="AG130" s="74" t="inlineStr">
        <ns0:is>
          <ns0:t>Lego Securities Lim ited</ns0:t>
        </ns0:is>
      </ns0:c>
      <ns0:c r="AH130" s="74" t="inlineStr">
        <ns0:is>
          <ns0:t>Lego</ns0:t>
        </ns0:is>
      </ns0:c>
      <ns0:c r="AI130" s="86" t="n">
        <ns0:v>15.38</ns0:v>
      </ns0:c>
      <ns0:c r="AJ130" s="87" t="n">
        <ns0:v>143.08</ns0:v>
      </ns0:c>
      <ns0:c r="AK130" s="87" t="n">
        <ns0:v>2.83</ns0:v>
      </ns0:c>
      <ns0:c r="AL130" s="87" t="n">
        <ns0:v>35.38</ns0:v>
      </ns0:c>
      <ns0:c r="AM130" s="87" t="n">
        <ns0:v>79.55</ns0:v>
      </ns0:c>
      <ns0:c r="AN130" s="88" t="n"/>
      <ns0:c r="AO130" s="78" t="n">
        <ns0:v>187.5</ns0:v>
      </ns0:c>
      <ns0:c r="AP130" s="87" t="n">
        <ns0:v>56.92</ns0:v>
      </ns0:c>
      <ns0:c r="AQ130" s="87" t="n">
        <ns0:v>176.92</ns0:v>
      </ns0:c>
      <ns0:c r="AR130" s="87" t="n">
        <ns0:v>183.08</ns0:v>
      </ns0:c>
      <ns0:c r="AS130" s="87" t="n">
        <ns0:v>-35.45</ns0:v>
      </ns0:c>
      <ns0:c r="AT130" s="87" t="n">
        <ns0:v>13.92</ns0:v>
      </ns0:c>
      <ns0:c r="AU130" s="87" t="n">
        <ns0:v>16.46</ns0:v>
      </ns0:c>
      <ns0:c r="AV130" s="87" t="n">
        <ns0:v>55.26</ns0:v>
      </ns0:c>
      <ns0:c r="AW130" s="87" t="n">
        <ns0:v>180.79</ns0:v>
      </ns0:c>
      <ns0:c r="AX130" s="87" t="n">
        <ns0:v>203.2</ns0:v>
      </ns0:c>
      <ns0:c r="AY130" s="87" t="n">
        <ns0:v>20.44</ns0:v>
      </ns0:c>
      <ns0:c r="AZ130" s="87" t="n">
        <ns0:v>-3.87</ns0:v>
      </ns0:c>
      <ns0:c r="BA130" s="87" t="n">
        <ns0:v>-6.52</ns0:v>
      </ns0:c>
      <ns0:c r="BB130" s="74" t="inlineStr">
        <ns0:is>
          <ns0:t>Hang Seng Commerce &amp; Industry sub-index</ns0:t>
        </ns0:is>
      </ns0:c>
      <ns0:c r="BC130" s="87" t="n">
        <ns0:v>-44.92</ns0:v>
      </ns0:c>
      <ns0:c r="BD130" s="75" t="n">
        <ns0:v>46297</ns0:v>
      </ns0:c>
      <ns0:c r="BE130" s="76" t="n">
        <ns0:v>218.2</ns0:v>
      </ns0:c>
      <ns0:c r="BF130" s="79" t="n">
        <ns0:v>58.7</ns0:v>
      </ns0:c>
      <ns0:c r="BG130" s="74" t="inlineStr">
        <ns0:is>
          <ns0:t>Y</ns0:t>
        </ns0:is>
      </ns0:c>
      <ns0:c r="BH130" s="89" t="n">
        <ns0:v>8.9</ns0:v>
      </ns0:c>
      <ns0:c r="BI130" s="88" t="n"/>
      <ns0:c r="BJ130" s="89" t="n">
        <ns0:v>53.8</ns0:v>
      </ns0:c>
      <ns0:c r="BK130" s="89" t="n">
        <ns0:v>2.4</ns0:v>
      </ns0:c>
      <ns0:c r="BL130" s="90">
        <ns0:f>IFERROR(IF('BBG Verify'!S130="","Awaiting Bloomberg",'BBG Verify'!S130),"Awaiting Bloomberg")</ns0:f>
        <ns0:v/>
      </ns0:c>
      <ns0:c r="BM130" s="91" t="inlineStr">
        <ns0:is>
          <ns0:t>N</ns0:t>
        </ns0:is>
      </ns0:c>
      <ns0:c r="BN130" s="92">
        <ns0:f>IFERROR(IF('BBG Verify'!K130="","Awaiting Bloomberg",'BBG Verify'!K130),"Awaiting Bloomberg")</ns0:f>
        <ns0:v/>
      </ns0:c>
      <ns0:c r="BO130" s="74" t="inlineStr">
        <ns0:is>
          <ns0:t>N/A</ns0:t>
        </ns0:is>
      </ns0:c>
      <ns0:c r="BP130" s="74" t="inlineStr">
        <ns0:is>
          <ns0:t>N/A</ns0:t>
        </ns0:is>
      </ns0:c>
      <ns0:c r="BQ130" s="74" t="inlineStr">
        <ns0:is>
          <ns0:t>N/A</ns0:t>
        </ns0:is>
      </ns0:c>
      <ns0:c r="BR130" s="74" t="inlineStr">
        <ns0:is>
          <ns0:t>N/A</ns0:t>
        </ns0:is>
      </ns0:c>
      <ns0:c r="BS130" s="74" t="inlineStr">
        <ns0:is>
          <ns0:t>N/A</ns0:t>
        </ns0:is>
      </ns0:c>
      <ns0:c r="BT130" s="74" t="inlineStr">
        <ns0:is>
          <ns0:t>N/A</ns0:t>
        </ns0:is>
      </ns0:c>
      <ns0:c r="BU130" s="91" t="inlineStr">
        <ns0:is>
          <ns0:t>Lego Corporate Finance Limited</ns0:t>
        </ns0:is>
      </ns0:c>
      <ns0:c r="BV130" s="74" t="inlineStr">
        <ns0:is>
          <ns0:t>Lego Corporate Finance Limited</ns0:t>
        </ns0:is>
      </ns0:c>
      <ns0:c r="BW130" s="74" t="inlineStr">
        <ns0:is>
          <ns0:t>China Galaxy Internati onal Securities (Hong Kong) Co., Limited; China Tonghai Securities Limited; Guotai Junan Securities (Hong Kong) Limited</ns0:t>
        </ns0:is>
      </ns0:c>
      <ns0:c r="BX130" s="74" t="inlineStr">
        <ns0:is>
          <ns0: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ns0:t>
        </ns0:is>
      </ns0:c>
      <ns0:c r="BY130" s="93">
        <ns0:f>HYPERLINK("https://www1.hkexnews.hk/listedco/listconews/sehk/2022/0630/2022063000021.pdf","prospectus")</ns0:f>
        <ns0:v/>
      </ns0:c>
      <ns0:c r="BZ130" s="93">
        <ns0:f>HYPERLINK("https://www1.hkexnews.hk/listedco/listconews/sehk/2022/0715/2022071500016.htm","allotment")</ns0:f>
        <ns0:v/>
      </ns0:c>
      <ns0:c r="CA130" s="93">
        <ns0:f>HYPERLINK("https://www1.hkexnews.hk/listedco/listconews/sehk/2022/0808/2022080800011.pdf","stabilisation")</ns0:f>
        <ns0:v/>
      </ns0:c>
      <ns0:c r="CB130" s="94" t="n"/>
      <ns0:c r="CC130" s="74" t="inlineStr">
        <ns0:is>
          <ns0:t>greenshoe: outcome published; expiry date not in the notice; cornerstone list: no cornerstone tranche; allocation: allocation table not in this notice's format (older prose announcement); day-1 tape: volume on file; the retail multiple needs the final public split, which this notice does not state</ns0:t>
        </ns0:is>
      </ns0:c>
    </ns0:row>
    <ns0:row r="131" ht="22" customHeight="1">
      <ns0:c r="A131" s="73" t="inlineStr">
        <ns0:is>
          <ns0:t>9857</ns0:t>
        </ns0:is>
      </ns0:c>
      <ns0:c r="B131" s="74" t="inlineStr">
        <ns0:is>
          <ns0:t>LINMON MEDIA</ns0:t>
        </ns0:is>
      </ns0:c>
      <ns0:c r="C131" s="74" t="inlineStr">
        <ns0:is>
          <ns0:t>檸萌影視</ns0:t>
        </ns0:is>
      </ns0:c>
      <ns0:c r="D131" s="74" t="inlineStr">
        <ns0:is>
          <ns0:t>Media &amp; telecom</ns0:t>
        </ns0:is>
      </ns0:c>
      <ns0:c r="E131" s="74" t="inlineStr">
        <ns0:is>
          <ns0:t>Media / advertising</ns0:t>
        </ns0:is>
      </ns0:c>
      <ns0:c r="F131" s="74" t="inlineStr">
        <ns0:is>
          <ns0:t>Movies &amp; Entertainment</ns0:t>
        </ns0:is>
      </ns0:c>
      <ns0:c r="G131" s="74" t="inlineStr">
        <ns0:is>
          <ns0:t>Standard</ns0:t>
        </ns0:is>
      </ns0:c>
      <ns0:c r="H131" s="75" t="n">
        <ns0:v>44783</ns0:v>
      </ns0:c>
      <ns0:c r="I131" s="76" t="n">
        <ns0:v>420.1</ns0:v>
      </ns0:c>
      <ns0:c r="J131" s="74" t="inlineStr">
        <ns0:is>
          <ns0:t>gross (price x shares)</ns0:t>
        </ns0:is>
      </ns0:c>
      <ns0:c r="K131" s="77" t="n">
        <ns0:v>27.75</ns0:v>
      </ns0:c>
      <ns0:c r="L131" s="77" t="n">
        <ns0:v>33.3</ns0:v>
      </ns0:c>
      <ns0:c r="M131" s="77" t="n">
        <ns0:v>27.75</ns0:v>
      </ns0:c>
      <ns0:c r="N131" s="74" t="inlineStr">
        <ns0:is>
          <ns0:t>N</ns0:t>
        </ns0:is>
      </ns0:c>
      <ns0:c r="O131" s="78" t="n">
        <ns0:v>83.3</ns0:v>
      </ns0:c>
      <ns0:c r="P131" s="78" t="n">
        <ns0:v>0</ns0:v>
      </ns0:c>
      <ns0:c r="Q131" s="79" t="n">
        <ns0:v>11669.9</ns0:v>
      </ns0:c>
      <ns0:c r="R131" s="74" t="inlineStr">
        <ns0:is>
          <ns0:t>aastocks:上市市值 at the struck price</ns0:t>
        </ns0:is>
      </ns0:c>
      <ns0:c r="S131" s="80" t="n">
        <ns0:v>0.8100000000000001</ns0:v>
      </ns0:c>
      <ns0:c r="T131" s="81" t="n">
        <ns0:v>1.38</ns0:v>
      </ns0:c>
      <ns0:c r="U131" s="82" t="n">
        <ns0:v>46.7</ns0:v>
      </ns0:c>
      <ns0:c r="V131" s="83" t="n">
        <ns0:v>112</ns0:v>
      </ns0:c>
      <ns0:c r="W131" s="78" t="n">
        <ns0:v>8.07</ns0:v>
      </ns0:c>
      <ns0:c r="X131" s="74" t="inlineStr">
        <ns0:is>
          <ns0:t>NO</ns0:t>
        </ns0:is>
      </ns0:c>
      <ns0:c r="Y131" s="79" t="n">
        <ns0:v>223.91</ns0:v>
      </ns0:c>
      <ns0:c r="Z131" s="79" t="n">
        <ns0:v>8069247</ns0:v>
      </ns0:c>
      <ns0:c r="AA131" s="78" t="n">
        <ns0:v>1.92</ns0:v>
      </ns0:c>
      <ns0:c r="AB131" s="74" t="inlineStr">
        <ns0:is>
          <ns0:t>Harvest International Premium Value (Secondary Market) Fund SPC; Heilan Group Co., Limited</ns0:t>
        </ns0:is>
      </ns0:c>
      <ns0:c r="AC131" s="74" t="inlineStr">
        <ns0:is>
          <ns0:t>harvest;heilan</ns0:t>
        </ns0:is>
      </ns0:c>
      <ns0:c r="AD131" s="78" t="n">
        <ns0:v>20</ns0:v>
      </ns0:c>
      <ns0:c r="AE131" s="74" t="inlineStr">
        <ns0:is>
          <ns0:t>lapsed</ns0:t>
        </ns0:is>
      </ns0:c>
      <ns0:c r="AF131" s="74" t="inlineStr">
        <ns0:is>
          <ns0:t>2022-09-02</ns0:t>
        </ns0:is>
      </ns0:c>
      <ns0:c r="AG131" s="74" t="inlineStr">
        <ns0:is>
          <ns0:t>Morgan Stanley Asia Limited</ns0:t>
        </ns0:is>
      </ns0:c>
      <ns0:c r="AH131" s="74" t="inlineStr">
        <ns0:is>
          <ns0:t>Morgan Stanley</ns0:t>
        </ns0:is>
      </ns0:c>
      <ns0:c r="AI131" s="86" t="n">
        <ns0:v>-2.52</ns0:v>
      </ns0:c>
      <ns0:c r="AJ131" s="87" t="n">
        <ns0:v>-2.7</ns0:v>
      </ns0:c>
      <ns0:c r="AK131" s="87" t="n">
        <ns0:v>-1.96</ns0:v>
      </ns0:c>
      <ns0:c r="AL131" s="87" t="n">
        <ns0:v>0</ns0:v>
      </ns0:c>
      <ns0:c r="AM131" s="87" t="n">
        <ns0:v>-2.7</ns0:v>
      </ns0:c>
      <ns0:c r="AN131" s="89" t="n">
        <ns0:v>1.37</ns0:v>
      </ns0:c>
      <ns0:c r="AO131" s="78" t="n">
        <ns0:v>4.32</ns0:v>
      </ns0:c>
      <ns0:c r="AP131" s="87" t="n">
        <ns0:v>0</ns0:v>
      </ns0:c>
      <ns0:c r="AQ131" s="87" t="n">
        <ns0:v>-3.42</ns0:v>
      </ns0:c>
      <ns0:c r="AR131" s="87" t="n">
        <ns0:v>-12.43</ns0:v>
      </ns0:c>
      <ns0:c r="AS131" s="87" t="n">
        <ns0:v>2.77</ns0:v>
      </ns0:c>
      <ns0:c r="AT131" s="87" t="n">
        <ns0:v>-0.74</ns0:v>
      </ns0:c>
      <ns0:c r="AU131" s="87" t="n">
        <ns0:v>-10</ns0:v>
      </ns0:c>
      <ns0:c r="AV131" s="87" t="n">
        <ns0:v>0.4</ns0:v>
      </ns0:c>
      <ns0:c r="AW131" s="87" t="n">
        <ns0:v>2.32</ns0:v>
      </ns0:c>
      <ns0:c r="AX131" s="87" t="n">
        <ns0:v>5.79</ns0:v>
      </ns0:c>
      <ns0:c r="AY131" s="87" t="n">
        <ns0:v>3.12</ns0:v>
      </ns0:c>
      <ns0:c r="AZ131" s="87" t="n">
        <ns0:v>-5.74</ns0:v>
      </ns0:c>
      <ns0:c r="BA131" s="87" t="n">
        <ns0:v>-3.86</ns0:v>
      </ns0:c>
      <ns0:c r="BB131" s="74" t="inlineStr">
        <ns0:is>
          <ns0:t>Hang Seng Index</ns0:t>
        </ns0:is>
      </ns0:c>
      <ns0:c r="BC131" s="87" t="n">
        <ns0:v>-90.27</ns0:v>
      </ns0:c>
      <ns0:c r="BD131" s="75" t="n">
        <ns0:v>46297</ns0:v>
      </ns0:c>
      <ns0:c r="BE131" s="76" t="n">
        <ns0:v>1373.9</ns0:v>
      </ns0:c>
      <ns0:c r="BF131" s="79" t="n">
        <ns0:v>67</ns0:v>
      </ns0:c>
      <ns0:c r="BG131" s="74" t="inlineStr">
        <ns0:is>
          <ns0:t>Y</ns0:t>
        </ns0:is>
      </ns0:c>
      <ns0:c r="BH131" s="89" t="n">
        <ns0:v>174.2</ns0:v>
      </ns0:c>
      <ns0:c r="BI131" s="88" t="n"/>
      <ns0:c r="BJ131" s="89" t="n">
        <ns0:v>27.3</ns0:v>
      </ns0:c>
      <ns0:c r="BK131" s="89" t="n">
        <ns0:v>8.5</ns0:v>
      </ns0:c>
      <ns0:c r="BL131" s="90">
        <ns0:f>IFERROR(IF('BBG Verify'!S131="","Awaiting Bloomberg",'BBG Verify'!S131),"Awaiting Bloomberg")</ns0:f>
        <ns0:v/>
      </ns0:c>
      <ns0:c r="BM131" s="91" t="inlineStr">
        <ns0:is>
          <ns0:t>N</ns0:t>
        </ns0:is>
      </ns0:c>
      <ns0:c r="BN131" s="92">
        <ns0:f>IFERROR(IF('BBG Verify'!K131="","Awaiting Bloomberg",'BBG Verify'!K131),"Awaiting Bloomberg")</ns0:f>
        <ns0:v/>
      </ns0:c>
      <ns0:c r="BO131" s="74" t="inlineStr">
        <ns0:is>
          <ns0:t>N/A</ns0:t>
        </ns0:is>
      </ns0:c>
      <ns0:c r="BP131" s="74" t="inlineStr">
        <ns0:is>
          <ns0:t>N/A</ns0:t>
        </ns0:is>
      </ns0:c>
      <ns0:c r="BQ131" s="74" t="inlineStr">
        <ns0:is>
          <ns0:t>N/A</ns0:t>
        </ns0:is>
      </ns0:c>
      <ns0:c r="BR131" s="74" t="inlineStr">
        <ns0:is>
          <ns0:t>N/A</ns0:t>
        </ns0:is>
      </ns0:c>
      <ns0:c r="BS131" s="74" t="inlineStr">
        <ns0:is>
          <ns0:t>N/A</ns0:t>
        </ns0:is>
      </ns0:c>
      <ns0:c r="BT131" s="74" t="inlineStr">
        <ns0:is>
          <ns0:t>N/A</ns0:t>
        </ns0:is>
      </ns0:c>
      <ns0:c r="BU131" s="91" t="inlineStr">
        <ns0:is>
          <ns0:t>Morgan Stanley Asia Limited; China International Capital Corporation Hong Kong Securities Limited</ns0:t>
        </ns0:is>
      </ns0:c>
      <ns0:c r="BV131" s="74" t="inlineStr">
        <ns0:is>
          <ns0:t>China International Capital Corporation Hong Kong Securities Limited; Morgan Stanley Asia Limited</ns0:t>
        </ns0:is>
      </ns0:c>
      <ns0:c r="BW131" s="74" t="inlineStr">
        <ns0:is>
          <ns0:t>Morgan Stanley Asia Limited; China International Capital Corporation Hong Kong Securities Limited; CMB International Capital Limited; Futu Securities International (Hong Kong) Limited</ns0:t>
        </ns0:is>
      </ns0:c>
      <ns0:c r="BX131" s="74" t="inlineStr">
        <ns0:is>
          <ns0:t>China International Capital Corporation Hong Kong Securities Limited; CMB International Capital Limited; Futu Securities International (Hong Kong) Limited; Livermore Holdings Limited; Morgan Stanley Asia Limited</ns0:t>
        </ns0:is>
      </ns0:c>
      <ns0:c r="BY131" s="93">
        <ns0:f>HYPERLINK("https://www1.hkexnews.hk/listedco/listconews/sehk/2022/0729/2022072900015.pdf","prospectus")</ns0:f>
        <ns0:v/>
      </ns0:c>
      <ns0:c r="BZ131" s="93">
        <ns0:f>HYPERLINK("https://www1.hkexnews.hk/listedco/listconews/sehk/2022/0809/2022080900036.htm","allotment")</ns0:f>
        <ns0:v/>
      </ns0:c>
      <ns0:c r="CA131" s="93">
        <ns0:f>HYPERLINK("https://www1.hkexnews.hk/listedco/listconews/sehk/2022/0902/2022090202423.pdf","stabilisation")</ns0:f>
        <ns0:v/>
      </ns0:c>
      <ns0:c r="CB131" s="94" t="n"/>
      <ns0:c r="CC131" s="74" t="inlineStr">
        <ns0:is>
          <ns0:t>market cap: published listing cap used; the estimate from stated market capitalisation, rescaled to the offer price disagreed</ns0:t>
        </ns0:is>
      </ns0:c>
    </ns0:row>
    <ns0:row r="132" ht="22" customHeight="1">
      <ns0:c r="A132" s="73" t="inlineStr">
        <ns0:is>
          <ns0:t>2321</ns0:t>
        </ns0:is>
      </ns0:c>
      <ns0:c r="B132" s="74" t="inlineStr">
        <ns0:is>
          <ns0:t>SWANGCHAICHUAN</ns0:t>
        </ns0:is>
      </ns0:c>
      <ns0:c r="C132" s="74" t="inlineStr">
        <ns0:is>
          <ns0:t>雙財莊</ns0:t>
        </ns0:is>
      </ns0:c>
      <ns0:c r="D132" s="74" t="inlineStr">
        <ns0:is>
          <ns0:t>Materials/Energy</ns0:t>
        </ns0:is>
      </ns0:c>
      <ns0:c r="E132" s="74" t="inlineStr">
        <ns0:is>
          <ns0:t>Oil &amp; gas / utilities</ns0:t>
        </ns0:is>
      </ns0:c>
      <ns0:c r="F132" s="74" t="inlineStr">
        <ns0:is>
          <ns0:t>Packaged Foods</ns0:t>
        </ns0:is>
      </ns0:c>
      <ns0:c r="G132" s="74" t="inlineStr">
        <ns0:is>
          <ns0:t>Standard</ns0:t>
        </ns0:is>
      </ns0:c>
      <ns0:c r="H132" s="75" t="n">
        <ns0:v>44792</ns0:v>
      </ns0:c>
      <ns0:c r="I132" s="76" t="n">
        <ns0:v>135</ns0:v>
      </ns0:c>
      <ns0:c r="J132" s="74" t="inlineStr">
        <ns0:is>
          <ns0:t>gross (price x shares)</ns0:t>
        </ns0:is>
      </ns0:c>
      <ns0:c r="K132" s="77" t="n">
        <ns0:v>0.52</ns0:v>
      </ns0:c>
      <ns0:c r="L132" s="77" t="n">
        <ns0:v>0.5600000000000001</ns0:v>
      </ns0:c>
      <ns0:c r="M132" s="77" t="n">
        <ns0:v>0.5600000000000001</ns0:v>
      </ns0:c>
      <ns0:c r="N132" s="74" t="inlineStr">
        <ns0:is>
          <ns0:t>Y</ns0:t>
        </ns0:is>
      </ns0:c>
      <ns0:c r="O132" s="78" t="n">
        <ns0:v>100</ns0:v>
      </ns0:c>
      <ns0:c r="P132" s="78" t="n">
        <ns0:v>100</ns0:v>
      </ns0:c>
      <ns0:c r="Q132" s="79" t="n">
        <ns0:v>487.4</ns0:v>
      </ns0:c>
      <ns0:c r="R132" s="74" t="inlineStr">
        <ns0:is>
          <ns0:t>derived:deal size / offer % of enlarged capital</ns0:t>
        </ns0:is>
      </ns0:c>
      <ns0:c r="S132" s="80" t="n">
        <ns0:v>19.2</ns0:v>
      </ns0:c>
      <ns0:c r="T132" s="81" t="n">
        <ns0:v>2.1</ns0:v>
      </ns0:c>
      <ns0:c r="U132" s="82" t="n">
        <ns0:v>38.4</ns0:v>
      </ns0:c>
      <ns0:c r="V132" s="83" t="n">
        <ns0:v>327</ns0:v>
      </ns0:c>
      <ns0:c r="W132" s="78" t="n">
        <ns0:v>30</ns0:v>
      </ns0:c>
      <ns0:c r="X132" s="74" t="inlineStr">
        <ns0:is>
          <ns0:t>YES</ns0:t>
        </ns0:is>
      </ns0:c>
      <ns0:c r="Y132" s="79" t="n">
        <ns0:v>83.16</ns0:v>
      </ns0:c>
      <ns0:c r="Z132" s="79" t="n">
        <ns0:v>148456000</ns0:v>
      </ns0:c>
      <ns0:c r="AA132" s="78" t="n">
        <ns0:v>17.06</ns0:v>
      </ns0:c>
      <ns0:c r="AB132" s="74" t="inlineStr">
        <ns0:is>
          <ns0:t>Dato Sri Ng Chong Keong; Dato Sri Pek Kok Sam; Huihuang Resources Limited; Mr. Tee Kian Heng</ns0:t>
        </ns0:is>
      </ns0:c>
      <ns0:c r="AC132" s="74" t="inlineStr">
        <ns0:is>
          <ns0:t>dato;huihuang;mr-tee</ns0:t>
        </ns0:is>
      </ns0:c>
      <ns0:c r="AD132" s="78" t="n">
        <ns0:v>15</ns0:v>
      </ns0:c>
      <ns0:c r="AE132" s="74" t="inlineStr">
        <ns0:is>
          <ns0:t>full</ns0:t>
        </ns0:is>
      </ns0:c>
      <ns0:c r="AF132" s="85" t="n"/>
      <ns0:c r="AG132" s="74" t="inlineStr">
        <ns0:is>
          <ns0:t>Elstone Securities Limited</ns0:t>
        </ns0:is>
      </ns0:c>
      <ns0:c r="AH132" s="74" t="inlineStr">
        <ns0:is>
          <ns0:t>Elstone</ns0:t>
        </ns0:is>
      </ns0:c>
      <ns0:c r="AI132" s="86" t="n">
        <ns0:v>53.57</ns0:v>
      </ns0:c>
      <ns0:c r="AJ132" s="87" t="n">
        <ns0:v>41.07</ns0:v>
      </ns0:c>
      <ns0:c r="AK132" s="87" t="n">
        <ns0:v>-0.04</ns0:v>
      </ns0:c>
      <ns0:c r="AL132" s="87" t="n">
        <ns0:v>42.86</ns0:v>
      </ns0:c>
      <ns0:c r="AM132" s="87" t="n">
        <ns0:v>-1.25</ns0:v>
      </ns0:c>
      <ns0:c r="AN132" s="89" t="n">
        <ns0:v>2.99</ns0:v>
      </ns0:c>
      <ns0:c r="AO132" s="78" t="n">
        <ns0:v>45</ns0:v>
      </ns0:c>
      <ns0:c r="AP132" s="87" t="n">
        <ns0:v>62.5</ns0:v>
      </ns0:c>
      <ns0:c r="AQ132" s="87" t="n">
        <ns0:v>96.43000000000001</ns0:v>
      </ns0:c>
      <ns0:c r="AR132" s="87" t="n">
        <ns0:v>258.93</ns0:v>
      </ns0:c>
      <ns0:c r="AS132" s="87" t="n">
        <ns0:v>15.19</ns0:v>
      </ns0:c>
      <ns0:c r="AT132" s="87" t="n">
        <ns0:v>39.24</ns0:v>
      </ns0:c>
      <ns0:c r="AU132" s="87" t="n">
        <ns0:v>154.43</ns0:v>
      </ns0:c>
      <ns0:c r="AV132" s="87" t="n">
        <ns0:v>59.03</ns0:v>
      </ns0:c>
      <ns0:c r="AW132" s="87" t="n">
        <ns0:v>102.35</ns0:v>
      </ns0:c>
      <ns0:c r="AX132" s="87" t="n">
        <ns0:v>268.7</ns0:v>
      </ns0:c>
      <ns0:c r="AY132" s="87" t="n">
        <ns0:v>45.12</ns0:v>
      </ns0:c>
      <ns0:c r="AZ132" s="87" t="n">
        <ns0:v>-5.92</ns0:v>
      </ns0:c>
      <ns0:c r="BA132" s="87" t="n">
        <ns0:v>-5.88</ns0:v>
      </ns0:c>
      <ns0:c r="BB132" s="74" t="inlineStr">
        <ns0:is>
          <ns0:t>Hang Seng Commerce &amp; Industry sub-index</ns0:t>
        </ns0:is>
      </ns0:c>
      <ns0:c r="BC132" s="87" t="n">
        <ns0:v>-5.36</ns0:v>
      </ns0:c>
      <ns0:c r="BD132" s="75" t="n">
        <ns0:v>46297</ns0:v>
      </ns0:c>
      <ns0:c r="BE132" s="76" t="n">
        <ns0:v>668.7</ns0:v>
      </ns0:c>
      <ns0:c r="BF132" s="79" t="n">
        <ns0:v>23.6</ns0:v>
      </ns0:c>
      <ns0:c r="BG132" s="74" t="inlineStr">
        <ns0:is>
          <ns0:t>Y</ns0:t>
        </ns0:is>
      </ns0:c>
      <ns0:c r="BH132" s="89" t="n">
        <ns0:v>20.7</ns0:v>
      </ns0:c>
      <ns0:c r="BI132" s="88" t="n"/>
      <ns0:c r="BJ132" s="89" t="n">
        <ns0:v>8.1</ns0:v>
      </ns0:c>
      <ns0:c r="BK132" s="89" t="n">
        <ns0:v>0.7</ns0:v>
      </ns0:c>
      <ns0:c r="BL132" s="90">
        <ns0:f>IFERROR(IF('BBG Verify'!S132="","Awaiting Bloomberg",'BBG Verify'!S132),"Awaiting Bloomberg")</ns0:f>
        <ns0:v/>
      </ns0:c>
      <ns0:c r="BM132" s="91" t="inlineStr">
        <ns0:is>
          <ns0:t>N</ns0:t>
        </ns0:is>
      </ns0:c>
      <ns0:c r="BN132" s="92">
        <ns0:f>IFERROR(IF('BBG Verify'!K132="","Awaiting Bloomberg",'BBG Verify'!K132),"Awaiting Bloomberg")</ns0:f>
        <ns0:v/>
      </ns0:c>
      <ns0:c r="BO132" s="74" t="inlineStr">
        <ns0:is>
          <ns0:t>N/A</ns0:t>
        </ns0:is>
      </ns0:c>
      <ns0:c r="BP132" s="74" t="inlineStr">
        <ns0:is>
          <ns0:t>N/A</ns0:t>
        </ns0:is>
      </ns0:c>
      <ns0:c r="BQ132" s="74" t="inlineStr">
        <ns0:is>
          <ns0:t>N/A</ns0:t>
        </ns0:is>
      </ns0:c>
      <ns0:c r="BR132" s="74" t="inlineStr">
        <ns0:is>
          <ns0:t>N/A</ns0:t>
        </ns0:is>
      </ns0:c>
      <ns0:c r="BS132" s="74" t="inlineStr">
        <ns0:is>
          <ns0:t>N/A</ns0:t>
        </ns0:is>
      </ns0:c>
      <ns0:c r="BT132" s="74" t="inlineStr">
        <ns0:is>
          <ns0:t>N/A</ns0:t>
        </ns0:is>
      </ns0:c>
      <ns0:c r="BU132" s="91" t="inlineStr">
        <ns0:is>
          <ns0:t>Sunny Fortune Capital Limited</ns0:t>
        </ns0:is>
      </ns0:c>
      <ns0:c r="BV132" s="74" t="inlineStr">
        <ns0:is>
          <ns0:t>Sunny Fortune Capital Limited</ns0:t>
        </ns0:is>
      </ns0:c>
      <ns0:c r="BW132" s="74" t="inlineStr">
        <ns0:is>
          <ns0:t>Sunny Fortune Capital Limited; Elstone Securities Limited; BOCOM International Securities Limited; China Galaxy International Securities (Hong Kong) Co., Limited; CMBC Securities Company Limited; Haitong International Securities Company Limited; Phillip Securities (Hong Kong) Limited</ns0:t>
        </ns0:is>
      </ns0:c>
      <ns0:c r="BX132" s="74" t="inlineStr">
        <ns0:is>
          <ns0:t>Beta International Securities Limited; China Galaxy International Securities (Hong Kong) Company Limited; CMBC Securities Company Limited; Elstone Securities Limited; Haitong International Securities Company Limited; Phillip Securities (Hong Kong) Limited; Sunny Fortune Capital Limited</ns0:t>
        </ns0:is>
      </ns0:c>
      <ns0:c r="BY132" s="93">
        <ns0:f>HYPERLINK("https://www1.hkexnews.hk/listedco/listconews/sehk/2022/0808/2022080800013.pdf","prospectus")</ns0:f>
        <ns0:v/>
      </ns0:c>
      <ns0:c r="BZ132" s="93">
        <ns0:f>HYPERLINK("https://www1.hkexnews.hk/listedco/listconews/sehk/2022/0818/2022081800018.htm","allotment")</ns0:f>
        <ns0:v/>
      </ns0:c>
      <ns0:c r="CA132" s="93">
        <ns0:f>HYPERLINK("https://www1.hkexnews.hk/listedco/listconews/sehk/2022/0913/2022091300161.pdf","stabilisation")</ns0:f>
        <ns0:v/>
      </ns0:c>
      <ns0:c r="CB132" s="94" t="n"/>
      <ns0:c r="CC132" s="74" t="inlineStr">
        <ns0:is>
          <ns0:t>greenshoe: outcome published; expiry date not in the notice</ns0:t>
        </ns0:is>
      </ns0:c>
    </ns0:row>
    <ns0:row r="133" ht="22" customHeight="1">
      <ns0:c r="A133" s="73" t="inlineStr">
        <ns0:is>
          <ns0:t>2152</ns0:t>
        </ns0:is>
      </ns0:c>
      <ns0:c r="B133" s="74" t="inlineStr">
        <ns0:is>
          <ns0:t>SUXIN SERVICES</ns0:t>
        </ns0:is>
      </ns0:c>
      <ns0:c r="C133" s="74" t="inlineStr">
        <ns0:is>
          <ns0:t>蘇新服務</ns0:t>
        </ns0:is>
      </ns0:c>
      <ns0:c r="D133" s="74" t="inlineStr">
        <ns0:is>
          <ns0:t>Real Estate</ns0:t>
        </ns0:is>
      </ns0:c>
      <ns0:c r="E133" s="74" t="inlineStr">
        <ns0:is>
          <ns0:t>Property management</ns0:t>
        </ns0:is>
      </ns0:c>
      <ns0:c r="F133" s="74" t="inlineStr">
        <ns0:is>
          <ns0:t>Property Service and Management</ns0:t>
        </ns0:is>
      </ns0:c>
      <ns0:c r="G133" s="74" t="inlineStr">
        <ns0:is>
          <ns0:t>Standard</ns0:t>
        </ns0:is>
      </ns0:c>
      <ns0:c r="H133" s="75" t="n">
        <ns0:v>44797</ns0:v>
      </ns0:c>
      <ns0:c r="I133" s="76" t="n">
        <ns0:v>215</ns0:v>
      </ns0:c>
      <ns0:c r="J133" s="74" t="inlineStr">
        <ns0:is>
          <ns0:t>gross (price x shares)</ns0:t>
        </ns0:is>
      </ns0:c>
      <ns0:c r="K133" s="77" t="n">
        <ns0:v>8.6</ns0:v>
      </ns0:c>
      <ns0:c r="L133" s="77" t="n">
        <ns0:v>9.6</ns0:v>
      </ns0:c>
      <ns0:c r="M133" s="77" t="n">
        <ns0:v>8.6</ns0:v>
      </ns0:c>
      <ns0:c r="N133" s="74" t="inlineStr">
        <ns0:is>
          <ns0:t>N</ns0:t>
        </ns0:is>
      </ns0:c>
      <ns0:c r="O133" s="78" t="n">
        <ns0:v>89.59999999999999</ns0:v>
      </ns0:c>
      <ns0:c r="P133" s="78" t="n">
        <ns0:v>0</ns0:v>
      </ns0:c>
      <ns0:c r="Q133" s="79" t="n">
        <ns0:v>959.6</ns0:v>
      </ns0:c>
      <ns0:c r="R133" s="74" t="inlineStr">
        <ns0:is>
          <ns0:t>aastocks:上市市值 at the struck price</ns0:t>
        </ns0:is>
      </ns0:c>
      <ns0:c r="S133" s="80" t="n">
        <ns0:v>0.71</ns0:v>
      </ns0:c>
      <ns0:c r="T133" s="81" t="n">
        <ns0:v>1.2</ns0:v>
      </ns0:c>
      <ns0:c r="U133" s="82" t="n">
        <ns0:v>20.2</ns0:v>
      </ns0:c>
      <ns0:c r="V133" s="83" t="n">
        <ns0:v>130</ns0:v>
      </ns0:c>
      <ns0:c r="W133" s="78" t="n">
        <ns0:v>7.07</ns0:v>
      </ns0:c>
      <ns0:c r="X133" s="74" t="inlineStr">
        <ns0:is>
          <ns0:t>NO</ns0:t>
        </ns0:is>
      </ns0:c>
      <ns0:c r="Y133" s="79" t="n">
        <ns0:v>171.57</ns0:v>
      </ns0:c>
      <ns0:c r="Z133" s="79" t="n">
        <ns0:v>19950000</ns0:v>
      </ns0:c>
      <ns0:c r="AA133" s="78" t="n">
        <ns0:v>17.88</ns0:v>
      </ns0:c>
      <ns0:c r="AB133" s="74" t="inlineStr">
        <ns0:is>
          <ns0:t>Chiyu International Capital Limited; Suzhou Guanglin Construction Company Limited; Suzhou Qianmo Village Development Construction Tourism Company Limited</ns0:t>
        </ns0:is>
      </ns0:c>
      <ns0:c r="AC133" s="74" t="inlineStr">
        <ns0:is>
          <ns0:t>chiyu;suzhou</ns0:t>
        </ns0:is>
      </ns0:c>
      <ns0:c r="AD133" s="78" t="n">
        <ns0:v>17.55</ns0:v>
      </ns0:c>
      <ns0:c r="AE133" s="74" t="inlineStr">
        <ns0:is>
          <ns0:t>partial</ns0:t>
        </ns0:is>
      </ns0:c>
      <ns0:c r="AF133" s="74" t="inlineStr">
        <ns0:is>
          <ns0:t>2022-09-15</ns0:t>
        </ns0:is>
      </ns0:c>
      <ns0:c r="AG133" s="74" t="inlineStr">
        <ns0:is>
          <ns0:t>BOCOM International Securities Limited</ns0:t>
        </ns0:is>
      </ns0:c>
      <ns0:c r="AH133" s="74" t="inlineStr">
        <ns0:is>
          <ns0:t>BOCOM</ns0:t>
        </ns0:is>
      </ns0:c>
      <ns0:c r="AI133" s="86" t="n">
        <ns0:v>-1.28</ns0:v>
      </ns0:c>
      <ns0:c r="AJ133" s="87" t="n">
        <ns0:v>-0.12</ns0:v>
      </ns0:c>
      <ns0:c r="AK133" s="87" t="n">
        <ns0:v>-1.37</ns0:v>
      </ns0:c>
      <ns0:c r="AL133" s="87" t="n">
        <ns0:v>-4.65</ns0:v>
      </ns0:c>
      <ns0:c r="AM133" s="87" t="n">
        <ns0:v>4.75</ns0:v>
      </ns0:c>
      <ns0:c r="AN133" s="89" t="n">
        <ns0:v>0.6899999999999999</ns0:v>
      </ns0:c>
      <ns0:c r="AO133" s="78" t="n">
        <ns0:v>7.56</ns0:v>
      </ns0:c>
      <ns0:c r="AP133" s="87" t="n">
        <ns0:v>-0.12</ns0:v>
      </ns0:c>
      <ns0:c r="AQ133" s="87" t="n">
        <ns0:v>-27.33</ns0:v>
      </ns0:c>
      <ns0:c r="AR133" s="87" t="n">
        <ns0:v>-29.07</ns0:v>
      </ns0:c>
      <ns0:c r="AS133" s="87" t="n">
        <ns0:v>0</ns0:v>
      </ns0:c>
      <ns0:c r="AT133" s="87" t="n">
        <ns0:v>-27.24</ns0:v>
      </ns0:c>
      <ns0:c r="AU133" s="87" t="n">
        <ns0:v>-28.98</ns0:v>
      </ns0:c>
      <ns0:c r="AV133" s="87" t="n">
        <ns0:v>0.08</ns0:v>
      </ns0:c>
      <ns0:c r="AW133" s="87" t="n">
        <ns0:v>-26.23</ns0:v>
      </ns0:c>
      <ns0:c r="AX133" s="87" t="n">
        <ns0:v>-20.32</ns0:v>
      </ns0:c>
      <ns0:c r="AY133" s="87" t="n">
        <ns0:v>-27.51</ns0:v>
      </ns0:c>
      <ns0:c r="AZ133" s="87" t="n">
        <ns0:v>-1.1</ns0:v>
      </ns0:c>
      <ns0:c r="BA133" s="87" t="n">
        <ns0:v>0.27</ns0:v>
      </ns0:c>
      <ns0:c r="BB133" s="74" t="inlineStr">
        <ns0:is>
          <ns0:t>Hang Seng Properties sub-index</ns0:t>
        </ns0:is>
      </ns0:c>
      <ns0:c r="BC133" s="87" t="n">
        <ns0:v>-48.08</ns0:v>
      </ns0:c>
      <ns0:c r="BD133" s="75" t="n">
        <ns0:v>46297</ns0:v>
      </ns0:c>
      <ns0:c r="BE133" s="76" t="n">
        <ns0:v>508.2</ns0:v>
      </ns0:c>
      <ns0:c r="BF133" s="79" t="n">
        <ns0:v>62.2</ns0:v>
      </ns0:c>
      <ns0:c r="BG133" s="74" t="inlineStr">
        <ns0:is>
          <ns0:t>Y</ns0:t>
        </ns0:is>
      </ns0:c>
      <ns0:c r="BH133" s="89" t="n">
        <ns0:v>15.4</ns0:v>
      </ns0:c>
      <ns0:c r="BI133" s="88" t="n"/>
      <ns0:c r="BJ133" s="89" t="n">
        <ns0:v>5.6</ns0:v>
      </ns0:c>
      <ns0:c r="BK133" s="89" t="n">
        <ns0:v>1.9</ns0:v>
      </ns0:c>
      <ns0:c r="BL133" s="90">
        <ns0:f>IFERROR(IF('BBG Verify'!S133="","Awaiting Bloomberg",'BBG Verify'!S133),"Awaiting Bloomberg")</ns0:f>
        <ns0:v/>
      </ns0:c>
      <ns0:c r="BM133" s="91" t="inlineStr">
        <ns0:is>
          <ns0:t>N</ns0:t>
        </ns0:is>
      </ns0:c>
      <ns0:c r="BN133" s="92">
        <ns0:f>IFERROR(IF('BBG Verify'!K133="","Awaiting Bloomberg",'BBG Verify'!K133),"Awaiting Bloomberg")</ns0:f>
        <ns0:v/>
      </ns0:c>
      <ns0:c r="BO133" s="74" t="inlineStr">
        <ns0:is>
          <ns0:t>N/A</ns0:t>
        </ns0:is>
      </ns0:c>
      <ns0:c r="BP133" s="74" t="inlineStr">
        <ns0:is>
          <ns0:t>N/A</ns0:t>
        </ns0:is>
      </ns0:c>
      <ns0:c r="BQ133" s="74" t="inlineStr">
        <ns0:is>
          <ns0:t>N/A</ns0:t>
        </ns0:is>
      </ns0:c>
      <ns0:c r="BR133" s="74" t="inlineStr">
        <ns0:is>
          <ns0:t>N/A</ns0:t>
        </ns0:is>
      </ns0:c>
      <ns0:c r="BS133" s="74" t="inlineStr">
        <ns0:is>
          <ns0:t>N/A</ns0:t>
        </ns0:is>
      </ns0:c>
      <ns0:c r="BT133" s="74" t="inlineStr">
        <ns0:is>
          <ns0:t>N/A</ns0:t>
        </ns0:is>
      </ns0:c>
      <ns0:c r="BU133" s="91" t="inlineStr">
        <ns0:is>
          <ns0:t>BOCOM International (Asia) Limited; BOCOM International Securities Limited</ns0:t>
        </ns0:is>
      </ns0:c>
      <ns0:c r="BV133" s="74" t="inlineStr">
        <ns0:is>
          <ns0:t>BOCOM International (Asia) Limited</ns0:t>
        </ns0:is>
      </ns0:c>
      <ns0:c r="BW133" s="74" t="inlineStr">
        <ns0:is>
          <ns0:t>Haitong International Securities Company Limited; China Everbright Securities (HK) Limited; CEB International Capital Corporation Limited; CMBC Securities Company Limited; Essence International Securities (Hong Kong) Limited; ABCI Capital Limited</ns0:t>
        </ns0:is>
      </ns0:c>
      <ns0:c r="BX133" s="74" t="inlineStr">
        <ns0:is>
          <ns0: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ns0:t>
        </ns0:is>
      </ns0:c>
      <ns0:c r="BY133" s="93">
        <ns0:f>HYPERLINK("https://www1.hkexnews.hk/listedco/listconews/sehk/2022/0811/2022081100025.pdf","prospectus")</ns0:f>
        <ns0:v/>
      </ns0:c>
      <ns0:c r="BZ133" s="93">
        <ns0:f>HYPERLINK("https://www1.hkexnews.hk/listedco/listconews/sehk/2022/0823/2022082300018.htm","allotment")</ns0:f>
        <ns0:v/>
      </ns0:c>
      <ns0:c r="CA133" s="93">
        <ns0:f>HYPERLINK("https://www1.hkexnews.hk/listedco/listconews/sehk/2022/0915/2022091501585.pdf","stabilisation")</ns0:f>
        <ns0:v/>
      </ns0:c>
      <ns0:c r="CB133" s="94" t="n"/>
      <ns0:c r="CC133" s="74" t="inlineStr">
        <ns0:is>
          <ns0:t>market cap: published listing cap used; the estimate from deal size / offer % of enlarged capital disagreed; cornerstone %: upper bound: AAStocks institutional total / deal size</ns0:t>
        </ns0:is>
      </ns0:c>
    </ns0:row>
    <ns0:row r="134" ht="22" customHeight="1">
      <ns0:c r="A134" s="73" t="inlineStr">
        <ns0:is>
          <ns0:t>1880</ns0:t>
        </ns0:is>
      </ns0:c>
      <ns0:c r="B134" s="74" t="inlineStr">
        <ns0:is>
          <ns0:t>CTG DUTY-FREE</ns0:t>
        </ns0:is>
      </ns0:c>
      <ns0:c r="C134" s="74" t="inlineStr">
        <ns0:is>
          <ns0:t>中國中免</ns0:t>
        </ns0:is>
      </ns0:c>
      <ns0:c r="D134" s="74" t="inlineStr">
        <ns0:is>
          <ns0:t>Consumer</ns0:t>
        </ns0:is>
      </ns0:c>
      <ns0:c r="E134" s="74" t="inlineStr">
        <ns0:is>
          <ns0:t>Retail / distribution</ns0:t>
        </ns0:is>
      </ns0:c>
      <ns0:c r="F134" s="74" t="inlineStr">
        <ns0:is>
          <ns0:t>Tourism</ns0:t>
        </ns0:is>
      </ns0:c>
      <ns0:c r="G134" s="74" t="inlineStr">
        <ns0:is>
          <ns0:t>Standard</ns0:t>
        </ns0:is>
      </ns0:c>
      <ns0:c r="H134" s="75" t="n">
        <ns0:v>44798</ns0:v>
      </ns0:c>
      <ns0:c r="I134" s="76" t="n">
        <ns0:v>16236.4</ns0:v>
      </ns0:c>
      <ns0:c r="J134" s="74" t="inlineStr">
        <ns0:is>
          <ns0:t>gross (price x shares)</ns0:t>
        </ns0:is>
      </ns0:c>
      <ns0:c r="K134" s="77" t="n">
        <ns0:v>143.5</ns0:v>
      </ns0:c>
      <ns0:c r="L134" s="77" t="n">
        <ns0:v>165.5</ns0:v>
      </ns0:c>
      <ns0:c r="M134" s="77" t="n">
        <ns0:v>158</ns0:v>
      </ns0:c>
      <ns0:c r="N134" s="74" t="inlineStr">
        <ns0:is>
          <ns0:t>N</ns0:t>
        </ns0:is>
      </ns0:c>
      <ns0:c r="O134" s="78" t="n">
        <ns0:v>95.5</ns0:v>
      </ns0:c>
      <ns0:c r="P134" s="78" t="n">
        <ns0:v>65.90000000000001</ns0:v>
      </ns0:c>
      <ns0:c r="Q134" s="79" t="n">
        <ns0:v>284350.3</ns0:v>
      </ns0:c>
      <ns0:c r="R134" s="74" t="inlineStr">
        <ns0:is>
          <ns0:t>derived:deal size / offer % of enlarged capital</ns0:t>
        </ns0:is>
      </ns0:c>
      <ns0:c r="S134" s="80" t="n">
        <ns0:v>1.06</ns0:v>
      </ns0:c>
      <ns0:c r="T134" s="81" t="n">
        <ns0:v>4.7</ns0:v>
      </ns0:c>
      <ns0:c r="U134" s="82" t="n">
        <ns0:v>44.5</ns0:v>
      </ns0:c>
      <ns0:c r="V134" s="83" t="n">
        <ns0:v>140</ns0:v>
      </ns0:c>
      <ns0:c r="W134" s="84" t="n"/>
      <ns0:c r="X134" s="85" t="n"/>
      <ns0:c r="Y134" s="79" t="n">
        <ns0:v>9011.200000000001</ns0:v>
      </ns0:c>
      <ns0:c r="Z134" s="79" t="n">
        <ns0:v>57032854</ns0:v>
      </ns0:c>
      <ns0:c r="AA134" s="78" t="n">
        <ns0:v>3.17</ns0:v>
      </ns0:c>
      <ns0:c r="AB134" s="74" t="inlineStr">
        <ns0:is>
          <ns0: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ns0:t>
        </ns0:is>
      </ns0:c>
      <ns0:c r="AC134" s="74" t="inlineStr">
        <ns0:is>
          <ns0:t>amorepacific;state-owned;structural;cosco;hainan;luzhou;rongshi;shanghai-airport;oaktree</ns0:t>
        </ns0:is>
      </ns0:c>
      <ns0:c r="AD134" s="78" t="n">
        <ns0:v>5</ns0:v>
      </ns0:c>
      <ns0:c r="AE134" s="74" t="inlineStr">
        <ns0:is>
          <ns0:t>partial</ns0:t>
        </ns0:is>
      </ns0:c>
      <ns0:c r="AF134" s="74" t="inlineStr">
        <ns0:is>
          <ns0:t>2022-09-17</ns0:t>
        </ns0:is>
      </ns0:c>
      <ns0:c r="AG134" s="74" t="inlineStr">
        <ns0:is>
          <ns0:t>China International Capital Corporation Hong Kong Securities Limited</ns0:t>
        </ns0:is>
      </ns0:c>
      <ns0:c r="AH134" s="74" t="inlineStr">
        <ns0:is>
          <ns0:t>China International</ns0:t>
        </ns0:is>
      </ns0:c>
      <ns0:c r="AI134" s="86" t="n">
        <ns0:v>-4.75</ns0:v>
      </ns0:c>
      <ns0:c r="AJ134" s="87" t="n">
        <ns0:v>0</ns0:v>
      </ns0:c>
      <ns0:c r="AK134" s="87" t="n">
        <ns0:v>4.8</ns0:v>
      </ns0:c>
      <ns0:c r="AL134" s="87" t="n">
        <ns0:v>-24.05</ns0:v>
      </ns0:c>
      <ns0:c r="AM134" s="87" t="n">
        <ns0:v>31.67</ns0:v>
      </ns0:c>
      <ns0:c r="AN134" s="88" t="n"/>
      <ns0:c r="AO134" s="78" t="n">
        <ns0:v>32.75</ns0:v>
      </ns0:c>
      <ns0:c r="AP134" s="87" t="n">
        <ns0:v>8.23</ns0:v>
      </ns0:c>
      <ns0:c r="AQ134" s="87" t="n">
        <ns0:v>17.09</ns0:v>
      </ns0:c>
      <ns0:c r="AR134" s="87" t="n">
        <ns0:v>9.300000000000001</ns0:v>
      </ns0:c>
      <ns0:c r="AS134" s="87" t="n">
        <ns0:v>8.23</ns0:v>
      </ns0:c>
      <ns0:c r="AT134" s="87" t="n">
        <ns0:v>17.09</ns0:v>
      </ns0:c>
      <ns0:c r="AU134" s="87" t="n">
        <ns0:v>9.300000000000001</ns0:v>
      </ns0:c>
      <ns0:c r="AV134" s="87" t="n">
        <ns0:v>5.36</ns0:v>
      </ns0:c>
      <ns0:c r="AW134" s="87" t="n">
        <ns0:v>24.76</ns0:v>
      </ns0:c>
      <ns0:c r="AX134" s="87" t="n">
        <ns0:v>20.62</ns0:v>
      </ns0:c>
      <ns0:c r="AY134" s="87" t="n">
        <ns0:v>28.99</ns0:v>
      </ns0:c>
      <ns0:c r="AZ134" s="87" t="n">
        <ns0:v>-7.67</ns0:v>
      </ns0:c>
      <ns0:c r="BA134" s="87" t="n">
        <ns0:v>-11.9</ns0:v>
      </ns0:c>
      <ns0:c r="BB134" s="74" t="inlineStr">
        <ns0:is>
          <ns0:t>Hang Seng Commerce &amp; Industry sub-index</ns0:t>
        </ns0:is>
      </ns0:c>
      <ns0:c r="BC134" s="87" t="n">
        <ns0:v>-70.97</ns0:v>
      </ns0:c>
      <ns0:c r="BD134" s="75" t="n">
        <ns0:v>46297</ns0:v>
      </ns0:c>
      <ns0:c r="BE134" s="76" t="n">
        <ns0:v>74443.10000000001</ns0:v>
      </ns0:c>
      <ns0:c r="BF134" s="79" t="n">
        <ns0:v>13685.4</ns0:v>
      </ns0:c>
      <ns0:c r="BG134" s="74" t="inlineStr">
        <ns0:is>
          <ns0:t>Y</ns0:t>
        </ns0:is>
      </ns0:c>
      <ns0:c r="BH134" s="89" t="n">
        <ns0:v>20.8</ns0:v>
      </ns0:c>
      <ns0:c r="BI134" s="89" t="n">
        <ns0:v>32.6</ns0:v>
      </ns0:c>
      <ns0:c r="BJ134" s="89" t="n">
        <ns0:v>22</ns0:v>
      </ns0:c>
      <ns0:c r="BK134" s="89" t="n">
        <ns0:v>3.8</ns0:v>
      </ns0:c>
      <ns0:c r="BL134" s="90">
        <ns0:f>IFERROR(IF('BBG Verify'!S134="","Awaiting Bloomberg",'BBG Verify'!S134),"Awaiting Bloomberg")</ns0:f>
        <ns0:v/>
      </ns0:c>
      <ns0:c r="BM134" s="91" t="inlineStr">
        <ns0:is>
          <ns0:t>Y</ns0:t>
        </ns0:is>
      </ns0:c>
      <ns0:c r="BN134" s="74" t="inlineStr">
        <ns0:is>
          <ns0:t>601888.SS</ns0:t>
        </ns0:is>
      </ns0:c>
      <ns0:c r="BO134" s="87" t="n">
        <ns0:v>37.93</ns0:v>
      </ns0:c>
      <ns0:c r="BP134" s="77" t="n">
        <ns0:v>217.934</ns0:v>
      </ns0:c>
      <ns0:c r="BQ134" s="101" t="n">
        <ns0:v>0.3127</ns0:v>
      </ns0:c>
      <ns0:c r="BR134" s="79" t="n">
        <ns0:v>125124.4</ns0:v>
      </ns0:c>
      <ns0:c r="BS134" s="90">
        <ns0:f>IFERROR(IF('BBG Verify'!Q134="","Awaiting Bloomberg",'BBG Verify'!Q134),"Awaiting Bloomberg")</ns0:f>
        <ns0:v/>
      </ns0:c>
      <ns0:c r="BT134" s="90">
        <ns0:f>IFERROR(IF('BBG Verify'!R134="","Awaiting Bloomberg",'BBG Verify'!R134),"Awaiting Bloomberg")</ns0:f>
        <ns0:v/>
      </ns0:c>
      <ns0:c r="BU134" s="91" t="inlineStr">
        <ns0:is>
          <ns0:t>China International Capital Corporation Hong Kong Securities Limited; UBS Securities Hong Kong Limited</ns0:t>
        </ns0:is>
      </ns0:c>
      <ns0:c r="BV134" s="74" t="inlineStr">
        <ns0:is>
          <ns0:t>China International Capital Corporation Hong Kong Securities Limited; UBS Securities Hong Kong Limited</ns0:t>
        </ns0:is>
      </ns0:c>
      <ns0:c r="BW134" s="74" t="inlineStr">
        <ns0:is>
          <ns0:t>China International Capital Corporation Hong Kong Securities Limited; UBS AG Hong Kong Branch; CCB International Capital Limited; CLSA Limited; Haitong International Securities Company Limited; ABCI Capital Limited; BOCI Asia Limited; BOCOM International Securities Limited; CMB International Capital Limited; DBS Asia Capital Limited; Guotai Junan Securities (Hong Kong) Limited; ICBC International Capital Limited</ns0:t>
        </ns0:is>
      </ns0:c>
      <ns0:c r="BX134" s="74" t="inlineStr">
        <ns0:is>
          <ns0: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ns0:t>
        </ns0:is>
      </ns0:c>
      <ns0:c r="BY134" s="93">
        <ns0:f>HYPERLINK("https://www1.hkexnews.hk/listedco/listconews/sehk/2022/0815/2022081500013.pdf","prospectus")</ns0:f>
        <ns0:v/>
      </ns0:c>
      <ns0:c r="BZ134" s="93">
        <ns0:f>HYPERLINK("https://www1.hkexnews.hk/listedco/listconews/sehk/2022/0824/2022082400024.htm","allotment")</ns0:f>
        <ns0:v/>
      </ns0:c>
      <ns0:c r="CA134" s="93">
        <ns0:f>HYPERLINK("https://www1.hkexnews.hk/listedco/listconews/sehk/2022/0919/2022091900011.pdf","stabilisation")</ns0:f>
        <ns0:v/>
      </ns0:c>
      <ns0:c r="CB134" s="94" t="n"/>
      <ns0:c r="CC134" s="74" t="inlineStr">
        <ns0:is>
          <ns0:t>A/H: Aug 2022, ~US$2.1bn H offering; allocation: allocation table not in this notice's format (older prose announcement); day-1 tape: volume on file; the retail multiple needs the final public split, which this notice does not state</ns0:t>
        </ns0:is>
      </ns0:c>
    </ns0:row>
    <ns0:row r="135" ht="22" customHeight="1">
      <ns0:c r="A135" s="73" t="inlineStr">
        <ns0:is>
          <ns0:t>2315</ns0:t>
        </ns0:is>
      </ns0:c>
      <ns0:c r="B135" s="74" t="inlineStr">
        <ns0:is>
          <ns0:t>BIOCYTOGEN-B</ns0:t>
        </ns0:is>
      </ns0:c>
      <ns0:c r="C135" s="74" t="inlineStr">
        <ns0:is>
          <ns0:t>百奧賽圖－Ｂ</ns0:t>
        </ns0:is>
      </ns0:c>
      <ns0:c r="D135" s="74" t="inlineStr">
        <ns0:is>
          <ns0:t>Healthcare</ns0:t>
        </ns0:is>
      </ns0:c>
      <ns0:c r="E135" s="74" t="inlineStr">
        <ns0:is>
          <ns0:t>Biotech pre-revenue (18A)</ns0:t>
        </ns0:is>
      </ns0:c>
      <ns0:c r="F135" s="74" t="inlineStr">
        <ns0:is>
          <ns0:t>Biotechnology - Supplies &amp; Services</ns0:t>
        </ns0:is>
      </ns0:c>
      <ns0:c r="G135" s="74" t="inlineStr">
        <ns0:is>
          <ns0:t>18A</ns0:t>
        </ns0:is>
      </ns0:c>
      <ns0:c r="H135" s="75" t="n">
        <ns0:v>44805</ns0:v>
      </ns0:c>
      <ns0:c r="I135" s="76" t="n">
        <ns0:v>548.7</ns0:v>
      </ns0:c>
      <ns0:c r="J135" s="74" t="inlineStr">
        <ns0:is>
          <ns0:t>gross (price x shares)</ns0:t>
        </ns0:is>
      </ns0:c>
      <ns0:c r="K135" s="95" t="n"/>
      <ns0:c r="L135" s="77" t="n">
        <ns0:v>25.22</ns0:v>
      </ns0:c>
      <ns0:c r="M135" s="77" t="n">
        <ns0:v>25.22</ns0:v>
      </ns0:c>
      <ns0:c r="N135" s="74" t="inlineStr">
        <ns0:is>
          <ns0:t>Y</ns0:t>
        </ns0:is>
      </ns0:c>
      <ns0:c r="O135" s="78" t="n">
        <ns0:v>100</ns0:v>
      </ns0:c>
      <ns0:c r="P135" s="84" t="n"/>
      <ns0:c r="Q135" s="79" t="n">
        <ns0:v>10004.5</ns0:v>
      </ns0:c>
      <ns0:c r="R135" s="74" t="inlineStr">
        <ns0:is>
          <ns0:t>prospectus:stated market capitalisation</ns0:t>
        </ns0:is>
      </ns0:c>
      <ns0:c r="S135" s="80" t="n">
        <ns0:v>5.93</ns0:v>
      </ns0:c>
      <ns0:c r="T135" s="81" t="n">
        <ns0:v>1.6</ns0:v>
      </ns0:c>
      <ns0:c r="U135" s="82" t="n">
        <ns0:v>71.14</ns0:v>
      </ns0:c>
      <ns0:c r="V135" s="83" t="n">
        <ns0:v>127</ns0:v>
      </ns0:c>
      <ns0:c r="W135" s="84" t="n"/>
      <ns0:c r="X135" s="85" t="n"/>
      <ns0:c r="Y135" s="79" t="n">
        <ns0:v>158.35</ns0:v>
      </ns0:c>
      <ns0:c r="Z135" s="79" t="n">
        <ns0:v>6279503</ns0:v>
      </ns0:c>
      <ns0:c r="AA135" s="78" t="n">
        <ns0:v>1.58</ns0:v>
      </ns0:c>
      <ns0:c r="AB135" s="74" t="inlineStr">
        <ns0:is>
          <ns0:t>Beijing Xingxing Equity Investment Partnership (Limited Partnership); QuantumPharm Limited; RemeGen Co., Ltd; Sanjin International CO., LTD; VEKEN (HONGKONG) ECONOMIC AND TRADE CO., LIMITED</ns0:t>
        </ns0:is>
      </ns0:c>
      <ns0:c r="AC135" s="74" t="inlineStr">
        <ns0:is>
          <ns0:t>beijing-xingxing;quantumpharm;remegen;sanjin;veken</ns0:t>
        </ns0:is>
      </ns0:c>
      <ns0:c r="AD135" s="78" t="n">
        <ns0:v>14.1</ns0:v>
      </ns0:c>
      <ns0:c r="AE135" s="74" t="inlineStr">
        <ns0:is>
          <ns0:t>partial</ns0:t>
        </ns0:is>
      </ns0:c>
      <ns0:c r="AF135" s="74" t="inlineStr">
        <ns0:is>
          <ns0:t>2022-09-23</ns0:t>
        </ns0:is>
      </ns0:c>
      <ns0:c r="AG135" s="74" t="inlineStr">
        <ns0:is>
          <ns0:t>Goldman Sachs</ns0:t>
        </ns0:is>
      </ns0:c>
      <ns0:c r="AH135" s="74" t="inlineStr">
        <ns0:is>
          <ns0:t>Goldman Sachs</ns0:t>
        </ns0:is>
      </ns0:c>
      <ns0:c r="AI135" s="86" t="n">
        <ns0:v>5.08</ns0:v>
      </ns0:c>
      <ns0:c r="AJ135" s="87" t="n">
        <ns0:v>3.09</ns0:v>
      </ns0:c>
      <ns0:c r="AK135" s="87" t="n">
        <ns0:v>-0.61</ns0:v>
      </ns0:c>
      <ns0:c r="AL135" s="87" t="n">
        <ns0:v>4.28</ns0:v>
      </ns0:c>
      <ns0:c r="AM135" s="87" t="n">
        <ns0:v>-1.14</ns0:v>
      </ns0:c>
      <ns0:c r="AN135" s="88" t="n"/>
      <ns0:c r="AO135" s="78" t="n">
        <ns0:v>12.74</ns0:v>
      </ns0:c>
      <ns0:c r="AP135" s="87" t="n">
        <ns0:v>0.71</ns0:v>
      </ns0:c>
      <ns0:c r="AQ135" s="87" t="n">
        <ns0:v>5.47</ns0:v>
      </ns0:c>
      <ns0:c r="AR135" s="87" t="n">
        <ns0:v>3.09</ns0:v>
      </ns0:c>
      <ns0:c r="AS135" s="87" t="n">
        <ns0:v>-2.31</ns0:v>
      </ns0:c>
      <ns0:c r="AT135" s="87" t="n">
        <ns0:v>2.31</ns0:v>
      </ns0:c>
      <ns0:c r="AU135" s="87" t="n">
        <ns0:v>0</ns0:v>
      </ns0:c>
      <ns0:c r="AV135" s="87" t="n">
        <ns0:v>5.94</ns0:v>
      </ns0:c>
      <ns0:c r="AW135" s="87" t="n">
        <ns0:v>19.05</ns0:v>
      </ns0:c>
      <ns0:c r="AX135" s="87" t="n">
        <ns0:v>3.95</ns0:v>
      </ns0:c>
      <ns0:c r="AY135" s="87" t="n">
        <ns0:v>15.36</ns0:v>
      </ns0:c>
      <ns0:c r="AZ135" s="87" t="n">
        <ns0:v>-13.58</ns0:v>
      </ns0:c>
      <ns0:c r="BA135" s="87" t="n">
        <ns0:v>-13.05</ns0:v>
      </ns0:c>
      <ns0:c r="BB135" s="74" t="inlineStr">
        <ns0:is>
          <ns0:t>China Biotech ETF (HS biotech proxy)</ns0:t>
        </ns0:is>
      </ns0:c>
      <ns0:c r="BC135" s="87" t="n">
        <ns0:v>167.45</ns0:v>
      </ns0:c>
      <ns0:c r="BD135" s="75" t="n">
        <ns0:v>46297</ns0:v>
      </ns0:c>
      <ns0:c r="BE135" s="76" t="n">
        <ns0:v>390</ns0:v>
      </ns0:c>
      <ns0:c r="BF135" s="79" t="n">
        <ns0:v>-600.1</ns0:v>
      </ns0:c>
      <ns0:c r="BG135" s="74" t="inlineStr">
        <ns0:is>
          <ns0:t>N</ns0:t>
        </ns0:is>
      </ns0:c>
      <ns0:c r="BH135" s="74" t="inlineStr">
        <ns0:is>
          <ns0:t>n/m</ns0:t>
        </ns0:is>
      </ns0:c>
      <ns0:c r="BI135" s="88" t="n"/>
      <ns0:c r="BJ135" s="89" t="n">
        <ns0:v>127.3</ns0:v>
      </ns0:c>
      <ns0:c r="BK135" s="89" t="n">
        <ns0:v>25.7</ns0:v>
      </ns0:c>
      <ns0:c r="BL135" s="90">
        <ns0:f>IFERROR(IF('BBG Verify'!S135="","Awaiting Bloomberg",'BBG Verify'!S135),"Awaiting Bloomberg")</ns0:f>
        <ns0:v/>
      </ns0:c>
      <ns0:c r="BM135" s="91" t="inlineStr">
        <ns0:is>
          <ns0:t>Y</ns0:t>
        </ns0:is>
      </ns0:c>
      <ns0:c r="BN135" s="74" t="inlineStr">
        <ns0:is>
          <ns0:t>688796.SS</ns0:t>
        </ns0:is>
      </ns0:c>
      <ns0:c r="BO135" s="103" t="n"/>
      <ns0:c r="BP135" s="95" t="n"/>
      <ns0:c r="BQ135" s="101" t="n">
        <ns0:v>1.1993</ns0:v>
      </ns0:c>
      <ns0:c r="BR135" s="79" t="n">
        <ns0:v>66320.2</ns0:v>
      </ns0:c>
      <ns0:c r="BS135" s="90">
        <ns0:f>IFERROR(IF('BBG Verify'!Q135="","Awaiting Bloomberg",'BBG Verify'!Q135),"Awaiting Bloomberg")</ns0:f>
        <ns0:v/>
      </ns0:c>
      <ns0:c r="BT135" s="90">
        <ns0:f>IFERROR(IF('BBG Verify'!R135="","Awaiting Bloomberg",'BBG Verify'!R135),"Awaiting Bloomberg")</ns0:f>
        <ns0:v/>
      </ns0:c>
      <ns0:c r="BU135" s="91" t="inlineStr">
        <ns0:is>
          <ns0:t>Goldman Sachs (Asia) L.L.C; China International Capital Corporation Hong Kong Securities Limited</ns0:t>
        </ns0:is>
      </ns0:c>
      <ns0:c r="BV135" s="74" t="inlineStr">
        <ns0:is>
          <ns0:t>China International Capital Corporation Hong Kong Securities Limited; Goldman Sachs (Asia) L.L.C.</ns0:t>
        </ns0:is>
      </ns0:c>
      <ns0:c r="BW135" s="74" t="inlineStr">
        <ns0:is>
          <ns0:t>Goldman Sachs (Asia) L.L.C; CMB International Capital Limited; CLSA Limited; China International Capital Corporation Hong Kong Securities Limited; Futu Securities International (Hong Kong) Limited; Valuable Capital Limited; Haitong International Securities Company Limited</ns0:t>
        </ns0:is>
      </ns0:c>
      <ns0:c r="BX135" s="74" t="inlineStr">
        <ns0:is>
          <ns0: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ns0:t>
        </ns0:is>
      </ns0:c>
      <ns0:c r="BY135" s="93">
        <ns0:f>HYPERLINK("https://www1.hkexnews.hk/listedco/listconews/sehk/2022/0819/2022081900021.pdf","prospectus")</ns0:f>
        <ns0:v/>
      </ns0:c>
      <ns0:c r="BZ135" s="93">
        <ns0:f>HYPERLINK("https://www1.hkexnews.hk/listedco/listconews/sehk/2022/0831/2022083100060.htm","allotment")</ns0:f>
        <ns0:v/>
      </ns0:c>
      <ns0:c r="CA135" s="93">
        <ns0:f>HYPERLINK("https://www1.hkexnews.hk/listedco/listconews/sehk/2022/0923/2022092301878.pdf","stabilisation")</ns0:f>
        <ns0:v/>
      </ns0:c>
      <ns0:c r="CB135" s="94" t="n"/>
      <ns0:c r="CC135" s="74" t="inlineStr">
        <ns0:is>
          <ns0:t>P/E: loss-making at IPO, use P/S; range low: maximum offer price only, no floor published; A/H: A-share 688796 listed after the H IPO, so there is no at-IPO premium; today's is live; deal size: stated gross HK$16.9m rejected, below the net proceeds of HK$471.1m; allocation: allocation table not in this notice's format (older prose announcement); day-1 tape: volume on file; the retail multiple needs the final public split, which this notice does not state</ns0:t>
        </ns0:is>
      </ns0:c>
    </ns0:row>
    <ns0:row r="136" ht="22" customHeight="1">
      <ns0:c r="A136" s="73" t="inlineStr">
        <ns0:is>
          <ns0:t>9886</ns0:t>
        </ns0:is>
      </ns0:c>
      <ns0:c r="B136" s="74" t="inlineStr">
        <ns0:is>
          <ns0:t>DINGDANG HEALTH</ns0:t>
        </ns0:is>
      </ns0:c>
      <ns0:c r="C136" s="74" t="inlineStr">
        <ns0:is>
          <ns0:t>叮噹健康</ns0:t>
        </ns0:is>
      </ns0:c>
      <ns0:c r="D136" s="74" t="inlineStr">
        <ns0:is>
          <ns0:t>Healthcare</ns0:t>
        </ns0:is>
      </ns0:c>
      <ns0:c r="E136" s="74" t="inlineStr">
        <ns0:is>
          <ns0:t>Digital health</ns0:t>
        </ns0:is>
      </ns0:c>
      <ns0:c r="F136" s="74" t="inlineStr">
        <ns0:is>
          <ns0:t>Health Care Services</ns0:t>
        </ns0:is>
      </ns0:c>
      <ns0:c r="G136" s="74" t="inlineStr">
        <ns0:is>
          <ns0:t>Standard</ns0:t>
        </ns0:is>
      </ns0:c>
      <ns0:c r="H136" s="75" t="n">
        <ns0:v>44818</ns0:v>
      </ns0:c>
      <ns0:c r="I136" s="76" t="n">
        <ns0:v>402.4</ns0:v>
      </ns0:c>
      <ns0:c r="J136" s="74" t="inlineStr">
        <ns0:is>
          <ns0:t>gross (price x shares)</ns0:t>
        </ns0:is>
      </ns0:c>
      <ns0:c r="K136" s="95" t="n"/>
      <ns0:c r="L136" s="77" t="n">
        <ns0:v>12</ns0:v>
      </ns0:c>
      <ns0:c r="M136" s="77" t="n">
        <ns0:v>12</ns0:v>
      </ns0:c>
      <ns0:c r="N136" s="74" t="inlineStr">
        <ns0:is>
          <ns0:t>Y</ns0:t>
        </ns0:is>
      </ns0:c>
      <ns0:c r="O136" s="78" t="n">
        <ns0:v>100</ns0:v>
      </ns0:c>
      <ns0:c r="P136" s="84" t="n"/>
      <ns0:c r="Q136" s="79" t="n">
        <ns0:v>16096</ns0:v>
      </ns0:c>
      <ns0:c r="R136" s="74" t="inlineStr">
        <ns0:is>
          <ns0:t>derived:deal size / offer % of enlarged capital</ns0:t>
        </ns0:is>
      </ns0:c>
      <ns0:c r="S136" s="80" t="n">
        <ns0:v>7.2</ns0:v>
      </ns0:c>
      <ns0:c r="T136" s="81" t="n">
        <ns0:v>1.7</ns0:v>
      </ns0:c>
      <ns0:c r="U136" s="82" t="n">
        <ns0:v>74.09</ns0:v>
      </ns0:c>
      <ns0:c r="V136" s="83" t="n">
        <ns0:v>131</ns0:v>
      </ns0:c>
      <ns0:c r="W136" s="84" t="n"/>
      <ns0:c r="X136" s="85" t="n"/>
      <ns0:c r="Y136" s="79" t="n">
        <ns0:v>104.26</ns0:v>
      </ns0:c>
      <ns0:c r="Z136" s="79" t="n">
        <ns0:v>8689437</ns0:v>
      </ns0:c>
      <ns0:c r="AA136" s="78" t="n">
        <ns0:v>0.65</ns0:v>
      </ns0:c>
      <ns0:c r="AB136" s="74" t="inlineStr">
        <ns0:is>
          <ns0:t>Harvest International Premium Value (Secondary Market) Fund SPC; Jumpcan International Co., Ltd; Sunshine Life Insurance Corporation Limited</ns0:t>
        </ns0:is>
      </ns0:c>
      <ns0:c r="AC136" s="74" t="inlineStr">
        <ns0:is>
          <ns0:t>harvest;jumpcan;sunshine</ns0:t>
        </ns0:is>
      </ns0:c>
      <ns0:c r="AD136" s="78" t="n">
        <ns0:v>10</ns0:v>
      </ns0:c>
      <ns0:c r="AE136" s="74" t="inlineStr">
        <ns0:is>
          <ns0:t>lapsed</ns0:t>
        </ns0:is>
      </ns0:c>
      <ns0:c r="AF136" s="74" t="inlineStr">
        <ns0:is>
          <ns0:t>2022-10-06</ns0:t>
        </ns0:is>
      </ns0:c>
      <ns0:c r="AG136" s="74" t="inlineStr">
        <ns0:is>
          <ns0:t>China International Capital Corporation Hong Kong Securities Limited</ns0:t>
        </ns0:is>
      </ns0:c>
      <ns0:c r="AH136" s="74" t="inlineStr">
        <ns0:is>
          <ns0:t>China International</ns0:t>
        </ns0:is>
      </ns0:c>
      <ns0:c r="AI136" s="86" t="n">
        <ns0:v>0.83</ns0:v>
      </ns0:c>
      <ns0:c r="AJ136" s="87" t="n">
        <ns0:v>0</ns0:v>
      </ns0:c>
      <ns0:c r="AK136" s="87" t="n">
        <ns0:v>-1.65</ns0:v>
      </ns0:c>
      <ns0:c r="AL136" s="87" t="n">
        <ns0:v>2.83</ns0:v>
      </ns0:c>
      <ns0:c r="AM136" s="87" t="n">
        <ns0:v>-2.75</ns0:v>
      </ns0:c>
      <ns0:c r="AN136" s="88" t="n"/>
      <ns0:c r="AO136" s="78" t="n">
        <ns0:v>2.76</ns0:v>
      </ns0:c>
      <ns0:c r="AP136" s="87" t="n">
        <ns0:v>0.33</ns0:v>
      </ns0:c>
      <ns0:c r="AQ136" s="87" t="n">
        <ns0:v>-1</ns0:v>
      </ns0:c>
      <ns0:c r="AR136" s="87" t="n">
        <ns0:v>0</ns0:v>
      </ns0:c>
      <ns0:c r="AS136" s="87" t="n">
        <ns0:v>0.33</ns0:v>
      </ns0:c>
      <ns0:c r="AT136" s="87" t="n">
        <ns0:v>-1</ns0:v>
      </ns0:c>
      <ns0:c r="AU136" s="87" t="n">
        <ns0:v>0</ns0:v>
      </ns0:c>
      <ns0:c r="AV136" s="87" t="n">
        <ns0:v>8.640000000000001</ns0:v>
      </ns0:c>
      <ns0:c r="AW136" s="87" t="n">
        <ns0:v>3.13</ns0:v>
      </ns0:c>
      <ns0:c r="AX136" s="87" t="n">
        <ns0:v>-5.67</ns0:v>
      </ns0:c>
      <ns0:c r="AY136" s="87" t="n">
        <ns0:v>1.52</ns0:v>
      </ns0:c>
      <ns0:c r="AZ136" s="87" t="n">
        <ns0:v>-4.13</ns0:v>
      </ns0:c>
      <ns0:c r="BA136" s="87" t="n">
        <ns0:v>-2.52</ns0:v>
      </ns0:c>
      <ns0:c r="BB136" s="74" t="inlineStr">
        <ns0:is>
          <ns0:t>China Biotech ETF (HS biotech proxy)</ns0:t>
        </ns0:is>
      </ns0:c>
      <ns0:c r="BC136" s="87" t="n">
        <ns0:v>-93.33</ns0:v>
      </ns0:c>
      <ns0:c r="BD136" s="75" t="n">
        <ns0:v>46297</ns0:v>
      </ns0:c>
      <ns0:c r="BE136" s="76" t="n">
        <ns0:v>2451.4</ns0:v>
      </ns0:c>
      <ns0:c r="BF136" s="79" t="n">
        <ns0:v>-1.2</ns0:v>
      </ns0:c>
      <ns0:c r="BG136" s="74" t="inlineStr">
        <ns0:is>
          <ns0:t>N</ns0:t>
        </ns0:is>
      </ns0:c>
      <ns0:c r="BH136" s="74" t="inlineStr">
        <ns0:is>
          <ns0:t>n/m</ns0:t>
        </ns0:is>
      </ns0:c>
      <ns0:c r="BI136" s="88" t="n"/>
      <ns0:c r="BJ136" s="88" t="n"/>
      <ns0:c r="BK136" s="89" t="n">
        <ns0:v>6.6</ns0:v>
      </ns0:c>
      <ns0:c r="BL136" s="90">
        <ns0:f>IFERROR(IF('BBG Verify'!S136="","Awaiting Bloomberg",'BBG Verify'!S136),"Awaiting Bloomberg")</ns0:f>
        <ns0:v/>
      </ns0:c>
      <ns0:c r="BM136" s="91" t="inlineStr">
        <ns0:is>
          <ns0:t>N</ns0:t>
        </ns0:is>
      </ns0:c>
      <ns0:c r="BN136" s="92">
        <ns0:f>IFERROR(IF('BBG Verify'!K136="","Awaiting Bloomberg",'BBG Verify'!K136),"Awaiting Bloomberg")</ns0:f>
        <ns0:v/>
      </ns0:c>
      <ns0:c r="BO136" s="74" t="inlineStr">
        <ns0:is>
          <ns0:t>N/A</ns0:t>
        </ns0:is>
      </ns0:c>
      <ns0:c r="BP136" s="74" t="inlineStr">
        <ns0:is>
          <ns0:t>N/A</ns0:t>
        </ns0:is>
      </ns0:c>
      <ns0:c r="BQ136" s="74" t="inlineStr">
        <ns0:is>
          <ns0:t>N/A</ns0:t>
        </ns0:is>
      </ns0:c>
      <ns0:c r="BR136" s="74" t="inlineStr">
        <ns0:is>
          <ns0:t>N/A</ns0:t>
        </ns0:is>
      </ns0:c>
      <ns0:c r="BS136" s="74" t="inlineStr">
        <ns0:is>
          <ns0:t>N/A</ns0:t>
        </ns0:is>
      </ns0:c>
      <ns0:c r="BT136" s="74" t="inlineStr">
        <ns0:is>
          <ns0:t>N/A</ns0:t>
        </ns0:is>
      </ns0:c>
      <ns0:c r="BU136" s="91" t="inlineStr">
        <ns0:is>
          <ns0:t>CMB International Capital Limited</ns0:t>
        </ns0:is>
      </ns0:c>
      <ns0:c r="BV136" s="74" t="inlineStr">
        <ns0:is>
          <ns0:t>China International Capital Corporation Hong Kong Securities Limited; CMB International Capital Corporation Limited</ns0:t>
        </ns0:is>
      </ns0:c>
      <ns0:c r="BW136" s="74" t="inlineStr">
        <ns0:is>
          <ns0:t>CMB International Capital Limited; China International Capital Corporation Hong Kong Securities Limited; Futu Securities International (Hong Kong) Limited</ns0:t>
        </ns0:is>
      </ns0:c>
      <ns0:c r="BX136" s="74" t="inlineStr">
        <ns0:is>
          <ns0:t>China International Capital Corporation Hong Kong Securities Limited; CMB International Capital Corporation Limited; Futu Securities International (Hong Kong) Limited; Silverbricks Securities Company Limited</ns0:t>
        </ns0:is>
      </ns0:c>
      <ns0:c r="BY136" s="93">
        <ns0:f>HYPERLINK("https://www1.hkexnews.hk/listedco/listconews/sehk/2022/0901/2022090100013.pdf","prospectus")</ns0:f>
        <ns0:v/>
      </ns0:c>
      <ns0:c r="BZ136" s="93">
        <ns0:f>HYPERLINK("https://www1.hkexnews.hk/listedco/listconews/sehk/2022/0913/2022091300006.htm","allotment")</ns0:f>
        <ns0:v/>
      </ns0:c>
      <ns0:c r="CA136" s="93">
        <ns0:f>HYPERLINK("https://www1.hkexnews.hk/listedco/listconews/sehk/2022/1006/2022100601196.pdf","stabilisation")</ns0:f>
        <ns0:v/>
      </ns0:c>
      <ns0:c r="CB136" s="94" t="n"/>
      <ns0:c r="CC136" s="74" t="inlineStr">
        <ns0:is>
          <ns0:t>P/E: loss-making at IPO, use P/S; range low: maximum offer price only, no floor published; allocation: allocation table not in this notice's format (older prose announcement); day-1 tape: volume on file; the retail multiple needs the final public split, which this notice does not state</ns0:t>
        </ns0:is>
      </ns0:c>
    </ns0:row>
    <ns0:row r="137" ht="22" customHeight="1">
      <ns0:c r="A137" s="73" t="inlineStr">
        <ns0:is>
          <ns0:t>2350</ns0:t>
        </ns0:is>
      </ns0:c>
      <ns0:c r="B137" s="74" t="inlineStr">
        <ns0:is>
          <ns0:t>MTT GROUP</ns0:t>
        </ns0:is>
      </ns0:c>
      <ns0:c r="C137" s="74" t="inlineStr">
        <ns0:is>
          <ns0:t>數科集團</ns0:t>
        </ns0:is>
      </ns0:c>
      <ns0:c r="D137" s="74" t="inlineStr">
        <ns0:is>
          <ns0:t>Industrials</ns0:t>
        </ns0:is>
      </ns0:c>
      <ns0:c r="E137" s="74" t="inlineStr">
        <ns0:is>
          <ns0:t>Construction / engineering</ns0:t>
        </ns0:is>
      </ns0:c>
      <ns0:c r="F137" s="74" t="inlineStr">
        <ns0:is>
          <ns0:t>IT Products Distributors</ns0:t>
        </ns0:is>
      </ns0:c>
      <ns0:c r="G137" s="74" t="inlineStr">
        <ns0:is>
          <ns0:t>Standard</ns0:t>
        </ns0:is>
      </ns0:c>
      <ns0:c r="H137" s="75" t="n">
        <ns0:v>44830</ns0:v>
      </ns0:c>
      <ns0:c r="I137" s="76" t="n">
        <ns0:v>119.5</ns0:v>
      </ns0:c>
      <ns0:c r="J137" s="74" t="inlineStr">
        <ns0:is>
          <ns0:t>gross (price x shares)</ns0:t>
        </ns0:is>
      </ns0:c>
      <ns0:c r="K137" s="95" t="n"/>
      <ns0:c r="L137" s="77" t="n">
        <ns0:v>0.85</ns0:v>
      </ns0:c>
      <ns0:c r="M137" s="77" t="n">
        <ns0:v>0.85</ns0:v>
      </ns0:c>
      <ns0:c r="N137" s="74" t="inlineStr">
        <ns0:is>
          <ns0:t>Y</ns0:t>
        </ns0:is>
      </ns0:c>
      <ns0:c r="O137" s="78" t="n">
        <ns0:v>100</ns0:v>
      </ns0:c>
      <ns0:c r="P137" s="84" t="n"/>
      <ns0:c r="Q137" s="79" t="n">
        <ns0:v>518.8</ns0:v>
      </ns0:c>
      <ns0:c r="R137" s="74" t="inlineStr">
        <ns0:is>
          <ns0:t>aastocks:上市市值 at the struck price</ns0:t>
        </ns0:is>
      </ns0:c>
      <ns0:c r="S137" s="80" t="n">
        <ns0:v>151.3</ns0:v>
      </ns0:c>
      <ns0:c r="T137" s="81" t="n">
        <ns0:v>1.1</ns0:v>
      </ns0:c>
      <ns0:c r="U137" s="82" t="n">
        <ns0:v>27.6</ns0:v>
      </ns0:c>
      <ns0:c r="V137" s="83" t="n">
        <ns0:v>231</ns0:v>
      </ns0:c>
      <ns0:c r="W137" s="84" t="n"/>
      <ns0:c r="X137" s="85" t="n"/>
      <ns0:c r="Y137" s="79" t="n">
        <ns0:v>86.52</ns0:v>
      </ns0:c>
      <ns0:c r="Z137" s="79" t="n">
        <ns0:v>101812500</ns0:v>
      </ns0:c>
      <ns0:c r="AA137" s="78" t="n">
        <ns0:v>16.68</ns0:v>
      </ns0:c>
      <ns0:c r="AB137" s="74" t="inlineStr">
        <ns0:is>
          <ns0:t>ATNT Group Management Limited; EC InfoTech Limited; Mr. Cheng Wan Wai; Mr. Hung Kwong Yee; Wong Cheuk Tim, Timothy</ns0:t>
        </ns0:is>
      </ns0:c>
      <ns0:c r="AC137" s="74" t="inlineStr">
        <ns0:is>
          <ns0:t>atnt;ec;mr-cheng;mr-hung;wong</ns0:t>
        </ns0:is>
      </ns0:c>
      <ns0:c r="AD137" s="84" t="n"/>
      <ns0:c r="AE137" s="74" t="inlineStr">
        <ns0:is>
          <ns0:t>lapsed (no over-allocation)</ns0:t>
        </ns0:is>
      </ns0:c>
      <ns0:c r="AF137" s="85" t="n"/>
      <ns0:c r="AG137" s="74" t="inlineStr">
        <ns0:is>
          <ns0:t>Innovax Securities</ns0:t>
        </ns0:is>
      </ns0:c>
      <ns0:c r="AH137" s="74" t="inlineStr">
        <ns0:is>
          <ns0:t>Innovax</ns0:t>
        </ns0:is>
      </ns0:c>
      <ns0:c r="AI137" s="86" t="n">
        <ns0:v>3.53</ns0:v>
      </ns0:c>
      <ns0:c r="AJ137" s="87" t="n">
        <ns0:v>-27.06</ns0:v>
      </ns0:c>
      <ns0:c r="AK137" s="87" t="n">
        <ns0:v>1.16</ns0:v>
      </ns0:c>
      <ns0:c r="AL137" s="87" t="n">
        <ns0:v>5.88</ns0:v>
      </ns0:c>
      <ns0:c r="AM137" s="87" t="n">
        <ns0:v>-31.11</ns0:v>
      </ns0:c>
      <ns0:c r="AN137" s="89" t="n">
        <ns0:v>1.46</ns0:v>
      </ns0:c>
      <ns0:c r="AO137" s="78" t="n">
        <ns0:v>37.78</ns0:v>
      </ns0:c>
      <ns0:c r="AP137" s="87" t="n">
        <ns0:v>-34.12</ns0:v>
      </ns0:c>
      <ns0:c r="AQ137" s="87" t="n">
        <ns0:v>-41.18</ns0:v>
      </ns0:c>
      <ns0:c r="AR137" s="87" t="n">
        <ns0:v>-54.12</ns0:v>
      </ns0:c>
      <ns0:c r="AS137" s="87" t="n">
        <ns0:v>-9.68</ns0:v>
      </ns0:c>
      <ns0:c r="AT137" s="87" t="n">
        <ns0:v>-19.36</ns0:v>
      </ns0:c>
      <ns0:c r="AU137" s="87" t="n">
        <ns0:v>-37.1</ns0:v>
      </ns0:c>
      <ns0:c r="AV137" s="87" t="n">
        <ns0:v>-31.16</ns0:v>
      </ns0:c>
      <ns0:c r="AW137" s="87" t="n">
        <ns0:v>-25.58</ns0:v>
      </ns0:c>
      <ns0:c r="AX137" s="87" t="n">
        <ns0:v>-63.72</ns0:v>
      </ns0:c>
      <ns0:c r="AY137" s="87" t="n">
        <ns0:v>-2.79</ns0:v>
      </ns0:c>
      <ns0:c r="AZ137" s="87" t="n">
        <ns0:v>-15.6</ns0:v>
      </ns0:c>
      <ns0:c r="BA137" s="87" t="n">
        <ns0:v>-16.57</ns0:v>
      </ns0:c>
      <ns0:c r="BB137" s="74" t="inlineStr">
        <ns0:is>
          <ns0:t>Hang Seng Commerce &amp; Industry sub-index</ns0:t>
        </ns0:is>
      </ns0:c>
      <ns0:c r="BC137" s="87" t="n">
        <ns0:v>-16.47</ns0:v>
      </ns0:c>
      <ns0:c r="BD137" s="75" t="n">
        <ns0:v>46297</ns0:v>
      </ns0:c>
      <ns0:c r="BE137" s="76" t="n">
        <ns0:v>631.5</ns0:v>
      </ns0:c>
      <ns0:c r="BF137" s="79" t="n">
        <ns0:v>47.3</ns0:v>
      </ns0:c>
      <ns0:c r="BG137" s="74" t="inlineStr">
        <ns0:is>
          <ns0:t>Y</ns0:t>
        </ns0:is>
      </ns0:c>
      <ns0:c r="BH137" s="89" t="n">
        <ns0:v>11</ns0:v>
      </ns0:c>
      <ns0:c r="BI137" s="88" t="n"/>
      <ns0:c r="BJ137" s="88" t="n"/>
      <ns0:c r="BK137" s="89" t="n">
        <ns0:v>0.8</ns0:v>
      </ns0:c>
      <ns0:c r="BL137" s="90">
        <ns0:f>IFERROR(IF('BBG Verify'!S137="","Awaiting Bloomberg",'BBG Verify'!S137),"Awaiting Bloomberg")</ns0:f>
        <ns0:v/>
      </ns0:c>
      <ns0:c r="BM137" s="91" t="inlineStr">
        <ns0:is>
          <ns0:t>N</ns0:t>
        </ns0:is>
      </ns0:c>
      <ns0:c r="BN137" s="92">
        <ns0:f>IFERROR(IF('BBG Verify'!K137="","Awaiting Bloomberg",'BBG Verify'!K137),"Awaiting Bloomberg")</ns0:f>
        <ns0:v/>
      </ns0:c>
      <ns0:c r="BO137" s="74" t="inlineStr">
        <ns0:is>
          <ns0:t>N/A</ns0:t>
        </ns0:is>
      </ns0:c>
      <ns0:c r="BP137" s="74" t="inlineStr">
        <ns0:is>
          <ns0:t>N/A</ns0:t>
        </ns0:is>
      </ns0:c>
      <ns0:c r="BQ137" s="74" t="inlineStr">
        <ns0:is>
          <ns0:t>N/A</ns0:t>
        </ns0:is>
      </ns0:c>
      <ns0:c r="BR137" s="74" t="inlineStr">
        <ns0:is>
          <ns0:t>N/A</ns0:t>
        </ns0:is>
      </ns0:c>
      <ns0:c r="BS137" s="74" t="inlineStr">
        <ns0:is>
          <ns0:t>N/A</ns0:t>
        </ns0:is>
      </ns0:c>
      <ns0:c r="BT137" s="74" t="inlineStr">
        <ns0:is>
          <ns0:t>N/A</ns0:t>
        </ns0:is>
      </ns0:c>
      <ns0:c r="BU137" s="91" t="inlineStr">
        <ns0:is>
          <ns0:t>Innovax Capital Limited</ns0:t>
        </ns0:is>
      </ns0:c>
      <ns0:c r="BV137" s="74" t="inlineStr">
        <ns0:is>
          <ns0:t>Innovax Capital Limited</ns0:t>
        </ns0:is>
      </ns0:c>
      <ns0:c r="BW137" s="74" t="inlineStr">
        <ns0:is>
          <ns0:t>and Innovax Securities Limited</ns0:t>
        </ns0:is>
      </ns0:c>
      <ns0:c r="BX137" s="74" t="inlineStr">
        <ns0:is>
          <ns0:t>Canfield Securities Company Limited; China PA Securities (Hong Kong) Company Limited; Innovax Securities Limited; Sinomax Securities Limited</ns0:t>
        </ns0:is>
      </ns0:c>
      <ns0:c r="BY137" s="93">
        <ns0:f>HYPERLINK("https://www1.hkexnews.hk/listedco/listconews/sehk/2022/0913/2022091300024.htm","prospectus")</ns0:f>
        <ns0:v/>
      </ns0:c>
      <ns0:c r="BZ137" s="93">
        <ns0:f>HYPERLINK("https://www1.hkexnews.hk/listedco/listconews/sehk/2022/0923/2022092300212.htm","allotment")</ns0:f>
        <ns0:v/>
      </ns0:c>
      <ns0:c r="CA137" s="93">
        <ns0:f>HYPERLINK("https://www1.hkexnews.hk/listedco/listconews/sehk/2022/1017/2022101700385.pdf","stabilisation")</ns0:f>
        <ns0:v/>
      </ns0:c>
      <ns0:c r="CB137" s="94" t="n"/>
      <ns0:c r="CC137" s="74" t="inlineStr">
        <ns0:is>
          <ns0:t>greenshoe: outcome published; expiry date not in the notice; price range: fixed-price offering (no indicative range); range low: maximum offer price only, no floor published; returns: returns exclude the entitlement value of 2026-06-15 rights 2-for-5 @ HK$0.275; Bloomberg back-adjusts by x1.246; cornerstone: table parse 100% rejected (institutional total implies 28%); the AAStocks institutional total used; greenshoe size: no over-allotment option; allocation: allocation table not in this notice's format (older prose announcement)</ns0:t>
        </ns0:is>
      </ns0:c>
    </ns0:row>
    <ns0:row r="138" ht="22" customHeight="1">
      <ns0:c r="A138" s="73" t="inlineStr">
        <ns0:is>
          <ns0:t>9863</ns0:t>
        </ns0:is>
      </ns0:c>
      <ns0:c r="B138" s="74" t="inlineStr">
        <ns0:is>
          <ns0:t>LEAPMOTOR</ns0:t>
        </ns0:is>
      </ns0:c>
      <ns0:c r="C138" s="74" t="inlineStr">
        <ns0:is>
          <ns0:t>零跑汽車</ns0:t>
        </ns0:is>
      </ns0:c>
      <ns0:c r="D138" s="74" t="inlineStr">
        <ns0:is>
          <ns0:t>Consumer</ns0:t>
        </ns0:is>
      </ns0:c>
      <ns0:c r="E138" s="74" t="inlineStr">
        <ns0:is>
          <ns0:t>Autos (NEV OEM)</ns0:t>
        </ns0:is>
      </ns0:c>
      <ns0:c r="F138" s="74" t="inlineStr">
        <ns0:is>
          <ns0:t>Automobile Manufacturers</ns0:t>
        </ns0:is>
      </ns0:c>
      <ns0:c r="G138" s="74" t="inlineStr">
        <ns0:is>
          <ns0:t>Standard</ns0:t>
        </ns0:is>
      </ns0:c>
      <ns0:c r="H138" s="75" t="n">
        <ns0:v>44833</ns0:v>
      </ns0:c>
      <ns0:c r="I138" s="76" t="n">
        <ns0:v>6279.3</ns0:v>
      </ns0:c>
      <ns0:c r="J138" s="74" t="inlineStr">
        <ns0:is>
          <ns0:t>gross (price x shares)</ns0:t>
        </ns0:is>
      </ns0:c>
      <ns0:c r="K138" s="77" t="n">
        <ns0:v>48</ns0:v>
      </ns0:c>
      <ns0:c r="L138" s="77" t="n">
        <ns0:v>62</ns0:v>
      </ns0:c>
      <ns0:c r="M138" s="77" t="n">
        <ns0:v>48</ns0:v>
      </ns0:c>
      <ns0:c r="N138" s="74" t="inlineStr">
        <ns0:is>
          <ns0:t>N</ns0:t>
        </ns0:is>
      </ns0:c>
      <ns0:c r="O138" s="78" t="n">
        <ns0:v>77.40000000000001</ns0:v>
      </ns0:c>
      <ns0:c r="P138" s="78" t="n">
        <ns0:v>0</ns0:v>
      </ns0:c>
      <ns0:c r="Q138" s="79" t="n">
        <ns0:v>55081.6</ns0:v>
      </ns0:c>
      <ns0:c r="R138" s="74" t="inlineStr">
        <ns0:is>
          <ns0:t>derived:deal size / offer % of enlarged capital</ns0:t>
        </ns0:is>
      </ns0:c>
      <ns0:c r="S138" s="80" t="n">
        <ns0:v>0.16</ns0:v>
      </ns0:c>
      <ns0:c r="T138" s="81" t="n">
        <ns0:v>2.33</ns0:v>
      </ns0:c>
      <ns0:c r="U138" s="82" t="n">
        <ns0:v>29.6</ns0:v>
      </ns0:c>
      <ns0:c r="V138" s="83" t="n">
        <ns0:v>137</ns0:v>
      </ns0:c>
      <ns0:c r="W138" s="84" t="n"/>
      <ns0:c r="X138" s="85" t="n"/>
      <ns0:c r="Y138" s="79" t="n">
        <ns0:v>4420.63</ns0:v>
      </ns0:c>
      <ns0:c r="Z138" s="79" t="n">
        <ns0:v>92096646</ns0:v>
      </ns0:c>
      <ns0:c r="AA138" s="78" t="n">
        <ns0:v>8.029999999999999</ns0:v>
      </ns0:c>
      <ns0:c r="AB138" s="74" t="inlineStr">
        <ns0:is>
          <ns0:t>GF Fund Management Co., Ltd; Jinhua Industrial Fund Co., Ltd; Jinhua Jinkai Industrial Leading Investment Partnership (Limited Partnership); Kwok Tai East International Group Limited; Zhejiang Industrial Fund</ns0:t>
        </ns0:is>
      </ns0:c>
      <ns0:c r="AC138" s="74" t="inlineStr">
        <ns0:is>
          <ns0:t>gf;jinhua;kwok;zhejiang</ns0:t>
        </ns0:is>
      </ns0:c>
      <ns0:c r="AD138" s="78" t="n">
        <ns0:v>14.6</ns0:v>
      </ns0:c>
      <ns0:c r="AE138" s="74" t="inlineStr">
        <ns0:is>
          <ns0:t>lapsed</ns0:t>
        </ns0:is>
      </ns0:c>
      <ns0:c r="AF138" s="74" t="inlineStr">
        <ns0:is>
          <ns0:t>2022-10-23</ns0:t>
        </ns0:is>
      </ns0:c>
      <ns0:c r="AG138" s="74" t="inlineStr">
        <ns0:is>
          <ns0:t>J.P. Morgan Securities</ns0:t>
        </ns0:is>
      </ns0:c>
      <ns0:c r="AH138" s="74" t="inlineStr">
        <ns0:is>
          <ns0:t>JP Morgan</ns0:t>
        </ns0:is>
      </ns0:c>
      <ns0:c r="AI138" s="86" t="n">
        <ns0:v>-14.58</ns0:v>
      </ns0:c>
      <ns0:c r="AJ138" s="87" t="n">
        <ns0:v>-33.54</ns0:v>
      </ns0:c>
      <ns0:c r="AK138" s="87" t="n">
        <ns0:v>-0.27</ns0:v>
      </ns0:c>
      <ns0:c r="AL138" s="87" t="n">
        <ns0:v>-14.58</ns0:v>
      </ns0:c>
      <ns0:c r="AM138" s="87" t="n">
        <ns0:v>-22.2</ns0:v>
      </ns0:c>
      <ns0:c r="AN138" s="88" t="n"/>
      <ns0:c r="AO138" s="78" t="n">
        <ns0:v>31.59</ns0:v>
      </ns0:c>
      <ns0:c r="AP138" s="87" t="n">
        <ns0:v>-48.33</ns0:v>
      </ns0:c>
      <ns0:c r="AQ138" s="87" t="n">
        <ns0:v>-62.21</ns0:v>
      </ns0:c>
      <ns0:c r="AR138" s="87" t="n">
        <ns0:v>-37.08</ns0:v>
      </ns0:c>
      <ns0:c r="AS138" s="87" t="n">
        <ns0:v>-22.25</ns0:v>
      </ns0:c>
      <ns0:c r="AT138" s="87" t="n">
        <ns0:v>-43.14</ns0:v>
      </ns0:c>
      <ns0:c r="AU138" s="87" t="n">
        <ns0:v>-5.33</ns0:v>
      </ns0:c>
      <ns0:c r="AV138" s="87" t="n">
        <ns0:v>-50.82</ns0:v>
      </ns0:c>
      <ns0:c r="AW138" s="87" t="n">
        <ns0:v>-44.05</ns0:v>
      </ns0:c>
      <ns0:c r="AX138" s="87" t="n">
        <ns0:v>-48.68</ns0:v>
      </ns0:c>
      <ns0:c r="AY138" s="87" t="n">
        <ns0:v>-25.2</ns0:v>
      </ns0:c>
      <ns0:c r="AZ138" s="87" t="n">
        <ns0:v>-18.16</ns0:v>
      </ns0:c>
      <ns0:c r="BA138" s="87" t="n">
        <ns0:v>-17.94</ns0:v>
      </ns0:c>
      <ns0:c r="BB138" s="74" t="inlineStr">
        <ns0:is>
          <ns0:t>Hang Seng Commerce &amp; Industry sub-index</ns0:t>
        </ns0:is>
      </ns0:c>
      <ns0:c r="BC138" s="87" t="n">
        <ns0:v>-28.08</ns0:v>
      </ns0:c>
      <ns0:c r="BD138" s="75" t="n">
        <ns0:v>46297</ns0:v>
      </ns0:c>
      <ns0:c r="BE138" s="76" t="n">
        <ns0:v>694.4</ns0:v>
      </ns0:c>
      <ns0:c r="BF138" s="79" t="n">
        <ns0:v>-3130.4</ns0:v>
      </ns0:c>
      <ns0:c r="BG138" s="74" t="inlineStr">
        <ns0:is>
          <ns0:t>N</ns0:t>
        </ns0:is>
      </ns0:c>
      <ns0:c r="BH138" s="74" t="inlineStr">
        <ns0:is>
          <ns0:t>n/m</ns0:t>
        </ns0:is>
      </ns0:c>
      <ns0:c r="BI138" s="88" t="n"/>
      <ns0:c r="BJ138" s="89" t="n">
        <ns0:v>95.59999999999999</ns0:v>
      </ns0:c>
      <ns0:c r="BK138" s="89" t="n">
        <ns0:v>79.3</ns0:v>
      </ns0:c>
      <ns0:c r="BL138" s="90">
        <ns0:f>IFERROR(IF('BBG Verify'!S138="","Awaiting Bloomberg",'BBG Verify'!S138),"Awaiting Bloomberg")</ns0:f>
        <ns0:v/>
      </ns0:c>
      <ns0:c r="BM138" s="91" t="inlineStr">
        <ns0:is>
          <ns0:t>N</ns0:t>
        </ns0:is>
      </ns0:c>
      <ns0:c r="BN138" s="92">
        <ns0:f>IFERROR(IF('BBG Verify'!K138="","Awaiting Bloomberg",'BBG Verify'!K138),"Awaiting Bloomberg")</ns0:f>
        <ns0:v/>
      </ns0:c>
      <ns0:c r="BO138" s="74" t="inlineStr">
        <ns0:is>
          <ns0:t>N/A</ns0:t>
        </ns0:is>
      </ns0:c>
      <ns0:c r="BP138" s="74" t="inlineStr">
        <ns0:is>
          <ns0:t>N/A</ns0:t>
        </ns0:is>
      </ns0:c>
      <ns0:c r="BQ138" s="74" t="inlineStr">
        <ns0:is>
          <ns0:t>N/A</ns0:t>
        </ns0:is>
      </ns0:c>
      <ns0:c r="BR138" s="74" t="inlineStr">
        <ns0:is>
          <ns0:t>N/A</ns0:t>
        </ns0:is>
      </ns0:c>
      <ns0:c r="BS138" s="74" t="inlineStr">
        <ns0:is>
          <ns0:t>N/A</ns0:t>
        </ns0:is>
      </ns0:c>
      <ns0:c r="BT138" s="74" t="inlineStr">
        <ns0:is>
          <ns0:t>N/A</ns0:t>
        </ns0:is>
      </ns0:c>
      <ns0:c r="BU138" s="91" t="inlineStr">
        <ns0:is>
          <ns0:t>J.P . Morgan Securities (Far East) Limited; China International Capital Corporation Hong Kong Securities Limited; Citigroup Global Markets Asia Limited; CCB International Capital Limited</ns0:t>
        </ns0:is>
      </ns0:c>
      <ns0:c r="BV138" s="74" t="inlineStr">
        <ns0:is>
          <ns0:t>China International Capital Corporation Hong Kong Securities Limited; CCB International Capital Limited; J.P. Morgan Securities (Far East) Limited; Citigroup Global Markets Asia Limited</ns0:t>
        </ns0:is>
      </ns0:c>
      <ns0:c r="BW138" s="74" t="inlineStr">
        <ns0:is>
          <ns0: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ns0:t>
        </ns0:is>
      </ns0:c>
      <ns0:c r="BX138" s="74" t="inlineStr">
        <ns0:is>
          <ns0: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ns0:t>
        </ns0:is>
      </ns0:c>
      <ns0:c r="BY138" s="93">
        <ns0:f>HYPERLINK("https://www1.hkexnews.hk/listedco/listconews/sehk/2022/0920/2022092000023.pdf","prospectus")</ns0:f>
        <ns0:v/>
      </ns0:c>
      <ns0:c r="BZ138" s="93">
        <ns0:f>HYPERLINK("https://www1.hkexnews.hk/listedco/listconews/sehk/2022/0928/2022092800020.htm","allotment")</ns0:f>
        <ns0:v/>
      </ns0:c>
      <ns0:c r="CA138" s="93">
        <ns0:f>HYPERLINK("https://www1.hkexnews.hk/listedco/listconews/sehk/2022/1023/2022102300019.pdf","stabilisation")</ns0:f>
        <ns0:v/>
      </ns0:c>
      <ns0:c r="CB138" s="94" t="n"/>
      <ns0:c r="CC138" s="74" t="inlineStr">
        <ns0:is>
          <ns0:t>P/E: loss-making at IPO, use P/S; allocation: allocation table not in this notice's format (older prose announcement); day-1 tape: volume on file; the retail multiple needs the final public split, which this notice does not state</ns0:t>
        </ns0:is>
      </ns0:c>
    </ns0:row>
    <ns0:row r="139" ht="22" customHeight="1">
      <ns0:c r="A139" s="73" t="inlineStr">
        <ns0:is>
          <ns0:t>2602</ns0:t>
        </ns0:is>
      </ns0:c>
      <ns0:c r="B139" s="74" t="inlineStr">
        <ns0:is>
          <ns0:t>ONEWO</ns0:t>
        </ns0:is>
      </ns0:c>
      <ns0:c r="C139" s="74" t="inlineStr">
        <ns0:is>
          <ns0:t>萬物雲</ns0:t>
        </ns0:is>
      </ns0:c>
      <ns0:c r="D139" s="74" t="inlineStr">
        <ns0:is>
          <ns0:t>Real Estate</ns0:t>
        </ns0:is>
      </ns0:c>
      <ns0:c r="E139" s="74" t="inlineStr">
        <ns0:is>
          <ns0:t>Property management</ns0:t>
        </ns0:is>
      </ns0:c>
      <ns0:c r="F139" s="74" t="inlineStr">
        <ns0:is>
          <ns0:t>Property Service and Management</ns0:t>
        </ns0:is>
      </ns0:c>
      <ns0:c r="G139" s="74" t="inlineStr">
        <ns0:is>
          <ns0:t>Standard</ns0:t>
        </ns0:is>
      </ns0:c>
      <ns0:c r="H139" s="75" t="n">
        <ns0:v>44833</ns0:v>
      </ns0:c>
      <ns0:c r="I139" s="76" t="n">
        <ns0:v>5759.8</ns0:v>
      </ns0:c>
      <ns0:c r="J139" s="74" t="inlineStr">
        <ns0:is>
          <ns0:t>gross (price x shares)</ns0:t>
        </ns0:is>
      </ns0:c>
      <ns0:c r="K139" s="77" t="n">
        <ns0:v>47.1</ns0:v>
      </ns0:c>
      <ns0:c r="L139" s="77" t="n">
        <ns0:v>52.7</ns0:v>
      </ns0:c>
      <ns0:c r="M139" s="77" t="n">
        <ns0:v>49.35</ns0:v>
      </ns0:c>
      <ns0:c r="N139" s="74" t="inlineStr">
        <ns0:is>
          <ns0:t>N</ns0:t>
        </ns0:is>
      </ns0:c>
      <ns0:c r="O139" s="78" t="n">
        <ns0:v>93.59999999999999</ns0:v>
      </ns0:c>
      <ns0:c r="P139" s="78" t="n">
        <ns0:v>40.2</ns0:v>
      </ns0:c>
      <ns0:c r="Q139" s="79" t="n">
        <ns0:v>61685.8</ns0:v>
      </ns0:c>
      <ns0:c r="R139" s="74" t="inlineStr">
        <ns0:is>
          <ns0:t>aastocks:上市市值 at the struck price</ns0:t>
        </ns0:is>
      </ns0:c>
      <ns0:c r="S139" s="80" t="n">
        <ns0:v>0.82</ns0:v>
      </ns0:c>
      <ns0:c r="T139" s="81" t="n">
        <ns0:v>3.3</ns0:v>
      </ns0:c>
      <ns0:c r="U139" s="82" t="n">
        <ns0:v>37.56</ns0:v>
      </ns0:c>
      <ns0:c r="V139" s="83" t="n">
        <ns0:v>106</ns0:v>
      </ns0:c>
      <ns0:c r="W139" s="78" t="n">
        <ns0:v>8.17</ns0:v>
      </ns0:c>
      <ns0:c r="X139" s="74" t="inlineStr">
        <ns0:is>
          <ns0:t>NO</ns0:t>
        </ns0:is>
      </ns0:c>
      <ns0:c r="Y139" s="79" t="n">
        <ns0:v>3596.42</ns0:v>
      </ns0:c>
      <ns0:c r="Z139" s="79" t="n">
        <ns0:v>72876222</ns0:v>
      </ns0:c>
      <ns0:c r="AA139" s="78" t="n">
        <ns0:v>5.83</ns0:v>
      </ns0:c>
      <ns0:c r="AB139" s="74" t="inlineStr">
        <ns0:is>
          <ns0:t>Athos Asia Event Driven Master Fund; Cephei QFII China Total Return Fund Ltd; China Chengtong Investment Company Limited; HHLR Fund, L.P.; YHG Investment, L.P; The China State-owned Enterprise Mixed Ownership Reform Fund Co., Ltd; UBS Asset Management (Singapore) Ltd</ns0:t>
        </ns0:is>
      </ns0:c>
      <ns0:c r="AC139" s="74" t="inlineStr">
        <ns0:is>
          <ns0:t>athos;cephei;chengtong;hhlr;yhg;state-owned;ubs</ns0:t>
        </ns0:is>
      </ns0:c>
      <ns0:c r="AD139" s="78" t="n">
        <ns0:v>10</ns0:v>
      </ns0:c>
      <ns0:c r="AE139" s="74" t="inlineStr">
        <ns0:is>
          <ns0:t>partial</ns0:t>
        </ns0:is>
      </ns0:c>
      <ns0:c r="AF139" s="74" t="inlineStr">
        <ns0:is>
          <ns0:t>2022-10-22</ns0:t>
        </ns0:is>
      </ns0:c>
      <ns0:c r="AG139" s="74" t="inlineStr">
        <ns0:is>
          <ns0:t>Goldman Sachs</ns0:t>
        </ns0:is>
      </ns0:c>
      <ns0:c r="AH139" s="74" t="inlineStr">
        <ns0:is>
          <ns0:t>Goldman Sachs</ns0:t>
        </ns0:is>
      </ns0:c>
      <ns0:c r="AI139" s="86" t="n">
        <ns0:v>-8.210000000000001</ns0:v>
      </ns0:c>
      <ns0:c r="AJ139" s="87" t="n">
        <ns0:v>-6.79</ns0:v>
      </ns0:c>
      <ns0:c r="AK139" s="87" t="n">
        <ns0:v>-1.83</ns0:v>
      </ns0:c>
      <ns0:c r="AL139" s="87" t="n">
        <ns0:v>-7.6</ns0:v>
      </ns0:c>
      <ns0:c r="AM139" s="87" t="n">
        <ns0:v>0.88</ns0:v>
      </ns0:c>
      <ns0:c r="AN139" s="89" t="n">
        <ns0:v>1.98</ns0:v>
      </ns0:c>
      <ns0:c r="AO139" s="78" t="n">
        <ns0:v>11.84</ns0:v>
      </ns0:c>
      <ns0:c r="AP139" s="87" t="n">
        <ns0:v>-11.65</ns0:v>
      </ns0:c>
      <ns0:c r="AQ139" s="87" t="n">
        <ns0:v>-39.72</ns0:v>
      </ns0:c>
      <ns0:c r="AR139" s="87" t="n">
        <ns0:v>-0.61</ns0:v>
      </ns0:c>
      <ns0:c r="AS139" s="87" t="n">
        <ns0:v>-5.21</ns0:v>
      </ns0:c>
      <ns0:c r="AT139" s="87" t="n">
        <ns0:v>-35.33</ns0:v>
      </ns0:c>
      <ns0:c r="AU139" s="87" t="n">
        <ns0:v>6.63</ns0:v>
      </ns0:c>
      <ns0:c r="AV139" s="87" t="n">
        <ns0:v>-12.68</ns0:v>
      </ns0:c>
      <ns0:c r="AW139" s="87" t="n">
        <ns0:v>-20.53</ns0:v>
      </ns0:c>
      <ns0:c r="AX139" s="87" t="n">
        <ns0:v>-13.61</ns0:v>
      </ns0:c>
      <ns0:c r="AY139" s="87" t="n">
        <ns0:v>-17.65</ns0:v>
      </ns0:c>
      <ns0:c r="AZ139" s="87" t="n">
        <ns0:v>-19.19</ns0:v>
      </ns0:c>
      <ns0:c r="BA139" s="87" t="n">
        <ns0:v>-17.68</ns0:v>
      </ns0:c>
      <ns0:c r="BB139" s="74" t="inlineStr">
        <ns0:is>
          <ns0:t>Hang Seng Properties sub-index</ns0:t>
        </ns0:is>
      </ns0:c>
      <ns0:c r="BC139" s="87" t="n">
        <ns0:v>-61.68</ns0:v>
      </ns0:c>
      <ns0:c r="BD139" s="75" t="n">
        <ns0:v>46297</ns0:v>
      </ns0:c>
      <ns0:c r="BE139" s="76" t="n">
        <ns0:v>26075</ns0:v>
      </ns0:c>
      <ns0:c r="BF139" s="79" t="n">
        <ns0:v>1885.7</ns0:v>
      </ns0:c>
      <ns0:c r="BG139" s="74" t="inlineStr">
        <ns0:is>
          <ns0:t>Y</ns0:t>
        </ns0:is>
      </ns0:c>
      <ns0:c r="BH139" s="89" t="n">
        <ns0:v>32.7</ns0:v>
      </ns0:c>
      <ns0:c r="BI139" s="89" t="n">
        <ns0:v>24.2</ns0:v>
      </ns0:c>
      <ns0:c r="BJ139" s="89" t="n">
        <ns0:v>26</ns0:v>
      </ns0:c>
      <ns0:c r="BK139" s="89" t="n">
        <ns0:v>2.4</ns0:v>
      </ns0:c>
      <ns0:c r="BL139" s="90">
        <ns0:f>IFERROR(IF('BBG Verify'!S139="","Awaiting Bloomberg",'BBG Verify'!S139),"Awaiting Bloomberg")</ns0:f>
        <ns0:v/>
      </ns0:c>
      <ns0:c r="BM139" s="91" t="inlineStr">
        <ns0:is>
          <ns0:t>N</ns0:t>
        </ns0:is>
      </ns0:c>
      <ns0:c r="BN139" s="92">
        <ns0:f>IFERROR(IF('BBG Verify'!K139="","Awaiting Bloomberg",'BBG Verify'!K139),"Awaiting Bloomberg")</ns0:f>
        <ns0:v/>
      </ns0:c>
      <ns0:c r="BO139" s="74" t="inlineStr">
        <ns0:is>
          <ns0:t>N/A</ns0:t>
        </ns0:is>
      </ns0:c>
      <ns0:c r="BP139" s="74" t="inlineStr">
        <ns0:is>
          <ns0:t>N/A</ns0:t>
        </ns0:is>
      </ns0:c>
      <ns0:c r="BQ139" s="74" t="inlineStr">
        <ns0:is>
          <ns0:t>N/A</ns0:t>
        </ns0:is>
      </ns0:c>
      <ns0:c r="BR139" s="74" t="inlineStr">
        <ns0:is>
          <ns0:t>N/A</ns0:t>
        </ns0:is>
      </ns0:c>
      <ns0:c r="BS139" s="74" t="inlineStr">
        <ns0:is>
          <ns0:t>N/A</ns0:t>
        </ns0:is>
      </ns0:c>
      <ns0:c r="BT139" s="74" t="inlineStr">
        <ns0:is>
          <ns0:t>N/A</ns0:t>
        </ns0:is>
      </ns0:c>
      <ns0:c r="BU139" s="91" t="inlineStr">
        <ns0:is>
          <ns0:t>CLSA Capital Markets Limited; Citigroup Global Markets Asia Limited; Goldman Sachs (Asia) L.L.C; CLSA Limited</ns0:t>
        </ns0:is>
      </ns0:c>
      <ns0:c r="BV139" s="74" t="inlineStr">
        <ns0:is>
          <ns0:t>Goldman Sachs (Asia) L.L.C.; CLSA Capital Markets Limited; Citigroup Global Markets Asia Limited</ns0:t>
        </ns0:is>
      </ns0:c>
      <ns0:c r="BW139" s="74" t="inlineStr">
        <ns0:is>
          <ns0: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ns0:t>
        </ns0:is>
      </ns0:c>
      <ns0:c r="BX139" s="74" t="inlineStr">
        <ns0:is>
          <ns0:t>ABCI Securities Company Limited; BOCI Asia Limited; CCB International Capital Limited; Citigroup Global Markets Asia Limited; CLSA Limited; CMB International Capital Limited; Goldman Sachs (Asia) L.L.C.; Guosen Securities (HK) Capital Company Limited; ICBC International Securities Limited</ns0:t>
        </ns0:is>
      </ns0:c>
      <ns0:c r="BY139" s="93">
        <ns0:f>HYPERLINK("https://www1.hkexnews.hk/listedco/listconews/sehk/2022/0919/2022091900009.pdf","prospectus")</ns0:f>
        <ns0:v/>
      </ns0:c>
      <ns0:c r="BZ139" s="93">
        <ns0:f>HYPERLINK("https://www1.hkexnews.hk/listedco/listconews/sehk/2022/0928/2022092800042.htm","allotment")</ns0:f>
        <ns0:v/>
      </ns0:c>
      <ns0:c r="CA139" s="93">
        <ns0:f>HYPERLINK("https://www1.hkexnews.hk/listedco/listconews/sehk/2022/1023/2022102300033.pdf","stabilisation")</ns0:f>
        <ns0:v/>
      </ns0:c>
      <ns0:c r="CB139" s="94" t="n"/>
      <ns0:c r="CC139" s="74" t="inlineStr">
        <ns0:is>
          <ns0:t>market cap: published listing cap used; the estimate from stated market capitalisation disagreed</ns0:t>
        </ns0:is>
      </ns0:c>
    </ns0:row>
    <ns0:row r="140" ht="22" customHeight="1">
      <ns0:c r="A140" s="73" t="inlineStr">
        <ns0:is>
          <ns0:t>6660</ns0:t>
        </ns0:is>
      </ns0:c>
      <ns0:c r="B140" s="74" t="inlineStr">
        <ns0:is>
          <ns0:t>AIM VACCINE</ns0:t>
        </ns0:is>
      </ns0:c>
      <ns0:c r="C140" s="74" t="inlineStr">
        <ns0:is>
          <ns0:t>艾美疫苗</ns0:t>
        </ns0:is>
      </ns0:c>
      <ns0:c r="D140" s="74" t="inlineStr">
        <ns0:is>
          <ns0:t>Healthcare</ns0:t>
        </ns0:is>
      </ns0:c>
      <ns0:c r="E140" s="74" t="inlineStr">
        <ns0:is>
          <ns0:t>Biopharma commercial</ns0:t>
        </ns0:is>
      </ns0:c>
      <ns0:c r="F140" s="74" t="inlineStr">
        <ns0:is>
          <ns0:t>Biotechnology - Pharmaceuticals</ns0:t>
        </ns0:is>
      </ns0:c>
      <ns0:c r="G140" s="74" t="inlineStr">
        <ns0:is>
          <ns0:t>Standard</ns0:t>
        </ns0:is>
      </ns0:c>
      <ns0:c r="H140" s="75" t="n">
        <ns0:v>44840</ns0:v>
      </ns0:c>
      <ns0:c r="I140" s="76" t="n">
        <ns0:v>157</ns0:v>
      </ns0:c>
      <ns0:c r="J140" s="74" t="inlineStr">
        <ns0:is>
          <ns0:t>gross (price x shares)</ns0:t>
        </ns0:is>
      </ns0:c>
      <ns0:c r="K140" s="95" t="n"/>
      <ns0:c r="L140" s="77" t="n">
        <ns0:v>16.16</ns0:v>
      </ns0:c>
      <ns0:c r="M140" s="77" t="n">
        <ns0:v>16.16</ns0:v>
      </ns0:c>
      <ns0:c r="N140" s="74" t="inlineStr">
        <ns0:is>
          <ns0:t>Y</ns0:t>
        </ns0:is>
      </ns0:c>
      <ns0:c r="O140" s="78" t="n">
        <ns0:v>100</ns0:v>
      </ns0:c>
      <ns0:c r="P140" s="84" t="n"/>
      <ns0:c r="Q140" s="79" t="n">
        <ns0:v>19549</ns0:v>
      </ns0:c>
      <ns0:c r="R140" s="74" t="inlineStr">
        <ns0:is>
          <ns0:t>prospectus:stated market capitalisation</ns0:t>
        </ns0:is>
      </ns0:c>
      <ns0:c r="S140" s="80" t="n">
        <ns0:v>3.15</ns0:v>
      </ns0:c>
      <ns0:c r="T140" s="81" t="n">
        <ns0:v>3.27</ns0:v>
      </ns0:c>
      <ns0:c r="U140" s="82" t="n">
        <ns0:v>0</ns0:v>
      </ns0:c>
      <ns0:c r="V140" s="83" t="n">
        <ns0:v>115</ns0:v>
      </ns0:c>
      <ns0:c r="W140" s="84" t="n"/>
      <ns0:c r="X140" s="85" t="n"/>
      <ns0:c r="Y140" s="79" t="n">
        <ns0:v>157</ns0:v>
      </ns0:c>
      <ns0:c r="Z140" s="79" t="n">
        <ns0:v>9714000</ns0:v>
      </ns0:c>
      <ns0:c r="AA140" s="78" t="n">
        <ns0:v>0.8</ns0:v>
      </ns0:c>
      <ns0:c r="AB140" s="74" t="inlineStr">
        <ns0:is>
          <ns0:t>none — no cornerstone tranche</ns0:t>
        </ns0:is>
      </ns0:c>
      <ns0:c r="AC140" s="74" t="inlineStr">
        <ns0:is>
          <ns0:t>none</ns0:t>
        </ns0:is>
      </ns0:c>
      <ns0:c r="AD140" s="78" t="n">
        <ns0:v>20</ns0:v>
      </ns0:c>
      <ns0:c r="AE140" s="74" t="inlineStr">
        <ns0:is>
          <ns0:t>partial</ns0:t>
        </ns0:is>
      </ns0:c>
      <ns0:c r="AF140" s="74" t="inlineStr">
        <ns0:is>
          <ns0:t>2022-10-28</ns0:t>
        </ns0:is>
      </ns0:c>
      <ns0:c r="AG140" s="74" t="inlineStr">
        <ns0:is>
          <ns0:t>Goldman Sachs</ns0:t>
        </ns0:is>
      </ns0:c>
      <ns0:c r="AH140" s="74" t="inlineStr">
        <ns0:is>
          <ns0:t>Goldman Sachs</ns0:t>
        </ns0:is>
      </ns0:c>
      <ns0:c r="AI140" s="86" t="n">
        <ns0:v>-1.11</ns0:v>
      </ns0:c>
      <ns0:c r="AJ140" s="87" t="n">
        <ns0:v>3.09</ns0:v>
      </ns0:c>
      <ns0:c r="AK140" s="87" t="n">
        <ns0:v>-1.37</ns0:v>
      </ns0:c>
      <ns0:c r="AL140" s="87" t="n">
        <ns0:v>-7.18</ns0:v>
      </ns0:c>
      <ns0:c r="AM140" s="87" t="n">
        <ns0:v>11.06</ns0:v>
      </ns0:c>
      <ns0:c r="AN140" s="88" t="n"/>
      <ns0:c r="AO140" s="78" t="n">
        <ns0:v>11.47</ns0:v>
      </ns0:c>
      <ns0:c r="AP140" s="87" t="n">
        <ns0:v>3.71</ns0:v>
      </ns0:c>
      <ns0:c r="AQ140" s="87" t="n">
        <ns0:v>77.59999999999999</ns0:v>
      </ns0:c>
      <ns0:c r="AR140" s="87" t="n">
        <ns0:v>54.7</ns0:v>
      </ns0:c>
      <ns0:c r="AS140" s="87" t="n">
        <ns0:v>0.6</ns0:v>
      </ns0:c>
      <ns0:c r="AT140" s="87" t="n">
        <ns0:v>72.28</ns0:v>
      </ns0:c>
      <ns0:c r="AU140" s="87" t="n">
        <ns0:v>50.06</ns0:v>
      </ns0:c>
      <ns0:c r="AV140" s="87" t="n">
        <ns0:v>7.04</ns0:v>
      </ns0:c>
      <ns0:c r="AW140" s="87" t="n">
        <ns0:v>65.25</ns0:v>
      </ns0:c>
      <ns0:c r="AX140" s="87" t="n">
        <ns0:v>35.21</ns0:v>
      </ns0:c>
      <ns0:c r="AY140" s="87" t="n">
        <ns0:v>58.37</ns0:v>
      </ns0:c>
      <ns0:c r="AZ140" s="87" t="n">
        <ns0:v>12.35</ns0:v>
      </ns0:c>
      <ns0:c r="BA140" s="87" t="n">
        <ns0:v>13.91</ns0:v>
      </ns0:c>
      <ns0:c r="BB140" s="74" t="inlineStr">
        <ns0:is>
          <ns0:t>China Biotech ETF (HS biotech proxy)</ns0:t>
        </ns0:is>
      </ns0:c>
      <ns0:c r="BC140" s="87" t="n">
        <ns0:v>-89.59999999999999</ns0:v>
      </ns0:c>
      <ns0:c r="BD140" s="75" t="n">
        <ns0:v>46297</ns0:v>
      </ns0:c>
      <ns0:c r="BE140" s="76" t="n">
        <ns0:v>1727.1</ns0:v>
      </ns0:c>
      <ns0:c r="BF140" s="79" t="n">
        <ns0:v>-667.4</ns0:v>
      </ns0:c>
      <ns0:c r="BG140" s="74" t="inlineStr">
        <ns0:is>
          <ns0:t>N</ns0:t>
        </ns0:is>
      </ns0:c>
      <ns0:c r="BH140" s="74" t="inlineStr">
        <ns0:is>
          <ns0:t>n/m</ns0:t>
        </ns0:is>
      </ns0:c>
      <ns0:c r="BI140" s="88" t="n"/>
      <ns0:c r="BJ140" s="88" t="n"/>
      <ns0:c r="BK140" s="89" t="n">
        <ns0:v>11.3</ns0:v>
      </ns0:c>
      <ns0:c r="BL140" s="90">
        <ns0:f>IFERROR(IF('BBG Verify'!S140="","Awaiting Bloomberg",'BBG Verify'!S140),"Awaiting Bloomberg")</ns0:f>
        <ns0:v/>
      </ns0:c>
      <ns0:c r="BM140" s="91" t="inlineStr">
        <ns0:is>
          <ns0:t>N</ns0:t>
        </ns0:is>
      </ns0:c>
      <ns0:c r="BN140" s="92">
        <ns0:f>IFERROR(IF('BBG Verify'!K140="","Awaiting Bloomberg",'BBG Verify'!K140),"Awaiting Bloomberg")</ns0:f>
        <ns0:v/>
      </ns0:c>
      <ns0:c r="BO140" s="74" t="inlineStr">
        <ns0:is>
          <ns0:t>N/A</ns0:t>
        </ns0:is>
      </ns0:c>
      <ns0:c r="BP140" s="74" t="inlineStr">
        <ns0:is>
          <ns0:t>N/A</ns0:t>
        </ns0:is>
      </ns0:c>
      <ns0:c r="BQ140" s="74" t="inlineStr">
        <ns0:is>
          <ns0:t>N/A</ns0:t>
        </ns0:is>
      </ns0:c>
      <ns0:c r="BR140" s="74" t="inlineStr">
        <ns0:is>
          <ns0:t>N/A</ns0:t>
        </ns0:is>
      </ns0:c>
      <ns0:c r="BS140" s="74" t="inlineStr">
        <ns0:is>
          <ns0:t>N/A</ns0:t>
        </ns0:is>
      </ns0:c>
      <ns0:c r="BT140" s="74" t="inlineStr">
        <ns0:is>
          <ns0:t>N/A</ns0:t>
        </ns0:is>
      </ns0:c>
      <ns0:c r="BU140" s="91" t="inlineStr">
        <ns0:is>
          <ns0:t>Goldman Sachs (Asia) L.L.C; China International Capital Corporation Hong Kong Securities Limited; China Securities (International) Corporate Finance Company Limited; Macquarie Capital Limited</ns0:t>
        </ns0:is>
      </ns0:c>
      <ns0:c r="BV140" s="74" t="inlineStr">
        <ns0:is>
          <ns0:t>China International Capital Corporation Hong Kong Securities Limited; Goldman Sachs (Asia) L.L.C.; China Securities (International) Corporate Finance Company Limited; Macquarie Capital Limited</ns0:t>
        </ns0:is>
      </ns0:c>
      <ns0:c r="BW140" s="74" t="inlineStr">
        <ns0:is>
          <ns0:t>Goldman Sachs (Asia) L.L.C; China International Capital Corporation Hong Kong Securities Limited; China Securities (International) Corporate Finance Company Limited; Macquarie Capital Limited; ICBC International Capital Limited; CMB International Capital Limited; Futu Securities International (Hong Kong) Limited; Tiger Brokers (HK) Global Limited</ns0:t>
        </ns0:is>
      </ns0:c>
      <ns0:c r="BX140" s="74" t="inlineStr">
        <ns0:is>
          <ns0: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ns0:t>
        </ns0:is>
      </ns0:c>
      <ns0:c r="BY140" s="93">
        <ns0:f>HYPERLINK("https://www1.hkexnews.hk/listedco/listconews/sehk/2022/0923/2022092300031.pdf","prospectus")</ns0:f>
        <ns0:v/>
      </ns0:c>
      <ns0:c r="BZ140" s="93">
        <ns0:f>HYPERLINK("https://www1.hkexnews.hk/listedco/listconews/sehk/2022/1005/2022100500006.htm","allotment")</ns0:f>
        <ns0:v/>
      </ns0:c>
      <ns0:c r="CA140" s="93">
        <ns0:f>HYPERLINK("https://www1.hkexnews.hk/listedco/listconews/sehk/2022/1028/2022102802169.pdf","stabilisation")</ns0:f>
        <ns0:v/>
      </ns0:c>
      <ns0:c r="CB140" s="94" t="n"/>
      <ns0:c r="CC140" s="74" t="inlineStr">
        <ns0:is>
          <ns0:t>P/E: loss-making at IPO, use P/S; range low: maximum offer price only, no floor published; cornerstone list: no cornerstone tranche; allocation: allocation table not in this notice's format (older prose announcement); day-1 tape: volume on file; the retail multiple needs the final public split, which this notice does not state</ns0:t>
        </ns0:is>
      </ns0:c>
    </ns0:row>
    <ns0:row r="141" ht="22" customHeight="1">
      <ns0:c r="A141" s="73" t="inlineStr">
        <ns0:is>
          <ns0:t>3931</ns0:t>
        </ns0:is>
      </ns0:c>
      <ns0:c r="B141" s="74" t="inlineStr">
        <ns0:is>
          <ns0:t>CALB</ns0:t>
        </ns0:is>
      </ns0:c>
      <ns0:c r="C141" s="74" t="inlineStr">
        <ns0:is>
          <ns0:t>中創新航</ns0:t>
        </ns0:is>
      </ns0:c>
      <ns0:c r="D141" s="74" t="inlineStr">
        <ns0:is>
          <ns0:t>Industrials</ns0:t>
        </ns0:is>
      </ns0:c>
      <ns0:c r="E141" s="74" t="inlineStr">
        <ns0:is>
          <ns0:t>Batteries / energy storage</ns0:t>
        </ns0:is>
      </ns0:c>
      <ns0:c r="F141" s="74" t="inlineStr">
        <ns0:is>
          <ns0:t>Battery Products</ns0:t>
        </ns0:is>
      </ns0:c>
      <ns0:c r="G141" s="74" t="inlineStr">
        <ns0:is>
          <ns0:t>Standard</ns0:t>
        </ns0:is>
      </ns0:c>
      <ns0:c r="H141" s="75" t="n">
        <ns0:v>44840</ns0:v>
      </ns0:c>
      <ns0:c r="I141" s="76" t="n">
        <ns0:v>9863.9</ns0:v>
      </ns0:c>
      <ns0:c r="J141" s="74" t="inlineStr">
        <ns0:is>
          <ns0:t>net proceeds</ns0:t>
        </ns0:is>
      </ns0:c>
      <ns0:c r="K141" s="77" t="n">
        <ns0:v>38</ns0:v>
      </ns0:c>
      <ns0:c r="L141" s="77" t="n">
        <ns0:v>51</ns0:v>
      </ns0:c>
      <ns0:c r="M141" s="77" t="n">
        <ns0:v>38</ns0:v>
      </ns0:c>
      <ns0:c r="N141" s="74" t="inlineStr">
        <ns0:is>
          <ns0:t>N</ns0:t>
        </ns0:is>
      </ns0:c>
      <ns0:c r="O141" s="78" t="n">
        <ns0:v>74.5</ns0:v>
      </ns0:c>
      <ns0:c r="P141" s="78" t="n">
        <ns0:v>0</ns0:v>
      </ns0:c>
      <ns0:c r="Q141" s="79" t="n">
        <ns0:v>67347.5</ns0:v>
      </ns0:c>
      <ns0:c r="R141" s="74" t="inlineStr">
        <ns0:is>
          <ns0:t>prospectus:stated market capitalisation</ns0:t>
        </ns0:is>
      </ns0:c>
      <ns0:c r="S141" s="80" t="n">
        <ns0:v>0.21</ns0:v>
      </ns0:c>
      <ns0:c r="T141" s="81" t="n">
        <ns0:v>2.11</ns0:v>
      </ns0:c>
      <ns0:c r="U141" s="82" t="n">
        <ns0:v>58.7</ns0:v>
      </ns0:c>
      <ns0:c r="V141" s="83" t="n">
        <ns0:v>127</ns0:v>
      </ns0:c>
      <ns0:c r="W141" s="78" t="n">
        <ns0:v>1.06</ns0:v>
      </ns0:c>
      <ns0:c r="X141" s="74" t="inlineStr">
        <ns0:is>
          <ns0:t>NO</ns0:t>
        </ns0:is>
      </ns0:c>
      <ns0:c r="Y141" s="79" t="n">
        <ns0:v>4073.79</ns0:v>
      </ns0:c>
      <ns0:c r="Z141" s="97" t="n"/>
      <ns0:c r="AA141" s="78" t="n">
        <ns0:v>6.05</ns0:v>
      </ns0:c>
      <ns0:c r="AB141" s="74" t="inlineStr">
        <ns0:is>
          <ns0: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ns0:t>
        </ns0:is>
      </ns0:c>
      <ns0:c r="AC141" s="74" t="inlineStr">
        <ns0:is>
          <ns0:t>changzhou;cngr;hans;hefei;jiangmen;jiangsu;lv;tianqi;tibet;tma;wang-sing;xing;xpeng;zhenshi</ns0:t>
        </ns0:is>
      </ns0:c>
      <ns0:c r="AD141" s="78" t="n">
        <ns0:v>14.32</ns0:v>
      </ns0:c>
      <ns0:c r="AE141" s="74" t="inlineStr">
        <ns0:is>
          <ns0:t>lapsed</ns0:t>
        </ns0:is>
      </ns0:c>
      <ns0:c r="AF141" s="74" t="inlineStr">
        <ns0:is>
          <ns0:t>2022-10-28</ns0:t>
        </ns0:is>
      </ns0:c>
      <ns0:c r="AG141" s="74" t="inlineStr">
        <ns0:is>
          <ns0:t>Huatai Financial Holdings</ns0:t>
        </ns0:is>
      </ns0:c>
      <ns0:c r="AH141" s="74" t="inlineStr">
        <ns0:is>
          <ns0:t>Huatai</ns0:t>
        </ns0:is>
      </ns0:c>
      <ns0:c r="AI141" s="86" t="n">
        <ns0:v>0</ns0:v>
      </ns0:c>
      <ns0:c r="AJ141" s="87" t="n">
        <ns0:v>0</ns0:v>
      </ns0:c>
      <ns0:c r="AK141" s="87" t="n">
        <ns0:v>-0.37</ns0:v>
      </ns0:c>
      <ns0:c r="AL141" s="87" t="n">
        <ns0:v>0</ns0:v>
      </ns0:c>
      <ns0:c r="AM141" s="87" t="n">
        <ns0:v>0</ns0:v>
      </ns0:c>
      <ns0:c r="AN141" s="89" t="n">
        <ns0:v>16.74</ns0:v>
      </ns0:c>
      <ns0:c r="AO141" s="78" t="n">
        <ns0:v>3.42</ns0:v>
      </ns0:c>
      <ns0:c r="AP141" s="87" t="n">
        <ns0:v>-2.63</ns0:v>
      </ns0:c>
      <ns0:c r="AQ141" s="87" t="n">
        <ns0:v>-37.76</ns0:v>
      </ns0:c>
      <ns0:c r="AR141" s="87" t="n">
        <ns0:v>-45.79</ns0:v>
      </ns0:c>
      <ns0:c r="AS141" s="87" t="n">
        <ns0:v>-2.63</ns0:v>
      </ns0:c>
      <ns0:c r="AT141" s="87" t="n">
        <ns0:v>-37.76</ns0:v>
      </ns0:c>
      <ns0:c r="AU141" s="87" t="n">
        <ns0:v>-45.79</ns0:v>
      </ns0:c>
      <ns0:c r="AV141" s="87" t="n">
        <ns0:v>8.5</ns0:v>
      </ns0:c>
      <ns0:c r="AW141" s="87" t="n">
        <ns0:v>-26.11</ns0:v>
      </ns0:c>
      <ns0:c r="AX141" s="87" t="n">
        <ns0:v>-60.24</ns0:v>
      </ns0:c>
      <ns0:c r="AY141" s="87" t="n">
        <ns0:v>-26.44</ns0:v>
      </ns0:c>
      <ns0:c r="AZ141" s="87" t="n">
        <ns0:v>-11.65</ns0:v>
      </ns0:c>
      <ns0:c r="BA141" s="87" t="n">
        <ns0:v>-11.32</ns0:v>
      </ns0:c>
      <ns0:c r="BB141" s="74" t="inlineStr">
        <ns0:is>
          <ns0:t>Hang Seng Commerce &amp; Industry sub-index</ns0:t>
        </ns0:is>
      </ns0:c>
      <ns0:c r="BC141" s="87" t="n">
        <ns0:v>-57.63</ns0:v>
      </ns0:c>
      <ns0:c r="BD141" s="75" t="n">
        <ns0:v>46297</ns0:v>
      </ns0:c>
      <ns0:c r="BE141" s="76" t="n">
        <ns0:v>7498.8</ns0:v>
      </ns0:c>
      <ns0:c r="BF141" s="97" t="n"/>
      <ns0:c r="BG141" s="74" t="inlineStr">
        <ns0:is>
          <ns0:t>Y</ns0:t>
        </ns0:is>
      </ns0:c>
      <ns0:c r="BH141" s="90">
        <ns0:f>IFERROR(IF('BBG Verify'!O141="","Awaiting Bloomberg",'BBG Verify'!O141),"Awaiting Bloomberg")</ns0:f>
        <ns0:v/>
      </ns0:c>
      <ns0:c r="BI141" s="88" t="n"/>
      <ns0:c r="BJ141" s="89" t="n">
        <ns0:v>20.7</ns0:v>
      </ns0:c>
      <ns0:c r="BK141" s="89" t="n">
        <ns0:v>9</ns0:v>
      </ns0:c>
      <ns0:c r="BL141" s="90">
        <ns0:f>IFERROR(IF('BBG Verify'!S141="","Awaiting Bloomberg",'BBG Verify'!S141),"Awaiting Bloomberg")</ns0:f>
        <ns0:v/>
      </ns0:c>
      <ns0:c r="BM141" s="91" t="inlineStr">
        <ns0:is>
          <ns0:t>N</ns0:t>
        </ns0:is>
      </ns0:c>
      <ns0:c r="BN141" s="92">
        <ns0:f>IFERROR(IF('BBG Verify'!K141="","Awaiting Bloomberg",'BBG Verify'!K141),"Awaiting Bloomberg")</ns0:f>
        <ns0:v/>
      </ns0:c>
      <ns0:c r="BO141" s="74" t="inlineStr">
        <ns0:is>
          <ns0:t>N/A</ns0:t>
        </ns0:is>
      </ns0:c>
      <ns0:c r="BP141" s="74" t="inlineStr">
        <ns0:is>
          <ns0:t>N/A</ns0:t>
        </ns0:is>
      </ns0:c>
      <ns0:c r="BQ141" s="74" t="inlineStr">
        <ns0:is>
          <ns0:t>N/A</ns0:t>
        </ns0:is>
      </ns0:c>
      <ns0:c r="BR141" s="74" t="inlineStr">
        <ns0:is>
          <ns0:t>N/A</ns0:t>
        </ns0:is>
      </ns0:c>
      <ns0:c r="BS141" s="74" t="inlineStr">
        <ns0:is>
          <ns0:t>N/A</ns0:t>
        </ns0:is>
      </ns0:c>
      <ns0:c r="BT141" s="74" t="inlineStr">
        <ns0:is>
          <ns0:t>N/A</ns0:t>
        </ns0:is>
      </ns0:c>
      <ns0:c r="BU141" s="91" t="inlineStr">
        <ns0:is>
          <ns0:t>OC Huatai Financial Holdings (Hong Kong) Limited</ns0:t>
        </ns0:is>
      </ns0:c>
      <ns0:c r="BV141" s="74" t="inlineStr">
        <ns0:is>
          <ns0:t>Huatai Financial Holdings (Hong Kong) Limited</ns0:t>
        </ns0:is>
      </ns0:c>
      <ns0:c r="BW141" s="74" t="inlineStr">
        <ns0:is>
          <ns0:t>Huatai Financial Holdings (Hong Kong) Limited; J.P. Morgan Securities (Asia Pacific) Limited; Citigroup Global Markets Asia Limited</ns0:t>
        </ns0:is>
      </ns0:c>
      <ns0:c r="BX141" s="74" t="inlineStr">
        <ns0:is>
          <ns0:t>Citigroup Global Markets Asia Limited; Credit Suisse (Hong Kong) Limited; Futu Securities International (Hong Kong) Limited; Huatai Financial Holdings (Hong Kong) Limited; J.P. Morgan Securities (Asia Pacific) Limited</ns0:t>
        </ns0:is>
      </ns0:c>
      <ns0:c r="BY141" s="93">
        <ns0:f>HYPERLINK("https://www1.hkexnews.hk/listedco/listconews/sehk/2022/0923/2022092300035.pdf","prospectus")</ns0:f>
        <ns0:v/>
      </ns0:c>
      <ns0:c r="BZ141" s="93">
        <ns0:f>HYPERLINK("https://www1.hkexnews.hk/listedco/listconews/sehk/2022/1005/2022100500028.htm","allotment")</ns0:f>
        <ns0:v/>
      </ns0:c>
      <ns0:c r="CA141" s="93">
        <ns0:f>HYPERLINK("https://www1.hkexnews.hk/listedco/listconews/sehk/2022/1028/2022102801659.pdf","stabilisation")</ns0:f>
        <ns0:v/>
      </ns0:c>
      <ns0:c r="CB141" s="94" t="n"/>
      <ns0:c r="CC141" s="74" t="inlineStr">
        <ns0:is>
          <ns0:t>P/E: withheld: 549x fails the 300x plausibility cap; extracted net income HK$122.7m suspect; cornerstone: table parse 93% rejected (institutional total implies 58%); the filed aggregate-amount sentence used; financials: not extractable; pre-IPO year outside the AAStocks window; eff float shares: share count unavailable; the HK$m figure is exact</ns0:t>
        </ns0:is>
      </ns0:c>
    </ns0:row>
    <ns0:row r="142" ht="22" customHeight="1">
      <ns0:c r="A142" s="73" t="inlineStr">
        <ns0:is>
          <ns0:t>9877</ns0:t>
        </ns0:is>
      </ns0:c>
      <ns0:c r="B142" s="74" t="inlineStr">
        <ns0:is>
          <ns0:t>JENSCARE-B</ns0:t>
        </ns0:is>
      </ns0:c>
      <ns0:c r="C142" s="74" t="inlineStr">
        <ns0:is>
          <ns0:t>健世科技－Ｂ</ns0:t>
        </ns0:is>
      </ns0:c>
      <ns0:c r="D142" s="74" t="inlineStr">
        <ns0:is>
          <ns0:t>Healthcare</ns0:t>
        </ns0:is>
      </ns0:c>
      <ns0:c r="E142" s="74" t="inlineStr">
        <ns0:is>
          <ns0:t>Medical devices</ns0:t>
        </ns0:is>
      </ns0:c>
      <ns0:c r="F142" s="74" t="inlineStr">
        <ns0:is>
          <ns0:t>Biotechnology - Medical Devices</ns0:t>
        </ns0:is>
      </ns0:c>
      <ns0:c r="G142" s="74" t="inlineStr">
        <ns0:is>
          <ns0:t>18A</ns0:t>
        </ns0:is>
      </ns0:c>
      <ns0:c r="H142" s="75" t="n">
        <ns0:v>44844</ns0:v>
      </ns0:c>
      <ns0:c r="I142" s="76" t="n">
        <ns0:v>224.5</ns0:v>
      </ns0:c>
      <ns0:c r="J142" s="74" t="inlineStr">
        <ns0:is>
          <ns0:t>gross (price x shares)</ns0:t>
        </ns0:is>
      </ns0:c>
      <ns0:c r="K142" s="77" t="n">
        <ns0:v>26.7</ns0:v>
      </ns0:c>
      <ns0:c r="L142" s="77" t="n">
        <ns0:v>28.8</ns0:v>
      </ns0:c>
      <ns0:c r="M142" s="77" t="n">
        <ns0:v>27.8</ns0:v>
      </ns0:c>
      <ns0:c r="N142" s="74" t="inlineStr">
        <ns0:is>
          <ns0:t>N</ns0:t>
        </ns0:is>
      </ns0:c>
      <ns0:c r="O142" s="78" t="n">
        <ns0:v>96.5</ns0:v>
      </ns0:c>
      <ns0:c r="P142" s="78" t="n">
        <ns0:v>52.4</ns0:v>
      </ns0:c>
      <ns0:c r="Q142" s="79" t="n">
        <ns0:v>10751.6</ns0:v>
      </ns0:c>
      <ns0:c r="R142" s="74" t="inlineStr">
        <ns0:is>
          <ns0:t>prospectus:stated market capitalisation, rescaled to the offer price</ns0:t>
        </ns0:is>
      </ns0:c>
      <ns0:c r="S142" s="80" t="n">
        <ns0:v>1.52</ns0:v>
      </ns0:c>
      <ns0:c r="T142" s="81" t="n">
        <ns0:v>1.19</ns0:v>
      </ns0:c>
      <ns0:c r="U142" s="82" t="n">
        <ns0:v>77.7</ns0:v>
      </ns0:c>
      <ns0:c r="V142" s="83" t="n">
        <ns0:v>114</ns0:v>
      </ns0:c>
      <ns0:c r="W142" s="84" t="n"/>
      <ns0:c r="X142" s="85" t="n"/>
      <ns0:c r="Y142" s="79" t="n">
        <ns0:v>50.06</ns0:v>
      </ns0:c>
      <ns0:c r="Z142" s="79" t="n">
        <ns0:v>1801037</ns0:v>
      </ns0:c>
      <ns0:c r="AA142" s="78" t="n">
        <ns0:v>0.47</ns0:v>
      </ns0:c>
      <ns0:c r="AB142" s="74" t="inlineStr">
        <ns0:is>
          <ns0:t>LifeTech Scientific Corporation</ns0:t>
        </ns0:is>
      </ns0:c>
      <ns0:c r="AC142" s="74" t="inlineStr">
        <ns0:is>
          <ns0:t>lifetech</ns0:t>
        </ns0:is>
      </ns0:c>
      <ns0:c r="AD142" s="78" t="n">
        <ns0:v>17.32</ns0:v>
      </ns0:c>
      <ns0:c r="AE142" s="74" t="inlineStr">
        <ns0:is>
          <ns0:t>lapsed</ns0:t>
        </ns0:is>
      </ns0:c>
      <ns0:c r="AF142" s="74" t="inlineStr">
        <ns0:is>
          <ns0:t>2022-10-29</ns0:t>
        </ns0:is>
      </ns0:c>
      <ns0:c r="AG142" s="74" t="inlineStr">
        <ns0:is>
          <ns0:t>China International Capital Corporation Hong Kong Securities Limited</ns0:t>
        </ns0:is>
      </ns0:c>
      <ns0:c r="AH142" s="74" t="inlineStr">
        <ns0:is>
          <ns0:t>China International</ns0:t>
        </ns0:is>
      </ns0:c>
      <ns0:c r="AI142" s="86" t="n">
        <ns0:v>0.72</ns0:v>
      </ns0:c>
      <ns0:c r="AJ142" s="87" t="n">
        <ns0:v>1.62</ns0:v>
      </ns0:c>
      <ns0:c r="AK142" s="87" t="n">
        <ns0:v>-2.3</ns0:v>
      </ns0:c>
      <ns0:c r="AL142" s="87" t="n">
        <ns0:v>0.72</ns0:v>
      </ns0:c>
      <ns0:c r="AM142" s="87" t="n">
        <ns0:v>0.89</ns0:v>
      </ns0:c>
      <ns0:c r="AN142" s="88" t="n"/>
      <ns0:c r="AO142" s="78" t="n">
        <ns0:v>9.640000000000001</ns0:v>
      </ns0:c>
      <ns0:c r="AP142" s="87" t="n">
        <ns0:v>0.54</ns0:v>
      </ns0:c>
      <ns0:c r="AQ142" s="87" t="n">
        <ns0:v>11.51</ns0:v>
      </ns0:c>
      <ns0:c r="AR142" s="87" t="n">
        <ns0:v>28.42</ns0:v>
      </ns0:c>
      <ns0:c r="AS142" s="87" t="n">
        <ns0:v>-1.06</ns0:v>
      </ns0:c>
      <ns0:c r="AT142" s="87" t="n">
        <ns0:v>9.73</ns0:v>
      </ns0:c>
      <ns0:c r="AU142" s="87" t="n">
        <ns0:v>26.37</ns0:v>
      </ns0:c>
      <ns0:c r="AV142" s="87" t="n">
        <ns0:v>-7.07</ns0:v>
      </ns0:c>
      <ns0:c r="AW142" s="87" t="n">
        <ns0:v>-4.32</ns0:v>
      </ns0:c>
      <ns0:c r="AX142" s="87" t="n">
        <ns0:v>4.05</ns0:v>
      </ns0:c>
      <ns0:c r="AY142" s="87" t="n">
        <ns0:v>-8.83</ns0:v>
      </ns0:c>
      <ns0:c r="AZ142" s="87" t="n">
        <ns0:v>15.83</ns0:v>
      </ns0:c>
      <ns0:c r="BA142" s="87" t="n">
        <ns0:v>18.56</ns0:v>
      </ns0:c>
      <ns0:c r="BB142" s="74" t="inlineStr">
        <ns0:is>
          <ns0:t>China Biotech ETF (HS biotech proxy)</ns0:t>
        </ns0:is>
      </ns0:c>
      <ns0:c r="BC142" s="87" t="n">
        <ns0:v>-73.40000000000001</ns0:v>
      </ns0:c>
      <ns0:c r="BD142" s="75" t="n">
        <ns0:v>46297</ns0:v>
      </ns0:c>
      <ns0:c r="BE142" s="76" t="n">
        <ns0:v>172.8</ns0:v>
      </ns0:c>
      <ns0:c r="BF142" s="79" t="n">
        <ns0:v>59.7</ns0:v>
      </ns0:c>
      <ns0:c r="BG142" s="74" t="inlineStr">
        <ns0:is>
          <ns0:t>Y</ns0:t>
        </ns0:is>
      </ns0:c>
      <ns0:c r="BH142" s="89" t="n">
        <ns0:v>180.1</ns0:v>
      </ns0:c>
      <ns0:c r="BI142" s="88" t="n"/>
      <ns0:c r="BJ142" s="88" t="n"/>
      <ns0:c r="BK142" s="89" t="n">
        <ns0:v>62.2</ns0:v>
      </ns0:c>
      <ns0:c r="BL142" s="90">
        <ns0:f>IFERROR(IF('BBG Verify'!S142="","Awaiting Bloomberg",'BBG Verify'!S142),"Awaiting Bloomberg")</ns0:f>
        <ns0:v/>
      </ns0:c>
      <ns0:c r="BM142" s="91" t="inlineStr">
        <ns0:is>
          <ns0:t>N</ns0:t>
        </ns0:is>
      </ns0:c>
      <ns0:c r="BN142" s="92">
        <ns0:f>IFERROR(IF('BBG Verify'!K142="","Awaiting Bloomberg",'BBG Verify'!K142),"Awaiting Bloomberg")</ns0:f>
        <ns0:v/>
      </ns0:c>
      <ns0:c r="BO142" s="74" t="inlineStr">
        <ns0:is>
          <ns0:t>N/A</ns0:t>
        </ns0:is>
      </ns0:c>
      <ns0:c r="BP142" s="74" t="inlineStr">
        <ns0:is>
          <ns0:t>N/A</ns0:t>
        </ns0:is>
      </ns0:c>
      <ns0:c r="BQ142" s="74" t="inlineStr">
        <ns0:is>
          <ns0:t>N/A</ns0:t>
        </ns0:is>
      </ns0:c>
      <ns0:c r="BR142" s="74" t="inlineStr">
        <ns0:is>
          <ns0:t>N/A</ns0:t>
        </ns0:is>
      </ns0:c>
      <ns0:c r="BS142" s="74" t="inlineStr">
        <ns0:is>
          <ns0:t>N/A</ns0:t>
        </ns0:is>
      </ns0:c>
      <ns0:c r="BT142" s="74" t="inlineStr">
        <ns0:is>
          <ns0:t>N/A</ns0:t>
        </ns0:is>
      </ns0:c>
      <ns0:c r="BU142" s="91" t="inlineStr">
        <ns0:is>
          <ns0:t>China International Capital Corporation Hong Kong Securities Limited; Citigroup Global Markets Asia Limited</ns0:t>
        </ns0:is>
      </ns0:c>
      <ns0:c r="BV142" s="74" t="inlineStr">
        <ns0:is>
          <ns0:t>China International Capital Corporation Hong Kong Securities Limited; Citigroup Global Markets Asia Limited</ns0:t>
        </ns0:is>
      </ns0:c>
      <ns0:c r="BW142" s="74" t="inlineStr">
        <ns0:is>
          <ns0: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ns0:t>
        </ns0:is>
      </ns0:c>
      <ns0:c r="BX142" s="74" t="inlineStr">
        <ns0:is>
          <ns0: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ns0:t>
        </ns0:is>
      </ns0:c>
      <ns0:c r="BY142" s="93">
        <ns0:f>HYPERLINK("https://www1.hkexnews.hk/listedco/listconews/sehk/2022/0923/2022092300017.pdf","prospectus")</ns0:f>
        <ns0:v/>
      </ns0:c>
      <ns0:c r="BZ142" s="93">
        <ns0:f>HYPERLINK("https://www1.hkexnews.hk/listedco/listconews/sehk/2022/1007/2022100700012.htm","allotment")</ns0:f>
        <ns0:v/>
      </ns0:c>
      <ns0:c r="CA142" s="93">
        <ns0:f>HYPERLINK("https://www1.hkexnews.hk/listedco/listconews/sehk/2022/1031/2022103100005.pdf","stabilisation")</ns0:f>
        <ns0:v/>
      </ns0:c>
      <ns0:c r="CB142" s="94" t="n"/>
      <ns0:c r="CC142" s="74" t="inlineStr">
        <ns0:is>
          <ns0:t>market cap: prospectus cap HK$11,138m at HK$28.80, rescaled to HK$27.80; deal size: stated gross HK$32.2m rejected; 8,076,400 offer shares at HK$27.80 = HK$224.5m; allocation: allocation table not in this notice's format (older prose announcement); day-1 tape: volume on file; the retail multiple needs the final public split, which this notice does not state</ns0:t>
        </ns0:is>
      </ns0:c>
    </ns0:row>
    <ns0:row r="143" ht="22" customHeight="1">
      <ns0:c r="A143" s="73" t="inlineStr">
        <ns0:is>
          <ns0:t>1489</ns0:t>
        </ns0:is>
      </ns0:c>
      <ns0:c r="B143" s="74" t="inlineStr">
        <ns0:is>
          <ns0:t>GC CONSTRUCTION</ns0:t>
        </ns0:is>
      </ns0:c>
      <ns0:c r="C143" s="74" t="inlineStr">
        <ns0:is>
          <ns0:t>GC CONSTRUCTION</ns0:t>
        </ns0:is>
      </ns0:c>
      <ns0:c r="D143" s="74" t="inlineStr">
        <ns0:is>
          <ns0:t>Industrials</ns0:t>
        </ns0:is>
      </ns0:c>
      <ns0:c r="E143" s="74" t="inlineStr">
        <ns0:is>
          <ns0:t>Construction / engineering</ns0:t>
        </ns0:is>
      </ns0:c>
      <ns0:c r="F143" s="74" t="inlineStr">
        <ns0:is>
          <ns0:t>Building Construction</ns0:t>
        </ns0:is>
      </ns0:c>
      <ns0:c r="G143" s="74" t="inlineStr">
        <ns0:is>
          <ns0:t>Standard</ns0:t>
        </ns0:is>
      </ns0:c>
      <ns0:c r="H143" s="75" t="n">
        <ns0:v>44844</ns0:v>
      </ns0:c>
      <ns0:c r="I143" s="76" t="n">
        <ns0:v>125</ns0:v>
      </ns0:c>
      <ns0:c r="J143" s="74" t="inlineStr">
        <ns0:is>
          <ns0:t>gross (price x shares)</ns0:t>
        </ns0:is>
      </ns0:c>
      <ns0:c r="K143" s="95" t="n"/>
      <ns0:c r="L143" s="77" t="n">
        <ns0:v>0.54</ns0:v>
      </ns0:c>
      <ns0:c r="M143" s="77" t="n">
        <ns0:v>0.5</ns0:v>
      </ns0:c>
      <ns0:c r="N143" s="74" t="inlineStr">
        <ns0:is>
          <ns0:t>N</ns0:t>
        </ns0:is>
      </ns0:c>
      <ns0:c r="O143" s="78" t="n">
        <ns0:v>92.59999999999999</ns0:v>
      </ns0:c>
      <ns0:c r="P143" s="84" t="n"/>
      <ns0:c r="Q143" s="79" t="n">
        <ns0:v>537</ns0:v>
      </ns0:c>
      <ns0:c r="R143" s="74" t="inlineStr">
        <ns0:is>
          <ns0:t>aastocks:上市市值 at the struck price</ns0:t>
        </ns0:is>
      </ns0:c>
      <ns0:c r="S143" s="80" t="n">
        <ns0:v>7.58</ns0:v>
      </ns0:c>
      <ns0:c r="T143" s="81" t="n">
        <ns0:v>1.04</ns0:v>
      </ns0:c>
      <ns0:c r="U143" s="82" t="n">
        <ns0:v>16</ns0:v>
      </ns0:c>
      <ns0:c r="V143" s="83" t="n">
        <ns0:v>133</ns0:v>
      </ns0:c>
      <ns0:c r="W143" s="84" t="n"/>
      <ns0:c r="X143" s="85" t="n"/>
      <ns0:c r="Y143" s="79" t="n">
        <ns0:v>105</ns0:v>
      </ns0:c>
      <ns0:c r="Z143" s="79" t="n">
        <ns0:v>210000000</ns0:v>
      </ns0:c>
      <ns0:c r="AA143" s="78" t="n">
        <ns0:v>19.55</ns0:v>
      </ns0:c>
      <ns0:c r="AB143" s="74" t="inlineStr">
        <ns0:is>
          <ns0:t>Chu Kin Lan; Infinitus Wealth Limited</ns0:t>
        </ns0:is>
      </ns0:c>
      <ns0:c r="AC143" s="74" t="inlineStr">
        <ns0:is>
          <ns0:t>chu;infinitus</ns0:t>
        </ns0:is>
      </ns0:c>
      <ns0:c r="AD143" s="84" t="n"/>
      <ns0:c r="AE143" s="85" t="n"/>
      <ns0:c r="AF143" s="85" t="n"/>
      <ns0:c r="AG143" s="74" t="inlineStr">
        <ns0:is>
          <ns0:t>China Tonghai Securities Limited</ns0:t>
        </ns0:is>
      </ns0:c>
      <ns0:c r="AH143" s="74" t="inlineStr">
        <ns0:is>
          <ns0:t>China Tonghai</ns0:t>
        </ns0:is>
      </ns0:c>
      <ns0:c r="AI143" s="86" t="n">
        <ns0:v>24</ns0:v>
      </ns0:c>
      <ns0:c r="AJ143" s="87" t="n">
        <ns0:v>10</ns0:v>
      </ns0:c>
      <ns0:c r="AK143" s="87" t="n">
        <ns0:v>-3.69</ns0:v>
      </ns0:c>
      <ns0:c r="AL143" s="87" t="n">
        <ns0:v>24</ns0:v>
      </ns0:c>
      <ns0:c r="AM143" s="87" t="n">
        <ns0:v>-11.29</ns0:v>
      </ns0:c>
      <ns0:c r="AN143" s="88" t="n"/>
      <ns0:c r="AO143" s="78" t="n">
        <ns0:v>24.19</ns0:v>
      </ns0:c>
      <ns0:c r="AP143" s="87" t="n">
        <ns0:v>2</ns0:v>
      </ns0:c>
      <ns0:c r="AQ143" s="87" t="n">
        <ns0:v>8</ns0:v>
      </ns0:c>
      <ns0:c r="AR143" s="87" t="n">
        <ns0:v>0</ns0:v>
      </ns0:c>
      <ns0:c r="AS143" s="87" t="n">
        <ns0:v>-7.27</ns0:v>
      </ns0:c>
      <ns0:c r="AT143" s="87" t="n">
        <ns0:v>-1.82</ns0:v>
      </ns0:c>
      <ns0:c r="AU143" s="87" t="n">
        <ns0:v>-9.09</ns0:v>
      </ns0:c>
      <ns0:c r="AV143" s="87" t="n">
        <ns0:v>10.1</ns0:v>
      </ns0:c>
      <ns0:c r="AW143" s="87" t="n">
        <ns0:v>16.15</ns0:v>
      </ns0:c>
      <ns0:c r="AX143" s="87" t="n">
        <ns0:v>-20.19</ns0:v>
      </ns0:c>
      <ns0:c r="AY143" s="87" t="n">
        <ns0:v>2.81</ns0:v>
      </ns0:c>
      <ns0:c r="AZ143" s="87" t="n">
        <ns0:v>-8.15</ns0:v>
      </ns0:c>
      <ns0:c r="BA143" s="87" t="n">
        <ns0:v>-4.63</ns0:v>
      </ns0:c>
      <ns0:c r="BB143" s="74" t="inlineStr">
        <ns0:is>
          <ns0:t>Hang Seng Commerce &amp; Industry sub-index</ns0:t>
        </ns0:is>
      </ns0:c>
      <ns0:c r="BC143" s="87" t="n">
        <ns0:v>660</ns0:v>
      </ns0:c>
      <ns0:c r="BD143" s="75" t="n">
        <ns0:v>46297</ns0:v>
      </ns0:c>
      <ns0:c r="BE143" s="76" t="n">
        <ns0:v>440.4</ns0:v>
      </ns0:c>
      <ns0:c r="BF143" s="79" t="n">
        <ns0:v>46</ns0:v>
      </ns0:c>
      <ns0:c r="BG143" s="74" t="inlineStr">
        <ns0:is>
          <ns0:t>Y</ns0:t>
        </ns0:is>
      </ns0:c>
      <ns0:c r="BH143" s="89" t="n">
        <ns0:v>11.7</ns0:v>
      </ns0:c>
      <ns0:c r="BI143" s="88" t="n"/>
      <ns0:c r="BJ143" s="88" t="n"/>
      <ns0:c r="BK143" s="89" t="n">
        <ns0:v>1.2</ns0:v>
      </ns0:c>
      <ns0:c r="BL143" s="90">
        <ns0:f>IFERROR(IF('BBG Verify'!S143="","Awaiting Bloomberg",'BBG Verify'!S143),"Awaiting Bloomberg")</ns0:f>
        <ns0:v/>
      </ns0:c>
      <ns0:c r="BM143" s="91" t="inlineStr">
        <ns0:is>
          <ns0:t>N</ns0:t>
        </ns0:is>
      </ns0:c>
      <ns0:c r="BN143" s="92">
        <ns0:f>IFERROR(IF('BBG Verify'!K143="","Awaiting Bloomberg",'BBG Verify'!K143),"Awaiting Bloomberg")</ns0:f>
        <ns0:v/>
      </ns0:c>
      <ns0:c r="BO143" s="74" t="inlineStr">
        <ns0:is>
          <ns0:t>N/A</ns0:t>
        </ns0:is>
      </ns0:c>
      <ns0:c r="BP143" s="74" t="inlineStr">
        <ns0:is>
          <ns0:t>N/A</ns0:t>
        </ns0:is>
      </ns0:c>
      <ns0:c r="BQ143" s="74" t="inlineStr">
        <ns0:is>
          <ns0:t>N/A</ns0:t>
        </ns0:is>
      </ns0:c>
      <ns0:c r="BR143" s="74" t="inlineStr">
        <ns0:is>
          <ns0:t>N/A</ns0:t>
        </ns0:is>
      </ns0:c>
      <ns0:c r="BS143" s="74" t="inlineStr">
        <ns0:is>
          <ns0:t>N/A</ns0:t>
        </ns0:is>
      </ns0:c>
      <ns0:c r="BT143" s="74" t="inlineStr">
        <ns0:is>
          <ns0:t>N/A</ns0:t>
        </ns0:is>
      </ns0:c>
      <ns0:c r="BU143" s="91" t="inlineStr">
        <ns0:is>
          <ns0:t>Grande Capital Limited</ns0:t>
        </ns0:is>
      </ns0:c>
      <ns0:c r="BV143" s="74" t="inlineStr">
        <ns0:is>
          <ns0:t>Grande Capital Limited</ns0:t>
        </ns0:is>
      </ns0:c>
      <ns0:c r="BW143" s="74" t="inlineStr">
        <ns0:is>
          <ns0:t>China Tonghai Securities Limited; Realord Asia Pacific Securities Limited</ns0:t>
        </ns0:is>
      </ns0:c>
      <ns0:c r="BX143" s="74" t="inlineStr">
        <ns0:is>
          <ns0:t>China Tonghai Securities Limited; CSFG International Securities Limited; Chief Securities Limited; Realord Asia Pacific Securities Limited; Sinomax Securities Limited</ns0:t>
        </ns0:is>
      </ns0:c>
      <ns0:c r="BY143" s="93">
        <ns0:f>HYPERLINK("https://www1.hkexnews.hk/listedco/listconews/sehk/2022/0923/2022092300044.htm","prospectus")</ns0:f>
        <ns0:v/>
      </ns0:c>
      <ns0:c r="BZ143" s="93">
        <ns0:f>HYPERLINK("https://www1.hkexnews.hk/listedco/listconews/sehk/2022/1007/2022100700042.htm","allotment")</ns0:f>
        <ns0:v/>
      </ns0:c>
      <ns0:c r="CA143" s="85" t="n"/>
      <ns0:c r="CB143" s="94" t="n"/>
      <ns0:c r="CC143" s="74" t="inlineStr">
        <ns0:is>
          <ns0:t>greenshoe: no over-allotment option; range low: maximum offer price only, no floor published; sponsor: English name not in the filing; AAStocks 保薦人 shown; cornerstone %: upper bound: AAStocks institutional total / deal size; greenshoe size: no over-allotment option; allocation: allocation table not in this notice's format (older prose announcement); day-1 tape: volume on file; the retail multiple needs the final public split, which this notice does not state</ns0:t>
        </ns0:is>
      </ns0:c>
    </ns0:row>
    <ns0:row r="144" ht="22" customHeight="1">
      <ns0:c r="A144" s="73" t="inlineStr">
        <ns0:is>
          <ns0:t>2422</ns0:t>
        </ns0:is>
      </ns0:c>
      <ns0:c r="B144" s="74" t="inlineStr">
        <ns0:is>
          <ns0:t>REGO INTERACT</ns0:t>
        </ns0:is>
      </ns0:c>
      <ns0:c r="C144" s="74" t="inlineStr">
        <ns0:is>
          <ns0:t>潤歌互動</ns0:t>
        </ns0:is>
      </ns0:c>
      <ns0:c r="D144" s="74" t="inlineStr">
        <ns0:is>
          <ns0:t>Media &amp; telecom</ns0:t>
        </ns0:is>
      </ns0:c>
      <ns0:c r="E144" s="74" t="inlineStr">
        <ns0:is>
          <ns0:t>Media / advertising</ns0:t>
        </ns0:is>
      </ns0:c>
      <ns0:c r="F144" s="74" t="inlineStr">
        <ns0:is>
          <ns0:t>Advertising</ns0:t>
        </ns0:is>
      </ns0:c>
      <ns0:c r="G144" s="74" t="inlineStr">
        <ns0:is>
          <ns0:t>Standard</ns0:t>
        </ns0:is>
      </ns0:c>
      <ns0:c r="H144" s="75" t="n">
        <ns0:v>44851</ns0:v>
      </ns0:c>
      <ns0:c r="I144" s="76" t="n">
        <ns0:v>160</ns0:v>
      </ns0:c>
      <ns0:c r="J144" s="74" t="inlineStr">
        <ns0:is>
          <ns0:t>gross (price x shares)</ns0:t>
        </ns0:is>
      </ns0:c>
      <ns0:c r="K144" s="77" t="n">
        <ns0:v>0.64</ns0:v>
      </ns0:c>
      <ns0:c r="L144" s="77" t="n">
        <ns0:v>0.8</ns0:v>
      </ns0:c>
      <ns0:c r="M144" s="77" t="n">
        <ns0:v>0.64</ns0:v>
      </ns0:c>
      <ns0:c r="N144" s="74" t="inlineStr">
        <ns0:is>
          <ns0:t>N</ns0:t>
        </ns0:is>
      </ns0:c>
      <ns0:c r="O144" s="78" t="n">
        <ns0:v>80</ns0:v>
      </ns0:c>
      <ns0:c r="P144" s="78" t="n">
        <ns0:v>0</ns0:v>
      </ns0:c>
      <ns0:c r="Q144" s="79" t="n">
        <ns0:v>577.4</ns0:v>
      </ns0:c>
      <ns0:c r="R144" s="74" t="inlineStr">
        <ns0:is>
          <ns0:t>derived:deal size / offer % of enlarged capital</ns0:t>
        </ns0:is>
      </ns0:c>
      <ns0:c r="S144" s="80" t="n">
        <ns0:v>14.1</ns0:v>
      </ns0:c>
      <ns0:c r="T144" s="81" t="n">
        <ns0:v>1.37</ns0:v>
      </ns0:c>
      <ns0:c r="U144" s="82" t="n">
        <ns0:v>9.4</ns0:v>
      </ns0:c>
      <ns0:c r="V144" s="83" t="n">
        <ns0:v>141</ns0:v>
      </ns0:c>
      <ns0:c r="W144" s="84" t="n"/>
      <ns0:c r="X144" s="85" t="n"/>
      <ns0:c r="Y144" s="79" t="n">
        <ns0:v>144.96</ns0:v>
      </ns0:c>
      <ns0:c r="Z144" s="79" t="n">
        <ns0:v>226500000</ns0:v>
      </ns0:c>
      <ns0:c r="AA144" s="78" t="n">
        <ns0:v>25.11</ns0:v>
      </ns0:c>
      <ns0:c r="AB144" s="74" t="inlineStr">
        <ns0:is>
          <ns0:t>Fighton Asia Master Fund Limited</ns0:t>
        </ns0:is>
      </ns0:c>
      <ns0:c r="AC144" s="74" t="inlineStr">
        <ns0:is>
          <ns0:t>fighton</ns0:t>
        </ns0:is>
      </ns0:c>
      <ns0:c r="AD144" s="78" t="n">
        <ns0:v>10</ns0:v>
      </ns0:c>
      <ns0:c r="AE144" s="74" t="inlineStr">
        <ns0:is>
          <ns0:t>lapsed (no over-allocation)</ns0:t>
        </ns0:is>
      </ns0:c>
      <ns0:c r="AF144" s="85" t="n"/>
      <ns0:c r="AG144" s="74" t="inlineStr">
        <ns0:is>
          <ns0:t>CMBC Securities Company Limited</ns0:t>
        </ns0:is>
      </ns0:c>
      <ns0:c r="AH144" s="74" t="inlineStr">
        <ns0:is>
          <ns0:t>CMBC</ns0:t>
        </ns0:is>
      </ns0:c>
      <ns0:c r="AI144" s="86" t="n">
        <ns0:v>53.12</ns0:v>
      </ns0:c>
      <ns0:c r="AJ144" s="87" t="n">
        <ns0:v>110.94</ns0:v>
      </ns0:c>
      <ns0:c r="AK144" s="87" t="n">
        <ns0:v>0.15</ns0:v>
      </ns0:c>
      <ns0:c r="AL144" s="87" t="n">
        <ns0:v>103.12</ns0:v>
      </ns0:c>
      <ns0:c r="AM144" s="87" t="n">
        <ns0:v>3.85</ns0:v>
      </ns0:c>
      <ns0:c r="AN144" s="88" t="n"/>
      <ns0:c r="AO144" s="78" t="n">
        <ns0:v>44.62</ns0:v>
      </ns0:c>
      <ns0:c r="AP144" s="87" t="n">
        <ns0:v>218.75</ns0:v>
      </ns0:c>
      <ns0:c r="AQ144" s="87" t="n">
        <ns0:v>314.06</ns0:v>
      </ns0:c>
      <ns0:c r="AR144" s="87" t="n">
        <ns0:v>284.38</ns0:v>
      </ns0:c>
      <ns0:c r="AS144" s="87" t="n">
        <ns0:v>51.11</ns0:v>
      </ns0:c>
      <ns0:c r="AT144" s="87" t="n">
        <ns0:v>96.29000000000001</ns0:v>
      </ns0:c>
      <ns0:c r="AU144" s="87" t="n">
        <ns0:v>82.22</ns0:v>
      </ns0:c>
      <ns0:c r="AV144" s="87" t="n">
        <ns0:v>227.23</ns0:v>
      </ns0:c>
      <ns0:c r="AW144" s="87" t="n">
        <ns0:v>303.48</ns0:v>
      </ns0:c>
      <ns0:c r="AX144" s="87" t="n">
        <ns0:v>254.3</ns0:v>
      </ns0:c>
      <ns0:c r="AY144" s="87" t="n">
        <ns0:v>85.88</ns0:v>
      </ns0:c>
      <ns0:c r="AZ144" s="87" t="n">
        <ns0:v>10.58</ns0:v>
      </ns0:c>
      <ns0:c r="BA144" s="87" t="n">
        <ns0:v>10.41</ns0:v>
      </ns0:c>
      <ns0:c r="BB144" s="74" t="inlineStr">
        <ns0:is>
          <ns0:t>Hang Seng Index</ns0:t>
        </ns0:is>
      </ns0:c>
      <ns0:c r="BC144" s="87" t="n">
        <ns0:v>223.44</ns0:v>
      </ns0:c>
      <ns0:c r="BD144" s="75" t="n">
        <ns0:v>46297</ns0:v>
      </ns0:c>
      <ns0:c r="BE144" s="76" t="n">
        <ns0:v>241.5</ns0:v>
      </ns0:c>
      <ns0:c r="BF144" s="79" t="n">
        <ns0:v>55</ns0:v>
      </ns0:c>
      <ns0:c r="BG144" s="74" t="inlineStr">
        <ns0:is>
          <ns0:t>Y</ns0:t>
        </ns0:is>
      </ns0:c>
      <ns0:c r="BH144" s="89" t="n">
        <ns0:v>10.5</ns0:v>
      </ns0:c>
      <ns0:c r="BI144" s="88" t="n"/>
      <ns0:c r="BJ144" s="88" t="n"/>
      <ns0:c r="BK144" s="89" t="n">
        <ns0:v>2.4</ns0:v>
      </ns0:c>
      <ns0:c r="BL144" s="90">
        <ns0:f>IFERROR(IF('BBG Verify'!S144="","Awaiting Bloomberg",'BBG Verify'!S144),"Awaiting Bloomberg")</ns0:f>
        <ns0:v/>
      </ns0:c>
      <ns0:c r="BM144" s="91" t="inlineStr">
        <ns0:is>
          <ns0:t>N</ns0:t>
        </ns0:is>
      </ns0:c>
      <ns0:c r="BN144" s="92">
        <ns0:f>IFERROR(IF('BBG Verify'!K144="","Awaiting Bloomberg",'BBG Verify'!K144),"Awaiting Bloomberg")</ns0:f>
        <ns0:v/>
      </ns0:c>
      <ns0:c r="BO144" s="74" t="inlineStr">
        <ns0:is>
          <ns0:t>N/A</ns0:t>
        </ns0:is>
      </ns0:c>
      <ns0:c r="BP144" s="74" t="inlineStr">
        <ns0:is>
          <ns0:t>N/A</ns0:t>
        </ns0:is>
      </ns0:c>
      <ns0:c r="BQ144" s="74" t="inlineStr">
        <ns0:is>
          <ns0:t>N/A</ns0:t>
        </ns0:is>
      </ns0:c>
      <ns0:c r="BR144" s="74" t="inlineStr">
        <ns0:is>
          <ns0:t>N/A</ns0:t>
        </ns0:is>
      </ns0:c>
      <ns0:c r="BS144" s="74" t="inlineStr">
        <ns0:is>
          <ns0:t>N/A</ns0:t>
        </ns0:is>
      </ns0:c>
      <ns0:c r="BT144" s="74" t="inlineStr">
        <ns0:is>
          <ns0:t>N/A</ns0:t>
        </ns0:is>
      </ns0:c>
      <ns0:c r="BU144" s="91" t="inlineStr">
        <ns0:is>
          <ns0:t>CMBC International Capital Limited</ns0:t>
        </ns0:is>
      </ns0:c>
      <ns0:c r="BV144" s="74" t="inlineStr">
        <ns0:is>
          <ns0:t>CMBC International Capital Limited</ns0:t>
        </ns0:is>
      </ns0:c>
      <ns0:c r="BW144" s="74" t="inlineStr">
        <ns0:is>
          <ns0: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ns0:t>
        </ns0:is>
      </ns0:c>
      <ns0:c r="BX144" s="74" t="inlineStr">
        <ns0:is>
          <ns0: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ns0:t>
        </ns0:is>
      </ns0:c>
      <ns0:c r="BY144" s="93">
        <ns0:f>HYPERLINK("https://www1.hkexnews.hk/listedco/listconews/sehk/2022/0930/2022093000075.pdf","prospectus")</ns0:f>
        <ns0:v/>
      </ns0:c>
      <ns0:c r="BZ144" s="93">
        <ns0:f>HYPERLINK("https://www1.hkexnews.hk/listedco/listconews/sehk/2022/1014/2022101400042.htm","allotment")</ns0:f>
        <ns0:v/>
      </ns0:c>
      <ns0:c r="CA144" s="93">
        <ns0:f>HYPERLINK("https://www1.hkexnews.hk/listedco/listconews/sehk/2022/1106/2022110600015.pdf","stabilisation")</ns0:f>
        <ns0:v/>
      </ns0:c>
      <ns0:c r="CB144" s="94" t="n"/>
      <ns0:c r="CC144" s="74" t="inlineStr">
        <ns0:is>
          <ns0:t>greenshoe: outcome published; expiry date not in the notice; returns: returns exclude the entitlement value of 2022-11 UNVERIFIED entitlement-class adjustment; Bloomberg back-adjusts by x1.194; allocation: allocation table not in this notice's format (older prose announcement); day-1 tape: volume on file; the retail multiple needs the final public split, which this notice does not state</ns0:t>
        </ns0:is>
      </ns0:c>
    </ns0:row>
    <ns0:row r="145" ht="22" customHeight="1">
      <ns0:c r="A145" s="73" t="inlineStr">
        <ns0:is>
          <ns0:t>6610</ns0:t>
        </ns0:is>
      </ns0:c>
      <ns0:c r="B145" s="74" t="inlineStr">
        <ns0:is>
          <ns0:t>FLOWING CLOUD</ns0:t>
        </ns0:is>
      </ns0:c>
      <ns0:c r="C145" s="74" t="inlineStr">
        <ns0:is>
          <ns0:t>飛天雲動</ns0:t>
        </ns0:is>
      </ns0:c>
      <ns0:c r="D145" s="74" t="inlineStr">
        <ns0:is>
          <ns0:t>Media &amp; telecom</ns0:t>
        </ns0:is>
      </ns0:c>
      <ns0:c r="E145" s="74" t="inlineStr">
        <ns0:is>
          <ns0:t>Media / advertising</ns0:t>
        </ns0:is>
      </ns0:c>
      <ns0:c r="F145" s="74" t="inlineStr">
        <ns0:is>
          <ns0:t>Systems Software</ns0:t>
        </ns0:is>
      </ns0:c>
      <ns0:c r="G145" s="74" t="inlineStr">
        <ns0:is>
          <ns0:t>Standard</ns0:t>
        </ns0:is>
      </ns0:c>
      <ns0:c r="H145" s="75" t="n">
        <ns0:v>44852</ns0:v>
      </ns0:c>
      <ns0:c r="I145" s="76" t="n">
        <ns0:v>600</ns0:v>
      </ns0:c>
      <ns0:c r="J145" s="74" t="inlineStr">
        <ns0:is>
          <ns0:t>gross (price x shares)</ns0:t>
        </ns0:is>
      </ns0:c>
      <ns0:c r="K145" s="77" t="n">
        <ns0:v>2.21</ns0:v>
      </ns0:c>
      <ns0:c r="L145" s="77" t="n">
        <ns0:v>2.88</ns0:v>
      </ns0:c>
      <ns0:c r="M145" s="77" t="n">
        <ns0:v>2.21</ns0:v>
      </ns0:c>
      <ns0:c r="N145" s="74" t="inlineStr">
        <ns0:is>
          <ns0:t>N</ns0:t>
        </ns0:is>
      </ns0:c>
      <ns0:c r="O145" s="78" t="n">
        <ns0:v>76.7</ns0:v>
      </ns0:c>
      <ns0:c r="P145" s="78" t="n">
        <ns0:v>0</ns0:v>
      </ns0:c>
      <ns0:c r="Q145" s="79" t="n">
        <ns0:v>4930.7</ns0:v>
      </ns0:c>
      <ns0:c r="R145" s="74" t="inlineStr">
        <ns0:is>
          <ns0:t>aastocks:上市市值 at the struck price</ns0:t>
        </ns0:is>
      </ns0:c>
      <ns0:c r="S145" s="80" t="n">
        <ns0:v>1.05</ns0:v>
      </ns0:c>
      <ns0:c r="T145" s="81" t="n">
        <ns0:v>1.07</ns0:v>
      </ns0:c>
      <ns0:c r="U145" s="82" t="n">
        <ns0:v>14.7</ns0:v>
      </ns0:c>
      <ns0:c r="V145" s="83" t="n">
        <ns0:v>138</ns0:v>
      </ns0:c>
      <ns0:c r="W145" s="84" t="n"/>
      <ns0:c r="X145" s="85" t="n"/>
      <ns0:c r="Y145" s="79" t="n">
        <ns0:v>511.8</ns0:v>
      </ns0:c>
      <ns0:c r="Z145" s="79" t="n">
        <ns0:v>231589500</ns0:v>
      </ns0:c>
      <ns0:c r="AA145" s="78" t="n">
        <ns0:v>10.38</ns0:v>
      </ns0:c>
      <ns0:c r="AB145" s="74" t="inlineStr">
        <ns0:is>
          <ns0:t>Anji Guorong Construction Co., Ltd; Anji Qicai Lingfeng Rural Tourism Investment Co., Ltd; SensePower Management Limited; TradeGo FinTech Limited; Zhejiang Tianzihu Industry Investment Co., Ltd</ns0:t>
        </ns0:is>
      </ns0:c>
      <ns0:c r="AC145" s="74" t="inlineStr">
        <ns0:is>
          <ns0:t>anji;sensepower;tradego;zhejiang</ns0:t>
        </ns0:is>
      </ns0:c>
      <ns0:c r="AD145" s="78" t="n">
        <ns0:v>16.87</ns0:v>
      </ns0:c>
      <ns0:c r="AE145" s="74" t="inlineStr">
        <ns0:is>
          <ns0:t>lapsed</ns0:t>
        </ns0:is>
      </ns0:c>
      <ns0:c r="AF145" s="74" t="inlineStr">
        <ns0:is>
          <ns0:t>2022-11-06</ns0:t>
        </ns0:is>
      </ns0:c>
      <ns0:c r="AG145" s="74" t="inlineStr">
        <ns0:is>
          <ns0:t>Shenwan Hongyuan Securities</ns0:t>
        </ns0:is>
      </ns0:c>
      <ns0:c r="AH145" s="74" t="inlineStr">
        <ns0:is>
          <ns0:t>Shenwan Hongyuan</ns0:t>
        </ns0:is>
      </ns0:c>
      <ns0:c r="AI145" s="86" t="n">
        <ns0:v>-4.52</ns0:v>
      </ns0:c>
      <ns0:c r="AJ145" s="87" t="n">
        <ns0:v>-4.07</ns0:v>
      </ns0:c>
      <ns0:c r="AK145" s="87" t="n">
        <ns0:v>1.82</ns0:v>
      </ns0:c>
      <ns0:c r="AL145" s="87" t="n">
        <ns0:v>0</ns0:v>
      </ns0:c>
      <ns0:c r="AM145" s="87" t="n">
        <ns0:v>-4.07</ns0:v>
      </ns0:c>
      <ns0:c r="AN145" s="88" t="n"/>
      <ns0:c r="AO145" s="78" t="n">
        <ns0:v>15.84</ns0:v>
      </ns0:c>
      <ns0:c r="AP145" s="87" t="n">
        <ns0:v>3.62</ns0:v>
      </ns0:c>
      <ns0:c r="AQ145" s="87" t="n">
        <ns0:v>47.96</ns0:v>
      </ns0:c>
      <ns0:c r="AR145" s="87" t="n">
        <ns0:v>89.59</ns0:v>
      </ns0:c>
      <ns0:c r="AS145" s="87" t="n">
        <ns0:v>8.02</ns0:v>
      </ns0:c>
      <ns0:c r="AT145" s="87" t="n">
        <ns0:v>54.24</ns0:v>
      </ns0:c>
      <ns0:c r="AU145" s="87" t="n">
        <ns0:v>97.63</ns0:v>
      </ns0:c>
      <ns0:c r="AV145" s="87" t="n">
        <ns0:v>12.33</ns0:v>
      </ns0:c>
      <ns0:c r="AW145" s="87" t="n">
        <ns0:v>38.07</ns0:v>
      </ns0:c>
      <ns0:c r="AX145" s="87" t="n">
        <ns0:v>59.1</ns0:v>
      </ns0:c>
      <ns0:c r="AY145" s="87" t="n">
        <ns0:v>46.31</ns0:v>
      </ns0:c>
      <ns0:c r="AZ145" s="87" t="n">
        <ns0:v>9.890000000000001</ns0:v>
      </ns0:c>
      <ns0:c r="BA145" s="87" t="n">
        <ns0:v>7.93</ns0:v>
      </ns0:c>
      <ns0:c r="BB145" s="74" t="inlineStr">
        <ns0:is>
          <ns0:t>Hang Seng Index</ns0:t>
        </ns0:is>
      </ns0:c>
      <ns0:c r="BC145" s="87" t="n">
        <ns0:v>-98.39</ns0:v>
      </ns0:c>
      <ns0:c r="BD145" s="75" t="n">
        <ns0:v>46297</ns0:v>
      </ns0:c>
      <ns0:c r="BE145" s="76" t="n">
        <ns0:v>654.8</ns0:v>
      </ns0:c>
      <ns0:c r="BF145" s="79" t="n">
        <ns0:v>78.90000000000001</ns0:v>
      </ns0:c>
      <ns0:c r="BG145" s="74" t="inlineStr">
        <ns0:is>
          <ns0:t>Y</ns0:t>
        </ns0:is>
      </ns0:c>
      <ns0:c r="BH145" s="89" t="n">
        <ns0:v>62.5</ns0:v>
      </ns0:c>
      <ns0:c r="BI145" s="88" t="n"/>
      <ns0:c r="BJ145" s="88" t="n"/>
      <ns0:c r="BK145" s="89" t="n">
        <ns0:v>7.5</ns0:v>
      </ns0:c>
      <ns0:c r="BL145" s="90">
        <ns0:f>IFERROR(IF('BBG Verify'!S145="","Awaiting Bloomberg",'BBG Verify'!S145),"Awaiting Bloomberg")</ns0:f>
        <ns0:v/>
      </ns0:c>
      <ns0:c r="BM145" s="91" t="inlineStr">
        <ns0:is>
          <ns0:t>N</ns0:t>
        </ns0:is>
      </ns0:c>
      <ns0:c r="BN145" s="92">
        <ns0:f>IFERROR(IF('BBG Verify'!K145="","Awaiting Bloomberg",'BBG Verify'!K145),"Awaiting Bloomberg")</ns0:f>
        <ns0:v/>
      </ns0:c>
      <ns0:c r="BO145" s="74" t="inlineStr">
        <ns0:is>
          <ns0:t>N/A</ns0:t>
        </ns0:is>
      </ns0:c>
      <ns0:c r="BP145" s="74" t="inlineStr">
        <ns0:is>
          <ns0:t>N/A</ns0:t>
        </ns0:is>
      </ns0:c>
      <ns0:c r="BQ145" s="74" t="inlineStr">
        <ns0:is>
          <ns0:t>N/A</ns0:t>
        </ns0:is>
      </ns0:c>
      <ns0:c r="BR145" s="74" t="inlineStr">
        <ns0:is>
          <ns0:t>N/A</ns0:t>
        </ns0:is>
      </ns0:c>
      <ns0:c r="BS145" s="74" t="inlineStr">
        <ns0:is>
          <ns0:t>N/A</ns0:t>
        </ns0:is>
      </ns0:c>
      <ns0:c r="BT145" s="74" t="inlineStr">
        <ns0:is>
          <ns0:t>N/A</ns0:t>
        </ns0:is>
      </ns0:c>
      <ns0:c r="BU145" s="91" t="inlineStr">
        <ns0:is>
          <ns0:t>Shenwan Hongyuan Capital (H.K.) Limited</ns0:t>
        </ns0:is>
      </ns0:c>
      <ns0:c r="BV145" s="74" t="inlineStr">
        <ns0:is>
          <ns0:t>Shenwan Hongyuan Capital (H.K.) Limited</ns0:t>
        </ns0:is>
      </ns0:c>
      <ns0:c r="BW145" s="74" t="inlineStr">
        <ns0:is>
          <ns0: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ns0:t>
        </ns0:is>
      </ns0:c>
      <ns0:c r="BX145" s="74" t="inlineStr">
        <ns0:is>
          <ns0: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ns0:t>
        </ns0:is>
      </ns0:c>
      <ns0:c r="BY145" s="93">
        <ns0:f>HYPERLINK("https://www1.hkexnews.hk/listedco/listconews/sehk/2022/0929/2022092900133.pdf","prospectus")</ns0:f>
        <ns0:v/>
      </ns0:c>
      <ns0:c r="BZ145" s="93">
        <ns0:f>HYPERLINK("https://www1.hkexnews.hk/listedco/listconews/sehk/2022/1017/2022101700012.htm","allotment")</ns0:f>
        <ns0:v/>
      </ns0:c>
      <ns0:c r="CA145" s="93">
        <ns0:f>HYPERLINK("https://www1.hkexnews.hk/listedco/listconews/sehk/2022/1107/2022110700440.pdf","stabilisation")</ns0:f>
        <ns0:v/>
      </ns0:c>
      <ns0:c r="CB145" s="94" t="n"/>
      <ns0:c r="CC145" s="74" t="inlineStr">
        <ns0:is>
          <ns0:t>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ns0:t>
        </ns0:is>
      </ns0:c>
    </ns0:row>
    <ns0:row r="146" ht="22" customHeight="1">
      <ns0:c r="A146" s="73" t="inlineStr">
        <ns0:is>
          <ns0:t>2367</ns0:t>
        </ns0:is>
      </ns0:c>
      <ns0:c r="B146" s="74" t="inlineStr">
        <ns0:is>
          <ns0:t>GIANT BIOGENE</ns0:t>
        </ns0:is>
      </ns0:c>
      <ns0:c r="C146" s="74" t="inlineStr">
        <ns0:is>
          <ns0:t>巨子生物</ns0:t>
        </ns0:is>
      </ns0:c>
      <ns0:c r="D146" s="74" t="inlineStr">
        <ns0:is>
          <ns0:t>Consumer</ns0:t>
        </ns0:is>
      </ns0:c>
      <ns0:c r="E146" s="74" t="inlineStr">
        <ns0:is>
          <ns0:t>Beauty / personal care</ns0:t>
        </ns0:is>
      </ns0:c>
      <ns0:c r="F146" s="74" t="inlineStr">
        <ns0:is>
          <ns0:t>Beauty &amp; Toiletries Products and Services</ns0:t>
        </ns0:is>
      </ns0:c>
      <ns0:c r="G146" s="74" t="inlineStr">
        <ns0:is>
          <ns0:t>Standard</ns0:t>
        </ns0:is>
      </ns0:c>
      <ns0:c r="H146" s="75" t="n">
        <ns0:v>44869</ns0:v>
      </ns0:c>
      <ns0:c r="I146" s="76" t="n">
        <ns0:v>549.4</ns0:v>
      </ns0:c>
      <ns0:c r="J146" s="74" t="inlineStr">
        <ns0:is>
          <ns0:t>gross (price x shares)</ns0:t>
        </ns0:is>
      </ns0:c>
      <ns0:c r="K146" s="77" t="n">
        <ns0:v>24.3</ns0:v>
      </ns0:c>
      <ns0:c r="L146" s="77" t="n">
        <ns0:v>27.7</ns0:v>
      </ns0:c>
      <ns0:c r="M146" s="77" t="n">
        <ns0:v>24.3</ns0:v>
      </ns0:c>
      <ns0:c r="N146" s="74" t="inlineStr">
        <ns0:is>
          <ns0:t>N</ns0:t>
        </ns0:is>
      </ns0:c>
      <ns0:c r="O146" s="78" t="n">
        <ns0:v>87.7</ns0:v>
      </ns0:c>
      <ns0:c r="P146" s="78" t="n">
        <ns0:v>0</ns0:v>
      </ns0:c>
      <ns0:c r="Q146" s="79" t="n">
        <ns0:v>21138.4</ns0:v>
      </ns0:c>
      <ns0:c r="R146" s="74" t="inlineStr">
        <ns0:is>
          <ns0:t>prospectus:stated market capitalisation, rescaled to the offer price</ns0:t>
        </ns0:is>
      </ns0:c>
      <ns0:c r="S146" s="80" t="n">
        <ns0:v>2.08</ns0:v>
      </ns0:c>
      <ns0:c r="T146" s="81" t="n">
        <ns0:v>4.22</ns0:v>
      </ns0:c>
      <ns0:c r="U146" s="82" t="n">
        <ns0:v>0</ns0:v>
      </ns0:c>
      <ns0:c r="V146" s="83" t="n">
        <ns0:v>117</ns0:v>
      </ns0:c>
      <ns0:c r="W146" s="84" t="n"/>
      <ns0:c r="X146" s="85" t="n"/>
      <ns0:c r="Y146" s="79" t="n">
        <ns0:v>549.4</ns0:v>
      </ns0:c>
      <ns0:c r="Z146" s="79" t="n">
        <ns0:v>22608800</ns0:v>
      </ns0:c>
      <ns0:c r="AA146" s="78" t="n">
        <ns0:v>2.6</ns0:v>
      </ns0:c>
      <ns0:c r="AB146" s="74" t="inlineStr">
        <ns0:is>
          <ns0:t>none — no cornerstone tranche</ns0:t>
        </ns0:is>
      </ns0:c>
      <ns0:c r="AC146" s="74" t="inlineStr">
        <ns0:is>
          <ns0:t>none</ns0:t>
        </ns0:is>
      </ns0:c>
      <ns0:c r="AD146" s="78" t="n">
        <ns0:v>10</ns0:v>
      </ns0:c>
      <ns0:c r="AE146" s="74" t="inlineStr">
        <ns0:is>
          <ns0:t>full</ns0:t>
        </ns0:is>
      </ns0:c>
      <ns0:c r="AF146" s="74" t="inlineStr">
        <ns0:is>
          <ns0:t>2022-11-27</ns0:t>
        </ns0:is>
      </ns0:c>
      <ns0:c r="AG146" s="74" t="inlineStr">
        <ns0:is>
          <ns0:t>Goldman Sachs</ns0:t>
        </ns0:is>
      </ns0:c>
      <ns0:c r="AH146" s="74" t="inlineStr">
        <ns0:is>
          <ns0:t>Goldman Sachs</ns0:t>
        </ns0:is>
      </ns0:c>
      <ns0:c r="AI146" s="86" t="n">
        <ns0:v>5.97</ns0:v>
      </ns0:c>
      <ns0:c r="AJ146" s="87" t="n">
        <ns0:v>9.880000000000001</ns0:v>
      </ns0:c>
      <ns0:c r="AK146" s="87" t="n">
        <ns0:v>6.48</ns0:v>
      </ns0:c>
      <ns0:c r="AL146" s="87" t="n">
        <ns0:v>7</ns0:v>
      </ns0:c>
      <ns0:c r="AM146" s="87" t="n">
        <ns0:v>2.69</ns0:v>
      </ns0:c>
      <ns0:c r="AN146" s="88" t="n"/>
      <ns0:c r="AO146" s="78" t="n">
        <ns0:v>19.62</ns0:v>
      </ns0:c>
      <ns0:c r="AP146" s="87" t="n">
        <ns0:v>37.45</ns0:v>
      </ns0:c>
      <ns0:c r="AQ146" s="87" t="n">
        <ns0:v>24.28</ns0:v>
      </ns0:c>
      <ns0:c r="AR146" s="87" t="n">
        <ns0:v>106.38</ns0:v>
      </ns0:c>
      <ns0:c r="AS146" s="87" t="n">
        <ns0:v>25.09</ns0:v>
      </ns0:c>
      <ns0:c r="AT146" s="87" t="n">
        <ns0:v>13.11</ns0:v>
      </ns0:c>
      <ns0:c r="AU146" s="87" t="n">
        <ns0:v>87.81999999999999</ns0:v>
      </ns0:c>
      <ns0:c r="AV146" s="87" t="n">
        <ns0:v>24.53</ns0:v>
      </ns0:c>
      <ns0:c r="AW146" s="87" t="n">
        <ns0:v>-4.9</ns0:v>
      </ns0:c>
      <ns0:c r="AX146" s="87" t="n">
        <ns0:v>62.73</ns0:v>
      </ns0:c>
      <ns0:c r="AY146" s="87" t="n">
        <ns0:v>-8.210000000000001</ns0:v>
      </ns0:c>
      <ns0:c r="AZ146" s="87" t="n">
        <ns0:v>29.18</ns0:v>
      </ns0:c>
      <ns0:c r="BA146" s="87" t="n">
        <ns0:v>21.32</ns0:v>
      </ns0:c>
      <ns0:c r="BB146" s="74" t="inlineStr">
        <ns0:is>
          <ns0:t>Hang Seng Commerce &amp; Industry sub-index</ns0:t>
        </ns0:is>
      </ns0:c>
      <ns0:c r="BC146" s="87" t="n">
        <ns0:v>-3.54</ns0:v>
      </ns0:c>
      <ns0:c r="BD146" s="75" t="n">
        <ns0:v>46297</ns0:v>
      </ns0:c>
      <ns0:c r="BE146" s="76" t="n">
        <ns0:v>1707.7</ns0:v>
      </ns0:c>
      <ns0:c r="BF146" s="79" t="n">
        <ns0:v>910.9</ns0:v>
      </ns0:c>
      <ns0:c r="BG146" s="74" t="inlineStr">
        <ns0:is>
          <ns0:t>Y</ns0:t>
        </ns0:is>
      </ns0:c>
      <ns0:c r="BH146" s="89" t="n">
        <ns0:v>23.2</ns0:v>
      </ns0:c>
      <ns0:c r="BI146" s="88" t="n"/>
      <ns0:c r="BJ146" s="89" t="n">
        <ns0:v>14</ns0:v>
      </ns0:c>
      <ns0:c r="BK146" s="89" t="n">
        <ns0:v>12.4</ns0:v>
      </ns0:c>
      <ns0:c r="BL146" s="90">
        <ns0:f>IFERROR(IF('BBG Verify'!S146="","Awaiting Bloomberg",'BBG Verify'!S146),"Awaiting Bloomberg")</ns0:f>
        <ns0:v/>
      </ns0:c>
      <ns0:c r="BM146" s="91" t="inlineStr">
        <ns0:is>
          <ns0:t>N</ns0:t>
        </ns0:is>
      </ns0:c>
      <ns0:c r="BN146" s="92">
        <ns0:f>IFERROR(IF('BBG Verify'!K146="","Awaiting Bloomberg",'BBG Verify'!K146),"Awaiting Bloomberg")</ns0:f>
        <ns0:v/>
      </ns0:c>
      <ns0:c r="BO146" s="74" t="inlineStr">
        <ns0:is>
          <ns0:t>N/A</ns0:t>
        </ns0:is>
      </ns0:c>
      <ns0:c r="BP146" s="74" t="inlineStr">
        <ns0:is>
          <ns0:t>N/A</ns0:t>
        </ns0:is>
      </ns0:c>
      <ns0:c r="BQ146" s="74" t="inlineStr">
        <ns0:is>
          <ns0:t>N/A</ns0:t>
        </ns0:is>
      </ns0:c>
      <ns0:c r="BR146" s="74" t="inlineStr">
        <ns0:is>
          <ns0:t>N/A</ns0:t>
        </ns0:is>
      </ns0:c>
      <ns0:c r="BS146" s="74" t="inlineStr">
        <ns0:is>
          <ns0:t>N/A</ns0:t>
        </ns0:is>
      </ns0:c>
      <ns0:c r="BT146" s="74" t="inlineStr">
        <ns0:is>
          <ns0:t>N/A</ns0:t>
        </ns0:is>
      </ns0:c>
      <ns0:c r="BU146" s="91" t="inlineStr">
        <ns0:is>
          <ns0:t>China International Capital Corporation Hong Kong Securities Limited; Goldman Sachs (Asia) L.L.C.</ns0:t>
        </ns0:is>
      </ns0:c>
      <ns0:c r="BV146" s="74" t="inlineStr">
        <ns0:is>
          <ns0:t>China International Capital Corporation Hong Kong Securities Limited; Goldman Sachs (Asia) L.L.C.</ns0:t>
        </ns0:is>
      </ns0:c>
      <ns0:c r="BW146" s="74" t="inlineStr">
        <ns0:is>
          <ns0:t>China International Capital Corporation Hong Kong Securities Limited; Futu Securities International (Hong Kong) Limited; GF Securities (Hong Kong) Brokerage Limited; Goldman Sachs (Asia) L.L.C.; Huatai Financial Holdings (Hong Kong) Limited; Silverbricks Securities Company Limited</ns0:t>
        </ns0:is>
      </ns0:c>
      <ns0:c r="BX146" s="74" t="inlineStr">
        <ns0:is>
          <ns0:t>China International Capital Corporation Hong Kong Securities Limited; Futu Securities International (Hong Kong) Limited; GF Securities (Hong Kong) Brokerage Limited; Goldman Sachs (Asia) L.L.C.; Huatai Financial Holdings (Hong Kong) Limited; Silverbricks Securities Company Limited</ns0:t>
        </ns0:is>
      </ns0:c>
      <ns0:c r="BY146" s="93">
        <ns0:f>HYPERLINK("https://www1.hkexnews.hk/listedco/listconews/sehk/2022/1025/2022102500007.pdf","prospectus")</ns0:f>
        <ns0:v/>
      </ns0:c>
      <ns0:c r="BZ146" s="93">
        <ns0:f>HYPERLINK("https://www1.hkexnews.hk/listedco/listconews/sehk/2022/1103/2022110300024.htm","allotment")</ns0:f>
        <ns0:v/>
      </ns0:c>
      <ns0:c r="CA146" s="93">
        <ns0:f>HYPERLINK("https://www1.hkexnews.hk/listedco/listconews/sehk/2022/1127/2022112700063.pdf","stabilisation")</ns0:f>
        <ns0:v/>
      </ns0:c>
      <ns0:c r="CB146" s="94" t="n"/>
      <ns0:c r="CC146" s="74" t="inlineStr">
        <ns0:is>
          <ns0:t>sponsor: English name not in the filing; AAStocks 保薦人 shown; market cap: prospectus cap HK$24,096m at HK$27.70, rescaled to HK$24.30; cornerstone list: no cornerstone tranche; allocation: allocation table not in this notice's format (older prose announcement); day-1 tape: volume on file; the retail multiple needs the final public split, which this notice does not state</ns0:t>
        </ns0:is>
      </ns0:c>
    </ns0:row>
    <ns0:row r="147" ht="22" customHeight="1">
      <ns0:c r="A147" s="73" t="inlineStr">
        <ns0:is>
          <ns0:t>2291</ns0:t>
        </ns0:is>
      </ns0:c>
      <ns0:c r="B147" s="74" t="inlineStr">
        <ns0:is>
          <ns0:t>SCIENTECH</ns0:t>
        </ns0:is>
      </ns0:c>
      <ns0:c r="C147" s="74" t="inlineStr">
        <ns0:is>
          <ns0:t>心泰醫療</ns0:t>
        </ns0:is>
      </ns0:c>
      <ns0:c r="D147" s="74" t="inlineStr">
        <ns0:is>
          <ns0:t>Healthcare</ns0:t>
        </ns0:is>
      </ns0:c>
      <ns0:c r="E147" s="74" t="inlineStr">
        <ns0:is>
          <ns0:t>Medical devices</ns0:t>
        </ns0:is>
      </ns0:c>
      <ns0:c r="F147" s="74" t="inlineStr">
        <ns0:is>
          <ns0:t>Health Care Equipment</ns0:t>
        </ns0:is>
      </ns0:c>
      <ns0:c r="G147" s="74" t="inlineStr">
        <ns0:is>
          <ns0:t>Standard</ns0:t>
        </ns0:is>
      </ns0:c>
      <ns0:c r="H147" s="75" t="n">
        <ns0:v>44873</ns0:v>
      </ns0:c>
      <ns0:c r="I147" s="76" t="n">
        <ns0:v>654.6</ns0:v>
      </ns0:c>
      <ns0:c r="J147" s="74" t="inlineStr">
        <ns0:is>
          <ns0:t>gross (price x shares)</ns0:t>
        </ns0:is>
      </ns0:c>
      <ns0:c r="K147" s="77" t="n">
        <ns0:v>29.15</ns0:v>
      </ns0:c>
      <ns0:c r="L147" s="77" t="n">
        <ns0:v>31.45</ns0:v>
      </ns0:c>
      <ns0:c r="M147" s="77" t="n">
        <ns0:v>29.15</ns0:v>
      </ns0:c>
      <ns0:c r="N147" s="74" t="inlineStr">
        <ns0:is>
          <ns0:t>N</ns0:t>
        </ns0:is>
      </ns0:c>
      <ns0:c r="O147" s="78" t="n">
        <ns0:v>92.7</ns0:v>
      </ns0:c>
      <ns0:c r="P147" s="78" t="n">
        <ns0:v>0</ns0:v>
      </ns0:c>
      <ns0:c r="Q147" s="79" t="n">
        <ns0:v>10847</ns0:v>
      </ns0:c>
      <ns0:c r="R147" s="74" t="inlineStr">
        <ns0:is>
          <ns0:t>aastocks:上市市值 at the struck price</ns0:t>
        </ns0:is>
      </ns0:c>
      <ns0:c r="S147" s="80" t="n">
        <ns0:v>2.11</ns0:v>
      </ns0:c>
      <ns0:c r="T147" s="81" t="n">
        <ns0:v>1.38</ns0:v>
      </ns0:c>
      <ns0:c r="U147" s="82" t="n">
        <ns0:v>29.6</ns0:v>
      </ns0:c>
      <ns0:c r="V147" s="83" t="n">
        <ns0:v>157</ns0:v>
      </ns0:c>
      <ns0:c r="W147" s="84" t="n"/>
      <ns0:c r="X147" s="85" t="n"/>
      <ns0:c r="Y147" s="79" t="n">
        <ns0:v>460.84</ns0:v>
      </ns0:c>
      <ns0:c r="Z147" s="79" t="n">
        <ns0:v>15808320</ns0:v>
      </ns0:c>
      <ns0:c r="AA147" s="78" t="n">
        <ns0:v>4.25</ns0:v>
      </ns0:c>
      <ns0:c r="AB147" s="74" t="inlineStr">
        <ns0:is>
          <ns0:t>Harvest International Premium Value (Secondary Market) Fund SPC; Jointown International Group Company Limited; Shanghai Lingang Economic Development Group Investment Management Co., Ltd.*</ns0:t>
        </ns0:is>
      </ns0:c>
      <ns0:c r="AC147" s="74" t="inlineStr">
        <ns0:is>
          <ns0:t>harvest;jointown;shanghai-lingang</ns0:t>
        </ns0:is>
      </ns0:c>
      <ns0:c r="AD147" s="78" t="n">
        <ns0:v>8.52</ns0:v>
      </ns0:c>
      <ns0:c r="AE147" s="74" t="inlineStr">
        <ns0:is>
          <ns0:t>lapsed</ns0:t>
        </ns0:is>
      </ns0:c>
      <ns0:c r="AF147" s="74" t="inlineStr">
        <ns0:is>
          <ns0:t>2022-12-01</ns0:t>
        </ns0:is>
      </ns0:c>
      <ns0:c r="AG147" s="74" t="inlineStr">
        <ns0:is>
          <ns0:t>China International Capital Corporation Hong Kong Securities Limited</ns0:t>
        </ns0:is>
      </ns0:c>
      <ns0:c r="AH147" s="74" t="inlineStr">
        <ns0:is>
          <ns0:t>China International</ns0:t>
        </ns0:is>
      </ns0:c>
      <ns0:c r="AI147" s="86" t="n">
        <ns0:v>0.34</ns0:v>
      </ns0:c>
      <ns0:c r="AJ147" s="87" t="n">
        <ns0:v>0</ns0:v>
      </ns0:c>
      <ns0:c r="AK147" s="87" t="n">
        <ns0:v>-1.34</ns0:v>
      </ns0:c>
      <ns0:c r="AL147" s="87" t="n">
        <ns0:v>2.23</ns0:v>
      </ns0:c>
      <ns0:c r="AM147" s="87" t="n">
        <ns0:v>-2.18</ns0:v>
      </ns0:c>
      <ns0:c r="AN147" s="88" t="n"/>
      <ns0:c r="AO147" s="78" t="n">
        <ns0:v>5.2</ns0:v>
      </ns0:c>
      <ns0:c r="AP147" s="87" t="n">
        <ns0:v>-5.49</ns0:v>
      </ns0:c>
      <ns0:c r="AQ147" s="87" t="n">
        <ns0:v>-0.17</ns0:v>
      </ns0:c>
      <ns0:c r="AR147" s="87" t="n">
        <ns0:v>-0.51</ns0:v>
      </ns0:c>
      <ns0:c r="AS147" s="87" t="n">
        <ns0:v>-5.49</ns0:v>
      </ns0:c>
      <ns0:c r="AT147" s="87" t="n">
        <ns0:v>-0.17</ns0:v>
      </ns0:c>
      <ns0:c r="AU147" s="87" t="n">
        <ns0:v>-0.51</ns0:v>
      </ns0:c>
      <ns0:c r="AV147" s="87" t="n">
        <ns0:v>-8.24</ns0:v>
      </ns0:c>
      <ns0:c r="AW147" s="87" t="n">
        <ns0:v>3.51</ns0:v>
      </ns0:c>
      <ns0:c r="AX147" s="87" t="n">
        <ns0:v>-7.17</ns0:v>
      </ns0:c>
      <ns0:c r="AY147" s="87" t="n">
        <ns0:v>2.19</ns0:v>
      </ns0:c>
      <ns0:c r="AZ147" s="87" t="n">
        <ns0:v>-3.68</ns0:v>
      </ns0:c>
      <ns0:c r="BA147" s="87" t="n">
        <ns0:v>-2.36</ns0:v>
      </ns0:c>
      <ns0:c r="BB147" s="74" t="inlineStr">
        <ns0:is>
          <ns0:t>China Biotech ETF (HS biotech proxy)</ns0:t>
        </ns0:is>
      </ns0:c>
      <ns0:c r="BC147" s="87" t="n">
        <ns0:v>-56.74</ns0:v>
      </ns0:c>
      <ns0:c r="BD147" s="75" t="n">
        <ns0:v>46297</ns0:v>
      </ns0:c>
      <ns0:c r="BE147" s="76" t="n">
        <ns0:v>244.8</ns0:v>
      </ns0:c>
      <ns0:c r="BF147" s="79" t="n">
        <ns0:v>64.59999999999999</ns0:v>
      </ns0:c>
      <ns0:c r="BG147" s="74" t="inlineStr">
        <ns0:is>
          <ns0:t>Y</ns0:t>
        </ns0:is>
      </ns0:c>
      <ns0:c r="BH147" s="89" t="n">
        <ns0:v>167.9</ns0:v>
      </ns0:c>
      <ns0:c r="BI147" s="88" t="n"/>
      <ns0:c r="BJ147" s="89" t="n">
        <ns0:v>14</ns0:v>
      </ns0:c>
      <ns0:c r="BK147" s="89" t="n">
        <ns0:v>44.3</ns0:v>
      </ns0:c>
      <ns0:c r="BL147" s="90">
        <ns0:f>IFERROR(IF('BBG Verify'!S147="","Awaiting Bloomberg",'BBG Verify'!S147),"Awaiting Bloomberg")</ns0:f>
        <ns0:v/>
      </ns0:c>
      <ns0:c r="BM147" s="91" t="inlineStr">
        <ns0:is>
          <ns0:t>N</ns0:t>
        </ns0:is>
      </ns0:c>
      <ns0:c r="BN147" s="92">
        <ns0:f>IFERROR(IF('BBG Verify'!K147="","Awaiting Bloomberg",'BBG Verify'!K147),"Awaiting Bloomberg")</ns0:f>
        <ns0:v/>
      </ns0:c>
      <ns0:c r="BO147" s="74" t="inlineStr">
        <ns0:is>
          <ns0:t>N/A</ns0:t>
        </ns0:is>
      </ns0:c>
      <ns0:c r="BP147" s="74" t="inlineStr">
        <ns0:is>
          <ns0:t>N/A</ns0:t>
        </ns0:is>
      </ns0:c>
      <ns0:c r="BQ147" s="74" t="inlineStr">
        <ns0:is>
          <ns0:t>N/A</ns0:t>
        </ns0:is>
      </ns0:c>
      <ns0:c r="BR147" s="74" t="inlineStr">
        <ns0:is>
          <ns0:t>N/A</ns0:t>
        </ns0:is>
      </ns0:c>
      <ns0:c r="BS147" s="74" t="inlineStr">
        <ns0:is>
          <ns0:t>N/A</ns0:t>
        </ns0:is>
      </ns0:c>
      <ns0:c r="BT147" s="74" t="inlineStr">
        <ns0:is>
          <ns0:t>N/A</ns0:t>
        </ns0:is>
      </ns0:c>
      <ns0:c r="BU147" s="91" t="inlineStr">
        <ns0:is>
          <ns0:t>China International Capital Corporation Hong Kong Securities Limited</ns0:t>
        </ns0:is>
      </ns0:c>
      <ns0:c r="BV147" s="74" t="inlineStr">
        <ns0:is>
          <ns0:t>China International Capital Corporation Hong Kong Securities Limited</ns0:t>
        </ns0:is>
      </ns0:c>
      <ns0:c r="BW147" s="74" t="inlineStr">
        <ns0:is>
          <ns0:t>China International Capital Corporation Hong Kong Securities Limited; CLSA Limited; China Galaxy International Securities (Hong Kong) Co., Limited; Huatai Financial Holdings (Hong Kong) Limited; V aluable Capital Limited</ns0:t>
        </ns0:is>
      </ns0:c>
      <ns0:c r="BX147" s="74" t="inlineStr">
        <ns0:is>
          <ns0:t>China Galaxy International Securities (Hong Kong) Company Limited; China International Capital Corporation Hong Kong Securities Limited; CLSA Limited; Huatai Financial Holdings (Hong Kong) Limited; Valuable Capital Limited</ns0:t>
        </ns0:is>
      </ns0:c>
      <ns0:c r="BY147" s="93">
        <ns0:f>HYPERLINK("https://www1.hkexnews.hk/listedco/listconews/sehk/2022/1027/2022102700013.pdf","prospectus")</ns0:f>
        <ns0:v/>
      </ns0:c>
      <ns0:c r="BZ147" s="93">
        <ns0:f>HYPERLINK("https://www1.hkexnews.hk/listedco/listconews/sehk/2022/1107/2022110700010.htm","allotment")</ns0:f>
        <ns0:v/>
      </ns0:c>
      <ns0:c r="CA147" s="93">
        <ns0:f>HYPERLINK("https://www1.hkexnews.hk/listedco/listconews/sehk/2022/1201/2022120103355.pdf","stabilisation")</ns0:f>
        <ns0:v/>
      </ns0:c>
      <ns0:c r="CB147" s="94" t="n"/>
      <ns0:c r="CC147" s="74" t="inlineStr">
        <ns0:is>
          <ns0:t>sponsor: English name not in the filing; AAStocks 保薦人 shown; market cap: prospectus 'market capitalisation' line is the listing-rule threshold, not the issuer's figure; rejected; allocation: allocation table not in this notice's format (older prose announcement); day-1 tape: volume on file; the retail multiple needs the final public split, which this notice does not state</ns0:t>
        </ns0:is>
      </ns0:c>
    </ns0:row>
    <ns0:row r="148" ht="22" customHeight="1">
      <ns0:c r="A148" s="73" t="inlineStr">
        <ns0:is>
          <ns0:t>6696</ns0:t>
        </ns0:is>
      </ns0:c>
      <ns0:c r="B148" s="74" t="inlineStr">
        <ns0:is>
          <ns0:t>MANY IDEA CLOUD</ns0:t>
        </ns0:is>
      </ns0:c>
      <ns0:c r="C148" s="74" t="inlineStr">
        <ns0:is>
          <ns0:t>多想雲</ns0:t>
        </ns0:is>
      </ns0:c>
      <ns0:c r="D148" s="74" t="inlineStr">
        <ns0:is>
          <ns0:t>Media &amp; telecom</ns0:t>
        </ns0:is>
      </ns0:c>
      <ns0:c r="E148" s="74" t="inlineStr">
        <ns0:is>
          <ns0:t>Media / advertising</ns0:t>
        </ns0:is>
      </ns0:c>
      <ns0:c r="F148" s="74" t="inlineStr">
        <ns0:is>
          <ns0:t>Advertising</ns0:t>
        </ns0:is>
      </ns0:c>
      <ns0:c r="G148" s="74" t="inlineStr">
        <ns0:is>
          <ns0:t>Standard</ns0:t>
        </ns0:is>
      </ns0:c>
      <ns0:c r="H148" s="75" t="n">
        <ns0:v>44874</ns0:v>
      </ns0:c>
      <ns0:c r="I148" s="76" t="n">
        <ns0:v>313.6</ns0:v>
      </ns0:c>
      <ns0:c r="J148" s="74" t="inlineStr">
        <ns0:is>
          <ns0:t>gross (price x shares)</ns0:t>
        </ns0:is>
      </ns0:c>
      <ns0:c r="K148" s="77" t="n">
        <ns0:v>1.88</ns0:v>
      </ns0:c>
      <ns0:c r="L148" s="77" t="n">
        <ns0:v>2.38</ns0:v>
      </ns0:c>
      <ns0:c r="M148" s="77" t="n">
        <ns0:v>1.96</ns0:v>
      </ns0:c>
      <ns0:c r="N148" s="74" t="inlineStr">
        <ns0:is>
          <ns0:t>N</ns0:t>
        </ns0:is>
      </ns0:c>
      <ns0:c r="O148" s="78" t="n">
        <ns0:v>82.40000000000001</ns0:v>
      </ns0:c>
      <ns0:c r="P148" s="78" t="n">
        <ns0:v>16</ns0:v>
      </ns0:c>
      <ns0:c r="Q148" s="79" t="n">
        <ns0:v>1833.4</ns0:v>
      </ns0:c>
      <ns0:c r="R148" s="74" t="inlineStr">
        <ns0:is>
          <ns0:t>aastocks:上市市值 at the struck price</ns0:t>
        </ns0:is>
      </ns0:c>
      <ns0:c r="S148" s="80" t="n">
        <ns0:v>2.81</ns0:v>
      </ns0:c>
      <ns0:c r="T148" s="81" t="n">
        <ns0:v>1.01</ns0:v>
      </ns0:c>
      <ns0:c r="U148" s="82" t="n">
        <ns0:v>3.32</ns0:v>
      </ns0:c>
      <ns0:c r="V148" s="83" t="n">
        <ns0:v>170</ns0:v>
      </ns0:c>
      <ns0:c r="W148" s="84" t="n"/>
      <ns0:c r="X148" s="85" t="n"/>
      <ns0:c r="Y148" s="79" t="n">
        <ns0:v>303.19</ns0:v>
      </ns0:c>
      <ns0:c r="Z148" s="79" t="n">
        <ns0:v>154688000</ns0:v>
      </ns0:c>
      <ns0:c r="AA148" s="78" t="n">
        <ns0:v>16.54</ns0:v>
      </ns0:c>
      <ns0:c r="AB148" s="74" t="inlineStr">
        <ns0:is>
          <ns0:t>Lai Shixian</ns0:t>
        </ns0:is>
      </ns0:c>
      <ns0:c r="AC148" s="74" t="inlineStr">
        <ns0:is>
          <ns0:t>lai</ns0:t>
        </ns0:is>
      </ns0:c>
      <ns0:c r="AD148" s="78" t="n">
        <ns0:v>15</ns0:v>
      </ns0:c>
      <ns0:c r="AE148" s="74" t="inlineStr">
        <ns0:is>
          <ns0:t>lapsed (no over-allocation)</ns0:t>
        </ns0:is>
      </ns0:c>
      <ns0:c r="AF148" s="85" t="n"/>
      <ns0:c r="AG148" s="74" t="inlineStr">
        <ns0:is>
          <ns0:t>Zhongtai International Securities Limited</ns0:t>
        </ns0:is>
      </ns0:c>
      <ns0:c r="AH148" s="74" t="inlineStr">
        <ns0:is>
          <ns0:t>Zhongtai</ns0:t>
        </ns0:is>
      </ns0:c>
      <ns0:c r="AI148" s="86" t="n">
        <ns0:v>42.86</ns0:v>
      </ns0:c>
      <ns0:c r="AJ148" s="87" t="n">
        <ns0:v>2.04</ns0:v>
      </ns0:c>
      <ns0:c r="AK148" s="87" t="n">
        <ns0:v>-1.2</ns0:v>
      </ns0:c>
      <ns0:c r="AL148" s="87" t="n">
        <ns0:v>48.47</ns0:v>
      </ns0:c>
      <ns0:c r="AM148" s="87" t="n">
        <ns0:v>-31.27</ns0:v>
      </ns0:c>
      <ns0:c r="AN148" s="88" t="n"/>
      <ns0:c r="AO148" s="78" t="n">
        <ns0:v>56.7</ns0:v>
      </ns0:c>
      <ns0:c r="AP148" s="87" t="n">
        <ns0:v>-15.82</ns0:v>
      </ns0:c>
      <ns0:c r="AQ148" s="87" t="n">
        <ns0:v>-64.29000000000001</ns0:v>
      </ns0:c>
      <ns0:c r="AR148" s="87" t="n">
        <ns0:v>-70.92</ns0:v>
      </ns0:c>
      <ns0:c r="AS148" s="87" t="n">
        <ns0:v>-17.5</ns0:v>
      </ns0:c>
      <ns0:c r="AT148" s="87" t="n">
        <ns0:v>-65</ns0:v>
      </ns0:c>
      <ns0:c r="AU148" s="87" t="n">
        <ns0:v>-71.5</ns0:v>
      </ns0:c>
      <ns0:c r="AV148" s="87" t="n">
        <ns0:v>-26.08</ns0:v>
      </ns0:c>
      <ns0:c r="AW148" s="87" t="n">
        <ns0:v>-81.76000000000001</ns0:v>
      </ns0:c>
      <ns0:c r="AX148" s="87" t="n">
        <ns0:v>-98.44</ns0:v>
      </ns0:c>
      <ns0:c r="AY148" s="87" t="n">
        <ns0:v>-83.90000000000001</ns0:v>
      </ns0:c>
      <ns0:c r="AZ148" s="87" t="n">
        <ns0:v>17.47</ns0:v>
      </ns0:c>
      <ns0:c r="BA148" s="87" t="n">
        <ns0:v>18.9</ns0:v>
      </ns0:c>
      <ns0:c r="BB148" s="74" t="inlineStr">
        <ns0:is>
          <ns0:t>Hang Seng Index</ns0:t>
        </ns0:is>
      </ns0:c>
      <ns0:c r="BC148" s="87" t="n">
        <ns0:v>-92.5</ns0:v>
      </ns0:c>
      <ns0:c r="BD148" s="75" t="n">
        <ns0:v>46111</ns0:v>
      </ns0:c>
      <ns0:c r="BE148" s="76" t="n">
        <ns0:v>388.6</ns0:v>
      </ns0:c>
      <ns0:c r="BF148" s="79" t="n">
        <ns0:v>71.2</ns0:v>
      </ns0:c>
      <ns0:c r="BG148" s="74" t="inlineStr">
        <ns0:is>
          <ns0:t>Y</ns0:t>
        </ns0:is>
      </ns0:c>
      <ns0:c r="BH148" s="89" t="n">
        <ns0:v>25.8</ns0:v>
      </ns0:c>
      <ns0:c r="BI148" s="88" t="n"/>
      <ns0:c r="BJ148" s="88" t="n"/>
      <ns0:c r="BK148" s="89" t="n">
        <ns0:v>4.7</ns0:v>
      </ns0:c>
      <ns0:c r="BL148" s="90">
        <ns0:f>IFERROR(IF('BBG Verify'!S148="","Awaiting Bloomberg",'BBG Verify'!S148),"Awaiting Bloomberg")</ns0:f>
        <ns0:v/>
      </ns0:c>
      <ns0:c r="BM148" s="91" t="inlineStr">
        <ns0:is>
          <ns0:t>N</ns0:t>
        </ns0:is>
      </ns0:c>
      <ns0:c r="BN148" s="92">
        <ns0:f>IFERROR(IF('BBG Verify'!K148="","Awaiting Bloomberg",'BBG Verify'!K148),"Awaiting Bloomberg")</ns0:f>
        <ns0:v/>
      </ns0:c>
      <ns0:c r="BO148" s="74" t="inlineStr">
        <ns0:is>
          <ns0:t>N/A</ns0:t>
        </ns0:is>
      </ns0:c>
      <ns0:c r="BP148" s="74" t="inlineStr">
        <ns0:is>
          <ns0:t>N/A</ns0:t>
        </ns0:is>
      </ns0:c>
      <ns0:c r="BQ148" s="74" t="inlineStr">
        <ns0:is>
          <ns0:t>N/A</ns0:t>
        </ns0:is>
      </ns0:c>
      <ns0:c r="BR148" s="74" t="inlineStr">
        <ns0:is>
          <ns0:t>N/A</ns0:t>
        </ns0:is>
      </ns0:c>
      <ns0:c r="BS148" s="74" t="inlineStr">
        <ns0:is>
          <ns0:t>N/A</ns0:t>
        </ns0:is>
      </ns0:c>
      <ns0:c r="BT148" s="74" t="inlineStr">
        <ns0:is>
          <ns0:t>N/A</ns0:t>
        </ns0:is>
      </ns0:c>
      <ns0:c r="BU148" s="91" t="inlineStr">
        <ns0:is>
          <ns0:t>Zhongtai International Capital Limited</ns0:t>
        </ns0:is>
      </ns0:c>
      <ns0:c r="BV148" s="74" t="inlineStr">
        <ns0:is>
          <ns0:t>Zhongtai International Capital Limited</ns0:t>
        </ns0:is>
      </ns0:c>
      <ns0:c r="BW148" s="74" t="inlineStr">
        <ns0:is>
          <ns0: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ns0:t>
        </ns0:is>
      </ns0:c>
      <ns0:c r="BX148" s="74" t="inlineStr">
        <ns0:is>
          <ns0: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ns0:t>
        </ns0:is>
      </ns0:c>
      <ns0:c r="BY148" s="93">
        <ns0:f>HYPERLINK("https://www1.hkexnews.hk/listedco/listconews/sehk/2022/1028/2022102800015.pdf","prospectus")</ns0:f>
        <ns0:v/>
      </ns0:c>
      <ns0:c r="BZ148" s="93">
        <ns0:f>HYPERLINK("https://www1.hkexnews.hk/listedco/listconews/sehk/2022/1108/2022110800012.htm","allotment")</ns0:f>
        <ns0:v/>
      </ns0:c>
      <ns0:c r="CA148" s="93">
        <ns0:f>HYPERLINK("https://www1.hkexnews.hk/listedco/listconews/sehk/2022/1202/2022120200787.pdf","stabilisation")</ns0:f>
        <ns0:v/>
      </ns0:c>
      <ns0:c r="CB148" s="94" t="n"/>
      <ns0:c r="CC148" s="74" t="inlineStr">
        <ns0:is>
          <ns0:t>greenshoe: outcome published; expiry date not in the notice; returns: returns exclude the entitlement value of 2024-03-12 open offer 1-for-2 @ HK$0.15; 2025-11-26 rights 6-for-1 @ HK$0.4753 (post-consolidation); Bloomberg back-adjusts by x1.242; price series: last available quoted close 2026-03-30; may be suspended, delisted or a source gap; price and benchmark end on that date; allocation: allocation table not in this notice's format (older prose announcement); day-1 tape: volume on file; the retail multiple needs the final public split, which this notice does not state</ns0:t>
        </ns0:is>
      </ns0:c>
    </ns0:row>
    <ns0:row r="149" ht="22" customHeight="1">
      <ns0:c r="A149" s="73" t="inlineStr">
        <ns0:is>
          <ns0:t>2420</ns0:t>
        </ns0:is>
      </ns0:c>
      <ns0:c r="B149" s="74" t="inlineStr">
        <ns0:is>
          <ns0:t>ZIBUYU</ns0:t>
        </ns0:is>
      </ns0:c>
      <ns0:c r="C149" s="74" t="inlineStr">
        <ns0:is>
          <ns0:t>子不語</ns0:t>
        </ns0:is>
      </ns0:c>
      <ns0:c r="D149" s="74" t="inlineStr">
        <ns0:is>
          <ns0:t>Technology</ns0:t>
        </ns0:is>
      </ns0:c>
      <ns0:c r="E149" s="74" t="inlineStr">
        <ns0:is>
          <ns0:t>Internet &amp; fintech</ns0:t>
        </ns0:is>
      </ns0:c>
      <ns0:c r="F149" s="74" t="inlineStr">
        <ns0:is>
          <ns0:t>e-Commerce &amp; Internet Services</ns0:t>
        </ns0:is>
      </ns0:c>
      <ns0:c r="G149" s="74" t="inlineStr">
        <ns0:is>
          <ns0:t>Standard</ns0:t>
        </ns0:is>
      </ns0:c>
      <ns0:c r="H149" s="75" t="n">
        <ns0:v>44876</ns0:v>
      </ns0:c>
      <ns0:c r="I149" s="76" t="n">
        <ns0:v>229.9</ns0:v>
      </ns0:c>
      <ns0:c r="J149" s="74" t="inlineStr">
        <ns0:is>
          <ns0:t>gross (price x shares)</ns0:t>
        </ns0:is>
      </ns0:c>
      <ns0:c r="K149" s="77" t="n">
        <ns0:v>7.86</ns0:v>
      </ns0:c>
      <ns0:c r="L149" s="77" t="n">
        <ns0:v>9.42</ns0:v>
      </ns0:c>
      <ns0:c r="M149" s="77" t="n">
        <ns0:v>7.86</ns0:v>
      </ns0:c>
      <ns0:c r="N149" s="74" t="inlineStr">
        <ns0:is>
          <ns0:t>N</ns0:t>
        </ns0:is>
      </ns0:c>
      <ns0:c r="O149" s="78" t="n">
        <ns0:v>83.40000000000001</ns0:v>
      </ns0:c>
      <ns0:c r="P149" s="78" t="n">
        <ns0:v>0</ns0:v>
      </ns0:c>
      <ns0:c r="Q149" s="79" t="n">
        <ns0:v>4580.8</ns0:v>
      </ns0:c>
      <ns0:c r="R149" s="74" t="inlineStr">
        <ns0:is>
          <ns0:t>aastocks:上市市值 at the struck price</ns0:t>
        </ns0:is>
      </ns0:c>
      <ns0:c r="S149" s="80" t="n">
        <ns0:v>1.91</ns0:v>
      </ns0:c>
      <ns0:c r="T149" s="81" t="n">
        <ns0:v>1.56</ns0:v>
      </ns0:c>
      <ns0:c r="U149" s="82" t="n">
        <ns0:v>37.9</ns0:v>
      </ns0:c>
      <ns0:c r="V149" s="83" t="n">
        <ns0:v>127</ns0:v>
      </ns0:c>
      <ns0:c r="W149" s="84" t="n"/>
      <ns0:c r="X149" s="85" t="n"/>
      <ns0:c r="Y149" s="79" t="n">
        <ns0:v>142.77</ns0:v>
      </ns0:c>
      <ns0:c r="Z149" s="79" t="n">
        <ns0:v>18164250</ns0:v>
      </ns0:c>
      <ns0:c r="AA149" s="78" t="n">
        <ns0:v>3.12</ns0:v>
      </ns0:c>
      <ns0:c r="AB149" s="74" t="inlineStr">
        <ns0:is>
          <ns0:t>De Well Group Singapore Pte. Ltd; GF Fund Management Co., Ltd; Zhejiang Eifini Industrial Co., Ltd</ns0:t>
        </ns0:is>
      </ns0:c>
      <ns0:c r="AC149" s="74" t="inlineStr">
        <ns0:is>
          <ns0:t>de;gf;zhejiang</ns0:t>
        </ns0:is>
      </ns0:c>
      <ns0:c r="AD149" s="84" t="n"/>
      <ns0:c r="AE149" s="85" t="n"/>
      <ns0:c r="AF149" s="85" t="n"/>
      <ns0:c r="AG149" s="85" t="n"/>
      <ns0:c r="AH149" s="85" t="n"/>
      <ns0:c r="AI149" s="86" t="n">
        <ns0:v>8.140000000000001</ns0:v>
      </ns0:c>
      <ns0:c r="AJ149" s="87" t="n">
        <ns0:v>5.47</ns0:v>
      </ns0:c>
      <ns0:c r="AK149" s="87" t="n">
        <ns0:v>10.24</ns0:v>
      </ns0:c>
      <ns0:c r="AL149" s="87" t="n">
        <ns0:v>6.36</ns0:v>
      </ns0:c>
      <ns0:c r="AM149" s="87" t="n">
        <ns0:v>-0.84</ns0:v>
      </ns0:c>
      <ns0:c r="AN149" s="88" t="n"/>
      <ns0:c r="AO149" s="78" t="n">
        <ns0:v>38.28</ns0:v>
      </ns0:c>
      <ns0:c r="AP149" s="87" t="n">
        <ns0:v>-16.41</ns0:v>
      </ns0:c>
      <ns0:c r="AQ149" s="87" t="n">
        <ns0:v>-20.87</ns0:v>
      </ns0:c>
      <ns0:c r="AR149" s="87" t="n">
        <ns0:v>-33.84</ns0:v>
      </ns0:c>
      <ns0:c r="AS149" s="87" t="n">
        <ns0:v>-20.75</ns0:v>
      </ns0:c>
      <ns0:c r="AT149" s="87" t="n">
        <ns0:v>-24.97</ns0:v>
      </ns0:c>
      <ns0:c r="AU149" s="87" t="n">
        <ns0:v>-37.27</ns0:v>
      </ns0:c>
      <ns0:c r="AV149" s="87" t="n">
        <ns0:v>-34.21</ns0:v>
      </ns0:c>
      <ns0:c r="AW149" s="87" t="n">
        <ns0:v>-52.69</ns0:v>
      </ns0:c>
      <ns0:c r="AX149" s="87" t="n">
        <ns0:v>-71.23</ns0:v>
      </ns0:c>
      <ns0:c r="AY149" s="87" t="n">
        <ns0:v>-44.54</ns0:v>
      </ns0:c>
      <ns0:c r="AZ149" s="87" t="n">
        <ns0:v>31.82</ns0:v>
      </ns0:c>
      <ns0:c r="BA149" s="87" t="n">
        <ns0:v>19.57</ns0:v>
      </ns0:c>
      <ns0:c r="BB149" s="74" t="inlineStr">
        <ns0:is>
          <ns0:t>HSTECH (Hang Seng TECH ETF)</ns0:t>
        </ns0:is>
      </ns0:c>
      <ns0:c r="BC149" s="87" t="n">
        <ns0:v>-25</ns0:v>
      </ns0:c>
      <ns0:c r="BD149" s="75" t="n">
        <ns0:v>46297</ns0:v>
      </ns0:c>
      <ns0:c r="BE149" s="76" t="n">
        <ns0:v>2581.2</ns0:v>
      </ns0:c>
      <ns0:c r="BF149" s="79" t="n">
        <ns0:v>89.2</ns0:v>
      </ns0:c>
      <ns0:c r="BG149" s="74" t="inlineStr">
        <ns0:is>
          <ns0:t>Y</ns0:t>
        </ns0:is>
      </ns0:c>
      <ns0:c r="BH149" s="89" t="n">
        <ns0:v>51.4</ns0:v>
      </ns0:c>
      <ns0:c r="BI149" s="88" t="n"/>
      <ns0:c r="BJ149" s="89" t="n">
        <ns0:v>5.9</ns0:v>
      </ns0:c>
      <ns0:c r="BK149" s="89" t="n">
        <ns0:v>1.8</ns0:v>
      </ns0:c>
      <ns0:c r="BL149" s="90">
        <ns0:f>IFERROR(IF('BBG Verify'!S149="","Awaiting Bloomberg",'BBG Verify'!S149),"Awaiting Bloomberg")</ns0:f>
        <ns0:v/>
      </ns0:c>
      <ns0:c r="BM149" s="91" t="inlineStr">
        <ns0:is>
          <ns0:t>N</ns0:t>
        </ns0:is>
      </ns0:c>
      <ns0:c r="BN149" s="92">
        <ns0:f>IFERROR(IF('BBG Verify'!K149="","Awaiting Bloomberg",'BBG Verify'!K149),"Awaiting Bloomberg")</ns0:f>
        <ns0:v/>
      </ns0:c>
      <ns0:c r="BO149" s="74" t="inlineStr">
        <ns0:is>
          <ns0:t>N/A</ns0:t>
        </ns0:is>
      </ns0:c>
      <ns0:c r="BP149" s="74" t="inlineStr">
        <ns0:is>
          <ns0:t>N/A</ns0:t>
        </ns0:is>
      </ns0:c>
      <ns0:c r="BQ149" s="74" t="inlineStr">
        <ns0:is>
          <ns0:t>N/A</ns0:t>
        </ns0:is>
      </ns0:c>
      <ns0:c r="BR149" s="74" t="inlineStr">
        <ns0:is>
          <ns0:t>N/A</ns0:t>
        </ns0:is>
      </ns0:c>
      <ns0:c r="BS149" s="74" t="inlineStr">
        <ns0:is>
          <ns0:t>N/A</ns0:t>
        </ns0:is>
      </ns0:c>
      <ns0:c r="BT149" s="74" t="inlineStr">
        <ns0:is>
          <ns0:t>N/A</ns0:t>
        </ns0:is>
      </ns0:c>
      <ns0:c r="BU149" s="91" t="inlineStr">
        <ns0:is>
          <ns0:t>Huatai Financial Holdings (Hong Kong) Limited; ABCI Capital Limited</ns0:t>
        </ns0:is>
      </ns0:c>
      <ns0:c r="BV149" s="74" t="inlineStr">
        <ns0:is>
          <ns0:t>Huatai Financial Holdings (Hong Kong) Limited; ABCI Capital Limited</ns0:t>
        </ns0:is>
      </ns0:c>
      <ns0:c r="BW149" s="74" t="inlineStr">
        <ns0:is>
          <ns0:t>Huatai Financial Holdings (Hong Kong) Limited; ABCI Capital Limited; Shenwan Hongyuan Securities (H.K.) Limited; BOCOM International Securities Limited</ns0:t>
        </ns0:is>
      </ns0:c>
      <ns0:c r="BX149" s="74" t="inlineStr">
        <ns0:is>
          <ns0:t>ABCI Securities Company Limited; Beta International Securities Limited; Futu Securities International (Hong Kong) Limited; Guotai Junan Securities (Hong Kong) Limited; Huatai Financial Holdings (Hong Kong) Limited; Shenwan Hongyuan Securities (H.K.) Limited; Victory Securities Company Limited</ns0:t>
        </ns0:is>
      </ns0:c>
      <ns0:c r="BY149" s="93">
        <ns0:f>HYPERLINK("https://www1.hkexnews.hk/listedco/listconews/sehk/2022/1031/2022103100013.pdf","prospectus")</ns0:f>
        <ns0:v/>
      </ns0:c>
      <ns0:c r="BZ149" s="93">
        <ns0:f>HYPERLINK("https://www1.hkexnews.hk/listedco/listconews/sehk/2022/1110/2022111000034.htm","allotment")</ns0:f>
        <ns0:v/>
      </ns0:c>
      <ns0:c r="CA149" s="85" t="n"/>
      <ns0:c r="CB149" s="94" t="n"/>
      <ns0:c r="CC149" s="74" t="inlineStr">
        <ns0:is>
          <ns0:t>greenshoe: no over-allotment option;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ns0:t>
        </ns0:is>
      </ns0:c>
    </ns0:row>
    <ns0:row r="150" ht="22" customHeight="1">
      <ns0:c r="A150" s="73" t="inlineStr">
        <ns0:is>
          <ns0:t>1407</ns0:t>
        </ns0:is>
      </ns0:c>
      <ns0:c r="B150" s="74" t="inlineStr">
        <ns0:is>
          <ns0:t>JY GAS</ns0:t>
        </ns0:is>
      </ns0:c>
      <ns0:c r="C150" s="74" t="inlineStr">
        <ns0:is>
          <ns0:t>交運燃氣</ns0:t>
        </ns0:is>
      </ns0:c>
      <ns0:c r="D150" s="74" t="inlineStr">
        <ns0:is>
          <ns0:t>Materials/Energy</ns0:t>
        </ns0:is>
      </ns0:c>
      <ns0:c r="E150" s="74" t="inlineStr">
        <ns0:is>
          <ns0:t>Oil &amp; gas / utilities</ns0:t>
        </ns0:is>
      </ns0:c>
      <ns0:c r="F150" s="74" t="inlineStr">
        <ns0:is>
          <ns0:t>Gas Utilities</ns0:t>
        </ns0:is>
      </ns0:c>
      <ns0:c r="G150" s="74" t="inlineStr">
        <ns0:is>
          <ns0:t>Standard</ns0:t>
        </ns0:is>
      </ns0:c>
      <ns0:c r="H150" s="75" t="n">
        <ns0:v>44881</ns0:v>
      </ns0:c>
      <ns0:c r="I150" s="76" t="n">
        <ns0:v>156.2</ns0:v>
      </ns0:c>
      <ns0:c r="J150" s="74" t="inlineStr">
        <ns0:is>
          <ns0:t>gross (price x shares)</ns0:t>
        </ns0:is>
      </ns0:c>
      <ns0:c r="K150" s="77" t="n">
        <ns0:v>1.42</ns0:v>
      </ns0:c>
      <ns0:c r="L150" s="77" t="n">
        <ns0:v>1.62</ns0:v>
      </ns0:c>
      <ns0:c r="M150" s="77" t="n">
        <ns0:v>1.42</ns0:v>
      </ns0:c>
      <ns0:c r="N150" s="74" t="inlineStr">
        <ns0:is>
          <ns0:t>N</ns0:t>
        </ns0:is>
      </ns0:c>
      <ns0:c r="O150" s="78" t="n">
        <ns0:v>87.7</ns0:v>
      </ns0:c>
      <ns0:c r="P150" s="78" t="n">
        <ns0:v>0</ns0:v>
      </ns0:c>
      <ns0:c r="Q150" s="79" t="n">
        <ns0:v>701.9</ns0:v>
      </ns0:c>
      <ns0:c r="R150" s="74" t="inlineStr">
        <ns0:is>
          <ns0:t>aastocks:上市市值 at the struck price</ns0:t>
        </ns0:is>
      </ns0:c>
      <ns0:c r="S150" s="80" t="n">
        <ns0:v>7.15</ns0:v>
      </ns0:c>
      <ns0:c r="T150" s="81" t="n">
        <ns0:v>1.17</ns0:v>
      </ns0:c>
      <ns0:c r="U150" s="82" t="n">
        <ns0:v>0</ns0:v>
      </ns0:c>
      <ns0:c r="V150" s="83" t="n">
        <ns0:v>131</ns0:v>
      </ns0:c>
      <ns0:c r="W150" s="84" t="n"/>
      <ns0:c r="X150" s="85" t="n"/>
      <ns0:c r="Y150" s="79" t="n">
        <ns0:v>156.2</ns0:v>
      </ns0:c>
      <ns0:c r="Z150" s="79" t="n">
        <ns0:v>110000000</ns0:v>
      </ns0:c>
      <ns0:c r="AA150" s="78" t="n">
        <ns0:v>22.25</ns0:v>
      </ns0:c>
      <ns0:c r="AB150" s="74" t="inlineStr">
        <ns0:is>
          <ns0:t>none — no cornerstone tranche</ns0:t>
        </ns0:is>
      </ns0:c>
      <ns0:c r="AC150" s="74" t="inlineStr">
        <ns0:is>
          <ns0:t>none</ns0:t>
        </ns0:is>
      </ns0:c>
      <ns0:c r="AD150" s="78" t="n">
        <ns0:v>10</ns0:v>
      </ns0:c>
      <ns0:c r="AE150" s="74" t="inlineStr">
        <ns0:is>
          <ns0:t>lapsed (no over-allocation)</ns0:t>
        </ns0:is>
      </ns0:c>
      <ns0:c r="AF150" s="74" t="inlineStr">
        <ns0:is>
          <ns0:t>2022-12-07</ns0:t>
        </ns0:is>
      </ns0:c>
      <ns0:c r="AG150" s="74" t="inlineStr">
        <ns0:is>
          <ns0:t>China Industrial Securities International Capital Limited</ns0:t>
        </ns0:is>
      </ns0:c>
      <ns0:c r="AH150" s="74" t="inlineStr">
        <ns0:is>
          <ns0:t>China Industrial</ns0:t>
        </ns0:is>
      </ns0:c>
      <ns0:c r="AI150" s="86" t="n">
        <ns0:v>28.17</ns0:v>
      </ns0:c>
      <ns0:c r="AJ150" s="87" t="n">
        <ns0:v>0</ns0:v>
      </ns0:c>
      <ns0:c r="AK150" s="87" t="n">
        <ns0:v>-0.29</ns0:v>
      </ns0:c>
      <ns0:c r="AL150" s="87" t="n">
        <ns0:v>7.04</ns0:v>
      </ns0:c>
      <ns0:c r="AM150" s="87" t="n">
        <ns0:v>-6.58</ns0:v>
      </ns0:c>
      <ns0:c r="AN150" s="88" t="n"/>
      <ns0:c r="AO150" s="78" t="n">
        <ns0:v>23.03</ns0:v>
      </ns0:c>
      <ns0:c r="AP150" s="87" t="n">
        <ns0:v>-5.63</ns0:v>
      </ns0:c>
      <ns0:c r="AQ150" s="87" t="n">
        <ns0:v>-25.35</ns0:v>
      </ns0:c>
      <ns0:c r="AR150" s="87" t="n">
        <ns0:v>-47.89</ns0:v>
      </ns0:c>
      <ns0:c r="AS150" s="87" t="n">
        <ns0:v>-5.63</ns0:v>
      </ns0:c>
      <ns0:c r="AT150" s="87" t="n">
        <ns0:v>-25.35</ns0:v>
      </ns0:c>
      <ns0:c r="AU150" s="87" t="n">
        <ns0:v>-47.89</ns0:v>
      </ns0:c>
      <ns0:c r="AV150" s="87" t="n">
        <ns0:v>0.57</ns0:v>
      </ns0:c>
      <ns0:c r="AW150" s="87" t="n">
        <ns0:v>-30.25</ns0:v>
      </ns0:c>
      <ns0:c r="AX150" s="87" t="n">
        <ns0:v>-58.57</ns0:v>
      </ns0:c>
      <ns0:c r="AY150" s="87" t="n">
        <ns0:v>-30.56</ns0:v>
      </ns0:c>
      <ns0:c r="AZ150" s="87" t="n">
        <ns0:v>4.9</ns0:v>
      </ns0:c>
      <ns0:c r="BA150" s="87" t="n">
        <ns0:v>5.21</ns0:v>
      </ns0:c>
      <ns0:c r="BB150" s="74" t="inlineStr">
        <ns0:is>
          <ns0:t>Hang Seng Commerce &amp; Industry sub-index</ns0:t>
        </ns0:is>
      </ns0:c>
      <ns0:c r="BC150" s="87" t="n">
        <ns0:v>-50.35</ns0:v>
      </ns0:c>
      <ns0:c r="BD150" s="75" t="n">
        <ns0:v>46297</ns0:v>
      </ns0:c>
      <ns0:c r="BE150" s="76" t="n">
        <ns0:v>485</ns0:v>
      </ns0:c>
      <ns0:c r="BF150" s="79" t="n">
        <ns0:v>75.2</ns0:v>
      </ns0:c>
      <ns0:c r="BG150" s="74" t="inlineStr">
        <ns0:is>
          <ns0:t>Y</ns0:t>
        </ns0:is>
      </ns0:c>
      <ns0:c r="BH150" s="89" t="n">
        <ns0:v>9.300000000000001</ns0:v>
      </ns0:c>
      <ns0:c r="BI150" s="88" t="n"/>
      <ns0:c r="BJ150" s="89" t="n">
        <ns0:v>8.1</ns0:v>
      </ns0:c>
      <ns0:c r="BK150" s="89" t="n">
        <ns0:v>1.4</ns0:v>
      </ns0:c>
      <ns0:c r="BL150" s="90">
        <ns0:f>IFERROR(IF('BBG Verify'!S150="","Awaiting Bloomberg",'BBG Verify'!S150),"Awaiting Bloomberg")</ns0:f>
        <ns0:v/>
      </ns0:c>
      <ns0:c r="BM150" s="91" t="inlineStr">
        <ns0:is>
          <ns0:t>N</ns0:t>
        </ns0:is>
      </ns0:c>
      <ns0:c r="BN150" s="92">
        <ns0:f>IFERROR(IF('BBG Verify'!K150="","Awaiting Bloomberg",'BBG Verify'!K150),"Awaiting Bloomberg")</ns0:f>
        <ns0:v/>
      </ns0:c>
      <ns0:c r="BO150" s="74" t="inlineStr">
        <ns0:is>
          <ns0:t>N/A</ns0:t>
        </ns0:is>
      </ns0:c>
      <ns0:c r="BP150" s="74" t="inlineStr">
        <ns0:is>
          <ns0:t>N/A</ns0:t>
        </ns0:is>
      </ns0:c>
      <ns0:c r="BQ150" s="74" t="inlineStr">
        <ns0:is>
          <ns0:t>N/A</ns0:t>
        </ns0:is>
      </ns0:c>
      <ns0:c r="BR150" s="74" t="inlineStr">
        <ns0:is>
          <ns0:t>N/A</ns0:t>
        </ns0:is>
      </ns0:c>
      <ns0:c r="BS150" s="74" t="inlineStr">
        <ns0:is>
          <ns0:t>N/A</ns0:t>
        </ns0:is>
      </ns0:c>
      <ns0:c r="BT150" s="74" t="inlineStr">
        <ns0:is>
          <ns0:t>N/A</ns0:t>
        </ns0:is>
      </ns0:c>
      <ns0:c r="BU150" s="91" t="inlineStr">
        <ns0:is>
          <ns0:t>China Industrial Securities International Capital Limited</ns0:t>
        </ns0:is>
      </ns0:c>
      <ns0:c r="BV150" s="74" t="inlineStr">
        <ns0:is>
          <ns0:t>China Industrial Securities International Capital Limited</ns0:t>
        </ns0:is>
      </ns0:c>
      <ns0:c r="BW150" s="74" t="inlineStr">
        <ns0:is>
          <ns0: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ns0:t>
        </ns0:is>
      </ns0:c>
      <ns0:c r="BX150" s="74" t="inlineStr">
        <ns0:is>
          <ns0: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ns0:t>
        </ns0:is>
      </ns0:c>
      <ns0:c r="BY150" s="93">
        <ns0:f>HYPERLINK("https://www1.hkexnews.hk/listedco/listconews/sehk/2022/1031/2022103100007.pdf","prospectus")</ns0:f>
        <ns0:v/>
      </ns0:c>
      <ns0:c r="BZ150" s="93">
        <ns0:f>HYPERLINK("https://www1.hkexnews.hk/listedco/listconews/sehk/2022/1115/2022111500160.htm","allotment")</ns0:f>
        <ns0:v/>
      </ns0:c>
      <ns0:c r="CA150" s="93">
        <ns0:f>HYPERLINK("https://www1.hkexnews.hk/listedco/listconews/sehk/2022/1208/2022120800587.pdf","stabilisation")</ns0:f>
        <ns0:v/>
      </ns0:c>
      <ns0:c r="CB150" s="94" t="n"/>
      <ns0:c r="CC150" s="74" t="inlineStr">
        <ns0:is>
          <ns0:t>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ns0:t>
        </ns0:is>
      </ns0:c>
    </ns0:row>
    <ns0:row r="151" ht="22" customHeight="1">
      <ns0:c r="A151" s="73" t="inlineStr">
        <ns0:is>
          <ns0:t>2436</ns0:t>
        </ns0:is>
      </ns0:c>
      <ns0:c r="B151" s="74" t="inlineStr">
        <ns0:is>
          <ns0:t>LX TECHNOLOGY</ns0:t>
        </ns0:is>
      </ns0:c>
      <ns0:c r="C151" s="74" t="inlineStr">
        <ns0:is>
          <ns0:t>凌雄科技</ns0:t>
        </ns0:is>
      </ns0:c>
      <ns0:c r="D151" s="74" t="inlineStr">
        <ns0:is>
          <ns0:t>Technology</ns0:t>
        </ns0:is>
      </ns0:c>
      <ns0:c r="E151" s="74" t="inlineStr">
        <ns0:is>
          <ns0:t>Software &amp; AI</ns0:t>
        </ns0:is>
      </ns0:c>
      <ns0:c r="F151" s="74" t="inlineStr">
        <ns0:is>
          <ns0:t>Computer Storage &amp; Peripherals</ns0:t>
        </ns0:is>
      </ns0:c>
      <ns0:c r="G151" s="74" t="inlineStr">
        <ns0:is>
          <ns0:t>Standard</ns0:t>
        </ns0:is>
      </ns0:c>
      <ns0:c r="H151" s="75" t="n">
        <ns0:v>44889</ns0:v>
      </ns0:c>
      <ns0:c r="I151" s="76" t="n">
        <ns0:v>404.8</ns0:v>
      </ns0:c>
      <ns0:c r="J151" s="74" t="inlineStr">
        <ns0:is>
          <ns0:t>gross (price x shares)</ns0:t>
        </ns0:is>
      </ns0:c>
      <ns0:c r="K151" s="77" t="n">
        <ns0:v>7.6</ns0:v>
      </ns0:c>
      <ns0:c r="L151" s="77" t="n">
        <ns0:v>8.74</ns0:v>
      </ns0:c>
      <ns0:c r="M151" s="77" t="n">
        <ns0:v>7.6</ns0:v>
      </ns0:c>
      <ns0:c r="N151" s="74" t="inlineStr">
        <ns0:is>
          <ns0:t>N</ns0:t>
        </ns0:is>
      </ns0:c>
      <ns0:c r="O151" s="78" t="n">
        <ns0:v>87</ns0:v>
      </ns0:c>
      <ns0:c r="P151" s="78" t="n">
        <ns0:v>0</ns0:v>
      </ns0:c>
      <ns0:c r="Q151" s="79" t="n">
        <ns0:v>2684.4</ns0:v>
      </ns0:c>
      <ns0:c r="R151" s="74" t="inlineStr">
        <ns0:is>
          <ns0:t>derived:deal size / offer % of enlarged capital</ns0:t>
        </ns0:is>
      </ns0:c>
      <ns0:c r="S151" s="80" t="n">
        <ns0:v>15</ns0:v>
      </ns0:c>
      <ns0:c r="T151" s="81" t="n">
        <ns0:v>1.12</ns0:v>
      </ns0:c>
      <ns0:c r="U151" s="82" t="n">
        <ns0:v>0</ns0:v>
      </ns0:c>
      <ns0:c r="V151" s="83" t="n">
        <ns0:v>107</ns0:v>
      </ns0:c>
      <ns0:c r="W151" s="84" t="n"/>
      <ns0:c r="X151" s="85" t="n"/>
      <ns0:c r="Y151" s="79" t="n">
        <ns0:v>404.8</ns0:v>
      </ns0:c>
      <ns0:c r="Z151" s="79" t="n">
        <ns0:v>53259000</ns0:v>
      </ns0:c>
      <ns0:c r="AA151" s="78" t="n">
        <ns0:v>15.08</ns0:v>
      </ns0:c>
      <ns0:c r="AB151" s="74" t="inlineStr">
        <ns0:is>
          <ns0:t>none — no cornerstone tranche</ns0:t>
        </ns0:is>
      </ns0:c>
      <ns0:c r="AC151" s="74" t="inlineStr">
        <ns0:is>
          <ns0:t>none</ns0:t>
        </ns0:is>
      </ns0:c>
      <ns0:c r="AD151" s="78" t="n">
        <ns0:v>5.06</ns0:v>
      </ns0:c>
      <ns0:c r="AE151" s="85" t="n"/>
      <ns0:c r="AF151" s="74" t="inlineStr">
        <ns0:is>
          <ns0:t>2022-12-17</ns0:t>
        </ns0:is>
      </ns0:c>
      <ns0:c r="AG151" s="74" t="inlineStr">
        <ns0:is>
          <ns0:t>Haitong International Securities Company Limited</ns0:t>
        </ns0:is>
      </ns0:c>
      <ns0:c r="AH151" s="74" t="inlineStr">
        <ns0:is>
          <ns0:t>Haitong</ns0:t>
        </ns0:is>
      </ns0:c>
      <ns0:c r="AI151" s="86" t="n">
        <ns0:v>3.95</ns0:v>
      </ns0:c>
      <ns0:c r="AJ151" s="87" t="n">
        <ns0:v>2.63</ns0:v>
      </ns0:c>
      <ns0:c r="AK151" s="87" t="n">
        <ns0:v>0.8</ns0:v>
      </ns0:c>
      <ns0:c r="AL151" s="87" t="n">
        <ns0:v>3.95</ns0:v>
      </ns0:c>
      <ns0:c r="AM151" s="87" t="n">
        <ns0:v>-1.27</ns0:v>
      </ns0:c>
      <ns0:c r="AN151" s="88" t="n"/>
      <ns0:c r="AO151" s="78" t="n">
        <ns0:v>12.53</ns0:v>
      </ns0:c>
      <ns0:c r="AP151" s="87" t="n">
        <ns0:v>18.29</ns0:v>
      </ns0:c>
      <ns0:c r="AQ151" s="87" t="n">
        <ns0:v>43.42</ns0:v>
      </ns0:c>
      <ns0:c r="AR151" s="87" t="n">
        <ns0:v>77.37</ns0:v>
      </ns0:c>
      <ns0:c r="AS151" s="87" t="n">
        <ns0:v>15.26</ns0:v>
      </ns0:c>
      <ns0:c r="AT151" s="87" t="n">
        <ns0:v>39.74</ns0:v>
      </ns0:c>
      <ns0:c r="AU151" s="87" t="n">
        <ns0:v>72.81999999999999</ns0:v>
      </ns0:c>
      <ns0:c r="AV151" s="87" t="n">
        <ns0:v>10.48</ns0:v>
      </ns0:c>
      <ns0:c r="AW151" s="87" t="n">
        <ns0:v>27.34</ns0:v>
      </ns0:c>
      <ns0:c r="AX151" s="87" t="n">
        <ns0:v>59.87</ns0:v>
      </ns0:c>
      <ns0:c r="AY151" s="87" t="n">
        <ns0:v>24.58</ns0:v>
      </ns0:c>
      <ns0:c r="AZ151" s="87" t="n">
        <ns0:v>16.08</ns0:v>
      </ns0:c>
      <ns0:c r="BA151" s="87" t="n">
        <ns0:v>15.16</ns0:v>
      </ns0:c>
      <ns0:c r="BB151" s="74" t="inlineStr">
        <ns0:is>
          <ns0:t>HSTECH (Hang Seng TECH ETF)</ns0:t>
        </ns0:is>
      </ns0:c>
      <ns0:c r="BC151" s="87" t="n">
        <ns0:v>113.55</ns0:v>
      </ns0:c>
      <ns0:c r="BD151" s="75" t="n">
        <ns0:v>46297</ns0:v>
      </ns0:c>
      <ns0:c r="BE151" s="76" t="n">
        <ns0:v>1463.4</ns0:v>
      </ns0:c>
      <ns0:c r="BF151" s="79" t="n">
        <ns0:v>-493.6</ns0:v>
      </ns0:c>
      <ns0:c r="BG151" s="74" t="inlineStr">
        <ns0:is>
          <ns0:t>N</ns0:t>
        </ns0:is>
      </ns0:c>
      <ns0:c r="BH151" s="74" t="inlineStr">
        <ns0:is>
          <ns0:t>n/m</ns0:t>
        </ns0:is>
      </ns0:c>
      <ns0:c r="BI151" s="88" t="n"/>
      <ns0:c r="BJ151" s="89" t="n">
        <ns0:v>360.2</ns0:v>
      </ns0:c>
      <ns0:c r="BK151" s="89" t="n">
        <ns0:v>1.8</ns0:v>
      </ns0:c>
      <ns0:c r="BL151" s="90">
        <ns0:f>IFERROR(IF('BBG Verify'!S151="","Awaiting Bloomberg",'BBG Verify'!S151),"Awaiting Bloomberg")</ns0:f>
        <ns0:v/>
      </ns0:c>
      <ns0:c r="BM151" s="91" t="inlineStr">
        <ns0:is>
          <ns0:t>N</ns0:t>
        </ns0:is>
      </ns0:c>
      <ns0:c r="BN151" s="92">
        <ns0:f>IFERROR(IF('BBG Verify'!K151="","Awaiting Bloomberg",'BBG Verify'!K151),"Awaiting Bloomberg")</ns0:f>
        <ns0:v/>
      </ns0:c>
      <ns0:c r="BO151" s="74" t="inlineStr">
        <ns0:is>
          <ns0:t>N/A</ns0:t>
        </ns0:is>
      </ns0:c>
      <ns0:c r="BP151" s="74" t="inlineStr">
        <ns0:is>
          <ns0:t>N/A</ns0:t>
        </ns0:is>
      </ns0:c>
      <ns0:c r="BQ151" s="74" t="inlineStr">
        <ns0:is>
          <ns0:t>N/A</ns0:t>
        </ns0:is>
      </ns0:c>
      <ns0:c r="BR151" s="74" t="inlineStr">
        <ns0:is>
          <ns0:t>N/A</ns0:t>
        </ns0:is>
      </ns0:c>
      <ns0:c r="BS151" s="74" t="inlineStr">
        <ns0:is>
          <ns0:t>N/A</ns0:t>
        </ns0:is>
      </ns0:c>
      <ns0:c r="BT151" s="74" t="inlineStr">
        <ns0:is>
          <ns0:t>N/A</ns0:t>
        </ns0:is>
      </ns0:c>
      <ns0:c r="BU151" s="91" t="inlineStr">
        <ns0:is>
          <ns0:t>Haitong International Capital Limited</ns0:t>
        </ns0:is>
      </ns0:c>
      <ns0:c r="BV151" s="74" t="inlineStr">
        <ns0:is>
          <ns0:t>Haitong International Capital Limited</ns0:t>
        </ns0:is>
      </ns0:c>
      <ns0:c r="BW151" s="74" t="inlineStr">
        <ns0:is>
          <ns0:t>Haitong International Securities Company Limited; Futu Securities International (Hong Kong) Limited; Tiger Brokers (HK) Global Limited; Dragonstone Capital Management Limited</ns0:t>
        </ns0:is>
      </ns0:c>
      <ns0:c r="BX151" s="74" t="inlineStr">
        <ns0:is>
          <ns0:t>CSFG International Securities Limited; Dragonstone Capital Management Limited; Futu Securities International (Hong Kong) Limited; Haitong International Securities Company Limited; Maxa Capital Limited; Sinomax Securities Limited; Tiger Brokers (HK) Global Limited</ns0:t>
        </ns0:is>
      </ns0:c>
      <ns0:c r="BY151" s="93">
        <ns0:f>HYPERLINK("https://www1.hkexnews.hk/listedco/listconews/sehk/2022/1114/2022111400005.pdf","prospectus")</ns0:f>
        <ns0:v/>
      </ns0:c>
      <ns0:c r="BZ151" s="93">
        <ns0:f>HYPERLINK("https://www1.hkexnews.hk/listedco/listconews/sehk/2022/1123/2022112300038.htm","allotment")</ns0:f>
        <ns0:v/>
      </ns0:c>
      <ns0:c r="CA151" s="85" t="n"/>
      <ns0:c r="CB151" s="94" t="n"/>
      <ns0:c r="CC151" s="74" t="inlineStr">
        <ns0:is>
          <ns0:t>P/E: loss-making at IPO, use P/S; greenshoe: end-of-stabilisation notice not found; cornerstone list: no cornerstone tranche; allocation: allocation table not in this notice's format (older prose announcement); day-1 tape: volume on file; the retail multiple needs the final public split, which this notice does not state</ns0:t>
        </ns0:is>
      </ns0:c>
    </ns0:row>
    <ns0:row r="152" ht="22" customHeight="1">
      <ns0:c r="A152" s="73" t="inlineStr">
        <ns0:is>
          <ns0:t>3660</ns0:t>
        </ns0:is>
      </ns0:c>
      <ns0:c r="B152" s="74" t="inlineStr">
        <ns0:is>
          <ns0:t>360 DIGITECH-S</ns0:t>
        </ns0:is>
      </ns0:c>
      <ns0:c r="C152" s="74" t="inlineStr">
        <ns0:is>
          <ns0:t>奇富科技－Ｓ</ns0:t>
        </ns0:is>
      </ns0:c>
      <ns0:c r="D152" s="74" t="inlineStr">
        <ns0:is>
          <ns0:t>Technology</ns0:t>
        </ns0:is>
      </ns0:c>
      <ns0:c r="E152" s="74" t="inlineStr">
        <ns0:is>
          <ns0:t>Internet &amp; fintech</ns0:t>
        </ns0:is>
      </ns0:c>
      <ns0:c r="F152" s="74" t="inlineStr">
        <ns0:is>
          <ns0:t>Other Diversified Financial Services</ns0:t>
        </ns0:is>
      </ns0:c>
      <ns0:c r="G152" s="74" t="inlineStr">
        <ns0:is>
          <ns0:t>Secondary</ns0:t>
        </ns0:is>
      </ns0:c>
      <ns0:c r="H152" s="75" t="n">
        <ns0:v>44894</ns0:v>
      </ns0:c>
      <ns0:c r="I152" s="76" t="n">
        <ns0:v>277.2</ns0:v>
      </ns0:c>
      <ns0:c r="J152" s="74" t="inlineStr">
        <ns0:is>
          <ns0:t>gross (price x shares)</ns0:t>
        </ns0:is>
      </ns0:c>
      <ns0:c r="K152" s="95" t="n"/>
      <ns0:c r="L152" s="77" t="n">
        <ns0:v>50.03</ns0:v>
      </ns0:c>
      <ns0:c r="M152" s="77" t="n">
        <ns0:v>50.03</ns0:v>
      </ns0:c>
      <ns0:c r="N152" s="74" t="inlineStr">
        <ns0:is>
          <ns0:t>Y</ns0:t>
        </ns0:is>
      </ns0:c>
      <ns0:c r="O152" s="78" t="n">
        <ns0:v>100</ns0:v>
      </ns0:c>
      <ns0:c r="P152" s="84" t="n"/>
      <ns0:c r="Q152" s="79" t="n">
        <ns0:v>28200</ns0:v>
      </ns0:c>
      <ns0:c r="R152" s="74" t="inlineStr">
        <ns0:is>
          <ns0:t>prospectus:stated market capitalisation</ns0:t>
        </ns0:is>
      </ns0:c>
      <ns0:c r="S152" s="80" t="n">
        <ns0:v>2.46</ns0:v>
      </ns0:c>
      <ns0:c r="T152" s="81" t="n">
        <ns0:v>5.3</ns0:v>
      </ns0:c>
      <ns0:c r="U152" s="82" t="n">
        <ns0:v>0</ns0:v>
      </ns0:c>
      <ns0:c r="V152" s="83" t="n">
        <ns0:v>102</ns0:v>
      </ns0:c>
      <ns0:c r="W152" s="84" t="n"/>
      <ns0:c r="X152" s="85" t="n"/>
      <ns0:c r="Y152" s="79" t="n">
        <ns0:v>277.2</ns0:v>
      </ns0:c>
      <ns0:c r="Z152" s="79" t="n">
        <ns0:v>5540000</ns0:v>
      </ns0:c>
      <ns0:c r="AA152" s="78" t="n">
        <ns0:v>0.98</ns0:v>
      </ns0:c>
      <ns0:c r="AB152" s="74" t="inlineStr">
        <ns0:is>
          <ns0:t>none — no cornerstone tranche</ns0:t>
        </ns0:is>
      </ns0:c>
      <ns0:c r="AC152" s="74" t="inlineStr">
        <ns0:is>
          <ns0:t>none</ns0:t>
        </ns0:is>
      </ns0:c>
      <ns0:c r="AD152" s="78" t="n">
        <ns0:v>10</ns0:v>
      </ns0:c>
      <ns0:c r="AE152" s="85" t="n"/>
      <ns0:c r="AF152" s="74" t="inlineStr">
        <ns0:is>
          <ns0:t>2022-12-23</ns0:t>
        </ns0:is>
      </ns0:c>
      <ns0:c r="AG152" s="74" t="inlineStr">
        <ns0:is>
          <ns0:t>Citigroup Global Markets Asia Limited</ns0:t>
        </ns0:is>
      </ns0:c>
      <ns0:c r="AH152" s="74" t="inlineStr">
        <ns0:is>
          <ns0:t>Citigroup</ns0:t>
        </ns0:is>
      </ns0:c>
      <ns0:c r="AI152" s="86" t="n">
        <ns0:v>0.84</ns0:v>
      </ns0:c>
      <ns0:c r="AJ152" s="87" t="n">
        <ns0:v>3.44</ns0:v>
      </ns0:c>
      <ns0:c r="AK152" s="87" t="n">
        <ns0:v>8.09</ns0:v>
      </ns0:c>
      <ns0:c r="AL152" s="87" t="n">
        <ns0:v>1.14</ns0:v>
      </ns0:c>
      <ns0:c r="AM152" s="87" t="n">
        <ns0:v>2.27</ns0:v>
      </ns0:c>
      <ns0:c r="AN152" s="88" t="n"/>
      <ns0:c r="AO152" s="78" t="n">
        <ns0:v>3.85</ns0:v>
      </ns0:c>
      <ns0:c r="AP152" s="87" t="n">
        <ns0:v>33.82</ns0:v>
      </ns0:c>
      <ns0:c r="AQ152" s="87" t="n">
        <ns0:v>57.31</ns0:v>
      </ns0:c>
      <ns0:c r="AR152" s="87" t="n">
        <ns0:v>67.90000000000001</ns0:v>
      </ns0:c>
      <ns0:c r="AS152" s="87" t="n">
        <ns0:v>29.37</ns0:v>
      </ns0:c>
      <ns0:c r="AT152" s="87" t="n">
        <ns0:v>52.08</ns0:v>
      </ns0:c>
      <ns0:c r="AU152" s="87" t="n">
        <ns0:v>62.32</ns0:v>
      </ns0:c>
      <ns0:c r="AV152" s="87" t="n">
        <ns0:v>12.92</ns0:v>
      </ns0:c>
      <ns0:c r="AW152" s="87" t="n">
        <ns0:v>37.06</ns0:v>
      </ns0:c>
      <ns0:c r="AX152" s="87" t="n">
        <ns0:v>46.65</ns0:v>
      </ns0:c>
      <ns0:c r="AY152" s="87" t="n">
        <ns0:v>40.83</ns0:v>
      </ns0:c>
      <ns0:c r="AZ152" s="87" t="n">
        <ns0:v>20.25</ns0:v>
      </ns0:c>
      <ns0:c r="BA152" s="87" t="n">
        <ns0:v>11.25</ns0:v>
      </ns0:c>
      <ns0:c r="BB152" s="74" t="inlineStr">
        <ns0:is>
          <ns0:t>HSTECH (Hang Seng TECH ETF)</ns0:t>
        </ns0:is>
      </ns0:c>
      <ns0:c r="BC152" s="87" t="n">
        <ns0:v>-48.43</ns0:v>
      </ns0:c>
      <ns0:c r="BD152" s="75" t="n">
        <ns0:v>46297</ns0:v>
      </ns0:c>
      <ns0:c r="BE152" s="76" t="n">
        <ns0:v>18299.2</ns0:v>
      </ns0:c>
      <ns0:c r="BF152" s="79" t="n">
        <ns0:v>6359.9</ns0:v>
      </ns0:c>
      <ns0:c r="BG152" s="74" t="inlineStr">
        <ns0:is>
          <ns0:t>Y</ns0:t>
        </ns0:is>
      </ns0:c>
      <ns0:c r="BH152" s="89" t="n">
        <ns0:v>4.4</ns0:v>
      </ns0:c>
      <ns0:c r="BI152" s="88" t="n"/>
      <ns0:c r="BJ152" s="88" t="n"/>
      <ns0:c r="BK152" s="89" t="n">
        <ns0:v>1.5</ns0:v>
      </ns0:c>
      <ns0:c r="BL152" s="90">
        <ns0:f>IFERROR(IF('BBG Verify'!S152="","Awaiting Bloomberg",'BBG Verify'!S152),"Awaiting Bloomberg")</ns0:f>
        <ns0:v/>
      </ns0:c>
      <ns0:c r="BM152" s="91" t="inlineStr">
        <ns0:is>
          <ns0:t>N</ns0:t>
        </ns0:is>
      </ns0:c>
      <ns0:c r="BN152" s="92">
        <ns0:f>IFERROR(IF('BBG Verify'!K152="","Awaiting Bloomberg",'BBG Verify'!K152),"Awaiting Bloomberg")</ns0:f>
        <ns0:v/>
      </ns0:c>
      <ns0:c r="BO152" s="74" t="inlineStr">
        <ns0:is>
          <ns0:t>N/A</ns0:t>
        </ns0:is>
      </ns0:c>
      <ns0:c r="BP152" s="74" t="inlineStr">
        <ns0:is>
          <ns0:t>N/A</ns0:t>
        </ns0:is>
      </ns0:c>
      <ns0:c r="BQ152" s="74" t="inlineStr">
        <ns0:is>
          <ns0:t>N/A</ns0:t>
        </ns0:is>
      </ns0:c>
      <ns0:c r="BR152" s="74" t="inlineStr">
        <ns0:is>
          <ns0:t>N/A</ns0:t>
        </ns0:is>
      </ns0:c>
      <ns0:c r="BS152" s="74" t="inlineStr">
        <ns0:is>
          <ns0:t>N/A</ns0:t>
        </ns0:is>
      </ns0:c>
      <ns0:c r="BT152" s="74" t="inlineStr">
        <ns0:is>
          <ns0:t>N/A</ns0:t>
        </ns0:is>
      </ns0:c>
      <ns0:c r="BU152" s="91" t="inlineStr">
        <ns0:is>
          <ns0:t>Citigroup Global Markets Asia Limited; China International Capital Corporation Hong Kong Securities Limited</ns0:t>
        </ns0:is>
      </ns0:c>
      <ns0:c r="BV152" s="74" t="inlineStr">
        <ns0:is>
          <ns0:t>China International Capital Corporation Hong Kong Securities Limited; Citigroup Global Markets Asia Limited</ns0:t>
        </ns0:is>
      </ns0:c>
      <ns0:c r="BW152" s="74" t="inlineStr">
        <ns0:is>
          <ns0:t>Citigroup Global Markets Asia Limited; China International Capital Corporation Hong Kong Securities Limited; Citigroup Global Markets Limited; 198 – China International Capital Corporation Hong Kong Securities Limited; CCB International Capital Limited; Futu Securities International (Hong Kong) Limited; Tiger Brokers (HK) Global Limited</ns0:t>
        </ns0:is>
      </ns0:c>
      <ns0:c r="BX152" s="74" t="inlineStr">
        <ns0:is>
          <ns0:t>CCB International Capital Limited; Citigroup Global Markets Asia Limited; China International Capital Corporation Hong Kong Securities Limited; Futu Securities International (Hong Kong) Limited; Livermore Holdings Limited; Tiger Brokers (HK) Global Limited</ns0:t>
        </ns0:is>
      </ns0:c>
      <ns0:c r="BY152" s="93">
        <ns0:f>HYPERLINK("https://www1.hkexnews.hk/listedco/listconews/sehk/2022/1118/2022111800030.htm","prospectus")</ns0:f>
        <ns0:v/>
      </ns0:c>
      <ns0:c r="BZ152" s="93">
        <ns0:f>HYPERLINK("https://www1.hkexnews.hk/listedco/listconews/sehk/2022/1128/2022112800016.htm","allotment")</ns0:f>
        <ns0:v/>
      </ns0:c>
      <ns0:c r="CA152" s="93">
        <ns0:f>HYPERLINK("https://www1.hkexnews.hk/listedco/listconews/sehk/2022/1223/2022122300416.pdf","stabilisation")</ns0:f>
        <ns0:v/>
      </ns0:c>
      <ns0:c r="CB152" s="94" t="n"/>
      <ns0:c r="CC152" s="74" t="inlineStr">
        <ns0:is>
          <ns0:t>greenshoe: end-of-stabilisation notice not found; price range: fixed-price offering (no indicative range); range low: maximum offer price only, no floor published; cornerstone list: no cornerstone tranche; stabilisation notice: notice linked; outcome wording not recognised, result left blank; allocation: allocation table not in this notice's format (older prose announcement); day-1 tape: volume on file; the retail multiple needs the final public split, which this notice does not state</ns0:t>
        </ns0:is>
      </ns0:c>
    </ns0:row>
    <ns0:row r="153" ht="22" customHeight="1">
      <ns0:c r="A153" s="73" t="inlineStr">
        <ns0:is>
          <ns0:t>2245</ns0:t>
        </ns0:is>
      </ns0:c>
      <ns0:c r="B153" s="74" t="inlineStr">
        <ns0:is>
          <ns0:t>LYGEND RESOURCE</ns0:t>
        </ns0:is>
      </ns0:c>
      <ns0:c r="C153" s="74" t="inlineStr">
        <ns0:is>
          <ns0:t>力勤資源</ns0:t>
        </ns0:is>
      </ns0:c>
      <ns0:c r="D153" s="74" t="inlineStr">
        <ns0:is>
          <ns0:t>Materials/Energy</ns0:t>
        </ns0:is>
      </ns0:c>
      <ns0:c r="E153" s="74" t="inlineStr">
        <ns0:is>
          <ns0:t>Mining / metals</ns0:t>
        </ns0:is>
      </ns0:c>
      <ns0:c r="F153" s="74" t="inlineStr">
        <ns0:is>
          <ns0:t>Diversified Metals &amp; Minerals</ns0:t>
        </ns0:is>
      </ns0:c>
      <ns0:c r="G153" s="74" t="inlineStr">
        <ns0:is>
          <ns0:t>Standard</ns0:t>
        </ns0:is>
      </ns0:c>
      <ns0:c r="H153" s="75" t="n">
        <ns0:v>44896</ns0:v>
      </ns0:c>
      <ns0:c r="I153" s="76" t="n">
        <ns0:v>3674.3</ns0:v>
      </ns0:c>
      <ns0:c r="J153" s="74" t="inlineStr">
        <ns0:is>
          <ns0:t>gross (price x shares)</ns0:t>
        </ns0:is>
      </ns0:c>
      <ns0:c r="K153" s="95" t="n"/>
      <ns0:c r="L153" s="77" t="n">
        <ns0:v>15.8</ns0:v>
      </ns0:c>
      <ns0:c r="M153" s="77" t="n">
        <ns0:v>15.8</ns0:v>
      </ns0:c>
      <ns0:c r="N153" s="74" t="inlineStr">
        <ns0:is>
          <ns0:t>Y</ns0:t>
        </ns0:is>
      </ns0:c>
      <ns0:c r="O153" s="78" t="n">
        <ns0:v>100</ns0:v>
      </ns0:c>
      <ns0:c r="P153" s="84" t="n"/>
      <ns0:c r="Q153" s="79" t="n">
        <ns0:v>27664.5</ns0:v>
      </ns0:c>
      <ns0:c r="R153" s="74" t="inlineStr">
        <ns0:is>
          <ns0:t>aastocks:上市市值 at the struck price</ns0:t>
        </ns0:is>
      </ns0:c>
      <ns0:c r="S153" s="80" t="n">
        <ns0:v>1.47</ns0:v>
      </ns0:c>
      <ns0:c r="T153" s="81" t="n">
        <ns0:v>1.4</ns0:v>
      </ns0:c>
      <ns0:c r="U153" s="82" t="n">
        <ns0:v>69.40000000000001</ns0:v>
      </ns0:c>
      <ns0:c r="V153" s="83" t="n">
        <ns0:v>124</ns0:v>
      </ns0:c>
      <ns0:c r="W153" s="84" t="n"/>
      <ns0:c r="X153" s="85" t="n"/>
      <ns0:c r="Y153" s="79" t="n">
        <ns0:v>1124.34</ns0:v>
      </ns0:c>
      <ns0:c r="Z153" s="79" t="n">
        <ns0:v>71159566</ns0:v>
      </ns0:c>
      <ns0:c r="AA153" s="78" t="n">
        <ns0:v>4.06</ns0:v>
      </ns0:c>
      <ns0:c r="AB153" s="74" t="inlineStr">
        <ns0:is>
          <ns0:t>China State-Owned Enterprise Mixed Ownership Reform Fund Co., Ltd; GEM Hong Kong International Co., Limited; Hongkong Brunp and Catl Co., Limited; Hubei Ronbay Battery Triangle No. 1 Equity Investment Fund Partnership; Ningbo Yinzhou District Financial Holding Co., Ltd</ns0:t>
        </ns0:is>
      </ns0:c>
      <ns0:c r="AC153" s="74" t="inlineStr">
        <ns0:is>
          <ns0:t>state-owned;gem;hongkong;hubei;ningbo</ns0:t>
        </ns0:is>
      </ns0:c>
      <ns0:c r="AD153" s="84" t="n"/>
      <ns0:c r="AE153" s="74" t="inlineStr">
        <ns0:is>
          <ns0:t>partial</ns0:t>
        </ns0:is>
      </ns0:c>
      <ns0:c r="AF153" s="74" t="inlineStr">
        <ns0:is>
          <ns0:t>2022-12-24</ns0:t>
        </ns0:is>
      </ns0:c>
      <ns0:c r="AG153" s="74" t="inlineStr">
        <ns0:is>
          <ns0:t>China International Capital Corporation Hong Kong Securities Limited</ns0:t>
        </ns0:is>
      </ns0:c>
      <ns0:c r="AH153" s="74" t="inlineStr">
        <ns0:is>
          <ns0:t>China International</ns0:t>
        </ns0:is>
      </ns0:c>
      <ns0:c r="AI153" s="86" t="n">
        <ns0:v>-1.9</ns0:v>
      </ns0:c>
      <ns0:c r="AJ153" s="87" t="n">
        <ns0:v>0</ns0:v>
      </ns0:c>
      <ns0:c r="AK153" s="87" t="n">
        <ns0:v>0.97</ns0:v>
      </ns0:c>
      <ns0:c r="AL153" s="87" t="n">
        <ns0:v>0</ns0:v>
      </ns0:c>
      <ns0:c r="AM153" s="87" t="n">
        <ns0:v>0</ns0:v>
      </ns0:c>
      <ns0:c r="AN153" s="88" t="n"/>
      <ns0:c r="AO153" s="78" t="n">
        <ns0:v>1.39</ns0:v>
      </ns0:c>
      <ns0:c r="AP153" s="87" t="n">
        <ns0:v>-3.67</ns0:v>
      </ns0:c>
      <ns0:c r="AQ153" s="87" t="n">
        <ns0:v>1.14</ns0:v>
      </ns0:c>
      <ns0:c r="AR153" s="87" t="n">
        <ns0:v>-19.37</ns0:v>
      </ns0:c>
      <ns0:c r="AS153" s="87" t="n">
        <ns0:v>-3.67</ns0:v>
      </ns0:c>
      <ns0:c r="AT153" s="87" t="n">
        <ns0:v>1.14</ns0:v>
      </ns0:c>
      <ns0:c r="AU153" s="87" t="n">
        <ns0:v>-19.37</ns0:v>
      </ns0:c>
      <ns0:c r="AV153" s="87" t="n">
        <ns0:v>-10.02</ns0:v>
      </ns0:c>
      <ns0:c r="AW153" s="87" t="n">
        <ns0:v>-11.5</ns0:v>
      </ns0:c>
      <ns0:c r="AX153" s="87" t="n">
        <ns0:v>-25.92</ns0:v>
      </ns0:c>
      <ns0:c r="AY153" s="87" t="n">
        <ns0:v>-10.42</ns0:v>
      </ns0:c>
      <ns0:c r="AZ153" s="87" t="n">
        <ns0:v>12.64</ns0:v>
      </ns0:c>
      <ns0:c r="BA153" s="87" t="n">
        <ns0:v>11.56</ns0:v>
      </ns0:c>
      <ns0:c r="BB153" s="74" t="inlineStr">
        <ns0:is>
          <ns0:t>Hang Seng Commerce &amp; Industry sub-index</ns0:t>
        </ns0:is>
      </ns0:c>
      <ns0:c r="BC153" s="87" t="n">
        <ns0:v>26.84</ns0:v>
      </ns0:c>
      <ns0:c r="BD153" s="75" t="n">
        <ns0:v>46297</ns0:v>
      </ns0:c>
      <ns0:c r="BE153" s="76" t="n">
        <ns0:v>13694.2</ns0:v>
      </ns0:c>
      <ns0:c r="BF153" s="79" t="n">
        <ns0:v>1386</ns0:v>
      </ns0:c>
      <ns0:c r="BG153" s="74" t="inlineStr">
        <ns0:is>
          <ns0:t>Y</ns0:t>
        </ns0:is>
      </ns0:c>
      <ns0:c r="BH153" s="89" t="n">
        <ns0:v>20</ns0:v>
      </ns0:c>
      <ns0:c r="BI153" s="89" t="n">
        <ns0:v>3.4</ns0:v>
      </ns0:c>
      <ns0:c r="BJ153" s="89" t="n">
        <ns0:v>7.2</ns0:v>
      </ns0:c>
      <ns0:c r="BK153" s="89" t="n">
        <ns0:v>2</ns0:v>
      </ns0:c>
      <ns0:c r="BL153" s="90">
        <ns0:f>IFERROR(IF('BBG Verify'!S153="","Awaiting Bloomberg",'BBG Verify'!S153),"Awaiting Bloomberg")</ns0:f>
        <ns0:v/>
      </ns0:c>
      <ns0:c r="BM153" s="91" t="inlineStr">
        <ns0:is>
          <ns0:t>N</ns0:t>
        </ns0:is>
      </ns0:c>
      <ns0:c r="BN153" s="92">
        <ns0:f>IFERROR(IF('BBG Verify'!K153="","Awaiting Bloomberg",'BBG Verify'!K153),"Awaiting Bloomberg")</ns0:f>
        <ns0:v/>
      </ns0:c>
      <ns0:c r="BO153" s="74" t="inlineStr">
        <ns0:is>
          <ns0:t>N/A</ns0:t>
        </ns0:is>
      </ns0:c>
      <ns0:c r="BP153" s="74" t="inlineStr">
        <ns0:is>
          <ns0:t>N/A</ns0:t>
        </ns0:is>
      </ns0:c>
      <ns0:c r="BQ153" s="74" t="inlineStr">
        <ns0:is>
          <ns0:t>N/A</ns0:t>
        </ns0:is>
      </ns0:c>
      <ns0:c r="BR153" s="74" t="inlineStr">
        <ns0:is>
          <ns0:t>N/A</ns0:t>
        </ns0:is>
      </ns0:c>
      <ns0:c r="BS153" s="74" t="inlineStr">
        <ns0:is>
          <ns0:t>N/A</ns0:t>
        </ns0:is>
      </ns0:c>
      <ns0:c r="BT153" s="74" t="inlineStr">
        <ns0:is>
          <ns0:t>N/A</ns0:t>
        </ns0:is>
      </ns0:c>
      <ns0:c r="BU153" s="91" t="inlineStr">
        <ns0:is>
          <ns0:t>China International Capital Corporation Hong Kong Securities Limited; CMB International Capital Limited</ns0:t>
        </ns0:is>
      </ns0:c>
      <ns0:c r="BV153" s="74" t="inlineStr">
        <ns0:is>
          <ns0:t>China International Capital Corporation Hong Kong Securities Limited; CMB International Capital Limited</ns0:t>
        </ns0:is>
      </ns0:c>
      <ns0:c r="BW153" s="74" t="inlineStr">
        <ns0:is>
          <ns0:t>China International Capital Corporation Hong Kong Securities Limited; CMB International Capital Limited; BOCI Asia Limited; DBS Asia Capital Limited; ABCI Capital Limited; BNP Paribas Securities (Asia) Limited</ns0:t>
        </ns0:is>
      </ns0:c>
      <ns0:c r="BX153" s="74" t="inlineStr">
        <ns0:is>
          <ns0:t>ABCI Securities Company Limited; BNP Paribas Securities (Asia) Limited; BOCI Asia Limited; China International Capital Corporation Hong Kong Securities Limited; CMB International Capital Limited; DBS Asia Capital Limited; Silverbricks Securities Company Limited</ns0:t>
        </ns0:is>
      </ns0:c>
      <ns0:c r="BY153" s="93">
        <ns0:f>HYPERLINK("https://www1.hkexnews.hk/listedco/listconews/sehk/2022/1121/2022112100023.htm","prospectus")</ns0:f>
        <ns0:v/>
      </ns0:c>
      <ns0:c r="BZ153" s="93">
        <ns0:f>HYPERLINK("https://www1.hkexnews.hk/listedco/listconews/sehk/2022/1130/2022113000304.htm","allotment")</ns0:f>
        <ns0:v/>
      </ns0:c>
      <ns0:c r="CA153" s="93">
        <ns0:f>HYPERLINK("https://www1.hkexnews.hk/listedco/listconews/sehk/2022/1228/2022122801241.pdf","stabilisation")</ns0:f>
        <ns0:v/>
      </ns0:c>
      <ns0:c r="CB153" s="94" t="n"/>
      <ns0:c r="CC153" s="74" t="inlineStr">
        <ns0:is>
          <ns0:t>price range: fixed-price offering (no indicative range); range low: maximum offer price only, no floor published; cornerstone %: upper bound: AAStocks institutional total / deal size; greenshoe size: no over-allotment option; allocation: allocation table not in this notice's format (older prose announcement); day-1 tape: volume on file; the retail multiple needs the final public split, which this notice does not state</ns0:t>
        </ns0:is>
      </ns0:c>
    </ns0:row>
    <ns0:row r="154" ht="22" customHeight="1">
      <ns0:c r="A154" s="73" t="inlineStr">
        <ns0:is>
          <ns0:t>6963</ns0:t>
        </ns0:is>
      </ns0:c>
      <ns0:c r="B154" s="74" t="inlineStr">
        <ns0:is>
          <ns0:t>SUNSHINE INS</ns0:t>
        </ns0:is>
      </ns0:c>
      <ns0:c r="C154" s="74" t="inlineStr">
        <ns0:is>
          <ns0:t>陽光保險</ns0:t>
        </ns0:is>
      </ns0:c>
      <ns0:c r="D154" s="74" t="inlineStr">
        <ns0:is>
          <ns0:t>Financials</ns0:t>
        </ns0:is>
      </ns0:c>
      <ns0:c r="E154" s="74" t="inlineStr">
        <ns0:is>
          <ns0:t>Insurance</ns0:t>
        </ns0:is>
      </ns0:c>
      <ns0:c r="F154" s="74" t="inlineStr">
        <ns0:is>
          <ns0:t>Life &amp; Health Insurance</ns0:t>
        </ns0:is>
      </ns0:c>
      <ns0:c r="G154" s="74" t="inlineStr">
        <ns0:is>
          <ns0:t>Standard</ns0:t>
        </ns0:is>
      </ns0:c>
      <ns0:c r="H154" s="75" t="n">
        <ns0:v>44904</ns0:v>
      </ns0:c>
      <ns0:c r="I154" s="76" t="n">
        <ns0:v>6705.4</ns0:v>
      </ns0:c>
      <ns0:c r="J154" s="74" t="inlineStr">
        <ns0:is>
          <ns0:t>gross (price x shares)</ns0:t>
        </ns0:is>
      </ns0:c>
      <ns0:c r="K154" s="95" t="n"/>
      <ns0:c r="L154" s="77" t="n">
        <ns0:v>6.45</ns0:v>
      </ns0:c>
      <ns0:c r="M154" s="77" t="n">
        <ns0:v>5.83</ns0:v>
      </ns0:c>
      <ns0:c r="N154" s="74" t="inlineStr">
        <ns0:is>
          <ns0:t>N</ns0:t>
        </ns0:is>
      </ns0:c>
      <ns0:c r="O154" s="78" t="n">
        <ns0:v>90.40000000000001</ns0:v>
      </ns0:c>
      <ns0:c r="P154" s="84" t="n"/>
      <ns0:c r="Q154" s="79" t="n">
        <ns0:v>59182.7</ns0:v>
      </ns0:c>
      <ns0:c r="R154" s="74" t="inlineStr">
        <ns0:is>
          <ns0:t>derived:deal size / offer % of enlarged capital</ns0:t>
        </ns0:is>
      </ns0:c>
      <ns0:c r="S154" s="80" t="n">
        <ns0:v>0.13</ns0:v>
      </ns0:c>
      <ns0:c r="T154" s="81" t="n">
        <ns0:v>1.34</ns0:v>
      </ns0:c>
      <ns0:c r="U154" s="82" t="n">
        <ns0:v>0</ns0:v>
      </ns0:c>
      <ns0:c r="V154" s="83" t="n">
        <ns0:v>53</ns0:v>
      </ns0:c>
      <ns0:c r="W154" s="78" t="n">
        <ns0:v>1.26</ns0:v>
      </ns0:c>
      <ns0:c r="X154" s="74" t="inlineStr">
        <ns0:is>
          <ns0:t>NO</ns0:t>
        </ns0:is>
      </ns0:c>
      <ns0:c r="Y154" s="79" t="n">
        <ns0:v>6705.4</ns0:v>
      </ns0:c>
      <ns0:c r="Z154" s="79" t="n">
        <ns0:v>1150152500</ns0:v>
      </ns0:c>
      <ns0:c r="AA154" s="78" t="n">
        <ns0:v>11.33</ns0:v>
      </ns0:c>
      <ns0:c r="AB154" s="74" t="inlineStr">
        <ns0:is>
          <ns0:t>none — no cornerstone tranche</ns0:t>
        </ns0:is>
      </ns0:c>
      <ns0:c r="AC154" s="74" t="inlineStr">
        <ns0:is>
          <ns0:t>none</ns0:t>
        </ns0:is>
      </ns0:c>
      <ns0:c r="AD154" s="78" t="n">
        <ns0:v>10</ns0:v>
      </ns0:c>
      <ns0:c r="AE154" s="74" t="inlineStr">
        <ns0:is>
          <ns0:t>lapsed</ns0:t>
        </ns0:is>
      </ns0:c>
      <ns0:c r="AF154" s="74" t="inlineStr">
        <ns0:is>
          <ns0:t>2023-01-04</ns0:t>
        </ns0:is>
      </ns0:c>
      <ns0:c r="AG154" s="74" t="inlineStr">
        <ns0:is>
          <ns0:t>Huatai Financial Holdings</ns0:t>
        </ns0:is>
      </ns0:c>
      <ns0:c r="AH154" s="74" t="inlineStr">
        <ns0:is>
          <ns0:t>Huatai</ns0:t>
        </ns0:is>
      </ns0:c>
      <ns0:c r="AI154" s="86" t="n">
        <ns0:v>-0.17</ns0:v>
      </ns0:c>
      <ns0:c r="AJ154" s="87" t="n">
        <ns0:v>0</ns0:v>
      </ns0:c>
      <ns0:c r="AK154" s="87" t="n">
        <ns0:v>1.56</ns0:v>
      </ns0:c>
      <ns0:c r="AL154" s="87" t="n">
        <ns0:v>0</ns0:v>
      </ns0:c>
      <ns0:c r="AM154" s="87" t="n">
        <ns0:v>0</ns0:v>
      </ns0:c>
      <ns0:c r="AN154" s="89" t="n">
        <ns0:v>4.09</ns0:v>
      </ns0:c>
      <ns0:c r="AO154" s="78" t="n">
        <ns0:v>5.49</ns0:v>
      </ns0:c>
      <ns0:c r="AP154" s="87" t="n">
        <ns0:v>-27.27</ns0:v>
      </ns0:c>
      <ns0:c r="AQ154" s="87" t="n">
        <ns0:v>-12.86</ns0:v>
      </ns0:c>
      <ns0:c r="AR154" s="87" t="n">
        <ns0:v>-30.02</ns0:v>
      </ns0:c>
      <ns0:c r="AS154" s="87" t="n">
        <ns0:v>-27.27</ns0:v>
      </ns0:c>
      <ns0:c r="AT154" s="87" t="n">
        <ns0:v>-12.86</ns0:v>
      </ns0:c>
      <ns0:c r="AU154" s="87" t="n">
        <ns0:v>-30.02</ns0:v>
      </ns0:c>
      <ns0:c r="AV154" s="87" t="n">
        <ns0:v>-27.83</ns0:v>
      </ns0:c>
      <ns0:c r="AW154" s="87" t="n">
        <ns0:v>-23.24</ns0:v>
      </ns0:c>
      <ns0:c r="AX154" s="87" t="n">
        <ns0:v>-33.01</ns0:v>
      </ns0:c>
      <ns0:c r="AY154" s="87" t="n">
        <ns0:v>-21.55</ns0:v>
      </ns0:c>
      <ns0:c r="AZ154" s="87" t="n">
        <ns0:v>10.38</ns0:v>
      </ns0:c>
      <ns0:c r="BA154" s="87" t="n">
        <ns0:v>8.69</ns0:v>
      </ns0:c>
      <ns0:c r="BB154" s="74" t="inlineStr">
        <ns0:is>
          <ns0:t>Hang Seng Finance sub-index</ns0:t>
        </ns0:is>
      </ns0:c>
      <ns0:c r="BC154" s="87" t="n">
        <ns0:v>-40.91</ns0:v>
      </ns0:c>
      <ns0:c r="BD154" s="75" t="n">
        <ns0:v>46297</ns0:v>
      </ns0:c>
      <ns0:c r="BE154" s="76" t="n">
        <ns0:v>108190.5</ns0:v>
      </ns0:c>
      <ns0:c r="BF154" s="79" t="n">
        <ns0:v>6471.3</ns0:v>
      </ns0:c>
      <ns0:c r="BG154" s="74" t="inlineStr">
        <ns0:is>
          <ns0:t>Y</ns0:t>
        </ns0:is>
      </ns0:c>
      <ns0:c r="BH154" s="89" t="n">
        <ns0:v>9.1</ns0:v>
      </ns0:c>
      <ns0:c r="BI154" s="89" t="n">
        <ns0:v>7.9</ns0:v>
      </ns0:c>
      <ns0:c r="BJ154" s="89" t="n">
        <ns0:v>5.4</ns0:v>
      </ns0:c>
      <ns0:c r="BK154" s="89" t="n">
        <ns0:v>0.5</ns0:v>
      </ns0:c>
      <ns0:c r="BL154" s="90">
        <ns0:f>IFERROR(IF('BBG Verify'!S154="","Awaiting Bloomberg",'BBG Verify'!S154),"Awaiting Bloomberg")</ns0:f>
        <ns0:v/>
      </ns0:c>
      <ns0:c r="BM154" s="91" t="inlineStr">
        <ns0:is>
          <ns0:t>N</ns0:t>
        </ns0:is>
      </ns0:c>
      <ns0:c r="BN154" s="92">
        <ns0:f>IFERROR(IF('BBG Verify'!K154="","Awaiting Bloomberg",'BBG Verify'!K154),"Awaiting Bloomberg")</ns0:f>
        <ns0:v/>
      </ns0:c>
      <ns0:c r="BO154" s="74" t="inlineStr">
        <ns0:is>
          <ns0:t>N/A</ns0:t>
        </ns0:is>
      </ns0:c>
      <ns0:c r="BP154" s="74" t="inlineStr">
        <ns0:is>
          <ns0:t>N/A</ns0:t>
        </ns0:is>
      </ns0:c>
      <ns0:c r="BQ154" s="74" t="inlineStr">
        <ns0:is>
          <ns0:t>N/A</ns0:t>
        </ns0:is>
      </ns0:c>
      <ns0:c r="BR154" s="74" t="inlineStr">
        <ns0:is>
          <ns0:t>N/A</ns0:t>
        </ns0:is>
      </ns0:c>
      <ns0:c r="BS154" s="74" t="inlineStr">
        <ns0:is>
          <ns0:t>N/A</ns0:t>
        </ns0:is>
      </ns0:c>
      <ns0:c r="BT154" s="74" t="inlineStr">
        <ns0:is>
          <ns0:t>N/A</ns0:t>
        </ns0:is>
      </ns0:c>
      <ns0:c r="BU154" s="91" t="inlineStr">
        <ns0:is>
          <ns0:t>Huatai Financial Holdings (Hong Kong) Limited; China International Capital Corporation Hong Kong Securities Limited; UBS Securities Hong Kong Limited; CCB International Capital Limited</ns0:t>
        </ns0:is>
      </ns0:c>
      <ns0:c r="BV154" s="74" t="inlineStr">
        <ns0:is>
          <ns0:t>China International Capital Corporation Hong Kong Securities Limited; CCB International Capital Limited; UBS Securities Hong Kong Limited; Huatai Financial Holdings (Hong Kong) Limited</ns0:t>
        </ns0:is>
      </ns0:c>
      <ns0:c r="BW154" s="74" t="inlineStr">
        <ns0:is>
          <ns0: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ns0:t>
        </ns0:is>
      </ns0:c>
      <ns0:c r="BX154" s="74" t="inlineStr">
        <ns0:is>
          <ns0: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ns0:t>
        </ns0:is>
      </ns0:c>
      <ns0:c r="BY154" s="93">
        <ns0:f>HYPERLINK("https://www1.hkexnews.hk/listedco/listconews/sehk/2022/1130/2022113000027.pdf","prospectus")</ns0:f>
        <ns0:v/>
      </ns0:c>
      <ns0:c r="BZ154" s="93">
        <ns0:f>HYPERLINK("https://www1.hkexnews.hk/listedco/listconews/sehk/2022/1208/2022120800048.htm","allotment")</ns0:f>
        <ns0:v/>
      </ns0:c>
      <ns0:c r="CA154" s="93">
        <ns0:f>HYPERLINK("https://www1.hkexnews.hk/listedco/listconews/sehk/2023/0105/2023010500005.pdf","stabilisation")</ns0:f>
        <ns0:v/>
      </ns0:c>
      <ns0:c r="CB154" s="94" t="n"/>
      <ns0:c r="CC154" s="74" t="inlineStr">
        <ns0:is>
          <ns0:t>range low: maximum offer price only, no floor published; cornerstone list: no cornerstone tranche</ns0:t>
        </ns0:is>
      </ns0:c>
    </ns0:row>
    <ns0:row r="155" ht="22" customHeight="1">
      <ns0:c r="A155" s="73" t="inlineStr">
        <ns0:is>
          <ns0:t>2407</ns0:t>
        </ns0:is>
      </ns0:c>
      <ns0:c r="B155" s="74" t="inlineStr">
        <ns0:is>
          <ns0:t>GAUSH MEDITECH</ns0:t>
        </ns0:is>
      </ns0:c>
      <ns0:c r="C155" s="74" t="inlineStr">
        <ns0:is>
          <ns0:t>高視醫療</ns0:t>
        </ns0:is>
      </ns0:c>
      <ns0:c r="D155" s="74" t="inlineStr">
        <ns0:is>
          <ns0:t>Healthcare</ns0:t>
        </ns0:is>
      </ns0:c>
      <ns0:c r="E155" s="74" t="inlineStr">
        <ns0:is>
          <ns0:t>Medical devices</ns0:t>
        </ns0:is>
      </ns0:c>
      <ns0:c r="F155" s="74" t="inlineStr">
        <ns0:is>
          <ns0:t>Health Care Equipment</ns0:t>
        </ns0:is>
      </ns0:c>
      <ns0:c r="G155" s="74" t="inlineStr">
        <ns0:is>
          <ns0:t>Standard</ns0:t>
        </ns0:is>
      </ns0:c>
      <ns0:c r="H155" s="75" t="n">
        <ns0:v>44907</ns0:v>
      </ns0:c>
      <ns0:c r="I155" s="76" t="n">
        <ns0:v>283.1</ns0:v>
      </ns0:c>
      <ns0:c r="J155" s="74" t="inlineStr">
        <ns0:is>
          <ns0:t>net proceeds</ns0:t>
        </ns0:is>
      </ns0:c>
      <ns0:c r="K155" s="95" t="n"/>
      <ns0:c r="L155" s="77" t="n">
        <ns0:v>51.4</ns0:v>
      </ns0:c>
      <ns0:c r="M155" s="77" t="n">
        <ns0:v>51.4</ns0:v>
      </ns0:c>
      <ns0:c r="N155" s="74" t="inlineStr">
        <ns0:is>
          <ns0:t>Y</ns0:t>
        </ns0:is>
      </ns0:c>
      <ns0:c r="O155" s="78" t="n">
        <ns0:v>100</ns0:v>
      </ns0:c>
      <ns0:c r="P155" s="84" t="n"/>
      <ns0:c r="Q155" s="79" t="n">
        <ns0:v>2822.5</ns0:v>
      </ns0:c>
      <ns0:c r="R155" s="74" t="inlineStr">
        <ns0:is>
          <ns0:t>derived:deal size / offer % of enlarged capital</ns0:t>
        </ns0:is>
      </ns0:c>
      <ns0:c r="S155" s="80" t="n">
        <ns0:v>1.52</ns0:v>
      </ns0:c>
      <ns0:c r="T155" s="81" t="n">
        <ns0:v>1.04</ns0:v>
      </ns0:c>
      <ns0:c r="U155" s="82" t="n">
        <ns0:v>94.52</ns0:v>
      </ns0:c>
      <ns0:c r="V155" s="83" t="n">
        <ns0:v>102</ns0:v>
      </ns0:c>
      <ns0:c r="W155" s="84" t="n"/>
      <ns0:c r="X155" s="85" t="n"/>
      <ns0:c r="Y155" s="79" t="n">
        <ns0:v>15.51</ns0:v>
      </ns0:c>
      <ns0:c r="Z155" s="97" t="n"/>
      <ns0:c r="AA155" s="78" t="n">
        <ns0:v>0.55</ns0:v>
      </ns0:c>
      <ns0:c r="AB155" s="74" t="inlineStr">
        <ns0:is>
          <ns0:t>CL Kiwi Holding Ltd; Jiangsu Sino-German Services Trade Industry Investment Fund L.P; Wuxi Gaoshi Venture Capital L.P; Wuxi Shigao Equity Investment L.P</ns0:t>
        </ns0:is>
      </ns0:c>
      <ns0:c r="AC155" s="74" t="inlineStr">
        <ns0:is>
          <ns0:t>cl;jiangsu;wuxi</ns0:t>
        </ns0:is>
      </ns0:c>
      <ns0:c r="AD155" s="78" t="n">
        <ns0:v>8.83</ns0:v>
      </ns0:c>
      <ns0:c r="AE155" s="74" t="inlineStr">
        <ns0:is>
          <ns0:t>partial</ns0:t>
        </ns0:is>
      </ns0:c>
      <ns0:c r="AF155" s="74" t="inlineStr">
        <ns0:is>
          <ns0:t>2023-01-04</ns0:t>
        </ns0:is>
      </ns0:c>
      <ns0:c r="AG155" s="85" t="n"/>
      <ns0:c r="AH155" s="85" t="n"/>
      <ns0:c r="AI155" s="86" t="n">
        <ns0:v>-3.5</ns0:v>
      </ns0:c>
      <ns0:c r="AJ155" s="87" t="n">
        <ns0:v>0</ns0:v>
      </ns0:c>
      <ns0:c r="AK155" s="87" t="n">
        <ns0:v>0.18</ns0:v>
      </ns0:c>
      <ns0:c r="AL155" s="87" t="n">
        <ns0:v>-0.39</ns0:v>
      </ns0:c>
      <ns0:c r="AM155" s="87" t="n">
        <ns0:v>0.39</ns0:v>
      </ns0:c>
      <ns0:c r="AN155" s="88" t="n"/>
      <ns0:c r="AO155" s="78" t="n">
        <ns0:v>6.84</ns0:v>
      </ns0:c>
      <ns0:c r="AP155" s="87" t="n">
        <ns0:v>0</ns0:v>
      </ns0:c>
      <ns0:c r="AQ155" s="87" t="n">
        <ns0:v>-2.72</ns0:v>
      </ns0:c>
      <ns0:c r="AR155" s="87" t="n">
        <ns0:v>-4.28</ns0:v>
      </ns0:c>
      <ns0:c r="AS155" s="87" t="n">
        <ns0:v>0</ns0:v>
      </ns0:c>
      <ns0:c r="AT155" s="87" t="n">
        <ns0:v>-2.72</ns0:v>
      </ns0:c>
      <ns0:c r="AU155" s="87" t="n">
        <ns0:v>-4.28</ns0:v>
      </ns0:c>
      <ns0:c r="AV155" s="87" t="n">
        <ns0:v>5.08</ns0:v>
      </ns0:c>
      <ns0:c r="AW155" s="87" t="n">
        <ns0:v>-13.03</ns0:v>
      </ns0:c>
      <ns0:c r="AX155" s="87" t="n">
        <ns0:v>-1.41</ns0:v>
      </ns0:c>
      <ns0:c r="AY155" s="87" t="n">
        <ns0:v>-12.83</ns0:v>
      </ns0:c>
      <ns0:c r="AZ155" s="87" t="n">
        <ns0:v>10.31</ns0:v>
      </ns0:c>
      <ns0:c r="BA155" s="87" t="n">
        <ns0:v>10.11</ns0:v>
      </ns0:c>
      <ns0:c r="BB155" s="74" t="inlineStr">
        <ns0:is>
          <ns0:t>China Biotech ETF (HS biotech proxy)</ns0:t>
        </ns0:is>
      </ns0:c>
      <ns0:c r="BC155" s="87" t="n">
        <ns0:v>-91.25</ns0:v>
      </ns0:c>
      <ns0:c r="BD155" s="75" t="n">
        <ns0:v>46297</ns0:v>
      </ns0:c>
      <ns0:c r="BE155" s="76" t="n">
        <ns0:v>1428</ns0:v>
      </ns0:c>
      <ns0:c r="BF155" s="79" t="n">
        <ns0:v>-151.8</ns0:v>
      </ns0:c>
      <ns0:c r="BG155" s="74" t="inlineStr">
        <ns0:is>
          <ns0:t>N</ns0:t>
        </ns0:is>
      </ns0:c>
      <ns0:c r="BH155" s="74" t="inlineStr">
        <ns0:is>
          <ns0:t>n/m</ns0:t>
        </ns0:is>
      </ns0:c>
      <ns0:c r="BI155" s="88" t="n"/>
      <ns0:c r="BJ155" s="89" t="n">
        <ns0:v>6</ns0:v>
      </ns0:c>
      <ns0:c r="BK155" s="89" t="n">
        <ns0:v>2</ns0:v>
      </ns0:c>
      <ns0:c r="BL155" s="90">
        <ns0:f>IFERROR(IF('BBG Verify'!S155="","Awaiting Bloomberg",'BBG Verify'!S155),"Awaiting Bloomberg")</ns0:f>
        <ns0:v/>
      </ns0:c>
      <ns0:c r="BM155" s="91" t="inlineStr">
        <ns0:is>
          <ns0:t>N</ns0:t>
        </ns0:is>
      </ns0:c>
      <ns0:c r="BN155" s="92">
        <ns0:f>IFERROR(IF('BBG Verify'!K155="","Awaiting Bloomberg",'BBG Verify'!K155),"Awaiting Bloomberg")</ns0:f>
        <ns0:v/>
      </ns0:c>
      <ns0:c r="BO155" s="74" t="inlineStr">
        <ns0:is>
          <ns0:t>N/A</ns0:t>
        </ns0:is>
      </ns0:c>
      <ns0:c r="BP155" s="74" t="inlineStr">
        <ns0:is>
          <ns0:t>N/A</ns0:t>
        </ns0:is>
      </ns0:c>
      <ns0:c r="BQ155" s="74" t="inlineStr">
        <ns0:is>
          <ns0:t>N/A</ns0:t>
        </ns0:is>
      </ns0:c>
      <ns0:c r="BR155" s="74" t="inlineStr">
        <ns0:is>
          <ns0:t>N/A</ns0:t>
        </ns0:is>
      </ns0:c>
      <ns0:c r="BS155" s="74" t="inlineStr">
        <ns0:is>
          <ns0:t>N/A</ns0:t>
        </ns0:is>
      </ns0:c>
      <ns0:c r="BT155" s="74" t="inlineStr">
        <ns0:is>
          <ns0:t>N/A</ns0:t>
        </ns0:is>
      </ns0:c>
      <ns0:c r="BU155" s="91" t="inlineStr">
        <ns0:is>
          <ns0:t>Morgan Stanley Asia Limited; Haitong International Capital Limited</ns0:t>
        </ns0:is>
      </ns0:c>
      <ns0:c r="BV155" s="74" t="inlineStr">
        <ns0:is>
          <ns0:t>Morgan Stanley Asia Limited; Haitong International Capital Limited</ns0:t>
        </ns0:is>
      </ns0:c>
      <ns0:c r="BW155" s="74" t="inlineStr">
        <ns0:is>
          <ns0:t>Morgan Stanley Asia Limited; Haitong International Securities Company Limited</ns0:t>
        </ns0:is>
      </ns0:c>
      <ns0:c r="BX155" s="74" t="inlineStr">
        <ns0:is>
          <ns0:t>Daiwa Capital Markets Hong Kong Limited; Futu Securities International (Hong Kong) Limited; Haitong International Securities Company Limited; Maxa Capital Limited; Morgan Stanley Asia Limited; Sinomax Securities Limited; Tiger Brokers (HK) Global Limited</ns0:t>
        </ns0:is>
      </ns0:c>
      <ns0:c r="BY155" s="93">
        <ns0:f>HYPERLINK("https://www1.hkexnews.hk/listedco/listconews/sehk/2022/1130/2022113000167.pdf","prospectus")</ns0:f>
        <ns0:v/>
      </ns0:c>
      <ns0:c r="BZ155" s="93">
        <ns0:f>HYPERLINK("https://www1.hkexnews.hk/listedco/listconews/sehk/2022/1209/2022120900012.htm","allotment")</ns0:f>
        <ns0:v/>
      </ns0:c>
      <ns0:c r="CA155" s="93">
        <ns0:f>HYPERLINK("https://www1.hkexnews.hk/listedco/listconews/sehk/2023/0104/2023010402177.pdf","stabilisation")</ns0:f>
        <ns0:v/>
      </ns0:c>
      <ns0:c r="CB155" s="94" t="n"/>
      <ns0:c r="CC155" s="74" t="inlineStr">
        <ns0:is>
          <ns0:t>P/E: loss-making at IPO, use P/S; range low: maximum offer price only, no floor published; stabilising manager: not named in the allotment notice or prospectus glossary;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156" ht="22" customHeight="1">
      <ns0:c r="A156" s="73" t="inlineStr">
        <ns0:is>
          <ns0:t>2440</ns0:t>
        </ns0:is>
      </ns0:c>
      <ns0:c r="B156" s="74" t="inlineStr">
        <ns0:is>
          <ns0:t>HOWKINGTECH</ns0:t>
        </ns0:is>
      </ns0:c>
      <ns0:c r="C156" s="74" t="inlineStr">
        <ns0:is>
          <ns0:t>迷策略</ns0:t>
        </ns0:is>
      </ns0:c>
      <ns0:c r="D156" s="74" t="inlineStr">
        <ns0:is>
          <ns0:t>Technology</ns0:t>
        </ns0:is>
      </ns0:c>
      <ns0:c r="E156" s="74" t="inlineStr">
        <ns0:is>
          <ns0:t>Software &amp; AI</ns0:t>
        </ns0:is>
      </ns0:c>
      <ns0:c r="F156" s="74" t="inlineStr">
        <ns0:is>
          <ns0:t>Telecommunications &amp; Networking Equipment</ns0:t>
        </ns0:is>
      </ns0:c>
      <ns0:c r="G156" s="74" t="inlineStr">
        <ns0:is>
          <ns0:t>Standard</ns0:t>
        </ns0:is>
      </ns0:c>
      <ns0:c r="H156" s="75" t="n">
        <ns0:v>44907</ns0:v>
      </ns0:c>
      <ns0:c r="I156" s="76" t="n">
        <ns0:v>98.3</ns0:v>
      </ns0:c>
      <ns0:c r="J156" s="74" t="inlineStr">
        <ns0:is>
          <ns0:t>gross (price x shares)</ns0:t>
        </ns0:is>
      </ns0:c>
      <ns0:c r="K156" s="77" t="n">
        <ns0:v>2.73</ns0:v>
      </ns0:c>
      <ns0:c r="L156" s="77" t="n">
        <ns0:v>3.28</ns0:v>
      </ns0:c>
      <ns0:c r="M156" s="77" t="n">
        <ns0:v>2.73</ns0:v>
      </ns0:c>
      <ns0:c r="N156" s="74" t="inlineStr">
        <ns0:is>
          <ns0:t>N</ns0:t>
        </ns0:is>
      </ns0:c>
      <ns0:c r="O156" s="78" t="n">
        <ns0:v>83.2</ns0:v>
      </ns0:c>
      <ns0:c r="P156" s="78" t="n">
        <ns0:v>0</ns0:v>
      </ns0:c>
      <ns0:c r="Q156" s="79" t="n">
        <ns0:v>614.4</ns0:v>
      </ns0:c>
      <ns0:c r="R156" s="74" t="inlineStr">
        <ns0:is>
          <ns0:t>derived:deal size / offer % of enlarged capital</ns0:t>
        </ns0:is>
      </ns0:c>
      <ns0:c r="S156" s="80" t="n">
        <ns0:v>96.73</ns0:v>
      </ns0:c>
      <ns0:c r="T156" s="81" t="n">
        <ns0:v>1.1</ns0:v>
      </ns0:c>
      <ns0:c r="U156" s="82" t="n">
        <ns0:v>58.333</ns0:v>
      </ns0:c>
      <ns0:c r="V156" s="83" t="n">
        <ns0:v>157</ns0:v>
      </ns0:c>
      <ns0:c r="W156" s="78" t="n">
        <ns0:v>40</ns0:v>
      </ns0:c>
      <ns0:c r="X156" s="74" t="inlineStr">
        <ns0:is>
          <ns0:t>YES</ns0:t>
        </ns0:is>
      </ns0:c>
      <ns0:c r="Y156" s="79" t="n">
        <ns0:v>40.96</ns0:v>
      </ns0:c>
      <ns0:c r="Z156" s="79" t="n">
        <ns0:v>15000120</ns0:v>
      </ns0:c>
      <ns0:c r="AA156" s="78" t="n">
        <ns0:v>6.67</ns0:v>
      </ns0:c>
      <ns0:c r="AB156" s="74" t="inlineStr">
        <ns0:is>
          <ns0:t>Anji Jize LLP; Anji Kaize LLP</ns0:t>
        </ns0:is>
      </ns0:c>
      <ns0:c r="AC156" s="74" t="inlineStr">
        <ns0:is>
          <ns0:t>anji</ns0:t>
        </ns0:is>
      </ns0:c>
      <ns0:c r="AD156" s="78" t="n">
        <ns0:v>9.333</ns0:v>
      </ns0:c>
      <ns0:c r="AE156" s="85" t="n"/>
      <ns0:c r="AF156" s="85" t="n"/>
      <ns0:c r="AG156" s="74" t="inlineStr">
        <ns0:is>
          <ns0:t>China PA Securities</ns0:t>
        </ns0:is>
      </ns0:c>
      <ns0:c r="AH156" s="74" t="inlineStr">
        <ns0:is>
          <ns0:t>China PA</ns0:t>
        </ns0:is>
      </ns0:c>
      <ns0:c r="AI156" s="86" t="n">
        <ns0:v>-16.12</ns0:v>
      </ns0:c>
      <ns0:c r="AJ156" s="87" t="n">
        <ns0:v>-26.74</ns0:v>
      </ns0:c>
      <ns0:c r="AK156" s="87" t="n">
        <ns0:v>-4.45</ns0:v>
      </ns0:c>
      <ns0:c r="AL156" s="87" t="n">
        <ns0:v>-18.68</ns0:v>
      </ns0:c>
      <ns0:c r="AM156" s="87" t="n">
        <ns0:v>-9.91</ns0:v>
      </ns0:c>
      <ns0:c r="AN156" s="89" t="n">
        <ns0:v>1.09</ns0:v>
      </ns0:c>
      <ns0:c r="AO156" s="78" t="n">
        <ns0:v>17.12</ns0:v>
      </ns0:c>
      <ns0:c r="AP156" s="87" t="n">
        <ns0:v>-41.76</ns0:v>
      </ns0:c>
      <ns0:c r="AQ156" s="87" t="n">
        <ns0:v>-47.25</ns0:v>
      </ns0:c>
      <ns0:c r="AR156" s="87" t="n">
        <ns0:v>-44.69</ns0:v>
      </ns0:c>
      <ns0:c r="AS156" s="87" t="n">
        <ns0:v>-20.5</ns0:v>
      </ns0:c>
      <ns0:c r="AT156" s="87" t="n">
        <ns0:v>-28</ns0:v>
      </ns0:c>
      <ns0:c r="AU156" s="87" t="n">
        <ns0:v>-24.5</ns0:v>
      </ns0:c>
      <ns0:c r="AV156" s="87" t="n">
        <ns0:v>-35.87</ns0:v>
      </ns0:c>
      <ns0:c r="AW156" s="87" t="n">
        <ns0:v>-51.43</ns0:v>
      </ns0:c>
      <ns0:c r="AX156" s="87" t="n">
        <ns0:v>-35.55</ns0:v>
      </ns0:c>
      <ns0:c r="AY156" s="87" t="n">
        <ns0:v>-37.03</ns0:v>
      </ns0:c>
      <ns0:c r="AZ156" s="87" t="n">
        <ns0:v>4.18</ns0:v>
      </ns0:c>
      <ns0:c r="BA156" s="87" t="n">
        <ns0:v>9.029999999999999</ns0:v>
      </ns0:c>
      <ns0:c r="BB156" s="74" t="inlineStr">
        <ns0:is>
          <ns0:t>HSTECH (Hang Seng TECH ETF)</ns0:t>
        </ns0:is>
      </ns0:c>
      <ns0:c r="BC156" s="87" t="n">
        <ns0:v>-69.95999999999999</ns0:v>
      </ns0:c>
      <ns0:c r="BD156" s="75" t="n">
        <ns0:v>46297</ns0:v>
      </ns0:c>
      <ns0:c r="BE156" s="76" t="n">
        <ns0:v>208.5</ns0:v>
      </ns0:c>
      <ns0:c r="BF156" s="79" t="n">
        <ns0:v>37.8</ns0:v>
      </ns0:c>
      <ns0:c r="BG156" s="74" t="inlineStr">
        <ns0:is>
          <ns0:t>Y</ns0:t>
        </ns0:is>
      </ns0:c>
      <ns0:c r="BH156" s="89" t="n">
        <ns0:v>16.3</ns0:v>
      </ns0:c>
      <ns0:c r="BI156" s="88" t="n"/>
      <ns0:c r="BJ156" s="88" t="n"/>
      <ns0:c r="BK156" s="89" t="n">
        <ns0:v>2.9</ns0:v>
      </ns0:c>
      <ns0:c r="BL156" s="90">
        <ns0:f>IFERROR(IF('BBG Verify'!S156="","Awaiting Bloomberg",'BBG Verify'!S156),"Awaiting Bloomberg")</ns0:f>
        <ns0:v/>
      </ns0:c>
      <ns0:c r="BM156" s="91" t="inlineStr">
        <ns0:is>
          <ns0:t>N</ns0:t>
        </ns0:is>
      </ns0:c>
      <ns0:c r="BN156" s="92">
        <ns0:f>IFERROR(IF('BBG Verify'!K156="","Awaiting Bloomberg",'BBG Verify'!K156),"Awaiting Bloomberg")</ns0:f>
        <ns0:v/>
      </ns0:c>
      <ns0:c r="BO156" s="74" t="inlineStr">
        <ns0:is>
          <ns0:t>N/A</ns0:t>
        </ns0:is>
      </ns0:c>
      <ns0:c r="BP156" s="74" t="inlineStr">
        <ns0:is>
          <ns0:t>N/A</ns0:t>
        </ns0:is>
      </ns0:c>
      <ns0:c r="BQ156" s="74" t="inlineStr">
        <ns0:is>
          <ns0:t>N/A</ns0:t>
        </ns0:is>
      </ns0:c>
      <ns0:c r="BR156" s="74" t="inlineStr">
        <ns0:is>
          <ns0:t>N/A</ns0:t>
        </ns0:is>
      </ns0:c>
      <ns0:c r="BS156" s="74" t="inlineStr">
        <ns0:is>
          <ns0:t>N/A</ns0:t>
        </ns0:is>
      </ns0:c>
      <ns0:c r="BT156" s="74" t="inlineStr">
        <ns0:is>
          <ns0:t>N/A</ns0:t>
        </ns0:is>
      </ns0:c>
      <ns0:c r="BU156" s="91" t="inlineStr">
        <ns0:is>
          <ns0:t>Ping An of China Capital (Hong Kong) Company Limited</ns0:t>
        </ns0:is>
      </ns0:c>
      <ns0:c r="BV156" s="74" t="inlineStr">
        <ns0:is>
          <ns0:t>Ping An of China Capital (Hong Kong) Company Limited</ns0:t>
        </ns0:is>
      </ns0:c>
      <ns0:c r="BW156" s="74" t="inlineStr">
        <ns0:is>
          <ns0:t>China PA Securities (Hong Kong) Company Limited; Innovax Securities Limited; CMBC Securities Company Limited; Valuable Capital Limited</ns0:t>
        </ns0:is>
      </ns0:c>
      <ns0:c r="BX156" s="74" t="inlineStr">
        <ns0:is>
          <ns0:t>Central China International Capital Limited; CMBC Securities Company Limited; China PA Securities (Hong Kong) Company Limited; Innovax Securities Limited; Lego Securities Limited; Tiger Brokers (HK) Global Limited; Valuable Capital Limited</ns0:t>
        </ns0:is>
      </ns0:c>
      <ns0:c r="BY156" s="93">
        <ns0:f>HYPERLINK("https://www1.hkexnews.hk/listedco/listconews/sehk/2022/1130/2022113000131.pdf","prospectus")</ns0:f>
        <ns0:v/>
      </ns0:c>
      <ns0:c r="BZ156" s="93">
        <ns0:f>HYPERLINK("https://www1.hkexnews.hk/listedco/listconews/sehk/2022/1209/2022120900148.htm","allotment")</ns0:f>
        <ns0:v/>
      </ns0:c>
      <ns0:c r="CA156" s="85" t="n"/>
      <ns0:c r="CB156" s="94" t="n"/>
      <ns0:c r="CC156" s="74" t="inlineStr">
        <ns0:is>
          <ns0:t>greenshoe: end-of-stabilisation notice not found; returns: returns exclude the entitlement value of 2025-06-24 rights 1-for-2 @ HK$1.262 (now MemeStrategy); Bloomberg back-adjusts by x1.224</ns0:t>
        </ns0:is>
      </ns0:c>
    </ns0:row>
    <ns0:row r="157" ht="22" customHeight="1">
      <ns0:c r="A157" s="73" t="inlineStr">
        <ns0:is>
          <ns0:t>1947</ns0:t>
        </ns0:is>
      </ns0:c>
      <ns0:c r="B157" s="74" t="inlineStr">
        <ns0:is>
          <ns0:t>MEIHAO GROUP</ns0:t>
        </ns0:is>
      </ns0:c>
      <ns0:c r="C157" s="74" t="inlineStr">
        <ns0:is>
          <ns0:t>美皓集團</ns0:t>
        </ns0:is>
      </ns0:c>
      <ns0:c r="D157" s="74" t="inlineStr">
        <ns0:is>
          <ns0:t>Healthcare</ns0:t>
        </ns0:is>
      </ns0:c>
      <ns0:c r="E157" s="74" t="inlineStr">
        <ns0:is>
          <ns0:t>Hospitals / clinics</ns0:t>
        </ns0:is>
      </ns0:c>
      <ns0:c r="F157" s="74" t="inlineStr">
        <ns0:is>
          <ns0:t>Health Care Services</ns0:t>
        </ns0:is>
      </ns0:c>
      <ns0:c r="G157" s="74" t="inlineStr">
        <ns0:is>
          <ns0:t>Standard</ns0:t>
        </ns0:is>
      </ns0:c>
      <ns0:c r="H157" s="75" t="n">
        <ns0:v>44909</ns0:v>
      </ns0:c>
      <ns0:c r="I157" s="76" t="n">
        <ns0:v>126</ns0:v>
      </ns0:c>
      <ns0:c r="J157" s="74" t="inlineStr">
        <ns0:is>
          <ns0:t>gross (price x shares)</ns0:t>
        </ns0:is>
      </ns0:c>
      <ns0:c r="K157" s="77" t="n">
        <ns0:v>0.84</ns0:v>
      </ns0:c>
      <ns0:c r="L157" s="77" t="n">
        <ns0:v>1</ns0:v>
      </ns0:c>
      <ns0:c r="M157" s="77" t="n">
        <ns0:v>0.84</ns0:v>
      </ns0:c>
      <ns0:c r="N157" s="74" t="inlineStr">
        <ns0:is>
          <ns0:t>N</ns0:t>
        </ns0:is>
      </ns0:c>
      <ns0:c r="O157" s="78" t="n">
        <ns0:v>84</ns0:v>
      </ns0:c>
      <ns0:c r="P157" s="78" t="n">
        <ns0:v>0</ns0:v>
      </ns0:c>
      <ns0:c r="Q157" s="79" t="n">
        <ns0:v>560</ns0:v>
      </ns0:c>
      <ns0:c r="R157" s="74" t="inlineStr">
        <ns0:is>
          <ns0:t>derived:deal size / offer % of enlarged capital</ns0:t>
        </ns0:is>
      </ns0:c>
      <ns0:c r="S157" s="80" t="n">
        <ns0:v>41.31</ns0:v>
      </ns0:c>
      <ns0:c r="T157" s="81" t="n">
        <ns0:v>1.37</ns0:v>
      </ns0:c>
      <ns0:c r="U157" s="82" t="n">
        <ns0:v>0</ns0:v>
      </ns0:c>
      <ns0:c r="V157" s="83" t="n">
        <ns0:v>136</ns0:v>
      </ns0:c>
      <ns0:c r="W157" s="78" t="n">
        <ns0:v>30</ns0:v>
      </ns0:c>
      <ns0:c r="X157" s="74" t="inlineStr">
        <ns0:is>
          <ns0:t>YES</ns0:t>
        </ns0:is>
      </ns0:c>
      <ns0:c r="Y157" s="79" t="n">
        <ns0:v>126</ns0:v>
      </ns0:c>
      <ns0:c r="Z157" s="79" t="n">
        <ns0:v>150000000</ns0:v>
      </ns0:c>
      <ns0:c r="AA157" s="78" t="n">
        <ns0:v>22.5</ns0:v>
      </ns0:c>
      <ns0:c r="AB157" s="74" t="inlineStr">
        <ns0:is>
          <ns0:t>none — no cornerstone tranche</ns0:t>
        </ns0:is>
      </ns0:c>
      <ns0:c r="AC157" s="74" t="inlineStr">
        <ns0:is>
          <ns0:t>none</ns0:t>
        </ns0:is>
      </ns0:c>
      <ns0:c r="AD157" s="78" t="n">
        <ns0:v>10</ns0:v>
      </ns0:c>
      <ns0:c r="AE157" s="74" t="inlineStr">
        <ns0:is>
          <ns0:t>lapsed (no over-allocation)</ns0:t>
        </ns0:is>
      </ns0:c>
      <ns0:c r="AF157" s="74" t="inlineStr">
        <ns0:is>
          <ns0:t>2023-01-05</ns0:t>
        </ns0:is>
      </ns0:c>
      <ns0:c r="AG157" s="74" t="inlineStr">
        <ns0:is>
          <ns0:t>Innovax Securities Limited</ns0:t>
        </ns0:is>
      </ns0:c>
      <ns0:c r="AH157" s="74" t="inlineStr">
        <ns0:is>
          <ns0:t>Innovax</ns0:t>
        </ns0:is>
      </ns0:c>
      <ns0:c r="AI157" s="86" t="n">
        <ns0:v>-3.57</ns0:v>
      </ns0:c>
      <ns0:c r="AJ157" s="87" t="n">
        <ns0:v>-14.29</ns0:v>
      </ns0:c>
      <ns0:c r="AK157" s="87" t="n">
        <ns0:v>-0.29</ns0:v>
      </ns0:c>
      <ns0:c r="AL157" s="87" t="n">
        <ns0:v>-9.52</ns0:v>
      </ns0:c>
      <ns0:c r="AM157" s="87" t="n">
        <ns0:v>-5.27</ns0:v>
      </ns0:c>
      <ns0:c r="AN157" s="89" t="n">
        <ns0:v>1.5</ns0:v>
      </ns0:c>
      <ns0:c r="AO157" s="78" t="n">
        <ns0:v>17.11</ns0:v>
      </ns0:c>
      <ns0:c r="AP157" s="87" t="n">
        <ns0:v>-39.29</ns0:v>
      </ns0:c>
      <ns0:c r="AQ157" s="87" t="n">
        <ns0:v>-36.9</ns0:v>
      </ns0:c>
      <ns0:c r="AR157" s="87" t="n">
        <ns0:v>-40.48</ns0:v>
      </ns0:c>
      <ns0:c r="AS157" s="87" t="n">
        <ns0:v>-29.17</ns0:v>
      </ns0:c>
      <ns0:c r="AT157" s="87" t="n">
        <ns0:v>-26.38</ns0:v>
      </ns0:c>
      <ns0:c r="AU157" s="87" t="n">
        <ns0:v>-30.56</ns0:v>
      </ns0:c>
      <ns0:c r="AV157" s="87" t="n">
        <ns0:v>-33.66</ns0:v>
      </ns0:c>
      <ns0:c r="AW157" s="87" t="n">
        <ns0:v>-46.59</ns0:v>
      </ns0:c>
      <ns0:c r="AX157" s="87" t="n">
        <ns0:v>-37.97</ns0:v>
      </ns0:c>
      <ns0:c r="AY157" s="87" t="n">
        <ns0:v>-36.38</ns0:v>
      </ns0:c>
      <ns0:c r="AZ157" s="87" t="n">
        <ns0:v>9.69</ns0:v>
      </ns0:c>
      <ns0:c r="BA157" s="87" t="n">
        <ns0:v>10</ns0:v>
      </ns0:c>
      <ns0:c r="BB157" s="74" t="inlineStr">
        <ns0:is>
          <ns0:t>China Biotech ETF (HS biotech proxy)</ns0:t>
        </ns0:is>
      </ns0:c>
      <ns0:c r="BC157" s="87" t="n">
        <ns0:v>-35.71</ns0:v>
      </ns0:c>
      <ns0:c r="BD157" s="75" t="n">
        <ns0:v>46297</ns0:v>
      </ns0:c>
      <ns0:c r="BE157" s="76" t="n">
        <ns0:v>115.8</ns0:v>
      </ns0:c>
      <ns0:c r="BF157" s="79" t="n">
        <ns0:v>35.4</ns0:v>
      </ns0:c>
      <ns0:c r="BG157" s="74" t="inlineStr">
        <ns0:is>
          <ns0:t>Y</ns0:t>
        </ns0:is>
      </ns0:c>
      <ns0:c r="BH157" s="89" t="n">
        <ns0:v>15.8</ns0:v>
      </ns0:c>
      <ns0:c r="BI157" s="88" t="n"/>
      <ns0:c r="BJ157" s="88" t="n"/>
      <ns0:c r="BK157" s="89" t="n">
        <ns0:v>4.8</ns0:v>
      </ns0:c>
      <ns0:c r="BL157" s="90">
        <ns0:f>IFERROR(IF('BBG Verify'!S157="","Awaiting Bloomberg",'BBG Verify'!S157),"Awaiting Bloomberg")</ns0:f>
        <ns0:v/>
      </ns0:c>
      <ns0:c r="BM157" s="91" t="inlineStr">
        <ns0:is>
          <ns0:t>N</ns0:t>
        </ns0:is>
      </ns0:c>
      <ns0:c r="BN157" s="92">
        <ns0:f>IFERROR(IF('BBG Verify'!K157="","Awaiting Bloomberg",'BBG Verify'!K157),"Awaiting Bloomberg")</ns0:f>
        <ns0:v/>
      </ns0:c>
      <ns0:c r="BO157" s="74" t="inlineStr">
        <ns0:is>
          <ns0:t>N/A</ns0:t>
        </ns0:is>
      </ns0:c>
      <ns0:c r="BP157" s="74" t="inlineStr">
        <ns0:is>
          <ns0:t>N/A</ns0:t>
        </ns0:is>
      </ns0:c>
      <ns0:c r="BQ157" s="74" t="inlineStr">
        <ns0:is>
          <ns0:t>N/A</ns0:t>
        </ns0:is>
      </ns0:c>
      <ns0:c r="BR157" s="74" t="inlineStr">
        <ns0:is>
          <ns0:t>N/A</ns0:t>
        </ns0:is>
      </ns0:c>
      <ns0:c r="BS157" s="74" t="inlineStr">
        <ns0:is>
          <ns0:t>N/A</ns0:t>
        </ns0:is>
      </ns0:c>
      <ns0:c r="BT157" s="74" t="inlineStr">
        <ns0:is>
          <ns0:t>N/A</ns0:t>
        </ns0:is>
      </ns0:c>
      <ns0:c r="BU157" s="91" t="inlineStr">
        <ns0:is>
          <ns0:t>Innovax Capital Limited; Sinolink Securities (Hong Kong) Company Limited</ns0:t>
        </ns0:is>
      </ns0:c>
      <ns0:c r="BV157" s="74" t="inlineStr">
        <ns0:is>
          <ns0:t>Innovax Capital Limited; Sinolink Securities (Hong Kong) Company Limited</ns0:t>
        </ns0:is>
      </ns0:c>
      <ns0:c r="BW157" s="74" t="inlineStr">
        <ns0:is>
          <ns0:t>Innovax Securities Limited; WE Securities Limited; Sinolink Securities (Hong Kong) Company Limited; Guotai Junan Securities (Hong Kong) Limited; CCB International Capital Limited; CMBC Securities Company Limited; CSFG International Securities Limited; HGNH International Securities Co., Limited</ns0:t>
        </ns0:is>
      </ns0:c>
      <ns0:c r="BX157" s="74" t="inlineStr">
        <ns0:is>
          <ns0: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ns0:t>
        </ns0:is>
      </ns0:c>
      <ns0:c r="BY157" s="93">
        <ns0:f>HYPERLINK("https://www1.hkexnews.hk/listedco/listconews/sehk/2022/1130/2022113000017.pdf","prospectus")</ns0:f>
        <ns0:v/>
      </ns0:c>
      <ns0:c r="BZ157" s="93">
        <ns0:f>HYPERLINK("https://www1.hkexnews.hk/listedco/listconews/sehk/2022/1213/2022121300028.htm","allotment")</ns0:f>
        <ns0:v/>
      </ns0:c>
      <ns0:c r="CA157" s="93">
        <ns0:f>HYPERLINK("https://www1.hkexnews.hk/listedco/listconews/sehk/2023/0105/2023010501561.pdf","stabilisation")</ns0:f>
        <ns0:v/>
      </ns0:c>
      <ns0:c r="CB157" s="94" t="n"/>
      <ns0:c r="CC157" s="74" t="inlineStr">
        <ns0:is>
          <ns0:t>cornerstone list: no cornerstone tranche</ns0:t>
        </ns0:is>
      </ns0:c>
    </ns0:row>
    <ns0:row r="158" ht="22" customHeight="1">
      <ns0:c r="A158" s="73" t="inlineStr">
        <ns0:is>
          <ns0:t>1244</ns0:t>
        </ns0:is>
      </ns0:c>
      <ns0:c r="B158" s="74" t="inlineStr">
        <ns0:is>
          <ns0:t>3D MEDICINES-B</ns0:t>
        </ns0:is>
      </ns0:c>
      <ns0:c r="C158" s="74" t="inlineStr">
        <ns0:is>
          <ns0:t>思路迪醫藥股份</ns0:t>
        </ns0:is>
      </ns0:c>
      <ns0:c r="D158" s="74" t="inlineStr">
        <ns0:is>
          <ns0:t>Healthcare</ns0:t>
        </ns0:is>
      </ns0:c>
      <ns0:c r="E158" s="74" t="inlineStr">
        <ns0:is>
          <ns0:t>Biotech pre-revenue (18A)</ns0:t>
        </ns0:is>
      </ns0:c>
      <ns0:c r="F158" s="74" t="inlineStr">
        <ns0:is>
          <ns0:t>Biotechnology - Supplies &amp; Services</ns0:t>
        </ns0:is>
      </ns0:c>
      <ns0:c r="G158" s="74" t="inlineStr">
        <ns0:is>
          <ns0:t>18A</ns0:t>
        </ns0:is>
      </ns0:c>
      <ns0:c r="H158" s="75" t="n">
        <ns0:v>44910</ns0:v>
      </ns0:c>
      <ns0:c r="I158" s="76" t="n">
        <ns0:v>251.1</ns0:v>
      </ns0:c>
      <ns0:c r="J158" s="74" t="inlineStr">
        <ns0:is>
          <ns0:t>net proceeds</ns0:t>
        </ns0:is>
      </ns0:c>
      <ns0:c r="K158" s="77" t="n">
        <ns0:v>22.96</ns0:v>
      </ns0:c>
      <ns0:c r="L158" s="77" t="n">
        <ns0:v>26.24</ns0:v>
      </ns0:c>
      <ns0:c r="M158" s="77" t="n">
        <ns0:v>24.98</ns0:v>
      </ns0:c>
      <ns0:c r="N158" s="74" t="inlineStr">
        <ns0:is>
          <ns0:t>N</ns0:t>
        </ns0:is>
      </ns0:c>
      <ns0:c r="O158" s="78" t="n">
        <ns0:v>95.2</ns0:v>
      </ns0:c>
      <ns0:c r="P158" s="78" t="n">
        <ns0:v>61.6</ns0:v>
      </ns0:c>
      <ns0:c r="Q158" s="79" t="n">
        <ns0:v>6678.6</ns0:v>
      </ns0:c>
      <ns0:c r="R158" s="74" t="inlineStr">
        <ns0:is>
          <ns0:t>aastocks:上市市值 at the struck price</ns0:t>
        </ns0:is>
      </ns0:c>
      <ns0:c r="S158" s="80" t="n">
        <ns0:v>5.97</ns0:v>
      </ns0:c>
      <ns0:c r="T158" s="81" t="n">
        <ns0:v>1.26</ns0:v>
      </ns0:c>
      <ns0:c r="U158" s="82" t="n">
        <ns0:v>62.49</ns0:v>
      </ns0:c>
      <ns0:c r="V158" s="83" t="n">
        <ns0:v>109</ns0:v>
      </ns0:c>
      <ns0:c r="W158" s="84" t="n"/>
      <ns0:c r="X158" s="85" t="n"/>
      <ns0:c r="Y158" s="79" t="n">
        <ns0:v>94.19</ns0:v>
      </ns0:c>
      <ns0:c r="Z158" s="97" t="n"/>
      <ns0:c r="AA158" s="78" t="n">
        <ns0:v>1.41</ns0:v>
      </ns0:c>
      <ns0:c r="AB158" s="74" t="inlineStr">
        <ns0:is>
          <ns0:t>Harvest International Premium Value (Secondary Market) Fund SPC; Mobilewise Limited; TradArt Investment SP; Xuzhou Economic Technology Development Zone (HK) Investment Co., Limited</ns0:t>
        </ns0:is>
      </ns0:c>
      <ns0:c r="AC158" s="74" t="inlineStr">
        <ns0:is>
          <ns0:t>harvest;mobilewise;tradart;xuzhou</ns0:t>
        </ns0:is>
      </ns0:c>
      <ns0:c r="AD158" s="78" t="n">
        <ns0:v>7.29</ns0:v>
      </ns0:c>
      <ns0:c r="AE158" s="74" t="inlineStr">
        <ns0:is>
          <ns0:t>partial</ns0:t>
        </ns0:is>
      </ns0:c>
      <ns0:c r="AF158" s="74" t="inlineStr">
        <ns0:is>
          <ns0:t>2023-01-06</ns0:t>
        </ns0:is>
      </ns0:c>
      <ns0:c r="AG158" s="74" t="inlineStr">
        <ns0:is>
          <ns0:t>China Securities</ns0:t>
        </ns0:is>
      </ns0:c>
      <ns0:c r="AH158" s="74" t="inlineStr">
        <ns0:is>
          <ns0:t>China Securities</ns0:t>
        </ns0:is>
      </ns0:c>
      <ns0:c r="AI158" s="86" t="n">
        <ns0:v>15.89</ns0:v>
      </ns0:c>
      <ns0:c r="AJ158" s="87" t="n">
        <ns0:v>25.9</ns0:v>
      </ns0:c>
      <ns0:c r="AK158" s="87" t="n">
        <ns0:v>-1.82</ns0:v>
      </ns0:c>
      <ns0:c r="AL158" s="87" t="n">
        <ns0:v>16.09</ns0:v>
      </ns0:c>
      <ns0:c r="AM158" s="87" t="n">
        <ns0:v>8.449999999999999</ns0:v>
      </ns0:c>
      <ns0:c r="AN158" s="88" t="n"/>
      <ns0:c r="AO158" s="78" t="n">
        <ns0:v>15.86</ns0:v>
      </ns0:c>
      <ns0:c r="AP158" s="87" t="n">
        <ns0:v>66.13</ns0:v>
      </ns0:c>
      <ns0:c r="AQ158" s="87" t="n">
        <ns0:v>139.39</ns0:v>
      </ns0:c>
      <ns0:c r="AR158" s="87" t="n">
        <ns0:v>167.21</ns0:v>
      </ns0:c>
      <ns0:c r="AS158" s="87" t="n">
        <ns0:v>31.95</ns0:v>
      </ns0:c>
      <ns0:c r="AT158" s="87" t="n">
        <ns0:v>90.14</ns0:v>
      </ns0:c>
      <ns0:c r="AU158" s="87" t="n">
        <ns0:v>112.24</ns0:v>
      </ns0:c>
      <ns0:c r="AV158" s="87" t="n">
        <ns0:v>70.7</ns0:v>
      </ns0:c>
      <ns0:c r="AW158" s="87" t="n">
        <ns0:v>129.95</ns0:v>
      </ns0:c>
      <ns0:c r="AX158" s="87" t="n">
        <ns0:v>169.24</ns0:v>
      </ns0:c>
      <ns0:c r="AY158" s="87" t="n">
        <ns0:v>78.68000000000001</ns0:v>
      </ns0:c>
      <ns0:c r="AZ158" s="87" t="n">
        <ns0:v>9.44</ns0:v>
      </ns0:c>
      <ns0:c r="BA158" s="87" t="n">
        <ns0:v>11.46</ns0:v>
      </ns0:c>
      <ns0:c r="BB158" s="74" t="inlineStr">
        <ns0:is>
          <ns0:t>China Biotech ETF (HS biotech proxy)</ns0:t>
        </ns0:is>
      </ns0:c>
      <ns0:c r="BC158" s="87" t="n">
        <ns0:v>-88.83</ns0:v>
      </ns0:c>
      <ns0:c r="BD158" s="75" t="n">
        <ns0:v>46297</ns0:v>
      </ns0:c>
      <ns0:c r="BE158" s="76" t="n">
        <ns0:v>177.2</ns0:v>
      </ns0:c>
      <ns0:c r="BF158" s="79" t="n">
        <ns0:v>-1577.5</ns0:v>
      </ns0:c>
      <ns0:c r="BG158" s="74" t="inlineStr">
        <ns0:is>
          <ns0:t>N</ns0:t>
        </ns0:is>
      </ns0:c>
      <ns0:c r="BH158" s="74" t="inlineStr">
        <ns0:is>
          <ns0:t>n/m</ns0:t>
        </ns0:is>
      </ns0:c>
      <ns0:c r="BI158" s="88" t="n"/>
      <ns0:c r="BJ158" s="88" t="n"/>
      <ns0:c r="BK158" s="89" t="n">
        <ns0:v>37.7</ns0:v>
      </ns0:c>
      <ns0:c r="BL158" s="90">
        <ns0:f>IFERROR(IF('BBG Verify'!S158="","Awaiting Bloomberg",'BBG Verify'!S158),"Awaiting Bloomberg")</ns0:f>
        <ns0:v/>
      </ns0:c>
      <ns0:c r="BM158" s="91" t="inlineStr">
        <ns0:is>
          <ns0:t>N</ns0:t>
        </ns0:is>
      </ns0:c>
      <ns0:c r="BN158" s="92">
        <ns0:f>IFERROR(IF('BBG Verify'!K158="","Awaiting Bloomberg",'BBG Verify'!K158),"Awaiting Bloomberg")</ns0:f>
        <ns0:v/>
      </ns0:c>
      <ns0:c r="BO158" s="74" t="inlineStr">
        <ns0:is>
          <ns0:t>N/A</ns0:t>
        </ns0:is>
      </ns0:c>
      <ns0:c r="BP158" s="74" t="inlineStr">
        <ns0:is>
          <ns0:t>N/A</ns0:t>
        </ns0:is>
      </ns0:c>
      <ns0:c r="BQ158" s="74" t="inlineStr">
        <ns0:is>
          <ns0:t>N/A</ns0:t>
        </ns0:is>
      </ns0:c>
      <ns0:c r="BR158" s="74" t="inlineStr">
        <ns0:is>
          <ns0:t>N/A</ns0:t>
        </ns0:is>
      </ns0:c>
      <ns0:c r="BS158" s="74" t="inlineStr">
        <ns0:is>
          <ns0:t>N/A</ns0:t>
        </ns0:is>
      </ns0:c>
      <ns0:c r="BT158" s="74" t="inlineStr">
        <ns0:is>
          <ns0:t>N/A</ns0:t>
        </ns0:is>
      </ns0:c>
      <ns0:c r="BU158" s="91" t="inlineStr">
        <ns0:is>
          <ns0:t>China International Capital Corporation Hong Kong Securities Limited; China Securities (International) Corporate Finance Company Limited</ns0:t>
        </ns0:is>
      </ns0:c>
      <ns0:c r="BV158" s="74" t="inlineStr">
        <ns0:is>
          <ns0:t>China International Capital Corporation Hong Kong Securities Limited; China Securities (International) Corporate Finance Company Limited</ns0:t>
        </ns0:is>
      </ns0:c>
      <ns0:c r="BW158" s="74" t="inlineStr">
        <ns0:is>
          <ns0: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ns0:t>
        </ns0:is>
      </ns0:c>
      <ns0:c r="BX158" s="74" t="inlineStr">
        <ns0:is>
          <ns0: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ns0:t>
        </ns0:is>
      </ns0:c>
      <ns0:c r="BY158" s="93">
        <ns0:f>HYPERLINK("https://www1.hkexnews.hk/listedco/listconews/sehk/2022/1129/2022112900013.pdf","prospectus")</ns0:f>
        <ns0:v/>
      </ns0:c>
      <ns0:c r="BZ158" s="93">
        <ns0:f>HYPERLINK("https://www1.hkexnews.hk/listedco/listconews/sehk/2022/1214/2022121400036.htm","allotment")</ns0:f>
        <ns0:v/>
      </ns0:c>
      <ns0:c r="CA158" s="93">
        <ns0:f>HYPERLINK("https://www1.hkexnews.hk/listedco/listconews/sehk/2023/0109/2023010900027.pdf","stabilisation")</ns0:f>
        <ns0:v/>
      </ns0:c>
      <ns0:c r="CB158" s="94" t="n"/>
      <ns0:c r="CC158" s="74" t="inlineStr">
        <ns0:is>
          <ns0:t>P/E: loss-making at IPO, use P/S; market cap: published listing cap used; the estimate from deal size / offer % of enlarged capital disagreed; cornerstone: % from the prospectus; AAStocks table includes non-cornerstone orders;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159" ht="22" customHeight="1">
      <ns0:c r="A159" s="73" t="inlineStr">
        <ns0:is>
          <ns0:t>9985</ns0:t>
        </ns0:is>
      </ns0:c>
      <ns0:c r="B159" s="74" t="inlineStr">
        <ns0:is>
          <ns0:t>WEILONG</ns0:t>
        </ns0:is>
      </ns0:c>
      <ns0:c r="C159" s="74" t="inlineStr">
        <ns0:is>
          <ns0:t>衛龍美味</ns0:t>
        </ns0:is>
      </ns0:c>
      <ns0:c r="D159" s="74" t="inlineStr">
        <ns0:is>
          <ns0:t>Consumer</ns0:t>
        </ns0:is>
      </ns0:c>
      <ns0:c r="E159" s="74" t="inlineStr">
        <ns0:is>
          <ns0:t>Beverages / packaged food</ns0:t>
        </ns0:is>
      </ns0:c>
      <ns0:c r="F159" s="74" t="inlineStr">
        <ns0:is>
          <ns0:t>Packaged Foods</ns0:t>
        </ns0:is>
      </ns0:c>
      <ns0:c r="G159" s="74" t="inlineStr">
        <ns0:is>
          <ns0:t>Standard</ns0:t>
        </ns0:is>
      </ns0:c>
      <ns0:c r="H159" s="75" t="n">
        <ns0:v>44910</ns0:v>
      </ns0:c>
      <ns0:c r="I159" s="76" t="n">
        <ns0:v>1018</ns0:v>
      </ns0:c>
      <ns0:c r="J159" s="74" t="inlineStr">
        <ns0:is>
          <ns0:t>gross (price x shares)</ns0:t>
        </ns0:is>
      </ns0:c>
      <ns0:c r="K159" s="77" t="n">
        <ns0:v>10.4</ns0:v>
      </ns0:c>
      <ns0:c r="L159" s="77" t="n">
        <ns0:v>11.4</ns0:v>
      </ns0:c>
      <ns0:c r="M159" s="77" t="n">
        <ns0:v>10.56</ns0:v>
      </ns0:c>
      <ns0:c r="N159" s="74" t="inlineStr">
        <ns0:is>
          <ns0:t>N</ns0:t>
        </ns0:is>
      </ns0:c>
      <ns0:c r="O159" s="78" t="n">
        <ns0:v>92.59999999999999</ns0:v>
      </ns0:c>
      <ns0:c r="P159" s="78" t="n">
        <ns0:v>16</ns0:v>
      </ns0:c>
      <ns0:c r="Q159" s="79" t="n">
        <ns0:v>24829.3</ns0:v>
      </ns0:c>
      <ns0:c r="R159" s="74" t="inlineStr">
        <ns0:is>
          <ns0:t>derived:deal size / offer % of enlarged capital</ns0:t>
        </ns0:is>
      </ns0:c>
      <ns0:c r="S159" s="80" t="n">
        <ns0:v>15.3</ns0:v>
      </ns0:c>
      <ns0:c r="T159" s="81" t="n">
        <ns0:v>2.6</ns0:v>
      </ns0:c>
      <ns0:c r="U159" s="82" t="n">
        <ns0:v>57.46</ns0:v>
      </ns0:c>
      <ns0:c r="V159" s="83" t="n">
        <ns0:v>133</ns0:v>
      </ns0:c>
      <ns0:c r="W159" s="78" t="n">
        <ns0:v>30</ns0:v>
      </ns0:c>
      <ns0:c r="X159" s="74" t="inlineStr">
        <ns0:is>
          <ns0:t>YES</ns0:t>
        </ns0:is>
      </ns0:c>
      <ns0:c r="Y159" s="79" t="n">
        <ns0:v>433.06</ns0:v>
      </ns0:c>
      <ns0:c r="Z159" s="79" t="n">
        <ns0:v>41007284</ns0:v>
      </ns0:c>
      <ns0:c r="AA159" s="78" t="n">
        <ns0:v>1.74</ns0:v>
      </ns0:c>
      <ns0:c r="AB159" s="74" t="inlineStr">
        <ns0:is>
          <ns0:t>Media Global Management Limited; Prospect Bridge Value L.P; Sunshine Life Insurance Corporation Limited</ns0:t>
        </ns0:is>
      </ns0:c>
      <ns0:c r="AC159" s="74" t="inlineStr">
        <ns0:is>
          <ns0:t>media;prospect;sunshine</ns0:t>
        </ns0:is>
      </ns0:c>
      <ns0:c r="AD159" s="78" t="n">
        <ns0:v>17.06</ns0:v>
      </ns0:c>
      <ns0:c r="AE159" s="74" t="inlineStr">
        <ns0:is>
          <ns0:t>lapsed</ns0:t>
        </ns0:is>
      </ns0:c>
      <ns0:c r="AF159" s="74" t="inlineStr">
        <ns0:is>
          <ns0:t>2023-01-07</ns0:t>
        </ns0:is>
      </ns0:c>
      <ns0:c r="AG159" s="74" t="inlineStr">
        <ns0:is>
          <ns0:t>Morgan Stanley Asia Limited</ns0:t>
        </ns0:is>
      </ns0:c>
      <ns0:c r="AH159" s="74" t="inlineStr">
        <ns0:is>
          <ns0:t>Morgan Stanley</ns0:t>
        </ns0:is>
      </ns0:c>
      <ns0:c r="AI159" s="86" t="n">
        <ns0:v>-2.08</ns0:v>
      </ns0:c>
      <ns0:c r="AJ159" s="87" t="n">
        <ns0:v>-5.11</ns0:v>
      </ns0:c>
      <ns0:c r="AK159" s="87" t="n">
        <ns0:v>-2.17</ns0:v>
      </ns0:c>
      <ns0:c r="AL159" s="87" t="n">
        <ns0:v>-3.41</ns0:v>
      </ns0:c>
      <ns0:c r="AM159" s="87" t="n">
        <ns0:v>-1.76</ns0:v>
      </ns0:c>
      <ns0:c r="AN159" s="89" t="n">
        <ns0:v>0.72</ns0:v>
      </ns0:c>
      <ns0:c r="AO159" s="78" t="n">
        <ns0:v>7.45</ns0:v>
      </ns0:c>
      <ns0:c r="AP159" s="87" t="n">
        <ns0:v>-12.12</ns0:v>
      </ns0:c>
      <ns0:c r="AQ159" s="87" t="n">
        <ns0:v>-0.57</ns0:v>
      </ns0:c>
      <ns0:c r="AR159" s="87" t="n">
        <ns0:v>7.95</ns0:v>
      </ns0:c>
      <ns0:c r="AS159" s="87" t="n">
        <ns0:v>-7.39</ns0:v>
      </ns0:c>
      <ns0:c r="AT159" s="87" t="n">
        <ns0:v>4.78</ns0:v>
      </ns0:c>
      <ns0:c r="AU159" s="87" t="n">
        <ns0:v>13.76</ns0:v>
      </ns0:c>
      <ns0:c r="AV159" s="87" t="n">
        <ns0:v>-12.16</ns0:v>
      </ns0:c>
      <ns0:c r="AW159" s="87" t="n">
        <ns0:v>-11.74</ns0:v>
      </ns0:c>
      <ns0:c r="AX159" s="87" t="n">
        <ns0:v>10.29</ns0:v>
      </ns0:c>
      <ns0:c r="AY159" s="87" t="n">
        <ns0:v>-8.85</ns0:v>
      </ns0:c>
      <ns0:c r="AZ159" s="87" t="n">
        <ns0:v>11.17</ns0:v>
      </ns0:c>
      <ns0:c r="BA159" s="87" t="n">
        <ns0:v>13.63</ns0:v>
      </ns0:c>
      <ns0:c r="BB159" s="74" t="inlineStr">
        <ns0:is>
          <ns0:t>Hang Seng Commerce &amp; Industry sub-index</ns0:t>
        </ns0:is>
      </ns0:c>
      <ns0:c r="BC159" s="87" t="n">
        <ns0:v>-38.45</ns0:v>
      </ns0:c>
      <ns0:c r="BD159" s="75" t="n">
        <ns0:v>46297</ns0:v>
      </ns0:c>
      <ns0:c r="BE159" s="76" t="n">
        <ns0:v>5280.2</ns0:v>
      </ns0:c>
      <ns0:c r="BF159" s="79" t="n">
        <ns0:v>1206.3</ns0:v>
      </ns0:c>
      <ns0:c r="BG159" s="74" t="inlineStr">
        <ns0:is>
          <ns0:t>Y</ns0:t>
        </ns0:is>
      </ns0:c>
      <ns0:c r="BH159" s="89" t="n">
        <ns0:v>20.6</ns0:v>
      </ns0:c>
      <ns0:c r="BI159" s="88" t="n"/>
      <ns0:c r="BJ159" s="89" t="n">
        <ns0:v>12.1</ns0:v>
      </ns0:c>
      <ns0:c r="BK159" s="89" t="n">
        <ns0:v>4.7</ns0:v>
      </ns0:c>
      <ns0:c r="BL159" s="90">
        <ns0:f>IFERROR(IF('BBG Verify'!S159="","Awaiting Bloomberg",'BBG Verify'!S159),"Awaiting Bloomberg")</ns0:f>
        <ns0:v/>
      </ns0:c>
      <ns0:c r="BM159" s="91" t="inlineStr">
        <ns0:is>
          <ns0:t>N</ns0:t>
        </ns0:is>
      </ns0:c>
      <ns0:c r="BN159" s="92">
        <ns0:f>IFERROR(IF('BBG Verify'!K159="","Awaiting Bloomberg",'BBG Verify'!K159),"Awaiting Bloomberg")</ns0:f>
        <ns0:v/>
      </ns0:c>
      <ns0:c r="BO159" s="74" t="inlineStr">
        <ns0:is>
          <ns0:t>N/A</ns0:t>
        </ns0:is>
      </ns0:c>
      <ns0:c r="BP159" s="74" t="inlineStr">
        <ns0:is>
          <ns0:t>N/A</ns0:t>
        </ns0:is>
      </ns0:c>
      <ns0:c r="BQ159" s="74" t="inlineStr">
        <ns0:is>
          <ns0:t>N/A</ns0:t>
        </ns0:is>
      </ns0:c>
      <ns0:c r="BR159" s="74" t="inlineStr">
        <ns0:is>
          <ns0:t>N/A</ns0:t>
        </ns0:is>
      </ns0:c>
      <ns0:c r="BS159" s="74" t="inlineStr">
        <ns0:is>
          <ns0:t>N/A</ns0:t>
        </ns0:is>
      </ns0:c>
      <ns0:c r="BT159" s="74" t="inlineStr">
        <ns0:is>
          <ns0:t>N/A</ns0:t>
        </ns0:is>
      </ns0:c>
      <ns0:c r="BU159" s="91" t="inlineStr">
        <ns0:is>
          <ns0:t>Morgan Stanley Asia Limited; China International Capital Corporation Hong Kong Securities Limited</ns0:t>
        </ns0:is>
      </ns0:c>
      <ns0:c r="BV159" s="74" t="inlineStr">
        <ns0:is>
          <ns0:t>China International Capital Corporation Hong Kong Securities Limited; Morgan Stanley Asia Limited; UBS Securities Hong Kong Limited</ns0:t>
        </ns0:is>
      </ns0:c>
      <ns0:c r="BW159" s="74" t="inlineStr">
        <ns0:is>
          <ns0:t>UBS AG Hong Kong Branch; Morgan Stanley Asia Limited; China International Capital Corporation Hong Kong Securities Limited; Futu Securities International (Hong Kong) Limited</ns0:t>
        </ns0:is>
      </ns0:c>
      <ns0:c r="BX159" s="74" t="inlineStr">
        <ns0:is>
          <ns0: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ns0:t>
        </ns0:is>
      </ns0:c>
      <ns0:c r="BY159" s="93">
        <ns0:f>HYPERLINK("https://www1.hkexnews.hk/listedco/listconews/sehk/2022/1205/2022120500015.pdf","prospectus")</ns0:f>
        <ns0:v/>
      </ns0:c>
      <ns0:c r="BZ159" s="93">
        <ns0:f>HYPERLINK("https://www1.hkexnews.hk/listedco/listconews/sehk/2022/1214/2022121400094.htm","allotment")</ns0:f>
        <ns0:v/>
      </ns0:c>
      <ns0:c r="CA159" s="93">
        <ns0:f>HYPERLINK("https://www1.hkexnews.hk/listedco/listconews/sehk/2023/0109/2023010900033.pdf","stabilisation")</ns0:f>
        <ns0:v/>
      </ns0:c>
      <ns0:c r="CB159" s="94" t="n"/>
      <ns0:c r="CC159" s="74" t="inlineStr"/>
    </ns0:row>
    <ns0:row r="160" ht="22" customHeight="1">
      <ns0:c r="A160" s="73" t="inlineStr">
        <ns0:is>
          <ns0:t>2457</ns0:t>
        </ns0:is>
      </ns0:c>
      <ns0:c r="B160" s="74" t="inlineStr">
        <ns0:is>
          <ns0:t>BUYANG INTL</ns0:t>
        </ns0:is>
      </ns0:c>
      <ns0:c r="C160" s="74" t="inlineStr">
        <ns0:is>
          <ns0:t>步陽國際</ns0:t>
        </ns0:is>
      </ns0:c>
      <ns0:c r="D160" s="74" t="inlineStr">
        <ns0:is>
          <ns0:t>Consumer</ns0:t>
        </ns0:is>
      </ns0:c>
      <ns0:c r="E160" s="74" t="inlineStr">
        <ns0:is>
          <ns0:t>Auto parts / supply chain</ns0:t>
        </ns0:is>
      </ns0:c>
      <ns0:c r="F160" s="74" t="inlineStr">
        <ns0:is>
          <ns0:t>Tires &amp; Rubber</ns0:t>
        </ns0:is>
      </ns0:c>
      <ns0:c r="G160" s="74" t="inlineStr">
        <ns0:is>
          <ns0:t>Standard</ns0:t>
        </ns0:is>
      </ns0:c>
      <ns0:c r="H160" s="75" t="n">
        <ns0:v>44910</ns0:v>
      </ns0:c>
      <ns0:c r="I160" s="76" t="n">
        <ns0:v>125</ns0:v>
      </ns0:c>
      <ns0:c r="J160" s="74" t="inlineStr">
        <ns0:is>
          <ns0:t>gross (price x shares)</ns0:t>
        </ns0:is>
      </ns0:c>
      <ns0:c r="K160" s="95" t="n"/>
      <ns0:c r="L160" s="77" t="n">
        <ns0:v>0.5</ns0:v>
      </ns0:c>
      <ns0:c r="M160" s="77" t="n">
        <ns0:v>0.5</ns0:v>
      </ns0:c>
      <ns0:c r="N160" s="74" t="inlineStr">
        <ns0:is>
          <ns0:t>Y</ns0:t>
        </ns0:is>
      </ns0:c>
      <ns0:c r="O160" s="78" t="n">
        <ns0:v>100</ns0:v>
      </ns0:c>
      <ns0:c r="P160" s="84" t="n"/>
      <ns0:c r="Q160" s="79" t="n">
        <ns0:v>600</ns0:v>
      </ns0:c>
      <ns0:c r="R160" s="74" t="inlineStr">
        <ns0:is>
          <ns0:t>aastocks:上市市值 at the struck price</ns0:t>
        </ns0:is>
      </ns0:c>
      <ns0:c r="S160" s="80" t="n">
        <ns0:v>51.22</ns0:v>
      </ns0:c>
      <ns0:c r="T160" s="81" t="n">
        <ns0:v>1.19</ns0:v>
      </ns0:c>
      <ns0:c r="U160" s="82" t="n">
        <ns0:v>24</ns0:v>
      </ns0:c>
      <ns0:c r="V160" s="83" t="n">
        <ns0:v>136</ns0:v>
      </ns0:c>
      <ns0:c r="W160" s="78" t="n">
        <ns0:v>40</ns0:v>
      </ns0:c>
      <ns0:c r="X160" s="74" t="inlineStr">
        <ns0:is>
          <ns0:t>YES</ns0:t>
        </ns0:is>
      </ns0:c>
      <ns0:c r="Y160" s="79" t="n">
        <ns0:v>95</ns0:v>
      </ns0:c>
      <ns0:c r="Z160" s="79" t="n">
        <ns0:v>190000000</ns0:v>
      </ns0:c>
      <ns0:c r="AA160" s="78" t="n">
        <ns0:v>15.83</ns0:v>
      </ns0:c>
      <ns0:c r="AB160" s="74" t="inlineStr">
        <ns0:is>
          <ns0:t>Arda (HK) Investment Co., Limited</ns0:t>
        </ns0:is>
      </ns0:c>
      <ns0:c r="AC160" s="74" t="inlineStr">
        <ns0:is>
          <ns0:t>arda</ns0:t>
        </ns0:is>
      </ns0:c>
      <ns0:c r="AD160" s="84" t="n"/>
      <ns0:c r="AE160" s="74" t="inlineStr">
        <ns0:is>
          <ns0:t>lapsed (no over-allocation)</ns0:t>
        </ns0:is>
      </ns0:c>
      <ns0:c r="AF160" s="85" t="n"/>
      <ns0:c r="AG160" s="74" t="inlineStr">
        <ns0:is>
          <ns0:t>Zhongtai International Securities Limited</ns0:t>
        </ns0:is>
      </ns0:c>
      <ns0:c r="AH160" s="74" t="inlineStr">
        <ns0:is>
          <ns0:t>Zhongtai</ns0:t>
        </ns0:is>
      </ns0:c>
      <ns0:c r="AI160" s="86" t="n">
        <ns0:v>-20</ns0:v>
      </ns0:c>
      <ns0:c r="AJ160" s="87" t="n">
        <ns0:v>-40</ns0:v>
      </ns0:c>
      <ns0:c r="AK160" s="87" t="n">
        <ns0:v>-2.17</ns0:v>
      </ns0:c>
      <ns0:c r="AL160" s="87" t="n">
        <ns0:v>-29</ns0:v>
      </ns0:c>
      <ns0:c r="AM160" s="87" t="n">
        <ns0:v>-15.49</ns0:v>
      </ns0:c>
      <ns0:c r="AN160" s="89" t="n">
        <ns0:v>2.2</ns0:v>
      </ns0:c>
      <ns0:c r="AO160" s="78" t="n">
        <ns0:v>36.62</ns0:v>
      </ns0:c>
      <ns0:c r="AP160" s="87" t="n">
        <ns0:v>-25</ns0:v>
      </ns0:c>
      <ns0:c r="AQ160" s="87" t="n">
        <ns0:v>-15</ns0:v>
      </ns0:c>
      <ns0:c r="AR160" s="87" t="n">
        <ns0:v>-31</ns0:v>
      </ns0:c>
      <ns0:c r="AS160" s="87" t="n">
        <ns0:v>25</ns0:v>
      </ns0:c>
      <ns0:c r="AT160" s="87" t="n">
        <ns0:v>41.67</ns0:v>
      </ns0:c>
      <ns0:c r="AU160" s="87" t="n">
        <ns0:v>15</ns0:v>
      </ns0:c>
      <ns0:c r="AV160" s="87" t="n">
        <ns0:v>-25.04</ns0:v>
      </ns0:c>
      <ns0:c r="AW160" s="87" t="n">
        <ns0:v>-26.17</ns0:v>
      </ns0:c>
      <ns0:c r="AX160" s="87" t="n">
        <ns0:v>-28.66</ns0:v>
      </ns0:c>
      <ns0:c r="AY160" s="87" t="n">
        <ns0:v>28.04</ns0:v>
      </ns0:c>
      <ns0:c r="AZ160" s="87" t="n">
        <ns0:v>11.17</ns0:v>
      </ns0:c>
      <ns0:c r="BA160" s="87" t="n">
        <ns0:v>13.63</ns0:v>
      </ns0:c>
      <ns0:c r="BB160" s="74" t="inlineStr">
        <ns0:is>
          <ns0:t>Hang Seng Commerce &amp; Industry sub-index</ns0:t>
        </ns0:is>
      </ns0:c>
      <ns0:c r="BC160" s="87" t="n">
        <ns0:v>25</ns0:v>
      </ns0:c>
      <ns0:c r="BD160" s="75" t="n">
        <ns0:v>46297</ns0:v>
      </ns0:c>
      <ns0:c r="BE160" s="76" t="n">
        <ns0:v>484.4</ns0:v>
      </ns0:c>
      <ns0:c r="BF160" s="79" t="n">
        <ns0:v>41.4</ns0:v>
      </ns0:c>
      <ns0:c r="BG160" s="74" t="inlineStr">
        <ns0:is>
          <ns0:t>Y</ns0:t>
        </ns0:is>
      </ns0:c>
      <ns0:c r="BH160" s="89" t="n">
        <ns0:v>14.5</ns0:v>
      </ns0:c>
      <ns0:c r="BI160" s="88" t="n"/>
      <ns0:c r="BJ160" s="89" t="n">
        <ns0:v>28.6</ns0:v>
      </ns0:c>
      <ns0:c r="BK160" s="89" t="n">
        <ns0:v>1.2</ns0:v>
      </ns0:c>
      <ns0:c r="BL160" s="90">
        <ns0:f>IFERROR(IF('BBG Verify'!S160="","Awaiting Bloomberg",'BBG Verify'!S160),"Awaiting Bloomberg")</ns0:f>
        <ns0:v/>
      </ns0:c>
      <ns0:c r="BM160" s="91" t="inlineStr">
        <ns0:is>
          <ns0:t>N</ns0:t>
        </ns0:is>
      </ns0:c>
      <ns0:c r="BN160" s="92">
        <ns0:f>IFERROR(IF('BBG Verify'!K160="","Awaiting Bloomberg",'BBG Verify'!K160),"Awaiting Bloomberg")</ns0:f>
        <ns0:v/>
      </ns0:c>
      <ns0:c r="BO160" s="74" t="inlineStr">
        <ns0:is>
          <ns0:t>N/A</ns0:t>
        </ns0:is>
      </ns0:c>
      <ns0:c r="BP160" s="74" t="inlineStr">
        <ns0:is>
          <ns0:t>N/A</ns0:t>
        </ns0:is>
      </ns0:c>
      <ns0:c r="BQ160" s="74" t="inlineStr">
        <ns0:is>
          <ns0:t>N/A</ns0:t>
        </ns0:is>
      </ns0:c>
      <ns0:c r="BR160" s="74" t="inlineStr">
        <ns0:is>
          <ns0:t>N/A</ns0:t>
        </ns0:is>
      </ns0:c>
      <ns0:c r="BS160" s="74" t="inlineStr">
        <ns0:is>
          <ns0:t>N/A</ns0:t>
        </ns0:is>
      </ns0:c>
      <ns0:c r="BT160" s="74" t="inlineStr">
        <ns0:is>
          <ns0:t>N/A</ns0:t>
        </ns0:is>
      </ns0:c>
      <ns0:c r="BU160" s="91" t="inlineStr">
        <ns0:is>
          <ns0:t>Zhongtai International Capital Limited; OC Zhongtai International Securities Limited</ns0:t>
        </ns0:is>
      </ns0:c>
      <ns0:c r="BV160" s="74" t="inlineStr">
        <ns0:is>
          <ns0:t>Zhongtai International Capital Limited</ns0:t>
        </ns0:is>
      </ns0:c>
      <ns0:c r="BW160" s="74" t="inlineStr">
        <ns0:is>
          <ns0:t>Zhongtai International Securities Limited; BOCOM International Securities Limited; SPDB International Capital Limited; GF Securities (Hong Kong) Brokerage Limited; CEB International Capital Corporation Limited; Southwest Securities (HK) Brokerage Limited; First Shanghai Securities Limited; China Tonghai Securities Limited; Zheshang International Financial Holdings Co., Limited; ZMF Asset Management Limited</ns0:t>
        </ns0:is>
      </ns0:c>
      <ns0:c r="BX160" s="74" t="inlineStr">
        <ns0:is>
          <ns0: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ns0:t>
        </ns0:is>
      </ns0:c>
      <ns0:c r="BY160" s="93">
        <ns0:f>HYPERLINK("https://www1.hkexnews.hk/listedco/listconews/sehk/2022/1129/2022112900024.htm","prospectus")</ns0:f>
        <ns0:v/>
      </ns0:c>
      <ns0:c r="BZ160" s="93">
        <ns0:f>HYPERLINK("https://www1.hkexnews.hk/listedco/listconews/sehk/2022/1214/2022121400106.htm","allotment")</ns0:f>
        <ns0:v/>
      </ns0:c>
      <ns0:c r="CA160" s="93">
        <ns0:f>HYPERLINK("https://www1.hkexnews.hk/listedco/listconews/sehk/2023/0106/2023010600817.pdf","stabilisation")</ns0:f>
        <ns0:v/>
      </ns0:c>
      <ns0:c r="CB160" s="94" t="n"/>
      <ns0:c r="CC160" s="74" t="inlineStr">
        <ns0:is>
          <ns0:t>greenshoe: outcome published; expiry date not in the notice; range low: maximum offer price only, no floor published; cornerstone %: upper bound: AAStocks institutional total / deal size; greenshoe size: no over-allotment option</ns0:t>
        </ns0:is>
      </ns0:c>
    </ns0:row>
    <ns0:row r="161" ht="22" customHeight="1">
      <ns0:c r="A161" s="73" t="inlineStr">
        <ns0:is>
          <ns0:t>2145</ns0:t>
        </ns0:is>
      </ns0:c>
      <ns0:c r="B161" s="74" t="inlineStr">
        <ns0:is>
          <ns0:t>CHICMAX</ns0:t>
        </ns0:is>
      </ns0:c>
      <ns0:c r="C161" s="74" t="inlineStr">
        <ns0:is>
          <ns0:t>上美股份</ns0:t>
        </ns0:is>
      </ns0:c>
      <ns0:c r="D161" s="74" t="inlineStr">
        <ns0:is>
          <ns0:t>Consumer</ns0:t>
        </ns0:is>
      </ns0:c>
      <ns0:c r="E161" s="74" t="inlineStr">
        <ns0:is>
          <ns0:t>Beauty / personal care</ns0:t>
        </ns0:is>
      </ns0:c>
      <ns0:c r="F161" s="74" t="inlineStr">
        <ns0:is>
          <ns0:t>Beauty &amp; Toiletries Products and Services</ns0:t>
        </ns0:is>
      </ns0:c>
      <ns0:c r="G161" s="74" t="inlineStr">
        <ns0:is>
          <ns0:t>Standard</ns0:t>
        </ns0:is>
      </ns0:c>
      <ns0:c r="H161" s="75" t="n">
        <ns0:v>44917</ns0:v>
      </ns0:c>
      <ns0:c r="I161" s="76" t="n">
        <ns0:v>931.3</ns0:v>
      </ns0:c>
      <ns0:c r="J161" s="74" t="inlineStr">
        <ns0:is>
          <ns0:t>gross (price x shares)</ns0:t>
        </ns0:is>
      </ns0:c>
      <ns0:c r="K161" s="77" t="n">
        <ns0:v>25.2</ns0:v>
      </ns0:c>
      <ns0:c r="L161" s="77" t="n">
        <ns0:v>29.8</ns0:v>
      </ns0:c>
      <ns0:c r="M161" s="77" t="n">
        <ns0:v>25.2</ns0:v>
      </ns0:c>
      <ns0:c r="N161" s="74" t="inlineStr">
        <ns0:is>
          <ns0:t>N</ns0:t>
        </ns0:is>
      </ns0:c>
      <ns0:c r="O161" s="78" t="n">
        <ns0:v>84.59999999999999</ns0:v>
      </ns0:c>
      <ns0:c r="P161" s="78" t="n">
        <ns0:v>0</ns0:v>
      </ns0:c>
      <ns0:c r="Q161" s="79" t="n">
        <ns0:v>8785.799999999999</ns0:v>
      </ns0:c>
      <ns0:c r="R161" s="74" t="inlineStr">
        <ns0:is>
          <ns0:t>derived:deal size / offer % of enlarged capital</ns0:t>
        </ns0:is>
      </ns0:c>
      <ns0:c r="S161" s="80" t="n">
        <ns0:v>0.48</ns0:v>
      </ns0:c>
      <ns0:c r="T161" s="81" t="n">
        <ns0:v>1.42</ns0:v>
      </ns0:c>
      <ns0:c r="U161" s="82" t="n">
        <ns0:v>0</ns0:v>
      </ns0:c>
      <ns0:c r="V161" s="83" t="n">
        <ns0:v>141</ns0:v>
      </ns0:c>
      <ns0:c r="W161" s="84" t="n"/>
      <ns0:c r="X161" s="85" t="n"/>
      <ns0:c r="Y161" s="79" t="n">
        <ns0:v>931.3</ns0:v>
      </ns0:c>
      <ns0:c r="Z161" s="79" t="n">
        <ns0:v>36958000</ns0:v>
      </ns0:c>
      <ns0:c r="AA161" s="78" t="n">
        <ns0:v>10.6</ns0:v>
      </ns0:c>
      <ns0:c r="AB161" s="74" t="inlineStr">
        <ns0:is>
          <ns0:t>none — no cornerstone tranche</ns0:t>
        </ns0:is>
      </ns0:c>
      <ns0:c r="AC161" s="74" t="inlineStr">
        <ns0:is>
          <ns0:t>none</ns0:t>
        </ns0:is>
      </ns0:c>
      <ns0:c r="AD161" s="78" t="n">
        <ns0:v>10.6</ns0:v>
      </ns0:c>
      <ns0:c r="AE161" s="74" t="inlineStr">
        <ns0:is>
          <ns0:t>partial</ns0:t>
        </ns0:is>
      </ns0:c>
      <ns0:c r="AF161" s="74" t="inlineStr">
        <ns0:is>
          <ns0:t>2023-01-14</ns0:t>
        </ns0:is>
      </ns0:c>
      <ns0:c r="AG161" s="74" t="inlineStr">
        <ns0:is>
          <ns0:t>China International Capital Corporation Hong Kong Securities Limited</ns0:t>
        </ns0:is>
      </ns0:c>
      <ns0:c r="AH161" s="74" t="inlineStr">
        <ns0:is>
          <ns0:t>China International</ns0:t>
        </ns0:is>
      </ns0:c>
      <ns0:c r="AI161" s="86" t="n">
        <ns0:v>-1.39</ns0:v>
      </ns0:c>
      <ns0:c r="AJ161" s="87" t="n">
        <ns0:v>0</ns0:v>
      </ns0:c>
      <ns0:c r="AK161" s="87" t="n">
        <ns0:v>3.87</ns0:v>
      </ns0:c>
      <ns0:c r="AL161" s="87" t="n">
        <ns0:v>0</ns0:v>
      </ns0:c>
      <ns0:c r="AM161" s="87" t="n">
        <ns0:v>0</ns0:v>
      </ns0:c>
      <ns0:c r="AN161" s="88" t="n"/>
      <ns0:c r="AO161" s="78" t="n">
        <ns0:v>7.14</ns0:v>
      </ns0:c>
      <ns0:c r="AP161" s="87" t="n">
        <ns0:v>19.05</ns0:v>
      </ns0:c>
      <ns0:c r="AQ161" s="87" t="n">
        <ns0:v>20.63</ns0:v>
      </ns0:c>
      <ns0:c r="AR161" s="87" t="n">
        <ns0:v>0.79</ns0:v>
      </ns0:c>
      <ns0:c r="AS161" s="87" t="n">
        <ns0:v>19.05</ns0:v>
      </ns0:c>
      <ns0:c r="AT161" s="87" t="n">
        <ns0:v>20.63</ns0:v>
      </ns0:c>
      <ns0:c r="AU161" s="87" t="n">
        <ns0:v>0.79</ns0:v>
      </ns0:c>
      <ns0:c r="AV161" s="87" t="n">
        <ns0:v>13.54</ns0:v>
      </ns0:c>
      <ns0:c r="AW161" s="87" t="n">
        <ns0:v>3.49</ns0:v>
      </ns0:c>
      <ns0:c r="AX161" s="87" t="n">
        <ns0:v>-5.67</ns0:v>
      </ns0:c>
      <ns0:c r="AY161" s="87" t="n">
        <ns0:v>7.86</ns0:v>
      </ns0:c>
      <ns0:c r="AZ161" s="87" t="n">
        <ns0:v>17.14</ns0:v>
      </ns0:c>
      <ns0:c r="BA161" s="87" t="n">
        <ns0:v>12.77</ns0:v>
      </ns0:c>
      <ns0:c r="BB161" s="74" t="inlineStr">
        <ns0:is>
          <ns0:t>Hang Seng Commerce &amp; Industry sub-index</ns0:t>
        </ns0:is>
      </ns0:c>
      <ns0:c r="BC161" s="87" t="n">
        <ns0:v>-17.54</ns0:v>
      </ns0:c>
      <ns0:c r="BD161" s="75" t="n">
        <ns0:v>46297</ns0:v>
      </ns0:c>
      <ns0:c r="BE161" s="76" t="n">
        <ns0:v>3980.8</ns0:v>
      </ns0:c>
      <ns0:c r="BF161" s="79" t="n">
        <ns0:v>372.7</ns0:v>
      </ns0:c>
      <ns0:c r="BG161" s="74" t="inlineStr">
        <ns0:is>
          <ns0:t>Y</ns0:t>
        </ns0:is>
      </ns0:c>
      <ns0:c r="BH161" s="89" t="n">
        <ns0:v>23.6</ns0:v>
      </ns0:c>
      <ns0:c r="BI161" s="88" t="n"/>
      <ns0:c r="BJ161" s="89" t="n">
        <ns0:v>9</ns0:v>
      </ns0:c>
      <ns0:c r="BK161" s="89" t="n">
        <ns0:v>2.2</ns0:v>
      </ns0:c>
      <ns0:c r="BL161" s="90">
        <ns0:f>IFERROR(IF('BBG Verify'!S161="","Awaiting Bloomberg",'BBG Verify'!S161),"Awaiting Bloomberg")</ns0:f>
        <ns0:v/>
      </ns0:c>
      <ns0:c r="BM161" s="91" t="inlineStr">
        <ns0:is>
          <ns0:t>N</ns0:t>
        </ns0:is>
      </ns0:c>
      <ns0:c r="BN161" s="92">
        <ns0:f>IFERROR(IF('BBG Verify'!K161="","Awaiting Bloomberg",'BBG Verify'!K161),"Awaiting Bloomberg")</ns0:f>
        <ns0:v/>
      </ns0:c>
      <ns0:c r="BO161" s="74" t="inlineStr">
        <ns0:is>
          <ns0:t>N/A</ns0:t>
        </ns0:is>
      </ns0:c>
      <ns0:c r="BP161" s="74" t="inlineStr">
        <ns0:is>
          <ns0:t>N/A</ns0:t>
        </ns0:is>
      </ns0:c>
      <ns0:c r="BQ161" s="74" t="inlineStr">
        <ns0:is>
          <ns0:t>N/A</ns0:t>
        </ns0:is>
      </ns0:c>
      <ns0:c r="BR161" s="74" t="inlineStr">
        <ns0:is>
          <ns0:t>N/A</ns0:t>
        </ns0:is>
      </ns0:c>
      <ns0:c r="BS161" s="74" t="inlineStr">
        <ns0:is>
          <ns0:t>N/A</ns0:t>
        </ns0:is>
      </ns0:c>
      <ns0:c r="BT161" s="74" t="inlineStr">
        <ns0:is>
          <ns0:t>N/A</ns0:t>
        </ns0:is>
      </ns0:c>
      <ns0:c r="BU161" s="91" t="inlineStr">
        <ns0:is>
          <ns0:t>J.P. Morgan Securities (Far East) Limited; China International Capital Corporation Hong Kong Securities Limited; CLSA Capital Markets Limited</ns0:t>
        </ns0:is>
      </ns0:c>
      <ns0:c r="BV161" s="74" t="inlineStr">
        <ns0:is>
          <ns0:t>China International Capital Corporation Hong Kong Securities Limited; J.P. Morgan Securities (Far East) Limited; CLSA Capital Markets Limited</ns0:t>
        </ns0:is>
      </ns0:c>
      <ns0:c r="BW161" s="74" t="inlineStr">
        <ns0:is>
          <ns0:t>J.P. Morgan Securities (Asia Pacific) Limited; China International Capital Corporation Hong Kong Securities Limited; CLSA Limited; J.P. Morgan Securities plc; Shenwan Hongyuan Securities (H.K.) Limited; Tiger Brokers (HK) Global Limited; Futu Securities International (Hong Kong) Limited; Valuable Capital Limited; BOCI Asia Limited</ns0:t>
        </ns0:is>
      </ns0:c>
      <ns0:c r="BX161" s="74" t="inlineStr">
        <ns0:is>
          <ns0: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ns0:t>
        </ns0:is>
      </ns0:c>
      <ns0:c r="BY161" s="93">
        <ns0:f>HYPERLINK("https://www1.hkexnews.hk/listedco/listconews/sehk/2022/1212/2022121200011.pdf","prospectus")</ns0:f>
        <ns0:v/>
      </ns0:c>
      <ns0:c r="BZ161" s="93">
        <ns0:f>HYPERLINK("https://www1.hkexnews.hk/listedco/listconews/sehk/2022/1221/2022122100048.htm","allotment")</ns0:f>
        <ns0:v/>
      </ns0:c>
      <ns0:c r="CA161" s="93">
        <ns0:f>HYPERLINK("https://www1.hkexnews.hk/listedco/listconews/sehk/2023/0116/2023011600073.pdf","stabilisation")</ns0:f>
        <ns0:v/>
      </ns0:c>
      <ns0:c r="CB161" s="94" t="n"/>
      <ns0:c r="CC161" s="74" t="inlineStr">
        <ns0:is>
          <ns0:t>cornerstone list: no cornerstone tranche; allocation: allocation table not in this notice's format (older prose announcement); day-1 tape: volume on file; the retail multiple needs the final public split, which this notice does not state</ns0:t>
        </ns0:is>
      </ns0:c>
    </ns0:row>
    <ns0:row r="162" ht="22" customHeight="1">
      <ns0:c r="A162" s="73" t="inlineStr">
        <ns0:is>
          <ns0:t>0314</ns0:t>
        </ns0:is>
      </ns0:c>
      <ns0:c r="B162" s="74" t="inlineStr">
        <ns0:is>
          <ns0:t>SIPAI HEALTH</ns0:t>
        </ns0:is>
      </ns0:c>
      <ns0:c r="C162" s="74" t="inlineStr">
        <ns0:is>
          <ns0:t>思派健康</ns0:t>
        </ns0:is>
      </ns0:c>
      <ns0:c r="D162" s="74" t="inlineStr">
        <ns0:is>
          <ns0:t>Healthcare</ns0:t>
        </ns0:is>
      </ns0:c>
      <ns0:c r="E162" s="74" t="inlineStr">
        <ns0:is>
          <ns0:t>Digital health</ns0:t>
        </ns0:is>
      </ns0:c>
      <ns0:c r="F162" s="74" t="inlineStr">
        <ns0:is>
          <ns0:t>Health Care Supplies</ns0:t>
        </ns0:is>
      </ns0:c>
      <ns0:c r="G162" s="74" t="inlineStr">
        <ns0:is>
          <ns0:t>Standard</ns0:t>
        </ns0:is>
      </ns0:c>
      <ns0:c r="H162" s="75" t="n">
        <ns0:v>44918</ns0:v>
      </ns0:c>
      <ns0:c r="I162" s="76" t="n">
        <ns0:v>184.5</ns0:v>
      </ns0:c>
      <ns0:c r="J162" s="74" t="inlineStr">
        <ns0:is>
          <ns0:t>gross (price x shares)</ns0:t>
        </ns0:is>
      </ns0:c>
      <ns0:c r="K162" s="95" t="n"/>
      <ns0:c r="L162" s="77" t="n">
        <ns0:v>18.6</ns0:v>
      </ns0:c>
      <ns0:c r="M162" s="77" t="n">
        <ns0:v>18.6</ns0:v>
      </ns0:c>
      <ns0:c r="N162" s="74" t="inlineStr">
        <ns0:is>
          <ns0:t>Y</ns0:t>
        </ns0:is>
      </ns0:c>
      <ns0:c r="O162" s="78" t="n">
        <ns0:v>100</ns0:v>
      </ns0:c>
      <ns0:c r="P162" s="84" t="n"/>
      <ns0:c r="Q162" s="102">
        <ns0:f>IFERROR(IF('BBG Verify'!M162="","Awaiting Bloomberg",'BBG Verify'!M162),"Awaiting Bloomberg")</ns0:f>
        <ns0:v/>
      </ns0:c>
      <ns0:c r="R162" s="85" t="n"/>
      <ns0:c r="S162" s="80" t="n">
        <ns0:v>8.27</ns0:v>
      </ns0:c>
      <ns0:c r="T162" s="81" t="n">
        <ns0:v>1.41</ns0:v>
      </ns0:c>
      <ns0:c r="U162" s="82" t="n">
        <ns0:v>0</ns0:v>
      </ns0:c>
      <ns0:c r="V162" s="83" t="n">
        <ns0:v>124</ns0:v>
      </ns0:c>
      <ns0:c r="W162" s="84" t="n"/>
      <ns0:c r="X162" s="85" t="n"/>
      <ns0:c r="Y162" s="79" t="n">
        <ns0:v>184.5</ns0:v>
      </ns0:c>
      <ns0:c r="Z162" s="79" t="n">
        <ns0:v>9919400</ns0:v>
      </ns0:c>
      <ns0:c r="AA162" s="84" t="n"/>
      <ns0:c r="AB162" s="74" t="inlineStr">
        <ns0:is>
          <ns0:t>none — no cornerstone tranche</ns0:t>
        </ns0:is>
      </ns0:c>
      <ns0:c r="AC162" s="74" t="inlineStr">
        <ns0:is>
          <ns0:t>none</ns0:t>
        </ns0:is>
      </ns0:c>
      <ns0:c r="AD162" s="84" t="n"/>
      <ns0:c r="AE162" s="74" t="inlineStr">
        <ns0:is>
          <ns0:t>lapsed</ns0:t>
        </ns0:is>
      </ns0:c>
      <ns0:c r="AF162" s="74" t="inlineStr">
        <ns0:is>
          <ns0:t>2023-01-14</ns0:t>
        </ns0:is>
      </ns0:c>
      <ns0:c r="AG162" s="74" t="inlineStr">
        <ns0:is>
          <ns0:t>Morgan Stanley Asia Limited</ns0:t>
        </ns0:is>
      </ns0:c>
      <ns0:c r="AH162" s="74" t="inlineStr">
        <ns0:is>
          <ns0:t>Morgan Stanley</ns0:t>
        </ns0:is>
      </ns0:c>
      <ns0:c r="AI162" s="86" t="n">
        <ns0:v>29.03</ns0:v>
      </ns0:c>
      <ns0:c r="AJ162" s="87" t="n">
        <ns0:v>34.41</ns0:v>
      </ns0:c>
      <ns0:c r="AK162" s="87" t="n">
        <ns0:v>0.62</ns0:v>
      </ns0:c>
      <ns0:c r="AL162" s="87" t="n">
        <ns0:v>27.42</ns0:v>
      </ns0:c>
      <ns0:c r="AM162" s="87" t="n">
        <ns0:v>5.49</ns0:v>
      </ns0:c>
      <ns0:c r="AN162" s="88" t="n"/>
      <ns0:c r="AO162" s="78" t="n">
        <ns0:v>19.41</ns0:v>
      </ns0:c>
      <ns0:c r="AP162" s="87" t="n">
        <ns0:v>0</ns0:v>
      </ns0:c>
      <ns0:c r="AQ162" s="87" t="n">
        <ns0:v>7.42</ns0:v>
      </ns0:c>
      <ns0:c r="AR162" s="87" t="n">
        <ns0:v>97.84999999999999</ns0:v>
      </ns0:c>
      <ns0:c r="AS162" s="87" t="n">
        <ns0:v>-25.6</ns0:v>
      </ns0:c>
      <ns0:c r="AT162" s="87" t="n">
        <ns0:v>-20.08</ns0:v>
      </ns0:c>
      <ns0:c r="AU162" s="87" t="n">
        <ns0:v>47.2</ns0:v>
      </ns0:c>
      <ns0:c r="AV162" s="87" t="n">
        <ns0:v>-8.31</ns0:v>
      </ns0:c>
      <ns0:c r="AW162" s="87" t="n">
        <ns0:v>-5.25</ns0:v>
      </ns0:c>
      <ns0:c r="AX162" s="87" t="n">
        <ns0:v>97.47</ns0:v>
      </ns0:c>
      <ns0:c r="AY162" s="87" t="n">
        <ns0:v>-32.05</ns0:v>
      </ns0:c>
      <ns0:c r="AZ162" s="87" t="n">
        <ns0:v>12.67</ns0:v>
      </ns0:c>
      <ns0:c r="BA162" s="87" t="n">
        <ns0:v>11.97</ns0:v>
      </ns0:c>
      <ns0:c r="BB162" s="74" t="inlineStr">
        <ns0:is>
          <ns0:t>China Biotech ETF (HS biotech proxy)</ns0:t>
        </ns0:is>
      </ns0:c>
      <ns0:c r="BC162" s="87" t="n">
        <ns0:v>-91.77</ns0:v>
      </ns0:c>
      <ns0:c r="BD162" s="75" t="n">
        <ns0:v>46297</ns0:v>
      </ns0:c>
      <ns0:c r="BE162" s="76" t="n">
        <ns0:v>3821.3</ns0:v>
      </ns0:c>
      <ns0:c r="BF162" s="79" t="n">
        <ns0:v>-4114.5</ns0:v>
      </ns0:c>
      <ns0:c r="BG162" s="74" t="inlineStr">
        <ns0:is>
          <ns0:t>N</ns0:t>
        </ns0:is>
      </ns0:c>
      <ns0:c r="BH162" s="74" t="inlineStr">
        <ns0:is>
          <ns0:t>n/m</ns0:t>
        </ns0:is>
      </ns0:c>
      <ns0:c r="BI162" s="88" t="n"/>
      <ns0:c r="BJ162" s="88" t="n"/>
      <ns0:c r="BK162" s="88" t="n"/>
      <ns0:c r="BL162" s="90">
        <ns0:f>IFERROR(IF('BBG Verify'!S162="","Awaiting Bloomberg",'BBG Verify'!S162),"Awaiting Bloomberg")</ns0:f>
        <ns0:v/>
      </ns0:c>
      <ns0:c r="BM162" s="91" t="inlineStr">
        <ns0:is>
          <ns0:t>N</ns0:t>
        </ns0:is>
      </ns0:c>
      <ns0:c r="BN162" s="92">
        <ns0:f>IFERROR(IF('BBG Verify'!K162="","Awaiting Bloomberg",'BBG Verify'!K162),"Awaiting Bloomberg")</ns0:f>
        <ns0:v/>
      </ns0:c>
      <ns0:c r="BO162" s="74" t="inlineStr">
        <ns0:is>
          <ns0:t>N/A</ns0:t>
        </ns0:is>
      </ns0:c>
      <ns0:c r="BP162" s="74" t="inlineStr">
        <ns0:is>
          <ns0:t>N/A</ns0:t>
        </ns0:is>
      </ns0:c>
      <ns0:c r="BQ162" s="74" t="inlineStr">
        <ns0:is>
          <ns0:t>N/A</ns0:t>
        </ns0:is>
      </ns0:c>
      <ns0:c r="BR162" s="74" t="inlineStr">
        <ns0:is>
          <ns0:t>N/A</ns0:t>
        </ns0:is>
      </ns0:c>
      <ns0:c r="BS162" s="74" t="inlineStr">
        <ns0:is>
          <ns0:t>N/A</ns0:t>
        </ns0:is>
      </ns0:c>
      <ns0:c r="BT162" s="74" t="inlineStr">
        <ns0:is>
          <ns0:t>N/A</ns0:t>
        </ns0:is>
      </ns0:c>
      <ns0:c r="BU162" s="91" t="inlineStr">
        <ns0:is>
          <ns0:t>Morgan Stanley Asia Limited; Haitong International Capital Limited; Haitong International Securities Company Limited</ns0:t>
        </ns0:is>
      </ns0:c>
      <ns0:c r="BV162" s="74" t="inlineStr">
        <ns0:is>
          <ns0:t>Morgan Stanley Asia Limited; Haitong International Capital Limited</ns0:t>
        </ns0:is>
      </ns0:c>
      <ns0:c r="BW162" s="74" t="inlineStr">
        <ns0:is>
          <ns0:t>Futu Securities International (Hong Kong) Limited; Haitong International Securities Company Limited; I Win Securities Limited; Maxa Capital Limited; Morgan Stanley Asia Limited</ns0:t>
        </ns0:is>
      </ns0:c>
      <ns0:c r="BX162" s="74" t="inlineStr">
        <ns0:is>
          <ns0:t>Futu Securities International (Hong Kong) Limited; Haitong International Securities Company Limited; I Win Securities Limited; Maxa Capital Limited; Morgan Stanley Asia Limited</ns0:t>
        </ns0:is>
      </ns0:c>
      <ns0:c r="BY162" s="93">
        <ns0:f>HYPERLINK("https://www1.hkexnews.hk/listedco/listconews/sehk/2022/1212/2022121200024.htm","prospectus")</ns0:f>
        <ns0:v/>
      </ns0:c>
      <ns0:c r="BZ162" s="93">
        <ns0:f>HYPERLINK("https://www1.hkexnews.hk/listedco/listconews/sehk/2022/1222/2022122200018.htm","allotment")</ns0:f>
        <ns0:v/>
      </ns0:c>
      <ns0:c r="CA162" s="93">
        <ns0:f>HYPERLINK("https://www1.hkexnews.hk/listedco/listconews/sehk/2023/0115/2023011500007.pdf","stabilisation")</ns0:f>
        <ns0:v/>
      </ns0:c>
      <ns0:c r="CB162" s="94" t="n"/>
      <ns0:c r="CC162" s="74" t="inlineStr">
        <ns0:is>
          <ns0:t>P/E: loss-making at IPO, use P/S; price range: fixed-price offering (no indicative range); range low: maximum offer price only, no floor published; market cap: no share count, offer % of capital or published listing cap; cornerstone list: no cornerstone tranche; greenshoe size: no over-allotment option; P/S: market cap not derivable; eff free float: % of cap not computable: market cap not derivable; allocation: allocation table not in this notice's format (older prose announcement); day-1 tape: volume on file; the retail multiple needs the final public split, which this notice does not state</ns0:t>
        </ns0:is>
      </ns0:c>
    </ns0:row>
    <ns0:row r="163" ht="22" customHeight="1">
      <ns0:c r="A163" s="73" t="inlineStr">
        <ns0:is>
          <ns0:t>6929</ns0:t>
        </ns0:is>
      </ns0:c>
      <ns0:c r="B163" s="74" t="inlineStr">
        <ns0:is>
          <ns0:t>ORBUSNEICH</ns0:t>
        </ns0:is>
      </ns0:c>
      <ns0:c r="C163" s="74" t="inlineStr">
        <ns0:is>
          <ns0:t>業聚醫療</ns0:t>
        </ns0:is>
      </ns0:c>
      <ns0:c r="D163" s="74" t="inlineStr">
        <ns0:is>
          <ns0:t>Healthcare</ns0:t>
        </ns0:is>
      </ns0:c>
      <ns0:c r="E163" s="74" t="inlineStr">
        <ns0:is>
          <ns0:t>Medical devices</ns0:t>
        </ns0:is>
      </ns0:c>
      <ns0:c r="F163" s="74" t="inlineStr">
        <ns0:is>
          <ns0:t>Health Care Equipment</ns0:t>
        </ns0:is>
      </ns0:c>
      <ns0:c r="G163" s="74" t="inlineStr">
        <ns0:is>
          <ns0:t>Standard</ns0:t>
        </ns0:is>
      </ns0:c>
      <ns0:c r="H163" s="75" t="n">
        <ns0:v>44918</ns0:v>
      </ns0:c>
      <ns0:c r="I163" s="76" t="n">
        <ns0:v>480.8</ns0:v>
      </ns0:c>
      <ns0:c r="J163" s="74" t="inlineStr">
        <ns0:is>
          <ns0:t>gross (price x shares)</ns0:t>
        </ns0:is>
      </ns0:c>
      <ns0:c r="K163" s="95" t="n"/>
      <ns0:c r="L163" s="77" t="n">
        <ns0:v>8.800000000000001</ns0:v>
      </ns0:c>
      <ns0:c r="M163" s="77" t="n">
        <ns0:v>8.800000000000001</ns0:v>
      </ns0:c>
      <ns0:c r="N163" s="74" t="inlineStr">
        <ns0:is>
          <ns0:t>Y</ns0:t>
        </ns0:is>
      </ns0:c>
      <ns0:c r="O163" s="78" t="n">
        <ns0:v>100</ns0:v>
      </ns0:c>
      <ns0:c r="P163" s="84" t="n"/>
      <ns0:c r="Q163" s="79" t="n">
        <ns0:v>7284</ns0:v>
      </ns0:c>
      <ns0:c r="R163" s="74" t="inlineStr">
        <ns0:is>
          <ns0:t>prospectus:stated market capitalisation</ns0:t>
        </ns0:is>
      </ns0:c>
      <ns0:c r="S163" s="80" t="n">
        <ns0:v>2.01</ns0:v>
      </ns0:c>
      <ns0:c r="T163" s="81" t="n">
        <ns0:v>1.09</ns0:v>
      </ns0:c>
      <ns0:c r="U163" s="82" t="n">
        <ns0:v>72.59999999999999</ns0:v>
      </ns0:c>
      <ns0:c r="V163" s="83" t="n">
        <ns0:v>115</ns0:v>
      </ns0:c>
      <ns0:c r="W163" s="84" t="n"/>
      <ns0:c r="X163" s="85" t="n"/>
      <ns0:c r="Y163" s="79" t="n">
        <ns0:v>131.74</ns0:v>
      </ns0:c>
      <ns0:c r="Z163" s="79" t="n">
        <ns0:v>14969442</ns0:v>
      </ns0:c>
      <ns0:c r="AA163" s="78" t="n">
        <ns0:v>1.81</ns0:v>
      </ns0:c>
      <ns0:c r="AB163" s="74" t="inlineStr">
        <ns0:is>
          <ns0:t>Hangzhou Fuyang Industrial Fund Investment Management Co., Ltd</ns0:t>
        </ns0:is>
      </ns0:c>
      <ns0:c r="AC163" s="74" t="inlineStr">
        <ns0:is>
          <ns0:t>hangzhou-fuyang</ns0:t>
        </ns0:is>
      </ns0:c>
      <ns0:c r="AD163" s="84" t="n"/>
      <ns0:c r="AE163" s="85" t="n"/>
      <ns0:c r="AF163" s="85" t="n"/>
      <ns0:c r="AG163" s="85" t="n"/>
      <ns0:c r="AH163" s="85" t="n"/>
      <ns0:c r="AI163" s="86" t="n">
        <ns0:v>-2.27</ns0:v>
      </ns0:c>
      <ns0:c r="AJ163" s="87" t="n">
        <ns0:v>3.98</ns0:v>
      </ns0:c>
      <ns0:c r="AK163" s="87" t="n">
        <ns0:v>0.62</ns0:v>
      </ns0:c>
      <ns0:c r="AL163" s="87" t="n">
        <ns0:v>0</ns0:v>
      </ns0:c>
      <ns0:c r="AM163" s="87" t="n">
        <ns0:v>3.98</ns0:v>
      </ns0:c>
      <ns0:c r="AN163" s="88" t="n"/>
      <ns0:c r="AO163" s="78" t="n">
        <ns0:v>12.5</ns0:v>
      </ns0:c>
      <ns0:c r="AP163" s="87" t="n">
        <ns0:v>-5.11</ns0:v>
      </ns0:c>
      <ns0:c r="AQ163" s="87" t="n">
        <ns0:v>-6.25</ns0:v>
      </ns0:c>
      <ns0:c r="AR163" s="87" t="n">
        <ns0:v>45.68</ns0:v>
      </ns0:c>
      <ns0:c r="AS163" s="87" t="n">
        <ns0:v>-8.74</ns0:v>
      </ns0:c>
      <ns0:c r="AT163" s="87" t="n">
        <ns0:v>-9.84</ns0:v>
      </ns0:c>
      <ns0:c r="AU163" s="87" t="n">
        <ns0:v>40.1</ns0:v>
      </ns0:c>
      <ns0:c r="AV163" s="87" t="n">
        <ns0:v>-13.42</ns0:v>
      </ns0:c>
      <ns0:c r="AW163" s="87" t="n">
        <ns0:v>-18.92</ns0:v>
      </ns0:c>
      <ns0:c r="AX163" s="87" t="n">
        <ns0:v>45.3</ns0:v>
      </ns0:c>
      <ns0:c r="AY163" s="87" t="n">
        <ns0:v>-21.81</ns0:v>
      </ns0:c>
      <ns0:c r="AZ163" s="87" t="n">
        <ns0:v>12.67</ns0:v>
      </ns0:c>
      <ns0:c r="BA163" s="87" t="n">
        <ns0:v>11.97</ns0:v>
      </ns0:c>
      <ns0:c r="BB163" s="74" t="inlineStr">
        <ns0:is>
          <ns0:t>China Biotech ETF (HS biotech proxy)</ns0:t>
        </ns0:is>
      </ns0:c>
      <ns0:c r="BC163" s="87" t="n">
        <ns0:v>-57.16</ns0:v>
      </ns0:c>
      <ns0:c r="BD163" s="75" t="n">
        <ns0:v>46297</ns0:v>
      </ns0:c>
      <ns0:c r="BE163" s="76" t="n">
        <ns0:v>908.4</ns0:v>
      </ns0:c>
      <ns0:c r="BF163" s="79" t="n">
        <ns0:v>-10.3</ns0:v>
      </ns0:c>
      <ns0:c r="BG163" s="74" t="inlineStr">
        <ns0:is>
          <ns0:t>N</ns0:t>
        </ns0:is>
      </ns0:c>
      <ns0:c r="BH163" s="74" t="inlineStr">
        <ns0:is>
          <ns0:t>n/m</ns0:t>
        </ns0:is>
      </ns0:c>
      <ns0:c r="BI163" s="88" t="n"/>
      <ns0:c r="BJ163" s="89" t="n">
        <ns0:v>9.699999999999999</ns0:v>
      </ns0:c>
      <ns0:c r="BK163" s="89" t="n">
        <ns0:v>8</ns0:v>
      </ns0:c>
      <ns0:c r="BL163" s="90">
        <ns0:f>IFERROR(IF('BBG Verify'!S163="","Awaiting Bloomberg",'BBG Verify'!S163),"Awaiting Bloomberg")</ns0:f>
        <ns0:v/>
      </ns0:c>
      <ns0:c r="BM163" s="91" t="inlineStr">
        <ns0:is>
          <ns0:t>N</ns0:t>
        </ns0:is>
      </ns0:c>
      <ns0:c r="BN163" s="92">
        <ns0:f>IFERROR(IF('BBG Verify'!K163="","Awaiting Bloomberg",'BBG Verify'!K163),"Awaiting Bloomberg")</ns0:f>
        <ns0:v/>
      </ns0:c>
      <ns0:c r="BO163" s="74" t="inlineStr">
        <ns0:is>
          <ns0:t>N/A</ns0:t>
        </ns0:is>
      </ns0:c>
      <ns0:c r="BP163" s="74" t="inlineStr">
        <ns0:is>
          <ns0:t>N/A</ns0:t>
        </ns0:is>
      </ns0:c>
      <ns0:c r="BQ163" s="74" t="inlineStr">
        <ns0:is>
          <ns0:t>N/A</ns0:t>
        </ns0:is>
      </ns0:c>
      <ns0:c r="BR163" s="74" t="inlineStr">
        <ns0:is>
          <ns0:t>N/A</ns0:t>
        </ns0:is>
      </ns0:c>
      <ns0:c r="BS163" s="74" t="inlineStr">
        <ns0:is>
          <ns0:t>N/A</ns0:t>
        </ns0:is>
      </ns0:c>
      <ns0:c r="BT163" s="74" t="inlineStr">
        <ns0:is>
          <ns0:t>N/A</ns0:t>
        </ns0:is>
      </ns0:c>
      <ns0:c r="BU163" s="91" t="inlineStr">
        <ns0:is>
          <ns0:t>China International Capital Corporation Hong Kong Securities Limited; CCB International Capital Limited</ns0:t>
        </ns0:is>
      </ns0:c>
      <ns0:c r="BV163" s="74" t="inlineStr">
        <ns0:is>
          <ns0:t>CCB International Capital Limited; China International Capital Corporation (HK) Ltd</ns0:t>
        </ns0:is>
      </ns0:c>
      <ns0:c r="BW163" s="74" t="inlineStr">
        <ns0:is>
          <ns0:t>China International Capital Corporation Hong Kong Securities Limited; CCB International Capital Limited; BNP Paribas Securities (Asia) Limited; CLSA Limited; China Merchants Securities (HK) Co., Limited; ZMF Asset Management Limited; Futu Securities International (Hong Kong) Limited</ns0:t>
        </ns0:is>
      </ns0:c>
      <ns0:c r="BX163" s="74" t="inlineStr">
        <ns0:is>
          <ns0: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ns0:t>
        </ns0:is>
      </ns0:c>
      <ns0:c r="BY163" s="93">
        <ns0:f>HYPERLINK("https://www1.hkexnews.hk/listedco/listconews/sehk/2022/1213/2022121300009.pdf","prospectus")</ns0:f>
        <ns0:v/>
      </ns0:c>
      <ns0:c r="BZ163" s="93">
        <ns0:f>HYPERLINK("https://www1.hkexnews.hk/listedco/listconews/sehk/2022/1222/2022122200034.htm","allotment")</ns0:f>
        <ns0:v/>
      </ns0:c>
      <ns0:c r="CA163" s="85" t="n"/>
      <ns0:c r="CB163" s="94" t="n"/>
      <ns0:c r="CC163" s="74" t="inlineStr">
        <ns0:is>
          <ns0:t>P/E: loss-making at IPO, use P/S; greenshoe: no over-allotment option; range low: maximum offer price only, no floor published; greenshoe size: no over-allotment option; stabilising manager: no over-allotment option, so none appointed; allocation: allocation table not in this notice's format (older prose announcement); day-1 tape: volume on file; the retail multiple needs the final public split, which this notice does not state</ns0:t>
        </ns0:is>
      </ns0:c>
    </ns0:row>
    <ns0:row r="164" ht="22" customHeight="1">
      <ns0:c r="A164" s="73" t="inlineStr">
        <ns0:is>
          <ns0:t>2427</ns0:t>
        </ns0:is>
      </ns0:c>
      <ns0:c r="B164" s="74" t="inlineStr">
        <ns0:is>
          <ns0:t>GUANZE MEDICAL</ns0:t>
        </ns0:is>
      </ns0:c>
      <ns0:c r="C164" s="74" t="inlineStr">
        <ns0:is>
          <ns0:t>GUANZE MEDICAL</ns0:t>
        </ns0:is>
      </ns0:c>
      <ns0:c r="D164" s="74" t="inlineStr">
        <ns0:is>
          <ns0:t>Healthcare</ns0:t>
        </ns0:is>
      </ns0:c>
      <ns0:c r="E164" s="74" t="inlineStr">
        <ns0:is>
          <ns0:t>Medical devices</ns0:t>
        </ns0:is>
      </ns0:c>
      <ns0:c r="F164" s="74" t="inlineStr">
        <ns0:is>
          <ns0:t>Health Care Services</ns0:t>
        </ns0:is>
      </ns0:c>
      <ns0:c r="G164" s="74" t="inlineStr">
        <ns0:is>
          <ns0:t>Standard</ns0:t>
        </ns0:is>
      </ns0:c>
      <ns0:c r="H164" s="75" t="n">
        <ns0:v>44924</ns0:v>
      </ns0:c>
      <ns0:c r="I164" s="76" t="n">
        <ns0:v>102.2</ns0:v>
      </ns0:c>
      <ns0:c r="J164" s="74" t="inlineStr">
        <ns0:is>
          <ns0:t>gross (price x shares)</ns0:t>
        </ns0:is>
      </ns0:c>
      <ns0:c r="K164" s="77" t="n">
        <ns0:v>0.53</ns0:v>
      </ns0:c>
      <ns0:c r="L164" s="77" t="n">
        <ns0:v>0.63</ns0:v>
      </ns0:c>
      <ns0:c r="M164" s="77" t="n">
        <ns0:v>0.53</ns0:v>
      </ns0:c>
      <ns0:c r="N164" s="74" t="inlineStr">
        <ns0:is>
          <ns0:t>N</ns0:t>
        </ns0:is>
      </ns0:c>
      <ns0:c r="O164" s="78" t="n">
        <ns0:v>84.09999999999999</ns0:v>
      </ns0:c>
      <ns0:c r="P164" s="78" t="n">
        <ns0:v>0</ns0:v>
      </ns0:c>
      <ns0:c r="Q164" s="79" t="n">
        <ns0:v>551</ns0:v>
      </ns0:c>
      <ns0:c r="R164" s="74" t="inlineStr">
        <ns0:is>
          <ns0:t>aastocks:上市市值 at the struck price</ns0:t>
        </ns0:is>
      </ns0:c>
      <ns0:c r="S164" s="80" t="n">
        <ns0:v>14.23</ns0:v>
      </ns0:c>
      <ns0:c r="T164" s="81" t="n">
        <ns0:v>1.2</ns0:v>
      </ns0:c>
      <ns0:c r="U164" s="82" t="n">
        <ns0:v>24</ns0:v>
      </ns0:c>
      <ns0:c r="V164" s="83" t="n">
        <ns0:v>147</ns0:v>
      </ns0:c>
      <ns0:c r="W164" s="84" t="n"/>
      <ns0:c r="X164" s="85" t="n"/>
      <ns0:c r="Y164" s="79" t="n">
        <ns0:v>77.67</ns0:v>
      </ns0:c>
      <ns0:c r="Z164" s="79" t="n">
        <ns0:v>146566000</ns0:v>
      </ns0:c>
      <ns0:c r="AA164" s="78" t="n">
        <ns0:v>14.1</ns0:v>
      </ns0:c>
      <ns0:c r="AB164" s="74" t="inlineStr">
        <ns0:is>
          <ns0:t>Carsonlin Investment Ltd; Mu Min; Yang Xinyun</ns0:t>
        </ns0:is>
      </ns0:c>
      <ns0:c r="AC164" s="74" t="inlineStr">
        <ns0:is>
          <ns0:t>carsonlin;mu;yang-xinyun</ns0:t>
        </ns0:is>
      </ns0:c>
      <ns0:c r="AD164" s="78" t="n">
        <ns0:v>10</ns0:v>
      </ns0:c>
      <ns0:c r="AE164" s="74" t="inlineStr">
        <ns0:is>
          <ns0:t>lapsed (no over-allocation)</ns0:t>
        </ns0:is>
      </ns0:c>
      <ns0:c r="AF164" s="85" t="n"/>
      <ns0:c r="AG164" s="85" t="n"/>
      <ns0:c r="AH164" s="85" t="n"/>
      <ns0:c r="AI164" s="86" t="n">
        <ns0:v>160.38</ns0:v>
      </ns0:c>
      <ns0:c r="AJ164" s="87" t="n">
        <ns0:v>230.19</ns0:v>
      </ns0:c>
      <ns0:c r="AK164" s="87" t="n">
        <ns0:v>2.92</ns0:v>
      </ns0:c>
      <ns0:c r="AL164" s="87" t="n">
        <ns0:v>126.42</ns0:v>
      </ns0:c>
      <ns0:c r="AM164" s="87" t="n">
        <ns0:v>45.83</ns0:v>
      </ns0:c>
      <ns0:c r="AN164" s="88" t="n"/>
      <ns0:c r="AO164" s="78" t="n">
        <ns0:v>62.5</ns0:v>
      </ns0:c>
      <ns0:c r="AP164" s="87" t="n">
        <ns0:v>281.13</ns0:v>
      </ns0:c>
      <ns0:c r="AQ164" s="87" t="n">
        <ns0:v>196.23</ns0:v>
      </ns0:c>
      <ns0:c r="AR164" s="87" t="n">
        <ns0:v>696.23</ns0:v>
      </ns0:c>
      <ns0:c r="AS164" s="87" t="n">
        <ns0:v>15.43</ns0:v>
      </ns0:c>
      <ns0:c r="AT164" s="87" t="n">
        <ns0:v>-10.28</ns0:v>
      </ns0:c>
      <ns0:c r="AU164" s="87" t="n">
        <ns0:v>141.14</ns0:v>
      </ns0:c>
      <ns0:c r="AV164" s="87" t="n">
        <ns0:v>273.69</ns0:v>
      </ns0:c>
      <ns0:c r="AW164" s="87" t="n">
        <ns0:v>182.72</ns0:v>
      </ns0:c>
      <ns0:c r="AX164" s="87" t="n">
        <ns0:v>699.04</ns0:v>
      </ns0:c>
      <ns0:c r="AY164" s="87" t="n">
        <ns0:v>-20.57</ns0:v>
      </ns0:c>
      <ns0:c r="AZ164" s="87" t="n">
        <ns0:v>13.51</ns0:v>
      </ns0:c>
      <ns0:c r="BA164" s="87" t="n">
        <ns0:v>10.29</ns0:v>
      </ns0:c>
      <ns0:c r="BB164" s="74" t="inlineStr">
        <ns0:is>
          <ns0:t>China Biotech ETF (HS biotech proxy)</ns0:t>
        </ns0:is>
      </ns0:c>
      <ns0:c r="BC164" s="87" t="n">
        <ns0:v>431.13</ns0:v>
      </ns0:c>
      <ns0:c r="BD164" s="75" t="n">
        <ns0:v>46297</ns0:v>
      </ns0:c>
      <ns0:c r="BE164" s="76" t="n">
        <ns0:v>232.1</ns0:v>
      </ns0:c>
      <ns0:c r="BF164" s="79" t="n">
        <ns0:v>25.4</ns0:v>
      </ns0:c>
      <ns0:c r="BG164" s="74" t="inlineStr">
        <ns0:is>
          <ns0:t>Y</ns0:t>
        </ns0:is>
      </ns0:c>
      <ns0:c r="BH164" s="89" t="n">
        <ns0:v>21.7</ns0:v>
      </ns0:c>
      <ns0:c r="BI164" s="88" t="n"/>
      <ns0:c r="BJ164" s="88" t="n"/>
      <ns0:c r="BK164" s="89" t="n">
        <ns0:v>2.4</ns0:v>
      </ns0:c>
      <ns0:c r="BL164" s="90">
        <ns0:f>IFERROR(IF('BBG Verify'!S164="","Awaiting Bloomberg",'BBG Verify'!S164),"Awaiting Bloomberg")</ns0:f>
        <ns0:v/>
      </ns0:c>
      <ns0:c r="BM164" s="91" t="inlineStr">
        <ns0:is>
          <ns0:t>N</ns0:t>
        </ns0:is>
      </ns0:c>
      <ns0:c r="BN164" s="92">
        <ns0:f>IFERROR(IF('BBG Verify'!K164="","Awaiting Bloomberg",'BBG Verify'!K164),"Awaiting Bloomberg")</ns0:f>
        <ns0:v/>
      </ns0:c>
      <ns0:c r="BO164" s="74" t="inlineStr">
        <ns0:is>
          <ns0:t>N/A</ns0:t>
        </ns0:is>
      </ns0:c>
      <ns0:c r="BP164" s="74" t="inlineStr">
        <ns0:is>
          <ns0:t>N/A</ns0:t>
        </ns0:is>
      </ns0:c>
      <ns0:c r="BQ164" s="74" t="inlineStr">
        <ns0:is>
          <ns0:t>N/A</ns0:t>
        </ns0:is>
      </ns0:c>
      <ns0:c r="BR164" s="74" t="inlineStr">
        <ns0:is>
          <ns0:t>N/A</ns0:t>
        </ns0:is>
      </ns0:c>
      <ns0:c r="BS164" s="74" t="inlineStr">
        <ns0:is>
          <ns0:t>N/A</ns0:t>
        </ns0:is>
      </ns0:c>
      <ns0:c r="BT164" s="74" t="inlineStr">
        <ns0:is>
          <ns0:t>N/A</ns0:t>
        </ns0:is>
      </ns0:c>
      <ns0:c r="BU164" s="91" t="inlineStr">
        <ns0:is>
          <ns0:t>Southwest Securities (HK) Capital Limited</ns0:t>
        </ns0:is>
      </ns0:c>
      <ns0:c r="BV164" s="74" t="inlineStr">
        <ns0:is>
          <ns0:t>Southwest Securities (HK) Capital Limited</ns0:t>
        </ns0:is>
      </ns0:c>
      <ns0:c r="BW164" s="74" t="inlineStr">
        <ns0:is>
          <ns0:t>Southwest Securities (HK) Brokerage Limited; Goldlink Securities Limited; Lead Securities (HK) Limited; BOCOM International S ecurities Limited; Shenwan Hongyuan Securi ties (H.K.) Limited; SPDB International Capital Limited; Zhongtai International Securities Limited; Alpha Financial Group Limited; Elstone Securities Limited</ns0:t>
        </ns0:is>
      </ns0:c>
      <ns0:c r="BX164" s="74" t="inlineStr">
        <ns0:is>
          <ns0: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ns0:t>
        </ns0:is>
      </ns0:c>
      <ns0:c r="BY164" s="93">
        <ns0:f>HYPERLINK("https://www1.hkexnews.hk/listedco/listconews/sehk/2022/1215/2022121500017.pdf","prospectus")</ns0:f>
        <ns0:v/>
      </ns0:c>
      <ns0:c r="BZ164" s="93">
        <ns0:f>HYPERLINK("https://www1.hkexnews.hk/listedco/listconews/sehk/2022/1228/2022122800004.htm","allotment")</ns0:f>
        <ns0:v/>
      </ns0:c>
      <ns0:c r="CA164" s="93">
        <ns0:f>HYPERLINK("https://www1.hkexnews.hk/listedco/listconews/sehk/2023/0119/2023011900669.pdf","stabilisation")</ns0:f>
        <ns0:v/>
      </ns0:c>
      <ns0:c r="CB164" s="94" t="n"/>
      <ns0:c r="CC164" s="74" t="inlineStr">
        <ns0:is>
          <ns0:t>greenshoe: outcome published; expiry date not in the notice; market cap: published listing cap used; the estimate from deal size / offer % of enlarged capital disagreed; stabilising manager: not named in the allotment notice or prospectus glossary; allocation: allocation table not in this notice's format (older prose announcement); day-1 tape: volume on file; the retail multiple needs the final public split, which this notice does not state</ns0:t>
        </ns0:is>
      </ns0:c>
    </ns0:row>
    <ns0:row r="165" ht="22" customHeight="1">
      <ns0:c r="A165" s="73" t="inlineStr">
        <ns0:is>
          <ns0:t>6698</ns0:t>
        </ns0:is>
      </ns0:c>
      <ns0:c r="B165" s="74" t="inlineStr">
        <ns0:is>
          <ns0:t>STAR CM</ns0:t>
        </ns0:is>
      </ns0:c>
      <ns0:c r="C165" s="74" t="inlineStr">
        <ns0:is>
          <ns0:t>星空華文</ns0:t>
        </ns0:is>
      </ns0:c>
      <ns0:c r="D165" s="74" t="inlineStr">
        <ns0:is>
          <ns0:t>Media &amp; telecom</ns0:t>
        </ns0:is>
      </ns0:c>
      <ns0:c r="E165" s="74" t="inlineStr">
        <ns0:is>
          <ns0:t>Media / advertising</ns0:t>
        </ns0:is>
      </ns0:c>
      <ns0:c r="F165" s="74" t="inlineStr">
        <ns0:is>
          <ns0:t>Movies &amp; Entertainment</ns0:t>
        </ns0:is>
      </ns0:c>
      <ns0:c r="G165" s="74" t="inlineStr">
        <ns0:is>
          <ns0:t>Standard</ns0:t>
        </ns0:is>
      </ns0:c>
      <ns0:c r="H165" s="75" t="n">
        <ns0:v>44924</ns0:v>
      </ns0:c>
      <ns0:c r="I165" s="76" t="n">
        <ns0:v>390.4</ns0:v>
      </ns0:c>
      <ns0:c r="J165" s="74" t="inlineStr">
        <ns0:is>
          <ns0:t>gross (price x shares)</ns0:t>
        </ns0:is>
      </ns0:c>
      <ns0:c r="K165" s="77" t="n">
        <ns0:v>25.5</ns0:v>
      </ns0:c>
      <ns0:c r="L165" s="77" t="n">
        <ns0:v>32.5</ns0:v>
      </ns0:c>
      <ns0:c r="M165" s="77" t="n">
        <ns0:v>26.5</ns0:v>
      </ns0:c>
      <ns0:c r="N165" s="74" t="inlineStr">
        <ns0:is>
          <ns0:t>N</ns0:t>
        </ns0:is>
      </ns0:c>
      <ns0:c r="O165" s="78" t="n">
        <ns0:v>81.5</ns0:v>
      </ns0:c>
      <ns0:c r="P165" s="78" t="n">
        <ns0:v>14.3</ns0:v>
      </ns0:c>
      <ns0:c r="Q165" s="79" t="n">
        <ns0:v>10551.4</ns0:v>
      </ns0:c>
      <ns0:c r="R165" s="74" t="inlineStr">
        <ns0:is>
          <ns0:t>derived:deal size / offer % of enlarged capital</ns0:t>
        </ns0:is>
      </ns0:c>
      <ns0:c r="S165" s="80" t="n">
        <ns0:v>5.12</ns0:v>
      </ns0:c>
      <ns0:c r="T165" s="81" t="n">
        <ns0:v>1.47</ns0:v>
      </ns0:c>
      <ns0:c r="U165" s="82" t="n">
        <ns0:v>10</ns0:v>
      </ns0:c>
      <ns0:c r="V165" s="83" t="n">
        <ns0:v>122</ns0:v>
      </ns0:c>
      <ns0:c r="W165" s="84" t="n"/>
      <ns0:c r="X165" s="85" t="n"/>
      <ns0:c r="Y165" s="79" t="n">
        <ns0:v>351.36</ns0:v>
      </ns0:c>
      <ns0:c r="Z165" s="79" t="n">
        <ns0:v>13258440</ns0:v>
      </ns0:c>
      <ns0:c r="AA165" s="78" t="n">
        <ns0:v>3.33</ns0:v>
      </ns0:c>
      <ns0:c r="AB165" s="74" t="inlineStr">
        <ns0:is>
          <ns0:t>TradArt Investment SP</ns0:t>
        </ns0:is>
      </ns0:c>
      <ns0:c r="AC165" s="74" t="inlineStr">
        <ns0:is>
          <ns0:t>tradart</ns0:t>
        </ns0:is>
      </ns0:c>
      <ns0:c r="AD165" s="78" t="n">
        <ns0:v>15</ns0:v>
      </ns0:c>
      <ns0:c r="AE165" s="74" t="inlineStr">
        <ns0:is>
          <ns0:t>partial</ns0:t>
        </ns0:is>
      </ns0:c>
      <ns0:c r="AF165" s="74" t="inlineStr">
        <ns0:is>
          <ns0:t>2023-01-19</ns0:t>
        </ns0:is>
      </ns0:c>
      <ns0:c r="AG165" s="74" t="inlineStr">
        <ns0:is>
          <ns0:t>China Securities</ns0:t>
        </ns0:is>
      </ns0:c>
      <ns0:c r="AH165" s="74" t="inlineStr">
        <ns0:is>
          <ns0:t>China Securities</ns0:t>
        </ns0:is>
      </ns0:c>
      <ns0:c r="AI165" s="86" t="n">
        <ns0:v>37.36</ns0:v>
      </ns0:c>
      <ns0:c r="AJ165" s="87" t="n">
        <ns0:v>70.56999999999999</ns0:v>
      </ns0:c>
      <ns0:c r="AK165" s="87" t="n">
        <ns0:v>-0.79</ns0:v>
      </ns0:c>
      <ns0:c r="AL165" s="87" t="n">
        <ns0:v>22.83</ns0:v>
      </ns0:c>
      <ns0:c r="AM165" s="87" t="n">
        <ns0:v>38.87</ns0:v>
      </ns0:c>
      <ns0:c r="AN165" s="88" t="n"/>
      <ns0:c r="AO165" s="78" t="n">
        <ns0:v>52.07</ns0:v>
      </ns0:c>
      <ns0:c r="AP165" s="87" t="n">
        <ns0:v>76.59999999999999</ns0:v>
      </ns0:c>
      <ns0:c r="AQ165" s="87" t="n">
        <ns0:v>198.3</ns0:v>
      </ns0:c>
      <ns0:c r="AR165" s="87" t="n">
        <ns0:v>277.36</ns0:v>
      </ns0:c>
      <ns0:c r="AS165" s="87" t="n">
        <ns0:v>3.54</ns0:v>
      </ns0:c>
      <ns0:c r="AT165" s="87" t="n">
        <ns0:v>74.88</ns0:v>
      </ns0:c>
      <ns0:c r="AU165" s="87" t="n">
        <ns0:v>121.23</ns0:v>
      </ns0:c>
      <ns0:c r="AV165" s="87" t="n">
        <ns0:v>71.11</ns0:v>
      </ns0:c>
      <ns0:c r="AW165" s="87" t="n">
        <ns0:v>187.95</ns0:v>
      </ns0:c>
      <ns0:c r="AX165" s="87" t="n">
        <ns0:v>274.8</ns0:v>
      </ns0:c>
      <ns0:c r="AY165" s="87" t="n">
        <ns0:v>63.65</ns0:v>
      </ns0:c>
      <ns0:c r="AZ165" s="87" t="n">
        <ns0:v>10.35</ns0:v>
      </ns0:c>
      <ns0:c r="BA165" s="87" t="n">
        <ns0:v>11.23</ns0:v>
      </ns0:c>
      <ns0:c r="BB165" s="74" t="inlineStr">
        <ns0:is>
          <ns0:t>Hang Seng Index</ns0:t>
        </ns0:is>
      </ns0:c>
      <ns0:c r="BC165" s="87" t="n">
        <ns0:v>-96.77</ns0:v>
      </ns0:c>
      <ns0:c r="BD165" s="75" t="n">
        <ns0:v>46297</ns0:v>
      </ns0:c>
      <ns0:c r="BE165" s="76" t="n">
        <ns0:v>960.8</ns0:v>
      </ns0:c>
      <ns0:c r="BF165" s="79" t="n">
        <ns0:v>95.59999999999999</ns0:v>
      </ns0:c>
      <ns0:c r="BG165" s="74" t="inlineStr">
        <ns0:is>
          <ns0:t>Y</ns0:t>
        </ns0:is>
      </ns0:c>
      <ns0:c r="BH165" s="89" t="n">
        <ns0:v>110.4</ns0:v>
      </ns0:c>
      <ns0:c r="BI165" s="88" t="n"/>
      <ns0:c r="BJ165" s="88" t="n"/>
      <ns0:c r="BK165" s="89" t="n">
        <ns0:v>11</ns0:v>
      </ns0:c>
      <ns0:c r="BL165" s="90">
        <ns0:f>IFERROR(IF('BBG Verify'!S165="","Awaiting Bloomberg",'BBG Verify'!S165),"Awaiting Bloomberg")</ns0:f>
        <ns0:v/>
      </ns0:c>
      <ns0:c r="BM165" s="91" t="inlineStr">
        <ns0:is>
          <ns0:t>N</ns0:t>
        </ns0:is>
      </ns0:c>
      <ns0:c r="BN165" s="92">
        <ns0:f>IFERROR(IF('BBG Verify'!K165="","Awaiting Bloomberg",'BBG Verify'!K165),"Awaiting Bloomberg")</ns0:f>
        <ns0:v/>
      </ns0:c>
      <ns0:c r="BO165" s="74" t="inlineStr">
        <ns0:is>
          <ns0:t>N/A</ns0:t>
        </ns0:is>
      </ns0:c>
      <ns0:c r="BP165" s="74" t="inlineStr">
        <ns0:is>
          <ns0:t>N/A</ns0:t>
        </ns0:is>
      </ns0:c>
      <ns0:c r="BQ165" s="74" t="inlineStr">
        <ns0:is>
          <ns0:t>N/A</ns0:t>
        </ns0:is>
      </ns0:c>
      <ns0:c r="BR165" s="74" t="inlineStr">
        <ns0:is>
          <ns0:t>N/A</ns0:t>
        </ns0:is>
      </ns0:c>
      <ns0:c r="BS165" s="74" t="inlineStr">
        <ns0:is>
          <ns0:t>N/A</ns0:t>
        </ns0:is>
      </ns0:c>
      <ns0:c r="BT165" s="74" t="inlineStr">
        <ns0:is>
          <ns0:t>N/A</ns0:t>
        </ns0:is>
      </ns0:c>
      <ns0:c r="BU165" s="91" t="inlineStr">
        <ns0:is>
          <ns0:t>China International Capital Corporation Hong Kong Securities Limited; China Securities (International) Corporate Finance Company Limited</ns0:t>
        </ns0:is>
      </ns0:c>
      <ns0:c r="BV165" s="74" t="inlineStr">
        <ns0:is>
          <ns0:t>China International Capital Corporation Hong Kong Securities Limited; China Securities (International) Corporate Finance Company Limited</ns0:t>
        </ns0:is>
      </ns0:c>
      <ns0:c r="BW165" s="74" t="inlineStr">
        <ns0:is>
          <ns0: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ns0:t>
        </ns0:is>
      </ns0:c>
      <ns0:c r="BX165" s="74" t="inlineStr">
        <ns0:is>
          <ns0: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ns0:t>
        </ns0:is>
      </ns0:c>
      <ns0:c r="BY165" s="93">
        <ns0:f>HYPERLINK("https://www1.hkexnews.hk/listedco/listconews/sehk/2022/1215/2022121500027.pdf","prospectus")</ns0:f>
        <ns0:v/>
      </ns0:c>
      <ns0:c r="BZ165" s="93">
        <ns0:f>HYPERLINK("https://www1.hkexnews.hk/listedco/listconews/sehk/2022/1228/2022122800022.htm","allotment")</ns0:f>
        <ns0:v/>
      </ns0:c>
      <ns0:c r="CA165" s="93">
        <ns0:f>HYPERLINK("https://www1.hkexnews.hk/listedco/listconews/sehk/2023/0119/2023011901155.pdf","stabilisation")</ns0:f>
        <ns0:v/>
      </ns0:c>
      <ns0:c r="CB165" s="94" t="n"/>
      <ns0:c r="CC165" s="74" t="inlineStr">
        <ns0:is>
          <ns0:t>cornerstone: table parse 97% rejected (institutional total implies 10%); the filed aggregate-amount sentence used; allocation: allocation table not in this notice's format (older prose announcement); day-1 tape: volume on file; the retail multiple needs the final public split, which this notice does not state</ns0:t>
        </ns0:is>
      </ns0:c>
    </ns0:row>
    <ns0:row r="166" ht="22" customHeight="1">
      <ns0:c r="A166" s="73" t="inlineStr">
        <ns0:is>
          <ns0:t>2425</ns0:t>
        </ns0:is>
      </ns0:c>
      <ns0:c r="B166" s="74" t="inlineStr">
        <ns0:is>
          <ns0:t>AUSTASIA GROUP</ns0:t>
        </ns0:is>
      </ns0:c>
      <ns0:c r="C166" s="74" t="inlineStr">
        <ns0:is>
          <ns0:t>澳亞集團</ns0:t>
        </ns0:is>
      </ns0:c>
      <ns0:c r="D166" s="74" t="inlineStr">
        <ns0:is>
          <ns0:t>Consumer</ns0:t>
        </ns0:is>
      </ns0:c>
      <ns0:c r="E166" s="74" t="inlineStr">
        <ns0:is>
          <ns0:t>Beverages / packaged food</ns0:t>
        </ns0:is>
      </ns0:c>
      <ns0:c r="F166" s="74" t="inlineStr">
        <ns0:is>
          <ns0:t>Dairy Products</ns0:t>
        </ns0:is>
      </ns0:c>
      <ns0:c r="G166" s="74" t="inlineStr">
        <ns0:is>
          <ns0:t>Standard</ns0:t>
        </ns0:is>
      </ns0:c>
      <ns0:c r="H166" s="75" t="n">
        <ns0:v>44925</ns0:v>
      </ns0:c>
      <ns0:c r="I166" s="76" t="n">
        <ns0:v>196.1</ns0:v>
      </ns0:c>
      <ns0:c r="J166" s="74" t="inlineStr">
        <ns0:is>
          <ns0:t>gross (price x shares)</ns0:t>
        </ns0:is>
      </ns0:c>
      <ns0:c r="K166" s="95" t="n"/>
      <ns0:c r="L166" s="77" t="n">
        <ns0:v>7</ns0:v>
      </ns0:c>
      <ns0:c r="M166" s="77" t="n">
        <ns0:v>6.4</ns0:v>
      </ns0:c>
      <ns0:c r="N166" s="74" t="inlineStr">
        <ns0:is>
          <ns0:t>N</ns0:t>
        </ns0:is>
      </ns0:c>
      <ns0:c r="O166" s="78" t="n">
        <ns0:v>91.40000000000001</ns0:v>
      </ns0:c>
      <ns0:c r="P166" s="84" t="n"/>
      <ns0:c r="Q166" s="79" t="n">
        <ns0:v>4830.6</ns0:v>
      </ns0:c>
      <ns0:c r="R166" s="74" t="inlineStr">
        <ns0:is>
          <ns0:t>aastocks:上市市值 at the struck price</ns0:t>
        </ns0:is>
      </ns0:c>
      <ns0:c r="S166" s="80" t="n">
        <ns0:v>2.08</ns0:v>
      </ns0:c>
      <ns0:c r="T166" s="81" t="n">
        <ns0:v>1.16</ns0:v>
      </ns0:c>
      <ns0:c r="U166" s="82" t="n">
        <ns0:v>44.1</ns0:v>
      </ns0:c>
      <ns0:c r="V166" s="83" t="n">
        <ns0:v>107</ns0:v>
      </ns0:c>
      <ns0:c r="W166" s="84" t="n"/>
      <ns0:c r="X166" s="85" t="n"/>
      <ns0:c r="Y166" s="79" t="n">
        <ns0:v>109.62</ns0:v>
      </ns0:c>
      <ns0:c r="Z166" s="79" t="n">
        <ns0:v>17127760</ns0:v>
      </ns0:c>
      <ns0:c r="AA166" s="78" t="n">
        <ns0:v>2.27</ns0:v>
      </ns0:c>
      <ns0:c r="AB166" s="74" t="inlineStr">
        <ns0:is>
          <ns0:t>Proterra Asia Food Fund 3 VCC; Well Alliance Investment Holdings Limited</ns0:t>
        </ns0:is>
      </ns0:c>
      <ns0:c r="AC166" s="74" t="inlineStr">
        <ns0:is>
          <ns0:t>proterra;well</ns0:t>
        </ns0:is>
      </ns0:c>
      <ns0:c r="AD166" s="78" t="n">
        <ns0:v>15</ns0:v>
      </ns0:c>
      <ns0:c r="AE166" s="74" t="inlineStr">
        <ns0:is>
          <ns0:t>partial</ns0:t>
        </ns0:is>
      </ns0:c>
      <ns0:c r="AF166" s="74" t="inlineStr">
        <ns0:is>
          <ns0:t>2023-01-20</ns0:t>
        </ns0:is>
      </ns0:c>
      <ns0:c r="AG166" s="74" t="inlineStr">
        <ns0:is>
          <ns0:t>China International Capital Corporation Hong Kong Securities Limited</ns0:t>
        </ns0:is>
      </ns0:c>
      <ns0:c r="AH166" s="74" t="inlineStr">
        <ns0:is>
          <ns0:t>China International</ns0:t>
        </ns0:is>
      </ns0:c>
      <ns0:c r="AI166" s="86" t="n">
        <ns0:v>-0.9399999999999999</ns0:v>
      </ns0:c>
      <ns0:c r="AJ166" s="87" t="n">
        <ns0:v>-0.47</ns0:v>
      </ns0:c>
      <ns0:c r="AK166" s="87" t="n">
        <ns0:v>-0.33</ns0:v>
      </ns0:c>
      <ns0:c r="AL166" s="87" t="n">
        <ns0:v>-4.69</ns0:v>
      </ns0:c>
      <ns0:c r="AM166" s="87" t="n">
        <ns0:v>4.43</ns0:v>
      </ns0:c>
      <ns0:c r="AN166" s="88" t="n"/>
      <ns0:c r="AO166" s="78" t="n">
        <ns0:v>15.74</ns0:v>
      </ns0:c>
      <ns0:c r="AP166" s="87" t="n">
        <ns0:v>-5.78</ns0:v>
      </ns0:c>
      <ns0:c r="AQ166" s="87" t="n">
        <ns0:v>-22.97</ns0:v>
      </ns0:c>
      <ns0:c r="AR166" s="87" t="n">
        <ns0:v>-47.81</ns0:v>
      </ns0:c>
      <ns0:c r="AS166" s="87" t="n">
        <ns0:v>-5.34</ns0:v>
      </ns0:c>
      <ns0:c r="AT166" s="87" t="n">
        <ns0:v>-22.61</ns0:v>
      </ns0:c>
      <ns0:c r="AU166" s="87" t="n">
        <ns0:v>-47.56</ns0:v>
      </ns0:c>
      <ns0:c r="AV166" s="87" t="n">
        <ns0:v>-15.78</ns0:v>
      </ns0:c>
      <ns0:c r="AW166" s="87" t="n">
        <ns0:v>-35.62</ns0:v>
      </ns0:c>
      <ns0:c r="AX166" s="87" t="n">
        <ns0:v>-51.22</ns0:v>
      </ns0:c>
      <ns0:c r="AY166" s="87" t="n">
        <ns0:v>-35.63</ns0:v>
      </ns0:c>
      <ns0:c r="AZ166" s="87" t="n">
        <ns0:v>12.65</ns0:v>
      </ns0:c>
      <ns0:c r="BA166" s="87" t="n">
        <ns0:v>13.02</ns0:v>
      </ns0:c>
      <ns0:c r="BB166" s="74" t="inlineStr">
        <ns0:is>
          <ns0:t>Hang Seng Commerce &amp; Industry sub-index</ns0:t>
        </ns0:is>
      </ns0:c>
      <ns0:c r="BC166" s="87" t="n">
        <ns0:v>-72.66</ns0:v>
      </ns0:c>
      <ns0:c r="BD166" s="75" t="n">
        <ns0:v>46297</ns0:v>
      </ns0:c>
      <ns0:c r="BE166" s="76" t="n">
        <ns0:v>4183.2</ns0:v>
      </ns0:c>
      <ns0:c r="BF166" s="79" t="n">
        <ns0:v>173.9</ns0:v>
      </ns0:c>
      <ns0:c r="BG166" s="74" t="inlineStr">
        <ns0:is>
          <ns0:t>Y</ns0:t>
        </ns0:is>
      </ns0:c>
      <ns0:c r="BH166" s="89" t="n">
        <ns0:v>27.8</ns0:v>
      </ns0:c>
      <ns0:c r="BI166" s="89" t="n">
        <ns0:v>5</ns0:v>
      </ns0:c>
      <ns0:c r="BJ166" s="88" t="n"/>
      <ns0:c r="BK166" s="89" t="n">
        <ns0:v>1.2</ns0:v>
      </ns0:c>
      <ns0:c r="BL166" s="90">
        <ns0:f>IFERROR(IF('BBG Verify'!S166="","Awaiting Bloomberg",'BBG Verify'!S166),"Awaiting Bloomberg")</ns0:f>
        <ns0:v/>
      </ns0:c>
      <ns0:c r="BM166" s="91" t="inlineStr">
        <ns0:is>
          <ns0:t>N</ns0:t>
        </ns0:is>
      </ns0:c>
      <ns0:c r="BN166" s="92">
        <ns0:f>IFERROR(IF('BBG Verify'!K166="","Awaiting Bloomberg",'BBG Verify'!K166),"Awaiting Bloomberg")</ns0:f>
        <ns0:v/>
      </ns0:c>
      <ns0:c r="BO166" s="74" t="inlineStr">
        <ns0:is>
          <ns0:t>N/A</ns0:t>
        </ns0:is>
      </ns0:c>
      <ns0:c r="BP166" s="74" t="inlineStr">
        <ns0:is>
          <ns0:t>N/A</ns0:t>
        </ns0:is>
      </ns0:c>
      <ns0:c r="BQ166" s="74" t="inlineStr">
        <ns0:is>
          <ns0:t>N/A</ns0:t>
        </ns0:is>
      </ns0:c>
      <ns0:c r="BR166" s="74" t="inlineStr">
        <ns0:is>
          <ns0:t>N/A</ns0:t>
        </ns0:is>
      </ns0:c>
      <ns0:c r="BS166" s="74" t="inlineStr">
        <ns0:is>
          <ns0:t>N/A</ns0:t>
        </ns0:is>
      </ns0:c>
      <ns0:c r="BT166" s="74" t="inlineStr">
        <ns0:is>
          <ns0:t>N/A</ns0:t>
        </ns0:is>
      </ns0:c>
      <ns0:c r="BU166" s="91" t="inlineStr">
        <ns0:is>
          <ns0:t>China International Capital Corporation Hong Kong Securities Limited; DBS Asia Capital Limited</ns0:t>
        </ns0:is>
      </ns0:c>
      <ns0:c r="BV166" s="74" t="inlineStr">
        <ns0:is>
          <ns0:t>China International Capital Corporation Hong Kong Securities Limited; DBS Asia Capital Limited</ns0:t>
        </ns0:is>
      </ns0:c>
      <ns0:c r="BW166" s="74" t="inlineStr">
        <ns0:is>
          <ns0:t>China International Capital Corporation Hong Kong Securities Limited; DBS Asia Capital Limited; Daiwa Capital Markets Hong Kong Limited; ABCI Capital Limited; BOCOM International Securities Limited; Futu Securities International (Hong Kong) Limited</ns0:t>
        </ns0:is>
      </ns0:c>
      <ns0:c r="BX166" s="74" t="inlineStr">
        <ns0:is>
          <ns0: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ns0:t>
        </ns0:is>
      </ns0:c>
      <ns0:c r="BY166" s="93">
        <ns0:f>HYPERLINK("https://www1.hkexnews.hk/listedco/listconews/sehk/2022/1216/2022121600017.pdf","prospectus")</ns0:f>
        <ns0:v/>
      </ns0:c>
      <ns0:c r="BZ166" s="93">
        <ns0:f>HYPERLINK("https://www1.hkexnews.hk/listedco/listconews/sehk/2022/1229/2022122900092.htm","allotment")</ns0:f>
        <ns0:v/>
      </ns0:c>
      <ns0:c r="CA166" s="93">
        <ns0:f>HYPERLINK("https://www1.hkexnews.hk/listedco/listconews/sehk/2023/0120/2023012001115.pdf","stabilisation")</ns0:f>
        <ns0:v/>
      </ns0:c>
      <ns0:c r="CB166" s="94" t="n"/>
      <ns0:c r="CC166" s="74" t="inlineStr">
        <ns0:is>
          <ns0:t>range low: maximum offer price only, no floor published; market cap: prospectus 'market capitalisation' line is the listing-rule threshold, not the issuer's figure; rejected; cornerstone: % from the prospectus; AAStocks table includes non-cornerstone orders; allocation: allocation table not in this notice's format (older prose announcement); day-1 tape: volume on file; the retail multiple needs the final public split, which this notice does not state</ns0:t>
        </ns0:is>
      </ns0:c>
    </ns0:row>
    <ns0:row r="167" ht="22" customHeight="1">
      <ns0:c r="A167" s="73" t="inlineStr">
        <ns0:is>
          <ns0:t>6922</ns0:t>
        </ns0:is>
      </ns0:c>
      <ns0:c r="B167" s="74" t="inlineStr">
        <ns0:is>
          <ns0:t>CRYOFOCUS-B</ns0:t>
        </ns0:is>
      </ns0:c>
      <ns0:c r="C167" s="74" t="inlineStr">
        <ns0:is>
          <ns0:t>康灃生物－Ｂ</ns0:t>
        </ns0:is>
      </ns0:c>
      <ns0:c r="D167" s="74" t="inlineStr">
        <ns0:is>
          <ns0:t>Healthcare</ns0:t>
        </ns0:is>
      </ns0:c>
      <ns0:c r="E167" s="74" t="inlineStr">
        <ns0:is>
          <ns0:t>Medical devices</ns0:t>
        </ns0:is>
      </ns0:c>
      <ns0:c r="F167" s="74" t="inlineStr">
        <ns0:is>
          <ns0:t>Biotechnology - Medical Devices</ns0:t>
        </ns0:is>
      </ns0:c>
      <ns0:c r="G167" s="74" t="inlineStr">
        <ns0:is>
          <ns0:t>18A</ns0:t>
        </ns0:is>
      </ns0:c>
      <ns0:c r="H167" s="75" t="n">
        <ns0:v>44925</ns0:v>
      </ns0:c>
      <ns0:c r="I167" s="76" t="n">
        <ns0:v>210</ns0:v>
      </ns0:c>
      <ns0:c r="J167" s="74" t="inlineStr">
        <ns0:is>
          <ns0:t>gross (price x shares)</ns0:t>
        </ns0:is>
      </ns0:c>
      <ns0:c r="K167" s="95" t="n"/>
      <ns0:c r="L167" s="77" t="n">
        <ns0:v>18.9</ns0:v>
      </ns0:c>
      <ns0:c r="M167" s="77" t="n">
        <ns0:v>18.9</ns0:v>
      </ns0:c>
      <ns0:c r="N167" s="74" t="inlineStr">
        <ns0:is>
          <ns0:t>Y</ns0:t>
        </ns0:is>
      </ns0:c>
      <ns0:c r="O167" s="78" t="n">
        <ns0:v>100</ns0:v>
      </ns0:c>
      <ns0:c r="P167" s="84" t="n"/>
      <ns0:c r="Q167" s="79" t="n">
        <ns0:v>4516.1</ns0:v>
      </ns0:c>
      <ns0:c r="R167" s="74" t="inlineStr">
        <ns0:is>
          <ns0:t>derived:deal size / offer % of enlarged capital</ns0:t>
        </ns0:is>
      </ns0:c>
      <ns0:c r="S167" s="80" t="n">
        <ns0:v>1.95</ns0:v>
      </ns0:c>
      <ns0:c r="T167" s="81" t="n">
        <ns0:v>1.28</ns0:v>
      </ns0:c>
      <ns0:c r="U167" s="82" t="n">
        <ns0:v>0</ns0:v>
      </ns0:c>
      <ns0:c r="V167" s="83" t="n">
        <ns0:v>31</ns0:v>
      </ns0:c>
      <ns0:c r="W167" s="84" t="n"/>
      <ns0:c r="X167" s="85" t="n"/>
      <ns0:c r="Y167" s="79" t="n">
        <ns0:v>210</ns0:v>
      </ns0:c>
      <ns0:c r="Z167" s="79" t="n">
        <ns0:v>11110000</ns0:v>
      </ns0:c>
      <ns0:c r="AA167" s="78" t="n">
        <ns0:v>4.65</ns0:v>
      </ns0:c>
      <ns0:c r="AB167" s="74" t="inlineStr">
        <ns0:is>
          <ns0:t>none — no cornerstone tranche</ns0:t>
        </ns0:is>
      </ns0:c>
      <ns0:c r="AC167" s="74" t="inlineStr">
        <ns0:is>
          <ns0:t>none</ns0:t>
        </ns0:is>
      </ns0:c>
      <ns0:c r="AD167" s="84" t="n"/>
      <ns0:c r="AE167" s="85" t="n"/>
      <ns0:c r="AF167" s="85" t="n"/>
      <ns0:c r="AG167" s="85" t="n"/>
      <ns0:c r="AH167" s="85" t="n"/>
      <ns0:c r="AI167" s="86" t="n">
        <ns0:v>-4.55</ns0:v>
      </ns0:c>
      <ns0:c r="AJ167" s="87" t="n">
        <ns0:v>-6.56</ns0:v>
      </ns0:c>
      <ns0:c r="AK167" s="87" t="n">
        <ns0:v>-0.48</ns0:v>
      </ns0:c>
      <ns0:c r="AL167" s="87" t="n">
        <ns0:v>-2.12</ns0:v>
      </ns0:c>
      <ns0:c r="AM167" s="87" t="n">
        <ns0:v>-4.54</ns0:v>
      </ns0:c>
      <ns0:c r="AN167" s="88" t="n"/>
      <ns0:c r="AO167" s="78" t="n">
        <ns0:v>10.27</ns0:v>
      </ns0:c>
      <ns0:c r="AP167" s="87" t="n">
        <ns0:v>-9.84</ns0:v>
      </ns0:c>
      <ns0:c r="AQ167" s="87" t="n">
        <ns0:v>-19.05</ns0:v>
      </ns0:c>
      <ns0:c r="AR167" s="87" t="n">
        <ns0:v>-12.7</ns0:v>
      </ns0:c>
      <ns0:c r="AS167" s="87" t="n">
        <ns0:v>-3.51</ns0:v>
      </ns0:c>
      <ns0:c r="AT167" s="87" t="n">
        <ns0:v>-13.37</ns0:v>
      </ns0:c>
      <ns0:c r="AU167" s="87" t="n">
        <ns0:v>-6.57</ns0:v>
      </ns0:c>
      <ns0:c r="AV167" s="87" t="n">
        <ns0:v>-15.15</ns0:v>
      </ns0:c>
      <ns0:c r="AW167" s="87" t="n">
        <ns0:v>-28.32</ns0:v>
      </ns0:c>
      <ns0:c r="AX167" s="87" t="n">
        <ns0:v>-7.74</ns0:v>
      </ns0:c>
      <ns0:c r="AY167" s="87" t="n">
        <ns0:v>-23.17</ns0:v>
      </ns0:c>
      <ns0:c r="AZ167" s="87" t="n">
        <ns0:v>9.27</ns0:v>
      </ns0:c>
      <ns0:c r="BA167" s="87" t="n">
        <ns0:v>9.800000000000001</ns0:v>
      </ns0:c>
      <ns0:c r="BB167" s="74" t="inlineStr">
        <ns0:is>
          <ns0:t>China Biotech ETF (HS biotech proxy)</ns0:t>
        </ns0:is>
      </ns0:c>
      <ns0:c r="BC167" s="87" t="n">
        <ns0:v>-83.97</ns0:v>
      </ns0:c>
      <ns0:c r="BD167" s="75" t="n">
        <ns0:v>46297</ns0:v>
      </ns0:c>
      <ns0:c r="BE167" s="76" t="n">
        <ns0:v>13.3</ns0:v>
      </ns0:c>
      <ns0:c r="BF167" s="79" t="n">
        <ns0:v>-101.7</ns0:v>
      </ns0:c>
      <ns0:c r="BG167" s="74" t="inlineStr">
        <ns0:is>
          <ns0:t>N</ns0:t>
        </ns0:is>
      </ns0:c>
      <ns0:c r="BH167" s="74" t="inlineStr">
        <ns0:is>
          <ns0:t>n/m</ns0:t>
        </ns0:is>
      </ns0:c>
      <ns0:c r="BI167" s="88" t="n"/>
      <ns0:c r="BJ167" s="88" t="n"/>
      <ns0:c r="BK167" s="89" t="n">
        <ns0:v>339.6</ns0:v>
      </ns0:c>
      <ns0:c r="BL167" s="90">
        <ns0:f>IFERROR(IF('BBG Verify'!S167="","Awaiting Bloomberg",'BBG Verify'!S167),"Awaiting Bloomberg")</ns0:f>
        <ns0:v/>
      </ns0:c>
      <ns0:c r="BM167" s="91" t="inlineStr">
        <ns0:is>
          <ns0:t>N</ns0:t>
        </ns0:is>
      </ns0:c>
      <ns0:c r="BN167" s="92">
        <ns0:f>IFERROR(IF('BBG Verify'!K167="","Awaiting Bloomberg",'BBG Verify'!K167),"Awaiting Bloomberg")</ns0:f>
        <ns0:v/>
      </ns0:c>
      <ns0:c r="BO167" s="74" t="inlineStr">
        <ns0:is>
          <ns0:t>N/A</ns0:t>
        </ns0:is>
      </ns0:c>
      <ns0:c r="BP167" s="74" t="inlineStr">
        <ns0:is>
          <ns0:t>N/A</ns0:t>
        </ns0:is>
      </ns0:c>
      <ns0:c r="BQ167" s="74" t="inlineStr">
        <ns0:is>
          <ns0:t>N/A</ns0:t>
        </ns0:is>
      </ns0:c>
      <ns0:c r="BR167" s="74" t="inlineStr">
        <ns0:is>
          <ns0:t>N/A</ns0:t>
        </ns0:is>
      </ns0:c>
      <ns0:c r="BS167" s="74" t="inlineStr">
        <ns0:is>
          <ns0:t>N/A</ns0:t>
        </ns0:is>
      </ns0:c>
      <ns0:c r="BT167" s="74" t="inlineStr">
        <ns0:is>
          <ns0:t>N/A</ns0:t>
        </ns0:is>
      </ns0:c>
      <ns0:c r="BU167" s="91" t="inlineStr">
        <ns0:is>
          <ns0:t>Citigroup Global Markets Asia Limited; Huatai Financial Holdings (Hong Kong) Limited</ns0:t>
        </ns0:is>
      </ns0:c>
      <ns0:c r="BV167" s="74" t="inlineStr">
        <ns0:is>
          <ns0:t>Huatai Financial Holdings (Hong Kong) Limited; Citigroup Global Markets Asia Limited</ns0:t>
        </ns0:is>
      </ns0:c>
      <ns0:c r="BW167" s="74" t="inlineStr">
        <ns0:is>
          <ns0: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ns0:t>
        </ns0:is>
      </ns0:c>
      <ns0:c r="BX167" s="74" t="inlineStr">
        <ns0:is>
          <ns0: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ns0:t>
        </ns0:is>
      </ns0:c>
      <ns0:c r="BY167" s="93">
        <ns0:f>HYPERLINK("https://www1.hkexnews.hk/listedco/listconews/sehk/2022/1216/2022121600015.pdf","prospectus")</ns0:f>
        <ns0:v/>
      </ns0:c>
      <ns0:c r="BZ167" s="93">
        <ns0:f>HYPERLINK("https://www1.hkexnews.hk/listedco/listconews/sehk/2022/1229/2022122900114.htm","allotment")</ns0:f>
        <ns0:v/>
      </ns0:c>
      <ns0:c r="CA167" s="85" t="n"/>
      <ns0:c r="CB167" s="94" t="n"/>
      <ns0:c r="CC167" s="74" t="inlineStr">
        <ns0:is>
          <ns0:t>P/E: loss-making at IPO, use P/S; greenshoe: no over-allotment option; range low: maximum offer price only, no floor published; cornerstone list: no cornerstone tranche; greenshoe size: no over-allotment option; P/S: 340x on HK$13.3m revenue, effectively pre-revenue; not comparable;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ns0:t>
        </ns0:is>
      </ns0:c>
    </ns0:row>
    <ns0:row r="168" ht="22" customHeight="1">
      <ns0:c r="A168" s="73" t="inlineStr">
        <ns0:is>
          <ns0:t>6955</ns0:t>
        </ns0:is>
      </ns0:c>
      <ns0:c r="B168" s="74" t="inlineStr">
        <ns0:is>
          <ns0:t>BOAN BIOTECH-B</ns0:t>
        </ns0:is>
      </ns0:c>
      <ns0:c r="C168" s="74" t="inlineStr">
        <ns0:is>
          <ns0:t>博安生物</ns0:t>
        </ns0:is>
      </ns0:c>
      <ns0:c r="D168" s="74" t="inlineStr">
        <ns0:is>
          <ns0:t>Healthcare</ns0:t>
        </ns0:is>
      </ns0:c>
      <ns0:c r="E168" s="74" t="inlineStr">
        <ns0:is>
          <ns0:t>Biotech pre-revenue (18A)</ns0:t>
        </ns0:is>
      </ns0:c>
      <ns0:c r="F168" s="74" t="inlineStr">
        <ns0:is>
          <ns0:t>Biotechnology - Pharmaceuticals</ns0:t>
        </ns0:is>
      </ns0:c>
      <ns0:c r="G168" s="74" t="inlineStr">
        <ns0:is>
          <ns0:t>18A</ns0:t>
        </ns0:is>
      </ns0:c>
      <ns0:c r="H168" s="75" t="n">
        <ns0:v>44925</ns0:v>
      </ns0:c>
      <ns0:c r="I168" s="76" t="n">
        <ns0:v>211.8</ns0:v>
      </ns0:c>
      <ns0:c r="J168" s="74" t="inlineStr">
        <ns0:is>
          <ns0:t>gross (price x shares)</ns0:t>
        </ns0:is>
      </ns0:c>
      <ns0:c r="K168" s="95" t="n"/>
      <ns0:c r="L168" s="77" t="n">
        <ns0:v>19.8</ns0:v>
      </ns0:c>
      <ns0:c r="M168" s="77" t="n">
        <ns0:v>19.8</ns0:v>
      </ns0:c>
      <ns0:c r="N168" s="74" t="inlineStr">
        <ns0:is>
          <ns0:t>Y</ns0:t>
        </ns0:is>
      </ns0:c>
      <ns0:c r="O168" s="78" t="n">
        <ns0:v>100</ns0:v>
      </ns0:c>
      <ns0:c r="P168" s="84" t="n"/>
      <ns0:c r="Q168" s="79" t="n">
        <ns0:v>8825</ns0:v>
      </ns0:c>
      <ns0:c r="R168" s="74" t="inlineStr">
        <ns0:is>
          <ns0:t>derived:deal size / offer % of enlarged capital</ns0:t>
        </ns0:is>
      </ns0:c>
      <ns0:c r="S168" s="80" t="n">
        <ns0:v>2.12</ns0:v>
      </ns0:c>
      <ns0:c r="T168" s="81" t="n">
        <ns0:v>1.52</ns0:v>
      </ns0:c>
      <ns0:c r="U168" s="82" t="n">
        <ns0:v>71.01000000000001</ns0:v>
      </ns0:c>
      <ns0:c r="V168" s="83" t="n">
        <ns0:v>220</ns0:v>
      </ns0:c>
      <ns0:c r="W168" s="84" t="n"/>
      <ns0:c r="X168" s="85" t="n"/>
      <ns0:c r="Y168" s="79" t="n">
        <ns0:v>61.4</ns0:v>
      </ns0:c>
      <ns0:c r="Z168" s="79" t="n">
        <ns0:v>3100423</ns0:v>
      </ns0:c>
      <ns0:c r="AA168" s="78" t="n">
        <ns0:v>0.7</ns0:v>
      </ns0:c>
      <ns0:c r="AB168" s="74" t="inlineStr">
        <ns0:is>
          <ns0:t>Fu Heliang; Harvest Great Bay Investment SP; Sino Biopharmaceutical Limited</ns0:t>
        </ns0:is>
      </ns0:c>
      <ns0:c r="AC168" s="74" t="inlineStr">
        <ns0:is>
          <ns0:t>fu;harvest;sino-biopharmaceutical</ns0:t>
        </ns0:is>
      </ns0:c>
      <ns0:c r="AD168" s="78" t="n">
        <ns0:v>18.14</ns0:v>
      </ns0:c>
      <ns0:c r="AE168" s="74" t="inlineStr">
        <ns0:is>
          <ns0:t>lapsed</ns0:t>
        </ns0:is>
      </ns0:c>
      <ns0:c r="AF168" s="74" t="inlineStr">
        <ns0:is>
          <ns0:t>2023-01-21</ns0:t>
        </ns0:is>
      </ns0:c>
      <ns0:c r="AG168" s="74" t="inlineStr">
        <ns0:is>
          <ns0:t>UBS AG Hong Kong Branch</ns0:t>
        </ns0:is>
      </ns0:c>
      <ns0:c r="AH168" s="74" t="inlineStr">
        <ns0:is>
          <ns0:t>UBS</ns0:t>
        </ns0:is>
      </ns0:c>
      <ns0:c r="AI168" s="86" t="n">
        <ns0:v>-1.52</ns0:v>
      </ns0:c>
      <ns0:c r="AJ168" s="87" t="n">
        <ns0:v>0</ns0:v>
      </ns0:c>
      <ns0:c r="AK168" s="87" t="n">
        <ns0:v>-0.48</ns0:v>
      </ns0:c>
      <ns0:c r="AL168" s="87" t="n">
        <ns0:v>0.51</ns0:v>
      </ns0:c>
      <ns0:c r="AM168" s="87" t="n">
        <ns0:v>-0.51</ns0:v>
      </ns0:c>
      <ns0:c r="AN168" s="88" t="n"/>
      <ns0:c r="AO168" s="78" t="n">
        <ns0:v>7.84</ns0:v>
      </ns0:c>
      <ns0:c r="AP168" s="87" t="n">
        <ns0:v>-17.17</ns0:v>
      </ns0:c>
      <ns0:c r="AQ168" s="87" t="n">
        <ns0:v>-22.02</ns0:v>
      </ns0:c>
      <ns0:c r="AR168" s="87" t="n">
        <ns0:v>-2.32</ns0:v>
      </ns0:c>
      <ns0:c r="AS168" s="87" t="n">
        <ns0:v>-17.17</ns0:v>
      </ns0:c>
      <ns0:c r="AT168" s="87" t="n">
        <ns0:v>-22.02</ns0:v>
      </ns0:c>
      <ns0:c r="AU168" s="87" t="n">
        <ns0:v>-2.32</ns0:v>
      </ns0:c>
      <ns0:c r="AV168" s="87" t="n">
        <ns0:v>-22.48</ns0:v>
      </ns0:c>
      <ns0:c r="AW168" s="87" t="n">
        <ns0:v>-31.29</ns0:v>
      </ns0:c>
      <ns0:c r="AX168" s="87" t="n">
        <ns0:v>2.64</ns0:v>
      </ns0:c>
      <ns0:c r="AY168" s="87" t="n">
        <ns0:v>-31.82</ns0:v>
      </ns0:c>
      <ns0:c r="AZ168" s="87" t="n">
        <ns0:v>9.27</ns0:v>
      </ns0:c>
      <ns0:c r="BA168" s="87" t="n">
        <ns0:v>9.800000000000001</ns0:v>
      </ns0:c>
      <ns0:c r="BB168" s="74" t="inlineStr">
        <ns0:is>
          <ns0:t>China Biotech ETF (HS biotech proxy)</ns0:t>
        </ns0:is>
      </ns0:c>
      <ns0:c r="BC168" s="87" t="n">
        <ns0:v>-84.7</ns0:v>
      </ns0:c>
      <ns0:c r="BD168" s="75" t="n">
        <ns0:v>46297</ns0:v>
      </ns0:c>
      <ns0:c r="BE168" s="76" t="n">
        <ns0:v>242.8</ns0:v>
      </ns0:c>
      <ns0:c r="BF168" s="79" t="n">
        <ns0:v>-364.9</ns0:v>
      </ns0:c>
      <ns0:c r="BG168" s="74" t="inlineStr">
        <ns0:is>
          <ns0:t>N</ns0:t>
        </ns0:is>
      </ns0:c>
      <ns0:c r="BH168" s="74" t="inlineStr">
        <ns0:is>
          <ns0:t>n/m</ns0:t>
        </ns0:is>
      </ns0:c>
      <ns0:c r="BI168" s="88" t="n"/>
      <ns0:c r="BJ168" s="89" t="n">
        <ns0:v>196.1</ns0:v>
      </ns0:c>
      <ns0:c r="BK168" s="89" t="n">
        <ns0:v>36.3</ns0:v>
      </ns0:c>
      <ns0:c r="BL168" s="90">
        <ns0:f>IFERROR(IF('BBG Verify'!S168="","Awaiting Bloomberg",'BBG Verify'!S168),"Awaiting Bloomberg")</ns0:f>
        <ns0:v/>
      </ns0:c>
      <ns0:c r="BM168" s="91" t="inlineStr">
        <ns0:is>
          <ns0:t>N</ns0:t>
        </ns0:is>
      </ns0:c>
      <ns0:c r="BN168" s="92">
        <ns0:f>IFERROR(IF('BBG Verify'!K168="","Awaiting Bloomberg",'BBG Verify'!K168),"Awaiting Bloomberg")</ns0:f>
        <ns0:v/>
      </ns0:c>
      <ns0:c r="BO168" s="74" t="inlineStr">
        <ns0:is>
          <ns0:t>N/A</ns0:t>
        </ns0:is>
      </ns0:c>
      <ns0:c r="BP168" s="74" t="inlineStr">
        <ns0:is>
          <ns0:t>N/A</ns0:t>
        </ns0:is>
      </ns0:c>
      <ns0:c r="BQ168" s="74" t="inlineStr">
        <ns0:is>
          <ns0:t>N/A</ns0:t>
        </ns0:is>
      </ns0:c>
      <ns0:c r="BR168" s="74" t="inlineStr">
        <ns0:is>
          <ns0:t>N/A</ns0:t>
        </ns0:is>
      </ns0:c>
      <ns0:c r="BS168" s="74" t="inlineStr">
        <ns0:is>
          <ns0:t>N/A</ns0:t>
        </ns0:is>
      </ns0:c>
      <ns0:c r="BT168" s="74" t="inlineStr">
        <ns0:is>
          <ns0:t>N/A</ns0:t>
        </ns0:is>
      </ns0:c>
      <ns0:c r="BU168" s="91" t="inlineStr">
        <ns0:is>
          <ns0:t>UBS Securities Hong Kong Limited; Essence Corporate Finance (Hong Kong) Limited</ns0:t>
        </ns0:is>
      </ns0:c>
      <ns0:c r="BV168" s="74" t="inlineStr">
        <ns0:is>
          <ns0:t>UBS Securities Hong Kong Limited; Essence Corporate Finance (Hong Kong) Limited</ns0:t>
        </ns0:is>
      </ns0:c>
      <ns0:c r="BW168" s="74" t="inlineStr">
        <ns0:is>
          <ns0:t>UBS AG Hong Kong Branch; Essence International Securities (Hong Kong) Limited</ns0:t>
        </ns0:is>
      </ns0:c>
      <ns0:c r="BX168" s="74" t="inlineStr">
        <ns0:is>
          <ns0:t>Essence International Securities (Hong Kong) Limited; Futu Securities International (Hong Kong) Limited; Livermore Holdings Limited; Silverbricks Securities Company Limited; UBS AG Hong Kong Branch</ns0:t>
        </ns0:is>
      </ns0:c>
      <ns0:c r="BY168" s="93">
        <ns0:f>HYPERLINK("https://www1.hkexnews.hk/listedco/listconews/sehk/2022/1219/2022121900009.pdf","prospectus")</ns0:f>
        <ns0:v/>
      </ns0:c>
      <ns0:c r="BZ168" s="93">
        <ns0:f>HYPERLINK("https://www1.hkexnews.hk/listedco/listconews/sehk/2022/1229/2022122900320.htm","allotment")</ns0:f>
        <ns0:v/>
      </ns0:c>
      <ns0:c r="CA168" s="93">
        <ns0:f>HYPERLINK("https://www1.hkexnews.hk/listedco/listconews/sehk/2023/0125/2023012500003.pdf","stabilisation")</ns0:f>
        <ns0:v/>
      </ns0:c>
      <ns0:c r="CB168" s="94" t="n"/>
      <ns0:c r="CC168" s="74" t="inlineStr">
        <ns0:is>
          <ns0:t>P/E: loss-making at IPO, use P/S; range low: maximum offer price only, no floor published; allocation: allocation table not in this notice's format (older prose announcement); day-1 tape: volume on file; the retail multiple needs the final public split, which this notice does not state</ns0:t>
        </ns0:is>
      </ns0:c>
    </ns0:row>
    <ns0:row r="169" ht="22" customHeight="1">
      <ns0:c r="A169" s="73" t="inlineStr">
        <ns0:is>
          <ns0:t>2469</ns0:t>
        </ns0:is>
      </ns0:c>
      <ns0:c r="B169" s="74" t="inlineStr">
        <ns0:is>
          <ns0:t>FENBI</ns0:t>
        </ns0:is>
      </ns0:c>
      <ns0:c r="C169" s="74" t="inlineStr">
        <ns0:is>
          <ns0:t>粉筆</ns0:t>
        </ns0:is>
      </ns0:c>
      <ns0:c r="D169" s="74" t="inlineStr">
        <ns0:is>
          <ns0:t>Consumer</ns0:t>
        </ns0:is>
      </ns0:c>
      <ns0:c r="E169" s="74" t="inlineStr">
        <ns0:is>
          <ns0:t>Consumer services / education</ns0:t>
        </ns0:is>
      </ns0:c>
      <ns0:c r="F169" s="74" t="inlineStr">
        <ns0:is>
          <ns0:t>Education Services</ns0:t>
        </ns0:is>
      </ns0:c>
      <ns0:c r="G169" s="74" t="inlineStr">
        <ns0:is>
          <ns0:t>Standard</ns0:t>
        </ns0:is>
      </ns0:c>
      <ns0:c r="H169" s="75" t="n">
        <ns0:v>44935</ns0:v>
      </ns0:c>
      <ns0:c r="I169" s="76" t="n">
        <ns0:v>198</ns0:v>
      </ns0:c>
      <ns0:c r="J169" s="74" t="inlineStr">
        <ns0:is>
          <ns0:t>gross (price x shares)</ns0:t>
        </ns0:is>
      </ns0:c>
      <ns0:c r="K169" s="77" t="n">
        <ns0:v>9.5</ns0:v>
      </ns0:c>
      <ns0:c r="L169" s="77" t="n">
        <ns0:v>9.9</ns0:v>
      </ns0:c>
      <ns0:c r="M169" s="77" t="n">
        <ns0:v>9.9</ns0:v>
      </ns0:c>
      <ns0:c r="N169" s="74" t="inlineStr">
        <ns0:is>
          <ns0:t>Y</ns0:t>
        </ns0:is>
      </ns0:c>
      <ns0:c r="O169" s="78" t="n">
        <ns0:v>100</ns0:v>
      </ns0:c>
      <ns0:c r="P169" s="78" t="n">
        <ns0:v>100</ns0:v>
      </ns0:c>
      <ns0:c r="Q169" s="79" t="n">
        <ns0:v>20763.3</ns0:v>
      </ns0:c>
      <ns0:c r="R169" s="74" t="inlineStr">
        <ns0:is>
          <ns0:t>aastocks:上市市值 at the struck price</ns0:t>
        </ns0:is>
      </ns0:c>
      <ns0:c r="S169" s="80" t="n">
        <ns0:v>33.8</ns0:v>
      </ns0:c>
      <ns0:c r="T169" s="81" t="n">
        <ns0:v>2.32</ns0:v>
      </ns0:c>
      <ns0:c r="U169" s="82" t="n">
        <ns0:v>0</ns0:v>
      </ns0:c>
      <ns0:c r="V169" s="83" t="n">
        <ns0:v>204</ns0:v>
      </ns0:c>
      <ns0:c r="W169" s="78" t="n">
        <ns0:v>30</ns0:v>
      </ns0:c>
      <ns0:c r="X169" s="74" t="inlineStr">
        <ns0:is>
          <ns0:t>YES</ns0:t>
        </ns0:is>
      </ns0:c>
      <ns0:c r="Y169" s="79" t="n">
        <ns0:v>198</ns0:v>
      </ns0:c>
      <ns0:c r="Z169" s="79" t="n">
        <ns0:v>20000000</ns0:v>
      </ns0:c>
      <ns0:c r="AA169" s="78" t="n">
        <ns0:v>0.95</ns0:v>
      </ns0:c>
      <ns0:c r="AB169" s="74" t="inlineStr">
        <ns0:is>
          <ns0:t>none — no cornerstone tranche</ns0:t>
        </ns0:is>
      </ns0:c>
      <ns0:c r="AC169" s="74" t="inlineStr">
        <ns0:is>
          <ns0:t>none</ns0:t>
        </ns0:is>
      </ns0:c>
      <ns0:c r="AD169" s="78" t="n">
        <ns0:v>10.42</ns0:v>
      </ns0:c>
      <ns0:c r="AE169" s="74" t="inlineStr">
        <ns0:is>
          <ns0:t>lapsed</ns0:t>
        </ns0:is>
      </ns0:c>
      <ns0:c r="AF169" s="74" t="inlineStr">
        <ns0:is>
          <ns0:t>2023-01-29</ns0:t>
        </ns0:is>
      </ns0:c>
      <ns0:c r="AG169" s="74" t="inlineStr">
        <ns0:is>
          <ns0:t>China International Capital Corporation Hong Kong Securities Limited</ns0:t>
        </ns0:is>
      </ns0:c>
      <ns0:c r="AH169" s="74" t="inlineStr">
        <ns0:is>
          <ns0:t>China International</ns0:t>
        </ns0:is>
      </ns0:c>
      <ns0:c r="AI169" s="86" t="n">
        <ns0:v>5.05</ns0:v>
      </ns0:c>
      <ns0:c r="AJ169" s="87" t="n">
        <ns0:v>12.12</ns0:v>
      </ns0:c>
      <ns0:c r="AK169" s="87" t="n">
        <ns0:v>2.71</ns0:v>
      </ns0:c>
      <ns0:c r="AL169" s="87" t="n">
        <ns0:v>6.06</ns0:v>
      </ns0:c>
      <ns0:c r="AM169" s="87" t="n">
        <ns0:v>5.71</ns0:v>
      </ns0:c>
      <ns0:c r="AN169" s="89" t="n">
        <ns0:v>1.97</ns0:v>
      </ns0:c>
      <ns0:c r="AO169" s="78" t="n">
        <ns0:v>17.52</ns0:v>
      </ns0:c>
      <ns0:c r="AP169" s="87" t="n">
        <ns0:v>5.05</ns0:v>
      </ns0:c>
      <ns0:c r="AQ169" s="87" t="n">
        <ns0:v>24.65</ns0:v>
      </ns0:c>
      <ns0:c r="AR169" s="87" t="n">
        <ns0:v>22.83</ns0:v>
      </ns0:c>
      <ns0:c r="AS169" s="87" t="n">
        <ns0:v>-6.31</ns0:v>
      </ns0:c>
      <ns0:c r="AT169" s="87" t="n">
        <ns0:v>11.18</ns0:v>
      </ns0:c>
      <ns0:c r="AU169" s="87" t="n">
        <ns0:v>9.550000000000001</ns0:v>
      </ns0:c>
      <ns0:c r="AV169" s="87" t="n">
        <ns0:v>0.8</ns0:v>
      </ns0:c>
      <ns0:c r="AW169" s="87" t="n">
        <ns0:v>23.48</ns0:v>
      </ns0:c>
      <ns0:c r="AX169" s="87" t="n">
        <ns0:v>26.53</ns0:v>
      </ns0:c>
      <ns0:c r="AY169" s="87" t="n">
        <ns0:v>12.69</ns0:v>
      </ns0:c>
      <ns0:c r="AZ169" s="87" t="n">
        <ns0:v>1.17</ns0:v>
      </ns0:c>
      <ns0:c r="BA169" s="87" t="n">
        <ns0:v>-1.51</ns0:v>
      </ns0:c>
      <ns0:c r="BB169" s="74" t="inlineStr">
        <ns0:is>
          <ns0:t>Hang Seng Commerce &amp; Industry sub-index</ns0:t>
        </ns0:is>
      </ns0:c>
      <ns0:c r="BC169" s="87" t="n">
        <ns0:v>-96.72</ns0:v>
      </ns0:c>
      <ns0:c r="BD169" s="75" t="n">
        <ns0:v>46297</ns0:v>
      </ns0:c>
      <ns0:c r="BE169" s="76" t="n">
        <ns0:v>3771.4</ns0:v>
      </ns0:c>
      <ns0:c r="BF169" s="79" t="n">
        <ns0:v>-2263.7</ns0:v>
      </ns0:c>
      <ns0:c r="BG169" s="74" t="inlineStr">
        <ns0:is>
          <ns0:t>N</ns0:t>
        </ns0:is>
      </ns0:c>
      <ns0:c r="BH169" s="74" t="inlineStr">
        <ns0:is>
          <ns0:t>n/m</ns0:t>
        </ns0:is>
      </ns0:c>
      <ns0:c r="BI169" s="88" t="n"/>
      <ns0:c r="BJ169" s="89" t="n">
        <ns0:v>3.2</ns0:v>
      </ns0:c>
      <ns0:c r="BK169" s="89" t="n">
        <ns0:v>5.5</ns0:v>
      </ns0:c>
      <ns0:c r="BL169" s="90">
        <ns0:f>IFERROR(IF('BBG Verify'!S169="","Awaiting Bloomberg",'BBG Verify'!S169),"Awaiting Bloomberg")</ns0:f>
        <ns0:v/>
      </ns0:c>
      <ns0:c r="BM169" s="91" t="inlineStr">
        <ns0:is>
          <ns0:t>N</ns0:t>
        </ns0:is>
      </ns0:c>
      <ns0:c r="BN169" s="92">
        <ns0:f>IFERROR(IF('BBG Verify'!K169="","Awaiting Bloomberg",'BBG Verify'!K169),"Awaiting Bloomberg")</ns0:f>
        <ns0:v/>
      </ns0:c>
      <ns0:c r="BO169" s="74" t="inlineStr">
        <ns0:is>
          <ns0:t>N/A</ns0:t>
        </ns0:is>
      </ns0:c>
      <ns0:c r="BP169" s="74" t="inlineStr">
        <ns0:is>
          <ns0:t>N/A</ns0:t>
        </ns0:is>
      </ns0:c>
      <ns0:c r="BQ169" s="74" t="inlineStr">
        <ns0:is>
          <ns0:t>N/A</ns0:t>
        </ns0:is>
      </ns0:c>
      <ns0:c r="BR169" s="74" t="inlineStr">
        <ns0:is>
          <ns0:t>N/A</ns0:t>
        </ns0:is>
      </ns0:c>
      <ns0:c r="BS169" s="74" t="inlineStr">
        <ns0:is>
          <ns0:t>N/A</ns0:t>
        </ns0:is>
      </ns0:c>
      <ns0:c r="BT169" s="74" t="inlineStr">
        <ns0:is>
          <ns0:t>N/A</ns0:t>
        </ns0:is>
      </ns0:c>
      <ns0:c r="BU169" s="91" t="inlineStr">
        <ns0:is>
          <ns0:t>China International Capital Corporation Hong Kong Securities Limited; Merrill Lynch (Asia Pacific) Limited; Citigroup Global Markets Asia Limited</ns0:t>
        </ns0:is>
      </ns0:c>
      <ns0:c r="BV169" s="74" t="inlineStr">
        <ns0:is>
          <ns0:t>China International Capital Corporation Hong Kong Securities Limited; Merrill Lynch (Asia Pacific) Limited; Citigroup Global Markets Asia Limited</ns0:t>
        </ns0:is>
      </ns0:c>
      <ns0:c r="BW169" s="74" t="inlineStr">
        <ns0:is>
          <ns0:t>(in no particular order) Citigroup Global Markets Asia Limited; China International Capital Corporation Hong Kong Securities Limited; Merrill Lynch (Asia Pacific) Limited; Haitong International Securities Company Limited; ICBC International Securities Limited</ns0:t>
        </ns0:is>
      </ns0:c>
      <ns0:c r="BX169" s="74" t="inlineStr">
        <ns0:is>
          <ns0: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ns0:t>
        </ns0:is>
      </ns0:c>
      <ns0:c r="BY169" s="93">
        <ns0:f>HYPERLINK("https://www1.hkexnews.hk/listedco/listconews/sehk/2022/1223/2022122300005.pdf","prospectus")</ns0:f>
        <ns0:v/>
      </ns0:c>
      <ns0:c r="BZ169" s="93">
        <ns0:f>HYPERLINK("https://www1.hkexnews.hk/listedco/listconews/sehk/2023/0106/2023010600010.htm","allotment")</ns0:f>
        <ns0:v/>
      </ns0:c>
      <ns0:c r="CA169" s="93">
        <ns0:f>HYPERLINK("https://www1.hkexnews.hk/listedco/listconews/sehk/2023/0129/2023012900007.pdf","stabilisation")</ns0:f>
        <ns0:v/>
      </ns0:c>
      <ns0:c r="CB169" s="94" t="n"/>
      <ns0:c r="CC169" s="74" t="inlineStr">
        <ns0:is>
          <ns0:t>P/E: loss-making at IPO, use P/S; sponsor: English name not in the filing; AAStocks 保薦人 shown; cornerstone list: no cornerstone tranche</ns0:t>
        </ns0:is>
      </ns0:c>
    </ns0:row>
    <ns0:row r="170" ht="22" customHeight="1">
      <ns0:c r="A170" s="73" t="inlineStr">
        <ns0:is>
          <ns0:t>2402</ns0:t>
        </ns0:is>
      </ns0:c>
      <ns0:c r="B170" s="74" t="inlineStr">
        <ns0:is>
          <ns0:t>SINOHYTEC</ns0:t>
        </ns0:is>
      </ns0:c>
      <ns0:c r="C170" s="74" t="inlineStr">
        <ns0:is>
          <ns0:t>億華通</ns0:t>
        </ns0:is>
      </ns0:c>
      <ns0:c r="D170" s="74" t="inlineStr">
        <ns0:is>
          <ns0:t>Industrials</ns0:t>
        </ns0:is>
      </ns0:c>
      <ns0:c r="E170" s="74" t="inlineStr">
        <ns0:is>
          <ns0:t>Batteries / energy storage</ns0:t>
        </ns0:is>
      </ns0:c>
      <ns0:c r="F170" s="74" t="inlineStr">
        <ns0:is>
          <ns0:t>Battery Products</ns0:t>
        </ns0:is>
      </ns0:c>
      <ns0:c r="G170" s="74" t="inlineStr">
        <ns0:is>
          <ns0:t>Standard</ns0:t>
        </ns0:is>
      </ns0:c>
      <ns0:c r="H170" s="75" t="n">
        <ns0:v>44938</ns0:v>
      </ns0:c>
      <ns0:c r="I170" s="76" t="n">
        <ns0:v>1057.7</ns0:v>
      </ns0:c>
      <ns0:c r="J170" s="74" t="inlineStr">
        <ns0:is>
          <ns0:t>gross (price x shares)</ns0:t>
        </ns0:is>
      </ns0:c>
      <ns0:c r="K170" s="77" t="n">
        <ns0:v>60</ns0:v>
      </ns0:c>
      <ns0:c r="L170" s="77" t="n">
        <ns0:v>76</ns0:v>
      </ns0:c>
      <ns0:c r="M170" s="77" t="n">
        <ns0:v>60</ns0:v>
      </ns0:c>
      <ns0:c r="N170" s="74" t="inlineStr">
        <ns0:is>
          <ns0:t>N</ns0:t>
        </ns0:is>
      </ns0:c>
      <ns0:c r="O170" s="78" t="n">
        <ns0:v>78.90000000000001</ns0:v>
      </ns0:c>
      <ns0:c r="P170" s="78" t="n">
        <ns0:v>0</ns0:v>
      </ns0:c>
      <ns0:c r="Q170" s="79" t="n">
        <ns0:v>7051.3</ns0:v>
      </ns0:c>
      <ns0:c r="R170" s="74" t="inlineStr">
        <ns0:is>
          <ns0:t>derived:deal size / offer % of enlarged capital</ns0:t>
        </ns0:is>
      </ns0:c>
      <ns0:c r="S170" s="80" t="n">
        <ns0:v>0.29</ns0:v>
      </ns0:c>
      <ns0:c r="T170" s="81" t="n">
        <ns0:v>1.84</ns0:v>
      </ns0:c>
      <ns0:c r="U170" s="82" t="n">
        <ns0:v>36.6</ns0:v>
      </ns0:c>
      <ns0:c r="V170" s="83" t="n">
        <ns0:v>80</ns0:v>
      </ns0:c>
      <ns0:c r="W170" s="78" t="n">
        <ns0:v>2.88</ns0:v>
      </ns0:c>
      <ns0:c r="X170" s="74" t="inlineStr">
        <ns0:is>
          <ns0:t>NO</ns0:t>
        </ns0:is>
      </ns0:c>
      <ns0:c r="Y170" s="79" t="n">
        <ns0:v>670.58</ns0:v>
      </ns0:c>
      <ns0:c r="Z170" s="79" t="n">
        <ns0:v>11176152</ns0:v>
      </ns0:c>
      <ns0:c r="AA170" s="78" t="n">
        <ns0:v>9.51</ns0:v>
      </ns0:c>
      <ns0:c r="AB170" s="74" t="inlineStr">
        <ns0:is>
          <ns0:t>Astonish Investment Pte. Ltd; Harvest International Premium Value (Secondary Market) Fund SPC</ns0:t>
        </ns0:is>
      </ns0:c>
      <ns0:c r="AC170" s="74" t="inlineStr">
        <ns0:is>
          <ns0:t>astonish;harvest</ns0:t>
        </ns0:is>
      </ns0:c>
      <ns0:c r="AD170" s="78" t="n">
        <ns0:v>15.8</ns0:v>
      </ns0:c>
      <ns0:c r="AE170" s="74" t="inlineStr">
        <ns0:is>
          <ns0:t>partial</ns0:t>
        </ns0:is>
      </ns0:c>
      <ns0:c r="AF170" s="74" t="inlineStr">
        <ns0:is>
          <ns0:t>2023-02-04</ns0:t>
        </ns0:is>
      </ns0:c>
      <ns0:c r="AG170" s="74" t="inlineStr">
        <ns0:is>
          <ns0:t>Guotai Juna n Securities</ns0:t>
        </ns0:is>
      </ns0:c>
      <ns0:c r="AH170" s="74" t="inlineStr">
        <ns0:is>
          <ns0:t>Guotai Juna</ns0:t>
        </ns0:is>
      </ns0:c>
      <ns0:c r="AI170" s="86" t="n">
        <ns0:v>0.08</ns0:v>
      </ns0:c>
      <ns0:c r="AJ170" s="87" t="n">
        <ns0:v>0</ns0:v>
      </ns0:c>
      <ns0:c r="AK170" s="87" t="n">
        <ns0:v>-0.3</ns0:v>
      </ns0:c>
      <ns0:c r="AL170" s="87" t="n">
        <ns0:v>0</ns0:v>
      </ns0:c>
      <ns0:c r="AM170" s="87" t="n">
        <ns0:v>0</ns0:v>
      </ns0:c>
      <ns0:c r="AN170" s="89" t="n">
        <ns0:v>3.58</ns0:v>
      </ns0:c>
      <ns0:c r="AO170" s="78" t="n">
        <ns0:v>3.42</ns0:v>
      </ns0:c>
      <ns0:c r="AP170" s="87" t="n">
        <ns0:v>0</ns0:v>
      </ns0:c>
      <ns0:c r="AQ170" s="87" t="n">
        <ns0:v>8.25</ns0:v>
      </ns0:c>
      <ns0:c r="AR170" s="87" t="n">
        <ns0:v>-0.5</ns0:v>
      </ns0:c>
      <ns0:c r="AS170" s="87" t="n">
        <ns0:v>0</ns0:v>
      </ns0:c>
      <ns0:c r="AT170" s="87" t="n">
        <ns0:v>8.25</ns0:v>
      </ns0:c>
      <ns0:c r="AU170" s="87" t="n">
        <ns0:v>-0.5</ns0:v>
      </ns0:c>
      <ns0:c r="AV170" s="87" t="n">
        <ns0:v>-0.09</ns0:v>
      </ns0:c>
      <ns0:c r="AW170" s="87" t="n">
        <ns0:v>12.29</ns0:v>
      </ns0:c>
      <ns0:c r="AX170" s="87" t="n">
        <ns0:v>7.22</ns0:v>
      </ns0:c>
      <ns0:c r="AY170" s="87" t="n">
        <ns0:v>12</ns0:v>
      </ns0:c>
      <ns0:c r="AZ170" s="87" t="n">
        <ns0:v>-4.04</ns0:v>
      </ns0:c>
      <ns0:c r="BA170" s="87" t="n">
        <ns0:v>-3.75</ns0:v>
      </ns0:c>
      <ns0:c r="BB170" s="74" t="inlineStr">
        <ns0:is>
          <ns0:t>Hang Seng Commerce &amp; Industry sub-index</ns0:t>
        </ns0:is>
      </ns0:c>
      <ns0:c r="BC170" s="87" t="n">
        <ns0:v>-67.34999999999999</ns0:v>
      </ns0:c>
      <ns0:c r="BD170" s="75" t="n">
        <ns0:v>46297</ns0:v>
      </ns0:c>
      <ns0:c r="BE170" s="76" t="n">
        <ns0:v>692.3</ns0:v>
      </ns0:c>
      <ns0:c r="BF170" s="79" t="n">
        <ns0:v>-203.9</ns0:v>
      </ns0:c>
      <ns0:c r="BG170" s="74" t="inlineStr">
        <ns0:is>
          <ns0:t>N</ns0:t>
        </ns0:is>
      </ns0:c>
      <ns0:c r="BH170" s="74" t="inlineStr">
        <ns0:is>
          <ns0:t>n/m</ns0:t>
        </ns0:is>
      </ns0:c>
      <ns0:c r="BI170" s="88" t="n"/>
      <ns0:c r="BJ170" s="88" t="n"/>
      <ns0:c r="BK170" s="89" t="n">
        <ns0:v>10.2</ns0:v>
      </ns0:c>
      <ns0:c r="BL170" s="90">
        <ns0:f>IFERROR(IF('BBG Verify'!S170="","Awaiting Bloomberg",'BBG Verify'!S170),"Awaiting Bloomberg")</ns0:f>
        <ns0:v/>
      </ns0:c>
      <ns0:c r="BM170" s="91" t="inlineStr">
        <ns0:is>
          <ns0:t>Y</ns0:t>
        </ns0:is>
      </ns0:c>
      <ns0:c r="BN170" s="74" t="inlineStr">
        <ns0:is>
          <ns0:t>688339.SS</ns0:t>
        </ns0:is>
      </ns0:c>
      <ns0:c r="BO170" s="87" t="n">
        <ns0:v>54.15</ns0:v>
      </ns0:c>
      <ns0:c r="BP170" s="77" t="n">
        <ns0:v>92.48820000000001</ns0:v>
      </ns0:c>
      <ns0:c r="BQ170" s="101" t="n">
        <ns0:v>1.3906</ns0:v>
      </ns0:c>
      <ns0:c r="BR170" s="79" t="n">
        <ns0:v>5748.1</ns0:v>
      </ns0:c>
      <ns0:c r="BS170" s="90">
        <ns0:f>IFERROR(IF('BBG Verify'!Q170="","Awaiting Bloomberg",'BBG Verify'!Q170),"Awaiting Bloomberg")</ns0:f>
        <ns0:v/>
      </ns0:c>
      <ns0:c r="BT170" s="90">
        <ns0:f>IFERROR(IF('BBG Verify'!R170="","Awaiting Bloomberg",'BBG Verify'!R170),"Awaiting Bloomberg")</ns0:f>
        <ns0:v/>
      </ns0:c>
      <ns0:c r="BU170" s="91" t="inlineStr">
        <ns0:is>
          <ns0:t>Guotai Junan Capital Limited; Giraffe Capital Limited</ns0:t>
        </ns0:is>
      </ns0:c>
      <ns0:c r="BV170" s="74" t="inlineStr">
        <ns0:is>
          <ns0:t>Guotai Junan Capital Limited; Giraffe Capital Limited</ns0:t>
        </ns0:is>
      </ns0:c>
      <ns0:c r="BW170" s="74" t="inlineStr">
        <ns0:is>
          <ns0: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ns0:t>
        </ns0:is>
      </ns0:c>
      <ns0:c r="BX170" s="74" t="inlineStr">
        <ns0:is>
          <ns0: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ns0:t>
        </ns0:is>
      </ns0:c>
      <ns0:c r="BY170" s="93">
        <ns0:f>HYPERLINK("https://www1.hkexnews.hk/listedco/listconews/sehk/2022/1229/2022122900013.pdf","prospectus")</ns0:f>
        <ns0:v/>
      </ns0:c>
      <ns0:c r="BZ170" s="93">
        <ns0:f>HYPERLINK("https://www1.hkexnews.hk/listedco/listconews/sehk/2023/0111/2023011100006.htm","allotment")</ns0:f>
        <ns0:v/>
      </ns0:c>
      <ns0:c r="CA170" s="93">
        <ns0:f>HYPERLINK("https://www1.hkexnews.hk/listedco/listconews/sehk/2023/0206/2023020600005.pdf","stabilisation")</ns0:f>
        <ns0:v/>
      </ns0:c>
      <ns0:c r="CB170" s="94" t="n"/>
      <ns0:c r="CC170" s="74" t="inlineStr">
        <ns0:is>
          <ns0:t>P/E: loss-making at IPO, use P/S; A/H: H listed Jan 2023 (hydrogen fuel cells); A+H on STAR; cornerstone %: upper bound: AAStocks institutional total / deal size</ns0:t>
        </ns0:is>
      </ns0:c>
    </ns0:row>
    <ns0:row r="171" ht="22" customHeight="1">
      <ns0:c r="A171" s="73" t="inlineStr">
        <ns0:is>
          <ns0:t>2147</ns0:t>
        </ns0:is>
      </ns0:c>
      <ns0:c r="B171" s="74" t="inlineStr">
        <ns0:is>
          <ns0:t>ZHENGWEI GROUP</ns0:t>
        </ns0:is>
      </ns0:c>
      <ns0:c r="C171" s="74" t="inlineStr">
        <ns0:is>
          <ns0:t>正味集團</ns0:t>
        </ns0:is>
      </ns0:c>
      <ns0:c r="D171" s="74" t="inlineStr">
        <ns0:is>
          <ns0:t>Consumer</ns0:t>
        </ns0:is>
      </ns0:c>
      <ns0:c r="E171" s="74" t="inlineStr">
        <ns0:is>
          <ns0:t>Beverages / packaged food</ns0:t>
        </ns0:is>
      </ns0:c>
      <ns0:c r="F171" s="74" t="inlineStr">
        <ns0:is>
          <ns0:t>Packaged Foods</ns0:t>
        </ns0:is>
      </ns0:c>
      <ns0:c r="G171" s="74" t="inlineStr">
        <ns0:is>
          <ns0:t>Standard</ns0:t>
        </ns0:is>
      </ns0:c>
      <ns0:c r="H171" s="75" t="n">
        <ns0:v>44939</ns0:v>
      </ns0:c>
      <ns0:c r="I171" s="76" t="n">
        <ns0:v>97.3</ns0:v>
      </ns0:c>
      <ns0:c r="J171" s="74" t="inlineStr">
        <ns0:is>
          <ns0:t>net proceeds</ns0:t>
        </ns0:is>
      </ns0:c>
      <ns0:c r="K171" s="95" t="n"/>
      <ns0:c r="L171" s="77" t="n">
        <ns0:v>0.68</ns0:v>
      </ns0:c>
      <ns0:c r="M171" s="77" t="n">
        <ns0:v>0.68</ns0:v>
      </ns0:c>
      <ns0:c r="N171" s="74" t="inlineStr">
        <ns0:is>
          <ns0:t>Y</ns0:t>
        </ns0:is>
      </ns0:c>
      <ns0:c r="O171" s="78" t="n">
        <ns0:v>100</ns0:v>
      </ns0:c>
      <ns0:c r="P171" s="84" t="n"/>
      <ns0:c r="Q171" s="79" t="n">
        <ns0:v>600</ns0:v>
      </ns0:c>
      <ns0:c r="R171" s="74" t="inlineStr">
        <ns0:is>
          <ns0:t>aastocks:上市市值 at the struck price</ns0:t>
        </ns0:is>
      </ns0:c>
      <ns0:c r="S171" s="80" t="n">
        <ns0:v>18.28</ns0:v>
      </ns0:c>
      <ns0:c r="T171" s="81" t="n">
        <ns0:v>1.33</ns0:v>
      </ns0:c>
      <ns0:c r="U171" s="82" t="n">
        <ns0:v>0</ns0:v>
      </ns0:c>
      <ns0:c r="V171" s="83" t="n">
        <ns0:v>184</ns0:v>
      </ns0:c>
      <ns0:c r="W171" s="78" t="n">
        <ns0:v>30</ns0:v>
      </ns0:c>
      <ns0:c r="X171" s="74" t="inlineStr">
        <ns0:is>
          <ns0:t>YES</ns0:t>
        </ns0:is>
      </ns0:c>
      <ns0:c r="Y171" s="79" t="n">
        <ns0:v>97.3</ns0:v>
      </ns0:c>
      <ns0:c r="Z171" s="97" t="n"/>
      <ns0:c r="AA171" s="78" t="n">
        <ns0:v>16.22</ns0:v>
      </ns0:c>
      <ns0:c r="AB171" s="74" t="inlineStr">
        <ns0:is>
          <ns0:t>none — no cornerstone tranche</ns0:t>
        </ns0:is>
      </ns0:c>
      <ns0:c r="AC171" s="74" t="inlineStr">
        <ns0:is>
          <ns0:t>none</ns0:t>
        </ns0:is>
      </ns0:c>
      <ns0:c r="AD171" s="78" t="n">
        <ns0:v>15</ns0:v>
      </ns0:c>
      <ns0:c r="AE171" s="74" t="inlineStr">
        <ns0:is>
          <ns0:t>lapsed (no over-allocation)</ns0:t>
        </ns0:is>
      </ns0:c>
      <ns0:c r="AF171" s="85" t="n"/>
      <ns0:c r="AG171" s="74" t="inlineStr">
        <ns0:is>
          <ns0:t>Grand Moore Capital</ns0:t>
        </ns0:is>
      </ns0:c>
      <ns0:c r="AH171" s="74" t="inlineStr">
        <ns0:is>
          <ns0:t>Grand Moore</ns0:t>
        </ns0:is>
      </ns0:c>
      <ns0:c r="AI171" s="86" t="n">
        <ns0:v>2.94</ns0:v>
      </ns0:c>
      <ns0:c r="AJ171" s="87" t="n">
        <ns0:v>-17.65</ns0:v>
      </ns0:c>
      <ns0:c r="AK171" s="87" t="n">
        <ns0:v>1.24</ns0:v>
      </ns0:c>
      <ns0:c r="AL171" s="87" t="n">
        <ns0:v>8.82</ns0:v>
      </ns0:c>
      <ns0:c r="AM171" s="87" t="n">
        <ns0:v>-24.32</ns0:v>
      </ns0:c>
      <ns0:c r="AN171" s="89" t="n">
        <ns0:v>3.27</ns0:v>
      </ns0:c>
      <ns0:c r="AO171" s="78" t="n">
        <ns0:v>28.38</ns0:v>
      </ns0:c>
      <ns0:c r="AP171" s="87" t="n">
        <ns0:v>-29.41</ns0:v>
      </ns0:c>
      <ns0:c r="AQ171" s="87" t="n">
        <ns0:v>-30.88</ns0:v>
      </ns0:c>
      <ns0:c r="AR171" s="87" t="n">
        <ns0:v>-1.47</ns0:v>
      </ns0:c>
      <ns0:c r="AS171" s="87" t="n">
        <ns0:v>-14.28</ns0:v>
      </ns0:c>
      <ns0:c r="AT171" s="87" t="n">
        <ns0:v>-16.07</ns0:v>
      </ns0:c>
      <ns0:c r="AU171" s="87" t="n">
        <ns0:v>19.65</ns0:v>
      </ns0:c>
      <ns0:c r="AV171" s="87" t="n">
        <ns0:v>-32.28</ns0:v>
      </ns0:c>
      <ns0:c r="AW171" s="87" t="n">
        <ns0:v>-28.04</ns0:v>
      </ns0:c>
      <ns0:c r="AX171" s="87" t="n">
        <ns0:v>5.72</ns0:v>
      </ns0:c>
      <ns0:c r="AY171" s="87" t="n">
        <ns0:v>-12.04</ns0:v>
      </ns0:c>
      <ns0:c r="AZ171" s="87" t="n">
        <ns0:v>-2.84</ns0:v>
      </ns0:c>
      <ns0:c r="BA171" s="87" t="n">
        <ns0:v>-4.03</ns0:v>
      </ns0:c>
      <ns0:c r="BB171" s="74" t="inlineStr">
        <ns0:is>
          <ns0:t>Hang Seng Commerce &amp; Industry sub-index</ns0:t>
        </ns0:is>
      </ns0:c>
      <ns0:c r="BC171" s="87" t="n">
        <ns0:v>-95.37</ns0:v>
      </ns0:c>
      <ns0:c r="BD171" s="75" t="n">
        <ns0:v>46297</ns0:v>
      </ns0:c>
      <ns0:c r="BE171" s="76" t="n">
        <ns0:v>376.2</ns0:v>
      </ns0:c>
      <ns0:c r="BF171" s="79" t="n">
        <ns0:v>53.1</ns0:v>
      </ns0:c>
      <ns0:c r="BG171" s="74" t="inlineStr">
        <ns0:is>
          <ns0:t>Y</ns0:t>
        </ns0:is>
      </ns0:c>
      <ns0:c r="BH171" s="89" t="n">
        <ns0:v>11.3</ns0:v>
      </ns0:c>
      <ns0:c r="BI171" s="89" t="n">
        <ns0:v>6</ns0:v>
      </ns0:c>
      <ns0:c r="BJ171" s="88" t="n"/>
      <ns0:c r="BK171" s="89" t="n">
        <ns0:v>1.6</ns0:v>
      </ns0:c>
      <ns0:c r="BL171" s="90">
        <ns0:f>IFERROR(IF('BBG Verify'!S171="","Awaiting Bloomberg",'BBG Verify'!S171),"Awaiting Bloomberg")</ns0:f>
        <ns0:v/>
      </ns0:c>
      <ns0:c r="BM171" s="91" t="inlineStr">
        <ns0:is>
          <ns0:t>N</ns0:t>
        </ns0:is>
      </ns0:c>
      <ns0:c r="BN171" s="92">
        <ns0:f>IFERROR(IF('BBG Verify'!K171="","Awaiting Bloomberg",'BBG Verify'!K171),"Awaiting Bloomberg")</ns0:f>
        <ns0:v/>
      </ns0:c>
      <ns0:c r="BO171" s="74" t="inlineStr">
        <ns0:is>
          <ns0:t>N/A</ns0:t>
        </ns0:is>
      </ns0:c>
      <ns0:c r="BP171" s="74" t="inlineStr">
        <ns0:is>
          <ns0:t>N/A</ns0:t>
        </ns0:is>
      </ns0:c>
      <ns0:c r="BQ171" s="74" t="inlineStr">
        <ns0:is>
          <ns0:t>N/A</ns0:t>
        </ns0:is>
      </ns0:c>
      <ns0:c r="BR171" s="74" t="inlineStr">
        <ns0:is>
          <ns0:t>N/A</ns0:t>
        </ns0:is>
      </ns0:c>
      <ns0:c r="BS171" s="74" t="inlineStr">
        <ns0:is>
          <ns0:t>N/A</ns0:t>
        </ns0:is>
      </ns0:c>
      <ns0:c r="BT171" s="74" t="inlineStr">
        <ns0:is>
          <ns0:t>N/A</ns0:t>
        </ns0:is>
      </ns0:c>
      <ns0:c r="BU171" s="91" t="inlineStr">
        <ns0:is>
          <ns0:t>Grand Moore Capital Limited</ns0:t>
        </ns0:is>
      </ns0:c>
      <ns0:c r="BV171" s="74" t="inlineStr">
        <ns0:is>
          <ns0:t>Grand Moore Capital Limited</ns0:t>
        </ns0:is>
      </ns0:c>
      <ns0:c r="BW171" s="74" t="inlineStr">
        <ns0:is>
          <ns0:t>Grand Moore Capital Limited; Valuable Capital Limited; China PA Securities (Hong Kong) Company Limited; Cinda International Capital Limited; Fortune (HK) Securities Limited; Guotai Junan Securities (Hong Kong) Limited; Zhong Y ang Securities Limited</ns0:t>
        </ns0:is>
      </ns0:c>
      <ns0:c r="BX171" s="74" t="inlineStr">
        <ns0:is>
          <ns0:t>Cinda International Capital Limited; China PA Securities (Hong Kong) Company Limited; Fortune (HK) Securities Limited; Guotai Junan Securities (Hong Kong) Limited; Grand Moore Capital Limited; Valuable Capital Limited; Zhong Yang Securities Limited</ns0:t>
        </ns0:is>
      </ns0:c>
      <ns0:c r="BY171" s="93">
        <ns0:f>HYPERLINK("https://www1.hkexnews.hk/listedco/listconews/sehk/2022/1230/2022123000080.htm","prospectus")</ns0:f>
        <ns0:v/>
      </ns0:c>
      <ns0:c r="BZ171" s="93">
        <ns0:f>HYPERLINK("https://www1.hkexnews.hk/listedco/listconews/sehk/2023/0112/2023011200014.htm","allotment")</ns0:f>
        <ns0:v/>
      </ns0:c>
      <ns0:c r="CA171" s="93">
        <ns0:f>HYPERLINK("https://www1.hkexnews.hk/listedco/listconews/sehk/2023/0210/2023021001132.pdf","stabilisation")</ns0:f>
        <ns0:v/>
      </ns0:c>
      <ns0:c r="CB171" s="94" t="n"/>
      <ns0:c r="CC171" s="74" t="inlineStr">
        <ns0:is>
          <ns0:t>greenshoe: outcome published; expiry date not in the notice; price range: fixed-price offering (no indicative range); range low: maximum offer price only, no floor published; market cap: published listing cap used; the estimate from deal size / offer % of enlarged capital disagreed; cornerstone list: no cornerstone tranche; eff float shares: share count unavailable; the HK$m figure is exact</ns0:t>
        </ns0:is>
      </ns0:c>
    </ns0:row>
    <ns0:row r="172" ht="22" customHeight="1">
      <ns0:c r="A172" s="73" t="inlineStr">
        <ns0:is>
          <ns0:t>2411</ns0:t>
        </ns0:is>
      </ns0:c>
      <ns0:c r="B172" s="74" t="inlineStr">
        <ns0:is>
          <ns0:t>PAGODA GP</ns0:t>
        </ns0:is>
      </ns0:c>
      <ns0:c r="C172" s="74" t="inlineStr">
        <ns0:is>
          <ns0:t>百果園集團</ns0:t>
        </ns0:is>
      </ns0:c>
      <ns0:c r="D172" s="74" t="inlineStr">
        <ns0:is>
          <ns0:t>Consumer</ns0:t>
        </ns0:is>
      </ns0:c>
      <ns0:c r="E172" s="74" t="inlineStr">
        <ns0:is>
          <ns0:t>Retail / distribution</ns0:t>
        </ns0:is>
      </ns0:c>
      <ns0:c r="F172" s="74" t="inlineStr">
        <ns0:is>
          <ns0:t>Agricultural Products</ns0:t>
        </ns0:is>
      </ns0:c>
      <ns0:c r="G172" s="74" t="inlineStr">
        <ns0:is>
          <ns0:t>Standard</ns0:t>
        </ns0:is>
      </ns0:c>
      <ns0:c r="H172" s="75" t="n">
        <ns0:v>44942</ns0:v>
      </ns0:c>
      <ns0:c r="I172" s="76" t="n">
        <ns0:v>442.1</ns0:v>
      </ns0:c>
      <ns0:c r="J172" s="74" t="inlineStr">
        <ns0:is>
          <ns0:t>gross (price x shares)</ns0:t>
        </ns0:is>
      </ns0:c>
      <ns0:c r="K172" s="95" t="n"/>
      <ns0:c r="L172" s="77" t="n">
        <ns0:v>5.6</ns0:v>
      </ns0:c>
      <ns0:c r="M172" s="77" t="n">
        <ns0:v>5.6</ns0:v>
      </ns0:c>
      <ns0:c r="N172" s="74" t="inlineStr">
        <ns0:is>
          <ns0:t>Y</ns0:t>
        </ns0:is>
      </ns0:c>
      <ns0:c r="O172" s="78" t="n">
        <ns0:v>100</ns0:v>
      </ns0:c>
      <ns0:c r="P172" s="84" t="n"/>
      <ns0:c r="Q172" s="79" t="n">
        <ns0:v>8895.9</ns0:v>
      </ns0:c>
      <ns0:c r="R172" s="74" t="inlineStr">
        <ns0:is>
          <ns0:t>aastocks:上市市值 at the struck price</ns0:t>
        </ns0:is>
      </ns0:c>
      <ns0:c r="S172" s="80" t="n">
        <ns0:v>12.2</ns0:v>
      </ns0:c>
      <ns0:c r="T172" s="81" t="n">
        <ns0:v>2.8</ns0:v>
      </ns0:c>
      <ns0:c r="U172" s="82" t="n">
        <ns0:v>5.32</ns0:v>
      </ns0:c>
      <ns0:c r="V172" s="83" t="n">
        <ns0:v>174</ns0:v>
      </ns0:c>
      <ns0:c r="W172" s="84" t="n"/>
      <ns0:c r="X172" s="85" t="n"/>
      <ns0:c r="Y172" s="79" t="n">
        <ns0:v>418.58</ns0:v>
      </ns0:c>
      <ns0:c r="Z172" s="79" t="n">
        <ns0:v>74747493</ns0:v>
      </ns0:c>
      <ns0:c r="AA172" s="78" t="n">
        <ns0:v>4.71</ns0:v>
      </ns0:c>
      <ns0:c r="AB172" s="74" t="inlineStr">
        <ns0:is>
          <ns0:t>HONG KONG BAIJIADA NEW MATERIAL LIMITED; Nantong Douson Drilling and Production Equipment Co., Ltd; Yip Wing Kui</ns0:t>
        </ns0:is>
      </ns0:c>
      <ns0:c r="AC172" s="74" t="inlineStr">
        <ns0:is>
          <ns0:t>baijiada;nantong;yip</ns0:t>
        </ns0:is>
      </ns0:c>
      <ns0:c r="AD172" s="78" t="n">
        <ns0:v>15</ns0:v>
      </ns0:c>
      <ns0:c r="AE172" s="74" t="inlineStr">
        <ns0:is>
          <ns0:t>partial</ns0:t>
        </ns0:is>
      </ns0:c>
      <ns0:c r="AF172" s="74" t="inlineStr">
        <ns0:is>
          <ns0:t>2023-02-08</ns0:t>
        </ns0:is>
      </ns0:c>
      <ns0:c r="AG172" s="74" t="inlineStr">
        <ns0:is>
          <ns0:t>Morgan Stanley Asia Limited</ns0:t>
        </ns0:is>
      </ns0:c>
      <ns0:c r="AH172" s="74" t="inlineStr">
        <ns0:is>
          <ns0:t>Morgan Stanley</ns0:t>
        </ns0:is>
      </ns0:c>
      <ns0:c r="AI172" s="86" t="n">
        <ns0:v>16.43</ns0:v>
      </ns0:c>
      <ns0:c r="AJ172" s="87" t="n">
        <ns0:v>7.14</ns0:v>
      </ns0:c>
      <ns0:c r="AK172" s="87" t="n">
        <ns0:v>-0.25</ns0:v>
      </ns0:c>
      <ns0:c r="AL172" s="87" t="n">
        <ns0:v>16.43</ns0:v>
      </ns0:c>
      <ns0:c r="AM172" s="87" t="n">
        <ns0:v>-7.98</ns0:v>
      </ns0:c>
      <ns0:c r="AN172" s="88" t="n"/>
      <ns0:c r="AO172" s="78" t="n">
        <ns0:v>17.18</ns0:v>
      </ns0:c>
      <ns0:c r="AP172" s="87" t="n">
        <ns0:v>1.07</ns0:v>
      </ns0:c>
      <ns0:c r="AQ172" s="87" t="n">
        <ns0:v>0.71</ns0:v>
      </ns0:c>
      <ns0:c r="AR172" s="87" t="n">
        <ns0:v>5.54</ns0:v>
      </ns0:c>
      <ns0:c r="AS172" s="87" t="n">
        <ns0:v>-5.67</ns0:v>
      </ns0:c>
      <ns0:c r="AT172" s="87" t="n">
        <ns0:v>-6</ns0:v>
      </ns0:c>
      <ns0:c r="AU172" s="87" t="n">
        <ns0:v>-1.49</ns0:v>
      </ns0:c>
      <ns0:c r="AV172" s="87" t="n">
        <ns0:v>-3.18</ns0:v>
      </ns0:c>
      <ns0:c r="AW172" s="87" t="n">
        <ns0:v>6.37</ns0:v>
      </ns0:c>
      <ns0:c r="AX172" s="87" t="n">
        <ns0:v>15.72</ns0:v>
      </ns0:c>
      <ns0:c r="AY172" s="87" t="n">
        <ns0:v>-0.58</ns0:v>
      </ns0:c>
      <ns0:c r="AZ172" s="87" t="n">
        <ns0:v>-5.66</ns0:v>
      </ns0:c>
      <ns0:c r="BA172" s="87" t="n">
        <ns0:v>-5.42</ns0:v>
      </ns0:c>
      <ns0:c r="BB172" s="74" t="inlineStr">
        <ns0:is>
          <ns0:t>Hang Seng Commerce &amp; Industry sub-index</ns0:t>
        </ns0:is>
      </ns0:c>
      <ns0:c r="BC172" s="87" t="n">
        <ns0:v>-72.5</ns0:v>
      </ns0:c>
      <ns0:c r="BD172" s="75" t="n">
        <ns0:v>46297</ns0:v>
      </ns0:c>
      <ns0:c r="BE172" s="76" t="n">
        <ns0:v>11318.3</ns0:v>
      </ns0:c>
      <ns0:c r="BF172" s="79" t="n">
        <ns0:v>243.5</ns0:v>
      </ns0:c>
      <ns0:c r="BG172" s="74" t="inlineStr">
        <ns0:is>
          <ns0:t>Y</ns0:t>
        </ns0:is>
      </ns0:c>
      <ns0:c r="BH172" s="89" t="n">
        <ns0:v>36.5</ns0:v>
      </ns0:c>
      <ns0:c r="BI172" s="88" t="n"/>
      <ns0:c r="BJ172" s="88" t="n"/>
      <ns0:c r="BK172" s="89" t="n">
        <ns0:v>0.8</ns0:v>
      </ns0:c>
      <ns0:c r="BL172" s="90">
        <ns0:f>IFERROR(IF('BBG Verify'!S172="","Awaiting Bloomberg",'BBG Verify'!S172),"Awaiting Bloomberg")</ns0:f>
        <ns0:v/>
      </ns0:c>
      <ns0:c r="BM172" s="91" t="inlineStr">
        <ns0:is>
          <ns0:t>N</ns0:t>
        </ns0:is>
      </ns0:c>
      <ns0:c r="BN172" s="92">
        <ns0:f>IFERROR(IF('BBG Verify'!K172="","Awaiting Bloomberg",'BBG Verify'!K172),"Awaiting Bloomberg")</ns0:f>
        <ns0:v/>
      </ns0:c>
      <ns0:c r="BO172" s="74" t="inlineStr">
        <ns0:is>
          <ns0:t>N/A</ns0:t>
        </ns0:is>
      </ns0:c>
      <ns0:c r="BP172" s="74" t="inlineStr">
        <ns0:is>
          <ns0:t>N/A</ns0:t>
        </ns0:is>
      </ns0:c>
      <ns0:c r="BQ172" s="74" t="inlineStr">
        <ns0:is>
          <ns0:t>N/A</ns0:t>
        </ns0:is>
      </ns0:c>
      <ns0:c r="BR172" s="74" t="inlineStr">
        <ns0:is>
          <ns0:t>N/A</ns0:t>
        </ns0:is>
      </ns0:c>
      <ns0:c r="BS172" s="74" t="inlineStr">
        <ns0:is>
          <ns0:t>N/A</ns0:t>
        </ns0:is>
      </ns0:c>
      <ns0:c r="BT172" s="74" t="inlineStr">
        <ns0:is>
          <ns0:t>N/A</ns0:t>
        </ns0:is>
      </ns0:c>
      <ns0:c r="BU172" s="91" t="inlineStr">
        <ns0:is>
          <ns0:t>Morgan Stanley Asia Limited</ns0:t>
        </ns0:is>
      </ns0:c>
      <ns0:c r="BV172" s="74" t="inlineStr">
        <ns0:is>
          <ns0:t>Morgan Stanley Asia Limited</ns0:t>
        </ns0:is>
      </ns0:c>
      <ns0:c r="BW172" s="74" t="inlineStr">
        <ns0:is>
          <ns0:t>Morgan Stanley Asia Limited; CMB International Capital Limited</ns0:t>
        </ns0:is>
      </ns0:c>
      <ns0:c r="BX172" s="74" t="inlineStr">
        <ns0:is>
          <ns0:t>CMB International Capital Limited; First Shanghai Securities Limited; Fosun Hani Securities Limited; Futu Securities International (Hong Kong) Limited; Morgan Stanley Asia Limited; Tiger Brokers (HK) Global Limited</ns0:t>
        </ns0:is>
      </ns0:c>
      <ns0:c r="BY172" s="93">
        <ns0:f>HYPERLINK("https://www1.hkexnews.hk/listedco/listconews/sehk/2022/1229/2022122900158.htm","prospectus")</ns0:f>
        <ns0:v/>
      </ns0:c>
      <ns0:c r="BZ172" s="93">
        <ns0:f>HYPERLINK("https://www1.hkexnews.hk/listedco/listconews/sehk/2023/0113/2023011300018.htm","allotment")</ns0:f>
        <ns0:v/>
      </ns0:c>
      <ns0:c r="CA172" s="93">
        <ns0:f>HYPERLINK("https://www1.hkexnews.hk/listedco/listconews/sehk/2023/0208/2023020800810.pdf","stabilisation")</ns0:f>
        <ns0:v/>
      </ns0:c>
      <ns0:c r="CB172" s="94" t="n"/>
      <ns0:c r="CC172" s="74" t="inlineStr">
        <ns0:is>
          <ns0:t>price range: fixed-price offering (no indicative range); range low: maximum offer price only, no floor published; cornerstone: % from the prospectus; AAStocks table includes non-cornerstone orders; allocation: allocation table not in this notice's format (older prose announcement); day-1 tape: volume on file; the retail multiple needs the final public split, which this notice does not state</ns0:t>
        </ns0:is>
      </ns0:c>
    </ns0:row>
    <ns0:row r="173" ht="22" customHeight="1">
      <ns0:c r="A173" s="73" t="inlineStr">
        <ns0:is>
          <ns0:t>2373</ns0:t>
        </ns0:is>
      </ns0:c>
      <ns0:c r="B173" s="74" t="inlineStr">
        <ns0:is>
          <ns0:t>BEAUTYFARM MED</ns0:t>
        </ns0:is>
      </ns0:c>
      <ns0:c r="C173" s="74" t="inlineStr">
        <ns0:is>
          <ns0:t>美麗田園醫療健康</ns0:t>
        </ns0:is>
      </ns0:c>
      <ns0:c r="D173" s="74" t="inlineStr">
        <ns0:is>
          <ns0:t>Consumer</ns0:t>
        </ns0:is>
      </ns0:c>
      <ns0:c r="E173" s="74" t="inlineStr">
        <ns0:is>
          <ns0:t>Beauty / personal care</ns0:t>
        </ns0:is>
      </ns0:c>
      <ns0:c r="F173" s="74" t="inlineStr">
        <ns0:is>
          <ns0:t>Health Care Services</ns0:t>
        </ns0:is>
      </ns0:c>
      <ns0:c r="G173" s="74" t="inlineStr">
        <ns0:is>
          <ns0:t>Standard</ns0:t>
        </ns0:is>
      </ns0:c>
      <ns0:c r="H173" s="75" t="n">
        <ns0:v>44942</ns0:v>
      </ns0:c>
      <ns0:c r="I173" s="76" t="n">
        <ns0:v>783.2</ns0:v>
      </ns0:c>
      <ns0:c r="J173" s="74" t="inlineStr">
        <ns0:is>
          <ns0:t>gross (price x shares)</ns0:t>
        </ns0:is>
      </ns0:c>
      <ns0:c r="K173" s="95" t="n"/>
      <ns0:c r="L173" s="77" t="n">
        <ns0:v>19.32</ns0:v>
      </ns0:c>
      <ns0:c r="M173" s="77" t="n">
        <ns0:v>19.32</ns0:v>
      </ns0:c>
      <ns0:c r="N173" s="74" t="inlineStr">
        <ns0:is>
          <ns0:t>Y</ns0:t>
        </ns0:is>
      </ns0:c>
      <ns0:c r="O173" s="78" t="n">
        <ns0:v>100</ns0:v>
      </ns0:c>
      <ns0:c r="P173" s="84" t="n"/>
      <ns0:c r="Q173" s="79" t="n">
        <ns0:v>4454.8</ns0:v>
      </ns0:c>
      <ns0:c r="R173" s="74" t="inlineStr">
        <ns0:is>
          <ns0:t>prospectus:stated market capitalisation</ns0:t>
        </ns0:is>
      </ns0:c>
      <ns0:c r="S173" s="80" t="n">
        <ns0:v>22.12</ns0:v>
      </ns0:c>
      <ns0:c r="T173" s="81" t="n">
        <ns0:v>4.7</ns0:v>
      </ns0:c>
      <ns0:c r="U173" s="82" t="n">
        <ns0:v>28.4</ns0:v>
      </ns0:c>
      <ns0:c r="V173" s="83" t="n">
        <ns0:v>47</ns0:v>
      </ns0:c>
      <ns0:c r="W173" s="84" t="n"/>
      <ns0:c r="X173" s="85" t="n"/>
      <ns0:c r="Y173" s="79" t="n">
        <ns0:v>560.77</ns0:v>
      </ns0:c>
      <ns0:c r="Z173" s="79" t="n">
        <ns0:v>29024134</ns0:v>
      </ns0:c>
      <ns0:c r="AA173" s="78" t="n">
        <ns0:v>12.59</ns0:v>
      </ns0:c>
      <ns0:c r="AB173" s="74" t="inlineStr">
        <ns0:is>
          <ns0:t>Harvest International Premium Value (Secondary Market) Fund SPC; Juzi Holding Co., Ltd; Kunming Botanee Bio-technology Sales Co., Ltd; TruMed Healthcare Master Fund and TruMed Health Innovation Fund LP</ns0:t>
        </ns0:is>
      </ns0:c>
      <ns0:c r="AC173" s="74" t="inlineStr">
        <ns0:is>
          <ns0:t>harvest;juzi;kunming;trumed</ns0:t>
        </ns0:is>
      </ns0:c>
      <ns0:c r="AD173" s="78" t="n">
        <ns0:v>7</ns0:v>
      </ns0:c>
      <ns0:c r="AE173" s="74" t="inlineStr">
        <ns0:is>
          <ns0:t>full</ns0:t>
        </ns0:is>
      </ns0:c>
      <ns0:c r="AF173" s="74" t="inlineStr">
        <ns0:is>
          <ns0:t>2023-02-05</ns0:t>
        </ns0:is>
      </ns0:c>
      <ns0:c r="AG173" s="74" t="inlineStr">
        <ns0:is>
          <ns0:t>Morgan Stanley Asia Limited</ns0:t>
        </ns0:is>
      </ns0:c>
      <ns0:c r="AH173" s="74" t="inlineStr">
        <ns0:is>
          <ns0:t>Morgan Stanley</ns0:t>
        </ns0:is>
      </ns0:c>
      <ns0:c r="AI173" s="86" t="n">
        <ns0:v>48.29</ns0:v>
      </ns0:c>
      <ns0:c r="AJ173" s="87" t="n">
        <ns0:v>53.47</ns0:v>
      </ns0:c>
      <ns0:c r="AK173" s="87" t="n">
        <ns0:v>-0.25</ns0:v>
      </ns0:c>
      <ns0:c r="AL173" s="87" t="n">
        <ns0:v>57.87</ns0:v>
      </ns0:c>
      <ns0:c r="AM173" s="87" t="n">
        <ns0:v>-2.79</ns0:v>
      </ns0:c>
      <ns0:c r="AN173" s="88" t="n"/>
      <ns0:c r="AO173" s="78" t="n">
        <ns0:v>15.9</ns0:v>
      </ns0:c>
      <ns0:c r="AP173" s="87" t="n">
        <ns0:v>56.31</ns0:v>
      </ns0:c>
      <ns0:c r="AQ173" s="87" t="n">
        <ns0:v>45.96</ns0:v>
      </ns0:c>
      <ns0:c r="AR173" s="87" t="n">
        <ns0:v>58.64</ns0:v>
      </ns0:c>
      <ns0:c r="AS173" s="87" t="n">
        <ns0:v>1.85</ns0:v>
      </ns0:c>
      <ns0:c r="AT173" s="87" t="n">
        <ns0:v>-4.89</ns0:v>
      </ns0:c>
      <ns0:c r="AU173" s="87" t="n">
        <ns0:v>3.37</ns0:v>
      </ns0:c>
      <ns0:c r="AV173" s="87" t="n">
        <ns0:v>52.06</ns0:v>
      </ns0:c>
      <ns0:c r="AW173" s="87" t="n">
        <ns0:v>51.62</ns0:v>
      </ns0:c>
      <ns0:c r="AX173" s="87" t="n">
        <ns0:v>68.81999999999999</ns0:v>
      </ns0:c>
      <ns0:c r="AY173" s="87" t="n">
        <ns0:v>0.53</ns0:v>
      </ns0:c>
      <ns0:c r="AZ173" s="87" t="n">
        <ns0:v>-5.66</ns0:v>
      </ns0:c>
      <ns0:c r="BA173" s="87" t="n">
        <ns0:v>-5.42</ns0:v>
      </ns0:c>
      <ns0:c r="BB173" s="74" t="inlineStr">
        <ns0:is>
          <ns0:t>Hang Seng Commerce &amp; Industry sub-index</ns0:t>
        </ns0:is>
      </ns0:c>
      <ns0:c r="BC173" s="87" t="n">
        <ns0:v>0.41</ns0:v>
      </ns0:c>
      <ns0:c r="BD173" s="75" t="n">
        <ns0:v>46297</ns0:v>
      </ns0:c>
      <ns0:c r="BE173" s="76" t="n">
        <ns0:v>1958.8</ns0:v>
      </ns0:c>
      <ns0:c r="BF173" s="79" t="n">
        <ns0:v>229.2</ns0:v>
      </ns0:c>
      <ns0:c r="BG173" s="74" t="inlineStr">
        <ns0:is>
          <ns0:t>Y</ns0:t>
        </ns0:is>
      </ns0:c>
      <ns0:c r="BH173" s="89" t="n">
        <ns0:v>19.4</ns0:v>
      </ns0:c>
      <ns0:c r="BI173" s="88" t="n"/>
      <ns0:c r="BJ173" s="89" t="n">
        <ns0:v>11.9</ns0:v>
      </ns0:c>
      <ns0:c r="BK173" s="89" t="n">
        <ns0:v>2.3</ns0:v>
      </ns0:c>
      <ns0:c r="BL173" s="90">
        <ns0:f>IFERROR(IF('BBG Verify'!S173="","Awaiting Bloomberg",'BBG Verify'!S173),"Awaiting Bloomberg")</ns0:f>
        <ns0:v/>
      </ns0:c>
      <ns0:c r="BM173" s="91" t="inlineStr">
        <ns0:is>
          <ns0:t>N</ns0:t>
        </ns0:is>
      </ns0:c>
      <ns0:c r="BN173" s="92">
        <ns0:f>IFERROR(IF('BBG Verify'!K173="","Awaiting Bloomberg",'BBG Verify'!K173),"Awaiting Bloomberg")</ns0:f>
        <ns0:v/>
      </ns0:c>
      <ns0:c r="BO173" s="74" t="inlineStr">
        <ns0:is>
          <ns0:t>N/A</ns0:t>
        </ns0:is>
      </ns0:c>
      <ns0:c r="BP173" s="74" t="inlineStr">
        <ns0:is>
          <ns0:t>N/A</ns0:t>
        </ns0:is>
      </ns0:c>
      <ns0:c r="BQ173" s="74" t="inlineStr">
        <ns0:is>
          <ns0:t>N/A</ns0:t>
        </ns0:is>
      </ns0:c>
      <ns0:c r="BR173" s="74" t="inlineStr">
        <ns0:is>
          <ns0:t>N/A</ns0:t>
        </ns0:is>
      </ns0:c>
      <ns0:c r="BS173" s="74" t="inlineStr">
        <ns0:is>
          <ns0:t>N/A</ns0:t>
        </ns0:is>
      </ns0:c>
      <ns0:c r="BT173" s="74" t="inlineStr">
        <ns0:is>
          <ns0:t>N/A</ns0:t>
        </ns0:is>
      </ns0:c>
      <ns0:c r="BU173" s="91" t="inlineStr">
        <ns0:is>
          <ns0:t>Morgan Stanley Asia Limited; Haitong International Capital Limited; Huatai Financial Holdings (Hong Kong) Limited</ns0:t>
        </ns0:is>
      </ns0:c>
      <ns0:c r="BV173" s="74" t="inlineStr">
        <ns0:is>
          <ns0:t>Morgan Stanley Asia Limited; Haitong International Capital Limited; Huatai Financial Holdings (Hong Kong) Limited</ns0:t>
        </ns0:is>
      </ns0:c>
      <ns0:c r="BW173" s="74" t="inlineStr">
        <ns0:is>
          <ns0:t>Morgan Stanley Asia Limited; Haitong International Securities Company Limited; Huatai Financial Holdings (Hong Kong) Limited; CLSA Limited; ICBC International Capital Limited</ns0:t>
        </ns0:is>
      </ns0:c>
      <ns0:c r="BX173" s="74" t="inlineStr">
        <ns0:is>
          <ns0:t>CLSA Limited; Futu Securities International (Hong Kong) Limited; Huatai Financial Holdings (Hong Kong) Limited; Haitong International Securities Company Limited; ICBC International Securities Limited; Morgan Stanley Asia Limited; Tiger Brokers (HK) Global Limited; Valuable Capital Limited</ns0:t>
        </ns0:is>
      </ns0:c>
      <ns0:c r="BY173" s="93">
        <ns0:f>HYPERLINK("https://www1.hkexnews.hk/listedco/listconews/sehk/2022/1230/2022123000067.pdf","prospectus")</ns0:f>
        <ns0:v/>
      </ns0:c>
      <ns0:c r="BZ173" s="93">
        <ns0:f>HYPERLINK("https://www1.hkexnews.hk/listedco/listconews/sehk/2023/0113/2023011300032.htm","allotment")</ns0:f>
        <ns0:v/>
      </ns0:c>
      <ns0:c r="CA173" s="93">
        <ns0:f>HYPERLINK("https://www1.hkexnews.hk/listedco/listconews/sehk/2023/0205/2023020500007.pdf","stabilisation")</ns0:f>
        <ns0:v/>
      </ns0:c>
      <ns0:c r="CB173" s="94" t="n"/>
      <ns0:c r="CC173" s="74" t="inlineStr">
        <ns0:is>
          <ns0:t>range low: maximum offer price only, no floor published; cornerstone: % from the prospectus; AAStocks table includes non-cornerstone orders; allocation: allocation table not in this notice's format (older prose announcement); day-1 tape: volume on file; the retail multiple needs the final public split, which this notice does not state</ns0:t>
        </ns0:is>
      </ns0:c>
    </ns0:row>
    <ns0:row r="174" ht="22" customHeight="1">
      <ns0:c r="A174" s="73" t="inlineStr">
        <ns0:is>
          <ns0:t>2458</ns0:t>
        </ns0:is>
      </ns0:c>
      <ns0:c r="B174" s="74" t="inlineStr">
        <ns0:is>
          <ns0:t>GALA TECH HOLD</ns0:t>
        </ns0:is>
      </ns0:c>
      <ns0:c r="C174" s="74" t="inlineStr">
        <ns0:is>
          <ns0:t>望塵科技控股</ns0:t>
        </ns0:is>
      </ns0:c>
      <ns0:c r="D174" s="74" t="inlineStr">
        <ns0:is>
          <ns0:t>Technology</ns0:t>
        </ns0:is>
      </ns0:c>
      <ns0:c r="E174" s="74" t="inlineStr">
        <ns0:is>
          <ns0:t>Internet &amp; fintech</ns0:t>
        </ns0:is>
      </ns0:c>
      <ns0:c r="F174" s="74" t="inlineStr">
        <ns0:is>
          <ns0:t>Gaming Software</ns0:t>
        </ns0:is>
      </ns0:c>
      <ns0:c r="G174" s="74" t="inlineStr">
        <ns0:is>
          <ns0:t>Standard</ns0:t>
        </ns0:is>
      </ns0:c>
      <ns0:c r="H174" s="75" t="n">
        <ns0:v>44942</ns0:v>
      </ns0:c>
      <ns0:c r="I174" s="76" t="n">
        <ns0:v>11</ns0:v>
      </ns0:c>
      <ns0:c r="J174" s="74" t="inlineStr">
        <ns0:is>
          <ns0:t>net proceeds</ns0:t>
        </ns0:is>
      </ns0:c>
      <ns0:c r="K174" s="77" t="n">
        <ns0:v>5.7</ns0:v>
      </ns0:c>
      <ns0:c r="L174" s="77" t="n">
        <ns0:v>7.16</ns0:v>
      </ns0:c>
      <ns0:c r="M174" s="77" t="n">
        <ns0:v>6.5</ns0:v>
      </ns0:c>
      <ns0:c r="N174" s="74" t="inlineStr">
        <ns0:is>
          <ns0:t>N</ns0:t>
        </ns0:is>
      </ns0:c>
      <ns0:c r="O174" s="78" t="n">
        <ns0:v>90.8</ns0:v>
      </ns0:c>
      <ns0:c r="P174" s="78" t="n">
        <ns0:v>54.8</ns0:v>
      </ns0:c>
      <ns0:c r="Q174" s="79" t="n">
        <ns0:v>969.5</ns0:v>
      </ns0:c>
      <ns0:c r="R174" s="74" t="inlineStr">
        <ns0:is>
          <ns0:t>aastocks:上市市值 at the struck price</ns0:t>
        </ns0:is>
      </ns0:c>
      <ns0:c r="S174" s="80" t="n">
        <ns0:v>3.4</ns0:v>
      </ns0:c>
      <ns0:c r="T174" s="81" t="n">
        <ns0:v>1.7</ns0:v>
      </ns0:c>
      <ns0:c r="U174" s="82" t="n">
        <ns0:v>0</ns0:v>
      </ns0:c>
      <ns0:c r="V174" s="83" t="n">
        <ns0:v>132</ns0:v>
      </ns0:c>
      <ns0:c r="W174" s="84" t="n"/>
      <ns0:c r="X174" s="85" t="n"/>
      <ns0:c r="Y174" s="79" t="n">
        <ns0:v>11</ns0:v>
      </ns0:c>
      <ns0:c r="Z174" s="97" t="n"/>
      <ns0:c r="AA174" s="78" t="n">
        <ns0:v>1.13</ns0:v>
      </ns0:c>
      <ns0:c r="AB174" s="74" t="inlineStr">
        <ns0:is>
          <ns0:t>none — no cornerstone tranche</ns0:t>
        </ns0:is>
      </ns0:c>
      <ns0:c r="AC174" s="74" t="inlineStr">
        <ns0:is>
          <ns0:t>none</ns0:t>
        </ns0:is>
      </ns0:c>
      <ns0:c r="AD174" s="84" t="n"/>
      <ns0:c r="AE174" s="85" t="n"/>
      <ns0:c r="AF174" s="85" t="n"/>
      <ns0:c r="AG174" s="85" t="n"/>
      <ns0:c r="AH174" s="85" t="n"/>
      <ns0:c r="AI174" s="86" t="n">
        <ns0:v>-13.69</ns0:v>
      </ns0:c>
      <ns0:c r="AJ174" s="87" t="n">
        <ns0:v>-11.54</ns0:v>
      </ns0:c>
      <ns0:c r="AK174" s="87" t="n">
        <ns0:v>-1.29</ns0:v>
      </ns0:c>
      <ns0:c r="AL174" s="87" t="n">
        <ns0:v>-23.08</ns0:v>
      </ns0:c>
      <ns0:c r="AM174" s="87" t="n">
        <ns0:v>15</ns0:v>
      </ns0:c>
      <ns0:c r="AN174" s="88" t="n"/>
      <ns0:c r="AO174" s="78" t="n">
        <ns0:v>23</ns0:v>
      </ns0:c>
      <ns0:c r="AP174" s="87" t="n">
        <ns0:v>-20.92</ns0:v>
      </ns0:c>
      <ns0:c r="AQ174" s="87" t="n">
        <ns0:v>4.46</ns0:v>
      </ns0:c>
      <ns0:c r="AR174" s="87" t="n">
        <ns0:v>-20.31</ns0:v>
      </ns0:c>
      <ns0:c r="AS174" s="87" t="n">
        <ns0:v>-10.6</ns0:v>
      </ns0:c>
      <ns0:c r="AT174" s="87" t="n">
        <ns0:v>18.09</ns0:v>
      </ns0:c>
      <ns0:c r="AU174" s="87" t="n">
        <ns0:v>-9.91</ns0:v>
      </ns0:c>
      <ns0:c r="AV174" s="87" t="n">
        <ns0:v>-25.11</ns0:v>
      </ns0:c>
      <ns0:c r="AW174" s="87" t="n">
        <ns0:v>10.92</ns0:v>
      </ns0:c>
      <ns0:c r="AX174" s="87" t="n">
        <ns0:v>-7.35</ns0:v>
      </ns0:c>
      <ns0:c r="AY174" s="87" t="n">
        <ns0:v>23.32</ns0:v>
      </ns0:c>
      <ns0:c r="AZ174" s="87" t="n">
        <ns0:v>-6.46</ns0:v>
      </ns0:c>
      <ns0:c r="BA174" s="87" t="n">
        <ns0:v>-5.23</ns0:v>
      </ns0:c>
      <ns0:c r="BB174" s="74" t="inlineStr">
        <ns0:is>
          <ns0:t>HSTECH (Hang Seng TECH ETF)</ns0:t>
        </ns0:is>
      </ns0:c>
      <ns0:c r="BC174" s="87" t="n">
        <ns0:v>0</ns0:v>
      </ns0:c>
      <ns0:c r="BD174" s="75" t="n">
        <ns0:v>46297</ns0:v>
      </ns0:c>
      <ns0:c r="BE174" s="76" t="n">
        <ns0:v>505.8</ns0:v>
      </ns0:c>
      <ns0:c r="BF174" s="79" t="n">
        <ns0:v>-1</ns0:v>
      </ns0:c>
      <ns0:c r="BG174" s="74" t="inlineStr">
        <ns0:is>
          <ns0:t>N</ns0:t>
        </ns0:is>
      </ns0:c>
      <ns0:c r="BH174" s="74" t="inlineStr">
        <ns0:is>
          <ns0:t>n/m</ns0:t>
        </ns0:is>
      </ns0:c>
      <ns0:c r="BI174" s="88" t="n"/>
      <ns0:c r="BJ174" s="89" t="n">
        <ns0:v>7.8</ns0:v>
      </ns0:c>
      <ns0:c r="BK174" s="89" t="n">
        <ns0:v>1.9</ns0:v>
      </ns0:c>
      <ns0:c r="BL174" s="90">
        <ns0:f>IFERROR(IF('BBG Verify'!S174="","Awaiting Bloomberg",'BBG Verify'!S174),"Awaiting Bloomberg")</ns0:f>
        <ns0:v/>
      </ns0:c>
      <ns0:c r="BM174" s="91" t="inlineStr">
        <ns0:is>
          <ns0:t>N</ns0:t>
        </ns0:is>
      </ns0:c>
      <ns0:c r="BN174" s="92">
        <ns0:f>IFERROR(IF('BBG Verify'!K174="","Awaiting Bloomberg",'BBG Verify'!K174),"Awaiting Bloomberg")</ns0:f>
        <ns0:v/>
      </ns0:c>
      <ns0:c r="BO174" s="74" t="inlineStr">
        <ns0:is>
          <ns0:t>N/A</ns0:t>
        </ns0:is>
      </ns0:c>
      <ns0:c r="BP174" s="74" t="inlineStr">
        <ns0:is>
          <ns0:t>N/A</ns0:t>
        </ns0:is>
      </ns0:c>
      <ns0:c r="BQ174" s="74" t="inlineStr">
        <ns0:is>
          <ns0:t>N/A</ns0:t>
        </ns0:is>
      </ns0:c>
      <ns0:c r="BR174" s="74" t="inlineStr">
        <ns0:is>
          <ns0:t>N/A</ns0:t>
        </ns0:is>
      </ns0:c>
      <ns0:c r="BS174" s="74" t="inlineStr">
        <ns0:is>
          <ns0:t>N/A</ns0:t>
        </ns0:is>
      </ns0:c>
      <ns0:c r="BT174" s="74" t="inlineStr">
        <ns0:is>
          <ns0:t>N/A</ns0:t>
        </ns0:is>
      </ns0:c>
      <ns0:c r="BU174" s="91" t="inlineStr">
        <ns0:is>
          <ns0:t>UOB Kay Hian (Hong Kong) Limited</ns0:t>
        </ns0:is>
      </ns0:c>
      <ns0:c r="BV174" s="74" t="inlineStr">
        <ns0:is>
          <ns0:t>UOB Kay Hian (Hong Kong) Limited</ns0:t>
        </ns0:is>
      </ns0:c>
      <ns0:c r="BW174" s="74" t="inlineStr">
        <ns0:is>
          <ns0:t>UOB Kay Hian (Hong Kong) Limited</ns0:t>
        </ns0:is>
      </ns0:c>
      <ns0:c r="BX174" s="74" t="inlineStr">
        <ns0:is>
          <ns0:t>Futu Securities International (Hong Kong) Limited; Haitong International Securities Company Limited; Maxa Capital Limited; Tiger Brokers (HK) Global Limited; UOB Kay Hian (Hong Kong) Limited</ns0:t>
        </ns0:is>
      </ns0:c>
      <ns0:c r="BY174" s="93">
        <ns0:f>HYPERLINK("https://www1.hkexnews.hk/listedco/listconews/sehk/2022/1230/2022123000207.pdf","prospectus")</ns0:f>
        <ns0:v/>
      </ns0:c>
      <ns0:c r="BZ174" s="93">
        <ns0:f>HYPERLINK("https://www1.hkexnews.hk/listedco/listconews/sehk/2023/0113/2023011300078.htm","allotment")</ns0:f>
        <ns0:v/>
      </ns0:c>
      <ns0:c r="CA174" s="85" t="n"/>
      <ns0:c r="CB174" s="94" t="n"/>
      <ns0:c r="CC174" s="74" t="inlineStr">
        <ns0:is>
          <ns0:t>P/E: loss-making at IPO, use P/S; greenshoe: no over-allotment option; market cap: published listing cap used; the estimate from deal size / offer % of enlarged capital disagreed; cornerstone list: no cornerstone tranche; greenshoe size: no over-allotment option; stabilising manager: no over-allotment option, so none appointed;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175" ht="22" customHeight="1">
      <ns0:c r="A175" s="73" t="inlineStr">
        <ns0:is>
          <ns0:t>2459</ns0:t>
        </ns0:is>
      </ns0:c>
      <ns0:c r="B175" s="74" t="inlineStr">
        <ns0:is>
          <ns0:t>SANERGY GROUP</ns0:t>
        </ns0:is>
      </ns0:c>
      <ns0:c r="C175" s="74" t="inlineStr">
        <ns0:is>
          <ns0:t>昇能集團</ns0:t>
        </ns0:is>
      </ns0:c>
      <ns0:c r="D175" s="74" t="inlineStr">
        <ns0:is>
          <ns0:t>Materials/Energy</ns0:t>
        </ns0:is>
      </ns0:c>
      <ns0:c r="E175" s="74" t="inlineStr">
        <ns0:is>
          <ns0:t>Chemicals</ns0:t>
        </ns0:is>
      </ns0:c>
      <ns0:c r="F175" s="74" t="inlineStr">
        <ns0:is>
          <ns0:t>Electrical Components &amp; Equipment</ns0:t>
        </ns0:is>
      </ns0:c>
      <ns0:c r="G175" s="74" t="inlineStr">
        <ns0:is>
          <ns0:t>Standard</ns0:t>
        </ns0:is>
      </ns0:c>
      <ns0:c r="H175" s="75" t="n">
        <ns0:v>44943</ns0:v>
      </ns0:c>
      <ns0:c r="I175" s="76" t="n">
        <ns0:v>275.8</ns0:v>
      </ns0:c>
      <ns0:c r="J175" s="74" t="inlineStr">
        <ns0:is>
          <ns0:t>gross (price x shares)</ns0:t>
        </ns0:is>
      </ns0:c>
      <ns0:c r="K175" s="95" t="n"/>
      <ns0:c r="L175" s="77" t="n">
        <ns0:v>2.2</ns0:v>
      </ns0:c>
      <ns0:c r="M175" s="77" t="n">
        <ns0:v>1.6</ns0:v>
      </ns0:c>
      <ns0:c r="N175" s="74" t="inlineStr">
        <ns0:is>
          <ns0:t>N</ns0:t>
        </ns0:is>
      </ns0:c>
      <ns0:c r="O175" s="78" t="n">
        <ns0:v>72.7</ns0:v>
      </ns0:c>
      <ns0:c r="P175" s="84" t="n"/>
      <ns0:c r="Q175" s="79" t="n">
        <ns0:v>1779.4</ns0:v>
      </ns0:c>
      <ns0:c r="R175" s="74" t="inlineStr">
        <ns0:is>
          <ns0:t>derived:deal size / offer % of enlarged capital</ns0:t>
        </ns0:is>
      </ns0:c>
      <ns0:c r="S175" s="80" t="n">
        <ns0:v>9.880000000000001</ns0:v>
      </ns0:c>
      <ns0:c r="T175" s="81" t="n">
        <ns0:v>1.2</ns0:v>
      </ns0:c>
      <ns0:c r="U175" s="82" t="n">
        <ns0:v>0</ns0:v>
      </ns0:c>
      <ns0:c r="V175" s="83" t="n">
        <ns0:v>122</ns0:v>
      </ns0:c>
      <ns0:c r="W175" s="84" t="n"/>
      <ns0:c r="X175" s="85" t="n"/>
      <ns0:c r="Y175" s="79" t="n">
        <ns0:v>275.8</ns0:v>
      </ns0:c>
      <ns0:c r="Z175" s="79" t="n">
        <ns0:v>172400000</ns0:v>
      </ns0:c>
      <ns0:c r="AA175" s="78" t="n">
        <ns0:v>15.5</ns0:v>
      </ns0:c>
      <ns0:c r="AB175" s="74" t="inlineStr">
        <ns0:is>
          <ns0:t>none — no cornerstone tranche</ns0:t>
        </ns0:is>
      </ns0:c>
      <ns0:c r="AC175" s="74" t="inlineStr">
        <ns0:is>
          <ns0:t>none</ns0:t>
        </ns0:is>
      </ns0:c>
      <ns0:c r="AD175" s="78" t="n">
        <ns0:v>15</ns0:v>
      </ns0:c>
      <ns0:c r="AE175" s="74" t="inlineStr">
        <ns0:is>
          <ns0:t>lapsed (no over-allocation)</ns0:t>
        </ns0:is>
      </ns0:c>
      <ns0:c r="AF175" s="85" t="n"/>
      <ns0:c r="AG175" s="74" t="inlineStr">
        <ns0:is>
          <ns0:t>Yue Xiu Securities Company Limited</ns0:t>
        </ns0:is>
      </ns0:c>
      <ns0:c r="AH175" s="74" t="inlineStr">
        <ns0:is>
          <ns0:t>Yue Xiu</ns0:t>
        </ns0:is>
      </ns0:c>
      <ns0:c r="AI175" s="86" t="n">
        <ns0:v>3.12</ns0:v>
      </ns0:c>
      <ns0:c r="AJ175" s="87" t="n">
        <ns0:v>11.25</ns0:v>
      </ns0:c>
      <ns0:c r="AK175" s="87" t="n">
        <ns0:v>-0.6</ns0:v>
      </ns0:c>
      <ns0:c r="AL175" s="87" t="n">
        <ns0:v>5</ns0:v>
      </ns0:c>
      <ns0:c r="AM175" s="87" t="n">
        <ns0:v>5.95</ns0:v>
      </ns0:c>
      <ns0:c r="AN175" s="88" t="n"/>
      <ns0:c r="AO175" s="78" t="n">
        <ns0:v>17.26</ns0:v>
      </ns0:c>
      <ns0:c r="AP175" s="87" t="n">
        <ns0:v>3.12</ns0:v>
      </ns0:c>
      <ns0:c r="AQ175" s="87" t="n">
        <ns0:v>51.25</ns0:v>
      </ns0:c>
      <ns0:c r="AR175" s="87" t="n">
        <ns0:v>10</ns0:v>
      </ns0:c>
      <ns0:c r="AS175" s="87" t="n">
        <ns0:v>-7.31</ns0:v>
      </ns0:c>
      <ns0:c r="AT175" s="87" t="n">
        <ns0:v>35.96</ns0:v>
      </ns0:c>
      <ns0:c r="AU175" s="87" t="n">
        <ns0:v>-1.12</ns0:v>
      </ns0:c>
      <ns0:c r="AV175" s="87" t="n">
        <ns0:v>-2.34</ns0:v>
      </ns0:c>
      <ns0:c r="AW175" s="87" t="n">
        <ns0:v>55.97</ns0:v>
      </ns0:c>
      <ns0:c r="AX175" s="87" t="n">
        <ns0:v>20.52</ns0:v>
      </ns0:c>
      <ns0:c r="AY175" s="87" t="n">
        <ns0:v>40.1</ns0:v>
      </ns0:c>
      <ns0:c r="AZ175" s="87" t="n">
        <ns0:v>-4.72</ns0:v>
      </ns0:c>
      <ns0:c r="BA175" s="87" t="n">
        <ns0:v>-4.14</ns0:v>
      </ns0:c>
      <ns0:c r="BB175" s="74" t="inlineStr">
        <ns0:is>
          <ns0:t>Hang Seng Commerce &amp; Industry sub-index</ns0:t>
        </ns0:is>
      </ns0:c>
      <ns0:c r="BC175" s="87" t="n">
        <ns0:v>-96.25</ns0:v>
      </ns0:c>
      <ns0:c r="BD175" s="75" t="n">
        <ns0:v>46297</ns0:v>
      </ns0:c>
      <ns0:c r="BE175" s="76" t="n">
        <ns0:v>846.6</ns0:v>
      </ns0:c>
      <ns0:c r="BF175" s="79" t="n">
        <ns0:v>32.7</ns0:v>
      </ns0:c>
      <ns0:c r="BG175" s="74" t="inlineStr">
        <ns0:is>
          <ns0:t>Y</ns0:t>
        </ns0:is>
      </ns0:c>
      <ns0:c r="BH175" s="89" t="n">
        <ns0:v>54.4</ns0:v>
      </ns0:c>
      <ns0:c r="BI175" s="88" t="n"/>
      <ns0:c r="BJ175" s="88" t="n"/>
      <ns0:c r="BK175" s="89" t="n">
        <ns0:v>2.1</ns0:v>
      </ns0:c>
      <ns0:c r="BL175" s="90">
        <ns0:f>IFERROR(IF('BBG Verify'!S175="","Awaiting Bloomberg",'BBG Verify'!S175),"Awaiting Bloomberg")</ns0:f>
        <ns0:v/>
      </ns0:c>
      <ns0:c r="BM175" s="91" t="inlineStr">
        <ns0:is>
          <ns0:t>N</ns0:t>
        </ns0:is>
      </ns0:c>
      <ns0:c r="BN175" s="92">
        <ns0:f>IFERROR(IF('BBG Verify'!K175="","Awaiting Bloomberg",'BBG Verify'!K175),"Awaiting Bloomberg")</ns0:f>
        <ns0:v/>
      </ns0:c>
      <ns0:c r="BO175" s="74" t="inlineStr">
        <ns0:is>
          <ns0:t>N/A</ns0:t>
        </ns0:is>
      </ns0:c>
      <ns0:c r="BP175" s="74" t="inlineStr">
        <ns0:is>
          <ns0:t>N/A</ns0:t>
        </ns0:is>
      </ns0:c>
      <ns0:c r="BQ175" s="74" t="inlineStr">
        <ns0:is>
          <ns0:t>N/A</ns0:t>
        </ns0:is>
      </ns0:c>
      <ns0:c r="BR175" s="74" t="inlineStr">
        <ns0:is>
          <ns0:t>N/A</ns0:t>
        </ns0:is>
      </ns0:c>
      <ns0:c r="BS175" s="74" t="inlineStr">
        <ns0:is>
          <ns0:t>N/A</ns0:t>
        </ns0:is>
      </ns0:c>
      <ns0:c r="BT175" s="74" t="inlineStr">
        <ns0:is>
          <ns0:t>N/A</ns0:t>
        </ns0:is>
      </ns0:c>
      <ns0:c r="BU175" s="91" t="inlineStr">
        <ns0:is>
          <ns0:t>Southwest Securities (HK) Capital Limited</ns0:t>
        </ns0:is>
      </ns0:c>
      <ns0:c r="BV175" s="74" t="inlineStr">
        <ns0:is>
          <ns0:t>Southwest Securities (HK) Capital Limited</ns0:t>
        </ns0:is>
      </ns0:c>
      <ns0:c r="BW175" s="74" t="inlineStr">
        <ns0:is>
          <ns0:t>Southwest Securities (HK) Brokerage Limited; Yue Xiu Securities Company Limited; First Capital Securities Limited; Sheng Yuan Securities Limited; BOCI Asia Limited; ABCI Capital Limited; JMC Capital International Limited; Valuable Capital Limited</ns0:t>
        </ns0:is>
      </ns0:c>
      <ns0:c r="BX175" s="74" t="inlineStr">
        <ns0:is>
          <ns0: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ns0:t>
        </ns0:is>
      </ns0:c>
      <ns0:c r="BY175" s="93">
        <ns0:f>HYPERLINK("https://www1.hkexnews.hk/listedco/listconews/sehk/2022/1230/2022123000059.pdf","prospectus")</ns0:f>
        <ns0:v/>
      </ns0:c>
      <ns0:c r="BZ175" s="93">
        <ns0:f>HYPERLINK("https://www1.hkexnews.hk/listedco/listconews/sehk/2023/0116/2023011600008.htm","allotment")</ns0:f>
        <ns0:v/>
      </ns0:c>
      <ns0:c r="CA175" s="93">
        <ns0:f>HYPERLINK("https://www1.hkexnews.hk/listedco/listconews/sehk/2023/0209/2023020900283.pdf","stabilisation")</ns0:f>
        <ns0:v/>
      </ns0:c>
      <ns0:c r="CB175" s="94" t="n"/>
      <ns0:c r="CC175" s="74" t="inlineStr">
        <ns0:is>
          <ns0:t>greenshoe: outcome published; expiry date not in the notice; range low: maximum offer price only, no floor published; returns: returns exclude the entitlement value of 2025-07-16 rights 1-for-2 @ HK$0.08 (pre-consolidation); Bloomberg back-adjusts by x1.195; cornerstone list: no cornerstone tranche; allocation: allocation table not in this notice's format (older prose announcement); day-1 tape: volume on file; the retail multiple needs the final public split, which this notice does not state</ns0:t>
        </ns0:is>
      </ns0:c>
    </ns0:row>
    <ns0:row r="176" ht="22" customHeight="1">
      <ns0:c r="A176" s="73" t="inlineStr">
        <ns0:is>
          <ns0:t>2455</ns0:t>
        </ns0:is>
      </ns0:c>
      <ns0:c r="B176" s="74" t="inlineStr">
        <ns0:is>
          <ns0:t>RUNHUA SERVICE</ns0:t>
        </ns0:is>
      </ns0:c>
      <ns0:c r="C176" s="74" t="inlineStr">
        <ns0:is>
          <ns0:t>潤華服務</ns0:t>
        </ns0:is>
      </ns0:c>
      <ns0:c r="D176" s="74" t="inlineStr">
        <ns0:is>
          <ns0:t>Real Estate</ns0:t>
        </ns0:is>
      </ns0:c>
      <ns0:c r="E176" s="74" t="inlineStr">
        <ns0:is>
          <ns0:t>Property management</ns0:t>
        </ns0:is>
      </ns0:c>
      <ns0:c r="F176" s="74" t="inlineStr">
        <ns0:is>
          <ns0:t>Property Service and Management</ns0:t>
        </ns0:is>
      </ns0:c>
      <ns0:c r="G176" s="74" t="inlineStr">
        <ns0:is>
          <ns0:t>Standard</ns0:t>
        </ns0:is>
      </ns0:c>
      <ns0:c r="H176" s="75" t="n">
        <ns0:v>44943</ns0:v>
      </ns0:c>
      <ns0:c r="I176" s="76" t="n">
        <ns0:v>127.5</ns0:v>
      </ns0:c>
      <ns0:c r="J176" s="74" t="inlineStr">
        <ns0:is>
          <ns0:t>gross (price x shares)</ns0:t>
        </ns0:is>
      </ns0:c>
      <ns0:c r="K176" s="77" t="n">
        <ns0:v>1.7</ns0:v>
      </ns0:c>
      <ns0:c r="L176" s="77" t="n">
        <ns0:v>2</ns0:v>
      </ns0:c>
      <ns0:c r="M176" s="77" t="n">
        <ns0:v>1.7</ns0:v>
      </ns0:c>
      <ns0:c r="N176" s="74" t="inlineStr">
        <ns0:is>
          <ns0:t>N</ns0:t>
        </ns0:is>
      </ns0:c>
      <ns0:c r="O176" s="78" t="n">
        <ns0:v>85</ns0:v>
      </ns0:c>
      <ns0:c r="P176" s="78" t="n">
        <ns0:v>0</ns0:v>
      </ns0:c>
      <ns0:c r="Q176" s="79" t="n">
        <ns0:v>510</ns0:v>
      </ns0:c>
      <ns0:c r="R176" s="74" t="inlineStr">
        <ns0:is>
          <ns0:t>derived:deal size / offer % of enlarged capital</ns0:t>
        </ns0:is>
      </ns0:c>
      <ns0:c r="S176" s="80" t="n">
        <ns0:v>8.74</ns0:v>
      </ns0:c>
      <ns0:c r="T176" s="81" t="n">
        <ns0:v>1.29</ns0:v>
      </ns0:c>
      <ns0:c r="U176" s="82" t="n">
        <ns0:v>34.9</ns0:v>
      </ns0:c>
      <ns0:c r="V176" s="83" t="n">
        <ns0:v>144</ns0:v>
      </ns0:c>
      <ns0:c r="W176" s="84" t="n"/>
      <ns0:c r="X176" s="85" t="n"/>
      <ns0:c r="Y176" s="79" t="n">
        <ns0:v>83</ns0:v>
      </ns0:c>
      <ns0:c r="Z176" s="79" t="n">
        <ns0:v>48825000</ns0:v>
      </ns0:c>
      <ns0:c r="AA176" s="78" t="n">
        <ns0:v>16.27</ns0:v>
      </ns0:c>
      <ns0:c r="AB176" s="74" t="inlineStr">
        <ns0:is>
          <ns0:t>Jinan Huaiyin Urban Construction Investment Group Co., Ltd</ns0:t>
        </ns0:is>
      </ns0:c>
      <ns0:c r="AC176" s="74" t="inlineStr">
        <ns0:is>
          <ns0:t>jinan</ns0:t>
        </ns0:is>
      </ns0:c>
      <ns0:c r="AD176" s="78" t="n">
        <ns0:v>8.699999999999999</ns0:v>
      </ns0:c>
      <ns0:c r="AE176" s="74" t="inlineStr">
        <ns0:is>
          <ns0:t>lapsed (no over-allocation)</ns0:t>
        </ns0:is>
      </ns0:c>
      <ns0:c r="AF176" s="85" t="n"/>
      <ns0:c r="AG176" s="74" t="inlineStr">
        <ns0:is>
          <ns0:t>Zhongtai International Securities Limited</ns0:t>
        </ns0:is>
      </ns0:c>
      <ns0:c r="AH176" s="74" t="inlineStr">
        <ns0:is>
          <ns0:t>Zhongtai</ns0:t>
        </ns0:is>
      </ns0:c>
      <ns0:c r="AI176" s="86" t="n">
        <ns0:v>-23.53</ns0:v>
      </ns0:c>
      <ns0:c r="AJ176" s="87" t="n">
        <ns0:v>-25.88</ns0:v>
      </ns0:c>
      <ns0:c r="AK176" s="87" t="n">
        <ns0:v>-0.3</ns0:v>
      </ns0:c>
      <ns0:c r="AL176" s="87" t="n">
        <ns0:v>-18.82</ns0:v>
      </ns0:c>
      <ns0:c r="AM176" s="87" t="n">
        <ns0:v>-8.699999999999999</ns0:v>
      </ns0:c>
      <ns0:c r="AN176" s="88" t="n"/>
      <ns0:c r="AO176" s="78" t="n">
        <ns0:v>10.14</ns0:v>
      </ns0:c>
      <ns0:c r="AP176" s="87" t="n">
        <ns0:v>-23.53</ns0:v>
      </ns0:c>
      <ns0:c r="AQ176" s="87" t="n">
        <ns0:v>-25.88</ns0:v>
      </ns0:c>
      <ns0:c r="AR176" s="87" t="n">
        <ns0:v>-20</ns0:v>
      </ns0:c>
      <ns0:c r="AS176" s="87" t="n">
        <ns0:v>3.17</ns0:v>
      </ns0:c>
      <ns0:c r="AT176" s="87" t="n">
        <ns0:v>0</ns0:v>
      </ns0:c>
      <ns0:c r="AU176" s="87" t="n">
        <ns0:v>7.93</ns0:v>
      </ns0:c>
      <ns0:c r="AV176" s="87" t="n">
        <ns0:v>-28.37</ns0:v>
      </ns0:c>
      <ns0:c r="AW176" s="87" t="n">
        <ns0:v>-21.46</ns0:v>
      </ns0:c>
      <ns0:c r="AX176" s="87" t="n">
        <ns0:v>-10.74</ns0:v>
      </ns0:c>
      <ns0:c r="AY176" s="87" t="n">
        <ns0:v>4.12</ns0:v>
      </ns0:c>
      <ns0:c r="AZ176" s="87" t="n">
        <ns0:v>-4.42</ns0:v>
      </ns0:c>
      <ns0:c r="BA176" s="87" t="n">
        <ns0:v>-4.12</ns0:v>
      </ns0:c>
      <ns0:c r="BB176" s="74" t="inlineStr">
        <ns0:is>
          <ns0:t>Hang Seng Properties sub-index</ns0:t>
        </ns0:is>
      </ns0:c>
      <ns0:c r="BC176" s="87" t="n">
        <ns0:v>-54.71</ns0:v>
      </ns0:c>
      <ns0:c r="BD176" s="75" t="n">
        <ns0:v>46297</ns0:v>
      </ns0:c>
      <ns0:c r="BE176" s="76" t="n">
        <ns0:v>661.4</ns0:v>
      </ns0:c>
      <ns0:c r="BF176" s="79" t="n">
        <ns0:v>44.2</ns0:v>
      </ns0:c>
      <ns0:c r="BG176" s="74" t="inlineStr">
        <ns0:is>
          <ns0:t>Y</ns0:t>
        </ns0:is>
      </ns0:c>
      <ns0:c r="BH176" s="89" t="n">
        <ns0:v>11.5</ns0:v>
      </ns0:c>
      <ns0:c r="BI176" s="88" t="n"/>
      <ns0:c r="BJ176" s="89" t="n">
        <ns0:v>3.8</ns0:v>
      </ns0:c>
      <ns0:c r="BK176" s="89" t="n">
        <ns0:v>0.8</ns0:v>
      </ns0:c>
      <ns0:c r="BL176" s="90">
        <ns0:f>IFERROR(IF('BBG Verify'!S176="","Awaiting Bloomberg",'BBG Verify'!S176),"Awaiting Bloomberg")</ns0:f>
        <ns0:v/>
      </ns0:c>
      <ns0:c r="BM176" s="91" t="inlineStr">
        <ns0:is>
          <ns0:t>N</ns0:t>
        </ns0:is>
      </ns0:c>
      <ns0:c r="BN176" s="92">
        <ns0:f>IFERROR(IF('BBG Verify'!K176="","Awaiting Bloomberg",'BBG Verify'!K176),"Awaiting Bloomberg")</ns0:f>
        <ns0:v/>
      </ns0:c>
      <ns0:c r="BO176" s="74" t="inlineStr">
        <ns0:is>
          <ns0:t>N/A</ns0:t>
        </ns0:is>
      </ns0:c>
      <ns0:c r="BP176" s="74" t="inlineStr">
        <ns0:is>
          <ns0:t>N/A</ns0:t>
        </ns0:is>
      </ns0:c>
      <ns0:c r="BQ176" s="74" t="inlineStr">
        <ns0:is>
          <ns0:t>N/A</ns0:t>
        </ns0:is>
      </ns0:c>
      <ns0:c r="BR176" s="74" t="inlineStr">
        <ns0:is>
          <ns0:t>N/A</ns0:t>
        </ns0:is>
      </ns0:c>
      <ns0:c r="BS176" s="74" t="inlineStr">
        <ns0:is>
          <ns0:t>N/A</ns0:t>
        </ns0:is>
      </ns0:c>
      <ns0:c r="BT176" s="74" t="inlineStr">
        <ns0:is>
          <ns0:t>N/A</ns0:t>
        </ns0:is>
      </ns0:c>
      <ns0:c r="BU176" s="91" t="inlineStr">
        <ns0:is>
          <ns0:t>Zhongtai International Capital Limited; OC Zhongtai International Securities Limited</ns0:t>
        </ns0:is>
      </ns0:c>
      <ns0:c r="BV176" s="74" t="inlineStr">
        <ns0:is>
          <ns0:t>Zhongtai International Capital Limited</ns0:t>
        </ns0:is>
      </ns0:c>
      <ns0:c r="BW176" s="74" t="inlineStr">
        <ns0:is>
          <ns0: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ns0:t>
        </ns0:is>
      </ns0:c>
      <ns0:c r="BX176" s="74" t="inlineStr">
        <ns0:is>
          <ns0: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ns0:t>
        </ns0:is>
      </ns0:c>
      <ns0:c r="BY176" s="93">
        <ns0:f>HYPERLINK("https://www1.hkexnews.hk/listedco/listconews/sehk/2022/1230/2022123000035.pdf","prospectus")</ns0:f>
        <ns0:v/>
      </ns0:c>
      <ns0:c r="BZ176" s="93">
        <ns0:f>HYPERLINK("https://www1.hkexnews.hk/listedco/listconews/sehk/2023/0116/2023011600024.htm","allotment")</ns0:f>
        <ns0:v/>
      </ns0:c>
      <ns0:c r="CA176" s="93">
        <ns0:f>HYPERLINK("https://www1.hkexnews.hk/listedco/listconews/sehk/2023/0208/2023020800031.pdf","stabilisation")</ns0:f>
        <ns0:v/>
      </ns0:c>
      <ns0:c r="CB176" s="94" t="n"/>
      <ns0:c r="CC176" s="74" t="inlineStr">
        <ns0:is>
          <ns0:t>greenshoe: outcome published; expiry date not in the notice; allocation: allocation table not in this notice's format (older prose announcement); day-1 tape: volume on file; the retail multiple needs the final public split, which this notice does not state</ns0:t>
        </ns0:is>
      </ns0:c>
    </ns0:row>
    <ns0:row r="177" ht="22" customHeight="1">
      <ns0:c r="A177" s="73" t="inlineStr">
        <ns0:is>
          <ns0:t>2306</ns0:t>
        </ns0:is>
      </ns0:c>
      <ns0:c r="B177" s="74" t="inlineStr">
        <ns0:is>
          <ns0:t>YH ENT</ns0:t>
        </ns0:is>
      </ns0:c>
      <ns0:c r="C177" s="74" t="inlineStr">
        <ns0:is>
          <ns0:t>樂華娛樂</ns0:t>
        </ns0:is>
      </ns0:c>
      <ns0:c r="D177" s="74" t="inlineStr">
        <ns0:is>
          <ns0:t>Media &amp; telecom</ns0:t>
        </ns0:is>
      </ns0:c>
      <ns0:c r="E177" s="74" t="inlineStr">
        <ns0:is>
          <ns0:t>Media / advertising</ns0:t>
        </ns0:is>
      </ns0:c>
      <ns0:c r="F177" s="74" t="inlineStr">
        <ns0:is>
          <ns0:t>Movies &amp; Entertainment</ns0:t>
        </ns0:is>
      </ns0:c>
      <ns0:c r="G177" s="74" t="inlineStr">
        <ns0:is>
          <ns0:t>Standard</ns0:t>
        </ns0:is>
      </ns0:c>
      <ns0:c r="H177" s="75" t="n">
        <ns0:v>44945</ns0:v>
      </ns0:c>
      <ns0:c r="I177" s="76" t="n">
        <ns0:v>489.8</ns0:v>
      </ns0:c>
      <ns0:c r="J177" s="74" t="inlineStr">
        <ns0:is>
          <ns0:t>gross (price x shares)</ns0:t>
        </ns0:is>
      </ns0:c>
      <ns0:c r="K177" s="77" t="n">
        <ns0:v>3.91</ns0:v>
      </ns0:c>
      <ns0:c r="L177" s="77" t="n">
        <ns0:v>5.06</ns0:v>
      </ns0:c>
      <ns0:c r="M177" s="77" t="n">
        <ns0:v>4.08</ns0:v>
      </ns0:c>
      <ns0:c r="N177" s="74" t="inlineStr">
        <ns0:is>
          <ns0:t>N</ns0:t>
        </ns0:is>
      </ns0:c>
      <ns0:c r="O177" s="78" t="n">
        <ns0:v>80.59999999999999</ns0:v>
      </ns0:c>
      <ns0:c r="P177" s="78" t="n">
        <ns0:v>14.8</ns0:v>
      </ns0:c>
      <ns0:c r="Q177" s="79" t="n">
        <ns0:v>4217.5</ns0:v>
      </ns0:c>
      <ns0:c r="R177" s="74" t="inlineStr">
        <ns0:is>
          <ns0:t>aastocks:上市市值 at the struck price</ns0:t>
        </ns0:is>
      </ns0:c>
      <ns0:c r="S177" s="80" t="n">
        <ns0:v>28.68</ns0:v>
      </ns0:c>
      <ns0:c r="T177" s="81" t="n">
        <ns0:v>1.29</ns0:v>
      </ns0:c>
      <ns0:c r="U177" s="82" t="n">
        <ns0:v>17.9</ns0:v>
      </ns0:c>
      <ns0:c r="V177" s="83" t="n">
        <ns0:v>112</ns0:v>
      </ns0:c>
      <ns0:c r="W177" s="78" t="n">
        <ns0:v>30</ns0:v>
      </ns0:c>
      <ns0:c r="X177" s="74" t="inlineStr">
        <ns0:is>
          <ns0:t>YES</ns0:t>
        </ns0:is>
      </ns0:c>
      <ns0:c r="Y177" s="79" t="n">
        <ns0:v>402.13</ns0:v>
      </ns0:c>
      <ns0:c r="Z177" s="79" t="n">
        <ns0:v>98569260</ns0:v>
      </ns0:c>
      <ns0:c r="AA177" s="78" t="n">
        <ns0:v>9.529999999999999</ns0:v>
      </ns0:c>
      <ns0:c r="AB177" s="74" t="inlineStr">
        <ns0:is>
          <ns0:t>Ding Shijia; Maoyan Entertainment (HK) Limited; Sun Mass Energy Development Limited; TradArt Asset Management Co., Limited</ns0:t>
        </ns0:is>
      </ns0:c>
      <ns0:c r="AC177" s="74" t="inlineStr">
        <ns0:is>
          <ns0:t>ding-shijia;maoyan;sun-mass;tradart</ns0:t>
        </ns0:is>
      </ns0:c>
      <ns0:c r="AD177" s="78" t="n">
        <ns0:v>12.28</ns0:v>
      </ns0:c>
      <ns0:c r="AE177" s="74" t="inlineStr">
        <ns0:is>
          <ns0:t>partial</ns0:t>
        </ns0:is>
      </ns0:c>
      <ns0:c r="AF177" s="85" t="n"/>
      <ns0:c r="AG177" s="74" t="inlineStr">
        <ns0:is>
          <ns0:t>China Securities</ns0:t>
        </ns0:is>
      </ns0:c>
      <ns0:c r="AH177" s="74" t="inlineStr">
        <ns0:is>
          <ns0:t>China Securities</ns0:t>
        </ns0:is>
      </ns0:c>
      <ns0:c r="AI177" s="86" t="n">
        <ns0:v>42.65</ns0:v>
      </ns0:c>
      <ns0:c r="AJ177" s="87" t="n">
        <ns0:v>47.79</ns0:v>
      </ns0:c>
      <ns0:c r="AK177" s="87" t="n">
        <ns0:v>-0.12</ns0:v>
      </ns0:c>
      <ns0:c r="AL177" s="87" t="n">
        <ns0:v>37.25</ns0:v>
      </ns0:c>
      <ns0:c r="AM177" s="87" t="n">
        <ns0:v>7.68</ns0:v>
      </ns0:c>
      <ns0:c r="AN177" s="89" t="n">
        <ns0:v>1.46</ns0:v>
      </ns0:c>
      <ns0:c r="AO177" s="78" t="n">
        <ns0:v>21.07</ns0:v>
      </ns0:c>
      <ns0:c r="AP177" s="87" t="n">
        <ns0:v>17.16</ns0:v>
      </ns0:c>
      <ns0:c r="AQ177" s="87" t="n">
        <ns0:v>6.86</ns0:v>
      </ns0:c>
      <ns0:c r="AR177" s="87" t="n">
        <ns0:v>-1.23</ns0:v>
      </ns0:c>
      <ns0:c r="AS177" s="87" t="n">
        <ns0:v>-20.73</ns0:v>
      </ns0:c>
      <ns0:c r="AT177" s="87" t="n">
        <ns0:v>-27.69</ns0:v>
      </ns0:c>
      <ns0:c r="AU177" s="87" t="n">
        <ns0:v>-33.17</ns0:v>
      </ns0:c>
      <ns0:c r="AV177" s="87" t="n">
        <ns0:v>16.4</ns0:v>
      </ns0:c>
      <ns0:c r="AW177" s="87" t="n">
        <ns0:v>12.65</ns0:v>
      </ns0:c>
      <ns0:c r="AX177" s="87" t="n">
        <ns0:v>7.63</ns0:v>
      </ns0:c>
      <ns0:c r="AY177" s="87" t="n">
        <ns0:v>-22.02</ns0:v>
      </ns0:c>
      <ns0:c r="AZ177" s="87" t="n">
        <ns0:v>-5.79</ns0:v>
      </ns0:c>
      <ns0:c r="BA177" s="87" t="n">
        <ns0:v>-5.67</ns0:v>
      </ns0:c>
      <ns0:c r="BB177" s="74" t="inlineStr">
        <ns0:is>
          <ns0:t>Hang Seng Index</ns0:t>
        </ns0:is>
      </ns0:c>
      <ns0:c r="BC177" s="87" t="n">
        <ns0:v>-53.92</ns0:v>
      </ns0:c>
      <ns0:c r="BD177" s="75" t="n">
        <ns0:v>46297</ns0:v>
      </ns0:c>
      <ns0:c r="BE177" s="76" t="n">
        <ns0:v>1419.5</ns0:v>
      </ns0:c>
      <ns0:c r="BF177" s="79" t="n">
        <ns0:v>368.9</ns0:v>
      </ns0:c>
      <ns0:c r="BG177" s="74" t="inlineStr">
        <ns0:is>
          <ns0:t>Y</ns0:t>
        </ns0:is>
      </ns0:c>
      <ns0:c r="BH177" s="89" t="n">
        <ns0:v>11.4</ns0:v>
      </ns0:c>
      <ns0:c r="BI177" s="88" t="n"/>
      <ns0:c r="BJ177" s="89" t="n">
        <ns0:v>22.1</ns0:v>
      </ns0:c>
      <ns0:c r="BK177" s="89" t="n">
        <ns0:v>3</ns0:v>
      </ns0:c>
      <ns0:c r="BL177" s="90">
        <ns0:f>IFERROR(IF('BBG Verify'!S177="","Awaiting Bloomberg",'BBG Verify'!S177),"Awaiting Bloomberg")</ns0:f>
        <ns0:v/>
      </ns0:c>
      <ns0:c r="BM177" s="91" t="inlineStr">
        <ns0:is>
          <ns0:t>N</ns0:t>
        </ns0:is>
      </ns0:c>
      <ns0:c r="BN177" s="92">
        <ns0:f>IFERROR(IF('BBG Verify'!K177="","Awaiting Bloomberg",'BBG Verify'!K177),"Awaiting Bloomberg")</ns0:f>
        <ns0:v/>
      </ns0:c>
      <ns0:c r="BO177" s="74" t="inlineStr">
        <ns0:is>
          <ns0:t>N/A</ns0:t>
        </ns0:is>
      </ns0:c>
      <ns0:c r="BP177" s="74" t="inlineStr">
        <ns0:is>
          <ns0:t>N/A</ns0:t>
        </ns0:is>
      </ns0:c>
      <ns0:c r="BQ177" s="74" t="inlineStr">
        <ns0:is>
          <ns0:t>N/A</ns0:t>
        </ns0:is>
      </ns0:c>
      <ns0:c r="BR177" s="74" t="inlineStr">
        <ns0:is>
          <ns0:t>N/A</ns0:t>
        </ns0:is>
      </ns0:c>
      <ns0:c r="BS177" s="74" t="inlineStr">
        <ns0:is>
          <ns0:t>N/A</ns0:t>
        </ns0:is>
      </ns0:c>
      <ns0:c r="BT177" s="74" t="inlineStr">
        <ns0:is>
          <ns0:t>N/A</ns0:t>
        </ns0:is>
      </ns0:c>
      <ns0:c r="BU177" s="91" t="inlineStr">
        <ns0:is>
          <ns0:t>China Merchants Securities (HK) Co., Limited</ns0:t>
        </ns0:is>
      </ns0:c>
      <ns0:c r="BV177" s="74" t="inlineStr">
        <ns0:is>
          <ns0:t>China Securities (International) Corporate Finance Company Limited; China Merchants Securities (HK) Company Limited</ns0:t>
        </ns0:is>
      </ns0:c>
      <ns0:c r="BW177" s="74" t="inlineStr">
        <ns0:is>
          <ns0: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ns0:t>
        </ns0:is>
      </ns0:c>
      <ns0:c r="BX177" s="74" t="inlineStr">
        <ns0:is>
          <ns0: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ns0:t>
        </ns0:is>
      </ns0:c>
      <ns0:c r="BY177" s="93">
        <ns0:f>HYPERLINK("https://www1.hkexnews.hk/listedco/listconews/sehk/2022/1230/2022123000047.pdf","prospectus")</ns0:f>
        <ns0:v/>
      </ns0:c>
      <ns0:c r="BZ177" s="93">
        <ns0:f>HYPERLINK("https://www1.hkexnews.hk/listedco/listconews/sehk/2023/0118/2023011800042.htm","allotment")</ns0:f>
        <ns0:v/>
      </ns0:c>
      <ns0:c r="CA177" s="93">
        <ns0:f>HYPERLINK("https://www1.hkexnews.hk/listedco/listconews/sehk/2023/0212/2023021200017.pdf","stabilisation")</ns0:f>
        <ns0:v/>
      </ns0:c>
      <ns0:c r="CB177" s="94" t="n"/>
      <ns0:c r="CC177" s="74" t="inlineStr">
        <ns0:is>
          <ns0:t>greenshoe: outcome published; expiry date not in the notice</ns0:t>
        </ns0:is>
      </ns0:c>
    </ns0:row>
    <ns0:row r="178" ht="22" customHeight="1">
      <ns0:c r="A178" s="73" t="inlineStr">
        <ns0:is>
          <ns0:t>2450</ns0:t>
        </ns0:is>
      </ns0:c>
      <ns0:c r="B178" s="74" t="inlineStr">
        <ns0:is>
          <ns0:t>HUAIBEI GD CO</ns0:t>
        </ns0:is>
      </ns0:c>
      <ns0:c r="C178" s="74" t="inlineStr">
        <ns0:is>
          <ns0:t>淮北綠金股份</ns0:t>
        </ns0:is>
      </ns0:c>
      <ns0:c r="D178" s="74" t="inlineStr">
        <ns0:is>
          <ns0:t>Materials/Energy</ns0:t>
        </ns0:is>
      </ns0:c>
      <ns0:c r="E178" s="74" t="inlineStr">
        <ns0:is>
          <ns0:t>Chemicals</ns0:t>
        </ns0:is>
      </ns0:c>
      <ns0:c r="F178" s="74" t="inlineStr">
        <ns0:is>
          <ns0:t>Construction Materials</ns0:t>
        </ns0:is>
      </ns0:c>
      <ns0:c r="G178" s="74" t="inlineStr">
        <ns0:is>
          <ns0:t>Standard</ns0:t>
        </ns0:is>
      </ns0:c>
      <ns0:c r="H178" s="75" t="n">
        <ns0:v>44946</ns0:v>
      </ns0:c>
      <ns0:c r="I178" s="76" t="n">
        <ns0:v>126.1</ns0:v>
      </ns0:c>
      <ns0:c r="J178" s="74" t="inlineStr">
        <ns0:is>
          <ns0:t>gross (price x shares)</ns0:t>
        </ns0:is>
      </ns0:c>
      <ns0:c r="K178" s="77" t="n">
        <ns0:v>1.91</ns0:v>
      </ns0:c>
      <ns0:c r="L178" s="77" t="n">
        <ns0:v>2.31</ns0:v>
      </ns0:c>
      <ns0:c r="M178" s="77" t="n">
        <ns0:v>1.91</ns0:v>
      </ns0:c>
      <ns0:c r="N178" s="74" t="inlineStr">
        <ns0:is>
          <ns0:t>N</ns0:t>
        </ns0:is>
      </ns0:c>
      <ns0:c r="O178" s="78" t="n">
        <ns0:v>82.7</ns0:v>
      </ns0:c>
      <ns0:c r="P178" s="78" t="n">
        <ns0:v>0</ns0:v>
      </ns0:c>
      <ns0:c r="Q178" s="79" t="n">
        <ns0:v>504.3</ns0:v>
      </ns0:c>
      <ns0:c r="R178" s="74" t="inlineStr">
        <ns0:is>
          <ns0:t>prospectus:stated market capitalisation</ns0:t>
        </ns0:is>
      </ns0:c>
      <ns0:c r="S178" s="80" t="n">
        <ns0:v>12.26</ns0:v>
      </ns0:c>
      <ns0:c r="T178" s="81" t="n">
        <ns0:v>0.95</ns0:v>
      </ns0:c>
      <ns0:c r="U178" s="82" t="n">
        <ns0:v>0</ns0:v>
      </ns0:c>
      <ns0:c r="V178" s="83" t="n">
        <ns0:v>137</ns0:v>
      </ns0:c>
      <ns0:c r="W178" s="78" t="n">
        <ns0:v>20</ns0:v>
      </ns0:c>
      <ns0:c r="X178" s="85" t="n"/>
      <ns0:c r="Y178" s="79" t="n">
        <ns0:v>126.1</ns0:v>
      </ns0:c>
      <ns0:c r="Z178" s="79" t="n">
        <ns0:v>66000000</ns0:v>
      </ns0:c>
      <ns0:c r="AA178" s="78" t="n">
        <ns0:v>25</ns0:v>
      </ns0:c>
      <ns0:c r="AB178" s="74" t="inlineStr">
        <ns0:is>
          <ns0:t>none — no cornerstone tranche</ns0:t>
        </ns0:is>
      </ns0:c>
      <ns0:c r="AC178" s="74" t="inlineStr">
        <ns0:is>
          <ns0:t>none</ns0:t>
        </ns0:is>
      </ns0:c>
      <ns0:c r="AD178" s="78" t="n">
        <ns0:v>20</ns0:v>
      </ns0:c>
      <ns0:c r="AE178" s="74" t="inlineStr">
        <ns0:is>
          <ns0:t>lapsed (no over-allocation)</ns0:t>
        </ns0:is>
      </ns0:c>
      <ns0:c r="AF178" s="74" t="inlineStr">
        <ns0:is>
          <ns0:t>2023-02-12</ns0:t>
        </ns0:is>
      </ns0:c>
      <ns0:c r="AG178" s="74" t="inlineStr">
        <ns0:is>
          <ns0:t>China Everbright Securities</ns0:t>
        </ns0:is>
      </ns0:c>
      <ns0:c r="AH178" s="74" t="inlineStr">
        <ns0:is>
          <ns0:t>China Everbright</ns0:t>
        </ns0:is>
      </ns0:c>
      <ns0:c r="AI178" s="86" t="n">
        <ns0:v>-38.74</ns0:v>
      </ns0:c>
      <ns0:c r="AJ178" s="87" t="n">
        <ns0:v>-44.5</ns0:v>
      </ns0:c>
      <ns0:c r="AK178" s="87" t="n">
        <ns0:v>2.47</ns0:v>
      </ns0:c>
      <ns0:c r="AL178" s="87" t="n">
        <ns0:v>-36.65</ns0:v>
      </ns0:c>
      <ns0:c r="AM178" s="87" t="n">
        <ns0:v>-12.39</ns0:v>
      </ns0:c>
      <ns0:c r="AN178" s="89" t="n">
        <ns0:v>3.56</ns0:v>
      </ns0:c>
      <ns0:c r="AO178" s="78" t="n">
        <ns0:v>17.36</ns0:v>
      </ns0:c>
      <ns0:c r="AP178" s="87" t="n">
        <ns0:v>-47.64</ns0:v>
      </ns0:c>
      <ns0:c r="AQ178" s="87" t="n">
        <ns0:v>-57.59</ns0:v>
      </ns0:c>
      <ns0:c r="AR178" s="87" t="n">
        <ns0:v>-63.87</ns0:v>
      </ns0:c>
      <ns0:c r="AS178" s="87" t="n">
        <ns0:v>-5.66</ns0:v>
      </ns0:c>
      <ns0:c r="AT178" s="87" t="n">
        <ns0:v>-23.59</ns0:v>
      </ns0:c>
      <ns0:c r="AU178" s="87" t="n">
        <ns0:v>-34.9</ns0:v>
      </ns0:c>
      <ns0:c r="AV178" s="87" t="n">
        <ns0:v>-50.94</ns0:v>
      </ns0:c>
      <ns0:c r="AW178" s="87" t="n">
        <ns0:v>-49.69</ns0:v>
      </ns0:c>
      <ns0:c r="AX178" s="87" t="n">
        <ns0:v>-52.12</ns0:v>
      </ns0:c>
      <ns0:c r="AY178" s="87" t="n">
        <ns0:v>-13.47</ns0:v>
      </ns0:c>
      <ns0:c r="AZ178" s="87" t="n">
        <ns0:v>-7.9</ns0:v>
      </ns0:c>
      <ns0:c r="BA178" s="87" t="n">
        <ns0:v>-10.12</ns0:v>
      </ns0:c>
      <ns0:c r="BB178" s="74" t="inlineStr">
        <ns0:is>
          <ns0:t>Hang Seng Commerce &amp; Industry sub-index</ns0:t>
        </ns0:is>
      </ns0:c>
      <ns0:c r="BC178" s="87" t="n">
        <ns0:v>525.65</ns0:v>
      </ns0:c>
      <ns0:c r="BD178" s="75" t="n">
        <ns0:v>46297</ns0:v>
      </ns0:c>
      <ns0:c r="BE178" s="76" t="n">
        <ns0:v>407.4</ns0:v>
      </ns0:c>
      <ns0:c r="BF178" s="79" t="n">
        <ns0:v>108.8</ns0:v>
      </ns0:c>
      <ns0:c r="BG178" s="74" t="inlineStr">
        <ns0:is>
          <ns0:t>Y</ns0:t>
        </ns0:is>
      </ns0:c>
      <ns0:c r="BH178" s="89" t="n">
        <ns0:v>4.6</ns0:v>
      </ns0:c>
      <ns0:c r="BI178" s="88" t="n"/>
      <ns0:c r="BJ178" s="88" t="n"/>
      <ns0:c r="BK178" s="89" t="n">
        <ns0:v>1.2</ns0:v>
      </ns0:c>
      <ns0:c r="BL178" s="90">
        <ns0:f>IFERROR(IF('BBG Verify'!S178="","Awaiting Bloomberg",'BBG Verify'!S178),"Awaiting Bloomberg")</ns0:f>
        <ns0:v/>
      </ns0:c>
      <ns0:c r="BM178" s="91" t="inlineStr">
        <ns0:is>
          <ns0:t>N</ns0:t>
        </ns0:is>
      </ns0:c>
      <ns0:c r="BN178" s="92">
        <ns0:f>IFERROR(IF('BBG Verify'!K178="","Awaiting Bloomberg",'BBG Verify'!K178),"Awaiting Bloomberg")</ns0:f>
        <ns0:v/>
      </ns0:c>
      <ns0:c r="BO178" s="74" t="inlineStr">
        <ns0:is>
          <ns0:t>N/A</ns0:t>
        </ns0:is>
      </ns0:c>
      <ns0:c r="BP178" s="74" t="inlineStr">
        <ns0:is>
          <ns0:t>N/A</ns0:t>
        </ns0:is>
      </ns0:c>
      <ns0:c r="BQ178" s="74" t="inlineStr">
        <ns0:is>
          <ns0:t>N/A</ns0:t>
        </ns0:is>
      </ns0:c>
      <ns0:c r="BR178" s="74" t="inlineStr">
        <ns0:is>
          <ns0:t>N/A</ns0:t>
        </ns0:is>
      </ns0:c>
      <ns0:c r="BS178" s="74" t="inlineStr">
        <ns0:is>
          <ns0:t>N/A</ns0:t>
        </ns0:is>
      </ns0:c>
      <ns0:c r="BT178" s="74" t="inlineStr">
        <ns0:is>
          <ns0:t>N/A</ns0:t>
        </ns0:is>
      </ns0:c>
      <ns0:c r="BU178" s="91" t="inlineStr">
        <ns0:is>
          <ns0:t>China Everbright Capital Limited</ns0:t>
        </ns0:is>
      </ns0:c>
      <ns0:c r="BV178" s="74" t="inlineStr">
        <ns0:is>
          <ns0:t>China Everbright Capital Limited</ns0:t>
        </ns0:is>
      </ns0:c>
      <ns0:c r="BW178" s="74" t="inlineStr">
        <ns0:is>
          <ns0: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ns0:t>
        </ns0:is>
      </ns0:c>
      <ns0:c r="BX178" s="74" t="inlineStr">
        <ns0:is>
          <ns0: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ns0:t>
        </ns0:is>
      </ns0:c>
      <ns0:c r="BY178" s="93">
        <ns0:f>HYPERLINK("https://www1.hkexnews.hk/listedco/listconews/sehk/2022/1230/2022123000043.pdf","prospectus")</ns0:f>
        <ns0:v/>
      </ns0:c>
      <ns0:c r="BZ178" s="93">
        <ns0:f>HYPERLINK("https://www1.hkexnews.hk/listedco/listconews/sehk/2023/0119/2023011900018.htm","allotment")</ns0:f>
        <ns0:v/>
      </ns0:c>
      <ns0:c r="CA178" s="93">
        <ns0:f>HYPERLINK("https://www1.hkexnews.hk/listedco/listconews/sehk/2023/0212/2023021200031.pdf","stabilisation")</ns0:f>
        <ns0:v/>
      </ns0:c>
      <ns0:c r="CB178" s="94" t="n"/>
      <ns0:c r="CC178" s="74" t="inlineStr">
        <ns0:is>
          <ns0:t>cornerstone list: no cornerstone tranche; allocation: clawback line not in this notice; a 12-28% split is consistent with either a tier-1 clawback or a placing shortfall</ns0:t>
        </ns0:is>
      </ns0:c>
    </ns0:row>
    <ns0:row r="179" ht="22" customHeight="1">
      <ns0:c r="A179" s="73" t="inlineStr">
        <ns0:is>
          <ns0:t>2482</ns0:t>
        </ns0:is>
      </ns0:c>
      <ns0:c r="B179" s="74" t="inlineStr">
        <ns0:is>
          <ns0:t>LOGORY</ns0:t>
        </ns0:is>
      </ns0:c>
      <ns0:c r="C179" s="74" t="inlineStr">
        <ns0:is>
          <ns0:t>維天運通</ns0:t>
        </ns0:is>
      </ns0:c>
      <ns0:c r="D179" s="74" t="inlineStr">
        <ns0:is>
          <ns0:t>Industrials</ns0:t>
        </ns0:is>
      </ns0:c>
      <ns0:c r="E179" s="74" t="inlineStr">
        <ns0:is>
          <ns0:t>Logistics</ns0:t>
        </ns0:is>
      </ns0:c>
      <ns0:c r="F179" s="74" t="inlineStr">
        <ns0:is>
          <ns0:t>Air Freight &amp; Logistics</ns0:t>
        </ns0:is>
      </ns0:c>
      <ns0:c r="G179" s="74" t="inlineStr">
        <ns0:is>
          <ns0:t>Standard</ns0:t>
        </ns0:is>
      </ns0:c>
      <ns0:c r="H179" s="75" t="n">
        <ns0:v>44994</ns0:v>
      </ns0:c>
      <ns0:c r="I179" s="76" t="n">
        <ns0:v>125.3</ns0:v>
      </ns0:c>
      <ns0:c r="J179" s="74" t="inlineStr">
        <ns0:is>
          <ns0:t>gross (price x shares)</ns0:t>
        </ns0:is>
      </ns0:c>
      <ns0:c r="K179" s="77" t="n">
        <ns0:v>2.9</ns0:v>
      </ns0:c>
      <ns0:c r="L179" s="77" t="n">
        <ns0:v>3.5</ns0:v>
      </ns0:c>
      <ns0:c r="M179" s="77" t="n">
        <ns0:v>2.9</ns0:v>
      </ns0:c>
      <ns0:c r="N179" s="74" t="inlineStr">
        <ns0:is>
          <ns0:t>N</ns0:t>
        </ns0:is>
      </ns0:c>
      <ns0:c r="O179" s="78" t="n">
        <ns0:v>82.90000000000001</ns0:v>
      </ns0:c>
      <ns0:c r="P179" s="78" t="n">
        <ns0:v>0</ns0:v>
      </ns0:c>
      <ns0:c r="Q179" s="79" t="n">
        <ns0:v>4735.2</ns0:v>
      </ns0:c>
      <ns0:c r="R179" s="74" t="inlineStr">
        <ns0:is>
          <ns0:t>aastocks:上市市值 at the struck price</ns0:t>
        </ns0:is>
      </ns0:c>
      <ns0:c r="S179" s="80" t="n">
        <ns0:v>23.09</ns0:v>
      </ns0:c>
      <ns0:c r="T179" s="81" t="n">
        <ns0:v>1.43</ns0:v>
      </ns0:c>
      <ns0:c r="U179" s="82" t="n">
        <ns0:v>65.2</ns0:v>
      </ns0:c>
      <ns0:c r="V179" s="83" t="n">
        <ns0:v>100</ns0:v>
      </ns0:c>
      <ns0:c r="W179" s="84" t="n"/>
      <ns0:c r="X179" s="85" t="n"/>
      <ns0:c r="Y179" s="79" t="n">
        <ns0:v>43.6</ns0:v>
      </ns0:c>
      <ns0:c r="Z179" s="79" t="n">
        <ns0:v>15037428</ns0:v>
      </ns0:c>
      <ns0:c r="AA179" s="78" t="n">
        <ns0:v>0.92</ns0:v>
      </ns0:c>
      <ns0:c r="AB179" s="74" t="inlineStr">
        <ns0:is>
          <ns0:t>Hefei Gaoxin Development &amp; Investment Group Co., Ltd; XINGTAI HOLDING COMPANY (HONG KONG) LIMITED</ns0:t>
        </ns0:is>
      </ns0:c>
      <ns0:c r="AC179" s="74" t="inlineStr">
        <ns0:is>
          <ns0:t>hefei;xingtai</ns0:t>
        </ns0:is>
      </ns0:c>
      <ns0:c r="AD179" s="78" t="n">
        <ns0:v>19.62</ns0:v>
      </ns0:c>
      <ns0:c r="AE179" s="74" t="inlineStr">
        <ns0:is>
          <ns0:t>lapsed (no over-allocation)</ns0:t>
        </ns0:is>
      </ns0:c>
      <ns0:c r="AF179" s="85" t="n"/>
      <ns0:c r="AG179" s="74" t="inlineStr">
        <ns0:is>
          <ns0:t>Haitong International Securities Company Limited</ns0:t>
        </ns0:is>
      </ns0:c>
      <ns0:c r="AH179" s="74" t="inlineStr">
        <ns0:is>
          <ns0:t>Haitong</ns0:t>
        </ns0:is>
      </ns0:c>
      <ns0:c r="AI179" s="86" t="n">
        <ns0:v>0.34</ns0:v>
      </ns0:c>
      <ns0:c r="AJ179" s="87" t="n">
        <ns0:v>-2.07</ns0:v>
      </ns0:c>
      <ns0:c r="AK179" s="87" t="n">
        <ns0:v>-0.85</ns0:v>
      </ns0:c>
      <ns0:c r="AL179" s="87" t="n">
        <ns0:v>-3.1</ns0:v>
      </ns0:c>
      <ns0:c r="AM179" s="87" t="n">
        <ns0:v>1.06</ns0:v>
      </ns0:c>
      <ns0:c r="AN179" s="88" t="n"/>
      <ns0:c r="AO179" s="78" t="n">
        <ns0:v>7.12</ns0:v>
      </ns0:c>
      <ns0:c r="AP179" s="87" t="n">
        <ns0:v>-1.38</ns0:v>
      </ns0:c>
      <ns0:c r="AQ179" s="87" t="n">
        <ns0:v>-4.48</ns0:v>
      </ns0:c>
      <ns0:c r="AR179" s="87" t="n">
        <ns0:v>-6.9</ns0:v>
      </ns0:c>
      <ns0:c r="AS179" s="87" t="n">
        <ns0:v>0.7</ns0:v>
      </ns0:c>
      <ns0:c r="AT179" s="87" t="n">
        <ns0:v>-2.46</ns0:v>
      </ns0:c>
      <ns0:c r="AU179" s="87" t="n">
        <ns0:v>-4.93</ns0:v>
      </ns0:c>
      <ns0:c r="AV179" s="87" t="n">
        <ns0:v>2.92</ns0:v>
      </ns0:c>
      <ns0:c r="AW179" s="87" t="n">
        <ns0:v>-6.85</ns0:v>
      </ns0:c>
      <ns0:c r="AX179" s="87" t="n">
        <ns0:v>-3.69</ns0:v>
      </ns0:c>
      <ns0:c r="AY179" s="87" t="n">
        <ns0:v>-5.71</ns0:v>
      </ns0:c>
      <ns0:c r="AZ179" s="87" t="n">
        <ns0:v>2.37</ns0:v>
      </ns0:c>
      <ns0:c r="BA179" s="87" t="n">
        <ns0:v>3.25</ns0:v>
      </ns0:c>
      <ns0:c r="BB179" s="74" t="inlineStr">
        <ns0:is>
          <ns0:t>Hang Seng Commerce &amp; Industry sub-index</ns0:t>
        </ns0:is>
      </ns0:c>
      <ns0:c r="BC179" s="87" t="n">
        <ns0:v>-90.69</ns0:v>
      </ns0:c>
      <ns0:c r="BD179" s="75" t="n">
        <ns0:v>46297</ns0:v>
      </ns0:c>
      <ns0:c r="BE179" s="76" t="n">
        <ns0:v>6927</ns0:v>
      </ns0:c>
      <ns0:c r="BF179" s="97" t="n"/>
      <ns0:c r="BG179" s="74" t="inlineStr">
        <ns0:is>
          <ns0:t>Y</ns0:t>
        </ns0:is>
      </ns0:c>
      <ns0:c r="BH179" s="90">
        <ns0:f>IFERROR(IF('BBG Verify'!O179="","Awaiting Bloomberg",'BBG Verify'!O179),"Awaiting Bloomberg")</ns0:f>
        <ns0:v/>
      </ns0:c>
      <ns0:c r="BI179" s="88" t="n"/>
      <ns0:c r="BJ179" s="89" t="n">
        <ns0:v>8.4</ns0:v>
      </ns0:c>
      <ns0:c r="BK179" s="89" t="n">
        <ns0:v>0.7</ns0:v>
      </ns0:c>
      <ns0:c r="BL179" s="90">
        <ns0:f>IFERROR(IF('BBG Verify'!S179="","Awaiting Bloomberg",'BBG Verify'!S179),"Awaiting Bloomberg")</ns0:f>
        <ns0:v/>
      </ns0:c>
      <ns0:c r="BM179" s="91" t="inlineStr">
        <ns0:is>
          <ns0:t>N</ns0:t>
        </ns0:is>
      </ns0:c>
      <ns0:c r="BN179" s="92">
        <ns0:f>IFERROR(IF('BBG Verify'!K179="","Awaiting Bloomberg",'BBG Verify'!K179),"Awaiting Bloomberg")</ns0:f>
        <ns0:v/>
      </ns0:c>
      <ns0:c r="BO179" s="74" t="inlineStr">
        <ns0:is>
          <ns0:t>N/A</ns0:t>
        </ns0:is>
      </ns0:c>
      <ns0:c r="BP179" s="74" t="inlineStr">
        <ns0:is>
          <ns0:t>N/A</ns0:t>
        </ns0:is>
      </ns0:c>
      <ns0:c r="BQ179" s="74" t="inlineStr">
        <ns0:is>
          <ns0:t>N/A</ns0:t>
        </ns0:is>
      </ns0:c>
      <ns0:c r="BR179" s="74" t="inlineStr">
        <ns0:is>
          <ns0:t>N/A</ns0:t>
        </ns0:is>
      </ns0:c>
      <ns0:c r="BS179" s="74" t="inlineStr">
        <ns0:is>
          <ns0:t>N/A</ns0:t>
        </ns0:is>
      </ns0:c>
      <ns0:c r="BT179" s="74" t="inlineStr">
        <ns0:is>
          <ns0:t>N/A</ns0:t>
        </ns0:is>
      </ns0:c>
      <ns0:c r="BU179" s="91" t="inlineStr">
        <ns0:is>
          <ns0:t>Haitong International Capital Limited; Haitong International Securities Company Limited</ns0:t>
        </ns0:is>
      </ns0:c>
      <ns0:c r="BV179" s="74" t="inlineStr">
        <ns0:is>
          <ns0:t>Haitong International Capital Limited</ns0:t>
        </ns0:is>
      </ns0:c>
      <ns0:c r="BW179" s="74" t="inlineStr">
        <ns0:is>
          <ns0:t>Haitong International Securities Company Limited; CLSA Limited</ns0:t>
        </ns0:is>
      </ns0:c>
      <ns0:c r="BX179" s="74" t="inlineStr">
        <ns0:is>
          <ns0:t>CLSA Limited; Haitong International Securities Company Limited; SDHG International Securities Limited; Sinomax Securities Limited; Valuable Capital Limited</ns0:t>
        </ns0:is>
      </ns0:c>
      <ns0:c r="BY179" s="93">
        <ns0:f>HYPERLINK("https://www1.hkexnews.hk/listedco/listconews/sehk/2023/0227/2023022700005.pdf","prospectus")</ns0:f>
        <ns0:v/>
      </ns0:c>
      <ns0:c r="BZ179" s="93">
        <ns0:f>HYPERLINK("https://www1.hkexnews.hk/listedco/listconews/sehk/2023/0308/2023030800008.htm","allotment")</ns0:f>
        <ns0:v/>
      </ns0:c>
      <ns0:c r="CA179" s="93">
        <ns0:f>HYPERLINK("https://www1.hkexnews.hk/listedco/listconews/sehk/2023/0403/2023040300095.pdf","stabilisation")</ns0:f>
        <ns0:v/>
      </ns0:c>
      <ns0:c r="CB179" s="94" t="n"/>
      <ns0:c r="CC179" s="74" t="inlineStr">
        <ns0:is>
          <ns0:t>P/E: withheld: 3,157x fails the 300x plausibility cap; extracted net income HK$1.5m suspect; greenshoe: outcome published; expiry date not in the notice; market cap: published listing cap used; the estimate from deal size / offer % of enlarged capital disagreed; financials: not extractable; pre-IPO year outside the AAStocks window; allocation: allocation table not in this notice's format (older prose announcement); day-1 tape: volume on file; the retail multiple needs the final public split, which this notice does not state</ns0:t>
        </ns0:is>
      </ns0:c>
    </ns0:row>
    <ns0:row r="180" ht="22" customHeight="1">
      <ns0:c r="A180" s="73" t="inlineStr">
        <ns0:is>
          <ns0:t>9636</ns0:t>
        </ns0:is>
      </ns0:c>
      <ns0:c r="B180" s="74" t="inlineStr">
        <ns0:is>
          <ns0:t>JF WEALTH</ns0:t>
        </ns0:is>
      </ns0:c>
      <ns0:c r="C180" s="74" t="inlineStr">
        <ns0:is>
          <ns0:t>九方智投控股</ns0:t>
        </ns0:is>
      </ns0:c>
      <ns0:c r="D180" s="74" t="inlineStr">
        <ns0:is>
          <ns0:t>Financials</ns0:t>
        </ns0:is>
      </ns0:c>
      <ns0:c r="E180" s="74" t="inlineStr">
        <ns0:is>
          <ns0:t>Brokers / asset management</ns0:t>
        </ns0:is>
      </ns0:c>
      <ns0:c r="F180" s="74" t="inlineStr">
        <ns0:is>
          <ns0:t>Education Services</ns0:t>
        </ns0:is>
      </ns0:c>
      <ns0:c r="G180" s="74" t="inlineStr">
        <ns0:is>
          <ns0:t>Standard</ns0:t>
        </ns0:is>
      </ns0:c>
      <ns0:c r="H180" s="75" t="n">
        <ns0:v>44995</ns0:v>
      </ns0:c>
      <ns0:c r="I180" s="76" t="n">
        <ns0:v>1013.5</ns0:v>
      </ns0:c>
      <ns0:c r="J180" s="74" t="inlineStr">
        <ns0:is>
          <ns0:t>gross (price x shares)</ns0:t>
        </ns0:is>
      </ns0:c>
      <ns0:c r="K180" s="77" t="n">
        <ns0:v>16.98</ns0:v>
      </ns0:c>
      <ns0:c r="L180" s="77" t="n">
        <ns0:v>18.78</ns0:v>
      </ns0:c>
      <ns0:c r="M180" s="77" t="n">
        <ns0:v>17</ns0:v>
      </ns0:c>
      <ns0:c r="N180" s="74" t="inlineStr">
        <ns0:is>
          <ns0:t>N</ns0:t>
        </ns0:is>
      </ns0:c>
      <ns0:c r="O180" s="78" t="n">
        <ns0:v>90.5</ns0:v>
      </ns0:c>
      <ns0:c r="P180" s="78" t="n">
        <ns0:v>1.1</ns0:v>
      </ns0:c>
      <ns0:c r="Q180" s="79" t="n">
        <ns0:v>7908.8</ns0:v>
      </ns0:c>
      <ns0:c r="R180" s="74" t="inlineStr">
        <ns0:is>
          <ns0:t>prospectus:stated market capitalisation</ns0:t>
        </ns0:is>
      </ns0:c>
      <ns0:c r="S180" s="80" t="n">
        <ns0:v>2.59</ns0:v>
      </ns0:c>
      <ns0:c r="T180" s="81" t="n">
        <ns0:v>1.85</ns0:v>
      </ns0:c>
      <ns0:c r="U180" s="82" t="n">
        <ns0:v>7.75</ns0:v>
      </ns0:c>
      <ns0:c r="V180" s="83" t="n">
        <ns0:v>160</ns0:v>
      </ns0:c>
      <ns0:c r="W180" s="84" t="n"/>
      <ns0:c r="X180" s="85" t="n"/>
      <ns0:c r="Y180" s="79" t="n">
        <ns0:v>934.95</ns0:v>
      </ns0:c>
      <ns0:c r="Z180" s="79" t="n">
        <ns0:v>54998066</ns0:v>
      </ns0:c>
      <ns0:c r="AA180" s="78" t="n">
        <ns0:v>11.82</ns0:v>
      </ns0:c>
      <ns0:c r="AB180" s="74" t="inlineStr">
        <ns0:is>
          <ns0:t>Duke King Holdings Limited; Garland Glory Holdings Limited; New China Asset Management (Hong Kong) Limited; Orchid Asia V Co-Investment, Limited; Sichuan Hebang Investment Group Co., Ltd</ns0:t>
        </ns0:is>
      </ns0:c>
      <ns0:c r="AC180" s="74" t="inlineStr">
        <ns0:is>
          <ns0:t>duke;garland;new;orchid;sichuan</ns0:t>
        </ns0:is>
      </ns0:c>
      <ns0:c r="AD180" s="78" t="n">
        <ns0:v>10</ns0:v>
      </ns0:c>
      <ns0:c r="AE180" s="74" t="inlineStr">
        <ns0:is>
          <ns0:t>partial</ns0:t>
        </ns0:is>
      </ns0:c>
      <ns0:c r="AF180" s="74" t="inlineStr">
        <ns0:is>
          <ns0:t>2023-04-02</ns0:t>
        </ns0:is>
      </ns0:c>
      <ns0:c r="AG180" s="74" t="inlineStr">
        <ns0:is>
          <ns0:t>China International Capital Corporation Hong Kong Securities Limited</ns0:t>
        </ns0:is>
      </ns0:c>
      <ns0:c r="AH180" s="74" t="inlineStr">
        <ns0:is>
          <ns0:t>China International</ns0:t>
        </ns0:is>
      </ns0:c>
      <ns0:c r="AI180" s="86" t="n">
        <ns0:v>4.12</ns0:v>
      </ns0:c>
      <ns0:c r="AJ180" s="87" t="n">
        <ns0:v>0.82</ns0:v>
      </ns0:c>
      <ns0:c r="AK180" s="87" t="n">
        <ns0:v>-2.82</ns0:v>
      </ns0:c>
      <ns0:c r="AL180" s="87" t="n">
        <ns0:v>0.12</ns0:v>
      </ns0:c>
      <ns0:c r="AM180" s="87" t="n">
        <ns0:v>0.7</ns0:v>
      </ns0:c>
      <ns0:c r="AN180" s="88" t="n"/>
      <ns0:c r="AO180" s="78" t="n">
        <ns0:v>3.41</ns0:v>
      </ns0:c>
      <ns0:c r="AP180" s="87" t="n">
        <ns0:v>-0.82</ns0:v>
      </ns0:c>
      <ns0:c r="AQ180" s="87" t="n">
        <ns0:v>-7.65</ns0:v>
      </ns0:c>
      <ns0:c r="AR180" s="87" t="n">
        <ns0:v>-4.82</ns0:v>
      </ns0:c>
      <ns0:c r="AS180" s="87" t="n">
        <ns0:v>-1.63</ns0:v>
      </ns0:c>
      <ns0:c r="AT180" s="87" t="n">
        <ns0:v>-8.4</ns0:v>
      </ns0:c>
      <ns0:c r="AU180" s="87" t="n">
        <ns0:v>-5.59</ns0:v>
      </ns0:c>
      <ns0:c r="AV180" s="87" t="n">
        <ns0:v>2.29</ns0:v>
      </ns0:c>
      <ns0:c r="AW180" s="87" t="n">
        <ns0:v>-7.31</ns0:v>
      </ns0:c>
      <ns0:c r="AX180" s="87" t="n">
        <ns0:v>-3.67</ns0:v>
      </ns0:c>
      <ns0:c r="AY180" s="87" t="n">
        <ns0:v>-10.95</ns0:v>
      </ns0:c>
      <ns0:c r="AZ180" s="87" t="n">
        <ns0:v>-0.34</ns0:v>
      </ns0:c>
      <ns0:c r="BA180" s="87" t="n">
        <ns0:v>2.55</ns0:v>
      </ns0:c>
      <ns0:c r="BB180" s="74" t="inlineStr">
        <ns0:is>
          <ns0:t>Hang Seng Finance sub-index</ns0:t>
        </ns0:is>
      </ns0:c>
      <ns0:c r="BC180" s="87" t="n">
        <ns0:v>64.70999999999999</ns0:v>
      </ns0:c>
      <ns0:c r="BD180" s="75" t="n">
        <ns0:v>46297</ns0:v>
      </ns0:c>
      <ns0:c r="BE180" s="76" t="n">
        <ns0:v>1597.1</ns0:v>
      </ns0:c>
      <ns0:c r="BF180" s="79" t="n">
        <ns0:v>255.6</ns0:v>
      </ns0:c>
      <ns0:c r="BG180" s="74" t="inlineStr">
        <ns0:is>
          <ns0:t>Y</ns0:t>
        </ns0:is>
      </ns0:c>
      <ns0:c r="BH180" s="89" t="n">
        <ns0:v>30.9</ns0:v>
      </ns0:c>
      <ns0:c r="BI180" s="89" t="n">
        <ns0:v>12.4</ns0:v>
      </ns0:c>
      <ns0:c r="BJ180" s="89" t="n">
        <ns0:v>11.4</ns0:v>
      </ns0:c>
      <ns0:c r="BK180" s="89" t="n">
        <ns0:v>5</ns0:v>
      </ns0:c>
      <ns0:c r="BL180" s="90">
        <ns0:f>IFERROR(IF('BBG Verify'!S180="","Awaiting Bloomberg",'BBG Verify'!S180),"Awaiting Bloomberg")</ns0:f>
        <ns0:v/>
      </ns0:c>
      <ns0:c r="BM180" s="91" t="inlineStr">
        <ns0:is>
          <ns0:t>N</ns0:t>
        </ns0:is>
      </ns0:c>
      <ns0:c r="BN180" s="92">
        <ns0:f>IFERROR(IF('BBG Verify'!K180="","Awaiting Bloomberg",'BBG Verify'!K180),"Awaiting Bloomberg")</ns0:f>
        <ns0:v/>
      </ns0:c>
      <ns0:c r="BO180" s="74" t="inlineStr">
        <ns0:is>
          <ns0:t>N/A</ns0:t>
        </ns0:is>
      </ns0:c>
      <ns0:c r="BP180" s="74" t="inlineStr">
        <ns0:is>
          <ns0:t>N/A</ns0:t>
        </ns0:is>
      </ns0:c>
      <ns0:c r="BQ180" s="74" t="inlineStr">
        <ns0:is>
          <ns0:t>N/A</ns0:t>
        </ns0:is>
      </ns0:c>
      <ns0:c r="BR180" s="74" t="inlineStr">
        <ns0:is>
          <ns0:t>N/A</ns0:t>
        </ns0:is>
      </ns0:c>
      <ns0:c r="BS180" s="74" t="inlineStr">
        <ns0:is>
          <ns0:t>N/A</ns0:t>
        </ns0:is>
      </ns0:c>
      <ns0:c r="BT180" s="74" t="inlineStr">
        <ns0:is>
          <ns0:t>N/A</ns0:t>
        </ns0:is>
      </ns0:c>
      <ns0:c r="BU180" s="91" t="inlineStr">
        <ns0:is>
          <ns0:t>China International Capital Corporation Hong Kong Securities Limited</ns0:t>
        </ns0:is>
      </ns0:c>
      <ns0:c r="BV180" s="74" t="inlineStr">
        <ns0:is>
          <ns0:t>China International Capital Corporation Hong Kong Securities Limited</ns0:t>
        </ns0:is>
      </ns0:c>
      <ns0:c r="BW180" s="74" t="inlineStr">
        <ns0:is>
          <ns0:t>China International Capital Corporation Hong Kong Securities Limited; BNP Paribas Securities (Asia) Limited; SPDB International Capital Limited; Huatai Financial Holdings (Hong Kong) Limited; Forthright Securities Company Limited; CCB International Capital Limited</ns0:t>
        </ns0:is>
      </ns0:c>
      <ns0:c r="BX180" s="74" t="inlineStr">
        <ns0:is>
          <ns0: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ns0:t>
        </ns0:is>
      </ns0:c>
      <ns0:c r="BY180" s="93">
        <ns0:f>HYPERLINK("https://www1.hkexnews.hk/listedco/listconews/sehk/2023/0228/2023022800011.pdf","prospectus")</ns0:f>
        <ns0:v/>
      </ns0:c>
      <ns0:c r="BZ180" s="93">
        <ns0:f>HYPERLINK("https://www1.hkexnews.hk/listedco/listconews/sehk/2023/0309/2023030900008.htm","allotment")</ns0:f>
        <ns0:v/>
      </ns0:c>
      <ns0:c r="CA180" s="93">
        <ns0:f>HYPERLINK("https://www1.hkexnews.hk/listedco/listconews/sehk/2023/0402/2023040200127.pdf","stabilisation")</ns0:f>
        <ns0:v/>
      </ns0:c>
      <ns0:c r="CB180" s="94" t="n"/>
      <ns0:c r="CC180" s="74" t="inlineStr">
        <ns0:is>
          <ns0:t>sponsor: English name not in the filing; AAStocks 保薦人 shown; cornerstone: % from the prospectus; AAStocks table includes non-cornerstone orders; allocation: allocation table not in this notice's format (older prose announcement); day-1 tape: volume on file; the retail multiple needs the final public split, which this notice does not state</ns0:t>
        </ns0:is>
      </ns0:c>
    </ns0:row>
    <ns0:row r="181" ht="22" customHeight="1">
      <ns0:c r="A181" s="73" t="inlineStr">
        <ns0:is>
          <ns0:t>1405</ns0:t>
        </ns0:is>
      </ns0:c>
      <ns0:c r="B181" s="74" t="inlineStr">
        <ns0:is>
          <ns0:t>DPC DASH</ns0:t>
        </ns0:is>
      </ns0:c>
      <ns0:c r="C181" s="74" t="inlineStr">
        <ns0:is>
          <ns0:t>達勢股份</ns0:t>
        </ns0:is>
      </ns0:c>
      <ns0:c r="D181" s="74" t="inlineStr">
        <ns0:is>
          <ns0:t>Consumer</ns0:t>
        </ns0:is>
      </ns0:c>
      <ns0:c r="E181" s="74" t="inlineStr">
        <ns0:is>
          <ns0:t>F&amp;B chains / restaurants</ns0:t>
        </ns0:is>
      </ns0:c>
      <ns0:c r="F181" s="74" t="inlineStr">
        <ns0:is>
          <ns0:t>Restaurants</ns0:t>
        </ns0:is>
      </ns0:c>
      <ns0:c r="G181" s="74" t="inlineStr">
        <ns0:is>
          <ns0:t>Standard</ns0:t>
        </ns0:is>
      </ns0:c>
      <ns0:c r="H181" s="75" t="n">
        <ns0:v>45013</ns0:v>
      </ns0:c>
      <ns0:c r="I181" s="76" t="n">
        <ns0:v>588.8</ns0:v>
      </ns0:c>
      <ns0:c r="J181" s="74" t="inlineStr">
        <ns0:is>
          <ns0:t>gross (price x shares)</ns0:t>
        </ns0:is>
      </ns0:c>
      <ns0:c r="K181" s="95" t="n"/>
      <ns0:c r="L181" s="77" t="n">
        <ns0:v>46</ns0:v>
      </ns0:c>
      <ns0:c r="M181" s="77" t="n">
        <ns0:v>46</ns0:v>
      </ns0:c>
      <ns0:c r="N181" s="74" t="inlineStr">
        <ns0:is>
          <ns0:t>Y</ns0:t>
        </ns0:is>
      </ns0:c>
      <ns0:c r="O181" s="78" t="n">
        <ns0:v>100</ns0:v>
      </ns0:c>
      <ns0:c r="P181" s="84" t="n"/>
      <ns0:c r="Q181" s="79" t="n">
        <ns0:v>6539.9</ns0:v>
      </ns0:c>
      <ns0:c r="R181" s="74" t="inlineStr">
        <ns0:is>
          <ns0:t>aastocks:上市市值 at the struck price</ns0:t>
        </ns0:is>
      </ns0:c>
      <ns0:c r="S181" s="80" t="n">
        <ns0:v>0.45</ns0:v>
      </ns0:c>
      <ns0:c r="T181" s="81" t="n">
        <ns0:v>1.9</ns0:v>
      </ns0:c>
      <ns0:c r="U181" s="82" t="n">
        <ns0:v>0</ns0:v>
      </ns0:c>
      <ns0:c r="V181" s="83" t="n">
        <ns0:v>111</ns0:v>
      </ns0:c>
      <ns0:c r="W181" s="84" t="n"/>
      <ns0:c r="X181" s="85" t="n"/>
      <ns0:c r="Y181" s="79" t="n">
        <ns0:v>588.8</ns0:v>
      </ns0:c>
      <ns0:c r="Z181" s="79" t="n">
        <ns0:v>12799000</ns0:v>
      </ns0:c>
      <ns0:c r="AA181" s="78" t="n">
        <ns0:v>9</ns0:v>
      </ns0:c>
      <ns0:c r="AB181" s="74" t="inlineStr">
        <ns0:is>
          <ns0:t>none — no cornerstone tranche</ns0:t>
        </ns0:is>
      </ns0:c>
      <ns0:c r="AC181" s="74" t="inlineStr">
        <ns0:is>
          <ns0:t>none</ns0:t>
        </ns0:is>
      </ns0:c>
      <ns0:c r="AD181" s="78" t="n">
        <ns0:v>9.949999999999999</ns0:v>
      </ns0:c>
      <ns0:c r="AE181" s="74" t="inlineStr">
        <ns0:is>
          <ns0:t>partial</ns0:t>
        </ns0:is>
      </ns0:c>
      <ns0:c r="AF181" s="74" t="inlineStr">
        <ns0:is>
          <ns0:t>2023-04-20</ns0:t>
        </ns0:is>
      </ns0:c>
      <ns0:c r="AG181" s="74" t="inlineStr">
        <ns0:is>
          <ns0:t>Merrill Lynch</ns0:t>
        </ns0:is>
      </ns0:c>
      <ns0:c r="AH181" s="74" t="inlineStr">
        <ns0:is>
          <ns0:t>Merrill Lynch</ns0:t>
        </ns0:is>
      </ns0:c>
      <ns0:c r="AI181" s="86" t="n">
        <ns0:v>-1.41</ns0:v>
      </ns0:c>
      <ns0:c r="AJ181" s="87" t="n">
        <ns0:v>-0.11</ns0:v>
      </ns0:c>
      <ns0:c r="AK181" s="87" t="n">
        <ns0:v>1</ns0:v>
      </ns0:c>
      <ns0:c r="AL181" s="87" t="n">
        <ns0:v>0</ns0:v>
      </ns0:c>
      <ns0:c r="AM181" s="87" t="n">
        <ns0:v>-0.11</ns0:v>
      </ns0:c>
      <ns0:c r="AN181" s="88" t="n"/>
      <ns0:c r="AO181" s="78" t="n">
        <ns0:v>1.41</ns0:v>
      </ns0:c>
      <ns0:c r="AP181" s="87" t="n">
        <ns0:v>22.83</ns0:v>
      </ns0:c>
      <ns0:c r="AQ181" s="87" t="n">
        <ns0:v>17.72</ns0:v>
      </ns0:c>
      <ns0:c r="AR181" s="87" t="n">
        <ns0:v>13.8</ns0:v>
      </ns0:c>
      <ns0:c r="AS181" s="87" t="n">
        <ns0:v>22.97</ns0:v>
      </ns0:c>
      <ns0:c r="AT181" s="87" t="n">
        <ns0:v>17.85</ns0:v>
      </ns0:c>
      <ns0:c r="AU181" s="87" t="n">
        <ns0:v>13.93</ns0:v>
      </ns0:c>
      <ns0:c r="AV181" s="87" t="n">
        <ns0:v>18.4</ns0:v>
      </ns0:c>
      <ns0:c r="AW181" s="87" t="n">
        <ns0:v>18.4</ns0:v>
      </ns0:c>
      <ns0:c r="AX181" s="87" t="n">
        <ns0:v>17.59</ns0:v>
      </ns0:c>
      <ns0:c r="AY181" s="87" t="n">
        <ns0:v>19.52</ns0:v>
      </ns0:c>
      <ns0:c r="AZ181" s="87" t="n">
        <ns0:v>-0.68</ns0:v>
      </ns0:c>
      <ns0:c r="BA181" s="87" t="n">
        <ns0:v>-1.67</ns0:v>
      </ns0:c>
      <ns0:c r="BB181" s="74" t="inlineStr">
        <ns0:is>
          <ns0:t>Hang Seng Commerce &amp; Industry sub-index</ns0:t>
        </ns0:is>
      </ns0:c>
      <ns0:c r="BC181" s="87" t="n">
        <ns0:v>-38.78</ns0:v>
      </ns0:c>
      <ns0:c r="BD181" s="75" t="n">
        <ns0:v>46297</ns0:v>
      </ns0:c>
      <ns0:c r="BE181" s="76" t="n">
        <ns0:v>2222.9</ns0:v>
      </ns0:c>
      <ns0:c r="BF181" s="79" t="n">
        <ns0:v>-244.9</ns0:v>
      </ns0:c>
      <ns0:c r="BG181" s="74" t="inlineStr">
        <ns0:is>
          <ns0:t>N</ns0:t>
        </ns0:is>
      </ns0:c>
      <ns0:c r="BH181" s="74" t="inlineStr">
        <ns0:is>
          <ns0:t>n/m</ns0:t>
        </ns0:is>
      </ns0:c>
      <ns0:c r="BI181" s="88" t="n"/>
      <ns0:c r="BJ181" s="89" t="n">
        <ns0:v>30.1</ns0:v>
      </ns0:c>
      <ns0:c r="BK181" s="89" t="n">
        <ns0:v>2.9</ns0:v>
      </ns0:c>
      <ns0:c r="BL181" s="90">
        <ns0:f>IFERROR(IF('BBG Verify'!S181="","Awaiting Bloomberg",'BBG Verify'!S181),"Awaiting Bloomberg")</ns0:f>
        <ns0:v/>
      </ns0:c>
      <ns0:c r="BM181" s="91" t="inlineStr">
        <ns0:is>
          <ns0:t>N</ns0:t>
        </ns0:is>
      </ns0:c>
      <ns0:c r="BN181" s="92">
        <ns0:f>IFERROR(IF('BBG Verify'!K181="","Awaiting Bloomberg",'BBG Verify'!K181),"Awaiting Bloomberg")</ns0:f>
        <ns0:v/>
      </ns0:c>
      <ns0:c r="BO181" s="74" t="inlineStr">
        <ns0:is>
          <ns0:t>N/A</ns0:t>
        </ns0:is>
      </ns0:c>
      <ns0:c r="BP181" s="74" t="inlineStr">
        <ns0:is>
          <ns0:t>N/A</ns0:t>
        </ns0:is>
      </ns0:c>
      <ns0:c r="BQ181" s="74" t="inlineStr">
        <ns0:is>
          <ns0:t>N/A</ns0:t>
        </ns0:is>
      </ns0:c>
      <ns0:c r="BR181" s="74" t="inlineStr">
        <ns0:is>
          <ns0:t>N/A</ns0:t>
        </ns0:is>
      </ns0:c>
      <ns0:c r="BS181" s="74" t="inlineStr">
        <ns0:is>
          <ns0:t>N/A</ns0:t>
        </ns0:is>
      </ns0:c>
      <ns0:c r="BT181" s="74" t="inlineStr">
        <ns0:is>
          <ns0:t>N/A</ns0:t>
        </ns0:is>
      </ns0:c>
      <ns0:c r="BU181" s="91" t="inlineStr">
        <ns0:is>
          <ns0:t>Merrill Lynch (Asia Pacific) Limited; Ampere Partners Limited</ns0:t>
        </ns0:is>
      </ns0:c>
      <ns0:c r="BV181" s="74" t="inlineStr">
        <ns0:is>
          <ns0:t>Merrill Lynch (Asia Pacific) Limited</ns0:t>
        </ns0:is>
      </ns0:c>
      <ns0:c r="BW181" s="74" t="inlineStr">
        <ns0:is>
          <ns0:t>Merrill Lynch (Asia Pacific) Limited</ns0:t>
        </ns0:is>
      </ns0:c>
      <ns0:c r="BX181" s="74" t="inlineStr">
        <ns0:is>
          <ns0:t>DBS Asia Capital Limited; Merrill Lynch (Asia Pacific) Limited</ns0:t>
        </ns0:is>
      </ns0:c>
      <ns0:c r="BY181" s="93">
        <ns0:f>HYPERLINK("https://www1.hkexnews.hk/listedco/listconews/sehk/2023/0316/2023031600034.htm","prospectus")</ns0:f>
        <ns0:v/>
      </ns0:c>
      <ns0:c r="BZ181" s="93">
        <ns0:f>HYPERLINK("https://www1.hkexnews.hk/listedco/listconews/sehk/2023/0327/2023032700030.htm","allotment")</ns0:f>
        <ns0:v/>
      </ns0:c>
      <ns0:c r="CA181" s="93">
        <ns0:f>HYPERLINK("https://www1.hkexnews.hk/listedco/listconews/sehk/2023/0420/2023042000559.pdf","stabilisation")</ns0:f>
        <ns0:v/>
      </ns0:c>
      <ns0:c r="CB181" s="94" t="n"/>
      <ns0:c r="CC181" s="74" t="inlineStr">
        <ns0:is>
          <ns0:t>P/E: loss-making at IPO, use P/S; price range: fixed-price offering (no indicative range); range low: maximum offer price only, no floor published; market cap: published listing cap used; the estimate from stated market capitalisation, rescaled to the offer price disagreed; cornerstone list: no cornerstone tranche; allocation: allocation table not in this notice's format (older prose announcement); day-1 tape: volume on file; the retail multiple needs the final public split, which this notice does not state</ns0:t>
        </ns0:is>
      </ns0:c>
    </ns0:row>
    <ns0:row r="182" ht="22" customHeight="1">
      <ns0:c r="A182" s="73" t="inlineStr">
        <ns0:is>
          <ns0:t>2409</ns0:t>
        </ns0:is>
      </ns0:c>
      <ns0:c r="B182" s="74" t="inlineStr">
        <ns0:is>
          <ns0:t>SEACON</ns0:t>
        </ns0:is>
      </ns0:c>
      <ns0:c r="C182" s="74" t="inlineStr">
        <ns0:is>
          <ns0:t>洲際船務</ns0:t>
        </ns0:is>
      </ns0:c>
      <ns0:c r="D182" s="74" t="inlineStr">
        <ns0:is>
          <ns0:t>Industrials</ns0:t>
        </ns0:is>
      </ns0:c>
      <ns0:c r="E182" s="74" t="inlineStr">
        <ns0:is>
          <ns0:t>Logistics</ns0:t>
        </ns0:is>
      </ns0:c>
      <ns0:c r="F182" s="74" t="inlineStr">
        <ns0:is>
          <ns0:t>Marine Ports &amp; Services</ns0:t>
        </ns0:is>
      </ns0:c>
      <ns0:c r="G182" s="74" t="inlineStr">
        <ns0:is>
          <ns0:t>Standard</ns0:t>
        </ns0:is>
      </ns0:c>
      <ns0:c r="H182" s="75" t="n">
        <ns0:v>45014</ns0:v>
      </ns0:c>
      <ns0:c r="I182" s="76" t="n">
        <ns0:v>408.8</ns0:v>
      </ns0:c>
      <ns0:c r="J182" s="74" t="inlineStr">
        <ns0:is>
          <ns0:t>gross (price x shares)</ns0:t>
        </ns0:is>
      </ns0:c>
      <ns0:c r="K182" s="77" t="n">
        <ns0:v>3.27</ns0:v>
      </ns0:c>
      <ns0:c r="L182" s="77" t="n">
        <ns0:v>3.91</ns0:v>
      </ns0:c>
      <ns0:c r="M182" s="77" t="n">
        <ns0:v>3.27</ns0:v>
      </ns0:c>
      <ns0:c r="N182" s="74" t="inlineStr">
        <ns0:is>
          <ns0:t>N</ns0:t>
        </ns0:is>
      </ns0:c>
      <ns0:c r="O182" s="78" t="n">
        <ns0:v>83.59999999999999</ns0:v>
      </ns0:c>
      <ns0:c r="P182" s="78" t="n">
        <ns0:v>0</ns0:v>
      </ns0:c>
      <ns0:c r="Q182" s="79" t="n">
        <ns0:v>1635.2</ns0:v>
      </ns0:c>
      <ns0:c r="R182" s="74" t="inlineStr">
        <ns0:is>
          <ns0:t>derived:deal size / offer % of enlarged capital</ns0:t>
        </ns0:is>
      </ns0:c>
      <ns0:c r="S182" s="80" t="n">
        <ns0:v>1.14</ns0:v>
      </ns0:c>
      <ns0:c r="T182" s="81" t="n">
        <ns0:v>1.09</ns0:v>
      </ns0:c>
      <ns0:c r="U182" s="82" t="n">
        <ns0:v>19.96</ns0:v>
      </ns0:c>
      <ns0:c r="V182" s="83" t="n">
        <ns0:v>127</ns0:v>
      </ns0:c>
      <ns0:c r="W182" s="84" t="n"/>
      <ns0:c r="X182" s="85" t="n"/>
      <ns0:c r="Y182" s="79" t="n">
        <ns0:v>327.2</ns0:v>
      </ns0:c>
      <ns0:c r="Z182" s="79" t="n">
        <ns0:v>100050000</ns0:v>
      </ns0:c>
      <ns0:c r="AA182" s="78" t="n">
        <ns0:v>20.01</ns0:v>
      </ns0:c>
      <ns0:c r="AB182" s="74" t="inlineStr">
        <ns0:is>
          <ns0:t>Danube Bridge Shipping Limited; Guodian Shipping (Hong Kong) Company Limited; Huzhou Wuxing Tourism Development Co., Ltd</ns0:t>
        </ns0:is>
      </ns0:c>
      <ns0:c r="AC182" s="74" t="inlineStr">
        <ns0:is>
          <ns0:t>danube;guodian;huzhou</ns0:t>
        </ns0:is>
      </ns0:c>
      <ns0:c r="AD182" s="78" t="n">
        <ns0:v>15</ns0:v>
      </ns0:c>
      <ns0:c r="AE182" s="74" t="inlineStr">
        <ns0:is>
          <ns0:t>lapsed</ns0:t>
        </ns0:is>
      </ns0:c>
      <ns0:c r="AF182" s="74" t="inlineStr">
        <ns0:is>
          <ns0:t>2023-04-16</ns0:t>
        </ns0:is>
      </ns0:c>
      <ns0:c r="AG182" s="74" t="inlineStr">
        <ns0:is>
          <ns0:t>Zhongtai International Securities Limited</ns0:t>
        </ns0:is>
      </ns0:c>
      <ns0:c r="AH182" s="74" t="inlineStr">
        <ns0:is>
          <ns0:t>Zhongtai</ns0:t>
        </ns0:is>
      </ns0:c>
      <ns0:c r="AI182" s="86" t="n">
        <ns0:v>0.31</ns0:v>
      </ns0:c>
      <ns0:c r="AJ182" s="87" t="n">
        <ns0:v>-21.1</ns0:v>
      </ns0:c>
      <ns0:c r="AK182" s="87" t="n">
        <ns0:v>2.86</ns0:v>
      </ns0:c>
      <ns0:c r="AL182" s="87" t="n">
        <ns0:v>0.31</ns0:v>
      </ns0:c>
      <ns0:c r="AM182" s="87" t="n">
        <ns0:v>-21.34</ns0:v>
      </ns0:c>
      <ns0:c r="AN182" s="88" t="n"/>
      <ns0:c r="AO182" s="78" t="n">
        <ns0:v>22.26</ns0:v>
      </ns0:c>
      <ns0:c r="AP182" s="87" t="n">
        <ns0:v>-7.65</ns0:v>
      </ns0:c>
      <ns0:c r="AQ182" s="87" t="n">
        <ns0:v>-13.76</ns0:v>
      </ns0:c>
      <ns0:c r="AR182" s="87" t="n">
        <ns0:v>-5.81</ns0:v>
      </ns0:c>
      <ns0:c r="AS182" s="87" t="n">
        <ns0:v>17.05</ns0:v>
      </ns0:c>
      <ns0:c r="AT182" s="87" t="n">
        <ns0:v>9.300000000000001</ns0:v>
      </ns0:c>
      <ns0:c r="AU182" s="87" t="n">
        <ns0:v>19.38</ns0:v>
      </ns0:c>
      <ns0:c r="AV182" s="87" t="n">
        <ns0:v>-11.46</ns0:v>
      </ns0:c>
      <ns0:c r="AW182" s="87" t="n">
        <ns0:v>-10.65</ns0:v>
      </ns0:c>
      <ns0:c r="AX182" s="87" t="n">
        <ns0:v>-1.93</ns0:v>
      </ns0:c>
      <ns0:c r="AY182" s="87" t="n">
        <ns0:v>15.11</ns0:v>
      </ns0:c>
      <ns0:c r="AZ182" s="87" t="n">
        <ns0:v>-3.11</ns0:v>
      </ns0:c>
      <ns0:c r="BA182" s="87" t="n">
        <ns0:v>-5.81</ns0:v>
      </ns0:c>
      <ns0:c r="BB182" s="74" t="inlineStr">
        <ns0:is>
          <ns0:t>Hang Seng Commerce &amp; Industry sub-index</ns0:t>
        </ns0:is>
      </ns0:c>
      <ns0:c r="BC182" s="87" t="n">
        <ns0:v>56.57</ns0:v>
      </ns0:c>
      <ns0:c r="BD182" s="75" t="n">
        <ns0:v>46297</ns0:v>
      </ns0:c>
      <ns0:c r="BE182" s="76" t="n">
        <ns0:v>2907.4</ns0:v>
      </ns0:c>
      <ns0:c r="BF182" s="79" t="n">
        <ns0:v>312</ns0:v>
      </ns0:c>
      <ns0:c r="BG182" s="74" t="inlineStr">
        <ns0:is>
          <ns0:t>Y</ns0:t>
        </ns0:is>
      </ns0:c>
      <ns0:c r="BH182" s="89" t="n">
        <ns0:v>5.2</ns0:v>
      </ns0:c>
      <ns0:c r="BI182" s="89" t="n">
        <ns0:v>2.2</ns0:v>
      </ns0:c>
      <ns0:c r="BJ182" s="89" t="n">
        <ns0:v>7.5</ns0:v>
      </ns0:c>
      <ns0:c r="BK182" s="89" t="n">
        <ns0:v>0.6</ns0:v>
      </ns0:c>
      <ns0:c r="BL182" s="90">
        <ns0:f>IFERROR(IF('BBG Verify'!S182="","Awaiting Bloomberg",'BBG Verify'!S182),"Awaiting Bloomberg")</ns0:f>
        <ns0:v/>
      </ns0:c>
      <ns0:c r="BM182" s="91" t="inlineStr">
        <ns0:is>
          <ns0:t>N</ns0:t>
        </ns0:is>
      </ns0:c>
      <ns0:c r="BN182" s="92">
        <ns0:f>IFERROR(IF('BBG Verify'!K182="","Awaiting Bloomberg",'BBG Verify'!K182),"Awaiting Bloomberg")</ns0:f>
        <ns0:v/>
      </ns0:c>
      <ns0:c r="BO182" s="74" t="inlineStr">
        <ns0:is>
          <ns0:t>N/A</ns0:t>
        </ns0:is>
      </ns0:c>
      <ns0:c r="BP182" s="74" t="inlineStr">
        <ns0:is>
          <ns0:t>N/A</ns0:t>
        </ns0:is>
      </ns0:c>
      <ns0:c r="BQ182" s="74" t="inlineStr">
        <ns0:is>
          <ns0:t>N/A</ns0:t>
        </ns0:is>
      </ns0:c>
      <ns0:c r="BR182" s="74" t="inlineStr">
        <ns0:is>
          <ns0:t>N/A</ns0:t>
        </ns0:is>
      </ns0:c>
      <ns0:c r="BS182" s="74" t="inlineStr">
        <ns0:is>
          <ns0:t>N/A</ns0:t>
        </ns0:is>
      </ns0:c>
      <ns0:c r="BT182" s="74" t="inlineStr">
        <ns0:is>
          <ns0:t>N/A</ns0:t>
        </ns0:is>
      </ns0:c>
      <ns0:c r="BU182" s="91" t="inlineStr">
        <ns0:is>
          <ns0:t>Zhongtai International Capital Limited</ns0:t>
        </ns0:is>
      </ns0:c>
      <ns0:c r="BV182" s="74" t="inlineStr">
        <ns0:is>
          <ns0:t>Zhongtai International Capital Limited</ns0:t>
        </ns0:is>
      </ns0:c>
      <ns0:c r="BW182" s="74" t="inlineStr">
        <ns0:is>
          <ns0:t>Zhongtai International Securities Limited; Shenwan Hongyuan Securities (H.K.) Limited; Citrus Securities Limited; BOCOM International Securities Limited</ns0:t>
        </ns0:is>
      </ns0:c>
      <ns0:c r="BX182" s="74" t="inlineStr">
        <ns0:is>
          <ns0:t>Beta International Securities Limited; Citrus Securities Limited; CMBC Securities Company Limited; Futu Securities International (Hong Kong) Limited; Shenwan Hongyuan Capital (H.K.) Limited; Valuable Capital Limited; Zhongtai International Securities Limited</ns0:t>
        </ns0:is>
      </ns0:c>
      <ns0:c r="BY182" s="93">
        <ns0:f>HYPERLINK("https://www1.hkexnews.hk/listedco/listconews/sehk/2023/0314/2023031400009.pdf","prospectus")</ns0:f>
        <ns0:v/>
      </ns0:c>
      <ns0:c r="BZ182" s="93">
        <ns0:f>HYPERLINK("https://www1.hkexnews.hk/listedco/listconews/sehk/2023/0328/2023032800038.htm","allotment")</ns0:f>
        <ns0:v/>
      </ns0:c>
      <ns0:c r="CA182" s="93">
        <ns0:f>HYPERLINK("https://www1.hkexnews.hk/listedco/listconews/sehk/2023/0416/2023041600007.pdf","stabilisation")</ns0:f>
        <ns0:v/>
      </ns0:c>
      <ns0:c r="CB182" s="94" t="n"/>
      <ns0:c r="CC182" s="74" t="inlineStr">
        <ns0:is>
          <ns0:t>allocation: allocation table not in this notice's format (older prose announcement); day-1 tape: volume on file; the retail multiple needs the final public split, which this notice does not state</ns0:t>
        </ns0:is>
      </ns0:c>
    </ns0:row>
    <ns0:row r="183" ht="22" customHeight="1">
      <ns0:c r="A183" s="73" t="inlineStr">
        <ns0:is>
          <ns0:t>2433</ns0:t>
        </ns0:is>
      </ns0:c>
      <ns0:c r="B183" s="74" t="inlineStr">
        <ns0:is>
          <ns0:t>ZT HN GROUP</ns0:t>
        </ns0:is>
      </ns0:c>
      <ns0:c r="C183" s="74" t="inlineStr">
        <ns0:is>
          <ns0:t>中天湖南集團</ns0:t>
        </ns0:is>
      </ns0:c>
      <ns0:c r="D183" s="74" t="inlineStr">
        <ns0:is>
          <ns0:t>Industrials</ns0:t>
        </ns0:is>
      </ns0:c>
      <ns0:c r="E183" s="74" t="inlineStr">
        <ns0:is>
          <ns0:t>Construction / engineering</ns0:t>
        </ns0:is>
      </ns0:c>
      <ns0:c r="F183" s="74" t="inlineStr">
        <ns0:is>
          <ns0:t>Building Construction</ns0:t>
        </ns0:is>
      </ns0:c>
      <ns0:c r="G183" s="74" t="inlineStr">
        <ns0:is>
          <ns0:t>Standard</ns0:t>
        </ns0:is>
      </ns0:c>
      <ns0:c r="H183" s="75" t="n">
        <ns0:v>45015</ns0:v>
      </ns0:c>
      <ns0:c r="I183" s="76" t="n">
        <ns0:v>141.6</ns0:v>
      </ns0:c>
      <ns0:c r="J183" s="74" t="inlineStr">
        <ns0:is>
          <ns0:t>gross (price x shares)</ns0:t>
        </ns0:is>
      </ns0:c>
      <ns0:c r="K183" s="95" t="n"/>
      <ns0:c r="L183" s="77" t="n">
        <ns0:v>1.18</ns0:v>
      </ns0:c>
      <ns0:c r="M183" s="77" t="n">
        <ns0:v>1.18</ns0:v>
      </ns0:c>
      <ns0:c r="N183" s="74" t="inlineStr">
        <ns0:is>
          <ns0:t>Y</ns0:t>
        </ns0:is>
      </ns0:c>
      <ns0:c r="O183" s="78" t="n">
        <ns0:v>100</ns0:v>
      </ns0:c>
      <ns0:c r="P183" s="84" t="n"/>
      <ns0:c r="Q183" s="79" t="n">
        <ns0:v>566.4</ns0:v>
      </ns0:c>
      <ns0:c r="R183" s="74" t="inlineStr">
        <ns0:is>
          <ns0:t>aastocks:上市市值 at the struck price</ns0:t>
        </ns0:is>
      </ns0:c>
      <ns0:c r="S183" s="80" t="n">
        <ns0:v>10.62</ns0:v>
      </ns0:c>
      <ns0:c r="T183" s="81" t="n">
        <ns0:v>1.01</ns0:v>
      </ns0:c>
      <ns0:c r="U183" s="82" t="n">
        <ns0:v>0</ns0:v>
      </ns0:c>
      <ns0:c r="V183" s="83" t="n">
        <ns0:v>145</ns0:v>
      </ns0:c>
      <ns0:c r="W183" s="84" t="n"/>
      <ns0:c r="X183" s="85" t="n"/>
      <ns0:c r="Y183" s="79" t="n">
        <ns0:v>141.6</ns0:v>
      </ns0:c>
      <ns0:c r="Z183" s="79" t="n">
        <ns0:v>120000000</ns0:v>
      </ns0:c>
      <ns0:c r="AA183" s="78" t="n">
        <ns0:v>25</ns0:v>
      </ns0:c>
      <ns0:c r="AB183" s="74" t="inlineStr">
        <ns0:is>
          <ns0:t>none — no cornerstone tranche</ns0:t>
        </ns0:is>
      </ns0:c>
      <ns0:c r="AC183" s="74" t="inlineStr">
        <ns0:is>
          <ns0:t>none</ns0:t>
        </ns0:is>
      </ns0:c>
      <ns0:c r="AD183" s="84" t="n"/>
      <ns0:c r="AE183" s="74" t="inlineStr">
        <ns0:is>
          <ns0:t>lapsed (no over-allocation)</ns0:t>
        </ns0:is>
      </ns0:c>
      <ns0:c r="AF183" s="85" t="n"/>
      <ns0:c r="AG183" s="74" t="inlineStr">
        <ns0:is>
          <ns0:t>CMBC Securities</ns0:t>
        </ns0:is>
      </ns0:c>
      <ns0:c r="AH183" s="74" t="inlineStr">
        <ns0:is>
          <ns0:t>CMBC</ns0:t>
        </ns0:is>
      </ns0:c>
      <ns0:c r="AI183" s="86" t="n">
        <ns0:v>127.97</ns0:v>
      </ns0:c>
      <ns0:c r="AJ183" s="87" t="n">
        <ns0:v>126.27</ns0:v>
      </ns0:c>
      <ns0:c r="AK183" s="87" t="n">
        <ns0:v>0.9399999999999999</ns0:v>
      </ns0:c>
      <ns0:c r="AL183" s="87" t="n">
        <ns0:v>147.46</ns0:v>
      </ns0:c>
      <ns0:c r="AM183" s="87" t="n">
        <ns0:v>-8.56</ns0:v>
      </ns0:c>
      <ns0:c r="AN183" s="88" t="n"/>
      <ns0:c r="AO183" s="78" t="n">
        <ns0:v>23.63</ns0:v>
      </ns0:c>
      <ns0:c r="AP183" s="87" t="n">
        <ns0:v>77.12</ns0:v>
      </ns0:c>
      <ns0:c r="AQ183" s="87" t="n">
        <ns0:v>22.03</ns0:v>
      </ns0:c>
      <ns0:c r="AR183" s="87" t="n">
        <ns0:v>-62.29</ns0:v>
      </ns0:c>
      <ns0:c r="AS183" s="87" t="n">
        <ns0:v>-21.72</ns0:v>
      </ns0:c>
      <ns0:c r="AT183" s="87" t="n">
        <ns0:v>-46.07</ns0:v>
      </ns0:c>
      <ns0:c r="AU183" s="87" t="n">
        <ns0:v>-83.33</ns0:v>
      </ns0:c>
      <ns0:c r="AV183" s="87" t="n">
        <ns0:v>75.79000000000001</ns0:v>
      </ns0:c>
      <ns0:c r="AW183" s="87" t="n">
        <ns0:v>27.11</ns0:v>
      </ns0:c>
      <ns0:c r="AX183" s="87" t="n">
        <ns0:v>-54.32</ns0:v>
      </ns0:c>
      <ns0:c r="AY183" s="87" t="n">
        <ns0:v>-40.11</ns0:v>
      </ns0:c>
      <ns0:c r="AZ183" s="87" t="n">
        <ns0:v>-5.08</ns0:v>
      </ns0:c>
      <ns0:c r="BA183" s="87" t="n">
        <ns0:v>-5.96</ns0:v>
      </ns0:c>
      <ns0:c r="BB183" s="74" t="inlineStr">
        <ns0:is>
          <ns0:t>Hang Seng Commerce &amp; Industry sub-index</ns0:t>
        </ns0:is>
      </ns0:c>
      <ns0:c r="BC183" s="87" t="n">
        <ns0:v>-94.31999999999999</ns0:v>
      </ns0:c>
      <ns0:c r="BD183" s="75" t="n">
        <ns0:v>46297</ns0:v>
      </ns0:c>
      <ns0:c r="BE183" s="98" t="n"/>
      <ns0:c r="BF183" s="97" t="n"/>
      <ns0:c r="BG183" s="74" t="inlineStr">
        <ns0:is>
          <ns0:t>Y</ns0:t>
        </ns0:is>
      </ns0:c>
      <ns0:c r="BH183" s="90">
        <ns0:f>IFERROR(IF('BBG Verify'!O183="","Awaiting Bloomberg",'BBG Verify'!O183),"Awaiting Bloomberg")</ns0:f>
        <ns0:v/>
      </ns0:c>
      <ns0:c r="BI183" s="88" t="n"/>
      <ns0:c r="BJ183" s="88" t="n"/>
      <ns0:c r="BK183" s="88" t="n"/>
      <ns0:c r="BL183" s="90">
        <ns0:f>IFERROR(IF('BBG Verify'!S183="","Awaiting Bloomberg",'BBG Verify'!S183),"Awaiting Bloomberg")</ns0:f>
        <ns0:v/>
      </ns0:c>
      <ns0:c r="BM183" s="91" t="inlineStr">
        <ns0:is>
          <ns0:t>N</ns0:t>
        </ns0:is>
      </ns0:c>
      <ns0:c r="BN183" s="92">
        <ns0:f>IFERROR(IF('BBG Verify'!K183="","Awaiting Bloomberg",'BBG Verify'!K183),"Awaiting Bloomberg")</ns0:f>
        <ns0:v/>
      </ns0:c>
      <ns0:c r="BO183" s="74" t="inlineStr">
        <ns0:is>
          <ns0:t>N/A</ns0:t>
        </ns0:is>
      </ns0:c>
      <ns0:c r="BP183" s="74" t="inlineStr">
        <ns0:is>
          <ns0:t>N/A</ns0:t>
        </ns0:is>
      </ns0:c>
      <ns0:c r="BQ183" s="74" t="inlineStr">
        <ns0:is>
          <ns0:t>N/A</ns0:t>
        </ns0:is>
      </ns0:c>
      <ns0:c r="BR183" s="74" t="inlineStr">
        <ns0:is>
          <ns0:t>N/A</ns0:t>
        </ns0:is>
      </ns0:c>
      <ns0:c r="BS183" s="74" t="inlineStr">
        <ns0:is>
          <ns0:t>N/A</ns0:t>
        </ns0:is>
      </ns0:c>
      <ns0:c r="BT183" s="74" t="inlineStr">
        <ns0:is>
          <ns0:t>N/A</ns0:t>
        </ns0:is>
      </ns0:c>
      <ns0:c r="BU183" s="91" t="inlineStr">
        <ns0:is>
          <ns0:t>Grande Capital Limited</ns0:t>
        </ns0:is>
      </ns0:c>
      <ns0:c r="BV183" s="74" t="inlineStr">
        <ns0:is>
          <ns0:t>Grande Capital Limited</ns0:t>
        </ns0:is>
      </ns0:c>
      <ns0:c r="BW183" s="74" t="inlineStr">
        <ns0:is>
          <ns0:t>CMBC Securities Company Limited; Grande Capital Limited; SPDB International Capital Limited; BOCOM International Securities Limited; I Win Securities Limited; China Everbright Securities (HK) Limited; Soochow Securities International Brokerage Limited; Alliance Capital Partners Limited</ns0:t>
        </ns0:is>
      </ns0:c>
      <ns0:c r="BX183" s="74" t="inlineStr">
        <ns0:is>
          <ns0: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ns0:t>
        </ns0:is>
      </ns0:c>
      <ns0:c r="BY183" s="93">
        <ns0:f>HYPERLINK("https://www1.hkexnews.hk/listedco/listconews/sehk/2023/0320/2023032000008.htm","prospectus")</ns0:f>
        <ns0:v/>
      </ns0:c>
      <ns0:c r="BZ183" s="93">
        <ns0:f>HYPERLINK("https://www1.hkexnews.hk/listedco/listconews/sehk/2023/0329/2023032900042.htm","allotment")</ns0:f>
        <ns0:v/>
      </ns0:c>
      <ns0:c r="CA183" s="93">
        <ns0:f>HYPERLINK("https://www1.hkexnews.hk/listedco/listconews/sehk/2023/0424/2023042400020.pdf","stabilisation")</ns0:f>
        <ns0:v/>
      </ns0:c>
      <ns0:c r="CB183" s="94" t="n"/>
      <ns0:c r="CC183" s="74" t="inlineStr">
        <ns0:is>
          <ns0:t>P/E: net income not extractable; greenshoe: outcome published; expiry date not in the notice; price range: fixed-price offering (no indicative range); range low: maximum offer price only, no floor published; cornerstone list: no cornerstone tranche; greenshoe size: no over-allotment option; P/S: revenue not extractable; financials rejected: net income HK$2,223.1m exceeds revenue HK$2,005.7m; both withheld with their multiples; allocation: allocation table not in this notice's format (older prose announcement); day-1 tape: volume on file; the retail multiple needs the final public split, which this notice does not state</ns0:t>
        </ns0:is>
      </ns0:c>
    </ns0:row>
    <ns0:row r="184" ht="22" customHeight="1">
      <ns0:c r="A184" s="73" t="inlineStr">
        <ns0:is>
          <ns0:t>2405</ns0:t>
        </ns0:is>
      </ns0:c>
      <ns0:c r="B184" s="74" t="inlineStr">
        <ns0:is>
          <ns0:t>POWERWIN TECH</ns0:t>
        </ns0:is>
      </ns0:c>
      <ns0:c r="C184" s="74" t="inlineStr">
        <ns0:is>
          <ns0:t>力盟科技</ns0:t>
        </ns0:is>
      </ns0:c>
      <ns0:c r="D184" s="74" t="inlineStr">
        <ns0:is>
          <ns0:t>Media &amp; telecom</ns0:t>
        </ns0:is>
      </ns0:c>
      <ns0:c r="E184" s="74" t="inlineStr">
        <ns0:is>
          <ns0:t>Media / advertising</ns0:t>
        </ns0:is>
      </ns0:c>
      <ns0:c r="F184" s="74" t="inlineStr">
        <ns0:is>
          <ns0:t>Advertising</ns0:t>
        </ns0:is>
      </ns0:c>
      <ns0:c r="G184" s="74" t="inlineStr">
        <ns0:is>
          <ns0:t>Standard</ns0:t>
        </ns0:is>
      </ns0:c>
      <ns0:c r="H184" s="75" t="n">
        <ns0:v>45016</ns0:v>
      </ns0:c>
      <ns0:c r="I184" s="76" t="n">
        <ns0:v>140</ns0:v>
      </ns0:c>
      <ns0:c r="J184" s="74" t="inlineStr">
        <ns0:is>
          <ns0:t>gross (price x shares)</ns0:t>
        </ns0:is>
      </ns0:c>
      <ns0:c r="K184" s="95" t="n"/>
      <ns0:c r="L184" s="77" t="n">
        <ns0:v>0.75</ns0:v>
      </ns0:c>
      <ns0:c r="M184" s="77" t="n">
        <ns0:v>0.7</ns0:v>
      </ns0:c>
      <ns0:c r="N184" s="74" t="inlineStr">
        <ns0:is>
          <ns0:t>N</ns0:t>
        </ns0:is>
      </ns0:c>
      <ns0:c r="O184" s="78" t="n">
        <ns0:v>93.3</ns0:v>
      </ns0:c>
      <ns0:c r="P184" s="84" t="n"/>
      <ns0:c r="Q184" s="79" t="n">
        <ns0:v>520</ns0:v>
      </ns0:c>
      <ns0:c r="R184" s="74" t="inlineStr">
        <ns0:is>
          <ns0:t>prospectus:stated market capitalisation</ns0:t>
        </ns0:is>
      </ns0:c>
      <ns0:c r="S184" s="80" t="n">
        <ns0:v>13.47</ns0:v>
      </ns0:c>
      <ns0:c r="T184" s="81" t="n">
        <ns0:v>1.45</ns0:v>
      </ns0:c>
      <ns0:c r="U184" s="82" t="n">
        <ns0:v>0</ns0:v>
      </ns0:c>
      <ns0:c r="V184" s="83" t="n">
        <ns0:v>82</ns0:v>
      </ns0:c>
      <ns0:c r="W184" s="84" t="n"/>
      <ns0:c r="X184" s="85" t="n"/>
      <ns0:c r="Y184" s="79" t="n">
        <ns0:v>140</ns0:v>
      </ns0:c>
      <ns0:c r="Z184" s="79" t="n">
        <ns0:v>200000000</ns0:v>
      </ns0:c>
      <ns0:c r="AA184" s="78" t="n">
        <ns0:v>26.92</ns0:v>
      </ns0:c>
      <ns0:c r="AB184" s="74" t="inlineStr">
        <ns0:is>
          <ns0:t>none — no cornerstone tranche</ns0:t>
        </ns0:is>
      </ns0:c>
      <ns0:c r="AC184" s="74" t="inlineStr">
        <ns0:is>
          <ns0:t>none</ns0:t>
        </ns0:is>
      </ns0:c>
      <ns0:c r="AD184" s="78" t="n">
        <ns0:v>20</ns0:v>
      </ns0:c>
      <ns0:c r="AE184" s="74" t="inlineStr">
        <ns0:is>
          <ns0:t>lapsed (no over-allocation)</ns0:t>
        </ns0:is>
      </ns0:c>
      <ns0:c r="AF184" s="74" t="inlineStr">
        <ns0:is>
          <ns0:t>2023-04-23</ns0:t>
        </ns0:is>
      </ns0:c>
      <ns0:c r="AG184" s="74" t="inlineStr">
        <ns0:is>
          <ns0:t>GF Securities</ns0:t>
        </ns0:is>
      </ns0:c>
      <ns0:c r="AH184" s="74" t="inlineStr">
        <ns0:is>
          <ns0:t>GF</ns0:t>
        </ns0:is>
      </ns0:c>
      <ns0:c r="AI184" s="86" t="n">
        <ns0:v>15.71</ns0:v>
      </ns0:c>
      <ns0:c r="AJ184" s="87" t="n">
        <ns0:v>20</ns0:v>
      </ns0:c>
      <ns0:c r="AK184" s="87" t="n">
        <ns0:v>0.45</ns0:v>
      </ns0:c>
      <ns0:c r="AL184" s="87" t="n">
        <ns0:v>8.57</ns0:v>
      </ns0:c>
      <ns0:c r="AM184" s="87" t="n">
        <ns0:v>10.53</ns0:v>
      </ns0:c>
      <ns0:c r="AN184" s="88" t="n"/>
      <ns0:c r="AO184" s="78" t="n">
        <ns0:v>35.53</ns0:v>
      </ns0:c>
      <ns0:c r="AP184" s="87" t="n">
        <ns0:v>50</ns0:v>
      </ns0:c>
      <ns0:c r="AQ184" s="87" t="n">
        <ns0:v>128.57</ns0:v>
      </ns0:c>
      <ns0:c r="AR184" s="87" t="n">
        <ns0:v>385.71</ns0:v>
      </ns0:c>
      <ns0:c r="AS184" s="87" t="n">
        <ns0:v>25</ns0:v>
      </ns0:c>
      <ns0:c r="AT184" s="87" t="n">
        <ns0:v>90.47</ns0:v>
      </ns0:c>
      <ns0:c r="AU184" s="87" t="n">
        <ns0:v>304.76</ns0:v>
      </ns0:c>
      <ns0:c r="AV184" s="87" t="n">
        <ns0:v>50</ns0:v>
      </ns0:c>
      <ns0:c r="AW184" s="87" t="n">
        <ns0:v>129.85</ns0:v>
      </ns0:c>
      <ns0:c r="AX184" s="87" t="n">
        <ns0:v>394.46</ns0:v>
      </ns0:c>
      <ns0:c r="AY184" s="87" t="n">
        <ns0:v>92.19</ns0:v>
      </ns0:c>
      <ns0:c r="AZ184" s="87" t="n">
        <ns0:v>-1.28</ns0:v>
      </ns0:c>
      <ns0:c r="BA184" s="87" t="n">
        <ns0:v>-1.72</ns0:v>
      </ns0:c>
      <ns0:c r="BB184" s="74" t="inlineStr">
        <ns0:is>
          <ns0:t>Hang Seng Index</ns0:t>
        </ns0:is>
      </ns0:c>
      <ns0:c r="BC184" s="87" t="n">
        <ns0:v>-53.57</ns0:v>
      </ns0:c>
      <ns0:c r="BD184" s="75" t="n">
        <ns0:v>46297</ns0:v>
      </ns0:c>
      <ns0:c r="BE184" s="76" t="n">
        <ns0:v>111.9</ns0:v>
      </ns0:c>
      <ns0:c r="BF184" s="79" t="n">
        <ns0:v>45</ns0:v>
      </ns0:c>
      <ns0:c r="BG184" s="74" t="inlineStr">
        <ns0:is>
          <ns0:t>Y</ns0:t>
        </ns0:is>
      </ns0:c>
      <ns0:c r="BH184" s="89" t="n">
        <ns0:v>11.6</ns0:v>
      </ns0:c>
      <ns0:c r="BI184" s="88" t="n"/>
      <ns0:c r="BJ184" s="88" t="n"/>
      <ns0:c r="BK184" s="89" t="n">
        <ns0:v>4.6</ns0:v>
      </ns0:c>
      <ns0:c r="BL184" s="90">
        <ns0:f>IFERROR(IF('BBG Verify'!S184="","Awaiting Bloomberg",'BBG Verify'!S184),"Awaiting Bloomberg")</ns0:f>
        <ns0:v/>
      </ns0:c>
      <ns0:c r="BM184" s="91" t="inlineStr">
        <ns0:is>
          <ns0:t>N</ns0:t>
        </ns0:is>
      </ns0:c>
      <ns0:c r="BN184" s="92">
        <ns0:f>IFERROR(IF('BBG Verify'!K184="","Awaiting Bloomberg",'BBG Verify'!K184),"Awaiting Bloomberg")</ns0:f>
        <ns0:v/>
      </ns0:c>
      <ns0:c r="BO184" s="74" t="inlineStr">
        <ns0:is>
          <ns0:t>N/A</ns0:t>
        </ns0:is>
      </ns0:c>
      <ns0:c r="BP184" s="74" t="inlineStr">
        <ns0:is>
          <ns0:t>N/A</ns0:t>
        </ns0:is>
      </ns0:c>
      <ns0:c r="BQ184" s="74" t="inlineStr">
        <ns0:is>
          <ns0:t>N/A</ns0:t>
        </ns0:is>
      </ns0:c>
      <ns0:c r="BR184" s="74" t="inlineStr">
        <ns0:is>
          <ns0:t>N/A</ns0:t>
        </ns0:is>
      </ns0:c>
      <ns0:c r="BS184" s="74" t="inlineStr">
        <ns0:is>
          <ns0:t>N/A</ns0:t>
        </ns0:is>
      </ns0:c>
      <ns0:c r="BT184" s="74" t="inlineStr">
        <ns0:is>
          <ns0:t>N/A</ns0:t>
        </ns0:is>
      </ns0:c>
      <ns0:c r="BU184" s="91" t="inlineStr">
        <ns0:is>
          <ns0:t>GF Capital (Hong Kong) Limited</ns0:t>
        </ns0:is>
      </ns0:c>
      <ns0:c r="BV184" s="74" t="inlineStr">
        <ns0:is>
          <ns0:t>GF Capital (Hong Kong) Limited</ns0:t>
        </ns0:is>
      </ns0:c>
      <ns0:c r="BW184" s="74" t="inlineStr">
        <ns0:is>
          <ns0:t>GF Securities (Hong Kong) Brokerage Limited; First Capital Securities Limited; Maxa Capital Limited; China Everbright Securities (HK) Limited</ns0:t>
        </ns0:is>
      </ns0:c>
      <ns0:c r="BX184" s="74" t="inlineStr">
        <ns0:is>
          <ns0:t>China Everbright Securities (HK) Limited; First Capital Securities Limited; GF Securities (Hong Kong) Brokerage Limited; Maxa Capital Limited</ns0:t>
        </ns0:is>
      </ns0:c>
      <ns0:c r="BY184" s="93">
        <ns0:f>HYPERLINK("https://www1.hkexnews.hk/listedco/listconews/sehk/2023/0321/2023032100009.pdf","prospectus")</ns0:f>
        <ns0:v/>
      </ns0:c>
      <ns0:c r="BZ184" s="93">
        <ns0:f>HYPERLINK("https://www1.hkexnews.hk/listedco/listconews/sehk/2023/0330/2023033000098.htm","allotment")</ns0:f>
        <ns0:v/>
      </ns0:c>
      <ns0:c r="CA184" s="93">
        <ns0:f>HYPERLINK("https://www1.hkexnews.hk/listedco/listconews/sehk/2023/0423/2023042300029.pdf","stabilisation")</ns0:f>
        <ns0:v/>
      </ns0:c>
      <ns0:c r="CB184" s="94" t="n"/>
      <ns0:c r="CC184" s="74" t="inlineStr">
        <ns0:is>
          <ns0:t>range low: maximum offer price only, no floor published; cornerstone list: no cornerstone tranche; allocation: allocation table not in this notice's format (older prose announcement); day-1 tape: volume on file; the retail multiple needs the final public split, which this notice does not state</ns0:t>
        </ns0:is>
      </ns0:c>
    </ns0:row>
    <ns0:row r="185" ht="22" customHeight="1">
      <ns0:c r="A185" s="73" t="inlineStr">
        <ns0:is>
          <ns0:t>2439</ns0:t>
        </ns0:is>
      </ns0:c>
      <ns0:c r="B185" s="74" t="inlineStr">
        <ns0:is>
          <ns0:t>CH TREASURES NM</ns0:t>
        </ns0:is>
      </ns0:c>
      <ns0:c r="C185" s="74" t="inlineStr">
        <ns0:is>
          <ns0:t>中寶新材</ns0:t>
        </ns0:is>
      </ns0:c>
      <ns0:c r="D185" s="74" t="inlineStr">
        <ns0:is>
          <ns0:t>Materials/Energy</ns0:t>
        </ns0:is>
      </ns0:c>
      <ns0:c r="E185" s="74" t="inlineStr">
        <ns0:is>
          <ns0:t>Chemicals</ns0:t>
        </ns0:is>
      </ns0:c>
      <ns0:c r="F185" s="74" t="inlineStr">
        <ns0:is>
          <ns0:t>Environmental Goods</ns0:t>
        </ns0:is>
      </ns0:c>
      <ns0:c r="G185" s="74" t="inlineStr">
        <ns0:is>
          <ns0:t>Standard</ns0:t>
        </ns0:is>
      </ns0:c>
      <ns0:c r="H185" s="75" t="n">
        <ns0:v>45016</ns0:v>
      </ns0:c>
      <ns0:c r="I185" s="76" t="n">
        <ns0:v>262.5</ns0:v>
      </ns0:c>
      <ns0:c r="J185" s="74" t="inlineStr">
        <ns0:is>
          <ns0:t>gross (price x shares)</ns0:t>
        </ns0:is>
      </ns0:c>
      <ns0:c r="K185" s="95" t="n"/>
      <ns0:c r="L185" s="77" t="n">
        <ns0:v>1.05</ns0:v>
      </ns0:c>
      <ns0:c r="M185" s="77" t="n">
        <ns0:v>1.05</ns0:v>
      </ns0:c>
      <ns0:c r="N185" s="74" t="inlineStr">
        <ns0:is>
          <ns0:t>Y</ns0:t>
        </ns0:is>
      </ns0:c>
      <ns0:c r="O185" s="78" t="n">
        <ns0:v>100</ns0:v>
      </ns0:c>
      <ns0:c r="P185" s="84" t="n"/>
      <ns0:c r="Q185" s="79" t="n">
        <ns0:v>1200</ns0:v>
      </ns0:c>
      <ns0:c r="R185" s="74" t="inlineStr">
        <ns0:is>
          <ns0:t>aastocks:上市市值 at the struck price</ns0:t>
        </ns0:is>
      </ns0:c>
      <ns0:c r="S185" s="80" t="n">
        <ns0:v>6.33</ns0:v>
      </ns0:c>
      <ns0:c r="T185" s="81" t="n">
        <ns0:v>6.33</ns0:v>
      </ns0:c>
      <ns0:c r="U185" s="82" t="n">
        <ns0:v>48.7</ns0:v>
      </ns0:c>
      <ns0:c r="V185" s="83" t="n">
        <ns0:v>158</ns0:v>
      </ns0:c>
      <ns0:c r="W185" s="78" t="n">
        <ns0:v>20</ns0:v>
      </ns0:c>
      <ns0:c r="X185" s="85" t="n"/>
      <ns0:c r="Y185" s="79" t="n">
        <ns0:v>134.66</ns0:v>
      </ns0:c>
      <ns0:c r="Z185" s="79" t="n">
        <ns0:v>128250000</ns0:v>
      </ns0:c>
      <ns0:c r="AA185" s="78" t="n">
        <ns0:v>11.22</ns0:v>
      </ns0:c>
      <ns0:c r="AB185" s="74" t="inlineStr">
        <ns0:is>
          <ns0:t>ZhongBaoNew materials. Ltd</ns0:t>
        </ns0:is>
      </ns0:c>
      <ns0:c r="AC185" s="74" t="inlineStr">
        <ns0:is>
          <ns0:t>zhongbaonew</ns0:t>
        </ns0:is>
      </ns0:c>
      <ns0:c r="AD185" s="78" t="n">
        <ns0:v>7.8097</ns0:v>
      </ns0:c>
      <ns0:c r="AE185" s="74" t="inlineStr">
        <ns0:is>
          <ns0:t>lapsed (no over-allocation)</ns0:t>
        </ns0:is>
      </ns0:c>
      <ns0:c r="AF185" s="85" t="n"/>
      <ns0:c r="AG185" s="74" t="inlineStr">
        <ns0:is>
          <ns0:t>Wealth Link Securities Limited</ns0:t>
        </ns0:is>
      </ns0:c>
      <ns0:c r="AH185" s="74" t="inlineStr">
        <ns0:is>
          <ns0:t>Wealth Link</ns0:t>
        </ns0:is>
      </ns0:c>
      <ns0:c r="AI185" s="86" t="n">
        <ns0:v>-40.95</ns0:v>
      </ns0:c>
      <ns0:c r="AJ185" s="87" t="n">
        <ns0:v>-35.24</ns0:v>
      </ns0:c>
      <ns0:c r="AK185" s="87" t="n">
        <ns0:v>1.05</ns0:v>
      </ns0:c>
      <ns0:c r="AL185" s="87" t="n">
        <ns0:v>-38.1</ns0:v>
      </ns0:c>
      <ns0:c r="AM185" s="87" t="n">
        <ns0:v>4.62</ns0:v>
      </ns0:c>
      <ns0:c r="AN185" s="89" t="n">
        <ns0:v>2.23</ns0:v>
      </ns0:c>
      <ns0:c r="AO185" s="78" t="n">
        <ns0:v>20</ns0:v>
      </ns0:c>
      <ns0:c r="AP185" s="87" t="n">
        <ns0:v>-36.19</ns0:v>
      </ns0:c>
      <ns0:c r="AQ185" s="87" t="n">
        <ns0:v>-39.05</ns0:v>
      </ns0:c>
      <ns0:c r="AR185" s="87" t="n">
        <ns0:v>-50.48</ns0:v>
      </ns0:c>
      <ns0:c r="AS185" s="87" t="n">
        <ns0:v>-1.47</ns0:v>
      </ns0:c>
      <ns0:c r="AT185" s="87" t="n">
        <ns0:v>-5.88</ns0:v>
      </ns0:c>
      <ns0:c r="AU185" s="87" t="n">
        <ns0:v>-23.53</ns0:v>
      </ns0:c>
      <ns0:c r="AV185" s="87" t="n">
        <ns0:v>-34.63</ns0:v>
      </ns0:c>
      <ns0:c r="AW185" s="87" t="n">
        <ns0:v>-33.87</ns0:v>
      </ns0:c>
      <ns0:c r="AX185" s="87" t="n">
        <ns0:v>-39.78</ns0:v>
      </ns0:c>
      <ns0:c r="AY185" s="87" t="n">
        <ns0:v>0.28</ns0:v>
      </ns0:c>
      <ns0:c r="AZ185" s="87" t="n">
        <ns0:v>-5.18</ns0:v>
      </ns0:c>
      <ns0:c r="BA185" s="87" t="n">
        <ns0:v>-6.16</ns0:v>
      </ns0:c>
      <ns0:c r="BB185" s="74" t="inlineStr">
        <ns0:is>
          <ns0:t>Hang Seng Commerce &amp; Industry sub-index</ns0:t>
        </ns0:is>
      </ns0:c>
      <ns0:c r="BC185" s="87" t="n">
        <ns0:v>-79.43000000000001</ns0:v>
      </ns0:c>
      <ns0:c r="BD185" s="75" t="n">
        <ns0:v>46297</ns0:v>
      </ns0:c>
      <ns0:c r="BE185" s="76" t="n">
        <ns0:v>282.4</ns0:v>
      </ns0:c>
      <ns0:c r="BF185" s="97" t="n"/>
      <ns0:c r="BG185" s="85" t="n"/>
      <ns0:c r="BH185" s="90">
        <ns0:f>IFERROR(IF('BBG Verify'!O185="","Awaiting Bloomberg",'BBG Verify'!O185),"Awaiting Bloomberg")</ns0:f>
        <ns0:v/>
      </ns0:c>
      <ns0:c r="BI185" s="88" t="n"/>
      <ns0:c r="BJ185" s="89" t="n">
        <ns0:v>8</ns0:v>
      </ns0:c>
      <ns0:c r="BK185" s="89" t="n">
        <ns0:v>4.2</ns0:v>
      </ns0:c>
      <ns0:c r="BL185" s="90">
        <ns0:f>IFERROR(IF('BBG Verify'!S185="","Awaiting Bloomberg",'BBG Verify'!S185),"Awaiting Bloomberg")</ns0:f>
        <ns0:v/>
      </ns0:c>
      <ns0:c r="BM185" s="91" t="inlineStr">
        <ns0:is>
          <ns0:t>N</ns0:t>
        </ns0:is>
      </ns0:c>
      <ns0:c r="BN185" s="92">
        <ns0:f>IFERROR(IF('BBG Verify'!K185="","Awaiting Bloomberg",'BBG Verify'!K185),"Awaiting Bloomberg")</ns0:f>
        <ns0:v/>
      </ns0:c>
      <ns0:c r="BO185" s="74" t="inlineStr">
        <ns0:is>
          <ns0:t>N/A</ns0:t>
        </ns0:is>
      </ns0:c>
      <ns0:c r="BP185" s="74" t="inlineStr">
        <ns0:is>
          <ns0:t>N/A</ns0:t>
        </ns0:is>
      </ns0:c>
      <ns0:c r="BQ185" s="74" t="inlineStr">
        <ns0:is>
          <ns0:t>N/A</ns0:t>
        </ns0:is>
      </ns0:c>
      <ns0:c r="BR185" s="74" t="inlineStr">
        <ns0:is>
          <ns0:t>N/A</ns0:t>
        </ns0:is>
      </ns0:c>
      <ns0:c r="BS185" s="74" t="inlineStr">
        <ns0:is>
          <ns0:t>N/A</ns0:t>
        </ns0:is>
      </ns0:c>
      <ns0:c r="BT185" s="74" t="inlineStr">
        <ns0:is>
          <ns0:t>N/A</ns0:t>
        </ns0:is>
      </ns0:c>
      <ns0:c r="BU185" s="91" t="inlineStr">
        <ns0:is>
          <ns0:t>Soochow Securities International Capital Limited</ns0:t>
        </ns0:is>
      </ns0:c>
      <ns0:c r="BV185" s="74" t="inlineStr">
        <ns0:is>
          <ns0:t>Soochow Securities International Capital Limited</ns0:t>
        </ns0:is>
      </ns0:c>
      <ns0:c r="BW185" s="74" t="inlineStr">
        <ns0:is>
          <ns0:t>Soochow Securities International Brokerage Limited; Fosun International Securities Limited; VBG Capital Limited; Wealth Link Securities Limited; China Galaxy International Securities (Hong Kong) Co., Limited; Zhongtai International Securities Limited</ns0:t>
        </ns0:is>
      </ns0:c>
      <ns0:c r="BX185" s="74" t="inlineStr">
        <ns0:is>
          <ns0: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ns0:t>
        </ns0:is>
      </ns0:c>
      <ns0:c r="BY185" s="93">
        <ns0:f>HYPERLINK("https://www1.hkexnews.hk/listedco/listconews/sehk/2023/0321/2023032100050.htm","prospectus")</ns0:f>
        <ns0:v/>
      </ns0:c>
      <ns0:c r="BZ185" s="93">
        <ns0:f>HYPERLINK("https://www1.hkexnews.hk/listedco/listconews/sehk/2023/0330/2023033000220.htm","allotment")</ns0:f>
        <ns0:v/>
      </ns0:c>
      <ns0:c r="CA185" s="93">
        <ns0:f>HYPERLINK("https://www1.hkexnews.hk/listedco/listconews/sehk/2023/0424/2023042400062.pdf","stabilisation")</ns0:f>
        <ns0:v/>
      </ns0:c>
      <ns0:c r="CB185" s="94" t="n"/>
      <ns0:c r="CC185" s="74" t="inlineStr">
        <ns0:is>
          <ns0:t>P/E: net income not extractable; greenshoe: outcome published; expiry date not in the notice; price range: fixed-price offering (no indicative range); range low: maximum offer price only, no floor published; financials: not extractable; pre-IPO year outside the AAStocks window; allocation: clawback line not in this notice; a 12-28% split is consistent with either a tier-1 clawback or a placing shortfall</ns0:t>
        </ns0:is>
      </ns0:c>
    </ns0:row>
    <ns0:row r="186" ht="22" customHeight="1">
      <ns0:c r="A186" s="73" t="inlineStr">
        <ns0:is>
          <ns0:t>9669</ns0:t>
        </ns0:is>
      </ns0:c>
      <ns0:c r="B186" s="74" t="inlineStr">
        <ns0:is>
          <ns0:t>BEISEN HOLDING</ns0:t>
        </ns0:is>
      </ns0:c>
      <ns0:c r="C186" s="74" t="inlineStr">
        <ns0:is>
          <ns0:t>北森控股</ns0:t>
        </ns0:is>
      </ns0:c>
      <ns0:c r="D186" s="74" t="inlineStr">
        <ns0:is>
          <ns0:t>Technology</ns0:t>
        </ns0:is>
      </ns0:c>
      <ns0:c r="E186" s="74" t="inlineStr">
        <ns0:is>
          <ns0:t>Software &amp; AI</ns0:t>
        </ns0:is>
      </ns0:c>
      <ns0:c r="F186" s="74" t="inlineStr">
        <ns0:is>
          <ns0:t>Commercial &amp; Professional Services</ns0:t>
        </ns0:is>
      </ns0:c>
      <ns0:c r="G186" s="74" t="inlineStr">
        <ns0:is>
          <ns0:t>Standard</ns0:t>
        </ns0:is>
      </ns0:c>
      <ns0:c r="H186" s="75" t="n">
        <ns0:v>45029</ns0:v>
      </ns0:c>
      <ns0:c r="I186" s="76" t="n">
        <ns0:v>238.9</ns0:v>
      </ns0:c>
      <ns0:c r="J186" s="74" t="inlineStr">
        <ns0:is>
          <ns0:t>gross (price x shares)</ns0:t>
        </ns0:is>
      </ns0:c>
      <ns0:c r="K186" s="95" t="n"/>
      <ns0:c r="L186" s="77" t="n">
        <ns0:v>29.7</ns0:v>
      </ns0:c>
      <ns0:c r="M186" s="77" t="n">
        <ns0:v>29.7</ns0:v>
      </ns0:c>
      <ns0:c r="N186" s="74" t="inlineStr">
        <ns0:is>
          <ns0:t>Y</ns0:t>
        </ns0:is>
      </ns0:c>
      <ns0:c r="O186" s="78" t="n">
        <ns0:v>100</ns0:v>
      </ns0:c>
      <ns0:c r="P186" s="84" t="n"/>
      <ns0:c r="Q186" s="79" t="n">
        <ns0:v>21718.2</ns0:v>
      </ns0:c>
      <ns0:c r="R186" s="74" t="inlineStr">
        <ns0:is>
          <ns0:t>derived:deal size / offer % of enlarged capital</ns0:t>
        </ns0:is>
      </ns0:c>
      <ns0:c r="S186" s="80" t="n">
        <ns0:v>16.57</ns0:v>
      </ns0:c>
      <ns0:c r="T186" s="81" t="n">
        <ns0:v>1.51</ns0:v>
      </ns0:c>
      <ns0:c r="U186" s="82" t="n">
        <ns0:v>0</ns0:v>
      </ns0:c>
      <ns0:c r="V186" s="83" t="n">
        <ns0:v>108</ns0:v>
      </ns0:c>
      <ns0:c r="W186" s="78" t="n">
        <ns0:v>30</ns0:v>
      </ns0:c>
      <ns0:c r="X186" s="74" t="inlineStr">
        <ns0:is>
          <ns0:t>YES</ns0:t>
        </ns0:is>
      </ns0:c>
      <ns0:c r="Y186" s="79" t="n">
        <ns0:v>238.9</ns0:v>
      </ns0:c>
      <ns0:c r="Z186" s="79" t="n">
        <ns0:v>8044000</ns0:v>
      </ns0:c>
      <ns0:c r="AA186" s="78" t="n">
        <ns0:v>1.1</ns0:v>
      </ns0:c>
      <ns0:c r="AB186" s="74" t="inlineStr">
        <ns0:is>
          <ns0:t>none — no cornerstone tranche</ns0:t>
        </ns0:is>
      </ns0:c>
      <ns0:c r="AC186" s="74" t="inlineStr">
        <ns0:is>
          <ns0:t>none</ns0:t>
        </ns0:is>
      </ns0:c>
      <ns0:c r="AD186" s="84" t="n"/>
      <ns0:c r="AE186" s="74" t="inlineStr">
        <ns0:is>
          <ns0:t>lapsed</ns0:t>
        </ns0:is>
      </ns0:c>
      <ns0:c r="AF186" s="74" t="inlineStr">
        <ns0:is>
          <ns0:t>2023-05-04</ns0:t>
        </ns0:is>
      </ns0:c>
      <ns0:c r="AG186" s="74" t="inlineStr">
        <ns0:is>
          <ns0:t>Morgan Stanley Asia Limited</ns0:t>
        </ns0:is>
      </ns0:c>
      <ns0:c r="AH186" s="74" t="inlineStr">
        <ns0:is>
          <ns0:t>Morgan Stanley</ns0:t>
        </ns0:is>
      </ns0:c>
      <ns0:c r="AI186" s="86" t="n">
        <ns0:v>0.17</ns0:v>
      </ns0:c>
      <ns0:c r="AJ186" s="87" t="n">
        <ns0:v>-12.12</ns0:v>
      </ns0:c>
      <ns0:c r="AK186" s="87" t="n">
        <ns0:v>-0.05</ns0:v>
      </ns0:c>
      <ns0:c r="AL186" s="87" t="n">
        <ns0:v>-0.34</ns0:v>
      </ns0:c>
      <ns0:c r="AM186" s="87" t="n">
        <ns0:v>-11.82</ns0:v>
      </ns0:c>
      <ns0:c r="AN186" s="89" t="n">
        <ns0:v>3.01</ns0:v>
      </ns0:c>
      <ns0:c r="AO186" s="78" t="n">
        <ns0:v>36.42</ns0:v>
      </ns0:c>
      <ns0:c r="AP186" s="87" t="n">
        <ns0:v>-52.53</ns0:v>
      </ns0:c>
      <ns0:c r="AQ186" s="87" t="n">
        <ns0:v>-69.19</ns0:v>
      </ns0:c>
      <ns0:c r="AR186" s="87" t="n">
        <ns0:v>-71.08</ns0:v>
      </ns0:c>
      <ns0:c r="AS186" s="87" t="n">
        <ns0:v>-45.98</ns0:v>
      </ns0:c>
      <ns0:c r="AT186" s="87" t="n">
        <ns0:v>-64.94</ns0:v>
      </ns0:c>
      <ns0:c r="AU186" s="87" t="n">
        <ns0:v>-67.09</ns0:v>
      </ns0:c>
      <ns0:c r="AV186" s="87" t="n">
        <ns0:v>-50.87</ns0:v>
      </ns0:c>
      <ns0:c r="AW186" s="87" t="n">
        <ns0:v>-63.52</ns0:v>
      </ns0:c>
      <ns0:c r="AX186" s="87" t="n">
        <ns0:v>-72.45</ns0:v>
      </ns0:c>
      <ns0:c r="AY186" s="87" t="n">
        <ns0:v>-59.32</ns0:v>
      </ns0:c>
      <ns0:c r="AZ186" s="87" t="n">
        <ns0:v>-5.67</ns0:v>
      </ns0:c>
      <ns0:c r="BA186" s="87" t="n">
        <ns0:v>-5.62</ns0:v>
      </ns0:c>
      <ns0:c r="BB186" s="74" t="inlineStr">
        <ns0:is>
          <ns0:t>HSTECH (Hang Seng TECH ETF)</ns0:t>
        </ns0:is>
      </ns0:c>
      <ns0:c r="BC186" s="87" t="n">
        <ns0:v>-89.29000000000001</ns0:v>
      </ns0:c>
      <ns0:c r="BD186" s="75" t="n">
        <ns0:v>46297</ns0:v>
      </ns0:c>
      <ns0:c r="BE186" s="76" t="n">
        <ns0:v>612</ns0:v>
      </ns0:c>
      <ns0:c r="BF186" s="79" t="n">
        <ns0:v>-1034.2</ns0:v>
      </ns0:c>
      <ns0:c r="BG186" s="74" t="inlineStr">
        <ns0:is>
          <ns0:t>N</ns0:t>
        </ns0:is>
      </ns0:c>
      <ns0:c r="BH186" s="74" t="inlineStr">
        <ns0:is>
          <ns0:t>n/m</ns0:t>
        </ns0:is>
      </ns0:c>
      <ns0:c r="BI186" s="88" t="n"/>
      <ns0:c r="BJ186" s="88" t="n"/>
      <ns0:c r="BK186" s="89" t="n">
        <ns0:v>35.5</ns0:v>
      </ns0:c>
      <ns0:c r="BL186" s="90">
        <ns0:f>IFERROR(IF('BBG Verify'!S186="","Awaiting Bloomberg",'BBG Verify'!S186),"Awaiting Bloomberg")</ns0:f>
        <ns0:v/>
      </ns0:c>
      <ns0:c r="BM186" s="91" t="inlineStr">
        <ns0:is>
          <ns0:t>N</ns0:t>
        </ns0:is>
      </ns0:c>
      <ns0:c r="BN186" s="92">
        <ns0:f>IFERROR(IF('BBG Verify'!K186="","Awaiting Bloomberg",'BBG Verify'!K186),"Awaiting Bloomberg")</ns0:f>
        <ns0:v/>
      </ns0:c>
      <ns0:c r="BO186" s="74" t="inlineStr">
        <ns0:is>
          <ns0:t>N/A</ns0:t>
        </ns0:is>
      </ns0:c>
      <ns0:c r="BP186" s="74" t="inlineStr">
        <ns0:is>
          <ns0:t>N/A</ns0:t>
        </ns0:is>
      </ns0:c>
      <ns0:c r="BQ186" s="74" t="inlineStr">
        <ns0:is>
          <ns0:t>N/A</ns0:t>
        </ns0:is>
      </ns0:c>
      <ns0:c r="BR186" s="74" t="inlineStr">
        <ns0:is>
          <ns0:t>N/A</ns0:t>
        </ns0:is>
      </ns0:c>
      <ns0:c r="BS186" s="74" t="inlineStr">
        <ns0:is>
          <ns0:t>N/A</ns0:t>
        </ns0:is>
      </ns0:c>
      <ns0:c r="BT186" s="74" t="inlineStr">
        <ns0:is>
          <ns0:t>N/A</ns0:t>
        </ns0:is>
      </ns0:c>
      <ns0:c r="BU186" s="91" t="inlineStr">
        <ns0:is>
          <ns0:t>Morgan Stanley Asia Limited; China International Capital Corporation Hong Kong Securities Limited</ns0:t>
        </ns0:is>
      </ns0:c>
      <ns0:c r="BV186" s="74" t="inlineStr">
        <ns0:is>
          <ns0:t>China International Capital Corporation Hong Kong Securities Limited; Morgan Stanley Asia Limited</ns0:t>
        </ns0:is>
      </ns0:c>
      <ns0:c r="BW186" s="74" t="inlineStr">
        <ns0:is>
          <ns0:t>Morgan Stanley Asia Limited; China International Capital Corporation Hong Kong Securities Limited; Futu Securities International (Hong Kong) Limited; Tiger Brokers (HK) Global Limited; Co-manager Silverbricks Securities Company Limited; Silverbricks Securities Company Limited</ns0:t>
        </ns0:is>
      </ns0:c>
      <ns0:c r="BX186" s="74" t="inlineStr">
        <ns0:is>
          <ns0:t>China International Capital Corporation Hong Kong Securities Limited; Futu Securities International (Hong Kong) Limited; Morgan Stanley Asia Limited; Silverbricks Securities Company Limited; Tiger Brokers (HK) Global Limited</ns0:t>
        </ns0:is>
      </ns0:c>
      <ns0:c r="BY186" s="93">
        <ns0:f>HYPERLINK("https://www1.hkexnews.hk/listedco/listconews/sehk/2023/0330/2023033000324.htm","prospectus")</ns0:f>
        <ns0:v/>
      </ns0:c>
      <ns0:c r="BZ186" s="93">
        <ns0:f>HYPERLINK("https://www1.hkexnews.hk/listedco/listconews/sehk/2023/0412/2023041200010.htm","allotment")</ns0:f>
        <ns0:v/>
      </ns0:c>
      <ns0:c r="CA186" s="93">
        <ns0:f>HYPERLINK("https://www1.hkexnews.hk/listedco/listconews/sehk/2023/0504/2023050401929.pdf","stabilisation")</ns0:f>
        <ns0:v/>
      </ns0:c>
      <ns0:c r="CB186" s="94" t="n"/>
      <ns0:c r="CC186" s="74" t="inlineStr">
        <ns0:is>
          <ns0:t>P/E: loss-making at IPO, use P/S; range low: maximum offer price only, no floor published; cornerstone list: no cornerstone tranche; greenshoe size: no over-allotment option</ns0:t>
        </ns0:is>
      </ns0:c>
    </ns0:row>
    <ns0:row r="187" ht="22" customHeight="1">
      <ns0:c r="A187" s="73" t="inlineStr">
        <ns0:is>
          <ns0:t>6979</ns0:t>
        </ns0:is>
      </ns0:c>
      <ns0:c r="B187" s="74" t="inlineStr">
        <ns0:is>
          <ns0:t>ZJLD</ns0:t>
        </ns0:is>
      </ns0:c>
      <ns0:c r="C187" s="74" t="inlineStr">
        <ns0:is>
          <ns0:t>珍酒李渡</ns0:t>
        </ns0:is>
      </ns0:c>
      <ns0:c r="D187" s="74" t="inlineStr">
        <ns0:is>
          <ns0:t>Consumer</ns0:t>
        </ns0:is>
      </ns0:c>
      <ns0:c r="E187" s="74" t="inlineStr">
        <ns0:is>
          <ns0:t>Beverages / packaged food</ns0:t>
        </ns0:is>
      </ns0:c>
      <ns0:c r="F187" s="74" t="inlineStr">
        <ns0:is>
          <ns0:t>Beverages (Alcoholic)</ns0:t>
        </ns0:is>
      </ns0:c>
      <ns0:c r="G187" s="74" t="inlineStr">
        <ns0:is>
          <ns0:t>Standard</ns0:t>
        </ns0:is>
      </ns0:c>
      <ns0:c r="H187" s="75" t="n">
        <ns0:v>45043</ns0:v>
      </ns0:c>
      <ns0:c r="I187" s="76" t="n">
        <ns0:v>5309.4</ns0:v>
      </ns0:c>
      <ns0:c r="J187" s="74" t="inlineStr">
        <ns0:is>
          <ns0:t>gross (price x shares)</ns0:t>
        </ns0:is>
      </ns0:c>
      <ns0:c r="K187" s="95" t="n"/>
      <ns0:c r="L187" s="77" t="n">
        <ns0:v>10.82</ns0:v>
      </ns0:c>
      <ns0:c r="M187" s="77" t="n">
        <ns0:v>10.82</ns0:v>
      </ns0:c>
      <ns0:c r="N187" s="74" t="inlineStr">
        <ns0:is>
          <ns0:t>Y</ns0:t>
        </ns0:is>
      </ns0:c>
      <ns0:c r="O187" s="78" t="n">
        <ns0:v>100</ns0:v>
      </ns0:c>
      <ns0:c r="P187" s="84" t="n"/>
      <ns0:c r="Q187" s="79" t="n">
        <ns0:v>38863.4</ns0:v>
      </ns0:c>
      <ns0:c r="R187" s="74" t="inlineStr">
        <ns0:is>
          <ns0:t>aastocks:上市市值 at the struck price</ns0:t>
        </ns0:is>
      </ns0:c>
      <ns0:c r="S187" s="80" t="n">
        <ns0:v>1.94</ns0:v>
      </ns0:c>
      <ns0:c r="T187" s="81" t="n">
        <ns0:v>3.9</ns0:v>
      </ns0:c>
      <ns0:c r="U187" s="82" t="n">
        <ns0:v>0</ns0:v>
      </ns0:c>
      <ns0:c r="V187" s="83" t="n">
        <ns0:v>109</ns0:v>
      </ns0:c>
      <ns0:c r="W187" s="84" t="n"/>
      <ns0:c r="X187" s="85" t="n"/>
      <ns0:c r="Y187" s="79" t="n">
        <ns0:v>5309.4</ns0:v>
      </ns0:c>
      <ns0:c r="Z187" s="79" t="n">
        <ns0:v>490699800</ns0:v>
      </ns0:c>
      <ns0:c r="AA187" s="78" t="n">
        <ns0:v>13.66</ns0:v>
      </ns0:c>
      <ns0:c r="AB187" s="74" t="inlineStr">
        <ns0:is>
          <ns0:t>none — no cornerstone tranche</ns0:t>
        </ns0:is>
      </ns0:c>
      <ns0:c r="AC187" s="74" t="inlineStr">
        <ns0:is>
          <ns0:t>none</ns0:t>
        </ns0:is>
      </ns0:c>
      <ns0:c r="AD187" s="78" t="n">
        <ns0:v>5.3</ns0:v>
      </ns0:c>
      <ns0:c r="AE187" s="74" t="inlineStr">
        <ns0:is>
          <ns0:t>lapsed</ns0:t>
        </ns0:is>
      </ns0:c>
      <ns0:c r="AF187" s="74" t="inlineStr">
        <ns0:is>
          <ns0:t>2023-05-20</ns0:t>
        </ns0:is>
      </ns0:c>
      <ns0:c r="AG187" s="74" t="inlineStr">
        <ns0:is>
          <ns0:t>Goldman Sachs</ns0:t>
        </ns0:is>
      </ns0:c>
      <ns0:c r="AH187" s="74" t="inlineStr">
        <ns0:is>
          <ns0:t>Goldman Sachs</ns0:t>
        </ns0:is>
      </ns0:c>
      <ns0:c r="AI187" s="86" t="n">
        <ns0:v>-4.99</ns0:v>
      </ns0:c>
      <ns0:c r="AJ187" s="87" t="n">
        <ns0:v>-17.93</ns0:v>
      </ns0:c>
      <ns0:c r="AK187" s="87" t="n">
        <ns0:v>-0.28</ns0:v>
      </ns0:c>
      <ns0:c r="AL187" s="87" t="n">
        <ns0:v>-16.82</ns0:v>
      </ns0:c>
      <ns0:c r="AM187" s="87" t="n">
        <ns0:v>-1.33</ns0:v>
      </ns0:c>
      <ns0:c r="AN187" s="88" t="n"/>
      <ns0:c r="AO187" s="78" t="n">
        <ns0:v>12.78</ns0:v>
      </ns0:c>
      <ns0:c r="AP187" s="87" t="n">
        <ns0:v>-15.9</ns0:v>
      </ns0:c>
      <ns0:c r="AQ187" s="87" t="n">
        <ns0:v>-34.1</ns0:v>
      </ns0:c>
      <ns0:c r="AR187" s="87" t="n">
        <ns0:v>-12.38</ns0:v>
      </ns0:c>
      <ns0:c r="AS187" s="87" t="n">
        <ns0:v>2.47</ns0:v>
      </ns0:c>
      <ns0:c r="AT187" s="87" t="n">
        <ns0:v>-19.7</ns0:v>
      </ns0:c>
      <ns0:c r="AU187" s="87" t="n">
        <ns0:v>6.76</ns0:v>
      </ns0:c>
      <ns0:c r="AV187" s="87" t="n">
        <ns0:v>-16.15</ns0:v>
      </ns0:c>
      <ns0:c r="AW187" s="87" t="n">
        <ns0:v>-26.77</ns0:v>
      </ns0:c>
      <ns0:c r="AX187" s="87" t="n">
        <ns0:v>-16.74</ns0:v>
      </ns0:c>
      <ns0:c r="AY187" s="87" t="n">
        <ns0:v>-12.64</ns0:v>
      </ns0:c>
      <ns0:c r="AZ187" s="87" t="n">
        <ns0:v>-7.33</ns0:v>
      </ns0:c>
      <ns0:c r="BA187" s="87" t="n">
        <ns0:v>-7.06</ns0:v>
      </ns0:c>
      <ns0:c r="BB187" s="74" t="inlineStr">
        <ns0:is>
          <ns0:t>Hang Seng Commerce &amp; Industry sub-index</ns0:t>
        </ns0:is>
      </ns0:c>
      <ns0:c r="BC187" s="87" t="n">
        <ns0:v>-28.1</ns0:v>
      </ns0:c>
      <ns0:c r="BD187" s="75" t="n">
        <ns0:v>46297</ns0:v>
      </ns0:c>
      <ns0:c r="BE187" s="76" t="n">
        <ns0:v>6441.5</ns0:v>
      </ns0:c>
      <ns0:c r="BF187" s="97" t="n"/>
      <ns0:c r="BG187" s="85" t="n"/>
      <ns0:c r="BH187" s="89" t="n">
        <ns0:v>17.5</ns0:v>
      </ns0:c>
      <ns0:c r="BI187" s="89" t="n">
        <ns0:v>17.5</ns0:v>
      </ns0:c>
      <ns0:c r="BJ187" s="89" t="n">
        <ns0:v>42.9</ns0:v>
      </ns0:c>
      <ns0:c r="BK187" s="89" t="n">
        <ns0:v>6</ns0:v>
      </ns0:c>
      <ns0:c r="BL187" s="90">
        <ns0:f>IFERROR(IF('BBG Verify'!S187="","Awaiting Bloomberg",'BBG Verify'!S187),"Awaiting Bloomberg")</ns0:f>
        <ns0:v/>
      </ns0:c>
      <ns0:c r="BM187" s="91" t="inlineStr">
        <ns0:is>
          <ns0:t>N</ns0:t>
        </ns0:is>
      </ns0:c>
      <ns0:c r="BN187" s="92">
        <ns0:f>IFERROR(IF('BBG Verify'!K187="","Awaiting Bloomberg",'BBG Verify'!K187),"Awaiting Bloomberg")</ns0:f>
        <ns0:v/>
      </ns0:c>
      <ns0:c r="BO187" s="74" t="inlineStr">
        <ns0:is>
          <ns0:t>N/A</ns0:t>
        </ns0:is>
      </ns0:c>
      <ns0:c r="BP187" s="74" t="inlineStr">
        <ns0:is>
          <ns0:t>N/A</ns0:t>
        </ns0:is>
      </ns0:c>
      <ns0:c r="BQ187" s="74" t="inlineStr">
        <ns0:is>
          <ns0:t>N/A</ns0:t>
        </ns0:is>
      </ns0:c>
      <ns0:c r="BR187" s="74" t="inlineStr">
        <ns0:is>
          <ns0:t>N/A</ns0:t>
        </ns0:is>
      </ns0:c>
      <ns0:c r="BS187" s="74" t="inlineStr">
        <ns0:is>
          <ns0:t>N/A</ns0:t>
        </ns0:is>
      </ns0:c>
      <ns0:c r="BT187" s="74" t="inlineStr">
        <ns0:is>
          <ns0:t>N/A</ns0:t>
        </ns0:is>
      </ns0:c>
      <ns0:c r="BU187" s="91" t="inlineStr">
        <ns0:is>
          <ns0:t>Goldman Sachs (Asia) L.L.C; China Securities (International) Corporate Finance Company Limited</ns0:t>
        </ns0:is>
      </ns0:c>
      <ns0:c r="BV187" s="74" t="inlineStr">
        <ns0:is>
          <ns0:t>Goldman Sachs (Asia) L.L.C.; China Securities (International) Corporate Finance Company Limited</ns0:t>
        </ns0:is>
      </ns0:c>
      <ns0:c r="BW187" s="74" t="inlineStr">
        <ns0:is>
          <ns0:t>Goldman Sachs (Asia) L.L.C; China Securities (International) Corporate Finance Company Limited; China International Capital Corporation Hong Kong Securities Limited; KKR Capital Markets Asia Limited</ns0:t>
        </ns0:is>
      </ns0:c>
      <ns0:c r="BX187" s="74" t="inlineStr">
        <ns0:is>
          <ns0:t>China International Capital Corporation Hong Kong Securities Limited; China Securities (International) Corporate Finance Company Limited; Goldman Sachs (Asia) L.L.C.</ns0:t>
        </ns0:is>
      </ns0:c>
      <ns0:c r="BY187" s="93">
        <ns0:f>HYPERLINK("https://www1.hkexnews.hk/listedco/listconews/sehk/2023/0417/2023041700044.htm","prospectus")</ns0:f>
        <ns0:v/>
      </ns0:c>
      <ns0:c r="BZ187" s="93">
        <ns0:f>HYPERLINK("https://www1.hkexnews.hk/listedco/listconews/sehk/2023/0426/2023042600060.htm","allotment")</ns0:f>
        <ns0:v/>
      </ns0:c>
      <ns0:c r="CA187" s="93">
        <ns0:f>HYPERLINK("https://www1.hkexnews.hk/listedco/listconews/sehk/2023/0525/2023052500386.pdf","stabilisation")</ns0:f>
        <ns0:v/>
      </ns0:c>
      <ns0:c r="CB187" s="94" t="n"/>
      <ns0:c r="CC187" s="74" t="inlineStr">
        <ns0:is>
          <ns0:t>P/E: Bloomberg trailing-12m basis (prospectus-year multiple not derivable); price range: fixed-price offering (no indicative range); range low: maximum offer price only, no floor published; cornerstone list: no cornerstone tranche; financials: not extractable; pre-IPO year outside the AAStocks window; deal size: stated gross HK$795.0m rejected, below the net proceeds of HK$4,990.0m; allocation: allocation table not in this notice's format (older prose announcement); day-1 tape: volume on file; the retail multiple needs the final public split, which this notice does not state</ns0:t>
        </ns0:is>
      </ns0:c>
    </ns0:row>
    <ns0:row r="188" ht="22" customHeight="1">
      <ns0:c r="A188" s="73" t="inlineStr">
        <ns0:is>
          <ns0:t>2415</ns0:t>
        </ns0:is>
      </ns0:c>
      <ns0:c r="B188" s="74" t="inlineStr">
        <ns0:is>
          <ns0:t>MEDSCI</ns0:t>
        </ns0:is>
      </ns0:c>
      <ns0:c r="C188" s="74" t="inlineStr">
        <ns0:is>
          <ns0:t>梅斯健康</ns0:t>
        </ns0:is>
      </ns0:c>
      <ns0:c r="D188" s="74" t="inlineStr">
        <ns0:is>
          <ns0:t>Healthcare</ns0:t>
        </ns0:is>
      </ns0:c>
      <ns0:c r="E188" s="74" t="inlineStr">
        <ns0:is>
          <ns0:t>CXO / pharma services</ns0:t>
        </ns0:is>
      </ns0:c>
      <ns0:c r="F188" s="74" t="inlineStr">
        <ns0:is>
          <ns0:t>Health Care Services</ns0:t>
        </ns0:is>
      </ns0:c>
      <ns0:c r="G188" s="74" t="inlineStr">
        <ns0:is>
          <ns0:t>Standard</ns0:t>
        </ns0:is>
      </ns0:c>
      <ns0:c r="H188" s="75" t="n">
        <ns0:v>45043</ns0:v>
      </ns0:c>
      <ns0:c r="I188" s="76" t="n">
        <ns0:v>607.8</ns0:v>
      </ns0:c>
      <ns0:c r="J188" s="74" t="inlineStr">
        <ns0:is>
          <ns0:t>gross (price x shares)</ns0:t>
        </ns0:is>
      </ns0:c>
      <ns0:c r="K188" s="77" t="n">
        <ns0:v>9.1</ns0:v>
      </ns0:c>
      <ns0:c r="L188" s="77" t="n">
        <ns0:v>10.16</ns0:v>
      </ns0:c>
      <ns0:c r="M188" s="77" t="n">
        <ns0:v>9.1</ns0:v>
      </ns0:c>
      <ns0:c r="N188" s="74" t="inlineStr">
        <ns0:is>
          <ns0:t>N</ns0:t>
        </ns0:is>
      </ns0:c>
      <ns0:c r="O188" s="78" t="n">
        <ns0:v>89.59999999999999</ns0:v>
      </ns0:c>
      <ns0:c r="P188" s="78" t="n">
        <ns0:v>0</ns0:v>
      </ns0:c>
      <ns0:c r="Q188" s="79" t="n">
        <ns0:v>6101.8</ns0:v>
      </ns0:c>
      <ns0:c r="R188" s="74" t="inlineStr">
        <ns0:is>
          <ns0:t>aastocks:上市市值 at the struck price</ns0:t>
        </ns0:is>
      </ns0:c>
      <ns0:c r="S188" s="80" t="n">
        <ns0:v>9.85</ns0:v>
      </ns0:c>
      <ns0:c r="T188" s="81" t="n">
        <ns0:v>1.47</ns0:v>
      </ns0:c>
      <ns0:c r="U188" s="82" t="n">
        <ns0:v>20.1</ns0:v>
      </ns0:c>
      <ns0:c r="V188" s="83" t="n">
        <ns0:v>116</ns0:v>
      </ns0:c>
      <ns0:c r="W188" s="84" t="n"/>
      <ns0:c r="X188" s="85" t="n"/>
      <ns0:c r="Y188" s="79" t="n">
        <ns0:v>485.63</ns0:v>
      </ns0:c>
      <ns0:c r="Z188" s="79" t="n">
        <ns0:v>53364411</ns0:v>
      </ns0:c>
      <ns0:c r="AA188" s="78" t="n">
        <ns0:v>7.96</ns0:v>
      </ns0:c>
      <ns0:c r="AB188" s="74" t="inlineStr">
        <ns0:is>
          <ns0:t>Anji Guorong Construction Co., Ltd; Anji Guorong Venture Capital Co., Ltd; Anji Jiaotou Industrial Development Co., Ltd; Anji Qicai Lingfeng Rural Tourism Investment Co., Ltd; GF Global Capital Limited; Harvest International Premium Value (Secondary Market) Fund SPC</ns0:t>
        </ns0:is>
      </ns0:c>
      <ns0:c r="AC188" s="74" t="inlineStr">
        <ns0:is>
          <ns0:t>anji;gf;harvest</ns0:t>
        </ns0:is>
      </ns0:c>
      <ns0:c r="AD188" s="78" t="n">
        <ns0:v>10.82</ns0:v>
      </ns0:c>
      <ns0:c r="AE188" s="85" t="n"/>
      <ns0:c r="AF188" s="74" t="inlineStr">
        <ns0:is>
          <ns0:t>2023-05-20</ns0:t>
        </ns0:is>
      </ns0:c>
      <ns0:c r="AG188" s="74" t="inlineStr">
        <ns0:is>
          <ns0:t>Chin a International Capital Corporation Hong Kong Securities Limited</ns0:t>
        </ns0:is>
      </ns0:c>
      <ns0:c r="AH188" s="74" t="inlineStr">
        <ns0:is>
          <ns0:t>Chin a</ns0:t>
        </ns0:is>
      </ns0:c>
      <ns0:c r="AI188" s="86" t="n">
        <ns0:v>-2.75</ns0:v>
      </ns0:c>
      <ns0:c r="AJ188" s="87" t="n">
        <ns0:v>1.1</ns0:v>
      </ns0:c>
      <ns0:c r="AK188" s="87" t="n">
        <ns0:v>0.8100000000000001</ns0:v>
      </ns0:c>
      <ns0:c r="AL188" s="87" t="n">
        <ns0:v>-2.75</ns0:v>
      </ns0:c>
      <ns0:c r="AM188" s="87" t="n">
        <ns0:v>3.96</ns0:v>
      </ns0:c>
      <ns0:c r="AN188" s="88" t="n"/>
      <ns0:c r="AO188" s="78" t="n">
        <ns0:v>9.83</ns0:v>
      </ns0:c>
      <ns0:c r="AP188" s="87" t="n">
        <ns0:v>-5.49</ns0:v>
      </ns0:c>
      <ns0:c r="AQ188" s="87" t="n">
        <ns0:v>2.64</ns0:v>
      </ns0:c>
      <ns0:c r="AR188" s="87" t="n">
        <ns0:v>-15.16</ns0:v>
      </ns0:c>
      <ns0:c r="AS188" s="87" t="n">
        <ns0:v>-6.52</ns0:v>
      </ns0:c>
      <ns0:c r="AT188" s="87" t="n">
        <ns0:v>1.52</ns0:v>
      </ns0:c>
      <ns0:c r="AU188" s="87" t="n">
        <ns0:v>-16.08</ns0:v>
      </ns0:c>
      <ns0:c r="AV188" s="87" t="n">
        <ns0:v>-5.78</ns0:v>
      </ns0:c>
      <ns0:c r="AW188" s="87" t="n">
        <ns0:v>8.73</ns0:v>
      </ns0:c>
      <ns0:c r="AX188" s="87" t="n">
        <ns0:v>-8.449999999999999</ns0:v>
      </ns0:c>
      <ns0:c r="AY188" s="87" t="n">
        <ns0:v>8.359999999999999</ns0:v>
      </ns0:c>
      <ns0:c r="AZ188" s="87" t="n">
        <ns0:v>-6.09</ns0:v>
      </ns0:c>
      <ns0:c r="BA188" s="87" t="n">
        <ns0:v>-6.84</ns0:v>
      </ns0:c>
      <ns0:c r="BB188" s="74" t="inlineStr">
        <ns0:is>
          <ns0:t>China Biotech ETF (HS biotech proxy)</ns0:t>
        </ns0:is>
      </ns0:c>
      <ns0:c r="BC188" s="87" t="n">
        <ns0:v>-90.66</ns0:v>
      </ns0:c>
      <ns0:c r="BD188" s="75" t="n">
        <ns0:v>46297</ns0:v>
      </ns0:c>
      <ns0:c r="BE188" s="76" t="n">
        <ns0:v>383.8</ns0:v>
      </ns0:c>
      <ns0:c r="BF188" s="79" t="n">
        <ns0:v>-109.9</ns0:v>
      </ns0:c>
      <ns0:c r="BG188" s="74" t="inlineStr">
        <ns0:is>
          <ns0:t>N</ns0:t>
        </ns0:is>
      </ns0:c>
      <ns0:c r="BH188" s="74" t="inlineStr">
        <ns0:is>
          <ns0:t>n/m</ns0:t>
        </ns0:is>
      </ns0:c>
      <ns0:c r="BI188" s="88" t="n"/>
      <ns0:c r="BJ188" s="89" t="n">
        <ns0:v>19.5</ns0:v>
      </ns0:c>
      <ns0:c r="BK188" s="89" t="n">
        <ns0:v>15.9</ns0:v>
      </ns0:c>
      <ns0:c r="BL188" s="90">
        <ns0:f>IFERROR(IF('BBG Verify'!S188="","Awaiting Bloomberg",'BBG Verify'!S188),"Awaiting Bloomberg")</ns0:f>
        <ns0:v/>
      </ns0:c>
      <ns0:c r="BM188" s="91" t="inlineStr">
        <ns0:is>
          <ns0:t>N</ns0:t>
        </ns0:is>
      </ns0:c>
      <ns0:c r="BN188" s="92">
        <ns0:f>IFERROR(IF('BBG Verify'!K188="","Awaiting Bloomberg",'BBG Verify'!K188),"Awaiting Bloomberg")</ns0:f>
        <ns0:v/>
      </ns0:c>
      <ns0:c r="BO188" s="74" t="inlineStr">
        <ns0:is>
          <ns0:t>N/A</ns0:t>
        </ns0:is>
      </ns0:c>
      <ns0:c r="BP188" s="74" t="inlineStr">
        <ns0:is>
          <ns0:t>N/A</ns0:t>
        </ns0:is>
      </ns0:c>
      <ns0:c r="BQ188" s="74" t="inlineStr">
        <ns0:is>
          <ns0:t>N/A</ns0:t>
        </ns0:is>
      </ns0:c>
      <ns0:c r="BR188" s="74" t="inlineStr">
        <ns0:is>
          <ns0:t>N/A</ns0:t>
        </ns0:is>
      </ns0:c>
      <ns0:c r="BS188" s="74" t="inlineStr">
        <ns0:is>
          <ns0:t>N/A</ns0:t>
        </ns0:is>
      </ns0:c>
      <ns0:c r="BT188" s="74" t="inlineStr">
        <ns0:is>
          <ns0:t>N/A</ns0:t>
        </ns0:is>
      </ns0:c>
      <ns0:c r="BU188" s="91" t="inlineStr">
        <ns0:is>
          <ns0:t>China International Capital Corporation Hong Kong Securities Limited; Macquarie Capital Limited</ns0:t>
        </ns0:is>
      </ns0:c>
      <ns0:c r="BV188" s="74" t="inlineStr">
        <ns0:is>
          <ns0:t>China International Capital Corporation Hong Kong Securities Limited; Macquarie Capital Limited</ns0:t>
        </ns0:is>
      </ns0:c>
      <ns0:c r="BW188" s="74" t="inlineStr">
        <ns0:is>
          <ns0: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ns0:t>
        </ns0:is>
      </ns0:c>
      <ns0:c r="BX188" s="74" t="inlineStr">
        <ns0:is>
          <ns0: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ns0:t>
        </ns0:is>
      </ns0:c>
      <ns0:c r="BY188" s="93">
        <ns0:f>HYPERLINK("https://www1.hkexnews.hk/listedco/listconews/sehk/2023/0417/2023041700009.pdf","prospectus")</ns0:f>
        <ns0:v/>
      </ns0:c>
      <ns0:c r="BZ188" s="93">
        <ns0:f>HYPERLINK("https://www1.hkexnews.hk/listedco/listconews/sehk/2023/0426/2023042600046.htm","allotment")</ns0:f>
        <ns0:v/>
      </ns0:c>
      <ns0:c r="CA188" s="85" t="n"/>
      <ns0:c r="CB188" s="94" t="n"/>
      <ns0:c r="CC188" s="74" t="inlineStr">
        <ns0:is>
          <ns0:t>P/E: loss-making at IPO, use P/S; greenshoe: end-of-stabilisation notice not found; cornerstone: % from the prospectus; AAStocks table includes non-cornerstone orders; deal size: stated gross HK$18.2m rejected, below the net proceeds of HK$538.2m; allocation: allocation table not in this notice's format (older prose announcement); day-1 tape: volume on file; the retail multiple needs the final public split, which this notice does not state</ns0:t>
        </ns0:is>
      </ns0:c>
    </ns0:row>
    <ns0:row r="189" ht="22" customHeight="1">
      <ns0:c r="A189" s="73" t="inlineStr">
        <ns0:is>
          <ns0:t>2480</ns0:t>
        </ns0:is>
      </ns0:c>
      <ns0:c r="B189" s="74" t="inlineStr">
        <ns0:is>
          <ns0:t>LUZHU BIOTECH-B</ns0:t>
        </ns0:is>
      </ns0:c>
      <ns0:c r="C189" s="74" t="inlineStr">
        <ns0:is>
          <ns0:t>綠竹生物－Ｂ</ns0:t>
        </ns0:is>
      </ns0:c>
      <ns0:c r="D189" s="74" t="inlineStr">
        <ns0:is>
          <ns0:t>Healthcare</ns0:t>
        </ns0:is>
      </ns0:c>
      <ns0:c r="E189" s="74" t="inlineStr">
        <ns0:is>
          <ns0:t>Biotech pre-revenue (18A)</ns0:t>
        </ns0:is>
      </ns0:c>
      <ns0:c r="F189" s="74" t="inlineStr">
        <ns0:is>
          <ns0:t>Biotechnology - Pharmaceuticals</ns0:t>
        </ns0:is>
      </ns0:c>
      <ns0:c r="G189" s="74" t="inlineStr">
        <ns0:is>
          <ns0:t>18A</ns0:t>
        </ns0:is>
      </ns0:c>
      <ns0:c r="H189" s="75" t="n">
        <ns0:v>45054</ns0:v>
      </ns0:c>
      <ns0:c r="I189" s="76" t="n">
        <ns0:v>340.7</ns0:v>
      </ns0:c>
      <ns0:c r="J189" s="74" t="inlineStr">
        <ns0:is>
          <ns0:t>gross (price x shares)</ns0:t>
        </ns0:is>
      </ns0:c>
      <ns0:c r="K189" s="77" t="n">
        <ns0:v>32.8</ns0:v>
      </ns0:c>
      <ns0:c r="L189" s="77" t="n">
        <ns0:v>41.65</ns0:v>
      </ns0:c>
      <ns0:c r="M189" s="77" t="n">
        <ns0:v>32.8</ns0:v>
      </ns0:c>
      <ns0:c r="N189" s="74" t="inlineStr">
        <ns0:is>
          <ns0:t>N</ns0:t>
        </ns0:is>
      </ns0:c>
      <ns0:c r="O189" s="78" t="n">
        <ns0:v>78.8</ns0:v>
      </ns0:c>
      <ns0:c r="P189" s="78" t="n">
        <ns0:v>0</ns0:v>
      </ns0:c>
      <ns0:c r="Q189" s="79" t="n">
        <ns0:v>8051.3</ns0:v>
      </ns0:c>
      <ns0:c r="R189" s="74" t="inlineStr">
        <ns0:is>
          <ns0:t>aastocks:上市市值 at the struck price</ns0:t>
        </ns0:is>
      </ns0:c>
      <ns0:c r="S189" s="80" t="n">
        <ns0:v>3.25</ns0:v>
      </ns0:c>
      <ns0:c r="T189" s="81" t="n">
        <ns0:v>1.33</ns0:v>
      </ns0:c>
      <ns0:c r="U189" s="82" t="n">
        <ns0:v>46.1</ns0:v>
      </ns0:c>
      <ns0:c r="V189" s="83" t="n">
        <ns0:v>168</ns0:v>
      </ns0:c>
      <ns0:c r="W189" s="84" t="n"/>
      <ns0:c r="X189" s="85" t="n"/>
      <ns0:c r="Y189" s="79" t="n">
        <ns0:v>183.64</ns0:v>
      </ns0:c>
      <ns0:c r="Z189" s="79" t="n">
        <ns0:v>5598054</ns0:v>
      </ns0:c>
      <ns0:c r="AA189" s="78" t="n">
        <ns0:v>2.28</ns0:v>
      </ns0:c>
      <ns0:c r="AB189" s="74" t="inlineStr">
        <ns0:is>
          <ns0:t>Harvest International Premium Value (Secondary Market) Fund SPC</ns0:t>
        </ns0:is>
      </ns0:c>
      <ns0:c r="AC189" s="74" t="inlineStr">
        <ns0:is>
          <ns0:t>harvest</ns0:t>
        </ns0:is>
      </ns0:c>
      <ns0:c r="AD189" s="78" t="n">
        <ns0:v>11.2</ns0:v>
      </ns0:c>
      <ns0:c r="AE189" s="74" t="inlineStr">
        <ns0:is>
          <ns0:t>lapsed</ns0:t>
        </ns0:is>
      </ns0:c>
      <ns0:c r="AF189" s="74" t="inlineStr">
        <ns0:is>
          <ns0:t>2023-05-28</ns0:t>
        </ns0:is>
      </ns0:c>
      <ns0:c r="AG189" s="74" t="inlineStr">
        <ns0:is>
          <ns0:t>China International Capital Corporation Hong Kong Securities Limited</ns0:t>
        </ns0:is>
      </ns0:c>
      <ns0:c r="AH189" s="74" t="inlineStr">
        <ns0:is>
          <ns0:t>China International</ns0:t>
        </ns0:is>
      </ns0:c>
      <ns0:c r="AI189" s="86" t="n">
        <ns0:v>-4.12</ns0:v>
      </ns0:c>
      <ns0:c r="AJ189" s="87" t="n">
        <ns0:v>-32.93</ns0:v>
      </ns0:c>
      <ns0:c r="AK189" s="87" t="n">
        <ns0:v>-0.32</ns0:v>
      </ns0:c>
      <ns0:c r="AL189" s="87" t="n">
        <ns0:v>-3.96</ns0:v>
      </ns0:c>
      <ns0:c r="AM189" s="87" t="n">
        <ns0:v>-30.16</ns0:v>
      </ns0:c>
      <ns0:c r="AN189" s="88" t="n"/>
      <ns0:c r="AO189" s="78" t="n">
        <ns0:v>30.48</ns0:v>
      </ns0:c>
      <ns0:c r="AP189" s="87" t="n">
        <ns0:v>-30.95</ns0:v>
      </ns0:c>
      <ns0:c r="AQ189" s="87" t="n">
        <ns0:v>1.98</ns0:v>
      </ns0:c>
      <ns0:c r="AR189" s="87" t="n">
        <ns0:v>-3.51</ns0:v>
      </ns0:c>
      <ns0:c r="AS189" s="87" t="n">
        <ns0:v>2.95</ns0:v>
      </ns0:c>
      <ns0:c r="AT189" s="87" t="n">
        <ns0:v>52.05</ns0:v>
      </ns0:c>
      <ns0:c r="AU189" s="87" t="n">
        <ns0:v>43.86</ns0:v>
      </ns0:c>
      <ns0:c r="AV189" s="87" t="n">
        <ns0:v>-29.01</ns0:v>
      </ns0:c>
      <ns0:c r="AW189" s="87" t="n">
        <ns0:v>10.5</ns0:v>
      </ns0:c>
      <ns0:c r="AX189" s="87" t="n">
        <ns0:v>9.609999999999999</ns0:v>
      </ns0:c>
      <ns0:c r="AY189" s="87" t="n">
        <ns0:v>60.27</ns0:v>
      </ns0:c>
      <ns0:c r="AZ189" s="87" t="n">
        <ns0:v>-8.52</ns0:v>
      </ns0:c>
      <ns0:c r="BA189" s="87" t="n">
        <ns0:v>-8.220000000000001</ns0:v>
      </ns0:c>
      <ns0:c r="BB189" s="74" t="inlineStr">
        <ns0:is>
          <ns0:t>China Biotech ETF (HS biotech proxy)</ns0:t>
        </ns0:is>
      </ns0:c>
      <ns0:c r="BC189" s="87" t="n">
        <ns0:v>-59.15</ns0:v>
      </ns0:c>
      <ns0:c r="BD189" s="75" t="n">
        <ns0:v>46297</ns0:v>
      </ns0:c>
      <ns0:c r="BE189" s="76" t="n">
        <ns0:v>0</ns0:v>
      </ns0:c>
      <ns0:c r="BF189" s="79" t="n">
        <ns0:v>-797.7</ns0:v>
      </ns0:c>
      <ns0:c r="BG189" s="74" t="inlineStr">
        <ns0:is>
          <ns0:t>N</ns0:t>
        </ns0:is>
      </ns0:c>
      <ns0:c r="BH189" s="74" t="inlineStr">
        <ns0:is>
          <ns0:t>n/m</ns0:t>
        </ns0:is>
      </ns0:c>
      <ns0:c r="BI189" s="88" t="n"/>
      <ns0:c r="BJ189" s="88" t="n"/>
      <ns0:c r="BK189" s="74" t="inlineStr">
        <ns0:is>
          <ns0:t>pre-rev</ns0:t>
        </ns0:is>
      </ns0:c>
      <ns0:c r="BL189" s="90">
        <ns0:f>IFERROR(IF('BBG Verify'!S189="","Awaiting Bloomberg",'BBG Verify'!S189),"Awaiting Bloomberg")</ns0:f>
        <ns0:v/>
      </ns0:c>
      <ns0:c r="BM189" s="91" t="inlineStr">
        <ns0:is>
          <ns0:t>N</ns0:t>
        </ns0:is>
      </ns0:c>
      <ns0:c r="BN189" s="92">
        <ns0:f>IFERROR(IF('BBG Verify'!K189="","Awaiting Bloomberg",'BBG Verify'!K189),"Awaiting Bloomberg")</ns0:f>
        <ns0:v/>
      </ns0:c>
      <ns0:c r="BO189" s="74" t="inlineStr">
        <ns0:is>
          <ns0:t>N/A</ns0:t>
        </ns0:is>
      </ns0:c>
      <ns0:c r="BP189" s="74" t="inlineStr">
        <ns0:is>
          <ns0:t>N/A</ns0:t>
        </ns0:is>
      </ns0:c>
      <ns0:c r="BQ189" s="74" t="inlineStr">
        <ns0:is>
          <ns0:t>N/A</ns0:t>
        </ns0:is>
      </ns0:c>
      <ns0:c r="BR189" s="74" t="inlineStr">
        <ns0:is>
          <ns0:t>N/A</ns0:t>
        </ns0:is>
      </ns0:c>
      <ns0:c r="BS189" s="74" t="inlineStr">
        <ns0:is>
          <ns0:t>N/A</ns0:t>
        </ns0:is>
      </ns0:c>
      <ns0:c r="BT189" s="74" t="inlineStr">
        <ns0:is>
          <ns0:t>N/A</ns0:t>
        </ns0:is>
      </ns0:c>
      <ns0:c r="BU189" s="91" t="inlineStr">
        <ns0:is>
          <ns0:t>China International Capital Corporation Hong Kong Securities Limited</ns0:t>
        </ns0:is>
      </ns0:c>
      <ns0:c r="BV189" s="74" t="inlineStr">
        <ns0:is>
          <ns0:t>China International Capital Corporation Hong Kong Securities Limited</ns0:t>
        </ns0:is>
      </ns0:c>
      <ns0:c r="BW189" s="74" t="inlineStr">
        <ns0:is>
          <ns0: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ns0:t>
        </ns0:is>
      </ns0:c>
      <ns0:c r="BX189" s="74" t="inlineStr">
        <ns0:is>
          <ns0: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ns0:t>
        </ns0:is>
      </ns0:c>
      <ns0:c r="BY189" s="93">
        <ns0:f>HYPERLINK("https://www1.hkexnews.hk/listedco/listconews/sehk/2023/0425/2023042500039.pdf","prospectus")</ns0:f>
        <ns0:v/>
      </ns0:c>
      <ns0:c r="BZ189" s="93">
        <ns0:f>HYPERLINK("https://www1.hkexnews.hk/listedco/listconews/sehk/2023/0505/2023050500008.htm","allotment")</ns0:f>
        <ns0:v/>
      </ns0:c>
      <ns0:c r="CA189" s="93">
        <ns0:f>HYPERLINK("https://www1.hkexnews.hk/listedco/listconews/sehk/2023/0528/2023052800097.pdf","stabilisation")</ns0:f>
        <ns0:v/>
      </ns0:c>
      <ns0:c r="CB189" s="94" t="n"/>
      <ns0:c r="CC189" s="74" t="inlineStr">
        <ns0:is>
          <ns0:t>P/E: loss-making at IPO, use P/S; market cap: published listing cap used; the estimate from deal size / offer % of enlarged capital disagreed; P/S: pre-revenue issuer, no sales multiple; deal size: stated gross HK$35.0m rejected; 10,386,000 offer shares at HK$32.80 = HK$340.7m; allocation: allocation table not in this notice's format (older prose announcement); day-1 tape: volume on file; the retail multiple needs the final public split, which this notice does not state</ns0:t>
        </ns0:is>
      </ns0:c>
    </ns0:row>
    <ns0:row r="190" ht="22" customHeight="1">
      <ns0:c r="A190" s="73" t="inlineStr">
        <ns0:is>
          <ns0:t>2442</ns0:t>
        </ns0:is>
      </ns0:c>
      <ns0:c r="B190" s="74" t="inlineStr">
        <ns0:is>
          <ns0:t>EASY SMART GP</ns0:t>
        </ns0:is>
      </ns0:c>
      <ns0:c r="C190" s="74" t="inlineStr">
        <ns0:is>
          <ns0:t>怡俊集團控股</ns0:t>
        </ns0:is>
      </ns0:c>
      <ns0:c r="D190" s="74" t="inlineStr">
        <ns0:is>
          <ns0:t>Industrials</ns0:t>
        </ns0:is>
      </ns0:c>
      <ns0:c r="E190" s="74" t="inlineStr">
        <ns0:is>
          <ns0:t>Construction / engineering</ns0:t>
        </ns0:is>
      </ns0:c>
      <ns0:c r="F190" s="74" t="inlineStr">
        <ns0:is>
          <ns0:t>Security &amp; Alarm Services</ns0:t>
        </ns0:is>
      </ns0:c>
      <ns0:c r="G190" s="74" t="inlineStr">
        <ns0:is>
          <ns0:t>Standard</ns0:t>
        </ns0:is>
      </ns0:c>
      <ns0:c r="H190" s="75" t="n">
        <ns0:v>45055</ns0:v>
      </ns0:c>
      <ns0:c r="I190" s="76" t="n">
        <ns0:v>130.6</ns0:v>
      </ns0:c>
      <ns0:c r="J190" s="74" t="inlineStr">
        <ns0:is>
          <ns0:t>gross (price x shares)</ns0:t>
        </ns0:is>
      </ns0:c>
      <ns0:c r="K190" s="77" t="n">
        <ns0:v>1.28</ns0:v>
      </ns0:c>
      <ns0:c r="L190" s="77" t="n">
        <ns0:v>1.38</ns0:v>
      </ns0:c>
      <ns0:c r="M190" s="77" t="n">
        <ns0:v>1.28</ns0:v>
      </ns0:c>
      <ns0:c r="N190" s="74" t="inlineStr">
        <ns0:is>
          <ns0:t>N</ns0:t>
        </ns0:is>
      </ns0:c>
      <ns0:c r="O190" s="78" t="n">
        <ns0:v>92.8</ns0:v>
      </ns0:c>
      <ns0:c r="P190" s="78" t="n">
        <ns0:v>0</ns0:v>
      </ns0:c>
      <ns0:c r="Q190" s="79" t="n">
        <ns0:v>560</ns0:v>
      </ns0:c>
      <ns0:c r="R190" s="74" t="inlineStr">
        <ns0:is>
          <ns0:t>aastocks:上市市值 at the struck price</ns0:t>
        </ns0:is>
      </ns0:c>
      <ns0:c r="S190" s="80" t="n">
        <ns0:v>17.27</ns0:v>
      </ns0:c>
      <ns0:c r="T190" s="81" t="n">
        <ns0:v>1.05</ns0:v>
      </ns0:c>
      <ns0:c r="U190" s="82" t="n">
        <ns0:v>0</ns0:v>
      </ns0:c>
      <ns0:c r="V190" s="83" t="n">
        <ns0:v>142</ns0:v>
      </ns0:c>
      <ns0:c r="W190" s="78" t="n">
        <ns0:v>30</ns0:v>
      </ns0:c>
      <ns0:c r="X190" s="74" t="inlineStr">
        <ns0:is>
          <ns0:t>YES</ns0:t>
        </ns0:is>
      </ns0:c>
      <ns0:c r="Y190" s="79" t="n">
        <ns0:v>130.6</ns0:v>
      </ns0:c>
      <ns0:c r="Z190" s="79" t="n">
        <ns0:v>102000000</ns0:v>
      </ns0:c>
      <ns0:c r="AA190" s="78" t="n">
        <ns0:v>23.32</ns0:v>
      </ns0:c>
      <ns0:c r="AB190" s="74" t="inlineStr">
        <ns0:is>
          <ns0:t>none — no cornerstone tranche</ns0:t>
        </ns0:is>
      </ns0:c>
      <ns0:c r="AC190" s="74" t="inlineStr">
        <ns0:is>
          <ns0:t>none</ns0:t>
        </ns0:is>
      </ns0:c>
      <ns0:c r="AD190" s="78" t="n">
        <ns0:v>15</ns0:v>
      </ns0:c>
      <ns0:c r="AE190" s="74" t="inlineStr">
        <ns0:is>
          <ns0:t>lapsed (no over-allocation)</ns0:t>
        </ns0:is>
      </ns0:c>
      <ns0:c r="AF190" s="85" t="n"/>
      <ns0:c r="AG190" s="74" t="inlineStr">
        <ns0:is>
          <ns0:t>Head &amp; Shoulders Securities Limited</ns0:t>
        </ns0:is>
      </ns0:c>
      <ns0:c r="AH190" s="74" t="inlineStr">
        <ns0:is>
          <ns0:t>Head &amp;</ns0:t>
        </ns0:is>
      </ns0:c>
      <ns0:c r="AI190" s="86" t="n">
        <ns0:v>-29.69</ns0:v>
      </ns0:c>
      <ns0:c r="AJ190" s="87" t="n">
        <ns0:v>-23.44</ns0:v>
      </ns0:c>
      <ns0:c r="AK190" s="87" t="n">
        <ns0:v>-2.64</ns0:v>
      </ns0:c>
      <ns0:c r="AL190" s="87" t="n">
        <ns0:v>-32.03</ns0:v>
      </ns0:c>
      <ns0:c r="AM190" s="87" t="n">
        <ns0:v>12.64</ns0:v>
      </ns0:c>
      <ns0:c r="AN190" s="89" t="n">
        <ns0:v>1.57</ns0:v>
      </ns0:c>
      <ns0:c r="AO190" s="78" t="n">
        <ns0:v>25.29</ns0:v>
      </ns0:c>
      <ns0:c r="AP190" s="87" t="n">
        <ns0:v>20.31</ns0:v>
      </ns0:c>
      <ns0:c r="AQ190" s="87" t="n">
        <ns0:v>26.56</ns0:v>
      </ns0:c>
      <ns0:c r="AR190" s="87" t="n">
        <ns0:v>-21.09</ns0:v>
      </ns0:c>
      <ns0:c r="AS190" s="87" t="n">
        <ns0:v>57.14</ns0:v>
      </ns0:c>
      <ns0:c r="AT190" s="87" t="n">
        <ns0:v>65.31</ns0:v>
      </ns0:c>
      <ns0:c r="AU190" s="87" t="n">
        <ns0:v>3.07</ns0:v>
      </ns0:c>
      <ns0:c r="AV190" s="87" t="n">
        <ns0:v>20.66</ns0:v>
      </ns0:c>
      <ns0:c r="AW190" s="87" t="n">
        <ns0:v>30.9</ns0:v>
      </ns0:c>
      <ns0:c r="AX190" s="87" t="n">
        <ns0:v>-21.01</ns0:v>
      </ns0:c>
      <ns0:c r="AY190" s="87" t="n">
        <ns0:v>67.05</ns0:v>
      </ns0:c>
      <ns0:c r="AZ190" s="87" t="n">
        <ns0:v>-4.34</ns0:v>
      </ns0:c>
      <ns0:c r="BA190" s="87" t="n">
        <ns0:v>-1.74</ns0:v>
      </ns0:c>
      <ns0:c r="BB190" s="74" t="inlineStr">
        <ns0:is>
          <ns0:t>Hang Seng Commerce &amp; Industry sub-index</ns0:t>
        </ns0:is>
      </ns0:c>
      <ns0:c r="BC190" s="87" t="n">
        <ns0:v>4118.75</ns0:v>
      </ns0:c>
      <ns0:c r="BD190" s="75" t="n">
        <ns0:v>46297</ns0:v>
      </ns0:c>
      <ns0:c r="BE190" s="76" t="n">
        <ns0:v>240.5</ns0:v>
      </ns0:c>
      <ns0:c r="BF190" s="79" t="n">
        <ns0:v>28.8</ns0:v>
      </ns0:c>
      <ns0:c r="BG190" s="74" t="inlineStr">
        <ns0:is>
          <ns0:t>Y</ns0:t>
        </ns0:is>
      </ns0:c>
      <ns0:c r="BH190" s="89" t="n">
        <ns0:v>19.4</ns0:v>
      </ns0:c>
      <ns0:c r="BI190" s="88" t="n"/>
      <ns0:c r="BJ190" s="88" t="n"/>
      <ns0:c r="BK190" s="89" t="n">
        <ns0:v>2.3</ns0:v>
      </ns0:c>
      <ns0:c r="BL190" s="90">
        <ns0:f>IFERROR(IF('BBG Verify'!S190="","Awaiting Bloomberg",'BBG Verify'!S190),"Awaiting Bloomberg")</ns0:f>
        <ns0:v/>
      </ns0:c>
      <ns0:c r="BM190" s="91" t="inlineStr">
        <ns0:is>
          <ns0:t>N</ns0:t>
        </ns0:is>
      </ns0:c>
      <ns0:c r="BN190" s="92">
        <ns0:f>IFERROR(IF('BBG Verify'!K190="","Awaiting Bloomberg",'BBG Verify'!K190),"Awaiting Bloomberg")</ns0:f>
        <ns0:v/>
      </ns0:c>
      <ns0:c r="BO190" s="74" t="inlineStr">
        <ns0:is>
          <ns0:t>N/A</ns0:t>
        </ns0:is>
      </ns0:c>
      <ns0:c r="BP190" s="74" t="inlineStr">
        <ns0:is>
          <ns0:t>N/A</ns0:t>
        </ns0:is>
      </ns0:c>
      <ns0:c r="BQ190" s="74" t="inlineStr">
        <ns0:is>
          <ns0:t>N/A</ns0:t>
        </ns0:is>
      </ns0:c>
      <ns0:c r="BR190" s="74" t="inlineStr">
        <ns0:is>
          <ns0:t>N/A</ns0:t>
        </ns0:is>
      </ns0:c>
      <ns0:c r="BS190" s="74" t="inlineStr">
        <ns0:is>
          <ns0:t>N/A</ns0:t>
        </ns0:is>
      </ns0:c>
      <ns0:c r="BT190" s="74" t="inlineStr">
        <ns0:is>
          <ns0:t>N/A</ns0:t>
        </ns0:is>
      </ns0:c>
      <ns0:c r="BU190" s="91" t="inlineStr">
        <ns0:is>
          <ns0:t>Grande Capital Limited</ns0:t>
        </ns0:is>
      </ns0:c>
      <ns0:c r="BV190" s="74" t="inlineStr">
        <ns0:is>
          <ns0:t>Grande Capital Limited</ns0:t>
        </ns0:is>
      </ns0:c>
      <ns0:c r="BW190" s="74" t="inlineStr">
        <ns0:is>
          <ns0:t>Grande Capital Limited; Head &amp; Shoulders Securities Limited</ns0:t>
        </ns0:is>
      </ns0:c>
      <ns0:c r="BX190" s="74" t="inlineStr">
        <ns0:is>
          <ns0:t>Astrum Capital Management Limited; Beta International Securities Limited; CMBC Securities Company Limited; Eddid Securities and Futures Limited; Grande Capital Limited; Head &amp; Shoulders Securities Limited; Maxa Capital Limited</ns0:t>
        </ns0:is>
      </ns0:c>
      <ns0:c r="BY190" s="93">
        <ns0:f>HYPERLINK("https://www1.hkexnews.hk/listedco/listconews/sehk/2023/0425/2023042500029.pdf","prospectus")</ns0:f>
        <ns0:v/>
      </ns0:c>
      <ns0:c r="BZ190" s="93">
        <ns0:f>HYPERLINK("https://www1.hkexnews.hk/listedco/listconews/sehk/2023/0508/2023050800004.htm","allotment")</ns0:f>
        <ns0:v/>
      </ns0:c>
      <ns0:c r="CA190" s="93">
        <ns0:f>HYPERLINK("https://www1.hkexnews.hk/listedco/listconews/sehk/2023/0529/2023052900093.pdf","stabilisation")</ns0:f>
        <ns0:v/>
      </ns0:c>
      <ns0:c r="CB190" s="94" t="n"/>
      <ns0:c r="CC190" s="74" t="inlineStr">
        <ns0:is>
          <ns0:t>greenshoe: outcome published; expiry date not in the notice; sponsor: English name not in the filing; AAStocks 保薦人 shown; market cap: published listing cap used; the estimate from deal size / offer % of enlarged capital disagreed; cornerstone list: no cornerstone tranche</ns0:t>
        </ns0:is>
      </ns0:c>
    </ns0:row>
    <ns0:row r="191" ht="22" customHeight="1">
      <ns0:c r="A191" s="73" t="inlineStr">
        <ns0:is>
          <ns0:t>2486</ns0:t>
        </ns0:is>
      </ns0:c>
      <ns0:c r="B191" s="74" t="inlineStr">
        <ns0:is>
          <ns0:t>PLUS GP HOLDING</ns0:t>
        </ns0:is>
      </ns0:c>
      <ns0:c r="C191" s="74" t="inlineStr">
        <ns0:is>
          <ns0:t>普樂師集團控股</ns0:t>
        </ns0:is>
      </ns0:c>
      <ns0:c r="D191" s="74" t="inlineStr">
        <ns0:is>
          <ns0:t>Media &amp; telecom</ns0:t>
        </ns0:is>
      </ns0:c>
      <ns0:c r="E191" s="74" t="inlineStr">
        <ns0:is>
          <ns0:t>Media / advertising</ns0:t>
        </ns0:is>
      </ns0:c>
      <ns0:c r="F191" s="74" t="inlineStr">
        <ns0:is>
          <ns0:t>Advertising</ns0:t>
        </ns0:is>
      </ns0:c>
      <ns0:c r="G191" s="74" t="inlineStr">
        <ns0:is>
          <ns0:t>Standard</ns0:t>
        </ns0:is>
      </ns0:c>
      <ns0:c r="H191" s="75" t="n">
        <ns0:v>45057</ns0:v>
      </ns0:c>
      <ns0:c r="I191" s="76" t="n">
        <ns0:v>265</ns0:v>
      </ns0:c>
      <ns0:c r="J191" s="74" t="inlineStr">
        <ns0:is>
          <ns0:t>gross (price x shares)</ns0:t>
        </ns0:is>
      </ns0:c>
      <ns0:c r="K191" s="77" t="n">
        <ns0:v>10.6</ns0:v>
      </ns0:c>
      <ns0:c r="L191" s="77" t="n">
        <ns0:v>11.8</ns0:v>
      </ns0:c>
      <ns0:c r="M191" s="77" t="n">
        <ns0:v>10.6</ns0:v>
      </ns0:c>
      <ns0:c r="N191" s="74" t="inlineStr">
        <ns0:is>
          <ns0:t>N</ns0:t>
        </ns0:is>
      </ns0:c>
      <ns0:c r="O191" s="78" t="n">
        <ns0:v>89.8</ns0:v>
      </ns0:c>
      <ns0:c r="P191" s="78" t="n">
        <ns0:v>0</ns0:v>
      </ns0:c>
      <ns0:c r="Q191" s="79" t="n">
        <ns0:v>1192.1</ns0:v>
      </ns0:c>
      <ns0:c r="R191" s="74" t="inlineStr">
        <ns0:is>
          <ns0:t>prospectus:stated market capitalisation, rescaled to the offer price</ns0:t>
        </ns0:is>
      </ns0:c>
      <ns0:c r="S191" s="80" t="n">
        <ns0:v>2.2</ns0:v>
      </ns0:c>
      <ns0:c r="T191" s="81" t="n">
        <ns0:v>1.2</ns0:v>
      </ns0:c>
      <ns0:c r="U191" s="82" t="n">
        <ns0:v>0</ns0:v>
      </ns0:c>
      <ns0:c r="V191" s="83" t="n">
        <ns0:v>112</ns0:v>
      </ns0:c>
      <ns0:c r="W191" s="84" t="n"/>
      <ns0:c r="X191" s="85" t="n"/>
      <ns0:c r="Y191" s="79" t="n">
        <ns0:v>265</ns0:v>
      </ns0:c>
      <ns0:c r="Z191" s="79" t="n">
        <ns0:v>25000000</ns0:v>
      </ns0:c>
      <ns0:c r="AA191" s="78" t="n">
        <ns0:v>22.23</ns0:v>
      </ns0:c>
      <ns0:c r="AB191" s="74" t="inlineStr">
        <ns0:is>
          <ns0:t>none — no cornerstone tranche</ns0:t>
        </ns0:is>
      </ns0:c>
      <ns0:c r="AC191" s="74" t="inlineStr">
        <ns0:is>
          <ns0:t>none</ns0:t>
        </ns0:is>
      </ns0:c>
      <ns0:c r="AD191" s="78" t="n">
        <ns0:v>11.98</ns0:v>
      </ns0:c>
      <ns0:c r="AE191" s="74" t="inlineStr">
        <ns0:is>
          <ns0:t>lapsed</ns0:t>
        </ns0:is>
      </ns0:c>
      <ns0:c r="AF191" s="74" t="inlineStr">
        <ns0:is>
          <ns0:t>2023-06-03</ns0:t>
        </ns0:is>
      </ns0:c>
      <ns0:c r="AG191" s="74" t="inlineStr">
        <ns0:is>
          <ns0:t>Jefferies Hong Kong Limited</ns0:t>
        </ns0:is>
      </ns0:c>
      <ns0:c r="AH191" s="74" t="inlineStr">
        <ns0:is>
          <ns0:t>Jefferies</ns0:t>
        </ns0:is>
      </ns0:c>
      <ns0:c r="AI191" s="86" t="n">
        <ns0:v>-3.77</ns0:v>
      </ns0:c>
      <ns0:c r="AJ191" s="87" t="n">
        <ns0:v>-24.62</ns0:v>
      </ns0:c>
      <ns0:c r="AK191" s="87" t="n">
        <ns0:v>-0.09</ns0:v>
      </ns0:c>
      <ns0:c r="AL191" s="87" t="n">
        <ns0:v>-1.89</ns0:v>
      </ns0:c>
      <ns0:c r="AM191" s="87" t="n">
        <ns0:v>-23.17</ns0:v>
      </ns0:c>
      <ns0:c r="AN191" s="88" t="n"/>
      <ns0:c r="AO191" s="78" t="n">
        <ns0:v>34.62</ns0:v>
      </ns0:c>
      <ns0:c r="AP191" s="87" t="n">
        <ns0:v>-29.25</ns0:v>
      </ns0:c>
      <ns0:c r="AQ191" s="87" t="n">
        <ns0:v>-43.68</ns0:v>
      </ns0:c>
      <ns0:c r="AR191" s="87" t="n">
        <ns0:v>-50</ns0:v>
      </ns0:c>
      <ns0:c r="AS191" s="87" t="n">
        <ns0:v>-6.14</ns0:v>
      </ns0:c>
      <ns0:c r="AT191" s="87" t="n">
        <ns0:v>-25.29</ns0:v>
      </ns0:c>
      <ns0:c r="AU191" s="87" t="n">
        <ns0:v>-33.67</ns0:v>
      </ns0:c>
      <ns0:c r="AV191" s="87" t="n">
        <ns0:v>-29.07</ns0:v>
      </ns0:c>
      <ns0:c r="AW191" s="87" t="n">
        <ns0:v>-41.87</ns0:v>
      </ns0:c>
      <ns0:c r="AX191" s="87" t="n">
        <ns0:v>-46.52</ns0:v>
      </ns0:c>
      <ns0:c r="AY191" s="87" t="n">
        <ns0:v>-23.57</ns0:v>
      </ns0:c>
      <ns0:c r="AZ191" s="87" t="n">
        <ns0:v>-1.81</ns0:v>
      </ns0:c>
      <ns0:c r="BA191" s="87" t="n">
        <ns0:v>-1.72</ns0:v>
      </ns0:c>
      <ns0:c r="BB191" s="74" t="inlineStr">
        <ns0:is>
          <ns0:t>Hang Seng Index</ns0:t>
        </ns0:is>
      </ns0:c>
      <ns0:c r="BC191" s="87" t="n">
        <ns0:v>-63.68</ns0:v>
      </ns0:c>
      <ns0:c r="BD191" s="75" t="n">
        <ns0:v>46297</ns0:v>
      </ns0:c>
      <ns0:c r="BE191" s="76" t="n">
        <ns0:v>679.9</ns0:v>
      </ns0:c>
      <ns0:c r="BF191" s="79" t="n">
        <ns0:v>58</ns0:v>
      </ns0:c>
      <ns0:c r="BG191" s="74" t="inlineStr">
        <ns0:is>
          <ns0:t>Y</ns0:t>
        </ns0:is>
      </ns0:c>
      <ns0:c r="BH191" s="89" t="n">
        <ns0:v>20.6</ns0:v>
      </ns0:c>
      <ns0:c r="BI191" s="88" t="n"/>
      <ns0:c r="BJ191" s="89" t="n">
        <ns0:v>19.6</ns0:v>
      </ns0:c>
      <ns0:c r="BK191" s="89" t="n">
        <ns0:v>1.8</ns0:v>
      </ns0:c>
      <ns0:c r="BL191" s="90">
        <ns0:f>IFERROR(IF('BBG Verify'!S191="","Awaiting Bloomberg",'BBG Verify'!S191),"Awaiting Bloomberg")</ns0:f>
        <ns0:v/>
      </ns0:c>
      <ns0:c r="BM191" s="91" t="inlineStr">
        <ns0:is>
          <ns0:t>N</ns0:t>
        </ns0:is>
      </ns0:c>
      <ns0:c r="BN191" s="92">
        <ns0:f>IFERROR(IF('BBG Verify'!K191="","Awaiting Bloomberg",'BBG Verify'!K191),"Awaiting Bloomberg")</ns0:f>
        <ns0:v/>
      </ns0:c>
      <ns0:c r="BO191" s="74" t="inlineStr">
        <ns0:is>
          <ns0:t>N/A</ns0:t>
        </ns0:is>
      </ns0:c>
      <ns0:c r="BP191" s="74" t="inlineStr">
        <ns0:is>
          <ns0:t>N/A</ns0:t>
        </ns0:is>
      </ns0:c>
      <ns0:c r="BQ191" s="74" t="inlineStr">
        <ns0:is>
          <ns0:t>N/A</ns0:t>
        </ns0:is>
      </ns0:c>
      <ns0:c r="BR191" s="74" t="inlineStr">
        <ns0:is>
          <ns0:t>N/A</ns0:t>
        </ns0:is>
      </ns0:c>
      <ns0:c r="BS191" s="74" t="inlineStr">
        <ns0:is>
          <ns0:t>N/A</ns0:t>
        </ns0:is>
      </ns0:c>
      <ns0:c r="BT191" s="74" t="inlineStr">
        <ns0:is>
          <ns0:t>N/A</ns0:t>
        </ns0:is>
      </ns0:c>
      <ns0:c r="BU191" s="91" t="inlineStr">
        <ns0:is>
          <ns0:t>Jefferies Hong Kong Limited; Guotai Junan Capital Limited</ns0:t>
        </ns0:is>
      </ns0:c>
      <ns0:c r="BV191" s="74" t="inlineStr">
        <ns0:is>
          <ns0:t>Jefferies Hong Kong Limited; Guotai Junan Capital Limited</ns0:t>
        </ns0:is>
      </ns0:c>
      <ns0:c r="BW191" s="74" t="inlineStr">
        <ns0:is>
          <ns0:t>Jefferies Hong Kong Limited; Guotai Junan Securities (Hong Kong) Limited; CCB International Capital Limited; CMB Int ernational Capital Limited; ABCI Capital Limited; SPDB International Capital Limited</ns0:t>
        </ns0:is>
      </ns0:c>
      <ns0:c r="BX191" s="74" t="inlineStr">
        <ns0:is>
          <ns0: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ns0:t>
        </ns0:is>
      </ns0:c>
      <ns0:c r="BY191" s="93">
        <ns0:f>HYPERLINK("https://www1.hkexnews.hk/listedco/listconews/sehk/2023/0428/2023042800147.pdf","prospectus")</ns0:f>
        <ns0:v/>
      </ns0:c>
      <ns0:c r="BZ191" s="93">
        <ns0:f>HYPERLINK("https://www1.hkexnews.hk/listedco/listconews/sehk/2023/0510/2023051000024.htm","allotment")</ns0:f>
        <ns0:v/>
      </ns0:c>
      <ns0:c r="CA191" s="93">
        <ns0:f>HYPERLINK("https://www1.hkexnews.hk/listedco/listconews/sehk/2023/0604/2023060400005.pdf","stabilisation")</ns0:f>
        <ns0:v/>
      </ns0:c>
      <ns0:c r="CB191" s="94" t="n"/>
      <ns0:c r="CC191" s="74" t="inlineStr">
        <ns0:is>
          <ns0:t>market cap: prospectus cap HK$1,327m at HK$11.80, rescaled to HK$10.60; cornerstone list: no cornerstone tranche; allocation: allocation table not in this notice's format (older prose announcement); day-1 tape: volume on file; the retail multiple needs the final public split, which this notice does not state</ns0:t>
        </ns0:is>
      </ns0:c>
    </ns0:row>
    <ns0:row r="192" ht="22" customHeight="1">
      <ns0:c r="A192" s="73" t="inlineStr">
        <ns0:is>
          <ns0:t>9930</ns0:t>
        </ns0:is>
      </ns0:c>
      <ns0:c r="B192" s="74" t="inlineStr">
        <ns0:is>
          <ns0:t>HORIZON CD</ns0:t>
        </ns0:is>
      </ns0:c>
      <ns0:c r="C192" s="74" t="inlineStr">
        <ns0:is>
          <ns0:t>宏信建發</ns0:t>
        </ns0:is>
      </ns0:c>
      <ns0:c r="D192" s="74" t="inlineStr">
        <ns0:is>
          <ns0:t>Industrials</ns0:t>
        </ns0:is>
      </ns0:c>
      <ns0:c r="E192" s="74" t="inlineStr">
        <ns0:is>
          <ns0:t>Capital goods / machinery</ns0:t>
        </ns0:is>
      </ns0:c>
      <ns0:c r="F192" s="74" t="inlineStr">
        <ns0:is>
          <ns0:t>Construction &amp; Farm Machinery &amp; Heavy Trucks</ns0:t>
        </ns0:is>
      </ns0:c>
      <ns0:c r="G192" s="74" t="inlineStr">
        <ns0:is>
          <ns0:t>Standard</ns0:t>
        </ns0:is>
      </ns0:c>
      <ns0:c r="H192" s="75" t="n">
        <ns0:v>45071</ns0:v>
      </ns0:c>
      <ns0:c r="I192" s="76" t="n">
        <ns0:v>1648.4</ns0:v>
      </ns0:c>
      <ns0:c r="J192" s="74" t="inlineStr">
        <ns0:is>
          <ns0:t>gross (price x shares)</ns0:t>
        </ns0:is>
      </ns0:c>
      <ns0:c r="K192" s="77" t="n">
        <ns0:v>4.52</ns0:v>
      </ns0:c>
      <ns0:c r="L192" s="77" t="n">
        <ns0:v>4.8</ns0:v>
      </ns0:c>
      <ns0:c r="M192" s="77" t="n">
        <ns0:v>4.52</ns0:v>
      </ns0:c>
      <ns0:c r="N192" s="74" t="inlineStr">
        <ns0:is>
          <ns0:t>N</ns0:t>
        </ns0:is>
      </ns0:c>
      <ns0:c r="O192" s="78" t="n">
        <ns0:v>94.2</ns0:v>
      </ns0:c>
      <ns0:c r="P192" s="78" t="n">
        <ns0:v>0</ns0:v>
      </ns0:c>
      <ns0:c r="Q192" s="79" t="n">
        <ns0:v>12778.3</ns0:v>
      </ns0:c>
      <ns0:c r="R192" s="74" t="inlineStr">
        <ns0:is>
          <ns0:t>derived:deal size / offer % of enlarged capital</ns0:t>
        </ns0:is>
      </ns0:c>
      <ns0:c r="S192" s="80" t="n">
        <ns0:v>0.12</ns0:v>
      </ns0:c>
      <ns0:c r="T192" s="81" t="n">
        <ns0:v>1.47</ns0:v>
      </ns0:c>
      <ns0:c r="U192" s="82" t="n">
        <ns0:v>23.7</ns0:v>
      </ns0:c>
      <ns0:c r="V192" s="83" t="n">
        <ns0:v>122</ns0:v>
      </ns0:c>
      <ns0:c r="W192" s="78" t="n">
        <ns0:v>1.23</ns0:v>
      </ns0:c>
      <ns0:c r="X192" s="74" t="inlineStr">
        <ns0:is>
          <ns0:t>NO</ns0:t>
        </ns0:is>
      </ns0:c>
      <ns0:c r="Y192" s="79" t="n">
        <ns0:v>1257.73</ns0:v>
      </ns0:c>
      <ns0:c r="Z192" s="79" t="n">
        <ns0:v>278261522</ns0:v>
      </ns0:c>
      <ns0:c r="AA192" s="78" t="n">
        <ns0:v>9.84</ns0:v>
      </ns0:c>
      <ns0:c r="AB192" s="74" t="inlineStr">
        <ns0:is>
          <ns0:t>HK Dongbin Joint Victory Development Co. Limited; LGMG International Limited; Shanghai Gold Ring Enterprise Group Co., Ltd; Shanghai Putuo Science and Technology Investment Co., Ltd; Xinheng Holding Limited; Zhejiang Dingli Machinery Co., Ltd; Zoomlion International Trading (H.K.) Co., Limited</ns0:t>
        </ns0:is>
      </ns0:c>
      <ns0:c r="AC192" s="74" t="inlineStr">
        <ns0:is>
          <ns0:t>dongbin;lgmg;shanghai-gold;shanghai-putuo;xinheng;zhejiang;zoomlion</ns0:t>
        </ns0:is>
      </ns0:c>
      <ns0:c r="AD192" s="78" t="n">
        <ns0:v>5.52</ns0:v>
      </ns0:c>
      <ns0:c r="AE192" s="74" t="inlineStr">
        <ns0:is>
          <ns0:t>lapsed (no over-allocation)</ns0:t>
        </ns0:is>
      </ns0:c>
      <ns0:c r="AF192" s="85" t="n"/>
      <ns0:c r="AG192" s="74" t="inlineStr">
        <ns0:is>
          <ns0:t>Huatai Financial Holdings</ns0:t>
        </ns0:is>
      </ns0:c>
      <ns0:c r="AH192" s="74" t="inlineStr">
        <ns0:is>
          <ns0:t>Huatai</ns0:t>
        </ns0:is>
      </ns0:c>
      <ns0:c r="AI192" s="86" t="n">
        <ns0:v>-20.35</ns0:v>
      </ns0:c>
      <ns0:c r="AJ192" s="87" t="n">
        <ns0:v>-28.98</ns0:v>
      </ns0:c>
      <ns0:c r="AK192" s="87" t="n">
        <ns0:v>-2.33</ns0:v>
      </ns0:c>
      <ns0:c r="AL192" s="87" t="n">
        <ns0:v>-27.88</ns0:v>
      </ns0:c>
      <ns0:c r="AM192" s="87" t="n">
        <ns0:v>-1.53</ns0:v>
      </ns0:c>
      <ns0:c r="AN192" s="89" t="n">
        <ns0:v>0.79</ns0:v>
      </ns0:c>
      <ns0:c r="AO192" s="78" t="n">
        <ns0:v>18.71</ns0:v>
      </ns0:c>
      <ns0:c r="AP192" s="87" t="n">
        <ns0:v>-41.37</ns0:v>
      </ns0:c>
      <ns0:c r="AQ192" s="87" t="n">
        <ns0:v>-44.69</ns0:v>
      </ns0:c>
      <ns0:c r="AR192" s="87" t="n">
        <ns0:v>-36.95</ns0:v>
      </ns0:c>
      <ns0:c r="AS192" s="87" t="n">
        <ns0:v>-17.45</ns0:v>
      </ns0:c>
      <ns0:c r="AT192" s="87" t="n">
        <ns0:v>-22.12</ns0:v>
      </ns0:c>
      <ns0:c r="AU192" s="87" t="n">
        <ns0:v>-11.22</ns0:v>
      </ns0:c>
      <ns0:c r="AV192" s="87" t="n">
        <ns0:v>-40.72</ns0:v>
      </ns0:c>
      <ns0:c r="AW192" s="87" t="n">
        <ns0:v>-45.27</ns0:v>
      </ns0:c>
      <ns0:c r="AX192" s="87" t="n">
        <ns0:v>-35.49</ns0:v>
      </ns0:c>
      <ns0:c r="AY192" s="87" t="n">
        <ns0:v>-25.1</ns0:v>
      </ns0:c>
      <ns0:c r="AZ192" s="87" t="n">
        <ns0:v>0.58</ns0:v>
      </ns0:c>
      <ns0:c r="BA192" s="87" t="n">
        <ns0:v>2.98</ns0:v>
      </ns0:c>
      <ns0:c r="BB192" s="74" t="inlineStr">
        <ns0:is>
          <ns0:t>Hang Seng Commerce &amp; Industry sub-index</ns0:t>
        </ns0:is>
      </ns0:c>
      <ns0:c r="BC192" s="87" t="n">
        <ns0:v>-85.29000000000001</ns0:v>
      </ns0:c>
      <ns0:c r="BD192" s="75" t="n">
        <ns0:v>46297</ns0:v>
      </ns0:c>
      <ns0:c r="BE192" s="76" t="n">
        <ns0:v>8665.4</ns0:v>
      </ns0:c>
      <ns0:c r="BF192" s="79" t="n">
        <ns0:v>733.2</ns0:v>
      </ns0:c>
      <ns0:c r="BG192" s="74" t="inlineStr">
        <ns0:is>
          <ns0:t>Y</ns0:t>
        </ns0:is>
      </ns0:c>
      <ns0:c r="BH192" s="89" t="n">
        <ns0:v>17.4</ns0:v>
      </ns0:c>
      <ns0:c r="BI192" s="89" t="n">
        <ns0:v>12.4</ns0:v>
      </ns0:c>
      <ns0:c r="BJ192" s="89" t="n">
        <ns0:v>14.7</ns0:v>
      </ns0:c>
      <ns0:c r="BK192" s="89" t="n">
        <ns0:v>1.5</ns0:v>
      </ns0:c>
      <ns0:c r="BL192" s="90">
        <ns0:f>IFERROR(IF('BBG Verify'!S192="","Awaiting Bloomberg",'BBG Verify'!S192),"Awaiting Bloomberg")</ns0:f>
        <ns0:v/>
      </ns0:c>
      <ns0:c r="BM192" s="91" t="inlineStr">
        <ns0:is>
          <ns0:t>N</ns0:t>
        </ns0:is>
      </ns0:c>
      <ns0:c r="BN192" s="92">
        <ns0:f>IFERROR(IF('BBG Verify'!K192="","Awaiting Bloomberg",'BBG Verify'!K192),"Awaiting Bloomberg")</ns0:f>
        <ns0:v/>
      </ns0:c>
      <ns0:c r="BO192" s="74" t="inlineStr">
        <ns0:is>
          <ns0:t>N/A</ns0:t>
        </ns0:is>
      </ns0:c>
      <ns0:c r="BP192" s="74" t="inlineStr">
        <ns0:is>
          <ns0:t>N/A</ns0:t>
        </ns0:is>
      </ns0:c>
      <ns0:c r="BQ192" s="74" t="inlineStr">
        <ns0:is>
          <ns0:t>N/A</ns0:t>
        </ns0:is>
      </ns0:c>
      <ns0:c r="BR192" s="74" t="inlineStr">
        <ns0:is>
          <ns0:t>N/A</ns0:t>
        </ns0:is>
      </ns0:c>
      <ns0:c r="BS192" s="74" t="inlineStr">
        <ns0:is>
          <ns0:t>N/A</ns0:t>
        </ns0:is>
      </ns0:c>
      <ns0:c r="BT192" s="74" t="inlineStr">
        <ns0:is>
          <ns0:t>N/A</ns0:t>
        </ns0:is>
      </ns0:c>
      <ns0:c r="BU192" s="91" t="inlineStr">
        <ns0:is>
          <ns0:t>Huatai Financial Holdings (Hong Kong) Limited; Citigroup Global Markets Asia Limited; CMB International Capital Limited; DBS Asia Capital Limited</ns0:t>
        </ns0:is>
      </ns0:c>
      <ns0:c r="BV192" s="74" t="inlineStr">
        <ns0:is>
          <ns0:t>Huatai Financial Holdings (Hong Kong) Limited; CMB International Capital Limited; Citigroup Global Markets Asia Limited; DBS Asia Capital Limited</ns0:t>
        </ns0:is>
      </ns0:c>
      <ns0:c r="BW192" s="74" t="inlineStr">
        <ns0:is>
          <ns0: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ns0:t>
        </ns0:is>
      </ns0:c>
      <ns0:c r="BX192" s="74" t="inlineStr">
        <ns0:is>
          <ns0: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ns0:t>
        </ns0:is>
      </ns0:c>
      <ns0:c r="BY192" s="93">
        <ns0:f>HYPERLINK("https://www1.hkexnews.hk/listedco/listconews/sehk/2023/0512/2023051200007.pdf","prospectus")</ns0:f>
        <ns0:v/>
      </ns0:c>
      <ns0:c r="BZ192" s="93">
        <ns0:f>HYPERLINK("https://www1.hkexnews.hk/listedco/listconews/sehk/2023/0524/2023052400046.htm","allotment")</ns0:f>
        <ns0:v/>
      </ns0:c>
      <ns0:c r="CA192" s="93">
        <ns0:f>HYPERLINK("https://www1.hkexnews.hk/listedco/listconews/sehk/2023/0619/2023061900189.pdf","stabilisation")</ns0:f>
        <ns0:v/>
      </ns0:c>
      <ns0:c r="CB192" s="94" t="n"/>
      <ns0:c r="CC192" s="74" t="inlineStr">
        <ns0:is>
          <ns0:t>greenshoe: outcome published; expiry date not in the notice; cornerstone: % from the prospectus; AAStocks table includes non-cornerstone orders</ns0:t>
        </ns0:is>
      </ns0:c>
    </ns0:row>
    <ns0:row r="193" ht="22" customHeight="1">
      <ns0:c r="A193" s="73" t="inlineStr">
        <ns0:is>
          <ns0:t>2416</ns0:t>
        </ns0:is>
      </ns0:c>
      <ns0:c r="B193" s="74" t="inlineStr">
        <ns0:is>
          <ns0:t>EDIANYUN</ns0:t>
        </ns0:is>
      </ns0:c>
      <ns0:c r="C193" s="74" t="inlineStr">
        <ns0:is>
          <ns0:t>易點雲</ns0:t>
        </ns0:is>
      </ns0:c>
      <ns0:c r="D193" s="74" t="inlineStr">
        <ns0:is>
          <ns0:t>Technology</ns0:t>
        </ns0:is>
      </ns0:c>
      <ns0:c r="E193" s="74" t="inlineStr">
        <ns0:is>
          <ns0:t>Software &amp; AI</ns0:t>
        </ns0:is>
      </ns0:c>
      <ns0:c r="F193" s="74" t="inlineStr">
        <ns0:is>
          <ns0:t>IT Consulting &amp; Other Services</ns0:t>
        </ns0:is>
      </ns0:c>
      <ns0:c r="G193" s="74" t="inlineStr">
        <ns0:is>
          <ns0:t>Standard</ns0:t>
        </ns0:is>
      </ns0:c>
      <ns0:c r="H193" s="75" t="n">
        <ns0:v>45071</ns0:v>
      </ns0:c>
      <ns0:c r="I193" s="76" t="n">
        <ns0:v>596.9</ns0:v>
      </ns0:c>
      <ns0:c r="J193" s="74" t="inlineStr">
        <ns0:is>
          <ns0:t>gross (price x shares)</ns0:t>
        </ns0:is>
      </ns0:c>
      <ns0:c r="K193" s="77" t="n">
        <ns0:v>10</ns0:v>
      </ns0:c>
      <ns0:c r="L193" s="77" t="n">
        <ns0:v>12</ns0:v>
      </ns0:c>
      <ns0:c r="M193" s="77" t="n">
        <ns0:v>10.19</ns0:v>
      </ns0:c>
      <ns0:c r="N193" s="74" t="inlineStr">
        <ns0:is>
          <ns0:t>N</ns0:t>
        </ns0:is>
      </ns0:c>
      <ns0:c r="O193" s="78" t="n">
        <ns0:v>84.90000000000001</ns0:v>
      </ns0:c>
      <ns0:c r="P193" s="78" t="n">
        <ns0:v>9.5</ns0:v>
      </ns0:c>
      <ns0:c r="Q193" s="79" t="n">
        <ns0:v>6717.9</ns0:v>
      </ns0:c>
      <ns0:c r="R193" s="74" t="inlineStr">
        <ns0:is>
          <ns0:t>aastocks:上市市值 at the struck price</ns0:t>
        </ns0:is>
      </ns0:c>
      <ns0:c r="S193" s="80" t="n">
        <ns0:v>0.35</ns0:v>
      </ns0:c>
      <ns0:c r="T193" s="81" t="n">
        <ns0:v>1.2</ns0:v>
      </ns0:c>
      <ns0:c r="U193" s="82" t="n">
        <ns0:v>26.76</ns0:v>
      </ns0:c>
      <ns0:c r="V193" s="83" t="n">
        <ns0:v>102</ns0:v>
      </ns0:c>
      <ns0:c r="W193" s="84" t="n"/>
      <ns0:c r="X193" s="85" t="n"/>
      <ns0:c r="Y193" s="79" t="n">
        <ns0:v>437.17</ns0:v>
      </ns0:c>
      <ns0:c r="Z193" s="79" t="n">
        <ns0:v>42900330</ns0:v>
      </ns0:c>
      <ns0:c r="AA193" s="78" t="n">
        <ns0:v>6.51</ns0:v>
      </ns0:c>
      <ns0:c r="AB193" s="74" t="inlineStr">
        <ns0:is>
          <ns0:t>Chengdu High-tech Orinno Youchan Equity Investment Fund Partnership (LP)</ns0:t>
        </ns0:is>
      </ns0:c>
      <ns0:c r="AC193" s="74" t="inlineStr">
        <ns0:is>
          <ns0:t>chengdu</ns0:t>
        </ns0:is>
      </ns0:c>
      <ns0:c r="AD193" s="78" t="n">
        <ns0:v>5.34</ns0:v>
      </ns0:c>
      <ns0:c r="AE193" s="74" t="inlineStr">
        <ns0:is>
          <ns0:t>lapsed (no over-allocation)</ns0:t>
        </ns0:is>
      </ns0:c>
      <ns0:c r="AF193" s="74" t="inlineStr">
        <ns0:is>
          <ns0:t>2023-06-17</ns0:t>
        </ns0:is>
      </ns0:c>
      <ns0:c r="AG193" s="74" t="inlineStr">
        <ns0:is>
          <ns0:t>China International Capital Corporation Hong Kong Securities Limited</ns0:t>
        </ns0:is>
      </ns0:c>
      <ns0:c r="AH193" s="74" t="inlineStr">
        <ns0:is>
          <ns0:t>China International</ns0:t>
        </ns0:is>
      </ns0:c>
      <ns0:c r="AI193" s="86" t="n">
        <ns0:v>-4.02</ns0:v>
      </ns0:c>
      <ns0:c r="AJ193" s="87" t="n">
        <ns0:v>-3.04</ns0:v>
      </ns0:c>
      <ns0:c r="AK193" s="87" t="n">
        <ns0:v>-1.78</ns0:v>
      </ns0:c>
      <ns0:c r="AL193" s="87" t="n">
        <ns0:v>-7.16</ns0:v>
      </ns0:c>
      <ns0:c r="AM193" s="87" t="n">
        <ns0:v>4.44</ns0:v>
      </ns0:c>
      <ns0:c r="AN193" s="88" t="n"/>
      <ns0:c r="AO193" s="78" t="n">
        <ns0:v>8.67</ns0:v>
      </ns0:c>
      <ns0:c r="AP193" s="87" t="n">
        <ns0:v>7.95</ns0:v>
      </ns0:c>
      <ns0:c r="AQ193" s="87" t="n">
        <ns0:v>2.65</ns0:v>
      </ns0:c>
      <ns0:c r="AR193" s="87" t="n">
        <ns0:v>-36.11</ns0:v>
      </ns0:c>
      <ns0:c r="AS193" s="87" t="n">
        <ns0:v>11.33</ns0:v>
      </ns0:c>
      <ns0:c r="AT193" s="87" t="n">
        <ns0:v>5.87</ns0:v>
      </ns0:c>
      <ns0:c r="AU193" s="87" t="n">
        <ns0:v>-34.11</ns0:v>
      </ns0:c>
      <ns0:c r="AV193" s="87" t="n">
        <ns0:v>6.38</ns0:v>
      </ns0:c>
      <ns0:c r="AW193" s="87" t="n">
        <ns0:v>-2.7</ns0:v>
      </ns0:c>
      <ns0:c r="AX193" s="87" t="n">
        <ns0:v>-44.05</ns0:v>
      </ns0:c>
      <ns0:c r="AY193" s="87" t="n">
        <ns0:v>-1.39</ns0:v>
      </ns0:c>
      <ns0:c r="AZ193" s="87" t="n">
        <ns0:v>5.35</ns0:v>
      </ns0:c>
      <ns0:c r="BA193" s="87" t="n">
        <ns0:v>7.26</ns0:v>
      </ns0:c>
      <ns0:c r="BB193" s="74" t="inlineStr">
        <ns0:is>
          <ns0:t>HSTECH (Hang Seng TECH ETF)</ns0:t>
        </ns0:is>
      </ns0:c>
      <ns0:c r="BC193" s="87" t="n">
        <ns0:v>-71.84</ns0:v>
      </ns0:c>
      <ns0:c r="BD193" s="75" t="n">
        <ns0:v>46297</ns0:v>
      </ns0:c>
      <ns0:c r="BE193" s="76" t="n">
        <ns0:v>1509.1</ns0:v>
      </ns0:c>
      <ns0:c r="BF193" s="79" t="n">
        <ns0:v>-672.8</ns0:v>
      </ns0:c>
      <ns0:c r="BG193" s="74" t="inlineStr">
        <ns0:is>
          <ns0:t>N</ns0:t>
        </ns0:is>
      </ns0:c>
      <ns0:c r="BH193" s="74" t="inlineStr">
        <ns0:is>
          <ns0:t>n/m</ns0:t>
        </ns0:is>
      </ns0:c>
      <ns0:c r="BI193" s="88" t="n"/>
      <ns0:c r="BJ193" s="89" t="n">
        <ns0:v>12.7</ns0:v>
      </ns0:c>
      <ns0:c r="BK193" s="89" t="n">
        <ns0:v>4.5</ns0:v>
      </ns0:c>
      <ns0:c r="BL193" s="90">
        <ns0:f>IFERROR(IF('BBG Verify'!S193="","Awaiting Bloomberg",'BBG Verify'!S193),"Awaiting Bloomberg")</ns0:f>
        <ns0:v/>
      </ns0:c>
      <ns0:c r="BM193" s="91" t="inlineStr">
        <ns0:is>
          <ns0:t>N</ns0:t>
        </ns0:is>
      </ns0:c>
      <ns0:c r="BN193" s="92">
        <ns0:f>IFERROR(IF('BBG Verify'!K193="","Awaiting Bloomberg",'BBG Verify'!K193),"Awaiting Bloomberg")</ns0:f>
        <ns0:v/>
      </ns0:c>
      <ns0:c r="BO193" s="74" t="inlineStr">
        <ns0:is>
          <ns0:t>N/A</ns0:t>
        </ns0:is>
      </ns0:c>
      <ns0:c r="BP193" s="74" t="inlineStr">
        <ns0:is>
          <ns0:t>N/A</ns0:t>
        </ns0:is>
      </ns0:c>
      <ns0:c r="BQ193" s="74" t="inlineStr">
        <ns0:is>
          <ns0:t>N/A</ns0:t>
        </ns0:is>
      </ns0:c>
      <ns0:c r="BR193" s="74" t="inlineStr">
        <ns0:is>
          <ns0:t>N/A</ns0:t>
        </ns0:is>
      </ns0:c>
      <ns0:c r="BS193" s="74" t="inlineStr">
        <ns0:is>
          <ns0:t>N/A</ns0:t>
        </ns0:is>
      </ns0:c>
      <ns0:c r="BT193" s="74" t="inlineStr">
        <ns0:is>
          <ns0:t>N/A</ns0:t>
        </ns0:is>
      </ns0:c>
      <ns0:c r="BU193" s="91" t="inlineStr">
        <ns0:is>
          <ns0:t>China International Capital Corporation Hong Kong Securities Limited</ns0:t>
        </ns0:is>
      </ns0:c>
      <ns0:c r="BV193" s="74" t="inlineStr">
        <ns0:is>
          <ns0:t>China International Capital Corporation Hong Kong Securities Limited</ns0:t>
        </ns0:is>
      </ns0:c>
      <ns0:c r="BW193" s="74" t="inlineStr">
        <ns0:is>
          <ns0:t>China International Capital Corporation Hong Kong Securities Limited; Credit Suisse (Hong Kong) Limited; CLSA Limited</ns0:t>
        </ns0:is>
      </ns0:c>
      <ns0:c r="BX193" s="74" t="inlineStr">
        <ns0:is>
          <ns0:t>China International Capital Corporation Hong Kong Securities Limited; CLSA Limited; Credit Suisse (Hong Kong) Limited; Dongxing Securities (Hong Kong) Company Limited; Futu Securities International (Hong Kong) Limited; Tiger Brokers (HK) Global Limited; Valuable Capital Limited</ns0:t>
        </ns0:is>
      </ns0:c>
      <ns0:c r="BY193" s="93">
        <ns0:f>HYPERLINK("https://www1.hkexnews.hk/listedco/listconews/sehk/2023/0515/2023051500005.pdf","prospectus")</ns0:f>
        <ns0:v/>
      </ns0:c>
      <ns0:c r="BZ193" s="93">
        <ns0:f>HYPERLINK("https://www1.hkexnews.hk/listedco/listconews/sehk/2023/0524/2023052400060.htm","allotment")</ns0:f>
        <ns0:v/>
      </ns0:c>
      <ns0:c r="CA193" s="93">
        <ns0:f>HYPERLINK("https://www1.hkexnews.hk/listedco/listconews/sehk/2023/0618/2023061800019.pdf","stabilisation")</ns0:f>
        <ns0:v/>
      </ns0:c>
      <ns0:c r="CB193" s="94" t="n"/>
      <ns0:c r="CC193" s="74" t="inlineStr">
        <ns0:is>
          <ns0:t>P/E: loss-making at IPO, use P/S; sponsor: English name not in the filing; AAStocks 保薦人 shown; market cap: published listing cap used; the estimate from stated market capitalisation, rescaled to the offer price disagreed; allocation: allocation table not in this notice's format (older prose announcement); day-1 tape: volume on file; the retail multiple needs the final public split, which this notice does not state</ns0:t>
        </ns0:is>
      </ns0:c>
    </ns0:row>
    <ns0:row r="194" ht="22" customHeight="1">
      <ns0:c r="A194" s="73" t="inlineStr">
        <ns0:is>
          <ns0:t>2487</ns0:t>
        </ns0:is>
      </ns0:c>
      <ns0:c r="B194" s="74" t="inlineStr">
        <ns0:is>
          <ns0:t>CUTIA-B</ns0:t>
        </ns0:is>
      </ns0:c>
      <ns0:c r="C194" s="74" t="inlineStr">
        <ns0:is>
          <ns0:t>科笛－Ｂ</ns0:t>
        </ns0:is>
      </ns0:c>
      <ns0:c r="D194" s="74" t="inlineStr">
        <ns0:is>
          <ns0:t>Healthcare</ns0:t>
        </ns0:is>
      </ns0:c>
      <ns0:c r="E194" s="74" t="inlineStr">
        <ns0:is>
          <ns0:t>Biotech pre-revenue (18A)</ns0:t>
        </ns0:is>
      </ns0:c>
      <ns0:c r="F194" s="74" t="inlineStr">
        <ns0:is>
          <ns0:t>Biotechnology - Pharmaceuticals</ns0:t>
        </ns0:is>
      </ns0:c>
      <ns0:c r="G194" s="74" t="inlineStr">
        <ns0:is>
          <ns0:t>18A</ns0:t>
        </ns0:is>
      </ns0:c>
      <ns0:c r="H194" s="75" t="n">
        <ns0:v>45089</ns0:v>
      </ns0:c>
      <ns0:c r="I194" s="76" t="n">
        <ns0:v>465</ns0:v>
      </ns0:c>
      <ns0:c r="J194" s="74" t="inlineStr">
        <ns0:is>
          <ns0:t>gross (price x shares)</ns0:t>
        </ns0:is>
      </ns0:c>
      <ns0:c r="K194" s="95" t="n"/>
      <ns0:c r="L194" s="77" t="n">
        <ns0:v>21.85</ns0:v>
      </ns0:c>
      <ns0:c r="M194" s="77" t="n">
        <ns0:v>21.85</ns0:v>
      </ns0:c>
      <ns0:c r="N194" s="74" t="inlineStr">
        <ns0:is>
          <ns0:t>Y</ns0:t>
        </ns0:is>
      </ns0:c>
      <ns0:c r="O194" s="78" t="n">
        <ns0:v>100</ns0:v>
      </ns0:c>
      <ns0:c r="P194" s="84" t="n"/>
      <ns0:c r="Q194" s="79" t="n">
        <ns0:v>6278</ns0:v>
      </ns0:c>
      <ns0:c r="R194" s="74" t="inlineStr">
        <ns0:is>
          <ns0:t>prospectus:stated market capitalisation</ns0:t>
        </ns0:is>
      </ns0:c>
      <ns0:c r="S194" s="80" t="n">
        <ns0:v>1.41</ns0:v>
      </ns0:c>
      <ns0:c r="T194" s="81" t="n">
        <ns0:v>1.07</ns0:v>
      </ns0:c>
      <ns0:c r="U194" s="82" t="n">
        <ns0:v>38.9</ns0:v>
      </ns0:c>
      <ns0:c r="V194" s="83" t="n">
        <ns0:v>112</ns0:v>
      </ns0:c>
      <ns0:c r="W194" s="84" t="n"/>
      <ns0:c r="X194" s="85" t="n"/>
      <ns0:c r="Y194" s="79" t="n">
        <ns0:v>284.12</ns0:v>
      </ns0:c>
      <ns0:c r="Z194" s="79" t="n">
        <ns0:v>13003180</ns0:v>
      </ns0:c>
      <ns0:c r="AA194" s="78" t="n">
        <ns0:v>4.53</ns0:v>
      </ns0:c>
      <ns0:c r="AB194" s="74" t="inlineStr">
        <ns0:is>
          <ns0:t>Harvest Great Bay Investment SP; So-Young Hong Kong Limited; Wuxi Xinhongdi Venture Capital Partnership (Limited Partnership)</ns0:t>
        </ns0:is>
      </ns0:c>
      <ns0:c r="AC194" s="74" t="inlineStr">
        <ns0:is>
          <ns0:t>harvest;so;wuxi</ns0:t>
        </ns0:is>
      </ns0:c>
      <ns0:c r="AD194" s="78" t="n">
        <ns0:v>18.67</ns0:v>
      </ns0:c>
      <ns0:c r="AE194" s="74" t="inlineStr">
        <ns0:is>
          <ns0:t>lapsed</ns0:t>
        </ns0:is>
      </ns0:c>
      <ns0:c r="AF194" s="74" t="inlineStr">
        <ns0:is>
          <ns0:t>2023-07-05</ns0:t>
        </ns0:is>
      </ns0:c>
      <ns0:c r="AG194" s="74" t="inlineStr">
        <ns0:is>
          <ns0:t>China International Capital Corporation Hong Kong Securities Limited</ns0:t>
        </ns0:is>
      </ns0:c>
      <ns0:c r="AH194" s="74" t="inlineStr">
        <ns0:is>
          <ns0:t>China International</ns0:t>
        </ns0:is>
      </ns0:c>
      <ns0:c r="AI194" s="86" t="n">
        <ns0:v>-1.6</ns0:v>
      </ns0:c>
      <ns0:c r="AJ194" s="87" t="n">
        <ns0:v>0.46</ns0:v>
      </ns0:c>
      <ns0:c r="AK194" s="87" t="n">
        <ns0:v>-1.06</ns0:v>
      </ns0:c>
      <ns0:c r="AL194" s="87" t="n">
        <ns0:v>-0.23</ns0:v>
      </ns0:c>
      <ns0:c r="AM194" s="87" t="n">
        <ns0:v>0.6899999999999999</ns0:v>
      </ns0:c>
      <ns0:c r="AN194" s="88" t="n"/>
      <ns0:c r="AO194" s="78" t="n">
        <ns0:v>13.99</ns0:v>
      </ns0:c>
      <ns0:c r="AP194" s="87" t="n">
        <ns0:v>38.67</ns0:v>
      </ns0:c>
      <ns0:c r="AQ194" s="87" t="n">
        <ns0:v>-1.6</ns0:v>
      </ns0:c>
      <ns0:c r="AR194" s="87" t="n">
        <ns0:v>1.37</ns0:v>
      </ns0:c>
      <ns0:c r="AS194" s="87" t="n">
        <ns0:v>38.04</ns0:v>
      </ns0:c>
      <ns0:c r="AT194" s="87" t="n">
        <ns0:v>-2.05</ns0:v>
      </ns0:c>
      <ns0:c r="AU194" s="87" t="n">
        <ns0:v>0.91</ns0:v>
      </ns0:c>
      <ns0:c r="AV194" s="87" t="n">
        <ns0:v>36.95</ns0:v>
      </ns0:c>
      <ns0:c r="AW194" s="87" t="n">
        <ns0:v>2.24</ns0:v>
      </ns0:c>
      <ns0:c r="AX194" s="87" t="n">
        <ns0:v>7.31</ns0:v>
      </ns0:c>
      <ns0:c r="AY194" s="87" t="n">
        <ns0:v>0.76</ns0:v>
      </ns0:c>
      <ns0:c r="AZ194" s="87" t="n">
        <ns0:v>-3.84</ns0:v>
      </ns0:c>
      <ns0:c r="BA194" s="87" t="n">
        <ns0:v>-2.81</ns0:v>
      </ns0:c>
      <ns0:c r="BB194" s="74" t="inlineStr">
        <ns0:is>
          <ns0:t>China Biotech ETF (HS biotech proxy)</ns0:t>
        </ns0:is>
      </ns0:c>
      <ns0:c r="BC194" s="87" t="n">
        <ns0:v>-95.29000000000001</ns0:v>
      </ns0:c>
      <ns0:c r="BD194" s="75" t="n">
        <ns0:v>46297</ns0:v>
      </ns0:c>
      <ns0:c r="BE194" s="76" t="n">
        <ns0:v>12.5</ns0:v>
      </ns0:c>
      <ns0:c r="BF194" s="79" t="n">
        <ns0:v>-611.4</ns0:v>
      </ns0:c>
      <ns0:c r="BG194" s="74" t="inlineStr">
        <ns0:is>
          <ns0:t>N</ns0:t>
        </ns0:is>
      </ns0:c>
      <ns0:c r="BH194" s="74" t="inlineStr">
        <ns0:is>
          <ns0:t>n/m</ns0:t>
        </ns0:is>
      </ns0:c>
      <ns0:c r="BI194" s="88" t="n"/>
      <ns0:c r="BJ194" s="88" t="n"/>
      <ns0:c r="BK194" s="89" t="n">
        <ns0:v>502.2</ns0:v>
      </ns0:c>
      <ns0:c r="BL194" s="90">
        <ns0:f>IFERROR(IF('BBG Verify'!S194="","Awaiting Bloomberg",'BBG Verify'!S194),"Awaiting Bloomberg")</ns0:f>
        <ns0:v/>
      </ns0:c>
      <ns0:c r="BM194" s="91" t="inlineStr">
        <ns0:is>
          <ns0:t>N</ns0:t>
        </ns0:is>
      </ns0:c>
      <ns0:c r="BN194" s="92">
        <ns0:f>IFERROR(IF('BBG Verify'!K194="","Awaiting Bloomberg",'BBG Verify'!K194),"Awaiting Bloomberg")</ns0:f>
        <ns0:v/>
      </ns0:c>
      <ns0:c r="BO194" s="74" t="inlineStr">
        <ns0:is>
          <ns0:t>N/A</ns0:t>
        </ns0:is>
      </ns0:c>
      <ns0:c r="BP194" s="74" t="inlineStr">
        <ns0:is>
          <ns0:t>N/A</ns0:t>
        </ns0:is>
      </ns0:c>
      <ns0:c r="BQ194" s="74" t="inlineStr">
        <ns0:is>
          <ns0:t>N/A</ns0:t>
        </ns0:is>
      </ns0:c>
      <ns0:c r="BR194" s="74" t="inlineStr">
        <ns0:is>
          <ns0:t>N/A</ns0:t>
        </ns0:is>
      </ns0:c>
      <ns0:c r="BS194" s="74" t="inlineStr">
        <ns0:is>
          <ns0:t>N/A</ns0:t>
        </ns0:is>
      </ns0:c>
      <ns0:c r="BT194" s="74" t="inlineStr">
        <ns0:is>
          <ns0:t>N/A</ns0:t>
        </ns0:is>
      </ns0:c>
      <ns0:c r="BU194" s="91" t="inlineStr">
        <ns0:is>
          <ns0:t>China International Capital Corporation Hong Kong Securities Limited</ns0:t>
        </ns0:is>
      </ns0:c>
      <ns0:c r="BV194" s="74" t="inlineStr">
        <ns0:is>
          <ns0:t>China International Capital Corporation Hong Kong Securities Limited</ns0:t>
        </ns0:is>
      </ns0:c>
      <ns0:c r="BW194" s="74" t="inlineStr">
        <ns0:is>
          <ns0:t>China International Capital Corporation Hong Kong Securities Limited; UOB Kay Hian (Hong Kong) Limited; Futu Securities International (Hong Kong) Limited; Valuable Capital Limited</ns0:t>
        </ns0:is>
      </ns0:c>
      <ns0:c r="BX194" s="74" t="inlineStr">
        <ns0:is>
          <ns0: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ns0:t>
        </ns0:is>
      </ns0:c>
      <ns0:c r="BY194" s="93">
        <ns0:f>HYPERLINK("https://www1.hkexnews.hk/listedco/listconews/sehk/2023/0531/2023053100174.htm","prospectus")</ns0:f>
        <ns0:v/>
      </ns0:c>
      <ns0:c r="BZ194" s="93">
        <ns0:f>HYPERLINK("https://www1.hkexnews.hk/listedco/listconews/sehk/2023/0609/2023060900016.htm","allotment")</ns0:f>
        <ns0:v/>
      </ns0:c>
      <ns0:c r="CA194" s="93">
        <ns0:f>HYPERLINK("https://www1.hkexnews.hk/listedco/listconews/sehk/2023/0705/2023070500577.pdf","stabilisation")</ns0:f>
        <ns0:v/>
      </ns0:c>
      <ns0:c r="CB194" s="94" t="n"/>
      <ns0:c r="CC194" s="74" t="inlineStr">
        <ns0:is>
          <ns0:t>P/E: loss-making at IPO, use P/S; price range: fixed-price offering (no indicative range); range low: maximum offer price only, no floor published; cornerstone %: upper bound: AAStocks institutional total / deal size; P/S: 502x on HK$12.5m revenue, effectively pre-revenue; not comparable; deal size: stated gross HK$23.9m rejected, below the net proceeds of HK$392.7m; allocation: allocation table not in this notice's format (older prose announcement); day-1 tape: volume on file; the retail multiple needs the final public split, which this notice does not state</ns0:t>
        </ns0:is>
      </ns0:c>
    </ns0:row>
    <ns0:row r="195" ht="22" customHeight="1">
      <ns0:c r="A195" s="73" t="inlineStr">
        <ns0:is>
          <ns0:t>9885</ns0:t>
        </ns0:is>
      </ns0:c>
      <ns0:c r="B195" s="74" t="inlineStr">
        <ns0:is>
          <ns0:t>YSB</ns0:t>
        </ns0:is>
      </ns0:c>
      <ns0:c r="C195" s="74" t="inlineStr">
        <ns0:is>
          <ns0:t>藥師幫</ns0:t>
        </ns0:is>
      </ns0:c>
      <ns0:c r="D195" s="74" t="inlineStr">
        <ns0:is>
          <ns0:t>Healthcare</ns0:t>
        </ns0:is>
      </ns0:c>
      <ns0:c r="E195" s="74" t="inlineStr">
        <ns0:is>
          <ns0:t>Digital health</ns0:t>
        </ns0:is>
      </ns0:c>
      <ns0:c r="F195" s="74" t="inlineStr">
        <ns0:is>
          <ns0:t>Pharmaceuticals</ns0:t>
        </ns0:is>
      </ns0:c>
      <ns0:c r="G195" s="74" t="inlineStr">
        <ns0:is>
          <ns0:t>Standard</ns0:t>
        </ns0:is>
      </ns0:c>
      <ns0:c r="H195" s="75" t="n">
        <ns0:v>45105</ns0:v>
      </ns0:c>
      <ns0:c r="I195" s="76" t="n">
        <ns0:v>316.2</ns0:v>
      </ns0:c>
      <ns0:c r="J195" s="74" t="inlineStr">
        <ns0:is>
          <ns0:t>gross (price x shares)</ns0:t>
        </ns0:is>
      </ns0:c>
      <ns0:c r="K195" s="95" t="n"/>
      <ns0:c r="L195" s="77" t="n">
        <ns0:v>20</ns0:v>
      </ns0:c>
      <ns0:c r="M195" s="77" t="n">
        <ns0:v>20</ns0:v>
      </ns0:c>
      <ns0:c r="N195" s="74" t="inlineStr">
        <ns0:is>
          <ns0:t>Y</ns0:t>
        </ns0:is>
      </ns0:c>
      <ns0:c r="O195" s="78" t="n">
        <ns0:v>100</ns0:v>
      </ns0:c>
      <ns0:c r="P195" s="84" t="n"/>
      <ns0:c r="Q195" s="79" t="n">
        <ns0:v>13309.3</ns0:v>
      </ns0:c>
      <ns0:c r="R195" s="74" t="inlineStr">
        <ns0:is>
          <ns0:t>aastocks:上市市值 at the struck price</ns0:t>
        </ns0:is>
      </ns0:c>
      <ns0:c r="S195" s="80" t="n">
        <ns0:v>5.6</ns0:v>
      </ns0:c>
      <ns0:c r="T195" s="81" t="n">
        <ns0:v>2.08</ns0:v>
      </ns0:c>
      <ns0:c r="U195" s="82" t="n">
        <ns0:v>42.4</ns0:v>
      </ns0:c>
      <ns0:c r="V195" s="83" t="n">
        <ns0:v>126</ns0:v>
      </ns0:c>
      <ns0:c r="W195" s="84" t="n"/>
      <ns0:c r="X195" s="85" t="n"/>
      <ns0:c r="Y195" s="79" t="n">
        <ns0:v>182.13</ns0:v>
      </ns0:c>
      <ns0:c r="Z195" s="79" t="n">
        <ns0:v>9105869</ns0:v>
      </ns0:c>
      <ns0:c r="AA195" s="78" t="n">
        <ns0:v>1.37</ns0:v>
      </ns0:c>
      <ns0:c r="AB195" s="74" t="inlineStr">
        <ns0:is>
          <ns0:t>ZGC International Limited</ns0:t>
        </ns0:is>
      </ns0:c>
      <ns0:c r="AC195" s="74" t="inlineStr">
        <ns0:is>
          <ns0:t>zgc</ns0:t>
        </ns0:is>
      </ns0:c>
      <ns0:c r="AD195" s="84" t="n"/>
      <ns0:c r="AE195" s="74" t="inlineStr">
        <ns0:is>
          <ns0:t>partial</ns0:t>
        </ns0:is>
      </ns0:c>
      <ns0:c r="AF195" s="74" t="inlineStr">
        <ns0:is>
          <ns0:t>2023-07-20</ns0:t>
        </ns0:is>
      </ns0:c>
      <ns0:c r="AG195" s="74" t="inlineStr">
        <ns0:is>
          <ns0:t>China International Capital Corporation Hong Kong Securities Limited</ns0:t>
        </ns0:is>
      </ns0:c>
      <ns0:c r="AH195" s="74" t="inlineStr">
        <ns0:is>
          <ns0:t>China International</ns0:t>
        </ns0:is>
      </ns0:c>
      <ns0:c r="AI195" s="86" t="n">
        <ns0:v>30</ns0:v>
      </ns0:c>
      <ns0:c r="AJ195" s="87" t="n">
        <ns0:v>5.5</ns0:v>
      </ns0:c>
      <ns0:c r="AK195" s="87" t="n">
        <ns0:v>-0.62</ns0:v>
      </ns0:c>
      <ns0:c r="AL195" s="87" t="n">
        <ns0:v>15.25</ns0:v>
      </ns0:c>
      <ns0:c r="AM195" s="87" t="n">
        <ns0:v>-8.460000000000001</ns0:v>
      </ns0:c>
      <ns0:c r="AN195" s="88" t="n"/>
      <ns0:c r="AO195" s="78" t="n">
        <ns0:v>11.93</ns0:v>
      </ns0:c>
      <ns0:c r="AP195" s="87" t="n">
        <ns0:v>22.5</ns0:v>
      </ns0:c>
      <ns0:c r="AQ195" s="87" t="n">
        <ns0:v>147.5</ns0:v>
      </ns0:c>
      <ns0:c r="AR195" s="87" t="n">
        <ns0:v>154.5</ns0:v>
      </ns0:c>
      <ns0:c r="AS195" s="87" t="n">
        <ns0:v>16.11</ns0:v>
      </ns0:c>
      <ns0:c r="AT195" s="87" t="n">
        <ns0:v>134.6</ns0:v>
      </ns0:c>
      <ns0:c r="AU195" s="87" t="n">
        <ns0:v>141.23</ns0:v>
      </ns0:c>
      <ns0:c r="AV195" s="87" t="n">
        <ns0:v>19.59</ns0:v>
      </ns0:c>
      <ns0:c r="AW195" s="87" t="n">
        <ns0:v>140.71</ns0:v>
      </ns0:c>
      <ns0:c r="AX195" s="87" t="n">
        <ns0:v>151.87</ns0:v>
      </ns0:c>
      <ns0:c r="AY195" s="87" t="n">
        <ns0:v>127.15</ns0:v>
      </ns0:c>
      <ns0:c r="AZ195" s="87" t="n">
        <ns0:v>6.79</ns0:v>
      </ns0:c>
      <ns0:c r="BA195" s="87" t="n">
        <ns0:v>7.45</ns0:v>
      </ns0:c>
      <ns0:c r="BB195" s="74" t="inlineStr">
        <ns0:is>
          <ns0:t>China Biotech ETF (HS biotech proxy)</ns0:t>
        </ns0:is>
      </ns0:c>
      <ns0:c r="BC195" s="87" t="n">
        <ns0:v>-82.67</ns0:v>
      </ns0:c>
      <ns0:c r="BD195" s="75" t="n">
        <ns0:v>46297</ns0:v>
      </ns0:c>
      <ns0:c r="BE195" s="76" t="n">
        <ns0:v>15702.3</ns0:v>
      </ns0:c>
      <ns0:c r="BF195" s="79" t="n">
        <ns0:v>-1650</ns0:v>
      </ns0:c>
      <ns0:c r="BG195" s="74" t="inlineStr">
        <ns0:is>
          <ns0:t>N</ns0:t>
        </ns0:is>
      </ns0:c>
      <ns0:c r="BH195" s="74" t="inlineStr">
        <ns0:is>
          <ns0:t>n/m</ns0:t>
        </ns0:is>
      </ns0:c>
      <ns0:c r="BI195" s="88" t="n"/>
      <ns0:c r="BJ195" s="89" t="n">
        <ns0:v>13.5</ns0:v>
      </ns0:c>
      <ns0:c r="BK195" s="89" t="n">
        <ns0:v>0.8</ns0:v>
      </ns0:c>
      <ns0:c r="BL195" s="90">
        <ns0:f>IFERROR(IF('BBG Verify'!S195="","Awaiting Bloomberg",'BBG Verify'!S195),"Awaiting Bloomberg")</ns0:f>
        <ns0:v/>
      </ns0:c>
      <ns0:c r="BM195" s="91" t="inlineStr">
        <ns0:is>
          <ns0:t>N</ns0:t>
        </ns0:is>
      </ns0:c>
      <ns0:c r="BN195" s="92">
        <ns0:f>IFERROR(IF('BBG Verify'!K195="","Awaiting Bloomberg",'BBG Verify'!K195),"Awaiting Bloomberg")</ns0:f>
        <ns0:v/>
      </ns0:c>
      <ns0:c r="BO195" s="74" t="inlineStr">
        <ns0:is>
          <ns0:t>N/A</ns0:t>
        </ns0:is>
      </ns0:c>
      <ns0:c r="BP195" s="74" t="inlineStr">
        <ns0:is>
          <ns0:t>N/A</ns0:t>
        </ns0:is>
      </ns0:c>
      <ns0:c r="BQ195" s="74" t="inlineStr">
        <ns0:is>
          <ns0:t>N/A</ns0:t>
        </ns0:is>
      </ns0:c>
      <ns0:c r="BR195" s="74" t="inlineStr">
        <ns0:is>
          <ns0:t>N/A</ns0:t>
        </ns0:is>
      </ns0:c>
      <ns0:c r="BS195" s="74" t="inlineStr">
        <ns0:is>
          <ns0:t>N/A</ns0:t>
        </ns0:is>
      </ns0:c>
      <ns0:c r="BT195" s="74" t="inlineStr">
        <ns0:is>
          <ns0:t>N/A</ns0:t>
        </ns0:is>
      </ns0:c>
      <ns0:c r="BU195" s="91" t="inlineStr">
        <ns0:is>
          <ns0:t>China International Capital Corporation Hong Kong Securities Limited</ns0:t>
        </ns0:is>
      </ns0:c>
      <ns0:c r="BV195" s="74" t="inlineStr">
        <ns0:is>
          <ns0:t>China International Capital Corporation Hong Kong Securities Limited</ns0:t>
        </ns0:is>
      </ns0:c>
      <ns0:c r="BW195" s="74" t="inlineStr">
        <ns0:is>
          <ns0:t>China International Capital Corporation Hong Kong Securities Limited; CMB International Capital Limited; ICBC International Securities Limited; ABCI Capital Limited; Fosun International Securities Limited</ns0:t>
        </ns0:is>
      </ns0:c>
      <ns0:c r="BX195" s="74" t="inlineStr">
        <ns0:is>
          <ns0: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ns0:t>
        </ns0:is>
      </ns0:c>
      <ns0:c r="BY195" s="93">
        <ns0:f>HYPERLINK("https://www1.hkexnews.hk/listedco/listconews/sehk/2023/0615/2023061500046.htm","prospectus")</ns0:f>
        <ns0:v/>
      </ns0:c>
      <ns0:c r="BZ195" s="93">
        <ns0:f>HYPERLINK("https://www1.hkexnews.hk/listedco/listconews/sehk/2023/0627/2023062700054.htm","allotment")</ns0:f>
        <ns0:v/>
      </ns0:c>
      <ns0:c r="CA195" s="93">
        <ns0:f>HYPERLINK("https://www1.hkexnews.hk/listedco/listconews/sehk/2023/0720/2023072001211.pdf","stabilisation")</ns0:f>
        <ns0:v/>
      </ns0:c>
      <ns0:c r="CB195" s="94" t="n"/>
      <ns0:c r="CC195" s="74" t="inlineStr">
        <ns0:is>
          <ns0: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allocation: allocation table not in this notice's format (older prose announcement); day-1 tape: volume on file; the retail multiple needs the final public split, which this notice does not state</ns0:t>
        </ns0:is>
      </ns0:c>
    </ns0:row>
    <ns0:row r="196" ht="22" customHeight="1">
      <ns0:c r="A196" s="73" t="inlineStr">
        <ns0:is>
          <ns0:t>2105</ns0:t>
        </ns0:is>
      </ns0:c>
      <ns0:c r="B196" s="74" t="inlineStr">
        <ns0:is>
          <ns0:t>LAEKNA-B</ns0:t>
        </ns0:is>
      </ns0:c>
      <ns0:c r="C196" s="74" t="inlineStr">
        <ns0:is>
          <ns0:t>來凱醫藥－Ｂ</ns0:t>
        </ns0:is>
      </ns0:c>
      <ns0:c r="D196" s="74" t="inlineStr">
        <ns0:is>
          <ns0:t>Healthcare</ns0:t>
        </ns0:is>
      </ns0:c>
      <ns0:c r="E196" s="74" t="inlineStr">
        <ns0:is>
          <ns0:t>Biotech pre-revenue (18A)</ns0:t>
        </ns0:is>
      </ns0:c>
      <ns0:c r="F196" s="74" t="inlineStr">
        <ns0:is>
          <ns0:t>Health Care Services</ns0:t>
        </ns0:is>
      </ns0:c>
      <ns0:c r="G196" s="74" t="inlineStr">
        <ns0:is>
          <ns0:t>18A</ns0:t>
        </ns0:is>
      </ns0:c>
      <ns0:c r="H196" s="75" t="n">
        <ns0:v>45106</ns0:v>
      </ns0:c>
      <ns0:c r="I196" s="76" t="n">
        <ns0:v>790.9</ns0:v>
      </ns0:c>
      <ns0:c r="J196" s="74" t="inlineStr">
        <ns0:is>
          <ns0:t>gross (price x shares)</ns0:t>
        </ns0:is>
      </ns0:c>
      <ns0:c r="K196" s="95" t="n"/>
      <ns0:c r="L196" s="77" t="n">
        <ns0:v>12.41</ns0:v>
      </ns0:c>
      <ns0:c r="M196" s="77" t="n">
        <ns0:v>12.41</ns0:v>
      </ns0:c>
      <ns0:c r="N196" s="74" t="inlineStr">
        <ns0:is>
          <ns0:t>Y</ns0:t>
        </ns0:is>
      </ns0:c>
      <ns0:c r="O196" s="78" t="n">
        <ns0:v>100</ns0:v>
      </ns0:c>
      <ns0:c r="P196" s="84" t="n"/>
      <ns0:c r="Q196" s="79" t="n">
        <ns0:v>4841.1</ns0:v>
      </ns0:c>
      <ns0:c r="R196" s="74" t="inlineStr">
        <ns0:is>
          <ns0:t>prospectus:stated market capitalisation</ns0:t>
        </ns0:is>
      </ns0:c>
      <ns0:c r="S196" s="80" t="n">
        <ns0:v>5.81</ns0:v>
      </ns0:c>
      <ns0:c r="T196" s="81" t="n">
        <ns0:v>1.09</ns0:v>
      </ns0:c>
      <ns0:c r="U196" s="82" t="n">
        <ns0:v>86</ns0:v>
      </ns0:c>
      <ns0:c r="V196" s="83" t="n">
        <ns0:v>117</ns0:v>
      </ns0:c>
      <ns0:c r="W196" s="84" t="n"/>
      <ns0:c r="X196" s="85" t="n"/>
      <ns0:c r="Y196" s="79" t="n">
        <ns0:v>110.73</ns0:v>
      </ns0:c>
      <ns0:c r="Z196" s="79" t="n">
        <ns0:v>8921920</ns0:v>
      </ns0:c>
      <ns0:c r="AA196" s="78" t="n">
        <ns0:v>2.29</ns0:v>
      </ns0:c>
      <ns0:c r="AB196" s="74" t="inlineStr">
        <ns0:is>
          <ns0:t>Future Industry Investment Fund II; Ningbo Yaoshang Yanchuang Chenkai Venture Capital Partnership; OrbiMed Asia Partners III, L.P; Yuyao Yangming Equity Investment Fund Co., Ltd</ns0:t>
        </ns0:is>
      </ns0:c>
      <ns0:c r="AC196" s="74" t="inlineStr">
        <ns0:is>
          <ns0:t>future;ningbo;orbimed;yuyao</ns0:t>
        </ns0:is>
      </ns0:c>
      <ns0:c r="AD196" s="84" t="n"/>
      <ns0:c r="AE196" s="85" t="n"/>
      <ns0:c r="AF196" s="85" t="n"/>
      <ns0:c r="AG196" s="85" t="n"/>
      <ns0:c r="AH196" s="85" t="n"/>
      <ns0:c r="AI196" s="86" t="n">
        <ns0:v>5.88</ns0:v>
      </ns0:c>
      <ns0:c r="AJ196" s="87" t="n">
        <ns0:v>20.87</ns0:v>
      </ns0:c>
      <ns0:c r="AK196" s="87" t="n">
        <ns0:v>-0.39</ns0:v>
      </ns0:c>
      <ns0:c r="AL196" s="87" t="n">
        <ns0:v>0.24</ns0:v>
      </ns0:c>
      <ns0:c r="AM196" s="87" t="n">
        <ns0:v>20.58</ns0:v>
      </ns0:c>
      <ns0:c r="AN196" s="88" t="n"/>
      <ns0:c r="AO196" s="78" t="n">
        <ns0:v>23.95</ns0:v>
      </ns0:c>
      <ns0:c r="AP196" s="87" t="n">
        <ns0:v>22.32</ns0:v>
      </ns0:c>
      <ns0:c r="AQ196" s="87" t="n">
        <ns0:v>16.52</ns0:v>
      </ns0:c>
      <ns0:c r="AR196" s="87" t="n">
        <ns0:v>10.39</ns0:v>
      </ns0:c>
      <ns0:c r="AS196" s="87" t="n">
        <ns0:v>1.2</ns0:v>
      </ns0:c>
      <ns0:c r="AT196" s="87" t="n">
        <ns0:v>-3.6</ns0:v>
      </ns0:c>
      <ns0:c r="AU196" s="87" t="n">
        <ns0:v>-8.67</ns0:v>
      </ns0:c>
      <ns0:c r="AV196" s="87" t="n">
        <ns0:v>20.87</ns0:v>
      </ns0:c>
      <ns0:c r="AW196" s="87" t="n">
        <ns0:v>11.37</ns0:v>
      </ns0:c>
      <ns0:c r="AX196" s="87" t="n">
        <ns0:v>7.29</ns0:v>
      </ns0:c>
      <ns0:c r="AY196" s="87" t="n">
        <ns0:v>-9.16</ns0:v>
      </ns0:c>
      <ns0:c r="AZ196" s="87" t="n">
        <ns0:v>5.15</ns0:v>
      </ns0:c>
      <ns0:c r="BA196" s="87" t="n">
        <ns0:v>5.56</ns0:v>
      </ns0:c>
      <ns0:c r="BB196" s="74" t="inlineStr">
        <ns0:is>
          <ns0:t>China Biotech ETF (HS biotech proxy)</ns0:t>
        </ns0:is>
      </ns0:c>
      <ns0:c r="BC196" s="87" t="n">
        <ns0:v>-29.49</ns0:v>
      </ns0:c>
      <ns0:c r="BD196" s="75" t="n">
        <ns0:v>46297</ns0:v>
      </ns0:c>
      <ns0:c r="BE196" s="76" t="n">
        <ns0:v>0</ns0:v>
      </ns0:c>
      <ns0:c r="BF196" s="79" t="n">
        <ns0:v>-859.8</ns0:v>
      </ns0:c>
      <ns0:c r="BG196" s="74" t="inlineStr">
        <ns0:is>
          <ns0:t>N</ns0:t>
        </ns0:is>
      </ns0:c>
      <ns0:c r="BH196" s="74" t="inlineStr">
        <ns0:is>
          <ns0:t>n/m</ns0:t>
        </ns0:is>
      </ns0:c>
      <ns0:c r="BI196" s="88" t="n"/>
      <ns0:c r="BJ196" s="88" t="n"/>
      <ns0:c r="BK196" s="74" t="inlineStr">
        <ns0:is>
          <ns0:t>pre-rev</ns0:t>
        </ns0:is>
      </ns0:c>
      <ns0:c r="BL196" s="90">
        <ns0:f>IFERROR(IF('BBG Verify'!S196="","Awaiting Bloomberg",'BBG Verify'!S196),"Awaiting Bloomberg")</ns0:f>
        <ns0:v/>
      </ns0:c>
      <ns0:c r="BM196" s="91" t="inlineStr">
        <ns0:is>
          <ns0:t>N</ns0:t>
        </ns0:is>
      </ns0:c>
      <ns0:c r="BN196" s="92">
        <ns0:f>IFERROR(IF('BBG Verify'!K196="","Awaiting Bloomberg",'BBG Verify'!K196),"Awaiting Bloomberg")</ns0:f>
        <ns0:v/>
      </ns0:c>
      <ns0:c r="BO196" s="74" t="inlineStr">
        <ns0:is>
          <ns0:t>N/A</ns0:t>
        </ns0:is>
      </ns0:c>
      <ns0:c r="BP196" s="74" t="inlineStr">
        <ns0:is>
          <ns0:t>N/A</ns0:t>
        </ns0:is>
      </ns0:c>
      <ns0:c r="BQ196" s="74" t="inlineStr">
        <ns0:is>
          <ns0:t>N/A</ns0:t>
        </ns0:is>
      </ns0:c>
      <ns0:c r="BR196" s="74" t="inlineStr">
        <ns0:is>
          <ns0:t>N/A</ns0:t>
        </ns0:is>
      </ns0:c>
      <ns0:c r="BS196" s="74" t="inlineStr">
        <ns0:is>
          <ns0:t>N/A</ns0:t>
        </ns0:is>
      </ns0:c>
      <ns0:c r="BT196" s="74" t="inlineStr">
        <ns0:is>
          <ns0:t>N/A</ns0:t>
        </ns0:is>
      </ns0:c>
      <ns0:c r="BU196" s="91" t="inlineStr">
        <ns0:is>
          <ns0:t>China International Capital Corporation Hong Kong Securities Limited</ns0:t>
        </ns0:is>
      </ns0:c>
      <ns0:c r="BV196" s="74" t="inlineStr">
        <ns0:is>
          <ns0:t>China International Capital Corporation Hong Kong Securities Limited</ns0:t>
        </ns0:is>
      </ns0:c>
      <ns0:c r="BW196" s="74" t="inlineStr">
        <ns0:is>
          <ns0:t>China International Capital Corporation Hong Kong Securities Limited; Haitong International Securities Company Limited; ICBC International Securities Limited; ABCI Capital Limited</ns0:t>
        </ns0:is>
      </ns0:c>
      <ns0:c r="BX196" s="74" t="inlineStr">
        <ns0:is>
          <ns0: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ns0:t>
        </ns0:is>
      </ns0:c>
      <ns0:c r="BY196" s="93">
        <ns0:f>HYPERLINK("https://www1.hkexnews.hk/listedco/listconews/sehk/2023/0616/2023061600013.pdf","prospectus")</ns0:f>
        <ns0:v/>
      </ns0:c>
      <ns0:c r="BZ196" s="93">
        <ns0:f>HYPERLINK("https://www1.hkexnews.hk/listedco/listconews/sehk/2023/0628/2023062800052.htm","allotment")</ns0:f>
        <ns0:v/>
      </ns0:c>
      <ns0:c r="CA196" s="85" t="n"/>
      <ns0:c r="CB196" s="94" t="n"/>
      <ns0:c r="CC196" s="74" t="inlineStr">
        <ns0:is>
          <ns0:t>P/E: loss-making at IPO, use P/S; greenshoe: no over-allotment option; range low: maximum offer price only, no floor published; greenshoe size: no over-allotment option; P/S: pre-revenue issuer, no sales multiple;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ns0:t>
        </ns0:is>
      </ns0:c>
    </ns0:row>
    <ns0:row r="197" ht="22" customHeight="1">
      <ns0:c r="A197" s="73" t="inlineStr">
        <ns0:is>
          <ns0:t>9860</ns0:t>
        </ns0:is>
      </ns0:c>
      <ns0:c r="B197" s="74" t="inlineStr">
        <ns0:is>
          <ns0:t>ADICON HOLDINGS</ns0:t>
        </ns0:is>
      </ns0:c>
      <ns0:c r="C197" s="74" t="inlineStr">
        <ns0:is>
          <ns0:t>艾迪康控股</ns0:t>
        </ns0:is>
      </ns0:c>
      <ns0:c r="D197" s="74" t="inlineStr">
        <ns0:is>
          <ns0:t>Healthcare</ns0:t>
        </ns0:is>
      </ns0:c>
      <ns0:c r="E197" s="74" t="inlineStr">
        <ns0:is>
          <ns0:t>CXO / pharma services</ns0:t>
        </ns0:is>
      </ns0:c>
      <ns0:c r="F197" s="74" t="inlineStr">
        <ns0:is>
          <ns0:t>Health Care Services</ns0:t>
        </ns0:is>
      </ns0:c>
      <ns0:c r="G197" s="74" t="inlineStr">
        <ns0:is>
          <ns0:t>Standard</ns0:t>
        </ns0:is>
      </ns0:c>
      <ns0:c r="H197" s="75" t="n">
        <ns0:v>45107</ns0:v>
      </ns0:c>
      <ns0:c r="I197" s="76" t="n">
        <ns0:v>83.90000000000001</ns0:v>
      </ns0:c>
      <ns0:c r="J197" s="74" t="inlineStr">
        <ns0:is>
          <ns0:t>net proceeds</ns0:t>
        </ns0:is>
      </ns0:c>
      <ns0:c r="K197" s="95" t="n"/>
      <ns0:c r="L197" s="77" t="n">
        <ns0:v>12.32</ns0:v>
      </ns0:c>
      <ns0:c r="M197" s="77" t="n">
        <ns0:v>12.32</ns0:v>
      </ns0:c>
      <ns0:c r="N197" s="74" t="inlineStr">
        <ns0:is>
          <ns0:t>Y</ns0:t>
        </ns0:is>
      </ns0:c>
      <ns0:c r="O197" s="78" t="n">
        <ns0:v>100</ns0:v>
      </ns0:c>
      <ns0:c r="P197" s="84" t="n"/>
      <ns0:c r="Q197" s="79" t="n">
        <ns0:v>8913</ns0:v>
      </ns0:c>
      <ns0:c r="R197" s="74" t="inlineStr">
        <ns0:is>
          <ns0:t>press:sohu/stockstar: 总市值89.13亿 at HK$12.32</ns0:t>
        </ns0:is>
      </ns0:c>
      <ns0:c r="S197" s="80" t="n">
        <ns0:v>1.06</ns0:v>
      </ns0:c>
      <ns0:c r="T197" s="81" t="n">
        <ns0:v>1.8</ns0:v>
      </ns0:c>
      <ns0:c r="U197" s="82" t="n">
        <ns0:v>31.9</ns0:v>
      </ns0:c>
      <ns0:c r="V197" s="83" t="n">
        <ns0:v>108</ns0:v>
      </ns0:c>
      <ns0:c r="W197" s="84" t="n"/>
      <ns0:c r="X197" s="85" t="n"/>
      <ns0:c r="Y197" s="79" t="n">
        <ns0:v>57.14</ns0:v>
      </ns0:c>
      <ns0:c r="Z197" s="97" t="n"/>
      <ns0:c r="AA197" s="78" t="n">
        <ns0:v>0.64</ns0:v>
      </ns0:c>
      <ns0:c r="AB197" s="74" t="inlineStr">
        <ns0:is>
          <ns0:t>Corelink Group Limited; Fosun Diagnostics (Shanghai) Co., Ltd; MR Global (HK) Limited; Snibe Diagnostic (Hong Kong) Company Limited; Timestar Elite Limited</ns0:t>
        </ns0:is>
      </ns0:c>
      <ns0:c r="AC197" s="74" t="inlineStr">
        <ns0:is>
          <ns0:t>corelink;fosun;mr;snibe;timestar</ns0:t>
        </ns0:is>
      </ns0:c>
      <ns0:c r="AD197" s="78" t="n">
        <ns0:v>12.45</ns0:v>
      </ns0:c>
      <ns0:c r="AE197" s="74" t="inlineStr">
        <ns0:is>
          <ns0:t>partial</ns0:t>
        </ns0:is>
      </ns0:c>
      <ns0:c r="AF197" s="74" t="inlineStr">
        <ns0:is>
          <ns0:t>2023-07-23</ns0:t>
        </ns0:is>
      </ns0:c>
      <ns0:c r="AG197" s="74" t="inlineStr">
        <ns0:is>
          <ns0:t>Morgan Stanley Asia Limited</ns0:t>
        </ns0:is>
      </ns0:c>
      <ns0:c r="AH197" s="74" t="inlineStr">
        <ns0:is>
          <ns0:t>Morgan Stanley</ns0:t>
        </ns0:is>
      </ns0:c>
      <ns0:c r="AI197" s="86" t="n">
        <ns0:v>1.14</ns0:v>
      </ns0:c>
      <ns0:c r="AJ197" s="87" t="n">
        <ns0:v>12.01</ns0:v>
      </ns0:c>
      <ns0:c r="AK197" s="87" t="n">
        <ns0:v>1.68</ns0:v>
      </ns0:c>
      <ns0:c r="AL197" s="87" t="n">
        <ns0:v>0</ns0:v>
      </ns0:c>
      <ns0:c r="AM197" s="87" t="n">
        <ns0:v>12.01</ns0:v>
      </ns0:c>
      <ns0:c r="AN197" s="88" t="n"/>
      <ns0:c r="AO197" s="78" t="n">
        <ns0:v>14.45</ns0:v>
      </ns0:c>
      <ns0:c r="AP197" s="87" t="n">
        <ns0:v>1.62</ns0:v>
      </ns0:c>
      <ns0:c r="AQ197" s="87" t="n">
        <ns0:v>0.65</ns0:v>
      </ns0:c>
      <ns0:c r="AR197" s="87" t="n">
        <ns0:v>19.97</ns0:v>
      </ns0:c>
      <ns0:c r="AS197" s="87" t="n">
        <ns0:v>-9.279999999999999</ns0:v>
      </ns0:c>
      <ns0:c r="AT197" s="87" t="n">
        <ns0:v>-10.14</ns0:v>
      </ns0:c>
      <ns0:c r="AU197" s="87" t="n">
        <ns0:v>7.11</ns0:v>
      </ns0:c>
      <ns0:c r="AV197" s="87" t="n">
        <ns0:v>0.34</ns0:v>
      </ns0:c>
      <ns0:c r="AW197" s="87" t="n">
        <ns0:v>-5.38</ns0:v>
      </ns0:c>
      <ns0:c r="AX197" s="87" t="n">
        <ns0:v>17.55</ns0:v>
      </ns0:c>
      <ns0:c r="AY197" s="87" t="n">
        <ns0:v>-14.42</ns0:v>
      </ns0:c>
      <ns0:c r="AZ197" s="87" t="n">
        <ns0:v>6.03</ns0:v>
      </ns0:c>
      <ns0:c r="BA197" s="87" t="n">
        <ns0:v>4.28</ns0:v>
      </ns0:c>
      <ns0:c r="BB197" s="74" t="inlineStr">
        <ns0:is>
          <ns0:t>China Biotech ETF (HS biotech proxy)</ns0:t>
        </ns0:is>
      </ns0:c>
      <ns0:c r="BC197" s="87" t="n">
        <ns0:v>-61.04</ns0:v>
      </ns0:c>
      <ns0:c r="BD197" s="75" t="n">
        <ns0:v>46297</ns0:v>
      </ns0:c>
      <ns0:c r="BE197" s="76" t="n">
        <ns0:v>5346.7</ns0:v>
      </ns0:c>
      <ns0:c r="BF197" s="79" t="n">
        <ns0:v>753.4</ns0:v>
      </ns0:c>
      <ns0:c r="BG197" s="74" t="inlineStr">
        <ns0:is>
          <ns0:t>Y</ns0:t>
        </ns0:is>
      </ns0:c>
      <ns0:c r="BH197" s="89" t="n">
        <ns0:v>11.8</ns0:v>
      </ns0:c>
      <ns0:c r="BI197" s="88" t="n"/>
      <ns0:c r="BJ197" s="89" t="n">
        <ns0:v>108.8</ns0:v>
      </ns0:c>
      <ns0:c r="BK197" s="89" t="n">
        <ns0:v>1.7</ns0:v>
      </ns0:c>
      <ns0:c r="BL197" s="90">
        <ns0:f>IFERROR(IF('BBG Verify'!S197="","Awaiting Bloomberg",'BBG Verify'!S197),"Awaiting Bloomberg")</ns0:f>
        <ns0:v/>
      </ns0:c>
      <ns0:c r="BM197" s="91" t="inlineStr">
        <ns0:is>
          <ns0:t>N</ns0:t>
        </ns0:is>
      </ns0:c>
      <ns0:c r="BN197" s="92">
        <ns0:f>IFERROR(IF('BBG Verify'!K197="","Awaiting Bloomberg",'BBG Verify'!K197),"Awaiting Bloomberg")</ns0:f>
        <ns0:v/>
      </ns0:c>
      <ns0:c r="BO197" s="74" t="inlineStr">
        <ns0:is>
          <ns0:t>N/A</ns0:t>
        </ns0:is>
      </ns0:c>
      <ns0:c r="BP197" s="74" t="inlineStr">
        <ns0:is>
          <ns0:t>N/A</ns0:t>
        </ns0:is>
      </ns0:c>
      <ns0:c r="BQ197" s="74" t="inlineStr">
        <ns0:is>
          <ns0:t>N/A</ns0:t>
        </ns0:is>
      </ns0:c>
      <ns0:c r="BR197" s="74" t="inlineStr">
        <ns0:is>
          <ns0:t>N/A</ns0:t>
        </ns0:is>
      </ns0:c>
      <ns0:c r="BS197" s="74" t="inlineStr">
        <ns0:is>
          <ns0:t>N/A</ns0:t>
        </ns0:is>
      </ns0:c>
      <ns0:c r="BT197" s="74" t="inlineStr">
        <ns0:is>
          <ns0:t>N/A</ns0:t>
        </ns0:is>
      </ns0:c>
      <ns0:c r="BU197" s="91" t="inlineStr">
        <ns0:is>
          <ns0:t>Morgan Stanley Asia Limited; Jefferies Hong Kong Limited</ns0:t>
        </ns0:is>
      </ns0:c>
      <ns0:c r="BV197" s="74" t="inlineStr">
        <ns0:is>
          <ns0:t>Jefferies Hong Kong Limited; Morgan Stanley Asia Limited</ns0:t>
        </ns0:is>
      </ns0:c>
      <ns0:c r="BW197" s="74" t="inlineStr">
        <ns0:is>
          <ns0: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ns0:t>
        </ns0:is>
      </ns0:c>
      <ns0:c r="BX197" s="74" t="inlineStr">
        <ns0:is>
          <ns0: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ns0:t>
        </ns0:is>
      </ns0:c>
      <ns0:c r="BY197" s="93">
        <ns0:f>HYPERLINK("https://www1.hkexnews.hk/listedco/listconews/sehk/2023/0619/2023061900005.pdf","prospectus")</ns0:f>
        <ns0:v/>
      </ns0:c>
      <ns0:c r="BZ197" s="93">
        <ns0:f>HYPERLINK("https://www1.hkexnews.hk/listedco/listconews/sehk/2023/0629/2023062900124.htm","allotment")</ns0:f>
        <ns0:v/>
      </ns0:c>
      <ns0:c r="CA197" s="93">
        <ns0:f>HYPERLINK("https://www1.hkexnews.hk/listedco/listconews/sehk/2023/0723/2023072300027.pdf","stabilisation")</ns0:f>
        <ns0:v/>
      </ns0:c>
      <ns0:c r="CB197" s="94" t="n"/>
      <ns0:c r="CC197" s="74" t="inlineStr">
        <ns0:is>
          <ns0:t>range low: maximum offer price only, no floor published; cornerstone: % from the prospectus; AAStocks table includes non-cornerstone orders;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198" ht="22" customHeight="1">
      <ns0:c r="A198" s="73" t="inlineStr">
        <ns0:is>
          <ns0:t>2481</ns0:t>
        </ns0:is>
      </ns0:c>
      <ns0:c r="B198" s="74" t="inlineStr">
        <ns0:is>
          <ns0:t>WISE LIVING TEC</ns0:t>
        </ns0:is>
      </ns0:c>
      <ns0:c r="C198" s="74" t="inlineStr">
        <ns0:is>
          <ns0:t>雙良睿能</ns0:t>
        </ns0:is>
      </ns0:c>
      <ns0:c r="D198" s="74" t="inlineStr">
        <ns0:is>
          <ns0:t>Materials/Energy</ns0:t>
        </ns0:is>
      </ns0:c>
      <ns0:c r="E198" s="74" t="inlineStr">
        <ns0:is>
          <ns0:t>Oil &amp; gas / utilities</ns0:t>
        </ns0:is>
      </ns0:c>
      <ns0:c r="F198" s="74" t="inlineStr">
        <ns0:is>
          <ns0:t>Environmental Utilities</ns0:t>
        </ns0:is>
      </ns0:c>
      <ns0:c r="G198" s="74" t="inlineStr">
        <ns0:is>
          <ns0:t>Standard</ns0:t>
        </ns0:is>
      </ns0:c>
      <ns0:c r="H198" s="75" t="n">
        <ns0:v>45117</ns0:v>
      </ns0:c>
      <ns0:c r="I198" s="76" t="n">
        <ns0:v>272.2</ns0:v>
      </ns0:c>
      <ns0:c r="J198" s="74" t="inlineStr">
        <ns0:is>
          <ns0:t>gross (price x shares)</ns0:t>
        </ns0:is>
      </ns0:c>
      <ns0:c r="K198" s="77" t="n">
        <ns0:v>3</ns0:v>
      </ns0:c>
      <ns0:c r="L198" s="77" t="n">
        <ns0:v>4.2</ns0:v>
      </ns0:c>
      <ns0:c r="M198" s="77" t="n">
        <ns0:v>3.6</ns0:v>
      </ns0:c>
      <ns0:c r="N198" s="74" t="inlineStr">
        <ns0:is>
          <ns0:t>N</ns0:t>
        </ns0:is>
      </ns0:c>
      <ns0:c r="O198" s="78" t="n">
        <ns0:v>85.7</ns0:v>
      </ns0:c>
      <ns0:c r="P198" s="78" t="n">
        <ns0:v>50</ns0:v>
      </ns0:c>
      <ns0:c r="Q198" s="79" t="n">
        <ns0:v>979.1</ns0:v>
      </ns0:c>
      <ns0:c r="R198" s="74" t="inlineStr">
        <ns0:is>
          <ns0:t>derived:deal size / offer % of enlarged capital</ns0:t>
        </ns0:is>
      </ns0:c>
      <ns0:c r="S198" s="80" t="n">
        <ns0:v>1.54</ns0:v>
      </ns0:c>
      <ns0:c r="T198" s="81" t="n">
        <ns0:v>1.35</ns0:v>
      </ns0:c>
      <ns0:c r="U198" s="82" t="n">
        <ns0:v>20.2</ns0:v>
      </ns0:c>
      <ns0:c r="V198" s="83" t="n">
        <ns0:v>153</ns0:v>
      </ns0:c>
      <ns0:c r="W198" s="84" t="n"/>
      <ns0:c r="X198" s="85" t="n"/>
      <ns0:c r="Y198" s="79" t="n">
        <ns0:v>217.22</ns0:v>
      </ns0:c>
      <ns0:c r="Z198" s="79" t="n">
        <ns0:v>60328800</ns0:v>
      </ns0:c>
      <ns0:c r="AA198" s="78" t="n">
        <ns0:v>22.19</ns0:v>
      </ns0:c>
      <ns0:c r="AB198" s="74" t="inlineStr">
        <ns0:is>
          <ns0:t>Jiang Gang International Investment Company Limited</ns0:t>
        </ns0:is>
      </ns0:c>
      <ns0:c r="AC198" s="74" t="inlineStr">
        <ns0:is>
          <ns0:t>jiang-gang</ns0:t>
        </ns0:is>
      </ns0:c>
      <ns0:c r="AD198" s="78" t="n">
        <ns0:v>15</ns0:v>
      </ns0:c>
      <ns0:c r="AE198" s="74" t="inlineStr">
        <ns0:is>
          <ns0:t>lapsed (no over-allocation)</ns0:t>
        </ns0:is>
      </ns0:c>
      <ns0:c r="AF198" s="85" t="n"/>
      <ns0:c r="AG198" s="74" t="inlineStr">
        <ns0:is>
          <ns0:t>Guotai Junan Securities</ns0:t>
        </ns0:is>
      </ns0:c>
      <ns0:c r="AH198" s="74" t="inlineStr">
        <ns0:is>
          <ns0:t>Guotai Junan</ns0:t>
        </ns0:is>
      </ns0:c>
      <ns0:c r="AI198" s="86" t="n">
        <ns0:v>-3.06</ns0:v>
      </ns0:c>
      <ns0:c r="AJ198" s="87" t="n">
        <ns0:v>0</ns0:v>
      </ns0:c>
      <ns0:c r="AK198" s="87" t="n">
        <ns0:v>1.03</ns0:v>
      </ns0:c>
      <ns0:c r="AL198" s="87" t="n">
        <ns0:v>0</ns0:v>
      </ns0:c>
      <ns0:c r="AM198" s="87" t="n">
        <ns0:v>0</ns0:v>
      </ns0:c>
      <ns0:c r="AN198" s="88" t="n"/>
      <ns0:c r="AO198" s="78" t="n">
        <ns0:v>8.33</ns0:v>
      </ns0:c>
      <ns0:c r="AP198" s="87" t="n">
        <ns0:v>-19.72</ns0:v>
      </ns0:c>
      <ns0:c r="AQ198" s="87" t="n">
        <ns0:v>-22.22</ns0:v>
      </ns0:c>
      <ns0:c r="AR198" s="87" t="n">
        <ns0:v>-26.94</ns0:v>
      </ns0:c>
      <ns0:c r="AS198" s="87" t="n">
        <ns0:v>-19.72</ns0:v>
      </ns0:c>
      <ns0:c r="AT198" s="87" t="n">
        <ns0:v>-22.22</ns0:v>
      </ns0:c>
      <ns0:c r="AU198" s="87" t="n">
        <ns0:v>-26.94</ns0:v>
      </ns0:c>
      <ns0:c r="AV198" s="87" t="n">
        <ns0:v>-24.4</ns0:v>
      </ns0:c>
      <ns0:c r="AW198" s="87" t="n">
        <ns0:v>-29.55</ns0:v>
      </ns0:c>
      <ns0:c r="AX198" s="87" t="n">
        <ns0:v>-25.35</ns0:v>
      </ns0:c>
      <ns0:c r="AY198" s="87" t="n">
        <ns0:v>-28.45</ns0:v>
      </ns0:c>
      <ns0:c r="AZ198" s="87" t="n">
        <ns0:v>7.33</ns0:v>
      </ns0:c>
      <ns0:c r="BA198" s="87" t="n">
        <ns0:v>6.23</ns0:v>
      </ns0:c>
      <ns0:c r="BB198" s="74" t="inlineStr">
        <ns0:is>
          <ns0:t>Hang Seng Commerce &amp; Industry sub-index</ns0:t>
        </ns0:is>
      </ns0:c>
      <ns0:c r="BC198" s="87" t="n">
        <ns0:v>-30</ns0:v>
      </ns0:c>
      <ns0:c r="BD198" s="75" t="n">
        <ns0:v>46297</ns0:v>
      </ns0:c>
      <ns0:c r="BE198" s="76" t="n">
        <ns0:v>1588.1</ns0:v>
      </ns0:c>
      <ns0:c r="BF198" s="79" t="n">
        <ns0:v>154.4</ns0:v>
      </ns0:c>
      <ns0:c r="BG198" s="74" t="inlineStr">
        <ns0:is>
          <ns0:t>Y</ns0:t>
        </ns0:is>
      </ns0:c>
      <ns0:c r="BH198" s="89" t="n">
        <ns0:v>6.3</ns0:v>
      </ns0:c>
      <ns0:c r="BI198" s="88" t="n"/>
      <ns0:c r="BJ198" s="89" t="n">
        <ns0:v>4</ns0:v>
      </ns0:c>
      <ns0:c r="BK198" s="89" t="n">
        <ns0:v>0.6</ns0:v>
      </ns0:c>
      <ns0:c r="BL198" s="90">
        <ns0:f>IFERROR(IF('BBG Verify'!S198="","Awaiting Bloomberg",'BBG Verify'!S198),"Awaiting Bloomberg")</ns0:f>
        <ns0:v/>
      </ns0:c>
      <ns0:c r="BM198" s="91" t="inlineStr">
        <ns0:is>
          <ns0:t>N</ns0:t>
        </ns0:is>
      </ns0:c>
      <ns0:c r="BN198" s="92">
        <ns0:f>IFERROR(IF('BBG Verify'!K198="","Awaiting Bloomberg",'BBG Verify'!K198),"Awaiting Bloomberg")</ns0:f>
        <ns0:v/>
      </ns0:c>
      <ns0:c r="BO198" s="74" t="inlineStr">
        <ns0:is>
          <ns0:t>N/A</ns0:t>
        </ns0:is>
      </ns0:c>
      <ns0:c r="BP198" s="74" t="inlineStr">
        <ns0:is>
          <ns0:t>N/A</ns0:t>
        </ns0:is>
      </ns0:c>
      <ns0:c r="BQ198" s="74" t="inlineStr">
        <ns0:is>
          <ns0:t>N/A</ns0:t>
        </ns0:is>
      </ns0:c>
      <ns0:c r="BR198" s="74" t="inlineStr">
        <ns0:is>
          <ns0:t>N/A</ns0:t>
        </ns0:is>
      </ns0:c>
      <ns0:c r="BS198" s="74" t="inlineStr">
        <ns0:is>
          <ns0:t>N/A</ns0:t>
        </ns0:is>
      </ns0:c>
      <ns0:c r="BT198" s="74" t="inlineStr">
        <ns0:is>
          <ns0:t>N/A</ns0:t>
        </ns0:is>
      </ns0:c>
      <ns0:c r="BU198" s="91" t="inlineStr">
        <ns0:is>
          <ns0:t>Guotai Junan Capital Limited</ns0:t>
        </ns0:is>
      </ns0:c>
      <ns0:c r="BV198" s="74" t="inlineStr">
        <ns0:is>
          <ns0:t>Guotai Junan Capital Limited</ns0:t>
        </ns0:is>
      </ns0:c>
      <ns0:c r="BW198" s="74" t="inlineStr">
        <ns0:is>
          <ns0:t>Guotai Junan Securities (Hong Kong) Limited; Orient Securities (Hong Kong) Limited; ABCI Capital Limited; China Galaxy International Securities (Hong Kong) Co., Limited</ns0:t>
        </ns0:is>
      </ns0:c>
      <ns0:c r="BX198" s="74" t="inlineStr">
        <ns0:is>
          <ns0: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ns0:t>
        </ns0:is>
      </ns0:c>
      <ns0:c r="BY198" s="93">
        <ns0:f>HYPERLINK("https://www1.hkexnews.hk/listedco/listconews/sehk/2023/0628/2023062800029.pdf","prospectus")</ns0:f>
        <ns0:v/>
      </ns0:c>
      <ns0:c r="BZ198" s="93">
        <ns0:f>HYPERLINK("https://www1.hkexnews.hk/listedco/listconews/sehk/2023/0707/2023070700062.htm","allotment")</ns0:f>
        <ns0:v/>
      </ns0:c>
      <ns0:c r="CA198" s="93">
        <ns0:f>HYPERLINK("https://www1.hkexnews.hk/listedco/listconews/sehk/2023/0802/2023080201548.pdf","stabilisation")</ns0:f>
        <ns0:v/>
      </ns0:c>
      <ns0:c r="CB198" s="94" t="n"/>
      <ns0:c r="CC198" s="74" t="inlineStr">
        <ns0:is>
          <ns0:t>greenshoe: outcome published; expiry date not in the notice; cornerstone: table parse 51% rejected (institutional total implies 20%); the AAStocks institutional total used; allocation: allocation table not in this notice's format (older prose announcement); day-1 tape: volume on file; the retail multiple needs the final public split, which this notice does not state</ns0:t>
        </ns0:is>
      </ns0:c>
    </ns0:row>
    <ns0:row r="199" ht="22" customHeight="1">
      <ns0:c r="A199" s="73" t="inlineStr">
        <ns0:is>
          <ns0:t>6990</ns0:t>
        </ns0:is>
      </ns0:c>
      <ns0:c r="B199" s="74" t="inlineStr">
        <ns0:is>
          <ns0:t>SKB BIO-B</ns0:t>
        </ns0:is>
      </ns0:c>
      <ns0:c r="C199" s="74" t="inlineStr">
        <ns0:is>
          <ns0:t>科倫博泰生物</ns0:t>
        </ns0:is>
      </ns0:c>
      <ns0:c r="D199" s="74" t="inlineStr">
        <ns0:is>
          <ns0:t>Healthcare</ns0:t>
        </ns0:is>
      </ns0:c>
      <ns0:c r="E199" s="74" t="inlineStr">
        <ns0:is>
          <ns0:t>Biotech pre-revenue (18A)</ns0:t>
        </ns0:is>
      </ns0:c>
      <ns0:c r="F199" s="74" t="inlineStr">
        <ns0:is>
          <ns0:t>Biotechnology - Pharmaceuticals</ns0:t>
        </ns0:is>
      </ns0:c>
      <ns0:c r="G199" s="74" t="inlineStr">
        <ns0:is>
          <ns0:t>18A</ns0:t>
        </ns0:is>
      </ns0:c>
      <ns0:c r="H199" s="75" t="n">
        <ns0:v>45118</ns0:v>
      </ns0:c>
      <ns0:c r="I199" s="76" t="n">
        <ns0:v>1360.2</ns0:v>
      </ns0:c>
      <ns0:c r="J199" s="74" t="inlineStr">
        <ns0:is>
          <ns0:t>gross (price x shares)</ns0:t>
        </ns0:is>
      </ns0:c>
      <ns0:c r="K199" s="77" t="n">
        <ns0:v>60.6</ns0:v>
      </ns0:c>
      <ns0:c r="L199" s="77" t="n">
        <ns0:v>72.8</ns0:v>
      </ns0:c>
      <ns0:c r="M199" s="77" t="n">
        <ns0:v>60.6</ns0:v>
      </ns0:c>
      <ns0:c r="N199" s="74" t="inlineStr">
        <ns0:is>
          <ns0:t>N</ns0:t>
        </ns0:is>
      </ns0:c>
      <ns0:c r="O199" s="78" t="n">
        <ns0:v>83.2</ns0:v>
      </ns0:c>
      <ns0:c r="P199" s="78" t="n">
        <ns0:v>0</ns0:v>
      </ns0:c>
      <ns0:c r="Q199" s="79" t="n">
        <ns0:v>13080</ns0:v>
      </ns0:c>
      <ns0:c r="R199" s="74" t="inlineStr">
        <ns0:is>
          <ns0:t>prospectus:stated market capitalisation</ns0:t>
        </ns0:is>
      </ns0:c>
      <ns0:c r="S199" s="80" t="n">
        <ns0:v>1.27</ns0:v>
      </ns0:c>
      <ns0:c r="T199" s="81" t="n">
        <ns0:v>3.4</ns0:v>
      </ns0:c>
      <ns0:c r="U199" s="82" t="n">
        <ns0:v>16.9</ns0:v>
      </ns0:c>
      <ns0:c r="V199" s="83" t="n">
        <ns0:v>126</ns0:v>
      </ns0:c>
      <ns0:c r="W199" s="84" t="n"/>
      <ns0:c r="X199" s="85" t="n"/>
      <ns0:c r="Y199" s="79" t="n">
        <ns0:v>1130.33</ns0:v>
      </ns0:c>
      <ns0:c r="Z199" s="79" t="n">
        <ns0:v>18652709</ns0:v>
      </ns0:c>
      <ns0:c r="AA199" s="78" t="n">
        <ns0:v>8.640000000000001</ns0:v>
      </ns0:c>
      <ns0:c r="AB199" s="74" t="inlineStr">
        <ns0:is>
          <ns0:t>China Universal Asset Management Co., Ltd; Kelun International Development Co., Limited; Laurion Capital Master Fund Ltd; RTW Master Fund, Ltd; TruMed Healthcare Master Fund and TruMed Health Innovation Fund LP</ns0:t>
        </ns0:is>
      </ns0:c>
      <ns0:c r="AC199" s="74" t="inlineStr">
        <ns0:is>
          <ns0:t>universal;kelun;laurion;rtw;trumed</ns0:t>
        </ns0:is>
      </ns0:c>
      <ns0:c r="AD199" s="78" t="n">
        <ns0:v>8.9</ns0:v>
      </ns0:c>
      <ns0:c r="AE199" s="74" t="inlineStr">
        <ns0:is>
          <ns0:t>full</ns0:t>
        </ns0:is>
      </ns0:c>
      <ns0:c r="AF199" s="74" t="inlineStr">
        <ns0:is>
          <ns0:t>2023-08-03</ns0:t>
        </ns0:is>
      </ns0:c>
      <ns0:c r="AG199" s="74" t="inlineStr">
        <ns0:is>
          <ns0:t>Goldman Sachs</ns0:t>
        </ns0:is>
      </ns0:c>
      <ns0:c r="AH199" s="74" t="inlineStr">
        <ns0:is>
          <ns0:t>Goldman Sachs</ns0:t>
        </ns0:is>
      </ns0:c>
      <ns0:c r="AI199" s="86" t="n">
        <ns0:v>0</ns0:v>
      </ns0:c>
      <ns0:c r="AJ199" s="87" t="n">
        <ns0:v>3.14</ns0:v>
      </ns0:c>
      <ns0:c r="AK199" s="87" t="n">
        <ns0:v>0.8100000000000001</ns0:v>
      </ns0:c>
      <ns0:c r="AL199" s="87" t="n">
        <ns0:v>0</ns0:v>
      </ns0:c>
      <ns0:c r="AM199" s="87" t="n">
        <ns0:v>3.14</ns0:v>
      </ns0:c>
      <ns0:c r="AN199" s="88" t="n"/>
      <ns0:c r="AO199" s="78" t="n">
        <ns0:v>6.44</ns0:v>
      </ns0:c>
      <ns0:c r="AP199" s="87" t="n">
        <ns0:v>8.91</ns0:v>
      </ns0:c>
      <ns0:c r="AQ199" s="87" t="n">
        <ns0:v>19.64</ns0:v>
      </ns0:c>
      <ns0:c r="AR199" s="87" t="n">
        <ns0:v>33.66</ns0:v>
      </ns0:c>
      <ns0:c r="AS199" s="87" t="n">
        <ns0:v>5.59</ns0:v>
      </ns0:c>
      <ns0:c r="AT199" s="87" t="n">
        <ns0:v>16</ns0:v>
      </ns0:c>
      <ns0:c r="AU199" s="87" t="n">
        <ns0:v>29.59</ns0:v>
      </ns0:c>
      <ns0:c r="AV199" s="87" t="n">
        <ns0:v>8.56</ns0:v>
      </ns0:c>
      <ns0:c r="AW199" s="87" t="n">
        <ns0:v>19.74</ns0:v>
      </ns0:c>
      <ns0:c r="AX199" s="87" t="n">
        <ns0:v>27.77</ns0:v>
      </ns0:c>
      <ns0:c r="AY199" s="87" t="n">
        <ns0:v>16.9</ns0:v>
      </ns0:c>
      <ns0:c r="AZ199" s="87" t="n">
        <ns0:v>-0.1</ns0:v>
      </ns0:c>
      <ns0:c r="BA199" s="87" t="n">
        <ns0:v>-0.9</ns0:v>
      </ns0:c>
      <ns0:c r="BB199" s="74" t="inlineStr">
        <ns0:is>
          <ns0:t>China Biotech ETF (HS biotech proxy)</ns0:t>
        </ns0:is>
      </ns0:c>
      <ns0:c r="BC199" s="87" t="n">
        <ns0:v>679.21</ns0:v>
      </ns0:c>
      <ns0:c r="BD199" s="75" t="n">
        <ns0:v>46297</ns0:v>
      </ns0:c>
      <ns0:c r="BE199" s="76" t="n">
        <ns0:v>884.3</ns0:v>
      </ns0:c>
      <ns0:c r="BF199" s="79" t="n">
        <ns0:v>-677.7</ns0:v>
      </ns0:c>
      <ns0:c r="BG199" s="74" t="inlineStr">
        <ns0:is>
          <ns0:t>N</ns0:t>
        </ns0:is>
      </ns0:c>
      <ns0:c r="BH199" s="74" t="inlineStr">
        <ns0:is>
          <ns0:t>n/m</ns0:t>
        </ns0:is>
      </ns0:c>
      <ns0:c r="BI199" s="88" t="n"/>
      <ns0:c r="BJ199" s="89" t="n">
        <ns0:v>692.3</ns0:v>
      </ns0:c>
      <ns0:c r="BK199" s="89" t="n">
        <ns0:v>14.8</ns0:v>
      </ns0:c>
      <ns0:c r="BL199" s="90">
        <ns0:f>IFERROR(IF('BBG Verify'!S199="","Awaiting Bloomberg",'BBG Verify'!S199),"Awaiting Bloomberg")</ns0:f>
        <ns0:v/>
      </ns0:c>
      <ns0:c r="BM199" s="91" t="inlineStr">
        <ns0:is>
          <ns0:t>N</ns0:t>
        </ns0:is>
      </ns0:c>
      <ns0:c r="BN199" s="92">
        <ns0:f>IFERROR(IF('BBG Verify'!K199="","Awaiting Bloomberg",'BBG Verify'!K199),"Awaiting Bloomberg")</ns0:f>
        <ns0:v/>
      </ns0:c>
      <ns0:c r="BO199" s="74" t="inlineStr">
        <ns0:is>
          <ns0:t>N/A</ns0:t>
        </ns0:is>
      </ns0:c>
      <ns0:c r="BP199" s="74" t="inlineStr">
        <ns0:is>
          <ns0:t>N/A</ns0:t>
        </ns0:is>
      </ns0:c>
      <ns0:c r="BQ199" s="74" t="inlineStr">
        <ns0:is>
          <ns0:t>N/A</ns0:t>
        </ns0:is>
      </ns0:c>
      <ns0:c r="BR199" s="74" t="inlineStr">
        <ns0:is>
          <ns0:t>N/A</ns0:t>
        </ns0:is>
      </ns0:c>
      <ns0:c r="BS199" s="74" t="inlineStr">
        <ns0:is>
          <ns0:t>N/A</ns0:t>
        </ns0:is>
      </ns0:c>
      <ns0:c r="BT199" s="74" t="inlineStr">
        <ns0:is>
          <ns0:t>N/A</ns0:t>
        </ns0:is>
      </ns0:c>
      <ns0:c r="BU199" s="91" t="inlineStr">
        <ns0:is>
          <ns0:t>Goldman Sachs (Asia) L.L.C; CITIC Securities (Hong Kong) Limited</ns0:t>
        </ns0:is>
      </ns0:c>
      <ns0:c r="BV199" s="74" t="inlineStr">
        <ns0:is>
          <ns0:t>Goldman Sachs (Asia) L.L.C.; CITIC Securities (Hong Kong) Limited</ns0:t>
        </ns0:is>
      </ns0:c>
      <ns0:c r="BW199" s="74" t="inlineStr">
        <ns0:is>
          <ns0:t>Goldman Sachs (Asia) L.L.C; CLSA Limited; Citigroup Global Markets Asia Limited; Citigroup Global Markets Limited; 144 – ICBC International Securities Limited; BOCOM International Securities Limited</ns0:t>
        </ns0:is>
      </ns0:c>
      <ns0:c r="BX199" s="74" t="inlineStr">
        <ns0:is>
          <ns0:t>Beta International Securities Limited; Citigroup Global Markets Asia Limited; CLSA Limited; Goldman Sachs (Asia) L.L.C.; ICBC International Securities Limited</ns0:t>
        </ns0:is>
      </ns0:c>
      <ns0:c r="BY199" s="93">
        <ns0:f>HYPERLINK("https://www1.hkexnews.hk/listedco/listconews/sehk/2023/0629/2023062900043.pdf","prospectus")</ns0:f>
        <ns0:v/>
      </ns0:c>
      <ns0:c r="BZ199" s="93">
        <ns0:f>HYPERLINK("https://www1.hkexnews.hk/listedco/listconews/sehk/2023/0710/2023071000008.htm","allotment")</ns0:f>
        <ns0:v/>
      </ns0:c>
      <ns0:c r="CA199" s="93">
        <ns0:f>HYPERLINK("https://www1.hkexnews.hk/listedco/listconews/sehk/2023/0803/2023080302096.pdf","stabilisation")</ns0:f>
        <ns0:v/>
      </ns0:c>
      <ns0:c r="CB199" s="94" t="n"/>
      <ns0:c r="CC199" s="74" t="inlineStr">
        <ns0:is>
          <ns0:t>P/E: loss-making at IPO, use P/S; cornerstone: % from the prospectus; AAStocks table includes non-cornerstone orders; deal size: stated gross HK$54.5m rejected, below the net proceeds of HK$1,258.9m; allocation: allocation table not in this notice's format (older prose announcement); day-1 tape: volume on file; the retail multiple needs the final public split, which this notice does not state</ns0:t>
        </ns0:is>
      </ns0:c>
    </ns0:row>
    <ns0:row r="200" ht="22" customHeight="1">
      <ns0:c r="A200" s="73" t="inlineStr">
        <ns0:is>
          <ns0:t>3650</ns0:t>
        </ns0:is>
      </ns0:c>
      <ns0:c r="B200" s="74" t="inlineStr">
        <ns0:is>
          <ns0:t>KEEP</ns0:t>
        </ns0:is>
      </ns0:c>
      <ns0:c r="C200" s="74" t="inlineStr">
        <ns0:is>
          <ns0:t>KEEP</ns0:t>
        </ns0:is>
      </ns0:c>
      <ns0:c r="D200" s="74" t="inlineStr">
        <ns0:is>
          <ns0:t>Technology</ns0:t>
        </ns0:is>
      </ns0:c>
      <ns0:c r="E200" s="74" t="inlineStr">
        <ns0:is>
          <ns0:t>Internet &amp; fintech</ns0:t>
        </ns0:is>
      </ns0:c>
      <ns0:c r="F200" s="74" t="inlineStr">
        <ns0:is>
          <ns0:t>Leisure Products</ns0:t>
        </ns0:is>
      </ns0:c>
      <ns0:c r="G200" s="74" t="inlineStr">
        <ns0:is>
          <ns0:t>Standard</ns0:t>
        </ns0:is>
      </ns0:c>
      <ns0:c r="H200" s="75" t="n">
        <ns0:v>45119</ns0:v>
      </ns0:c>
      <ns0:c r="I200" s="76" t="n">
        <ns0:v>313.5</ns0:v>
      </ns0:c>
      <ns0:c r="J200" s="74" t="inlineStr">
        <ns0:is>
          <ns0:t>gross (price x shares)</ns0:t>
        </ns0:is>
      </ns0:c>
      <ns0:c r="K200" s="95" t="n"/>
      <ns0:c r="L200" s="77" t="n">
        <ns0:v>28.92</ns0:v>
      </ns0:c>
      <ns0:c r="M200" s="77" t="n">
        <ns0:v>28.92</ns0:v>
      </ns0:c>
      <ns0:c r="N200" s="74" t="inlineStr">
        <ns0:is>
          <ns0:t>Y</ns0:t>
        </ns0:is>
      </ns0:c>
      <ns0:c r="O200" s="78" t="n">
        <ns0:v>100</ns0:v>
      </ns0:c>
      <ns0:c r="P200" s="84" t="n"/>
      <ns0:c r="Q200" s="79" t="n">
        <ns0:v>23755.1</ns0:v>
      </ns0:c>
      <ns0:c r="R200" s="74" t="inlineStr">
        <ns0:is>
          <ns0:t>aastocks:上市市值 at the struck price</ns0:t>
        </ns0:is>
      </ns0:c>
      <ns0:c r="S200" s="80" t="n">
        <ns0:v>3.08</ns0:v>
      </ns0:c>
      <ns0:c r="T200" s="81" t="n">
        <ns0:v>1.37</ns0:v>
      </ns0:c>
      <ns0:c r="U200" s="82" t="n">
        <ns0:v>13.8</ns0:v>
      </ns0:c>
      <ns0:c r="V200" s="83" t="n">
        <ns0:v>111</ns0:v>
      </ns0:c>
      <ns0:c r="W200" s="84" t="n"/>
      <ns0:c r="X200" s="85" t="n"/>
      <ns0:c r="Y200" s="79" t="n">
        <ns0:v>270.24</ns0:v>
      </ns0:c>
      <ns0:c r="Z200" s="79" t="n">
        <ns0:v>9342873</ns0:v>
      </ns0:c>
      <ns0:c r="AA200" s="78" t="n">
        <ns0:v>1.14</ns0:v>
      </ns0:c>
      <ns0:c r="AB200" s="74" t="inlineStr">
        <ns0:is>
          <ns0:t>Fuqing Shengde Calorie Investment Co., Ltd; Shenzhen Fenda Technology Co., Ltd; Xiamen Evere Sports Goods Co., Ltd</ns0:t>
        </ns0:is>
      </ns0:c>
      <ns0:c r="AC200" s="74" t="inlineStr">
        <ns0:is>
          <ns0:t>fuqing;shenzhen-fenda;xiamen</ns0:t>
        </ns0:is>
      </ns0:c>
      <ns0:c r="AD200" s="84" t="n"/>
      <ns0:c r="AE200" s="74" t="inlineStr">
        <ns0:is>
          <ns0:t>lapsed</ns0:t>
        </ns0:is>
      </ns0:c>
      <ns0:c r="AF200" s="74" t="inlineStr">
        <ns0:is>
          <ns0:t>2023-08-04</ns0:t>
        </ns0:is>
      </ns0:c>
      <ns0:c r="AG200" s="74" t="inlineStr">
        <ns0:is>
          <ns0:t>China International Capital Corporation Hong Kong Securities Limited</ns0:t>
        </ns0:is>
      </ns0:c>
      <ns0:c r="AH200" s="74" t="inlineStr">
        <ns0:is>
          <ns0:t>China International</ns0:t>
        </ns0:is>
      </ns0:c>
      <ns0:c r="AI200" s="86" t="n">
        <ns0:v>2.01</ns0:v>
      </ns0:c>
      <ns0:c r="AJ200" s="87" t="n">
        <ns0:v>0.28</ns0:v>
      </ns0:c>
      <ns0:c r="AK200" s="87" t="n">
        <ns0:v>2.04</ns0:v>
      </ns0:c>
      <ns0:c r="AL200" s="87" t="n">
        <ns0:v>4.77</ns0:v>
      </ns0:c>
      <ns0:c r="AM200" s="87" t="n">
        <ns0:v>-4.29</ns0:v>
      </ns0:c>
      <ns0:c r="AN200" s="88" t="n"/>
      <ns0:c r="AO200" s="78" t="n">
        <ns0:v>11.39</ns0:v>
      </ns0:c>
      <ns0:c r="AP200" s="87" t="n">
        <ns0:v>-0.24</ns0:v>
      </ns0:c>
      <ns0:c r="AQ200" s="87" t="n">
        <ns0:v>9.27</ns0:v>
      </ns0:c>
      <ns0:c r="AR200" s="87" t="n">
        <ns0:v>0.62</ns0:v>
      </ns0:c>
      <ns0:c r="AS200" s="87" t="n">
        <ns0:v>-0.52</ns0:v>
      </ns0:c>
      <ns0:c r="AT200" s="87" t="n">
        <ns0:v>8.960000000000001</ns0:v>
      </ns0:c>
      <ns0:c r="AU200" s="87" t="n">
        <ns0:v>0.34</ns0:v>
      </ns0:c>
      <ns0:c r="AV200" s="87" t="n">
        <ns0:v>-1.92</ns0:v>
      </ns0:c>
      <ns0:c r="AW200" s="87" t="n">
        <ns0:v>2.04</ns0:v>
      </ns0:c>
      <ns0:c r="AX200" s="87" t="n">
        <ns0:v>3.63</ns0:v>
      </ns0:c>
      <ns0:c r="AY200" s="87" t="n">
        <ns0:v>3.87</ns0:v>
      </ns0:c>
      <ns0:c r="AZ200" s="87" t="n">
        <ns0:v>7.23</ns0:v>
      </ns0:c>
      <ns0:c r="BA200" s="87" t="n">
        <ns0:v>5.09</ns0:v>
      </ns0:c>
      <ns0:c r="BB200" s="74" t="inlineStr">
        <ns0:is>
          <ns0:t>HSTECH (Hang Seng TECH ETF)</ns0:t>
        </ns0:is>
      </ns0:c>
      <ns0:c r="BC200" s="87" t="n">
        <ns0:v>-95.14</ns0:v>
      </ns0:c>
      <ns0:c r="BD200" s="75" t="n">
        <ns0:v>46297</ns0:v>
      </ns0:c>
      <ns0:c r="BE200" s="76" t="n">
        <ns0:v>959.7</ns0:v>
      </ns0:c>
      <ns0:c r="BF200" s="79" t="n">
        <ns0:v>-115</ns0:v>
      </ns0:c>
      <ns0:c r="BG200" s="74" t="inlineStr">
        <ns0:is>
          <ns0:t>N</ns0:t>
        </ns0:is>
      </ns0:c>
      <ns0:c r="BH200" s="74" t="inlineStr">
        <ns0:is>
          <ns0:t>n/m</ns0:t>
        </ns0:is>
      </ns0:c>
      <ns0:c r="BI200" s="88" t="n"/>
      <ns0:c r="BJ200" s="88" t="n"/>
      <ns0:c r="BK200" s="89" t="n">
        <ns0:v>24.8</ns0:v>
      </ns0:c>
      <ns0:c r="BL200" s="90">
        <ns0:f>IFERROR(IF('BBG Verify'!S200="","Awaiting Bloomberg",'BBG Verify'!S200),"Awaiting Bloomberg")</ns0:f>
        <ns0:v/>
      </ns0:c>
      <ns0:c r="BM200" s="91" t="inlineStr">
        <ns0:is>
          <ns0:t>N</ns0:t>
        </ns0:is>
      </ns0:c>
      <ns0:c r="BN200" s="92">
        <ns0:f>IFERROR(IF('BBG Verify'!K200="","Awaiting Bloomberg",'BBG Verify'!K200),"Awaiting Bloomberg")</ns0:f>
        <ns0:v/>
      </ns0:c>
      <ns0:c r="BO200" s="74" t="inlineStr">
        <ns0:is>
          <ns0:t>N/A</ns0:t>
        </ns0:is>
      </ns0:c>
      <ns0:c r="BP200" s="74" t="inlineStr">
        <ns0:is>
          <ns0:t>N/A</ns0:t>
        </ns0:is>
      </ns0:c>
      <ns0:c r="BQ200" s="74" t="inlineStr">
        <ns0:is>
          <ns0:t>N/A</ns0:t>
        </ns0:is>
      </ns0:c>
      <ns0:c r="BR200" s="74" t="inlineStr">
        <ns0:is>
          <ns0:t>N/A</ns0:t>
        </ns0:is>
      </ns0:c>
      <ns0:c r="BS200" s="74" t="inlineStr">
        <ns0:is>
          <ns0:t>N/A</ns0:t>
        </ns0:is>
      </ns0:c>
      <ns0:c r="BT200" s="74" t="inlineStr">
        <ns0:is>
          <ns0:t>N/A</ns0:t>
        </ns0:is>
      </ns0:c>
      <ns0:c r="BU200" s="91" t="inlineStr">
        <ns0:is>
          <ns0:t>China International Capital Corporation Hong Kong Securities Limited</ns0:t>
        </ns0:is>
      </ns0:c>
      <ns0:c r="BV200" s="74" t="inlineStr">
        <ns0:is>
          <ns0:t>China International Capital Corporation Hong Kong Securities Limited</ns0:t>
        </ns0:is>
      </ns0:c>
      <ns0:c r="BW200" s="74" t="inlineStr">
        <ns0:is>
          <ns0:t>China International Capital Corporation Hong Kong Securities Limited; GF Securities (Hong Kong) Brokerage Limited; CCB International Capital Limited; CMB International Capital Limited; Futu Securities International (Hong Kong) Limited; Tiger Brokers (HK) Global Limited</ns0:t>
        </ns0:is>
      </ns0:c>
      <ns0:c r="BX200" s="74" t="inlineStr">
        <ns0:is>
          <ns0:t>CCB International Capital Limited; China International Capital Corporation Hong Kong Securities Limited; CMB International Capital Limited; Futu Securities International (Hong Kong) Limited; GF Securities (Hong Kong) Brokerage Limited; Tiger Brokers (HK) Global Limited</ns0:t>
        </ns0:is>
      </ns0:c>
      <ns0:c r="BY200" s="93">
        <ns0:f>HYPERLINK("https://www1.hkexnews.hk/listedco/listconews/sehk/2023/0630/2023063000230.htm","prospectus")</ns0:f>
        <ns0:v/>
      </ns0:c>
      <ns0:c r="BZ200" s="93">
        <ns0:f>HYPERLINK("https://www1.hkexnews.hk/listedco/listconews/sehk/2023/0711/2023071100048.htm","allotment")</ns0:f>
        <ns0:v/>
      </ns0:c>
      <ns0:c r="CA200" s="93">
        <ns0:f>HYPERLINK("https://www1.hkexnews.hk/listedco/listconews/sehk/2023/0804/2023080401672.pdf","stabilisation")</ns0:f>
        <ns0:v/>
      </ns0:c>
      <ns0:c r="CB200" s="94" t="n"/>
      <ns0:c r="CC200" s="74" t="inlineStr">
        <ns0:is>
          <ns0: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allocation: allocation table not in this notice's format (older prose announcement); day-1 tape: volume on file; the retail multiple needs the final public split, which this notice does not state</ns0:t>
        </ns0:is>
      </ns0:c>
    </ns0:row>
    <ns0:row r="201" ht="22" customHeight="1">
      <ns0:c r="A201" s="73" t="inlineStr">
        <ns0:is>
          <ns0:t>6683</ns0:t>
        </ns0:is>
      </ns0:c>
      <ns0:c r="B201" s="74" t="inlineStr">
        <ns0:is>
          <ns0:t>STARPLUS LEGEND</ns0:t>
        </ns0:is>
      </ns0:c>
      <ns0:c r="C201" s="74" t="inlineStr">
        <ns0:is>
          <ns0:t>巨星傳奇</ns0:t>
        </ns0:is>
      </ns0:c>
      <ns0:c r="D201" s="74" t="inlineStr">
        <ns0:is>
          <ns0:t>Media &amp; telecom</ns0:t>
        </ns0:is>
      </ns0:c>
      <ns0:c r="E201" s="74" t="inlineStr">
        <ns0:is>
          <ns0:t>Media / advertising</ns0:t>
        </ns0:is>
      </ns0:c>
      <ns0:c r="F201" s="74" t="inlineStr">
        <ns0:is>
          <ns0:t>Beverages (Non-alcoholic)</ns0:t>
        </ns0:is>
      </ns0:c>
      <ns0:c r="G201" s="74" t="inlineStr">
        <ns0:is>
          <ns0:t>Standard</ns0:t>
        </ns0:is>
      </ns0:c>
      <ns0:c r="H201" s="75" t="n">
        <ns0:v>45120</ns0:v>
      </ns0:c>
      <ns0:c r="I201" s="76" t="n">
        <ns0:v>245.2</ns0:v>
      </ns0:c>
      <ns0:c r="J201" s="74" t="inlineStr">
        <ns0:is>
          <ns0:t>net proceeds</ns0:t>
        </ns0:is>
      </ns0:c>
      <ns0:c r="K201" s="95" t="n"/>
      <ns0:c r="L201" s="77" t="n">
        <ns0:v>4.25</ns0:v>
      </ns0:c>
      <ns0:c r="M201" s="77" t="n">
        <ns0:v>4.25</ns0:v>
      </ns0:c>
      <ns0:c r="N201" s="74" t="inlineStr">
        <ns0:is>
          <ns0:t>Y</ns0:t>
        </ns0:is>
      </ns0:c>
      <ns0:c r="O201" s="78" t="n">
        <ns0:v>100</ns0:v>
      </ns0:c>
      <ns0:c r="P201" s="84" t="n"/>
      <ns0:c r="Q201" s="79" t="n">
        <ns0:v>10660.9</ns0:v>
      </ns0:c>
      <ns0:c r="R201" s="74" t="inlineStr">
        <ns0:is>
          <ns0:t>derived:deal size / offer % of enlarged capital</ns0:t>
        </ns0:is>
      </ns0:c>
      <ns0:c r="S201" s="80" t="n">
        <ns0:v>12.99</ns0:v>
      </ns0:c>
      <ns0:c r="T201" s="81" t="n">
        <ns0:v>1.15</ns0:v>
      </ns0:c>
      <ns0:c r="U201" s="82" t="n">
        <ns0:v>3.3</ns0:v>
      </ns0:c>
      <ns0:c r="V201" s="83" t="n">
        <ns0:v>147</ns0:v>
      </ns0:c>
      <ns0:c r="W201" s="84" t="n"/>
      <ns0:c r="X201" s="85" t="n"/>
      <ns0:c r="Y201" s="79" t="n">
        <ns0:v>237.11</ns0:v>
      </ns0:c>
      <ns0:c r="Z201" s="97" t="n"/>
      <ns0:c r="AA201" s="78" t="n">
        <ns0:v>2.22</ns0:v>
      </ns0:c>
      <ns0:c r="AB201" s="74" t="inlineStr">
        <ns0:is>
          <ns0:t>Blink Field Limited; NETDRAGON WEBSOFT INC</ns0:t>
        </ns0:is>
      </ns0:c>
      <ns0:c r="AC201" s="74" t="inlineStr">
        <ns0:is>
          <ns0:t>blink;netdragon</ns0:t>
        </ns0:is>
      </ns0:c>
      <ns0:c r="AD201" s="78" t="n">
        <ns0:v>17.9</ns0:v>
      </ns0:c>
      <ns0:c r="AE201" s="74" t="inlineStr">
        <ns0:is>
          <ns0:t>partial</ns0:t>
        </ns0:is>
      </ns0:c>
      <ns0:c r="AF201" s="74" t="inlineStr">
        <ns0:is>
          <ns0:t>2023-08-04</ns0:t>
        </ns0:is>
      </ns0:c>
      <ns0:c r="AG201" s="74" t="inlineStr">
        <ns0:is>
          <ns0:t>Bradbury Securities Limited</ns0:t>
        </ns0:is>
      </ns0:c>
      <ns0:c r="AH201" s="74" t="inlineStr">
        <ns0:is>
          <ns0:t>Bradbury</ns0:t>
        </ns0:is>
      </ns0:c>
      <ns0:c r="AI201" s="86" t="n">
        <ns0:v>33.41</ns0:v>
      </ns0:c>
      <ns0:c r="AJ201" s="87" t="n">
        <ns0:v>23.76</ns0:v>
      </ns0:c>
      <ns0:c r="AK201" s="87" t="n">
        <ns0:v>2.6</ns0:v>
      </ns0:c>
      <ns0:c r="AL201" s="87" t="n">
        <ns0:v>35.29</ns0:v>
      </ns0:c>
      <ns0:c r="AM201" s="87" t="n">
        <ns0:v>-8.52</ns0:v>
      </ns0:c>
      <ns0:c r="AN201" s="88" t="n"/>
      <ns0:c r="AO201" s="78" t="n">
        <ns0:v>19.13</ns0:v>
      </ns0:c>
      <ns0:c r="AP201" s="87" t="n">
        <ns0:v>67.06</ns0:v>
      </ns0:c>
      <ns0:c r="AQ201" s="87" t="n">
        <ns0:v>34.35</ns0:v>
      </ns0:c>
      <ns0:c r="AR201" s="87" t="n">
        <ns0:v>102.35</ns0:v>
      </ns0:c>
      <ns0:c r="AS201" s="87" t="n">
        <ns0:v>34.99</ns0:v>
      </ns0:c>
      <ns0:c r="AT201" s="87" t="n">
        <ns0:v>8.56</ns0:v>
      </ns0:c>
      <ns0:c r="AU201" s="87" t="n">
        <ns0:v>63.5</ns0:v>
      </ns0:c>
      <ns0:c r="AV201" s="87" t="n">
        <ns0:v>65.92</ns0:v>
      </ns0:c>
      <ns0:c r="AW201" s="87" t="n">
        <ns0:v>34.81</ns0:v>
      </ns0:c>
      <ns0:c r="AX201" s="87" t="n">
        <ns0:v>108.82</ns0:v>
      </ns0:c>
      <ns0:c r="AY201" s="87" t="n">
        <ns0:v>11.54</ns0:v>
      </ns0:c>
      <ns0:c r="AZ201" s="87" t="n">
        <ns0:v>-0.46</ns0:v>
      </ns0:c>
      <ns0:c r="BA201" s="87" t="n">
        <ns0:v>-2.98</ns0:v>
      </ns0:c>
      <ns0:c r="BB201" s="74" t="inlineStr">
        <ns0:is>
          <ns0:t>Hang Seng Index</ns0:t>
        </ns0:is>
      </ns0:c>
      <ns0:c r="BC201" s="87" t="n">
        <ns0:v>-12.12</ns0:v>
      </ns0:c>
      <ns0:c r="BD201" s="75" t="n">
        <ns0:v>46297</ns0:v>
      </ns0:c>
      <ns0:c r="BE201" s="76" t="n">
        <ns0:v>401.9</ns0:v>
      </ns0:c>
      <ns0:c r="BF201" s="79" t="n">
        <ns0:v>47.2</ns0:v>
      </ns0:c>
      <ns0:c r="BG201" s="74" t="inlineStr">
        <ns0:is>
          <ns0:t>Y</ns0:t>
        </ns0:is>
      </ns0:c>
      <ns0:c r="BH201" s="89" t="n">
        <ns0:v>225.9</ns0:v>
      </ns0:c>
      <ns0:c r="BI201" s="88" t="n"/>
      <ns0:c r="BJ201" s="88" t="n"/>
      <ns0:c r="BK201" s="89" t="n">
        <ns0:v>26.5</ns0:v>
      </ns0:c>
      <ns0:c r="BL201" s="90">
        <ns0:f>IFERROR(IF('BBG Verify'!S201="","Awaiting Bloomberg",'BBG Verify'!S201),"Awaiting Bloomberg")</ns0:f>
        <ns0:v/>
      </ns0:c>
      <ns0:c r="BM201" s="91" t="inlineStr">
        <ns0:is>
          <ns0:t>N</ns0:t>
        </ns0:is>
      </ns0:c>
      <ns0:c r="BN201" s="92">
        <ns0:f>IFERROR(IF('BBG Verify'!K201="","Awaiting Bloomberg",'BBG Verify'!K201),"Awaiting Bloomberg")</ns0:f>
        <ns0:v/>
      </ns0:c>
      <ns0:c r="BO201" s="74" t="inlineStr">
        <ns0:is>
          <ns0:t>N/A</ns0:t>
        </ns0:is>
      </ns0:c>
      <ns0:c r="BP201" s="74" t="inlineStr">
        <ns0:is>
          <ns0:t>N/A</ns0:t>
        </ns0:is>
      </ns0:c>
      <ns0:c r="BQ201" s="74" t="inlineStr">
        <ns0:is>
          <ns0:t>N/A</ns0:t>
        </ns0:is>
      </ns0:c>
      <ns0:c r="BR201" s="74" t="inlineStr">
        <ns0:is>
          <ns0:t>N/A</ns0:t>
        </ns0:is>
      </ns0:c>
      <ns0:c r="BS201" s="74" t="inlineStr">
        <ns0:is>
          <ns0:t>N/A</ns0:t>
        </ns0:is>
      </ns0:c>
      <ns0:c r="BT201" s="74" t="inlineStr">
        <ns0:is>
          <ns0:t>N/A</ns0:t>
        </ns0:is>
      </ns0:c>
      <ns0:c r="BU201" s="91" t="inlineStr">
        <ns0:is>
          <ns0:t>CMBC International Capital Limited</ns0:t>
        </ns0:is>
      </ns0:c>
      <ns0:c r="BV201" s="74" t="inlineStr">
        <ns0:is>
          <ns0:t>CMBC International Capital Limited</ns0:t>
        </ns0:is>
      </ns0:c>
      <ns0:c r="BW201" s="74" t="inlineStr">
        <ns0:is>
          <ns0:t>ABCI Capital Limited</ns0:t>
        </ns0:is>
      </ns0:c>
      <ns0:c r="BX201" s="74" t="inlineStr">
        <ns0:is>
          <ns0: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ns0:t>
        </ns0:is>
      </ns0:c>
      <ns0:c r="BY201" s="93">
        <ns0:f>HYPERLINK("https://www1.hkexnews.hk/listedco/listconews/sehk/2023/0630/2023063000037.pdf","prospectus")</ns0:f>
        <ns0:v/>
      </ns0:c>
      <ns0:c r="BZ201" s="93">
        <ns0:f>HYPERLINK("https://www1.hkexnews.hk/listedco/listconews/sehk/2023/0712/2023071200010.htm","allotment")</ns0:f>
        <ns0:v/>
      </ns0:c>
      <ns0:c r="CA201" s="93">
        <ns0:f>HYPERLINK("https://www1.hkexnews.hk/listedco/listconews/sehk/2023/0804/2023080401278.pdf","stabilisation")</ns0:f>
        <ns0:v/>
      </ns0:c>
      <ns0:c r="CB201" s="94" t="n"/>
      <ns0:c r="CC201" s="74" t="inlineStr">
        <ns0:is>
          <ns0:t>range low: maximum offer price only, no floor published; cornerstone: % from the prospectus; AAStocks table includes non-cornerstone orders;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202" ht="22" customHeight="1">
      <ns0:c r="A202" s="73" t="inlineStr">
        <ns0:is>
          <ns0:t>1284</ns0:t>
        </ns0:is>
      </ns0:c>
      <ns0:c r="B202" s="74" t="inlineStr">
        <ns0:is>
          <ns0:t>NEW MEDIA LAB</ns0:t>
        </ns0:is>
      </ns0:c>
      <ns0:c r="C202" s="74" t="inlineStr">
        <ns0:is>
          <ns0:t>新傳企劃</ns0:t>
        </ns0:is>
      </ns0:c>
      <ns0:c r="D202" s="74" t="inlineStr">
        <ns0:is>
          <ns0:t>Media &amp; telecom</ns0:t>
        </ns0:is>
      </ns0:c>
      <ns0:c r="E202" s="74" t="inlineStr">
        <ns0:is>
          <ns0:t>Media / advertising</ns0:t>
        </ns0:is>
      </ns0:c>
      <ns0:c r="F202" s="74" t="inlineStr">
        <ns0:is>
          <ns0:t>Advertising</ns0:t>
        </ns0:is>
      </ns0:c>
      <ns0:c r="G202" s="74" t="inlineStr">
        <ns0:is>
          <ns0:t>Standard</ns0:t>
        </ns0:is>
      </ns0:c>
      <ns0:c r="H202" s="75" t="n">
        <ns0:v>45125</ns0:v>
      </ns0:c>
      <ns0:c r="I202" s="76" t="n">
        <ns0:v>138</ns0:v>
      </ns0:c>
      <ns0:c r="J202" s="74" t="inlineStr">
        <ns0:is>
          <ns0:t>gross (price x shares)</ns0:t>
        </ns0:is>
      </ns0:c>
      <ns0:c r="K202" s="77" t="n">
        <ns0:v>0.84</ns0:v>
      </ns0:c>
      <ns0:c r="L202" s="77" t="n">
        <ns0:v>0.92</ns0:v>
      </ns0:c>
      <ns0:c r="M202" s="77" t="n">
        <ns0:v>0.92</ns0:v>
      </ns0:c>
      <ns0:c r="N202" s="74" t="inlineStr">
        <ns0:is>
          <ns0:t>Y</ns0:t>
        </ns0:is>
      </ns0:c>
      <ns0:c r="O202" s="78" t="n">
        <ns0:v>100</ns0:v>
      </ns0:c>
      <ns0:c r="P202" s="78" t="n">
        <ns0:v>100</ns0:v>
      </ns0:c>
      <ns0:c r="Q202" s="79" t="n">
        <ns0:v>552</ns0:v>
      </ns0:c>
      <ns0:c r="R202" s="74" t="inlineStr">
        <ns0:is>
          <ns0:t>derived:deal size / offer % of enlarged capital</ns0:t>
        </ns0:is>
      </ns0:c>
      <ns0:c r="S202" s="80" t="n">
        <ns0:v>1.5</ns0:v>
      </ns0:c>
      <ns0:c r="T202" s="81" t="n">
        <ns0:v>1.5</ns0:v>
      </ns0:c>
      <ns0:c r="U202" s="82" t="n">
        <ns0:v>0</ns0:v>
      </ns0:c>
      <ns0:c r="V202" s="83" t="n">
        <ns0:v>177</ns0:v>
      </ns0:c>
      <ns0:c r="W202" s="84" t="n"/>
      <ns0:c r="X202" s="85" t="n"/>
      <ns0:c r="Y202" s="79" t="n">
        <ns0:v>138</ns0:v>
      </ns0:c>
      <ns0:c r="Z202" s="79" t="n">
        <ns0:v>150000000</ns0:v>
      </ns0:c>
      <ns0:c r="AA202" s="78" t="n">
        <ns0:v>25</ns0:v>
      </ns0:c>
      <ns0:c r="AB202" s="74" t="inlineStr">
        <ns0:is>
          <ns0:t>none — no cornerstone tranche</ns0:t>
        </ns0:is>
      </ns0:c>
      <ns0:c r="AC202" s="74" t="inlineStr">
        <ns0:is>
          <ns0:t>none</ns0:t>
        </ns0:is>
      </ns0:c>
      <ns0:c r="AD202" s="84" t="n"/>
      <ns0:c r="AE202" s="85" t="n"/>
      <ns0:c r="AF202" s="85" t="n"/>
      <ns0:c r="AG202" s="85" t="n"/>
      <ns0:c r="AH202" s="85" t="n"/>
      <ns0:c r="AI202" s="86" t="n">
        <ns0:v>2.17</ns0:v>
      </ns0:c>
      <ns0:c r="AJ202" s="87" t="n">
        <ns0:v>1.09</ns0:v>
      </ns0:c>
      <ns0:c r="AK202" s="87" t="n">
        <ns0:v>-2.05</ns0:v>
      </ns0:c>
      <ns0:c r="AL202" s="87" t="n">
        <ns0:v>-4.35</ns0:v>
      </ns0:c>
      <ns0:c r="AM202" s="87" t="n">
        <ns0:v>5.69</ns0:v>
      </ns0:c>
      <ns0:c r="AN202" s="88" t="n"/>
      <ns0:c r="AO202" s="78" t="n">
        <ns0:v>10.23</ns0:v>
      </ns0:c>
      <ns0:c r="AP202" s="87" t="n">
        <ns0:v>1.09</ns0:v>
      </ns0:c>
      <ns0:c r="AQ202" s="87" t="n">
        <ns0:v>-38.04</ns0:v>
      </ns0:c>
      <ns0:c r="AR202" s="87" t="n">
        <ns0:v>-53.26</ns0:v>
      </ns0:c>
      <ns0:c r="AS202" s="87" t="n">
        <ns0:v>0</ns0:v>
      </ns0:c>
      <ns0:c r="AT202" s="87" t="n">
        <ns0:v>-38.71</ns0:v>
      </ns0:c>
      <ns0:c r="AU202" s="87" t="n">
        <ns0:v>-53.76</ns0:v>
      </ns0:c>
      <ns0:c r="AV202" s="87" t="n">
        <ns0:v>0.98</ns0:v>
      </ns0:c>
      <ns0:c r="AW202" s="87" t="n">
        <ns0:v>-32.45</ns0:v>
      </ns0:c>
      <ns0:c r="AX202" s="87" t="n">
        <ns0:v>-44.6</ns0:v>
      </ns0:c>
      <ns0:c r="AY202" s="87" t="n">
        <ns0:v>-35.1</ns0:v>
      </ns0:c>
      <ns0:c r="AZ202" s="87" t="n">
        <ns0:v>-5.59</ns0:v>
      </ns0:c>
      <ns0:c r="BA202" s="87" t="n">
        <ns0:v>-3.61</ns0:v>
      </ns0:c>
      <ns0:c r="BB202" s="74" t="inlineStr">
        <ns0:is>
          <ns0:t>Hang Seng Index</ns0:t>
        </ns0:is>
      </ns0:c>
      <ns0:c r="BC202" s="87" t="n">
        <ns0:v>-34.78</ns0:v>
      </ns0:c>
      <ns0:c r="BD202" s="75" t="n">
        <ns0:v>46297</ns0:v>
      </ns0:c>
      <ns0:c r="BE202" s="76" t="n">
        <ns0:v>240.7</ns0:v>
      </ns0:c>
      <ns0:c r="BF202" s="79" t="n">
        <ns0:v>39.4</ns0:v>
      </ns0:c>
      <ns0:c r="BG202" s="74" t="inlineStr">
        <ns0:is>
          <ns0:t>Y</ns0:t>
        </ns0:is>
      </ns0:c>
      <ns0:c r="BH202" s="89" t="n">
        <ns0:v>14</ns0:v>
      </ns0:c>
      <ns0:c r="BI202" s="88" t="n"/>
      <ns0:c r="BJ202" s="89" t="n">
        <ns0:v>22.9</ns0:v>
      </ns0:c>
      <ns0:c r="BK202" s="89" t="n">
        <ns0:v>2.3</ns0:v>
      </ns0:c>
      <ns0:c r="BL202" s="90">
        <ns0:f>IFERROR(IF('BBG Verify'!S202="","Awaiting Bloomberg",'BBG Verify'!S202),"Awaiting Bloomberg")</ns0:f>
        <ns0:v/>
      </ns0:c>
      <ns0:c r="BM202" s="91" t="inlineStr">
        <ns0:is>
          <ns0:t>N</ns0:t>
        </ns0:is>
      </ns0:c>
      <ns0:c r="BN202" s="92">
        <ns0:f>IFERROR(IF('BBG Verify'!K202="","Awaiting Bloomberg",'BBG Verify'!K202),"Awaiting Bloomberg")</ns0:f>
        <ns0:v/>
      </ns0:c>
      <ns0:c r="BO202" s="74" t="inlineStr">
        <ns0:is>
          <ns0:t>N/A</ns0:t>
        </ns0:is>
      </ns0:c>
      <ns0:c r="BP202" s="74" t="inlineStr">
        <ns0:is>
          <ns0:t>N/A</ns0:t>
        </ns0:is>
      </ns0:c>
      <ns0:c r="BQ202" s="74" t="inlineStr">
        <ns0:is>
          <ns0:t>N/A</ns0:t>
        </ns0:is>
      </ns0:c>
      <ns0:c r="BR202" s="74" t="inlineStr">
        <ns0:is>
          <ns0:t>N/A</ns0:t>
        </ns0:is>
      </ns0:c>
      <ns0:c r="BS202" s="74" t="inlineStr">
        <ns0:is>
          <ns0:t>N/A</ns0:t>
        </ns0:is>
      </ns0:c>
      <ns0:c r="BT202" s="74" t="inlineStr">
        <ns0:is>
          <ns0:t>N/A</ns0:t>
        </ns0:is>
      </ns0:c>
      <ns0:c r="BU202" s="91" t="inlineStr">
        <ns0:is>
          <ns0:t>Emperor Corporate Finance Limited; Lego Corporate Finance Limited</ns0:t>
        </ns0:is>
      </ns0:c>
      <ns0:c r="BV202" s="74" t="inlineStr">
        <ns0:is>
          <ns0:t>Emperor Corporate Finance Limited; Lego Corporate Finance Limited</ns0:t>
        </ns0:is>
      </ns0:c>
      <ns0:c r="BW202" s="74" t="inlineStr">
        <ns0:is>
          <ns0:t>Emperor Corporate Finance Limited; Lego Securities Limited; Emperor Securities Limited; China Galaxy International Securities (Hong Kong) Co., Limited</ns0:t>
        </ns0:is>
      </ns0:c>
      <ns0:c r="BX202" s="74" t="inlineStr">
        <ns0:is>
          <ns0:t>China Galaxy International Securities (Hong Kong) Company Limited; Emperor Securities Limited; Guotai Junan Securities (Hong Kong) Limited; Lego Securities Limited</ns0:t>
        </ns0:is>
      </ns0:c>
      <ns0:c r="BY202" s="93">
        <ns0:f>HYPERLINK("https://www1.hkexnews.hk/listedco/listconews/sehk/2023/0630/2023063000045.pdf","prospectus")</ns0:f>
        <ns0:v/>
      </ns0:c>
      <ns0:c r="BZ202" s="93">
        <ns0:f>HYPERLINK("https://www1.hkexnews.hk/listedco/listconews/sehk/2023/0714/2023071400016.htm","allotment")</ns0:f>
        <ns0:v/>
      </ns0:c>
      <ns0:c r="CA202" s="85" t="n"/>
      <ns0:c r="CB202" s="94" t="n"/>
      <ns0:c r="CC202" s="74" t="inlineStr">
        <ns0:is>
          <ns0:t>greenshoe: no over-allotment option; cornerstone list: no cornerstone tranche; greenshoe size: no over-allotment option; stabilising manager: no over-allotment option, so none appointed; listing date: scheduled 2023-07-17, exchange closed that day; first dealings 2023-07-18; allocation: allocation table not in this notice's format (older prose announcement); day-1 tape: volume on file; the retail multiple needs the final public split, which this notice does not state</ns0:t>
        </ns0:is>
      </ns0:c>
    </ns0:row>
    <ns0:row r="203" ht="22" customHeight="1">
      <ns0:c r="A203" s="73" t="inlineStr">
        <ns0:is>
          <ns0:t>2271</ns0:t>
        </ns0:is>
      </ns0:c>
      <ns0:c r="B203" s="74" t="inlineStr">
        <ns0:is>
          <ns0:t>ZHONGAN SERVICE</ns0:t>
        </ns0:is>
      </ns0:c>
      <ns0:c r="C203" s="74" t="inlineStr">
        <ns0:is>
          <ns0:t>眾安智慧生活</ns0:t>
        </ns0:is>
      </ns0:c>
      <ns0:c r="D203" s="74" t="inlineStr">
        <ns0:is>
          <ns0:t>Real Estate</ns0:t>
        </ns0:is>
      </ns0:c>
      <ns0:c r="E203" s="74" t="inlineStr">
        <ns0:is>
          <ns0:t>Property management</ns0:t>
        </ns0:is>
      </ns0:c>
      <ns0:c r="F203" s="74" t="inlineStr">
        <ns0:is>
          <ns0:t>Property Service and Management</ns0:t>
        </ns0:is>
      </ns0:c>
      <ns0:c r="G203" s="74" t="inlineStr">
        <ns0:is>
          <ns0:t>Standard</ns0:t>
        </ns0:is>
      </ns0:c>
      <ns0:c r="H203" s="75" t="n">
        <ns0:v>45125</ns0:v>
      </ns0:c>
      <ns0:c r="I203" s="76" t="n">
        <ns0:v>149.5</ns0:v>
      </ns0:c>
      <ns0:c r="J203" s="74" t="inlineStr">
        <ns0:is>
          <ns0:t>gross (price x shares)</ns0:t>
        </ns0:is>
      </ns0:c>
      <ns0:c r="K203" s="77" t="n">
        <ns0:v>1.18</ns0:v>
      </ns0:c>
      <ns0:c r="L203" s="77" t="n">
        <ns0:v>1.48</ns0:v>
      </ns0:c>
      <ns0:c r="M203" s="77" t="n">
        <ns0:v>1.18</ns0:v>
      </ns0:c>
      <ns0:c r="N203" s="74" t="inlineStr">
        <ns0:is>
          <ns0:t>N</ns0:t>
        </ns0:is>
      </ns0:c>
      <ns0:c r="O203" s="78" t="n">
        <ns0:v>79.7</ns0:v>
      </ns0:c>
      <ns0:c r="P203" s="78" t="n">
        <ns0:v>0</ns0:v>
      </ns0:c>
      <ns0:c r="Q203" s="79" t="n">
        <ns0:v>598</ns0:v>
      </ns0:c>
      <ns0:c r="R203" s="74" t="inlineStr">
        <ns0:is>
          <ns0:t>derived:deal size / offer % of enlarged capital</ns0:t>
        </ns0:is>
      </ns0:c>
      <ns0:c r="S203" s="80" t="n">
        <ns0:v>1.84</ns0:v>
      </ns0:c>
      <ns0:c r="T203" s="81" t="n">
        <ns0:v>1.63</ns0:v>
      </ns0:c>
      <ns0:c r="U203" s="82" t="n">
        <ns0:v>13.8</ns0:v>
      </ns0:c>
      <ns0:c r="V203" s="83" t="n">
        <ns0:v>130</ns0:v>
      </ns0:c>
      <ns0:c r="W203" s="84" t="n"/>
      <ns0:c r="X203" s="85" t="n"/>
      <ns0:c r="Y203" s="79" t="n">
        <ns0:v>128.87</ns0:v>
      </ns0:c>
      <ns0:c r="Z203" s="79" t="n">
        <ns0:v>109187816</ns0:v>
      </ns0:c>
      <ns0:c r="AA203" s="78" t="n">
        <ns0:v>21.55</ns0:v>
      </ns0:c>
      <ns0:c r="AB203" s="74" t="inlineStr">
        <ns0:is>
          <ns0:t>Heyuan Trading (Hong Kong) Limited; Wu Mingwu</ns0:t>
        </ns0:is>
      </ns0:c>
      <ns0:c r="AC203" s="74" t="inlineStr">
        <ns0:is>
          <ns0:t>heyuan;wu-mingwu</ns0:t>
        </ns0:is>
      </ns0:c>
      <ns0:c r="AD203" s="78" t="n">
        <ns0:v>10</ns0:v>
      </ns0:c>
      <ns0:c r="AE203" s="74" t="inlineStr">
        <ns0:is>
          <ns0:t>partial</ns0:t>
        </ns0:is>
      </ns0:c>
      <ns0:c r="AF203" s="74" t="inlineStr">
        <ns0:is>
          <ns0:t>2023-08-10</ns0:t>
        </ns0:is>
      </ns0:c>
      <ns0:c r="AG203" s="74" t="inlineStr">
        <ns0:is>
          <ns0:t>Huatai Financial Holdings</ns0:t>
        </ns0:is>
      </ns0:c>
      <ns0:c r="AH203" s="74" t="inlineStr">
        <ns0:is>
          <ns0:t>Huatai</ns0:t>
        </ns0:is>
      </ns0:c>
      <ns0:c r="AI203" s="96" t="n"/>
      <ns0:c r="AJ203" s="87" t="n">
        <ns0:v>2.54</ns0:v>
      </ns0:c>
      <ns0:c r="AK203" s="87" t="n">
        <ns0:v>-2.47</ns0:v>
      </ns0:c>
      <ns0:c r="AL203" s="87" t="n">
        <ns0:v>3.39</ns0:v>
      </ns0:c>
      <ns0:c r="AM203" s="87" t="n">
        <ns0:v>-0.82</ns0:v>
      </ns0:c>
      <ns0:c r="AN203" s="88" t="n"/>
      <ns0:c r="AO203" s="78" t="n">
        <ns0:v>8.199999999999999</ns0:v>
      </ns0:c>
      <ns0:c r="AP203" s="87" t="n">
        <ns0:v>-10.17</ns0:v>
      </ns0:c>
      <ns0:c r="AQ203" s="87" t="n">
        <ns0:v>-27.12</ns0:v>
      </ns0:c>
      <ns0:c r="AR203" s="87" t="n">
        <ns0:v>-43.22</ns0:v>
      </ns0:c>
      <ns0:c r="AS203" s="87" t="n">
        <ns0:v>-12.4</ns0:v>
      </ns0:c>
      <ns0:c r="AT203" s="87" t="n">
        <ns0:v>-28.93</ns0:v>
      </ns0:c>
      <ns0:c r="AU203" s="87" t="n">
        <ns0:v>-44.63</ns0:v>
      </ns0:c>
      <ns0:c r="AV203" s="87" t="n">
        <ns0:v>-11.75</ns0:v>
      </ns0:c>
      <ns0:c r="AW203" s="87" t="n">
        <ns0:v>-19.42</ns0:v>
      </ns0:c>
      <ns0:c r="AX203" s="87" t="n">
        <ns0:v>-27.99</ns0:v>
      </ns0:c>
      <ns0:c r="AY203" s="87" t="n">
        <ns0:v>-23.57</ns0:v>
      </ns0:c>
      <ns0:c r="AZ203" s="87" t="n">
        <ns0:v>-7.7</ns0:v>
      </ns0:c>
      <ns0:c r="BA203" s="87" t="n">
        <ns0:v>-5.36</ns0:v>
      </ns0:c>
      <ns0:c r="BB203" s="74" t="inlineStr">
        <ns0:is>
          <ns0:t>Hang Seng Properties sub-index</ns0:t>
        </ns0:is>
      </ns0:c>
      <ns0:c r="BC203" s="87" t="n">
        <ns0:v>211.86</ns0:v>
      </ns0:c>
      <ns0:c r="BD203" s="75" t="n">
        <ns0:v>46297</ns0:v>
      </ns0:c>
      <ns0:c r="BE203" s="76" t="n">
        <ns0:v>351.7</ns0:v>
      </ns0:c>
      <ns0:c r="BF203" s="79" t="n">
        <ns0:v>56</ns0:v>
      </ns0:c>
      <ns0:c r="BG203" s="74" t="inlineStr">
        <ns0:is>
          <ns0:t>Y</ns0:t>
        </ns0:is>
      </ns0:c>
      <ns0:c r="BH203" s="89" t="n">
        <ns0:v>10.7</ns0:v>
      </ns0:c>
      <ns0:c r="BI203" s="88" t="n"/>
      <ns0:c r="BJ203" s="89" t="n">
        <ns0:v>42</ns0:v>
      </ns0:c>
      <ns0:c r="BK203" s="89" t="n">
        <ns0:v>1.7</ns0:v>
      </ns0:c>
      <ns0:c r="BL203" s="90">
        <ns0:f>IFERROR(IF('BBG Verify'!S203="","Awaiting Bloomberg",'BBG Verify'!S203),"Awaiting Bloomberg")</ns0:f>
        <ns0:v/>
      </ns0:c>
      <ns0:c r="BM203" s="91" t="inlineStr">
        <ns0:is>
          <ns0:t>N</ns0:t>
        </ns0:is>
      </ns0:c>
      <ns0:c r="BN203" s="92">
        <ns0:f>IFERROR(IF('BBG Verify'!K203="","Awaiting Bloomberg",'BBG Verify'!K203),"Awaiting Bloomberg")</ns0:f>
        <ns0:v/>
      </ns0:c>
      <ns0:c r="BO203" s="74" t="inlineStr">
        <ns0:is>
          <ns0:t>N/A</ns0:t>
        </ns0:is>
      </ns0:c>
      <ns0:c r="BP203" s="74" t="inlineStr">
        <ns0:is>
          <ns0:t>N/A</ns0:t>
        </ns0:is>
      </ns0:c>
      <ns0:c r="BQ203" s="74" t="inlineStr">
        <ns0:is>
          <ns0:t>N/A</ns0:t>
        </ns0:is>
      </ns0:c>
      <ns0:c r="BR203" s="74" t="inlineStr">
        <ns0:is>
          <ns0:t>N/A</ns0:t>
        </ns0:is>
      </ns0:c>
      <ns0:c r="BS203" s="74" t="inlineStr">
        <ns0:is>
          <ns0:t>N/A</ns0:t>
        </ns0:is>
      </ns0:c>
      <ns0:c r="BT203" s="74" t="inlineStr">
        <ns0:is>
          <ns0:t>N/A</ns0:t>
        </ns0:is>
      </ns0:c>
      <ns0:c r="BU203" s="91" t="inlineStr">
        <ns0:is>
          <ns0:t>China Merchants Securities (HK) Co., Limited; Huatai Financial Holdings (Hong Kong) Limited</ns0:t>
        </ns0:is>
      </ns0:c>
      <ns0:c r="BV203" s="74" t="inlineStr">
        <ns0:is>
          <ns0:t>Huatai Financial Holdings (Hong Kong) Limited; China Merchants Securities (HK) Company Limited</ns0:t>
        </ns0:is>
      </ns0:c>
      <ns0:c r="BW203" s="74" t="inlineStr">
        <ns0:is>
          <ns0:t>Guotai Junan Securities (Hong Kong) Limited; CCB International Capital Limited; Victory Securities Company Limited</ns0:t>
        </ns0:is>
      </ns0:c>
      <ns0:c r="BX203" s="74" t="inlineStr">
        <ns0:is>
          <ns0:t>CCB International Capital Limited; China Merchants Securities (HK) Company Limited; Guotai Junan Securities (Hong Kong) Limited; Huatai Financial Holdings (Hong Kong) Limited; Victory Securities Company Limited</ns0:t>
        </ns0:is>
      </ns0:c>
      <ns0:c r="BY203" s="93">
        <ns0:f>HYPERLINK("https://www1.hkexnews.hk/listedco/listconews/sehk/2023/0630/2023063000209.pdf","prospectus")</ns0:f>
        <ns0:v/>
      </ns0:c>
      <ns0:c r="BZ203" s="93">
        <ns0:f>HYPERLINK("https://www1.hkexnews.hk/listedco/listconews/sehk/2023/0717/2023071700006.htm","allotment")</ns0:f>
        <ns0:v/>
      </ns0:c>
      <ns0:c r="CA203" s="93">
        <ns0:f>HYPERLINK("https://www1.hkexnews.hk/listedco/listconews/sehk/2023/0810/2023081001406.pdf","stabilisation")</ns0:f>
        <ns0:v/>
      </ns0:c>
      <ns0:c r="CB203" s="94" t="n"/>
      <ns0:c r="CC203" s="74" t="inlineStr">
        <ns0:is>
          <ns0:t>grey market: close not verified in the captured sources; historical press archives may hold one; allocation: allocation table not in this notice's format (older prose announcement); day-1 tape: volume on file; the retail multiple needs the final public split, which this notice does not state</ns0:t>
        </ns0:is>
      </ns0:c>
    </ns0:row>
    <ns0:row r="204" ht="22" customHeight="1">
      <ns0:c r="A204" s="73" t="inlineStr">
        <ns0:is>
          <ns0:t>1541</ns0:t>
        </ns0:is>
      </ns0:c>
      <ns0:c r="B204" s="74" t="inlineStr">
        <ns0:is>
          <ns0:t>IMMUNEONCO-B</ns0:t>
        </ns0:is>
      </ns0:c>
      <ns0:c r="C204" s="74" t="inlineStr">
        <ns0:is>
          <ns0:t>宜明昂科－Ｂ</ns0:t>
        </ns0:is>
      </ns0:c>
      <ns0:c r="D204" s="74" t="inlineStr">
        <ns0:is>
          <ns0:t>Healthcare</ns0:t>
        </ns0:is>
      </ns0:c>
      <ns0:c r="E204" s="74" t="inlineStr">
        <ns0:is>
          <ns0:t>Biotech pre-revenue (18A)</ns0:t>
        </ns0:is>
      </ns0:c>
      <ns0:c r="F204" s="74" t="inlineStr">
        <ns0:is>
          <ns0:t>Biotechnology - Pharmaceuticals</ns0:t>
        </ns0:is>
      </ns0:c>
      <ns0:c r="G204" s="74" t="inlineStr">
        <ns0:is>
          <ns0:t>18A</ns0:t>
        </ns0:is>
      </ns0:c>
      <ns0:c r="H204" s="75" t="n">
        <ns0:v>45174</ns0:v>
      </ns0:c>
      <ns0:c r="I204" s="76" t="n">
        <ns0:v>318.9</ns0:v>
      </ns0:c>
      <ns0:c r="J204" s="74" t="inlineStr">
        <ns0:is>
          <ns0:t>gross (price x shares)</ns0:t>
        </ns0:is>
      </ns0:c>
      <ns0:c r="K204" s="95" t="n"/>
      <ns0:c r="L204" s="77" t="n">
        <ns0:v>18.6</ns0:v>
      </ns0:c>
      <ns0:c r="M204" s="77" t="n">
        <ns0:v>18.6</ns0:v>
      </ns0:c>
      <ns0:c r="N204" s="74" t="inlineStr">
        <ns0:is>
          <ns0:t>Y</ns0:t>
        </ns0:is>
      </ns0:c>
      <ns0:c r="O204" s="78" t="n">
        <ns0:v>100</ns0:v>
      </ns0:c>
      <ns0:c r="P204" s="84" t="n"/>
      <ns0:c r="Q204" s="79" t="n">
        <ns0:v>6132.7</ns0:v>
      </ns0:c>
      <ns0:c r="R204" s="74" t="inlineStr">
        <ns0:is>
          <ns0:t>derived:deal size / offer % of enlarged capital</ns0:t>
        </ns0:is>
      </ns0:c>
      <ns0:c r="S204" s="80" t="n">
        <ns0:v>9.98</ns0:v>
      </ns0:c>
      <ns0:c r="T204" s="81" t="n">
        <ns0:v>1.06</ns0:v>
      </ns0:c>
      <ns0:c r="U204" s="82" t="n">
        <ns0:v>72.81</ns0:v>
      </ns0:c>
      <ns0:c r="V204" s="83" t="n">
        <ns0:v>161</ns0:v>
      </ns0:c>
      <ns0:c r="W204" s="84" t="n"/>
      <ns0:c r="X204" s="85" t="n"/>
      <ns0:c r="Y204" s="79" t="n">
        <ns0:v>86.70999999999999</ns0:v>
      </ns0:c>
      <ns0:c r="Z204" s="79" t="n">
        <ns0:v>4662324</ns0:v>
      </ns0:c>
      <ns0:c r="AA204" s="78" t="n">
        <ns0:v>1.41</ns0:v>
      </ns0:c>
      <ns0:c r="AB204" s="74" t="inlineStr">
        <ns0:is>
          <ns0:t>ClinChoice Medical Development Limited; Harvest International Premium Value (Secondary Market) Fund SPC; RemeGen Hong Kong Limited; WuXi Biologics HealthCare Venture</ns0:t>
        </ns0:is>
      </ns0:c>
      <ns0:c r="AC204" s="74" t="inlineStr">
        <ns0:is>
          <ns0:t>clinchoice;harvest;remegen;wuxi</ns0:t>
        </ns0:is>
      </ns0:c>
      <ns0:c r="AD204" s="78" t="n">
        <ns0:v>5.2</ns0:v>
      </ns0:c>
      <ns0:c r="AE204" s="74" t="inlineStr">
        <ns0:is>
          <ns0:t>partial</ns0:t>
        </ns0:is>
      </ns0:c>
      <ns0:c r="AF204" s="74" t="inlineStr">
        <ns0:is>
          <ns0:t>2023-09-28</ns0:t>
        </ns0:is>
      </ns0:c>
      <ns0:c r="AG204" s="74" t="inlineStr">
        <ns0:is>
          <ns0:t>Morgan Stanley Asia Limited</ns0:t>
        </ns0:is>
      </ns0:c>
      <ns0:c r="AH204" s="74" t="inlineStr">
        <ns0:is>
          <ns0:t>Morgan Stanley</ns0:t>
        </ns0:is>
      </ns0:c>
      <ns0:c r="AI204" s="86" t="n">
        <ns0:v>12.9</ns0:v>
      </ns0:c>
      <ns0:c r="AJ204" s="87" t="n">
        <ns0:v>4.95</ns0:v>
      </ns0:c>
      <ns0:c r="AK204" s="87" t="n">
        <ns0:v>-0.19</ns0:v>
      </ns0:c>
      <ns0:c r="AL204" s="87" t="n">
        <ns0:v>13.98</ns0:v>
      </ns0:c>
      <ns0:c r="AM204" s="87" t="n">
        <ns0:v>-7.92</ns0:v>
      </ns0:c>
      <ns0:c r="AN204" s="88" t="n"/>
      <ns0:c r="AO204" s="78" t="n">
        <ns0:v>12.74</ns0:v>
      </ns0:c>
      <ns0:c r="AP204" s="87" t="n">
        <ns0:v>34.41</ns0:v>
      </ns0:c>
      <ns0:c r="AQ204" s="87" t="n">
        <ns0:v>38.17</ns0:v>
      </ns0:c>
      <ns0:c r="AR204" s="87" t="n">
        <ns0:v>52.96</ns0:v>
      </ns0:c>
      <ns0:c r="AS204" s="87" t="n">
        <ns0:v>28.07</ns0:v>
      </ns0:c>
      <ns0:c r="AT204" s="87" t="n">
        <ns0:v>31.65</ns0:v>
      </ns0:c>
      <ns0:c r="AU204" s="87" t="n">
        <ns0:v>45.75</ns0:v>
      </ns0:c>
      <ns0:c r="AV204" s="87" t="n">
        <ns0:v>35.61</ns0:v>
      </ns0:c>
      <ns0:c r="AW204" s="87" t="n">
        <ns0:v>35.54</ns0:v>
      </ns0:c>
      <ns0:c r="AX204" s="87" t="n">
        <ns0:v>47.82</ns0:v>
      </ns0:c>
      <ns0:c r="AY204" s="87" t="n">
        <ns0:v>28.82</ns0:v>
      </ns0:c>
      <ns0:c r="AZ204" s="87" t="n">
        <ns0:v>2.63</ns0:v>
      </ns0:c>
      <ns0:c r="BA204" s="87" t="n">
        <ns0:v>2.83</ns0:v>
      </ns0:c>
      <ns0:c r="BB204" s="74" t="inlineStr">
        <ns0:is>
          <ns0:t>China Biotech ETF (HS biotech proxy)</ns0:t>
        </ns0:is>
      </ns0:c>
      <ns0:c r="BC204" s="87" t="n">
        <ns0:v>-81.83</ns0:v>
      </ns0:c>
      <ns0:c r="BD204" s="75" t="n">
        <ns0:v>46297</ns0:v>
      </ns0:c>
      <ns0:c r="BE204" s="76" t="n">
        <ns0:v>0.3</ns0:v>
      </ns0:c>
      <ns0:c r="BF204" s="79" t="n">
        <ns0:v>-164</ns0:v>
      </ns0:c>
      <ns0:c r="BG204" s="74" t="inlineStr">
        <ns0:is>
          <ns0:t>N</ns0:t>
        </ns0:is>
      </ns0:c>
      <ns0:c r="BH204" s="74" t="inlineStr">
        <ns0:is>
          <ns0:t>n/m</ns0:t>
        </ns0:is>
      </ns0:c>
      <ns0:c r="BI204" s="88" t="n"/>
      <ns0:c r="BJ204" s="88" t="n"/>
      <ns0:c r="BK204" s="89" t="n">
        <ns0:v>20442.3</ns0:v>
      </ns0:c>
      <ns0:c r="BL204" s="90">
        <ns0:f>IFERROR(IF('BBG Verify'!S204="","Awaiting Bloomberg",'BBG Verify'!S204),"Awaiting Bloomberg")</ns0:f>
        <ns0:v/>
      </ns0:c>
      <ns0:c r="BM204" s="91" t="inlineStr">
        <ns0:is>
          <ns0:t>N</ns0:t>
        </ns0:is>
      </ns0:c>
      <ns0:c r="BN204" s="92">
        <ns0:f>IFERROR(IF('BBG Verify'!K204="","Awaiting Bloomberg",'BBG Verify'!K204),"Awaiting Bloomberg")</ns0:f>
        <ns0:v/>
      </ns0:c>
      <ns0:c r="BO204" s="74" t="inlineStr">
        <ns0:is>
          <ns0:t>N/A</ns0:t>
        </ns0:is>
      </ns0:c>
      <ns0:c r="BP204" s="74" t="inlineStr">
        <ns0:is>
          <ns0:t>N/A</ns0:t>
        </ns0:is>
      </ns0:c>
      <ns0:c r="BQ204" s="74" t="inlineStr">
        <ns0:is>
          <ns0:t>N/A</ns0:t>
        </ns0:is>
      </ns0:c>
      <ns0:c r="BR204" s="74" t="inlineStr">
        <ns0:is>
          <ns0:t>N/A</ns0:t>
        </ns0:is>
      </ns0:c>
      <ns0:c r="BS204" s="74" t="inlineStr">
        <ns0:is>
          <ns0:t>N/A</ns0:t>
        </ns0:is>
      </ns0:c>
      <ns0:c r="BT204" s="74" t="inlineStr">
        <ns0:is>
          <ns0:t>N/A</ns0:t>
        </ns0:is>
      </ns0:c>
      <ns0:c r="BU204" s="91" t="inlineStr">
        <ns0:is>
          <ns0:t>Morgan Stanley Asia Limited; China International Capital Corporation Hong Kong Securities Limited</ns0:t>
        </ns0:is>
      </ns0:c>
      <ns0:c r="BV204" s="74" t="inlineStr">
        <ns0:is>
          <ns0:t>China International Capital Corporation Hong Kong Securities Limited; Morgan Stanley Asia Limited</ns0:t>
        </ns0:is>
      </ns0:c>
      <ns0:c r="BW204" s="74" t="inlineStr">
        <ns0:is>
          <ns0: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ns0:t>
        </ns0:is>
      </ns0:c>
      <ns0:c r="BX204" s="74" t="inlineStr">
        <ns0:is>
          <ns0: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ns0:t>
        </ns0:is>
      </ns0:c>
      <ns0:c r="BY204" s="93">
        <ns0:f>HYPERLINK("https://www1.hkexnews.hk/listedco/listconews/sehk/2023/0824/2023082400037.pdf","prospectus")</ns0:f>
        <ns0:v/>
      </ns0:c>
      <ns0:c r="BZ204" s="93">
        <ns0:f>HYPERLINK("https://www1.hkexnews.hk/listedco/listconews/sehk/2023/0904/2023090400006.htm","allotment")</ns0:f>
        <ns0:v/>
      </ns0:c>
      <ns0:c r="CA204" s="93">
        <ns0:f>HYPERLINK("https://www1.hkexnews.hk/listedco/listconews/sehk/2023/0928/2023092802361.pdf","stabilisation")</ns0:f>
        <ns0:v/>
      </ns0:c>
      <ns0:c r="CB204" s="94" t="n"/>
      <ns0:c r="CC204" s="74" t="inlineStr">
        <ns0:is>
          <ns0:t>P/E: loss-making at IPO, use P/S; range low: maximum offer price only, no floor published; P/S: 20,442x on HK$0.3m revenue, effectively pre-revenue; not comparable; allocation: allocation table not in this notice's format (older prose announcement); day-1 tape: volume on file; the retail multiple needs the final public split, which this notice does not state</ns0:t>
        </ns0:is>
      </ns0:c>
    </ns0:row>
    <ns0:row r="205" ht="22" customHeight="1">
      <ns0:c r="A205" s="73" t="inlineStr">
        <ns0:is>
          <ns0:t>2496</ns0:t>
        </ns0:is>
      </ns0:c>
      <ns0:c r="B205" s="74" t="inlineStr">
        <ns0:is>
          <ns0:t>YZYBIO-B</ns0:t>
        </ns0:is>
      </ns0:c>
      <ns0:c r="C205" s="74" t="inlineStr">
        <ns0:is>
          <ns0:t>友芝友生物－Ｂ</ns0:t>
        </ns0:is>
      </ns0:c>
      <ns0:c r="D205" s="74" t="inlineStr">
        <ns0:is>
          <ns0:t>Healthcare</ns0:t>
        </ns0:is>
      </ns0:c>
      <ns0:c r="E205" s="74" t="inlineStr">
        <ns0:is>
          <ns0:t>Biotech pre-revenue (18A)</ns0:t>
        </ns0:is>
      </ns0:c>
      <ns0:c r="F205" s="74" t="inlineStr">
        <ns0:is>
          <ns0:t>Biotechnology - Pharmaceuticals</ns0:t>
        </ns0:is>
      </ns0:c>
      <ns0:c r="G205" s="74" t="inlineStr">
        <ns0:is>
          <ns0:t>18A</ns0:t>
        </ns0:is>
      </ns0:c>
      <ns0:c r="H205" s="75" t="n">
        <ns0:v>45194</ns0:v>
      </ns0:c>
      <ns0:c r="I205" s="76" t="n">
        <ns0:v>176</ns0:v>
      </ns0:c>
      <ns0:c r="J205" s="74" t="inlineStr">
        <ns0:is>
          <ns0:t>gross (price x shares)</ns0:t>
        </ns0:is>
      </ns0:c>
      <ns0:c r="K205" s="77" t="n">
        <ns0:v>16</ns0:v>
      </ns0:c>
      <ns0:c r="L205" s="77" t="n">
        <ns0:v>20</ns0:v>
      </ns0:c>
      <ns0:c r="M205" s="77" t="n">
        <ns0:v>16</ns0:v>
      </ns0:c>
      <ns0:c r="N205" s="74" t="inlineStr">
        <ns0:is>
          <ns0:t>N</ns0:t>
        </ns0:is>
      </ns0:c>
      <ns0:c r="O205" s="78" t="n">
        <ns0:v>80</ns0:v>
      </ns0:c>
      <ns0:c r="P205" s="78" t="n">
        <ns0:v>0</ns0:v>
      </ns0:c>
      <ns0:c r="Q205" s="79" t="n">
        <ns0:v>3087.7</ns0:v>
      </ns0:c>
      <ns0:c r="R205" s="74" t="inlineStr">
        <ns0:is>
          <ns0:t>derived:deal size / offer % of enlarged capital</ns0:t>
        </ns0:is>
      </ns0:c>
      <ns0:c r="S205" s="80" t="n">
        <ns0:v>13.81</ns0:v>
      </ns0:c>
      <ns0:c r="T205" s="81" t="n">
        <ns0:v>1.57</ns0:v>
      </ns0:c>
      <ns0:c r="U205" s="82" t="n">
        <ns0:v>37.3</ns0:v>
      </ns0:c>
      <ns0:c r="V205" s="83" t="n">
        <ns0:v>118</ns0:v>
      </ns0:c>
      <ns0:c r="W205" s="84" t="n"/>
      <ns0:c r="X205" s="85" t="n"/>
      <ns0:c r="Y205" s="79" t="n">
        <ns0:v>110.35</ns0:v>
      </ns0:c>
      <ns0:c r="Z205" s="79" t="n">
        <ns0:v>6897752</ns0:v>
      </ns0:c>
      <ns0:c r="AA205" s="78" t="n">
        <ns0:v>3.57</ns0:v>
      </ns0:c>
      <ns0:c r="AB205" s="74" t="inlineStr">
        <ns0:is>
          <ns0:t>Chengdu Puhua Kaizhi Biotechnology Co., Ltd; Wuhan Chuxing Yourui General Health Industry Investment Fund Partnership (Limite; Wuhan Optics Valley Health Industry Investment Ltd</ns0:t>
        </ns0:is>
      </ns0:c>
      <ns0:c r="AC205" s="74" t="inlineStr">
        <ns0:is>
          <ns0:t>chengdu;wuhan</ns0:t>
        </ns0:is>
      </ns0:c>
      <ns0:c r="AD205" s="78" t="n">
        <ns0:v>6.5</ns0:v>
      </ns0:c>
      <ns0:c r="AE205" s="74" t="inlineStr">
        <ns0:is>
          <ns0:t>partial</ns0:t>
        </ns0:is>
      </ns0:c>
      <ns0:c r="AF205" s="74" t="inlineStr">
        <ns0:is>
          <ns0:t>2023-10-18</ns0:t>
        </ns0:is>
      </ns0:c>
      <ns0:c r="AG205" s="74" t="inlineStr">
        <ns0:is>
          <ns0:t>China Securities</ns0:t>
        </ns0:is>
      </ns0:c>
      <ns0:c r="AH205" s="74" t="inlineStr">
        <ns0:is>
          <ns0:t>China Securities</ns0:t>
        </ns0:is>
      </ns0:c>
      <ns0:c r="AI205" s="86" t="n">
        <ns0:v>3.75</ns0:v>
      </ns0:c>
      <ns0:c r="AJ205" s="87" t="n">
        <ns0:v>0</ns0:v>
      </ns0:c>
      <ns0:c r="AK205" s="87" t="n">
        <ns0:v>1.49</ns0:v>
      </ns0:c>
      <ns0:c r="AL205" s="87" t="n">
        <ns0:v>2.5</ns0:v>
      </ns0:c>
      <ns0:c r="AM205" s="87" t="n">
        <ns0:v>-2.44</ns0:v>
      </ns0:c>
      <ns0:c r="AN205" s="88" t="n"/>
      <ns0:c r="AO205" s="78" t="n">
        <ns0:v>4.88</ns0:v>
      </ns0:c>
      <ns0:c r="AP205" s="87" t="n">
        <ns0:v>-6.25</ns0:v>
      </ns0:c>
      <ns0:c r="AQ205" s="87" t="n">
        <ns0:v>-40.38</ns0:v>
      </ns0:c>
      <ns0:c r="AR205" s="87" t="n">
        <ns0:v>-45.19</ns0:v>
      </ns0:c>
      <ns0:c r="AS205" s="87" t="n">
        <ns0:v>-6.25</ns0:v>
      </ns0:c>
      <ns0:c r="AT205" s="87" t="n">
        <ns0:v>-40.38</ns0:v>
      </ns0:c>
      <ns0:c r="AU205" s="87" t="n">
        <ns0:v>-45.19</ns0:v>
      </ns0:c>
      <ns0:c r="AV205" s="87" t="n">
        <ns0:v>-7.54</ns0:v>
      </ns0:c>
      <ns0:c r="AW205" s="87" t="n">
        <ns0:v>-40.73</ns0:v>
      </ns0:c>
      <ns0:c r="AX205" s="87" t="n">
        <ns0:v>-43.44</ns0:v>
      </ns0:c>
      <ns0:c r="AY205" s="87" t="n">
        <ns0:v>-39.26</ns0:v>
      </ns0:c>
      <ns0:c r="AZ205" s="87" t="n">
        <ns0:v>0.35</ns0:v>
      </ns0:c>
      <ns0:c r="BA205" s="87" t="n">
        <ns0:v>-1.12</ns0:v>
      </ns0:c>
      <ns0:c r="BB205" s="74" t="inlineStr">
        <ns0:is>
          <ns0:t>China Biotech ETF (HS biotech proxy)</ns0:t>
        </ns0:is>
      </ns0:c>
      <ns0:c r="BC205" s="87" t="n">
        <ns0:v>-80.06</ns0:v>
      </ns0:c>
      <ns0:c r="BD205" s="75" t="n">
        <ns0:v>46297</ns0:v>
      </ns0:c>
      <ns0:c r="BE205" s="76" t="n">
        <ns0:v>2.2</ns0:v>
      </ns0:c>
      <ns0:c r="BF205" s="79" t="n">
        <ns0:v>-207.8</ns0:v>
      </ns0:c>
      <ns0:c r="BG205" s="74" t="inlineStr">
        <ns0:is>
          <ns0:t>N</ns0:t>
        </ns0:is>
      </ns0:c>
      <ns0:c r="BH205" s="74" t="inlineStr">
        <ns0:is>
          <ns0:t>n/m</ns0:t>
        </ns0:is>
      </ns0:c>
      <ns0:c r="BI205" s="88" t="n"/>
      <ns0:c r="BJ205" s="88" t="n"/>
      <ns0:c r="BK205" s="89" t="n">
        <ns0:v>1403.5</ns0:v>
      </ns0:c>
      <ns0:c r="BL205" s="90">
        <ns0:f>IFERROR(IF('BBG Verify'!S205="","Awaiting Bloomberg",'BBG Verify'!S205),"Awaiting Bloomberg")</ns0:f>
        <ns0:v/>
      </ns0:c>
      <ns0:c r="BM205" s="91" t="inlineStr">
        <ns0:is>
          <ns0:t>N</ns0:t>
        </ns0:is>
      </ns0:c>
      <ns0:c r="BN205" s="92">
        <ns0:f>IFERROR(IF('BBG Verify'!K205="","Awaiting Bloomberg",'BBG Verify'!K205),"Awaiting Bloomberg")</ns0:f>
        <ns0:v/>
      </ns0:c>
      <ns0:c r="BO205" s="74" t="inlineStr">
        <ns0:is>
          <ns0:t>N/A</ns0:t>
        </ns0:is>
      </ns0:c>
      <ns0:c r="BP205" s="74" t="inlineStr">
        <ns0:is>
          <ns0:t>N/A</ns0:t>
        </ns0:is>
      </ns0:c>
      <ns0:c r="BQ205" s="74" t="inlineStr">
        <ns0:is>
          <ns0:t>N/A</ns0:t>
        </ns0:is>
      </ns0:c>
      <ns0:c r="BR205" s="74" t="inlineStr">
        <ns0:is>
          <ns0:t>N/A</ns0:t>
        </ns0:is>
      </ns0:c>
      <ns0:c r="BS205" s="74" t="inlineStr">
        <ns0:is>
          <ns0:t>N/A</ns0:t>
        </ns0:is>
      </ns0:c>
      <ns0:c r="BT205" s="74" t="inlineStr">
        <ns0:is>
          <ns0:t>N/A</ns0:t>
        </ns0:is>
      </ns0:c>
      <ns0:c r="BU205" s="91" t="inlineStr">
        <ns0:is>
          <ns0:t>China Securities (International) Corporate Finance Company Limited</ns0:t>
        </ns0:is>
      </ns0:c>
      <ns0:c r="BV205" s="74" t="inlineStr">
        <ns0:is>
          <ns0:t>China Securities (International) Corporate Finance Company Limited</ns0:t>
        </ns0:is>
      </ns0:c>
      <ns0:c r="BW205" s="74" t="inlineStr">
        <ns0:is>
          <ns0:t>China Securities (International) Corporate Finance Company Limited; Guotai Junan Securities (Hong Kong) Limited; CCB International Capital Limited; BOCI Asia Limited; TFI Securities and Futures Limited; China Galaxy International Securities (Hong Kong) Co., Limited</ns0:t>
        </ns0:is>
      </ns0:c>
      <ns0:c r="BX205" s="74" t="inlineStr">
        <ns0:is>
          <ns0: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ns0:t>
        </ns0:is>
      </ns0:c>
      <ns0:c r="BY205" s="93">
        <ns0:f>HYPERLINK("https://www1.hkexnews.hk/listedco/listconews/sehk/2023/0913/2023091300013.pdf","prospectus")</ns0:f>
        <ns0:v/>
      </ns0:c>
      <ns0:c r="BZ205" s="93">
        <ns0:f>HYPERLINK("https://www1.hkexnews.hk/listedco/listconews/sehk/2023/0922/2023092200024.htm","allotment")</ns0:f>
        <ns0:v/>
      </ns0:c>
      <ns0:c r="CA205" s="93">
        <ns0:f>HYPERLINK("https://www1.hkexnews.hk/listedco/listconews/sehk/2023/1019/2023101900003.pdf","stabilisation")</ns0:f>
        <ns0:v/>
      </ns0:c>
      <ns0:c r="CB205" s="94" t="n"/>
      <ns0:c r="CC205" s="74" t="inlineStr">
        <ns0:is>
          <ns0:t>P/E: loss-making at IPO, use P/S; sponsor: English name not in the filing; AAStocks 保薦人 shown; cornerstone: % from the prospectus; AAStocks table includes non-cornerstone orders; P/S: 1,404x on HK$2.2m revenue, effectively pre-revenue; not comparable; allocation: allocation table not in this notice's format (older prose announcement); day-1 tape: volume on file; the retail multiple needs the final public split, which this notice does not state</ns0:t>
        </ns0:is>
      </ns0:c>
    </ns0:row>
    <ns0:row r="206" ht="22" customHeight="1">
      <ns0:c r="A206" s="73" t="inlineStr">
        <ns0:is>
          <ns0:t>2490</ns0:t>
        </ns0:is>
      </ns0:c>
      <ns0:c r="B206" s="74" t="inlineStr">
        <ns0:is>
          <ns0:t>LC LOGISTICS</ns0:t>
        </ns0:is>
      </ns0:c>
      <ns0:c r="C206" s="74" t="inlineStr">
        <ns0:is>
          <ns0:t>樂艙控股</ns0:t>
        </ns0:is>
      </ns0:c>
      <ns0:c r="D206" s="74" t="inlineStr">
        <ns0:is>
          <ns0:t>Industrials</ns0:t>
        </ns0:is>
      </ns0:c>
      <ns0:c r="E206" s="74" t="inlineStr">
        <ns0:is>
          <ns0:t>Logistics</ns0:t>
        </ns0:is>
      </ns0:c>
      <ns0:c r="F206" s="74" t="inlineStr">
        <ns0:is>
          <ns0:t>Marine Ports &amp; Services</ns0:t>
        </ns0:is>
      </ns0:c>
      <ns0:c r="G206" s="74" t="inlineStr">
        <ns0:is>
          <ns0:t>Standard</ns0:t>
        </ns0:is>
      </ns0:c>
      <ns0:c r="H206" s="75" t="n">
        <ns0:v>45194</ns0:v>
      </ns0:c>
      <ns0:c r="I206" s="76" t="n">
        <ns0:v>145.6</ns0:v>
      </ns0:c>
      <ns0:c r="J206" s="74" t="inlineStr">
        <ns0:is>
          <ns0:t>gross (price x shares)</ns0:t>
        </ns0:is>
      </ns0:c>
      <ns0:c r="K206" s="77" t="n">
        <ns0:v>4.45</ns0:v>
      </ns0:c>
      <ns0:c r="L206" s="77" t="n">
        <ns0:v>5.55</ns0:v>
      </ns0:c>
      <ns0:c r="M206" s="77" t="n">
        <ns0:v>5.13</ns0:v>
      </ns0:c>
      <ns0:c r="N206" s="74" t="inlineStr">
        <ns0:is>
          <ns0:t>N</ns0:t>
        </ns0:is>
      </ns0:c>
      <ns0:c r="O206" s="78" t="n">
        <ns0:v>92.40000000000001</ns0:v>
      </ns0:c>
      <ns0:c r="P206" s="78" t="n">
        <ns0:v>61.8</ns0:v>
      </ns0:c>
      <ns0:c r="Q206" s="79" t="n">
        <ns0:v>1565</ns0:v>
      </ns0:c>
      <ns0:c r="R206" s="74" t="inlineStr">
        <ns0:is>
          <ns0:t>aastocks:上市市值 at the struck price</ns0:t>
        </ns0:is>
      </ns0:c>
      <ns0:c r="S206" s="80" t="n">
        <ns0:v>4.77</ns0:v>
      </ns0:c>
      <ns0:c r="T206" s="81" t="n">
        <ns0:v>1.53</ns0:v>
      </ns0:c>
      <ns0:c r="U206" s="82" t="n">
        <ns0:v>0</ns0:v>
      </ns0:c>
      <ns0:c r="V206" s="83" t="n">
        <ns0:v>114</ns0:v>
      </ns0:c>
      <ns0:c r="W206" s="84" t="n"/>
      <ns0:c r="X206" s="85" t="n"/>
      <ns0:c r="Y206" s="79" t="n">
        <ns0:v>145.6</ns0:v>
      </ns0:c>
      <ns0:c r="Z206" s="79" t="n">
        <ns0:v>28390000</ns0:v>
      </ns0:c>
      <ns0:c r="AA206" s="78" t="n">
        <ns0:v>9.300000000000001</ns0:v>
      </ns0:c>
      <ns0:c r="AB206" s="74" t="inlineStr">
        <ns0:is>
          <ns0:t>none — no cornerstone tranche</ns0:t>
        </ns0:is>
      </ns0:c>
      <ns0:c r="AC206" s="74" t="inlineStr">
        <ns0:is>
          <ns0:t>none</ns0:t>
        </ns0:is>
      </ns0:c>
      <ns0:c r="AD206" s="78" t="n">
        <ns0:v>10.66</ns0:v>
      </ns0:c>
      <ns0:c r="AE206" s="74" t="inlineStr">
        <ns0:is>
          <ns0:t>partial</ns0:t>
        </ns0:is>
      </ns0:c>
      <ns0:c r="AF206" s="74" t="inlineStr">
        <ns0:is>
          <ns0:t>2023-10-18</ns0:t>
        </ns0:is>
      </ns0:c>
      <ns0:c r="AG206" s="85" t="n"/>
      <ns0:c r="AH206" s="85" t="n"/>
      <ns0:c r="AI206" s="86" t="n">
        <ns0:v>-1.17</ns0:v>
      </ns0:c>
      <ns0:c r="AJ206" s="87" t="n">
        <ns0:v>-0.58</ns0:v>
      </ns0:c>
      <ns0:c r="AK206" s="87" t="n">
        <ns0:v>-2.04</ns0:v>
      </ns0:c>
      <ns0:c r="AL206" s="87" t="n">
        <ns0:v>0</ns0:v>
      </ns0:c>
      <ns0:c r="AM206" s="87" t="n">
        <ns0:v>-0.58</ns0:v>
      </ns0:c>
      <ns0:c r="AN206" s="88" t="n"/>
      <ns0:c r="AO206" s="78" t="n">
        <ns0:v>4.87</ns0:v>
      </ns0:c>
      <ns0:c r="AP206" s="87" t="n">
        <ns0:v>3.7</ns0:v>
      </ns0:c>
      <ns0:c r="AQ206" s="87" t="n">
        <ns0:v>-7.8</ns0:v>
      </ns0:c>
      <ns0:c r="AR206" s="87" t="n">
        <ns0:v>-0.19</ns0:v>
      </ns0:c>
      <ns0:c r="AS206" s="87" t="n">
        <ns0:v>4.3</ns0:v>
      </ns0:c>
      <ns0:c r="AT206" s="87" t="n">
        <ns0:v>-7.26</ns0:v>
      </ns0:c>
      <ns0:c r="AU206" s="87" t="n">
        <ns0:v>0.39</ns0:v>
      </ns0:c>
      <ns0:c r="AV206" s="87" t="n">
        <ns0:v>8.210000000000001</ns0:v>
      </ns0:c>
      <ns0:c r="AW206" s="87" t="n">
        <ns0:v>-1.18</ns0:v>
      </ns0:c>
      <ns0:c r="AX206" s="87" t="n">
        <ns0:v>10.99</ns0:v>
      </ns0:c>
      <ns0:c r="AY206" s="87" t="n">
        <ns0:v>-2.58</ns0:v>
      </ns0:c>
      <ns0:c r="AZ206" s="87" t="n">
        <ns0:v>-6.62</ns0:v>
      </ns0:c>
      <ns0:c r="BA206" s="87" t="n">
        <ns0:v>-4.68</ns0:v>
      </ns0:c>
      <ns0:c r="BB206" s="74" t="inlineStr">
        <ns0:is>
          <ns0:t>Hang Seng Commerce &amp; Industry sub-index</ns0:t>
        </ns0:is>
      </ns0:c>
      <ns0:c r="BC206" s="87" t="n">
        <ns0:v>65.89</ns0:v>
      </ns0:c>
      <ns0:c r="BD206" s="75" t="n">
        <ns0:v>46297</ns0:v>
      </ns0:c>
      <ns0:c r="BE206" s="76" t="n">
        <ns0:v>5068.7</ns0:v>
      </ns0:c>
      <ns0:c r="BF206" s="79" t="n">
        <ns0:v>424.9</ns0:v>
      </ns0:c>
      <ns0:c r="BG206" s="74" t="inlineStr">
        <ns0:is>
          <ns0:t>Y</ns0:t>
        </ns0:is>
      </ns0:c>
      <ns0:c r="BH206" s="89" t="n">
        <ns0:v>3.7</ns0:v>
      </ns0:c>
      <ns0:c r="BI206" s="88" t="n"/>
      <ns0:c r="BJ206" s="89" t="n">
        <ns0:v>18</ns0:v>
      </ns0:c>
      <ns0:c r="BK206" s="89" t="n">
        <ns0:v>0.3</ns0:v>
      </ns0:c>
      <ns0:c r="BL206" s="90">
        <ns0:f>IFERROR(IF('BBG Verify'!S206="","Awaiting Bloomberg",'BBG Verify'!S206),"Awaiting Bloomberg")</ns0:f>
        <ns0:v/>
      </ns0:c>
      <ns0:c r="BM206" s="91" t="inlineStr">
        <ns0:is>
          <ns0:t>N</ns0:t>
        </ns0:is>
      </ns0:c>
      <ns0:c r="BN206" s="92">
        <ns0:f>IFERROR(IF('BBG Verify'!K206="","Awaiting Bloomberg",'BBG Verify'!K206),"Awaiting Bloomberg")</ns0:f>
        <ns0:v/>
      </ns0:c>
      <ns0:c r="BO206" s="74" t="inlineStr">
        <ns0:is>
          <ns0:t>N/A</ns0:t>
        </ns0:is>
      </ns0:c>
      <ns0:c r="BP206" s="74" t="inlineStr">
        <ns0:is>
          <ns0:t>N/A</ns0:t>
        </ns0:is>
      </ns0:c>
      <ns0:c r="BQ206" s="74" t="inlineStr">
        <ns0:is>
          <ns0:t>N/A</ns0:t>
        </ns0:is>
      </ns0:c>
      <ns0:c r="BR206" s="74" t="inlineStr">
        <ns0:is>
          <ns0:t>N/A</ns0:t>
        </ns0:is>
      </ns0:c>
      <ns0:c r="BS206" s="74" t="inlineStr">
        <ns0:is>
          <ns0:t>N/A</ns0:t>
        </ns0:is>
      </ns0:c>
      <ns0:c r="BT206" s="74" t="inlineStr">
        <ns0:is>
          <ns0:t>N/A</ns0:t>
        </ns0:is>
      </ns0:c>
      <ns0:c r="BU206" s="91" t="inlineStr">
        <ns0:is>
          <ns0:t>CITIC Securities (Hong Kong) Limited; ABCI Capital Limited</ns0:t>
        </ns0:is>
      </ns0:c>
      <ns0:c r="BV206" s="74" t="inlineStr">
        <ns0:is>
          <ns0:t>CITIC Securities (Hong Kong) Limited; ABCI Capital Limited</ns0:t>
        </ns0:is>
      </ns0:c>
      <ns0:c r="BW206" s="74" t="inlineStr">
        <ns0:is>
          <ns0:t>CLSA Limited; ABCI Capital Limited; Shenwan Hongyuan Securities (H.K.) Limited; CMB International Capital Limited; Guotai Junan Securities (Hong Kong) Limited; BOCOM International Securities Limited; CMBC Securities Company Limited; Livermore Holdings Limited; Valuable Capital Limited</ns0:t>
        </ns0:is>
      </ns0:c>
      <ns0:c r="BX206" s="74" t="inlineStr">
        <ns0:is>
          <ns0: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ns0:t>
        </ns0:is>
      </ns0:c>
      <ns0:c r="BY206" s="93">
        <ns0:f>HYPERLINK("https://www1.hkexnews.hk/listedco/listconews/sehk/2023/0913/2023091300017.pdf","prospectus")</ns0:f>
        <ns0:v/>
      </ns0:c>
      <ns0:c r="BZ206" s="93">
        <ns0:f>HYPERLINK("https://www1.hkexnews.hk/listedco/listconews/sehk/2023/0922/2023092200056.htm","allotment")</ns0:f>
        <ns0:v/>
      </ns0:c>
      <ns0:c r="CA206" s="93">
        <ns0:f>HYPERLINK("https://www1.hkexnews.hk/listedco/listconews/sehk/2023/1018/2023101800796.pdf","stabilisation")</ns0:f>
        <ns0:v/>
      </ns0:c>
      <ns0:c r="CB206" s="94" t="n"/>
      <ns0:c r="CC206" s="74" t="inlineStr">
        <ns0:is>
          <ns0:t>market cap: published listing cap used; the estimate from deal size / offer % of enlarged capital disagreed; cornerstone list: no cornerstone tranche; stabilising manager: not named in the allotment notice or prospectus glossary; deal size: stated gross HK$5.9m rejected, below the net proceeds of HK$83.5m; allocation: allocation table not in this notice's format (older prose announcement); day-1 tape: volume on file; the retail multiple needs the final public split, which this notice does not state</ns0:t>
        </ns0:is>
      </ns0:c>
    </ns0:row>
    <ns0:row r="207" ht="22" customHeight="1">
      <ns0:c r="A207" s="73" t="inlineStr">
        <ns0:is>
          <ns0:t>9690</ns0:t>
        </ns0:is>
      </ns0:c>
      <ns0:c r="B207" s="74" t="inlineStr">
        <ns0:is>
          <ns0:t>TUHU-W</ns0:t>
        </ns0:is>
      </ns0:c>
      <ns0:c r="C207" s="74" t="inlineStr">
        <ns0:is>
          <ns0:t>途虎－Ｗ</ns0:t>
        </ns0:is>
      </ns0:c>
      <ns0:c r="D207" s="74" t="inlineStr">
        <ns0:is>
          <ns0:t>Technology</ns0:t>
        </ns0:is>
      </ns0:c>
      <ns0:c r="E207" s="74" t="inlineStr">
        <ns0:is>
          <ns0:t>Internet &amp; fintech</ns0:t>
        </ns0:is>
      </ns0:c>
      <ns0:c r="F207" s="74" t="inlineStr">
        <ns0:is>
          <ns0:t>Automotive Retail</ns0:t>
        </ns0:is>
      </ns0:c>
      <ns0:c r="G207" s="74" t="inlineStr">
        <ns0:is>
          <ns0:t>WVR</ns0:t>
        </ns0:is>
      </ns0:c>
      <ns0:c r="H207" s="75" t="n">
        <ns0:v>45195</ns0:v>
      </ns0:c>
      <ns0:c r="I207" s="76" t="n">
        <ns0:v>1188.5</ns0:v>
      </ns0:c>
      <ns0:c r="J207" s="74" t="inlineStr">
        <ns0:is>
          <ns0:t>gross (price x shares)</ns0:t>
        </ns0:is>
      </ns0:c>
      <ns0:c r="K207" s="95" t="n"/>
      <ns0:c r="L207" s="77" t="n">
        <ns0:v>28</ns0:v>
      </ns0:c>
      <ns0:c r="M207" s="77" t="n">
        <ns0:v>28</ns0:v>
      </ns0:c>
      <ns0:c r="N207" s="74" t="inlineStr">
        <ns0:is>
          <ns0:t>Y</ns0:t>
        </ns0:is>
      </ns0:c>
      <ns0:c r="O207" s="78" t="n">
        <ns0:v>100</ns0:v>
      </ns0:c>
      <ns0:c r="P207" s="84" t="n"/>
      <ns0:c r="Q207" s="79" t="n">
        <ns0:v>24157.3</ns0:v>
      </ns0:c>
      <ns0:c r="R207" s="74" t="inlineStr">
        <ns0:is>
          <ns0:t>aastocks:上市市值 at the struck price</ns0:t>
        </ns0:is>
      </ns0:c>
      <ns0:c r="S207" s="80" t="n">
        <ns0:v>2.67</ns0:v>
      </ns0:c>
      <ns0:c r="T207" s="81" t="n">
        <ns0:v>2.3</ns0:v>
      </ns0:c>
      <ns0:c r="U207" s="82" t="n">
        <ns0:v>62.3</ns0:v>
      </ns0:c>
      <ns0:c r="V207" s="83" t="n">
        <ns0:v>140</ns0:v>
      </ns0:c>
      <ns0:c r="W207" s="84" t="n"/>
      <ns0:c r="X207" s="85" t="n"/>
      <ns0:c r="Y207" s="79" t="n">
        <ns0:v>448.06</ns0:v>
      </ns0:c>
      <ns0:c r="Z207" s="79" t="n">
        <ns0:v>16001690</ns0:v>
      </ns0:c>
      <ns0:c r="AA207" s="78" t="n">
        <ns0:v>1.85</ns0:v>
      </ns0:c>
      <ns0:c r="AB207" s="74" t="inlineStr">
        <ns0:is>
          <ns0:t>Castrol Holdings International Limited; Image Frame Investment (HK) Limited; Shanghai Zizhu High-tech Zone (Group) Co., Ltd; Zhejiang Leapmotor Technology Co., Ltd</ns0:t>
        </ns0:is>
      </ns0:c>
      <ns0:c r="AC207" s="74" t="inlineStr">
        <ns0:is>
          <ns0:t>castrol;image;shanghai-zizhu;zhejiang</ns0:t>
        </ns0:is>
      </ns0:c>
      <ns0:c r="AD207" s="78" t="n">
        <ns0:v>5.7</ns0:v>
      </ns0:c>
      <ns0:c r="AE207" s="74" t="inlineStr">
        <ns0:is>
          <ns0:t>partial</ns0:t>
        </ns0:is>
      </ns0:c>
      <ns0:c r="AF207" s="74" t="inlineStr">
        <ns0:is>
          <ns0:t>2023-10-19</ns0:t>
        </ns0:is>
      </ns0:c>
      <ns0:c r="AG207" s="74" t="inlineStr">
        <ns0:is>
          <ns0:t>Goldman Sachs</ns0:t>
        </ns0:is>
      </ns0:c>
      <ns0:c r="AH207" s="74" t="inlineStr">
        <ns0:is>
          <ns0:t>Goldman Sachs</ns0:t>
        </ns0:is>
      </ns0:c>
      <ns0:c r="AI207" s="86" t="n">
        <ns0:v>-3.57</ns0:v>
      </ns0:c>
      <ns0:c r="AJ207" s="87" t="n">
        <ns0:v>5.36</ns0:v>
      </ns0:c>
      <ns0:c r="AK207" s="87" t="n">
        <ns0:v>-1.78</ns0:v>
      </ns0:c>
      <ns0:c r="AL207" s="87" t="n">
        <ns0:v>0</ns0:v>
      </ns0:c>
      <ns0:c r="AM207" s="87" t="n">
        <ns0:v>5.36</ns0:v>
      </ns0:c>
      <ns0:c r="AN207" s="88" t="n"/>
      <ns0:c r="AO207" s="78" t="n">
        <ns0:v>6.43</ns0:v>
      </ns0:c>
      <ns0:c r="AP207" s="87" t="n">
        <ns0:v>2.5</ns0:v>
      </ns0:c>
      <ns0:c r="AQ207" s="87" t="n">
        <ns0:v>25.71</ns0:v>
      </ns0:c>
      <ns0:c r="AR207" s="87" t="n">
        <ns0:v>6.96</ns0:v>
      </ns0:c>
      <ns0:c r="AS207" s="87" t="n">
        <ns0:v>-2.71</ns0:v>
      </ns0:c>
      <ns0:c r="AT207" s="87" t="n">
        <ns0:v>19.31</ns0:v>
      </ns0:c>
      <ns0:c r="AU207" s="87" t="n">
        <ns0:v>1.52</ns0:v>
      </ns0:c>
      <ns0:c r="AV207" s="87" t="n">
        <ns0:v>6.06</ns0:v>
      </ns0:c>
      <ns0:c r="AW207" s="87" t="n">
        <ns0:v>27.86</ns0:v>
      </ns0:c>
      <ns0:c r="AX207" s="87" t="n">
        <ns0:v>10.31</ns0:v>
      </ns0:c>
      <ns0:c r="AY207" s="87" t="n">
        <ns0:v>19.68</ns0:v>
      </ns0:c>
      <ns0:c r="AZ207" s="87" t="n">
        <ns0:v>-2.15</ns0:v>
      </ns0:c>
      <ns0:c r="BA207" s="87" t="n">
        <ns0:v>-0.37</ns0:v>
      </ns0:c>
      <ns0:c r="BB207" s="74" t="inlineStr">
        <ns0:is>
          <ns0:t>HSTECH (Hang Seng TECH ETF)</ns0:t>
        </ns0:is>
      </ns0:c>
      <ns0:c r="BC207" s="87" t="n">
        <ns0:v>-58.5</ns0:v>
      </ns0:c>
      <ns0:c r="BD207" s="75" t="n">
        <ns0:v>46297</ns0:v>
      </ns0:c>
      <ns0:c r="BE207" s="76" t="n">
        <ns0:v>12896.7</ns0:v>
      </ns0:c>
      <ns0:c r="BF207" s="79" t="n">
        <ns0:v>-6429.3</ns0:v>
      </ns0:c>
      <ns0:c r="BG207" s="74" t="inlineStr">
        <ns0:is>
          <ns0:t>N</ns0:t>
        </ns0:is>
      </ns0:c>
      <ns0:c r="BH207" s="74" t="inlineStr">
        <ns0:is>
          <ns0:t>n/m</ns0:t>
        </ns0:is>
      </ns0:c>
      <ns0:c r="BI207" s="88" t="n"/>
      <ns0:c r="BJ207" s="89" t="n">
        <ns0:v>18.7</ns0:v>
      </ns0:c>
      <ns0:c r="BK207" s="89" t="n">
        <ns0:v>1.9</ns0:v>
      </ns0:c>
      <ns0:c r="BL207" s="90">
        <ns0:f>IFERROR(IF('BBG Verify'!S207="","Awaiting Bloomberg",'BBG Verify'!S207),"Awaiting Bloomberg")</ns0:f>
        <ns0:v/>
      </ns0:c>
      <ns0:c r="BM207" s="91" t="inlineStr">
        <ns0:is>
          <ns0:t>N</ns0:t>
        </ns0:is>
      </ns0:c>
      <ns0:c r="BN207" s="92">
        <ns0:f>IFERROR(IF('BBG Verify'!K207="","Awaiting Bloomberg",'BBG Verify'!K207),"Awaiting Bloomberg")</ns0:f>
        <ns0:v/>
      </ns0:c>
      <ns0:c r="BO207" s="74" t="inlineStr">
        <ns0:is>
          <ns0:t>N/A</ns0:t>
        </ns0:is>
      </ns0:c>
      <ns0:c r="BP207" s="74" t="inlineStr">
        <ns0:is>
          <ns0:t>N/A</ns0:t>
        </ns0:is>
      </ns0:c>
      <ns0:c r="BQ207" s="74" t="inlineStr">
        <ns0:is>
          <ns0:t>N/A</ns0:t>
        </ns0:is>
      </ns0:c>
      <ns0:c r="BR207" s="74" t="inlineStr">
        <ns0:is>
          <ns0:t>N/A</ns0:t>
        </ns0:is>
      </ns0:c>
      <ns0:c r="BS207" s="74" t="inlineStr">
        <ns0:is>
          <ns0:t>N/A</ns0:t>
        </ns0:is>
      </ns0:c>
      <ns0:c r="BT207" s="74" t="inlineStr">
        <ns0:is>
          <ns0:t>N/A</ns0:t>
        </ns0:is>
      </ns0:c>
      <ns0:c r="BU207" s="91" t="inlineStr">
        <ns0:is>
          <ns0:t>Goldman Sachs (Asia) L.L.C; China International Capital Corporation Hong Kong Securities Limited; Merrill Lynch (Asia Pacific) Limited; UBS AG Hong Kong Branch</ns0:t>
        </ns0:is>
      </ns0:c>
      <ns0:c r="BV207" s="74" t="inlineStr">
        <ns0:is>
          <ns0:t>China International Capital Corporation Hong Kong Securities Limited; UBS Securities Hong Kong Limited; Merrill Lynch (Asia Pacific) Limited; Goldman Sachs (Asia) L.L.C.</ns0:t>
        </ns0:is>
      </ns0:c>
      <ns0:c r="BW207" s="74" t="inlineStr">
        <ns0:is>
          <ns0:t>Goldman Sachs (Asia) L.L.C; China International Capital Corporation Hong Kong Securities Limited; UBS AG Hong Kong Branch; Merrill Lynch (Asia Pacific) Limited; CMB International Capital Limited; BOCOM International Securities Limited; ICBC International Securities Limited; ABCI Capital Limited; Futu Securities International (Hong Kong) Limited</ns0:t>
        </ns0:is>
      </ns0:c>
      <ns0:c r="BX207" s="74" t="inlineStr">
        <ns0:is>
          <ns0: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ns0:t>
        </ns0:is>
      </ns0:c>
      <ns0:c r="BY207" s="93">
        <ns0:f>HYPERLINK("https://www1.hkexnews.hk/listedco/listconews/sehk/2023/0914/2023091400024.htm","prospectus")</ns0:f>
        <ns0:v/>
      </ns0:c>
      <ns0:c r="BZ207" s="93">
        <ns0:f>HYPERLINK("https://www1.hkexnews.hk/listedco/listconews/sehk/2023/0925/2023092500012.htm","allotment")</ns0:f>
        <ns0:v/>
      </ns0:c>
      <ns0:c r="CA207" s="93">
        <ns0:f>HYPERLINK("https://www1.hkexnews.hk/listedco/listconews/sehk/2023/1019/2023101901082.pdf","stabilisation")</ns0:f>
        <ns0:v/>
      </ns0:c>
      <ns0:c r="CB207" s="94" t="n"/>
      <ns0:c r="CC207" s="74" t="inlineStr">
        <ns0:is>
          <ns0:t>P/E: loss-making at IPO, use P/S; price range: fixed-price offering (no indicative range); range low: maximum offer price only, no floor published; market cap: prospectus 'market capitalisation' line is the listing-rule threshold, not the issuer's figure; rejected; cornerstone: table parse 90% rejected (institutional total implies 62%); the AAStocks institutional total used; allocation: allocation table not in this notice's format (older prose announcement); day-1 tape: volume on file; the retail multiple needs the final public split, which this notice does not state</ns0:t>
        </ns0:is>
      </ns0:c>
    </ns0:row>
    <ns0:row r="208" ht="22" customHeight="1">
      <ns0:c r="A208" s="73" t="inlineStr">
        <ns0:is>
          <ns0:t>9686</ns0:t>
        </ns0:is>
      </ns0:c>
      <ns0:c r="B208" s="74" t="inlineStr">
        <ns0:is>
          <ns0:t>NEUSOFT XIKANG</ns0:t>
        </ns0:is>
      </ns0:c>
      <ns0:c r="C208" s="74" t="inlineStr">
        <ns0:is>
          <ns0:t>熙康雲醫院</ns0:t>
        </ns0:is>
      </ns0:c>
      <ns0:c r="D208" s="74" t="inlineStr">
        <ns0:is>
          <ns0:t>Healthcare</ns0:t>
        </ns0:is>
      </ns0:c>
      <ns0:c r="E208" s="74" t="inlineStr">
        <ns0:is>
          <ns0:t>Digital health</ns0:t>
        </ns0:is>
      </ns0:c>
      <ns0:c r="F208" s="74" t="inlineStr">
        <ns0:is>
          <ns0:t>Health Care Services</ns0:t>
        </ns0:is>
      </ns0:c>
      <ns0:c r="G208" s="74" t="inlineStr">
        <ns0:is>
          <ns0:t>Standard</ns0:t>
        </ns0:is>
      </ns0:c>
      <ns0:c r="H208" s="75" t="n">
        <ns0:v>45197</ns0:v>
      </ns0:c>
      <ns0:c r="I208" s="76" t="n">
        <ns0:v>636.9</ns0:v>
      </ns0:c>
      <ns0:c r="J208" s="74" t="inlineStr">
        <ns0:is>
          <ns0:t>gross (price x shares)</ns0:t>
        </ns0:is>
      </ns0:c>
      <ns0:c r="K208" s="77" t="n">
        <ns0:v>4.76</ns0:v>
      </ns0:c>
      <ns0:c r="L208" s="77" t="n">
        <ns0:v>5.91</ns0:v>
      </ns0:c>
      <ns0:c r="M208" s="77" t="n">
        <ns0:v>4.76</ns0:v>
      </ns0:c>
      <ns0:c r="N208" s="74" t="inlineStr">
        <ns0:is>
          <ns0:t>N</ns0:t>
        </ns0:is>
      </ns0:c>
      <ns0:c r="O208" s="78" t="n">
        <ns0:v>80.5</ns0:v>
      </ns0:c>
      <ns0:c r="P208" s="78" t="n">
        <ns0:v>0</ns0:v>
      </ns0:c>
      <ns0:c r="Q208" s="79" t="n">
        <ns0:v>4787.1</ns0:v>
      </ns0:c>
      <ns0:c r="R208" s="74" t="inlineStr">
        <ns0:is>
          <ns0:t>aastocks:上市市值 at the struck price</ns0:t>
        </ns0:is>
      </ns0:c>
      <ns0:c r="S208" s="80" t="n">
        <ns0:v>0.9</ns0:v>
      </ns0:c>
      <ns0:c r="T208" s="81" t="n">
        <ns0:v>1.15</ns0:v>
      </ns0:c>
      <ns0:c r="U208" s="82" t="n">
        <ns0:v>34.82</ns0:v>
      </ns0:c>
      <ns0:c r="V208" s="83" t="n">
        <ns0:v>106</ns0:v>
      </ns0:c>
      <ns0:c r="W208" s="78" t="n">
        <ns0:v>8.960000000000001</ns0:v>
      </ns0:c>
      <ns0:c r="X208" s="74" t="inlineStr">
        <ns0:is>
          <ns0:t>NO</ns0:t>
        </ns0:is>
      </ns0:c>
      <ns0:c r="Y208" s="79" t="n">
        <ns0:v>415.13</ns0:v>
      </ns0:c>
      <ns0:c r="Z208" s="79" t="n">
        <ns0:v>87214425</ns0:v>
      </ns0:c>
      <ns0:c r="AA208" s="78" t="n">
        <ns0:v>8.67</ns0:v>
      </ns0:c>
      <ns0:c r="AB208" s="74" t="inlineStr">
        <ns0:is>
          <ns0:t>INFO EXPERT SERVICES LIMITED; Ningbo Haishu Industrial Investment Co., Ltd; Ningbo Industrial Development Fund Co., Ltd</ns0:t>
        </ns0:is>
      </ns0:c>
      <ns0:c r="AC208" s="74" t="inlineStr">
        <ns0:is>
          <ns0:t>info;ningbo</ns0:t>
        </ns0:is>
      </ns0:c>
      <ns0:c r="AD208" s="78" t="n">
        <ns0:v>17.85</ns0:v>
      </ns0:c>
      <ns0:c r="AE208" s="85" t="n"/>
      <ns0:c r="AF208" s="85" t="n"/>
      <ns0:c r="AG208" s="85" t="n"/>
      <ns0:c r="AH208" s="85" t="n"/>
      <ns0:c r="AI208" s="86" t="n">
        <ns0:v>-24.16</ns0:v>
      </ns0:c>
      <ns0:c r="AJ208" s="87" t="n">
        <ns0:v>-42.86</ns0:v>
      </ns0:c>
      <ns0:c r="AK208" s="87" t="n">
        <ns0:v>-1.23</ns0:v>
      </ns0:c>
      <ns0:c r="AL208" s="87" t="n">
        <ns0:v>-22.48</ns0:v>
      </ns0:c>
      <ns0:c r="AM208" s="87" t="n">
        <ns0:v>-26.29</ns0:v>
      </ns0:c>
      <ns0:c r="AN208" s="89" t="n">
        <ns0:v>0.53</ns0:v>
      </ns0:c>
      <ns0:c r="AO208" s="78" t="n">
        <ns0:v>26.56</ns0:v>
      </ns0:c>
      <ns0:c r="AP208" s="87" t="n">
        <ns0:v>-51.26</ns0:v>
      </ns0:c>
      <ns0:c r="AQ208" s="87" t="n">
        <ns0:v>-66.39</ns0:v>
      </ns0:c>
      <ns0:c r="AR208" s="87" t="n">
        <ns0:v>-70.17</ns0:v>
      </ns0:c>
      <ns0:c r="AS208" s="87" t="n">
        <ns0:v>-14.7</ns0:v>
      </ns0:c>
      <ns0:c r="AT208" s="87" t="n">
        <ns0:v>-41.18</ns0:v>
      </ns0:c>
      <ns0:c r="AU208" s="87" t="n">
        <ns0:v>-47.79</ns0:v>
      </ns0:c>
      <ns0:c r="AV208" s="87" t="n">
        <ns0:v>-49.28</ns0:v>
      </ns0:c>
      <ns0:c r="AW208" s="87" t="n">
        <ns0:v>-71.06</ns0:v>
      </ns0:c>
      <ns0:c r="AX208" s="87" t="n">
        <ns0:v>-65.91</ns0:v>
      </ns0:c>
      <ns0:c r="AY208" s="87" t="n">
        <ns0:v>-47.15</ns0:v>
      </ns0:c>
      <ns0:c r="AZ208" s="87" t="n">
        <ns0:v>4.67</ns0:v>
      </ns0:c>
      <ns0:c r="BA208" s="87" t="n">
        <ns0:v>5.97</ns0:v>
      </ns0:c>
      <ns0:c r="BB208" s="74" t="inlineStr">
        <ns0:is>
          <ns0:t>China Biotech ETF (HS biotech proxy)</ns0:t>
        </ns0:is>
      </ns0:c>
      <ns0:c r="BC208" s="87" t="n">
        <ns0:v>-79.2</ns0:v>
      </ns0:c>
      <ns0:c r="BD208" s="75" t="n">
        <ns0:v>46297</ns0:v>
      </ns0:c>
      <ns0:c r="BE208" s="76" t="n">
        <ns0:v>756.2</ns0:v>
      </ns0:c>
      <ns0:c r="BF208" s="79" t="n">
        <ns0:v>-267.6</ns0:v>
      </ns0:c>
      <ns0:c r="BG208" s="74" t="inlineStr">
        <ns0:is>
          <ns0:t>N</ns0:t>
        </ns0:is>
      </ns0:c>
      <ns0:c r="BH208" s="74" t="inlineStr">
        <ns0:is>
          <ns0:t>n/m</ns0:t>
        </ns0:is>
      </ns0:c>
      <ns0:c r="BI208" s="88" t="n"/>
      <ns0:c r="BJ208" s="88" t="n"/>
      <ns0:c r="BK208" s="89" t="n">
        <ns0:v>6.3</ns0:v>
      </ns0:c>
      <ns0:c r="BL208" s="90">
        <ns0:f>IFERROR(IF('BBG Verify'!S208="","Awaiting Bloomberg",'BBG Verify'!S208),"Awaiting Bloomberg")</ns0:f>
        <ns0:v/>
      </ns0:c>
      <ns0:c r="BM208" s="91" t="inlineStr">
        <ns0:is>
          <ns0:t>N</ns0:t>
        </ns0:is>
      </ns0:c>
      <ns0:c r="BN208" s="92">
        <ns0:f>IFERROR(IF('BBG Verify'!K208="","Awaiting Bloomberg",'BBG Verify'!K208),"Awaiting Bloomberg")</ns0:f>
        <ns0:v/>
      </ns0:c>
      <ns0:c r="BO208" s="74" t="inlineStr">
        <ns0:is>
          <ns0:t>N/A</ns0:t>
        </ns0:is>
      </ns0:c>
      <ns0:c r="BP208" s="74" t="inlineStr">
        <ns0:is>
          <ns0:t>N/A</ns0:t>
        </ns0:is>
      </ns0:c>
      <ns0:c r="BQ208" s="74" t="inlineStr">
        <ns0:is>
          <ns0:t>N/A</ns0:t>
        </ns0:is>
      </ns0:c>
      <ns0:c r="BR208" s="74" t="inlineStr">
        <ns0:is>
          <ns0:t>N/A</ns0:t>
        </ns0:is>
      </ns0:c>
      <ns0:c r="BS208" s="74" t="inlineStr">
        <ns0:is>
          <ns0:t>N/A</ns0:t>
        </ns0:is>
      </ns0:c>
      <ns0:c r="BT208" s="74" t="inlineStr">
        <ns0:is>
          <ns0:t>N/A</ns0:t>
        </ns0:is>
      </ns0:c>
      <ns0:c r="BU208" s="91" t="inlineStr">
        <ns0:is>
          <ns0:t>China International Capital Corporation Hong Kong Securities Limited</ns0:t>
        </ns0:is>
      </ns0:c>
      <ns0:c r="BV208" s="74" t="inlineStr">
        <ns0:is>
          <ns0:t>China International Capital Corporation Hong Kong Securities Limited</ns0:t>
        </ns0:is>
      </ns0:c>
      <ns0:c r="BW208" s="74" t="inlineStr">
        <ns0:is>
          <ns0:t>China International Capital Corporation Hong Kong Securities Limited; Daiwa Capital Markets Hong Kong Limited; BOCI Asia Limited; Futu Securities International (Hong Kong) Limited; China Galaxy International Securities (Hong Kong) Co., Limited; GF Securities (Hong Kong) Brokerage Limited</ns0:t>
        </ns0:is>
      </ns0:c>
      <ns0:c r="BX208" s="74" t="inlineStr">
        <ns0:is>
          <ns0: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ns0:t>
        </ns0:is>
      </ns0:c>
      <ns0:c r="BY208" s="93">
        <ns0:f>HYPERLINK("https://www1.hkexnews.hk/listedco/listconews/sehk/2023/0918/2023091800017.pdf","prospectus")</ns0:f>
        <ns0:v/>
      </ns0:c>
      <ns0:c r="BZ208" s="93">
        <ns0:f>HYPERLINK("https://www1.hkexnews.hk/listedco/listconews/sehk/2023/0927/2023092700030.htm","allotment")</ns0:f>
        <ns0:v/>
      </ns0:c>
      <ns0:c r="CA208" s="85" t="n"/>
      <ns0:c r="CB208" s="94" t="n"/>
      <ns0:c r="CC208" s="74" t="inlineStr">
        <ns0:is>
          <ns0:t>P/E: loss-making at IPO, use P/S; greenshoe: end-of-stabilisation notice not found; sponsor: English name not in the filing; AAStocks 保薦人 shown; market cap: published listing cap used; the estimate from deal size / offer % of enlarged capital disagreed; stabilising manager: not named in the allotment notice or prospectus glossary; deal size: stated gross HK$21.6m rejected, below the net proceeds of HK$554.5m</ns0:t>
        </ns0:is>
      </ns0:c>
    </ns0:row>
    <ns0:row r="209" ht="22" customHeight="1">
      <ns0:c r="A209" s="73" t="inlineStr">
        <ns0:is>
          <ns0:t>9890</ns0:t>
        </ns0:is>
      </ns0:c>
      <ns0:c r="B209" s="74" t="inlineStr">
        <ns0:is>
          <ns0:t>ZX INC</ns0:t>
        </ns0:is>
      </ns0:c>
      <ns0:c r="C209" s="74" t="inlineStr">
        <ns0:is>
          <ns0:t>貪玩</ns0:t>
        </ns0:is>
      </ns0:c>
      <ns0:c r="D209" s="74" t="inlineStr">
        <ns0:is>
          <ns0:t>Media &amp; telecom</ns0:t>
        </ns0:is>
      </ns0:c>
      <ns0:c r="E209" s="74" t="inlineStr">
        <ns0:is>
          <ns0:t>Media / advertising</ns0:t>
        </ns0:is>
      </ns0:c>
      <ns0:c r="F209" s="74" t="inlineStr">
        <ns0:is>
          <ns0:t>Gaming Software</ns0:t>
        </ns0:is>
      </ns0:c>
      <ns0:c r="G209" s="74" t="inlineStr">
        <ns0:is>
          <ns0:t>Standard</ns0:t>
        </ns0:is>
      </ns0:c>
      <ns0:c r="H209" s="75" t="n">
        <ns0:v>45197</ns0:v>
      </ns0:c>
      <ns0:c r="I209" s="76" t="n">
        <ns0:v>265.7</ns0:v>
      </ns0:c>
      <ns0:c r="J209" s="74" t="inlineStr">
        <ns0:is>
          <ns0:t>gross (price x shares)</ns0:t>
        </ns0:is>
      </ns0:c>
      <ns0:c r="K209" s="77" t="n">
        <ns0:v>11</ns0:v>
      </ns0:c>
      <ns0:c r="L209" s="77" t="n">
        <ns0:v>14</ns0:v>
      </ns0:c>
      <ns0:c r="M209" s="77" t="n">
        <ns0:v>14</ns0:v>
      </ns0:c>
      <ns0:c r="N209" s="74" t="inlineStr">
        <ns0:is>
          <ns0:t>Y</ns0:t>
        </ns0:is>
      </ns0:c>
      <ns0:c r="O209" s="78" t="n">
        <ns0:v>100</ns0:v>
      </ns0:c>
      <ns0:c r="P209" s="78" t="n">
        <ns0:v>100</ns0:v>
      </ns0:c>
      <ns0:c r="Q209" s="79" t="n">
        <ns0:v>7482.2</ns0:v>
      </ns0:c>
      <ns0:c r="R209" s="74" t="inlineStr">
        <ns0:is>
          <ns0:t>aastocks:上市市值 at the struck price</ns0:t>
        </ns0:is>
      </ns0:c>
      <ns0:c r="S209" s="80" t="n">
        <ns0:v>104</ns0:v>
      </ns0:c>
      <ns0:c r="T209" s="81" t="n">
        <ns0:v>1.67</ns0:v>
      </ns0:c>
      <ns0:c r="U209" s="82" t="n">
        <ns0:v>24.1</ns0:v>
      </ns0:c>
      <ns0:c r="V209" s="83" t="n">
        <ns0:v>138</ns0:v>
      </ns0:c>
      <ns0:c r="W209" s="84" t="n"/>
      <ns0:c r="X209" s="85" t="n"/>
      <ns0:c r="Y209" s="79" t="n">
        <ns0:v>201.67</ns0:v>
      </ns0:c>
      <ns0:c r="Z209" s="79" t="n">
        <ns0:v>14402784</ns0:v>
      </ns0:c>
      <ns0:c r="AA209" s="78" t="n">
        <ns0:v>2.7</ns0:v>
      </ns0:c>
      <ns0:c r="AB209" s="74" t="inlineStr">
        <ns0:is>
          <ns0:t>4399 Net Limited; Aofei Data International Company Limited; Hong Kong Longsin Co., Limited; Shangrao High-speed Industrial Investment</ns0:t>
        </ns0:is>
      </ns0:c>
      <ns0:c r="AC209" s="74" t="inlineStr">
        <ns0:is>
          <ns0:t>4399;aofei;longsin;shangrao</ns0:t>
        </ns0:is>
      </ns0:c>
      <ns0:c r="AD209" s="78" t="n">
        <ns0:v>20</ns0:v>
      </ns0:c>
      <ns0:c r="AE209" s="74" t="inlineStr">
        <ns0:is>
          <ns0:t>lapsed</ns0:t>
        </ns0:is>
      </ns0:c>
      <ns0:c r="AF209" s="74" t="inlineStr">
        <ns0:is>
          <ns0:t>2023-10-21</ns0:t>
        </ns0:is>
      </ns0:c>
      <ns0:c r="AG209" s="74" t="inlineStr">
        <ns0:is>
          <ns0:t>China International Capital Corporation Hong Kong Securities Limited</ns0:t>
        </ns0:is>
      </ns0:c>
      <ns0:c r="AH209" s="74" t="inlineStr">
        <ns0:is>
          <ns0:t>China International</ns0:t>
        </ns0:is>
      </ns0:c>
      <ns0:c r="AI209" s="86" t="n">
        <ns0:v>-0.71</ns0:v>
      </ns0:c>
      <ns0:c r="AJ209" s="87" t="n">
        <ns0:v>0</ns0:v>
      </ns0:c>
      <ns0:c r="AK209" s="87" t="n">
        <ns0:v>-1.36</ns0:v>
      </ns0:c>
      <ns0:c r="AL209" s="87" t="n">
        <ns0:v>-1.57</ns0:v>
      </ns0:c>
      <ns0:c r="AM209" s="87" t="n">
        <ns0:v>1.6</ns0:v>
      </ns0:c>
      <ns0:c r="AN209" s="88" t="n"/>
      <ns0:c r="AO209" s="78" t="n">
        <ns0:v>7.4</ns0:v>
      </ns0:c>
      <ns0:c r="AP209" s="87" t="n">
        <ns0:v>-3.86</ns0:v>
      </ns0:c>
      <ns0:c r="AQ209" s="87" t="n">
        <ns0:v>-14.29</ns0:v>
      </ns0:c>
      <ns0:c r="AR209" s="87" t="n">
        <ns0:v>240.36</ns0:v>
      </ns0:c>
      <ns0:c r="AS209" s="87" t="n">
        <ns0:v>-3.86</ns0:v>
      </ns0:c>
      <ns0:c r="AT209" s="87" t="n">
        <ns0:v>-14.29</ns0:v>
      </ns0:c>
      <ns0:c r="AU209" s="87" t="n">
        <ns0:v>240.36</ns0:v>
      </ns0:c>
      <ns0:c r="AV209" s="87" t="n">
        <ns0:v>-3.15</ns0:v>
      </ns0:c>
      <ns0:c r="AW209" s="87" t="n">
        <ns0:v>-11.45</ns0:v>
      </ns0:c>
      <ns0:c r="AX209" s="87" t="n">
        <ns0:v>245.03</ns0:v>
      </ns0:c>
      <ns0:c r="AY209" s="87" t="n">
        <ns0:v>-12.79</ns0:v>
      </ns0:c>
      <ns0:c r="AZ209" s="87" t="n">
        <ns0:v>-2.84</ns0:v>
      </ns0:c>
      <ns0:c r="BA209" s="87" t="n">
        <ns0:v>-1.5</ns0:v>
      </ns0:c>
      <ns0:c r="BB209" s="74" t="inlineStr">
        <ns0:is>
          <ns0:t>Hang Seng Index</ns0:t>
        </ns0:is>
      </ns0:c>
      <ns0:c r="BC209" s="87" t="n">
        <ns0:v>-30.18</ns0:v>
      </ns0:c>
      <ns0:c r="BD209" s="75" t="n">
        <ns0:v>46297</ns0:v>
      </ns0:c>
      <ns0:c r="BE209" s="76" t="n">
        <ns0:v>9698.9</ns0:v>
      </ns0:c>
      <ns0:c r="BF209" s="79" t="n">
        <ns0:v>661.7</ns0:v>
      </ns0:c>
      <ns0:c r="BG209" s="74" t="inlineStr">
        <ns0:is>
          <ns0:t>Y</ns0:t>
        </ns0:is>
      </ns0:c>
      <ns0:c r="BH209" s="89" t="n">
        <ns0:v>11.3</ns0:v>
      </ns0:c>
      <ns0:c r="BI209" s="88" t="n"/>
      <ns0:c r="BJ209" s="89" t="n">
        <ns0:v>3</ns0:v>
      </ns0:c>
      <ns0:c r="BK209" s="89" t="n">
        <ns0:v>0.8</ns0:v>
      </ns0:c>
      <ns0:c r="BL209" s="90">
        <ns0:f>IFERROR(IF('BBG Verify'!S209="","Awaiting Bloomberg",'BBG Verify'!S209),"Awaiting Bloomberg")</ns0:f>
        <ns0:v/>
      </ns0:c>
      <ns0:c r="BM209" s="91" t="inlineStr">
        <ns0:is>
          <ns0:t>N</ns0:t>
        </ns0:is>
      </ns0:c>
      <ns0:c r="BN209" s="92">
        <ns0:f>IFERROR(IF('BBG Verify'!K209="","Awaiting Bloomberg",'BBG Verify'!K209),"Awaiting Bloomberg")</ns0:f>
        <ns0:v/>
      </ns0:c>
      <ns0:c r="BO209" s="74" t="inlineStr">
        <ns0:is>
          <ns0:t>N/A</ns0:t>
        </ns0:is>
      </ns0:c>
      <ns0:c r="BP209" s="74" t="inlineStr">
        <ns0:is>
          <ns0:t>N/A</ns0:t>
        </ns0:is>
      </ns0:c>
      <ns0:c r="BQ209" s="74" t="inlineStr">
        <ns0:is>
          <ns0:t>N/A</ns0:t>
        </ns0:is>
      </ns0:c>
      <ns0:c r="BR209" s="74" t="inlineStr">
        <ns0:is>
          <ns0:t>N/A</ns0:t>
        </ns0:is>
      </ns0:c>
      <ns0:c r="BS209" s="74" t="inlineStr">
        <ns0:is>
          <ns0:t>N/A</ns0:t>
        </ns0:is>
      </ns0:c>
      <ns0:c r="BT209" s="74" t="inlineStr">
        <ns0:is>
          <ns0:t>N/A</ns0:t>
        </ns0:is>
      </ns0:c>
      <ns0:c r="BU209" s="91" t="inlineStr">
        <ns0:is>
          <ns0:t>China International Capital Corporation Hong Kong Securities Limited; China Securities (International) Corporate Finance Company Limited</ns0:t>
        </ns0:is>
      </ns0:c>
      <ns0:c r="BV209" s="74" t="inlineStr">
        <ns0:is>
          <ns0:t>China International Capital Corporation Hong Kong Securities Limited; China Securities (International) Corporate Finance Company Limited</ns0:t>
        </ns0:is>
      </ns0:c>
      <ns0:c r="BW209" s="74" t="inlineStr">
        <ns0:is>
          <ns0:t>China International Capital Corporation Hong Kong Securities Limited; China Securities (International) Corporate Finance Company Limited; China Merchants Securities (HK) Co., Limited; CLSA Limited; CMB International Capital Limited; ICBC International Securities Limited</ns0:t>
        </ns0:is>
      </ns0:c>
      <ns0:c r="BX209" s="74" t="inlineStr">
        <ns0:is>
          <ns0: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ns0:t>
        </ns0:is>
      </ns0:c>
      <ns0:c r="BY209" s="93">
        <ns0:f>HYPERLINK("https://www1.hkexnews.hk/listedco/listconews/sehk/2023/0918/2023091800015.pdf","prospectus")</ns0:f>
        <ns0:v/>
      </ns0:c>
      <ns0:c r="BZ209" s="93">
        <ns0:f>HYPERLINK("https://www1.hkexnews.hk/listedco/listconews/sehk/2023/0927/2023092700046.htm","allotment")</ns0:f>
        <ns0:v/>
      </ns0:c>
      <ns0:c r="CA209" s="93">
        <ns0:f>HYPERLINK("https://www1.hkexnews.hk/listedco/listconews/sehk/2023/1023/2023102300009.pdf","stabilisation")</ns0:f>
        <ns0:v/>
      </ns0:c>
      <ns0:c r="CB209" s="94" t="n"/>
      <ns0:c r="CC209" s="74" t="inlineStr">
        <ns0:is>
          <ns0:t>sponsor: English name not in the filing; AAStocks 保薦人 shown; deal size: stated gross HK$29.5m rejected, below the net proceeds of HK$138.1m; allocation: allocation table not in this notice's format (older prose announcement); day-1 tape: volume on file; the retail multiple needs the final public split, which this notice does not state</ns0:t>
        </ns0:is>
      </ns0:c>
    </ns0:row>
    <ns0:row r="210" ht="22" customHeight="1">
      <ns0:c r="A210" s="73" t="inlineStr">
        <ns0:is>
          <ns0:t>6682</ns0:t>
        </ns0:is>
      </ns0:c>
      <ns0:c r="B210" s="74" t="inlineStr">
        <ns0:is>
          <ns0:t>FOURTH PARADIGM</ns0:t>
        </ns0:is>
      </ns0:c>
      <ns0:c r="C210" s="74" t="inlineStr">
        <ns0:is>
          <ns0:t>範式智能</ns0:t>
        </ns0:is>
      </ns0:c>
      <ns0:c r="D210" s="74" t="inlineStr">
        <ns0:is>
          <ns0:t>Technology</ns0:t>
        </ns0:is>
      </ns0:c>
      <ns0:c r="E210" s="74" t="inlineStr">
        <ns0:is>
          <ns0:t>Software &amp; AI</ns0:t>
        </ns0:is>
      </ns0:c>
      <ns0:c r="F210" s="74" t="inlineStr">
        <ns0:is>
          <ns0:t>Application Software</ns0:t>
        </ns0:is>
      </ns0:c>
      <ns0:c r="G210" s="74" t="inlineStr">
        <ns0:is>
          <ns0:t>Standard</ns0:t>
        </ns0:is>
      </ns0:c>
      <ns0:c r="H210" s="75" t="n">
        <ns0:v>45197</ns0:v>
      </ns0:c>
      <ns0:c r="I210" s="76" t="n">
        <ns0:v>1022.8</ns0:v>
      </ns0:c>
      <ns0:c r="J210" s="74" t="inlineStr">
        <ns0:is>
          <ns0:t>gross (price x shares)</ns0:t>
        </ns0:is>
      </ns0:c>
      <ns0:c r="K210" s="77" t="n">
        <ns0:v>55.6</ns0:v>
      </ns0:c>
      <ns0:c r="L210" s="77" t="n">
        <ns0:v>61.16</ns0:v>
      </ns0:c>
      <ns0:c r="M210" s="77" t="n">
        <ns0:v>55.6</ns0:v>
      </ns0:c>
      <ns0:c r="N210" s="74" t="inlineStr">
        <ns0:is>
          <ns0:t>N</ns0:t>
        </ns0:is>
      </ns0:c>
      <ns0:c r="O210" s="78" t="n">
        <ns0:v>90.90000000000001</ns0:v>
      </ns0:c>
      <ns0:c r="P210" s="78" t="n">
        <ns0:v>0</ns0:v>
      </ns0:c>
      <ns0:c r="Q210" s="79" t="n">
        <ns0:v>22578.4</ns0:v>
      </ns0:c>
      <ns0:c r="R210" s="74" t="inlineStr">
        <ns0:is>
          <ns0:t>derived:deal size / offer % of enlarged capital</ns0:t>
        </ns0:is>
      </ns0:c>
      <ns0:c r="S210" s="80" t="n">
        <ns0:v>11.4</ns0:v>
      </ns0:c>
      <ns0:c r="T210" s="81" t="n">
        <ns0:v>1.57</ns0:v>
      </ns0:c>
      <ns0:c r="U210" s="82" t="n">
        <ns0:v>39.6</ns0:v>
      </ns0:c>
      <ns0:c r="V210" s="83" t="n">
        <ns0:v>154</ns0:v>
      </ns0:c>
      <ns0:c r="W210" s="84" t="n"/>
      <ns0:c r="X210" s="85" t="n"/>
      <ns0:c r="Y210" s="79" t="n">
        <ns0:v>617.77</ns0:v>
      </ns0:c>
      <ns0:c r="Z210" s="79" t="n">
        <ns0:v>11111184</ns0:v>
      </ns0:c>
      <ns0:c r="AA210" s="78" t="n">
        <ns0:v>2.74</ns0:v>
      </ns0:c>
      <ns0:c r="AB210" s="74" t="inlineStr">
        <ns0:is>
          <ns0:t>Beijing Zhongguancun Science City Science and Technology Growth Investment Partn; Montage Technology Holdings Company Limited; New China Capital Management Limited</ns0:t>
        </ns0:is>
      </ns0:c>
      <ns0:c r="AC210" s="74" t="inlineStr">
        <ns0:is>
          <ns0:t>beijing-zhongguancun;montage;new</ns0:t>
        </ns0:is>
      </ns0:c>
      <ns0:c r="AD210" s="78" t="n">
        <ns0:v>17.6</ns0:v>
      </ns0:c>
      <ns0:c r="AE210" s="74" t="inlineStr">
        <ns0:is>
          <ns0:t>partial</ns0:t>
        </ns0:is>
      </ns0:c>
      <ns0:c r="AF210" s="85" t="n"/>
      <ns0:c r="AG210" s="74" t="inlineStr">
        <ns0:is>
          <ns0:t>China International Capital Corporation Hong Kong Securities Limited</ns0:t>
        </ns0:is>
      </ns0:c>
      <ns0:c r="AH210" s="74" t="inlineStr">
        <ns0:is>
          <ns0:t>China International</ns0:t>
        </ns0:is>
      </ns0:c>
      <ns0:c r="AI210" s="86" t="n">
        <ns0:v>9.710000000000001</ns0:v>
      </ns0:c>
      <ns0:c r="AJ210" s="87" t="n">
        <ns0:v>5.22</ns0:v>
      </ns0:c>
      <ns0:c r="AK210" s="87" t="n">
        <ns0:v>-1.38</ns0:v>
      </ns0:c>
      <ns0:c r="AL210" s="87" t="n">
        <ns0:v>13.49</ns0:v>
      </ns0:c>
      <ns0:c r="AM210" s="87" t="n">
        <ns0:v>-7.29</ns0:v>
      </ns0:c>
      <ns0:c r="AN210" s="88" t="n"/>
      <ns0:c r="AO210" s="78" t="n">
        <ns0:v>13.55</ns0:v>
      </ns0:c>
      <ns0:c r="AP210" s="87" t="n">
        <ns0:v>-2.88</ns0:v>
      </ns0:c>
      <ns0:c r="AQ210" s="87" t="n">
        <ns0:v>-6.47</ns0:v>
      </ns0:c>
      <ns0:c r="AR210" s="87" t="n">
        <ns0:v>-10.79</ns0:v>
      </ns0:c>
      <ns0:c r="AS210" s="87" t="n">
        <ns0:v>-7.7</ns0:v>
      </ns0:c>
      <ns0:c r="AT210" s="87" t="n">
        <ns0:v>-11.11</ns0:v>
      </ns0:c>
      <ns0:c r="AU210" s="87" t="n">
        <ns0:v>-15.22</ns0:v>
      </ns0:c>
      <ns0:c r="AV210" s="87" t="n">
        <ns0:v>-2.51</ns0:v>
      </ns0:c>
      <ns0:c r="AW210" s="87" t="n">
        <ns0:v>-4.66</ns0:v>
      </ns0:c>
      <ns0:c r="AX210" s="87" t="n">
        <ns0:v>-7.97</ns0:v>
      </ns0:c>
      <ns0:c r="AY210" s="87" t="n">
        <ns0:v>-10.68</ns0:v>
      </ns0:c>
      <ns0:c r="AZ210" s="87" t="n">
        <ns0:v>-1.81</ns0:v>
      </ns0:c>
      <ns0:c r="BA210" s="87" t="n">
        <ns0:v>-0.43</ns0:v>
      </ns0:c>
      <ns0:c r="BB210" s="74" t="inlineStr">
        <ns0:is>
          <ns0:t>HSTECH (Hang Seng TECH ETF)</ns0:t>
        </ns0:is>
      </ns0:c>
      <ns0:c r="BC210" s="87" t="n">
        <ns0:v>-53.38</ns0:v>
      </ns0:c>
      <ns0:c r="BD210" s="75" t="n">
        <ns0:v>46297</ns0:v>
      </ns0:c>
      <ns0:c r="BE210" s="76" t="n">
        <ns0:v>3391.3</ns0:v>
      </ns0:c>
      <ns0:c r="BF210" s="79" t="n">
        <ns0:v>-1818.3</ns0:v>
      </ns0:c>
      <ns0:c r="BG210" s="74" t="inlineStr">
        <ns0:is>
          <ns0:t>N</ns0:t>
        </ns0:is>
      </ns0:c>
      <ns0:c r="BH210" s="74" t="inlineStr">
        <ns0:is>
          <ns0:t>n/m</ns0:t>
        </ns0:is>
      </ns0:c>
      <ns0:c r="BI210" s="88" t="n"/>
      <ns0:c r="BJ210" s="88" t="n"/>
      <ns0:c r="BK210" s="89" t="n">
        <ns0:v>6.7</ns0:v>
      </ns0:c>
      <ns0:c r="BL210" s="90">
        <ns0:f>IFERROR(IF('BBG Verify'!S210="","Awaiting Bloomberg",'BBG Verify'!S210),"Awaiting Bloomberg")</ns0:f>
        <ns0:v/>
      </ns0:c>
      <ns0:c r="BM210" s="91" t="inlineStr">
        <ns0:is>
          <ns0:t>N</ns0:t>
        </ns0:is>
      </ns0:c>
      <ns0:c r="BN210" s="92">
        <ns0:f>IFERROR(IF('BBG Verify'!K210="","Awaiting Bloomberg",'BBG Verify'!K210),"Awaiting Bloomberg")</ns0:f>
        <ns0:v/>
      </ns0:c>
      <ns0:c r="BO210" s="74" t="inlineStr">
        <ns0:is>
          <ns0:t>N/A</ns0:t>
        </ns0:is>
      </ns0:c>
      <ns0:c r="BP210" s="74" t="inlineStr">
        <ns0:is>
          <ns0:t>N/A</ns0:t>
        </ns0:is>
      </ns0:c>
      <ns0:c r="BQ210" s="74" t="inlineStr">
        <ns0:is>
          <ns0:t>N/A</ns0:t>
        </ns0:is>
      </ns0:c>
      <ns0:c r="BR210" s="74" t="inlineStr">
        <ns0:is>
          <ns0:t>N/A</ns0:t>
        </ns0:is>
      </ns0:c>
      <ns0:c r="BS210" s="74" t="inlineStr">
        <ns0:is>
          <ns0:t>N/A</ns0:t>
        </ns0:is>
      </ns0:c>
      <ns0:c r="BT210" s="74" t="inlineStr">
        <ns0:is>
          <ns0:t>N/A</ns0:t>
        </ns0:is>
      </ns0:c>
      <ns0:c r="BU210" s="91" t="inlineStr">
        <ns0:is>
          <ns0:t>China International Capital Corporation Hong Kong Securities Limited</ns0:t>
        </ns0:is>
      </ns0:c>
      <ns0:c r="BV210" s="74" t="inlineStr">
        <ns0:is>
          <ns0:t>China International Capital Corporation Hong Kong Securities Limited</ns0:t>
        </ns0:is>
      </ns0:c>
      <ns0:c r="BW210" s="74" t="inlineStr">
        <ns0:is>
          <ns0: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ns0:t>
        </ns0:is>
      </ns0:c>
      <ns0:c r="BX210" s="74" t="inlineStr">
        <ns0:is>
          <ns0: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ns0:t>
        </ns0:is>
      </ns0:c>
      <ns0:c r="BY210" s="93">
        <ns0:f>HYPERLINK("https://www1.hkexnews.hk/listedco/listconews/sehk/2023/0918/2023091800009.pdf","prospectus")</ns0:f>
        <ns0:v/>
      </ns0:c>
      <ns0:c r="BZ210" s="93">
        <ns0:f>HYPERLINK("https://www1.hkexnews.hk/listedco/listconews/sehk/2023/0927/2023092700070.htm","allotment")</ns0:f>
        <ns0:v/>
      </ns0:c>
      <ns0:c r="CA210" s="93">
        <ns0:f>HYPERLINK("https://www1.hkexnews.hk/listedco/listconews/sehk/2023/1023/2023102300123.pdf","stabilisation")</ns0:f>
        <ns0:v/>
      </ns0:c>
      <ns0:c r="CB210" s="94" t="n"/>
      <ns0:c r="CC210" s="74" t="inlineStr">
        <ns0:is>
          <ns0:t>P/E: loss-making at IPO, use P/S; greenshoe: outcome published; expiry date not in the notice; A/H: no A-share listing; nearest A proxy Yonyou Network (600588.SS); cornerstone: % from the prospectus; AAStocks table includes non-cornerstone orders; allocation: allocation table not in this notice's format (older prose announcement); day-1 tape: volume on file; the retail multiple needs the final public split, which this notice does not state</ns0:t>
        </ns0:is>
      </ns0:c>
    </ns0:row>
    <ns0:row r="211" ht="22" customHeight="1">
      <ns0:c r="A211" s="73" t="inlineStr">
        <ns0:is>
          <ns0:t>1973</ns0:t>
        </ns0:is>
      </ns0:c>
      <ns0:c r="B211" s="74" t="inlineStr">
        <ns0:is>
          <ns0:t>TIAN TU CAPITAL</ns0:t>
        </ns0:is>
      </ns0:c>
      <ns0:c r="C211" s="74" t="inlineStr">
        <ns0:is>
          <ns0:t>天圖投資</ns0:t>
        </ns0:is>
      </ns0:c>
      <ns0:c r="D211" s="74" t="inlineStr">
        <ns0:is>
          <ns0:t>Financials</ns0:t>
        </ns0:is>
      </ns0:c>
      <ns0:c r="E211" s="74" t="inlineStr">
        <ns0:is>
          <ns0:t>Brokers / asset management</ns0:t>
        </ns0:is>
      </ns0:c>
      <ns0:c r="F211" s="74" t="inlineStr">
        <ns0:is>
          <ns0:t>Investment Holdings &amp; Assets Management</ns0:t>
        </ns0:is>
      </ns0:c>
      <ns0:c r="G211" s="74" t="inlineStr">
        <ns0:is>
          <ns0:t>Standard</ns0:t>
        </ns0:is>
      </ns0:c>
      <ns0:c r="H211" s="75" t="n">
        <ns0:v>45205</ns0:v>
      </ns0:c>
      <ns0:c r="I211" s="76" t="n">
        <ns0:v>1126.2</ns0:v>
      </ns0:c>
      <ns0:c r="J211" s="74" t="inlineStr">
        <ns0:is>
          <ns0:t>gross (price x shares)</ns0:t>
        </ns0:is>
      </ns0:c>
      <ns0:c r="K211" s="77" t="n">
        <ns0:v>5.8</ns0:v>
      </ns0:c>
      <ns0:c r="L211" s="77" t="n">
        <ns0:v>11.4</ns0:v>
      </ns0:c>
      <ns0:c r="M211" s="77" t="n">
        <ns0:v>6.5</ns0:v>
      </ns0:c>
      <ns0:c r="N211" s="74" t="inlineStr">
        <ns0:is>
          <ns0:t>N</ns0:t>
        </ns0:is>
      </ns0:c>
      <ns0:c r="O211" s="78" t="n">
        <ns0:v>57</ns0:v>
      </ns0:c>
      <ns0:c r="P211" s="78" t="n">
        <ns0:v>12.5</ns0:v>
      </ns0:c>
      <ns0:c r="Q211" s="79" t="n">
        <ns0:v>6232.5</ns0:v>
      </ns0:c>
      <ns0:c r="R211" s="74" t="inlineStr">
        <ns0:is>
          <ns0:t>aastocks:上市市值 at the struck price</ns0:t>
        </ns0:is>
      </ns0:c>
      <ns0:c r="S211" s="80" t="n">
        <ns0:v>0.26</ns0:v>
      </ns0:c>
      <ns0:c r="T211" s="81" t="n">
        <ns0:v>1.28</ns0:v>
      </ns0:c>
      <ns0:c r="U211" s="82" t="n">
        <ns0:v>44.2</ns0:v>
      </ns0:c>
      <ns0:c r="V211" s="83" t="n">
        <ns0:v>180</ns0:v>
      </ns0:c>
      <ns0:c r="W211" s="78" t="n">
        <ns0:v>2.63</ns0:v>
      </ns0:c>
      <ns0:c r="X211" s="74" t="inlineStr">
        <ns0:is>
          <ns0:t>NO</ns0:t>
        </ns0:is>
      </ns0:c>
      <ns0:c r="Y211" s="79" t="n">
        <ns0:v>628.42</ns0:v>
      </ns0:c>
      <ns0:c r="Z211" s="79" t="n">
        <ns0:v>96677964</ns0:v>
      </ns0:c>
      <ns0:c r="AA211" s="78" t="n">
        <ns0:v>10.08</ns0:v>
      </ns0:c>
      <ns0:c r="AB211" s="74" t="inlineStr">
        <ns0:is>
          <ns0:t>Qingdao Haiming, Qingdao Hainuo and Qingdao Financial; Shenzhen Futian Guiding Fund Investment Co., Ltd</ns0:t>
        </ns0:is>
      </ns0:c>
      <ns0:c r="AC211" s="74" t="inlineStr">
        <ns0:is>
          <ns0:t>qingdao;shenzhen-futian</ns0:t>
        </ns0:is>
      </ns0:c>
      <ns0:c r="AD211" s="78" t="n">
        <ns0:v>15.21</ns0:v>
      </ns0:c>
      <ns0:c r="AE211" s="74" t="inlineStr">
        <ns0:is>
          <ns0:t>lapsed (no over-allocation)</ns0:t>
        </ns0:is>
      </ns0:c>
      <ns0:c r="AF211" s="74" t="inlineStr">
        <ns0:is>
          <ns0:t>2023-10-28</ns0:t>
        </ns0:is>
      </ns0:c>
      <ns0:c r="AG211" s="74" t="inlineStr">
        <ns0:is>
          <ns0:t>Huatai Financial Holdings</ns0:t>
        </ns0:is>
      </ns0:c>
      <ns0:c r="AH211" s="74" t="inlineStr">
        <ns0:is>
          <ns0:t>Huatai</ns0:t>
        </ns0:is>
      </ns0:c>
      <ns0:c r="AI211" s="86" t="n">
        <ns0:v>-17.08</ns0:v>
      </ns0:c>
      <ns0:c r="AJ211" s="87" t="n">
        <ns0:v>-24.92</ns0:v>
      </ns0:c>
      <ns0:c r="AK211" s="87" t="n">
        <ns0:v>1.9</ns0:v>
      </ns0:c>
      <ns0:c r="AL211" s="87" t="n">
        <ns0:v>-17.08</ns0:v>
      </ns0:c>
      <ns0:c r="AM211" s="87" t="n">
        <ns0:v>-9.449999999999999</ns0:v>
      </ns0:c>
      <ns0:c r="AN211" s="89" t="n">
        <ns0:v>0.45</ns0:v>
      </ns0:c>
      <ns0:c r="AO211" s="78" t="n">
        <ns0:v>19.11</ns0:v>
      </ns0:c>
      <ns0:c r="AP211" s="87" t="n">
        <ns0:v>-38.46</ns0:v>
      </ns0:c>
      <ns0:c r="AQ211" s="87" t="n">
        <ns0:v>-13.85</ns0:v>
      </ns0:c>
      <ns0:c r="AR211" s="87" t="n">
        <ns0:v>-20.15</ns0:v>
      </ns0:c>
      <ns0:c r="AS211" s="87" t="n">
        <ns0:v>-18.03</ns0:v>
      </ns0:c>
      <ns0:c r="AT211" s="87" t="n">
        <ns0:v>14.74</ns0:v>
      </ns0:c>
      <ns0:c r="AU211" s="87" t="n">
        <ns0:v>6.35</ns0:v>
      </ns0:c>
      <ns0:c r="AV211" s="87" t="n">
        <ns0:v>-42.8</ns0:v>
      </ns0:c>
      <ns0:c r="AW211" s="87" t="n">
        <ns0:v>-15.01</ns0:v>
      </ns0:c>
      <ns0:c r="AX211" s="87" t="n">
        <ns0:v>-17.37</ns0:v>
      </ns0:c>
      <ns0:c r="AY211" s="87" t="n">
        <ns0:v>15.46</ns0:v>
      </ns0:c>
      <ns0:c r="AZ211" s="87" t="n">
        <ns0:v>1.16</ns0:v>
      </ns0:c>
      <ns0:c r="BA211" s="87" t="n">
        <ns0:v>-0.72</ns0:v>
      </ns0:c>
      <ns0:c r="BB211" s="74" t="inlineStr">
        <ns0:is>
          <ns0:t>Hang Seng Finance sub-index</ns0:t>
        </ns0:is>
      </ns0:c>
      <ns0:c r="BC211" s="87" t="n">
        <ns0:v>-55.38</ns0:v>
      </ns0:c>
      <ns0:c r="BD211" s="75" t="n">
        <ns0:v>46297</ns0:v>
      </ns0:c>
      <ns0:c r="BE211" s="76" t="n">
        <ns0:v>465.5</ns0:v>
      </ns0:c>
      <ns0:c r="BF211" s="79" t="n">
        <ns0:v>823.9</ns0:v>
      </ns0:c>
      <ns0:c r="BG211" s="74" t="inlineStr">
        <ns0:is>
          <ns0:t>Y</ns0:t>
        </ns0:is>
      </ns0:c>
      <ns0:c r="BH211" s="89" t="n">
        <ns0:v>7.6</ns0:v>
      </ns0:c>
      <ns0:c r="BI211" s="88" t="n"/>
      <ns0:c r="BJ211" s="89" t="n">
        <ns0:v>6</ns0:v>
      </ns0:c>
      <ns0:c r="BK211" s="89" t="n">
        <ns0:v>13.4</ns0:v>
      </ns0:c>
      <ns0:c r="BL211" s="90">
        <ns0:f>IFERROR(IF('BBG Verify'!S211="","Awaiting Bloomberg",'BBG Verify'!S211),"Awaiting Bloomberg")</ns0:f>
        <ns0:v/>
      </ns0:c>
      <ns0:c r="BM211" s="91" t="inlineStr">
        <ns0:is>
          <ns0:t>N</ns0:t>
        </ns0:is>
      </ns0:c>
      <ns0:c r="BN211" s="92">
        <ns0:f>IFERROR(IF('BBG Verify'!K211="","Awaiting Bloomberg",'BBG Verify'!K211),"Awaiting Bloomberg")</ns0:f>
        <ns0:v/>
      </ns0:c>
      <ns0:c r="BO211" s="74" t="inlineStr">
        <ns0:is>
          <ns0:t>N/A</ns0:t>
        </ns0:is>
      </ns0:c>
      <ns0:c r="BP211" s="74" t="inlineStr">
        <ns0:is>
          <ns0:t>N/A</ns0:t>
        </ns0:is>
      </ns0:c>
      <ns0:c r="BQ211" s="74" t="inlineStr">
        <ns0:is>
          <ns0:t>N/A</ns0:t>
        </ns0:is>
      </ns0:c>
      <ns0:c r="BR211" s="74" t="inlineStr">
        <ns0:is>
          <ns0:t>N/A</ns0:t>
        </ns0:is>
      </ns0:c>
      <ns0:c r="BS211" s="74" t="inlineStr">
        <ns0:is>
          <ns0:t>N/A</ns0:t>
        </ns0:is>
      </ns0:c>
      <ns0:c r="BT211" s="74" t="inlineStr">
        <ns0:is>
          <ns0:t>N/A</ns0:t>
        </ns0:is>
      </ns0:c>
      <ns0:c r="BU211" s="91" t="inlineStr">
        <ns0:is>
          <ns0:t>Huatai Financial Holdings (Hong Kong) Limited; BOCI Asia Limited</ns0:t>
        </ns0:is>
      </ns0:c>
      <ns0:c r="BV211" s="74" t="inlineStr">
        <ns0:is>
          <ns0:t>Huatai Financial Holdings (Hong Kong) Limited; BOCI Asia Limited</ns0:t>
        </ns0:is>
      </ns0:c>
      <ns0:c r="BW211" s="74" t="inlineStr">
        <ns0:is>
          <ns0: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ns0:t>
        </ns0:is>
      </ns0:c>
      <ns0:c r="BX211" s="74" t="inlineStr">
        <ns0:is>
          <ns0: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ns0:t>
        </ns0:is>
      </ns0:c>
      <ns0:c r="BY211" s="93">
        <ns0:f>HYPERLINK("https://www1.hkexnews.hk/listedco/listconews/sehk/2023/0925/2023092500007.pdf","prospectus")</ns0:f>
        <ns0:v/>
      </ns0:c>
      <ns0:c r="BZ211" s="93">
        <ns0:f>HYPERLINK("https://www1.hkexnews.hk/listedco/listconews/sehk/2023/1005/2023100500006.htm","allotment")</ns0:f>
        <ns0:v/>
      </ns0:c>
      <ns0:c r="CA211" s="93">
        <ns0:f>HYPERLINK("https://www1.hkexnews.hk/listedco/listconews/sehk/2023/1101/2023110102578.pdf","stabilisation")</ns0:f>
        <ns0:v/>
      </ns0:c>
      <ns0:c r="CB211" s="94" t="n"/>
      <ns0:c r="CC211" s="74" t="inlineStr">
        <ns0:is>
          <ns0:t>market cap: published listing cap used; the estimate from stated market capitalisation disagreed; financials rejected: net income above total income (equity-method gains, investment firm); both as filed</ns0:t>
        </ns0:is>
      </ns0:c>
    </ns0:row>
    <ns0:row r="212" ht="22" customHeight="1">
      <ns0:c r="A212" s="73" t="inlineStr">
        <ns0:is>
          <ns0:t>2501</ns0:t>
        </ns0:is>
      </ns0:c>
      <ns0:c r="B212" s="74" t="inlineStr">
        <ns0:is>
          <ns0:t>MAIYUE TECH</ns0:t>
        </ns0:is>
      </ns0:c>
      <ns0:c r="C212" s="74" t="inlineStr">
        <ns0:is>
          <ns0:t>邁越科技</ns0:t>
        </ns0:is>
      </ns0:c>
      <ns0:c r="D212" s="74" t="inlineStr">
        <ns0:is>
          <ns0:t>Technology</ns0:t>
        </ns0:is>
      </ns0:c>
      <ns0:c r="E212" s="74" t="inlineStr">
        <ns0:is>
          <ns0:t>Software &amp; AI</ns0:t>
        </ns0:is>
      </ns0:c>
      <ns0:c r="F212" s="74" t="inlineStr">
        <ns0:is>
          <ns0:t>IT Consulting &amp; Other Services</ns0:t>
        </ns0:is>
      </ns0:c>
      <ns0:c r="G212" s="74" t="inlineStr">
        <ns0:is>
          <ns0:t>Standard</ns0:t>
        </ns0:is>
      </ns0:c>
      <ns0:c r="H212" s="75" t="n">
        <ns0:v>45210</ns0:v>
      </ns0:c>
      <ns0:c r="I212" s="76" t="n">
        <ns0:v>147.5</ns0:v>
      </ns0:c>
      <ns0:c r="J212" s="74" t="inlineStr">
        <ns0:is>
          <ns0:t>gross (price x shares)</ns0:t>
        </ns0:is>
      </ns0:c>
      <ns0:c r="K212" s="95" t="n"/>
      <ns0:c r="L212" s="77" t="n">
        <ns0:v>1.18</ns0:v>
      </ns0:c>
      <ns0:c r="M212" s="77" t="n">
        <ns0:v>1.18</ns0:v>
      </ns0:c>
      <ns0:c r="N212" s="74" t="inlineStr">
        <ns0:is>
          <ns0:t>Y</ns0:t>
        </ns0:is>
      </ns0:c>
      <ns0:c r="O212" s="78" t="n">
        <ns0:v>100</ns0:v>
      </ns0:c>
      <ns0:c r="P212" s="84" t="n"/>
      <ns0:c r="Q212" s="79" t="n">
        <ns0:v>612.5</ns0:v>
      </ns0:c>
      <ns0:c r="R212" s="74" t="inlineStr">
        <ns0:is>
          <ns0:t>aastocks:上市市值 at the struck price</ns0:t>
        </ns0:is>
      </ns0:c>
      <ns0:c r="S212" s="80" t="n">
        <ns0:v>2.46</ns0:v>
      </ns0:c>
      <ns0:c r="T212" s="81" t="n">
        <ns0:v>1.16</ns0:v>
      </ns0:c>
      <ns0:c r="U212" s="82" t="n">
        <ns0:v>0</ns0:v>
      </ns0:c>
      <ns0:c r="V212" s="83" t="n">
        <ns0:v>102</ns0:v>
      </ns0:c>
      <ns0:c r="W212" s="84" t="n"/>
      <ns0:c r="X212" s="85" t="n"/>
      <ns0:c r="Y212" s="79" t="n">
        <ns0:v>147.5</ns0:v>
      </ns0:c>
      <ns0:c r="Z212" s="79" t="n">
        <ns0:v>125000000</ns0:v>
      </ns0:c>
      <ns0:c r="AA212" s="78" t="n">
        <ns0:v>24.08</ns0:v>
      </ns0:c>
      <ns0:c r="AB212" s="74" t="inlineStr">
        <ns0:is>
          <ns0:t>none — no cornerstone tranche</ns0:t>
        </ns0:is>
      </ns0:c>
      <ns0:c r="AC212" s="74" t="inlineStr">
        <ns0:is>
          <ns0:t>none</ns0:t>
        </ns0:is>
      </ns0:c>
      <ns0:c r="AD212" s="84" t="n"/>
      <ns0:c r="AE212" s="85" t="n"/>
      <ns0:c r="AF212" s="85" t="n"/>
      <ns0:c r="AG212" s="74" t="inlineStr">
        <ns0:is>
          <ns0:t>Quam Securities Limited</ns0:t>
        </ns0:is>
      </ns0:c>
      <ns0:c r="AH212" s="74" t="inlineStr">
        <ns0:is>
          <ns0:t>Quam</ns0:t>
        </ns0:is>
      </ns0:c>
      <ns0:c r="AI212" s="86" t="n">
        <ns0:v>20.34</ns0:v>
      </ns0:c>
      <ns0:c r="AJ212" s="87" t="n">
        <ns0:v>38.14</ns0:v>
      </ns0:c>
      <ns0:c r="AK212" s="87" t="n">
        <ns0:v>2.1</ns0:v>
      </ns0:c>
      <ns0:c r="AL212" s="87" t="n">
        <ns0:v>4.24</ns0:v>
      </ns0:c>
      <ns0:c r="AM212" s="87" t="n">
        <ns0:v>32.52</ns0:v>
      </ns0:c>
      <ns0:c r="AN212" s="88" t="n"/>
      <ns0:c r="AO212" s="78" t="n">
        <ns0:v>48.78</ns0:v>
      </ns0:c>
      <ns0:c r="AP212" s="87" t="n">
        <ns0:v>14.41</ns0:v>
      </ns0:c>
      <ns0:c r="AQ212" s="87" t="n">
        <ns0:v>11.86</ns0:v>
      </ns0:c>
      <ns0:c r="AR212" s="87" t="n">
        <ns0:v>-2.54</ns0:v>
      </ns0:c>
      <ns0:c r="AS212" s="87" t="n">
        <ns0:v>-17.18</ns0:v>
      </ns0:c>
      <ns0:c r="AT212" s="87" t="n">
        <ns0:v>-19.02</ns0:v>
      </ns0:c>
      <ns0:c r="AU212" s="87" t="n">
        <ns0:v>-29.45</ns0:v>
      </ns0:c>
      <ns0:c r="AV212" s="87" t="n">
        <ns0:v>16.88</ns0:v>
      </ns0:c>
      <ns0:c r="AW212" s="87" t="n">
        <ns0:v>11.6</ns0:v>
      </ns0:c>
      <ns0:c r="AX212" s="87" t="n">
        <ns0:v>8.029999999999999</ns0:v>
      </ns0:c>
      <ns0:c r="AY212" s="87" t="n">
        <ns0:v>-17.22</ns0:v>
      </ns0:c>
      <ns0:c r="AZ212" s="87" t="n">
        <ns0:v>0.26</ns0:v>
      </ns0:c>
      <ns0:c r="BA212" s="87" t="n">
        <ns0:v>-1.8</ns0:v>
      </ns0:c>
      <ns0:c r="BB212" s="74" t="inlineStr">
        <ns0:is>
          <ns0:t>HSTECH (Hang Seng TECH ETF)</ns0:t>
        </ns0:is>
      </ns0:c>
      <ns0:c r="BC212" s="87" t="n">
        <ns0:v>50</ns0:v>
      </ns0:c>
      <ns0:c r="BD212" s="75" t="n">
        <ns0:v>46297</ns0:v>
      </ns0:c>
      <ns0:c r="BE212" s="76" t="n">
        <ns0:v>267.6</ns0:v>
      </ns0:c>
      <ns0:c r="BF212" s="79" t="n">
        <ns0:v>54</ns0:v>
      </ns0:c>
      <ns0:c r="BG212" s="74" t="inlineStr">
        <ns0:is>
          <ns0:t>Y</ns0:t>
        </ns0:is>
      </ns0:c>
      <ns0:c r="BH212" s="89" t="n">
        <ns0:v>11.3</ns0:v>
      </ns0:c>
      <ns0:c r="BI212" s="88" t="n"/>
      <ns0:c r="BJ212" s="89" t="n">
        <ns0:v>100.2</ns0:v>
      </ns0:c>
      <ns0:c r="BK212" s="89" t="n">
        <ns0:v>2.3</ns0:v>
      </ns0:c>
      <ns0:c r="BL212" s="90">
        <ns0:f>IFERROR(IF('BBG Verify'!S212="","Awaiting Bloomberg",'BBG Verify'!S212),"Awaiting Bloomberg")</ns0:f>
        <ns0:v/>
      </ns0:c>
      <ns0:c r="BM212" s="91" t="inlineStr">
        <ns0:is>
          <ns0:t>N</ns0:t>
        </ns0:is>
      </ns0:c>
      <ns0:c r="BN212" s="92">
        <ns0:f>IFERROR(IF('BBG Verify'!K212="","Awaiting Bloomberg",'BBG Verify'!K212),"Awaiting Bloomberg")</ns0:f>
        <ns0:v/>
      </ns0:c>
      <ns0:c r="BO212" s="74" t="inlineStr">
        <ns0:is>
          <ns0:t>N/A</ns0:t>
        </ns0:is>
      </ns0:c>
      <ns0:c r="BP212" s="74" t="inlineStr">
        <ns0:is>
          <ns0:t>N/A</ns0:t>
        </ns0:is>
      </ns0:c>
      <ns0:c r="BQ212" s="74" t="inlineStr">
        <ns0:is>
          <ns0:t>N/A</ns0:t>
        </ns0:is>
      </ns0:c>
      <ns0:c r="BR212" s="74" t="inlineStr">
        <ns0:is>
          <ns0:t>N/A</ns0:t>
        </ns0:is>
      </ns0:c>
      <ns0:c r="BS212" s="74" t="inlineStr">
        <ns0:is>
          <ns0:t>N/A</ns0:t>
        </ns0:is>
      </ns0:c>
      <ns0:c r="BT212" s="74" t="inlineStr">
        <ns0:is>
          <ns0:t>N/A</ns0:t>
        </ns0:is>
      </ns0:c>
      <ns0:c r="BU212" s="91" t="inlineStr">
        <ns0:is>
          <ns0:t>Quam Capital Limited</ns0:t>
        </ns0:is>
      </ns0:c>
      <ns0:c r="BV212" s="74" t="inlineStr">
        <ns0:is>
          <ns0:t>Quam Capital Limited</ns0:t>
        </ns0:is>
      </ns0:c>
      <ns0:c r="BW212" s="74" t="inlineStr">
        <ns0:is>
          <ns0:t>Quam Securities Limited; ABCI Capital Limited; BOCOM International Securities Limited; China Galaxy International Securities (Hong Kong) Co., Limited; CMB International Capital Limited; Guotai Junan Securities (Hong Kong) Limited; Zhongtai International Securities Limited; CMBC Securities Company Limited; Eddid Securities and Futures Limited; Innovax Securities Limited; Valuable Capital Limited; Yue Xiu Securities Company Limited</ns0:t>
        </ns0:is>
      </ns0:c>
      <ns0:c r="BX212" s="74" t="inlineStr">
        <ns0:is>
          <ns0: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ns0:t>
        </ns0:is>
      </ns0:c>
      <ns0:c r="BY212" s="93">
        <ns0:f>HYPERLINK("https://www1.hkexnews.hk/listedco/listconews/sehk/2023/0928/2023092800100.htm","prospectus")</ns0:f>
        <ns0:v/>
      </ns0:c>
      <ns0:c r="BZ212" s="93">
        <ns0:f>HYPERLINK("https://www1.hkexnews.hk/listedco/listconews/sehk/2023/1010/2023101000016.htm","allotment")</ns0:f>
        <ns0:v/>
      </ns0:c>
      <ns0:c r="CA212" s="85" t="n"/>
      <ns0:c r="CB212" s="94" t="n"/>
      <ns0:c r="CC212" s="74" t="inlineStr">
        <ns0:is>
          <ns0:t>greenshoe: no over-allotment option; price range: fixed-price offering (no indicative range); range low: maximum offer price only, no floor published; cornerstone list: no cornerstone tranche; greenshoe size: no over-allotment option; allocation: allocation table not in this notice's format (older prose announcement); day-1 tape: volume on file; the retail multiple needs the final public split, which this notice does not state</ns0:t>
        </ns0:is>
      </ns0:c>
    </ns0:row>
    <ns0:row r="213" ht="22" customHeight="1">
      <ns0:c r="A213" s="73" t="inlineStr">
        <ns0:is>
          <ns0:t>9676</ns0:t>
        </ns0:is>
      </ns0:c>
      <ns0:c r="B213" s="74" t="inlineStr">
        <ns0:is>
          <ns0:t>SHIYUE DAOTIAN</ns0:t>
        </ns0:is>
      </ns0:c>
      <ns0:c r="C213" s="74" t="inlineStr">
        <ns0:is>
          <ns0:t>十月稻田</ns0:t>
        </ns0:is>
      </ns0:c>
      <ns0:c r="D213" s="74" t="inlineStr">
        <ns0:is>
          <ns0:t>Consumer</ns0:t>
        </ns0:is>
      </ns0:c>
      <ns0:c r="E213" s="74" t="inlineStr">
        <ns0:is>
          <ns0:t>Beverages / packaged food</ns0:t>
        </ns0:is>
      </ns0:c>
      <ns0:c r="F213" s="74" t="inlineStr">
        <ns0:is>
          <ns0:t>Packaged Foods</ns0:t>
        </ns0:is>
      </ns0:c>
      <ns0:c r="G213" s="74" t="inlineStr">
        <ns0:is>
          <ns0:t>Standard</ns0:t>
        </ns0:is>
      </ns0:c>
      <ns0:c r="H213" s="75" t="n">
        <ns0:v>45211</ns0:v>
      </ns0:c>
      <ns0:c r="I213" s="76" t="n">
        <ns0:v>820.3</ns0:v>
      </ns0:c>
      <ns0:c r="J213" s="74" t="inlineStr">
        <ns0:is>
          <ns0:t>gross (price x shares)</ns0:t>
        </ns0:is>
      </ns0:c>
      <ns0:c r="K213" s="77" t="n">
        <ns0:v>13</ns0:v>
      </ns0:c>
      <ns0:c r="L213" s="77" t="n">
        <ns0:v>15.8</ns0:v>
      </ns0:c>
      <ns0:c r="M213" s="77" t="n">
        <ns0:v>15.36</ns0:v>
      </ns0:c>
      <ns0:c r="N213" s="74" t="inlineStr">
        <ns0:is>
          <ns0:t>N</ns0:t>
        </ns0:is>
      </ns0:c>
      <ns0:c r="O213" s="78" t="n">
        <ns0:v>97.2</ns0:v>
      </ns0:c>
      <ns0:c r="P213" s="78" t="n">
        <ns0:v>84.3</ns0:v>
      </ns0:c>
      <ns0:c r="Q213" s="79" t="n">
        <ns0:v>16406</ns0:v>
      </ns0:c>
      <ns0:c r="R213" s="74" t="inlineStr">
        <ns0:is>
          <ns0:t>derived:deal size / offer % of enlarged capital</ns0:t>
        </ns0:is>
      </ns0:c>
      <ns0:c r="S213" s="80" t="n">
        <ns0:v>1.31</ns0:v>
      </ns0:c>
      <ns0:c r="T213" s="81" t="n">
        <ns0:v>1.26</ns0:v>
      </ns0:c>
      <ns0:c r="U213" s="82" t="n">
        <ns0:v>25.4</ns0:v>
      </ns0:c>
      <ns0:c r="V213" s="83" t="n">
        <ns0:v>102</ns0:v>
      </ns0:c>
      <ns0:c r="W213" s="84" t="n"/>
      <ns0:c r="X213" s="85" t="n"/>
      <ns0:c r="Y213" s="79" t="n">
        <ns0:v>611.9400000000001</ns0:v>
      </ns0:c>
      <ns0:c r="Z213" s="79" t="n">
        <ns0:v>39841995</ns0:v>
      </ns0:c>
      <ns0:c r="AA213" s="78" t="n">
        <ns0:v>3.73</ns0:v>
      </ns0:c>
      <ns0:c r="AB213" s="74" t="inlineStr">
        <ns0:is>
          <ns0:t>Xinmin Tianshi Agricultural Industry Development Company Limited</ns0:t>
        </ns0:is>
      </ns0:c>
      <ns0:c r="AC213" s="74" t="inlineStr">
        <ns0:is>
          <ns0:t>xinmin</ns0:t>
        </ns0:is>
      </ns0:c>
      <ns0:c r="AD213" s="84" t="n"/>
      <ns0:c r="AE213" s="85" t="n"/>
      <ns0:c r="AF213" s="85" t="n"/>
      <ns0:c r="AG213" s="85" t="n"/>
      <ns0:c r="AH213" s="85" t="n"/>
      <ns0:c r="AI213" s="86" t="n">
        <ns0:v>6.51</ns0:v>
      </ns0:c>
      <ns0:c r="AJ213" s="87" t="n">
        <ns0:v>22.66</ns0:v>
      </ns0:c>
      <ns0:c r="AK213" s="87" t="n">
        <ns0:v>1.72</ns0:v>
      </ns0:c>
      <ns0:c r="AL213" s="87" t="n">
        <ns0:v>8.07</ns0:v>
      </ns0:c>
      <ns0:c r="AM213" s="87" t="n">
        <ns0:v>13.5</ns0:v>
      </ns0:c>
      <ns0:c r="AN213" s="88" t="n"/>
      <ns0:c r="AO213" s="78" t="n">
        <ns0:v>20.12</ns0:v>
      </ns0:c>
      <ns0:c r="AP213" s="87" t="n">
        <ns0:v>60.81</ns0:v>
      </ns0:c>
      <ns0:c r="AQ213" s="87" t="n">
        <ns0:v>61.46</ns0:v>
      </ns0:c>
      <ns0:c r="AR213" s="87" t="n">
        <ns0:v>68.29000000000001</ns0:v>
      </ns0:c>
      <ns0:c r="AS213" s="87" t="n">
        <ns0:v>31.1</ns0:v>
      </ns0:c>
      <ns0:c r="AT213" s="87" t="n">
        <ns0:v>31.63</ns0:v>
      </ns0:c>
      <ns0:c r="AU213" s="87" t="n">
        <ns0:v>37.2</ns0:v>
      </ns0:c>
      <ns0:c r="AV213" s="87" t="n">
        <ns0:v>64.68000000000001</ns0:v>
      </ns0:c>
      <ns0:c r="AW213" s="87" t="n">
        <ns0:v>63.15</ns0:v>
      </ns0:c>
      <ns0:c r="AX213" s="87" t="n">
        <ns0:v>80.25</ns0:v>
      </ns0:c>
      <ns0:c r="AY213" s="87" t="n">
        <ns0:v>34.98</ns0:v>
      </ns0:c>
      <ns0:c r="AZ213" s="87" t="n">
        <ns0:v>-1.69</ns0:v>
      </ns0:c>
      <ns0:c r="BA213" s="87" t="n">
        <ns0:v>-3.35</ns0:v>
      </ns0:c>
      <ns0:c r="BB213" s="74" t="inlineStr">
        <ns0:is>
          <ns0:t>Hang Seng Commerce &amp; Industry sub-index</ns0:t>
        </ns0:is>
      </ns0:c>
      <ns0:c r="BC213" s="87" t="n">
        <ns0:v>-72.69</ns0:v>
      </ns0:c>
      <ns0:c r="BD213" s="75" t="n">
        <ns0:v>46297</ns0:v>
      </ns0:c>
      <ns0:c r="BE213" s="76" t="n">
        <ns0:v>4986.2</ns0:v>
      </ns0:c>
      <ns0:c r="BF213" s="79" t="n">
        <ns0:v>-413.4</ns0:v>
      </ns0:c>
      <ns0:c r="BG213" s="74" t="inlineStr">
        <ns0:is>
          <ns0:t>N</ns0:t>
        </ns0:is>
      </ns0:c>
      <ns0:c r="BH213" s="74" t="inlineStr">
        <ns0:is>
          <ns0:t>n/m</ns0:t>
        </ns0:is>
      </ns0:c>
      <ns0:c r="BI213" s="88" t="n"/>
      <ns0:c r="BJ213" s="89" t="n">
        <ns0:v>9.199999999999999</ns0:v>
      </ns0:c>
      <ns0:c r="BK213" s="89" t="n">
        <ns0:v>3.3</ns0:v>
      </ns0:c>
      <ns0:c r="BL213" s="90">
        <ns0:f>IFERROR(IF('BBG Verify'!S213="","Awaiting Bloomberg",'BBG Verify'!S213),"Awaiting Bloomberg")</ns0:f>
        <ns0:v/>
      </ns0:c>
      <ns0:c r="BM213" s="91" t="inlineStr">
        <ns0:is>
          <ns0:t>N</ns0:t>
        </ns0:is>
      </ns0:c>
      <ns0:c r="BN213" s="92">
        <ns0:f>IFERROR(IF('BBG Verify'!K213="","Awaiting Bloomberg",'BBG Verify'!K213),"Awaiting Bloomberg")</ns0:f>
        <ns0:v/>
      </ns0:c>
      <ns0:c r="BO213" s="74" t="inlineStr">
        <ns0:is>
          <ns0:t>N/A</ns0:t>
        </ns0:is>
      </ns0:c>
      <ns0:c r="BP213" s="74" t="inlineStr">
        <ns0:is>
          <ns0:t>N/A</ns0:t>
        </ns0:is>
      </ns0:c>
      <ns0:c r="BQ213" s="74" t="inlineStr">
        <ns0:is>
          <ns0:t>N/A</ns0:t>
        </ns0:is>
      </ns0:c>
      <ns0:c r="BR213" s="74" t="inlineStr">
        <ns0:is>
          <ns0:t>N/A</ns0:t>
        </ns0:is>
      </ns0:c>
      <ns0:c r="BS213" s="74" t="inlineStr">
        <ns0:is>
          <ns0:t>N/A</ns0:t>
        </ns0:is>
      </ns0:c>
      <ns0:c r="BT213" s="74" t="inlineStr">
        <ns0:is>
          <ns0:t>N/A</ns0:t>
        </ns0:is>
      </ns0:c>
      <ns0:c r="BU213" s="91" t="inlineStr">
        <ns0:is>
          <ns0:t>China International Capital Corporation Hong Kong Securities Limited; Morgan Stanley Asia Limited; China Securities (International) Corporate Finance Company Limited</ns0:t>
        </ns0:is>
      </ns0:c>
      <ns0:c r="BV213" s="74" t="inlineStr">
        <ns0:is>
          <ns0:t>China International Capital Corporation Hong Kong Securities Limited; Morgan Stanley Asia Limited; China Securities (International) Corporate Finance Company Limited</ns0:t>
        </ns0:is>
      </ns0:c>
      <ns0:c r="BW213" s="74" t="inlineStr">
        <ns0:is>
          <ns0:t>Morgan Stanley Asia Limited; China International Capital Corporation Hong Kong Securities Limited; China Securities (International) Corporate Finance Company Limited</ns0:t>
        </ns0:is>
      </ns0:c>
      <ns0:c r="BX213" s="74" t="inlineStr">
        <ns0:is>
          <ns0:t>China International Capital Corporation Hong Kong Securities Limited; China Securities (International) Corporate Finance Company Limited; Morgan Stanley Asia Limited; Tiger Brokers (HK) Global Limited</ns0:t>
        </ns0:is>
      </ns0:c>
      <ns0:c r="BY213" s="93">
        <ns0:f>HYPERLINK("https://www1.hkexnews.hk/listedco/listconews/sehk/2023/0928/2023092800446.pdf","prospectus")</ns0:f>
        <ns0:v/>
      </ns0:c>
      <ns0:c r="BZ213" s="93">
        <ns0:f>HYPERLINK("https://www1.hkexnews.hk/listedco/listconews/sehk/2023/1011/2023101100010.htm","allotment")</ns0:f>
        <ns0:v/>
      </ns0:c>
      <ns0:c r="CA213" s="85" t="n"/>
      <ns0:c r="CB213" s="94" t="n"/>
      <ns0:c r="CC213" s="74" t="inlineStr">
        <ns0:is>
          <ns0: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ns0:t>
        </ns0:is>
      </ns0:c>
    </ns0:row>
    <ns0:row r="214" ht="22" customHeight="1">
      <ns0:c r="A214" s="73" t="inlineStr">
        <ns0:is>
          <ns0:t>2451</ns0:t>
        </ns0:is>
      </ns0:c>
      <ns0:c r="B214" s="74" t="inlineStr">
        <ns0:is>
          <ns0:t>LUYUAN GP HLDG</ns0:t>
        </ns0:is>
      </ns0:c>
      <ns0:c r="C214" s="74" t="inlineStr">
        <ns0:is>
          <ns0:t>綠源集團控股</ns0:t>
        </ns0:is>
      </ns0:c>
      <ns0:c r="D214" s="74" t="inlineStr">
        <ns0:is>
          <ns0:t>Consumer</ns0:t>
        </ns0:is>
      </ns0:c>
      <ns0:c r="E214" s="74" t="inlineStr">
        <ns0:is>
          <ns0:t>Autos (NEV OEM)</ns0:t>
        </ns0:is>
      </ns0:c>
      <ns0:c r="F214" s="74" t="inlineStr">
        <ns0:is>
          <ns0:t>Automobile Manufacturers</ns0:t>
        </ns0:is>
      </ns0:c>
      <ns0:c r="G214" s="74" t="inlineStr">
        <ns0:is>
          <ns0:t>Standard</ns0:t>
        </ns0:is>
      </ns0:c>
      <ns0:c r="H214" s="75" t="n">
        <ns0:v>45211</ns0:v>
      </ns0:c>
      <ns0:c r="I214" s="76" t="n">
        <ns0:v>786.1</ns0:v>
      </ns0:c>
      <ns0:c r="J214" s="74" t="inlineStr">
        <ns0:is>
          <ns0:t>gross (price x shares)</ns0:t>
        </ns0:is>
      </ns0:c>
      <ns0:c r="K214" s="77" t="n">
        <ns0:v>6</ns0:v>
      </ns0:c>
      <ns0:c r="L214" s="77" t="n">
        <ns0:v>8</ns0:v>
      </ns0:c>
      <ns0:c r="M214" s="77" t="n">
        <ns0:v>7.37</ns0:v>
      </ns0:c>
      <ns0:c r="N214" s="74" t="inlineStr">
        <ns0:is>
          <ns0:t>N</ns0:t>
        </ns0:is>
      </ns0:c>
      <ns0:c r="O214" s="78" t="n">
        <ns0:v>92.09999999999999</ns0:v>
      </ns0:c>
      <ns0:c r="P214" s="78" t="n">
        <ns0:v>68.5</ns0:v>
      </ns0:c>
      <ns0:c r="Q214" s="79" t="n">
        <ns0:v>3346.1</ns0:v>
      </ns0:c>
      <ns0:c r="R214" s="74" t="inlineStr">
        <ns0:is>
          <ns0:t>aastocks:上市市值 at the struck price</ns0:t>
        </ns0:is>
      </ns0:c>
      <ns0:c r="S214" s="80" t="n">
        <ns0:v>15</ns0:v>
      </ns0:c>
      <ns0:c r="T214" s="81" t="n">
        <ns0:v>1.13</ns0:v>
      </ns0:c>
      <ns0:c r="U214" s="82" t="n">
        <ns0:v>31.1</ns0:v>
      </ns0:c>
      <ns0:c r="V214" s="83" t="n">
        <ns0:v>134</ns0:v>
      </ns0:c>
      <ns0:c r="W214" s="84" t="n"/>
      <ns0:c r="X214" s="85" t="n"/>
      <ns0:c r="Y214" s="79" t="n">
        <ns0:v>541.62</ns0:v>
      </ns0:c>
      <ns0:c r="Z214" s="79" t="n">
        <ns0:v>73493563</ns0:v>
      </ns0:c>
      <ns0:c r="AA214" s="78" t="n">
        <ns0:v>16.19</ns0:v>
      </ns0:c>
      <ns0:c r="AB214" s="74" t="inlineStr">
        <ns0:is>
          <ns0:t>Chongqing Dazuhuaiyuan Construction Investment Co., L; Hainan Dongfang Runze Private Equity Fund Management Co., Ltd; Jinhua Industrial Fund Co., Ltd; Jinhua Jinkai State Owned Capital Investments Co., Ltd; Phylion Battery Co., Ltd</ns0:t>
        </ns0:is>
      </ns0:c>
      <ns0:c r="AC214" s="74" t="inlineStr">
        <ns0:is>
          <ns0:t>chongqing;hainan;jinhua;phylion</ns0:t>
        </ns0:is>
      </ns0:c>
      <ns0:c r="AD214" s="84" t="n"/>
      <ns0:c r="AE214" s="85" t="n"/>
      <ns0:c r="AF214" s="85" t="n"/>
      <ns0:c r="AG214" s="85" t="n"/>
      <ns0:c r="AH214" s="85" t="n"/>
      <ns0:c r="AI214" s="86" t="n">
        <ns0:v>2.85</ns0:v>
      </ns0:c>
      <ns0:c r="AJ214" s="87" t="n">
        <ns0:v>0.95</ns0:v>
      </ns0:c>
      <ns0:c r="AK214" s="87" t="n">
        <ns0:v>1.72</ns0:v>
      </ns0:c>
      <ns0:c r="AL214" s="87" t="n">
        <ns0:v>-0.41</ns0:v>
      </ns0:c>
      <ns0:c r="AM214" s="87" t="n">
        <ns0:v>1.37</ns0:v>
      </ns0:c>
      <ns0:c r="AN214" s="88" t="n"/>
      <ns0:c r="AO214" s="78" t="n">
        <ns0:v>11.44</ns0:v>
      </ns0:c>
      <ns0:c r="AP214" s="87" t="n">
        <ns0:v>-1.63</ns0:v>
      </ns0:c>
      <ns0:c r="AQ214" s="87" t="n">
        <ns0:v>0.54</ns0:v>
      </ns0:c>
      <ns0:c r="AR214" s="87" t="n">
        <ns0:v>-1.36</ns0:v>
      </ns0:c>
      <ns0:c r="AS214" s="87" t="n">
        <ns0:v>-2.56</ns0:v>
      </ns0:c>
      <ns0:c r="AT214" s="87" t="n">
        <ns0:v>-0.41</ns0:v>
      </ns0:c>
      <ns0:c r="AU214" s="87" t="n">
        <ns0:v>-2.29</ns0:v>
      </ns0:c>
      <ns0:c r="AV214" s="87" t="n">
        <ns0:v>2.24</ns0:v>
      </ns0:c>
      <ns0:c r="AW214" s="87" t="n">
        <ns0:v>2.23</ns0:v>
      </ns0:c>
      <ns0:c r="AX214" s="87" t="n">
        <ns0:v>10.6</ns0:v>
      </ns0:c>
      <ns0:c r="AY214" s="87" t="n">
        <ns0:v>2.94</ns0:v>
      </ns0:c>
      <ns0:c r="AZ214" s="87" t="n">
        <ns0:v>-1.69</ns0:v>
      </ns0:c>
      <ns0:c r="BA214" s="87" t="n">
        <ns0:v>-3.35</ns0:v>
      </ns0:c>
      <ns0:c r="BB214" s="74" t="inlineStr">
        <ns0:is>
          <ns0:t>Hang Seng Commerce &amp; Industry sub-index</ns0:t>
        </ns0:is>
      </ns0:c>
      <ns0:c r="BC214" s="87" t="n">
        <ns0:v>93.48999999999999</ns0:v>
      </ns0:c>
      <ns0:c r="BD214" s="75" t="n">
        <ns0:v>46297</ns0:v>
      </ns0:c>
      <ns0:c r="BE214" s="76" t="n">
        <ns0:v>5261.3</ns0:v>
      </ns0:c>
      <ns0:c r="BF214" s="79" t="n">
        <ns0:v>129.8</ns0:v>
      </ns0:c>
      <ns0:c r="BG214" s="74" t="inlineStr">
        <ns0:is>
          <ns0:t>Y</ns0:t>
        </ns0:is>
      </ns0:c>
      <ns0:c r="BH214" s="89" t="n">
        <ns0:v>25.8</ns0:v>
      </ns0:c>
      <ns0:c r="BI214" s="88" t="n"/>
      <ns0:c r="BJ214" s="89" t="n">
        <ns0:v>24.3</ns0:v>
      </ns0:c>
      <ns0:c r="BK214" s="89" t="n">
        <ns0:v>0.6</ns0:v>
      </ns0:c>
      <ns0:c r="BL214" s="90">
        <ns0:f>IFERROR(IF('BBG Verify'!S214="","Awaiting Bloomberg",'BBG Verify'!S214),"Awaiting Bloomberg")</ns0:f>
        <ns0:v/>
      </ns0:c>
      <ns0:c r="BM214" s="91" t="inlineStr">
        <ns0:is>
          <ns0:t>N</ns0:t>
        </ns0:is>
      </ns0:c>
      <ns0:c r="BN214" s="92">
        <ns0:f>IFERROR(IF('BBG Verify'!K214="","Awaiting Bloomberg",'BBG Verify'!K214),"Awaiting Bloomberg")</ns0:f>
        <ns0:v/>
      </ns0:c>
      <ns0:c r="BO214" s="74" t="inlineStr">
        <ns0:is>
          <ns0:t>N/A</ns0:t>
        </ns0:is>
      </ns0:c>
      <ns0:c r="BP214" s="74" t="inlineStr">
        <ns0:is>
          <ns0:t>N/A</ns0:t>
        </ns0:is>
      </ns0:c>
      <ns0:c r="BQ214" s="74" t="inlineStr">
        <ns0:is>
          <ns0:t>N/A</ns0:t>
        </ns0:is>
      </ns0:c>
      <ns0:c r="BR214" s="74" t="inlineStr">
        <ns0:is>
          <ns0:t>N/A</ns0:t>
        </ns0:is>
      </ns0:c>
      <ns0:c r="BS214" s="74" t="inlineStr">
        <ns0:is>
          <ns0:t>N/A</ns0:t>
        </ns0:is>
      </ns0:c>
      <ns0:c r="BT214" s="74" t="inlineStr">
        <ns0:is>
          <ns0:t>N/A</ns0:t>
        </ns0:is>
      </ns0:c>
      <ns0:c r="BU214" s="91" t="inlineStr">
        <ns0:is>
          <ns0:t>China Securities (International) Corporate Finance Company Limited</ns0:t>
        </ns0:is>
      </ns0:c>
      <ns0:c r="BV214" s="74" t="inlineStr">
        <ns0:is>
          <ns0:t>China Securities (International) Corporate Finance Company Limited</ns0:t>
        </ns0:is>
      </ns0:c>
      <ns0:c r="BW214" s="74" t="inlineStr">
        <ns0:is>
          <ns0: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ns0:t>
        </ns0:is>
      </ns0:c>
      <ns0:c r="BX214" s="74" t="inlineStr">
        <ns0:is>
          <ns0: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ns0:t>
        </ns0:is>
      </ns0:c>
      <ns0:c r="BY214" s="93">
        <ns0:f>HYPERLINK("https://www1.hkexnews.hk/listedco/listconews/sehk/2023/0928/2023092800027.pdf","prospectus")</ns0:f>
        <ns0:v/>
      </ns0:c>
      <ns0:c r="BZ214" s="93">
        <ns0:f>HYPERLINK("https://www1.hkexnews.hk/listedco/listconews/sehk/2023/1011/2023101100034.htm","allotment")</ns0:f>
        <ns0:v/>
      </ns0:c>
      <ns0:c r="CA214" s="85" t="n"/>
      <ns0:c r="CB214" s="94" t="n"/>
      <ns0:c r="CC214" s="74" t="inlineStr">
        <ns0:is>
          <ns0:t>greenshoe: no over-allotment option; sponsor: English name not in the filing; AAStocks 保薦人 shown;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deal size: stated gross HK$31.5m rejected, below the net proceeds of HK$706.4m; allocation: allocation table not in this notice's format (older prose announcement); day-1 tape: volume on file; the retail multiple needs the final public split, which this notice does not state</ns0:t>
        </ns0:is>
      </ns0:c>
    </ns0:row>
    <ns0:row r="215" ht="22" customHeight="1">
      <ns0:c r="A215" s="73" t="inlineStr">
        <ns0:is>
          <ns0:t>1519</ns0:t>
        </ns0:is>
      </ns0:c>
      <ns0:c r="B215" s="74" t="inlineStr">
        <ns0:is>
          <ns0:t>J&amp;T EXPRESS-W</ns0:t>
        </ns0:is>
      </ns0:c>
      <ns0:c r="C215" s="74" t="inlineStr">
        <ns0:is>
          <ns0:t>極兔速遞－Ｗ</ns0:t>
        </ns0:is>
      </ns0:c>
      <ns0:c r="D215" s="74" t="inlineStr">
        <ns0:is>
          <ns0:t>Industrials</ns0:t>
        </ns0:is>
      </ns0:c>
      <ns0:c r="E215" s="74" t="inlineStr">
        <ns0:is>
          <ns0:t>Logistics</ns0:t>
        </ns0:is>
      </ns0:c>
      <ns0:c r="F215" s="74" t="inlineStr">
        <ns0:is>
          <ns0:t>Air Freight &amp; Logistics</ns0:t>
        </ns0:is>
      </ns0:c>
      <ns0:c r="G215" s="74" t="inlineStr">
        <ns0:is>
          <ns0:t>WVR</ns0:t>
        </ns0:is>
      </ns0:c>
      <ns0:c r="H215" s="75" t="n">
        <ns0:v>45226</ns0:v>
      </ns0:c>
      <ns0:c r="I215" s="76" t="n">
        <ns0:v>3918.6</ns0:v>
      </ns0:c>
      <ns0:c r="J215" s="74" t="inlineStr">
        <ns0:is>
          <ns0:t>gross (price x shares)</ns0:t>
        </ns0:is>
      </ns0:c>
      <ns0:c r="K215" s="95" t="n"/>
      <ns0:c r="L215" s="77" t="n">
        <ns0:v>12</ns0:v>
      </ns0:c>
      <ns0:c r="M215" s="77" t="n">
        <ns0:v>12</ns0:v>
      </ns0:c>
      <ns0:c r="N215" s="74" t="inlineStr">
        <ns0:is>
          <ns0:t>Y</ns0:t>
        </ns0:is>
      </ns0:c>
      <ns0:c r="O215" s="78" t="n">
        <ns0:v>100</ns0:v>
      </ns0:c>
      <ns0:c r="P215" s="84" t="n"/>
      <ns0:c r="Q215" s="79" t="n">
        <ns0:v>105750</ns0:v>
      </ns0:c>
      <ns0:c r="R215" s="74" t="inlineStr">
        <ns0:is>
          <ns0:t>prospectus:stated market capitalisation</ns0:t>
        </ns0:is>
      </ns0:c>
      <ns0:c r="S215" s="80" t="n">
        <ns0:v>1.36</ns0:v>
      </ns0:c>
      <ns0:c r="T215" s="81" t="n">
        <ns0:v>1.91</ns0:v>
      </ns0:c>
      <ns0:c r="U215" s="82" t="n">
        <ns0:v>39.88</ns0:v>
      </ns0:c>
      <ns0:c r="V215" s="83" t="n">
        <ns0:v>114</ns0:v>
      </ns0:c>
      <ns0:c r="W215" s="84" t="n"/>
      <ns0:c r="X215" s="85" t="n"/>
      <ns0:c r="Y215" s="79" t="n">
        <ns0:v>2355.86</ns0:v>
      </ns0:c>
      <ns0:c r="Z215" s="79" t="n">
        <ns0:v>196322100</ns0:v>
      </ns0:c>
      <ns0:c r="AA215" s="78" t="n">
        <ns0:v>2.23</ns0:v>
      </ns0:c>
      <ns0:c r="AB215" s="74" t="inlineStr">
        <ns0:is>
          <ns0: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ns0:t>
        </ns0:is>
      </ns0:c>
      <ns0:c r="AC215" s="74" t="inlineStr">
        <ns0:is>
          <ns0:t>aspex;celestial;d1;dahlia;eternal;hidden;huang-river;jallion;jnry;joyous;parallel;sc</ns0:t>
        </ns0:is>
      </ns0:c>
      <ns0:c r="AD215" s="78" t="n">
        <ns0:v>16.4</ns0:v>
      </ns0:c>
      <ns0:c r="AE215" s="74" t="inlineStr">
        <ns0:is>
          <ns0:t>lapsed</ns0:t>
        </ns0:is>
      </ns0:c>
      <ns0:c r="AF215" s="74" t="inlineStr">
        <ns0:is>
          <ns0:t>2023-11-18</ns0:t>
        </ns0:is>
      </ns0:c>
      <ns0:c r="AG215" s="74" t="inlineStr">
        <ns0:is>
          <ns0:t>Morgan Stanley Asia Limited</ns0:t>
        </ns0:is>
      </ns0:c>
      <ns0:c r="AH215" s="74" t="inlineStr">
        <ns0:is>
          <ns0:t>Morgan Stanley</ns0:t>
        </ns0:is>
      </ns0:c>
      <ns0:c r="AI215" s="86" t="n">
        <ns0:v>-1.17</ns0:v>
      </ns0:c>
      <ns0:c r="AJ215" s="87" t="n">
        <ns0:v>0</ns0:v>
      </ns0:c>
      <ns0:c r="AK215" s="87" t="n">
        <ns0:v>2.48</ns0:v>
      </ns0:c>
      <ns0:c r="AL215" s="87" t="n">
        <ns0:v>0</ns0:v>
      </ns0:c>
      <ns0:c r="AM215" s="87" t="n">
        <ns0:v>0</ns0:v>
      </ns0:c>
      <ns0:c r="AN215" s="88" t="n"/>
      <ns0:c r="AO215" s="78" t="n">
        <ns0:v>3.33</ns0:v>
      </ns0:c>
      <ns0:c r="AP215" s="87" t="n">
        <ns0:v>3.33</ns0:v>
      </ns0:c>
      <ns0:c r="AQ215" s="87" t="n">
        <ns0:v>-1.17</ns0:v>
      </ns0:c>
      <ns0:c r="AR215" s="87" t="n">
        <ns0:v>34</ns0:v>
      </ns0:c>
      <ns0:c r="AS215" s="87" t="n">
        <ns0:v>3.33</ns0:v>
      </ns0:c>
      <ns0:c r="AT215" s="87" t="n">
        <ns0:v>-1.17</ns0:v>
      </ns0:c>
      <ns0:c r="AU215" s="87" t="n">
        <ns0:v>34</ns0:v>
      </ns0:c>
      <ns0:c r="AV215" s="87" t="n">
        <ns0:v>-0.78</ns0:v>
      </ns0:c>
      <ns0:c r="AW215" s="87" t="n">
        <ns0:v>-4.04</ns0:v>
      </ns0:c>
      <ns0:c r="AX215" s="87" t="n">
        <ns0:v>43.21</ns0:v>
      </ns0:c>
      <ns0:c r="AY215" s="87" t="n">
        <ns0:v>-1.55</ns0:v>
      </ns0:c>
      <ns0:c r="AZ215" s="87" t="n">
        <ns0:v>2.87</ns0:v>
      </ns0:c>
      <ns0:c r="BA215" s="87" t="n">
        <ns0:v>0.38</ns0:v>
      </ns0:c>
      <ns0:c r="BB215" s="74" t="inlineStr">
        <ns0:is>
          <ns0:t>Hang Seng Commerce &amp; Industry sub-index</ns0:t>
        </ns0:is>
      </ns0:c>
      <ns0:c r="BC215" s="87" t="n">
        <ns0:v>-29.5</ns0:v>
      </ns0:c>
      <ns0:c r="BD215" s="75" t="n">
        <ns0:v>46297</ns0:v>
      </ns0:c>
      <ns0:c r="BE215" s="76" t="n">
        <ns0:v>56685.9</ns0:v>
      </ns0:c>
      <ns0:c r="BF215" s="79" t="n">
        <ns0:v>12918.1</ns0:v>
      </ns0:c>
      <ns0:c r="BG215" s="74" t="inlineStr">
        <ns0:is>
          <ns0:t>Y</ns0:t>
        </ns0:is>
      </ns0:c>
      <ns0:c r="BH215" s="89" t="n">
        <ns0:v>8.199999999999999</ns0:v>
      </ns0:c>
      <ns0:c r="BI215" s="88" t="n"/>
      <ns0:c r="BJ215" s="89" t="n">
        <ns0:v>54.9</ns0:v>
      </ns0:c>
      <ns0:c r="BK215" s="89" t="n">
        <ns0:v>1.9</ns0:v>
      </ns0:c>
      <ns0:c r="BL215" s="90">
        <ns0:f>IFERROR(IF('BBG Verify'!S215="","Awaiting Bloomberg",'BBG Verify'!S215),"Awaiting Bloomberg")</ns0:f>
        <ns0:v/>
      </ns0:c>
      <ns0:c r="BM215" s="91" t="inlineStr">
        <ns0:is>
          <ns0:t>N</ns0:t>
        </ns0:is>
      </ns0:c>
      <ns0:c r="BN215" s="92">
        <ns0:f>IFERROR(IF('BBG Verify'!K215="","Awaiting Bloomberg",'BBG Verify'!K215),"Awaiting Bloomberg")</ns0:f>
        <ns0:v/>
      </ns0:c>
      <ns0:c r="BO215" s="74" t="inlineStr">
        <ns0:is>
          <ns0:t>N/A</ns0:t>
        </ns0:is>
      </ns0:c>
      <ns0:c r="BP215" s="74" t="inlineStr">
        <ns0:is>
          <ns0:t>N/A</ns0:t>
        </ns0:is>
      </ns0:c>
      <ns0:c r="BQ215" s="74" t="inlineStr">
        <ns0:is>
          <ns0:t>N/A</ns0:t>
        </ns0:is>
      </ns0:c>
      <ns0:c r="BR215" s="74" t="inlineStr">
        <ns0:is>
          <ns0:t>N/A</ns0:t>
        </ns0:is>
      </ns0:c>
      <ns0:c r="BS215" s="74" t="inlineStr">
        <ns0:is>
          <ns0:t>N/A</ns0:t>
        </ns0:is>
      </ns0:c>
      <ns0:c r="BT215" s="74" t="inlineStr">
        <ns0:is>
          <ns0:t>N/A</ns0:t>
        </ns0:is>
      </ns0:c>
      <ns0:c r="BU215" s="91" t="inlineStr">
        <ns0:is>
          <ns0:t>Morgan Stanley Asia Limited; Merrill Lynch (Asia Pacific) Limited; China International Capital Corporation Hong Kong Securities Limited</ns0:t>
        </ns0:is>
      </ns0:c>
      <ns0:c r="BV215" s="74" t="inlineStr">
        <ns0:is>
          <ns0:t>China International Capital Corporation Hong Kong Securities Limited; Morgan Stanley Asia Limited; Merrill Lynch (Asia Pacific) Limited</ns0:t>
        </ns0:is>
      </ns0:c>
      <ns0:c r="BW215" s="74" t="inlineStr">
        <ns0:is>
          <ns0:t>Morgan Stanley Asia Limited; Merrill Lynch (Asia Pacific) Limited; China International Capital Corporation Hong Kong Securities Limited; UBS AG Hong Kong Branch; CCB International Capital Limited; CMB International Capital Limited; Huatai Financial Holdings (Hong Kong) Limited; BOCI Asia Limited; ABCI Capital Limited; ABCI Securities Company Limited</ns0:t>
        </ns0:is>
      </ns0:c>
      <ns0:c r="BX215" s="74" t="inlineStr">
        <ns0:is>
          <ns0: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ns0:t>
        </ns0:is>
      </ns0:c>
      <ns0:c r="BY215" s="93">
        <ns0:f>HYPERLINK("https://www1.hkexnews.hk/listedco/listconews/sehk/2023/1016/2023101600009.pdf","prospectus")</ns0:f>
        <ns0:v/>
      </ns0:c>
      <ns0:c r="BZ215" s="93">
        <ns0:f>HYPERLINK("https://www1.hkexnews.hk/listedco/listconews/sehk/2023/1026/2023102600028.htm","allotment")</ns0:f>
        <ns0:v/>
      </ns0:c>
      <ns0:c r="CA215" s="93">
        <ns0:f>HYPERLINK("https://www1.hkexnews.hk/listedco/listconews/sehk/2023/1119/2023111900085.pdf","stabilisation")</ns0:f>
        <ns0:v/>
      </ns0:c>
      <ns0:c r="CB215" s="94" t="n"/>
      <ns0:c r="CC215" s="74" t="inlineStr">
        <ns0:is>
          <ns0:t>range low: maximum offer price only, no floor published; allocation: allocation table not in this notice's format (older prose announcement); day-1 tape: volume on file; the retail multiple needs the final public split, which this notice does not state</ns0:t>
        </ns0:is>
      </ns0:c>
    </ns0:row>
    <ns0:row r="216" ht="22" customHeight="1">
      <ns0:c r="A216" s="73" t="inlineStr">
        <ns0:is>
          <ns0:t>2517</ns0:t>
        </ns0:is>
      </ns0:c>
      <ns0:c r="B216" s="74" t="inlineStr">
        <ns0:is>
          <ns0:t>GUOQUAN</ns0:t>
        </ns0:is>
      </ns0:c>
      <ns0:c r="C216" s="74" t="inlineStr">
        <ns0:is>
          <ns0:t>鍋圈</ns0:t>
        </ns0:is>
      </ns0:c>
      <ns0:c r="D216" s="74" t="inlineStr">
        <ns0:is>
          <ns0:t>Consumer</ns0:t>
        </ns0:is>
      </ns0:c>
      <ns0:c r="E216" s="74" t="inlineStr">
        <ns0:is>
          <ns0:t>Retail / distribution</ns0:t>
        </ns0:is>
      </ns0:c>
      <ns0:c r="F216" s="74" t="inlineStr">
        <ns0:is>
          <ns0:t>Packaged Foods</ns0:t>
        </ns0:is>
      </ns0:c>
      <ns0:c r="G216" s="74" t="inlineStr">
        <ns0:is>
          <ns0:t>Standard</ns0:t>
        </ns0:is>
      </ns0:c>
      <ns0:c r="H216" s="75" t="n">
        <ns0:v>45232</ns0:v>
      </ns0:c>
      <ns0:c r="I216" s="76" t="n">
        <ns0:v>411.4</ns0:v>
      </ns0:c>
      <ns0:c r="J216" s="74" t="inlineStr">
        <ns0:is>
          <ns0:t>gross (price x shares)</ns0:t>
        </ns0:is>
      </ns0:c>
      <ns0:c r="K216" s="95" t="n"/>
      <ns0:c r="L216" s="77" t="n">
        <ns0:v>5.98</ns0:v>
      </ns0:c>
      <ns0:c r="M216" s="77" t="n">
        <ns0:v>5.98</ns0:v>
      </ns0:c>
      <ns0:c r="N216" s="74" t="inlineStr">
        <ns0:is>
          <ns0:t>Y</ns0:t>
        </ns0:is>
      </ns0:c>
      <ns0:c r="O216" s="78" t="n">
        <ns0:v>100</ns0:v>
      </ns0:c>
      <ns0:c r="P216" s="84" t="n"/>
      <ns0:c r="Q216" s="79" t="n">
        <ns0:v>14186.2</ns0:v>
      </ns0:c>
      <ns0:c r="R216" s="74" t="inlineStr">
        <ns0:is>
          <ns0:t>derived:deal size / offer % of enlarged capital</ns0:t>
        </ns0:is>
      </ns0:c>
      <ns0:c r="S216" s="80" t="n">
        <ns0:v>4.34</ns0:v>
      </ns0:c>
      <ns0:c r="T216" s="81" t="n">
        <ns0:v>1.33</ns0:v>
      </ns0:c>
      <ns0:c r="U216" s="82" t="n">
        <ns0:v>53.6</ns0:v>
      </ns0:c>
      <ns0:c r="V216" s="83" t="n">
        <ns0:v>119</ns0:v>
      </ns0:c>
      <ns0:c r="W216" s="84" t="n"/>
      <ns0:c r="X216" s="85" t="n"/>
      <ns0:c r="Y216" s="79" t="n">
        <ns0:v>190.89</ns0:v>
      </ns0:c>
      <ns0:c r="Z216" s="79" t="n">
        <ns0:v>31924499</ns0:v>
      </ns0:c>
      <ns0:c r="AA216" s="78" t="n">
        <ns0:v>1.35</ns0:v>
      </ns0:c>
      <ns0:c r="AB216" s="74" t="inlineStr">
        <ns0:is>
          <ns0:t>COFCO Capital Special Opportunity Fund 2 SP; Jiangsu Hengshun Vinegar Industry Co., Ltd; Jinding Capital Management (Shenzhen) Co., Ltd; Profit Joy (Hong Kong) Limited</ns0:t>
        </ns0:is>
      </ns0:c>
      <ns0:c r="AC216" s="74" t="inlineStr">
        <ns0:is>
          <ns0:t>cofco;jiangsu;jinding;profit</ns0:t>
        </ns0:is>
      </ns0:c>
      <ns0:c r="AD216" s="78" t="n">
        <ns0:v>15</ns0:v>
      </ns0:c>
      <ns0:c r="AE216" s="74" t="inlineStr">
        <ns0:is>
          <ns0:t>partial</ns0:t>
        </ns0:is>
      </ns0:c>
      <ns0:c r="AF216" s="74" t="inlineStr">
        <ns0:is>
          <ns0:t>2023-11-25</ns0:t>
        </ns0:is>
      </ns0:c>
      <ns0:c r="AG216" s="74" t="inlineStr">
        <ns0:is>
          <ns0:t>China International Capital Corporation Hong Kong Securities Limited DEFINITIONS –3 1</ns0:t>
        </ns0:is>
      </ns0:c>
      <ns0:c r="AH216" s="74" t="inlineStr">
        <ns0:is>
          <ns0:t>China International</ns0:t>
        </ns0:is>
      </ns0:c>
      <ns0:c r="AI216" s="86" t="n">
        <ns0:v>-0.17</ns0:v>
      </ns0:c>
      <ns0:c r="AJ216" s="87" t="n">
        <ns0:v>0</ns0:v>
      </ns0:c>
      <ns0:c r="AK216" s="87" t="n">
        <ns0:v>0.66</ns0:v>
      </ns0:c>
      <ns0:c r="AL216" s="87" t="n">
        <ns0:v>0</ns0:v>
      </ns0:c>
      <ns0:c r="AM216" s="87" t="n">
        <ns0:v>0</ns0:v>
      </ns0:c>
      <ns0:c r="AN216" s="88" t="n"/>
      <ns0:c r="AO216" s="78" t="n">
        <ns0:v>4.01</ns0:v>
      </ns0:c>
      <ns0:c r="AP216" s="87" t="n">
        <ns0:v>6.52</ns0:v>
      </ns0:c>
      <ns0:c r="AQ216" s="87" t="n">
        <ns0:v>22.91</ns0:v>
      </ns0:c>
      <ns0:c r="AR216" s="87" t="n">
        <ns0:v>42.14</ns0:v>
      </ns0:c>
      <ns0:c r="AS216" s="87" t="n">
        <ns0:v>6.52</ns0:v>
      </ns0:c>
      <ns0:c r="AT216" s="87" t="n">
        <ns0:v>22.91</ns0:v>
      </ns0:c>
      <ns0:c r="AU216" s="87" t="n">
        <ns0:v>42.14</ns0:v>
      </ns0:c>
      <ns0:c r="AV216" s="87" t="n">
        <ns0:v>3.04</ns0:v>
      </ns0:c>
      <ns0:c r="AW216" s="87" t="n">
        <ns0:v>25.35</ns0:v>
      </ns0:c>
      <ns0:c r="AX216" s="87" t="n">
        <ns0:v>55.18</ns0:v>
      </ns0:c>
      <ns0:c r="AY216" s="87" t="n">
        <ns0:v>25.99</ns0:v>
      </ns0:c>
      <ns0:c r="AZ216" s="87" t="n">
        <ns0:v>-2.44</ns0:v>
      </ns0:c>
      <ns0:c r="BA216" s="87" t="n">
        <ns0:v>-3.08</ns0:v>
      </ns0:c>
      <ns0:c r="BB216" s="74" t="inlineStr">
        <ns0:is>
          <ns0:t>Hang Seng Commerce &amp; Industry sub-index</ns0:t>
        </ns0:is>
      </ns0:c>
      <ns0:c r="BC216" s="87" t="n">
        <ns0:v>-76.92</ns0:v>
      </ns0:c>
      <ns0:c r="BD216" s="75" t="n">
        <ns0:v>46297</ns0:v>
      </ns0:c>
      <ns0:c r="BE216" s="76" t="n">
        <ns0:v>7890.8</ns0:v>
      </ns0:c>
      <ns0:c r="BF216" s="79" t="n">
        <ns0:v>365.2</ns0:v>
      </ns0:c>
      <ns0:c r="BG216" s="74" t="inlineStr">
        <ns0:is>
          <ns0:t>Y</ns0:t>
        </ns0:is>
      </ns0:c>
      <ns0:c r="BH216" s="89" t="n">
        <ns0:v>38.8</ns0:v>
      </ns0:c>
      <ns0:c r="BI216" s="88" t="n"/>
      <ns0:c r="BJ216" s="89" t="n">
        <ns0:v>9.6</ns0:v>
      </ns0:c>
      <ns0:c r="BK216" s="89" t="n">
        <ns0:v>1.8</ns0:v>
      </ns0:c>
      <ns0:c r="BL216" s="90">
        <ns0:f>IFERROR(IF('BBG Verify'!S216="","Awaiting Bloomberg",'BBG Verify'!S216),"Awaiting Bloomberg")</ns0:f>
        <ns0:v/>
      </ns0:c>
      <ns0:c r="BM216" s="91" t="inlineStr">
        <ns0:is>
          <ns0:t>N</ns0:t>
        </ns0:is>
      </ns0:c>
      <ns0:c r="BN216" s="92">
        <ns0:f>IFERROR(IF('BBG Verify'!K216="","Awaiting Bloomberg",'BBG Verify'!K216),"Awaiting Bloomberg")</ns0:f>
        <ns0:v/>
      </ns0:c>
      <ns0:c r="BO216" s="74" t="inlineStr">
        <ns0:is>
          <ns0:t>N/A</ns0:t>
        </ns0:is>
      </ns0:c>
      <ns0:c r="BP216" s="74" t="inlineStr">
        <ns0:is>
          <ns0:t>N/A</ns0:t>
        </ns0:is>
      </ns0:c>
      <ns0:c r="BQ216" s="74" t="inlineStr">
        <ns0:is>
          <ns0:t>N/A</ns0:t>
        </ns0:is>
      </ns0:c>
      <ns0:c r="BR216" s="74" t="inlineStr">
        <ns0:is>
          <ns0:t>N/A</ns0:t>
        </ns0:is>
      </ns0:c>
      <ns0:c r="BS216" s="74" t="inlineStr">
        <ns0:is>
          <ns0:t>N/A</ns0:t>
        </ns0:is>
      </ns0:c>
      <ns0:c r="BT216" s="74" t="inlineStr">
        <ns0:is>
          <ns0:t>N/A</ns0:t>
        </ns0:is>
      </ns0:c>
      <ns0:c r="BU216" s="91" t="inlineStr">
        <ns0:is>
          <ns0:t>Huatai Financial Holdings (Hong Kong) Limited; China International Capital Corporation Hong Kong Securities Limited</ns0:t>
        </ns0:is>
      </ns0:c>
      <ns0:c r="BV216" s="74" t="inlineStr">
        <ns0:is>
          <ns0:t>China International Capital Corporation Hong Kong Securities Limited; Huatai Financial Holdings (Hong Kong) Limited</ns0:t>
        </ns0:is>
      </ns0:c>
      <ns0:c r="BW216" s="74" t="inlineStr">
        <ns0:is>
          <ns0:t>Huatai Financial Holdings (Hong Kong) Limited; China International Capital Corporation Hong Kong Securities Limited; CMB International Capital Limited; Central China International Capital Limited</ns0:t>
        </ns0:is>
      </ns0:c>
      <ns0:c r="BX216" s="74" t="inlineStr">
        <ns0:is>
          <ns0: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ns0:t>
        </ns0:is>
      </ns0:c>
      <ns0:c r="BY216" s="93">
        <ns0:f>HYPERLINK("https://www1.hkexnews.hk/listedco/listconews/sehk/2023/1020/2023102000007.pdf","prospectus")</ns0:f>
        <ns0:v/>
      </ns0:c>
      <ns0:c r="BZ216" s="93">
        <ns0:f>HYPERLINK("https://www1.hkexnews.hk/listedco/listconews/sehk/2023/1101/2023110100018.htm","allotment")</ns0:f>
        <ns0:v/>
      </ns0:c>
      <ns0:c r="CA216" s="93">
        <ns0:f>HYPERLINK("https://www1.hkexnews.hk/listedco/listconews/sehk/2023/1127/2023112700202.pdf","stabilisation")</ns0:f>
        <ns0:v/>
      </ns0:c>
      <ns0:c r="CB216" s="94" t="n"/>
      <ns0:c r="CC216" s="74" t="inlineStr">
        <ns0:is>
          <ns0:t>range low: maximum offer price only, no floor published; cornerstone: table parse 99% rejected (institutional total implies 54%); the AAStocks institutional total used; deal size: stated gross HK$16.5m rejected, below the net proceeds of HK$356.5m; allocation: allocation table not in this notice's format (older prose announcement); day-1 tape: volume on file; the retail multiple needs the final public split, which this notice does not state</ns0:t>
        </ns0:is>
      </ns0:c>
    </ns0:row>
    <ns0:row r="217" ht="22" customHeight="1">
      <ns0:c r="A217" s="73" t="inlineStr">
        <ns0:is>
          <ns0:t>2429</ns0:t>
        </ns0:is>
      </ns0:c>
      <ns0:c r="B217" s="74" t="inlineStr">
        <ns0:is>
          <ns0:t>UBOX ONLINE</ns0:t>
        </ns0:is>
      </ns0:c>
      <ns0:c r="C217" s="74" t="inlineStr">
        <ns0:is>
          <ns0:t>友寶在線</ns0:t>
        </ns0:is>
      </ns0:c>
      <ns0:c r="D217" s="74" t="inlineStr">
        <ns0:is>
          <ns0:t>Consumer</ns0:t>
        </ns0:is>
      </ns0:c>
      <ns0:c r="E217" s="74" t="inlineStr">
        <ns0:is>
          <ns0:t>Retail / distribution</ns0:t>
        </ns0:is>
      </ns0:c>
      <ns0:c r="F217" s="74" t="inlineStr">
        <ns0:is>
          <ns0:t>Hypermarkets, Supermarkets &amp; Convenience Stores</ns0:t>
        </ns0:is>
      </ns0:c>
      <ns0:c r="G217" s="74" t="inlineStr">
        <ns0:is>
          <ns0:t>Standard</ns0:t>
        </ns0:is>
      </ns0:c>
      <ns0:c r="H217" s="75" t="n">
        <ns0:v>45233</ns0:v>
      </ns0:c>
      <ns0:c r="I217" s="76" t="n">
        <ns0:v>233.7</ns0:v>
      </ns0:c>
      <ns0:c r="J217" s="74" t="inlineStr">
        <ns0:is>
          <ns0:t>gross (price x shares)</ns0:t>
        </ns0:is>
      </ns0:c>
      <ns0:c r="K217" s="77" t="n">
        <ns0:v>9.4</ns0:v>
      </ns0:c>
      <ns0:c r="L217" s="77" t="n">
        <ns0:v>11.4</ns0:v>
      </ns0:c>
      <ns0:c r="M217" s="77" t="n">
        <ns0:v>10.35</ns0:v>
      </ns0:c>
      <ns0:c r="N217" s="74" t="inlineStr">
        <ns0:is>
          <ns0:t>N</ns0:t>
        </ns0:is>
      </ns0:c>
      <ns0:c r="O217" s="78" t="n">
        <ns0:v>90.8</ns0:v>
      </ns0:c>
      <ns0:c r="P217" s="78" t="n">
        <ns0:v>47.5</ns0:v>
      </ns0:c>
      <ns0:c r="Q217" s="79" t="n">
        <ns0:v>6655.3</ns0:v>
      </ns0:c>
      <ns0:c r="R217" s="74" t="inlineStr">
        <ns0:is>
          <ns0:t>prospectus:stated market capitalisation, rescaled to the offer price</ns0:t>
        </ns0:is>
      </ns0:c>
      <ns0:c r="S217" s="80" t="n">
        <ns0:v>11.29</ns0:v>
      </ns0:c>
      <ns0:c r="T217" s="81" t="n">
        <ns0:v>1.41</ns0:v>
      </ns0:c>
      <ns0:c r="U217" s="82" t="n">
        <ns0:v>29.4</ns0:v>
      </ns0:c>
      <ns0:c r="V217" s="83" t="n">
        <ns0:v>143</ns0:v>
      </ns0:c>
      <ns0:c r="W217" s="84" t="n"/>
      <ns0:c r="X217" s="85" t="n"/>
      <ns0:c r="Y217" s="79" t="n">
        <ns0:v>164.99</ns0:v>
      </ns0:c>
      <ns0:c r="Z217" s="79" t="n">
        <ns0:v>15939009</ns0:v>
      </ns0:c>
      <ns0:c r="AA217" s="78" t="n">
        <ns0:v>2.48</ns0:v>
      </ns0:c>
      <ns0:c r="AB217" s="74" t="inlineStr">
        <ns0:is>
          <ns0:t>Nayuki Holdings Limited; SensePower Management Limited; Shenzhen Maliujia Network Technology Co., Ltd; Wei Jinbing</ns0:t>
        </ns0:is>
      </ns0:c>
      <ns0:c r="AC217" s="74" t="inlineStr">
        <ns0:is>
          <ns0:t>nayuki;sensepower;shenzhen-maliujia;wei-jinbing</ns0:t>
        </ns0:is>
      </ns0:c>
      <ns0:c r="AD217" s="84" t="n"/>
      <ns0:c r="AE217" s="85" t="n"/>
      <ns0:c r="AF217" s="85" t="n"/>
      <ns0:c r="AG217" s="85" t="n"/>
      <ns0:c r="AH217" s="85" t="n"/>
      <ns0:c r="AI217" s="86" t="n">
        <ns0:v>20.77</ns0:v>
      </ns0:c>
      <ns0:c r="AJ217" s="87" t="n">
        <ns0:v>40.87</ns0:v>
      </ns0:c>
      <ns0:c r="AK217" s="87" t="n">
        <ns0:v>2.72</ns0:v>
      </ns0:c>
      <ns0:c r="AL217" s="87" t="n">
        <ns0:v>20.77</ns0:v>
      </ns0:c>
      <ns0:c r="AM217" s="87" t="n">
        <ns0:v>16.64</ns0:v>
      </ns0:c>
      <ns0:c r="AN217" s="88" t="n"/>
      <ns0:c r="AO217" s="78" t="n">
        <ns0:v>21.28</ns0:v>
      </ns0:c>
      <ns0:c r="AP217" s="87" t="n">
        <ns0:v>20.77</ns0:v>
      </ns0:c>
      <ns0:c r="AQ217" s="87" t="n">
        <ns0:v>55.94</ns0:v>
      </ns0:c>
      <ns0:c r="AR217" s="87" t="n">
        <ns0:v>79.13</ns0:v>
      </ns0:c>
      <ns0:c r="AS217" s="87" t="n">
        <ns0:v>-14.27</ns0:v>
      </ns0:c>
      <ns0:c r="AT217" s="87" t="n">
        <ns0:v>10.7</ns0:v>
      </ns0:c>
      <ns0:c r="AU217" s="87" t="n">
        <ns0:v>27.16</ns0:v>
      </ns0:c>
      <ns0:c r="AV217" s="87" t="n">
        <ns0:v>20.21</ns0:v>
      </ns0:c>
      <ns0:c r="AW217" s="87" t="n">
        <ns0:v>60.49</ns0:v>
      </ns0:c>
      <ns0:c r="AX217" s="87" t="n">
        <ns0:v>92.8</ns0:v>
      </ns0:c>
      <ns0:c r="AY217" s="87" t="n">
        <ns0:v>17.78</ns0:v>
      </ns0:c>
      <ns0:c r="AZ217" s="87" t="n">
        <ns0:v>-4.55</ns0:v>
      </ns0:c>
      <ns0:c r="BA217" s="87" t="n">
        <ns0:v>-7.08</ns0:v>
      </ns0:c>
      <ns0:c r="BB217" s="74" t="inlineStr">
        <ns0:is>
          <ns0:t>Hang Seng Commerce &amp; Industry sub-index</ns0:t>
        </ns0:is>
      </ns0:c>
      <ns0:c r="BC217" s="87" t="n">
        <ns0:v>-83.14</ns0:v>
      </ns0:c>
      <ns0:c r="BD217" s="75" t="n">
        <ns0:v>46297</ns0:v>
      </ns0:c>
      <ns0:c r="BE217" s="76" t="n">
        <ns0:v>2943.9</ns0:v>
      </ns0:c>
      <ns0:c r="BF217" s="79" t="n">
        <ns0:v>-203.1</ns0:v>
      </ns0:c>
      <ns0:c r="BG217" s="74" t="inlineStr">
        <ns0:is>
          <ns0:t>N</ns0:t>
        </ns0:is>
      </ns0:c>
      <ns0:c r="BH217" s="74" t="inlineStr">
        <ns0:is>
          <ns0:t>n/m</ns0:t>
        </ns0:is>
      </ns0:c>
      <ns0:c r="BI217" s="88" t="n"/>
      <ns0:c r="BJ217" s="88" t="n"/>
      <ns0:c r="BK217" s="89" t="n">
        <ns0:v>2.3</ns0:v>
      </ns0:c>
      <ns0:c r="BL217" s="90">
        <ns0:f>IFERROR(IF('BBG Verify'!S217="","Awaiting Bloomberg",'BBG Verify'!S217),"Awaiting Bloomberg")</ns0:f>
        <ns0:v/>
      </ns0:c>
      <ns0:c r="BM217" s="91" t="inlineStr">
        <ns0:is>
          <ns0:t>N</ns0:t>
        </ns0:is>
      </ns0:c>
      <ns0:c r="BN217" s="92">
        <ns0:f>IFERROR(IF('BBG Verify'!K217="","Awaiting Bloomberg",'BBG Verify'!K217),"Awaiting Bloomberg")</ns0:f>
        <ns0:v/>
      </ns0:c>
      <ns0:c r="BO217" s="74" t="inlineStr">
        <ns0:is>
          <ns0:t>N/A</ns0:t>
        </ns0:is>
      </ns0:c>
      <ns0:c r="BP217" s="74" t="inlineStr">
        <ns0:is>
          <ns0:t>N/A</ns0:t>
        </ns0:is>
      </ns0:c>
      <ns0:c r="BQ217" s="74" t="inlineStr">
        <ns0:is>
          <ns0:t>N/A</ns0:t>
        </ns0:is>
      </ns0:c>
      <ns0:c r="BR217" s="74" t="inlineStr">
        <ns0:is>
          <ns0:t>N/A</ns0:t>
        </ns0:is>
      </ns0:c>
      <ns0:c r="BS217" s="74" t="inlineStr">
        <ns0:is>
          <ns0:t>N/A</ns0:t>
        </ns0:is>
      </ns0:c>
      <ns0:c r="BT217" s="74" t="inlineStr">
        <ns0:is>
          <ns0:t>N/A</ns0:t>
        </ns0:is>
      </ns0:c>
      <ns0:c r="BU217" s="91" t="inlineStr">
        <ns0:is>
          <ns0:t>China Securities (International) Corporate Finance Company Limited; Huatai Financial Holdings (Hong Kong) Limited</ns0:t>
        </ns0:is>
      </ns0:c>
      <ns0:c r="BV217" s="74" t="inlineStr">
        <ns0:is>
          <ns0:t>Huatai Financial Holdings (Hong Kong) Limited; China Securities (International) Corporate Finance Company Limited</ns0:t>
        </ns0:is>
      </ns0:c>
      <ns0:c r="BW217" s="74" t="inlineStr">
        <ns0:is>
          <ns0:t>Huatai Financial Holdings (Hong Kong) Limited; China Securities (International) Corporate Finance Company Limited</ns0:t>
        </ns0:is>
      </ns0:c>
      <ns0:c r="BX217" s="74" t="inlineStr">
        <ns0:is>
          <ns0: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ns0:t>
        </ns0:is>
      </ns0:c>
      <ns0:c r="BY217" s="93">
        <ns0:f>HYPERLINK("https://www1.hkexnews.hk/listedco/listconews/sehk/2023/1024/2023102400007.pdf","prospectus")</ns0:f>
        <ns0:v/>
      </ns0:c>
      <ns0:c r="BZ217" s="93">
        <ns0:f>HYPERLINK("https://www1.hkexnews.hk/listedco/listconews/sehk/2023/1102/2023110200032.htm","allotment")</ns0:f>
        <ns0:v/>
      </ns0:c>
      <ns0:c r="CA217" s="85" t="n"/>
      <ns0:c r="CB217" s="94" t="n"/>
      <ns0:c r="CC217" s="74" t="inlineStr">
        <ns0:is>
          <ns0:t>P/E: loss-making at IPO, use P/S; greenshoe: no over-allotment option; market cap: prospectus cap HK$7,330m at HK$11.40, rescaled to HK$10.35; cornerstone: % from the prospectus; AAStocks table includes non-cornerstone orders; greenshoe size: no over-allotment option;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ns0:t>
        </ns0:is>
      </ns0:c>
    </ns0:row>
    <ns0:row r="218" ht="22" customHeight="1">
      <ns0:c r="A218" s="73" t="inlineStr">
        <ns0:is>
          <ns0:t>2473</ns0:t>
        </ns0:is>
      </ns0:c>
      <ns0:c r="B218" s="74" t="inlineStr">
        <ns0:is>
          <ns0:t>XXF</ns0:t>
        </ns0:is>
      </ns0:c>
      <ns0:c r="C218" s="74" t="inlineStr">
        <ns0:is>
          <ns0:t>喜相逢集團</ns0:t>
        </ns0:is>
      </ns0:c>
      <ns0:c r="D218" s="74" t="inlineStr">
        <ns0:is>
          <ns0:t>Consumer</ns0:t>
        </ns0:is>
      </ns0:c>
      <ns0:c r="E218" s="74" t="inlineStr">
        <ns0:is>
          <ns0:t>Retail / distribution</ns0:t>
        </ns0:is>
      </ns0:c>
      <ns0:c r="F218" s="74" t="inlineStr">
        <ns0:is>
          <ns0:t>Automotive Retail</ns0:t>
        </ns0:is>
      </ns0:c>
      <ns0:c r="G218" s="74" t="inlineStr">
        <ns0:is>
          <ns0:t>Standard</ns0:t>
        </ns0:is>
      </ns0:c>
      <ns0:c r="H218" s="75" t="n">
        <ns0:v>45239</ns0:v>
      </ns0:c>
      <ns0:c r="I218" s="76" t="n">
        <ns0:v>28.8</ns0:v>
      </ns0:c>
      <ns0:c r="J218" s="74" t="inlineStr">
        <ns0:is>
          <ns0:t>net proceeds</ns0:t>
        </ns0:is>
      </ns0:c>
      <ns0:c r="K218" s="77" t="n">
        <ns0:v>1.05</ns0:v>
      </ns0:c>
      <ns0:c r="L218" s="77" t="n">
        <ns0:v>1.36</ns0:v>
      </ns0:c>
      <ns0:c r="M218" s="77" t="n">
        <ns0:v>1.1</ns0:v>
      </ns0:c>
      <ns0:c r="N218" s="74" t="inlineStr">
        <ns0:is>
          <ns0:t>N</ns0:t>
        </ns0:is>
      </ns0:c>
      <ns0:c r="O218" s="78" t="n">
        <ns0:v>80.90000000000001</ns0:v>
      </ns0:c>
      <ns0:c r="P218" s="78" t="n">
        <ns0:v>16.1</ns0:v>
      </ns0:c>
      <ns0:c r="Q218" s="79" t="n">
        <ns0:v>670.7</ns0:v>
      </ns0:c>
      <ns0:c r="R218" s="74" t="inlineStr">
        <ns0:is>
          <ns0:t>aastocks:上市市值 at the struck price</ns0:t>
        </ns0:is>
      </ns0:c>
      <ns0:c r="S218" s="80" t="n">
        <ns0:v>14.71</ns0:v>
      </ns0:c>
      <ns0:c r="T218" s="81" t="n">
        <ns0:v>1.01</ns0:v>
      </ns0:c>
      <ns0:c r="U218" s="82" t="n">
        <ns0:v>0</ns0:v>
      </ns0:c>
      <ns0:c r="V218" s="83" t="n">
        <ns0:v>110</ns0:v>
      </ns0:c>
      <ns0:c r="W218" s="84" t="n"/>
      <ns0:c r="X218" s="85" t="n"/>
      <ns0:c r="Y218" s="79" t="n">
        <ns0:v>28.8</ns0:v>
      </ns0:c>
      <ns0:c r="Z218" s="97" t="n"/>
      <ns0:c r="AA218" s="78" t="n">
        <ns0:v>4.29</ns0:v>
      </ns0:c>
      <ns0:c r="AB218" s="74" t="inlineStr">
        <ns0:is>
          <ns0:t>none — no cornerstone tranche</ns0:t>
        </ns0:is>
      </ns0:c>
      <ns0:c r="AC218" s="74" t="inlineStr">
        <ns0:is>
          <ns0:t>none</ns0:t>
        </ns0:is>
      </ns0:c>
      <ns0:c r="AD218" s="78" t="n">
        <ns0:v>10</ns0:v>
      </ns0:c>
      <ns0:c r="AE218" s="85" t="n"/>
      <ns0:c r="AF218" s="85" t="n"/>
      <ns0:c r="AG218" s="85" t="n"/>
      <ns0:c r="AH218" s="85" t="n"/>
      <ns0:c r="AI218" s="86" t="n">
        <ns0:v>92.73</ns0:v>
      </ns0:c>
      <ns0:c r="AJ218" s="87" t="n">
        <ns0:v>49.09</ns0:v>
      </ns0:c>
      <ns0:c r="AK218" s="87" t="n">
        <ns0:v>-0.31</ns0:v>
      </ns0:c>
      <ns0:c r="AL218" s="87" t="n">
        <ns0:v>98.18000000000001</ns0:v>
      </ns0:c>
      <ns0:c r="AM218" s="87" t="n">
        <ns0:v>-24.77</ns0:v>
      </ns0:c>
      <ns0:c r="AN218" s="88" t="n"/>
      <ns0:c r="AO218" s="78" t="n">
        <ns0:v>116.51</ns0:v>
      </ns0:c>
      <ns0:c r="AP218" s="87" t="n">
        <ns0:v>46.36</ns0:v>
      </ns0:c>
      <ns0:c r="AQ218" s="87" t="n">
        <ns0:v>121.82</ns0:v>
      </ns0:c>
      <ns0:c r="AR218" s="87" t="n">
        <ns0:v>166.36</ns0:v>
      </ns0:c>
      <ns0:c r="AS218" s="87" t="n">
        <ns0:v>-1.83</ns0:v>
      </ns0:c>
      <ns0:c r="AT218" s="87" t="n">
        <ns0:v>48.78</ns0:v>
      </ns0:c>
      <ns0:c r="AU218" s="87" t="n">
        <ns0:v>78.66</ns0:v>
      </ns0:c>
      <ns0:c r="AV218" s="87" t="n">
        <ns0:v>45.68</ns0:v>
      </ns0:c>
      <ns0:c r="AW218" s="87" t="n">
        <ns0:v>131.01</ns0:v>
      </ns0:c>
      <ns0:c r="AX218" s="87" t="n">
        <ns0:v>181.38</ns0:v>
      </ns0:c>
      <ns0:c r="AY218" s="87" t="n">
        <ns0:v>57.68</ns0:v>
      </ns0:c>
      <ns0:c r="AZ218" s="87" t="n">
        <ns0:v>-9.19</ns0:v>
      </ns0:c>
      <ns0:c r="BA218" s="87" t="n">
        <ns0:v>-8.9</ns0:v>
      </ns0:c>
      <ns0:c r="BB218" s="74" t="inlineStr">
        <ns0:is>
          <ns0:t>Hang Seng Commerce &amp; Industry sub-index</ns0:t>
        </ns0:is>
      </ns0:c>
      <ns0:c r="BC218" s="87" t="n">
        <ns0:v>3.64</ns0:v>
      </ns0:c>
      <ns0:c r="BD218" s="75" t="n">
        <ns0:v>46297</ns0:v>
      </ns0:c>
      <ns0:c r="BE218" s="76" t="n">
        <ns0:v>1255.7</ns0:v>
      </ns0:c>
      <ns0:c r="BF218" s="79" t="n">
        <ns0:v>84.8</ns0:v>
      </ns0:c>
      <ns0:c r="BG218" s="74" t="inlineStr">
        <ns0:is>
          <ns0:t>Y</ns0:t>
        </ns0:is>
      </ns0:c>
      <ns0:c r="BH218" s="89" t="n">
        <ns0:v>7.9</ns0:v>
      </ns0:c>
      <ns0:c r="BI218" s="89" t="n">
        <ns0:v>5.1</ns0:v>
      </ns0:c>
      <ns0:c r="BJ218" s="89" t="n">
        <ns0:v>13.6</ns0:v>
      </ns0:c>
      <ns0:c r="BK218" s="89" t="n">
        <ns0:v>0.5</ns0:v>
      </ns0:c>
      <ns0:c r="BL218" s="90">
        <ns0:f>IFERROR(IF('BBG Verify'!S218="","Awaiting Bloomberg",'BBG Verify'!S218),"Awaiting Bloomberg")</ns0:f>
        <ns0:v/>
      </ns0:c>
      <ns0:c r="BM218" s="91" t="inlineStr">
        <ns0:is>
          <ns0:t>N</ns0:t>
        </ns0:is>
      </ns0:c>
      <ns0:c r="BN218" s="92">
        <ns0:f>IFERROR(IF('BBG Verify'!K218="","Awaiting Bloomberg",'BBG Verify'!K218),"Awaiting Bloomberg")</ns0:f>
        <ns0:v/>
      </ns0:c>
      <ns0:c r="BO218" s="74" t="inlineStr">
        <ns0:is>
          <ns0:t>N/A</ns0:t>
        </ns0:is>
      </ns0:c>
      <ns0:c r="BP218" s="74" t="inlineStr">
        <ns0:is>
          <ns0:t>N/A</ns0:t>
        </ns0:is>
      </ns0:c>
      <ns0:c r="BQ218" s="74" t="inlineStr">
        <ns0:is>
          <ns0:t>N/A</ns0:t>
        </ns0:is>
      </ns0:c>
      <ns0:c r="BR218" s="74" t="inlineStr">
        <ns0:is>
          <ns0:t>N/A</ns0:t>
        </ns0:is>
      </ns0:c>
      <ns0:c r="BS218" s="74" t="inlineStr">
        <ns0:is>
          <ns0:t>N/A</ns0:t>
        </ns0:is>
      </ns0:c>
      <ns0:c r="BT218" s="74" t="inlineStr">
        <ns0:is>
          <ns0:t>N/A</ns0:t>
        </ns0:is>
      </ns0:c>
      <ns0:c r="BU218" s="91" t="inlineStr">
        <ns0:is>
          <ns0:t>Quam Capital Limited</ns0:t>
        </ns0:is>
      </ns0:c>
      <ns0:c r="BV218" s="74" t="inlineStr">
        <ns0:is>
          <ns0:t>Quam Capital Limited</ns0:t>
        </ns0:is>
      </ns0:c>
      <ns0:c r="BW218" s="74" t="inlineStr">
        <ns0:is>
          <ns0: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ns0:t>
        </ns0:is>
      </ns0:c>
      <ns0:c r="BX218" s="74" t="inlineStr">
        <ns0:is>
          <ns0: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ns0:t>
        </ns0:is>
      </ns0:c>
      <ns0:c r="BY218" s="93">
        <ns0:f>HYPERLINK("https://www1.hkexnews.hk/listedco/listconews/sehk/2023/1030/2023103000013.pdf","prospectus")</ns0:f>
        <ns0:v/>
      </ns0:c>
      <ns0:c r="BZ218" s="93">
        <ns0:f>HYPERLINK("https://www1.hkexnews.hk/listedco/listconews/sehk/2023/1108/2023110800016.htm","allotment")</ns0:f>
        <ns0:v/>
      </ns0:c>
      <ns0:c r="CA218" s="85" t="n"/>
      <ns0:c r="CB218" s="94" t="n"/>
      <ns0:c r="CC218" s="74" t="inlineStr">
        <ns0:is>
          <ns0:t>greenshoe: end-of-stabilisation notice not found; market cap: published listing cap used; the estimate from deal size / offer % of enlarged capital disagreed; cornerstone list: no cornerstone tranche; stabilising manager: not named in the allotment notice or prospectus glossary;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219" ht="22" customHeight="1">
      <ns0:c r="A219" s="73" t="inlineStr">
        <ns0:is>
          <ns0:t>1111</ns0:t>
        </ns0:is>
      </ns0:c>
      <ns0:c r="B219" s="74" t="inlineStr">
        <ns0:is>
          <ns0:t>HUASHI GROUP</ns0:t>
        </ns0:is>
      </ns0:c>
      <ns0:c r="C219" s="74" t="inlineStr">
        <ns0:is>
          <ns0:t>華視集團控股</ns0:t>
        </ns0:is>
      </ns0:c>
      <ns0:c r="D219" s="74" t="inlineStr">
        <ns0:is>
          <ns0:t>Industrials</ns0:t>
        </ns0:is>
      </ns0:c>
      <ns0:c r="E219" s="74" t="inlineStr">
        <ns0:is>
          <ns0:t>Construction / engineering</ns0:t>
        </ns0:is>
      </ns0:c>
      <ns0:c r="F219" s="74" t="inlineStr">
        <ns0:is>
          <ns0:t>Advertising</ns0:t>
        </ns0:is>
      </ns0:c>
      <ns0:c r="G219" s="74" t="inlineStr">
        <ns0:is>
          <ns0:t>Standard</ns0:t>
        </ns0:is>
      </ns0:c>
      <ns0:c r="H219" s="75" t="n">
        <ns0:v>45240</ns0:v>
      </ns0:c>
      <ns0:c r="I219" s="76" t="n">
        <ns0:v>130</ns0:v>
      </ns0:c>
      <ns0:c r="J219" s="74" t="inlineStr">
        <ns0:is>
          <ns0:t>gross (price x shares)</ns0:t>
        </ns0:is>
      </ns0:c>
      <ns0:c r="K219" s="77" t="n">
        <ns0:v>0.88</ns0:v>
      </ns0:c>
      <ns0:c r="L219" s="77" t="n">
        <ns0:v>1.04</ns0:v>
      </ns0:c>
      <ns0:c r="M219" s="77" t="n">
        <ns0:v>1.04</ns0:v>
      </ns0:c>
      <ns0:c r="N219" s="74" t="inlineStr">
        <ns0:is>
          <ns0:t>Y</ns0:t>
        </ns0:is>
      </ns0:c>
      <ns0:c r="O219" s="78" t="n">
        <ns0:v>100</ns0:v>
      </ns0:c>
      <ns0:c r="P219" s="78" t="n">
        <ns0:v>100</ns0:v>
      </ns0:c>
      <ns0:c r="Q219" s="79" t="n">
        <ns0:v>801.5</ns0:v>
      </ns0:c>
      <ns0:c r="R219" s="74" t="inlineStr">
        <ns0:is>
          <ns0:t>aastocks:上市市值 at the struck price</ns0:t>
        </ns0:is>
      </ns0:c>
      <ns0:c r="S219" s="80" t="n">
        <ns0:v>12.62</ns0:v>
      </ns0:c>
      <ns0:c r="T219" s="81" t="n">
        <ns0:v>1.09</ns0:v>
      </ns0:c>
      <ns0:c r="U219" s="82" t="n">
        <ns0:v>0</ns0:v>
      </ns0:c>
      <ns0:c r="V219" s="83" t="n">
        <ns0:v>155</ns0:v>
      </ns0:c>
      <ns0:c r="W219" s="84" t="n"/>
      <ns0:c r="X219" s="85" t="n"/>
      <ns0:c r="Y219" s="79" t="n">
        <ns0:v>130</ns0:v>
      </ns0:c>
      <ns0:c r="Z219" s="79" t="n">
        <ns0:v>125000000</ns0:v>
      </ns0:c>
      <ns0:c r="AA219" s="78" t="n">
        <ns0:v>16.22</ns0:v>
      </ns0:c>
      <ns0:c r="AB219" s="74" t="inlineStr">
        <ns0:is>
          <ns0:t>none — no cornerstone tranche</ns0:t>
        </ns0:is>
      </ns0:c>
      <ns0:c r="AC219" s="74" t="inlineStr">
        <ns0:is>
          <ns0:t>none</ns0:t>
        </ns0:is>
      </ns0:c>
      <ns0:c r="AD219" s="84" t="n"/>
      <ns0:c r="AE219" s="85" t="n"/>
      <ns0:c r="AF219" s="85" t="n"/>
      <ns0:c r="AG219" s="85" t="n"/>
      <ns0:c r="AH219" s="85" t="n"/>
      <ns0:c r="AI219" s="86" t="n">
        <ns0:v>54.81</ns0:v>
      </ns0:c>
      <ns0:c r="AJ219" s="87" t="n">
        <ns0:v>55.77</ns0:v>
      </ns0:c>
      <ns0:c r="AK219" s="87" t="n">
        <ns0:v>-2.18</ns0:v>
      </ns0:c>
      <ns0:c r="AL219" s="87" t="n">
        <ns0:v>58.65</ns0:v>
      </ns0:c>
      <ns0:c r="AM219" s="87" t="n">
        <ns0:v>-1.82</ns0:v>
      </ns0:c>
      <ns0:c r="AN219" s="88" t="n"/>
      <ns0:c r="AO219" s="78" t="n">
        <ns0:v>23.64</ns0:v>
      </ns0:c>
      <ns0:c r="AP219" s="87" t="n">
        <ns0:v>84.62</ns0:v>
      </ns0:c>
      <ns0:c r="AQ219" s="87" t="n">
        <ns0:v>100</ns0:v>
      </ns0:c>
      <ns0:c r="AR219" s="87" t="n">
        <ns0:v>-60.1</ns0:v>
      </ns0:c>
      <ns0:c r="AS219" s="87" t="n">
        <ns0:v>18.52</ns0:v>
      </ns0:c>
      <ns0:c r="AT219" s="87" t="n">
        <ns0:v>28.39</ns0:v>
      </ns0:c>
      <ns0:c r="AU219" s="87" t="n">
        <ns0:v>-74.39</ns0:v>
      </ns0:c>
      <ns0:c r="AV219" s="87" t="n">
        <ns0:v>86.56</ns0:v>
      </ns0:c>
      <ns0:c r="AW219" s="87" t="n">
        <ns0:v>110.02</ns0:v>
      </ns0:c>
      <ns0:c r="AX219" s="87" t="n">
        <ns0:v>-46.49</ns0:v>
      </ns0:c>
      <ns0:c r="AY219" s="87" t="n">
        <ns0:v>36.4</ns0:v>
      </ns0:c>
      <ns0:c r="AZ219" s="87" t="n">
        <ns0:v>-10.02</ns0:v>
      </ns0:c>
      <ns0:c r="BA219" s="87" t="n">
        <ns0:v>-8.01</ns0:v>
      </ns0:c>
      <ns0:c r="BB219" s="74" t="inlineStr">
        <ns0:is>
          <ns0:t>Hang Seng Commerce &amp; Industry sub-index</ns0:t>
        </ns0:is>
      </ns0:c>
      <ns0:c r="BC219" s="87" t="n">
        <ns0:v>-75.95999999999999</ns0:v>
      </ns0:c>
      <ns0:c r="BD219" s="75" t="n">
        <ns0:v>46297</ns0:v>
      </ns0:c>
      <ns0:c r="BE219" s="76" t="n">
        <ns0:v>227.9</ns0:v>
      </ns0:c>
      <ns0:c r="BF219" s="79" t="n">
        <ns0:v>50.2</ns0:v>
      </ns0:c>
      <ns0:c r="BG219" s="74" t="inlineStr">
        <ns0:is>
          <ns0:t>Y</ns0:t>
        </ns0:is>
      </ns0:c>
      <ns0:c r="BH219" s="89" t="n">
        <ns0:v>16</ns0:v>
      </ns0:c>
      <ns0:c r="BI219" s="88" t="n"/>
      <ns0:c r="BJ219" s="89" t="n">
        <ns0:v>2.3</ns0:v>
      </ns0:c>
      <ns0:c r="BK219" s="89" t="n">
        <ns0:v>3.5</ns0:v>
      </ns0:c>
      <ns0:c r="BL219" s="90">
        <ns0:f>IFERROR(IF('BBG Verify'!S219="","Awaiting Bloomberg",'BBG Verify'!S219),"Awaiting Bloomberg")</ns0:f>
        <ns0:v/>
      </ns0:c>
      <ns0:c r="BM219" s="91" t="inlineStr">
        <ns0:is>
          <ns0:t>N</ns0:t>
        </ns0:is>
      </ns0:c>
      <ns0:c r="BN219" s="92">
        <ns0:f>IFERROR(IF('BBG Verify'!K219="","Awaiting Bloomberg",'BBG Verify'!K219),"Awaiting Bloomberg")</ns0:f>
        <ns0:v/>
      </ns0:c>
      <ns0:c r="BO219" s="74" t="inlineStr">
        <ns0:is>
          <ns0:t>N/A</ns0:t>
        </ns0:is>
      </ns0:c>
      <ns0:c r="BP219" s="74" t="inlineStr">
        <ns0:is>
          <ns0:t>N/A</ns0:t>
        </ns0:is>
      </ns0:c>
      <ns0:c r="BQ219" s="74" t="inlineStr">
        <ns0:is>
          <ns0:t>N/A</ns0:t>
        </ns0:is>
      </ns0:c>
      <ns0:c r="BR219" s="74" t="inlineStr">
        <ns0:is>
          <ns0:t>N/A</ns0:t>
        </ns0:is>
      </ns0:c>
      <ns0:c r="BS219" s="74" t="inlineStr">
        <ns0:is>
          <ns0:t>N/A</ns0:t>
        </ns0:is>
      </ns0:c>
      <ns0:c r="BT219" s="74" t="inlineStr">
        <ns0:is>
          <ns0:t>N/A</ns0:t>
        </ns0:is>
      </ns0:c>
      <ns0:c r="BU219" s="91" t="inlineStr">
        <ns0:is>
          <ns0:t>Rainbow Capital (HK) Limited</ns0:t>
        </ns0:is>
      </ns0:c>
      <ns0:c r="BV219" s="74" t="inlineStr">
        <ns0:is>
          <ns0:t>Rainbow Capital (HK) Limited</ns0:t>
        </ns0:is>
      </ns0:c>
      <ns0:c r="BW219" s="74" t="inlineStr">
        <ns0:is>
          <ns0:t>Rainbow Capital (HK) Limited; CCB International Capital Limited; ABCI Capital Limited; Cinda International Capital Limited; Zhong Jia Securities Limited; CMB International Capital Limited; SPDB International Capital Limited; Livermore Holdings Limited; Fosun International Securities Limited; Valuable Capital Limited; CEB International Capital Corporation Limited; Goldlink Securities Limited; Soochow Securities International Brokerage Limited; Silverbricks Securities Company Limited</ns0:t>
        </ns0:is>
      </ns0:c>
      <ns0:c r="BX219" s="74" t="inlineStr">
        <ns0:is>
          <ns0: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ns0:t>
        </ns0:is>
      </ns0:c>
      <ns0:c r="BY219" s="93">
        <ns0:f>HYPERLINK("https://www1.hkexnews.hk/listedco/listconews/sehk/2023/1031/2023103100019.pdf","prospectus")</ns0:f>
        <ns0:v/>
      </ns0:c>
      <ns0:c r="BZ219" s="93">
        <ns0:f>HYPERLINK("https://www1.hkexnews.hk/listedco/listconews/sehk/2023/1109/2023110900026.htm","allotment")</ns0:f>
        <ns0:v/>
      </ns0:c>
      <ns0:c r="CA219" s="85" t="n"/>
      <ns0:c r="CB219" s="94" t="n"/>
      <ns0:c r="CC219" s="74" t="inlineStr">
        <ns0:is>
          <ns0:t>greenshoe: no over-allotment option; cornerstone list: no cornerstone tranche; greenshoe size: no over-allotment option; stabilising manager: filing states none appointed (allotment announcement: 'no stabilizing manager will be appointed' stated in the filing); deal size: stated gross HK$7.8m rejected, below the net proceeds of HK$72.1m; allocation: allocation table not in this notice's format (older prose announcement); day-1 tape: volume on file; the retail multiple needs the final public split, which this notice does not state</ns0:t>
        </ns0:is>
      </ns0:c>
    </ns0:row>
    <ns0:row r="220" ht="22" customHeight="1">
      <ns0:c r="A220" s="73" t="inlineStr">
        <ns0:is>
          <ns0:t>2499</ns0:t>
        </ns0:is>
      </ns0:c>
      <ns0:c r="B220" s="74" t="inlineStr">
        <ns0:is>
          <ns0:t>FOLANGSI</ns0:t>
        </ns0:is>
      </ns0:c>
      <ns0:c r="C220" s="74" t="inlineStr">
        <ns0:is>
          <ns0:t>佛朗斯股份</ns0:t>
        </ns0:is>
      </ns0:c>
      <ns0:c r="D220" s="74" t="inlineStr">
        <ns0:is>
          <ns0:t>Industrials</ns0:t>
        </ns0:is>
      </ns0:c>
      <ns0:c r="E220" s="74" t="inlineStr">
        <ns0:is>
          <ns0:t>Capital goods / machinery</ns0:t>
        </ns0:is>
      </ns0:c>
      <ns0:c r="F220" s="74" t="inlineStr">
        <ns0:is>
          <ns0:t>Electrical Components &amp; Equipment</ns0:t>
        </ns0:is>
      </ns0:c>
      <ns0:c r="G220" s="74" t="inlineStr">
        <ns0:is>
          <ns0:t>Standard</ns0:t>
        </ns0:is>
      </ns0:c>
      <ns0:c r="H220" s="75" t="n">
        <ns0:v>45240</ns0:v>
      </ns0:c>
      <ns0:c r="I220" s="76" t="n">
        <ns0:v>173.3</ns0:v>
      </ns0:c>
      <ns0:c r="J220" s="74" t="inlineStr">
        <ns0:is>
          <ns0:t>gross (price x shares)</ns0:t>
        </ns0:is>
      </ns0:c>
      <ns0:c r="K220" s="77" t="n">
        <ns0:v>14.18</ns0:v>
      </ns0:c>
      <ns0:c r="L220" s="77" t="n">
        <ns0:v>16.18</ns0:v>
      </ns0:c>
      <ns0:c r="M220" s="77" t="n">
        <ns0:v>14.28</ns0:v>
      </ns0:c>
      <ns0:c r="N220" s="74" t="inlineStr">
        <ns0:is>
          <ns0:t>N</ns0:t>
        </ns0:is>
      </ns0:c>
      <ns0:c r="O220" s="78" t="n">
        <ns0:v>88.3</ns0:v>
      </ns0:c>
      <ns0:c r="P220" s="78" t="n">
        <ns0:v>5</ns0:v>
      </ns0:c>
      <ns0:c r="Q220" s="79" t="n">
        <ns0:v>4935</ns0:v>
      </ns0:c>
      <ns0:c r="R220" s="74" t="inlineStr">
        <ns0:is>
          <ns0:t>prospectus:stated market capitalisation</ns0:t>
        </ns0:is>
      </ns0:c>
      <ns0:c r="S220" s="80" t="n">
        <ns0:v>7.8</ns0:v>
      </ns0:c>
      <ns0:c r="T220" s="81" t="n">
        <ns0:v>1.37</ns0:v>
      </ns0:c>
      <ns0:c r="U220" s="82" t="n">
        <ns0:v>0.1</ns0:v>
      </ns0:c>
      <ns0:c r="V220" s="83" t="n">
        <ns0:v>116</ns0:v>
      </ns0:c>
      <ns0:c r="W220" s="84" t="n"/>
      <ns0:c r="X220" s="85" t="n"/>
      <ns0:c r="Y220" s="79" t="n">
        <ns0:v>173.13</ns0:v>
      </ns0:c>
      <ns0:c r="Z220" s="79" t="n">
        <ns0:v>12123864</ns0:v>
      </ns0:c>
      <ns0:c r="AA220" s="78" t="n">
        <ns0:v>3.51</ns0:v>
      </ns0:c>
      <ns0:c r="AB220" s="74" t="inlineStr">
        <ns0:is>
          <ns0:t>Liugong Machinery Hongkong Co., Limited</ns0:t>
        </ns0:is>
      </ns0:c>
      <ns0:c r="AC220" s="74" t="inlineStr">
        <ns0:is>
          <ns0:t>liugong</ns0:t>
        </ns0:is>
      </ns0:c>
      <ns0:c r="AD220" s="78" t="n">
        <ns0:v>15</ns0:v>
      </ns0:c>
      <ns0:c r="AE220" s="74" t="inlineStr">
        <ns0:is>
          <ns0:t>lapsed (no over-allocation)</ns0:t>
        </ns0:is>
      </ns0:c>
      <ns0:c r="AF220" s="85" t="n"/>
      <ns0:c r="AG220" s="74" t="inlineStr">
        <ns0:is>
          <ns0:t>Haitong International Securities Company Limited</ns0:t>
        </ns0:is>
      </ns0:c>
      <ns0:c r="AH220" s="74" t="inlineStr">
        <ns0:is>
          <ns0:t>Haitong</ns0:t>
        </ns0:is>
      </ns0:c>
      <ns0:c r="AI220" s="86" t="n">
        <ns0:v>8.539999999999999</ns0:v>
      </ns0:c>
      <ns0:c r="AJ220" s="87" t="n">
        <ns0:v>3.36</ns0:v>
      </ns0:c>
      <ns0:c r="AK220" s="87" t="n">
        <ns0:v>-2.18</ns0:v>
      </ns0:c>
      <ns0:c r="AL220" s="87" t="n">
        <ns0:v>8.4</ns0:v>
      </ns0:c>
      <ns0:c r="AM220" s="87" t="n">
        <ns0:v>-4.65</ns0:v>
      </ns0:c>
      <ns0:c r="AN220" s="88" t="n"/>
      <ns0:c r="AO220" s="78" t="n">
        <ns0:v>7.62</ns0:v>
      </ns0:c>
      <ns0:c r="AP220" s="87" t="n">
        <ns0:v>3.78</ns0:v>
      </ns0:c>
      <ns0:c r="AQ220" s="87" t="n">
        <ns0:v>2.66</ns0:v>
      </ns0:c>
      <ns0:c r="AR220" s="87" t="n">
        <ns0:v>0.14</ns0:v>
      </ns0:c>
      <ns0:c r="AS220" s="87" t="n">
        <ns0:v>0.41</ns0:v>
      </ns0:c>
      <ns0:c r="AT220" s="87" t="n">
        <ns0:v>-0.68</ns0:v>
      </ns0:c>
      <ns0:c r="AU220" s="87" t="n">
        <ns0:v>-3.12</ns0:v>
      </ns0:c>
      <ns0:c r="AV220" s="87" t="n">
        <ns0:v>5.72</ns0:v>
      </ns0:c>
      <ns0:c r="AW220" s="87" t="n">
        <ns0:v>12.68</ns0:v>
      </ns0:c>
      <ns0:c r="AX220" s="87" t="n">
        <ns0:v>13.75</ns0:v>
      </ns0:c>
      <ns0:c r="AY220" s="87" t="n">
        <ns0:v>7.33</ns0:v>
      </ns0:c>
      <ns0:c r="AZ220" s="87" t="n">
        <ns0:v>-10.02</ns0:v>
      </ns0:c>
      <ns0:c r="BA220" s="87" t="n">
        <ns0:v>-8.01</ns0:v>
      </ns0:c>
      <ns0:c r="BB220" s="74" t="inlineStr">
        <ns0:is>
          <ns0:t>Hang Seng Commerce &amp; Industry sub-index</ns0:t>
        </ns0:is>
      </ns0:c>
      <ns0:c r="BC220" s="87" t="n">
        <ns0:v>-61.06</ns0:v>
      </ns0:c>
      <ns0:c r="BD220" s="75" t="n">
        <ns0:v>46297</ns0:v>
      </ns0:c>
      <ns0:c r="BE220" s="76" t="n">
        <ns0:v>1313.6</ns0:v>
      </ns0:c>
      <ns0:c r="BF220" s="79" t="n">
        <ns0:v>39</ns0:v>
      </ns0:c>
      <ns0:c r="BG220" s="74" t="inlineStr">
        <ns0:is>
          <ns0:t>Y</ns0:t>
        </ns0:is>
      </ns0:c>
      <ns0:c r="BH220" s="89" t="n">
        <ns0:v>126.5</ns0:v>
      </ns0:c>
      <ns0:c r="BI220" s="88" t="n"/>
      <ns0:c r="BJ220" s="89" t="n">
        <ns0:v>21.8</ns0:v>
      </ns0:c>
      <ns0:c r="BK220" s="89" t="n">
        <ns0:v>3.8</ns0:v>
      </ns0:c>
      <ns0:c r="BL220" s="90">
        <ns0:f>IFERROR(IF('BBG Verify'!S220="","Awaiting Bloomberg",'BBG Verify'!S220),"Awaiting Bloomberg")</ns0:f>
        <ns0:v/>
      </ns0:c>
      <ns0:c r="BM220" s="91" t="inlineStr">
        <ns0:is>
          <ns0:t>N</ns0:t>
        </ns0:is>
      </ns0:c>
      <ns0:c r="BN220" s="92">
        <ns0:f>IFERROR(IF('BBG Verify'!K220="","Awaiting Bloomberg",'BBG Verify'!K220),"Awaiting Bloomberg")</ns0:f>
        <ns0:v/>
      </ns0:c>
      <ns0:c r="BO220" s="74" t="inlineStr">
        <ns0:is>
          <ns0:t>N/A</ns0:t>
        </ns0:is>
      </ns0:c>
      <ns0:c r="BP220" s="74" t="inlineStr">
        <ns0:is>
          <ns0:t>N/A</ns0:t>
        </ns0:is>
      </ns0:c>
      <ns0:c r="BQ220" s="74" t="inlineStr">
        <ns0:is>
          <ns0:t>N/A</ns0:t>
        </ns0:is>
      </ns0:c>
      <ns0:c r="BR220" s="74" t="inlineStr">
        <ns0:is>
          <ns0:t>N/A</ns0:t>
        </ns0:is>
      </ns0:c>
      <ns0:c r="BS220" s="74" t="inlineStr">
        <ns0:is>
          <ns0:t>N/A</ns0:t>
        </ns0:is>
      </ns0:c>
      <ns0:c r="BT220" s="74" t="inlineStr">
        <ns0:is>
          <ns0:t>N/A</ns0:t>
        </ns0:is>
      </ns0:c>
      <ns0:c r="BU220" s="91" t="inlineStr">
        <ns0:is>
          <ns0:t>Haitong International Capital Limited; Haitong International Securities Company Limited</ns0:t>
        </ns0:is>
      </ns0:c>
      <ns0:c r="BV220" s="74" t="inlineStr">
        <ns0:is>
          <ns0:t>Haitong International Capital Limited</ns0:t>
        </ns0:is>
      </ns0:c>
      <ns0:c r="BW220" s="74" t="inlineStr">
        <ns0:is>
          <ns0:t>Haitong International Securities Company Limited; GF Securities (Hong Kong) Brokerage Limited; Huatai Financial Holdings (Hong Kong) Limited</ns0:t>
        </ns0:is>
      </ns0:c>
      <ns0:c r="BX220" s="74" t="inlineStr">
        <ns0:is>
          <ns0:t>GF Securities (Hong Kong) Brokerage Limited; Huatai Financial Holdings (Hong Kong) Limited; Haitong International Securities Company Limited</ns0:t>
        </ns0:is>
      </ns0:c>
      <ns0:c r="BY220" s="93">
        <ns0:f>HYPERLINK("https://www1.hkexnews.hk/listedco/listconews/sehk/2023/1031/2023103100017.pdf","prospectus")</ns0:f>
        <ns0:v/>
      </ns0:c>
      <ns0:c r="BZ220" s="93">
        <ns0:f>HYPERLINK("https://www1.hkexnews.hk/listedco/listconews/sehk/2023/1109/2023110900052.htm","allotment")</ns0:f>
        <ns0:v/>
      </ns0:c>
      <ns0:c r="CA220" s="93">
        <ns0:f>HYPERLINK("https://www1.hkexnews.hk/listedco/listconews/sehk/2023/1204/2023120400033.pdf","stabilisation")</ns0:f>
        <ns0:v/>
      </ns0:c>
      <ns0:c r="CB220" s="94" t="n"/>
      <ns0:c r="CC220" s="74" t="inlineStr">
        <ns0:is>
          <ns0:t>greenshoe: outcome published; expiry date not in the notice; cornerstone: table parse 70% rejected (institutional total implies 0%); the AAStocks institutional total used; allocation: allocation table not in this notice's format (older prose announcement); day-1 tape: volume on file; the retail multiple needs the final public split, which this notice does not state</ns0:t>
        </ns0:is>
      </ns0:c>
    </ns0:row>
    <ns0:row r="221" ht="22" customHeight="1">
      <ns0:c r="A221" s="73" t="inlineStr">
        <ns0:is>
          <ns0:t>2268</ns0:t>
        </ns0:is>
      </ns0:c>
      <ns0:c r="B221" s="74" t="inlineStr">
        <ns0:is>
          <ns0:t>WUXI XDC</ns0:t>
        </ns0:is>
      </ns0:c>
      <ns0:c r="C221" s="74" t="inlineStr">
        <ns0:is>
          <ns0:t>藥明合聯</ns0:t>
        </ns0:is>
      </ns0:c>
      <ns0:c r="D221" s="74" t="inlineStr">
        <ns0:is>
          <ns0:t>Healthcare</ns0:t>
        </ns0:is>
      </ns0:c>
      <ns0:c r="E221" s="74" t="inlineStr">
        <ns0:is>
          <ns0:t>CXO / pharma services</ns0:t>
        </ns0:is>
      </ns0:c>
      <ns0:c r="F221" s="74" t="inlineStr">
        <ns0:is>
          <ns0:t>Biotechnology - Pharmaceuticals</ns0:t>
        </ns0:is>
      </ns0:c>
      <ns0:c r="G221" s="74" t="inlineStr">
        <ns0:is>
          <ns0:t>Standard</ns0:t>
        </ns0:is>
      </ns0:c>
      <ns0:c r="H221" s="75" t="n">
        <ns0:v>45247</ns0:v>
      </ns0:c>
      <ns0:c r="I221" s="76" t="n">
        <ns0:v>3676</ns0:v>
      </ns0:c>
      <ns0:c r="J221" s="74" t="inlineStr">
        <ns0:is>
          <ns0:t>gross (price x shares)</ns0:t>
        </ns0:is>
      </ns0:c>
      <ns0:c r="K221" s="77" t="n">
        <ns0:v>19.9</ns0:v>
      </ns0:c>
      <ns0:c r="L221" s="77" t="n">
        <ns0:v>20.6</ns0:v>
      </ns0:c>
      <ns0:c r="M221" s="77" t="n">
        <ns0:v>20.6</ns0:v>
      </ns0:c>
      <ns0:c r="N221" s="74" t="inlineStr">
        <ns0:is>
          <ns0:t>Y</ns0:t>
        </ns0:is>
      </ns0:c>
      <ns0:c r="O221" s="78" t="n">
        <ns0:v>100</ns0:v>
      </ns0:c>
      <ns0:c r="P221" s="78" t="n">
        <ns0:v>100</ns0:v>
      </ns0:c>
      <ns0:c r="Q221" s="79" t="n">
        <ns0:v>24670.7</ns0:v>
      </ns0:c>
      <ns0:c r="R221" s="74" t="inlineStr">
        <ns0:is>
          <ns0:t>aastocks:上市市值 at the struck price</ns0:t>
        </ns0:is>
      </ns0:c>
      <ns0:c r="S221" s="80" t="n">
        <ns0:v>49.96</ns0:v>
      </ns0:c>
      <ns0:c r="T221" s="81" t="n">
        <ns0:v>19.6</ns0:v>
      </ns0:c>
      <ns0:c r="U221" s="82" t="n">
        <ns0:v>0.014</ns0:v>
      </ns0:c>
      <ns0:c r="V221" s="83" t="n">
        <ns0:v>170</ns0:v>
      </ns0:c>
      <ns0:c r="W221" s="78" t="n">
        <ns0:v>30</ns0:v>
      </ns0:c>
      <ns0:c r="X221" s="74" t="inlineStr">
        <ns0:is>
          <ns0:t>YES</ns0:t>
        </ns0:is>
      </ns0:c>
      <ns0:c r="Y221" s="79" t="n">
        <ns0:v>3675.49</ns0:v>
      </ns0:c>
      <ns0:c r="Z221" s="79" t="n">
        <ns0:v>178421018</ns0:v>
      </ns0:c>
      <ns0:c r="AA221" s="78" t="n">
        <ns0:v>14.9</ns0:v>
      </ns0:c>
      <ns0:c r="AB221" s="74" t="inlineStr">
        <ns0:is>
          <ns0:t>Al-Rayyan Holding LLC; General Atlantic Singapore SPV 64 Pte. Ltd; HSG Growth VII Holdco, Ltd; Invesco Advisers, Inc; Lake Bleu Prime Healthcare Master Fund Limited; Novo Holdings A / S; UBS Asset Management (Singapore) Ltd</ns0:t>
        </ns0:is>
      </ns0:c>
      <ns0:c r="AC221" s="74" t="inlineStr">
        <ns0:is>
          <ns0:t>al;general;hsg;invesco;lake;novo;ubs</ns0:t>
        </ns0:is>
      </ns0:c>
      <ns0:c r="AD221" s="78" t="n">
        <ns0:v>9.949999999999999</ns0:v>
      </ns0:c>
      <ns0:c r="AE221" s="74" t="inlineStr">
        <ns0:is>
          <ns0:t>full</ns0:t>
        </ns0:is>
      </ns0:c>
      <ns0:c r="AF221" s="74" t="inlineStr">
        <ns0:is>
          <ns0:t>2023-12-10</ns0:t>
        </ns0:is>
      </ns0:c>
      <ns0:c r="AG221" s="74" t="inlineStr">
        <ns0:is>
          <ns0:t>Morgan Stanley Asia Limited</ns0:t>
        </ns0:is>
      </ns0:c>
      <ns0:c r="AH221" s="74" t="inlineStr">
        <ns0:is>
          <ns0:t>Morgan Stanley</ns0:t>
        </ns0:is>
      </ns0:c>
      <ns0:c r="AI221" s="86" t="n">
        <ns0:v>22.09</ns0:v>
      </ns0:c>
      <ns0:c r="AJ221" s="87" t="n">
        <ns0:v>35.92</ns0:v>
      </ns0:c>
      <ns0:c r="AK221" s="87" t="n">
        <ns0:v>0.76</ns0:v>
      </ns0:c>
      <ns0:c r="AL221" s="87" t="n">
        <ns0:v>30.83</ns0:v>
      </ns0:c>
      <ns0:c r="AM221" s="87" t="n">
        <ns0:v>3.89</ns0:v>
      </ns0:c>
      <ns0:c r="AN221" s="89" t="n">
        <ns0:v>1.19</ns0:v>
      </ns0:c>
      <ns0:c r="AO221" s="78" t="n">
        <ns0:v>9.09</ns0:v>
      </ns0:c>
      <ns0:c r="AP221" s="87" t="n">
        <ns0:v>40.78</ns0:v>
      </ns0:c>
      <ns0:c r="AQ221" s="87" t="n">
        <ns0:v>51.21</ns0:v>
      </ns0:c>
      <ns0:c r="AR221" s="87" t="n">
        <ns0:v>-10</ns0:v>
      </ns0:c>
      <ns0:c r="AS221" s="87" t="n">
        <ns0:v>3.58</ns0:v>
      </ns0:c>
      <ns0:c r="AT221" s="87" t="n">
        <ns0:v>11.25</ns0:v>
      </ns0:c>
      <ns0:c r="AU221" s="87" t="n">
        <ns0:v>-33.78</ns0:v>
      </ns0:c>
      <ns0:c r="AV221" s="87" t="n">
        <ns0:v>40.26</ns0:v>
      </ns0:c>
      <ns0:c r="AW221" s="87" t="n">
        <ns0:v>58.49</ns0:v>
      </ns0:c>
      <ns0:c r="AX221" s="87" t="n">
        <ns0:v>11.86</ns0:v>
      </ns0:c>
      <ns0:c r="AY221" s="87" t="n">
        <ns0:v>19.23</ns0:v>
      </ns0:c>
      <ns0:c r="AZ221" s="87" t="n">
        <ns0:v>-7.28</ns0:v>
      </ns0:c>
      <ns0:c r="BA221" s="87" t="n">
        <ns0:v>-7.98</ns0:v>
      </ns0:c>
      <ns0:c r="BB221" s="74" t="inlineStr">
        <ns0:is>
          <ns0:t>China Biotech ETF (HS biotech proxy)</ns0:t>
        </ns0:is>
      </ns0:c>
      <ns0:c r="BC221" s="87" t="n">
        <ns0:v>291.26</ns0:v>
      </ns0:c>
      <ns0:c r="BD221" s="75" t="n">
        <ns0:v>46297</ns0:v>
      </ns0:c>
      <ns0:c r="BE221" s="76" t="n">
        <ns0:v>1089.5</ns0:v>
      </ns0:c>
      <ns0:c r="BF221" s="79" t="n">
        <ns0:v>171.3</ns0:v>
      </ns0:c>
      <ns0:c r="BG221" s="74" t="inlineStr">
        <ns0:is>
          <ns0:t>Y</ns0:t>
        </ns0:is>
      </ns0:c>
      <ns0:c r="BH221" s="89" t="n">
        <ns0:v>144</ns0:v>
      </ns0:c>
      <ns0:c r="BI221" s="88" t="n"/>
      <ns0:c r="BJ221" s="89" t="n">
        <ns0:v>45.8</ns0:v>
      </ns0:c>
      <ns0:c r="BK221" s="89" t="n">
        <ns0:v>22.6</ns0:v>
      </ns0:c>
      <ns0:c r="BL221" s="90">
        <ns0:f>IFERROR(IF('BBG Verify'!S221="","Awaiting Bloomberg",'BBG Verify'!S221),"Awaiting Bloomberg")</ns0:f>
        <ns0:v/>
      </ns0:c>
      <ns0:c r="BM221" s="91" t="inlineStr">
        <ns0:is>
          <ns0:t>N</ns0:t>
        </ns0:is>
      </ns0:c>
      <ns0:c r="BN221" s="92">
        <ns0:f>IFERROR(IF('BBG Verify'!K221="","Awaiting Bloomberg",'BBG Verify'!K221),"Awaiting Bloomberg")</ns0:f>
        <ns0:v/>
      </ns0:c>
      <ns0:c r="BO221" s="74" t="inlineStr">
        <ns0:is>
          <ns0:t>N/A</ns0:t>
        </ns0:is>
      </ns0:c>
      <ns0:c r="BP221" s="74" t="inlineStr">
        <ns0:is>
          <ns0:t>N/A</ns0:t>
        </ns0:is>
      </ns0:c>
      <ns0:c r="BQ221" s="74" t="inlineStr">
        <ns0:is>
          <ns0:t>N/A</ns0:t>
        </ns0:is>
      </ns0:c>
      <ns0:c r="BR221" s="74" t="inlineStr">
        <ns0:is>
          <ns0:t>N/A</ns0:t>
        </ns0:is>
      </ns0:c>
      <ns0:c r="BS221" s="74" t="inlineStr">
        <ns0:is>
          <ns0:t>N/A</ns0:t>
        </ns0:is>
      </ns0:c>
      <ns0:c r="BT221" s="74" t="inlineStr">
        <ns0:is>
          <ns0:t>N/A</ns0:t>
        </ns0:is>
      </ns0:c>
      <ns0:c r="BU221" s="91" t="inlineStr">
        <ns0:is>
          <ns0:t>Morgan Stanley Asia Limited; Goldman Sachs (Asia) L.L.C; J.P. Morgan Securities (Far East) Limited</ns0:t>
        </ns0:is>
      </ns0:c>
      <ns0:c r="BV221" s="74" t="inlineStr">
        <ns0:is>
          <ns0:t>Morgan Stanley Asia Limited; J.P. Morgan Securities (Far East) Limited; Goldman Sachs (Asia) L.L.C.</ns0:t>
        </ns0:is>
      </ns0:c>
      <ns0:c r="BW221" s="74" t="inlineStr">
        <ns0:is>
          <ns0:t>Morgan Stanley Asia Limited; Goldman Sachs (Asia) L.L.C; J.P. Morgan Securities (Asia Pacific) Limited; Citigroup Global Markets Asia Limited; Huatai Financial Holdings (Hong Kong) Limited; J.P. Morgan Securities plc; China International Capital Corporation Hong Kong Securities Limited; Citigroup Global Markets Limited; Canary Wharf London E14 5LB United Kingdom Huatai Financial Holdings (Hong Kong) Limited</ns0:t>
        </ns0:is>
      </ns0:c>
      <ns0:c r="BX221" s="74" t="inlineStr">
        <ns0:is>
          <ns0:t>Citigroup Global Markets Asia Limited; China International Capital Corporation Hong Kong Securities Limited; Goldman Sachs (Asia) L.L.C.; Huatai Financial Holdings (Hong Kong) Limited; J.P. Morgan Securities (Asia Pacific) Limited; Morgan Stanley Asia Limited</ns0:t>
        </ns0:is>
      </ns0:c>
      <ns0:c r="BY221" s="93">
        <ns0:f>HYPERLINK("https://www1.hkexnews.hk/listedco/listconews/sehk/2023/1107/2023110700021.pdf","prospectus")</ns0:f>
        <ns0:v/>
      </ns0:c>
      <ns0:c r="BZ221" s="93">
        <ns0:f>HYPERLINK("https://www1.hkexnews.hk/listedco/listconews/sehk/2023/1116/2023111600008.htm","allotment")</ns0:f>
        <ns0:v/>
      </ns0:c>
      <ns0:c r="CA221" s="93">
        <ns0:f>HYPERLINK("https://www1.hkexnews.hk/listedco/listconews/sehk/2023/1210/2023121000009.pdf","stabilisation")</ns0:f>
        <ns0:v/>
      </ns0:c>
      <ns0:c r="CB221" s="94" t="n"/>
      <ns0:c r="CC221" s="74" t="inlineStr">
        <ns0:is>
          <ns0:t>market cap: published listing cap used; the estimate from deal size / offer % of enlarged capital disagreed; cornerstone: % from the prospectus; AAStocks table includes non-cornerstone orders</ns0:t>
        </ns0:is>
      </ns0:c>
    </ns0:row>
    <ns0:row r="222" ht="22" customHeight="1">
      <ns0:c r="A222" s="73" t="inlineStr">
        <ns0:is>
          <ns0:t>2520</ns0:t>
        </ns0:is>
      </ns0:c>
      <ns0:c r="B222" s="74" t="inlineStr">
        <ns0:is>
          <ns0:t>SHANXI INSTALL</ns0:t>
        </ns0:is>
      </ns0:c>
      <ns0:c r="C222" s="74" t="inlineStr">
        <ns0:is>
          <ns0:t>山西安裝</ns0:t>
        </ns0:is>
      </ns0:c>
      <ns0:c r="D222" s="74" t="inlineStr">
        <ns0:is>
          <ns0:t>Industrials</ns0:t>
        </ns0:is>
      </ns0:c>
      <ns0:c r="E222" s="74" t="inlineStr">
        <ns0:is>
          <ns0:t>Construction / engineering</ns0:t>
        </ns0:is>
      </ns0:c>
      <ns0:c r="F222" s="74" t="inlineStr">
        <ns0:is>
          <ns0:t>Construction &amp; Engineering</ns0:t>
        </ns0:is>
      </ns0:c>
      <ns0:c r="G222" s="74" t="inlineStr">
        <ns0:is>
          <ns0:t>Standard</ns0:t>
        </ns0:is>
      </ns0:c>
      <ns0:c r="H222" s="75" t="n">
        <ns0:v>45252</ns0:v>
      </ns0:c>
      <ns0:c r="I222" s="76" t="n">
        <ns0:v>726.7</ns0:v>
      </ns0:c>
      <ns0:c r="J222" s="74" t="inlineStr">
        <ns0:is>
          <ns0:t>gross (price x shares)</ns0:t>
        </ns0:is>
      </ns0:c>
      <ns0:c r="K222" s="77" t="n">
        <ns0:v>2.1</ns0:v>
      </ns0:c>
      <ns0:c r="L222" s="77" t="n">
        <ns0:v>2.36</ns0:v>
      </ns0:c>
      <ns0:c r="M222" s="77" t="n">
        <ns0:v>2.18</ns0:v>
      </ns0:c>
      <ns0:c r="N222" s="74" t="inlineStr">
        <ns0:is>
          <ns0:t>N</ns0:t>
        </ns0:is>
      </ns0:c>
      <ns0:c r="O222" s="78" t="n">
        <ns0:v>92.40000000000001</ns0:v>
      </ns0:c>
      <ns0:c r="P222" s="78" t="n">
        <ns0:v>30.8</ns0:v>
      </ns0:c>
      <ns0:c r="Q222" s="79" t="n">
        <ns0:v>3214.2</ns0:v>
      </ns0:c>
      <ns0:c r="R222" s="74" t="inlineStr">
        <ns0:is>
          <ns0:t>aastocks:上市市值 at the struck price</ns0:t>
        </ns0:is>
      </ns0:c>
      <ns0:c r="S222" s="80" t="n">
        <ns0:v>0.6</ns0:v>
      </ns0:c>
      <ns0:c r="T222" s="81" t="n">
        <ns0:v>1.33</ns0:v>
      </ns0:c>
      <ns0:c r="U222" s="82" t="n">
        <ns0:v>23</ns0:v>
      </ns0:c>
      <ns0:c r="V222" s="83" t="n">
        <ns0:v>114</ns0:v>
      </ns0:c>
      <ns0:c r="W222" s="78" t="n">
        <ns0:v>6.01</ns0:v>
      </ns0:c>
      <ns0:c r="X222" s="74" t="inlineStr">
        <ns0:is>
          <ns0:t>NO</ns0:t>
        </ns0:is>
      </ns0:c>
      <ns0:c r="Y222" s="79" t="n">
        <ns0:v>559.5599999999999</ns0:v>
      </ns0:c>
      <ns0:c r="Z222" s="79" t="n">
        <ns0:v>256667180</ns0:v>
      </ns0:c>
      <ns0:c r="AA222" s="78" t="n">
        <ns0:v>17.41</ns0:v>
      </ns0:c>
      <ns0:c r="AB222" s="74" t="inlineStr">
        <ns0:is>
          <ns0:t>Mingyang Smart Energy Group Co., Ltd</ns0:t>
        </ns0:is>
      </ns0:c>
      <ns0:c r="AC222" s="74" t="inlineStr">
        <ns0:is>
          <ns0:t>mingyang</ns0:t>
        </ns0:is>
      </ns0:c>
      <ns0:c r="AD222" s="78" t="n">
        <ns0:v>19.5</ns0:v>
      </ns0:c>
      <ns0:c r="AE222" s="74" t="inlineStr">
        <ns0:is>
          <ns0:t>partial</ns0:t>
        </ns0:is>
      </ns0:c>
      <ns0:c r="AF222" s="74" t="inlineStr">
        <ns0:is>
          <ns0:t>2023-12-15</ns0:t>
        </ns0:is>
      </ns0:c>
      <ns0:c r="AG222" s="74" t="inlineStr">
        <ns0:is>
          <ns0:t>Shanxi Securities International Limited</ns0:t>
        </ns0:is>
      </ns0:c>
      <ns0:c r="AH222" s="74" t="inlineStr">
        <ns0:is>
          <ns0:t>Shanxi</ns0:t>
        </ns0:is>
      </ns0:c>
      <ns0:c r="AI222" s="86" t="n">
        <ns0:v>-1.83</ns0:v>
      </ns0:c>
      <ns0:c r="AJ222" s="87" t="n">
        <ns0:v>0</ns0:v>
      </ns0:c>
      <ns0:c r="AK222" s="87" t="n">
        <ns0:v>-0.1</ns0:v>
      </ns0:c>
      <ns0:c r="AL222" s="87" t="n">
        <ns0:v>0</ns0:v>
      </ns0:c>
      <ns0:c r="AM222" s="87" t="n">
        <ns0:v>0</ns0:v>
      </ns0:c>
      <ns0:c r="AN222" s="89" t="n">
        <ns0:v>0.63</ns0:v>
      </ns0:c>
      <ns0:c r="AO222" s="78" t="n">
        <ns0:v>3.21</ns0:v>
      </ns0:c>
      <ns0:c r="AP222" s="87" t="n">
        <ns0:v>-5.5</ns0:v>
      </ns0:c>
      <ns0:c r="AQ222" s="87" t="n">
        <ns0:v>-17.43</ns0:v>
      </ns0:c>
      <ns0:c r="AR222" s="87" t="n">
        <ns0:v>-11.47</ns0:v>
      </ns0:c>
      <ns0:c r="AS222" s="87" t="n">
        <ns0:v>-5.5</ns0:v>
      </ns0:c>
      <ns0:c r="AT222" s="87" t="n">
        <ns0:v>-17.43</ns0:v>
      </ns0:c>
      <ns0:c r="AU222" s="87" t="n">
        <ns0:v>-11.47</ns0:v>
      </ns0:c>
      <ns0:c r="AV222" s="87" t="n">
        <ns0:v>-0.71</ns0:v>
      </ns0:c>
      <ns0:c r="AW222" s="87" t="n">
        <ns0:v>-9.460000000000001</ns0:v>
      </ns0:c>
      <ns0:c r="AX222" s="87" t="n">
        <ns0:v>-2.85</ns0:v>
      </ns0:c>
      <ns0:c r="AY222" s="87" t="n">
        <ns0:v>-9.56</ns0:v>
      </ns0:c>
      <ns0:c r="AZ222" s="87" t="n">
        <ns0:v>-7.97</ns0:v>
      </ns0:c>
      <ns0:c r="BA222" s="87" t="n">
        <ns0:v>-7.87</ns0:v>
      </ns0:c>
      <ns0:c r="BB222" s="74" t="inlineStr">
        <ns0:is>
          <ns0:t>Hang Seng Commerce &amp; Industry sub-index</ns0:t>
        </ns0:is>
      </ns0:c>
      <ns0:c r="BC222" s="87" t="n">
        <ns0:v>10.55</ns0:v>
      </ns0:c>
      <ns0:c r="BD222" s="75" t="n">
        <ns0:v>46297</ns0:v>
      </ns0:c>
      <ns0:c r="BE222" s="76" t="n">
        <ns0:v>14129.3</ns0:v>
      </ns0:c>
      <ns0:c r="BF222" s="79" t="n">
        <ns0:v>220.5</ns0:v>
      </ns0:c>
      <ns0:c r="BG222" s="74" t="inlineStr">
        <ns0:is>
          <ns0:t>Y</ns0:t>
        </ns0:is>
      </ns0:c>
      <ns0:c r="BH222" s="89" t="n">
        <ns0:v>14.6</ns0:v>
      </ns0:c>
      <ns0:c r="BI222" s="88" t="n"/>
      <ns0:c r="BJ222" s="89" t="n">
        <ns0:v>19</ns0:v>
      </ns0:c>
      <ns0:c r="BK222" s="89" t="n">
        <ns0:v>0.2</ns0:v>
      </ns0:c>
      <ns0:c r="BL222" s="90">
        <ns0:f>IFERROR(IF('BBG Verify'!S222="","Awaiting Bloomberg",'BBG Verify'!S222),"Awaiting Bloomberg")</ns0:f>
        <ns0:v/>
      </ns0:c>
      <ns0:c r="BM222" s="91" t="inlineStr">
        <ns0:is>
          <ns0:t>N</ns0:t>
        </ns0:is>
      </ns0:c>
      <ns0:c r="BN222" s="92">
        <ns0:f>IFERROR(IF('BBG Verify'!K222="","Awaiting Bloomberg",'BBG Verify'!K222),"Awaiting Bloomberg")</ns0:f>
        <ns0:v/>
      </ns0:c>
      <ns0:c r="BO222" s="74" t="inlineStr">
        <ns0:is>
          <ns0:t>N/A</ns0:t>
        </ns0:is>
      </ns0:c>
      <ns0:c r="BP222" s="74" t="inlineStr">
        <ns0:is>
          <ns0:t>N/A</ns0:t>
        </ns0:is>
      </ns0:c>
      <ns0:c r="BQ222" s="74" t="inlineStr">
        <ns0:is>
          <ns0:t>N/A</ns0:t>
        </ns0:is>
      </ns0:c>
      <ns0:c r="BR222" s="74" t="inlineStr">
        <ns0:is>
          <ns0:t>N/A</ns0:t>
        </ns0:is>
      </ns0:c>
      <ns0:c r="BS222" s="74" t="inlineStr">
        <ns0:is>
          <ns0:t>N/A</ns0:t>
        </ns0:is>
      </ns0:c>
      <ns0:c r="BT222" s="74" t="inlineStr">
        <ns0:is>
          <ns0:t>N/A</ns0:t>
        </ns0:is>
      </ns0:c>
      <ns0:c r="BU222" s="91" t="inlineStr">
        <ns0:is>
          <ns0:t>Huatai Financial Holdings (Hong Kong) Limited; Shanxi Securities International Capital Limited</ns0:t>
        </ns0:is>
      </ns0:c>
      <ns0:c r="BV222" s="74" t="inlineStr">
        <ns0:is>
          <ns0:t>Huatai Financial Holdings (Hong Kong) Limited; Shanxi Securities International Capital Limited</ns0:t>
        </ns0:is>
      </ns0:c>
      <ns0:c r="BW222" s="74" t="inlineStr">
        <ns0:is>
          <ns0:t>BOCOM International Securities Limited; China Everbright Securities (HK) Limited; CMB International Capital Limited; ICBC International Capital Limited; Zhongtai International Securities Limited</ns0:t>
        </ns0:is>
      </ns0:c>
      <ns0:c r="BX222" s="74" t="inlineStr">
        <ns0:is>
          <ns0: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ns0:t>
        </ns0:is>
      </ns0:c>
      <ns0:c r="BY222" s="93">
        <ns0:f>HYPERLINK("https://www1.hkexnews.hk/listedco/listconews/sehk/2023/1110/2023111000017.pdf","prospectus")</ns0:f>
        <ns0:v/>
      </ns0:c>
      <ns0:c r="BZ222" s="93">
        <ns0:f>HYPERLINK("https://www1.hkexnews.hk/listedco/listconews/sehk/2023/1121/2023112100014.htm","allotment")</ns0:f>
        <ns0:v/>
      </ns0:c>
      <ns0:c r="CA222" s="93">
        <ns0:f>HYPERLINK("https://www1.hkexnews.hk/listedco/listconews/sehk/2023/1215/2023121501152.pdf","stabilisation")</ns0:f>
        <ns0:v/>
      </ns0:c>
      <ns0:c r="CB222" s="94" t="n"/>
      <ns0:c r="CC222" s="74" t="inlineStr">
        <ns0:is>
          <ns0:t>market cap: published listing cap used; the estimate from stated market capitalisation, rescaled to the offer price disagreed</ns0:t>
        </ns0:is>
      </ns0:c>
    </ns0:row>
    <ns0:row r="223" ht="22" customHeight="1">
      <ns0:c r="A223" s="73" t="inlineStr">
        <ns0:is>
          <ns0:t>2521</ns0:t>
        </ns0:is>
      </ns0:c>
      <ns0:c r="B223" s="74" t="inlineStr">
        <ns0:is>
          <ns0:t>SHENGHUI CLEAN</ns0:t>
        </ns0:is>
      </ns0:c>
      <ns0:c r="C223" s="74" t="inlineStr">
        <ns0:is>
          <ns0:t>升輝清潔</ns0:t>
        </ns0:is>
      </ns0:c>
      <ns0:c r="D223" s="74" t="inlineStr">
        <ns0:is>
          <ns0:t>Real Estate</ns0:t>
        </ns0:is>
      </ns0:c>
      <ns0:c r="E223" s="74" t="inlineStr">
        <ns0:is>
          <ns0:t>Property management</ns0:t>
        </ns0:is>
      </ns0:c>
      <ns0:c r="F223" s="74" t="inlineStr">
        <ns0:is>
          <ns0:t>Environmental &amp; Facilities Services</ns0:t>
        </ns0:is>
      </ns0:c>
      <ns0:c r="G223" s="74" t="inlineStr">
        <ns0:is>
          <ns0:t>Standard</ns0:t>
        </ns0:is>
      </ns0:c>
      <ns0:c r="H223" s="75" t="n">
        <ns0:v>45265</ns0:v>
      </ns0:c>
      <ns0:c r="I223" s="76" t="n">
        <ns0:v>119.6</ns0:v>
      </ns0:c>
      <ns0:c r="J223" s="74" t="inlineStr">
        <ns0:is>
          <ns0:t>gross (stated)</ns0:t>
        </ns0:is>
      </ns0:c>
      <ns0:c r="K223" s="77" t="n">
        <ns0:v>0.32</ns0:v>
      </ns0:c>
      <ns0:c r="L223" s="77" t="n">
        <ns0:v>0.4</ns0:v>
      </ns0:c>
      <ns0:c r="M223" s="77" t="n">
        <ns0:v>0.32</ns0:v>
      </ns0:c>
      <ns0:c r="N223" s="74" t="inlineStr">
        <ns0:is>
          <ns0:t>N</ns0:t>
        </ns0:is>
      </ns0:c>
      <ns0:c r="O223" s="78" t="n">
        <ns0:v>80</ns0:v>
      </ns0:c>
      <ns0:c r="P223" s="78" t="n">
        <ns0:v>0</ns0:v>
      </ns0:c>
      <ns0:c r="Q223" s="79" t="n">
        <ns0:v>520</ns0:v>
      </ns0:c>
      <ns0:c r="R223" s="74" t="inlineStr">
        <ns0:is>
          <ns0:t>derived:price x shares upon listing</ns0:t>
        </ns0:is>
      </ns0:c>
      <ns0:c r="S223" s="80" t="n">
        <ns0:v>33.35</ns0:v>
      </ns0:c>
      <ns0:c r="T223" s="81" t="n">
        <ns0:v>1.33</ns0:v>
      </ns0:c>
      <ns0:c r="U223" s="82" t="n">
        <ns0:v>0</ns0:v>
      </ns0:c>
      <ns0:c r="V223" s="83" t="n">
        <ns0:v>152</ns0:v>
      </ns0:c>
      <ns0:c r="W223" s="78" t="n">
        <ns0:v>30</ns0:v>
      </ns0:c>
      <ns0:c r="X223" s="74" t="inlineStr">
        <ns0:is>
          <ns0:t>YES</ns0:t>
        </ns0:is>
      </ns0:c>
      <ns0:c r="Y223" s="79" t="n">
        <ns0:v>119.6</ns0:v>
      </ns0:c>
      <ns0:c r="Z223" s="79" t="n">
        <ns0:v>414375000</ns0:v>
      </ns0:c>
      <ns0:c r="AA223" s="78" t="n">
        <ns0:v>23</ns0:v>
      </ns0:c>
      <ns0:c r="AB223" s="74" t="inlineStr">
        <ns0:is>
          <ns0:t>none — no cornerstone tranche</ns0:t>
        </ns0:is>
      </ns0:c>
      <ns0:c r="AC223" s="74" t="inlineStr">
        <ns0:is>
          <ns0:t>none</ns0:t>
        </ns0:is>
      </ns0:c>
      <ns0:c r="AD223" s="84" t="n"/>
      <ns0:c r="AE223" s="85" t="n"/>
      <ns0:c r="AF223" s="85" t="n"/>
      <ns0:c r="AG223" s="85" t="n"/>
      <ns0:c r="AH223" s="85" t="n"/>
      <ns0:c r="AI223" s="86" t="n">
        <ns0:v>-4.69</ns0:v>
      </ns0:c>
      <ns0:c r="AJ223" s="87" t="n">
        <ns0:v>3.12</ns0:v>
      </ns0:c>
      <ns0:c r="AK223" s="87" t="n">
        <ns0:v>-1.93</ns0:v>
      </ns0:c>
      <ns0:c r="AL223" s="87" t="n">
        <ns0:v>-6.25</ns0:v>
      </ns0:c>
      <ns0:c r="AM223" s="87" t="n">
        <ns0:v>9.99</ns0:v>
      </ns0:c>
      <ns0:c r="AN223" s="89" t="n">
        <ns0:v>1.6</ns0:v>
      </ns0:c>
      <ns0:c r="AO223" s="78" t="n">
        <ns0:v>25</ns0:v>
      </ns0:c>
      <ns0:c r="AP223" s="87" t="n">
        <ns0:v>15.63</ns0:v>
      </ns0:c>
      <ns0:c r="AQ223" s="87" t="n">
        <ns0:v>10.94</ns0:v>
      </ns0:c>
      <ns0:c r="AR223" s="87" t="n">
        <ns0:v>-18.75</ns0:v>
      </ns0:c>
      <ns0:c r="AS223" s="87" t="n">
        <ns0:v>12.13</ns0:v>
      </ns0:c>
      <ns0:c r="AT223" s="87" t="n">
        <ns0:v>7.58</ns0:v>
      </ns0:c>
      <ns0:c r="AU223" s="87" t="n">
        <ns0:v>-21.21</ns0:v>
      </ns0:c>
      <ns0:c r="AV223" s="87" t="n">
        <ns0:v>16.31</ns0:v>
      </ns0:c>
      <ns0:c r="AW223" s="87" t="n">
        <ns0:v>11.51</ns0:v>
      </ns0:c>
      <ns0:c r="AX223" s="87" t="n">
        <ns0:v>-9.6</ns0:v>
      </ns0:c>
      <ns0:c r="AY223" s="87" t="n">
        <ns0:v>6.19</ns0:v>
      </ns0:c>
      <ns0:c r="AZ223" s="87" t="n">
        <ns0:v>-0.57</ns0:v>
      </ns0:c>
      <ns0:c r="BA223" s="87" t="n">
        <ns0:v>1.39</ns0:v>
      </ns0:c>
      <ns0:c r="BB223" s="74" t="inlineStr">
        <ns0:is>
          <ns0:t>Hang Seng Properties sub-index</ns0:t>
        </ns0:is>
      </ns0:c>
      <ns0:c r="BC223" s="87" t="n">
        <ns0:v>156.25</ns0:v>
      </ns0:c>
      <ns0:c r="BD223" s="75" t="n">
        <ns0:v>46297</ns0:v>
      </ns0:c>
      <ns0:c r="BE223" s="76" t="n">
        <ns0:v>653.6</ns0:v>
      </ns0:c>
      <ns0:c r="BF223" s="79" t="n">
        <ns0:v>37.8</ns0:v>
      </ns0:c>
      <ns0:c r="BG223" s="74" t="inlineStr">
        <ns0:is>
          <ns0:t>Y</ns0:t>
        </ns0:is>
      </ns0:c>
      <ns0:c r="BH223" s="89" t="n">
        <ns0:v>13.8</ns0:v>
      </ns0:c>
      <ns0:c r="BI223" s="88" t="n"/>
      <ns0:c r="BJ223" s="89" t="n">
        <ns0:v>61.3</ns0:v>
      </ns0:c>
      <ns0:c r="BK223" s="89" t="n">
        <ns0:v>0.8</ns0:v>
      </ns0:c>
      <ns0:c r="BL223" s="90">
        <ns0:f>IFERROR(IF('BBG Verify'!S223="","Awaiting Bloomberg",'BBG Verify'!S223),"Awaiting Bloomberg")</ns0:f>
        <ns0:v/>
      </ns0:c>
      <ns0:c r="BM223" s="91" t="inlineStr">
        <ns0:is>
          <ns0:t>N</ns0:t>
        </ns0:is>
      </ns0:c>
      <ns0:c r="BN223" s="92">
        <ns0:f>IFERROR(IF('BBG Verify'!K223="","Awaiting Bloomberg",'BBG Verify'!K223),"Awaiting Bloomberg")</ns0:f>
        <ns0:v/>
      </ns0:c>
      <ns0:c r="BO223" s="74" t="inlineStr">
        <ns0:is>
          <ns0:t>N/A</ns0:t>
        </ns0:is>
      </ns0:c>
      <ns0:c r="BP223" s="74" t="inlineStr">
        <ns0:is>
          <ns0:t>N/A</ns0:t>
        </ns0:is>
      </ns0:c>
      <ns0:c r="BQ223" s="74" t="inlineStr">
        <ns0:is>
          <ns0:t>N/A</ns0:t>
        </ns0:is>
      </ns0:c>
      <ns0:c r="BR223" s="74" t="inlineStr">
        <ns0:is>
          <ns0:t>N/A</ns0:t>
        </ns0:is>
      </ns0:c>
      <ns0:c r="BS223" s="74" t="inlineStr">
        <ns0:is>
          <ns0:t>N/A</ns0:t>
        </ns0:is>
      </ns0:c>
      <ns0:c r="BT223" s="74" t="inlineStr">
        <ns0:is>
          <ns0:t>N/A</ns0:t>
        </ns0:is>
      </ns0:c>
      <ns0:c r="BU223" s="91" t="inlineStr">
        <ns0:is>
          <ns0:t>Cinda International Capital Limited</ns0:t>
        </ns0:is>
      </ns0:c>
      <ns0:c r="BV223" s="74" t="inlineStr">
        <ns0:is>
          <ns0:t>Cinda International Capital Limited</ns0:t>
        </ns0:is>
      </ns0:c>
      <ns0:c r="BW223" s="74" t="inlineStr">
        <ns0:is>
          <ns0:t>Cinda International Capital Limited; ICBC International Securities Limited; CCB International Capital Limited; Yuen Meta (International) Securities Limited</ns0:t>
        </ns0:is>
      </ns0:c>
      <ns0:c r="BX223" s="74" t="inlineStr">
        <ns0:is>
          <ns0: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ns0:t>
        </ns0:is>
      </ns0:c>
      <ns0:c r="BY223" s="93">
        <ns0:f>HYPERLINK("https://www1.hkexnews.hk/listedco/listconews/sehk/2023/1127/2023112700086.pdf","prospectus")</ns0:f>
        <ns0:v/>
      </ns0:c>
      <ns0:c r="BZ223" s="93">
        <ns0:f>HYPERLINK("https://www1.hkexnews.hk/listedco/listconews/sehk/2023/1204/2023120402525.pdf","allotment")</ns0:f>
        <ns0:v/>
      </ns0:c>
      <ns0:c r="CA223" s="85" t="n"/>
      <ns0:c r="CB223" s="94" t="n"/>
      <ns0:c r="CC223" s="74" t="inlineStr">
        <ns0:is>
          <ns0:t>greenshoe: no over-allotment option; sponsor: English name not in the filing; AAStocks 保薦人 shown; cornerstone list: no cornerstone tranche; greenshoe size: no over-allotment option; stabilising manager: no over-allotment option, so none appointed</ns0:t>
        </ns0:is>
      </ns0:c>
    </ns0:row>
    <ns0:row r="224" ht="22" customHeight="1">
      <ns0:c r="A224" s="73" t="inlineStr">
        <ns0:is>
          <ns0:t>9663</ns0:t>
        </ns0:is>
      </ns0:c>
      <ns0:c r="B224" s="74" t="inlineStr">
        <ns0:is>
          <ns0:t>SINOSYNERGY</ns0:t>
        </ns0:is>
      </ns0:c>
      <ns0:c r="C224" s="74" t="inlineStr">
        <ns0:is>
          <ns0:t>國鴻氫能</ns0:t>
        </ns0:is>
      </ns0:c>
      <ns0:c r="D224" s="74" t="inlineStr">
        <ns0:is>
          <ns0:t>Industrials</ns0:t>
        </ns0:is>
      </ns0:c>
      <ns0:c r="E224" s="74" t="inlineStr">
        <ns0:is>
          <ns0:t>Batteries / energy storage</ns0:t>
        </ns0:is>
      </ns0:c>
      <ns0:c r="F224" s="74" t="inlineStr">
        <ns0:is>
          <ns0:t>Battery Products</ns0:t>
        </ns0:is>
      </ns0:c>
      <ns0:c r="G224" s="74" t="inlineStr">
        <ns0:is>
          <ns0:t>Standard</ns0:t>
        </ns0:is>
      </ns0:c>
      <ns0:c r="H224" s="75" t="n">
        <ns0:v>45265</ns0:v>
      </ns0:c>
      <ns0:c r="I224" s="76" t="n">
        <ns0:v>1563.4</ns0:v>
      </ns0:c>
      <ns0:c r="J224" s="74" t="inlineStr">
        <ns0:is>
          <ns0:t>gross (price x shares)</ns0:t>
        </ns0:is>
      </ns0:c>
      <ns0:c r="K224" s="77" t="n">
        <ns0:v>19.35</ns0:v>
      </ns0:c>
      <ns0:c r="L224" s="77" t="n">
        <ns0:v>21.35</ns0:v>
      </ns0:c>
      <ns0:c r="M224" s="77" t="n">
        <ns0:v>19.66</ns0:v>
      </ns0:c>
      <ns0:c r="N224" s="74" t="inlineStr">
        <ns0:is>
          <ns0:t>N</ns0:t>
        </ns0:is>
      </ns0:c>
      <ns0:c r="O224" s="78" t="n">
        <ns0:v>92.09999999999999</ns0:v>
      </ns0:c>
      <ns0:c r="P224" s="78" t="n">
        <ns0:v>15.5</ns0:v>
      </ns0:c>
      <ns0:c r="Q224" s="79" t="n">
        <ns0:v>10184.7</ns0:v>
      </ns0:c>
      <ns0:c r="R224" s="74" t="inlineStr">
        <ns0:is>
          <ns0:t>derived:price x shares upon listing</ns0:t>
        </ns0:is>
      </ns0:c>
      <ns0:c r="S224" s="80" t="n">
        <ns0:v>1.18</ns0:v>
      </ns0:c>
      <ns0:c r="T224" s="81" t="n">
        <ns0:v>1.13</ns0:v>
      </ns0:c>
      <ns0:c r="U224" s="82" t="n">
        <ns0:v>0</ns0:v>
      </ns0:c>
      <ns0:c r="V224" s="83" t="n">
        <ns0:v>112</ns0:v>
      </ns0:c>
      <ns0:c r="W224" s="78" t="n">
        <ns0:v>10</ns0:v>
      </ns0:c>
      <ns0:c r="X224" s="74" t="inlineStr">
        <ns0:is>
          <ns0:t>NO</ns0:t>
        </ns0:is>
      </ns0:c>
      <ns0:c r="Y224" s="79" t="n">
        <ns0:v>1563.4</ns0:v>
      </ns0:c>
      <ns0:c r="Z224" s="79" t="n">
        <ns0:v>79520000</ns0:v>
      </ns0:c>
      <ns0:c r="AA224" s="78" t="n">
        <ns0:v>15.35</ns0:v>
      </ns0:c>
      <ns0:c r="AB224" s="74" t="inlineStr">
        <ns0:is>
          <ns0:t>none — no cornerstone tranche</ns0:t>
        </ns0:is>
      </ns0:c>
      <ns0:c r="AC224" s="74" t="inlineStr">
        <ns0:is>
          <ns0:t>none</ns0:t>
        </ns0:is>
      </ns0:c>
      <ns0:c r="AD224" s="84" t="n"/>
      <ns0:c r="AE224" s="85" t="n"/>
      <ns0:c r="AF224" s="85" t="n"/>
      <ns0:c r="AG224" s="85" t="n"/>
      <ns0:c r="AH224" s="85" t="n"/>
      <ns0:c r="AI224" s="86" t="n">
        <ns0:v>-3.36</ns0:v>
      </ns0:c>
      <ns0:c r="AJ224" s="87" t="n">
        <ns0:v>0.71</ns0:v>
      </ns0:c>
      <ns0:c r="AK224" s="87" t="n">
        <ns0:v>-1.78</ns0:v>
      </ns0:c>
      <ns0:c r="AL224" s="87" t="n">
        <ns0:v>-16.07</ns0:v>
      </ns0:c>
      <ns0:c r="AM224" s="87" t="n">
        <ns0:v>19.99</ns0:v>
      </ns0:c>
      <ns0:c r="AN224" s="89" t="n">
        <ns0:v>3.55</ns0:v>
      </ns0:c>
      <ns0:c r="AO224" s="78" t="n">
        <ns0:v>33.21</ns0:v>
      </ns0:c>
      <ns0:c r="AP224" s="87" t="n">
        <ns0:v>-22.38</ns0:v>
      </ns0:c>
      <ns0:c r="AQ224" s="87" t="n">
        <ns0:v>-19.13</ns0:v>
      </ns0:c>
      <ns0:c r="AR224" s="87" t="n">
        <ns0:v>-5.9</ns0:v>
      </ns0:c>
      <ns0:c r="AS224" s="87" t="n">
        <ns0:v>-22.93</ns0:v>
      </ns0:c>
      <ns0:c r="AT224" s="87" t="n">
        <ns0:v>-19.7</ns0:v>
      </ns0:c>
      <ns0:c r="AU224" s="87" t="n">
        <ns0:v>-6.56</ns0:v>
      </ns0:c>
      <ns0:c r="AV224" s="87" t="n">
        <ns0:v>-20.46</ns0:v>
      </ns0:c>
      <ns0:c r="AW224" s="87" t="n">
        <ns0:v>-14.97</ns0:v>
      </ns0:c>
      <ns0:c r="AX224" s="87" t="n">
        <ns0:v>-3.11</ns0:v>
      </ns0:c>
      <ns0:c r="AY224" s="87" t="n">
        <ns0:v>-17.27</ns0:v>
      </ns0:c>
      <ns0:c r="AZ224" s="87" t="n">
        <ns0:v>-4.16</ns0:v>
      </ns0:c>
      <ns0:c r="BA224" s="87" t="n">
        <ns0:v>-2.43</ns0:v>
      </ns0:c>
      <ns0:c r="BB224" s="74" t="inlineStr">
        <ns0:is>
          <ns0:t>Hang Seng Commerce &amp; Industry sub-index</ns0:t>
        </ns0:is>
      </ns0:c>
      <ns0:c r="BC224" s="87" t="n">
        <ns0:v>-88.17</ns0:v>
      </ns0:c>
      <ns0:c r="BD224" s="75" t="n">
        <ns0:v>46297</ns0:v>
      </ns0:c>
      <ns0:c r="BE224" s="76" t="n">
        <ns0:v>823.3</ns0:v>
      </ns0:c>
      <ns0:c r="BF224" s="79" t="n">
        <ns0:v>-308.2</ns0:v>
      </ns0:c>
      <ns0:c r="BG224" s="74" t="inlineStr">
        <ns0:is>
          <ns0:t>N</ns0:t>
        </ns0:is>
      </ns0:c>
      <ns0:c r="BH224" s="74" t="inlineStr">
        <ns0:is>
          <ns0:t>n/m</ns0:t>
        </ns0:is>
      </ns0:c>
      <ns0:c r="BI224" s="88" t="n"/>
      <ns0:c r="BJ224" s="88" t="n"/>
      <ns0:c r="BK224" s="89" t="n">
        <ns0:v>12.4</ns0:v>
      </ns0:c>
      <ns0:c r="BL224" s="90">
        <ns0:f>IFERROR(IF('BBG Verify'!S224="","Awaiting Bloomberg",'BBG Verify'!S224),"Awaiting Bloomberg")</ns0:f>
        <ns0:v/>
      </ns0:c>
      <ns0:c r="BM224" s="91" t="inlineStr">
        <ns0:is>
          <ns0:t>N</ns0:t>
        </ns0:is>
      </ns0:c>
      <ns0:c r="BN224" s="92">
        <ns0:f>IFERROR(IF('BBG Verify'!K224="","Awaiting Bloomberg",'BBG Verify'!K224),"Awaiting Bloomberg")</ns0:f>
        <ns0:v/>
      </ns0:c>
      <ns0:c r="BO224" s="74" t="inlineStr">
        <ns0:is>
          <ns0:t>N/A</ns0:t>
        </ns0:is>
      </ns0:c>
      <ns0:c r="BP224" s="74" t="inlineStr">
        <ns0:is>
          <ns0:t>N/A</ns0:t>
        </ns0:is>
      </ns0:c>
      <ns0:c r="BQ224" s="74" t="inlineStr">
        <ns0:is>
          <ns0:t>N/A</ns0:t>
        </ns0:is>
      </ns0:c>
      <ns0:c r="BR224" s="74" t="inlineStr">
        <ns0:is>
          <ns0:t>N/A</ns0:t>
        </ns0:is>
      </ns0:c>
      <ns0:c r="BS224" s="74" t="inlineStr">
        <ns0:is>
          <ns0:t>N/A</ns0:t>
        </ns0:is>
      </ns0:c>
      <ns0:c r="BT224" s="74" t="inlineStr">
        <ns0:is>
          <ns0:t>N/A</ns0:t>
        </ns0:is>
      </ns0:c>
      <ns0:c r="BU224" s="91" t="inlineStr">
        <ns0:is>
          <ns0:t>Huatai Financial Holdings (Hong Kong) Limited</ns0:t>
        </ns0:is>
      </ns0:c>
      <ns0:c r="BV224" s="74" t="inlineStr">
        <ns0:is>
          <ns0:t>Huatai Financial Holdings (Hong Kong) Limited</ns0:t>
        </ns0:is>
      </ns0:c>
      <ns0:c r="BW224" s="74" t="inlineStr">
        <ns0:is>
          <ns0:t>Huatai Financial Holdings (Hong Kong) Limited; CMB International Capital Limited; GF Securities (Hong Kong) Brokerage Limited; Haitong International Securities Company Limited; Livermore Holdings Limited</ns0:t>
        </ns0:is>
      </ns0:c>
      <ns0:c r="BX224" s="74" t="inlineStr">
        <ns0:is>
          <ns0:t>CMB International Capital Limited; GF Securities (Hong Kong) Brokerage Limited; Huatai Financial Holdings (Hong Kong) Limited; Haitong International Securities Company Limited; Livermore Holdings Limited</ns0:t>
        </ns0:is>
      </ns0:c>
      <ns0:c r="BY224" s="93">
        <ns0:f>HYPERLINK("https://www1.hkexnews.hk/listedco/listconews/sehk/2023/1127/2023112700007.pdf","prospectus")</ns0:f>
        <ns0:v/>
      </ns0:c>
      <ns0:c r="BZ224" s="93">
        <ns0:f>HYPERLINK("https://www1.hkexnews.hk/listedco/listconews/sehk/2023/1204/2023120402568.htm","allotment")</ns0:f>
        <ns0:v/>
      </ns0:c>
      <ns0:c r="CA224" s="85" t="n"/>
      <ns0:c r="CB224" s="94" t="n"/>
      <ns0:c r="CC224" s="74" t="inlineStr">
        <ns0:is>
          <ns0:t>P/E: loss-making at IPO, use P/S; greenshoe: no over-allotment option; cornerstone list: no cornerstone tranche; greenshoe size: no over-allotment option; stabilising manager: filing states none appointed (allotment announcement: 'no stabilizing manager will be appointed' stated in the filing)</ns0:t>
        </ns0:is>
      </ns0:c>
    </ns0:row>
    <ns0:row r="225" ht="22" customHeight="1">
      <ns0:c r="A225" s="73" t="inlineStr">
        <ns0:is>
          <ns0:t>2483</ns0:t>
        </ns0:is>
      </ns0:c>
      <ns0:c r="B225" s="74" t="inlineStr">
        <ns0:is>
          <ns0:t>K CASH</ns0:t>
        </ns0:is>
      </ns0:c>
      <ns0:c r="C225" s="74" t="inlineStr">
        <ns0:is>
          <ns0:t>Ｋ ＣＡＳＨ集團</ns0:t>
        </ns0:is>
      </ns0:c>
      <ns0:c r="D225" s="74" t="inlineStr">
        <ns0:is>
          <ns0:t>Technology</ns0:t>
        </ns0:is>
      </ns0:c>
      <ns0:c r="E225" s="74" t="inlineStr">
        <ns0:is>
          <ns0:t>Internet &amp; fintech</ns0:t>
        </ns0:is>
      </ns0:c>
      <ns0:c r="F225" s="74" t="inlineStr">
        <ns0:is>
          <ns0:t>Consumer Finance &amp; Money Lending</ns0:t>
        </ns0:is>
      </ns0:c>
      <ns0:c r="G225" s="74" t="inlineStr">
        <ns0:is>
          <ns0:t>Standard</ns0:t>
        </ns0:is>
      </ns0:c>
      <ns0:c r="H225" s="75" t="n">
        <ns0:v>45265</ns0:v>
      </ns0:c>
      <ns0:c r="I225" s="76" t="n">
        <ns0:v>225</ns0:v>
      </ns0:c>
      <ns0:c r="J225" s="74" t="inlineStr">
        <ns0:is>
          <ns0:t>gross (price x shares)</ns0:t>
        </ns0:is>
      </ns0:c>
      <ns0:c r="K225" s="77" t="n">
        <ns0:v>1.64</ns0:v>
      </ns0:c>
      <ns0:c r="L225" s="77" t="n">
        <ns0:v>1.96</ns0:v>
      </ns0:c>
      <ns0:c r="M225" s="77" t="n">
        <ns0:v>1.8</ns0:v>
      </ns0:c>
      <ns0:c r="N225" s="74" t="inlineStr">
        <ns0:is>
          <ns0:t>N</ns0:t>
        </ns0:is>
      </ns0:c>
      <ns0:c r="O225" s="78" t="n">
        <ns0:v>91.8</ns0:v>
      </ns0:c>
      <ns0:c r="P225" s="78" t="n">
        <ns0:v>50</ns0:v>
      </ns0:c>
      <ns0:c r="Q225" s="79" t="n">
        <ns0:v>900</ns0:v>
      </ns0:c>
      <ns0:c r="R225" s="74" t="inlineStr">
        <ns0:is>
          <ns0:t>derived:price x shares upon listing</ns0:t>
        </ns0:is>
      </ns0:c>
      <ns0:c r="S225" s="80" t="n">
        <ns0:v>18.93</ns0:v>
      </ns0:c>
      <ns0:c r="T225" s="81" t="n">
        <ns0:v>1.24</ns0:v>
      </ns0:c>
      <ns0:c r="U225" s="82" t="n">
        <ns0:v>0</ns0:v>
      </ns0:c>
      <ns0:c r="V225" s="83" t="n">
        <ns0:v>139</ns0:v>
      </ns0:c>
      <ns0:c r="W225" s="78" t="n">
        <ns0:v>30</ns0:v>
      </ns0:c>
      <ns0:c r="X225" s="74" t="inlineStr">
        <ns0:is>
          <ns0:t>YES</ns0:t>
        </ns0:is>
      </ns0:c>
      <ns0:c r="Y225" s="79" t="n">
        <ns0:v>225</ns0:v>
      </ns0:c>
      <ns0:c r="Z225" s="79" t="n">
        <ns0:v>125000000</ns0:v>
      </ns0:c>
      <ns0:c r="AA225" s="78" t="n">
        <ns0:v>25</ns0:v>
      </ns0:c>
      <ns0:c r="AB225" s="74" t="inlineStr">
        <ns0:is>
          <ns0:t>none — no cornerstone tranche</ns0:t>
        </ns0:is>
      </ns0:c>
      <ns0:c r="AC225" s="74" t="inlineStr">
        <ns0:is>
          <ns0:t>none</ns0:t>
        </ns0:is>
      </ns0:c>
      <ns0:c r="AD225" s="78" t="n">
        <ns0:v>5</ns0:v>
      </ns0:c>
      <ns0:c r="AE225" s="74" t="inlineStr">
        <ns0:is>
          <ns0:t>lapsed</ns0:t>
        </ns0:is>
      </ns0:c>
      <ns0:c r="AF225" s="74" t="inlineStr">
        <ns0:is>
          <ns0:t>2023-12-30</ns0:t>
        </ns0:is>
      </ns0:c>
      <ns0:c r="AG225" s="74" t="inlineStr">
        <ns0:is>
          <ns0:t>China PA Securities</ns0:t>
        </ns0:is>
      </ns0:c>
      <ns0:c r="AH225" s="74" t="inlineStr">
        <ns0:is>
          <ns0:t>China PA</ns0:t>
        </ns0:is>
      </ns0:c>
      <ns0:c r="AI225" s="86" t="n">
        <ns0:v>-6.11</ns0:v>
      </ns0:c>
      <ns0:c r="AJ225" s="87" t="n">
        <ns0:v>-0.5600000000000001</ns0:v>
      </ns0:c>
      <ns0:c r="AK225" s="87" t="n">
        <ns0:v>-2.33</ns0:v>
      </ns0:c>
      <ns0:c r="AL225" s="87" t="n">
        <ns0:v>-10.56</ns0:v>
      </ns0:c>
      <ns0:c r="AM225" s="87" t="n">
        <ns0:v>11.18</ns0:v>
      </ns0:c>
      <ns0:c r="AN225" s="89" t="n">
        <ns0:v>0.95</ns0:v>
      </ns0:c>
      <ns0:c r="AO225" s="78" t="n">
        <ns0:v>11.8</ns0:v>
      </ns0:c>
      <ns0:c r="AP225" s="87" t="n">
        <ns0:v>-5</ns0:v>
      </ns0:c>
      <ns0:c r="AQ225" s="87" t="n">
        <ns0:v>-5</ns0:v>
      </ns0:c>
      <ns0:c r="AR225" s="87" t="n">
        <ns0:v>-5</ns0:v>
      </ns0:c>
      <ns0:c r="AS225" s="87" t="n">
        <ns0:v>-4.47</ns0:v>
      </ns0:c>
      <ns0:c r="AT225" s="87" t="n">
        <ns0:v>-4.47</ns0:v>
      </ns0:c>
      <ns0:c r="AU225" s="87" t="n">
        <ns0:v>-4.47</ns0:v>
      </ns0:c>
      <ns0:c r="AV225" s="87" t="n">
        <ns0:v>-3.97</ns0:v>
      </ns0:c>
      <ns0:c r="AW225" s="87" t="n">
        <ns0:v>2.68</ns0:v>
      </ns0:c>
      <ns0:c r="AX225" s="87" t="n">
        <ns0:v>5.44</ns0:v>
      </ns0:c>
      <ns0:c r="AY225" s="87" t="n">
        <ns0:v>1.01</ns0:v>
      </ns0:c>
      <ns0:c r="AZ225" s="87" t="n">
        <ns0:v>-7.68</ns0:v>
      </ns0:c>
      <ns0:c r="BA225" s="87" t="n">
        <ns0:v>-5.48</ns0:v>
      </ns0:c>
      <ns0:c r="BB225" s="74" t="inlineStr">
        <ns0:is>
          <ns0:t>HSTECH (Hang Seng TECH ETF)</ns0:t>
        </ns0:is>
      </ns0:c>
      <ns0:c r="BC225" s="87" t="n">
        <ns0:v>0</ns0:v>
      </ns0:c>
      <ns0:c r="BD225" s="75" t="n">
        <ns0:v>46297</ns0:v>
      </ns0:c>
      <ns0:c r="BE225" s="76" t="n">
        <ns0:v>2022</ns0:v>
      </ns0:c>
      <ns0:c r="BF225" s="79" t="n">
        <ns0:v>67.90000000000001</ns0:v>
      </ns0:c>
      <ns0:c r="BG225" s="74" t="inlineStr">
        <ns0:is>
          <ns0:t>Y</ns0:t>
        </ns0:is>
      </ns0:c>
      <ns0:c r="BH225" s="89" t="n">
        <ns0:v>13.3</ns0:v>
      </ns0:c>
      <ns0:c r="BI225" s="88" t="n"/>
      <ns0:c r="BJ225" s="89" t="n">
        <ns0:v>9.699999999999999</ns0:v>
      </ns0:c>
      <ns0:c r="BK225" s="89" t="n">
        <ns0:v>0.4</ns0:v>
      </ns0:c>
      <ns0:c r="BL225" s="90">
        <ns0:f>IFERROR(IF('BBG Verify'!S225="","Awaiting Bloomberg",'BBG Verify'!S225),"Awaiting Bloomberg")</ns0:f>
        <ns0:v/>
      </ns0:c>
      <ns0:c r="BM225" s="91" t="inlineStr">
        <ns0:is>
          <ns0:t>N</ns0:t>
        </ns0:is>
      </ns0:c>
      <ns0:c r="BN225" s="92">
        <ns0:f>IFERROR(IF('BBG Verify'!K225="","Awaiting Bloomberg",'BBG Verify'!K225),"Awaiting Bloomberg")</ns0:f>
        <ns0:v/>
      </ns0:c>
      <ns0:c r="BO225" s="74" t="inlineStr">
        <ns0:is>
          <ns0:t>N/A</ns0:t>
        </ns0:is>
      </ns0:c>
      <ns0:c r="BP225" s="74" t="inlineStr">
        <ns0:is>
          <ns0:t>N/A</ns0:t>
        </ns0:is>
      </ns0:c>
      <ns0:c r="BQ225" s="74" t="inlineStr">
        <ns0:is>
          <ns0:t>N/A</ns0:t>
        </ns0:is>
      </ns0:c>
      <ns0:c r="BR225" s="74" t="inlineStr">
        <ns0:is>
          <ns0:t>N/A</ns0:t>
        </ns0:is>
      </ns0:c>
      <ns0:c r="BS225" s="74" t="inlineStr">
        <ns0:is>
          <ns0:t>N/A</ns0:t>
        </ns0:is>
      </ns0:c>
      <ns0:c r="BT225" s="74" t="inlineStr">
        <ns0:is>
          <ns0:t>N/A</ns0:t>
        </ns0:is>
      </ns0:c>
      <ns0:c r="BU225" s="91" t="inlineStr">
        <ns0:is>
          <ns0:t>DBS Asia Capital Limited; Ping An of China Capital (Hong Kong) Company Limited</ns0:t>
        </ns0:is>
      </ns0:c>
      <ns0:c r="BV225" s="74" t="inlineStr">
        <ns0:is>
          <ns0:t>Ping An of China Capital (Hong Kong) Company Limited; DBS Asia Capital Limited</ns0:t>
        </ns0:is>
      </ns0:c>
      <ns0:c r="BW225" s="74" t="inlineStr">
        <ns0:is>
          <ns0:t>and CMIs CCB International Capital Limited; Elstone Securities Limited; Valuable Capital Limited</ns0:t>
        </ns0:is>
      </ns0:c>
      <ns0:c r="BX225" s="74" t="inlineStr">
        <ns0:is>
          <ns0:t>CCB International Capital Limited; China PA Securities (Hong Kong) Company Limited; DBS Asia Capital Limited; Elstone Securities Limited; Eddid Securities and Futures Limited; Innovax Securities Limited; Valuable Capital Limited; Zhongtai International Securities Limited</ns0:t>
        </ns0:is>
      </ns0:c>
      <ns0:c r="BY225" s="93">
        <ns0:f>HYPERLINK("https://www1.hkexnews.hk/listedco/listconews/sehk/2023/1127/2023112700082.pdf","prospectus")</ns0:f>
        <ns0:v/>
      </ns0:c>
      <ns0:c r="BZ225" s="93">
        <ns0:f>HYPERLINK("https://www1.hkexnews.hk/listedco/listconews/sehk/2023/1204/2023120402869.pdf","allotment")</ns0:f>
        <ns0:v/>
      </ns0:c>
      <ns0:c r="CA225" s="93">
        <ns0:f>HYPERLINK("https://www1.hkexnews.hk/listedco/listconews/sehk/2024/0102/2024010200039.pdf","stabilisation")</ns0:f>
        <ns0:v/>
      </ns0:c>
      <ns0:c r="CB225" s="94" t="n"/>
      <ns0:c r="CC225" s="74" t="inlineStr">
        <ns0:is>
          <ns0:t>cornerstone list: no cornerstone tranche</ns0:t>
        </ns0:is>
      </ns0:c>
    </ns0:row>
    <ns0:row r="226" ht="22" customHeight="1">
      <ns0:c r="A226" s="73" t="inlineStr">
        <ns0:is>
          <ns0:t>2419</ns0:t>
        </ns0:is>
      </ns0:c>
      <ns0:c r="B226" s="74" t="inlineStr">
        <ns0:is>
          <ns0:t>DEKON AGR</ns0:t>
        </ns0:is>
      </ns0:c>
      <ns0:c r="C226" s="74" t="inlineStr">
        <ns0:is>
          <ns0:t>德康農牧</ns0:t>
        </ns0:is>
      </ns0:c>
      <ns0:c r="D226" s="74" t="inlineStr">
        <ns0:is>
          <ns0:t>Consumer</ns0:t>
        </ns0:is>
      </ns0:c>
      <ns0:c r="E226" s="74" t="inlineStr">
        <ns0:is>
          <ns0:t>Beverages / packaged food</ns0:t>
        </ns0:is>
      </ns0:c>
      <ns0:c r="F226" s="74" t="inlineStr">
        <ns0:is>
          <ns0:t>Poultry, Meat and Seafood</ns0:t>
        </ns0:is>
      </ns0:c>
      <ns0:c r="G226" s="74" t="inlineStr">
        <ns0:is>
          <ns0:t>Standard</ns0:t>
        </ns0:is>
      </ns0:c>
      <ns0:c r="H226" s="75" t="n">
        <ns0:v>45266</ns0:v>
      </ns0:c>
      <ns0:c r="I226" s="76" t="n">
        <ns0:v>994.4</ns0:v>
      </ns0:c>
      <ns0:c r="J226" s="74" t="inlineStr">
        <ns0:is>
          <ns0:t>gross (price x shares)</ns0:t>
        </ns0:is>
      </ns0:c>
      <ns0:c r="K226" s="77" t="n">
        <ns0:v>30.35</ns0:v>
      </ns0:c>
      <ns0:c r="L226" s="77" t="n">
        <ns0:v>36.95</ns0:v>
      </ns0:c>
      <ns0:c r="M226" s="77" t="n">
        <ns0:v>36.95</ns0:v>
      </ns0:c>
      <ns0:c r="N226" s="74" t="inlineStr">
        <ns0:is>
          <ns0:t>Y</ns0:t>
        </ns0:is>
      </ns0:c>
      <ns0:c r="O226" s="78" t="n">
        <ns0:v>100</ns0:v>
      </ns0:c>
      <ns0:c r="P226" s="78" t="n">
        <ns0:v>100</ns0:v>
      </ns0:c>
      <ns0:c r="Q226" s="79" t="n">
        <ns0:v>14369</ns0:v>
      </ns0:c>
      <ns0:c r="R226" s="74" t="inlineStr">
        <ns0:is>
          <ns0:t>derived:price x shares upon listing</ns0:t>
        </ns0:is>
      </ns0:c>
      <ns0:c r="S226" s="80" t="n">
        <ns0:v>1.88</ns0:v>
      </ns0:c>
      <ns0:c r="T226" s="81" t="n">
        <ns0:v>1.13</ns0:v>
      </ns0:c>
      <ns0:c r="U226" s="82" t="n">
        <ns0:v>39.22</ns0:v>
      </ns0:c>
      <ns0:c r="V226" s="83" t="n">
        <ns0:v>124</ns0:v>
      </ns0:c>
      <ns0:c r="W226" s="78" t="n">
        <ns0:v>10</ns0:v>
      </ns0:c>
      <ns0:c r="X226" s="74" t="inlineStr">
        <ns0:is>
          <ns0:t>NO</ns0:t>
        </ns0:is>
      </ns0:c>
      <ns0:c r="Y226" s="79" t="n">
        <ns0:v>604.4</ns0:v>
      </ns0:c>
      <ns0:c r="Z226" s="79" t="n">
        <ns0:v>16357114</ns0:v>
      </ns0:c>
      <ns0:c r="AA226" s="78" t="n">
        <ns0:v>4.21</ns0:v>
      </ns0:c>
      <ns0:c r="AB226" s="74" t="inlineStr">
        <ns0:is>
          <ns0:t>Xiushan County Xinzhiyuan Market Management Co., Ltd; Guiyang Agricultural Investment Development Co., Ltd; Quxian Huixing Industrial Investment Co., Ltd</ns0:t>
        </ns0:is>
      </ns0:c>
      <ns0:c r="AC226" s="74" t="inlineStr">
        <ns0:is>
          <ns0:t>xiushan;guiyang;quxian</ns0:t>
        </ns0:is>
      </ns0:c>
      <ns0:c r="AD226" s="84" t="n"/>
      <ns0:c r="AE226" s="85" t="n"/>
      <ns0:c r="AF226" s="85" t="n"/>
      <ns0:c r="AG226" s="85" t="n"/>
      <ns0:c r="AH226" s="85" t="n"/>
      <ns0:c r="AI226" s="86" t="n">
        <ns0:v>0.41</ns0:v>
      </ns0:c>
      <ns0:c r="AJ226" s="87" t="n">
        <ns0:v>1.49</ns0:v>
      </ns0:c>
      <ns0:c r="AK226" s="87" t="n">
        <ns0:v>1.01</ns0:v>
      </ns0:c>
      <ns0:c r="AL226" s="87" t="n">
        <ns0:v>0</ns0:v>
      </ns0:c>
      <ns0:c r="AM226" s="87" t="n">
        <ns0:v>1.49</ns0:v>
      </ns0:c>
      <ns0:c r="AN226" s="89" t="n">
        <ns0:v>0.38</ns0:v>
      </ns0:c>
      <ns0:c r="AO226" s="78" t="n">
        <ns0:v>2.84</ns0:v>
      </ns0:c>
      <ns0:c r="AP226" s="87" t="n">
        <ns0:v>2.17</ns0:v>
      </ns0:c>
      <ns0:c r="AQ226" s="87" t="n">
        <ns0:v>59.68</ns0:v>
      </ns0:c>
      <ns0:c r="AR226" s="87" t="n">
        <ns0:v>18.94</ns0:v>
      </ns0:c>
      <ns0:c r="AS226" s="87" t="n">
        <ns0:v>0.67</ns0:v>
      </ns0:c>
      <ns0:c r="AT226" s="87" t="n">
        <ns0:v>57.34</ns0:v>
      </ns0:c>
      <ns0:c r="AU226" s="87" t="n">
        <ns0:v>17.19</ns0:v>
      </ns0:c>
      <ns0:c r="AV226" s="87" t="n">
        <ns0:v>3.43</ns0:v>
      </ns0:c>
      <ns0:c r="AW226" s="87" t="n">
        <ns0:v>62.72</ns0:v>
      </ns0:c>
      <ns0:c r="AX226" s="87" t="n">
        <ns0:v>17.97</ns0:v>
      </ns0:c>
      <ns0:c r="AY226" s="87" t="n">
        <ns0:v>61.34</ns0:v>
      </ns0:c>
      <ns0:c r="AZ226" s="87" t="n">
        <ns0:v>-3.04</ns0:v>
      </ns0:c>
      <ns0:c r="BA226" s="87" t="n">
        <ns0:v>-4</ns0:v>
      </ns0:c>
      <ns0:c r="BB226" s="74" t="inlineStr">
        <ns0:is>
          <ns0:t>Hang Seng Commerce &amp; Industry sub-index</ns0:t>
        </ns0:is>
      </ns0:c>
      <ns0:c r="BC226" s="87" t="n">
        <ns0:v>52.23</ns0:v>
      </ns0:c>
      <ns0:c r="BD226" s="75" t="n">
        <ns0:v>46297</ns0:v>
      </ns0:c>
      <ns0:c r="BE226" s="76" t="n">
        <ns0:v>16540.7</ns0:v>
      </ns0:c>
      <ns0:c r="BF226" s="79" t="n">
        <ns0:v>1092.2</ns0:v>
      </ns0:c>
      <ns0:c r="BG226" s="74" t="inlineStr">
        <ns0:is>
          <ns0:t>Y</ns0:t>
        </ns0:is>
      </ns0:c>
      <ns0:c r="BH226" s="89" t="n">
        <ns0:v>13.2</ns0:v>
      </ns0:c>
      <ns0:c r="BI226" s="88" t="n"/>
      <ns0:c r="BJ226" s="89" t="n">
        <ns0:v>11.9</ns0:v>
      </ns0:c>
      <ns0:c r="BK226" s="89" t="n">
        <ns0:v>0.9</ns0:v>
      </ns0:c>
      <ns0:c r="BL226" s="90">
        <ns0:f>IFERROR(IF('BBG Verify'!S226="","Awaiting Bloomberg",'BBG Verify'!S226),"Awaiting Bloomberg")</ns0:f>
        <ns0:v/>
      </ns0:c>
      <ns0:c r="BM226" s="91" t="inlineStr">
        <ns0:is>
          <ns0:t>N</ns0:t>
        </ns0:is>
      </ns0:c>
      <ns0:c r="BN226" s="92">
        <ns0:f>IFERROR(IF('BBG Verify'!K226="","Awaiting Bloomberg",'BBG Verify'!K226),"Awaiting Bloomberg")</ns0:f>
        <ns0:v/>
      </ns0:c>
      <ns0:c r="BO226" s="74" t="inlineStr">
        <ns0:is>
          <ns0:t>N/A</ns0:t>
        </ns0:is>
      </ns0:c>
      <ns0:c r="BP226" s="74" t="inlineStr">
        <ns0:is>
          <ns0:t>N/A</ns0:t>
        </ns0:is>
      </ns0:c>
      <ns0:c r="BQ226" s="74" t="inlineStr">
        <ns0:is>
          <ns0:t>N/A</ns0:t>
        </ns0:is>
      </ns0:c>
      <ns0:c r="BR226" s="74" t="inlineStr">
        <ns0:is>
          <ns0:t>N/A</ns0:t>
        </ns0:is>
      </ns0:c>
      <ns0:c r="BS226" s="74" t="inlineStr">
        <ns0:is>
          <ns0:t>N/A</ns0:t>
        </ns0:is>
      </ns0:c>
      <ns0:c r="BT226" s="74" t="inlineStr">
        <ns0:is>
          <ns0:t>N/A</ns0:t>
        </ns0:is>
      </ns0:c>
      <ns0:c r="BU226" s="91" t="inlineStr">
        <ns0:is>
          <ns0:t>China International Capital Corporation Hong Kong Securities Limited; Citigroup Global Markets Asia Limited</ns0:t>
        </ns0:is>
      </ns0:c>
      <ns0:c r="BV226" s="74" t="inlineStr">
        <ns0:is>
          <ns0:t>China International Capital Corporation Hong Kong Securities Limited; Citigroup Global Markets Asia Limited</ns0:t>
        </ns0:is>
      </ns0:c>
      <ns0:c r="BW226" s="74" t="inlineStr">
        <ns0:is>
          <ns0:t>China International Capital Corporation Hong Kong Securities Limited; Citigroup Global Markets Asia Limited; Central Hong Kong Citigroup Global Markets Limited; Canary Wharf London E14 5LB United Kingdom China Everbright Securities (HK) Limited; BOCI Asia Limited; ABCI Capital Limited; China Galaxy International Securities (Hong Kong) Co., Limited; ICBC International Securities Limited; CMB International Capital Limited; Citrus Securities Limited; Valuable Capital Limited</ns0:t>
        </ns0:is>
      </ns0:c>
      <ns0:c r="BX226" s="74" t="inlineStr">
        <ns0:is>
          <ns0: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ns0:t>
        </ns0:is>
      </ns0:c>
      <ns0:c r="BY226" s="93">
        <ns0:f>HYPERLINK("https://www1.hkexnews.hk/listedco/listconews/sehk/2023/1127/2023112700009.pdf","prospectus")</ns0:f>
        <ns0:v/>
      </ns0:c>
      <ns0:c r="BZ226" s="93">
        <ns0:f>HYPERLINK("https://www1.hkexnews.hk/listedco/listconews/sehk/2023/1205/2023120502409.pdf","allotment")</ns0:f>
        <ns0:v/>
      </ns0:c>
      <ns0:c r="CA226" s="85" t="n"/>
      <ns0:c r="CB226" s="94" t="n"/>
      <ns0:c r="CC226" s="74" t="inlineStr">
        <ns0:is>
          <ns0:t>greenshoe: no over-allotment option; greenshoe size: no over-allotment option; stabilising manager: no over-allotment option, so none appointed</ns0:t>
        </ns0:is>
      </ns0:c>
    </ns0:row>
    <ns0:row r="227" ht="22" customHeight="1">
      <ns0:c r="A227" s="73" t="inlineStr">
        <ns0:is>
          <ns0:t>1497</ns0:t>
        </ns0:is>
      </ns0:c>
      <ns0:c r="B227" s="74" t="inlineStr">
        <ns0:is>
          <ns0:t>YAN PALACE</ns0:t>
        </ns0:is>
      </ns0:c>
      <ns0:c r="C227" s="74" t="inlineStr">
        <ns0:is>
          <ns0:t>燕之屋</ns0:t>
        </ns0:is>
      </ns0:c>
      <ns0:c r="D227" s="74" t="inlineStr">
        <ns0:is>
          <ns0:t>Consumer</ns0:t>
        </ns0:is>
      </ns0:c>
      <ns0:c r="E227" s="74" t="inlineStr">
        <ns0:is>
          <ns0:t>Beverages / packaged food</ns0:t>
        </ns0:is>
      </ns0:c>
      <ns0:c r="F227" s="74" t="inlineStr">
        <ns0:is>
          <ns0:t>Packaged Foods</ns0:t>
        </ns0:is>
      </ns0:c>
      <ns0:c r="G227" s="74" t="inlineStr">
        <ns0:is>
          <ns0:t>Standard</ns0:t>
        </ns0:is>
      </ns0:c>
      <ns0:c r="H227" s="75" t="n">
        <ns0:v>45272</ns0:v>
      </ns0:c>
      <ns0:c r="I227" s="76" t="n">
        <ns0:v>310.4</ns0:v>
      </ns0:c>
      <ns0:c r="J227" s="74" t="inlineStr">
        <ns0:is>
          <ns0:t>gross (price x shares)</ns0:t>
        </ns0:is>
      </ns0:c>
      <ns0:c r="K227" s="77" t="n">
        <ns0:v>8.800000000000001</ns0:v>
      </ns0:c>
      <ns0:c r="L227" s="77" t="n">
        <ns0:v>11</ns0:v>
      </ns0:c>
      <ns0:c r="M227" s="77" t="n">
        <ns0:v>9.699999999999999</ns0:v>
      </ns0:c>
      <ns0:c r="N227" s="74" t="inlineStr">
        <ns0:is>
          <ns0:t>N</ns0:t>
        </ns0:is>
      </ns0:c>
      <ns0:c r="O227" s="78" t="n">
        <ns0:v>88.2</ns0:v>
      </ns0:c>
      <ns0:c r="P227" s="78" t="n">
        <ns0:v>40.9</ns0:v>
      </ns0:c>
      <ns0:c r="Q227" s="79" t="n">
        <ns0:v>4515.4</ns0:v>
      </ns0:c>
      <ns0:c r="R227" s="74" t="inlineStr">
        <ns0:is>
          <ns0:t>derived:price x shares upon listing</ns0:t>
        </ns0:is>
      </ns0:c>
      <ns0:c r="S227" s="80" t="n">
        <ns0:v>83.63</ns0:v>
      </ns0:c>
      <ns0:c r="T227" s="81" t="n">
        <ns0:v>1.27</ns0:v>
      </ns0:c>
      <ns0:c r="U227" s="82" t="n">
        <ns0:v>40.16</ns0:v>
      </ns0:c>
      <ns0:c r="V227" s="83" t="n">
        <ns0:v>158</ns0:v>
      </ns0:c>
      <ns0:c r="W227" s="78" t="n">
        <ns0:v>40</ns0:v>
      </ns0:c>
      <ns0:c r="X227" s="74" t="inlineStr">
        <ns0:is>
          <ns0:t>YES</ns0:t>
        </ns0:is>
      </ns0:c>
      <ns0:c r="Y227" s="79" t="n">
        <ns0:v>185.74</ns0:v>
      </ns0:c>
      <ns0:c r="Z227" s="79" t="n">
        <ns0:v>19148800</ns0:v>
      </ns0:c>
      <ns0:c r="AA227" s="78" t="n">
        <ns0:v>4.11</ns0:v>
      </ns0:c>
      <ns0:c r="AB227" s="74" t="inlineStr">
        <ns0:is>
          <ns0:t>PT. Anugerah Citra Walet Indonesia; PT Esta Indonesia; PT Niaga Cakrawala Sukses; WU Chen; Value Partners Hong Kong Limited; WONG Sing Kwong Cyrus</ns0:t>
        </ns0:is>
      </ns0:c>
      <ns0:c r="AC227" s="74" t="inlineStr">
        <ns0:is>
          <ns0:t>pt;wu-chen;value;wong</ns0:t>
        </ns0:is>
      </ns0:c>
      <ns0:c r="AD227" s="78" t="n">
        <ns0:v>15</ns0:v>
      </ns0:c>
      <ns0:c r="AE227" s="74" t="inlineStr">
        <ns0:is>
          <ns0:t>lapsed</ns0:t>
        </ns0:is>
      </ns0:c>
      <ns0:c r="AF227" s="74" t="inlineStr">
        <ns0:is>
          <ns0:t>2024-01-06</ns0:t>
        </ns0:is>
      </ns0:c>
      <ns0:c r="AG227" s="74" t="inlineStr">
        <ns0:is>
          <ns0:t>GF Securities</ns0:t>
        </ns0:is>
      </ns0:c>
      <ns0:c r="AH227" s="74" t="inlineStr">
        <ns0:is>
          <ns0:t>GF</ns0:t>
        </ns0:is>
      </ns0:c>
      <ns0:c r="AI227" s="86" t="n">
        <ns0:v>9.279999999999999</ns0:v>
      </ns0:c>
      <ns0:c r="AJ227" s="87" t="n">
        <ns0:v>0</ns0:v>
      </ns0:c>
      <ns0:c r="AK227" s="87" t="n">
        <ns0:v>1.2</ns0:v>
      </ns0:c>
      <ns0:c r="AL227" s="87" t="n">
        <ns0:v>8.25</ns0:v>
      </ns0:c>
      <ns0:c r="AM227" s="87" t="n">
        <ns0:v>-7.62</ns0:v>
      </ns0:c>
      <ns0:c r="AN227" s="89" t="n">
        <ns0:v>0.89</ns0:v>
      </ns0:c>
      <ns0:c r="AO227" s="78" t="n">
        <ns0:v>10.29</ns0:v>
      </ns0:c>
      <ns0:c r="AP227" s="87" t="n">
        <ns0:v>-5.15</ns0:v>
      </ns0:c>
      <ns0:c r="AQ227" s="87" t="n">
        <ns0:v>1.03</ns0:v>
      </ns0:c>
      <ns0:c r="AR227" s="87" t="n">
        <ns0:v>3.09</ns0:v>
      </ns0:c>
      <ns0:c r="AS227" s="87" t="n">
        <ns0:v>-5.15</ns0:v>
      </ns0:c>
      <ns0:c r="AT227" s="87" t="n">
        <ns0:v>1.03</ns0:v>
      </ns0:c>
      <ns0:c r="AU227" s="87" t="n">
        <ns0:v>3.09</ns0:v>
      </ns0:c>
      <ns0:c r="AV227" s="87" t="n">
        <ns0:v>-6.71</ns0:v>
      </ns0:c>
      <ns0:c r="AW227" s="87" t="n">
        <ns0:v>2.22</ns0:v>
      </ns0:c>
      <ns0:c r="AX227" s="87" t="n">
        <ns0:v>-0.7</ns0:v>
      </ns0:c>
      <ns0:c r="AY227" s="87" t="n">
        <ns0:v>3.39</ns0:v>
      </ns0:c>
      <ns0:c r="AZ227" s="87" t="n">
        <ns0:v>-1.19</ns0:v>
      </ns0:c>
      <ns0:c r="BA227" s="87" t="n">
        <ns0:v>-2.36</ns0:v>
      </ns0:c>
      <ns0:c r="BB227" s="74" t="inlineStr">
        <ns0:is>
          <ns0:t>Hang Seng Commerce &amp; Industry sub-index</ns0:t>
        </ns0:is>
      </ns0:c>
      <ns0:c r="BC227" s="87" t="n">
        <ns0:v>-34.54</ns0:v>
      </ns0:c>
      <ns0:c r="BD227" s="75" t="n">
        <ns0:v>46297</ns0:v>
      </ns0:c>
      <ns0:c r="BE227" s="76" t="n">
        <ns0:v>1902.9</ns0:v>
      </ns0:c>
      <ns0:c r="BF227" s="79" t="n">
        <ns0:v>226.5</ns0:v>
      </ns0:c>
      <ns0:c r="BG227" s="74" t="inlineStr">
        <ns0:is>
          <ns0:t>Y</ns0:t>
        </ns0:is>
      </ns0:c>
      <ns0:c r="BH227" s="89" t="n">
        <ns0:v>19.9</ns0:v>
      </ns0:c>
      <ns0:c r="BI227" s="88" t="n"/>
      <ns0:c r="BJ227" s="89" t="n">
        <ns0:v>9.300000000000001</ns0:v>
      </ns0:c>
      <ns0:c r="BK227" s="89" t="n">
        <ns0:v>2.4</ns0:v>
      </ns0:c>
      <ns0:c r="BL227" s="90">
        <ns0:f>IFERROR(IF('BBG Verify'!S227="","Awaiting Bloomberg",'BBG Verify'!S227),"Awaiting Bloomberg")</ns0:f>
        <ns0:v/>
      </ns0:c>
      <ns0:c r="BM227" s="91" t="inlineStr">
        <ns0:is>
          <ns0:t>N</ns0:t>
        </ns0:is>
      </ns0:c>
      <ns0:c r="BN227" s="92">
        <ns0:f>IFERROR(IF('BBG Verify'!K227="","Awaiting Bloomberg",'BBG Verify'!K227),"Awaiting Bloomberg")</ns0:f>
        <ns0:v/>
      </ns0:c>
      <ns0:c r="BO227" s="74" t="inlineStr">
        <ns0:is>
          <ns0:t>N/A</ns0:t>
        </ns0:is>
      </ns0:c>
      <ns0:c r="BP227" s="74" t="inlineStr">
        <ns0:is>
          <ns0:t>N/A</ns0:t>
        </ns0:is>
      </ns0:c>
      <ns0:c r="BQ227" s="74" t="inlineStr">
        <ns0:is>
          <ns0:t>N/A</ns0:t>
        </ns0:is>
      </ns0:c>
      <ns0:c r="BR227" s="74" t="inlineStr">
        <ns0:is>
          <ns0:t>N/A</ns0:t>
        </ns0:is>
      </ns0:c>
      <ns0:c r="BS227" s="74" t="inlineStr">
        <ns0:is>
          <ns0:t>N/A</ns0:t>
        </ns0:is>
      </ns0:c>
      <ns0:c r="BT227" s="74" t="inlineStr">
        <ns0:is>
          <ns0:t>N/A</ns0:t>
        </ns0:is>
      </ns0:c>
      <ns0:c r="BU227" s="91" t="inlineStr">
        <ns0:is>
          <ns0:t>China International Capital Corporation Hong Kong Securities Limited; GF Capital (Hong Kong) Limited</ns0:t>
        </ns0:is>
      </ns0:c>
      <ns0:c r="BV227" s="74" t="inlineStr">
        <ns0:is>
          <ns0:t>China International Capital Corporation Hong Kong Securities Limited; GF Capital (Hong Kong) Limited</ns0:t>
        </ns0:is>
      </ns0:c>
      <ns0:c r="BW227" s="74" t="inlineStr">
        <ns0:is>
          <ns0:t>China International Capital Corporation Hong Kong Securities Limited; GF Securities (Hong Kong) Brokerage Limited; Citigroup Global Markets Asia Limited; Citigroup Global Markets Limited; London E14 5LB United Kingdom Valuable Capital Limited</ns0:t>
        </ns0:is>
      </ns0:c>
      <ns0:c r="BX227" s="74" t="inlineStr">
        <ns0:is>
          <ns0:t>Citigroup Global Markets Asia Limited; China International Capital Corporation Hong Kong Securities Limited; Futu Securities International (Hong Kong) Limited; GF Securities (Hong Kong) Brokerage Limited; Tiger Brokers (HK) Global Limited; Valuable Capital Limited</ns0:t>
        </ns0:is>
      </ns0:c>
      <ns0:c r="BY227" s="93">
        <ns0:f>HYPERLINK("https://www1.hkexnews.hk/listedco/listconews/sehk/2023/1130/2023113000061.pdf","prospectus")</ns0:f>
        <ns0:v/>
      </ns0:c>
      <ns0:c r="BZ227" s="93">
        <ns0:f>HYPERLINK("https://www1.hkexnews.hk/listedco/listconews/sehk/2023/1211/2023121101204.pdf","allotment")</ns0:f>
        <ns0:v/>
      </ns0:c>
      <ns0:c r="CA227" s="93">
        <ns0:f>HYPERLINK("https://www1.hkexnews.hk/listedco/listconews/sehk/2024/0108/2024010800315.pdf","stabilisation")</ns0:f>
        <ns0:v/>
      </ns0:c>
      <ns0:c r="CB227" s="94" t="n"/>
      <ns0:c r="CC227" s="74" t="inlineStr"/>
    </ns0:row>
    <ns0:row r="228" ht="22" customHeight="1">
      <ns0:c r="A228" s="73" t="inlineStr">
        <ns0:is>
          <ns0:t>0666</ns0:t>
        </ns0:is>
      </ns0:c>
      <ns0:c r="B228" s="74" t="inlineStr">
        <ns0:is>
          <ns0:t>REPT BATTERO</ns0:t>
        </ns0:is>
      </ns0:c>
      <ns0:c r="C228" s="74" t="inlineStr">
        <ns0:is>
          <ns0:t>瑞浦蘭鈞</ns0:t>
        </ns0:is>
      </ns0:c>
      <ns0:c r="D228" s="74" t="inlineStr">
        <ns0:is>
          <ns0:t>Industrials</ns0:t>
        </ns0:is>
      </ns0:c>
      <ns0:c r="E228" s="74" t="inlineStr">
        <ns0:is>
          <ns0:t>Batteries / energy storage</ns0:t>
        </ns0:is>
      </ns0:c>
      <ns0:c r="F228" s="74" t="inlineStr">
        <ns0:is>
          <ns0:t>Battery Products</ns0:t>
        </ns0:is>
      </ns0:c>
      <ns0:c r="G228" s="74" t="inlineStr">
        <ns0:is>
          <ns0:t>Standard</ns0:t>
        </ns0:is>
      </ns0:c>
      <ns0:c r="H228" s="75" t="n">
        <ns0:v>45278</ns0:v>
      </ns0:c>
      <ns0:c r="I228" s="76" t="n">
        <ns0:v>2124.1</ns0:v>
      </ns0:c>
      <ns0:c r="J228" s="74" t="inlineStr">
        <ns0:is>
          <ns0:t>gross (price x shares)</ns0:t>
        </ns0:is>
      </ns0:c>
      <ns0:c r="K228" s="77" t="n">
        <ns0:v>18.2</ns0:v>
      </ns0:c>
      <ns0:c r="L228" s="77" t="n">
        <ns0:v>20.6</ns0:v>
      </ns0:c>
      <ns0:c r="M228" s="77" t="n">
        <ns0:v>18.3</ns0:v>
      </ns0:c>
      <ns0:c r="N228" s="74" t="inlineStr">
        <ns0:is>
          <ns0:t>N</ns0:t>
        </ns0:is>
      </ns0:c>
      <ns0:c r="O228" s="78" t="n">
        <ns0:v>88.8</ns0:v>
      </ns0:c>
      <ns0:c r="P228" s="78" t="n">
        <ns0:v>4.2</ns0:v>
      </ns0:c>
      <ns0:c r="Q228" s="79" t="n">
        <ns0:v>41666.8</ns0:v>
      </ns0:c>
      <ns0:c r="R228" s="74" t="inlineStr">
        <ns0:is>
          <ns0:t>derived:price x shares upon listing</ns0:t>
        </ns0:is>
      </ns0:c>
      <ns0:c r="S228" s="80" t="n">
        <ns0:v>1.27</ns0:v>
      </ns0:c>
      <ns0:c r="T228" s="81" t="n">
        <ns0:v>1.21</ns0:v>
      </ns0:c>
      <ns0:c r="U228" s="82" t="n">
        <ns0:v>0</ns0:v>
      </ns0:c>
      <ns0:c r="V228" s="83" t="n">
        <ns0:v>123</ns0:v>
      </ns0:c>
      <ns0:c r="W228" s="78" t="n">
        <ns0:v>10</ns0:v>
      </ns0:c>
      <ns0:c r="X228" s="74" t="inlineStr">
        <ns0:is>
          <ns0:t>NO</ns0:t>
        </ns0:is>
      </ns0:c>
      <ns0:c r="Y228" s="79" t="n">
        <ns0:v>2124.1</ns0:v>
      </ns0:c>
      <ns0:c r="Z228" s="79" t="n">
        <ns0:v>116070200</ns0:v>
      </ns0:c>
      <ns0:c r="AA228" s="78" t="n">
        <ns0:v>5.1</ns0:v>
      </ns0:c>
      <ns0:c r="AB228" s="74" t="inlineStr">
        <ns0:is>
          <ns0:t>none — no cornerstone tranche</ns0:t>
        </ns0:is>
      </ns0:c>
      <ns0:c r="AC228" s="74" t="inlineStr">
        <ns0:is>
          <ns0:t>none</ns0:t>
        </ns0:is>
      </ns0:c>
      <ns0:c r="AD228" s="84" t="n"/>
      <ns0:c r="AE228" s="85" t="n"/>
      <ns0:c r="AF228" s="85" t="n"/>
      <ns0:c r="AG228" s="85" t="n"/>
      <ns0:c r="AH228" s="85" t="n"/>
      <ns0:c r="AI228" s="86" t="n">
        <ns0:v>0.66</ns0:v>
      </ns0:c>
      <ns0:c r="AJ228" s="87" t="n">
        <ns0:v>2.62</ns0:v>
      </ns0:c>
      <ns0:c r="AK228" s="87" t="n">
        <ns0:v>-0.85</ns0:v>
      </ns0:c>
      <ns0:c r="AL228" s="87" t="n">
        <ns0:v>1.64</ns0:v>
      </ns0:c>
      <ns0:c r="AM228" s="87" t="n">
        <ns0:v>0.96</ns0:v>
      </ns0:c>
      <ns0:c r="AN228" s="89" t="n">
        <ns0:v>0.14</ns0:v>
      </ns0:c>
      <ns0:c r="AO228" s="78" t="n">
        <ns0:v>5.91</ns0:v>
      </ns0:c>
      <ns0:c r="AP228" s="87" t="n">
        <ns0:v>0.77</ns0:v>
      </ns0:c>
      <ns0:c r="AQ228" s="87" t="n">
        <ns0:v>3.39</ns0:v>
      </ns0:c>
      <ns0:c r="AR228" s="87" t="n">
        <ns0:v>-21.09</ns0:v>
      </ns0:c>
      <ns0:c r="AS228" s="87" t="n">
        <ns0:v>-1.8</ns0:v>
      </ns0:c>
      <ns0:c r="AT228" s="87" t="n">
        <ns0:v>0.75</ns0:v>
      </ns0:c>
      <ns0:c r="AU228" s="87" t="n">
        <ns0:v>-23.1</ns0:v>
      </ns0:c>
      <ns0:c r="AV228" s="87" t="n">
        <ns0:v>2.48</ns0:v>
      </ns0:c>
      <ns0:c r="AW228" s="87" t="n">
        <ns0:v>13.42</ns0:v>
      </ns0:c>
      <ns0:c r="AX228" s="87" t="n">
        <ns0:v>-23.07</ns0:v>
      </ns0:c>
      <ns0:c r="AY228" s="87" t="n">
        <ns0:v>10.01</ns0:v>
      </ns0:c>
      <ns0:c r="AZ228" s="87" t="n">
        <ns0:v>-10.03</ns0:v>
      </ns0:c>
      <ns0:c r="BA228" s="87" t="n">
        <ns0:v>-9.26</ns0:v>
      </ns0:c>
      <ns0:c r="BB228" s="74" t="inlineStr">
        <ns0:is>
          <ns0:t>Hang Seng Commerce &amp; Industry sub-index</ns0:t>
        </ns0:is>
      </ns0:c>
      <ns0:c r="BC228" s="87" t="n">
        <ns0:v>-54.64</ns0:v>
      </ns0:c>
      <ns0:c r="BD228" s="75" t="n">
        <ns0:v>46297</ns0:v>
      </ns0:c>
      <ns0:c r="BE228" s="76" t="n">
        <ns0:v>16112.6</ns0:v>
      </ns0:c>
      <ns0:c r="BF228" s="79" t="n">
        <ns0:v>-495.9</ns0:v>
      </ns0:c>
      <ns0:c r="BG228" s="74" t="inlineStr">
        <ns0:is>
          <ns0:t>N</ns0:t>
        </ns0:is>
      </ns0:c>
      <ns0:c r="BH228" s="74" t="inlineStr">
        <ns0:is>
          <ns0:t>n/m</ns0:t>
        </ns0:is>
      </ns0:c>
      <ns0:c r="BI228" s="88" t="n"/>
      <ns0:c r="BJ228" s="88" t="n"/>
      <ns0:c r="BK228" s="89" t="n">
        <ns0:v>2.6</ns0:v>
      </ns0:c>
      <ns0:c r="BL228" s="90">
        <ns0:f>IFERROR(IF('BBG Verify'!S228="","Awaiting Bloomberg",'BBG Verify'!S228),"Awaiting Bloomberg")</ns0:f>
        <ns0:v/>
      </ns0:c>
      <ns0:c r="BM228" s="91" t="inlineStr">
        <ns0:is>
          <ns0:t>N</ns0:t>
        </ns0:is>
      </ns0:c>
      <ns0:c r="BN228" s="92">
        <ns0:f>IFERROR(IF('BBG Verify'!K228="","Awaiting Bloomberg",'BBG Verify'!K228),"Awaiting Bloomberg")</ns0:f>
        <ns0:v/>
      </ns0:c>
      <ns0:c r="BO228" s="74" t="inlineStr">
        <ns0:is>
          <ns0:t>N/A</ns0:t>
        </ns0:is>
      </ns0:c>
      <ns0:c r="BP228" s="74" t="inlineStr">
        <ns0:is>
          <ns0:t>N/A</ns0:t>
        </ns0:is>
      </ns0:c>
      <ns0:c r="BQ228" s="74" t="inlineStr">
        <ns0:is>
          <ns0:t>N/A</ns0:t>
        </ns0:is>
      </ns0:c>
      <ns0:c r="BR228" s="74" t="inlineStr">
        <ns0:is>
          <ns0:t>N/A</ns0:t>
        </ns0:is>
      </ns0:c>
      <ns0:c r="BS228" s="74" t="inlineStr">
        <ns0:is>
          <ns0:t>N/A</ns0:t>
        </ns0:is>
      </ns0:c>
      <ns0:c r="BT228" s="74" t="inlineStr">
        <ns0:is>
          <ns0:t>N/A</ns0:t>
        </ns0:is>
      </ns0:c>
      <ns0:c r="BU228" s="91" t="inlineStr">
        <ns0:is>
          <ns0:t>Morgan Stanley Asia Limited; CITIC Securities (Hong Kong) Limited</ns0:t>
        </ns0:is>
      </ns0:c>
      <ns0:c r="BV228" s="74" t="inlineStr">
        <ns0:is>
          <ns0:t>Morgan Stanley Asia Limited; CITIC Securities (Hong Kong) Limited</ns0:t>
        </ns0:is>
      </ns0:c>
      <ns0:c r="BW228" s="74" t="inlineStr">
        <ns0:is>
          <ns0:t>Morgan Stanley Asia Limited; CLSA Limited; The Hongkong and Shanghai Banking Corporation Limited; China Galaxy International Securities (Hong Kong) Co., Limited; China International Capital Corporation Hong Kong Securities Limited; Guotai Junan Securities (Hong Kong) Limited; CMB International Capital Limited; BOCI Asia Limited; ABCI Capital Limited</ns0:t>
        </ns0:is>
      </ns0:c>
      <ns0:c r="BX228" s="74" t="inlineStr">
        <ns0:is>
          <ns0: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ns0:t>
        </ns0:is>
      </ns0:c>
      <ns0:c r="BY228" s="93">
        <ns0:f>HYPERLINK("https://www1.hkexnews.hk/listedco/listconews/sehk/2023/1208/2023120800019.pdf","prospectus")</ns0:f>
        <ns0:v/>
      </ns0:c>
      <ns0:c r="BZ228" s="93">
        <ns0:f>HYPERLINK("https://www1.hkexnews.hk/listedco/listconews/sehk/2023/1215/2023121501598.pdf","allotment")</ns0:f>
        <ns0:v/>
      </ns0:c>
      <ns0:c r="CA228" s="85" t="n"/>
      <ns0:c r="CB228" s="94" t="n"/>
      <ns0:c r="CC228" s="74" t="inlineStr">
        <ns0:is>
          <ns0:t>P/E: loss-making at IPO, use P/S; greenshoe: no over-allotment option; cornerstone list: no cornerstone tranche; greenshoe size: no over-allotment option; stabilising manager: filing states none appointed (allotment announcement: 'no stabilizing manager will be appointed' stated in the filing)</ns0:t>
        </ns0:is>
      </ns0:c>
    </ns0:row>
    <ns0:row r="229" ht="22" customHeight="1">
      <ns0:c r="A229" s="73" t="inlineStr">
        <ns0:is>
          <ns0:t>2502</ns0:t>
        </ns0:is>
      </ns0:c>
      <ns0:c r="B229" s="74" t="inlineStr">
        <ns0:is>
          <ns0:t>JINYUAN HCHEM</ns0:t>
        </ns0:is>
      </ns0:c>
      <ns0:c r="C229" s="74" t="inlineStr">
        <ns0:is>
          <ns0:t>金源氫化</ns0:t>
        </ns0:is>
      </ns0:c>
      <ns0:c r="D229" s="74" t="inlineStr">
        <ns0:is>
          <ns0:t>Materials/Energy</ns0:t>
        </ns0:is>
      </ns0:c>
      <ns0:c r="E229" s="74" t="inlineStr">
        <ns0:is>
          <ns0:t>Chemicals</ns0:t>
        </ns0:is>
      </ns0:c>
      <ns0:c r="F229" s="74" t="inlineStr">
        <ns0:is>
          <ns0:t>Diversified Chemicals</ns0:t>
        </ns0:is>
      </ns0:c>
      <ns0:c r="G229" s="74" t="inlineStr">
        <ns0:is>
          <ns0:t>Standard</ns0:t>
        </ns0:is>
      </ns0:c>
      <ns0:c r="H229" s="75" t="n">
        <ns0:v>45280</ns0:v>
      </ns0:c>
      <ns0:c r="I229" s="76" t="n">
        <ns0:v>286.69</ns0:v>
      </ns0:c>
      <ns0:c r="J229" s="74" t="inlineStr">
        <ns0:is>
          <ns0:t>gross (stated)</ns0:t>
        </ns0:is>
      </ns0:c>
      <ns0:c r="K229" s="77" t="n">
        <ns0:v>1.1</ns0:v>
      </ns0:c>
      <ns0:c r="L229" s="77" t="n">
        <ns0:v>1.5</ns0:v>
      </ns0:c>
      <ns0:c r="M229" s="77" t="n">
        <ns0:v>1.2</ns0:v>
      </ns0:c>
      <ns0:c r="N229" s="74" t="inlineStr">
        <ns0:is>
          <ns0:t>N</ns0:t>
        </ns0:is>
      </ns0:c>
      <ns0:c r="O229" s="78" t="n">
        <ns0:v>80</ns0:v>
      </ns0:c>
      <ns0:c r="P229" s="78" t="n">
        <ns0:v>25</ns0:v>
      </ns0:c>
      <ns0:c r="Q229" s="79" t="n">
        <ns0:v>1146.8</ns0:v>
      </ns0:c>
      <ns0:c r="R229" s="74" t="inlineStr">
        <ns0:is>
          <ns0:t>derived:price x shares upon listing</ns0:t>
        </ns0:is>
      </ns0:c>
      <ns0:c r="S229" s="80" t="n">
        <ns0:v>42.82</ns0:v>
      </ns0:c>
      <ns0:c r="T229" s="81" t="n">
        <ns0:v>1.07</ns0:v>
      </ns0:c>
      <ns0:c r="U229" s="82" t="n">
        <ns0:v>50.95</ns0:v>
      </ns0:c>
      <ns0:c r="V229" s="83" t="n">
        <ns0:v>117</ns0:v>
      </ns0:c>
      <ns0:c r="W229" s="78" t="n">
        <ns0:v>30</ns0:v>
      </ns0:c>
      <ns0:c r="X229" s="74" t="inlineStr">
        <ns0:is>
          <ns0:t>YES</ns0:t>
        </ns0:is>
      </ns0:c>
      <ns0:c r="Y229" s="79" t="n">
        <ns0:v>140.62</ns0:v>
      </ns0:c>
      <ns0:c r="Z229" s="79" t="n">
        <ns0:v>117185355</ns0:v>
      </ns0:c>
      <ns0:c r="AA229" s="78" t="n">
        <ns0:v>12.26</ns0:v>
      </ns0:c>
      <ns0:c r="AB229" s="74" t="inlineStr">
        <ns0:is>
          <ns0:t>Zhongsheng Holdings Company Limited; Genesis M Co., Limited; Prosperity Steel United Singapore Pte. Ltd; Max Success Group Holdings Limited</ns0:t>
        </ns0:is>
      </ns0:c>
      <ns0:c r="AC229" s="74" t="inlineStr">
        <ns0:is>
          <ns0:t>zhongsheng;genesis;prosperity;max</ns0:t>
        </ns0:is>
      </ns0:c>
      <ns0:c r="AD229" s="78" t="n">
        <ns0:v>5</ns0:v>
      </ns0:c>
      <ns0:c r="AE229" s="74" t="inlineStr">
        <ns0:is>
          <ns0:t>lapsed</ns0:t>
        </ns0:is>
      </ns0:c>
      <ns0:c r="AF229" s="74" t="inlineStr">
        <ns0:is>
          <ns0:t>2024-01-14</ns0:t>
        </ns0:is>
      </ns0:c>
      <ns0:c r="AG229" s="74" t="inlineStr">
        <ns0:is>
          <ns0:t>Haitong International Securities Company Limited</ns0:t>
        </ns0:is>
      </ns0:c>
      <ns0:c r="AH229" s="74" t="inlineStr">
        <ns0:is>
          <ns0:t>Haitong</ns0:t>
        </ns0:is>
      </ns0:c>
      <ns0:c r="AI229" s="86" t="n">
        <ns0:v>-8.33</ns0:v>
      </ns0:c>
      <ns0:c r="AJ229" s="87" t="n">
        <ns0:v>-27.5</ns0:v>
      </ns0:c>
      <ns0:c r="AK229" s="87" t="n">
        <ns0:v>0.7</ns0:v>
      </ns0:c>
      <ns0:c r="AL229" s="87" t="n">
        <ns0:v>-11.67</ns0:v>
      </ns0:c>
      <ns0:c r="AM229" s="87" t="n">
        <ns0:v>-17.92</ns0:v>
      </ns0:c>
      <ns0:c r="AN229" s="89" t="n">
        <ns0:v>0.64</ns0:v>
      </ns0:c>
      <ns0:c r="AO229" s="78" t="n">
        <ns0:v>20.75</ns0:v>
      </ns0:c>
      <ns0:c r="AP229" s="87" t="n">
        <ns0:v>-20.83</ns0:v>
      </ns0:c>
      <ns0:c r="AQ229" s="87" t="n">
        <ns0:v>-28.33</ns0:v>
      </ns0:c>
      <ns0:c r="AR229" s="87" t="n">
        <ns0:v>-37.5</ns0:v>
      </ns0:c>
      <ns0:c r="AS229" s="87" t="n">
        <ns0:v>9.199999999999999</ns0:v>
      </ns0:c>
      <ns0:c r="AT229" s="87" t="n">
        <ns0:v>-1.14</ns0:v>
      </ns0:c>
      <ns0:c r="AU229" s="87" t="n">
        <ns0:v>-13.79</ns0:v>
      </ns0:c>
      <ns0:c r="AV229" s="87" t="n">
        <ns0:v>-23.55</ns0:v>
      </ns0:c>
      <ns0:c r="AW229" s="87" t="n">
        <ns0:v>-19.91</ns0:v>
      </ns0:c>
      <ns0:c r="AX229" s="87" t="n">
        <ns0:v>-38.8</ns0:v>
      </ns0:c>
      <ns0:c r="AY229" s="87" t="n">
        <ns0:v>7.92</ns0:v>
      </ns0:c>
      <ns0:c r="AZ229" s="87" t="n">
        <ns0:v>-8.42</ns0:v>
      </ns0:c>
      <ns0:c r="BA229" s="87" t="n">
        <ns0:v>-9.06</ns0:v>
      </ns0:c>
      <ns0:c r="BB229" s="74" t="inlineStr">
        <ns0:is>
          <ns0:t>Hang Seng Commerce &amp; Industry sub-index</ns0:t>
        </ns0:is>
      </ns0:c>
      <ns0:c r="BC229" s="87" t="n">
        <ns0:v>-50</ns0:v>
      </ns0:c>
      <ns0:c r="BD229" s="75" t="n">
        <ns0:v>46297</ns0:v>
      </ns0:c>
      <ns0:c r="BE229" s="76" t="n">
        <ns0:v>2480</ns0:v>
      </ns0:c>
      <ns0:c r="BF229" s="79" t="n">
        <ns0:v>213.5</ns0:v>
      </ns0:c>
      <ns0:c r="BG229" s="74" t="inlineStr">
        <ns0:is>
          <ns0:t>Y</ns0:t>
        </ns0:is>
      </ns0:c>
      <ns0:c r="BH229" s="89" t="n">
        <ns0:v>5.4</ns0:v>
      </ns0:c>
      <ns0:c r="BI229" s="88" t="n"/>
      <ns0:c r="BJ229" s="88" t="n"/>
      <ns0:c r="BK229" s="89" t="n">
        <ns0:v>0.5</ns0:v>
      </ns0:c>
      <ns0:c r="BL229" s="90">
        <ns0:f>IFERROR(IF('BBG Verify'!S229="","Awaiting Bloomberg",'BBG Verify'!S229),"Awaiting Bloomberg")</ns0:f>
        <ns0:v/>
      </ns0:c>
      <ns0:c r="BM229" s="91" t="inlineStr">
        <ns0:is>
          <ns0:t>N</ns0:t>
        </ns0:is>
      </ns0:c>
      <ns0:c r="BN229" s="92">
        <ns0:f>IFERROR(IF('BBG Verify'!K229="","Awaiting Bloomberg",'BBG Verify'!K229),"Awaiting Bloomberg")</ns0:f>
        <ns0:v/>
      </ns0:c>
      <ns0:c r="BO229" s="74" t="inlineStr">
        <ns0:is>
          <ns0:t>N/A</ns0:t>
        </ns0:is>
      </ns0:c>
      <ns0:c r="BP229" s="74" t="inlineStr">
        <ns0:is>
          <ns0:t>N/A</ns0:t>
        </ns0:is>
      </ns0:c>
      <ns0:c r="BQ229" s="74" t="inlineStr">
        <ns0:is>
          <ns0:t>N/A</ns0:t>
        </ns0:is>
      </ns0:c>
      <ns0:c r="BR229" s="74" t="inlineStr">
        <ns0:is>
          <ns0:t>N/A</ns0:t>
        </ns0:is>
      </ns0:c>
      <ns0:c r="BS229" s="74" t="inlineStr">
        <ns0:is>
          <ns0:t>N/A</ns0:t>
        </ns0:is>
      </ns0:c>
      <ns0:c r="BT229" s="74" t="inlineStr">
        <ns0:is>
          <ns0:t>N/A</ns0:t>
        </ns0:is>
      </ns0:c>
      <ns0:c r="BU229" s="91" t="inlineStr">
        <ns0:is>
          <ns0:t>Haitong International Capital Limited</ns0:t>
        </ns0:is>
      </ns0:c>
      <ns0:c r="BV229" s="74" t="inlineStr">
        <ns0:is>
          <ns0:t>Haitong International Capital Limited</ns0:t>
        </ns0:is>
      </ns0:c>
      <ns0:c r="BW229" s="74" t="inlineStr">
        <ns0:is>
          <ns0:t>ABCI Capital Limited; ABCI Securities Company Limited</ns0:t>
        </ns0:is>
      </ns0:c>
      <ns0:c r="BX229" s="74" t="inlineStr">
        <ns0:is>
          <ns0: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ns0:t>
        </ns0:is>
      </ns0:c>
      <ns0:c r="BY229" s="93">
        <ns0:f>HYPERLINK("https://www1.hkexnews.hk/listedco/listconews/sehk/2023/1212/2023121200021.pdf","prospectus")</ns0:f>
        <ns0:v/>
      </ns0:c>
      <ns0:c r="BZ229" s="93">
        <ns0:f>HYPERLINK("https://www1.hkexnews.hk/listedco/listconews/sehk/2023/1219/2023121901110.pdf","allotment")</ns0:f>
        <ns0:v/>
      </ns0:c>
      <ns0:c r="CA229" s="93">
        <ns0:f>HYPERLINK("https://www1.hkexnews.hk/listedco/listconews/sehk/2024/0115/2024011500035.pdf","stabilisation")</ns0:f>
        <ns0:v/>
      </ns0:c>
      <ns0:c r="CB229" s="94" t="n"/>
      <ns0:c r="CC229" s="74" t="inlineStr"/>
    </ns0:row>
    <ns0:row r="230" ht="22" customHeight="1">
      <ns0:c r="A230" s="73" t="inlineStr">
        <ns0:is>
          <ns0:t>1274</ns0:t>
        </ns0:is>
      </ns0:c>
      <ns0:c r="B230" s="74" t="inlineStr">
        <ns0:is>
          <ns0:t>IMOTIONAUTOTECH</ns0:t>
        </ns0:is>
      </ns0:c>
      <ns0:c r="C230" s="74" t="inlineStr">
        <ns0:is>
          <ns0:t>知行科技</ns0:t>
        </ns0:is>
      </ns0:c>
      <ns0:c r="D230" s="74" t="inlineStr">
        <ns0:is>
          <ns0:t>Technology</ns0:t>
        </ns0:is>
      </ns0:c>
      <ns0:c r="E230" s="74" t="inlineStr">
        <ns0:is>
          <ns0:t>Robotics &amp; autonomous driving</ns0:t>
        </ns0:is>
      </ns0:c>
      <ns0:c r="F230" s="74" t="inlineStr">
        <ns0:is>
          <ns0:t>Auto Parts &amp; Equipment</ns0:t>
        </ns0:is>
      </ns0:c>
      <ns0:c r="G230" s="74" t="inlineStr">
        <ns0:is>
          <ns0:t>Standard</ns0:t>
        </ns0:is>
      </ns0:c>
      <ns0:c r="H230" s="75" t="n">
        <ns0:v>45280</ns0:v>
      </ns0:c>
      <ns0:c r="I230" s="76" t="n">
        <ns0:v>655.7</ns0:v>
      </ns0:c>
      <ns0:c r="J230" s="74" t="inlineStr">
        <ns0:is>
          <ns0:t>gross (price x shares)</ns0:t>
        </ns0:is>
      </ns0:c>
      <ns0:c r="K230" s="95" t="n"/>
      <ns0:c r="L230" s="77" t="n">
        <ns0:v>29.65</ns0:v>
      </ns0:c>
      <ns0:c r="M230" s="77" t="n">
        <ns0:v>29.65</ns0:v>
      </ns0:c>
      <ns0:c r="N230" s="74" t="inlineStr">
        <ns0:is>
          <ns0:t>Y</ns0:t>
        </ns0:is>
      </ns0:c>
      <ns0:c r="O230" s="78" t="n">
        <ns0:v>100</ns0:v>
      </ns0:c>
      <ns0:c r="P230" s="84" t="n"/>
      <ns0:c r="Q230" s="79" t="n">
        <ns0:v>6710.7</ns0:v>
      </ns0:c>
      <ns0:c r="R230" s="74" t="inlineStr">
        <ns0:is>
          <ns0:t>derived:price x shares upon listing</ns0:t>
        </ns0:is>
      </ns0:c>
      <ns0:c r="S230" s="80" t="n">
        <ns0:v>6.46</ns0:v>
      </ns0:c>
      <ns0:c r="T230" s="81" t="n">
        <ns0:v>1.07</ns0:v>
      </ns0:c>
      <ns0:c r="U230" s="82" t="n">
        <ns0:v>79.17</ns0:v>
      </ns0:c>
      <ns0:c r="V230" s="83" t="n">
        <ns0:v>120</ns0:v>
      </ns0:c>
      <ns0:c r="W230" s="78" t="n">
        <ns0:v>10</ns0:v>
      </ns0:c>
      <ns0:c r="X230" s="74" t="inlineStr">
        <ns0:is>
          <ns0:t>NO</ns0:t>
        </ns0:is>
      </ns0:c>
      <ns0:c r="Y230" s="79" t="n">
        <ns0:v>136.58</ns0:v>
      </ns0:c>
      <ns0:c r="Z230" s="79" t="n">
        <ns0:v>4606763</ns0:v>
      </ns0:c>
      <ns0:c r="AA230" s="78" t="n">
        <ns0:v>2.04</ns0:v>
      </ns0:c>
      <ns0:c r="AB230" s="74" t="inlineStr">
        <ns0:is>
          <ns0:t>Zhejiang Qixin Zhixing Information Technology Co., Ltd</ns0:t>
        </ns0:is>
      </ns0:c>
      <ns0:c r="AC230" s="74" t="inlineStr">
        <ns0:is>
          <ns0:t>zhejiang</ns0:t>
        </ns0:is>
      </ns0:c>
      <ns0:c r="AD230" s="84" t="n"/>
      <ns0:c r="AE230" s="85" t="n"/>
      <ns0:c r="AF230" s="85" t="n"/>
      <ns0:c r="AG230" s="85" t="n"/>
      <ns0:c r="AH230" s="85" t="n"/>
      <ns0:c r="AI230" s="86" t="n">
        <ns0:v>1.35</ns0:v>
      </ns0:c>
      <ns0:c r="AJ230" s="87" t="n">
        <ns0:v>-12.82</ns0:v>
      </ns0:c>
      <ns0:c r="AK230" s="87" t="n">
        <ns0:v>0.38</ns0:v>
      </ns0:c>
      <ns0:c r="AL230" s="87" t="n">
        <ns0:v>-0.34</ns0:v>
      </ns0:c>
      <ns0:c r="AM230" s="87" t="n">
        <ns0:v>-12.52</ns0:v>
      </ns0:c>
      <ns0:c r="AN230" s="89" t="n">
        <ns0:v>0.79</ns0:v>
      </ns0:c>
      <ns0:c r="AO230" s="78" t="n">
        <ns0:v>16.07</ns0:v>
      </ns0:c>
      <ns0:c r="AP230" s="87" t="n">
        <ns0:v>13.66</ns0:v>
      </ns0:c>
      <ns0:c r="AQ230" s="87" t="n">
        <ns0:v>59.36</ns0:v>
      </ns0:c>
      <ns0:c r="AR230" s="87" t="n">
        <ns0:v>171.5</ns0:v>
      </ns0:c>
      <ns0:c r="AS230" s="87" t="n">
        <ns0:v>30.37</ns0:v>
      </ns0:c>
      <ns0:c r="AT230" s="87" t="n">
        <ns0:v>82.79000000000001</ns0:v>
      </ns0:c>
      <ns0:c r="AU230" s="87" t="n">
        <ns0:v>211.42</ns0:v>
      </ns0:c>
      <ns0:c r="AV230" s="87" t="n">
        <ns0:v>12.12</ns0:v>
      </ns0:c>
      <ns0:c r="AW230" s="87" t="n">
        <ns0:v>74.64</ns0:v>
      </ns0:c>
      <ns0:c r="AX230" s="87" t="n">
        <ns0:v>178.92</ns0:v>
      </ns0:c>
      <ns0:c r="AY230" s="87" t="n">
        <ns0:v>98.40000000000001</ns0:v>
      </ns0:c>
      <ns0:c r="AZ230" s="87" t="n">
        <ns0:v>-15.28</ns0:v>
      </ns0:c>
      <ns0:c r="BA230" s="87" t="n">
        <ns0:v>-15.61</ns0:v>
      </ns0:c>
      <ns0:c r="BB230" s="74" t="inlineStr">
        <ns0:is>
          <ns0:t>HSTECH (Hang Seng TECH ETF)</ns0:t>
        </ns0:is>
      </ns0:c>
      <ns0:c r="BC230" s="87" t="n">
        <ns0:v>-93.68000000000001</ns0:v>
      </ns0:c>
      <ns0:c r="BD230" s="75" t="n">
        <ns0:v>46297</ns0:v>
      </ns0:c>
      <ns0:c r="BE230" s="76" t="n">
        <ns0:v>1458.5</ns0:v>
      </ns0:c>
      <ns0:c r="BF230" s="79" t="n">
        <ns0:v>-376.6</ns0:v>
      </ns0:c>
      <ns0:c r="BG230" s="74" t="inlineStr">
        <ns0:is>
          <ns0:t>N</ns0:t>
        </ns0:is>
      </ns0:c>
      <ns0:c r="BH230" s="74" t="inlineStr">
        <ns0:is>
          <ns0:t>n/m</ns0:t>
        </ns0:is>
      </ns0:c>
      <ns0:c r="BI230" s="88" t="n"/>
      <ns0:c r="BJ230" s="88" t="n"/>
      <ns0:c r="BK230" s="89" t="n">
        <ns0:v>4.6</ns0:v>
      </ns0:c>
      <ns0:c r="BL230" s="90">
        <ns0:f>IFERROR(IF('BBG Verify'!S230="","Awaiting Bloomberg",'BBG Verify'!S230),"Awaiting Bloomberg")</ns0:f>
        <ns0:v/>
      </ns0:c>
      <ns0:c r="BM230" s="91" t="inlineStr">
        <ns0:is>
          <ns0:t>N</ns0:t>
        </ns0:is>
      </ns0:c>
      <ns0:c r="BN230" s="92">
        <ns0:f>IFERROR(IF('BBG Verify'!K230="","Awaiting Bloomberg",'BBG Verify'!K230),"Awaiting Bloomberg")</ns0:f>
        <ns0:v/>
      </ns0:c>
      <ns0:c r="BO230" s="74" t="inlineStr">
        <ns0:is>
          <ns0:t>N/A</ns0:t>
        </ns0:is>
      </ns0:c>
      <ns0:c r="BP230" s="74" t="inlineStr">
        <ns0:is>
          <ns0:t>N/A</ns0:t>
        </ns0:is>
      </ns0:c>
      <ns0:c r="BQ230" s="74" t="inlineStr">
        <ns0:is>
          <ns0:t>N/A</ns0:t>
        </ns0:is>
      </ns0:c>
      <ns0:c r="BR230" s="74" t="inlineStr">
        <ns0:is>
          <ns0:t>N/A</ns0:t>
        </ns0:is>
      </ns0:c>
      <ns0:c r="BS230" s="74" t="inlineStr">
        <ns0:is>
          <ns0:t>N/A</ns0:t>
        </ns0:is>
      </ns0:c>
      <ns0:c r="BT230" s="74" t="inlineStr">
        <ns0:is>
          <ns0:t>N/A</ns0:t>
        </ns0:is>
      </ns0:c>
      <ns0:c r="BU230" s="91" t="inlineStr">
        <ns0:is>
          <ns0:t>Citigroup Global Markets Asia Limited; Huatai Financial Holdings (Hong Kong) Limited; CCB International Capital Limited</ns0:t>
        </ns0:is>
      </ns0:c>
      <ns0:c r="BV230" s="74" t="inlineStr">
        <ns0:is>
          <ns0:t>CCB International Capital Limited; Huatai Financial Holdings (Hong Kong) Limited; Citigroup Global Markets Asia Limited</ns0:t>
        </ns0:is>
      </ns0:c>
      <ns0:c r="BW230" s="74" t="inlineStr">
        <ns0:is>
          <ns0: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ns0:t>
        </ns0:is>
      </ns0:c>
      <ns0:c r="BX230" s="74" t="inlineStr">
        <ns0:is>
          <ns0: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ns0:t>
        </ns0:is>
      </ns0:c>
      <ns0:c r="BY230" s="93">
        <ns0:f>HYPERLINK("https://www1.hkexnews.hk/listedco/listconews/sehk/2023/1212/2023121200019.pdf","prospectus")</ns0:f>
        <ns0:v/>
      </ns0:c>
      <ns0:c r="BZ230" s="93">
        <ns0:f>HYPERLINK("https://www1.hkexnews.hk/listedco/listconews/sehk/2023/1219/2023121901176.pdf","allotment")</ns0:f>
        <ns0:v/>
      </ns0:c>
      <ns0:c r="CA230" s="85" t="n"/>
      <ns0:c r="CB230" s="94" t="n"/>
      <ns0:c r="CC230" s="74" t="inlineStr">
        <ns0:is>
          <ns0:t>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ns0:t>
        </ns0:is>
      </ns0:c>
    </ns0:row>
    <ns0:row r="231" ht="22" customHeight="1">
      <ns0:c r="A231" s="73" t="inlineStr">
        <ns0:is>
          <ns0:t>2516</ns0:t>
        </ns0:is>
      </ns0:c>
      <ns0:c r="B231" s="74" t="inlineStr">
        <ns0:is>
          <ns0:t>FAR INTL</ns0:t>
        </ns0:is>
      </ns0:c>
      <ns0:c r="C231" s="74" t="inlineStr">
        <ns0:is>
          <ns0:t>泛遠國際</ns0:t>
        </ns0:is>
      </ns0:c>
      <ns0:c r="D231" s="74" t="inlineStr">
        <ns0:is>
          <ns0:t>Industrials</ns0:t>
        </ns0:is>
      </ns0:c>
      <ns0:c r="E231" s="74" t="inlineStr">
        <ns0:is>
          <ns0:t>Logistics</ns0:t>
        </ns0:is>
      </ns0:c>
      <ns0:c r="F231" s="74" t="inlineStr">
        <ns0:is>
          <ns0:t>Air Freight &amp; Logistics</ns0:t>
        </ns0:is>
      </ns0:c>
      <ns0:c r="G231" s="74" t="inlineStr">
        <ns0:is>
          <ns0:t>Standard</ns0:t>
        </ns0:is>
      </ns0:c>
      <ns0:c r="H231" s="75" t="n">
        <ns0:v>45282</ns0:v>
      </ns0:c>
      <ns0:c r="I231" s="76" t="n">
        <ns0:v>126</ns0:v>
      </ns0:c>
      <ns0:c r="J231" s="74" t="inlineStr">
        <ns0:is>
          <ns0:t>gross (price x shares)</ns0:t>
        </ns0:is>
      </ns0:c>
      <ns0:c r="K231" s="95" t="n"/>
      <ns0:c r="L231" s="77" t="n">
        <ns0:v>0.9</ns0:v>
      </ns0:c>
      <ns0:c r="M231" s="77" t="n">
        <ns0:v>0.9</ns0:v>
      </ns0:c>
      <ns0:c r="N231" s="74" t="inlineStr">
        <ns0:is>
          <ns0:t>Y</ns0:t>
        </ns0:is>
      </ns0:c>
      <ns0:c r="O231" s="78" t="n">
        <ns0:v>100</ns0:v>
      </ns0:c>
      <ns0:c r="P231" s="84" t="n"/>
      <ns0:c r="Q231" s="79" t="n">
        <ns0:v>702</ns0:v>
      </ns0:c>
      <ns0:c r="R231" s="74" t="inlineStr">
        <ns0:is>
          <ns0:t>derived:price x shares upon listing</ns0:t>
        </ns0:is>
      </ns0:c>
      <ns0:c r="S231" s="80" t="n">
        <ns0:v>14.49</ns0:v>
      </ns0:c>
      <ns0:c r="T231" s="81" t="n">
        <ns0:v>1.04</ns0:v>
      </ns0:c>
      <ns0:c r="U231" s="82" t="n">
        <ns0:v>39.68</ns0:v>
      </ns0:c>
      <ns0:c r="V231" s="83" t="n">
        <ns0:v>130</ns0:v>
      </ns0:c>
      <ns0:c r="W231" s="78" t="n">
        <ns0:v>10</ns0:v>
      </ns0:c>
      <ns0:c r="X231" s="74" t="inlineStr">
        <ns0:is>
          <ns0:t>NO</ns0:t>
        </ns0:is>
      </ns0:c>
      <ns0:c r="Y231" s="79" t="n">
        <ns0:v>76</ns0:v>
      </ns0:c>
      <ns0:c r="Z231" s="79" t="n">
        <ns0:v>84448000</ns0:v>
      </ns0:c>
      <ns0:c r="AA231" s="78" t="n">
        <ns0:v>10.83</ns0:v>
      </ns0:c>
      <ns0:c r="AB231" s="74" t="inlineStr">
        <ns0:is>
          <ns0:t>Liu Liyun; Guo Shaojun; Yang Yingwu</ns0:t>
        </ns0:is>
      </ns0:c>
      <ns0:c r="AC231" s="74" t="inlineStr">
        <ns0:is>
          <ns0:t>liu-liyun;guo-shaojun;yang-yingwu</ns0:t>
        </ns0:is>
      </ns0:c>
      <ns0:c r="AD231" s="84" t="n"/>
      <ns0:c r="AE231" s="74" t="inlineStr">
        <ns0:is>
          <ns0:t>lapsed (no over-allocation)</ns0:t>
        </ns0:is>
      </ns0:c>
      <ns0:c r="AF231" s="85" t="n"/>
      <ns0:c r="AG231" s="74" t="inlineStr">
        <ns0:is>
          <ns0:t>Grand Moore Capital Limited</ns0:t>
        </ns0:is>
      </ns0:c>
      <ns0:c r="AH231" s="74" t="inlineStr">
        <ns0:is>
          <ns0:t>Grand Moore</ns0:t>
        </ns0:is>
      </ns0:c>
      <ns0:c r="AI231" s="86" t="n">
        <ns0:v>28.89</ns0:v>
      </ns0:c>
      <ns0:c r="AJ231" s="87" t="n">
        <ns0:v>11.11</ns0:v>
      </ns0:c>
      <ns0:c r="AK231" s="87" t="n">
        <ns0:v>-3</ns0:v>
      </ns0:c>
      <ns0:c r="AL231" s="87" t="n">
        <ns0:v>44.44</ns0:v>
      </ns0:c>
      <ns0:c r="AM231" s="87" t="n">
        <ns0:v>-23.08</ns0:v>
      </ns0:c>
      <ns0:c r="AN231" s="89" t="n">
        <ns0:v>2.65</ns0:v>
      </ns0:c>
      <ns0:c r="AO231" s="78" t="n">
        <ns0:v>31.54</ns0:v>
      </ns0:c>
      <ns0:c r="AP231" s="87" t="n">
        <ns0:v>6.67</ns0:v>
      </ns0:c>
      <ns0:c r="AQ231" s="87" t="n">
        <ns0:v>-7.78</ns0:v>
      </ns0:c>
      <ns0:c r="AR231" s="87" t="n">
        <ns0:v>-36.67</ns0:v>
      </ns0:c>
      <ns0:c r="AS231" s="87" t="n">
        <ns0:v>-4</ns0:v>
      </ns0:c>
      <ns0:c r="AT231" s="87" t="n">
        <ns0:v>-17</ns0:v>
      </ns0:c>
      <ns0:c r="AU231" s="87" t="n">
        <ns0:v>-43</ns0:v>
      </ns0:c>
      <ns0:c r="AV231" s="87" t="n">
        <ns0:v>6.82</ns0:v>
      </ns0:c>
      <ns0:c r="AW231" s="87" t="n">
        <ns0:v>-4.31</ns0:v>
      </ns0:c>
      <ns0:c r="AX231" s="87" t="n">
        <ns0:v>-37.02</ns0:v>
      </ns0:c>
      <ns0:c r="AY231" s="87" t="n">
        <ns0:v>-16.51</ns0:v>
      </ns0:c>
      <ns0:c r="AZ231" s="87" t="n">
        <ns0:v>-3.47</ns0:v>
      </ns0:c>
      <ns0:c r="BA231" s="87" t="n">
        <ns0:v>-0.49</ns0:v>
      </ns0:c>
      <ns0:c r="BB231" s="74" t="inlineStr">
        <ns0:is>
          <ns0:t>Hang Seng Commerce &amp; Industry sub-index</ns0:t>
        </ns0:is>
      </ns0:c>
      <ns0:c r="BC231" s="87" t="n">
        <ns0:v>-26.67</ns0:v>
      </ns0:c>
      <ns0:c r="BD231" s="75" t="n">
        <ns0:v>46297</ns0:v>
      </ns0:c>
      <ns0:c r="BE231" s="76" t="n">
        <ns0:v>1377.2</ns0:v>
      </ns0:c>
      <ns0:c r="BF231" s="79" t="n">
        <ns0:v>28.4</ns0:v>
      </ns0:c>
      <ns0:c r="BG231" s="74" t="inlineStr">
        <ns0:is>
          <ns0:t>Y</ns0:t>
        </ns0:is>
      </ns0:c>
      <ns0:c r="BH231" s="89" t="n">
        <ns0:v>24.7</ns0:v>
      </ns0:c>
      <ns0:c r="BI231" s="88" t="n"/>
      <ns0:c r="BJ231" s="89" t="n">
        <ns0:v>115.1</ns0:v>
      </ns0:c>
      <ns0:c r="BK231" s="89" t="n">
        <ns0:v>0.5</ns0:v>
      </ns0:c>
      <ns0:c r="BL231" s="90">
        <ns0:f>IFERROR(IF('BBG Verify'!S231="","Awaiting Bloomberg",'BBG Verify'!S231),"Awaiting Bloomberg")</ns0:f>
        <ns0:v/>
      </ns0:c>
      <ns0:c r="BM231" s="91" t="inlineStr">
        <ns0:is>
          <ns0:t>N</ns0:t>
        </ns0:is>
      </ns0:c>
      <ns0:c r="BN231" s="92">
        <ns0:f>IFERROR(IF('BBG Verify'!K231="","Awaiting Bloomberg",'BBG Verify'!K231),"Awaiting Bloomberg")</ns0:f>
        <ns0:v/>
      </ns0:c>
      <ns0:c r="BO231" s="74" t="inlineStr">
        <ns0:is>
          <ns0:t>N/A</ns0:t>
        </ns0:is>
      </ns0:c>
      <ns0:c r="BP231" s="74" t="inlineStr">
        <ns0:is>
          <ns0:t>N/A</ns0:t>
        </ns0:is>
      </ns0:c>
      <ns0:c r="BQ231" s="74" t="inlineStr">
        <ns0:is>
          <ns0:t>N/A</ns0:t>
        </ns0:is>
      </ns0:c>
      <ns0:c r="BR231" s="74" t="inlineStr">
        <ns0:is>
          <ns0:t>N/A</ns0:t>
        </ns0:is>
      </ns0:c>
      <ns0:c r="BS231" s="74" t="inlineStr">
        <ns0:is>
          <ns0:t>N/A</ns0:t>
        </ns0:is>
      </ns0:c>
      <ns0:c r="BT231" s="74" t="inlineStr">
        <ns0:is>
          <ns0:t>N/A</ns0:t>
        </ns0:is>
      </ns0:c>
      <ns0:c r="BU231" s="91" t="inlineStr">
        <ns0:is>
          <ns0:t>Grand Moore Capital Limited</ns0:t>
        </ns0:is>
      </ns0:c>
      <ns0:c r="BV231" s="74" t="inlineStr">
        <ns0:is>
          <ns0:t>Grand Moore Capital Limited</ns0:t>
        </ns0:is>
      </ns0:c>
      <ns0:c r="BW231" s="74" t="inlineStr">
        <ns0:is>
          <ns0:t>Grand Moore Capital Limited; Valuable Capital Limited</ns0:t>
        </ns0:is>
      </ns0:c>
      <ns0:c r="BX231" s="74" t="inlineStr">
        <ns0:is>
          <ns0:t>CMBC Securities Company Limited; China PA Securities (Hong Kong) Company Limited; Grand Moore Capital Limited; ICBC International Securities Limited; Shenwan Hongyuan Securities (H.K.) Limited; Valuable Capital Limited</ns0:t>
        </ns0:is>
      </ns0:c>
      <ns0:c r="BY231" s="93">
        <ns0:f>HYPERLINK("https://www1.hkexnews.hk/listedco/listconews/sehk/2023/1212/2023121200092.htm","prospectus")</ns0:f>
        <ns0:v/>
      </ns0:c>
      <ns0:c r="BZ231" s="93">
        <ns0:f>HYPERLINK("https://www1.hkexnews.hk/listedco/listconews/sehk/2023/1221/2023122101228.pdf","allotment")</ns0:f>
        <ns0:v/>
      </ns0:c>
      <ns0:c r="CA231" s="93">
        <ns0:f>HYPERLINK("https://www1.hkexnews.hk/listedco/listconews/sehk/2024/0118/2024011800257.pdf","stabilisation")</ns0:f>
        <ns0:v/>
      </ns0:c>
      <ns0:c r="CB231" s="94" t="n"/>
      <ns0:c r="CC231" s="74" t="inlineStr">
        <ns0:is>
          <ns0:t>greenshoe: outcome published; expiry date not in the notice; price range: fixed-price offering (no indicative range); range low: maximum offer price only, no floor published; greenshoe size: no over-allotment option</ns0:t>
        </ns0:is>
      </ns0:c>
    </ns0:row>
    <ns0:row r="232" ht="22" customHeight="1">
      <ns0:c r="A232" s="73" t="inlineStr">
        <ns0:is>
          <ns0:t>2489</ns0:t>
        </ns0:is>
      </ns0:c>
      <ns0:c r="B232" s="74" t="inlineStr">
        <ns0:is>
          <ns0:t>PERSISTENCE RES</ns0:t>
        </ns0:is>
      </ns0:c>
      <ns0:c r="C232" s="74" t="inlineStr">
        <ns0:is>
          <ns0:t>集海黃金</ns0:t>
        </ns0:is>
      </ns0:c>
      <ns0:c r="D232" s="74" t="inlineStr">
        <ns0:is>
          <ns0:t>Materials/Energy</ns0:t>
        </ns0:is>
      </ns0:c>
      <ns0:c r="E232" s="74" t="inlineStr">
        <ns0:is>
          <ns0:t>Mining / metals</ns0:t>
        </ns0:is>
      </ns0:c>
      <ns0:c r="F232" s="74" t="inlineStr">
        <ns0:is>
          <ns0:t>Gold &amp; Precious Metals</ns0:t>
        </ns0:is>
      </ns0:c>
      <ns0:c r="G232" s="74" t="inlineStr">
        <ns0:is>
          <ns0:t>Standard</ns0:t>
        </ns0:is>
      </ns0:c>
      <ns0:c r="H232" s="75" t="n">
        <ns0:v>45282</ns0:v>
      </ns0:c>
      <ns0:c r="I232" s="76" t="n">
        <ns0:v>275</ns0:v>
      </ns0:c>
      <ns0:c r="J232" s="74" t="inlineStr">
        <ns0:is>
          <ns0:t>gross (price x shares)</ns0:t>
        </ns0:is>
      </ns0:c>
      <ns0:c r="K232" s="95" t="n"/>
      <ns0:c r="L232" s="77" t="n">
        <ns0:v>0.75</ns0:v>
      </ns0:c>
      <ns0:c r="M232" s="77" t="n">
        <ns0:v>0.55</ns0:v>
      </ns0:c>
      <ns0:c r="N232" s="74" t="inlineStr">
        <ns0:is>
          <ns0:t>N</ns0:t>
        </ns0:is>
      </ns0:c>
      <ns0:c r="O232" s="78" t="n">
        <ns0:v>73.3</ns0:v>
      </ns0:c>
      <ns0:c r="P232" s="84" t="n"/>
      <ns0:c r="Q232" s="79" t="n">
        <ns0:v>1100</ns0:v>
      </ns0:c>
      <ns0:c r="R232" s="74" t="inlineStr">
        <ns0:is>
          <ns0:t>derived:price x shares upon listing</ns0:t>
        </ns0:is>
      </ns0:c>
      <ns0:c r="S232" s="80" t="n">
        <ns0:v>8.76</ns0:v>
      </ns0:c>
      <ns0:c r="T232" s="81" t="n">
        <ns0:v>1.03</ns0:v>
      </ns0:c>
      <ns0:c r="U232" s="82" t="n">
        <ns0:v>39.6</ns0:v>
      </ns0:c>
      <ns0:c r="V232" s="83" t="n">
        <ns0:v>145</ns0:v>
      </ns0:c>
      <ns0:c r="W232" s="78" t="n">
        <ns0:v>10</ns0:v>
      </ns0:c>
      <ns0:c r="X232" s="74" t="inlineStr">
        <ns0:is>
          <ns0:t>NO</ns0:t>
        </ns0:is>
      </ns0:c>
      <ns0:c r="Y232" s="79" t="n">
        <ns0:v>166.1</ns0:v>
      </ns0:c>
      <ns0:c r="Z232" s="79" t="n">
        <ns0:v>302000000</ns0:v>
      </ns0:c>
      <ns0:c r="AA232" s="78" t="n">
        <ns0:v>15.1</ns0:v>
      </ns0:c>
      <ns0:c r="AB232" s="74" t="inlineStr">
        <ns0:is>
          <ns0:t>Dongfang Gold Industry (Hong Kong) Limited</ns0:t>
        </ns0:is>
      </ns0:c>
      <ns0:c r="AC232" s="74" t="inlineStr">
        <ns0:is>
          <ns0:t>dongfang</ns0:t>
        </ns0:is>
      </ns0:c>
      <ns0:c r="AD232" s="84" t="n"/>
      <ns0:c r="AE232" s="74" t="inlineStr">
        <ns0:is>
          <ns0:t>lapsed</ns0:t>
        </ns0:is>
      </ns0:c>
      <ns0:c r="AF232" s="85" t="n"/>
      <ns0:c r="AG232" s="85" t="n"/>
      <ns0:c r="AH232" s="85" t="n"/>
      <ns0:c r="AI232" s="96" t="n"/>
      <ns0:c r="AJ232" s="87" t="n">
        <ns0:v>1.82</ns0:v>
      </ns0:c>
      <ns0:c r="AK232" s="87" t="n">
        <ns0:v>-3</ns0:v>
      </ns0:c>
      <ns0:c r="AL232" s="87" t="n">
        <ns0:v>-7.27</ns0:v>
      </ns0:c>
      <ns0:c r="AM232" s="87" t="n">
        <ns0:v>9.800000000000001</ns0:v>
      </ns0:c>
      <ns0:c r="AN232" s="89" t="n">
        <ns0:v>2.23</ns0:v>
      </ns0:c>
      <ns0:c r="AO232" s="78" t="n">
        <ns0:v>13.73</ns0:v>
      </ns0:c>
      <ns0:c r="AP232" s="87" t="n">
        <ns0:v>0</ns0:v>
      </ns0:c>
      <ns0:c r="AQ232" s="87" t="n">
        <ns0:v>1.82</ns0:v>
      </ns0:c>
      <ns0:c r="AR232" s="87" t="n">
        <ns0:v>12.73</ns0:v>
      </ns0:c>
      <ns0:c r="AS232" s="87" t="n">
        <ns0:v>-1.79</ns0:v>
      </ns0:c>
      <ns0:c r="AT232" s="87" t="n">
        <ns0:v>0</ns0:v>
      </ns0:c>
      <ns0:c r="AU232" s="87" t="n">
        <ns0:v>10.71</ns0:v>
      </ns0:c>
      <ns0:c r="AV232" s="87" t="n">
        <ns0:v>0.15</ns0:v>
      </ns0:c>
      <ns0:c r="AW232" s="87" t="n">
        <ns0:v>5.29</ns0:v>
      </ns0:c>
      <ns0:c r="AX232" s="87" t="n">
        <ns0:v>12.38</ns0:v>
      </ns0:c>
      <ns0:c r="AY232" s="87" t="n">
        <ns0:v>0.49</ns0:v>
      </ns0:c>
      <ns0:c r="AZ232" s="87" t="n">
        <ns0:v>-3.47</ns0:v>
      </ns0:c>
      <ns0:c r="BA232" s="87" t="n">
        <ns0:v>-0.49</ns0:v>
      </ns0:c>
      <ns0:c r="BB232" s="74" t="inlineStr">
        <ns0:is>
          <ns0:t>Hang Seng Commerce &amp; Industry sub-index</ns0:t>
        </ns0:is>
      </ns0:c>
      <ns0:c r="BC232" s="87" t="n">
        <ns0:v>47.27</ns0:v>
      </ns0:c>
      <ns0:c r="BD232" s="75" t="n">
        <ns0:v>46297</ns0:v>
      </ns0:c>
      <ns0:c r="BE232" s="76" t="n">
        <ns0:v>460.3</ns0:v>
      </ns0:c>
      <ns0:c r="BF232" s="79" t="n">
        <ns0:v>133.1</ns0:v>
      </ns0:c>
      <ns0:c r="BG232" s="74" t="inlineStr">
        <ns0:is>
          <ns0:t>Y</ns0:t>
        </ns0:is>
      </ns0:c>
      <ns0:c r="BH232" s="89" t="n">
        <ns0:v>8.300000000000001</ns0:v>
      </ns0:c>
      <ns0:c r="BI232" s="88" t="n"/>
      <ns0:c r="BJ232" s="89" t="n">
        <ns0:v>14</ns0:v>
      </ns0:c>
      <ns0:c r="BK232" s="89" t="n">
        <ns0:v>2.4</ns0:v>
      </ns0:c>
      <ns0:c r="BL232" s="90">
        <ns0:f>IFERROR(IF('BBG Verify'!S232="","Awaiting Bloomberg",'BBG Verify'!S232),"Awaiting Bloomberg")</ns0:f>
        <ns0:v/>
      </ns0:c>
      <ns0:c r="BM232" s="91" t="inlineStr">
        <ns0:is>
          <ns0:t>N</ns0:t>
        </ns0:is>
      </ns0:c>
      <ns0:c r="BN232" s="92">
        <ns0:f>IFERROR(IF('BBG Verify'!K232="","Awaiting Bloomberg",'BBG Verify'!K232),"Awaiting Bloomberg")</ns0:f>
        <ns0:v/>
      </ns0:c>
      <ns0:c r="BO232" s="74" t="inlineStr">
        <ns0:is>
          <ns0:t>N/A</ns0:t>
        </ns0:is>
      </ns0:c>
      <ns0:c r="BP232" s="74" t="inlineStr">
        <ns0:is>
          <ns0:t>N/A</ns0:t>
        </ns0:is>
      </ns0:c>
      <ns0:c r="BQ232" s="74" t="inlineStr">
        <ns0:is>
          <ns0:t>N/A</ns0:t>
        </ns0:is>
      </ns0:c>
      <ns0:c r="BR232" s="74" t="inlineStr">
        <ns0:is>
          <ns0:t>N/A</ns0:t>
        </ns0:is>
      </ns0:c>
      <ns0:c r="BS232" s="74" t="inlineStr">
        <ns0:is>
          <ns0:t>N/A</ns0:t>
        </ns0:is>
      </ns0:c>
      <ns0:c r="BT232" s="74" t="inlineStr">
        <ns0:is>
          <ns0:t>N/A</ns0:t>
        </ns0:is>
      </ns0:c>
      <ns0:c r="BU232" s="91" t="inlineStr">
        <ns0:is>
          <ns0:t>Innovax Capital Limited</ns0:t>
        </ns0:is>
      </ns0:c>
      <ns0:c r="BV232" s="74" t="inlineStr">
        <ns0:is>
          <ns0:t>Innovax Capital Limited</ns0:t>
        </ns0:is>
      </ns0:c>
      <ns0:c r="BW232" s="74" t="inlineStr">
        <ns0:is>
          <ns0:t>Innovax Securities Limited; and CMIs Innovax Securities Limited; CCB International Capital Limited; BOCOM International Securities Limited; SPDB International Capital Limited; Citrus Securities Limited; Quam Securities Limited; Valuable Capital Limited; CMBC Securities Company Limited; First Shanghai Securities Limited; and CMI ABCI Capital Limited</ns0:t>
        </ns0:is>
      </ns0:c>
      <ns0:c r="BX232" s="74" t="inlineStr">
        <ns0:is>
          <ns0: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ns0:t>
        </ns0:is>
      </ns0:c>
      <ns0:c r="BY232" s="93">
        <ns0:f>HYPERLINK("https://www1.hkexnews.hk/listedco/listconews/sehk/2023/1214/2023121400088.htm","prospectus")</ns0:f>
        <ns0:v/>
      </ns0:c>
      <ns0:c r="BZ232" s="93">
        <ns0:f>HYPERLINK("https://www1.hkexnews.hk/listedco/listconews/sehk/2023/1221/2023122101236.pdf","allotment")</ns0:f>
        <ns0:v/>
      </ns0:c>
      <ns0:c r="CA232" s="93">
        <ns0:f>HYPERLINK("https://www1.hkexnews.hk/listedco/listconews/sehk/2024/0119/2024011900977.pdf","stabilisation")</ns0:f>
        <ns0:v/>
      </ns0:c>
      <ns0:c r="CB232" s="94" t="n"/>
      <ns0:c r="CC232" s="74" t="inlineStr">
        <ns0:is>
          <ns0:t>greenshoe: outcome published; expiry date not in the notice; range low: maximum offer price only, no floor published; greenshoe size: no over-allotment option; stabilising manager: not named in the allotment notice or prospectus glossary; grey market: close not verified in the captured sources; historical press archives may hold one</ns0:t>
        </ns0:is>
      </ns0:c>
    </ns0:row>
    <ns0:row r="233" ht="22" customHeight="1">
      <ns0:c r="A233" s="73" t="inlineStr">
        <ns0:is>
          <ns0:t>2511</ns0:t>
        </ns0:is>
      </ns0:c>
      <ns0:c r="B233" s="74" t="inlineStr">
        <ns0:is>
          <ns0:t>HIGHTIDE-B</ns0:t>
        </ns0:is>
      </ns0:c>
      <ns0:c r="C233" s="74" t="inlineStr">
        <ns0:is>
          <ns0:t>君聖泰醫藥－Ｂ</ns0:t>
        </ns0:is>
      </ns0:c>
      <ns0:c r="D233" s="74" t="inlineStr">
        <ns0:is>
          <ns0:t>Healthcare</ns0:t>
        </ns0:is>
      </ns0:c>
      <ns0:c r="E233" s="74" t="inlineStr">
        <ns0:is>
          <ns0:t>Biotech pre-revenue (18A)</ns0:t>
        </ns0:is>
      </ns0:c>
      <ns0:c r="F233" s="74" t="inlineStr">
        <ns0:is>
          <ns0:t>Biotechnology - Pharmaceuticals</ns0:t>
        </ns0:is>
      </ns0:c>
      <ns0:c r="G233" s="74" t="inlineStr">
        <ns0:is>
          <ns0:t>18A</ns0:t>
        </ns0:is>
      </ns0:c>
      <ns0:c r="H233" s="75" t="n">
        <ns0:v>45282</ns0:v>
      </ns0:c>
      <ns0:c r="I233" s="76" t="n">
        <ns0:v>278.2</ns0:v>
      </ns0:c>
      <ns0:c r="J233" s="74" t="inlineStr">
        <ns0:is>
          <ns0:t>gross (price x shares)</ns0:t>
        </ns0:is>
      </ns0:c>
      <ns0:c r="K233" s="95" t="n"/>
      <ns0:c r="L233" s="77" t="n">
        <ns0:v>11.5</ns0:v>
      </ns0:c>
      <ns0:c r="M233" s="77" t="n">
        <ns0:v>11.5</ns0:v>
      </ns0:c>
      <ns0:c r="N233" s="74" t="inlineStr">
        <ns0:is>
          <ns0:t>Y</ns0:t>
        </ns0:is>
      </ns0:c>
      <ns0:c r="O233" s="78" t="n">
        <ns0:v>100</ns0:v>
      </ns0:c>
      <ns0:c r="P233" s="84" t="n"/>
      <ns0:c r="Q233" s="79" t="n">
        <ns0:v>5919.9</ns0:v>
      </ns0:c>
      <ns0:c r="R233" s="74" t="inlineStr">
        <ns0:is>
          <ns0:t>derived:price x shares upon listing</ns0:t>
        </ns0:is>
      </ns0:c>
      <ns0:c r="S233" s="80" t="n">
        <ns0:v>32.22</ns0:v>
      </ns0:c>
      <ns0:c r="T233" s="81" t="n">
        <ns0:v>1.25</ns0:v>
      </ns0:c>
      <ns0:c r="U233" s="82" t="n">
        <ns0:v>39.21</ns0:v>
      </ns0:c>
      <ns0:c r="V233" s="83" t="n">
        <ns0:v>116</ns0:v>
      </ns0:c>
      <ns0:c r="W233" s="78" t="n">
        <ns0:v>30</ns0:v>
      </ns0:c>
      <ns0:c r="X233" s="74" t="inlineStr">
        <ns0:is>
          <ns0:t>YES</ns0:t>
        </ns0:is>
      </ns0:c>
      <ns0:c r="Y233" s="79" t="n">
        <ns0:v>169.12</ns0:v>
      </ns0:c>
      <ns0:c r="Z233" s="79" t="n">
        <ns0:v>14707533</ns0:v>
      </ns0:c>
      <ns0:c r="AA233" s="78" t="n">
        <ns0:v>2.86</ns0:v>
      </ns0:c>
      <ns0:c r="AB233" s="74" t="inlineStr">
        <ns0:is>
          <ns0:t>Cangzhou Chuangrong Equity Investment Fund Co., Ltd</ns0:t>
        </ns0:is>
      </ns0:c>
      <ns0:c r="AC233" s="74" t="inlineStr">
        <ns0:is>
          <ns0:t>cangzhou</ns0:t>
        </ns0:is>
      </ns0:c>
      <ns0:c r="AD233" s="84" t="n"/>
      <ns0:c r="AE233" s="85" t="n"/>
      <ns0:c r="AF233" s="85" t="n"/>
      <ns0:c r="AG233" s="85" t="n"/>
      <ns0:c r="AH233" s="85" t="n"/>
      <ns0:c r="AI233" s="86" t="n">
        <ns0:v>3.48</ns0:v>
      </ns0:c>
      <ns0:c r="AJ233" s="87" t="n">
        <ns0:v>7.65</ns0:v>
      </ns0:c>
      <ns0:c r="AK233" s="87" t="n">
        <ns0:v>-1.33</ns0:v>
      </ns0:c>
      <ns0:c r="AL233" s="87" t="n">
        <ns0:v>3.65</ns0:v>
      </ns0:c>
      <ns0:c r="AM233" s="87" t="n">
        <ns0:v>3.86</ns0:v>
      </ns0:c>
      <ns0:c r="AN233" s="89" t="n">
        <ns0:v>0.7</ns0:v>
      </ns0:c>
      <ns0:c r="AO233" s="78" t="n">
        <ns0:v>6.38</ns0:v>
      </ns0:c>
      <ns0:c r="AP233" s="87" t="n">
        <ns0:v>1.91</ns0:v>
      </ns0:c>
      <ns0:c r="AQ233" s="87" t="n">
        <ns0:v>5.22</ns0:v>
      </ns0:c>
      <ns0:c r="AR233" s="87" t="n">
        <ns0:v>-50.61</ns0:v>
      </ns0:c>
      <ns0:c r="AS233" s="87" t="n">
        <ns0:v>-5.33</ns0:v>
      </ns0:c>
      <ns0:c r="AT233" s="87" t="n">
        <ns0:v>-2.26</ns0:v>
      </ns0:c>
      <ns0:c r="AU233" s="87" t="n">
        <ns0:v>-54.12</ns0:v>
      </ns0:c>
      <ns0:c r="AV233" s="87" t="n">
        <ns0:v>0.98</ns0:v>
      </ns0:c>
      <ns0:c r="AW233" s="87" t="n">
        <ns0:v>13.58</ns0:v>
      </ns0:c>
      <ns0:c r="AX233" s="87" t="n">
        <ns0:v>-35.04</ns0:v>
      </ns0:c>
      <ns0:c r="AY233" s="87" t="n">
        <ns0:v>4.87</ns0:v>
      </ns0:c>
      <ns0:c r="AZ233" s="87" t="n">
        <ns0:v>-8.359999999999999</ns0:v>
      </ns0:c>
      <ns0:c r="BA233" s="87" t="n">
        <ns0:v>-7.13</ns0:v>
      </ns0:c>
      <ns0:c r="BB233" s="74" t="inlineStr">
        <ns0:is>
          <ns0:t>China Biotech ETF (HS biotech proxy)</ns0:t>
        </ns0:is>
      </ns0:c>
      <ns0:c r="BC233" s="87" t="n">
        <ns0:v>-69.56999999999999</ns0:v>
      </ns0:c>
      <ns0:c r="BD233" s="75" t="n">
        <ns0:v>46297</ns0:v>
      </ns0:c>
      <ns0:c r="BE233" s="76" t="n">
        <ns0:v>0</ns0:v>
      </ns0:c>
      <ns0:c r="BF233" s="79" t="n">
        <ns0:v>-209.2</ns0:v>
      </ns0:c>
      <ns0:c r="BG233" s="74" t="inlineStr">
        <ns0:is>
          <ns0:t>N</ns0:t>
        </ns0:is>
      </ns0:c>
      <ns0:c r="BH233" s="74" t="inlineStr">
        <ns0:is>
          <ns0:t>n/m</ns0:t>
        </ns0:is>
      </ns0:c>
      <ns0:c r="BI233" s="88" t="n"/>
      <ns0:c r="BJ233" s="88" t="n"/>
      <ns0:c r="BK233" s="74" t="inlineStr">
        <ns0:is>
          <ns0:t>pre-rev</ns0:t>
        </ns0:is>
      </ns0:c>
      <ns0:c r="BL233" s="90">
        <ns0:f>IFERROR(IF('BBG Verify'!S233="","Awaiting Bloomberg",'BBG Verify'!S233),"Awaiting Bloomberg")</ns0:f>
        <ns0:v/>
      </ns0:c>
      <ns0:c r="BM233" s="91" t="inlineStr">
        <ns0:is>
          <ns0:t>N</ns0:t>
        </ns0:is>
      </ns0:c>
      <ns0:c r="BN233" s="92">
        <ns0:f>IFERROR(IF('BBG Verify'!K233="","Awaiting Bloomberg",'BBG Verify'!K233),"Awaiting Bloomberg")</ns0:f>
        <ns0:v/>
      </ns0:c>
      <ns0:c r="BO233" s="74" t="inlineStr">
        <ns0:is>
          <ns0:t>N/A</ns0:t>
        </ns0:is>
      </ns0:c>
      <ns0:c r="BP233" s="74" t="inlineStr">
        <ns0:is>
          <ns0:t>N/A</ns0:t>
        </ns0:is>
      </ns0:c>
      <ns0:c r="BQ233" s="74" t="inlineStr">
        <ns0:is>
          <ns0:t>N/A</ns0:t>
        </ns0:is>
      </ns0:c>
      <ns0:c r="BR233" s="74" t="inlineStr">
        <ns0:is>
          <ns0:t>N/A</ns0:t>
        </ns0:is>
      </ns0:c>
      <ns0:c r="BS233" s="74" t="inlineStr">
        <ns0:is>
          <ns0:t>N/A</ns0:t>
        </ns0:is>
      </ns0:c>
      <ns0:c r="BT233" s="74" t="inlineStr">
        <ns0:is>
          <ns0:t>N/A</ns0:t>
        </ns0:is>
      </ns0:c>
      <ns0:c r="BU233" s="91" t="inlineStr">
        <ns0:is>
          <ns0:t>UBS Securities Hong Kong Limited; Huatai Financial Holdings (Hong Kong) Limited</ns0:t>
        </ns0:is>
      </ns0:c>
      <ns0:c r="BV233" s="74" t="inlineStr">
        <ns0:is>
          <ns0:t>UBS Securities Hong Kong Limited; Huatai Financial Holdings (Hong Kong) Limited</ns0:t>
        </ns0:is>
      </ns0:c>
      <ns0:c r="BW233" s="74" t="inlineStr">
        <ns0:is>
          <ns0:t>sa nd Joint Lead Managers UBS AG Hon g Kong Branch; CapitalM arket Interme diarie s UBS AG Hon g Kong Branch</ns0:t>
        </ns0:is>
      </ns0:c>
      <ns0:c r="BX233" s="74" t="inlineStr">
        <ns0:is>
          <ns0: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ns0:t>
        </ns0:is>
      </ns0:c>
      <ns0:c r="BY233" s="93">
        <ns0:f>HYPERLINK("https://www1.hkexnews.hk/listedco/listconews/sehk/2023/1214/2023121400045.pdf","prospectus")</ns0:f>
        <ns0:v/>
      </ns0:c>
      <ns0:c r="BZ233" s="93">
        <ns0:f>HYPERLINK("https://www1.hkexnews.hk/listedco/listconews/sehk/2023/1221/2023122101298.pdf","allotment")</ns0:f>
        <ns0:v/>
      </ns0:c>
      <ns0:c r="CA233" s="85" t="n"/>
      <ns0:c r="CB233" s="94" t="n"/>
      <ns0:c r="CC233" s="74" t="inlineStr">
        <ns0:is>
          <ns0:t>P/E: loss-making at IPO, use P/S; greenshoe: no over-allotment option; range low: maximum offer price only, no floor published; sponsor: English name not in the filing; AAStocks 保薦人 shown; market cap: prospectus 'market capitalisation' line is the listing-rule threshold, not the issuer's figure; rejected; greenshoe size: no over-allotment option; P/S: pre-revenue issuer, no sales multiple; stabilising manager: no over-allotment option, so none appointed</ns0:t>
        </ns0:is>
      </ns0:c>
    </ns0:row>
    <ns0:row r="234" ht="22" customHeight="1">
      <ns0:c r="A234" s="73" t="inlineStr">
        <ns0:is>
          <ns0:t>6911</ns0:t>
        </ns0:is>
      </ns0:c>
      <ns0:c r="B234" s="74" t="inlineStr">
        <ns0:is>
          <ns0:t>LANCANG TEA</ns0:t>
        </ns0:is>
      </ns0:c>
      <ns0:c r="C234" s="74" t="inlineStr">
        <ns0:is>
          <ns0:t>瀾滄古茶</ns0:t>
        </ns0:is>
      </ns0:c>
      <ns0:c r="D234" s="74" t="inlineStr">
        <ns0:is>
          <ns0:t>Consumer</ns0:t>
        </ns0:is>
      </ns0:c>
      <ns0:c r="E234" s="74" t="inlineStr">
        <ns0:is>
          <ns0:t>Beverages / packaged food</ns0:t>
        </ns0:is>
      </ns0:c>
      <ns0:c r="F234" s="74" t="inlineStr">
        <ns0:is>
          <ns0:t>Beverages (Non-alcoholic)</ns0:t>
        </ns0:is>
      </ns0:c>
      <ns0:c r="G234" s="74" t="inlineStr">
        <ns0:is>
          <ns0:t>Standard</ns0:t>
        </ns0:is>
      </ns0:c>
      <ns0:c r="H234" s="75" t="n">
        <ns0:v>45282</ns0:v>
      </ns0:c>
      <ns0:c r="I234" s="76" t="n">
        <ns0:v>224.7</ns0:v>
      </ns0:c>
      <ns0:c r="J234" s="74" t="inlineStr">
        <ns0:is>
          <ns0:t>gross (price x shares)</ns0:t>
        </ns0:is>
      </ns0:c>
      <ns0:c r="K234" s="77" t="n">
        <ns0:v>10.4</ns0:v>
      </ns0:c>
      <ns0:c r="L234" s="77" t="n">
        <ns0:v>14.16</ns0:v>
      </ns0:c>
      <ns0:c r="M234" s="77" t="n">
        <ns0:v>10.7</ns0:v>
      </ns0:c>
      <ns0:c r="N234" s="74" t="inlineStr">
        <ns0:is>
          <ns0:t>N</ns0:t>
        </ns0:is>
      </ns0:c>
      <ns0:c r="O234" s="78" t="n">
        <ns0:v>75.59999999999999</ns0:v>
      </ns0:c>
      <ns0:c r="P234" s="78" t="n">
        <ns0:v>8</ns0:v>
      </ns0:c>
      <ns0:c r="Q234" s="79" t="n">
        <ns0:v>898.8</ns0:v>
      </ns0:c>
      <ns0:c r="R234" s="74" t="inlineStr">
        <ns0:is>
          <ns0:t>derived:price x shares upon listing</ns0:t>
        </ns0:is>
      </ns0:c>
      <ns0:c r="S234" s="80" t="n">
        <ns0:v>13.23</ns0:v>
      </ns0:c>
      <ns0:c r="T234" s="81" t="n">
        <ns0:v>1.32</ns0:v>
      </ns0:c>
      <ns0:c r="U234" s="82" t="n">
        <ns0:v>50.31</ns0:v>
      </ns0:c>
      <ns0:c r="V234" s="83" t="n">
        <ns0:v>142</ns0:v>
      </ns0:c>
      <ns0:c r="W234" s="78" t="n">
        <ns0:v>10</ns0:v>
      </ns0:c>
      <ns0:c r="X234" s="74" t="inlineStr">
        <ns0:is>
          <ns0:t>NO</ns0:t>
        </ns0:is>
      </ns0:c>
      <ns0:c r="Y234" s="79" t="n">
        <ns0:v>111.65</ns0:v>
      </ns0:c>
      <ns0:c r="Z234" s="79" t="n">
        <ns0:v>10434900</ns0:v>
      </ns0:c>
      <ns0:c r="AA234" s="78" t="n">
        <ns0:v>12.42</ns0:v>
      </ns0:c>
      <ns0:c r="AB234" s="74" t="inlineStr">
        <ns0:is>
          <ns0:t>Harvest; ROSY DAY INVESTMENTS LIMITED; Wang Chunyu; Lancang Green Resource Investment Co., Ltd; China Ocean View Group Limited</ns0:t>
        </ns0:is>
      </ns0:c>
      <ns0:c r="AC234" s="74" t="inlineStr">
        <ns0:is>
          <ns0:t>harvest;rosy;wang-chunyu;lancang;ocean</ns0:t>
        </ns0:is>
      </ns0:c>
      <ns0:c r="AD234" s="78" t="n">
        <ns0:v>2.6</ns0:v>
      </ns0:c>
      <ns0:c r="AE234" s="74" t="inlineStr">
        <ns0:is>
          <ns0:t>lapsed</ns0:t>
        </ns0:is>
      </ns0:c>
      <ns0:c r="AF234" s="85" t="n"/>
      <ns0:c r="AG234" s="85" t="n"/>
      <ns0:c r="AH234" s="85" t="n"/>
      <ns0:c r="AI234" s="96" t="n"/>
      <ns0:c r="AJ234" s="87" t="n">
        <ns0:v>-18.69</ns0:v>
      </ns0:c>
      <ns0:c r="AK234" s="87" t="n">
        <ns0:v>-3</ns0:v>
      </ns0:c>
      <ns0:c r="AL234" s="87" t="n">
        <ns0:v>0</ns0:v>
      </ns0:c>
      <ns0:c r="AM234" s="87" t="n">
        <ns0:v>-18.69</ns0:v>
      </ns0:c>
      <ns0:c r="AN234" s="89" t="n">
        <ns0:v>0.99</ns0:v>
      </ns0:c>
      <ns0:c r="AO234" s="78" t="n">
        <ns0:v>30.28</ns0:v>
      </ns0:c>
      <ns0:c r="AP234" s="87" t="n">
        <ns0:v>0</ns0:v>
      </ns0:c>
      <ns0:c r="AQ234" s="87" t="n">
        <ns0:v>-14.77</ns0:v>
      </ns0:c>
      <ns0:c r="AR234" s="87" t="n">
        <ns0:v>2.8</ns0:v>
      </ns0:c>
      <ns0:c r="AS234" s="87" t="n">
        <ns0:v>22.99</ns0:v>
      </ns0:c>
      <ns0:c r="AT234" s="87" t="n">
        <ns0:v>4.82</ns0:v>
      </ns0:c>
      <ns0:c r="AU234" s="87" t="n">
        <ns0:v>26.43</ns0:v>
      </ns0:c>
      <ns0:c r="AV234" s="87" t="n">
        <ns0:v>0.15</ns0:v>
      </ns0:c>
      <ns0:c r="AW234" s="87" t="n">
        <ns0:v>-11.3</ns0:v>
      </ns0:c>
      <ns0:c r="AX234" s="87" t="n">
        <ns0:v>2.45</ns0:v>
      </ns0:c>
      <ns0:c r="AY234" s="87" t="n">
        <ns0:v>5.31</ns0:v>
      </ns0:c>
      <ns0:c r="AZ234" s="87" t="n">
        <ns0:v>-3.47</ns0:v>
      </ns0:c>
      <ns0:c r="BA234" s="87" t="n">
        <ns0:v>-0.49</ns0:v>
      </ns0:c>
      <ns0:c r="BB234" s="74" t="inlineStr">
        <ns0:is>
          <ns0:t>Hang Seng Commerce &amp; Industry sub-index</ns0:t>
        </ns0:is>
      </ns0:c>
      <ns0:c r="BC234" s="87" t="n">
        <ns0:v>-67.76000000000001</ns0:v>
      </ns0:c>
      <ns0:c r="BD234" s="75" t="n">
        <ns0:v>46297</ns0:v>
      </ns0:c>
      <ns0:c r="BE234" s="76" t="n">
        <ns0:v>509.2</ns0:v>
      </ns0:c>
      <ns0:c r="BF234" s="79" t="n">
        <ns0:v>77.5</ns0:v>
      </ns0:c>
      <ns0:c r="BG234" s="74" t="inlineStr">
        <ns0:is>
          <ns0:t>Y</ns0:t>
        </ns0:is>
      </ns0:c>
      <ns0:c r="BH234" s="89" t="n">
        <ns0:v>11.6</ns0:v>
      </ns0:c>
      <ns0:c r="BI234" s="88" t="n"/>
      <ns0:c r="BJ234" s="88" t="n"/>
      <ns0:c r="BK234" s="89" t="n">
        <ns0:v>1.8</ns0:v>
      </ns0:c>
      <ns0:c r="BL234" s="90">
        <ns0:f>IFERROR(IF('BBG Verify'!S234="","Awaiting Bloomberg",'BBG Verify'!S234),"Awaiting Bloomberg")</ns0:f>
        <ns0:v/>
      </ns0:c>
      <ns0:c r="BM234" s="91" t="inlineStr">
        <ns0:is>
          <ns0:t>N</ns0:t>
        </ns0:is>
      </ns0:c>
      <ns0:c r="BN234" s="92">
        <ns0:f>IFERROR(IF('BBG Verify'!K234="","Awaiting Bloomberg",'BBG Verify'!K234),"Awaiting Bloomberg")</ns0:f>
        <ns0:v/>
      </ns0:c>
      <ns0:c r="BO234" s="74" t="inlineStr">
        <ns0:is>
          <ns0:t>N/A</ns0:t>
        </ns0:is>
      </ns0:c>
      <ns0:c r="BP234" s="74" t="inlineStr">
        <ns0:is>
          <ns0:t>N/A</ns0:t>
        </ns0:is>
      </ns0:c>
      <ns0:c r="BQ234" s="74" t="inlineStr">
        <ns0:is>
          <ns0:t>N/A</ns0:t>
        </ns0:is>
      </ns0:c>
      <ns0:c r="BR234" s="74" t="inlineStr">
        <ns0:is>
          <ns0:t>N/A</ns0:t>
        </ns0:is>
      </ns0:c>
      <ns0:c r="BS234" s="74" t="inlineStr">
        <ns0:is>
          <ns0:t>N/A</ns0:t>
        </ns0:is>
      </ns0:c>
      <ns0:c r="BT234" s="74" t="inlineStr">
        <ns0:is>
          <ns0:t>N/A</ns0:t>
        </ns0:is>
      </ns0:c>
      <ns0:c r="BU234" s="91" t="inlineStr">
        <ns0:is>
          <ns0:t>China Securities (International) Corporate Finance Company Limited; China Merchants Securities (HK) Co., Limited</ns0:t>
        </ns0:is>
      </ns0:c>
      <ns0:c r="BV234" s="74" t="inlineStr">
        <ns0:is>
          <ns0:t>China Securities (International) Corporate Finance Company Limited; China Merchants Securities (HK) Company Limited</ns0:t>
        </ns0:is>
      </ns0:c>
      <ns0:c r="BW234" s="74" t="inlineStr">
        <ns0:is>
          <ns0: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ns0:t>
        </ns0:is>
      </ns0:c>
      <ns0:c r="BX234" s="74" t="inlineStr">
        <ns0:is>
          <ns0: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ns0:t>
        </ns0:is>
      </ns0:c>
      <ns0:c r="BY234" s="93">
        <ns0:f>HYPERLINK("https://www1.hkexnews.hk/listedco/listconews/sehk/2023/1214/2023121400011.pdf","prospectus")</ns0:f>
        <ns0:v/>
      </ns0:c>
      <ns0:c r="BZ234" s="93">
        <ns0:f>HYPERLINK("https://www1.hkexnews.hk/listedco/listconews/sehk/2023/1221/2023122101314.pdf","allotment")</ns0:f>
        <ns0:v/>
      </ns0:c>
      <ns0:c r="CA234" s="93">
        <ns0:f>HYPERLINK("https://www1.hkexnews.hk/listedco/listconews/sehk/2024/0118/2024011800501.pdf","stabilisation")</ns0:f>
        <ns0:v/>
      </ns0:c>
      <ns0:c r="CB234" s="94" t="n"/>
      <ns0:c r="CC234" s="74" t="inlineStr">
        <ns0:is>
          <ns0:t>greenshoe: outcome published; expiry date not in the notice; stabilising manager: not named in the allotment notice or prospectus glossary; grey market: close not verified in the captured sources; historical press archives may hold one</ns0:t>
        </ns0:is>
      </ns0:c>
    </ns0:row>
    <ns0:row r="235" ht="22" customHeight="1">
      <ns0:c r="A235" s="73" t="inlineStr">
        <ns0:is>
          <ns0:t>2149</ns0:t>
        </ns0:is>
      </ns0:c>
      <ns0:c r="B235" s="74" t="inlineStr">
        <ns0:is>
          <ns0:t>BATELAB</ns0:t>
        </ns0:is>
      </ns0:c>
      <ns0:c r="C235" s="74" t="inlineStr">
        <ns0:is>
          <ns0:t>貝克微</ns0:t>
        </ns0:is>
      </ns0:c>
      <ns0:c r="D235" s="74" t="inlineStr">
        <ns0:is>
          <ns0:t>Technology</ns0:t>
        </ns0:is>
      </ns0:c>
      <ns0:c r="E235" s="74" t="inlineStr">
        <ns0:is>
          <ns0:t>Semiconductors</ns0:t>
        </ns0:is>
      </ns0:c>
      <ns0:c r="F235" s="74" t="inlineStr">
        <ns0:is>
          <ns0:t>Semiconductors &amp; Semiconductor Equipment</ns0:t>
        </ns0:is>
      </ns0:c>
      <ns0:c r="G235" s="74" t="inlineStr">
        <ns0:is>
          <ns0:t>Standard</ns0:t>
        </ns0:is>
      </ns0:c>
      <ns0:c r="H235" s="75" t="n">
        <ns0:v>45288</ns0:v>
      </ns0:c>
      <ns0:c r="I235" s="76" t="n">
        <ns0:v>412.1</ns0:v>
      </ns0:c>
      <ns0:c r="J235" s="74" t="inlineStr">
        <ns0:is>
          <ns0:t>gross (price x shares)</ns0:t>
        </ns0:is>
      </ns0:c>
      <ns0:c r="K235" s="77" t="n">
        <ns0:v>27.47</ns0:v>
      </ns0:c>
      <ns0:c r="L235" s="77" t="n">
        <ns0:v>38.45</ns0:v>
      </ns0:c>
      <ns0:c r="M235" s="77" t="n">
        <ns0:v>27.47</ns0:v>
      </ns0:c>
      <ns0:c r="N235" s="74" t="inlineStr">
        <ns0:is>
          <ns0:t>N</ns0:t>
        </ns0:is>
      </ns0:c>
      <ns0:c r="O235" s="78" t="n">
        <ns0:v>71.40000000000001</ns0:v>
      </ns0:c>
      <ns0:c r="P235" s="78" t="n">
        <ns0:v>0</ns0:v>
      </ns0:c>
      <ns0:c r="Q235" s="79" t="n">
        <ns0:v>1648.2</ns0:v>
      </ns0:c>
      <ns0:c r="R235" s="74" t="inlineStr">
        <ns0:is>
          <ns0:t>derived:price x shares upon listing</ns0:t>
        </ns0:is>
      </ns0:c>
      <ns0:c r="S235" s="80" t="n">
        <ns0:v>1.34</ns0:v>
      </ns0:c>
      <ns0:c r="T235" s="81" t="n">
        <ns0:v>1.36</ns0:v>
      </ns0:c>
      <ns0:c r="U235" s="82" t="n">
        <ns0:v>0</ns0:v>
      </ns0:c>
      <ns0:c r="V235" s="83" t="n">
        <ns0:v>110</ns0:v>
      </ns0:c>
      <ns0:c r="W235" s="78" t="n">
        <ns0:v>10</ns0:v>
      </ns0:c>
      <ns0:c r="X235" s="74" t="inlineStr">
        <ns0:is>
          <ns0:t>NO</ns0:t>
        </ns0:is>
      </ns0:c>
      <ns0:c r="Y235" s="79" t="n">
        <ns0:v>412.1</ns0:v>
      </ns0:c>
      <ns0:c r="Z235" s="79" t="n">
        <ns0:v>15000000</ns0:v>
      </ns0:c>
      <ns0:c r="AA235" s="78" t="n">
        <ns0:v>25</ns0:v>
      </ns0:c>
      <ns0:c r="AB235" s="74" t="inlineStr">
        <ns0:is>
          <ns0:t>none — no cornerstone tranche</ns0:t>
        </ns0:is>
      </ns0:c>
      <ns0:c r="AC235" s="74" t="inlineStr">
        <ns0:is>
          <ns0:t>none</ns0:t>
        </ns0:is>
      </ns0:c>
      <ns0:c r="AD235" s="78" t="n">
        <ns0:v>13.2</ns0:v>
      </ns0:c>
      <ns0:c r="AE235" s="74" t="inlineStr">
        <ns0:is>
          <ns0:t>lapsed (no over-allocation)</ns0:t>
        </ns0:is>
      </ns0:c>
      <ns0:c r="AF235" s="74" t="inlineStr">
        <ns0:is>
          <ns0:t>2024-01-20</ns0:t>
        </ns0:is>
      </ns0:c>
      <ns0:c r="AG235" s="74" t="inlineStr">
        <ns0:is>
          <ns0:t>China International Capital Corporation Hong Kong Securities Limited</ns0:t>
        </ns0:is>
      </ns0:c>
      <ns0:c r="AH235" s="74" t="inlineStr">
        <ns0:is>
          <ns0:t>China International</ns0:t>
        </ns0:is>
      </ns0:c>
      <ns0:c r="AI235" s="86" t="n">
        <ns0:v>-4.08</ns0:v>
      </ns0:c>
      <ns0:c r="AJ235" s="87" t="n">
        <ns0:v>-17.36</ns0:v>
      </ns0:c>
      <ns0:c r="AK235" s="87" t="n">
        <ns0:v>3.25</ns0:v>
      </ns0:c>
      <ns0:c r="AL235" s="87" t="n">
        <ns0:v>-8.81</ns0:v>
      </ns0:c>
      <ns0:c r="AM235" s="87" t="n">
        <ns0:v>-9.380000000000001</ns0:v>
      </ns0:c>
      <ns0:c r="AN235" s="89" t="n">
        <ns0:v>1.16</ns0:v>
      </ns0:c>
      <ns0:c r="AO235" s="78" t="n">
        <ns0:v>21.36</ns0:v>
      </ns0:c>
      <ns0:c r="AP235" s="87" t="n">
        <ns0:v>-8.630000000000001</ns0:v>
      </ns0:c>
      <ns0:c r="AQ235" s="87" t="n">
        <ns0:v>-25.74</ns0:v>
      </ns0:c>
      <ns0:c r="AR235" s="87" t="n">
        <ns0:v>-13.36</ns0:v>
      </ns0:c>
      <ns0:c r="AS235" s="87" t="n">
        <ns0:v>10.56</ns0:v>
      </ns0:c>
      <ns0:c r="AT235" s="87" t="n">
        <ns0:v>-10.14</ns0:v>
      </ns0:c>
      <ns0:c r="AU235" s="87" t="n">
        <ns0:v>4.84</ns0:v>
      </ns0:c>
      <ns0:c r="AV235" s="87" t="n">
        <ns0:v>-7.51</ns0:v>
      </ns0:c>
      <ns0:c r="AW235" s="87" t="n">
        <ns0:v>-13.87</ns0:v>
      </ns0:c>
      <ns0:c r="AX235" s="87" t="n">
        <ns0:v>-10.39</ns0:v>
      </ns0:c>
      <ns0:c r="AY235" s="87" t="n">
        <ns0:v>4.5</ns0:v>
      </ns0:c>
      <ns0:c r="AZ235" s="87" t="n">
        <ns0:v>-11.87</ns0:v>
      </ns0:c>
      <ns0:c r="BA235" s="87" t="n">
        <ns0:v>-14.64</ns0:v>
      </ns0:c>
      <ns0:c r="BB235" s="74" t="inlineStr">
        <ns0:is>
          <ns0:t>HSTECH (Hang Seng TECH ETF)</ns0:t>
        </ns0:is>
      </ns0:c>
      <ns0:c r="BC235" s="87" t="n">
        <ns0:v>23.41</ns0:v>
      </ns0:c>
      <ns0:c r="BD235" s="75" t="n">
        <ns0:v>46297</ns0:v>
      </ns0:c>
      <ns0:c r="BE235" s="76" t="n">
        <ns0:v>387.8</ns0:v>
      </ns0:c>
      <ns0:c r="BF235" s="79" t="n">
        <ns0:v>104.8</ns0:v>
      </ns0:c>
      <ns0:c r="BG235" s="74" t="inlineStr">
        <ns0:is>
          <ns0:t>Y</ns0:t>
        </ns0:is>
      </ns0:c>
      <ns0:c r="BH235" s="89" t="n">
        <ns0:v>15.7</ns0:v>
      </ns0:c>
      <ns0:c r="BI235" s="88" t="n"/>
      <ns0:c r="BJ235" s="89" t="n">
        <ns0:v>13.4</ns0:v>
      </ns0:c>
      <ns0:c r="BK235" s="89" t="n">
        <ns0:v>4.3</ns0:v>
      </ns0:c>
      <ns0:c r="BL235" s="90">
        <ns0:f>IFERROR(IF('BBG Verify'!S235="","Awaiting Bloomberg",'BBG Verify'!S235),"Awaiting Bloomberg")</ns0:f>
        <ns0:v/>
      </ns0:c>
      <ns0:c r="BM235" s="91" t="inlineStr">
        <ns0:is>
          <ns0:t>N</ns0:t>
        </ns0:is>
      </ns0:c>
      <ns0:c r="BN235" s="92">
        <ns0:f>IFERROR(IF('BBG Verify'!K235="","Awaiting Bloomberg",'BBG Verify'!K235),"Awaiting Bloomberg")</ns0:f>
        <ns0:v/>
      </ns0:c>
      <ns0:c r="BO235" s="74" t="inlineStr">
        <ns0:is>
          <ns0:t>N/A</ns0:t>
        </ns0:is>
      </ns0:c>
      <ns0:c r="BP235" s="74" t="inlineStr">
        <ns0:is>
          <ns0:t>N/A</ns0:t>
        </ns0:is>
      </ns0:c>
      <ns0:c r="BQ235" s="74" t="inlineStr">
        <ns0:is>
          <ns0:t>N/A</ns0:t>
        </ns0:is>
      </ns0:c>
      <ns0:c r="BR235" s="74" t="inlineStr">
        <ns0:is>
          <ns0:t>N/A</ns0:t>
        </ns0:is>
      </ns0:c>
      <ns0:c r="BS235" s="74" t="inlineStr">
        <ns0:is>
          <ns0:t>N/A</ns0:t>
        </ns0:is>
      </ns0:c>
      <ns0:c r="BT235" s="74" t="inlineStr">
        <ns0:is>
          <ns0:t>N/A</ns0:t>
        </ns0:is>
      </ns0:c>
      <ns0:c r="BU235" s="91" t="inlineStr">
        <ns0:is>
          <ns0:t>China International Capital Corporation Hong Kong Securities Limited</ns0:t>
        </ns0:is>
      </ns0:c>
      <ns0:c r="BV235" s="74" t="inlineStr">
        <ns0:is>
          <ns0:t>China International Capital Corporation Hong Kong Securities Limited</ns0:t>
        </ns0:is>
      </ns0:c>
      <ns0:c r="BW235" s="74" t="inlineStr">
        <ns0:is>
          <ns0:t>China International Capital Corporation Hong Kong Securities Limited; China Galaxy International Securities (Hong Kong) Co., Limited; CMB International Capital Limited; GF Securities (Hong Kong) Brokerage Limited; Guotai Junan Securities (Hong Kong) Limited; (Hong Kong) Co., Limited; ABCI Capital Limited; ICBC International Securities Limited; Soochow Securities International Brokerage Limited</ns0:t>
        </ns0:is>
      </ns0:c>
      <ns0:c r="BX235" s="74" t="inlineStr">
        <ns0:is>
          <ns0: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ns0:t>
        </ns0:is>
      </ns0:c>
      <ns0:c r="BY235" s="93">
        <ns0:f>HYPERLINK("https://www1.hkexnews.hk/listedco/listconews/sehk/2023/1218/2023121800007.pdf","prospectus")</ns0:f>
        <ns0:v/>
      </ns0:c>
      <ns0:c r="BZ235" s="93">
        <ns0:f>HYPERLINK("https://www1.hkexnews.hk/listedco/listconews/sehk/2023/1227/2023122701489.pdf","allotment")</ns0:f>
        <ns0:v/>
      </ns0:c>
      <ns0:c r="CA235" s="93">
        <ns0:f>HYPERLINK("https://www1.hkexnews.hk/listedco/listconews/sehk/2024/0122/2024012200299.pdf","stabilisation")</ns0:f>
        <ns0:v/>
      </ns0:c>
      <ns0:c r="CB235" s="94" t="n"/>
      <ns0:c r="CC235" s="74" t="inlineStr">
        <ns0:is>
          <ns0:t>sponsor: English name not in the filing; AAStocks 保薦人 shown; cornerstone list: no cornerstone tranche</ns0:t>
        </ns0:is>
      </ns0:c>
    </ns0:row>
    <ns0:row r="236" ht="22" customHeight="1">
      <ns0:c r="A236" s="73" t="inlineStr">
        <ns0:is>
          <ns0:t>9880</ns0:t>
        </ns0:is>
      </ns0:c>
      <ns0:c r="B236" s="74" t="inlineStr">
        <ns0:is>
          <ns0:t>UBTECH ROBOTICS</ns0:t>
        </ns0:is>
      </ns0:c>
      <ns0:c r="C236" s="74" t="inlineStr">
        <ns0:is>
          <ns0:t>優必選</ns0:t>
        </ns0:is>
      </ns0:c>
      <ns0:c r="D236" s="74" t="inlineStr">
        <ns0:is>
          <ns0:t>Technology</ns0:t>
        </ns0:is>
      </ns0:c>
      <ns0:c r="E236" s="74" t="inlineStr">
        <ns0:is>
          <ns0:t>Robotics &amp; autonomous driving</ns0:t>
        </ns0:is>
      </ns0:c>
      <ns0:c r="F236" s="74" t="inlineStr">
        <ns0:is>
          <ns0:t>Application Software</ns0:t>
        </ns0:is>
      </ns0:c>
      <ns0:c r="G236" s="74" t="inlineStr">
        <ns0:is>
          <ns0:t>Standard</ns0:t>
        </ns0:is>
      </ns0:c>
      <ns0:c r="H236" s="75" t="n">
        <ns0:v>45289</ns0:v>
      </ns0:c>
      <ns0:c r="I236" s="76" t="n">
        <ns0:v>1015.38</ns0:v>
      </ns0:c>
      <ns0:c r="J236" s="74" t="inlineStr">
        <ns0:is>
          <ns0:t>gross (stated)</ns0:t>
        </ns0:is>
      </ns0:c>
      <ns0:c r="K236" s="77" t="n">
        <ns0:v>86</ns0:v>
      </ns0:c>
      <ns0:c r="L236" s="77" t="n">
        <ns0:v>116</ns0:v>
      </ns0:c>
      <ns0:c r="M236" s="77" t="n">
        <ns0:v>90</ns0:v>
      </ns0:c>
      <ns0:c r="N236" s="74" t="inlineStr">
        <ns0:is>
          <ns0:t>N</ns0:t>
        </ns0:is>
      </ns0:c>
      <ns0:c r="O236" s="78" t="n">
        <ns0:v>77.59999999999999</ns0:v>
      </ns0:c>
      <ns0:c r="P236" s="78" t="n">
        <ns0:v>13.3</ns0:v>
      </ns0:c>
      <ns0:c r="Q236" s="79" t="n">
        <ns0:v>37606.6</ns0:v>
      </ns0:c>
      <ns0:c r="R236" s="74" t="inlineStr">
        <ns0:is>
          <ns0:t>derived:price x shares upon listing</ns0:t>
        </ns0:is>
      </ns0:c>
      <ns0:c r="S236" s="80" t="n">
        <ns0:v>5.16</ns0:v>
      </ns0:c>
      <ns0:c r="T236" s="81" t="n">
        <ns0:v>2.16</ns0:v>
      </ns0:c>
      <ns0:c r="U236" s="82" t="n">
        <ns0:v>53.41</ns0:v>
      </ns0:c>
      <ns0:c r="V236" s="83" t="n">
        <ns0:v>118</ns0:v>
      </ns0:c>
      <ns0:c r="W236" s="78" t="n">
        <ns0:v>10</ns0:v>
      </ns0:c>
      <ns0:c r="X236" s="74" t="inlineStr">
        <ns0:is>
          <ns0:t>NO</ns0:t>
        </ns0:is>
      </ns0:c>
      <ns0:c r="Y236" s="79" t="n">
        <ns0:v>473.07</ns0:v>
      </ns0:c>
      <ns0:c r="Z236" s="79" t="n">
        <ns0:v>5256284</ns0:v>
      </ns0:c>
      <ns0:c r="AA236" s="78" t="n">
        <ns0:v>1.26</ns0:v>
      </ns0:c>
      <ns0:c r="AB236" s="74" t="inlineStr">
        <ns0:is>
          <ns0:t>E-Town International Holding (Hong Kong) Co., Limited</ns0:t>
        </ns0:is>
      </ns0:c>
      <ns0:c r="AC236" s="74" t="inlineStr">
        <ns0:is>
          <ns0:t>town</ns0:t>
        </ns0:is>
      </ns0:c>
      <ns0:c r="AD236" s="78" t="n">
        <ns0:v>15</ns0:v>
      </ns0:c>
      <ns0:c r="AE236" s="74" t="inlineStr">
        <ns0:is>
          <ns0:t>partial</ns0:t>
        </ns0:is>
      </ns0:c>
      <ns0:c r="AF236" s="74" t="inlineStr">
        <ns0:is>
          <ns0:t>2024-01-21</ns0:t>
        </ns0:is>
      </ns0:c>
      <ns0:c r="AG236" s="74" t="inlineStr">
        <ns0:is>
          <ns0:t>Guotai Junan Securities</ns0:t>
        </ns0:is>
      </ns0:c>
      <ns0:c r="AH236" s="74" t="inlineStr">
        <ns0:is>
          <ns0:t>Guotai Junan</ns0:t>
        </ns0:is>
      </ns0:c>
      <ns0:c r="AI236" s="86" t="n">
        <ns0:v>-0.06</ns0:v>
      </ns0:c>
      <ns0:c r="AJ236" s="87" t="n">
        <ns0:v>0.9399999999999999</ns0:v>
      </ns0:c>
      <ns0:c r="AK236" s="87" t="n">
        <ns0:v>0.16</ns0:v>
      </ns0:c>
      <ns0:c r="AL236" s="87" t="n">
        <ns0:v>-0.11</ns0:v>
      </ns0:c>
      <ns0:c r="AM236" s="87" t="n">
        <ns0:v>1.05</ns0:v>
      </ns0:c>
      <ns0:c r="AN236" s="89" t="n">
        <ns0:v>1.47</ns0:v>
      </ns0:c>
      <ns0:c r="AO236" s="78" t="n">
        <ns0:v>5.78</ns0:v>
      </ns0:c>
      <ns0:c r="AP236" s="87" t="n">
        <ns0:v>-2.22</ns0:v>
      </ns0:c>
      <ns0:c r="AQ236" s="87" t="n">
        <ns0:v>0</ns0:v>
      </ns0:c>
      <ns0:c r="AR236" s="87" t="n">
        <ns0:v>143.78</ns0:v>
      </ns0:c>
      <ns0:c r="AS236" s="87" t="n">
        <ns0:v>-3.13</ns0:v>
      </ns0:c>
      <ns0:c r="AT236" s="87" t="n">
        <ns0:v>-0.93</ns0:v>
      </ns0:c>
      <ns0:c r="AU236" s="87" t="n">
        <ns0:v>141.51</ns0:v>
      </ns0:c>
      <ns0:c r="AV236" s="87" t="n">
        <ns0:v>5.21</ns0:v>
      </ns0:c>
      <ns0:c r="AW236" s="87" t="n">
        <ns0:v>17.95</ns0:v>
      </ns0:c>
      <ns0:c r="AX236" s="87" t="n">
        <ns0:v>151.59</ns0:v>
      </ns0:c>
      <ns0:c r="AY236" s="87" t="n">
        <ns0:v>17.15</ns0:v>
      </ns0:c>
      <ns0:c r="AZ236" s="87" t="n">
        <ns0:v>-17.95</ns0:v>
      </ns0:c>
      <ns0:c r="BA236" s="87" t="n">
        <ns0:v>-18.08</ns0:v>
      </ns0:c>
      <ns0:c r="BB236" s="74" t="inlineStr">
        <ns0:is>
          <ns0:t>HSTECH (Hang Seng TECH ETF)</ns0:t>
        </ns0:is>
      </ns0:c>
      <ns0:c r="BC236" s="87" t="n">
        <ns0:v>-18.33</ns0:v>
      </ns0:c>
      <ns0:c r="BD236" s="75" t="n">
        <ns0:v>46297</ns0:v>
      </ns0:c>
      <ns0:c r="BE236" s="76" t="n">
        <ns0:v>1109.1</ns0:v>
      </ns0:c>
      <ns0:c r="BF236" s="79" t="n">
        <ns0:v>-1086.1</ns0:v>
      </ns0:c>
      <ns0:c r="BG236" s="74" t="inlineStr">
        <ns0:is>
          <ns0:t>N</ns0:t>
        </ns0:is>
      </ns0:c>
      <ns0:c r="BH236" s="74" t="inlineStr">
        <ns0:is>
          <ns0:t>n/m</ns0:t>
        </ns0:is>
      </ns0:c>
      <ns0:c r="BI236" s="88" t="n"/>
      <ns0:c r="BJ236" s="88" t="n"/>
      <ns0:c r="BK236" s="89" t="n">
        <ns0:v>33.9</ns0:v>
      </ns0:c>
      <ns0:c r="BL236" s="90">
        <ns0:f>IFERROR(IF('BBG Verify'!S236="","Awaiting Bloomberg",'BBG Verify'!S236),"Awaiting Bloomberg")</ns0:f>
        <ns0:v/>
      </ns0:c>
      <ns0:c r="BM236" s="91" t="inlineStr">
        <ns0:is>
          <ns0:t>N</ns0:t>
        </ns0:is>
      </ns0:c>
      <ns0:c r="BN236" s="92">
        <ns0:f>IFERROR(IF('BBG Verify'!K236="","Awaiting Bloomberg",'BBG Verify'!K236),"Awaiting Bloomberg")</ns0:f>
        <ns0:v/>
      </ns0:c>
      <ns0:c r="BO236" s="74" t="inlineStr">
        <ns0:is>
          <ns0:t>N/A</ns0:t>
        </ns0:is>
      </ns0:c>
      <ns0:c r="BP236" s="74" t="inlineStr">
        <ns0:is>
          <ns0:t>N/A</ns0:t>
        </ns0:is>
      </ns0:c>
      <ns0:c r="BQ236" s="74" t="inlineStr">
        <ns0:is>
          <ns0:t>N/A</ns0:t>
        </ns0:is>
      </ns0:c>
      <ns0:c r="BR236" s="74" t="inlineStr">
        <ns0:is>
          <ns0:t>N/A</ns0:t>
        </ns0:is>
      </ns0:c>
      <ns0:c r="BS236" s="74" t="inlineStr">
        <ns0:is>
          <ns0:t>N/A</ns0:t>
        </ns0:is>
      </ns0:c>
      <ns0:c r="BT236" s="74" t="inlineStr">
        <ns0:is>
          <ns0:t>N/A</ns0:t>
        </ns0:is>
      </ns0:c>
      <ns0:c r="BU236" s="91" t="inlineStr">
        <ns0:is>
          <ns0:t>Guotai Junan Capital Limited</ns0:t>
        </ns0:is>
      </ns0:c>
      <ns0:c r="BV236" s="74" t="inlineStr">
        <ns0:is>
          <ns0:t>Guotai Junan Capital Limited</ns0:t>
        </ns0:is>
      </ns0:c>
      <ns0:c r="BW236" s="74" t="inlineStr">
        <ns0:is>
          <ns0:t>ABCI Securities Company Limited</ns0:t>
        </ns0:is>
      </ns0:c>
      <ns0:c r="BX236" s="74" t="inlineStr">
        <ns0:is>
          <ns0: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ns0:t>
        </ns0:is>
      </ns0:c>
      <ns0:c r="BY236" s="93">
        <ns0:f>HYPERLINK("https://www1.hkexnews.hk/listedco/listconews/sehk/2023/1219/2023121900021.pdf","prospectus")</ns0:f>
        <ns0:v/>
      </ns0:c>
      <ns0:c r="BZ236" s="93">
        <ns0:f>HYPERLINK("https://www1.hkexnews.hk/listedco/listconews/sehk/2023/1228/2023122801642.pdf","allotment")</ns0:f>
        <ns0:v/>
      </ns0:c>
      <ns0:c r="CA236" s="93">
        <ns0:f>HYPERLINK("https://www1.hkexnews.hk/listedco/listconews/sehk/2024/0122/2024012200015.pdf","stabilisation")</ns0:f>
        <ns0:v/>
      </ns0:c>
      <ns0:c r="CB236" s="94" t="n"/>
      <ns0:c r="CC236" s="74" t="inlineStr">
        <ns0:is>
          <ns0:t>P/E: loss-making at IPO, use P/S</ns0:t>
        </ns0:is>
      </ns0:c>
    </ns0:row>
    <ns0:row r="237" ht="22" customHeight="1">
      <ns0:c r="A237" s="73" t="inlineStr">
        <ns0:is>
          <ns0:t>2498</ns0:t>
        </ns0:is>
      </ns0:c>
      <ns0:c r="B237" s="74" t="inlineStr">
        <ns0:is>
          <ns0:t>ROBOSENSE</ns0:t>
        </ns0:is>
      </ns0:c>
      <ns0:c r="C237" s="74" t="inlineStr">
        <ns0:is>
          <ns0:t>速騰聚創</ns0:t>
        </ns0:is>
      </ns0:c>
      <ns0:c r="D237" s="74" t="inlineStr">
        <ns0:is>
          <ns0:t>Technology</ns0:t>
        </ns0:is>
      </ns0:c>
      <ns0:c r="E237" s="74" t="inlineStr">
        <ns0:is>
          <ns0:t>Robotics &amp; autonomous driving</ns0:t>
        </ns0:is>
      </ns0:c>
      <ns0:c r="F237" s="74" t="inlineStr">
        <ns0:is>
          <ns0:t>IT Products Distributors</ns0:t>
        </ns0:is>
      </ns0:c>
      <ns0:c r="G237" s="74" t="inlineStr">
        <ns0:is>
          <ns0:t>Standard</ns0:t>
        </ns0:is>
      </ns0:c>
      <ns0:c r="H237" s="75" t="n">
        <ns0:v>45296</ns0:v>
      </ns0:c>
      <ns0:c r="I237" s="76" t="n">
        <ns0:v>985.1</ns0:v>
      </ns0:c>
      <ns0:c r="J237" s="74" t="inlineStr">
        <ns0:is>
          <ns0:t>gross (price x shares)</ns0:t>
        </ns0:is>
      </ns0:c>
      <ns0:c r="K237" s="95" t="n"/>
      <ns0:c r="L237" s="77" t="n">
        <ns0:v>43</ns0:v>
      </ns0:c>
      <ns0:c r="M237" s="77" t="n">
        <ns0:v>43</ns0:v>
      </ns0:c>
      <ns0:c r="N237" s="74" t="inlineStr">
        <ns0:is>
          <ns0:t>Y</ns0:t>
        </ns0:is>
      </ns0:c>
      <ns0:c r="O237" s="78" t="n">
        <ns0:v>100</ns0:v>
      </ns0:c>
      <ns0:c r="P237" s="84" t="n"/>
      <ns0:c r="Q237" s="79" t="n">
        <ns0:v>19300</ns0:v>
      </ns0:c>
      <ns0:c r="R237" s="74" t="inlineStr">
        <ns0:is>
          <ns0:t>press:qq/STCN 2024-01-05: IPO市值超193亿</ns0:t>
        </ns0:is>
      </ns0:c>
      <ns0:c r="S237" s="80" t="n">
        <ns0:v>0.58</ns0:v>
      </ns0:c>
      <ns0:c r="T237" s="81" t="n">
        <ns0:v>1.28</ns0:v>
      </ns0:c>
      <ns0:c r="U237" s="82" t="n">
        <ns0:v>79.29000000000001</ns0:v>
      </ns0:c>
      <ns0:c r="V237" s="83" t="n">
        <ns0:v>121</ns0:v>
      </ns0:c>
      <ns0:c r="W237" s="78" t="n">
        <ns0:v>5.84</ns0:v>
      </ns0:c>
      <ns0:c r="X237" s="74" t="inlineStr">
        <ns0:is>
          <ns0:t>NO</ns0:t>
        </ns0:is>
      </ns0:c>
      <ns0:c r="Y237" s="79" t="n">
        <ns0:v>204.01</ns0:v>
      </ns0:c>
      <ns0:c r="Z237" s="79" t="n">
        <ns0:v>4744620</ns0:v>
      </ns0:c>
      <ns0:c r="AA237" s="78" t="n">
        <ns0:v>1.06</ns0:v>
      </ns0:c>
      <ns0:c r="AB237" s="74" t="inlineStr">
        <ns0:is>
          <ns0:t>Shenzhen Nanshan Strategic Emerging Industries Investment Co., Ltd</ns0:t>
        </ns0:is>
      </ns0:c>
      <ns0:c r="AC237" s="74" t="inlineStr">
        <ns0:is>
          <ns0:t>shenzhen-nanshan</ns0:t>
        </ns0:is>
      </ns0:c>
      <ns0:c r="AD237" s="78" t="n">
        <ns0:v>12.5</ns0:v>
      </ns0:c>
      <ns0:c r="AE237" s="74" t="inlineStr">
        <ns0:is>
          <ns0:t>partial</ns0:t>
        </ns0:is>
      </ns0:c>
      <ns0:c r="AF237" s="74" t="inlineStr">
        <ns0:is>
          <ns0:t>2024-02-01</ns0:t>
        </ns0:is>
      </ns0:c>
      <ns0:c r="AG237" s="74" t="inlineStr">
        <ns0:is>
          <ns0:t>J.P. Morgan Securities</ns0:t>
        </ns0:is>
      </ns0:c>
      <ns0:c r="AH237" s="74" t="inlineStr">
        <ns0:is>
          <ns0:t>JP Morgan</ns0:t>
        </ns0:is>
      </ns0:c>
      <ns0:c r="AI237" s="86" t="n">
        <ns0:v>-2.33</ns0:v>
      </ns0:c>
      <ns0:c r="AJ237" s="87" t="n">
        <ns0:v>0</ns0:v>
      </ns0:c>
      <ns0:c r="AK237" s="87" t="n">
        <ns0:v>-1.45</ns0:v>
      </ns0:c>
      <ns0:c r="AL237" s="87" t="n">
        <ns0:v>0</ns0:v>
      </ns0:c>
      <ns0:c r="AM237" s="87" t="n">
        <ns0:v>0</ns0:v>
      </ns0:c>
      <ns0:c r="AN237" s="89" t="n">
        <ns0:v>0.71</ns0:v>
      </ns0:c>
      <ns0:c r="AO237" s="78" t="n">
        <ns0:v>3.72</ns0:v>
      </ns0:c>
      <ns0:c r="AP237" s="87" t="n">
        <ns0:v>0</ns0:v>
      </ns0:c>
      <ns0:c r="AQ237" s="87" t="n">
        <ns0:v>-9.300000000000001</ns0:v>
      </ns0:c>
      <ns0:c r="AR237" s="87" t="n">
        <ns0:v>-1.16</ns0:v>
      </ns0:c>
      <ns0:c r="AS237" s="87" t="n">
        <ns0:v>0</ns0:v>
      </ns0:c>
      <ns0:c r="AT237" s="87" t="n">
        <ns0:v>-9.300000000000001</ns0:v>
      </ns0:c>
      <ns0:c r="AU237" s="87" t="n">
        <ns0:v>-1.16</ns0:v>
      </ns0:c>
      <ns0:c r="AV237" s="87" t="n">
        <ns0:v>5.08</ns0:v>
      </ns0:c>
      <ns0:c r="AW237" s="87" t="n">
        <ns0:v>7.66</ns0:v>
      </ns0:c>
      <ns0:c r="AX237" s="87" t="n">
        <ns0:v>1.52</ns0:v>
      </ns0:c>
      <ns0:c r="AY237" s="87" t="n">
        <ns0:v>6.44</ns0:v>
      </ns0:c>
      <ns0:c r="AZ237" s="87" t="n">
        <ns0:v>-16.96</ns0:v>
      </ns0:c>
      <ns0:c r="BA237" s="87" t="n">
        <ns0:v>-15.74</ns0:v>
      </ns0:c>
      <ns0:c r="BB237" s="74" t="inlineStr">
        <ns0:is>
          <ns0:t>HSTECH (Hang Seng TECH ETF)</ns0:t>
        </ns0:is>
      </ns0:c>
      <ns0:c r="BC237" s="87" t="n">
        <ns0:v>-62.58</ns0:v>
      </ns0:c>
      <ns0:c r="BD237" s="75" t="n">
        <ns0:v>46297</ns0:v>
      </ns0:c>
      <ns0:c r="BE237" s="76" t="n">
        <ns0:v>583.4</ns0:v>
      </ns0:c>
      <ns0:c r="BF237" s="79" t="n">
        <ns0:v>-2294.7</ns0:v>
      </ns0:c>
      <ns0:c r="BG237" s="74" t="inlineStr">
        <ns0:is>
          <ns0:t>N</ns0:t>
        </ns0:is>
      </ns0:c>
      <ns0:c r="BH237" s="74" t="inlineStr">
        <ns0:is>
          <ns0:t>n/m</ns0:t>
        </ns0:is>
      </ns0:c>
      <ns0:c r="BI237" s="88" t="n"/>
      <ns0:c r="BJ237" s="88" t="n"/>
      <ns0:c r="BK237" s="89" t="n">
        <ns0:v>33.1</ns0:v>
      </ns0:c>
      <ns0:c r="BL237" s="90">
        <ns0:f>IFERROR(IF('BBG Verify'!S237="","Awaiting Bloomberg",'BBG Verify'!S237),"Awaiting Bloomberg")</ns0:f>
        <ns0:v/>
      </ns0:c>
      <ns0:c r="BM237" s="91" t="inlineStr">
        <ns0:is>
          <ns0:t>N</ns0:t>
        </ns0:is>
      </ns0:c>
      <ns0:c r="BN237" s="92">
        <ns0:f>IFERROR(IF('BBG Verify'!K237="","Awaiting Bloomberg",'BBG Verify'!K237),"Awaiting Bloomberg")</ns0:f>
        <ns0:v/>
      </ns0:c>
      <ns0:c r="BO237" s="74" t="inlineStr">
        <ns0:is>
          <ns0:t>N/A</ns0:t>
        </ns0:is>
      </ns0:c>
      <ns0:c r="BP237" s="74" t="inlineStr">
        <ns0:is>
          <ns0:t>N/A</ns0:t>
        </ns0:is>
      </ns0:c>
      <ns0:c r="BQ237" s="74" t="inlineStr">
        <ns0:is>
          <ns0:t>N/A</ns0:t>
        </ns0:is>
      </ns0:c>
      <ns0:c r="BR237" s="74" t="inlineStr">
        <ns0:is>
          <ns0:t>N/A</ns0:t>
        </ns0:is>
      </ns0:c>
      <ns0:c r="BS237" s="74" t="inlineStr">
        <ns0:is>
          <ns0:t>N/A</ns0:t>
        </ns0:is>
      </ns0:c>
      <ns0:c r="BT237" s="74" t="inlineStr">
        <ns0:is>
          <ns0:t>N/A</ns0:t>
        </ns0:is>
      </ns0:c>
      <ns0:c r="BU237" s="91" t="inlineStr">
        <ns0:is>
          <ns0:t>J.P. Morgan Securities (Far East) Limited; China Renaissance Securities (Hong Kong) Limited</ns0:t>
        </ns0:is>
      </ns0:c>
      <ns0:c r="BV237" s="74" t="inlineStr">
        <ns0:is>
          <ns0:t>J.P. Morgan Securities (Far East) Limited; China Renaissance Securities (Hong Kong) Limited</ns0:t>
        </ns0:is>
      </ns0:c>
      <ns0:c r="BW237" s="74" t="inlineStr">
        <ns0:is>
          <ns0:t>J.P. Morgan Securities (Asia Pacific) Limited; J.P. Morgan Securities plc; China International Capital Corporation Hong Kong Securities Limited; CCB International Capital Limited; Essence International Securities (Hong Kong) Limited; Fosun International Securities Limited; CMB International Capital Limited; ABCI Capital Limited</ns0:t>
        </ns0:is>
      </ns0:c>
      <ns0:c r="BX237" s="74" t="inlineStr">
        <ns0:is>
          <ns0: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ns0:t>
        </ns0:is>
      </ns0:c>
      <ns0:c r="BY237" s="93">
        <ns0:f>HYPERLINK("https://www1.hkexnews.hk/listedco/listconews/sehk/2023/1227/2023122700027.pdf","prospectus")</ns0:f>
        <ns0:v/>
      </ns0:c>
      <ns0:c r="BZ237" s="93">
        <ns0:f>HYPERLINK("https://www1.hkexnews.hk/listedco/listconews/sehk/2024/0104/2024010401780.pdf","allotment")</ns0:f>
        <ns0:v/>
      </ns0:c>
      <ns0:c r="CA237" s="93">
        <ns0:f>HYPERLINK("https://www1.hkexnews.hk/listedco/listconews/sehk/2024/0201/2024020103564.pdf","stabilisation")</ns0:f>
        <ns0:v/>
      </ns0:c>
      <ns0:c r="CB237" s="94" t="n"/>
      <ns0:c r="CC237" s="74" t="inlineStr">
        <ns0:is>
          <ns0:t>P/E: loss-making at IPO, use P/S; range low: maximum offer price only, no floor published</ns0:t>
        </ns0:is>
      </ns0:c>
    </ns0:row>
    <ns0:row r="238" ht="22" customHeight="1">
      <ns0:c r="A238" s="73" t="inlineStr">
        <ns0:is>
          <ns0:t>2453</ns0:t>
        </ns0:is>
      </ns0:c>
      <ns0:c r="B238" s="74" t="inlineStr">
        <ns0:is>
          <ns0:t>CONCORD HC GP</ns0:t>
        </ns0:is>
      </ns0:c>
      <ns0:c r="C238" s="74" t="inlineStr">
        <ns0:is>
          <ns0:t>美中嘉和</ns0:t>
        </ns0:is>
      </ns0:c>
      <ns0:c r="D238" s="74" t="inlineStr">
        <ns0:is>
          <ns0:t>Healthcare</ns0:t>
        </ns0:is>
      </ns0:c>
      <ns0:c r="E238" s="74" t="inlineStr">
        <ns0:is>
          <ns0:t>Hospitals / clinics</ns0:t>
        </ns0:is>
      </ns0:c>
      <ns0:c r="F238" s="74" t="inlineStr">
        <ns0:is>
          <ns0:t>Health Care Services</ns0:t>
        </ns0:is>
      </ns0:c>
      <ns0:c r="G238" s="74" t="inlineStr">
        <ns0:is>
          <ns0:t>Standard</ns0:t>
        </ns0:is>
      </ns0:c>
      <ns0:c r="H238" s="75" t="n">
        <ns0:v>45300</ns0:v>
      </ns0:c>
      <ns0:c r="I238" s="76" t="n">
        <ns0:v>562.9</ns0:v>
      </ns0:c>
      <ns0:c r="J238" s="74" t="inlineStr">
        <ns0:is>
          <ns0:t>gross (price x shares)</ns0:t>
        </ns0:is>
      </ns0:c>
      <ns0:c r="K238" s="77" t="n">
        <ns0:v>14.1</ns0:v>
      </ns0:c>
      <ns0:c r="L238" s="77" t="n">
        <ns0:v>16.4</ns0:v>
      </ns0:c>
      <ns0:c r="M238" s="77" t="n">
        <ns0:v>14.28</ns0:v>
      </ns0:c>
      <ns0:c r="N238" s="74" t="inlineStr">
        <ns0:is>
          <ns0:t>N</ns0:t>
        </ns0:is>
      </ns0:c>
      <ns0:c r="O238" s="78" t="n">
        <ns0:v>87.09999999999999</ns0:v>
      </ns0:c>
      <ns0:c r="P238" s="78" t="n">
        <ns0:v>7.8</ns0:v>
      </ns0:c>
      <ns0:c r="Q238" s="79" t="n">
        <ns0:v>10229.3</ns0:v>
      </ns0:c>
      <ns0:c r="R238" s="74" t="inlineStr">
        <ns0:is>
          <ns0:t>derived:price x shares upon listing</ns0:t>
        </ns0:is>
      </ns0:c>
      <ns0:c r="S238" s="80" t="n">
        <ns0:v>1.99</ns0:v>
      </ns0:c>
      <ns0:c r="T238" s="81" t="n">
        <ns0:v>1.02</ns0:v>
      </ns0:c>
      <ns0:c r="U238" s="82" t="n">
        <ns0:v>0</ns0:v>
      </ns0:c>
      <ns0:c r="V238" s="83" t="n">
        <ns0:v>113</ns0:v>
      </ns0:c>
      <ns0:c r="W238" s="78" t="n">
        <ns0:v>10</ns0:v>
      </ns0:c>
      <ns0:c r="X238" s="74" t="inlineStr">
        <ns0:is>
          <ns0:t>NO</ns0:t>
        </ns0:is>
      </ns0:c>
      <ns0:c r="Y238" s="79" t="n">
        <ns0:v>562.9</ns0:v>
      </ns0:c>
      <ns0:c r="Z238" s="79" t="n">
        <ns0:v>39420200</ns0:v>
      </ns0:c>
      <ns0:c r="AA238" s="78" t="n">
        <ns0:v>5.5</ns0:v>
      </ns0:c>
      <ns0:c r="AB238" s="74" t="inlineStr">
        <ns0:is>
          <ns0:t>none — no cornerstone tranche</ns0:t>
        </ns0:is>
      </ns0:c>
      <ns0:c r="AC238" s="74" t="inlineStr">
        <ns0:is>
          <ns0:t>none</ns0:t>
        </ns0:is>
      </ns0:c>
      <ns0:c r="AD238" s="84" t="n"/>
      <ns0:c r="AE238" s="85" t="n"/>
      <ns0:c r="AF238" s="85" t="n"/>
      <ns0:c r="AG238" s="85" t="n"/>
      <ns0:c r="AH238" s="85" t="n"/>
      <ns0:c r="AI238" s="86" t="n">
        <ns0:v>-22.83</ns0:v>
      </ns0:c>
      <ns0:c r="AJ238" s="87" t="n">
        <ns0:v>-22.41</ns0:v>
      </ns0:c>
      <ns0:c r="AK238" s="87" t="n">
        <ns0:v>0.84</ns0:v>
      </ns0:c>
      <ns0:c r="AL238" s="87" t="n">
        <ns0:v>-31.37</ns0:v>
      </ns0:c>
      <ns0:c r="AM238" s="87" t="n">
        <ns0:v>13.06</ns0:v>
      </ns0:c>
      <ns0:c r="AN238" s="89" t="n">
        <ns0:v>0.96</ns0:v>
      </ns0:c>
      <ns0:c r="AO238" s="78" t="n">
        <ns0:v>23.67</ns0:v>
      </ns0:c>
      <ns0:c r="AP238" s="87" t="n">
        <ns0:v>-2.24</ns0:v>
      </ns0:c>
      <ns0:c r="AQ238" s="87" t="n">
        <ns0:v>-9.1</ns0:v>
      </ns0:c>
      <ns0:c r="AR238" s="87" t="n">
        <ns0:v>61.06</ns0:v>
      </ns0:c>
      <ns0:c r="AS238" s="87" t="n">
        <ns0:v>26</ns0:v>
      </ns0:c>
      <ns0:c r="AT238" s="87" t="n">
        <ns0:v>17.15</ns0:v>
      </ns0:c>
      <ns0:c r="AU238" s="87" t="n">
        <ns0:v>107.58</ns0:v>
      </ns0:c>
      <ns0:c r="AV238" s="87" t="n">
        <ns0:v>-3.22</ns0:v>
      </ns0:c>
      <ns0:c r="AW238" s="87" t="n">
        <ns0:v>1.68</ns0:v>
      </ns0:c>
      <ns0:c r="AX238" s="87" t="n">
        <ns0:v>74.7</ns0:v>
      </ns0:c>
      <ns0:c r="AY238" s="87" t="n">
        <ns0:v>28.68</ns0:v>
      </ns0:c>
      <ns0:c r="AZ238" s="87" t="n">
        <ns0:v>-10.78</ns0:v>
      </ns0:c>
      <ns0:c r="BA238" s="87" t="n">
        <ns0:v>-11.53</ns0:v>
      </ns0:c>
      <ns0:c r="BB238" s="74" t="inlineStr">
        <ns0:is>
          <ns0:t>China Biotech ETF (HS biotech proxy)</ns0:t>
        </ns0:is>
      </ns0:c>
      <ns0:c r="BC238" s="87" t="n">
        <ns0:v>-95.09999999999999</ns0:v>
      </ns0:c>
      <ns0:c r="BD238" s="75" t="n">
        <ns0:v>46297</ns0:v>
      </ns0:c>
      <ns0:c r="BE238" s="76" t="n">
        <ns0:v>519.4</ns0:v>
      </ns0:c>
      <ns0:c r="BF238" s="79" t="n">
        <ns0:v>-700.9</ns0:v>
      </ns0:c>
      <ns0:c r="BG238" s="74" t="inlineStr">
        <ns0:is>
          <ns0:t>N</ns0:t>
        </ns0:is>
      </ns0:c>
      <ns0:c r="BH238" s="74" t="inlineStr">
        <ns0:is>
          <ns0:t>n/m</ns0:t>
        </ns0:is>
      </ns0:c>
      <ns0:c r="BI238" s="88" t="n"/>
      <ns0:c r="BJ238" s="88" t="n"/>
      <ns0:c r="BK238" s="89" t="n">
        <ns0:v>19.7</ns0:v>
      </ns0:c>
      <ns0:c r="BL238" s="90">
        <ns0:f>IFERROR(IF('BBG Verify'!S238="","Awaiting Bloomberg",'BBG Verify'!S238),"Awaiting Bloomberg")</ns0:f>
        <ns0:v/>
      </ns0:c>
      <ns0:c r="BM238" s="91" t="inlineStr">
        <ns0:is>
          <ns0:t>N</ns0:t>
        </ns0:is>
      </ns0:c>
      <ns0:c r="BN238" s="92">
        <ns0:f>IFERROR(IF('BBG Verify'!K238="","Awaiting Bloomberg",'BBG Verify'!K238),"Awaiting Bloomberg")</ns0:f>
        <ns0:v/>
      </ns0:c>
      <ns0:c r="BO238" s="74" t="inlineStr">
        <ns0:is>
          <ns0:t>N/A</ns0:t>
        </ns0:is>
      </ns0:c>
      <ns0:c r="BP238" s="74" t="inlineStr">
        <ns0:is>
          <ns0:t>N/A</ns0:t>
        </ns0:is>
      </ns0:c>
      <ns0:c r="BQ238" s="74" t="inlineStr">
        <ns0:is>
          <ns0:t>N/A</ns0:t>
        </ns0:is>
      </ns0:c>
      <ns0:c r="BR238" s="74" t="inlineStr">
        <ns0:is>
          <ns0:t>N/A</ns0:t>
        </ns0:is>
      </ns0:c>
      <ns0:c r="BS238" s="74" t="inlineStr">
        <ns0:is>
          <ns0:t>N/A</ns0:t>
        </ns0:is>
      </ns0:c>
      <ns0:c r="BT238" s="74" t="inlineStr">
        <ns0:is>
          <ns0:t>N/A</ns0:t>
        </ns0:is>
      </ns0:c>
      <ns0:c r="BU238" s="91" t="inlineStr">
        <ns0:is>
          <ns0:t>China International Capital Corporation Hong Kong Securities Limited; Haitong International Capital Limited</ns0:t>
        </ns0:is>
      </ns0:c>
      <ns0:c r="BV238" s="74" t="inlineStr">
        <ns0:is>
          <ns0:t>Haitong International Capital Limited; China International Capital Corporation (HK) Ltd</ns0:t>
        </ns0:is>
      </ns0:c>
      <ns0:c r="BW238" s="74" t="inlineStr">
        <ns0:is>
          <ns0:t>China International Capital Corporation Hong Kong Securities Limited; Haitong International Securities Company Limited; CCB International Capital Limited; China Everbright Securities (HK) Limited; CMB International Capital Limited; Fosun International Securities Limited; Futu Securities International (Hong Kong) Limited; Livermore Holdings Limited; Mouette Securities Company Limited; Tiger Brokers (HK) Global Limited</ns0:t>
        </ns0:is>
      </ns0:c>
      <ns0:c r="BX238" s="74" t="inlineStr">
        <ns0:is>
          <ns0: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ns0:t>
        </ns0:is>
      </ns0:c>
      <ns0:c r="BY238" s="93">
        <ns0:f>HYPERLINK("https://www1.hkexnews.hk/listedco/listconews/sehk/2023/1229/2023122900023.pdf","prospectus")</ns0:f>
        <ns0:v/>
      </ns0:c>
      <ns0:c r="BZ238" s="93">
        <ns0:f>HYPERLINK("https://www1.hkexnews.hk/listedco/listconews/sehk/2024/0108/2024010801006.pdf","allotment")</ns0:f>
        <ns0:v/>
      </ns0:c>
      <ns0:c r="CA238" s="85" t="n"/>
      <ns0:c r="CB238" s="94" t="n"/>
      <ns0:c r="CC238" s="74" t="inlineStr">
        <ns0:is>
          <ns0:t>P/E: loss-making at IPO, use P/S; greenshoe: no over-allotment option; cornerstone list: no cornerstone tranche; greenshoe size: no over-allotment option; stabilising manager: filing states none appointed (allotment announcement: 'no stabilizing manager will be appointed' stated in the filing)</ns0:t>
        </ns0:is>
      </ns0:c>
    </ns0:row>
    <ns0:row r="239" ht="22" customHeight="1">
      <ns0:c r="A239" s="73" t="inlineStr">
        <ns0:is>
          <ns0:t>2503</ns0:t>
        </ns0:is>
      </ns0:c>
      <ns0:c r="B239" s="74" t="inlineStr">
        <ns0:is>
          <ns0:t>ZHONGSHENJIANYE</ns0:t>
        </ns0:is>
      </ns0:c>
      <ns0:c r="C239" s="74" t="inlineStr">
        <ns0:is>
          <ns0:t>中深建業</ns0:t>
        </ns0:is>
      </ns0:c>
      <ns0:c r="D239" s="74" t="inlineStr">
        <ns0:is>
          <ns0:t>Industrials</ns0:t>
        </ns0:is>
      </ns0:c>
      <ns0:c r="E239" s="74" t="inlineStr">
        <ns0:is>
          <ns0:t>Construction / engineering</ns0:t>
        </ns0:is>
      </ns0:c>
      <ns0:c r="F239" s="74" t="inlineStr">
        <ns0:is>
          <ns0:t>Building Construction</ns0:t>
        </ns0:is>
      </ns0:c>
      <ns0:c r="G239" s="74" t="inlineStr">
        <ns0:is>
          <ns0:t>Standard</ns0:t>
        </ns0:is>
      </ns0:c>
      <ns0:c r="H239" s="75" t="n">
        <ns0:v>45300</ns0:v>
      </ns0:c>
      <ns0:c r="I239" s="76" t="n">
        <ns0:v>128.7</ns0:v>
      </ns0:c>
      <ns0:c r="J239" s="74" t="inlineStr">
        <ns0:is>
          <ns0:t>gross (stated)</ns0:t>
        </ns0:is>
      </ns0:c>
      <ns0:c r="K239" s="95" t="n"/>
      <ns0:c r="L239" s="77" t="n">
        <ns0:v>1</ns0:v>
      </ns0:c>
      <ns0:c r="M239" s="77" t="n">
        <ns0:v>1</ns0:v>
      </ns0:c>
      <ns0:c r="N239" s="74" t="inlineStr">
        <ns0:is>
          <ns0:t>Y</ns0:t>
        </ns0:is>
      </ns0:c>
      <ns0:c r="O239" s="78" t="n">
        <ns0:v>100</ns0:v>
      </ns0:c>
      <ns0:c r="P239" s="84" t="n"/>
      <ns0:c r="Q239" s="79" t="n">
        <ns0:v>514.8</ns0:v>
      </ns0:c>
      <ns0:c r="R239" s="74" t="inlineStr">
        <ns0:is>
          <ns0:t>derived:price x shares upon listing</ns0:t>
        </ns0:is>
      </ns0:c>
      <ns0:c r="S239" s="80" t="n">
        <ns0:v>58.44</ns0:v>
      </ns0:c>
      <ns0:c r="T239" s="81" t="n">
        <ns0:v>1.09</ns0:v>
      </ns0:c>
      <ns0:c r="U239" s="82" t="n">
        <ns0:v>0</ns0:v>
      </ns0:c>
      <ns0:c r="V239" s="83" t="n">
        <ns0:v>137</ns0:v>
      </ns0:c>
      <ns0:c r="W239" s="78" t="n">
        <ns0:v>40</ns0:v>
      </ns0:c>
      <ns0:c r="X239" s="74" t="inlineStr">
        <ns0:is>
          <ns0:t>YES</ns0:t>
        </ns0:is>
      </ns0:c>
      <ns0:c r="Y239" s="79" t="n">
        <ns0:v>128.7</ns0:v>
      </ns0:c>
      <ns0:c r="Z239" s="79" t="n">
        <ns0:v>128700000</ns0:v>
      </ns0:c>
      <ns0:c r="AA239" s="78" t="n">
        <ns0:v>25</ns0:v>
      </ns0:c>
      <ns0:c r="AB239" s="74" t="inlineStr">
        <ns0:is>
          <ns0:t>none — no cornerstone tranche</ns0:t>
        </ns0:is>
      </ns0:c>
      <ns0:c r="AC239" s="74" t="inlineStr">
        <ns0:is>
          <ns0:t>none</ns0:t>
        </ns0:is>
      </ns0:c>
      <ns0:c r="AD239" s="84" t="n"/>
      <ns0:c r="AE239" s="85" t="n"/>
      <ns0:c r="AF239" s="85" t="n"/>
      <ns0:c r="AG239" s="85" t="n"/>
      <ns0:c r="AH239" s="85" t="n"/>
      <ns0:c r="AI239" s="86" t="n">
        <ns0:v>-12</ns0:v>
      </ns0:c>
      <ns0:c r="AJ239" s="87" t="n">
        <ns0:v>-28</ns0:v>
      </ns0:c>
      <ns0:c r="AK239" s="87" t="n">
        <ns0:v>-0.63</ns0:v>
      </ns0:c>
      <ns0:c r="AL239" s="87" t="n">
        <ns0:v>-19</ns0:v>
      </ns0:c>
      <ns0:c r="AM239" s="87" t="n">
        <ns0:v>-11.11</ns0:v>
      </ns0:c>
      <ns0:c r="AN239" s="89" t="n">
        <ns0:v>0.63</ns0:v>
      </ns0:c>
      <ns0:c r="AO239" s="78" t="n">
        <ns0:v>17.28</ns0:v>
      </ns0:c>
      <ns0:c r="AP239" s="87" t="n">
        <ns0:v>5</ns0:v>
      </ns0:c>
      <ns0:c r="AQ239" s="87" t="n">
        <ns0:v>16</ns0:v>
      </ns0:c>
      <ns0:c r="AR239" s="87" t="n">
        <ns0:v>-24</ns0:v>
      </ns0:c>
      <ns0:c r="AS239" s="87" t="n">
        <ns0:v>45.83</ns0:v>
      </ns0:c>
      <ns0:c r="AT239" s="87" t="n">
        <ns0:v>61.11</ns0:v>
      </ns0:c>
      <ns0:c r="AU239" s="87" t="n">
        <ns0:v>5.56</ns0:v>
      </ns0:c>
      <ns0:c r="AV239" s="87" t="n">
        <ns0:v>6.97</ns0:v>
      </ns0:c>
      <ns0:c r="AW239" s="87" t="n">
        <ns0:v>17.75</ns0:v>
      </ns0:c>
      <ns0:c r="AX239" s="87" t="n">
        <ns0:v>-31.44</ns0:v>
      </ns0:c>
      <ns0:c r="AY239" s="87" t="n">
        <ns0:v>62.24</ns0:v>
      </ns0:c>
      <ns0:c r="AZ239" s="87" t="n">
        <ns0:v>-1.75</ns0:v>
      </ns0:c>
      <ns0:c r="BA239" s="87" t="n">
        <ns0:v>-1.13</ns0:v>
      </ns0:c>
      <ns0:c r="BB239" s="74" t="inlineStr">
        <ns0:is>
          <ns0:t>Hang Seng Commerce &amp; Industry sub-index</ns0:t>
        </ns0:is>
      </ns0:c>
      <ns0:c r="BC239" s="87" t="n">
        <ns0:v>-73.5</ns0:v>
      </ns0:c>
      <ns0:c r="BD239" s="75" t="n">
        <ns0:v>46297</ns0:v>
      </ns0:c>
      <ns0:c r="BE239" s="76" t="n">
        <ns0:v>1515.9</ns0:v>
      </ns0:c>
      <ns0:c r="BF239" s="79" t="n">
        <ns0:v>42.1</ns0:v>
      </ns0:c>
      <ns0:c r="BG239" s="74" t="inlineStr">
        <ns0:is>
          <ns0:t>Y</ns0:t>
        </ns0:is>
      </ns0:c>
      <ns0:c r="BH239" s="89" t="n">
        <ns0:v>12.2</ns0:v>
      </ns0:c>
      <ns0:c r="BI239" s="88" t="n"/>
      <ns0:c r="BJ239" s="88" t="n"/>
      <ns0:c r="BK239" s="89" t="n">
        <ns0:v>0.3</ns0:v>
      </ns0:c>
      <ns0:c r="BL239" s="90">
        <ns0:f>IFERROR(IF('BBG Verify'!S239="","Awaiting Bloomberg",'BBG Verify'!S239),"Awaiting Bloomberg")</ns0:f>
        <ns0:v/>
      </ns0:c>
      <ns0:c r="BM239" s="91" t="inlineStr">
        <ns0:is>
          <ns0:t>N</ns0:t>
        </ns0:is>
      </ns0:c>
      <ns0:c r="BN239" s="92">
        <ns0:f>IFERROR(IF('BBG Verify'!K239="","Awaiting Bloomberg",'BBG Verify'!K239),"Awaiting Bloomberg")</ns0:f>
        <ns0:v/>
      </ns0:c>
      <ns0:c r="BO239" s="74" t="inlineStr">
        <ns0:is>
          <ns0:t>N/A</ns0:t>
        </ns0:is>
      </ns0:c>
      <ns0:c r="BP239" s="74" t="inlineStr">
        <ns0:is>
          <ns0:t>N/A</ns0:t>
        </ns0:is>
      </ns0:c>
      <ns0:c r="BQ239" s="74" t="inlineStr">
        <ns0:is>
          <ns0:t>N/A</ns0:t>
        </ns0:is>
      </ns0:c>
      <ns0:c r="BR239" s="74" t="inlineStr">
        <ns0:is>
          <ns0:t>N/A</ns0:t>
        </ns0:is>
      </ns0:c>
      <ns0:c r="BS239" s="74" t="inlineStr">
        <ns0:is>
          <ns0:t>N/A</ns0:t>
        </ns0:is>
      </ns0:c>
      <ns0:c r="BT239" s="74" t="inlineStr">
        <ns0:is>
          <ns0:t>N/A</ns0:t>
        </ns0:is>
      </ns0:c>
      <ns0:c r="BU239" s="91" t="inlineStr">
        <ns0:is>
          <ns0:t>Kingsway Capital Limited</ns0:t>
        </ns0:is>
      </ns0:c>
      <ns0:c r="BV239" s="74" t="inlineStr">
        <ns0:is>
          <ns0:t>Kingsway Capital Limited</ns0:t>
        </ns0:is>
      </ns0:c>
      <ns0:c r="BW239" s="74" t="inlineStr">
        <ns0:is>
          <ns0:t>Kingsway Financial Services Group Limited; Beta International Securities Limited; Valuable Capital Limited</ns0:t>
        </ns0:is>
      </ns0:c>
      <ns0:c r="BX239" s="74" t="inlineStr">
        <ns0:is>
          <ns0:t>Beta International Securities Limited; Valuable Capital Limited</ns0:t>
        </ns0:is>
      </ns0:c>
      <ns0:c r="BY239" s="93">
        <ns0:f>HYPERLINK("https://www1.hkexnews.hk/listedco/listconews/sehk/2023/1228/2023122800045.pdf","prospectus")</ns0:f>
        <ns0:v/>
      </ns0:c>
      <ns0:c r="BZ239" s="93">
        <ns0:f>HYPERLINK("https://www1.hkexnews.hk/listedco/listconews/sehk/2024/0108/2024010801008.pdf","allotment")</ns0:f>
        <ns0:v/>
      </ns0:c>
      <ns0:c r="CA239" s="85" t="n"/>
      <ns0:c r="CB239" s="94" t="n"/>
      <ns0:c r="CC239" s="74" t="inlineStr">
        <ns0:is>
          <ns0:t>greenshoe: no over-allotment option; range low: maximum offer price only, no floor published; cornerstone list: no cornerstone tranche; greenshoe size: no over-allotment option; stabilising manager: no over-allotment option, so none appointed</ns0:t>
        </ns0:is>
      </ns0:c>
    </ns0:row>
    <ns0:row r="240" ht="22" customHeight="1">
      <ns0:c r="A240" s="73" t="inlineStr">
        <ns0:is>
          <ns0:t>6959</ns0:t>
        </ns0:is>
      </ns0:c>
      <ns0:c r="B240" s="74" t="inlineStr">
        <ns0:is>
          <ns0:t>CHANGJIU HLDGS</ns0:t>
        </ns0:is>
      </ns0:c>
      <ns0:c r="C240" s="74" t="inlineStr">
        <ns0:is>
          <ns0:t>長久股份</ns0:t>
        </ns0:is>
      </ns0:c>
      <ns0:c r="D240" s="74" t="inlineStr">
        <ns0:is>
          <ns0:t>Technology</ns0:t>
        </ns0:is>
      </ns0:c>
      <ns0:c r="E240" s="74" t="inlineStr">
        <ns0:is>
          <ns0:t>Software &amp; AI</ns0:t>
        </ns0:is>
      </ns0:c>
      <ns0:c r="F240" s="74" t="inlineStr">
        <ns0:is>
          <ns0:t>Commercial &amp; Professional Services</ns0:t>
        </ns0:is>
      </ns0:c>
      <ns0:c r="G240" s="74" t="inlineStr">
        <ns0:is>
          <ns0:t>Standard</ns0:t>
        </ns0:is>
      </ns0:c>
      <ns0:c r="H240" s="75" t="n">
        <ns0:v>45300</ns0:v>
      </ns0:c>
      <ns0:c r="I240" s="76" t="n">
        <ns0:v>300.71</ns0:v>
      </ns0:c>
      <ns0:c r="J240" s="74" t="inlineStr">
        <ns0:is>
          <ns0:t>gross (stated)</ns0:t>
        </ns0:is>
      </ns0:c>
      <ns0:c r="K240" s="77" t="n">
        <ns0:v>5.95</ns0:v>
      </ns0:c>
      <ns0:c r="L240" s="77" t="n">
        <ns0:v>7.9</ns0:v>
      </ns0:c>
      <ns0:c r="M240" s="77" t="n">
        <ns0:v>5.95</ns0:v>
      </ns0:c>
      <ns0:c r="N240" s="74" t="inlineStr">
        <ns0:is>
          <ns0:t>N</ns0:t>
        </ns0:is>
      </ns0:c>
      <ns0:c r="O240" s="78" t="n">
        <ns0:v>75.3</ns0:v>
      </ns0:c>
      <ns0:c r="P240" s="78" t="n">
        <ns0:v>0</ns0:v>
      </ns0:c>
      <ns0:c r="Q240" s="79" t="n">
        <ns0:v>1202.9</ns0:v>
      </ns0:c>
      <ns0:c r="R240" s="74" t="inlineStr">
        <ns0:is>
          <ns0:t>derived:price x shares upon listing</ns0:t>
        </ns0:is>
      </ns0:c>
      <ns0:c r="S240" s="80" t="n">
        <ns0:v>11.67</ns0:v>
      </ns0:c>
      <ns0:c r="T240" s="81" t="n">
        <ns0:v>1.07</ns0:v>
      </ns0:c>
      <ns0:c r="U240" s="82" t="n">
        <ns0:v>0</ns0:v>
      </ns0:c>
      <ns0:c r="V240" s="83" t="n">
        <ns0:v>107</ns0:v>
      </ns0:c>
      <ns0:c r="W240" s="78" t="n">
        <ns0:v>10</ns0:v>
      </ns0:c>
      <ns0:c r="X240" s="74" t="inlineStr">
        <ns0:is>
          <ns0:t>NO</ns0:t>
        </ns0:is>
      </ns0:c>
      <ns0:c r="Y240" s="79" t="n">
        <ns0:v>300.71</ns0:v>
      </ns0:c>
      <ns0:c r="Z240" s="79" t="n">
        <ns0:v>50540000</ns0:v>
      </ns0:c>
      <ns0:c r="AA240" s="78" t="n">
        <ns0:v>25</ns0:v>
      </ns0:c>
      <ns0:c r="AB240" s="74" t="inlineStr">
        <ns0:is>
          <ns0:t>none — no cornerstone tranche</ns0:t>
        </ns0:is>
      </ns0:c>
      <ns0:c r="AC240" s="74" t="inlineStr">
        <ns0:is>
          <ns0:t>none</ns0:t>
        </ns0:is>
      </ns0:c>
      <ns0:c r="AD240" s="84" t="n"/>
      <ns0:c r="AE240" s="85" t="n"/>
      <ns0:c r="AF240" s="85" t="n"/>
      <ns0:c r="AG240" s="85" t="n"/>
      <ns0:c r="AH240" s="85" t="n"/>
      <ns0:c r="AI240" s="86" t="n">
        <ns0:v>2.18</ns0:v>
      </ns0:c>
      <ns0:c r="AJ240" s="87" t="n">
        <ns0:v>16.13</ns0:v>
      </ns0:c>
      <ns0:c r="AK240" s="87" t="n">
        <ns0:v>-0.64</ns0:v>
      </ns0:c>
      <ns0:c r="AL240" s="87" t="n">
        <ns0:v>2.52</ns0:v>
      </ns0:c>
      <ns0:c r="AM240" s="87" t="n">
        <ns0:v>13.28</ns0:v>
      </ns0:c>
      <ns0:c r="AN240" s="89" t="n">
        <ns0:v>0.85</ns0:v>
      </ns0:c>
      <ns0:c r="AO240" s="78" t="n">
        <ns0:v>19.02</ns0:v>
      </ns0:c>
      <ns0:c r="AP240" s="87" t="n">
        <ns0:v>24.71</ns0:v>
      </ns0:c>
      <ns0:c r="AQ240" s="87" t="n">
        <ns0:v>28.4</ns0:v>
      </ns0:c>
      <ns0:c r="AR240" s="87" t="n">
        <ns0:v>562.1799999999999</ns0:v>
      </ns0:c>
      <ns0:c r="AS240" s="87" t="n">
        <ns0:v>7.39</ns0:v>
      </ns0:c>
      <ns0:c r="AT240" s="87" t="n">
        <ns0:v>10.57</ns0:v>
      </ns0:c>
      <ns0:c r="AU240" s="87" t="n">
        <ns0:v>470.21</ns0:v>
      </ns0:c>
      <ns0:c r="AV240" s="87" t="n">
        <ns0:v>29.28</ns0:v>
      </ns0:c>
      <ns0:c r="AW240" s="87" t="n">
        <ns0:v>36.95</ns0:v>
      </ns0:c>
      <ns0:c r="AX240" s="87" t="n">
        <ns0:v>562.12</ns0:v>
      </ns0:c>
      <ns0:c r="AY240" s="87" t="n">
        <ns0:v>18.53</ns0:v>
      </ns0:c>
      <ns0:c r="AZ240" s="87" t="n">
        <ns0:v>-8.550000000000001</ns0:v>
      </ns0:c>
      <ns0:c r="BA240" s="87" t="n">
        <ns0:v>-7.96</ns0:v>
      </ns0:c>
      <ns0:c r="BB240" s="74" t="inlineStr">
        <ns0:is>
          <ns0:t>HSTECH (Hang Seng TECH ETF)</ns0:t>
        </ns0:is>
      </ns0:c>
      <ns0:c r="BC240" s="87" t="n">
        <ns0:v>-52.1</ns0:v>
      </ns0:c>
      <ns0:c r="BD240" s="75" t="n">
        <ns0:v>46297</ns0:v>
      </ns0:c>
      <ns0:c r="BE240" s="76" t="n">
        <ns0:v>602.7</ns0:v>
      </ns0:c>
      <ns0:c r="BF240" s="79" t="n">
        <ns0:v>105.5</ns0:v>
      </ns0:c>
      <ns0:c r="BG240" s="74" t="inlineStr">
        <ns0:is>
          <ns0:t>Y</ns0:t>
        </ns0:is>
      </ns0:c>
      <ns0:c r="BH240" s="89" t="n">
        <ns0:v>11.4</ns0:v>
      </ns0:c>
      <ns0:c r="BI240" s="88" t="n"/>
      <ns0:c r="BJ240" s="89" t="n">
        <ns0:v>4.3</ns0:v>
      </ns0:c>
      <ns0:c r="BK240" s="89" t="n">
        <ns0:v>2</ns0:v>
      </ns0:c>
      <ns0:c r="BL240" s="90">
        <ns0:f>IFERROR(IF('BBG Verify'!S240="","Awaiting Bloomberg",'BBG Verify'!S240),"Awaiting Bloomberg")</ns0:f>
        <ns0:v/>
      </ns0:c>
      <ns0:c r="BM240" s="91" t="inlineStr">
        <ns0:is>
          <ns0:t>N</ns0:t>
        </ns0:is>
      </ns0:c>
      <ns0:c r="BN240" s="92">
        <ns0:f>IFERROR(IF('BBG Verify'!K240="","Awaiting Bloomberg",'BBG Verify'!K240),"Awaiting Bloomberg")</ns0:f>
        <ns0:v/>
      </ns0:c>
      <ns0:c r="BO240" s="74" t="inlineStr">
        <ns0:is>
          <ns0:t>N/A</ns0:t>
        </ns0:is>
      </ns0:c>
      <ns0:c r="BP240" s="74" t="inlineStr">
        <ns0:is>
          <ns0:t>N/A</ns0:t>
        </ns0:is>
      </ns0:c>
      <ns0:c r="BQ240" s="74" t="inlineStr">
        <ns0:is>
          <ns0:t>N/A</ns0:t>
        </ns0:is>
      </ns0:c>
      <ns0:c r="BR240" s="74" t="inlineStr">
        <ns0:is>
          <ns0:t>N/A</ns0:t>
        </ns0:is>
      </ns0:c>
      <ns0:c r="BS240" s="74" t="inlineStr">
        <ns0:is>
          <ns0:t>N/A</ns0:t>
        </ns0:is>
      </ns0:c>
      <ns0:c r="BT240" s="74" t="inlineStr">
        <ns0:is>
          <ns0:t>N/A</ns0:t>
        </ns0:is>
      </ns0:c>
      <ns0:c r="BU240" s="91" t="inlineStr">
        <ns0:is>
          <ns0:t>CITIC Securities (Hong Kong) Limited; ICBC International Capital Limited</ns0:t>
        </ns0:is>
      </ns0:c>
      <ns0:c r="BV240" s="74" t="inlineStr">
        <ns0:is>
          <ns0:t>CITIC Securities (Hong Kong) Limited; ICBC International Capital Limited</ns0:t>
        </ns0:is>
      </ns0:c>
      <ns0:c r="BW240" s="74" t="inlineStr">
        <ns0:is>
          <ns0:t>CLSA Limited; ICBC International Securities Limited</ns0:t>
        </ns0:is>
      </ns0:c>
      <ns0:c r="BX240" s="74" t="inlineStr">
        <ns0:is>
          <ns0: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ns0:t>
        </ns0:is>
      </ns0:c>
      <ns0:c r="BY240" s="93">
        <ns0:f>HYPERLINK("https://www1.hkexnews.hk/listedco/listconews/sehk/2023/1229/2023122900027.pdf","prospectus")</ns0:f>
        <ns0:v/>
      </ns0:c>
      <ns0:c r="BZ240" s="93">
        <ns0:f>HYPERLINK("https://www1.hkexnews.hk/listedco/listconews/sehk/2024/0108/2024010801108.pdf","allotment")</ns0:f>
        <ns0:v/>
      </ns0:c>
      <ns0:c r="CA240" s="85" t="n"/>
      <ns0:c r="CB240" s="94" t="n"/>
      <ns0:c r="CC240" s="74" t="inlineStr">
        <ns0:is>
          <ns0:t>greenshoe: no over-allotment option; cornerstone list: no cornerstone tranche; greenshoe size: no over-allotment option; stabilising manager: no over-allotment option, so none appointed</ns0:t>
        </ns0:is>
      </ns0:c>
    </ns0:row>
    <ns0:row r="241" ht="22" customHeight="1">
      <ns0:c r="A241" s="73" t="inlineStr">
        <ns0:is>
          <ns0:t>2477</ns0:t>
        </ns0:is>
      </ns0:c>
      <ns0:c r="B241" s="74" t="inlineStr">
        <ns0:is>
          <ns0:t>WELLCELL HOLD</ns0:t>
        </ns0:is>
      </ns0:c>
      <ns0:c r="C241" s="74" t="inlineStr">
        <ns0:is>
          <ns0:t>經緯天地</ns0:t>
        </ns0:is>
      </ns0:c>
      <ns0:c r="D241" s="74" t="inlineStr">
        <ns0:is>
          <ns0:t>Healthcare</ns0:t>
        </ns0:is>
      </ns0:c>
      <ns0:c r="E241" s="74" t="inlineStr">
        <ns0:is>
          <ns0:t>Biopharma commercial</ns0:t>
        </ns0:is>
      </ns0:c>
      <ns0:c r="F241" s="74" t="inlineStr">
        <ns0:is>
          <ns0:t>Telecommunication Services</ns0:t>
        </ns0:is>
      </ns0:c>
      <ns0:c r="G241" s="74" t="inlineStr">
        <ns0:is>
          <ns0:t>Standard</ns0:t>
        </ns0:is>
      </ns0:c>
      <ns0:c r="H241" s="75" t="n">
        <ns0:v>45303</ns0:v>
      </ns0:c>
      <ns0:c r="I241" s="76" t="n">
        <ns0:v>125</ns0:v>
      </ns0:c>
      <ns0:c r="J241" s="74" t="inlineStr">
        <ns0:is>
          <ns0:t>gross (price x shares)</ns0:t>
        </ns0:is>
      </ns0:c>
      <ns0:c r="K241" s="77" t="n">
        <ns0:v>1</ns0:v>
      </ns0:c>
      <ns0:c r="L241" s="77" t="n">
        <ns0:v>1.3</ns0:v>
      </ns0:c>
      <ns0:c r="M241" s="77" t="n">
        <ns0:v>1</ns0:v>
      </ns0:c>
      <ns0:c r="N241" s="74" t="inlineStr">
        <ns0:is>
          <ns0:t>N</ns0:t>
        </ns0:is>
      </ns0:c>
      <ns0:c r="O241" s="78" t="n">
        <ns0:v>76.90000000000001</ns0:v>
      </ns0:c>
      <ns0:c r="P241" s="78" t="n">
        <ns0:v>0</ns0:v>
      </ns0:c>
      <ns0:c r="Q241" s="79" t="n">
        <ns0:v>500</ns0:v>
      </ns0:c>
      <ns0:c r="R241" s="74" t="inlineStr">
        <ns0:is>
          <ns0:t>derived:price x shares upon listing</ns0:t>
        </ns0:is>
      </ns0:c>
      <ns0:c r="S241" s="80" t="n">
        <ns0:v>28.64</ns0:v>
      </ns0:c>
      <ns0:c r="T241" s="81" t="n">
        <ns0:v>0.97</ns0:v>
      </ns0:c>
      <ns0:c r="U241" s="82" t="n">
        <ns0:v>0</ns0:v>
      </ns0:c>
      <ns0:c r="V241" s="83" t="n">
        <ns0:v>176</ns0:v>
      </ns0:c>
      <ns0:c r="W241" s="84" t="n"/>
      <ns0:c r="X241" s="74" t="inlineStr">
        <ns0:is>
          <ns0:t>NO</ns0:t>
        </ns0:is>
      </ns0:c>
      <ns0:c r="Y241" s="79" t="n">
        <ns0:v>125</ns0:v>
      </ns0:c>
      <ns0:c r="Z241" s="79" t="n">
        <ns0:v>125000000</ns0:v>
      </ns0:c>
      <ns0:c r="AA241" s="78" t="n">
        <ns0:v>25</ns0:v>
      </ns0:c>
      <ns0:c r="AB241" s="74" t="inlineStr">
        <ns0:is>
          <ns0:t>none — no cornerstone tranche</ns0:t>
        </ns0:is>
      </ns0:c>
      <ns0:c r="AC241" s="74" t="inlineStr">
        <ns0:is>
          <ns0:t>none</ns0:t>
        </ns0:is>
      </ns0:c>
      <ns0:c r="AD241" s="78" t="n">
        <ns0:v>20</ns0:v>
      </ns0:c>
      <ns0:c r="AE241" s="74" t="inlineStr">
        <ns0:is>
          <ns0:t>lapsed (no over-allocation)</ns0:t>
        </ns0:is>
      </ns0:c>
      <ns0:c r="AF241" s="85" t="n"/>
      <ns0:c r="AG241" s="74" t="inlineStr">
        <ns0:is>
          <ns0:t>Eddid Secu rities and Futures Limited</ns0:t>
        </ns0:is>
      </ns0:c>
      <ns0:c r="AH241" s="74" t="inlineStr">
        <ns0:is>
          <ns0:t>Eddid Secu</ns0:t>
        </ns0:is>
      </ns0:c>
      <ns0:c r="AI241" s="86" t="n">
        <ns0:v>64.5</ns0:v>
      </ns0:c>
      <ns0:c r="AJ241" s="87" t="n">
        <ns0:v>164</ns0:v>
      </ns0:c>
      <ns0:c r="AK241" s="87" t="n">
        <ns0:v>-1.41</ns0:v>
      </ns0:c>
      <ns0:c r="AL241" s="87" t="n">
        <ns0:v>77</ns0:v>
      </ns0:c>
      <ns0:c r="AM241" s="87" t="n">
        <ns0:v>49.15</ns0:v>
      </ns0:c>
      <ns0:c r="AN241" s="89" t="n">
        <ns0:v>1.12</ns0:v>
      </ns0:c>
      <ns0:c r="AO241" s="78" t="n">
        <ns0:v>55.93</ns0:v>
      </ns0:c>
      <ns0:c r="AP241" s="87" t="n">
        <ns0:v>250</ns0:v>
      </ns0:c>
      <ns0:c r="AQ241" s="87" t="n">
        <ns0:v>230</ns0:v>
      </ns0:c>
      <ns0:c r="AR241" s="87" t="n">
        <ns0:v>232</ns0:v>
      </ns0:c>
      <ns0:c r="AS241" s="87" t="n">
        <ns0:v>32.58</ns0:v>
      </ns0:c>
      <ns0:c r="AT241" s="87" t="n">
        <ns0:v>25</ns0:v>
      </ns0:c>
      <ns0:c r="AU241" s="87" t="n">
        <ns0:v>25.76</ns0:v>
      </ns0:c>
      <ns0:c r="AV241" s="87" t="n">
        <ns0:v>256.27</ns0:v>
      </ns0:c>
      <ns0:c r="AW241" s="87" t="n">
        <ns0:v>244.15</ns0:v>
      </ns0:c>
      <ns0:c r="AX241" s="87" t="n">
        <ns0:v>249.56</ns0:v>
      </ns0:c>
      <ns0:c r="AY241" s="87" t="n">
        <ns0:v>37.93</ns0:v>
      </ns0:c>
      <ns0:c r="AZ241" s="87" t="n">
        <ns0:v>-14.15</ns0:v>
      </ns0:c>
      <ns0:c r="BA241" s="87" t="n">
        <ns0:v>-12.93</ns0:v>
      </ns0:c>
      <ns0:c r="BB241" s="74" t="inlineStr">
        <ns0:is>
          <ns0:t>China Biotech ETF (HS biotech proxy)</ns0:t>
        </ns0:is>
      </ns0:c>
      <ns0:c r="BC241" s="87" t="n">
        <ns0:v>60</ns0:v>
      </ns0:c>
      <ns0:c r="BD241" s="75" t="n">
        <ns0:v>46297</ns0:v>
      </ns0:c>
      <ns0:c r="BE241" s="76" t="n">
        <ns0:v>249.2</ns0:v>
      </ns0:c>
      <ns0:c r="BF241" s="79" t="n">
        <ns0:v>26.7</ns0:v>
      </ns0:c>
      <ns0:c r="BG241" s="74" t="inlineStr">
        <ns0:is>
          <ns0:t>Y</ns0:t>
        </ns0:is>
      </ns0:c>
      <ns0:c r="BH241" s="89" t="n">
        <ns0:v>18.7</ns0:v>
      </ns0:c>
      <ns0:c r="BI241" s="88" t="n"/>
      <ns0:c r="BJ241" s="89" t="n">
        <ns0:v>64</ns0:v>
      </ns0:c>
      <ns0:c r="BK241" s="89" t="n">
        <ns0:v>2</ns0:v>
      </ns0:c>
      <ns0:c r="BL241" s="90">
        <ns0:f>IFERROR(IF('BBG Verify'!S241="","Awaiting Bloomberg",'BBG Verify'!S241),"Awaiting Bloomberg")</ns0:f>
        <ns0:v/>
      </ns0:c>
      <ns0:c r="BM241" s="91" t="inlineStr">
        <ns0:is>
          <ns0:t>N</ns0:t>
        </ns0:is>
      </ns0:c>
      <ns0:c r="BN241" s="92">
        <ns0:f>IFERROR(IF('BBG Verify'!K241="","Awaiting Bloomberg",'BBG Verify'!K241),"Awaiting Bloomberg")</ns0:f>
        <ns0:v/>
      </ns0:c>
      <ns0:c r="BO241" s="74" t="inlineStr">
        <ns0:is>
          <ns0:t>N/A</ns0:t>
        </ns0:is>
      </ns0:c>
      <ns0:c r="BP241" s="74" t="inlineStr">
        <ns0:is>
          <ns0:t>N/A</ns0:t>
        </ns0:is>
      </ns0:c>
      <ns0:c r="BQ241" s="74" t="inlineStr">
        <ns0:is>
          <ns0:t>N/A</ns0:t>
        </ns0:is>
      </ns0:c>
      <ns0:c r="BR241" s="74" t="inlineStr">
        <ns0:is>
          <ns0:t>N/A</ns0:t>
        </ns0:is>
      </ns0:c>
      <ns0:c r="BS241" s="74" t="inlineStr">
        <ns0:is>
          <ns0:t>N/A</ns0:t>
        </ns0:is>
      </ns0:c>
      <ns0:c r="BT241" s="74" t="inlineStr">
        <ns0:is>
          <ns0:t>N/A</ns0:t>
        </ns0:is>
      </ns0:c>
      <ns0:c r="BU241" s="91" t="inlineStr">
        <ns0:is>
          <ns0:t>Halcyon Capital Limited; Eddid Capital Limited</ns0:t>
        </ns0:is>
      </ns0:c>
      <ns0:c r="BV241" s="74" t="inlineStr">
        <ns0:is>
          <ns0:t>Halcyon Capital Limited; Eddid Capital Limited</ns0:t>
        </ns0:is>
      </ns0:c>
      <ns0:c r="BW241" s="74" t="inlineStr">
        <ns0:is>
          <ns0:t>Eddid Securities and Futures Limited; Halcyon Securities Limited; Beta International S ecurities Limited; CMBC Securities Company Limited; China PA Securities (Hong Kong) Company Limited; Quam Securities Limited; China Everbright Securities (HK) Limited</ns0:t>
        </ns0:is>
      </ns0:c>
      <ns0:c r="BX241" s="74" t="inlineStr">
        <ns0:is>
          <ns0: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ns0:t>
        </ns0:is>
      </ns0:c>
      <ns0:c r="BY241" s="93">
        <ns0:f>HYPERLINK("https://www1.hkexnews.hk/listedco/listconews/sehk/2023/1228/2023122800033.pdf","prospectus")</ns0:f>
        <ns0:v/>
      </ns0:c>
      <ns0:c r="BZ241" s="93">
        <ns0:f>HYPERLINK("https://www1.hkexnews.hk/listedco/listconews/sehk/2024/0111/2024011101058.pdf","allotment")</ns0:f>
        <ns0:v/>
      </ns0:c>
      <ns0:c r="CA241" s="93">
        <ns0:f>HYPERLINK("https://www1.hkexnews.hk/listedco/listconews/sehk/2024/0208/2024020800426.pdf","stabilisation")</ns0:f>
        <ns0:v/>
      </ns0:c>
      <ns0:c r="CB241" s="94" t="n"/>
      <ns0:c r="CC241" s="74" t="inlineStr">
        <ns0:is>
          <ns0:t>greenshoe: outcome published; expiry date not in the notice; cornerstone list: no cornerstone tranche; allocation: allocation table not in this notice's format (older prose announcement)</ns0:t>
        </ns0:is>
      </ns0:c>
    </ns0:row>
    <ns0:row r="242" ht="22" customHeight="1">
      <ns0:c r="A242" s="73" t="inlineStr">
        <ns0:is>
          <ns0:t>2535</ns0:t>
        </ns0:is>
      </ns0:c>
      <ns0:c r="B242" s="74" t="inlineStr">
        <ns0:is>
          <ns0:t>WK GROUP</ns0:t>
        </ns0:is>
      </ns0:c>
      <ns0:c r="C242" s="74" t="inlineStr">
        <ns0:is>
          <ns0:t>泓基集團</ns0:t>
        </ns0:is>
      </ns0:c>
      <ns0:c r="D242" s="74" t="inlineStr">
        <ns0:is>
          <ns0:t>Industrials</ns0:t>
        </ns0:is>
      </ns0:c>
      <ns0:c r="E242" s="74" t="inlineStr">
        <ns0:is>
          <ns0:t>Construction / engineering</ns0:t>
        </ns0:is>
      </ns0:c>
      <ns0:c r="F242" s="74" t="inlineStr">
        <ns0:is>
          <ns0:t>Building Construction</ns0:t>
        </ns0:is>
      </ns0:c>
      <ns0:c r="G242" s="74" t="inlineStr">
        <ns0:is>
          <ns0:t>Standard</ns0:t>
        </ns0:is>
      </ns0:c>
      <ns0:c r="H242" s="75" t="n">
        <ns0:v>45359</ns0:v>
      </ns0:c>
      <ns0:c r="I242" s="76" t="n">
        <ns0:v>125</ns0:v>
      </ns0:c>
      <ns0:c r="J242" s="74" t="inlineStr">
        <ns0:is>
          <ns0:t>gross (stated)</ns0:t>
        </ns0:is>
      </ns0:c>
      <ns0:c r="K242" s="95" t="n"/>
      <ns0:c r="L242" s="77" t="n">
        <ns0:v>0.27</ns0:v>
      </ns0:c>
      <ns0:c r="M242" s="77" t="n">
        <ns0:v>0.25</ns0:v>
      </ns0:c>
      <ns0:c r="N242" s="74" t="inlineStr">
        <ns0:is>
          <ns0:t>N</ns0:t>
        </ns0:is>
      </ns0:c>
      <ns0:c r="O242" s="78" t="n">
        <ns0:v>92.59999999999999</ns0:v>
      </ns0:c>
      <ns0:c r="P242" s="84" t="n"/>
      <ns0:c r="Q242" s="79" t="n">
        <ns0:v>500</ns0:v>
      </ns0:c>
      <ns0:c r="R242" s="74" t="inlineStr">
        <ns0:is>
          <ns0:t>derived:price x shares upon listing</ns0:t>
        </ns0:is>
      </ns0:c>
      <ns0:c r="S242" s="80" t="n">
        <ns0:v>70.48</ns0:v>
      </ns0:c>
      <ns0:c r="T242" s="81" t="n">
        <ns0:v>0.98</ns0:v>
      </ns0:c>
      <ns0:c r="U242" s="82" t="n">
        <ns0:v>0</ns0:v>
      </ns0:c>
      <ns0:c r="V242" s="83" t="n">
        <ns0:v>147</ns0:v>
      </ns0:c>
      <ns0:c r="W242" s="78" t="n">
        <ns0:v>20</ns0:v>
      </ns0:c>
      <ns0:c r="X242" s="74" t="inlineStr">
        <ns0:is>
          <ns0:t>NO</ns0:t>
        </ns0:is>
      </ns0:c>
      <ns0:c r="Y242" s="79" t="n">
        <ns0:v>125</ns0:v>
      </ns0:c>
      <ns0:c r="Z242" s="79" t="n">
        <ns0:v>500000000</ns0:v>
      </ns0:c>
      <ns0:c r="AA242" s="78" t="n">
        <ns0:v>25</ns0:v>
      </ns0:c>
      <ns0:c r="AB242" s="74" t="inlineStr">
        <ns0:is>
          <ns0:t>none — no cornerstone tranche</ns0:t>
        </ns0:is>
      </ns0:c>
      <ns0:c r="AC242" s="74" t="inlineStr">
        <ns0:is>
          <ns0:t>none</ns0:t>
        </ns0:is>
      </ns0:c>
      <ns0:c r="AD242" s="84" t="n"/>
      <ns0:c r="AE242" s="74" t="inlineStr">
        <ns0:is>
          <ns0:t>lapsed</ns0:t>
        </ns0:is>
      </ns0:c>
      <ns0:c r="AF242" s="85" t="n"/>
      <ns0:c r="AG242" s="74" t="inlineStr">
        <ns0:is>
          <ns0:t>Yuen Meta</ns0:t>
        </ns0:is>
      </ns0:c>
      <ns0:c r="AH242" s="74" t="inlineStr">
        <ns0:is>
          <ns0:t>Yuen Meta</ns0:t>
        </ns0:is>
      </ns0:c>
      <ns0:c r="AI242" s="86" t="n">
        <ns0:v>164</ns0:v>
      </ns0:c>
      <ns0:c r="AJ242" s="87" t="n">
        <ns0:v>136</ns0:v>
      </ns0:c>
      <ns0:c r="AK242" s="87" t="n">
        <ns0:v>0.65</ns0:v>
      </ns0:c>
      <ns0:c r="AL242" s="87" t="n">
        <ns0:v>160</ns0:v>
      </ns0:c>
      <ns0:c r="AM242" s="87" t="n">
        <ns0:v>-9.23</ns0:v>
      </ns0:c>
      <ns0:c r="AN242" s="89" t="n">
        <ns0:v>0.97</ns0:v>
      </ns0:c>
      <ns0:c r="AO242" s="78" t="n">
        <ns0:v>38.46</ns0:v>
      </ns0:c>
      <ns0:c r="AP242" s="87" t="n">
        <ns0:v>156</ns0:v>
      </ns0:c>
      <ns0:c r="AQ242" s="87" t="n">
        <ns0:v>156</ns0:v>
      </ns0:c>
      <ns0:c r="AR242" s="87" t="n">
        <ns0:v>132</ns0:v>
      </ns0:c>
      <ns0:c r="AS242" s="87" t="n">
        <ns0:v>8.470000000000001</ns0:v>
      </ns0:c>
      <ns0:c r="AT242" s="87" t="n">
        <ns0:v>8.470000000000001</ns0:v>
      </ns0:c>
      <ns0:c r="AU242" s="87" t="n">
        <ns0:v>-1.69</ns0:v>
      </ns0:c>
      <ns0:c r="AV242" s="87" t="n">
        <ns0:v>151.85</ns0:v>
      </ns0:c>
      <ns0:c r="AW242" s="87" t="n">
        <ns0:v>147.36</ns0:v>
      </ns0:c>
      <ns0:c r="AX242" s="87" t="n">
        <ns0:v>117.92</ns0:v>
      </ns0:c>
      <ns0:c r="AY242" s="87" t="n">
        <ns0:v>0.53</ns0:v>
      </ns0:c>
      <ns0:c r="AZ242" s="87" t="n">
        <ns0:v>8.640000000000001</ns0:v>
      </ns0:c>
      <ns0:c r="BA242" s="87" t="n">
        <ns0:v>7.94</ns0:v>
      </ns0:c>
      <ns0:c r="BB242" s="74" t="inlineStr">
        <ns0:is>
          <ns0:t>Hang Seng Commerce &amp; Industry sub-index</ns0:t>
        </ns0:is>
      </ns0:c>
      <ns0:c r="BC242" s="87" t="n">
        <ns0:v>130</ns0:v>
      </ns0:c>
      <ns0:c r="BD242" s="75" t="n">
        <ns0:v>46297</ns0:v>
      </ns0:c>
      <ns0:c r="BE242" s="76" t="n">
        <ns0:v>336.4</ns0:v>
      </ns0:c>
      <ns0:c r="BF242" s="79" t="n">
        <ns0:v>39.3</ns0:v>
      </ns0:c>
      <ns0:c r="BG242" s="74" t="inlineStr">
        <ns0:is>
          <ns0:t>Y</ns0:t>
        </ns0:is>
      </ns0:c>
      <ns0:c r="BH242" s="89" t="n">
        <ns0:v>12.7</ns0:v>
      </ns0:c>
      <ns0:c r="BI242" s="88" t="n"/>
      <ns0:c r="BJ242" s="89" t="n">
        <ns0:v>72.09999999999999</ns0:v>
      </ns0:c>
      <ns0:c r="BK242" s="89" t="n">
        <ns0:v>1.5</ns0:v>
      </ns0:c>
      <ns0:c r="BL242" s="90">
        <ns0:f>IFERROR(IF('BBG Verify'!S242="","Awaiting Bloomberg",'BBG Verify'!S242),"Awaiting Bloomberg")</ns0:f>
        <ns0:v/>
      </ns0:c>
      <ns0:c r="BM242" s="91" t="inlineStr">
        <ns0:is>
          <ns0:t>N</ns0:t>
        </ns0:is>
      </ns0:c>
      <ns0:c r="BN242" s="92">
        <ns0:f>IFERROR(IF('BBG Verify'!K242="","Awaiting Bloomberg",'BBG Verify'!K242),"Awaiting Bloomberg")</ns0:f>
        <ns0:v/>
      </ns0:c>
      <ns0:c r="BO242" s="74" t="inlineStr">
        <ns0:is>
          <ns0:t>N/A</ns0:t>
        </ns0:is>
      </ns0:c>
      <ns0:c r="BP242" s="74" t="inlineStr">
        <ns0:is>
          <ns0:t>N/A</ns0:t>
        </ns0:is>
      </ns0:c>
      <ns0:c r="BQ242" s="74" t="inlineStr">
        <ns0:is>
          <ns0:t>N/A</ns0:t>
        </ns0:is>
      </ns0:c>
      <ns0:c r="BR242" s="74" t="inlineStr">
        <ns0:is>
          <ns0:t>N/A</ns0:t>
        </ns0:is>
      </ns0:c>
      <ns0:c r="BS242" s="74" t="inlineStr">
        <ns0:is>
          <ns0:t>N/A</ns0:t>
        </ns0:is>
      </ns0:c>
      <ns0:c r="BT242" s="74" t="inlineStr">
        <ns0:is>
          <ns0:t>N/A</ns0:t>
        </ns0:is>
      </ns0:c>
      <ns0:c r="BU242" s="91" t="inlineStr">
        <ns0:is>
          <ns0:t>Grande Capital Limited</ns0:t>
        </ns0:is>
      </ns0:c>
      <ns0:c r="BV242" s="74" t="inlineStr">
        <ns0:is>
          <ns0:t>Grande Capital Limited</ns0:t>
        </ns0:is>
      </ns0:c>
      <ns0:c r="BW242" s="74" t="inlineStr">
        <ns0:is>
          <ns0:t>Grande Capital Limited; Quam Securities Limited; Yuen Meta (International) Securities Limited</ns0:t>
        </ns0:is>
      </ns0:c>
      <ns0:c r="BX242" s="74" t="inlineStr">
        <ns0:is>
          <ns0: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ns0:t>
        </ns0:is>
      </ns0:c>
      <ns0:c r="BY242" s="93">
        <ns0:f>HYPERLINK("https://www1.hkexnews.hk/listedco/listconews/sehk/2024/0229/2024022900018.htm","prospectus")</ns0:f>
        <ns0:v/>
      </ns0:c>
      <ns0:c r="BZ242" s="93">
        <ns0:f>HYPERLINK("https://www1.hkexnews.hk/listedco/listconews/sehk/2024/0307/2024030700933.pdf","allotment")</ns0:f>
        <ns0:v/>
      </ns0:c>
      <ns0:c r="CA242" s="93">
        <ns0:f>HYPERLINK("https://www1.hkexnews.hk/listedco/listconews/sehk/2024/0405/2024040501467.pdf","stabilisation")</ns0:f>
        <ns0:v/>
      </ns0:c>
      <ns0:c r="CB242" s="94" t="n"/>
      <ns0:c r="CC242" s="74" t="inlineStr">
        <ns0:is>
          <ns0:t>greenshoe: outcome published; expiry date not in the notice; range low: maximum offer price only, no floor published; sponsor: English name not in the filing; AAStocks 保薦人 shown; cornerstone list: no cornerstone tranche; greenshoe size: no over-allotment option</ns0:t>
        </ns0:is>
      </ns0:c>
    </ns0:row>
    <ns0:row r="243" ht="22" customHeight="1">
      <ns0:c r="A243" s="73" t="inlineStr">
        <ns0:is>
          <ns0:t>2540</ns0:t>
        </ns0:is>
      </ns0:c>
      <ns0:c r="B243" s="74" t="inlineStr">
        <ns0:is>
          <ns0:t>LESI GROUP</ns0:t>
        </ns0:is>
      </ns0:c>
      <ns0:c r="C243" s="74" t="inlineStr">
        <ns0:is>
          <ns0:t>樂思集團</ns0:t>
        </ns0:is>
      </ns0:c>
      <ns0:c r="D243" s="74" t="inlineStr">
        <ns0:is>
          <ns0:t>Media &amp; telecom</ns0:t>
        </ns0:is>
      </ns0:c>
      <ns0:c r="E243" s="74" t="inlineStr">
        <ns0:is>
          <ns0:t>Media / advertising</ns0:t>
        </ns0:is>
      </ns0:c>
      <ns0:c r="F243" s="74" t="inlineStr">
        <ns0:is>
          <ns0:t>Advertising</ns0:t>
        </ns0:is>
      </ns0:c>
      <ns0:c r="G243" s="74" t="inlineStr">
        <ns0:is>
          <ns0:t>Standard</ns0:t>
        </ns0:is>
      </ns0:c>
      <ns0:c r="H243" s="75" t="n">
        <ns0:v>45359</ns0:v>
      </ns0:c>
      <ns0:c r="I243" s="76" t="n">
        <ns0:v>137.5</ns0:v>
      </ns0:c>
      <ns0:c r="J243" s="74" t="inlineStr">
        <ns0:is>
          <ns0:t>gross (price x shares)</ns0:t>
        </ns0:is>
      </ns0:c>
      <ns0:c r="K243" s="77" t="n">
        <ns0:v>1.1</ns0:v>
      </ns0:c>
      <ns0:c r="L243" s="77" t="n">
        <ns0:v>1.5</ns0:v>
      </ns0:c>
      <ns0:c r="M243" s="77" t="n">
        <ns0:v>1.1</ns0:v>
      </ns0:c>
      <ns0:c r="N243" s="74" t="inlineStr">
        <ns0:is>
          <ns0:t>N</ns0:t>
        </ns0:is>
      </ns0:c>
      <ns0:c r="O243" s="78" t="n">
        <ns0:v>73.3</ns0:v>
      </ns0:c>
      <ns0:c r="P243" s="78" t="n">
        <ns0:v>0</ns0:v>
      </ns0:c>
      <ns0:c r="Q243" s="79" t="n">
        <ns0:v>550</ns0:v>
      </ns0:c>
      <ns0:c r="R243" s="74" t="inlineStr">
        <ns0:is>
          <ns0:t>derived:price x shares upon listing</ns0:t>
        </ns0:is>
      </ns0:c>
      <ns0:c r="S243" s="80" t="n">
        <ns0:v>22.35</ns0:v>
      </ns0:c>
      <ns0:c r="T243" s="81" t="n">
        <ns0:v>1.46</ns0:v>
      </ns0:c>
      <ns0:c r="U243" s="82" t="n">
        <ns0:v>0</ns0:v>
      </ns0:c>
      <ns0:c r="V243" s="83" t="n">
        <ns0:v>242</ns0:v>
      </ns0:c>
      <ns0:c r="W243" s="78" t="n">
        <ns0:v>30</ns0:v>
      </ns0:c>
      <ns0:c r="X243" s="74" t="inlineStr">
        <ns0:is>
          <ns0:t>YES</ns0:t>
        </ns0:is>
      </ns0:c>
      <ns0:c r="Y243" s="79" t="n">
        <ns0:v>137.5</ns0:v>
      </ns0:c>
      <ns0:c r="Z243" s="79" t="n">
        <ns0:v>125000000</ns0:v>
      </ns0:c>
      <ns0:c r="AA243" s="78" t="n">
        <ns0:v>25</ns0:v>
      </ns0:c>
      <ns0:c r="AB243" s="74" t="inlineStr">
        <ns0:is>
          <ns0:t>none — no cornerstone tranche</ns0:t>
        </ns0:is>
      </ns0:c>
      <ns0:c r="AC243" s="74" t="inlineStr">
        <ns0:is>
          <ns0:t>none</ns0:t>
        </ns0:is>
      </ns0:c>
      <ns0:c r="AD243" s="78" t="n">
        <ns0:v>20</ns0:v>
      </ns0:c>
      <ns0:c r="AE243" s="74" t="inlineStr">
        <ns0:is>
          <ns0:t>lapsed (no over-allocation)</ns0:t>
        </ns0:is>
      </ns0:c>
      <ns0:c r="AF243" s="85" t="n"/>
      <ns0:c r="AG243" s="85" t="n"/>
      <ns0:c r="AH243" s="85" t="n"/>
      <ns0:c r="AI243" s="86" t="n">
        <ns0:v>-16.36</ns0:v>
      </ns0:c>
      <ns0:c r="AJ243" s="87" t="n">
        <ns0:v>36.36</ns0:v>
      </ns0:c>
      <ns0:c r="AK243" s="87" t="n">
        <ns0:v>0.76</ns0:v>
      </ns0:c>
      <ns0:c r="AL243" s="87" t="n">
        <ns0:v>-18.18</ns0:v>
      </ns0:c>
      <ns0:c r="AM243" s="87" t="n">
        <ns0:v>66.66</ns0:v>
      </ns0:c>
      <ns0:c r="AN243" s="89" t="n">
        <ns0:v>1.75</ns0:v>
      </ns0:c>
      <ns0:c r="AO243" s="78" t="n">
        <ns0:v>77.78</ns0:v>
      </ns0:c>
      <ns0:c r="AP243" s="87" t="n">
        <ns0:v>166.36</ns0:v>
      </ns0:c>
      <ns0:c r="AQ243" s="87" t="n">
        <ns0:v>219.09</ns0:v>
      </ns0:c>
      <ns0:c r="AR243" s="87" t="n">
        <ns0:v>90.91</ns0:v>
      </ns0:c>
      <ns0:c r="AS243" s="87" t="n">
        <ns0:v>95.34</ns0:v>
      </ns0:c>
      <ns0:c r="AT243" s="87" t="n">
        <ns0:v>134.01</ns0:v>
      </ns0:c>
      <ns0:c r="AU243" s="87" t="n">
        <ns0:v>40</ns0:v>
      </ns0:c>
      <ns0:c r="AV243" s="87" t="n">
        <ns0:v>163.33</ns0:v>
      </ns0:c>
      <ns0:c r="AW243" s="87" t="n">
        <ns0:v>213.76</ns0:v>
      </ns0:c>
      <ns0:c r="AX243" s="87" t="n">
        <ns0:v>79.31</ns0:v>
      </ns0:c>
      <ns0:c r="AY243" s="87" t="n">
        <ns0:v>129.47</ns0:v>
      </ns0:c>
      <ns0:c r="AZ243" s="87" t="n">
        <ns0:v>5.33</ns0:v>
      </ns0:c>
      <ns0:c r="BA243" s="87" t="n">
        <ns0:v>4.54</ns0:v>
      </ns0:c>
      <ns0:c r="BB243" s="74" t="inlineStr">
        <ns0:is>
          <ns0:t>Hang Seng Index</ns0:t>
        </ns0:is>
      </ns0:c>
      <ns0:c r="BC243" s="87" t="n">
        <ns0:v>-26.82</ns0:v>
      </ns0:c>
      <ns0:c r="BD243" s="75" t="n">
        <ns0:v>46297</ns0:v>
      </ns0:c>
      <ns0:c r="BE243" s="76" t="n">
        <ns0:v>541.8</ns0:v>
      </ns0:c>
      <ns0:c r="BF243" s="79" t="n">
        <ns0:v>75.09999999999999</ns0:v>
      </ns0:c>
      <ns0:c r="BG243" s="74" t="inlineStr">
        <ns0:is>
          <ns0:t>Y</ns0:t>
        </ns0:is>
      </ns0:c>
      <ns0:c r="BH243" s="89" t="n">
        <ns0:v>7.3</ns0:v>
      </ns0:c>
      <ns0:c r="BI243" s="88" t="n"/>
      <ns0:c r="BJ243" s="89" t="n">
        <ns0:v>8.300000000000001</ns0:v>
      </ns0:c>
      <ns0:c r="BK243" s="89" t="n">
        <ns0:v>1</ns0:v>
      </ns0:c>
      <ns0:c r="BL243" s="90">
        <ns0:f>IFERROR(IF('BBG Verify'!S243="","Awaiting Bloomberg",'BBG Verify'!S243),"Awaiting Bloomberg")</ns0:f>
        <ns0:v/>
      </ns0:c>
      <ns0:c r="BM243" s="91" t="inlineStr">
        <ns0:is>
          <ns0:t>N</ns0:t>
        </ns0:is>
      </ns0:c>
      <ns0:c r="BN243" s="92">
        <ns0:f>IFERROR(IF('BBG Verify'!K243="","Awaiting Bloomberg",'BBG Verify'!K243),"Awaiting Bloomberg")</ns0:f>
        <ns0:v/>
      </ns0:c>
      <ns0:c r="BO243" s="74" t="inlineStr">
        <ns0:is>
          <ns0:t>N/A</ns0:t>
        </ns0:is>
      </ns0:c>
      <ns0:c r="BP243" s="74" t="inlineStr">
        <ns0:is>
          <ns0:t>N/A</ns0:t>
        </ns0:is>
      </ns0:c>
      <ns0:c r="BQ243" s="74" t="inlineStr">
        <ns0:is>
          <ns0:t>N/A</ns0:t>
        </ns0:is>
      </ns0:c>
      <ns0:c r="BR243" s="74" t="inlineStr">
        <ns0:is>
          <ns0:t>N/A</ns0:t>
        </ns0:is>
      </ns0:c>
      <ns0:c r="BS243" s="74" t="inlineStr">
        <ns0:is>
          <ns0:t>N/A</ns0:t>
        </ns0:is>
      </ns0:c>
      <ns0:c r="BT243" s="74" t="inlineStr">
        <ns0:is>
          <ns0:t>N/A</ns0:t>
        </ns0:is>
      </ns0:c>
      <ns0:c r="BU243" s="91" t="inlineStr">
        <ns0:is>
          <ns0:t>China Sunrise Capital Limited</ns0:t>
        </ns0:is>
      </ns0:c>
      <ns0:c r="BV243" s="74" t="inlineStr">
        <ns0:is>
          <ns0:t>China Sunrise Capital Limited</ns0:t>
        </ns0:is>
      </ns0:c>
      <ns0:c r="BW243" s="74" t="inlineStr">
        <ns0:is>
          <ns0:t>China Sunrise Securities (International) Limited; ABCI Capital Limited; BOCI Asia Limited; BOCOM International S ecurities Limited; CEB International Capital Corporation Limited</ns0:t>
        </ns0:is>
      </ns0:c>
      <ns0:c r="BX243" s="74" t="inlineStr">
        <ns0:is>
          <ns0: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ns0:t>
        </ns0:is>
      </ns0:c>
      <ns0:c r="BY243" s="93">
        <ns0:f>HYPERLINK("https://www1.hkexnews.hk/listedco/listconews/sehk/2024/0229/2024022900168.pdf","prospectus")</ns0:f>
        <ns0:v/>
      </ns0:c>
      <ns0:c r="BZ243" s="93">
        <ns0:f>HYPERLINK("https://www1.hkexnews.hk/listedco/listconews/sehk/2024/0307/2024030700935.pdf","allotment")</ns0:f>
        <ns0:v/>
      </ns0:c>
      <ns0:c r="CA243" s="93">
        <ns0:f>HYPERLINK("https://www1.hkexnews.hk/listedco/listconews/sehk/2024/0405/2024040500023.pdf","stabilisation")</ns0:f>
        <ns0:v/>
      </ns0:c>
      <ns0:c r="CB243" s="94" t="n"/>
      <ns0:c r="CC243" s="74" t="inlineStr">
        <ns0:is>
          <ns0:t>greenshoe: outcome published; expiry date not in the notice; cornerstone list: no cornerstone tranche; stabilising manager: not named in the allotment notice or prospectus glossary</ns0:t>
        </ns0:is>
      </ns0:c>
    </ns0:row>
    <ns0:row r="244" ht="22" customHeight="1">
      <ns0:c r="A244" s="73" t="inlineStr">
        <ns0:is>
          <ns0:t>2509</ns0:t>
        </ns0:is>
      </ns0:c>
      <ns0:c r="B244" s="74" t="inlineStr">
        <ns0:is>
          <ns0:t>QYUNS-B</ns0:t>
        </ns0:is>
      </ns0:c>
      <ns0:c r="C244" s="74" t="inlineStr">
        <ns0:is>
          <ns0:t>荃信生物－Ｂ</ns0:t>
        </ns0:is>
      </ns0:c>
      <ns0:c r="D244" s="74" t="inlineStr">
        <ns0:is>
          <ns0:t>Healthcare</ns0:t>
        </ns0:is>
      </ns0:c>
      <ns0:c r="E244" s="74" t="inlineStr">
        <ns0:is>
          <ns0:t>Biotech pre-revenue (18A)</ns0:t>
        </ns0:is>
      </ns0:c>
      <ns0:c r="F244" s="74" t="inlineStr">
        <ns0:is>
          <ns0:t>Biotechnology - Pharmaceuticals</ns0:t>
        </ns0:is>
      </ns0:c>
      <ns0:c r="G244" s="74" t="inlineStr">
        <ns0:is>
          <ns0:t>18A</ns0:t>
        </ns0:is>
      </ns0:c>
      <ns0:c r="H244" s="75" t="n">
        <ns0:v>45371</ns0:v>
      </ns0:c>
      <ns0:c r="I244" s="76" t="n">
        <ns0:v>238.5</ns0:v>
      </ns0:c>
      <ns0:c r="J244" s="74" t="inlineStr">
        <ns0:is>
          <ns0:t>gross (price x shares)</ns0:t>
        </ns0:is>
      </ns0:c>
      <ns0:c r="K244" s="77" t="n">
        <ns0:v>19.8</ns0:v>
      </ns0:c>
      <ns0:c r="L244" s="77" t="n">
        <ns0:v>20.2</ns0:v>
      </ns0:c>
      <ns0:c r="M244" s="77" t="n">
        <ns0:v>19.8</ns0:v>
      </ns0:c>
      <ns0:c r="N244" s="74" t="inlineStr">
        <ns0:is>
          <ns0:t>N</ns0:t>
        </ns0:is>
      </ns0:c>
      <ns0:c r="O244" s="78" t="n">
        <ns0:v>98</ns0:v>
      </ns0:c>
      <ns0:c r="P244" s="78" t="n">
        <ns0:v>0</ns0:v>
      </ns0:c>
      <ns0:c r="Q244" s="79" t="n">
        <ns0:v>4397</ns0:v>
      </ns0:c>
      <ns0:c r="R244" s="74" t="inlineStr">
        <ns0:is>
          <ns0:t>derived:price x shares upon listing</ns0:t>
        </ns0:is>
      </ns0:c>
      <ns0:c r="S244" s="80" t="n">
        <ns0:v>163.15</ns0:v>
      </ns0:c>
      <ns0:c r="T244" s="81" t="n">
        <ns0:v>1</ns0:v>
      </ns0:c>
      <ns0:c r="U244" s="82" t="n">
        <ns0:v>82.05</ns0:v>
      </ns0:c>
      <ns0:c r="V244" s="83" t="n">
        <ns0:v>109</ns0:v>
      </ns0:c>
      <ns0:c r="W244" s="78" t="n">
        <ns0:v>17.77</ns0:v>
      </ns0:c>
      <ns0:c r="X244" s="85" t="n"/>
      <ns0:c r="Y244" s="79" t="n">
        <ns0:v>42.81</ns0:v>
      </ns0:c>
      <ns0:c r="Z244" s="79" t="n">
        <ns0:v>2162329</ns0:v>
      </ns0:c>
      <ns0:c r="AA244" s="78" t="n">
        <ns0:v>0.97</ns0:v>
      </ns0:c>
      <ns0:c r="AB244" s="74" t="inlineStr">
        <ns0:is>
          <ns0:t>Huadong Medicine Investment Holding (Hong Kong) Limited; Beevest Capital Limited; JianXin Medical Technology Limited</ns0:t>
        </ns0:is>
      </ns0:c>
      <ns0:c r="AC244" s="74" t="inlineStr">
        <ns0:is>
          <ns0:t>huadong;beevest;jianxin</ns0:t>
        </ns0:is>
      </ns0:c>
      <ns0:c r="AD244" s="84" t="n"/>
      <ns0:c r="AE244" s="85" t="n"/>
      <ns0:c r="AF244" s="85" t="n"/>
      <ns0:c r="AG244" s="85" t="n"/>
      <ns0:c r="AH244" s="85" t="n"/>
      <ns0:c r="AI244" s="86" t="n">
        <ns0:v>38.13</ns0:v>
      </ns0:c>
      <ns0:c r="AJ244" s="87" t="n">
        <ns0:v>23.74</ns0:v>
      </ns0:c>
      <ns0:c r="AK244" s="87" t="n">
        <ns0:v>0.16</ns0:v>
      </ns0:c>
      <ns0:c r="AL244" s="87" t="n">
        <ns0:v>38.38</ns0:v>
      </ns0:c>
      <ns0:c r="AM244" s="87" t="n">
        <ns0:v>-10.58</ns0:v>
      </ns0:c>
      <ns0:c r="AN244" s="89" t="n">
        <ns0:v>1.08</ns0:v>
      </ns0:c>
      <ns0:c r="AO244" s="78" t="n">
        <ns0:v>13.5</ns0:v>
      </ns0:c>
      <ns0:c r="AP244" s="87" t="n">
        <ns0:v>20.96</ns0:v>
      </ns0:c>
      <ns0:c r="AQ244" s="87" t="n">
        <ns0:v>20.71</ns0:v>
      </ns0:c>
      <ns0:c r="AR244" s="87" t="n">
        <ns0:v>39.65</ns0:v>
      </ns0:c>
      <ns0:c r="AS244" s="87" t="n">
        <ns0:v>-2.25</ns0:v>
      </ns0:c>
      <ns0:c r="AT244" s="87" t="n">
        <ns0:v>-2.45</ns0:v>
      </ns0:c>
      <ns0:c r="AU244" s="87" t="n">
        <ns0:v>12.86</ns0:v>
      </ns0:c>
      <ns0:c r="AV244" s="87" t="n">
        <ns0:v>24.95</ns0:v>
      </ns0:c>
      <ns0:c r="AW244" s="87" t="n">
        <ns0:v>27.75</ns0:v>
      </ns0:c>
      <ns0:c r="AX244" s="87" t="n">
        <ns0:v>50.34</ns0:v>
      </ns0:c>
      <ns0:c r="AY244" s="87" t="n">
        <ns0:v>4.74</ns0:v>
      </ns0:c>
      <ns0:c r="AZ244" s="87" t="n">
        <ns0:v>-7.04</ns0:v>
      </ns0:c>
      <ns0:c r="BA244" s="87" t="n">
        <ns0:v>-7.19</ns0:v>
      </ns0:c>
      <ns0:c r="BB244" s="74" t="inlineStr">
        <ns0:is>
          <ns0:t>China Biotech ETF (HS biotech proxy)</ns0:t>
        </ns0:is>
      </ns0:c>
      <ns0:c r="BC244" s="87" t="n">
        <ns0:v>-14.14</ns0:v>
      </ns0:c>
      <ns0:c r="BD244" s="75" t="n">
        <ns0:v>46297</ns0:v>
      </ns0:c>
      <ns0:c r="BE244" s="76" t="n">
        <ns0:v>81.2</ns0:v>
      </ns0:c>
      <ns0:c r="BF244" s="79" t="n">
        <ns0:v>-226.5</ns0:v>
      </ns0:c>
      <ns0:c r="BG244" s="74" t="inlineStr">
        <ns0:is>
          <ns0:t>N</ns0:t>
        </ns0:is>
      </ns0:c>
      <ns0:c r="BH244" s="74" t="inlineStr">
        <ns0:is>
          <ns0:t>n/m</ns0:t>
        </ns0:is>
      </ns0:c>
      <ns0:c r="BI244" s="88" t="n"/>
      <ns0:c r="BJ244" s="89" t="n">
        <ns0:v>11.1</ns0:v>
      </ns0:c>
      <ns0:c r="BK244" s="89" t="n">
        <ns0:v>54.2</ns0:v>
      </ns0:c>
      <ns0:c r="BL244" s="90">
        <ns0:f>IFERROR(IF('BBG Verify'!S244="","Awaiting Bloomberg",'BBG Verify'!S244),"Awaiting Bloomberg")</ns0:f>
        <ns0:v/>
      </ns0:c>
      <ns0:c r="BM244" s="91" t="inlineStr">
        <ns0:is>
          <ns0:t>N</ns0:t>
        </ns0:is>
      </ns0:c>
      <ns0:c r="BN244" s="92">
        <ns0:f>IFERROR(IF('BBG Verify'!K244="","Awaiting Bloomberg",'BBG Verify'!K244),"Awaiting Bloomberg")</ns0:f>
        <ns0:v/>
      </ns0:c>
      <ns0:c r="BO244" s="74" t="inlineStr">
        <ns0:is>
          <ns0:t>N/A</ns0:t>
        </ns0:is>
      </ns0:c>
      <ns0:c r="BP244" s="74" t="inlineStr">
        <ns0:is>
          <ns0:t>N/A</ns0:t>
        </ns0:is>
      </ns0:c>
      <ns0:c r="BQ244" s="74" t="inlineStr">
        <ns0:is>
          <ns0:t>N/A</ns0:t>
        </ns0:is>
      </ns0:c>
      <ns0:c r="BR244" s="74" t="inlineStr">
        <ns0:is>
          <ns0:t>N/A</ns0:t>
        </ns0:is>
      </ns0:c>
      <ns0:c r="BS244" s="74" t="inlineStr">
        <ns0:is>
          <ns0:t>N/A</ns0:t>
        </ns0:is>
      </ns0:c>
      <ns0:c r="BT244" s="74" t="inlineStr">
        <ns0:is>
          <ns0:t>N/A</ns0:t>
        </ns0:is>
      </ns0:c>
      <ns0:c r="BU244" s="91" t="inlineStr">
        <ns0:is>
          <ns0:t>China International Capital Corporation Hong Kong Securities Limited</ns0:t>
        </ns0:is>
      </ns0:c>
      <ns0:c r="BV244" s="74" t="inlineStr">
        <ns0:is>
          <ns0:t>China International Capital Corporation Hong Kong Securities Limited</ns0:t>
        </ns0:is>
      </ns0:c>
      <ns0:c r="BW244" s="74" t="inlineStr">
        <ns0:is>
          <ns0: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ns0:t>
        </ns0:is>
      </ns0:c>
      <ns0:c r="BX244" s="74" t="inlineStr">
        <ns0:is>
          <ns0: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ns0:t>
        </ns0:is>
      </ns0:c>
      <ns0:c r="BY244" s="93">
        <ns0:f>HYPERLINK("https://www1.hkexnews.hk/listedco/listconews/sehk/2024/0312/2024031200007.pdf","prospectus")</ns0:f>
        <ns0:v/>
      </ns0:c>
      <ns0:c r="BZ244" s="93">
        <ns0:f>HYPERLINK("https://www1.hkexnews.hk/listedco/listconews/sehk/2024/0319/2024031901351.pdf","allotment")</ns0:f>
        <ns0:v/>
      </ns0:c>
      <ns0:c r="CA244" s="85" t="n"/>
      <ns0:c r="CB244" s="94" t="n"/>
      <ns0:c r="CC244" s="74" t="inlineStr">
        <ns0:is>
          <ns0:t>P/E: loss-making at IPO, use P/S; greenshoe: no over-allotment option; sponsor: English name not in the filing; AAStocks 保薦人 shown; greenshoe size: no over-allotment option; stabilising manager: no over-allotment option, so none appointed; allocation: clawback line not in this notice; a 12-28% split is consistent with either a tier-1 clawback or a placing shortfall</ns0:t>
        </ns0:is>
      </ns0:c>
    </ns0:row>
    <ns0:row r="245" ht="22" customHeight="1">
      <ns0:c r="A245" s="73" t="inlineStr">
        <ns0:is>
          <ns0:t>9879</ns0:t>
        </ns0:is>
      </ns0:c>
      <ns0:c r="B245" s="74" t="inlineStr">
        <ns0:is>
          <ns0:t>MIGAO GROUP</ns0:t>
        </ns0:is>
      </ns0:c>
      <ns0:c r="C245" s="74" t="inlineStr">
        <ns0:is>
          <ns0:t>米高集團</ns0:t>
        </ns0:is>
      </ns0:c>
      <ns0:c r="D245" s="74" t="inlineStr">
        <ns0:is>
          <ns0:t>Materials/Energy</ns0:t>
        </ns0:is>
      </ns0:c>
      <ns0:c r="E245" s="74" t="inlineStr">
        <ns0:is>
          <ns0:t>Chemicals</ns0:t>
        </ns0:is>
      </ns0:c>
      <ns0:c r="F245" s="74" t="inlineStr">
        <ns0:is>
          <ns0:t>Fertilizers &amp; Agricultural Chemicals</ns0:t>
        </ns0:is>
      </ns0:c>
      <ns0:c r="G245" s="74" t="inlineStr">
        <ns0:is>
          <ns0:t>Standard</ns0:t>
        </ns0:is>
      </ns0:c>
      <ns0:c r="H245" s="75" t="n">
        <ns0:v>45372</ns0:v>
      </ns0:c>
      <ns0:c r="I245" s="76" t="n">
        <ns0:v>918</ns0:v>
      </ns0:c>
      <ns0:c r="J245" s="74" t="inlineStr">
        <ns0:is>
          <ns0:t>gross (price x shares)</ns0:t>
        </ns0:is>
      </ns0:c>
      <ns0:c r="K245" s="77" t="n">
        <ns0:v>3.3</ns0:v>
      </ns0:c>
      <ns0:c r="L245" s="77" t="n">
        <ns0:v>4.3</ns0:v>
      </ns0:c>
      <ns0:c r="M245" s="77" t="n">
        <ns0:v>4.08</ns0:v>
      </ns0:c>
      <ns0:c r="N245" s="74" t="inlineStr">
        <ns0:is>
          <ns0:t>N</ns0:t>
        </ns0:is>
      </ns0:c>
      <ns0:c r="O245" s="78" t="n">
        <ns0:v>94.90000000000001</ns0:v>
      </ns0:c>
      <ns0:c r="P245" s="78" t="n">
        <ns0:v>78</ns0:v>
      </ns0:c>
      <ns0:c r="Q245" s="79" t="n">
        <ns0:v>3672</ns0:v>
      </ns0:c>
      <ns0:c r="R245" s="74" t="inlineStr">
        <ns0:is>
          <ns0:t>derived:price x shares upon listing</ns0:t>
        </ns0:is>
      </ns0:c>
      <ns0:c r="S245" s="80" t="n">
        <ns0:v>9.789999999999999</ns0:v>
      </ns0:c>
      <ns0:c r="T245" s="81" t="n">
        <ns0:v>1.28</ns0:v>
      </ns0:c>
      <ns0:c r="U245" s="82" t="n">
        <ns0:v>45.58</ns0:v>
      </ns0:c>
      <ns0:c r="V245" s="83" t="n">
        <ns0:v>119</ns0:v>
      </ns0:c>
      <ns0:c r="W245" s="78" t="n">
        <ns0:v>10</ns0:v>
      </ns0:c>
      <ns0:c r="X245" s="74" t="inlineStr">
        <ns0:is>
          <ns0:t>NO</ns0:t>
        </ns0:is>
      </ns0:c>
      <ns0:c r="Y245" s="79" t="n">
        <ns0:v>499.58</ns0:v>
      </ns0:c>
      <ns0:c r="Z245" s="79" t="n">
        <ns0:v>122445000</ns0:v>
      </ns0:c>
      <ns0:c r="AA245" s="78" t="n">
        <ns0:v>13.61</ns0:v>
      </ns0:c>
      <ns0:c r="AB245" s="74" t="inlineStr">
        <ns0:is>
          <ns0:t>MEGA DYNAMIC GROUP LIMITED; Harvest Global Capital Investments Limited; Changsheng Fund Management Co., Ltd. - CHINA GF BANK- CHANGSHENG FUND -QDII1</ns0:t>
        </ns0:is>
      </ns0:c>
      <ns0:c r="AC245" s="74" t="inlineStr">
        <ns0:is>
          <ns0:t>mega;harvest;changsheng</ns0:t>
        </ns0:is>
      </ns0:c>
      <ns0:c r="AD245" s="78" t="n">
        <ns0:v>10</ns0:v>
      </ns0:c>
      <ns0:c r="AE245" s="74" t="inlineStr">
        <ns0:is>
          <ns0:t>partial</ns0:t>
        </ns0:is>
      </ns0:c>
      <ns0:c r="AF245" s="85" t="n"/>
      <ns0:c r="AG245" s="85" t="n"/>
      <ns0:c r="AH245" s="85" t="n"/>
      <ns0:c r="AI245" s="86" t="n">
        <ns0:v>16.18</ns0:v>
      </ns0:c>
      <ns0:c r="AJ245" s="87" t="n">
        <ns0:v>0.25</ns0:v>
      </ns0:c>
      <ns0:c r="AK245" s="87" t="n">
        <ns0:v>1.73</ns0:v>
      </ns0:c>
      <ns0:c r="AL245" s="87" t="n">
        <ns0:v>7.35</ns0:v>
      </ns0:c>
      <ns0:c r="AM245" s="87" t="n">
        <ns0:v>-6.61</ns0:v>
      </ns0:c>
      <ns0:c r="AN245" s="89" t="n">
        <ns0:v>1.53</ns0:v>
      </ns0:c>
      <ns0:c r="AO245" s="78" t="n">
        <ns0:v>11.42</ns0:v>
      </ns0:c>
      <ns0:c r="AP245" s="87" t="n">
        <ns0:v>-0</ns0:v>
      </ns0:c>
      <ns0:c r="AQ245" s="87" t="n">
        <ns0:v>31.13</ns0:v>
      </ns0:c>
      <ns0:c r="AR245" s="87" t="n">
        <ns0:v>98.53</ns0:v>
      </ns0:c>
      <ns0:c r="AS245" s="87" t="n">
        <ns0:v>-0.25</ns0:v>
      </ns0:c>
      <ns0:c r="AT245" s="87" t="n">
        <ns0:v>30.8</ns0:v>
      </ns0:c>
      <ns0:c r="AU245" s="87" t="n">
        <ns0:v>98.03</ns0:v>
      </ns0:c>
      <ns0:c r="AV245" s="87" t="n">
        <ns0:v>-0.77</ns0:v>
      </ns0:c>
      <ns0:c r="AW245" s="87" t="n">
        <ns0:v>25.83</ns0:v>
      </ns0:c>
      <ns0:c r="AX245" s="87" t="n">
        <ns0:v>89.27</ns0:v>
      </ns0:c>
      <ns0:c r="AY245" s="87" t="n">
        <ns0:v>27.29</ns0:v>
      </ns0:c>
      <ns0:c r="AZ245" s="87" t="n">
        <ns0:v>5.3</ns0:v>
      </ns0:c>
      <ns0:c r="BA245" s="87" t="n">
        <ns0:v>3.51</ns0:v>
      </ns0:c>
      <ns0:c r="BB245" s="74" t="inlineStr">
        <ns0:is>
          <ns0:t>Hang Seng Commerce &amp; Industry sub-index</ns0:t>
        </ns0:is>
      </ns0:c>
      <ns0:c r="BC245" s="87" t="n">
        <ns0:v>121.32</ns0:v>
      </ns0:c>
      <ns0:c r="BD245" s="75" t="n">
        <ns0:v>46297</ns0:v>
      </ns0:c>
      <ns0:c r="BE245" s="76" t="n">
        <ns0:v>5195</ns0:v>
      </ns0:c>
      <ns0:c r="BF245" s="79" t="n">
        <ns0:v>436.2</ns0:v>
      </ns0:c>
      <ns0:c r="BG245" s="74" t="inlineStr">
        <ns0:is>
          <ns0:t>Y</ns0:t>
        </ns0:is>
      </ns0:c>
      <ns0:c r="BH245" s="89" t="n">
        <ns0:v>8.4</ns0:v>
      </ns0:c>
      <ns0:c r="BI245" s="88" t="n"/>
      <ns0:c r="BJ245" s="89" t="n">
        <ns0:v>19.8</ns0:v>
      </ns0:c>
      <ns0:c r="BK245" s="89" t="n">
        <ns0:v>0.7</ns0:v>
      </ns0:c>
      <ns0:c r="BL245" s="90">
        <ns0:f>IFERROR(IF('BBG Verify'!S245="","Awaiting Bloomberg",'BBG Verify'!S245),"Awaiting Bloomberg")</ns0:f>
        <ns0:v/>
      </ns0:c>
      <ns0:c r="BM245" s="91" t="inlineStr">
        <ns0:is>
          <ns0:t>N</ns0:t>
        </ns0:is>
      </ns0:c>
      <ns0:c r="BN245" s="92">
        <ns0:f>IFERROR(IF('BBG Verify'!K245="","Awaiting Bloomberg",'BBG Verify'!K245),"Awaiting Bloomberg")</ns0:f>
        <ns0:v/>
      </ns0:c>
      <ns0:c r="BO245" s="74" t="inlineStr">
        <ns0:is>
          <ns0:t>N/A</ns0:t>
        </ns0:is>
      </ns0:c>
      <ns0:c r="BP245" s="74" t="inlineStr">
        <ns0:is>
          <ns0:t>N/A</ns0:t>
        </ns0:is>
      </ns0:c>
      <ns0:c r="BQ245" s="74" t="inlineStr">
        <ns0:is>
          <ns0:t>N/A</ns0:t>
        </ns0:is>
      </ns0:c>
      <ns0:c r="BR245" s="74" t="inlineStr">
        <ns0:is>
          <ns0:t>N/A</ns0:t>
        </ns0:is>
      </ns0:c>
      <ns0:c r="BS245" s="74" t="inlineStr">
        <ns0:is>
          <ns0:t>N/A</ns0:t>
        </ns0:is>
      </ns0:c>
      <ns0:c r="BT245" s="74" t="inlineStr">
        <ns0:is>
          <ns0:t>N/A</ns0:t>
        </ns0:is>
      </ns0:c>
      <ns0:c r="BU245" s="91" t="inlineStr">
        <ns0:is>
          <ns0:t>GF Capital (Hong Kong) Limited</ns0:t>
        </ns0:is>
      </ns0:c>
      <ns0:c r="BV245" s="74" t="inlineStr">
        <ns0:is>
          <ns0:t>GF Capital (Hong Kong) Limited</ns0:t>
        </ns0:is>
      </ns0:c>
      <ns0:c r="BW245" s="74" t="inlineStr">
        <ns0:is>
          <ns0: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ns0:t>
        </ns0:is>
      </ns0:c>
      <ns0:c r="BX245" s="74" t="inlineStr">
        <ns0:is>
          <ns0: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ns0:t>
        </ns0:is>
      </ns0:c>
      <ns0:c r="BY245" s="93">
        <ns0:f>HYPERLINK("https://www1.hkexnews.hk/listedco/listconews/sehk/2024/0313/2024031300019.pdf","prospectus")</ns0:f>
        <ns0:v/>
      </ns0:c>
      <ns0:c r="BZ245" s="93">
        <ns0:f>HYPERLINK("https://www1.hkexnews.hk/listedco/listconews/sehk/2024/0320/2024032001597.pdf","allotment")</ns0:f>
        <ns0:v/>
      </ns0:c>
      <ns0:c r="CA245" s="93">
        <ns0:f>HYPERLINK("https://www1.hkexnews.hk/listedco/listconews/sehk/2024/0417/2024041701556.pdf","stabilisation")</ns0:f>
        <ns0:v/>
      </ns0:c>
      <ns0:c r="CB245" s="94" t="n"/>
      <ns0:c r="CC245" s="74" t="inlineStr">
        <ns0:is>
          <ns0:t>greenshoe: outcome published; expiry date not in the notice; stabilising manager: not named in the allotment notice or prospectus glossary</ns0:t>
        </ns0:is>
      </ns0:c>
    </ns0:row>
    <ns0:row r="246" ht="22" customHeight="1">
      <ns0:c r="A246" s="73" t="inlineStr">
        <ns0:is>
          <ns0:t>2536</ns0:t>
        </ns0:is>
      </ns0:c>
      <ns0:c r="B246" s="74" t="inlineStr">
        <ns0:is>
          <ns0:t>PALASINO</ns0:t>
        </ns0:is>
      </ns0:c>
      <ns0:c r="C246" s="74" t="inlineStr">
        <ns0:is>
          <ns0:t>百樂皇宮</ns0:t>
        </ns0:is>
      </ns0:c>
      <ns0:c r="D246" s="74" t="inlineStr">
        <ns0:is>
          <ns0:t>Consumer</ns0:t>
        </ns0:is>
      </ns0:c>
      <ns0:c r="E246" s="74" t="inlineStr">
        <ns0:is>
          <ns0:t>Consumer services / education</ns0:t>
        </ns0:is>
      </ns0:c>
      <ns0:c r="F246" s="74" t="inlineStr">
        <ns0:is>
          <ns0:t>Casinos &amp; Gaming</ns0:t>
        </ns0:is>
      </ns0:c>
      <ns0:c r="G246" s="74" t="inlineStr">
        <ns0:is>
          <ns0:t>Standard</ns0:t>
        </ns0:is>
      </ns0:c>
      <ns0:c r="H246" s="75" t="n">
        <ns0:v>45377</ns0:v>
      </ns0:c>
      <ns0:c r="I246" s="98" t="n"/>
      <ns0:c r="J246" s="85" t="n"/>
      <ns0:c r="K246" s="95" t="n"/>
      <ns0:c r="L246" s="77" t="n">
        <ns0:v>2.6</ns0:v>
      </ns0:c>
      <ns0:c r="M246" s="77" t="n">
        <ns0:v>2.6</ns0:v>
      </ns0:c>
      <ns0:c r="N246" s="74" t="inlineStr">
        <ns0:is>
          <ns0:t>Y</ns0:t>
        </ns0:is>
      </ns0:c>
      <ns0:c r="O246" s="78" t="n">
        <ns0:v>100</ns0:v>
      </ns0:c>
      <ns0:c r="P246" s="84" t="n"/>
      <ns0:c r="Q246" s="79" t="n">
        <ns0:v>2080</ns0:v>
      </ns0:c>
      <ns0:c r="R246" s="74" t="inlineStr">
        <ns0:is>
          <ns0:t>prospectus:stated market capitalisation</ns0:t>
        </ns0:is>
      </ns0:c>
      <ns0:c r="S246" s="80" t="n">
        <ns0:v>0.23</ns0:v>
      </ns0:c>
      <ns0:c r="T246" s="81" t="n">
        <ns0:v>1.29</ns0:v>
      </ns0:c>
      <ns0:c r="U246" s="82" t="n">
        <ns0:v>18.8</ns0:v>
      </ns0:c>
      <ns0:c r="V246" s="83" t="n">
        <ns0:v>219</ns0:v>
      </ns0:c>
      <ns0:c r="W246" s="78" t="n">
        <ns0:v>30</ns0:v>
      </ns0:c>
      <ns0:c r="X246" s="74" t="inlineStr">
        <ns0:is>
          <ns0:t>YES</ns0:t>
        </ns0:is>
      </ns0:c>
      <ns0:c r="Y246" s="97" t="n"/>
      <ns0:c r="Z246" s="97" t="n"/>
      <ns0:c r="AA246" s="84" t="n"/>
      <ns0:c r="AB246" s="74" t="inlineStr">
        <ns0:is>
          <ns0:t>XIANG SHANG GAMES CO., LTD</ns0:t>
        </ns0:is>
      </ns0:c>
      <ns0:c r="AC246" s="74" t="inlineStr">
        <ns0:is>
          <ns0:t>xiang</ns0:t>
        </ns0:is>
      </ns0:c>
      <ns0:c r="AD246" s="78" t="n">
        <ns0:v>8.93</ns0:v>
      </ns0:c>
      <ns0:c r="AE246" s="74" t="inlineStr">
        <ns0:is>
          <ns0:t>partial</ns0:t>
        </ns0:is>
      </ns0:c>
      <ns0:c r="AF246" s="85" t="n"/>
      <ns0:c r="AG246" s="74" t="inlineStr">
        <ns0:is>
          <ns0:t>Guotai Junan Securities</ns0:t>
        </ns0:is>
      </ns0:c>
      <ns0:c r="AH246" s="74" t="inlineStr">
        <ns0:is>
          <ns0:t>Guotai Junan</ns0:t>
        </ns0:is>
      </ns0:c>
      <ns0:c r="AI246" s="86" t="n">
        <ns0:v>11.54</ns0:v>
      </ns0:c>
      <ns0:c r="AJ246" s="87" t="n">
        <ns0:v>15.38</ns0:v>
      </ns0:c>
      <ns0:c r="AK246" s="87" t="n">
        <ns0:v>1.07</ns0:v>
      </ns0:c>
      <ns0:c r="AL246" s="87" t="n">
        <ns0:v>5.77</ns0:v>
      </ns0:c>
      <ns0:c r="AM246" s="87" t="n">
        <ns0:v>9.09</ns0:v>
      </ns0:c>
      <ns0:c r="AN246" s="89" t="n">
        <ns0:v>1.18</ns0:v>
      </ns0:c>
      <ns0:c r="AO246" s="78" t="n">
        <ns0:v>21.45</ns0:v>
      </ns0:c>
      <ns0:c r="AP246" s="87" t="n">
        <ns0:v>111.54</ns0:v>
      </ns0:c>
      <ns0:c r="AQ246" s="87" t="n">
        <ns0:v>111.92</ns0:v>
      </ns0:c>
      <ns0:c r="AR246" s="87" t="n">
        <ns0:v>129.62</ns0:v>
      </ns0:c>
      <ns0:c r="AS246" s="87" t="n">
        <ns0:v>83.34</ns0:v>
      </ns0:c>
      <ns0:c r="AT246" s="87" t="n">
        <ns0:v>83.67</ns0:v>
      </ns0:c>
      <ns0:c r="AU246" s="87" t="n">
        <ns0:v>99.01000000000001</ns0:v>
      </ns0:c>
      <ns0:c r="AV246" s="87" t="n">
        <ns0:v>109.11</ns0:v>
      </ns0:c>
      <ns0:c r="AW246" s="87" t="n">
        <ns0:v>103.81</ns0:v>
      </ns0:c>
      <ns0:c r="AX246" s="87" t="n">
        <ns0:v>122.55</ns0:v>
      </ns0:c>
      <ns0:c r="AY246" s="87" t="n">
        <ns0:v>76.7</ns0:v>
      </ns0:c>
      <ns0:c r="AZ246" s="87" t="n">
        <ns0:v>8.109999999999999</ns0:v>
      </ns0:c>
      <ns0:c r="BA246" s="87" t="n">
        <ns0:v>6.97</ns0:v>
      </ns0:c>
      <ns0:c r="BB246" s="74" t="inlineStr">
        <ns0:is>
          <ns0:t>Hang Seng Commerce &amp; Industry sub-index</ns0:t>
        </ns0:is>
      </ns0:c>
      <ns0:c r="BC246" s="87" t="n">
        <ns0:v>-75.38</ns0:v>
      </ns0:c>
      <ns0:c r="BD246" s="75" t="n">
        <ns0:v>46297</ns0:v>
      </ns0:c>
      <ns0:c r="BE246" s="76" t="n">
        <ns0:v>529</ns0:v>
      </ns0:c>
      <ns0:c r="BF246" s="79" t="n">
        <ns0:v>44.2</ns0:v>
      </ns0:c>
      <ns0:c r="BG246" s="74" t="inlineStr">
        <ns0:is>
          <ns0:t>Y</ns0:t>
        </ns0:is>
      </ns0:c>
      <ns0:c r="BH246" s="89" t="n">
        <ns0:v>47.1</ns0:v>
      </ns0:c>
      <ns0:c r="BI246" s="88" t="n"/>
      <ns0:c r="BJ246" s="89" t="n">
        <ns0:v>49</ns0:v>
      </ns0:c>
      <ns0:c r="BK246" s="89" t="n">
        <ns0:v>3.9</ns0:v>
      </ns0:c>
      <ns0:c r="BL246" s="90">
        <ns0:f>IFERROR(IF('BBG Verify'!S246="","Awaiting Bloomberg",'BBG Verify'!S246),"Awaiting Bloomberg")</ns0:f>
        <ns0:v/>
      </ns0:c>
      <ns0:c r="BM246" s="91" t="inlineStr">
        <ns0:is>
          <ns0:t>N</ns0:t>
        </ns0:is>
      </ns0:c>
      <ns0:c r="BN246" s="92">
        <ns0:f>IFERROR(IF('BBG Verify'!K246="","Awaiting Bloomberg",'BBG Verify'!K246),"Awaiting Bloomberg")</ns0:f>
        <ns0:v/>
      </ns0:c>
      <ns0:c r="BO246" s="74" t="inlineStr">
        <ns0:is>
          <ns0:t>N/A</ns0:t>
        </ns0:is>
      </ns0:c>
      <ns0:c r="BP246" s="74" t="inlineStr">
        <ns0:is>
          <ns0:t>N/A</ns0:t>
        </ns0:is>
      </ns0:c>
      <ns0:c r="BQ246" s="74" t="inlineStr">
        <ns0:is>
          <ns0:t>N/A</ns0:t>
        </ns0:is>
      </ns0:c>
      <ns0:c r="BR246" s="74" t="inlineStr">
        <ns0:is>
          <ns0:t>N/A</ns0:t>
        </ns0:is>
      </ns0:c>
      <ns0:c r="BS246" s="74" t="inlineStr">
        <ns0:is>
          <ns0:t>N/A</ns0:t>
        </ns0:is>
      </ns0:c>
      <ns0:c r="BT246" s="74" t="inlineStr">
        <ns0:is>
          <ns0:t>N/A</ns0:t>
        </ns0:is>
      </ns0:c>
      <ns0:c r="BU246" s="91" t="inlineStr">
        <ns0:is>
          <ns0:t>Guotai Junan Capital Limited</ns0:t>
        </ns0:is>
      </ns0:c>
      <ns0:c r="BV246" s="74" t="inlineStr">
        <ns0:is>
          <ns0:t>Guotai Junan Capital Limited</ns0:t>
        </ns0:is>
      </ns0:c>
      <ns0:c r="BW246" s="74" t="inlineStr">
        <ns0:is>
          <ns0:t>Guotai Junan Securities (Hong Kong) Limited; CMB International Capital Limited; Zhongtai International Securities Limited; UOB Kay Hian (Hong Kong) Limited; CCB International Capital Limited; Livermore Holdings Limited; Guosen Securities (HK) Capital Company Limited; Long Bridge HK Limited</ns0:t>
        </ns0:is>
      </ns0:c>
      <ns0:c r="BX246" s="74" t="inlineStr">
        <ns0:is>
          <ns0:t>CCB International Capital Limited; CMB International Capital Limited; Guotai Junan Securities (Hong Kong) Limited; Guosen Securities (HK) Capital Company Limited; Long Bridge HK Limited; Livermore Holdings Limited; UOB Kay Hian (Hong Kong) Limited; Zhongtai International Securities Limited</ns0:t>
        </ns0:is>
      </ns0:c>
      <ns0:c r="BY246" s="93">
        <ns0:f>HYPERLINK("https://www1.hkexnews.hk/listedco/listconews/sehk/2024/0318/2024031800024.pdf","prospectus")</ns0:f>
        <ns0:v/>
      </ns0:c>
      <ns0:c r="BZ246" s="93">
        <ns0:f>HYPERLINK("https://www1.hkexnews.hk/listedco/listconews/sehk/2024/0325/2024032501621.pdf","allotment")</ns0:f>
        <ns0:v/>
      </ns0:c>
      <ns0:c r="CA246" s="93">
        <ns0:f>HYPERLINK("https://www1.hkexnews.hk/listedco/listconews/sehk/2024/0422/2024042200005.pdf","stabilisation")</ns0:f>
        <ns0:v/>
      </ns0:c>
      <ns0:c r="CB246" s="94" t="n"/>
      <ns0:c r="CC246" s="74" t="inlineStr">
        <ns0:is>
          <ns0:t>greenshoe: outcome published; expiry date not in the notice; range low: maximum offer price only, no floor published; deal size: no proceeds figure in any filing; eff free float: % of cap not computable: deal size not available; eff float shares: share count unavailable; the HK$m figure is exact; size basis: no size on file</ns0:t>
        </ns0:is>
      </ns0:c>
    </ns0:row>
    <ns0:row r="247" ht="22" customHeight="1">
      <ns0:c r="A247" s="73" t="inlineStr">
        <ns0:is>
          <ns0:t>2497</ns0:t>
        </ns0:is>
      </ns0:c>
      <ns0:c r="B247" s="74" t="inlineStr">
        <ns0:is>
          <ns0:t>FUJING HOLDINGS</ns0:t>
        </ns0:is>
      </ns0:c>
      <ns0:c r="C247" s="74" t="inlineStr">
        <ns0:is>
          <ns0:t>富景中國控股</ns0:t>
        </ns0:is>
      </ns0:c>
      <ns0:c r="D247" s="74" t="inlineStr">
        <ns0:is>
          <ns0:t>Consumer</ns0:t>
        </ns0:is>
      </ns0:c>
      <ns0:c r="E247" s="74" t="inlineStr">
        <ns0:is>
          <ns0:t>Beverages / packaged food</ns0:t>
        </ns0:is>
      </ns0:c>
      <ns0:c r="F247" s="74" t="inlineStr">
        <ns0:is>
          <ns0:t>Agricultural Products</ns0:t>
        </ns0:is>
      </ns0:c>
      <ns0:c r="G247" s="74" t="inlineStr">
        <ns0:is>
          <ns0:t>Standard</ns0:t>
        </ns0:is>
      </ns0:c>
      <ns0:c r="H247" s="75" t="n">
        <ns0:v>45379</ns0:v>
      </ns0:c>
      <ns0:c r="I247" s="76" t="n">
        <ns0:v>108</ns0:v>
      </ns0:c>
      <ns0:c r="J247" s="74" t="inlineStr">
        <ns0:is>
          <ns0:t>gross (price x shares)</ns0:t>
        </ns0:is>
      </ns0:c>
      <ns0:c r="K247" s="77" t="n">
        <ns0:v>1.08</ns0:v>
      </ns0:c>
      <ns0:c r="L247" s="77" t="n">
        <ns0:v>1.28</ns0:v>
      </ns0:c>
      <ns0:c r="M247" s="77" t="n">
        <ns0:v>1.08</ns0:v>
      </ns0:c>
      <ns0:c r="N247" s="74" t="inlineStr">
        <ns0:is>
          <ns0:t>N</ns0:t>
        </ns0:is>
      </ns0:c>
      <ns0:c r="O247" s="78" t="n">
        <ns0:v>84.40000000000001</ns0:v>
      </ns0:c>
      <ns0:c r="P247" s="78" t="n">
        <ns0:v>0</ns0:v>
      </ns0:c>
      <ns0:c r="Q247" s="79" t="n">
        <ns0:v>540</ns0:v>
      </ns0:c>
      <ns0:c r="R247" s="74" t="inlineStr">
        <ns0:is>
          <ns0:t>derived:price x shares upon listing</ns0:t>
        </ns0:is>
      </ns0:c>
      <ns0:c r="S247" s="80" t="n">
        <ns0:v>294.13</ns0:v>
      </ns0:c>
      <ns0:c r="T247" s="81" t="n">
        <ns0:v>0.96</ns0:v>
      </ns0:c>
      <ns0:c r="U247" s="82" t="n">
        <ns0:v>0</ns0:v>
      </ns0:c>
      <ns0:c r="V247" s="83" t="n">
        <ns0:v>143</ns0:v>
      </ns0:c>
      <ns0:c r="W247" s="78" t="n">
        <ns0:v>14.62</ns0:v>
      </ns0:c>
      <ns0:c r="X247" s="85" t="n"/>
      <ns0:c r="Y247" s="79" t="n">
        <ns0:v>108</ns0:v>
      </ns0:c>
      <ns0:c r="Z247" s="79" t="n">
        <ns0:v>100000000</ns0:v>
      </ns0:c>
      <ns0:c r="AA247" s="78" t="n">
        <ns0:v>20</ns0:v>
      </ns0:c>
      <ns0:c r="AB247" s="74" t="inlineStr">
        <ns0:is>
          <ns0:t>none — no cornerstone tranche</ns0:t>
        </ns0:is>
      </ns0:c>
      <ns0:c r="AC247" s="74" t="inlineStr">
        <ns0:is>
          <ns0:t>none</ns0:t>
        </ns0:is>
      </ns0:c>
      <ns0:c r="AD247" s="78" t="n">
        <ns0:v>15</ns0:v>
      </ns0:c>
      <ns0:c r="AE247" s="74" t="inlineStr">
        <ns0:is>
          <ns0:t>lapsed (no over-allocation)</ns0:t>
        </ns0:is>
      </ns0:c>
      <ns0:c r="AF247" s="85" t="n"/>
      <ns0:c r="AG247" s="85" t="n"/>
      <ns0:c r="AH247" s="85" t="n"/>
      <ns0:c r="AI247" s="86" t="n">
        <ns0:v>103.7</ns0:v>
      </ns0:c>
      <ns0:c r="AJ247" s="87" t="n">
        <ns0:v>37.04</ns0:v>
      </ns0:c>
      <ns0:c r="AK247" s="87" t="n">
        <ns0:v>1.69</ns0:v>
      </ns0:c>
      <ns0:c r="AL247" s="87" t="n">
        <ns0:v>97.22</ns0:v>
      </ns0:c>
      <ns0:c r="AM247" s="87" t="n">
        <ns0:v>-30.51</ns0:v>
      </ns0:c>
      <ns0:c r="AN247" s="89" t="n">
        <ns0:v>2.58</ns0:v>
      </ns0:c>
      <ns0:c r="AO247" s="78" t="n">
        <ns0:v>46.48</ns0:v>
      </ns0:c>
      <ns0:c r="AP247" s="87" t="n">
        <ns0:v>14.81</ns0:v>
      </ns0:c>
      <ns0:c r="AQ247" s="87" t="n">
        <ns0:v>-3.7</ns0:v>
      </ns0:c>
      <ns0:c r="AR247" s="87" t="n">
        <ns0:v>-4.63</ns0:v>
      </ns0:c>
      <ns0:c r="AS247" s="87" t="n">
        <ns0:v>-16.22</ns0:v>
      </ns0:c>
      <ns0:c r="AT247" s="87" t="n">
        <ns0:v>-29.73</ns0:v>
      </ns0:c>
      <ns0:c r="AU247" s="87" t="n">
        <ns0:v>-30.41</ns0:v>
      </ns0:c>
      <ns0:c r="AV247" s="87" t="n">
        <ns0:v>11.5</ns0:v>
      </ns0:c>
      <ns0:c r="AW247" s="87" t="n">
        <ns0:v>-15.03</ns0:v>
      </ns0:c>
      <ns0:c r="AX247" s="87" t="n">
        <ns0:v>-14.97</ns0:v>
      </ns0:c>
      <ns0:c r="AY247" s="87" t="n">
        <ns0:v>-39.21</ns0:v>
      </ns0:c>
      <ns0:c r="AZ247" s="87" t="n">
        <ns0:v>11.33</ns0:v>
      </ns0:c>
      <ns0:c r="BA247" s="87" t="n">
        <ns0:v>9.48</ns0:v>
      </ns0:c>
      <ns0:c r="BB247" s="74" t="inlineStr">
        <ns0:is>
          <ns0:t>Hang Seng Commerce &amp; Industry sub-index</ns0:t>
        </ns0:is>
      </ns0:c>
      <ns0:c r="BC247" s="87" t="n">
        <ns0:v>-51.39</ns0:v>
      </ns0:c>
      <ns0:c r="BD247" s="75" t="n">
        <ns0:v>46297</ns0:v>
      </ns0:c>
      <ns0:c r="BE247" s="76" t="n">
        <ns0:v>139.4</ns0:v>
      </ns0:c>
      <ns0:c r="BF247" s="79" t="n">
        <ns0:v>35</ns0:v>
      </ns0:c>
      <ns0:c r="BG247" s="74" t="inlineStr">
        <ns0:is>
          <ns0:t>Y</ns0:t>
        </ns0:is>
      </ns0:c>
      <ns0:c r="BH247" s="89" t="n">
        <ns0:v>15.4</ns0:v>
      </ns0:c>
      <ns0:c r="BI247" s="88" t="n"/>
      <ns0:c r="BJ247" s="89" t="n">
        <ns0:v>4.2</ns0:v>
      </ns0:c>
      <ns0:c r="BK247" s="89" t="n">
        <ns0:v>3.9</ns0:v>
      </ns0:c>
      <ns0:c r="BL247" s="90">
        <ns0:f>IFERROR(IF('BBG Verify'!S247="","Awaiting Bloomberg",'BBG Verify'!S247),"Awaiting Bloomberg")</ns0:f>
        <ns0:v/>
      </ns0:c>
      <ns0:c r="BM247" s="91" t="inlineStr">
        <ns0:is>
          <ns0:t>N</ns0:t>
        </ns0:is>
      </ns0:c>
      <ns0:c r="BN247" s="92">
        <ns0:f>IFERROR(IF('BBG Verify'!K247="","Awaiting Bloomberg",'BBG Verify'!K247),"Awaiting Bloomberg")</ns0:f>
        <ns0:v/>
      </ns0:c>
      <ns0:c r="BO247" s="74" t="inlineStr">
        <ns0:is>
          <ns0:t>N/A</ns0:t>
        </ns0:is>
      </ns0:c>
      <ns0:c r="BP247" s="74" t="inlineStr">
        <ns0:is>
          <ns0:t>N/A</ns0:t>
        </ns0:is>
      </ns0:c>
      <ns0:c r="BQ247" s="74" t="inlineStr">
        <ns0:is>
          <ns0:t>N/A</ns0:t>
        </ns0:is>
      </ns0:c>
      <ns0:c r="BR247" s="74" t="inlineStr">
        <ns0:is>
          <ns0:t>N/A</ns0:t>
        </ns0:is>
      </ns0:c>
      <ns0:c r="BS247" s="74" t="inlineStr">
        <ns0:is>
          <ns0:t>N/A</ns0:t>
        </ns0:is>
      </ns0:c>
      <ns0:c r="BT247" s="74" t="inlineStr">
        <ns0:is>
          <ns0:t>N/A</ns0:t>
        </ns0:is>
      </ns0:c>
      <ns0:c r="BU247" s="91" t="inlineStr">
        <ns0:is>
          <ns0:t>Grande Capital Limited</ns0:t>
        </ns0:is>
      </ns0:c>
      <ns0:c r="BV247" s="74" t="inlineStr">
        <ns0:is>
          <ns0:t>Grande Capital Limited</ns0:t>
        </ns0:is>
      </ns0:c>
      <ns0:c r="BW247" s="74" t="inlineStr">
        <ns0:is>
          <ns0:t>CMBC Securities Company Limited; Grande Capital Limited; Cinda International Capital Limited; CCB International Capital Limited; ICBC International Securities Limited; Haitong International Securities Company Limited; China Galaxy International Securities (Hong Kong) Co., Limited; Eddid Securities and Futures Limited; Alliance Capital Partners Limited; Caitong International Securities Company Limited; Ruibang Securities Limited</ns0:t>
        </ns0:is>
      </ns0:c>
      <ns0:c r="BX247" s="74" t="inlineStr">
        <ns0:is>
          <ns0: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ns0:t>
        </ns0:is>
      </ns0:c>
      <ns0:c r="BY247" s="93">
        <ns0:f>HYPERLINK("https://www1.hkexnews.hk/listedco/listconews/sehk/2024/0320/2024032000093.pdf","prospectus")</ns0:f>
        <ns0:v/>
      </ns0:c>
      <ns0:c r="BZ247" s="93">
        <ns0:f>HYPERLINK("https://www1.hkexnews.hk/listedco/listconews/sehk/2024/0327/2024032702279.pdf","allotment")</ns0:f>
        <ns0:v/>
      </ns0:c>
      <ns0:c r="CA247" s="93">
        <ns0:f>HYPERLINK("https://www1.hkexnews.hk/listedco/listconews/sehk/2024/0424/2024042400463.pdf","stabilisation")</ns0:f>
        <ns0:v/>
      </ns0:c>
      <ns0:c r="CB247" s="94" t="n"/>
      <ns0:c r="CC247" s="74" t="inlineStr">
        <ns0:is>
          <ns0:t>greenshoe: outcome published; expiry date not in the notice; cornerstone list: no cornerstone tranche; stabilising manager: not named in the allotment notice or prospectus glossary; allocation: clawback line not in this notice; a 12-28% split is consistent with either a tier-1 clawback or a placing shortfall</ns0:t>
        </ns0:is>
      </ns0:c>
    </ns0:row>
    <ns0:row r="248" ht="22" customHeight="1">
      <ns0:c r="A248" s="73" t="inlineStr">
        <ns0:is>
          <ns0:t>2598</ns0:t>
        </ns0:is>
      </ns0:c>
      <ns0:c r="B248" s="74" t="inlineStr">
        <ns0:is>
          <ns0:t>LIANLIAN</ns0:t>
        </ns0:is>
      </ns0:c>
      <ns0:c r="C248" s="74" t="inlineStr">
        <ns0:is>
          <ns0:t>連連數字</ns0:t>
        </ns0:is>
      </ns0:c>
      <ns0:c r="D248" s="74" t="inlineStr">
        <ns0:is>
          <ns0:t>Technology</ns0:t>
        </ns0:is>
      </ns0:c>
      <ns0:c r="E248" s="74" t="inlineStr">
        <ns0:is>
          <ns0:t>Internet &amp; fintech</ns0:t>
        </ns0:is>
      </ns0:c>
      <ns0:c r="F248" s="74" t="inlineStr">
        <ns0:is>
          <ns0:t>e-Commerce &amp; Internet Services</ns0:t>
        </ns0:is>
      </ns0:c>
      <ns0:c r="G248" s="74" t="inlineStr">
        <ns0:is>
          <ns0:t>Standard</ns0:t>
        </ns0:is>
      </ns0:c>
      <ns0:c r="H248" s="75" t="n">
        <ns0:v>45379</ns0:v>
      </ns0:c>
      <ns0:c r="I248" s="76" t="n">
        <ns0:v>657.1</ns0:v>
      </ns0:c>
      <ns0:c r="J248" s="74" t="inlineStr">
        <ns0:is>
          <ns0:t>gross (price x shares)</ns0:t>
        </ns0:is>
      </ns0:c>
      <ns0:c r="K248" s="77" t="n">
        <ns0:v>10.21</ns0:v>
      </ns0:c>
      <ns0:c r="L248" s="77" t="n">
        <ns0:v>10.95</ns0:v>
      </ns0:c>
      <ns0:c r="M248" s="77" t="n">
        <ns0:v>10.22</ns0:v>
      </ns0:c>
      <ns0:c r="N248" s="74" t="inlineStr">
        <ns0:is>
          <ns0:t>N</ns0:t>
        </ns0:is>
      </ns0:c>
      <ns0:c r="O248" s="78" t="n">
        <ns0:v>93.3</ns0:v>
      </ns0:c>
      <ns0:c r="P248" s="78" t="n">
        <ns0:v>1.4</ns0:v>
      </ns0:c>
      <ns0:c r="Q248" s="79" t="n">
        <ns0:v>11028</ns0:v>
      </ns0:c>
      <ns0:c r="R248" s="74" t="inlineStr">
        <ns0:is>
          <ns0:t>derived:price x shares upon listing</ns0:t>
        </ns0:is>
      </ns0:c>
      <ns0:c r="S248" s="80" t="n">
        <ns0:v>16.94</ns0:v>
      </ns0:c>
      <ns0:c r="T248" s="81" t="n">
        <ns0:v>1.89</ns0:v>
      </ns0:c>
      <ns0:c r="U248" s="82" t="n">
        <ns0:v>55.52</ns0:v>
      </ns0:c>
      <ns0:c r="V248" s="83" t="n">
        <ns0:v>122</ns0:v>
      </ns0:c>
      <ns0:c r="W248" s="78" t="n">
        <ns0:v>30</ns0:v>
      </ns0:c>
      <ns0:c r="X248" s="74" t="inlineStr">
        <ns0:is>
          <ns0:t>YES</ns0:t>
        </ns0:is>
      </ns0:c>
      <ns0:c r="Y248" s="79" t="n">
        <ns0:v>292.28</ns0:v>
      </ns0:c>
      <ns0:c r="Z248" s="79" t="n">
        <ns0:v>28600640</ns0:v>
      </ns0:c>
      <ns0:c r="AA248" s="78" t="n">
        <ns0:v>2.65</ns0:v>
      </ns0:c>
      <ns0:c r="AB248" s="74" t="inlineStr">
        <ns0:is>
          <ns0:t>Hangzhou Urban Investment Industrial Development Investment Partnership (LP)</ns0:t>
        </ns0:is>
      </ns0:c>
      <ns0:c r="AC248" s="74" t="inlineStr">
        <ns0:is>
          <ns0:t>hangzhou-urban</ns0:t>
        </ns0:is>
      </ns0:c>
      <ns0:c r="AD248" s="78" t="n">
        <ns0:v>15</ns0:v>
      </ns0:c>
      <ns0:c r="AE248" s="74" t="inlineStr">
        <ns0:is>
          <ns0:t>lapsed</ns0:t>
        </ns0:is>
      </ns0:c>
      <ns0:c r="AF248" s="74" t="inlineStr">
        <ns0:is>
          <ns0:t>2024-04-24</ns0:t>
        </ns0:is>
      </ns0:c>
      <ns0:c r="AG248" s="74" t="inlineStr">
        <ns0:is>
          <ns0:t>China International Capital Corporation Hong Kong Securities Limited</ns0:t>
        </ns0:is>
      </ns0:c>
      <ns0:c r="AH248" s="74" t="inlineStr">
        <ns0:is>
          <ns0:t>China International</ns0:t>
        </ns0:is>
      </ns0:c>
      <ns0:c r="AI248" s="86" t="n">
        <ns0:v>-3.33</ns0:v>
      </ns0:c>
      <ns0:c r="AJ248" s="87" t="n">
        <ns0:v>-7.63</ns0:v>
      </ns0:c>
      <ns0:c r="AK248" s="87" t="n">
        <ns0:v>2.22</ns0:v>
      </ns0:c>
      <ns0:c r="AL248" s="87" t="n">
        <ns0:v>-4.11</ns0:v>
      </ns0:c>
      <ns0:c r="AM248" s="87" t="n">
        <ns0:v>-3.67</ns0:v>
      </ns0:c>
      <ns0:c r="AN248" s="89" t="n">
        <ns0:v>0.8</ns0:v>
      </ns0:c>
      <ns0:c r="AO248" s="78" t="n">
        <ns0:v>6.43</ns0:v>
      </ns0:c>
      <ns0:c r="AP248" s="87" t="n">
        <ns0:v>-4.79</ns0:v>
      </ns0:c>
      <ns0:c r="AQ248" s="87" t="n">
        <ns0:v>-5.48</ns0:v>
      </ns0:c>
      <ns0:c r="AR248" s="87" t="n">
        <ns0:v>-7.05</ns0:v>
      </ns0:c>
      <ns0:c r="AS248" s="87" t="n">
        <ns0:v>3.07</ns0:v>
      </ns0:c>
      <ns0:c r="AT248" s="87" t="n">
        <ns0:v>2.33</ns0:v>
      </ns0:c>
      <ns0:c r="AU248" s="87" t="n">
        <ns0:v>0.63</ns0:v>
      </ns0:c>
      <ns0:c r="AV248" s="87" t="n">
        <ns0:v>-7.49</ns0:v>
      </ns0:c>
      <ns0:c r="AW248" s="87" t="n">
        <ns0:v>-19.48</ns0:v>
      </ns0:c>
      <ns0:c r="AX248" s="87" t="n">
        <ns0:v>-14.86</ns0:v>
      </ns0:c>
      <ns0:c r="AY248" s="87" t="n">
        <ns0:v>-9.19</ns0:v>
      </ns0:c>
      <ns0:c r="AZ248" s="87" t="n">
        <ns0:v>14</ns0:v>
      </ns0:c>
      <ns0:c r="BA248" s="87" t="n">
        <ns0:v>11.52</ns0:v>
      </ns0:c>
      <ns0:c r="BB248" s="74" t="inlineStr">
        <ns0:is>
          <ns0:t>HSTECH (Hang Seng TECH ETF)</ns0:t>
        </ns0:is>
      </ns0:c>
      <ns0:c r="BC248" s="87" t="n">
        <ns0:v>-67.37</ns0:v>
      </ns0:c>
      <ns0:c r="BD248" s="75" t="n">
        <ns0:v>46297</ns0:v>
      </ns0:c>
      <ns0:c r="BE248" s="76" t="n">
        <ns0:v>817</ns0:v>
      </ns0:c>
      <ns0:c r="BF248" s="79" t="n">
        <ns0:v>-1008.6</ns0:v>
      </ns0:c>
      <ns0:c r="BG248" s="74" t="inlineStr">
        <ns0:is>
          <ns0:t>N</ns0:t>
        </ns0:is>
      </ns0:c>
      <ns0:c r="BH248" s="74" t="inlineStr">
        <ns0:is>
          <ns0:t>n/m</ns0:t>
        </ns0:is>
      </ns0:c>
      <ns0:c r="BI248" s="88" t="n"/>
      <ns0:c r="BJ248" s="89" t="n">
        <ns0:v>2.2</ns0:v>
      </ns0:c>
      <ns0:c r="BK248" s="89" t="n">
        <ns0:v>13.5</ns0:v>
      </ns0:c>
      <ns0:c r="BL248" s="90">
        <ns0:f>IFERROR(IF('BBG Verify'!S248="","Awaiting Bloomberg",'BBG Verify'!S248),"Awaiting Bloomberg")</ns0:f>
        <ns0:v/>
      </ns0:c>
      <ns0:c r="BM248" s="91" t="inlineStr">
        <ns0:is>
          <ns0:t>N</ns0:t>
        </ns0:is>
      </ns0:c>
      <ns0:c r="BN248" s="92">
        <ns0:f>IFERROR(IF('BBG Verify'!K248="","Awaiting Bloomberg",'BBG Verify'!K248),"Awaiting Bloomberg")</ns0:f>
        <ns0:v/>
      </ns0:c>
      <ns0:c r="BO248" s="74" t="inlineStr">
        <ns0:is>
          <ns0:t>N/A</ns0:t>
        </ns0:is>
      </ns0:c>
      <ns0:c r="BP248" s="74" t="inlineStr">
        <ns0:is>
          <ns0:t>N/A</ns0:t>
        </ns0:is>
      </ns0:c>
      <ns0:c r="BQ248" s="74" t="inlineStr">
        <ns0:is>
          <ns0:t>N/A</ns0:t>
        </ns0:is>
      </ns0:c>
      <ns0:c r="BR248" s="74" t="inlineStr">
        <ns0:is>
          <ns0:t>N/A</ns0:t>
        </ns0:is>
      </ns0:c>
      <ns0:c r="BS248" s="74" t="inlineStr">
        <ns0:is>
          <ns0:t>N/A</ns0:t>
        </ns0:is>
      </ns0:c>
      <ns0:c r="BT248" s="74" t="inlineStr">
        <ns0:is>
          <ns0:t>N/A</ns0:t>
        </ns0:is>
      </ns0:c>
      <ns0:c r="BU248" s="91" t="inlineStr">
        <ns0:is>
          <ns0:t>China International Capital Corporation Hong Kong Securities Limited; J.P. Morgan Securities (Far East) Limited</ns0:t>
        </ns0:is>
      </ns0:c>
      <ns0:c r="BV248" s="74" t="inlineStr">
        <ns0:is>
          <ns0:t>China International Capital Corporation Hong Kong Securities Limited; J.P. Morgan Securities (Far East) Limited</ns0:t>
        </ns0:is>
      </ns0:c>
      <ns0:c r="BW248" s="74" t="inlineStr">
        <ns0:is>
          <ns0: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ns0:t>
        </ns0:is>
      </ns0:c>
      <ns0:c r="BX248" s="74" t="inlineStr">
        <ns0:is>
          <ns0: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ns0:t>
        </ns0:is>
      </ns0:c>
      <ns0:c r="BY248" s="93">
        <ns0:f>HYPERLINK("https://www1.hkexnews.hk/listedco/listconews/sehk/2024/0320/2024032000031.pdf","prospectus")</ns0:f>
        <ns0:v/>
      </ns0:c>
      <ns0:c r="BZ248" s="93">
        <ns0:f>HYPERLINK("https://www1.hkexnews.hk/listedco/listconews/sehk/2024/0327/2024032703063.pdf","allotment")</ns0:f>
        <ns0:v/>
      </ns0:c>
      <ns0:c r="CA248" s="93">
        <ns0:f>HYPERLINK("https://www1.hkexnews.hk/listedco/listconews/sehk/2024/0424/2024042402304.pdf","stabilisation")</ns0:f>
        <ns0:v/>
      </ns0:c>
      <ns0:c r="CB248" s="94" t="n"/>
      <ns0:c r="CC248" s="74" t="inlineStr">
        <ns0:is>
          <ns0:t>P/E: loss-making at IPO, use P/S</ns0:t>
        </ns0:is>
      </ns0:c>
    </ns0:row>
    <ns0:row r="249" ht="22" customHeight="1">
      <ns0:c r="A249" s="73" t="inlineStr">
        <ns0:is>
          <ns0:t>2515</ns0:t>
        </ns0:is>
      </ns0:c>
      <ns0:c r="B249" s="74" t="inlineStr">
        <ns0:is>
          <ns0:t>TJCD</ns0:t>
        </ns0:is>
      </ns0:c>
      <ns0:c r="C249" s="74" t="inlineStr">
        <ns0:is>
          <ns0:t>天津建發</ns0:t>
        </ns0:is>
      </ns0:c>
      <ns0:c r="D249" s="74" t="inlineStr">
        <ns0:is>
          <ns0:t>Industrials</ns0:t>
        </ns0:is>
      </ns0:c>
      <ns0:c r="E249" s="74" t="inlineStr">
        <ns0:is>
          <ns0:t>Construction / engineering</ns0:t>
        </ns0:is>
      </ns0:c>
      <ns0:c r="F249" s="74" t="inlineStr">
        <ns0:is>
          <ns0:t>Construction &amp; Engineering</ns0:t>
        </ns0:is>
      </ns0:c>
      <ns0:c r="G249" s="74" t="inlineStr">
        <ns0:is>
          <ns0:t>Standard</ns0:t>
        </ns0:is>
      </ns0:c>
      <ns0:c r="H249" s="75" t="n">
        <ns0:v>45405</ns0:v>
      </ns0:c>
      <ns0:c r="I249" s="76" t="n">
        <ns0:v>134.88</ns0:v>
      </ns0:c>
      <ns0:c r="J249" s="74" t="inlineStr">
        <ns0:is>
          <ns0:t>gross (stated)</ns0:t>
        </ns0:is>
      </ns0:c>
      <ns0:c r="K249" s="77" t="n">
        <ns0:v>2.5</ns0:v>
      </ns0:c>
      <ns0:c r="L249" s="77" t="n">
        <ns0:v>2.9</ns0:v>
      </ns0:c>
      <ns0:c r="M249" s="77" t="n">
        <ns0:v>2.5</ns0:v>
      </ns0:c>
      <ns0:c r="N249" s="74" t="inlineStr">
        <ns0:is>
          <ns0:t>N</ns0:t>
        </ns0:is>
      </ns0:c>
      <ns0:c r="O249" s="78" t="n">
        <ns0:v>86.2</ns0:v>
      </ns0:c>
      <ns0:c r="P249" s="78" t="n">
        <ns0:v>0</ns0:v>
      </ns0:c>
      <ns0:c r="Q249" s="79" t="n">
        <ns0:v>539.5</ns0:v>
      </ns0:c>
      <ns0:c r="R249" s="74" t="inlineStr">
        <ns0:is>
          <ns0:t>derived:price x shares upon listing</ns0:t>
        </ns0:is>
      </ns0:c>
      <ns0:c r="S249" s="80" t="n">
        <ns0:v>433.06</ns0:v>
      </ns0:c>
      <ns0:c r="T249" s="81" t="n">
        <ns0:v>1.02</ns0:v>
      </ns0:c>
      <ns0:c r="U249" s="82" t="n">
        <ns0:v>0</ns0:v>
      </ns0:c>
      <ns0:c r="V249" s="83" t="n">
        <ns0:v>215</ns0:v>
      </ns0:c>
      <ns0:c r="W249" s="78" t="n">
        <ns0:v>50</ns0:v>
      </ns0:c>
      <ns0:c r="X249" s="74" t="inlineStr">
        <ns0:is>
          <ns0:t>YES</ns0:t>
        </ns0:is>
      </ns0:c>
      <ns0:c r="Y249" s="79" t="n">
        <ns0:v>134.88</ns0:v>
      </ns0:c>
      <ns0:c r="Z249" s="79" t="n">
        <ns0:v>53950000</ns0:v>
      </ns0:c>
      <ns0:c r="AA249" s="78" t="n">
        <ns0:v>25</ns0:v>
      </ns0:c>
      <ns0:c r="AB249" s="74" t="inlineStr">
        <ns0:is>
          <ns0:t>none — no cornerstone tranche</ns0:t>
        </ns0:is>
      </ns0:c>
      <ns0:c r="AC249" s="74" t="inlineStr">
        <ns0:is>
          <ns0:t>none</ns0:t>
        </ns0:is>
      </ns0:c>
      <ns0:c r="AD249" s="78" t="n">
        <ns0:v>20</ns0:v>
      </ns0:c>
      <ns0:c r="AE249" s="74" t="inlineStr">
        <ns0:is>
          <ns0:t>lapsed (no over-allocation)</ns0:t>
        </ns0:is>
      </ns0:c>
      <ns0:c r="AF249" s="85" t="n"/>
      <ns0:c r="AG249" s="85" t="n"/>
      <ns0:c r="AH249" s="85" t="n"/>
      <ns0:c r="AI249" s="86" t="n">
        <ns0:v>-25.6</ns0:v>
      </ns0:c>
      <ns0:c r="AJ249" s="87" t="n">
        <ns0:v>-39.2</ns0:v>
      </ns0:c>
      <ns0:c r="AK249" s="87" t="n">
        <ns0:v>2.28</ns0:v>
      </ns0:c>
      <ns0:c r="AL249" s="87" t="n">
        <ns0:v>-24.8</ns0:v>
      </ns0:c>
      <ns0:c r="AM249" s="87" t="n">
        <ns0:v>-19.15</ns0:v>
      </ns0:c>
      <ns0:c r="AN249" s="89" t="n">
        <ns0:v>2.1</ns0:v>
      </ns0:c>
      <ns0:c r="AO249" s="78" t="n">
        <ns0:v>35.11</ns0:v>
      </ns0:c>
      <ns0:c r="AP249" s="87" t="n">
        <ns0:v>-39.2</ns0:v>
      </ns0:c>
      <ns0:c r="AQ249" s="87" t="n">
        <ns0:v>-50</ns0:v>
      </ns0:c>
      <ns0:c r="AR249" s="87" t="n">
        <ns0:v>-52.4</ns0:v>
      </ns0:c>
      <ns0:c r="AS249" s="87" t="n">
        <ns0:v>0</ns0:v>
      </ns0:c>
      <ns0:c r="AT249" s="87" t="n">
        <ns0:v>-17.76</ns0:v>
      </ns0:c>
      <ns0:c r="AU249" s="87" t="n">
        <ns0:v>-21.71</ns0:v>
      </ns0:c>
      <ns0:c r="AV249" s="87" t="n">
        <ns0:v>-46.29</ns0:v>
      </ns0:c>
      <ns0:c r="AW249" s="87" t="n">
        <ns0:v>-60.33</ns0:v>
      </ns0:c>
      <ns0:c r="AX249" s="87" t="n">
        <ns0:v>-54.33</ns0:v>
      </ns0:c>
      <ns0:c r="AY249" s="87" t="n">
        <ns0:v>-25.63</ns0:v>
      </ns0:c>
      <ns0:c r="AZ249" s="87" t="n">
        <ns0:v>10.33</ns0:v>
      </ns0:c>
      <ns0:c r="BA249" s="87" t="n">
        <ns0:v>7.87</ns0:v>
      </ns0:c>
      <ns0:c r="BB249" s="74" t="inlineStr">
        <ns0:is>
          <ns0:t>Hang Seng Commerce &amp; Industry sub-index</ns0:t>
        </ns0:is>
      </ns0:c>
      <ns0:c r="BC249" s="87" t="n">
        <ns0:v>80</ns0:v>
      </ns0:c>
      <ns0:c r="BD249" s="75" t="n">
        <ns0:v>46297</ns0:v>
      </ns0:c>
      <ns0:c r="BE249" s="76" t="n">
        <ns0:v>351.4</ns0:v>
      </ns0:c>
      <ns0:c r="BF249" s="79" t="n">
        <ns0:v>45.6</ns0:v>
      </ns0:c>
      <ns0:c r="BG249" s="74" t="inlineStr">
        <ns0:is>
          <ns0:t>Y</ns0:t>
        </ns0:is>
      </ns0:c>
      <ns0:c r="BH249" s="89" t="n">
        <ns0:v>11.8</ns0:v>
      </ns0:c>
      <ns0:c r="BI249" s="88" t="n"/>
      <ns0:c r="BJ249" s="88" t="n"/>
      <ns0:c r="BK249" s="89" t="n">
        <ns0:v>1.5</ns0:v>
      </ns0:c>
      <ns0:c r="BL249" s="90">
        <ns0:f>IFERROR(IF('BBG Verify'!S249="","Awaiting Bloomberg",'BBG Verify'!S249),"Awaiting Bloomberg")</ns0:f>
        <ns0:v/>
      </ns0:c>
      <ns0:c r="BM249" s="91" t="inlineStr">
        <ns0:is>
          <ns0:t>N</ns0:t>
        </ns0:is>
      </ns0:c>
      <ns0:c r="BN249" s="92">
        <ns0:f>IFERROR(IF('BBG Verify'!K249="","Awaiting Bloomberg",'BBG Verify'!K249),"Awaiting Bloomberg")</ns0:f>
        <ns0:v/>
      </ns0:c>
      <ns0:c r="BO249" s="74" t="inlineStr">
        <ns0:is>
          <ns0:t>N/A</ns0:t>
        </ns0:is>
      </ns0:c>
      <ns0:c r="BP249" s="74" t="inlineStr">
        <ns0:is>
          <ns0:t>N/A</ns0:t>
        </ns0:is>
      </ns0:c>
      <ns0:c r="BQ249" s="74" t="inlineStr">
        <ns0:is>
          <ns0:t>N/A</ns0:t>
        </ns0:is>
      </ns0:c>
      <ns0:c r="BR249" s="74" t="inlineStr">
        <ns0:is>
          <ns0:t>N/A</ns0:t>
        </ns0:is>
      </ns0:c>
      <ns0:c r="BS249" s="74" t="inlineStr">
        <ns0:is>
          <ns0:t>N/A</ns0:t>
        </ns0:is>
      </ns0:c>
      <ns0:c r="BT249" s="74" t="inlineStr">
        <ns0:is>
          <ns0:t>N/A</ns0:t>
        </ns0:is>
      </ns0:c>
      <ns0:c r="BU249" s="91" t="inlineStr">
        <ns0:is>
          <ns0:t>China Everbright Capital Limited</ns0:t>
        </ns0:is>
      </ns0:c>
      <ns0:c r="BV249" s="74" t="inlineStr">
        <ns0:is>
          <ns0:t>China Everbright Capital Limited</ns0:t>
        </ns0:is>
      </ns0:c>
      <ns0:c r="BW249" s="74" t="inlineStr">
        <ns0:is>
          <ns0: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ns0:t>
        </ns0:is>
      </ns0:c>
      <ns0:c r="BX249" s="74" t="inlineStr">
        <ns0:is>
          <ns0: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ns0:t>
        </ns0:is>
      </ns0:c>
      <ns0:c r="BY249" s="93">
        <ns0:f>HYPERLINK("https://www1.hkexnews.hk/listedco/listconews/sehk/2024/0415/2024041500009.pdf","prospectus")</ns0:f>
        <ns0:v/>
      </ns0:c>
      <ns0:c r="BZ249" s="93">
        <ns0:f>HYPERLINK("https://www1.hkexnews.hk/listedco/listconews/sehk/2024/0422/2024042201767.pdf","allotment")</ns0:f>
        <ns0:v/>
      </ns0:c>
      <ns0:c r="CA249" s="93">
        <ns0:f>HYPERLINK("https://www1.hkexnews.hk/listedco/listconews/sehk/2024/0520/2024052000007.pdf","stabilisation")</ns0:f>
        <ns0:v/>
      </ns0:c>
      <ns0:c r="CB249" s="94" t="n"/>
      <ns0:c r="CC249" s="74" t="inlineStr">
        <ns0:is>
          <ns0:t>greenshoe: outcome published; expiry date not in the notice; cornerstone list: no cornerstone tranche; stabilising manager: not named in the allotment notice or prospectus glossary</ns0:t>
        </ns0:is>
      </ns0:c>
    </ns0:row>
    <ns0:row r="250" ht="22" customHeight="1">
      <ns0:c r="A250" s="73" t="inlineStr">
        <ns0:is>
          <ns0:t>2555</ns0:t>
        </ns0:is>
      </ns0:c>
      <ns0:c r="B250" s="74" t="inlineStr">
        <ns0:is>
          <ns0:t>CHABAIDAO</ns0:t>
        </ns0:is>
      </ns0:c>
      <ns0:c r="C250" s="74" t="inlineStr">
        <ns0:is>
          <ns0:t>茶百道</ns0:t>
        </ns0:is>
      </ns0:c>
      <ns0:c r="D250" s="74" t="inlineStr">
        <ns0:is>
          <ns0:t>Consumer</ns0:t>
        </ns0:is>
      </ns0:c>
      <ns0:c r="E250" s="74" t="inlineStr">
        <ns0:is>
          <ns0:t>F&amp;B chains / restaurants</ns0:t>
        </ns0:is>
      </ns0:c>
      <ns0:c r="F250" s="74" t="inlineStr">
        <ns0:is>
          <ns0:t>Beverages (Non-alcoholic)</ns0:t>
        </ns0:is>
      </ns0:c>
      <ns0:c r="G250" s="74" t="inlineStr">
        <ns0:is>
          <ns0:t>Standard</ns0:t>
        </ns0:is>
      </ns0:c>
      <ns0:c r="H250" s="75" t="n">
        <ns0:v>45405</ns0:v>
      </ns0:c>
      <ns0:c r="I250" s="76" t="n">
        <ns0:v>2585.86</ns0:v>
      </ns0:c>
      <ns0:c r="J250" s="74" t="inlineStr">
        <ns0:is>
          <ns0:t>gross (stated)</ns0:t>
        </ns0:is>
      </ns0:c>
      <ns0:c r="K250" s="95" t="n"/>
      <ns0:c r="L250" s="77" t="n">
        <ns0:v>17.5</ns0:v>
      </ns0:c>
      <ns0:c r="M250" s="77" t="n">
        <ns0:v>17.5</ns0:v>
      </ns0:c>
      <ns0:c r="N250" s="74" t="inlineStr">
        <ns0:is>
          <ns0:t>Y</ns0:t>
        </ns0:is>
      </ns0:c>
      <ns0:c r="O250" s="78" t="n">
        <ns0:v>100</ns0:v>
      </ns0:c>
      <ns0:c r="P250" s="84" t="n"/>
      <ns0:c r="Q250" s="79" t="n">
        <ns0:v>25860</ns0:v>
      </ns0:c>
      <ns0:c r="R250" s="74" t="inlineStr">
        <ns0:is>
          <ns0:t>prospectus:stated market capitalisation</ns0:t>
        </ns0:is>
      </ns0:c>
      <ns0:c r="S250" s="80" t="n">
        <ns0:v>0.5</ns0:v>
      </ns0:c>
      <ns0:c r="T250" s="81" t="n">
        <ns0:v>1.11</ns0:v>
      </ns0:c>
      <ns0:c r="U250" s="82" t="n">
        <ns0:v>0</ns0:v>
      </ns0:c>
      <ns0:c r="V250" s="83" t="n">
        <ns0:v>122</ns0:v>
      </ns0:c>
      <ns0:c r="W250" s="78" t="n">
        <ns0:v>4.96</ns0:v>
      </ns0:c>
      <ns0:c r="X250" s="74" t="inlineStr">
        <ns0:is>
          <ns0:t>NO</ns0:t>
        </ns0:is>
      </ns0:c>
      <ns0:c r="Y250" s="79" t="n">
        <ns0:v>2585.86</ns0:v>
      </ns0:c>
      <ns0:c r="Z250" s="79" t="n">
        <ns0:v>147763400</ns0:v>
      </ns0:c>
      <ns0:c r="AA250" s="78" t="n">
        <ns0:v>10</ns0:v>
      </ns0:c>
      <ns0:c r="AB250" s="74" t="inlineStr">
        <ns0:is>
          <ns0:t>none — no cornerstone tranche</ns0:t>
        </ns0:is>
      </ns0:c>
      <ns0:c r="AC250" s="74" t="inlineStr">
        <ns0:is>
          <ns0:t>none</ns0:t>
        </ns0:is>
      </ns0:c>
      <ns0:c r="AD250" s="78" t="n">
        <ns0:v>2.1</ns0:v>
      </ns0:c>
      <ns0:c r="AE250" s="74" t="inlineStr">
        <ns0:is>
          <ns0:t>lapsed</ns0:t>
        </ns0:is>
      </ns0:c>
      <ns0:c r="AF250" s="74" t="inlineStr">
        <ns0:is>
          <ns0:t>2024-05-18</ns0:t>
        </ns0:is>
      </ns0:c>
      <ns0:c r="AG250" s="74" t="inlineStr">
        <ns0:is>
          <ns0:t>China International Capital Corporation Hong Kong Securities Limited</ns0:t>
        </ns0:is>
      </ns0:c>
      <ns0:c r="AH250" s="74" t="inlineStr">
        <ns0:is>
          <ns0:t>China International</ns0:t>
        </ns0:is>
      </ns0:c>
      <ns0:c r="AI250" s="86" t="n">
        <ns0:v>-12.8</ns0:v>
      </ns0:c>
      <ns0:c r="AJ250" s="87" t="n">
        <ns0:v>-26.86</ns0:v>
      </ns0:c>
      <ns0:c r="AK250" s="87" t="n">
        <ns0:v>2.28</ns0:v>
      </ns0:c>
      <ns0:c r="AL250" s="87" t="n">
        <ns0:v>-10.06</ns0:v>
      </ns0:c>
      <ns0:c r="AM250" s="87" t="n">
        <ns0:v>-18.68</ns0:v>
      </ns0:c>
      <ns0:c r="AN250" s="89" t="n">
        <ns0:v>2.23</ns0:v>
      </ns0:c>
      <ns0:c r="AO250" s="78" t="n">
        <ns0:v>31.39</ns0:v>
      </ns0:c>
      <ns0:c r="AP250" s="87" t="n">
        <ns0:v>-34.63</ns0:v>
      </ns0:c>
      <ns0:c r="AQ250" s="87" t="n">
        <ns0:v>-37.83</ns0:v>
      </ns0:c>
      <ns0:c r="AR250" s="87" t="n">
        <ns0:v>-48.06</ns0:v>
      </ns0:c>
      <ns0:c r="AS250" s="87" t="n">
        <ns0:v>-10.62</ns0:v>
      </ns0:c>
      <ns0:c r="AT250" s="87" t="n">
        <ns0:v>-15</ns0:v>
      </ns0:c>
      <ns0:c r="AU250" s="87" t="n">
        <ns0:v>-28.99</ns0:v>
      </ns0:c>
      <ns0:c r="AV250" s="87" t="n">
        <ns0:v>-41.72</ns0:v>
      </ns0:c>
      <ns0:c r="AW250" s="87" t="n">
        <ns0:v>-48.16</ns0:v>
      </ns0:c>
      <ns0:c r="AX250" s="87" t="n">
        <ns0:v>-49.99</ns0:v>
      </ns0:c>
      <ns0:c r="AY250" s="87" t="n">
        <ns0:v>-22.87</ns0:v>
      </ns0:c>
      <ns0:c r="AZ250" s="87" t="n">
        <ns0:v>10.33</ns0:v>
      </ns0:c>
      <ns0:c r="BA250" s="87" t="n">
        <ns0:v>7.87</ns0:v>
      </ns0:c>
      <ns0:c r="BB250" s="74" t="inlineStr">
        <ns0:is>
          <ns0:t>Hang Seng Commerce &amp; Industry sub-index</ns0:t>
        </ns0:is>
      </ns0:c>
      <ns0:c r="BC250" s="87" t="n">
        <ns0:v>-76.56999999999999</ns0:v>
      </ns0:c>
      <ns0:c r="BD250" s="75" t="n">
        <ns0:v>46297</ns0:v>
      </ns0:c>
      <ns0:c r="BE250" s="76" t="n">
        <ns0:v>6274.7</ns0:v>
      </ns0:c>
      <ns0:c r="BF250" s="79" t="n">
        <ns0:v>1265.9</ns0:v>
      </ns0:c>
      <ns0:c r="BG250" s="74" t="inlineStr">
        <ns0:is>
          <ns0:t>Y</ns0:t>
        </ns0:is>
      </ns0:c>
      <ns0:c r="BH250" s="89" t="n">
        <ns0:v>20.4</ns0:v>
      </ns0:c>
      <ns0:c r="BI250" s="88" t="n"/>
      <ns0:c r="BJ250" s="89" t="n">
        <ns0:v>7.5</ns0:v>
      </ns0:c>
      <ns0:c r="BK250" s="89" t="n">
        <ns0:v>4.1</ns0:v>
      </ns0:c>
      <ns0:c r="BL250" s="90">
        <ns0:f>IFERROR(IF('BBG Verify'!S250="","Awaiting Bloomberg",'BBG Verify'!S250),"Awaiting Bloomberg")</ns0:f>
        <ns0:v/>
      </ns0:c>
      <ns0:c r="BM250" s="91" t="inlineStr">
        <ns0:is>
          <ns0:t>N</ns0:t>
        </ns0:is>
      </ns0:c>
      <ns0:c r="BN250" s="92">
        <ns0:f>IFERROR(IF('BBG Verify'!K250="","Awaiting Bloomberg",'BBG Verify'!K250),"Awaiting Bloomberg")</ns0:f>
        <ns0:v/>
      </ns0:c>
      <ns0:c r="BO250" s="74" t="inlineStr">
        <ns0:is>
          <ns0:t>N/A</ns0:t>
        </ns0:is>
      </ns0:c>
      <ns0:c r="BP250" s="74" t="inlineStr">
        <ns0:is>
          <ns0:t>N/A</ns0:t>
        </ns0:is>
      </ns0:c>
      <ns0:c r="BQ250" s="74" t="inlineStr">
        <ns0:is>
          <ns0:t>N/A</ns0:t>
        </ns0:is>
      </ns0:c>
      <ns0:c r="BR250" s="74" t="inlineStr">
        <ns0:is>
          <ns0:t>N/A</ns0:t>
        </ns0:is>
      </ns0:c>
      <ns0:c r="BS250" s="74" t="inlineStr">
        <ns0:is>
          <ns0:t>N/A</ns0:t>
        </ns0:is>
      </ns0:c>
      <ns0:c r="BT250" s="74" t="inlineStr">
        <ns0:is>
          <ns0:t>N/A</ns0:t>
        </ns0:is>
      </ns0:c>
      <ns0:c r="BU250" s="91" t="inlineStr">
        <ns0:is>
          <ns0:t>China International Capital Corporation Hong Kong Securities Limited</ns0:t>
        </ns0:is>
      </ns0:c>
      <ns0:c r="BV250" s="74" t="inlineStr">
        <ns0:is>
          <ns0:t>China International Capital Corporation Hong Kong Securities Limited</ns0:t>
        </ns0:is>
      </ns0:c>
      <ns0:c r="BW250" s="74" t="inlineStr">
        <ns0:is>
          <ns0: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ns0:t>
        </ns0:is>
      </ns0:c>
      <ns0:c r="BX250" s="74" t="inlineStr">
        <ns0:is>
          <ns0: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ns0:t>
        </ns0:is>
      </ns0:c>
      <ns0:c r="BY250" s="93">
        <ns0:f>HYPERLINK("https://www1.hkexnews.hk/listedco/listconews/sehk/2024/0415/2024041500022.pdf","prospectus")</ns0:f>
        <ns0:v/>
      </ns0:c>
      <ns0:c r="BZ250" s="93">
        <ns0:f>HYPERLINK("https://www1.hkexnews.hk/listedco/listconews/sehk/2024/0422/2024042202135.pdf","allotment")</ns0:f>
        <ns0:v/>
      </ns0:c>
      <ns0:c r="CA250" s="93">
        <ns0:f>HYPERLINK("https://www1.hkexnews.hk/listedco/listconews/sehk/2024/0520/2024052000035.pdf","stabilisation")</ns0:f>
        <ns0:v/>
      </ns0:c>
      <ns0:c r="CB250" s="94" t="n"/>
      <ns0:c r="CC250" s="74" t="inlineStr">
        <ns0:is>
          <ns0:t>range low: maximum offer price only, no floor published; sponsor: English name not in the filing; AAStocks 保薦人 shown; cornerstone list: no cornerstone tranche</ns0:t>
        </ns0:is>
      </ns0:c>
    </ns0:row>
    <ns0:row r="251" ht="22" customHeight="1">
      <ns0:c r="A251" s="73" t="inlineStr">
        <ns0:is>
          <ns0:t>2438</ns0:t>
        </ns0:is>
      </ns0:c>
      <ns0:c r="B251" s="74" t="inlineStr">
        <ns0:is>
          <ns0:t>MOBVOI</ns0:t>
        </ns0:is>
      </ns0:c>
      <ns0:c r="C251" s="74" t="inlineStr">
        <ns0:is>
          <ns0:t>出門問問</ns0:t>
        </ns0:is>
      </ns0:c>
      <ns0:c r="D251" s="74" t="inlineStr">
        <ns0:is>
          <ns0:t>Technology</ns0:t>
        </ns0:is>
      </ns0:c>
      <ns0:c r="E251" s="74" t="inlineStr">
        <ns0:is>
          <ns0:t>Software &amp; AI</ns0:t>
        </ns0:is>
      </ns0:c>
      <ns0:c r="F251" s="74" t="inlineStr">
        <ns0:is>
          <ns0:t>Application Software</ns0:t>
        </ns0:is>
      </ns0:c>
      <ns0:c r="G251" s="74" t="inlineStr">
        <ns0:is>
          <ns0:t>Standard</ns0:t>
        </ns0:is>
      </ns0:c>
      <ns0:c r="H251" s="75" t="n">
        <ns0:v>45406</ns0:v>
      </ns0:c>
      <ns0:c r="I251" s="76" t="n">
        <ns0:v>321.4</ns0:v>
      </ns0:c>
      <ns0:c r="J251" s="74" t="inlineStr">
        <ns0:is>
          <ns0:t>gross (price x shares)</ns0:t>
        </ns0:is>
      </ns0:c>
      <ns0:c r="K251" s="77" t="n">
        <ns0:v>3.7</ns0:v>
      </ns0:c>
      <ns0:c r="L251" s="77" t="n">
        <ns0:v>4.1</ns0:v>
      </ns0:c>
      <ns0:c r="M251" s="77" t="n">
        <ns0:v>3.8</ns0:v>
      </ns0:c>
      <ns0:c r="N251" s="74" t="inlineStr">
        <ns0:is>
          <ns0:t>N</ns0:t>
        </ns0:is>
      </ns0:c>
      <ns0:c r="O251" s="78" t="n">
        <ns0:v>92.7</ns0:v>
      </ns0:c>
      <ns0:c r="P251" s="78" t="n">
        <ns0:v>25</ns0:v>
      </ns0:c>
      <ns0:c r="Q251" s="79" t="n">
        <ns0:v>6113.9</ns0:v>
      </ns0:c>
      <ns0:c r="R251" s="74" t="inlineStr">
        <ns0:is>
          <ns0:t>aastocks:上市市值 at the struck price</ns0:t>
        </ns0:is>
      </ns0:c>
      <ns0:c r="S251" s="80" t="n">
        <ns0:v>117.39</ns0:v>
      </ns0:c>
      <ns0:c r="T251" s="81" t="n">
        <ns0:v>1.58</ns0:v>
      </ns0:c>
      <ns0:c r="U251" s="82" t="n">
        <ns0:v>29.47</ns0:v>
      </ns0:c>
      <ns0:c r="V251" s="83" t="n">
        <ns0:v>163</ns0:v>
      </ns0:c>
      <ns0:c r="W251" s="78" t="n">
        <ns0:v>50</ns0:v>
      </ns0:c>
      <ns0:c r="X251" s="74" t="inlineStr">
        <ns0:is>
          <ns0:t>YES</ns0:t>
        </ns0:is>
      </ns0:c>
      <ns0:c r="Y251" s="79" t="n">
        <ns0:v>226.68</ns0:v>
      </ns0:c>
      <ns0:c r="Z251" s="79" t="n">
        <ns0:v>59645810</ns0:v>
      </ns0:c>
      <ns0:c r="AA251" s="78" t="n">
        <ns0:v>3.71</ns0:v>
      </ns0:c>
      <ns0:c r="AB251" s="74" t="inlineStr">
        <ns0:is>
          <ns0:t>NANJING JINGKAI JUZHI INVESTMENT L.P; ZGC International Limited</ns0:t>
        </ns0:is>
      </ns0:c>
      <ns0:c r="AC251" s="74" t="inlineStr">
        <ns0:is>
          <ns0:t>nanjing;zgc</ns0:t>
        </ns0:is>
      </ns0:c>
      <ns0:c r="AD251" s="78" t="n">
        <ns0:v>15</ns0:v>
      </ns0:c>
      <ns0:c r="AE251" s="74" t="inlineStr">
        <ns0:is>
          <ns0:t>partial</ns0:t>
        </ns0:is>
      </ns0:c>
      <ns0:c r="AF251" s="74" t="inlineStr">
        <ns0:is>
          <ns0:t>2024-05-19</ns0:t>
        </ns0:is>
      </ns0:c>
      <ns0:c r="AG251" s="74" t="inlineStr">
        <ns0:is>
          <ns0:t>China International Capital Corporation Hong Kong Securities Limited</ns0:t>
        </ns0:is>
      </ns0:c>
      <ns0:c r="AH251" s="74" t="inlineStr">
        <ns0:is>
          <ns0:t>China International</ns0:t>
        </ns0:is>
      </ns0:c>
      <ns0:c r="AI251" s="86" t="n">
        <ns0:v>-18.16</ns0:v>
      </ns0:c>
      <ns0:c r="AJ251" s="87" t="n">
        <ns0:v>-3.16</ns0:v>
      </ns0:c>
      <ns0:c r="AK251" s="87" t="n">
        <ns0:v>3.61</ns0:v>
      </ns0:c>
      <ns0:c r="AL251" s="87" t="n">
        <ns0:v>-21.58</ns0:v>
      </ns0:c>
      <ns0:c r="AM251" s="87" t="n">
        <ns0:v>23.49</ns0:v>
      </ns0:c>
      <ns0:c r="AN251" s="89" t="n">
        <ns0:v>1.46</ns0:v>
      </ns0:c>
      <ns0:c r="AO251" s="78" t="n">
        <ns0:v>26.17</ns0:v>
      </ns0:c>
      <ns0:c r="AP251" s="87" t="n">
        <ns0:v>1.32</ns0:v>
      </ns0:c>
      <ns0:c r="AQ251" s="87" t="n">
        <ns0:v>-5.26</ns0:v>
      </ns0:c>
      <ns0:c r="AR251" s="87" t="n">
        <ns0:v>-69.73999999999999</ns0:v>
      </ns0:c>
      <ns0:c r="AS251" s="87" t="n">
        <ns0:v>4.63</ns0:v>
      </ns0:c>
      <ns0:c r="AT251" s="87" t="n">
        <ns0:v>-2.17</ns0:v>
      </ns0:c>
      <ns0:c r="AU251" s="87" t="n">
        <ns0:v>-68.75</ns0:v>
      </ns0:c>
      <ns0:c r="AV251" s="87" t="n">
        <ns0:v>-10.99</ns0:v>
      </ns0:c>
      <ns0:c r="AW251" s="87" t="n">
        <ns0:v>-17.57</ns0:v>
      </ns0:c>
      <ns0:c r="AX251" s="87" t="n">
        <ns0:v>-69.92</ns0:v>
      </ns0:c>
      <ns0:c r="AY251" s="87" t="n">
        <ns0:v>-10.57</ns0:v>
      </ns0:c>
      <ns0:c r="AZ251" s="87" t="n">
        <ns0:v>12.31</ns0:v>
      </ns0:c>
      <ns0:c r="BA251" s="87" t="n">
        <ns0:v>8.4</ns0:v>
      </ns0:c>
      <ns0:c r="BB251" s="74" t="inlineStr">
        <ns0:is>
          <ns0:t>HSTECH (Hang Seng TECH ETF)</ns0:t>
        </ns0:is>
      </ns0:c>
      <ns0:c r="BC251" s="87" t="n">
        <ns0:v>-92.23999999999999</ns0:v>
      </ns0:c>
      <ns0:c r="BD251" s="75" t="n">
        <ns0:v>46297</ns0:v>
      </ns0:c>
      <ns0:c r="BE251" s="76" t="n">
        <ns0:v>557.8</ns0:v>
      </ns0:c>
      <ns0:c r="BF251" s="79" t="n">
        <ns0:v>-882.9</ns0:v>
      </ns0:c>
      <ns0:c r="BG251" s="74" t="inlineStr">
        <ns0:is>
          <ns0:t>N</ns0:t>
        </ns0:is>
      </ns0:c>
      <ns0:c r="BH251" s="74" t="inlineStr">
        <ns0:is>
          <ns0:t>n/m</ns0:t>
        </ns0:is>
      </ns0:c>
      <ns0:c r="BI251" s="88" t="n"/>
      <ns0:c r="BJ251" s="88" t="n"/>
      <ns0:c r="BK251" s="89" t="n">
        <ns0:v>11</ns0:v>
      </ns0:c>
      <ns0:c r="BL251" s="90">
        <ns0:f>IFERROR(IF('BBG Verify'!S251="","Awaiting Bloomberg",'BBG Verify'!S251),"Awaiting Bloomberg")</ns0:f>
        <ns0:v/>
      </ns0:c>
      <ns0:c r="BM251" s="91" t="inlineStr">
        <ns0:is>
          <ns0:t>N</ns0:t>
        </ns0:is>
      </ns0:c>
      <ns0:c r="BN251" s="92">
        <ns0:f>IFERROR(IF('BBG Verify'!K251="","Awaiting Bloomberg",'BBG Verify'!K251),"Awaiting Bloomberg")</ns0:f>
        <ns0:v/>
      </ns0:c>
      <ns0:c r="BO251" s="74" t="inlineStr">
        <ns0:is>
          <ns0:t>N/A</ns0:t>
        </ns0:is>
      </ns0:c>
      <ns0:c r="BP251" s="74" t="inlineStr">
        <ns0:is>
          <ns0:t>N/A</ns0:t>
        </ns0:is>
      </ns0:c>
      <ns0:c r="BQ251" s="74" t="inlineStr">
        <ns0:is>
          <ns0:t>N/A</ns0:t>
        </ns0:is>
      </ns0:c>
      <ns0:c r="BR251" s="74" t="inlineStr">
        <ns0:is>
          <ns0:t>N/A</ns0:t>
        </ns0:is>
      </ns0:c>
      <ns0:c r="BS251" s="74" t="inlineStr">
        <ns0:is>
          <ns0:t>N/A</ns0:t>
        </ns0:is>
      </ns0:c>
      <ns0:c r="BT251" s="74" t="inlineStr">
        <ns0:is>
          <ns0:t>N/A</ns0:t>
        </ns0:is>
      </ns0:c>
      <ns0:c r="BU251" s="91" t="inlineStr">
        <ns0:is>
          <ns0:t>CMB International Capital Limited</ns0:t>
        </ns0:is>
      </ns0:c>
      <ns0:c r="BV251" s="74" t="inlineStr">
        <ns0:is>
          <ns0:t>China International Capital Corporation Hong Kong Securities Limited; CMB International Capital Limited</ns0:t>
        </ns0:is>
      </ns0:c>
      <ns0:c r="BW251" s="74" t="inlineStr">
        <ns0:is>
          <ns0:t>China International Capital Corporation Hong Kong Securities Limited; CMB International Capital Limited; Haitong International Securities Company Limited; Zhongtai International Securities Limited; ICBC International Securities Limited; China Galaxy International Securities (Hong Kong) Co., Limited; CMBC Securities Company Limited; SPDB International Capital Limited; BOCOM International Securities Limited; Tiger Brokers (HK) Global Limited; Livermore Holdings Limited</ns0:t>
        </ns0:is>
      </ns0:c>
      <ns0:c r="BX251" s="74" t="inlineStr">
        <ns0:is>
          <ns0: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ns0:t>
        </ns0:is>
      </ns0:c>
      <ns0:c r="BY251" s="93">
        <ns0:f>HYPERLINK("https://www1.hkexnews.hk/listedco/listconews/sehk/2024/0416/2024041600025.pdf","prospectus")</ns0:f>
        <ns0:v/>
      </ns0:c>
      <ns0:c r="BZ251" s="93">
        <ns0:f>HYPERLINK("https://www1.hkexnews.hk/listedco/listconews/sehk/2024/0423/2024042301690.pdf","allotment")</ns0:f>
        <ns0:v/>
      </ns0:c>
      <ns0:c r="CA251" s="93">
        <ns0:f>HYPERLINK("https://www1.hkexnews.hk/listedco/listconews/sehk/2024/0519/2024051900005.pdf","stabilisation")</ns0:f>
        <ns0:v/>
      </ns0:c>
      <ns0:c r="CB251" s="94" t="n"/>
      <ns0:c r="CC251" s="74" t="inlineStr">
        <ns0:is>
          <ns0:t>P/E: loss-making at IPO, use P/S; market cap: published listing cap used; the estimate from deal size / offer % of enlarged capital disagreed</ns0:t>
        </ns0:is>
      </ns0:c>
    </ns0:row>
    <ns0:row r="252" ht="22" customHeight="1">
      <ns0:c r="A252" s="73" t="inlineStr">
        <ns0:is>
          <ns0:t>2556</ns0:t>
        </ns0:is>
      </ns0:c>
      <ns0:c r="B252" s="74" t="inlineStr">
        <ns0:is>
          <ns0:t>MARKETINGFORCE</ns0:t>
        </ns0:is>
      </ns0:c>
      <ns0:c r="C252" s="74" t="inlineStr">
        <ns0:is>
          <ns0:t>邁富時</ns0:t>
        </ns0:is>
      </ns0:c>
      <ns0:c r="D252" s="74" t="inlineStr">
        <ns0:is>
          <ns0:t>Technology</ns0:t>
        </ns0:is>
      </ns0:c>
      <ns0:c r="E252" s="74" t="inlineStr">
        <ns0:is>
          <ns0:t>Software &amp; AI</ns0:t>
        </ns0:is>
      </ns0:c>
      <ns0:c r="F252" s="74" t="inlineStr">
        <ns0:is>
          <ns0:t>Application Software</ns0:t>
        </ns0:is>
      </ns0:c>
      <ns0:c r="G252" s="74" t="inlineStr">
        <ns0:is>
          <ns0:t>Standard</ns0:t>
        </ns0:is>
      </ns0:c>
      <ns0:c r="H252" s="75" t="n">
        <ns0:v>45428</ns0:v>
      </ns0:c>
      <ns0:c r="I252" s="76" t="n">
        <ns0:v>259.4</ns0:v>
      </ns0:c>
      <ns0:c r="J252" s="74" t="inlineStr">
        <ns0:is>
          <ns0:t>gross (price x shares)</ns0:t>
        </ns0:is>
      </ns0:c>
      <ns0:c r="K252" s="77" t="n">
        <ns0:v>42</ns0:v>
      </ns0:c>
      <ns0:c r="L252" s="77" t="n">
        <ns0:v>45</ns0:v>
      </ns0:c>
      <ns0:c r="M252" s="77" t="n">
        <ns0:v>43.6</ns0:v>
      </ns0:c>
      <ns0:c r="N252" s="74" t="inlineStr">
        <ns0:is>
          <ns0:t>N</ns0:t>
        </ns0:is>
      </ns0:c>
      <ns0:c r="O252" s="78" t="n">
        <ns0:v>96.90000000000001</ns0:v>
      </ns0:c>
      <ns0:c r="P252" s="78" t="n">
        <ns0:v>53.3</ns0:v>
      </ns0:c>
      <ns0:c r="Q252" s="79" t="n">
        <ns0:v>10253.2</ns0:v>
      </ns0:c>
      <ns0:c r="R252" s="74" t="inlineStr">
        <ns0:is>
          <ns0:t>derived:price x shares upon listing</ns0:t>
        </ns0:is>
      </ns0:c>
      <ns0:c r="S252" s="80" t="n">
        <ns0:v>5.95</ns0:v>
      </ns0:c>
      <ns0:c r="T252" s="81" t="n">
        <ns0:v>1.03</ns0:v>
      </ns0:c>
      <ns0:c r="U252" s="82" t="n">
        <ns0:v>15.2</ns0:v>
      </ns0:c>
      <ns0:c r="V252" s="83" t="n">
        <ns0:v>125</ns0:v>
      </ns0:c>
      <ns0:c r="W252" s="78" t="n">
        <ns0:v>10</ns0:v>
      </ns0:c>
      <ns0:c r="X252" s="74" t="inlineStr">
        <ns0:is>
          <ns0:t>NO</ns0:t>
        </ns0:is>
      </ns0:c>
      <ns0:c r="Y252" s="79" t="n">
        <ns0:v>219.97</ns0:v>
      </ns0:c>
      <ns0:c r="Z252" s="79" t="n">
        <ns0:v>5045346</ns0:v>
      </ns0:c>
      <ns0:c r="AA252" s="78" t="n">
        <ns0:v>2.15</ns0:v>
      </ns0:c>
      <ns0:c r="AB252" s="74" t="inlineStr">
        <ns0:is>
          <ns0:t>VH Nanchang Donghu Asset; Capital LPF</ns0:t>
        </ns0:is>
      </ns0:c>
      <ns0:c r="AC252" s="74" t="inlineStr">
        <ns0:is>
          <ns0:t>vh;lpf</ns0:t>
        </ns0:is>
      </ns0:c>
      <ns0:c r="AD252" s="84" t="n"/>
      <ns0:c r="AE252" s="85" t="n"/>
      <ns0:c r="AF252" s="85" t="n"/>
      <ns0:c r="AG252" s="85" t="n"/>
      <ns0:c r="AH252" s="85" t="n"/>
      <ns0:c r="AI252" s="86" t="n">
        <ns0:v>5.5</ns0:v>
      </ns0:c>
      <ns0:c r="AJ252" s="87" t="n">
        <ns0:v>18.46</ns0:v>
      </ns0:c>
      <ns0:c r="AK252" s="87" t="n">
        <ns0:v>0.76</ns0:v>
      </ns0:c>
      <ns0:c r="AL252" s="87" t="n">
        <ns0:v>3.21</ns0:v>
      </ns0:c>
      <ns0:c r="AM252" s="87" t="n">
        <ns0:v>14.78</ns0:v>
      </ns0:c>
      <ns0:c r="AN252" s="89" t="n">
        <ns0:v>1.34</ns0:v>
      </ns0:c>
      <ns0:c r="AO252" s="78" t="n">
        <ns0:v>24.44</ns0:v>
      </ns0:c>
      <ns0:c r="AP252" s="87" t="n">
        <ns0:v>40.02</ns0:v>
      </ns0:c>
      <ns0:c r="AQ252" s="87" t="n">
        <ns0:v>90.25</ns0:v>
      </ns0:c>
      <ns0:c r="AR252" s="87" t="n">
        <ns0:v>125.34</ns0:v>
      </ns0:c>
      <ns0:c r="AS252" s="87" t="n">
        <ns0:v>18.2</ns0:v>
      </ns0:c>
      <ns0:c r="AT252" s="87" t="n">
        <ns0:v>60.6</ns0:v>
      </ns0:c>
      <ns0:c r="AU252" s="87" t="n">
        <ns0:v>90.22</ns0:v>
      </ns0:c>
      <ns0:c r="AV252" s="87" t="n">
        <ns0:v>43.51</ns0:v>
      </ns0:c>
      <ns0:c r="AW252" s="87" t="n">
        <ns0:v>98.18000000000001</ns0:v>
      </ns0:c>
      <ns0:c r="AX252" s="87" t="n">
        <ns0:v>141.06</ns0:v>
      </ns0:c>
      <ns0:c r="AY252" s="87" t="n">
        <ns0:v>69.23</ns0:v>
      </ns0:c>
      <ns0:c r="AZ252" s="87" t="n">
        <ns0:v>-7.93</ns0:v>
      </ns0:c>
      <ns0:c r="BA252" s="87" t="n">
        <ns0:v>-8.630000000000001</ns0:v>
      </ns0:c>
      <ns0:c r="BB252" s="74" t="inlineStr">
        <ns0:is>
          <ns0:t>HSTECH (Hang Seng TECH ETF)</ns0:t>
        </ns0:is>
      </ns0:c>
      <ns0:c r="BC252" s="87" t="n">
        <ns0:v>18.46</ns0:v>
      </ns0:c>
      <ns0:c r="BD252" s="75" t="n">
        <ns0:v>46297</ns0:v>
      </ns0:c>
      <ns0:c r="BE252" s="76" t="n">
        <ns0:v>1355.3</ns0:v>
      </ns0:c>
      <ns0:c r="BF252" s="79" t="n">
        <ns0:v>-186.4</ns0:v>
      </ns0:c>
      <ns0:c r="BG252" s="74" t="inlineStr">
        <ns0:is>
          <ns0:t>N</ns0:t>
        </ns0:is>
      </ns0:c>
      <ns0:c r="BH252" s="74" t="inlineStr">
        <ns0:is>
          <ns0:t>n/m</ns0:t>
        </ns0:is>
      </ns0:c>
      <ns0:c r="BI252" s="88" t="n"/>
      <ns0:c r="BJ252" s="89" t="n">
        <ns0:v>48.1</ns0:v>
      </ns0:c>
      <ns0:c r="BK252" s="89" t="n">
        <ns0:v>7.6</ns0:v>
      </ns0:c>
      <ns0:c r="BL252" s="90">
        <ns0:f>IFERROR(IF('BBG Verify'!S252="","Awaiting Bloomberg",'BBG Verify'!S252),"Awaiting Bloomberg")</ns0:f>
        <ns0:v/>
      </ns0:c>
      <ns0:c r="BM252" s="91" t="inlineStr">
        <ns0:is>
          <ns0:t>N</ns0:t>
        </ns0:is>
      </ns0:c>
      <ns0:c r="BN252" s="92">
        <ns0:f>IFERROR(IF('BBG Verify'!K252="","Awaiting Bloomberg",'BBG Verify'!K252),"Awaiting Bloomberg")</ns0:f>
        <ns0:v/>
      </ns0:c>
      <ns0:c r="BO252" s="74" t="inlineStr">
        <ns0:is>
          <ns0:t>N/A</ns0:t>
        </ns0:is>
      </ns0:c>
      <ns0:c r="BP252" s="74" t="inlineStr">
        <ns0:is>
          <ns0:t>N/A</ns0:t>
        </ns0:is>
      </ns0:c>
      <ns0:c r="BQ252" s="74" t="inlineStr">
        <ns0:is>
          <ns0:t>N/A</ns0:t>
        </ns0:is>
      </ns0:c>
      <ns0:c r="BR252" s="74" t="inlineStr">
        <ns0:is>
          <ns0:t>N/A</ns0:t>
        </ns0:is>
      </ns0:c>
      <ns0:c r="BS252" s="74" t="inlineStr">
        <ns0:is>
          <ns0:t>N/A</ns0:t>
        </ns0:is>
      </ns0:c>
      <ns0:c r="BT252" s="74" t="inlineStr">
        <ns0:is>
          <ns0:t>N/A</ns0:t>
        </ns0:is>
      </ns0:c>
      <ns0:c r="BU252" s="91" t="inlineStr">
        <ns0:is>
          <ns0:t>CCB International Capital Limited</ns0:t>
        </ns0:is>
      </ns0:c>
      <ns0:c r="BV252" s="74" t="inlineStr">
        <ns0:is>
          <ns0:t>CCB International Capital Limited; China International Capital Corporation (HK) Ltd</ns0:t>
        </ns0:is>
      </ns0:c>
      <ns0:c r="BW252" s="74" t="inlineStr">
        <ns0:is>
          <ns0: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ns0:t>
        </ns0:is>
      </ns0:c>
      <ns0:c r="BX252" s="74" t="inlineStr">
        <ns0:is>
          <ns0: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ns0:t>
        </ns0:is>
      </ns0:c>
      <ns0:c r="BY252" s="93">
        <ns0:f>HYPERLINK("https://www1.hkexnews.hk/listedco/listconews/sehk/2024/0507/2024050700011.pdf","prospectus")</ns0:f>
        <ns0:v/>
      </ns0:c>
      <ns0:c r="BZ252" s="93">
        <ns0:f>HYPERLINK("https://www1.hkexnews.hk/listedco/listconews/sehk/2024/0514/2024051401235.pdf","allotment")</ns0:f>
        <ns0:v/>
      </ns0:c>
      <ns0:c r="CA252" s="85" t="n"/>
      <ns0:c r="CB252" s="94" t="n"/>
      <ns0:c r="CC252" s="74" t="inlineStr">
        <ns0:is>
          <ns0:t>P/E: loss-making at IPO, use P/S; greenshoe: no over-allotment option; greenshoe size: no over-allotment option; stabilising manager: filing states none appointed (allotment announcement: 'no stabilizing manager will be appointed' stated in the filing)</ns0:t>
        </ns0:is>
      </ns0:c>
    </ns0:row>
    <ns0:row r="253" ht="22" customHeight="1">
      <ns0:c r="A253" s="73" t="inlineStr">
        <ns0:is>
          <ns0:t>2529</ns0:t>
        </ns0:is>
      </ns0:c>
      <ns0:c r="B253" s="74" t="inlineStr">
        <ns0:is>
          <ns0:t>HOLLWIN URBAN</ns0:t>
        </ns0:is>
      </ns0:c>
      <ns0:c r="C253" s="74" t="inlineStr">
        <ns0:is>
          <ns0:t>泓盈城市服務</ns0:t>
        </ns0:is>
      </ns0:c>
      <ns0:c r="D253" s="74" t="inlineStr">
        <ns0:is>
          <ns0:t>Real Estate</ns0:t>
        </ns0:is>
      </ns0:c>
      <ns0:c r="E253" s="74" t="inlineStr">
        <ns0:is>
          <ns0:t>Property management</ns0:t>
        </ns0:is>
      </ns0:c>
      <ns0:c r="F253" s="74" t="inlineStr">
        <ns0:is>
          <ns0:t>Property Service and Management</ns0:t>
        </ns0:is>
      </ns0:c>
      <ns0:c r="G253" s="74" t="inlineStr">
        <ns0:is>
          <ns0:t>Standard</ns0:t>
        </ns0:is>
      </ns0:c>
      <ns0:c r="H253" s="75" t="n">
        <ns0:v>45429</ns0:v>
      </ns0:c>
      <ns0:c r="I253" s="76" t="n">
        <ns0:v>128</ns0:v>
      </ns0:c>
      <ns0:c r="J253" s="74" t="inlineStr">
        <ns0:is>
          <ns0:t>gross (price x shares)</ns0:t>
        </ns0:is>
      </ns0:c>
      <ns0:c r="K253" s="77" t="n">
        <ns0:v>3.2</ns0:v>
      </ns0:c>
      <ns0:c r="L253" s="77" t="n">
        <ns0:v>3.6</ns0:v>
      </ns0:c>
      <ns0:c r="M253" s="77" t="n">
        <ns0:v>3.2</ns0:v>
      </ns0:c>
      <ns0:c r="N253" s="74" t="inlineStr">
        <ns0:is>
          <ns0:t>N</ns0:t>
        </ns0:is>
      </ns0:c>
      <ns0:c r="O253" s="78" t="n">
        <ns0:v>88.90000000000001</ns0:v>
      </ns0:c>
      <ns0:c r="P253" s="78" t="n">
        <ns0:v>0</ns0:v>
      </ns0:c>
      <ns0:c r="Q253" s="79" t="n">
        <ns0:v>512</ns0:v>
      </ns0:c>
      <ns0:c r="R253" s="74" t="inlineStr">
        <ns0:is>
          <ns0:t>derived:price x shares upon listing</ns0:t>
        </ns0:is>
      </ns0:c>
      <ns0:c r="S253" s="80" t="n">
        <ns0:v>47.59</ns0:v>
      </ns0:c>
      <ns0:c r="T253" s="81" t="n">
        <ns0:v>1.2</ns0:v>
      </ns0:c>
      <ns0:c r="U253" s="82" t="n">
        <ns0:v>52.34</ns0:v>
      </ns0:c>
      <ns0:c r="V253" s="83" t="n">
        <ns0:v>135</ns0:v>
      </ns0:c>
      <ns0:c r="W253" s="78" t="n">
        <ns0:v>30</ns0:v>
      </ns0:c>
      <ns0:c r="X253" s="74" t="inlineStr">
        <ns0:is>
          <ns0:t>YES</ns0:t>
        </ns0:is>
      </ns0:c>
      <ns0:c r="Y253" s="79" t="n">
        <ns0:v>61</ns0:v>
      </ns0:c>
      <ns0:c r="Z253" s="79" t="n">
        <ns0:v>19064000</ns0:v>
      </ns0:c>
      <ns0:c r="AA253" s="78" t="n">
        <ns0:v>11.91</ns0:v>
      </ns0:c>
      <ns0:c r="AB253" s="74" t="inlineStr">
        <ns0:is>
          <ns0:t>Lens Technology (HK) Co., Limited; CO., LIMITED LEYARD (HONGKONG) CO., LIMITED; SANAN INTERNATION AL HOLDING CO., LIMITED; HONGKONG JIAGANG TRADING LIMITED; XIANGZHENG CAPITAL LIMITED</ns0:t>
        </ns0:is>
      </ns0:c>
      <ns0:c r="AC253" s="74" t="inlineStr">
        <ns0:is>
          <ns0:t>lens;leyard;sanan;hongkong;xiangzheng</ns0:t>
        </ns0:is>
      </ns0:c>
      <ns0:c r="AD253" s="84" t="n"/>
      <ns0:c r="AE253" s="85" t="n"/>
      <ns0:c r="AF253" s="85" t="n"/>
      <ns0:c r="AG253" s="85" t="n"/>
      <ns0:c r="AH253" s="85" t="n"/>
      <ns0:c r="AI253" s="86" t="n">
        <ns0:v>11.56</ns0:v>
      </ns0:c>
      <ns0:c r="AJ253" s="87" t="n">
        <ns0:v>0.31</ns0:v>
      </ns0:c>
      <ns0:c r="AK253" s="87" t="n">
        <ns0:v>2.52</ns0:v>
      </ns0:c>
      <ns0:c r="AL253" s="87" t="n">
        <ns0:v>8.119999999999999</ns0:v>
      </ns0:c>
      <ns0:c r="AM253" s="87" t="n">
        <ns0:v>-7.22</ns0:v>
      </ns0:c>
      <ns0:c r="AN253" s="89" t="n">
        <ns0:v>0.96</ns0:v>
      </ns0:c>
      <ns0:c r="AO253" s="78" t="n">
        <ns0:v>15.9</ns0:v>
      </ns0:c>
      <ns0:c r="AP253" s="87" t="n">
        <ns0:v>-19.38</ns0:v>
      </ns0:c>
      <ns0:c r="AQ253" s="87" t="n">
        <ns0:v>-7.81</ns0:v>
      </ns0:c>
      <ns0:c r="AR253" s="87" t="n">
        <ns0:v>-12.5</ns0:v>
      </ns0:c>
      <ns0:c r="AS253" s="87" t="n">
        <ns0:v>-19.63</ns0:v>
      </ns0:c>
      <ns0:c r="AT253" s="87" t="n">
        <ns0:v>-8.09</ns0:v>
      </ns0:c>
      <ns0:c r="AU253" s="87" t="n">
        <ns0:v>-12.77</ns0:v>
      </ns0:c>
      <ns0:c r="AV253" s="87" t="n">
        <ns0:v>-15.31</ns0:v>
      </ns0:c>
      <ns0:c r="AW253" s="87" t="n">
        <ns0:v>6.84</ns0:v>
      </ns0:c>
      <ns0:c r="AX253" s="87" t="n">
        <ns0:v>5.33</ns0:v>
      </ns0:c>
      <ns0:c r="AY253" s="87" t="n">
        <ns0:v>8.66</ns0:v>
      </ns0:c>
      <ns0:c r="AZ253" s="87" t="n">
        <ns0:v>-14.65</ns0:v>
      </ns0:c>
      <ns0:c r="BA253" s="87" t="n">
        <ns0:v>-16.75</ns0:v>
      </ns0:c>
      <ns0:c r="BB253" s="74" t="inlineStr">
        <ns0:is>
          <ns0:t>Hang Seng Properties sub-index</ns0:t>
        </ns0:is>
      </ns0:c>
      <ns0:c r="BC253" s="87" t="n">
        <ns0:v>-20.31</ns0:v>
      </ns0:c>
      <ns0:c r="BD253" s="75" t="n">
        <ns0:v>46297</ns0:v>
      </ns0:c>
      <ns0:c r="BE253" s="76" t="n">
        <ns0:v>717.1</ns0:v>
      </ns0:c>
      <ns0:c r="BF253" s="79" t="n">
        <ns0:v>77.2</ns0:v>
      </ns0:c>
      <ns0:c r="BG253" s="74" t="inlineStr">
        <ns0:is>
          <ns0:t>Y</ns0:t>
        </ns0:is>
      </ns0:c>
      <ns0:c r="BH253" s="89" t="n">
        <ns0:v>6.6</ns0:v>
      </ns0:c>
      <ns0:c r="BI253" s="88" t="n"/>
      <ns0:c r="BJ253" s="89" t="n">
        <ns0:v>5.2</ns0:v>
      </ns0:c>
      <ns0:c r="BK253" s="89" t="n">
        <ns0:v>0.7</ns0:v>
      </ns0:c>
      <ns0:c r="BL253" s="90">
        <ns0:f>IFERROR(IF('BBG Verify'!S253="","Awaiting Bloomberg",'BBG Verify'!S253),"Awaiting Bloomberg")</ns0:f>
        <ns0:v/>
      </ns0:c>
      <ns0:c r="BM253" s="91" t="inlineStr">
        <ns0:is>
          <ns0:t>N</ns0:t>
        </ns0:is>
      </ns0:c>
      <ns0:c r="BN253" s="92">
        <ns0:f>IFERROR(IF('BBG Verify'!K253="","Awaiting Bloomberg",'BBG Verify'!K253),"Awaiting Bloomberg")</ns0:f>
        <ns0:v/>
      </ns0:c>
      <ns0:c r="BO253" s="74" t="inlineStr">
        <ns0:is>
          <ns0:t>N/A</ns0:t>
        </ns0:is>
      </ns0:c>
      <ns0:c r="BP253" s="74" t="inlineStr">
        <ns0:is>
          <ns0:t>N/A</ns0:t>
        </ns0:is>
      </ns0:c>
      <ns0:c r="BQ253" s="74" t="inlineStr">
        <ns0:is>
          <ns0:t>N/A</ns0:t>
        </ns0:is>
      </ns0:c>
      <ns0:c r="BR253" s="74" t="inlineStr">
        <ns0:is>
          <ns0:t>N/A</ns0:t>
        </ns0:is>
      </ns0:c>
      <ns0:c r="BS253" s="74" t="inlineStr">
        <ns0:is>
          <ns0:t>N/A</ns0:t>
        </ns0:is>
      </ns0:c>
      <ns0:c r="BT253" s="74" t="inlineStr">
        <ns0:is>
          <ns0:t>N/A</ns0:t>
        </ns0:is>
      </ns0:c>
      <ns0:c r="BU253" s="91" t="inlineStr">
        <ns0:is>
          <ns0:t>China International Capital Corporation Hong Kong Securities Limited</ns0:t>
        </ns0:is>
      </ns0:c>
      <ns0:c r="BV253" s="74" t="inlineStr">
        <ns0:is>
          <ns0:t>China International Capital Corporation Hong Kong Securities Limited</ns0:t>
        </ns0:is>
      </ns0:c>
      <ns0:c r="BW253" s="74" t="inlineStr">
        <ns0:is>
          <ns0: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ns0:t>
        </ns0:is>
      </ns0:c>
      <ns0:c r="BX253" s="74" t="inlineStr">
        <ns0:is>
          <ns0: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ns0:t>
        </ns0:is>
      </ns0:c>
      <ns0:c r="BY253" s="93">
        <ns0:f>HYPERLINK("https://www1.hkexnews.hk/listedco/listconews/sehk/2024/0508/2024050800029.pdf","prospectus")</ns0:f>
        <ns0:v/>
      </ns0:c>
      <ns0:c r="BZ253" s="93">
        <ns0:f>HYPERLINK("https://www1.hkexnews.hk/listedco/listconews/sehk/2024/0516/2024051601339.pdf","allotment")</ns0:f>
        <ns0:v/>
      </ns0:c>
      <ns0:c r="CA253" s="85" t="n"/>
      <ns0:c r="CB253" s="94" t="n"/>
      <ns0:c r="CC253" s="74" t="inlineStr">
        <ns0:is>
          <ns0:t>greenshoe: no over-allotment option; sponsor: English name not in the filing; AAStocks 保薦人 shown; greenshoe size: no over-allotment option; stabilising manager: no over-allotment option, so none appointed</ns0:t>
        </ns0:is>
      </ns0:c>
    </ns0:row>
    <ns0:row r="254" ht="22" customHeight="1">
      <ns0:c r="A254" s="73" t="inlineStr">
        <ns0:is>
          <ns0:t>2898</ns0:t>
        </ns0:is>
      </ns0:c>
      <ns0:c r="B254" s="74" t="inlineStr">
        <ns0:is>
          <ns0:t>SUNHO BIO-B</ns0:t>
        </ns0:is>
      </ns0:c>
      <ns0:c r="C254" s="74" t="inlineStr">
        <ns0:is>
          <ns0:t>盛禾生物－Ｂ</ns0:t>
        </ns0:is>
      </ns0:c>
      <ns0:c r="D254" s="74" t="inlineStr">
        <ns0:is>
          <ns0:t>Healthcare</ns0:t>
        </ns0:is>
      </ns0:c>
      <ns0:c r="E254" s="74" t="inlineStr">
        <ns0:is>
          <ns0:t>Biotech pre-revenue (18A)</ns0:t>
        </ns0:is>
      </ns0:c>
      <ns0:c r="F254" s="74" t="inlineStr">
        <ns0:is>
          <ns0:t>Biotechnology - Pharmaceuticals</ns0:t>
        </ns0:is>
      </ns0:c>
      <ns0:c r="G254" s="74" t="inlineStr">
        <ns0:is>
          <ns0:t>18A</ns0:t>
        </ns0:is>
      </ns0:c>
      <ns0:c r="H254" s="75" t="n">
        <ns0:v>45436</ns0:v>
      </ns0:c>
      <ns0:c r="I254" s="76" t="n">
        <ns0:v>461</ns0:v>
      </ns0:c>
      <ns0:c r="J254" s="74" t="inlineStr">
        <ns0:is>
          <ns0:t>gross (price x shares)</ns0:t>
        </ns0:is>
      </ns0:c>
      <ns0:c r="K254" s="95" t="n"/>
      <ns0:c r="L254" s="77" t="n">
        <ns0:v>13.5</ns0:v>
      </ns0:c>
      <ns0:c r="M254" s="77" t="n">
        <ns0:v>13.5</ns0:v>
      </ns0:c>
      <ns0:c r="N254" s="74" t="inlineStr">
        <ns0:is>
          <ns0:t>Y</ns0:t>
        </ns0:is>
      </ns0:c>
      <ns0:c r="O254" s="78" t="n">
        <ns0:v>100</ns0:v>
      </ns0:c>
      <ns0:c r="P254" s="84" t="n"/>
      <ns0:c r="Q254" s="79" t="n">
        <ns0:v>2115</ns0:v>
      </ns0:c>
      <ns0:c r="R254" s="74" t="inlineStr">
        <ns0:is>
          <ns0:t>derived:price x shares upon listing</ns0:t>
        </ns0:is>
      </ns0:c>
      <ns0:c r="S254" s="80" t="n">
        <ns0:v>10.08</ns0:v>
      </ns0:c>
      <ns0:c r="T254" s="81" t="n">
        <ns0:v>1.27</ns0:v>
      </ns0:c>
      <ns0:c r="U254" s="82" t="n">
        <ns0:v>9.07</ns0:v>
      </ns0:c>
      <ns0:c r="V254" s="83" t="n">
        <ns0:v>110</ns0:v>
      </ns0:c>
      <ns0:c r="W254" s="78" t="n">
        <ns0:v>10</ns0:v>
      </ns0:c>
      <ns0:c r="X254" s="74" t="inlineStr">
        <ns0:is>
          <ns0:t>NO</ns0:t>
        </ns0:is>
      </ns0:c>
      <ns0:c r="Y254" s="79" t="n">
        <ns0:v>419.19</ns0:v>
      </ns0:c>
      <ns0:c r="Z254" s="79" t="n">
        <ns0:v>31054232</ns0:v>
      </ns0:c>
      <ns0:c r="AA254" s="78" t="n">
        <ns0:v>19.82</ns0:v>
      </ns0:c>
      <ns0:c r="AB254" s="74" t="inlineStr">
        <ns0:is>
          <ns0:t>Nanjing Jingkai Weilai Technology Industrial Investment Partnership (Limited Partnership)</ns0:t>
        </ns0:is>
      </ns0:c>
      <ns0:c r="AC254" s="74" t="inlineStr">
        <ns0:is>
          <ns0:t>nanjing</ns0:t>
        </ns0:is>
      </ns0:c>
      <ns0:c r="AD254" s="84" t="n"/>
      <ns0:c r="AE254" s="85" t="n"/>
      <ns0:c r="AF254" s="85" t="n"/>
      <ns0:c r="AG254" s="85" t="n"/>
      <ns0:c r="AH254" s="85" t="n"/>
      <ns0:c r="AI254" s="86" t="n">
        <ns0:v>8.890000000000001</ns0:v>
      </ns0:c>
      <ns0:c r="AJ254" s="87" t="n">
        <ns0:v>7.56</ns0:v>
      </ns0:c>
      <ns0:c r="AK254" s="87" t="n">
        <ns0:v>-2.63</ns0:v>
      </ns0:c>
      <ns0:c r="AL254" s="87" t="n">
        <ns0:v>7.11</ns0:v>
      </ns0:c>
      <ns0:c r="AM254" s="87" t="n">
        <ns0:v>0.42</ns0:v>
      </ns0:c>
      <ns0:c r="AN254" s="89" t="n">
        <ns0:v>0.8100000000000001</ns0:v>
      </ns0:c>
      <ns0:c r="AO254" s="78" t="n">
        <ns0:v>9.130000000000001</ns0:v>
      </ns0:c>
      <ns0:c r="AP254" s="87" t="n">
        <ns0:v>-47.41</ns0:v>
      </ns0:c>
      <ns0:c r="AQ254" s="87" t="n">
        <ns0:v>-60</ns0:v>
      </ns0:c>
      <ns0:c r="AR254" s="87" t="n">
        <ns0:v>-49.63</ns0:v>
      </ns0:c>
      <ns0:c r="AS254" s="87" t="n">
        <ns0:v>-51.11</ns0:v>
      </ns0:c>
      <ns0:c r="AT254" s="87" t="n">
        <ns0:v>-62.81</ns0:v>
      </ns0:c>
      <ns0:c r="AU254" s="87" t="n">
        <ns0:v>-53.17</ns0:v>
      </ns0:c>
      <ns0:c r="AV254" s="87" t="n">
        <ns0:v>-44.39</ns0:v>
      </ns0:c>
      <ns0:c r="AW254" s="87" t="n">
        <ns0:v>-53.58</ns0:v>
      </ns0:c>
      <ns0:c r="AX254" s="87" t="n">
        <ns0:v>-40.04</ns0:v>
      </ns0:c>
      <ns0:c r="AY254" s="87" t="n">
        <ns0:v>-58.92</ns0:v>
      </ns0:c>
      <ns0:c r="AZ254" s="87" t="n">
        <ns0:v>-6.42</ns0:v>
      </ns0:c>
      <ns0:c r="BA254" s="87" t="n">
        <ns0:v>-3.89</ns0:v>
      </ns0:c>
      <ns0:c r="BB254" s="74" t="inlineStr">
        <ns0:is>
          <ns0:t>China Biotech ETF (HS biotech proxy)</ns0:t>
        </ns0:is>
      </ns0:c>
      <ns0:c r="BC254" s="87" t="n">
        <ns0:v>-52.67</ns0:v>
      </ns0:c>
      <ns0:c r="BD254" s="75" t="n">
        <ns0:v>46112</ns0:v>
      </ns0:c>
      <ns0:c r="BE254" s="76" t="n">
        <ns0:v>0.5</ns0:v>
      </ns0:c>
      <ns0:c r="BF254" s="79" t="n">
        <ns0:v>0</ns0:v>
      </ns0:c>
      <ns0:c r="BG254" s="74" t="inlineStr">
        <ns0:is>
          <ns0:t>N</ns0:t>
        </ns0:is>
      </ns0:c>
      <ns0:c r="BH254" s="74" t="inlineStr">
        <ns0:is>
          <ns0:t>n/m</ns0:t>
        </ns0:is>
      </ns0:c>
      <ns0:c r="BI254" s="88" t="n"/>
      <ns0:c r="BJ254" s="88" t="n"/>
      <ns0:c r="BK254" s="89" t="n">
        <ns0:v>4230</ns0:v>
      </ns0:c>
      <ns0:c r="BL254" s="90">
        <ns0:f>IFERROR(IF('BBG Verify'!S254="","Awaiting Bloomberg",'BBG Verify'!S254),"Awaiting Bloomberg")</ns0:f>
        <ns0:v/>
      </ns0:c>
      <ns0:c r="BM254" s="91" t="inlineStr">
        <ns0:is>
          <ns0:t>N</ns0:t>
        </ns0:is>
      </ns0:c>
      <ns0:c r="BN254" s="92">
        <ns0:f>IFERROR(IF('BBG Verify'!K254="","Awaiting Bloomberg",'BBG Verify'!K254),"Awaiting Bloomberg")</ns0:f>
        <ns0:v/>
      </ns0:c>
      <ns0:c r="BO254" s="74" t="inlineStr">
        <ns0:is>
          <ns0:t>N/A</ns0:t>
        </ns0:is>
      </ns0:c>
      <ns0:c r="BP254" s="74" t="inlineStr">
        <ns0:is>
          <ns0:t>N/A</ns0:t>
        </ns0:is>
      </ns0:c>
      <ns0:c r="BQ254" s="74" t="inlineStr">
        <ns0:is>
          <ns0:t>N/A</ns0:t>
        </ns0:is>
      </ns0:c>
      <ns0:c r="BR254" s="74" t="inlineStr">
        <ns0:is>
          <ns0:t>N/A</ns0:t>
        </ns0:is>
      </ns0:c>
      <ns0:c r="BS254" s="74" t="inlineStr">
        <ns0:is>
          <ns0:t>N/A</ns0:t>
        </ns0:is>
      </ns0:c>
      <ns0:c r="BT254" s="74" t="inlineStr">
        <ns0:is>
          <ns0:t>N/A</ns0:t>
        </ns0:is>
      </ns0:c>
      <ns0:c r="BU254" s="91" t="inlineStr">
        <ns0:is>
          <ns0:t>China International Capital Corporation Hong Kong Securities Limited</ns0:t>
        </ns0:is>
      </ns0:c>
      <ns0:c r="BV254" s="74" t="inlineStr">
        <ns0:is>
          <ns0:t>China International Capital Corporation Hong Kong Securities Limited</ns0:t>
        </ns0:is>
      </ns0:c>
      <ns0:c r="BW254" s="74" t="inlineStr">
        <ns0:is>
          <ns0:t>China International Capital Corporation Hong Kong Securities Limited; China Galaxy International Securities (Hong Kong) Co., Limited; CMB International Capital Limited; Zhongtai International Securities Limited</ns0:t>
        </ns0:is>
      </ns0:c>
      <ns0:c r="BX254" s="74" t="inlineStr">
        <ns0:is>
          <ns0: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ns0:t>
        </ns0:is>
      </ns0:c>
      <ns0:c r="BY254" s="93">
        <ns0:f>HYPERLINK("https://www1.hkexnews.hk/listedco/listconews/sehk/2024/0516/2024051600013.pdf","prospectus")</ns0:f>
        <ns0:v/>
      </ns0:c>
      <ns0:c r="BZ254" s="93">
        <ns0:f>HYPERLINK("https://www1.hkexnews.hk/listedco/listconews/sehk/2024/0523/2024052301621.pdf","allotment")</ns0:f>
        <ns0:v/>
      </ns0:c>
      <ns0:c r="CA254" s="85" t="n"/>
      <ns0:c r="CB254" s="94" t="n"/>
      <ns0:c r="CC254" s="74" t="inlineStr">
        <ns0:is>
          <ns0:t>P/E: loss-making at IPO, use P/S; greenshoe: no over-allotment option; range low: maximum offer price only, no floor published; sponsor: English name not in the filing; AAStocks 保薦人 shown; greenshoe size: no over-allotment option; P/S: 4,230x on HK$0.5m revenue, effectively pre-revenue; not comparable; stabilising manager: filing states none appointed (prospectus: 'no stabilizing manager will be appointed' stated in the filing); price series: last available quoted close 2026-03-31; may be suspended, delisted or a source gap; price and benchmark end on that date</ns0:t>
        </ns0:is>
      </ns0:c>
    </ns0:row>
    <ns0:row r="255" ht="22" customHeight="1">
      <ns0:c r="A255" s="73" t="inlineStr">
        <ns0:is>
          <ns0:t>0917</ns0:t>
        </ns0:is>
      </ns0:c>
      <ns0:c r="B255" s="74" t="inlineStr">
        <ns0:is>
          <ns0:t>QUNABOX GROUP</ns0:t>
        </ns0:is>
      </ns0:c>
      <ns0:c r="C255" s="74" t="inlineStr">
        <ns0:is>
          <ns0:t>趣致集團</ns0:t>
        </ns0:is>
      </ns0:c>
      <ns0:c r="D255" s="74" t="inlineStr">
        <ns0:is>
          <ns0:t>Media &amp; telecom</ns0:t>
        </ns0:is>
      </ns0:c>
      <ns0:c r="E255" s="74" t="inlineStr">
        <ns0:is>
          <ns0:t>Media / advertising</ns0:t>
        </ns0:is>
      </ns0:c>
      <ns0:c r="F255" s="74" t="inlineStr">
        <ns0:is>
          <ns0:t>Advertising</ns0:t>
        </ns0:is>
      </ns0:c>
      <ns0:c r="G255" s="74" t="inlineStr">
        <ns0:is>
          <ns0:t>Standard</ns0:t>
        </ns0:is>
      </ns0:c>
      <ns0:c r="H255" s="75" t="n">
        <ns0:v>45439</ns0:v>
      </ns0:c>
      <ns0:c r="I255" s="76" t="n">
        <ns0:v>492.6</ns0:v>
      </ns0:c>
      <ns0:c r="J255" s="74" t="inlineStr">
        <ns0:is>
          <ns0:t>gross (stated)</ns0:t>
        </ns0:is>
      </ns0:c>
      <ns0:c r="K255" s="77" t="n">
        <ns0:v>25</ns0:v>
      </ns0:c>
      <ns0:c r="L255" s="77" t="n">
        <ns0:v>29.7</ns0:v>
      </ns0:c>
      <ns0:c r="M255" s="77" t="n">
        <ns0:v>25</ns0:v>
      </ns0:c>
      <ns0:c r="N255" s="74" t="inlineStr">
        <ns0:is>
          <ns0:t>N</ns0:t>
        </ns0:is>
      </ns0:c>
      <ns0:c r="O255" s="78" t="n">
        <ns0:v>84.2</ns0:v>
      </ns0:c>
      <ns0:c r="P255" s="78" t="n">
        <ns0:v>0</ns0:v>
      </ns0:c>
      <ns0:c r="Q255" s="79" t="n">
        <ns0:v>6567.6</ns0:v>
      </ns0:c>
      <ns0:c r="R255" s="74" t="inlineStr">
        <ns0:is>
          <ns0:t>derived:price x shares upon listing</ns0:t>
        </ns0:is>
      </ns0:c>
      <ns0:c r="S255" s="80" t="n">
        <ns0:v>12.05</ns0:v>
      </ns0:c>
      <ns0:c r="T255" s="81" t="n">
        <ns0:v>1.11</ns0:v>
      </ns0:c>
      <ns0:c r="U255" s="82" t="n">
        <ns0:v>15.87</ns0:v>
      </ns0:c>
      <ns0:c r="V255" s="83" t="n">
        <ns0:v>243</ns0:v>
      </ns0:c>
      <ns0:c r="W255" s="78" t="n">
        <ns0:v>10</ns0:v>
      </ns0:c>
      <ns0:c r="X255" s="74" t="inlineStr">
        <ns0:is>
          <ns0:t>NO</ns0:t>
        </ns0:is>
      </ns0:c>
      <ns0:c r="Y255" s="79" t="n">
        <ns0:v>414.42</ns0:v>
      </ns0:c>
      <ns0:c r="Z255" s="79" t="n">
        <ns0:v>16576975</ns0:v>
      </ns0:c>
      <ns0:c r="AA255" s="78" t="n">
        <ns0:v>6.31</ns0:v>
      </ns0:c>
      <ns0:c r="AB255" s="74" t="inlineStr">
        <ns0:is>
          <ns0:t>Golden Future LPF</ns0:t>
        </ns0:is>
      </ns0:c>
      <ns0:c r="AC255" s="74" t="inlineStr">
        <ns0:is>
          <ns0:t>golden-future</ns0:t>
        </ns0:is>
      </ns0:c>
      <ns0:c r="AD255" s="84" t="n"/>
      <ns0:c r="AE255" s="85" t="n"/>
      <ns0:c r="AF255" s="85" t="n"/>
      <ns0:c r="AG255" s="85" t="n"/>
      <ns0:c r="AH255" s="85" t="n"/>
      <ns0:c r="AI255" s="86" t="n">
        <ns0:v>32</ns0:v>
      </ns0:c>
      <ns0:c r="AJ255" s="87" t="n">
        <ns0:v>40</ns0:v>
      </ns0:c>
      <ns0:c r="AK255" s="87" t="n">
        <ns0:v>1.17</ns0:v>
      </ns0:c>
      <ns0:c r="AL255" s="87" t="n">
        <ns0:v>32</ns0:v>
      </ns0:c>
      <ns0:c r="AM255" s="87" t="n">
        <ns0:v>6.06</ns0:v>
      </ns0:c>
      <ns0:c r="AN255" s="89" t="n">
        <ns0:v>1.28</ns0:v>
      </ns0:c>
      <ns0:c r="AO255" s="78" t="n">
        <ns0:v>24.24</ns0:v>
      </ns0:c>
      <ns0:c r="AP255" s="87" t="n">
        <ns0:v>58.8</ns0:v>
      </ns0:c>
      <ns0:c r="AQ255" s="87" t="n">
        <ns0:v>110.6</ns0:v>
      </ns0:c>
      <ns0:c r="AR255" s="87" t="n">
        <ns0:v>105.8</ns0:v>
      </ns0:c>
      <ns0:c r="AS255" s="87" t="n">
        <ns0:v>13.43</ns0:v>
      </ns0:c>
      <ns0:c r="AT255" s="87" t="n">
        <ns0:v>50.43</ns0:v>
      </ns0:c>
      <ns0:c r="AU255" s="87" t="n">
        <ns0:v>47</ns0:v>
      </ns0:c>
      <ns0:c r="AV255" s="87" t="n">
        <ns0:v>59.91</ns0:v>
      </ns0:c>
      <ns0:c r="AW255" s="87" t="n">
        <ns0:v>113.39</ns0:v>
      </ns0:c>
      <ns0:c r="AX255" s="87" t="n">
        <ns0:v>110.15</ns0:v>
      </ns0:c>
      <ns0:c r="AY255" s="87" t="n">
        <ns0:v>54.35</ns0:v>
      </ns0:c>
      <ns0:c r="AZ255" s="87" t="n">
        <ns0:v>-2.79</ns0:v>
      </ns0:c>
      <ns0:c r="BA255" s="87" t="n">
        <ns0:v>-3.92</ns0:v>
      </ns0:c>
      <ns0:c r="BB255" s="74" t="inlineStr">
        <ns0:is>
          <ns0:t>Hang Seng Index</ns0:t>
        </ns0:is>
      </ns0:c>
      <ns0:c r="BC255" s="87" t="n">
        <ns0:v>-71.04000000000001</ns0:v>
      </ns0:c>
      <ns0:c r="BD255" s="75" t="n">
        <ns0:v>46297</ns0:v>
      </ns0:c>
      <ns0:c r="BE255" s="76" t="n">
        <ns0:v>1107.4</ns0:v>
      </ns0:c>
      <ns0:c r="BF255" s="79" t="n">
        <ns0:v>150.4</ns0:v>
      </ns0:c>
      <ns0:c r="BG255" s="74" t="inlineStr">
        <ns0:is>
          <ns0:t>Y</ns0:t>
        </ns0:is>
      </ns0:c>
      <ns0:c r="BH255" s="89" t="n">
        <ns0:v>43.7</ns0:v>
      </ns0:c>
      <ns0:c r="BI255" s="88" t="n"/>
      <ns0:c r="BJ255" s="88" t="n"/>
      <ns0:c r="BK255" s="89" t="n">
        <ns0:v>5.9</ns0:v>
      </ns0:c>
      <ns0:c r="BL255" s="90">
        <ns0:f>IFERROR(IF('BBG Verify'!S255="","Awaiting Bloomberg",'BBG Verify'!S255),"Awaiting Bloomberg")</ns0:f>
        <ns0:v/>
      </ns0:c>
      <ns0:c r="BM255" s="91" t="inlineStr">
        <ns0:is>
          <ns0:t>N</ns0:t>
        </ns0:is>
      </ns0:c>
      <ns0:c r="BN255" s="92">
        <ns0:f>IFERROR(IF('BBG Verify'!K255="","Awaiting Bloomberg",'BBG Verify'!K255),"Awaiting Bloomberg")</ns0:f>
        <ns0:v/>
      </ns0:c>
      <ns0:c r="BO255" s="74" t="inlineStr">
        <ns0:is>
          <ns0:t>N/A</ns0:t>
        </ns0:is>
      </ns0:c>
      <ns0:c r="BP255" s="74" t="inlineStr">
        <ns0:is>
          <ns0:t>N/A</ns0:t>
        </ns0:is>
      </ns0:c>
      <ns0:c r="BQ255" s="74" t="inlineStr">
        <ns0:is>
          <ns0:t>N/A</ns0:t>
        </ns0:is>
      </ns0:c>
      <ns0:c r="BR255" s="74" t="inlineStr">
        <ns0:is>
          <ns0:t>N/A</ns0:t>
        </ns0:is>
      </ns0:c>
      <ns0:c r="BS255" s="74" t="inlineStr">
        <ns0:is>
          <ns0:t>N/A</ns0:t>
        </ns0:is>
      </ns0:c>
      <ns0:c r="BT255" s="74" t="inlineStr">
        <ns0:is>
          <ns0:t>N/A</ns0:t>
        </ns0:is>
      </ns0:c>
      <ns0:c r="BU255" s="91" t="inlineStr">
        <ns0:is>
          <ns0:t>Haitong International Capital Limited</ns0:t>
        </ns0:is>
      </ns0:c>
      <ns0:c r="BV255" s="74" t="inlineStr">
        <ns0:is>
          <ns0:t>Haitong International Capital Limited</ns0:t>
        </ns0:is>
      </ns0:c>
      <ns0:c r="BW255" s="74" t="inlineStr">
        <ns0:is>
          <ns0:t>Haitong International Securities Company Limited; Zhongtai International Securities Limited; CCB International Capital Limited; ABCI Capital Limited; SPDB International Capital Limited; BOCOM International Securities Limited; Quam Securities Limited</ns0:t>
        </ns0:is>
      </ns0:c>
      <ns0:c r="BX255" s="74" t="inlineStr">
        <ns0:is>
          <ns0: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ns0:t>
        </ns0:is>
      </ns0:c>
      <ns0:c r="BY255" s="93">
        <ns0:f>HYPERLINK("https://www1.hkexnews.hk/listedco/listconews/sehk/2024/0517/2024051700009.pdf","prospectus")</ns0:f>
        <ns0:v/>
      </ns0:c>
      <ns0:c r="BZ255" s="93">
        <ns0:f>HYPERLINK("https://www1.hkexnews.hk/listedco/listconews/sehk/2024/0524/2024052401848.pdf","allotment")</ns0:f>
        <ns0:v/>
      </ns0:c>
      <ns0:c r="CA255" s="85" t="n"/>
      <ns0:c r="CB255" s="94" t="n"/>
      <ns0:c r="CC255" s="74" t="inlineStr">
        <ns0:is>
          <ns0:t>greenshoe: no over-allotment option; greenshoe size: no over-allotment option; stabilising manager: filing states none appointed (allotment announcement: 'no stabilizing manager will be appointed' stated in the filing)</ns0:t>
        </ns0:is>
      </ns0:c>
    </ns0:row>
    <ns0:row r="256" ht="22" customHeight="1">
      <ns0:c r="A256" s="73" t="inlineStr">
        <ns0:is>
          <ns0:t>2505</ns0:t>
        </ns0:is>
      </ns0:c>
      <ns0:c r="B256" s="74" t="inlineStr">
        <ns0:is>
          <ns0:t>EDA GROUP HLDGS</ns0:t>
        </ns0:is>
      </ns0:c>
      <ns0:c r="C256" s="74" t="inlineStr">
        <ns0:is>
          <ns0:t>ＥＤＡ集團控股</ns0:t>
        </ns0:is>
      </ns0:c>
      <ns0:c r="D256" s="74" t="inlineStr">
        <ns0:is>
          <ns0:t>Industrials</ns0:t>
        </ns0:is>
      </ns0:c>
      <ns0:c r="E256" s="74" t="inlineStr">
        <ns0:is>
          <ns0:t>Logistics</ns0:t>
        </ns0:is>
      </ns0:c>
      <ns0:c r="F256" s="74" t="inlineStr">
        <ns0:is>
          <ns0:t>Air Freight &amp; Logistics</ns0:t>
        </ns0:is>
      </ns0:c>
      <ns0:c r="G256" s="74" t="inlineStr">
        <ns0:is>
          <ns0:t>Standard</ns0:t>
        </ns0:is>
      </ns0:c>
      <ns0:c r="H256" s="75" t="n">
        <ns0:v>45440</ns0:v>
      </ns0:c>
      <ns0:c r="I256" s="98" t="n"/>
      <ns0:c r="J256" s="85" t="n"/>
      <ns0:c r="K256" s="95" t="n"/>
      <ns0:c r="L256" s="77" t="n">
        <ns0:v>2.28</ns0:v>
      </ns0:c>
      <ns0:c r="M256" s="77" t="n">
        <ns0:v>2.28</ns0:v>
      </ns0:c>
      <ns0:c r="N256" s="74" t="inlineStr">
        <ns0:is>
          <ns0:t>Y</ns0:t>
        </ns0:is>
      </ns0:c>
      <ns0:c r="O256" s="78" t="n">
        <ns0:v>100</ns0:v>
      </ns0:c>
      <ns0:c r="P256" s="84" t="n"/>
      <ns0:c r="Q256" s="79" t="n">
        <ns0:v>1174.7</ns0:v>
      </ns0:c>
      <ns0:c r="R256" s="74" t="inlineStr">
        <ns0:is>
          <ns0:t>aastocks:上市市值 at the struck price</ns0:t>
        </ns0:is>
      </ns0:c>
      <ns0:c r="S256" s="80" t="n">
        <ns0:v>103.44</ns0:v>
      </ns0:c>
      <ns0:c r="T256" s="81" t="n">
        <ns0:v>0.98</ns0:v>
      </ns0:c>
      <ns0:c r="U256" s="82" t="n">
        <ns0:v>22.7</ns0:v>
      </ns0:c>
      <ns0:c r="V256" s="83" t="n">
        <ns0:v>136</ns0:v>
      </ns0:c>
      <ns0:c r="W256" s="78" t="n">
        <ns0:v>15.2</ns0:v>
      </ns0:c>
      <ns0:c r="X256" s="85" t="n"/>
      <ns0:c r="Y256" s="97" t="n"/>
      <ns0:c r="Z256" s="97" t="n"/>
      <ns0:c r="AA256" s="84" t="n"/>
      <ns0:c r="AB256" s="74" t="inlineStr">
        <ns0:is>
          <ns0:t>CPIC Investment Management (H.K.) Company Limited; The Reynold Lemkins Group (Asia) Limited</ns0:t>
        </ns0:is>
      </ns0:c>
      <ns0:c r="AC256" s="74" t="inlineStr">
        <ns0:is>
          <ns0:t>cpic;reynold</ns0:t>
        </ns0:is>
      </ns0:c>
      <ns0:c r="AD256" s="84" t="n"/>
      <ns0:c r="AE256" s="74" t="inlineStr">
        <ns0:is>
          <ns0:t>lapsed (no over-allocation)</ns0:t>
        </ns0:is>
      </ns0:c>
      <ns0:c r="AF256" s="74" t="inlineStr">
        <ns0:is>
          <ns0:t>2024-06-22</ns0:t>
        </ns0:is>
      </ns0:c>
      <ns0:c r="AG256" s="74" t="inlineStr">
        <ns0:is>
          <ns0:t>CMB International Capital Limited</ns0:t>
        </ns0:is>
      </ns0:c>
      <ns0:c r="AH256" s="74" t="inlineStr">
        <ns0:is>
          <ns0:t>CMB</ns0:t>
        </ns0:is>
      </ns0:c>
      <ns0:c r="AI256" s="86" t="n">
        <ns0:v>40.79</ns0:v>
      </ns0:c>
      <ns0:c r="AJ256" s="87" t="n">
        <ns0:v>84.20999999999999</ns0:v>
      </ns0:c>
      <ns0:c r="AK256" s="87" t="n">
        <ns0:v>0.13</ns0:v>
      </ns0:c>
      <ns0:c r="AL256" s="87" t="n">
        <ns0:v>35.53</ns0:v>
      </ns0:c>
      <ns0:c r="AM256" s="87" t="n">
        <ns0:v>35.92</ns0:v>
      </ns0:c>
      <ns0:c r="AN256" s="89" t="n">
        <ns0:v>2.27</ns0:v>
      </ns0:c>
      <ns0:c r="AO256" s="78" t="n">
        <ns0:v>51.13</ns0:v>
      </ns0:c>
      <ns0:c r="AP256" s="87" t="n">
        <ns0:v>35.09</ns0:v>
      </ns0:c>
      <ns0:c r="AQ256" s="87" t="n">
        <ns0:v>84.20999999999999</ns0:v>
      </ns0:c>
      <ns0:c r="AR256" s="87" t="n">
        <ns0:v>49.12</ns0:v>
      </ns0:c>
      <ns0:c r="AS256" s="87" t="n">
        <ns0:v>-26.67</ns0:v>
      </ns0:c>
      <ns0:c r="AT256" s="87" t="n">
        <ns0:v>0</ns0:v>
      </ns0:c>
      <ns0:c r="AU256" s="87" t="n">
        <ns0:v>-19.05</ns0:v>
      </ns0:c>
      <ns0:c r="AV256" s="87" t="n">
        <ns0:v>36.4</ns0:v>
      </ns0:c>
      <ns0:c r="AW256" s="87" t="n">
        <ns0:v>89.48999999999999</ns0:v>
      </ns0:c>
      <ns0:c r="AX256" s="87" t="n">
        <ns0:v>53.89</ns0:v>
      </ns0:c>
      <ns0:c r="AY256" s="87" t="n">
        <ns0:v>5.4</ns0:v>
      </ns0:c>
      <ns0:c r="AZ256" s="87" t="n">
        <ns0:v>-5.28</ns0:v>
      </ns0:c>
      <ns0:c r="BA256" s="87" t="n">
        <ns0:v>-5.4</ns0:v>
      </ns0:c>
      <ns0:c r="BB256" s="74" t="inlineStr">
        <ns0:is>
          <ns0:t>Hang Seng Commerce &amp; Industry sub-index</ns0:t>
        </ns0:is>
      </ns0:c>
      <ns0:c r="BC256" s="87" t="n">
        <ns0:v>-71.05</ns0:v>
      </ns0:c>
      <ns0:c r="BD256" s="75" t="n">
        <ns0:v>46297</ns0:v>
      </ns0:c>
      <ns0:c r="BE256" s="76" t="n">
        <ns0:v>1330.2</ns0:v>
      </ns0:c>
      <ns0:c r="BF256" s="79" t="n">
        <ns0:v>76.3</ns0:v>
      </ns0:c>
      <ns0:c r="BG256" s="74" t="inlineStr">
        <ns0:is>
          <ns0:t>Y</ns0:t>
        </ns0:is>
      </ns0:c>
      <ns0:c r="BH256" s="89" t="n">
        <ns0:v>15.4</ns0:v>
      </ns0:c>
      <ns0:c r="BI256" s="88" t="n"/>
      <ns0:c r="BJ256" s="88" t="n"/>
      <ns0:c r="BK256" s="89" t="n">
        <ns0:v>0.9</ns0:v>
      </ns0:c>
      <ns0:c r="BL256" s="90">
        <ns0:f>IFERROR(IF('BBG Verify'!S256="","Awaiting Bloomberg",'BBG Verify'!S256),"Awaiting Bloomberg")</ns0:f>
        <ns0:v/>
      </ns0:c>
      <ns0:c r="BM256" s="91" t="inlineStr">
        <ns0:is>
          <ns0:t>N</ns0:t>
        </ns0:is>
      </ns0:c>
      <ns0:c r="BN256" s="92">
        <ns0:f>IFERROR(IF('BBG Verify'!K256="","Awaiting Bloomberg",'BBG Verify'!K256),"Awaiting Bloomberg")</ns0:f>
        <ns0:v/>
      </ns0:c>
      <ns0:c r="BO256" s="74" t="inlineStr">
        <ns0:is>
          <ns0:t>N/A</ns0:t>
        </ns0:is>
      </ns0:c>
      <ns0:c r="BP256" s="74" t="inlineStr">
        <ns0:is>
          <ns0:t>N/A</ns0:t>
        </ns0:is>
      </ns0:c>
      <ns0:c r="BQ256" s="74" t="inlineStr">
        <ns0:is>
          <ns0:t>N/A</ns0:t>
        </ns0:is>
      </ns0:c>
      <ns0:c r="BR256" s="74" t="inlineStr">
        <ns0:is>
          <ns0:t>N/A</ns0:t>
        </ns0:is>
      </ns0:c>
      <ns0:c r="BS256" s="74" t="inlineStr">
        <ns0:is>
          <ns0:t>N/A</ns0:t>
        </ns0:is>
      </ns0:c>
      <ns0:c r="BT256" s="74" t="inlineStr">
        <ns0:is>
          <ns0:t>N/A</ns0:t>
        </ns0:is>
      </ns0:c>
      <ns0:c r="BU256" s="91" t="inlineStr">
        <ns0:is>
          <ns0:t>CMB International Capital Limited</ns0:t>
        </ns0:is>
      </ns0:c>
      <ns0:c r="BV256" s="74" t="inlineStr">
        <ns0:is>
          <ns0:t>CMB International Capital Corporation Limited</ns0:t>
        </ns0:is>
      </ns0:c>
      <ns0:c r="BW256" s="74" t="inlineStr">
        <ns0:is>
          <ns0:t>CMB International Capital Limited; ABCI Capital Limited; ABCI Securities Company Limited</ns0:t>
        </ns0:is>
      </ns0:c>
      <ns0:c r="BX256" s="74" t="inlineStr">
        <ns0:is>
          <ns0: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ns0:t>
        </ns0:is>
      </ns0:c>
      <ns0:c r="BY256" s="93">
        <ns0:f>HYPERLINK("https://www1.hkexnews.hk/listedco/listconews/sehk/2024/0519/2024051900044.htm","prospectus")</ns0:f>
        <ns0:v/>
      </ns0:c>
      <ns0:c r="BZ256" s="93">
        <ns0:f>HYPERLINK("https://www1.hkexnews.hk/listedco/listconews/sehk/2024/0527/2024052701491.pdf","allotment")</ns0:f>
        <ns0:v/>
      </ns0:c>
      <ns0:c r="CA256" s="93">
        <ns0:f>HYPERLINK("https://www1.hkexnews.hk/listedco/listconews/sehk/2024/0624/2024062401055.pdf","stabilisation")</ns0:f>
        <ns0:v/>
      </ns0:c>
      <ns0:c r="CB256" s="94" t="n"/>
      <ns0:c r="CC256" s="74" t="inlineStr">
        <ns0:is>
          <ns0:t>price range: fixed-price offering (no indicative range); range low: maximum offer price only, no floor published; greenshoe size: no over-allotment option; deal size: no proceeds figure in any filing; eff free float: % of cap not computable: deal size not available; eff float shares: share count unavailable; the HK$m figure is exact; size basis: no size on file; allocation: clawback line not in this notice; a 12-28% split is consistent with either a tier-1 clawback or a placing shortfall</ns0:t>
        </ns0:is>
      </ns0:c>
    </ns0:row>
    <ns0:row r="257" ht="22" customHeight="1">
      <ns0:c r="A257" s="73" t="inlineStr">
        <ns0:is>
          <ns0:t>2443</ns0:t>
        </ns0:is>
      </ns0:c>
      <ns0:c r="B257" s="74" t="inlineStr">
        <ns0:is>
          <ns0:t>AUTOSTREETS</ns0:t>
        </ns0:is>
      </ns0:c>
      <ns0:c r="C257" s="74" t="inlineStr">
        <ns0:is>
          <ns0:t>汽車街</ns0:t>
        </ns0:is>
      </ns0:c>
      <ns0:c r="D257" s="74" t="inlineStr">
        <ns0:is>
          <ns0:t>Consumer</ns0:t>
        </ns0:is>
      </ns0:c>
      <ns0:c r="E257" s="74" t="inlineStr">
        <ns0:is>
          <ns0:t>Retail / distribution</ns0:t>
        </ns0:is>
      </ns0:c>
      <ns0:c r="F257" s="74" t="inlineStr">
        <ns0:is>
          <ns0:t>Automotive Retail</ns0:t>
        </ns0:is>
      </ns0:c>
      <ns0:c r="G257" s="74" t="inlineStr">
        <ns0:is>
          <ns0:t>Standard</ns0:t>
        </ns0:is>
      </ns0:c>
      <ns0:c r="H257" s="75" t="n">
        <ns0:v>45443</ns0:v>
      </ns0:c>
      <ns0:c r="I257" s="76" t="n">
        <ns0:v>153</ns0:v>
      </ns0:c>
      <ns0:c r="J257" s="74" t="inlineStr">
        <ns0:is>
          <ns0:t>gross (stated)</ns0:t>
        </ns0:is>
      </ns0:c>
      <ns0:c r="K257" s="95" t="n"/>
      <ns0:c r="L257" s="77" t="n">
        <ns0:v>10.2</ns0:v>
      </ns0:c>
      <ns0:c r="M257" s="77" t="n">
        <ns0:v>10.2</ns0:v>
      </ns0:c>
      <ns0:c r="N257" s="74" t="inlineStr">
        <ns0:is>
          <ns0:t>Y</ns0:t>
        </ns0:is>
      </ns0:c>
      <ns0:c r="O257" s="78" t="n">
        <ns0:v>100</ns0:v>
      </ns0:c>
      <ns0:c r="P257" s="84" t="n"/>
      <ns0:c r="Q257" s="79" t="n">
        <ns0:v>7734.9</ns0:v>
      </ns0:c>
      <ns0:c r="R257" s="74" t="inlineStr">
        <ns0:is>
          <ns0:t>prospectus:stated market capitalisation, rescaled to the offer price</ns0:t>
        </ns0:is>
      </ns0:c>
      <ns0:c r="S257" s="80" t="n">
        <ns0:v>433.34</ns0:v>
      </ns0:c>
      <ns0:c r="T257" s="81" t="n">
        <ns0:v>0.98</ns0:v>
      </ns0:c>
      <ns0:c r="U257" s="82" t="n">
        <ns0:v>0</ns0:v>
      </ns0:c>
      <ns0:c r="V257" s="83" t="n">
        <ns0:v>148</ns0:v>
      </ns0:c>
      <ns0:c r="W257" s="78" t="n">
        <ns0:v>20</ns0:v>
      </ns0:c>
      <ns0:c r="X257" s="85" t="n"/>
      <ns0:c r="Y257" s="79" t="n">
        <ns0:v>153</ns0:v>
      </ns0:c>
      <ns0:c r="Z257" s="79" t="n">
        <ns0:v>15000000</ns0:v>
      </ns0:c>
      <ns0:c r="AA257" s="78" t="n">
        <ns0:v>1.98</ns0:v>
      </ns0:c>
      <ns0:c r="AB257" s="74" t="inlineStr">
        <ns0:is>
          <ns0:t>none — no cornerstone tranche</ns0:t>
        </ns0:is>
      </ns0:c>
      <ns0:c r="AC257" s="74" t="inlineStr">
        <ns0:is>
          <ns0:t>none</ns0:t>
        </ns0:is>
      </ns0:c>
      <ns0:c r="AD257" s="84" t="n"/>
      <ns0:c r="AE257" s="85" t="n"/>
      <ns0:c r="AF257" s="85" t="n"/>
      <ns0:c r="AG257" s="85" t="n"/>
      <ns0:c r="AH257" s="85" t="n"/>
      <ns0:c r="AI257" s="86" t="n">
        <ns0:v>44.31</ns0:v>
      </ns0:c>
      <ns0:c r="AJ257" s="87" t="n">
        <ns0:v>26.86</ns0:v>
      </ns0:c>
      <ns0:c r="AK257" s="87" t="n">
        <ns0:v>-1.11</ns0:v>
      </ns0:c>
      <ns0:c r="AL257" s="87" t="n">
        <ns0:v>42.16</ns0:v>
      </ns0:c>
      <ns0:c r="AM257" s="87" t="n">
        <ns0:v>-10.76</ns0:v>
      </ns0:c>
      <ns0:c r="AN257" s="89" t="n">
        <ns0:v>2.57</ns0:v>
      </ns0:c>
      <ns0:c r="AO257" s="78" t="n">
        <ns0:v>29.79</ns0:v>
      </ns0:c>
      <ns0:c r="AP257" s="87" t="n">
        <ns0:v>12.55</ns0:v>
      </ns0:c>
      <ns0:c r="AQ257" s="87" t="n">
        <ns0:v>-20.59</ns0:v>
      </ns0:c>
      <ns0:c r="AR257" s="87" t="n">
        <ns0:v>-48.92</ns0:v>
      </ns0:c>
      <ns0:c r="AS257" s="87" t="n">
        <ns0:v>-11.28</ns0:v>
      </ns0:c>
      <ns0:c r="AT257" s="87" t="n">
        <ns0:v>-37.4</ns0:v>
      </ns0:c>
      <ns0:c r="AU257" s="87" t="n">
        <ns0:v>-59.74</ns0:v>
      </ns0:c>
      <ns0:c r="AV257" s="87" t="n">
        <ns0:v>11.17</ns0:v>
      </ns0:c>
      <ns0:c r="AW257" s="87" t="n">
        <ns0:v>-20.17</ns0:v>
      </ns0:c>
      <ns0:c r="AX257" s="87" t="n">
        <ns0:v>-48.88</ns0:v>
      </ns0:c>
      <ns0:c r="AY257" s="87" t="n">
        <ns0:v>-38.1</ns0:v>
      </ns0:c>
      <ns0:c r="AZ257" s="87" t="n">
        <ns0:v>-0.42</ns0:v>
      </ns0:c>
      <ns0:c r="BA257" s="87" t="n">
        <ns0:v>0.7</ns0:v>
      </ns0:c>
      <ns0:c r="BB257" s="74" t="inlineStr">
        <ns0:is>
          <ns0:t>Hang Seng Commerce &amp; Industry sub-index</ns0:t>
        </ns0:is>
      </ns0:c>
      <ns0:c r="BC257" s="87" t="n">
        <ns0:v>-90.25</ns0:v>
      </ns0:c>
      <ns0:c r="BD257" s="75" t="n">
        <ns0:v>46297</ns0:v>
      </ns0:c>
      <ns0:c r="BE257" s="76" t="n">
        <ns0:v>541.2</ns0:v>
      </ns0:c>
      <ns0:c r="BF257" s="97" t="n"/>
      <ns0:c r="BG257" s="74" t="inlineStr">
        <ns0:is>
          <ns0:t>Y</ns0:t>
        </ns0:is>
      </ns0:c>
      <ns0:c r="BH257" s="90">
        <ns0:f>IFERROR(IF('BBG Verify'!O257="","Awaiting Bloomberg",'BBG Verify'!O257),"Awaiting Bloomberg")</ns0:f>
        <ns0:v/>
      </ns0:c>
      <ns0:c r="BI257" s="88" t="n"/>
      <ns0:c r="BJ257" s="89" t="n">
        <ns0:v>95.8</ns0:v>
      </ns0:c>
      <ns0:c r="BK257" s="89" t="n">
        <ns0:v>14.3</ns0:v>
      </ns0:c>
      <ns0:c r="BL257" s="90">
        <ns0:f>IFERROR(IF('BBG Verify'!S257="","Awaiting Bloomberg",'BBG Verify'!S257),"Awaiting Bloomberg")</ns0:f>
        <ns0:v/>
      </ns0:c>
      <ns0:c r="BM257" s="91" t="inlineStr">
        <ns0:is>
          <ns0:t>N</ns0:t>
        </ns0:is>
      </ns0:c>
      <ns0:c r="BN257" s="92">
        <ns0:f>IFERROR(IF('BBG Verify'!K257="","Awaiting Bloomberg",'BBG Verify'!K257),"Awaiting Bloomberg")</ns0:f>
        <ns0:v/>
      </ns0:c>
      <ns0:c r="BO257" s="74" t="inlineStr">
        <ns0:is>
          <ns0:t>N/A</ns0:t>
        </ns0:is>
      </ns0:c>
      <ns0:c r="BP257" s="74" t="inlineStr">
        <ns0:is>
          <ns0:t>N/A</ns0:t>
        </ns0:is>
      </ns0:c>
      <ns0:c r="BQ257" s="74" t="inlineStr">
        <ns0:is>
          <ns0:t>N/A</ns0:t>
        </ns0:is>
      </ns0:c>
      <ns0:c r="BR257" s="74" t="inlineStr">
        <ns0:is>
          <ns0:t>N/A</ns0:t>
        </ns0:is>
      </ns0:c>
      <ns0:c r="BS257" s="74" t="inlineStr">
        <ns0:is>
          <ns0:t>N/A</ns0:t>
        </ns0:is>
      </ns0:c>
      <ns0:c r="BT257" s="74" t="inlineStr">
        <ns0:is>
          <ns0:t>N/A</ns0:t>
        </ns0:is>
      </ns0:c>
      <ns0:c r="BU257" s="91" t="inlineStr">
        <ns0:is>
          <ns0:t>CITIC Securities (Hong Kong) Limited; Haitong International Capital Limited</ns0:t>
        </ns0:is>
      </ns0:c>
      <ns0:c r="BV257" s="74" t="inlineStr">
        <ns0:is>
          <ns0:t>Haitong International Capital Limited; CITIC Securities (Hong Kong) Limited</ns0:t>
        </ns0:is>
      </ns0:c>
      <ns0:c r="BW257" s="74" t="inlineStr">
        <ns0:is>
          <ns0:t>CLSA Limited; Haitong International S ecurities Company Limited; Fosun International Securities Limited; Central Hong Kong China Galaxy International Securities (Hong Kong) Co., Limited; Central Hong Kong CMB International Capital Limited; ABCI Securities Company Limited; BOCI Asia Limited; Futu Securities Internat ional (Hong Kong) Limited; Livermore Holdings Limited; Patrons Securities Limited; Ruibang Securities Limited; Central Hong Kong SPDB International Capital Limited; ABCI Capital Limited</ns0:t>
        </ns0:is>
      </ns0:c>
      <ns0:c r="BX257" s="74" t="inlineStr">
        <ns0:is>
          <ns0: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ns0:t>
        </ns0:is>
      </ns0:c>
      <ns0:c r="BY257" s="93">
        <ns0:f>HYPERLINK("https://www1.hkexnews.hk/listedco/listconews/sehk/2024/0523/2024052300042.htm","prospectus")</ns0:f>
        <ns0:v/>
      </ns0:c>
      <ns0:c r="BZ257" s="93">
        <ns0:f>HYPERLINK("https://www1.hkexnews.hk/listedco/listconews/sehk/2024/0530/2024053001320.pdf","allotment")</ns0:f>
        <ns0:v/>
      </ns0:c>
      <ns0:c r="CA257" s="85" t="n"/>
      <ns0:c r="CB257" s="94" t="n"/>
      <ns0:c r="CC257" s="74" t="inlineStr">
        <ns0:is>
          <ns0:t>P/E: withheld: 758x fails the 300x plausibility cap; extracted net income HK$10.2m suspect; greenshoe: no over-allotment option; price range: fixed-price offering (no indicative range); range low: maximum offer price only, no floor published; market cap: prospectus cap HK$8,493m at HK$11.20, rescaled to HK$10.20; cornerstone list: no cornerstone tranche; greenshoe size: no over-allotment option; stabilising manager: filing states none appointed (allotment announcement: 'no stabilizing manager will be appointed' stated in the filing); financials: not extractable; pre-IPO year outside the AAStocks window; allocation: clawback line not in this notice; a 12-28% split is consistent with either a tier-1 clawback or a placing shortfall</ns0:t>
        </ns0:is>
      </ns0:c>
    </ns0:row>
    <ns0:row r="258" ht="22" customHeight="1">
      <ns0:c r="A258" s="73" t="inlineStr">
        <ns0:is>
          <ns0:t>2522</ns0:t>
        </ns0:is>
      </ns0:c>
      <ns0:c r="B258" s="74" t="inlineStr">
        <ns0:is>
          <ns0:t>RIMAG GROUP</ns0:t>
        </ns0:is>
      </ns0:c>
      <ns0:c r="C258" s="74" t="inlineStr">
        <ns0:is>
          <ns0:t>一脈陽光</ns0:t>
        </ns0:is>
      </ns0:c>
      <ns0:c r="D258" s="74" t="inlineStr">
        <ns0:is>
          <ns0:t>Healthcare</ns0:t>
        </ns0:is>
      </ns0:c>
      <ns0:c r="E258" s="74" t="inlineStr">
        <ns0:is>
          <ns0:t>Hospitals / clinics</ns0:t>
        </ns0:is>
      </ns0:c>
      <ns0:c r="F258" s="74" t="inlineStr">
        <ns0:is>
          <ns0:t>Health Care Services</ns0:t>
        </ns0:is>
      </ns0:c>
      <ns0:c r="G258" s="74" t="inlineStr">
        <ns0:is>
          <ns0:t>Standard</ns0:t>
        </ns0:is>
      </ns0:c>
      <ns0:c r="H258" s="75" t="n">
        <ns0:v>45450</ns0:v>
      </ns0:c>
      <ns0:c r="I258" s="76" t="n">
        <ns0:v>266.9</ns0:v>
      </ns0:c>
      <ns0:c r="J258" s="74" t="inlineStr">
        <ns0:is>
          <ns0:t>gross (price x shares)</ns0:t>
        </ns0:is>
      </ns0:c>
      <ns0:c r="K258" s="77" t="n">
        <ns0:v>14.6</ns0:v>
      </ns0:c>
      <ns0:c r="L258" s="77" t="n">
        <ns0:v>16.8</ns0:v>
      </ns0:c>
      <ns0:c r="M258" s="77" t="n">
        <ns0:v>14.98</ns0:v>
      </ns0:c>
      <ns0:c r="N258" s="74" t="inlineStr">
        <ns0:is>
          <ns0:t>N</ns0:t>
        </ns0:is>
      </ns0:c>
      <ns0:c r="O258" s="78" t="n">
        <ns0:v>89.2</ns0:v>
      </ns0:c>
      <ns0:c r="P258" s="78" t="n">
        <ns0:v>17.3</ns0:v>
      </ns0:c>
      <ns0:c r="Q258" s="79" t="n">
        <ns0:v>5337.6</ns0:v>
      </ns0:c>
      <ns0:c r="R258" s="74" t="inlineStr">
        <ns0:is>
          <ns0:t>derived:price x shares upon listing</ns0:t>
        </ns0:is>
      </ns0:c>
      <ns0:c r="S258" s="80" t="n">
        <ns0:v>336.33</ns0:v>
      </ns0:c>
      <ns0:c r="T258" s="81" t="n">
        <ns0:v>1.24</ns0:v>
      </ns0:c>
      <ns0:c r="U258" s="82" t="n">
        <ns0:v>44.97</ns0:v>
      </ns0:c>
      <ns0:c r="V258" s="83" t="n">
        <ns0:v>111</ns0:v>
      </ns0:c>
      <ns0:c r="W258" s="78" t="n">
        <ns0:v>50</ns0:v>
      </ns0:c>
      <ns0:c r="X258" s="74" t="inlineStr">
        <ns0:is>
          <ns0:t>YES</ns0:t>
        </ns0:is>
      </ns0:c>
      <ns0:c r="Y258" s="79" t="n">
        <ns0:v>146.88</ns0:v>
      </ns0:c>
      <ns0:c r="Z258" s="79" t="n">
        <ns0:v>9804145</ns0:v>
      </ns0:c>
      <ns0:c r="AA258" s="78" t="n">
        <ns0:v>2.75</ns0:v>
      </ns0:c>
      <ns0:c r="AB258" s="74" t="inlineStr">
        <ns0:is>
          <ns0:t>Excellent Investment Enterprise Management (Hong Kong) Co., Limited; China New Rich Medicine Holding Co. Limited; United Imaging Healthcare Hong Kong Limited</ns0:t>
        </ns0:is>
      </ns0:c>
      <ns0:c r="AC258" s="74" t="inlineStr">
        <ns0:is>
          <ns0:t>excellent;new-rich;united</ns0:t>
        </ns0:is>
      </ns0:c>
      <ns0:c r="AD258" s="84" t="n"/>
      <ns0:c r="AE258" s="85" t="n"/>
      <ns0:c r="AF258" s="85" t="n"/>
      <ns0:c r="AG258" s="85" t="n"/>
      <ns0:c r="AH258" s="85" t="n"/>
      <ns0:c r="AI258" s="86" t="n">
        <ns0:v>1.6</ns0:v>
      </ns0:c>
      <ns0:c r="AJ258" s="87" t="n">
        <ns0:v>0.13</ns0:v>
      </ns0:c>
      <ns0:c r="AK258" s="87" t="n">
        <ns0:v>-0.58</ns0:v>
      </ns0:c>
      <ns0:c r="AL258" s="87" t="n">
        <ns0:v>0.13</ns0:v>
      </ns0:c>
      <ns0:c r="AM258" s="87" t="n">
        <ns0:v>0</ns0:v>
      </ns0:c>
      <ns0:c r="AN258" s="89" t="n">
        <ns0:v>1.38</ns0:v>
      </ns0:c>
      <ns0:c r="AO258" s="78" t="n">
        <ns0:v>19.2</ns0:v>
      </ns0:c>
      <ns0:c r="AP258" s="87" t="n">
        <ns0:v>28.3</ns0:v>
      </ns0:c>
      <ns0:c r="AQ258" s="87" t="n">
        <ns0:v>15.09</ns0:v>
      </ns0:c>
      <ns0:c r="AR258" s="87" t="n">
        <ns0:v>34.18</ns0:v>
      </ns0:c>
      <ns0:c r="AS258" s="87" t="n">
        <ns0:v>28.13</ns0:v>
      </ns0:c>
      <ns0:c r="AT258" s="87" t="n">
        <ns0:v>14.94</ns0:v>
      </ns0:c>
      <ns0:c r="AU258" s="87" t="n">
        <ns0:v>34.01</ns0:v>
      </ns0:c>
      <ns0:c r="AV258" s="87" t="n">
        <ns0:v>28.22</ns0:v>
      </ns0:c>
      <ns0:c r="AW258" s="87" t="n">
        <ns0:v>23.08</ns0:v>
      </ns0:c>
      <ns0:c r="AX258" s="87" t="n">
        <ns0:v>41.82</ns0:v>
      </ns0:c>
      <ns0:c r="AY258" s="87" t="n">
        <ns0:v>22.39</ns0:v>
      </ns0:c>
      <ns0:c r="AZ258" s="87" t="n">
        <ns0:v>-7.99</ns0:v>
      </ns0:c>
      <ns0:c r="BA258" s="87" t="n">
        <ns0:v>-7.45</ns0:v>
      </ns0:c>
      <ns0:c r="BB258" s="74" t="inlineStr">
        <ns0:is>
          <ns0:t>China Biotech ETF (HS biotech proxy)</ns0:t>
        </ns0:is>
      </ns0:c>
      <ns0:c r="BC258" s="87" t="n">
        <ns0:v>-65.92</ns0:v>
      </ns0:c>
      <ns0:c r="BD258" s="75" t="n">
        <ns0:v>46297</ns0:v>
      </ns0:c>
      <ns0:c r="BE258" s="76" t="n">
        <ns0:v>1021.8</ns0:v>
      </ns0:c>
      <ns0:c r="BF258" s="79" t="n">
        <ns0:v>40.2</ns0:v>
      </ns0:c>
      <ns0:c r="BG258" s="74" t="inlineStr">
        <ns0:is>
          <ns0:t>Y</ns0:t>
        </ns0:is>
      </ns0:c>
      <ns0:c r="BH258" s="89" t="n">
        <ns0:v>132.8</ns0:v>
      </ns0:c>
      <ns0:c r="BI258" s="88" t="n"/>
      <ns0:c r="BJ258" s="89" t="n">
        <ns0:v>305.6</ns0:v>
      </ns0:c>
      <ns0:c r="BK258" s="89" t="n">
        <ns0:v>5.2</ns0:v>
      </ns0:c>
      <ns0:c r="BL258" s="90">
        <ns0:f>IFERROR(IF('BBG Verify'!S258="","Awaiting Bloomberg",'BBG Verify'!S258),"Awaiting Bloomberg")</ns0:f>
        <ns0:v/>
      </ns0:c>
      <ns0:c r="BM258" s="91" t="inlineStr">
        <ns0:is>
          <ns0:t>N</ns0:t>
        </ns0:is>
      </ns0:c>
      <ns0:c r="BN258" s="92">
        <ns0:f>IFERROR(IF('BBG Verify'!K258="","Awaiting Bloomberg",'BBG Verify'!K258),"Awaiting Bloomberg")</ns0:f>
        <ns0:v/>
      </ns0:c>
      <ns0:c r="BO258" s="74" t="inlineStr">
        <ns0:is>
          <ns0:t>N/A</ns0:t>
        </ns0:is>
      </ns0:c>
      <ns0:c r="BP258" s="74" t="inlineStr">
        <ns0:is>
          <ns0:t>N/A</ns0:t>
        </ns0:is>
      </ns0:c>
      <ns0:c r="BQ258" s="74" t="inlineStr">
        <ns0:is>
          <ns0:t>N/A</ns0:t>
        </ns0:is>
      </ns0:c>
      <ns0:c r="BR258" s="74" t="inlineStr">
        <ns0:is>
          <ns0:t>N/A</ns0:t>
        </ns0:is>
      </ns0:c>
      <ns0:c r="BS258" s="74" t="inlineStr">
        <ns0:is>
          <ns0:t>N/A</ns0:t>
        </ns0:is>
      </ns0:c>
      <ns0:c r="BT258" s="74" t="inlineStr">
        <ns0:is>
          <ns0:t>N/A</ns0:t>
        </ns0:is>
      </ns0:c>
      <ns0:c r="BU258" s="91" t="inlineStr">
        <ns0:is>
          <ns0:t>CITIC Securities (Hong Kong) Limited; CLSA Limited</ns0:t>
        </ns0:is>
      </ns0:c>
      <ns0:c r="BV258" s="74" t="inlineStr">
        <ns0:is>
          <ns0:t>CITIC Securities (Hong Kong) Limited</ns0:t>
        </ns0:is>
      </ns0:c>
      <ns0:c r="BW258" s="74" t="inlineStr">
        <ns0:is>
          <ns0:t>CLSA Limited; CMB International Capital Limited; Huatai Financial Holdings (Hong Kong) Limited; Fosun International Securities Limited; ABCI Capital Limited; China Galaxy International Securities (Hong Kong) Co., Limited; Futu Securities International (Hong Kong) Limited; ICBC International Securities Limited; Patrons Securities Limited; Quam Securities Limited; TradeGo Markets Limited</ns0:t>
        </ns0:is>
      </ns0:c>
      <ns0:c r="BX258" s="74" t="inlineStr">
        <ns0:is>
          <ns0: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ns0:t>
        </ns0:is>
      </ns0:c>
      <ns0:c r="BY258" s="93">
        <ns0:f>HYPERLINK("https://www1.hkexnews.hk/listedco/listconews/sehk/2024/0530/2024053000044.pdf","prospectus")</ns0:f>
        <ns0:v/>
      </ns0:c>
      <ns0:c r="BZ258" s="93">
        <ns0:f>HYPERLINK("https://www1.hkexnews.hk/listedco/listconews/sehk/2024/0606/2024060602117.pdf","allotment")</ns0:f>
        <ns0:v/>
      </ns0:c>
      <ns0:c r="CA258" s="85" t="n"/>
      <ns0:c r="CB258" s="94" t="n"/>
      <ns0:c r="CC258" s="74" t="inlineStr">
        <ns0:is>
          <ns0:t>greenshoe: no over-allotment option; market cap: prospectus 'market capitalisation' line is the listing-rule threshold, not the issuer's figure; rejected; greenshoe size: no over-allotment option; stabilising manager: no over-allotment option, so none appointed</ns0:t>
        </ns0:is>
      </ns0:c>
    </ns0:row>
    <ns0:row r="259" ht="22" customHeight="1">
      <ns0:c r="A259" s="73" t="inlineStr">
        <ns0:is>
          <ns0:t>2550</ns0:t>
        </ns0:is>
      </ns0:c>
      <ns0:c r="B259" s="74" t="inlineStr">
        <ns0:is>
          <ns0:t>EASOU TECH</ns0:t>
        </ns0:is>
      </ns0:c>
      <ns0:c r="C259" s="74" t="inlineStr">
        <ns0:is>
          <ns0:t>宜搜科技</ns0:t>
        </ns0:is>
      </ns0:c>
      <ns0:c r="D259" s="74" t="inlineStr">
        <ns0:is>
          <ns0:t>Technology</ns0:t>
        </ns0:is>
      </ns0:c>
      <ns0:c r="E259" s="74" t="inlineStr">
        <ns0:is>
          <ns0:t>Internet &amp; fintech</ns0:t>
        </ns0:is>
      </ns0:c>
      <ns0:c r="F259" s="74" t="inlineStr">
        <ns0:is>
          <ns0:t>Advertising</ns0:t>
        </ns0:is>
      </ns0:c>
      <ns0:c r="G259" s="74" t="inlineStr">
        <ns0:is>
          <ns0:t>Standard</ns0:t>
        </ns0:is>
      </ns0:c>
      <ns0:c r="H259" s="75" t="n">
        <ns0:v>45450</ns0:v>
      </ns0:c>
      <ns0:c r="I259" s="76" t="n">
        <ns0:v>85.90000000000001</ns0:v>
      </ns0:c>
      <ns0:c r="J259" s="74" t="inlineStr">
        <ns0:is>
          <ns0:t>gross (price x shares)</ns0:t>
        </ns0:is>
      </ns0:c>
      <ns0:c r="K259" s="77" t="n">
        <ns0:v>5.8</ns0:v>
      </ns0:c>
      <ns0:c r="L259" s="77" t="n">
        <ns0:v>8</ns0:v>
      </ns0:c>
      <ns0:c r="M259" s="77" t="n">
        <ns0:v>5.8</ns0:v>
      </ns0:c>
      <ns0:c r="N259" s="74" t="inlineStr">
        <ns0:is>
          <ns0:t>N</ns0:t>
        </ns0:is>
      </ns0:c>
      <ns0:c r="O259" s="78" t="n">
        <ns0:v>72.5</ns0:v>
      </ns0:c>
      <ns0:c r="P259" s="78" t="n">
        <ns0:v>0</ns0:v>
      </ns0:c>
      <ns0:c r="Q259" s="79" t="n">
        <ns0:v>1907.8</ns0:v>
      </ns0:c>
      <ns0:c r="R259" s="74" t="inlineStr">
        <ns0:is>
          <ns0:t>derived:price x shares upon listing</ns0:t>
        </ns0:is>
      </ns0:c>
      <ns0:c r="S259" s="80" t="n">
        <ns0:v>114.59</ns0:v>
      </ns0:c>
      <ns0:c r="T259" s="81" t="n">
        <ns0:v>0.98</ns0:v>
      </ns0:c>
      <ns0:c r="U259" s="82" t="n">
        <ns0:v>0</ns0:v>
      </ns0:c>
      <ns0:c r="V259" s="83" t="n">
        <ns0:v>127</ns0:v>
      </ns0:c>
      <ns0:c r="W259" s="78" t="n">
        <ns0:v>13.17</ns0:v>
      </ns0:c>
      <ns0:c r="X259" s="85" t="n"/>
      <ns0:c r="Y259" s="79" t="n">
        <ns0:v>85.90000000000001</ns0:v>
      </ns0:c>
      <ns0:c r="Z259" s="79" t="n">
        <ns0:v>14802500</ns0:v>
      </ns0:c>
      <ns0:c r="AA259" s="78" t="n">
        <ns0:v>4.5</ns0:v>
      </ns0:c>
      <ns0:c r="AB259" s="74" t="inlineStr">
        <ns0:is>
          <ns0:t>none — no cornerstone tranche</ns0:t>
        </ns0:is>
      </ns0:c>
      <ns0:c r="AC259" s="74" t="inlineStr">
        <ns0:is>
          <ns0:t>none</ns0:t>
        </ns0:is>
      </ns0:c>
      <ns0:c r="AD259" s="78" t="n">
        <ns0:v>15</ns0:v>
      </ns0:c>
      <ns0:c r="AE259" s="85" t="n"/>
      <ns0:c r="AF259" s="85" t="n"/>
      <ns0:c r="AG259" s="74" t="inlineStr">
        <ns0:is>
          <ns0:t>BOCI Asia Limited</ns0:t>
        </ns0:is>
      </ns0:c>
      <ns0:c r="AH259" s="74" t="inlineStr">
        <ns0:is>
          <ns0:t>BOCI</ns0:t>
        </ns0:is>
      </ns0:c>
      <ns0:c r="AI259" s="86" t="n">
        <ns0:v>43.97</ns0:v>
      </ns0:c>
      <ns0:c r="AJ259" s="87" t="n">
        <ns0:v>91.72</ns0:v>
      </ns0:c>
      <ns0:c r="AK259" s="87" t="n">
        <ns0:v>-1.65</ns0:v>
      </ns0:c>
      <ns0:c r="AL259" s="87" t="n">
        <ns0:v>46.55</ns0:v>
      </ns0:c>
      <ns0:c r="AM259" s="87" t="n">
        <ns0:v>30.82</ns0:v>
      </ns0:c>
      <ns0:c r="AN259" s="89" t="n">
        <ns0:v>2.85</ns0:v>
      </ns0:c>
      <ns0:c r="AO259" s="78" t="n">
        <ns0:v>36.47</ns0:v>
      </ns0:c>
      <ns0:c r="AP259" s="87" t="n">
        <ns0:v>191.03</ns0:v>
      </ns0:c>
      <ns0:c r="AQ259" s="87" t="n">
        <ns0:v>200</ns0:v>
      </ns0:c>
      <ns0:c r="AR259" s="87" t="n">
        <ns0:v>223.79</ns0:v>
      </ns0:c>
      <ns0:c r="AS259" s="87" t="n">
        <ns0:v>51.8</ns0:v>
      </ns0:c>
      <ns0:c r="AT259" s="87" t="n">
        <ns0:v>56.48</ns0:v>
      </ns0:c>
      <ns0:c r="AU259" s="87" t="n">
        <ns0:v>68.89</ns0:v>
      </ns0:c>
      <ns0:c r="AV259" s="87" t="n">
        <ns0:v>194.22</ns0:v>
      </ns0:c>
      <ns0:c r="AW259" s="87" t="n">
        <ns0:v>206.06</ns0:v>
      </ns0:c>
      <ns0:c r="AX259" s="87" t="n">
        <ns0:v>233.99</ns0:v>
      </ns0:c>
      <ns0:c r="AY259" s="87" t="n">
        <ns0:v>60.96</ns0:v>
      </ns0:c>
      <ns0:c r="AZ259" s="87" t="n">
        <ns0:v>-6.06</ns0:v>
      </ns0:c>
      <ns0:c r="BA259" s="87" t="n">
        <ns0:v>-4.48</ns0:v>
      </ns0:c>
      <ns0:c r="BB259" s="74" t="inlineStr">
        <ns0:is>
          <ns0:t>HSTECH (Hang Seng TECH ETF)</ns0:t>
        </ns0:is>
      </ns0:c>
      <ns0:c r="BC259" s="87" t="n">
        <ns0:v>-63.79</ns0:v>
      </ns0:c>
      <ns0:c r="BD259" s="75" t="n">
        <ns0:v>46297</ns0:v>
      </ns0:c>
      <ns0:c r="BE259" s="76" t="n">
        <ns0:v>614.9</ns0:v>
      </ns0:c>
      <ns0:c r="BF259" s="79" t="n">
        <ns0:v>27.5</ns0:v>
      </ns0:c>
      <ns0:c r="BG259" s="74" t="inlineStr">
        <ns0:is>
          <ns0:t>Y</ns0:t>
        </ns0:is>
      </ns0:c>
      <ns0:c r="BH259" s="89" t="n">
        <ns0:v>69.40000000000001</ns0:v>
      </ns0:c>
      <ns0:c r="BI259" s="88" t="n"/>
      <ns0:c r="BJ259" s="89" t="n">
        <ns0:v>20.5</ns0:v>
      </ns0:c>
      <ns0:c r="BK259" s="89" t="n">
        <ns0:v>3.1</ns0:v>
      </ns0:c>
      <ns0:c r="BL259" s="90">
        <ns0:f>IFERROR(IF('BBG Verify'!S259="","Awaiting Bloomberg",'BBG Verify'!S259),"Awaiting Bloomberg")</ns0:f>
        <ns0:v/>
      </ns0:c>
      <ns0:c r="BM259" s="91" t="inlineStr">
        <ns0:is>
          <ns0:t>N</ns0:t>
        </ns0:is>
      </ns0:c>
      <ns0:c r="BN259" s="92">
        <ns0:f>IFERROR(IF('BBG Verify'!K259="","Awaiting Bloomberg",'BBG Verify'!K259),"Awaiting Bloomberg")</ns0:f>
        <ns0:v/>
      </ns0:c>
      <ns0:c r="BO259" s="74" t="inlineStr">
        <ns0:is>
          <ns0:t>N/A</ns0:t>
        </ns0:is>
      </ns0:c>
      <ns0:c r="BP259" s="74" t="inlineStr">
        <ns0:is>
          <ns0:t>N/A</ns0:t>
        </ns0:is>
      </ns0:c>
      <ns0:c r="BQ259" s="74" t="inlineStr">
        <ns0:is>
          <ns0:t>N/A</ns0:t>
        </ns0:is>
      </ns0:c>
      <ns0:c r="BR259" s="74" t="inlineStr">
        <ns0:is>
          <ns0:t>N/A</ns0:t>
        </ns0:is>
      </ns0:c>
      <ns0:c r="BS259" s="74" t="inlineStr">
        <ns0:is>
          <ns0:t>N/A</ns0:t>
        </ns0:is>
      </ns0:c>
      <ns0:c r="BT259" s="74" t="inlineStr">
        <ns0:is>
          <ns0:t>N/A</ns0:t>
        </ns0:is>
      </ns0:c>
      <ns0:c r="BU259" s="91" t="inlineStr">
        <ns0:is>
          <ns0:t>BOCI Asia Limited</ns0:t>
        </ns0:is>
      </ns0:c>
      <ns0:c r="BV259" s="74" t="inlineStr">
        <ns0:is>
          <ns0:t>BOCI Asia Limited</ns0:t>
        </ns0:is>
      </ns0:c>
      <ns0:c r="BW259" s="74" t="inlineStr">
        <ns0:is>
          <ns0:t>BOCI Asia Limited; Guotai Junan Securities (Hong Kong) Limited; BOCOM International Securities Limited; Citrus Securities Limited; Guosen Securities (HK) Capital Company Limited; ICBC International Securities Limited; Livermore Holdings Limited; Shenwan Hongyuan Securities (H.K.) Limited; SPDB International Capital Limited; Tiger Brokers (HK) Global Limited; Zhongtai International Securities Limited</ns0:t>
        </ns0:is>
      </ns0:c>
      <ns0:c r="BX259" s="74" t="inlineStr">
        <ns0:is>
          <ns0: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ns0:t>
        </ns0:is>
      </ns0:c>
      <ns0:c r="BY259" s="93">
        <ns0:f>HYPERLINK("https://www1.hkexnews.hk/listedco/listconews/sehk/2024/0530/2024053000009.pdf","prospectus")</ns0:f>
        <ns0:v/>
      </ns0:c>
      <ns0:c r="BZ259" s="93">
        <ns0:f>HYPERLINK("https://www1.hkexnews.hk/listedco/listconews/sehk/2024/0606/2024060602135.pdf","allotment")</ns0:f>
        <ns0:v/>
      </ns0:c>
      <ns0:c r="CA259" s="85" t="n"/>
      <ns0:c r="CB259" s="94" t="n"/>
      <ns0:c r="CC259" s="74" t="inlineStr">
        <ns0:is>
          <ns0:t>greenshoe: end-of-stabilisation notice not found; sponsor: English name not in the filing; AAStocks 保薦人 shown; cornerstone list: no cornerstone tranche; allocation: clawback line not in this notice; a 12-28% split is consistent with either a tier-1 clawback or a placing shortfall</ns0:t>
        </ns0:is>
      </ns0:c>
    </ns0:row>
    <ns0:row r="260" ht="22" customHeight="1">
      <ns0:c r="A260" s="73" t="inlineStr">
        <ns0:is>
          <ns0:t>2228</ns0:t>
        </ns0:is>
      </ns0:c>
      <ns0:c r="B260" s="74" t="inlineStr">
        <ns0:is>
          <ns0:t>QUANTUMPH-P</ns0:t>
        </ns0:is>
      </ns0:c>
      <ns0:c r="C260" s="74" t="inlineStr">
        <ns0:is>
          <ns0:t>晶泰控股</ns0:t>
        </ns0:is>
      </ns0:c>
      <ns0:c r="D260" s="74" t="inlineStr">
        <ns0:is>
          <ns0:t>Technology</ns0:t>
        </ns0:is>
      </ns0:c>
      <ns0:c r="E260" s="74" t="inlineStr">
        <ns0:is>
          <ns0:t>Software &amp; AI</ns0:t>
        </ns0:is>
      </ns0:c>
      <ns0:c r="F260" s="74" t="inlineStr">
        <ns0:is>
          <ns0:t>Next-generation information technology</ns0:t>
        </ns0:is>
      </ns0:c>
      <ns0:c r="G260" s="74" t="inlineStr">
        <ns0:is>
          <ns0:t>18C</ns0:t>
        </ns0:is>
      </ns0:c>
      <ns0:c r="H260" s="75" t="n">
        <ns0:v>45456</ns0:v>
      </ns0:c>
      <ns0:c r="I260" s="76" t="n">
        <ns0:v>989.3</ns0:v>
      </ns0:c>
      <ns0:c r="J260" s="74" t="inlineStr">
        <ns0:is>
          <ns0:t>gross (price x shares)</ns0:t>
        </ns0:is>
      </ns0:c>
      <ns0:c r="K260" s="77" t="n">
        <ns0:v>5.03</ns0:v>
      </ns0:c>
      <ns0:c r="L260" s="77" t="n">
        <ns0:v>6.03</ns0:v>
      </ns0:c>
      <ns0:c r="M260" s="77" t="n">
        <ns0:v>5.28</ns0:v>
      </ns0:c>
      <ns0:c r="N260" s="74" t="inlineStr">
        <ns0:is>
          <ns0:t>N</ns0:t>
        </ns0:is>
      </ns0:c>
      <ns0:c r="O260" s="78" t="n">
        <ns0:v>87.59999999999999</ns0:v>
      </ns0:c>
      <ns0:c r="P260" s="78" t="n">
        <ns0:v>25</ns0:v>
      </ns0:c>
      <ns0:c r="Q260" s="79" t="n">
        <ns0:v>19601.7</ns0:v>
      </ns0:c>
      <ns0:c r="R260" s="74" t="inlineStr">
        <ns0:is>
          <ns0:t>prospectus:stated market capitalisation</ns0:t>
        </ns0:is>
      </ns0:c>
      <ns0:c r="S260" s="80" t="n">
        <ns0:v>103.35</ns0:v>
      </ns0:c>
      <ns0:c r="T260" s="81" t="n">
        <ns0:v>2.13</ns0:v>
      </ns0:c>
      <ns0:c r="U260" s="82" t="n">
        <ns0:v>34.12</ns0:v>
      </ns0:c>
      <ns0:c r="V260" s="83" t="n">
        <ns0:v>154</ns0:v>
      </ns0:c>
      <ns0:c r="W260" s="78" t="n">
        <ns0:v>20</ns0:v>
      </ns0:c>
      <ns0:c r="X260" s="74" t="inlineStr">
        <ns0:is>
          <ns0:t>YES</ns0:t>
        </ns0:is>
      </ns0:c>
      <ns0:c r="Y260" s="79" t="n">
        <ns0:v>651.75</ns0:v>
      </ns0:c>
      <ns0:c r="Z260" s="79" t="n">
        <ns0:v>123441332</ns0:v>
      </ns0:c>
      <ns0:c r="AA260" s="78" t="n">
        <ns0:v>3.32</ns0:v>
      </ns0:c>
      <ns0:c r="AB260" s="74" t="inlineStr">
        <ns0:is>
          <ns0:t>Successful Lotus Limited; IntelliMed One Investment Limited; Mammoth Medical Solutions; Begonia No. 1 LPF; Prof. Bradley Lether Pentelute; Ginkgo Capital Global Fund SPC— Ginkgo Capital Global Fund I SP; Biocytogen Pharmaceuticals (Beijing) Co., Ltd. 醫藥科技股份有 限公司; FaaS Capital Longevity Limited</ns0:t>
        </ns0:is>
      </ns0:c>
      <ns0:c r="AC260" s="74" t="inlineStr">
        <ns0:is>
          <ns0:t>successful;intellimed;mammoth;begonia;prof;ginkgo;biocytogen;faas</ns0:t>
        </ns0:is>
      </ns0:c>
      <ns0:c r="AD260" s="78" t="n">
        <ns0:v>15</ns0:v>
      </ns0:c>
      <ns0:c r="AE260" s="74" t="inlineStr">
        <ns0:is>
          <ns0:t>partial</ns0:t>
        </ns0:is>
      </ns0:c>
      <ns0:c r="AF260" s="74" t="inlineStr">
        <ns0:is>
          <ns0:t>2024-07-07</ns0:t>
        </ns0:is>
      </ns0:c>
      <ns0:c r="AG260" s="74" t="inlineStr">
        <ns0:is>
          <ns0:t>CLSA Limited</ns0:t>
        </ns0:is>
      </ns0:c>
      <ns0:c r="AH260" s="74" t="inlineStr">
        <ns0:is>
          <ns0:t>CLSA</ns0:t>
        </ns0:is>
      </ns0:c>
      <ns0:c r="AI260" s="86" t="n">
        <ns0:v>2.08</ns0:v>
      </ns0:c>
      <ns0:c r="AJ260" s="87" t="n">
        <ns0:v>9.85</ns0:v>
      </ns0:c>
      <ns0:c r="AK260" s="87" t="n">
        <ns0:v>0.82</ns0:v>
      </ns0:c>
      <ns0:c r="AL260" s="87" t="n">
        <ns0:v>2.08</ns0:v>
      </ns0:c>
      <ns0:c r="AM260" s="87" t="n">
        <ns0:v>7.61</ns0:v>
      </ns0:c>
      <ns0:c r="AN260" s="89" t="n">
        <ns0:v>2.28</ns0:v>
      </ns0:c>
      <ns0:c r="AO260" s="78" t="n">
        <ns0:v>23.56</ns0:v>
      </ns0:c>
      <ns0:c r="AP260" s="87" t="n">
        <ns0:v>0.38</ns0:v>
      </ns0:c>
      <ns0:c r="AQ260" s="87" t="n">
        <ns0:v>9.85</ns0:v>
      </ns0:c>
      <ns0:c r="AR260" s="87" t="n">
        <ns0:v>165.91</ns0:v>
      </ns0:c>
      <ns0:c r="AS260" s="87" t="n">
        <ns0:v>-8.619999999999999</ns0:v>
      </ns0:c>
      <ns0:c r="AT260" s="87" t="n">
        <ns0:v>0</ns0:v>
      </ns0:c>
      <ns0:c r="AU260" s="87" t="n">
        <ns0:v>142.07</ns0:v>
      </ns0:c>
      <ns0:c r="AV260" s="87" t="n">
        <ns0:v>-1.16</ns0:v>
      </ns0:c>
      <ns0:c r="AW260" s="87" t="n">
        <ns0:v>10.62</ns0:v>
      </ns0:c>
      <ns0:c r="AX260" s="87" t="n">
        <ns0:v>172.06</ns0:v>
      </ns0:c>
      <ns0:c r="AY260" s="87" t="n">
        <ns0:v>1.58</ns0:v>
      </ns0:c>
      <ns0:c r="AZ260" s="87" t="n">
        <ns0:v>-0.77</ns0:v>
      </ns0:c>
      <ns0:c r="BA260" s="87" t="n">
        <ns0:v>-1.58</ns0:v>
      </ns0:c>
      <ns0:c r="BB260" s="74" t="inlineStr">
        <ns0:is>
          <ns0:t>HSTECH (Hang Seng TECH ETF)</ns0:t>
        </ns0:is>
      </ns0:c>
      <ns0:c r="BC260" s="87" t="n">
        <ns0:v>50.47</ns0:v>
      </ns0:c>
      <ns0:c r="BD260" s="75" t="n">
        <ns0:v>46297</ns0:v>
      </ns0:c>
      <ns0:c r="BE260" s="76" t="n">
        <ns0:v>191.9</ns0:v>
      </ns0:c>
      <ns0:c r="BF260" s="79" t="n">
        <ns0:v>-1582.5</ns0:v>
      </ns0:c>
      <ns0:c r="BG260" s="74" t="inlineStr">
        <ns0:is>
          <ns0:t>N</ns0:t>
        </ns0:is>
      </ns0:c>
      <ns0:c r="BH260" s="74" t="inlineStr">
        <ns0:is>
          <ns0:t>n/m</ns0:t>
        </ns0:is>
      </ns0:c>
      <ns0:c r="BI260" s="88" t="n"/>
      <ns0:c r="BJ260" s="89" t="n">
        <ns0:v>204.3</ns0:v>
      </ns0:c>
      <ns0:c r="BK260" s="89" t="n">
        <ns0:v>102.1</ns0:v>
      </ns0:c>
      <ns0:c r="BL260" s="90">
        <ns0:f>IFERROR(IF('BBG Verify'!S260="","Awaiting Bloomberg",'BBG Verify'!S260),"Awaiting Bloomberg")</ns0:f>
        <ns0:v/>
      </ns0:c>
      <ns0:c r="BM260" s="91" t="inlineStr">
        <ns0:is>
          <ns0:t>N</ns0:t>
        </ns0:is>
      </ns0:c>
      <ns0:c r="BN260" s="92">
        <ns0:f>IFERROR(IF('BBG Verify'!K260="","Awaiting Bloomberg",'BBG Verify'!K260),"Awaiting Bloomberg")</ns0:f>
        <ns0:v/>
      </ns0:c>
      <ns0:c r="BO260" s="74" t="inlineStr">
        <ns0:is>
          <ns0:t>N/A</ns0:t>
        </ns0:is>
      </ns0:c>
      <ns0:c r="BP260" s="74" t="inlineStr">
        <ns0:is>
          <ns0:t>N/A</ns0:t>
        </ns0:is>
      </ns0:c>
      <ns0:c r="BQ260" s="74" t="inlineStr">
        <ns0:is>
          <ns0:t>N/A</ns0:t>
        </ns0:is>
      </ns0:c>
      <ns0:c r="BR260" s="74" t="inlineStr">
        <ns0:is>
          <ns0:t>N/A</ns0:t>
        </ns0:is>
      </ns0:c>
      <ns0:c r="BS260" s="74" t="inlineStr">
        <ns0:is>
          <ns0:t>N/A</ns0:t>
        </ns0:is>
      </ns0:c>
      <ns0:c r="BT260" s="74" t="inlineStr">
        <ns0:is>
          <ns0:t>N/A</ns0:t>
        </ns0:is>
      </ns0:c>
      <ns0:c r="BU260" s="91" t="inlineStr">
        <ns0:is>
          <ns0:t>CITIC Securities (Hong Kong) Limited</ns0:t>
        </ns0:is>
      </ns0:c>
      <ns0:c r="BV260" s="74" t="inlineStr">
        <ns0:is>
          <ns0:t>CITIC Securities (Hong Kong) Limited</ns0:t>
        </ns0:is>
      </ns0:c>
      <ns0:c r="BW260" s="74" t="inlineStr">
        <ns0:is>
          <ns0:t>CLSA Limited; CMB International Capital Limited; Jefferies Hong Kong Limited; Deutsche Bank AG, Hong Kong Branch; China International Capital Corporation Hong Kong Securities Limited; SPDB International Capital Limited; Guosen Securities (HK) Capital Company Limited; Fosun International Securities Limited; ABCI Capital Limited; BOCI Asia Limited; CCB International Capital Limited; ICBC International Securities Limited</ns0:t>
        </ns0:is>
      </ns0:c>
      <ns0:c r="BX260" s="74" t="inlineStr">
        <ns0:is>
          <ns0: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ns0:t>
        </ns0:is>
      </ns0:c>
      <ns0:c r="BY260" s="93">
        <ns0:f>HYPERLINK("https://www1.hkexnews.hk/listedco/listconews/sehk/2024/0604/2024060400065.pdf","prospectus")</ns0:f>
        <ns0:v/>
      </ns0:c>
      <ns0:c r="BZ260" s="93">
        <ns0:f>HYPERLINK("https://www1.hkexnews.hk/listedco/listconews/sehk/2024/0612/2024061201745.pdf","allotment")</ns0:f>
        <ns0:v/>
      </ns0:c>
      <ns0:c r="CA260" s="93">
        <ns0:f>HYPERLINK("https://www1.hkexnews.hk/listedco/listconews/sehk/2024/0707/2024070700029.pdf","stabilisation")</ns0:f>
        <ns0:v/>
      </ns0:c>
      <ns0:c r="CB260" s="94" t="n"/>
      <ns0:c r="CC260" s="74" t="inlineStr">
        <ns0:is>
          <ns0:t>P/E: loss-making at IPO, use P/S</ns0:t>
        </ns0:is>
      </ns0:c>
    </ns0:row>
    <ns0:row r="261" ht="22" customHeight="1">
      <ns0:c r="A261" s="73" t="inlineStr">
        <ns0:is>
          <ns0:t>2512</ns0:t>
        </ns0:is>
      </ns0:c>
      <ns0:c r="B261" s="74" t="inlineStr">
        <ns0:is>
          <ns0:t>CLOUD FACTORY</ns0:t>
        </ns0:is>
      </ns0:c>
      <ns0:c r="C261" s="74" t="inlineStr">
        <ns0:is>
          <ns0:t>雲工場</ns0:t>
        </ns0:is>
      </ns0:c>
      <ns0:c r="D261" s="74" t="inlineStr">
        <ns0:is>
          <ns0:t>Technology</ns0:t>
        </ns0:is>
      </ns0:c>
      <ns0:c r="E261" s="74" t="inlineStr">
        <ns0:is>
          <ns0:t>Data centres &amp; cloud</ns0:t>
        </ns0:is>
      </ns0:c>
      <ns0:c r="F261" s="74" t="inlineStr">
        <ns0:is>
          <ns0:t>Telecommunication Services</ns0:t>
        </ns0:is>
      </ns0:c>
      <ns0:c r="G261" s="74" t="inlineStr">
        <ns0:is>
          <ns0:t>Standard</ns0:t>
        </ns0:is>
      </ns0:c>
      <ns0:c r="H261" s="75" t="n">
        <ns0:v>45457</ns0:v>
      </ns0:c>
      <ns0:c r="I261" s="76" t="n">
        <ns0:v>133.9</ns0:v>
      </ns0:c>
      <ns0:c r="J261" s="74" t="inlineStr">
        <ns0:is>
          <ns0:t>net proceeds</ns0:t>
        </ns0:is>
      </ns0:c>
      <ns0:c r="K261" s="95" t="n"/>
      <ns0:c r="L261" s="77" t="n">
        <ns0:v>4.6</ns0:v>
      </ns0:c>
      <ns0:c r="M261" s="77" t="n">
        <ns0:v>4.6</ns0:v>
      </ns0:c>
      <ns0:c r="N261" s="74" t="inlineStr">
        <ns0:is>
          <ns0:t>Y</ns0:t>
        </ns0:is>
      </ns0:c>
      <ns0:c r="O261" s="78" t="n">
        <ns0:v>100</ns0:v>
      </ns0:c>
      <ns0:c r="P261" s="84" t="n"/>
      <ns0:c r="Q261" s="79" t="n">
        <ns0:v>2116</ns0:v>
      </ns0:c>
      <ns0:c r="R261" s="74" t="inlineStr">
        <ns0:is>
          <ns0:t>derived:price x shares upon listing</ns0:t>
        </ns0:is>
      </ns0:c>
      <ns0:c r="S261" s="80" t="n">
        <ns0:v>25.79</ns0:v>
      </ns0:c>
      <ns0:c r="T261" s="81" t="n">
        <ns0:v>1.09</ns0:v>
      </ns0:c>
      <ns0:c r="U261" s="82" t="n">
        <ns0:v>0</ns0:v>
      </ns0:c>
      <ns0:c r="V261" s="83" t="n">
        <ns0:v>137</ns0:v>
      </ns0:c>
      <ns0:c r="W261" s="78" t="n">
        <ns0:v>30</ns0:v>
      </ns0:c>
      <ns0:c r="X261" s="74" t="inlineStr">
        <ns0:is>
          <ns0:t>YES</ns0:t>
        </ns0:is>
      </ns0:c>
      <ns0:c r="Y261" s="79" t="n">
        <ns0:v>133.9</ns0:v>
      </ns0:c>
      <ns0:c r="Z261" s="97" t="n"/>
      <ns0:c r="AA261" s="78" t="n">
        <ns0:v>6.33</ns0:v>
      </ns0:c>
      <ns0:c r="AB261" s="74" t="inlineStr">
        <ns0:is>
          <ns0:t>none — no cornerstone tranche</ns0:t>
        </ns0:is>
      </ns0:c>
      <ns0:c r="AC261" s="74" t="inlineStr">
        <ns0:is>
          <ns0:t>none</ns0:t>
        </ns0:is>
      </ns0:c>
      <ns0:c r="AD261" s="78" t="n">
        <ns0:v>15</ns0:v>
      </ns0:c>
      <ns0:c r="AE261" s="74" t="inlineStr">
        <ns0:is>
          <ns0:t>lapsed</ns0:t>
        </ns0:is>
      </ns0:c>
      <ns0:c r="AF261" s="85" t="n"/>
      <ns0:c r="AG261" s="85" t="n"/>
      <ns0:c r="AH261" s="85" t="n"/>
      <ns0:c r="AI261" s="86" t="n">
        <ns0:v>0</ns0:v>
      </ns0:c>
      <ns0:c r="AJ261" s="87" t="n">
        <ns0:v>-17.39</ns0:v>
      </ns0:c>
      <ns0:c r="AK261" s="87" t="n">
        <ns0:v>-0.54</ns0:v>
      </ns0:c>
      <ns0:c r="AL261" s="87" t="n">
        <ns0:v>-5</ns0:v>
      </ns0:c>
      <ns0:c r="AM261" s="87" t="n">
        <ns0:v>-13.04</ns0:v>
      </ns0:c>
      <ns0:c r="AN261" s="89" t="n">
        <ns0:v>0.85</ns0:v>
      </ns0:c>
      <ns0:c r="AO261" s="78" t="n">
        <ns0:v>22.65</ns0:v>
      </ns0:c>
      <ns0:c r="AP261" s="87" t="n">
        <ns0:v>-17.39</ns0:v>
      </ns0:c>
      <ns0:c r="AQ261" s="87" t="n">
        <ns0:v>-17.39</ns0:v>
      </ns0:c>
      <ns0:c r="AR261" s="87" t="n">
        <ns0:v>-21.96</ns0:v>
      </ns0:c>
      <ns0:c r="AS261" s="87" t="n">
        <ns0:v>0</ns0:v>
      </ns0:c>
      <ns0:c r="AT261" s="87" t="n">
        <ns0:v>0</ns0:v>
      </ns0:c>
      <ns0:c r="AU261" s="87" t="n">
        <ns0:v>-5.53</ns0:v>
      </ns0:c>
      <ns0:c r="AV261" s="87" t="n">
        <ns0:v>-16.52</ns0:v>
      </ns0:c>
      <ns0:c r="AW261" s="87" t="n">
        <ns0:v>-14.45</ns0:v>
      </ns0:c>
      <ns0:c r="AX261" s="87" t="n">
        <ns0:v>-14.98</ns0:v>
      </ns0:c>
      <ns0:c r="AY261" s="87" t="n">
        <ns0:v>2.41</ns0:v>
      </ns0:c>
      <ns0:c r="AZ261" s="87" t="n">
        <ns0:v>-2.94</ns0:v>
      </ns0:c>
      <ns0:c r="BA261" s="87" t="n">
        <ns0:v>-2.41</ns0:v>
      </ns0:c>
      <ns0:c r="BB261" s="74" t="inlineStr">
        <ns0:is>
          <ns0:t>HSTECH (Hang Seng TECH ETF)</ns0:t>
        </ns0:is>
      </ns0:c>
      <ns0:c r="BC261" s="87" t="n">
        <ns0:v>-41.41</ns0:v>
      </ns0:c>
      <ns0:c r="BD261" s="75" t="n">
        <ns0:v>46297</ns0:v>
      </ns0:c>
      <ns0:c r="BE261" s="76" t="n">
        <ns0:v>765.5</ns0:v>
      </ns0:c>
      <ns0:c r="BF261" s="79" t="n">
        <ns0:v>15.6</ns0:v>
      </ns0:c>
      <ns0:c r="BG261" s="74" t="inlineStr">
        <ns0:is>
          <ns0:t>Y</ns0:t>
        </ns0:is>
      </ns0:c>
      <ns0:c r="BH261" s="89" t="n">
        <ns0:v>135.6</ns0:v>
      </ns0:c>
      <ns0:c r="BI261" s="88" t="n"/>
      <ns0:c r="BJ261" s="89" t="n">
        <ns0:v>103.6</ns0:v>
      </ns0:c>
      <ns0:c r="BK261" s="89" t="n">
        <ns0:v>2.8</ns0:v>
      </ns0:c>
      <ns0:c r="BL261" s="90">
        <ns0:f>IFERROR(IF('BBG Verify'!S261="","Awaiting Bloomberg",'BBG Verify'!S261),"Awaiting Bloomberg")</ns0:f>
        <ns0:v/>
      </ns0:c>
      <ns0:c r="BM261" s="91" t="inlineStr">
        <ns0:is>
          <ns0:t>N</ns0:t>
        </ns0:is>
      </ns0:c>
      <ns0:c r="BN261" s="92">
        <ns0:f>IFERROR(IF('BBG Verify'!K261="","Awaiting Bloomberg",'BBG Verify'!K261),"Awaiting Bloomberg")</ns0:f>
        <ns0:v/>
      </ns0:c>
      <ns0:c r="BO261" s="74" t="inlineStr">
        <ns0:is>
          <ns0:t>N/A</ns0:t>
        </ns0:is>
      </ns0:c>
      <ns0:c r="BP261" s="74" t="inlineStr">
        <ns0:is>
          <ns0:t>N/A</ns0:t>
        </ns0:is>
      </ns0:c>
      <ns0:c r="BQ261" s="74" t="inlineStr">
        <ns0:is>
          <ns0:t>N/A</ns0:t>
        </ns0:is>
      </ns0:c>
      <ns0:c r="BR261" s="74" t="inlineStr">
        <ns0:is>
          <ns0:t>N/A</ns0:t>
        </ns0:is>
      </ns0:c>
      <ns0:c r="BS261" s="74" t="inlineStr">
        <ns0:is>
          <ns0:t>N/A</ns0:t>
        </ns0:is>
      </ns0:c>
      <ns0:c r="BT261" s="74" t="inlineStr">
        <ns0:is>
          <ns0:t>N/A</ns0:t>
        </ns0:is>
      </ns0:c>
      <ns0:c r="BU261" s="91" t="inlineStr">
        <ns0:is>
          <ns0:t>SPDB International Capital Limited</ns0:t>
        </ns0:is>
      </ns0:c>
      <ns0:c r="BV261" s="74" t="inlineStr">
        <ns0:is>
          <ns0:t>SPDB International Capital Limited</ns0:t>
        </ns0:is>
      </ns0:c>
      <ns0:c r="BW261" s="74" t="inlineStr">
        <ns0:is>
          <ns0: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Futu Securities International (Hong Kong) Limited</ns0:t>
        </ns0:is>
      </ns0:c>
      <ns0:c r="BX261" s="74" t="inlineStr">
        <ns0:is>
          <ns0: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ns0:t>
        </ns0:is>
      </ns0:c>
      <ns0:c r="BY261" s="93">
        <ns0:f>HYPERLINK("https://www1.hkexnews.hk/listedco/listconews/sehk/2024/0605/2024060500041.pdf","prospectus")</ns0:f>
        <ns0:v/>
      </ns0:c>
      <ns0:c r="BZ261" s="93">
        <ns0:f>HYPERLINK("https://www1.hkexnews.hk/listedco/listconews/sehk/2024/0613/2024061301165.pdf","allotment")</ns0:f>
        <ns0:v/>
      </ns0:c>
      <ns0:c r="CA261" s="93">
        <ns0:f>HYPERLINK("https://www1.hkexnews.hk/listedco/listconews/sehk/2024/0711/2024071100781.pdf","stabilisation")</ns0:f>
        <ns0:v/>
      </ns0:c>
      <ns0:c r="CB261" s="94" t="n"/>
      <ns0:c r="CC261" s="74" t="inlineStr">
        <ns0:is>
          <ns0:t>greenshoe: outcome published; expiry date not in the notice; range low: maximum offer price only, no floor published; sponsor: English name not in the filing; AAStocks 保薦人 shown; cornerstone list: no cornerstone tranche; stabilising manager: not named in the allotment notice or prospectus glossary; eff float shares: share count unavailable; the HK$m figure is exact</ns0:t>
        </ns0:is>
      </ns0:c>
    </ns0:row>
    <ns0:row r="262" ht="22" customHeight="1">
      <ns0:c r="A262" s="73" t="inlineStr">
        <ns0:is>
          <ns0:t>2881</ns0:t>
        </ns0:is>
      </ns0:c>
      <ns0:c r="B262" s="74" t="inlineStr">
        <ns0:is>
          <ns0:t>WUHAN YOUJI</ns0:t>
        </ns0:is>
      </ns0:c>
      <ns0:c r="C262" s="74" t="inlineStr">
        <ns0:is>
          <ns0:t>武漢有機</ns0:t>
        </ns0:is>
      </ns0:c>
      <ns0:c r="D262" s="74" t="inlineStr">
        <ns0:is>
          <ns0:t>Materials/Energy</ns0:t>
        </ns0:is>
      </ns0:c>
      <ns0:c r="E262" s="74" t="inlineStr">
        <ns0:is>
          <ns0:t>Chemicals</ns0:t>
        </ns0:is>
      </ns0:c>
      <ns0:c r="F262" s="74" t="inlineStr">
        <ns0:is>
          <ns0:t>Diversified Chemicals</ns0:t>
        </ns0:is>
      </ns0:c>
      <ns0:c r="G262" s="74" t="inlineStr">
        <ns0:is>
          <ns0:t>Standard</ns0:t>
        </ns0:is>
      </ns0:c>
      <ns0:c r="H262" s="75" t="n">
        <ns0:v>45461</ns0:v>
      </ns0:c>
      <ns0:c r="I262" s="76" t="n">
        <ns0:v>100.7</ns0:v>
      </ns0:c>
      <ns0:c r="J262" s="74" t="inlineStr">
        <ns0:is>
          <ns0:t>gross (price x shares)</ns0:t>
        </ns0:is>
      </ns0:c>
      <ns0:c r="K262" s="77" t="n">
        <ns0:v>5.5</ns0:v>
      </ns0:c>
      <ns0:c r="L262" s="77" t="n">
        <ns0:v>8.5</ns0:v>
      </ns0:c>
      <ns0:c r="M262" s="77" t="n">
        <ns0:v>5.5</ns0:v>
      </ns0:c>
      <ns0:c r="N262" s="74" t="inlineStr">
        <ns0:is>
          <ns0:t>N</ns0:t>
        </ns0:is>
      </ns0:c>
      <ns0:c r="O262" s="78" t="n">
        <ns0:v>64.7</ns0:v>
      </ns0:c>
      <ns0:c r="P262" s="78" t="n">
        <ns0:v>0</ns0:v>
      </ns0:c>
      <ns0:c r="Q262" s="79" t="n">
        <ns0:v>513.1</ns0:v>
      </ns0:c>
      <ns0:c r="R262" s="74" t="inlineStr">
        <ns0:is>
          <ns0:t>derived:price x shares upon listing</ns0:t>
        </ns0:is>
      </ns0:c>
      <ns0:c r="S262" s="80" t="n">
        <ns0:v>337.57</ns0:v>
      </ns0:c>
      <ns0:c r="T262" s="81" t="n">
        <ns0:v>0.92</ns0:v>
      </ns0:c>
      <ns0:c r="U262" s="82" t="n">
        <ns0:v>0</ns0:v>
      </ns0:c>
      <ns0:c r="V262" s="83" t="n">
        <ns0:v>120</ns0:v>
      </ns0:c>
      <ns0:c r="W262" s="78" t="n">
        <ns0:v>17.78</ns0:v>
      </ns0:c>
      <ns0:c r="X262" s="85" t="n"/>
      <ns0:c r="Y262" s="79" t="n">
        <ns0:v>100.7</ns0:v>
      </ns0:c>
      <ns0:c r="Z262" s="79" t="n">
        <ns0:v>18300000</ns0:v>
      </ns0:c>
      <ns0:c r="AA262" s="78" t="n">
        <ns0:v>19.63</ns0:v>
      </ns0:c>
      <ns0:c r="AB262" s="74" t="inlineStr">
        <ns0:is>
          <ns0:t>none — no cornerstone tranche</ns0:t>
        </ns0:is>
      </ns0:c>
      <ns0:c r="AC262" s="74" t="inlineStr">
        <ns0:is>
          <ns0:t>none</ns0:t>
        </ns0:is>
      </ns0:c>
      <ns0:c r="AD262" s="78" t="n">
        <ns0:v>17.7</ns0:v>
      </ns0:c>
      <ns0:c r="AE262" s="74" t="inlineStr">
        <ns0:is>
          <ns0:t>lapsed (no over-allocation)</ns0:t>
        </ns0:is>
      </ns0:c>
      <ns0:c r="AF262" s="85" t="n"/>
      <ns0:c r="AG262" s="74" t="inlineStr">
        <ns0:is>
          <ns0:t>BOCOM International Securities Limited DEFINITIONS –2 9</ns0:t>
        </ns0:is>
      </ns0:c>
      <ns0:c r="AH262" s="74" t="inlineStr">
        <ns0:is>
          <ns0:t>BOCOM</ns0:t>
        </ns0:is>
      </ns0:c>
      <ns0:c r="AI262" s="86" t="n">
        <ns0:v>71.64</ns0:v>
      </ns0:c>
      <ns0:c r="AJ262" s="87" t="n">
        <ns0:v>27.64</ns0:v>
      </ns0:c>
      <ns0:c r="AK262" s="87" t="n">
        <ns0:v>-0.35</ns0:v>
      </ns0:c>
      <ns0:c r="AL262" s="87" t="n">
        <ns0:v>79.64</ns0:v>
      </ns0:c>
      <ns0:c r="AM262" s="87" t="n">
        <ns0:v>-28.95</ns0:v>
      </ns0:c>
      <ns0:c r="AN262" s="89" t="n">
        <ns0:v>2.92</ns0:v>
      </ns0:c>
      <ns0:c r="AO262" s="78" t="n">
        <ns0:v>35.43</ns0:v>
      </ns0:c>
      <ns0:c r="AP262" s="87" t="n">
        <ns0:v>12.73</ns0:v>
      </ns0:c>
      <ns0:c r="AQ262" s="87" t="n">
        <ns0:v>-13.64</ns0:v>
      </ns0:c>
      <ns0:c r="AR262" s="87" t="n">
        <ns0:v>-23.64</ns0:v>
      </ns0:c>
      <ns0:c r="AS262" s="87" t="n">
        <ns0:v>-11.68</ns0:v>
      </ns0:c>
      <ns0:c r="AT262" s="87" t="n">
        <ns0:v>-32.34</ns0:v>
      </ns0:c>
      <ns0:c r="AU262" s="87" t="n">
        <ns0:v>-40.18</ns0:v>
      </ns0:c>
      <ns0:c r="AV262" s="87" t="n">
        <ns0:v>12.27</ns0:v>
      </ns0:c>
      <ns0:c r="AW262" s="87" t="n">
        <ns0:v>-13.09</ns0:v>
      </ns0:c>
      <ns0:c r="AX262" s="87" t="n">
        <ns0:v>-22.15</ns0:v>
      </ns0:c>
      <ns0:c r="AY262" s="87" t="n">
        <ns0:v>-32.14</ns0:v>
      </ns0:c>
      <ns0:c r="AZ262" s="87" t="n">
        <ns0:v>-0.55</ns0:v>
      </ns0:c>
      <ns0:c r="BA262" s="87" t="n">
        <ns0:v>-0.2</ns0:v>
      </ns0:c>
      <ns0:c r="BB262" s="74" t="inlineStr">
        <ns0:is>
          <ns0:t>Hang Seng Commerce &amp; Industry sub-index</ns0:t>
        </ns0:is>
      </ns0:c>
      <ns0:c r="BC262" s="87" t="n">
        <ns0:v>70.91</ns0:v>
      </ns0:c>
      <ns0:c r="BD262" s="75" t="n">
        <ns0:v>46297</ns0:v>
      </ns0:c>
      <ns0:c r="BE262" s="76" t="n">
        <ns0:v>2944.8</ns0:v>
      </ns0:c>
      <ns0:c r="BF262" s="79" t="n">
        <ns0:v>80.2</ns0:v>
      </ns0:c>
      <ns0:c r="BG262" s="74" t="inlineStr">
        <ns0:is>
          <ns0:t>Y</ns0:t>
        </ns0:is>
      </ns0:c>
      <ns0:c r="BH262" s="89" t="n">
        <ns0:v>6.4</ns0:v>
      </ns0:c>
      <ns0:c r="BI262" s="88" t="n"/>
      <ns0:c r="BJ262" s="89" t="n">
        <ns0:v>12.8</ns0:v>
      </ns0:c>
      <ns0:c r="BK262" s="89" t="n">
        <ns0:v>0.2</ns0:v>
      </ns0:c>
      <ns0:c r="BL262" s="90">
        <ns0:f>IFERROR(IF('BBG Verify'!S262="","Awaiting Bloomberg",'BBG Verify'!S262),"Awaiting Bloomberg")</ns0:f>
        <ns0:v/>
      </ns0:c>
      <ns0:c r="BM262" s="91" t="inlineStr">
        <ns0:is>
          <ns0:t>N</ns0:t>
        </ns0:is>
      </ns0:c>
      <ns0:c r="BN262" s="92">
        <ns0:f>IFERROR(IF('BBG Verify'!K262="","Awaiting Bloomberg",'BBG Verify'!K262),"Awaiting Bloomberg")</ns0:f>
        <ns0:v/>
      </ns0:c>
      <ns0:c r="BO262" s="74" t="inlineStr">
        <ns0:is>
          <ns0:t>N/A</ns0:t>
        </ns0:is>
      </ns0:c>
      <ns0:c r="BP262" s="74" t="inlineStr">
        <ns0:is>
          <ns0:t>N/A</ns0:t>
        </ns0:is>
      </ns0:c>
      <ns0:c r="BQ262" s="74" t="inlineStr">
        <ns0:is>
          <ns0:t>N/A</ns0:t>
        </ns0:is>
      </ns0:c>
      <ns0:c r="BR262" s="74" t="inlineStr">
        <ns0:is>
          <ns0:t>N/A</ns0:t>
        </ns0:is>
      </ns0:c>
      <ns0:c r="BS262" s="74" t="inlineStr">
        <ns0:is>
          <ns0:t>N/A</ns0:t>
        </ns0:is>
      </ns0:c>
      <ns0:c r="BT262" s="74" t="inlineStr">
        <ns0:is>
          <ns0:t>N/A</ns0:t>
        </ns0:is>
      </ns0:c>
      <ns0:c r="BU262" s="91" t="inlineStr">
        <ns0:is>
          <ns0:t>BOCOM International (Asia) Limited</ns0:t>
        </ns0:is>
      </ns0:c>
      <ns0:c r="BV262" s="74" t="inlineStr">
        <ns0:is>
          <ns0:t>BOCOM International (Asia) Limited</ns0:t>
        </ns0:is>
      </ns0:c>
      <ns0:c r="BW262" s="74" t="inlineStr">
        <ns0:is>
          <ns0: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ns0:t>
        </ns0:is>
      </ns0:c>
      <ns0:c r="BX262" s="74" t="inlineStr">
        <ns0:is>
          <ns0: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ns0:t>
        </ns0:is>
      </ns0:c>
      <ns0:c r="BY262" s="93">
        <ns0:f>HYPERLINK("https://www1.hkexnews.hk/listedco/listconews/sehk/2024/0607/2024060700013.pdf","prospectus")</ns0:f>
        <ns0:v/>
      </ns0:c>
      <ns0:c r="BZ262" s="93">
        <ns0:f>HYPERLINK("https://www1.hkexnews.hk/listedco/listconews/sehk/2024/0617/2024061701156.pdf","allotment")</ns0:f>
        <ns0:v/>
      </ns0:c>
      <ns0:c r="CA262" s="93">
        <ns0:f>HYPERLINK("https://www1.hkexnews.hk/listedco/listconews/sehk/2024/0715/2024071500250.pdf","stabilisation")</ns0:f>
        <ns0:v/>
      </ns0:c>
      <ns0:c r="CB262" s="94" t="n"/>
      <ns0:c r="CC262" s="74" t="inlineStr">
        <ns0:is>
          <ns0:t>greenshoe: outcome published; expiry date not in the notice; market cap: AAStocks lists HK$694m at listing vs HK$513m from price x filed share count; the filed count kept; cornerstone list: no cornerstone tranche; allocation: clawback line not in this notice; a 12-28% split is consistent with either a tier-1 clawback or a placing shortfall</ns0:t>
        </ns0:is>
      </ns0:c>
    </ns0:row>
    <ns0:row r="263" ht="22" customHeight="1">
      <ns0:c r="A263" s="73" t="inlineStr">
        <ns0:is>
          <ns0:t>2559</ns0:t>
        </ns0:is>
      </ns0:c>
      <ns0:c r="B263" s="74" t="inlineStr">
        <ns0:is>
          <ns0:t>DIDA INC</ns0:t>
        </ns0:is>
      </ns0:c>
      <ns0:c r="C263" s="74" t="inlineStr">
        <ns0:is>
          <ns0:t>嘀嗒出行－ＰＦ</ns0:t>
        </ns0:is>
      </ns0:c>
      <ns0:c r="D263" s="74" t="inlineStr">
        <ns0:is>
          <ns0:t>Technology</ns0:t>
        </ns0:is>
      </ns0:c>
      <ns0:c r="E263" s="74" t="inlineStr">
        <ns0:is>
          <ns0:t>Internet &amp; fintech</ns0:t>
        </ns0:is>
      </ns0:c>
      <ns0:c r="F263" s="74" t="inlineStr">
        <ns0:is>
          <ns0:t>Trucking</ns0:t>
        </ns0:is>
      </ns0:c>
      <ns0:c r="G263" s="74" t="inlineStr">
        <ns0:is>
          <ns0:t>Standard</ns0:t>
        </ns0:is>
      </ns0:c>
      <ns0:c r="H263" s="75" t="n">
        <ns0:v>45471</ns0:v>
      </ns0:c>
      <ns0:c r="I263" s="76" t="n">
        <ns0:v>234.5</ns0:v>
      </ns0:c>
      <ns0:c r="J263" s="74" t="inlineStr">
        <ns0:is>
          <ns0:t>gross (price x shares)</ns0:t>
        </ns0:is>
      </ns0:c>
      <ns0:c r="K263" s="95" t="n"/>
      <ns0:c r="L263" s="77" t="n">
        <ns0:v>7</ns0:v>
      </ns0:c>
      <ns0:c r="M263" s="77" t="n">
        <ns0:v>6</ns0:v>
      </ns0:c>
      <ns0:c r="N263" s="74" t="inlineStr">
        <ns0:is>
          <ns0:t>N</ns0:t>
        </ns0:is>
      </ns0:c>
      <ns0:c r="O263" s="78" t="n">
        <ns0:v>85.7</ns0:v>
      </ns0:c>
      <ns0:c r="P263" s="84" t="n"/>
      <ns0:c r="Q263" s="79" t="n">
        <ns0:v>5963.9</ns0:v>
      </ns0:c>
      <ns0:c r="R263" s="74" t="inlineStr">
        <ns0:is>
          <ns0:t>derived:price x shares upon listing</ns0:t>
        </ns0:is>
      </ns0:c>
      <ns0:c r="S263" s="80" t="n">
        <ns0:v>112.9</ns0:v>
      </ns0:c>
      <ns0:c r="T263" s="81" t="n">
        <ns0:v>1.28</ns0:v>
      </ns0:c>
      <ns0:c r="U263" s="82" t="n">
        <ns0:v>0</ns0:v>
      </ns0:c>
      <ns0:c r="V263" s="83" t="n">
        <ns0:v>143</ns0:v>
      </ns0:c>
      <ns0:c r="W263" s="78" t="n">
        <ns0:v>50</ns0:v>
      </ns0:c>
      <ns0:c r="X263" s="74" t="inlineStr">
        <ns0:is>
          <ns0:t>YES</ns0:t>
        </ns0:is>
      </ns0:c>
      <ns0:c r="Y263" s="79" t="n">
        <ns0:v>234.5</ns0:v>
      </ns0:c>
      <ns0:c r="Z263" s="79" t="n">
        <ns0:v>39091000</ns0:v>
      </ns0:c>
      <ns0:c r="AA263" s="78" t="n">
        <ns0:v>3.93</ns0:v>
      </ns0:c>
      <ns0:c r="AB263" s="74" t="inlineStr">
        <ns0:is>
          <ns0:t>none — no cornerstone tranche</ns0:t>
        </ns0:is>
      </ns0:c>
      <ns0:c r="AC263" s="74" t="inlineStr">
        <ns0:is>
          <ns0:t>none</ns0:t>
        </ns0:is>
      </ns0:c>
      <ns0:c r="AD263" s="78" t="n">
        <ns0:v>15</ns0:v>
      </ns0:c>
      <ns0:c r="AE263" s="74" t="inlineStr">
        <ns0:is>
          <ns0:t>lapsed</ns0:t>
        </ns0:is>
      </ns0:c>
      <ns0:c r="AF263" s="74" t="inlineStr">
        <ns0:is>
          <ns0:t>2024-07-25</ns0:t>
        </ns0:is>
      </ns0:c>
      <ns0:c r="AG263" s="74" t="inlineStr">
        <ns0:is>
          <ns0:t>China International Capital Corporation Hong Kong Securities Limited</ns0:t>
        </ns0:is>
      </ns0:c>
      <ns0:c r="AH263" s="74" t="inlineStr">
        <ns0:is>
          <ns0:t>China International</ns0:t>
        </ns0:is>
      </ns0:c>
      <ns0:c r="AI263" s="86" t="n">
        <ns0:v>-7</ns0:v>
      </ns0:c>
      <ns0:c r="AJ263" s="87" t="n">
        <ns0:v>-22.5</ns0:v>
      </ns0:c>
      <ns0:c r="AK263" s="87" t="n">
        <ns0:v>-0.85</ns0:v>
      </ns0:c>
      <ns0:c r="AL263" s="87" t="n">
        <ns0:v>-12.83</ns0:v>
      </ns0:c>
      <ns0:c r="AM263" s="87" t="n">
        <ns0:v>-11.09</ns0:v>
      </ns0:c>
      <ns0:c r="AN263" s="89" t="n">
        <ns0:v>1.34</ns0:v>
      </ns0:c>
      <ns0:c r="AO263" s="78" t="n">
        <ns0:v>23.9</ns0:v>
      </ns0:c>
      <ns0:c r="AP263" s="87" t="n">
        <ns0:v>-51.33</ns0:v>
      </ns0:c>
      <ns0:c r="AQ263" s="87" t="n">
        <ns0:v>-51.17</ns0:v>
      </ns0:c>
      <ns0:c r="AR263" s="87" t="n">
        <ns0:v>-54</ns0:v>
      </ns0:c>
      <ns0:c r="AS263" s="87" t="n">
        <ns0:v>-37.2</ns0:v>
      </ns0:c>
      <ns0:c r="AT263" s="87" t="n">
        <ns0:v>-36.99</ns0:v>
      </ns0:c>
      <ns0:c r="AU263" s="87" t="n">
        <ns0:v>-40.65</ns0:v>
      </ns0:c>
      <ns0:c r="AV263" s="87" t="n">
        <ns0:v>-50.65</ns0:v>
      </ns0:c>
      <ns0:c r="AW263" s="87" t="n">
        <ns0:v>-46.58</ns0:v>
      </ns0:c>
      <ns0:c r="AX263" s="87" t="n">
        <ns0:v>-86.77</ns0:v>
      </ns0:c>
      <ns0:c r="AY263" s="87" t="n">
        <ns0:v>-33.22</ns0:v>
      </ns0:c>
      <ns0:c r="AZ263" s="87" t="n">
        <ns0:v>-4.59</ns0:v>
      </ns0:c>
      <ns0:c r="BA263" s="87" t="n">
        <ns0:v>-3.77</ns0:v>
      </ns0:c>
      <ns0:c r="BB263" s="74" t="inlineStr">
        <ns0:is>
          <ns0:t>HSTECH (Hang Seng TECH ETF)</ns0:t>
        </ns0:is>
      </ns0:c>
      <ns0:c r="BC263" s="87" t="n">
        <ns0:v>-80.67</ns0:v>
      </ns0:c>
      <ns0:c r="BD263" s="75" t="n">
        <ns0:v>46297</ns0:v>
      </ns0:c>
      <ns0:c r="BE263" s="76" t="n">
        <ns0:v>896.6</ns0:v>
      </ns0:c>
      <ns0:c r="BF263" s="79" t="n">
        <ns0:v>330.4</ns0:v>
      </ns0:c>
      <ns0:c r="BG263" s="74" t="inlineStr">
        <ns0:is>
          <ns0:t>Y</ns0:t>
        </ns0:is>
      </ns0:c>
      <ns0:c r="BH263" s="89" t="n">
        <ns0:v>18.1</ns0:v>
      </ns0:c>
      <ns0:c r="BI263" s="88" t="n"/>
      <ns0:c r="BJ263" s="89" t="n">
        <ns0:v>8.800000000000001</ns0:v>
      </ns0:c>
      <ns0:c r="BK263" s="89" t="n">
        <ns0:v>6.7</ns0:v>
      </ns0:c>
      <ns0:c r="BL263" s="90">
        <ns0:f>IFERROR(IF('BBG Verify'!S263="","Awaiting Bloomberg",'BBG Verify'!S263),"Awaiting Bloomberg")</ns0:f>
        <ns0:v/>
      </ns0:c>
      <ns0:c r="BM263" s="91" t="inlineStr">
        <ns0:is>
          <ns0:t>N</ns0:t>
        </ns0:is>
      </ns0:c>
      <ns0:c r="BN263" s="92">
        <ns0:f>IFERROR(IF('BBG Verify'!K263="","Awaiting Bloomberg",'BBG Verify'!K263),"Awaiting Bloomberg")</ns0:f>
        <ns0:v/>
      </ns0:c>
      <ns0:c r="BO263" s="74" t="inlineStr">
        <ns0:is>
          <ns0:t>N/A</ns0:t>
        </ns0:is>
      </ns0:c>
      <ns0:c r="BP263" s="74" t="inlineStr">
        <ns0:is>
          <ns0:t>N/A</ns0:t>
        </ns0:is>
      </ns0:c>
      <ns0:c r="BQ263" s="74" t="inlineStr">
        <ns0:is>
          <ns0:t>N/A</ns0:t>
        </ns0:is>
      </ns0:c>
      <ns0:c r="BR263" s="74" t="inlineStr">
        <ns0:is>
          <ns0:t>N/A</ns0:t>
        </ns0:is>
      </ns0:c>
      <ns0:c r="BS263" s="74" t="inlineStr">
        <ns0:is>
          <ns0:t>N/A</ns0:t>
        </ns0:is>
      </ns0:c>
      <ns0:c r="BT263" s="74" t="inlineStr">
        <ns0:is>
          <ns0:t>N/A</ns0:t>
        </ns0:is>
      </ns0:c>
      <ns0:c r="BU263" s="91" t="inlineStr">
        <ns0:is>
          <ns0:t>China International Capital Corporation Hong Kong Securities Limited; Haitong International Capital Limited; Nomura International (Hong Kong) Limited</ns0:t>
        </ns0:is>
      </ns0:c>
      <ns0:c r="BV263" s="74" t="inlineStr">
        <ns0:is>
          <ns0:t>China International Capital Corporation Hong Kong Securities Limited; Haitong International Capital Limited; Nomura International (Hong Kong) Limited</ns0:t>
        </ns0:is>
      </ns0:c>
      <ns0:c r="BW263" s="74" t="inlineStr">
        <ns0:is>
          <ns0: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ns0:t>
        </ns0:is>
      </ns0:c>
      <ns0:c r="BX263" s="74" t="inlineStr">
        <ns0:is>
          <ns0: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ns0:t>
        </ns0:is>
      </ns0:c>
      <ns0:c r="BY263" s="93">
        <ns0:f>HYPERLINK("https://www1.hkexnews.hk/listedco/listconews/sehk/2024/0620/2024062000015.pdf","prospectus")</ns0:f>
        <ns0:v/>
      </ns0:c>
      <ns0:c r="BZ263" s="93">
        <ns0:f>HYPERLINK("https://www1.hkexnews.hk/listedco/listconews/sehk/2024/0627/2024062701882.pdf","allotment")</ns0:f>
        <ns0:v/>
      </ns0:c>
      <ns0:c r="CA263" s="93">
        <ns0:f>HYPERLINK("https://www1.hkexnews.hk/listedco/listconews/sehk/2024/0725/2024072501042.pdf","stabilisation")</ns0:f>
        <ns0:v/>
      </ns0:c>
      <ns0:c r="CB263" s="94" t="n"/>
      <ns0:c r="CC263" s="74" t="inlineStr">
        <ns0:is>
          <ns0:t>range low: maximum offer price only, no floor published; cornerstone list: no cornerstone tranche</ns0:t>
        </ns0:is>
      </ns0:c>
    </ns0:row>
    <ns0:row r="264" ht="22" customHeight="1">
      <ns0:c r="A264" s="73" t="inlineStr">
        <ns0:is>
          <ns0:t>2479</ns0:t>
        </ns0:is>
      </ns0:c>
      <ns0:c r="B264" s="74" t="inlineStr">
        <ns0:is>
          <ns0:t>TIANJUDIHE</ns0:t>
        </ns0:is>
      </ns0:c>
      <ns0:c r="C264" s="74" t="inlineStr">
        <ns0:is>
          <ns0:t>天聚地合</ns0:t>
        </ns0:is>
      </ns0:c>
      <ns0:c r="D264" s="74" t="inlineStr">
        <ns0:is>
          <ns0:t>Technology</ns0:t>
        </ns0:is>
      </ns0:c>
      <ns0:c r="E264" s="74" t="inlineStr">
        <ns0:is>
          <ns0:t>Software &amp; AI</ns0:t>
        </ns0:is>
      </ns0:c>
      <ns0:c r="F264" s="74" t="inlineStr">
        <ns0:is>
          <ns0:t>Systems Software</ns0:t>
        </ns0:is>
      </ns0:c>
      <ns0:c r="G264" s="74" t="inlineStr">
        <ns0:is>
          <ns0:t>Standard</ns0:t>
        </ns0:is>
      </ns0:c>
      <ns0:c r="H264" s="75" t="n">
        <ns0:v>45471</ns0:v>
      </ns0:c>
      <ns0:c r="I264" s="76" t="n">
        <ns0:v>401.5</ns0:v>
      </ns0:c>
      <ns0:c r="J264" s="74" t="inlineStr">
        <ns0:is>
          <ns0:t>gross (price x shares)</ns0:t>
        </ns0:is>
      </ns0:c>
      <ns0:c r="K264" s="95" t="n"/>
      <ns0:c r="L264" s="77" t="n">
        <ns0:v>83.33</ns0:v>
      </ns0:c>
      <ns0:c r="M264" s="77" t="n">
        <ns0:v>83.33</ns0:v>
      </ns0:c>
      <ns0:c r="N264" s="74" t="inlineStr">
        <ns0:is>
          <ns0:t>Y</ns0:t>
        </ns0:is>
      </ns0:c>
      <ns0:c r="O264" s="78" t="n">
        <ns0:v>100</ns0:v>
      </ns0:c>
      <ns0:c r="P264" s="84" t="n"/>
      <ns0:c r="Q264" s="79" t="n">
        <ns0:v>4176.3</ns0:v>
      </ns0:c>
      <ns0:c r="R264" s="74" t="inlineStr">
        <ns0:is>
          <ns0:t>derived:price x shares upon listing</ns0:t>
        </ns0:is>
      </ns0:c>
      <ns0:c r="S264" s="80" t="n">
        <ns0:v>602.87</ns0:v>
      </ns0:c>
      <ns0:c r="T264" s="99">
        <ns0:f>IFERROR(IF('BBG Verify'!E264="","Awaiting Bloomberg",'BBG Verify'!E264),"Awaiting Bloomberg")</ns0:f>
        <ns0:v/>
      </ns0:c>
      <ns0:c r="U264" s="82" t="n">
        <ns0:v>79.62</ns0:v>
      </ns0:c>
      <ns0:c r="V264" s="83" t="n">
        <ns0:v>107</ns0:v>
      </ns0:c>
      <ns0:c r="W264" s="78" t="n">
        <ns0:v>18.41</ns0:v>
      </ns0:c>
      <ns0:c r="X264" s="74" t="inlineStr">
        <ns0:is>
          <ns0:t>YES</ns0:t>
        </ns0:is>
      </ns0:c>
      <ns0:c r="Y264" s="79" t="n">
        <ns0:v>81.83</ns0:v>
      </ns0:c>
      <ns0:c r="Z264" s="79" t="n">
        <ns0:v>981949</ns0:v>
      </ns0:c>
      <ns0:c r="AA264" s="78" t="n">
        <ns0:v>1.96</ns0:v>
      </ns0:c>
      <ns0:c r="AB264" s="74" t="inlineStr">
        <ns0:is>
          <ns0:t>Suzhou Harvest International Co., Limited; Gold Wings Holdings Limited; Xuzhou Economic and Technology Development Zone (HK) Investment Co., Limited; The Reynold Lemkins Group (Asia) Limited</ns0:t>
        </ns0:is>
      </ns0:c>
      <ns0:c r="AC264" s="74" t="inlineStr">
        <ns0:is>
          <ns0:t>suzhou;gold;xuzhou;reynold</ns0:t>
        </ns0:is>
      </ns0:c>
      <ns0:c r="AD264" s="84" t="n"/>
      <ns0:c r="AE264" s="85" t="n"/>
      <ns0:c r="AF264" s="85" t="n"/>
      <ns0:c r="AG264" s="85" t="n"/>
      <ns0:c r="AH264" s="85" t="n"/>
      <ns0:c r="AI264" s="86" t="n">
        <ns0:v>32.61</ns0:v>
      </ns0:c>
      <ns0:c r="AJ264" s="87" t="n">
        <ns0:v>-27.82</ns0:v>
      </ns0:c>
      <ns0:c r="AK264" s="87" t="n">
        <ns0:v>-0.85</ns0:v>
      </ns0:c>
      <ns0:c r="AL264" s="87" t="n">
        <ns0:v>35.61</ns0:v>
      </ns0:c>
      <ns0:c r="AM264" s="87" t="n">
        <ns0:v>-46.77</ns0:v>
      </ns0:c>
      <ns0:c r="AN264" s="89" t="n">
        <ns0:v>1.83</ns0:v>
      </ns0:c>
      <ns0:c r="AO264" s="78" t="n">
        <ns0:v>50.53</ns0:v>
      </ns0:c>
      <ns0:c r="AP264" s="87" t="n">
        <ns0:v>-22</ns0:v>
      </ns0:c>
      <ns0:c r="AQ264" s="87" t="n">
        <ns0:v>-12.4</ns0:v>
      </ns0:c>
      <ns0:c r="AR264" s="87" t="n">
        <ns0:v>-23.14</ns0:v>
      </ns0:c>
      <ns0:c r="AS264" s="87" t="n">
        <ns0:v>8.06</ns0:v>
      </ns0:c>
      <ns0:c r="AT264" s="87" t="n">
        <ns0:v>21.36</ns0:v>
      </ns0:c>
      <ns0:c r="AU264" s="87" t="n">
        <ns0:v>6.48</ns0:v>
      </ns0:c>
      <ns0:c r="AV264" s="87" t="n">
        <ns0:v>-21.32</ns0:v>
      </ns0:c>
      <ns0:c r="AW264" s="87" t="n">
        <ns0:v>-7.81</ns0:v>
      </ns0:c>
      <ns0:c r="AX264" s="87" t="n">
        <ns0:v>-55.91</ns0:v>
      </ns0:c>
      <ns0:c r="AY264" s="87" t="n">
        <ns0:v>25.13</ns0:v>
      </ns0:c>
      <ns0:c r="AZ264" s="87" t="n">
        <ns0:v>-4.59</ns0:v>
      </ns0:c>
      <ns0:c r="BA264" s="87" t="n">
        <ns0:v>-3.77</ns0:v>
      </ns0:c>
      <ns0:c r="BB264" s="74" t="inlineStr">
        <ns0:is>
          <ns0:t>HSTECH (Hang Seng TECH ETF)</ns0:t>
        </ns0:is>
      </ns0:c>
      <ns0:c r="BC264" s="87" t="n">
        <ns0:v>-22</ns0:v>
      </ns0:c>
      <ns0:c r="BD264" s="75" t="n">
        <ns0:v>45747</ns0:v>
      </ns0:c>
      <ns0:c r="BE264" s="76" t="n">
        <ns0:v>485.2</ns0:v>
      </ns0:c>
      <ns0:c r="BF264" s="79" t="n">
        <ns0:v>38.6</ns0:v>
      </ns0:c>
      <ns0:c r="BG264" s="74" t="inlineStr">
        <ns0:is>
          <ns0:t>Y</ns0:t>
        </ns0:is>
      </ns0:c>
      <ns0:c r="BH264" s="89" t="n">
        <ns0:v>108.2</ns0:v>
      </ns0:c>
      <ns0:c r="BI264" s="89" t="n">
        <ns0:v>72.7</ns0:v>
      </ns0:c>
      <ns0:c r="BJ264" s="89" t="n">
        <ns0:v>72.5</ns0:v>
      </ns0:c>
      <ns0:c r="BK264" s="89" t="n">
        <ns0:v>8.6</ns0:v>
      </ns0:c>
      <ns0:c r="BL264" s="90">
        <ns0:f>IFERROR(IF('BBG Verify'!S264="","Awaiting Bloomberg",'BBG Verify'!S264),"Awaiting Bloomberg")</ns0:f>
        <ns0:v/>
      </ns0:c>
      <ns0:c r="BM264" s="91" t="inlineStr">
        <ns0:is>
          <ns0:t>N</ns0:t>
        </ns0:is>
      </ns0:c>
      <ns0:c r="BN264" s="92">
        <ns0:f>IFERROR(IF('BBG Verify'!K264="","Awaiting Bloomberg",'BBG Verify'!K264),"Awaiting Bloomberg")</ns0:f>
        <ns0:v/>
      </ns0:c>
      <ns0:c r="BO264" s="74" t="inlineStr">
        <ns0:is>
          <ns0:t>N/A</ns0:t>
        </ns0:is>
      </ns0:c>
      <ns0:c r="BP264" s="74" t="inlineStr">
        <ns0:is>
          <ns0:t>N/A</ns0:t>
        </ns0:is>
      </ns0:c>
      <ns0:c r="BQ264" s="74" t="inlineStr">
        <ns0:is>
          <ns0:t>N/A</ns0:t>
        </ns0:is>
      </ns0:c>
      <ns0:c r="BR264" s="74" t="inlineStr">
        <ns0:is>
          <ns0:t>N/A</ns0:t>
        </ns0:is>
      </ns0:c>
      <ns0:c r="BS264" s="74" t="inlineStr">
        <ns0:is>
          <ns0:t>N/A</ns0:t>
        </ns0:is>
      </ns0:c>
      <ns0:c r="BT264" s="74" t="inlineStr">
        <ns0:is>
          <ns0:t>N/A</ns0:t>
        </ns0:is>
      </ns0:c>
      <ns0:c r="BU264" s="91" t="inlineStr">
        <ns0:is>
          <ns0:t>CITIC Securities (Hong Kong) Limited</ns0:t>
        </ns0:is>
      </ns0:c>
      <ns0:c r="BV264" s="74" t="inlineStr">
        <ns0:is>
          <ns0:t>CITIC Securities (Hong Kong) Limited</ns0:t>
        </ns0:is>
      </ns0:c>
      <ns0:c r="BW264" s="74" t="inlineStr">
        <ns0:is>
          <ns0: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ns0:t>
        </ns0:is>
      </ns0:c>
      <ns0:c r="BX264" s="74" t="inlineStr">
        <ns0:is>
          <ns0: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ns0:t>
        </ns0:is>
      </ns0:c>
      <ns0:c r="BY264" s="93">
        <ns0:f>HYPERLINK("https://www1.hkexnews.hk/listedco/listconews/sehk/2024/0620/2024062000191.pdf","prospectus")</ns0:f>
        <ns0:v/>
      </ns0:c>
      <ns0:c r="BZ264" s="93">
        <ns0:f>HYPERLINK("https://www1.hkexnews.hk/listedco/listconews/sehk/2024/0627/2024062702312.pdf","allotment")</ns0:f>
        <ns0:v/>
      </ns0:c>
      <ns0:c r="CA264" s="85" t="n"/>
      <ns0:c r="CB264" s="94" t="n"/>
      <ns0:c r="CC264" s="74" t="inlineStr">
        <ns0:is>
          <ns0:t>intl sub: parsed 0.99x rejected (implausible against a 603x public book); BBG Verify CP037 fills it; greenshoe: no over-allotment option; range low: maximum offer price only, no floor published; greenshoe size: no over-allotment option; stabilising manager: filing states none appointed (allotment announcement: 'no stabilizing manager will be appointed' stated in the filing); price series: last available quoted close 2025-03-31; may be suspended, delisted or a source gap; price and benchmark end on that date</ns0:t>
        </ns0:is>
      </ns0:c>
    </ns0:row>
    <ns0:row r="265" ht="22" customHeight="1">
      <ns0:c r="A265" s="73" t="inlineStr">
        <ns0:is>
          <ns0:t>6181</ns0:t>
        </ns0:is>
      </ns0:c>
      <ns0:c r="B265" s="74" t="inlineStr">
        <ns0:is>
          <ns0:t>LAOPU GOLD</ns0:t>
        </ns0:is>
      </ns0:c>
      <ns0:c r="C265" s="74" t="inlineStr">
        <ns0:is>
          <ns0:t>老鋪黃金</ns0:t>
        </ns0:is>
      </ns0:c>
      <ns0:c r="D265" s="74" t="inlineStr">
        <ns0:is>
          <ns0:t>Consumer</ns0:t>
        </ns0:is>
      </ns0:c>
      <ns0:c r="E265" s="74" t="inlineStr">
        <ns0:is>
          <ns0:t>Apparel / luxury</ns0:t>
        </ns0:is>
      </ns0:c>
      <ns0:c r="F265" s="74" t="inlineStr">
        <ns0:is>
          <ns0:t>Watch &amp; Jewellery</ns0:t>
        </ns0:is>
      </ns0:c>
      <ns0:c r="G265" s="74" t="inlineStr">
        <ns0:is>
          <ns0:t>Standard</ns0:t>
        </ns0:is>
      </ns0:c>
      <ns0:c r="H265" s="75" t="n">
        <ns0:v>45471</ns0:v>
      </ns0:c>
      <ns0:c r="I265" s="76" t="n">
        <ns0:v>905.9</ns0:v>
      </ns0:c>
      <ns0:c r="J265" s="74" t="inlineStr">
        <ns0:is>
          <ns0:t>gross (price x shares)</ns0:t>
        </ns0:is>
      </ns0:c>
      <ns0:c r="K265" s="95" t="n"/>
      <ns0:c r="L265" s="77" t="n">
        <ns0:v>40.5</ns0:v>
      </ns0:c>
      <ns0:c r="M265" s="77" t="n">
        <ns0:v>40.5</ns0:v>
      </ns0:c>
      <ns0:c r="N265" s="74" t="inlineStr">
        <ns0:is>
          <ns0:t>Y</ns0:t>
        </ns0:is>
      </ns0:c>
      <ns0:c r="O265" s="78" t="n">
        <ns0:v>100</ns0:v>
      </ns0:c>
      <ns0:c r="P265" s="84" t="n"/>
      <ns0:c r="Q265" s="79" t="n">
        <ns0:v>6683</ns0:v>
      </ns0:c>
      <ns0:c r="R265" s="74" t="inlineStr">
        <ns0:is>
          <ns0:t>derived:price x shares upon listing</ns0:t>
        </ns0:is>
      </ns0:c>
      <ns0:c r="S265" s="80" t="n">
        <ns0:v>582.15</ns0:v>
      </ns0:c>
      <ns0:c r="T265" s="81" t="n">
        <ns0:v>11.9</ns0:v>
      </ns0:c>
      <ns0:c r="U265" s="82" t="n">
        <ns0:v>48.29</ns0:v>
      </ns0:c>
      <ns0:c r="V265" s="83" t="n">
        <ns0:v>108</ns0:v>
      </ns0:c>
      <ns0:c r="W265" s="78" t="n">
        <ns0:v>50</ns0:v>
      </ns0:c>
      <ns0:c r="X265" s="74" t="inlineStr">
        <ns0:is>
          <ns0:t>YES</ns0:t>
        </ns0:is>
      </ns0:c>
      <ns0:c r="Y265" s="79" t="n">
        <ns0:v>468.44</ns0:v>
      </ns0:c>
      <ns0:c r="Z265" s="79" t="n">
        <ns0:v>11566958</ns0:v>
      </ns0:c>
      <ns0:c r="AA265" s="78" t="n">
        <ns0:v>7.01</ns0:v>
      </ns0:c>
      <ns0:c r="AB265" s="74" t="inlineStr">
        <ns0:is>
          <ns0:t>Huang River Investment Limited; China; Southern Asset Management Co., Ltd. CPE Greater China Enterprises Growth Fund</ns0:t>
        </ns0:is>
      </ns0:c>
      <ns0:c r="AC265" s="74" t="inlineStr">
        <ns0:is>
          <ns0:t>huang-river;china;southern-cpe</ns0:t>
        </ns0:is>
      </ns0:c>
      <ns0:c r="AD265" s="78" t="n">
        <ns0:v>15</ns0:v>
      </ns0:c>
      <ns0:c r="AE265" s="74" t="inlineStr">
        <ns0:is>
          <ns0:t>full</ns0:t>
        </ns0:is>
      </ns0:c>
      <ns0:c r="AF265" s="74" t="inlineStr">
        <ns0:is>
          <ns0:t>2024-07-25</ns0:t>
        </ns0:is>
      </ns0:c>
      <ns0:c r="AG265" s="74" t="inlineStr">
        <ns0:is>
          <ns0:t>China Securities</ns0:t>
        </ns0:is>
      </ns0:c>
      <ns0:c r="AH265" s="74" t="inlineStr">
        <ns0:is>
          <ns0:t>China Securities</ns0:t>
        </ns0:is>
      </ns0:c>
      <ns0:c r="AI265" s="86" t="n">
        <ns0:v>51.36</ns0:v>
      </ns0:c>
      <ns0:c r="AJ265" s="87" t="n">
        <ns0:v>72.84</ns0:v>
      </ns0:c>
      <ns0:c r="AK265" s="87" t="n">
        <ns0:v>-0.17</ns0:v>
      </ns0:c>
      <ns0:c r="AL265" s="87" t="n">
        <ns0:v>59.26</ns0:v>
      </ns0:c>
      <ns0:c r="AM265" s="87" t="n">
        <ns0:v>8.529999999999999</ns0:v>
      </ns0:c>
      <ns0:c r="AN265" s="89" t="n">
        <ns0:v>1.6</ns0:v>
      </ns0:c>
      <ns0:c r="AO265" s="78" t="n">
        <ns0:v>22.71</ns0:v>
      </ns0:c>
      <ns0:c r="AP265" s="87" t="n">
        <ns0:v>110.37</ns0:v>
      </ns0:c>
      <ns0:c r="AQ265" s="87" t="n">
        <ns0:v>104.94</ns0:v>
      </ns0:c>
      <ns0:c r="AR265" s="87" t="n">
        <ns0:v>262.96</ns0:v>
      </ns0:c>
      <ns0:c r="AS265" s="87" t="n">
        <ns0:v>21.71</ns0:v>
      </ns0:c>
      <ns0:c r="AT265" s="87" t="n">
        <ns0:v>18.57</ns0:v>
      </ns0:c>
      <ns0:c r="AU265" s="87" t="n">
        <ns0:v>110</ns0:v>
      </ns0:c>
      <ns0:c r="AV265" s="87" t="n">
        <ns0:v>109.67</ns0:v>
      </ns0:c>
      <ns0:c r="AW265" s="87" t="n">
        <ns0:v>109.15</ns0:v>
      </ns0:c>
      <ns0:c r="AX265" s="87" t="n">
        <ns0:v>239.17</ns0:v>
      </ns0:c>
      <ns0:c r="AY265" s="87" t="n">
        <ns0:v>22.62</ns0:v>
      </ns0:c>
      <ns0:c r="AZ265" s="87" t="n">
        <ns0:v>-4.21</ns0:v>
      </ns0:c>
      <ns0:c r="BA265" s="87" t="n">
        <ns0:v>-4.05</ns0:v>
      </ns0:c>
      <ns0:c r="BB265" s="74" t="inlineStr">
        <ns0:is>
          <ns0:t>Hang Seng Commerce &amp; Industry sub-index</ns0:t>
        </ns0:is>
      </ns0:c>
      <ns0:c r="BC265" s="87" t="n">
        <ns0:v>707.9</ns0:v>
      </ns0:c>
      <ns0:c r="BD265" s="75" t="n">
        <ns0:v>46297</ns0:v>
      </ns0:c>
      <ns0:c r="BE265" s="76" t="n">
        <ns0:v>3497.5</ns0:v>
      </ns0:c>
      <ns0:c r="BF265" s="79" t="n">
        <ns0:v>125.3</ns0:v>
      </ns0:c>
      <ns0:c r="BG265" s="74" t="inlineStr">
        <ns0:is>
          <ns0:t>Y</ns0:t>
        </ns0:is>
      </ns0:c>
      <ns0:c r="BH265" s="89" t="n">
        <ns0:v>53.3</ns0:v>
      </ns0:c>
      <ns0:c r="BI265" s="88" t="n"/>
      <ns0:c r="BJ265" s="89" t="n">
        <ns0:v>10.6</ns0:v>
      </ns0:c>
      <ns0:c r="BK265" s="89" t="n">
        <ns0:v>1.9</ns0:v>
      </ns0:c>
      <ns0:c r="BL265" s="90">
        <ns0:f>IFERROR(IF('BBG Verify'!S265="","Awaiting Bloomberg",'BBG Verify'!S265),"Awaiting Bloomberg")</ns0:f>
        <ns0:v/>
      </ns0:c>
      <ns0:c r="BM265" s="91" t="inlineStr">
        <ns0:is>
          <ns0:t>N</ns0:t>
        </ns0:is>
      </ns0:c>
      <ns0:c r="BN265" s="92">
        <ns0:f>IFERROR(IF('BBG Verify'!K265="","Awaiting Bloomberg",'BBG Verify'!K265),"Awaiting Bloomberg")</ns0:f>
        <ns0:v/>
      </ns0:c>
      <ns0:c r="BO265" s="74" t="inlineStr">
        <ns0:is>
          <ns0:t>N/A</ns0:t>
        </ns0:is>
      </ns0:c>
      <ns0:c r="BP265" s="74" t="inlineStr">
        <ns0:is>
          <ns0:t>N/A</ns0:t>
        </ns0:is>
      </ns0:c>
      <ns0:c r="BQ265" s="74" t="inlineStr">
        <ns0:is>
          <ns0:t>N/A</ns0:t>
        </ns0:is>
      </ns0:c>
      <ns0:c r="BR265" s="74" t="inlineStr">
        <ns0:is>
          <ns0:t>N/A</ns0:t>
        </ns0:is>
      </ns0:c>
      <ns0:c r="BS265" s="74" t="inlineStr">
        <ns0:is>
          <ns0:t>N/A</ns0:t>
        </ns0:is>
      </ns0:c>
      <ns0:c r="BT265" s="74" t="inlineStr">
        <ns0:is>
          <ns0:t>N/A</ns0:t>
        </ns0:is>
      </ns0:c>
      <ns0:c r="BU265" s="91" t="inlineStr">
        <ns0:is>
          <ns0:t>China Securities (International) Corporate Finance Company Limited</ns0:t>
        </ns0:is>
      </ns0:c>
      <ns0:c r="BV265" s="74" t="inlineStr">
        <ns0:is>
          <ns0:t>China Securities (International) Corporate Finance Company Limited</ns0:t>
        </ns0:is>
      </ns0:c>
      <ns0:c r="BW265" s="74" t="inlineStr">
        <ns0:is>
          <ns0:t>China Securities (International) Corporate Finance Company Limited; CCB International Capital Limited; BOCOM International Securities Limited</ns0:t>
        </ns0:is>
      </ns0:c>
      <ns0:c r="BX265" s="74" t="inlineStr">
        <ns0:is>
          <ns0:t>BOCOM International Securities Limited; CCB International Capital Limited; China Securities (International) Corporate Finance Company Limited; Tiger Brokers (HK) Global Limited</ns0:t>
        </ns0:is>
      </ns0:c>
      <ns0:c r="BY265" s="93">
        <ns0:f>HYPERLINK("https://www1.hkexnews.hk/listedco/listconews/sehk/2024/0620/2024062000017.pdf","prospectus")</ns0:f>
        <ns0:v/>
      </ns0:c>
      <ns0:c r="BZ265" s="93">
        <ns0:f>HYPERLINK("https://www1.hkexnews.hk/listedco/listconews/sehk/2024/0627/2024062702334.pdf","allotment")</ns0:f>
        <ns0:v/>
      </ns0:c>
      <ns0:c r="CA265" s="93">
        <ns0:f>HYPERLINK("https://www1.hkexnews.hk/listedco/listconews/sehk/2024/0725/2024072501435.pdf","stabilisation")</ns0:f>
        <ns0:v/>
      </ns0:c>
      <ns0:c r="CB265" s="94" t="n"/>
      <ns0:c r="CC265" s="74" t="inlineStr">
        <ns0:is>
          <ns0:t>range low: maximum offer price only, no floor published; A/H: no A-share listing; nearest A proxy Chow Hong Ji (CHJ Jewellery) (002345.SZ)</ns0:t>
        </ns0:is>
      </ns0:c>
    </ns0:row>
    <ns0:row r="266" ht="22" customHeight="1">
      <ns0:c r="A266" s="73" t="inlineStr">
        <ns0:is>
          <ns0:t>2545</ns0:t>
        </ns0:is>
      </ns0:c>
      <ns0:c r="B266" s="74" t="inlineStr">
        <ns0:is>
          <ns0:t>ZHONGGAN COMM</ns0:t>
        </ns0:is>
      </ns0:c>
      <ns0:c r="C266" s="74" t="inlineStr">
        <ns0:is>
          <ns0:t>中贛通信</ns0:t>
        </ns0:is>
      </ns0:c>
      <ns0:c r="D266" s="74" t="inlineStr">
        <ns0:is>
          <ns0:t>Media &amp; telecom</ns0:t>
        </ns0:is>
      </ns0:c>
      <ns0:c r="E266" s="74" t="inlineStr">
        <ns0:is>
          <ns0:t>Telecom</ns0:t>
        </ns0:is>
      </ns0:c>
      <ns0:c r="F266" s="74" t="inlineStr">
        <ns0:is>
          <ns0:t>Telecommunications &amp; Networking Equipment</ns0:t>
        </ns0:is>
      </ns0:c>
      <ns0:c r="G266" s="74" t="inlineStr">
        <ns0:is>
          <ns0:t>Standard</ns0:t>
        </ns0:is>
      </ns0:c>
      <ns0:c r="H266" s="75" t="n">
        <ns0:v>45476</ns0:v>
      </ns0:c>
      <ns0:c r="I266" s="76" t="n">
        <ns0:v>200</ns0:v>
      </ns0:c>
      <ns0:c r="J266" s="74" t="inlineStr">
        <ns0:is>
          <ns0:t>gross (price x shares)</ns0:t>
        </ns0:is>
      </ns0:c>
      <ns0:c r="K266" s="77" t="n">
        <ns0:v>1.13</ns0:v>
      </ns0:c>
      <ns0:c r="L266" s="77" t="n">
        <ns0:v>1.25</ns0:v>
      </ns0:c>
      <ns0:c r="M266" s="77" t="n">
        <ns0:v>1.25</ns0:v>
      </ns0:c>
      <ns0:c r="N266" s="74" t="inlineStr">
        <ns0:is>
          <ns0:t>Y</ns0:t>
        </ns0:is>
      </ns0:c>
      <ns0:c r="O266" s="78" t="n">
        <ns0:v>100</ns0:v>
      </ns0:c>
      <ns0:c r="P266" s="78" t="n">
        <ns0:v>100</ns0:v>
      </ns0:c>
      <ns0:c r="Q266" s="79" t="n">
        <ns0:v>800</ns0:v>
      </ns0:c>
      <ns0:c r="R266" s="74" t="inlineStr">
        <ns0:is>
          <ns0:t>derived:price x shares upon listing</ns0:t>
        </ns0:is>
      </ns0:c>
      <ns0:c r="S266" s="80" t="n">
        <ns0:v>195.99</ns0:v>
      </ns0:c>
      <ns0:c r="T266" s="81" t="n">
        <ns0:v>1.5</ns0:v>
      </ns0:c>
      <ns0:c r="U266" s="82" t="n">
        <ns0:v>0</ns0:v>
      </ns0:c>
      <ns0:c r="V266" s="83" t="n">
        <ns0:v>133</ns0:v>
      </ns0:c>
      <ns0:c r="W266" s="78" t="n">
        <ns0:v>50</ns0:v>
      </ns0:c>
      <ns0:c r="X266" s="74" t="inlineStr">
        <ns0:is>
          <ns0:t>YES</ns0:t>
        </ns0:is>
      </ns0:c>
      <ns0:c r="Y266" s="79" t="n">
        <ns0:v>200</ns0:v>
      </ns0:c>
      <ns0:c r="Z266" s="79" t="n">
        <ns0:v>160000000</ns0:v>
      </ns0:c>
      <ns0:c r="AA266" s="78" t="n">
        <ns0:v>25</ns0:v>
      </ns0:c>
      <ns0:c r="AB266" s="74" t="inlineStr">
        <ns0:is>
          <ns0:t>none — no cornerstone tranche</ns0:t>
        </ns0:is>
      </ns0:c>
      <ns0:c r="AC266" s="74" t="inlineStr">
        <ns0:is>
          <ns0:t>none</ns0:t>
        </ns0:is>
      </ns0:c>
      <ns0:c r="AD266" s="78" t="n">
        <ns0:v>15</ns0:v>
      </ns0:c>
      <ns0:c r="AE266" s="74" t="inlineStr">
        <ns0:is>
          <ns0:t>lapsed (no over-allocation)</ns0:t>
        </ns0:is>
      </ns0:c>
      <ns0:c r="AF266" s="74" t="inlineStr">
        <ns0:is>
          <ns0:t>2024-07-27</ns0:t>
        </ns0:is>
      </ns0:c>
      <ns0:c r="AG266" s="74" t="inlineStr">
        <ns0:is>
          <ns0:t>Zhongtai Internati onal Securities Limited</ns0:t>
        </ns0:is>
      </ns0:c>
      <ns0:c r="AH266" s="74" t="inlineStr">
        <ns0:is>
          <ns0:t>Zhongtai Internati</ns0:t>
        </ns0:is>
      </ns0:c>
      <ns0:c r="AI266" s="86" t="n">
        <ns0:v>-38.4</ns0:v>
      </ns0:c>
      <ns0:c r="AJ266" s="87" t="n">
        <ns0:v>-46.4</ns0:v>
      </ns0:c>
      <ns0:c r="AK266" s="87" t="n">
        <ns0:v>1.18</ns0:v>
      </ns0:c>
      <ns0:c r="AL266" s="87" t="n">
        <ns0:v>-39.2</ns0:v>
      </ns0:c>
      <ns0:c r="AM266" s="87" t="n">
        <ns0:v>-11.84</ns0:v>
      </ns0:c>
      <ns0:c r="AN266" s="89" t="n">
        <ns0:v>1.64</ns0:v>
      </ns0:c>
      <ns0:c r="AO266" s="78" t="n">
        <ns0:v>23.68</ns0:v>
      </ns0:c>
      <ns0:c r="AP266" s="87" t="n">
        <ns0:v>-63.6</ns0:v>
      </ns0:c>
      <ns0:c r="AQ266" s="87" t="n">
        <ns0:v>-65.59999999999999</ns0:v>
      </ns0:c>
      <ns0:c r="AR266" s="87" t="n">
        <ns0:v>-68.40000000000001</ns0:v>
      </ns0:c>
      <ns0:c r="AS266" s="87" t="n">
        <ns0:v>-32.09</ns0:v>
      </ns0:c>
      <ns0:c r="AT266" s="87" t="n">
        <ns0:v>-35.82</ns0:v>
      </ns0:c>
      <ns0:c r="AU266" s="87" t="n">
        <ns0:v>-41.04</ns0:v>
      </ns0:c>
      <ns0:c r="AV266" s="87" t="n">
        <ns0:v>-61.93</ns0:v>
      </ns0:c>
      <ns0:c r="AW266" s="87" t="n">
        <ns0:v>-62.99</ns0:v>
      </ns0:c>
      <ns0:c r="AX266" s="87" t="n">
        <ns0:v>-92.84999999999999</ns0:v>
      </ns0:c>
      <ns0:c r="AY266" s="87" t="n">
        <ns0:v>-32.07</ns0:v>
      </ns0:c>
      <ns0:c r="AZ266" s="87" t="n">
        <ns0:v>-2.61</ns0:v>
      </ns0:c>
      <ns0:c r="BA266" s="87" t="n">
        <ns0:v>-3.75</ns0:v>
      </ns0:c>
      <ns0:c r="BB266" s="74" t="inlineStr">
        <ns0:is>
          <ns0:t>Hang Seng Index</ns0:t>
        </ns0:is>
      </ns0:c>
      <ns0:c r="BC266" s="87" t="n">
        <ns0:v>-63.2</ns0:v>
      </ns0:c>
      <ns0:c r="BD266" s="75" t="n">
        <ns0:v>46297</ns0:v>
      </ns0:c>
      <ns0:c r="BE266" s="76" t="n">
        <ns0:v>454.4</ns0:v>
      </ns0:c>
      <ns0:c r="BF266" s="79" t="n">
        <ns0:v>75.5</ns0:v>
      </ns0:c>
      <ns0:c r="BG266" s="74" t="inlineStr">
        <ns0:is>
          <ns0:t>Y</ns0:t>
        </ns0:is>
      </ns0:c>
      <ns0:c r="BH266" s="89" t="n">
        <ns0:v>10.6</ns0:v>
      </ns0:c>
      <ns0:c r="BI266" s="88" t="n"/>
      <ns0:c r="BJ266" s="89" t="n">
        <ns0:v>23.7</ns0:v>
      </ns0:c>
      <ns0:c r="BK266" s="89" t="n">
        <ns0:v>1.8</ns0:v>
      </ns0:c>
      <ns0:c r="BL266" s="90">
        <ns0:f>IFERROR(IF('BBG Verify'!S266="","Awaiting Bloomberg",'BBG Verify'!S266),"Awaiting Bloomberg")</ns0:f>
        <ns0:v/>
      </ns0:c>
      <ns0:c r="BM266" s="91" t="inlineStr">
        <ns0:is>
          <ns0:t>N</ns0:t>
        </ns0:is>
      </ns0:c>
      <ns0:c r="BN266" s="92">
        <ns0:f>IFERROR(IF('BBG Verify'!K266="","Awaiting Bloomberg",'BBG Verify'!K266),"Awaiting Bloomberg")</ns0:f>
        <ns0:v/>
      </ns0:c>
      <ns0:c r="BO266" s="74" t="inlineStr">
        <ns0:is>
          <ns0:t>N/A</ns0:t>
        </ns0:is>
      </ns0:c>
      <ns0:c r="BP266" s="74" t="inlineStr">
        <ns0:is>
          <ns0:t>N/A</ns0:t>
        </ns0:is>
      </ns0:c>
      <ns0:c r="BQ266" s="74" t="inlineStr">
        <ns0:is>
          <ns0:t>N/A</ns0:t>
        </ns0:is>
      </ns0:c>
      <ns0:c r="BR266" s="74" t="inlineStr">
        <ns0:is>
          <ns0:t>N/A</ns0:t>
        </ns0:is>
      </ns0:c>
      <ns0:c r="BS266" s="74" t="inlineStr">
        <ns0:is>
          <ns0:t>N/A</ns0:t>
        </ns0:is>
      </ns0:c>
      <ns0:c r="BT266" s="74" t="inlineStr">
        <ns0:is>
          <ns0:t>N/A</ns0:t>
        </ns0:is>
      </ns0:c>
      <ns0:c r="BU266" s="91" t="inlineStr">
        <ns0:is>
          <ns0:t>Zhongtai International Capital Limited</ns0:t>
        </ns0:is>
      </ns0:c>
      <ns0:c r="BV266" s="74" t="inlineStr">
        <ns0:is>
          <ns0:t>Zhongtai International Capital Limited</ns0:t>
        </ns0:is>
      </ns0:c>
      <ns0:c r="BW266" s="74" t="inlineStr">
        <ns0:is>
          <ns0:t>Zhongtai International Securities Limited; CCB International Capital Limited; CMB International Capital Limited; ABCI Capital Limited; ICBC International Securities Limited; CMBC Securities Company Limited; China Sunrise Securities (International) Limited</ns0:t>
        </ns0:is>
      </ns0:c>
      <ns0:c r="BX266" s="74" t="inlineStr">
        <ns0:is>
          <ns0: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ns0:t>
        </ns0:is>
      </ns0:c>
      <ns0:c r="BY266" s="93">
        <ns0:f>HYPERLINK("https://www1.hkexnews.hk/listedco/listconews/sehk/2024/0621/2024062100099.pdf","prospectus")</ns0:f>
        <ns0:v/>
      </ns0:c>
      <ns0:c r="BZ266" s="93">
        <ns0:f>HYPERLINK("https://www1.hkexnews.hk/listedco/listconews/sehk/2024/0702/2024070203581.pdf","allotment")</ns0:f>
        <ns0:v/>
      </ns0:c>
      <ns0:c r="CA266" s="93">
        <ns0:f>HYPERLINK("https://www1.hkexnews.hk/listedco/listconews/sehk/2024/0729/2024072900518.pdf","stabilisation")</ns0:f>
        <ns0:v/>
      </ns0:c>
      <ns0:c r="CB266" s="94" t="n"/>
      <ns0:c r="CC266" s="74" t="inlineStr">
        <ns0:is>
          <ns0:t>cornerstone list: no cornerstone tranche</ns0:t>
        </ns0:is>
      </ns0:c>
    </ns0:row>
    <ns0:row r="267" ht="22" customHeight="1">
      <ns0:c r="A267" s="73" t="inlineStr">
        <ns0:is>
          <ns0:t>1354</ns0:t>
        </ns0:is>
      </ns0:c>
      <ns0:c r="B267" s="74" t="inlineStr">
        <ns0:is>
          <ns0:t>KINGFARPROPERTY</ns0:t>
        </ns0:is>
      </ns0:c>
      <ns0:c r="C267" s="74" t="inlineStr">
        <ns0:is>
          <ns0:t>經發物業</ns0:t>
        </ns0:is>
      </ns0:c>
      <ns0:c r="D267" s="74" t="inlineStr">
        <ns0:is>
          <ns0:t>Real Estate</ns0:t>
        </ns0:is>
      </ns0:c>
      <ns0:c r="E267" s="74" t="inlineStr">
        <ns0:is>
          <ns0:t>Property management</ns0:t>
        </ns0:is>
      </ns0:c>
      <ns0:c r="F267" s="74" t="inlineStr">
        <ns0:is>
          <ns0:t>Property Service and Management</ns0:t>
        </ns0:is>
      </ns0:c>
      <ns0:c r="G267" s="74" t="inlineStr">
        <ns0:is>
          <ns0:t>Standard</ns0:t>
        </ns0:is>
      </ns0:c>
      <ns0:c r="H267" s="75" t="n">
        <ns0:v>45476</ns0:v>
      </ns0:c>
      <ns0:c r="I267" s="76" t="n">
        <ns0:v>125</ns0:v>
      </ns0:c>
      <ns0:c r="J267" s="74" t="inlineStr">
        <ns0:is>
          <ns0:t>gross (price x shares)</ns0:t>
        </ns0:is>
      </ns0:c>
      <ns0:c r="K267" s="77" t="n">
        <ns0:v>7.5</ns0:v>
      </ns0:c>
      <ns0:c r="L267" s="77" t="n">
        <ns0:v>9.300000000000001</ns0:v>
      </ns0:c>
      <ns0:c r="M267" s="77" t="n">
        <ns0:v>7.5</ns0:v>
      </ns0:c>
      <ns0:c r="N267" s="74" t="inlineStr">
        <ns0:is>
          <ns0:t>N</ns0:t>
        </ns0:is>
      </ns0:c>
      <ns0:c r="O267" s="78" t="n">
        <ns0:v>80.59999999999999</ns0:v>
      </ns0:c>
      <ns0:c r="P267" s="78" t="n">
        <ns0:v>0</ns0:v>
      </ns0:c>
      <ns0:c r="Q267" s="79" t="n">
        <ns0:v>500</ns0:v>
      </ns0:c>
      <ns0:c r="R267" s="74" t="inlineStr">
        <ns0:is>
          <ns0:t>derived:price x shares upon listing</ns0:t>
        </ns0:is>
      </ns0:c>
      <ns0:c r="S267" s="80" t="n">
        <ns0:v>118.87</ns0:v>
      </ns0:c>
      <ns0:c r="T267" s="81" t="n">
        <ns0:v>0.98</ns0:v>
      </ns0:c>
      <ns0:c r="U267" s="82" t="n">
        <ns0:v>43.05</ns0:v>
      </ns0:c>
      <ns0:c r="V267" s="83" t="n">
        <ns0:v>122</ns0:v>
      </ns0:c>
      <ns0:c r="W267" s="78" t="n">
        <ns0:v>18.01</ns0:v>
      </ns0:c>
      <ns0:c r="X267" s="74" t="inlineStr">
        <ns0:is>
          <ns0:t>NO</ns0:t>
        </ns0:is>
      </ns0:c>
      <ns0:c r="Y267" s="79" t="n">
        <ns0:v>71.19</ns0:v>
      </ns0:c>
      <ns0:c r="Z267" s="79" t="n">
        <ns0:v>9491743</ns0:v>
      </ns0:c>
      <ns0:c r="AA267" s="78" t="n">
        <ns0:v>14.24</ns0:v>
      </ns0:c>
      <ns0:c r="AB267" s="74" t="inlineStr">
        <ns0:is>
          <ns0:t>The Reynold Lemkins Group (Asia) Limited; Xian Dingzhun Education and Technology Co., Ltd; Xian Tianbo Diagnostics Co., Ltd</ns0:t>
        </ns0:is>
      </ns0:c>
      <ns0:c r="AC267" s="74" t="inlineStr">
        <ns0:is>
          <ns0:t>reynold;xian</ns0:t>
        </ns0:is>
      </ns0:c>
      <ns0:c r="AD267" s="78" t="n">
        <ns0:v>10.8</ns0:v>
      </ns0:c>
      <ns0:c r="AE267" s="74" t="inlineStr">
        <ns0:is>
          <ns0:t>lapsed (no over-allocation)</ns0:t>
        </ns0:is>
      </ns0:c>
      <ns0:c r="AF267" s="85" t="n"/>
      <ns0:c r="AG267" s="74" t="inlineStr">
        <ns0:is>
          <ns0:t>CEB International Capital Corporation Limited</ns0:t>
        </ns0:is>
      </ns0:c>
      <ns0:c r="AH267" s="74" t="inlineStr">
        <ns0:is>
          <ns0:t>CEB</ns0:t>
        </ns0:is>
      </ns0:c>
      <ns0:c r="AI267" s="86" t="n">
        <ns0:v>0.27</ns0:v>
      </ns0:c>
      <ns0:c r="AJ267" s="87" t="n">
        <ns0:v>-11.47</ns0:v>
      </ns0:c>
      <ns0:c r="AK267" s="87" t="n">
        <ns0:v>1.97</ns0:v>
      </ns0:c>
      <ns0:c r="AL267" s="87" t="n">
        <ns0:v>2</ns0:v>
      </ns0:c>
      <ns0:c r="AM267" s="87" t="n">
        <ns0:v>-13.21</ns0:v>
      </ns0:c>
      <ns0:c r="AN267" s="89" t="n">
        <ns0:v>1.11</ns0:v>
      </ns0:c>
      <ns0:c r="AO267" s="78" t="n">
        <ns0:v>20.26</ns0:v>
      </ns0:c>
      <ns0:c r="AP267" s="87" t="n">
        <ns0:v>-24</ns0:v>
      </ns0:c>
      <ns0:c r="AQ267" s="87" t="n">
        <ns0:v>26.13</ns0:v>
      </ns0:c>
      <ns0:c r="AR267" s="87" t="n">
        <ns0:v>168</ns0:v>
      </ns0:c>
      <ns0:c r="AS267" s="87" t="n">
        <ns0:v>-14.15</ns0:v>
      </ns0:c>
      <ns0:c r="AT267" s="87" t="n">
        <ns0:v>42.47</ns0:v>
      </ns0:c>
      <ns0:c r="AU267" s="87" t="n">
        <ns0:v>202.72</ns0:v>
      </ns0:c>
      <ns0:c r="AV267" s="87" t="n">
        <ns0:v>-21.92</ns0:v>
      </ns0:c>
      <ns0:c r="AW267" s="87" t="n">
        <ns0:v>28.97</ns0:v>
      </ns0:c>
      <ns0:c r="AX267" s="87" t="n">
        <ns0:v>140.96</ns0:v>
      </ns0:c>
      <ns0:c r="AY267" s="87" t="n">
        <ns0:v>47.19</ns0:v>
      </ns0:c>
      <ns0:c r="AZ267" s="87" t="n">
        <ns0:v>-2.84</ns0:v>
      </ns0:c>
      <ns0:c r="BA267" s="87" t="n">
        <ns0:v>-4.72</ns0:v>
      </ns0:c>
      <ns0:c r="BB267" s="74" t="inlineStr">
        <ns0:is>
          <ns0:t>Hang Seng Properties sub-index</ns0:t>
        </ns0:is>
      </ns0:c>
      <ns0:c r="BC267" s="87" t="n">
        <ns0:v>-64.27</ns0:v>
      </ns0:c>
      <ns0:c r="BD267" s="75" t="n">
        <ns0:v>46297</ns0:v>
      </ns0:c>
      <ns0:c r="BE267" s="76" t="n">
        <ns0:v>948.5</ns0:v>
      </ns0:c>
      <ns0:c r="BF267" s="79" t="n">
        <ns0:v>56.1</ns0:v>
      </ns0:c>
      <ns0:c r="BG267" s="74" t="inlineStr">
        <ns0:is>
          <ns0:t>Y</ns0:t>
        </ns0:is>
      </ns0:c>
      <ns0:c r="BH267" s="89" t="n">
        <ns0:v>8.9</ns0:v>
      </ns0:c>
      <ns0:c r="BI267" s="88" t="n"/>
      <ns0:c r="BJ267" s="89" t="n">
        <ns0:v>1.8</ns0:v>
      </ns0:c>
      <ns0:c r="BK267" s="89" t="n">
        <ns0:v>0.5</ns0:v>
      </ns0:c>
      <ns0:c r="BL267" s="90">
        <ns0:f>IFERROR(IF('BBG Verify'!S267="","Awaiting Bloomberg",'BBG Verify'!S267),"Awaiting Bloomberg")</ns0:f>
        <ns0:v/>
      </ns0:c>
      <ns0:c r="BM267" s="91" t="inlineStr">
        <ns0:is>
          <ns0:t>N</ns0:t>
        </ns0:is>
      </ns0:c>
      <ns0:c r="BN267" s="92">
        <ns0:f>IFERROR(IF('BBG Verify'!K267="","Awaiting Bloomberg",'BBG Verify'!K267),"Awaiting Bloomberg")</ns0:f>
        <ns0:v/>
      </ns0:c>
      <ns0:c r="BO267" s="74" t="inlineStr">
        <ns0:is>
          <ns0:t>N/A</ns0:t>
        </ns0:is>
      </ns0:c>
      <ns0:c r="BP267" s="74" t="inlineStr">
        <ns0:is>
          <ns0:t>N/A</ns0:t>
        </ns0:is>
      </ns0:c>
      <ns0:c r="BQ267" s="74" t="inlineStr">
        <ns0:is>
          <ns0:t>N/A</ns0:t>
        </ns0:is>
      </ns0:c>
      <ns0:c r="BR267" s="74" t="inlineStr">
        <ns0:is>
          <ns0:t>N/A</ns0:t>
        </ns0:is>
      </ns0:c>
      <ns0:c r="BS267" s="74" t="inlineStr">
        <ns0:is>
          <ns0:t>N/A</ns0:t>
        </ns0:is>
      </ns0:c>
      <ns0:c r="BT267" s="74" t="inlineStr">
        <ns0:is>
          <ns0:t>N/A</ns0:t>
        </ns0:is>
      </ns0:c>
      <ns0:c r="BU267" s="91" t="inlineStr">
        <ns0:is>
          <ns0:t>CEB International Capital Corporation Limited</ns0:t>
        </ns0:is>
      </ns0:c>
      <ns0:c r="BV267" s="74" t="inlineStr">
        <ns0:is>
          <ns0:t>CEB International Capital Corporation Limited</ns0:t>
        </ns0:is>
      </ns0:c>
      <ns0:c r="BW267" s="74" t="inlineStr">
        <ns0:is>
          <ns0: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ns0:t>
        </ns0:is>
      </ns0:c>
      <ns0:c r="BX267" s="74" t="inlineStr">
        <ns0:is>
          <ns0: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ns0:t>
        </ns0:is>
      </ns0:c>
      <ns0:c r="BY267" s="93">
        <ns0:f>HYPERLINK("https://www1.hkexnews.hk/listedco/listconews/sehk/2024/0624/2024062400007.pdf","prospectus")</ns0:f>
        <ns0:v/>
      </ns0:c>
      <ns0:c r="BZ267" s="93">
        <ns0:f>HYPERLINK("https://www1.hkexnews.hk/listedco/listconews/sehk/2024/0702/2024070203671.pdf","allotment")</ns0:f>
        <ns0:v/>
      </ns0:c>
      <ns0:c r="CA267" s="93">
        <ns0:f>HYPERLINK("https://www1.hkexnews.hk/listedco/listconews/sehk/2024/0729/2024072900434.pdf","stabilisation")</ns0:f>
        <ns0:v/>
      </ns0:c>
      <ns0:c r="CB267" s="94" t="n"/>
      <ns0:c r="CC267" s="74" t="inlineStr">
        <ns0:is>
          <ns0:t>greenshoe: outcome published; expiry date not in the notice</ns0:t>
        </ns0:is>
      </ns0:c>
    </ns0:row>
    <ns0:row r="268" ht="22" customHeight="1">
      <ns0:c r="A268" s="73" t="inlineStr">
        <ns0:is>
          <ns0:t>6657</ns0:t>
        </ns0:is>
      </ns0:c>
      <ns0:c r="B268" s="74" t="inlineStr">
        <ns0:is>
          <ns0:t>BAIWANG CO</ns0:t>
        </ns0:is>
      </ns0:c>
      <ns0:c r="C268" s="74" t="inlineStr">
        <ns0:is>
          <ns0:t>百望股份</ns0:t>
        </ns0:is>
      </ns0:c>
      <ns0:c r="D268" s="74" t="inlineStr">
        <ns0:is>
          <ns0:t>Technology</ns0:t>
        </ns0:is>
      </ns0:c>
      <ns0:c r="E268" s="74" t="inlineStr">
        <ns0:is>
          <ns0:t>Software &amp; AI</ns0:t>
        </ns0:is>
      </ns0:c>
      <ns0:c r="F268" s="74" t="inlineStr">
        <ns0:is>
          <ns0:t>Systems Software</ns0:t>
        </ns0:is>
      </ns0:c>
      <ns0:c r="G268" s="74" t="inlineStr">
        <ns0:is>
          <ns0:t>Standard</ns0:t>
        </ns0:is>
      </ns0:c>
      <ns0:c r="H268" s="75" t="n">
        <ns0:v>45482</ns0:v>
      </ns0:c>
      <ns0:c r="I268" s="76" t="n">
        <ns0:v>333.4</ns0:v>
      </ns0:c>
      <ns0:c r="J268" s="74" t="inlineStr">
        <ns0:is>
          <ns0:t>gross (price x shares)</ns0:t>
        </ns0:is>
      </ns0:c>
      <ns0:c r="K268" s="77" t="n">
        <ns0:v>36</ns0:v>
      </ns0:c>
      <ns0:c r="L268" s="77" t="n">
        <ns0:v>40</ns0:v>
      </ns0:c>
      <ns0:c r="M268" s="77" t="n">
        <ns0:v>36</ns0:v>
      </ns0:c>
      <ns0:c r="N268" s="74" t="inlineStr">
        <ns0:is>
          <ns0:t>N</ns0:t>
        </ns0:is>
      </ns0:c>
      <ns0:c r="O268" s="78" t="n">
        <ns0:v>90</ns0:v>
      </ns0:c>
      <ns0:c r="P268" s="78" t="n">
        <ns0:v>0</ns0:v>
      </ns0:c>
      <ns0:c r="Q268" s="79" t="n">
        <ns0:v>8132.6</ns0:v>
      </ns0:c>
      <ns0:c r="R268" s="74" t="inlineStr">
        <ns0:is>
          <ns0:t>derived:price x shares upon listing</ns0:t>
        </ns0:is>
      </ns0:c>
      <ns0:c r="S268" s="80" t="n">
        <ns0:v>6.58</ns0:v>
      </ns0:c>
      <ns0:c r="T268" s="81" t="n">
        <ns0:v>1.04</ns0:v>
      </ns0:c>
      <ns0:c r="U268" s="82" t="n">
        <ns0:v>77.98</ns0:v>
      </ns0:c>
      <ns0:c r="V268" s="83" t="n">
        <ns0:v>132</ns0:v>
      </ns0:c>
      <ns0:c r="W268" s="78" t="n">
        <ns0:v>10</ns0:v>
      </ns0:c>
      <ns0:c r="X268" s="74" t="inlineStr">
        <ns0:is>
          <ns0:t>NO</ns0:t>
        </ns0:is>
      </ns0:c>
      <ns0:c r="Y268" s="79" t="n">
        <ns0:v>73.41</ns0:v>
      </ns0:c>
      <ns0:c r="Z268" s="79" t="n">
        <ns0:v>2039492</ns0:v>
      </ns0:c>
      <ns0:c r="AA268" s="78" t="n">
        <ns0:v>0.9</ns0:v>
      </ns0:c>
      <ns0:c r="AB268" s="74" t="inlineStr">
        <ns0:is>
          <ns0:t>Jiangsu Yuanli Industrial Investment Co., Ltd</ns0:t>
        </ns0:is>
      </ns0:c>
      <ns0:c r="AC268" s="74" t="inlineStr">
        <ns0:is>
          <ns0:t>jiangsu</ns0:t>
        </ns0:is>
      </ns0:c>
      <ns0:c r="AD268" s="78" t="n">
        <ns0:v>6.61</ns0:v>
      </ns0:c>
      <ns0:c r="AE268" s="74" t="inlineStr">
        <ns0:is>
          <ns0:t>lapsed</ns0:t>
        </ns0:is>
      </ns0:c>
      <ns0:c r="AF268" s="85" t="n"/>
      <ns0:c r="AG268" s="74" t="inlineStr">
        <ns0:is>
          <ns0:t>Haitong International Securities Company Limited DEFINITIONS –3 4</ns0:t>
        </ns0:is>
      </ns0:c>
      <ns0:c r="AH268" s="74" t="inlineStr">
        <ns0:is>
          <ns0:t>Haitong</ns0:t>
        </ns0:is>
      </ns0:c>
      <ns0:c r="AI268" s="86" t="n">
        <ns0:v>-3.75</ns0:v>
      </ns0:c>
      <ns0:c r="AJ268" s="87" t="n">
        <ns0:v>8.06</ns0:v>
      </ns0:c>
      <ns0:c r="AK268" s="87" t="n">
        <ns0:v>0.74</ns0:v>
      </ns0:c>
      <ns0:c r="AL268" s="87" t="n">
        <ns0:v>-11.11</ns0:v>
      </ns0:c>
      <ns0:c r="AM268" s="87" t="n">
        <ns0:v>21.57</ns0:v>
      </ns0:c>
      <ns0:c r="AN268" s="89" t="n">
        <ns0:v>1.12</ns0:v>
      </ns0:c>
      <ns0:c r="AO268" s="78" t="n">
        <ns0:v>36.56</ns0:v>
      </ns0:c>
      <ns0:c r="AP268" s="87" t="n">
        <ns0:v>-4.86</ns0:v>
      </ns0:c>
      <ns0:c r="AQ268" s="87" t="n">
        <ns0:v>-5.56</ns0:v>
      </ns0:c>
      <ns0:c r="AR268" s="87" t="n">
        <ns0:v>-1.94</ns0:v>
      </ns0:c>
      <ns0:c r="AS268" s="87" t="n">
        <ns0:v>-11.96</ns0:v>
      </ns0:c>
      <ns0:c r="AT268" s="87" t="n">
        <ns0:v>-12.6</ns0:v>
      </ns0:c>
      <ns0:c r="AU268" s="87" t="n">
        <ns0:v>-9.25</ns0:v>
      </ns0:c>
      <ns0:c r="AV268" s="87" t="n">
        <ns0:v>-6.52</ns0:v>
      </ns0:c>
      <ns0:c r="AW268" s="87" t="n">
        <ns0:v>-0.42</ns0:v>
      </ns0:c>
      <ns0:c r="AX268" s="87" t="n">
        <ns0:v>-31.51</ns0:v>
      </ns0:c>
      <ns0:c r="AY268" s="87" t="n">
        <ns0:v>-6.76</ns0:v>
      </ns0:c>
      <ns0:c r="AZ268" s="87" t="n">
        <ns0:v>-5.14</ns0:v>
      </ns0:c>
      <ns0:c r="BA268" s="87" t="n">
        <ns0:v>-5.84</ns0:v>
      </ns0:c>
      <ns0:c r="BB268" s="74" t="inlineStr">
        <ns0:is>
          <ns0:t>HSTECH (Hang Seng TECH ETF)</ns0:t>
        </ns0:is>
      </ns0:c>
      <ns0:c r="BC268" s="87" t="n">
        <ns0:v>-59.11</ns0:v>
      </ns0:c>
      <ns0:c r="BD268" s="75" t="n">
        <ns0:v>46297</ns0:v>
      </ns0:c>
      <ns0:c r="BE268" s="76" t="n">
        <ns0:v>784.3</ns0:v>
      </ns0:c>
      <ns0:c r="BF268" s="79" t="n">
        <ns0:v>-395.2</ns0:v>
      </ns0:c>
      <ns0:c r="BG268" s="74" t="inlineStr">
        <ns0:is>
          <ns0:t>N</ns0:t>
        </ns0:is>
      </ns0:c>
      <ns0:c r="BH268" s="74" t="inlineStr">
        <ns0:is>
          <ns0:t>n/m</ns0:t>
        </ns0:is>
      </ns0:c>
      <ns0:c r="BI268" s="88" t="n"/>
      <ns0:c r="BJ268" s="88" t="n"/>
      <ns0:c r="BK268" s="89" t="n">
        <ns0:v>10.4</ns0:v>
      </ns0:c>
      <ns0:c r="BL268" s="90">
        <ns0:f>IFERROR(IF('BBG Verify'!S268="","Awaiting Bloomberg",'BBG Verify'!S268),"Awaiting Bloomberg")</ns0:f>
        <ns0:v/>
      </ns0:c>
      <ns0:c r="BM268" s="91" t="inlineStr">
        <ns0:is>
          <ns0:t>N</ns0:t>
        </ns0:is>
      </ns0:c>
      <ns0:c r="BN268" s="92">
        <ns0:f>IFERROR(IF('BBG Verify'!K268="","Awaiting Bloomberg",'BBG Verify'!K268),"Awaiting Bloomberg")</ns0:f>
        <ns0:v/>
      </ns0:c>
      <ns0:c r="BO268" s="74" t="inlineStr">
        <ns0:is>
          <ns0:t>N/A</ns0:t>
        </ns0:is>
      </ns0:c>
      <ns0:c r="BP268" s="74" t="inlineStr">
        <ns0:is>
          <ns0:t>N/A</ns0:t>
        </ns0:is>
      </ns0:c>
      <ns0:c r="BQ268" s="74" t="inlineStr">
        <ns0:is>
          <ns0:t>N/A</ns0:t>
        </ns0:is>
      </ns0:c>
      <ns0:c r="BR268" s="74" t="inlineStr">
        <ns0:is>
          <ns0:t>N/A</ns0:t>
        </ns0:is>
      </ns0:c>
      <ns0:c r="BS268" s="74" t="inlineStr">
        <ns0:is>
          <ns0:t>N/A</ns0:t>
        </ns0:is>
      </ns0:c>
      <ns0:c r="BT268" s="74" t="inlineStr">
        <ns0:is>
          <ns0:t>N/A</ns0:t>
        </ns0:is>
      </ns0:c>
      <ns0:c r="BU268" s="91" t="inlineStr">
        <ns0:is>
          <ns0:t>Haitong International Capital Limited; Haitong International Securities Company Limited</ns0:t>
        </ns0:is>
      </ns0:c>
      <ns0:c r="BV268" s="74" t="inlineStr">
        <ns0:is>
          <ns0:t>Haitong International Capital Limited</ns0:t>
        </ns0:is>
      </ns0:c>
      <ns0:c r="BW268" s="74" t="inlineStr">
        <ns0:is>
          <ns0:t>Huatai Financial Holdings (Hong Kong) Limited; BOCI Asia Limited; Shenwan Hongyuan Securities (H.K.) Limited</ns0:t>
        </ns0:is>
      </ns0:c>
      <ns0:c r="BX268" s="74" t="inlineStr">
        <ns0:is>
          <ns0: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ns0:t>
        </ns0:is>
      </ns0:c>
      <ns0:c r="BY268" s="93">
        <ns0:f>HYPERLINK("https://www1.hkexnews.hk/listedco/listconews/sehk/2024/0628/2024062800069.pdf","prospectus")</ns0:f>
        <ns0:v/>
      </ns0:c>
      <ns0:c r="BZ268" s="93">
        <ns0:f>HYPERLINK("https://www1.hkexnews.hk/listedco/listconews/sehk/2024/0708/2024070801055.pdf","allotment")</ns0:f>
        <ns0:v/>
      </ns0:c>
      <ns0:c r="CA268" s="93">
        <ns0:f>HYPERLINK("https://www1.hkexnews.hk/listedco/listconews/sehk/2024/0804/2024080400007.pdf","stabilisation")</ns0:f>
        <ns0:v/>
      </ns0:c>
      <ns0:c r="CB268" s="94" t="n"/>
      <ns0:c r="CC268" s="74" t="inlineStr">
        <ns0:is>
          <ns0:t>P/E: loss-making at IPO, use P/S; greenshoe: outcome published; expiry date not in the notice</ns0:t>
        </ns0:is>
      </ns0:c>
    </ns0:row>
    <ns0:row r="269" ht="22" customHeight="1">
      <ns0:c r="A269" s="73" t="inlineStr">
        <ns0:is>
          <ns0:t>6086</ns0:t>
        </ns0:is>
      </ns0:c>
      <ns0:c r="B269" s="74" t="inlineStr">
        <ns0:is>
          <ns0:t>FANGZHOU JIANKE</ns0:t>
        </ns0:is>
      </ns0:c>
      <ns0:c r="C269" s="74" t="inlineStr">
        <ns0:is>
          <ns0:t>方舟健客</ns0:t>
        </ns0:is>
      </ns0:c>
      <ns0:c r="D269" s="74" t="inlineStr">
        <ns0:is>
          <ns0:t>Healthcare</ns0:t>
        </ns0:is>
      </ns0:c>
      <ns0:c r="E269" s="74" t="inlineStr">
        <ns0:is>
          <ns0:t>Digital health</ns0:t>
        </ns0:is>
      </ns0:c>
      <ns0:c r="F269" s="74" t="inlineStr">
        <ns0:is>
          <ns0:t>Health Care Services</ns0:t>
        </ns0:is>
      </ns0:c>
      <ns0:c r="G269" s="74" t="inlineStr">
        <ns0:is>
          <ns0:t>Standard</ns0:t>
        </ns0:is>
      </ns0:c>
      <ns0:c r="H269" s="75" t="n">
        <ns0:v>45482</ns0:v>
      </ns0:c>
      <ns0:c r="I269" s="76" t="n">
        <ns0:v>194.68</ns0:v>
      </ns0:c>
      <ns0:c r="J269" s="74" t="inlineStr">
        <ns0:is>
          <ns0:t>gross (stated)</ns0:t>
        </ns0:is>
      </ns0:c>
      <ns0:c r="K269" s="77" t="n">
        <ns0:v>7.6</ns0:v>
      </ns0:c>
      <ns0:c r="L269" s="77" t="n">
        <ns0:v>8.359999999999999</ns0:v>
      </ns0:c>
      <ns0:c r="M269" s="77" t="n">
        <ns0:v>8.18</ns0:v>
      </ns0:c>
      <ns0:c r="N269" s="74" t="inlineStr">
        <ns0:is>
          <ns0:t>N</ns0:t>
        </ns0:is>
      </ns0:c>
      <ns0:c r="O269" s="78" t="n">
        <ns0:v>97.8</ns0:v>
      </ns0:c>
      <ns0:c r="P269" s="78" t="n">
        <ns0:v>76.3</ns0:v>
      </ns0:c>
      <ns0:c r="Q269" s="79" t="n">
        <ns0:v>10963.4</ns0:v>
      </ns0:c>
      <ns0:c r="R269" s="74" t="inlineStr">
        <ns0:is>
          <ns0:t>derived:price x shares upon listing</ns0:t>
        </ns0:is>
      </ns0:c>
      <ns0:c r="S269" s="80" t="n">
        <ns0:v>16.63</ns0:v>
      </ns0:c>
      <ns0:c r="T269" s="81" t="n">
        <ns0:v>1.66</ns0:v>
      </ns0:c>
      <ns0:c r="U269" s="82" t="n">
        <ns0:v>0</ns0:v>
      </ns0:c>
      <ns0:c r="V269" s="83" t="n">
        <ns0:v>145</ns0:v>
      </ns0:c>
      <ns0:c r="W269" s="78" t="n">
        <ns0:v>30</ns0:v>
      </ns0:c>
      <ns0:c r="X269" s="74" t="inlineStr">
        <ns0:is>
          <ns0:t>YES</ns0:t>
        </ns0:is>
      </ns0:c>
      <ns0:c r="Y269" s="79" t="n">
        <ns0:v>194.68</ns0:v>
      </ns0:c>
      <ns0:c r="Z269" s="97" t="n"/>
      <ns0:c r="AA269" s="78" t="n">
        <ns0:v>1.78</ns0:v>
      </ns0:c>
      <ns0:c r="AB269" s="74" t="inlineStr">
        <ns0:is>
          <ns0:t>none — no cornerstone tranche</ns0:t>
        </ns0:is>
      </ns0:c>
      <ns0:c r="AC269" s="74" t="inlineStr">
        <ns0:is>
          <ns0:t>none</ns0:t>
        </ns0:is>
      </ns0:c>
      <ns0:c r="AD269" s="78" t="n">
        <ns0:v>8.720000000000001</ns0:v>
      </ns0:c>
      <ns0:c r="AE269" s="74" t="inlineStr">
        <ns0:is>
          <ns0:t>lapsed</ns0:t>
        </ns0:is>
      </ns0:c>
      <ns0:c r="AF269" s="74" t="inlineStr">
        <ns0:is>
          <ns0:t>2024-08-03</ns0:t>
        </ns0:is>
      </ns0:c>
      <ns0:c r="AG269" s="74" t="inlineStr">
        <ns0:is>
          <ns0:t>Citigroup Global Markets Asia Limited</ns0:t>
        </ns0:is>
      </ns0:c>
      <ns0:c r="AH269" s="74" t="inlineStr">
        <ns0:is>
          <ns0:t>Citigroup</ns0:t>
        </ns0:is>
      </ns0:c>
      <ns0:c r="AI269" s="86" t="n">
        <ns0:v>-38.51</ns0:v>
      </ns0:c>
      <ns0:c r="AJ269" s="87" t="n">
        <ns0:v>-44.62</ns0:v>
      </ns0:c>
      <ns0:c r="AK269" s="87" t="n">
        <ns0:v>0.16</ns0:v>
      </ns0:c>
      <ns0:c r="AL269" s="87" t="n">
        <ns0:v>-42.79</ns0:v>
      </ns0:c>
      <ns0:c r="AM269" s="87" t="n">
        <ns0:v>-3.2</ns0:v>
      </ns0:c>
      <ns0:c r="AN269" s="89" t="n">
        <ns0:v>1.39</ns0:v>
      </ns0:c>
      <ns0:c r="AO269" s="78" t="n">
        <ns0:v>13.89</ns0:v>
      </ns0:c>
      <ns0:c r="AP269" s="87" t="n">
        <ns0:v>-43.77</ns0:v>
      </ns0:c>
      <ns0:c r="AQ269" s="87" t="n">
        <ns0:v>-47.8</ns0:v>
      </ns0:c>
      <ns0:c r="AR269" s="87" t="n">
        <ns0:v>-15.53</ns0:v>
      </ns0:c>
      <ns0:c r="AS269" s="87" t="n">
        <ns0:v>1.53</ns0:v>
      </ns0:c>
      <ns0:c r="AT269" s="87" t="n">
        <ns0:v>-5.74</ns0:v>
      </ns0:c>
      <ns0:c r="AU269" s="87" t="n">
        <ns0:v>52.53</ns0:v>
      </ns0:c>
      <ns0:c r="AV269" s="87" t="n">
        <ns0:v>-47.83</ns0:v>
      </ns0:c>
      <ns0:c r="AW269" s="87" t="n">
        <ns0:v>-52.4</ns0:v>
      </ns0:c>
      <ns0:c r="AX269" s="87" t="n">
        <ns0:v>-40.95</ns0:v>
      </ns0:c>
      <ns0:c r="AY269" s="87" t="n">
        <ns0:v>-10.17</ns0:v>
      </ns0:c>
      <ns0:c r="AZ269" s="87" t="n">
        <ns0:v>4.6</ns0:v>
      </ns0:c>
      <ns0:c r="BA269" s="87" t="n">
        <ns0:v>4.43</ns0:v>
      </ns0:c>
      <ns0:c r="BB269" s="74" t="inlineStr">
        <ns0:is>
          <ns0:t>China Biotech ETF (HS biotech proxy)</ns0:t>
        </ns0:is>
      </ns0:c>
      <ns0:c r="BC269" s="87" t="n">
        <ns0:v>-89.48999999999999</ns0:v>
      </ns0:c>
      <ns0:c r="BD269" s="75" t="n">
        <ns0:v>46297</ns0:v>
      </ns0:c>
      <ns0:c r="BE269" s="76" t="n">
        <ns0:v>2677.7</ns0:v>
      </ns0:c>
      <ns0:c r="BF269" s="79" t="n">
        <ns0:v>-216.5</ns0:v>
      </ns0:c>
      <ns0:c r="BG269" s="74" t="inlineStr">
        <ns0:is>
          <ns0:t>N</ns0:t>
        </ns0:is>
      </ns0:c>
      <ns0:c r="BH269" s="74" t="inlineStr">
        <ns0:is>
          <ns0:t>n/m</ns0:t>
        </ns0:is>
      </ns0:c>
      <ns0:c r="BI269" s="88" t="n"/>
      <ns0:c r="BJ269" s="89" t="n">
        <ns0:v>61.9</ns0:v>
      </ns0:c>
      <ns0:c r="BK269" s="89" t="n">
        <ns0:v>4.1</ns0:v>
      </ns0:c>
      <ns0:c r="BL269" s="90">
        <ns0:f>IFERROR(IF('BBG Verify'!S269="","Awaiting Bloomberg",'BBG Verify'!S269),"Awaiting Bloomberg")</ns0:f>
        <ns0:v/>
      </ns0:c>
      <ns0:c r="BM269" s="91" t="inlineStr">
        <ns0:is>
          <ns0:t>N</ns0:t>
        </ns0:is>
      </ns0:c>
      <ns0:c r="BN269" s="92">
        <ns0:f>IFERROR(IF('BBG Verify'!K269="","Awaiting Bloomberg",'BBG Verify'!K269),"Awaiting Bloomberg")</ns0:f>
        <ns0:v/>
      </ns0:c>
      <ns0:c r="BO269" s="74" t="inlineStr">
        <ns0:is>
          <ns0:t>N/A</ns0:t>
        </ns0:is>
      </ns0:c>
      <ns0:c r="BP269" s="74" t="inlineStr">
        <ns0:is>
          <ns0:t>N/A</ns0:t>
        </ns0:is>
      </ns0:c>
      <ns0:c r="BQ269" s="74" t="inlineStr">
        <ns0:is>
          <ns0:t>N/A</ns0:t>
        </ns0:is>
      </ns0:c>
      <ns0:c r="BR269" s="74" t="inlineStr">
        <ns0:is>
          <ns0:t>N/A</ns0:t>
        </ns0:is>
      </ns0:c>
      <ns0:c r="BS269" s="74" t="inlineStr">
        <ns0:is>
          <ns0:t>N/A</ns0:t>
        </ns0:is>
      </ns0:c>
      <ns0:c r="BT269" s="74" t="inlineStr">
        <ns0:is>
          <ns0:t>N/A</ns0:t>
        </ns0:is>
      </ns0:c>
      <ns0:c r="BU269" s="91" t="inlineStr">
        <ns0:is>
          <ns0:t>Citigroup Global Markets Asia Limited; ABCI Capital Limited</ns0:t>
        </ns0:is>
      </ns0:c>
      <ns0:c r="BV269" s="74" t="inlineStr">
        <ns0:is>
          <ns0:t>Citigroup Global Markets Asia Limited; ABCI Capital Limited</ns0:t>
        </ns0:is>
      </ns0:c>
      <ns0:c r="BW269" s="74" t="inlineStr">
        <ns0:is>
          <ns0: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ns0:t>
        </ns0:is>
      </ns0:c>
      <ns0:c r="BX269" s="74" t="inlineStr">
        <ns0:is>
          <ns0: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ns0:t>
        </ns0:is>
      </ns0:c>
      <ns0:c r="BY269" s="93">
        <ns0:f>HYPERLINK("https://www1.hkexnews.hk/listedco/listconews/sehk/2024/0628/2024062800041.pdf","prospectus")</ns0:f>
        <ns0:v/>
      </ns0:c>
      <ns0:c r="BZ269" s="93">
        <ns0:f>HYPERLINK("https://www1.hkexnews.hk/listedco/listconews/sehk/2024/0708/2024070801101.pdf","allotment")</ns0:f>
        <ns0:v/>
      </ns0:c>
      <ns0:c r="CA269" s="93">
        <ns0:f>HYPERLINK("https://www1.hkexnews.hk/listedco/listconews/sehk/2024/0805/2024080500039.pdf","stabilisation")</ns0:f>
        <ns0:v/>
      </ns0:c>
      <ns0:c r="CB269" s="94" t="n"/>
      <ns0:c r="CC269" s="74" t="inlineStr">
        <ns0:is>
          <ns0:t>P/E: loss-making at IPO, use P/S; cornerstone list: no cornerstone tranche; eff float shares: share count unavailable; the HK$m figure is exact</ns0:t>
        </ns0:is>
      </ns0:c>
    </ns0:row>
    <ns0:row r="270" ht="22" customHeight="1">
      <ns0:c r="A270" s="73" t="inlineStr">
        <ns0:is>
          <ns0:t>1334</ns0:t>
        </ns0:is>
      </ns0:c>
      <ns0:c r="B270" s="74" t="inlineStr">
        <ns0:is>
          <ns0:t>RUICHANG INTL</ns0:t>
        </ns0:is>
      </ns0:c>
      <ns0:c r="C270" s="74" t="inlineStr">
        <ns0:is>
          <ns0:t>瑞昌國際控股</ns0:t>
        </ns0:is>
      </ns0:c>
      <ns0:c r="D270" s="74" t="inlineStr">
        <ns0:is>
          <ns0:t>Consumer</ns0:t>
        </ns0:is>
      </ns0:c>
      <ns0:c r="E270" s="74" t="inlineStr">
        <ns0:is>
          <ns0:t>Auto parts / supply chain</ns0:t>
        </ns0:is>
      </ns0:c>
      <ns0:c r="F270" s="74" t="inlineStr">
        <ns0:is>
          <ns0:t>Oil &amp; Gas Refining and Marketing</ns0:t>
        </ns0:is>
      </ns0:c>
      <ns0:c r="G270" s="74" t="inlineStr">
        <ns0:is>
          <ns0:t>Standard</ns0:t>
        </ns0:is>
      </ns0:c>
      <ns0:c r="H270" s="75" t="n">
        <ns0:v>45483</ns0:v>
      </ns0:c>
      <ns0:c r="I270" s="76" t="n">
        <ns0:v>131.3</ns0:v>
      </ns0:c>
      <ns0:c r="J270" s="74" t="inlineStr">
        <ns0:is>
          <ns0:t>gross (stated)</ns0:t>
        </ns0:is>
      </ns0:c>
      <ns0:c r="K270" s="77" t="n">
        <ns0:v>1.05</ns0:v>
      </ns0:c>
      <ns0:c r="L270" s="77" t="n">
        <ns0:v>1.39</ns0:v>
      </ns0:c>
      <ns0:c r="M270" s="77" t="n">
        <ns0:v>1.05</ns0:v>
      </ns0:c>
      <ns0:c r="N270" s="74" t="inlineStr">
        <ns0:is>
          <ns0:t>N</ns0:t>
        </ns0:is>
      </ns0:c>
      <ns0:c r="O270" s="78" t="n">
        <ns0:v>75.5</ns0:v>
      </ns0:c>
      <ns0:c r="P270" s="78" t="n">
        <ns0:v>0</ns0:v>
      </ns0:c>
      <ns0:c r="Q270" s="79" t="n">
        <ns0:v>653.4</ns0:v>
      </ns0:c>
      <ns0:c r="R270" s="74" t="inlineStr">
        <ns0:is>
          <ns0:t>aastocks:上市市值 at the struck price</ns0:t>
        </ns0:is>
      </ns0:c>
      <ns0:c r="S270" s="80" t="n">
        <ns0:v>19.24</ns0:v>
      </ns0:c>
      <ns0:c r="T270" s="81" t="n">
        <ns0:v>0.97</ns0:v>
      </ns0:c>
      <ns0:c r="U270" s="82" t="n">
        <ns0:v>44.04</ns0:v>
      </ns0:c>
      <ns0:c r="V270" s="83" t="n">
        <ns0:v>142</ns0:v>
      </ns0:c>
      <ns0:c r="W270" s="78" t="n">
        <ns0:v>12.54</ns0:v>
      </ns0:c>
      <ns0:c r="X270" s="85" t="n"/>
      <ns0:c r="Y270" s="79" t="n">
        <ns0:v>73.48</ns0:v>
      </ns0:c>
      <ns0:c r="Z270" s="79" t="n">
        <ns0:v>69950000</ns0:v>
      </ns0:c>
      <ns0:c r="AA270" s="78" t="n">
        <ns0:v>11.25</ns0:v>
      </ns0:c>
      <ns0:c r="AB270" s="74" t="inlineStr">
        <ns0:is>
          <ns0:t>Huangshan City Investment Private Equity Fund Management Co., Ltd; Huangshan Chenghe Xinye Equity Investment Partnership (Limited Partnership); Emsdom Limited</ns0:t>
        </ns0:is>
      </ns0:c>
      <ns0:c r="AC270" s="74" t="inlineStr">
        <ns0:is>
          <ns0:t>huangshan;emsdom</ns0:t>
        </ns0:is>
      </ns0:c>
      <ns0:c r="AD270" s="78" t="n">
        <ns0:v>11</ns0:v>
      </ns0:c>
      <ns0:c r="AE270" s="74" t="inlineStr">
        <ns0:is>
          <ns0:t>lapsed (no over-allocation)</ns0:t>
        </ns0:is>
      </ns0:c>
      <ns0:c r="AF270" s="85" t="n"/>
      <ns0:c r="AG270" s="85" t="n"/>
      <ns0:c r="AH270" s="85" t="n"/>
      <ns0:c r="AI270" s="86" t="n">
        <ns0:v>13.33</ns0:v>
      </ns0:c>
      <ns0:c r="AJ270" s="87" t="n">
        <ns0:v>14.29</ns0:v>
      </ns0:c>
      <ns0:c r="AK270" s="87" t="n">
        <ns0:v>-0.67</ns0:v>
      </ns0:c>
      <ns0:c r="AL270" s="87" t="n">
        <ns0:v>23.81</ns0:v>
      </ns0:c>
      <ns0:c r="AM270" s="87" t="n">
        <ns0:v>-7.69</ns0:v>
      </ns0:c>
      <ns0:c r="AN270" s="89" t="n">
        <ns0:v>2.55</ns0:v>
      </ns0:c>
      <ns0:c r="AO270" s="78" t="n">
        <ns0:v>30</ns0:v>
      </ns0:c>
      <ns0:c r="AP270" s="87" t="n">
        <ns0:v>9.52</ns0:v>
      </ns0:c>
      <ns0:c r="AQ270" s="87" t="n">
        <ns0:v>-19.05</ns0:v>
      </ns0:c>
      <ns0:c r="AR270" s="87" t="n">
        <ns0:v>-15.24</ns0:v>
      </ns0:c>
      <ns0:c r="AS270" s="87" t="n">
        <ns0:v>-4.17</ns0:v>
      </ns0:c>
      <ns0:c r="AT270" s="87" t="n">
        <ns0:v>-29.17</ns0:v>
      </ns0:c>
      <ns0:c r="AU270" s="87" t="n">
        <ns0:v>-25.84</ns0:v>
      </ns0:c>
      <ns0:c r="AV270" s="87" t="n">
        <ns0:v>8.960000000000001</ns0:v>
      </ns0:c>
      <ns0:c r="AW270" s="87" t="n">
        <ns0:v>-13.89</ns0:v>
      </ns0:c>
      <ns0:c r="AX270" s="87" t="n">
        <ns0:v>-39.95</ns0:v>
      </ns0:c>
      <ns0:c r="AY270" s="87" t="n">
        <ns0:v>-24.65</ns0:v>
      </ns0:c>
      <ns0:c r="AZ270" s="87" t="n">
        <ns0:v>-5.16</ns0:v>
      </ns0:c>
      <ns0:c r="BA270" s="87" t="n">
        <ns0:v>-4.52</ns0:v>
      </ns0:c>
      <ns0:c r="BB270" s="74" t="inlineStr">
        <ns0:is>
          <ns0:t>Hang Seng Commerce &amp; Industry sub-index</ns0:t>
        </ns0:is>
      </ns0:c>
      <ns0:c r="BC270" s="87" t="n">
        <ns0:v>-12.86</ns0:v>
      </ns0:c>
      <ns0:c r="BD270" s="75" t="n">
        <ns0:v>46297</ns0:v>
      </ns0:c>
      <ns0:c r="BE270" s="76" t="n">
        <ns0:v>598.5</ns0:v>
      </ns0:c>
      <ns0:c r="BF270" s="79" t="n">
        <ns0:v>60.7</ns0:v>
      </ns0:c>
      <ns0:c r="BG270" s="74" t="inlineStr">
        <ns0:is>
          <ns0:t>Y</ns0:t>
        </ns0:is>
      </ns0:c>
      <ns0:c r="BH270" s="89" t="n">
        <ns0:v>10.8</ns0:v>
      </ns0:c>
      <ns0:c r="BI270" s="88" t="n"/>
      <ns0:c r="BJ270" s="89" t="n">
        <ns0:v>99.3</ns0:v>
      </ns0:c>
      <ns0:c r="BK270" s="89" t="n">
        <ns0:v>1.1</ns0:v>
      </ns0:c>
      <ns0:c r="BL270" s="90">
        <ns0:f>IFERROR(IF('BBG Verify'!S270="","Awaiting Bloomberg",'BBG Verify'!S270),"Awaiting Bloomberg")</ns0:f>
        <ns0:v/>
      </ns0:c>
      <ns0:c r="BM270" s="91" t="inlineStr">
        <ns0:is>
          <ns0:t>N</ns0:t>
        </ns0:is>
      </ns0:c>
      <ns0:c r="BN270" s="92">
        <ns0:f>IFERROR(IF('BBG Verify'!K270="","Awaiting Bloomberg",'BBG Verify'!K270),"Awaiting Bloomberg")</ns0:f>
        <ns0:v/>
      </ns0:c>
      <ns0:c r="BO270" s="74" t="inlineStr">
        <ns0:is>
          <ns0:t>N/A</ns0:t>
        </ns0:is>
      </ns0:c>
      <ns0:c r="BP270" s="74" t="inlineStr">
        <ns0:is>
          <ns0:t>N/A</ns0:t>
        </ns0:is>
      </ns0:c>
      <ns0:c r="BQ270" s="74" t="inlineStr">
        <ns0:is>
          <ns0:t>N/A</ns0:t>
        </ns0:is>
      </ns0:c>
      <ns0:c r="BR270" s="74" t="inlineStr">
        <ns0:is>
          <ns0:t>N/A</ns0:t>
        </ns0:is>
      </ns0:c>
      <ns0:c r="BS270" s="74" t="inlineStr">
        <ns0:is>
          <ns0:t>N/A</ns0:t>
        </ns0:is>
      </ns0:c>
      <ns0:c r="BT270" s="74" t="inlineStr">
        <ns0:is>
          <ns0:t>N/A</ns0:t>
        </ns0:is>
      </ns0:c>
      <ns0:c r="BU270" s="91" t="inlineStr">
        <ns0:is>
          <ns0:t>First Shanghai Capital Limited</ns0:t>
        </ns0:is>
      </ns0:c>
      <ns0:c r="BV270" s="74" t="inlineStr">
        <ns0:is>
          <ns0:t>First Shanghai Capital Limited</ns0:t>
        </ns0:is>
      </ns0:c>
      <ns0:c r="BW270" s="74" t="inlineStr">
        <ns0:is>
          <ns0:t>First Shanghai Securities Limited; Victory Securities Company Limited;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ns0:t>
        </ns0:is>
      </ns0:c>
      <ns0:c r="BX270" s="74" t="inlineStr">
        <ns0:is>
          <ns0: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ns0:t>
        </ns0:is>
      </ns0:c>
      <ns0:c r="BY270" s="93">
        <ns0:f>HYPERLINK("https://www1.hkexnews.hk/listedco/listconews/sehk/2024/0628/2024062800081.pdf","prospectus")</ns0:f>
        <ns0:v/>
      </ns0:c>
      <ns0:c r="BZ270" s="93">
        <ns0:f>HYPERLINK("https://www1.hkexnews.hk/listedco/listconews/sehk/2024/0709/2024070901007.pdf","allotment")</ns0:f>
        <ns0:v/>
      </ns0:c>
      <ns0:c r="CA270" s="93">
        <ns0:f>HYPERLINK("https://www1.hkexnews.hk/listedco/listconews/sehk/2024/0805/2024080500823.pdf","stabilisation")</ns0:f>
        <ns0:v/>
      </ns0:c>
      <ns0:c r="CB270" s="94" t="n"/>
      <ns0:c r="CC270" s="74" t="inlineStr">
        <ns0:is>
          <ns0:t>greenshoe: outcome published; expiry date not in the notice; market cap: published listing cap used; the estimate from deal size / offer % of enlarged capital disagreed; stabilising manager: not named in the allotment notice or prospectus glossary; allocation: clawback line not in this notice; a 12-28% split is consistent with either a tier-1 clawback or a placing shortfall</ns0:t>
        </ns0:is>
      </ns0:c>
    </ns0:row>
    <ns0:row r="271" ht="22" customHeight="1">
      <ns0:c r="A271" s="73" t="inlineStr">
        <ns0:is>
          <ns0:t>2495</ns0:t>
        </ns0:is>
      </ns0:c>
      <ns0:c r="B271" s="74" t="inlineStr">
        <ns0:is>
          <ns0:t>VOICECOMM</ns0:t>
        </ns0:is>
      </ns0:c>
      <ns0:c r="C271" s="74" t="inlineStr">
        <ns0:is>
          <ns0:t>聲通科技</ns0:t>
        </ns0:is>
      </ns0:c>
      <ns0:c r="D271" s="74" t="inlineStr">
        <ns0:is>
          <ns0:t>Media &amp; telecom</ns0:t>
        </ns0:is>
      </ns0:c>
      <ns0:c r="E271" s="74" t="inlineStr">
        <ns0:is>
          <ns0:t>Telecom</ns0:t>
        </ns0:is>
      </ns0:c>
      <ns0:c r="F271" s="74" t="inlineStr">
        <ns0:is>
          <ns0:t>IT Consulting &amp; Other Services</ns0:t>
        </ns0:is>
      </ns0:c>
      <ns0:c r="G271" s="74" t="inlineStr">
        <ns0:is>
          <ns0:t>Standard</ns0:t>
        </ns0:is>
      </ns0:c>
      <ns0:c r="H271" s="75" t="n">
        <ns0:v>45483</ns0:v>
      </ns0:c>
      <ns0:c r="I271" s="76" t="n">
        <ns0:v>664.02</ns0:v>
      </ns0:c>
      <ns0:c r="J271" s="74" t="inlineStr">
        <ns0:is>
          <ns0:t>gross (stated)</ns0:t>
        </ns0:is>
      </ns0:c>
      <ns0:c r="K271" s="95" t="n"/>
      <ns0:c r="L271" s="77" t="n">
        <ns0:v>152.1</ns0:v>
      </ns0:c>
      <ns0:c r="M271" s="77" t="n">
        <ns0:v>152.1</ns0:v>
      </ns0:c>
      <ns0:c r="N271" s="74" t="inlineStr">
        <ns0:is>
          <ns0:t>Y</ns0:t>
        </ns0:is>
      </ns0:c>
      <ns0:c r="O271" s="78" t="n">
        <ns0:v>100</ns0:v>
      </ns0:c>
      <ns0:c r="P271" s="84" t="n"/>
      <ns0:c r="Q271" s="79" t="n">
        <ns0:v>4777.1</ns0:v>
      </ns0:c>
      <ns0:c r="R271" s="74" t="inlineStr">
        <ns0:is>
          <ns0:t>derived:deal size / offer % of enlarged capital</ns0:t>
        </ns0:is>
      </ns0:c>
      <ns0:c r="S271" s="80" t="n">
        <ns0:v>3.51</ns0:v>
      </ns0:c>
      <ns0:c r="T271" s="81" t="n">
        <ns0:v>1.24</ns0:v>
      </ns0:c>
      <ns0:c r="U271" s="82" t="n">
        <ns0:v>40.2</ns0:v>
      </ns0:c>
      <ns0:c r="V271" s="83" t="n">
        <ns0:v>135</ns0:v>
      </ns0:c>
      <ns0:c r="W271" s="78" t="n">
        <ns0:v>10</ns0:v>
      </ns0:c>
      <ns0:c r="X271" s="74" t="inlineStr">
        <ns0:is>
          <ns0:t>NO</ns0:t>
        </ns0:is>
      </ns0:c>
      <ns0:c r="Y271" s="79" t="n">
        <ns0:v>397.08</ns0:v>
      </ns0:c>
      <ns0:c r="Z271" s="79" t="n">
        <ns0:v>2610665</ns0:v>
      </ns0:c>
      <ns0:c r="AA271" s="78" t="n">
        <ns0:v>8.31</ns0:v>
      </ns0:c>
      <ns0:c r="AB271" s="74" t="inlineStr">
        <ns0:is>
          <ns0:t>Jiangsu Jiangkong Investment Co., Ltd; Wuhan Guangtong Gongying Enterprise Management Partnership (Limited Partnership)</ns0:t>
        </ns0:is>
      </ns0:c>
      <ns0:c r="AC271" s="74" t="inlineStr">
        <ns0:is>
          <ns0:t>jiangsu;wuhan</ns0:t>
        </ns0:is>
      </ns0:c>
      <ns0:c r="AD271" s="78" t="n">
        <ns0:v>4.4</ns0:v>
      </ns0:c>
      <ns0:c r="AE271" s="74" t="inlineStr">
        <ns0:is>
          <ns0:t>partial</ns0:t>
        </ns0:is>
      </ns0:c>
      <ns0:c r="AF271" s="85" t="n"/>
      <ns0:c r="AG271" s="74" t="inlineStr">
        <ns0:is>
          <ns0:t>China International Capital Corporation Hong Kong Securities Limited</ns0:t>
        </ns0:is>
      </ns0:c>
      <ns0:c r="AH271" s="74" t="inlineStr">
        <ns0:is>
          <ns0:t>China International</ns0:t>
        </ns0:is>
      </ns0:c>
      <ns0:c r="AI271" s="86" t="n">
        <ns0:v>-17.82</ns0:v>
      </ns0:c>
      <ns0:c r="AJ271" s="87" t="n">
        <ns0:v>-11.24</ns0:v>
      </ns0:c>
      <ns0:c r="AK271" s="87" t="n">
        <ns0:v>-0.29</ns0:v>
      </ns0:c>
      <ns0:c r="AL271" s="87" t="n">
        <ns0:v>-11.24</ns0:v>
      </ns0:c>
      <ns0:c r="AM271" s="87" t="n">
        <ns0:v>0</ns0:v>
      </ns0:c>
      <ns0:c r="AN271" s="89" t="n">
        <ns0:v>0.54</ns0:v>
      </ns0:c>
      <ns0:c r="AO271" s="78" t="n">
        <ns0:v>14</ns0:v>
      </ns0:c>
      <ns0:c r="AP271" s="87" t="n">
        <ns0:v>-6.71</ns0:v>
      </ns0:c>
      <ns0:c r="AQ271" s="87" t="n">
        <ns0:v>19</ns0:v>
      </ns0:c>
      <ns0:c r="AR271" s="87" t="n">
        <ns0:v>22.35</ns0:v>
      </ns0:c>
      <ns0:c r="AS271" s="87" t="n">
        <ns0:v>5.1</ns0:v>
      </ns0:c>
      <ns0:c r="AT271" s="87" t="n">
        <ns0:v>34.07</ns0:v>
      </ns0:c>
      <ns0:c r="AU271" s="87" t="n">
        <ns0:v>37.84</ns0:v>
      </ns0:c>
      <ns0:c r="AV271" s="87" t="n">
        <ns0:v>-7.94</ns0:v>
      </ns0:c>
      <ns0:c r="AW271" s="87" t="n">
        <ns0:v>22.6</ns0:v>
      </ns0:c>
      <ns0:c r="AX271" s="87" t="n">
        <ns0:v>1.07</ns0:v>
      </ns0:c>
      <ns0:c r="AY271" s="87" t="n">
        <ns0:v>37.39</ns0:v>
      </ns0:c>
      <ns0:c r="AZ271" s="87" t="n">
        <ns0:v>-3.6</ns0:v>
      </ns0:c>
      <ns0:c r="BA271" s="87" t="n">
        <ns0:v>-3.32</ns0:v>
      </ns0:c>
      <ns0:c r="BB271" s="74" t="inlineStr">
        <ns0:is>
          <ns0:t>Hang Seng Index</ns0:t>
        </ns0:is>
      </ns0:c>
      <ns0:c r="BC271" s="87" t="n">
        <ns0:v>-82.63</ns0:v>
      </ns0:c>
      <ns0:c r="BD271" s="75" t="n">
        <ns0:v>46297</ns0:v>
      </ns0:c>
      <ns0:c r="BE271" s="76" t="n">
        <ns0:v>566.5</ns0:v>
      </ns0:c>
      <ns0:c r="BF271" s="79" t="n">
        <ns0:v>-31.6</ns0:v>
      </ns0:c>
      <ns0:c r="BG271" s="74" t="inlineStr">
        <ns0:is>
          <ns0:t>N</ns0:t>
        </ns0:is>
      </ns0:c>
      <ns0:c r="BH271" s="74" t="inlineStr">
        <ns0:is>
          <ns0:t>n/m</ns0:t>
        </ns0:is>
      </ns0:c>
      <ns0:c r="BI271" s="88" t="n"/>
      <ns0:c r="BJ271" s="89" t="n">
        <ns0:v>7.6</ns0:v>
      </ns0:c>
      <ns0:c r="BK271" s="89" t="n">
        <ns0:v>8.4</ns0:v>
      </ns0:c>
      <ns0:c r="BL271" s="90">
        <ns0:f>IFERROR(IF('BBG Verify'!S271="","Awaiting Bloomberg",'BBG Verify'!S271),"Awaiting Bloomberg")</ns0:f>
        <ns0:v/>
      </ns0:c>
      <ns0:c r="BM271" s="91" t="inlineStr">
        <ns0:is>
          <ns0:t>N</ns0:t>
        </ns0:is>
      </ns0:c>
      <ns0:c r="BN271" s="92">
        <ns0:f>IFERROR(IF('BBG Verify'!K271="","Awaiting Bloomberg",'BBG Verify'!K271),"Awaiting Bloomberg")</ns0:f>
        <ns0:v/>
      </ns0:c>
      <ns0:c r="BO271" s="74" t="inlineStr">
        <ns0:is>
          <ns0:t>N/A</ns0:t>
        </ns0:is>
      </ns0:c>
      <ns0:c r="BP271" s="74" t="inlineStr">
        <ns0:is>
          <ns0:t>N/A</ns0:t>
        </ns0:is>
      </ns0:c>
      <ns0:c r="BQ271" s="74" t="inlineStr">
        <ns0:is>
          <ns0:t>N/A</ns0:t>
        </ns0:is>
      </ns0:c>
      <ns0:c r="BR271" s="74" t="inlineStr">
        <ns0:is>
          <ns0:t>N/A</ns0:t>
        </ns0:is>
      </ns0:c>
      <ns0:c r="BS271" s="74" t="inlineStr">
        <ns0:is>
          <ns0:t>N/A</ns0:t>
        </ns0:is>
      </ns0:c>
      <ns0:c r="BT271" s="74" t="inlineStr">
        <ns0:is>
          <ns0:t>N/A</ns0:t>
        </ns0:is>
      </ns0:c>
      <ns0:c r="BU271" s="91" t="inlineStr">
        <ns0:is>
          <ns0:t>China International Capital Corporation Hong Kong Securities Limited</ns0:t>
        </ns0:is>
      </ns0:c>
      <ns0:c r="BV271" s="74" t="inlineStr">
        <ns0:is>
          <ns0:t>China International Capital Corporation Hong Kong Securities Limited</ns0:t>
        </ns0:is>
      </ns0:c>
      <ns0:c r="BW271" s="74" t="inlineStr">
        <ns0:is>
          <ns0: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ns0:t>
        </ns0:is>
      </ns0:c>
      <ns0:c r="BX271" s="74" t="inlineStr">
        <ns0:is>
          <ns0: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ns0:t>
        </ns0:is>
      </ns0:c>
      <ns0:c r="BY271" s="93">
        <ns0:f>HYPERLINK("https://www1.hkexnews.hk/listedco/listconews/sehk/2024/0628/2024062800079.pdf","prospectus")</ns0:f>
        <ns0:v/>
      </ns0:c>
      <ns0:c r="BZ271" s="93">
        <ns0:f>HYPERLINK("https://www1.hkexnews.hk/listedco/listconews/sehk/2024/0709/2024070901049.pdf","allotment")</ns0:f>
        <ns0:v/>
      </ns0:c>
      <ns0:c r="CA271" s="93">
        <ns0:f>HYPERLINK("https://www1.hkexnews.hk/listedco/listconews/sehk/2024/0804/2024080400003.pdf","stabilisation")</ns0:f>
        <ns0:v/>
      </ns0:c>
      <ns0:c r="CB271" s="94" t="n"/>
      <ns0:c r="CC271" s="74" t="inlineStr">
        <ns0:is>
          <ns0:t>P/E: loss-making at IPO, use P/S; greenshoe: outcome published; expiry date not in the notice; range low: maximum offer price only, no floor published</ns0:t>
        </ns0:is>
      </ns0:c>
    </ns0:row>
    <ns0:row r="272" ht="22" customHeight="1">
      <ns0:c r="A272" s="73" t="inlineStr">
        <ns0:is>
          <ns0:t>9680</ns0:t>
        </ns0:is>
      </ns0:c>
      <ns0:c r="B272" s="74" t="inlineStr">
        <ns0:is>
          <ns0:t>CHENQI TECH</ns0:t>
        </ns0:is>
      </ns0:c>
      <ns0:c r="C272" s="74" t="inlineStr">
        <ns0:is>
          <ns0:t>如祺出行</ns0:t>
        </ns0:is>
      </ns0:c>
      <ns0:c r="D272" s="74" t="inlineStr">
        <ns0:is>
          <ns0:t>Technology</ns0:t>
        </ns0:is>
      </ns0:c>
      <ns0:c r="E272" s="74" t="inlineStr">
        <ns0:is>
          <ns0:t>Internet &amp; fintech</ns0:t>
        </ns0:is>
      </ns0:c>
      <ns0:c r="F272" s="74" t="inlineStr">
        <ns0:is>
          <ns0:t>Trucking</ns0:t>
        </ns0:is>
      </ns0:c>
      <ns0:c r="G272" s="74" t="inlineStr">
        <ns0:is>
          <ns0:t>Standard</ns0:t>
        </ns0:is>
      </ns0:c>
      <ns0:c r="H272" s="75" t="n">
        <ns0:v>45483</ns0:v>
      </ns0:c>
      <ns0:c r="I272" s="76" t="n">
        <ns0:v>1050.2</ns0:v>
      </ns0:c>
      <ns0:c r="J272" s="74" t="inlineStr">
        <ns0:is>
          <ns0:t>gross (price x shares)</ns0:t>
        </ns0:is>
      </ns0:c>
      <ns0:c r="K272" s="77" t="n">
        <ns0:v>34</ns0:v>
      </ns0:c>
      <ns0:c r="L272" s="77" t="n">
        <ns0:v>45.4</ns0:v>
      </ns0:c>
      <ns0:c r="M272" s="77" t="n">
        <ns0:v>35</ns0:v>
      </ns0:c>
      <ns0:c r="N272" s="74" t="inlineStr">
        <ns0:is>
          <ns0:t>N</ns0:t>
        </ns0:is>
      </ns0:c>
      <ns0:c r="O272" s="78" t="n">
        <ns0:v>77.09999999999999</ns0:v>
      </ns0:c>
      <ns0:c r="P272" s="78" t="n">
        <ns0:v>8.800000000000001</ns0:v>
      </ns0:c>
      <ns0:c r="Q272" s="79" t="n">
        <ns0:v>7144</ns0:v>
      </ns0:c>
      <ns0:c r="R272" s="74" t="inlineStr">
        <ns0:is>
          <ns0:t>derived:price x shares upon listing</ns0:t>
        </ns0:is>
      </ns0:c>
      <ns0:c r="S272" s="80" t="n">
        <ns0:v>0.6</ns0:v>
      </ns0:c>
      <ns0:c r="T272" s="81" t="n">
        <ns0:v>1.18</ns0:v>
      </ns0:c>
      <ns0:c r="U272" s="82" t="n">
        <ns0:v>77.06</ns0:v>
      </ns0:c>
      <ns0:c r="V272" s="83" t="n">
        <ns0:v>106</ns0:v>
      </ns0:c>
      <ns0:c r="W272" s="78" t="n">
        <ns0:v>6.01</ns0:v>
      </ns0:c>
      <ns0:c r="X272" s="74" t="inlineStr">
        <ns0:is>
          <ns0:t>NO</ns0:t>
        </ns0:is>
      </ns0:c>
      <ns0:c r="Y272" s="79" t="n">
        <ns0:v>240.92</ns0:v>
      </ns0:c>
      <ns0:c r="Z272" s="79" t="n">
        <ns0:v>6883101</ns0:v>
      </ns0:c>
      <ns0:c r="AA272" s="78" t="n">
        <ns0:v>3.37</ns0:v>
      </ns0:c>
      <ns0:c r="AB272" s="74" t="inlineStr">
        <ns0:is>
          <ns0:t>GAIG; An existing Shareholder Hongkong Pony AI Limited; An existing Shareholder Voyager Global Inc; Close associate of an existing Shareholder WeRide Inc</ns0:t>
        </ns0:is>
      </ns0:c>
      <ns0:c r="AC272" s="74" t="inlineStr">
        <ns0:is>
          <ns0:t>gaig;an;close</ns0:t>
        </ns0:is>
      </ns0:c>
      <ns0:c r="AD272" s="84" t="n"/>
      <ns0:c r="AE272" s="85" t="n"/>
      <ns0:c r="AF272" s="85" t="n"/>
      <ns0:c r="AG272" s="85" t="n"/>
      <ns0:c r="AH272" s="85" t="n"/>
      <ns0:c r="AI272" s="86" t="n">
        <ns0:v>0.29</ns0:v>
      </ns0:c>
      <ns0:c r="AJ272" s="87" t="n">
        <ns0:v>-3.14</ns0:v>
      </ns0:c>
      <ns0:c r="AK272" s="87" t="n">
        <ns0:v>0.17</ns0:v>
      </ns0:c>
      <ns0:c r="AL272" s="87" t="n">
        <ns0:v>-14.29</ns0:v>
      </ns0:c>
      <ns0:c r="AM272" s="87" t="n">
        <ns0:v>13.01</ns0:v>
      </ns0:c>
      <ns0:c r="AN272" s="89" t="n">
        <ns0:v>1.32</ns0:v>
      </ns0:c>
      <ns0:c r="AO272" s="78" t="n">
        <ns0:v>17.33</ns0:v>
      </ns0:c>
      <ns0:c r="AP272" s="87" t="n">
        <ns0:v>-20.57</ns0:v>
      </ns0:c>
      <ns0:c r="AQ272" s="87" t="n">
        <ns0:v>-16.57</ns0:v>
      </ns0:c>
      <ns0:c r="AR272" s="87" t="n">
        <ns0:v>-34.57</ns0:v>
      </ns0:c>
      <ns0:c r="AS272" s="87" t="n">
        <ns0:v>-18</ns0:v>
      </ns0:c>
      <ns0:c r="AT272" s="87" t="n">
        <ns0:v>-13.87</ns0:v>
      </ns0:c>
      <ns0:c r="AU272" s="87" t="n">
        <ns0:v>-32.45</ns0:v>
      </ns0:c>
      <ns0:c r="AV272" s="87" t="n">
        <ns0:v>-22.1</ns0:v>
      </ns0:c>
      <ns0:c r="AW272" s="87" t="n">
        <ns0:v>-10.28</ns0:v>
      </ns0:c>
      <ns0:c r="AX272" s="87" t="n">
        <ns0:v>-66.58</ns0:v>
      </ns0:c>
      <ns0:c r="AY272" s="87" t="n">
        <ns0:v>-7.42</ns0:v>
      </ns0:c>
      <ns0:c r="AZ272" s="87" t="n">
        <ns0:v>-6.29</ns0:v>
      </ns0:c>
      <ns0:c r="BA272" s="87" t="n">
        <ns0:v>-6.45</ns0:v>
      </ns0:c>
      <ns0:c r="BB272" s="74" t="inlineStr">
        <ns0:is>
          <ns0:t>HSTECH (Hang Seng TECH ETF)</ns0:t>
        </ns0:is>
      </ns0:c>
      <ns0:c r="BC272" s="87" t="n">
        <ns0:v>-78.01000000000001</ns0:v>
      </ns0:c>
      <ns0:c r="BD272" s="75" t="n">
        <ns0:v>46297</ns0:v>
      </ns0:c>
      <ns0:c r="BE272" s="76" t="n">
        <ns0:v>2377.2</ns0:v>
      </ns0:c>
      <ns0:c r="BF272" s="79" t="n">
        <ns0:v>-762.1</ns0:v>
      </ns0:c>
      <ns0:c r="BG272" s="74" t="inlineStr">
        <ns0:is>
          <ns0:t>N</ns0:t>
        </ns0:is>
      </ns0:c>
      <ns0:c r="BH272" s="74" t="inlineStr">
        <ns0:is>
          <ns0:t>n/m</ns0:t>
        </ns0:is>
      </ns0:c>
      <ns0:c r="BI272" s="88" t="n"/>
      <ns0:c r="BJ272" s="88" t="n"/>
      <ns0:c r="BK272" s="89" t="n">
        <ns0:v>3</ns0:v>
      </ns0:c>
      <ns0:c r="BL272" s="90">
        <ns0:f>IFERROR(IF('BBG Verify'!S272="","Awaiting Bloomberg",'BBG Verify'!S272),"Awaiting Bloomberg")</ns0:f>
        <ns0:v/>
      </ns0:c>
      <ns0:c r="BM272" s="91" t="inlineStr">
        <ns0:is>
          <ns0:t>N</ns0:t>
        </ns0:is>
      </ns0:c>
      <ns0:c r="BN272" s="92">
        <ns0:f>IFERROR(IF('BBG Verify'!K272="","Awaiting Bloomberg",'BBG Verify'!K272),"Awaiting Bloomberg")</ns0:f>
        <ns0:v/>
      </ns0:c>
      <ns0:c r="BO272" s="74" t="inlineStr">
        <ns0:is>
          <ns0:t>N/A</ns0:t>
        </ns0:is>
      </ns0:c>
      <ns0:c r="BP272" s="74" t="inlineStr">
        <ns0:is>
          <ns0:t>N/A</ns0:t>
        </ns0:is>
      </ns0:c>
      <ns0:c r="BQ272" s="74" t="inlineStr">
        <ns0:is>
          <ns0:t>N/A</ns0:t>
        </ns0:is>
      </ns0:c>
      <ns0:c r="BR272" s="74" t="inlineStr">
        <ns0:is>
          <ns0:t>N/A</ns0:t>
        </ns0:is>
      </ns0:c>
      <ns0:c r="BS272" s="74" t="inlineStr">
        <ns0:is>
          <ns0:t>N/A</ns0:t>
        </ns0:is>
      </ns0:c>
      <ns0:c r="BT272" s="74" t="inlineStr">
        <ns0:is>
          <ns0:t>N/A</ns0:t>
        </ns0:is>
      </ns0:c>
      <ns0:c r="BU272" s="91" t="inlineStr">
        <ns0:is>
          <ns0:t>China International Capital Corporation Hong Kong Securities Limited; Huatai Financial Holdings (Hong Kong) Limited; ABCI Capital Limited</ns0:t>
        </ns0:is>
      </ns0:c>
      <ns0:c r="BV272" s="74" t="inlineStr">
        <ns0:is>
          <ns0:t>China International Capital Corporation Hong Kong Securities Limited; Huatai Financial Holdings (Hong Kong) Limited; ABCI Capital Limited</ns0:t>
        </ns0:is>
      </ns0:c>
      <ns0:c r="BW272" s="74" t="inlineStr">
        <ns0:is>
          <ns0:t>Huatai Financial Holdings (Hong Kong) Limited; ABCI Capital Limited; TradeGo Markets Limited; Livermore Holdings Limited</ns0:t>
        </ns0:is>
      </ns0:c>
      <ns0:c r="BX272" s="74" t="inlineStr">
        <ns0:is>
          <ns0:t>ABCI Securities Company Limited; China International Capital Corporation Hong Kong Securities Limited; Huatai Financial Holdings (Hong Kong) Limited; Livermore Holdings Limited; TradeGo Markets Limited</ns0:t>
        </ns0:is>
      </ns0:c>
      <ns0:c r="BY272" s="93">
        <ns0:f>HYPERLINK("https://www1.hkexnews.hk/listedco/listconews/sehk/2024/0628/2024062800065.pdf","prospectus")</ns0:f>
        <ns0:v/>
      </ns0:c>
      <ns0:c r="BZ272" s="93">
        <ns0:f>HYPERLINK("https://www1.hkexnews.hk/listedco/listconews/sehk/2024/0709/2024070901101.pdf","allotment")</ns0:f>
        <ns0:v/>
      </ns0:c>
      <ns0:c r="CA272" s="85" t="n"/>
      <ns0:c r="CB272" s="94" t="n"/>
      <ns0:c r="CC272" s="74" t="inlineStr">
        <ns0:is>
          <ns0: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ns0:t>
        </ns0:is>
      </ns0:c>
    </ns0:row>
    <ns0:row r="273" ht="22" customHeight="1">
      <ns0:c r="A273" s="73" t="inlineStr">
        <ns0:is>
          <ns0:t>2507</ns0:t>
        </ns0:is>
      </ns0:c>
      <ns0:c r="B273" s="74" t="inlineStr">
        <ns0:is>
          <ns0:t>CIRRUS</ns0:t>
        </ns0:is>
      </ns0:c>
      <ns0:c r="C273" s="74" t="inlineStr">
        <ns0:is>
          <ns0:t>西銳</ns0:t>
        </ns0:is>
      </ns0:c>
      <ns0:c r="D273" s="74" t="inlineStr">
        <ns0:is>
          <ns0:t>Industrials</ns0:t>
        </ns0:is>
      </ns0:c>
      <ns0:c r="E273" s="74" t="inlineStr">
        <ns0:is>
          <ns0:t>Capital goods / machinery</ns0:t>
        </ns0:is>
      </ns0:c>
      <ns0:c r="F273" s="74" t="inlineStr">
        <ns0:is>
          <ns0:t>Heavy Electrical Equipment</ns0:t>
        </ns0:is>
      </ns0:c>
      <ns0:c r="G273" s="74" t="inlineStr">
        <ns0:is>
          <ns0:t>Standard</ns0:t>
        </ns0:is>
      </ns0:c>
      <ns0:c r="H273" s="75" t="n">
        <ns0:v>45485</ns0:v>
      </ns0:c>
      <ns0:c r="I273" s="76" t="n">
        <ns0:v>1509.1</ns0:v>
      </ns0:c>
      <ns0:c r="J273" s="74" t="inlineStr">
        <ns0:is>
          <ns0:t>gross (price x shares)</ns0:t>
        </ns0:is>
      </ns0:c>
      <ns0:c r="K273" s="95" t="n"/>
      <ns0:c r="L273" s="77" t="n">
        <ns0:v>27.5</ns0:v>
      </ns0:c>
      <ns0:c r="M273" s="77" t="n">
        <ns0:v>27.5</ns0:v>
      </ns0:c>
      <ns0:c r="N273" s="74" t="inlineStr">
        <ns0:is>
          <ns0:t>Y</ns0:t>
        </ns0:is>
      </ns0:c>
      <ns0:c r="O273" s="78" t="n">
        <ns0:v>100</ns0:v>
      </ns0:c>
      <ns0:c r="P273" s="84" t="n"/>
      <ns0:c r="Q273" s="79" t="n">
        <ns0:v>10060.6</ns0:v>
      </ns0:c>
      <ns0:c r="R273" s="74" t="inlineStr">
        <ns0:is>
          <ns0:t>derived:price x shares upon listing</ns0:t>
        </ns0:is>
      </ns0:c>
      <ns0:c r="S273" s="80" t="n">
        <ns0:v>1.56</ns0:v>
      </ns0:c>
      <ns0:c r="T273" s="81" t="n">
        <ns0:v>1.57</ns0:v>
      </ns0:c>
      <ns0:c r="U273" s="82" t="n">
        <ns0:v>56.4</ns0:v>
      </ns0:c>
      <ns0:c r="V273" s="83" t="n">
        <ns0:v>112</ns0:v>
      </ns0:c>
      <ns0:c r="W273" s="78" t="n">
        <ns0:v>10</ns0:v>
      </ns0:c>
      <ns0:c r="X273" s="74" t="inlineStr">
        <ns0:is>
          <ns0:t>NO</ns0:t>
        </ns0:is>
      </ns0:c>
      <ns0:c r="Y273" s="79" t="n">
        <ns0:v>657.97</ns0:v>
      </ns0:c>
      <ns0:c r="Z273" s="79" t="n">
        <ns0:v>23925892</ns0:v>
      </ns0:c>
      <ns0:c r="AA273" s="78" t="n">
        <ns0:v>6.54</ns0:v>
      </ns0:c>
      <ns0:c r="AB273" s="74" t="inlineStr">
        <ns0:is>
          <ns0:t>Changshu Southeast Industrial Investment Co., Ltd.*; Taicang High Tech Science and Innovation Development Co., Ltd.*; Wuxi Jianfa Xintou Aerospace Investment Partnership Enterprise (Limited Partnership)*; China Structural Reform Fund II Corporation Limited*; Wuxi Jintou Lianying Industrial Investment Partnership (Limited Partnership)*</ns0:t>
        </ns0:is>
      </ns0:c>
      <ns0:c r="AC273" s="74" t="inlineStr">
        <ns0:is>
          <ns0:t>changshu;taicang;wuxi;structural</ns0:t>
        </ns0:is>
      </ns0:c>
      <ns0:c r="AD273" s="78" t="n">
        <ns0:v>10</ns0:v>
      </ns0:c>
      <ns0:c r="AE273" s="74" t="inlineStr">
        <ns0:is>
          <ns0:t>partial</ns0:t>
        </ns0:is>
      </ns0:c>
      <ns0:c r="AF273" s="74" t="inlineStr">
        <ns0:is>
          <ns0:t>2024-08-08</ns0:t>
        </ns0:is>
      </ns0:c>
      <ns0:c r="AG273" s="74" t="inlineStr">
        <ns0:is>
          <ns0:t>China International Capital Corporation Hong Kong Securities Limited</ns0:t>
        </ns0:is>
      </ns0:c>
      <ns0:c r="AH273" s="74" t="inlineStr">
        <ns0:is>
          <ns0:t>China International</ns0:t>
        </ns0:is>
      </ns0:c>
      <ns0:c r="AI273" s="86" t="n">
        <ns0:v>-5.09</ns0:v>
      </ns0:c>
      <ns0:c r="AJ273" s="87" t="n">
        <ns0:v>0</ns0:v>
      </ns0:c>
      <ns0:c r="AK273" s="87" t="n">
        <ns0:v>2.61</ns0:v>
      </ns0:c>
      <ns0:c r="AL273" s="87" t="n">
        <ns0:v>0</ns0:v>
      </ns0:c>
      <ns0:c r="AM273" s="87" t="n">
        <ns0:v>0</ns0:v>
      </ns0:c>
      <ns0:c r="AN273" s="89" t="n">
        <ns0:v>1.16</ns0:v>
      </ns0:c>
      <ns0:c r="AO273" s="78" t="n">
        <ns0:v>5.27</ns0:v>
      </ns0:c>
      <ns0:c r="AP273" s="87" t="n">
        <ns0:v>-10.36</ns0:v>
      </ns0:c>
      <ns0:c r="AQ273" s="87" t="n">
        <ns0:v>-9.640000000000001</ns0:v>
      </ns0:c>
      <ns0:c r="AR273" s="87" t="n">
        <ns0:v>-30.18</ns0:v>
      </ns0:c>
      <ns0:c r="AS273" s="87" t="n">
        <ns0:v>-10.36</ns0:v>
      </ns0:c>
      <ns0:c r="AT273" s="87" t="n">
        <ns0:v>-9.640000000000001</ns0:v>
      </ns0:c>
      <ns0:c r="AU273" s="87" t="n">
        <ns0:v>-30.18</ns0:v>
      </ns0:c>
      <ns0:c r="AV273" s="87" t="n">
        <ns0:v>-7.5</ns0:v>
      </ns0:c>
      <ns0:c r="AW273" s="87" t="n">
        <ns0:v>-4.28</ns0:v>
      </ns0:c>
      <ns0:c r="AX273" s="87" t="n">
        <ns0:v>-46.03</ns0:v>
      </ns0:c>
      <ns0:c r="AY273" s="87" t="n">
        <ns0:v>-1.88</ns0:v>
      </ns0:c>
      <ns0:c r="AZ273" s="87" t="n">
        <ns0:v>-5.36</ns0:v>
      </ns0:c>
      <ns0:c r="BA273" s="87" t="n">
        <ns0:v>-7.76</ns0:v>
      </ns0:c>
      <ns0:c r="BB273" s="74" t="inlineStr">
        <ns0:is>
          <ns0:t>Hang Seng Commerce &amp; Industry sub-index</ns0:t>
        </ns0:is>
      </ns0:c>
      <ns0:c r="BC273" s="87" t="n">
        <ns0:v>51.13</ns0:v>
      </ns0:c>
      <ns0:c r="BD273" s="75" t="n">
        <ns0:v>46297</ns0:v>
      </ns0:c>
      <ns0:c r="BE273" s="98" t="n"/>
      <ns0:c r="BF273" s="79" t="n">
        <ns0:v>710.9</ns0:v>
      </ns0:c>
      <ns0:c r="BG273" s="74" t="inlineStr">
        <ns0:is>
          <ns0:t>Y</ns0:t>
        </ns0:is>
      </ns0:c>
      <ns0:c r="BH273" s="89" t="n">
        <ns0:v>14.2</ns0:v>
      </ns0:c>
      <ns0:c r="BI273" s="88" t="n"/>
      <ns0:c r="BJ273" s="89" t="n">
        <ns0:v>15.9</ns0:v>
      </ns0:c>
      <ns0:c r="BK273" s="88" t="n"/>
      <ns0:c r="BL273" s="90">
        <ns0:f>IFERROR(IF('BBG Verify'!S273="","Awaiting Bloomberg",'BBG Verify'!S273),"Awaiting Bloomberg")</ns0:f>
        <ns0:v/>
      </ns0:c>
      <ns0:c r="BM273" s="91" t="inlineStr">
        <ns0:is>
          <ns0:t>N</ns0:t>
        </ns0:is>
      </ns0:c>
      <ns0:c r="BN273" s="92">
        <ns0:f>IFERROR(IF('BBG Verify'!K273="","Awaiting Bloomberg",'BBG Verify'!K273),"Awaiting Bloomberg")</ns0:f>
        <ns0:v/>
      </ns0:c>
      <ns0:c r="BO273" s="74" t="inlineStr">
        <ns0:is>
          <ns0:t>N/A</ns0:t>
        </ns0:is>
      </ns0:c>
      <ns0:c r="BP273" s="74" t="inlineStr">
        <ns0:is>
          <ns0:t>N/A</ns0:t>
        </ns0:is>
      </ns0:c>
      <ns0:c r="BQ273" s="74" t="inlineStr">
        <ns0:is>
          <ns0:t>N/A</ns0:t>
        </ns0:is>
      </ns0:c>
      <ns0:c r="BR273" s="74" t="inlineStr">
        <ns0:is>
          <ns0:t>N/A</ns0:t>
        </ns0:is>
      </ns0:c>
      <ns0:c r="BS273" s="74" t="inlineStr">
        <ns0:is>
          <ns0:t>N/A</ns0:t>
        </ns0:is>
      </ns0:c>
      <ns0:c r="BT273" s="74" t="inlineStr">
        <ns0:is>
          <ns0:t>N/A</ns0:t>
        </ns0:is>
      </ns0:c>
      <ns0:c r="BU273" s="91" t="inlineStr">
        <ns0:is>
          <ns0:t>China International Capital Corporation Hong Kong Securities Limited</ns0:t>
        </ns0:is>
      </ns0:c>
      <ns0:c r="BV273" s="74" t="inlineStr">
        <ns0:is>
          <ns0:t>China International Capital Corporation Hong Kong Securities Limited</ns0:t>
        </ns0:is>
      </ns0:c>
      <ns0:c r="BW273" s="74" t="inlineStr">
        <ns0:is>
          <ns0:t>China International Capital Corporation Hong Kong Securities Limited; ABCI Capital Limited; BOCI Asia Limited; China Galaxy International Securities (Hong Kong) Co., Limited; China Merchants Securities (HK) Co., Limited; CMB International Capital Limited; Futu Securities International (Hong Kong) Limited; Huatai Financial Holdings (Hong Kong) Limited; ICBC International Securities Limited; Tiger Brokers (HK) Global Limited</ns0:t>
        </ns0:is>
      </ns0:c>
      <ns0:c r="BX273" s="74" t="inlineStr">
        <ns0:is>
          <ns0: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ns0:t>
        </ns0:is>
      </ns0:c>
      <ns0:c r="BY273" s="93">
        <ns0:f>HYPERLINK("https://www1.hkexnews.hk/listedco/listconews/sehk/2024/0628/2024062800343.htm","prospectus")</ns0:f>
        <ns0:v/>
      </ns0:c>
      <ns0:c r="BZ273" s="93">
        <ns0:f>HYPERLINK("https://www1.hkexnews.hk/listedco/listconews/sehk/2024/0711/2024071101139.pdf","allotment")</ns0:f>
        <ns0:v/>
      </ns0:c>
      <ns0:c r="CA273" s="93">
        <ns0:f>HYPERLINK("https://www1.hkexnews.hk/listedco/listconews/sehk/2024/0808/2024080801148.pdf","stabilisation")</ns0:f>
        <ns0:v/>
      </ns0:c>
      <ns0:c r="CB273" s="94" t="n"/>
      <ns0:c r="CC273" s="74" t="inlineStr">
        <ns0:is>
          <ns0:t>price range: fixed-price offering (no indicative range); range low: maximum offer price only, no floor published; sponsor: English name not in the filing; AAStocks 保薦人 shown; P/S: revenue not extractable; financials: not extractable; pre-IPO year outside the AAStocks window</ns0:t>
        </ns0:is>
      </ns0:c>
    </ns0:row>
    <ns0:row r="274" ht="22" customHeight="1">
      <ns0:c r="A274" s="73" t="inlineStr">
        <ns0:is>
          <ns0:t>2531</ns0:t>
        </ns0:is>
      </ns0:c>
      <ns0:c r="B274" s="74" t="inlineStr">
        <ns0:is>
          <ns0:t>CARLINK TECH</ns0:t>
        </ns0:is>
      </ns0:c>
      <ns0:c r="C274" s="74" t="inlineStr">
        <ns0:is>
          <ns0:t>廣聯科技控股</ns0:t>
        </ns0:is>
      </ns0:c>
      <ns0:c r="D274" s="74" t="inlineStr">
        <ns0:is>
          <ns0:t>Consumer</ns0:t>
        </ns0:is>
      </ns0:c>
      <ns0:c r="E274" s="74" t="inlineStr">
        <ns0:is>
          <ns0:t>Auto parts / supply chain</ns0:t>
        </ns0:is>
      </ns0:c>
      <ns0:c r="F274" s="74" t="inlineStr">
        <ns0:is>
          <ns0:t>Systems Software</ns0:t>
        </ns0:is>
      </ns0:c>
      <ns0:c r="G274" s="74" t="inlineStr">
        <ns0:is>
          <ns0:t>Standard</ns0:t>
        </ns0:is>
      </ns0:c>
      <ns0:c r="H274" s="75" t="n">
        <ns0:v>45488</ns0:v>
      </ns0:c>
      <ns0:c r="I274" s="76" t="n">
        <ns0:v>298.9</ns0:v>
      </ns0:c>
      <ns0:c r="J274" s="74" t="inlineStr">
        <ns0:is>
          <ns0:t>gross (price x shares)</ns0:t>
        </ns0:is>
      </ns0:c>
      <ns0:c r="K274" s="77" t="n">
        <ns0:v>4.7</ns0:v>
      </ns0:c>
      <ns0:c r="L274" s="77" t="n">
        <ns0:v>5.3</ns0:v>
      </ns0:c>
      <ns0:c r="M274" s="77" t="n">
        <ns0:v>4.7</ns0:v>
      </ns0:c>
      <ns0:c r="N274" s="74" t="inlineStr">
        <ns0:is>
          <ns0:t>N</ns0:t>
        </ns0:is>
      </ns0:c>
      <ns0:c r="O274" s="78" t="n">
        <ns0:v>88.7</ns0:v>
      </ns0:c>
      <ns0:c r="P274" s="78" t="n">
        <ns0:v>0</ns0:v>
      </ns0:c>
      <ns0:c r="Q274" s="79" t="n">
        <ns0:v>1723</ns0:v>
      </ns0:c>
      <ns0:c r="R274" s="74" t="inlineStr">
        <ns0:is>
          <ns0:t>derived:price x shares upon listing</ns0:t>
        </ns0:is>
      </ns0:c>
      <ns0:c r="S274" s="80" t="n">
        <ns0:v>2.49</ns0:v>
      </ns0:c>
      <ns0:c r="T274" s="81" t="n">
        <ns0:v>1.06</ns0:v>
      </ns0:c>
      <ns0:c r="U274" s="82" t="n">
        <ns0:v>29.44</ns0:v>
      </ns0:c>
      <ns0:c r="V274" s="83" t="n">
        <ns0:v>112</ns0:v>
      </ns0:c>
      <ns0:c r="W274" s="78" t="n">
        <ns0:v>10</ns0:v>
      </ns0:c>
      <ns0:c r="X274" s="74" t="inlineStr">
        <ns0:is>
          <ns0:t>NO</ns0:t>
        </ns0:is>
      </ns0:c>
      <ns0:c r="Y274" s="79" t="n">
        <ns0:v>210.9</ns0:v>
      </ns0:c>
      <ns0:c r="Z274" s="79" t="n">
        <ns0:v>44876160</ns0:v>
      </ns0:c>
      <ns0:c r="AA274" s="78" t="n">
        <ns0:v>12.24</ns0:v>
      </ns0:c>
      <ns0:c r="AB274" s="74" t="inlineStr">
        <ns0:is>
          <ns0:t>Huizhou Guohuilian Equity Investment Fund Partnership Enterprise (Limited Partnership)</ns0:t>
        </ns0:is>
      </ns0:c>
      <ns0:c r="AC274" s="74" t="inlineStr">
        <ns0:is>
          <ns0:t>huizhou</ns0:t>
        </ns0:is>
      </ns0:c>
      <ns0:c r="AD274" s="84" t="n"/>
      <ns0:c r="AE274" s="85" t="n"/>
      <ns0:c r="AF274" s="85" t="n"/>
      <ns0:c r="AG274" s="85" t="n"/>
      <ns0:c r="AH274" s="85" t="n"/>
      <ns0:c r="AI274" s="86" t="n">
        <ns0:v>17.02</ns0:v>
      </ns0:c>
      <ns0:c r="AJ274" s="87" t="n">
        <ns0:v>2.13</ns0:v>
      </ns0:c>
      <ns0:c r="AK274" s="87" t="n">
        <ns0:v>-1.78</ns0:v>
      </ns0:c>
      <ns0:c r="AL274" s="87" t="n">
        <ns0:v>16.6</ns0:v>
      </ns0:c>
      <ns0:c r="AM274" s="87" t="n">
        <ns0:v>-12.41</ns0:v>
      </ns0:c>
      <ns0:c r="AN274" s="89" t="n">
        <ns0:v>0.77</ns0:v>
      </ns0:c>
      <ns0:c r="AO274" s="78" t="n">
        <ns0:v>16.06</ns0:v>
      </ns0:c>
      <ns0:c r="AP274" s="87" t="n">
        <ns0:v>55.96</ns0:v>
      </ns0:c>
      <ns0:c r="AQ274" s="87" t="n">
        <ns0:v>48.94</ns0:v>
      </ns0:c>
      <ns0:c r="AR274" s="87" t="n">
        <ns0:v>228.51</ns0:v>
      </ns0:c>
      <ns0:c r="AS274" s="87" t="n">
        <ns0:v>52.71</ns0:v>
      </ns0:c>
      <ns0:c r="AT274" s="87" t="n">
        <ns0:v>45.83</ns0:v>
      </ns0:c>
      <ns0:c r="AU274" s="87" t="n">
        <ns0:v>221.66</ns0:v>
      </ns0:c>
      <ns0:c r="AV274" s="87" t="n">
        <ns0:v>59.73</ns0:v>
      </ns0:c>
      <ns0:c r="AW274" s="87" t="n">
        <ns0:v>56.32</ns0:v>
      </ns0:c>
      <ns0:c r="AX274" s="87" t="n">
        <ns0:v>216.28</ns0:v>
      </ns0:c>
      <ns0:c r="AY274" s="87" t="n">
        <ns0:v>51.52</ns0:v>
      </ns0:c>
      <ns0:c r="AZ274" s="87" t="n">
        <ns0:v>-7.38</ns0:v>
      </ns0:c>
      <ns0:c r="BA274" s="87" t="n">
        <ns0:v>-5.69</ns0:v>
      </ns0:c>
      <ns0:c r="BB274" s="74" t="inlineStr">
        <ns0:is>
          <ns0:t>Hang Seng Commerce &amp; Industry sub-index</ns0:t>
        </ns0:is>
      </ns0:c>
      <ns0:c r="BC274" s="87" t="n">
        <ns0:v>-35.11</ns0:v>
      </ns0:c>
      <ns0:c r="BD274" s="75" t="n">
        <ns0:v>46297</ns0:v>
      </ns0:c>
      <ns0:c r="BE274" s="76" t="n">
        <ns0:v>616.6</ns0:v>
      </ns0:c>
      <ns0:c r="BF274" s="79" t="n">
        <ns0:v>56.7</ns0:v>
      </ns0:c>
      <ns0:c r="BG274" s="74" t="inlineStr">
        <ns0:is>
          <ns0:t>Y</ns0:t>
        </ns0:is>
      </ns0:c>
      <ns0:c r="BH274" s="89" t="n">
        <ns0:v>30.4</ns0:v>
      </ns0:c>
      <ns0:c r="BI274" s="88" t="n"/>
      <ns0:c r="BJ274" s="89" t="n">
        <ns0:v>73.90000000000001</ns0:v>
      </ns0:c>
      <ns0:c r="BK274" s="89" t="n">
        <ns0:v>2.8</ns0:v>
      </ns0:c>
      <ns0:c r="BL274" s="90">
        <ns0:f>IFERROR(IF('BBG Verify'!S274="","Awaiting Bloomberg",'BBG Verify'!S274),"Awaiting Bloomberg")</ns0:f>
        <ns0:v/>
      </ns0:c>
      <ns0:c r="BM274" s="91" t="inlineStr">
        <ns0:is>
          <ns0:t>N</ns0:t>
        </ns0:is>
      </ns0:c>
      <ns0:c r="BN274" s="92">
        <ns0:f>IFERROR(IF('BBG Verify'!K274="","Awaiting Bloomberg",'BBG Verify'!K274),"Awaiting Bloomberg")</ns0:f>
        <ns0:v/>
      </ns0:c>
      <ns0:c r="BO274" s="74" t="inlineStr">
        <ns0:is>
          <ns0:t>N/A</ns0:t>
        </ns0:is>
      </ns0:c>
      <ns0:c r="BP274" s="74" t="inlineStr">
        <ns0:is>
          <ns0:t>N/A</ns0:t>
        </ns0:is>
      </ns0:c>
      <ns0:c r="BQ274" s="74" t="inlineStr">
        <ns0:is>
          <ns0:t>N/A</ns0:t>
        </ns0:is>
      </ns0:c>
      <ns0:c r="BR274" s="74" t="inlineStr">
        <ns0:is>
          <ns0:t>N/A</ns0:t>
        </ns0:is>
      </ns0:c>
      <ns0:c r="BS274" s="74" t="inlineStr">
        <ns0:is>
          <ns0:t>N/A</ns0:t>
        </ns0:is>
      </ns0:c>
      <ns0:c r="BT274" s="74" t="inlineStr">
        <ns0:is>
          <ns0:t>N/A</ns0:t>
        </ns0:is>
      </ns0:c>
      <ns0:c r="BU274" s="91" t="inlineStr">
        <ns0:is>
          <ns0:t>CCB International Capital Limited</ns0:t>
        </ns0:is>
      </ns0:c>
      <ns0:c r="BV274" s="74" t="inlineStr">
        <ns0:is>
          <ns0:t>CCB International Capital Limited</ns0:t>
        </ns0:is>
      </ns0:c>
      <ns0:c r="BW274" s="74" t="inlineStr">
        <ns0:is>
          <ns0: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ns0:t>
        </ns0:is>
      </ns0:c>
      <ns0:c r="BX274" s="74" t="inlineStr">
        <ns0:is>
          <ns0: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ns0:t>
        </ns0:is>
      </ns0:c>
      <ns0:c r="BY274" s="93">
        <ns0:f>HYPERLINK("https://www1.hkexnews.hk/listedco/listconews/sehk/2024/0628/2024062800067.pdf","prospectus")</ns0:f>
        <ns0:v/>
      </ns0:c>
      <ns0:c r="BZ274" s="93">
        <ns0:f>HYPERLINK("https://www1.hkexnews.hk/listedco/listconews/sehk/2024/0712/2024071201219.pdf","allotment")</ns0:f>
        <ns0:v/>
      </ns0:c>
      <ns0:c r="CA274" s="85" t="n"/>
      <ns0:c r="CB274" s="94" t="n"/>
      <ns0:c r="CC274" s="74" t="inlineStr">
        <ns0:is>
          <ns0:t>greenshoe: no over-allotment option; greenshoe size: no over-allotment option; stabilising manager: filing states none appointed (allotment announcement: 'no stabilizing manager will be appointed' stated in the filing)</ns0:t>
        </ns0:is>
      </ns0:c>
    </ns0:row>
    <ns0:row r="275" ht="22" customHeight="1">
      <ns0:c r="A275" s="73" t="inlineStr">
        <ns0:is>
          <ns0:t>1471</ns0:t>
        </ns0:is>
      </ns0:c>
      <ns0:c r="B275" s="74" t="inlineStr">
        <ns0:is>
          <ns0:t>ZHONGMIAO</ns0:t>
        </ns0:is>
      </ns0:c>
      <ns0:c r="C275" s="74" t="inlineStr">
        <ns0:is>
          <ns0:t>眾淼控股</ns0:t>
        </ns0:is>
      </ns0:c>
      <ns0:c r="D275" s="74" t="inlineStr">
        <ns0:is>
          <ns0:t>Financials</ns0:t>
        </ns0:is>
      </ns0:c>
      <ns0:c r="E275" s="74" t="inlineStr">
        <ns0:is>
          <ns0:t>Insurance</ns0:t>
        </ns0:is>
      </ns0:c>
      <ns0:c r="F275" s="74" t="inlineStr">
        <ns0:is>
          <ns0:t>Other Diversified Financial Services</ns0:t>
        </ns0:is>
      </ns0:c>
      <ns0:c r="G275" s="74" t="inlineStr">
        <ns0:is>
          <ns0:t>Standard</ns0:t>
        </ns0:is>
      </ns0:c>
      <ns0:c r="H275" s="75" t="n">
        <ns0:v>45510</ns0:v>
      </ns0:c>
      <ns0:c r="I275" s="76" t="n">
        <ns0:v>247.1</ns0:v>
      </ns0:c>
      <ns0:c r="J275" s="74" t="inlineStr">
        <ns0:is>
          <ns0:t>gross (price x shares)</ns0:t>
        </ns0:is>
      </ns0:c>
      <ns0:c r="K275" s="77" t="n">
        <ns0:v>7</ns0:v>
      </ns0:c>
      <ns0:c r="L275" s="77" t="n">
        <ns0:v>10.2</ns0:v>
      </ns0:c>
      <ns0:c r="M275" s="77" t="n">
        <ns0:v>7</ns0:v>
      </ns0:c>
      <ns0:c r="N275" s="74" t="inlineStr">
        <ns0:is>
          <ns0:t>N</ns0:t>
        </ns0:is>
      </ns0:c>
      <ns0:c r="O275" s="78" t="n">
        <ns0:v>68.59999999999999</ns0:v>
      </ns0:c>
      <ns0:c r="P275" s="78" t="n">
        <ns0:v>0</ns0:v>
      </ns0:c>
      <ns0:c r="Q275" s="79" t="n">
        <ns0:v>988.4</ns0:v>
      </ns0:c>
      <ns0:c r="R275" s="74" t="inlineStr">
        <ns0:is>
          <ns0:t>derived:price x shares upon listing</ns0:t>
        </ns0:is>
      </ns0:c>
      <ns0:c r="S275" s="80" t="n">
        <ns0:v>16.07</ns0:v>
      </ns0:c>
      <ns0:c r="T275" s="81" t="n">
        <ns0:v>0.98</ns0:v>
      </ns0:c>
      <ns0:c r="U275" s="82" t="n">
        <ns0:v>18.71</ns0:v>
      </ns0:c>
      <ns0:c r="V275" s="83" t="n">
        <ns0:v>112</ns0:v>
      </ns0:c>
      <ns0:c r="W275" s="78" t="n">
        <ns0:v>12.34</ns0:v>
      </ns0:c>
      <ns0:c r="X275" s="74" t="inlineStr">
        <ns0:is>
          <ns0:t>NO</ns0:t>
        </ns0:is>
      </ns0:c>
      <ns0:c r="Y275" s="79" t="n">
        <ns0:v>200.87</ns0:v>
      </ns0:c>
      <ns0:c r="Z275" s="79" t="n">
        <ns0:v>28695370</ns0:v>
      </ns0:c>
      <ns0:c r="AA275" s="78" t="n">
        <ns0:v>20.32</ns0:v>
      </ns0:c>
      <ns0:c r="AB275" s="74" t="inlineStr">
        <ns0:is>
          <ns0:t>The Reynold Lemkins Group (Asia) Limited; Hong Tai International III LPF</ns0:t>
        </ns0:is>
      </ns0:c>
      <ns0:c r="AC275" s="74" t="inlineStr">
        <ns0:is>
          <ns0:t>reynold;tai</ns0:t>
        </ns0:is>
      </ns0:c>
      <ns0:c r="AD275" s="78" t="n">
        <ns0:v>17</ns0:v>
      </ns0:c>
      <ns0:c r="AE275" s="85" t="n"/>
      <ns0:c r="AF275" s="74" t="inlineStr">
        <ns0:is>
          <ns0:t>2024-08-31</ns0:t>
        </ns0:is>
      </ns0:c>
      <ns0:c r="AG275" s="85" t="n"/>
      <ns0:c r="AH275" s="85" t="n"/>
      <ns0:c r="AI275" s="86" t="n">
        <ns0:v>3.14</ns0:v>
      </ns0:c>
      <ns0:c r="AJ275" s="87" t="n">
        <ns0:v>5</ns0:v>
      </ns0:c>
      <ns0:c r="AK275" s="87" t="n">
        <ns0:v>-0.27</ns0:v>
      </ns0:c>
      <ns0:c r="AL275" s="87" t="n">
        <ns0:v>-1.71</ns0:v>
      </ns0:c>
      <ns0:c r="AM275" s="87" t="n">
        <ns0:v>6.83</ns0:v>
      </ns0:c>
      <ns0:c r="AN275" s="89" t="n">
        <ns0:v>0.74</ns0:v>
      </ns0:c>
      <ns0:c r="AO275" s="78" t="n">
        <ns0:v>22.67</ns0:v>
      </ns0:c>
      <ns0:c r="AP275" s="87" t="n">
        <ns0:v>-19.43</ns0:v>
      </ns0:c>
      <ns0:c r="AQ275" s="87" t="n">
        <ns0:v>-17.14</ns0:v>
      </ns0:c>
      <ns0:c r="AR275" s="87" t="n">
        <ns0:v>-2.71</ns0:v>
      </ns0:c>
      <ns0:c r="AS275" s="87" t="n">
        <ns0:v>-23.27</ns0:v>
      </ns0:c>
      <ns0:c r="AT275" s="87" t="n">
        <ns0:v>-21.09</ns0:v>
      </ns0:c>
      <ns0:c r="AU275" s="87" t="n">
        <ns0:v>-7.34</ns0:v>
      </ns0:c>
      <ns0:c r="AV275" s="87" t="n">
        <ns0:v>-22.39</ns0:v>
      </ns0:c>
      <ns0:c r="AW275" s="87" t="n">
        <ns0:v>-21.31</ns0:v>
      </ns0:c>
      <ns0:c r="AX275" s="87" t="n">
        <ns0:v>-25.98</ns0:v>
      </ns0:c>
      <ns0:c r="AY275" s="87" t="n">
        <ns0:v>-25.54</ns0:v>
      </ns0:c>
      <ns0:c r="AZ275" s="87" t="n">
        <ns0:v>4.17</ns0:v>
      </ns0:c>
      <ns0:c r="BA275" s="87" t="n">
        <ns0:v>4.45</ns0:v>
      </ns0:c>
      <ns0:c r="BB275" s="74" t="inlineStr">
        <ns0:is>
          <ns0:t>Hang Seng Finance sub-index</ns0:t>
        </ns0:is>
      </ns0:c>
      <ns0:c r="BC275" s="87" t="n">
        <ns0:v>41.43</ns0:v>
      </ns0:c>
      <ns0:c r="BD275" s="75" t="n">
        <ns0:v>46297</ns0:v>
      </ns0:c>
      <ns0:c r="BE275" s="76" t="n">
        <ns0:v>191.4</ns0:v>
      </ns0:c>
      <ns0:c r="BF275" s="79" t="n">
        <ns0:v>42.9</ns0:v>
      </ns0:c>
      <ns0:c r="BG275" s="74" t="inlineStr">
        <ns0:is>
          <ns0:t>Y</ns0:t>
        </ns0:is>
      </ns0:c>
      <ns0:c r="BH275" s="89" t="n">
        <ns0:v>23</ns0:v>
      </ns0:c>
      <ns0:c r="BI275" s="88" t="n"/>
      <ns0:c r="BJ275" s="89" t="n">
        <ns0:v>17</ns0:v>
      </ns0:c>
      <ns0:c r="BK275" s="89" t="n">
        <ns0:v>5.2</ns0:v>
      </ns0:c>
      <ns0:c r="BL275" s="90">
        <ns0:f>IFERROR(IF('BBG Verify'!S275="","Awaiting Bloomberg",'BBG Verify'!S275),"Awaiting Bloomberg")</ns0:f>
        <ns0:v/>
      </ns0:c>
      <ns0:c r="BM275" s="91" t="inlineStr">
        <ns0:is>
          <ns0:t>N</ns0:t>
        </ns0:is>
      </ns0:c>
      <ns0:c r="BN275" s="92">
        <ns0:f>IFERROR(IF('BBG Verify'!K275="","Awaiting Bloomberg",'BBG Verify'!K275),"Awaiting Bloomberg")</ns0:f>
        <ns0:v/>
      </ns0:c>
      <ns0:c r="BO275" s="74" t="inlineStr">
        <ns0:is>
          <ns0:t>N/A</ns0:t>
        </ns0:is>
      </ns0:c>
      <ns0:c r="BP275" s="74" t="inlineStr">
        <ns0:is>
          <ns0:t>N/A</ns0:t>
        </ns0:is>
      </ns0:c>
      <ns0:c r="BQ275" s="74" t="inlineStr">
        <ns0:is>
          <ns0:t>N/A</ns0:t>
        </ns0:is>
      </ns0:c>
      <ns0:c r="BR275" s="74" t="inlineStr">
        <ns0:is>
          <ns0:t>N/A</ns0:t>
        </ns0:is>
      </ns0:c>
      <ns0:c r="BS275" s="74" t="inlineStr">
        <ns0:is>
          <ns0:t>N/A</ns0:t>
        </ns0:is>
      </ns0:c>
      <ns0:c r="BT275" s="74" t="inlineStr">
        <ns0:is>
          <ns0:t>N/A</ns0:t>
        </ns0:is>
      </ns0:c>
      <ns0:c r="BU275" s="91" t="inlineStr">
        <ns0:is>
          <ns0:t>CITIC Securities (Hong Kong) Limited; Ping An of China Capital (Hong Kong) Company Limited</ns0:t>
        </ns0:is>
      </ns0:c>
      <ns0:c r="BV275" s="74" t="inlineStr">
        <ns0:is>
          <ns0:t>CITIC Securities (Hong Kong) Limited; Ping An of China Capital (Hong Kong) Company Limited</ns0:t>
        </ns0:is>
      </ns0:c>
      <ns0:c r="BW275" s="74" t="inlineStr">
        <ns0:is>
          <ns0:t>China PA Securities (Hong Kong) Company Limited; CLSA Limited; CMB International Capital Limited; Fosun International Securities Limited; Hong Tai Securities Limited</ns0:t>
        </ns0:is>
      </ns0:c>
      <ns0:c r="BX275" s="74" t="inlineStr">
        <ns0:is>
          <ns0: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ns0:t>
        </ns0:is>
      </ns0:c>
      <ns0:c r="BY275" s="93">
        <ns0:f>HYPERLINK("https://www1.hkexnews.hk/listedco/listconews/sehk/2024/0729/2024072900013.pdf","prospectus")</ns0:f>
        <ns0:v/>
      </ns0:c>
      <ns0:c r="BZ275" s="93">
        <ns0:f>HYPERLINK("https://www1.hkexnews.hk/listedco/listconews/sehk/2024/0805/2024080502241.pdf","allotment")</ns0:f>
        <ns0:v/>
      </ns0:c>
      <ns0:c r="CA275" s="93">
        <ns0:f>HYPERLINK("https://www1.hkexnews.hk/listedco/listconews/sehk/2024/0905/2024090501834.pdf","stabilisation")</ns0:f>
        <ns0:v/>
      </ns0:c>
      <ns0:c r="CB275" s="94" t="n"/>
      <ns0:c r="CC275" s="74" t="inlineStr">
        <ns0:is>
          <ns0:t>greenshoe: end-of-stabilisation notice not found; stabilising manager: not named in the allotment notice or prospectus glossary; stabilisation notice: notice linked; outcome wording not recognised, result left blank</ns0:t>
        </ns0:is>
      </ns0:c>
    </ns0:row>
    <ns0:row r="276" ht="22" customHeight="1">
      <ns0:c r="A276" s="73" t="inlineStr">
        <ns0:is>
          <ns0:t>2533</ns0:t>
        </ns0:is>
      </ns0:c>
      <ns0:c r="B276" s="74" t="inlineStr">
        <ns0:is>
          <ns0:t>BLACK SESAME</ns0:t>
        </ns0:is>
      </ns0:c>
      <ns0:c r="C276" s="74" t="inlineStr">
        <ns0:is>
          <ns0:t>黑芝麻智能</ns0:t>
        </ns0:is>
      </ns0:c>
      <ns0:c r="D276" s="74" t="inlineStr">
        <ns0:is>
          <ns0:t>Technology</ns0:t>
        </ns0:is>
      </ns0:c>
      <ns0:c r="E276" s="74" t="inlineStr">
        <ns0:is>
          <ns0:t>Semiconductors</ns0:t>
        </ns0:is>
      </ns0:c>
      <ns0:c r="F276" s="74" t="inlineStr">
        <ns0:is>
          <ns0:t>Application Software</ns0:t>
        </ns0:is>
      </ns0:c>
      <ns0:c r="G276" s="74" t="inlineStr">
        <ns0:is>
          <ns0:t>Standard</ns0:t>
        </ns0:is>
      </ns0:c>
      <ns0:c r="H276" s="75" t="n">
        <ns0:v>45512</ns0:v>
      </ns0:c>
      <ns0:c r="I276" s="76" t="n">
        <ns0:v>1036</ns0:v>
      </ns0:c>
      <ns0:c r="J276" s="74" t="inlineStr">
        <ns0:is>
          <ns0:t>gross (price x shares)</ns0:t>
        </ns0:is>
      </ns0:c>
      <ns0:c r="K276" s="77" t="n">
        <ns0:v>28</ns0:v>
      </ns0:c>
      <ns0:c r="L276" s="77" t="n">
        <ns0:v>30.3</ns0:v>
      </ns0:c>
      <ns0:c r="M276" s="77" t="n">
        <ns0:v>28</ns0:v>
      </ns0:c>
      <ns0:c r="N276" s="74" t="inlineStr">
        <ns0:is>
          <ns0:t>N</ns0:t>
        </ns0:is>
      </ns0:c>
      <ns0:c r="O276" s="78" t="n">
        <ns0:v>92.40000000000001</ns0:v>
      </ns0:c>
      <ns0:c r="P276" s="78" t="n">
        <ns0:v>0</ns0:v>
      </ns0:c>
      <ns0:c r="Q276" s="79" t="n">
        <ns0:v>15936.7</ns0:v>
      </ns0:c>
      <ns0:c r="R276" s="74" t="inlineStr">
        <ns0:is>
          <ns0:t>derived:price x shares upon listing</ns0:t>
        </ns0:is>
      </ns0:c>
      <ns0:c r="S276" s="80" t="n">
        <ns0:v>2.52</ns0:v>
      </ns0:c>
      <ns0:c r="T276" s="81" t="n">
        <ns0:v>1.05</ns0:v>
      </ns0:c>
      <ns0:c r="U276" s="82" t="n">
        <ns0:v>7.38</ns0:v>
      </ns0:c>
      <ns0:c r="V276" s="83" t="n">
        <ns0:v>112</ns0:v>
      </ns0:c>
      <ns0:c r="W276" s="78" t="n">
        <ns0:v>5</ns0:v>
      </ns0:c>
      <ns0:c r="X276" s="74" t="inlineStr">
        <ns0:is>
          <ns0:t>NO</ns0:t>
        </ns0:is>
      </ns0:c>
      <ns0:c r="Y276" s="79" t="n">
        <ns0:v>959.54</ns0:v>
      </ns0:c>
      <ns0:c r="Z276" s="79" t="n">
        <ns0:v>34269400</ns0:v>
      </ns0:c>
      <ns0:c r="AA276" s="78" t="n">
        <ns0:v>6.02</ns0:v>
      </ns0:c>
      <ns0:c r="AB276" s="74" t="inlineStr">
        <ns0:is>
          <ns0:t>Gardex Development Limited; Joyson Electronic USA LLC</ns0:t>
        </ns0:is>
      </ns0:c>
      <ns0:c r="AC276" s="74" t="inlineStr">
        <ns0:is>
          <ns0:t>gardex;joyson</ns0:t>
        </ns0:is>
      </ns0:c>
      <ns0:c r="AD276" s="78" t="n">
        <ns0:v>7.39</ns0:v>
      </ns0:c>
      <ns0:c r="AE276" s="74" t="inlineStr">
        <ns0:is>
          <ns0:t>lapsed (no over-allocation)</ns0:t>
        </ns0:is>
      </ns0:c>
      <ns0:c r="AF276" s="74" t="inlineStr">
        <ns0:is>
          <ns0:t>2024-09-04</ns0:t>
        </ns0:is>
      </ns0:c>
      <ns0:c r="AG276" s="74" t="inlineStr">
        <ns0:is>
          <ns0:t>China International Capital Corporation Hong Kong Securities Limited</ns0:t>
        </ns0:is>
      </ns0:c>
      <ns0:c r="AH276" s="74" t="inlineStr">
        <ns0:is>
          <ns0:t>China International</ns0:t>
        </ns0:is>
      </ns0:c>
      <ns0:c r="AI276" s="86" t="n">
        <ns0:v>-19.11</ns0:v>
      </ns0:c>
      <ns0:c r="AJ276" s="87" t="n">
        <ns0:v>-26.96</ns0:v>
      </ns0:c>
      <ns0:c r="AK276" s="87" t="n">
        <ns0:v>-0.48</ns0:v>
      </ns0:c>
      <ns0:c r="AL276" s="87" t="n">
        <ns0:v>-32.86</ns0:v>
      </ns0:c>
      <ns0:c r="AM276" s="87" t="n">
        <ns0:v>8.789999999999999</ns0:v>
      </ns0:c>
      <ns0:c r="AN276" s="89" t="n">
        <ns0:v>1.8</ns0:v>
      </ns0:c>
      <ns0:c r="AO276" s="78" t="n">
        <ns0:v>24.04</ns0:v>
      </ns0:c>
      <ns0:c r="AP276" s="87" t="n">
        <ns0:v>-28.04</ns0:v>
      </ns0:c>
      <ns0:c r="AQ276" s="87" t="n">
        <ns0:v>-23.57</ns0:v>
      </ns0:c>
      <ns0:c r="AR276" s="87" t="n">
        <ns0:v>-7.68</ns0:v>
      </ns0:c>
      <ns0:c r="AS276" s="87" t="n">
        <ns0:v>-1.48</ns0:v>
      </ns0:c>
      <ns0:c r="AT276" s="87" t="n">
        <ns0:v>4.64</ns0:v>
      </ns0:c>
      <ns0:c r="AU276" s="87" t="n">
        <ns0:v>26.4</ns0:v>
      </ns0:c>
      <ns0:c r="AV276" s="87" t="n">
        <ns0:v>-28.4</ns0:v>
      </ns0:c>
      <ns0:c r="AW276" s="87" t="n">
        <ns0:v>-25.25</ns0:v>
      </ns0:c>
      <ns0:c r="AX276" s="87" t="n">
        <ns0:v>-44.98</ns0:v>
      </ns0:c>
      <ns0:c r="AY276" s="87" t="n">
        <ns0:v>2.46</ns0:v>
      </ns0:c>
      <ns0:c r="AZ276" s="87" t="n">
        <ns0:v>1.68</ns0:v>
      </ns0:c>
      <ns0:c r="BA276" s="87" t="n">
        <ns0:v>2.18</ns0:v>
      </ns0:c>
      <ns0:c r="BB276" s="74" t="inlineStr">
        <ns0:is>
          <ns0:t>HSTECH (Hang Seng TECH ETF)</ns0:t>
        </ns0:is>
      </ns0:c>
      <ns0:c r="BC276" s="87" t="n">
        <ns0:v>-65.86</ns0:v>
      </ns0:c>
      <ns0:c r="BD276" s="75" t="n">
        <ns0:v>46297</ns0:v>
      </ns0:c>
      <ns0:c r="BE276" s="76" t="n">
        <ns0:v>343.6</ns0:v>
      </ns0:c>
      <ns0:c r="BF276" s="79" t="n">
        <ns0:v>-5340.6</ns0:v>
      </ns0:c>
      <ns0:c r="BG276" s="74" t="inlineStr">
        <ns0:is>
          <ns0:t>N</ns0:t>
        </ns0:is>
      </ns0:c>
      <ns0:c r="BH276" s="74" t="inlineStr">
        <ns0:is>
          <ns0:t>n/m</ns0:t>
        </ns0:is>
      </ns0:c>
      <ns0:c r="BI276" s="88" t="n"/>
      <ns0:c r="BJ276" s="88" t="n"/>
      <ns0:c r="BK276" s="89" t="n">
        <ns0:v>46.4</ns0:v>
      </ns0:c>
      <ns0:c r="BL276" s="90">
        <ns0:f>IFERROR(IF('BBG Verify'!S276="","Awaiting Bloomberg",'BBG Verify'!S276),"Awaiting Bloomberg")</ns0:f>
        <ns0:v/>
      </ns0:c>
      <ns0:c r="BM276" s="91" t="inlineStr">
        <ns0:is>
          <ns0:t>N</ns0:t>
        </ns0:is>
      </ns0:c>
      <ns0:c r="BN276" s="92">
        <ns0:f>IFERROR(IF('BBG Verify'!K276="","Awaiting Bloomberg",'BBG Verify'!K276),"Awaiting Bloomberg")</ns0:f>
        <ns0:v/>
      </ns0:c>
      <ns0:c r="BO276" s="74" t="inlineStr">
        <ns0:is>
          <ns0:t>N/A</ns0:t>
        </ns0:is>
      </ns0:c>
      <ns0:c r="BP276" s="74" t="inlineStr">
        <ns0:is>
          <ns0:t>N/A</ns0:t>
        </ns0:is>
      </ns0:c>
      <ns0:c r="BQ276" s="74" t="inlineStr">
        <ns0:is>
          <ns0:t>N/A</ns0:t>
        </ns0:is>
      </ns0:c>
      <ns0:c r="BR276" s="74" t="inlineStr">
        <ns0:is>
          <ns0:t>N/A</ns0:t>
        </ns0:is>
      </ns0:c>
      <ns0:c r="BS276" s="74" t="inlineStr">
        <ns0:is>
          <ns0:t>N/A</ns0:t>
        </ns0:is>
      </ns0:c>
      <ns0:c r="BT276" s="74" t="inlineStr">
        <ns0:is>
          <ns0:t>N/A</ns0:t>
        </ns0:is>
      </ns0:c>
      <ns0:c r="BU276" s="91" t="inlineStr">
        <ns0:is>
          <ns0:t>China International Capital Corporation Hong Kong Securities Limited; Huatai Financial Holdings (Hong Kong) Limited</ns0:t>
        </ns0:is>
      </ns0:c>
      <ns0:c r="BV276" s="74" t="inlineStr">
        <ns0:is>
          <ns0:t>China International Capital Corporation Hong Kong Securities Limited; Huatai Financial Holdings (Hong Kong) Limited</ns0:t>
        </ns0:is>
      </ns0:c>
      <ns0:c r="BW276" s="74" t="inlineStr">
        <ns0:is>
          <ns0:t>CCB International Capital Limited; GF Securities (Hong Kong) Brokerage Limited; Futu Securities International (Hong Kong) Limited</ns0:t>
        </ns0:is>
      </ns0:c>
      <ns0:c r="BX276" s="74" t="inlineStr">
        <ns0:is>
          <ns0: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ns0:t>
        </ns0:is>
      </ns0:c>
      <ns0:c r="BY276" s="93">
        <ns0:f>HYPERLINK("https://www1.hkexnews.hk/listedco/listconews/sehk/2024/0731/2024073100015.pdf","prospectus")</ns0:f>
        <ns0:v/>
      </ns0:c>
      <ns0:c r="BZ276" s="93">
        <ns0:f>HYPERLINK("https://www1.hkexnews.hk/listedco/listconews/sehk/2024/0807/2024080700994.pdf","allotment")</ns0:f>
        <ns0:v/>
      </ns0:c>
      <ns0:c r="CA276" s="93">
        <ns0:f>HYPERLINK("https://www1.hkexnews.hk/listedco/listconews/sehk/2024/0904/2024090402176.pdf","stabilisation")</ns0:f>
        <ns0:v/>
      </ns0:c>
      <ns0:c r="CB276" s="94" t="n"/>
      <ns0:c r="CC276" s="74" t="inlineStr">
        <ns0:is>
          <ns0:t>P/E: loss-making at IPO, use P/S; sponsor: English name not in the filing; AAStocks 保薦人 shown</ns0:t>
        </ns0:is>
      </ns0:c>
    </ns0:row>
    <ns0:row r="277" ht="22" customHeight="1">
      <ns0:c r="A277" s="73" t="inlineStr">
        <ns0:is>
          <ns0:t>2410</ns0:t>
        </ns0:is>
      </ns0:c>
      <ns0:c r="B277" s="74" t="inlineStr">
        <ns0:is>
          <ns0:t>TYK MEDICINES-B</ns0:t>
        </ns0:is>
      </ns0:c>
      <ns0:c r="C277" s="74" t="inlineStr">
        <ns0:is>
          <ns0:t>同源康醫藥－Ｂ</ns0:t>
        </ns0:is>
      </ns0:c>
      <ns0:c r="D277" s="74" t="inlineStr">
        <ns0:is>
          <ns0:t>Healthcare</ns0:t>
        </ns0:is>
      </ns0:c>
      <ns0:c r="E277" s="74" t="inlineStr">
        <ns0:is>
          <ns0:t>Biotech pre-revenue (18A)</ns0:t>
        </ns0:is>
      </ns0:c>
      <ns0:c r="F277" s="74" t="inlineStr">
        <ns0:is>
          <ns0:t>Biotechnology - Pharmaceuticals</ns0:t>
        </ns0:is>
      </ns0:c>
      <ns0:c r="G277" s="74" t="inlineStr">
        <ns0:is>
          <ns0:t>18A</ns0:t>
        </ns0:is>
      </ns0:c>
      <ns0:c r="H277" s="75" t="n">
        <ns0:v>45524</ns0:v>
      </ns0:c>
      <ns0:c r="I277" s="76" t="n">
        <ns0:v>579.3</ns0:v>
      </ns0:c>
      <ns0:c r="J277" s="74" t="inlineStr">
        <ns0:is>
          <ns0:t>gross (price x shares)</ns0:t>
        </ns0:is>
      </ns0:c>
      <ns0:c r="K277" s="95" t="n"/>
      <ns0:c r="L277" s="77" t="n">
        <ns0:v>12.1</ns0:v>
      </ns0:c>
      <ns0:c r="M277" s="77" t="n">
        <ns0:v>12.1</ns0:v>
      </ns0:c>
      <ns0:c r="N277" s="74" t="inlineStr">
        <ns0:is>
          <ns0:t>Y</ns0:t>
        </ns0:is>
      </ns0:c>
      <ns0:c r="O277" s="78" t="n">
        <ns0:v>100</ns0:v>
      </ns0:c>
      <ns0:c r="P277" s="84" t="n"/>
      <ns0:c r="Q277" s="79" t="n">
        <ns0:v>4487.1</ns0:v>
      </ns0:c>
      <ns0:c r="R277" s="74" t="inlineStr">
        <ns0:is>
          <ns0:t>derived:price x shares upon listing</ns0:t>
        </ns0:is>
      </ns0:c>
      <ns0:c r="S277" s="80" t="n">
        <ns0:v>2.29</ns0:v>
      </ns0:c>
      <ns0:c r="T277" s="81" t="n">
        <ns0:v>1.01</ns0:v>
      </ns0:c>
      <ns0:c r="U277" s="82" t="n">
        <ns0:v>35.51</ns0:v>
      </ns0:c>
      <ns0:c r="V277" s="83" t="n">
        <ns0:v>116</ns0:v>
      </ns0:c>
      <ns0:c r="W277" s="78" t="n">
        <ns0:v>10</ns0:v>
      </ns0:c>
      <ns0:c r="X277" s="74" t="inlineStr">
        <ns0:is>
          <ns0:t>NO</ns0:t>
        </ns0:is>
      </ns0:c>
      <ns0:c r="Y277" s="79" t="n">
        <ns0:v>373.59</ns0:v>
      </ns0:c>
      <ns0:c r="Z277" s="79" t="n">
        <ns0:v>30877812</ns0:v>
      </ns0:c>
      <ns0:c r="AA277" s="78" t="n">
        <ns0:v>8.33</ns0:v>
      </ns0:c>
      <ns0:c r="AB277" s="74" t="inlineStr">
        <ns0:is>
          <ns0:t>Changxing Xingchang Industrial Investment Partnership (Limited Partnership)</ns0:t>
        </ns0:is>
      </ns0:c>
      <ns0:c r="AC277" s="74" t="inlineStr">
        <ns0:is>
          <ns0:t>changxing</ns0:t>
        </ns0:is>
      </ns0:c>
      <ns0:c r="AD277" s="84" t="n"/>
      <ns0:c r="AE277" s="85" t="n"/>
      <ns0:c r="AF277" s="85" t="n"/>
      <ns0:c r="AG277" s="85" t="n"/>
      <ns0:c r="AH277" s="85" t="n"/>
      <ns0:c r="AI277" s="86" t="n">
        <ns0:v>9.09</ns0:v>
      </ns0:c>
      <ns0:c r="AJ277" s="87" t="n">
        <ns0:v>13.22</ns0:v>
      </ns0:c>
      <ns0:c r="AK277" s="87" t="n">
        <ns0:v>-0.8</ns0:v>
      </ns0:c>
      <ns0:c r="AL277" s="87" t="n">
        <ns0:v>19.67</ns0:v>
      </ns0:c>
      <ns0:c r="AM277" s="87" t="n">
        <ns0:v>-5.39</ns0:v>
      </ns0:c>
      <ns0:c r="AN277" s="89" t="n">
        <ns0:v>0.67</ns0:v>
      </ns0:c>
      <ns0:c r="AO277" s="78" t="n">
        <ns0:v>21.41</ns0:v>
      </ns0:c>
      <ns0:c r="AP277" s="87" t="n">
        <ns0:v>90.08</ns0:v>
      </ns0:c>
      <ns0:c r="AQ277" s="87" t="n">
        <ns0:v>135.95</ns0:v>
      </ns0:c>
      <ns0:c r="AR277" s="87" t="n">
        <ns0:v>129.75</ns0:v>
      </ns0:c>
      <ns0:c r="AS277" s="87" t="n">
        <ns0:v>67.89</ns0:v>
      </ns0:c>
      <ns0:c r="AT277" s="87" t="n">
        <ns0:v>108.4</ns0:v>
      </ns0:c>
      <ns0:c r="AU277" s="87" t="n">
        <ns0:v>102.92</ns0:v>
      </ns0:c>
      <ns0:c r="AV277" s="87" t="n">
        <ns0:v>92.59</ns0:v>
      </ns0:c>
      <ns0:c r="AW277" s="87" t="n">
        <ns0:v>137.89</ns0:v>
      </ns0:c>
      <ns0:c r="AX277" s="87" t="n">
        <ns0:v>117.04</ns0:v>
      </ns0:c>
      <ns0:c r="AY277" s="87" t="n">
        <ns0:v>109.55</ns0:v>
      </ns0:c>
      <ns0:c r="AZ277" s="87" t="n">
        <ns0:v>-1.94</ns0:v>
      </ns0:c>
      <ns0:c r="BA277" s="87" t="n">
        <ns0:v>-1.15</ns0:v>
      </ns0:c>
      <ns0:c r="BB277" s="74" t="inlineStr">
        <ns0:is>
          <ns0:t>China Biotech ETF (HS biotech proxy)</ns0:t>
        </ns0:is>
      </ns0:c>
      <ns0:c r="BC277" s="87" t="n">
        <ns0:v>-64.45999999999999</ns0:v>
      </ns0:c>
      <ns0:c r="BD277" s="75" t="n">
        <ns0:v>46297</ns0:v>
      </ns0:c>
      <ns0:c r="BE277" s="76" t="n">
        <ns0:v>48.7</ns0:v>
      </ns0:c>
      <ns0:c r="BF277" s="79" t="n">
        <ns0:v>-91.5</ns0:v>
      </ns0:c>
      <ns0:c r="BG277" s="74" t="inlineStr">
        <ns0:is>
          <ns0:t>N</ns0:t>
        </ns0:is>
      </ns0:c>
      <ns0:c r="BH277" s="74" t="inlineStr">
        <ns0:is>
          <ns0:t>n/m</ns0:t>
        </ns0:is>
      </ns0:c>
      <ns0:c r="BI277" s="88" t="n"/>
      <ns0:c r="BJ277" s="88" t="n"/>
      <ns0:c r="BK277" s="89" t="n">
        <ns0:v>92.09999999999999</ns0:v>
      </ns0:c>
      <ns0:c r="BL277" s="90">
        <ns0:f>IFERROR(IF('BBG Verify'!S277="","Awaiting Bloomberg",'BBG Verify'!S277),"Awaiting Bloomberg")</ns0:f>
        <ns0:v/>
      </ns0:c>
      <ns0:c r="BM277" s="91" t="inlineStr">
        <ns0:is>
          <ns0:t>N</ns0:t>
        </ns0:is>
      </ns0:c>
      <ns0:c r="BN277" s="92">
        <ns0:f>IFERROR(IF('BBG Verify'!K277="","Awaiting Bloomberg",'BBG Verify'!K277),"Awaiting Bloomberg")</ns0:f>
        <ns0:v/>
      </ns0:c>
      <ns0:c r="BO277" s="74" t="inlineStr">
        <ns0:is>
          <ns0:t>N/A</ns0:t>
        </ns0:is>
      </ns0:c>
      <ns0:c r="BP277" s="74" t="inlineStr">
        <ns0:is>
          <ns0:t>N/A</ns0:t>
        </ns0:is>
      </ns0:c>
      <ns0:c r="BQ277" s="74" t="inlineStr">
        <ns0:is>
          <ns0:t>N/A</ns0:t>
        </ns0:is>
      </ns0:c>
      <ns0:c r="BR277" s="74" t="inlineStr">
        <ns0:is>
          <ns0:t>N/A</ns0:t>
        </ns0:is>
      </ns0:c>
      <ns0:c r="BS277" s="74" t="inlineStr">
        <ns0:is>
          <ns0:t>N/A</ns0:t>
        </ns0:is>
      </ns0:c>
      <ns0:c r="BT277" s="74" t="inlineStr">
        <ns0:is>
          <ns0:t>N/A</ns0:t>
        </ns0:is>
      </ns0:c>
      <ns0:c r="BU277" s="91" t="inlineStr">
        <ns0:is>
          <ns0:t>CITIC Securities (Hong Kong) Limited</ns0:t>
        </ns0:is>
      </ns0:c>
      <ns0:c r="BV277" s="74" t="inlineStr">
        <ns0:is>
          <ns0:t>CITIC Securities (Hong Kong) Limited</ns0:t>
        </ns0:is>
      </ns0:c>
      <ns0:c r="BW277" s="74" t="inlineStr">
        <ns0:is>
          <ns0:t>CLSA Limited; CMB International Capital Limited; Haitong International Securities Company Limited; Deutsche Bank AG, Hong Kong Branch; Livermore Holdings Limited; BOCI Asia Limited</ns0:t>
        </ns0:is>
      </ns0:c>
      <ns0:c r="BX277" s="74" t="inlineStr">
        <ns0:is>
          <ns0:t>BOCI Asia Limited; CLSA Limited; CMB International Capital Limited; Deutsche Bank AG, Hong Kong Branch; Haitong International Securities Company Limited; Livermore Holdings Limited</ns0:t>
        </ns0:is>
      </ns0:c>
      <ns0:c r="BY277" s="93">
        <ns0:f>HYPERLINK("https://www1.hkexnews.hk/listedco/listconews/sehk/2024/0812/2024081200005.pdf","prospectus")</ns0:f>
        <ns0:v/>
      </ns0:c>
      <ns0:c r="BZ277" s="93">
        <ns0:f>HYPERLINK("https://www1.hkexnews.hk/listedco/listconews/sehk/2024/0819/2024081901642.pdf","allotment")</ns0:f>
        <ns0:v/>
      </ns0:c>
      <ns0:c r="CA277" s="85" t="n"/>
      <ns0:c r="CB277" s="94" t="n"/>
      <ns0:c r="CC277" s="74" t="inlineStr">
        <ns0:is>
          <ns0:t>P/E: loss-making at IPO, use P/S; greenshoe: no over-allotment option; range low: maximum offer price only, no floor published; greenshoe size: no over-allotment option; stabilising manager: filing states none appointed (prospectus: 'no stabilizing manager will be appointed' stated in the filing)</ns0:t>
        </ns0:is>
      </ns0:c>
    </ns0:row>
    <ns0:row r="278" ht="22" customHeight="1">
      <ns0:c r="A278" s="73" t="inlineStr">
        <ns0:is>
          <ns0:t>0300</ns0:t>
        </ns0:is>
      </ns0:c>
      <ns0:c r="B278" s="74" t="inlineStr">
        <ns0:is>
          <ns0:t>MIDEA GROUP</ns0:t>
        </ns0:is>
      </ns0:c>
      <ns0:c r="C278" s="74" t="inlineStr">
        <ns0:is>
          <ns0:t>美的集團</ns0:t>
        </ns0:is>
      </ns0:c>
      <ns0:c r="D278" s="74" t="inlineStr">
        <ns0:is>
          <ns0:t>Technology</ns0:t>
        </ns0:is>
      </ns0:c>
      <ns0:c r="E278" s="74" t="inlineStr">
        <ns0:is>
          <ns0:t>Hardware &amp; electronics</ns0:t>
        </ns0:is>
      </ns0:c>
      <ns0:c r="F278" s="74" t="inlineStr">
        <ns0:is>
          <ns0:t>Household Appliances</ns0:t>
        </ns0:is>
      </ns0:c>
      <ns0:c r="G278" s="74" t="inlineStr">
        <ns0:is>
          <ns0:t>Standard</ns0:t>
        </ns0:is>
      </ns0:c>
      <ns0:c r="H278" s="75" t="n">
        <ns0:v>45552</ns0:v>
      </ns0:c>
      <ns0:c r="I278" s="76" t="n">
        <ns0:v>31014</ns0:v>
      </ns0:c>
      <ns0:c r="J278" s="74" t="inlineStr">
        <ns0:is>
          <ns0:t>gross (stated)</ns0:t>
        </ns0:is>
      </ns0:c>
      <ns0:c r="K278" s="95" t="n"/>
      <ns0:c r="L278" s="77" t="n">
        <ns0:v>54.8</ns0:v>
      </ns0:c>
      <ns0:c r="M278" s="77" t="n">
        <ns0:v>54.8</ns0:v>
      </ns0:c>
      <ns0:c r="N278" s="74" t="inlineStr">
        <ns0:is>
          <ns0:t>Y</ns0:t>
        </ns0:is>
      </ns0:c>
      <ns0:c r="O278" s="78" t="n">
        <ns0:v>100</ns0:v>
      </ns0:c>
      <ns0:c r="P278" s="84" t="n"/>
      <ns0:c r="Q278" s="79" t="n">
        <ns0:v>389233.8</ns0:v>
      </ns0:c>
      <ns0:c r="R278" s="74" t="inlineStr">
        <ns0:is>
          <ns0:t>prospectus:stated market capitalisation</ns0:t>
        </ns0:is>
      </ns0:c>
      <ns0:c r="S278" s="80" t="n">
        <ns0:v>9</ns0:v>
      </ns0:c>
      <ns0:c r="T278" s="104" t="n">
        <ns0:v>8.06</ns0:v>
      </ns0:c>
      <ns0:c r="U278" s="82" t="n">
        <ns0:v>31.63</ns0:v>
      </ns0:c>
      <ns0:c r="V278" s="83" t="n">
        <ns0:v>236</ns0:v>
      </ns0:c>
      <ns0:c r="W278" s="78" t="n">
        <ns0:v>5</ns0:v>
      </ns0:c>
      <ns0:c r="X278" s="74" t="inlineStr">
        <ns0:is>
          <ns0:t>NO</ns0:t>
        </ns0:is>
      </ns0:c>
      <ns0:c r="Y278" s="79" t="n">
        <ns0:v>21204.27</ns0:v>
      </ns0:c>
      <ns0:c r="Z278" s="79" t="n">
        <ns0:v>386943639</ns0:v>
      </ns0:c>
      <ns0:c r="AA278" s="78" t="n">
        <ns0:v>5.45</ns0:v>
      </ns0:c>
      <ns0:c r="AB278" s="74" t="inlineStr">
        <ns0:is>
          <ns0:t>COSCO SHIPPING Holdings (Hong Kong) Limited; UBS Asset Management (Singapore) Ltd; China Structural Reform Fund II Corporation Limited*; Golden Link Worldwide Limited; Splendor Achieve Limited; Supercluster Universe Limited; HCEP Master Fund; Foresight Global Superior Choice SPC — Global Superior Choice Series Fund 1 SP and Foresight Global Superior Choice SPC — Vision Fund 1 SP; CPE Investment XVI Limited; Dajia Life Insurance Co., Ltd; Metazone Link (HK) Limited; Enreal Asset Management Limited; Vanguard Focus Limited; PSBC Wealth Management Co., Ltd; Jump Trading Pacific Pte. Ltd; MY Asian Opportunities Master Fund, L.P; Athos Capital Limited; Pamalican Fund Ltd</ns0:t>
        </ns0:is>
      </ns0:c>
      <ns0:c r="AC278" s="74" t="inlineStr">
        <ns0:is>
          <ns0:t>cosco;ubs;structural;golden-link;splendor;supercluster;hcep;foresight;cpe;dajia;metazone;enreal;vanguard;psbc;jump;my;athos;pamalican</ns0:t>
        </ns0:is>
      </ns0:c>
      <ns0:c r="AD278" s="78" t="n">
        <ns0:v>15</ns0:v>
      </ns0:c>
      <ns0:c r="AE278" s="74" t="inlineStr">
        <ns0:is>
          <ns0:t>full</ns0:t>
        </ns0:is>
      </ns0:c>
      <ns0:c r="AF278" s="74" t="inlineStr">
        <ns0:is>
          <ns0:t>2024-10-12</ns0:t>
        </ns0:is>
      </ns0:c>
      <ns0:c r="AG278" s="74" t="inlineStr">
        <ns0:is>
          <ns0:t>China International Capital Corporation Hong Kong Securities Limited</ns0:t>
        </ns0:is>
      </ns0:c>
      <ns0:c r="AH278" s="74" t="inlineStr">
        <ns0:is>
          <ns0:t>China International</ns0:t>
        </ns0:is>
      </ns0:c>
      <ns0:c r="AI278" s="86" t="n">
        <ns0:v>5.84</ns0:v>
      </ns0:c>
      <ns0:c r="AJ278" s="87" t="n">
        <ns0:v>7.85</ns0:v>
      </ns0:c>
      <ns0:c r="AK278" s="87" t="n">
        <ns0:v>1.34</ns0:v>
      </ns0:c>
      <ns0:c r="AL278" s="87" t="n">
        <ns0:v>8.029999999999999</ns0:v>
      </ns0:c>
      <ns0:c r="AM278" s="87" t="n">
        <ns0:v>-0.17</ns0:v>
      </ns0:c>
      <ns0:c r="AN278" s="89" t="n">
        <ns0:v>2.3</ns0:v>
      </ns0:c>
      <ns0:c r="AO278" s="78" t="n">
        <ns0:v>3.38</ns0:v>
      </ns0:c>
      <ns0:c r="AP278" s="87" t="n">
        <ns0:v>29.01</ns0:v>
      </ns0:c>
      <ns0:c r="AQ278" s="87" t="n">
        <ns0:v>36.68</ns0:v>
      </ns0:c>
      <ns0:c r="AR278" s="87" t="n">
        <ns0:v>38.96</ns0:v>
      </ns0:c>
      <ns0:c r="AS278" s="87" t="n">
        <ns0:v>19.62</ns0:v>
      </ns0:c>
      <ns0:c r="AT278" s="87" t="n">
        <ns0:v>26.73</ns0:v>
      </ns0:c>
      <ns0:c r="AU278" s="87" t="n">
        <ns0:v>28.85</ns0:v>
      </ns0:c>
      <ns0:c r="AV278" s="87" t="n">
        <ns0:v>16.42</ns0:v>
      </ns0:c>
      <ns0:c r="AW278" s="87" t="n">
        <ns0:v>7.95</ns0:v>
      </ns0:c>
      <ns0:c r="AX278" s="87" t="n">
        <ns0:v>11.57</ns0:v>
      </ns0:c>
      <ns0:c r="AY278" s="87" t="n">
        <ns0:v>-0.3</ns0:v>
      </ns0:c>
      <ns0:c r="AZ278" s="87" t="n">
        <ns0:v>28.73</ns0:v>
      </ns0:c>
      <ns0:c r="BA278" s="87" t="n">
        <ns0:v>27.03</ns0:v>
      </ns0:c>
      <ns0:c r="BB278" s="74" t="inlineStr">
        <ns0:is>
          <ns0:t>HSTECH (Hang Seng TECH ETF)</ns0:t>
        </ns0:is>
      </ns0:c>
      <ns0:c r="BC278" s="87" t="n">
        <ns0:v>66.33</ns0:v>
      </ns0:c>
      <ns0:c r="BD278" s="75" t="n">
        <ns0:v>46297</ns0:v>
      </ns0:c>
      <ns0:c r="BE278" s="76" t="n">
        <ns0:v>411080.8</ns0:v>
      </ns0:c>
      <ns0:c r="BF278" s="79" t="n">
        <ns0:v>37121.6</ns0:v>
      </ns0:c>
      <ns0:c r="BG278" s="74" t="inlineStr">
        <ns0:is>
          <ns0:t>Y</ns0:t>
        </ns0:is>
      </ns0:c>
      <ns0:c r="BH278" s="89" t="n">
        <ns0:v>10.5</ns0:v>
      </ns0:c>
      <ns0:c r="BI278" s="88" t="n"/>
      <ns0:c r="BJ278" s="88" t="n"/>
      <ns0:c r="BK278" s="89" t="n">
        <ns0:v>0.9</ns0:v>
      </ns0:c>
      <ns0:c r="BL278" s="90">
        <ns0:f>IFERROR(IF('BBG Verify'!S278="","Awaiting Bloomberg",'BBG Verify'!S278),"Awaiting Bloomberg")</ns0:f>
        <ns0:v/>
      </ns0:c>
      <ns0:c r="BM278" s="91" t="inlineStr">
        <ns0:is>
          <ns0:t>Y</ns0:t>
        </ns0:is>
      </ns0:c>
      <ns0:c r="BN278" s="74" t="inlineStr">
        <ns0:is>
          <ns0:t>000333.SZ</ns0:t>
        </ns0:is>
      </ns0:c>
      <ns0:c r="BO278" s="87" t="n">
        <ns0:v>27.39</ns0:v>
      </ns0:c>
      <ns0:c r="BP278" s="77" t="n">
        <ns0:v>69.807</ns0:v>
      </ns0:c>
      <ns0:c r="BQ278" s="101" t="n">
        <ns0:v>0.0284</ns0:v>
      </ns0:c>
      <ns0:c r="BR278" s="79" t="n">
        <ns0:v>715485</ns0:v>
      </ns0:c>
      <ns0:c r="BS278" s="90">
        <ns0:f>IFERROR(IF('BBG Verify'!Q278="","Awaiting Bloomberg",'BBG Verify'!Q278),"Awaiting Bloomberg")</ns0:f>
        <ns0:v/>
      </ns0:c>
      <ns0:c r="BT278" s="90">
        <ns0:f>IFERROR(IF('BBG Verify'!R278="","Awaiting Bloomberg",'BBG Verify'!R278),"Awaiting Bloomberg")</ns0:f>
        <ns0:v/>
      </ns0:c>
      <ns0:c r="BU278" s="91" t="inlineStr">
        <ns0:is>
          <ns0:t>CICC; BofA Securities</ns0:t>
        </ns0:is>
      </ns0:c>
      <ns0:c r="BV278" s="74" t="inlineStr">
        <ns0:is>
          <ns0:t>China International Capital Corporation Hong Kong Securities Limited; Merrill Lynch (Asia Pacific) Limited</ns0:t>
        </ns0:is>
      </ns0:c>
      <ns0:c r="BW278" s="74" t="inlineStr">
        <ns0:is>
          <ns0: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ns0:t>
        </ns0:is>
      </ns0:c>
      <ns0:c r="BX278" s="74" t="inlineStr">
        <ns0:is>
          <ns0: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ns0:t>
        </ns0:is>
      </ns0:c>
      <ns0:c r="BY278" s="93">
        <ns0:f>HYPERLINK("https://www1.hkexnews.hk/listedco/listconews/sehk/2024/0909/2024090900012.htm","prospectus")</ns0:f>
        <ns0:v/>
      </ns0:c>
      <ns0:c r="BZ278" s="93">
        <ns0:f>HYPERLINK("https://www1.hkexnews.hk/listedco/listconews/sehk/2024/0916/2024091600951.pdf","allotment")</ns0:f>
        <ns0:v/>
      </ns0:c>
      <ns0:c r="CA278" s="93">
        <ns0:f>HYPERLINK("https://www1.hkexnews.hk/listedco/listconews/sehk/2024/1014/2024101400682.pdf","stabilisation")</ns0:f>
        <ns0:v/>
      </ns0:c>
      <ns0:c r="CB278" s="94" t="n"/>
      <ns0:c r="CC278" s="74" t="inlineStr">
        <ns0:is>
          <ns0:t>price range: fixed-price offering (no indicative range); range low: maximum offer price only, no floor published; A/H: Sep 2024, ~US$4.0bn+greenshoe; the deal that opened the A-to-H wave; H priced at a double-digit discount to A; public sub: HKEX table 9x kept; AAStocks 超額倍數 5.3x on its own basis</ns0:t>
        </ns0:is>
      </ns0:c>
    </ns0:row>
    <ns0:row r="279" ht="22" customHeight="1">
      <ns0:c r="A279" s="73" t="inlineStr">
        <ns0:is>
          <ns0:t>2549</ns0:t>
        </ns0:is>
      </ns0:c>
      <ns0:c r="B279" s="74" t="inlineStr">
        <ns0:is>
          <ns0:t>CAROTE LTD</ns0:t>
        </ns0:is>
      </ns0:c>
      <ns0:c r="C279" s="74" t="inlineStr">
        <ns0:is>
          <ns0:t>卡羅特</ns0:t>
        </ns0:is>
      </ns0:c>
      <ns0:c r="D279" s="74" t="inlineStr">
        <ns0:is>
          <ns0:t>Consumer</ns0:t>
        </ns0:is>
      </ns0:c>
      <ns0:c r="E279" s="74" t="inlineStr">
        <ns0:is>
          <ns0:t>Retail / distribution</ns0:t>
        </ns0:is>
      </ns0:c>
      <ns0:c r="F279" s="74" t="inlineStr">
        <ns0:is>
          <ns0:t>Housewares &amp; Specialties</ns0:t>
        </ns0:is>
      </ns0:c>
      <ns0:c r="G279" s="74" t="inlineStr">
        <ns0:is>
          <ns0:t>Standard</ns0:t>
        </ns0:is>
      </ns0:c>
      <ns0:c r="H279" s="75" t="n">
        <ns0:v>45567</ns0:v>
      </ns0:c>
      <ns0:c r="I279" s="76" t="n">
        <ns0:v>750.6</ns0:v>
      </ns0:c>
      <ns0:c r="J279" s="74" t="inlineStr">
        <ns0:is>
          <ns0:t>gross (price x shares)</ns0:t>
        </ns0:is>
      </ns0:c>
      <ns0:c r="K279" s="95" t="n"/>
      <ns0:c r="L279" s="77" t="n">
        <ns0:v>5.78</ns0:v>
      </ns0:c>
      <ns0:c r="M279" s="77" t="n">
        <ns0:v>5.78</ns0:v>
      </ns0:c>
      <ns0:c r="N279" s="74" t="inlineStr">
        <ns0:is>
          <ns0:t>Y</ns0:t>
        </ns0:is>
      </ns0:c>
      <ns0:c r="O279" s="78" t="n">
        <ns0:v>100</ns0:v>
      </ns0:c>
      <ns0:c r="P279" s="84" t="n"/>
      <ns0:c r="Q279" s="79" t="n">
        <ns0:v>2789.3</ns0:v>
      </ns0:c>
      <ns0:c r="R279" s="74" t="inlineStr">
        <ns0:is>
          <ns0:t>derived:deal size / offer % of enlarged capital</ns0:t>
        </ns0:is>
      </ns0:c>
      <ns0:c r="S279" s="80" t="n">
        <ns0:v>1347.27</ns0:v>
      </ns0:c>
      <ns0:c r="T279" s="81" t="n">
        <ns0:v>7.91</ns0:v>
      </ns0:c>
      <ns0:c r="U279" s="82" t="n">
        <ns0:v>41.72</ns0:v>
      </ns0:c>
      <ns0:c r="V279" s="83" t="n">
        <ns0:v>162</ns0:v>
      </ns0:c>
      <ns0:c r="W279" s="78" t="n">
        <ns0:v>50</ns0:v>
      </ns0:c>
      <ns0:c r="X279" s="74" t="inlineStr">
        <ns0:is>
          <ns0:t>YES</ns0:t>
        </ns0:is>
      </ns0:c>
      <ns0:c r="Y279" s="79" t="n">
        <ns0:v>437.45</ns0:v>
      </ns0:c>
      <ns0:c r="Z279" s="79" t="n">
        <ns0:v>75685031</ns0:v>
      </ns0:c>
      <ns0:c r="AA279" s="78" t="n">
        <ns0:v>15.68</ns0:v>
      </ns0:c>
      <ns0:c r="AB279" s="74" t="inlineStr">
        <ns0:is>
          <ns0:t>MPC VII Pte. Ltd; YSC Go (BVI) Limited</ns0:t>
        </ns0:is>
      </ns0:c>
      <ns0:c r="AC279" s="74" t="inlineStr">
        <ns0:is>
          <ns0:t>mpc;ysc</ns0:t>
        </ns0:is>
      </ns0:c>
      <ns0:c r="AD279" s="78" t="n">
        <ns0:v>15</ns0:v>
      </ns0:c>
      <ns0:c r="AE279" s="74" t="inlineStr">
        <ns0:is>
          <ns0:t>full</ns0:t>
        </ns0:is>
      </ns0:c>
      <ns0:c r="AF279" s="74" t="inlineStr">
        <ns0:is>
          <ns0:t>2024-10-26</ns0:t>
        </ns0:is>
      </ns0:c>
      <ns0:c r="AG279" s="74" t="inlineStr">
        <ns0:is>
          <ns0:t>CMB International Global Markets Limited</ns0:t>
        </ns0:is>
      </ns0:c>
      <ns0:c r="AH279" s="74" t="inlineStr">
        <ns0:is>
          <ns0:t>CMB</ns0:t>
        </ns0:is>
      </ns0:c>
      <ns0:c r="AI279" s="86" t="n">
        <ns0:v>77.51000000000001</ns0:v>
      </ns0:c>
      <ns0:c r="AJ279" s="87" t="n">
        <ns0:v>58.3</ns0:v>
      </ns0:c>
      <ns0:c r="AK279" s="87" t="n">
        <ns0:v>6.85</ns0:v>
      </ns0:c>
      <ns0:c r="AL279" s="87" t="n">
        <ns0:v>64.36</ns0:v>
      </ns0:c>
      <ns0:c r="AM279" s="87" t="n">
        <ns0:v>-3.69</ns0:v>
      </ns0:c>
      <ns0:c r="AN279" s="89" t="n">
        <ns0:v>1.72</ns0:v>
      </ns0:c>
      <ns0:c r="AO279" s="78" t="n">
        <ns0:v>44.21</ns0:v>
      </ns0:c>
      <ns0:c r="AP279" s="87" t="n">
        <ns0:v>17.65</ns0:v>
      </ns0:c>
      <ns0:c r="AQ279" s="87" t="n">
        <ns0:v>-11.07</ns0:v>
      </ns0:c>
      <ns0:c r="AR279" s="87" t="n">
        <ns0:v>-14.01</ns0:v>
      </ns0:c>
      <ns0:c r="AS279" s="87" t="n">
        <ns0:v>-25.68</ns0:v>
      </ns0:c>
      <ns0:c r="AT279" s="87" t="n">
        <ns0:v>-43.82</ns0:v>
      </ns0:c>
      <ns0:c r="AU279" s="87" t="n">
        <ns0:v>-45.68</ns0:v>
      </ns0:c>
      <ns0:c r="AV279" s="87" t="n">
        <ns0:v>19.24</ns0:v>
      </ns0:c>
      <ns0:c r="AW279" s="87" t="n">
        <ns0:v>-7.4</ns0:v>
      </ns0:c>
      <ns0:c r="AX279" s="87" t="n">
        <ns0:v>-6.67</ns0:v>
      </ns0:c>
      <ns0:c r="AY279" s="87" t="n">
        <ns0:v>-33.98</ns0:v>
      </ns0:c>
      <ns0:c r="AZ279" s="87" t="n">
        <ns0:v>-3.67</ns0:v>
      </ns0:c>
      <ns0:c r="BA279" s="87" t="n">
        <ns0:v>-9.84</ns0:v>
      </ns0:c>
      <ns0:c r="BB279" s="74" t="inlineStr">
        <ns0:is>
          <ns0:t>Hang Seng Commerce &amp; Industry sub-index</ns0:t>
        </ns0:is>
      </ns0:c>
      <ns0:c r="BC279" s="87" t="n">
        <ns0:v>-34.43</ns0:v>
      </ns0:c>
      <ns0:c r="BD279" s="75" t="n">
        <ns0:v>46297</ns0:v>
      </ns0:c>
      <ns0:c r="BE279" s="76" t="n">
        <ns0:v>1741.4</ns0:v>
      </ns0:c>
      <ns0:c r="BF279" s="97" t="n"/>
      <ns0:c r="BG279" s="74" t="inlineStr">
        <ns0:is>
          <ns0:t>Y</ns0:t>
        </ns0:is>
      </ns0:c>
      <ns0:c r="BH279" s="90">
        <ns0:f>IFERROR(IF('BBG Verify'!O279="","Awaiting Bloomberg",'BBG Verify'!O279),"Awaiting Bloomberg")</ns0:f>
        <ns0:v/>
      </ns0:c>
      <ns0:c r="BI279" s="88" t="n"/>
      <ns0:c r="BJ279" s="89" t="n">
        <ns0:v>6.8</ns0:v>
      </ns0:c>
      <ns0:c r="BK279" s="89" t="n">
        <ns0:v>1.6</ns0:v>
      </ns0:c>
      <ns0:c r="BL279" s="90">
        <ns0:f>IFERROR(IF('BBG Verify'!S279="","Awaiting Bloomberg",'BBG Verify'!S279),"Awaiting Bloomberg")</ns0:f>
        <ns0:v/>
      </ns0:c>
      <ns0:c r="BM279" s="91" t="inlineStr">
        <ns0:is>
          <ns0:t>N</ns0:t>
        </ns0:is>
      </ns0:c>
      <ns0:c r="BN279" s="92">
        <ns0:f>IFERROR(IF('BBG Verify'!K279="","Awaiting Bloomberg",'BBG Verify'!K279),"Awaiting Bloomberg")</ns0:f>
        <ns0:v/>
      </ns0:c>
      <ns0:c r="BO279" s="74" t="inlineStr">
        <ns0:is>
          <ns0:t>N/A</ns0:t>
        </ns0:is>
      </ns0:c>
      <ns0:c r="BP279" s="74" t="inlineStr">
        <ns0:is>
          <ns0:t>N/A</ns0:t>
        </ns0:is>
      </ns0:c>
      <ns0:c r="BQ279" s="74" t="inlineStr">
        <ns0:is>
          <ns0:t>N/A</ns0:t>
        </ns0:is>
      </ns0:c>
      <ns0:c r="BR279" s="74" t="inlineStr">
        <ns0:is>
          <ns0:t>N/A</ns0:t>
        </ns0:is>
      </ns0:c>
      <ns0:c r="BS279" s="74" t="inlineStr">
        <ns0:is>
          <ns0:t>N/A</ns0:t>
        </ns0:is>
      </ns0:c>
      <ns0:c r="BT279" s="74" t="inlineStr">
        <ns0:is>
          <ns0:t>N/A</ns0:t>
        </ns0:is>
      </ns0:c>
      <ns0:c r="BU279" s="91" t="inlineStr">
        <ns0:is>
          <ns0:t>BNP Paribas Securities (Asia) Limited; CMB International Capital Limited</ns0:t>
        </ns0:is>
      </ns0:c>
      <ns0:c r="BV279" s="74" t="inlineStr">
        <ns0:is>
          <ns0:t>CMB International Capital Limited; BNP Paribas Securities (Asia) Limited</ns0:t>
        </ns0:is>
      </ns0:c>
      <ns0:c r="BW279" s="74" t="inlineStr">
        <ns0:is>
          <ns0:t>CMB International Capital Limited; BNP Paribas Securities (Asia) Limited</ns0:t>
        </ns0:is>
      </ns0:c>
      <ns0:c r="BX279" s="74" t="inlineStr">
        <ns0:is>
          <ns0:t>BNP Paribas Securities (Asia) Limited; CMB International Capital Limited; Futu Securities International (Hong Kong) Limited; Livermore Holdings Limited; Tiger Brokers (HK) Global Limited; TradeGo Markets Limited</ns0:t>
        </ns0:is>
      </ns0:c>
      <ns0:c r="BY279" s="93">
        <ns0:f>HYPERLINK("https://www1.hkexnews.hk/listedco/listconews/sehk/2024/0923/2024092300003.pdf","prospectus")</ns0:f>
        <ns0:v/>
      </ns0:c>
      <ns0:c r="BZ279" s="93">
        <ns0:f>HYPERLINK("https://www1.hkexnews.hk/listedco/listconews/sehk/2024/0930/2024093002464.pdf","allotment")</ns0:f>
        <ns0:v/>
      </ns0:c>
      <ns0:c r="CA279" s="93">
        <ns0:f>HYPERLINK("https://www1.hkexnews.hk/listedco/listconews/sehk/2024/1028/2024102801048.pdf","stabilisation")</ns0:f>
        <ns0:v/>
      </ns0:c>
      <ns0:c r="CB279" s="94" t="n"/>
      <ns0:c r="CC279" s="74" t="inlineStr">
        <ns0:is>
          <ns0:t>P/E: withheld: 9,298x fails the 300x plausibility cap; extracted net income HK$0.3m suspect; range low: maximum offer price only, no floor published; financials: not extractable; pre-IPO year outside the AAStocks window</ns0:t>
        </ns0:is>
      </ns0:c>
    </ns0:row>
    <ns0:row r="280" ht="22" customHeight="1">
      <ns0:c r="A280" s="73" t="inlineStr">
        <ns0:is>
          <ns0:t>2576</ns0:t>
        </ns0:is>
      </ns0:c>
      <ns0:c r="B280" s="74" t="inlineStr">
        <ns0:is>
          <ns0:t>TAIMEI TECH</ns0:t>
        </ns0:is>
      </ns0:c>
      <ns0:c r="C280" s="74" t="inlineStr">
        <ns0:is>
          <ns0:t>太美醫療科技</ns0:t>
        </ns0:is>
      </ns0:c>
      <ns0:c r="D280" s="74" t="inlineStr">
        <ns0:is>
          <ns0:t>Technology</ns0:t>
        </ns0:is>
      </ns0:c>
      <ns0:c r="E280" s="74" t="inlineStr">
        <ns0:is>
          <ns0:t>Software &amp; AI</ns0:t>
        </ns0:is>
      </ns0:c>
      <ns0:c r="F280" s="74" t="inlineStr">
        <ns0:is>
          <ns0:t>Systems Software</ns0:t>
        </ns0:is>
      </ns0:c>
      <ns0:c r="G280" s="74" t="inlineStr">
        <ns0:is>
          <ns0:t>Standard</ns0:t>
        </ns0:is>
      </ns0:c>
      <ns0:c r="H280" s="75" t="n">
        <ns0:v>45573</ns0:v>
      </ns0:c>
      <ns0:c r="I280" s="76" t="n">
        <ns0:v>335.1</ns0:v>
      </ns0:c>
      <ns0:c r="J280" s="74" t="inlineStr">
        <ns0:is>
          <ns0:t>gross (stated)</ns0:t>
        </ns0:is>
      </ns0:c>
      <ns0:c r="K280" s="95" t="n"/>
      <ns0:c r="L280" s="77" t="n">
        <ns0:v>13</ns0:v>
      </ns0:c>
      <ns0:c r="M280" s="77" t="n">
        <ns0:v>13</ns0:v>
      </ns0:c>
      <ns0:c r="N280" s="74" t="inlineStr">
        <ns0:is>
          <ns0:t>Y</ns0:t>
        </ns0:is>
      </ns0:c>
      <ns0:c r="O280" s="78" t="n">
        <ns0:v>100</ns0:v>
      </ns0:c>
      <ns0:c r="P280" s="84" t="n"/>
      <ns0:c r="Q280" s="79" t="n">
        <ns0:v>6419.5</ns0:v>
      </ns0:c>
      <ns0:c r="R280" s="74" t="inlineStr">
        <ns0:is>
          <ns0:t>derived:deal size / offer % of enlarged capital</ns0:t>
        </ns0:is>
      </ns0:c>
      <ns0:c r="S280" s="80" t="n">
        <ns0:v>156.33</ns0:v>
      </ns0:c>
      <ns0:c r="T280" s="81" t="n">
        <ns0:v>2.58</ns0:v>
      </ns0:c>
      <ns0:c r="U280" s="82" t="n">
        <ns0:v>0</ns0:v>
      </ns0:c>
      <ns0:c r="V280" s="83" t="n">
        <ns0:v>150</ns0:v>
      </ns0:c>
      <ns0:c r="W280" s="78" t="n">
        <ns0:v>50</ns0:v>
      </ns0:c>
      <ns0:c r="X280" s="74" t="inlineStr">
        <ns0:is>
          <ns0:t>YES</ns0:t>
        </ns0:is>
      </ns0:c>
      <ns0:c r="Y280" s="79" t="n">
        <ns0:v>335.1</ns0:v>
      </ns0:c>
      <ns0:c r="Z280" s="79" t="n">
        <ns0:v>25779000</ns0:v>
      </ns0:c>
      <ns0:c r="AA280" s="78" t="n">
        <ns0:v>5.22</ns0:v>
      </ns0:c>
      <ns0:c r="AB280" s="74" t="inlineStr">
        <ns0:is>
          <ns0:t>none — no cornerstone tranche</ns0:t>
        </ns0:is>
      </ns0:c>
      <ns0:c r="AC280" s="74" t="inlineStr">
        <ns0:is>
          <ns0:t>none</ns0:t>
        </ns0:is>
      </ns0:c>
      <ns0:c r="AD280" s="78" t="n">
        <ns0:v>5.22</ns0:v>
      </ns0:c>
      <ns0:c r="AE280" s="74" t="inlineStr">
        <ns0:is>
          <ns0:t>lapsed</ns0:t>
        </ns0:is>
      </ns0:c>
      <ns0:c r="AF280" s="74" t="inlineStr">
        <ns0:is>
          <ns0:t>2024-11-02</ns0:t>
        </ns0:is>
      </ns0:c>
      <ns0:c r="AG280" s="74" t="inlineStr">
        <ns0:is>
          <ns0:t>Morgan Stanley Asia Limited</ns0:t>
        </ns0:is>
      </ns0:c>
      <ns0:c r="AH280" s="74" t="inlineStr">
        <ns0:is>
          <ns0:t>Morgan Stanley</ns0:t>
        </ns0:is>
      </ns0:c>
      <ns0:c r="AI280" s="86" t="n">
        <ns0:v>-10.62</ns0:v>
      </ns0:c>
      <ns0:c r="AJ280" s="87" t="n">
        <ns0:v>-29.23</ns0:v>
      </ns0:c>
      <ns0:c r="AK280" s="87" t="n">
        <ns0:v>-13.11</ns0:v>
      </ns0:c>
      <ns0:c r="AL280" s="87" t="n">
        <ns0:v>-13.54</ns0:v>
      </ns0:c>
      <ns0:c r="AM280" s="87" t="n">
        <ns0:v>-18.15</ns0:v>
      </ns0:c>
      <ns0:c r="AN280" s="89" t="n">
        <ns0:v>1.27</ns0:v>
      </ns0:c>
      <ns0:c r="AO280" s="78" t="n">
        <ns0:v>22.06</ns0:v>
      </ns0:c>
      <ns0:c r="AP280" s="87" t="n">
        <ns0:v>-54.85</ns0:v>
      </ns0:c>
      <ns0:c r="AQ280" s="87" t="n">
        <ns0:v>-54.62</ns0:v>
      </ns0:c>
      <ns0:c r="AR280" s="87" t="n">
        <ns0:v>-70.23</ns0:v>
      </ns0:c>
      <ns0:c r="AS280" s="87" t="n">
        <ns0:v>-36.2</ns0:v>
      </ns0:c>
      <ns0:c r="AT280" s="87" t="n">
        <ns0:v>-35.88</ns0:v>
      </ns0:c>
      <ns0:c r="AU280" s="87" t="n">
        <ns0:v>-57.93</ns0:v>
      </ns0:c>
      <ns0:c r="AV280" s="87" t="n">
        <ns0:v>-36.24</ns0:v>
      </ns0:c>
      <ns0:c r="AW280" s="87" t="n">
        <ns0:v>-41.17</ns0:v>
      </ns0:c>
      <ns0:c r="AX280" s="87" t="n">
        <ns0:v>-49.7</ns0:v>
      </ns0:c>
      <ns0:c r="AY280" s="87" t="n">
        <ns0:v>-35.49</ns0:v>
      </ns0:c>
      <ns0:c r="AZ280" s="87" t="n">
        <ns0:v>-13.45</ns0:v>
      </ns0:c>
      <ns0:c r="BA280" s="87" t="n">
        <ns0:v>-0.39</ns0:v>
      </ns0:c>
      <ns0:c r="BB280" s="74" t="inlineStr">
        <ns0:is>
          <ns0:t>HSTECH (Hang Seng TECH ETF)</ns0:t>
        </ns0:is>
      </ns0:c>
      <ns0:c r="BC280" s="87" t="n">
        <ns0:v>-63.46</ns0:v>
      </ns0:c>
      <ns0:c r="BD280" s="75" t="n">
        <ns0:v>46297</ns0:v>
      </ns0:c>
      <ns0:c r="BE280" s="76" t="n">
        <ns0:v>630.5</ns0:v>
      </ns0:c>
      <ns0:c r="BF280" s="79" t="n">
        <ns0:v>-464.8</ns0:v>
      </ns0:c>
      <ns0:c r="BG280" s="74" t="inlineStr">
        <ns0:is>
          <ns0:t>N</ns0:t>
        </ns0:is>
      </ns0:c>
      <ns0:c r="BH280" s="74" t="inlineStr">
        <ns0:is>
          <ns0:t>n/m</ns0:t>
        </ns0:is>
      </ns0:c>
      <ns0:c r="BI280" s="88" t="n"/>
      <ns0:c r="BJ280" s="88" t="n"/>
      <ns0:c r="BK280" s="89" t="n">
        <ns0:v>10.2</ns0:v>
      </ns0:c>
      <ns0:c r="BL280" s="90">
        <ns0:f>IFERROR(IF('BBG Verify'!S280="","Awaiting Bloomberg",'BBG Verify'!S280),"Awaiting Bloomberg")</ns0:f>
        <ns0:v/>
      </ns0:c>
      <ns0:c r="BM280" s="91" t="inlineStr">
        <ns0:is>
          <ns0:t>N</ns0:t>
        </ns0:is>
      </ns0:c>
      <ns0:c r="BN280" s="92">
        <ns0:f>IFERROR(IF('BBG Verify'!K280="","Awaiting Bloomberg",'BBG Verify'!K280),"Awaiting Bloomberg")</ns0:f>
        <ns0:v/>
      </ns0:c>
      <ns0:c r="BO280" s="74" t="inlineStr">
        <ns0:is>
          <ns0:t>N/A</ns0:t>
        </ns0:is>
      </ns0:c>
      <ns0:c r="BP280" s="74" t="inlineStr">
        <ns0:is>
          <ns0:t>N/A</ns0:t>
        </ns0:is>
      </ns0:c>
      <ns0:c r="BQ280" s="74" t="inlineStr">
        <ns0:is>
          <ns0:t>N/A</ns0:t>
        </ns0:is>
      </ns0:c>
      <ns0:c r="BR280" s="74" t="inlineStr">
        <ns0:is>
          <ns0:t>N/A</ns0:t>
        </ns0:is>
      </ns0:c>
      <ns0:c r="BS280" s="74" t="inlineStr">
        <ns0:is>
          <ns0:t>N/A</ns0:t>
        </ns0:is>
      </ns0:c>
      <ns0:c r="BT280" s="74" t="inlineStr">
        <ns0:is>
          <ns0:t>N/A</ns0:t>
        </ns0:is>
      </ns0:c>
      <ns0:c r="BU280" s="91" t="inlineStr">
        <ns0:is>
          <ns0:t>China International Capital Corporation Hong Kong Securities Limited; Morgan Stanley Asia Limited</ns0:t>
        </ns0:is>
      </ns0:c>
      <ns0:c r="BV280" s="74" t="inlineStr">
        <ns0:is>
          <ns0:t>China International Capital Corporation Hong Kong Securities Limited; Morgan Stanley Asia Limited</ns0:t>
        </ns0:is>
      </ns0:c>
      <ns0:c r="BW280" s="74" t="inlineStr">
        <ns0:is>
          <ns0: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ns0:t>
        </ns0:is>
      </ns0:c>
      <ns0:c r="BX280" s="74" t="inlineStr">
        <ns0:is>
          <ns0: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ns0:t>
        </ns0:is>
      </ns0:c>
      <ns0:c r="BY280" s="93">
        <ns0:f>HYPERLINK("https://www1.hkexnews.hk/listedco/listconews/sehk/2024/0927/2024092700025.pdf","prospectus")</ns0:f>
        <ns0:v/>
      </ns0:c>
      <ns0:c r="BZ280" s="93">
        <ns0:f>HYPERLINK("https://www1.hkexnews.hk/listedco/listconews/sehk/2024/1007/2024100701772.pdf","allotment")</ns0:f>
        <ns0:v/>
      </ns0:c>
      <ns0:c r="CA280" s="93">
        <ns0:f>HYPERLINK("https://www1.hkexnews.hk/listedco/listconews/sehk/2024/1103/2024110300003.pdf","stabilisation")</ns0:f>
        <ns0:v/>
      </ns0:c>
      <ns0:c r="CB280" s="94" t="n"/>
      <ns0:c r="CC280" s="74" t="inlineStr">
        <ns0:is>
          <ns0:t>P/E: loss-making at IPO, use P/S; range low: maximum offer price only, no floor published; sponsor: English name not in the filing; AAStocks 保薦人 shown; cornerstone list: no cornerstone tranche</ns0:t>
        </ns0:is>
      </ns0:c>
    </ns0:row>
    <ns0:row r="281" ht="22" customHeight="1">
      <ns0:c r="A281" s="73" t="inlineStr">
        <ns0:is>
          <ns0:t>9639</ns0:t>
        </ns0:is>
      </ns0:c>
      <ns0:c r="B281" s="74" t="inlineStr">
        <ns0:is>
          <ns0:t>WING LEE DEV</ns0:t>
        </ns0:is>
      </ns0:c>
      <ns0:c r="C281" s="74" t="inlineStr">
        <ns0:is>
          <ns0:t>榮利營造</ns0:t>
        </ns0:is>
      </ns0:c>
      <ns0:c r="D281" s="74" t="inlineStr">
        <ns0:is>
          <ns0:t>Industrials</ns0:t>
        </ns0:is>
      </ns0:c>
      <ns0:c r="E281" s="74" t="inlineStr">
        <ns0:is>
          <ns0:t>Construction / engineering</ns0:t>
        </ns0:is>
      </ns0:c>
      <ns0:c r="F281" s="74" t="inlineStr">
        <ns0:is>
          <ns0:t>Construction &amp; Engineering</ns0:t>
        </ns0:is>
      </ns0:c>
      <ns0:c r="G281" s="74" t="inlineStr">
        <ns0:is>
          <ns0:t>Standard</ns0:t>
        </ns0:is>
      </ns0:c>
      <ns0:c r="H281" s="75" t="n">
        <ns0:v>45574</ns0:v>
      </ns0:c>
      <ns0:c r="I281" s="76" t="n">
        <ns0:v>182.5</ns0:v>
      </ns0:c>
      <ns0:c r="J281" s="74" t="inlineStr">
        <ns0:is>
          <ns0:t>gross (stated)</ns0:t>
        </ns0:is>
      </ns0:c>
      <ns0:c r="K281" s="77" t="n">
        <ns0:v>0.57</ns0:v>
      </ns0:c>
      <ns0:c r="L281" s="77" t="n">
        <ns0:v>0.73</ns0:v>
      </ns0:c>
      <ns0:c r="M281" s="77" t="n">
        <ns0:v>0.73</ns0:v>
      </ns0:c>
      <ns0:c r="N281" s="74" t="inlineStr">
        <ns0:is>
          <ns0:t>Y</ns0:t>
        </ns0:is>
      </ns0:c>
      <ns0:c r="O281" s="78" t="n">
        <ns0:v>100</ns0:v>
      </ns0:c>
      <ns0:c r="P281" s="78" t="n">
        <ns0:v>100</ns0:v>
      </ns0:c>
      <ns0:c r="Q281" s="79" t="n">
        <ns0:v>730</ns0:v>
      </ns0:c>
      <ns0:c r="R281" s="74" t="inlineStr">
        <ns0:is>
          <ns0:t>derived:deal size / offer % of enlarged capital</ns0:t>
        </ns0:is>
      </ns0:c>
      <ns0:c r="S281" s="80" t="n">
        <ns0:v>120.6</ns0:v>
      </ns0:c>
      <ns0:c r="T281" s="81" t="n">
        <ns0:v>1.14</ns0:v>
      </ns0:c>
      <ns0:c r="U281" s="82" t="n">
        <ns0:v>19.18</ns0:v>
      </ns0:c>
      <ns0:c r="V281" s="83" t="n">
        <ns0:v>102</ns0:v>
      </ns0:c>
      <ns0:c r="W281" s="78" t="n">
        <ns0:v>50</ns0:v>
      </ns0:c>
      <ns0:c r="X281" s="74" t="inlineStr">
        <ns0:is>
          <ns0:t>YES</ns0:t>
        </ns0:is>
      </ns0:c>
      <ns0:c r="Y281" s="79" t="n">
        <ns0:v>147.5</ns0:v>
      </ns0:c>
      <ns0:c r="Z281" s="97" t="n"/>
      <ns0:c r="AA281" s="78" t="n">
        <ns0:v>20.2</ns0:v>
      </ns0:c>
      <ns0:c r="AB281" s="74" t="inlineStr">
        <ns0:is>
          <ns0:t>Sany Hongkong Group Limited 三一 香港集團有限公司; Accel Group Holdings Limited 高 陞集團控股有限公司; The Triplex Holdings Limited 三鋒控股管 理有限公司</ns0:t>
        </ns0:is>
      </ns0:c>
      <ns0:c r="AC281" s="74" t="inlineStr">
        <ns0:is>
          <ns0:t>sany;accel;triplex</ns0:t>
        </ns0:is>
      </ns0:c>
      <ns0:c r="AD281" s="78" t="n">
        <ns0:v>15</ns0:v>
      </ns0:c>
      <ns0:c r="AE281" s="85" t="n"/>
      <ns0:c r="AF281" s="85" t="n"/>
      <ns0:c r="AG281" s="85" t="n"/>
      <ns0:c r="AH281" s="85" t="n"/>
      <ns0:c r="AI281" s="86" t="n">
        <ns0:v>-21.92</ns0:v>
      </ns0:c>
      <ns0:c r="AJ281" s="87" t="n">
        <ns0:v>-15.07</ns0:v>
      </ns0:c>
      <ns0:c r="AK281" s="87" t="n">
        <ns0:v>-1.22</ns0:v>
      </ns0:c>
      <ns0:c r="AL281" s="87" t="n">
        <ns0:v>-31.51</ns0:v>
      </ns0:c>
      <ns0:c r="AM281" s="87" t="n">
        <ns0:v>24</ns0:v>
      </ns0:c>
      <ns0:c r="AN281" s="89" t="n">
        <ns0:v>1.44</ns0:v>
      </ns0:c>
      <ns0:c r="AO281" s="78" t="n">
        <ns0:v>36</ns0:v>
      </ns0:c>
      <ns0:c r="AP281" s="87" t="n">
        <ns0:v>-39.73</ns0:v>
      </ns0:c>
      <ns0:c r="AQ281" s="87" t="n">
        <ns0:v>-36.99</ns0:v>
      </ns0:c>
      <ns0:c r="AR281" s="87" t="n">
        <ns0:v>-44.52</ns0:v>
      </ns0:c>
      <ns0:c r="AS281" s="87" t="n">
        <ns0:v>-29.04</ns0:v>
      </ns0:c>
      <ns0:c r="AT281" s="87" t="n">
        <ns0:v>-25.81</ns0:v>
      </ns0:c>
      <ns0:c r="AU281" s="87" t="n">
        <ns0:v>-34.68</ns0:v>
      </ns0:c>
      <ns0:c r="AV281" s="87" t="n">
        <ns0:v>-34.14</ns0:v>
      </ns0:c>
      <ns0:c r="AW281" s="87" t="n">
        <ns0:v>-34.57</ns0:v>
      </ns0:c>
      <ns0:c r="AX281" s="87" t="n">
        <ns0:v>-33.26</ns0:v>
      </ns0:c>
      <ns0:c r="AY281" s="87" t="n">
        <ns0:v>-24.6</ns0:v>
      </ns0:c>
      <ns0:c r="AZ281" s="87" t="n">
        <ns0:v>-2.42</ns0:v>
      </ns0:c>
      <ns0:c r="BA281" s="87" t="n">
        <ns0:v>-1.21</ns0:v>
      </ns0:c>
      <ns0:c r="BB281" s="74" t="inlineStr">
        <ns0:is>
          <ns0:t>Hang Seng Commerce &amp; Industry sub-index</ns0:t>
        </ns0:is>
      </ns0:c>
      <ns0:c r="BC281" s="87" t="n">
        <ns0:v>23.97</ns0:v>
      </ns0:c>
      <ns0:c r="BD281" s="75" t="n">
        <ns0:v>46297</ns0:v>
      </ns0:c>
      <ns0:c r="BE281" s="76" t="n">
        <ns0:v>526.1</ns0:v>
      </ns0:c>
      <ns0:c r="BF281" s="79" t="n">
        <ns0:v>76.90000000000001</ns0:v>
      </ns0:c>
      <ns0:c r="BG281" s="74" t="inlineStr">
        <ns0:is>
          <ns0:t>Y</ns0:t>
        </ns0:is>
      </ns0:c>
      <ns0:c r="BH281" s="89" t="n">
        <ns0:v>9.5</ns0:v>
      </ns0:c>
      <ns0:c r="BI281" s="88" t="n"/>
      <ns0:c r="BJ281" s="89" t="n">
        <ns0:v>57.2</ns0:v>
      </ns0:c>
      <ns0:c r="BK281" s="89" t="n">
        <ns0:v>1.4</ns0:v>
      </ns0:c>
      <ns0:c r="BL281" s="90">
        <ns0:f>IFERROR(IF('BBG Verify'!S281="","Awaiting Bloomberg",'BBG Verify'!S281),"Awaiting Bloomberg")</ns0:f>
        <ns0:v/>
      </ns0:c>
      <ns0:c r="BM281" s="91" t="inlineStr">
        <ns0:is>
          <ns0:t>N</ns0:t>
        </ns0:is>
      </ns0:c>
      <ns0:c r="BN281" s="92">
        <ns0:f>IFERROR(IF('BBG Verify'!K281="","Awaiting Bloomberg",'BBG Verify'!K281),"Awaiting Bloomberg")</ns0:f>
        <ns0:v/>
      </ns0:c>
      <ns0:c r="BO281" s="74" t="inlineStr">
        <ns0:is>
          <ns0:t>N/A</ns0:t>
        </ns0:is>
      </ns0:c>
      <ns0:c r="BP281" s="74" t="inlineStr">
        <ns0:is>
          <ns0:t>N/A</ns0:t>
        </ns0:is>
      </ns0:c>
      <ns0:c r="BQ281" s="74" t="inlineStr">
        <ns0:is>
          <ns0:t>N/A</ns0:t>
        </ns0:is>
      </ns0:c>
      <ns0:c r="BR281" s="74" t="inlineStr">
        <ns0:is>
          <ns0:t>N/A</ns0:t>
        </ns0:is>
      </ns0:c>
      <ns0:c r="BS281" s="74" t="inlineStr">
        <ns0:is>
          <ns0:t>N/A</ns0:t>
        </ns0:is>
      </ns0:c>
      <ns0:c r="BT281" s="74" t="inlineStr">
        <ns0:is>
          <ns0:t>N/A</ns0:t>
        </ns0:is>
      </ns0:c>
      <ns0:c r="BU281" s="91" t="inlineStr">
        <ns0:is>
          <ns0:t>Alliance Capital Partners Limited</ns0:t>
        </ns0:is>
      </ns0:c>
      <ns0:c r="BV281" s="74" t="inlineStr">
        <ns0:is>
          <ns0:t>Alliance Capital Partners Limited</ns0:t>
        </ns0:is>
      </ns0:c>
      <ns0:c r="BW281" s="74" t="inlineStr">
        <ns0:is>
          <ns0:t>Alliance Capital Partners Limited; China Galaxy International Securities (Hong Kong) Co., Limited; CMBC Securities Company Limited; ABCI Capital Limited; China Industrial Securities International Capital Limited</ns0:t>
        </ns0:is>
      </ns0:c>
      <ns0:c r="BX281" s="74" t="inlineStr">
        <ns0:is>
          <ns0: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ns0:t>
        </ns0:is>
      </ns0:c>
      <ns0:c r="BY281" s="93">
        <ns0:f>HYPERLINK("https://www1.hkexnews.hk/listedco/listconews/sehk/2024/0927/2024092700039.pdf","prospectus")</ns0:f>
        <ns0:v/>
      </ns0:c>
      <ns0:c r="BZ281" s="93">
        <ns0:f>HYPERLINK("https://www1.hkexnews.hk/listedco/listconews/sehk/2024/1008/2024100801016.pdf","allotment")</ns0:f>
        <ns0:v/>
      </ns0:c>
      <ns0:c r="CA281" s="85" t="n"/>
      <ns0:c r="CB281" s="94" t="n"/>
      <ns0:c r="CC281" s="74" t="inlineStr">
        <ns0:is>
          <ns0:t>greenshoe: end-of-stabilisation notice not found; market cap: prospectus 'market capitalisation' line is the listing-rule threshold, not the issuer's figure; rejected; stabilising manager: not named in the allotment notice or prospectus glossary; eff float shares: share count unavailable; the HK$m figure is exact</ns0:t>
        </ns0:is>
      </ns0:c>
    </ns0:row>
    <ns0:row r="282" ht="22" customHeight="1">
      <ns0:c r="A282" s="73" t="inlineStr">
        <ns0:is>
          <ns0:t>2567</ns0:t>
        </ns0:is>
      </ns0:c>
      <ns0:c r="B282" s="74" t="inlineStr">
        <ns0:is>
          <ns0:t>QINIU</ns0:t>
        </ns0:is>
      </ns0:c>
      <ns0:c r="C282" s="74" t="inlineStr">
        <ns0:is>
          <ns0:t>七牛智能</ns0:t>
        </ns0:is>
      </ns0:c>
      <ns0:c r="D282" s="74" t="inlineStr">
        <ns0:is>
          <ns0:t>Technology</ns0:t>
        </ns0:is>
      </ns0:c>
      <ns0:c r="E282" s="74" t="inlineStr">
        <ns0:is>
          <ns0:t>Data centres &amp; cloud</ns0:t>
        </ns0:is>
      </ns0:c>
      <ns0:c r="F282" s="74" t="inlineStr">
        <ns0:is>
          <ns0:t>Systems Software</ns0:t>
        </ns0:is>
      </ns0:c>
      <ns0:c r="G282" s="74" t="inlineStr">
        <ns0:is>
          <ns0:t>Standard</ns0:t>
        </ns0:is>
      </ns0:c>
      <ns0:c r="H282" s="75" t="n">
        <ns0:v>45581</ns0:v>
      </ns0:c>
      <ns0:c r="I282" s="76" t="n">
        <ns0:v>439.3</ns0:v>
      </ns0:c>
      <ns0:c r="J282" s="74" t="inlineStr">
        <ns0:is>
          <ns0:t>gross (stated)</ns0:t>
        </ns0:is>
      </ns0:c>
      <ns0:c r="K282" s="77" t="n">
        <ns0:v>2.74</ns0:v>
      </ns0:c>
      <ns0:c r="L282" s="77" t="n">
        <ns0:v>2.86</ns0:v>
      </ns0:c>
      <ns0:c r="M282" s="77" t="n">
        <ns0:v>2.75</ns0:v>
      </ns0:c>
      <ns0:c r="N282" s="74" t="inlineStr">
        <ns0:is>
          <ns0:t>N</ns0:t>
        </ns0:is>
      </ns0:c>
      <ns0:c r="O282" s="78" t="n">
        <ns0:v>96.2</ns0:v>
      </ns0:c>
      <ns0:c r="P282" s="78" t="n">
        <ns0:v>8.300000000000001</ns0:v>
      </ns0:c>
      <ns0:c r="Q282" s="79" t="n">
        <ns0:v>5490.8</ns0:v>
      </ns0:c>
      <ns0:c r="R282" s="74" t="inlineStr">
        <ns0:is>
          <ns0:t>derived:price x shares upon listing</ns0:t>
        </ns0:is>
      </ns0:c>
      <ns0:c r="S282" s="80" t="n">
        <ns0:v>19.87</ns0:v>
      </ns0:c>
      <ns0:c r="T282" s="81" t="n">
        <ns0:v>1.02</ns0:v>
      </ns0:c>
      <ns0:c r="U282" s="82" t="n">
        <ns0:v>40</ns0:v>
      </ns0:c>
      <ns0:c r="V282" s="83" t="n">
        <ns0:v>108</ns0:v>
      </ns0:c>
      <ns0:c r="W282" s="78" t="n">
        <ns0:v>30</ns0:v>
      </ns0:c>
      <ns0:c r="X282" s="74" t="inlineStr">
        <ns0:is>
          <ns0:t>YES</ns0:t>
        </ns0:is>
      </ns0:c>
      <ns0:c r="Y282" s="79" t="n">
        <ns0:v>263.58</ns0:v>
      </ns0:c>
      <ns0:c r="Z282" s="79" t="n">
        <ns0:v>95850000</ns0:v>
      </ns0:c>
      <ns0:c r="AA282" s="78" t="n">
        <ns0:v>4.8</ns0:v>
      </ns0:c>
      <ns0:c r="AB282" s="74" t="inlineStr">
        <ns0:is>
          <ns0:t>Woseon Limited Partnership</ns0:t>
        </ns0:is>
      </ns0:c>
      <ns0:c r="AC282" s="74" t="inlineStr">
        <ns0:is>
          <ns0:t>woseon</ns0:t>
        </ns0:is>
      </ns0:c>
      <ns0:c r="AD282" s="78" t="n">
        <ns0:v>9.1</ns0:v>
      </ns0:c>
      <ns0:c r="AE282" s="74" t="inlineStr">
        <ns0:is>
          <ns0:t>lapsed (no over-allocation)</ns0:t>
        </ns0:is>
      </ns0:c>
      <ns0:c r="AF282" s="85" t="n"/>
      <ns0:c r="AG282" s="74" t="inlineStr">
        <ns0:is>
          <ns0:t>Shenwan Hongyuan Securities</ns0:t>
        </ns0:is>
      </ns0:c>
      <ns0:c r="AH282" s="74" t="inlineStr">
        <ns0:is>
          <ns0:t>Shenwan Hongyuan</ns0:t>
        </ns0:is>
      </ns0:c>
      <ns0:c r="AI282" s="86" t="n">
        <ns0:v>-33.09</ns0:v>
      </ns0:c>
      <ns0:c r="AJ282" s="87" t="n">
        <ns0:v>-56.73</ns0:v>
      </ns0:c>
      <ns0:c r="AK282" s="87" t="n">
        <ns0:v>-1.1</ns0:v>
      </ns0:c>
      <ns0:c r="AL282" s="87" t="n">
        <ns0:v>-41.82</ns0:v>
      </ns0:c>
      <ns0:c r="AM282" s="87" t="n">
        <ns0:v>-25.63</ns0:v>
      </ns0:c>
      <ns0:c r="AN282" s="89" t="n">
        <ns0:v>2.53</ns0:v>
      </ns0:c>
      <ns0:c r="AO282" s="78" t="n">
        <ns0:v>33.75</ns0:v>
      </ns0:c>
      <ns0:c r="AP282" s="87" t="n">
        <ns0:v>-56.73</ns0:v>
      </ns0:c>
      <ns0:c r="AQ282" s="87" t="n">
        <ns0:v>-62.55</ns0:v>
      </ns0:c>
      <ns0:c r="AR282" s="87" t="n">
        <ns0:v>-75.27</ns0:v>
      </ns0:c>
      <ns0:c r="AS282" s="87" t="n">
        <ns0:v>0</ns0:v>
      </ns0:c>
      <ns0:c r="AT282" s="87" t="n">
        <ns0:v>-13.45</ns0:v>
      </ns0:c>
      <ns0:c r="AU282" s="87" t="n">
        <ns0:v>-42.85</ns0:v>
      </ns0:c>
      <ns0:c r="AV282" s="87" t="n">
        <ns0:v>-60.39</ns0:v>
      </ns0:c>
      <ns0:c r="AW282" s="87" t="n">
        <ns0:v>-59.44</ns0:v>
      </ns0:c>
      <ns0:c r="AX282" s="87" t="n">
        <ns0:v>-74.34999999999999</ns0:v>
      </ns0:c>
      <ns0:c r="AY282" s="87" t="n">
        <ns0:v>-11.41</ns0:v>
      </ns0:c>
      <ns0:c r="AZ282" s="87" t="n">
        <ns0:v>-3.11</ns0:v>
      </ns0:c>
      <ns0:c r="BA282" s="87" t="n">
        <ns0:v>-2.04</ns0:v>
      </ns0:c>
      <ns0:c r="BB282" s="74" t="inlineStr">
        <ns0:is>
          <ns0:t>HSTECH (Hang Seng TECH ETF)</ns0:t>
        </ns0:is>
      </ns0:c>
      <ns0:c r="BC282" s="87" t="n">
        <ns0:v>-86.91</ns0:v>
      </ns0:c>
      <ns0:c r="BD282" s="75" t="n">
        <ns0:v>46297</ns0:v>
      </ns0:c>
      <ns0:c r="BE282" s="76" t="n">
        <ns0:v>1467.4</ns0:v>
      </ns0:c>
      <ns0:c r="BF282" s="79" t="n">
        <ns0:v>-356.5</ns0:v>
      </ns0:c>
      <ns0:c r="BG282" s="74" t="inlineStr">
        <ns0:is>
          <ns0:t>N</ns0:t>
        </ns0:is>
      </ns0:c>
      <ns0:c r="BH282" s="74" t="inlineStr">
        <ns0:is>
          <ns0:t>n/m</ns0:t>
        </ns0:is>
      </ns0:c>
      <ns0:c r="BI282" s="88" t="n"/>
      <ns0:c r="BJ282" s="88" t="n"/>
      <ns0:c r="BK282" s="89" t="n">
        <ns0:v>3.7</ns0:v>
      </ns0:c>
      <ns0:c r="BL282" s="90">
        <ns0:f>IFERROR(IF('BBG Verify'!S282="","Awaiting Bloomberg",'BBG Verify'!S282),"Awaiting Bloomberg")</ns0:f>
        <ns0:v/>
      </ns0:c>
      <ns0:c r="BM282" s="91" t="inlineStr">
        <ns0:is>
          <ns0:t>N</ns0:t>
        </ns0:is>
      </ns0:c>
      <ns0:c r="BN282" s="92">
        <ns0:f>IFERROR(IF('BBG Verify'!K282="","Awaiting Bloomberg",'BBG Verify'!K282),"Awaiting Bloomberg")</ns0:f>
        <ns0:v/>
      </ns0:c>
      <ns0:c r="BO282" s="74" t="inlineStr">
        <ns0:is>
          <ns0:t>N/A</ns0:t>
        </ns0:is>
      </ns0:c>
      <ns0:c r="BP282" s="74" t="inlineStr">
        <ns0:is>
          <ns0:t>N/A</ns0:t>
        </ns0:is>
      </ns0:c>
      <ns0:c r="BQ282" s="74" t="inlineStr">
        <ns0:is>
          <ns0:t>N/A</ns0:t>
        </ns0:is>
      </ns0:c>
      <ns0:c r="BR282" s="74" t="inlineStr">
        <ns0:is>
          <ns0:t>N/A</ns0:t>
        </ns0:is>
      </ns0:c>
      <ns0:c r="BS282" s="74" t="inlineStr">
        <ns0:is>
          <ns0:t>N/A</ns0:t>
        </ns0:is>
      </ns0:c>
      <ns0:c r="BT282" s="74" t="inlineStr">
        <ns0:is>
          <ns0:t>N/A</ns0:t>
        </ns0:is>
      </ns0:c>
      <ns0:c r="BU282" s="91" t="inlineStr">
        <ns0:is>
          <ns0:t>Shenwan Hongyuan Capital (H.K.) Limited; BOCOM International (Asia) Limited</ns0:t>
        </ns0:is>
      </ns0:c>
      <ns0:c r="BV282" s="74" t="inlineStr">
        <ns0:is>
          <ns0:t>Shenwan Hongyuan Capital (H.K.) Limited</ns0:t>
        </ns0:is>
      </ns0:c>
      <ns0:c r="BW282" s="74" t="inlineStr">
        <ns0:is>
          <ns0: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ns0:t>
        </ns0:is>
      </ns0:c>
      <ns0:c r="BX282" s="74" t="inlineStr">
        <ns0:is>
          <ns0: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ns0:t>
        </ns0:is>
      </ns0:c>
      <ns0:c r="BY282" s="93">
        <ns0:f>HYPERLINK("https://www1.hkexnews.hk/listedco/listconews/sehk/2024/0930/2024093000011.pdf","prospectus")</ns0:f>
        <ns0:v/>
      </ns0:c>
      <ns0:c r="BZ282" s="93">
        <ns0:f>HYPERLINK("https://www1.hkexnews.hk/listedco/listconews/sehk/2024/1015/2024101500998.pdf","allotment")</ns0:f>
        <ns0:v/>
      </ns0:c>
      <ns0:c r="CA282" s="93">
        <ns0:f>HYPERLINK("https://www1.hkexnews.hk/listedco/listconews/sehk/2024/1111/2024111100811.pdf","stabilisation")</ns0:f>
        <ns0:v/>
      </ns0:c>
      <ns0:c r="CB282" s="94" t="n"/>
      <ns0:c r="CC282" s="74" t="inlineStr">
        <ns0:is>
          <ns0:t>P/E: loss-making at IPO, use P/S; greenshoe: outcome published; expiry date not in the notice</ns0:t>
        </ns0:is>
      </ns0:c>
    </ns0:row>
    <ns0:row r="283" ht="22" customHeight="1">
      <ns0:c r="A283" s="73" t="inlineStr">
        <ns0:is>
          <ns0:t>2460</ns0:t>
        </ns0:is>
      </ns0:c>
      <ns0:c r="B283" s="74" t="inlineStr">
        <ns0:is>
          <ns0:t>CR BEVERAGE</ns0:t>
        </ns0:is>
      </ns0:c>
      <ns0:c r="C283" s="74" t="inlineStr">
        <ns0:is>
          <ns0:t>華潤飲料</ns0:t>
        </ns0:is>
      </ns0:c>
      <ns0:c r="D283" s="74" t="inlineStr">
        <ns0:is>
          <ns0:t>Consumer</ns0:t>
        </ns0:is>
      </ns0:c>
      <ns0:c r="E283" s="74" t="inlineStr">
        <ns0:is>
          <ns0:t>Beverages / packaged food</ns0:t>
        </ns0:is>
      </ns0:c>
      <ns0:c r="F283" s="74" t="inlineStr">
        <ns0:is>
          <ns0:t>Beverages (Non-alcoholic)</ns0:t>
        </ns0:is>
      </ns0:c>
      <ns0:c r="G283" s="74" t="inlineStr">
        <ns0:is>
          <ns0:t>Standard</ns0:t>
        </ns0:is>
      </ns0:c>
      <ns0:c r="H283" s="75" t="n">
        <ns0:v>45588</ns0:v>
      </ns0:c>
      <ns0:c r="I283" s="76" t="n">
        <ns0:v>5043.5</ns0:v>
      </ns0:c>
      <ns0:c r="J283" s="74" t="inlineStr">
        <ns0:is>
          <ns0:t>gross (price x shares)</ns0:t>
        </ns0:is>
      </ns0:c>
      <ns0:c r="K283" s="77" t="n">
        <ns0:v>13.5</ns0:v>
      </ns0:c>
      <ns0:c r="L283" s="77" t="n">
        <ns0:v>14.5</ns0:v>
      </ns0:c>
      <ns0:c r="M283" s="77" t="n">
        <ns0:v>14.5</ns0:v>
      </ns0:c>
      <ns0:c r="N283" s="74" t="inlineStr">
        <ns0:is>
          <ns0:t>Y</ns0:t>
        </ns0:is>
      </ns0:c>
      <ns0:c r="O283" s="78" t="n">
        <ns0:v>100</ns0:v>
      </ns0:c>
      <ns0:c r="P283" s="78" t="n">
        <ns0:v>100</ns0:v>
      </ns0:c>
      <ns0:c r="Q283" s="79" t="n">
        <ns0:v>34077.7</ns0:v>
      </ns0:c>
      <ns0:c r="R283" s="74" t="inlineStr">
        <ns0:is>
          <ns0:t>derived:deal size / offer % of enlarged capital</ns0:t>
        </ns0:is>
      </ns0:c>
      <ns0:c r="S283" s="80" t="n">
        <ns0:v>234.49</ns0:v>
      </ns0:c>
      <ns0:c r="T283" s="81" t="n">
        <ns0:v>24.47</ns0:v>
      </ns0:c>
      <ns0:c r="U283" s="82" t="n">
        <ns0:v>47.72</ns0:v>
      </ns0:c>
      <ns0:c r="V283" s="83" t="n">
        <ns0:v>129</ns0:v>
      </ns0:c>
      <ns0:c r="W283" s="78" t="n">
        <ns0:v>40</ns0:v>
      </ns0:c>
      <ns0:c r="X283" s="74" t="inlineStr">
        <ns0:is>
          <ns0:t>YES</ns0:t>
        </ns0:is>
      </ns0:c>
      <ns0:c r="Y283" s="79" t="n">
        <ns0:v>2636.74</ns0:v>
      </ns0:c>
      <ns0:c r="Z283" s="79" t="n">
        <ns0:v>181843537</ns0:v>
      </ns0:c>
      <ns0:c r="AA283" s="78" t="n">
        <ns0:v>7.74</ns0:v>
      </ns0:c>
      <ns0:c r="AB283" s="74" t="inlineStr">
        <ns0:is>
          <ns0:t>UBS Asset Management (Singapore) Ltd; China Travel Service (Holdings) Hong Kong Limited; Wildlife Willow Limited; China Post Life Insurance Company Limited; Athos Capital Limited; Ghisallo Master Fund LP; Pamalican Fund Ltd</ns0:t>
        </ns0:is>
      </ns0:c>
      <ns0:c r="AC283" s="74" t="inlineStr">
        <ns0:is>
          <ns0:t>ubs;travel;wildlife;post;athos;ghisallo;pamalican</ns0:t>
        </ns0:is>
      </ns0:c>
      <ns0:c r="AD283" s="78" t="n">
        <ns0:v>15</ns0:v>
      </ns0:c>
      <ns0:c r="AE283" s="74" t="inlineStr">
        <ns0:is>
          <ns0:t>partial</ns0:t>
        </ns0:is>
      </ns0:c>
      <ns0:c r="AF283" s="74" t="inlineStr">
        <ns0:is>
          <ns0:t>2024-11-17</ns0:t>
        </ns0:is>
      </ns0:c>
      <ns0:c r="AG283" s="74" t="inlineStr">
        <ns0:is>
          <ns0:t>UBS AG Hong Kong Branch</ns0:t>
        </ns0:is>
      </ns0:c>
      <ns0:c r="AH283" s="74" t="inlineStr">
        <ns0:is>
          <ns0:t>UBS</ns0:t>
        </ns0:is>
      </ns0:c>
      <ns0:c r="AI283" s="86" t="n">
        <ns0:v>10.34</ns0:v>
      </ns0:c>
      <ns0:c r="AJ283" s="87" t="n">
        <ns0:v>15.03</ns0:v>
      </ns0:c>
      <ns0:c r="AK283" s="87" t="n">
        <ns0:v>1.7</ns0:v>
      </ns0:c>
      <ns0:c r="AL283" s="87" t="n">
        <ns0:v>13.52</ns0:v>
      </ns0:c>
      <ns0:c r="AM283" s="87" t="n">
        <ns0:v>1.33</ns0:v>
      </ns0:c>
      <ns0:c r="AN283" s="89" t="n">
        <ns0:v>1.15</ns0:v>
      </ns0:c>
      <ns0:c r="AO283" s="78" t="n">
        <ns0:v>6.44</ns0:v>
      </ns0:c>
      <ns0:c r="AP283" s="87" t="n">
        <ns0:v>6.62</ns0:v>
      </ns0:c>
      <ns0:c r="AQ283" s="87" t="n">
        <ns0:v>-15.03</ns0:v>
      </ns0:c>
      <ns0:c r="AR283" s="87" t="n">
        <ns0:v>-18.07</ns0:v>
      </ns0:c>
      <ns0:c r="AS283" s="87" t="n">
        <ns0:v>-7.31</ns0:v>
      </ns0:c>
      <ns0:c r="AT283" s="87" t="n">
        <ns0:v>-26.13</ns0:v>
      </ns0:c>
      <ns0:c r="AU283" s="87" t="n">
        <ns0:v>-28.78</ns0:v>
      </ns0:c>
      <ns0:c r="AV283" s="87" t="n">
        <ns0:v>7.43</ns0:v>
      </ns0:c>
      <ns0:c r="AW283" s="87" t="n">
        <ns0:v>-9.75</ns0:v>
      </ns0:c>
      <ns0:c r="AX283" s="87" t="n">
        <ns0:v>-12.42</ns0:v>
      </ns0:c>
      <ns0:c r="AY283" s="87" t="n">
        <ns0:v>-19.27</ns0:v>
      </ns0:c>
      <ns0:c r="AZ283" s="87" t="n">
        <ns0:v>-5.28</ns0:v>
      </ns0:c>
      <ns0:c r="BA283" s="87" t="n">
        <ns0:v>-6.86</ns0:v>
      </ns0:c>
      <ns0:c r="BB283" s="74" t="inlineStr">
        <ns0:is>
          <ns0:t>Hang Seng Commerce &amp; Industry sub-index</ns0:t>
        </ns0:is>
      </ns0:c>
      <ns0:c r="BC283" s="87" t="n">
        <ns0:v>-49.45</ns0:v>
      </ns0:c>
      <ns0:c r="BD283" s="75" t="n">
        <ns0:v>46297</ns0:v>
      </ns0:c>
      <ns0:c r="BE283" s="76" t="n">
        <ns0:v>14866.2</ns0:v>
      </ns0:c>
      <ns0:c r="BF283" s="79" t="n">
        <ns0:v>1464.5</ns0:v>
      </ns0:c>
      <ns0:c r="BG283" s="74" t="inlineStr">
        <ns0:is>
          <ns0:t>Y</ns0:t>
        </ns0:is>
      </ns0:c>
      <ns0:c r="BH283" s="89" t="n">
        <ns0:v>23.3</ns0:v>
      </ns0:c>
      <ns0:c r="BI283" s="89" t="n">
        <ns0:v>23.2</ns0:v>
      </ns0:c>
      <ns0:c r="BJ283" s="89" t="n">
        <ns0:v>16</ns0:v>
      </ns0:c>
      <ns0:c r="BK283" s="89" t="n">
        <ns0:v>2.3</ns0:v>
      </ns0:c>
      <ns0:c r="BL283" s="90">
        <ns0:f>IFERROR(IF('BBG Verify'!S283="","Awaiting Bloomberg",'BBG Verify'!S283),"Awaiting Bloomberg")</ns0:f>
        <ns0:v/>
      </ns0:c>
      <ns0:c r="BM283" s="91" t="inlineStr">
        <ns0:is>
          <ns0:t>N</ns0:t>
        </ns0:is>
      </ns0:c>
      <ns0:c r="BN283" s="92">
        <ns0:f>IFERROR(IF('BBG Verify'!K283="","Awaiting Bloomberg",'BBG Verify'!K283),"Awaiting Bloomberg")</ns0:f>
        <ns0:v/>
      </ns0:c>
      <ns0:c r="BO283" s="74" t="inlineStr">
        <ns0:is>
          <ns0:t>N/A</ns0:t>
        </ns0:is>
      </ns0:c>
      <ns0:c r="BP283" s="74" t="inlineStr">
        <ns0:is>
          <ns0:t>N/A</ns0:t>
        </ns0:is>
      </ns0:c>
      <ns0:c r="BQ283" s="74" t="inlineStr">
        <ns0:is>
          <ns0:t>N/A</ns0:t>
        </ns0:is>
      </ns0:c>
      <ns0:c r="BR283" s="74" t="inlineStr">
        <ns0:is>
          <ns0:t>N/A</ns0:t>
        </ns0:is>
      </ns0:c>
      <ns0:c r="BS283" s="74" t="inlineStr">
        <ns0:is>
          <ns0:t>N/A</ns0:t>
        </ns0:is>
      </ns0:c>
      <ns0:c r="BT283" s="74" t="inlineStr">
        <ns0:is>
          <ns0:t>N/A</ns0:t>
        </ns0:is>
      </ns0:c>
      <ns0:c r="BU283" s="91" t="inlineStr">
        <ns0:is>
          <ns0:t>UBS Securities Hong Kong Limited; BOCI Asia Limited; CITIC Securities (Hong Kong) Limited; Merrill Lynch (Asia Pacific) Limited</ns0:t>
        </ns0:is>
      </ns0:c>
      <ns0:c r="BV283" s="74" t="inlineStr">
        <ns0:is>
          <ns0:t>UBS Securities Hong Kong Limited; Merrill Lynch (Asia Pacific) Limited; CITIC Securities (Hong Kong) Limited; BOCI Asia Limited</ns0:t>
        </ns0:is>
      </ns0:c>
      <ns0:c r="BW283" s="74" t="inlineStr">
        <ns0:is>
          <ns0: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ns0:t>
        </ns0:is>
      </ns0:c>
      <ns0:c r="BX283" s="74" t="inlineStr">
        <ns0:is>
          <ns0: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ns0:t>
        </ns0:is>
      </ns0:c>
      <ns0:c r="BY283" s="93">
        <ns0:f>HYPERLINK("https://www1.hkexnews.hk/listedco/listconews/sehk/2024/1015/2024101500009.pdf","prospectus")</ns0:f>
        <ns0:v/>
      </ns0:c>
      <ns0:c r="BZ283" s="93">
        <ns0:f>HYPERLINK("https://www1.hkexnews.hk/listedco/listconews/sehk/2024/1022/2024102201053.pdf","allotment")</ns0:f>
        <ns0:v/>
      </ns0:c>
      <ns0:c r="CA283" s="93">
        <ns0:f>HYPERLINK("https://www1.hkexnews.hk/listedco/listconews/sehk/2024/1118/2024111801006.pdf","stabilisation")</ns0:f>
        <ns0:v/>
      </ns0:c>
      <ns0:c r="CB283" s="94" t="n"/>
      <ns0:c r="CC283" s="74" t="inlineStr"/>
    </ns0:row>
    <ns0:row r="284" ht="22" customHeight="1">
      <ns0:c r="A284" s="73" t="inlineStr">
        <ns0:is>
          <ns0:t>9660</ns0:t>
        </ns0:is>
      </ns0:c>
      <ns0:c r="B284" s="74" t="inlineStr">
        <ns0:is>
          <ns0:t>HORIZONROBOT-W</ns0:t>
        </ns0:is>
      </ns0:c>
      <ns0:c r="C284" s="74" t="inlineStr">
        <ns0:is>
          <ns0:t>地平線機器人－Ｗ</ns0:t>
        </ns0:is>
      </ns0:c>
      <ns0:c r="D284" s="74" t="inlineStr">
        <ns0:is>
          <ns0:t>Technology</ns0:t>
        </ns0:is>
      </ns0:c>
      <ns0:c r="E284" s="74" t="inlineStr">
        <ns0:is>
          <ns0:t>Semiconductors</ns0:t>
        </ns0:is>
      </ns0:c>
      <ns0:c r="F284" s="74" t="inlineStr">
        <ns0:is>
          <ns0:t>Application Software</ns0:t>
        </ns0:is>
      </ns0:c>
      <ns0:c r="G284" s="74" t="inlineStr">
        <ns0:is>
          <ns0:t>WVR</ns0:t>
        </ns0:is>
      </ns0:c>
      <ns0:c r="H284" s="75" t="n">
        <ns0:v>45589</ns0:v>
      </ns0:c>
      <ns0:c r="I284" s="76" t="n">
        <ns0:v>5407</ns0:v>
      </ns0:c>
      <ns0:c r="J284" s="74" t="inlineStr">
        <ns0:is>
          <ns0:t>gross (stated)</ns0:t>
        </ns0:is>
      </ns0:c>
      <ns0:c r="K284" s="95" t="n"/>
      <ns0:c r="L284" s="77" t="n">
        <ns0:v>3.99</ns0:v>
      </ns0:c>
      <ns0:c r="M284" s="77" t="n">
        <ns0:v>3.99</ns0:v>
      </ns0:c>
      <ns0:c r="N284" s="74" t="inlineStr">
        <ns0:is>
          <ns0:t>Y</ns0:t>
        </ns0:is>
      </ns0:c>
      <ns0:c r="O284" s="78" t="n">
        <ns0:v>100</ns0:v>
      </ns0:c>
      <ns0:c r="P284" s="84" t="n"/>
      <ns0:c r="Q284" s="79" t="n">
        <ns0:v>51989.2</ns0:v>
      </ns0:c>
      <ns0:c r="R284" s="74" t="inlineStr">
        <ns0:is>
          <ns0:t>derived:price x shares upon listing</ns0:t>
        </ns0:is>
      </ns0:c>
      <ns0:c r="S284" s="80" t="n">
        <ns0:v>33.83</ns0:v>
      </ns0:c>
      <ns0:c r="T284" s="81" t="n">
        <ns0:v>13.81</ns0:v>
      </ns0:c>
      <ns0:c r="U284" s="82" t="n">
        <ns0:v>31.56</ns0:v>
      </ns0:c>
      <ns0:c r="V284" s="83" t="n">
        <ns0:v>163</ns0:v>
      </ns0:c>
      <ns0:c r="W284" s="78" t="n">
        <ns0:v>15</ns0:v>
      </ns0:c>
      <ns0:c r="X284" s="74" t="inlineStr">
        <ns0:is>
          <ns0:t>YES</ns0:t>
        </ns0:is>
      </ns0:c>
      <ns0:c r="Y284" s="79" t="n">
        <ns0:v>3700.55</ns0:v>
      </ns0:c>
      <ns0:c r="Z284" s="79" t="n">
        <ns0:v>927434957</ns0:v>
      </ns0:c>
      <ns0:c r="AA284" s="78" t="n">
        <ns0:v>7.12</ns0:v>
      </ns0:c>
      <ns0:c r="AB284" s="74" t="inlineStr">
        <ns0:is>
          <ns0:t>Alisoft China Holding Limited; Baidu (Hong Kong) Limited; PARTICIPATIONS 1; JSC International Investment Fund SPC (acting for and on behalf of Ning Bo Yong Ning Gao Xin SP)</ns0:t>
        </ns0:is>
      </ns0:c>
      <ns0:c r="AC284" s="74" t="inlineStr">
        <ns0:is>
          <ns0:t>alisoft;baidu;participations;jsc</ns0:t>
        </ns0:is>
      </ns0:c>
      <ns0:c r="AD284" s="78" t="n">
        <ns0:v>15</ns0:v>
      </ns0:c>
      <ns0:c r="AE284" s="74" t="inlineStr">
        <ns0:is>
          <ns0:t>partial</ns0:t>
        </ns0:is>
      </ns0:c>
      <ns0:c r="AF284" s="85" t="n"/>
      <ns0:c r="AG284" s="74" t="inlineStr">
        <ns0:is>
          <ns0:t>Goldman Sachs</ns0:t>
        </ns0:is>
      </ns0:c>
      <ns0:c r="AH284" s="74" t="inlineStr">
        <ns0:is>
          <ns0:t>Goldman Sachs</ns0:t>
        </ns0:is>
      </ns0:c>
      <ns0:c r="AI284" s="86" t="n">
        <ns0:v>25.81</ns0:v>
      </ns0:c>
      <ns0:c r="AJ284" s="87" t="n">
        <ns0:v>2.76</ns0:v>
      </ns0:c>
      <ns0:c r="AK284" s="87" t="n">
        <ns0:v>-2.74</ns0:v>
      </ns0:c>
      <ns0:c r="AL284" s="87" t="n">
        <ns0:v>28.32</ns0:v>
      </ns0:c>
      <ns0:c r="AM284" s="87" t="n">
        <ns0:v>-19.92</ns0:v>
      </ns0:c>
      <ns0:c r="AN284" s="89" t="n">
        <ns0:v>2.43</ns0:v>
      </ns0:c>
      <ns0:c r="AO284" s="78" t="n">
        <ns0:v>27.34</ns0:v>
      </ns0:c>
      <ns0:c r="AP284" s="87" t="n">
        <ns0:v>19.55</ns0:v>
      </ns0:c>
      <ns0:c r="AQ284" s="87" t="n">
        <ns0:v>-4.76</ns0:v>
      </ns0:c>
      <ns0:c r="AR284" s="87" t="n">
        <ns0:v>10.03</ns0:v>
      </ns0:c>
      <ns0:c r="AS284" s="87" t="n">
        <ns0:v>16.34</ns0:v>
      </ns0:c>
      <ns0:c r="AT284" s="87" t="n">
        <ns0:v>-7.32</ns0:v>
      </ns0:c>
      <ns0:c r="AU284" s="87" t="n">
        <ns0:v>7.07</ns0:v>
      </ns0:c>
      <ns0:c r="AV284" s="87" t="n">
        <ns0:v>22.2</ns0:v>
      </ns0:c>
      <ns0:c r="AW284" s="87" t="n">
        <ns0:v>3.41</ns0:v>
      </ns0:c>
      <ns0:c r="AX284" s="87" t="n">
        <ns0:v>9.32</ns0:v>
      </ns0:c>
      <ns0:c r="AY284" s="87" t="n">
        <ns0:v>-1.74</ns0:v>
      </ns0:c>
      <ns0:c r="AZ284" s="87" t="n">
        <ns0:v>-8.17</ns0:v>
      </ns0:c>
      <ns0:c r="BA284" s="87" t="n">
        <ns0:v>-5.58</ns0:v>
      </ns0:c>
      <ns0:c r="BB284" s="74" t="inlineStr">
        <ns0:is>
          <ns0:t>HSTECH (Hang Seng TECH ETF)</ns0:t>
        </ns0:is>
      </ns0:c>
      <ns0:c r="BC284" s="87" t="n">
        <ns0:v>1.5</ns0:v>
      </ns0:c>
      <ns0:c r="BD284" s="75" t="n">
        <ns0:v>46297</ns0:v>
      </ns0:c>
      <ns0:c r="BE284" s="76" t="n">
        <ns0:v>1706.8</ns0:v>
      </ns0:c>
      <ns0:c r="BF284" s="79" t="n">
        <ns0:v>-7413</ns0:v>
      </ns0:c>
      <ns0:c r="BG284" s="74" t="inlineStr">
        <ns0:is>
          <ns0:t>N</ns0:t>
        </ns0:is>
      </ns0:c>
      <ns0:c r="BH284" s="74" t="inlineStr">
        <ns0:is>
          <ns0:t>n/m</ns0:t>
        </ns0:is>
      </ns0:c>
      <ns0:c r="BI284" s="88" t="n"/>
      <ns0:c r="BJ284" s="88" t="n"/>
      <ns0:c r="BK284" s="89" t="n">
        <ns0:v>30.5</ns0:v>
      </ns0:c>
      <ns0:c r="BL284" s="90">
        <ns0:f>IFERROR(IF('BBG Verify'!S284="","Awaiting Bloomberg",'BBG Verify'!S284),"Awaiting Bloomberg")</ns0:f>
        <ns0:v/>
      </ns0:c>
      <ns0:c r="BM284" s="91" t="inlineStr">
        <ns0:is>
          <ns0:t>N</ns0:t>
        </ns0:is>
      </ns0:c>
      <ns0:c r="BN284" s="92">
        <ns0:f>IFERROR(IF('BBG Verify'!K284="","Awaiting Bloomberg",'BBG Verify'!K284),"Awaiting Bloomberg")</ns0:f>
        <ns0:v/>
      </ns0:c>
      <ns0:c r="BO284" s="74" t="inlineStr">
        <ns0:is>
          <ns0:t>N/A</ns0:t>
        </ns0:is>
      </ns0:c>
      <ns0:c r="BP284" s="74" t="inlineStr">
        <ns0:is>
          <ns0:t>N/A</ns0:t>
        </ns0:is>
      </ns0:c>
      <ns0:c r="BQ284" s="74" t="inlineStr">
        <ns0:is>
          <ns0:t>N/A</ns0:t>
        </ns0:is>
      </ns0:c>
      <ns0:c r="BR284" s="74" t="inlineStr">
        <ns0:is>
          <ns0:t>N/A</ns0:t>
        </ns0:is>
      </ns0:c>
      <ns0:c r="BS284" s="74" t="inlineStr">
        <ns0:is>
          <ns0:t>N/A</ns0:t>
        </ns0:is>
      </ns0:c>
      <ns0:c r="BT284" s="74" t="inlineStr">
        <ns0:is>
          <ns0:t>N/A</ns0:t>
        </ns0:is>
      </ns0:c>
      <ns0:c r="BU284" s="91" t="inlineStr">
        <ns0:is>
          <ns0:t>Goldman Sachs (Asia) L.L.C; Morgan Stanley Asia Limited; China Securities (International) Corporate Finance Company Limited</ns0:t>
        </ns0:is>
      </ns0:c>
      <ns0:c r="BV284" s="74" t="inlineStr">
        <ns0:is>
          <ns0:t>Morgan Stanley Asia Limited; Goldman Sachs (Asia) L.L.C.; China Securities (International) Corporate Finance Company Limited</ns0:t>
        </ns0:is>
      </ns0:c>
      <ns0:c r="BW284" s="74" t="inlineStr">
        <ns0:is>
          <ns0:t>Goldman Sachs (Asia) L.L.C; Morgan Stanley Asia Limited; China Securities (International) Corporate Finance Company Limited; CLSA Limited; Deutsche Bank AG, Hong Kong Branch; The Hongkong and Shanghai Banking Corporation Limited; CMB International Capital Limited; China Galaxy International Securities (Hong Kong) Co., Limited; BOCOM International Securities Limited</ns0:t>
        </ns0:is>
      </ns0:c>
      <ns0:c r="BX284" s="74" t="inlineStr">
        <ns0:is>
          <ns0: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ns0:t>
        </ns0:is>
      </ns0:c>
      <ns0:c r="BY284" s="93">
        <ns0:f>HYPERLINK("https://www1.hkexnews.hk/listedco/listconews/sehk/2024/1016/2024101600024.htm","prospectus")</ns0:f>
        <ns0:v/>
      </ns0:c>
      <ns0:c r="BZ284" s="93">
        <ns0:f>HYPERLINK("https://www1.hkexnews.hk/listedco/listconews/sehk/2024/1023/2024102300943.pdf","allotment")</ns0:f>
        <ns0:v/>
      </ns0:c>
      <ns0:c r="CA284" s="93">
        <ns0:f>HYPERLINK("https://www1.hkexnews.hk/listedco/listconews/sehk/2024/1120/2024112001092.pdf","stabilisation")</ns0:f>
        <ns0:v/>
      </ns0:c>
      <ns0:c r="CB284" s="94" t="n"/>
      <ns0:c r="CC284" s="74" t="inlineStr">
        <ns0:is>
          <ns0:t>P/E: loss-making at IPO, use P/S; greenshoe: outcome published; expiry date not in the notice; price range: fixed-price offering (no indicative range); range low: maximum offer price only, no floor published; A/H: no A-share listing; nearest A proxy Desay SV Automotive (002920.SZ)</ns0:t>
        </ns0:is>
      </ns0:c>
    </ns0:row>
    <ns0:row r="285" ht="22" customHeight="1">
      <ns0:c r="A285" s="73" t="inlineStr">
        <ns0:is>
          <ns0:t>2465</ns0:t>
        </ns0:is>
      </ns0:c>
      <ns0:c r="B285" s="74" t="inlineStr">
        <ns0:is>
          <ns0:t>LOPAL TECH</ns0:t>
        </ns0:is>
      </ns0:c>
      <ns0:c r="C285" s="74" t="inlineStr">
        <ns0:is>
          <ns0:t>龍蟠科技</ns0:t>
        </ns0:is>
      </ns0:c>
      <ns0:c r="D285" s="74" t="inlineStr">
        <ns0:is>
          <ns0:t>Industrials</ns0:t>
        </ns0:is>
      </ns0:c>
      <ns0:c r="E285" s="74" t="inlineStr">
        <ns0:is>
          <ns0:t>Batteries / energy storage</ns0:t>
        </ns0:is>
      </ns0:c>
      <ns0:c r="F285" s="74" t="inlineStr">
        <ns0:is>
          <ns0:t>Diversified Chemicals</ns0:t>
        </ns0:is>
      </ns0:c>
      <ns0:c r="G285" s="74" t="inlineStr">
        <ns0:is>
          <ns0:t>Standard</ns0:t>
        </ns0:is>
      </ns0:c>
      <ns0:c r="H285" s="75" t="n">
        <ns0:v>45595</ns0:v>
      </ns0:c>
      <ns0:c r="I285" s="76" t="n">
        <ns0:v>550</ns0:v>
      </ns0:c>
      <ns0:c r="J285" s="74" t="inlineStr">
        <ns0:is>
          <ns0:t>gross (price x shares)</ns0:t>
        </ns0:is>
      </ns0:c>
      <ns0:c r="K285" s="77" t="n">
        <ns0:v>4.5</ns0:v>
      </ns0:c>
      <ns0:c r="L285" s="77" t="n">
        <ns0:v>7</ns0:v>
      </ns0:c>
      <ns0:c r="M285" s="77" t="n">
        <ns0:v>5.5</ns0:v>
      </ns0:c>
      <ns0:c r="N285" s="74" t="inlineStr">
        <ns0:is>
          <ns0:t>N</ns0:t>
        </ns0:is>
      </ns0:c>
      <ns0:c r="O285" s="78" t="n">
        <ns0:v>78.59999999999999</ns0:v>
      </ns0:c>
      <ns0:c r="P285" s="78" t="n">
        <ns0:v>40</ns0:v>
      </ns0:c>
      <ns0:c r="Q285" s="79" t="n">
        <ns0:v>3666.7</ns0:v>
      </ns0:c>
      <ns0:c r="R285" s="74" t="inlineStr">
        <ns0:is>
          <ns0:t>derived:deal size / offer % of enlarged capital</ns0:t>
        </ns0:is>
      </ns0:c>
      <ns0:c r="S285" s="80" t="n">
        <ns0:v>3.99</ns0:v>
      </ns0:c>
      <ns0:c r="T285" s="81" t="n">
        <ns0:v>3.23</ns0:v>
      </ns0:c>
      <ns0:c r="U285" s="82" t="n">
        <ns0:v>20</ns0:v>
      </ns0:c>
      <ns0:c r="V285" s="83" t="n">
        <ns0:v>128</ns0:v>
      </ns0:c>
      <ns0:c r="W285" s="78" t="n">
        <ns0:v>10</ns0:v>
      </ns0:c>
      <ns0:c r="X285" s="74" t="inlineStr">
        <ns0:is>
          <ns0:t>NO</ns0:t>
        </ns0:is>
      </ns0:c>
      <ns0:c r="Y285" s="79" t="n">
        <ns0:v>440</ns0:v>
      </ns0:c>
      <ns0:c r="Z285" s="79" t="n">
        <ns0:v>80000000</ns0:v>
      </ns0:c>
      <ns0:c r="AA285" s="78" t="n">
        <ns0:v>12</ns0:v>
      </ns0:c>
      <ns0:c r="AB285" s="74" t="inlineStr">
        <ns0:is>
          <ns0:t>Harvest Oriental SP</ns0:t>
        </ns0:is>
      </ns0:c>
      <ns0:c r="AC285" s="74" t="inlineStr">
        <ns0:is>
          <ns0:t>harvest</ns0:t>
        </ns0:is>
      </ns0:c>
      <ns0:c r="AD285" s="78" t="n">
        <ns0:v>15</ns0:v>
      </ns0:c>
      <ns0:c r="AE285" s="74" t="inlineStr">
        <ns0:is>
          <ns0:t>lapsed</ns0:t>
        </ns0:is>
      </ns0:c>
      <ns0:c r="AF285" s="85" t="n"/>
      <ns0:c r="AG285" s="74" t="inlineStr">
        <ns0:is>
          <ns0:t>Guotai Junan Securities</ns0:t>
        </ns0:is>
      </ns0:c>
      <ns0:c r="AH285" s="74" t="inlineStr">
        <ns0:is>
          <ns0:t>Guotai Junan</ns0:t>
        </ns0:is>
      </ns0:c>
      <ns0:c r="AI285" s="86" t="n">
        <ns0:v>-0.91</ns0:v>
      </ns0:c>
      <ns0:c r="AJ285" s="87" t="n">
        <ns0:v>-13.64</ns0:v>
      </ns0:c>
      <ns0:c r="AK285" s="87" t="n">
        <ns0:v>-1.78</ns0:v>
      </ns0:c>
      <ns0:c r="AL285" s="87" t="n">
        <ns0:v>-7.64</ns0:v>
      </ns0:c>
      <ns0:c r="AM285" s="87" t="n">
        <ns0:v>-6.5</ns0:v>
      </ns0:c>
      <ns0:c r="AN285" s="89" t="n">
        <ns0:v>4.25</ns0:v>
      </ns0:c>
      <ns0:c r="AO285" s="78" t="n">
        <ns0:v>24.8</ns0:v>
      </ns0:c>
      <ns0:c r="AP285" s="87" t="n">
        <ns0:v>-17.45</ns0:v>
      </ns0:c>
      <ns0:c r="AQ285" s="87" t="n">
        <ns0:v>8.18</ns0:v>
      </ns0:c>
      <ns0:c r="AR285" s="87" t="n">
        <ns0:v>-17.45</ns0:v>
      </ns0:c>
      <ns0:c r="AS285" s="87" t="n">
        <ns0:v>-4.41</ns0:v>
      </ns0:c>
      <ns0:c r="AT285" s="87" t="n">
        <ns0:v>25.27</ns0:v>
      </ns0:c>
      <ns0:c r="AU285" s="87" t="n">
        <ns0:v>-4.41</ns0:v>
      </ns0:c>
      <ns0:c r="AV285" s="87" t="n">
        <ns0:v>-16.12</ns0:v>
      </ns0:c>
      <ns0:c r="AW285" s="87" t="n">
        <ns0:v>15.56</ns0:v>
      </ns0:c>
      <ns0:c r="AX285" s="87" t="n">
        <ns0:v>-17.9</ns0:v>
      </ns0:c>
      <ns0:c r="AY285" s="87" t="n">
        <ns0:v>30.96</ns0:v>
      </ns0:c>
      <ns0:c r="AZ285" s="87" t="n">
        <ns0:v>-7.38</ns0:v>
      </ns0:c>
      <ns0:c r="BA285" s="87" t="n">
        <ns0:v>-5.69</ns0:v>
      </ns0:c>
      <ns0:c r="BB285" s="74" t="inlineStr">
        <ns0:is>
          <ns0:t>Hang Seng Commerce &amp; Industry sub-index</ns0:t>
        </ns0:is>
      </ns0:c>
      <ns0:c r="BC285" s="87" t="n">
        <ns0:v>64.18000000000001</ns0:v>
      </ns0:c>
      <ns0:c r="BD285" s="75" t="n">
        <ns0:v>46297</ns0:v>
      </ns0:c>
      <ns0:c r="BE285" s="76" t="n">
        <ns0:v>13466.1</ns0:v>
      </ns0:c>
      <ns0:c r="BF285" s="79" t="n">
        <ns0:v>-2013.6</ns0:v>
      </ns0:c>
      <ns0:c r="BG285" s="74" t="inlineStr">
        <ns0:is>
          <ns0:t>N</ns0:t>
        </ns0:is>
      </ns0:c>
      <ns0:c r="BH285" s="74" t="inlineStr">
        <ns0:is>
          <ns0:t>n/m</ns0:t>
        </ns0:is>
      </ns0:c>
      <ns0:c r="BI285" s="88" t="n"/>
      <ns0:c r="BJ285" s="89" t="n">
        <ns0:v>94.3</ns0:v>
      </ns0:c>
      <ns0:c r="BK285" s="89" t="n">
        <ns0:v>0.3</ns0:v>
      </ns0:c>
      <ns0:c r="BL285" s="90">
        <ns0:f>IFERROR(IF('BBG Verify'!S285="","Awaiting Bloomberg",'BBG Verify'!S285),"Awaiting Bloomberg")</ns0:f>
        <ns0:v/>
      </ns0:c>
      <ns0:c r="BM285" s="91" t="inlineStr">
        <ns0:is>
          <ns0:t>Y</ns0:t>
        </ns0:is>
      </ns0:c>
      <ns0:c r="BN285" s="74" t="inlineStr">
        <ns0:is>
          <ns0:t>603906.SS</ns0:t>
        </ns0:is>
      </ns0:c>
      <ns0:c r="BO285" s="87" t="n">
        <ns0:v>103.17</ns0:v>
      </ns0:c>
      <ns0:c r="BP285" s="77" t="n">
        <ns0:v>11.1743</ns0:v>
      </ns0:c>
      <ns0:c r="BQ285" s="101" t="n">
        <ns0:v>1.4673</ns0:v>
      </ns0:c>
      <ns0:c r="BR285" s="79" t="n">
        <ns0:v>17630.7</ns0:v>
      </ns0:c>
      <ns0:c r="BS285" s="90">
        <ns0:f>IFERROR(IF('BBG Verify'!Q285="","Awaiting Bloomberg",'BBG Verify'!Q285),"Awaiting Bloomberg")</ns0:f>
        <ns0:v/>
      </ns0:c>
      <ns0:c r="BT285" s="90">
        <ns0:f>IFERROR(IF('BBG Verify'!R285="","Awaiting Bloomberg",'BBG Verify'!R285),"Awaiting Bloomberg")</ns0:f>
        <ns0:v/>
      </ns0:c>
      <ns0:c r="BU285" s="91" t="inlineStr">
        <ns0:is>
          <ns0:t>Guotai Junan Capital Limited; Halcyon Capital Limited</ns0:t>
        </ns0:is>
      </ns0:c>
      <ns0:c r="BV285" s="74" t="inlineStr">
        <ns0:is>
          <ns0:t>Guotai Junan Capital Limited; Halcyon Capital Limited</ns0:t>
        </ns0:is>
      </ns0:c>
      <ns0:c r="BW285" s="74" t="inlineStr">
        <ns0:is>
          <ns0:t>ABCI Securities Company Limited</ns0:t>
        </ns0:is>
      </ns0:c>
      <ns0:c r="BX285" s="74" t="inlineStr">
        <ns0:is>
          <ns0:t>ABCI Securities Company Limited; BOCI Asia Limited; CCB International Capital Limited; CMB International Capital Limited; Guotai Junan Securities (Hong Kong) Limited; Halcyon Securities Limited; ICBC International Securities Limited; Livermore Holdings Limited; TradeGo Markets Limited</ns0:t>
        </ns0:is>
      </ns0:c>
      <ns0:c r="BY285" s="93">
        <ns0:f>HYPERLINK("https://www1.hkexnews.hk/listedco/listconews/sehk/2024/1022/2024102200007.pdf","prospectus")</ns0:f>
        <ns0:v/>
      </ns0:c>
      <ns0:c r="BZ285" s="93">
        <ns0:f>HYPERLINK("https://www1.hkexnews.hk/listedco/listconews/sehk/2024/1029/2024102901308.pdf","allotment")</ns0:f>
        <ns0:v/>
      </ns0:c>
      <ns0:c r="CA285" s="93">
        <ns0:f>HYPERLINK("https://www1.hkexnews.hk/listedco/listconews/sehk/2024/1125/2024112500279.pdf","stabilisation")</ns0:f>
        <ns0:v/>
      </ns0:c>
      <ns0:c r="CB285" s="94" t="n"/>
      <ns0:c r="CC285" s="74" t="inlineStr">
        <ns0:is>
          <ns0:t>P/E: loss-making at IPO, use P/S; greenshoe: outcome published; expiry date not in the notice; A/H: Oct 2024 H listing (LFP cathode/adblue)</ns0:t>
        </ns0:is>
      </ns0:c>
    </ns0:row>
    <ns0:row r="286" ht="22" customHeight="1">
      <ns0:c r="A286" s="73" t="inlineStr">
        <ns0:is>
          <ns0:t>2563</ns0:t>
        </ns0:is>
      </ns0:c>
      <ns0:c r="B286" s="74" t="inlineStr">
        <ns0:is>
          <ns0:t>BIOSTAR PHARM-B</ns0:t>
        </ns0:is>
      </ns0:c>
      <ns0:c r="C286" s="74" t="inlineStr">
        <ns0:is>
          <ns0:t>華昊中天醫藥－Ｂ</ns0:t>
        </ns0:is>
      </ns0:c>
      <ns0:c r="D286" s="74" t="inlineStr">
        <ns0:is>
          <ns0:t>Healthcare</ns0:t>
        </ns0:is>
      </ns0:c>
      <ns0:c r="E286" s="74" t="inlineStr">
        <ns0:is>
          <ns0:t>Biotech pre-revenue (18A)</ns0:t>
        </ns0:is>
      </ns0:c>
      <ns0:c r="F286" s="74" t="inlineStr">
        <ns0:is>
          <ns0:t>Biotechnology - Pharmaceuticals</ns0:t>
        </ns0:is>
      </ns0:c>
      <ns0:c r="G286" s="74" t="inlineStr">
        <ns0:is>
          <ns0:t>18A</ns0:t>
        </ns0:is>
      </ns0:c>
      <ns0:c r="H286" s="75" t="n">
        <ns0:v>45596</ns0:v>
      </ns0:c>
      <ns0:c r="I286" s="76" t="n">
        <ns0:v>233.4</ns0:v>
      </ns0:c>
      <ns0:c r="J286" s="74" t="inlineStr">
        <ns0:is>
          <ns0:t>gross (price x shares)</ns0:t>
        </ns0:is>
      </ns0:c>
      <ns0:c r="K286" s="77" t="n">
        <ns0:v>16</ns0:v>
      </ns0:c>
      <ns0:c r="L286" s="77" t="n">
        <ns0:v>22</ns0:v>
      </ns0:c>
      <ns0:c r="M286" s="77" t="n">
        <ns0:v>16</ns0:v>
      </ns0:c>
      <ns0:c r="N286" s="74" t="inlineStr">
        <ns0:is>
          <ns0:t>N</ns0:t>
        </ns0:is>
      </ns0:c>
      <ns0:c r="O286" s="78" t="n">
        <ns0:v>72.7</ns0:v>
      </ns0:c>
      <ns0:c r="P286" s="78" t="n">
        <ns0:v>0</ns0:v>
      </ns0:c>
      <ns0:c r="Q286" s="79" t="n">
        <ns0:v>5833.4</ns0:v>
      </ns0:c>
      <ns0:c r="R286" s="74" t="inlineStr">
        <ns0:is>
          <ns0:t>derived:price x shares upon listing</ns0:t>
        </ns0:is>
      </ns0:c>
      <ns0:c r="S286" s="80" t="n">
        <ns0:v>21.45</ns0:v>
      </ns0:c>
      <ns0:c r="T286" s="81" t="n">
        <ns0:v>0.994</ns0:v>
      </ns0:c>
      <ns0:c r="U286" s="82" t="n">
        <ns0:v>76.15000000000001</ns0:v>
      </ns0:c>
      <ns0:c r="V286" s="83" t="n">
        <ns0:v>109</ns0:v>
      </ns0:c>
      <ns0:c r="W286" s="78" t="n">
        <ns0:v>12</ns0:v>
      </ns0:c>
      <ns0:c r="X286" s="74" t="inlineStr">
        <ns0:is>
          <ns0:t>NO</ns0:t>
        </ns0:is>
      </ns0:c>
      <ns0:c r="Y286" s="79" t="n">
        <ns0:v>55.67</ns0:v>
      </ns0:c>
      <ns0:c r="Z286" s="79" t="n">
        <ns0:v>3479238</ns0:v>
      </ns0:c>
      <ns0:c r="AA286" s="78" t="n">
        <ns0:v>0.95</ns0:v>
      </ns0:c>
      <ns0:c r="AB286" s="74" t="inlineStr">
        <ns0:is>
          <ns0:t>Wealth Strategy Holding Limited; NOVOTECH SG HOLDINGS PTE. LTD; Baheal Wellness Industry International Trading Limited; Silkywater Absolute Return LPF</ns0:t>
        </ns0:is>
      </ns0:c>
      <ns0:c r="AC286" s="74" t="inlineStr">
        <ns0:is>
          <ns0:t>wealth;novotech;baheal;silkywater</ns0:t>
        </ns0:is>
      </ns0:c>
      <ns0:c r="AD286" s="84" t="n"/>
      <ns0:c r="AE286" s="85" t="n"/>
      <ns0:c r="AF286" s="85" t="n"/>
      <ns0:c r="AG286" s="85" t="n"/>
      <ns0:c r="AH286" s="85" t="n"/>
      <ns0:c r="AI286" s="86" t="n">
        <ns0:v>25</ns0:v>
      </ns0:c>
      <ns0:c r="AJ286" s="87" t="n">
        <ns0:v>30</ns0:v>
      </ns0:c>
      <ns0:c r="AK286" s="87" t="n">
        <ns0:v>-1.18</ns0:v>
      </ns0:c>
      <ns0:c r="AL286" s="87" t="n">
        <ns0:v>34.38</ns0:v>
      </ns0:c>
      <ns0:c r="AM286" s="87" t="n">
        <ns0:v>-3.26</ns0:v>
      </ns0:c>
      <ns0:c r="AN286" s="89" t="n">
        <ns0:v>1.82</ns0:v>
      </ns0:c>
      <ns0:c r="AO286" s="78" t="n">
        <ns0:v>30.09</ns0:v>
      </ns0:c>
      <ns0:c r="AP286" s="87" t="n">
        <ns0:v>75</ns0:v>
      </ns0:c>
      <ns0:c r="AQ286" s="87" t="n">
        <ns0:v>74.69</ns0:v>
      </ns0:c>
      <ns0:c r="AR286" s="87" t="n">
        <ns0:v>-2.88</ns0:v>
      </ns0:c>
      <ns0:c r="AS286" s="87" t="n">
        <ns0:v>34.62</ns0:v>
      </ns0:c>
      <ns0:c r="AT286" s="87" t="n">
        <ns0:v>34.38</ns0:v>
      </ns0:c>
      <ns0:c r="AU286" s="87" t="n">
        <ns0:v>-25.29</ns0:v>
      </ns0:c>
      <ns0:c r="AV286" s="87" t="n">
        <ns0:v>70.58</ns0:v>
      </ns0:c>
      <ns0:c r="AW286" s="87" t="n">
        <ns0:v>73.83</ns0:v>
      </ns0:c>
      <ns0:c r="AX286" s="87" t="n">
        <ns0:v>0.74</ns0:v>
      </ns0:c>
      <ns0:c r="AY286" s="87" t="n">
        <ns0:v>32.32</ns0:v>
      </ns0:c>
      <ns0:c r="AZ286" s="87" t="n">
        <ns0:v>0.86</ns0:v>
      </ns0:c>
      <ns0:c r="BA286" s="87" t="n">
        <ns0:v>2.06</ns0:v>
      </ns0:c>
      <ns0:c r="BB286" s="74" t="inlineStr">
        <ns0:is>
          <ns0:t>China Biotech ETF (HS biotech proxy)</ns0:t>
        </ns0:is>
      </ns0:c>
      <ns0:c r="BC286" s="87" t="n">
        <ns0:v>-69.81</ns0:v>
      </ns0:c>
      <ns0:c r="BD286" s="75" t="n">
        <ns0:v>46297</ns0:v>
      </ns0:c>
      <ns0:c r="BE286" s="76" t="n">
        <ns0:v>73.3</ns0:v>
      </ns0:c>
      <ns0:c r="BF286" s="79" t="n">
        <ns0:v>-91.8</ns0:v>
      </ns0:c>
      <ns0:c r="BG286" s="74" t="inlineStr">
        <ns0:is>
          <ns0:t>N</ns0:t>
        </ns0:is>
      </ns0:c>
      <ns0:c r="BH286" s="74" t="inlineStr">
        <ns0:is>
          <ns0:t>n/m</ns0:t>
        </ns0:is>
      </ns0:c>
      <ns0:c r="BI286" s="88" t="n"/>
      <ns0:c r="BJ286" s="88" t="n"/>
      <ns0:c r="BK286" s="89" t="n">
        <ns0:v>79.59999999999999</ns0:v>
      </ns0:c>
      <ns0:c r="BL286" s="90">
        <ns0:f>IFERROR(IF('BBG Verify'!S286="","Awaiting Bloomberg",'BBG Verify'!S286),"Awaiting Bloomberg")</ns0:f>
        <ns0:v/>
      </ns0:c>
      <ns0:c r="BM286" s="91" t="inlineStr">
        <ns0:is>
          <ns0:t>N</ns0:t>
        </ns0:is>
      </ns0:c>
      <ns0:c r="BN286" s="92">
        <ns0:f>IFERROR(IF('BBG Verify'!K286="","Awaiting Bloomberg",'BBG Verify'!K286),"Awaiting Bloomberg")</ns0:f>
        <ns0:v/>
      </ns0:c>
      <ns0:c r="BO286" s="74" t="inlineStr">
        <ns0:is>
          <ns0:t>N/A</ns0:t>
        </ns0:is>
      </ns0:c>
      <ns0:c r="BP286" s="74" t="inlineStr">
        <ns0:is>
          <ns0:t>N/A</ns0:t>
        </ns0:is>
      </ns0:c>
      <ns0:c r="BQ286" s="74" t="inlineStr">
        <ns0:is>
          <ns0:t>N/A</ns0:t>
        </ns0:is>
      </ns0:c>
      <ns0:c r="BR286" s="74" t="inlineStr">
        <ns0:is>
          <ns0:t>N/A</ns0:t>
        </ns0:is>
      </ns0:c>
      <ns0:c r="BS286" s="74" t="inlineStr">
        <ns0:is>
          <ns0:t>N/A</ns0:t>
        </ns0:is>
      </ns0:c>
      <ns0:c r="BT286" s="74" t="inlineStr">
        <ns0:is>
          <ns0:t>N/A</ns0:t>
        </ns0:is>
      </ns0:c>
      <ns0:c r="BU286" s="91" t="inlineStr">
        <ns0:is>
          <ns0:t>CCB International Capital Limited; China Securities (International) Corporate Finance Company Limited</ns0:t>
        </ns0:is>
      </ns0:c>
      <ns0:c r="BV286" s="74" t="inlineStr">
        <ns0:is>
          <ns0:t>CCB International Capital Limited; China Securities (International) Corporate Finance Company Limited</ns0:t>
        </ns0:is>
      </ns0:c>
      <ns0:c r="BW286" s="74" t="inlineStr">
        <ns0:is>
          <ns0: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ns0:t>
        </ns0:is>
      </ns0:c>
      <ns0:c r="BX286" s="74" t="inlineStr">
        <ns0:is>
          <ns0: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ns0:t>
        </ns0:is>
      </ns0:c>
      <ns0:c r="BY286" s="93">
        <ns0:f>HYPERLINK("https://www1.hkexnews.hk/listedco/listconews/sehk/2024/1023/2024102300015.pdf","prospectus")</ns0:f>
        <ns0:v/>
      </ns0:c>
      <ns0:c r="BZ286" s="93">
        <ns0:f>HYPERLINK("https://www1.hkexnews.hk/listedco/listconews/sehk/2024/1030/2024103002007.pdf","allotment")</ns0:f>
        <ns0:v/>
      </ns0:c>
      <ns0:c r="CA286" s="85" t="n"/>
      <ns0:c r="CB286" s="94" t="n"/>
      <ns0:c r="CC286" s="74" t="inlineStr">
        <ns0:is>
          <ns0:t>P/E: loss-making at IPO, use P/S; greenshoe: no over-allotment option; sponsor: English name not in the filing; AAStocks 保薦人 shown; market cap: prospectus 'market capitalisation' line is the listing-rule threshold, not the issuer's figure; rejected; greenshoe size: no over-allotment option; stabilising manager: no over-allotment option, so none appointed</ns0:t>
        </ns0:is>
      </ns0:c>
    </ns0:row>
    <ns0:row r="287" ht="22" customHeight="1">
      <ns0:c r="A287" s="73" t="inlineStr">
        <ns0:is>
          <ns0:t>2510</ns0:t>
        </ns0:is>
      </ns0:c>
      <ns0:c r="B287" s="74" t="inlineStr">
        <ns0:is>
          <ns0:t>TS LINES</ns0:t>
        </ns0:is>
      </ns0:c>
      <ns0:c r="C287" s="74" t="inlineStr">
        <ns0:is>
          <ns0:t>德翔海運</ns0:t>
        </ns0:is>
      </ns0:c>
      <ns0:c r="D287" s="74" t="inlineStr">
        <ns0:is>
          <ns0:t>Industrials</ns0:t>
        </ns0:is>
      </ns0:c>
      <ns0:c r="E287" s="74" t="inlineStr">
        <ns0:is>
          <ns0:t>Logistics</ns0:t>
        </ns0:is>
      </ns0:c>
      <ns0:c r="F287" s="74" t="inlineStr">
        <ns0:is>
          <ns0:t>Marine</ns0:t>
        </ns0:is>
      </ns0:c>
      <ns0:c r="G287" s="74" t="inlineStr">
        <ns0:is>
          <ns0:t>Standard</ns0:t>
        </ns0:is>
      </ns0:c>
      <ns0:c r="H287" s="75" t="n">
        <ns0:v>45597</ns0:v>
      </ns0:c>
      <ns0:c r="I287" s="76" t="n">
        <ns0:v>1048.9</ns0:v>
      </ns0:c>
      <ns0:c r="J287" s="74" t="inlineStr">
        <ns0:is>
          <ns0:t>gross (price x shares)</ns0:t>
        </ns0:is>
      </ns0:c>
      <ns0:c r="K287" s="77" t="n">
        <ns0:v>3.5</ns0:v>
      </ns0:c>
      <ns0:c r="L287" s="77" t="n">
        <ns0:v>4.5</ns0:v>
      </ns0:c>
      <ns0:c r="M287" s="77" t="n">
        <ns0:v>4.18</ns0:v>
      </ns0:c>
      <ns0:c r="N287" s="74" t="inlineStr">
        <ns0:is>
          <ns0:t>N</ns0:t>
        </ns0:is>
      </ns0:c>
      <ns0:c r="O287" s="78" t="n">
        <ns0:v>92.90000000000001</ns0:v>
      </ns0:c>
      <ns0:c r="P287" s="78" t="n">
        <ns0:v>68</ns0:v>
      </ns0:c>
      <ns0:c r="Q287" s="79" t="n">
        <ns0:v>6900.9</ns0:v>
      </ns0:c>
      <ns0:c r="R287" s="74" t="inlineStr">
        <ns0:is>
          <ns0:t>derived:price x shares upon listing</ns0:t>
        </ns0:is>
      </ns0:c>
      <ns0:c r="S287" s="80" t="n">
        <ns0:v>12.09</ns0:v>
      </ns0:c>
      <ns0:c r="T287" s="81" t="n">
        <ns0:v>2.22</ns0:v>
      </ns0:c>
      <ns0:c r="U287" s="82" t="n">
        <ns0:v>47.32</ns0:v>
      </ns0:c>
      <ns0:c r="V287" s="83" t="n">
        <ns0:v>120</ns0:v>
      </ns0:c>
      <ns0:c r="W287" s="78" t="n">
        <ns0:v>10</ns0:v>
      </ns0:c>
      <ns0:c r="X287" s="74" t="inlineStr">
        <ns0:is>
          <ns0:t>NO</ns0:t>
        </ns0:is>
      </ns0:c>
      <ns0:c r="Y287" s="79" t="n">
        <ns0:v>552.5599999999999</ns0:v>
      </ns0:c>
      <ns0:c r="Z287" s="79" t="n">
        <ns0:v>132195192</ns0:v>
      </ns0:c>
      <ns0:c r="AA287" s="78" t="n">
        <ns0:v>8.01</ns0:v>
      </ns0:c>
      <ns0:c r="AB287" s="74" t="inlineStr">
        <ns0:is>
          <ns0:t>Indigo Rainbow Limited; Hung Chi-Li; Worldwide Logistics Holding HK Limited; Metro Shine Group Limited; Wang Yi-Fen; Crane Movement Investment Limited</ns0:t>
        </ns0:is>
      </ns0:c>
      <ns0:c r="AC287" s="74" t="inlineStr">
        <ns0:is>
          <ns0:t>indigo;hung;logistics;metro;wang-yi;crane</ns0:t>
        </ns0:is>
      </ns0:c>
      <ns0:c r="AD287" s="78" t="n">
        <ns0:v>15</ns0:v>
      </ns0:c>
      <ns0:c r="AE287" s="74" t="inlineStr">
        <ns0:is>
          <ns0:t>partial</ns0:t>
        </ns0:is>
      </ns0:c>
      <ns0:c r="AF287" s="74" t="inlineStr">
        <ns0:is>
          <ns0:t>2024-11-28</ns0:t>
        </ns0:is>
      </ns0:c>
      <ns0:c r="AG287" s="74" t="inlineStr">
        <ns0:is>
          <ns0:t>J.P. Morgan Securities</ns0:t>
        </ns0:is>
      </ns0:c>
      <ns0:c r="AH287" s="74" t="inlineStr">
        <ns0:is>
          <ns0:t>JP Morgan</ns0:t>
        </ns0:is>
      </ns0:c>
      <ns0:c r="AI287" s="86" t="n">
        <ns0:v>0.24</ns0:v>
      </ns0:c>
      <ns0:c r="AJ287" s="87" t="n">
        <ns0:v>-1.91</ns0:v>
      </ns0:c>
      <ns0:c r="AK287" s="87" t="n">
        <ns0:v>1.01</ns0:v>
      </ns0:c>
      <ns0:c r="AL287" s="87" t="n">
        <ns0:v>0</ns0:v>
      </ns0:c>
      <ns0:c r="AM287" s="87" t="n">
        <ns0:v>-1.91</ns0:v>
      </ns0:c>
      <ns0:c r="AN287" s="89" t="n">
        <ns0:v>1.78</ns0:v>
      </ns0:c>
      <ns0:c r="AO287" s="78" t="n">
        <ns0:v>8.130000000000001</ns0:v>
      </ns0:c>
      <ns0:c r="AP287" s="87" t="n">
        <ns0:v>-0</ns0:v>
      </ns0:c>
      <ns0:c r="AQ287" s="87" t="n">
        <ns0:v>7.66</ns0:v>
      </ns0:c>
      <ns0:c r="AR287" s="87" t="n">
        <ns0:v>3.35</ns0:v>
      </ns0:c>
      <ns0:c r="AS287" s="87" t="n">
        <ns0:v>1.95</ns0:v>
      </ns0:c>
      <ns0:c r="AT287" s="87" t="n">
        <ns0:v>9.76</ns0:v>
      </ns0:c>
      <ns0:c r="AU287" s="87" t="n">
        <ns0:v>5.36</ns0:v>
      </ns0:c>
      <ns0:c r="AV287" s="87" t="n">
        <ns0:v>-1.93</ns0:v>
      </ns0:c>
      <ns0:c r="AW287" s="87" t="n">
        <ns0:v>11.61</ns0:v>
      </ns0:c>
      <ns0:c r="AX287" s="87" t="n">
        <ns0:v>-0.68</ns0:v>
      </ns0:c>
      <ns0:c r="AY287" s="87" t="n">
        <ns0:v>14.67</ns0:v>
      </ns0:c>
      <ns0:c r="AZ287" s="87" t="n">
        <ns0:v>-3.95</ns0:v>
      </ns0:c>
      <ns0:c r="BA287" s="87" t="n">
        <ns0:v>-4.91</ns0:v>
      </ns0:c>
      <ns0:c r="BB287" s="74" t="inlineStr">
        <ns0:is>
          <ns0:t>Hang Seng Commerce &amp; Industry sub-index</ns0:t>
        </ns0:is>
      </ns0:c>
      <ns0:c r="BC287" s="87" t="n">
        <ns0:v>211.24</ns0:v>
      </ns0:c>
      <ns0:c r="BD287" s="75" t="n">
        <ns0:v>46297</ns0:v>
      </ns0:c>
      <ns0:c r="BE287" s="76" t="n">
        <ns0:v>6821.9</ns0:v>
      </ns0:c>
      <ns0:c r="BF287" s="79" t="n">
        <ns0:v>-245.9</ns0:v>
      </ns0:c>
      <ns0:c r="BG287" s="74" t="inlineStr">
        <ns0:is>
          <ns0:t>N</ns0:t>
        </ns0:is>
      </ns0:c>
      <ns0:c r="BH287" s="74" t="inlineStr">
        <ns0:is>
          <ns0:t>n/m</ns0:t>
        </ns0:is>
      </ns0:c>
      <ns0:c r="BI287" s="88" t="n"/>
      <ns0:c r="BJ287" s="89" t="n">
        <ns0:v>6.7</ns0:v>
      </ns0:c>
      <ns0:c r="BK287" s="89" t="n">
        <ns0:v>1</ns0:v>
      </ns0:c>
      <ns0:c r="BL287" s="90">
        <ns0:f>IFERROR(IF('BBG Verify'!S287="","Awaiting Bloomberg",'BBG Verify'!S287),"Awaiting Bloomberg")</ns0:f>
        <ns0:v/>
      </ns0:c>
      <ns0:c r="BM287" s="91" t="inlineStr">
        <ns0:is>
          <ns0:t>N</ns0:t>
        </ns0:is>
      </ns0:c>
      <ns0:c r="BN287" s="92">
        <ns0:f>IFERROR(IF('BBG Verify'!K287="","Awaiting Bloomberg",'BBG Verify'!K287),"Awaiting Bloomberg")</ns0:f>
        <ns0:v/>
      </ns0:c>
      <ns0:c r="BO287" s="74" t="inlineStr">
        <ns0:is>
          <ns0:t>N/A</ns0:t>
        </ns0:is>
      </ns0:c>
      <ns0:c r="BP287" s="74" t="inlineStr">
        <ns0:is>
          <ns0:t>N/A</ns0:t>
        </ns0:is>
      </ns0:c>
      <ns0:c r="BQ287" s="74" t="inlineStr">
        <ns0:is>
          <ns0:t>N/A</ns0:t>
        </ns0:is>
      </ns0:c>
      <ns0:c r="BR287" s="74" t="inlineStr">
        <ns0:is>
          <ns0:t>N/A</ns0:t>
        </ns0:is>
      </ns0:c>
      <ns0:c r="BS287" s="74" t="inlineStr">
        <ns0:is>
          <ns0:t>N/A</ns0:t>
        </ns0:is>
      </ns0:c>
      <ns0:c r="BT287" s="74" t="inlineStr">
        <ns0:is>
          <ns0:t>N/A</ns0:t>
        </ns0:is>
      </ns0:c>
      <ns0:c r="BU287" s="91" t="inlineStr">
        <ns0:is>
          <ns0:t>J.P. Morgan Securities (Far East) Limited; China Merchants Securities (HK) Co., Limited</ns0:t>
        </ns0:is>
      </ns0:c>
      <ns0:c r="BV287" s="74" t="inlineStr">
        <ns0:is>
          <ns0:t>J.P. Morgan Securities (Far East) Limited; China Merchants Securities (HK) Company Limited</ns0:t>
        </ns0:is>
      </ns0:c>
      <ns0:c r="BW287" s="74" t="inlineStr">
        <ns0:is>
          <ns0:t>J.P. Morgan Securities (Asia Pacific) Limited; China Merchants Securities (HK) Co., Limited; Futu Securities International (Hong Kong) Limited; Yuanta Securities (Hong Kong) Company Limited; Livermore Holdings Limited</ns0:t>
        </ns0:is>
      </ns0:c>
      <ns0:c r="BX287" s="74" t="inlineStr">
        <ns0:is>
          <ns0:t>China Merchants Securities (HK) Company Limited; Futu Securities International (Hong Kong) Limited; J.P. Morgan Securities (Asia Pacific) Limited; Livermore Holdings Limited; Yuanta Securities (Hong Kong) Company Limited</ns0:t>
        </ns0:is>
      </ns0:c>
      <ns0:c r="BY287" s="93">
        <ns0:f>HYPERLINK("https://www1.hkexnews.hk/listedco/listconews/sehk/2024/1024/2024102400036.pdf","prospectus")</ns0:f>
        <ns0:v/>
      </ns0:c>
      <ns0:c r="BZ287" s="93">
        <ns0:f>HYPERLINK("https://www1.hkexnews.hk/listedco/listconews/sehk/2024/1031/2024103101844.pdf","allotment")</ns0:f>
        <ns0:v/>
      </ns0:c>
      <ns0:c r="CA287" s="93">
        <ns0:f>HYPERLINK("https://www1.hkexnews.hk/listedco/listconews/sehk/2024/1128/2024112802025.pdf","stabilisation")</ns0:f>
        <ns0:v/>
      </ns0:c>
      <ns0:c r="CB287" s="94" t="n"/>
      <ns0:c r="CC287" s="74" t="inlineStr">
        <ns0:is>
          <ns0:t>P/E: loss-making at IPO, use P/S</ns0:t>
        </ns0:is>
      </ns0:c>
    </ns0:row>
    <ns0:row r="288" ht="22" customHeight="1">
      <ns0:c r="A288" s="73" t="inlineStr">
        <ns0:is>
          <ns0:t>2519</ns0:t>
        </ns0:is>
      </ns0:c>
      <ns0:c r="B288" s="74" t="inlineStr">
        <ns0:is>
          <ns0:t>AUGROUP</ns0:t>
        </ns0:is>
      </ns0:c>
      <ns0:c r="C288" s="74" t="inlineStr">
        <ns0:is>
          <ns0:t>傲基股份</ns0:t>
        </ns0:is>
      </ns0:c>
      <ns0:c r="D288" s="74" t="inlineStr">
        <ns0:is>
          <ns0:t>Consumer</ns0:t>
        </ns0:is>
      </ns0:c>
      <ns0:c r="E288" s="74" t="inlineStr">
        <ns0:is>
          <ns0:t>Retail / distribution</ns0:t>
        </ns0:is>
      </ns0:c>
      <ns0:c r="F288" s="74" t="inlineStr">
        <ns0:is>
          <ns0:t>Home Furnishings</ns0:t>
        </ns0:is>
      </ns0:c>
      <ns0:c r="G288" s="74" t="inlineStr">
        <ns0:is>
          <ns0:t>Standard</ns0:t>
        </ns0:is>
      </ns0:c>
      <ns0:c r="H288" s="75" t="n">
        <ns0:v>45604</ns0:v>
      </ns0:c>
      <ns0:c r="I288" s="76" t="n">
        <ns0:v>466.4</ns0:v>
      </ns0:c>
      <ns0:c r="J288" s="74" t="inlineStr">
        <ns0:is>
          <ns0:t>gross (price x shares)</ns0:t>
        </ns0:is>
      </ns0:c>
      <ns0:c r="K288" s="77" t="n">
        <ns0:v>14.56</ns0:v>
      </ns0:c>
      <ns0:c r="L288" s="77" t="n">
        <ns0:v>15.6</ns0:v>
      </ns0:c>
      <ns0:c r="M288" s="77" t="n">
        <ns0:v>15.6</ns0:v>
      </ns0:c>
      <ns0:c r="N288" s="74" t="inlineStr">
        <ns0:is>
          <ns0:t>Y</ns0:t>
        </ns0:is>
      </ns0:c>
      <ns0:c r="O288" s="78" t="n">
        <ns0:v>100</ns0:v>
      </ns0:c>
      <ns0:c r="P288" s="78" t="n">
        <ns0:v>100</ns0:v>
      </ns0:c>
      <ns0:c r="Q288" s="79" t="n">
        <ns0:v>6477.2</ns0:v>
      </ns0:c>
      <ns0:c r="R288" s="74" t="inlineStr">
        <ns0:is>
          <ns0:t>aastocks:上市市值 at the struck price</ns0:t>
        </ns0:is>
      </ns0:c>
      <ns0:c r="S288" s="80" t="n">
        <ns0:v>17.74</ns0:v>
      </ns0:c>
      <ns0:c r="T288" s="81" t="n">
        <ns0:v>2.45</ns0:v>
      </ns0:c>
      <ns0:c r="U288" s="82" t="n">
        <ns0:v>23.46</ns0:v>
      </ns0:c>
      <ns0:c r="V288" s="83" t="n">
        <ns0:v>120</ns0:v>
      </ns0:c>
      <ns0:c r="W288" s="78" t="n">
        <ns0:v>30</ns0:v>
      </ns0:c>
      <ns0:c r="X288" s="74" t="inlineStr">
        <ns0:is>
          <ns0:t>YES</ns0:t>
        </ns0:is>
      </ns0:c>
      <ns0:c r="Y288" s="79" t="n">
        <ns0:v>356.98</ns0:v>
      </ns0:c>
      <ns0:c r="Z288" s="79" t="n">
        <ns0:v>22881403</ns0:v>
      </ns0:c>
      <ns0:c r="AA288" s="78" t="n">
        <ns0:v>5.51</ns0:v>
      </ns0:c>
      <ns0:c r="AB288" s="74" t="inlineStr">
        <ns0:is>
          <ns0:t>Hongkong Valsun Technology Limited; LC Logistics, Inc; Ms. Wong, Ka Wai Vivian</ns0:t>
        </ns0:is>
      </ns0:c>
      <ns0:c r="AC288" s="74" t="inlineStr">
        <ns0:is>
          <ns0:t>hongkong;lc;ms-wong</ns0:t>
        </ns0:is>
      </ns0:c>
      <ns0:c r="AD288" s="78" t="n">
        <ns0:v>15</ns0:v>
      </ns0:c>
      <ns0:c r="AE288" s="74" t="inlineStr">
        <ns0:is>
          <ns0:t>lapsed</ns0:t>
        </ns0:is>
      </ns0:c>
      <ns0:c r="AF288" s="74" t="inlineStr">
        <ns0:is>
          <ns0:t>2024-12-05</ns0:t>
        </ns0:is>
      </ns0:c>
      <ns0:c r="AG288" s="74" t="inlineStr">
        <ns0:is>
          <ns0:t>Huatai Financial Holdings</ns0:t>
        </ns0:is>
      </ns0:c>
      <ns0:c r="AH288" s="74" t="inlineStr">
        <ns0:is>
          <ns0:t>Huatai</ns0:t>
        </ns0:is>
      </ns0:c>
      <ns0:c r="AI288" s="86" t="n">
        <ns0:v>-11.41</ns0:v>
      </ns0:c>
      <ns0:c r="AJ288" s="87" t="n">
        <ns0:v>-11.41</ns0:v>
      </ns0:c>
      <ns0:c r="AK288" s="87" t="n">
        <ns0:v>-1.31</ns0:v>
      </ns0:c>
      <ns0:c r="AL288" s="87" t="n">
        <ns0:v>-11.03</ns0:v>
      </ns0:c>
      <ns0:c r="AM288" s="87" t="n">
        <ns0:v>-0.43</ns0:v>
      </ns0:c>
      <ns0:c r="AN288" s="89" t="n">
        <ns0:v>1.41</ns0:v>
      </ns0:c>
      <ns0:c r="AO288" s="78" t="n">
        <ns0:v>17.72</ns0:v>
      </ns0:c>
      <ns0:c r="AP288" s="87" t="n">
        <ns0:v>-22.82</ns0:v>
      </ns0:c>
      <ns0:c r="AQ288" s="87" t="n">
        <ns0:v>-19.23</ns0:v>
      </ns0:c>
      <ns0:c r="AR288" s="87" t="n">
        <ns0:v>-23.97</ns0:v>
      </ns0:c>
      <ns0:c r="AS288" s="87" t="n">
        <ns0:v>-12.88</ns0:v>
      </ns0:c>
      <ns0:c r="AT288" s="87" t="n">
        <ns0:v>-8.83</ns0:v>
      </ns0:c>
      <ns0:c r="AU288" s="87" t="n">
        <ns0:v>-14.18</ns0:v>
      </ns0:c>
      <ns0:c r="AV288" s="87" t="n">
        <ns0:v>-15.16</ns0:v>
      </ns0:c>
      <ns0:c r="AW288" s="87" t="n">
        <ns0:v>-16.55</ns0:v>
      </ns0:c>
      <ns0:c r="AX288" s="87" t="n">
        <ns0:v>-29.84</ns0:v>
      </ns0:c>
      <ns0:c r="AY288" s="87" t="n">
        <ns0:v>-7.44</ns0:v>
      </ns0:c>
      <ns0:c r="AZ288" s="87" t="n">
        <ns0:v>-2.68</ns0:v>
      </ns0:c>
      <ns0:c r="BA288" s="87" t="n">
        <ns0:v>-1.39</ns0:v>
      </ns0:c>
      <ns0:c r="BB288" s="74" t="inlineStr">
        <ns0:is>
          <ns0:t>Hang Seng Commerce &amp; Industry sub-index</ns0:t>
        </ns0:is>
      </ns0:c>
      <ns0:c r="BC288" s="87" t="n">
        <ns0:v>-74.73999999999999</ns0:v>
      </ns0:c>
      <ns0:c r="BD288" s="75" t="n">
        <ns0:v>46297</ns0:v>
      </ns0:c>
      <ns0:c r="BE288" s="76" t="n">
        <ns0:v>9551.299999999999</ns0:v>
      </ns0:c>
      <ns0:c r="BF288" s="79" t="n">
        <ns0:v>572.1</ns0:v>
      </ns0:c>
      <ns0:c r="BG288" s="74" t="inlineStr">
        <ns0:is>
          <ns0:t>Y</ns0:t>
        </ns0:is>
      </ns0:c>
      <ns0:c r="BH288" s="89" t="n">
        <ns0:v>11.3</ns0:v>
      </ns0:c>
      <ns0:c r="BI288" s="89" t="n">
        <ns0:v>9.300000000000001</ns0:v>
      </ns0:c>
      <ns0:c r="BJ288" s="89" t="n">
        <ns0:v>8.300000000000001</ns0:v>
      </ns0:c>
      <ns0:c r="BK288" s="89" t="n">
        <ns0:v>0.7</ns0:v>
      </ns0:c>
      <ns0:c r="BL288" s="90">
        <ns0:f>IFERROR(IF('BBG Verify'!S288="","Awaiting Bloomberg",'BBG Verify'!S288),"Awaiting Bloomberg")</ns0:f>
        <ns0:v/>
      </ns0:c>
      <ns0:c r="BM288" s="91" t="inlineStr">
        <ns0:is>
          <ns0:t>N</ns0:t>
        </ns0:is>
      </ns0:c>
      <ns0:c r="BN288" s="92">
        <ns0:f>IFERROR(IF('BBG Verify'!K288="","Awaiting Bloomberg",'BBG Verify'!K288),"Awaiting Bloomberg")</ns0:f>
        <ns0:v/>
      </ns0:c>
      <ns0:c r="BO288" s="74" t="inlineStr">
        <ns0:is>
          <ns0:t>N/A</ns0:t>
        </ns0:is>
      </ns0:c>
      <ns0:c r="BP288" s="74" t="inlineStr">
        <ns0:is>
          <ns0:t>N/A</ns0:t>
        </ns0:is>
      </ns0:c>
      <ns0:c r="BQ288" s="74" t="inlineStr">
        <ns0:is>
          <ns0:t>N/A</ns0:t>
        </ns0:is>
      </ns0:c>
      <ns0:c r="BR288" s="74" t="inlineStr">
        <ns0:is>
          <ns0:t>N/A</ns0:t>
        </ns0:is>
      </ns0:c>
      <ns0:c r="BS288" s="74" t="inlineStr">
        <ns0:is>
          <ns0:t>N/A</ns0:t>
        </ns0:is>
      </ns0:c>
      <ns0:c r="BT288" s="74" t="inlineStr">
        <ns0:is>
          <ns0:t>N/A</ns0:t>
        </ns0:is>
      </ns0:c>
      <ns0:c r="BU288" s="91" t="inlineStr">
        <ns0:is>
          <ns0:t>Huatai Financial Holdings (Hong Kong) Limited</ns0:t>
        </ns0:is>
      </ns0:c>
      <ns0:c r="BV288" s="74" t="inlineStr">
        <ns0:is>
          <ns0:t>Huatai Financial Holdings (Hong Kong) Limited</ns0:t>
        </ns0:is>
      </ns0:c>
      <ns0:c r="BW288" s="74" t="inlineStr">
        <ns0:is>
          <ns0:t>Huatai Financial Holdings (Hong Kong) Limited; CLSA Limited; DBS Asia Capital Limited; Livermore Holdings Limited</ns0:t>
        </ns0:is>
      </ns0:c>
      <ns0:c r="BX288" s="74" t="inlineStr">
        <ns0:is>
          <ns0:t>CLSA Limited; DBS Asia Capital Limited; Huatai Financial Holdings (Hong Kong) Limited; Livermore Holdings Limited</ns0:t>
        </ns0:is>
      </ns0:c>
      <ns0:c r="BY288" s="93">
        <ns0:f>HYPERLINK("https://www1.hkexnews.hk/listedco/listconews/sehk/2024/1031/2024103100187.pdf","prospectus")</ns0:f>
        <ns0:v/>
      </ns0:c>
      <ns0:c r="BZ288" s="93">
        <ns0:f>HYPERLINK("https://www1.hkexnews.hk/listedco/listconews/sehk/2024/1107/2024110701104.pdf","allotment")</ns0:f>
        <ns0:v/>
      </ns0:c>
      <ns0:c r="CA288" s="93">
        <ns0:f>HYPERLINK("https://www1.hkexnews.hk/listedco/listconews/sehk/2024/1205/2024120500586.pdf","stabilisation")</ns0:f>
        <ns0:v/>
      </ns0:c>
      <ns0:c r="CB288" s="94" t="n"/>
      <ns0:c r="CC288" s="74" t="inlineStr"/>
    </ns0:row>
    <ns0:row r="289" ht="22" customHeight="1">
      <ns0:c r="A289" s="73" t="inlineStr">
        <ns0:is>
          <ns0:t>2551</ns0:t>
        </ns0:is>
      </ns0:c>
      <ns0:c r="B289" s="74" t="inlineStr">
        <ns0:is>
          <ns0:t>APT ELECTRONICS</ns0:t>
        </ns0:is>
      </ns0:c>
      <ns0:c r="C289" s="74" t="inlineStr">
        <ns0:is>
          <ns0:t>晶科電子股份</ns0:t>
        </ns0:is>
      </ns0:c>
      <ns0:c r="D289" s="74" t="inlineStr">
        <ns0:is>
          <ns0:t>Technology</ns0:t>
        </ns0:is>
      </ns0:c>
      <ns0:c r="E289" s="74" t="inlineStr">
        <ns0:is>
          <ns0:t>Semiconductors</ns0:t>
        </ns0:is>
      </ns0:c>
      <ns0:c r="F289" s="74" t="inlineStr">
        <ns0:is>
          <ns0:t>Liquid Crystal Displays</ns0:t>
        </ns0:is>
      </ns0:c>
      <ns0:c r="G289" s="74" t="inlineStr">
        <ns0:is>
          <ns0:t>Standard</ns0:t>
        </ns0:is>
      </ns0:c>
      <ns0:c r="H289" s="75" t="n">
        <ns0:v>45604</ns0:v>
      </ns0:c>
      <ns0:c r="I289" s="76" t="n">
        <ns0:v>139.5</ns0:v>
      </ns0:c>
      <ns0:c r="J289" s="74" t="inlineStr">
        <ns0:is>
          <ns0:t>gross (price x shares)</ns0:t>
        </ns0:is>
      </ns0:c>
      <ns0:c r="K289" s="95" t="n"/>
      <ns0:c r="L289" s="77" t="n">
        <ns0:v>3.61</ns0:v>
      </ns0:c>
      <ns0:c r="M289" s="77" t="n">
        <ns0:v>3.61</ns0:v>
      </ns0:c>
      <ns0:c r="N289" s="74" t="inlineStr">
        <ns0:is>
          <ns0:t>Y</ns0:t>
        </ns0:is>
      </ns0:c>
      <ns0:c r="O289" s="78" t="n">
        <ns0:v>100</ns0:v>
      </ns0:c>
      <ns0:c r="P289" s="84" t="n"/>
      <ns0:c r="Q289" s="79" t="n">
        <ns0:v>1939.1</ns0:v>
      </ns0:c>
      <ns0:c r="R289" s="74" t="inlineStr">
        <ns0:is>
          <ns0:t>derived:price x shares upon listing</ns0:t>
        </ns0:is>
      </ns0:c>
      <ns0:c r="S289" s="80" t="n">
        <ns0:v>5677.83</ns0:v>
      </ns0:c>
      <ns0:c r="T289" s="81" t="n">
        <ns0:v>6.95</ns0:v>
      </ns0:c>
      <ns0:c r="U289" s="82" t="n">
        <ns0:v>0</ns0:v>
      </ns0:c>
      <ns0:c r="V289" s="83" t="n">
        <ns0:v>133</ns0:v>
      </ns0:c>
      <ns0:c r="W289" s="78" t="n">
        <ns0:v>50</ns0:v>
      </ns0:c>
      <ns0:c r="X289" s="74" t="inlineStr">
        <ns0:is>
          <ns0:t>YES</ns0:t>
        </ns0:is>
      </ns0:c>
      <ns0:c r="Y289" s="79" t="n">
        <ns0:v>139.5</ns0:v>
      </ns0:c>
      <ns0:c r="Z289" s="79" t="n">
        <ns0:v>38640000</ns0:v>
      </ns0:c>
      <ns0:c r="AA289" s="78" t="n">
        <ns0:v>7.19</ns0:v>
      </ns0:c>
      <ns0:c r="AB289" s="74" t="inlineStr">
        <ns0:is>
          <ns0:t>none — no cornerstone tranche</ns0:t>
        </ns0:is>
      </ns0:c>
      <ns0:c r="AC289" s="74" t="inlineStr">
        <ns0:is>
          <ns0:t>none</ns0:t>
        </ns0:is>
      </ns0:c>
      <ns0:c r="AD289" s="84" t="n"/>
      <ns0:c r="AE289" s="85" t="n"/>
      <ns0:c r="AF289" s="85" t="n"/>
      <ns0:c r="AG289" s="85" t="n"/>
      <ns0:c r="AH289" s="85" t="n"/>
      <ns0:c r="AI289" s="86" t="n">
        <ns0:v>13.02</ns0:v>
      </ns0:c>
      <ns0:c r="AJ289" s="87" t="n">
        <ns0:v>47.65</ns0:v>
      </ns0:c>
      <ns0:c r="AK289" s="87" t="n">
        <ns0:v>-0.22</ns0:v>
      </ns0:c>
      <ns0:c r="AL289" s="87" t="n">
        <ns0:v>16.34</ns0:v>
      </ns0:c>
      <ns0:c r="AM289" s="87" t="n">
        <ns0:v>26.91</ns0:v>
      </ns0:c>
      <ns0:c r="AN289" s="89" t="n">
        <ns0:v>3.91</ns0:v>
      </ns0:c>
      <ns0:c r="AO289" s="78" t="n">
        <ns0:v>32.38</ns0:v>
      </ns0:c>
      <ns0:c r="AP289" s="87" t="n">
        <ns0:v>25.21</ns0:v>
      </ns0:c>
      <ns0:c r="AQ289" s="87" t="n">
        <ns0:v>-1.94</ns0:v>
      </ns0:c>
      <ns0:c r="AR289" s="87" t="n">
        <ns0:v>16.9</ns0:v>
      </ns0:c>
      <ns0:c r="AS289" s="87" t="n">
        <ns0:v>-15.2</ns0:v>
      </ns0:c>
      <ns0:c r="AT289" s="87" t="n">
        <ns0:v>-33.59</ns0:v>
      </ns0:c>
      <ns0:c r="AU289" s="87" t="n">
        <ns0:v>-20.83</ns0:v>
      </ns0:c>
      <ns0:c r="AV289" s="87" t="n">
        <ns0:v>32.91</ns0:v>
      </ns0:c>
      <ns0:c r="AW289" s="87" t="n">
        <ns0:v>-1.5</ns0:v>
      </ns0:c>
      <ns0:c r="AX289" s="87" t="n">
        <ns0:v>5.72</ns0:v>
      </ns0:c>
      <ns0:c r="AY289" s="87" t="n">
        <ns0:v>-33.37</ns0:v>
      </ns0:c>
      <ns0:c r="AZ289" s="87" t="n">
        <ns0:v>-0.44</ns0:v>
      </ns0:c>
      <ns0:c r="BA289" s="87" t="n">
        <ns0:v>-0.22</ns0:v>
      </ns0:c>
      <ns0:c r="BB289" s="74" t="inlineStr">
        <ns0:is>
          <ns0:t>HSTECH (Hang Seng TECH ETF)</ns0:t>
        </ns0:is>
      </ns0:c>
      <ns0:c r="BC289" s="87" t="n">
        <ns0:v>-57.62</ns0:v>
      </ns0:c>
      <ns0:c r="BD289" s="75" t="n">
        <ns0:v>46297</ns0:v>
      </ns0:c>
      <ns0:c r="BE289" s="76" t="n">
        <ns0:v>2043.8</ns0:v>
      </ns0:c>
      <ns0:c r="BF289" s="79" t="n">
        <ns0:v>79.2</ns0:v>
      </ns0:c>
      <ns0:c r="BG289" s="74" t="inlineStr">
        <ns0:is>
          <ns0:t>Y</ns0:t>
        </ns0:is>
      </ns0:c>
      <ns0:c r="BH289" s="89" t="n">
        <ns0:v>24.5</ns0:v>
      </ns0:c>
      <ns0:c r="BI289" s="89" t="n">
        <ns0:v>30.8</ns0:v>
      </ns0:c>
      <ns0:c r="BJ289" s="89" t="n">
        <ns0:v>11.1</ns0:v>
      </ns0:c>
      <ns0:c r="BK289" s="89" t="n">
        <ns0:v>0.9</ns0:v>
      </ns0:c>
      <ns0:c r="BL289" s="90">
        <ns0:f>IFERROR(IF('BBG Verify'!S289="","Awaiting Bloomberg",'BBG Verify'!S289),"Awaiting Bloomberg")</ns0:f>
        <ns0:v/>
      </ns0:c>
      <ns0:c r="BM289" s="91" t="inlineStr">
        <ns0:is>
          <ns0:t>N</ns0:t>
        </ns0:is>
      </ns0:c>
      <ns0:c r="BN289" s="92">
        <ns0:f>IFERROR(IF('BBG Verify'!K289="","Awaiting Bloomberg",'BBG Verify'!K289),"Awaiting Bloomberg")</ns0:f>
        <ns0:v/>
      </ns0:c>
      <ns0:c r="BO289" s="74" t="inlineStr">
        <ns0:is>
          <ns0:t>N/A</ns0:t>
        </ns0:is>
      </ns0:c>
      <ns0:c r="BP289" s="74" t="inlineStr">
        <ns0:is>
          <ns0:t>N/A</ns0:t>
        </ns0:is>
      </ns0:c>
      <ns0:c r="BQ289" s="74" t="inlineStr">
        <ns0:is>
          <ns0:t>N/A</ns0:t>
        </ns0:is>
      </ns0:c>
      <ns0:c r="BR289" s="74" t="inlineStr">
        <ns0:is>
          <ns0:t>N/A</ns0:t>
        </ns0:is>
      </ns0:c>
      <ns0:c r="BS289" s="74" t="inlineStr">
        <ns0:is>
          <ns0:t>N/A</ns0:t>
        </ns0:is>
      </ns0:c>
      <ns0:c r="BT289" s="74" t="inlineStr">
        <ns0:is>
          <ns0:t>N/A</ns0:t>
        </ns0:is>
      </ns0:c>
      <ns0:c r="BU289" s="91" t="inlineStr">
        <ns0:is>
          <ns0:t>CITIC Securities (Hong Kong) Limited</ns0:t>
        </ns0:is>
      </ns0:c>
      <ns0:c r="BV289" s="74" t="inlineStr">
        <ns0:is>
          <ns0:t>CITIC Securities (Hong Kong) Limited</ns0:t>
        </ns0:is>
      </ns0:c>
      <ns0:c r="BW289" s="74" t="inlineStr">
        <ns0:is>
          <ns0:t>CLSA Limited; GF Securities (Hong Kong) Brokerage Limited; Sinolink Securities (Hong Kong) Company Limited; BOCI Asia Limited; ABCI Capital Limited; ICBC International Securities Limited; China Galaxy International Securities (Hong Kong) Co., Limited; China Sunrise Securities (International) Limited; Patrons Securities Limited; Tiger Brokers (HK) Global Limited</ns0:t>
        </ns0:is>
      </ns0:c>
      <ns0:c r="BX289" s="74" t="inlineStr">
        <ns0:is>
          <ns0: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ns0:t>
        </ns0:is>
      </ns0:c>
      <ns0:c r="BY289" s="93">
        <ns0:f>HYPERLINK("https://www1.hkexnews.hk/listedco/listconews/sehk/2024/1031/2024103100078.htm","prospectus")</ns0:f>
        <ns0:v/>
      </ns0:c>
      <ns0:c r="BZ289" s="93">
        <ns0:f>HYPERLINK("https://www1.hkexnews.hk/listedco/listconews/sehk/2024/1107/2024110701242.pdf","allotment")</ns0:f>
        <ns0:v/>
      </ns0:c>
      <ns0:c r="CA289" s="85" t="n"/>
      <ns0:c r="CB289" s="94" t="n"/>
      <ns0:c r="CC289" s="74" t="inlineStr">
        <ns0:is>
          <ns0:t>greenshoe: no over-allotment option; price range: fixed-price offering (no indicative range); range low: maximum offer price only, no floor published; cornerstone list: no cornerstone tranche; greenshoe size: no over-allotment option; stabilising manager: filing states none appointed (allotment announcement: 'no stabilizing manager will be appointed' stated in the filing)</ns0:t>
        </ns0:is>
      </ns0:c>
    </ns0:row>
    <ns0:row r="290" ht="22" customHeight="1">
      <ns0:c r="A290" s="73" t="inlineStr">
        <ns0:is>
          <ns0:t>2582</ns0:t>
        </ns0:is>
      </ns0:c>
      <ns0:c r="B290" s="74" t="inlineStr">
        <ns0:is>
          <ns0:t>GUOFUHEE</ns0:t>
        </ns0:is>
      </ns0:c>
      <ns0:c r="C290" s="74" t="inlineStr">
        <ns0:is>
          <ns0:t>國富氫能</ns0:t>
        </ns0:is>
      </ns0:c>
      <ns0:c r="D290" s="74" t="inlineStr">
        <ns0:is>
          <ns0:t>Industrials</ns0:t>
        </ns0:is>
      </ns0:c>
      <ns0:c r="E290" s="74" t="inlineStr">
        <ns0:is>
          <ns0:t>Batteries / energy storage</ns0:t>
        </ns0:is>
      </ns0:c>
      <ns0:c r="F290" s="74" t="inlineStr">
        <ns0:is>
          <ns0:t>Electrical Components &amp; Equipment</ns0:t>
        </ns0:is>
      </ns0:c>
      <ns0:c r="G290" s="74" t="inlineStr">
        <ns0:is>
          <ns0:t>Standard</ns0:t>
        </ns0:is>
      </ns0:c>
      <ns0:c r="H290" s="75" t="n">
        <ns0:v>45611</ns0:v>
      </ns0:c>
      <ns0:c r="I290" s="76" t="n">
        <ns0:v>390</ns0:v>
      </ns0:c>
      <ns0:c r="J290" s="74" t="inlineStr">
        <ns0:is>
          <ns0:t>gross (price x shares)</ns0:t>
        </ns0:is>
      </ns0:c>
      <ns0:c r="K290" s="77" t="n">
        <ns0:v>65</ns0:v>
      </ns0:c>
      <ns0:c r="L290" s="77" t="n">
        <ns0:v>73</ns0:v>
      </ns0:c>
      <ns0:c r="M290" s="77" t="n">
        <ns0:v>65</ns0:v>
      </ns0:c>
      <ns0:c r="N290" s="74" t="inlineStr">
        <ns0:is>
          <ns0:t>N</ns0:t>
        </ns0:is>
      </ns0:c>
      <ns0:c r="O290" s="78" t="n">
        <ns0:v>89</ns0:v>
      </ns0:c>
      <ns0:c r="P290" s="78" t="n">
        <ns0:v>0</ns0:v>
      </ns0:c>
      <ns0:c r="Q290" s="79" t="n">
        <ns0:v>6806.2</ns0:v>
      </ns0:c>
      <ns0:c r="R290" s="74" t="inlineStr">
        <ns0:is>
          <ns0:t>derived:price x shares upon listing</ns0:t>
        </ns0:is>
      </ns0:c>
      <ns0:c r="S290" s="80" t="n">
        <ns0:v>21.07</ns0:v>
      </ns0:c>
      <ns0:c r="T290" s="81" t="n">
        <ns0:v>0.99</ns0:v>
      </ns0:c>
      <ns0:c r="U290" s="82" t="n">
        <ns0:v>80.72</ns0:v>
      </ns0:c>
      <ns0:c r="V290" s="83" t="n">
        <ns0:v>164</ns0:v>
      </ns0:c>
      <ns0:c r="W290" s="78" t="n">
        <ns0:v>12.09</ns0:v>
      </ns0:c>
      <ns0:c r="X290" s="74" t="inlineStr">
        <ns0:is>
          <ns0:t>NO</ns0:t>
        </ns0:is>
      </ns0:c>
      <ns0:c r="Y290" s="79" t="n">
        <ns0:v>75.19</ns0:v>
      </ns0:c>
      <ns0:c r="Z290" s="79" t="n">
        <ns0:v>1156800</ns0:v>
      </ns0:c>
      <ns0:c r="AA290" s="78" t="n">
        <ns0:v>1.1</ns0:v>
      </ns0:c>
      <ns0:c r="AB290" s="74" t="inlineStr">
        <ns0:is>
          <ns0:t>Hongkong Frontier Tanzhonghe; Zhixin Qingzhuang</ns0:t>
        </ns0:is>
      </ns0:c>
      <ns0:c r="AC290" s="74" t="inlineStr">
        <ns0:is>
          <ns0:t>hongkong;zhixin</ns0:t>
        </ns0:is>
      </ns0:c>
      <ns0:c r="AD290" s="84" t="n"/>
      <ns0:c r="AE290" s="85" t="n"/>
      <ns0:c r="AF290" s="85" t="n"/>
      <ns0:c r="AG290" s="85" t="n"/>
      <ns0:c r="AH290" s="85" t="n"/>
      <ns0:c r="AI290" s="86" t="n">
        <ns0:v>24.15</ns0:v>
      </ns0:c>
      <ns0:c r="AJ290" s="87" t="n">
        <ns0:v>20</ns0:v>
      </ns0:c>
      <ns0:c r="AK290" s="87" t="n">
        <ns0:v>0.12</ns0:v>
      </ns0:c>
      <ns0:c r="AL290" s="87" t="n">
        <ns0:v>26.62</ns0:v>
      </ns0:c>
      <ns0:c r="AM290" s="87" t="n">
        <ns0:v>-5.23</ns0:v>
      </ns0:c>
      <ns0:c r="AN290" s="89" t="n">
        <ns0:v>1.05</ns0:v>
      </ns0:c>
      <ns0:c r="AO290" s="78" t="n">
        <ns0:v>5.95</ns0:v>
      </ns0:c>
      <ns0:c r="AP290" s="87" t="n">
        <ns0:v>48.54</ns0:v>
      </ns0:c>
      <ns0:c r="AQ290" s="87" t="n">
        <ns0:v>69.84999999999999</ns0:v>
      </ns0:c>
      <ns0:c r="AR290" s="87" t="n">
        <ns0:v>132.15</ns0:v>
      </ns0:c>
      <ns0:c r="AS290" s="87" t="n">
        <ns0:v>23.78</ns0:v>
      </ns0:c>
      <ns0:c r="AT290" s="87" t="n">
        <ns0:v>41.54</ns0:v>
      </ns0:c>
      <ns0:c r="AU290" s="87" t="n">
        <ns0:v>93.45999999999999</ns0:v>
      </ns0:c>
      <ns0:c r="AV290" s="87" t="n">
        <ns0:v>49.64</ns0:v>
      </ns0:c>
      <ns0:c r="AW290" s="87" t="n">
        <ns0:v>68.18000000000001</ns0:v>
      </ns0:c>
      <ns0:c r="AX290" s="87" t="n">
        <ns0:v>111.97</ns0:v>
      </ns0:c>
      <ns0:c r="AY290" s="87" t="n">
        <ns0:v>39.99</ns0:v>
      </ns0:c>
      <ns0:c r="AZ290" s="87" t="n">
        <ns0:v>1.67</ns0:v>
      </ns0:c>
      <ns0:c r="BA290" s="87" t="n">
        <ns0:v>1.55</ns0:v>
      </ns0:c>
      <ns0:c r="BB290" s="74" t="inlineStr">
        <ns0:is>
          <ns0:t>Hang Seng Commerce &amp; Industry sub-index</ns0:t>
        </ns0:is>
      </ns0:c>
      <ns0:c r="BC290" s="87" t="n">
        <ns0:v>-93.8</ns0:v>
      </ns0:c>
      <ns0:c r="BD290" s="75" t="n">
        <ns0:v>46297</ns0:v>
      </ns0:c>
      <ns0:c r="BE290" s="76" t="n">
        <ns0:v>574.7</ns0:v>
      </ns0:c>
      <ns0:c r="BF290" s="79" t="n">
        <ns0:v>-82.5</ns0:v>
      </ns0:c>
      <ns0:c r="BG290" s="74" t="inlineStr">
        <ns0:is>
          <ns0:t>N</ns0:t>
        </ns0:is>
      </ns0:c>
      <ns0:c r="BH290" s="74" t="inlineStr">
        <ns0:is>
          <ns0:t>n/m</ns0:t>
        </ns0:is>
      </ns0:c>
      <ns0:c r="BI290" s="88" t="n"/>
      <ns0:c r="BJ290" s="88" t="n"/>
      <ns0:c r="BK290" s="89" t="n">
        <ns0:v>11.8</ns0:v>
      </ns0:c>
      <ns0:c r="BL290" s="90">
        <ns0:f>IFERROR(IF('BBG Verify'!S290="","Awaiting Bloomberg",'BBG Verify'!S290),"Awaiting Bloomberg")</ns0:f>
        <ns0:v/>
      </ns0:c>
      <ns0:c r="BM290" s="91" t="inlineStr">
        <ns0:is>
          <ns0:t>N</ns0:t>
        </ns0:is>
      </ns0:c>
      <ns0:c r="BN290" s="92">
        <ns0:f>IFERROR(IF('BBG Verify'!K290="","Awaiting Bloomberg",'BBG Verify'!K290),"Awaiting Bloomberg")</ns0:f>
        <ns0:v/>
      </ns0:c>
      <ns0:c r="BO290" s="74" t="inlineStr">
        <ns0:is>
          <ns0:t>N/A</ns0:t>
        </ns0:is>
      </ns0:c>
      <ns0:c r="BP290" s="74" t="inlineStr">
        <ns0:is>
          <ns0:t>N/A</ns0:t>
        </ns0:is>
      </ns0:c>
      <ns0:c r="BQ290" s="74" t="inlineStr">
        <ns0:is>
          <ns0:t>N/A</ns0:t>
        </ns0:is>
      </ns0:c>
      <ns0:c r="BR290" s="74" t="inlineStr">
        <ns0:is>
          <ns0:t>N/A</ns0:t>
        </ns0:is>
      </ns0:c>
      <ns0:c r="BS290" s="74" t="inlineStr">
        <ns0:is>
          <ns0:t>N/A</ns0:t>
        </ns0:is>
      </ns0:c>
      <ns0:c r="BT290" s="74" t="inlineStr">
        <ns0:is>
          <ns0:t>N/A</ns0:t>
        </ns0:is>
      </ns0:c>
      <ns0:c r="BU290" s="91" t="inlineStr">
        <ns0:is>
          <ns0:t>Haitong International Capital Limited; CITIC Securities (Hong Kong) Limited</ns0:t>
        </ns0:is>
      </ns0:c>
      <ns0:c r="BV290" s="74" t="inlineStr">
        <ns0:is>
          <ns0:t>Haitong International Capital Limited; CITIC Securities (Hong Kong) Limited</ns0:t>
        </ns0:is>
      </ns0:c>
      <ns0:c r="BW290" s="74" t="inlineStr">
        <ns0:is>
          <ns0:t>and CMIs CCB International Capital Limited; China Securities (International) Corporate Finance Company Limited; and CMIs Livermore Holdings Limited; Zhongtai International Securities Limited; Fortune Origin Securities Limited; ICBC International Securities Limited; Quam Securities Limited; Soochow Securities International Brokerage Limited</ns0:t>
        </ns0:is>
      </ns0:c>
      <ns0:c r="BX290" s="74" t="inlineStr">
        <ns0:is>
          <ns0: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ns0:t>
        </ns0:is>
      </ns0:c>
      <ns0:c r="BY290" s="93">
        <ns0:f>HYPERLINK("https://www1.hkexnews.hk/listedco/listconews/sehk/2024/1107/2024110700009.pdf","prospectus")</ns0:f>
        <ns0:v/>
      </ns0:c>
      <ns0:c r="BZ290" s="93">
        <ns0:f>HYPERLINK("https://www1.hkexnews.hk/listedco/listconews/sehk/2024/1114/2024111400951.pdf","allotment")</ns0:f>
        <ns0:v/>
      </ns0:c>
      <ns0:c r="CA290" s="85" t="n"/>
      <ns0:c r="CB290" s="94" t="n"/>
      <ns0:c r="CC290" s="74" t="inlineStr">
        <ns0:is>
          <ns0:t>P/E: loss-making at IPO, use P/S; greenshoe: no over-allotment option; greenshoe size: no over-allotment option; stabilising manager: filing states none appointed (allotment announcement: 'no stabilizing manager will be appointed' stated in the filing)</ns0:t>
        </ns0:is>
      </ns0:c>
    </ns0:row>
    <ns0:row r="291" ht="22" customHeight="1">
      <ns0:c r="A291" s="73" t="inlineStr">
        <ns0:is>
          <ns0:t>6936</ns0:t>
        </ns0:is>
      </ns0:c>
      <ns0:c r="B291" s="74" t="inlineStr">
        <ns0:is>
          <ns0:t>SF HOLDING</ns0:t>
        </ns0:is>
      </ns0:c>
      <ns0:c r="C291" s="74" t="inlineStr">
        <ns0:is>
          <ns0:t>順豐控股</ns0:t>
        </ns0:is>
      </ns0:c>
      <ns0:c r="D291" s="74" t="inlineStr">
        <ns0:is>
          <ns0:t>Industrials</ns0:t>
        </ns0:is>
      </ns0:c>
      <ns0:c r="E291" s="74" t="inlineStr">
        <ns0:is>
          <ns0:t>Logistics</ns0:t>
        </ns0:is>
      </ns0:c>
      <ns0:c r="F291" s="74" t="inlineStr">
        <ns0:is>
          <ns0:t>Air Freight &amp; Logistics</ns0:t>
        </ns0:is>
      </ns0:c>
      <ns0:c r="G291" s="74" t="inlineStr">
        <ns0:is>
          <ns0:t>Standard</ns0:t>
        </ns0:is>
      </ns0:c>
      <ns0:c r="H291" s="75" t="n">
        <ns0:v>45623</ns0:v>
      </ns0:c>
      <ns0:c r="I291" s="76" t="n">
        <ns0:v>5831</ns0:v>
      </ns0:c>
      <ns0:c r="J291" s="74" t="inlineStr">
        <ns0:is>
          <ns0:t>gross (stated)</ns0:t>
        </ns0:is>
      </ns0:c>
      <ns0:c r="K291" s="95" t="n"/>
      <ns0:c r="L291" s="77" t="n">
        <ns0:v>36.3</ns0:v>
      </ns0:c>
      <ns0:c r="M291" s="77" t="n">
        <ns0:v>34.3</ns0:v>
      </ns0:c>
      <ns0:c r="N291" s="74" t="inlineStr">
        <ns0:is>
          <ns0:t>N</ns0:t>
        </ns0:is>
      </ns0:c>
      <ns0:c r="O291" s="78" t="n">
        <ns0:v>94.5</ns0:v>
      </ns0:c>
      <ns0:c r="P291" s="84" t="n"/>
      <ns0:c r="Q291" s="79" t="n">
        <ns0:v>149512.8</ns0:v>
      </ns0:c>
      <ns0:c r="R291" s="74" t="inlineStr">
        <ns0:is>
          <ns0:t>derived:deal size / offer % of enlarged capital</ns0:t>
        </ns0:is>
      </ns0:c>
      <ns0:c r="S291" s="80" t="n">
        <ns0:v>79.06999999999999</ns0:v>
      </ns0:c>
      <ns0:c r="T291" s="81" t="n">
        <ns0:v>10.1</ns0:v>
      </ns0:c>
      <ns0:c r="U291" s="82" t="n">
        <ns0:v>27.3</ns0:v>
      </ns0:c>
      <ns0:c r="V291" s="83" t="n">
        <ns0:v>153</ns0:v>
      </ns0:c>
      <ns0:c r="W291" s="78" t="n">
        <ns0:v>18.5</ns0:v>
      </ns0:c>
      <ns0:c r="X291" s="74" t="inlineStr">
        <ns0:is>
          <ns0:t>YES</ns0:t>
        </ns0:is>
      </ns0:c>
      <ns0:c r="Y291" s="79" t="n">
        <ns0:v>4239.14</ns0:v>
      </ns0:c>
      <ns0:c r="Z291" s="79" t="n">
        <ns0:v>123590000</ns0:v>
      </ns0:c>
      <ns0:c r="AA291" s="78" t="n">
        <ns0:v>2.84</ns0:v>
      </ns0:c>
      <ns0:c r="AB291" s="74" t="inlineStr">
        <ns0:is>
          <ns0:t>Oaktree Capital Management, L.P; Wise Honest Limited; WT Asset Management Limited; China Pacific Insurance (Group) Co., Ltd; Green Better Limited; Infini Global Master Fund; Wind Sabre Fund SPC on behalf of Wind Sabre Opportunities Fund SP; Morgan Stanley &amp; Co. International plc; Ghisallo Fund Master Ltd; Wisdomshire Asset Management Co., Ltd</ns0:t>
        </ns0:is>
      </ns0:c>
      <ns0:c r="AC291" s="74" t="inlineStr">
        <ns0:is>
          <ns0:t>oaktree;wise;wt;insurance;green;infini;wind;morgan;ghisallo;wisdomshire</ns0:t>
        </ns0:is>
      </ns0:c>
      <ns0:c r="AD291" s="78" t="n">
        <ns0:v>15</ns0:v>
      </ns0:c>
      <ns0:c r="AE291" s="74" t="inlineStr">
        <ns0:is>
          <ns0:t>lapsed</ns0:t>
        </ns0:is>
      </ns0:c>
      <ns0:c r="AF291" s="74" t="inlineStr">
        <ns0:is>
          <ns0:t>2024-12-22</ns0:t>
        </ns0:is>
      </ns0:c>
      <ns0:c r="AG291" s="74" t="inlineStr">
        <ns0:is>
          <ns0:t>J.P. Morgan Securities</ns0:t>
        </ns0:is>
      </ns0:c>
      <ns0:c r="AH291" s="74" t="inlineStr">
        <ns0:is>
          <ns0:t>JP Morgan</ns0:t>
        </ns0:is>
      </ns0:c>
      <ns0:c r="AI291" s="86" t="n">
        <ns0:v>-0.87</ns0:v>
      </ns0:c>
      <ns0:c r="AJ291" s="87" t="n">
        <ns0:v>0</ns0:v>
      </ns0:c>
      <ns0:c r="AK291" s="87" t="n">
        <ns0:v>2.94</ns0:v>
      </ns0:c>
      <ns0:c r="AL291" s="87" t="n">
        <ns0:v>0</ns0:v>
      </ns0:c>
      <ns0:c r="AM291" s="87" t="n">
        <ns0:v>0</ns0:v>
      </ns0:c>
      <ns0:c r="AN291" s="89" t="n">
        <ns0:v>1.64</ns0:v>
      </ns0:c>
      <ns0:c r="AO291" s="78" t="n">
        <ns0:v>3.5</ns0:v>
      </ns0:c>
      <ns0:c r="AP291" s="87" t="n">
        <ns0:v>-4.96</ns0:v>
      </ns0:c>
      <ns0:c r="AQ291" s="87" t="n">
        <ns0:v>-1.31</ns0:v>
      </ns0:c>
      <ns0:c r="AR291" s="87" t="n">
        <ns0:v>10.93</ns0:v>
      </ns0:c>
      <ns0:c r="AS291" s="87" t="n">
        <ns0:v>-4.96</ns0:v>
      </ns0:c>
      <ns0:c r="AT291" s="87" t="n">
        <ns0:v>-1.31</ns0:v>
      </ns0:c>
      <ns0:c r="AU291" s="87" t="n">
        <ns0:v>10.93</ns0:v>
      </ns0:c>
      <ns0:c r="AV291" s="87" t="n">
        <ns0:v>-8.140000000000001</ns0:v>
      </ns0:c>
      <ns0:c r="AW291" s="87" t="n">
        <ns0:v>-5.57</ns0:v>
      </ns0:c>
      <ns0:c r="AX291" s="87" t="n">
        <ns0:v>-12.2</ns0:v>
      </ns0:c>
      <ns0:c r="AY291" s="87" t="n">
        <ns0:v>-2.59</ns0:v>
      </ns0:c>
      <ns0:c r="AZ291" s="87" t="n">
        <ns0:v>4.26</ns0:v>
      </ns0:c>
      <ns0:c r="BA291" s="87" t="n">
        <ns0:v>1.28</ns0:v>
      </ns0:c>
      <ns0:c r="BB291" s="74" t="inlineStr">
        <ns0:is>
          <ns0:t>Hang Seng Commerce &amp; Industry sub-index</ns0:t>
        </ns0:is>
      </ns0:c>
      <ns0:c r="BC291" s="87" t="n">
        <ns0:v>-16.73</ns0:v>
      </ns0:c>
      <ns0:c r="BD291" s="75" t="n">
        <ns0:v>46297</ns0:v>
      </ns0:c>
      <ns0:c r="BE291" s="76" t="n">
        <ns0:v>284250.3</ns0:v>
      </ns0:c>
      <ns0:c r="BF291" s="79" t="n">
        <ns0:v>8702.799999999999</ns0:v>
      </ns0:c>
      <ns0:c r="BG291" s="74" t="inlineStr">
        <ns0:is>
          <ns0:t>Y</ns0:t>
        </ns0:is>
      </ns0:c>
      <ns0:c r="BH291" s="89" t="n">
        <ns0:v>17.2</ns0:v>
      </ns0:c>
      <ns0:c r="BI291" s="89" t="n">
        <ns0:v>16.1</ns0:v>
      </ns0:c>
      <ns0:c r="BJ291" s="89" t="n">
        <ns0:v>12.1</ns0:v>
      </ns0:c>
      <ns0:c r="BK291" s="89" t="n">
        <ns0:v>0.5</ns0:v>
      </ns0:c>
      <ns0:c r="BL291" s="90">
        <ns0:f>IFERROR(IF('BBG Verify'!S291="","Awaiting Bloomberg",'BBG Verify'!S291),"Awaiting Bloomberg")</ns0:f>
        <ns0:v/>
      </ns0:c>
      <ns0:c r="BM291" s="91" t="inlineStr">
        <ns0:is>
          <ns0:t>Y</ns0:t>
        </ns0:is>
      </ns0:c>
      <ns0:c r="BN291" s="74" t="inlineStr">
        <ns0:is>
          <ns0:t>002352.SZ</ns0:t>
        </ns0:is>
      </ns0:c>
      <ns0:c r="BO291" s="87" t="n">
        <ns0:v>31.72</ns0:v>
      </ns0:c>
      <ns0:c r="BP291" s="77" t="n">
        <ns0:v>45.1814</ns0:v>
      </ns0:c>
      <ns0:c r="BQ291" s="101" t="n">
        <ns0:v>0.2568</ns0:v>
      </ns0:c>
      <ns0:c r="BR291" s="79" t="n">
        <ns0:v>183296.5</ns0:v>
      </ns0:c>
      <ns0:c r="BS291" s="90">
        <ns0:f>IFERROR(IF('BBG Verify'!Q291="","Awaiting Bloomberg",'BBG Verify'!Q291),"Awaiting Bloomberg")</ns0:f>
        <ns0:v/>
      </ns0:c>
      <ns0:c r="BT291" s="90">
        <ns0:f>IFERROR(IF('BBG Verify'!R291="","Awaiting Bloomberg",'BBG Verify'!R291),"Awaiting Bloomberg")</ns0:f>
        <ns0:v/>
      </ns0:c>
      <ns0:c r="BU291" s="91" t="inlineStr">
        <ns0:is>
          <ns0:t>Goldman Sachs (Asia) L.L.C; Huatai Financial Holdings (Hong Kong) Limited; J.P. Morgan Securities (Far East) Limited</ns0:t>
        </ns0:is>
      </ns0:c>
      <ns0:c r="BV291" s="74" t="inlineStr">
        <ns0:is>
          <ns0:t>J.P. Morgan Securities (Far East) Limited; Goldman Sachs (Asia) L.L.C.; Huatai Financial Holdings (Hong Kong) Limited</ns0:t>
        </ns0:is>
      </ns0:c>
      <ns0:c r="BW291" s="74" t="inlineStr">
        <ns0:is>
          <ns0: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ns0:t>
        </ns0:is>
      </ns0:c>
      <ns0:c r="BX291" s="74" t="inlineStr">
        <ns0:is>
          <ns0: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ns0:t>
        </ns0:is>
      </ns0:c>
      <ns0:c r="BY291" s="93">
        <ns0:f>HYPERLINK("https://www1.hkexnews.hk/listedco/listconews/sehk/2024/1119/2024111900011.pdf","prospectus")</ns0:f>
        <ns0:v/>
      </ns0:c>
      <ns0:c r="BZ291" s="93">
        <ns0:f>HYPERLINK("https://www1.hkexnews.hk/listedco/listconews/sehk/2024/1126/2024112601132.pdf","allotment")</ns0:f>
        <ns0:v/>
      </ns0:c>
      <ns0:c r="CA291" s="93">
        <ns0:f>HYPERLINK("https://www1.hkexnews.hk/listedco/listconews/sehk/2024/1223/2024122300065.pdf","stabilisation")</ns0:f>
        <ns0:v/>
      </ns0:c>
      <ns0:c r="CB291" s="94" t="n"/>
      <ns0:c r="CC291" s="74" t="inlineStr">
        <ns0:is>
          <ns0:t>range low: maximum offer price only, no floor published; A/H: Nov 2024, ~US$750m; first A+H express logistics name</ns0:t>
        </ns0:is>
      </ns0:c>
    </ns0:row>
    <ns0:row r="292" ht="22" customHeight="1">
      <ns0:c r="A292" s="73" t="inlineStr">
        <ns0:is>
          <ns0:t>2566</ns0:t>
        </ns0:is>
      </ns0:c>
      <ns0:c r="B292" s="74" t="inlineStr">
        <ns0:is>
          <ns0:t>JIUYUAN GENE</ns0:t>
        </ns0:is>
      </ns0:c>
      <ns0:c r="C292" s="74" t="inlineStr">
        <ns0:is>
          <ns0:t>九源基因</ns0:t>
        </ns0:is>
      </ns0:c>
      <ns0:c r="D292" s="74" t="inlineStr">
        <ns0:is>
          <ns0:t>Healthcare</ns0:t>
        </ns0:is>
      </ns0:c>
      <ns0:c r="E292" s="74" t="inlineStr">
        <ns0:is>
          <ns0:t>Biopharma commercial</ns0:t>
        </ns0:is>
      </ns0:c>
      <ns0:c r="F292" s="74" t="inlineStr">
        <ns0:is>
          <ns0:t>Pharmaceuticals</ns0:t>
        </ns0:is>
      </ns0:c>
      <ns0:c r="G292" s="74" t="inlineStr">
        <ns0:is>
          <ns0:t>Standard</ns0:t>
        </ns0:is>
      </ns0:c>
      <ns0:c r="H292" s="75" t="n">
        <ns0:v>45624</ns0:v>
      </ns0:c>
      <ns0:c r="I292" s="76" t="n">
        <ns0:v>563.9</ns0:v>
      </ns0:c>
      <ns0:c r="J292" s="74" t="inlineStr">
        <ns0:is>
          <ns0:t>gross (price x shares)</ns0:t>
        </ns0:is>
      </ns0:c>
      <ns0:c r="K292" s="77" t="n">
        <ns0:v>11.48</ns0:v>
      </ns0:c>
      <ns0:c r="L292" s="77" t="n">
        <ns0:v>12.56</ns0:v>
      </ns0:c>
      <ns0:c r="M292" s="77" t="n">
        <ns0:v>12.42</ns0:v>
      </ns0:c>
      <ns0:c r="N292" s="74" t="inlineStr">
        <ns0:is>
          <ns0:t>N</ns0:t>
        </ns0:is>
      </ns0:c>
      <ns0:c r="O292" s="78" t="n">
        <ns0:v>98.90000000000001</ns0:v>
      </ns0:c>
      <ns0:c r="P292" s="78" t="n">
        <ns0:v>87</ns0:v>
      </ns0:c>
      <ns0:c r="Q292" s="79" t="n">
        <ns0:v>3047.9</ns0:v>
      </ns0:c>
      <ns0:c r="R292" s="74" t="inlineStr">
        <ns0:is>
          <ns0:t>derived:price x shares upon listing</ns0:t>
        </ns0:is>
      </ns0:c>
      <ns0:c r="S292" s="80" t="n">
        <ns0:v>675.83</ns0:v>
      </ns0:c>
      <ns0:c r="T292" s="81" t="n">
        <ns0:v>1.18</ns0:v>
      </ns0:c>
      <ns0:c r="U292" s="82" t="n">
        <ns0:v>49.66</ns0:v>
      </ns0:c>
      <ns0:c r="V292" s="83" t="n">
        <ns0:v>108</ns0:v>
      </ns0:c>
      <ns0:c r="W292" s="78" t="n">
        <ns0:v>50</ns0:v>
      </ns0:c>
      <ns0:c r="X292" s="74" t="inlineStr">
        <ns0:is>
          <ns0:t>YES</ns0:t>
        </ns0:is>
      </ns0:c>
      <ns0:c r="Y292" s="79" t="n">
        <ns0:v>283.87</ns0:v>
      </ns0:c>
      <ns0:c r="Z292" s="79" t="n">
        <ns0:v>22853756</ns0:v>
      </ns0:c>
      <ns0:c r="AA292" s="78" t="n">
        <ns0:v>9.31</ns0:v>
      </ns0:c>
      <ns0:c r="AB292" s="74" t="inlineStr">
        <ns0:is>
          <ns0:t>Alibaba Health (Hong Kong) Technology Company Limited; Fosun Industrial Co., Limited; Jointown International Group Company Limited; Heda HK; Mr. Wu; Delta Capital Hong Kong Limited; Hong Kong King-Friend Industrial Company Limited</ns0:t>
        </ns0:is>
      </ns0:c>
      <ns0:c r="AC292" s="74" t="inlineStr">
        <ns0:is>
          <ns0:t>alibaba;fosun;jointown;heda;mr-wu;delta;king</ns0:t>
        </ns0:is>
      </ns0:c>
      <ns0:c r="AD292" s="78" t="n">
        <ns0:v>17.16</ns0:v>
      </ns0:c>
      <ns0:c r="AE292" s="85" t="n"/>
      <ns0:c r="AF292" s="85" t="n"/>
      <ns0:c r="AG292" s="74" t="inlineStr">
        <ns0:is>
          <ns0:t>Huatai Financial Holdings</ns0:t>
        </ns0:is>
      </ns0:c>
      <ns0:c r="AH292" s="74" t="inlineStr">
        <ns0:is>
          <ns0:t>Huatai</ns0:t>
        </ns0:is>
      </ns0:c>
      <ns0:c r="AI292" s="86" t="n">
        <ns0:v>-28.5</ns0:v>
      </ns0:c>
      <ns0:c r="AJ292" s="87" t="n">
        <ns0:v>-38.41</ns0:v>
      </ns0:c>
      <ns0:c r="AK292" s="87" t="n">
        <ns0:v>-1.09</ns0:v>
      </ns0:c>
      <ns0:c r="AL292" s="87" t="n">
        <ns0:v>-39.61</ns0:v>
      </ns0:c>
      <ns0:c r="AM292" s="87" t="n">
        <ns0:v>1.99</ns0:v>
      </ns0:c>
      <ns0:c r="AN292" s="89" t="n">
        <ns0:v>1.28</ns0:v>
      </ns0:c>
      <ns0:c r="AO292" s="78" t="n">
        <ns0:v>21.33</ns0:v>
      </ns0:c>
      <ns0:c r="AP292" s="87" t="n">
        <ns0:v>-35.35</ns0:v>
      </ns0:c>
      <ns0:c r="AQ292" s="87" t="n">
        <ns0:v>-46.86</ns0:v>
      </ns0:c>
      <ns0:c r="AR292" s="87" t="n">
        <ns0:v>-47.42</ns0:v>
      </ns0:c>
      <ns0:c r="AS292" s="87" t="n">
        <ns0:v>4.97</ns0:v>
      </ns0:c>
      <ns0:c r="AT292" s="87" t="n">
        <ns0:v>-13.72</ns0:v>
      </ns0:c>
      <ns0:c r="AU292" s="87" t="n">
        <ns0:v>-14.63</ns0:v>
      </ns0:c>
      <ns0:c r="AV292" s="87" t="n">
        <ns0:v>-34.84</ns0:v>
      </ns0:c>
      <ns0:c r="AW292" s="87" t="n">
        <ns0:v>-43.8</ns0:v>
      </ns0:c>
      <ns0:c r="AX292" s="87" t="n">
        <ns0:v>-54.93</ns0:v>
      </ns0:c>
      <ns0:c r="AY292" s="87" t="n">
        <ns0:v>-11.73</ns0:v>
      </ns0:c>
      <ns0:c r="AZ292" s="87" t="n">
        <ns0:v>-3.06</ns0:v>
      </ns0:c>
      <ns0:c r="BA292" s="87" t="n">
        <ns0:v>-1.99</ns0:v>
      </ns0:c>
      <ns0:c r="BB292" s="74" t="inlineStr">
        <ns0:is>
          <ns0:t>China Biotech ETF (HS biotech proxy)</ns0:t>
        </ns0:is>
      </ns0:c>
      <ns0:c r="BC292" s="87" t="n">
        <ns0:v>-53.46</ns0:v>
      </ns0:c>
      <ns0:c r="BD292" s="75" t="n">
        <ns0:v>46297</ns0:v>
      </ns0:c>
      <ns0:c r="BE292" s="76" t="n">
        <ns0:v>1416.1</ns0:v>
      </ns0:c>
      <ns0:c r="BF292" s="79" t="n">
        <ns0:v>131.8</ns0:v>
      </ns0:c>
      <ns0:c r="BG292" s="74" t="inlineStr">
        <ns0:is>
          <ns0:t>Y</ns0:t>
        </ns0:is>
      </ns0:c>
      <ns0:c r="BH292" s="89" t="n">
        <ns0:v>23.1</ns0:v>
      </ns0:c>
      <ns0:c r="BI292" s="88" t="n"/>
      <ns0:c r="BJ292" s="89" t="n">
        <ns0:v>8.1</ns0:v>
      </ns0:c>
      <ns0:c r="BK292" s="89" t="n">
        <ns0:v>2.2</ns0:v>
      </ns0:c>
      <ns0:c r="BL292" s="90">
        <ns0:f>IFERROR(IF('BBG Verify'!S292="","Awaiting Bloomberg",'BBG Verify'!S292),"Awaiting Bloomberg")</ns0:f>
        <ns0:v/>
      </ns0:c>
      <ns0:c r="BM292" s="91" t="inlineStr">
        <ns0:is>
          <ns0:t>N</ns0:t>
        </ns0:is>
      </ns0:c>
      <ns0:c r="BN292" s="92">
        <ns0:f>IFERROR(IF('BBG Verify'!K292="","Awaiting Bloomberg",'BBG Verify'!K292),"Awaiting Bloomberg")</ns0:f>
        <ns0:v/>
      </ns0:c>
      <ns0:c r="BO292" s="74" t="inlineStr">
        <ns0:is>
          <ns0:t>N/A</ns0:t>
        </ns0:is>
      </ns0:c>
      <ns0:c r="BP292" s="74" t="inlineStr">
        <ns0:is>
          <ns0:t>N/A</ns0:t>
        </ns0:is>
      </ns0:c>
      <ns0:c r="BQ292" s="74" t="inlineStr">
        <ns0:is>
          <ns0:t>N/A</ns0:t>
        </ns0:is>
      </ns0:c>
      <ns0:c r="BR292" s="74" t="inlineStr">
        <ns0:is>
          <ns0:t>N/A</ns0:t>
        </ns0:is>
      </ns0:c>
      <ns0:c r="BS292" s="74" t="inlineStr">
        <ns0:is>
          <ns0:t>N/A</ns0:t>
        </ns0:is>
      </ns0:c>
      <ns0:c r="BT292" s="74" t="inlineStr">
        <ns0:is>
          <ns0:t>N/A</ns0:t>
        </ns0:is>
      </ns0:c>
      <ns0:c r="BU292" s="91" t="inlineStr">
        <ns0:is>
          <ns0:t>Huatai Financial Holdings (Hong Kong) Limited</ns0:t>
        </ns0:is>
      </ns0:c>
      <ns0:c r="BV292" s="74" t="inlineStr">
        <ns0:is>
          <ns0:t>Huatai Financial Holdings (Hong Kong) Limited</ns0:t>
        </ns0:is>
      </ns0:c>
      <ns0:c r="BW292" s="74" t="inlineStr">
        <ns0:is>
          <ns0:t>Huatai Financial Holdings (Hong Kong) Limited; CLSA Limited</ns0:t>
        </ns0:is>
      </ns0:c>
      <ns0:c r="BX292" s="74" t="inlineStr">
        <ns0:is>
          <ns0:t>CLSA Limited; CMB International Capital Limited; Huatai Financial Holdings (Hong Kong) Limited; Patrons Securities Limited; Ruibang Securities Limited</ns0:t>
        </ns0:is>
      </ns0:c>
      <ns0:c r="BY292" s="93">
        <ns0:f>HYPERLINK("https://www1.hkexnews.hk/listedco/listconews/sehk/2024/1120/2024112000019.pdf","prospectus")</ns0:f>
        <ns0:v/>
      </ns0:c>
      <ns0:c r="BZ292" s="93">
        <ns0:f>HYPERLINK("https://www1.hkexnews.hk/listedco/listconews/sehk/2024/1127/2024112701177.pdf","allotment")</ns0:f>
        <ns0:v/>
      </ns0:c>
      <ns0:c r="CA292" s="85" t="n"/>
      <ns0:c r="CB292" s="94" t="n"/>
      <ns0:c r="CC292" s="74" t="inlineStr">
        <ns0:is>
          <ns0:t>greenshoe: end-of-stabilisation notice not found</ns0:t>
        </ns0:is>
      </ns0:c>
    </ns0:row>
    <ns0:row r="293" ht="22" customHeight="1">
      <ns0:c r="A293" s="73" t="inlineStr">
        <ns0:is>
          <ns0:t>2585</ns0:t>
        </ns0:is>
      </ns0:c>
      <ns0:c r="B293" s="74" t="inlineStr">
        <ns0:is>
          <ns0:t>MOKINGRAN</ns0:t>
        </ns0:is>
      </ns0:c>
      <ns0:c r="C293" s="74" t="inlineStr">
        <ns0:is>
          <ns0:t>夢金園</ns0:t>
        </ns0:is>
      </ns0:c>
      <ns0:c r="D293" s="74" t="inlineStr">
        <ns0:is>
          <ns0:t>Consumer</ns0:t>
        </ns0:is>
      </ns0:c>
      <ns0:c r="E293" s="74" t="inlineStr">
        <ns0:is>
          <ns0:t>Apparel / luxury</ns0:t>
        </ns0:is>
      </ns0:c>
      <ns0:c r="F293" s="74" t="inlineStr">
        <ns0:is>
          <ns0:t>Watch &amp; Jewellery</ns0:t>
        </ns0:is>
      </ns0:c>
      <ns0:c r="G293" s="74" t="inlineStr">
        <ns0:is>
          <ns0:t>Standard</ns0:t>
        </ns0:is>
      </ns0:c>
      <ns0:c r="H293" s="75" t="n">
        <ns0:v>45625</ns0:v>
      </ns0:c>
      <ns0:c r="I293" s="76" t="n">
        <ns0:v>527.48</ns0:v>
      </ns0:c>
      <ns0:c r="J293" s="74" t="inlineStr">
        <ns0:is>
          <ns0:t>gross (stated)</ns0:t>
        </ns0:is>
      </ns0:c>
      <ns0:c r="K293" s="77" t="n">
        <ns0:v>12</ns0:v>
      </ns0:c>
      <ns0:c r="L293" s="77" t="n">
        <ns0:v>14.4</ns0:v>
      </ns0:c>
      <ns0:c r="M293" s="77" t="n">
        <ns0:v>12</ns0:v>
      </ns0:c>
      <ns0:c r="N293" s="74" t="inlineStr">
        <ns0:is>
          <ns0:t>N</ns0:t>
        </ns0:is>
      </ns0:c>
      <ns0:c r="O293" s="78" t="n">
        <ns0:v>83.3</ns0:v>
      </ns0:c>
      <ns0:c r="P293" s="78" t="n">
        <ns0:v>0</ns0:v>
      </ns0:c>
      <ns0:c r="Q293" s="79" t="n">
        <ns0:v>3276.3</ns0:v>
      </ns0:c>
      <ns0:c r="R293" s="74" t="inlineStr">
        <ns0:is>
          <ns0:t>derived:price x shares upon listing</ns0:t>
        </ns0:is>
      </ns0:c>
      <ns0:c r="S293" s="80" t="n">
        <ns0:v>20.58</ns0:v>
      </ns0:c>
      <ns0:c r="T293" s="81" t="n">
        <ns0:v>0.98</ns0:v>
      </ns0:c>
      <ns0:c r="U293" s="82" t="n">
        <ns0:v>39.77</ns0:v>
      </ns0:c>
      <ns0:c r="V293" s="83" t="n">
        <ns0:v>112</ns0:v>
      </ns0:c>
      <ns0:c r="W293" s="78" t="n">
        <ns0:v>20</ns0:v>
      </ns0:c>
      <ns0:c r="X293" s="85" t="n"/>
      <ns0:c r="Y293" s="79" t="n">
        <ns0:v>317.7</ns0:v>
      </ns0:c>
      <ns0:c r="Z293" s="79" t="n">
        <ns0:v>26475181</ns0:v>
      </ns0:c>
      <ns0:c r="AA293" s="78" t="n">
        <ns0:v>9.699999999999999</ns0:v>
      </ns0:c>
      <ns0:c r="AB293" s="74" t="inlineStr">
        <ns0:is>
          <ns0:t>Tianjin Haitai Capital; Matrix Capital (on behalf of Matrix Income SP); Solid Elegance; Bright Ambition; Swift Grace</ns0:t>
        </ns0:is>
      </ns0:c>
      <ns0:c r="AC293" s="74" t="inlineStr">
        <ns0:is>
          <ns0:t>tianjin;matrix;solid;bright;swift</ns0:t>
        </ns0:is>
      </ns0:c>
      <ns0:c r="AD293" s="78" t="n">
        <ns0:v>5.64</ns0:v>
      </ns0:c>
      <ns0:c r="AE293" s="85" t="n"/>
      <ns0:c r="AF293" s="85" t="n"/>
      <ns0:c r="AG293" s="85" t="n"/>
      <ns0:c r="AH293" s="85" t="n"/>
      <ns0:c r="AI293" s="86" t="n">
        <ns0:v>4.5</ns0:v>
      </ns0:c>
      <ns0:c r="AJ293" s="87" t="n">
        <ns0:v>7.5</ns0:v>
      </ns0:c>
      <ns0:c r="AK293" s="87" t="n">
        <ns0:v>0.3</ns0:v>
      </ns0:c>
      <ns0:c r="AL293" s="87" t="n">
        <ns0:v>4.17</ns0:v>
      </ns0:c>
      <ns0:c r="AM293" s="87" t="n">
        <ns0:v>3.2</ns0:v>
      </ns0:c>
      <ns0:c r="AN293" s="89" t="n">
        <ns0:v>1.42</ns0:v>
      </ns0:c>
      <ns0:c r="AO293" s="78" t="n">
        <ns0:v>16</ns0:v>
      </ns0:c>
      <ns0:c r="AP293" s="87" t="n">
        <ns0:v>-3.33</ns0:v>
      </ns0:c>
      <ns0:c r="AQ293" s="87" t="n">
        <ns0:v>13.5</ns0:v>
      </ns0:c>
      <ns0:c r="AR293" s="87" t="n">
        <ns0:v>48.67</ns0:v>
      </ns0:c>
      <ns0:c r="AS293" s="87" t="n">
        <ns0:v>-10.07</ns0:v>
      </ns0:c>
      <ns0:c r="AT293" s="87" t="n">
        <ns0:v>5.58</ns0:v>
      </ns0:c>
      <ns0:c r="AU293" s="87" t="n">
        <ns0:v>38.3</ns0:v>
      </ns0:c>
      <ns0:c r="AV293" s="87" t="n">
        <ns0:v>-5.69</ns0:v>
      </ns0:c>
      <ns0:c r="AW293" s="87" t="n">
        <ns0:v>12.42</ns0:v>
      </ns0:c>
      <ns0:c r="AX293" s="87" t="n">
        <ns0:v>17.28</ns0:v>
      </ns0:c>
      <ns0:c r="AY293" s="87" t="n">
        <ns0:v>4.8</ns0:v>
      </ns0:c>
      <ns0:c r="AZ293" s="87" t="n">
        <ns0:v>1.08</ns0:v>
      </ns0:c>
      <ns0:c r="BA293" s="87" t="n">
        <ns0:v>0.78</ns0:v>
      </ns0:c>
      <ns0:c r="BB293" s="74" t="inlineStr">
        <ns0:is>
          <ns0:t>Hang Seng Commerce &amp; Industry sub-index</ns0:t>
        </ns0:is>
      </ns0:c>
      <ns0:c r="BC293" s="87" t="n">
        <ns0:v>130.67</ns0:v>
      </ns0:c>
      <ns0:c r="BD293" s="75" t="n">
        <ns0:v>46297</ns0:v>
      </ns0:c>
      <ns0:c r="BE293" s="76" t="n">
        <ns0:v>22229.5</ns0:v>
      </ns0:c>
      <ns0:c r="BF293" s="79" t="n">
        <ns0:v>256.8</ns0:v>
      </ns0:c>
      <ns0:c r="BG293" s="74" t="inlineStr">
        <ns0:is>
          <ns0:t>Y</ns0:t>
        </ns0:is>
      </ns0:c>
      <ns0:c r="BH293" s="89" t="n">
        <ns0:v>12.8</ns0:v>
      </ns0:c>
      <ns0:c r="BI293" s="89" t="n">
        <ns0:v>15.8</ns0:v>
      </ns0:c>
      <ns0:c r="BJ293" s="89" t="n">
        <ns0:v>65.7</ns0:v>
      </ns0:c>
      <ns0:c r="BK293" s="89" t="n">
        <ns0:v>0.1</ns0:v>
      </ns0:c>
      <ns0:c r="BL293" s="90">
        <ns0:f>IFERROR(IF('BBG Verify'!S293="","Awaiting Bloomberg",'BBG Verify'!S293),"Awaiting Bloomberg")</ns0:f>
        <ns0:v/>
      </ns0:c>
      <ns0:c r="BM293" s="91" t="inlineStr">
        <ns0:is>
          <ns0:t>N</ns0:t>
        </ns0:is>
      </ns0:c>
      <ns0:c r="BN293" s="92">
        <ns0:f>IFERROR(IF('BBG Verify'!K293="","Awaiting Bloomberg",'BBG Verify'!K293),"Awaiting Bloomberg")</ns0:f>
        <ns0:v/>
      </ns0:c>
      <ns0:c r="BO293" s="74" t="inlineStr">
        <ns0:is>
          <ns0:t>N/A</ns0:t>
        </ns0:is>
      </ns0:c>
      <ns0:c r="BP293" s="74" t="inlineStr">
        <ns0:is>
          <ns0:t>N/A</ns0:t>
        </ns0:is>
      </ns0:c>
      <ns0:c r="BQ293" s="74" t="inlineStr">
        <ns0:is>
          <ns0:t>N/A</ns0:t>
        </ns0:is>
      </ns0:c>
      <ns0:c r="BR293" s="74" t="inlineStr">
        <ns0:is>
          <ns0:t>N/A</ns0:t>
        </ns0:is>
      </ns0:c>
      <ns0:c r="BS293" s="74" t="inlineStr">
        <ns0:is>
          <ns0:t>N/A</ns0:t>
        </ns0:is>
      </ns0:c>
      <ns0:c r="BT293" s="74" t="inlineStr">
        <ns0:is>
          <ns0:t>N/A</ns0:t>
        </ns0:is>
      </ns0:c>
      <ns0:c r="BU293" s="91" t="inlineStr">
        <ns0:is>
          <ns0:t>CITIC Securities (Hong Kong) Limited</ns0:t>
        </ns0:is>
      </ns0:c>
      <ns0:c r="BV293" s="74" t="inlineStr">
        <ns0:is>
          <ns0:t>CITIC Securities (Hong Kong) Limited</ns0:t>
        </ns0:is>
      </ns0:c>
      <ns0:c r="BW293" s="74" t="inlineStr">
        <ns0:is>
          <ns0:t>CLSA Limited; ABCI Capital Limited; China Everbright Securities (HK) Limited; Futu Securities International (Hong Kong) Limited; ICBC International Securities Limited; TradeGo Markets Limited</ns0:t>
        </ns0:is>
      </ns0:c>
      <ns0:c r="BX293" s="74" t="inlineStr">
        <ns0:is>
          <ns0:t>ABCI Securities Company Limited; China Everbright Securities (HK) Limited; CLSA Limited; Futu Securities International (Hong Kong) Limited; ICBC International Securities Limited; TradeGo Markets Limited</ns0:t>
        </ns0:is>
      </ns0:c>
      <ns0:c r="BY293" s="93">
        <ns0:f>HYPERLINK("https://www1.hkexnews.hk/listedco/listconews/sehk/2024/1121/2024112100017.pdf","prospectus")</ns0:f>
        <ns0:v/>
      </ns0:c>
      <ns0:c r="BZ293" s="93">
        <ns0:f>HYPERLINK("https://www1.hkexnews.hk/listedco/listconews/sehk/2024/1128/2024112801779.pdf","allotment")</ns0:f>
        <ns0:v/>
      </ns0:c>
      <ns0:c r="CA293" s="93">
        <ns0:f>HYPERLINK("https://www1.hkexnews.hk/listedco/listconews/sehk/2024/1227/2024122700111.pdf","stabilisation")</ns0:f>
        <ns0:v/>
      </ns0:c>
      <ns0:c r="CB293" s="94" t="n"/>
      <ns0:c r="CC293" s="74" t="inlineStr">
        <ns0:is>
          <ns0:t>greenshoe: end-of-stabilisation notice not found; stabilising manager: not named in the allotment notice or prospectus glossary; stabilisation notice: notice linked; outcome wording not recognised, result left blank; allocation: clawback line not in this notice; a 12-28% split is consistent with either a tier-1 clawback or a placing shortfall</ns0:t>
        </ns0:is>
      </ns0:c>
    </ns0:row>
    <ns0:row r="294" ht="22" customHeight="1">
      <ns0:c r="A294" s="73" t="inlineStr">
        <ns0:is>
          <ns0:t>2586</ns0:t>
        </ns0:is>
      </ns0:c>
      <ns0:c r="B294" s="74" t="inlineStr">
        <ns0:is>
          <ns0:t>DMALL</ns0:t>
        </ns0:is>
      </ns0:c>
      <ns0:c r="C294" s="74" t="inlineStr">
        <ns0:is>
          <ns0:t>多點數智</ns0:t>
        </ns0:is>
      </ns0:c>
      <ns0:c r="D294" s="74" t="inlineStr">
        <ns0:is>
          <ns0:t>Technology</ns0:t>
        </ns0:is>
      </ns0:c>
      <ns0:c r="E294" s="74" t="inlineStr">
        <ns0:is>
          <ns0:t>Software &amp; AI</ns0:t>
        </ns0:is>
      </ns0:c>
      <ns0:c r="F294" s="74" t="inlineStr">
        <ns0:is>
          <ns0:t>Application Software</ns0:t>
        </ns0:is>
      </ns0:c>
      <ns0:c r="G294" s="74" t="inlineStr">
        <ns0:is>
          <ns0:t>Standard</ns0:t>
        </ns0:is>
      </ns0:c>
      <ns0:c r="H294" s="75" t="n">
        <ns0:v>45632</ns0:v>
      </ns0:c>
      <ns0:c r="I294" s="76" t="n">
        <ns0:v>778.6</ns0:v>
      </ns0:c>
      <ns0:c r="J294" s="74" t="inlineStr">
        <ns0:is>
          <ns0:t>gross (price x shares)</ns0:t>
        </ns0:is>
      </ns0:c>
      <ns0:c r="K294" s="95" t="n"/>
      <ns0:c r="L294" s="77" t="n">
        <ns0:v>30.21</ns0:v>
      </ns0:c>
      <ns0:c r="M294" s="77" t="n">
        <ns0:v>30.21</ns0:v>
      </ns0:c>
      <ns0:c r="N294" s="74" t="inlineStr">
        <ns0:is>
          <ns0:t>Y</ns0:t>
        </ns0:is>
      </ns0:c>
      <ns0:c r="O294" s="78" t="n">
        <ns0:v>100</ns0:v>
      </ns0:c>
      <ns0:c r="P294" s="84" t="n"/>
      <ns0:c r="Q294" s="79" t="n">
        <ns0:v>26786.9</ns0:v>
      </ns0:c>
      <ns0:c r="R294" s="74" t="inlineStr">
        <ns0:is>
          <ns0:t>derived:price x shares upon listing</ns0:t>
        </ns0:is>
      </ns0:c>
      <ns0:c r="S294" s="80" t="n">
        <ns0:v>1.94</ns0:v>
      </ns0:c>
      <ns0:c r="T294" s="81" t="n">
        <ns0:v>1.36</ns0:v>
      </ns0:c>
      <ns0:c r="U294" s="82" t="n">
        <ns0:v>39.05</ns0:v>
      </ns0:c>
      <ns0:c r="V294" s="83" t="n">
        <ns0:v>119</ns0:v>
      </ns0:c>
      <ns0:c r="W294" s="78" t="n">
        <ns0:v>10</ns0:v>
      </ns0:c>
      <ns0:c r="X294" s="74" t="inlineStr">
        <ns0:is>
          <ns0:t>NO</ns0:t>
        </ns0:is>
      </ns0:c>
      <ns0:c r="Y294" s="79" t="n">
        <ns0:v>474.56</ns0:v>
      </ns0:c>
      <ns0:c r="Z294" s="79" t="n">
        <ns0:v>15709253</ns0:v>
      </ns0:c>
      <ns0:c r="AA294" s="78" t="n">
        <ns0:v>1.77</ns0:v>
      </ns0:c>
      <ns0:c r="AB294" s="74" t="inlineStr">
        <ns0:is>
          <ns0:t>DFI Development Holdings Limited</ns0:t>
        </ns0:is>
      </ns0:c>
      <ns0:c r="AC294" s="74" t="inlineStr">
        <ns0:is>
          <ns0:t>dfi</ns0:t>
        </ns0:is>
      </ns0:c>
      <ns0:c r="AD294" s="84" t="n"/>
      <ns0:c r="AE294" s="74" t="inlineStr">
        <ns0:is>
          <ns0:t>lapsed (no over-allocation)</ns0:t>
        </ns0:is>
      </ns0:c>
      <ns0:c r="AF294" s="74" t="inlineStr">
        <ns0:is>
          <ns0:t>2025-01-02</ns0:t>
        </ns0:is>
      </ns0:c>
      <ns0:c r="AG294" s="74" t="inlineStr">
        <ns0:is>
          <ns0:t>UBS AG Hong Kong Branch</ns0:t>
        </ns0:is>
      </ns0:c>
      <ns0:c r="AH294" s="74" t="inlineStr">
        <ns0:is>
          <ns0:t>UBS</ns0:t>
        </ns0:is>
      </ns0:c>
      <ns0:c r="AI294" s="86" t="n">
        <ns0:v>-27.34</ns0:v>
      </ns0:c>
      <ns0:c r="AJ294" s="87" t="n">
        <ns0:v>-54.32</ns0:v>
      </ns0:c>
      <ns0:c r="AK294" s="87" t="n">
        <ns0:v>2.19</ns0:v>
      </ns0:c>
      <ns0:c r="AL294" s="87" t="n">
        <ns0:v>-28.17</ns0:v>
      </ns0:c>
      <ns0:c r="AM294" s="87" t="n">
        <ns0:v>-36.41</ns0:v>
      </ns0:c>
      <ns0:c r="AN294" s="89" t="n">
        <ns0:v>1.42</ns0:v>
      </ns0:c>
      <ns0:c r="AO294" s="78" t="n">
        <ns0:v>36.64</ns0:v>
      </ns0:c>
      <ns0:c r="AP294" s="87" t="n">
        <ns0:v>-79.18000000000001</ns0:v>
      </ns0:c>
      <ns0:c r="AQ294" s="87" t="n">
        <ns0:v>-80.17</ns0:v>
      </ns0:c>
      <ns0:c r="AR294" s="87" t="n">
        <ns0:v>-56.97</ns0:v>
      </ns0:c>
      <ns0:c r="AS294" s="87" t="n">
        <ns0:v>-54.42</ns0:v>
      </ns0:c>
      <ns0:c r="AT294" s="87" t="n">
        <ns0:v>-56.59</ns0:v>
      </ns0:c>
      <ns0:c r="AU294" s="87" t="n">
        <ns0:v>-5.8</ns0:v>
      </ns0:c>
      <ns0:c r="AV294" s="87" t="n">
        <ns0:v>-81.37</ns0:v>
      </ns0:c>
      <ns0:c r="AW294" s="87" t="n">
        <ns0:v>-78.68000000000001</ns0:v>
      </ns0:c>
      <ns0:c r="AX294" s="87" t="n">
        <ns0:v>-88.04000000000001</ns0:v>
      </ns0:c>
      <ns0:c r="AY294" s="87" t="n">
        <ns0:v>-52.98</ns0:v>
      </ns0:c>
      <ns0:c r="AZ294" s="87" t="n">
        <ns0:v>-1.49</ns0:v>
      </ns0:c>
      <ns0:c r="BA294" s="87" t="n">
        <ns0:v>-3.61</ns0:v>
      </ns0:c>
      <ns0:c r="BB294" s="74" t="inlineStr">
        <ns0:is>
          <ns0:t>HSTECH (Hang Seng TECH ETF)</ns0:t>
        </ns0:is>
      </ns0:c>
      <ns0:c r="BC294" s="87" t="n">
        <ns0:v>-70.14</ns0:v>
      </ns0:c>
      <ns0:c r="BD294" s="75" t="n">
        <ns0:v>46297</ns0:v>
      </ns0:c>
      <ns0:c r="BE294" s="76" t="n">
        <ns0:v>1743.9</ns0:v>
      </ns0:c>
      <ns0:c r="BF294" s="79" t="n">
        <ns0:v>-924.6</ns0:v>
      </ns0:c>
      <ns0:c r="BG294" s="74" t="inlineStr">
        <ns0:is>
          <ns0:t>N</ns0:t>
        </ns0:is>
      </ns0:c>
      <ns0:c r="BH294" s="74" t="inlineStr">
        <ns0:is>
          <ns0:t>n/m</ns0:t>
        </ns0:is>
      </ns0:c>
      <ns0:c r="BI294" s="88" t="n"/>
      <ns0:c r="BJ294" s="89" t="n">
        <ns0:v>24.2</ns0:v>
      </ns0:c>
      <ns0:c r="BK294" s="89" t="n">
        <ns0:v>15.4</ns0:v>
      </ns0:c>
      <ns0:c r="BL294" s="90">
        <ns0:f>IFERROR(IF('BBG Verify'!S294="","Awaiting Bloomberg",'BBG Verify'!S294),"Awaiting Bloomberg")</ns0:f>
        <ns0:v/>
      </ns0:c>
      <ns0:c r="BM294" s="91" t="inlineStr">
        <ns0:is>
          <ns0:t>N</ns0:t>
        </ns0:is>
      </ns0:c>
      <ns0:c r="BN294" s="92">
        <ns0:f>IFERROR(IF('BBG Verify'!K294="","Awaiting Bloomberg",'BBG Verify'!K294),"Awaiting Bloomberg")</ns0:f>
        <ns0:v/>
      </ns0:c>
      <ns0:c r="BO294" s="74" t="inlineStr">
        <ns0:is>
          <ns0:t>N/A</ns0:t>
        </ns0:is>
      </ns0:c>
      <ns0:c r="BP294" s="74" t="inlineStr">
        <ns0:is>
          <ns0:t>N/A</ns0:t>
        </ns0:is>
      </ns0:c>
      <ns0:c r="BQ294" s="74" t="inlineStr">
        <ns0:is>
          <ns0:t>N/A</ns0:t>
        </ns0:is>
      </ns0:c>
      <ns0:c r="BR294" s="74" t="inlineStr">
        <ns0:is>
          <ns0:t>N/A</ns0:t>
        </ns0:is>
      </ns0:c>
      <ns0:c r="BS294" s="74" t="inlineStr">
        <ns0:is>
          <ns0:t>N/A</ns0:t>
        </ns0:is>
      </ns0:c>
      <ns0:c r="BT294" s="74" t="inlineStr">
        <ns0:is>
          <ns0:t>N/A</ns0:t>
        </ns0:is>
      </ns0:c>
      <ns0:c r="BU294" s="91" t="inlineStr">
        <ns0:is>
          <ns0:t>UBS Securities Hong Kong Limited; CMB International Capital Limited; China Merchants Securities (HK) Co., Limited</ns0:t>
        </ns0:is>
      </ns0:c>
      <ns0:c r="BV294" s="74" t="inlineStr">
        <ns0:is>
          <ns0:t>UBS Securities Hong Kong Limited; CMB International Capital Limited; China Merchants Securities (HK) Company Limited</ns0:t>
        </ns0:is>
      </ns0:c>
      <ns0:c r="BW294" s="74" t="inlineStr">
        <ns0:is>
          <ns0:t>UBS AG Hong Kong Branch; CMB International Capital Limited; China Merchants Securities (HK) Co., Limited; CLSA Limited; China International Capital Corporation Hong Kong Securities Limited; CCB International Capital Limited; CMBC Securities Company Limited; Haitong International Securities Company Limited; ABCI Capital Limited; ABCI Securities Company Limited</ns0:t>
        </ns0:is>
      </ns0:c>
      <ns0:c r="BX294" s="74" t="inlineStr">
        <ns0:is>
          <ns0: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ns0:t>
        </ns0:is>
      </ns0:c>
      <ns0:c r="BY294" s="93">
        <ns0:f>HYPERLINK("https://www1.hkexnews.hk/listedco/listconews/sehk/2024/1128/2024112800056.htm","prospectus")</ns0:f>
        <ns0:v/>
      </ns0:c>
      <ns0:c r="BZ294" s="93">
        <ns0:f>HYPERLINK("https://www1.hkexnews.hk/listedco/listconews/sehk/2024/1205/2024120501922.pdf","allotment")</ns0:f>
        <ns0:v/>
      </ns0:c>
      <ns0:c r="CA294" s="93">
        <ns0:f>HYPERLINK("https://www1.hkexnews.hk/listedco/listconews/sehk/2025/0102/2025010202824.pdf","stabilisation")</ns0:f>
        <ns0:v/>
      </ns0:c>
      <ns0:c r="CB294" s="94" t="n"/>
      <ns0:c r="CC294" s="74" t="inlineStr">
        <ns0:is>
          <ns0:t>P/E: loss-making at IPO, use P/S; price range: fixed-price offering (no indicative range); range low: maximum offer price only, no floor published; greenshoe size: no over-allotment option</ns0:t>
        </ns0:is>
      </ns0:c>
    </ns0:row>
    <ns0:row r="295" ht="22" customHeight="1">
      <ns0:c r="A295" s="73" t="inlineStr">
        <ns0:is>
          <ns0:t>2570</ns0:t>
        </ns0:is>
      </ns0:c>
      <ns0:c r="B295" s="74" t="inlineStr">
        <ns0:is>
          <ns0:t>REFIRE</ns0:t>
        </ns0:is>
      </ns0:c>
      <ns0:c r="C295" s="74" t="inlineStr">
        <ns0:is>
          <ns0:t>重塑能源</ns0:t>
        </ns0:is>
      </ns0:c>
      <ns0:c r="D295" s="74" t="inlineStr">
        <ns0:is>
          <ns0:t>Industrials</ns0:t>
        </ns0:is>
      </ns0:c>
      <ns0:c r="E295" s="74" t="inlineStr">
        <ns0:is>
          <ns0:t>Batteries / energy storage</ns0:t>
        </ns0:is>
      </ns0:c>
      <ns0:c r="F295" s="74" t="inlineStr">
        <ns0:is>
          <ns0:t>Electrical Components &amp; Equipment</ns0:t>
        </ns0:is>
      </ns0:c>
      <ns0:c r="G295" s="74" t="inlineStr">
        <ns0:is>
          <ns0:t>Standard</ns0:t>
        </ns0:is>
      </ns0:c>
      <ns0:c r="H295" s="75" t="n">
        <ns0:v>45632</ns0:v>
      </ns0:c>
      <ns0:c r="I295" s="76" t="n">
        <ns0:v>709.7</ns0:v>
      </ns0:c>
      <ns0:c r="J295" s="74" t="inlineStr">
        <ns0:is>
          <ns0:t>gross (stated)</ns0:t>
        </ns0:is>
      </ns0:c>
      <ns0:c r="K295" s="77" t="n">
        <ns0:v>145</ns0:v>
      </ns0:c>
      <ns0:c r="L295" s="77" t="n">
        <ns0:v>165</ns0:v>
      </ns0:c>
      <ns0:c r="M295" s="77" t="n">
        <ns0:v>147</ns0:v>
      </ns0:c>
      <ns0:c r="N295" s="74" t="inlineStr">
        <ns0:is>
          <ns0:t>N</ns0:t>
        </ns0:is>
      </ns0:c>
      <ns0:c r="O295" s="78" t="n">
        <ns0:v>89.09999999999999</ns0:v>
      </ns0:c>
      <ns0:c r="P295" s="78" t="n">
        <ns0:v>10</ns0:v>
      </ns0:c>
      <ns0:c r="Q295" s="79" t="n">
        <ns0:v>11106.4</ns0:v>
      </ns0:c>
      <ns0:c r="R295" s="74" t="inlineStr">
        <ns0:is>
          <ns0:t>derived:deal size / offer % of enlarged capital</ns0:t>
        </ns0:is>
      </ns0:c>
      <ns0:c r="S295" s="80" t="n">
        <ns0:v>1.55</ns0:v>
      </ns0:c>
      <ns0:c r="T295" s="81" t="n">
        <ns0:v>1.33</ns0:v>
      </ns0:c>
      <ns0:c r="U295" s="82" t="n">
        <ns0:v>45.18</ns0:v>
      </ns0:c>
      <ns0:c r="V295" s="83" t="n">
        <ns0:v>175</ns0:v>
      </ns0:c>
      <ns0:c r="W295" s="78" t="n">
        <ns0:v>10</ns0:v>
      </ns0:c>
      <ns0:c r="X295" s="74" t="inlineStr">
        <ns0:is>
          <ns0:t>NO</ns0:t>
        </ns0:is>
      </ns0:c>
      <ns0:c r="Y295" s="79" t="n">
        <ns0:v>389.06</ns0:v>
      </ns0:c>
      <ns0:c r="Z295" s="79" t="n">
        <ns0:v>2646666</ns0:v>
      </ns0:c>
      <ns0:c r="AA295" s="78" t="n">
        <ns0:v>3.5</ns0:v>
      </ns0:c>
      <ns0:c r="AB295" s="74" t="inlineStr">
        <ns0:is>
          <ns0:t>DINGCHUANG HONGKONG INVESTMENT LIMITED</ns0:t>
        </ns0:is>
      </ns0:c>
      <ns0:c r="AC295" s="74" t="inlineStr">
        <ns0:is>
          <ns0:t>dingchuang</ns0:t>
        </ns0:is>
      </ns0:c>
      <ns0:c r="AD295" s="78" t="n">
        <ns0:v>10</ns0:v>
      </ns0:c>
      <ns0:c r="AE295" s="74" t="inlineStr">
        <ns0:is>
          <ns0:t>partial</ns0:t>
        </ns0:is>
      </ns0:c>
      <ns0:c r="AF295" s="74" t="inlineStr">
        <ns0:is>
          <ns0:t>2025-01-02</ns0:t>
        </ns0:is>
      </ns0:c>
      <ns0:c r="AG295" s="74" t="inlineStr">
        <ns0:is>
          <ns0:t>China International Capital Corporation Hong Kong Securities Limited</ns0:t>
        </ns0:is>
      </ns0:c>
      <ns0:c r="AH295" s="74" t="inlineStr">
        <ns0:is>
          <ns0:t>China International</ns0:t>
        </ns0:is>
      </ns0:c>
      <ns0:c r="AI295" s="86" t="n">
        <ns0:v>-7.76</ns0:v>
      </ns0:c>
      <ns0:c r="AJ295" s="87" t="n">
        <ns0:v>0.07000000000000001</ns0:v>
      </ns0:c>
      <ns0:c r="AK295" s="87" t="n">
        <ns0:v>1.7</ns0:v>
      </ns0:c>
      <ns0:c r="AL295" s="87" t="n">
        <ns0:v>1.29</ns0:v>
      </ns0:c>
      <ns0:c r="AM295" s="87" t="n">
        <ns0:v>-1.2</ns0:v>
      </ns0:c>
      <ns0:c r="AN295" s="89" t="n">
        <ns0:v>0.97</ns0:v>
      </ns0:c>
      <ns0:c r="AO295" s="78" t="n">
        <ns0:v>3.22</ns0:v>
      </ns0:c>
      <ns0:c r="AP295" s="87" t="n">
        <ns0:v>11.02</ns0:v>
      </ns0:c>
      <ns0:c r="AQ295" s="87" t="n">
        <ns0:v>30.82</ns0:v>
      </ns0:c>
      <ns0:c r="AR295" s="87" t="n">
        <ns0:v>68.98</ns0:v>
      </ns0:c>
      <ns0:c r="AS295" s="87" t="n">
        <ns0:v>10.94</ns0:v>
      </ns0:c>
      <ns0:c r="AT295" s="87" t="n">
        <ns0:v>30.73</ns0:v>
      </ns0:c>
      <ns0:c r="AU295" s="87" t="n">
        <ns0:v>68.86</ns0:v>
      </ns0:c>
      <ns0:c r="AV295" s="87" t="n">
        <ns0:v>8.470000000000001</ns0:v>
      </ns0:c>
      <ns0:c r="AW295" s="87" t="n">
        <ns0:v>32.7</ns0:v>
      </ns0:c>
      <ns0:c r="AX295" s="87" t="n">
        <ns0:v>44.13</ns0:v>
      </ns0:c>
      <ns0:c r="AY295" s="87" t="n">
        <ns0:v>34.25</ns0:v>
      </ns0:c>
      <ns0:c r="AZ295" s="87" t="n">
        <ns0:v>-1.88</ns0:v>
      </ns0:c>
      <ns0:c r="BA295" s="87" t="n">
        <ns0:v>-3.52</ns0:v>
      </ns0:c>
      <ns0:c r="BB295" s="74" t="inlineStr">
        <ns0:is>
          <ns0:t>Hang Seng Commerce &amp; Industry sub-index</ns0:t>
        </ns0:is>
      </ns0:c>
      <ns0:c r="BC295" s="87" t="n">
        <ns0:v>-96.12</ns0:v>
      </ns0:c>
      <ns0:c r="BD295" s="75" t="n">
        <ns0:v>46297</ns0:v>
      </ns0:c>
      <ns0:c r="BE295" s="76" t="n">
        <ns0:v>984.8</ns0:v>
      </ns0:c>
      <ns0:c r="BF295" s="79" t="n">
        <ns0:v>-582.4</ns0:v>
      </ns0:c>
      <ns0:c r="BG295" s="74" t="inlineStr">
        <ns0:is>
          <ns0:t>N</ns0:t>
        </ns0:is>
      </ns0:c>
      <ns0:c r="BH295" s="74" t="inlineStr">
        <ns0:is>
          <ns0:t>n/m</ns0:t>
        </ns0:is>
      </ns0:c>
      <ns0:c r="BI295" s="88" t="n"/>
      <ns0:c r="BJ295" s="88" t="n"/>
      <ns0:c r="BK295" s="89" t="n">
        <ns0:v>11.3</ns0:v>
      </ns0:c>
      <ns0:c r="BL295" s="90">
        <ns0:f>IFERROR(IF('BBG Verify'!S295="","Awaiting Bloomberg",'BBG Verify'!S295),"Awaiting Bloomberg")</ns0:f>
        <ns0:v/>
      </ns0:c>
      <ns0:c r="BM295" s="91" t="inlineStr">
        <ns0:is>
          <ns0:t>N</ns0:t>
        </ns0:is>
      </ns0:c>
      <ns0:c r="BN295" s="92">
        <ns0:f>IFERROR(IF('BBG Verify'!K295="","Awaiting Bloomberg",'BBG Verify'!K295),"Awaiting Bloomberg")</ns0:f>
        <ns0:v/>
      </ns0:c>
      <ns0:c r="BO295" s="74" t="inlineStr">
        <ns0:is>
          <ns0:t>N/A</ns0:t>
        </ns0:is>
      </ns0:c>
      <ns0:c r="BP295" s="74" t="inlineStr">
        <ns0:is>
          <ns0:t>N/A</ns0:t>
        </ns0:is>
      </ns0:c>
      <ns0:c r="BQ295" s="74" t="inlineStr">
        <ns0:is>
          <ns0:t>N/A</ns0:t>
        </ns0:is>
      </ns0:c>
      <ns0:c r="BR295" s="74" t="inlineStr">
        <ns0:is>
          <ns0:t>N/A</ns0:t>
        </ns0:is>
      </ns0:c>
      <ns0:c r="BS295" s="74" t="inlineStr">
        <ns0:is>
          <ns0:t>N/A</ns0:t>
        </ns0:is>
      </ns0:c>
      <ns0:c r="BT295" s="74" t="inlineStr">
        <ns0:is>
          <ns0:t>N/A</ns0:t>
        </ns0:is>
      </ns0:c>
      <ns0:c r="BU295" s="91" t="inlineStr">
        <ns0:is>
          <ns0:t>China International Capital Corporation Hong Kong Securities Limited</ns0:t>
        </ns0:is>
      </ns0:c>
      <ns0:c r="BV295" s="74" t="inlineStr">
        <ns0:is>
          <ns0:t>China International Capital Corporation Hong Kong Securities Limited</ns0:t>
        </ns0:is>
      </ns0:c>
      <ns0:c r="BW295" s="74" t="inlineStr">
        <ns0:is>
          <ns0: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ns0:t>
        </ns0:is>
      </ns0:c>
      <ns0:c r="BX295" s="74" t="inlineStr">
        <ns0:is>
          <ns0: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ns0:t>
        </ns0:is>
      </ns0:c>
      <ns0:c r="BY295" s="93">
        <ns0:f>HYPERLINK("https://www1.hkexnews.hk/listedco/listconews/sehk/2024/1128/2024112800011.pdf","prospectus")</ns0:f>
        <ns0:v/>
      </ns0:c>
      <ns0:c r="BZ295" s="93">
        <ns0:f>HYPERLINK("https://www1.hkexnews.hk/listedco/listconews/sehk/2024/1205/2024120501926.pdf","allotment")</ns0:f>
        <ns0:v/>
      </ns0:c>
      <ns0:c r="CA295" s="93">
        <ns0:f>HYPERLINK("https://www1.hkexnews.hk/listedco/listconews/sehk/2025/0102/2025010203561.pdf","stabilisation")</ns0:f>
        <ns0:v/>
      </ns0:c>
      <ns0:c r="CB295" s="94" t="n"/>
      <ns0:c r="CC295" s="74" t="inlineStr">
        <ns0:is>
          <ns0:t>P/E: loss-making at IPO, use P/S; sponsor: English name not in the filing; AAStocks 保薦人 shown</ns0:t>
        </ns0:is>
      </ns0:c>
    </ns0:row>
    <ns0:row r="296" ht="22" customHeight="1">
      <ns0:c r="A296" s="73" t="inlineStr">
        <ns0:is>
          <ns0:t>1318</ns0:t>
        </ns0:is>
      </ns0:c>
      <ns0:c r="B296" s="74" t="inlineStr">
        <ns0:is>
          <ns0:t>MAO GEPING</ns0:t>
        </ns0:is>
      </ns0:c>
      <ns0:c r="C296" s="74" t="inlineStr">
        <ns0:is>
          <ns0:t>毛戈平</ns0:t>
        </ns0:is>
      </ns0:c>
      <ns0:c r="D296" s="74" t="inlineStr">
        <ns0:is>
          <ns0:t>Consumer</ns0:t>
        </ns0:is>
      </ns0:c>
      <ns0:c r="E296" s="74" t="inlineStr">
        <ns0:is>
          <ns0:t>Beauty / personal care</ns0:t>
        </ns0:is>
      </ns0:c>
      <ns0:c r="F296" s="74" t="inlineStr">
        <ns0:is>
          <ns0:t>Beauty &amp; Toiletries Products and Services</ns0:t>
        </ns0:is>
      </ns0:c>
      <ns0:c r="G296" s="74" t="inlineStr">
        <ns0:is>
          <ns0:t>Standard</ns0:t>
        </ns0:is>
      </ns0:c>
      <ns0:c r="H296" s="75" t="n">
        <ns0:v>45636</ns0:v>
      </ns0:c>
      <ns0:c r="I296" s="76" t="n">
        <ns0:v>2337.02</ns0:v>
      </ns0:c>
      <ns0:c r="J296" s="74" t="inlineStr">
        <ns0:is>
          <ns0:t>gross (stated)</ns0:t>
        </ns0:is>
      </ns0:c>
      <ns0:c r="K296" s="77" t="n">
        <ns0:v>26.3</ns0:v>
      </ns0:c>
      <ns0:c r="L296" s="77" t="n">
        <ns0:v>29.8</ns0:v>
      </ns0:c>
      <ns0:c r="M296" s="77" t="n">
        <ns0:v>29.8</ns0:v>
      </ns0:c>
      <ns0:c r="N296" s="74" t="inlineStr">
        <ns0:is>
          <ns0:t>Y</ns0:t>
        </ns0:is>
      </ns0:c>
      <ns0:c r="O296" s="78" t="n">
        <ns0:v>100</ns0:v>
      </ns0:c>
      <ns0:c r="P296" s="78" t="n">
        <ns0:v>100</ns0:v>
      </ns0:c>
      <ns0:c r="Q296" s="79" t="n">
        <ns0:v>13853.1</ns0:v>
      </ns0:c>
      <ns0:c r="R296" s="74" t="inlineStr">
        <ns0:is>
          <ns0:t>derived:deal size / offer % of enlarged capital</ns0:t>
        </ns0:is>
      </ns0:c>
      <ns0:c r="S296" s="80" t="n">
        <ns0:v>919.1799999999999</ns0:v>
      </ns0:c>
      <ns0:c r="T296" s="81" t="n">
        <ns0:v>30.34</ns0:v>
      </ns0:c>
      <ns0:c r="U296" s="82" t="n">
        <ns0:v>33.3</ns0:v>
      </ns0:c>
      <ns0:c r="V296" s="83" t="n">
        <ns0:v>167</ns0:v>
      </ns0:c>
      <ns0:c r="W296" s="78" t="n">
        <ns0:v>50</ns0:v>
      </ns0:c>
      <ns0:c r="X296" s="74" t="inlineStr">
        <ns0:is>
          <ns0:t>YES</ns0:t>
        </ns0:is>
      </ns0:c>
      <ns0:c r="Y296" s="79" t="n">
        <ns0:v>1558.79</ns0:v>
      </ns0:c>
      <ns0:c r="Z296" s="79" t="n">
        <ns0:v>52308408</ns0:v>
      </ns0:c>
      <ns0:c r="AA296" s="78" t="n">
        <ns0:v>11.25</ns0:v>
      </ns0:c>
      <ns0:c r="AB296" s="74" t="inlineStr">
        <ns0:is>
          <ns0:t>CPE Investment XVI Limited; Loyal Valley Capital; Seraphim Advantage Inc; IvyRock Asset Management (HK) Limited; Brilliant Partners Fund LP and China Core Fund; 4 Mega Prime Development Limited</ns0:t>
        </ns0:is>
      </ns0:c>
      <ns0:c r="AC296" s="74" t="inlineStr">
        <ns0:is>
          <ns0:t>cpe;loyal;seraphim;ivyrock;brilliant;mega</ns0:t>
        </ns0:is>
      </ns0:c>
      <ns0:c r="AD296" s="78" t="n">
        <ns0:v>15</ns0:v>
      </ns0:c>
      <ns0:c r="AE296" s="74" t="inlineStr">
        <ns0:is>
          <ns0:t>full</ns0:t>
        </ns0:is>
      </ns0:c>
      <ns0:c r="AF296" s="74" t="inlineStr">
        <ns0:is>
          <ns0:t>2025-01-04</ns0:t>
        </ns0:is>
      </ns0:c>
      <ns0:c r="AG296" s="74" t="inlineStr">
        <ns0:is>
          <ns0:t>China International Capital Corporation Hong Kong Securities Limited</ns0:t>
        </ns0:is>
      </ns0:c>
      <ns0:c r="AH296" s="74" t="inlineStr">
        <ns0:is>
          <ns0:t>China International</ns0:t>
        </ns0:is>
      </ns0:c>
      <ns0:c r="AI296" s="86" t="n">
        <ns0:v>50.67</ns0:v>
      </ns0:c>
      <ns0:c r="AJ296" s="87" t="n">
        <ns0:v>76.51000000000001</ns0:v>
      </ns0:c>
      <ns0:c r="AK296" s="87" t="n">
        <ns0:v>-0.78</ns0:v>
      </ns0:c>
      <ns0:c r="AL296" s="87" t="n">
        <ns0:v>59.9</ns0:v>
      </ns0:c>
      <ns0:c r="AM296" s="87" t="n">
        <ns0:v>10.39</ns0:v>
      </ns0:c>
      <ns0:c r="AN296" s="89" t="n">
        <ns0:v>2.13</ns0:v>
      </ns0:c>
      <ns0:c r="AO296" s="78" t="n">
        <ns0:v>20.04</ns0:v>
      </ns0:c>
      <ns0:c r="AP296" s="87" t="n">
        <ns0:v>96.31</ns0:v>
      </ns0:c>
      <ns0:c r="AQ296" s="87" t="n">
        <ns0:v>97.98999999999999</ns0:v>
      </ns0:c>
      <ns0:c r="AR296" s="87" t="n">
        <ns0:v>270.47</ns0:v>
      </ns0:c>
      <ns0:c r="AS296" s="87" t="n">
        <ns0:v>11.22</ns0:v>
      </ns0:c>
      <ns0:c r="AT296" s="87" t="n">
        <ns0:v>12.17</ns0:v>
      </ns0:c>
      <ns0:c r="AU296" s="87" t="n">
        <ns0:v>109.89</ns0:v>
      </ns0:c>
      <ns0:c r="AV296" s="87" t="n">
        <ns0:v>100.54</ns0:v>
      </ns0:c>
      <ns0:c r="AW296" s="87" t="n">
        <ns0:v>106.68</ns0:v>
      </ns0:c>
      <ns0:c r="AX296" s="87" t="n">
        <ns0:v>247.76</ns0:v>
      </ns0:c>
      <ns0:c r="AY296" s="87" t="n">
        <ns0:v>20.14</ns0:v>
      </ns0:c>
      <ns0:c r="AZ296" s="87" t="n">
        <ns0:v>-8.69</ns0:v>
      </ns0:c>
      <ns0:c r="BA296" s="87" t="n">
        <ns0:v>-7.97</ns0:v>
      </ns0:c>
      <ns0:c r="BB296" s="74" t="inlineStr">
        <ns0:is>
          <ns0:t>Hang Seng Commerce &amp; Industry sub-index</ns0:t>
        </ns0:is>
      </ns0:c>
      <ns0:c r="BC296" s="87" t="n">
        <ns0:v>46.71</ns0:v>
      </ns0:c>
      <ns0:c r="BD296" s="75" t="n">
        <ns0:v>46297</ns0:v>
      </ns0:c>
      <ns0:c r="BE296" s="76" t="n">
        <ns0:v>3174.6</ns0:v>
      </ns0:c>
      <ns0:c r="BF296" s="79" t="n">
        <ns0:v>729.8</ns0:v>
      </ns0:c>
      <ns0:c r="BG296" s="74" t="inlineStr">
        <ns0:is>
          <ns0:t>Y</ns0:t>
        </ns0:is>
      </ns0:c>
      <ns0:c r="BH296" s="89" t="n">
        <ns0:v>19</ns0:v>
      </ns0:c>
      <ns0:c r="BI296" s="89" t="n">
        <ns0:v>12.2</ns0:v>
      </ns0:c>
      <ns0:c r="BJ296" s="89" t="n">
        <ns0:v>17.7</ns0:v>
      </ns0:c>
      <ns0:c r="BK296" s="89" t="n">
        <ns0:v>4.4</ns0:v>
      </ns0:c>
      <ns0:c r="BL296" s="90">
        <ns0:f>IFERROR(IF('BBG Verify'!S296="","Awaiting Bloomberg",'BBG Verify'!S296),"Awaiting Bloomberg")</ns0:f>
        <ns0:v/>
      </ns0:c>
      <ns0:c r="BM296" s="91" t="inlineStr">
        <ns0:is>
          <ns0:t>N</ns0:t>
        </ns0:is>
      </ns0:c>
      <ns0:c r="BN296" s="92">
        <ns0:f>IFERROR(IF('BBG Verify'!K296="","Awaiting Bloomberg",'BBG Verify'!K296),"Awaiting Bloomberg")</ns0:f>
        <ns0:v/>
      </ns0:c>
      <ns0:c r="BO296" s="74" t="inlineStr">
        <ns0:is>
          <ns0:t>N/A</ns0:t>
        </ns0:is>
      </ns0:c>
      <ns0:c r="BP296" s="74" t="inlineStr">
        <ns0:is>
          <ns0:t>N/A</ns0:t>
        </ns0:is>
      </ns0:c>
      <ns0:c r="BQ296" s="74" t="inlineStr">
        <ns0:is>
          <ns0:t>N/A</ns0:t>
        </ns0:is>
      </ns0:c>
      <ns0:c r="BR296" s="74" t="inlineStr">
        <ns0:is>
          <ns0:t>N/A</ns0:t>
        </ns0:is>
      </ns0:c>
      <ns0:c r="BS296" s="74" t="inlineStr">
        <ns0:is>
          <ns0:t>N/A</ns0:t>
        </ns0:is>
      </ns0:c>
      <ns0:c r="BT296" s="74" t="inlineStr">
        <ns0:is>
          <ns0:t>N/A</ns0:t>
        </ns0:is>
      </ns0:c>
      <ns0:c r="BU296" s="91" t="inlineStr">
        <ns0:is>
          <ns0:t>China International Capital Corporation Hong Kong Securities Limited</ns0:t>
        </ns0:is>
      </ns0:c>
      <ns0:c r="BV296" s="74" t="inlineStr">
        <ns0:is>
          <ns0:t>China International Capital Corporation Hong Kong Securities Limited</ns0:t>
        </ns0:is>
      </ns0:c>
      <ns0:c r="BW296" s="74" t="inlineStr">
        <ns0:is>
          <ns0:t>China International Capital Corporation Hong Kong Securities Limited; China Galaxy International Securities (Hong Kong) Co., Limited; Huatai Financial Holdings (Hong Kong) Limited; Guotai Junan Securities (Hong Kong) Limited; CCB International Capital Limited; ABCI Capital Limited; CMBC Securities Company Limited</ns0:t>
        </ns0:is>
      </ns0:c>
      <ns0:c r="BX296" s="74" t="inlineStr">
        <ns0:is>
          <ns0: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ns0:t>
        </ns0:is>
      </ns0:c>
      <ns0:c r="BY296" s="93">
        <ns0:f>HYPERLINK("https://www1.hkexnews.hk/listedco/listconews/sehk/2024/1202/2024120200011.pdf","prospectus")</ns0:f>
        <ns0:v/>
      </ns0:c>
      <ns0:c r="BZ296" s="93">
        <ns0:f>HYPERLINK("https://www1.hkexnews.hk/listedco/listconews/sehk/2024/1209/2024120901607.pdf","allotment")</ns0:f>
        <ns0:v/>
      </ns0:c>
      <ns0:c r="CA296" s="93">
        <ns0:f>HYPERLINK("https://www1.hkexnews.hk/listedco/listconews/sehk/2025/0106/2025010602006.pdf","stabilisation")</ns0:f>
        <ns0:v/>
      </ns0:c>
      <ns0:c r="CB296" s="94" t="n"/>
      <ns0:c r="CC296" s="74" t="inlineStr"/>
    </ns0:row>
    <ns0:row r="297" ht="22" customHeight="1">
      <ns0:c r="A297" s="73" t="inlineStr">
        <ns0:is>
          <ns0:t>2593</ns0:t>
        </ns0:is>
      </ns0:c>
      <ns0:c r="B297" s="74" t="inlineStr">
        <ns0:is>
          <ns0:t>HERBS GROUP</ns0:t>
        </ns0:is>
      </ns0:c>
      <ns0:c r="C297" s="74" t="inlineStr">
        <ns0:is>
          <ns0:t>草姬集團</ns0:t>
        </ns0:is>
      </ns0:c>
      <ns0:c r="D297" s="74" t="inlineStr">
        <ns0:is>
          <ns0:t>Healthcare</ns0:t>
        </ns0:is>
      </ns0:c>
      <ns0:c r="E297" s="74" t="inlineStr">
        <ns0:is>
          <ns0:t>TCM</ns0:t>
        </ns0:is>
      </ns0:c>
      <ns0:c r="F297" s="74" t="inlineStr">
        <ns0:is>
          <ns0:t>Health Care Supplies</ns0:t>
        </ns0:is>
      </ns0:c>
      <ns0:c r="G297" s="74" t="inlineStr">
        <ns0:is>
          <ns0:t>Standard</ns0:t>
        </ns0:is>
      </ns0:c>
      <ns0:c r="H297" s="75" t="n">
        <ns0:v>45645</ns0:v>
      </ns0:c>
      <ns0:c r="I297" s="76" t="n">
        <ns0:v>125</ns0:v>
      </ns0:c>
      <ns0:c r="J297" s="74" t="inlineStr">
        <ns0:is>
          <ns0:t>gross (stated)</ns0:t>
        </ns0:is>
      </ns0:c>
      <ns0:c r="K297" s="77" t="n">
        <ns0:v>3.75</ns0:v>
      </ns0:c>
      <ns0:c r="L297" s="77" t="n">
        <ns0:v>4.15</ns0:v>
      </ns0:c>
      <ns0:c r="M297" s="77" t="n">
        <ns0:v>3.75</ns0:v>
      </ns0:c>
      <ns0:c r="N297" s="74" t="inlineStr">
        <ns0:is>
          <ns0:t>N</ns0:t>
        </ns0:is>
      </ns0:c>
      <ns0:c r="O297" s="78" t="n">
        <ns0:v>90.40000000000001</ns0:v>
      </ns0:c>
      <ns0:c r="P297" s="78" t="n">
        <ns0:v>0</ns0:v>
      </ns0:c>
      <ns0:c r="Q297" s="79" t="n">
        <ns0:v>500</ns0:v>
      </ns0:c>
      <ns0:c r="R297" s="74" t="inlineStr">
        <ns0:is>
          <ns0:t>derived:price x shares upon listing</ns0:t>
        </ns0:is>
      </ns0:c>
      <ns0:c r="S297" s="80" t="n">
        <ns0:v>6083.63</ns0:v>
      </ns0:c>
      <ns0:c r="T297" s="81" t="n">
        <ns0:v>1.79</ns0:v>
      </ns0:c>
      <ns0:c r="U297" s="82" t="n">
        <ns0:v>22.4</ns0:v>
      </ns0:c>
      <ns0:c r="V297" s="83" t="n">
        <ns0:v>206</ns0:v>
      </ns0:c>
      <ns0:c r="W297" s="78" t="n">
        <ns0:v>50</ns0:v>
      </ns0:c>
      <ns0:c r="X297" s="74" t="inlineStr">
        <ns0:is>
          <ns0:t>YES</ns0:t>
        </ns0:is>
      </ns0:c>
      <ns0:c r="Y297" s="79" t="n">
        <ns0:v>97</ns0:v>
      </ns0:c>
      <ns0:c r="Z297" s="79" t="n">
        <ns0:v>25866874</ns0:v>
      </ns0:c>
      <ns0:c r="AA297" s="78" t="n">
        <ns0:v>19.4</ns0:v>
      </ns0:c>
      <ns0:c r="AB297" s="74" t="inlineStr">
        <ns0:is>
          <ns0:t>Water Live Wealth Limited; Vital Message Medical Health Care Centre Limited; Mr. Yuen Tsz Ho Ronald</ns0:t>
        </ns0:is>
      </ns0:c>
      <ns0:c r="AC297" s="74" t="inlineStr">
        <ns0:is>
          <ns0:t>water;vital;mr-yuen</ns0:t>
        </ns0:is>
      </ns0:c>
      <ns0:c r="AD297" s="84" t="n"/>
      <ns0:c r="AE297" s="85" t="n"/>
      <ns0:c r="AF297" s="85" t="n"/>
      <ns0:c r="AG297" s="85" t="n"/>
      <ns0:c r="AH297" s="85" t="n"/>
      <ns0:c r="AI297" s="86" t="n">
        <ns0:v>27.73</ns0:v>
      </ns0:c>
      <ns0:c r="AJ297" s="87" t="n">
        <ns0:v>10.4</ns0:v>
      </ns0:c>
      <ns0:c r="AK297" s="87" t="n">
        <ns0:v>-0.51</ns0:v>
      </ns0:c>
      <ns0:c r="AL297" s="87" t="n">
        <ns0:v>25.07</ns0:v>
      </ns0:c>
      <ns0:c r="AM297" s="87" t="n">
        <ns0:v>-11.73</ns0:v>
      </ns0:c>
      <ns0:c r="AN297" s="89" t="n">
        <ns0:v>3.48</ns0:v>
      </ns0:c>
      <ns0:c r="AO297" s="78" t="n">
        <ns0:v>24.95</ns0:v>
      </ns0:c>
      <ns0:c r="AP297" s="87" t="n">
        <ns0:v>-24.27</ns0:v>
      </ns0:c>
      <ns0:c r="AQ297" s="87" t="n">
        <ns0:v>-45.07</ns0:v>
      </ns0:c>
      <ns0:c r="AR297" s="87" t="n">
        <ns0:v>-54.93</ns0:v>
      </ns0:c>
      <ns0:c r="AS297" s="87" t="n">
        <ns0:v>-31.4</ns0:v>
      </ns0:c>
      <ns0:c r="AT297" s="87" t="n">
        <ns0:v>-50.24</ns0:v>
      </ns0:c>
      <ns0:c r="AU297" s="87" t="n">
        <ns0:v>-59.18</ns0:v>
      </ns0:c>
      <ns0:c r="AV297" s="87" t="n">
        <ns0:v>-22.77</ns0:v>
      </ns0:c>
      <ns0:c r="AW297" s="87" t="n">
        <ns0:v>-39.32</ns0:v>
      </ns0:c>
      <ns0:c r="AX297" s="87" t="n">
        <ns0:v>-63.87</ns0:v>
      </ns0:c>
      <ns0:c r="AY297" s="87" t="n">
        <ns0:v>-44.98</ns0:v>
      </ns0:c>
      <ns0:c r="AZ297" s="87" t="n">
        <ns0:v>-5.75</ns0:v>
      </ns0:c>
      <ns0:c r="BA297" s="87" t="n">
        <ns0:v>-5.26</ns0:v>
      </ns0:c>
      <ns0:c r="BB297" s="74" t="inlineStr">
        <ns0:is>
          <ns0:t>China Biotech ETF (HS biotech proxy)</ns0:t>
        </ns0:is>
      </ns0:c>
      <ns0:c r="BC297" s="87" t="n">
        <ns0:v>-70.93000000000001</ns0:v>
      </ns0:c>
      <ns0:c r="BD297" s="75" t="n">
        <ns0:v>46297</ns0:v>
      </ns0:c>
      <ns0:c r="BE297" s="76" t="n">
        <ns0:v>251.2</ns0:v>
      </ns0:c>
      <ns0:c r="BF297" s="79" t="n">
        <ns0:v>39.5</ns0:v>
      </ns0:c>
      <ns0:c r="BG297" s="74" t="inlineStr">
        <ns0:is>
          <ns0:t>Y</ns0:t>
        </ns0:is>
      </ns0:c>
      <ns0:c r="BH297" s="89" t="n">
        <ns0:v>12.7</ns0:v>
      </ns0:c>
      <ns0:c r="BI297" s="88" t="n"/>
      <ns0:c r="BJ297" s="88" t="n"/>
      <ns0:c r="BK297" s="89" t="n">
        <ns0:v>2</ns0:v>
      </ns0:c>
      <ns0:c r="BL297" s="90">
        <ns0:f>IFERROR(IF('BBG Verify'!S297="","Awaiting Bloomberg",'BBG Verify'!S297),"Awaiting Bloomberg")</ns0:f>
        <ns0:v/>
      </ns0:c>
      <ns0:c r="BM297" s="91" t="inlineStr">
        <ns0:is>
          <ns0:t>N</ns0:t>
        </ns0:is>
      </ns0:c>
      <ns0:c r="BN297" s="92">
        <ns0:f>IFERROR(IF('BBG Verify'!K297="","Awaiting Bloomberg",'BBG Verify'!K297),"Awaiting Bloomberg")</ns0:f>
        <ns0:v/>
      </ns0:c>
      <ns0:c r="BO297" s="74" t="inlineStr">
        <ns0:is>
          <ns0:t>N/A</ns0:t>
        </ns0:is>
      </ns0:c>
      <ns0:c r="BP297" s="74" t="inlineStr">
        <ns0:is>
          <ns0:t>N/A</ns0:t>
        </ns0:is>
      </ns0:c>
      <ns0:c r="BQ297" s="74" t="inlineStr">
        <ns0:is>
          <ns0:t>N/A</ns0:t>
        </ns0:is>
      </ns0:c>
      <ns0:c r="BR297" s="74" t="inlineStr">
        <ns0:is>
          <ns0:t>N/A</ns0:t>
        </ns0:is>
      </ns0:c>
      <ns0:c r="BS297" s="74" t="inlineStr">
        <ns0:is>
          <ns0:t>N/A</ns0:t>
        </ns0:is>
      </ns0:c>
      <ns0:c r="BT297" s="74" t="inlineStr">
        <ns0:is>
          <ns0:t>N/A</ns0:t>
        </ns0:is>
      </ns0:c>
      <ns0:c r="BU297" s="91" t="inlineStr">
        <ns0:is>
          <ns0:t>ABCI Capital Limited</ns0:t>
        </ns0:is>
      </ns0:c>
      <ns0:c r="BV297" s="74" t="inlineStr">
        <ns0:is>
          <ns0:t>ABCI Capital Limited</ns0:t>
        </ns0:is>
      </ns0:c>
      <ns0:c r="BW297" s="74" t="inlineStr">
        <ns0:is>
          <ns0:t>ABCI Capital Limited</ns0:t>
        </ns0:is>
      </ns0:c>
      <ns0:c r="BX297" s="74" t="inlineStr">
        <ns0:is>
          <ns0: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ns0:t>
        </ns0:is>
      </ns0:c>
      <ns0:c r="BY297" s="93">
        <ns0:f>HYPERLINK("https://www1.hkexnews.hk/listedco/listconews/sehk/2024/1211/2024121100009.pdf","prospectus")</ns0:f>
        <ns0:v/>
      </ns0:c>
      <ns0:c r="BZ297" s="93">
        <ns0:f>HYPERLINK("https://www1.hkexnews.hk/listedco/listconews/sehk/2024/1218/2024121801165.pdf","allotment")</ns0:f>
        <ns0:v/>
      </ns0:c>
      <ns0:c r="CA297" s="85" t="n"/>
      <ns0:c r="CB297" s="94" t="n"/>
      <ns0:c r="CC297" s="74" t="inlineStr">
        <ns0:is>
          <ns0:t>greenshoe: no over-allotment option; sponsor: English name not in the filing; AAStocks 保薦人 shown; greenshoe size: no over-allotment option; stabilising manager: filing states none appointed (allotment announcement: 'no stabilizing manager will be appointed' stated in the filing)</ns0:t>
        </ns0:is>
      </ns0:c>
    </ns0:row>
    <ns0:row r="298" ht="22" customHeight="1">
      <ns0:c r="A298" s="73" t="inlineStr">
        <ns0:is>
          <ns0:t>0999</ns0:t>
        </ns0:is>
      </ns0:c>
      <ns0:c r="B298" s="74" t="inlineStr">
        <ns0:is>
          <ns0:t>XIAOCAIYUAN</ns0:t>
        </ns0:is>
      </ns0:c>
      <ns0:c r="C298" s="74" t="inlineStr">
        <ns0:is>
          <ns0:t>小菜園</ns0:t>
        </ns0:is>
      </ns0:c>
      <ns0:c r="D298" s="74" t="inlineStr">
        <ns0:is>
          <ns0:t>Consumer</ns0:t>
        </ns0:is>
      </ns0:c>
      <ns0:c r="E298" s="74" t="inlineStr">
        <ns0:is>
          <ns0:t>F&amp;B chains / restaurants</ns0:t>
        </ns0:is>
      </ns0:c>
      <ns0:c r="F298" s="74" t="inlineStr">
        <ns0:is>
          <ns0:t>Restaurants</ns0:t>
        </ns0:is>
      </ns0:c>
      <ns0:c r="G298" s="74" t="inlineStr">
        <ns0:is>
          <ns0:t>Standard</ns0:t>
        </ns0:is>
      </ns0:c>
      <ns0:c r="H298" s="75" t="n">
        <ns0:v>45646</ns0:v>
      </ns0:c>
      <ns0:c r="I298" s="76" t="n">
        <ns0:v>794.8</ns0:v>
      </ns0:c>
      <ns0:c r="J298" s="74" t="inlineStr">
        <ns0:is>
          <ns0:t>gross (stated)</ns0:t>
        </ns0:is>
      </ns0:c>
      <ns0:c r="K298" s="95" t="n"/>
      <ns0:c r="L298" s="77" t="n">
        <ns0:v>8.5</ns0:v>
      </ns0:c>
      <ns0:c r="M298" s="77" t="n">
        <ns0:v>8.5</ns0:v>
      </ns0:c>
      <ns0:c r="N298" s="74" t="inlineStr">
        <ns0:is>
          <ns0:t>Y</ns0:t>
        </ns0:is>
      </ns0:c>
      <ns0:c r="O298" s="78" t="n">
        <ns0:v>100</ns0:v>
      </ns0:c>
      <ns0:c r="P298" s="84" t="n"/>
      <ns0:c r="Q298" s="79" t="n">
        <ns0:v>10000.4</ns0:v>
      </ns0:c>
      <ns0:c r="R298" s="74" t="inlineStr">
        <ns0:is>
          <ns0:t>derived:price x shares upon listing</ns0:t>
        </ns0:is>
      </ns0:c>
      <ns0:c r="S298" s="80" t="n">
        <ns0:v>1.44</ns0:v>
      </ns0:c>
      <ns0:c r="T298" s="81" t="n">
        <ns0:v>1.29</ns0:v>
      </ns0:c>
      <ns0:c r="U298" s="82" t="n">
        <ns0:v>0</ns0:v>
      </ns0:c>
      <ns0:c r="V298" s="83" t="n">
        <ns0:v>131</ns0:v>
      </ns0:c>
      <ns0:c r="W298" s="78" t="n">
        <ns0:v>10</ns0:v>
      </ns0:c>
      <ns0:c r="X298" s="74" t="inlineStr">
        <ns0:is>
          <ns0:t>NO</ns0:t>
        </ns0:is>
      </ns0:c>
      <ns0:c r="Y298" s="79" t="n">
        <ns0:v>794.8</ns0:v>
      </ns0:c>
      <ns0:c r="Z298" s="79" t="n">
        <ns0:v>101180800</ns0:v>
      </ns0:c>
      <ns0:c r="AA298" s="78" t="n">
        <ns0:v>7.95</ns0:v>
      </ns0:c>
      <ns0:c r="AB298" s="74" t="inlineStr">
        <ns0:is>
          <ns0:t>none — no cornerstone tranche</ns0:t>
        </ns0:is>
      </ns0:c>
      <ns0:c r="AC298" s="74" t="inlineStr">
        <ns0:is>
          <ns0:t>none</ns0:t>
        </ns0:is>
      </ns0:c>
      <ns0:c r="AD298" s="78" t="n">
        <ns0:v>6.4</ns0:v>
      </ns0:c>
      <ns0:c r="AE298" s="74" t="inlineStr">
        <ns0:is>
          <ns0:t>lapsed (no over-allocation)</ns0:t>
        </ns0:is>
      </ns0:c>
      <ns0:c r="AF298" s="74" t="inlineStr">
        <ns0:is>
          <ns0:t>2025-01-16</ns0:t>
        </ns0:is>
      </ns0:c>
      <ns0:c r="AG298" s="74" t="inlineStr">
        <ns0:is>
          <ns0:t>UBS AG Hong Kong Branch</ns0:t>
        </ns0:is>
      </ns0:c>
      <ns0:c r="AH298" s="74" t="inlineStr">
        <ns0:is>
          <ns0:t>UBS</ns0:t>
        </ns0:is>
      </ns0:c>
      <ns0:c r="AI298" s="86" t="n">
        <ns0:v>-0.82</ns0:v>
      </ns0:c>
      <ns0:c r="AJ298" s="87" t="n">
        <ns0:v>13.65</ns0:v>
      </ns0:c>
      <ns0:c r="AK298" s="87" t="n">
        <ns0:v>-0.11</ns0:v>
      </ns0:c>
      <ns0:c r="AL298" s="87" t="n">
        <ns0:v>5.88</ns0:v>
      </ns0:c>
      <ns0:c r="AM298" s="87" t="n">
        <ns0:v>7.34</ns0:v>
      </ns0:c>
      <ns0:c r="AN298" s="89" t="n">
        <ns0:v>0.77</ns0:v>
      </ns0:c>
      <ns0:c r="AO298" s="78" t="n">
        <ns0:v>13.33</ns0:v>
      </ns0:c>
      <ns0:c r="AP298" s="87" t="n">
        <ns0:v>7.41</ns0:v>
      </ns0:c>
      <ns0:c r="AQ298" s="87" t="n">
        <ns0:v>5.18</ns0:v>
      </ns0:c>
      <ns0:c r="AR298" s="87" t="n">
        <ns0:v>25.18</ns0:v>
      </ns0:c>
      <ns0:c r="AS298" s="87" t="n">
        <ns0:v>-5.49</ns0:v>
      </ns0:c>
      <ns0:c r="AT298" s="87" t="n">
        <ns0:v>-7.45</ns0:v>
      </ns0:c>
      <ns0:c r="AU298" s="87" t="n">
        <ns0:v>10.15</ns0:v>
      </ns0:c>
      <ns0:c r="AV298" s="87" t="n">
        <ns0:v>6.62</ns0:v>
      </ns0:c>
      <ns0:c r="AW298" s="87" t="n">
        <ns0:v>6.36</ns0:v>
      </ns0:c>
      <ns0:c r="AX298" s="87" t="n">
        <ns0:v>1.54</ns0:v>
      </ns0:c>
      <ns0:c r="AY298" s="87" t="n">
        <ns0:v>-6.38</ns0:v>
      </ns0:c>
      <ns0:c r="AZ298" s="87" t="n">
        <ns0:v>-1.18</ns0:v>
      </ns0:c>
      <ns0:c r="BA298" s="87" t="n">
        <ns0:v>-1.07</ns0:v>
      </ns0:c>
      <ns0:c r="BB298" s="74" t="inlineStr">
        <ns0:is>
          <ns0:t>Hang Seng Commerce &amp; Industry sub-index</ns0:t>
        </ns0:is>
      </ns0:c>
      <ns0:c r="BC298" s="87" t="n">
        <ns0:v>5.41</ns0:v>
      </ns0:c>
      <ns0:c r="BD298" s="75" t="n">
        <ns0:v>46297</ns0:v>
      </ns0:c>
      <ns0:c r="BE298" s="76" t="n">
        <ns0:v>5004.4</ns0:v>
      </ns0:c>
      <ns0:c r="BF298" s="79" t="n">
        <ns0:v>585.3</ns0:v>
      </ns0:c>
      <ns0:c r="BG298" s="74" t="inlineStr">
        <ns0:is>
          <ns0:t>Y</ns0:t>
        </ns0:is>
      </ns0:c>
      <ns0:c r="BH298" s="89" t="n">
        <ns0:v>17.1</ns0:v>
      </ns0:c>
      <ns0:c r="BI298" s="88" t="n"/>
      <ns0:c r="BJ298" s="88" t="n"/>
      <ns0:c r="BK298" s="89" t="n">
        <ns0:v>2</ns0:v>
      </ns0:c>
      <ns0:c r="BL298" s="90">
        <ns0:f>IFERROR(IF('BBG Verify'!S298="","Awaiting Bloomberg",'BBG Verify'!S298),"Awaiting Bloomberg")</ns0:f>
        <ns0:v/>
      </ns0:c>
      <ns0:c r="BM298" s="91" t="inlineStr">
        <ns0:is>
          <ns0:t>N</ns0:t>
        </ns0:is>
      </ns0:c>
      <ns0:c r="BN298" s="92">
        <ns0:f>IFERROR(IF('BBG Verify'!K298="","Awaiting Bloomberg",'BBG Verify'!K298),"Awaiting Bloomberg")</ns0:f>
        <ns0:v/>
      </ns0:c>
      <ns0:c r="BO298" s="74" t="inlineStr">
        <ns0:is>
          <ns0:t>N/A</ns0:t>
        </ns0:is>
      </ns0:c>
      <ns0:c r="BP298" s="74" t="inlineStr">
        <ns0:is>
          <ns0:t>N/A</ns0:t>
        </ns0:is>
      </ns0:c>
      <ns0:c r="BQ298" s="74" t="inlineStr">
        <ns0:is>
          <ns0:t>N/A</ns0:t>
        </ns0:is>
      </ns0:c>
      <ns0:c r="BR298" s="74" t="inlineStr">
        <ns0:is>
          <ns0:t>N/A</ns0:t>
        </ns0:is>
      </ns0:c>
      <ns0:c r="BS298" s="74" t="inlineStr">
        <ns0:is>
          <ns0:t>N/A</ns0:t>
        </ns0:is>
      </ns0:c>
      <ns0:c r="BT298" s="74" t="inlineStr">
        <ns0:is>
          <ns0:t>N/A</ns0:t>
        </ns0:is>
      </ns0:c>
      <ns0:c r="BU298" s="91" t="inlineStr">
        <ns0:is>
          <ns0:t>Huatai Financial Holdings (Hong Kong) Limited; UBS Securities Hong Kong Limited</ns0:t>
        </ns0:is>
      </ns0:c>
      <ns0:c r="BV298" s="74" t="inlineStr">
        <ns0:is>
          <ns0:t>UBS Securities Hong Kong Limited; Huatai Financial Holdings (Hong Kong) Limited</ns0:t>
        </ns0:is>
      </ns0:c>
      <ns0:c r="BW298" s="74" t="inlineStr">
        <ns0:is>
          <ns0:t>Huatai Financial Holdings (Hong Kong) Limited; UBS AG Hong Kong Branch; Guoyuan Securities Brokerage (Hong Kong) Limited; CMB International Capital Limited; ABCI Capital Limited; ICBC International Securities Limited</ns0:t>
        </ns0:is>
      </ns0:c>
      <ns0:c r="BX298" s="74" t="inlineStr">
        <ns0:is>
          <ns0: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ns0:t>
        </ns0:is>
      </ns0:c>
      <ns0:c r="BY298" s="93">
        <ns0:f>HYPERLINK("https://www1.hkexnews.hk/listedco/listconews/sehk/2024/1212/2024121200007.pdf","prospectus")</ns0:f>
        <ns0:v/>
      </ns0:c>
      <ns0:c r="BZ298" s="93">
        <ns0:f>HYPERLINK("https://www1.hkexnews.hk/listedco/listconews/sehk/2024/1219/2024121901317.pdf","allotment")</ns0:f>
        <ns0:v/>
      </ns0:c>
      <ns0:c r="CA298" s="93">
        <ns0:f>HYPERLINK("https://www1.hkexnews.hk/listedco/listconews/sehk/2025/0116/2025011600598.pdf","stabilisation")</ns0:f>
        <ns0:v/>
      </ns0:c>
      <ns0:c r="CB298" s="94" t="n"/>
      <ns0:c r="CC298" s="74" t="inlineStr">
        <ns0:is>
          <ns0:t>range low: maximum offer price only, no floor published; cornerstone list: no cornerstone tranche; public sub: AAStocks rounds the same figure; HKEX table kept</ns0:t>
        </ns0:is>
      </ns0:c>
    </ns0:row>
    <ns0:row r="299" ht="22" customHeight="1">
      <ns0:c r="A299" s="73" t="inlineStr">
        <ns0:is>
          <ns0:t>2432</ns0:t>
        </ns0:is>
      </ns0:c>
      <ns0:c r="B299" s="74" t="inlineStr">
        <ns0:is>
          <ns0:t>DOBOT</ns0:t>
        </ns0:is>
      </ns0:c>
      <ns0:c r="C299" s="74" t="inlineStr">
        <ns0:is>
          <ns0:t>越疆</ns0:t>
        </ns0:is>
      </ns0:c>
      <ns0:c r="D299" s="74" t="inlineStr">
        <ns0:is>
          <ns0:t>Technology</ns0:t>
        </ns0:is>
      </ns0:c>
      <ns0:c r="E299" s="74" t="inlineStr">
        <ns0:is>
          <ns0:t>Robotics &amp; autonomous driving</ns0:t>
        </ns0:is>
      </ns0:c>
      <ns0:c r="F299" s="74" t="inlineStr">
        <ns0:is>
          <ns0:t>Application Software</ns0:t>
        </ns0:is>
      </ns0:c>
      <ns0:c r="G299" s="74" t="inlineStr">
        <ns0:is>
          <ns0:t>Standard</ns0:t>
        </ns0:is>
      </ns0:c>
      <ns0:c r="H299" s="75" t="n">
        <ns0:v>45649</ns0:v>
      </ns0:c>
      <ns0:c r="I299" s="76" t="n">
        <ns0:v>752</ns0:v>
      </ns0:c>
      <ns0:c r="J299" s="74" t="inlineStr">
        <ns0:is>
          <ns0:t>gross (stated)</ns0:t>
        </ns0:is>
      </ns0:c>
      <ns0:c r="K299" s="95" t="n"/>
      <ns0:c r="L299" s="77" t="n">
        <ns0:v>20.8</ns0:v>
      </ns0:c>
      <ns0:c r="M299" s="77" t="n">
        <ns0:v>18.8</ns0:v>
      </ns0:c>
      <ns0:c r="N299" s="74" t="inlineStr">
        <ns0:is>
          <ns0:t>N</ns0:t>
        </ns0:is>
      </ns0:c>
      <ns0:c r="O299" s="78" t="n">
        <ns0:v>90.40000000000001</ns0:v>
      </ns0:c>
      <ns0:c r="P299" s="84" t="n"/>
      <ns0:c r="Q299" s="79" t="n">
        <ns0:v>6654.9</ns0:v>
      </ns0:c>
      <ns0:c r="R299" s="74" t="inlineStr">
        <ns0:is>
          <ns0:t>derived:deal size / offer % of enlarged capital</ns0:t>
        </ns0:is>
      </ns0:c>
      <ns0:c r="S299" s="80" t="n">
        <ns0:v>9.25</ns0:v>
      </ns0:c>
      <ns0:c r="T299" s="81" t="n">
        <ns0:v>2.64</ns0:v>
      </ns0:c>
      <ns0:c r="U299" s="82" t="n">
        <ns0:v>0</ns0:v>
      </ns0:c>
      <ns0:c r="V299" s="83" t="n">
        <ns0:v>124</ns0:v>
      </ns0:c>
      <ns0:c r="W299" s="78" t="n">
        <ns0:v>5</ns0:v>
      </ns0:c>
      <ns0:c r="X299" s="74" t="inlineStr">
        <ns0:is>
          <ns0:t>NO</ns0:t>
        </ns0:is>
      </ns0:c>
      <ns0:c r="Y299" s="79" t="n">
        <ns0:v>752</ns0:v>
      </ns0:c>
      <ns0:c r="Z299" s="79" t="n">
        <ns0:v>40000000</ns0:v>
      </ns0:c>
      <ns0:c r="AA299" s="78" t="n">
        <ns0:v>11.3</ns0:v>
      </ns0:c>
      <ns0:c r="AB299" s="74" t="inlineStr">
        <ns0:is>
          <ns0:t>none — no cornerstone tranche</ns0:t>
        </ns0:is>
      </ns0:c>
      <ns0:c r="AC299" s="74" t="inlineStr">
        <ns0:is>
          <ns0:t>none</ns0:t>
        </ns0:is>
      </ns0:c>
      <ns0:c r="AD299" s="78" t="n">
        <ns0:v>15</ns0:v>
      </ns0:c>
      <ns0:c r="AE299" s="74" t="inlineStr">
        <ns0:is>
          <ns0:t>partial</ns0:t>
        </ns0:is>
      </ns0:c>
      <ns0:c r="AF299" s="74" t="inlineStr">
        <ns0:is>
          <ns0:t>2025-01-17</ns0:t>
        </ns0:is>
      </ns0:c>
      <ns0:c r="AG299" s="74" t="inlineStr">
        <ns0:is>
          <ns0:t>Guotai Junan Securities</ns0:t>
        </ns0:is>
      </ns0:c>
      <ns0:c r="AH299" s="74" t="inlineStr">
        <ns0:is>
          <ns0:t>Guotai Junan</ns0:t>
        </ns0:is>
      </ns0:c>
      <ns0:c r="AI299" s="86" t="n">
        <ns0:v>8.779999999999999</ns0:v>
      </ns0:c>
      <ns0:c r="AJ299" s="87" t="n">
        <ns0:v>0.74</ns0:v>
      </ns0:c>
      <ns0:c r="AK299" s="87" t="n">
        <ns0:v>0.37</ns0:v>
      </ns0:c>
      <ns0:c r="AL299" s="87" t="n">
        <ns0:v>4.79</ns0:v>
      </ns0:c>
      <ns0:c r="AM299" s="87" t="n">
        <ns0:v>-3.86</ns0:v>
      </ns0:c>
      <ns0:c r="AN299" s="89" t="n">
        <ns0:v>1.55</ns0:v>
      </ns0:c>
      <ns0:c r="AO299" s="78" t="n">
        <ns0:v>13.3</ns0:v>
      </ns0:c>
      <ns0:c r="AP299" s="87" t="n">
        <ns0:v>1.6</ns0:v>
      </ns0:c>
      <ns0:c r="AQ299" s="87" t="n">
        <ns0:v>22.87</ns0:v>
      </ns0:c>
      <ns0:c r="AR299" s="87" t="n">
        <ns0:v>217.82</ns0:v>
      </ns0:c>
      <ns0:c r="AS299" s="87" t="n">
        <ns0:v>0.85</ns0:v>
      </ns0:c>
      <ns0:c r="AT299" s="87" t="n">
        <ns0:v>21.97</ns0:v>
      </ns0:c>
      <ns0:c r="AU299" s="87" t="n">
        <ns0:v>215.49</ns0:v>
      </ns0:c>
      <ns0:c r="AV299" s="87" t="n">
        <ns0:v>3.67</ns0:v>
      </ns0:c>
      <ns0:c r="AW299" s="87" t="n">
        <ns0:v>18.14</ns0:v>
      </ns0:c>
      <ns0:c r="AX299" s="87" t="n">
        <ns0:v>193.85</ns0:v>
      </ns0:c>
      <ns0:c r="AY299" s="87" t="n">
        <ns0:v>17.62</ns0:v>
      </ns0:c>
      <ns0:c r="AZ299" s="87" t="n">
        <ns0:v>4.73</ns0:v>
      </ns0:c>
      <ns0:c r="BA299" s="87" t="n">
        <ns0:v>4.35</ns0:v>
      </ns0:c>
      <ns0:c r="BB299" s="74" t="inlineStr">
        <ns0:is>
          <ns0:t>HSTECH (Hang Seng TECH ETF)</ns0:t>
        </ns0:is>
      </ns0:c>
      <ns0:c r="BC299" s="87" t="n">
        <ns0:v>10.96</ns0:v>
      </ns0:c>
      <ns0:c r="BD299" s="75" t="n">
        <ns0:v>46297</ns0:v>
      </ns0:c>
      <ns0:c r="BE299" s="76" t="n">
        <ns0:v>315.4</ns0:v>
      </ns0:c>
      <ns0:c r="BF299" s="79" t="n">
        <ns0:v>-113.6</ns0:v>
      </ns0:c>
      <ns0:c r="BG299" s="74" t="inlineStr">
        <ns0:is>
          <ns0:t>N</ns0:t>
        </ns0:is>
      </ns0:c>
      <ns0:c r="BH299" s="74" t="inlineStr">
        <ns0:is>
          <ns0:t>n/m</ns0:t>
        </ns0:is>
      </ns0:c>
      <ns0:c r="BI299" s="88" t="n"/>
      <ns0:c r="BJ299" s="88" t="n"/>
      <ns0:c r="BK299" s="89" t="n">
        <ns0:v>21.1</ns0:v>
      </ns0:c>
      <ns0:c r="BL299" s="90">
        <ns0:f>IFERROR(IF('BBG Verify'!S299="","Awaiting Bloomberg",'BBG Verify'!S299),"Awaiting Bloomberg")</ns0:f>
        <ns0:v/>
      </ns0:c>
      <ns0:c r="BM299" s="91" t="inlineStr">
        <ns0:is>
          <ns0:t>N</ns0:t>
        </ns0:is>
      </ns0:c>
      <ns0:c r="BN299" s="92">
        <ns0:f>IFERROR(IF('BBG Verify'!K299="","Awaiting Bloomberg",'BBG Verify'!K299),"Awaiting Bloomberg")</ns0:f>
        <ns0:v/>
      </ns0:c>
      <ns0:c r="BO299" s="74" t="inlineStr">
        <ns0:is>
          <ns0:t>N/A</ns0:t>
        </ns0:is>
      </ns0:c>
      <ns0:c r="BP299" s="74" t="inlineStr">
        <ns0:is>
          <ns0:t>N/A</ns0:t>
        </ns0:is>
      </ns0:c>
      <ns0:c r="BQ299" s="74" t="inlineStr">
        <ns0:is>
          <ns0:t>N/A</ns0:t>
        </ns0:is>
      </ns0:c>
      <ns0:c r="BR299" s="74" t="inlineStr">
        <ns0:is>
          <ns0:t>N/A</ns0:t>
        </ns0:is>
      </ns0:c>
      <ns0:c r="BS299" s="74" t="inlineStr">
        <ns0:is>
          <ns0:t>N/A</ns0:t>
        </ns0:is>
      </ns0:c>
      <ns0:c r="BT299" s="74" t="inlineStr">
        <ns0:is>
          <ns0:t>N/A</ns0:t>
        </ns0:is>
      </ns0:c>
      <ns0:c r="BU299" s="91" t="inlineStr">
        <ns0:is>
          <ns0:t>Guotai Junan Capital Limited; ABCI Capital Limited; OCs Guotai Junan Securities (Hong Kong) Limited</ns0:t>
        </ns0:is>
      </ns0:c>
      <ns0:c r="BV299" s="74" t="inlineStr">
        <ns0:is>
          <ns0:t>Guotai Junan Capital Limited; ABCI Capital Limited</ns0:t>
        </ns0:is>
      </ns0:c>
      <ns0:c r="BW299" s="74" t="inlineStr">
        <ns0:is>
          <ns0:t>Guotai Junan Securities (Hong Kong) Limited; ABCI Capital Limited; Shenwan Hongyuan Securities (H.K.) Limited; TradeGo Markets Limited</ns0:t>
        </ns0:is>
      </ns0:c>
      <ns0:c r="BX299" s="74" t="inlineStr">
        <ns0:is>
          <ns0:t>ABCI Securities Company Limited; China PA Securities (Hong Kong) Company Limited; Guotai Junan Securities (Hong Kong) Limited; Shenwan Hongyuan Securities (H.K.) Limited; TradeGo Markets Limited</ns0:t>
        </ns0:is>
      </ns0:c>
      <ns0:c r="BY299" s="93">
        <ns0:f>HYPERLINK("https://www1.hkexnews.hk/listedco/listconews/sehk/2024/1213/2024121300029.pdf","prospectus")</ns0:f>
        <ns0:v/>
      </ns0:c>
      <ns0:c r="BZ299" s="93">
        <ns0:f>HYPERLINK("https://www1.hkexnews.hk/listedco/listconews/sehk/2024/1220/2024122001962.pdf","allotment")</ns0:f>
        <ns0:v/>
      </ns0:c>
      <ns0:c r="CA299" s="93">
        <ns0:f>HYPERLINK("https://www1.hkexnews.hk/listedco/listconews/sehk/2025/0117/2025011701078.pdf","stabilisation")</ns0:f>
        <ns0:v/>
      </ns0:c>
      <ns0:c r="CB299" s="94" t="n"/>
      <ns0:c r="CC299" s="74" t="inlineStr">
        <ns0:is>
          <ns0:t>P/E: loss-making at IPO, use P/S; range low: maximum offer price only, no floor published; market cap: prospectus 'market capitalisation' line is the listing-rule threshold, not the issuer's figure; rejected; cornerstone list: no cornerstone tranche</ns0:t>
        </ns0:is>
      </ns0:c>
    </ns0:row>
    <ns0:row r="300" ht="22" customHeight="1">
      <ns0:c r="A300" s="73" t="inlineStr">
        <ns0:is>
          <ns0:t>2431</ns0:t>
        </ns0:is>
      </ns0:c>
      <ns0:c r="B300" s="74" t="inlineStr">
        <ns0:is>
          <ns0:t>MINIEYE</ns0:t>
        </ns0:is>
      </ns0:c>
      <ns0:c r="C300" s="74" t="inlineStr">
        <ns0:is>
          <ns0:t>佑駕創新</ns0:t>
        </ns0:is>
      </ns0:c>
      <ns0:c r="D300" s="74" t="inlineStr">
        <ns0:is>
          <ns0:t>Technology</ns0:t>
        </ns0:is>
      </ns0:c>
      <ns0:c r="E300" s="74" t="inlineStr">
        <ns0:is>
          <ns0:t>Robotics &amp; autonomous driving</ns0:t>
        </ns0:is>
      </ns0:c>
      <ns0:c r="F300" s="74" t="inlineStr">
        <ns0:is>
          <ns0:t>Application Software</ns0:t>
        </ns0:is>
      </ns0:c>
      <ns0:c r="G300" s="74" t="inlineStr">
        <ns0:is>
          <ns0:t>Standard</ns0:t>
        </ns0:is>
      </ns0:c>
      <ns0:c r="H300" s="75" t="n">
        <ns0:v>45653</ns0:v>
      </ns0:c>
      <ns0:c r="I300" s="76" t="n">
        <ns0:v>666.23</ns0:v>
      </ns0:c>
      <ns0:c r="J300" s="74" t="inlineStr">
        <ns0:is>
          <ns0:t>gross (stated)</ns0:t>
        </ns0:is>
      </ns0:c>
      <ns0:c r="K300" s="77" t="n">
        <ns0:v>17</ns0:v>
      </ns0:c>
      <ns0:c r="L300" s="77" t="n">
        <ns0:v>20.2</ns0:v>
      </ns0:c>
      <ns0:c r="M300" s="77" t="n">
        <ns0:v>17</ns0:v>
      </ns0:c>
      <ns0:c r="N300" s="74" t="inlineStr">
        <ns0:is>
          <ns0:t>N</ns0:t>
        </ns0:is>
      </ns0:c>
      <ns0:c r="O300" s="78" t="n">
        <ns0:v>84.2</ns0:v>
      </ns0:c>
      <ns0:c r="P300" s="78" t="n">
        <ns0:v>0</ns0:v>
      </ns0:c>
      <ns0:c r="Q300" s="79" t="n">
        <ns0:v>6002.1</ns0:v>
      </ns0:c>
      <ns0:c r="R300" s="74" t="inlineStr">
        <ns0:is>
          <ns0:t>derived:deal size / offer % of enlarged capital</ns0:t>
        </ns0:is>
      </ns0:c>
      <ns0:c r="S300" s="80" t="n">
        <ns0:v>14.04</ns0:v>
      </ns0:c>
      <ns0:c r="T300" s="81" t="n">
        <ns0:v>1.09</ns0:v>
      </ns0:c>
      <ns0:c r="U300" s="82" t="n">
        <ns0:v>81.09</ns0:v>
      </ns0:c>
      <ns0:c r="V300" s="83" t="n">
        <ns0:v>115</ns0:v>
      </ns0:c>
      <ns0:c r="W300" s="78" t="n">
        <ns0:v>10</ns0:v>
      </ns0:c>
      <ns0:c r="X300" s="74" t="inlineStr">
        <ns0:is>
          <ns0:t>NO</ns0:t>
        </ns0:is>
      </ns0:c>
      <ns0:c r="Y300" s="79" t="n">
        <ns0:v>125.98</ns0:v>
      </ns0:c>
      <ns0:c r="Z300" s="79" t="n">
        <ns0:v>7410829</ns0:v>
      </ns0:c>
      <ns0:c r="AA300" s="78" t="n">
        <ns0:v>2.1</ns0:v>
      </ns0:c>
      <ns0:c r="AB300" s="74" t="inlineStr">
        <ns0:is>
          <ns0:t>KCH International Investment Limited; Horizon Together Holding Ltd</ns0:t>
        </ns0:is>
      </ns0:c>
      <ns0:c r="AC300" s="74" t="inlineStr">
        <ns0:is>
          <ns0:t>kch;horizon</ns0:t>
        </ns0:is>
      </ns0:c>
      <ns0:c r="AD300" s="78" t="n">
        <ns0:v>2</ns0:v>
      </ns0:c>
      <ns0:c r="AE300" s="74" t="inlineStr">
        <ns0:is>
          <ns0:t>partial</ns0:t>
        </ns0:is>
      </ns0:c>
      <ns0:c r="AF300" s="74" t="inlineStr">
        <ns0:is>
          <ns0:t>2025-01-19</ns0:t>
        </ns0:is>
      </ns0:c>
      <ns0:c r="AG300" s="74" t="inlineStr">
        <ns0:is>
          <ns0:t>CLSA Limited</ns0:t>
        </ns0:is>
      </ns0:c>
      <ns0:c r="AH300" s="74" t="inlineStr">
        <ns0:is>
          <ns0:t>CLSA</ns0:t>
        </ns0:is>
      </ns0:c>
      <ns0:c r="AI300" s="86" t="n">
        <ns0:v>7.65</ns0:v>
      </ns0:c>
      <ns0:c r="AJ300" s="87" t="n">
        <ns0:v>14.12</ns0:v>
      </ns0:c>
      <ns0:c r="AK300" s="87" t="n">
        <ns0:v>0.68</ns0:v>
      </ns0:c>
      <ns0:c r="AL300" s="87" t="n">
        <ns0:v>9.41</ns0:v>
      </ns0:c>
      <ns0:c r="AM300" s="87" t="n">
        <ns0:v>4.3</ns0:v>
      </ns0:c>
      <ns0:c r="AN300" s="89" t="n">
        <ns0:v>1.53</ns0:v>
      </ns0:c>
      <ns0:c r="AO300" s="78" t="n">
        <ns0:v>9.460000000000001</ns0:v>
      </ns0:c>
      <ns0:c r="AP300" s="87" t="n">
        <ns0:v>2.94</ns0:v>
      </ns0:c>
      <ns0:c r="AQ300" s="87" t="n">
        <ns0:v>22.94</ns0:v>
      </ns0:c>
      <ns0:c r="AR300" s="87" t="n">
        <ns0:v>88.53</ns0:v>
      </ns0:c>
      <ns0:c r="AS300" s="87" t="n">
        <ns0:v>-9.800000000000001</ns0:v>
      </ns0:c>
      <ns0:c r="AT300" s="87" t="n">
        <ns0:v>7.73</ns0:v>
      </ns0:c>
      <ns0:c r="AU300" s="87" t="n">
        <ns0:v>65.2</ns0:v>
      </ns0:c>
      <ns0:c r="AV300" s="87" t="n">
        <ns0:v>5.52</ns0:v>
      </ns0:c>
      <ns0:c r="AW300" s="87" t="n">
        <ns0:v>18.33</ns0:v>
      </ns0:c>
      <ns0:c r="AX300" s="87" t="n">
        <ns0:v>69.06999999999999</ns0:v>
      </ns0:c>
      <ns0:c r="AY300" s="87" t="n">
        <ns0:v>3.82</ns0:v>
      </ns0:c>
      <ns0:c r="AZ300" s="87" t="n">
        <ns0:v>4.61</ns0:v>
      </ns0:c>
      <ns0:c r="BA300" s="87" t="n">
        <ns0:v>3.91</ns0:v>
      </ns0:c>
      <ns0:c r="BB300" s="74" t="inlineStr">
        <ns0:is>
          <ns0:t>HSTECH (Hang Seng TECH ETF)</ns0:t>
        </ns0:is>
      </ns0:c>
      <ns0:c r="BC300" s="87" t="n">
        <ns0:v>-88.88</ns0:v>
      </ns0:c>
      <ns0:c r="BD300" s="75" t="n">
        <ns0:v>46297</ns0:v>
      </ns0:c>
      <ns0:c r="BE300" s="76" t="n">
        <ns0:v>523.8</ns0:v>
      </ns0:c>
      <ns0:c r="BF300" s="79" t="n">
        <ns0:v>-227.9</ns0:v>
      </ns0:c>
      <ns0:c r="BG300" s="74" t="inlineStr">
        <ns0:is>
          <ns0:t>N</ns0:t>
        </ns0:is>
      </ns0:c>
      <ns0:c r="BH300" s="74" t="inlineStr">
        <ns0:is>
          <ns0:t>n/m</ns0:t>
        </ns0:is>
      </ns0:c>
      <ns0:c r="BI300" s="88" t="n"/>
      <ns0:c r="BJ300" s="88" t="n"/>
      <ns0:c r="BK300" s="89" t="n">
        <ns0:v>11.5</ns0:v>
      </ns0:c>
      <ns0:c r="BL300" s="90">
        <ns0:f>IFERROR(IF('BBG Verify'!S300="","Awaiting Bloomberg",'BBG Verify'!S300),"Awaiting Bloomberg")</ns0:f>
        <ns0:v/>
      </ns0:c>
      <ns0:c r="BM300" s="91" t="inlineStr">
        <ns0:is>
          <ns0:t>N</ns0:t>
        </ns0:is>
      </ns0:c>
      <ns0:c r="BN300" s="92">
        <ns0:f>IFERROR(IF('BBG Verify'!K300="","Awaiting Bloomberg",'BBG Verify'!K300),"Awaiting Bloomberg")</ns0:f>
        <ns0:v/>
      </ns0:c>
      <ns0:c r="BO300" s="74" t="inlineStr">
        <ns0:is>
          <ns0:t>N/A</ns0:t>
        </ns0:is>
      </ns0:c>
      <ns0:c r="BP300" s="74" t="inlineStr">
        <ns0:is>
          <ns0:t>N/A</ns0:t>
        </ns0:is>
      </ns0:c>
      <ns0:c r="BQ300" s="74" t="inlineStr">
        <ns0:is>
          <ns0:t>N/A</ns0:t>
        </ns0:is>
      </ns0:c>
      <ns0:c r="BR300" s="74" t="inlineStr">
        <ns0:is>
          <ns0:t>N/A</ns0:t>
        </ns0:is>
      </ns0:c>
      <ns0:c r="BS300" s="74" t="inlineStr">
        <ns0:is>
          <ns0:t>N/A</ns0:t>
        </ns0:is>
      </ns0:c>
      <ns0:c r="BT300" s="74" t="inlineStr">
        <ns0:is>
          <ns0:t>N/A</ns0:t>
        </ns0:is>
      </ns0:c>
      <ns0:c r="BU300" s="91" t="inlineStr">
        <ns0:is>
          <ns0:t>CITIC Securities (Hong Kong) Limited; China International Capital Corporation Hong Kong Securities Limited</ns0:t>
        </ns0:is>
      </ns0:c>
      <ns0:c r="BV300" s="74" t="inlineStr">
        <ns0:is>
          <ns0:t>China International Capital Corporation Hong Kong Securities Limited; CITIC Securities (Hong Kong) Limited</ns0:t>
        </ns0:is>
      </ns0:c>
      <ns0:c r="BW300" s="74" t="inlineStr">
        <ns0:is>
          <ns0:t>BOCI Asia Limited; CMBC Securities Company Limited; Futu Securities International (Hong Kong) Limited; Phillip Securities (Hong Kong) Limited; Shenwan Hongyuan Securities (H.K.) Limited; SPDB International Capital Limited; Tiger Brokers (HK) Global Limited</ns0:t>
        </ns0:is>
      </ns0:c>
      <ns0:c r="BX300" s="74" t="inlineStr">
        <ns0:is>
          <ns0: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ns0:t>
        </ns0:is>
      </ns0:c>
      <ns0:c r="BY300" s="93">
        <ns0:f>HYPERLINK("https://www1.hkexnews.hk/listedco/listconews/sehk/2024/1217/2024121700015.pdf","prospectus")</ns0:f>
        <ns0:v/>
      </ns0:c>
      <ns0:c r="BZ300" s="93">
        <ns0:f>HYPERLINK("https://www1.hkexnews.hk/listedco/listconews/sehk/2024/1224/2024122401190.pdf","allotment")</ns0:f>
        <ns0:v/>
      </ns0:c>
      <ns0:c r="CA300" s="93">
        <ns0:f>HYPERLINK("https://www1.hkexnews.hk/listedco/listconews/sehk/2025/0120/2025012000812.pdf","stabilisation")</ns0:f>
        <ns0:v/>
      </ns0:c>
      <ns0:c r="CB300" s="94" t="n"/>
      <ns0:c r="CC300" s="74" t="inlineStr">
        <ns0:is>
          <ns0:t>P/E: loss-making at IPO, use P/S</ns0:t>
        </ns0:is>
      </ns0:c>
    </ns0:row>
    <ns0:row r="301" ht="22" customHeight="1">
      <ns0:c r="A301" s="73" t="inlineStr">
        <ns0:is>
          <ns0:t>2587</ns0:t>
        </ns0:is>
      </ns0:c>
      <ns0:c r="B301" s="74" t="inlineStr">
        <ns0:is>
          <ns0:t>HEALTHYWAY INC</ns0:t>
        </ns0:is>
      </ns0:c>
      <ns0:c r="C301" s="74" t="inlineStr">
        <ns0:is>
          <ns0:t>健康之路</ns0:t>
        </ns0:is>
      </ns0:c>
      <ns0:c r="D301" s="74" t="inlineStr">
        <ns0:is>
          <ns0:t>Healthcare</ns0:t>
        </ns0:is>
      </ns0:c>
      <ns0:c r="E301" s="74" t="inlineStr">
        <ns0:is>
          <ns0:t>Digital health</ns0:t>
        </ns0:is>
      </ns0:c>
      <ns0:c r="F301" s="74" t="inlineStr">
        <ns0:is>
          <ns0:t>Health Care Services</ns0:t>
        </ns0:is>
      </ns0:c>
      <ns0:c r="G301" s="74" t="inlineStr">
        <ns0:is>
          <ns0:t>Standard</ns0:t>
        </ns0:is>
      </ns0:c>
      <ns0:c r="H301" s="75" t="n">
        <ns0:v>45656</ns0:v>
      </ns0:c>
      <ns0:c r="I301" s="76" t="n">
        <ns0:v>195</ns0:v>
      </ns0:c>
      <ns0:c r="J301" s="74" t="inlineStr">
        <ns0:is>
          <ns0:t>gross (stated)</ns0:t>
        </ns0:is>
      </ns0:c>
      <ns0:c r="K301" s="77" t="n">
        <ns0:v>7.8</ns0:v>
      </ns0:c>
      <ns0:c r="L301" s="77" t="n">
        <ns0:v>8.800000000000001</ns0:v>
      </ns0:c>
      <ns0:c r="M301" s="77" t="n">
        <ns0:v>7.8</ns0:v>
      </ns0:c>
      <ns0:c r="N301" s="74" t="inlineStr">
        <ns0:is>
          <ns0:t>N</ns0:t>
        </ns0:is>
      </ns0:c>
      <ns0:c r="O301" s="78" t="n">
        <ns0:v>88.59999999999999</ns0:v>
      </ns0:c>
      <ns0:c r="P301" s="78" t="n">
        <ns0:v>0</ns0:v>
      </ns0:c>
      <ns0:c r="Q301" s="79" t="n">
        <ns0:v>6846.1</ns0:v>
      </ns0:c>
      <ns0:c r="R301" s="74" t="inlineStr">
        <ns0:is>
          <ns0:t>derived:price x shares upon listing</ns0:t>
        </ns0:is>
      </ns0:c>
      <ns0:c r="S301" s="80" t="n">
        <ns0:v>34.42</ns0:v>
      </ns0:c>
      <ns0:c r="T301" s="81" t="n">
        <ns0:v>0.98</ns0:v>
      </ns0:c>
      <ns0:c r="U301" s="82" t="n">
        <ns0:v>51.23</ns0:v>
      </ns0:c>
      <ns0:c r="V301" s="83" t="n">
        <ns0:v>108</ns0:v>
      </ns0:c>
      <ns0:c r="W301" s="78" t="n">
        <ns0:v>13.2</ns0:v>
      </ns0:c>
      <ns0:c r="X301" s="74" t="inlineStr">
        <ns0:is>
          <ns0:t>NO</ns0:t>
        </ns0:is>
      </ns0:c>
      <ns0:c r="Y301" s="79" t="n">
        <ns0:v>95.09999999999999</ns0:v>
      </ns0:c>
      <ns0:c r="Z301" s="79" t="n">
        <ns0:v>12192500</ns0:v>
      </ns0:c>
      <ns0:c r="AA301" s="78" t="n">
        <ns0:v>1.39</ns0:v>
      </ns0:c>
      <ns0:c r="AB301" s="74" t="inlineStr">
        <ns0:is>
          <ns0:t>Hengqin Guangdong Macao Deep Cooperation Zone Industrial Investment Fund (Limited Partnership)</ns0:t>
        </ns0:is>
      </ns0:c>
      <ns0:c r="AC301" s="74" t="inlineStr">
        <ns0:is>
          <ns0:t>hengqin</ns0:t>
        </ns0:is>
      </ns0:c>
      <ns0:c r="AD301" s="84" t="n"/>
      <ns0:c r="AE301" s="85" t="n"/>
      <ns0:c r="AF301" s="85" t="n"/>
      <ns0:c r="AG301" s="85" t="n"/>
      <ns0:c r="AH301" s="85" t="n"/>
      <ns0:c r="AI301" s="86" t="n">
        <ns0:v>23.33</ns0:v>
      </ns0:c>
      <ns0:c r="AJ301" s="87" t="n">
        <ns0:v>36.67</ns0:v>
      </ns0:c>
      <ns0:c r="AK301" s="87" t="n">
        <ns0:v>0.67</ns0:v>
      </ns0:c>
      <ns0:c r="AL301" s="87" t="n">
        <ns0:v>27.56</ns0:v>
      </ns0:c>
      <ns0:c r="AM301" s="87" t="n">
        <ns0:v>7.14</ns0:v>
      </ns0:c>
      <ns0:c r="AN301" s="89" t="n">
        <ns0:v>0.99</ns0:v>
      </ns0:c>
      <ns0:c r="AO301" s="78" t="n">
        <ns0:v>13.07</ns0:v>
      </ns0:c>
      <ns0:c r="AP301" s="87" t="n">
        <ns0:v>97.95</ns0:v>
      </ns0:c>
      <ns0:c r="AQ301" s="87" t="n">
        <ns0:v>71.79000000000001</ns0:v>
      </ns0:c>
      <ns0:c r="AR301" s="87" t="n">
        <ns0:v>303.21</ns0:v>
      </ns0:c>
      <ns0:c r="AS301" s="87" t="n">
        <ns0:v>44.84</ns0:v>
      </ns0:c>
      <ns0:c r="AT301" s="87" t="n">
        <ns0:v>25.7</ns0:v>
      </ns0:c>
      <ns0:c r="AU301" s="87" t="n">
        <ns0:v>195.02</ns0:v>
      </ns0:c>
      <ns0:c r="AV301" s="87" t="n">
        <ns0:v>102.77</ns0:v>
      </ns0:c>
      <ns0:c r="AW301" s="87" t="n">
        <ns0:v>74.68000000000001</ns0:v>
      </ns0:c>
      <ns0:c r="AX301" s="87" t="n">
        <ns0:v>282.84</ns0:v>
      </ns0:c>
      <ns0:c r="AY301" s="87" t="n">
        <ns0:v>29.24</ns0:v>
      </ns0:c>
      <ns0:c r="AZ301" s="87" t="n">
        <ns0:v>-2.89</ns0:v>
      </ns0:c>
      <ns0:c r="BA301" s="87" t="n">
        <ns0:v>-3.54</ns0:v>
      </ns0:c>
      <ns0:c r="BB301" s="74" t="inlineStr">
        <ns0:is>
          <ns0:t>China Biotech ETF (HS biotech proxy)</ns0:t>
        </ns0:is>
      </ns0:c>
      <ns0:c r="BC301" s="87" t="n">
        <ns0:v>-91.54000000000001</ns0:v>
      </ns0:c>
      <ns0:c r="BD301" s="75" t="n">
        <ns0:v>46297</ns0:v>
      </ns0:c>
      <ns0:c r="BE301" s="76" t="n">
        <ns0:v>1320.9</ns0:v>
      </ns0:c>
      <ns0:c r="BF301" s="79" t="n">
        <ns0:v>-345.3</ns0:v>
      </ns0:c>
      <ns0:c r="BG301" s="74" t="inlineStr">
        <ns0:is>
          <ns0:t>N</ns0:t>
        </ns0:is>
      </ns0:c>
      <ns0:c r="BH301" s="74" t="inlineStr">
        <ns0:is>
          <ns0:t>n/m</ns0:t>
        </ns0:is>
      </ns0:c>
      <ns0:c r="BI301" s="88" t="n"/>
      <ns0:c r="BJ301" s="89" t="n">
        <ns0:v>26.7</ns0:v>
      </ns0:c>
      <ns0:c r="BK301" s="89" t="n">
        <ns0:v>5.2</ns0:v>
      </ns0:c>
      <ns0:c r="BL301" s="90">
        <ns0:f>IFERROR(IF('BBG Verify'!S301="","Awaiting Bloomberg",'BBG Verify'!S301),"Awaiting Bloomberg")</ns0:f>
        <ns0:v/>
      </ns0:c>
      <ns0:c r="BM301" s="91" t="inlineStr">
        <ns0:is>
          <ns0:t>N</ns0:t>
        </ns0:is>
      </ns0:c>
      <ns0:c r="BN301" s="92">
        <ns0:f>IFERROR(IF('BBG Verify'!K301="","Awaiting Bloomberg",'BBG Verify'!K301),"Awaiting Bloomberg")</ns0:f>
        <ns0:v/>
      </ns0:c>
      <ns0:c r="BO301" s="74" t="inlineStr">
        <ns0:is>
          <ns0:t>N/A</ns0:t>
        </ns0:is>
      </ns0:c>
      <ns0:c r="BP301" s="74" t="inlineStr">
        <ns0:is>
          <ns0:t>N/A</ns0:t>
        </ns0:is>
      </ns0:c>
      <ns0:c r="BQ301" s="74" t="inlineStr">
        <ns0:is>
          <ns0:t>N/A</ns0:t>
        </ns0:is>
      </ns0:c>
      <ns0:c r="BR301" s="74" t="inlineStr">
        <ns0:is>
          <ns0:t>N/A</ns0:t>
        </ns0:is>
      </ns0:c>
      <ns0:c r="BS301" s="74" t="inlineStr">
        <ns0:is>
          <ns0:t>N/A</ns0:t>
        </ns0:is>
      </ns0:c>
      <ns0:c r="BT301" s="74" t="inlineStr">
        <ns0:is>
          <ns0:t>N/A</ns0:t>
        </ns0:is>
      </ns0:c>
      <ns0:c r="BU301" s="91" t="inlineStr">
        <ns0:is>
          <ns0:t>CCB Intern ational Capital Limited; (Note) Bristol Capital Limited</ns0:t>
        </ns0:is>
      </ns0:c>
      <ns0:c r="BV301" s="74" t="inlineStr">
        <ns0:is>
          <ns0:t>CCB International Capital Limited</ns0:t>
        </ns0:is>
      </ns0:c>
      <ns0:c r="BW301" s="74" t="inlineStr">
        <ns0:is>
          <ns0: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ns0:t>
        </ns0:is>
      </ns0:c>
      <ns0:c r="BX301" s="74" t="inlineStr">
        <ns0:is>
          <ns0: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ns0:t>
        </ns0:is>
      </ns0:c>
      <ns0:c r="BY301" s="93">
        <ns0:f>HYPERLINK("https://www1.hkexnews.hk/listedco/listconews/sehk/2024/1218/2024121800023.pdf","prospectus")</ns0:f>
        <ns0:v/>
      </ns0:c>
      <ns0:c r="BZ301" s="93">
        <ns0:f>HYPERLINK("https://www1.hkexnews.hk/listedco/listconews/sehk/2024/1227/2024122701758.pdf","allotment")</ns0:f>
        <ns0:v/>
      </ns0:c>
      <ns0:c r="CA301" s="85" t="n"/>
      <ns0:c r="CB301" s="94" t="n"/>
      <ns0:c r="CC301" s="74" t="inlineStr">
        <ns0:is>
          <ns0:t>P/E: loss-making at IPO, use P/S; greenshoe: no over-allotment option; greenshoe size: no over-allotment option; stabilising manager: no over-allotment option, so none appointed</ns0:t>
        </ns0:is>
      </ns0:c>
    </ns0:row>
    <ns0:row r="302" ht="22" customHeight="1">
      <ns0:c r="A302" s="73" t="inlineStr">
        <ns0:is>
          <ns0:t>2577</ns0:t>
        </ns0:is>
      </ns0:c>
      <ns0:c r="B302" s="74" t="inlineStr">
        <ns0:is>
          <ns0:t>INNOSCIENCE</ns0:t>
        </ns0:is>
      </ns0:c>
      <ns0:c r="C302" s="74" t="inlineStr">
        <ns0:is>
          <ns0:t>英諾賽科</ns0:t>
        </ns0:is>
      </ns0:c>
      <ns0:c r="D302" s="74" t="inlineStr">
        <ns0:is>
          <ns0:t>Technology</ns0:t>
        </ns0:is>
      </ns0:c>
      <ns0:c r="E302" s="74" t="inlineStr">
        <ns0:is>
          <ns0:t>Semiconductors</ns0:t>
        </ns0:is>
      </ns0:c>
      <ns0:c r="F302" s="74" t="inlineStr">
        <ns0:is>
          <ns0:t>Semiconductors &amp; Semiconductor Equipment</ns0:t>
        </ns0:is>
      </ns0:c>
      <ns0:c r="G302" s="74" t="inlineStr">
        <ns0:is>
          <ns0:t>Standard</ns0:t>
        </ns0:is>
      </ns0:c>
      <ns0:c r="H302" s="75" t="n">
        <ns0:v>45656</ns0:v>
      </ns0:c>
      <ns0:c r="I302" s="76" t="n">
        <ns0:v>1399.9</ns0:v>
      </ns0:c>
      <ns0:c r="J302" s="74" t="inlineStr">
        <ns0:is>
          <ns0:t>gross (price x shares)</ns0:t>
        </ns0:is>
      </ns0:c>
      <ns0:c r="K302" s="77" t="n">
        <ns0:v>30.86</ns0:v>
      </ns0:c>
      <ns0:c r="L302" s="77" t="n">
        <ns0:v>33.66</ns0:v>
      </ns0:c>
      <ns0:c r="M302" s="77" t="n">
        <ns0:v>30.86</ns0:v>
      </ns0:c>
      <ns0:c r="N302" s="74" t="inlineStr">
        <ns0:is>
          <ns0:t>N</ns0:t>
        </ns0:is>
      </ns0:c>
      <ns0:c r="O302" s="78" t="n">
        <ns0:v>91.7</ns0:v>
      </ns0:c>
      <ns0:c r="P302" s="78" t="n">
        <ns0:v>0</ns0:v>
      </ns0:c>
      <ns0:c r="Q302" s="79" t="n">
        <ns0:v>24873.7</ns0:v>
      </ns0:c>
      <ns0:c r="R302" s="74" t="inlineStr">
        <ns0:is>
          <ns0:t>prospectus:stated market capitalisation, rescaled to the offer price</ns0:t>
        </ns0:is>
      </ns0:c>
      <ns0:c r="S302" s="80" t="n">
        <ns0:v>2.87</ns0:v>
      </ns0:c>
      <ns0:c r="T302" s="81" t="n">
        <ns0:v>1.41</ns0:v>
      </ns0:c>
      <ns0:c r="U302" s="82" t="n">
        <ns0:v>55.38</ns0:v>
      </ns0:c>
      <ns0:c r="V302" s="83" t="n">
        <ns0:v>133</ns0:v>
      </ns0:c>
      <ns0:c r="W302" s="78" t="n">
        <ns0:v>10</ns0:v>
      </ns0:c>
      <ns0:c r="X302" s="74" t="inlineStr">
        <ns0:is>
          <ns0:t>NO</ns0:t>
        </ns0:is>
      </ns0:c>
      <ns0:c r="Y302" s="79" t="n">
        <ns0:v>624.64</ns0:v>
      </ns0:c>
      <ns0:c r="Z302" s="79" t="n">
        <ns0:v>20241417</ns0:v>
      </ns0:c>
      <ns0:c r="AA302" s="78" t="n">
        <ns0:v>2.51</ns0:v>
      </ns0:c>
      <ns0:c r="AB302" s="74" t="inlineStr">
        <ns0:is>
          <ns0:t>STMicroelectro nics Limited; Jiangsu Govtor Inno Technology Innovation Limited Notes 2 and 4; HK InnoSC Limited Notes 2 and 4; Inno CL. Limited Notes 3 and 4</ns0:t>
        </ns0:is>
      </ns0:c>
      <ns0:c r="AC302" s="74" t="inlineStr">
        <ns0:is>
          <ns0:t>stmicroelectro;jiangsu;innosc;inno</ns0:t>
        </ns0:is>
      </ns0:c>
      <ns0:c r="AD302" s="78" t="n">
        <ns0:v>5.3</ns0:v>
      </ns0:c>
      <ns0:c r="AE302" s="74" t="inlineStr">
        <ns0:is>
          <ns0:t>partial</ns0:t>
        </ns0:is>
      </ns0:c>
      <ns0:c r="AF302" s="85" t="n"/>
      <ns0:c r="AG302" s="74" t="inlineStr">
        <ns0:is>
          <ns0:t>China International Capital Corporation Hong Kong Securities Limited</ns0:t>
        </ns0:is>
      </ns0:c>
      <ns0:c r="AH302" s="74" t="inlineStr">
        <ns0:is>
          <ns0:t>China International</ns0:t>
        </ns0:is>
      </ns0:c>
      <ns0:c r="AI302" s="86" t="n">
        <ns0:v>0.9399999999999999</ns0:v>
      </ns0:c>
      <ns0:c r="AJ302" s="87" t="n">
        <ns0:v>0.45</ns0:v>
      </ns0:c>
      <ns0:c r="AK302" s="87" t="n">
        <ns0:v>-0.85</ns0:v>
      </ns0:c>
      <ns0:c r="AL302" s="87" t="n">
        <ns0:v>0.45</ns0:v>
      </ns0:c>
      <ns0:c r="AM302" s="87" t="n">
        <ns0:v>0</ns0:v>
      </ns0:c>
      <ns0:c r="AN302" s="89" t="n">
        <ns0:v>0.65</ns0:v>
      </ns0:c>
      <ns0:c r="AO302" s="78" t="n">
        <ns0:v>11.13</ns0:v>
      </ns0:c>
      <ns0:c r="AP302" s="87" t="n">
        <ns0:v>-0.03</ns0:v>
      </ns0:c>
      <ns0:c r="AQ302" s="87" t="n">
        <ns0:v>32.7</ns0:v>
      </ns0:c>
      <ns0:c r="AR302" s="87" t="n">
        <ns0:v>44.2</ns0:v>
      </ns0:c>
      <ns0:c r="AS302" s="87" t="n">
        <ns0:v>-0.48</ns0:v>
      </ns0:c>
      <ns0:c r="AT302" s="87" t="n">
        <ns0:v>32.11</ns0:v>
      </ns0:c>
      <ns0:c r="AU302" s="87" t="n">
        <ns0:v>43.55</ns0:v>
      </ns0:c>
      <ns0:c r="AV302" s="87" t="n">
        <ns0:v>4.01</ns0:v>
      </ns0:c>
      <ns0:c r="AW302" s="87" t="n">
        <ns0:v>28.3</ns0:v>
      </ns0:c>
      <ns0:c r="AX302" s="87" t="n">
        <ns0:v>24.98</ns0:v>
      </ns0:c>
      <ns0:c r="AY302" s="87" t="n">
        <ns0:v>26.81</ns0:v>
      </ns0:c>
      <ns0:c r="AZ302" s="87" t="n">
        <ns0:v>4.4</ns0:v>
      </ns0:c>
      <ns0:c r="BA302" s="87" t="n">
        <ns0:v>5.3</ns0:v>
      </ns0:c>
      <ns0:c r="BB302" s="74" t="inlineStr">
        <ns0:is>
          <ns0:t>HSTECH (Hang Seng TECH ETF)</ns0:t>
        </ns0:is>
      </ns0:c>
      <ns0:c r="BC302" s="87" t="n">
        <ns0:v>25.47</ns0:v>
      </ns0:c>
      <ns0:c r="BD302" s="75" t="n">
        <ns0:v>46297</ns0:v>
      </ns0:c>
      <ns0:c r="BE302" s="76" t="n">
        <ns0:v>652</ns0:v>
      </ns0:c>
      <ns0:c r="BF302" s="79" t="n">
        <ns0:v>-1212.1</ns0:v>
      </ns0:c>
      <ns0:c r="BG302" s="74" t="inlineStr">
        <ns0:is>
          <ns0:t>N</ns0:t>
        </ns0:is>
      </ns0:c>
      <ns0:c r="BH302" s="74" t="inlineStr">
        <ns0:is>
          <ns0:t>n/m</ns0:t>
        </ns0:is>
      </ns0:c>
      <ns0:c r="BI302" s="88" t="n"/>
      <ns0:c r="BJ302" s="88" t="n"/>
      <ns0:c r="BK302" s="89" t="n">
        <ns0:v>38.1</ns0:v>
      </ns0:c>
      <ns0:c r="BL302" s="90">
        <ns0:f>IFERROR(IF('BBG Verify'!S302="","Awaiting Bloomberg",'BBG Verify'!S302),"Awaiting Bloomberg")</ns0:f>
        <ns0:v/>
      </ns0:c>
      <ns0:c r="BM302" s="91" t="inlineStr">
        <ns0:is>
          <ns0:t>N</ns0:t>
        </ns0:is>
      </ns0:c>
      <ns0:c r="BN302" s="92">
        <ns0:f>IFERROR(IF('BBG Verify'!K302="","Awaiting Bloomberg",'BBG Verify'!K302),"Awaiting Bloomberg")</ns0:f>
        <ns0:v/>
      </ns0:c>
      <ns0:c r="BO302" s="74" t="inlineStr">
        <ns0:is>
          <ns0:t>N/A</ns0:t>
        </ns0:is>
      </ns0:c>
      <ns0:c r="BP302" s="74" t="inlineStr">
        <ns0:is>
          <ns0:t>N/A</ns0:t>
        </ns0:is>
      </ns0:c>
      <ns0:c r="BQ302" s="74" t="inlineStr">
        <ns0:is>
          <ns0:t>N/A</ns0:t>
        </ns0:is>
      </ns0:c>
      <ns0:c r="BR302" s="74" t="inlineStr">
        <ns0:is>
          <ns0:t>N/A</ns0:t>
        </ns0:is>
      </ns0:c>
      <ns0:c r="BS302" s="74" t="inlineStr">
        <ns0:is>
          <ns0:t>N/A</ns0:t>
        </ns0:is>
      </ns0:c>
      <ns0:c r="BT302" s="74" t="inlineStr">
        <ns0:is>
          <ns0:t>N/A</ns0:t>
        </ns0:is>
      </ns0:c>
      <ns0:c r="BU302" s="91" t="inlineStr">
        <ns0:is>
          <ns0:t>CMB International Capital Limited</ns0:t>
        </ns0:is>
      </ns0:c>
      <ns0:c r="BV302" s="74" t="inlineStr">
        <ns0:is>
          <ns0:t>China International Capital Corporation Hong Kong Securities Limited; CMB International Capital Corporation Limited</ns0:t>
        </ns0:is>
      </ns0:c>
      <ns0:c r="BW302" s="74" t="inlineStr">
        <ns0:is>
          <ns0: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ns0:t>
        </ns0:is>
      </ns0:c>
      <ns0:c r="BX302" s="74" t="inlineStr">
        <ns0:is>
          <ns0: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ns0:t>
        </ns0:is>
      </ns0:c>
      <ns0:c r="BY302" s="93">
        <ns0:f>HYPERLINK("https://www1.hkexnews.hk/listedco/listconews/sehk/2024/1218/2024121800031.pdf","prospectus")</ns0:f>
        <ns0:v/>
      </ns0:c>
      <ns0:c r="BZ302" s="93">
        <ns0:f>HYPERLINK("https://www1.hkexnews.hk/listedco/listconews/sehk/2024/1227/2024122701822.pdf","allotment")</ns0:f>
        <ns0:v/>
      </ns0:c>
      <ns0:c r="CA302" s="93">
        <ns0:f>HYPERLINK("https://www1.hkexnews.hk/listedco/listconews/sehk/2025/0122/2025012200846.pdf","stabilisation")</ns0:f>
        <ns0:v/>
      </ns0:c>
      <ns0:c r="CB302" s="94" t="n"/>
      <ns0:c r="CC302" s="74" t="inlineStr">
        <ns0:is>
          <ns0:t>P/E: loss-making at IPO, use P/S; greenshoe: outcome published; expiry date not in the notice; market cap: prospectus cap HK$27,131m at HK$33.66, rescaled to HK$30.86</ns0:t>
        </ns0:is>
      </ns0:c>
    </ns0:row>
    <ns0:row r="303" ht="22" customHeight="1">
      <ns0:c r="A303" s="73" t="inlineStr">
        <ns0:is>
          <ns0:t>2506</ns0:t>
        </ns0:is>
      </ns0:c>
      <ns0:c r="B303" s="74" t="inlineStr">
        <ns0:is>
          <ns0:t>XUNFEIHEALTH</ns0:t>
        </ns0:is>
      </ns0:c>
      <ns0:c r="C303" s="74" t="inlineStr">
        <ns0:is>
          <ns0:t>訊飛醫療科技</ns0:t>
        </ns0:is>
      </ns0:c>
      <ns0:c r="D303" s="74" t="inlineStr">
        <ns0:is>
          <ns0:t>Healthcare</ns0:t>
        </ns0:is>
      </ns0:c>
      <ns0:c r="E303" s="74" t="inlineStr">
        <ns0:is>
          <ns0:t>Digital health</ns0:t>
        </ns0:is>
      </ns0:c>
      <ns0:c r="F303" s="74" t="inlineStr">
        <ns0:is>
          <ns0:t>Health Care Services</ns0:t>
        </ns0:is>
      </ns0:c>
      <ns0:c r="G303" s="74" t="inlineStr">
        <ns0:is>
          <ns0:t>Standard</ns0:t>
        </ns0:is>
      </ns0:c>
      <ns0:c r="H303" s="75" t="n">
        <ns0:v>45656</ns0:v>
      </ns0:c>
      <ns0:c r="I303" s="76" t="n">
        <ns0:v>582.5</ns0:v>
      </ns0:c>
      <ns0:c r="J303" s="74" t="inlineStr">
        <ns0:is>
          <ns0:t>gross (price x shares)</ns0:t>
        </ns0:is>
      </ns0:c>
      <ns0:c r="K303" s="95" t="n"/>
      <ns0:c r="L303" s="77" t="n">
        <ns0:v>82.8</ns0:v>
      </ns0:c>
      <ns0:c r="M303" s="77" t="n">
        <ns0:v>82.8</ns0:v>
      </ns0:c>
      <ns0:c r="N303" s="74" t="inlineStr">
        <ns0:is>
          <ns0:t>Y</ns0:t>
        </ns0:is>
      </ns0:c>
      <ns0:c r="O303" s="78" t="n">
        <ns0:v>100</ns0:v>
      </ns0:c>
      <ns0:c r="P303" s="84" t="n"/>
      <ns0:c r="Q303" s="79" t="n">
        <ns0:v>10008.7</ns0:v>
      </ns0:c>
      <ns0:c r="R303" s="74" t="inlineStr">
        <ns0:is>
          <ns0:t>derived:price x shares upon listing</ns0:t>
        </ns0:is>
      </ns0:c>
      <ns0:c r="S303" s="80" t="n">
        <ns0:v>3.66</ns0:v>
      </ns0:c>
      <ns0:c r="T303" s="81" t="n">
        <ns0:v>1.1</ns0:v>
      </ns0:c>
      <ns0:c r="U303" s="82" t="n">
        <ns0:v>47.5</ns0:v>
      </ns0:c>
      <ns0:c r="V303" s="83" t="n">
        <ns0:v>116</ns0:v>
      </ns0:c>
      <ns0:c r="W303" s="78" t="n">
        <ns0:v>10</ns0:v>
      </ns0:c>
      <ns0:c r="X303" s="74" t="inlineStr">
        <ns0:is>
          <ns0:t>NO</ns0:t>
        </ns0:is>
      </ns0:c>
      <ns0:c r="Y303" s="79" t="n">
        <ns0:v>305.81</ns0:v>
      </ns0:c>
      <ns0:c r="Z303" s="79" t="n">
        <ns0:v>3693664</ns0:v>
      </ns0:c>
      <ns0:c r="AA303" s="78" t="n">
        <ns0:v>3.06</ns0:v>
      </ns0:c>
      <ns0:c r="AB303" s="74" t="inlineStr">
        <ns0:is>
          <ns0:t>Guangdong- Macao In-Depth Cooperation Zone in Hengqin; Industrial Investment Fund (Limited Partnership) Star Group Limited; Costone China Growth Capital I L.P; Xunyi Limited; Honour Goal Investments Limited</ns0:t>
        </ns0:is>
      </ns0:c>
      <ns0:c r="AC303" s="74" t="inlineStr">
        <ns0:is>
          <ns0:t>guangdong;industrial;costone;xunyi;honour</ns0:t>
        </ns0:is>
      </ns0:c>
      <ns0:c r="AD303" s="78" t="n">
        <ns0:v>10.51</ns0:v>
      </ns0:c>
      <ns0:c r="AE303" s="74" t="inlineStr">
        <ns0:is>
          <ns0:t>lapsed (no over-allocation)</ns0:t>
        </ns0:is>
      </ns0:c>
      <ns0:c r="AF303" s="85" t="n"/>
      <ns0:c r="AG303" s="74" t="inlineStr">
        <ns0:is>
          <ns0:t>Huatai Financial Holdings</ns0:t>
        </ns0:is>
      </ns0:c>
      <ns0:c r="AH303" s="74" t="inlineStr">
        <ns0:is>
          <ns0:t>Huatai</ns0:t>
        </ns0:is>
      </ns0:c>
      <ns0:c r="AI303" s="86" t="n">
        <ns0:v>4.59</ns0:v>
      </ns0:c>
      <ns0:c r="AJ303" s="87" t="n">
        <ns0:v>5.07</ns0:v>
      </ns0:c>
      <ns0:c r="AK303" s="87" t="n">
        <ns0:v>0.67</ns0:v>
      </ns0:c>
      <ns0:c r="AL303" s="87" t="n">
        <ns0:v>8.390000000000001</ns0:v>
      </ns0:c>
      <ns0:c r="AM303" s="87" t="n">
        <ns0:v>-3.06</ns0:v>
      </ns0:c>
      <ns0:c r="AN303" s="89" t="n">
        <ns0:v>0.74</ns0:v>
      </ns0:c>
      <ns0:c r="AO303" s="78" t="n">
        <ns0:v>10.19</ns0:v>
      </ns0:c>
      <ns0:c r="AP303" s="87" t="n">
        <ns0:v>2.17</ns0:v>
      </ns0:c>
      <ns0:c r="AQ303" s="87" t="n">
        <ns0:v>5.43</ns0:v>
      </ns0:c>
      <ns0:c r="AR303" s="87" t="n">
        <ns0:v>60.75</ns0:v>
      </ns0:c>
      <ns0:c r="AS303" s="87" t="n">
        <ns0:v>-2.76</ns0:v>
      </ns0:c>
      <ns0:c r="AT303" s="87" t="n">
        <ns0:v>0.34</ns0:v>
      </ns0:c>
      <ns0:c r="AU303" s="87" t="n">
        <ns0:v>52.99</ns0:v>
      </ns0:c>
      <ns0:c r="AV303" s="87" t="n">
        <ns0:v>6.99</ns0:v>
      </ns0:c>
      <ns0:c r="AW303" s="87" t="n">
        <ns0:v>8.32</ns0:v>
      </ns0:c>
      <ns0:c r="AX303" s="87" t="n">
        <ns0:v>40.38</ns0:v>
      </ns0:c>
      <ns0:c r="AY303" s="87" t="n">
        <ns0:v>3.88</ns0:v>
      </ns0:c>
      <ns0:c r="AZ303" s="87" t="n">
        <ns0:v>-2.89</ns0:v>
      </ns0:c>
      <ns0:c r="BA303" s="87" t="n">
        <ns0:v>-3.54</ns0:v>
      </ns0:c>
      <ns0:c r="BB303" s="74" t="inlineStr">
        <ns0:is>
          <ns0:t>China Biotech ETF (HS biotech proxy)</ns0:t>
        </ns0:is>
      </ns0:c>
      <ns0:c r="BC303" s="87" t="n">
        <ns0:v>-23.13</ns0:v>
      </ns0:c>
      <ns0:c r="BD303" s="75" t="n">
        <ns0:v>46297</ns0:v>
      </ns0:c>
      <ns0:c r="BE303" s="76" t="n">
        <ns0:v>611.6</ns0:v>
      </ns0:c>
      <ns0:c r="BF303" s="79" t="n">
        <ns0:v>-169.4</ns0:v>
      </ns0:c>
      <ns0:c r="BG303" s="74" t="inlineStr">
        <ns0:is>
          <ns0:t>N</ns0:t>
        </ns0:is>
      </ns0:c>
      <ns0:c r="BH303" s="74" t="inlineStr">
        <ns0:is>
          <ns0:t>n/m</ns0:t>
        </ns0:is>
      </ns0:c>
      <ns0:c r="BI303" s="88" t="n"/>
      <ns0:c r="BJ303" s="88" t="n"/>
      <ns0:c r="BK303" s="89" t="n">
        <ns0:v>16.4</ns0:v>
      </ns0:c>
      <ns0:c r="BL303" s="90">
        <ns0:f>IFERROR(IF('BBG Verify'!S303="","Awaiting Bloomberg",'BBG Verify'!S303),"Awaiting Bloomberg")</ns0:f>
        <ns0:v/>
      </ns0:c>
      <ns0:c r="BM303" s="91" t="inlineStr">
        <ns0:is>
          <ns0:t>N</ns0:t>
        </ns0:is>
      </ns0:c>
      <ns0:c r="BN303" s="92">
        <ns0:f>IFERROR(IF('BBG Verify'!K303="","Awaiting Bloomberg",'BBG Verify'!K303),"Awaiting Bloomberg")</ns0:f>
        <ns0:v/>
      </ns0:c>
      <ns0:c r="BO303" s="74" t="inlineStr">
        <ns0:is>
          <ns0:t>N/A</ns0:t>
        </ns0:is>
      </ns0:c>
      <ns0:c r="BP303" s="74" t="inlineStr">
        <ns0:is>
          <ns0:t>N/A</ns0:t>
        </ns0:is>
      </ns0:c>
      <ns0:c r="BQ303" s="74" t="inlineStr">
        <ns0:is>
          <ns0:t>N/A</ns0:t>
        </ns0:is>
      </ns0:c>
      <ns0:c r="BR303" s="74" t="inlineStr">
        <ns0:is>
          <ns0:t>N/A</ns0:t>
        </ns0:is>
      </ns0:c>
      <ns0:c r="BS303" s="74" t="inlineStr">
        <ns0:is>
          <ns0:t>N/A</ns0:t>
        </ns0:is>
      </ns0:c>
      <ns0:c r="BT303" s="74" t="inlineStr">
        <ns0:is>
          <ns0:t>N/A</ns0:t>
        </ns0:is>
      </ns0:c>
      <ns0:c r="BU303" s="91" t="inlineStr">
        <ns0:is>
          <ns0:t>Huatai Financial Holdings (Hong Kong) Limited; GF Capital (Hong Kong) Limited; CCB International Capital Limited</ns0:t>
        </ns0:is>
      </ns0:c>
      <ns0:c r="BV303" s="74" t="inlineStr">
        <ns0:is>
          <ns0:t>CCB International Capital Limited; Huatai Financial Holdings (Hong Kong) Limited; GF Capital (Hong Kong) Limited</ns0:t>
        </ns0:is>
      </ns0:c>
      <ns0:c r="BW303" s="74" t="inlineStr">
        <ns0:is>
          <ns0: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ns0:t>
        </ns0:is>
      </ns0:c>
      <ns0:c r="BX303" s="74" t="inlineStr">
        <ns0:is>
          <ns0: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ns0:t>
        </ns0:is>
      </ns0:c>
      <ns0:c r="BY303" s="93">
        <ns0:f>HYPERLINK("https://www1.hkexnews.hk/listedco/listconews/sehk/2024/1218/2024121800019.pdf","prospectus")</ns0:f>
        <ns0:v/>
      </ns0:c>
      <ns0:c r="BZ303" s="93">
        <ns0:f>HYPERLINK("https://www1.hkexnews.hk/listedco/listconews/sehk/2024/1227/2024122701834.pdf","allotment")</ns0:f>
        <ns0:v/>
      </ns0:c>
      <ns0:c r="CA303" s="93">
        <ns0:f>HYPERLINK("https://www1.hkexnews.hk/listedco/listconews/sehk/2025/0122/2025012200840.pdf","stabilisation")</ns0:f>
        <ns0:v/>
      </ns0:c>
      <ns0:c r="CB303" s="94" t="n"/>
      <ns0:c r="CC303" s="74" t="inlineStr">
        <ns0:is>
          <ns0:t>P/E: loss-making at IPO, use P/S; greenshoe: outcome published; expiry date not in the notice; range low: maximum offer price only, no floor published</ns0:t>
        </ns0:is>
      </ns0:c>
    </ns0:row>
    <ns0:row r="304" ht="22" customHeight="1">
      <ns0:c r="A304" s="73" t="inlineStr">
        <ns0:is>
          <ns0:t>6681</ns0:t>
        </ns0:is>
      </ns0:c>
      <ns0:c r="B304" s="74" t="inlineStr">
        <ns0:is>
          <ns0:t>BRAINAURORA-B</ns0:t>
        </ns0:is>
      </ns0:c>
      <ns0:c r="C304" s="74" t="inlineStr">
        <ns0:is>
          <ns0:t>腦動極光－Ｂ</ns0:t>
        </ns0:is>
      </ns0:c>
      <ns0:c r="D304" s="74" t="inlineStr">
        <ns0:is>
          <ns0:t>Healthcare</ns0:t>
        </ns0:is>
      </ns0:c>
      <ns0:c r="E304" s="74" t="inlineStr">
        <ns0:is>
          <ns0:t>Medical devices</ns0:t>
        </ns0:is>
      </ns0:c>
      <ns0:c r="F304" s="74" t="inlineStr">
        <ns0:is>
          <ns0:t>Biotechnology - Supplies &amp; Services</ns0:t>
        </ns0:is>
      </ns0:c>
      <ns0:c r="G304" s="74" t="inlineStr">
        <ns0:is>
          <ns0:t>18A</ns0:t>
        </ns0:is>
      </ns0:c>
      <ns0:c r="H304" s="75" t="n">
        <ns0:v>45665</ns0:v>
      </ns0:c>
      <ns0:c r="I304" s="76" t="n">
        <ns0:v>583.1799999999999</ns0:v>
      </ns0:c>
      <ns0:c r="J304" s="74" t="inlineStr">
        <ns0:is>
          <ns0:t>gross (stated)</ns0:t>
        </ns0:is>
      </ns0:c>
      <ns0:c r="K304" s="95" t="n"/>
      <ns0:c r="L304" s="77" t="n">
        <ns0:v>3.22</ns0:v>
      </ns0:c>
      <ns0:c r="M304" s="77" t="n">
        <ns0:v>3.22</ns0:v>
      </ns0:c>
      <ns0:c r="N304" s="74" t="inlineStr">
        <ns0:is>
          <ns0:t>Y</ns0:t>
        </ns0:is>
      </ns0:c>
      <ns0:c r="O304" s="78" t="n">
        <ns0:v>100</ns0:v>
      </ns0:c>
      <ns0:c r="P304" s="84" t="n"/>
      <ns0:c r="Q304" s="79" t="n">
        <ns0:v>4077.4</ns0:v>
      </ns0:c>
      <ns0:c r="R304" s="74" t="inlineStr">
        <ns0:is>
          <ns0:t>derived:price x shares upon listing</ns0:t>
        </ns0:is>
      </ns0:c>
      <ns0:c r="S304" s="80" t="n">
        <ns0:v>11.39</ns0:v>
      </ns0:c>
      <ns0:c r="T304" s="81" t="n">
        <ns0:v>1.01</ns0:v>
      </ns0:c>
      <ns0:c r="U304" s="82" t="n">
        <ns0:v>64.27</ns0:v>
      </ns0:c>
      <ns0:c r="V304" s="83" t="n">
        <ns0:v>114</ns0:v>
      </ns0:c>
      <ns0:c r="W304" s="78" t="n">
        <ns0:v>10</ns0:v>
      </ns0:c>
      <ns0:c r="X304" s="74" t="inlineStr">
        <ns0:is>
          <ns0:t>NO</ns0:t>
        </ns0:is>
      </ns0:c>
      <ns0:c r="Y304" s="79" t="n">
        <ns0:v>208.37</ns0:v>
      </ns0:c>
      <ns0:c r="Z304" s="79" t="n">
        <ns0:v>64711318</ns0:v>
      </ns0:c>
      <ns0:c r="AA304" s="78" t="n">
        <ns0:v>5.11</ns0:v>
      </ns0:c>
      <ns0:c r="AB304" s="74" t="inlineStr">
        <ns0:is>
          <ns0:t>Tasly (Hong Kong) Pharmaceutical Investment Limited; Tasly (International) Healthcare Investment &amp; Development Company Limited 醫 療健康投資發展有限公 司; Suzhou Ceyuan Fuhai Enterprise Management Partnership (Limited Partnership); Huang Guangwei</ns0:t>
        </ns0:is>
      </ns0:c>
      <ns0:c r="AC304" s="74" t="inlineStr">
        <ns0:is>
          <ns0:t>tasly;suzhou;huang-guangwei</ns0:t>
        </ns0:is>
      </ns0:c>
      <ns0:c r="AD304" s="78" t="n">
        <ns0:v>14</ns0:v>
      </ns0:c>
      <ns0:c r="AE304" s="74" t="inlineStr">
        <ns0:is>
          <ns0:t>lapsed (no over-allocation)</ns0:t>
        </ns0:is>
      </ns0:c>
      <ns0:c r="AF304" s="85" t="n"/>
      <ns0:c r="AG304" s="74" t="inlineStr">
        <ns0:is>
          <ns0:t>China International Capital Corporation Hong Kong Securities Limited</ns0:t>
        </ns0:is>
      </ns0:c>
      <ns0:c r="AH304" s="74" t="inlineStr">
        <ns0:is>
          <ns0:t>China International</ns0:t>
        </ns0:is>
      </ns0:c>
      <ns0:c r="AI304" s="86" t="n">
        <ns0:v>-0.31</ns0:v>
      </ns0:c>
      <ns0:c r="AJ304" s="87" t="n">
        <ns0:v>3.42</ns0:v>
      </ns0:c>
      <ns0:c r="AK304" s="87" t="n">
        <ns0:v>-0.91</ns0:v>
      </ns0:c>
      <ns0:c r="AL304" s="87" t="n">
        <ns0:v>0</ns0:v>
      </ns0:c>
      <ns0:c r="AM304" s="87" t="n">
        <ns0:v>3.42</ns0:v>
      </ns0:c>
      <ns0:c r="AN304" s="89" t="n">
        <ns0:v>1.04</ns0:v>
      </ns0:c>
      <ns0:c r="AO304" s="78" t="n">
        <ns0:v>11.18</ns0:v>
      </ns0:c>
      <ns0:c r="AP304" s="87" t="n">
        <ns0:v>14.91</ns0:v>
      </ns0:c>
      <ns0:c r="AQ304" s="87" t="n">
        <ns0:v>73.91</ns0:v>
      </ns0:c>
      <ns0:c r="AR304" s="87" t="n">
        <ns0:v>89.75</ns0:v>
      </ns0:c>
      <ns0:c r="AS304" s="87" t="n">
        <ns0:v>11.11</ns0:v>
      </ns0:c>
      <ns0:c r="AT304" s="87" t="n">
        <ns0:v>68.16</ns0:v>
      </ns0:c>
      <ns0:c r="AU304" s="87" t="n">
        <ns0:v>83.48</ns0:v>
      </ns0:c>
      <ns0:c r="AV304" s="87" t="n">
        <ns0:v>15.58</ns0:v>
      </ns0:c>
      <ns0:c r="AW304" s="87" t="n">
        <ns0:v>66.81999999999999</ns0:v>
      </ns0:c>
      <ns0:c r="AX304" s="87" t="n">
        <ns0:v>74.26000000000001</ns0:v>
      </ns0:c>
      <ns0:c r="AY304" s="87" t="n">
        <ns0:v>60.09</ns0:v>
      </ns0:c>
      <ns0:c r="AZ304" s="87" t="n">
        <ns0:v>7.09</ns0:v>
      </ns0:c>
      <ns0:c r="BA304" s="87" t="n">
        <ns0:v>8.07</ns0:v>
      </ns0:c>
      <ns0:c r="BB304" s="74" t="inlineStr">
        <ns0:is>
          <ns0:t>China Biotech ETF (HS biotech proxy)</ns0:t>
        </ns0:is>
      </ns0:c>
      <ns0:c r="BC304" s="87" t="n">
        <ns0:v>-66.3</ns0:v>
      </ns0:c>
      <ns0:c r="BD304" s="75" t="n">
        <ns0:v>46297</ns0:v>
      </ns0:c>
      <ns0:c r="BE304" s="76" t="n">
        <ns0:v>73.90000000000001</ns0:v>
      </ns0:c>
      <ns0:c r="BF304" s="79" t="n">
        <ns0:v>-395</ns0:v>
      </ns0:c>
      <ns0:c r="BG304" s="74" t="inlineStr">
        <ns0:is>
          <ns0:t>N</ns0:t>
        </ns0:is>
      </ns0:c>
      <ns0:c r="BH304" s="74" t="inlineStr">
        <ns0:is>
          <ns0:t>n/m</ns0:t>
        </ns0:is>
      </ns0:c>
      <ns0:c r="BI304" s="88" t="n"/>
      <ns0:c r="BJ304" s="88" t="n"/>
      <ns0:c r="BK304" s="89" t="n">
        <ns0:v>55.2</ns0:v>
      </ns0:c>
      <ns0:c r="BL304" s="90">
        <ns0:f>IFERROR(IF('BBG Verify'!S304="","Awaiting Bloomberg",'BBG Verify'!S304),"Awaiting Bloomberg")</ns0:f>
        <ns0:v/>
      </ns0:c>
      <ns0:c r="BM304" s="91" t="inlineStr">
        <ns0:is>
          <ns0:t>N</ns0:t>
        </ns0:is>
      </ns0:c>
      <ns0:c r="BN304" s="92">
        <ns0:f>IFERROR(IF('BBG Verify'!K304="","Awaiting Bloomberg",'BBG Verify'!K304),"Awaiting Bloomberg")</ns0:f>
        <ns0:v/>
      </ns0:c>
      <ns0:c r="BO304" s="74" t="inlineStr">
        <ns0:is>
          <ns0:t>N/A</ns0:t>
        </ns0:is>
      </ns0:c>
      <ns0:c r="BP304" s="74" t="inlineStr">
        <ns0:is>
          <ns0:t>N/A</ns0:t>
        </ns0:is>
      </ns0:c>
      <ns0:c r="BQ304" s="74" t="inlineStr">
        <ns0:is>
          <ns0:t>N/A</ns0:t>
        </ns0:is>
      </ns0:c>
      <ns0:c r="BR304" s="74" t="inlineStr">
        <ns0:is>
          <ns0:t>N/A</ns0:t>
        </ns0:is>
      </ns0:c>
      <ns0:c r="BS304" s="74" t="inlineStr">
        <ns0:is>
          <ns0:t>N/A</ns0:t>
        </ns0:is>
      </ns0:c>
      <ns0:c r="BT304" s="74" t="inlineStr">
        <ns0:is>
          <ns0:t>N/A</ns0:t>
        </ns0:is>
      </ns0:c>
      <ns0:c r="BU304" s="91" t="inlineStr">
        <ns0:is>
          <ns0:t>China International Capital Corporation Hong Kong Securities Limited; SPDB International Capital Limited</ns0:t>
        </ns0:is>
      </ns0:c>
      <ns0:c r="BV304" s="74" t="inlineStr">
        <ns0:is>
          <ns0:t>China International Capital Corporation Hong Kong Securities Limited; SPDB International Capital Limited</ns0:t>
        </ns0:is>
      </ns0:c>
      <ns0:c r="BW304" s="74" t="inlineStr">
        <ns0:is>
          <ns0: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ns0:t>
        </ns0:is>
      </ns0:c>
      <ns0:c r="BX304" s="74" t="inlineStr">
        <ns0:is>
          <ns0: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ns0:t>
        </ns0:is>
      </ns0:c>
      <ns0:c r="BY304" s="93">
        <ns0:f>HYPERLINK("https://www1.hkexnews.hk/listedco/listconews/sehk/2024/1230/2024123000045.pdf","prospectus")</ns0:f>
        <ns0:v/>
      </ns0:c>
      <ns0:c r="BZ304" s="93">
        <ns0:f>HYPERLINK("https://www1.hkexnews.hk/listedco/listconews/sehk/2025/0107/2025010701660.pdf","allotment")</ns0:f>
        <ns0:v/>
      </ns0:c>
      <ns0:c r="CA304" s="93">
        <ns0:f>HYPERLINK("https://www1.hkexnews.hk/listedco/listconews/sehk/2025/0202/2025020200065.pdf","stabilisation")</ns0:f>
        <ns0:v/>
      </ns0:c>
      <ns0:c r="CB304" s="94" t="n"/>
      <ns0:c r="CC304" s="74" t="inlineStr">
        <ns0:is>
          <ns0:t>P/E: loss-making at IPO, use P/S; greenshoe: outcome published; expiry date not in the notice; range low: maximum offer price only, no floor published</ns0:t>
        </ns0:is>
      </ns0:c>
    </ns0:row>
    <ns0:row r="305" ht="22" customHeight="1">
      <ns0:c r="A305" s="73" t="inlineStr">
        <ns0:is>
          <ns0:t>2560</ns0:t>
        </ns0:is>
      </ns0:c>
      <ns0:c r="B305" s="74" t="inlineStr">
        <ns0:is>
          <ns0:t>CONCH MAT TECH</ns0:t>
        </ns0:is>
      </ns0:c>
      <ns0:c r="C305" s="74" t="inlineStr">
        <ns0:is>
          <ns0:t>海螺材料科技</ns0:t>
        </ns0:is>
      </ns0:c>
      <ns0:c r="D305" s="74" t="inlineStr">
        <ns0:is>
          <ns0:t>Materials/Energy</ns0:t>
        </ns0:is>
      </ns0:c>
      <ns0:c r="E305" s="74" t="inlineStr">
        <ns0:is>
          <ns0:t>Chemicals</ns0:t>
        </ns0:is>
      </ns0:c>
      <ns0:c r="F305" s="74" t="inlineStr">
        <ns0:is>
          <ns0:t>Construction Materials</ns0:t>
        </ns0:is>
      </ns0:c>
      <ns0:c r="G305" s="74" t="inlineStr">
        <ns0:is>
          <ns0:t>Standard</ns0:t>
        </ns0:is>
      </ns0:c>
      <ns0:c r="H305" s="75" t="n">
        <ns0:v>45666</ns0:v>
      </ns0:c>
      <ns0:c r="I305" s="76" t="n">
        <ns0:v>434.9</ns0:v>
      </ns0:c>
      <ns0:c r="J305" s="74" t="inlineStr">
        <ns0:is>
          <ns0:t>gross (stated)</ns0:t>
        </ns0:is>
      </ns0:c>
      <ns0:c r="K305" s="77" t="n">
        <ns0:v>3</ns0:v>
      </ns0:c>
      <ns0:c r="L305" s="77" t="n">
        <ns0:v>3.3</ns0:v>
      </ns0:c>
      <ns0:c r="M305" s="77" t="n">
        <ns0:v>3</ns0:v>
      </ns0:c>
      <ns0:c r="N305" s="74" t="inlineStr">
        <ns0:is>
          <ns0:t>N</ns0:t>
        </ns0:is>
      </ns0:c>
      <ns0:c r="O305" s="78" t="n">
        <ns0:v>90.90000000000001</ns0:v>
      </ns0:c>
      <ns0:c r="P305" s="78" t="n">
        <ns0:v>0</ns0:v>
      </ns0:c>
      <ns0:c r="Q305" s="79" t="n">
        <ns0:v>1897.9</ns0:v>
      </ns0:c>
      <ns0:c r="R305" s="74" t="inlineStr">
        <ns0:is>
          <ns0:t>aastocks:上市市值 at the struck price</ns0:t>
        </ns0:is>
      </ns0:c>
      <ns0:c r="S305" s="80" t="n">
        <ns0:v>25.83</ns0:v>
      </ns0:c>
      <ns0:c r="T305" s="81" t="n">
        <ns0:v>1.04</ns0:v>
      </ns0:c>
      <ns0:c r="U305" s="82" t="n">
        <ns0:v>69.92</ns0:v>
      </ns0:c>
      <ns0:c r="V305" s="83" t="n">
        <ns0:v>116</ns0:v>
      </ns0:c>
      <ns0:c r="W305" s="78" t="n">
        <ns0:v>30</ns0:v>
      </ns0:c>
      <ns0:c r="X305" s="74" t="inlineStr">
        <ns0:is>
          <ns0:t>YES</ns0:t>
        </ns0:is>
      </ns0:c>
      <ns0:c r="Y305" s="79" t="n">
        <ns0:v>130.82</ns0:v>
      </ns0:c>
      <ns0:c r="Z305" s="79" t="n">
        <ns0:v>43608179</ns0:v>
      </ns0:c>
      <ns0:c r="AA305" s="78" t="n">
        <ns0:v>6.89</ns0:v>
      </ns0:c>
      <ns0:c r="AB305" s="74" t="inlineStr">
        <ns0:is>
          <ns0:t>GOTION HIGH-TECH (HK) LIMITED; Anhui Shengchang Chemical Co., Ltd.*; Wuhu Artec Biotechnology Co., Ltd.*; SCGC Capital Holding Company Limited; Guangdong Zongxing Technology Co., Ltd*; Shenzhen Gaodeng Computer Technology Co., Ltd.*</ns0:t>
        </ns0:is>
      </ns0:c>
      <ns0:c r="AC305" s="74" t="inlineStr">
        <ns0:is>
          <ns0:t>gotion;anhui;wuhu;scgc;guangdong;shenzhen-gaodeng</ns0:t>
        </ns0:is>
      </ns0:c>
      <ns0:c r="AD305" s="78" t="n">
        <ns0:v>8.5</ns0:v>
      </ns0:c>
      <ns0:c r="AE305" s="85" t="n"/>
      <ns0:c r="AF305" s="85" t="n"/>
      <ns0:c r="AG305" s="74" t="inlineStr">
        <ns0:is>
          <ns0:t>China Securities</ns0:t>
        </ns0:is>
      </ns0:c>
      <ns0:c r="AH305" s="74" t="inlineStr">
        <ns0:is>
          <ns0:t>China Securities</ns0:t>
        </ns0:is>
      </ns0:c>
      <ns0:c r="AI305" s="86" t="n">
        <ns0:v>-31.33</ns0:v>
      </ns0:c>
      <ns0:c r="AJ305" s="87" t="n">
        <ns0:v>-47.67</ns0:v>
      </ns0:c>
      <ns0:c r="AK305" s="87" t="n">
        <ns0:v>0.2</ns0:v>
      </ns0:c>
      <ns0:c r="AL305" s="87" t="n">
        <ns0:v>-40</ns0:v>
      </ns0:c>
      <ns0:c r="AM305" s="87" t="n">
        <ns0:v>-12.78</ns0:v>
      </ns0:c>
      <ns0:c r="AN305" s="89" t="n">
        <ns0:v>1.13</ns0:v>
      </ns0:c>
      <ns0:c r="AO305" s="78" t="n">
        <ns0:v>20</ns0:v>
      </ns0:c>
      <ns0:c r="AP305" s="87" t="n">
        <ns0:v>-51.67</ns0:v>
      </ns0:c>
      <ns0:c r="AQ305" s="87" t="n">
        <ns0:v>-54.67</ns0:v>
      </ns0:c>
      <ns0:c r="AR305" s="87" t="n">
        <ns0:v>-41.33</ns0:v>
      </ns0:c>
      <ns0:c r="AS305" s="87" t="n">
        <ns0:v>-7.64</ns0:v>
      </ns0:c>
      <ns0:c r="AT305" s="87" t="n">
        <ns0:v>-13.38</ns0:v>
      </ns0:c>
      <ns0:c r="AU305" s="87" t="n">
        <ns0:v>12.12</ns0:v>
      </ns0:c>
      <ns0:c r="AV305" s="87" t="n">
        <ns0:v>-53.25</ns0:v>
      </ns0:c>
      <ns0:c r="AW305" s="87" t="n">
        <ns0:v>-71.84</ns0:v>
      </ns0:c>
      <ns0:c r="AX305" s="87" t="n">
        <ns0:v>-55.83</ns0:v>
      </ns0:c>
      <ns0:c r="AY305" s="87" t="n">
        <ns0:v>-30.32</ns0:v>
      </ns0:c>
      <ns0:c r="AZ305" s="87" t="n">
        <ns0:v>17.17</ns0:v>
      </ns0:c>
      <ns0:c r="BA305" s="87" t="n">
        <ns0:v>16.94</ns0:v>
      </ns0:c>
      <ns0:c r="BB305" s="74" t="inlineStr">
        <ns0:is>
          <ns0:t>Hang Seng Commerce &amp; Industry sub-index</ns0:t>
        </ns0:is>
      </ns0:c>
      <ns0:c r="BC305" s="87" t="n">
        <ns0:v>-54.5</ns0:v>
      </ns0:c>
      <ns0:c r="BD305" s="75" t="n">
        <ns0:v>46297</ns0:v>
      </ns0:c>
      <ns0:c r="BE305" s="76" t="n">
        <ns0:v>2635.1</ns0:v>
      </ns0:c>
      <ns0:c r="BF305" s="97" t="n"/>
      <ns0:c r="BG305" s="74" t="inlineStr">
        <ns0:is>
          <ns0:t>Y</ns0:t>
        </ns0:is>
      </ns0:c>
      <ns0:c r="BH305" s="89" t="n">
        <ns0:v>5.1</ns0:v>
      </ns0:c>
      <ns0:c r="BI305" s="89" t="n">
        <ns0:v>5.1</ns0:v>
      </ns0:c>
      <ns0:c r="BJ305" s="89" t="n">
        <ns0:v>6.5</ns0:v>
      </ns0:c>
      <ns0:c r="BK305" s="89" t="n">
        <ns0:v>0.7</ns0:v>
      </ns0:c>
      <ns0:c r="BL305" s="90">
        <ns0:f>IFERROR(IF('BBG Verify'!S305="","Awaiting Bloomberg",'BBG Verify'!S305),"Awaiting Bloomberg")</ns0:f>
        <ns0:v/>
      </ns0:c>
      <ns0:c r="BM305" s="91" t="inlineStr">
        <ns0:is>
          <ns0:t>N</ns0:t>
        </ns0:is>
      </ns0:c>
      <ns0:c r="BN305" s="92">
        <ns0:f>IFERROR(IF('BBG Verify'!K305="","Awaiting Bloomberg",'BBG Verify'!K305),"Awaiting Bloomberg")</ns0:f>
        <ns0:v/>
      </ns0:c>
      <ns0:c r="BO305" s="74" t="inlineStr">
        <ns0:is>
          <ns0:t>N/A</ns0:t>
        </ns0:is>
      </ns0:c>
      <ns0:c r="BP305" s="74" t="inlineStr">
        <ns0:is>
          <ns0:t>N/A</ns0:t>
        </ns0:is>
      </ns0:c>
      <ns0:c r="BQ305" s="74" t="inlineStr">
        <ns0:is>
          <ns0:t>N/A</ns0:t>
        </ns0:is>
      </ns0:c>
      <ns0:c r="BR305" s="74" t="inlineStr">
        <ns0:is>
          <ns0:t>N/A</ns0:t>
        </ns0:is>
      </ns0:c>
      <ns0:c r="BS305" s="74" t="inlineStr">
        <ns0:is>
          <ns0:t>N/A</ns0:t>
        </ns0:is>
      </ns0:c>
      <ns0:c r="BT305" s="74" t="inlineStr">
        <ns0:is>
          <ns0:t>N/A</ns0:t>
        </ns0:is>
      </ns0:c>
      <ns0:c r="BU305" s="91" t="inlineStr">
        <ns0:is>
          <ns0:t>China Securities (International) Corporate Finance Company Limited</ns0:t>
        </ns0:is>
      </ns0:c>
      <ns0:c r="BV305" s="74" t="inlineStr">
        <ns0:is>
          <ns0:t>China Securities (International) Corporate Finance Company Limited</ns0:t>
        </ns0:is>
      </ns0:c>
      <ns0:c r="BW305" s="74" t="inlineStr">
        <ns0:is>
          <ns0: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ns0:t>
        </ns0:is>
      </ns0:c>
      <ns0:c r="BX305" s="74" t="inlineStr">
        <ns0:is>
          <ns0: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ns0:t>
        </ns0:is>
      </ns0:c>
      <ns0:c r="BY305" s="93">
        <ns0:f>HYPERLINK("https://www1.hkexnews.hk/listedco/listconews/sehk/2024/1231/2024123100162.pdf","prospectus")</ns0:f>
        <ns0:v/>
      </ns0:c>
      <ns0:c r="BZ305" s="93">
        <ns0:f>HYPERLINK("https://www1.hkexnews.hk/listedco/listconews/sehk/2025/0108/2025010801080.pdf","allotment")</ns0:f>
        <ns0:v/>
      </ns0:c>
      <ns0:c r="CA305" s="85" t="n"/>
      <ns0:c r="CB305" s="94" t="n"/>
      <ns0:c r="CC305" s="74" t="inlineStr">
        <ns0:is>
          <ns0:t>P/E: Bloomberg trailing-12m basis (prospectus-year multiple not derivable); greenshoe: end-of-stabilisation notice not found; financials: not extractable; pre-IPO year outside the AAStocks window</ns0:t>
        </ns0:is>
      </ns0:c>
    </ns0:row>
    <ns0:row r="306" ht="22" customHeight="1">
      <ns0:c r="A306" s="73" t="inlineStr">
        <ns0:is>
          <ns0:t>2613</ns0:t>
        </ns0:is>
      </ns0:c>
      <ns0:c r="B306" s="74" t="inlineStr">
        <ns0:is>
          <ns0:t>CONTIOCEAN</ns0:t>
        </ns0:is>
      </ns0:c>
      <ns0:c r="C306" s="74" t="inlineStr">
        <ns0:is>
          <ns0:t>匯舸環保</ns0:t>
        </ns0:is>
      </ns0:c>
      <ns0:c r="D306" s="74" t="inlineStr">
        <ns0:is>
          <ns0:t>Industrials</ns0:t>
        </ns0:is>
      </ns0:c>
      <ns0:c r="E306" s="74" t="inlineStr">
        <ns0:is>
          <ns0:t>Capital goods / machinery</ns0:t>
        </ns0:is>
      </ns0:c>
      <ns0:c r="F306" s="74" t="inlineStr">
        <ns0:is>
          <ns0:t>Marine Ports &amp; Services</ns0:t>
        </ns0:is>
      </ns0:c>
      <ns0:c r="G306" s="74" t="inlineStr">
        <ns0:is>
          <ns0:t>Standard</ns0:t>
        </ns0:is>
      </ns0:c>
      <ns0:c r="H306" s="75" t="n">
        <ns0:v>45666</ns0:v>
      </ns0:c>
      <ns0:c r="I306" s="76" t="n">
        <ns0:v>318</ns0:v>
      </ns0:c>
      <ns0:c r="J306" s="74" t="inlineStr">
        <ns0:is>
          <ns0:t>gross (stated)</ns0:t>
        </ns0:is>
      </ns0:c>
      <ns0:c r="K306" s="77" t="n">
        <ns0:v>31.8</ns0:v>
      </ns0:c>
      <ns0:c r="L306" s="77" t="n">
        <ns0:v>39.8</ns0:v>
      </ns0:c>
      <ns0:c r="M306" s="77" t="n">
        <ns0:v>31.8</ns0:v>
      </ns0:c>
      <ns0:c r="N306" s="74" t="inlineStr">
        <ns0:is>
          <ns0:t>N</ns0:t>
        </ns0:is>
      </ns0:c>
      <ns0:c r="O306" s="78" t="n">
        <ns0:v>79.90000000000001</ns0:v>
      </ns0:c>
      <ns0:c r="P306" s="78" t="n">
        <ns0:v>0</ns0:v>
      </ns0:c>
      <ns0:c r="Q306" s="79" t="n">
        <ns0:v>1272</ns0:v>
      </ns0:c>
      <ns0:c r="R306" s="74" t="inlineStr">
        <ns0:is>
          <ns0:t>derived:price x shares upon listing</ns0:t>
        </ns0:is>
      </ns0:c>
      <ns0:c r="S306" s="80" t="n">
        <ns0:v>55.33</ns0:v>
      </ns0:c>
      <ns0:c r="T306" s="81" t="n">
        <ns0:v>0.95</ns0:v>
      </ns0:c>
      <ns0:c r="U306" s="82" t="n">
        <ns0:v>24.43</ns0:v>
      </ns0:c>
      <ns0:c r="V306" s="83" t="n">
        <ns0:v>118</ns0:v>
      </ns0:c>
      <ns0:c r="W306" s="78" t="n">
        <ns0:v>18.94</ns0:v>
      </ns0:c>
      <ns0:c r="X306" s="85" t="n"/>
      <ns0:c r="Y306" s="79" t="n">
        <ns0:v>240.31</ns0:v>
      </ns0:c>
      <ns0:c r="Z306" s="79" t="n">
        <ns0:v>7557000</ns0:v>
      </ns0:c>
      <ns0:c r="AA306" s="78" t="n">
        <ns0:v>18.89</ns0:v>
      </ns0:c>
      <ns0:c r="AB306" s="74" t="inlineStr">
        <ns0:is>
          <ns0:t>Harvest International Premium Value (Secondary Market) Fund SPC on behalf of Harvest Oriental SP</ns0:t>
        </ns0:is>
      </ns0:c>
      <ns0:c r="AC306" s="74" t="inlineStr">
        <ns0:is>
          <ns0:t>harvest</ns0:t>
        </ns0:is>
      </ns0:c>
      <ns0:c r="AD306" s="84" t="n"/>
      <ns0:c r="AE306" s="85" t="n"/>
      <ns0:c r="AF306" s="85" t="n"/>
      <ns0:c r="AG306" s="85" t="n"/>
      <ns0:c r="AH306" s="85" t="n"/>
      <ns0:c r="AI306" s="86" t="n">
        <ns0:v>6.45</ns0:v>
      </ns0:c>
      <ns0:c r="AJ306" s="87" t="n">
        <ns0:v>6.29</ns0:v>
      </ns0:c>
      <ns0:c r="AK306" s="87" t="n">
        <ns0:v>0.2</ns0:v>
      </ns0:c>
      <ns0:c r="AL306" s="87" t="n">
        <ns0:v>6.76</ns0:v>
      </ns0:c>
      <ns0:c r="AM306" s="87" t="n">
        <ns0:v>-0.44</ns0:v>
      </ns0:c>
      <ns0:c r="AN306" s="89" t="n">
        <ns0:v>1.08</ns0:v>
      </ns0:c>
      <ns0:c r="AO306" s="78" t="n">
        <ns0:v>5.3</ns0:v>
      </ns0:c>
      <ns0:c r="AP306" s="87" t="n">
        <ns0:v>-5.66</ns0:v>
      </ns0:c>
      <ns0:c r="AQ306" s="87" t="n">
        <ns0:v>-4.09</ns0:v>
      </ns0:c>
      <ns0:c r="AR306" s="87" t="n">
        <ns0:v>-8.65</ns0:v>
      </ns0:c>
      <ns0:c r="AS306" s="87" t="n">
        <ns0:v>-11.24</ns0:v>
      </ns0:c>
      <ns0:c r="AT306" s="87" t="n">
        <ns0:v>-9.77</ns0:v>
      </ns0:c>
      <ns0:c r="AU306" s="87" t="n">
        <ns0:v>-14.06</ns0:v>
      </ns0:c>
      <ns0:c r="AV306" s="87" t="n">
        <ns0:v>-7.24</ns0:v>
      </ns0:c>
      <ns0:c r="AW306" s="87" t="n">
        <ns0:v>-21.26</ns0:v>
      </ns0:c>
      <ns0:c r="AX306" s="87" t="n">
        <ns0:v>-23.15</ns0:v>
      </ns0:c>
      <ns0:c r="AY306" s="87" t="n">
        <ns0:v>-26.71</ns0:v>
      </ns0:c>
      <ns0:c r="AZ306" s="87" t="n">
        <ns0:v>17.17</ns0:v>
      </ns0:c>
      <ns0:c r="BA306" s="87" t="n">
        <ns0:v>16.94</ns0:v>
      </ns0:c>
      <ns0:c r="BB306" s="74" t="inlineStr">
        <ns0:is>
          <ns0:t>Hang Seng Commerce &amp; Industry sub-index</ns0:t>
        </ns0:is>
      </ns0:c>
      <ns0:c r="BC306" s="87" t="n">
        <ns0:v>-2.45</ns0:v>
      </ns0:c>
      <ns0:c r="BD306" s="75" t="n">
        <ns0:v>46297</ns0:v>
      </ns0:c>
      <ns0:c r="BE306" s="76" t="n">
        <ns0:v>561.3</ns0:v>
      </ns0:c>
      <ns0:c r="BF306" s="79" t="n">
        <ns0:v>132.6</ns0:v>
      </ns0:c>
      <ns0:c r="BG306" s="74" t="inlineStr">
        <ns0:is>
          <ns0:t>Y</ns0:t>
        </ns0:is>
      </ns0:c>
      <ns0:c r="BH306" s="89" t="n">
        <ns0:v>9.6</ns0:v>
      </ns0:c>
      <ns0:c r="BI306" s="88" t="n"/>
      <ns0:c r="BJ306" s="89" t="n">
        <ns0:v>186.7</ns0:v>
      </ns0:c>
      <ns0:c r="BK306" s="89" t="n">
        <ns0:v>2.3</ns0:v>
      </ns0:c>
      <ns0:c r="BL306" s="90">
        <ns0:f>IFERROR(IF('BBG Verify'!S306="","Awaiting Bloomberg",'BBG Verify'!S306),"Awaiting Bloomberg")</ns0:f>
        <ns0:v/>
      </ns0:c>
      <ns0:c r="BM306" s="91" t="inlineStr">
        <ns0:is>
          <ns0:t>N</ns0:t>
        </ns0:is>
      </ns0:c>
      <ns0:c r="BN306" s="92">
        <ns0:f>IFERROR(IF('BBG Verify'!K306="","Awaiting Bloomberg",'BBG Verify'!K306),"Awaiting Bloomberg")</ns0:f>
        <ns0:v/>
      </ns0:c>
      <ns0:c r="BO306" s="74" t="inlineStr">
        <ns0:is>
          <ns0:t>N/A</ns0:t>
        </ns0:is>
      </ns0:c>
      <ns0:c r="BP306" s="74" t="inlineStr">
        <ns0:is>
          <ns0:t>N/A</ns0:t>
        </ns0:is>
      </ns0:c>
      <ns0:c r="BQ306" s="74" t="inlineStr">
        <ns0:is>
          <ns0:t>N/A</ns0:t>
        </ns0:is>
      </ns0:c>
      <ns0:c r="BR306" s="74" t="inlineStr">
        <ns0:is>
          <ns0:t>N/A</ns0:t>
        </ns0:is>
      </ns0:c>
      <ns0:c r="BS306" s="74" t="inlineStr">
        <ns0:is>
          <ns0:t>N/A</ns0:t>
        </ns0:is>
      </ns0:c>
      <ns0:c r="BT306" s="74" t="inlineStr">
        <ns0:is>
          <ns0:t>N/A</ns0:t>
        </ns0:is>
      </ns0:c>
      <ns0:c r="BU306" s="91" t="inlineStr">
        <ns0:is>
          <ns0:t>CITIC Securities (Hong Kong) Limited; China Galaxy International Securities (Hong Kong) Co., Limited</ns0:t>
        </ns0:is>
      </ns0:c>
      <ns0:c r="BV306" s="74" t="inlineStr">
        <ns0:is>
          <ns0:t>CITIC Securities (Hong Kong) Limited; China Galaxy International Securities (Hong Kong) Company Limited</ns0:t>
        </ns0:is>
      </ns0:c>
      <ns0:c r="BW306" s="74" t="inlineStr">
        <ns0:is>
          <ns0: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ns0:t>
        </ns0:is>
      </ns0:c>
      <ns0:c r="BX306" s="74" t="inlineStr">
        <ns0:is>
          <ns0: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ns0:t>
        </ns0:is>
      </ns0:c>
      <ns0:c r="BY306" s="93">
        <ns0:f>HYPERLINK("https://www1.hkexnews.hk/listedco/listconews/sehk/2024/1231/2024123100011.pdf","prospectus")</ns0:f>
        <ns0:v/>
      </ns0:c>
      <ns0:c r="BZ306" s="93">
        <ns0:f>HYPERLINK("https://www1.hkexnews.hk/listedco/listconews/sehk/2025/0108/2025010801098.pdf","allotment")</ns0:f>
        <ns0:v/>
      </ns0:c>
      <ns0:c r="CA306" s="85" t="n"/>
      <ns0:c r="CB306" s="94" t="n"/>
      <ns0:c r="CC306" s="74" t="inlineStr">
        <ns0:is>
          <ns0:t>greenshoe: no over-allotment option; greenshoe size: no over-allotment option; stabilising manager: filing states none appointed (allotment announcement: 'no stabilizing manager will be appointed' stated in the filing); allocation: clawback line not in this notice; a 12-28% split is consistent with either a tier-1 clawback or a placing shortfall</ns0:t>
        </ns0:is>
      </ns0:c>
    </ns0:row>
    <ns0:row r="307" ht="22" customHeight="1">
      <ns0:c r="A307" s="73" t="inlineStr">
        <ns0:is>
          <ns0:t>0325</ns0:t>
        </ns0:is>
      </ns0:c>
      <ns0:c r="B307" s="74" t="inlineStr">
        <ns0:is>
          <ns0:t>BLOKS</ns0:t>
        </ns0:is>
      </ns0:c>
      <ns0:c r="C307" s="74" t="inlineStr">
        <ns0:is>
          <ns0:t>布魯可</ns0:t>
        </ns0:is>
      </ns0:c>
      <ns0:c r="D307" s="74" t="inlineStr">
        <ns0:is>
          <ns0:t>Consumer</ns0:t>
        </ns0:is>
      </ns0:c>
      <ns0:c r="E307" s="74" t="inlineStr">
        <ns0:is>
          <ns0:t>Retail / distribution</ns0:t>
        </ns0:is>
      </ns0:c>
      <ns0:c r="F307" s="74" t="inlineStr">
        <ns0:is>
          <ns0:t>Toys</ns0:t>
        </ns0:is>
      </ns0:c>
      <ns0:c r="G307" s="74" t="inlineStr">
        <ns0:is>
          <ns0:t>Standard</ns0:t>
        </ns0:is>
      </ns0:c>
      <ns0:c r="H307" s="75" t="n">
        <ns0:v>45667</ns0:v>
      </ns0:c>
      <ns0:c r="I307" s="76" t="n">
        <ns0:v>1674</ns0:v>
      </ns0:c>
      <ns0:c r="J307" s="74" t="inlineStr">
        <ns0:is>
          <ns0:t>gross (stated)</ns0:t>
        </ns0:is>
      </ns0:c>
      <ns0:c r="K307" s="77" t="n">
        <ns0:v>55.65</ns0:v>
      </ns0:c>
      <ns0:c r="L307" s="77" t="n">
        <ns0:v>60.35</ns0:v>
      </ns0:c>
      <ns0:c r="M307" s="77" t="n">
        <ns0:v>60.35</ns0:v>
      </ns0:c>
      <ns0:c r="N307" s="74" t="inlineStr">
        <ns0:is>
          <ns0:t>Y</ns0:t>
        </ns0:is>
      </ns0:c>
      <ns0:c r="O307" s="78" t="n">
        <ns0:v>100</ns0:v>
      </ns0:c>
      <ns0:c r="P307" s="78" t="n">
        <ns0:v>100</ns0:v>
      </ns0:c>
      <ns0:c r="Q307" s="79" t="n">
        <ns0:v>13437.9</ns0:v>
      </ns0:c>
      <ns0:c r="R307" s="74" t="inlineStr">
        <ns0:is>
          <ns0:t>prospectus:stated market capitalisation</ns0:t>
        </ns0:is>
      </ns0:c>
      <ns0:c r="S307" s="80" t="n">
        <ns0:v>5999.96</ns0:v>
      </ns0:c>
      <ns0:c r="T307" s="81" t="n">
        <ns0:v>38.6</ns0:v>
      </ns0:c>
      <ns0:c r="U307" s="82" t="n">
        <ns0:v>23.2</ns0:v>
      </ns0:c>
      <ns0:c r="V307" s="83" t="n">
        <ns0:v>198</ns0:v>
      </ns0:c>
      <ns0:c r="W307" s="78" t="n">
        <ns0:v>43.48</ns0:v>
      </ns0:c>
      <ns0:c r="X307" s="74" t="inlineStr">
        <ns0:is>
          <ns0:t>YES</ns0:t>
        </ns0:is>
      </ns0:c>
      <ns0:c r="Y307" s="79" t="n">
        <ns0:v>1285.63</ns0:v>
      </ns0:c>
      <ns0:c r="Z307" s="79" t="n">
        <ns0:v>21303014</ns0:v>
      </ns0:c>
      <ns0:c r="AA307" s="78" t="n">
        <ns0:v>9.57</ns0:v>
      </ns0:c>
      <ns0:c r="AB307" s="74" t="inlineStr">
        <ns0:is>
          <ns0:t>Greenwoods Asset Management Hong Kong Limited; UBS Asset Management (Singapore) Ltd; Fullgoal Fund Management Co., Ltd; Fullgoal Asset Management (HK) Limited</ns0:t>
        </ns0:is>
      </ns0:c>
      <ns0:c r="AC307" s="74" t="inlineStr">
        <ns0:is>
          <ns0:t>greenwoods;ubs;fullgoal</ns0:t>
        </ns0:is>
      </ns0:c>
      <ns0:c r="AD307" s="78" t="n">
        <ns0:v>15</ns0:v>
      </ns0:c>
      <ns0:c r="AE307" s="74" t="inlineStr">
        <ns0:is>
          <ns0:t>full</ns0:t>
        </ns0:is>
      </ns0:c>
      <ns0:c r="AF307" s="74" t="inlineStr">
        <ns0:is>
          <ns0:t>2025-02-06</ns0:t>
        </ns0:is>
      </ns0:c>
      <ns0:c r="AG307" s="74" t="inlineStr">
        <ns0:is>
          <ns0:t>Goldman Sachs</ns0:t>
        </ns0:is>
      </ns0:c>
      <ns0:c r="AH307" s="74" t="inlineStr">
        <ns0:is>
          <ns0:t>Goldman Sachs</ns0:t>
        </ns0:is>
      </ns0:c>
      <ns0:c r="AI307" s="86" t="n">
        <ns0:v>73.48999999999999</ns0:v>
      </ns0:c>
      <ns0:c r="AJ307" s="87" t="n">
        <ns0:v>40.85</ns0:v>
      </ns0:c>
      <ns0:c r="AK307" s="87" t="n">
        <ns0:v>-1.2</ns0:v>
      </ns0:c>
      <ns0:c r="AL307" s="87" t="n">
        <ns0:v>81.61</ns0:v>
      </ns0:c>
      <ns0:c r="AM307" s="87" t="n">
        <ns0:v>-22.44</ns0:v>
      </ns0:c>
      <ns0:c r="AN307" s="89" t="n">
        <ns0:v>2.22</ns0:v>
      </ns0:c>
      <ns0:c r="AO307" s="78" t="n">
        <ns0:v>22.81</ns0:v>
      </ns0:c>
      <ns0:c r="AP307" s="87" t="n">
        <ns0:v>49.63</ns0:v>
      </ns0:c>
      <ns0:c r="AQ307" s="87" t="n">
        <ns0:v>40.18</ns0:v>
      </ns0:c>
      <ns0:c r="AR307" s="87" t="n">
        <ns0:v>101.66</ns0:v>
      </ns0:c>
      <ns0:c r="AS307" s="87" t="n">
        <ns0:v>6.23</ns0:v>
      </ns0:c>
      <ns0:c r="AT307" s="87" t="n">
        <ns0:v>-0.48</ns0:v>
      </ns0:c>
      <ns0:c r="AU307" s="87" t="n">
        <ns0:v>43.17</ns0:v>
      </ns0:c>
      <ns0:c r="AV307" s="87" t="n">
        <ns0:v>47.69</ns0:v>
      </ns0:c>
      <ns0:c r="AW307" s="87" t="n">
        <ns0:v>23.64</ns0:v>
      </ns0:c>
      <ns0:c r="AX307" s="87" t="n">
        <ns0:v>87.13</ns0:v>
      </ns0:c>
      <ns0:c r="AY307" s="87" t="n">
        <ns0:v>-18.44</ns0:v>
      </ns0:c>
      <ns0:c r="AZ307" s="87" t="n">
        <ns0:v>16.54</ns0:v>
      </ns0:c>
      <ns0:c r="BA307" s="87" t="n">
        <ns0:v>17.96</ns0:v>
      </ns0:c>
      <ns0:c r="BB307" s="74" t="inlineStr">
        <ns0:is>
          <ns0:t>Hang Seng Commerce &amp; Industry sub-index</ns0:t>
        </ns0:is>
      </ns0:c>
      <ns0:c r="BC307" s="87" t="n">
        <ns0:v>5.55</ns0:v>
      </ns0:c>
      <ns0:c r="BD307" s="75" t="n">
        <ns0:v>46297</ns0:v>
      </ns0:c>
      <ns0:c r="BE307" s="76" t="n">
        <ns0:v>964.4</ns0:v>
      </ns0:c>
      <ns0:c r="BF307" s="79" t="n">
        <ns0:v>-441.2</ns0:v>
      </ns0:c>
      <ns0:c r="BG307" s="74" t="inlineStr">
        <ns0:is>
          <ns0:t>N</ns0:t>
        </ns0:is>
      </ns0:c>
      <ns0:c r="BH307" s="74" t="inlineStr">
        <ns0:is>
          <ns0:t>n/m</ns0:t>
        </ns0:is>
      </ns0:c>
      <ns0:c r="BI307" s="88" t="n"/>
      <ns0:c r="BJ307" s="88" t="n"/>
      <ns0:c r="BK307" s="89" t="n">
        <ns0:v>13.9</ns0:v>
      </ns0:c>
      <ns0:c r="BL307" s="90">
        <ns0:f>IFERROR(IF('BBG Verify'!S307="","Awaiting Bloomberg",'BBG Verify'!S307),"Awaiting Bloomberg")</ns0:f>
        <ns0:v/>
      </ns0:c>
      <ns0:c r="BM307" s="91" t="inlineStr">
        <ns0:is>
          <ns0:t>N</ns0:t>
        </ns0:is>
      </ns0:c>
      <ns0:c r="BN307" s="92">
        <ns0:f>IFERROR(IF('BBG Verify'!K307="","Awaiting Bloomberg",'BBG Verify'!K307),"Awaiting Bloomberg")</ns0:f>
        <ns0:v/>
      </ns0:c>
      <ns0:c r="BO307" s="74" t="inlineStr">
        <ns0:is>
          <ns0:t>N/A</ns0:t>
        </ns0:is>
      </ns0:c>
      <ns0:c r="BP307" s="74" t="inlineStr">
        <ns0:is>
          <ns0:t>N/A</ns0:t>
        </ns0:is>
      </ns0:c>
      <ns0:c r="BQ307" s="74" t="inlineStr">
        <ns0:is>
          <ns0:t>N/A</ns0:t>
        </ns0:is>
      </ns0:c>
      <ns0:c r="BR307" s="74" t="inlineStr">
        <ns0:is>
          <ns0:t>N/A</ns0:t>
        </ns0:is>
      </ns0:c>
      <ns0:c r="BS307" s="74" t="inlineStr">
        <ns0:is>
          <ns0:t>N/A</ns0:t>
        </ns0:is>
      </ns0:c>
      <ns0:c r="BT307" s="74" t="inlineStr">
        <ns0:is>
          <ns0:t>N/A</ns0:t>
        </ns0:is>
      </ns0:c>
      <ns0:c r="BU307" s="91" t="inlineStr">
        <ns0:is>
          <ns0:t>Goldman Sachs (Asia) L.L.C; Huatai Financial Holdings (Hong Kong) Limited</ns0:t>
        </ns0:is>
      </ns0:c>
      <ns0:c r="BV307" s="74" t="inlineStr">
        <ns0:is>
          <ns0:t>Goldman Sachs (Asia) L.L.C.; Huatai Financial Holdings (Hong Kong) Limited</ns0:t>
        </ns0:is>
      </ns0:c>
      <ns0:c r="BW307" s="74" t="inlineStr">
        <ns0:is>
          <ns0:t>Goldman Sachs (Asia) L.L.C; Huatai Financial Holdings (Hong Kong) Limited</ns0:t>
        </ns0:is>
      </ns0:c>
      <ns0:c r="BX307" s="74" t="inlineStr">
        <ns0:is>
          <ns0:t>Futu Securities International (Hong Kong) Limited; Goldman Sachs (Asia) L.L.C.; Huatai Financial Holdings (Hong Kong) Limited</ns0:t>
        </ns0:is>
      </ns0:c>
      <ns0:c r="BY307" s="93">
        <ns0:f>HYPERLINK("https://www1.hkexnews.hk/listedco/listconews/sehk/2024/1231/2024123100152.pdf","prospectus")</ns0:f>
        <ns0:v/>
      </ns0:c>
      <ns0:c r="BZ307" s="93">
        <ns0:f>HYPERLINK("https://www1.hkexnews.hk/listedco/listconews/sehk/2025/0109/2025010900829.pdf","allotment")</ns0:f>
        <ns0:v/>
      </ns0:c>
      <ns0:c r="CA307" s="93">
        <ns0:f>HYPERLINK("https://www1.hkexnews.hk/listedco/listconews/sehk/2025/0206/2025020601827.pdf","stabilisation")</ns0:f>
        <ns0:v/>
      </ns0:c>
      <ns0:c r="CB307" s="94" t="n"/>
      <ns0:c r="CC307" s="74" t="inlineStr">
        <ns0:is>
          <ns0:t>P/E: loss-making at IPO, use P/S; A/H: no A-share listing; nearest A proxy Alpha Group (002292.SZ)</ns0:t>
        </ns0:is>
      </ns0:c>
    </ns0:row>
    <ns0:row r="308" ht="22" customHeight="1">
      <ns0:c r="A308" s="73" t="inlineStr">
        <ns0:is>
          <ns0:t>2530</ns0:t>
        </ns0:is>
      </ns0:c>
      <ns0:c r="B308" s="74" t="inlineStr">
        <ns0:is>
          <ns0:t>NUMANS</ns0:t>
        </ns0:is>
      </ns0:c>
      <ns0:c r="C308" s="74" t="inlineStr">
        <ns0:is>
          <ns0:t>紐曼思</ns0:t>
        </ns0:is>
      </ns0:c>
      <ns0:c r="D308" s="74" t="inlineStr">
        <ns0:is>
          <ns0:t>Consumer</ns0:t>
        </ns0:is>
      </ns0:c>
      <ns0:c r="E308" s="74" t="inlineStr">
        <ns0:is>
          <ns0:t>Beverages / packaged food</ns0:t>
        </ns0:is>
      </ns0:c>
      <ns0:c r="F308" s="74" t="inlineStr">
        <ns0:is>
          <ns0:t>Health Care Supplies</ns0:t>
        </ns0:is>
      </ns0:c>
      <ns0:c r="G308" s="74" t="inlineStr">
        <ns0:is>
          <ns0:t>Standard</ns0:t>
        </ns0:is>
      </ns0:c>
      <ns0:c r="H308" s="75" t="n">
        <ns0:v>45667</ns0:v>
      </ns0:c>
      <ns0:c r="I308" s="76" t="n">
        <ns0:v>200</ns0:v>
      </ns0:c>
      <ns0:c r="J308" s="74" t="inlineStr">
        <ns0:is>
          <ns0:t>gross (stated)</ns0:t>
        </ns0:is>
      </ns0:c>
      <ns0:c r="K308" s="77" t="n">
        <ns0:v>0.8</ns0:v>
      </ns0:c>
      <ns0:c r="L308" s="77" t="n">
        <ns0:v>1.09</ns0:v>
      </ns0:c>
      <ns0:c r="M308" s="77" t="n">
        <ns0:v>0.8</ns0:v>
      </ns0:c>
      <ns0:c r="N308" s="74" t="inlineStr">
        <ns0:is>
          <ns0:t>N</ns0:t>
        </ns0:is>
      </ns0:c>
      <ns0:c r="O308" s="78" t="n">
        <ns0:v>73.40000000000001</ns0:v>
      </ns0:c>
      <ns0:c r="P308" s="78" t="n">
        <ns0:v>0</ns0:v>
      </ns0:c>
      <ns0:c r="Q308" s="79" t="n">
        <ns0:v>800</ns0:v>
      </ns0:c>
      <ns0:c r="R308" s="74" t="inlineStr">
        <ns0:is>
          <ns0:t>derived:price x shares upon listing</ns0:t>
        </ns0:is>
      </ns0:c>
      <ns0:c r="S308" s="80" t="n">
        <ns0:v>65.17</ns0:v>
      </ns0:c>
      <ns0:c r="T308" s="81" t="n">
        <ns0:v>1.03</ns0:v>
      </ns0:c>
      <ns0:c r="U308" s="82" t="n">
        <ns0:v>0</ns0:v>
      </ns0:c>
      <ns0:c r="V308" s="83" t="n">
        <ns0:v>115</ns0:v>
      </ns0:c>
      <ns0:c r="W308" s="78" t="n">
        <ns0:v>40</ns0:v>
      </ns0:c>
      <ns0:c r="X308" s="74" t="inlineStr">
        <ns0:is>
          <ns0:t>YES</ns0:t>
        </ns0:is>
      </ns0:c>
      <ns0:c r="Y308" s="79" t="n">
        <ns0:v>200</ns0:v>
      </ns0:c>
      <ns0:c r="Z308" s="79" t="n">
        <ns0:v>250000000</ns0:v>
      </ns0:c>
      <ns0:c r="AA308" s="78" t="n">
        <ns0:v>25</ns0:v>
      </ns0:c>
      <ns0:c r="AB308" s="74" t="inlineStr">
        <ns0:is>
          <ns0:t>none — no cornerstone tranche</ns0:t>
        </ns0:is>
      </ns0:c>
      <ns0:c r="AC308" s="74" t="inlineStr">
        <ns0:is>
          <ns0:t>none</ns0:t>
        </ns0:is>
      </ns0:c>
      <ns0:c r="AD308" s="78" t="n">
        <ns0:v>20</ns0:v>
      </ns0:c>
      <ns0:c r="AE308" s="85" t="n"/>
      <ns0:c r="AF308" s="85" t="n"/>
      <ns0:c r="AG308" s="85" t="n"/>
      <ns0:c r="AH308" s="85" t="n"/>
      <ns0:c r="AI308" s="86" t="n">
        <ns0:v>0</ns0:v>
      </ns0:c>
      <ns0:c r="AJ308" s="87" t="n">
        <ns0:v>-13.75</ns0:v>
      </ns0:c>
      <ns0:c r="AK308" s="87" t="n">
        <ns0:v>-1.2</ns0:v>
      </ns0:c>
      <ns0:c r="AL308" s="87" t="n">
        <ns0:v>-1.25</ns0:v>
      </ns0:c>
      <ns0:c r="AM308" s="87" t="n">
        <ns0:v>-12.66</ns0:v>
      </ns0:c>
      <ns0:c r="AN308" s="89" t="n">
        <ns0:v>1.23</ns0:v>
      </ns0:c>
      <ns0:c r="AO308" s="78" t="n">
        <ns0:v>26.58</ns0:v>
      </ns0:c>
      <ns0:c r="AP308" s="87" t="n">
        <ns0:v>-15</ns0:v>
      </ns0:c>
      <ns0:c r="AQ308" s="87" t="n">
        <ns0:v>-13.75</ns0:v>
      </ns0:c>
      <ns0:c r="AR308" s="87" t="n">
        <ns0:v>-16.25</ns0:v>
      </ns0:c>
      <ns0:c r="AS308" s="87" t="n">
        <ns0:v>-1.45</ns0:v>
      </ns0:c>
      <ns0:c r="AT308" s="87" t="n">
        <ns0:v>0</ns0:v>
      </ns0:c>
      <ns0:c r="AU308" s="87" t="n">
        <ns0:v>-2.9</ns0:v>
      </ns0:c>
      <ns0:c r="AV308" s="87" t="n">
        <ns0:v>-16.94</ns0:v>
      </ns0:c>
      <ns0:c r="AW308" s="87" t="n">
        <ns0:v>-30.29</ns0:v>
      </ns0:c>
      <ns0:c r="AX308" s="87" t="n">
        <ns0:v>-30.78</ns0:v>
      </ns0:c>
      <ns0:c r="AY308" s="87" t="n">
        <ns0:v>-17.96</ns0:v>
      </ns0:c>
      <ns0:c r="AZ308" s="87" t="n">
        <ns0:v>16.54</ns0:v>
      </ns0:c>
      <ns0:c r="BA308" s="87" t="n">
        <ns0:v>17.96</ns0:v>
      </ns0:c>
      <ns0:c r="BB308" s="74" t="inlineStr">
        <ns0:is>
          <ns0:t>Hang Seng Commerce &amp; Industry sub-index</ns0:t>
        </ns0:is>
      </ns0:c>
      <ns0:c r="BC308" s="87" t="n">
        <ns0:v>-8.75</ns0:v>
      </ns0:c>
      <ns0:c r="BD308" s="75" t="n">
        <ns0:v>46297</ns0:v>
      </ns0:c>
      <ns0:c r="BE308" s="76" t="n">
        <ns0:v>469.2</ns0:v>
      </ns0:c>
      <ns0:c r="BF308" s="79" t="n">
        <ns0:v>175.3</ns0:v>
      </ns0:c>
      <ns0:c r="BG308" s="74" t="inlineStr">
        <ns0:is>
          <ns0:t>Y</ns0:t>
        </ns0:is>
      </ns0:c>
      <ns0:c r="BH308" s="89" t="n">
        <ns0:v>4.6</ns0:v>
      </ns0:c>
      <ns0:c r="BI308" s="88" t="n"/>
      <ns0:c r="BJ308" s="89" t="n">
        <ns0:v>115.6</ns0:v>
      </ns0:c>
      <ns0:c r="BK308" s="89" t="n">
        <ns0:v>1.7</ns0:v>
      </ns0:c>
      <ns0:c r="BL308" s="90">
        <ns0:f>IFERROR(IF('BBG Verify'!S308="","Awaiting Bloomberg",'BBG Verify'!S308),"Awaiting Bloomberg")</ns0:f>
        <ns0:v/>
      </ns0:c>
      <ns0:c r="BM308" s="91" t="inlineStr">
        <ns0:is>
          <ns0:t>N</ns0:t>
        </ns0:is>
      </ns0:c>
      <ns0:c r="BN308" s="92">
        <ns0:f>IFERROR(IF('BBG Verify'!K308="","Awaiting Bloomberg",'BBG Verify'!K308),"Awaiting Bloomberg")</ns0:f>
        <ns0:v/>
      </ns0:c>
      <ns0:c r="BO308" s="74" t="inlineStr">
        <ns0:is>
          <ns0:t>N/A</ns0:t>
        </ns0:is>
      </ns0:c>
      <ns0:c r="BP308" s="74" t="inlineStr">
        <ns0:is>
          <ns0:t>N/A</ns0:t>
        </ns0:is>
      </ns0:c>
      <ns0:c r="BQ308" s="74" t="inlineStr">
        <ns0:is>
          <ns0:t>N/A</ns0:t>
        </ns0:is>
      </ns0:c>
      <ns0:c r="BR308" s="74" t="inlineStr">
        <ns0:is>
          <ns0:t>N/A</ns0:t>
        </ns0:is>
      </ns0:c>
      <ns0:c r="BS308" s="74" t="inlineStr">
        <ns0:is>
          <ns0:t>N/A</ns0:t>
        </ns0:is>
      </ns0:c>
      <ns0:c r="BT308" s="74" t="inlineStr">
        <ns0:is>
          <ns0:t>N/A</ns0:t>
        </ns0:is>
      </ns0:c>
      <ns0:c r="BU308" s="91" t="inlineStr">
        <ns0:is>
          <ns0:t>Caitong International Capital Co., Limited</ns0:t>
        </ns0:is>
      </ns0:c>
      <ns0:c r="BV308" s="74" t="inlineStr">
        <ns0:is>
          <ns0:t>Caitong International Capital Co.</ns0:t>
        </ns0:is>
      </ns0:c>
      <ns0:c r="BW308" s="74" t="inlineStr">
        <ns0:is>
          <ns0:t>Caitong International Securities Co., Limited; Quam Securities Limited; China Everbright Securities (HK) Limited; First Fidelity Capital (International) Limited; Phillip Securities (Hong Kong) Limited; Soochow Securities International Brokerage Limited; UZen Securities Limited</ns0:t>
        </ns0:is>
      </ns0:c>
      <ns0:c r="BX308" s="74" t="inlineStr">
        <ns0:is>
          <ns0: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ns0:t>
        </ns0:is>
      </ns0:c>
      <ns0:c r="BY308" s="93">
        <ns0:f>HYPERLINK("https://www1.hkexnews.hk/listedco/listconews/sehk/2024/1230/2024123000005.pdf","prospectus")</ns0:f>
        <ns0:v/>
      </ns0:c>
      <ns0:c r="BZ308" s="93">
        <ns0:f>HYPERLINK("https://www1.hkexnews.hk/listedco/listconews/sehk/2025/0109/2025010901059.pdf","allotment")</ns0:f>
        <ns0:v/>
      </ns0:c>
      <ns0:c r="CA308" s="85" t="n"/>
      <ns0:c r="CB308" s="94" t="n"/>
      <ns0:c r="CC308" s="74" t="inlineStr">
        <ns0:is>
          <ns0:t>greenshoe: end-of-stabilisation notice not found; cornerstone list: no cornerstone tranche; stabilising manager: not named in the allotment notice or prospectus glossary</ns0:t>
        </ns0:is>
      </ns0:c>
    </ns0:row>
    <ns0:row r="309" ht="22" customHeight="1">
      <ns0:c r="A309" s="73" t="inlineStr">
        <ns0:is>
          <ns0:t>2596</ns0:t>
        </ns0:is>
      </ns0:c>
      <ns0:c r="B309" s="74" t="inlineStr">
        <ns0:is>
          <ns0:t>YIBIN BANK</ns0:t>
        </ns0:is>
      </ns0:c>
      <ns0:c r="C309" s="74" t="inlineStr">
        <ns0:is>
          <ns0:t>宜賓銀行</ns0:t>
        </ns0:is>
      </ns0:c>
      <ns0:c r="D309" s="74" t="inlineStr">
        <ns0:is>
          <ns0:t>Financials</ns0:t>
        </ns0:is>
      </ns0:c>
      <ns0:c r="E309" s="74" t="inlineStr">
        <ns0:is>
          <ns0:t>Banks</ns0:t>
        </ns0:is>
      </ns0:c>
      <ns0:c r="F309" s="74" t="inlineStr">
        <ns0:is>
          <ns0:t>Diversified Banks</ns0:t>
        </ns0:is>
      </ns0:c>
      <ns0:c r="G309" s="74" t="inlineStr">
        <ns0:is>
          <ns0:t>Standard</ns0:t>
        </ns0:is>
      </ns0:c>
      <ns0:c r="H309" s="75" t="n">
        <ns0:v>45670</ns0:v>
      </ns0:c>
      <ns0:c r="I309" s="76" t="n">
        <ns0:v>1782.96</ns0:v>
      </ns0:c>
      <ns0:c r="J309" s="74" t="inlineStr">
        <ns0:is>
          <ns0:t>gross (stated)</ns0:t>
        </ns0:is>
      </ns0:c>
      <ns0:c r="K309" s="77" t="n">
        <ns0:v>2.59</ns0:v>
      </ns0:c>
      <ns0:c r="L309" s="77" t="n">
        <ns0:v>2.72</ns0:v>
      </ns0:c>
      <ns0:c r="M309" s="77" t="n">
        <ns0:v>2.59</ns0:v>
      </ns0:c>
      <ns0:c r="N309" s="74" t="inlineStr">
        <ns0:is>
          <ns0:t>N</ns0:t>
        </ns0:is>
      </ns0:c>
      <ns0:c r="O309" s="78" t="n">
        <ns0:v>95.2</ns0:v>
      </ns0:c>
      <ns0:c r="P309" s="78" t="n">
        <ns0:v>0</ns0:v>
      </ns0:c>
      <ns0:c r="Q309" s="79" t="n">
        <ns0:v>10568.8</ns0:v>
      </ns0:c>
      <ns0:c r="R309" s="74" t="inlineStr">
        <ns0:is>
          <ns0:t>derived:deal size / offer % of enlarged capital</ns0:t>
        </ns0:is>
      </ns0:c>
      <ns0:c r="S309" s="80" t="n">
        <ns0:v>0.21</ns0:v>
      </ns0:c>
      <ns0:c r="T309" s="81" t="n">
        <ns0:v>1.14</ns0:v>
      </ns0:c>
      <ns0:c r="U309" s="82" t="n">
        <ns0:v>0</ns0:v>
      </ns0:c>
      <ns0:c r="V309" s="83" t="n">
        <ns0:v>113</ns0:v>
      </ns0:c>
      <ns0:c r="W309" s="78" t="n">
        <ns0:v>2.11</ns0:v>
      </ns0:c>
      <ns0:c r="X309" s="74" t="inlineStr">
        <ns0:is>
          <ns0:t>NO</ns0:t>
        </ns0:is>
      </ns0:c>
      <ns0:c r="Y309" s="79" t="n">
        <ns0:v>1782.96</ns0:v>
      </ns0:c>
      <ns0:c r="Z309" s="79" t="n">
        <ns0:v>688400000</ns0:v>
      </ns0:c>
      <ns0:c r="AA309" s="78" t="n">
        <ns0:v>16.87</ns0:v>
      </ns0:c>
      <ns0:c r="AB309" s="74" t="inlineStr">
        <ns0:is>
          <ns0:t>none — no cornerstone tranche</ns0:t>
        </ns0:is>
      </ns0:c>
      <ns0:c r="AC309" s="74" t="inlineStr">
        <ns0:is>
          <ns0:t>none</ns0:t>
        </ns0:is>
      </ns0:c>
      <ns0:c r="AD309" s="78" t="n">
        <ns0:v>3.2</ns0:v>
      </ns0:c>
      <ns0:c r="AE309" s="74" t="inlineStr">
        <ns0:is>
          <ns0:t>lapsed</ns0:t>
        </ns0:is>
      </ns0:c>
      <ns0:c r="AF309" s="85" t="n"/>
      <ns0:c r="AG309" s="74" t="inlineStr">
        <ns0:is>
          <ns0:t>CCB International Capital Limited</ns0:t>
        </ns0:is>
      </ns0:c>
      <ns0:c r="AH309" s="74" t="inlineStr">
        <ns0:is>
          <ns0:t>CCB</ns0:t>
        </ns0:is>
      </ns0:c>
      <ns0:c r="AI309" s="105" t="n">
        <ns0:v>-1.54</ns0:v>
      </ns0:c>
      <ns0:c r="AJ309" s="87" t="n">
        <ns0:v>0.77</ns0:v>
      </ns0:c>
      <ns0:c r="AK309" s="87" t="n">
        <ns0:v>-1.05</ns0:v>
      </ns0:c>
      <ns0:c r="AL309" s="87" t="n">
        <ns0:v>0</ns0:v>
      </ns0:c>
      <ns0:c r="AM309" s="87" t="n">
        <ns0:v>0.77</ns0:v>
      </ns0:c>
      <ns0:c r="AN309" s="89" t="n">
        <ns0:v>1.77</ns0:v>
      </ns0:c>
      <ns0:c r="AO309" s="78" t="n">
        <ns0:v>3.86</ns0:v>
      </ns0:c>
      <ns0:c r="AP309" s="87" t="n">
        <ns0:v>0.39</ns0:v>
      </ns0:c>
      <ns0:c r="AQ309" s="87" t="n">
        <ns0:v>0.39</ns0:v>
      </ns0:c>
      <ns0:c r="AR309" s="87" t="n">
        <ns0:v>1.16</ns0:v>
      </ns0:c>
      <ns0:c r="AS309" s="87" t="n">
        <ns0:v>-0.38</ns0:v>
      </ns0:c>
      <ns0:c r="AT309" s="87" t="n">
        <ns0:v>-0.38</ns0:v>
      </ns0:c>
      <ns0:c r="AU309" s="87" t="n">
        <ns0:v>0.39</ns0:v>
      </ns0:c>
      <ns0:c r="AV309" s="87" t="n">
        <ns0:v>-2.89</ns0:v>
      </ns0:c>
      <ns0:c r="AW309" s="87" t="n">
        <ns0:v>-12.01</ns0:v>
      </ns0:c>
      <ns0:c r="AX309" s="87" t="n">
        <ns0:v>-6.6</ns0:v>
      </ns0:c>
      <ns0:c r="AY309" s="87" t="n">
        <ns0:v>-13.98</ns0:v>
      </ns0:c>
      <ns0:c r="AZ309" s="87" t="n">
        <ns0:v>12.4</ns0:v>
      </ns0:c>
      <ns0:c r="BA309" s="87" t="n">
        <ns0:v>13.6</ns0:v>
      </ns0:c>
      <ns0:c r="BB309" s="74" t="inlineStr">
        <ns0:is>
          <ns0:t>Hang Seng Finance sub-index</ns0:t>
        </ns0:is>
      </ns0:c>
      <ns0:c r="BC309" s="87" t="n">
        <ns0:v>2.32</ns0:v>
      </ns0:c>
      <ns0:c r="BD309" s="75" t="n">
        <ns0:v>46297</ns0:v>
      </ns0:c>
      <ns0:c r="BE309" s="76" t="n">
        <ns0:v>2387</ns0:v>
      </ns0:c>
      <ns0:c r="BF309" s="79" t="n">
        <ns0:v>524.7</ns0:v>
      </ns0:c>
      <ns0:c r="BG309" s="74" t="inlineStr">
        <ns0:is>
          <ns0:t>Y</ns0:t>
        </ns0:is>
      </ns0:c>
      <ns0:c r="BH309" s="89" t="n">
        <ns0:v>20.1</ns0:v>
      </ns0:c>
      <ns0:c r="BI309" s="88" t="n"/>
      <ns0:c r="BJ309" s="88" t="n"/>
      <ns0:c r="BK309" s="89" t="n">
        <ns0:v>4.4</ns0:v>
      </ns0:c>
      <ns0:c r="BL309" s="90">
        <ns0:f>IFERROR(IF('BBG Verify'!S309="","Awaiting Bloomberg",'BBG Verify'!S309),"Awaiting Bloomberg")</ns0:f>
        <ns0:v/>
      </ns0:c>
      <ns0:c r="BM309" s="91" t="inlineStr">
        <ns0:is>
          <ns0:t>N</ns0:t>
        </ns0:is>
      </ns0:c>
      <ns0:c r="BN309" s="92">
        <ns0:f>IFERROR(IF('BBG Verify'!K309="","Awaiting Bloomberg",'BBG Verify'!K309),"Awaiting Bloomberg")</ns0:f>
        <ns0:v/>
      </ns0:c>
      <ns0:c r="BO309" s="74" t="inlineStr">
        <ns0:is>
          <ns0:t>N/A</ns0:t>
        </ns0:is>
      </ns0:c>
      <ns0:c r="BP309" s="74" t="inlineStr">
        <ns0:is>
          <ns0:t>N/A</ns0:t>
        </ns0:is>
      </ns0:c>
      <ns0:c r="BQ309" s="74" t="inlineStr">
        <ns0:is>
          <ns0:t>N/A</ns0:t>
        </ns0:is>
      </ns0:c>
      <ns0:c r="BR309" s="74" t="inlineStr">
        <ns0:is>
          <ns0:t>N/A</ns0:t>
        </ns0:is>
      </ns0:c>
      <ns0:c r="BS309" s="74" t="inlineStr">
        <ns0:is>
          <ns0:t>N/A</ns0:t>
        </ns0:is>
      </ns0:c>
      <ns0:c r="BT309" s="74" t="inlineStr">
        <ns0:is>
          <ns0:t>N/A</ns0:t>
        </ns0:is>
      </ns0:c>
      <ns0:c r="BU309" s="91" t="inlineStr">
        <ns0:is>
          <ns0:t>CCB International Capital Limited; ICBC International Capital Limited</ns0:t>
        </ns0:is>
      </ns0:c>
      <ns0:c r="BV309" s="74" t="inlineStr">
        <ns0:is>
          <ns0:t>CCB International Capital Limited; ICBC International Capital Limited</ns0:t>
        </ns0:is>
      </ns0:c>
      <ns0:c r="BW309" s="74" t="inlineStr">
        <ns0:is>
          <ns0:t>BOCI Asia Limited; CLSA Limited; Zhongtai International Securities Limited</ns0:t>
        </ns0:is>
      </ns0:c>
      <ns0:c r="BX309" s="74" t="inlineStr">
        <ns0:is>
          <ns0: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ns0:t>
        </ns0:is>
      </ns0:c>
      <ns0:c r="BY309" s="93">
        <ns0:f>HYPERLINK("https://www1.hkexnews.hk/listedco/listconews/sehk/2024/1230/2024123000047.pdf","prospectus")</ns0:f>
        <ns0:v/>
      </ns0:c>
      <ns0:c r="BZ309" s="93">
        <ns0:f>HYPERLINK("https://www1.hkexnews.hk/listedco/listconews/sehk/2025/0110/2025011001363.pdf","allotment")</ns0:f>
        <ns0:v/>
      </ns0:c>
      <ns0:c r="CA309" s="93">
        <ns0:f>HYPERLINK("https://www1.hkexnews.hk/listedco/listconews/sehk/2025/0207/2025020700893.pdf","stabilisation")</ns0:f>
        <ns0:v/>
      </ns0:c>
      <ns0:c r="CB309" s="94" t="n"/>
      <ns0:c r="CC309" s="74" t="inlineStr">
        <ns0:is>
          <ns0:t>greenshoe: outcome published; expiry date not in the notice; cornerstone list: no cornerstone tranche</ns0:t>
        </ns0:is>
      </ns0:c>
    </ns0:row>
    <ns0:row r="310" ht="22" customHeight="1">
      <ns0:c r="A310" s="73" t="inlineStr">
        <ns0:is>
          <ns0:t>2571</ns0:t>
        </ns0:is>
      </ns0:c>
      <ns0:c r="B310" s="74" t="inlineStr">
        <ns0:is>
          <ns0:t>SAIMO</ns0:t>
        </ns0:is>
      </ns0:c>
      <ns0:c r="C310" s="74" t="inlineStr">
        <ns0:is>
          <ns0:t>賽目科技</ns0:t>
        </ns0:is>
      </ns0:c>
      <ns0:c r="D310" s="74" t="inlineStr">
        <ns0:is>
          <ns0:t>Industrials</ns0:t>
        </ns0:is>
      </ns0:c>
      <ns0:c r="E310" s="74" t="inlineStr">
        <ns0:is>
          <ns0:t>Capital goods / machinery</ns0:t>
        </ns0:is>
      </ns0:c>
      <ns0:c r="F310" s="74" t="inlineStr">
        <ns0:is>
          <ns0:t>Application Software</ns0:t>
        </ns0:is>
      </ns0:c>
      <ns0:c r="G310" s="74" t="inlineStr">
        <ns0:is>
          <ns0:t>Standard</ns0:t>
        </ns0:is>
      </ns0:c>
      <ns0:c r="H310" s="75" t="n">
        <ns0:v>45672</ns0:v>
      </ns0:c>
      <ns0:c r="I310" s="76" t="n">
        <ns0:v>433</ns0:v>
      </ns0:c>
      <ns0:c r="J310" s="74" t="inlineStr">
        <ns0:is>
          <ns0:t>gross (stated)</ns0:t>
        </ns0:is>
      </ns0:c>
      <ns0:c r="K310" s="77" t="n">
        <ns0:v>12</ns0:v>
      </ns0:c>
      <ns0:c r="L310" s="77" t="n">
        <ns0:v>12.99</ns0:v>
      </ns0:c>
      <ns0:c r="M310" s="77" t="n">
        <ns0:v>12.99</ns0:v>
      </ns0:c>
      <ns0:c r="N310" s="74" t="inlineStr">
        <ns0:is>
          <ns0:t>Y</ns0:t>
        </ns0:is>
      </ns0:c>
      <ns0:c r="O310" s="78" t="n">
        <ns0:v>100</ns0:v>
      </ns0:c>
      <ns0:c r="P310" s="78" t="n">
        <ns0:v>100</ns0:v>
      </ns0:c>
      <ns0:c r="Q310" s="79" t="n">
        <ns0:v>1732</ns0:v>
      </ns0:c>
      <ns0:c r="R310" s="74" t="inlineStr">
        <ns0:is>
          <ns0:t>derived:price x shares upon listing</ns0:t>
        </ns0:is>
      </ns0:c>
      <ns0:c r="S310" s="80" t="n">
        <ns0:v>2.66</ns0:v>
      </ns0:c>
      <ns0:c r="T310" s="81" t="n">
        <ns0:v>1.06</ns0:v>
      </ns0:c>
      <ns0:c r="U310" s="82" t="n">
        <ns0:v>34.3</ns0:v>
      </ns0:c>
      <ns0:c r="V310" s="83" t="n">
        <ns0:v>120</ns0:v>
      </ns0:c>
      <ns0:c r="W310" s="78" t="n">
        <ns0:v>10</ns0:v>
      </ns0:c>
      <ns0:c r="X310" s="74" t="inlineStr">
        <ns0:is>
          <ns0:t>NO</ns0:t>
        </ns0:is>
      </ns0:c>
      <ns0:c r="Y310" s="79" t="n">
        <ns0:v>284.48</ns0:v>
      </ns0:c>
      <ns0:c r="Z310" s="79" t="n">
        <ns0:v>21900044</ns0:v>
      </ns0:c>
      <ns0:c r="AA310" s="78" t="n">
        <ns0:v>16.43</ns0:v>
      </ns0:c>
      <ns0:c r="AB310" s="74" t="inlineStr">
        <ns0:is>
          <ns0:t>China Mobile International Holdings Limited</ns0:t>
        </ns0:is>
      </ns0:c>
      <ns0:c r="AC310" s="74" t="inlineStr">
        <ns0:is>
          <ns0:t>mobile</ns0:t>
        </ns0:is>
      </ns0:c>
      <ns0:c r="AD310" s="78" t="n">
        <ns0:v>9.300000000000001</ns0:v>
      </ns0:c>
      <ns0:c r="AE310" s="74" t="inlineStr">
        <ns0:is>
          <ns0:t>lapsed (no over-allocation)</ns0:t>
        </ns0:is>
      </ns0:c>
      <ns0:c r="AF310" s="74" t="inlineStr">
        <ns0:is>
          <ns0:t>2025-02-09</ns0:t>
        </ns0:is>
      </ns0:c>
      <ns0:c r="AG310" s="74" t="inlineStr">
        <ns0:is>
          <ns0:t>CEB International Capital Corporation Limited</ns0:t>
        </ns0:is>
      </ns0:c>
      <ns0:c r="AH310" s="74" t="inlineStr">
        <ns0:is>
          <ns0:t>CEB</ns0:t>
        </ns0:is>
      </ns0:c>
      <ns0:c r="AI310" s="86" t="n">
        <ns0:v>0.08</ns0:v>
      </ns0:c>
      <ns0:c r="AJ310" s="87" t="n">
        <ns0:v>1.46</ns0:v>
      </ns0:c>
      <ns0:c r="AK310" s="87" t="n">
        <ns0:v>0.18</ns0:v>
      </ns0:c>
      <ns0:c r="AL310" s="87" t="n">
        <ns0:v>2.39</ns0:v>
      </ns0:c>
      <ns0:c r="AM310" s="87" t="n">
        <ns0:v>-0.91</ns0:v>
      </ns0:c>
      <ns0:c r="AN310" s="89" t="n">
        <ns0:v>2.32</ns0:v>
      </ns0:c>
      <ns0:c r="AO310" s="78" t="n">
        <ns0:v>12.33</ns0:v>
      </ns0:c>
      <ns0:c r="AP310" s="87" t="n">
        <ns0:v>0.38</ns0:v>
      </ns0:c>
      <ns0:c r="AQ310" s="87" t="n">
        <ns0:v>17.17</ns0:v>
      </ns0:c>
      <ns0:c r="AR310" s="87" t="n">
        <ns0:v>-4.54</ns0:v>
      </ns0:c>
      <ns0:c r="AS310" s="87" t="n">
        <ns0:v>-1.06</ns0:v>
      </ns0:c>
      <ns0:c r="AT310" s="87" t="n">
        <ns0:v>15.48</ns0:v>
      </ns0:c>
      <ns0:c r="AU310" s="87" t="n">
        <ns0:v>-5.91</ns0:v>
      </ns0:c>
      <ns0:c r="AV310" s="87" t="n">
        <ns0:v>-2.59</ns0:v>
      </ns0:c>
      <ns0:c r="AW310" s="87" t="n">
        <ns0:v>-7.53</ns0:v>
      </ns0:c>
      <ns0:c r="AX310" s="87" t="n">
        <ns0:v>-18.23</ns0:v>
      </ns0:c>
      <ns0:c r="AY310" s="87" t="n">
        <ns0:v>-8.99</ns0:v>
      </ns0:c>
      <ns0:c r="AZ310" s="87" t="n">
        <ns0:v>24.7</ns0:v>
      </ns0:c>
      <ns0:c r="BA310" s="87" t="n">
        <ns0:v>24.47</ns0:v>
      </ns0:c>
      <ns0:c r="BB310" s="74" t="inlineStr">
        <ns0:is>
          <ns0:t>Hang Seng Commerce &amp; Industry sub-index</ns0:t>
        </ns0:is>
      </ns0:c>
      <ns0:c r="BC310" s="87" t="n">
        <ns0:v>25.48</ns0:v>
      </ns0:c>
      <ns0:c r="BD310" s="75" t="n">
        <ns0:v>46297</ns0:v>
      </ns0:c>
      <ns0:c r="BE310" s="76" t="n">
        <ns0:v>193.3</ns0:v>
      </ns0:c>
      <ns0:c r="BF310" s="79" t="n">
        <ns0:v>55.8</ns0:v>
      </ns0:c>
      <ns0:c r="BG310" s="74" t="inlineStr">
        <ns0:is>
          <ns0:t>Y</ns0:t>
        </ns0:is>
      </ns0:c>
      <ns0:c r="BH310" s="89" t="n">
        <ns0:v>31</ns0:v>
      </ns0:c>
      <ns0:c r="BI310" s="88" t="n"/>
      <ns0:c r="BJ310" s="89" t="n">
        <ns0:v>33.9</ns0:v>
      </ns0:c>
      <ns0:c r="BK310" s="89" t="n">
        <ns0:v>9</ns0:v>
      </ns0:c>
      <ns0:c r="BL310" s="90">
        <ns0:f>IFERROR(IF('BBG Verify'!S310="","Awaiting Bloomberg",'BBG Verify'!S310),"Awaiting Bloomberg")</ns0:f>
        <ns0:v/>
      </ns0:c>
      <ns0:c r="BM310" s="91" t="inlineStr">
        <ns0:is>
          <ns0:t>N</ns0:t>
        </ns0:is>
      </ns0:c>
      <ns0:c r="BN310" s="92">
        <ns0:f>IFERROR(IF('BBG Verify'!K310="","Awaiting Bloomberg",'BBG Verify'!K310),"Awaiting Bloomberg")</ns0:f>
        <ns0:v/>
      </ns0:c>
      <ns0:c r="BO310" s="74" t="inlineStr">
        <ns0:is>
          <ns0:t>N/A</ns0:t>
        </ns0:is>
      </ns0:c>
      <ns0:c r="BP310" s="74" t="inlineStr">
        <ns0:is>
          <ns0:t>N/A</ns0:t>
        </ns0:is>
      </ns0:c>
      <ns0:c r="BQ310" s="74" t="inlineStr">
        <ns0:is>
          <ns0:t>N/A</ns0:t>
        </ns0:is>
      </ns0:c>
      <ns0:c r="BR310" s="74" t="inlineStr">
        <ns0:is>
          <ns0:t>N/A</ns0:t>
        </ns0:is>
      </ns0:c>
      <ns0:c r="BS310" s="74" t="inlineStr">
        <ns0:is>
          <ns0:t>N/A</ns0:t>
        </ns0:is>
      </ns0:c>
      <ns0:c r="BT310" s="74" t="inlineStr">
        <ns0:is>
          <ns0:t>N/A</ns0:t>
        </ns0:is>
      </ns0:c>
      <ns0:c r="BU310" s="91" t="inlineStr">
        <ns0:is>
          <ns0:t>CEB International Capital Corporation Limited</ns0:t>
        </ns0:is>
      </ns0:c>
      <ns0:c r="BV310" s="74" t="inlineStr">
        <ns0:is>
          <ns0:t>CEB International Capital Corporation Limited</ns0:t>
        </ns0:is>
      </ns0:c>
      <ns0:c r="BW310" s="74" t="inlineStr">
        <ns0:is>
          <ns0: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ns0:t>
        </ns0:is>
      </ns0:c>
      <ns0:c r="BX310" s="74" t="inlineStr">
        <ns0:is>
          <ns0: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ns0:t>
        </ns0:is>
      </ns0:c>
      <ns0:c r="BY310" s="93">
        <ns0:f>HYPERLINK("https://www1.hkexnews.hk/listedco/listconews/sehk/2024/1231/2024123100154.pdf","prospectus")</ns0:f>
        <ns0:v/>
      </ns0:c>
      <ns0:c r="BZ310" s="93">
        <ns0:f>HYPERLINK("https://www1.hkexnews.hk/listedco/listconews/sehk/2025/0114/2025011400898.pdf","allotment")</ns0:f>
        <ns0:v/>
      </ns0:c>
      <ns0:c r="CA310" s="93">
        <ns0:f>HYPERLINK("https://www1.hkexnews.hk/listedco/listconews/sehk/2025/0210/2025021000368.pdf","stabilisation")</ns0:f>
        <ns0:v/>
      </ns0:c>
      <ns0:c r="CB310" s="94" t="n"/>
      <ns0:c r="CC310" s="74" t="inlineStr">
        <ns0:is>
          <ns0:t>price range: fixed-price offering (no indicative range); sponsor: English name not in the filing; AAStocks 保薦人 shown; market cap: AAStocks lists HK$2,400m at listing vs HK$1,732m from price x filed share count; the filed count kept</ns0:t>
        </ns0:is>
      </ns0:c>
    </ns0:row>
    <ns0:row r="311" ht="22" customHeight="1">
      <ns0:c r="A311" s="73" t="inlineStr">
        <ns0:is>
          <ns0:t>1364</ns0:t>
        </ns0:is>
      </ns0:c>
      <ns0:c r="B311" s="74" t="inlineStr">
        <ns0:is>
          <ns0:t>GUMING</ns0:t>
        </ns0:is>
      </ns0:c>
      <ns0:c r="C311" s="74" t="inlineStr">
        <ns0:is>
          <ns0:t>古茗</ns0:t>
        </ns0:is>
      </ns0:c>
      <ns0:c r="D311" s="74" t="inlineStr">
        <ns0:is>
          <ns0:t>Consumer</ns0:t>
        </ns0:is>
      </ns0:c>
      <ns0:c r="E311" s="74" t="inlineStr">
        <ns0:is>
          <ns0:t>F&amp;B chains / restaurants</ns0:t>
        </ns0:is>
      </ns0:c>
      <ns0:c r="F311" s="74" t="inlineStr">
        <ns0:is>
          <ns0:t>Beverages (Non-alcoholic)</ns0:t>
        </ns0:is>
      </ns0:c>
      <ns0:c r="G311" s="74" t="inlineStr">
        <ns0:is>
          <ns0:t>Standard</ns0:t>
        </ns0:is>
      </ns0:c>
      <ns0:c r="H311" s="75" t="n">
        <ns0:v>45700</ns0:v>
      </ns0:c>
      <ns0:c r="I311" s="76" t="n">
        <ns0:v>1813</ns0:v>
      </ns0:c>
      <ns0:c r="J311" s="74" t="inlineStr">
        <ns0:is>
          <ns0:t>gross (stated)</ns0:t>
        </ns0:is>
      </ns0:c>
      <ns0:c r="K311" s="95" t="n"/>
      <ns0:c r="L311" s="77" t="n">
        <ns0:v>9.94</ns0:v>
      </ns0:c>
      <ns0:c r="M311" s="77" t="n">
        <ns0:v>9.94</ns0:v>
      </ns0:c>
      <ns0:c r="N311" s="74" t="inlineStr">
        <ns0:is>
          <ns0:t>Y</ns0:t>
        </ns0:is>
      </ns0:c>
      <ns0:c r="O311" s="78" t="n">
        <ns0:v>100</ns0:v>
      </ns0:c>
      <ns0:c r="P311" s="84" t="n"/>
      <ns0:c r="Q311" s="79" t="n">
        <ns0:v>23421.8</ns0:v>
      </ns0:c>
      <ns0:c r="R311" s="74" t="inlineStr">
        <ns0:is>
          <ns0:t>derived:price x shares upon listing</ns0:t>
        </ns0:is>
      </ns0:c>
      <ns0:c r="S311" s="80" t="n">
        <ns0:v>194.87</ns0:v>
      </ns0:c>
      <ns0:c r="T311" s="81" t="n">
        <ns0:v>15.03</ns0:v>
      </ns0:c>
      <ns0:c r="U311" s="82" t="n">
        <ns0:v>30.51</ns0:v>
      </ns0:c>
      <ns0:c r="V311" s="83" t="n">
        <ns0:v>108</ns0:v>
      </ns0:c>
      <ns0:c r="W311" s="78" t="n">
        <ns0:v>43.48</ns0:v>
      </ns0:c>
      <ns0:c r="X311" s="74" t="inlineStr">
        <ns0:is>
          <ns0:t>YES</ns0:t>
        </ns0:is>
      </ns0:c>
      <ns0:c r="Y311" s="79" t="n">
        <ns0:v>1259.85</ns0:v>
      </ns0:c>
      <ns0:c r="Z311" s="79" t="n">
        <ns0:v>126752262</ns0:v>
      </ns0:c>
      <ns0:c r="AA311" s="78" t="n">
        <ns0:v>5.38</ns0:v>
      </ns0:c>
      <ns0:c r="AB311" s="74" t="inlineStr">
        <ns0:is>
          <ns0:t>Huang River Investment Limited; GM Charm Yield (BVI) Limited; Golden Valley Global Limited; Golden Valley Value Select Master Fund; Long-Z Fund I, LP; Duckling Fund, L.P</ns0:t>
        </ns0:is>
      </ns0:c>
      <ns0:c r="AC311" s="74" t="inlineStr">
        <ns0:is>
          <ns0:t>huang-river;gm;golden-valley;long;duckling</ns0:t>
        </ns0:is>
      </ns0:c>
      <ns0:c r="AD311" s="78" t="n">
        <ns0:v>15</ns0:v>
      </ns0:c>
      <ns0:c r="AE311" s="74" t="inlineStr">
        <ns0:is>
          <ns0:t>partial</ns0:t>
        </ns0:is>
      </ns0:c>
      <ns0:c r="AF311" s="85" t="n"/>
      <ns0:c r="AG311" s="74" t="inlineStr">
        <ns0:is>
          <ns0:t>Goldman Sachs</ns0:t>
        </ns0:is>
      </ns0:c>
      <ns0:c r="AH311" s="74" t="inlineStr">
        <ns0:is>
          <ns0:t>Goldman Sachs</ns0:t>
        </ns0:is>
      </ns0:c>
      <ns0:c r="AI311" s="86" t="n">
        <ns0:v>10.87</ns0:v>
      </ns0:c>
      <ns0:c r="AJ311" s="87" t="n">
        <ns0:v>-6.44</ns0:v>
      </ns0:c>
      <ns0:c r="AK311" s="87" t="n">
        <ns0:v>2.81</ns0:v>
      </ns0:c>
      <ns0:c r="AL311" s="87" t="n">
        <ns0:v>0.6</ns0:v>
      </ns0:c>
      <ns0:c r="AM311" s="87" t="n">
        <ns0:v>-7</ns0:v>
      </ns0:c>
      <ns0:c r="AN311" s="89" t="n">
        <ns0:v>1.69</ns0:v>
      </ns0:c>
      <ns0:c r="AO311" s="78" t="n">
        <ns0:v>14.7</ns0:v>
      </ns0:c>
      <ns0:c r="AP311" s="87" t="n">
        <ns0:v>-2.11</ns0:v>
      </ns0:c>
      <ns0:c r="AQ311" s="87" t="n">
        <ns0:v>45.07</ns0:v>
      </ns0:c>
      <ns0:c r="AR311" s="87" t="n">
        <ns0:v>157.04</ns0:v>
      </ns0:c>
      <ns0:c r="AS311" s="87" t="n">
        <ns0:v>4.63</ns0:v>
      </ns0:c>
      <ns0:c r="AT311" s="87" t="n">
        <ns0:v>55.06</ns0:v>
      </ns0:c>
      <ns0:c r="AU311" s="87" t="n">
        <ns0:v>174.73</ns0:v>
      </ns0:c>
      <ns0:c r="AV311" s="87" t="n">
        <ns0:v>-11.51</ns0:v>
      </ns0:c>
      <ns0:c r="AW311" s="87" t="n">
        <ns0:v>33.21</ns0:v>
      </ns0:c>
      <ns0:c r="AX311" s="87" t="n">
        <ns0:v>148.82</ns0:v>
      </ns0:c>
      <ns0:c r="AY311" s="87" t="n">
        <ns0:v>46.25</ns0:v>
      </ns0:c>
      <ns0:c r="AZ311" s="87" t="n">
        <ns0:v>11.86</ns0:v>
      </ns0:c>
      <ns0:c r="BA311" s="87" t="n">
        <ns0:v>8.81</ns0:v>
      </ns0:c>
      <ns0:c r="BB311" s="74" t="inlineStr">
        <ns0:is>
          <ns0:t>Hang Seng Commerce &amp; Industry sub-index</ns0:t>
        </ns0:is>
      </ns0:c>
      <ns0:c r="BC311" s="87" t="n">
        <ns0:v>124.55</ns0:v>
      </ns0:c>
      <ns0:c r="BD311" s="75" t="n">
        <ns0:v>46297</ns0:v>
      </ns0:c>
      <ns0:c r="BE311" s="76" t="n">
        <ns0:v>8443.200000000001</ns0:v>
      </ns0:c>
      <ns0:c r="BF311" s="79" t="n">
        <ns0:v>1206</ns0:v>
      </ns0:c>
      <ns0:c r="BG311" s="74" t="inlineStr">
        <ns0:is>
          <ns0:t>Y</ns0:t>
        </ns0:is>
      </ns0:c>
      <ns0:c r="BH311" s="89" t="n">
        <ns0:v>19.4</ns0:v>
      </ns0:c>
      <ns0:c r="BI311" s="89" t="n">
        <ns0:v>12.3</ns0:v>
      </ns0:c>
      <ns0:c r="BJ311" s="89" t="n">
        <ns0:v>15.4</ns0:v>
      </ns0:c>
      <ns0:c r="BK311" s="89" t="n">
        <ns0:v>2.8</ns0:v>
      </ns0:c>
      <ns0:c r="BL311" s="90">
        <ns0:f>IFERROR(IF('BBG Verify'!S311="","Awaiting Bloomberg",'BBG Verify'!S311),"Awaiting Bloomberg")</ns0:f>
        <ns0:v/>
      </ns0:c>
      <ns0:c r="BM311" s="91" t="inlineStr">
        <ns0:is>
          <ns0:t>N</ns0:t>
        </ns0:is>
      </ns0:c>
      <ns0:c r="BN311" s="92">
        <ns0:f>IFERROR(IF('BBG Verify'!K311="","Awaiting Bloomberg",'BBG Verify'!K311),"Awaiting Bloomberg")</ns0:f>
        <ns0:v/>
      </ns0:c>
      <ns0:c r="BO311" s="74" t="inlineStr">
        <ns0:is>
          <ns0:t>N/A</ns0:t>
        </ns0:is>
      </ns0:c>
      <ns0:c r="BP311" s="74" t="inlineStr">
        <ns0:is>
          <ns0:t>N/A</ns0:t>
        </ns0:is>
      </ns0:c>
      <ns0:c r="BQ311" s="74" t="inlineStr">
        <ns0:is>
          <ns0:t>N/A</ns0:t>
        </ns0:is>
      </ns0:c>
      <ns0:c r="BR311" s="74" t="inlineStr">
        <ns0:is>
          <ns0:t>N/A</ns0:t>
        </ns0:is>
      </ns0:c>
      <ns0:c r="BS311" s="74" t="inlineStr">
        <ns0:is>
          <ns0:t>N/A</ns0:t>
        </ns0:is>
      </ns0:c>
      <ns0:c r="BT311" s="74" t="inlineStr">
        <ns0:is>
          <ns0:t>N/A</ns0:t>
        </ns0:is>
      </ns0:c>
      <ns0:c r="BU311" s="91" t="inlineStr">
        <ns0:is>
          <ns0:t>Goldman Sachs (Asia) L.L.C; UBS Securities Hong Kong Limited; UBS AG Hong Kong Branch</ns0:t>
        </ns0:is>
      </ns0:c>
      <ns0:c r="BV311" s="74" t="inlineStr">
        <ns0:is>
          <ns0:t>UBS Securities Hong Kong Limited; Goldman Sachs (Asia) L.L.C.</ns0:t>
        </ns0:is>
      </ns0:c>
      <ns0:c r="BW311" s="74" t="inlineStr">
        <ns0:is>
          <ns0:t>Goldman Sachs (Asia) L.L.C; UBS AG Hong Kong Branch; China International Capital Corporation Hong Kong Securities Limited; The Hongkong and Shanghai Banking Corporation Limited; ABCI Capital Limited; BOCI Asia Limited; CMB International Capital Limited</ns0:t>
        </ns0:is>
      </ns0:c>
      <ns0:c r="BX311" s="74" t="inlineStr">
        <ns0:is>
          <ns0: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ns0:t>
        </ns0:is>
      </ns0:c>
      <ns0:c r="BY311" s="93">
        <ns0:f>HYPERLINK("https://www1.hkexnews.hk/listedco/listconews/sehk/2025/0204/2025020400011.pdf","prospectus")</ns0:f>
        <ns0:v/>
      </ns0:c>
      <ns0:c r="BZ311" s="93">
        <ns0:f>HYPERLINK("https://www1.hkexnews.hk/listedco/listconews/sehk/2025/0211/2025021100944.pdf","allotment")</ns0:f>
        <ns0:v/>
      </ns0:c>
      <ns0:c r="CA311" s="93">
        <ns0:f>HYPERLINK("https://www1.hkexnews.hk/listedco/listconews/sehk/2025/0309/2025030900015.pdf","stabilisation")</ns0:f>
        <ns0:v/>
      </ns0:c>
      <ns0:c r="CB311" s="94" t="n"/>
      <ns0:c r="CC311" s="74" t="inlineStr">
        <ns0:is>
          <ns0:t>greenshoe: outcome published; expiry date not in the notice; range low: maximum offer price only, no floor published</ns0:t>
        </ns0:is>
      </ns0:c>
    </ns0:row>
    <ns0:row r="312" ht="22" customHeight="1">
      <ns0:c r="A312" s="73" t="inlineStr">
        <ns0:is>
          <ns0:t>2097</ns0:t>
        </ns0:is>
      </ns0:c>
      <ns0:c r="B312" s="74" t="inlineStr">
        <ns0:is>
          <ns0:t>MIXUE GROUP</ns0:t>
        </ns0:is>
      </ns0:c>
      <ns0:c r="C312" s="74" t="inlineStr">
        <ns0:is>
          <ns0:t>蜜雪集團</ns0:t>
        </ns0:is>
      </ns0:c>
      <ns0:c r="D312" s="74" t="inlineStr">
        <ns0:is>
          <ns0:t>Consumer</ns0:t>
        </ns0:is>
      </ns0:c>
      <ns0:c r="E312" s="74" t="inlineStr">
        <ns0:is>
          <ns0:t>F&amp;B chains / restaurants</ns0:t>
        </ns0:is>
      </ns0:c>
      <ns0:c r="F312" s="74" t="inlineStr">
        <ns0:is>
          <ns0:t>Beverages (Non-alcoholic)</ns0:t>
        </ns0:is>
      </ns0:c>
      <ns0:c r="G312" s="74" t="inlineStr">
        <ns0:is>
          <ns0:t>Standard</ns0:t>
        </ns0:is>
      </ns0:c>
      <ns0:c r="H312" s="75" t="n">
        <ns0:v>45719</ns0:v>
      </ns0:c>
      <ns0:c r="I312" s="76" t="n">
        <ns0:v>3455</ns0:v>
      </ns0:c>
      <ns0:c r="J312" s="74" t="inlineStr">
        <ns0:is>
          <ns0:t>gross (stated)</ns0:t>
        </ns0:is>
      </ns0:c>
      <ns0:c r="K312" s="95" t="n"/>
      <ns0:c r="L312" s="77" t="n">
        <ns0:v>202.5</ns0:v>
      </ns0:c>
      <ns0:c r="M312" s="77" t="n">
        <ns0:v>202.5</ns0:v>
      </ns0:c>
      <ns0:c r="N312" s="74" t="inlineStr">
        <ns0:is>
          <ns0:t>Y</ns0:t>
        </ns0:is>
      </ns0:c>
      <ns0:c r="O312" s="78" t="n">
        <ns0:v>100</ns0:v>
      </ns0:c>
      <ns0:c r="P312" s="84" t="n"/>
      <ns0:c r="Q312" s="79" t="n">
        <ns0:v>76355</ns0:v>
      </ns0:c>
      <ns0:c r="R312" s="74" t="inlineStr">
        <ns0:is>
          <ns0:t>prospectus:stated market capitalisation</ns0:t>
        </ns0:is>
      </ns0:c>
      <ns0:c r="S312" s="80" t="n">
        <ns0:v>5258.21</ns0:v>
      </ns0:c>
      <ns0:c r="T312" s="81" t="n">
        <ns0:v>35.23</ns0:v>
      </ns0:c>
      <ns0:c r="U312" s="82" t="n">
        <ns0:v>45.09</ns0:v>
      </ns0:c>
      <ns0:c r="V312" s="83" t="n">
        <ns0:v>222</ns0:v>
      </ns0:c>
      <ns0:c r="W312" s="78" t="n">
        <ns0:v>50</ns0:v>
      </ns0:c>
      <ns0:c r="X312" s="74" t="inlineStr">
        <ns0:is>
          <ns0:t>YES</ns0:t>
        </ns0:is>
      </ns0:c>
      <ns0:c r="Y312" s="79" t="n">
        <ns0:v>1897.14</ns0:v>
      </ns0:c>
      <ns0:c r="Z312" s="79" t="n">
        <ns0:v>9367591</ns0:v>
      </ns0:c>
      <ns0:c r="AA312" s="78" t="n">
        <ns0:v>2.48</ns0:v>
      </ns0:c>
      <ns0:c r="AB312" s="74" t="inlineStr">
        <ns0:is>
          <ns0:t>M&amp;G Investments; HSG Growth VI Holdco F, Ltd; Persistence Growth Limited; HHLR Fund, L.P.; Long-Z Fund I, LP</ns0:t>
        </ns0:is>
      </ns0:c>
      <ns0:c r="AC312" s="74" t="inlineStr">
        <ns0:is>
          <ns0:t>investments;hsg;persistence;hhlr;long</ns0:t>
        </ns0:is>
      </ns0:c>
      <ns0:c r="AD312" s="78" t="n">
        <ns0:v>15</ns0:v>
      </ns0:c>
      <ns0:c r="AE312" s="74" t="inlineStr">
        <ns0:is>
          <ns0:t>full</ns0:t>
        </ns0:is>
      </ns0:c>
      <ns0:c r="AF312" s="74" t="inlineStr">
        <ns0:is>
          <ns0:t>2025-03-28</ns0:t>
        </ns0:is>
      </ns0:c>
      <ns0:c r="AG312" s="74" t="inlineStr">
        <ns0:is>
          <ns0:t>Merrill Lynch</ns0:t>
        </ns0:is>
      </ns0:c>
      <ns0:c r="AH312" s="74" t="inlineStr">
        <ns0:is>
          <ns0:t>Merrill Lynch</ns0:t>
        </ns0:is>
      </ns0:c>
      <ns0:c r="AI312" s="86" t="n">
        <ns0:v>23.46</ns0:v>
      </ns0:c>
      <ns0:c r="AJ312" s="87" t="n">
        <ns0:v>43.21</ns0:v>
      </ns0:c>
      <ns0:c r="AK312" s="87" t="n">
        <ns0:v>0.26</ns0:v>
      </ns0:c>
      <ns0:c r="AL312" s="87" t="n">
        <ns0:v>29.38</ns0:v>
      </ns0:c>
      <ns0:c r="AM312" s="87" t="n">
        <ns0:v>10.69</ns0:v>
      </ns0:c>
      <ns0:c r="AN312" s="89" t="n">
        <ns0:v>1.88</ns0:v>
      </ns0:c>
      <ns0:c r="AO312" s="78" t="n">
        <ns0:v>16.03</ns0:v>
      </ns0:c>
      <ns0:c r="AP312" s="87" t="n">
        <ns0:v>94.27</ns0:v>
      </ns0:c>
      <ns0:c r="AQ312" s="87" t="n">
        <ns0:v>107.41</ns0:v>
      </ns0:c>
      <ns0:c r="AR312" s="87" t="n">
        <ns0:v>180.49</ns0:v>
      </ns0:c>
      <ns0:c r="AS312" s="87" t="n">
        <ns0:v>35.65</ns0:v>
      </ns0:c>
      <ns0:c r="AT312" s="87" t="n">
        <ns0:v>44.83</ns0:v>
      </ns0:c>
      <ns0:c r="AU312" s="87" t="n">
        <ns0:v>95.86</ns0:v>
      </ns0:c>
      <ns0:c r="AV312" s="87" t="n">
        <ns0:v>89.55</ns0:v>
      </ns0:c>
      <ns0:c r="AW312" s="87" t="n">
        <ns0:v>106.47</ns0:v>
      </ns0:c>
      <ns0:c r="AX312" s="87" t="n">
        <ns0:v>178.85</ns0:v>
      </ns0:c>
      <ns0:c r="AY312" s="87" t="n">
        <ns0:v>44.15</ns0:v>
      </ns0:c>
      <ns0:c r="AZ312" s="87" t="n">
        <ns0:v>0.9399999999999999</ns0:v>
      </ns0:c>
      <ns0:c r="BA312" s="87" t="n">
        <ns0:v>0.68</ns0:v>
      </ns0:c>
      <ns0:c r="BB312" s="74" t="inlineStr">
        <ns0:is>
          <ns0:t>Hang Seng Commerce &amp; Industry sub-index</ns0:t>
        </ns0:is>
      </ns0:c>
      <ns0:c r="BC312" s="87" t="n">
        <ns0:v>-11.85</ns0:v>
      </ns0:c>
      <ns0:c r="BD312" s="75" t="n">
        <ns0:v>46297</ns0:v>
      </ns0:c>
      <ns0:c r="BE312" s="76" t="n">
        <ns0:v>22332.7</ns0:v>
      </ns0:c>
      <ns0:c r="BF312" s="79" t="n">
        <ns0:v>3505.3</ns0:v>
      </ns0:c>
      <ns0:c r="BG312" s="74" t="inlineStr">
        <ns0:is>
          <ns0:t>Y</ns0:t>
        </ns0:is>
      </ns0:c>
      <ns0:c r="BH312" s="89" t="n">
        <ns0:v>21.8</ns0:v>
      </ns0:c>
      <ns0:c r="BI312" s="88" t="n"/>
      <ns0:c r="BJ312" s="89" t="n">
        <ns0:v>12.5</ns0:v>
      </ns0:c>
      <ns0:c r="BK312" s="89" t="n">
        <ns0:v>3.4</ns0:v>
      </ns0:c>
      <ns0:c r="BL312" s="90">
        <ns0:f>IFERROR(IF('BBG Verify'!S312="","Awaiting Bloomberg",'BBG Verify'!S312),"Awaiting Bloomberg")</ns0:f>
        <ns0:v/>
      </ns0:c>
      <ns0:c r="BM312" s="91" t="inlineStr">
        <ns0:is>
          <ns0:t>N</ns0:t>
        </ns0:is>
      </ns0:c>
      <ns0:c r="BN312" s="92">
        <ns0:f>IFERROR(IF('BBG Verify'!K312="","Awaiting Bloomberg",'BBG Verify'!K312),"Awaiting Bloomberg")</ns0:f>
        <ns0:v/>
      </ns0:c>
      <ns0:c r="BO312" s="74" t="inlineStr">
        <ns0:is>
          <ns0:t>N/A</ns0:t>
        </ns0:is>
      </ns0:c>
      <ns0:c r="BP312" s="74" t="inlineStr">
        <ns0:is>
          <ns0:t>N/A</ns0:t>
        </ns0:is>
      </ns0:c>
      <ns0:c r="BQ312" s="74" t="inlineStr">
        <ns0:is>
          <ns0:t>N/A</ns0:t>
        </ns0:is>
      </ns0:c>
      <ns0:c r="BR312" s="74" t="inlineStr">
        <ns0:is>
          <ns0:t>N/A</ns0:t>
        </ns0:is>
      </ns0:c>
      <ns0:c r="BS312" s="74" t="inlineStr">
        <ns0:is>
          <ns0:t>N/A</ns0:t>
        </ns0:is>
      </ns0:c>
      <ns0:c r="BT312" s="74" t="inlineStr">
        <ns0:is>
          <ns0:t>N/A</ns0:t>
        </ns0:is>
      </ns0:c>
      <ns0:c r="BU312" s="91" t="inlineStr">
        <ns0:is>
          <ns0:t>Merrill Lynch (Asia Pacific) Limited; Goldman Sachs (Asia) L.L.C; UBS Securities Hong Kong Limited</ns0:t>
        </ns0:is>
      </ns0:c>
      <ns0:c r="BV312" s="74" t="inlineStr">
        <ns0:is>
          <ns0:t>UBS Securities Hong Kong Limited; Merrill Lynch (Asia Pacific) Limited; Goldman Sachs (Asia) L.L.C.</ns0:t>
        </ns0:is>
      </ns0:c>
      <ns0:c r="BW312" s="74" t="inlineStr">
        <ns0:is>
          <ns0:t>Merrill Lynch (Asia Pacific) Limited; Goldman Sachs (Asia) L.L.C; UBS AG Hong Kong Branch; Huatai Financial Holdings (Hong Kong) Limited; ICBC International Securities Limited; GF Securities (Hong Kong) Brokerage Limited; CMB International Capital Limited</ns0:t>
        </ns0:is>
      </ns0:c>
      <ns0:c r="BX312" s="74" t="inlineStr">
        <ns0:is>
          <ns0: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ns0:t>
        </ns0:is>
      </ns0:c>
      <ns0:c r="BY312" s="93">
        <ns0:f>HYPERLINK("https://www1.hkexnews.hk/listedco/listconews/sehk/2025/0221/2025022100016.htm","prospectus")</ns0:f>
        <ns0:v/>
      </ns0:c>
      <ns0:c r="BZ312" s="93">
        <ns0:f>HYPERLINK("https://www1.hkexnews.hk/listedco/listconews/sehk/2025/0228/2025022801727.pdf","allotment")</ns0:f>
        <ns0:v/>
      </ns0:c>
      <ns0:c r="CA312" s="93">
        <ns0:f>HYPERLINK("https://www1.hkexnews.hk/listedco/listconews/sehk/2025/0328/2025032802276.pdf","stabilisation")</ns0:f>
        <ns0:v/>
      </ns0:c>
      <ns0:c r="CB312" s="94" t="n"/>
      <ns0:c r="CC312" s="74" t="inlineStr">
        <ns0:is>
          <ns0:t>price range: fixed-price offering (no indicative range); range low: maximum offer price only, no floor published; A/H: no A-share listing; nearest A proxy Xiangpiaopiao Food (603711.SS)</ns0:t>
        </ns0:is>
      </ns0:c>
    </ns0:row>
    <ns0:row r="313" ht="22" customHeight="1">
      <ns0:c r="A313" s="73" t="inlineStr">
        <ns0:is>
          <ns0:t>6693</ns0:t>
        </ns0:is>
      </ns0:c>
      <ns0:c r="B313" s="74" t="inlineStr">
        <ns0:is>
          <ns0:t>CHIFENG GOLD</ns0:t>
        </ns0:is>
      </ns0:c>
      <ns0:c r="C313" s="74" t="inlineStr">
        <ns0:is>
          <ns0:t>赤峰黃金</ns0:t>
        </ns0:is>
      </ns0:c>
      <ns0:c r="D313" s="74" t="inlineStr">
        <ns0:is>
          <ns0:t>Materials/Energy</ns0:t>
        </ns0:is>
      </ns0:c>
      <ns0:c r="E313" s="74" t="inlineStr">
        <ns0:is>
          <ns0:t>Mining / metals</ns0:t>
        </ns0:is>
      </ns0:c>
      <ns0:c r="F313" s="74" t="inlineStr">
        <ns0:is>
          <ns0:t>Gold &amp; Precious Metals</ns0:t>
        </ns0:is>
      </ns0:c>
      <ns0:c r="G313" s="74" t="inlineStr">
        <ns0:is>
          <ns0:t>Standard</ns0:t>
        </ns0:is>
      </ns0:c>
      <ns0:c r="H313" s="75" t="n">
        <ns0:v>45726</ns0:v>
      </ns0:c>
      <ns0:c r="I313" s="76" t="n">
        <ns0:v>2821.5</ns0:v>
      </ns0:c>
      <ns0:c r="J313" s="74" t="inlineStr">
        <ns0:is>
          <ns0:t>gross (price x shares)</ns0:t>
        </ns0:is>
      </ns0:c>
      <ns0:c r="K313" s="95" t="n"/>
      <ns0:c r="L313" s="77" t="n">
        <ns0:v>15.83</ns0:v>
      </ns0:c>
      <ns0:c r="M313" s="77" t="n">
        <ns0:v>13.72</ns0:v>
      </ns0:c>
      <ns0:c r="N313" s="74" t="inlineStr">
        <ns0:is>
          <ns0:t>N</ns0:t>
        </ns0:is>
      </ns0:c>
      <ns0:c r="O313" s="78" t="n">
        <ns0:v>86.7</ns0:v>
      </ns0:c>
      <ns0:c r="P313" s="84" t="n"/>
      <ns0:c r="Q313" s="79" t="n">
        <ns0:v>25650.4</ns0:v>
      </ns0:c>
      <ns0:c r="R313" s="74" t="inlineStr">
        <ns0:is>
          <ns0:t>derived:price x shares upon listing</ns0:t>
        </ns0:is>
      </ns0:c>
      <ns0:c r="S313" s="80" t="n">
        <ns0:v>9.529999999999999</ns0:v>
      </ns0:c>
      <ns0:c r="T313" s="81" t="n">
        <ns0:v>3.67</ns0:v>
      </ns0:c>
      <ns0:c r="U313" s="82" t="n">
        <ns0:v>26.4</ns0:v>
      </ns0:c>
      <ns0:c r="V313" s="83" t="n">
        <ns0:v>152</ns0:v>
      </ns0:c>
      <ns0:c r="W313" s="78" t="n">
        <ns0:v>10</ns0:v>
      </ns0:c>
      <ns0:c r="X313" s="74" t="inlineStr">
        <ns0:is>
          <ns0:t>NO</ns0:t>
        </ns0:is>
      </ns0:c>
      <ns0:c r="Y313" s="79" t="n">
        <ns0:v>2076.62</ns0:v>
      </ns0:c>
      <ns0:c r="Z313" s="79" t="n">
        <ns0:v>151359872</ns0:v>
      </ns0:c>
      <ns0:c r="AA313" s="78" t="n">
        <ns0:v>8.1</ns0:v>
      </ns0:c>
      <ns0:c r="AB313" s="74" t="inlineStr">
        <ns0:is>
          <ns0:t>Gold Mountains (H.K.) International Mining Company Limited; Sparky International Company Limited</ns0:t>
        </ns0:is>
      </ns0:c>
      <ns0:c r="AC313" s="74" t="inlineStr">
        <ns0:is>
          <ns0:t>gold;sparky</ns0:t>
        </ns0:is>
      </ns0:c>
      <ns0:c r="AD313" s="78" t="n">
        <ns0:v>15</ns0:v>
      </ns0:c>
      <ns0:c r="AE313" s="74" t="inlineStr">
        <ns0:is>
          <ns0:t>full</ns0:t>
        </ns0:is>
      </ns0:c>
      <ns0:c r="AF313" s="74" t="inlineStr">
        <ns0:is>
          <ns0:t>2025-04-04</ns0:t>
        </ns0:is>
      </ns0:c>
      <ns0:c r="AG313" s="74" t="inlineStr">
        <ns0:is>
          <ns0:t>CLSA Limited</ns0:t>
        </ns0:is>
      </ns0:c>
      <ns0:c r="AH313" s="74" t="inlineStr">
        <ns0:is>
          <ns0:t>CLSA</ns0:t>
        </ns0:is>
      </ns0:c>
      <ns0:c r="AI313" s="86" t="n">
        <ns0:v>-0.29</ns0:v>
      </ns0:c>
      <ns0:c r="AJ313" s="87" t="n">
        <ns0:v>0</ns0:v>
      </ns0:c>
      <ns0:c r="AK313" s="87" t="n">
        <ns0:v>-2.5</ns0:v>
      </ns0:c>
      <ns0:c r="AL313" s="87" t="n">
        <ns0:v>0</ns0:v>
      </ns0:c>
      <ns0:c r="AM313" s="87" t="n">
        <ns0:v>0</ns0:v>
      </ns0:c>
      <ns0:c r="AN313" s="89" t="n">
        <ns0:v>2.44</ns0:v>
      </ns0:c>
      <ns0:c r="AO313" s="78" t="n">
        <ns0:v>2.77</ns0:v>
      </ns0:c>
      <ns0:c r="AP313" s="87" t="n">
        <ns0:v>2.04</ns0:v>
      </ns0:c>
      <ns0:c r="AQ313" s="87" t="n">
        <ns0:v>25.51</ns0:v>
      </ns0:c>
      <ns0:c r="AR313" s="87" t="n">
        <ns0:v>110.64</ns0:v>
      </ns0:c>
      <ns0:c r="AS313" s="87" t="n">
        <ns0:v>2.04</ns0:v>
      </ns0:c>
      <ns0:c r="AT313" s="87" t="n">
        <ns0:v>25.51</ns0:v>
      </ns0:c>
      <ns0:c r="AU313" s="87" t="n">
        <ns0:v>110.64</ns0:v>
      </ns0:c>
      <ns0:c r="AV313" s="87" t="n">
        <ns0:v>2.89</ns0:v>
      </ns0:c>
      <ns0:c r="AW313" s="87" t="n">
        <ns0:v>43.51</ns0:v>
      </ns0:c>
      <ns0:c r="AX313" s="87" t="n">
        <ns0:v>116.43</ns0:v>
      </ns0:c>
      <ns0:c r="AY313" s="87" t="n">
        <ns0:v>41.41</ns0:v>
      </ns0:c>
      <ns0:c r="AZ313" s="87" t="n">
        <ns0:v>-18</ns0:v>
      </ns0:c>
      <ns0:c r="BA313" s="87" t="n">
        <ns0:v>-15.9</ns0:v>
      </ns0:c>
      <ns0:c r="BB313" s="74" t="inlineStr">
        <ns0:is>
          <ns0:t>Hang Seng Commerce &amp; Industry sub-index</ns0:t>
        </ns0:is>
      </ns0:c>
      <ns0:c r="BC313" s="87" t="n">
        <ns0:v>157.87</ns0:v>
      </ns0:c>
      <ns0:c r="BD313" s="75" t="n">
        <ns0:v>46297</ns0:v>
      </ns0:c>
      <ns0:c r="BE313" s="76" t="n">
        <ns0:v>7943</ns0:v>
      </ns0:c>
      <ns0:c r="BF313" s="79" t="n">
        <ns0:v>958.7</ns0:v>
      </ns0:c>
      <ns0:c r="BG313" s="74" t="inlineStr">
        <ns0:is>
          <ns0:t>Y</ns0:t>
        </ns0:is>
      </ns0:c>
      <ns0:c r="BH313" s="89" t="n">
        <ns0:v>26.8</ns0:v>
      </ns0:c>
      <ns0:c r="BI313" s="89" t="n">
        <ns0:v>12</ns0:v>
      </ns0:c>
      <ns0:c r="BJ313" s="89" t="n">
        <ns0:v>17.2</ns0:v>
      </ns0:c>
      <ns0:c r="BK313" s="89" t="n">
        <ns0:v>3.2</ns0:v>
      </ns0:c>
      <ns0:c r="BL313" s="90">
        <ns0:f>IFERROR(IF('BBG Verify'!S313="","Awaiting Bloomberg",'BBG Verify'!S313),"Awaiting Bloomberg")</ns0:f>
        <ns0:v/>
      </ns0:c>
      <ns0:c r="BM313" s="91" t="inlineStr">
        <ns0:is>
          <ns0:t>Y</ns0:t>
        </ns0:is>
      </ns0:c>
      <ns0:c r="BN313" s="74" t="inlineStr">
        <ns0:is>
          <ns0:t>600988.SS</ns0:t>
        </ns0:is>
      </ns0:c>
      <ns0:c r="BO313" s="87" t="n">
        <ns0:v>50.61</ns0:v>
      </ns0:c>
      <ns0:c r="BP313" s="77" t="n">
        <ns0:v>20.6635</ns0:v>
      </ns0:c>
      <ns0:c r="BQ313" s="101" t="n">
        <ns0:v>0.3086</ns0:v>
      </ns0:c>
      <ns0:c r="BR313" s="79" t="n">
        <ns0:v>88013.2</ns0:v>
      </ns0:c>
      <ns0:c r="BS313" s="90">
        <ns0:f>IFERROR(IF('BBG Verify'!Q313="","Awaiting Bloomberg",'BBG Verify'!Q313),"Awaiting Bloomberg")</ns0:f>
        <ns0:v/>
      </ns0:c>
      <ns0:c r="BT313" s="90">
        <ns0:f>IFERROR(IF('BBG Verify'!R313="","Awaiting Bloomberg",'BBG Verify'!R313),"Awaiting Bloomberg")</ns0:f>
        <ns0:v/>
      </ns0:c>
      <ns0:c r="BU313" s="91" t="inlineStr">
        <ns0:is>
          <ns0:t>CITIC Securities (Hong Kong) Limited</ns0:t>
        </ns0:is>
      </ns0:c>
      <ns0:c r="BV313" s="74" t="inlineStr">
        <ns0:is>
          <ns0:t>CITIC Securities (Hong Kong) Limited</ns0:t>
        </ns0:is>
      </ns0:c>
      <ns0:c r="BW313" s="74" t="inlineStr">
        <ns0:is>
          <ns0:t>Kong Securities Limited; ABCI Capital Limited; ABCI Securities Company Limited</ns0:t>
        </ns0:is>
      </ns0:c>
      <ns0:c r="BX313" s="74" t="inlineStr">
        <ns0:is>
          <ns0: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ns0:t>
        </ns0:is>
      </ns0:c>
      <ns0:c r="BY313" s="93">
        <ns0:f>HYPERLINK("https://www1.hkexnews.hk/listedco/listconews/sehk/2025/0228/2025022800056.pdf","prospectus")</ns0:f>
        <ns0:v/>
      </ns0:c>
      <ns0:c r="BZ313" s="93">
        <ns0:f>HYPERLINK("https://www1.hkexnews.hk/listedco/listconews/sehk/2025/0307/2025030701501.pdf","allotment")</ns0:f>
        <ns0:v/>
      </ns0:c>
      <ns0:c r="CA313" s="93">
        <ns0:f>HYPERLINK("https://www1.hkexnews.hk/listedco/listconews/sehk/2025/0406/2025040600051.pdf","stabilisation")</ns0:f>
        <ns0:v/>
      </ns0:c>
      <ns0:c r="CB313" s="94" t="n"/>
      <ns0:c r="CC313" s="74" t="inlineStr">
        <ns0:is>
          <ns0:t>range low: maximum offer price only, no floor published; A/H: Mar 2025 H listing (gold miner)</ns0:t>
        </ns0:is>
      </ns0:c>
    </ns0:row>
    <ns0:row r="314" ht="22" customHeight="1">
      <ns0:c r="A314" s="73" t="inlineStr">
        <ns0:is>
          <ns0:t>2561</ns0:t>
        </ns0:is>
      </ns0:c>
      <ns0:c r="B314" s="74" t="inlineStr">
        <ns0:is>
          <ns0:t>VISEN PHARMA-B</ns0:t>
        </ns0:is>
      </ns0:c>
      <ns0:c r="C314" s="74" t="inlineStr">
        <ns0:is>
          <ns0:t>維昇藥業－Ｂ</ns0:t>
        </ns0:is>
      </ns0:c>
      <ns0:c r="D314" s="74" t="inlineStr">
        <ns0:is>
          <ns0:t>Healthcare</ns0:t>
        </ns0:is>
      </ns0:c>
      <ns0:c r="E314" s="74" t="inlineStr">
        <ns0:is>
          <ns0:t>Biotech pre-revenue (18A)</ns0:t>
        </ns0:is>
      </ns0:c>
      <ns0:c r="F314" s="74" t="inlineStr">
        <ns0:is>
          <ns0:t>Biotechnology - Pharmaceuticals</ns0:t>
        </ns0:is>
      </ns0:c>
      <ns0:c r="G314" s="74" t="inlineStr">
        <ns0:is>
          <ns0:t>18A</ns0:t>
        </ns0:is>
      </ns0:c>
      <ns0:c r="H314" s="75" t="n">
        <ns0:v>45737</ns0:v>
      </ns0:c>
      <ns0:c r="I314" s="76" t="n">
        <ns0:v>783.3</ns0:v>
      </ns0:c>
      <ns0:c r="J314" s="74" t="inlineStr">
        <ns0:is>
          <ns0:t>gross (stated)</ns0:t>
        </ns0:is>
      </ns0:c>
      <ns0:c r="K314" s="77" t="n">
        <ns0:v>68.44</ns0:v>
      </ns0:c>
      <ns0:c r="L314" s="77" t="n">
        <ns0:v>75.28</ns0:v>
      </ns0:c>
      <ns0:c r="M314" s="77" t="n">
        <ns0:v>68.8</ns0:v>
      </ns0:c>
      <ns0:c r="N314" s="74" t="inlineStr">
        <ns0:is>
          <ns0:t>N</ns0:t>
        </ns0:is>
      </ns0:c>
      <ns0:c r="O314" s="78" t="n">
        <ns0:v>91.40000000000001</ns0:v>
      </ns0:c>
      <ns0:c r="P314" s="78" t="n">
        <ns0:v>5.3</ns0:v>
      </ns0:c>
      <ns0:c r="Q314" s="79" t="n">
        <ns0:v>8509.299999999999</ns0:v>
      </ns0:c>
      <ns0:c r="R314" s="74" t="inlineStr">
        <ns0:is>
          <ns0:t>aastocks:上市市值 at the struck price</ns0:t>
        </ns0:is>
      </ns0:c>
      <ns0:c r="S314" s="80" t="n">
        <ns0:v>72.64</ns0:v>
      </ns0:c>
      <ns0:c r="T314" s="81" t="n">
        <ns0:v>1.65</ns0:v>
      </ns0:c>
      <ns0:c r="U314" s="82" t="n">
        <ns0:v>65</ns0:v>
      </ns0:c>
      <ns0:c r="V314" s="83" t="n">
        <ns0:v>178</ns0:v>
      </ns0:c>
      <ns0:c r="W314" s="78" t="n">
        <ns0:v>40</ns0:v>
      </ns0:c>
      <ns0:c r="X314" s="74" t="inlineStr">
        <ns0:is>
          <ns0:t>YES</ns0:t>
        </ns0:is>
      </ns0:c>
      <ns0:c r="Y314" s="79" t="n">
        <ns0:v>274.15</ns0:v>
      </ns0:c>
      <ns0:c r="Z314" s="79" t="n">
        <ns0:v>3984750</ns0:v>
      </ns0:c>
      <ns0:c r="AA314" s="78" t="n">
        <ns0:v>3.22</ns0:v>
      </ns0:c>
      <ns0:c r="AB314" s="74" t="inlineStr">
        <ns0:is>
          <ns0:t>AnkeBio (Hong Kong) Co., Limited; Suzhou Harvest International Co., Limited; Vivo Plenilune IX Limited; WuXi Biologics HealthCare Venture; Reynold Lemkins Group (Asia) Limited</ns0:t>
        </ns0:is>
      </ns0:c>
      <ns0:c r="AC314" s="74" t="inlineStr">
        <ns0:is>
          <ns0:t>ankebio;suzhou;vivo;wuxi;reynold</ns0:t>
        </ns0:is>
      </ns0:c>
      <ns0:c r="AD314" s="78" t="n">
        <ns0:v>15</ns0:v>
      </ns0:c>
      <ns0:c r="AE314" s="74" t="inlineStr">
        <ns0:is>
          <ns0:t>lapsed</ns0:t>
        </ns0:is>
      </ns0:c>
      <ns0:c r="AF314" s="85" t="n"/>
      <ns0:c r="AG314" s="74" t="inlineStr">
        <ns0:is>
          <ns0:t>Morgan Stanley Asia Limited</ns0:t>
        </ns0:is>
      </ns0:c>
      <ns0:c r="AH314" s="74" t="inlineStr">
        <ns0:is>
          <ns0:t>Morgan Stanley</ns0:t>
        </ns0:is>
      </ns0:c>
      <ns0:c r="AI314" s="86" t="n">
        <ns0:v>-7.19</ns0:v>
      </ns0:c>
      <ns0:c r="AJ314" s="87" t="n">
        <ns0:v>0</ns0:v>
      </ns0:c>
      <ns0:c r="AK314" s="87" t="n">
        <ns0:v>-3.62</ns0:v>
      </ns0:c>
      <ns0:c r="AL314" s="87" t="n">
        <ns0:v>0</ns0:v>
      </ns0:c>
      <ns0:c r="AM314" s="87" t="n">
        <ns0:v>0</ns0:v>
      </ns0:c>
      <ns0:c r="AN314" s="89" t="n">
        <ns0:v>0.75</ns0:v>
      </ns0:c>
      <ns0:c r="AO314" s="78" t="n">
        <ns0:v>6.32</ns0:v>
      </ns0:c>
      <ns0:c r="AP314" s="87" t="n">
        <ns0:v>-16.79</ns0:v>
      </ns0:c>
      <ns0:c r="AQ314" s="87" t="n">
        <ns0:v>-30.81</ns0:v>
      </ns0:c>
      <ns0:c r="AR314" s="87" t="n">
        <ns0:v>-30.96</ns0:v>
      </ns0:c>
      <ns0:c r="AS314" s="87" t="n">
        <ns0:v>-16.79</ns0:v>
      </ns0:c>
      <ns0:c r="AT314" s="87" t="n">
        <ns0:v>-30.81</ns0:v>
      </ns0:c>
      <ns0:c r="AU314" s="87" t="n">
        <ns0:v>-30.96</ns0:v>
      </ns0:c>
      <ns0:c r="AV314" s="87" t="n">
        <ns0:v>-17.6</ns0:v>
      </ns0:c>
      <ns0:c r="AW314" s="87" t="n">
        <ns0:v>-31.78</ns0:v>
      </ns0:c>
      <ns0:c r="AX314" s="87" t="n">
        <ns0:v>-44.95</ns0:v>
      </ns0:c>
      <ns0:c r="AY314" s="87" t="n">
        <ns0:v>-35.58</ns0:v>
      </ns0:c>
      <ns0:c r="AZ314" s="87" t="n">
        <ns0:v>0.97</ns0:v>
      </ns0:c>
      <ns0:c r="BA314" s="87" t="n">
        <ns0:v>4.77</ns0:v>
      </ns0:c>
      <ns0:c r="BB314" s="74" t="inlineStr">
        <ns0:is>
          <ns0:t>China Biotech ETF (HS biotech proxy)</ns0:t>
        </ns0:is>
      </ns0:c>
      <ns0:c r="BC314" s="87" t="n">
        <ns0:v>-73.11</ns0:v>
      </ns0:c>
      <ns0:c r="BD314" s="75" t="n">
        <ns0:v>46297</ns0:v>
      </ns0:c>
      <ns0:c r="BE314" s="76" t="n">
        <ns0:v>2.2</ns0:v>
      </ns0:c>
      <ns0:c r="BF314" s="79" t="n">
        <ns0:v>-229.2</ns0:v>
      </ns0:c>
      <ns0:c r="BG314" s="74" t="inlineStr">
        <ns0:is>
          <ns0:t>N</ns0:t>
        </ns0:is>
      </ns0:c>
      <ns0:c r="BH314" s="74" t="inlineStr">
        <ns0:is>
          <ns0:t>n/m</ns0:t>
        </ns0:is>
      </ns0:c>
      <ns0:c r="BI314" s="88" t="n"/>
      <ns0:c r="BJ314" s="88" t="n"/>
      <ns0:c r="BK314" s="89" t="n">
        <ns0:v>3867.9</ns0:v>
      </ns0:c>
      <ns0:c r="BL314" s="90">
        <ns0:f>IFERROR(IF('BBG Verify'!S314="","Awaiting Bloomberg",'BBG Verify'!S314),"Awaiting Bloomberg")</ns0:f>
        <ns0:v/>
      </ns0:c>
      <ns0:c r="BM314" s="91" t="inlineStr">
        <ns0:is>
          <ns0:t>N</ns0:t>
        </ns0:is>
      </ns0:c>
      <ns0:c r="BN314" s="92">
        <ns0:f>IFERROR(IF('BBG Verify'!K314="","Awaiting Bloomberg",'BBG Verify'!K314),"Awaiting Bloomberg")</ns0:f>
        <ns0:v/>
      </ns0:c>
      <ns0:c r="BO314" s="74" t="inlineStr">
        <ns0:is>
          <ns0:t>N/A</ns0:t>
        </ns0:is>
      </ns0:c>
      <ns0:c r="BP314" s="74" t="inlineStr">
        <ns0:is>
          <ns0:t>N/A</ns0:t>
        </ns0:is>
      </ns0:c>
      <ns0:c r="BQ314" s="74" t="inlineStr">
        <ns0:is>
          <ns0:t>N/A</ns0:t>
        </ns0:is>
      </ns0:c>
      <ns0:c r="BR314" s="74" t="inlineStr">
        <ns0:is>
          <ns0:t>N/A</ns0:t>
        </ns0:is>
      </ns0:c>
      <ns0:c r="BS314" s="74" t="inlineStr">
        <ns0:is>
          <ns0:t>N/A</ns0:t>
        </ns0:is>
      </ns0:c>
      <ns0:c r="BT314" s="74" t="inlineStr">
        <ns0:is>
          <ns0:t>N/A</ns0:t>
        </ns0:is>
      </ns0:c>
      <ns0:c r="BU314" s="91" t="inlineStr">
        <ns0:is>
          <ns0:t>Morgan Stanley Asia Limited; Jefferies Hong Kong Limited</ns0:t>
        </ns0:is>
      </ns0:c>
      <ns0:c r="BV314" s="74" t="inlineStr">
        <ns0:is>
          <ns0:t>Jefferies Hong Kong Limited; Morgan Stanley Asia Limited</ns0:t>
        </ns0:is>
      </ns0:c>
      <ns0:c r="BW314" s="74" t="inlineStr">
        <ns0:is>
          <ns0:t>Morgan Stanley Asia Limited; Jefferies Hong Kong Limited</ns0:t>
        </ns0:is>
      </ns0:c>
      <ns0:c r="BX314" s="74" t="inlineStr">
        <ns0:is>
          <ns0:t>CLSA Limited; Futu Securities International (Hong Kong) Limited; Guoyuan Securities Brokerage (Hong Kong) Limited; Jefferies Hong Kong Limited; Morgan Stanley Asia Limited; Patrons Securities Limited; Ruibang Securities Limited; Soochow Securities International Brokerage Limited</ns0:t>
        </ns0:is>
      </ns0:c>
      <ns0:c r="BY314" s="93">
        <ns0:f>HYPERLINK("https://www1.hkexnews.hk/listedco/listconews/sehk/2025/0313/2025031300017.pdf","prospectus")</ns0:f>
        <ns0:v/>
      </ns0:c>
      <ns0:c r="BZ314" s="93">
        <ns0:f>HYPERLINK("https://www1.hkexnews.hk/listedco/listconews/sehk/2025/0320/2025032001490.pdf","allotment")</ns0:f>
        <ns0:v/>
      </ns0:c>
      <ns0:c r="CA314" s="93">
        <ns0:f>HYPERLINK("https://www1.hkexnews.hk/listedco/listconews/sehk/2025/0417/2025041701661.pdf","stabilisation")</ns0:f>
        <ns0:v/>
      </ns0:c>
      <ns0:c r="CB314" s="94" t="n"/>
      <ns0:c r="CC314" s="74" t="inlineStr">
        <ns0:is>
          <ns0:t>P/E: loss-making at IPO, use P/S; greenshoe: outcome published; expiry date not in the notice; market cap: published listing cap used; the estimate from deal size / offer % of enlarged capital disagreed; P/S: 3,868x on HK$2.2m revenue, effectively pre-revenue; not comparable</ns0:t>
        </ns0:is>
      </ns0:c>
    </ns0:row>
    <ns0:row r="315" ht="22" customHeight="1">
      <ns0:c r="A315" s="73" t="inlineStr">
        <ns0:is>
          <ns0:t>2610</ns0:t>
        </ns0:is>
      </ns0:c>
      <ns0:c r="B315" s="74" t="inlineStr">
        <ns0:is>
          <ns0:t>NANSHAN AL INTL</ns0:t>
        </ns0:is>
      </ns0:c>
      <ns0:c r="C315" s="74" t="inlineStr">
        <ns0:is>
          <ns0:t>南山鋁業國際</ns0:t>
        </ns0:is>
      </ns0:c>
      <ns0:c r="D315" s="74" t="inlineStr">
        <ns0:is>
          <ns0:t>Materials/Energy</ns0:t>
        </ns0:is>
      </ns0:c>
      <ns0:c r="E315" s="74" t="inlineStr">
        <ns0:is>
          <ns0:t>Mining / metals</ns0:t>
        </ns0:is>
      </ns0:c>
      <ns0:c r="F315" s="74" t="inlineStr">
        <ns0:is>
          <ns0:t>Aluminum</ns0:t>
        </ns0:is>
      </ns0:c>
      <ns0:c r="G315" s="74" t="inlineStr">
        <ns0:is>
          <ns0:t>Standard</ns0:t>
        </ns0:is>
      </ns0:c>
      <ns0:c r="H315" s="75" t="n">
        <ns0:v>45741</ns0:v>
      </ns0:c>
      <ns0:c r="I315" s="76" t="n">
        <ns0:v>2347.1</ns0:v>
      </ns0:c>
      <ns0:c r="J315" s="74" t="inlineStr">
        <ns0:is>
          <ns0:t>gross (stated)</ns0:t>
        </ns0:is>
      </ns0:c>
      <ns0:c r="K315" s="95" t="n"/>
      <ns0:c r="L315" s="77" t="n">
        <ns0:v>26.6</ns0:v>
      </ns0:c>
      <ns0:c r="M315" s="77" t="n">
        <ns0:v>26.6</ns0:v>
      </ns0:c>
      <ns0:c r="N315" s="74" t="inlineStr">
        <ns0:is>
          <ns0:t>Y</ns0:t>
        </ns0:is>
      </ns0:c>
      <ns0:c r="O315" s="78" t="n">
        <ns0:v>100</ns0:v>
      </ns0:c>
      <ns0:c r="P315" s="84" t="n"/>
      <ns0:c r="Q315" s="79" t="n">
        <ns0:v>15647.1</ns0:v>
      </ns0:c>
      <ns0:c r="R315" s="74" t="inlineStr">
        <ns0:is>
          <ns0:t>derived:price x shares upon listing</ns0:t>
        </ns0:is>
      </ns0:c>
      <ns0:c r="S315" s="80" t="n">
        <ns0:v>3.89</ns0:v>
      </ns0:c>
      <ns0:c r="T315" s="81" t="n">
        <ns0:v>1.67</ns0:v>
      </ns0:c>
      <ns0:c r="U315" s="82" t="n">
        <ns0:v>39.82</ns0:v>
      </ns0:c>
      <ns0:c r="V315" s="83" t="n">
        <ns0:v>169</ns0:v>
      </ns0:c>
      <ns0:c r="W315" s="78" t="n">
        <ns0:v>10</ns0:v>
      </ns0:c>
      <ns0:c r="X315" s="74" t="inlineStr">
        <ns0:is>
          <ns0:t>NO</ns0:t>
        </ns0:is>
      </ns0:c>
      <ns0:c r="Y315" s="79" t="n">
        <ns0:v>1412.48</ns0:v>
      </ns0:c>
      <ns0:c r="Z315" s="79" t="n">
        <ns0:v>53100004</ns0:v>
      </ns0:c>
      <ns0:c r="AA315" s="78" t="n">
        <ns0:v>9.029999999999999</ns0:v>
      </ns0:c>
      <ns0:c r="AB315" s="74" t="inlineStr">
        <ns0:is>
          <ns0:t>Glencore International AG; Hongkong Topway Trading Co., Limited; Reijong International Industrial Equipment (HK) Limited; PT Indika Energy Tbk</ns0:t>
        </ns0:is>
      </ns0:c>
      <ns0:c r="AC315" s="74" t="inlineStr">
        <ns0:is>
          <ns0:t>glencore;hongkong;reijong;pt</ns0:t>
        </ns0:is>
      </ns0:c>
      <ns0:c r="AD315" s="78" t="n">
        <ns0:v>15</ns0:v>
      </ns0:c>
      <ns0:c r="AE315" s="74" t="inlineStr">
        <ns0:is>
          <ns0:t>partial</ns0:t>
        </ns0:is>
      </ns0:c>
      <ns0:c r="AF315" s="85" t="n"/>
      <ns0:c r="AG315" s="74" t="inlineStr">
        <ns0:is>
          <ns0:t>Huatai Financial Holdings</ns0:t>
        </ns0:is>
      </ns0:c>
      <ns0:c r="AH315" s="74" t="inlineStr">
        <ns0:is>
          <ns0:t>Huatai</ns0:t>
        </ns0:is>
      </ns0:c>
      <ns0:c r="AI315" s="86" t="n">
        <ns0:v>-0.75</ns0:v>
      </ns0:c>
      <ns0:c r="AJ315" s="87" t="n">
        <ns0:v>-5.08</ns0:v>
      </ns0:c>
      <ns0:c r="AK315" s="87" t="n">
        <ns0:v>-2.89</ns0:v>
      </ns0:c>
      <ns0:c r="AL315" s="87" t="n">
        <ns0:v>0</ns0:v>
      </ns0:c>
      <ns0:c r="AM315" s="87" t="n">
        <ns0:v>-5.08</ns0:v>
      </ns0:c>
      <ns0:c r="AN315" s="89" t="n">
        <ns0:v>1.46</ns0:v>
      </ns0:c>
      <ns0:c r="AO315" s="78" t="n">
        <ns0:v>6.2</ns0:v>
      </ns0:c>
      <ns0:c r="AP315" s="87" t="n">
        <ns0:v>-8.83</ns0:v>
      </ns0:c>
      <ns0:c r="AQ315" s="87" t="n">
        <ns0:v>-8.65</ns0:v>
      </ns0:c>
      <ns0:c r="AR315" s="87" t="n">
        <ns0:v>16.54</ns0:v>
      </ns0:c>
      <ns0:c r="AS315" s="87" t="n">
        <ns0:v>-3.95</ns0:v>
      </ns0:c>
      <ns0:c r="AT315" s="87" t="n">
        <ns0:v>-3.76</ns0:v>
      </ns0:c>
      <ns0:c r="AU315" s="87" t="n">
        <ns0:v>22.78</ns0:v>
      </ns0:c>
      <ns0:c r="AV315" s="87" t="n">
        <ns0:v>-4.83</ns0:v>
      </ns0:c>
      <ns0:c r="AW315" s="87" t="n">
        <ns0:v>2.12</ns0:v>
      </ns0:c>
      <ns0:c r="AX315" s="87" t="n">
        <ns0:v>20.59</ns0:v>
      </ns0:c>
      <ns0:c r="AY315" s="87" t="n">
        <ns0:v>4.35</ns0:v>
      </ns0:c>
      <ns0:c r="AZ315" s="87" t="n">
        <ns0:v>-10.77</ns0:v>
      </ns0:c>
      <ns0:c r="BA315" s="87" t="n">
        <ns0:v>-8.109999999999999</ns0:v>
      </ns0:c>
      <ns0:c r="BB315" s="74" t="inlineStr">
        <ns0:is>
          <ns0:t>Hang Seng Commerce &amp; Industry sub-index</ns0:t>
        </ns0:is>
      </ns0:c>
      <ns0:c r="BC315" s="87" t="n">
        <ns0:v>-11.13</ns0:v>
      </ns0:c>
      <ns0:c r="BD315" s="75" t="n">
        <ns0:v>46297</ns0:v>
      </ns0:c>
      <ns0:c r="BE315" s="76" t="n">
        <ns0:v>5286.7</ns0:v>
      </ns0:c>
      <ns0:c r="BF315" s="79" t="n">
        <ns0:v>956.8</ns0:v>
      </ns0:c>
      <ns0:c r="BG315" s="74" t="inlineStr">
        <ns0:is>
          <ns0:t>Y</ns0:t>
        </ns0:is>
      </ns0:c>
      <ns0:c r="BH315" s="89" t="n">
        <ns0:v>16.4</ns0:v>
      </ns0:c>
      <ns0:c r="BI315" s="89" t="n">
        <ns0:v>3.5</ns0:v>
      </ns0:c>
      <ns0:c r="BJ315" s="89" t="n">
        <ns0:v>4.7</ns0:v>
      </ns0:c>
      <ns0:c r="BK315" s="89" t="n">
        <ns0:v>3</ns0:v>
      </ns0:c>
      <ns0:c r="BL315" s="90">
        <ns0:f>IFERROR(IF('BBG Verify'!S315="","Awaiting Bloomberg",'BBG Verify'!S315),"Awaiting Bloomberg")</ns0:f>
        <ns0:v/>
      </ns0:c>
      <ns0:c r="BM315" s="91" t="inlineStr">
        <ns0:is>
          <ns0:t>N</ns0:t>
        </ns0:is>
      </ns0:c>
      <ns0:c r="BN315" s="92">
        <ns0:f>IFERROR(IF('BBG Verify'!K315="","Awaiting Bloomberg",'BBG Verify'!K315),"Awaiting Bloomberg")</ns0:f>
        <ns0:v/>
      </ns0:c>
      <ns0:c r="BO315" s="74" t="inlineStr">
        <ns0:is>
          <ns0:t>N/A</ns0:t>
        </ns0:is>
      </ns0:c>
      <ns0:c r="BP315" s="74" t="inlineStr">
        <ns0:is>
          <ns0:t>N/A</ns0:t>
        </ns0:is>
      </ns0:c>
      <ns0:c r="BQ315" s="74" t="inlineStr">
        <ns0:is>
          <ns0:t>N/A</ns0:t>
        </ns0:is>
      </ns0:c>
      <ns0:c r="BR315" s="74" t="inlineStr">
        <ns0:is>
          <ns0:t>N/A</ns0:t>
        </ns0:is>
      </ns0:c>
      <ns0:c r="BS315" s="74" t="inlineStr">
        <ns0:is>
          <ns0:t>N/A</ns0:t>
        </ns0:is>
      </ns0:c>
      <ns0:c r="BT315" s="74" t="inlineStr">
        <ns0:is>
          <ns0:t>N/A</ns0:t>
        </ns0:is>
      </ns0:c>
      <ns0:c r="BU315" s="91" t="inlineStr">
        <ns0:is>
          <ns0:t>Huatai Financial Holdings (Hong Kong) Limited</ns0:t>
        </ns0:is>
      </ns0:c>
      <ns0:c r="BV315" s="74" t="inlineStr">
        <ns0:is>
          <ns0:t>Huatai Financial Holdings (Hong Kong) Limited</ns0:t>
        </ns0:is>
      </ns0:c>
      <ns0:c r="BW315" s="74" t="inlineStr">
        <ns0:is>
          <ns0: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ns0:t>
        </ns0:is>
      </ns0:c>
      <ns0:c r="BX315" s="74" t="inlineStr">
        <ns0:is>
          <ns0: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ns0:t>
        </ns0:is>
      </ns0:c>
      <ns0:c r="BY315" s="93">
        <ns0:f>HYPERLINK("https://www1.hkexnews.hk/listedco/listconews/sehk/2025/0317/2025031700019.pdf","prospectus")</ns0:f>
        <ns0:v/>
      </ns0:c>
      <ns0:c r="BZ315" s="93">
        <ns0:f>HYPERLINK("https://www1.hkexnews.hk/listedco/listconews/sehk/2025/0324/2025032401216.pdf","allotment")</ns0:f>
        <ns0:v/>
      </ns0:c>
      <ns0:c r="CA315" s="93">
        <ns0:f>HYPERLINK("https://www1.hkexnews.hk/listedco/listconews/sehk/2025/0422/2025042201921.pdf","stabilisation")</ns0:f>
        <ns0:v/>
      </ns0:c>
      <ns0:c r="CB315" s="94" t="n"/>
      <ns0:c r="CC315" s="74" t="inlineStr">
        <ns0:is>
          <ns0:t>greenshoe: outcome published; expiry date not in the notice; range low: maximum offer price only, no floor published; sponsor: English name not in the filing; AAStocks 保薦人 shown</ns0:t>
        </ns0:is>
      </ns0:c>
    </ns0:row>
    <ns0:row r="316" ht="22" customHeight="1">
      <ns0:c r="A316" s="73" t="inlineStr">
        <ns0:is>
          <ns0:t>2569</ns0:t>
        </ns0:is>
      </ns0:c>
      <ns0:c r="B316" s="74" t="inlineStr">
        <ns0:is>
          <ns0:t>SOFT INTL</ns0:t>
        </ns0:is>
      </ns0:c>
      <ns0:c r="C316" s="74" t="inlineStr">
        <ns0:is>
          <ns0:t>舒寶國際</ns0:t>
        </ns0:is>
      </ns0:c>
      <ns0:c r="D316" s="74" t="inlineStr">
        <ns0:is>
          <ns0:t>Materials/Energy</ns0:t>
        </ns0:is>
      </ns0:c>
      <ns0:c r="E316" s="74" t="inlineStr">
        <ns0:is>
          <ns0:t>Chemicals</ns0:t>
        </ns0:is>
      </ns0:c>
      <ns0:c r="F316" s="74" t="inlineStr">
        <ns0:is>
          <ns0:t>Personal Products</ns0:t>
        </ns0:is>
      </ns0:c>
      <ns0:c r="G316" s="74" t="inlineStr">
        <ns0:is>
          <ns0:t>Standard</ns0:t>
        </ns0:is>
      </ns0:c>
      <ns0:c r="H316" s="75" t="n">
        <ns0:v>45743</ns0:v>
      </ns0:c>
      <ns0:c r="I316" s="76" t="n">
        <ns0:v>127.5</ns0:v>
      </ns0:c>
      <ns0:c r="J316" s="74" t="inlineStr">
        <ns0:is>
          <ns0:t>gross (stated)</ns0:t>
        </ns0:is>
      </ns0:c>
      <ns0:c r="K316" s="77" t="n">
        <ns0:v>0.5</ns0:v>
      </ns0:c>
      <ns0:c r="L316" s="77" t="n">
        <ns0:v>0.6</ns0:v>
      </ns0:c>
      <ns0:c r="M316" s="77" t="n">
        <ns0:v>0.51</ns0:v>
      </ns0:c>
      <ns0:c r="N316" s="74" t="inlineStr">
        <ns0:is>
          <ns0:t>N</ns0:t>
        </ns0:is>
      </ns0:c>
      <ns0:c r="O316" s="78" t="n">
        <ns0:v>85</ns0:v>
      </ns0:c>
      <ns0:c r="P316" s="78" t="n">
        <ns0:v>10</ns0:v>
      </ns0:c>
      <ns0:c r="Q316" s="79" t="n">
        <ns0:v>510</ns0:v>
      </ns0:c>
      <ns0:c r="R316" s="74" t="inlineStr">
        <ns0:is>
          <ns0:t>derived:price x shares upon listing</ns0:t>
        </ns0:is>
      </ns0:c>
      <ns0:c r="S316" s="80" t="n">
        <ns0:v>167.09</ns0:v>
      </ns0:c>
      <ns0:c r="T316" s="81" t="n">
        <ns0:v>1.02</ns0:v>
      </ns0:c>
      <ns0:c r="U316" s="82" t="n">
        <ns0:v>0</ns0:v>
      </ns0:c>
      <ns0:c r="V316" s="83" t="n">
        <ns0:v>111</ns0:v>
      </ns0:c>
      <ns0:c r="W316" s="78" t="n">
        <ns0:v>50</ns0:v>
      </ns0:c>
      <ns0:c r="X316" s="74" t="inlineStr">
        <ns0:is>
          <ns0:t>YES</ns0:t>
        </ns0:is>
      </ns0:c>
      <ns0:c r="Y316" s="79" t="n">
        <ns0:v>127.5</ns0:v>
      </ns0:c>
      <ns0:c r="Z316" s="79" t="n">
        <ns0:v>250000000</ns0:v>
      </ns0:c>
      <ns0:c r="AA316" s="78" t="n">
        <ns0:v>25</ns0:v>
      </ns0:c>
      <ns0:c r="AB316" s="74" t="inlineStr">
        <ns0:is>
          <ns0:t>none — no cornerstone tranche</ns0:t>
        </ns0:is>
      </ns0:c>
      <ns0:c r="AC316" s="74" t="inlineStr">
        <ns0:is>
          <ns0:t>none</ns0:t>
        </ns0:is>
      </ns0:c>
      <ns0:c r="AD316" s="78" t="n">
        <ns0:v>7.5</ns0:v>
      </ns0:c>
      <ns0:c r="AE316" s="85" t="n"/>
      <ns0:c r="AF316" s="74" t="inlineStr">
        <ns0:is>
          <ns0:t>2025-04-23</ns0:t>
        </ns0:is>
      </ns0:c>
      <ns0:c r="AG316" s="74" t="inlineStr">
        <ns0:is>
          <ns0:t>Yue Xiu Securities Company Limited</ns0:t>
        </ns0:is>
      </ns0:c>
      <ns0:c r="AH316" s="74" t="inlineStr">
        <ns0:is>
          <ns0:t>Yue Xiu</ns0:t>
        </ns0:is>
      </ns0:c>
      <ns0:c r="AI316" s="86" t="n">
        <ns0:v>-1.96</ns0:v>
      </ns0:c>
      <ns0:c r="AJ316" s="87" t="n">
        <ns0:v>31.37</ns0:v>
      </ns0:c>
      <ns0:c r="AK316" s="87" t="n">
        <ns0:v>0.51</ns0:v>
      </ns0:c>
      <ns0:c r="AL316" s="87" t="n">
        <ns0:v>-3.92</ns0:v>
      </ns0:c>
      <ns0:c r="AM316" s="87" t="n">
        <ns0:v>36.73</ns0:v>
      </ns0:c>
      <ns0:c r="AN316" s="89" t="n">
        <ns0:v>2.18</ns0:v>
      </ns0:c>
      <ns0:c r="AO316" s="78" t="n">
        <ns0:v>68.37</ns0:v>
      </ns0:c>
      <ns0:c r="AP316" s="87" t="n">
        <ns0:v>-1.96</ns0:v>
      </ns0:c>
      <ns0:c r="AQ316" s="87" t="n">
        <ns0:v>23.53</ns0:v>
      </ns0:c>
      <ns0:c r="AR316" s="87" t="n">
        <ns0:v>162.75</ns0:v>
      </ns0:c>
      <ns0:c r="AS316" s="87" t="n">
        <ns0:v>-25.37</ns0:v>
      </ns0:c>
      <ns0:c r="AT316" s="87" t="n">
        <ns0:v>-5.97</ns0:v>
      </ns0:c>
      <ns0:c r="AU316" s="87" t="n">
        <ns0:v>100.01</ns0:v>
      </ns0:c>
      <ns0:c r="AV316" s="87" t="n">
        <ns0:v>1.99</ns0:v>
      </ns0:c>
      <ns0:c r="AW316" s="87" t="n">
        <ns0:v>31.31</ns0:v>
      </ns0:c>
      <ns0:c r="AX316" s="87" t="n">
        <ns0:v>165.32</ns0:v>
      </ns0:c>
      <ns0:c r="AY316" s="87" t="n">
        <ns0:v>2.28</ns0:v>
      </ns0:c>
      <ns0:c r="AZ316" s="87" t="n">
        <ns0:v>-7.78</ns0:v>
      </ns0:c>
      <ns0:c r="BA316" s="87" t="n">
        <ns0:v>-8.25</ns0:v>
      </ns0:c>
      <ns0:c r="BB316" s="74" t="inlineStr">
        <ns0:is>
          <ns0:t>Hang Seng Commerce &amp; Industry sub-index</ns0:t>
        </ns0:is>
      </ns0:c>
      <ns0:c r="BC316" s="87" t="n">
        <ns0:v>186.27</ns0:v>
      </ns0:c>
      <ns0:c r="BD316" s="75" t="n">
        <ns0:v>46297</ns0:v>
      </ns0:c>
      <ns0:c r="BE316" s="76" t="n">
        <ns0:v>720</ns0:v>
      </ns0:c>
      <ns0:c r="BF316" s="79" t="n">
        <ns0:v>64.8</ns0:v>
      </ns0:c>
      <ns0:c r="BG316" s="74" t="inlineStr">
        <ns0:is>
          <ns0:t>Y</ns0:t>
        </ns0:is>
      </ns0:c>
      <ns0:c r="BH316" s="89" t="n">
        <ns0:v>7.9</ns0:v>
      </ns0:c>
      <ns0:c r="BI316" s="88" t="n"/>
      <ns0:c r="BJ316" s="89" t="n">
        <ns0:v>17.6</ns0:v>
      </ns0:c>
      <ns0:c r="BK316" s="89" t="n">
        <ns0:v>0.7</ns0:v>
      </ns0:c>
      <ns0:c r="BL316" s="90">
        <ns0:f>IFERROR(IF('BBG Verify'!S316="","Awaiting Bloomberg",'BBG Verify'!S316),"Awaiting Bloomberg")</ns0:f>
        <ns0:v/>
      </ns0:c>
      <ns0:c r="BM316" s="91" t="inlineStr">
        <ns0:is>
          <ns0:t>N</ns0:t>
        </ns0:is>
      </ns0:c>
      <ns0:c r="BN316" s="92">
        <ns0:f>IFERROR(IF('BBG Verify'!K316="","Awaiting Bloomberg",'BBG Verify'!K316),"Awaiting Bloomberg")</ns0:f>
        <ns0:v/>
      </ns0:c>
      <ns0:c r="BO316" s="74" t="inlineStr">
        <ns0:is>
          <ns0:t>N/A</ns0:t>
        </ns0:is>
      </ns0:c>
      <ns0:c r="BP316" s="74" t="inlineStr">
        <ns0:is>
          <ns0:t>N/A</ns0:t>
        </ns0:is>
      </ns0:c>
      <ns0:c r="BQ316" s="74" t="inlineStr">
        <ns0:is>
          <ns0:t>N/A</ns0:t>
        </ns0:is>
      </ns0:c>
      <ns0:c r="BR316" s="74" t="inlineStr">
        <ns0:is>
          <ns0:t>N/A</ns0:t>
        </ns0:is>
      </ns0:c>
      <ns0:c r="BS316" s="74" t="inlineStr">
        <ns0:is>
          <ns0:t>N/A</ns0:t>
        </ns0:is>
      </ns0:c>
      <ns0:c r="BT316" s="74" t="inlineStr">
        <ns0:is>
          <ns0:t>N/A</ns0:t>
        </ns0:is>
      </ns0:c>
      <ns0:c r="BU316" s="91" t="inlineStr">
        <ns0:is>
          <ns0:t>Sunny Fortune Capital Limited</ns0:t>
        </ns0:is>
      </ns0:c>
      <ns0:c r="BV316" s="74" t="inlineStr">
        <ns0:is>
          <ns0:t>Sunny Fortune Capital Limited</ns0:t>
        </ns0:is>
      </ns0:c>
      <ns0:c r="BW316" s="74" t="inlineStr">
        <ns0:is>
          <ns0:t>CMBC Securities Company Limited; Hung Sing Securities Limited; Yuet Sheung International Securities Limited; Zhongtai International Securities Limited; ZMF Asset Management Limited</ns0:t>
        </ns0:is>
      </ns0:c>
      <ns0:c r="BX316" s="74" t="inlineStr">
        <ns0:is>
          <ns0: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ns0:t>
        </ns0:is>
      </ns0:c>
      <ns0:c r="BY316" s="93">
        <ns0:f>HYPERLINK("https://www1.hkexnews.hk/listedco/listconews/sehk/2025/0319/2025031900013.pdf","prospectus")</ns0:f>
        <ns0:v/>
      </ns0:c>
      <ns0:c r="BZ316" s="93">
        <ns0:f>HYPERLINK("https://www1.hkexnews.hk/listedco/listconews/sehk/2025/0326/2025032601370.pdf","allotment")</ns0:f>
        <ns0:v/>
      </ns0:c>
      <ns0:c r="CA316" s="85" t="n"/>
      <ns0:c r="CB316" s="94" t="n"/>
      <ns0:c r="CC316" s="74" t="inlineStr">
        <ns0:is>
          <ns0:t>greenshoe: end-of-stabilisation notice not found; sponsor: English name not in the filing; AAStocks 保薦人 shown; cornerstone list: no cornerstone tranche</ns0:t>
        </ns0:is>
      </ns0:c>
    </ns0:row>
    <ns0:row r="317" ht="22" customHeight="1">
      <ns0:c r="A317" s="73" t="inlineStr">
        <ns0:is>
          <ns0:t>2625</ns0:t>
        </ns0:is>
      </ns0:c>
      <ns0:c r="B317" s="74" t="inlineStr">
        <ns0:is>
          <ns0:t>JIANGSU HORIZON</ns0:t>
        </ns0:is>
      </ns0:c>
      <ns0:c r="C317" s="74" t="inlineStr">
        <ns0:is>
          <ns0:t>江蘇宏信</ns0:t>
        </ns0:is>
      </ns0:c>
      <ns0:c r="D317" s="74" t="inlineStr">
        <ns0:is>
          <ns0:t>Consumer</ns0:t>
        </ns0:is>
      </ns0:c>
      <ns0:c r="E317" s="74" t="inlineStr">
        <ns0:is>
          <ns0:t>Retail / distribution</ns0:t>
        </ns0:is>
      </ns0:c>
      <ns0:c r="F317" s="74" t="inlineStr">
        <ns0:is>
          <ns0:t>Hypermarkets, Supermarkets &amp; Convenience Stores</ns0:t>
        </ns0:is>
      </ns0:c>
      <ns0:c r="G317" s="74" t="inlineStr">
        <ns0:is>
          <ns0:t>Standard</ns0:t>
        </ns0:is>
      </ns0:c>
      <ns0:c r="H317" s="75" t="n">
        <ns0:v>45747</ns0:v>
      </ns0:c>
      <ns0:c r="I317" s="76" t="n">
        <ns0:v>133.91</ns0:v>
      </ns0:c>
      <ns0:c r="J317" s="74" t="inlineStr">
        <ns0:is>
          <ns0:t>gross (stated)</ns0:t>
        </ns0:is>
      </ns0:c>
      <ns0:c r="K317" s="77" t="n">
        <ns0:v>2.5</ns0:v>
      </ns0:c>
      <ns0:c r="L317" s="77" t="n">
        <ns0:v>3</ns0:v>
      </ns0:c>
      <ns0:c r="M317" s="77" t="n">
        <ns0:v>2.5</ns0:v>
      </ns0:c>
      <ns0:c r="N317" s="74" t="inlineStr">
        <ns0:is>
          <ns0:t>N</ns0:t>
        </ns0:is>
      </ns0:c>
      <ns0:c r="O317" s="78" t="n">
        <ns0:v>83.3</ns0:v>
      </ns0:c>
      <ns0:c r="P317" s="78" t="n">
        <ns0:v>0</ns0:v>
      </ns0:c>
      <ns0:c r="Q317" s="79" t="n">
        <ns0:v>535.6</ns0:v>
      </ns0:c>
      <ns0:c r="R317" s="74" t="inlineStr">
        <ns0:is>
          <ns0:t>derived:price x shares upon listing</ns0:t>
        </ns0:is>
      </ns0:c>
      <ns0:c r="S317" s="80" t="n">
        <ns0:v>46.96</ns0:v>
      </ns0:c>
      <ns0:c r="T317" s="81" t="n">
        <ns0:v>0.93</ns0:v>
      </ns0:c>
      <ns0:c r="U317" s="82" t="n">
        <ns0:v>28.83</ns0:v>
      </ns0:c>
      <ns0:c r="V317" s="83" t="n">
        <ns0:v>130</ns0:v>
      </ns0:c>
      <ns0:c r="W317" s="78" t="n">
        <ns0:v>16.6</ns0:v>
      </ns0:c>
      <ns0:c r="X317" s="74" t="inlineStr">
        <ns0:is>
          <ns0:t>NO</ns0:t>
        </ns0:is>
      </ns0:c>
      <ns0:c r="Y317" s="79" t="n">
        <ns0:v>95.3</ns0:v>
      </ns0:c>
      <ns0:c r="Z317" s="79" t="n">
        <ns0:v>38120075</ns0:v>
      </ns0:c>
      <ns0:c r="AA317" s="78" t="n">
        <ns0:v>17.79</ns0:v>
      </ns0:c>
      <ns0:c r="AB317" s="74" t="inlineStr">
        <ns0:is>
          <ns0: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ns0:t>
        </ns0:is>
      </ns0:c>
      <ns0:c r="AC317" s="74" t="inlineStr">
        <ns0:is>
          <ns0:t>xu-shihe;yin;hu-qinghua;zhu-zheng;zhan;jiang-xianyue;yao-xinhua;guo-xia;lu-shouping;kan;huang-haiyan;zhen;shen-zhigen;xia-zhonglin</ns0:t>
        </ns0:is>
      </ns0:c>
      <ns0:c r="AD317" s="78" t="n">
        <ns0:v>7.65</ns0:v>
      </ns0:c>
      <ns0:c r="AE317" s="85" t="n"/>
      <ns0:c r="AF317" s="85" t="n"/>
      <ns0:c r="AG317" s="74" t="inlineStr">
        <ns0:is>
          <ns0:t>Red Solar Capital Limited</ns0:t>
        </ns0:is>
      </ns0:c>
      <ns0:c r="AH317" s="74" t="inlineStr">
        <ns0:is>
          <ns0:t>Red Solar</ns0:t>
        </ns0:is>
      </ns0:c>
      <ns0:c r="AI317" s="105" t="n">
        <ns0:v>28</ns0:v>
      </ns0:c>
      <ns0:c r="AJ317" s="87" t="n">
        <ns0:v>0</ns0:v>
      </ns0:c>
      <ns0:c r="AK317" s="87" t="n">
        <ns0:v>-1.98</ns0:v>
      </ns0:c>
      <ns0:c r="AL317" s="87" t="n">
        <ns0:v>37.6</ns0:v>
      </ns0:c>
      <ns0:c r="AM317" s="87" t="n">
        <ns0:v>-27.33</ns0:v>
      </ns0:c>
      <ns0:c r="AN317" s="89" t="n">
        <ns0:v>3.13</ns0:v>
      </ns0:c>
      <ns0:c r="AO317" s="78" t="n">
        <ns0:v>36.63</ns0:v>
      </ns0:c>
      <ns0:c r="AP317" s="87" t="n">
        <ns0:v>-14.4</ns0:v>
      </ns0:c>
      <ns0:c r="AQ317" s="87" t="n">
        <ns0:v>33.6</ns0:v>
      </ns0:c>
      <ns0:c r="AR317" s="87" t="n">
        <ns0:v>11.2</ns0:v>
      </ns0:c>
      <ns0:c r="AS317" s="87" t="n">
        <ns0:v>-14.4</ns0:v>
      </ns0:c>
      <ns0:c r="AT317" s="87" t="n">
        <ns0:v>33.6</ns0:v>
      </ns0:c>
      <ns0:c r="AU317" s="87" t="n">
        <ns0:v>11.2</ns0:v>
      </ns0:c>
      <ns0:c r="AV317" s="87" t="n">
        <ns0:v>1.44</ns0:v>
      </ns0:c>
      <ns0:c r="AW317" s="87" t="n">
        <ns0:v>38.29</ns0:v>
      </ns0:c>
      <ns0:c r="AX317" s="87" t="n">
        <ns0:v>14.93</ns0:v>
      </ns0:c>
      <ns0:c r="AY317" s="87" t="n">
        <ns0:v>36.37</ns0:v>
      </ns0:c>
      <ns0:c r="AZ317" s="87" t="n">
        <ns0:v>-4.69</ns0:v>
      </ns0:c>
      <ns0:c r="BA317" s="87" t="n">
        <ns0:v>-2.77</ns0:v>
      </ns0:c>
      <ns0:c r="BB317" s="74" t="inlineStr">
        <ns0:is>
          <ns0:t>Hang Seng Commerce &amp; Industry sub-index</ns0:t>
        </ns0:is>
      </ns0:c>
      <ns0:c r="BC317" s="87" t="n">
        <ns0:v>-67.2</ns0:v>
      </ns0:c>
      <ns0:c r="BD317" s="75" t="n">
        <ns0:v>46297</ns0:v>
      </ns0:c>
      <ns0:c r="BE317" s="76" t="n">
        <ns0:v>1542.2</ns0:v>
      </ns0:c>
      <ns0:c r="BF317" s="79" t="n">
        <ns0:v>56.8</ns0:v>
      </ns0:c>
      <ns0:c r="BG317" s="74" t="inlineStr">
        <ns0:is>
          <ns0:t>Y</ns0:t>
        </ns0:is>
      </ns0:c>
      <ns0:c r="BH317" s="89" t="n">
        <ns0:v>9.4</ns0:v>
      </ns0:c>
      <ns0:c r="BI317" s="89" t="n">
        <ns0:v>8.6</ns0:v>
      </ns0:c>
      <ns0:c r="BJ317" s="89" t="n">
        <ns0:v>9.9</ns0:v>
      </ns0:c>
      <ns0:c r="BK317" s="89" t="n">
        <ns0:v>0.3</ns0:v>
      </ns0:c>
      <ns0:c r="BL317" s="90">
        <ns0:f>IFERROR(IF('BBG Verify'!S317="","Awaiting Bloomberg",'BBG Verify'!S317),"Awaiting Bloomberg")</ns0:f>
        <ns0:v/>
      </ns0:c>
      <ns0:c r="BM317" s="91" t="inlineStr">
        <ns0:is>
          <ns0:t>N</ns0:t>
        </ns0:is>
      </ns0:c>
      <ns0:c r="BN317" s="92">
        <ns0:f>IFERROR(IF('BBG Verify'!K317="","Awaiting Bloomberg",'BBG Verify'!K317),"Awaiting Bloomberg")</ns0:f>
        <ns0:v/>
      </ns0:c>
      <ns0:c r="BO317" s="74" t="inlineStr">
        <ns0:is>
          <ns0:t>N/A</ns0:t>
        </ns0:is>
      </ns0:c>
      <ns0:c r="BP317" s="74" t="inlineStr">
        <ns0:is>
          <ns0:t>N/A</ns0:t>
        </ns0:is>
      </ns0:c>
      <ns0:c r="BQ317" s="74" t="inlineStr">
        <ns0:is>
          <ns0:t>N/A</ns0:t>
        </ns0:is>
      </ns0:c>
      <ns0:c r="BR317" s="74" t="inlineStr">
        <ns0:is>
          <ns0:t>N/A</ns0:t>
        </ns0:is>
      </ns0:c>
      <ns0:c r="BS317" s="74" t="inlineStr">
        <ns0:is>
          <ns0:t>N/A</ns0:t>
        </ns0:is>
      </ns0:c>
      <ns0:c r="BT317" s="74" t="inlineStr">
        <ns0:is>
          <ns0:t>N/A</ns0:t>
        </ns0:is>
      </ns0:c>
      <ns0:c r="BU317" s="91" t="inlineStr">
        <ns0:is>
          <ns0:t>Red Solar Capital Limited</ns0:t>
        </ns0:is>
      </ns0:c>
      <ns0:c r="BV317" s="74" t="inlineStr">
        <ns0:is>
          <ns0:t>Red Solar Capital Limited</ns0:t>
        </ns0:is>
      </ns0:c>
      <ns0:c r="BW317" s="74" t="inlineStr">
        <ns0:is>
          <ns0:t>Red Solar Capital Limited; CCB International Capital Limited</ns0:t>
        </ns0:is>
      </ns0:c>
      <ns0:c r="BX317" s="74" t="inlineStr">
        <ns0:is>
          <ns0:t>CCB International Capital Limited; CMBC Securities Company Limited; CMB International Capital Limited; Eddid Securities and Futures Limited; Innovax Securities Limited; Long Bridge HK Limited; Red Solar Capital Limited; Star River Securities Limited</ns0:t>
        </ns0:is>
      </ns0:c>
      <ns0:c r="BY317" s="93">
        <ns0:f>HYPERLINK("https://www1.hkexnews.hk/listedco/listconews/sehk/2025/0321/2025032100009.pdf","prospectus")</ns0:f>
        <ns0:v/>
      </ns0:c>
      <ns0:c r="BZ317" s="93">
        <ns0:f>HYPERLINK("https://www1.hkexnews.hk/listedco/listconews/sehk/2025/0328/2025032802386.pdf","allotment")</ns0:f>
        <ns0:v/>
      </ns0:c>
      <ns0:c r="CA317" s="85" t="n"/>
      <ns0:c r="CB317" s="94" t="n"/>
      <ns0:c r="CC317" s="74" t="inlineStr">
        <ns0:is>
          <ns0:t>greenshoe: end-of-stabilisation notice not found</ns0:t>
        </ns0:is>
      </ns0:c>
    </ns0:row>
    <ns0:row r="318" ht="22" customHeight="1">
      <ns0:c r="A318" s="73" t="inlineStr">
        <ns0:is>
          <ns0:t>3677</ns0:t>
        </ns0:is>
      </ns0:c>
      <ns0:c r="B318" s="74" t="inlineStr">
        <ns0:is>
          <ns0:t>ZENERGY</ns0:t>
        </ns0:is>
      </ns0:c>
      <ns0:c r="C318" s="74" t="inlineStr">
        <ns0:is>
          <ns0:t>正力新能</ns0:t>
        </ns0:is>
      </ns0:c>
      <ns0:c r="D318" s="74" t="inlineStr">
        <ns0:is>
          <ns0:t>Industrials</ns0:t>
        </ns0:is>
      </ns0:c>
      <ns0:c r="E318" s="74" t="inlineStr">
        <ns0:is>
          <ns0:t>Batteries / energy storage</ns0:t>
        </ns0:is>
      </ns0:c>
      <ns0:c r="F318" s="74" t="inlineStr">
        <ns0:is>
          <ns0:t>Battery Products</ns0:t>
        </ns0:is>
      </ns0:c>
      <ns0:c r="G318" s="74" t="inlineStr">
        <ns0:is>
          <ns0:t>Standard</ns0:t>
        </ns0:is>
      </ns0:c>
      <ns0:c r="H318" s="75" t="n">
        <ns0:v>45761</ns0:v>
      </ns0:c>
      <ns0:c r="I318" s="76" t="n">
        <ns0:v>1005.1</ns0:v>
      </ns0:c>
      <ns0:c r="J318" s="74" t="inlineStr">
        <ns0:is>
          <ns0:t>gross (stated)</ns0:t>
        </ns0:is>
      </ns0:c>
      <ns0:c r="K318" s="95" t="n"/>
      <ns0:c r="L318" s="77" t="n">
        <ns0:v>8.27</ns0:v>
      </ns0:c>
      <ns0:c r="M318" s="77" t="n">
        <ns0:v>8.27</ns0:v>
      </ns0:c>
      <ns0:c r="N318" s="74" t="inlineStr">
        <ns0:is>
          <ns0:t>Y</ns0:t>
        </ns0:is>
      </ns0:c>
      <ns0:c r="O318" s="78" t="n">
        <ns0:v>100</ns0:v>
      </ns0:c>
      <ns0:c r="P318" s="84" t="n"/>
      <ns0:c r="Q318" s="79" t="n">
        <ns0:v>20745.3</ns0:v>
      </ns0:c>
      <ns0:c r="R318" s="74" t="inlineStr">
        <ns0:is>
          <ns0:t>derived:price x shares upon listing</ns0:t>
        </ns0:is>
      </ns0:c>
      <ns0:c r="S318" s="80" t="n">
        <ns0:v>3.51</ns0:v>
      </ns0:c>
      <ns0:c r="T318" s="81" t="n">
        <ns0:v>1.13</ns0:v>
      </ns0:c>
      <ns0:c r="U318" s="82" t="n">
        <ns0:v>61.79</ns0:v>
      </ns0:c>
      <ns0:c r="V318" s="83" t="n">
        <ns0:v>115</ns0:v>
      </ns0:c>
      <ns0:c r="W318" s="84" t="n"/>
      <ns0:c r="X318" s="74" t="inlineStr">
        <ns0:is>
          <ns0:t>NO</ns0:t>
        </ns0:is>
      </ns0:c>
      <ns0:c r="Y318" s="79" t="n">
        <ns0:v>384.05</ns0:v>
      </ns0:c>
      <ns0:c r="Z318" s="79" t="n">
        <ns0:v>46434206</ns0:v>
      </ns0:c>
      <ns0:c r="AA318" s="78" t="n">
        <ns0:v>1.85</ns0:v>
      </ns0:c>
      <ns0:c r="AB318" s="74" t="inlineStr">
        <ns0:is>
          <ns0:t>Jiangsu Mixed Ownership Reform Fund; Suzhou High-end Equipment Fund; Southeast Investment Holding</ns0:t>
        </ns0:is>
      </ns0:c>
      <ns0:c r="AC318" s="74" t="inlineStr">
        <ns0:is>
          <ns0:t>jiangsu;suzhou;southeast</ns0:t>
        </ns0:is>
      </ns0:c>
      <ns0:c r="AD318" s="78" t="n">
        <ns0:v>15</ns0:v>
      </ns0:c>
      <ns0:c r="AE318" s="74" t="inlineStr">
        <ns0:is>
          <ns0:t>lapsed (no over-allocation)</ns0:t>
        </ns0:is>
      </ns0:c>
      <ns0:c r="AF318" s="85" t="n"/>
      <ns0:c r="AG318" s="74" t="inlineStr">
        <ns0:is>
          <ns0:t>China International Capital Corporation Hong Kong Securities Limited</ns0:t>
        </ns0:is>
      </ns0:c>
      <ns0:c r="AH318" s="74" t="inlineStr">
        <ns0:is>
          <ns0:t>China International</ns0:t>
        </ns0:is>
      </ns0:c>
      <ns0:c r="AI318" s="86" t="n">
        <ns0:v>0.12</ns0:v>
      </ns0:c>
      <ns0:c r="AJ318" s="87" t="n">
        <ns0:v>1.45</ns0:v>
      </ns0:c>
      <ns0:c r="AK318" s="87" t="n">
        <ns0:v>2.1</ns0:v>
      </ns0:c>
      <ns0:c r="AL318" s="87" t="n">
        <ns0:v>2.3</ns0:v>
      </ns0:c>
      <ns0:c r="AM318" s="87" t="n">
        <ns0:v>-0.83</ns0:v>
      </ns0:c>
      <ns0:c r="AN318" s="88" t="n"/>
      <ns0:c r="AO318" s="78" t="n">
        <ns0:v>1.54</ns0:v>
      </ns0:c>
      <ns0:c r="AP318" s="87" t="n">
        <ns0:v>0.73</ns0:v>
      </ns0:c>
      <ns0:c r="AQ318" s="87" t="n">
        <ns0:v>13.78</ns0:v>
      </ns0:c>
      <ns0:c r="AR318" s="87" t="n">
        <ns0:v>26.72</ns0:v>
      </ns0:c>
      <ns0:c r="AS318" s="87" t="n">
        <ns0:v>-0.71</ns0:v>
      </ns0:c>
      <ns0:c r="AT318" s="87" t="n">
        <ns0:v>12.15</ns0:v>
      </ns0:c>
      <ns0:c r="AU318" s="87" t="n">
        <ns0:v>24.91</ns0:v>
      </ns0:c>
      <ns0:c r="AV318" s="87" t="n">
        <ns0:v>-3.66</ns0:v>
      </ns0:c>
      <ns0:c r="AW318" s="87" t="n">
        <ns0:v>3.8</ns0:v>
      </ns0:c>
      <ns0:c r="AX318" s="87" t="n">
        <ns0:v>13.94</ns0:v>
      </ns0:c>
      <ns0:c r="AY318" s="87" t="n">
        <ns0:v>4.43</ns0:v>
      </ns0:c>
      <ns0:c r="AZ318" s="87" t="n">
        <ns0:v>9.98</ns0:v>
      </ns0:c>
      <ns0:c r="BA318" s="87" t="n">
        <ns0:v>7.72</ns0:v>
      </ns0:c>
      <ns0:c r="BB318" s="74" t="inlineStr">
        <ns0:is>
          <ns0:t>Hang Seng Commerce &amp; Industry sub-index</ns0:t>
        </ns0:is>
      </ns0:c>
      <ns0:c r="BC318" s="87" t="n">
        <ns0:v>-48.67</ns0:v>
      </ns0:c>
      <ns0:c r="BD318" s="75" t="n">
        <ns0:v>46297</ns0:v>
      </ns0:c>
      <ns0:c r="BE318" s="76" t="n">
        <ns0:v>4577.8</ns0:v>
      </ns0:c>
      <ns0:c r="BF318" s="79" t="n">
        <ns0:v>-648.9</ns0:v>
      </ns0:c>
      <ns0:c r="BG318" s="74" t="inlineStr">
        <ns0:is>
          <ns0:t>N</ns0:t>
        </ns0:is>
      </ns0:c>
      <ns0:c r="BH318" s="74" t="inlineStr">
        <ns0:is>
          <ns0:t>n/m</ns0:t>
        </ns0:is>
      </ns0:c>
      <ns0:c r="BI318" s="89" t="n">
        <ns0:v>197.7</ns0:v>
      </ns0:c>
      <ns0:c r="BJ318" s="89" t="n">
        <ns0:v>14.3</ns0:v>
      </ns0:c>
      <ns0:c r="BK318" s="89" t="n">
        <ns0:v>4.5</ns0:v>
      </ns0:c>
      <ns0:c r="BL318" s="90">
        <ns0:f>IFERROR(IF('BBG Verify'!S318="","Awaiting Bloomberg",'BBG Verify'!S318),"Awaiting Bloomberg")</ns0:f>
        <ns0:v/>
      </ns0:c>
      <ns0:c r="BM318" s="91" t="inlineStr">
        <ns0:is>
          <ns0:t>N</ns0:t>
        </ns0:is>
      </ns0:c>
      <ns0:c r="BN318" s="92">
        <ns0:f>IFERROR(IF('BBG Verify'!K318="","Awaiting Bloomberg",'BBG Verify'!K318),"Awaiting Bloomberg")</ns0:f>
        <ns0:v/>
      </ns0:c>
      <ns0:c r="BO318" s="74" t="inlineStr">
        <ns0:is>
          <ns0:t>N/A</ns0:t>
        </ns0:is>
      </ns0:c>
      <ns0:c r="BP318" s="74" t="inlineStr">
        <ns0:is>
          <ns0:t>N/A</ns0:t>
        </ns0:is>
      </ns0:c>
      <ns0:c r="BQ318" s="74" t="inlineStr">
        <ns0:is>
          <ns0:t>N/A</ns0:t>
        </ns0:is>
      </ns0:c>
      <ns0:c r="BR318" s="74" t="inlineStr">
        <ns0:is>
          <ns0:t>N/A</ns0:t>
        </ns0:is>
      </ns0:c>
      <ns0:c r="BS318" s="74" t="inlineStr">
        <ns0:is>
          <ns0:t>N/A</ns0:t>
        </ns0:is>
      </ns0:c>
      <ns0:c r="BT318" s="74" t="inlineStr">
        <ns0:is>
          <ns0:t>N/A</ns0:t>
        </ns0:is>
      </ns0:c>
      <ns0:c r="BU318" s="91" t="inlineStr">
        <ns0:is>
          <ns0:t>China International Capital Corporation Hong Kong Securities Limited; CMB International Capital Limited</ns0:t>
        </ns0:is>
      </ns0:c>
      <ns0:c r="BV318" s="74" t="inlineStr">
        <ns0:is>
          <ns0:t>China International Capital Corporation Hong Kong Securities Limited; CMB International Capital Limited</ns0:t>
        </ns0:is>
      </ns0:c>
      <ns0:c r="BW318" s="74" t="inlineStr">
        <ns0:is>
          <ns0: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ns0:t>
        </ns0:is>
      </ns0:c>
      <ns0:c r="BX318" s="74" t="inlineStr">
        <ns0:is>
          <ns0: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ns0:t>
        </ns0:is>
      </ns0:c>
      <ns0:c r="BY318" s="93">
        <ns0:f>HYPERLINK("https://www1.hkexnews.hk/listedco/listconews/sehk/2025/0403/2025040300013.pdf","prospectus")</ns0:f>
        <ns0:v/>
      </ns0:c>
      <ns0:c r="BZ318" s="93">
        <ns0:f>HYPERLINK("https://www1.hkexnews.hk/listedco/listconews/sehk/2025/0411/2025041101645.pdf","allotment")</ns0:f>
        <ns0:v/>
      </ns0:c>
      <ns0:c r="CA318" s="93">
        <ns0:f>HYPERLINK("https://www1.hkexnews.hk/listedco/listconews/sehk/2025/0509/2025050900261.pdf","stabilisation")</ns0:f>
        <ns0:v/>
      </ns0:c>
      <ns0:c r="CB318" s="94" t="n"/>
      <ns0:c r="CC318" s="74" t="inlineStr">
        <ns0:is>
          <ns0:t>P/E: loss-making at IPO, use P/S; greenshoe: outcome published; expiry date not in the notice; range low: maximum offer price only, no floor published; sponsor: English name not in the filing; AAStocks 保薦人 shown; allocation: allocation table not in this notice's format (older prose announcement); day-1 tape: volume on file; the retail multiple needs the final public split, which this notice does not state</ns0:t>
        </ns0:is>
      </ns0:c>
    </ns0:row>
    <ns0:row r="319" ht="22" customHeight="1">
      <ns0:c r="A319" s="73" t="inlineStr">
        <ns0:is>
          <ns0:t>9606</ns0:t>
        </ns0:is>
      </ns0:c>
      <ns0:c r="B319" s="74" t="inlineStr">
        <ns0:is>
          <ns0:t>DUALITYBIO-B</ns0:t>
        </ns0:is>
      </ns0:c>
      <ns0:c r="C319" s="74" t="inlineStr">
        <ns0:is>
          <ns0:t>映恩生物－Ｂ</ns0:t>
        </ns0:is>
      </ns0:c>
      <ns0:c r="D319" s="74" t="inlineStr">
        <ns0:is>
          <ns0:t>Healthcare</ns0:t>
        </ns0:is>
      </ns0:c>
      <ns0:c r="E319" s="74" t="inlineStr">
        <ns0:is>
          <ns0:t>Biotech pre-revenue (18A)</ns0:t>
        </ns0:is>
      </ns0:c>
      <ns0:c r="F319" s="74" t="inlineStr">
        <ns0:is>
          <ns0:t>Biotechnology - Pharmaceuticals</ns0:t>
        </ns0:is>
      </ns0:c>
      <ns0:c r="G319" s="74" t="inlineStr">
        <ns0:is>
          <ns0:t>18A</ns0:t>
        </ns0:is>
      </ns0:c>
      <ns0:c r="H319" s="75" t="n">
        <ns0:v>45762</ns0:v>
      </ns0:c>
      <ns0:c r="I319" s="76" t="n">
        <ns0:v>1639.64</ns0:v>
      </ns0:c>
      <ns0:c r="J319" s="74" t="inlineStr">
        <ns0:is>
          <ns0:t>gross (stated)</ns0:t>
        </ns0:is>
      </ns0:c>
      <ns0:c r="K319" s="77" t="n">
        <ns0:v>94.59999999999999</ns0:v>
      </ns0:c>
      <ns0:c r="L319" s="77" t="n">
        <ns0:v>103.2</ns0:v>
      </ns0:c>
      <ns0:c r="M319" s="77" t="n">
        <ns0:v>94.59999999999999</ns0:v>
      </ns0:c>
      <ns0:c r="N319" s="74" t="inlineStr">
        <ns0:is>
          <ns0:t>N</ns0:t>
        </ns0:is>
      </ns0:c>
      <ns0:c r="O319" s="78" t="n">
        <ns0:v>91.7</ns0:v>
      </ns0:c>
      <ns0:c r="P319" s="78" t="n">
        <ns0:v>0</ns0:v>
      </ns0:c>
      <ns0:c r="Q319" s="79" t="n">
        <ns0:v>7212.7</ns0:v>
      </ns0:c>
      <ns0:c r="R319" s="74" t="inlineStr">
        <ns0:is>
          <ns0:t>prospectus:stated market capitalisation, rescaled to the offer price</ns0:t>
        </ns0:is>
      </ns0:c>
      <ns0:c r="S319" s="80" t="n">
        <ns0:v>115.14</ns0:v>
      </ns0:c>
      <ns0:c r="T319" s="81" t="n">
        <ns0:v>13.52</ns0:v>
      </ns0:c>
      <ns0:c r="U319" s="82" t="n">
        <ns0:v>30.82</ns0:v>
      </ns0:c>
      <ns0:c r="V319" s="83" t="n">
        <ns0:v>125</ns0:v>
      </ns0:c>
      <ns0:c r="W319" s="78" t="n">
        <ns0:v>43.48</ns0:v>
      </ns0:c>
      <ns0:c r="X319" s="74" t="inlineStr">
        <ns0:is>
          <ns0:t>YES</ns0:t>
        </ns0:is>
      </ns0:c>
      <ns0:c r="Y319" s="79" t="n">
        <ns0:v>1134.3</ns0:v>
      </ns0:c>
      <ns0:c r="Z319" s="79" t="n">
        <ns0:v>11990485</ns0:v>
      </ns0:c>
      <ns0:c r="AA319" s="78" t="n">
        <ns0:v>15.73</ns0:v>
      </ns0:c>
      <ns0:c r="AB319" s="74" t="inlineStr">
        <ns0:is>
          <ns0:t>BioNTech SE; LAV Star Opportunities Limited; Lake Bleu Prime Healthcare Master Fund Limited; Lake Bleu Innovation Healthcare Master Fund Limited; TruMed Healthcare Master Fund, ABS Direct Equity Fund LLC Asia Series 11 and TruMed Health Innovation Fund LP (together TruMed); Fullgoal Fund Management Co., Ltd; Fullgoal Asset Management (HK) Limited; E Fund Management (Hong Kong) Co., Ltd; China Universal Asset Management Co., Ltd; Panjing Harbourview Investment Fund; MY Asian Opportunities Master Fund, L.P; Emerging Markets Healthcare Partners LLC; Worldwide Healthcare Partners LLC; Suzhou Suchuang Biomedical Health Venture Capital Fund Partnership (Limited Partnership)</ns0:t>
        </ns0:is>
      </ns0:c>
      <ns0:c r="AC319" s="74" t="inlineStr">
        <ns0:is>
          <ns0:t>biontech;lav;lake;trumed;fullgoal;fund-management;universal;panjing;my;emerging;healthcare;suzhou</ns0:t>
        </ns0:is>
      </ns0:c>
      <ns0:c r="AD319" s="78" t="n">
        <ns0:v>15</ns0:v>
      </ns0:c>
      <ns0:c r="AE319" s="74" t="inlineStr">
        <ns0:is>
          <ns0:t>full</ns0:t>
        </ns0:is>
      </ns0:c>
      <ns0:c r="AF319" s="74" t="inlineStr">
        <ns0:is>
          <ns0:t>2025-05-10</ns0:t>
        </ns0:is>
      </ns0:c>
      <ns0:c r="AG319" s="74" t="inlineStr">
        <ns0:is>
          <ns0:t>Morgan Stanley Asia Limited</ns0:t>
        </ns0:is>
      </ns0:c>
      <ns0:c r="AH319" s="74" t="inlineStr">
        <ns0:is>
          <ns0:t>Morgan Stanley</ns0:t>
        </ns0:is>
      </ns0:c>
      <ns0:c r="AI319" s="86" t="n">
        <ns0:v>82.88</ns0:v>
      </ns0:c>
      <ns0:c r="AJ319" s="87" t="n">
        <ns0:v>116.7</ns0:v>
      </ns0:c>
      <ns0:c r="AK319" s="87" t="n">
        <ns0:v>-0.61</ns0:v>
      </ns0:c>
      <ns0:c r="AL319" s="87" t="n">
        <ns0:v>91.33</ns0:v>
      </ns0:c>
      <ns0:c r="AM319" s="87" t="n">
        <ns0:v>13.26</ns0:v>
      </ns0:c>
      <ns0:c r="AN319" s="89" t="n">
        <ns0:v>1.44</ns0:v>
      </ns0:c>
      <ns0:c r="AO319" s="78" t="n">
        <ns0:v>22.65</ns0:v>
      </ns0:c>
      <ns0:c r="AP319" s="87" t="n">
        <ns0:v>137.84</ns0:v>
      </ns0:c>
      <ns0:c r="AQ319" s="87" t="n">
        <ns0:v>111.42</ns0:v>
      </ns0:c>
      <ns0:c r="AR319" s="87" t="n">
        <ns0:v>255.18</ns0:v>
      </ns0:c>
      <ns0:c r="AS319" s="87" t="n">
        <ns0:v>9.76</ns0:v>
      </ns0:c>
      <ns0:c r="AT319" s="87" t="n">
        <ns0:v>-2.44</ns0:v>
      </ns0:c>
      <ns0:c r="AU319" s="87" t="n">
        <ns0:v>63.9</ns0:v>
      </ns0:c>
      <ns0:c r="AV319" s="87" t="n">
        <ns0:v>133.61</ns0:v>
      </ns0:c>
      <ns0:c r="AW319" s="87" t="n">
        <ns0:v>107.06</ns0:v>
      </ns0:c>
      <ns0:c r="AX319" s="87" t="n">
        <ns0:v>221.6</ns0:v>
      </ns0:c>
      <ns0:c r="AY319" s="87" t="n">
        <ns0:v>-7.44</ns0:v>
      </ns0:c>
      <ns0:c r="AZ319" s="87" t="n">
        <ns0:v>4.36</ns0:v>
      </ns0:c>
      <ns0:c r="BA319" s="87" t="n">
        <ns0:v>5</ns0:v>
      </ns0:c>
      <ns0:c r="BB319" s="74" t="inlineStr">
        <ns0:is>
          <ns0:t>China Biotech ETF (HS biotech proxy)</ns0:t>
        </ns0:is>
      </ns0:c>
      <ns0:c r="BC319" s="87" t="n">
        <ns0:v>106.87</ns0:v>
      </ns0:c>
      <ns0:c r="BD319" s="75" t="n">
        <ns0:v>46297</ns0:v>
      </ns0:c>
      <ns0:c r="BE319" s="76" t="n">
        <ns0:v>2135.4</ns0:v>
      </ns0:c>
      <ns0:c r="BF319" s="79" t="n">
        <ns0:v>-1155.5</ns0:v>
      </ns0:c>
      <ns0:c r="BG319" s="74" t="inlineStr">
        <ns0:is>
          <ns0:t>N</ns0:t>
        </ns0:is>
      </ns0:c>
      <ns0:c r="BH319" s="74" t="inlineStr">
        <ns0:is>
          <ns0:t>n/m</ns0:t>
        </ns0:is>
      </ns0:c>
      <ns0:c r="BI319" s="88" t="n"/>
      <ns0:c r="BJ319" s="88" t="n"/>
      <ns0:c r="BK319" s="89" t="n">
        <ns0:v>3.4</ns0:v>
      </ns0:c>
      <ns0:c r="BL319" s="90">
        <ns0:f>IFERROR(IF('BBG Verify'!S319="","Awaiting Bloomberg",'BBG Verify'!S319),"Awaiting Bloomberg")</ns0:f>
        <ns0:v/>
      </ns0:c>
      <ns0:c r="BM319" s="91" t="inlineStr">
        <ns0:is>
          <ns0:t>N</ns0:t>
        </ns0:is>
      </ns0:c>
      <ns0:c r="BN319" s="92">
        <ns0:f>IFERROR(IF('BBG Verify'!K319="","Awaiting Bloomberg",'BBG Verify'!K319),"Awaiting Bloomberg")</ns0:f>
        <ns0:v/>
      </ns0:c>
      <ns0:c r="BO319" s="74" t="inlineStr">
        <ns0:is>
          <ns0:t>N/A</ns0:t>
        </ns0:is>
      </ns0:c>
      <ns0:c r="BP319" s="74" t="inlineStr">
        <ns0:is>
          <ns0:t>N/A</ns0:t>
        </ns0:is>
      </ns0:c>
      <ns0:c r="BQ319" s="74" t="inlineStr">
        <ns0:is>
          <ns0:t>N/A</ns0:t>
        </ns0:is>
      </ns0:c>
      <ns0:c r="BR319" s="74" t="inlineStr">
        <ns0:is>
          <ns0:t>N/A</ns0:t>
        </ns0:is>
      </ns0:c>
      <ns0:c r="BS319" s="74" t="inlineStr">
        <ns0:is>
          <ns0:t>N/A</ns0:t>
        </ns0:is>
      </ns0:c>
      <ns0:c r="BT319" s="74" t="inlineStr">
        <ns0:is>
          <ns0:t>N/A</ns0:t>
        </ns0:is>
      </ns0:c>
      <ns0:c r="BU319" s="91" t="inlineStr">
        <ns0:is>
          <ns0:t>Morgan Stanley Asia Limited</ns0:t>
        </ns0:is>
      </ns0:c>
      <ns0:c r="BV319" s="74" t="inlineStr">
        <ns0:is>
          <ns0:t>Jefferies Hong Kong Limited; Morgan Stanley Asia Limited; CITIC Securities (Hong Kong) Limited</ns0:t>
        </ns0:is>
      </ns0:c>
      <ns0:c r="BW319" s="74" t="inlineStr">
        <ns0:is>
          <ns0:t>Morgan Stanley Asia Limited; China International Capital Corporation Hong Kong Securities Limited; CMB International Capital Limited; ICBC International Securities Limited; BOCI Asia Limited; GF Securities (Hong Kong) Brokerage Limited; ABCI Capital Limited</ns0:t>
        </ns0:is>
      </ns0:c>
      <ns0:c r="BX319" s="74" t="inlineStr">
        <ns0:is>
          <ns0: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ns0:t>
        </ns0:is>
      </ns0:c>
      <ns0:c r="BY319" s="93">
        <ns0:f>HYPERLINK("https://www1.hkexnews.hk/listedco/listconews/sehk/2025/0407/2025040700009.pdf","prospectus")</ns0:f>
        <ns0:v/>
      </ns0:c>
      <ns0:c r="BZ319" s="93">
        <ns0:f>HYPERLINK("https://www1.hkexnews.hk/listedco/listconews/sehk/2025/0414/2025041401384.pdf","allotment")</ns0:f>
        <ns0:v/>
      </ns0:c>
      <ns0:c r="CA319" s="93">
        <ns0:f>HYPERLINK("https://www1.hkexnews.hk/listedco/listconews/sehk/2025/0512/2025051200137.pdf","stabilisation")</ns0:f>
        <ns0:v/>
      </ns0:c>
      <ns0:c r="CB319" s="94" t="n"/>
      <ns0:c r="CC319" s="74" t="inlineStr">
        <ns0:is>
          <ns0:t>P/E: loss-making at IPO, use P/S; market cap: prospectus cap HK$7,868m at HK$103.20, rescaled to HK$94.60</ns0:t>
        </ns0:is>
      </ns0:c>
    </ns0:row>
    <ns0:row r="320" ht="22" customHeight="1">
      <ns0:c r="A320" s="73" t="inlineStr">
        <ns0:is>
          <ns0:t>1333</ns0:t>
        </ns0:is>
      </ns0:c>
      <ns0:c r="B320" s="74" t="inlineStr">
        <ns0:is>
          <ns0:t>BRETON</ns0:t>
        </ns0:is>
      </ns0:c>
      <ns0:c r="C320" s="74" t="inlineStr">
        <ns0:is>
          <ns0:t>博雷頓</ns0:t>
        </ns0:is>
      </ns0:c>
      <ns0:c r="D320" s="74" t="inlineStr">
        <ns0:is>
          <ns0:t>Industrials</ns0:t>
        </ns0:is>
      </ns0:c>
      <ns0:c r="E320" s="74" t="inlineStr">
        <ns0:is>
          <ns0:t>Capital goods / machinery</ns0:t>
        </ns0:is>
      </ns0:c>
      <ns0:c r="F320" s="74" t="inlineStr">
        <ns0:is>
          <ns0:t>Industrial Machinery</ns0:t>
        </ns0:is>
      </ns0:c>
      <ns0:c r="G320" s="74" t="inlineStr">
        <ns0:is>
          <ns0:t>Standard</ns0:t>
        </ns0:is>
      </ns0:c>
      <ns0:c r="H320" s="75" t="n">
        <ns0:v>45784</ns0:v>
      </ns0:c>
      <ns0:c r="I320" s="76" t="n">
        <ns0:v>234</ns0:v>
      </ns0:c>
      <ns0:c r="J320" s="74" t="inlineStr">
        <ns0:is>
          <ns0:t>gross (stated)</ns0:t>
        </ns0:is>
      </ns0:c>
      <ns0:c r="K320" s="95" t="n"/>
      <ns0:c r="L320" s="77" t="n">
        <ns0:v>18</ns0:v>
      </ns0:c>
      <ns0:c r="M320" s="77" t="n">
        <ns0:v>18</ns0:v>
      </ns0:c>
      <ns0:c r="N320" s="74" t="inlineStr">
        <ns0:is>
          <ns0:t>Y</ns0:t>
        </ns0:is>
      </ns0:c>
      <ns0:c r="O320" s="78" t="n">
        <ns0:v>100</ns0:v>
      </ns0:c>
      <ns0:c r="P320" s="84" t="n"/>
      <ns0:c r="Q320" s="79" t="n">
        <ns0:v>6833.7</ns0:v>
      </ns0:c>
      <ns0:c r="R320" s="74" t="inlineStr">
        <ns0:is>
          <ns0:t>derived:price x shares upon listing</ns0:t>
        </ns0:is>
      </ns0:c>
      <ns0:c r="S320" s="80" t="n">
        <ns0:v>198.72</ns0:v>
      </ns0:c>
      <ns0:c r="T320" s="99">
        <ns0:f>IFERROR(IF('BBG Verify'!E320="","Awaiting Bloomberg",'BBG Verify'!E320),"Awaiting Bloomberg")</ns0:f>
        <ns0:v/>
      </ns0:c>
      <ns0:c r="U320" s="82" t="n">
        <ns0:v>26.97</ns0:v>
      </ns0:c>
      <ns0:c r="V320" s="83" t="n">
        <ns0:v>108</ns0:v>
      </ns0:c>
      <ns0:c r="W320" s="78" t="n">
        <ns0:v>20</ns0:v>
      </ns0:c>
      <ns0:c r="X320" s="74" t="inlineStr">
        <ns0:is>
          <ns0:t>NO</ns0:t>
        </ns0:is>
      </ns0:c>
      <ns0:c r="Y320" s="79" t="n">
        <ns0:v>170.89</ns0:v>
      </ns0:c>
      <ns0:c r="Z320" s="79" t="n">
        <ns0:v>9493900</ns0:v>
      </ns0:c>
      <ns0:c r="AA320" s="78" t="n">
        <ns0:v>2.5</ns0:v>
      </ns0:c>
      <ns0:c r="AB320" s="74" t="inlineStr">
        <ns0:is>
          <ns0:t>Hong Kong Xinwei Electronic Co., Limited; Changfeng Growth Equity Fund OFC</ns0:t>
        </ns0:is>
      </ns0:c>
      <ns0:c r="AC320" s="74" t="inlineStr">
        <ns0:is>
          <ns0:t>xinwei;changfeng</ns0:t>
        </ns0:is>
      </ns0:c>
      <ns0:c r="AD320" s="78" t="n">
        <ns0:v>14.23</ns0:v>
      </ns0:c>
      <ns0:c r="AE320" s="85" t="n"/>
      <ns0:c r="AF320" s="85" t="n"/>
      <ns0:c r="AG320" s="74" t="inlineStr">
        <ns0:is>
          <ns0:t>China International Capital Corporation Hong Kong Securities Limited</ns0:t>
        </ns0:is>
      </ns0:c>
      <ns0:c r="AH320" s="74" t="inlineStr">
        <ns0:is>
          <ns0:t>China International</ns0:t>
        </ns0:is>
      </ns0:c>
      <ns0:c r="AI320" s="86" t="n">
        <ns0:v>43.33</ns0:v>
      </ns0:c>
      <ns0:c r="AJ320" s="87" t="n">
        <ns0:v>38.33</ns0:v>
      </ns0:c>
      <ns0:c r="AK320" s="87" t="n">
        <ns0:v>-0.67</ns0:v>
      </ns0:c>
      <ns0:c r="AL320" s="87" t="n">
        <ns0:v>61.11</ns0:v>
      </ns0:c>
      <ns0:c r="AM320" s="87" t="n">
        <ns0:v>-14.14</ns0:v>
      </ns0:c>
      <ns0:c r="AN320" s="89" t="n">
        <ns0:v>3.2</ns0:v>
      </ns0:c>
      <ns0:c r="AO320" s="78" t="n">
        <ns0:v>31.03</ns0:v>
      </ns0:c>
      <ns0:c r="AP320" s="87" t="n">
        <ns0:v>31.11</ns0:v>
      </ns0:c>
      <ns0:c r="AQ320" s="87" t="n">
        <ns0:v>79.44</ns0:v>
      </ns0:c>
      <ns0:c r="AR320" s="87" t="n">
        <ns0:v>53.33</ns0:v>
      </ns0:c>
      <ns0:c r="AS320" s="87" t="n">
        <ns0:v>-5.22</ns0:v>
      </ns0:c>
      <ns0:c r="AT320" s="87" t="n">
        <ns0:v>29.72</ns0:v>
      </ns0:c>
      <ns0:c r="AU320" s="87" t="n">
        <ns0:v>10.84</ns0:v>
      </ns0:c>
      <ns0:c r="AV320" s="87" t="n">
        <ns0:v>27.73</ns0:v>
      </ns0:c>
      <ns0:c r="AW320" s="87" t="n">
        <ns0:v>75.65000000000001</ns0:v>
      </ns0:c>
      <ns0:c r="AX320" s="87" t="n">
        <ns0:v>46.9</ns0:v>
      </ns0:c>
      <ns0:c r="AY320" s="87" t="n">
        <ns0:v>25.23</ns0:v>
      </ns0:c>
      <ns0:c r="AZ320" s="87" t="n">
        <ns0:v>3.79</ns0:v>
      </ns0:c>
      <ns0:c r="BA320" s="87" t="n">
        <ns0:v>4.49</ns0:v>
      </ns0:c>
      <ns0:c r="BB320" s="74" t="inlineStr">
        <ns0:is>
          <ns0:t>Hang Seng Commerce &amp; Industry sub-index</ns0:t>
        </ns0:is>
      </ns0:c>
      <ns0:c r="BC320" s="87" t="n">
        <ns0:v>11.11</ns0:v>
      </ns0:c>
      <ns0:c r="BD320" s="75" t="n">
        <ns0:v>46297</ns0:v>
      </ns0:c>
      <ns0:c r="BE320" s="76" t="n">
        <ns0:v>401</ns0:v>
      </ns0:c>
      <ns0:c r="BF320" s="79" t="n">
        <ns0:v>-302</ns0:v>
      </ns0:c>
      <ns0:c r="BG320" s="74" t="inlineStr">
        <ns0:is>
          <ns0:t>N</ns0:t>
        </ns0:is>
      </ns0:c>
      <ns0:c r="BH320" s="74" t="inlineStr">
        <ns0:is>
          <ns0:t>n/m</ns0:t>
        </ns0:is>
      </ns0:c>
      <ns0:c r="BI320" s="88" t="n"/>
      <ns0:c r="BJ320" s="88" t="n"/>
      <ns0:c r="BK320" s="89" t="n">
        <ns0:v>17</ns0:v>
      </ns0:c>
      <ns0:c r="BL320" s="90">
        <ns0:f>IFERROR(IF('BBG Verify'!S320="","Awaiting Bloomberg",'BBG Verify'!S320),"Awaiting Bloomberg")</ns0:f>
        <ns0:v/>
      </ns0:c>
      <ns0:c r="BM320" s="91" t="inlineStr">
        <ns0:is>
          <ns0:t>N</ns0:t>
        </ns0:is>
      </ns0:c>
      <ns0:c r="BN320" s="92">
        <ns0:f>IFERROR(IF('BBG Verify'!K320="","Awaiting Bloomberg",'BBG Verify'!K320),"Awaiting Bloomberg")</ns0:f>
        <ns0:v/>
      </ns0:c>
      <ns0:c r="BO320" s="74" t="inlineStr">
        <ns0:is>
          <ns0:t>N/A</ns0:t>
        </ns0:is>
      </ns0:c>
      <ns0:c r="BP320" s="74" t="inlineStr">
        <ns0:is>
          <ns0:t>N/A</ns0:t>
        </ns0:is>
      </ns0:c>
      <ns0:c r="BQ320" s="74" t="inlineStr">
        <ns0:is>
          <ns0:t>N/A</ns0:t>
        </ns0:is>
      </ns0:c>
      <ns0:c r="BR320" s="74" t="inlineStr">
        <ns0:is>
          <ns0:t>N/A</ns0:t>
        </ns0:is>
      </ns0:c>
      <ns0:c r="BS320" s="74" t="inlineStr">
        <ns0:is>
          <ns0:t>N/A</ns0:t>
        </ns0:is>
      </ns0:c>
      <ns0:c r="BT320" s="74" t="inlineStr">
        <ns0:is>
          <ns0:t>N/A</ns0:t>
        </ns0:is>
      </ns0:c>
      <ns0:c r="BU320" s="91" t="inlineStr">
        <ns0:is>
          <ns0:t>CMB International Capital Limited</ns0:t>
        </ns0:is>
      </ns0:c>
      <ns0:c r="BV320" s="74" t="inlineStr">
        <ns0:is>
          <ns0:t>China International Capital Corporation Hong Kong Securities Limited; CMB International Capital Corporation Limited</ns0:t>
        </ns0:is>
      </ns0:c>
      <ns0:c r="BW320" s="74" t="inlineStr">
        <ns0:is>
          <ns0: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ns0:t>
        </ns0:is>
      </ns0:c>
      <ns0:c r="BX320" s="74" t="inlineStr">
        <ns0:is>
          <ns0: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ns0:t>
        </ns0:is>
      </ns0:c>
      <ns0:c r="BY320" s="93">
        <ns0:f>HYPERLINK("https://www1.hkexnews.hk/listedco/listconews/sehk/2025/0425/2025042500055.pdf","prospectus")</ns0:f>
        <ns0:v/>
      </ns0:c>
      <ns0:c r="BZ320" s="93">
        <ns0:f>HYPERLINK("https://www1.hkexnews.hk/listedco/listconews/sehk/2025/0506/2025050602875.pdf","allotment")</ns0:f>
        <ns0:v/>
      </ns0:c>
      <ns0:c r="CA320" s="85" t="n"/>
      <ns0:c r="CB320" s="94" t="n"/>
      <ns0:c r="CC320" s="74" t="inlineStr">
        <ns0:is>
          <ns0:t>intl sub: parsed 0.92x rejected (implausible against a 199x public book); BBG Verify CP037 fills it; P/E: loss-making at IPO, use P/S; greenshoe: end-of-stabilisation notice not found; range low: maximum offer price only, no floor published</ns0:t>
        </ns0:is>
      </ns0:c>
    </ns0:row>
    <ns0:row r="321" ht="22" customHeight="1">
      <ns0:c r="A321" s="73" t="inlineStr">
        <ns0:is>
          <ns0:t>2865</ns0:t>
        </ns0:is>
      </ns0:c>
      <ns0:c r="B321" s="74" t="inlineStr">
        <ns0:is>
          <ns0:t>DRINDA</ns0:t>
        </ns0:is>
      </ns0:c>
      <ns0:c r="C321" s="74" t="inlineStr">
        <ns0:is>
          <ns0:t>鈞達股份</ns0:t>
        </ns0:is>
      </ns0:c>
      <ns0:c r="D321" s="74" t="inlineStr">
        <ns0:is>
          <ns0:t>Industrials</ns0:t>
        </ns0:is>
      </ns0:c>
      <ns0:c r="E321" s="74" t="inlineStr">
        <ns0:is>
          <ns0:t>Solar / wind supply chain</ns0:t>
        </ns0:is>
      </ns0:c>
      <ns0:c r="F321" s="74" t="inlineStr">
        <ns0:is>
          <ns0:t>Battery Products</ns0:t>
        </ns0:is>
      </ns0:c>
      <ns0:c r="G321" s="74" t="inlineStr">
        <ns0:is>
          <ns0:t>Standard</ns0:t>
        </ns0:is>
      </ns0:c>
      <ns0:c r="H321" s="75" t="n">
        <ns0:v>45785</ns0:v>
      </ns0:c>
      <ns0:c r="I321" s="76" t="n">
        <ns0:v>1405</ns0:v>
      </ns0:c>
      <ns0:c r="J321" s="74" t="inlineStr">
        <ns0:is>
          <ns0:t>gross (price x shares)</ns0:t>
        </ns0:is>
      </ns0:c>
      <ns0:c r="K321" s="77" t="n">
        <ns0:v>20.4</ns0:v>
      </ns0:c>
      <ns0:c r="L321" s="77" t="n">
        <ns0:v>28.6</ns0:v>
      </ns0:c>
      <ns0:c r="M321" s="77" t="n">
        <ns0:v>22.15</ns0:v>
      </ns0:c>
      <ns0:c r="N321" s="74" t="inlineStr">
        <ns0:is>
          <ns0:t>N</ns0:t>
        </ns0:is>
      </ns0:c>
      <ns0:c r="O321" s="78" t="n">
        <ns0:v>77.40000000000001</ns0:v>
      </ns0:c>
      <ns0:c r="P321" s="78" t="n">
        <ns0:v>21.3</ns0:v>
      </ns0:c>
      <ns0:c r="Q321" s="79" t="n">
        <ns0:v>6480.7</ns0:v>
      </ns0:c>
      <ns0:c r="R321" s="74" t="inlineStr">
        <ns0:is>
          <ns0:t>derived:price x shares upon listing</ns0:t>
        </ns0:is>
      </ns0:c>
      <ns0:c r="S321" s="80" t="n">
        <ns0:v>3.5</ns0:v>
      </ns0:c>
      <ns0:c r="T321" s="81" t="n">
        <ns0:v>1.08</ns0:v>
      </ns0:c>
      <ns0:c r="U321" s="82" t="n">
        <ns0:v>34.82</ns0:v>
      </ns0:c>
      <ns0:c r="V321" s="83" t="n">
        <ns0:v>138</ns0:v>
      </ns0:c>
      <ns0:c r="W321" s="78" t="n">
        <ns0:v>10</ns0:v>
      </ns0:c>
      <ns0:c r="X321" s="74" t="inlineStr">
        <ns0:is>
          <ns0:t>NO</ns0:t>
        </ns0:is>
      </ns0:c>
      <ns0:c r="Y321" s="79" t="n">
        <ns0:v>915.78</ns0:v>
      </ns0:c>
      <ns0:c r="Z321" s="79" t="n">
        <ns0:v>41345173</ns0:v>
      </ns0:c>
      <ns0:c r="AA321" s="78" t="n">
        <ns0:v>14.13</ns0:v>
      </ns0:c>
      <ns0:c r="AB321" s="74" t="inlineStr">
        <ns0:is>
          <ns0:t>Modern Direct Investment New Energy Technology Co., Limited; Zhuhai Gokin New Energy Investment Co., Ltd</ns0:t>
        </ns0:is>
      </ns0:c>
      <ns0:c r="AC321" s="74" t="inlineStr">
        <ns0:is>
          <ns0:t>modern;zhuhai</ns0:t>
        </ns0:is>
      </ns0:c>
      <ns0:c r="AD321" s="78" t="n">
        <ns0:v>7.6</ns0:v>
      </ns0:c>
      <ns0:c r="AE321" s="74" t="inlineStr">
        <ns0:is>
          <ns0:t>lapsed (no over-allocation)</ns0:t>
        </ns0:is>
      </ns0:c>
      <ns0:c r="AF321" s="85" t="n"/>
      <ns0:c r="AG321" s="74" t="inlineStr">
        <ns0:is>
          <ns0:t>Huatai Financial Holdings</ns0:t>
        </ns0:is>
      </ns0:c>
      <ns0:c r="AH321" s="74" t="inlineStr">
        <ns0:is>
          <ns0:t>Huatai</ns0:t>
        </ns0:is>
      </ns0:c>
      <ns0:c r="AI321" s="86" t="n">
        <ns0:v>0</ns0:v>
      </ns0:c>
      <ns0:c r="AJ321" s="87" t="n">
        <ns0:v>20.09</ns0:v>
      </ns0:c>
      <ns0:c r="AK321" s="87" t="n">
        <ns0:v>0.71</ns0:v>
      </ns0:c>
      <ns0:c r="AL321" s="87" t="n">
        <ns0:v>0.23</ns0:v>
      </ns0:c>
      <ns0:c r="AM321" s="87" t="n">
        <ns0:v>19.81</ns0:v>
      </ns0:c>
      <ns0:c r="AN321" s="89" t="n">
        <ns0:v>1.05</ns0:v>
      </ns0:c>
      <ns0:c r="AO321" s="78" t="n">
        <ns0:v>24.32</ns0:v>
      </ns0:c>
      <ns0:c r="AP321" s="87" t="n">
        <ns0:v>3.61</ns0:v>
      </ns0:c>
      <ns0:c r="AQ321" s="87" t="n">
        <ns0:v>8.130000000000001</ns0:v>
      </ns0:c>
      <ns0:c r="AR321" s="87" t="n">
        <ns0:v>-2.48</ns0:v>
      </ns0:c>
      <ns0:c r="AS321" s="87" t="n">
        <ns0:v>-13.72</ns0:v>
      </ns0:c>
      <ns0:c r="AT321" s="87" t="n">
        <ns0:v>-9.960000000000001</ns0:v>
      </ns0:c>
      <ns0:c r="AU321" s="87" t="n">
        <ns0:v>-18.79</ns0:v>
      </ns0:c>
      <ns0:c r="AV321" s="87" t="n">
        <ns0:v>0.51</ns0:v>
      </ns0:c>
      <ns0:c r="AW321" s="87" t="n">
        <ns0:v>4.34</ns0:v>
      </ns0:c>
      <ns0:c r="AX321" s="87" t="n">
        <ns0:v>-9.83</ns0:v>
      </ns0:c>
      <ns0:c r="AY321" s="87" t="n">
        <ns0:v>-13.02</ns0:v>
      </ns0:c>
      <ns0:c r="AZ321" s="87" t="n">
        <ns0:v>3.79</ns0:v>
      </ns0:c>
      <ns0:c r="BA321" s="87" t="n">
        <ns0:v>3.06</ns0:v>
      </ns0:c>
      <ns0:c r="BB321" s="74" t="inlineStr">
        <ns0:is>
          <ns0:t>Hang Seng Commerce &amp; Industry sub-index</ns0:t>
        </ns0:is>
      </ns0:c>
      <ns0:c r="BC321" s="87" t="n">
        <ns0:v>-48.58</ns0:v>
      </ns0:c>
      <ns0:c r="BD321" s="75" t="n">
        <ns0:v>46297</ns0:v>
      </ns0:c>
      <ns0:c r="BE321" s="76" t="n">
        <ns0:v>2006.3</ns0:v>
      </ns0:c>
      <ns0:c r="BF321" s="79" t="n">
        <ns0:v>-275.6</ns0:v>
      </ns0:c>
      <ns0:c r="BG321" s="74" t="inlineStr">
        <ns0:is>
          <ns0:t>N</ns0:t>
        </ns0:is>
      </ns0:c>
      <ns0:c r="BH321" s="74" t="inlineStr">
        <ns0:is>
          <ns0:t>n/m</ns0:t>
        </ns0:is>
      </ns0:c>
      <ns0:c r="BI321" s="88" t="n"/>
      <ns0:c r="BJ321" s="88" t="n"/>
      <ns0:c r="BK321" s="89" t="n">
        <ns0:v>3.2</ns0:v>
      </ns0:c>
      <ns0:c r="BL321" s="90">
        <ns0:f>IFERROR(IF('BBG Verify'!S321="","Awaiting Bloomberg",'BBG Verify'!S321),"Awaiting Bloomberg")</ns0:f>
        <ns0:v/>
      </ns0:c>
      <ns0:c r="BM321" s="91" t="inlineStr">
        <ns0:is>
          <ns0:t>Y</ns0:t>
        </ns0:is>
      </ns0:c>
      <ns0:c r="BN321" s="74" t="inlineStr">
        <ns0:is>
          <ns0:t>002865.SZ</ns0:t>
        </ns0:is>
      </ns0:c>
      <ns0:c r="BO321" s="87" t="n">
        <ns0:v>99.26000000000001</ns0:v>
      </ns0:c>
      <ns0:c r="BP321" s="77" t="n">
        <ns0:v>44.1352</ns0:v>
      </ns0:c>
      <ns0:c r="BQ321" s="101" t="n">
        <ns0:v>2.7439</ns0:v>
      </ns0:c>
      <ns0:c r="BR321" s="79" t="n">
        <ns0:v>13275.7</ns0:v>
      </ns0:c>
      <ns0:c r="BS321" s="90">
        <ns0:f>IFERROR(IF('BBG Verify'!Q321="","Awaiting Bloomberg",'BBG Verify'!Q321),"Awaiting Bloomberg")</ns0:f>
        <ns0:v/>
      </ns0:c>
      <ns0:c r="BT321" s="90">
        <ns0:f>IFERROR(IF('BBG Verify'!R321="","Awaiting Bloomberg",'BBG Verify'!R321),"Awaiting Bloomberg")</ns0:f>
        <ns0:v/>
      </ns0:c>
      <ns0:c r="BU321" s="91" t="inlineStr">
        <ns0:is>
          <ns0:t>Huatai Financial Holdings (Hong Kong) Limited; CMB International Capital Limited; Deutsche Securities Asia Limited</ns0:t>
        </ns0:is>
      </ns0:c>
      <ns0:c r="BV321" s="74" t="inlineStr">
        <ns0:is>
          <ns0:t>Huatai Financial Holdings (Hong Kong) Limited; Deutsche Securities Asia Limited; CMB International Capital Corporation Limited</ns0:t>
        </ns0:is>
      </ns0:c>
      <ns0:c r="BW321" s="74" t="inlineStr">
        <ns0:is>
          <ns0: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ns0:t>
        </ns0:is>
      </ns0:c>
      <ns0:c r="BX321" s="74" t="inlineStr">
        <ns0:is>
          <ns0: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ns0:t>
        </ns0:is>
      </ns0:c>
      <ns0:c r="BY321" s="93">
        <ns0:f>HYPERLINK("https://www1.hkexnews.hk/listedco/listconews/sehk/2025/0428/2025042800051.pdf","prospectus")</ns0:f>
        <ns0:v/>
      </ns0:c>
      <ns0:c r="BZ321" s="93">
        <ns0:f>HYPERLINK("https://www1.hkexnews.hk/listedco/listconews/sehk/2025/0507/2025050702202.pdf","allotment")</ns0:f>
        <ns0:v/>
      </ns0:c>
      <ns0:c r="CA321" s="93">
        <ns0:f>HYPERLINK("https://www1.hkexnews.hk/listedco/listconews/sehk/2025/0602/2025060200082.pdf","stabilisation")</ns0:f>
        <ns0:v/>
      </ns0:c>
      <ns0:c r="CB321" s="94" t="n"/>
      <ns0:c r="CC321" s="74" t="inlineStr">
        <ns0:is>
          <ns0:t>P/E: loss-making at IPO, use P/S; greenshoe: outcome published; expiry date not in the notice; A/H: May 2025 H listing (TOPCon solar cells)</ns0:t>
        </ns0:is>
      </ns0:c>
    </ns0:row>
    <ns0:row r="322" ht="22" customHeight="1">
      <ns0:c r="A322" s="73" t="inlineStr">
        <ns0:is>
          <ns0:t>2589</ns0:t>
        </ns0:is>
      </ns0:c>
      <ns0:c r="B322" s="74" t="inlineStr">
        <ns0:is>
          <ns0:t>AUNTEA JENNY</ns0:t>
        </ns0:is>
      </ns0:c>
      <ns0:c r="C322" s="74" t="inlineStr">
        <ns0:is>
          <ns0:t>滬上阿姨</ns0:t>
        </ns0:is>
      </ns0:c>
      <ns0:c r="D322" s="74" t="inlineStr">
        <ns0:is>
          <ns0:t>Consumer</ns0:t>
        </ns0:is>
      </ns0:c>
      <ns0:c r="E322" s="74" t="inlineStr">
        <ns0:is>
          <ns0:t>F&amp;B chains / restaurants</ns0:t>
        </ns0:is>
      </ns0:c>
      <ns0:c r="F322" s="74" t="inlineStr">
        <ns0:is>
          <ns0:t>Beverages (Non-alcoholic)</ns0:t>
        </ns0:is>
      </ns0:c>
      <ns0:c r="G322" s="74" t="inlineStr">
        <ns0:is>
          <ns0:t>Standard</ns0:t>
        </ns0:is>
      </ns0:c>
      <ns0:c r="H322" s="75" t="n">
        <ns0:v>45785</ns0:v>
      </ns0:c>
      <ns0:c r="I322" s="76" t="n">
        <ns0:v>272.8</ns0:v>
      </ns0:c>
      <ns0:c r="J322" s="74" t="inlineStr">
        <ns0:is>
          <ns0:t>gross (price x shares)</ns0:t>
        </ns0:is>
      </ns0:c>
      <ns0:c r="K322" s="95" t="n"/>
      <ns0:c r="L322" s="77" t="n">
        <ns0:v>113.12</ns0:v>
      </ns0:c>
      <ns0:c r="M322" s="77" t="n">
        <ns0:v>113.12</ns0:v>
      </ns0:c>
      <ns0:c r="N322" s="74" t="inlineStr">
        <ns0:is>
          <ns0:t>Y</ns0:t>
        </ns0:is>
      </ns0:c>
      <ns0:c r="O322" s="78" t="n">
        <ns0:v>100</ns0:v>
      </ns0:c>
      <ns0:c r="P322" s="84" t="n"/>
      <ns0:c r="Q322" s="79" t="n">
        <ns0:v>10492.3</ns0:v>
      </ns0:c>
      <ns0:c r="R322" s="74" t="inlineStr">
        <ns0:is>
          <ns0:t>derived:deal size / offer % of enlarged capital</ns0:t>
        </ns0:is>
      </ns0:c>
      <ns0:c r="S322" s="80" t="n">
        <ns0:v>3616.83</ns0:v>
      </ns0:c>
      <ns0:c r="T322" s="81" t="n">
        <ns0:v>2.57</ns0:v>
      </ns0:c>
      <ns0:c r="U322" s="82" t="n">
        <ns0:v>30.73</ns0:v>
      </ns0:c>
      <ns0:c r="V322" s="83" t="n">
        <ns0:v>12</ns0:v>
      </ns0:c>
      <ns0:c r="W322" s="78" t="n">
        <ns0:v>50</ns0:v>
      </ns0:c>
      <ns0:c r="X322" s="74" t="inlineStr">
        <ns0:is>
          <ns0:t>YES</ns0:t>
        </ns0:is>
      </ns0:c>
      <ns0:c r="Y322" s="79" t="n">
        <ns0:v>188.97</ns0:v>
      </ns0:c>
      <ns0:c r="Z322" s="79" t="n">
        <ns0:v>1670335</ns0:v>
      </ns0:c>
      <ns0:c r="AA322" s="78" t="n">
        <ns0:v>1.8</ns0:v>
      </ns0:c>
      <ns0:c r="AB322" s="74" t="inlineStr">
        <ns0:is>
          <ns0:t>Infore Holding</ns0:t>
        </ns0:is>
      </ns0:c>
      <ns0:c r="AC322" s="74" t="inlineStr">
        <ns0:is>
          <ns0:t>infore</ns0:t>
        </ns0:is>
      </ns0:c>
      <ns0:c r="AD322" s="78" t="n">
        <ns0:v>15</ns0:v>
      </ns0:c>
      <ns0:c r="AE322" s="74" t="inlineStr">
        <ns0:is>
          <ns0:t>full</ns0:t>
        </ns0:is>
      </ns0:c>
      <ns0:c r="AF322" s="74" t="inlineStr">
        <ns0:is>
          <ns0:t>2025-06-01</ns0:t>
        </ns0:is>
      </ns0:c>
      <ns0:c r="AG322" s="74" t="inlineStr">
        <ns0:is>
          <ns0:t>CLSA Limited</ns0:t>
        </ns0:is>
      </ns0:c>
      <ns0:c r="AH322" s="74" t="inlineStr">
        <ns0:is>
          <ns0:t>CLSA</ns0:t>
        </ns0:is>
      </ns0:c>
      <ns0:c r="AI322" s="86" t="n">
        <ns0:v>62.48</ns0:v>
      </ns0:c>
      <ns0:c r="AJ322" s="87" t="n">
        <ns0:v>40.03</ns0:v>
      </ns0:c>
      <ns0:c r="AK322" s="87" t="n">
        <ns0:v>0.71</ns0:v>
      </ns0:c>
      <ns0:c r="AL322" s="87" t="n">
        <ns0:v>68.48999999999999</ns0:v>
      </ns0:c>
      <ns0:c r="AM322" s="87" t="n">
        <ns0:v>-16.89</ns0:v>
      </ns0:c>
      <ns0:c r="AN322" s="89" t="n">
        <ns0:v>2.71</ns0:v>
      </ns0:c>
      <ns0:c r="AO322" s="78" t="n">
        <ns0:v>23.92</ns0:v>
      </ns0:c>
      <ns0:c r="AP322" s="87" t="n">
        <ns0:v>12.89</ns0:v>
      </ns0:c>
      <ns0:c r="AQ322" s="87" t="n">
        <ns0:v>9.619999999999999</ns0:v>
      </ns0:c>
      <ns0:c r="AR322" s="87" t="n">
        <ns0:v>21.38</ns0:v>
      </ns0:c>
      <ns0:c r="AS322" s="87" t="n">
        <ns0:v>-19.38</ns0:v>
      </ns0:c>
      <ns0:c r="AT322" s="87" t="n">
        <ns0:v>-21.72</ns0:v>
      </ns0:c>
      <ns0:c r="AU322" s="87" t="n">
        <ns0:v>-13.32</ns0:v>
      </ns0:c>
      <ns0:c r="AV322" s="87" t="n">
        <ns0:v>9.789999999999999</ns0:v>
      </ns0:c>
      <ns0:c r="AW322" s="87" t="n">
        <ns0:v>5.83</ns0:v>
      </ns0:c>
      <ns0:c r="AX322" s="87" t="n">
        <ns0:v>14.03</ns0:v>
      </ns0:c>
      <ns0:c r="AY322" s="87" t="n">
        <ns0:v>-24.78</ns0:v>
      </ns0:c>
      <ns0:c r="AZ322" s="87" t="n">
        <ns0:v>3.79</ns0:v>
      </ns0:c>
      <ns0:c r="BA322" s="87" t="n">
        <ns0:v>3.06</ns0:v>
      </ns0:c>
      <ns0:c r="BB322" s="74" t="inlineStr">
        <ns0:is>
          <ns0:t>Hang Seng Commerce &amp; Industry sub-index</ns0:t>
        </ns0:is>
      </ns0:c>
      <ns0:c r="BC322" s="87" t="n">
        <ns0:v>-40.28</ns0:v>
      </ns0:c>
      <ns0:c r="BD322" s="75" t="n">
        <ns0:v>46297</ns0:v>
      </ns0:c>
      <ns0:c r="BE322" s="76" t="n">
        <ns0:v>3613</ns0:v>
      </ns0:c>
      <ns0:c r="BF322" s="79" t="n">
        <ns0:v>361.8</ns0:v>
      </ns0:c>
      <ns0:c r="BG322" s="74" t="inlineStr">
        <ns0:is>
          <ns0:t>Y</ns0:t>
        </ns0:is>
      </ns0:c>
      <ns0:c r="BH322" s="89" t="n">
        <ns0:v>29</ns0:v>
      </ns0:c>
      <ns0:c r="BI322" s="89" t="n">
        <ns0:v>45.8</ns0:v>
      </ns0:c>
      <ns0:c r="BJ322" s="89" t="n">
        <ns0:v>15.2</ns0:v>
      </ns0:c>
      <ns0:c r="BK322" s="89" t="n">
        <ns0:v>2.9</ns0:v>
      </ns0:c>
      <ns0:c r="BL322" s="90">
        <ns0:f>IFERROR(IF('BBG Verify'!S322="","Awaiting Bloomberg",'BBG Verify'!S322),"Awaiting Bloomberg")</ns0:f>
        <ns0:v/>
      </ns0:c>
      <ns0:c r="BM322" s="91" t="inlineStr">
        <ns0:is>
          <ns0:t>N</ns0:t>
        </ns0:is>
      </ns0:c>
      <ns0:c r="BN322" s="92">
        <ns0:f>IFERROR(IF('BBG Verify'!K322="","Awaiting Bloomberg",'BBG Verify'!K322),"Awaiting Bloomberg")</ns0:f>
        <ns0:v/>
      </ns0:c>
      <ns0:c r="BO322" s="74" t="inlineStr">
        <ns0:is>
          <ns0:t>N/A</ns0:t>
        </ns0:is>
      </ns0:c>
      <ns0:c r="BP322" s="74" t="inlineStr">
        <ns0:is>
          <ns0:t>N/A</ns0:t>
        </ns0:is>
      </ns0:c>
      <ns0:c r="BQ322" s="74" t="inlineStr">
        <ns0:is>
          <ns0:t>N/A</ns0:t>
        </ns0:is>
      </ns0:c>
      <ns0:c r="BR322" s="74" t="inlineStr">
        <ns0:is>
          <ns0:t>N/A</ns0:t>
        </ns0:is>
      </ns0:c>
      <ns0:c r="BS322" s="74" t="inlineStr">
        <ns0:is>
          <ns0:t>N/A</ns0:t>
        </ns0:is>
      </ns0:c>
      <ns0:c r="BT322" s="74" t="inlineStr">
        <ns0:is>
          <ns0:t>N/A</ns0:t>
        </ns0:is>
      </ns0:c>
      <ns0:c r="BU322" s="91" t="inlineStr">
        <ns0:is>
          <ns0:t>CITIC Securities (Hong Kong) Limited; Haitong International Capital Limited; Orient Capital (Hong Kong) Limited</ns0:t>
        </ns0:is>
      </ns0:c>
      <ns0:c r="BV322" s="74" t="inlineStr">
        <ns0:is>
          <ns0:t>Haitong International Capital Limited; CITIC Securities (Hong Kong) Limited; Orient Capital (Hong Kong) Limited</ns0:t>
        </ns0:is>
      </ns0:c>
      <ns0:c r="BW322" s="74" t="inlineStr">
        <ns0:is>
          <ns0:t>CLSA Limited; Orient Securities (Hong Kong) Limited; ICBC International Securities Limited; China Merchants Securities (HK) Co., Limited; CMBC Securities Company Limited; Morton Securities Limited; Soochow Securities International Brokerage Limited; Tiger Brokers (HK) Global Limited</ns0:t>
        </ns0:is>
      </ns0:c>
      <ns0:c r="BX322" s="74" t="inlineStr">
        <ns0:is>
          <ns0: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ns0:t>
        </ns0:is>
      </ns0:c>
      <ns0:c r="BY322" s="93">
        <ns0:f>HYPERLINK("https://www1.hkexnews.hk/listedco/listconews/sehk/2025/0428/2025042800055.pdf","prospectus")</ns0:f>
        <ns0:v/>
      </ns0:c>
      <ns0:c r="BZ322" s="93">
        <ns0:f>HYPERLINK("https://www1.hkexnews.hk/listedco/listconews/sehk/2025/0507/2025050702204.pdf","allotment")</ns0:f>
        <ns0:v/>
      </ns0:c>
      <ns0:c r="CA322" s="93">
        <ns0:f>HYPERLINK("https://www1.hkexnews.hk/listedco/listconews/sehk/2025/0601/2025060100017.pdf","stabilisation")</ns0:f>
        <ns0:v/>
      </ns0:c>
      <ns0:c r="CB322" s="94" t="n"/>
      <ns0:c r="CC322" s="74" t="inlineStr">
        <ns0:is>
          <ns0:t>range low: maximum offer price only, no floor published</ns0:t>
        </ns0:is>
      </ns0:c>
    </ns0:row>
    <ns0:row r="323" ht="22" customHeight="1">
      <ns0:c r="A323" s="73" t="inlineStr">
        <ns0:is>
          <ns0:t>6831</ns0:t>
        </ns0:is>
      </ns0:c>
      <ns0:c r="B323" s="74" t="inlineStr">
        <ns0:is>
          <ns0:t>GREEN TEA GROUP</ns0:t>
        </ns0:is>
      </ns0:c>
      <ns0:c r="C323" s="74" t="inlineStr">
        <ns0:is>
          <ns0:t>綠茶集團</ns0:t>
        </ns0:is>
      </ns0:c>
      <ns0:c r="D323" s="74" t="inlineStr">
        <ns0:is>
          <ns0:t>Consumer</ns0:t>
        </ns0:is>
      </ns0:c>
      <ns0:c r="E323" s="74" t="inlineStr">
        <ns0:is>
          <ns0:t>F&amp;B chains / restaurants</ns0:t>
        </ns0:is>
      </ns0:c>
      <ns0:c r="F323" s="74" t="inlineStr">
        <ns0:is>
          <ns0:t>Restaurants</ns0:t>
        </ns0:is>
      </ns0:c>
      <ns0:c r="G323" s="74" t="inlineStr">
        <ns0:is>
          <ns0:t>Standard</ns0:t>
        </ns0:is>
      </ns0:c>
      <ns0:c r="H323" s="75" t="n">
        <ns0:v>45793</ns0:v>
      </ns0:c>
      <ns0:c r="I323" s="76" t="n">
        <ns0:v>847.38</ns0:v>
      </ns0:c>
      <ns0:c r="J323" s="74" t="inlineStr">
        <ns0:is>
          <ns0:t>gross (stated)</ns0:t>
        </ns0:is>
      </ns0:c>
      <ns0:c r="K323" s="95" t="n"/>
      <ns0:c r="L323" s="77" t="n">
        <ns0:v>7.19</ns0:v>
      </ns0:c>
      <ns0:c r="M323" s="77" t="n">
        <ns0:v>7.19</ns0:v>
      </ns0:c>
      <ns0:c r="N323" s="74" t="inlineStr">
        <ns0:is>
          <ns0:t>Y</ns0:t>
        </ns0:is>
      </ns0:c>
      <ns0:c r="O323" s="78" t="n">
        <ns0:v>100</ns0:v>
      </ns0:c>
      <ns0:c r="P323" s="84" t="n"/>
      <ns0:c r="Q323" s="79" t="n">
        <ns0:v>3013.4</ns0:v>
      </ns0:c>
      <ns0:c r="R323" s="74" t="inlineStr">
        <ns0:is>
          <ns0:t>derived:deal size / offer % of enlarged capital</ns0:t>
        </ns0:is>
      </ns0:c>
      <ns0:c r="S323" s="80" t="n">
        <ns0:v>317.54</ns0:v>
      </ns0:c>
      <ns0:c r="T323" s="81" t="n">
        <ns0:v>7.2</ns0:v>
      </ns0:c>
      <ns0:c r="U323" s="82" t="n">
        <ns0:v>50</ns0:v>
      </ns0:c>
      <ns0:c r="V323" s="83" t="n">
        <ns0:v>134</ns0:v>
      </ns0:c>
      <ns0:c r="W323" s="78" t="n">
        <ns0:v>50</ns0:v>
      </ns0:c>
      <ns0:c r="X323" s="74" t="inlineStr">
        <ns0:is>
          <ns0:t>YES</ns0:t>
        </ns0:is>
      </ns0:c>
      <ns0:c r="Y323" s="79" t="n">
        <ns0:v>423.69</ns0:v>
      </ns0:c>
      <ns0:c r="Z323" s="97" t="n"/>
      <ns0:c r="AA323" s="78" t="n">
        <ns0:v>14.06</ns0:v>
      </ns0:c>
      <ns0:c r="AB323" s="74" t="inlineStr">
        <ns0:is>
          <ns0:t>Wuxi Zixian Food Co., Ltd; Anji Liangshan Rural Revitalization Equity Investment Partnership (Limited Partnership); Action Chain International Limited; Chia Tai Food Investment Company Limited; Wuxi Hexiang Food Co., Ltd; Wuxi Lvlian Food Co., Ltd; Wuxi Qinyu Food Co., Ltd</ns0:t>
        </ns0:is>
      </ns0:c>
      <ns0:c r="AC323" s="74" t="inlineStr">
        <ns0:is>
          <ns0:t>wuxi;anji;action;chia</ns0:t>
        </ns0:is>
      </ns0:c>
      <ns0:c r="AD323" s="78" t="n">
        <ns0:v>15.76</ns0:v>
      </ns0:c>
      <ns0:c r="AE323" s="74" t="inlineStr">
        <ns0:is>
          <ns0:t>lapsed</ns0:t>
        </ns0:is>
      </ns0:c>
      <ns0:c r="AF323" s="74" t="inlineStr">
        <ns0:is>
          <ns0:t>2025-06-12</ns0:t>
        </ns0:is>
      </ns0:c>
      <ns0:c r="AG323" s="74" t="inlineStr">
        <ns0:is>
          <ns0:t>CMB International Global Markets Limited</ns0:t>
        </ns0:is>
      </ns0:c>
      <ns0:c r="AH323" s="74" t="inlineStr">
        <ns0:is>
          <ns0:t>CMB</ns0:t>
        </ns0:is>
      </ns0:c>
      <ns0:c r="AI323" s="86" t="n">
        <ns0:v>-7.65</ns0:v>
      </ns0:c>
      <ns0:c r="AJ323" s="87" t="n">
        <ns0:v>-12.52</ns0:v>
      </ns0:c>
      <ns0:c r="AK323" s="87" t="n">
        <ns0:v>-0.68</ns0:v>
      </ns0:c>
      <ns0:c r="AL323" s="87" t="n">
        <ns0:v>0</ns0:v>
      </ns0:c>
      <ns0:c r="AM323" s="87" t="n">
        <ns0:v>-12.52</ns0:v>
      </ns0:c>
      <ns0:c r="AN323" s="89" t="n">
        <ns0:v>1.05</ns0:v>
      </ns0:c>
      <ns0:c r="AO323" s="78" t="n">
        <ns0:v>12.66</ns0:v>
      </ns0:c>
      <ns0:c r="AP323" s="87" t="n">
        <ns0:v>-19.61</ns0:v>
      </ns0:c>
      <ns0:c r="AQ323" s="87" t="n">
        <ns0:v>-11.27</ns0:v>
      </ns0:c>
      <ns0:c r="AR323" s="87" t="n">
        <ns0:v>3.2</ns0:v>
      </ns0:c>
      <ns0:c r="AS323" s="87" t="n">
        <ns0:v>-8.1</ns0:v>
      </ns0:c>
      <ns0:c r="AT323" s="87" t="n">
        <ns0:v>1.43</ns0:v>
      </ns0:c>
      <ns0:c r="AU323" s="87" t="n">
        <ns0:v>17.97</ns0:v>
      </ns0:c>
      <ns0:c r="AV323" s="87" t="n">
        <ns0:v>-20.16</ns0:v>
      </ns0:c>
      <ns0:c r="AW323" s="87" t="n">
        <ns0:v>-11.85</ns0:v>
      </ns0:c>
      <ns0:c r="AX323" s="87" t="n">
        <ns0:v>-3.31</ns0:v>
      </ns0:c>
      <ns0:c r="AY323" s="87" t="n">
        <ns0:v>0.16</ns0:v>
      </ns0:c>
      <ns0:c r="AZ323" s="87" t="n">
        <ns0:v>0.58</ns0:v>
      </ns0:c>
      <ns0:c r="BA323" s="87" t="n">
        <ns0:v>1.27</ns0:v>
      </ns0:c>
      <ns0:c r="BB323" s="74" t="inlineStr">
        <ns0:is>
          <ns0:t>Hang Seng Commerce &amp; Industry sub-index</ns0:t>
        </ns0:is>
      </ns0:c>
      <ns0:c r="BC323" s="87" t="n">
        <ns0:v>-32.41</ns0:v>
      </ns0:c>
      <ns0:c r="BD323" s="75" t="n">
        <ns0:v>46297</ns0:v>
      </ns0:c>
      <ns0:c r="BE323" s="76" t="n">
        <ns0:v>4222</ns0:v>
      </ns0:c>
      <ns0:c r="BF323" s="79" t="n">
        <ns0:v>385.2</ns0:v>
      </ns0:c>
      <ns0:c r="BG323" s="74" t="inlineStr">
        <ns0:is>
          <ns0:t>Y</ns0:t>
        </ns0:is>
      </ns0:c>
      <ns0:c r="BH323" s="89" t="n">
        <ns0:v>7.8</ns0:v>
      </ns0:c>
      <ns0:c r="BI323" s="88" t="n"/>
      <ns0:c r="BJ323" s="89" t="n">
        <ns0:v>7.4</ns0:v>
      </ns0:c>
      <ns0:c r="BK323" s="89" t="n">
        <ns0:v>0.7</ns0:v>
      </ns0:c>
      <ns0:c r="BL323" s="90">
        <ns0:f>IFERROR(IF('BBG Verify'!S323="","Awaiting Bloomberg",'BBG Verify'!S323),"Awaiting Bloomberg")</ns0:f>
        <ns0:v/>
      </ns0:c>
      <ns0:c r="BM323" s="91" t="inlineStr">
        <ns0:is>
          <ns0:t>N</ns0:t>
        </ns0:is>
      </ns0:c>
      <ns0:c r="BN323" s="92">
        <ns0:f>IFERROR(IF('BBG Verify'!K323="","Awaiting Bloomberg",'BBG Verify'!K323),"Awaiting Bloomberg")</ns0:f>
        <ns0:v/>
      </ns0:c>
      <ns0:c r="BO323" s="74" t="inlineStr">
        <ns0:is>
          <ns0:t>N/A</ns0:t>
        </ns0:is>
      </ns0:c>
      <ns0:c r="BP323" s="74" t="inlineStr">
        <ns0:is>
          <ns0:t>N/A</ns0:t>
        </ns0:is>
      </ns0:c>
      <ns0:c r="BQ323" s="74" t="inlineStr">
        <ns0:is>
          <ns0:t>N/A</ns0:t>
        </ns0:is>
      </ns0:c>
      <ns0:c r="BR323" s="74" t="inlineStr">
        <ns0:is>
          <ns0:t>N/A</ns0:t>
        </ns0:is>
      </ns0:c>
      <ns0:c r="BS323" s="74" t="inlineStr">
        <ns0:is>
          <ns0:t>N/A</ns0:t>
        </ns0:is>
      </ns0:c>
      <ns0:c r="BT323" s="74" t="inlineStr">
        <ns0:is>
          <ns0:t>N/A</ns0:t>
        </ns0:is>
      </ns0:c>
      <ns0:c r="BU323" s="91" t="inlineStr">
        <ns0:is>
          <ns0:t>Citigroup Global Markets Asia Limited; Hong Kong SAR CMB International Capital Limited</ns0:t>
        </ns0:is>
      </ns0:c>
      <ns0:c r="BV323" s="74" t="inlineStr">
        <ns0:is>
          <ns0:t>Citigroup Global Markets Asia Limited; CMB International Capital Corporation Limited</ns0:t>
        </ns0:is>
      </ns0:c>
      <ns0:c r="BW323" s="74" t="inlineStr">
        <ns0:is>
          <ns0: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ns0:t>
        </ns0:is>
      </ns0:c>
      <ns0:c r="BX323" s="74" t="inlineStr">
        <ns0:is>
          <ns0: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ns0:t>
        </ns0:is>
      </ns0:c>
      <ns0:c r="BY323" s="93">
        <ns0:f>HYPERLINK("https://www1.hkexnews.hk/listedco/listconews/sehk/2025/0508/2025050800013.pdf","prospectus")</ns0:f>
        <ns0:v/>
      </ns0:c>
      <ns0:c r="BZ323" s="93">
        <ns0:f>HYPERLINK("https://www1.hkexnews.hk/listedco/listconews/sehk/2025/0515/2025051501489.pdf","allotment")</ns0:f>
        <ns0:v/>
      </ns0:c>
      <ns0:c r="CA323" s="93">
        <ns0:f>HYPERLINK("https://www1.hkexnews.hk/listedco/listconews/sehk/2025/0612/2025061201064.pdf","stabilisation")</ns0:f>
        <ns0:v/>
      </ns0:c>
      <ns0:c r="CB323" s="94" t="n"/>
      <ns0:c r="CC323" s="74" t="inlineStr">
        <ns0:is>
          <ns0:t>range low: maximum offer price only, no floor published; eff float shares: share count unavailable; the HK$m figure is exact</ns0:t>
        </ns0:is>
      </ns0:c>
    </ns0:row>
    <ns0:row r="324" ht="22" customHeight="1">
      <ns0:c r="A324" s="73" t="inlineStr">
        <ns0:is>
          <ns0:t>3750</ns0:t>
        </ns0:is>
      </ns0:c>
      <ns0:c r="B324" s="74" t="inlineStr">
        <ns0:is>
          <ns0:t>CATL</ns0:t>
        </ns0:is>
      </ns0:c>
      <ns0:c r="C324" s="74" t="inlineStr">
        <ns0:is>
          <ns0:t>寧德時代</ns0:t>
        </ns0:is>
      </ns0:c>
      <ns0:c r="D324" s="74" t="inlineStr">
        <ns0:is>
          <ns0:t>Industrials</ns0:t>
        </ns0:is>
      </ns0:c>
      <ns0:c r="E324" s="74" t="inlineStr">
        <ns0:is>
          <ns0:t>Batteries / energy storage</ns0:t>
        </ns0:is>
      </ns0:c>
      <ns0:c r="F324" s="74" t="inlineStr">
        <ns0:is>
          <ns0:t>Battery Products</ns0:t>
        </ns0:is>
      </ns0:c>
      <ns0:c r="G324" s="74" t="inlineStr">
        <ns0:is>
          <ns0:t>Standard</ns0:t>
        </ns0:is>
      </ns0:c>
      <ns0:c r="H324" s="75" t="n">
        <ns0:v>45797</ns0:v>
      </ns0:c>
      <ns0:c r="I324" s="76" t="n">
        <ns0:v>35657.2</ns0:v>
      </ns0:c>
      <ns0:c r="J324" s="74" t="inlineStr">
        <ns0:is>
          <ns0:t>gross (stated)</ns0:t>
        </ns0:is>
      </ns0:c>
      <ns0:c r="K324" s="95" t="n"/>
      <ns0:c r="L324" s="77" t="n">
        <ns0:v>263</ns0:v>
      </ns0:c>
      <ns0:c r="M324" s="77" t="n">
        <ns0:v>263</ns0:v>
      </ns0:c>
      <ns0:c r="N324" s="74" t="inlineStr">
        <ns0:is>
          <ns0:t>Y</ns0:t>
        </ns0:is>
      </ns0:c>
      <ns0:c r="O324" s="78" t="n">
        <ns0:v>100</ns0:v>
      </ns0:c>
      <ns0:c r="P324" s="84" t="n"/>
      <ns0:c r="Q324" s="79" t="n">
        <ns0:v>1192548.5</ns0:v>
      </ns0:c>
      <ns0:c r="R324" s="74" t="inlineStr">
        <ns0:is>
          <ns0:t>derived:deal size / offer % of enlarged capital</ns0:t>
        </ns0:is>
      </ns0:c>
      <ns0:c r="S324" s="80" t="n">
        <ns0:v>151.15</ns0:v>
      </ns0:c>
      <ns0:c r="T324" s="81" t="n">
        <ns0:v>15.17</ns0:v>
      </ns0:c>
      <ns0:c r="U324" s="82" t="n">
        <ns0:v>52.78</ns0:v>
      </ns0:c>
      <ns0:c r="V324" s="83" t="n">
        <ns0:v>428</ns0:v>
      </ns0:c>
      <ns0:c r="W324" s="78" t="n">
        <ns0:v>7.5</ns0:v>
      </ns0:c>
      <ns0:c r="X324" s="74" t="inlineStr">
        <ns0:is>
          <ns0:t>NA</ns0:t>
        </ns0:is>
      </ns0:c>
      <ns0:c r="Y324" s="79" t="n">
        <ns0:v>16837.33</ns0:v>
      </ns0:c>
      <ns0:c r="Z324" s="79" t="n">
        <ns0:v>64020215</ns0:v>
      </ns0:c>
      <ns0:c r="AA324" s="78" t="n">
        <ns0:v>1.41</ns0:v>
      </ns0:c>
      <ns0:c r="AB324" s="74" t="inlineStr">
        <ns0:is>
          <ns0:t>Sinopec HK; 16 2025 KIA; November 19, 2025 HHLR CF, L.P; November 19, 2025 Shanghai Gaoyi and CICC FT (in connection with Gaoyi OTC Swaps); November 19, 2025 Perseverance Asset Management; November 19, 2025 Zenith Hop; November 19, 2025 Abstract Enigma Limited; November 19, 2025 Shanghai Greenwoods and CICC FT (in connection with Greenwoods OTC Swaps); November 19, 2025 HK Greenwoods; November 19, 2025 Pinpoint; November 19, 2025 UBS AM Singapore; November 19, 2025 WT; November 19, 2025 CPE Investment; November 19, 2025 Oaktree; November 19, 2025 MX Bright; November 19, 2025 Mirae Investors; November 19, 2025 RBC Global; 17 Asset Management (Asia) Limited 2025 CPIC Investors</ns0:t>
        </ns0:is>
      </ns0:c>
      <ns0:c r="AC324" s="74" t="inlineStr">
        <ns0:is>
          <ns0:t>sinopec;16;november;17</ns0:t>
        </ns0:is>
      </ns0:c>
      <ns0:c r="AD324" s="78" t="n">
        <ns0:v>15</ns0:v>
      </ns0:c>
      <ns0:c r="AE324" s="74" t="inlineStr">
        <ns0:is>
          <ns0:t>full</ns0:t>
        </ns0:is>
      </ns0:c>
      <ns0:c r="AF324" s="85" t="n"/>
      <ns0:c r="AG324" s="85" t="n"/>
      <ns0:c r="AH324" s="85" t="n"/>
      <ns0:c r="AI324" s="86" t="n">
        <ns0:v>8.289999999999999</ns0:v>
      </ns0:c>
      <ns0:c r="AJ324" s="87" t="n">
        <ns0:v>16.43</ns0:v>
      </ns0:c>
      <ns0:c r="AK324" s="87" t="n">
        <ns0:v>1.73</ns0:v>
      </ns0:c>
      <ns0:c r="AL324" s="87" t="n">
        <ns0:v>12.55</ns0:v>
      </ns0:c>
      <ns0:c r="AM324" s="87" t="n">
        <ns0:v>3.45</ns0:v>
      </ns0:c>
      <ns0:c r="AN324" s="89" t="n">
        <ns0:v>2.72</ns0:v>
      </ns0:c>
      <ns0:c r="AO324" s="78" t="n">
        <ns0:v>6.89</ns0:v>
      </ns0:c>
      <ns0:c r="AP324" s="87" t="n">
        <ns0:v>17.49</ns0:v>
      </ns0:c>
      <ns0:c r="AQ324" s="87" t="n">
        <ns0:v>16.5</ns0:v>
      </ns0:c>
      <ns0:c r="AR324" s="87" t="n">
        <ns0:v>57.41</ns0:v>
      </ns0:c>
      <ns0:c r="AS324" s="87" t="n">
        <ns0:v>0.91</ns0:v>
      </ns0:c>
      <ns0:c r="AT324" s="87" t="n">
        <ns0:v>0.06</ns0:v>
      </ns0:c>
      <ns0:c r="AU324" s="87" t="n">
        <ns0:v>35.2</ns0:v>
      </ns0:c>
      <ns0:c r="AV324" s="87" t="n">
        <ns0:v>17.98</ns0:v>
      </ns0:c>
      <ns0:c r="AW324" s="87" t="n">
        <ns0:v>16.86</ns0:v>
      </ns0:c>
      <ns0:c r="AX324" s="87" t="n">
        <ns0:v>51.09</ns0:v>
      </ns0:c>
      <ns0:c r="AY324" s="87" t="n">
        <ns0:v>2.11</ns0:v>
      </ns0:c>
      <ns0:c r="AZ324" s="87" t="n">
        <ns0:v>-0.36</ns0:v>
      </ns0:c>
      <ns0:c r="BA324" s="87" t="n">
        <ns0:v>-2.05</ns0:v>
      </ns0:c>
      <ns0:c r="BB324" s="74" t="inlineStr">
        <ns0:is>
          <ns0:t>Hang Seng Commerce &amp; Industry sub-index</ns0:t>
        </ns0:is>
      </ns0:c>
      <ns0:c r="BC324" s="87" t="n">
        <ns0:v>81.29000000000001</ns0:v>
      </ns0:c>
      <ns0:c r="BD324" s="75" t="n">
        <ns0:v>46297</ns0:v>
      </ns0:c>
      <ns0:c r="BE324" s="76" t="n">
        <ns0:v>398213.8</ns0:v>
      </ns0:c>
      <ns0:c r="BF324" s="79" t="n">
        <ns0:v>60824.5</ns0:v>
      </ns0:c>
      <ns0:c r="BG324" s="74" t="inlineStr">
        <ns0:is>
          <ns0:t>Y</ns0:t>
        </ns0:is>
      </ns0:c>
      <ns0:c r="BH324" s="89" t="n">
        <ns0:v>19.6</ns0:v>
      </ns0:c>
      <ns0:c r="BI324" s="89" t="n">
        <ns0:v>22.9</ns0:v>
      </ns0:c>
      <ns0:c r="BJ324" s="89" t="n">
        <ns0:v>30.1</ns0:v>
      </ns0:c>
      <ns0:c r="BK324" s="89" t="n">
        <ns0:v>3</ns0:v>
      </ns0:c>
      <ns0:c r="BL324" s="90">
        <ns0:f>IFERROR(IF('BBG Verify'!S324="","Awaiting Bloomberg",'BBG Verify'!S324),"Awaiting Bloomberg")</ns0:f>
        <ns0:v/>
      </ns0:c>
      <ns0:c r="BM324" s="91" t="inlineStr">
        <ns0:is>
          <ns0:t>Y</ns0:t>
        </ns0:is>
      </ns0:c>
      <ns0:c r="BN324" s="74" t="inlineStr">
        <ns0:is>
          <ns0:t>300750.SZ</ns0:t>
        </ns0:is>
      </ns0:c>
      <ns0:c r="BO324" s="87" t="n">
        <ns0:v>7.15</ns0:v>
      </ns0:c>
      <ns0:c r="BP324" s="77" t="n">
        <ns0:v>281.7992</ns0:v>
      </ns0:c>
      <ns0:c r="BQ324" s="101" t="n">
        <ns0:v>-0.2855</ns0:v>
      </ns0:c>
      <ns0:c r="BR324" s="79" t="n">
        <ns0:v>1576979.7</ns0:v>
      </ns0:c>
      <ns0:c r="BS324" s="90">
        <ns0:f>IFERROR(IF('BBG Verify'!Q324="","Awaiting Bloomberg",'BBG Verify'!Q324),"Awaiting Bloomberg")</ns0:f>
        <ns0:v/>
      </ns0:c>
      <ns0:c r="BT324" s="90">
        <ns0:f>IFERROR(IF('BBG Verify'!R324="","Awaiting Bloomberg",'BBG Verify'!R324),"Awaiting Bloomberg")</ns0:f>
        <ns0:v/>
      </ns0:c>
      <ns0:c r="BU324" s="91" t="inlineStr">
        <ns0:is>
          <ns0:t>China International Capital Corporation Hong Kong Securities Limited; China Securities (International) Corporate Finance Company Limited; J.P. Morgan Securities (Far East) Limited; Merrill Lynch (Asia Pacific) Limited</ns0:t>
        </ns0:is>
      </ns0:c>
      <ns0:c r="BV324" s="74" t="inlineStr">
        <ns0:is>
          <ns0:t>China International Capital Corporation Hong Kong Securities Limited; J.P. Morgan Securities (Far East) Limited; Merrill Lynch (Asia Pacific) Limited; China Securities (International) Corporate Finance Company Limited</ns0:t>
        </ns0:is>
      </ns0:c>
      <ns0:c r="BW324" s="74" t="inlineStr">
        <ns0:is>
          <ns0: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ns0:t>
        </ns0:is>
      </ns0:c>
      <ns0:c r="BX324" s="74" t="inlineStr">
        <ns0:is>
          <ns0: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ns0:t>
        </ns0:is>
      </ns0:c>
      <ns0:c r="BY324" s="93">
        <ns0:f>HYPERLINK("https://www1.hkexnews.hk/listedco/listconews/sehk/2025/0512/2025051200005.pdf","prospectus")</ns0:f>
        <ns0:v/>
      </ns0:c>
      <ns0:c r="BZ324" s="93">
        <ns0:f>HYPERLINK("https://www1.hkexnews.hk/listedco/listconews/sehk/2025/0519/2025051901257.pdf","allotment")</ns0:f>
        <ns0:v/>
      </ns0:c>
      <ns0:c r="CA324" s="93">
        <ns0:f>HYPERLINK("https://www1.hkexnews.hk/listedco/listconews/sehk/2025/0616/2025061600487.pdf","stabilisation")</ns0:f>
        <ns0:v/>
      </ns0:c>
      <ns0:c r="CB324" s="94" t="n"/>
      <ns0:c r="CC324" s="74" t="inlineStr">
        <ns0:is>
          <ns0:t>greenshoe: outcome published; expiry date not in the notice; range low: maximum offer price only, no floor published; A/H: May 2025, ~US$4.6bn (US$5.3bn w/ shoe); world's largest listing of 2025; H priced at a slim discount to A and surged on debut; stabilising manager: not named in the allotment notice or prospectus glossary</ns0:t>
        </ns0:is>
      </ns0:c>
    </ns0:row>
    <ns0:row r="325" ht="22" customHeight="1">
      <ns0:c r="A325" s="73" t="inlineStr">
        <ns0:is>
          <ns0:t>2629</ns0:t>
        </ns0:is>
      </ns0:c>
      <ns0:c r="B325" s="74" t="inlineStr">
        <ns0:is>
          <ns0:t>MIRXES-B</ns0:t>
        </ns0:is>
      </ns0:c>
      <ns0:c r="C325" s="74" t="inlineStr">
        <ns0:is>
          <ns0:t>MIRXES-B</ns0:t>
        </ns0:is>
      </ns0:c>
      <ns0:c r="D325" s="74" t="inlineStr">
        <ns0:is>
          <ns0:t>Healthcare</ns0:t>
        </ns0:is>
      </ns0:c>
      <ns0:c r="E325" s="74" t="inlineStr">
        <ns0:is>
          <ns0:t>Biotech pre-revenue (18A)</ns0:t>
        </ns0:is>
      </ns0:c>
      <ns0:c r="F325" s="74" t="inlineStr">
        <ns0:is>
          <ns0:t>Biotechnology - Pharmaceuticals</ns0:t>
        </ns0:is>
      </ns0:c>
      <ns0:c r="G325" s="74" t="inlineStr">
        <ns0:is>
          <ns0:t>18A</ns0:t>
        </ns0:is>
      </ns0:c>
      <ns0:c r="H325" s="75" t="n">
        <ns0:v>45800</ns0:v>
      </ns0:c>
      <ns0:c r="I325" s="76" t="n">
        <ns0:v>1086.2</ns0:v>
      </ns0:c>
      <ns0:c r="J325" s="74" t="inlineStr">
        <ns0:is>
          <ns0:t>gross (stated)</ns0:t>
        </ns0:is>
      </ns0:c>
      <ns0:c r="K325" s="95" t="n"/>
      <ns0:c r="L325" s="77" t="n">
        <ns0:v>23.3</ns0:v>
      </ns0:c>
      <ns0:c r="M325" s="77" t="n">
        <ns0:v>23.3</ns0:v>
      </ns0:c>
      <ns0:c r="N325" s="74" t="inlineStr">
        <ns0:is>
          <ns0:t>Y</ns0:t>
        </ns0:is>
      </ns0:c>
      <ns0:c r="O325" s="78" t="n">
        <ns0:v>100</ns0:v>
      </ns0:c>
      <ns0:c r="P325" s="84" t="n"/>
      <ns0:c r="Q325" s="79" t="n">
        <ns0:v>6438.8</ns0:v>
      </ns0:c>
      <ns0:c r="R325" s="74" t="inlineStr">
        <ns0:is>
          <ns0:t>derived:price x shares upon listing</ns0:t>
        </ns0:is>
      </ns0:c>
      <ns0:c r="S325" s="80" t="n">
        <ns0:v>25.51</ns0:v>
      </ns0:c>
      <ns0:c r="T325" s="99">
        <ns0:f>IFERROR(IF('BBG Verify'!E325="","Awaiting Bloomberg",'BBG Verify'!E325),"Awaiting Bloomberg")</ns0:f>
        <ns0:v/>
      </ns0:c>
      <ns0:c r="U325" s="82" t="n">
        <ns0:v>41.37</ns0:v>
      </ns0:c>
      <ns0:c r="V325" s="83" t="n">
        <ns0:v>116</ns0:v>
      </ns0:c>
      <ns0:c r="W325" s="78" t="n">
        <ns0:v>12.6</ns0:v>
      </ns0:c>
      <ns0:c r="X325" s="74" t="inlineStr">
        <ns0:is>
          <ns0:t>NO</ns0:t>
        </ns0:is>
      </ns0:c>
      <ns0:c r="Y325" s="79" t="n">
        <ns0:v>636.84</ns0:v>
      </ns0:c>
      <ns0:c r="Z325" s="79" t="n">
        <ns0:v>27333306</ns0:v>
      </ns0:c>
      <ns0:c r="AA325" s="78" t="n">
        <ns0:v>9.890000000000001</ns0:v>
      </ns0:c>
      <ns0:c r="AB325" s="74" t="inlineStr">
        <ns0:is>
          <ns0:t>Beijing Xunrui Enterprise Management Partnership (Limited Partnership); Evergreen Gate Limited</ns0:t>
        </ns0:is>
      </ns0:c>
      <ns0:c r="AC325" s="74" t="inlineStr">
        <ns0:is>
          <ns0:t>beijing-xunrui;evergreen</ns0:t>
        </ns0:is>
      </ns0:c>
      <ns0:c r="AD325" s="84" t="n"/>
      <ns0:c r="AE325" s="85" t="n"/>
      <ns0:c r="AF325" s="85" t="n"/>
      <ns0:c r="AG325" s="85" t="n"/>
      <ns0:c r="AH325" s="85" t="n"/>
      <ns0:c r="AI325" s="86" t="n">
        <ns0:v>33.91</ns0:v>
      </ns0:c>
      <ns0:c r="AJ325" s="87" t="n">
        <ns0:v>28.76</ns0:v>
      </ns0:c>
      <ns0:c r="AK325" s="87" t="n">
        <ns0:v>-0.14</ns0:v>
      </ns0:c>
      <ns0:c r="AL325" s="87" t="n">
        <ns0:v>28.33</ns0:v>
      </ns0:c>
      <ns0:c r="AM325" s="87" t="n">
        <ns0:v>0.34</ns0:v>
      </ns0:c>
      <ns0:c r="AN325" s="89" t="n">
        <ns0:v>1.56</ns0:v>
      </ns0:c>
      <ns0:c r="AO325" s="78" t="n">
        <ns0:v>10.17</ns0:v>
      </ns0:c>
      <ns0:c r="AP325" s="87" t="n">
        <ns0:v>25.32</ns0:v>
      </ns0:c>
      <ns0:c r="AQ325" s="87" t="n">
        <ns0:v>44.42</ns0:v>
      </ns0:c>
      <ns0:c r="AR325" s="87" t="n">
        <ns0:v>87.55</ns0:v>
      </ns0:c>
      <ns0:c r="AS325" s="87" t="n">
        <ns0:v>-2.67</ns0:v>
      </ns0:c>
      <ns0:c r="AT325" s="87" t="n">
        <ns0:v>12.16</ns0:v>
      </ns0:c>
      <ns0:c r="AU325" s="87" t="n">
        <ns0:v>45.66</ns0:v>
      </ns0:c>
      <ns0:c r="AV325" s="87" t="n">
        <ns0:v>22.29</ns0:v>
      </ns0:c>
      <ns0:c r="AW325" s="87" t="n">
        <ns0:v>35.69</ns0:v>
      </ns0:c>
      <ns0:c r="AX325" s="87" t="n">
        <ns0:v>50.43</ns0:v>
      </ns0:c>
      <ns0:c r="AY325" s="87" t="n">
        <ns0:v>3.28</ns0:v>
      </ns0:c>
      <ns0:c r="AZ325" s="87" t="n">
        <ns0:v>8.73</ns0:v>
      </ns0:c>
      <ns0:c r="BA325" s="87" t="n">
        <ns0:v>8.880000000000001</ns0:v>
      </ns0:c>
      <ns0:c r="BB325" s="74" t="inlineStr">
        <ns0:is>
          <ns0:t>China Biotech ETF (HS biotech proxy)</ns0:t>
        </ns0:is>
      </ns0:c>
      <ns0:c r="BC325" s="87" t="n">
        <ns0:v>-46.74</ns0:v>
      </ns0:c>
      <ns0:c r="BD325" s="75" t="n">
        <ns0:v>46112</ns0:v>
      </ns0:c>
      <ns0:c r="BE325" s="76" t="n">
        <ns0:v>158.2</ns0:v>
      </ns0:c>
      <ns0:c r="BF325" s="79" t="n">
        <ns0:v>-720.2</ns0:v>
      </ns0:c>
      <ns0:c r="BG325" s="74" t="inlineStr">
        <ns0:is>
          <ns0:t>N</ns0:t>
        </ns0:is>
      </ns0:c>
      <ns0:c r="BH325" s="74" t="inlineStr">
        <ns0:is>
          <ns0:t>n/m</ns0:t>
        </ns0:is>
      </ns0:c>
      <ns0:c r="BI325" s="88" t="n"/>
      <ns0:c r="BJ325" s="88" t="n"/>
      <ns0:c r="BK325" s="89" t="n">
        <ns0:v>40.7</ns0:v>
      </ns0:c>
      <ns0:c r="BL325" s="90">
        <ns0:f>IFERROR(IF('BBG Verify'!S325="","Awaiting Bloomberg",'BBG Verify'!S325),"Awaiting Bloomberg")</ns0:f>
        <ns0:v/>
      </ns0:c>
      <ns0:c r="BM325" s="91" t="inlineStr">
        <ns0:is>
          <ns0:t>N</ns0:t>
        </ns0:is>
      </ns0:c>
      <ns0:c r="BN325" s="92">
        <ns0:f>IFERROR(IF('BBG Verify'!K325="","Awaiting Bloomberg",'BBG Verify'!K325),"Awaiting Bloomberg")</ns0:f>
        <ns0:v/>
      </ns0:c>
      <ns0:c r="BO325" s="74" t="inlineStr">
        <ns0:is>
          <ns0:t>N/A</ns0:t>
        </ns0:is>
      </ns0:c>
      <ns0:c r="BP325" s="74" t="inlineStr">
        <ns0:is>
          <ns0:t>N/A</ns0:t>
        </ns0:is>
      </ns0:c>
      <ns0:c r="BQ325" s="74" t="inlineStr">
        <ns0:is>
          <ns0:t>N/A</ns0:t>
        </ns0:is>
      </ns0:c>
      <ns0:c r="BR325" s="74" t="inlineStr">
        <ns0:is>
          <ns0:t>N/A</ns0:t>
        </ns0:is>
      </ns0:c>
      <ns0:c r="BS325" s="74" t="inlineStr">
        <ns0:is>
          <ns0:t>N/A</ns0:t>
        </ns0:is>
      </ns0:c>
      <ns0:c r="BT325" s="74" t="inlineStr">
        <ns0:is>
          <ns0:t>N/A</ns0:t>
        </ns0:is>
      </ns0:c>
      <ns0:c r="BU325" s="91" t="inlineStr">
        <ns0:is>
          <ns0:t>China International Capital Corporation Hong Kong Securities Limited; CCB International Capital Limited</ns0:t>
        </ns0:is>
      </ns0:c>
      <ns0:c r="BV325" s="74" t="inlineStr">
        <ns0:is>
          <ns0:t>China International Capital Corporation Hong Kong Securities Limited; CCB International Capital Limited</ns0:t>
        </ns0:is>
      </ns0:c>
      <ns0:c r="BW325" s="74" t="inlineStr">
        <ns0:is>
          <ns0:t>CMB International Capital Limited; Livermore Holdings Limited; BOCOM International Securities Limited; Platinum Broking Company Limited</ns0:t>
        </ns0:is>
      </ns0:c>
      <ns0:c r="BX325" s="74" t="inlineStr">
        <ns0:is>
          <ns0: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ns0:t>
        </ns0:is>
      </ns0:c>
      <ns0:c r="BY325" s="93">
        <ns0:f>HYPERLINK("https://www1.hkexnews.hk/listedco/listconews/sehk/2025/0515/2025051500021.pdf","prospectus")</ns0:f>
        <ns0:v/>
      </ns0:c>
      <ns0:c r="BZ325" s="93">
        <ns0:f>HYPERLINK("https://www1.hkexnews.hk/listedco/listconews/sehk/2025/0522/2025052201535.pdf","allotment")</ns0:f>
        <ns0:v/>
      </ns0:c>
      <ns0:c r="CA325" s="85" t="n"/>
      <ns0:c r="CB325" s="94" t="n"/>
      <ns0:c r="CC325" s="74" t="inlineStr">
        <ns0:is>
          <ns0:t>intl sub: parsed 0.98x rejected (implausible against a 26x public book); BBG Verify CP037 fills it; P/E: loss-making at IPO, use P/S; greenshoe: no over-allotment option; range low: maximum offer price only, no floor published; greenshoe size: no over-allotment option; stabilising manager: no over-allotment option, so none appointed; day-1 open: sources disagree on the day-1 open by &gt;2% (auction vs first trade); closes agree; price series: Confirmed suspension; last traded close 2026-03-31; price and benchmark returns both end on that date.; Day-1 open source variance: retained previously validated open HK$29.9; fresh Tencent raw history reports HK$29. Closing-price horizon returns agree; open-based metrics require separate adjudication.</ns0:t>
        </ns0:is>
      </ns0:c>
    </ns0:row>
    <ns0:row r="326" ht="22" customHeight="1">
      <ns0:c r="A326" s="73" t="inlineStr">
        <ns0:is>
          <ns0:t>1276</ns0:t>
        </ns0:is>
      </ns0:c>
      <ns0:c r="B326" s="74" t="inlineStr">
        <ns0:is>
          <ns0:t>HENGRUI PHARMA</ns0:t>
        </ns0:is>
      </ns0:c>
      <ns0:c r="C326" s="74" t="inlineStr">
        <ns0:is>
          <ns0:t>恒瑞醫藥</ns0:t>
        </ns0:is>
      </ns0:c>
      <ns0:c r="D326" s="74" t="inlineStr">
        <ns0:is>
          <ns0:t>Healthcare</ns0:t>
        </ns0:is>
      </ns0:c>
      <ns0:c r="E326" s="74" t="inlineStr">
        <ns0:is>
          <ns0:t>Biopharma commercial</ns0:t>
        </ns0:is>
      </ns0:c>
      <ns0:c r="F326" s="74" t="inlineStr">
        <ns0:is>
          <ns0:t>Pharmaceuticals</ns0:t>
        </ns0:is>
      </ns0:c>
      <ns0:c r="G326" s="74" t="inlineStr">
        <ns0:is>
          <ns0:t>Standard</ns0:t>
        </ns0:is>
      </ns0:c>
      <ns0:c r="H326" s="75" t="n">
        <ns0:v>45800</ns0:v>
      </ns0:c>
      <ns0:c r="I326" s="76" t="n">
        <ns0:v>9890.1</ns0:v>
      </ns0:c>
      <ns0:c r="J326" s="74" t="inlineStr">
        <ns0:is>
          <ns0:t>gross (stated)</ns0:t>
        </ns0:is>
      </ns0:c>
      <ns0:c r="K326" s="77" t="n">
        <ns0:v>41.45</ns0:v>
      </ns0:c>
      <ns0:c r="L326" s="77" t="n">
        <ns0:v>44.05</ns0:v>
      </ns0:c>
      <ns0:c r="M326" s="77" t="n">
        <ns0:v>44.05</ns0:v>
      </ns0:c>
      <ns0:c r="N326" s="74" t="inlineStr">
        <ns0:is>
          <ns0:t>Y</ns0:t>
        </ns0:is>
      </ns0:c>
      <ns0:c r="O326" s="78" t="n">
        <ns0:v>100</ns0:v>
      </ns0:c>
      <ns0:c r="P326" s="78" t="n">
        <ns0:v>100</ns0:v>
      </ns0:c>
      <ns0:c r="Q326" s="79" t="n">
        <ns0:v>351900</ns0:v>
      </ns0:c>
      <ns0:c r="R326" s="74" t="inlineStr">
        <ns0:is>
          <ns0:t>prospectus:stated market capitalisation</ns0:t>
        </ns0:is>
      </ns0:c>
      <ns0:c r="S326" s="80" t="n">
        <ns0:v>454.85</ns0:v>
      </ns0:c>
      <ns0:c r="T326" s="81" t="n">
        <ns0:v>17.09</ns0:v>
      </ns0:c>
      <ns0:c r="U326" s="82" t="n">
        <ns0:v>41.77</ns0:v>
      </ns0:c>
      <ns0:c r="V326" s="83" t="n">
        <ns0:v>204</ns0:v>
      </ns0:c>
      <ns0:c r="W326" s="78" t="n">
        <ns0:v>21.5</ns0:v>
      </ns0:c>
      <ns0:c r="X326" s="74" t="inlineStr">
        <ns0:is>
          <ns0:t>YES</ns0:t>
        </ns0:is>
      </ns0:c>
      <ns0:c r="Y326" s="79" t="n">
        <ns0:v>5759.01</ns0:v>
      </ns0:c>
      <ns0:c r="Z326" s="79" t="n">
        <ns0:v>130737880</ns0:v>
      </ns0:c>
      <ns0:c r="AA326" s="78" t="n">
        <ns0:v>1.64</ns0:v>
      </ns0:c>
      <ns0:c r="AB326" s="74" t="inlineStr">
        <ns0:is>
          <ns0:t>GIC Private Limited; Invesco Advisers, Inc; UBS Asset Management (Singapore) Ltd; Cordial Solar Limited; HHLR CF, L.P; Integrated Core Strategies (Asia) Pte. Ltd; Oaktree Capital Management, L.P</ns0:t>
        </ns0:is>
      </ns0:c>
      <ns0:c r="AC326" s="74" t="inlineStr">
        <ns0:is>
          <ns0:t>gic;invesco;ubs;cordial;hhlr;integrated;oaktree</ns0:t>
        </ns0:is>
      </ns0:c>
      <ns0:c r="AD326" s="78" t="n">
        <ns0:v>15</ns0:v>
      </ns0:c>
      <ns0:c r="AE326" s="74" t="inlineStr">
        <ns0:is>
          <ns0:t>full</ns0:t>
        </ns0:is>
      </ns0:c>
      <ns0:c r="AF326" s="74" t="inlineStr">
        <ns0:is>
          <ns0:t>2025-06-19</ns0:t>
        </ns0:is>
      </ns0:c>
      <ns0:c r="AG326" s="74" t="inlineStr">
        <ns0:is>
          <ns0:t>Morgan Stanley Asia Limited</ns0:t>
        </ns0:is>
      </ns0:c>
      <ns0:c r="AH326" s="74" t="inlineStr">
        <ns0:is>
          <ns0:t>Morgan Stanley</ns0:t>
        </ns0:is>
      </ns0:c>
      <ns0:c r="AI326" s="86" t="n">
        <ns0:v>32.24</ns0:v>
      </ns0:c>
      <ns0:c r="AJ326" s="87" t="n">
        <ns0:v>25.2</ns0:v>
      </ns0:c>
      <ns0:c r="AK326" s="87" t="n">
        <ns0:v>-0.14</ns0:v>
      </ns0:c>
      <ns0:c r="AL326" s="87" t="n">
        <ns0:v>30.76</ns0:v>
      </ns0:c>
      <ns0:c r="AM326" s="87" t="n">
        <ns0:v>-4.25</ns0:v>
      </ns0:c>
      <ns0:c r="AN326" s="89" t="n">
        <ns0:v>1.71</ns0:v>
      </ns0:c>
      <ns0:c r="AO326" s="78" t="n">
        <ns0:v>9.390000000000001</ns0:v>
      </ns0:c>
      <ns0:c r="AP326" s="87" t="n">
        <ns0:v>31.67</ns0:v>
      </ns0:c>
      <ns0:c r="AQ326" s="87" t="n">
        <ns0:v>26.79</ns0:v>
      </ns0:c>
      <ns0:c r="AR326" s="87" t="n">
        <ns0:v>76.5</ns0:v>
      </ns0:c>
      <ns0:c r="AS326" s="87" t="n">
        <ns0:v>5.17</ns0:v>
      </ns0:c>
      <ns0:c r="AT326" s="87" t="n">
        <ns0:v>1.27</ns0:v>
      </ns0:c>
      <ns0:c r="AU326" s="87" t="n">
        <ns0:v>40.97</ns0:v>
      </ns0:c>
      <ns0:c r="AV326" s="87" t="n">
        <ns0:v>28.64</ns0:v>
      </ns0:c>
      <ns0:c r="AW326" s="87" t="n">
        <ns0:v>18.06</ns0:v>
      </ns0:c>
      <ns0:c r="AX326" s="87" t="n">
        <ns0:v>39.38</ns0:v>
      </ns0:c>
      <ns0:c r="AY326" s="87" t="n">
        <ns0:v>-7.61</ns0:v>
      </ns0:c>
      <ns0:c r="AZ326" s="87" t="n">
        <ns0:v>8.73</ns0:v>
      </ns0:c>
      <ns0:c r="BA326" s="87" t="n">
        <ns0:v>8.880000000000001</ns0:v>
      </ns0:c>
      <ns0:c r="BB326" s="74" t="inlineStr">
        <ns0:is>
          <ns0:t>China Biotech ETF (HS biotech proxy)</ns0:t>
        </ns0:is>
      </ns0:c>
      <ns0:c r="BC326" s="87" t="n">
        <ns0:v>12.74</ns0:v>
      </ns0:c>
      <ns0:c r="BD326" s="75" t="n">
        <ns0:v>46297</ns0:v>
      </ns0:c>
      <ns0:c r="BE326" s="76" t="n">
        <ns0:v>30783.1</ns0:v>
      </ns0:c>
      <ns0:c r="BF326" s="79" t="n">
        <ns0:v>6970.7</ns0:v>
      </ns0:c>
      <ns0:c r="BG326" s="74" t="inlineStr">
        <ns0:is>
          <ns0:t>Y</ns0:t>
        </ns0:is>
      </ns0:c>
      <ns0:c r="BH326" s="89" t="n">
        <ns0:v>50.5</ns0:v>
      </ns0:c>
      <ns0:c r="BI326" s="89" t="n">
        <ns0:v>46.8</ns0:v>
      </ns0:c>
      <ns0:c r="BJ326" s="89" t="n">
        <ns0:v>37.5</ns0:v>
      </ns0:c>
      <ns0:c r="BK326" s="89" t="n">
        <ns0:v>11.4</ns0:v>
      </ns0:c>
      <ns0:c r="BL326" s="90">
        <ns0:f>IFERROR(IF('BBG Verify'!S326="","Awaiting Bloomberg",'BBG Verify'!S326),"Awaiting Bloomberg")</ns0:f>
        <ns0:v/>
      </ns0:c>
      <ns0:c r="BM326" s="91" t="inlineStr">
        <ns0:is>
          <ns0:t>Y</ns0:t>
        </ns0:is>
      </ns0:c>
      <ns0:c r="BN326" s="74" t="inlineStr">
        <ns0:is>
          <ns0:t>600276.SS</ns0:t>
        </ns0:is>
      </ns0:c>
      <ns0:c r="BO326" s="87" t="n">
        <ns0:v>37.18</ns0:v>
      </ns0:c>
      <ns0:c r="BP326" s="77" t="n">
        <ns0:v>60.4275</ns0:v>
      </ns0:c>
      <ns0:c r="BQ326" s="101" t="n">
        <ns0:v>0.1122</ns0:v>
      </ns0:c>
      <ns0:c r="BR326" s="79" t="n">
        <ns0:v>366756.9</ns0:v>
      </ns0:c>
      <ns0:c r="BS326" s="90">
        <ns0:f>IFERROR(IF('BBG Verify'!Q326="","Awaiting Bloomberg",'BBG Verify'!Q326),"Awaiting Bloomberg")</ns0:f>
        <ns0:v/>
      </ns0:c>
      <ns0:c r="BT326" s="90">
        <ns0:f>IFERROR(IF('BBG Verify'!R326="","Awaiting Bloomberg",'BBG Verify'!R326),"Awaiting Bloomberg")</ns0:f>
        <ns0:v/>
      </ns0:c>
      <ns0:c r="BU326" s="91" t="inlineStr">
        <ns0:is>
          <ns0:t>Morgan Stanley Asia Limited; Citigroup Global Markets Asia Limited; Huatai Financial Holdings (Hong Kong) Limited</ns0:t>
        </ns0:is>
      </ns0:c>
      <ns0:c r="BV326" s="74" t="inlineStr">
        <ns0:is>
          <ns0:t>Morgan Stanley Asia Limited; Huatai Financial Holdings (Hong Kong) Limited; Citigroup Global Markets Asia Limited</ns0:t>
        </ns0:is>
      </ns0:c>
      <ns0:c r="BW326" s="74" t="inlineStr">
        <ns0:is>
          <ns0: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ns0:t>
        </ns0:is>
      </ns0:c>
      <ns0:c r="BX326" s="74" t="inlineStr">
        <ns0:is>
          <ns0:t>BOCI Asia Limited; Citigroup Global Markets Asia Limited; CLSA Limited; GF Securities (Hong Kong) Brokerage Limited; Huatai Financial Holdings (Hong Kong) Limited; Morgan Stanley Asia Limited; UBS AG Hong Kong Branch</ns0:t>
        </ns0:is>
      </ns0:c>
      <ns0:c r="BY326" s="93">
        <ns0:f>HYPERLINK("https://www1.hkexnews.hk/listedco/listconews/sehk/2025/0515/2025051500019.pdf","prospectus")</ns0:f>
        <ns0:v/>
      </ns0:c>
      <ns0:c r="BZ326" s="93">
        <ns0:f>HYPERLINK("https://www1.hkexnews.hk/listedco/listconews/sehk/2025/0522/2025052201651.pdf","allotment")</ns0:f>
        <ns0:v/>
      </ns0:c>
      <ns0:c r="CA326" s="93">
        <ns0:f>HYPERLINK("https://www1.hkexnews.hk/listedco/listconews/sehk/2025/0619/2025061900409.pdf","stabilisation")</ns0:f>
        <ns0:v/>
      </ns0:c>
      <ns0:c r="CB326" s="94" t="n"/>
      <ns0:c r="CC326" s="74" t="inlineStr">
        <ns0:is>
          <ns0:t>A/H: May 2025, raised ~HK$9.9bn (~US$1.3bn)</ns0:t>
        </ns0:is>
      </ns0:c>
    </ns0:row>
    <ns0:row r="327" ht="22" customHeight="1">
      <ns0:c r="A327" s="73" t="inlineStr">
        <ns0:is>
          <ns0:t>2565</ns0:t>
        </ns0:is>
      </ns0:c>
      <ns0:c r="B327" s="74" t="inlineStr">
        <ns0:is>
          <ns0:t>PEGBIO CO-B</ns0:t>
        </ns0:is>
      </ns0:c>
      <ns0:c r="C327" s="74" t="inlineStr">
        <ns0:is>
          <ns0:t>派格生物醫藥－Ｂ</ns0:t>
        </ns0:is>
      </ns0:c>
      <ns0:c r="D327" s="74" t="inlineStr">
        <ns0:is>
          <ns0:t>Healthcare</ns0:t>
        </ns0:is>
      </ns0:c>
      <ns0:c r="E327" s="74" t="inlineStr">
        <ns0:is>
          <ns0:t>Biotech pre-revenue (18A)</ns0:t>
        </ns0:is>
      </ns0:c>
      <ns0:c r="F327" s="74" t="inlineStr">
        <ns0:is>
          <ns0:t>Biotechnology - Pharmaceuticals</ns0:t>
        </ns0:is>
      </ns0:c>
      <ns0:c r="G327" s="74" t="inlineStr">
        <ns0:is>
          <ns0:t>18A</ns0:t>
        </ns0:is>
      </ns0:c>
      <ns0:c r="H327" s="75" t="n">
        <ns0:v>45804</ns0:v>
      </ns0:c>
      <ns0:c r="I327" s="76" t="n">
        <ns0:v>300.8</ns0:v>
      </ns0:c>
      <ns0:c r="J327" s="74" t="inlineStr">
        <ns0:is>
          <ns0:t>gross (stated)</ns0:t>
        </ns0:is>
      </ns0:c>
      <ns0:c r="K327" s="95" t="n"/>
      <ns0:c r="L327" s="77" t="n">
        <ns0:v>15.6</ns0:v>
      </ns0:c>
      <ns0:c r="M327" s="77" t="n">
        <ns0:v>15.6</ns0:v>
      </ns0:c>
      <ns0:c r="N327" s="74" t="inlineStr">
        <ns0:is>
          <ns0:t>Y</ns0:t>
        </ns0:is>
      </ns0:c>
      <ns0:c r="O327" s="78" t="n">
        <ns0:v>100</ns0:v>
      </ns0:c>
      <ns0:c r="P327" s="84" t="n"/>
      <ns0:c r="Q327" s="79" t="n">
        <ns0:v>6020.9</ns0:v>
      </ns0:c>
      <ns0:c r="R327" s="74" t="inlineStr">
        <ns0:is>
          <ns0:t>derived:price x shares upon listing</ns0:t>
        </ns0:is>
      </ns0:c>
      <ns0:c r="S327" s="80" t="n">
        <ns0:v>743.78</ns0:v>
      </ns0:c>
      <ns0:c r="T327" s="81" t="n">
        <ns0:v>1.13</ns0:v>
      </ns0:c>
      <ns0:c r="U327" s="82" t="n">
        <ns0:v>49.7</ns0:v>
      </ns0:c>
      <ns0:c r="V327" s="83" t="n">
        <ns0:v>115</ns0:v>
      </ns0:c>
      <ns0:c r="W327" s="78" t="n">
        <ns0:v>50</ns0:v>
      </ns0:c>
      <ns0:c r="X327" s="74" t="inlineStr">
        <ns0:is>
          <ns0:t>YES</ns0:t>
        </ns0:is>
      </ns0:c>
      <ns0:c r="Y327" s="79" t="n">
        <ns0:v>151.3</ns0:v>
      </ns0:c>
      <ns0:c r="Z327" s="79" t="n">
        <ns0:v>9699600</ns0:v>
      </ns0:c>
      <ns0:c r="AA327" s="78" t="n">
        <ns0:v>2.51</ns0:v>
      </ns0:c>
      <ns0:c r="AB327" s="74" t="inlineStr">
        <ns0:is>
          <ns0:t>Yizekangrui Medical (HK) Limited ʮ̡</ns0:t>
        </ns0:is>
      </ns0:c>
      <ns0:c r="AC327" s="74" t="inlineStr">
        <ns0:is>
          <ns0:t>yizekangrui</ns0:t>
        </ns0:is>
      </ns0:c>
      <ns0:c r="AD327" s="84" t="n"/>
      <ns0:c r="AE327" s="85" t="n"/>
      <ns0:c r="AF327" s="85" t="n"/>
      <ns0:c r="AG327" s="85" t="n"/>
      <ns0:c r="AH327" s="85" t="n"/>
      <ns0:c r="AI327" s="86" t="n">
        <ns0:v>-4.87</ns0:v>
      </ns0:c>
      <ns0:c r="AJ327" s="87" t="n">
        <ns0:v>-25.9</ns0:v>
      </ns0:c>
      <ns0:c r="AK327" s="87" t="n">
        <ns0:v>2.26</ns0:v>
      </ns0:c>
      <ns0:c r="AL327" s="87" t="n">
        <ns0:v>-16.67</ns0:v>
      </ns0:c>
      <ns0:c r="AM327" s="87" t="n">
        <ns0:v>-11.08</ns0:v>
      </ns0:c>
      <ns0:c r="AN327" s="89" t="n">
        <ns0:v>1.17</ns0:v>
      </ns0:c>
      <ns0:c r="AO327" s="78" t="n">
        <ns0:v>17.54</ns0:v>
      </ns0:c>
      <ns0:c r="AP327" s="87" t="n">
        <ns0:v>-37.82</ns0:v>
      </ns0:c>
      <ns0:c r="AQ327" s="87" t="n">
        <ns0:v>-42.31</ns0:v>
      </ns0:c>
      <ns0:c r="AR327" s="87" t="n">
        <ns0:v>117.95</ns0:v>
      </ns0:c>
      <ns0:c r="AS327" s="87" t="n">
        <ns0:v>-16.09</ns0:v>
      </ns0:c>
      <ns0:c r="AT327" s="87" t="n">
        <ns0:v>-22.15</ns0:v>
      </ns0:c>
      <ns0:c r="AU327" s="87" t="n">
        <ns0:v>194.13</ns0:v>
      </ns0:c>
      <ns0:c r="AV327" s="87" t="n">
        <ns0:v>-43.89</ns0:v>
      </ns0:c>
      <ns0:c r="AW327" s="87" t="n">
        <ns0:v>-55.86</ns0:v>
      </ns0:c>
      <ns0:c r="AX327" s="87" t="n">
        <ns0:v>74.34</ns0:v>
      </ns0:c>
      <ns0:c r="AY327" s="87" t="n">
        <ns0:v>-33.2</ns0:v>
      </ns0:c>
      <ns0:c r="AZ327" s="87" t="n">
        <ns0:v>13.55</ns0:v>
      </ns0:c>
      <ns0:c r="BA327" s="87" t="n">
        <ns0:v>11.05</ns0:v>
      </ns0:c>
      <ns0:c r="BB327" s="74" t="inlineStr">
        <ns0:is>
          <ns0:t>China Biotech ETF (HS biotech proxy)</ns0:t>
        </ns0:is>
      </ns0:c>
      <ns0:c r="BC327" s="87" t="n">
        <ns0:v>-68.97</ns0:v>
      </ns0:c>
      <ns0:c r="BD327" s="75" t="n">
        <ns0:v>46297</ns0:v>
      </ns0:c>
      <ns0:c r="BE327" s="76" t="n">
        <ns0:v>0</ns0:v>
      </ns0:c>
      <ns0:c r="BF327" s="79" t="n">
        <ns0:v>-311.7</ns0:v>
      </ns0:c>
      <ns0:c r="BG327" s="74" t="inlineStr">
        <ns0:is>
          <ns0:t>N</ns0:t>
        </ns0:is>
      </ns0:c>
      <ns0:c r="BH327" s="74" t="inlineStr">
        <ns0:is>
          <ns0:t>n/m</ns0:t>
        </ns0:is>
      </ns0:c>
      <ns0:c r="BI327" s="88" t="n"/>
      <ns0:c r="BJ327" s="88" t="n"/>
      <ns0:c r="BK327" s="74" t="inlineStr">
        <ns0:is>
          <ns0:t>pre-rev</ns0:t>
        </ns0:is>
      </ns0:c>
      <ns0:c r="BL327" s="90">
        <ns0:f>IFERROR(IF('BBG Verify'!S327="","Awaiting Bloomberg",'BBG Verify'!S327),"Awaiting Bloomberg")</ns0:f>
        <ns0:v/>
      </ns0:c>
      <ns0:c r="BM327" s="91" t="inlineStr">
        <ns0:is>
          <ns0:t>N</ns0:t>
        </ns0:is>
      </ns0:c>
      <ns0:c r="BN327" s="92">
        <ns0:f>IFERROR(IF('BBG Verify'!K327="","Awaiting Bloomberg",'BBG Verify'!K327),"Awaiting Bloomberg")</ns0:f>
        <ns0:v/>
      </ns0:c>
      <ns0:c r="BO327" s="74" t="inlineStr">
        <ns0:is>
          <ns0:t>N/A</ns0:t>
        </ns0:is>
      </ns0:c>
      <ns0:c r="BP327" s="74" t="inlineStr">
        <ns0:is>
          <ns0:t>N/A</ns0:t>
        </ns0:is>
      </ns0:c>
      <ns0:c r="BQ327" s="74" t="inlineStr">
        <ns0:is>
          <ns0:t>N/A</ns0:t>
        </ns0:is>
      </ns0:c>
      <ns0:c r="BR327" s="74" t="inlineStr">
        <ns0:is>
          <ns0:t>N/A</ns0:t>
        </ns0:is>
      </ns0:c>
      <ns0:c r="BS327" s="74" t="inlineStr">
        <ns0:is>
          <ns0:t>N/A</ns0:t>
        </ns0:is>
      </ns0:c>
      <ns0:c r="BT327" s="74" t="inlineStr">
        <ns0:is>
          <ns0:t>N/A</ns0:t>
        </ns0:is>
      </ns0:c>
      <ns0:c r="BU327" s="91" t="inlineStr">
        <ns0:is>
          <ns0:t>China International Capital Corporation Hong Kong Securities Limited</ns0:t>
        </ns0:is>
      </ns0:c>
      <ns0:c r="BV327" s="74" t="inlineStr">
        <ns0:is>
          <ns0:t>China International Capital Corporation Hong Kong Securities Limited</ns0:t>
        </ns0:is>
      </ns0:c>
      <ns0:c r="BW327" s="74" t="inlineStr">
        <ns0:is>
          <ns0: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ns0:t>
        </ns0:is>
      </ns0:c>
      <ns0:c r="BX327" s="74" t="inlineStr">
        <ns0:is>
          <ns0: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ns0:t>
        </ns0:is>
      </ns0:c>
      <ns0:c r="BY327" s="93">
        <ns0:f>HYPERLINK("https://www1.hkexnews.hk/listedco/listconews/sehk/2025/0519/2025051900013.pdf","prospectus")</ns0:f>
        <ns0:v/>
      </ns0:c>
      <ns0:c r="BZ327" s="93">
        <ns0:f>HYPERLINK("https://www1.hkexnews.hk/listedco/listconews/sehk/2025/0526/2025052601319.pdf","allotment")</ns0:f>
        <ns0:v/>
      </ns0:c>
      <ns0:c r="CA327" s="85" t="n"/>
      <ns0:c r="CB327" s="94" t="n"/>
      <ns0:c r="CC327" s="74" t="inlineStr">
        <ns0:is>
          <ns0:t>P/E: loss-making at IPO, use P/S; greenshoe: no over-allotment option; range low: maximum offer price only, no floor published; greenshoe size: no over-allotment option; P/S: pre-revenue issuer, no sales multiple; stabilising manager: no over-allotment option, so none appointed</ns0:t>
        </ns0:is>
      </ns0:c>
    </ns0:row>
    <ns0:row r="328" ht="22" customHeight="1">
      <ns0:c r="A328" s="73" t="inlineStr">
        <ns0:is>
          <ns0:t>2603</ns0:t>
        </ns0:is>
      </ns0:c>
      <ns0:c r="B328" s="74" t="inlineStr">
        <ns0:is>
          <ns0:t>JIHONG CO</ns0:t>
        </ns0:is>
      </ns0:c>
      <ns0:c r="C328" s="74" t="inlineStr">
        <ns0:is>
          <ns0:t>吉宏股份</ns0:t>
        </ns0:is>
      </ns0:c>
      <ns0:c r="D328" s="74" t="inlineStr">
        <ns0:is>
          <ns0:t>Technology</ns0:t>
        </ns0:is>
      </ns0:c>
      <ns0:c r="E328" s="74" t="inlineStr">
        <ns0:is>
          <ns0:t>Internet &amp; fintech</ns0:t>
        </ns0:is>
      </ns0:c>
      <ns0:c r="F328" s="74" t="inlineStr">
        <ns0:is>
          <ns0:t>Paper Packaging</ns0:t>
        </ns0:is>
      </ns0:c>
      <ns0:c r="G328" s="74" t="inlineStr">
        <ns0:is>
          <ns0:t>Standard</ns0:t>
        </ns0:is>
      </ns0:c>
      <ns0:c r="H328" s="75" t="n">
        <ns0:v>45804</ns0:v>
      </ns0:c>
      <ns0:c r="I328" s="76" t="n">
        <ns0:v>521.5</ns0:v>
      </ns0:c>
      <ns0:c r="J328" s="74" t="inlineStr">
        <ns0:is>
          <ns0:t>gross (stated)</ns0:t>
        </ns0:is>
      </ns0:c>
      <ns0:c r="K328" s="77" t="n">
        <ns0:v>7.48</ns0:v>
      </ns0:c>
      <ns0:c r="L328" s="77" t="n">
        <ns0:v>10.68</ns0:v>
      </ns0:c>
      <ns0:c r="M328" s="77" t="n">
        <ns0:v>7.68</ns0:v>
      </ns0:c>
      <ns0:c r="N328" s="74" t="inlineStr">
        <ns0:is>
          <ns0:t>N</ns0:t>
        </ns0:is>
      </ns0:c>
      <ns0:c r="O328" s="78" t="n">
        <ns0:v>71.90000000000001</ns0:v>
      </ns0:c>
      <ns0:c r="P328" s="78" t="n">
        <ns0:v>6.2</ns0:v>
      </ns0:c>
      <ns0:c r="Q328" s="79" t="n">
        <ns0:v>3476.6</ns0:v>
      </ns0:c>
      <ns0:c r="R328" s="74" t="inlineStr">
        <ns0:is>
          <ns0:t>derived:price x shares upon listing</ns0:t>
        </ns0:is>
      </ns0:c>
      <ns0:c r="S328" s="80" t="n">
        <ns0:v>49.39</ns0:v>
      </ns0:c>
      <ns0:c r="T328" s="81" t="n">
        <ns0:v>1.62</ns0:v>
      </ns0:c>
      <ns0:c r="U328" s="82" t="n">
        <ns0:v>29.8</ns0:v>
      </ns0:c>
      <ns0:c r="V328" s="83" t="n">
        <ns0:v>132</ns0:v>
      </ns0:c>
      <ns0:c r="W328" s="78" t="n">
        <ns0:v>30</ns0:v>
      </ns0:c>
      <ns0:c r="X328" s="74" t="inlineStr">
        <ns0:is>
          <ns0:t>YES</ns0:t>
        </ns0:is>
      </ns0:c>
      <ns0:c r="Y328" s="79" t="n">
        <ns0:v>366.09</ns0:v>
      </ns0:c>
      <ns0:c r="Z328" s="79" t="n">
        <ns0:v>47672820</ns0:v>
      </ns0:c>
      <ns0:c r="AA328" s="78" t="n">
        <ns0:v>10.53</ns0:v>
      </ns0:c>
      <ns0:c r="AB328" s="74" t="inlineStr">
        <ns0:is>
          <ns0:t>Timber Kangaroo Capital Limited; Yulong International Capital Limited; Ms. Shen Zhenyu</ns0:t>
        </ns0:is>
      </ns0:c>
      <ns0:c r="AC328" s="74" t="inlineStr">
        <ns0:is>
          <ns0:t>timber;yulong;ms-shen</ns0:t>
        </ns0:is>
      </ns0:c>
      <ns0:c r="AD328" s="84" t="n"/>
      <ns0:c r="AE328" s="85" t="n"/>
      <ns0:c r="AF328" s="85" t="n"/>
      <ns0:c r="AG328" s="85" t="n"/>
      <ns0:c r="AH328" s="85" t="n"/>
      <ns0:c r="AI328" s="86" t="n">
        <ns0:v>23.83</ns0:v>
      </ns0:c>
      <ns0:c r="AJ328" s="87" t="n">
        <ns0:v>39.06</ns0:v>
      </ns0:c>
      <ns0:c r="AK328" s="87" t="n">
        <ns0:v>0.89</ns0:v>
      </ns0:c>
      <ns0:c r="AL328" s="87" t="n">
        <ns0:v>43.23</ns0:v>
      </ns0:c>
      <ns0:c r="AM328" s="87" t="n">
        <ns0:v>-2.91</ns0:v>
      </ns0:c>
      <ns0:c r="AN328" s="89" t="n">
        <ns0:v>2.78</ns0:v>
      </ns0:c>
      <ns0:c r="AO328" s="78" t="n">
        <ns0:v>20.55</ns0:v>
      </ns0:c>
      <ns0:c r="AP328" s="87" t="n">
        <ns0:v>30.21</ns0:v>
      </ns0:c>
      <ns0:c r="AQ328" s="87" t="n">
        <ns0:v>45.31</ns0:v>
      </ns0:c>
      <ns0:c r="AR328" s="87" t="n">
        <ns0:v>138.67</ns0:v>
      </ns0:c>
      <ns0:c r="AS328" s="87" t="n">
        <ns0:v>-6.36</ns0:v>
      </ns0:c>
      <ns0:c r="AT328" s="87" t="n">
        <ns0:v>4.49</ns0:v>
      </ns0:c>
      <ns0:c r="AU328" s="87" t="n">
        <ns0:v>71.63</ns0:v>
      </ns0:c>
      <ns0:c r="AV328" s="87" t="n">
        <ns0:v>29.32</ns0:v>
      </ns0:c>
      <ns0:c r="AW328" s="87" t="n">
        <ns0:v>41.25</ns0:v>
      </ns0:c>
      <ns0:c r="AX328" s="87" t="n">
        <ns0:v>125.6</ns0:v>
      </ns0:c>
      <ns0:c r="AY328" s="87" t="n">
        <ns0:v>1.35</ns0:v>
      </ns0:c>
      <ns0:c r="AZ328" s="87" t="n">
        <ns0:v>4.06</ns0:v>
      </ns0:c>
      <ns0:c r="BA328" s="87" t="n">
        <ns0:v>3.14</ns0:v>
      </ns0:c>
      <ns0:c r="BB328" s="74" t="inlineStr">
        <ns0:is>
          <ns0:t>HSTECH (Hang Seng TECH ETF)</ns0:t>
        </ns0:is>
      </ns0:c>
      <ns0:c r="BC328" s="87" t="n">
        <ns0:v>55.34</ns0:v>
      </ns0:c>
      <ns0:c r="BD328" s="75" t="n">
        <ns0:v>46297</ns0:v>
      </ns0:c>
      <ns0:c r="BE328" s="76" t="n">
        <ns0:v>5913.5</ns0:v>
      </ns0:c>
      <ns0:c r="BF328" s="79" t="n">
        <ns0:v>202.9</ns0:v>
      </ns0:c>
      <ns0:c r="BG328" s="74" t="inlineStr">
        <ns0:is>
          <ns0:t>Y</ns0:t>
        </ns0:is>
      </ns0:c>
      <ns0:c r="BH328" s="89" t="n">
        <ns0:v>17.1</ns0:v>
      </ns0:c>
      <ns0:c r="BI328" s="89" t="n">
        <ns0:v>18.6</ns0:v>
      </ns0:c>
      <ns0:c r="BJ328" s="89" t="n">
        <ns0:v>15.1</ns0:v>
      </ns0:c>
      <ns0:c r="BK328" s="89" t="n">
        <ns0:v>0.6</ns0:v>
      </ns0:c>
      <ns0:c r="BL328" s="90">
        <ns0:f>IFERROR(IF('BBG Verify'!S328="","Awaiting Bloomberg",'BBG Verify'!S328),"Awaiting Bloomberg")</ns0:f>
        <ns0:v/>
      </ns0:c>
      <ns0:c r="BM328" s="91" t="inlineStr">
        <ns0:is>
          <ns0:t>Y</ns0:t>
        </ns0:is>
      </ns0:c>
      <ns0:c r="BN328" s="74" t="inlineStr">
        <ns0:is>
          <ns0:t>002803.SZ</ns0:t>
        </ns0:is>
      </ns0:c>
      <ns0:c r="BO328" s="87" t="n">
        <ns0:v>105.18</ns0:v>
      </ns0:c>
      <ns0:c r="BP328" s="77" t="n">
        <ns0:v>15.7576</ns0:v>
      </ns0:c>
      <ns0:c r="BQ328" s="101" t="n">
        <ns0:v>0.9853</ns0:v>
      </ns0:c>
      <ns0:c r="BR328" s="79" t="n">
        <ns0:v>10852.4</ns0:v>
      </ns0:c>
      <ns0:c r="BS328" s="90">
        <ns0:f>IFERROR(IF('BBG Verify'!Q328="","Awaiting Bloomberg",'BBG Verify'!Q328),"Awaiting Bloomberg")</ns0:f>
        <ns0:v/>
      </ns0:c>
      <ns0:c r="BT328" s="90">
        <ns0:f>IFERROR(IF('BBG Verify'!R328="","Awaiting Bloomberg",'BBG Verify'!R328),"Awaiting Bloomberg")</ns0:f>
        <ns0:v/>
      </ns0:c>
      <ns0:c r="BU328" s="91" t="inlineStr">
        <ns0:is>
          <ns0:t>Hong Kong SAR CMB International Capital Limited</ns0:t>
        </ns0:is>
      </ns0:c>
      <ns0:c r="BV328" s="74" t="inlineStr">
        <ns0:is>
          <ns0:t>China International Capital Corporation Hong Kong Securities Limited; CMB International Capital Limited</ns0:t>
        </ns0:is>
      </ns0:c>
      <ns0:c r="BW328" s="74" t="inlineStr">
        <ns0:is>
          <ns0: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ns0:t>
        </ns0:is>
      </ns0:c>
      <ns0:c r="BX328" s="74" t="inlineStr">
        <ns0:is>
          <ns0: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ns0:t>
        </ns0:is>
      </ns0:c>
      <ns0:c r="BY328" s="93">
        <ns0:f>HYPERLINK("https://www1.hkexnews.hk/listedco/listconews/sehk/2025/0519/2025051900011.pdf","prospectus")</ns0:f>
        <ns0:v/>
      </ns0:c>
      <ns0:c r="BZ328" s="93">
        <ns0:f>HYPERLINK("https://www1.hkexnews.hk/listedco/listconews/sehk/2025/0526/2025052601653.pdf","allotment")</ns0:f>
        <ns0:v/>
      </ns0:c>
      <ns0:c r="CA328" s="85" t="n"/>
      <ns0:c r="CB328" s="94" t="n"/>
      <ns0:c r="CC328" s="74" t="inlineStr">
        <ns0:is>
          <ns0:t>greenshoe: no over-allotment option; A/H: May 2025 H listing (packaging + cross-border e-commerce); greenshoe size: no over-allotment option; stabilising manager: no over-allotment option, so none appointed</ns0:t>
        </ns0:is>
      </ns0:c>
    </ns0:row>
    <ns0:row r="329" ht="22" customHeight="1">
      <ns0:c r="A329" s="73" t="inlineStr">
        <ns0:is>
          <ns0:t>2621</ns0:t>
        </ns0:is>
      </ns0:c>
      <ns0:c r="B329" s="74" t="inlineStr">
        <ns0:is>
          <ns0:t>SHOUHUI GROUP</ns0:t>
        </ns0:is>
      </ns0:c>
      <ns0:c r="C329" s="74" t="inlineStr">
        <ns0:is>
          <ns0:t>手回集團</ns0:t>
        </ns0:is>
      </ns0:c>
      <ns0:c r="D329" s="74" t="inlineStr">
        <ns0:is>
          <ns0:t>Financials</ns0:t>
        </ns0:is>
      </ns0:c>
      <ns0:c r="E329" s="74" t="inlineStr">
        <ns0:is>
          <ns0:t>Insurance</ns0:t>
        </ns0:is>
      </ns0:c>
      <ns0:c r="F329" s="74" t="inlineStr">
        <ns0:is>
          <ns0:t>Multi-line Insurance</ns0:t>
        </ns0:is>
      </ns0:c>
      <ns0:c r="G329" s="74" t="inlineStr">
        <ns0:is>
          <ns0:t>Standard</ns0:t>
        </ns0:is>
      </ns0:c>
      <ns0:c r="H329" s="75" t="n">
        <ns0:v>45807</ns0:v>
      </ns0:c>
      <ns0:c r="I329" s="76" t="n">
        <ns0:v>196.82</ns0:v>
      </ns0:c>
      <ns0:c r="J329" s="74" t="inlineStr">
        <ns0:is>
          <ns0:t>gross (stated)</ns0:t>
        </ns0:is>
      </ns0:c>
      <ns0:c r="K329" s="77" t="n">
        <ns0:v>6.48</ns0:v>
      </ns0:c>
      <ns0:c r="L329" s="77" t="n">
        <ns0:v>8.08</ns0:v>
      </ns0:c>
      <ns0:c r="M329" s="77" t="n">
        <ns0:v>8.08</ns0:v>
      </ns0:c>
      <ns0:c r="N329" s="74" t="inlineStr">
        <ns0:is>
          <ns0:t>Y</ns0:t>
        </ns0:is>
      </ns0:c>
      <ns0:c r="O329" s="78" t="n">
        <ns0:v>100</ns0:v>
      </ns0:c>
      <ns0:c r="P329" s="78" t="n">
        <ns0:v>100</ns0:v>
      </ns0:c>
      <ns0:c r="Q329" s="79" t="n">
        <ns0:v>1615.9</ns0:v>
      </ns0:c>
      <ns0:c r="R329" s="74" t="inlineStr">
        <ns0:is>
          <ns0:t>derived:deal size / offer % of enlarged capital</ns0:t>
        </ns0:is>
      </ns0:c>
      <ns0:c r="S329" s="80" t="n">
        <ns0:v>990</ns0:v>
      </ns0:c>
      <ns0:c r="T329" s="81" t="n">
        <ns0:v>1.13</ns0:v>
      </ns0:c>
      <ns0:c r="U329" s="82" t="n">
        <ns0:v>24.92</ns0:v>
      </ns0:c>
      <ns0:c r="V329" s="100" t="n"/>
      <ns0:c r="W329" s="78" t="n">
        <ns0:v>50</ns0:v>
      </ns0:c>
      <ns0:c r="X329" s="74" t="inlineStr">
        <ns0:is>
          <ns0:t>YES</ns0:t>
        </ns0:is>
      </ns0:c>
      <ns0:c r="Y329" s="79" t="n">
        <ns0:v>147.77</ns0:v>
      </ns0:c>
      <ns0:c r="Z329" s="79" t="n">
        <ns0:v>18288287</ns0:v>
      </ns0:c>
      <ns0:c r="AA329" s="78" t="n">
        <ns0:v>9.140000000000001</ns0:v>
      </ns0:c>
      <ns0:c r="AB329" s="74" t="inlineStr">
        <ns0:is>
          <ns0:t>HiTai (Hong Kong) Limited ʮ̡; Taller industrial Co., Limited</ns0:t>
        </ns0:is>
      </ns0:c>
      <ns0:c r="AC329" s="74" t="inlineStr">
        <ns0:is>
          <ns0:t>hitai;taller</ns0:t>
        </ns0:is>
      </ns0:c>
      <ns0:c r="AD329" s="78" t="n">
        <ns0:v>10</ns0:v>
      </ns0:c>
      <ns0:c r="AE329" s="74" t="inlineStr">
        <ns0:is>
          <ns0:t>lapsed</ns0:t>
        </ns0:is>
      </ns0:c>
      <ns0:c r="AF329" s="85" t="n"/>
      <ns0:c r="AG329" s="74" t="inlineStr">
        <ns0:is>
          <ns0:t>China International Capital Corporation Hong Kong Securities Limited</ns0:t>
        </ns0:is>
      </ns0:c>
      <ns0:c r="AH329" s="74" t="inlineStr">
        <ns0:is>
          <ns0:t>China International</ns0:t>
        </ns0:is>
      </ns0:c>
      <ns0:c r="AI329" s="86" t="n">
        <ns0:v>-1.61</ns0:v>
      </ns0:c>
      <ns0:c r="AJ329" s="87" t="n">
        <ns0:v>-18.19</ns0:v>
      </ns0:c>
      <ns0:c r="AK329" s="87" t="n">
        <ns0:v>-0.13</ns0:v>
      </ns0:c>
      <ns0:c r="AL329" s="87" t="n">
        <ns0:v>-7.18</ns0:v>
      </ns0:c>
      <ns0:c r="AM329" s="87" t="n">
        <ns0:v>-11.86</ns0:v>
      </ns0:c>
      <ns0:c r="AN329" s="89" t="n">
        <ns0:v>1.75</ns0:v>
      </ns0:c>
      <ns0:c r="AO329" s="78" t="n">
        <ns0:v>11.87</ns0:v>
      </ns0:c>
      <ns0:c r="AP329" s="87" t="n">
        <ns0:v>-33.04</ns0:v>
      </ns0:c>
      <ns0:c r="AQ329" s="87" t="n">
        <ns0:v>-39.48</ns0:v>
      </ns0:c>
      <ns0:c r="AR329" s="87" t="n">
        <ns0:v>-41.83</ns0:v>
      </ns0:c>
      <ns0:c r="AS329" s="87" t="n">
        <ns0:v>-18.15</ns0:v>
      </ns0:c>
      <ns0:c r="AT329" s="87" t="n">
        <ns0:v>-26.02</ns0:v>
      </ns0:c>
      <ns0:c r="AU329" s="87" t="n">
        <ns0:v>-28.9</ns0:v>
      </ns0:c>
      <ns0:c r="AV329" s="87" t="n">
        <ns0:v>-34.76</ns0:v>
      </ns0:c>
      <ns0:c r="AW329" s="87" t="n">
        <ns0:v>-46.16</ns0:v>
      </ns0:c>
      <ns0:c r="AX329" s="87" t="n">
        <ns0:v>-50.43</ns0:v>
      </ns0:c>
      <ns0:c r="AY329" s="87" t="n">
        <ns0:v>-32.83</ns0:v>
      </ns0:c>
      <ns0:c r="AZ329" s="87" t="n">
        <ns0:v>6.68</ns0:v>
      </ns0:c>
      <ns0:c r="BA329" s="87" t="n">
        <ns0:v>6.81</ns0:v>
      </ns0:c>
      <ns0:c r="BB329" s="74" t="inlineStr">
        <ns0:is>
          <ns0:t>Hang Seng Finance sub-index</ns0:t>
        </ns0:is>
      </ns0:c>
      <ns0:c r="BC329" s="87" t="n">
        <ns0:v>-65.97</ns0:v>
      </ns0:c>
      <ns0:c r="BD329" s="75" t="n">
        <ns0:v>46297</ns0:v>
      </ns0:c>
      <ns0:c r="BE329" s="76" t="n">
        <ns0:v>1525.8</ns0:v>
      </ns0:c>
      <ns0:c r="BF329" s="79" t="n">
        <ns0:v>-99.2</ns0:v>
      </ns0:c>
      <ns0:c r="BG329" s="74" t="inlineStr">
        <ns0:is>
          <ns0:t>N</ns0:t>
        </ns0:is>
      </ns0:c>
      <ns0:c r="BH329" s="74" t="inlineStr">
        <ns0:is>
          <ns0:t>n/m</ns0:t>
        </ns0:is>
      </ns0:c>
      <ns0:c r="BI329" s="88" t="n"/>
      <ns0:c r="BJ329" s="89" t="n">
        <ns0:v>0.5</ns0:v>
      </ns0:c>
      <ns0:c r="BK329" s="89" t="n">
        <ns0:v>1.1</ns0:v>
      </ns0:c>
      <ns0:c r="BL329" s="90">
        <ns0:f>IFERROR(IF('BBG Verify'!S329="","Awaiting Bloomberg",'BBG Verify'!S329),"Awaiting Bloomberg")</ns0:f>
        <ns0:v/>
      </ns0:c>
      <ns0:c r="BM329" s="91" t="inlineStr">
        <ns0:is>
          <ns0:t>N</ns0:t>
        </ns0:is>
      </ns0:c>
      <ns0:c r="BN329" s="92">
        <ns0:f>IFERROR(IF('BBG Verify'!K329="","Awaiting Bloomberg",'BBG Verify'!K329),"Awaiting Bloomberg")</ns0:f>
        <ns0:v/>
      </ns0:c>
      <ns0:c r="BO329" s="74" t="inlineStr">
        <ns0:is>
          <ns0:t>N/A</ns0:t>
        </ns0:is>
      </ns0:c>
      <ns0:c r="BP329" s="74" t="inlineStr">
        <ns0:is>
          <ns0:t>N/A</ns0:t>
        </ns0:is>
      </ns0:c>
      <ns0:c r="BQ329" s="74" t="inlineStr">
        <ns0:is>
          <ns0:t>N/A</ns0:t>
        </ns0:is>
      </ns0:c>
      <ns0:c r="BR329" s="74" t="inlineStr">
        <ns0:is>
          <ns0:t>N/A</ns0:t>
        </ns0:is>
      </ns0:c>
      <ns0:c r="BS329" s="74" t="inlineStr">
        <ns0:is>
          <ns0:t>N/A</ns0:t>
        </ns0:is>
      </ns0:c>
      <ns0:c r="BT329" s="74" t="inlineStr">
        <ns0:is>
          <ns0:t>N/A</ns0:t>
        </ns0:is>
      </ns0:c>
      <ns0:c r="BU329" s="91" t="inlineStr">
        <ns0:is>
          <ns0:t>Huatai Financial Holdings (Hong Kong) Limited</ns0:t>
        </ns0:is>
      </ns0:c>
      <ns0:c r="BV329" s="74" t="inlineStr">
        <ns0:is>
          <ns0:t>China International Capital Corporation Hong Kong Securities Limited; Huatai Financial Holdings (Hong Kong) Limited</ns0:t>
        </ns0:is>
      </ns0:c>
      <ns0:c r="BW329" s="74" t="inlineStr">
        <ns0:is>
          <ns0: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ns0:t>
        </ns0:is>
      </ns0:c>
      <ns0:c r="BX329" s="74" t="inlineStr">
        <ns0:is>
          <ns0: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ns0:t>
        </ns0:is>
      </ns0:c>
      <ns0:c r="BY329" s="93">
        <ns0:f>HYPERLINK("https://www1.hkexnews.hk/listedco/listconews/sehk/2025/0522/2025052200031.pdf","prospectus")</ns0:f>
        <ns0:v/>
      </ns0:c>
      <ns0:c r="BZ329" s="93">
        <ns0:f>HYPERLINK("https://www1.hkexnews.hk/listedco/listconews/sehk/2025/0529/2025052902298.pdf","allotment")</ns0:f>
        <ns0:v/>
      </ns0:c>
      <ns0:c r="CA329" s="93">
        <ns0:f>HYPERLINK("https://www1.hkexnews.hk/listedco/listconews/sehk/2025/0626/2025062601818.pdf","stabilisation")</ns0:f>
        <ns0:v/>
      </ns0:c>
      <ns0:c r="CB329" s="94" t="n"/>
      <ns0:c r="CC329" s="74" t="inlineStr">
        <ns0:is>
          <ns0:t>P/E: loss-making at IPO, use P/S; greenshoe: outcome published; expiry date not in the notice; allocation: allocation table not in this notice's format (older prose announcement)</ns0:t>
        </ns0:is>
      </ns0:c>
    </ns0:row>
    <ns0:row r="330" ht="22" customHeight="1">
      <ns0:c r="A330" s="73" t="inlineStr">
        <ns0:is>
          <ns0:t>9881</ns0:t>
        </ns0:is>
      </ns0:c>
      <ns0:c r="B330" s="74" t="inlineStr">
        <ns0:is>
          <ns0:t>RONGTA TECH</ns0:t>
        </ns0:is>
      </ns0:c>
      <ns0:c r="C330" s="74" t="inlineStr">
        <ns0:is>
          <ns0:t>容大科技</ns0:t>
        </ns0:is>
      </ns0:c>
      <ns0:c r="D330" s="74" t="inlineStr">
        <ns0:is>
          <ns0:t>Technology</ns0:t>
        </ns0:is>
      </ns0:c>
      <ns0:c r="E330" s="74" t="inlineStr">
        <ns0:is>
          <ns0:t>Hardware &amp; electronics</ns0:t>
        </ns0:is>
      </ns0:c>
      <ns0:c r="F330" s="74" t="inlineStr">
        <ns0:is>
          <ns0:t>Computer Storage &amp; Peripherals</ns0:t>
        </ns0:is>
      </ns0:c>
      <ns0:c r="G330" s="74" t="inlineStr">
        <ns0:is>
          <ns0:t>Standard</ns0:t>
        </ns0:is>
      </ns0:c>
      <ns0:c r="H330" s="75" t="n">
        <ns0:v>45818</ns0:v>
      </ns0:c>
      <ns0:c r="I330" s="76" t="n">
        <ns0:v>184</ns0:v>
      </ns0:c>
      <ns0:c r="J330" s="74" t="inlineStr">
        <ns0:is>
          <ns0:t>gross (stated)</ns0:t>
        </ns0:is>
      </ns0:c>
      <ns0:c r="K330" s="77" t="n">
        <ns0:v>10</ns0:v>
      </ns0:c>
      <ns0:c r="L330" s="77" t="n">
        <ns0:v>12</ns0:v>
      </ns0:c>
      <ns0:c r="M330" s="77" t="n">
        <ns0:v>10</ns0:v>
      </ns0:c>
      <ns0:c r="N330" s="74" t="inlineStr">
        <ns0:is>
          <ns0:t>N</ns0:t>
        </ns0:is>
      </ns0:c>
      <ns0:c r="O330" s="78" t="n">
        <ns0:v>83.3</ns0:v>
      </ns0:c>
      <ns0:c r="P330" s="78" t="n">
        <ns0:v>0</ns0:v>
      </ns0:c>
      <ns0:c r="Q330" s="79" t="n">
        <ns0:v>947.3</ns0:v>
      </ns0:c>
      <ns0:c r="R330" s="74" t="inlineStr">
        <ns0:is>
          <ns0:t>derived:price x shares upon listing</ns0:t>
        </ns0:is>
      </ns0:c>
      <ns0:c r="S330" s="80" t="n">
        <ns0:v>275.96</ns0:v>
      </ns0:c>
      <ns0:c r="T330" s="81" t="n">
        <ns0:v>0.96</ns0:v>
      </ns0:c>
      <ns0:c r="U330" s="82" t="n">
        <ns0:v>43.64</ns0:v>
      </ns0:c>
      <ns0:c r="V330" s="83" t="n">
        <ns0:v>118</ns0:v>
      </ns0:c>
      <ns0:c r="W330" s="78" t="n">
        <ns0:v>13.2</ns0:v>
      </ns0:c>
      <ns0:c r="X330" s="74" t="inlineStr">
        <ns0:is>
          <ns0:t>NO</ns0:t>
        </ns0:is>
      </ns0:c>
      <ns0:c r="Y330" s="79" t="n">
        <ns0:v>103.7</ns0:v>
      </ns0:c>
      <ns0:c r="Z330" s="79" t="n">
        <ns0:v>10370240</ns0:v>
      </ns0:c>
      <ns0:c r="AA330" s="78" t="n">
        <ns0:v>10.95</ns0:v>
      </ns0:c>
      <ns0:c r="AB330" s="74" t="inlineStr">
        <ns0:is>
          <ns0:t>Hongkong Linktech Technology Co., Limited; Cao Ke; Lin Xiaojian; Sinos Group Limited; Li Shuhan; Main Achieve Holdings Limited; Ng Chi Fat</ns0:t>
        </ns0:is>
      </ns0:c>
      <ns0:c r="AC330" s="74" t="inlineStr">
        <ns0:is>
          <ns0:t>hongkong;cao-ke;lin-xiaojian;sinos;li-shuhan;main;ng</ns0:t>
        </ns0:is>
      </ns0:c>
      <ns0:c r="AD330" s="78" t="n">
        <ns0:v>7.06</ns0:v>
      </ns0:c>
      <ns0:c r="AE330" s="74" t="inlineStr">
        <ns0:is>
          <ns0:t>lapsed</ns0:t>
        </ns0:is>
      </ns0:c>
      <ns0:c r="AF330" s="74" t="inlineStr">
        <ns0:is>
          <ns0:t>2025-07-05</ns0:t>
        </ns0:is>
      </ns0:c>
      <ns0:c r="AG330" s="74" t="inlineStr">
        <ns0:is>
          <ns0:t>Yue Xiu Securities Company Limited</ns0:t>
        </ns0:is>
      </ns0:c>
      <ns0:c r="AH330" s="74" t="inlineStr">
        <ns0:is>
          <ns0:t>Yue Xiu</ns0:t>
        </ns0:is>
      </ns0:c>
      <ns0:c r="AI330" s="86" t="n">
        <ns0:v>76</ns0:v>
      </ns0:c>
      <ns0:c r="AJ330" s="87" t="n">
        <ns0:v>42</ns0:v>
      </ns0:c>
      <ns0:c r="AK330" s="87" t="n">
        <ns0:v>-0.75</ns0:v>
      </ns0:c>
      <ns0:c r="AL330" s="87" t="n">
        <ns0:v>66</ns0:v>
      </ns0:c>
      <ns0:c r="AM330" s="87" t="n">
        <ns0:v>-14.46</ns0:v>
      </ns0:c>
      <ns0:c r="AN330" s="89" t="n">
        <ns0:v>3.5</ns0:v>
      </ns0:c>
      <ns0:c r="AO330" s="78" t="n">
        <ns0:v>26.75</ns0:v>
      </ns0:c>
      <ns0:c r="AP330" s="87" t="n">
        <ns0:v>30</ns0:v>
      </ns0:c>
      <ns0:c r="AQ330" s="87" t="n">
        <ns0:v>3</ns0:v>
      </ns0:c>
      <ns0:c r="AR330" s="87" t="n">
        <ns0:v>9.5</ns0:v>
      </ns0:c>
      <ns0:c r="AS330" s="87" t="n">
        <ns0:v>-8.449999999999999</ns0:v>
      </ns0:c>
      <ns0:c r="AT330" s="87" t="n">
        <ns0:v>-27.46</ns0:v>
      </ns0:c>
      <ns0:c r="AU330" s="87" t="n">
        <ns0:v>-22.89</ns0:v>
      </ns0:c>
      <ns0:c r="AV330" s="87" t="n">
        <ns0:v>32.53</ns0:v>
      </ns0:c>
      <ns0:c r="AW330" s="87" t="n">
        <ns0:v>6.85</ns0:v>
      </ns0:c>
      <ns0:c r="AX330" s="87" t="n">
        <ns0:v>3.68</ns0:v>
      </ns0:c>
      <ns0:c r="AY330" s="87" t="n">
        <ns0:v>-24.34</ns0:v>
      </ns0:c>
      <ns0:c r="AZ330" s="87" t="n">
        <ns0:v>-3.85</ns0:v>
      </ns0:c>
      <ns0:c r="BA330" s="87" t="n">
        <ns0:v>-3.12</ns0:v>
      </ns0:c>
      <ns0:c r="BB330" s="74" t="inlineStr">
        <ns0:is>
          <ns0:t>HSTECH (Hang Seng TECH ETF)</ns0:t>
        </ns0:is>
      </ns0:c>
      <ns0:c r="BC330" s="87" t="n">
        <ns0:v>77</ns0:v>
      </ns0:c>
      <ns0:c r="BD330" s="75" t="n">
        <ns0:v>46112</ns0:v>
      </ns0:c>
      <ns0:c r="BE330" s="76" t="n">
        <ns0:v>385.1</ns0:v>
      </ns0:c>
      <ns0:c r="BF330" s="79" t="n">
        <ns0:v>45.5</ns0:v>
      </ns0:c>
      <ns0:c r="BG330" s="74" t="inlineStr">
        <ns0:is>
          <ns0:t>Y</ns0:t>
        </ns0:is>
      </ns0:c>
      <ns0:c r="BH330" s="89" t="n">
        <ns0:v>20.8</ns0:v>
      </ns0:c>
      <ns0:c r="BI330" s="89" t="n">
        <ns0:v>24.1</ns0:v>
      </ns0:c>
      <ns0:c r="BJ330" s="89" t="n">
        <ns0:v>28.2</ns0:v>
      </ns0:c>
      <ns0:c r="BK330" s="89" t="n">
        <ns0:v>2.5</ns0:v>
      </ns0:c>
      <ns0:c r="BL330" s="90">
        <ns0:f>IFERROR(IF('BBG Verify'!S330="","Awaiting Bloomberg",'BBG Verify'!S330),"Awaiting Bloomberg")</ns0:f>
        <ns0:v/>
      </ns0:c>
      <ns0:c r="BM330" s="91" t="inlineStr">
        <ns0:is>
          <ns0:t>N</ns0:t>
        </ns0:is>
      </ns0:c>
      <ns0:c r="BN330" s="92">
        <ns0:f>IFERROR(IF('BBG Verify'!K330="","Awaiting Bloomberg",'BBG Verify'!K330),"Awaiting Bloomberg")</ns0:f>
        <ns0:v/>
      </ns0:c>
      <ns0:c r="BO330" s="74" t="inlineStr">
        <ns0:is>
          <ns0:t>N/A</ns0:t>
        </ns0:is>
      </ns0:c>
      <ns0:c r="BP330" s="74" t="inlineStr">
        <ns0:is>
          <ns0:t>N/A</ns0:t>
        </ns0:is>
      </ns0:c>
      <ns0:c r="BQ330" s="74" t="inlineStr">
        <ns0:is>
          <ns0:t>N/A</ns0:t>
        </ns0:is>
      </ns0:c>
      <ns0:c r="BR330" s="74" t="inlineStr">
        <ns0:is>
          <ns0:t>N/A</ns0:t>
        </ns0:is>
      </ns0:c>
      <ns0:c r="BS330" s="74" t="inlineStr">
        <ns0:is>
          <ns0:t>N/A</ns0:t>
        </ns0:is>
      </ns0:c>
      <ns0:c r="BT330" s="74" t="inlineStr">
        <ns0:is>
          <ns0:t>N/A</ns0:t>
        </ns0:is>
      </ns0:c>
      <ns0:c r="BU330" s="91" t="inlineStr">
        <ns0:is>
          <ns0:t>Yue Xiu Capital Limited</ns0:t>
        </ns0:is>
      </ns0:c>
      <ns0:c r="BV330" s="74" t="inlineStr">
        <ns0:is>
          <ns0:t>Yue Xiu Capital Limited</ns0:t>
        </ns0:is>
      </ns0:c>
      <ns0:c r="BW330" s="74" t="inlineStr">
        <ns0:is>
          <ns0:t>Yue Xiu Securities Company Limited; ABCI CAPITAL LIMITED; ABCI SECURITIES COMPANY LIMITED</ns0:t>
        </ns0:is>
      </ns0:c>
      <ns0:c r="BX330" s="74" t="inlineStr">
        <ns0:is>
          <ns0: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ns0:t>
        </ns0:is>
      </ns0:c>
      <ns0:c r="BY330" s="93">
        <ns0:f>HYPERLINK("https://www1.hkexnews.hk/listedco/listconews/sehk/2025/0530/2025053000009.pdf","prospectus")</ns0:f>
        <ns0:v/>
      </ns0:c>
      <ns0:c r="BZ330" s="93">
        <ns0:f>HYPERLINK("https://www1.hkexnews.hk/listedco/listconews/sehk/2025/0609/2025060900996.pdf","allotment")</ns0:f>
        <ns0:v/>
      </ns0:c>
      <ns0:c r="CA330" s="93">
        <ns0:f>HYPERLINK("https://www1.hkexnews.hk/listedco/listconews/sehk/2025/0707/2025070700712.pdf","stabilisation")</ns0:f>
        <ns0:v/>
      </ns0:c>
      <ns0:c r="CB330" s="94" t="n"/>
      <ns0:c r="CC330" s="74" t="inlineStr">
        <ns0:is>
          <ns0:t>price series: last available quoted close 2026-03-31; may be suspended, delisted or a source gap; price and benchmark end on that date</ns0:t>
        </ns0:is>
      </ns0:c>
    </ns0:row>
    <ns0:row r="331" ht="22" customHeight="1">
      <ns0:c r="A331" s="73" t="inlineStr">
        <ns0:is>
          <ns0:t>2573</ns0:t>
        </ns0:is>
      </ns0:c>
      <ns0:c r="B331" s="74" t="inlineStr">
        <ns0:is>
          <ns0:t>NEWTREND GROUP</ns0:t>
        </ns0:is>
      </ns0:c>
      <ns0:c r="C331" s="74" t="inlineStr">
        <ns0:is>
          <ns0:t>新琪安</ns0:t>
        </ns0:is>
      </ns0:c>
      <ns0:c r="D331" s="74" t="inlineStr">
        <ns0:is>
          <ns0:t>Consumer</ns0:t>
        </ns0:is>
      </ns0:c>
      <ns0:c r="E331" s="74" t="inlineStr">
        <ns0:is>
          <ns0:t>Beverages / packaged food</ns0:t>
        </ns0:is>
      </ns0:c>
      <ns0:c r="F331" s="74" t="inlineStr">
        <ns0:is>
          <ns0:t>Food Additives</ns0:t>
        </ns0:is>
      </ns0:c>
      <ns0:c r="G331" s="74" t="inlineStr">
        <ns0:is>
          <ns0:t>Standard</ns0:t>
        </ns0:is>
      </ns0:c>
      <ns0:c r="H331" s="75" t="n">
        <ns0:v>45818</ns0:v>
      </ns0:c>
      <ns0:c r="I331" s="76" t="n">
        <ns0:v>200.1</ns0:v>
      </ns0:c>
      <ns0:c r="J331" s="74" t="inlineStr">
        <ns0:is>
          <ns0:t>gross (price x shares)</ns0:t>
        </ns0:is>
      </ns0:c>
      <ns0:c r="K331" s="77" t="n">
        <ns0:v>18.9</ns0:v>
      </ns0:c>
      <ns0:c r="L331" s="77" t="n">
        <ns0:v>20.9</ns0:v>
      </ns0:c>
      <ns0:c r="M331" s="77" t="n">
        <ns0:v>18.9</ns0:v>
      </ns0:c>
      <ns0:c r="N331" s="74" t="inlineStr">
        <ns0:is>
          <ns0:t>N</ns0:t>
        </ns0:is>
      </ns0:c>
      <ns0:c r="O331" s="78" t="n">
        <ns0:v>90.40000000000001</ns0:v>
      </ns0:c>
      <ns0:c r="P331" s="78" t="n">
        <ns0:v>0</ns0:v>
      </ns0:c>
      <ns0:c r="Q331" s="79" t="n">
        <ns0:v>1818.8</ns0:v>
      </ns0:c>
      <ns0:c r="R331" s="74" t="inlineStr">
        <ns0:is>
          <ns0:t>derived:price x shares upon listing</ns0:t>
        </ns0:is>
      </ns0:c>
      <ns0:c r="S331" s="80" t="n">
        <ns0:v>149.37</ns0:v>
      </ns0:c>
      <ns0:c r="T331" s="81" t="n">
        <ns0:v>0.93</ns0:v>
      </ns0:c>
      <ns0:c r="U331" s="82" t="n">
        <ns0:v>29.69</ns0:v>
      </ns0:c>
      <ns0:c r="V331" s="83" t="n">
        <ns0:v>118</ns0:v>
      </ns0:c>
      <ns0:c r="W331" s="78" t="n">
        <ns0:v>15.7</ns0:v>
      </ns0:c>
      <ns0:c r="X331" s="74" t="inlineStr">
        <ns0:is>
          <ns0:t>NO</ns0:t>
        </ns0:is>
      </ns0:c>
      <ns0:c r="Y331" s="79" t="n">
        <ns0:v>140.69</ns0:v>
      </ns0:c>
      <ns0:c r="Z331" s="79" t="n">
        <ns0:v>7442595</ns0:v>
      </ns0:c>
      <ns0:c r="AA331" s="78" t="n">
        <ns0:v>7.74</ns0:v>
      </ns0:c>
      <ns0:c r="AB331" s="74" t="inlineStr">
        <ns0:is>
          <ns0:t>He Win Hong Kong Holdings Co., Limited; The Reynold Lemkins Group (Asia) Limited</ns0:t>
        </ns0:is>
      </ns0:c>
      <ns0:c r="AC331" s="74" t="inlineStr">
        <ns0:is>
          <ns0:t>he-win;reynold</ns0:t>
        </ns0:is>
      </ns0:c>
      <ns0:c r="AD331" s="78" t="n">
        <ns0:v>10.2</ns0:v>
      </ns0:c>
      <ns0:c r="AE331" s="85" t="n"/>
      <ns0:c r="AF331" s="85" t="n"/>
      <ns0:c r="AG331" s="74" t="inlineStr">
        <ns0:is>
          <ns0:t>CMBC Securities Company Limited</ns0:t>
        </ns0:is>
      </ns0:c>
      <ns0:c r="AH331" s="74" t="inlineStr">
        <ns0:is>
          <ns0:t>CMBC</ns0:t>
        </ns0:is>
      </ns0:c>
      <ns0:c r="AI331" s="86" t="n">
        <ns0:v>72.48999999999999</ns0:v>
      </ns0:c>
      <ns0:c r="AJ331" s="87" t="n">
        <ns0:v>21.43</ns0:v>
      </ns0:c>
      <ns0:c r="AK331" s="87" t="n">
        <ns0:v>-0.41</ns0:v>
      </ns0:c>
      <ns0:c r="AL331" s="87" t="n">
        <ns0:v>60.05</ns0:v>
      </ns0:c>
      <ns0:c r="AM331" s="87" t="n">
        <ns0:v>-24.13</ns0:v>
      </ns0:c>
      <ns0:c r="AN331" s="89" t="n">
        <ns0:v>3.14</ns0:v>
      </ns0:c>
      <ns0:c r="AO331" s="78" t="n">
        <ns0:v>26.94</ns0:v>
      </ns0:c>
      <ns0:c r="AP331" s="87" t="n">
        <ns0:v>-16.83</ns0:v>
      </ns0:c>
      <ns0:c r="AQ331" s="87" t="n">
        <ns0:v>-34.6</ns0:v>
      </ns0:c>
      <ns0:c r="AR331" s="87" t="n">
        <ns0:v>-34.92</ns0:v>
      </ns0:c>
      <ns0:c r="AS331" s="87" t="n">
        <ns0:v>-31.51</ns0:v>
      </ns0:c>
      <ns0:c r="AT331" s="87" t="n">
        <ns0:v>-46.14</ns0:v>
      </ns0:c>
      <ns0:c r="AU331" s="87" t="n">
        <ns0:v>-46.41</ns0:v>
      </ns0:c>
      <ns0:c r="AV331" s="87" t="n">
        <ns0:v>-14.92</ns0:v>
      </ns0:c>
      <ns0:c r="AW331" s="87" t="n">
        <ns0:v>-30.78</ns0:v>
      </ns0:c>
      <ns0:c r="AX331" s="87" t="n">
        <ns0:v>-41.55</ns0:v>
      </ns0:c>
      <ns0:c r="AY331" s="87" t="n">
        <ns0:v>-42.71</ns0:v>
      </ns0:c>
      <ns0:c r="AZ331" s="87" t="n">
        <ns0:v>-3.82</ns0:v>
      </ns0:c>
      <ns0:c r="BA331" s="87" t="n">
        <ns0:v>-3.43</ns0:v>
      </ns0:c>
      <ns0:c r="BB331" s="74" t="inlineStr">
        <ns0:is>
          <ns0:t>Hang Seng Commerce &amp; Industry sub-index</ns0:t>
        </ns0:is>
      </ns0:c>
      <ns0:c r="BC331" s="87" t="n">
        <ns0:v>-73.47</ns0:v>
      </ns0:c>
      <ns0:c r="BD331" s="75" t="n">
        <ns0:v>46297</ns0:v>
      </ns0:c>
      <ns0:c r="BE331" s="76" t="n">
        <ns0:v>625.8</ns0:v>
      </ns0:c>
      <ns0:c r="BF331" s="79" t="n">
        <ns0:v>47.7</ns0:v>
      </ns0:c>
      <ns0:c r="BG331" s="74" t="inlineStr">
        <ns0:is>
          <ns0:t>Y</ns0:t>
        </ns0:is>
      </ns0:c>
      <ns0:c r="BH331" s="89" t="n">
        <ns0:v>38.1</ns0:v>
      </ns0:c>
      <ns0:c r="BI331" s="89" t="n">
        <ns0:v>41.2</ns0:v>
      </ns0:c>
      <ns0:c r="BJ331" s="89" t="n">
        <ns0:v>35</ns0:v>
      </ns0:c>
      <ns0:c r="BK331" s="89" t="n">
        <ns0:v>2.9</ns0:v>
      </ns0:c>
      <ns0:c r="BL331" s="90">
        <ns0:f>IFERROR(IF('BBG Verify'!S331="","Awaiting Bloomberg",'BBG Verify'!S331),"Awaiting Bloomberg")</ns0:f>
        <ns0:v/>
      </ns0:c>
      <ns0:c r="BM331" s="91" t="inlineStr">
        <ns0:is>
          <ns0:t>N</ns0:t>
        </ns0:is>
      </ns0:c>
      <ns0:c r="BN331" s="92">
        <ns0:f>IFERROR(IF('BBG Verify'!K331="","Awaiting Bloomberg",'BBG Verify'!K331),"Awaiting Bloomberg")</ns0:f>
        <ns0:v/>
      </ns0:c>
      <ns0:c r="BO331" s="74" t="inlineStr">
        <ns0:is>
          <ns0:t>N/A</ns0:t>
        </ns0:is>
      </ns0:c>
      <ns0:c r="BP331" s="74" t="inlineStr">
        <ns0:is>
          <ns0:t>N/A</ns0:t>
        </ns0:is>
      </ns0:c>
      <ns0:c r="BQ331" s="74" t="inlineStr">
        <ns0:is>
          <ns0:t>N/A</ns0:t>
        </ns0:is>
      </ns0:c>
      <ns0:c r="BR331" s="74" t="inlineStr">
        <ns0:is>
          <ns0:t>N/A</ns0:t>
        </ns0:is>
      </ns0:c>
      <ns0:c r="BS331" s="74" t="inlineStr">
        <ns0:is>
          <ns0:t>N/A</ns0:t>
        </ns0:is>
      </ns0:c>
      <ns0:c r="BT331" s="74" t="inlineStr">
        <ns0:is>
          <ns0:t>N/A</ns0:t>
        </ns0:is>
      </ns0:c>
      <ns0:c r="BU331" s="91" t="inlineStr">
        <ns0:is>
          <ns0:t>CMBC International Capital Limited</ns0:t>
        </ns0:is>
      </ns0:c>
      <ns0:c r="BV331" s="74" t="inlineStr">
        <ns0:is>
          <ns0:t>CMBC International Capital Limited</ns0:t>
        </ns0:is>
      </ns0:c>
      <ns0:c r="BW331" s="74" t="inlineStr">
        <ns0:is>
          <ns0:t>China Industrial Securities International Capital Limited; Guosen Securities (HK) Capital Company Limited; ABCI Capital Limited</ns0:t>
        </ns0:is>
      </ns0:c>
      <ns0:c r="BX331" s="74" t="inlineStr">
        <ns0:is>
          <ns0: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ns0:t>
        </ns0:is>
      </ns0:c>
      <ns0:c r="BY331" s="93">
        <ns0:f>HYPERLINK("https://www1.hkexnews.hk/listedco/listconews/sehk/2025/0530/2025053000073.pdf","prospectus")</ns0:f>
        <ns0:v/>
      </ns0:c>
      <ns0:c r="BZ331" s="93">
        <ns0:f>HYPERLINK("https://www1.hkexnews.hk/listedco/listconews/sehk/2025/0609/2025060901156.pdf","allotment")</ns0:f>
        <ns0:v/>
      </ns0:c>
      <ns0:c r="CA331" s="85" t="n"/>
      <ns0:c r="CB331" s="94" t="n"/>
      <ns0:c r="CC331" s="74" t="inlineStr">
        <ns0:is>
          <ns0:t>greenshoe: end-of-stabilisation notice not found</ns0:t>
        </ns0:is>
      </ns0:c>
    </ns0:row>
    <ns0:row r="332" ht="22" customHeight="1">
      <ns0:c r="A332" s="73" t="inlineStr">
        <ns0:is>
          <ns0:t>2605</ns0:t>
        </ns0:is>
      </ns0:c>
      <ns0:c r="B332" s="74" t="inlineStr">
        <ns0:is>
          <ns0:t>METALIGHT</ns0:t>
        </ns0:is>
      </ns0:c>
      <ns0:c r="C332" s="74" t="inlineStr">
        <ns0:is>
          <ns0:t>METALIGHT</ns0:t>
        </ns0:is>
      </ns0:c>
      <ns0:c r="D332" s="74" t="inlineStr">
        <ns0:is>
          <ns0:t>Technology</ns0:t>
        </ns0:is>
      </ns0:c>
      <ns0:c r="E332" s="74" t="inlineStr">
        <ns0:is>
          <ns0:t>Internet &amp; fintech</ns0:t>
        </ns0:is>
      </ns0:c>
      <ns0:c r="F332" s="74" t="inlineStr">
        <ns0:is>
          <ns0:t>Advertising</ns0:t>
        </ns0:is>
      </ns0:c>
      <ns0:c r="G332" s="74" t="inlineStr">
        <ns0:is>
          <ns0:t>Standard</ns0:t>
        </ns0:is>
      </ns0:c>
      <ns0:c r="H332" s="75" t="n">
        <ns0:v>45818</ns0:v>
      </ns0:c>
      <ns0:c r="I332" s="76" t="n">
        <ns0:v>242.35</ns0:v>
      </ns0:c>
      <ns0:c r="J332" s="74" t="inlineStr">
        <ns0:is>
          <ns0:t>gross (stated)</ns0:t>
        </ns0:is>
      </ns0:c>
      <ns0:c r="K332" s="95" t="n"/>
      <ns0:c r="L332" s="77" t="n">
        <ns0:v>9.75</ns0:v>
      </ns0:c>
      <ns0:c r="M332" s="77" t="n">
        <ns0:v>9.75</ns0:v>
      </ns0:c>
      <ns0:c r="N332" s="74" t="inlineStr">
        <ns0:is>
          <ns0:t>Y</ns0:t>
        </ns0:is>
      </ns0:c>
      <ns0:c r="O332" s="78" t="n">
        <ns0:v>100</ns0:v>
      </ns0:c>
      <ns0:c r="P332" s="84" t="n"/>
      <ns0:c r="Q332" s="79" t="n">
        <ns0:v>1504.2</ns0:v>
      </ns0:c>
      <ns0:c r="R332" s="74" t="inlineStr">
        <ns0:is>
          <ns0:t>derived:price x shares upon listing</ns0:t>
        </ns0:is>
      </ns0:c>
      <ns0:c r="S332" s="80" t="n">
        <ns0:v>274.44</ns0:v>
      </ns0:c>
      <ns0:c r="T332" s="81" t="n">
        <ns0:v>2.49</ns0:v>
      </ns0:c>
      <ns0:c r="U332" s="82" t="n">
        <ns0:v>0</ns0:v>
      </ns0:c>
      <ns0:c r="V332" s="83" t="n">
        <ns0:v>127</ns0:v>
      </ns0:c>
      <ns0:c r="W332" s="78" t="n">
        <ns0:v>50</ns0:v>
      </ns0:c>
      <ns0:c r="X332" s="74" t="inlineStr">
        <ns0:is>
          <ns0:t>YES</ns0:t>
        </ns0:is>
      </ns0:c>
      <ns0:c r="Y332" s="79" t="n">
        <ns0:v>242.35</ns0:v>
      </ns0:c>
      <ns0:c r="Z332" s="79" t="n">
        <ns0:v>24856000</ns0:v>
      </ns0:c>
      <ns0:c r="AA332" s="78" t="n">
        <ns0:v>16.11</ns0:v>
      </ns0:c>
      <ns0:c r="AB332" s="74" t="inlineStr">
        <ns0:is>
          <ns0:t>none — no cornerstone tranche</ns0:t>
        </ns0:is>
      </ns0:c>
      <ns0:c r="AC332" s="74" t="inlineStr">
        <ns0:is>
          <ns0:t>none</ns0:t>
        </ns0:is>
      </ns0:c>
      <ns0:c r="AD332" s="84" t="n"/>
      <ns0:c r="AE332" s="85" t="n"/>
      <ns0:c r="AF332" s="85" t="n"/>
      <ns0:c r="AG332" s="85" t="n"/>
      <ns0:c r="AH332" s="85" t="n"/>
      <ns0:c r="AI332" s="86" t="n">
        <ns0:v>-14.77</ns0:v>
      </ns0:c>
      <ns0:c r="AJ332" s="87" t="n">
        <ns0:v>-30.26</ns0:v>
      </ns0:c>
      <ns0:c r="AK332" s="87" t="n">
        <ns0:v>-0.75</ns0:v>
      </ns0:c>
      <ns0:c r="AL332" s="87" t="n">
        <ns0:v>-22.05</ns0:v>
      </ns0:c>
      <ns0:c r="AM332" s="87" t="n">
        <ns0:v>-10.53</ns0:v>
      </ns0:c>
      <ns0:c r="AN332" s="89" t="n">
        <ns0:v>1.93</ns0:v>
      </ns0:c>
      <ns0:c r="AO332" s="78" t="n">
        <ns0:v>19.87</ns0:v>
      </ns0:c>
      <ns0:c r="AP332" s="87" t="n">
        <ns0:v>-29.95</ns0:v>
      </ns0:c>
      <ns0:c r="AQ332" s="87" t="n">
        <ns0:v>-37.85</ns0:v>
      </ns0:c>
      <ns0:c r="AR332" s="87" t="n">
        <ns0:v>-49.64</ns0:v>
      </ns0:c>
      <ns0:c r="AS332" s="87" t="n">
        <ns0:v>0.44</ns0:v>
      </ns0:c>
      <ns0:c r="AT332" s="87" t="n">
        <ns0:v>-10.88</ns0:v>
      </ns0:c>
      <ns0:c r="AU332" s="87" t="n">
        <ns0:v>-27.79</ns0:v>
      </ns0:c>
      <ns0:c r="AV332" s="87" t="n">
        <ns0:v>-27.42</ns0:v>
      </ns0:c>
      <ns0:c r="AW332" s="87" t="n">
        <ns0:v>-34</ns0:v>
      </ns0:c>
      <ns0:c r="AX332" s="87" t="n">
        <ns0:v>-55.46</ns0:v>
      </ns0:c>
      <ns0:c r="AY332" s="87" t="n">
        <ns0:v>-7.76</ns0:v>
      </ns0:c>
      <ns0:c r="AZ332" s="87" t="n">
        <ns0:v>-3.85</ns0:v>
      </ns0:c>
      <ns0:c r="BA332" s="87" t="n">
        <ns0:v>-3.12</ns0:v>
      </ns0:c>
      <ns0:c r="BB332" s="74" t="inlineStr">
        <ns0:is>
          <ns0:t>HSTECH (Hang Seng TECH ETF)</ns0:t>
        </ns0:is>
      </ns0:c>
      <ns0:c r="BC332" s="87" t="n">
        <ns0:v>-88.20999999999999</ns0:v>
      </ns0:c>
      <ns0:c r="BD332" s="75" t="n">
        <ns0:v>46297</ns0:v>
      </ns0:c>
      <ns0:c r="BE332" s="76" t="n">
        <ns0:v>226.8</ns0:v>
      </ns0:c>
      <ns0:c r="BF332" s="79" t="n">
        <ns0:v>-28.8</ns0:v>
      </ns0:c>
      <ns0:c r="BG332" s="74" t="inlineStr">
        <ns0:is>
          <ns0:t>N</ns0:t>
        </ns0:is>
      </ns0:c>
      <ns0:c r="BH332" s="74" t="inlineStr">
        <ns0:is>
          <ns0:t>n/m</ns0:t>
        </ns0:is>
      </ns0:c>
      <ns0:c r="BI332" s="88" t="n"/>
      <ns0:c r="BJ332" s="88" t="n"/>
      <ns0:c r="BK332" s="89" t="n">
        <ns0:v>6.6</ns0:v>
      </ns0:c>
      <ns0:c r="BL332" s="90">
        <ns0:f>IFERROR(IF('BBG Verify'!S332="","Awaiting Bloomberg",'BBG Verify'!S332),"Awaiting Bloomberg")</ns0:f>
        <ns0:v/>
      </ns0:c>
      <ns0:c r="BM332" s="91" t="inlineStr">
        <ns0:is>
          <ns0:t>N</ns0:t>
        </ns0:is>
      </ns0:c>
      <ns0:c r="BN332" s="92">
        <ns0:f>IFERROR(IF('BBG Verify'!K332="","Awaiting Bloomberg",'BBG Verify'!K332),"Awaiting Bloomberg")</ns0:f>
        <ns0:v/>
      </ns0:c>
      <ns0:c r="BO332" s="74" t="inlineStr">
        <ns0:is>
          <ns0:t>N/A</ns0:t>
        </ns0:is>
      </ns0:c>
      <ns0:c r="BP332" s="74" t="inlineStr">
        <ns0:is>
          <ns0:t>N/A</ns0:t>
        </ns0:is>
      </ns0:c>
      <ns0:c r="BQ332" s="74" t="inlineStr">
        <ns0:is>
          <ns0:t>N/A</ns0:t>
        </ns0:is>
      </ns0:c>
      <ns0:c r="BR332" s="74" t="inlineStr">
        <ns0:is>
          <ns0:t>N/A</ns0:t>
        </ns0:is>
      </ns0:c>
      <ns0:c r="BS332" s="74" t="inlineStr">
        <ns0:is>
          <ns0:t>N/A</ns0:t>
        </ns0:is>
      </ns0:c>
      <ns0:c r="BT332" s="74" t="inlineStr">
        <ns0:is>
          <ns0:t>N/A</ns0:t>
        </ns0:is>
      </ns0:c>
      <ns0:c r="BU332" s="91" t="inlineStr">
        <ns0:is>
          <ns0:t>China International Capital Corporation Hong Kong Securities Limited</ns0:t>
        </ns0:is>
      </ns0:c>
      <ns0:c r="BV332" s="74" t="inlineStr">
        <ns0:is>
          <ns0:t>China International Capital Corporation Hong Kong Securities Limited</ns0:t>
        </ns0:is>
      </ns0:c>
      <ns0:c r="BW332" s="74" t="inlineStr">
        <ns0:is>
          <ns0: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ns0:t>
        </ns0:is>
      </ns0:c>
      <ns0:c r="BX332" s="74" t="inlineStr">
        <ns0:is>
          <ns0: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ns0:t>
        </ns0:is>
      </ns0:c>
      <ns0:c r="BY332" s="93">
        <ns0:f>HYPERLINK("https://www1.hkexnews.hk/listedco/listconews/sehk/2025/0602/2025060200008.pdf","prospectus")</ns0:f>
        <ns0:v/>
      </ns0:c>
      <ns0:c r="BZ332" s="93">
        <ns0:f>HYPERLINK("https://www1.hkexnews.hk/listedco/listconews/sehk/2025/0609/2025060901376.pdf","allotment")</ns0:f>
        <ns0:v/>
      </ns0:c>
      <ns0:c r="CA332" s="85" t="n"/>
      <ns0:c r="CB332" s="94" t="n"/>
      <ns0:c r="CC332" s="74" t="inlineStr">
        <ns0:is>
          <ns0:t>P/E: loss-making at IPO, use P/S; greenshoe: no over-allotment option; range low: maximum offer price only, no floor published; cornerstone list: no cornerstone tranche; greenshoe size: no over-allotment option; stabilising manager: filing states none appointed (prospectus: 'no stabilizing manager will be appointed' stated in the filing)</ns0:t>
        </ns0:is>
      </ns0:c>
    </ns0:row>
    <ns0:row r="333" ht="22" customHeight="1">
      <ns0:c r="A333" s="73" t="inlineStr">
        <ns0:is>
          <ns0:t>3288</ns0:t>
        </ns0:is>
      </ns0:c>
      <ns0:c r="B333" s="74" t="inlineStr">
        <ns0:is>
          <ns0:t>HAITIAN FLAV</ns0:t>
        </ns0:is>
      </ns0:c>
      <ns0:c r="C333" s="74" t="inlineStr">
        <ns0:is>
          <ns0:t>海天味業</ns0:t>
        </ns0:is>
      </ns0:c>
      <ns0:c r="D333" s="74" t="inlineStr">
        <ns0:is>
          <ns0:t>Consumer</ns0:t>
        </ns0:is>
      </ns0:c>
      <ns0:c r="E333" s="74" t="inlineStr">
        <ns0:is>
          <ns0:t>Beverages / packaged food</ns0:t>
        </ns0:is>
      </ns0:c>
      <ns0:c r="F333" s="74" t="inlineStr">
        <ns0:is>
          <ns0:t>Food Additives</ns0:t>
        </ns0:is>
      </ns0:c>
      <ns0:c r="G333" s="74" t="inlineStr">
        <ns0:is>
          <ns0:t>Standard</ns0:t>
        </ns0:is>
      </ns0:c>
      <ns0:c r="H333" s="75" t="n">
        <ns0:v>45827</ns0:v>
      </ns0:c>
      <ns0:c r="I333" s="76" t="n">
        <ns0:v>10128.9</ns0:v>
      </ns0:c>
      <ns0:c r="J333" s="74" t="inlineStr">
        <ns0:is>
          <ns0:t>gross (stated)</ns0:t>
        </ns0:is>
      </ns0:c>
      <ns0:c r="K333" s="77" t="n">
        <ns0:v>35</ns0:v>
      </ns0:c>
      <ns0:c r="L333" s="77" t="n">
        <ns0:v>36.3</ns0:v>
      </ns0:c>
      <ns0:c r="M333" s="77" t="n">
        <ns0:v>36.3</ns0:v>
      </ns0:c>
      <ns0:c r="N333" s="74" t="inlineStr">
        <ns0:is>
          <ns0:t>Y</ns0:t>
        </ns0:is>
      </ns0:c>
      <ns0:c r="O333" s="78" t="n">
        <ns0:v>100</ns0:v>
      </ns0:c>
      <ns0:c r="P333" s="78" t="n">
        <ns0:v>100</ns0:v>
      </ns0:c>
      <ns0:c r="Q333" s="79" t="n">
        <ns0:v>185511</ns0:v>
      </ns0:c>
      <ns0:c r="R333" s="74" t="inlineStr">
        <ns0:is>
          <ns0:t>derived:deal size / offer % of enlarged capital</ns0:t>
        </ns0:is>
      </ns0:c>
      <ns0:c r="S333" s="80" t="n">
        <ns0:v>918.15</ns0:v>
      </ns0:c>
      <ns0:c r="T333" s="81" t="n">
        <ns0:v>22.93</ns0:v>
      </ns0:c>
      <ns0:c r="U333" s="82" t="n">
        <ns0:v>46.08</ns0:v>
      </ns0:c>
      <ns0:c r="V333" s="83" t="n">
        <ns0:v>25</ns0:v>
      </ns0:c>
      <ns0:c r="W333" s="78" t="n">
        <ns0:v>19.81</ns0:v>
      </ns0:c>
      <ns0:c r="X333" s="74" t="inlineStr">
        <ns0:is>
          <ns0:t>YES</ns0:t>
        </ns0:is>
      </ns0:c>
      <ns0:c r="Y333" s="79" t="n">
        <ns0:v>5461.5</ns0:v>
      </ns0:c>
      <ns0:c r="Z333" s="79" t="n">
        <ns0:v>150453893</ns0:v>
      </ns0:c>
      <ns0:c r="AA333" s="78" t="n">
        <ns0:v>2.94</ns0:v>
      </ns0:c>
      <ns0:c r="AB333" s="74" t="inlineStr">
        <ns0:is>
          <ns0:t>HHLR Advisors, Ltd; GIC Private Limited; 4 RBC Global Asset Management (Asia) Limited; China Pinnacle Equity Management Limited; UBS Asset Management (Singapore) Ltd; Supercluster Universe Limited; HSG Growth VII Holdco, Ltd; Foshan Development Co., Ltd</ns0:t>
        </ns0:is>
      </ns0:c>
      <ns0:c r="AC333" s="74" t="inlineStr">
        <ns0:is>
          <ns0:t>hhlr;gic;rbc;pinnacle;ubs;supercluster;hsg;foshan</ns0:t>
        </ns0:is>
      </ns0:c>
      <ns0:c r="AD333" s="78" t="n">
        <ns0:v>15</ns0:v>
      </ns0:c>
      <ns0:c r="AE333" s="74" t="inlineStr">
        <ns0:is>
          <ns0:t>partial</ns0:t>
        </ns0:is>
      </ns0:c>
      <ns0:c r="AF333" s="74" t="inlineStr">
        <ns0:is>
          <ns0:t>2025-07-16</ns0:t>
        </ns0:is>
      </ns0:c>
      <ns0:c r="AG333" s="74" t="inlineStr">
        <ns0:is>
          <ns0:t>China International Capital Corporation Hong Kong Securities Limited</ns0:t>
        </ns0:is>
      </ns0:c>
      <ns0:c r="AH333" s="74" t="inlineStr">
        <ns0:is>
          <ns0:t>China International</ns0:t>
        </ns0:is>
      </ns0:c>
      <ns0:c r="AI333" s="86" t="n">
        <ns0:v>5.23</ns0:v>
      </ns0:c>
      <ns0:c r="AJ333" s="87" t="n">
        <ns0:v>0.55</ns0:v>
      </ns0:c>
      <ns0:c r="AK333" s="87" t="n">
        <ns0:v>-2.2</ns0:v>
      </ns0:c>
      <ns0:c r="AL333" s="87" t="n">
        <ns0:v>3.31</ns0:v>
      </ns0:c>
      <ns0:c r="AM333" s="87" t="n">
        <ns0:v>-2.67</ns0:v>
      </ns0:c>
      <ns0:c r="AN333" s="89" t="n">
        <ns0:v>1.4</ns0:v>
      </ns0:c>
      <ns0:c r="AO333" s="78" t="n">
        <ns0:v>5.2</ns0:v>
      </ns0:c>
      <ns0:c r="AP333" s="87" t="n">
        <ns0:v>-3.44</ns0:v>
      </ns0:c>
      <ns0:c r="AQ333" s="87" t="n">
        <ns0:v>-1.65</ns0:v>
      </ns0:c>
      <ns0:c r="AR333" s="87" t="n">
        <ns0:v>-6.5</ns0:v>
      </ns0:c>
      <ns0:c r="AS333" s="87" t="n">
        <ns0:v>-3.97</ns0:v>
      </ns0:c>
      <ns0:c r="AT333" s="87" t="n">
        <ns0:v>-2.19</ns0:v>
      </ns0:c>
      <ns0:c r="AU333" s="87" t="n">
        <ns0:v>-7.01</ns0:v>
      </ns0:c>
      <ns0:c r="AV333" s="87" t="n">
        <ns0:v>-4.73</ns0:v>
      </ns0:c>
      <ns0:c r="AW333" s="87" t="n">
        <ns0:v>-7.14</ns0:v>
      </ns0:c>
      <ns0:c r="AX333" s="87" t="n">
        <ns0:v>-23.57</ns0:v>
      </ns0:c>
      <ns0:c r="AY333" s="87" t="n">
        <ns0:v>-10.05</ns0:v>
      </ns0:c>
      <ns0:c r="AZ333" s="87" t="n">
        <ns0:v>5.49</ns0:v>
      </ns0:c>
      <ns0:c r="BA333" s="87" t="n">
        <ns0:v>7.86</ns0:v>
      </ns0:c>
      <ns0:c r="BB333" s="74" t="inlineStr">
        <ns0:is>
          <ns0:t>Hang Seng Commerce &amp; Industry sub-index</ns0:t>
        </ns0:is>
      </ns0:c>
      <ns0:c r="BC333" s="87" t="n">
        <ns0:v>-30.36</ns0:v>
      </ns0:c>
      <ns0:c r="BD333" s="75" t="n">
        <ns0:v>46297</ns0:v>
      </ns0:c>
      <ns0:c r="BE333" s="76" t="n">
        <ns0:v>29591.1</ns0:v>
      </ns0:c>
      <ns0:c r="BF333" s="79" t="n">
        <ns0:v>6991.4</ns0:v>
      </ns0:c>
      <ns0:c r="BG333" s="74" t="inlineStr">
        <ns0:is>
          <ns0:t>Y</ns0:t>
        </ns0:is>
      </ns0:c>
      <ns0:c r="BH333" s="89" t="n">
        <ns0:v>26.5</ns0:v>
      </ns0:c>
      <ns0:c r="BI333" s="89" t="n">
        <ns0:v>29.3</ns0:v>
      </ns0:c>
      <ns0:c r="BJ333" s="89" t="n">
        <ns0:v>22.3</ns0:v>
      </ns0:c>
      <ns0:c r="BK333" s="89" t="n">
        <ns0:v>6.3</ns0:v>
      </ns0:c>
      <ns0:c r="BL333" s="90">
        <ns0:f>IFERROR(IF('BBG Verify'!S333="","Awaiting Bloomberg",'BBG Verify'!S333),"Awaiting Bloomberg")</ns0:f>
        <ns0:v/>
      </ns0:c>
      <ns0:c r="BM333" s="91" t="inlineStr">
        <ns0:is>
          <ns0:t>Y</ns0:t>
        </ns0:is>
      </ns0:c>
      <ns0:c r="BN333" s="74" t="inlineStr">
        <ns0:is>
          <ns0:t>603288.SS</ns0:t>
        </ns0:is>
      </ns0:c>
      <ns0:c r="BO333" s="87" t="n">
        <ns0:v>21.07</ns0:v>
      </ns0:c>
      <ns0:c r="BP333" s="77" t="n">
        <ns0:v>43.9481</ns0:v>
      </ns0:c>
      <ns0:c r="BQ333" s="101" t="n">
        <ns0:v>0.5354</ns0:v>
      </ns0:c>
      <ns0:c r="BR333" s="79" t="n">
        <ns0:v>226928.5</ns0:v>
      </ns0:c>
      <ns0:c r="BS333" s="90">
        <ns0:f>IFERROR(IF('BBG Verify'!Q333="","Awaiting Bloomberg",'BBG Verify'!Q333),"Awaiting Bloomberg")</ns0:f>
        <ns0:v/>
      </ns0:c>
      <ns0:c r="BT333" s="90">
        <ns0:f>IFERROR(IF('BBG Verify'!R333="","Awaiting Bloomberg",'BBG Verify'!R333),"Awaiting Bloomberg")</ns0:f>
        <ns0:v/>
      </ns0:c>
      <ns0:c r="BU333" s="91" t="inlineStr">
        <ns0:is>
          <ns0:t>China International Capital Corporation Hong Kong Securities Limited; Goldman Sachs (Asia) L.L.C; Morgan Stanley Asia Limited</ns0:t>
        </ns0:is>
      </ns0:c>
      <ns0:c r="BV333" s="74" t="inlineStr">
        <ns0:is>
          <ns0:t>China International Capital Corporation Hong Kong Securities Limited; Morgan Stanley Asia Limited; Goldman Sachs (Asia) L.L.C.</ns0:t>
        </ns0:is>
      </ns0:c>
      <ns0:c r="BW333" s="74" t="inlineStr">
        <ns0:is>
          <ns0:t>ABCI Securities Company Limited</ns0:t>
        </ns0:is>
      </ns0:c>
      <ns0:c r="BX333" s="74" t="inlineStr">
        <ns0:is>
          <ns0: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ns0:t>
        </ns0:is>
      </ns0:c>
      <ns0:c r="BY333" s="93">
        <ns0:f>HYPERLINK("https://www1.hkexnews.hk/listedco/listconews/sehk/2025/0611/2025061100017.pdf","prospectus")</ns0:f>
        <ns0:v/>
      </ns0:c>
      <ns0:c r="BZ333" s="93">
        <ns0:f>HYPERLINK("https://www1.hkexnews.hk/listedco/listconews/sehk/2025/0618/2025061801931.pdf","allotment")</ns0:f>
        <ns0:v/>
      </ns0:c>
      <ns0:c r="CA333" s="93">
        <ns0:f>HYPERLINK("https://www1.hkexnews.hk/listedco/listconews/sehk/2025/0717/2025071700201.pdf","stabilisation")</ns0:f>
        <ns0:v/>
      </ns0:c>
      <ns0:c r="CB333" s="94" t="n"/>
      <ns0:c r="CC333" s="74" t="inlineStr">
        <ns0:is>
          <ns0:t>A/H: Jun 2025, ~US$1.3bn; condiments leader</ns0:t>
        </ns0:is>
      </ns0:c>
    </ns0:row>
    <ns0:row r="334" ht="22" customHeight="1">
      <ns0:c r="A334" s="73" t="inlineStr">
        <ns0:is>
          <ns0:t>2609</ns0:t>
        </ns0:is>
      </ns0:c>
      <ns0:c r="B334" s="74" t="inlineStr">
        <ns0:is>
          <ns0:t>BAYZED HEALTH</ns0:t>
        </ns0:is>
      </ns0:c>
      <ns0:c r="C334" s="74" t="inlineStr">
        <ns0:is>
          <ns0:t>佰澤醫療</ns0:t>
        </ns0:is>
      </ns0:c>
      <ns0:c r="D334" s="74" t="inlineStr">
        <ns0:is>
          <ns0:t>Healthcare</ns0:t>
        </ns0:is>
      </ns0:c>
      <ns0:c r="E334" s="74" t="inlineStr">
        <ns0:is>
          <ns0:t>Digital health</ns0:t>
        </ns0:is>
      </ns0:c>
      <ns0:c r="F334" s="74" t="inlineStr">
        <ns0:is>
          <ns0:t>Health Care Services</ns0:t>
        </ns0:is>
      </ns0:c>
      <ns0:c r="G334" s="74" t="inlineStr">
        <ns0:is>
          <ns0:t>Standard</ns0:t>
        </ns0:is>
      </ns0:c>
      <ns0:c r="H334" s="75" t="n">
        <ns0:v>45831</ns0:v>
      </ns0:c>
      <ns0:c r="I334" s="76" t="n">
        <ns0:v>561.7</ns0:v>
      </ns0:c>
      <ns0:c r="J334" s="74" t="inlineStr">
        <ns0:is>
          <ns0:t>gross (stated)</ns0:t>
        </ns0:is>
      </ns0:c>
      <ns0:c r="K334" s="77" t="n">
        <ns0:v>4.22</ns0:v>
      </ns0:c>
      <ns0:c r="L334" s="77" t="n">
        <ns0:v>6.75</ns0:v>
      </ns0:c>
      <ns0:c r="M334" s="77" t="n">
        <ns0:v>4.22</ns0:v>
      </ns0:c>
      <ns0:c r="N334" s="74" t="inlineStr">
        <ns0:is>
          <ns0:t>N</ns0:t>
        </ns0:is>
      </ns0:c>
      <ns0:c r="O334" s="78" t="n">
        <ns0:v>62.5</ns0:v>
      </ns0:c>
      <ns0:c r="P334" s="78" t="n">
        <ns0:v>0</ns0:v>
      </ns0:c>
      <ns0:c r="Q334" s="79" t="n">
        <ns0:v>5563.9</ns0:v>
      </ns0:c>
      <ns0:c r="R334" s="74" t="inlineStr">
        <ns0:is>
          <ns0:t>derived:price x shares upon listing</ns0:t>
        </ns0:is>
      </ns0:c>
      <ns0:c r="S334" s="80" t="n">
        <ns0:v>25.92</ns0:v>
      </ns0:c>
      <ns0:c r="T334" s="81" t="n">
        <ns0:v>0.98</ns0:v>
      </ns0:c>
      <ns0:c r="U334" s="82" t="n">
        <ns0:v>26.5</ns0:v>
      </ns0:c>
      <ns0:c r="V334" s="83" t="n">
        <ns0:v>113</ns0:v>
      </ns0:c>
      <ns0:c r="W334" s="78" t="n">
        <ns0:v>12.2</ns0:v>
      </ns0:c>
      <ns0:c r="X334" s="74" t="inlineStr">
        <ns0:is>
          <ns0:t>NO</ns0:t>
        </ns0:is>
      </ns0:c>
      <ns0:c r="Y334" s="79" t="n">
        <ns0:v>412.85</ns0:v>
      </ns0:c>
      <ns0:c r="Z334" s="79" t="n">
        <ns0:v>97832763</ns0:v>
      </ns0:c>
      <ns0:c r="AA334" s="78" t="n">
        <ns0:v>7.42</ns0:v>
      </ns0:c>
      <ns0:c r="AB334" s="74" t="inlineStr">
        <ns0:is>
          <ns0:t>Harvest Oriental SP</ns0:t>
        </ns0:is>
      </ns0:c>
      <ns0:c r="AC334" s="74" t="inlineStr">
        <ns0:is>
          <ns0:t>harvest</ns0:t>
        </ns0:is>
      </ns0:c>
      <ns0:c r="AD334" s="84" t="n"/>
      <ns0:c r="AE334" s="85" t="n"/>
      <ns0:c r="AF334" s="85" t="n"/>
      <ns0:c r="AG334" s="85" t="n"/>
      <ns0:c r="AH334" s="85" t="n"/>
      <ns0:c r="AI334" s="86" t="n">
        <ns0:v>25.83</ns0:v>
      </ns0:c>
      <ns0:c r="AJ334" s="87" t="n">
        <ns0:v>42.18</ns0:v>
      </ns0:c>
      <ns0:c r="AK334" s="87" t="n">
        <ns0:v>1.53</ns0:v>
      </ns0:c>
      <ns0:c r="AL334" s="87" t="n">
        <ns0:v>24.41</ns0:v>
      </ns0:c>
      <ns0:c r="AM334" s="87" t="n">
        <ns0:v>14.28</ns0:v>
      </ns0:c>
      <ns0:c r="AN334" s="89" t="n">
        <ns0:v>1.34</ns0:v>
      </ns0:c>
      <ns0:c r="AO334" s="78" t="n">
        <ns0:v>19.24</ns0:v>
      </ns0:c>
      <ns0:c r="AP334" s="87" t="n">
        <ns0:v>46.21</ns0:v>
      </ns0:c>
      <ns0:c r="AQ334" s="87" t="n">
        <ns0:v>57.11</ns0:v>
      </ns0:c>
      <ns0:c r="AR334" s="87" t="n">
        <ns0:v>91.94</ns0:v>
      </ns0:c>
      <ns0:c r="AS334" s="87" t="n">
        <ns0:v>2.83</ns0:v>
      </ns0:c>
      <ns0:c r="AT334" s="87" t="n">
        <ns0:v>10.5</ns0:v>
      </ns0:c>
      <ns0:c r="AU334" s="87" t="n">
        <ns0:v>35</ns0:v>
      </ns0:c>
      <ns0:c r="AV334" s="87" t="n">
        <ns0:v>43.69</ns0:v>
      </ns0:c>
      <ns0:c r="AW334" s="87" t="n">
        <ns0:v>39.85</ns0:v>
      </ns0:c>
      <ns0:c r="AX334" s="87" t="n">
        <ns0:v>59.77</ns0:v>
      </ns0:c>
      <ns0:c r="AY334" s="87" t="n">
        <ns0:v>-5</ns0:v>
      </ns0:c>
      <ns0:c r="AZ334" s="87" t="n">
        <ns0:v>17.26</ns0:v>
      </ns0:c>
      <ns0:c r="BA334" s="87" t="n">
        <ns0:v>15.5</ns0:v>
      </ns0:c>
      <ns0:c r="BB334" s="74" t="inlineStr">
        <ns0:is>
          <ns0:t>China Biotech ETF (HS biotech proxy)</ns0:t>
        </ns0:is>
      </ns0:c>
      <ns0:c r="BC334" s="87" t="n">
        <ns0:v>-27.96</ns0:v>
      </ns0:c>
      <ns0:c r="BD334" s="75" t="n">
        <ns0:v>46297</ns0:v>
      </ns0:c>
      <ns0:c r="BE334" s="76" t="n">
        <ns0:v>1307.7</ns0:v>
      </ns0:c>
      <ns0:c r="BF334" s="79" t="n">
        <ns0:v>-3.9</ns0:v>
      </ns0:c>
      <ns0:c r="BG334" s="74" t="inlineStr">
        <ns0:is>
          <ns0:t>N</ns0:t>
        </ns0:is>
      </ns0:c>
      <ns0:c r="BH334" s="74" t="inlineStr">
        <ns0:is>
          <ns0:t>n/m</ns0:t>
        </ns0:is>
      </ns0:c>
      <ns0:c r="BI334" s="88" t="n"/>
      <ns0:c r="BJ334" s="88" t="n"/>
      <ns0:c r="BK334" s="89" t="n">
        <ns0:v>4.3</ns0:v>
      </ns0:c>
      <ns0:c r="BL334" s="90">
        <ns0:f>IFERROR(IF('BBG Verify'!S334="","Awaiting Bloomberg",'BBG Verify'!S334),"Awaiting Bloomberg")</ns0:f>
        <ns0:v/>
      </ns0:c>
      <ns0:c r="BM334" s="91" t="inlineStr">
        <ns0:is>
          <ns0:t>N</ns0:t>
        </ns0:is>
      </ns0:c>
      <ns0:c r="BN334" s="92">
        <ns0:f>IFERROR(IF('BBG Verify'!K334="","Awaiting Bloomberg",'BBG Verify'!K334),"Awaiting Bloomberg")</ns0:f>
        <ns0:v/>
      </ns0:c>
      <ns0:c r="BO334" s="74" t="inlineStr">
        <ns0:is>
          <ns0:t>N/A</ns0:t>
        </ns0:is>
      </ns0:c>
      <ns0:c r="BP334" s="74" t="inlineStr">
        <ns0:is>
          <ns0:t>N/A</ns0:t>
        </ns0:is>
      </ns0:c>
      <ns0:c r="BQ334" s="74" t="inlineStr">
        <ns0:is>
          <ns0:t>N/A</ns0:t>
        </ns0:is>
      </ns0:c>
      <ns0:c r="BR334" s="74" t="inlineStr">
        <ns0:is>
          <ns0:t>N/A</ns0:t>
        </ns0:is>
      </ns0:c>
      <ns0:c r="BS334" s="74" t="inlineStr">
        <ns0:is>
          <ns0:t>N/A</ns0:t>
        </ns0:is>
      </ns0:c>
      <ns0:c r="BT334" s="74" t="inlineStr">
        <ns0:is>
          <ns0:t>N/A</ns0:t>
        </ns0:is>
      </ns0:c>
      <ns0:c r="BU334" s="91" t="inlineStr">
        <ns0:is>
          <ns0: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ns0:t>
        </ns0:is>
      </ns0:c>
      <ns0:c r="BV334" s="74" t="inlineStr">
        <ns0:is>
          <ns0:t>CMB International Capital Limited</ns0:t>
        </ns0:is>
      </ns0:c>
      <ns0:c r="BW334" s="74" t="inlineStr">
        <ns0:is>
          <ns0:t>CMB International Capital Limited; Futu Securities International (Hong Kong) Limited</ns0:t>
        </ns0:is>
      </ns0:c>
      <ns0:c r="BX334" s="74" t="inlineStr">
        <ns0:is>
          <ns0:t>CMB International Capital Limited; Futu Securities International (Hong Kong) Limited</ns0:t>
        </ns0:is>
      </ns0:c>
      <ns0:c r="BY334" s="93">
        <ns0:f>HYPERLINK("https://www1.hkexnews.hk/listedco/listconews/sehk/2025/0613/2025061300019.pdf","prospectus")</ns0:f>
        <ns0:v/>
      </ns0:c>
      <ns0:c r="BZ334" s="93">
        <ns0:f>HYPERLINK("https://www1.hkexnews.hk/listedco/listconews/sehk/2025/0620/2025062001890.pdf","allotment")</ns0:f>
        <ns0:v/>
      </ns0:c>
      <ns0:c r="CA334" s="85" t="n"/>
      <ns0:c r="CB334" s="94" t="n"/>
      <ns0:c r="CC334" s="74" t="inlineStr">
        <ns0:is>
          <ns0:t>P/E: loss-making at IPO, use P/S; greenshoe: no over-allotment option; market cap: AAStocks lists HK$7,649m at listing vs HK$5,564m from price x filed share count; the filed count kept; greenshoe size: no over-allotment option; stabilising manager: no over-allotment option, so none appointed</ns0:t>
        </ns0:is>
      </ns0:c>
    </ns0:row>
    <ns0:row r="335" ht="22" customHeight="1">
      <ns0:c r="A335" s="73" t="inlineStr">
        <ns0:is>
          <ns0:t>2050</ns0:t>
        </ns0:is>
      </ns0:c>
      <ns0:c r="B335" s="74" t="inlineStr">
        <ns0:is>
          <ns0:t>SANHUA</ns0:t>
        </ns0:is>
      </ns0:c>
      <ns0:c r="C335" s="74" t="inlineStr">
        <ns0:is>
          <ns0:t>三花智控</ns0:t>
        </ns0:is>
      </ns0:c>
      <ns0:c r="D335" s="74" t="inlineStr">
        <ns0:is>
          <ns0:t>Consumer</ns0:t>
        </ns0:is>
      </ns0:c>
      <ns0:c r="E335" s="74" t="inlineStr">
        <ns0:is>
          <ns0:t>Auto parts / supply chain</ns0:t>
        </ns0:is>
      </ns0:c>
      <ns0:c r="F335" s="74" t="inlineStr">
        <ns0:is>
          <ns0:t>Electrical Components &amp; Equipment</ns0:t>
        </ns0:is>
      </ns0:c>
      <ns0:c r="G335" s="74" t="inlineStr">
        <ns0:is>
          <ns0:t>Standard</ns0:t>
        </ns0:is>
      </ns0:c>
      <ns0:c r="H335" s="75" t="n">
        <ns0:v>45831</ns0:v>
      </ns0:c>
      <ns0:c r="I335" s="76" t="n">
        <ns0:v>9336</ns0:v>
      </ns0:c>
      <ns0:c r="J335" s="74" t="inlineStr">
        <ns0:is>
          <ns0:t>gross (stated)</ns0:t>
        </ns0:is>
      </ns0:c>
      <ns0:c r="K335" s="95" t="n"/>
      <ns0:c r="L335" s="77" t="n">
        <ns0:v>22.53</ns0:v>
      </ns0:c>
      <ns0:c r="M335" s="77" t="n">
        <ns0:v>22.53</ns0:v>
      </ns0:c>
      <ns0:c r="N335" s="74" t="inlineStr">
        <ns0:is>
          <ns0:t>Y</ns0:t>
        </ns0:is>
      </ns0:c>
      <ns0:c r="O335" s="78" t="n">
        <ns0:v>100</ns0:v>
      </ns0:c>
      <ns0:c r="P335" s="84" t="n"/>
      <ns0:c r="Q335" s="79" t="n">
        <ns0:v>93360</ns0:v>
      </ns0:c>
      <ns0:c r="R335" s="74" t="inlineStr">
        <ns0:is>
          <ns0:t>derived:deal size / offer % of enlarged capital</ns0:t>
        </ns0:is>
      </ns0:c>
      <ns0:c r="S335" s="80" t="n">
        <ns0:v>747.92</ns0:v>
      </ns0:c>
      <ns0:c r="T335" s="81" t="n">
        <ns0:v>23.57</ns0:v>
      </ns0:c>
      <ns0:c r="U335" s="82" t="n">
        <ns0:v>47.22</ns0:v>
      </ns0:c>
      <ns0:c r="V335" s="83" t="n">
        <ns0:v>256</ns0:v>
      </ns0:c>
      <ns0:c r="W335" s="78" t="n">
        <ns0:v>26.5</ns0:v>
      </ns0:c>
      <ns0:c r="X335" s="74" t="inlineStr">
        <ns0:is>
          <ns0:t>YES</ns0:t>
        </ns0:is>
      </ns0:c>
      <ns0:c r="Y335" s="79" t="n">
        <ns0:v>4927.54</ns0:v>
      </ns0:c>
      <ns0:c r="Z335" s="79" t="n">
        <ns0:v>218709500</ns0:v>
      </ns0:c>
      <ns0:c r="AA335" s="78" t="n">
        <ns0:v>5.28</ns0:v>
      </ns0:c>
      <ns0:c r="AB335" s="74" t="inlineStr">
        <ns0:is>
          <ns0:t>Schroder Investment Management Limited, Schroder Investment Management (Singapore) Ltd; Schroder Investment Management (Hong Kong) Limited; GIC Private Limited; Greenwoods Asset Management Hong Kong Limited; Shanghai Greenwoods Asset Management Co., Ltd (上海 景林資產管理; Verition Multi- Strategy Master Fund Ltd; Eastern Bell Capital VIII Investment Limited; Mirae Asset Securities Co., Ltd; ICBC Wealth Management Co., Ltd; PSBC Wealth Management Co., Ltd; 6 (through GF SecuritiesA sset Manageme nt (Guangdong) Co., Ltd as the qualified domestic institutional investor) Taikang Life Insurance Co., Ltd; Mega Prime Development Limited; Wind Sabre Fund SPC on behalf of Wind Sabre Opportunities Fund SP; Martis Fund, L.P; Morgan Stanley &amp; Co. International plc; Jane Street Asia Trading Limited; 3W Fund Management Limited</ns0:t>
        </ns0:is>
      </ns0:c>
      <ns0:c r="AC335" s="74" t="inlineStr">
        <ns0:is>
          <ns0:t>schroder;gic;greenwoods;shanghai-greenwoods;verition;eastern-bell;mirae;icbc;psbc;as;mega;wind;martis;morgan;jane;3w</ns0:t>
        </ns0:is>
      </ns0:c>
      <ns0:c r="AD335" s="78" t="n">
        <ns0:v>15</ns0:v>
      </ns0:c>
      <ns0:c r="AE335" s="74" t="inlineStr">
        <ns0:is>
          <ns0:t>full</ns0:t>
        </ns0:is>
      </ns0:c>
      <ns0:c r="AF335" s="74" t="inlineStr">
        <ns0:is>
          <ns0:t>2025-07-18</ns0:t>
        </ns0:is>
      </ns0:c>
      <ns0:c r="AG335" s="74" t="inlineStr">
        <ns0:is>
          <ns0:t>China International Capital Corporation Hong Kong Securities Limited</ns0:t>
        </ns0:is>
      </ns0:c>
      <ns0:c r="AH335" s="74" t="inlineStr">
        <ns0:is>
          <ns0:t>China International</ns0:t>
        </ns0:is>
      </ns0:c>
      <ns0:c r="AI335" s="86" t="n">
        <ns0:v>-3.02</ns0:v>
      </ns0:c>
      <ns0:c r="AJ335" s="87" t="n">
        <ns0:v>-0.13</ns0:v>
      </ns0:c>
      <ns0:c r="AK335" s="87" t="n">
        <ns0:v>0.59</ns0:v>
      </ns0:c>
      <ns0:c r="AL335" s="87" t="n">
        <ns0:v>-7.01</ns0:v>
      </ns0:c>
      <ns0:c r="AM335" s="87" t="n">
        <ns0:v>7.4</ns0:v>
      </ns0:c>
      <ns0:c r="AN335" s="89" t="n">
        <ns0:v>1.14</ns0:v>
      </ns0:c>
      <ns0:c r="AO335" s="78" t="n">
        <ns0:v>8.83</ns0:v>
      </ns0:c>
      <ns0:c r="AP335" s="87" t="n">
        <ns0:v>11.63</ns0:v>
      </ns0:c>
      <ns0:c r="AQ335" s="87" t="n">
        <ns0:v>26.5</ns0:v>
      </ns0:c>
      <ns0:c r="AR335" s="87" t="n">
        <ns0:v>70.34999999999999</ns0:v>
      </ns0:c>
      <ns0:c r="AS335" s="87" t="n">
        <ns0:v>11.78</ns0:v>
      </ns0:c>
      <ns0:c r="AT335" s="87" t="n">
        <ns0:v>26.66</ns0:v>
      </ns0:c>
      <ns0:c r="AU335" s="87" t="n">
        <ns0:v>70.56999999999999</ns0:v>
      </ns0:c>
      <ns0:c r="AV335" s="87" t="n">
        <ns0:v>9.550000000000001</ns0:v>
      </ns0:c>
      <ns0:c r="AW335" s="87" t="n">
        <ns0:v>16.87</ns0:v>
      </ns0:c>
      <ns0:c r="AX335" s="87" t="n">
        <ns0:v>52.99</ns0:v>
      </ns0:c>
      <ns0:c r="AY335" s="87" t="n">
        <ns0:v>17.67</ns0:v>
      </ns0:c>
      <ns0:c r="AZ335" s="87" t="n">
        <ns0:v>9.630000000000001</ns0:v>
      </ns0:c>
      <ns0:c r="BA335" s="87" t="n">
        <ns0:v>8.99</ns0:v>
      </ns0:c>
      <ns0:c r="BB335" s="74" t="inlineStr">
        <ns0:is>
          <ns0:t>Hang Seng Commerce &amp; Industry sub-index</ns0:t>
        </ns0:is>
      </ns0:c>
      <ns0:c r="BC335" s="87" t="n">
        <ns0:v>7.23</ns0:v>
      </ns0:c>
      <ns0:c r="BD335" s="75" t="n">
        <ns0:v>46297</ns0:v>
      </ns0:c>
      <ns0:c r="BE335" s="76" t="n">
        <ns0:v>30741.9</ns0:v>
      </ns0:c>
      <ns0:c r="BF335" s="79" t="n">
        <ns0:v>3422.9</ns0:v>
      </ns0:c>
      <ns0:c r="BG335" s="74" t="inlineStr">
        <ns0:is>
          <ns0:t>Y</ns0:t>
        </ns0:is>
      </ns0:c>
      <ns0:c r="BH335" s="89" t="n">
        <ns0:v>27.3</ns0:v>
      </ns0:c>
      <ns0:c r="BI335" s="89" t="n">
        <ns0:v>24.5</ns0:v>
      </ns0:c>
      <ns0:c r="BJ335" s="89" t="n">
        <ns0:v>22.5</ns0:v>
      </ns0:c>
      <ns0:c r="BK335" s="89" t="n">
        <ns0:v>3</ns0:v>
      </ns0:c>
      <ns0:c r="BL335" s="90">
        <ns0:f>IFERROR(IF('BBG Verify'!S335="","Awaiting Bloomberg",'BBG Verify'!S335),"Awaiting Bloomberg")</ns0:f>
        <ns0:v/>
      </ns0:c>
      <ns0:c r="BM335" s="91" t="inlineStr">
        <ns0:is>
          <ns0:t>Y</ns0:t>
        </ns0:is>
      </ns0:c>
      <ns0:c r="BN335" s="74" t="inlineStr">
        <ns0:is>
          <ns0:t>002050.SZ</ns0:t>
        </ns0:is>
      </ns0:c>
      <ns0:c r="BO335" s="87" t="n">
        <ns0:v>20.9</ns0:v>
      </ns0:c>
      <ns0:c r="BP335" s="77" t="n">
        <ns0:v>27.2396</ns0:v>
      </ns0:c>
      <ns0:c r="BQ335" s="101" t="n">
        <ns0:v>0.7298</ns0:v>
      </ns0:c>
      <ns0:c r="BR335" s="79" t="n">
        <ns0:v>175921.1</ns0:v>
      </ns0:c>
      <ns0:c r="BS335" s="90">
        <ns0:f>IFERROR(IF('BBG Verify'!Q335="","Awaiting Bloomberg",'BBG Verify'!Q335),"Awaiting Bloomberg")</ns0:f>
        <ns0:v/>
      </ns0:c>
      <ns0:c r="BT335" s="90">
        <ns0:f>IFERROR(IF('BBG Verify'!R335="","Awaiting Bloomberg",'BBG Verify'!R335),"Awaiting Bloomberg")</ns0:f>
        <ns0:v/>
      </ns0:c>
      <ns0:c r="BU335" s="91" t="inlineStr">
        <ns0:is>
          <ns0:t>China International Capital Corporation Hong Kong Securities Limited; Huatai Financial Holdings (Hong Kong) Limited</ns0:t>
        </ns0:is>
      </ns0:c>
      <ns0:c r="BV335" s="74" t="inlineStr">
        <ns0:is>
          <ns0:t>China International Capital Corporation Hong Kong Securities Limited; Huatai Financial Holdings (Hong Kong) Limited</ns0:t>
        </ns0:is>
      </ns0:c>
      <ns0:c r="BW335" s="74" t="inlineStr">
        <ns0:is>
          <ns0:t>China International Capital Corporation Hong Kong Securities Limited; Huatai Financial Holdings (Hong Kong) Limited; ABCI Capital Limited; Caitong International Securities Co., Limited; GF Securities (Hong Kong) Brokerage Limited; Zheshang International Financial Holdings Co., Limited</ns0:t>
        </ns0:is>
      </ns0:c>
      <ns0:c r="BX335" s="74" t="inlineStr">
        <ns0:is>
          <ns0: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ns0:t>
        </ns0:is>
      </ns0:c>
      <ns0:c r="BY335" s="93">
        <ns0:f>HYPERLINK("https://www1.hkexnews.hk/listedco/listconews/sehk/2025/0613/2025061300017.pdf","prospectus")</ns0:f>
        <ns0:v/>
      </ns0:c>
      <ns0:c r="BZ335" s="93">
        <ns0:f>HYPERLINK("https://www1.hkexnews.hk/listedco/listconews/sehk/2025/0620/2025062002236.pdf","allotment")</ns0:f>
        <ns0:v/>
      </ns0:c>
      <ns0:c r="CA335" s="93">
        <ns0:f>HYPERLINK("https://www1.hkexnews.hk/listedco/listconews/sehk/2025/0718/2025071801258.pdf","stabilisation")</ns0:f>
        <ns0:v/>
      </ns0:c>
      <ns0:c r="CB335" s="94" t="n"/>
      <ns0:c r="CC335" s="74" t="inlineStr">
        <ns0:is>
          <ns0:t>range low: maximum offer price only, no floor published; A/H: Jun 2025 H listing (thermal management/humanoid actuators)</ns0:t>
        </ns0:is>
      </ns0:c>
    </ns0:row>
    <ns0:row r="336" ht="22" customHeight="1">
      <ns0:c r="A336" s="73" t="inlineStr">
        <ns0:is>
          <ns0:t>2617</ns0:t>
        </ns0:is>
      </ns0:c>
      <ns0:c r="B336" s="74" t="inlineStr">
        <ns0:is>
          <ns0:t>TRANSTHERA-B</ns0:t>
        </ns0:is>
      </ns0:c>
      <ns0:c r="C336" s="74" t="inlineStr">
        <ns0:is>
          <ns0:t>藥捷安康－Ｂ</ns0:t>
        </ns0:is>
      </ns0:c>
      <ns0:c r="D336" s="74" t="inlineStr">
        <ns0:is>
          <ns0:t>Healthcare</ns0:t>
        </ns0:is>
      </ns0:c>
      <ns0:c r="E336" s="74" t="inlineStr">
        <ns0:is>
          <ns0:t>Biotech pre-revenue (18A)</ns0:t>
        </ns0:is>
      </ns0:c>
      <ns0:c r="F336" s="74" t="inlineStr">
        <ns0:is>
          <ns0:t>Pharmaceuticals</ns0:t>
        </ns0:is>
      </ns0:c>
      <ns0:c r="G336" s="74" t="inlineStr">
        <ns0:is>
          <ns0:t>18A</ns0:t>
        </ns0:is>
      </ns0:c>
      <ns0:c r="H336" s="75" t="n">
        <ns0:v>45831</ns0:v>
      </ns0:c>
      <ns0:c r="I336" s="76" t="n">
        <ns0:v>200.9</ns0:v>
      </ns0:c>
      <ns0:c r="J336" s="74" t="inlineStr">
        <ns0:is>
          <ns0:t>gross (price x shares)</ns0:t>
        </ns0:is>
      </ns0:c>
      <ns0:c r="K336" s="95" t="n"/>
      <ns0:c r="L336" s="77" t="n">
        <ns0:v>13.15</ns0:v>
      </ns0:c>
      <ns0:c r="M336" s="77" t="n">
        <ns0:v>13.15</ns0:v>
      </ns0:c>
      <ns0:c r="N336" s="74" t="inlineStr">
        <ns0:is>
          <ns0:t>Y</ns0:t>
        </ns0:is>
      </ns0:c>
      <ns0:c r="O336" s="78" t="n">
        <ns0:v>100</ns0:v>
      </ns0:c>
      <ns0:c r="P336" s="84" t="n"/>
      <ns0:c r="Q336" s="79" t="n">
        <ns0:v>5219.2</ns0:v>
      </ns0:c>
      <ns0:c r="R336" s="74" t="inlineStr">
        <ns0:is>
          <ns0:t>derived:price x shares upon listing</ns0:t>
        </ns0:is>
      </ns0:c>
      <ns0:c r="S336" s="80" t="n">
        <ns0:v>3419.87</ns0:v>
      </ns0:c>
      <ns0:c r="T336" s="99">
        <ns0:f>IFERROR(IF('BBG Verify'!E336="","Awaiting Bloomberg",'BBG Verify'!E336),"Awaiting Bloomberg")</ns0:f>
        <ns0:v/>
      </ns0:c>
      <ns0:c r="U336" s="82" t="n">
        <ns0:v>63.96</ns0:v>
      </ns0:c>
      <ns0:c r="V336" s="83" t="n">
        <ns0:v>123</ns0:v>
      </ns0:c>
      <ns0:c r="W336" s="78" t="n">
        <ns0:v>20.01</ns0:v>
      </ns0:c>
      <ns0:c r="X336" s="74" t="inlineStr">
        <ns0:is>
          <ns0:t>NO</ns0:t>
        </ns0:is>
      </ns0:c>
      <ns0:c r="Y336" s="79" t="n">
        <ns0:v>72.40000000000001</ns0:v>
      </ns0:c>
      <ns0:c r="Z336" s="79" t="n">
        <ns0:v>5507272</ns0:v>
      </ns0:c>
      <ns0:c r="AA336" s="78" t="n">
        <ns0:v>1.39</ns0:v>
      </ns0:c>
      <ns0:c r="AB336" s="74" t="inlineStr">
        <ns0:is>
          <ns0:t>Jiangbei Pharmaceutical Technology (Hong Kong) Limited; Sinohsc Honest Limited; Pharmablock Horizon Capital Limited; Kelingan (Hong Kong) Technology Co., Limited; AKESO,INC</ns0:t>
        </ns0:is>
      </ns0:c>
      <ns0:c r="AC336" s="74" t="inlineStr">
        <ns0:is>
          <ns0:t>jiangbei;sinohsc;pharmablock;kelingan;akeso</ns0:t>
        </ns0:is>
      </ns0:c>
      <ns0:c r="AD336" s="78" t="n">
        <ns0:v>8.390000000000001</ns0:v>
      </ns0:c>
      <ns0:c r="AE336" s="85" t="n"/>
      <ns0:c r="AF336" s="74" t="inlineStr">
        <ns0:is>
          <ns0:t>2025-07-18</ns0:t>
        </ns0:is>
      </ns0:c>
      <ns0:c r="AG336" s="74" t="inlineStr">
        <ns0:is>
          <ns0:t>CLSA Limited</ns0:t>
        </ns0:is>
      </ns0:c>
      <ns0:c r="AH336" s="74" t="inlineStr">
        <ns0:is>
          <ns0:t>CLSA</ns0:t>
        </ns0:is>
      </ns0:c>
      <ns0:c r="AI336" s="86" t="n">
        <ns0:v>69.2</ns0:v>
      </ns0:c>
      <ns0:c r="AJ336" s="87" t="n">
        <ns0:v>78.70999999999999</ns0:v>
      </ns0:c>
      <ns0:c r="AK336" s="87" t="n">
        <ns0:v>1.53</ns0:v>
      </ns0:c>
      <ns0:c r="AL336" s="87" t="n">
        <ns0:v>64.64</ns0:v>
      </ns0:c>
      <ns0:c r="AM336" s="87" t="n">
        <ns0:v>8.550000000000001</ns0:v>
      </ns0:c>
      <ns0:c r="AN336" s="89" t="n">
        <ns0:v>2.79</ns0:v>
      </ns0:c>
      <ns0:c r="AO336" s="78" t="n">
        <ns0:v>17.55</ns0:v>
      </ns0:c>
      <ns0:c r="AP336" s="87" t="n">
        <ns0:v>129.28</ns0:v>
      </ns0:c>
      <ns0:c r="AQ336" s="87" t="n">
        <ns0:v>138.78</ns0:v>
      </ns0:c>
      <ns0:c r="AR336" s="87" t="n">
        <ns0:v>1039.92</ns0:v>
      </ns0:c>
      <ns0:c r="AS336" s="87" t="n">
        <ns0:v>28.3</ns0:v>
      </ns0:c>
      <ns0:c r="AT336" s="87" t="n">
        <ns0:v>33.61</ns0:v>
      </ns0:c>
      <ns0:c r="AU336" s="87" t="n">
        <ns0:v>537.86</ns0:v>
      </ns0:c>
      <ns0:c r="AV336" s="87" t="n">
        <ns0:v>126.76</ns0:v>
      </ns0:c>
      <ns0:c r="AW336" s="87" t="n">
        <ns0:v>121.52</ns0:v>
      </ns0:c>
      <ns0:c r="AX336" s="87" t="n">
        <ns0:v>1007.75</ns0:v>
      </ns0:c>
      <ns0:c r="AY336" s="87" t="n">
        <ns0:v>18.11</ns0:v>
      </ns0:c>
      <ns0:c r="AZ336" s="87" t="n">
        <ns0:v>17.26</ns0:v>
      </ns0:c>
      <ns0:c r="BA336" s="87" t="n">
        <ns0:v>15.5</ns0:v>
      </ns0:c>
      <ns0:c r="BB336" s="74" t="inlineStr">
        <ns0:is>
          <ns0:t>China Biotech ETF (HS biotech proxy)</ns0:t>
        </ns0:is>
      </ns0:c>
      <ns0:c r="BC336" s="87" t="n">
        <ns0:v>-18.48</ns0:v>
      </ns0:c>
      <ns0:c r="BD336" s="75" t="n">
        <ns0:v>46297</ns0:v>
      </ns0:c>
      <ns0:c r="BE336" s="76" t="n">
        <ns0:v>1.3</ns0:v>
      </ns0:c>
      <ns0:c r="BF336" s="79" t="n">
        <ns0:v>-377.7</ns0:v>
      </ns0:c>
      <ns0:c r="BG336" s="74" t="inlineStr">
        <ns0:is>
          <ns0:t>N</ns0:t>
        </ns0:is>
      </ns0:c>
      <ns0:c r="BH336" s="74" t="inlineStr">
        <ns0:is>
          <ns0:t>n/m</ns0:t>
        </ns0:is>
      </ns0:c>
      <ns0:c r="BI336" s="88" t="n"/>
      <ns0:c r="BJ336" s="88" t="n"/>
      <ns0:c r="BK336" s="89" t="n">
        <ns0:v>4014.8</ns0:v>
      </ns0:c>
      <ns0:c r="BL336" s="90">
        <ns0:f>IFERROR(IF('BBG Verify'!S336="","Awaiting Bloomberg",'BBG Verify'!S336),"Awaiting Bloomberg")</ns0:f>
        <ns0:v/>
      </ns0:c>
      <ns0:c r="BM336" s="91" t="inlineStr">
        <ns0:is>
          <ns0:t>N</ns0:t>
        </ns0:is>
      </ns0:c>
      <ns0:c r="BN336" s="92">
        <ns0:f>IFERROR(IF('BBG Verify'!K336="","Awaiting Bloomberg",'BBG Verify'!K336),"Awaiting Bloomberg")</ns0:f>
        <ns0:v/>
      </ns0:c>
      <ns0:c r="BO336" s="74" t="inlineStr">
        <ns0:is>
          <ns0:t>N/A</ns0:t>
        </ns0:is>
      </ns0:c>
      <ns0:c r="BP336" s="74" t="inlineStr">
        <ns0:is>
          <ns0:t>N/A</ns0:t>
        </ns0:is>
      </ns0:c>
      <ns0:c r="BQ336" s="74" t="inlineStr">
        <ns0:is>
          <ns0:t>N/A</ns0:t>
        </ns0:is>
      </ns0:c>
      <ns0:c r="BR336" s="74" t="inlineStr">
        <ns0:is>
          <ns0:t>N/A</ns0:t>
        </ns0:is>
      </ns0:c>
      <ns0:c r="BS336" s="74" t="inlineStr">
        <ns0:is>
          <ns0:t>N/A</ns0:t>
        </ns0:is>
      </ns0:c>
      <ns0:c r="BT336" s="74" t="inlineStr">
        <ns0:is>
          <ns0:t>N/A</ns0:t>
        </ns0:is>
      </ns0:c>
      <ns0:c r="BU336" s="91" t="inlineStr">
        <ns0:is>
          <ns0:t>(In no particular order) CITIC Securities (Hong Kong) Limited; Huatai Financial Holdings (Hong Kong) Limited</ns0:t>
        </ns0:is>
      </ns0:c>
      <ns0:c r="BV336" s="74" t="inlineStr">
        <ns0:is>
          <ns0:t>Huatai Financial Holdings (Hong Kong) Limited; CITIC Securities (Hong Kong) Limited</ns0:t>
        </ns0:is>
      </ns0:c>
      <ns0:c r="BW336" s="74" t="inlineStr">
        <ns0:is>
          <ns0:t>CLSA Limited; Huatai Financial Holdings (Hong Kong) Limited; BOCI Asia Limited; CMB International Capital Limited; SPDB International Capital Limited; TradeGo Markets Limited</ns0:t>
        </ns0:is>
      </ns0:c>
      <ns0:c r="BX336" s="74" t="inlineStr">
        <ns0:is>
          <ns0:t>BOCI Asia Limited; BOCOM International Securities Limited; CLSA Limited; CMB International Capital Limited; Huatai Financial Holdings (Hong Kong) Limited; SPDB International Capital Limited; TradeGo Markets Limited</ns0:t>
        </ns0:is>
      </ns0:c>
      <ns0:c r="BY336" s="93">
        <ns0:f>HYPERLINK("https://www1.hkexnews.hk/listedco/listconews/sehk/2025/0613/2025061300035.pdf","prospectus")</ns0:f>
        <ns0:v/>
      </ns0:c>
      <ns0:c r="BZ336" s="93">
        <ns0:f>HYPERLINK("https://www1.hkexnews.hk/listedco/listconews/sehk/2025/0620/2025062002274.pdf","allotment")</ns0:f>
        <ns0:v/>
      </ns0:c>
      <ns0:c r="CA336" s="85" t="n"/>
      <ns0:c r="CB336" s="94" t="n"/>
      <ns0:c r="CC336" s="74" t="inlineStr">
        <ns0:is>
          <ns0:t>intl sub: parsed 0.97x rejected (implausible against a 3,420x public book); BBG Verify CP037 fills it; P/E: loss-making at IPO, use P/S; greenshoe: end-of-stabilisation notice not found; range low: maximum offer price only, no floor published; P/S: 4,015x on HK$1.3m revenue, effectively pre-revenue; not comparable</ns0:t>
        </ns0:is>
      </ns0:c>
    </ns0:row>
    <ns0:row r="337" ht="22" customHeight="1">
      <ns0:c r="A337" s="73" t="inlineStr">
        <ns0:is>
          <ns0:t>2619</ns0:t>
        </ns0:is>
      </ns0:c>
      <ns0:c r="B337" s="74" t="inlineStr">
        <ns0:is>
          <ns0:t>XJ ELECTRICS</ns0:t>
        </ns0:is>
      </ns0:c>
      <ns0:c r="C337" s="74" t="inlineStr">
        <ns0:is>
          <ns0:t>香江電器</ns0:t>
        </ns0:is>
      </ns0:c>
      <ns0:c r="D337" s="74" t="inlineStr">
        <ns0:is>
          <ns0:t>Technology</ns0:t>
        </ns0:is>
      </ns0:c>
      <ns0:c r="E337" s="74" t="inlineStr">
        <ns0:is>
          <ns0:t>Hardware &amp; electronics</ns0:t>
        </ns0:is>
      </ns0:c>
      <ns0:c r="F337" s="74" t="inlineStr">
        <ns0:is>
          <ns0:t>Household Appliances</ns0:t>
        </ns0:is>
      </ns0:c>
      <ns0:c r="G337" s="74" t="inlineStr">
        <ns0:is>
          <ns0:t>Standard</ns0:t>
        </ns0:is>
      </ns0:c>
      <ns0:c r="H337" s="75" t="n">
        <ns0:v>45833</ns0:v>
      </ns0:c>
      <ns0:c r="I337" s="76" t="n">
        <ns0:v>195.11</ns0:v>
      </ns0:c>
      <ns0:c r="J337" s="74" t="inlineStr">
        <ns0:is>
          <ns0:t>gross (stated)</ns0:t>
        </ns0:is>
      </ns0:c>
      <ns0:c r="K337" s="95" t="n"/>
      <ns0:c r="L337" s="77" t="n">
        <ns0:v>3.35</ns0:v>
      </ns0:c>
      <ns0:c r="M337" s="77" t="n">
        <ns0:v>2.86</ns0:v>
      </ns0:c>
      <ns0:c r="N337" s="74" t="inlineStr">
        <ns0:is>
          <ns0:t>N</ns0:t>
        </ns0:is>
      </ns0:c>
      <ns0:c r="O337" s="78" t="n">
        <ns0:v>85.40000000000001</ns0:v>
      </ns0:c>
      <ns0:c r="P337" s="84" t="n"/>
      <ns0:c r="Q337" s="79" t="n">
        <ns0:v>780.4</ns0:v>
      </ns0:c>
      <ns0:c r="R337" s="74" t="inlineStr">
        <ns0:is>
          <ns0:t>derived:price x shares upon listing</ns0:t>
        </ns0:is>
      </ns0:c>
      <ns0:c r="S337" s="80" t="n">
        <ns0:v>852.38</ns0:v>
      </ns0:c>
      <ns0:c r="T337" s="81" t="n">
        <ns0:v>1.08</ns0:v>
      </ns0:c>
      <ns0:c r="U337" s="82" t="n">
        <ns0:v>44</ns0:v>
      </ns0:c>
      <ns0:c r="V337" s="83" t="n">
        <ns0:v>292</ns0:v>
      </ns0:c>
      <ns0:c r="W337" s="78" t="n">
        <ns0:v>50</ns0:v>
      </ns0:c>
      <ns0:c r="X337" s="74" t="inlineStr">
        <ns0:is>
          <ns0:t>YES</ns0:t>
        </ns0:is>
      </ns0:c>
      <ns0:c r="Y337" s="79" t="n">
        <ns0:v>109.26</ns0:v>
      </ns0:c>
      <ns0:c r="Z337" s="79" t="n">
        <ns0:v>38203200</ns0:v>
      </ns0:c>
      <ns0:c r="AA337" s="78" t="n">
        <ns0:v>14</ns0:v>
      </ns0:c>
      <ns0:c r="AB337" s="74" t="inlineStr">
        <ns0:is>
          <ns0:t>Hubei Shunjie Investment (Hong Kong) Co., Limited; Hong Kong Xinghuang Holdings Limited; Hong Kong Yunxing Technology Trade Management Co., Limited</ns0:t>
        </ns0:is>
      </ns0:c>
      <ns0:c r="AC337" s="74" t="inlineStr">
        <ns0:is>
          <ns0:t>hubei;xinghuang;yunxing</ns0:t>
        </ns0:is>
      </ns0:c>
      <ns0:c r="AD337" s="78" t="n">
        <ns0:v>19</ns0:v>
      </ns0:c>
      <ns0:c r="AE337" s="85" t="n"/>
      <ns0:c r="AF337" s="85" t="n"/>
      <ns0:c r="AG337" s="74" t="inlineStr">
        <ns0:is>
          <ns0:t>Sinolink Securities</ns0:t>
        </ns0:is>
      </ns0:c>
      <ns0:c r="AH337" s="74" t="inlineStr">
        <ns0:is>
          <ns0:t>Sinolink</ns0:t>
        </ns0:is>
      </ns0:c>
      <ns0:c r="AI337" s="86" t="n">
        <ns0:v>-4.9</ns0:v>
      </ns0:c>
      <ns0:c r="AJ337" s="87" t="n">
        <ns0:v>-11.89</ns0:v>
      </ns0:c>
      <ns0:c r="AK337" s="87" t="n">
        <ns0:v>1.06</ns0:v>
      </ns0:c>
      <ns0:c r="AL337" s="87" t="n">
        <ns0:v>-7.34</ns0:v>
      </ns0:c>
      <ns0:c r="AM337" s="87" t="n">
        <ns0:v>-4.91</ns0:v>
      </ns0:c>
      <ns0:c r="AN337" s="89" t="n">
        <ns0:v>0.88</ns0:v>
      </ns0:c>
      <ns0:c r="AO337" s="78" t="n">
        <ns0:v>8.68</ns0:v>
      </ns0:c>
      <ns0:c r="AP337" s="87" t="n">
        <ns0:v>-18.53</ns0:v>
      </ns0:c>
      <ns0:c r="AQ337" s="87" t="n">
        <ns0:v>-16.08</ns0:v>
      </ns0:c>
      <ns0:c r="AR337" s="87" t="n">
        <ns0:v>-31.82</ns0:v>
      </ns0:c>
      <ns0:c r="AS337" s="87" t="n">
        <ns0:v>-7.54</ns0:v>
      </ns0:c>
      <ns0:c r="AT337" s="87" t="n">
        <ns0:v>-4.76</ns0:v>
      </ns0:c>
      <ns0:c r="AU337" s="87" t="n">
        <ns0:v>-22.62</ns0:v>
      </ns0:c>
      <ns0:c r="AV337" s="87" t="n">
        <ns0:v>-17.47</ns0:v>
      </ns0:c>
      <ns0:c r="AW337" s="87" t="n">
        <ns0:v>-23.2</ns0:v>
      </ns0:c>
      <ns0:c r="AX337" s="87" t="n">
        <ns0:v>-48.07</ns0:v>
      </ns0:c>
      <ns0:c r="AY337" s="87" t="n">
        <ns0:v>-10.75</ns0:v>
      </ns0:c>
      <ns0:c r="AZ337" s="87" t="n">
        <ns0:v>7.12</ns0:v>
      </ns0:c>
      <ns0:c r="BA337" s="87" t="n">
        <ns0:v>5.99</ns0:v>
      </ns0:c>
      <ns0:c r="BB337" s="74" t="inlineStr">
        <ns0:is>
          <ns0:t>HSTECH (Hang Seng TECH ETF)</ns0:t>
        </ns0:is>
      </ns0:c>
      <ns0:c r="BC337" s="87" t="n">
        <ns0:v>-59.97</ns0:v>
      </ns0:c>
      <ns0:c r="BD337" s="75" t="n">
        <ns0:v>46297</ns0:v>
      </ns0:c>
      <ns0:c r="BE337" s="76" t="n">
        <ns0:v>1651.7</ns0:v>
      </ns0:c>
      <ns0:c r="BF337" s="79" t="n">
        <ns0:v>154.5</ns0:v>
      </ns0:c>
      <ns0:c r="BG337" s="74" t="inlineStr">
        <ns0:is>
          <ns0:t>Y</ns0:t>
        </ns0:is>
      </ns0:c>
      <ns0:c r="BH337" s="89" t="n">
        <ns0:v>5.1</ns0:v>
      </ns0:c>
      <ns0:c r="BI337" s="89" t="n">
        <ns0:v>3.3</ns0:v>
      </ns0:c>
      <ns0:c r="BJ337" s="89" t="n">
        <ns0:v>5.3</ns0:v>
      </ns0:c>
      <ns0:c r="BK337" s="89" t="n">
        <ns0:v>0.5</ns0:v>
      </ns0:c>
      <ns0:c r="BL337" s="90">
        <ns0:f>IFERROR(IF('BBG Verify'!S337="","Awaiting Bloomberg",'BBG Verify'!S337),"Awaiting Bloomberg")</ns0:f>
        <ns0:v/>
      </ns0:c>
      <ns0:c r="BM337" s="91" t="inlineStr">
        <ns0:is>
          <ns0:t>N</ns0:t>
        </ns0:is>
      </ns0:c>
      <ns0:c r="BN337" s="92">
        <ns0:f>IFERROR(IF('BBG Verify'!K337="","Awaiting Bloomberg",'BBG Verify'!K337),"Awaiting Bloomberg")</ns0:f>
        <ns0:v/>
      </ns0:c>
      <ns0:c r="BO337" s="74" t="inlineStr">
        <ns0:is>
          <ns0:t>N/A</ns0:t>
        </ns0:is>
      </ns0:c>
      <ns0:c r="BP337" s="74" t="inlineStr">
        <ns0:is>
          <ns0:t>N/A</ns0:t>
        </ns0:is>
      </ns0:c>
      <ns0:c r="BQ337" s="74" t="inlineStr">
        <ns0:is>
          <ns0:t>N/A</ns0:t>
        </ns0:is>
      </ns0:c>
      <ns0:c r="BR337" s="74" t="inlineStr">
        <ns0:is>
          <ns0:t>N/A</ns0:t>
        </ns0:is>
      </ns0:c>
      <ns0:c r="BS337" s="74" t="inlineStr">
        <ns0:is>
          <ns0:t>N/A</ns0:t>
        </ns0:is>
      </ns0:c>
      <ns0:c r="BT337" s="74" t="inlineStr">
        <ns0:is>
          <ns0:t>N/A</ns0:t>
        </ns0:is>
      </ns0:c>
      <ns0:c r="BU337" s="91" t="inlineStr">
        <ns0:is>
          <ns0:t>Sinolink Securities (Hong Kong) Company Limited</ns0:t>
        </ns0:is>
      </ns0:c>
      <ns0:c r="BV337" s="74" t="inlineStr">
        <ns0:is>
          <ns0:t>Sinolink Securities (Hong Kong) Company Limited</ns0:t>
        </ns0:is>
      </ns0:c>
      <ns0:c r="BW337" s="74" t="inlineStr">
        <ns0:is>
          <ns0:t>Sinolink Securities (Hong Kong) Company Limited</ns0:t>
        </ns0:is>
      </ns0:c>
      <ns0:c r="BX337" s="74" t="inlineStr">
        <ns0:is>
          <ns0:t>ABCI Securities Company Limited; CCB International Capital Limited; CMBC Securities Company Limited; CMB International Capital Limited; First Fidelity Capital (International) Limited; Sinolink Securities (Hong Kong) Company Limited; UZen Securities Limited; Valuable Capital Limited</ns0:t>
        </ns0:is>
      </ns0:c>
      <ns0:c r="BY337" s="93">
        <ns0:f>HYPERLINK("https://www1.hkexnews.hk/listedco/listconews/sehk/2025/0617/2025061700043.pdf","prospectus")</ns0:f>
        <ns0:v/>
      </ns0:c>
      <ns0:c r="BZ337" s="93">
        <ns0:f>HYPERLINK("https://www1.hkexnews.hk/listedco/listconews/sehk/2025/0624/2025062401168.pdf","allotment")</ns0:f>
        <ns0:v/>
      </ns0:c>
      <ns0:c r="CA337" s="85" t="n"/>
      <ns0:c r="CB337" s="94" t="n"/>
      <ns0:c r="CC337" s="74" t="inlineStr">
        <ns0:is>
          <ns0:t>greenshoe: end-of-stabilisation notice not found; range low: maximum offer price only, no floor published; sponsor: English name not in the filing; AAStocks 保薦人 shown</ns0:t>
        </ns0:is>
      </ns0:c>
    </ns0:row>
    <ns0:row r="338" ht="22" customHeight="1">
      <ns0:c r="A338" s="73" t="inlineStr">
        <ns0:is>
          <ns0:t>2643</ns0:t>
        </ns0:is>
      </ns0:c>
      <ns0:c r="B338" s="74" t="inlineStr">
        <ns0:is>
          <ns0:t>CAOCAO INC</ns0:t>
        </ns0:is>
      </ns0:c>
      <ns0:c r="C338" s="74" t="inlineStr">
        <ns0:is>
          <ns0:t>曹操出行</ns0:t>
        </ns0:is>
      </ns0:c>
      <ns0:c r="D338" s="74" t="inlineStr">
        <ns0:is>
          <ns0:t>Technology</ns0:t>
        </ns0:is>
      </ns0:c>
      <ns0:c r="E338" s="74" t="inlineStr">
        <ns0:is>
          <ns0:t>Internet &amp; fintech</ns0:t>
        </ns0:is>
      </ns0:c>
      <ns0:c r="F338" s="74" t="inlineStr">
        <ns0:is>
          <ns0:t>Trucking</ns0:t>
        </ns0:is>
      </ns0:c>
      <ns0:c r="G338" s="74" t="inlineStr">
        <ns0:is>
          <ns0:t>Standard</ns0:t>
        </ns0:is>
      </ns0:c>
      <ns0:c r="H338" s="75" t="n">
        <ns0:v>45833</ns0:v>
      </ns0:c>
      <ns0:c r="I338" s="76" t="n">
        <ns0:v>1852.85</ns0:v>
      </ns0:c>
      <ns0:c r="J338" s="74" t="inlineStr">
        <ns0:is>
          <ns0:t>gross (stated)</ns0:t>
        </ns0:is>
      </ns0:c>
      <ns0:c r="K338" s="95" t="n"/>
      <ns0:c r="L338" s="77" t="n">
        <ns0:v>41.94</ns0:v>
      </ns0:c>
      <ns0:c r="M338" s="77" t="n">
        <ns0:v>41.94</ns0:v>
      </ns0:c>
      <ns0:c r="N338" s="74" t="inlineStr">
        <ns0:is>
          <ns0:t>Y</ns0:t>
        </ns0:is>
      </ns0:c>
      <ns0:c r="O338" s="78" t="n">
        <ns0:v>100</ns0:v>
      </ns0:c>
      <ns0:c r="P338" s="84" t="n"/>
      <ns0:c r="Q338" s="79" t="n">
        <ns0:v>22822.9</ns0:v>
      </ns0:c>
      <ns0:c r="R338" s="74" t="inlineStr">
        <ns0:is>
          <ns0:t>derived:price x shares upon listing</ns0:t>
        </ns0:is>
      </ns0:c>
      <ns0:c r="S338" s="80" t="n">
        <ns0:v>21.14</ns0:v>
      </ns0:c>
      <ns0:c r="T338" s="81" t="n">
        <ns0:v>2.78</ns0:v>
      </ns0:c>
      <ns0:c r="U338" s="82" t="n">
        <ns0:v>51.3</ns0:v>
      </ns0:c>
      <ns0:c r="V338" s="83" t="n">
        <ns0:v>120</ns0:v>
      </ns0:c>
      <ns0:c r="W338" s="78" t="n">
        <ns0:v>30</ns0:v>
      </ns0:c>
      <ns0:c r="X338" s="74" t="inlineStr">
        <ns0:is>
          <ns0:t>YES</ns0:t>
        </ns0:is>
      </ns0:c>
      <ns0:c r="Y338" s="79" t="n">
        <ns0:v>902.34</ns0:v>
      </ns0:c>
      <ns0:c r="Z338" s="79" t="n">
        <ns0:v>21514978</ns0:v>
      </ns0:c>
      <ns0:c r="AA338" s="78" t="n">
        <ns0:v>3.95</ns0:v>
      </ns0:c>
      <ns0:c r="AB338" s="74" t="inlineStr">
        <ns0:is>
          <ns0:t>Mercedes-Benz Mobility Services; Mirae Asset Securities Co., Ltd; Infini Global Master Fund; GOTION HIGH-TECH (HK) LIMITED; EVE Asia; RoboSense Hong Kong</ns0:t>
        </ns0:is>
      </ns0:c>
      <ns0:c r="AC338" s="74" t="inlineStr">
        <ns0:is>
          <ns0:t>mercedes;mirae;infini;gotion;eve;robosense</ns0:t>
        </ns0:is>
      </ns0:c>
      <ns0:c r="AD338" s="78" t="n">
        <ns0:v>15</ns0:v>
      </ns0:c>
      <ns0:c r="AE338" s="74" t="inlineStr">
        <ns0:is>
          <ns0:t>partial</ns0:t>
        </ns0:is>
      </ns0:c>
      <ns0:c r="AF338" s="85" t="n"/>
      <ns0:c r="AG338" s="74" t="inlineStr">
        <ns0:is>
          <ns0:t>GF Securities</ns0:t>
        </ns0:is>
      </ns0:c>
      <ns0:c r="AH338" s="74" t="inlineStr">
        <ns0:is>
          <ns0:t>GF</ns0:t>
        </ns0:is>
      </ns0:c>
      <ns0:c r="AI338" s="86" t="n">
        <ns0:v>-14.16</ns0:v>
      </ns0:c>
      <ns0:c r="AJ338" s="87" t="n">
        <ns0:v>-14.16</ns0:v>
      </ns0:c>
      <ns0:c r="AK338" s="87" t="n">
        <ns0:v>1.06</ns0:v>
      </ns0:c>
      <ns0:c r="AL338" s="87" t="n">
        <ns0:v>-19.41</ns0:v>
      </ns0:c>
      <ns0:c r="AM338" s="87" t="n">
        <ns0:v>6.51</ns0:v>
      </ns0:c>
      <ns0:c r="AN338" s="89" t="n">
        <ns0:v>1.02</ns0:v>
      </ns0:c>
      <ns0:c r="AO338" s="78" t="n">
        <ns0:v>11.69</ns0:v>
      </ns0:c>
      <ns0:c r="AP338" s="87" t="n">
        <ns0:v>-16.19</ns0:v>
      </ns0:c>
      <ns0:c r="AQ338" s="87" t="n">
        <ns0:v>-3.55</ns0:v>
      </ns0:c>
      <ns0:c r="AR338" s="87" t="n">
        <ns0:v>25.18</ns0:v>
      </ns0:c>
      <ns0:c r="AS338" s="87" t="n">
        <ns0:v>-2.36</ns0:v>
      </ns0:c>
      <ns0:c r="AT338" s="87" t="n">
        <ns0:v>12.36</ns0:v>
      </ns0:c>
      <ns0:c r="AU338" s="87" t="n">
        <ns0:v>45.83</ns0:v>
      </ns0:c>
      <ns0:c r="AV338" s="87" t="n">
        <ns0:v>-15.13</ns0:v>
      </ns0:c>
      <ns0:c r="AW338" s="87" t="n">
        <ns0:v>-10.67</ns0:v>
      </ns0:c>
      <ns0:c r="AX338" s="87" t="n">
        <ns0:v>8.93</ns0:v>
      </ns0:c>
      <ns0:c r="AY338" s="87" t="n">
        <ns0:v>6.37</ns0:v>
      </ns0:c>
      <ns0:c r="AZ338" s="87" t="n">
        <ns0:v>7.12</ns0:v>
      </ns0:c>
      <ns0:c r="BA338" s="87" t="n">
        <ns0:v>5.99</ns0:v>
      </ns0:c>
      <ns0:c r="BB338" s="74" t="inlineStr">
        <ns0:is>
          <ns0:t>HSTECH (Hang Seng TECH ETF)</ns0:t>
        </ns0:is>
      </ns0:c>
      <ns0:c r="BC338" s="87" t="n">
        <ns0:v>-72.01000000000001</ns0:v>
      </ns0:c>
      <ns0:c r="BD338" s="75" t="n">
        <ns0:v>46297</ns0:v>
      </ns0:c>
      <ns0:c r="BE338" s="76" t="n">
        <ns0:v>16123.2</ns0:v>
      </ns0:c>
      <ns0:c r="BF338" s="79" t="n">
        <ns0:v>-1371</ns0:v>
      </ns0:c>
      <ns0:c r="BG338" s="74" t="inlineStr">
        <ns0:is>
          <ns0:t>N</ns0:t>
        </ns0:is>
      </ns0:c>
      <ns0:c r="BH338" s="74" t="inlineStr">
        <ns0:is>
          <ns0:t>n/m</ns0:t>
        </ns0:is>
      </ns0:c>
      <ns0:c r="BI338" s="88" t="n"/>
      <ns0:c r="BJ338" s="88" t="n"/>
      <ns0:c r="BK338" s="89" t="n">
        <ns0:v>1.4</ns0:v>
      </ns0:c>
      <ns0:c r="BL338" s="90">
        <ns0:f>IFERROR(IF('BBG Verify'!S338="","Awaiting Bloomberg",'BBG Verify'!S338),"Awaiting Bloomberg")</ns0:f>
        <ns0:v/>
      </ns0:c>
      <ns0:c r="BM338" s="91" t="inlineStr">
        <ns0:is>
          <ns0:t>N</ns0:t>
        </ns0:is>
      </ns0:c>
      <ns0:c r="BN338" s="92">
        <ns0:f>IFERROR(IF('BBG Verify'!K338="","Awaiting Bloomberg",'BBG Verify'!K338),"Awaiting Bloomberg")</ns0:f>
        <ns0:v/>
      </ns0:c>
      <ns0:c r="BO338" s="74" t="inlineStr">
        <ns0:is>
          <ns0:t>N/A</ns0:t>
        </ns0:is>
      </ns0:c>
      <ns0:c r="BP338" s="74" t="inlineStr">
        <ns0:is>
          <ns0:t>N/A</ns0:t>
        </ns0:is>
      </ns0:c>
      <ns0:c r="BQ338" s="74" t="inlineStr">
        <ns0:is>
          <ns0:t>N/A</ns0:t>
        </ns0:is>
      </ns0:c>
      <ns0:c r="BR338" s="74" t="inlineStr">
        <ns0:is>
          <ns0:t>N/A</ns0:t>
        </ns0:is>
      </ns0:c>
      <ns0:c r="BS338" s="74" t="inlineStr">
        <ns0:is>
          <ns0:t>N/A</ns0:t>
        </ns0:is>
      </ns0:c>
      <ns0:c r="BT338" s="74" t="inlineStr">
        <ns0:is>
          <ns0:t>N/A</ns0:t>
        </ns0:is>
      </ns0:c>
      <ns0:c r="BU338" s="91" t="inlineStr">
        <ns0:is>
          <ns0:t>Huatai Financial Holdings (Hong Kong) Limited; ABCI Capital Limited; GF Capital (Hong Kong) Limited</ns0:t>
        </ns0:is>
      </ns0:c>
      <ns0:c r="BV338" s="74" t="inlineStr">
        <ns0:is>
          <ns0:t>Huatai Financial Holdings (Hong Kong) Limited; GF Capital (Hong Kong) Limited; ABCI Capital Limited</ns0:t>
        </ns0:is>
      </ns0:c>
      <ns0:c r="BW338" s="74" t="inlineStr">
        <ns0:is>
          <ns0: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ns0:t>
        </ns0:is>
      </ns0:c>
      <ns0:c r="BX338" s="74" t="inlineStr">
        <ns0:is>
          <ns0: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ns0:t>
        </ns0:is>
      </ns0:c>
      <ns0:c r="BY338" s="93">
        <ns0:f>HYPERLINK("https://www1.hkexnews.hk/listedco/listconews/sehk/2025/0617/2025061700008.pdf","prospectus")</ns0:f>
        <ns0:v/>
      </ns0:c>
      <ns0:c r="BZ338" s="93">
        <ns0:f>HYPERLINK("https://www1.hkexnews.hk/listedco/listconews/sehk/2025/0624/2025062401322.pdf","allotment")</ns0:f>
        <ns0:v/>
      </ns0:c>
      <ns0:c r="CA338" s="93">
        <ns0:f>HYPERLINK("https://www1.hkexnews.hk/listedco/listconews/sehk/2025/0721/2025072100017.pdf","stabilisation")</ns0:f>
        <ns0:v/>
      </ns0:c>
      <ns0:c r="CB338" s="94" t="n"/>
      <ns0:c r="CC338" s="74" t="inlineStr">
        <ns0:is>
          <ns0:t>P/E: loss-making at IPO, use P/S; greenshoe: outcome published; expiry date not in the notice; range low: maximum offer price only, no floor published</ns0:t>
        </ns0:is>
      </ns0:c>
    </ns0:row>
    <ns0:row r="339" ht="22" customHeight="1">
      <ns0:c r="A339" s="73" t="inlineStr">
        <ns0:is>
          <ns0:t>6168</ns0:t>
        </ns0:is>
      </ns0:c>
      <ns0:c r="B339" s="74" t="inlineStr">
        <ns0:is>
          <ns0:t>ZHOU LIU FU</ns0:t>
        </ns0:is>
      </ns0:c>
      <ns0:c r="C339" s="74" t="inlineStr">
        <ns0:is>
          <ns0:t>周六福</ns0:t>
        </ns0:is>
      </ns0:c>
      <ns0:c r="D339" s="74" t="inlineStr">
        <ns0:is>
          <ns0:t>Consumer</ns0:t>
        </ns0:is>
      </ns0:c>
      <ns0:c r="E339" s="74" t="inlineStr">
        <ns0:is>
          <ns0:t>Apparel / luxury</ns0:t>
        </ns0:is>
      </ns0:c>
      <ns0:c r="F339" s="74" t="inlineStr">
        <ns0:is>
          <ns0:t>Watch &amp; Jewellery</ns0:t>
        </ns0:is>
      </ns0:c>
      <ns0:c r="G339" s="74" t="inlineStr">
        <ns0:is>
          <ns0:t>Standard</ns0:t>
        </ns0:is>
      </ns0:c>
      <ns0:c r="H339" s="75" t="n">
        <ns0:v>45834</ns0:v>
      </ns0:c>
      <ns0:c r="I339" s="76" t="n">
        <ns0:v>1291.9</ns0:v>
      </ns0:c>
      <ns0:c r="J339" s="74" t="inlineStr">
        <ns0:is>
          <ns0:t>gross (stated)</ns0:t>
        </ns0:is>
      </ns0:c>
      <ns0:c r="K339" s="95" t="n"/>
      <ns0:c r="L339" s="77" t="n">
        <ns0:v>24</ns0:v>
      </ns0:c>
      <ns0:c r="M339" s="77" t="n">
        <ns0:v>24</ns0:v>
      </ns0:c>
      <ns0:c r="N339" s="74" t="inlineStr">
        <ns0:is>
          <ns0:t>Y</ns0:t>
        </ns0:is>
      </ns0:c>
      <ns0:c r="O339" s="78" t="n">
        <ns0:v>100</ns0:v>
      </ns0:c>
      <ns0:c r="P339" s="84" t="n"/>
      <ns0:c r="Q339" s="79" t="n">
        <ns0:v>10381</ns0:v>
      </ns0:c>
      <ns0:c r="R339" s="74" t="inlineStr">
        <ns0:is>
          <ns0:t>derived:price x shares upon listing</ns0:t>
        </ns0:is>
      </ns0:c>
      <ns0:c r="S339" s="80" t="n">
        <ns0:v>711.11</ns0:v>
      </ns0:c>
      <ns0:c r="T339" s="81" t="n">
        <ns0:v>13.55</ns0:v>
      </ns0:c>
      <ns0:c r="U339" s="82" t="n">
        <ns0:v>44.38</ns0:v>
      </ns0:c>
      <ns0:c r="V339" s="83" t="n">
        <ns0:v>129</ns0:v>
      </ns0:c>
      <ns0:c r="W339" s="78" t="n">
        <ns0:v>43.48</ns0:v>
      </ns0:c>
      <ns0:c r="X339" s="74" t="inlineStr">
        <ns0:is>
          <ns0:t>YES</ns0:t>
        </ns0:is>
      </ns0:c>
      <ns0:c r="Y339" s="79" t="n">
        <ns0:v>718.55</ns0:v>
      </ns0:c>
      <ns0:c r="Z339" s="79" t="n">
        <ns0:v>29939801</ns0:v>
      </ns0:c>
      <ns0:c r="AA339" s="78" t="n">
        <ns0:v>6.92</ns0:v>
      </ns0:c>
      <ns0:c r="AB339" s="74" t="inlineStr">
        <ns0:is>
          <ns0:t>Yongcheng No. 2 Hong Kong Limited; Jump Trading Pacific Pte. Ltd; Shenzhen Luohu Investment Holding Co., Ltd; Pimlico Family Office Limited; Seraphim Advantage Inc; CICC Financial Trading Limited (in connection with Dreamee Yongxin OTC Swaps); Lingbao Gold International Company Limited; GF Fund Management Co., Ltd</ns0:t>
        </ns0:is>
      </ns0:c>
      <ns0:c r="AC339" s="74" t="inlineStr">
        <ns0:is>
          <ns0:t>yongcheng;jump;shenzhen-luohu;pimlico;seraphim;china-international;lingbao;gf</ns0:t>
        </ns0:is>
      </ns0:c>
      <ns0:c r="AD339" s="78" t="n">
        <ns0:v>15</ns0:v>
      </ns0:c>
      <ns0:c r="AE339" s="74" t="inlineStr">
        <ns0:is>
          <ns0:t>full</ns0:t>
        </ns0:is>
      </ns0:c>
      <ns0:c r="AF339" s="85" t="n"/>
      <ns0:c r="AG339" s="85" t="n"/>
      <ns0:c r="AH339" s="85" t="n"/>
      <ns0:c r="AI339" s="86" t="n">
        <ns0:v>12.92</ns0:v>
      </ns0:c>
      <ns0:c r="AJ339" s="87" t="n">
        <ns0:v>25</ns0:v>
      </ns0:c>
      <ns0:c r="AK339" s="87" t="n">
        <ns0:v>-0.72</ns0:v>
      </ns0:c>
      <ns0:c r="AL339" s="87" t="n">
        <ns0:v>11.25</ns0:v>
      </ns0:c>
      <ns0:c r="AM339" s="87" t="n">
        <ns0:v>12.36</ns0:v>
      </ns0:c>
      <ns0:c r="AN339" s="89" t="n">
        <ns0:v>1.5</ns0:v>
      </ns0:c>
      <ns0:c r="AO339" s="78" t="n">
        <ns0:v>12.36</ns0:v>
      </ns0:c>
      <ns0:c r="AP339" s="87" t="n">
        <ns0:v>55.42</ns0:v>
      </ns0:c>
      <ns0:c r="AQ339" s="87" t="n">
        <ns0:v>61.46</ns0:v>
      </ns0:c>
      <ns0:c r="AR339" s="87" t="n">
        <ns0:v>81.25</ns0:v>
      </ns0:c>
      <ns0:c r="AS339" s="87" t="n">
        <ns0:v>24.34</ns0:v>
      </ns0:c>
      <ns0:c r="AT339" s="87" t="n">
        <ns0:v>29.17</ns0:v>
      </ns0:c>
      <ns0:c r="AU339" s="87" t="n">
        <ns0:v>45</ns0:v>
      </ns0:c>
      <ns0:c r="AV339" s="87" t="n">
        <ns0:v>57.84</ns0:v>
      </ns0:c>
      <ns0:c r="AW339" s="87" t="n">
        <ns0:v>56.14</ns0:v>
      </ns0:c>
      <ns0:c r="AX339" s="87" t="n">
        <ns0:v>67.05</ns0:v>
      </ns0:c>
      <ns0:c r="AY339" s="87" t="n">
        <ns0:v>23.08</ns0:v>
      </ns0:c>
      <ns0:c r="AZ339" s="87" t="n">
        <ns0:v>5.32</ns0:v>
      </ns0:c>
      <ns0:c r="BA339" s="87" t="n">
        <ns0:v>6.09</ns0:v>
      </ns0:c>
      <ns0:c r="BB339" s="74" t="inlineStr">
        <ns0:is>
          <ns0:t>Hang Seng Commerce &amp; Industry sub-index</ns0:t>
        </ns0:is>
      </ns0:c>
      <ns0:c r="BC339" s="87" t="n">
        <ns0:v>-49.04</ns0:v>
      </ns0:c>
      <ns0:c r="BD339" s="75" t="n">
        <ns0:v>46297</ns0:v>
      </ns0:c>
      <ns0:c r="BE339" s="98" t="n"/>
      <ns0:c r="BF339" s="97" t="n"/>
      <ns0:c r="BG339" s="74" t="inlineStr">
        <ns0:is>
          <ns0:t>Y</ns0:t>
        </ns0:is>
      </ns0:c>
      <ns0:c r="BH339" s="89" t="n">
        <ns0:v>14.5</ns0:v>
      </ns0:c>
      <ns0:c r="BI339" s="89" t="n">
        <ns0:v>14.5</ns0:v>
      </ns0:c>
      <ns0:c r="BJ339" s="89" t="n">
        <ns0:v>6.3</ns0:v>
      </ns0:c>
      <ns0:c r="BK339" s="88" t="n"/>
      <ns0:c r="BL339" s="90">
        <ns0:f>IFERROR(IF('BBG Verify'!S339="","Awaiting Bloomberg",'BBG Verify'!S339),"Awaiting Bloomberg")</ns0:f>
        <ns0:v/>
      </ns0:c>
      <ns0:c r="BM339" s="91" t="inlineStr">
        <ns0:is>
          <ns0:t>N</ns0:t>
        </ns0:is>
      </ns0:c>
      <ns0:c r="BN339" s="92">
        <ns0:f>IFERROR(IF('BBG Verify'!K339="","Awaiting Bloomberg",'BBG Verify'!K339),"Awaiting Bloomberg")</ns0:f>
        <ns0:v/>
      </ns0:c>
      <ns0:c r="BO339" s="74" t="inlineStr">
        <ns0:is>
          <ns0:t>N/A</ns0:t>
        </ns0:is>
      </ns0:c>
      <ns0:c r="BP339" s="74" t="inlineStr">
        <ns0:is>
          <ns0:t>N/A</ns0:t>
        </ns0:is>
      </ns0:c>
      <ns0:c r="BQ339" s="74" t="inlineStr">
        <ns0:is>
          <ns0:t>N/A</ns0:t>
        </ns0:is>
      </ns0:c>
      <ns0:c r="BR339" s="74" t="inlineStr">
        <ns0:is>
          <ns0:t>N/A</ns0:t>
        </ns0:is>
      </ns0:c>
      <ns0:c r="BS339" s="74" t="inlineStr">
        <ns0:is>
          <ns0:t>N/A</ns0:t>
        </ns0:is>
      </ns0:c>
      <ns0:c r="BT339" s="74" t="inlineStr">
        <ns0:is>
          <ns0:t>N/A</ns0:t>
        </ns0:is>
      </ns0:c>
      <ns0:c r="BU339" s="91" t="inlineStr">
        <ns0:is>
          <ns0:t>China International Capital Corporation Hong Kong Securities Limited; China Securities (International) Corporate Finance Company Limited</ns0:t>
        </ns0:is>
      </ns0:c>
      <ns0:c r="BV339" s="74" t="inlineStr">
        <ns0:is>
          <ns0:t>China International Capital Corporation Hong Kong Securities Limited; China Securities (International) Corporate Finance Company Limited</ns0:t>
        </ns0:is>
      </ns0:c>
      <ns0:c r="BW339" s="74" t="inlineStr">
        <ns0:is>
          <ns0:t>China International Capital Corporation Hong Kong Securities Limited; China Securities (International) Corporate Finance Company Limited; CMB International Capital Limited; ABCI Capital Limited; BOCOM International Securities Limited; China Galaxy International Securities (Hong Kong) Co., Limited; China Industrial Securities International Capital Limited; Futu Securities International (Hong Kong) Limited; Tiger Brokers (HK) Global Limited</ns0:t>
        </ns0:is>
      </ns0:c>
      <ns0:c r="BX339" s="74" t="inlineStr">
        <ns0:is>
          <ns0: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ns0:t>
        </ns0:is>
      </ns0:c>
      <ns0:c r="BY339" s="93">
        <ns0:f>HYPERLINK("https://www1.hkexnews.hk/listedco/listconews/sehk/2025/0618/2025061800023.pdf","prospectus")</ns0:f>
        <ns0:v/>
      </ns0:c>
      <ns0:c r="BZ339" s="93">
        <ns0:f>HYPERLINK("https://www1.hkexnews.hk/listedco/listconews/sehk/2025/0625/2025062502268.pdf","allotment")</ns0:f>
        <ns0:v/>
      </ns0:c>
      <ns0:c r="CA339" s="93">
        <ns0:f>HYPERLINK("https://www1.hkexnews.hk/listedco/listconews/sehk/2025/0723/2025072301100.pdf","stabilisation")</ns0:f>
        <ns0:v/>
      </ns0:c>
      <ns0:c r="CB339" s="94" t="n"/>
      <ns0:c r="CC339" s="74" t="inlineStr">
        <ns0:is>
          <ns0:t>P/E: Bloomberg trailing-12m basis (prospectus-year multiple not derivable); greenshoe: outcome published; expiry date not in the notice; range low: maximum offer price only, no floor published; P/S: revenue not extractable; stabilising manager: not named in the allotment notice or prospectus glossary; financials rejected: net income HK$632.8m exceeds revenue HK$535.7m; both withheld with their multiples</ns0:t>
        </ns0:is>
      </ns0:c>
    </ns0:row>
    <ns0:row r="340" ht="22" customHeight="1">
      <ns0:c r="A340" s="73" t="inlineStr">
        <ns0:is>
          <ns0:t>2508</ns0:t>
        </ns0:is>
      </ns0:c>
      <ns0:c r="B340" s="74" t="inlineStr">
        <ns0:is>
          <ns0:t>SAINT BELLA</ns0:t>
        </ns0:is>
      </ns0:c>
      <ns0:c r="C340" s="74" t="inlineStr">
        <ns0:is>
          <ns0:t>聖貝拉集團</ns0:t>
        </ns0:is>
      </ns0:c>
      <ns0:c r="D340" s="74" t="inlineStr">
        <ns0:is>
          <ns0:t>Healthcare</ns0:t>
        </ns0:is>
      </ns0:c>
      <ns0:c r="E340" s="74" t="inlineStr">
        <ns0:is>
          <ns0:t>Hospitals / clinics</ns0:t>
        </ns0:is>
      </ns0:c>
      <ns0:c r="F340" s="74" t="inlineStr">
        <ns0:is>
          <ns0:t>Health Care Services</ns0:t>
        </ns0:is>
      </ns0:c>
      <ns0:c r="G340" s="74" t="inlineStr">
        <ns0:is>
          <ns0:t>Standard</ns0:t>
        </ns0:is>
      </ns0:c>
      <ns0:c r="H340" s="75" t="n">
        <ns0:v>45834</ns0:v>
      </ns0:c>
      <ns0:c r="I340" s="76" t="n">
        <ns0:v>722</ns0:v>
      </ns0:c>
      <ns0:c r="J340" s="74" t="inlineStr">
        <ns0:is>
          <ns0:t>gross (price x shares)</ns0:t>
        </ns0:is>
      </ns0:c>
      <ns0:c r="K340" s="95" t="n"/>
      <ns0:c r="L340" s="77" t="n">
        <ns0:v>6.58</ns0:v>
      </ns0:c>
      <ns0:c r="M340" s="77" t="n">
        <ns0:v>6.58</ns0:v>
      </ns0:c>
      <ns0:c r="N340" s="74" t="inlineStr">
        <ns0:is>
          <ns0:t>Y</ns0:t>
        </ns0:is>
      </ns0:c>
      <ns0:c r="O340" s="78" t="n">
        <ns0:v>100</ns0:v>
      </ns0:c>
      <ns0:c r="P340" s="84" t="n"/>
      <ns0:c r="Q340" s="79" t="n">
        <ns0:v>4012</ns0:v>
      </ns0:c>
      <ns0:c r="R340" s="74" t="inlineStr">
        <ns0:is>
          <ns0:t>derived:price x shares upon listing</ns0:t>
        </ns0:is>
      </ns0:c>
      <ns0:c r="S340" s="80" t="n">
        <ns0:v>193</ns0:v>
      </ns0:c>
      <ns0:c r="T340" s="81" t="n">
        <ns0:v>15.59</ns0:v>
      </ns0:c>
      <ns0:c r="U340" s="82" t="n">
        <ns0:v>44.96</ns0:v>
      </ns0:c>
      <ns0:c r="V340" s="83" t="n">
        <ns0:v>100</ns0:v>
      </ns0:c>
      <ns0:c r="W340" s="78" t="n">
        <ns0:v>43.48</ns0:v>
      </ns0:c>
      <ns0:c r="X340" s="74" t="inlineStr">
        <ns0:is>
          <ns0:t>YES</ns0:t>
        </ns0:is>
      </ns0:c>
      <ns0:c r="Y340" s="79" t="n">
        <ns0:v>397.39</ns0:v>
      </ns0:c>
      <ns0:c r="Z340" s="79" t="n">
        <ns0:v>60397043</ns0:v>
      </ns0:c>
      <ns0:c r="AA340" s="78" t="n">
        <ns0:v>9.91</ns0:v>
      </ns0:c>
      <ns0:c r="AB340" s="74" t="inlineStr">
        <ns0:is>
          <ns0:t>GIMM Holding Limited; China Asset Management (Hong Kong) Limited; JKKB Limited; Carl Wu; SS Morgan Capital Limited; Minwise Business Consulting Limited; Wang Qianqing</ns0:t>
        </ns0:is>
      </ns0:c>
      <ns0:c r="AC340" s="74" t="inlineStr">
        <ns0:is>
          <ns0:t>gimm;china-asset;jkkb;carl;ss;minwise;wang-qianqing</ns0:t>
        </ns0:is>
      </ns0:c>
      <ns0:c r="AD340" s="78" t="n">
        <ns0:v>15</ns0:v>
      </ns0:c>
      <ns0:c r="AE340" s="74" t="inlineStr">
        <ns0:is>
          <ns0:t>partial</ns0:t>
        </ns0:is>
      </ns0:c>
      <ns0:c r="AF340" s="74" t="inlineStr">
        <ns0:is>
          <ns0:t>2025-07-23</ns0:t>
        </ns0:is>
      </ns0:c>
      <ns0:c r="AG340" s="74" t="inlineStr">
        <ns0:is>
          <ns0:t>UBS AG Hong Kong Branch</ns0:t>
        </ns0:is>
      </ns0:c>
      <ns0:c r="AH340" s="74" t="inlineStr">
        <ns0:is>
          <ns0:t>UBS</ns0:t>
        </ns0:is>
      </ns0:c>
      <ns0:c r="AI340" s="86" t="n">
        <ns0:v>21.88</ns0:v>
      </ns0:c>
      <ns0:c r="AJ340" s="87" t="n">
        <ns0:v>33.74</ns0:v>
      </ns0:c>
      <ns0:c r="AK340" s="87" t="n">
        <ns0:v>-2.25</ns0:v>
      </ns0:c>
      <ns0:c r="AL340" s="87" t="n">
        <ns0:v>28.42</ns0:v>
      </ns0:c>
      <ns0:c r="AM340" s="87" t="n">
        <ns0:v>4.14</ns0:v>
      </ns0:c>
      <ns0:c r="AN340" s="89" t="n">
        <ns0:v>1.98</ns0:v>
      </ns0:c>
      <ns0:c r="AO340" s="78" t="n">
        <ns0:v>30.18</ns0:v>
      </ns0:c>
      <ns0:c r="AP340" s="87" t="n">
        <ns0:v>0.46</ns0:v>
      </ns0:c>
      <ns0:c r="AQ340" s="87" t="n">
        <ns0:v>16.41</ns0:v>
      </ns0:c>
      <ns0:c r="AR340" s="87" t="n">
        <ns0:v>-6.53</ns0:v>
      </ns0:c>
      <ns0:c r="AS340" s="87" t="n">
        <ns0:v>-24.88</ns0:v>
      </ns0:c>
      <ns0:c r="AT340" s="87" t="n">
        <ns0:v>-12.96</ns0:v>
      </ns0:c>
      <ns0:c r="AU340" s="87" t="n">
        <ns0:v>-30.11</ns0:v>
      </ns0:c>
      <ns0:c r="AV340" s="87" t="n">
        <ns0:v>-3.25</ns0:v>
      </ns0:c>
      <ns0:c r="AW340" s="87" t="n">
        <ns0:v>-2.52</ns0:v>
      </ns0:c>
      <ns0:c r="AX340" s="87" t="n">
        <ns0:v>-34</ns0:v>
      </ns0:c>
      <ns0:c r="AY340" s="87" t="n">
        <ns0:v>-34.63</ns0:v>
      </ns0:c>
      <ns0:c r="AZ340" s="87" t="n">
        <ns0:v>18.93</ns0:v>
      </ns0:c>
      <ns0:c r="BA340" s="87" t="n">
        <ns0:v>21.67</ns0:v>
      </ns0:c>
      <ns0:c r="BB340" s="74" t="inlineStr">
        <ns0:is>
          <ns0:t>China Biotech ETF (HS biotech proxy)</ns0:t>
        </ns0:is>
      </ns0:c>
      <ns0:c r="BC340" s="87" t="n">
        <ns0:v>-59.88</ns0:v>
      </ns0:c>
      <ns0:c r="BD340" s="75" t="n">
        <ns0:v>46297</ns0:v>
      </ns0:c>
      <ns0:c r="BE340" s="76" t="n">
        <ns0:v>878.5</ns0:v>
      </ns0:c>
      <ns0:c r="BF340" s="79" t="n">
        <ns0:v>-597.6</ns0:v>
      </ns0:c>
      <ns0:c r="BG340" s="74" t="inlineStr">
        <ns0:is>
          <ns0:t>N</ns0:t>
        </ns0:is>
      </ns0:c>
      <ns0:c r="BH340" s="74" t="inlineStr">
        <ns0:is>
          <ns0:t>n/m</ns0:t>
        </ns0:is>
      </ns0:c>
      <ns0:c r="BI340" s="88" t="n"/>
      <ns0:c r="BJ340" s="89" t="n">
        <ns0:v>2.2</ns0:v>
      </ns0:c>
      <ns0:c r="BK340" s="89" t="n">
        <ns0:v>4.6</ns0:v>
      </ns0:c>
      <ns0:c r="BL340" s="90">
        <ns0:f>IFERROR(IF('BBG Verify'!S340="","Awaiting Bloomberg",'BBG Verify'!S340),"Awaiting Bloomberg")</ns0:f>
        <ns0:v/>
      </ns0:c>
      <ns0:c r="BM340" s="91" t="inlineStr">
        <ns0:is>
          <ns0:t>N</ns0:t>
        </ns0:is>
      </ns0:c>
      <ns0:c r="BN340" s="92">
        <ns0:f>IFERROR(IF('BBG Verify'!K340="","Awaiting Bloomberg",'BBG Verify'!K340),"Awaiting Bloomberg")</ns0:f>
        <ns0:v/>
      </ns0:c>
      <ns0:c r="BO340" s="74" t="inlineStr">
        <ns0:is>
          <ns0:t>N/A</ns0:t>
        </ns0:is>
      </ns0:c>
      <ns0:c r="BP340" s="74" t="inlineStr">
        <ns0:is>
          <ns0:t>N/A</ns0:t>
        </ns0:is>
      </ns0:c>
      <ns0:c r="BQ340" s="74" t="inlineStr">
        <ns0:is>
          <ns0:t>N/A</ns0:t>
        </ns0:is>
      </ns0:c>
      <ns0:c r="BR340" s="74" t="inlineStr">
        <ns0:is>
          <ns0:t>N/A</ns0:t>
        </ns0:is>
      </ns0:c>
      <ns0:c r="BS340" s="74" t="inlineStr">
        <ns0:is>
          <ns0:t>N/A</ns0:t>
        </ns0:is>
      </ns0:c>
      <ns0:c r="BT340" s="74" t="inlineStr">
        <ns0:is>
          <ns0:t>N/A</ns0:t>
        </ns0:is>
      </ns0:c>
      <ns0:c r="BU340" s="91" t="inlineStr">
        <ns0:is>
          <ns0:t>UBS Securities Hong Kong Limited; CITIC Securities (Hong Kong) Limited</ns0:t>
        </ns0:is>
      </ns0:c>
      <ns0:c r="BV340" s="74" t="inlineStr">
        <ns0:is>
          <ns0:t>UBS Securities Hong Kong Limited; CITIC Securities (Hong Kong) Limited</ns0:t>
        </ns0:is>
      </ns0:c>
      <ns0:c r="BW340" s="74" t="inlineStr">
        <ns0:is>
          <ns0: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ns0:t>
        </ns0:is>
      </ns0:c>
      <ns0:c r="BX340" s="74" t="inlineStr">
        <ns0:is>
          <ns0: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ns0:t>
        </ns0:is>
      </ns0:c>
      <ns0:c r="BY340" s="93">
        <ns0:f>HYPERLINK("https://www1.hkexnews.hk/listedco/listconews/sehk/2025/0618/2025061800127.pdf","prospectus")</ns0:f>
        <ns0:v/>
      </ns0:c>
      <ns0:c r="BZ340" s="93">
        <ns0:f>HYPERLINK("https://www1.hkexnews.hk/listedco/listconews/sehk/2025/0625/2025062502266.pdf","allotment")</ns0:f>
        <ns0:v/>
      </ns0:c>
      <ns0:c r="CA340" s="93">
        <ns0:f>HYPERLINK("https://www1.hkexnews.hk/listedco/listconews/sehk/2025/0723/2025072301180.pdf","stabilisation")</ns0:f>
        <ns0:v/>
      </ns0:c>
      <ns0:c r="CB340" s="94" t="n"/>
      <ns0:c r="CC340" s="74" t="inlineStr">
        <ns0:is>
          <ns0:t>P/E: loss-making at IPO, use P/S; range low: maximum offer price only, no floor published</ns0:t>
        </ns0:is>
      </ns0:c>
    </ns0:row>
    <ns0:row r="341" ht="22" customHeight="1">
      <ns0:c r="A341" s="73" t="inlineStr">
        <ns0:is>
          <ns0:t>6883</ns0:t>
        </ns0:is>
      </ns0:c>
      <ns0:c r="B341" s="74" t="inlineStr">
        <ns0:is>
          <ns0:t>ETERNAL BEAUTY</ns0:t>
        </ns0:is>
      </ns0:c>
      <ns0:c r="C341" s="74" t="inlineStr">
        <ns0:is>
          <ns0:t>穎通控股</ns0:t>
        </ns0:is>
      </ns0:c>
      <ns0:c r="D341" s="74" t="inlineStr">
        <ns0:is>
          <ns0:t>Consumer</ns0:t>
        </ns0:is>
      </ns0:c>
      <ns0:c r="E341" s="74" t="inlineStr">
        <ns0:is>
          <ns0:t>Beauty / personal care</ns0:t>
        </ns0:is>
      </ns0:c>
      <ns0:c r="F341" s="74" t="inlineStr">
        <ns0:is>
          <ns0:t>Beauty &amp; Toiletries Products and Services</ns0:t>
        </ns0:is>
      </ns0:c>
      <ns0:c r="G341" s="74" t="inlineStr">
        <ns0:is>
          <ns0:t>Standard</ns0:t>
        </ns0:is>
      </ns0:c>
      <ns0:c r="H341" s="75" t="n">
        <ns0:v>45834</ns0:v>
      </ns0:c>
      <ns0:c r="I341" s="76" t="n">
        <ns0:v>960.1900000000001</ns0:v>
      </ns0:c>
      <ns0:c r="J341" s="74" t="inlineStr">
        <ns0:is>
          <ns0:t>gross (stated)</ns0:t>
        </ns0:is>
      </ns0:c>
      <ns0:c r="K341" s="77" t="n">
        <ns0:v>2.8</ns0:v>
      </ns0:c>
      <ns0:c r="L341" s="77" t="n">
        <ns0:v>3.38</ns0:v>
      </ns0:c>
      <ns0:c r="M341" s="77" t="n">
        <ns0:v>2.88</ns0:v>
      </ns0:c>
      <ns0:c r="N341" s="74" t="inlineStr">
        <ns0:is>
          <ns0:t>N</ns0:t>
        </ns0:is>
      </ns0:c>
      <ns0:c r="O341" s="78" t="n">
        <ns0:v>85.2</ns0:v>
      </ns0:c>
      <ns0:c r="P341" s="78" t="n">
        <ns0:v>13.8</ns0:v>
      </ns0:c>
      <ns0:c r="Q341" s="79" t="n">
        <ns0:v>3840.2</ns0:v>
      </ns0:c>
      <ns0:c r="R341" s="74" t="inlineStr">
        <ns0:is>
          <ns0:t>derived:price x shares upon listing</ns0:t>
        </ns0:is>
      </ns0:c>
      <ns0:c r="S341" s="80" t="n">
        <ns0:v>35.84</ns0:v>
      </ns0:c>
      <ns0:c r="T341" s="81" t="n">
        <ns0:v>3.5</ns0:v>
      </ns0:c>
      <ns0:c r="U341" s="82" t="n">
        <ns0:v>0</ns0:v>
      </ns0:c>
      <ns0:c r="V341" s="83" t="n">
        <ns0:v>210</ns0:v>
      </ns0:c>
      <ns0:c r="W341" s="78" t="n">
        <ns0:v>30</ns0:v>
      </ns0:c>
      <ns0:c r="X341" s="74" t="inlineStr">
        <ns0:is>
          <ns0:t>YES</ns0:t>
        </ns0:is>
      </ns0:c>
      <ns0:c r="Y341" s="79" t="n">
        <ns0:v>960.1900000000001</ns0:v>
      </ns0:c>
      <ns0:c r="Z341" s="79" t="n">
        <ns0:v>333400000</ns0:v>
      </ns0:c>
      <ns0:c r="AA341" s="78" t="n">
        <ns0:v>25</ns0:v>
      </ns0:c>
      <ns0:c r="AB341" s="74" t="inlineStr">
        <ns0:is>
          <ns0:t>none — no cornerstone tranche</ns0:t>
        </ns0:is>
      </ns0:c>
      <ns0:c r="AC341" s="74" t="inlineStr">
        <ns0:is>
          <ns0:t>none</ns0:t>
        </ns0:is>
      </ns0:c>
      <ns0:c r="AD341" s="78" t="n">
        <ns0:v>15</ns0:v>
      </ns0:c>
      <ns0:c r="AE341" s="74" t="inlineStr">
        <ns0:is>
          <ns0:t>lapsed</ns0:t>
        </ns0:is>
      </ns0:c>
      <ns0:c r="AF341" s="74" t="inlineStr">
        <ns0:is>
          <ns0:t>2025-07-23</ns0:t>
        </ns0:is>
      </ns0:c>
      <ns0:c r="AG341" s="85" t="n"/>
      <ns0:c r="AH341" s="85" t="n"/>
      <ns0:c r="AI341" s="86" t="n">
        <ns0:v>-2.43</ns0:v>
      </ns0:c>
      <ns0:c r="AJ341" s="87" t="n">
        <ns0:v>-16.67</ns0:v>
      </ns0:c>
      <ns0:c r="AK341" s="87" t="n">
        <ns0:v>-0.72</ns0:v>
      </ns0:c>
      <ns0:c r="AL341" s="87" t="n">
        <ns0:v>-10.42</ns0:v>
      </ns0:c>
      <ns0:c r="AM341" s="87" t="n">
        <ns0:v>-6.98</ns0:v>
      </ns0:c>
      <ns0:c r="AN341" s="89" t="n">
        <ns0:v>1.74</ns0:v>
      </ns0:c>
      <ns0:c r="AO341" s="78" t="n">
        <ns0:v>20.93</ns0:v>
      </ns0:c>
      <ns0:c r="AP341" s="87" t="n">
        <ns0:v>-23.61</ns0:v>
      </ns0:c>
      <ns0:c r="AQ341" s="87" t="n">
        <ns0:v>-28.47</ns0:v>
      </ns0:c>
      <ns0:c r="AR341" s="87" t="n">
        <ns0:v>-27.08</ns0:v>
      </ns0:c>
      <ns0:c r="AS341" s="87" t="n">
        <ns0:v>-8.33</ns0:v>
      </ns0:c>
      <ns0:c r="AT341" s="87" t="n">
        <ns0:v>-14.16</ns0:v>
      </ns0:c>
      <ns0:c r="AU341" s="87" t="n">
        <ns0:v>-12.49</ns0:v>
      </ns0:c>
      <ns0:c r="AV341" s="87" t="n">
        <ns0:v>-21.19</ns0:v>
      </ns0:c>
      <ns0:c r="AW341" s="87" t="n">
        <ns0:v>-33.79</ns0:v>
      </ns0:c>
      <ns0:c r="AX341" s="87" t="n">
        <ns0:v>-41.28</ns0:v>
      </ns0:c>
      <ns0:c r="AY341" s="87" t="n">
        <ns0:v>-20.25</ns0:v>
      </ns0:c>
      <ns0:c r="AZ341" s="87" t="n">
        <ns0:v>5.32</ns0:v>
      </ns0:c>
      <ns0:c r="BA341" s="87" t="n">
        <ns0:v>6.09</ns0:v>
      </ns0:c>
      <ns0:c r="BB341" s="74" t="inlineStr">
        <ns0:is>
          <ns0:t>Hang Seng Commerce &amp; Industry sub-index</ns0:t>
        </ns0:is>
      </ns0:c>
      <ns0:c r="BC341" s="87" t="n">
        <ns0:v>-29.51</ns0:v>
      </ns0:c>
      <ns0:c r="BD341" s="75" t="n">
        <ns0:v>46097</ns0:v>
      </ns0:c>
      <ns0:c r="BE341" s="76" t="n">
        <ns0:v>2291.7</ns0:v>
      </ns0:c>
      <ns0:c r="BF341" s="79" t="n">
        <ns0:v>249.7</ns0:v>
      </ns0:c>
      <ns0:c r="BG341" s="74" t="inlineStr">
        <ns0:is>
          <ns0:t>Y</ns0:t>
        </ns0:is>
      </ns0:c>
      <ns0:c r="BH341" s="89" t="n">
        <ns0:v>15.4</ns0:v>
      </ns0:c>
      <ns0:c r="BI341" s="88" t="n"/>
      <ns0:c r="BJ341" s="89" t="n">
        <ns0:v>9.1</ns0:v>
      </ns0:c>
      <ns0:c r="BK341" s="89" t="n">
        <ns0:v>1.7</ns0:v>
      </ns0:c>
      <ns0:c r="BL341" s="90">
        <ns0:f>IFERROR(IF('BBG Verify'!S341="","Awaiting Bloomberg",'BBG Verify'!S341),"Awaiting Bloomberg")</ns0:f>
        <ns0:v/>
      </ns0:c>
      <ns0:c r="BM341" s="91" t="inlineStr">
        <ns0:is>
          <ns0:t>N</ns0:t>
        </ns0:is>
      </ns0:c>
      <ns0:c r="BN341" s="92">
        <ns0:f>IFERROR(IF('BBG Verify'!K341="","Awaiting Bloomberg",'BBG Verify'!K341),"Awaiting Bloomberg")</ns0:f>
        <ns0:v/>
      </ns0:c>
      <ns0:c r="BO341" s="74" t="inlineStr">
        <ns0:is>
          <ns0:t>N/A</ns0:t>
        </ns0:is>
      </ns0:c>
      <ns0:c r="BP341" s="74" t="inlineStr">
        <ns0:is>
          <ns0:t>N/A</ns0:t>
        </ns0:is>
      </ns0:c>
      <ns0:c r="BQ341" s="74" t="inlineStr">
        <ns0:is>
          <ns0:t>N/A</ns0:t>
        </ns0:is>
      </ns0:c>
      <ns0:c r="BR341" s="74" t="inlineStr">
        <ns0:is>
          <ns0:t>N/A</ns0:t>
        </ns0:is>
      </ns0:c>
      <ns0:c r="BS341" s="74" t="inlineStr">
        <ns0:is>
          <ns0:t>N/A</ns0:t>
        </ns0:is>
      </ns0:c>
      <ns0:c r="BT341" s="74" t="inlineStr">
        <ns0:is>
          <ns0:t>N/A</ns0:t>
        </ns0:is>
      </ns0:c>
      <ns0:c r="BU341" s="91" t="inlineStr">
        <ns0:is>
          <ns0:t>BNP Paribas Securities (Asia) Limited; CITIC Securities (Hong Kong) Limited</ns0:t>
        </ns0:is>
      </ns0:c>
      <ns0:c r="BV341" s="74" t="inlineStr">
        <ns0:is>
          <ns0:t>CITIC Securities (Hong Kong) Limited; BNP Paribas Securities (Asia) Limited</ns0:t>
        </ns0:is>
      </ns0:c>
      <ns0:c r="BW341" s="74" t="inlineStr">
        <ns0:is>
          <ns0:t>First Shanghai Securities Limited; Futu Securities International (Hong Kong) Limited; SBI China Capital Financial Services Ltd</ns0:t>
        </ns0:is>
      </ns0:c>
      <ns0:c r="BX341" s="74" t="inlineStr">
        <ns0:is>
          <ns0: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ns0:t>
        </ns0:is>
      </ns0:c>
      <ns0:c r="BY341" s="93">
        <ns0:f>HYPERLINK("https://www1.hkexnews.hk/listedco/listconews/sehk/2025/0618/2025061800005.pdf","prospectus")</ns0:f>
        <ns0:v/>
      </ns0:c>
      <ns0:c r="BZ341" s="93">
        <ns0:f>HYPERLINK("https://www1.hkexnews.hk/listedco/listconews/sehk/2025/0626/2025062600005.pdf","allotment")</ns0:f>
        <ns0:v/>
      </ns0:c>
      <ns0:c r="CA341" s="93">
        <ns0:f>HYPERLINK("https://www1.hkexnews.hk/listedco/listconews/sehk/2025/0723/2025072300810.pdf","stabilisation")</ns0:f>
        <ns0:v/>
      </ns0:c>
      <ns0:c r="CB341" s="94" t="n"/>
      <ns0:c r="CC341" s="74" t="inlineStr">
        <ns0:is>
          <ns0:t>cornerstone list: no cornerstone tranche; stabilising manager: not named in the allotment notice or prospectus glossary; price series: last available quoted close 2026-03-16; may be suspended, delisted or a source gap; price and benchmark end on that date</ns0:t>
        </ns0:is>
      </ns0:c>
    </ns0:row>
    <ns0:row r="342" ht="22" customHeight="1">
      <ns0:c r="A342" s="73" t="inlineStr">
        <ns0:is>
          <ns0:t>9678</ns0:t>
        </ns0:is>
      </ns0:c>
      <ns0:c r="B342" s="74" t="inlineStr">
        <ns0:is>
          <ns0:t>UNISOUND</ns0:t>
        </ns0:is>
      </ns0:c>
      <ns0:c r="C342" s="74" t="inlineStr">
        <ns0:is>
          <ns0:t>雲知聲</ns0:t>
        </ns0:is>
      </ns0:c>
      <ns0:c r="D342" s="74" t="inlineStr">
        <ns0:is>
          <ns0:t>Technology</ns0:t>
        </ns0:is>
      </ns0:c>
      <ns0:c r="E342" s="74" t="inlineStr">
        <ns0:is>
          <ns0:t>Software &amp; AI</ns0:t>
        </ns0:is>
      </ns0:c>
      <ns0:c r="F342" s="74" t="inlineStr">
        <ns0:is>
          <ns0:t>Advanced hardware and software</ns0:t>
        </ns0:is>
      </ns0:c>
      <ns0:c r="G342" s="74" t="inlineStr">
        <ns0:is>
          <ns0:t>Standard</ns0:t>
        </ns0:is>
      </ns0:c>
      <ns0:c r="H342" s="75" t="n">
        <ns0:v>45838</ns0:v>
      </ns0:c>
      <ns0:c r="I342" s="76" t="n">
        <ns0:v>320</ns0:v>
      </ns0:c>
      <ns0:c r="J342" s="74" t="inlineStr">
        <ns0:is>
          <ns0:t>gross (stated)</ns0:t>
        </ns0:is>
      </ns0:c>
      <ns0:c r="K342" s="77" t="n">
        <ns0:v>165</ns0:v>
      </ns0:c>
      <ns0:c r="L342" s="77" t="n">
        <ns0:v>205</ns0:v>
      </ns0:c>
      <ns0:c r="M342" s="77" t="n">
        <ns0:v>205</ns0:v>
      </ns0:c>
      <ns0:c r="N342" s="74" t="inlineStr">
        <ns0:is>
          <ns0:t>Y</ns0:t>
        </ns0:is>
      </ns0:c>
      <ns0:c r="O342" s="78" t="n">
        <ns0:v>100</ns0:v>
      </ns0:c>
      <ns0:c r="P342" s="78" t="n">
        <ns0:v>100</ns0:v>
      </ns0:c>
      <ns0:c r="Q342" s="79" t="n">
        <ns0:v>14545.5</ns0:v>
      </ns0:c>
      <ns0:c r="R342" s="74" t="inlineStr">
        <ns0:is>
          <ns0:t>derived:price x shares upon listing</ns0:t>
        </ns0:is>
      </ns0:c>
      <ns0:c r="S342" s="80" t="n">
        <ns0:v>91.66</ns0:v>
      </ns0:c>
      <ns0:c r="T342" s="81" t="n">
        <ns0:v>1.7</ns0:v>
      </ns0:c>
      <ns0:c r="U342" s="82" t="n">
        <ns0:v>29.65</ns0:v>
      </ns0:c>
      <ns0:c r="V342" s="83" t="n">
        <ns0:v>119</ns0:v>
      </ns0:c>
      <ns0:c r="W342" s="78" t="n">
        <ns0:v>40</ns0:v>
      </ns0:c>
      <ns0:c r="X342" s="74" t="inlineStr">
        <ns0:is>
          <ns0:t>YES</ns0:t>
        </ns0:is>
      </ns0:c>
      <ns0:c r="Y342" s="79" t="n">
        <ns0:v>225.12</ns0:v>
      </ns0:c>
      <ns0:c r="Z342" s="79" t="n">
        <ns0:v>1098149</ns0:v>
      </ns0:c>
      <ns0:c r="AA342" s="78" t="n">
        <ns0:v>1.55</ns0:v>
      </ns0:c>
      <ns0:c r="AB342" s="74" t="inlineStr">
        <ns0:is>
          <ns0:t>SensePower; Nebula; Runjian International</ns0:t>
        </ns0:is>
      </ns0:c>
      <ns0:c r="AC342" s="74" t="inlineStr">
        <ns0:is>
          <ns0:t>sensepower;nebula;runjian</ns0:t>
        </ns0:is>
      </ns0:c>
      <ns0:c r="AD342" s="78" t="n">
        <ns0:v>10.17</ns0:v>
      </ns0:c>
      <ns0:c r="AE342" s="74" t="inlineStr">
        <ns0:is>
          <ns0:t>full</ns0:t>
        </ns0:is>
      </ns0:c>
      <ns0:c r="AF342" s="74" t="inlineStr">
        <ns0:is>
          <ns0:t>2025-07-25</ns0:t>
        </ns0:is>
      </ns0:c>
      <ns0:c r="AG342" s="74" t="inlineStr">
        <ns0:is>
          <ns0:t>China International Capital Corporation Hong Kong Securities Limited</ns0:t>
        </ns0:is>
      </ns0:c>
      <ns0:c r="AH342" s="74" t="inlineStr">
        <ns0:is>
          <ns0:t>China International</ns0:t>
        </ns0:is>
      </ns0:c>
      <ns0:c r="AI342" s="86" t="n">
        <ns0:v>-2.88</ns0:v>
      </ns0:c>
      <ns0:c r="AJ342" s="87" t="n">
        <ns0:v>44.59</ns0:v>
      </ns0:c>
      <ns0:c r="AK342" s="87" t="n">
        <ns0:v>-0.67</ns0:v>
      </ns0:c>
      <ns0:c r="AL342" s="87" t="n">
        <ns0:v>0</ns0:v>
      </ns0:c>
      <ns0:c r="AM342" s="87" t="n">
        <ns0:v>44.59</ns0:v>
      </ns0:c>
      <ns0:c r="AN342" s="89" t="n">
        <ns0:v>1.29</ns0:v>
      </ns0:c>
      <ns0:c r="AO342" s="78" t="n">
        <ns0:v>59.41</ns0:v>
      </ns0:c>
      <ns0:c r="AP342" s="87" t="n">
        <ns0:v>105.37</ns0:v>
      </ns0:c>
      <ns0:c r="AQ342" s="87" t="n">
        <ns0:v>184.88</ns0:v>
      </ns0:c>
      <ns0:c r="AR342" s="87" t="n">
        <ns0:v>137.17</ns0:v>
      </ns0:c>
      <ns0:c r="AS342" s="87" t="n">
        <ns0:v>42.04</ns0:v>
      </ns0:c>
      <ns0:c r="AT342" s="87" t="n">
        <ns0:v>97.03</ns0:v>
      </ns0:c>
      <ns0:c r="AU342" s="87" t="n">
        <ns0:v>64.03</ns0:v>
      </ns0:c>
      <ns0:c r="AV342" s="87" t="n">
        <ns0:v>105.56</ns0:v>
      </ns0:c>
      <ns0:c r="AW342" s="87" t="n">
        <ns0:v>182.02</ns0:v>
      </ns0:c>
      <ns0:c r="AX342" s="87" t="n">
        <ns0:v>121.63</ns0:v>
      </ns0:c>
      <ns0:c r="AY342" s="87" t="n">
        <ns0:v>93.48</ns0:v>
      </ns0:c>
      <ns0:c r="AZ342" s="87" t="n">
        <ns0:v>2.86</ns0:v>
      </ns0:c>
      <ns0:c r="BA342" s="87" t="n">
        <ns0:v>3.55</ns0:v>
      </ns0:c>
      <ns0:c r="BB342" s="74" t="inlineStr">
        <ns0:is>
          <ns0:t>HSTECH (Hang Seng TECH ETF)</ns0:t>
        </ns0:is>
      </ns0:c>
      <ns0:c r="BC342" s="87" t="n">
        <ns0:v>-67.37</ns0:v>
      </ns0:c>
      <ns0:c r="BD342" s="75" t="n">
        <ns0:v>46297</ns0:v>
      </ns0:c>
      <ns0:c r="BE342" s="76" t="n">
        <ns0:v>1032.9</ns0:v>
      </ns0:c>
      <ns0:c r="BF342" s="79" t="n">
        <ns0:v>-499.6</ns0:v>
      </ns0:c>
      <ns0:c r="BG342" s="74" t="inlineStr">
        <ns0:is>
          <ns0:t>N</ns0:t>
        </ns0:is>
      </ns0:c>
      <ns0:c r="BH342" s="74" t="inlineStr">
        <ns0:is>
          <ns0:t>n/m</ns0:t>
        </ns0:is>
      </ns0:c>
      <ns0:c r="BI342" s="88" t="n"/>
      <ns0:c r="BJ342" s="88" t="n"/>
      <ns0:c r="BK342" s="89" t="n">
        <ns0:v>14.1</ns0:v>
      </ns0:c>
      <ns0:c r="BL342" s="90">
        <ns0:f>IFERROR(IF('BBG Verify'!S342="","Awaiting Bloomberg",'BBG Verify'!S342),"Awaiting Bloomberg")</ns0:f>
        <ns0:v/>
      </ns0:c>
      <ns0:c r="BM342" s="91" t="inlineStr">
        <ns0:is>
          <ns0:t>N</ns0:t>
        </ns0:is>
      </ns0:c>
      <ns0:c r="BN342" s="92">
        <ns0:f>IFERROR(IF('BBG Verify'!K342="","Awaiting Bloomberg",'BBG Verify'!K342),"Awaiting Bloomberg")</ns0:f>
        <ns0:v/>
      </ns0:c>
      <ns0:c r="BO342" s="74" t="inlineStr">
        <ns0:is>
          <ns0:t>N/A</ns0:t>
        </ns0:is>
      </ns0:c>
      <ns0:c r="BP342" s="74" t="inlineStr">
        <ns0:is>
          <ns0:t>N/A</ns0:t>
        </ns0:is>
      </ns0:c>
      <ns0:c r="BQ342" s="74" t="inlineStr">
        <ns0:is>
          <ns0:t>N/A</ns0:t>
        </ns0:is>
      </ns0:c>
      <ns0:c r="BR342" s="74" t="inlineStr">
        <ns0:is>
          <ns0:t>N/A</ns0:t>
        </ns0:is>
      </ns0:c>
      <ns0:c r="BS342" s="74" t="inlineStr">
        <ns0:is>
          <ns0:t>N/A</ns0:t>
        </ns0:is>
      </ns0:c>
      <ns0:c r="BT342" s="74" t="inlineStr">
        <ns0:is>
          <ns0:t>N/A</ns0:t>
        </ns0:is>
      </ns0:c>
      <ns0:c r="BU342" s="91" t="inlineStr">
        <ns0:is>
          <ns0:t>China International Capital Corporation Hong Kong Securities Limited; Haitong International Capital Limited</ns0:t>
        </ns0:is>
      </ns0:c>
      <ns0:c r="BV342" s="74" t="inlineStr">
        <ns0:is>
          <ns0:t>China International Capital Corporation Hong Kong Securities Limited; Haitong International Capital Limited</ns0:t>
        </ns0:is>
      </ns0:c>
      <ns0:c r="BW342" s="74" t="inlineStr">
        <ns0:is>
          <ns0:t>China International Capital Corporation Hong Kong Securities Limited; Haitong International Securities Company Limited; ABCI Capital Limited; Orient Securities (Hong Kong) Limited; CMBC Securities Company Limited; Tiger Brokers (HK) Global Limited</ns0:t>
        </ns0:is>
      </ns0:c>
      <ns0:c r="BX342" s="74" t="inlineStr">
        <ns0:is>
          <ns0:t>ABCI Securities Company Limited; China International Capital Corporation Hong Kong Securities Limited; CMBC Securities Company Limited; Haitong International Securities Company Limited; Orient Securities (Hong Kong) Limited; Tiger Brokers (HK) Global Limited</ns0:t>
        </ns0:is>
      </ns0:c>
      <ns0:c r="BY342" s="93">
        <ns0:f>HYPERLINK("https://www1.hkexnews.hk/listedco/listconews/sehk/2025/0620/2025062000023.pdf","prospectus")</ns0:f>
        <ns0:v/>
      </ns0:c>
      <ns0:c r="BZ342" s="93">
        <ns0:f>HYPERLINK("https://www1.hkexnews.hk/listedco/listconews/sehk/2025/0627/2025062702974.pdf","allotment")</ns0:f>
        <ns0:v/>
      </ns0:c>
      <ns0:c r="CA342" s="93">
        <ns0:f>HYPERLINK("https://www1.hkexnews.hk/listedco/listconews/sehk/2025/0725/2025072501515.pdf","stabilisation")</ns0:f>
        <ns0:v/>
      </ns0:c>
      <ns0:c r="CB342" s="94" t="n"/>
      <ns0:c r="CC342" s="74" t="inlineStr">
        <ns0:is>
          <ns0:t>P/E: loss-making at IPO, use P/S; A/H: no A-share listing; nearest A proxy iFlytek (002230.SZ)</ns0:t>
        </ns0:is>
      </ns0:c>
    </ns0:row>
    <ns0:row r="343" ht="22" customHeight="1">
      <ns0:c r="A343" s="73" t="inlineStr">
        <ns0:is>
          <ns0:t>3880</ns0:t>
        </ns0:is>
      </ns0:c>
      <ns0:c r="B343" s="74" t="inlineStr">
        <ns0:is>
          <ns0:t>MEDTIDE</ns0:t>
        </ns0:is>
      </ns0:c>
      <ns0:c r="C343" s="74" t="inlineStr">
        <ns0:is>
          <ns0:t>泰德醫藥</ns0:t>
        </ns0:is>
      </ns0:c>
      <ns0:c r="D343" s="74" t="inlineStr">
        <ns0:is>
          <ns0:t>Healthcare</ns0:t>
        </ns0:is>
      </ns0:c>
      <ns0:c r="E343" s="74" t="inlineStr">
        <ns0:is>
          <ns0:t>CXO / pharma services</ns0:t>
        </ns0:is>
      </ns0:c>
      <ns0:c r="F343" s="74" t="inlineStr">
        <ns0:is>
          <ns0:t>Biotechnology - Pharmaceuticals</ns0:t>
        </ns0:is>
      </ns0:c>
      <ns0:c r="G343" s="74" t="inlineStr">
        <ns0:is>
          <ns0:t>Standard</ns0:t>
        </ns0:is>
      </ns0:c>
      <ns0:c r="H343" s="75" t="n">
        <ns0:v>45838</ns0:v>
      </ns0:c>
      <ns0:c r="I343" s="76" t="n">
        <ns0:v>514.08</ns0:v>
      </ns0:c>
      <ns0:c r="J343" s="74" t="inlineStr">
        <ns0:is>
          <ns0:t>gross (stated)</ns0:t>
        </ns0:is>
      </ns0:c>
      <ns0:c r="K343" s="77" t="n">
        <ns0:v>28.4</ns0:v>
      </ns0:c>
      <ns0:c r="L343" s="77" t="n">
        <ns0:v>30.6</ns0:v>
      </ns0:c>
      <ns0:c r="M343" s="77" t="n">
        <ns0:v>30.6</ns0:v>
      </ns0:c>
      <ns0:c r="N343" s="74" t="inlineStr">
        <ns0:is>
          <ns0:t>Y</ns0:t>
        </ns0:is>
      </ns0:c>
      <ns0:c r="O343" s="78" t="n">
        <ns0:v>100</ns0:v>
      </ns0:c>
      <ns0:c r="P343" s="78" t="n">
        <ns0:v>100</ns0:v>
      </ns0:c>
      <ns0:c r="Q343" s="79" t="n">
        <ns0:v>4339.1</ns0:v>
      </ns0:c>
      <ns0:c r="R343" s="74" t="inlineStr">
        <ns0:is>
          <ns0:t>derived:price x shares upon listing</ns0:t>
        </ns0:is>
      </ns0:c>
      <ns0:c r="S343" s="80" t="n">
        <ns0:v>301.15</ns0:v>
      </ns0:c>
      <ns0:c r="T343" s="81" t="n">
        <ns0:v>2.43</ns0:v>
      </ns0:c>
      <ns0:c r="U343" s="82" t="n">
        <ns0:v>15.27</ns0:v>
      </ns0:c>
      <ns0:c r="V343" s="83" t="n">
        <ns0:v>115</ns0:v>
      </ns0:c>
      <ns0:c r="W343" s="78" t="n">
        <ns0:v>50</ns0:v>
      </ns0:c>
      <ns0:c r="X343" s="74" t="inlineStr">
        <ns0:is>
          <ns0:t>YES</ns0:t>
        </ns0:is>
      </ns0:c>
      <ns0:c r="Y343" s="79" t="n">
        <ns0:v>435.58</ns0:v>
      </ns0:c>
      <ns0:c r="Z343" s="79" t="n">
        <ns0:v>14234640</ns0:v>
      </ns0:c>
      <ns0:c r="AA343" s="78" t="n">
        <ns0:v>10.04</ns0:v>
      </ns0:c>
      <ns0:c r="AB343" s="74" t="inlineStr">
        <ns0:is>
          <ns0:t>Dragon Merit Holdings Limited; Welight Capital L.P</ns0:t>
        </ns0:is>
      </ns0:c>
      <ns0:c r="AC343" s="74" t="inlineStr">
        <ns0:is>
          <ns0:t>dragon;welight</ns0:t>
        </ns0:is>
      </ns0:c>
      <ns0:c r="AD343" s="84" t="n"/>
      <ns0:c r="AE343" s="85" t="n"/>
      <ns0:c r="AF343" s="85" t="n"/>
      <ns0:c r="AG343" s="85" t="n"/>
      <ns0:c r="AH343" s="85" t="n"/>
      <ns0:c r="AI343" s="86" t="n">
        <ns0:v>1.8</ns0:v>
      </ns0:c>
      <ns0:c r="AJ343" s="87" t="n">
        <ns0:v>0.65</ns0:v>
      </ns0:c>
      <ns0:c r="AK343" s="87" t="n">
        <ns0:v>0.83</ns0:v>
      </ns0:c>
      <ns0:c r="AL343" s="87" t="n">
        <ns0:v>-0.98</ns0:v>
      </ns0:c>
      <ns0:c r="AM343" s="87" t="n">
        <ns0:v>1.65</ns0:v>
      </ns0:c>
      <ns0:c r="AN343" s="89" t="n">
        <ns0:v>1.02</ns0:v>
      </ns0:c>
      <ns0:c r="AO343" s="78" t="n">
        <ns0:v>15.68</ns0:v>
      </ns0:c>
      <ns0:c r="AP343" s="87" t="n">
        <ns0:v>1.63</ns0:v>
      </ns0:c>
      <ns0:c r="AQ343" s="87" t="n">
        <ns0:v>15.52</ns0:v>
      </ns0:c>
      <ns0:c r="AR343" s="87" t="n">
        <ns0:v>0</ns0:v>
      </ns0:c>
      <ns0:c r="AS343" s="87" t="n">
        <ns0:v>0.97</ns0:v>
      </ns0:c>
      <ns0:c r="AT343" s="87" t="n">
        <ns0:v>14.77</ns0:v>
      </ns0:c>
      <ns0:c r="AU343" s="87" t="n">
        <ns0:v>-0.65</ns0:v>
      </ns0:c>
      <ns0:c r="AV343" s="87" t="n">
        <ns0:v>-2.27</ns0:v>
      </ns0:c>
      <ns0:c r="AW343" s="87" t="n">
        <ns0:v>-9.640000000000001</ns0:v>
      </ns0:c>
      <ns0:c r="AX343" s="87" t="n">
        <ns0:v>-28.79</ns0:v>
      </ns0:c>
      <ns0:c r="AY343" s="87" t="n">
        <ns0:v>-9.359999999999999</ns0:v>
      </ns0:c>
      <ns0:c r="AZ343" s="87" t="n">
        <ns0:v>25.16</ns0:v>
      </ns0:c>
      <ns0:c r="BA343" s="87" t="n">
        <ns0:v>24.13</ns0:v>
      </ns0:c>
      <ns0:c r="BB343" s="74" t="inlineStr">
        <ns0:is>
          <ns0:t>China Biotech ETF (HS biotech proxy)</ns0:t>
        </ns0:is>
      </ns0:c>
      <ns0:c r="BC343" s="87" t="n">
        <ns0:v>-30.78</ns0:v>
      </ns0:c>
      <ns0:c r="BD343" s="75" t="n">
        <ns0:v>46297</ns0:v>
      </ns0:c>
      <ns0:c r="BE343" s="76" t="n">
        <ns0:v>486.4</ns0:v>
      </ns0:c>
      <ns0:c r="BF343" s="79" t="n">
        <ns0:v>65.09999999999999</ns0:v>
      </ns0:c>
      <ns0:c r="BG343" s="74" t="inlineStr">
        <ns0:is>
          <ns0:t>Y</ns0:t>
        </ns0:is>
      </ns0:c>
      <ns0:c r="BH343" s="89" t="n">
        <ns0:v>66.7</ns0:v>
      </ns0:c>
      <ns0:c r="BI343" s="89" t="n">
        <ns0:v>59.8</ns0:v>
      </ns0:c>
      <ns0:c r="BJ343" s="89" t="n">
        <ns0:v>11.6</ns0:v>
      </ns0:c>
      <ns0:c r="BK343" s="89" t="n">
        <ns0:v>8.9</ns0:v>
      </ns0:c>
      <ns0:c r="BL343" s="90">
        <ns0:f>IFERROR(IF('BBG Verify'!S343="","Awaiting Bloomberg",'BBG Verify'!S343),"Awaiting Bloomberg")</ns0:f>
        <ns0:v/>
      </ns0:c>
      <ns0:c r="BM343" s="91" t="inlineStr">
        <ns0:is>
          <ns0:t>N</ns0:t>
        </ns0:is>
      </ns0:c>
      <ns0:c r="BN343" s="92">
        <ns0:f>IFERROR(IF('BBG Verify'!K343="","Awaiting Bloomberg",'BBG Verify'!K343),"Awaiting Bloomberg")</ns0:f>
        <ns0:v/>
      </ns0:c>
      <ns0:c r="BO343" s="74" t="inlineStr">
        <ns0:is>
          <ns0:t>N/A</ns0:t>
        </ns0:is>
      </ns0:c>
      <ns0:c r="BP343" s="74" t="inlineStr">
        <ns0:is>
          <ns0:t>N/A</ns0:t>
        </ns0:is>
      </ns0:c>
      <ns0:c r="BQ343" s="74" t="inlineStr">
        <ns0:is>
          <ns0:t>N/A</ns0:t>
        </ns0:is>
      </ns0:c>
      <ns0:c r="BR343" s="74" t="inlineStr">
        <ns0:is>
          <ns0:t>N/A</ns0:t>
        </ns0:is>
      </ns0:c>
      <ns0:c r="BS343" s="74" t="inlineStr">
        <ns0:is>
          <ns0:t>N/A</ns0:t>
        </ns0:is>
      </ns0:c>
      <ns0:c r="BT343" s="74" t="inlineStr">
        <ns0:is>
          <ns0:t>N/A</ns0:t>
        </ns0:is>
      </ns0:c>
      <ns0:c r="BU343" s="91" t="inlineStr">
        <ns0:is>
          <ns0:t>Morgan Stanley Asia Limited; CITIC Securities (Hong Kong) Limited</ns0:t>
        </ns0:is>
      </ns0:c>
      <ns0:c r="BV343" s="74" t="inlineStr">
        <ns0:is>
          <ns0:t>Morgan Stanley Asia Limited; CITIC Securities (Hong Kong) Limited</ns0:t>
        </ns0:is>
      </ns0:c>
      <ns0:c r="BW343" s="74" t="inlineStr">
        <ns0:is>
          <ns0:t>Morgan Stanley Asia Limited; CLSA Limited</ns0:t>
        </ns0:is>
      </ns0:c>
      <ns0:c r="BX343" s="74" t="inlineStr">
        <ns0:is>
          <ns0:t>Aristo Securities Limited; China Everbright Securities (HK) Limited; CLSA Limited; Morgan Stanley Asia Limited; Prime Securities Limited; Soochow Securities International Brokerage Limited</ns0:t>
        </ns0:is>
      </ns0:c>
      <ns0:c r="BY343" s="93">
        <ns0:f>HYPERLINK("https://www1.hkexnews.hk/listedco/listconews/sehk/2025/0620/2025062000021.pdf","prospectus")</ns0:f>
        <ns0:v/>
      </ns0:c>
      <ns0:c r="BZ343" s="93">
        <ns0:f>HYPERLINK("https://www1.hkexnews.hk/listedco/listconews/sehk/2025/0627/2025062703092.pdf","allotment")</ns0:f>
        <ns0:v/>
      </ns0:c>
      <ns0:c r="CA343" s="85" t="n"/>
      <ns0:c r="CB343" s="94" t="n"/>
      <ns0:c r="CC343" s="74" t="inlineStr">
        <ns0:is>
          <ns0:t>greenshoe: no over-allotment option; greenshoe size: no over-allotment option; stabilising manager: no over-allotment option, so none appointed</ns0:t>
        </ns0:is>
      </ns0:c>
    </ns0:row>
    <ns0:row r="344" ht="22" customHeight="1">
      <ns0:c r="A344" s="73" t="inlineStr">
        <ns0:is>
          <ns0:t>6603</ns0:t>
        </ns0:is>
      </ns0:c>
      <ns0:c r="B344" s="74" t="inlineStr">
        <ns0:is>
          <ns0:t>IFBH</ns0:t>
        </ns0:is>
      </ns0:c>
      <ns0:c r="C344" s="74" t="inlineStr">
        <ns0:is>
          <ns0:t>IFBH</ns0:t>
        </ns0:is>
      </ns0:c>
      <ns0:c r="D344" s="74" t="inlineStr">
        <ns0:is>
          <ns0:t>Consumer</ns0:t>
        </ns0:is>
      </ns0:c>
      <ns0:c r="E344" s="74" t="inlineStr">
        <ns0:is>
          <ns0:t>Beverages / packaged food</ns0:t>
        </ns0:is>
      </ns0:c>
      <ns0:c r="F344" s="74" t="inlineStr">
        <ns0:is>
          <ns0:t>Beverages (Non-alcoholic)</ns0:t>
        </ns0:is>
      </ns0:c>
      <ns0:c r="G344" s="74" t="inlineStr">
        <ns0:is>
          <ns0:t>Standard</ns0:t>
        </ns0:is>
      </ns0:c>
      <ns0:c r="H344" s="75" t="n">
        <ns0:v>45838</ns0:v>
      </ns0:c>
      <ns0:c r="I344" s="76" t="n">
        <ns0:v>1158.3</ns0:v>
      </ns0:c>
      <ns0:c r="J344" s="74" t="inlineStr">
        <ns0:is>
          <ns0:t>gross (price x shares)</ns0:t>
        </ns0:is>
      </ns0:c>
      <ns0:c r="K344" s="77" t="n">
        <ns0:v>25.3</ns0:v>
      </ns0:c>
      <ns0:c r="L344" s="77" t="n">
        <ns0:v>27.8</ns0:v>
      </ns0:c>
      <ns0:c r="M344" s="77" t="n">
        <ns0:v>27.8</ns0:v>
      </ns0:c>
      <ns0:c r="N344" s="74" t="inlineStr">
        <ns0:is>
          <ns0:t>Y</ns0:t>
        </ns0:is>
      </ns0:c>
      <ns0:c r="O344" s="78" t="n">
        <ns0:v>100</ns0:v>
      </ns0:c>
      <ns0:c r="P344" s="78" t="n">
        <ns0:v>100</ns0:v>
      </ns0:c>
      <ns0:c r="Q344" s="79" t="n">
        <ns0:v>7410.7</ns0:v>
      </ns0:c>
      <ns0:c r="R344" s="74" t="inlineStr">
        <ns0:is>
          <ns0:t>derived:deal size / offer % of enlarged capital</ns0:t>
        </ns0:is>
      </ns0:c>
      <ns0:c r="S344" s="80" t="n">
        <ns0:v>2682.35</ns0:v>
      </ns0:c>
      <ns0:c r="T344" s="81" t="n">
        <ns0:v>22.93</ns0:v>
      </ns0:c>
      <ns0:c r="U344" s="82" t="n">
        <ns0:v>26.76</ns0:v>
      </ns0:c>
      <ns0:c r="V344" s="83" t="n">
        <ns0:v>102</ns0:v>
      </ns0:c>
      <ns0:c r="W344" s="78" t="n">
        <ns0:v>50</ns0:v>
      </ns0:c>
      <ns0:c r="X344" s="74" t="inlineStr">
        <ns0:is>
          <ns0:t>YES</ns0:t>
        </ns0:is>
      </ns0:c>
      <ns0:c r="Y344" s="79" t="n">
        <ns0:v>848.34</ns0:v>
      </ns0:c>
      <ns0:c r="Z344" s="79" t="n">
        <ns0:v>30516764</ns0:v>
      </ns0:c>
      <ns0:c r="AA344" s="78" t="n">
        <ns0:v>11.45</ns0:v>
      </ns0:c>
      <ns0:c r="AB344" s="74" t="inlineStr">
        <ns0:is>
          <ns0:t>UBS Asset Management (Singapore) Ltd; Black Dragon AP SPV1; Enreal China Master Fund and Forreal China Value Fund; HCEP Master Fund and HCEP Long Only Master Fund; China Southern Asset Management Co., Ltd; GF International Investment Management Limited; Harvest Oriental SP; ICBC Wealth Management Co., Ltd; Jain Global Master Fund Ltd; Jane Street Asia Trading Limited; Mega Prime Development Limited</ns0:t>
        </ns0:is>
      </ns0:c>
      <ns0:c r="AC344" s="74" t="inlineStr">
        <ns0:is>
          <ns0:t>ubs;black;enreal;hcep;southern;gf;harvest;icbc;jain;jane;mega</ns0:t>
        </ns0:is>
      </ns0:c>
      <ns0:c r="AD344" s="78" t="n">
        <ns0:v>15</ns0:v>
      </ns0:c>
      <ns0:c r="AE344" s="74" t="inlineStr">
        <ns0:is>
          <ns0:t>full</ns0:t>
        </ns0:is>
      </ns0:c>
      <ns0:c r="AF344" s="74" t="inlineStr">
        <ns0:is>
          <ns0:t>2025-07-25</ns0:t>
        </ns0:is>
      </ns0:c>
      <ns0:c r="AG344" s="74" t="inlineStr">
        <ns0:is>
          <ns0:t>CLSA Limited</ns0:t>
        </ns0:is>
      </ns0:c>
      <ns0:c r="AH344" s="74" t="inlineStr">
        <ns0:is>
          <ns0:t>CLSA</ns0:t>
        </ns0:is>
      </ns0:c>
      <ns0:c r="AI344" s="86" t="n">
        <ns0:v>60.97</ns0:v>
      </ns0:c>
      <ns0:c r="AJ344" s="87" t="n">
        <ns0:v>42.09</ns0:v>
      </ns0:c>
      <ns0:c r="AK344" s="87" t="n">
        <ns0:v>-0.74</ns0:v>
      </ns0:c>
      <ns0:c r="AL344" s="87" t="n">
        <ns0:v>57.91</ns0:v>
      </ns0:c>
      <ns0:c r="AM344" s="87" t="n">
        <ns0:v>-10.02</ns0:v>
      </ns0:c>
      <ns0:c r="AN344" s="89" t="n">
        <ns0:v>1.87</ns0:v>
      </ns0:c>
      <ns0:c r="AO344" s="78" t="n">
        <ns0:v>19.36</ns0:v>
      </ns0:c>
      <ns0:c r="AP344" s="87" t="n">
        <ns0:v>45.68</ns0:v>
      </ns0:c>
      <ns0:c r="AQ344" s="87" t="n">
        <ns0:v>33.63</ns0:v>
      </ns0:c>
      <ns0:c r="AR344" s="87" t="n">
        <ns0:v>9.5</ns0:v>
      </ns0:c>
      <ns0:c r="AS344" s="87" t="n">
        <ns0:v>2.53</ns0:v>
      </ns0:c>
      <ns0:c r="AT344" s="87" t="n">
        <ns0:v>-5.95</ns0:v>
      </ns0:c>
      <ns0:c r="AU344" s="87" t="n">
        <ns0:v>-22.94</ns0:v>
      </ns0:c>
      <ns0:c r="AV344" s="87" t="n">
        <ns0:v>46.45</ns0:v>
      </ns0:c>
      <ns0:c r="AW344" s="87" t="n">
        <ns0:v>29.27</ns0:v>
      </ns0:c>
      <ns0:c r="AX344" s="87" t="n">
        <ns0:v>-3.08</ns0:v>
      </ns0:c>
      <ns0:c r="AY344" s="87" t="n">
        <ns0:v>-11.09</ns0:v>
      </ns0:c>
      <ns0:c r="AZ344" s="87" t="n">
        <ns0:v>4.36</ns0:v>
      </ns0:c>
      <ns0:c r="BA344" s="87" t="n">
        <ns0:v>5.14</ns0:v>
      </ns0:c>
      <ns0:c r="BB344" s="74" t="inlineStr">
        <ns0:is>
          <ns0:t>Hang Seng Commerce &amp; Industry sub-index</ns0:t>
        </ns0:is>
      </ns0:c>
      <ns0:c r="BC344" s="87" t="n">
        <ns0:v>-85.18000000000001</ns0:v>
      </ns0:c>
      <ns0:c r="BD344" s="75" t="n">
        <ns0:v>46297</ns0:v>
      </ns0:c>
      <ns0:c r="BE344" s="76" t="n">
        <ns0:v>1229.7</ns0:v>
      </ns0:c>
      <ns0:c r="BF344" s="79" t="n">
        <ns0:v>259.9</ns0:v>
      </ns0:c>
      <ns0:c r="BG344" s="74" t="inlineStr">
        <ns0:is>
          <ns0:t>Y</ns0:t>
        </ns0:is>
      </ns0:c>
      <ns0:c r="BH344" s="89" t="n">
        <ns0:v>28.5</ns0:v>
      </ns0:c>
      <ns0:c r="BI344" s="89" t="n">
        <ns0:v>33</ns0:v>
      </ns0:c>
      <ns0:c r="BJ344" s="89" t="n">
        <ns0:v>7.2</ns0:v>
      </ns0:c>
      <ns0:c r="BK344" s="89" t="n">
        <ns0:v>6</ns0:v>
      </ns0:c>
      <ns0:c r="BL344" s="90">
        <ns0:f>IFERROR(IF('BBG Verify'!S344="","Awaiting Bloomberg",'BBG Verify'!S344),"Awaiting Bloomberg")</ns0:f>
        <ns0:v/>
      </ns0:c>
      <ns0:c r="BM344" s="91" t="inlineStr">
        <ns0:is>
          <ns0:t>N</ns0:t>
        </ns0:is>
      </ns0:c>
      <ns0:c r="BN344" s="92">
        <ns0:f>IFERROR(IF('BBG Verify'!K344="","Awaiting Bloomberg",'BBG Verify'!K344),"Awaiting Bloomberg")</ns0:f>
        <ns0:v/>
      </ns0:c>
      <ns0:c r="BO344" s="74" t="inlineStr">
        <ns0:is>
          <ns0:t>N/A</ns0:t>
        </ns0:is>
      </ns0:c>
      <ns0:c r="BP344" s="74" t="inlineStr">
        <ns0:is>
          <ns0:t>N/A</ns0:t>
        </ns0:is>
      </ns0:c>
      <ns0:c r="BQ344" s="74" t="inlineStr">
        <ns0:is>
          <ns0:t>N/A</ns0:t>
        </ns0:is>
      </ns0:c>
      <ns0:c r="BR344" s="74" t="inlineStr">
        <ns0:is>
          <ns0:t>N/A</ns0:t>
        </ns0:is>
      </ns0:c>
      <ns0:c r="BS344" s="74" t="inlineStr">
        <ns0:is>
          <ns0:t>N/A</ns0:t>
        </ns0:is>
      </ns0:c>
      <ns0:c r="BT344" s="74" t="inlineStr">
        <ns0:is>
          <ns0:t>N/A</ns0:t>
        </ns0:is>
      </ns0:c>
      <ns0:c r="BU344" s="91" t="inlineStr">
        <ns0:is>
          <ns0:t>CITIC Securities (Hong Kong) Limited; CLSA Limited</ns0:t>
        </ns0:is>
      </ns0:c>
      <ns0:c r="BV344" s="74" t="inlineStr">
        <ns0:is>
          <ns0:t>CITIC Securities (Hong Kong) Limited</ns0:t>
        </ns0:is>
      </ns0:c>
      <ns0:c r="BW344" s="74" t="inlineStr">
        <ns0:is>
          <ns0:t>CLSA Limited</ns0:t>
        </ns0:is>
      </ns0:c>
      <ns0:c r="BX344" s="74" t="inlineStr">
        <ns0:is>
          <ns0:t>BOCI Asia Limited; CLSA Limited</ns0:t>
        </ns0:is>
      </ns0:c>
      <ns0:c r="BY344" s="93">
        <ns0:f>HYPERLINK("https://www1.hkexnews.hk/listedco/listconews/sehk/2025/0620/2025062000033.pdf","prospectus")</ns0:f>
        <ns0:v/>
      </ns0:c>
      <ns0:c r="BZ344" s="93">
        <ns0:f>HYPERLINK("https://www1.hkexnews.hk/listedco/listconews/sehk/2025/0627/2025062703890.pdf","allotment")</ns0:f>
        <ns0:v/>
      </ns0:c>
      <ns0:c r="CA344" s="93">
        <ns0:f>HYPERLINK("https://www1.hkexnews.hk/listedco/listconews/sehk/2025/0725/2025072501707.pdf","stabilisation")</ns0:f>
        <ns0:v/>
      </ns0:c>
      <ns0:c r="CB344" s="94" t="n"/>
      <ns0:c r="CC344" s="74" t="inlineStr"/>
    </ns0:row>
    <ns0:row r="345" ht="22" customHeight="1">
      <ns0:c r="A345" s="73" t="inlineStr">
        <ns0:is>
          <ns0:t>2592</ns0:t>
        </ns0:is>
      </ns0:c>
      <ns0:c r="B345" s="74" t="inlineStr">
        <ns0:is>
          <ns0:t>CLOUDBREAK-B</ns0:t>
        </ns0:is>
      </ns0:c>
      <ns0:c r="C345" s="74" t="inlineStr">
        <ns0:is>
          <ns0:t>撥康視雲－Ｂ</ns0:t>
        </ns0:is>
      </ns0:c>
      <ns0:c r="D345" s="74" t="inlineStr">
        <ns0:is>
          <ns0:t>Healthcare</ns0:t>
        </ns0:is>
      </ns0:c>
      <ns0:c r="E345" s="74" t="inlineStr">
        <ns0:is>
          <ns0:t>Biotech pre-revenue (18A)</ns0:t>
        </ns0:is>
      </ns0:c>
      <ns0:c r="F345" s="74" t="inlineStr">
        <ns0:is>
          <ns0:t>Biotechnology - Pharmaceuticals</ns0:t>
        </ns0:is>
      </ns0:c>
      <ns0:c r="G345" s="74" t="inlineStr">
        <ns0:is>
          <ns0:t>18A</ns0:t>
        </ns0:is>
      </ns0:c>
      <ns0:c r="H345" s="75" t="n">
        <ns0:v>45841</ns0:v>
      </ns0:c>
      <ns0:c r="I345" s="76" t="n">
        <ns0:v>611.88</ns0:v>
      </ns0:c>
      <ns0:c r="J345" s="74" t="inlineStr">
        <ns0:is>
          <ns0:t>gross (stated)</ns0:t>
        </ns0:is>
      </ns0:c>
      <ns0:c r="K345" s="95" t="n"/>
      <ns0:c r="L345" s="77" t="n">
        <ns0:v>10.1</ns0:v>
      </ns0:c>
      <ns0:c r="M345" s="77" t="n">
        <ns0:v>10.1</ns0:v>
      </ns0:c>
      <ns0:c r="N345" s="74" t="inlineStr">
        <ns0:is>
          <ns0:t>Y</ns0:t>
        </ns0:is>
      </ns0:c>
      <ns0:c r="O345" s="78" t="n">
        <ns0:v>100</ns0:v>
      </ns0:c>
      <ns0:c r="P345" s="84" t="n"/>
      <ns0:c r="Q345" s="79" t="n">
        <ns0:v>8472.799999999999</ns0:v>
      </ns0:c>
      <ns0:c r="R345" s="74" t="inlineStr">
        <ns0:is>
          <ns0:t>derived:price x shares upon listing</ns0:t>
        </ns0:is>
      </ns0:c>
      <ns0:c r="S345" s="80" t="n">
        <ns0:v>78.78</ns0:v>
      </ns0:c>
      <ns0:c r="T345" s="99">
        <ns0:f>IFERROR(IF('BBG Verify'!E345="","Awaiting Bloomberg",'BBG Verify'!E345),"Awaiting Bloomberg")</ns0:f>
        <ns0:v/>
      </ns0:c>
      <ns0:c r="U345" s="82" t="n">
        <ns0:v>29.25</ns0:v>
      </ns0:c>
      <ns0:c r="V345" s="83" t="n">
        <ns0:v>168</ns0:v>
      </ns0:c>
      <ns0:c r="W345" s="78" t="n">
        <ns0:v>20</ns0:v>
      </ns0:c>
      <ns0:c r="X345" s="74" t="inlineStr">
        <ns0:is>
          <ns0:t>NO</ns0:t>
        </ns0:is>
      </ns0:c>
      <ns0:c r="Y345" s="79" t="n">
        <ns0:v>432.91</ns0:v>
      </ns0:c>
      <ns0:c r="Z345" s="79" t="n">
        <ns0:v>42861765</ns0:v>
      </ns0:c>
      <ns0:c r="AA345" s="78" t="n">
        <ns0:v>5.11</ns0:v>
      </ns0:c>
      <ns0:c r="AB345" s="74" t="inlineStr">
        <ns0:is>
          <ns0:t>Wealth Strategy Holding Limited; The Reynold Lemkins Group (Asia) Limited</ns0:t>
        </ns0:is>
      </ns0:c>
      <ns0:c r="AC345" s="74" t="inlineStr">
        <ns0:is>
          <ns0:t>wealth;reynold</ns0:t>
        </ns0:is>
      </ns0:c>
      <ns0:c r="AD345" s="84" t="n"/>
      <ns0:c r="AE345" s="85" t="n"/>
      <ns0:c r="AF345" s="85" t="n"/>
      <ns0:c r="AG345" s="85" t="n"/>
      <ns0:c r="AH345" s="85" t="n"/>
      <ns0:c r="AI345" s="86" t="n">
        <ns0:v>3.56</ns0:v>
      </ns0:c>
      <ns0:c r="AJ345" s="87" t="n">
        <ns0:v>-38.61</ns0:v>
      </ns0:c>
      <ns0:c r="AK345" s="87" t="n">
        <ns0:v>2.86</ns0:v>
      </ns0:c>
      <ns0:c r="AL345" s="87" t="n">
        <ns0:v>-5.94</ns0:v>
      </ns0:c>
      <ns0:c r="AM345" s="87" t="n">
        <ns0:v>-34.73</ns0:v>
      </ns0:c>
      <ns0:c r="AN345" s="89" t="n">
        <ns0:v>3.63</ns0:v>
      </ns0:c>
      <ns0:c r="AO345" s="78" t="n">
        <ns0:v>43.58</ns0:v>
      </ns0:c>
      <ns0:c r="AP345" s="87" t="n">
        <ns0:v>-42.57</ns0:v>
      </ns0:c>
      <ns0:c r="AQ345" s="87" t="n">
        <ns0:v>-49.5</ns0:v>
      </ns0:c>
      <ns0:c r="AR345" s="87" t="n">
        <ns0:v>-55.35</ns0:v>
      </ns0:c>
      <ns0:c r="AS345" s="87" t="n">
        <ns0:v>-6.45</ns0:v>
      </ns0:c>
      <ns0:c r="AT345" s="87" t="n">
        <ns0:v>-17.74</ns0:v>
      </ns0:c>
      <ns0:c r="AU345" s="87" t="n">
        <ns0:v>-27.27</ns0:v>
      </ns0:c>
      <ns0:c r="AV345" s="87" t="n">
        <ns0:v>-45.93</ns0:v>
      </ns0:c>
      <ns0:c r="AW345" s="87" t="n">
        <ns0:v>-68.91</ns0:v>
      </ns0:c>
      <ns0:c r="AX345" s="87" t="n">
        <ns0:v>-86.84999999999999</ns0:v>
      </ns0:c>
      <ns0:c r="AY345" s="87" t="n">
        <ns0:v>-33.83</ns0:v>
      </ns0:c>
      <ns0:c r="AZ345" s="87" t="n">
        <ns0:v>19.41</ns0:v>
      </ns0:c>
      <ns0:c r="BA345" s="87" t="n">
        <ns0:v>16.09</ns0:v>
      </ns0:c>
      <ns0:c r="BB345" s="74" t="inlineStr">
        <ns0:is>
          <ns0:t>China Biotech ETF (HS biotech proxy)</ns0:t>
        </ns0:is>
      </ns0:c>
      <ns0:c r="BC345" s="87" t="n">
        <ns0:v>-88.22</ns0:v>
      </ns0:c>
      <ns0:c r="BD345" s="75" t="n">
        <ns0:v>46274</ns0:v>
      </ns0:c>
      <ns0:c r="BE345" s="76" t="n">
        <ns0:v>78</ns0:v>
      </ns0:c>
      <ns0:c r="BF345" s="79" t="n">
        <ns0:v>-773.2</ns0:v>
      </ns0:c>
      <ns0:c r="BG345" s="74" t="inlineStr">
        <ns0:is>
          <ns0:t>N</ns0:t>
        </ns0:is>
      </ns0:c>
      <ns0:c r="BH345" s="74" t="inlineStr">
        <ns0:is>
          <ns0:t>n/m</ns0:t>
        </ns0:is>
      </ns0:c>
      <ns0:c r="BI345" s="88" t="n"/>
      <ns0:c r="BJ345" s="88" t="n"/>
      <ns0:c r="BK345" s="89" t="n">
        <ns0:v>108.6</ns0:v>
      </ns0:c>
      <ns0:c r="BL345" s="90">
        <ns0:f>IFERROR(IF('BBG Verify'!S345="","Awaiting Bloomberg",'BBG Verify'!S345),"Awaiting Bloomberg")</ns0:f>
        <ns0:v/>
      </ns0:c>
      <ns0:c r="BM345" s="91" t="inlineStr">
        <ns0:is>
          <ns0:t>N</ns0:t>
        </ns0:is>
      </ns0:c>
      <ns0:c r="BN345" s="92">
        <ns0:f>IFERROR(IF('BBG Verify'!K345="","Awaiting Bloomberg",'BBG Verify'!K345),"Awaiting Bloomberg")</ns0:f>
        <ns0:v/>
      </ns0:c>
      <ns0:c r="BO345" s="74" t="inlineStr">
        <ns0:is>
          <ns0:t>N/A</ns0:t>
        </ns0:is>
      </ns0:c>
      <ns0:c r="BP345" s="74" t="inlineStr">
        <ns0:is>
          <ns0:t>N/A</ns0:t>
        </ns0:is>
      </ns0:c>
      <ns0:c r="BQ345" s="74" t="inlineStr">
        <ns0:is>
          <ns0:t>N/A</ns0:t>
        </ns0:is>
      </ns0:c>
      <ns0:c r="BR345" s="74" t="inlineStr">
        <ns0:is>
          <ns0:t>N/A</ns0:t>
        </ns0:is>
      </ns0:c>
      <ns0:c r="BS345" s="74" t="inlineStr">
        <ns0:is>
          <ns0:t>N/A</ns0:t>
        </ns0:is>
      </ns0:c>
      <ns0:c r="BT345" s="74" t="inlineStr">
        <ns0:is>
          <ns0:t>N/A</ns0:t>
        </ns0:is>
      </ns0:c>
      <ns0:c r="BU345" s="91" t="inlineStr">
        <ns0:is>
          <ns0:t>CCB International Capital Limited; Huatai Financial Holdings (Hong Kong) Limited</ns0:t>
        </ns0:is>
      </ns0:c>
      <ns0:c r="BV345" s="74" t="inlineStr">
        <ns0:is>
          <ns0:t>CCB International Capital Limited; Huatai Financial Holdings (Hong Kong) Limited</ns0:t>
        </ns0:is>
      </ns0:c>
      <ns0:c r="BW345" s="74" t="inlineStr">
        <ns0:is>
          <ns0:t>respectively) CCB International Capital Limited; Huatai Financial Holdings (Hong Kong) Limited; CMB International Capital Limited; Quam Securities Limited; BOCI Asia Limited; BOCOM International Securities Limited; China Galaxy International Securities (Hong Kong) Co., Limited; CMBC Securities Company Limited; First Shanghai Securities Limited; Fosun International Securities Limited; Huafu International Securities Limited</ns0:t>
        </ns0:is>
      </ns0:c>
      <ns0:c r="BX345" s="74" t="inlineStr">
        <ns0:is>
          <ns0: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ns0:t>
        </ns0:is>
      </ns0:c>
      <ns0:c r="BY345" s="93">
        <ns0:f>HYPERLINK("https://www1.hkexnews.hk/listedco/listconews/sehk/2025/0624/2025062400005.pdf","prospectus")</ns0:f>
        <ns0:v/>
      </ns0:c>
      <ns0:c r="BZ345" s="93">
        <ns0:f>HYPERLINK("https://www1.hkexnews.hk/listedco/listconews/sehk/2025/0702/2025070203783.pdf","allotment")</ns0:f>
        <ns0:v/>
      </ns0:c>
      <ns0:c r="CA345" s="85" t="n"/>
      <ns0:c r="CB345" s="94" t="n"/>
      <ns0:c r="CC345" s="74" t="inlineStr">
        <ns0:is>
          <ns0:t>intl sub: parsed 0.89x rejected (implausible against a 79x public book); BBG Verify CP037 fills it; 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ns0:t>
        </ns0:is>
      </ns0:c>
    </ns0:row>
    <ns0:row r="346" ht="22" customHeight="1">
      <ns0:c r="A346" s="73" t="inlineStr">
        <ns0:is>
          <ns0:t>2648</ns0:t>
        </ns0:is>
      </ns0:c>
      <ns0:c r="B346" s="74" t="inlineStr">
        <ns0:is>
          <ns0:t>ANJOY FOOD</ns0:t>
        </ns0:is>
      </ns0:c>
      <ns0:c r="C346" s="74" t="inlineStr">
        <ns0:is>
          <ns0:t>安井食品</ns0:t>
        </ns0:is>
      </ns0:c>
      <ns0:c r="D346" s="74" t="inlineStr">
        <ns0:is>
          <ns0:t>Consumer</ns0:t>
        </ns0:is>
      </ns0:c>
      <ns0:c r="E346" s="74" t="inlineStr">
        <ns0:is>
          <ns0:t>Beverages / packaged food</ns0:t>
        </ns0:is>
      </ns0:c>
      <ns0:c r="F346" s="74" t="inlineStr">
        <ns0:is>
          <ns0:t>Packaged Foods</ns0:t>
        </ns0:is>
      </ns0:c>
      <ns0:c r="G346" s="74" t="inlineStr">
        <ns0:is>
          <ns0:t>Standard</ns0:t>
        </ns0:is>
      </ns0:c>
      <ns0:c r="H346" s="75" t="n">
        <ns0:v>45842</ns0:v>
      </ns0:c>
      <ns0:c r="I346" s="76" t="n">
        <ns0:v>2400</ns0:v>
      </ns0:c>
      <ns0:c r="J346" s="74" t="inlineStr">
        <ns0:is>
          <ns0:t>gross (stated)</ns0:t>
        </ns0:is>
      </ns0:c>
      <ns0:c r="K346" s="95" t="n"/>
      <ns0:c r="L346" s="77" t="n">
        <ns0:v>66</ns0:v>
      </ns0:c>
      <ns0:c r="M346" s="77" t="n">
        <ns0:v>60</ns0:v>
      </ns0:c>
      <ns0:c r="N346" s="74" t="inlineStr">
        <ns0:is>
          <ns0:t>N</ns0:t>
        </ns0:is>
      </ns0:c>
      <ns0:c r="O346" s="78" t="n">
        <ns0:v>90.90000000000001</ns0:v>
      </ns0:c>
      <ns0:c r="P346" s="84" t="n"/>
      <ns0:c r="Q346" s="79" t="n">
        <ns0:v>25404.9</ns0:v>
      </ns0:c>
      <ns0:c r="R346" s="74" t="inlineStr">
        <ns0:is>
          <ns0:t>prospectus:stated market capitalisation, rescaled to the offer price</ns0:t>
        </ns0:is>
      </ns0:c>
      <ns0:c r="S346" s="80" t="n">
        <ns0:v>44.2</ns0:v>
      </ns0:c>
      <ns0:c r="T346" s="81" t="n">
        <ns0:v>5.85</ns0:v>
      </ns0:c>
      <ns0:c r="U346" s="82" t="n">
        <ns0:v>29.44</ns0:v>
      </ns0:c>
      <ns0:c r="V346" s="83" t="n">
        <ns0:v>131</ns0:v>
      </ns0:c>
      <ns0:c r="W346" s="78" t="n">
        <ns0:v>30</ns0:v>
      </ns0:c>
      <ns0:c r="X346" s="74" t="inlineStr">
        <ns0:is>
          <ns0:t>YES</ns0:t>
        </ns0:is>
      </ns0:c>
      <ns0:c r="Y346" s="79" t="n">
        <ns0:v>1693.44</ns0:v>
      </ns0:c>
      <ns0:c r="Z346" s="79" t="n">
        <ns0:v>28220260</ns0:v>
      </ns0:c>
      <ns0:c r="AA346" s="78" t="n">
        <ns0:v>6.67</ns0:v>
      </ns0:c>
      <ns0:c r="AB346" s="74" t="inlineStr">
        <ns0:is>
          <ns0:t>Shanghai Greenwoods Asset Management Co., Ltd. and Huatai Capital Investment Limited (in connection with the Greenwoods OTC Swaps (as defined in the Prospectus)); Greenwoods Asset Management Hong Kong Limited; HT Investment Limited; 4 FCP Domains Co., Ltd; NonaVerse (Hong Kong) Limited</ns0:t>
        </ns0:is>
      </ns0:c>
      <ns0:c r="AC346" s="74" t="inlineStr">
        <ns0:is>
          <ns0:t>shanghai-greenwoods;greenwoods;ht;fcp;nonaverse</ns0:t>
        </ns0:is>
      </ns0:c>
      <ns0:c r="AD346" s="78" t="n">
        <ns0:v>15</ns0:v>
      </ns0:c>
      <ns0:c r="AE346" s="74" t="inlineStr">
        <ns0:is>
          <ns0:t>lapsed</ns0:t>
        </ns0:is>
      </ns0:c>
      <ns0:c r="AF346" s="74" t="inlineStr">
        <ns0:is>
          <ns0:t>2025-07-30</ns0:t>
        </ns0:is>
      </ns0:c>
      <ns0:c r="AG346" s="74" t="inlineStr">
        <ns0:is>
          <ns0:t>Goldman Sachs</ns0:t>
        </ns0:is>
      </ns0:c>
      <ns0:c r="AH346" s="74" t="inlineStr">
        <ns0:is>
          <ns0:t>Goldman Sachs</ns0:t>
        </ns0:is>
      </ns0:c>
      <ns0:c r="AI346" s="86" t="n">
        <ns0:v>-0.67</ns0:v>
      </ns0:c>
      <ns0:c r="AJ346" s="87" t="n">
        <ns0:v>-5</ns0:v>
      </ns0:c>
      <ns0:c r="AK346" s="87" t="n">
        <ns0:v>-0.66</ns0:v>
      </ns0:c>
      <ns0:c r="AL346" s="87" t="n">
        <ns0:v>0</ns0:v>
      </ns0:c>
      <ns0:c r="AM346" s="87" t="n">
        <ns0:v>-5</ns0:v>
      </ns0:c>
      <ns0:c r="AN346" s="89" t="n">
        <ns0:v>1.03</ns0:v>
      </ns0:c>
      <ns0:c r="AO346" s="78" t="n">
        <ns0:v>5.17</ns0:v>
      </ns0:c>
      <ns0:c r="AP346" s="87" t="n">
        <ns0:v>0.08</ns0:v>
      </ns0:c>
      <ns0:c r="AQ346" s="87" t="n">
        <ns0:v>0</ns0:v>
      </ns0:c>
      <ns0:c r="AR346" s="87" t="n">
        <ns0:v>-2.58</ns0:v>
      </ns0:c>
      <ns0:c r="AS346" s="87" t="n">
        <ns0:v>5.35</ns0:v>
      </ns0:c>
      <ns0:c r="AT346" s="87" t="n">
        <ns0:v>5.26</ns0:v>
      </ns0:c>
      <ns0:c r="AU346" s="87" t="n">
        <ns0:v>2.55</ns0:v>
      </ns0:c>
      <ns0:c r="AV346" s="87" t="n">
        <ns0:v>0.3</ns0:v>
      </ns0:c>
      <ns0:c r="AW346" s="87" t="n">
        <ns0:v>-4.12</ns0:v>
      </ns0:c>
      <ns0:c r="AX346" s="87" t="n">
        <ns0:v>-23.07</ns0:v>
      </ns0:c>
      <ns0:c r="AY346" s="87" t="n">
        <ns0:v>0.45</ns0:v>
      </ns0:c>
      <ns0:c r="AZ346" s="87" t="n">
        <ns0:v>4.12</ns0:v>
      </ns0:c>
      <ns0:c r="BA346" s="87" t="n">
        <ns0:v>4.81</ns0:v>
      </ns0:c>
      <ns0:c r="BB346" s="74" t="inlineStr">
        <ns0:is>
          <ns0:t>Hang Seng Commerce &amp; Industry sub-index</ns0:t>
        </ns0:is>
      </ns0:c>
      <ns0:c r="BC346" s="87" t="n">
        <ns0:v>1.08</ns0:v>
      </ns0:c>
      <ns0:c r="BD346" s="75" t="n">
        <ns0:v>46297</ns0:v>
      </ns0:c>
      <ns0:c r="BE346" s="76" t="n">
        <ns0:v>16532.5</ns0:v>
      </ns0:c>
      <ns0:c r="BF346" s="79" t="n">
        <ns0:v>1665</ns0:v>
      </ns0:c>
      <ns0:c r="BG346" s="74" t="inlineStr">
        <ns0:is>
          <ns0:t>Y</ns0:t>
        </ns0:is>
      </ns0:c>
      <ns0:c r="BH346" s="89" t="n">
        <ns0:v>15.3</ns0:v>
      </ns0:c>
      <ns0:c r="BI346" s="89" t="n">
        <ns0:v>10.2</ns0:v>
      </ns0:c>
      <ns0:c r="BJ346" s="89" t="n">
        <ns0:v>11.9</ns0:v>
      </ns0:c>
      <ns0:c r="BK346" s="89" t="n">
        <ns0:v>1.5</ns0:v>
      </ns0:c>
      <ns0:c r="BL346" s="90">
        <ns0:f>IFERROR(IF('BBG Verify'!S346="","Awaiting Bloomberg",'BBG Verify'!S346),"Awaiting Bloomberg")</ns0:f>
        <ns0:v/>
      </ns0:c>
      <ns0:c r="BM346" s="91" t="inlineStr">
        <ns0:is>
          <ns0:t>Y</ns0:t>
        </ns0:is>
      </ns0:c>
      <ns0:c r="BN346" s="74" t="inlineStr">
        <ns0:is>
          <ns0:t>603345.SS</ns0:t>
        </ns0:is>
      </ns0:c>
      <ns0:c r="BO346" s="87" t="n">
        <ns0:v>41.8</ns0:v>
      </ns0:c>
      <ns0:c r="BP346" s="77" t="n">
        <ns0:v>85.0814</ns0:v>
      </ns0:c>
      <ns0:c r="BQ346" s="101" t="n">
        <ns0:v>0.5321</ns0:v>
      </ns0:c>
      <ns0:c r="BR346" s="79" t="n">
        <ns0:v>30976.7</ns0:v>
      </ns0:c>
      <ns0:c r="BS346" s="90">
        <ns0:f>IFERROR(IF('BBG Verify'!Q346="","Awaiting Bloomberg",'BBG Verify'!Q346),"Awaiting Bloomberg")</ns0:f>
        <ns0:v/>
      </ns0:c>
      <ns0:c r="BT346" s="90">
        <ns0:f>IFERROR(IF('BBG Verify'!R346="","Awaiting Bloomberg",'BBG Verify'!R346),"Awaiting Bloomberg")</ns0:f>
        <ns0:v/>
      </ns0:c>
      <ns0:c r="BU346" s="91" t="inlineStr">
        <ns0:is>
          <ns0:t>Goldman Sachs (Asia) L.L.C; China International Capital Corporation Hong Kong Securities Limited</ns0:t>
        </ns0:is>
      </ns0:c>
      <ns0:c r="BV346" s="74" t="inlineStr">
        <ns0:is>
          <ns0:t>China International Capital Corporation Hong Kong Securities Limited; Goldman Sachs (Asia) L.L.C.</ns0:t>
        </ns0:is>
      </ns0:c>
      <ns0:c r="BW346" s="74" t="inlineStr">
        <ns0:is>
          <ns0: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ns0:t>
        </ns0:is>
      </ns0:c>
      <ns0:c r="BX346" s="74" t="inlineStr">
        <ns0:is>
          <ns0: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ns0:t>
        </ns0:is>
      </ns0:c>
      <ns0:c r="BY346" s="93">
        <ns0:f>HYPERLINK("https://www1.hkexnews.hk/listedco/listconews/sehk/2025/0625/2025062500043.pdf","prospectus")</ns0:f>
        <ns0:v/>
      </ns0:c>
      <ns0:c r="BZ346" s="93">
        <ns0:f>HYPERLINK("https://www1.hkexnews.hk/listedco/listconews/sehk/2025/0703/2025070302241.pdf","allotment")</ns0:f>
        <ns0:v/>
      </ns0:c>
      <ns0:c r="CA346" s="93">
        <ns0:f>HYPERLINK("https://www1.hkexnews.hk/listedco/listconews/sehk/2025/0730/2025073001416.pdf","stabilisation")</ns0:f>
        <ns0:v/>
      </ns0:c>
      <ns0:c r="CB346" s="94" t="n"/>
      <ns0:c r="CC346" s="74" t="inlineStr">
        <ns0:is>
          <ns0:t>range low: maximum offer price only, no floor published; A/H: Jul 2025 H listing (frozen foods); market cap: prospectus cap HK$27,945m at HK$66.00, rescaled to HK$60.00</ns0:t>
        </ns0:is>
      </ns0:c>
    </ns0:row>
    <ns0:row r="347" ht="22" customHeight="1">
      <ns0:c r="A347" s="73" t="inlineStr">
        <ns0:is>
          <ns0:t>2076</ns0:t>
        </ns0:is>
      </ns0:c>
      <ns0:c r="B347" s="74" t="inlineStr">
        <ns0:is>
          <ns0:t>BOSS ZHIPIN-W</ns0:t>
        </ns0:is>
      </ns0:c>
      <ns0:c r="C347" s="74" t="inlineStr">
        <ns0:is>
          <ns0:t>ＢＯＳＳ直聘－Ｗ</ns0:t>
        </ns0:is>
      </ns0:c>
      <ns0:c r="D347" s="74" t="inlineStr">
        <ns0:is>
          <ns0:t>Technology</ns0:t>
        </ns0:is>
      </ns0:c>
      <ns0:c r="E347" s="74" t="inlineStr">
        <ns0:is>
          <ns0:t>Internet &amp; fintech</ns0:t>
        </ns0:is>
      </ns0:c>
      <ns0:c r="F347" s="74" t="inlineStr">
        <ns0:is>
          <ns0:t>Commercial &amp; Professional Services</ns0:t>
        </ns0:is>
      </ns0:c>
      <ns0:c r="G347" s="74" t="inlineStr">
        <ns0:is>
          <ns0:t>WVR</ns0:t>
        </ns0:is>
      </ns0:c>
      <ns0:c r="H347" s="75" t="n">
        <ns0:v>45842</ns0:v>
      </ns0:c>
      <ns0:c r="I347" s="76" t="n">
        <ns0:v>2277</ns0:v>
      </ns0:c>
      <ns0:c r="J347" s="74" t="inlineStr">
        <ns0:is>
          <ns0:t>gross (stated)</ns0:t>
        </ns0:is>
      </ns0:c>
      <ns0:c r="K347" s="95" t="n"/>
      <ns0:c r="L347" s="77" t="n">
        <ns0:v>78</ns0:v>
      </ns0:c>
      <ns0:c r="M347" s="77" t="n">
        <ns0:v>66</ns0:v>
      </ns0:c>
      <ns0:c r="N347" s="74" t="inlineStr">
        <ns0:is>
          <ns0:t>N</ns0:t>
        </ns0:is>
      </ns0:c>
      <ns0:c r="O347" s="78" t="n">
        <ns0:v>84.59999999999999</ns0:v>
      </ns0:c>
      <ns0:c r="P347" s="84" t="n"/>
      <ns0:c r="Q347" s="79" t="n">
        <ns0:v>65000</ns0:v>
      </ns0:c>
      <ns0:c r="R347" s="74" t="inlineStr">
        <ns0:is>
          <ns0:t>press:sina 2025-09: 截至2025-06-30总市值近650亿</ns0:t>
        </ns0:is>
      </ns0:c>
      <ns0:c r="S347" s="80" t="n">
        <ns0:v>12.04</ns0:v>
      </ns0:c>
      <ns0:c r="T347" s="81" t="n">
        <ns0:v>12.46</ns0:v>
      </ns0:c>
      <ns0:c r="U347" s="82" t="n">
        <ns0:v>0</ns0:v>
      </ns0:c>
      <ns0:c r="V347" s="83" t="n">
        <ns0:v>94</ns0:v>
      </ns0:c>
      <ns0:c r="W347" s="78" t="n">
        <ns0:v>30</ns0:v>
      </ns0:c>
      <ns0:c r="X347" s="74" t="inlineStr">
        <ns0:is>
          <ns0:t>YES</ns0:t>
        </ns0:is>
      </ns0:c>
      <ns0:c r="Y347" s="79" t="n">
        <ns0:v>2277</ns0:v>
      </ns0:c>
      <ns0:c r="Z347" s="79" t="n">
        <ns0:v>34500000</ns0:v>
      </ns0:c>
      <ns0:c r="AA347" s="78" t="n">
        <ns0:v>3.5</ns0:v>
      </ns0:c>
      <ns0:c r="AB347" s="74" t="inlineStr">
        <ns0:is>
          <ns0:t>none — no cornerstone tranche</ns0:t>
        </ns0:is>
      </ns0:c>
      <ns0:c r="AC347" s="74" t="inlineStr">
        <ns0:is>
          <ns0:t>none</ns0:t>
        </ns0:is>
      </ns0:c>
      <ns0:c r="AD347" s="84" t="n"/>
      <ns0:c r="AE347" s="85" t="n"/>
      <ns0:c r="AF347" s="85" t="n"/>
      <ns0:c r="AG347" s="85" t="n"/>
      <ns0:c r="AH347" s="85" t="n"/>
      <ns0:c r="AI347" s="96" t="n"/>
      <ns0:c r="AJ347" s="87" t="n">
        <ns0:v>0.76</ns0:v>
      </ns0:c>
      <ns0:c r="AK347" s="87" t="n">
        <ns0:v>-0.29</ns0:v>
      </ns0:c>
      <ns0:c r="AL347" s="87" t="n">
        <ns0:v>0</ns0:v>
      </ns0:c>
      <ns0:c r="AM347" s="87" t="n">
        <ns0:v>0.76</ns0:v>
      </ns0:c>
      <ns0:c r="AN347" s="89" t="n">
        <ns0:v>0.36</ns0:v>
      </ns0:c>
      <ns0:c r="AO347" s="78" t="n">
        <ns0:v>2.35</ns0:v>
      </ns0:c>
      <ns0:c r="AP347" s="87" t="n">
        <ns0:v>11.44</ns0:v>
      </ns0:c>
      <ns0:c r="AQ347" s="87" t="n">
        <ns0:v>13.03</ns0:v>
      </ns0:c>
      <ns0:c r="AR347" s="87" t="n">
        <ns0:v>35.83</ns0:v>
      </ns0:c>
      <ns0:c r="AS347" s="87" t="n">
        <ns0:v>10.6</ns0:v>
      </ns0:c>
      <ns0:c r="AT347" s="87" t="n">
        <ns0:v>12.18</ns0:v>
      </ns0:c>
      <ns0:c r="AU347" s="87" t="n">
        <ns0:v>34.81</ns0:v>
      </ns0:c>
      <ns0:c r="AV347" s="87" t="n">
        <ns0:v>11.34</ns0:v>
      </ns0:c>
      <ns0:c r="AW347" s="87" t="n">
        <ns0:v>8.66</ns0:v>
      </ns0:c>
      <ns0:c r="AX347" s="87" t="n">
        <ns0:v>8.33</ns0:v>
      </ns0:c>
      <ns0:c r="AY347" s="87" t="n">
        <ns0:v>7.5</ns0:v>
      </ns0:c>
      <ns0:c r="AZ347" s="87" t="n">
        <ns0:v>4.37</ns0:v>
      </ns0:c>
      <ns0:c r="BA347" s="87" t="n">
        <ns0:v>4.68</ns0:v>
      </ns0:c>
      <ns0:c r="BB347" s="74" t="inlineStr">
        <ns0:is>
          <ns0:t>HSTECH (Hang Seng TECH ETF)</ns0:t>
        </ns0:is>
      </ns0:c>
      <ns0:c r="BC347" s="87" t="n">
        <ns0:v>-12.88</ns0:v>
      </ns0:c>
      <ns0:c r="BD347" s="75" t="n">
        <ns0:v>46297</ns0:v>
      </ns0:c>
      <ns0:c r="BE347" s="76" t="n">
        <ns0:v>8091.2</ns0:v>
      </ns0:c>
      <ns0:c r="BF347" s="79" t="n">
        <ns0:v>1743.1</ns0:v>
      </ns0:c>
      <ns0:c r="BG347" s="74" t="inlineStr">
        <ns0:is>
          <ns0:t>Y</ns0:t>
        </ns0:is>
      </ns0:c>
      <ns0:c r="BH347" s="89" t="n">
        <ns0:v>37.3</ns0:v>
      </ns0:c>
      <ns0:c r="BI347" s="88" t="n"/>
      <ns0:c r="BJ347" s="88" t="n"/>
      <ns0:c r="BK347" s="89" t="n">
        <ns0:v>8</ns0:v>
      </ns0:c>
      <ns0:c r="BL347" s="90">
        <ns0:f>IFERROR(IF('BBG Verify'!S347="","Awaiting Bloomberg",'BBG Verify'!S347),"Awaiting Bloomberg")</ns0:f>
        <ns0:v/>
      </ns0:c>
      <ns0:c r="BM347" s="91" t="inlineStr">
        <ns0:is>
          <ns0:t>N</ns0:t>
        </ns0:is>
      </ns0:c>
      <ns0:c r="BN347" s="92">
        <ns0:f>IFERROR(IF('BBG Verify'!K347="","Awaiting Bloomberg",'BBG Verify'!K347),"Awaiting Bloomberg")</ns0:f>
        <ns0:v/>
      </ns0:c>
      <ns0:c r="BO347" s="74" t="inlineStr">
        <ns0:is>
          <ns0:t>N/A</ns0:t>
        </ns0:is>
      </ns0:c>
      <ns0:c r="BP347" s="74" t="inlineStr">
        <ns0:is>
          <ns0:t>N/A</ns0:t>
        </ns0:is>
      </ns0:c>
      <ns0:c r="BQ347" s="74" t="inlineStr">
        <ns0:is>
          <ns0:t>N/A</ns0:t>
        </ns0:is>
      </ns0:c>
      <ns0:c r="BR347" s="74" t="inlineStr">
        <ns0:is>
          <ns0:t>N/A</ns0:t>
        </ns0:is>
      </ns0:c>
      <ns0:c r="BS347" s="74" t="inlineStr">
        <ns0:is>
          <ns0:t>N/A</ns0:t>
        </ns0:is>
      </ns0:c>
      <ns0:c r="BT347" s="74" t="inlineStr">
        <ns0:is>
          <ns0:t>N/A</ns0:t>
        </ns0:is>
      </ns0:c>
      <ns0:c r="BU347" s="91" t="inlineStr">
        <ns0:is>
          <ns0:t>Morgan Stanley; Goldman Sachs</ns0:t>
        </ns0:is>
      </ns0:c>
      <ns0:c r="BV347" s="74" t="inlineStr">
        <ns0:is>
          <ns0:t>Goldman Sachs (Asia) L.L.C.; Huatai Financial Holdings (Hong Kong) Limited; Morgan Stanley Asia Limited</ns0:t>
        </ns0:is>
      </ns0:c>
      <ns0:c r="BW347" s="74" t="inlineStr">
        <ns0:is>
          <ns0:t>Futu Securities International (Hong Kong) Limited; Goldman Sachs (Asia) L.L.C.; Huatai Financial Holdings (Hong Kong) Limited; Morgan Stanley Asia Limited; Tiger Brokers (HK) Global Limited</ns0:t>
        </ns0:is>
      </ns0:c>
      <ns0:c r="BX347" s="74" t="inlineStr">
        <ns0:is>
          <ns0:t>Futu Securities International (Hong Kong) Limited; Goldman Sachs (Asia) L.L.C.; Huatai Financial Holdings (Hong Kong) Limited; Morgan Stanley Asia Limited; Tiger Brokers (HK) Global Limited</ns0:t>
        </ns0:is>
      </ns0:c>
      <ns0:c r="BY347" s="93">
        <ns0:f>HYPERLINK("https://www1.hkexnews.hk/listedco/listconews/sehk/2025/0625/2025062500135.pdf","prospectus")</ns0:f>
        <ns0:v/>
      </ns0:c>
      <ns0:c r="BZ347" s="93">
        <ns0:f>HYPERLINK("https://www1.hkexnews.hk/listedco/listconews/sehk/2025/0703/2025070302291.pdf","allotment")</ns0:f>
        <ns0:v/>
      </ns0:c>
      <ns0:c r="CA347" s="85" t="n"/>
      <ns0:c r="CB347" s="94" t="n"/>
      <ns0:c r="CC347" s="74" t="inlineStr">
        <ns0:is>
          <ns0:t>greenshoe: no over-allotment option; range low: maximum offer price only, no floor published; cornerstone list: no cornerstone tranche; greenshoe size: no over-allotment option; stabilising manager: no over-allotment option, so none appointed; grey market: follow-on public offering by an already-listed stock (dual-primary listed Dec 2022); no grey session</ns0:t>
        </ns0:is>
      </ns0:c>
    </ns0:row>
    <ns0:row r="348" ht="22" customHeight="1">
      <ns0:c r="A348" s="73" t="inlineStr">
        <ns0:is>
          <ns0:t>1828</ns0:t>
        </ns0:is>
      </ns0:c>
      <ns0:c r="B348" s="74" t="inlineStr">
        <ns0:is>
          <ns0:t>FWD</ns0:t>
        </ns0:is>
      </ns0:c>
      <ns0:c r="C348" s="74" t="inlineStr">
        <ns0:is>
          <ns0:t>富衛集團</ns0:t>
        </ns0:is>
      </ns0:c>
      <ns0:c r="D348" s="74" t="inlineStr">
        <ns0:is>
          <ns0:t>Financials</ns0:t>
        </ns0:is>
      </ns0:c>
      <ns0:c r="E348" s="74" t="inlineStr">
        <ns0:is>
          <ns0:t>Insurance</ns0:t>
        </ns0:is>
      </ns0:c>
      <ns0:c r="F348" s="74" t="inlineStr">
        <ns0:is>
          <ns0:t>Life &amp; Health Insurance</ns0:t>
        </ns0:is>
      </ns0:c>
      <ns0:c r="G348" s="74" t="inlineStr">
        <ns0:is>
          <ns0:t>Standard</ns0:t>
        </ns0:is>
      </ns0:c>
      <ns0:c r="H348" s="75" t="n">
        <ns0:v>45845</ns0:v>
      </ns0:c>
      <ns0:c r="I348" s="76" t="n">
        <ns0:v>3471</ns0:v>
      </ns0:c>
      <ns0:c r="J348" s="74" t="inlineStr">
        <ns0:is>
          <ns0:t>gross (price x shares)</ns0:t>
        </ns0:is>
      </ns0:c>
      <ns0:c r="K348" s="95" t="n"/>
      <ns0:c r="L348" s="77" t="n">
        <ns0:v>38</ns0:v>
      </ns0:c>
      <ns0:c r="M348" s="77" t="n">
        <ns0:v>38</ns0:v>
      </ns0:c>
      <ns0:c r="N348" s="74" t="inlineStr">
        <ns0:is>
          <ns0:t>Y</ns0:t>
        </ns0:is>
      </ns0:c>
      <ns0:c r="O348" s="78" t="n">
        <ns0:v>100</ns0:v>
      </ns0:c>
      <ns0:c r="P348" s="84" t="n"/>
      <ns0:c r="Q348" s="79" t="n">
        <ns0:v>48208.3</ns0:v>
      </ns0:c>
      <ns0:c r="R348" s="74" t="inlineStr">
        <ns0:is>
          <ns0:t>derived:deal size / offer % of enlarged capital</ns0:t>
        </ns0:is>
      </ns0:c>
      <ns0:c r="S348" s="80" t="n">
        <ns0:v>37.13</ns0:v>
      </ns0:c>
      <ns0:c r="T348" s="81" t="n">
        <ns0:v>2.32</ns0:v>
      </ns0:c>
      <ns0:c r="U348" s="82" t="n">
        <ns0:v>56.2</ns0:v>
      </ns0:c>
      <ns0:c r="V348" s="83" t="n">
        <ns0:v>129</ns0:v>
      </ns0:c>
      <ns0:c r="W348" s="78" t="n">
        <ns0:v>30</ns0:v>
      </ns0:c>
      <ns0:c r="X348" s="74" t="inlineStr">
        <ns0:is>
          <ns0:t>YES</ns0:t>
        </ns0:is>
      </ns0:c>
      <ns0:c r="Y348" s="79" t="n">
        <ns0:v>1520.3</ns0:v>
      </ns0:c>
      <ns0:c r="Z348" s="79" t="n">
        <ns0:v>40007840</ns0:v>
      </ns0:c>
      <ns0:c r="AA348" s="78" t="n">
        <ns0:v>3.15</ns0:v>
      </ns0:c>
      <ns0:c r="AB348" s="74" t="inlineStr">
        <ns0:is>
          <ns0:t>MC Management 10 RSC Ltd; T&amp;D United Capital Co., Ltd</ns0:t>
        </ns0:is>
      </ns0:c>
      <ns0:c r="AC348" s="74" t="inlineStr">
        <ns0:is>
          <ns0:t>mc;united</ns0:t>
        </ns0:is>
      </ns0:c>
      <ns0:c r="AD348" s="78" t="n">
        <ns0:v>15</ns0:v>
      </ns0:c>
      <ns0:c r="AE348" s="74" t="inlineStr">
        <ns0:is>
          <ns0:t>partial</ns0:t>
        </ns0:is>
      </ns0:c>
      <ns0:c r="AF348" s="74" t="inlineStr">
        <ns0:is>
          <ns0:t>2025-08-01</ns0:t>
        </ns0:is>
      </ns0:c>
      <ns0:c r="AG348" s="74" t="inlineStr">
        <ns0:is>
          <ns0:t>Morgan Stanley Asia Limited</ns0:t>
        </ns0:is>
      </ns0:c>
      <ns0:c r="AH348" s="74" t="inlineStr">
        <ns0:is>
          <ns0:t>Morgan Stanley</ns0:t>
        </ns0:is>
      </ns0:c>
      <ns0:c r="AI348" s="86" t="n">
        <ns0:v>-3.29</ns0:v>
      </ns0:c>
      <ns0:c r="AJ348" s="87" t="n">
        <ns0:v>1.05</ns0:v>
      </ns0:c>
      <ns0:c r="AK348" s="87" t="n">
        <ns0:v>-0.15</ns0:v>
      </ns0:c>
      <ns0:c r="AL348" s="87" t="n">
        <ns0:v>0</ns0:v>
      </ns0:c>
      <ns0:c r="AM348" s="87" t="n">
        <ns0:v>1.05</ns0:v>
      </ns0:c>
      <ns0:c r="AN348" s="89" t="n">
        <ns0:v>0.76</ns0:v>
      </ns0:c>
      <ns0:c r="AO348" s="78" t="n">
        <ns0:v>4.61</ns0:v>
      </ns0:c>
      <ns0:c r="AP348" s="87" t="n">
        <ns0:v>0.66</ns0:v>
      </ns0:c>
      <ns0:c r="AQ348" s="87" t="n">
        <ns0:v>0.26</ns0:v>
      </ns0:c>
      <ns0:c r="AR348" s="87" t="n">
        <ns0:v>21.05</ns0:v>
      </ns0:c>
      <ns0:c r="AS348" s="87" t="n">
        <ns0:v>-0.39</ns0:v>
      </ns0:c>
      <ns0:c r="AT348" s="87" t="n">
        <ns0:v>-0.78</ns0:v>
      </ns0:c>
      <ns0:c r="AU348" s="87" t="n">
        <ns0:v>19.79</ns0:v>
      </ns0:c>
      <ns0:c r="AV348" s="87" t="n">
        <ns0:v>-1.24</ns0:v>
      </ns0:c>
      <ns0:c r="AW348" s="87" t="n">
        <ns0:v>-2.16</ns0:v>
      </ns0:c>
      <ns0:c r="AX348" s="87" t="n">
        <ns0:v>17.63</ns0:v>
      </ns0:c>
      <ns0:c r="AY348" s="87" t="n">
        <ns0:v>-3.35</ns0:v>
      </ns0:c>
      <ns0:c r="AZ348" s="87" t="n">
        <ns0:v>2.42</ns0:v>
      </ns0:c>
      <ns0:c r="BA348" s="87" t="n">
        <ns0:v>2.57</ns0:v>
      </ns0:c>
      <ns0:c r="BB348" s="74" t="inlineStr">
        <ns0:is>
          <ns0:t>Hang Seng Finance sub-index</ns0:t>
        </ns0:is>
      </ns0:c>
      <ns0:c r="BC348" s="87" t="n">
        <ns0:v>-10.21</ns0:v>
      </ns0:c>
      <ns0:c r="BD348" s="75" t="n">
        <ns0:v>46297</ns0:v>
      </ns0:c>
      <ns0:c r="BE348" s="76" t="n">
        <ns0:v>21247.2</ns0:v>
      </ns0:c>
      <ns0:c r="BF348" s="79" t="n">
        <ns0:v>187.2</ns0:v>
      </ns0:c>
      <ns0:c r="BG348" s="74" t="inlineStr">
        <ns0:is>
          <ns0:t>Y</ns0:t>
        </ns0:is>
      </ns0:c>
      <ns0:c r="BH348" s="89" t="n">
        <ns0:v>257.5</ns0:v>
      </ns0:c>
      <ns0:c r="BI348" s="88" t="n"/>
      <ns0:c r="BJ348" s="89" t="n">
        <ns0:v>38.4</ns0:v>
      </ns0:c>
      <ns0:c r="BK348" s="89" t="n">
        <ns0:v>2.3</ns0:v>
      </ns0:c>
      <ns0:c r="BL348" s="90">
        <ns0:f>IFERROR(IF('BBG Verify'!S348="","Awaiting Bloomberg",'BBG Verify'!S348),"Awaiting Bloomberg")</ns0:f>
        <ns0:v/>
      </ns0:c>
      <ns0:c r="BM348" s="91" t="inlineStr">
        <ns0:is>
          <ns0:t>N</ns0:t>
        </ns0:is>
      </ns0:c>
      <ns0:c r="BN348" s="92">
        <ns0:f>IFERROR(IF('BBG Verify'!K348="","Awaiting Bloomberg",'BBG Verify'!K348),"Awaiting Bloomberg")</ns0:f>
        <ns0:v/>
      </ns0:c>
      <ns0:c r="BO348" s="74" t="inlineStr">
        <ns0:is>
          <ns0:t>N/A</ns0:t>
        </ns0:is>
      </ns0:c>
      <ns0:c r="BP348" s="74" t="inlineStr">
        <ns0:is>
          <ns0:t>N/A</ns0:t>
        </ns0:is>
      </ns0:c>
      <ns0:c r="BQ348" s="74" t="inlineStr">
        <ns0:is>
          <ns0:t>N/A</ns0:t>
        </ns0:is>
      </ns0:c>
      <ns0:c r="BR348" s="74" t="inlineStr">
        <ns0:is>
          <ns0:t>N/A</ns0:t>
        </ns0:is>
      </ns0:c>
      <ns0:c r="BS348" s="74" t="inlineStr">
        <ns0:is>
          <ns0:t>N/A</ns0:t>
        </ns0:is>
      </ns0:c>
      <ns0:c r="BT348" s="74" t="inlineStr">
        <ns0:is>
          <ns0:t>N/A</ns0:t>
        </ns0:is>
      </ns0:c>
      <ns0:c r="BU348" s="91" t="inlineStr">
        <ns0:is>
          <ns0:t>Morgan Stanley Asia Limited; Goldman Sachs (Asia) L.L.C</ns0:t>
        </ns0:is>
      </ns0:c>
      <ns0:c r="BV348" s="74" t="inlineStr">
        <ns0:is>
          <ns0:t>Morgan Stanley Asia Limited; Goldman Sachs (Asia) L.L.C.</ns0:t>
        </ns0:is>
      </ns0:c>
      <ns0:c r="BW348" s="74" t="inlineStr">
        <ns0:is>
          <ns0:t>Morgan Stanley Asia Limited; Goldman Sachs (Asia) L.L.C; CMB International Capital Limited; The Hongkong and Shanghai Banking Corporation Limited; and Syndicate Capital Market Intermediaries Morgan Stanley Asia Limited</ns0:t>
        </ns0:is>
      </ns0:c>
      <ns0:c r="BX348" s="74" t="inlineStr">
        <ns0:is>
          <ns0: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ns0:t>
        </ns0:is>
      </ns0:c>
      <ns0:c r="BY348" s="93">
        <ns0:f>HYPERLINK("https://www1.hkexnews.hk/listedco/listconews/sehk/2025/0626/2025062600017.pdf","prospectus")</ns0:f>
        <ns0:v/>
      </ns0:c>
      <ns0:c r="BZ348" s="93">
        <ns0:f>HYPERLINK("https://www1.hkexnews.hk/listedco/listconews/sehk/2025/0704/2025070402160.pdf","allotment")</ns0:f>
        <ns0:v/>
      </ns0:c>
      <ns0:c r="CA348" s="93">
        <ns0:f>HYPERLINK("https://www1.hkexnews.hk/listedco/listconews/sehk/2025/0801/2025080103557.pdf","stabilisation")</ns0:f>
        <ns0:v/>
      </ns0:c>
      <ns0:c r="CB348" s="94" t="n"/>
      <ns0:c r="CC348" s="74" t="inlineStr">
        <ns0:is>
          <ns0:t>range low: maximum offer price only, no floor published</ns0:t>
        </ns0:is>
      </ns0:c>
    </ns0:row>
    <ns0:row r="349" ht="22" customHeight="1">
      <ns0:c r="A349" s="73" t="inlineStr">
        <ns0:is>
          <ns0:t>2651</ns0:t>
        </ns0:is>
      </ns0:c>
      <ns0:c r="B349" s="74" t="inlineStr">
        <ns0:is>
          <ns0:t>DAZHONG DENTAL</ns0:t>
        </ns0:is>
      </ns0:c>
      <ns0:c r="C349" s="74" t="inlineStr">
        <ns0:is>
          <ns0:t>大眾口腔</ns0:t>
        </ns0:is>
      </ns0:c>
      <ns0:c r="D349" s="74" t="inlineStr">
        <ns0:is>
          <ns0:t>Healthcare</ns0:t>
        </ns0:is>
      </ns0:c>
      <ns0:c r="E349" s="74" t="inlineStr">
        <ns0:is>
          <ns0:t>Hospitals / clinics</ns0:t>
        </ns0:is>
      </ns0:c>
      <ns0:c r="F349" s="74" t="inlineStr">
        <ns0:is>
          <ns0:t>Health Care Services</ns0:t>
        </ns0:is>
      </ns0:c>
      <ns0:c r="G349" s="74" t="inlineStr">
        <ns0:is>
          <ns0:t>Standard</ns0:t>
        </ns0:is>
      </ns0:c>
      <ns0:c r="H349" s="75" t="n">
        <ns0:v>45847</ns0:v>
      </ns0:c>
      <ns0:c r="I349" s="76" t="n">
        <ns0:v>217.24</ns0:v>
      </ns0:c>
      <ns0:c r="J349" s="74" t="inlineStr">
        <ns0:is>
          <ns0:t>gross (stated)</ns0:t>
        </ns0:is>
      </ns0:c>
      <ns0:c r="K349" s="95" t="n"/>
      <ns0:c r="L349" s="77" t="n">
        <ns0:v>21.4</ns0:v>
      </ns0:c>
      <ns0:c r="M349" s="77" t="n">
        <ns0:v>20</ns0:v>
      </ns0:c>
      <ns0:c r="N349" s="74" t="inlineStr">
        <ns0:is>
          <ns0:t>N</ns0:t>
        </ns0:is>
      </ns0:c>
      <ns0:c r="O349" s="78" t="n">
        <ns0:v>93.5</ns0:v>
      </ns0:c>
      <ns0:c r="P349" s="84" t="n"/>
      <ns0:c r="Q349" s="79" t="n">
        <ns0:v>987.6</ns0:v>
      </ns0:c>
      <ns0:c r="R349" s="74" t="inlineStr">
        <ns0:is>
          <ns0:t>derived:price x shares upon listing</ns0:t>
        </ns0:is>
      </ns0:c>
      <ns0:c r="S349" s="80" t="n">
        <ns0:v>108.25</ns0:v>
      </ns0:c>
      <ns0:c r="T349" s="81" t="n">
        <ns0:v>0.96</ns0:v>
      </ns0:c>
      <ns0:c r="U349" s="82" t="n">
        <ns0:v>0</ns0:v>
      </ns0:c>
      <ns0:c r="V349" s="83" t="n">
        <ns0:v>112</ns0:v>
      </ns0:c>
      <ns0:c r="W349" s="78" t="n">
        <ns0:v>17.95</ns0:v>
      </ns0:c>
      <ns0:c r="X349" s="85" t="n"/>
      <ns0:c r="Y349" s="79" t="n">
        <ns0:v>217.24</ns0:v>
      </ns0:c>
      <ns0:c r="Z349" s="79" t="n">
        <ns0:v>10861800</ns0:v>
      </ns0:c>
      <ns0:c r="AA349" s="78" t="n">
        <ns0:v>22</ns0:v>
      </ns0:c>
      <ns0:c r="AB349" s="74" t="inlineStr">
        <ns0:is>
          <ns0:t>none — no cornerstone tranche</ns0:t>
        </ns0:is>
      </ns0:c>
      <ns0:c r="AC349" s="74" t="inlineStr">
        <ns0:is>
          <ns0:t>none</ns0:t>
        </ns0:is>
      </ns0:c>
      <ns0:c r="AD349" s="78" t="n">
        <ns0:v>11.65</ns0:v>
      </ns0:c>
      <ns0:c r="AE349" s="74" t="inlineStr">
        <ns0:is>
          <ns0:t>lapsed (no over-allocation)</ns0:t>
        </ns0:is>
      </ns0:c>
      <ns0:c r="AF349" s="74" t="inlineStr">
        <ns0:is>
          <ns0:t>2025-08-03</ns0:t>
        </ns0:is>
      </ns0:c>
      <ns0:c r="AG349" s="74" t="inlineStr">
        <ns0:is>
          <ns0:t>Haitong International Securities Company Limited</ns0:t>
        </ns0:is>
      </ns0:c>
      <ns0:c r="AH349" s="74" t="inlineStr">
        <ns0:is>
          <ns0:t>Haitong</ns0:t>
        </ns0:is>
      </ns0:c>
      <ns0:c r="AI349" s="105" t="n">
        <ns0:v>18.25</ns0:v>
      </ns0:c>
      <ns0:c r="AJ349" s="87" t="n">
        <ns0:v>3.5</ns0:v>
      </ns0:c>
      <ns0:c r="AK349" s="87" t="n">
        <ns0:v>1.75</ns0:v>
      </ns0:c>
      <ns0:c r="AL349" s="87" t="n">
        <ns0:v>20</ns0:v>
      </ns0:c>
      <ns0:c r="AM349" s="87" t="n">
        <ns0:v>-13.75</ns0:v>
      </ns0:c>
      <ns0:c r="AN349" s="89" t="n">
        <ns0:v>2.03</ns0:v>
      </ns0:c>
      <ns0:c r="AO349" s="78" t="n">
        <ns0:v>28.54</ns0:v>
      </ns0:c>
      <ns0:c r="AP349" s="87" t="n">
        <ns0:v>-10.5</ns0:v>
      </ns0:c>
      <ns0:c r="AQ349" s="87" t="n">
        <ns0:v>-28.5</ns0:v>
      </ns0:c>
      <ns0:c r="AR349" s="87" t="n">
        <ns0:v>-35.95</ns0:v>
      </ns0:c>
      <ns0:c r="AS349" s="87" t="n">
        <ns0:v>-13.53</ns0:v>
      </ns0:c>
      <ns0:c r="AT349" s="87" t="n">
        <ns0:v>-30.92</ns0:v>
      </ns0:c>
      <ns0:c r="AU349" s="87" t="n">
        <ns0:v>-38.12</ns0:v>
      </ns0:c>
      <ns0:c r="AV349" s="87" t="n">
        <ns0:v>-17.67</ns0:v>
      </ns0:c>
      <ns0:c r="AW349" s="87" t="n">
        <ns0:v>-43.78</ns0:v>
      </ns0:c>
      <ns0:c r="AX349" s="87" t="n">
        <ns0:v>-67.8</ns0:v>
      </ns0:c>
      <ns0:c r="AY349" s="87" t="n">
        <ns0:v>-44.22</ns0:v>
      </ns0:c>
      <ns0:c r="AZ349" s="87" t="n">
        <ns0:v>15.28</ns0:v>
      </ns0:c>
      <ns0:c r="BA349" s="87" t="n">
        <ns0:v>13.3</ns0:v>
      </ns0:c>
      <ns0:c r="BB349" s="74" t="inlineStr">
        <ns0:is>
          <ns0:t>China Biotech ETF (HS biotech proxy)</ns0:t>
        </ns0:is>
      </ns0:c>
      <ns0:c r="BC349" s="87" t="n">
        <ns0:v>74</ns0:v>
      </ns0:c>
      <ns0:c r="BD349" s="75" t="n">
        <ns0:v>46297</ns0:v>
      </ns0:c>
      <ns0:c r="BE349" s="76" t="n">
        <ns0:v>447.8</ns0:v>
      </ns0:c>
      <ns0:c r="BF349" s="79" t="n">
        <ns0:v>68.8</ns0:v>
      </ns0:c>
      <ns0:c r="BG349" s="74" t="inlineStr">
        <ns0:is>
          <ns0:t>Y</ns0:t>
        </ns0:is>
      </ns0:c>
      <ns0:c r="BH349" s="89" t="n">
        <ns0:v>14.4</ns0:v>
      </ns0:c>
      <ns0:c r="BI349" s="89" t="n">
        <ns0:v>20.1</ns0:v>
      </ns0:c>
      <ns0:c r="BJ349" s="89" t="n">
        <ns0:v>26.1</ns0:v>
      </ns0:c>
      <ns0:c r="BK349" s="89" t="n">
        <ns0:v>2.2</ns0:v>
      </ns0:c>
      <ns0:c r="BL349" s="90">
        <ns0:f>IFERROR(IF('BBG Verify'!S349="","Awaiting Bloomberg",'BBG Verify'!S349),"Awaiting Bloomberg")</ns0:f>
        <ns0:v/>
      </ns0:c>
      <ns0:c r="BM349" s="91" t="inlineStr">
        <ns0:is>
          <ns0:t>N</ns0:t>
        </ns0:is>
      </ns0:c>
      <ns0:c r="BN349" s="92">
        <ns0:f>IFERROR(IF('BBG Verify'!K349="","Awaiting Bloomberg",'BBG Verify'!K349),"Awaiting Bloomberg")</ns0:f>
        <ns0:v/>
      </ns0:c>
      <ns0:c r="BO349" s="74" t="inlineStr">
        <ns0:is>
          <ns0:t>N/A</ns0:t>
        </ns0:is>
      </ns0:c>
      <ns0:c r="BP349" s="74" t="inlineStr">
        <ns0:is>
          <ns0:t>N/A</ns0:t>
        </ns0:is>
      </ns0:c>
      <ns0:c r="BQ349" s="74" t="inlineStr">
        <ns0:is>
          <ns0:t>N/A</ns0:t>
        </ns0:is>
      </ns0:c>
      <ns0:c r="BR349" s="74" t="inlineStr">
        <ns0:is>
          <ns0:t>N/A</ns0:t>
        </ns0:is>
      </ns0:c>
      <ns0:c r="BS349" s="74" t="inlineStr">
        <ns0:is>
          <ns0:t>N/A</ns0:t>
        </ns0:is>
      </ns0:c>
      <ns0:c r="BT349" s="74" t="inlineStr">
        <ns0:is>
          <ns0:t>N/A</ns0:t>
        </ns0:is>
      </ns0:c>
      <ns0:c r="BU349" s="91" t="inlineStr">
        <ns0:is>
          <ns0:t>Haitong International Capital Limited</ns0:t>
        </ns0:is>
      </ns0:c>
      <ns0:c r="BV349" s="74" t="inlineStr">
        <ns0:is>
          <ns0:t>Haitong International Holdings Limited</ns0:t>
        </ns0:is>
      </ns0:c>
      <ns0:c r="BW349" s="74" t="inlineStr">
        <ns0:is>
          <ns0:t>Haitong International Securities Company Limited</ns0:t>
        </ns0:is>
      </ns0:c>
      <ns0:c r="BX349" s="74" t="inlineStr">
        <ns0:is>
          <ns0:t>Haitong International Securities Company Limited; Livermore Holdings Limited</ns0:t>
        </ns0:is>
      </ns0:c>
      <ns0:c r="BY349" s="93">
        <ns0:f>HYPERLINK("https://www1.hkexnews.hk/listedco/listconews/sehk/2025/0630/2025063000019.pdf","prospectus")</ns0:f>
        <ns0:v/>
      </ns0:c>
      <ns0:c r="BZ349" s="93">
        <ns0:f>HYPERLINK("https://www1.hkexnews.hk/listedco/listconews/sehk/2025/0708/2025070801104.pdf","allotment")</ns0:f>
        <ns0:v/>
      </ns0:c>
      <ns0:c r="CA349" s="93">
        <ns0:f>HYPERLINK("https://www1.hkexnews.hk/listedco/listconews/sehk/2025/0804/2025080401259.pdf","stabilisation")</ns0:f>
        <ns0:v/>
      </ns0:c>
      <ns0:c r="CB349" s="94" t="n"/>
      <ns0:c r="CC349" s="74" t="inlineStr">
        <ns0:is>
          <ns0:t>range low: maximum offer price only, no floor published; cornerstone list: no cornerstone tranche; allocation: clawback line not in this notice; a 12-28% split is consistent with either a tier-1 clawback or a placing shortfall</ns0:t>
        </ns0:is>
      </ns0:c>
    </ns0:row>
    <ns0:row r="350" ht="22" customHeight="1">
      <ns0:c r="A350" s="73" t="inlineStr">
        <ns0:is>
          <ns0:t>2590</ns0:t>
        </ns0:is>
      </ns0:c>
      <ns0:c r="B350" s="74" t="inlineStr">
        <ns0:is>
          <ns0:t>GEEKPLUS-W</ns0:t>
        </ns0:is>
      </ns0:c>
      <ns0:c r="C350" s="74" t="inlineStr">
        <ns0:is>
          <ns0:t>極智嘉－Ｗ</ns0:t>
        </ns0:is>
      </ns0:c>
      <ns0:c r="D350" s="74" t="inlineStr">
        <ns0:is>
          <ns0:t>Technology</ns0:t>
        </ns0:is>
      </ns0:c>
      <ns0:c r="E350" s="74" t="inlineStr">
        <ns0:is>
          <ns0:t>Robotics &amp; autonomous driving</ns0:t>
        </ns0:is>
      </ns0:c>
      <ns0:c r="F350" s="74" t="inlineStr">
        <ns0:is>
          <ns0:t>Advanced hardware and software</ns0:t>
        </ns0:is>
      </ns0:c>
      <ns0:c r="G350" s="74" t="inlineStr">
        <ns0:is>
          <ns0:t>WVR</ns0:t>
        </ns0:is>
      </ns0:c>
      <ns0:c r="H350" s="75" t="n">
        <ns0:v>45847</ns0:v>
      </ns0:c>
      <ns0:c r="I350" s="76" t="n">
        <ns0:v>2711.62</ns0:v>
      </ns0:c>
      <ns0:c r="J350" s="74" t="inlineStr">
        <ns0:is>
          <ns0:t>gross (stated)</ns0:t>
        </ns0:is>
      </ns0:c>
      <ns0:c r="K350" s="95" t="n"/>
      <ns0:c r="L350" s="77" t="n">
        <ns0:v>16.8</ns0:v>
      </ns0:c>
      <ns0:c r="M350" s="77" t="n">
        <ns0:v>16.8</ns0:v>
      </ns0:c>
      <ns0:c r="N350" s="74" t="inlineStr">
        <ns0:is>
          <ns0:t>Y</ns0:t>
        </ns0:is>
      </ns0:c>
      <ns0:c r="O350" s="78" t="n">
        <ns0:v>100</ns0:v>
      </ns0:c>
      <ns0:c r="P350" s="84" t="n"/>
      <ns0:c r="Q350" s="79" t="n">
        <ns0:v>21832.7</ns0:v>
      </ns0:c>
      <ns0:c r="R350" s="74" t="inlineStr">
        <ns0:is>
          <ns0:t>prospectus:stated market capitalisation</ns0:t>
        </ns0:is>
      </ns0:c>
      <ns0:c r="S350" s="80" t="n">
        <ns0:v>133.62</ns0:v>
      </ns0:c>
      <ns0:c r="T350" s="81" t="n">
        <ns0:v>30.17</ns0:v>
      </ns0:c>
      <ns0:c r="U350" s="82" t="n">
        <ns0:v>26.43</ns0:v>
      </ns0:c>
      <ns0:c r="V350" s="83" t="n">
        <ns0:v>132</ns0:v>
      </ns0:c>
      <ns0:c r="W350" s="78" t="n">
        <ns0:v>43.48</ns0:v>
      </ns0:c>
      <ns0:c r="X350" s="74" t="inlineStr">
        <ns0:is>
          <ns0:t>YES</ns0:t>
        </ns0:is>
      </ns0:c>
      <ns0:c r="Y350" s="79" t="n">
        <ns0:v>1994.94</ns0:v>
      </ns0:c>
      <ns0:c r="Z350" s="79" t="n">
        <ns0:v>118746247</ns0:v>
      </ns0:c>
      <ns0:c r="AA350" s="78" t="n">
        <ns0:v>9.140000000000001</ns0:v>
      </ns0:c>
      <ns0:c r="AB350" s="74" t="inlineStr">
        <ns0:is>
          <ns0:t>Xiongan Intelligent Robot Limited; Arc Avenue Asset Management Pte. Ltd; Eastspring Investments (Singapore) Limited; Etarget Limited</ns0:t>
        </ns0:is>
      </ns0:c>
      <ns0:c r="AC350" s="74" t="inlineStr">
        <ns0:is>
          <ns0:t>xiongan;arc;eastspring;etarget</ns0:t>
        </ns0:is>
      </ns0:c>
      <ns0:c r="AD350" s="78" t="n">
        <ns0:v>15</ns0:v>
      </ns0:c>
      <ns0:c r="AE350" s="74" t="inlineStr">
        <ns0:is>
          <ns0:t>partial</ns0:t>
        </ns0:is>
      </ns0:c>
      <ns0:c r="AF350" s="85" t="n"/>
      <ns0:c r="AG350" s="74" t="inlineStr">
        <ns0:is>
          <ns0:t>Morgan Stanley Asia Limited</ns0:t>
        </ns0:is>
      </ns0:c>
      <ns0:c r="AH350" s="74" t="inlineStr">
        <ns0:is>
          <ns0:t>Morgan Stanley</ns0:t>
        </ns0:is>
      </ns0:c>
      <ns0:c r="AI350" s="86" t="n">
        <ns0:v>-1.31</ns0:v>
      </ns0:c>
      <ns0:c r="AJ350" s="87" t="n">
        <ns0:v>5.36</ns0:v>
      </ns0:c>
      <ns0:c r="AK350" s="87" t="n">
        <ns0:v>-1.62</ns0:v>
      </ns0:c>
      <ns0:c r="AL350" s="87" t="n">
        <ns0:v>0.6</ns0:v>
      </ns0:c>
      <ns0:c r="AM350" s="87" t="n">
        <ns0:v>4.73</ns0:v>
      </ns0:c>
      <ns0:c r="AN350" s="89" t="n">
        <ns0:v>1.12</ns0:v>
      </ns0:c>
      <ns0:c r="AO350" s="78" t="n">
        <ns0:v>10.3</ns0:v>
      </ns0:c>
      <ns0:c r="AP350" s="87" t="n">
        <ns0:v>12.62</ns0:v>
      </ns0:c>
      <ns0:c r="AQ350" s="87" t="n">
        <ns0:v>9.880000000000001</ns0:v>
      </ns0:c>
      <ns0:c r="AR350" s="87" t="n">
        <ns0:v>92.5</ns0:v>
      </ns0:c>
      <ns0:c r="AS350" s="87" t="n">
        <ns0:v>6.89</ns0:v>
      </ns0:c>
      <ns0:c r="AT350" s="87" t="n">
        <ns0:v>4.29</ns0:v>
      </ns0:c>
      <ns0:c r="AU350" s="87" t="n">
        <ns0:v>82.70999999999999</ns0:v>
      </ns0:c>
      <ns0:c r="AV350" s="87" t="n">
        <ns0:v>10.81</ns0:v>
      </ns0:c>
      <ns0:c r="AW350" s="87" t="n">
        <ns0:v>5.87</ns0:v>
      </ns0:c>
      <ns0:c r="AX350" s="87" t="n">
        <ns0:v>70.44</ns0:v>
      </ns0:c>
      <ns0:c r="AY350" s="87" t="n">
        <ns0:v>-1.44</ns0:v>
      </ns0:c>
      <ns0:c r="AZ350" s="87" t="n">
        <ns0:v>4.01</ns0:v>
      </ns0:c>
      <ns0:c r="BA350" s="87" t="n">
        <ns0:v>5.73</ns0:v>
      </ns0:c>
      <ns0:c r="BB350" s="74" t="inlineStr">
        <ns0:is>
          <ns0:t>HSTECH (Hang Seng TECH ETF)</ns0:t>
        </ns0:is>
      </ns0:c>
      <ns0:c r="BC350" s="87" t="n">
        <ns0:v>-56.37</ns0:v>
      </ns0:c>
      <ns0:c r="BD350" s="75" t="n">
        <ns0:v>46297</ns0:v>
      </ns0:c>
      <ns0:c r="BE350" s="76" t="n">
        <ns0:v>2649.9</ns0:v>
      </ns0:c>
      <ns0:c r="BF350" s="79" t="n">
        <ns0:v>-1239.4</ns0:v>
      </ns0:c>
      <ns0:c r="BG350" s="74" t="inlineStr">
        <ns0:is>
          <ns0:t>N</ns0:t>
        </ns0:is>
      </ns0:c>
      <ns0:c r="BH350" s="74" t="inlineStr">
        <ns0:is>
          <ns0:t>n/m</ns0:t>
        </ns0:is>
      </ns0:c>
      <ns0:c r="BI350" s="88" t="n"/>
      <ns0:c r="BJ350" s="88" t="n"/>
      <ns0:c r="BK350" s="89" t="n">
        <ns0:v>8.199999999999999</ns0:v>
      </ns0:c>
      <ns0:c r="BL350" s="90">
        <ns0:f>IFERROR(IF('BBG Verify'!S350="","Awaiting Bloomberg",'BBG Verify'!S350),"Awaiting Bloomberg")</ns0:f>
        <ns0:v/>
      </ns0:c>
      <ns0:c r="BM350" s="91" t="inlineStr">
        <ns0:is>
          <ns0:t>N</ns0:t>
        </ns0:is>
      </ns0:c>
      <ns0:c r="BN350" s="92">
        <ns0:f>IFERROR(IF('BBG Verify'!K350="","Awaiting Bloomberg",'BBG Verify'!K350),"Awaiting Bloomberg")</ns0:f>
        <ns0:v/>
      </ns0:c>
      <ns0:c r="BO350" s="74" t="inlineStr">
        <ns0:is>
          <ns0:t>N/A</ns0:t>
        </ns0:is>
      </ns0:c>
      <ns0:c r="BP350" s="74" t="inlineStr">
        <ns0:is>
          <ns0:t>N/A</ns0:t>
        </ns0:is>
      </ns0:c>
      <ns0:c r="BQ350" s="74" t="inlineStr">
        <ns0:is>
          <ns0:t>N/A</ns0:t>
        </ns0:is>
      </ns0:c>
      <ns0:c r="BR350" s="74" t="inlineStr">
        <ns0:is>
          <ns0:t>N/A</ns0:t>
        </ns0:is>
      </ns0:c>
      <ns0:c r="BS350" s="74" t="inlineStr">
        <ns0:is>
          <ns0:t>N/A</ns0:t>
        </ns0:is>
      </ns0:c>
      <ns0:c r="BT350" s="74" t="inlineStr">
        <ns0:is>
          <ns0:t>N/A</ns0:t>
        </ns0:is>
      </ns0:c>
      <ns0:c r="BU350" s="91" t="inlineStr">
        <ns0:is>
          <ns0:t>Morgan Stanley Asia Limited; China International Capital Corporation Hong Kong Securities Limited</ns0:t>
        </ns0:is>
      </ns0:c>
      <ns0:c r="BV350" s="74" t="inlineStr">
        <ns0:is>
          <ns0:t>China International Capital Corporation Hong Kong Securities Limited; Morgan Stanley Asia Limited</ns0:t>
        </ns0:is>
      </ns0:c>
      <ns0:c r="BW350" s="74" t="inlineStr">
        <ns0:is>
          <ns0: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ns0:t>
        </ns0:is>
      </ns0:c>
      <ns0:c r="BX350" s="74" t="inlineStr">
        <ns0:is>
          <ns0: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ns0:t>
        </ns0:is>
      </ns0:c>
      <ns0:c r="BY350" s="93">
        <ns0:f>HYPERLINK("https://www1.hkexnews.hk/listedco/listconews/sehk/2025/0630/2025063000025.pdf","prospectus")</ns0:f>
        <ns0:v/>
      </ns0:c>
      <ns0:c r="BZ350" s="93">
        <ns0:f>HYPERLINK("https://www1.hkexnews.hk/listedco/listconews/sehk/2025/0708/2025070801126.pdf","allotment")</ns0:f>
        <ns0:v/>
      </ns0:c>
      <ns0:c r="CA350" s="93">
        <ns0:f>HYPERLINK("https://www1.hkexnews.hk/listedco/listconews/sehk/2025/0804/2025080400319.pdf","stabilisation")</ns0:f>
        <ns0:v/>
      </ns0:c>
      <ns0:c r="CB350" s="94" t="n"/>
      <ns0:c r="CC350" s="74" t="inlineStr">
        <ns0:is>
          <ns0:t>P/E: loss-making at IPO, use P/S; greenshoe: outcome published; expiry date not in the notice; range low: maximum offer price only, no floor published</ns0:t>
        </ns0:is>
      </ns0:c>
    </ns0:row>
    <ns0:row r="351" ht="22" customHeight="1">
      <ns0:c r="A351" s="73" t="inlineStr">
        <ns0:is>
          <ns0:t>2597</ns0:t>
        </ns0:is>
      </ns0:c>
      <ns0:c r="B351" s="74" t="inlineStr">
        <ns0:is>
          <ns0:t>XUNZHONG</ns0:t>
        </ns0:is>
      </ns0:c>
      <ns0:c r="C351" s="74" t="inlineStr">
        <ns0:is>
          <ns0:t>訊眾通信</ns0:t>
        </ns0:is>
      </ns0:c>
      <ns0:c r="D351" s="74" t="inlineStr">
        <ns0:is>
          <ns0:t>Technology</ns0:t>
        </ns0:is>
      </ns0:c>
      <ns0:c r="E351" s="74" t="inlineStr">
        <ns0:is>
          <ns0:t>Software &amp; AI</ns0:t>
        </ns0:is>
      </ns0:c>
      <ns0:c r="F351" s="74" t="inlineStr">
        <ns0:is>
          <ns0:t>Telecommunication Services</ns0:t>
        </ns0:is>
      </ns0:c>
      <ns0:c r="G351" s="74" t="inlineStr">
        <ns0:is>
          <ns0:t>Standard</ns0:t>
        </ns0:is>
      </ns0:c>
      <ns0:c r="H351" s="75" t="n">
        <ns0:v>45847</ns0:v>
      </ns0:c>
      <ns0:c r="I351" s="76" t="n">
        <ns0:v>412.5</ns0:v>
      </ns0:c>
      <ns0:c r="J351" s="74" t="inlineStr">
        <ns0:is>
          <ns0:t>gross (stated)</ns0:t>
        </ns0:is>
      </ns0:c>
      <ns0:c r="K351" s="77" t="n">
        <ns0:v>13.55</ns0:v>
      </ns0:c>
      <ns0:c r="L351" s="77" t="n">
        <ns0:v>15.15</ns0:v>
      </ns0:c>
      <ns0:c r="M351" s="77" t="n">
        <ns0:v>13.55</ns0:v>
      </ns0:c>
      <ns0:c r="N351" s="74" t="inlineStr">
        <ns0:is>
          <ns0:t>N</ns0:t>
        </ns0:is>
      </ns0:c>
      <ns0:c r="O351" s="78" t="n">
        <ns0:v>89.40000000000001</ns0:v>
      </ns0:c>
      <ns0:c r="P351" s="78" t="n">
        <ns0:v>0</ns0:v>
      </ns0:c>
      <ns0:c r="Q351" s="79" t="n">
        <ns0:v>1649.8</ns0:v>
      </ns0:c>
      <ns0:c r="R351" s="74" t="inlineStr">
        <ns0:is>
          <ns0:t>derived:price x shares upon listing</ns0:t>
        </ns0:is>
      </ns0:c>
      <ns0:c r="S351" s="80" t="n">
        <ns0:v>12.79</ns0:v>
      </ns0:c>
      <ns0:c r="T351" s="81" t="n">
        <ns0:v>1.01</ns0:v>
      </ns0:c>
      <ns0:c r="U351" s="82" t="n">
        <ns0:v>31.39</ns0:v>
      </ns0:c>
      <ns0:c r="V351" s="83" t="n">
        <ns0:v>110</ns0:v>
      </ns0:c>
      <ns0:c r="W351" s="78" t="n">
        <ns0:v>10</ns0:v>
      </ns0:c>
      <ns0:c r="X351" s="74" t="inlineStr">
        <ns0:is>
          <ns0:t>NO</ns0:t>
        </ns0:is>
      </ns0:c>
      <ns0:c r="Y351" s="79" t="n">
        <ns0:v>283.02</ns0:v>
      </ns0:c>
      <ns0:c r="Z351" s="79" t="n">
        <ns0:v>20884884</ns0:v>
      </ns0:c>
      <ns0:c r="AA351" s="78" t="n">
        <ns0:v>17.15</ns0:v>
      </ns0:c>
      <ns0:c r="AB351" s="74" t="inlineStr">
        <ns0:is>
          <ns0:t>Tongzhou International Development Limited</ns0:t>
        </ns0:is>
      </ns0:c>
      <ns0:c r="AC351" s="74" t="inlineStr">
        <ns0:is>
          <ns0:t>tongzhou</ns0:t>
        </ns0:is>
      </ns0:c>
      <ns0:c r="AD351" s="78" t="n">
        <ns0:v>7.88</ns0:v>
      </ns0:c>
      <ns0:c r="AE351" s="74" t="inlineStr">
        <ns0:is>
          <ns0:t>lapsed (no over-allocation)</ns0:t>
        </ns0:is>
      </ns0:c>
      <ns0:c r="AF351" s="74" t="inlineStr">
        <ns0:is>
          <ns0:t>2025-08-03</ns0:t>
        </ns0:is>
      </ns0:c>
      <ns0:c r="AG351" s="74" t="inlineStr">
        <ns0:is>
          <ns0:t>DBS Asia Capital Limited</ns0:t>
        </ns0:is>
      </ns0:c>
      <ns0:c r="AH351" s="74" t="inlineStr">
        <ns0:is>
          <ns0:t>DBS</ns0:t>
        </ns0:is>
      </ns0:c>
      <ns0:c r="AI351" s="105" t="n">
        <ns0:v>1.7</ns0:v>
      </ns0:c>
      <ns0:c r="AJ351" s="87" t="n">
        <ns0:v>0.22</ns0:v>
      </ns0:c>
      <ns0:c r="AK351" s="87" t="n">
        <ns0:v>-1.62</ns0:v>
      </ns0:c>
      <ns0:c r="AL351" s="87" t="n">
        <ns0:v>7.16</ns0:v>
      </ns0:c>
      <ns0:c r="AM351" s="87" t="n">
        <ns0:v>-6.48</ns0:v>
      </ns0:c>
      <ns0:c r="AN351" s="89" t="n">
        <ns0:v>0.73</ns0:v>
      </ns0:c>
      <ns0:c r="AO351" s="78" t="n">
        <ns0:v>15.98</ns0:v>
      </ns0:c>
      <ns0:c r="AP351" s="87" t="n">
        <ns0:v>-0.37</ns0:v>
      </ns0:c>
      <ns0:c r="AQ351" s="87" t="n">
        <ns0:v>-0.37</ns0:v>
      </ns0:c>
      <ns0:c r="AR351" s="87" t="n">
        <ns0:v>47.6</ns0:v>
      </ns0:c>
      <ns0:c r="AS351" s="87" t="n">
        <ns0:v>-0.59</ns0:v>
      </ns0:c>
      <ns0:c r="AT351" s="87" t="n">
        <ns0:v>-0.59</ns0:v>
      </ns0:c>
      <ns0:c r="AU351" s="87" t="n">
        <ns0:v>47.28</ns0:v>
      </ns0:c>
      <ns0:c r="AV351" s="87" t="n">
        <ns0:v>-2.18</ns0:v>
      </ns0:c>
      <ns0:c r="AW351" s="87" t="n">
        <ns0:v>-4.38</ns0:v>
      </ns0:c>
      <ns0:c r="AX351" s="87" t="n">
        <ns0:v>25.54</ns0:v>
      </ns0:c>
      <ns0:c r="AY351" s="87" t="n">
        <ns0:v>-6.32</ns0:v>
      </ns0:c>
      <ns0:c r="AZ351" s="87" t="n">
        <ns0:v>4.01</ns0:v>
      </ns0:c>
      <ns0:c r="BA351" s="87" t="n">
        <ns0:v>5.73</ns0:v>
      </ns0:c>
      <ns0:c r="BB351" s="74" t="inlineStr">
        <ns0:is>
          <ns0:t>HSTECH (Hang Seng TECH ETF)</ns0:t>
        </ns0:is>
      </ns0:c>
      <ns0:c r="BC351" s="87" t="n">
        <ns0:v>159.04</ns0:v>
      </ns0:c>
      <ns0:c r="BD351" s="75" t="n">
        <ns0:v>46297</ns0:v>
      </ns0:c>
      <ns0:c r="BE351" s="76" t="n">
        <ns0:v>1009.4</ns0:v>
      </ns0:c>
      <ns0:c r="BF351" s="79" t="n">
        <ns0:v>55.7</ns0:v>
      </ns0:c>
      <ns0:c r="BG351" s="74" t="inlineStr">
        <ns0:is>
          <ns0:t>Y</ns0:t>
        </ns0:is>
      </ns0:c>
      <ns0:c r="BH351" s="89" t="n">
        <ns0:v>29.6</ns0:v>
      </ns0:c>
      <ns0:c r="BI351" s="89" t="n">
        <ns0:v>21.1</ns0:v>
      </ns0:c>
      <ns0:c r="BJ351" s="89" t="n">
        <ns0:v>50.8</ns0:v>
      </ns0:c>
      <ns0:c r="BK351" s="89" t="n">
        <ns0:v>1.6</ns0:v>
      </ns0:c>
      <ns0:c r="BL351" s="90">
        <ns0:f>IFERROR(IF('BBG Verify'!S351="","Awaiting Bloomberg",'BBG Verify'!S351),"Awaiting Bloomberg")</ns0:f>
        <ns0:v/>
      </ns0:c>
      <ns0:c r="BM351" s="91" t="inlineStr">
        <ns0:is>
          <ns0:t>N</ns0:t>
        </ns0:is>
      </ns0:c>
      <ns0:c r="BN351" s="92">
        <ns0:f>IFERROR(IF('BBG Verify'!K351="","Awaiting Bloomberg",'BBG Verify'!K351),"Awaiting Bloomberg")</ns0:f>
        <ns0:v/>
      </ns0:c>
      <ns0:c r="BO351" s="74" t="inlineStr">
        <ns0:is>
          <ns0:t>N/A</ns0:t>
        </ns0:is>
      </ns0:c>
      <ns0:c r="BP351" s="74" t="inlineStr">
        <ns0:is>
          <ns0:t>N/A</ns0:t>
        </ns0:is>
      </ns0:c>
      <ns0:c r="BQ351" s="74" t="inlineStr">
        <ns0:is>
          <ns0:t>N/A</ns0:t>
        </ns0:is>
      </ns0:c>
      <ns0:c r="BR351" s="74" t="inlineStr">
        <ns0:is>
          <ns0:t>N/A</ns0:t>
        </ns0:is>
      </ns0:c>
      <ns0:c r="BS351" s="74" t="inlineStr">
        <ns0:is>
          <ns0:t>N/A</ns0:t>
        </ns0:is>
      </ns0:c>
      <ns0:c r="BT351" s="74" t="inlineStr">
        <ns0:is>
          <ns0:t>N/A</ns0:t>
        </ns0:is>
      </ns0:c>
      <ns0:c r="BU351" s="91" t="inlineStr">
        <ns0:is>
          <ns0:t>DBS Asia Capital Limited</ns0:t>
        </ns0:is>
      </ns0:c>
      <ns0:c r="BV351" s="74" t="inlineStr">
        <ns0:is>
          <ns0:t>DBS Asia Capital Limited</ns0:t>
        </ns0:is>
      </ns0:c>
      <ns0:c r="BW351" s="74" t="inlineStr">
        <ns0:is>
          <ns0:t>DBS Asia Capital Limited; Fosun International Securities Limited; ICBC International Securities Limited; Zinvest Global Limited; Huafu International Securities Limited; Winbull Securities International (Hong Kong) Limited; Long Bridge HK Limited; ZH Securities Limited</ns0:t>
        </ns0:is>
      </ns0:c>
      <ns0:c r="BX351" s="74" t="inlineStr">
        <ns0:is>
          <ns0: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ns0:t>
        </ns0:is>
      </ns0:c>
      <ns0:c r="BY351" s="93">
        <ns0:f>HYPERLINK("https://www1.hkexnews.hk/listedco/listconews/sehk/2025/0630/2025063000023.pdf","prospectus")</ns0:f>
        <ns0:v/>
      </ns0:c>
      <ns0:c r="BZ351" s="93">
        <ns0:f>HYPERLINK("https://www1.hkexnews.hk/listedco/listconews/sehk/2025/0708/2025070801152.pdf","allotment")</ns0:f>
        <ns0:v/>
      </ns0:c>
      <ns0:c r="CA351" s="93">
        <ns0:f>HYPERLINK("https://www1.hkexnews.hk/listedco/listconews/sehk/2025/0804/2025080400029.pdf","stabilisation")</ns0:f>
        <ns0:v/>
      </ns0:c>
      <ns0:c r="CB351" s="94" t="n"/>
      <ns0:c r="CC351" s="74" t="inlineStr">
        <ns0:is>
          <ns0:t>sponsor: English name not in the filing; AAStocks 保薦人 shown</ns0:t>
        </ns0:is>
      </ns0:c>
    </ns0:row>
    <ns0:row r="352" ht="22" customHeight="1">
      <ns0:c r="A352" s="73" t="inlineStr">
        <ns0:is>
          <ns0:t>1304</ns0:t>
        </ns0:is>
      </ns0:c>
      <ns0:c r="B352" s="74" t="inlineStr">
        <ns0:is>
          <ns0:t>FORTIOR</ns0:t>
        </ns0:is>
      </ns0:c>
      <ns0:c r="C352" s="74" t="inlineStr">
        <ns0:is>
          <ns0:t>FORTIOR</ns0:t>
        </ns0:is>
      </ns0:c>
      <ns0:c r="D352" s="74" t="inlineStr">
        <ns0:is>
          <ns0:t>Technology</ns0:t>
        </ns0:is>
      </ns0:c>
      <ns0:c r="E352" s="74" t="inlineStr">
        <ns0:is>
          <ns0:t>Semiconductors</ns0:t>
        </ns0:is>
      </ns0:c>
      <ns0:c r="F352" s="74" t="inlineStr">
        <ns0:is>
          <ns0:t>Semiconductors &amp; Semiconductor Equipment</ns0:t>
        </ns0:is>
      </ns0:c>
      <ns0:c r="G352" s="74" t="inlineStr">
        <ns0:is>
          <ns0:t>Standard</ns0:t>
        </ns0:is>
      </ns0:c>
      <ns0:c r="H352" s="75" t="n">
        <ns0:v>45847</ns0:v>
      </ns0:c>
      <ns0:c r="I352" s="76" t="n">
        <ns0:v>2258.7</ns0:v>
      </ns0:c>
      <ns0:c r="J352" s="74" t="inlineStr">
        <ns0:is>
          <ns0:t>gross (stated)</ns0:t>
        </ns0:is>
      </ns0:c>
      <ns0:c r="K352" s="95" t="n"/>
      <ns0:c r="L352" s="77" t="n">
        <ns0:v>120.5</ns0:v>
      </ns0:c>
      <ns0:c r="M352" s="77" t="n">
        <ns0:v>120.5</ns0:v>
      </ns0:c>
      <ns0:c r="N352" s="74" t="inlineStr">
        <ns0:is>
          <ns0:t>Y</ns0:t>
        </ns0:is>
      </ns0:c>
      <ns0:c r="O352" s="78" t="n">
        <ns0:v>100</ns0:v>
      </ns0:c>
      <ns0:c r="P352" s="84" t="n"/>
      <ns0:c r="Q352" s="79" t="n">
        <ns0:v>13070.6</ns0:v>
      </ns0:c>
      <ns0:c r="R352" s="74" t="inlineStr">
        <ns0:is>
          <ns0:t>prospectus:stated market capitalisation</ns0:t>
        </ns0:is>
      </ns0:c>
      <ns0:c r="S352" s="80" t="n">
        <ns0:v>138.26</ns0:v>
      </ns0:c>
      <ns0:c r="T352" s="81" t="n">
        <ns0:v>8.609999999999999</ns0:v>
      </ns0:c>
      <ns0:c r="U352" s="82" t="n">
        <ns0:v>38.92</ns0:v>
      </ns0:c>
      <ns0:c r="V352" s="83" t="n">
        <ns0:v>103</ns0:v>
      </ns0:c>
      <ns0:c r="W352" s="78" t="n">
        <ns0:v>43.48</ns0:v>
      </ns0:c>
      <ns0:c r="X352" s="74" t="inlineStr">
        <ns0:is>
          <ns0:t>YES</ns0:t>
        </ns0:is>
      </ns0:c>
      <ns0:c r="Y352" s="79" t="n">
        <ns0:v>1379.61</ns0:v>
      </ns0:c>
      <ns0:c r="Z352" s="79" t="n">
        <ns0:v>11449080</ns0:v>
      </ns0:c>
      <ns0:c r="AA352" s="78" t="n">
        <ns0:v>10.56</ns0:v>
      </ns0:c>
      <ns0:c r="AB352" s="74" t="inlineStr">
        <ns0:is>
          <ns0:t>Taikang Life; Pinpoint; 3W Fund; Wind Sabre; ChinaAMC (HK); Mega Prime; Sanhua International Singapore; Fourier Capital; Torus; Intac</ns0:t>
        </ns0:is>
      </ns0:c>
      <ns0:c r="AC352" s="74" t="inlineStr">
        <ns0:is>
          <ns0:t>taikang;pinpoint;3w;wind;chinaamc;mega;sanhua;fourier;torus;intac</ns0:t>
        </ns0:is>
      </ns0:c>
      <ns0:c r="AD352" s="78" t="n">
        <ns0:v>15</ns0:v>
      </ns0:c>
      <ns0:c r="AE352" s="74" t="inlineStr">
        <ns0:is>
          <ns0:t>full</ns0:t>
        </ns0:is>
      </ns0:c>
      <ns0:c r="AF352" s="85" t="n"/>
      <ns0:c r="AG352" s="85" t="n"/>
      <ns0:c r="AH352" s="85" t="n"/>
      <ns0:c r="AI352" s="86" t="n">
        <ns0:v>6.97</ns0:v>
      </ns0:c>
      <ns0:c r="AJ352" s="87" t="n">
        <ns0:v>16.02</ns0:v>
      </ns0:c>
      <ns0:c r="AK352" s="87" t="n">
        <ns0:v>-1.62</ns0:v>
      </ns0:c>
      <ns0:c r="AL352" s="87" t="n">
        <ns0:v>8.550000000000001</ns0:v>
      </ns0:c>
      <ns0:c r="AM352" s="87" t="n">
        <ns0:v>6.88</ns0:v>
      </ns0:c>
      <ns0:c r="AN352" s="89" t="n">
        <ns0:v>1.11</ns0:v>
      </ns0:c>
      <ns0:c r="AO352" s="78" t="n">
        <ns0:v>12.08</ns0:v>
      </ns0:c>
      <ns0:c r="AP352" s="87" t="n">
        <ns0:v>25.81</ns0:v>
      </ns0:c>
      <ns0:c r="AQ352" s="87" t="n">
        <ns0:v>30.87</ns0:v>
      </ns0:c>
      <ns0:c r="AR352" s="87" t="n">
        <ns0:v>65.06</ns0:v>
      </ns0:c>
      <ns0:c r="AS352" s="87" t="n">
        <ns0:v>8.44</ns0:v>
      </ns0:c>
      <ns0:c r="AT352" s="87" t="n">
        <ns0:v>12.8</ns0:v>
      </ns0:c>
      <ns0:c r="AU352" s="87" t="n">
        <ns0:v>42.27</ns0:v>
      </ns0:c>
      <ns0:c r="AV352" s="87" t="n">
        <ns0:v>24</ns0:v>
      </ns0:c>
      <ns0:c r="AW352" s="87" t="n">
        <ns0:v>26.86</ns0:v>
      </ns0:c>
      <ns0:c r="AX352" s="87" t="n">
        <ns0:v>43</ns0:v>
      </ns0:c>
      <ns0:c r="AY352" s="87" t="n">
        <ns0:v>7.07</ns0:v>
      </ns0:c>
      <ns0:c r="AZ352" s="87" t="n">
        <ns0:v>4.01</ns0:v>
      </ns0:c>
      <ns0:c r="BA352" s="87" t="n">
        <ns0:v>5.73</ns0:v>
      </ns0:c>
      <ns0:c r="BB352" s="74" t="inlineStr">
        <ns0:is>
          <ns0:t>HSTECH (Hang Seng TECH ETF)</ns0:t>
        </ns0:is>
      </ns0:c>
      <ns0:c r="BC352" s="87" t="n">
        <ns0:v>-1.33</ns0:v>
      </ns0:c>
      <ns0:c r="BD352" s="75" t="n">
        <ns0:v>46297</ns0:v>
      </ns0:c>
      <ns0:c r="BE352" s="76" t="n">
        <ns0:v>660.4</ns0:v>
      </ns0:c>
      <ns0:c r="BF352" s="79" t="n">
        <ns0:v>156.2</ns0:v>
      </ns0:c>
      <ns0:c r="BG352" s="74" t="inlineStr">
        <ns0:is>
          <ns0:t>Y</ns0:t>
        </ns0:is>
      </ns0:c>
      <ns0:c r="BH352" s="89" t="n">
        <ns0:v>83.7</ns0:v>
      </ns0:c>
      <ns0:c r="BI352" s="89" t="n">
        <ns0:v>53.1</ns0:v>
      </ns0:c>
      <ns0:c r="BJ352" s="89" t="n">
        <ns0:v>48.1</ns0:v>
      </ns0:c>
      <ns0:c r="BK352" s="89" t="n">
        <ns0:v>19.8</ns0:v>
      </ns0:c>
      <ns0:c r="BL352" s="90">
        <ns0:f>IFERROR(IF('BBG Verify'!S352="","Awaiting Bloomberg",'BBG Verify'!S352),"Awaiting Bloomberg")</ns0:f>
        <ns0:v/>
      </ns0:c>
      <ns0:c r="BM352" s="91" t="inlineStr">
        <ns0:is>
          <ns0:t>Y</ns0:t>
        </ns0:is>
      </ns0:c>
      <ns0:c r="BN352" s="74" t="inlineStr">
        <ns0:is>
          <ns0:t>688279.SS</ns0:t>
        </ns0:is>
      </ns0:c>
      <ns0:c r="BO352" s="87" t="n">
        <ns0:v>66.31999999999999</ns0:v>
      </ns0:c>
      <ns0:c r="BP352" s="77" t="n">
        <ns0:v>200.418</ns0:v>
      </ns0:c>
      <ns0:c r="BQ352" s="101" t="n">
        <ns0:v>0.9616</ns0:v>
      </ns0:c>
      <ns0:c r="BR352" s="79" t="n">
        <ns0:v>26855.9</ns0:v>
      </ns0:c>
      <ns0:c r="BS352" s="90">
        <ns0:f>IFERROR(IF('BBG Verify'!Q352="","Awaiting Bloomberg",'BBG Verify'!Q352),"Awaiting Bloomberg")</ns0:f>
        <ns0:v/>
      </ns0:c>
      <ns0:c r="BT352" s="90">
        <ns0:f>IFERROR(IF('BBG Verify'!R352="","Awaiting Bloomberg",'BBG Verify'!R352),"Awaiting Bloomberg")</ns0:f>
        <ns0:v/>
      </ns0:c>
      <ns0:c r="BU352" s="91" t="inlineStr">
        <ns0:is>
          <ns0:t>China International Capital Corporation Hong Kong Securities Limited</ns0:t>
        </ns0:is>
      </ns0:c>
      <ns0:c r="BV352" s="74" t="inlineStr">
        <ns0:is>
          <ns0:t>China International Capital Corporation Hong Kong Securities Limited</ns0:t>
        </ns0:is>
      </ns0:c>
      <ns0:c r="BW352" s="74" t="inlineStr">
        <ns0:is>
          <ns0:t>China International Capital Corporation Hong Kong Securities Limited; BOCI Asia Limited; GF Securities (Hong Kong) Brokerage Limited</ns0:t>
        </ns0:is>
      </ns0:c>
      <ns0:c r="BX352" s="74" t="inlineStr">
        <ns0:is>
          <ns0:t>BOCI Asia Limited; China International Capital Corporation Hong Kong Securities Limited; GF Securities (Hong Kong) Brokerage Limited</ns0:t>
        </ns0:is>
      </ns0:c>
      <ns0:c r="BY352" s="93">
        <ns0:f>HYPERLINK("https://www1.hkexnews.hk/listedco/listconews/sehk/2025/0630/2025063000015.pdf","prospectus")</ns0:f>
        <ns0:v/>
      </ns0:c>
      <ns0:c r="BZ352" s="93">
        <ns0:f>HYPERLINK("https://www1.hkexnews.hk/listedco/listconews/sehk/2025/0708/2025070801154.pdf","allotment")</ns0:f>
        <ns0:v/>
      </ns0:c>
      <ns0:c r="CA352" s="93">
        <ns0:f>HYPERLINK("https://www1.hkexnews.hk/listedco/listconews/sehk/2025/0803/2025080300007.pdf","stabilisation")</ns0:f>
        <ns0:v/>
      </ns0:c>
      <ns0:c r="CB352" s="94" t="n"/>
      <ns0:c r="CC352" s="74" t="inlineStr">
        <ns0:is>
          <ns0:t>greenshoe: outcome published; expiry date not in the notice; range low: maximum offer price only, no floor published; A/H: Jul 2025 H listing (BLDC motor-driver chips); stabilising manager: not named in the allotment notice or prospectus glossary</ns0:t>
        </ns0:is>
      </ns0:c>
    </ns0:row>
    <ns0:row r="353" ht="22" customHeight="1">
      <ns0:c r="A353" s="73" t="inlineStr">
        <ns0:is>
          <ns0:t>6613</ns0:t>
        </ns0:is>
      </ns0:c>
      <ns0:c r="B353" s="74" t="inlineStr">
        <ns0:is>
          <ns0:t>LENS</ns0:t>
        </ns0:is>
      </ns0:c>
      <ns0:c r="C353" s="74" t="inlineStr">
        <ns0:is>
          <ns0:t>藍思科技</ns0:t>
        </ns0:is>
      </ns0:c>
      <ns0:c r="D353" s="74" t="inlineStr">
        <ns0:is>
          <ns0:t>Technology</ns0:t>
        </ns0:is>
      </ns0:c>
      <ns0:c r="E353" s="74" t="inlineStr">
        <ns0:is>
          <ns0:t>Hardware &amp; electronics</ns0:t>
        </ns0:is>
      </ns0:c>
      <ns0:c r="F353" s="74" t="inlineStr">
        <ns0:is>
          <ns0:t>Next-generation information technology</ns0:t>
        </ns0:is>
      </ns0:c>
      <ns0:c r="G353" s="74" t="inlineStr">
        <ns0:is>
          <ns0:t>Standard</ns0:t>
        </ns0:is>
      </ns0:c>
      <ns0:c r="H353" s="75" t="n">
        <ns0:v>45847</ns0:v>
      </ns0:c>
      <ns0:c r="I353" s="76" t="n">
        <ns0:v>4767.83</ns0:v>
      </ns0:c>
      <ns0:c r="J353" s="74" t="inlineStr">
        <ns0:is>
          <ns0:t>gross (stated)</ns0:t>
        </ns0:is>
      </ns0:c>
      <ns0:c r="K353" s="95" t="n"/>
      <ns0:c r="L353" s="77" t="n">
        <ns0:v>18.18</ns0:v>
      </ns0:c>
      <ns0:c r="M353" s="77" t="n">
        <ns0:v>18.18</ns0:v>
      </ns0:c>
      <ns0:c r="N353" s="74" t="inlineStr">
        <ns0:is>
          <ns0:t>Y</ns0:t>
        </ns0:is>
      </ns0:c>
      <ns0:c r="O353" s="78" t="n">
        <ns0:v>100</ns0:v>
      </ns0:c>
      <ns0:c r="P353" s="84" t="n"/>
      <ns0:c r="Q353" s="79" t="n">
        <ns0:v>96069.8</ns0:v>
      </ns0:c>
      <ns0:c r="R353" s="74" t="inlineStr">
        <ns0:is>
          <ns0:t>aastocks:上市市值 at the struck price</ns0:t>
        </ns0:is>
      </ns0:c>
      <ns0:c r="S353" s="80" t="n">
        <ns0:v>462.76</ns0:v>
      </ns0:c>
      <ns0:c r="T353" s="81" t="n">
        <ns0:v>16.68</ns0:v>
      </ns0:c>
      <ns0:c r="U353" s="82" t="n">
        <ns0:v>31.45</ns0:v>
      </ns0:c>
      <ns0:c r="V353" s="83" t="n">
        <ns0:v>165</ns0:v>
      </ns0:c>
      <ns0:c r="W353" s="78" t="n">
        <ns0:v>45</ns0:v>
      </ns0:c>
      <ns0:c r="X353" s="74" t="inlineStr">
        <ns0:is>
          <ns0:t>YES</ns0:t>
        </ns0:is>
      </ns0:c>
      <ns0:c r="Y353" s="79" t="n">
        <ns0:v>3268.35</ns0:v>
      </ns0:c>
      <ns0:c r="Z353" s="79" t="n">
        <ns0:v>179777036</ns0:v>
      </ns0:c>
      <ns0:c r="AA353" s="78" t="n">
        <ns0:v>3.4</ns0:v>
      </ns0:c>
      <ns0:c r="AB353" s="74" t="inlineStr">
        <ns0:is>
          <ns0:t>Green Better Limited; Olympic Country Company Limited; UBS Asset Management (Singapore) Ltd; Oaktree Capital Management, L.P; LMR Multi-Strategy Master Fund Limited; Redwood Elite Limited; QRT Master Fund SPC; Poly Platinum Enterprises Limited; Infini Global Master Fund; Verition Multi- Strategy Master Fund Ltd</ns0:t>
        </ns0:is>
      </ns0:c>
      <ns0:c r="AC353" s="74" t="inlineStr">
        <ns0:is>
          <ns0:t>green;olympic;ubs;oaktree;lmr;redwood;qrt;poly;infini;verition</ns0:t>
        </ns0:is>
      </ns0:c>
      <ns0:c r="AD353" s="78" t="n">
        <ns0:v>15</ns0:v>
      </ns0:c>
      <ns0:c r="AE353" s="74" t="inlineStr">
        <ns0:is>
          <ns0:t>full</ns0:t>
        </ns0:is>
      </ns0:c>
      <ns0:c r="AF353" s="74" t="inlineStr">
        <ns0:is>
          <ns0:t>2025-08-03</ns0:t>
        </ns0:is>
      </ns0:c>
      <ns0:c r="AG353" s="74" t="inlineStr">
        <ns0:is>
          <ns0:t>C LSA Limited</ns0:t>
        </ns0:is>
      </ns0:c>
      <ns0:c r="AH353" s="74" t="inlineStr">
        <ns0:is>
          <ns0:t>C LSA</ns0:t>
        </ns0:is>
      </ns0:c>
      <ns0:c r="AI353" s="86" t="n">
        <ns0:v>3.52</ns0:v>
      </ns0:c>
      <ns0:c r="AJ353" s="87" t="n">
        <ns0:v>9.130000000000001</ns0:v>
      </ns0:c>
      <ns0:c r="AK353" s="87" t="n">
        <ns0:v>-1.62</ns0:v>
      </ns0:c>
      <ns0:c r="AL353" s="87" t="n">
        <ns0:v>3.85</ns0:v>
      </ns0:c>
      <ns0:c r="AM353" s="87" t="n">
        <ns0:v>5.08</ns0:v>
      </ns0:c>
      <ns0:c r="AN353" s="89" t="n">
        <ns0:v>1.19</ns0:v>
      </ns0:c>
      <ns0:c r="AO353" s="78" t="n">
        <ns0:v>7.63</ns0:v>
      </ns0:c>
      <ns0:c r="AP353" s="87" t="n">
        <ns0:v>6.38</ns0:v>
      </ns0:c>
      <ns0:c r="AQ353" s="87" t="n">
        <ns0:v>16.06</ns0:v>
      </ns0:c>
      <ns0:c r="AR353" s="87" t="n">
        <ns0:v>76.79000000000001</ns0:v>
      </ns0:c>
      <ns0:c r="AS353" s="87" t="n">
        <ns0:v>-2.52</ns0:v>
      </ns0:c>
      <ns0:c r="AT353" s="87" t="n">
        <ns0:v>6.35</ns0:v>
      </ns0:c>
      <ns0:c r="AU353" s="87" t="n">
        <ns0:v>62</ns0:v>
      </ns0:c>
      <ns0:c r="AV353" s="87" t="n">
        <ns0:v>4.57</ns0:v>
      </ns0:c>
      <ns0:c r="AW353" s="87" t="n">
        <ns0:v>12.05</ns0:v>
      </ns0:c>
      <ns0:c r="AX353" s="87" t="n">
        <ns0:v>54.73</ns0:v>
      </ns0:c>
      <ns0:c r="AY353" s="87" t="n">
        <ns0:v>0.62</ns0:v>
      </ns0:c>
      <ns0:c r="AZ353" s="87" t="n">
        <ns0:v>4.01</ns0:v>
      </ns0:c>
      <ns0:c r="BA353" s="87" t="n">
        <ns0:v>5.73</ns0:v>
      </ns0:c>
      <ns0:c r="BB353" s="74" t="inlineStr">
        <ns0:is>
          <ns0:t>HSTECH (Hang Seng TECH ETF)</ns0:t>
        </ns0:is>
      </ns0:c>
      <ns0:c r="BC353" s="87" t="n">
        <ns0:v>17.49</ns0:v>
      </ns0:c>
      <ns0:c r="BD353" s="75" t="n">
        <ns0:v>46297</ns0:v>
      </ns0:c>
      <ns0:c r="BE353" s="98" t="n"/>
      <ns0:c r="BF353" s="79" t="n">
        <ns0:v>4044.5</ns0:v>
      </ns0:c>
      <ns0:c r="BG353" s="74" t="inlineStr">
        <ns0:is>
          <ns0:t>Y</ns0:t>
        </ns0:is>
      </ns0:c>
      <ns0:c r="BH353" s="89" t="n">
        <ns0:v>23.8</ns0:v>
      </ns0:c>
      <ns0:c r="BI353" s="89" t="n">
        <ns0:v>22.9</ns0:v>
      </ns0:c>
      <ns0:c r="BJ353" s="89" t="n">
        <ns0:v>30.1</ns0:v>
      </ns0:c>
      <ns0:c r="BK353" s="88" t="n"/>
      <ns0:c r="BL353" s="90">
        <ns0:f>IFERROR(IF('BBG Verify'!S353="","Awaiting Bloomberg",'BBG Verify'!S353),"Awaiting Bloomberg")</ns0:f>
        <ns0:v/>
      </ns0:c>
      <ns0:c r="BM353" s="91" t="inlineStr">
        <ns0:is>
          <ns0:t>Y</ns0:t>
        </ns0:is>
      </ns0:c>
      <ns0:c r="BN353" s="74" t="inlineStr">
        <ns0:is>
          <ns0:t>300433.SZ</ns0:t>
        </ns0:is>
      </ns0:c>
      <ns0:c r="BO353" s="87" t="n">
        <ns0:v>40.38</ns0:v>
      </ns0:c>
      <ns0:c r="BP353" s="77" t="n">
        <ns0:v>25.5213</ns0:v>
      </ns0:c>
      <ns0:c r="BQ353" s="101" t="n">
        <ns0:v>0.7702</ns0:v>
      </ns0:c>
      <ns0:c r="BR353" s="79" t="n">
        <ns0:v>199674.6</ns0:v>
      </ns0:c>
      <ns0:c r="BS353" s="90">
        <ns0:f>IFERROR(IF('BBG Verify'!Q353="","Awaiting Bloomberg",'BBG Verify'!Q353),"Awaiting Bloomberg")</ns0:f>
        <ns0:v/>
      </ns0:c>
      <ns0:c r="BT353" s="90">
        <ns0:f>IFERROR(IF('BBG Verify'!R353="","Awaiting Bloomberg",'BBG Verify'!R353),"Awaiting Bloomberg")</ns0:f>
        <ns0:v/>
      </ns0:c>
      <ns0:c r="BU353" s="91" t="inlineStr">
        <ns0:is>
          <ns0:t>CITIC Securities (Hong Kong) Limited</ns0:t>
        </ns0:is>
      </ns0:c>
      <ns0:c r="BV353" s="74" t="inlineStr">
        <ns0:is>
          <ns0:t>CITIC Securities (Hong Kong) Limited</ns0:t>
        </ns0:is>
      </ns0:c>
      <ns0:c r="BW353" s="74" t="inlineStr">
        <ns0:is>
          <ns0:t>CLSA Limited; Merrill Lynch (Asia Pacific) Limited; ABCI Capital Limited; BOCI Asia Limited; Futu Securities International (Hong Kong) Limited; AVICT Global Asset Management Limited</ns0:t>
        </ns0:is>
      </ns0:c>
      <ns0:c r="BX353" s="74" t="inlineStr">
        <ns0:is>
          <ns0:t>ABCI Securities Company Limited; AVICT Global Asset Management Limited; BOCI Asia Limited; CLSA Limited; Futu Securities International (Hong Kong) Limited; Merrill Lynch (Asia Pacific) Limited</ns0:t>
        </ns0:is>
      </ns0:c>
      <ns0:c r="BY353" s="93">
        <ns0:f>HYPERLINK("https://www1.hkexnews.hk/listedco/listconews/sehk/2025/0630/2025063000031.pdf","prospectus")</ns0:f>
        <ns0:v/>
      </ns0:c>
      <ns0:c r="BZ353" s="93">
        <ns0:f>HYPERLINK("https://www1.hkexnews.hk/listedco/listconews/sehk/2025/0708/2025070801180.pdf","allotment")</ns0:f>
        <ns0:v/>
      </ns0:c>
      <ns0:c r="CA353" s="93">
        <ns0:f>HYPERLINK("https://www1.hkexnews.hk/listedco/listconews/sehk/2025/0803/2025080300029.pdf","stabilisation")</ns0:f>
        <ns0:v/>
      </ns0:c>
      <ns0:c r="CB353" s="94" t="n"/>
      <ns0:c r="CC353" s="74" t="inlineStr">
        <ns0:is>
          <ns0:t>range low: maximum offer price only, no floor published; A/H: Jul 2025 H listing (cover glass, Apple chain); P/S: revenue not extractable; financials: not extractable; pre-IPO year outside the AAStocks window</ns0:t>
        </ns0:is>
      </ns0:c>
    </ns0:row>
    <ns0:row r="354" ht="22" customHeight="1">
      <ns0:c r="A354" s="73" t="inlineStr">
        <ns0:is>
          <ns0:t>9887</ns0:t>
        </ns0:is>
      </ns0:c>
      <ns0:c r="B354" s="74" t="inlineStr">
        <ns0:is>
          <ns0:t>LEADS BIOLABS-B</ns0:t>
        </ns0:is>
      </ns0:c>
      <ns0:c r="C354" s="74" t="inlineStr">
        <ns0:is>
          <ns0:t>維立志博－Ｂ</ns0:t>
        </ns0:is>
      </ns0:c>
      <ns0:c r="D354" s="74" t="inlineStr">
        <ns0:is>
          <ns0:t>Healthcare</ns0:t>
        </ns0:is>
      </ns0:c>
      <ns0:c r="E354" s="74" t="inlineStr">
        <ns0:is>
          <ns0:t>Biotech pre-revenue (18A)</ns0:t>
        </ns0:is>
      </ns0:c>
      <ns0:c r="F354" s="74" t="inlineStr">
        <ns0:is>
          <ns0:t>Biotechnology - Pharmaceuticals</ns0:t>
        </ns0:is>
      </ns0:c>
      <ns0:c r="G354" s="74" t="inlineStr">
        <ns0:is>
          <ns0:t>18A</ns0:t>
        </ns0:is>
      </ns0:c>
      <ns0:c r="H354" s="75" t="n">
        <ns0:v>45863</ns0:v>
      </ns0:c>
      <ns0:c r="I354" s="76" t="n">
        <ns0:v>1290.2</ns0:v>
      </ns0:c>
      <ns0:c r="J354" s="74" t="inlineStr">
        <ns0:is>
          <ns0:t>gross (stated)</ns0:t>
        </ns0:is>
      </ns0:c>
      <ns0:c r="K354" s="77" t="n">
        <ns0:v>31.6</ns0:v>
      </ns0:c>
      <ns0:c r="L354" s="77" t="n">
        <ns0:v>35</ns0:v>
      </ns0:c>
      <ns0:c r="M354" s="77" t="n">
        <ns0:v>35</ns0:v>
      </ns0:c>
      <ns0:c r="N354" s="74" t="inlineStr">
        <ns0:is>
          <ns0:t>Y</ns0:t>
        </ns0:is>
      </ns0:c>
      <ns0:c r="O354" s="78" t="n">
        <ns0:v>100</ns0:v>
      </ns0:c>
      <ns0:c r="P354" s="78" t="n">
        <ns0:v>100</ns0:v>
      </ns0:c>
      <ns0:c r="Q354" s="79" t="n">
        <ns0:v>5958.3</ns0:v>
      </ns0:c>
      <ns0:c r="R354" s="74" t="inlineStr">
        <ns0:is>
          <ns0:t>prospectus:stated market capitalisation</ns0:t>
        </ns0:is>
      </ns0:c>
      <ns0:c r="S354" s="80" t="n">
        <ns0:v>3494.78</ns0:v>
      </ns0:c>
      <ns0:c r="T354" s="81" t="n">
        <ns0:v>40.78</ns0:v>
      </ns0:c>
      <ns0:c r="U354" s="82" t="n">
        <ns0:v>41.98</ns0:v>
      </ns0:c>
      <ns0:c r="V354" s="83" t="n">
        <ns0:v>141</ns0:v>
      </ns0:c>
      <ns0:c r="W354" s="78" t="n">
        <ns0:v>43.48</ns0:v>
      </ns0:c>
      <ns0:c r="X354" s="74" t="inlineStr">
        <ns0:is>
          <ns0:t>YES</ns0:t>
        </ns0:is>
      </ns0:c>
      <ns0:c r="Y354" s="79" t="n">
        <ns0:v>748.5700000000001</ns0:v>
      </ns0:c>
      <ns0:c r="Z354" s="79" t="n">
        <ns0:v>21387622</ns0:v>
      </ns0:c>
      <ns0:c r="AA354" s="78" t="n">
        <ns0:v>12.56</ns0:v>
      </ns0:c>
      <ns0:c r="AB354" s="74" t="inlineStr">
        <ns0:is>
          <ns0:t>Loyal Valley Capital Advantage Fund III LP; Golden Valley Global Limited; Golden Valley Value Select Master Fund (together with Loyal Valley Fund III and Golden Valley Global Limited, the LVC Entities ); Shanghai Gaoyi Asset Management Partnership (Limited Partnership) and Huatai Capital Investment Limited (in connection with Huatai Back-to-back TRS and Huatai Client TRS); Perseverance Asset Management International (Singapore) Pte. Ltd; TruMed Healthcare Master Fund; TruMed Health Innovation Fund LP; OrbiMed Genesis Master Fund, L.P; The Biotech Growth Trust PLC; Huang River Investment Limited; E Fund Management (Hong Kong) Co., Ltd; FORESIGHT GLOBAL SUPERIOR CHOICE SPC – GLOBAL SUPERIOR CHOICE FUND 1 SP and Foresight Global Superior Choice SPC – Vision Fund 1 SP; Sage Partners Master Fund; Hankang Biotech Fund III, L.P; Splendid Biotech Fund L.P</ns0:t>
        </ns0:is>
      </ns0:c>
      <ns0:c r="AC354" s="74" t="inlineStr">
        <ns0:is>
          <ns0:t>loyal;golden-valley;shanghai-gaoyi;perseverance;trumed;orbimed;biotech;huang-river;fund-management;foresight;sage;hankang;splendid</ns0:t>
        </ns0:is>
      </ns0:c>
      <ns0:c r="AD354" s="78" t="n">
        <ns0:v>15</ns0:v>
      </ns0:c>
      <ns0:c r="AE354" s="74" t="inlineStr">
        <ns0:is>
          <ns0:t>full</ns0:t>
        </ns0:is>
      </ns0:c>
      <ns0:c r="AF354" s="85" t="n"/>
      <ns0:c r="AG354" s="74" t="inlineStr">
        <ns0:is>
          <ns0:t>Morgan Stanley Asia Limited</ns0:t>
        </ns0:is>
      </ns0:c>
      <ns0:c r="AH354" s="74" t="inlineStr">
        <ns0:is>
          <ns0:t>Morgan Stanley</ns0:t>
        </ns0:is>
      </ns0:c>
      <ns0:c r="AI354" s="86" t="n">
        <ns0:v>99.29000000000001</ns0:v>
      </ns0:c>
      <ns0:c r="AJ354" s="87" t="n">
        <ns0:v>91.70999999999999</ns0:v>
      </ns0:c>
      <ns0:c r="AK354" s="87" t="n">
        <ns0:v>-0.07000000000000001</ns0:v>
      </ns0:c>
      <ns0:c r="AL354" s="87" t="n">
        <ns0:v>106.86</ns0:v>
      </ns0:c>
      <ns0:c r="AM354" s="87" t="n">
        <ns0:v>-7.32</ns0:v>
      </ns0:c>
      <ns0:c r="AN354" s="89" t="n">
        <ns0:v>2.07</ns0:v>
      </ns0:c>
      <ns0:c r="AO354" s="78" t="n">
        <ns0:v>17.27</ns0:v>
      </ns0:c>
      <ns0:c r="AP354" s="87" t="n">
        <ns0:v>100</ns0:v>
      </ns0:c>
      <ns0:c r="AQ354" s="87" t="n">
        <ns0:v>94.29000000000001</ns0:v>
      </ns0:c>
      <ns0:c r="AR354" s="87" t="n">
        <ns0:v>69.14</ns0:v>
      </ns0:c>
      <ns0:c r="AS354" s="87" t="n">
        <ns0:v>4.32</ns0:v>
      </ns0:c>
      <ns0:c r="AT354" s="87" t="n">
        <ns0:v>1.35</ns0:v>
      </ns0:c>
      <ns0:c r="AU354" s="87" t="n">
        <ns0:v>-11.77</ns0:v>
      </ns0:c>
      <ns0:c r="AV354" s="87" t="n">
        <ns0:v>96.86</ns0:v>
      </ns0:c>
      <ns0:c r="AW354" s="87" t="n">
        <ns0:v>84.23999999999999</ns0:v>
      </ns0:c>
      <ns0:c r="AX354" s="87" t="n">
        <ns0:v>66.01000000000001</ns0:v>
      </ns0:c>
      <ns0:c r="AY354" s="87" t="n">
        <ns0:v>-8.779999999999999</ns0:v>
      </ns0:c>
      <ns0:c r="AZ354" s="87" t="n">
        <ns0:v>10.05</ns0:v>
      </ns0:c>
      <ns0:c r="BA354" s="87" t="n">
        <ns0:v>10.13</ns0:v>
      </ns0:c>
      <ns0:c r="BB354" s="74" t="inlineStr">
        <ns0:is>
          <ns0:t>China Biotech ETF (HS biotech proxy)</ns0:t>
        </ns0:is>
      </ns0:c>
      <ns0:c r="BC354" s="87" t="n">
        <ns0:v>44.14</ns0:v>
      </ns0:c>
      <ns0:c r="BD354" s="75" t="n">
        <ns0:v>46297</ns0:v>
      </ns0:c>
      <ns0:c r="BE354" s="76" t="n">
        <ns0:v>9.800000000000001</ns0:v>
      </ns0:c>
      <ns0:c r="BF354" s="79" t="n">
        <ns0:v>-95.2</ns0:v>
      </ns0:c>
      <ns0:c r="BG354" s="74" t="inlineStr">
        <ns0:is>
          <ns0:t>N</ns0:t>
        </ns0:is>
      </ns0:c>
      <ns0:c r="BH354" s="74" t="inlineStr">
        <ns0:is>
          <ns0:t>n/m</ns0:t>
        </ns0:is>
      </ns0:c>
      <ns0:c r="BI354" s="88" t="n"/>
      <ns0:c r="BJ354" s="88" t="n"/>
      <ns0:c r="BK354" s="89" t="n">
        <ns0:v>608</ns0:v>
      </ns0:c>
      <ns0:c r="BL354" s="90">
        <ns0:f>IFERROR(IF('BBG Verify'!S354="","Awaiting Bloomberg",'BBG Verify'!S354),"Awaiting Bloomberg")</ns0:f>
        <ns0:v/>
      </ns0:c>
      <ns0:c r="BM354" s="91" t="inlineStr">
        <ns0:is>
          <ns0:t>N</ns0:t>
        </ns0:is>
      </ns0:c>
      <ns0:c r="BN354" s="92">
        <ns0:f>IFERROR(IF('BBG Verify'!K354="","Awaiting Bloomberg",'BBG Verify'!K354),"Awaiting Bloomberg")</ns0:f>
        <ns0:v/>
      </ns0:c>
      <ns0:c r="BO354" s="74" t="inlineStr">
        <ns0:is>
          <ns0:t>N/A</ns0:t>
        </ns0:is>
      </ns0:c>
      <ns0:c r="BP354" s="74" t="inlineStr">
        <ns0:is>
          <ns0:t>N/A</ns0:t>
        </ns0:is>
      </ns0:c>
      <ns0:c r="BQ354" s="74" t="inlineStr">
        <ns0:is>
          <ns0:t>N/A</ns0:t>
        </ns0:is>
      </ns0:c>
      <ns0:c r="BR354" s="74" t="inlineStr">
        <ns0:is>
          <ns0:t>N/A</ns0:t>
        </ns0:is>
      </ns0:c>
      <ns0:c r="BS354" s="74" t="inlineStr">
        <ns0:is>
          <ns0:t>N/A</ns0:t>
        </ns0:is>
      </ns0:c>
      <ns0:c r="BT354" s="74" t="inlineStr">
        <ns0:is>
          <ns0:t>N/A</ns0:t>
        </ns0:is>
      </ns0:c>
      <ns0:c r="BU354" s="91" t="inlineStr">
        <ns0:is>
          <ns0:t>Morgan StanleyAsia Limited; CITIC Securities (Hong Kong) Limited; CLSA Limited</ns0:t>
        </ns0:is>
      </ns0:c>
      <ns0:c r="BV354" s="74" t="inlineStr">
        <ns0:is>
          <ns0:t>Morgan Stanley Asia Limited; CITIC Securities (Hong Kong) Limited</ns0:t>
        </ns0:is>
      </ns0:c>
      <ns0:c r="BW354" s="74" t="inlineStr">
        <ns0:is>
          <ns0:t>Morgan StanleyAsia Limited; CLSA Limited; CMB International Capital Limited</ns0:t>
        </ns0:is>
      </ns0:c>
      <ns0:c r="BX354" s="74" t="inlineStr">
        <ns0:is>
          <ns0:t>CCB International Capital Limited; CLSA Limited; CMB International Capital Limited; Futu Securities International (Hong Kong) Limited; Morgan Stanley Asia Limited</ns0:t>
        </ns0:is>
      </ns0:c>
      <ns0:c r="BY354" s="93">
        <ns0:f>HYPERLINK("https://www1.hkexnews.hk/listedco/listconews/sehk/2025/0717/2025071700005.pdf","prospectus")</ns0:f>
        <ns0:v/>
      </ns0:c>
      <ns0:c r="BZ354" s="93">
        <ns0:f>HYPERLINK("https://www1.hkexnews.hk/listedco/listconews/sehk/2025/0724/2025072401812.pdf","allotment")</ns0:f>
        <ns0:v/>
      </ns0:c>
      <ns0:c r="CA354" s="93">
        <ns0:f>HYPERLINK("https://www1.hkexnews.hk/listedco/listconews/sehk/2025/0821/2025082100862.pdf","stabilisation")</ns0:f>
        <ns0:v/>
      </ns0:c>
      <ns0:c r="CB354" s="94" t="n"/>
      <ns0:c r="CC354" s="74" t="inlineStr">
        <ns0:is>
          <ns0:t>P/E: loss-making at IPO, use P/S; greenshoe: outcome published; expiry date not in the notice; P/S: 608x on HK$9.8m revenue, effectively pre-revenue; not comparable</ns0:t>
        </ns0:is>
      </ns0:c>
    </ns0:row>
    <ns0:row r="355" ht="22" customHeight="1">
      <ns0:c r="A355" s="73" t="inlineStr">
        <ns0:is>
          <ns0:t>2627</ns0:t>
        </ns0:is>
      </ns0:c>
      <ns0:c r="B355" s="74" t="inlineStr">
        <ns0:is>
          <ns0:t>AB&amp;B BIO-TECH-B</ns0:t>
        </ns0:is>
      </ns0:c>
      <ns0:c r="C355" s="74" t="inlineStr">
        <ns0:is>
          <ns0:t>中慧生物－Ｂ</ns0:t>
        </ns0:is>
      </ns0:c>
      <ns0:c r="D355" s="74" t="inlineStr">
        <ns0:is>
          <ns0:t>Healthcare</ns0:t>
        </ns0:is>
      </ns0:c>
      <ns0:c r="E355" s="74" t="inlineStr">
        <ns0:is>
          <ns0:t>Biotech pre-revenue (18A)</ns0:t>
        </ns0:is>
      </ns0:c>
      <ns0:c r="F355" s="74" t="inlineStr">
        <ns0:is>
          <ns0:t>Biotechnology - Pharmaceuticals</ns0:t>
        </ns0:is>
      </ns0:c>
      <ns0:c r="G355" s="74" t="inlineStr">
        <ns0:is>
          <ns0:t>18A</ns0:t>
        </ns0:is>
      </ns0:c>
      <ns0:c r="H355" s="75" t="n">
        <ns0:v>45880</ns0:v>
      </ns0:c>
      <ns0:c r="I355" s="76" t="n">
        <ns0:v>431.4</ns0:v>
      </ns0:c>
      <ns0:c r="J355" s="74" t="inlineStr">
        <ns0:is>
          <ns0:t>gross (stated)</ns0:t>
        </ns0:is>
      </ns0:c>
      <ns0:c r="K355" s="77" t="n">
        <ns0:v>12.9</ns0:v>
      </ns0:c>
      <ns0:c r="L355" s="77" t="n">
        <ns0:v>15.5</ns0:v>
      </ns0:c>
      <ns0:c r="M355" s="77" t="n">
        <ns0:v>12.9</ns0:v>
      </ns0:c>
      <ns0:c r="N355" s="74" t="inlineStr">
        <ns0:is>
          <ns0:t>N</ns0:t>
        </ns0:is>
      </ns0:c>
      <ns0:c r="O355" s="78" t="n">
        <ns0:v>83.2</ns0:v>
      </ns0:c>
      <ns0:c r="P355" s="78" t="n">
        <ns0:v>0</ns0:v>
      </ns0:c>
      <ns0:c r="Q355" s="79" t="n">
        <ns0:v>5075.4</ns0:v>
      </ns0:c>
      <ns0:c r="R355" s="74" t="inlineStr">
        <ns0:is>
          <ns0:t>derived:price x shares upon listing</ns0:t>
        </ns0:is>
      </ns0:c>
      <ns0:c r="S355" s="80" t="n">
        <ns0:v>4007.64</ns0:v>
      </ns0:c>
      <ns0:c r="T355" s="81" t="n">
        <ns0:v>0.99</ns0:v>
      </ns0:c>
      <ns0:c r="U355" s="82" t="n">
        <ns0:v>23.42</ns0:v>
      </ns0:c>
      <ns0:c r="V355" s="83" t="n">
        <ns0:v>152</ns0:v>
      </ns0:c>
      <ns0:c r="W355" s="78" t="n">
        <ns0:v>11.95</ns0:v>
      </ns0:c>
      <ns0:c r="X355" s="74" t="inlineStr">
        <ns0:is>
          <ns0:t>NO</ns0:t>
        </ns0:is>
      </ns0:c>
      <ns0:c r="Y355" s="79" t="n">
        <ns0:v>330.37</ns0:v>
      </ns0:c>
      <ns0:c r="Z355" s="79" t="n">
        <ns0:v>25610343</ns0:v>
      </ns0:c>
      <ns0:c r="AA355" s="78" t="n">
        <ns0:v>6.51</ns0:v>
      </ns0:c>
      <ns0:c r="AB355" s="74" t="inlineStr">
        <ns0:is>
          <ns0:t>Jiaxing Xinyang Private Equity Asset Management Co., Ltd. and Huatai Capital Investment Limited (in connection with Huatai Back-to-back TRS and Huatai Client TRS)</ns0:t>
        </ns0:is>
      </ns0:c>
      <ns0:c r="AC355" s="74" t="inlineStr">
        <ns0:is>
          <ns0:t>jiaxing</ns0:t>
        </ns0:is>
      </ns0:c>
      <ns0:c r="AD355" s="84" t="n"/>
      <ns0:c r="AE355" s="85" t="n"/>
      <ns0:c r="AF355" s="85" t="n"/>
      <ns0:c r="AG355" s="85" t="n"/>
      <ns0:c r="AH355" s="85" t="n"/>
      <ns0:c r="AI355" s="86" t="n">
        <ns0:v>162.64</ns0:v>
      </ns0:c>
      <ns0:c r="AJ355" s="87" t="n">
        <ns0:v>157.98</ns0:v>
      </ns0:c>
      <ns0:c r="AK355" s="87" t="n">
        <ns0:v>0.77</ns0:v>
      </ns0:c>
      <ns0:c r="AL355" s="87" t="n">
        <ns0:v>155.81</ns0:v>
      </ns0:c>
      <ns0:c r="AM355" s="87" t="n">
        <ns0:v>0.85</ns0:v>
      </ns0:c>
      <ns0:c r="AN355" s="89" t="n">
        <ns0:v>2.25</ns0:v>
      </ns0:c>
      <ns0:c r="AO355" s="78" t="n">
        <ns0:v>5.45</ns0:v>
      </ns0:c>
      <ns0:c r="AP355" s="87" t="n">
        <ns0:v>314.73</ns0:v>
      </ns0:c>
      <ns0:c r="AQ355" s="87" t="n">
        <ns0:v>261.09</ns0:v>
      </ns0:c>
      <ns0:c r="AR355" s="87" t="n">
        <ns0:v>212.71</ns0:v>
      </ns0:c>
      <ns0:c r="AS355" s="87" t="n">
        <ns0:v>60.76</ns0:v>
      </ns0:c>
      <ns0:c r="AT355" s="87" t="n">
        <ns0:v>39.97</ns0:v>
      </ns0:c>
      <ns0:c r="AU355" s="87" t="n">
        <ns0:v>21.21</ns0:v>
      </ns0:c>
      <ns0:c r="AV355" s="87" t="n">
        <ns0:v>307.69</ns0:v>
      </ns0:c>
      <ns0:c r="AW355" s="87" t="n">
        <ns0:v>248.23</ns0:v>
      </ns0:c>
      <ns0:c r="AX355" s="87" t="n">
        <ns0:v>212.81</ns0:v>
      </ns0:c>
      <ns0:c r="AY355" s="87" t="n">
        <ns0:v>27.97</ns0:v>
      </ns0:c>
      <ns0:c r="AZ355" s="87" t="n">
        <ns0:v>12.86</ns0:v>
      </ns0:c>
      <ns0:c r="BA355" s="87" t="n">
        <ns0:v>12</ns0:v>
      </ns0:c>
      <ns0:c r="BB355" s="74" t="inlineStr">
        <ns0:is>
          <ns0:t>China Biotech ETF (HS biotech proxy)</ns0:t>
        </ns0:is>
      </ns0:c>
      <ns0:c r="BC355" s="87" t="n">
        <ns0:v>127.29</ns0:v>
      </ns0:c>
      <ns0:c r="BD355" s="75" t="n">
        <ns0:v>46112</ns0:v>
      </ns0:c>
      <ns0:c r="BE355" s="76" t="n">
        <ns0:v>0.3</ns0:v>
      </ns0:c>
      <ns0:c r="BF355" s="79" t="n">
        <ns0:v>0</ns0:v>
      </ns0:c>
      <ns0:c r="BG355" s="74" t="inlineStr">
        <ns0:is>
          <ns0:t>N</ns0:t>
        </ns0:is>
      </ns0:c>
      <ns0:c r="BH355" s="74" t="inlineStr">
        <ns0:is>
          <ns0:t>n/m</ns0:t>
        </ns0:is>
      </ns0:c>
      <ns0:c r="BI355" s="88" t="n"/>
      <ns0:c r="BJ355" s="88" t="n"/>
      <ns0:c r="BK355" s="89" t="n">
        <ns0:v>16918</ns0:v>
      </ns0:c>
      <ns0:c r="BL355" s="90">
        <ns0:f>IFERROR(IF('BBG Verify'!S355="","Awaiting Bloomberg",'BBG Verify'!S355),"Awaiting Bloomberg")</ns0:f>
        <ns0:v/>
      </ns0:c>
      <ns0:c r="BM355" s="91" t="inlineStr">
        <ns0:is>
          <ns0:t>N</ns0:t>
        </ns0:is>
      </ns0:c>
      <ns0:c r="BN355" s="92">
        <ns0:f>IFERROR(IF('BBG Verify'!K355="","Awaiting Bloomberg",'BBG Verify'!K355),"Awaiting Bloomberg")</ns0:f>
        <ns0:v/>
      </ns0:c>
      <ns0:c r="BO355" s="74" t="inlineStr">
        <ns0:is>
          <ns0:t>N/A</ns0:t>
        </ns0:is>
      </ns0:c>
      <ns0:c r="BP355" s="74" t="inlineStr">
        <ns0:is>
          <ns0:t>N/A</ns0:t>
        </ns0:is>
      </ns0:c>
      <ns0:c r="BQ355" s="74" t="inlineStr">
        <ns0:is>
          <ns0:t>N/A</ns0:t>
        </ns0:is>
      </ns0:c>
      <ns0:c r="BR355" s="74" t="inlineStr">
        <ns0:is>
          <ns0:t>N/A</ns0:t>
        </ns0:is>
      </ns0:c>
      <ns0:c r="BS355" s="74" t="inlineStr">
        <ns0:is>
          <ns0:t>N/A</ns0:t>
        </ns0:is>
      </ns0:c>
      <ns0:c r="BT355" s="74" t="inlineStr">
        <ns0:is>
          <ns0:t>N/A</ns0:t>
        </ns0:is>
      </ns0:c>
      <ns0:c r="BU355" s="91" t="inlineStr">
        <ns0:is>
          <ns0:t>CITIC Securities (Hong Kong) Limited; CMB International Capital Limited</ns0:t>
        </ns0:is>
      </ns0:c>
      <ns0:c r="BV355" s="74" t="inlineStr">
        <ns0:is>
          <ns0:t>CITIC Securities (Hong Kong) Limited; CMB International Capital Limited</ns0:t>
        </ns0:is>
      </ns0:c>
      <ns0:c r="BW355" s="74" t="inlineStr">
        <ns0:is>
          <ns0:t>CLSA Limited; CMB International Capital Limited; Livermore Holdings Limited; Funde Securities Limited; Aristo Securities Limited; BOCI Asia Limited; ICBC International Securities Limited</ns0:t>
        </ns0:is>
      </ns0:c>
      <ns0:c r="BX355" s="74" t="inlineStr">
        <ns0:is>
          <ns0:t>Aristo Securities Limited; BOCI Asia Limited; CLSA Limited; CMB International Capital Limited; Funde Securities Limited; ICBC International Securities Limited; Livermore Holdings Limited</ns0:t>
        </ns0:is>
      </ns0:c>
      <ns0:c r="BY355" s="93">
        <ns0:f>HYPERLINK("https://www1.hkexnews.hk/listedco/listconews/sehk/2025/0731/2025073100087.pdf","prospectus")</ns0:f>
        <ns0:v/>
      </ns0:c>
      <ns0:c r="BZ355" s="93">
        <ns0:f>HYPERLINK("https://www1.hkexnews.hk/listedco/listconews/sehk/2025/0808/2025080801368.pdf","allotment")</ns0:f>
        <ns0:v/>
      </ns0:c>
      <ns0:c r="CA355" s="85" t="n"/>
      <ns0:c r="CB355" s="94" t="n"/>
      <ns0:c r="CC355" s="74" t="inlineStr">
        <ns0:is>
          <ns0:t>P/E: loss-making at IPO, use P/S; greenshoe: no over-allotment option; greenshoe size: no over-allotment option; P/S: 16,918x on HK$0.3m revenue, effectively pre-revenue; not comparable; stabilising manager: filing states none appointed (allotment announcement: 'no stabilizing manager will be appointed' stated in the filing); price series: last available quoted close 2026-03-31; may be suspended, delisted or a source gap; price and benchmark end on that date</ns0:t>
        </ns0:is>
      </ns0:c>
    </ns0:row>
    <ns0:row r="356" ht="22" customHeight="1">
      <ns0:c r="A356" s="73" t="inlineStr">
        <ns0:is>
          <ns0:t>2591</ns0:t>
        </ns0:is>
      </ns0:c>
      <ns0:c r="B356" s="74" t="inlineStr">
        <ns0:is>
          <ns0:t>INNOGEN-B</ns0:t>
        </ns0:is>
      </ns0:c>
      <ns0:c r="C356" s="74" t="inlineStr">
        <ns0:is>
          <ns0:t>銀諾醫藥－Ｂ</ns0:t>
        </ns0:is>
      </ns0:c>
      <ns0:c r="D356" s="74" t="inlineStr">
        <ns0:is>
          <ns0:t>Healthcare</ns0:t>
        </ns0:is>
      </ns0:c>
      <ns0:c r="E356" s="74" t="inlineStr">
        <ns0:is>
          <ns0:t>Biotech pre-revenue (18A)</ns0:t>
        </ns0:is>
      </ns0:c>
      <ns0:c r="F356" s="74" t="inlineStr">
        <ns0:is>
          <ns0:t>Pharmaceuticals</ns0:t>
        </ns0:is>
      </ns0:c>
      <ns0:c r="G356" s="74" t="inlineStr">
        <ns0:is>
          <ns0:t>18A</ns0:t>
        </ns0:is>
      </ns0:c>
      <ns0:c r="H356" s="75" t="n">
        <ns0:v>45884</ns0:v>
      </ns0:c>
      <ns0:c r="I356" s="76" t="n">
        <ns0:v>682.9</ns0:v>
      </ns0:c>
      <ns0:c r="J356" s="74" t="inlineStr">
        <ns0:is>
          <ns0:t>gross (stated)</ns0:t>
        </ns0:is>
      </ns0:c>
      <ns0:c r="K356" s="95" t="n"/>
      <ns0:c r="L356" s="77" t="n">
        <ns0:v>18.68</ns0:v>
      </ns0:c>
      <ns0:c r="M356" s="77" t="n">
        <ns0:v>18.68</ns0:v>
      </ns0:c>
      <ns0:c r="N356" s="74" t="inlineStr">
        <ns0:is>
          <ns0:t>Y</ns0:t>
        </ns0:is>
      </ns0:c>
      <ns0:c r="O356" s="78" t="n">
        <ns0:v>100</ns0:v>
      </ns0:c>
      <ns0:c r="P356" s="84" t="n"/>
      <ns0:c r="Q356" s="79" t="n">
        <ns0:v>8533.4</ns0:v>
      </ns0:c>
      <ns0:c r="R356" s="74" t="inlineStr">
        <ns0:is>
          <ns0:t>derived:price x shares upon listing</ns0:t>
        </ns0:is>
      </ns0:c>
      <ns0:c r="S356" s="80" t="n">
        <ns0:v>5341.66</ns0:v>
      </ns0:c>
      <ns0:c r="T356" s="81" t="n">
        <ns0:v>10.67</ns0:v>
      </ns0:c>
      <ns0:c r="U356" s="82" t="n">
        <ns0:v>11.49</ns0:v>
      </ns0:c>
      <ns0:c r="V356" s="83" t="n">
        <ns0:v>143</ns0:v>
      </ns0:c>
      <ns0:c r="W356" s="78" t="n">
        <ns0:v>10</ns0:v>
      </ns0:c>
      <ns0:c r="X356" s="74" t="inlineStr">
        <ns0:is>
          <ns0:t>NA</ns0:t>
        </ns0:is>
      </ns0:c>
      <ns0:c r="Y356" s="79" t="n">
        <ns0:v>604.4299999999999</ns0:v>
      </ns0:c>
      <ns0:c r="Z356" s="79" t="n">
        <ns0:v>32356070</ns0:v>
      </ns0:c>
      <ns0:c r="AA356" s="78" t="n">
        <ns0:v>7.08</ns0:v>
      </ns0:c>
      <ns0:c r="AB356" s="74" t="inlineStr">
        <ns0:is>
          <ns0:t>June Star Global Limited; Ginkgo Capital Global Fund SPC-XtalPi AI Fund SP; Marketingforce Management Ltd; DENG Haifeng (ࢤ; LI Huifeng</ns0:t>
        </ns0:is>
      </ns0:c>
      <ns0:c r="AC356" s="74" t="inlineStr">
        <ns0:is>
          <ns0:t>june;ginkgo;marketingforce;deng-haifeng;li-huifeng</ns0:t>
        </ns0:is>
      </ns0:c>
      <ns0:c r="AD356" s="78" t="n">
        <ns0:v>11.19</ns0:v>
      </ns0:c>
      <ns0:c r="AE356" s="85" t="n"/>
      <ns0:c r="AF356" s="85" t="n"/>
      <ns0:c r="AG356" s="74" t="inlineStr">
        <ns0:is>
          <ns0:t>CLSA Limited</ns0:t>
        </ns0:is>
      </ns0:c>
      <ns0:c r="AH356" s="74" t="inlineStr">
        <ns0:is>
          <ns0:t>CLSA</ns0:t>
        </ns0:is>
      </ns0:c>
      <ns0:c r="AI356" s="86" t="n">
        <ns0:v>274.73</ns0:v>
      </ns0:c>
      <ns0:c r="AJ356" s="87" t="n">
        <ns0:v>206.48</ns0:v>
      </ns0:c>
      <ns0:c r="AK356" s="87" t="n">
        <ns0:v>1.42</ns0:v>
      </ns0:c>
      <ns0:c r="AL356" s="87" t="n">
        <ns0:v>285.44</ns0:v>
      </ns0:c>
      <ns0:c r="AM356" s="87" t="n">
        <ns0:v>-20.49</ns0:v>
      </ns0:c>
      <ns0:c r="AN356" s="89" t="n">
        <ns0:v>4.44</ns0:v>
      </ns0:c>
      <ns0:c r="AO356" s="78" t="n">
        <ns0:v>34.03</ns0:v>
      </ns0:c>
      <ns0:c r="AP356" s="87" t="n">
        <ns0:v>183.73</ns0:v>
      </ns0:c>
      <ns0:c r="AQ356" s="87" t="n">
        <ns0:v>137.37</ns0:v>
      </ns0:c>
      <ns0:c r="AR356" s="87" t="n">
        <ns0:v>84.58</ns0:v>
      </ns0:c>
      <ns0:c r="AS356" s="87" t="n">
        <ns0:v>-7.42</ns0:v>
      </ns0:c>
      <ns0:c r="AT356" s="87" t="n">
        <ns0:v>-22.55</ns0:v>
      </ns0:c>
      <ns0:c r="AU356" s="87" t="n">
        <ns0:v>-39.77</ns0:v>
      </ns0:c>
      <ns0:c r="AV356" s="87" t="n">
        <ns0:v>180.94</ns0:v>
      </ns0:c>
      <ns0:c r="AW356" s="87" t="n">
        <ns0:v>131.52</ns0:v>
      </ns0:c>
      <ns0:c r="AX356" s="87" t="n">
        <ns0:v>86.28</ns0:v>
      </ns0:c>
      <ns0:c r="AY356" s="87" t="n">
        <ns0:v>-26.92</ns0:v>
      </ns0:c>
      <ns0:c r="AZ356" s="87" t="n">
        <ns0:v>5.85</ns0:v>
      </ns0:c>
      <ns0:c r="BA356" s="87" t="n">
        <ns0:v>4.37</ns0:v>
      </ns0:c>
      <ns0:c r="BB356" s="74" t="inlineStr">
        <ns0:is>
          <ns0:t>China Biotech ETF (HS biotech proxy)</ns0:t>
        </ns0:is>
      </ns0:c>
      <ns0:c r="BC356" s="87" t="n">
        <ns0:v>-80.03</ns0:v>
      </ns0:c>
      <ns0:c r="BD356" s="75" t="n">
        <ns0:v>46297</ns0:v>
      </ns0:c>
      <ns0:c r="BE356" s="76" t="n">
        <ns0:v>42</ns0:v>
      </ns0:c>
      <ns0:c r="BF356" s="79" t="n">
        <ns0:v>-68.09999999999999</ns0:v>
      </ns0:c>
      <ns0:c r="BG356" s="74" t="inlineStr">
        <ns0:is>
          <ns0:t>N</ns0:t>
        </ns0:is>
      </ns0:c>
      <ns0:c r="BH356" s="74" t="inlineStr">
        <ns0:is>
          <ns0:t>n/m</ns0:t>
        </ns0:is>
      </ns0:c>
      <ns0:c r="BI356" s="88" t="n"/>
      <ns0:c r="BJ356" s="88" t="n"/>
      <ns0:c r="BK356" s="89" t="n">
        <ns0:v>203.2</ns0:v>
      </ns0:c>
      <ns0:c r="BL356" s="90">
        <ns0:f>IFERROR(IF('BBG Verify'!S356="","Awaiting Bloomberg",'BBG Verify'!S356),"Awaiting Bloomberg")</ns0:f>
        <ns0:v/>
      </ns0:c>
      <ns0:c r="BM356" s="91" t="inlineStr">
        <ns0:is>
          <ns0:t>N</ns0:t>
        </ns0:is>
      </ns0:c>
      <ns0:c r="BN356" s="92">
        <ns0:f>IFERROR(IF('BBG Verify'!K356="","Awaiting Bloomberg",'BBG Verify'!K356),"Awaiting Bloomberg")</ns0:f>
        <ns0:v/>
      </ns0:c>
      <ns0:c r="BO356" s="74" t="inlineStr">
        <ns0:is>
          <ns0:t>N/A</ns0:t>
        </ns0:is>
      </ns0:c>
      <ns0:c r="BP356" s="74" t="inlineStr">
        <ns0:is>
          <ns0:t>N/A</ns0:t>
        </ns0:is>
      </ns0:c>
      <ns0:c r="BQ356" s="74" t="inlineStr">
        <ns0:is>
          <ns0:t>N/A</ns0:t>
        </ns0:is>
      </ns0:c>
      <ns0:c r="BR356" s="74" t="inlineStr">
        <ns0:is>
          <ns0:t>N/A</ns0:t>
        </ns0:is>
      </ns0:c>
      <ns0:c r="BS356" s="74" t="inlineStr">
        <ns0:is>
          <ns0:t>N/A</ns0:t>
        </ns0:is>
      </ns0:c>
      <ns0:c r="BT356" s="74" t="inlineStr">
        <ns0:is>
          <ns0:t>N/A</ns0:t>
        </ns0:is>
      </ns0:c>
      <ns0:c r="BU356" s="91" t="inlineStr">
        <ns0:is>
          <ns0:t>CITIC Securities (Hong Kong) Limited; China International Capital Corporation Hong Kong Securities Limited</ns0:t>
        </ns0:is>
      </ns0:c>
      <ns0:c r="BV356" s="74" t="inlineStr">
        <ns0:is>
          <ns0:t>China International Capital Corporation Hong Kong Securities Limited; CITIC Securities (Hong Kong) Limited</ns0:t>
        </ns0:is>
      </ns0:c>
      <ns0:c r="BW356" s="74" t="inlineStr">
        <ns0:is>
          <ns0: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ns0:t>
        </ns0:is>
      </ns0:c>
      <ns0:c r="BX356" s="74" t="inlineStr">
        <ns0:is>
          <ns0: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ns0:t>
        </ns0:is>
      </ns0:c>
      <ns0:c r="BY356" s="93">
        <ns0:f>HYPERLINK("https://www1.hkexnews.hk/listedco/listconews/sehk/2025/0807/2025080700013.pdf","prospectus")</ns0:f>
        <ns0:v/>
      </ns0:c>
      <ns0:c r="BZ356" s="93">
        <ns0:f>HYPERLINK("https://www1.hkexnews.hk/listedco/listconews/sehk/2025/0814/2025081401622.pdf","allotment")</ns0:f>
        <ns0:v/>
      </ns0:c>
      <ns0:c r="CA356" s="85" t="n"/>
      <ns0:c r="CB356" s="94" t="n"/>
      <ns0:c r="CC356" s="74" t="inlineStr">
        <ns0:is>
          <ns0:t>P/E: loss-making at IPO, use P/S; greenshoe: end-of-stabilisation notice not found; range low: maximum offer price only, no floor published</ns0:t>
        </ns0:is>
      </ns0:c>
    </ns0:row>
    <ns0:row r="357" ht="22" customHeight="1">
      <ns0:c r="A357" s="73" t="inlineStr">
        <ns0:is>
          <ns0:t>2631</ns0:t>
        </ns0:is>
      </ns0:c>
      <ns0:c r="B357" s="74" t="inlineStr">
        <ns0:is>
          <ns0:t>SICC</ns0:t>
        </ns0:is>
      </ns0:c>
      <ns0:c r="C357" s="74" t="inlineStr">
        <ns0:is>
          <ns0:t>天岳先進</ns0:t>
        </ns0:is>
      </ns0:c>
      <ns0:c r="D357" s="74" t="inlineStr">
        <ns0:is>
          <ns0:t>Technology</ns0:t>
        </ns0:is>
      </ns0:c>
      <ns0:c r="E357" s="74" t="inlineStr">
        <ns0:is>
          <ns0:t>Semiconductors</ns0:t>
        </ns0:is>
      </ns0:c>
      <ns0:c r="F357" s="74" t="inlineStr">
        <ns0:is>
          <ns0:t>Semiconductors &amp; Semiconductor Equipment</ns0:t>
        </ns0:is>
      </ns0:c>
      <ns0:c r="G357" s="74" t="inlineStr">
        <ns0:is>
          <ns0:t>Standard</ns0:t>
        </ns0:is>
      </ns0:c>
      <ns0:c r="H357" s="75" t="n">
        <ns0:v>45889</ns0:v>
      </ns0:c>
      <ns0:c r="I357" s="76" t="n">
        <ns0:v>2043.5</ns0:v>
      </ns0:c>
      <ns0:c r="J357" s="74" t="inlineStr">
        <ns0:is>
          <ns0:t>gross (stated)</ns0:t>
        </ns0:is>
      </ns0:c>
      <ns0:c r="K357" s="95" t="n"/>
      <ns0:c r="L357" s="77" t="n">
        <ns0:v>42.8</ns0:v>
      </ns0:c>
      <ns0:c r="M357" s="77" t="n">
        <ns0:v>42.8</ns0:v>
      </ns0:c>
      <ns0:c r="N357" s="74" t="inlineStr">
        <ns0:is>
          <ns0:t>Y</ns0:t>
        </ns0:is>
      </ns0:c>
      <ns0:c r="O357" s="78" t="n">
        <ns0:v>100</ns0:v>
      </ns0:c>
      <ns0:c r="P357" s="84" t="n"/>
      <ns0:c r="Q357" s="79" t="n">
        <ns0:v>18084.1</ns0:v>
      </ns0:c>
      <ns0:c r="R357" s="74" t="inlineStr">
        <ns0:is>
          <ns0:t>derived:deal size / offer % of enlarged capital</ns0:t>
        </ns0:is>
      </ns0:c>
      <ns0:c r="S357" s="80" t="n">
        <ns0:v>2809.19</ns0:v>
      </ns0:c>
      <ns0:c r="T357" s="81" t="n">
        <ns0:v>9.039999999999999</ns0:v>
      </ns0:c>
      <ns0:c r="U357" s="82" t="n">
        <ns0:v>36.2</ns0:v>
      </ns0:c>
      <ns0:c r="V357" s="83" t="n">
        <ns0:v>146</ns0:v>
      </ns0:c>
      <ns0:c r="W357" s="78" t="n">
        <ns0:v>35</ns0:v>
      </ns0:c>
      <ns0:c r="X357" s="74" t="inlineStr">
        <ns0:is>
          <ns0:t>YES</ns0:t>
        </ns0:is>
      </ns0:c>
      <ns0:c r="Y357" s="79" t="n">
        <ns0:v>1303.75</ns0:v>
      </ns0:c>
      <ns0:c r="Z357" s="79" t="n">
        <ns0:v>30461757</ns0:v>
      </ns0:c>
      <ns0:c r="AA357" s="78" t="n">
        <ns0:v>7.21</ns0:v>
      </ns0:c>
      <ns0:c r="AB357" s="74" t="inlineStr">
        <ns0:is>
          <ns0:t>H&amp;T Intelligent Control International Co., Limited; Mr. Lan Kun ( ᚆտ)</ns0:t>
        </ns0:is>
      </ns0:c>
      <ns0:c r="AC357" s="74" t="inlineStr">
        <ns0:is>
          <ns0:t>intelligent;mr-lan</ns0:t>
        </ns0:is>
      </ns0:c>
      <ns0:c r="AD357" s="78" t="n">
        <ns0:v>15</ns0:v>
      </ns0:c>
      <ns0:c r="AE357" s="74" t="inlineStr">
        <ns0:is>
          <ns0:t>full</ns0:t>
        </ns0:is>
      </ns0:c>
      <ns0:c r="AF357" s="74" t="inlineStr">
        <ns0:is>
          <ns0:t>2025-09-14</ns0:t>
        </ns0:is>
      </ns0:c>
      <ns0:c r="AG357" s="74" t="inlineStr">
        <ns0:is>
          <ns0:t>China International Capital Corporation Hong Kong Securities Limited</ns0:t>
        </ns0:is>
      </ns0:c>
      <ns0:c r="AH357" s="74" t="inlineStr">
        <ns0:is>
          <ns0:t>China International</ns0:t>
        </ns0:is>
      </ns0:c>
      <ns0:c r="AI357" s="86" t="n">
        <ns0:v>12.06</ns0:v>
      </ns0:c>
      <ns0:c r="AJ357" s="87" t="n">
        <ns0:v>6.4</ns0:v>
      </ns0:c>
      <ns0:c r="AK357" s="87" t="n">
        <ns0:v>-0.09</ns0:v>
      </ns0:c>
      <ns0:c r="AL357" s="87" t="n">
        <ns0:v>6.54</ns0:v>
      </ns0:c>
      <ns0:c r="AM357" s="87" t="n">
        <ns0:v>-0.13</ns0:v>
      </ns0:c>
      <ns0:c r="AN357" s="89" t="n">
        <ns0:v>1.55</ns0:v>
      </ns0:c>
      <ns0:c r="AO357" s="78" t="n">
        <ns0:v>7.02</ns0:v>
      </ns0:c>
      <ns0:c r="AP357" s="87" t="n">
        <ns0:v>2.34</ns0:v>
      </ns0:c>
      <ns0:c r="AQ357" s="87" t="n">
        <ns0:v>42.29</ns0:v>
      </ns0:c>
      <ns0:c r="AR357" s="87" t="n">
        <ns0:v>23.25</ns0:v>
      </ns0:c>
      <ns0:c r="AS357" s="87" t="n">
        <ns0:v>-3.82</ns0:v>
      </ns0:c>
      <ns0:c r="AT357" s="87" t="n">
        <ns0:v>33.73</ns0:v>
      </ns0:c>
      <ns0:c r="AU357" s="87" t="n">
        <ns0:v>15.84</ns0:v>
      </ns0:c>
      <ns0:c r="AV357" s="87" t="n">
        <ns0:v>-0.41</ns0:v>
      </ns0:c>
      <ns0:c r="AW357" s="87" t="n">
        <ns0:v>29.25</ns0:v>
      </ns0:c>
      <ns0:c r="AX357" s="87" t="n">
        <ns0:v>22.79</ns0:v>
      </ns0:c>
      <ns0:c r="AY357" s="87" t="n">
        <ns0:v>20.59</ns0:v>
      </ns0:c>
      <ns0:c r="AZ357" s="87" t="n">
        <ns0:v>13.04</ns0:v>
      </ns0:c>
      <ns0:c r="BA357" s="87" t="n">
        <ns0:v>13.14</ns0:v>
      </ns0:c>
      <ns0:c r="BB357" s="74" t="inlineStr">
        <ns0:is>
          <ns0:t>HSTECH (Hang Seng TECH ETF)</ns0:t>
        </ns0:is>
      </ns0:c>
      <ns0:c r="BC357" s="87" t="n">
        <ns0:v>60.28</ns0:v>
      </ns0:c>
      <ns0:c r="BD357" s="75" t="n">
        <ns0:v>46297</ns0:v>
      </ns0:c>
      <ns0:c r="BE357" s="76" t="n">
        <ns0:v>1945</ns0:v>
      </ns0:c>
      <ns0:c r="BF357" s="79" t="n">
        <ns0:v>196.9</ns0:v>
      </ns0:c>
      <ns0:c r="BG357" s="74" t="inlineStr">
        <ns0:is>
          <ns0:t>Y</ns0:t>
        </ns0:is>
      </ns0:c>
      <ns0:c r="BH357" s="89" t="n">
        <ns0:v>91.8</ns0:v>
      </ns0:c>
      <ns0:c r="BI357" s="89" t="n">
        <ns0:v>203.2</ns0:v>
      </ns0:c>
      <ns0:c r="BJ357" s="88" t="n"/>
      <ns0:c r="BK357" s="89" t="n">
        <ns0:v>9.300000000000001</ns0:v>
      </ns0:c>
      <ns0:c r="BL357" s="90">
        <ns0:f>IFERROR(IF('BBG Verify'!S357="","Awaiting Bloomberg",'BBG Verify'!S357),"Awaiting Bloomberg")</ns0:f>
        <ns0:v/>
      </ns0:c>
      <ns0:c r="BM357" s="91" t="inlineStr">
        <ns0:is>
          <ns0:t>Y</ns0:t>
        </ns0:is>
      </ns0:c>
      <ns0:c r="BN357" s="74" t="inlineStr">
        <ns0:is>
          <ns0:t>688234.SS</ns0:t>
        </ns0:is>
      </ns0:c>
      <ns0:c r="BO357" s="87" t="n">
        <ns0:v>70.04000000000001</ns0:v>
      </ns0:c>
      <ns0:c r="BP357" s="77" t="n">
        <ns0:v>72.779</ns0:v>
      </ns0:c>
      <ns0:c r="BQ357" s="101" t="n">
        <ns0:v>0.7806</ns0:v>
      </ns0:c>
      <ns0:c r="BR357" s="79" t="n">
        <ns0:v>59225.7</ns0:v>
      </ns0:c>
      <ns0:c r="BS357" s="90">
        <ns0:f>IFERROR(IF('BBG Verify'!Q357="","Awaiting Bloomberg",'BBG Verify'!Q357),"Awaiting Bloomberg")</ns0:f>
        <ns0:v/>
      </ns0:c>
      <ns0:c r="BT357" s="90">
        <ns0:f>IFERROR(IF('BBG Verify'!R357="","Awaiting Bloomberg",'BBG Verify'!R357),"Awaiting Bloomberg")</ns0:f>
        <ns0:v/>
      </ns0:c>
      <ns0:c r="BU357" s="91" t="inlineStr">
        <ns0:is>
          <ns0:t>China International Capital Corporation Hong Kong Securities Limited; CITIC Securities (Hong Kong) Limited; CLSA Limited</ns0:t>
        </ns0:is>
      </ns0:c>
      <ns0:c r="BV357" s="74" t="inlineStr">
        <ns0:is>
          <ns0:t>China International Capital Corporation Hong Kong Securities Limited; CITIC Securities (Hong Kong) Limited</ns0:t>
        </ns0:is>
      </ns0:c>
      <ns0:c r="BW357" s="74" t="inlineStr">
        <ns0:is>
          <ns0: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ns0:t>
        </ns0:is>
      </ns0:c>
      <ns0:c r="BX357" s="74" t="inlineStr">
        <ns0:is>
          <ns0: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ns0:t>
        </ns0:is>
      </ns0:c>
      <ns0:c r="BY357" s="93">
        <ns0:f>HYPERLINK("https://www1.hkexnews.hk/listedco/listconews/sehk/2025/0811/2025081100005.pdf","prospectus")</ns0:f>
        <ns0:v/>
      </ns0:c>
      <ns0:c r="BZ357" s="93">
        <ns0:f>HYPERLINK("https://www1.hkexnews.hk/listedco/listconews/sehk/2025/0819/2025081901728.pdf","allotment")</ns0:f>
        <ns0:v/>
      </ns0:c>
      <ns0:c r="CA357" s="93">
        <ns0:f>HYPERLINK("https://www1.hkexnews.hk/listedco/listconews/sehk/2025/0914/2025091400109.pdf","stabilisation")</ns0:f>
        <ns0:v/>
      </ns0:c>
      <ns0:c r="CB357" s="94" t="n"/>
      <ns0:c r="CC357" s="74" t="inlineStr">
        <ns0:is>
          <ns0:t>range low: maximum offer price only, no floor published; A/H: Aug 2025 H listing (SiC substrates)</ns0:t>
        </ns0:is>
      </ns0:c>
    </ns0:row>
    <ns0:row r="358" ht="22" customHeight="1">
      <ns0:c r="A358" s="73" t="inlineStr">
        <ns0:is>
          <ns0:t>6960</ns0:t>
        </ns0:is>
      </ns0:c>
      <ns0:c r="B358" s="74" t="inlineStr">
        <ns0:is>
          <ns0:t>SHUANGDENG</ns0:t>
        </ns0:is>
      </ns0:c>
      <ns0:c r="C358" s="74" t="inlineStr">
        <ns0:is>
          <ns0:t>雙登股份</ns0:t>
        </ns0:is>
      </ns0:c>
      <ns0:c r="D358" s="74" t="inlineStr">
        <ns0:is>
          <ns0:t>Industrials</ns0:t>
        </ns0:is>
      </ns0:c>
      <ns0:c r="E358" s="74" t="inlineStr">
        <ns0:is>
          <ns0:t>Batteries / energy storage</ns0:t>
        </ns0:is>
      </ns0:c>
      <ns0:c r="F358" s="74" t="inlineStr">
        <ns0:is>
          <ns0:t>Battery Products</ns0:t>
        </ns0:is>
      </ns0:c>
      <ns0:c r="G358" s="74" t="inlineStr">
        <ns0:is>
          <ns0:t>Standard</ns0:t>
        </ns0:is>
      </ns0:c>
      <ns0:c r="H358" s="75" t="n">
        <ns0:v>45895</ns0:v>
      </ns0:c>
      <ns0:c r="I358" s="76" t="n">
        <ns0:v>849.66</ns0:v>
      </ns0:c>
      <ns0:c r="J358" s="74" t="inlineStr">
        <ns0:is>
          <ns0:t>gross (stated)</ns0:t>
        </ns0:is>
      </ns0:c>
      <ns0:c r="K358" s="95" t="n"/>
      <ns0:c r="L358" s="77" t="n">
        <ns0:v>14.51</ns0:v>
      </ns0:c>
      <ns0:c r="M358" s="77" t="n">
        <ns0:v>14.51</ns0:v>
      </ns0:c>
      <ns0:c r="N358" s="74" t="inlineStr">
        <ns0:is>
          <ns0:t>Y</ns0:t>
        </ns0:is>
      </ns0:c>
      <ns0:c r="O358" s="78" t="n">
        <ns0:v>100</ns0:v>
      </ns0:c>
      <ns0:c r="P358" s="84" t="n"/>
      <ns0:c r="Q358" s="79" t="n">
        <ns0:v>6048.1</ns0:v>
      </ns0:c>
      <ns0:c r="R358" s="74" t="inlineStr">
        <ns0:is>
          <ns0:t>prospectus:stated market capitalisation</ns0:t>
        </ns0:is>
      </ns0:c>
      <ns0:c r="S358" s="80" t="n">
        <ns0:v>3876.25</ns0:v>
      </ns0:c>
      <ns0:c r="T358" s="81" t="n">
        <ns0:v>18.75</ns0:v>
      </ns0:c>
      <ns0:c r="U358" s="82" t="n">
        <ns0:v>28.1</ns0:v>
      </ns0:c>
      <ns0:c r="V358" s="83" t="n">
        <ns0:v>137</ns0:v>
      </ns0:c>
      <ns0:c r="W358" s="78" t="n">
        <ns0:v>10</ns0:v>
      </ns0:c>
      <ns0:c r="X358" s="74" t="inlineStr">
        <ns0:is>
          <ns0:t>NO</ns0:t>
        </ns0:is>
      </ns0:c>
      <ns0:c r="Y358" s="79" t="n">
        <ns0:v>610.91</ns0:v>
      </ns0:c>
      <ns0:c r="Z358" s="79" t="n">
        <ns0:v>42102483</ns0:v>
      </ns0:c>
      <ns0:c r="AA358" s="78" t="n">
        <ns0:v>10.1</ns0:v>
      </ns0:c>
      <ns0:c r="AB358" s="74" t="inlineStr">
        <ns0:is>
          <ns0:t>Sanshui Venture Capital Co., Limited</ns0:t>
        </ns0:is>
      </ns0:c>
      <ns0:c r="AC358" s="74" t="inlineStr">
        <ns0:is>
          <ns0:t>sanshui</ns0:t>
        </ns0:is>
      </ns0:c>
      <ns0:c r="AD358" s="78" t="n">
        <ns0:v>15</ns0:v>
      </ns0:c>
      <ns0:c r="AE358" s="74" t="inlineStr">
        <ns0:is>
          <ns0:t>full</ns0:t>
        </ns0:is>
      </ns0:c>
      <ns0:c r="AF358" s="85" t="n"/>
      <ns0:c r="AG358" s="85" t="n"/>
      <ns0:c r="AH358" s="85" t="n"/>
      <ns0:c r="AI358" s="86" t="n">
        <ns0:v>72.98</ns0:v>
      </ns0:c>
      <ns0:c r="AJ358" s="87" t="n">
        <ns0:v>31.29</ns0:v>
      </ns0:c>
      <ns0:c r="AK358" s="87" t="n">
        <ns0:v>-0.9</ns0:v>
      </ns0:c>
      <ns0:c r="AL358" s="87" t="n">
        <ns0:v>55.07</ns0:v>
      </ns0:c>
      <ns0:c r="AM358" s="87" t="n">
        <ns0:v>-15.34</ns0:v>
      </ns0:c>
      <ns0:c r="AN358" s="89" t="n">
        <ns0:v>7.41</ns0:v>
      </ns0:c>
      <ns0:c r="AO358" s="78" t="n">
        <ns0:v>19.2</ns0:v>
      </ns0:c>
      <ns0:c r="AP358" s="87" t="n">
        <ns0:v>20.06</ns0:v>
      </ns0:c>
      <ns0:c r="AQ358" s="87" t="n">
        <ns0:v>24.4</ns0:v>
      </ns0:c>
      <ns0:c r="AR358" s="87" t="n">
        <ns0:v>20.06</ns0:v>
      </ns0:c>
      <ns0:c r="AS358" s="87" t="n">
        <ns0:v>-8.550000000000001</ns0:v>
      </ns0:c>
      <ns0:c r="AT358" s="87" t="n">
        <ns0:v>-5.25</ns0:v>
      </ns0:c>
      <ns0:c r="AU358" s="87" t="n">
        <ns0:v>-8.550000000000001</ns0:v>
      </ns0:c>
      <ns0:c r="AV358" s="87" t="n">
        <ns0:v>20.83</ns0:v>
      </ns0:c>
      <ns0:c r="AW358" s="87" t="n">
        <ns0:v>18.63</ns0:v>
      </ns0:c>
      <ns0:c r="AX358" s="87" t="n">
        <ns0:v>22.09</ns0:v>
      </ns0:c>
      <ns0:c r="AY358" s="87" t="n">
        <ns0:v>-11.99</ns0:v>
      </ns0:c>
      <ns0:c r="AZ358" s="87" t="n">
        <ns0:v>5.77</ns0:v>
      </ns0:c>
      <ns0:c r="BA358" s="87" t="n">
        <ns0:v>6.74</ns0:v>
      </ns0:c>
      <ns0:c r="BB358" s="74" t="inlineStr">
        <ns0:is>
          <ns0:t>Hang Seng Commerce &amp; Industry sub-index</ns0:t>
        </ns0:is>
      </ns0:c>
      <ns0:c r="BC358" s="87" t="n">
        <ns0:v>-59.51</ns0:v>
      </ns0:c>
      <ns0:c r="BD358" s="75" t="n">
        <ns0:v>46297</ns0:v>
      </ns0:c>
      <ns0:c r="BE358" s="76" t="n">
        <ns0:v>4948.4</ns0:v>
      </ns0:c>
      <ns0:c r="BF358" s="79" t="n">
        <ns0:v>388.7</ns0:v>
      </ns0:c>
      <ns0:c r="BG358" s="74" t="inlineStr">
        <ns0:is>
          <ns0:t>Y</ns0:t>
        </ns0:is>
      </ns0:c>
      <ns0:c r="BH358" s="89" t="n">
        <ns0:v>15.6</ns0:v>
      </ns0:c>
      <ns0:c r="BI358" s="88" t="n"/>
      <ns0:c r="BJ358" s="89" t="n">
        <ns0:v>10.2</ns0:v>
      </ns0:c>
      <ns0:c r="BK358" s="89" t="n">
        <ns0:v>1.2</ns0:v>
      </ns0:c>
      <ns0:c r="BL358" s="90">
        <ns0:f>IFERROR(IF('BBG Verify'!S358="","Awaiting Bloomberg",'BBG Verify'!S358),"Awaiting Bloomberg")</ns0:f>
        <ns0:v/>
      </ns0:c>
      <ns0:c r="BM358" s="91" t="inlineStr">
        <ns0:is>
          <ns0:t>N</ns0:t>
        </ns0:is>
      </ns0:c>
      <ns0:c r="BN358" s="92">
        <ns0:f>IFERROR(IF('BBG Verify'!K358="","Awaiting Bloomberg",'BBG Verify'!K358),"Awaiting Bloomberg")</ns0:f>
        <ns0:v/>
      </ns0:c>
      <ns0:c r="BO358" s="74" t="inlineStr">
        <ns0:is>
          <ns0:t>N/A</ns0:t>
        </ns0:is>
      </ns0:c>
      <ns0:c r="BP358" s="74" t="inlineStr">
        <ns0:is>
          <ns0:t>N/A</ns0:t>
        </ns0:is>
      </ns0:c>
      <ns0:c r="BQ358" s="74" t="inlineStr">
        <ns0:is>
          <ns0:t>N/A</ns0:t>
        </ns0:is>
      </ns0:c>
      <ns0:c r="BR358" s="74" t="inlineStr">
        <ns0:is>
          <ns0:t>N/A</ns0:t>
        </ns0:is>
      </ns0:c>
      <ns0:c r="BS358" s="74" t="inlineStr">
        <ns0:is>
          <ns0:t>N/A</ns0:t>
        </ns0:is>
      </ns0:c>
      <ns0:c r="BT358" s="74" t="inlineStr">
        <ns0:is>
          <ns0:t>N/A</ns0:t>
        </ns0:is>
      </ns0:c>
      <ns0:c r="BU358" s="91" t="inlineStr">
        <ns0:is>
          <ns0:t>China International Capital Corporation Hong Kong Securities Limited; Huatai Financial Holdings (Hong Kong) Limited; CCB International Capital Limited</ns0:t>
        </ns0:is>
      </ns0:c>
      <ns0:c r="BV358" s="74" t="inlineStr">
        <ns0:is>
          <ns0:t>China International Capital Corporation Hong Kong Securities Limited; CCB International Capital Limited; Huatai Financial Holdings (Hong Kong) Limited</ns0:t>
        </ns0:is>
      </ns0:c>
      <ns0:c r="BW358" s="74" t="inlineStr">
        <ns0:is>
          <ns0:t>China International Capital Corporation Hong Kong Securities Limited; Huatai Financial Holdings (Hong Kong) Limited; CCB International Capital Limited; ICBC International Securities Limited; ABCI Capital Limited; Livermore Holdings Limited; C h i n aG a l a x yI n t e r n a t i o n a lSecurities (Hong Kong) Co., Limited; ABCI Securities Company Limited</ns0:t>
        </ns0:is>
      </ns0:c>
      <ns0:c r="BX358" s="74" t="inlineStr">
        <ns0:is>
          <ns0: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ns0:t>
        </ns0:is>
      </ns0:c>
      <ns0:c r="BY358" s="93">
        <ns0:f>HYPERLINK("https://www1.hkexnews.hk/listedco/listconews/sehk/2025/0818/2025081800011.pdf","prospectus")</ns0:f>
        <ns0:v/>
      </ns0:c>
      <ns0:c r="BZ358" s="93">
        <ns0:f>HYPERLINK("https://www1.hkexnews.hk/listedco/listconews/sehk/2025/0825/2025082502151.pdf","allotment")</ns0:f>
        <ns0:v/>
      </ns0:c>
      <ns0:c r="CA358" s="93">
        <ns0:f>HYPERLINK("https://www1.hkexnews.hk/listedco/listconews/sehk/2025/0921/2025092100013.pdf","stabilisation")</ns0:f>
        <ns0:v/>
      </ns0:c>
      <ns0:c r="CB358" s="94" t="n"/>
      <ns0:c r="CC358" s="74" t="inlineStr">
        <ns0:is>
          <ns0:t>greenshoe: outcome published; expiry date not in the notice; range low: maximum offer price only, no floor published; stabilising manager: not named in the allotment notice or prospectus glossary</ns0:t>
        </ns0:is>
      </ns0:c>
    </ns0:row>
    <ns0:row r="359" ht="22" customHeight="1">
      <ns0:c r="A359" s="73" t="inlineStr">
        <ns0:is>
          <ns0:t>3858</ns0:t>
        </ns0:is>
      </ns0:c>
      <ns0:c r="B359" s="74" t="inlineStr">
        <ns0:is>
          <ns0:t>JIAXIN INTL RES</ns0:t>
        </ns0:is>
      </ns0:c>
      <ns0:c r="C359" s="74" t="inlineStr">
        <ns0:is>
          <ns0:t>佳鑫國際資源</ns0:t>
        </ns0:is>
      </ns0:c>
      <ns0:c r="D359" s="74" t="inlineStr">
        <ns0:is>
          <ns0:t>Materials/Energy</ns0:t>
        </ns0:is>
      </ns0:c>
      <ns0:c r="E359" s="74" t="inlineStr">
        <ns0:is>
          <ns0:t>Mining / metals</ns0:t>
        </ns0:is>
      </ns0:c>
      <ns0:c r="F359" s="74" t="inlineStr">
        <ns0:is>
          <ns0:t>Diversified Metals &amp; Minerals</ns0:t>
        </ns0:is>
      </ns0:c>
      <ns0:c r="G359" s="74" t="inlineStr">
        <ns0:is>
          <ns0:t>Standard</ns0:t>
        </ns0:is>
      </ns0:c>
      <ns0:c r="H359" s="75" t="n">
        <ns0:v>45897</ns0:v>
      </ns0:c>
      <ns0:c r="I359" s="76" t="n">
        <ns0:v>1199.1</ns0:v>
      </ns0:c>
      <ns0:c r="J359" s="74" t="inlineStr">
        <ns0:is>
          <ns0:t>gross (stated)</ns0:t>
        </ns0:is>
      </ns0:c>
      <ns0:c r="K359" s="95" t="n"/>
      <ns0:c r="L359" s="77" t="n">
        <ns0:v>10.92</ns0:v>
      </ns0:c>
      <ns0:c r="M359" s="77" t="n">
        <ns0:v>10.92</ns0:v>
      </ns0:c>
      <ns0:c r="N359" s="74" t="inlineStr">
        <ns0:is>
          <ns0:t>Y</ns0:t>
        </ns0:is>
      </ns0:c>
      <ns0:c r="O359" s="78" t="n">
        <ns0:v>100</ns0:v>
      </ns0:c>
      <ns0:c r="P359" s="84" t="n"/>
      <ns0:c r="Q359" s="79" t="n">
        <ns0:v>4796.4</ns0:v>
      </ns0:c>
      <ns0:c r="R359" s="74" t="inlineStr">
        <ns0:is>
          <ns0:t>prospectus:stated market capitalisation</ns0:t>
        </ns0:is>
      </ns0:c>
      <ns0:c r="S359" s="80" t="n">
        <ns0:v>2041.62</ns0:v>
      </ns0:c>
      <ns0:c r="T359" s="81" t="n">
        <ns0:v>21.11</ns0:v>
      </ns0:c>
      <ns0:c r="U359" s="82" t="n">
        <ns0:v>50</ns0:v>
      </ns0:c>
      <ns0:c r="V359" s="83" t="n">
        <ns0:v>6</ns0:v>
      </ns0:c>
      <ns0:c r="W359" s="78" t="n">
        <ns0:v>10</ns0:v>
      </ns0:c>
      <ns0:c r="X359" s="74" t="inlineStr">
        <ns0:is>
          <ns0:t>NO</ns0:t>
        </ns0:is>
      </ns0:c>
      <ns0:c r="Y359" s="79" t="n">
        <ns0:v>599.55</ns0:v>
      </ns0:c>
      <ns0:c r="Z359" s="79" t="n">
        <ns0:v>54904400</ns0:v>
      </ns0:c>
      <ns0:c r="AA359" s="78" t="n">
        <ns0:v>12.5</ns0:v>
      </ns0:c>
      <ns0:c r="AB359" s="74" t="inlineStr">
        <ns0:is>
          <ns0:t>CHINA CINDA (HK) ASSET MANAGEMENT CO., LIMITED ʮ̡; LUYIN TRADING PTE. LTD; GF Fund Management Co., Ltd; GF International Investment Management Limited; Fullgoal Asset Management (HK) Limited; Fullgoal Fund Management Co., Ltd; Zhengxin Group Investment Limited</ns0:t>
        </ns0:is>
      </ns0:c>
      <ns0:c r="AC359" s="74" t="inlineStr">
        <ns0:is>
          <ns0:t>cinda;luyin;gf;fullgoal;zhengxin</ns0:t>
        </ns0:is>
      </ns0:c>
      <ns0:c r="AD359" s="78" t="n">
        <ns0:v>15</ns0:v>
      </ns0:c>
      <ns0:c r="AE359" s="74" t="inlineStr">
        <ns0:is>
          <ns0:t>full</ns0:t>
        </ns0:is>
      </ns0:c>
      <ns0:c r="AF359" s="85" t="n"/>
      <ns0:c r="AG359" s="74" t="inlineStr">
        <ns0:is>
          <ns0:t>China International Capital Corporation Hong Kong Securities Limited</ns0:t>
        </ns0:is>
      </ns0:c>
      <ns0:c r="AH359" s="74" t="inlineStr">
        <ns0:is>
          <ns0:t>China International</ns0:t>
        </ns0:is>
      </ns0:c>
      <ns0:c r="AI359" s="86" t="n">
        <ns0:v>102.93</ns0:v>
      </ns0:c>
      <ns0:c r="AJ359" s="87" t="n">
        <ns0:v>177.84</ns0:v>
      </ns0:c>
      <ns0:c r="AK359" s="87" t="n">
        <ns0:v>-1.54</ns0:v>
      </ns0:c>
      <ns0:c r="AL359" s="87" t="n">
        <ns0:v>108.79</ns0:v>
      </ns0:c>
      <ns0:c r="AM359" s="87" t="n">
        <ns0:v>33.07</ns0:v>
      </ns0:c>
      <ns0:c r="AN359" s="89" t="n">
        <ns0:v>4.93</ns0:v>
      </ns0:c>
      <ns0:c r="AO359" s="78" t="n">
        <ns0:v>39.91</ns0:v>
      </ns0:c>
      <ns0:c r="AP359" s="87" t="n">
        <ns0:v>193.59</ns0:v>
      </ns0:c>
      <ns0:c r="AQ359" s="87" t="n">
        <ns0:v>146.34</ns0:v>
      </ns0:c>
      <ns0:c r="AR359" s="87" t="n">
        <ns0:v>225.09</ns0:v>
      </ns0:c>
      <ns0:c r="AS359" s="87" t="n">
        <ns0:v>5.67</ns0:v>
      </ns0:c>
      <ns0:c r="AT359" s="87" t="n">
        <ns0:v>-11.34</ns0:v>
      </ns0:c>
      <ns0:c r="AU359" s="87" t="n">
        <ns0:v>17.01</ns0:v>
      </ns0:c>
      <ns0:c r="AV359" s="87" t="n">
        <ns0:v>194.12</ns0:v>
      </ns0:c>
      <ns0:c r="AW359" s="87" t="n">
        <ns0:v>140.11</ns0:v>
      </ns0:c>
      <ns0:c r="AX359" s="87" t="n">
        <ns0:v>225.18</ns0:v>
      </ns0:c>
      <ns0:c r="AY359" s="87" t="n">
        <ns0:v>-19.24</ns0:v>
      </ns0:c>
      <ns0:c r="AZ359" s="87" t="n">
        <ns0:v>6.23</ns0:v>
      </ns0:c>
      <ns0:c r="BA359" s="87" t="n">
        <ns0:v>7.9</ns0:v>
      </ns0:c>
      <ns0:c r="BB359" s="74" t="inlineStr">
        <ns0:is>
          <ns0:t>Hang Seng Commerce &amp; Industry sub-index</ns0:t>
        </ns0:is>
      </ns0:c>
      <ns0:c r="BC359" s="87" t="n">
        <ns0:v>320.7</ns0:v>
      </ns0:c>
      <ns0:c r="BD359" s="75" t="n">
        <ns0:v>46297</ns0:v>
      </ns0:c>
      <ns0:c r="BE359" s="76" t="n">
        <ns0:v>126.3</ns0:v>
      </ns0:c>
      <ns0:c r="BF359" s="79" t="n">
        <ns0:v>-176.5</ns0:v>
      </ns0:c>
      <ns0:c r="BG359" s="74" t="inlineStr">
        <ns0:is>
          <ns0:t>N</ns0:t>
        </ns0:is>
      </ns0:c>
      <ns0:c r="BH359" s="74" t="inlineStr">
        <ns0:is>
          <ns0:t>n/m</ns0:t>
        </ns0:is>
      </ns0:c>
      <ns0:c r="BI359" s="88" t="n"/>
      <ns0:c r="BJ359" s="89" t="n">
        <ns0:v>76.59999999999999</ns0:v>
      </ns0:c>
      <ns0:c r="BK359" s="89" t="n">
        <ns0:v>38</ns0:v>
      </ns0:c>
      <ns0:c r="BL359" s="90">
        <ns0:f>IFERROR(IF('BBG Verify'!S359="","Awaiting Bloomberg",'BBG Verify'!S359),"Awaiting Bloomberg")</ns0:f>
        <ns0:v/>
      </ns0:c>
      <ns0:c r="BM359" s="91" t="inlineStr">
        <ns0:is>
          <ns0:t>N</ns0:t>
        </ns0:is>
      </ns0:c>
      <ns0:c r="BN359" s="92">
        <ns0:f>IFERROR(IF('BBG Verify'!K359="","Awaiting Bloomberg",'BBG Verify'!K359),"Awaiting Bloomberg")</ns0:f>
        <ns0:v/>
      </ns0:c>
      <ns0:c r="BO359" s="74" t="inlineStr">
        <ns0:is>
          <ns0:t>N/A</ns0:t>
        </ns0:is>
      </ns0:c>
      <ns0:c r="BP359" s="74" t="inlineStr">
        <ns0:is>
          <ns0:t>N/A</ns0:t>
        </ns0:is>
      </ns0:c>
      <ns0:c r="BQ359" s="74" t="inlineStr">
        <ns0:is>
          <ns0:t>N/A</ns0:t>
        </ns0:is>
      </ns0:c>
      <ns0:c r="BR359" s="74" t="inlineStr">
        <ns0:is>
          <ns0:t>N/A</ns0:t>
        </ns0:is>
      </ns0:c>
      <ns0:c r="BS359" s="74" t="inlineStr">
        <ns0:is>
          <ns0:t>N/A</ns0:t>
        </ns0:is>
      </ns0:c>
      <ns0:c r="BT359" s="74" t="inlineStr">
        <ns0:is>
          <ns0:t>N/A</ns0:t>
        </ns0:is>
      </ns0:c>
      <ns0:c r="BU359" s="91" t="inlineStr">
        <ns0:is>
          <ns0:t>China International Capital Corporation Hong Kong Securities Limited</ns0:t>
        </ns0:is>
      </ns0:c>
      <ns0:c r="BV359" s="74" t="inlineStr">
        <ns0:is>
          <ns0:t>China International Capital Corporation Hong Kong Securities Limited</ns0:t>
        </ns0:is>
      </ns0:c>
      <ns0:c r="BW359" s="74" t="inlineStr">
        <ns0:is>
          <ns0:t>China International Capital Corporation Hong Kong Securities Limited; China Galaxy International Securities (Hong Kong) Co., Limited; CMB International Capital Limited; Celestial Securities Limited; ABCI Capital Limited; Tiger Brokers (HK) Global Limited</ns0:t>
        </ns0:is>
      </ns0:c>
      <ns0:c r="BX359" s="74" t="inlineStr">
        <ns0:is>
          <ns0: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ns0:t>
        </ns0:is>
      </ns0:c>
      <ns0:c r="BY359" s="93">
        <ns0:f>HYPERLINK("https://www1.hkexnews.hk/listedco/listconews/sehk/2025/0820/2025082000021.pdf","prospectus")</ns0:f>
        <ns0:v/>
      </ns0:c>
      <ns0:c r="BZ359" s="93">
        <ns0:f>HYPERLINK("https://www1.hkexnews.hk/listedco/listconews/sehk/2025/0827/2025082702293.pdf","allotment")</ns0:f>
        <ns0:v/>
      </ns0:c>
      <ns0:c r="CA359" s="93">
        <ns0:f>HYPERLINK("https://www1.hkexnews.hk/listedco/listconews/sehk/2025/0924/2025092401050.pdf","stabilisation")</ns0:f>
        <ns0:v/>
      </ns0:c>
      <ns0:c r="CB359" s="94" t="n"/>
      <ns0:c r="CC359" s="74" t="inlineStr">
        <ns0:is>
          <ns0:t>P/E: loss-making at IPO, use P/S; greenshoe: outcome published; expiry date not in the notice; range low: maximum offer price only, no floor published</ns0:t>
        </ns0:is>
      </ns0:c>
    </ns0:row>
    <ns0:row r="360" ht="22" customHeight="1">
      <ns0:c r="A360" s="73" t="inlineStr">
        <ns0:is>
          <ns0:t>2580</ns0:t>
        </ns0:is>
      </ns0:c>
      <ns0:c r="B360" s="74" t="inlineStr">
        <ns0:is>
          <ns0:t>AUX ELECTRIC</ns0:t>
        </ns0:is>
      </ns0:c>
      <ns0:c r="C360" s="74" t="inlineStr">
        <ns0:is>
          <ns0:t>奧克斯電氣</ns0:t>
        </ns0:is>
      </ns0:c>
      <ns0:c r="D360" s="74" t="inlineStr">
        <ns0:is>
          <ns0:t>Technology</ns0:t>
        </ns0:is>
      </ns0:c>
      <ns0:c r="E360" s="74" t="inlineStr">
        <ns0:is>
          <ns0:t>Hardware &amp; electronics</ns0:t>
        </ns0:is>
      </ns0:c>
      <ns0:c r="F360" s="74" t="inlineStr">
        <ns0:is>
          <ns0:t>Household Appliances</ns0:t>
        </ns0:is>
      </ns0:c>
      <ns0:c r="G360" s="74" t="inlineStr">
        <ns0:is>
          <ns0:t>Standard</ns0:t>
        </ns0:is>
      </ns0:c>
      <ns0:c r="H360" s="75" t="n">
        <ns0:v>45902</ns0:v>
      </ns0:c>
      <ns0:c r="I360" s="76" t="n">
        <ns0:v>4150.1</ns0:v>
      </ns0:c>
      <ns0:c r="J360" s="74" t="inlineStr">
        <ns0:is>
          <ns0:t>gross (stated)</ns0:t>
        </ns0:is>
      </ns0:c>
      <ns0:c r="K360" s="95" t="n"/>
      <ns0:c r="L360" s="77" t="n">
        <ns0:v>17.42</ns0:v>
      </ns0:c>
      <ns0:c r="M360" s="77" t="n">
        <ns0:v>17.42</ns0:v>
      </ns0:c>
      <ns0:c r="N360" s="74" t="inlineStr">
        <ns0:is>
          <ns0:t>Y</ns0:t>
        </ns0:is>
      </ns0:c>
      <ns0:c r="O360" s="78" t="n">
        <ns0:v>100</ns0:v>
      </ns0:c>
      <ns0:c r="P360" s="84" t="n"/>
      <ns0:c r="Q360" s="79" t="n">
        <ns0:v>24914.6</ns0:v>
      </ns0:c>
      <ns0:c r="R360" s="74" t="inlineStr">
        <ns0:is>
          <ns0:t>prospectus:stated market capitalisation</ns0:t>
        </ns0:is>
      </ns0:c>
      <ns0:c r="S360" s="80" t="n">
        <ns0:v>557.2</ns0:v>
      </ns0:c>
      <ns0:c r="T360" s="81" t="n">
        <ns0:v>8.300000000000001</ns0:v>
      </ns0:c>
      <ns0:c r="U360" s="82" t="n">
        <ns0:v>23.47</ns0:v>
      </ns0:c>
      <ns0:c r="V360" s="83" t="n">
        <ns0:v>135</ns0:v>
      </ns0:c>
      <ns0:c r="W360" s="78" t="n">
        <ns0:v>35</ns0:v>
      </ns0:c>
      <ns0:c r="X360" s="74" t="inlineStr">
        <ns0:is>
          <ns0:t>YES</ns0:t>
        </ns0:is>
      </ns0:c>
      <ns0:c r="Y360" s="79" t="n">
        <ns0:v>3176.07</ns0:v>
      </ns0:c>
      <ns0:c r="Z360" s="79" t="n">
        <ns0:v>182321399</ns0:v>
      </ns0:c>
      <ns0:c r="AA360" s="78" t="n">
        <ns0:v>12.75</ns0:v>
      </ns0:c>
      <ns0:c r="AB360" s="74" t="inlineStr">
        <ns0:is>
          <ns0:t>China Post Life Insurance Company Limited; PSBC Wealth Management Co., Ltd; China Post Insurance and PBOC WM; Valin Group Hongkong International Trade Co., Limited; Tibet Longrising Asset Management Co., Ltd. and CICC Financial Trading Limited (in connection with Tibet Longrising OTC Swaps); Shenzhen Yongxin Industrial Investment Partnership Enterprise (Limited Partnership) and Guotai Junan Investments (Hong Kong) Limited (in</ns0:t>
        </ns0:is>
      </ns0:c>
      <ns0:c r="AC360" s="74" t="inlineStr">
        <ns0:is>
          <ns0:t>post;psbc;valin;tibet;shenzhen-yongxin</ns0:t>
        </ns0:is>
      </ns0:c>
      <ns0:c r="AD360" s="78" t="n">
        <ns0:v>15</ns0:v>
      </ns0:c>
      <ns0:c r="AE360" s="74" t="inlineStr">
        <ns0:is>
          <ns0:t>lapsed</ns0:t>
        </ns0:is>
      </ns0:c>
      <ns0:c r="AF360" s="74" t="inlineStr">
        <ns0:is>
          <ns0:t>2025-09-27</ns0:t>
        </ns0:is>
      </ns0:c>
      <ns0:c r="AG360" s="74" t="inlineStr">
        <ns0:is>
          <ns0:t>China International Capital Corporation Hong Kong Securities Limited</ns0:t>
        </ns0:is>
      </ns0:c>
      <ns0:c r="AH360" s="74" t="inlineStr">
        <ns0:is>
          <ns0:t>China International</ns0:t>
        </ns0:is>
      </ns0:c>
      <ns0:c r="AI360" s="86" t="n">
        <ns0:v>-4.13</ns0:v>
      </ns0:c>
      <ns0:c r="AJ360" s="87" t="n">
        <ns0:v>-5.4</ns0:v>
      </ns0:c>
      <ns0:c r="AK360" s="87" t="n">
        <ns0:v>-0.97</ns0:v>
      </ns0:c>
      <ns0:c r="AL360" s="87" t="n">
        <ns0:v>-7.58</ns0:v>
      </ns0:c>
      <ns0:c r="AM360" s="87" t="n">
        <ns0:v>2.36</ns0:v>
      </ns0:c>
      <ns0:c r="AN360" s="89" t="n">
        <ns0:v>0.63</ns0:v>
      </ns0:c>
      <ns0:c r="AO360" s="78" t="n">
        <ns0:v>6.89</ns0:v>
      </ns0:c>
      <ns0:c r="AP360" s="87" t="n">
        <ns0:v>-7.58</ns0:v>
      </ns0:c>
      <ns0:c r="AQ360" s="87" t="n">
        <ns0:v>-20.49</ns0:v>
      </ns0:c>
      <ns0:c r="AR360" s="87" t="n">
        <ns0:v>-9.300000000000001</ns0:v>
      </ns0:c>
      <ns0:c r="AS360" s="87" t="n">
        <ns0:v>-2.3</ns0:v>
      </ns0:c>
      <ns0:c r="AT360" s="87" t="n">
        <ns0:v>-15.95</ns0:v>
      </ns0:c>
      <ns0:c r="AU360" s="87" t="n">
        <ns0:v>-4.12</ns0:v>
      </ns0:c>
      <ns0:c r="AV360" s="87" t="n">
        <ns0:v>-8.109999999999999</ns0:v>
      </ns0:c>
      <ns0:c r="AW360" s="87" t="n">
        <ns0:v>-35.88</ns0:v>
      </ns0:c>
      <ns0:c r="AX360" s="87" t="n">
        <ns0:v>-4.64</ns0:v>
      </ns0:c>
      <ns0:c r="AY360" s="87" t="n">
        <ns0:v>-32.47</ns0:v>
      </ns0:c>
      <ns0:c r="AZ360" s="87" t="n">
        <ns0:v>15.39</ns0:v>
      </ns0:c>
      <ns0:c r="BA360" s="87" t="n">
        <ns0:v>16.52</ns0:v>
      </ns0:c>
      <ns0:c r="BB360" s="74" t="inlineStr">
        <ns0:is>
          <ns0:t>HSTECH (Hang Seng TECH ETF)</ns0:t>
        </ns0:is>
      </ns0:c>
      <ns0:c r="BC360" s="87" t="n">
        <ns0:v>-51.64</ns0:v>
      </ns0:c>
      <ns0:c r="BD360" s="75" t="n">
        <ns0:v>46297</ns0:v>
      </ns0:c>
      <ns0:c r="BE360" s="76" t="n">
        <ns0:v>32735.3</ns0:v>
      </ns0:c>
      <ns0:c r="BF360" s="79" t="n">
        <ns0:v>3201.2</ns0:v>
      </ns0:c>
      <ns0:c r="BG360" s="74" t="inlineStr">
        <ns0:is>
          <ns0:t>Y</ns0:t>
        </ns0:is>
      </ns0:c>
      <ns0:c r="BH360" s="89" t="n">
        <ns0:v>7.8</ns0:v>
      </ns0:c>
      <ns0:c r="BI360" s="89" t="n">
        <ns0:v>6.8</ns0:v>
      </ns0:c>
      <ns0:c r="BJ360" s="89" t="n">
        <ns0:v>5.6</ns0:v>
      </ns0:c>
      <ns0:c r="BK360" s="89" t="n">
        <ns0:v>0.8</ns0:v>
      </ns0:c>
      <ns0:c r="BL360" s="90">
        <ns0:f>IFERROR(IF('BBG Verify'!S360="","Awaiting Bloomberg",'BBG Verify'!S360),"Awaiting Bloomberg")</ns0:f>
        <ns0:v/>
      </ns0:c>
      <ns0:c r="BM360" s="91" t="inlineStr">
        <ns0:is>
          <ns0:t>N</ns0:t>
        </ns0:is>
      </ns0:c>
      <ns0:c r="BN360" s="92">
        <ns0:f>IFERROR(IF('BBG Verify'!K360="","Awaiting Bloomberg",'BBG Verify'!K360),"Awaiting Bloomberg")</ns0:f>
        <ns0:v/>
      </ns0:c>
      <ns0:c r="BO360" s="74" t="inlineStr">
        <ns0:is>
          <ns0:t>N/A</ns0:t>
        </ns0:is>
      </ns0:c>
      <ns0:c r="BP360" s="74" t="inlineStr">
        <ns0:is>
          <ns0:t>N/A</ns0:t>
        </ns0:is>
      </ns0:c>
      <ns0:c r="BQ360" s="74" t="inlineStr">
        <ns0:is>
          <ns0:t>N/A</ns0:t>
        </ns0:is>
      </ns0:c>
      <ns0:c r="BR360" s="74" t="inlineStr">
        <ns0:is>
          <ns0:t>N/A</ns0:t>
        </ns0:is>
      </ns0:c>
      <ns0:c r="BS360" s="74" t="inlineStr">
        <ns0:is>
          <ns0:t>N/A</ns0:t>
        </ns0:is>
      </ns0:c>
      <ns0:c r="BT360" s="74" t="inlineStr">
        <ns0:is>
          <ns0:t>N/A</ns0:t>
        </ns0:is>
      </ns0:c>
      <ns0:c r="BU360" s="91" t="inlineStr">
        <ns0:is>
          <ns0:t>CICC</ns0:t>
        </ns0:is>
      </ns0:c>
      <ns0:c r="BV360" s="74" t="inlineStr">
        <ns0:is>
          <ns0:t>China International Capital Corporation Hong Kong Securities Limited</ns0:t>
        </ns0:is>
      </ns0:c>
      <ns0:c r="BW360" s="74" t="inlineStr">
        <ns0:is>
          <ns0:t>China International Capital Corporation Hong Kong Securities Limited; Orient Securities (Hong Kong) Limited; ABCI Capital Limited; ICBC International Securities Limited; Futu Securities International (Hong Kong) Limited</ns0:t>
        </ns0:is>
      </ns0:c>
      <ns0:c r="BX360" s="74" t="inlineStr">
        <ns0:is>
          <ns0:t>ABCI Securities Company Limited; China International Capital Corporation Hong Kong Securities Limited; Futu Securities International (Hong Kong) Limited; ICBC International Securities Limited; Orient Securities (Hong Kong) Limited</ns0:t>
        </ns0:is>
      </ns0:c>
      <ns0:c r="BY360" s="93">
        <ns0:f>HYPERLINK("https://www1.hkexnews.hk/listedco/listconews/sehk/2025/0825/2025082500020.htm","prospectus")</ns0:f>
        <ns0:v/>
      </ns0:c>
      <ns0:c r="BZ360" s="93">
        <ns0:f>HYPERLINK("https://www1.hkexnews.hk/listedco/listconews/sehk/2025/0901/2025090103683.pdf","allotment")</ns0:f>
        <ns0:v/>
      </ns0:c>
      <ns0:c r="CA360" s="93">
        <ns0:f>HYPERLINK("https://www1.hkexnews.hk/listedco/listconews/sehk/2025/0928/2025092800005.pdf","stabilisation")</ns0:f>
        <ns0:v/>
      </ns0:c>
      <ns0:c r="CB360" s="94" t="n"/>
      <ns0:c r="CC360" s="74" t="inlineStr">
        <ns0:is>
          <ns0:t>range low: maximum offer price only, no floor published</ns0:t>
        </ns0:is>
      </ns0:c>
    </ns0:row>
    <ns0:row r="361" ht="22" customHeight="1">
      <ns0:c r="A361" s="73" t="inlineStr">
        <ns0:is>
          <ns0:t>2543</ns0:t>
        </ns0:is>
      </ns0:c>
      <ns0:c r="B361" s="74" t="inlineStr">
        <ns0:is>
          <ns0:t>DAHON TECH</ns0:t>
        </ns0:is>
      </ns0:c>
      <ns0:c r="C361" s="74" t="inlineStr">
        <ns0:is>
          <ns0:t>大行科工</ns0:t>
        </ns0:is>
      </ns0:c>
      <ns0:c r="D361" s="74" t="inlineStr">
        <ns0:is>
          <ns0:t>Technology</ns0:t>
        </ns0:is>
      </ns0:c>
      <ns0:c r="E361" s="74" t="inlineStr">
        <ns0:is>
          <ns0:t>Hardware &amp; electronics</ns0:t>
        </ns0:is>
      </ns0:c>
      <ns0:c r="F361" s="74" t="inlineStr">
        <ns0:is>
          <ns0:t>Leisure Products</ns0:t>
        </ns0:is>
      </ns0:c>
      <ns0:c r="G361" s="74" t="inlineStr">
        <ns0:is>
          <ns0:t>Standard</ns0:t>
        </ns0:is>
      </ns0:c>
      <ns0:c r="H361" s="75" t="n">
        <ns0:v>45909</ns0:v>
      </ns0:c>
      <ns0:c r="I361" s="76" t="n">
        <ns0:v>392.04</ns0:v>
      </ns0:c>
      <ns0:c r="J361" s="74" t="inlineStr">
        <ns0:is>
          <ns0:t>gross (stated)</ns0:t>
        </ns0:is>
      </ns0:c>
      <ns0:c r="K361" s="95" t="n"/>
      <ns0:c r="L361" s="77" t="n">
        <ns0:v>49.5</ns0:v>
      </ns0:c>
      <ns0:c r="M361" s="77" t="n">
        <ns0:v>49.5</ns0:v>
      </ns0:c>
      <ns0:c r="N361" s="74" t="inlineStr">
        <ns0:is>
          <ns0:t>Y</ns0:t>
        </ns0:is>
      </ns0:c>
      <ns0:c r="O361" s="78" t="n">
        <ns0:v>100</ns0:v>
      </ns0:c>
      <ns0:c r="P361" s="84" t="n"/>
      <ns0:c r="Q361" s="79" t="n">
        <ns0:v>1567.6</ns0:v>
      </ns0:c>
      <ns0:c r="R361" s="74" t="inlineStr">
        <ns0:is>
          <ns0:t>prospectus:stated market capitalisation</ns0:t>
        </ns0:is>
      </ns0:c>
      <ns0:c r="S361" s="80" t="n">
        <ns0:v>7558.4</ns0:v>
      </ns0:c>
      <ns0:c r="T361" s="81" t="n">
        <ns0:v>21.65</ns0:v>
      </ns0:c>
      <ns0:c r="U361" s="82" t="n">
        <ns0:v>25.43</ns0:v>
      </ns0:c>
      <ns0:c r="V361" s="83" t="n">
        <ns0:v>442</ns0:v>
      </ns0:c>
      <ns0:c r="W361" s="78" t="n">
        <ns0:v>10</ns0:v>
      </ns0:c>
      <ns0:c r="X361" s="74" t="inlineStr">
        <ns0:is>
          <ns0:t>NO</ns0:t>
        </ns0:is>
      </ns0:c>
      <ns0:c r="Y361" s="79" t="n">
        <ns0:v>292.34</ns0:v>
      </ns0:c>
      <ns0:c r="Z361" s="79" t="n">
        <ns0:v>5905944</ns0:v>
      </ns0:c>
      <ns0:c r="AA361" s="78" t="n">
        <ns0:v>18.65</ns0:v>
      </ns0:c>
      <ns0:c r="AB361" s="74" t="inlineStr">
        <ns0:is>
          <ns0:t>Allianz Global Investors Asia Pacific Limited; Greater Bay Area Development Fund Management Limited for and on behalf of the M a n a g e dA c c o u n to fM e g a Prime Development Limited; Harvest International Premium Value (Secondary Market) Fund SPC acting on behalf of and for the account of Harvest Oriental SP; VEKEN (HONGKONG) ECONOMIC AND TRADE CO., LIMITED</ns0:t>
        </ns0:is>
      </ns0:c>
      <ns0:c r="AC361" s="74" t="inlineStr">
        <ns0:is>
          <ns0:t>allianz;greater;harvest;veken</ns0:t>
        </ns0:is>
      </ns0:c>
      <ns0:c r="AD361" s="78" t="n">
        <ns0:v>14.9</ns0:v>
      </ns0:c>
      <ns0:c r="AE361" s="74" t="inlineStr">
        <ns0:is>
          <ns0:t>partial</ns0:t>
        </ns0:is>
      </ns0:c>
      <ns0:c r="AF361" s="74" t="inlineStr">
        <ns0:is>
          <ns0:t>2025-10-04</ns0:t>
        </ns0:is>
      </ns0:c>
      <ns0:c r="AG361" s="74" t="inlineStr">
        <ns0:is>
          <ns0:t>China Securities</ns0:t>
        </ns0:is>
      </ns0:c>
      <ns0:c r="AH361" s="74" t="inlineStr">
        <ns0:is>
          <ns0:t>China Securities</ns0:t>
        </ns0:is>
      </ns0:c>
      <ns0:c r="AI361" s="86" t="n">
        <ns0:v>37.58</ns0:v>
      </ns0:c>
      <ns0:c r="AJ361" s="87" t="n">
        <ns0:v>14.95</ns0:v>
      </ns0:c>
      <ns0:c r="AK361" s="87" t="n">
        <ns0:v>1.33</ns0:v>
      </ns0:c>
      <ns0:c r="AL361" s="87" t="n">
        <ns0:v>36.36</ns0:v>
      </ns0:c>
      <ns0:c r="AM361" s="87" t="n">
        <ns0:v>-15.7</ns0:v>
      </ns0:c>
      <ns0:c r="AN361" s="89" t="n">
        <ns0:v>10.4</ns0:v>
      </ns0:c>
      <ns0:c r="AO361" s="78" t="n">
        <ns0:v>18.67</ns0:v>
      </ns0:c>
      <ns0:c r="AP361" s="87" t="n">
        <ns0:v>30</ns0:v>
      </ns0:c>
      <ns0:c r="AQ361" s="87" t="n">
        <ns0:v>0.89</ns0:v>
      </ns0:c>
      <ns0:c r="AR361" s="87" t="n">
        <ns0:v>-17.45</ns0:v>
      </ns0:c>
      <ns0:c r="AS361" s="87" t="n">
        <ns0:v>13.09</ns0:v>
      </ns0:c>
      <ns0:c r="AT361" s="87" t="n">
        <ns0:v>-12.23</ns0:v>
      </ns0:c>
      <ns0:c r="AU361" s="87" t="n">
        <ns0:v>-28.19</ns0:v>
      </ns0:c>
      <ns0:c r="AV361" s="87" t="n">
        <ns0:v>24.33</ns0:v>
      </ns0:c>
      <ns0:c r="AW361" s="87" t="n">
        <ns0:v>-8.15</ns0:v>
      </ns0:c>
      <ns0:c r="AX361" s="87" t="n">
        <ns0:v>-14.17</ns0:v>
      </ns0:c>
      <ns0:c r="AY361" s="87" t="n">
        <ns0:v>-19.84</ns0:v>
      </ns0:c>
      <ns0:c r="AZ361" s="87" t="n">
        <ns0:v>9.039999999999999</ns0:v>
      </ns0:c>
      <ns0:c r="BA361" s="87" t="n">
        <ns0:v>7.61</ns0:v>
      </ns0:c>
      <ns0:c r="BB361" s="74" t="inlineStr">
        <ns0:is>
          <ns0:t>HSTECH (Hang Seng TECH ETF)</ns0:t>
        </ns0:is>
      </ns0:c>
      <ns0:c r="BC361" s="87" t="n">
        <ns0:v>-31.31</ns0:v>
      </ns0:c>
      <ns0:c r="BD361" s="75" t="n">
        <ns0:v>46297</ns0:v>
      </ns0:c>
      <ns0:c r="BE361" s="76" t="n">
        <ns0:v>495.8</ns0:v>
      </ns0:c>
      <ns0:c r="BF361" s="79" t="n">
        <ns0:v>57.5</ns0:v>
      </ns0:c>
      <ns0:c r="BG361" s="74" t="inlineStr">
        <ns0:is>
          <ns0:t>Y</ns0:t>
        </ns0:is>
      </ns0:c>
      <ns0:c r="BH361" s="89" t="n">
        <ns0:v>27.3</ns0:v>
      </ns0:c>
      <ns0:c r="BI361" s="88" t="n"/>
      <ns0:c r="BJ361" s="88" t="n"/>
      <ns0:c r="BK361" s="89" t="n">
        <ns0:v>3.2</ns0:v>
      </ns0:c>
      <ns0:c r="BL361" s="90">
        <ns0:f>IFERROR(IF('BBG Verify'!S361="","Awaiting Bloomberg",'BBG Verify'!S361),"Awaiting Bloomberg")</ns0:f>
        <ns0:v/>
      </ns0:c>
      <ns0:c r="BM361" s="91" t="inlineStr">
        <ns0:is>
          <ns0:t>N</ns0:t>
        </ns0:is>
      </ns0:c>
      <ns0:c r="BN361" s="92">
        <ns0:f>IFERROR(IF('BBG Verify'!K361="","Awaiting Bloomberg",'BBG Verify'!K361),"Awaiting Bloomberg")</ns0:f>
        <ns0:v/>
      </ns0:c>
      <ns0:c r="BO361" s="74" t="inlineStr">
        <ns0:is>
          <ns0:t>N/A</ns0:t>
        </ns0:is>
      </ns0:c>
      <ns0:c r="BP361" s="74" t="inlineStr">
        <ns0:is>
          <ns0:t>N/A</ns0:t>
        </ns0:is>
      </ns0:c>
      <ns0:c r="BQ361" s="74" t="inlineStr">
        <ns0:is>
          <ns0:t>N/A</ns0:t>
        </ns0:is>
      </ns0:c>
      <ns0:c r="BR361" s="74" t="inlineStr">
        <ns0:is>
          <ns0:t>N/A</ns0:t>
        </ns0:is>
      </ns0:c>
      <ns0:c r="BS361" s="74" t="inlineStr">
        <ns0:is>
          <ns0:t>N/A</ns0:t>
        </ns0:is>
      </ns0:c>
      <ns0:c r="BT361" s="74" t="inlineStr">
        <ns0:is>
          <ns0:t>N/A</ns0:t>
        </ns0:is>
      </ns0:c>
      <ns0:c r="BU361" s="91" t="inlineStr">
        <ns0:is>
          <ns0:t>China Securities (International) Corporate Finance Company Limited</ns0:t>
        </ns0:is>
      </ns0:c>
      <ns0:c r="BV361" s="74" t="inlineStr">
        <ns0:is>
          <ns0:t>China Securities (International) Corporate Finance Company Limited</ns0:t>
        </ns0:is>
      </ns0:c>
      <ns0:c r="BW361" s="74" t="inlineStr">
        <ns0:is>
          <ns0:t>China Securities (International) Corporate Finance Company Limited; ABCI Capital Limited; BOCI Asia Limited; CCB International Capital Limited; CMB International Capital Limited; Futu Securities International (Hong Kong) Limited</ns0:t>
        </ns0:is>
      </ns0:c>
      <ns0:c r="BX361" s="74" t="inlineStr">
        <ns0:is>
          <ns0:t>ABCI Securities Company Limited; BOCI Asia Limited; CCB International Capital Limited; CMB International Capital Corporation Limited; China Securities (International) Corporate Finance Company Limited; Futu Securities International (Hong Kong) Limited</ns0:t>
        </ns0:is>
      </ns0:c>
      <ns0:c r="BY361" s="93">
        <ns0:f>HYPERLINK("https://www1.hkexnews.hk/listedco/listconews/sehk/2025/0901/2025090100007.pdf","prospectus")</ns0:f>
        <ns0:v/>
      </ns0:c>
      <ns0:c r="BZ361" s="93">
        <ns0:f>HYPERLINK("https://www1.hkexnews.hk/listedco/listconews/sehk/2025/0908/2025090801334.pdf","allotment")</ns0:f>
        <ns0:v/>
      </ns0:c>
      <ns0:c r="CA361" s="93">
        <ns0:f>HYPERLINK("https://www1.hkexnews.hk/listedco/listconews/sehk/2025/1005/2025100500245.pdf","stabilisation")</ns0:f>
        <ns0:v/>
      </ns0:c>
      <ns0:c r="CB361" s="94" t="n"/>
      <ns0:c r="CC361" s="74" t="inlineStr">
        <ns0:is>
          <ns0:t>range low: maximum offer price only, no floor published</ns0:t>
        </ns0:is>
      </ns0:c>
    </ns0:row>
    <ns0:row r="362" ht="22" customHeight="1">
      <ns0:c r="A362" s="73" t="inlineStr">
        <ns0:is>
          <ns0:t>2525</ns0:t>
        </ns0:is>
      </ns0:c>
      <ns0:c r="B362" s="74" t="inlineStr">
        <ns0:is>
          <ns0:t>HESAI-W</ns0:t>
        </ns0:is>
      </ns0:c>
      <ns0:c r="C362" s="74" t="inlineStr">
        <ns0:is>
          <ns0:t>禾賽科技</ns0:t>
        </ns0:is>
      </ns0:c>
      <ns0:c r="D362" s="74" t="inlineStr">
        <ns0:is>
          <ns0:t>Technology</ns0:t>
        </ns0:is>
      </ns0:c>
      <ns0:c r="E362" s="74" t="inlineStr">
        <ns0:is>
          <ns0:t>Robotics &amp; autonomous driving</ns0:t>
        </ns0:is>
      </ns0:c>
      <ns0:c r="F362" s="74" t="inlineStr">
        <ns0:is>
          <ns0:t>Systems Software</ns0:t>
        </ns0:is>
      </ns0:c>
      <ns0:c r="G362" s="74" t="inlineStr">
        <ns0:is>
          <ns0:t>WVR</ns0:t>
        </ns0:is>
      </ns0:c>
      <ns0:c r="H362" s="75" t="n">
        <ns0:v>45916</ns0:v>
      </ns0:c>
      <ns0:c r="I362" s="76" t="n">
        <ns0:v>4160.24</ns0:v>
      </ns0:c>
      <ns0:c r="J362" s="74" t="inlineStr">
        <ns0:is>
          <ns0:t>gross (stated)</ns0:t>
        </ns0:is>
      </ns0:c>
      <ns0:c r="K362" s="95" t="n"/>
      <ns0:c r="L362" s="77" t="n">
        <ns0:v>228</ns0:v>
      </ns0:c>
      <ns0:c r="M362" s="77" t="n">
        <ns0:v>212.8</ns0:v>
      </ns0:c>
      <ns0:c r="N362" s="74" t="inlineStr">
        <ns0:is>
          <ns0:t>N</ns0:t>
        </ns0:is>
      </ns0:c>
      <ns0:c r="O362" s="78" t="n">
        <ns0:v>93.3</ns0:v>
      </ns0:c>
      <ns0:c r="P362" s="84" t="n"/>
      <ns0:c r="Q362" s="79" t="n">
        <ns0:v>244720</ns0:v>
      </ns0:c>
      <ns0:c r="R362" s="74" t="inlineStr">
        <ns0:is>
          <ns0:t>derived:deal size / offer % of enlarged capital</ns0:t>
        </ns0:is>
      </ns0:c>
      <ns0:c r="S362" s="80" t="n">
        <ns0:v>168.65</ns0:v>
      </ns0:c>
      <ns0:c r="T362" s="81" t="n">
        <ns0:v>14.09</ns0:v>
      </ns0:c>
      <ns0:c r="U362" s="82" t="n">
        <ns0:v>27.73</ns0:v>
      </ns0:c>
      <ns0:c r="V362" s="83" t="n">
        <ns0:v>237</ns0:v>
      </ns0:c>
      <ns0:c r="W362" s="78" t="n">
        <ns0:v>10</ns0:v>
      </ns0:c>
      <ns0:c r="X362" s="74" t="inlineStr">
        <ns0:is>
          <ns0:t>NA</ns0:t>
        </ns0:is>
      </ns0:c>
      <ns0:c r="Y362" s="79" t="n">
        <ns0:v>3006.61</ns0:v>
      </ns0:c>
      <ns0:c r="Z362" s="79" t="n">
        <ns0:v>14128785</ns0:v>
      </ns0:c>
      <ns0:c r="AA362" s="78" t="n">
        <ns0:v>1.23</ns0:v>
      </ns0:c>
      <ns0:c r="AB362" s="74" t="inlineStr">
        <ns0:is>
          <ns0:t>HHLR Advisors, Ltd; Taikang Life Insurance Co., Ltd; WT Asset Management Limited; Grab Inc; Hongda Group (Hong Kong) Co., Limited; Commando Global Fund</ns0:t>
        </ns0:is>
      </ns0:c>
      <ns0:c r="AC362" s="74" t="inlineStr">
        <ns0:is>
          <ns0:t>hhlr;taikang;wt;grab;hongda;commando</ns0:t>
        </ns0:is>
      </ns0:c>
      <ns0:c r="AD362" s="78" t="n">
        <ns0:v>15</ns0:v>
      </ns0:c>
      <ns0:c r="AE362" s="74" t="inlineStr">
        <ns0:is>
          <ns0:t>full</ns0:t>
        </ns0:is>
      </ns0:c>
      <ns0:c r="AF362" s="74" t="inlineStr">
        <ns0:is>
          <ns0:t>2025-10-11</ns0:t>
        </ns0:is>
      </ns0:c>
      <ns0:c r="AG362" s="74" t="inlineStr">
        <ns0:is>
          <ns0:t>China International Capital Corporation Hong Kong Securities Limited</ns0:t>
        </ns0:is>
      </ns0:c>
      <ns0:c r="AH362" s="74" t="inlineStr">
        <ns0:is>
          <ns0:t>China International</ns0:t>
        </ns0:is>
      </ns0:c>
      <ns0:c r="AI362" s="86" t="n">
        <ns0:v>7.24</ns0:v>
      </ns0:c>
      <ns0:c r="AJ362" s="87" t="n">
        <ns0:v>9.960000000000001</ns0:v>
      </ns0:c>
      <ns0:c r="AK362" s="87" t="n">
        <ns0:v>0.51</ns0:v>
      </ns0:c>
      <ns0:c r="AL362" s="87" t="n">
        <ns0:v>7.71</ns0:v>
      </ns0:c>
      <ns0:c r="AM362" s="87" t="n">
        <ns0:v>2.09</ns0:v>
      </ns0:c>
      <ns0:c r="AN362" s="89" t="n">
        <ns0:v>2.89</ns0:v>
      </ns0:c>
      <ns0:c r="AO362" s="78" t="n">
        <ns0:v>6.46</ns0:v>
      </ns0:c>
      <ns0:c r="AP362" s="87" t="n">
        <ns0:v>8.08</ns0:v>
      </ns0:c>
      <ns0:c r="AQ362" s="87" t="n">
        <ns0:v>-20.49</ns0:v>
      </ns0:c>
      <ns0:c r="AR362" s="87" t="n">
        <ns0:v>-20.39</ns0:v>
      </ns0:c>
      <ns0:c r="AS362" s="87" t="n">
        <ns0:v>-1.71</ns0:v>
      </ns0:c>
      <ns0:c r="AT362" s="87" t="n">
        <ns0:v>-27.69</ns0:v>
      </ns0:c>
      <ns0:c r="AU362" s="87" t="n">
        <ns0:v>-27.6</ns0:v>
      </ns0:c>
      <ns0:c r="AV362" s="87" t="n">
        <ns0:v>6.14</ns0:v>
      </ns0:c>
      <ns0:c r="AW362" s="87" t="n">
        <ns0:v>-15.52</ns0:v>
      </ns0:c>
      <ns0:c r="AX362" s="87" t="n">
        <ns0:v>-10.61</ns0:v>
      </ns0:c>
      <ns0:c r="AY362" s="87" t="n">
        <ns0:v>-22.24</ns0:v>
      </ns0:c>
      <ns0:c r="AZ362" s="87" t="n">
        <ns0:v>-4.97</ns0:v>
      </ns0:c>
      <ns0:c r="BA362" s="87" t="n">
        <ns0:v>-5.45</ns0:v>
      </ns0:c>
      <ns0:c r="BB362" s="74" t="inlineStr">
        <ns0:is>
          <ns0:t>HSTECH (Hang Seng TECH ETF)</ns0:t>
        </ns0:is>
      </ns0:c>
      <ns0:c r="BC362" s="87" t="n">
        <ns0:v>-42.33</ns0:v>
      </ns0:c>
      <ns0:c r="BD362" s="75" t="n">
        <ns0:v>46297</ns0:v>
      </ns0:c>
      <ns0:c r="BE362" s="76" t="n">
        <ns0:v>2284.9</ns0:v>
      </ns0:c>
      <ns0:c r="BF362" s="79" t="n">
        <ns0:v>-112.6</ns0:v>
      </ns0:c>
      <ns0:c r="BG362" s="74" t="inlineStr">
        <ns0:is>
          <ns0:t>N</ns0:t>
        </ns0:is>
      </ns0:c>
      <ns0:c r="BH362" s="74" t="inlineStr">
        <ns0:is>
          <ns0:t>n/m</ns0:t>
        </ns0:is>
      </ns0:c>
      <ns0:c r="BI362" s="89" t="n">
        <ns0:v>293.1</ns0:v>
      </ns0:c>
      <ns0:c r="BJ362" s="89" t="n">
        <ns0:v>39.2</ns0:v>
      </ns0:c>
      <ns0:c r="BK362" s="89" t="n">
        <ns0:v>107.1</ns0:v>
      </ns0:c>
      <ns0:c r="BL362" s="90">
        <ns0:f>IFERROR(IF('BBG Verify'!S362="","Awaiting Bloomberg",'BBG Verify'!S362),"Awaiting Bloomberg")</ns0:f>
        <ns0:v/>
      </ns0:c>
      <ns0:c r="BM362" s="91" t="inlineStr">
        <ns0:is>
          <ns0:t>N</ns0:t>
        </ns0:is>
      </ns0:c>
      <ns0:c r="BN362" s="92">
        <ns0:f>IFERROR(IF('BBG Verify'!K362="","Awaiting Bloomberg",'BBG Verify'!K362),"Awaiting Bloomberg")</ns0:f>
        <ns0:v/>
      </ns0:c>
      <ns0:c r="BO362" s="74" t="inlineStr">
        <ns0:is>
          <ns0:t>N/A</ns0:t>
        </ns0:is>
      </ns0:c>
      <ns0:c r="BP362" s="74" t="inlineStr">
        <ns0:is>
          <ns0:t>N/A</ns0:t>
        </ns0:is>
      </ns0:c>
      <ns0:c r="BQ362" s="74" t="inlineStr">
        <ns0:is>
          <ns0:t>N/A</ns0:t>
        </ns0:is>
      </ns0:c>
      <ns0:c r="BR362" s="74" t="inlineStr">
        <ns0:is>
          <ns0:t>N/A</ns0:t>
        </ns0:is>
      </ns0:c>
      <ns0:c r="BS362" s="74" t="inlineStr">
        <ns0:is>
          <ns0:t>N/A</ns0:t>
        </ns0:is>
      </ns0:c>
      <ns0:c r="BT362" s="74" t="inlineStr">
        <ns0:is>
          <ns0:t>N/A</ns0:t>
        </ns0:is>
      </ns0:c>
      <ns0:c r="BU362" s="91" t="inlineStr">
        <ns0:is>
          <ns0:t>China International Capital Corporation Hong Kong Securities Limited; Guotai Junan Capital Limited; CMB International Capital Limited; Guotai Junan Securities (Hong Kong) Limited</ns0:t>
        </ns0:is>
      </ns0:c>
      <ns0:c r="BV362" s="74" t="inlineStr">
        <ns0:is>
          <ns0:t>China International Capital Corporation Hong Kong Securities Limited; Guotai Junan Capital Limited; CMB International Capital Limited</ns0:t>
        </ns0:is>
      </ns0:c>
      <ns0:c r="BW362" s="74" t="inlineStr">
        <ns0:is>
          <ns0: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ns0:t>
        </ns0:is>
      </ns0:c>
      <ns0:c r="BX362" s="74" t="inlineStr">
        <ns0:is>
          <ns0: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ns0:t>
        </ns0:is>
      </ns0:c>
      <ns0:c r="BY362" s="93">
        <ns0:f>HYPERLINK("https://www1.hkexnews.hk/listedco/listconews/sehk/2025/0908/2025090800017.pdf","prospectus")</ns0:f>
        <ns0:v/>
      </ns0:c>
      <ns0:c r="BZ362" s="93">
        <ns0:f>HYPERLINK("https://www1.hkexnews.hk/listedco/listconews/sehk/2025/0915/2025091501458.pdf","allotment")</ns0:f>
        <ns0:v/>
      </ns0:c>
      <ns0:c r="CA362" s="93">
        <ns0:f>HYPERLINK("https://www1.hkexnews.hk/listedco/listconews/sehk/2025/1012/2025101200001.pdf","stabilisation")</ns0:f>
        <ns0:v/>
      </ns0:c>
      <ns0:c r="CB362" s="94" t="n"/>
      <ns0:c r="CC362" s="74" t="inlineStr">
        <ns0:is>
          <ns0:t>P/E: loss-making at IPO, use P/S; range low: maximum offer price only, no floor published</ns0:t>
        </ns0:is>
      </ns0:c>
    </ns0:row>
    <ns0:row r="363" ht="22" customHeight="1">
      <ns0:c r="A363" s="73" t="inlineStr">
        <ns0:is>
          <ns0:t>2656</ns0:t>
        </ns0:is>
      </ns0:c>
      <ns0:c r="B363" s="74" t="inlineStr">
        <ns0:is>
          <ns0:t>160 HEALTH</ns0:t>
        </ns0:is>
      </ns0:c>
      <ns0:c r="C363" s="74" t="inlineStr">
        <ns0:is>
          <ns0:t>健康１６０</ns0:t>
        </ns0:is>
      </ns0:c>
      <ns0:c r="D363" s="74" t="inlineStr">
        <ns0:is>
          <ns0:t>Healthcare</ns0:t>
        </ns0:is>
      </ns0:c>
      <ns0:c r="E363" s="74" t="inlineStr">
        <ns0:is>
          <ns0:t>Digital health</ns0:t>
        </ns0:is>
      </ns0:c>
      <ns0:c r="F363" s="74" t="inlineStr">
        <ns0:is>
          <ns0:t>Health Care Supplies</ns0:t>
        </ns0:is>
      </ns0:c>
      <ns0:c r="G363" s="74" t="inlineStr">
        <ns0:is>
          <ns0:t>Standard</ns0:t>
        </ns0:is>
      </ns0:c>
      <ns0:c r="H363" s="75" t="n">
        <ns0:v>45917</ns0:v>
      </ns0:c>
      <ns0:c r="I363" s="76" t="n">
        <ns0:v>400</ns0:v>
      </ns0:c>
      <ns0:c r="J363" s="74" t="inlineStr">
        <ns0:is>
          <ns0:t>gross (stated)</ns0:t>
        </ns0:is>
      </ns0:c>
      <ns0:c r="K363" s="95" t="n"/>
      <ns0:c r="L363" s="77" t="n">
        <ns0:v>14.86</ns0:v>
      </ns0:c>
      <ns0:c r="M363" s="77" t="n">
        <ns0:v>11.89</ns0:v>
      </ns0:c>
      <ns0:c r="N363" s="74" t="inlineStr">
        <ns0:is>
          <ns0:t>N</ns0:t>
        </ns0:is>
      </ns0:c>
      <ns0:c r="O363" s="78" t="n">
        <ns0:v>80</ns0:v>
      </ns0:c>
      <ns0:c r="P363" s="84" t="n"/>
      <ns0:c r="Q363" s="79" t="n">
        <ns0:v>4000.4</ns0:v>
      </ns0:c>
      <ns0:c r="R363" s="74" t="inlineStr">
        <ns0:is>
          <ns0:t>derived:price x shares upon listing</ns0:t>
        </ns0:is>
      </ns0:c>
      <ns0:c r="S363" s="80" t="n">
        <ns0:v>751.77</ns0:v>
      </ns0:c>
      <ns0:c r="T363" s="81" t="n">
        <ns0:v>1.92</ns0:v>
      </ns0:c>
      <ns0:c r="U363" s="82" t="n">
        <ns0:v>0</ns0:v>
      </ns0:c>
      <ns0:c r="V363" s="83" t="n">
        <ns0:v>128</ns0:v>
      </ns0:c>
      <ns0:c r="W363" s="78" t="n">
        <ns0:v>10</ns0:v>
      </ns0:c>
      <ns0:c r="X363" s="74" t="inlineStr">
        <ns0:is>
          <ns0:t>NA</ns0:t>
        </ns0:is>
      </ns0:c>
      <ns0:c r="Y363" s="79" t="n">
        <ns0:v>400</ns0:v>
      </ns0:c>
      <ns0:c r="Z363" s="79" t="n">
        <ns0:v>33645500</ns0:v>
      </ns0:c>
      <ns0:c r="AA363" s="78" t="n">
        <ns0:v>10</ns0:v>
      </ns0:c>
      <ns0:c r="AB363" s="74" t="inlineStr">
        <ns0:is>
          <ns0:t>none — no cornerstone tranche</ns0:t>
        </ns0:is>
      </ns0:c>
      <ns0:c r="AC363" s="74" t="inlineStr">
        <ns0:is>
          <ns0:t>none</ns0:t>
        </ns0:is>
      </ns0:c>
      <ns0:c r="AD363" s="78" t="n">
        <ns0:v>11.33</ns0:v>
      </ns0:c>
      <ns0:c r="AE363" s="85" t="n"/>
      <ns0:c r="AF363" s="74" t="inlineStr">
        <ns0:is>
          <ns0:t>2025-10-12</ns0:t>
        </ns0:is>
      </ns0:c>
      <ns0:c r="AG363" s="74" t="inlineStr">
        <ns0:is>
          <ns0:t>Shenwan Hongyuan Securities</ns0:t>
        </ns0:is>
      </ns0:c>
      <ns0:c r="AH363" s="74" t="inlineStr">
        <ns0:is>
          <ns0:t>Shenwan Hongyuan</ns0:t>
        </ns0:is>
      </ns0:c>
      <ns0:c r="AI363" s="86" t="n">
        <ns0:v>143.9</ns0:v>
      </ns0:c>
      <ns0:c r="AJ363" s="87" t="n">
        <ns0:v>137.34</ns0:v>
      </ns0:c>
      <ns0:c r="AK363" s="87" t="n">
        <ns0:v>0.15</ns0:v>
      </ns0:c>
      <ns0:c r="AL363" s="87" t="n">
        <ns0:v>152.14</ns0:v>
      </ns0:c>
      <ns0:c r="AM363" s="87" t="n">
        <ns0:v>-5.87</ns0:v>
      </ns0:c>
      <ns0:c r="AN363" s="89" t="n">
        <ns0:v>2.1</ns0:v>
      </ns0:c>
      <ns0:c r="AO363" s="78" t="n">
        <ns0:v>21.95</ns0:v>
      </ns0:c>
      <ns0:c r="AP363" s="87" t="n">
        <ns0:v>139.7</ns0:v>
      </ns0:c>
      <ns0:c r="AQ363" s="87" t="n">
        <ns0:v>236.92</ns0:v>
      </ns0:c>
      <ns0:c r="AR363" s="87" t="n">
        <ns0:v>337.76</ns0:v>
      </ns0:c>
      <ns0:c r="AS363" s="87" t="n">
        <ns0:v>0.99</ns0:v>
      </ns0:c>
      <ns0:c r="AT363" s="87" t="n">
        <ns0:v>41.96</ns0:v>
      </ns0:c>
      <ns0:c r="AU363" s="87" t="n">
        <ns0:v>84.44</ns0:v>
      </ns0:c>
      <ns0:c r="AV363" s="87" t="n">
        <ns0:v>140.29</ns0:v>
      </ns0:c>
      <ns0:c r="AW363" s="87" t="n">
        <ns0:v>243.75</ns0:v>
      </ns0:c>
      <ns0:c r="AX363" s="87" t="n">
        <ns0:v>351.57</ns0:v>
      </ns0:c>
      <ns0:c r="AY363" s="87" t="n">
        <ns0:v>48.94</ns0:v>
      </ns0:c>
      <ns0:c r="AZ363" s="87" t="n">
        <ns0:v>-6.83</ns0:v>
      </ns0:c>
      <ns0:c r="BA363" s="87" t="n">
        <ns0:v>-6.98</ns0:v>
      </ns0:c>
      <ns0:c r="BB363" s="74" t="inlineStr">
        <ns0:is>
          <ns0:t>China Biotech ETF (HS biotech proxy)</ns0:t>
        </ns0:is>
      </ns0:c>
      <ns0:c r="BC363" s="87" t="n">
        <ns0:v>-68.55</ns0:v>
      </ns0:c>
      <ns0:c r="BD363" s="75" t="n">
        <ns0:v>46297</ns0:v>
      </ns0:c>
      <ns0:c r="BE363" s="76" t="n">
        <ns0:v>682.8</ns0:v>
      </ns0:c>
      <ns0:c r="BF363" s="79" t="n">
        <ns0:v>-119.1</ns0:v>
      </ns0:c>
      <ns0:c r="BG363" s="74" t="inlineStr">
        <ns0:is>
          <ns0:t>N</ns0:t>
        </ns0:is>
      </ns0:c>
      <ns0:c r="BH363" s="74" t="inlineStr">
        <ns0:is>
          <ns0:t>n/m</ns0:t>
        </ns0:is>
      </ns0:c>
      <ns0:c r="BI363" s="88" t="n"/>
      <ns0:c r="BJ363" s="88" t="n"/>
      <ns0:c r="BK363" s="89" t="n">
        <ns0:v>5.9</ns0:v>
      </ns0:c>
      <ns0:c r="BL363" s="90">
        <ns0:f>IFERROR(IF('BBG Verify'!S363="","Awaiting Bloomberg",'BBG Verify'!S363),"Awaiting Bloomberg")</ns0:f>
        <ns0:v/>
      </ns0:c>
      <ns0:c r="BM363" s="91" t="inlineStr">
        <ns0:is>
          <ns0:t>N</ns0:t>
        </ns0:is>
      </ns0:c>
      <ns0:c r="BN363" s="92">
        <ns0:f>IFERROR(IF('BBG Verify'!K363="","Awaiting Bloomberg",'BBG Verify'!K363),"Awaiting Bloomberg")</ns0:f>
        <ns0:v/>
      </ns0:c>
      <ns0:c r="BO363" s="74" t="inlineStr">
        <ns0:is>
          <ns0:t>N/A</ns0:t>
        </ns0:is>
      </ns0:c>
      <ns0:c r="BP363" s="74" t="inlineStr">
        <ns0:is>
          <ns0:t>N/A</ns0:t>
        </ns0:is>
      </ns0:c>
      <ns0:c r="BQ363" s="74" t="inlineStr">
        <ns0:is>
          <ns0:t>N/A</ns0:t>
        </ns0:is>
      </ns0:c>
      <ns0:c r="BR363" s="74" t="inlineStr">
        <ns0:is>
          <ns0:t>N/A</ns0:t>
        </ns0:is>
      </ns0:c>
      <ns0:c r="BS363" s="74" t="inlineStr">
        <ns0:is>
          <ns0:t>N/A</ns0:t>
        </ns0:is>
      </ns0:c>
      <ns0:c r="BT363" s="74" t="inlineStr">
        <ns0:is>
          <ns0:t>N/A</ns0:t>
        </ns0:is>
      </ns0:c>
      <ns0:c r="BU363" s="91" t="inlineStr">
        <ns0:is>
          <ns0:t>Shenwan Hongyuan Capital (H.K.) Limited; Zero2IPO Capital Limited</ns0:t>
        </ns0:is>
      </ns0:c>
      <ns0:c r="BV363" s="74" t="inlineStr">
        <ns0:is>
          <ns0:t>Zero2IPO Capital Limited; Shenwan Hongyuan Capital (H.K.) Limited</ns0:t>
        </ns0:is>
      </ns0:c>
      <ns0:c r="BW363" s="74" t="inlineStr">
        <ns0:is>
          <ns0: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ns0:t>
        </ns0:is>
      </ns0:c>
      <ns0:c r="BX363" s="74" t="inlineStr">
        <ns0:is>
          <ns0:t>ABCI Securities Company Limited; BOCI Asia Limited; Eddid Securities and Futures Limited; Innovation Securities Co., Limited; Livermore Holdings Limited; South China Securities Limited; Shenwan Hongyuan Securities (H.K.) Limited; Sun Securities Limited</ns0:t>
        </ns0:is>
      </ns0:c>
      <ns0:c r="BY363" s="93">
        <ns0:f>HYPERLINK("https://www1.hkexnews.hk/listedco/listconews/sehk/2025/0909/2025090900019.pdf","prospectus")</ns0:f>
        <ns0:v/>
      </ns0:c>
      <ns0:c r="BZ363" s="93">
        <ns0:f>HYPERLINK("https://www1.hkexnews.hk/listedco/listconews/sehk/2025/0916/2025091601472.pdf","allotment")</ns0:f>
        <ns0:v/>
      </ns0:c>
      <ns0:c r="CA363" s="85" t="n"/>
      <ns0:c r="CB363" s="94" t="n"/>
      <ns0:c r="CC363" s="74" t="inlineStr">
        <ns0:is>
          <ns0:t>P/E: loss-making at IPO, use P/S; greenshoe: end-of-stabilisation notice not found; range low: maximum offer price only, no floor published; market cap: prospectus 'market capitalisation' line is the listing-rule threshold, not the issuer's figure; rejected; cornerstone list: no cornerstone tranche</ns0:t>
        </ns0:is>
      </ns0:c>
    </ns0:row>
    <ns0:row r="364" ht="22" customHeight="1">
      <ns0:c r="A364" s="73" t="inlineStr">
        <ns0:is>
          <ns0:t>2595</ns0:t>
        </ns0:is>
      </ns0:c>
      <ns0:c r="B364" s="74" t="inlineStr">
        <ns0:is>
          <ns0:t>GENFLEET-B</ns0:t>
        </ns0:is>
      </ns0:c>
      <ns0:c r="C364" s="74" t="inlineStr">
        <ns0:is>
          <ns0:t>勁方醫藥－Ｂ</ns0:t>
        </ns0:is>
      </ns0:c>
      <ns0:c r="D364" s="74" t="inlineStr">
        <ns0:is>
          <ns0:t>Healthcare</ns0:t>
        </ns0:is>
      </ns0:c>
      <ns0:c r="E364" s="74" t="inlineStr">
        <ns0:is>
          <ns0:t>Biotech pre-revenue (18A)</ns0:t>
        </ns0:is>
      </ns0:c>
      <ns0:c r="F364" s="74" t="inlineStr">
        <ns0:is>
          <ns0:t>Biotechnology - Pharmaceuticals</ns0:t>
        </ns0:is>
      </ns0:c>
      <ns0:c r="G364" s="74" t="inlineStr">
        <ns0:is>
          <ns0:t>18A</ns0:t>
        </ns0:is>
      </ns0:c>
      <ns0:c r="H364" s="75" t="n">
        <ns0:v>45919</ns0:v>
      </ns0:c>
      <ns0:c r="I364" s="76" t="n">
        <ns0:v>1819.6</ns0:v>
      </ns0:c>
      <ns0:c r="J364" s="74" t="inlineStr">
        <ns0:is>
          <ns0:t>gross (stated)</ns0:t>
        </ns0:is>
      </ns0:c>
      <ns0:c r="K364" s="95" t="n"/>
      <ns0:c r="L364" s="77" t="n">
        <ns0:v>20.39</ns0:v>
      </ns0:c>
      <ns0:c r="M364" s="77" t="n">
        <ns0:v>20.39</ns0:v>
      </ns0:c>
      <ns0:c r="N364" s="74" t="inlineStr">
        <ns0:is>
          <ns0:t>Y</ns0:t>
        </ns0:is>
      </ns0:c>
      <ns0:c r="O364" s="78" t="n">
        <ns0:v>100</ns0:v>
      </ns0:c>
      <ns0:c r="P364" s="84" t="n"/>
      <ns0:c r="Q364" s="79" t="n">
        <ns0:v>7041.5</ns0:v>
      </ns0:c>
      <ns0:c r="R364" s="74" t="inlineStr">
        <ns0:is>
          <ns0:t>prospectus:stated market capitalisation</ns0:t>
        </ns0:is>
      </ns0:c>
      <ns0:c r="S364" s="80" t="n">
        <ns0:v>2662.79</ns0:v>
      </ns0:c>
      <ns0:c r="T364" s="81" t="n">
        <ns0:v>39.05</ns0:v>
      </ns0:c>
      <ns0:c r="U364" s="82" t="n">
        <ns0:v>42.84</ns0:v>
      </ns0:c>
      <ns0:c r="V364" s="83" t="n">
        <ns0:v>162</ns0:v>
      </ns0:c>
      <ns0:c r="W364" s="78" t="n">
        <ns0:v>8.699999999999999</ns0:v>
      </ns0:c>
      <ns0:c r="X364" s="74" t="inlineStr">
        <ns0:is>
          <ns0:t>NA</ns0:t>
        </ns0:is>
      </ns0:c>
      <ns0:c r="Y364" s="79" t="n">
        <ns0:v>1040.08</ns0:v>
      </ns0:c>
      <ns0:c r="Z364" s="79" t="n">
        <ns0:v>51009584</ns0:v>
      </ns0:c>
      <ns0:c r="AA364" s="78" t="n">
        <ns0:v>14.77</ns0:v>
      </ns0:c>
      <ns0:c r="AB364" s="74" t="inlineStr">
        <ns0:is>
          <ns0:t>RTW Master Fund, Ltd; RTW Innovation Master Fund, Ltd; RTW Biotech Opportunities Operating Ltd; TruMed Health Innovation Fund LP; TruMed Healthcare Master Fund; OrbiMed Genesis Master Fund, L.P; OrbiMed Partners Master Fund Limited; The Biotech Growth Trust PLC; UBS Asset Management (Singapore) Ltd; Vivo Opportunity Fund Holdings, L.P; Vivo Opportunity Caymen Fund, L.P; China Universal Asset Management (Hong Kong) Company Limited; Fullgoal Fund Management Co., Ltd; Fullgoal Asset Management (HK) Limited; CITIC Securities International Capital Management Limited (in connection with Tibet Longrising OTC Swaps); LBC HK Opportunity Fund Limited; Lake Bleu Prime Healthcare Fund; Lake Bleu Innovation Fund</ns0:t>
        </ns0:is>
      </ns0:c>
      <ns0:c r="AC364" s="74" t="inlineStr">
        <ns0:is>
          <ns0:t>rtw;trumed;orbimed;biotech;ubs;vivo;universal;fullgoal;citic;lbc;lake</ns0:t>
        </ns0:is>
      </ns0:c>
      <ns0:c r="AD364" s="78" t="n">
        <ns0:v>15</ns0:v>
      </ns0:c>
      <ns0:c r="AE364" s="74" t="inlineStr">
        <ns0:is>
          <ns0:t>full</ns0:t>
        </ns0:is>
      </ns0:c>
      <ns0:c r="AF364" s="74" t="inlineStr">
        <ns0:is>
          <ns0:t>2025-10-16</ns0:t>
        </ns0:is>
      </ns0:c>
      <ns0:c r="AG364" s="74" t="inlineStr">
        <ns0:is>
          <ns0:t>CLSA Limited</ns0:t>
        </ns0:is>
      </ns0:c>
      <ns0:c r="AH364" s="74" t="inlineStr">
        <ns0:is>
          <ns0:t>CLSA</ns0:t>
        </ns0:is>
      </ns0:c>
      <ns0:c r="AI364" s="86" t="n">
        <ns0:v>102.16</ns0:v>
      </ns0:c>
      <ns0:c r="AJ364" s="87" t="n">
        <ns0:v>106.47</ns0:v>
      </ns0:c>
      <ns0:c r="AK364" s="87" t="n">
        <ns0:v>-1.69</ns0:v>
      </ns0:c>
      <ns0:c r="AL364" s="87" t="n">
        <ns0:v>115.79</ns0:v>
      </ns0:c>
      <ns0:c r="AM364" s="87" t="n">
        <ns0:v>-4.32</ns0:v>
      </ns0:c>
      <ns0:c r="AN364" s="89" t="n">
        <ns0:v>4.5</ns0:v>
      </ns0:c>
      <ns0:c r="AO364" s="78" t="n">
        <ns0:v>18.64</ns0:v>
      </ns0:c>
      <ns0:c r="AP364" s="87" t="n">
        <ns0:v>87.34999999999999</ns0:v>
      </ns0:c>
      <ns0:c r="AQ364" s="87" t="n">
        <ns0:v>30.06</ns0:v>
      </ns0:c>
      <ns0:c r="AR364" s="87" t="n">
        <ns0:v>25.75</ns0:v>
      </ns0:c>
      <ns0:c r="AS364" s="87" t="n">
        <ns0:v>-9.26</ns0:v>
      </ns0:c>
      <ns0:c r="AT364" s="87" t="n">
        <ns0:v>-37.01</ns0:v>
      </ns0:c>
      <ns0:c r="AU364" s="87" t="n">
        <ns0:v>-39.1</ns0:v>
      </ns0:c>
      <ns0:c r="AV364" s="87" t="n">
        <ns0:v>89.94</ns0:v>
      </ns0:c>
      <ns0:c r="AW364" s="87" t="n">
        <ns0:v>37.77</ns0:v>
      </ns0:c>
      <ns0:c r="AX364" s="87" t="n">
        <ns0:v>39.29</ns0:v>
      </ns0:c>
      <ns0:c r="AY364" s="87" t="n">
        <ns0:v>-30.89</ns0:v>
      </ns0:c>
      <ns0:c r="AZ364" s="87" t="n">
        <ns0:v>-7.71</ns0:v>
      </ns0:c>
      <ns0:c r="BA364" s="87" t="n">
        <ns0:v>-6.12</ns0:v>
      </ns0:c>
      <ns0:c r="BB364" s="74" t="inlineStr">
        <ns0:is>
          <ns0:t>China Biotech ETF (HS biotech proxy)</ns0:t>
        </ns0:is>
      </ns0:c>
      <ns0:c r="BC364" s="87" t="n">
        <ns0:v>56.65</ns0:v>
      </ns0:c>
      <ns0:c r="BD364" s="75" t="n">
        <ns0:v>46297</ns0:v>
      </ns0:c>
      <ns0:c r="BE364" s="76" t="n">
        <ns0:v>115.2</ns0:v>
      </ns0:c>
      <ns0:c r="BF364" s="79" t="n">
        <ns0:v>-745.4</ns0:v>
      </ns0:c>
      <ns0:c r="BG364" s="74" t="inlineStr">
        <ns0:is>
          <ns0:t>N</ns0:t>
        </ns0:is>
      </ns0:c>
      <ns0:c r="BH364" s="74" t="inlineStr">
        <ns0:is>
          <ns0:t>n/m</ns0:t>
        </ns0:is>
      </ns0:c>
      <ns0:c r="BI364" s="88" t="n"/>
      <ns0:c r="BJ364" s="88" t="n"/>
      <ns0:c r="BK364" s="89" t="n">
        <ns0:v>61.1</ns0:v>
      </ns0:c>
      <ns0:c r="BL364" s="90">
        <ns0:f>IFERROR(IF('BBG Verify'!S364="","Awaiting Bloomberg",'BBG Verify'!S364),"Awaiting Bloomberg")</ns0:f>
        <ns0:v/>
      </ns0:c>
      <ns0:c r="BM364" s="91" t="inlineStr">
        <ns0:is>
          <ns0:t>N</ns0:t>
        </ns0:is>
      </ns0:c>
      <ns0:c r="BN364" s="92">
        <ns0:f>IFERROR(IF('BBG Verify'!K364="","Awaiting Bloomberg",'BBG Verify'!K364),"Awaiting Bloomberg")</ns0:f>
        <ns0:v/>
      </ns0:c>
      <ns0:c r="BO364" s="74" t="inlineStr">
        <ns0:is>
          <ns0:t>N/A</ns0:t>
        </ns0:is>
      </ns0:c>
      <ns0:c r="BP364" s="74" t="inlineStr">
        <ns0:is>
          <ns0:t>N/A</ns0:t>
        </ns0:is>
      </ns0:c>
      <ns0:c r="BQ364" s="74" t="inlineStr">
        <ns0:is>
          <ns0:t>N/A</ns0:t>
        </ns0:is>
      </ns0:c>
      <ns0:c r="BR364" s="74" t="inlineStr">
        <ns0:is>
          <ns0:t>N/A</ns0:t>
        </ns0:is>
      </ns0:c>
      <ns0:c r="BS364" s="74" t="inlineStr">
        <ns0:is>
          <ns0:t>N/A</ns0:t>
        </ns0:is>
      </ns0:c>
      <ns0:c r="BT364" s="74" t="inlineStr">
        <ns0:is>
          <ns0:t>N/A</ns0:t>
        </ns0:is>
      </ns0:c>
      <ns0:c r="BU364" s="91" t="inlineStr">
        <ns0:is>
          <ns0:t>CITIC Securities (Hong Kong) Limited; CLSA Limited</ns0:t>
        </ns0:is>
      </ns0:c>
      <ns0:c r="BV364" s="74" t="inlineStr">
        <ns0:is>
          <ns0:t>CITIC Securities (Hong Kong) Limited</ns0:t>
        </ns0:is>
      </ns0:c>
      <ns0:c r="BW364" s="74" t="inlineStr">
        <ns0:is>
          <ns0:t>CLSA Limited; Fosun International Securities Limited; ABCI Capital Limited; CCB International Capital Limited; BOCOM International Securities Limited; China Renaissance Securities (Hong Kong) Limited; GF Securities (Hong Kong) Brokerage Limited</ns0:t>
        </ns0:is>
      </ns0:c>
      <ns0:c r="BX364" s="74" t="inlineStr">
        <ns0:is>
          <ns0:t>ABCI Securities Company Limited; BOCOM International Securities Limited; CCB International Capital Limited; CLSA Limited; China Renaissance Securities (Hong Kong) Limited; Fosun International Securities Limited; GF Securities (Hong Kong) Brokerage Limited</ns0:t>
        </ns0:is>
      </ns0:c>
      <ns0:c r="BY364" s="93">
        <ns0:f>HYPERLINK("https://www1.hkexnews.hk/listedco/listconews/sehk/2025/0911/2025091100031.pdf","prospectus")</ns0:f>
        <ns0:v/>
      </ns0:c>
      <ns0:c r="BZ364" s="93">
        <ns0:f>HYPERLINK("https://www1.hkexnews.hk/listedco/listconews/sehk/2025/0918/2025091801757.pdf","allotment")</ns0:f>
        <ns0:v/>
      </ns0:c>
      <ns0:c r="CA364" s="93">
        <ns0:f>HYPERLINK("https://www1.hkexnews.hk/listedco/listconews/sehk/2025/1016/2025101601000.pdf","stabilisation")</ns0:f>
        <ns0:v/>
      </ns0:c>
      <ns0:c r="CB364" s="94" t="n"/>
      <ns0:c r="CC364" s="74" t="inlineStr">
        <ns0:is>
          <ns0:t>P/E: loss-making at IPO, use P/S; range low: maximum offer price only, no floor published</ns0:t>
        </ns0:is>
      </ns0:c>
    </ns0:row>
    <ns0:row r="365" ht="22" customHeight="1">
      <ns0:c r="A365" s="73" t="inlineStr">
        <ns0:is>
          <ns0:t>6090</ns0:t>
        </ns0:is>
      </ns0:c>
      <ns0:c r="B365" s="74" t="inlineStr">
        <ns0:is>
          <ns0:t>BUTONG GROUP</ns0:t>
        </ns0:is>
      </ns0:c>
      <ns0:c r="C365" s="74" t="inlineStr">
        <ns0:is>
          <ns0:t>不同集團</ns0:t>
        </ns0:is>
      </ns0:c>
      <ns0:c r="D365" s="74" t="inlineStr">
        <ns0:is>
          <ns0:t>Consumer</ns0:t>
        </ns0:is>
      </ns0:c>
      <ns0:c r="E365" s="74" t="inlineStr">
        <ns0:is>
          <ns0:t>Retail / distribution</ns0:t>
        </ns0:is>
      </ns0:c>
      <ns0:c r="F365" s="74" t="inlineStr">
        <ns0:is>
          <ns0:t>Children's and Infant Products</ns0:t>
        </ns0:is>
      </ns0:c>
      <ns0:c r="G365" s="74" t="inlineStr">
        <ns0:is>
          <ns0:t>Standard</ns0:t>
        </ns0:is>
      </ns0:c>
      <ns0:c r="H365" s="75" t="n">
        <ns0:v>45923</ns0:v>
      </ns0:c>
      <ns0:c r="I365" s="76" t="n">
        <ns0:v>781.84</ns0:v>
      </ns0:c>
      <ns0:c r="J365" s="74" t="inlineStr">
        <ns0:is>
          <ns0:t>gross (stated)</ns0:t>
        </ns0:is>
      </ns0:c>
      <ns0:c r="K365" s="77" t="n">
        <ns0:v>62.01</ns0:v>
      </ns0:c>
      <ns0:c r="L365" s="77" t="n">
        <ns0:v>71.2</ns0:v>
      </ns0:c>
      <ns0:c r="M365" s="77" t="n">
        <ns0:v>71.2</ns0:v>
      </ns0:c>
      <ns0:c r="N365" s="74" t="inlineStr">
        <ns0:is>
          <ns0:t>Y</ns0:t>
        </ns0:is>
      </ns0:c>
      <ns0:c r="O365" s="78" t="n">
        <ns0:v>100</ns0:v>
      </ns0:c>
      <ns0:c r="P365" s="78" t="n">
        <ns0:v>100</ns0:v>
      </ns0:c>
      <ns0:c r="Q365" s="79" t="n">
        <ns0:v>6461.5</ns0:v>
      </ns0:c>
      <ns0:c r="R365" s="74" t="inlineStr">
        <ns0:is>
          <ns0:t>derived:price x shares upon listing</ns0:t>
        </ns0:is>
      </ns0:c>
      <ns0:c r="S365" s="80" t="n">
        <ns0:v>3317.47</ns0:v>
      </ns0:c>
      <ns0:c r="T365" s="81" t="n">
        <ns0:v>7.37</ns0:v>
      </ns0:c>
      <ns0:c r="U365" s="82" t="n">
        <ns0:v>14.96</ns0:v>
      </ns0:c>
      <ns0:c r="V365" s="83" t="n">
        <ns0:v>333</ns0:v>
      </ns0:c>
      <ns0:c r="W365" s="78" t="n">
        <ns0:v>10</ns0:v>
      </ns0:c>
      <ns0:c r="X365" s="74" t="inlineStr">
        <ns0:is>
          <ns0:t>NA</ns0:t>
        </ns0:is>
      </ns0:c>
      <ns0:c r="Y365" s="79" t="n">
        <ns0:v>664.88</ns0:v>
      </ns0:c>
      <ns0:c r="Z365" s="79" t="n">
        <ns0:v>9338157</ns0:v>
      </ns0:c>
      <ns0:c r="AA365" s="78" t="n">
        <ns0:v>10.29</ns0:v>
      </ns0:c>
      <ns0:c r="AB365" s="74" t="inlineStr">
        <ns0:is>
          <ns0:t>Multi-Strategy SPC - Bosideng Industry Investment Fund SP; Shanghai Tongyi Investment Management Co., Ltd. and Huatai Capital Investment Limited (in connection with a back-to-back total return swap); Great Praise Investment SPC - Selected AI Fund SP</ns0:t>
        </ns0:is>
      </ns0:c>
      <ns0:c r="AC365" s="74" t="inlineStr">
        <ns0:is>
          <ns0:t>multi;shanghai-tongyi;great-praise</ns0:t>
        </ns0:is>
      </ns0:c>
      <ns0:c r="AD365" s="78" t="n">
        <ns0:v>5.95</ns0:v>
      </ns0:c>
      <ns0:c r="AE365" s="85" t="n"/>
      <ns0:c r="AF365" s="74" t="inlineStr">
        <ns0:is>
          <ns0:t>2025-10-17</ns0:t>
        </ns0:is>
      </ns0:c>
      <ns0:c r="AG365" s="74" t="inlineStr">
        <ns0:is>
          <ns0:t>CLSA Limited</ns0:t>
        </ns0:is>
      </ns0:c>
      <ns0:c r="AH365" s="74" t="inlineStr">
        <ns0:is>
          <ns0:t>CLSA</ns0:t>
        </ns0:is>
      </ns0:c>
      <ns0:c r="AI365" s="86" t="n">
        <ns0:v>54.21</ns0:v>
      </ns0:c>
      <ns0:c r="AJ365" s="87" t="n">
        <ns0:v>43.96</ns0:v>
      </ns0:c>
      <ns0:c r="AK365" s="87" t="n">
        <ns0:v>-1.12</ns0:v>
      </ns0:c>
      <ns0:c r="AL365" s="87" t="n">
        <ns0:v>41.01</ns0:v>
      </ns0:c>
      <ns0:c r="AM365" s="87" t="n">
        <ns0:v>2.09</ns0:v>
      </ns0:c>
      <ns0:c r="AN365" s="89" t="n">
        <ns0:v>3.42</ns0:v>
      </ns0:c>
      <ns0:c r="AO365" s="78" t="n">
        <ns0:v>17.63</ns0:v>
      </ns0:c>
      <ns0:c r="AP365" s="87" t="n">
        <ns0:v>46.07</ns0:v>
      </ns0:c>
      <ns0:c r="AQ365" s="87" t="n">
        <ns0:v>36.31</ns0:v>
      </ns0:c>
      <ns0:c r="AR365" s="87" t="n">
        <ns0:v>44.66</ns0:v>
      </ns0:c>
      <ns0:c r="AS365" s="87" t="n">
        <ns0:v>1.47</ns0:v>
      </ns0:c>
      <ns0:c r="AT365" s="87" t="n">
        <ns0:v>-5.31</ns0:v>
      </ns0:c>
      <ns0:c r="AU365" s="87" t="n">
        <ns0:v>0.49</ns0:v>
      </ns0:c>
      <ns0:c r="AV365" s="87" t="n">
        <ns0:v>43.57</ns0:v>
      </ns0:c>
      <ns0:c r="AW365" s="87" t="n">
        <ns0:v>38.3</ns0:v>
      </ns0:c>
      <ns0:c r="AX365" s="87" t="n">
        <ns0:v>53.02</ns0:v>
      </ns0:c>
      <ns0:c r="AY365" s="87" t="n">
        <ns0:v>-4.43</ns0:v>
      </ns0:c>
      <ns0:c r="AZ365" s="87" t="n">
        <ns0:v>-1.99</ns0:v>
      </ns0:c>
      <ns0:c r="BA365" s="87" t="n">
        <ns0:v>-0.88</ns0:v>
      </ns0:c>
      <ns0:c r="BB365" s="74" t="inlineStr">
        <ns0:is>
          <ns0:t>Hang Seng Commerce &amp; Industry sub-index</ns0:t>
        </ns0:is>
      </ns0:c>
      <ns0:c r="BC365" s="87" t="n">
        <ns0:v>-42.53</ns0:v>
      </ns0:c>
      <ns0:c r="BD365" s="75" t="n">
        <ns0:v>46297</ns0:v>
      </ns0:c>
      <ns0:c r="BE365" s="76" t="n">
        <ns0:v>1373.8</ns0:v>
      </ns0:c>
      <ns0:c r="BF365" s="79" t="n">
        <ns0:v>64.40000000000001</ns0:v>
      </ns0:c>
      <ns0:c r="BG365" s="74" t="inlineStr">
        <ns0:is>
          <ns0:t>Y</ns0:t>
        </ns0:is>
      </ns0:c>
      <ns0:c r="BH365" s="89" t="n">
        <ns0:v>100.3</ns0:v>
      </ns0:c>
      <ns0:c r="BI365" s="88" t="n"/>
      <ns0:c r="BJ365" s="88" t="n"/>
      <ns0:c r="BK365" s="89" t="n">
        <ns0:v>4.7</ns0:v>
      </ns0:c>
      <ns0:c r="BL365" s="90">
        <ns0:f>IFERROR(IF('BBG Verify'!S365="","Awaiting Bloomberg",'BBG Verify'!S365),"Awaiting Bloomberg")</ns0:f>
        <ns0:v/>
      </ns0:c>
      <ns0:c r="BM365" s="91" t="inlineStr">
        <ns0:is>
          <ns0:t>N</ns0:t>
        </ns0:is>
      </ns0:c>
      <ns0:c r="BN365" s="92">
        <ns0:f>IFERROR(IF('BBG Verify'!K365="","Awaiting Bloomberg",'BBG Verify'!K365),"Awaiting Bloomberg")</ns0:f>
        <ns0:v/>
      </ns0:c>
      <ns0:c r="BO365" s="74" t="inlineStr">
        <ns0:is>
          <ns0:t>N/A</ns0:t>
        </ns0:is>
      </ns0:c>
      <ns0:c r="BP365" s="74" t="inlineStr">
        <ns0:is>
          <ns0:t>N/A</ns0:t>
        </ns0:is>
      </ns0:c>
      <ns0:c r="BQ365" s="74" t="inlineStr">
        <ns0:is>
          <ns0:t>N/A</ns0:t>
        </ns0:is>
      </ns0:c>
      <ns0:c r="BR365" s="74" t="inlineStr">
        <ns0:is>
          <ns0:t>N/A</ns0:t>
        </ns0:is>
      </ns0:c>
      <ns0:c r="BS365" s="74" t="inlineStr">
        <ns0:is>
          <ns0:t>N/A</ns0:t>
        </ns0:is>
      </ns0:c>
      <ns0:c r="BT365" s="74" t="inlineStr">
        <ns0:is>
          <ns0:t>N/A</ns0:t>
        </ns0:is>
      </ns0:c>
      <ns0:c r="BU365" s="91" t="inlineStr">
        <ns0:is>
          <ns0:t>CITIC Securities (Hong Kong) Limited; Haitong International Capital Limited</ns0:t>
        </ns0:is>
      </ns0:c>
      <ns0:c r="BV365" s="74" t="inlineStr">
        <ns0:is>
          <ns0:t>Haitong International Capital Limited; CITIC Securities (Hong Kong) Limited</ns0:t>
        </ns0:is>
      </ns0:c>
      <ns0:c r="BW365" s="74" t="inlineStr">
        <ns0:is>
          <ns0:t>CLSA Limited; Haitong International Securities Company Limited; Futu Securities International (Hong Kong) Limited; SPDB International Capital Limited; Livermore Holdings Limited; Patrons Securities Limited</ns0:t>
        </ns0:is>
      </ns0:c>
      <ns0:c r="BX365" s="74" t="inlineStr">
        <ns0:is>
          <ns0:t>CLSA Limited; Futu Securities International (Hong Kong) Limited; Huatai Financial Holdings (Hong Kong) Limited; Haitong International Securities Company Limited; Livermore Holdings Limited; Patrons Securities Limited; SPDB International Capital Limited</ns0:t>
        </ns0:is>
      </ns0:c>
      <ns0:c r="BY365" s="93">
        <ns0:f>HYPERLINK("https://www1.hkexnews.hk/listedco/listconews/sehk/2025/0915/2025091500009.pdf","prospectus")</ns0:f>
        <ns0:v/>
      </ns0:c>
      <ns0:c r="BZ365" s="93">
        <ns0:f>HYPERLINK("https://www1.hkexnews.hk/listedco/listconews/sehk/2025/0922/2025092201984.pdf","allotment")</ns0:f>
        <ns0:v/>
      </ns0:c>
      <ns0:c r="CA365" s="85" t="n"/>
      <ns0:c r="CB365" s="94" t="n"/>
      <ns0:c r="CC365" s="74" t="inlineStr">
        <ns0:is>
          <ns0:t>greenshoe: end-of-stabilisation notice not found</ns0:t>
        </ns0:is>
      </ns0:c>
    </ns0:row>
    <ns0:row r="366" ht="22" customHeight="1">
      <ns0:c r="A366" s="73" t="inlineStr">
        <ns0:is>
          <ns0:t>9973</ns0:t>
        </ns0:is>
      </ns0:c>
      <ns0:c r="B366" s="74" t="inlineStr">
        <ns0:is>
          <ns0:t>CHERY AUTO</ns0:t>
        </ns0:is>
      </ns0:c>
      <ns0:c r="C366" s="74" t="inlineStr">
        <ns0:is>
          <ns0:t>奇瑞汽車</ns0:t>
        </ns0:is>
      </ns0:c>
      <ns0:c r="D366" s="74" t="inlineStr">
        <ns0:is>
          <ns0:t>Consumer</ns0:t>
        </ns0:is>
      </ns0:c>
      <ns0:c r="E366" s="74" t="inlineStr">
        <ns0:is>
          <ns0:t>Autos (NEV OEM)</ns0:t>
        </ns0:is>
      </ns0:c>
      <ns0:c r="F366" s="74" t="inlineStr">
        <ns0:is>
          <ns0:t>Automobile Manufacturers</ns0:t>
        </ns0:is>
      </ns0:c>
      <ns0:c r="G366" s="74" t="inlineStr">
        <ns0:is>
          <ns0:t>Standard</ns0:t>
        </ns0:is>
      </ns0:c>
      <ns0:c r="H366" s="75" t="n">
        <ns0:v>45925</ns0:v>
      </ns0:c>
      <ns0:c r="I366" s="76" t="n">
        <ns0:v>9145</ns0:v>
      </ns0:c>
      <ns0:c r="J366" s="74" t="inlineStr">
        <ns0:is>
          <ns0:t>gross (stated)</ns0:t>
        </ns0:is>
      </ns0:c>
      <ns0:c r="K366" s="95" t="n"/>
      <ns0:c r="L366" s="77" t="n">
        <ns0:v>30.75</ns0:v>
      </ns0:c>
      <ns0:c r="M366" s="77" t="n">
        <ns0:v>30.75</ns0:v>
      </ns0:c>
      <ns0:c r="N366" s="74" t="inlineStr">
        <ns0:is>
          <ns0:t>Y</ns0:t>
        </ns0:is>
      </ns0:c>
      <ns0:c r="O366" s="78" t="n">
        <ns0:v>100</ns0:v>
      </ns0:c>
      <ns0:c r="P366" s="84" t="n"/>
      <ns0:c r="Q366" s="79" t="n">
        <ns0:v>160041</ns0:v>
      </ns0:c>
      <ns0:c r="R366" s="74" t="inlineStr">
        <ns0:is>
          <ns0:t>prospectus:stated market capitalisation</ns0:t>
        </ns0:is>
      </ns0:c>
      <ns0:c r="S366" s="80" t="n">
        <ns0:v>308.18</ns0:v>
      </ns0:c>
      <ns0:c r="T366" s="81" t="n">
        <ns0:v>11.61</ns0:v>
      </ns0:c>
      <ns0:c r="U366" s="82" t="n">
        <ns0:v>50</ns0:v>
      </ns0:c>
      <ns0:c r="V366" s="83" t="n">
        <ns0:v>251</ns0:v>
      </ns0:c>
      <ns0:c r="W366" s="78" t="n">
        <ns0:v>10</ns0:v>
      </ns0:c>
      <ns0:c r="X366" s="74" t="inlineStr">
        <ns0:is>
          <ns0:t>NA</ns0:t>
        </ns0:is>
      </ns0:c>
      <ns0:c r="Y366" s="79" t="n">
        <ns0:v>4572.5</ns0:v>
      </ns0:c>
      <ns0:c r="Z366" s="79" t="n">
        <ns0:v>148698500</ns0:v>
      </ns0:c>
      <ns0:c r="AA366" s="78" t="n">
        <ns0:v>2.86</ns0:v>
      </ns0:c>
      <ns0:c r="AB366" s="74" t="inlineStr">
        <ns0:is>
          <ns0:t>JSC International Investment Fund SPC (acting for and on behalf of ShanRui SP); HHLR Advisors, Ltd; Shanghai Greenwoods Asset Management Co., Ltd and CICC Financial Trading Limited (in connection with Greenwoods OTC Swaps); Greenwoods Asset Management Hong Kong Limited; Huangshan Construction Investment (Hong Kong) International Limited; Jinghui Ruiying (Hong Kong) Limited; Horizon Together Holding Ltd; Dajia Life Insurance Co., Ltd; Martis Fund, L.P; GOTION HIGH-TECH (HK) LIMITED; Hefei Jianhui Zhanxin Cornerstone Investment Company Limited; PSBC Wealth Management Co., Ltd. (through GF Securities Asset Management (Guangdong) Co., Ltd as the qualified domestic institutional investor); Xingyu Automotive Lighting (Hong Kong) Company Limited</ns0:t>
        </ns0:is>
      </ns0:c>
      <ns0:c r="AC366" s="74" t="inlineStr">
        <ns0:is>
          <ns0:t>jsc;hhlr;shanghai-greenwoods;greenwoods;huangshan;jinghui;horizon;dajia;martis;gotion;hefei;psbc;xingyu</ns0:t>
        </ns0:is>
      </ns0:c>
      <ns0:c r="AD366" s="78" t="n">
        <ns0:v>15</ns0:v>
      </ns0:c>
      <ns0:c r="AE366" s="74" t="inlineStr">
        <ns0:is>
          <ns0:t>partial</ns0:t>
        </ns0:is>
      </ns0:c>
      <ns0:c r="AF366" s="85" t="n"/>
      <ns0:c r="AG366" s="74" t="inlineStr">
        <ns0:is>
          <ns0:t>China International Capital Corporation Hong Kong Securities Limited</ns0:t>
        </ns0:is>
      </ns0:c>
      <ns0:c r="AH366" s="74" t="inlineStr">
        <ns0:is>
          <ns0:t>China International</ns0:t>
        </ns0:is>
      </ns0:c>
      <ns0:c r="AI366" s="86" t="n">
        <ns0:v>9.529999999999999</ns0:v>
      </ns0:c>
      <ns0:c r="AJ366" s="87" t="n">
        <ns0:v>3.8</ns0:v>
      </ns0:c>
      <ns0:c r="AK366" s="87" t="n">
        <ns0:v>0.36</ns0:v>
      </ns0:c>
      <ns0:c r="AL366" s="87" t="n">
        <ns0:v>11.22</ns0:v>
      </ns0:c>
      <ns0:c r="AM366" s="87" t="n">
        <ns0:v>-6.67</ns0:v>
      </ns0:c>
      <ns0:c r="AN366" s="89" t="n">
        <ns0:v>2.63</ns0:v>
      </ns0:c>
      <ns0:c r="AO366" s="78" t="n">
        <ns0:v>9.529999999999999</ns0:v>
      </ns0:c>
      <ns0:c r="AP366" s="87" t="n">
        <ns0:v>3.67</ns0:v>
      </ns0:c>
      <ns0:c r="AQ366" s="87" t="n">
        <ns0:v>6.41</ns0:v>
      </ns0:c>
      <ns0:c r="AR366" s="87" t="n">
        <ns0:v>-0.16</ns0:v>
      </ns0:c>
      <ns0:c r="AS366" s="87" t="n">
        <ns0:v>-0.13</ns0:v>
      </ns0:c>
      <ns0:c r="AT366" s="87" t="n">
        <ns0:v>2.51</ns0:v>
      </ns0:c>
      <ns0:c r="AU366" s="87" t="n">
        <ns0:v>-3.82</ns0:v>
      </ns0:c>
      <ns0:c r="AV366" s="87" t="n">
        <ns0:v>0.61</ns0:v>
      </ns0:c>
      <ns0:c r="AW366" s="87" t="n">
        <ns0:v>9.49</ns0:v>
      </ns0:c>
      <ns0:c r="AX366" s="87" t="n">
        <ns0:v>9.07</ns0:v>
      </ns0:c>
      <ns0:c r="AY366" s="87" t="n">
        <ns0:v>5.94</ns0:v>
      </ns0:c>
      <ns0:c r="AZ366" s="87" t="n">
        <ns0:v>-3.08</ns0:v>
      </ns0:c>
      <ns0:c r="BA366" s="87" t="n">
        <ns0:v>-3.43</ns0:v>
      </ns0:c>
      <ns0:c r="BB366" s="74" t="inlineStr">
        <ns0:is>
          <ns0:t>Hang Seng Commerce &amp; Industry sub-index</ns0:t>
        </ns0:is>
      </ns0:c>
      <ns0:c r="BC366" s="87" t="n">
        <ns0:v>-20.98</ns0:v>
      </ns0:c>
      <ns0:c r="BD366" s="75" t="n">
        <ns0:v>46297</ns0:v>
      </ns0:c>
      <ns0:c r="BE366" s="76" t="n">
        <ns0:v>296886.7</ns0:v>
      </ns0:c>
      <ns0:c r="BF366" s="79" t="n">
        <ns0:v>15548.5</ns0:v>
      </ns0:c>
      <ns0:c r="BG366" s="74" t="inlineStr">
        <ns0:is>
          <ns0:t>Y</ns0:t>
        </ns0:is>
      </ns0:c>
      <ns0:c r="BH366" s="89" t="n">
        <ns0:v>10.3</ns0:v>
      </ns0:c>
      <ns0:c r="BI366" s="89" t="n">
        <ns0:v>10</ns0:v>
      </ns0:c>
      <ns0:c r="BJ366" s="89" t="n">
        <ns0:v>6.5</ns0:v>
      </ns0:c>
      <ns0:c r="BK366" s="89" t="n">
        <ns0:v>0.5</ns0:v>
      </ns0:c>
      <ns0:c r="BL366" s="90">
        <ns0:f>IFERROR(IF('BBG Verify'!S366="","Awaiting Bloomberg",'BBG Verify'!S366),"Awaiting Bloomberg")</ns0:f>
        <ns0:v/>
      </ns0:c>
      <ns0:c r="BM366" s="91" t="inlineStr">
        <ns0:is>
          <ns0:t>N</ns0:t>
        </ns0:is>
      </ns0:c>
      <ns0:c r="BN366" s="92">
        <ns0:f>IFERROR(IF('BBG Verify'!K366="","Awaiting Bloomberg",'BBG Verify'!K366),"Awaiting Bloomberg")</ns0:f>
        <ns0:v/>
      </ns0:c>
      <ns0:c r="BO366" s="74" t="inlineStr">
        <ns0:is>
          <ns0:t>N/A</ns0:t>
        </ns0:is>
      </ns0:c>
      <ns0:c r="BP366" s="74" t="inlineStr">
        <ns0:is>
          <ns0:t>N/A</ns0:t>
        </ns0:is>
      </ns0:c>
      <ns0:c r="BQ366" s="74" t="inlineStr">
        <ns0:is>
          <ns0:t>N/A</ns0:t>
        </ns0:is>
      </ns0:c>
      <ns0:c r="BR366" s="74" t="inlineStr">
        <ns0:is>
          <ns0:t>N/A</ns0:t>
        </ns0:is>
      </ns0:c>
      <ns0:c r="BS366" s="74" t="inlineStr">
        <ns0:is>
          <ns0:t>N/A</ns0:t>
        </ns0:is>
      </ns0:c>
      <ns0:c r="BT366" s="74" t="inlineStr">
        <ns0:is>
          <ns0:t>N/A</ns0:t>
        </ns0:is>
      </ns0:c>
      <ns0:c r="BU366" s="91" t="inlineStr">
        <ns0:is>
          <ns0:t>China International Capital Corporation Hong Kong Securities Limited; Huatai Financial Holdings (Hong Kong) Limited; GF Capital (Hong Kong) Limited</ns0:t>
        </ns0:is>
      </ns0:c>
      <ns0:c r="BV366" s="74" t="inlineStr">
        <ns0:is>
          <ns0:t>China International Capital Corporation Hong Kong Securities Limited; Huatai Financial Holdings (Hong Kong) Limited; GF Capital (Hong Kong) Limited</ns0:t>
        </ns0:is>
      </ns0:c>
      <ns0:c r="BW366" s="74" t="inlineStr">
        <ns0:is>
          <ns0: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ns0:t>
        </ns0:is>
      </ns0:c>
      <ns0:c r="BX366" s="74" t="inlineStr">
        <ns0:is>
          <ns0: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ns0:t>
        </ns0:is>
      </ns0:c>
      <ns0:c r="BY366" s="93">
        <ns0:f>HYPERLINK("https://www1.hkexnews.hk/listedco/listconews/sehk/2025/0917/2025091700013.pdf","prospectus")</ns0:f>
        <ns0:v/>
      </ns0:c>
      <ns0:c r="BZ366" s="93">
        <ns0:f>HYPERLINK("https://www1.hkexnews.hk/listedco/listconews/sehk/2025/0924/2025092401262.pdf","allotment")</ns0:f>
        <ns0:v/>
      </ns0:c>
      <ns0:c r="CA366" s="93">
        <ns0:f>HYPERLINK("https://www1.hkexnews.hk/listedco/listconews/sehk/2025/1022/2025102201148.pdf","stabilisation")</ns0:f>
        <ns0:v/>
      </ns0:c>
      <ns0:c r="CB366" s="94" t="n"/>
      <ns0:c r="CC366" s="74" t="inlineStr">
        <ns0:is>
          <ns0:t>greenshoe: outcome published; expiry date not in the notice; range low: maximum offer price only, no floor published</ns0:t>
        </ns0:is>
      </ns0:c>
    </ns0:row>
    <ns0:row r="367" ht="22" customHeight="1">
      <ns0:c r="A367" s="73" t="inlineStr">
        <ns0:is>
          <ns0:t>2583</ns0:t>
        </ns0:is>
      </ns0:c>
      <ns0:c r="B367" s="74" t="inlineStr">
        <ns0:is>
          <ns0:t>HIPINE</ns0:t>
        </ns0:is>
      </ns0:c>
      <ns0:c r="C367" s="74" t="inlineStr">
        <ns0:is>
          <ns0:t>西普尼</ns0:t>
        </ns0:is>
      </ns0:c>
      <ns0:c r="D367" s="74" t="inlineStr">
        <ns0:is>
          <ns0:t>Consumer</ns0:t>
        </ns0:is>
      </ns0:c>
      <ns0:c r="E367" s="74" t="inlineStr">
        <ns0:is>
          <ns0:t>Apparel / luxury</ns0:t>
        </ns0:is>
      </ns0:c>
      <ns0:c r="F367" s="74" t="inlineStr">
        <ns0:is>
          <ns0:t>Watch &amp; Jewellery</ns0:t>
        </ns0:is>
      </ns0:c>
      <ns0:c r="G367" s="74" t="inlineStr">
        <ns0:is>
          <ns0:t>Standard</ns0:t>
        </ns0:is>
      </ns0:c>
      <ns0:c r="H367" s="75" t="n">
        <ns0:v>45930</ns0:v>
      </ns0:c>
      <ns0:c r="I367" s="76" t="n">
        <ns0:v>313.76</ns0:v>
      </ns0:c>
      <ns0:c r="J367" s="74" t="inlineStr">
        <ns0:is>
          <ns0:t>gross (stated)</ns0:t>
        </ns0:is>
      </ns0:c>
      <ns0:c r="K367" s="77" t="n">
        <ns0:v>27</ns0:v>
      </ns0:c>
      <ns0:c r="L367" s="77" t="n">
        <ns0:v>29.6</ns0:v>
      </ns0:c>
      <ns0:c r="M367" s="77" t="n">
        <ns0:v>29.6</ns0:v>
      </ns0:c>
      <ns0:c r="N367" s="74" t="inlineStr">
        <ns0:is>
          <ns0:t>Y</ns0:t>
        </ns0:is>
      </ns0:c>
      <ns0:c r="O367" s="78" t="n">
        <ns0:v>100</ns0:v>
      </ns0:c>
      <ns0:c r="P367" s="78" t="n">
        <ns0:v>100</ns0:v>
      </ns0:c>
      <ns0:c r="Q367" s="79" t="n">
        <ns0:v>1741.2</ns0:v>
      </ns0:c>
      <ns0:c r="R367" s="74" t="inlineStr">
        <ns0:is>
          <ns0:t>derived:price x shares upon listing</ns0:t>
        </ns0:is>
      </ns0:c>
      <ns0:c r="S367" s="80" t="n">
        <ns0:v>2505.9</ns0:v>
      </ns0:c>
      <ns0:c r="T367" s="81" t="n">
        <ns0:v>3.9</ns0:v>
      </ns0:c>
      <ns0:c r="U367" s="82" t="n">
        <ns0:v>0</ns0:v>
      </ns0:c>
      <ns0:c r="V367" s="83" t="n">
        <ns0:v>136</ns0:v>
      </ns0:c>
      <ns0:c r="W367" s="78" t="n">
        <ns0:v>10</ns0:v>
      </ns0:c>
      <ns0:c r="X367" s="74" t="inlineStr">
        <ns0:is>
          <ns0:t>NO</ns0:t>
        </ns0:is>
      </ns0:c>
      <ns0:c r="Y367" s="79" t="n">
        <ns0:v>313.76</ns0:v>
      </ns0:c>
      <ns0:c r="Z367" s="79" t="n">
        <ns0:v>10600000</ns0:v>
      </ns0:c>
      <ns0:c r="AA367" s="78" t="n">
        <ns0:v>18.02</ns0:v>
      </ns0:c>
      <ns0:c r="AB367" s="74" t="inlineStr">
        <ns0:is>
          <ns0:t>none — no cornerstone tranche</ns0:t>
        </ns0:is>
      </ns0:c>
      <ns0:c r="AC367" s="74" t="inlineStr">
        <ns0:is>
          <ns0:t>none</ns0:t>
        </ns0:is>
      </ns0:c>
      <ns0:c r="AD367" s="84" t="n"/>
      <ns0:c r="AE367" s="85" t="n"/>
      <ns0:c r="AF367" s="85" t="n"/>
      <ns0:c r="AG367" s="85" t="n"/>
      <ns0:c r="AH367" s="85" t="n"/>
      <ns0:c r="AI367" s="86" t="n">
        <ns0:v>189.36</ns0:v>
      </ns0:c>
      <ns0:c r="AJ367" s="87" t="n">
        <ns0:v>258.11</ns0:v>
      </ns0:c>
      <ns0:c r="AK367" s="87" t="n">
        <ns0:v>1.25</ns0:v>
      </ns0:c>
      <ns0:c r="AL367" s="87" t="n">
        <ns0:v>183.78</ns0:v>
      </ns0:c>
      <ns0:c r="AM367" s="87" t="n">
        <ns0:v>26.19</ns0:v>
      </ns0:c>
      <ns0:c r="AN367" s="89" t="n">
        <ns0:v>2.66</ns0:v>
      </ns0:c>
      <ns0:c r="AO367" s="78" t="n">
        <ns0:v>59.52</ns0:v>
      </ns0:c>
      <ns0:c r="AP367" s="87" t="n">
        <ns0:v>457.43</ns0:v>
      </ns0:c>
      <ns0:c r="AQ367" s="87" t="n">
        <ns0:v>456.42</ns0:v>
      </ns0:c>
      <ns0:c r="AR367" s="87" t="n">
        <ns0:v>467.23</ns0:v>
      </ns0:c>
      <ns0:c r="AS367" s="87" t="n">
        <ns0:v>55.66</ns0:v>
      </ns0:c>
      <ns0:c r="AT367" s="87" t="n">
        <ns0:v>55.38</ns0:v>
      </ns0:c>
      <ns0:c r="AU367" s="87" t="n">
        <ns0:v>58.4</ns0:v>
      </ns0:c>
      <ns0:c r="AV367" s="87" t="n">
        <ns0:v>456.21</ns0:v>
      </ns0:c>
      <ns0:c r="AW367" s="87" t="n">
        <ns0:v>461.42</ns0:v>
      </ns0:c>
      <ns0:c r="AX367" s="87" t="n">
        <ns0:v>474.36</ns0:v>
      </ns0:c>
      <ns0:c r="AY367" s="87" t="n">
        <ns0:v>61.55</ns0:v>
      </ns0:c>
      <ns0:c r="AZ367" s="87" t="n">
        <ns0:v>-5</ns0:v>
      </ns0:c>
      <ns0:c r="BA367" s="87" t="n">
        <ns0:v>-6.17</ns0:v>
      </ns0:c>
      <ns0:c r="BB367" s="74" t="inlineStr">
        <ns0:is>
          <ns0:t>Hang Seng Commerce &amp; Industry sub-index</ns0:t>
        </ns0:is>
      </ns0:c>
      <ns0:c r="BC367" s="87" t="n">
        <ns0:v>51.96</ns0:v>
      </ns0:c>
      <ns0:c r="BD367" s="75" t="n">
        <ns0:v>46297</ns0:v>
      </ns0:c>
      <ns0:c r="BE367" s="76" t="n">
        <ns0:v>502.2</ns0:v>
      </ns0:c>
      <ns0:c r="BF367" s="79" t="n">
        <ns0:v>54.3</ns0:v>
      </ns0:c>
      <ns0:c r="BG367" s="74" t="inlineStr">
        <ns0:is>
          <ns0:t>Y</ns0:t>
        </ns0:is>
      </ns0:c>
      <ns0:c r="BH367" s="89" t="n">
        <ns0:v>32.1</ns0:v>
      </ns0:c>
      <ns0:c r="BI367" s="88" t="n"/>
      <ns0:c r="BJ367" s="89" t="n">
        <ns0:v>25</ns0:v>
      </ns0:c>
      <ns0:c r="BK367" s="89" t="n">
        <ns0:v>3.5</ns0:v>
      </ns0:c>
      <ns0:c r="BL367" s="90">
        <ns0:f>IFERROR(IF('BBG Verify'!S367="","Awaiting Bloomberg",'BBG Verify'!S367),"Awaiting Bloomberg")</ns0:f>
        <ns0:v/>
      </ns0:c>
      <ns0:c r="BM367" s="91" t="inlineStr">
        <ns0:is>
          <ns0:t>N</ns0:t>
        </ns0:is>
      </ns0:c>
      <ns0:c r="BN367" s="92">
        <ns0:f>IFERROR(IF('BBG Verify'!K367="","Awaiting Bloomberg",'BBG Verify'!K367),"Awaiting Bloomberg")</ns0:f>
        <ns0:v/>
      </ns0:c>
      <ns0:c r="BO367" s="74" t="inlineStr">
        <ns0:is>
          <ns0:t>N/A</ns0:t>
        </ns0:is>
      </ns0:c>
      <ns0:c r="BP367" s="74" t="inlineStr">
        <ns0:is>
          <ns0:t>N/A</ns0:t>
        </ns0:is>
      </ns0:c>
      <ns0:c r="BQ367" s="74" t="inlineStr">
        <ns0:is>
          <ns0:t>N/A</ns0:t>
        </ns0:is>
      </ns0:c>
      <ns0:c r="BR367" s="74" t="inlineStr">
        <ns0:is>
          <ns0:t>N/A</ns0:t>
        </ns0:is>
      </ns0:c>
      <ns0:c r="BS367" s="74" t="inlineStr">
        <ns0:is>
          <ns0:t>N/A</ns0:t>
        </ns0:is>
      </ns0:c>
      <ns0:c r="BT367" s="74" t="inlineStr">
        <ns0:is>
          <ns0:t>N/A</ns0:t>
        </ns0:is>
      </ns0:c>
      <ns0:c r="BU367" s="91" t="inlineStr">
        <ns0:is>
          <ns0:t>Ping An of China Capital (Hong Kong) Company Limited</ns0:t>
        </ns0:is>
      </ns0:c>
      <ns0:c r="BV367" s="74" t="inlineStr">
        <ns0:is>
          <ns0:t>Ping An of China Capital (Hong Kong) Company Limited</ns0:t>
        </ns0:is>
      </ns0:c>
      <ns0:c r="BW367" s="74" t="inlineStr">
        <ns0:is>
          <ns0:t>Ping An Securities (Hong Kong) Company Limited; A VICT Global Asset Management Limited; uSMART Securities Limited; ABCI Capital Limited</ns0:t>
        </ns0:is>
      </ns0:c>
      <ns0:c r="BX367" s="74" t="inlineStr">
        <ns0:is>
          <ns0:t>ABCI Securities Company Limited; AVICT Global Asset Management Limited; Ping An Securities (Hong Kong) Company Limited; Patrons Securities Limited; Ruibang Securities Limited</ns0:t>
        </ns0:is>
      </ns0:c>
      <ns0:c r="BY367" s="93">
        <ns0:f>HYPERLINK("https://www1.hkexnews.hk/listedco/listconews/sehk/2025/0919/2025091900019.pdf","prospectus")</ns0:f>
        <ns0:v/>
      </ns0:c>
      <ns0:c r="BZ367" s="93">
        <ns0:f>HYPERLINK("https://www1.hkexnews.hk/listedco/listconews/sehk/2025/0929/2025092902274.pdf","allotment")</ns0:f>
        <ns0:v/>
      </ns0:c>
      <ns0:c r="CA367" s="85" t="n"/>
      <ns0:c r="CB367" s="94" t="n"/>
      <ns0:c r="CC367" s="74" t="inlineStr">
        <ns0:is>
          <ns0:t>greenshoe: no over-allotment option; market cap: prospectus 'market capitalisation' line is the listing-rule threshold, not the issuer's figure; rejected; cornerstone list: no cornerstone tranche; greenshoe size: no over-allotment option; stabilising manager: no over-allotment option, so none appointed</ns0:t>
        </ns0:is>
      </ns0:c>
    </ns0:row>
    <ns0:row r="368" ht="22" customHeight="1">
      <ns0:c r="A368" s="73" t="inlineStr">
        <ns0:is>
          <ns0:t>2889</ns0:t>
        </ns0:is>
      </ns0:c>
      <ns0:c r="B368" s="74" t="inlineStr">
        <ns0:is>
          <ns0:t>PATEO</ns0:t>
        </ns0:is>
      </ns0:c>
      <ns0:c r="C368" s="74" t="inlineStr">
        <ns0:is>
          <ns0:t>博泰車聯</ns0:t>
        </ns0:is>
      </ns0:c>
      <ns0:c r="D368" s="74" t="inlineStr">
        <ns0:is>
          <ns0:t>Consumer</ns0:t>
        </ns0:is>
      </ns0:c>
      <ns0:c r="E368" s="74" t="inlineStr">
        <ns0:is>
          <ns0:t>Auto parts / supply chain</ns0:t>
        </ns0:is>
      </ns0:c>
      <ns0:c r="F368" s="74" t="inlineStr">
        <ns0:is>
          <ns0:t>Auto Parts &amp; Equipment</ns0:t>
        </ns0:is>
      </ns0:c>
      <ns0:c r="G368" s="74" t="inlineStr">
        <ns0:is>
          <ns0:t>Standard</ns0:t>
        </ns0:is>
      </ns0:c>
      <ns0:c r="H368" s="75" t="n">
        <ns0:v>45930</ns0:v>
      </ns0:c>
      <ns0:c r="I368" s="76" t="n">
        <ns0:v>1066.96</ns0:v>
      </ns0:c>
      <ns0:c r="J368" s="74" t="inlineStr">
        <ns0:is>
          <ns0:t>gross (stated)</ns0:t>
        </ns0:is>
      </ns0:c>
      <ns0:c r="K368" s="95" t="n"/>
      <ns0:c r="L368" s="77" t="n">
        <ns0:v>102.23</ns0:v>
      </ns0:c>
      <ns0:c r="M368" s="77" t="n">
        <ns0:v>102.23</ns0:v>
      </ns0:c>
      <ns0:c r="N368" s="74" t="inlineStr">
        <ns0:is>
          <ns0:t>Y</ns0:t>
        </ns0:is>
      </ns0:c>
      <ns0:c r="O368" s="78" t="n">
        <ns0:v>100</ns0:v>
      </ns0:c>
      <ns0:c r="P368" s="84" t="n"/>
      <ns0:c r="Q368" s="79" t="n">
        <ns0:v>15334</ns0:v>
      </ns0:c>
      <ns0:c r="R368" s="74" t="inlineStr">
        <ns0:is>
          <ns0:t>press:sina: 按102.23港元发行价计总市值153.34亿</ns0:t>
        </ns0:is>
      </ns0:c>
      <ns0:c r="S368" s="80" t="n">
        <ns0:v>529.79</ns0:v>
      </ns0:c>
      <ns0:c r="T368" s="81" t="n">
        <ns0:v>3.72</ns0:v>
      </ns0:c>
      <ns0:c r="U368" s="82" t="n">
        <ns0:v>43.56</ns0:v>
      </ns0:c>
      <ns0:c r="V368" s="83" t="n">
        <ns0:v>50</ns0:v>
      </ns0:c>
      <ns0:c r="W368" s="78" t="n">
        <ns0:v>10</ns0:v>
      </ns0:c>
      <ns0:c r="X368" s="74" t="inlineStr">
        <ns0:is>
          <ns0:t>NO</ns0:t>
        </ns0:is>
      </ns0:c>
      <ns0:c r="Y368" s="79" t="n">
        <ns0:v>602.1900000000001</ns0:v>
      </ns0:c>
      <ns0:c r="Z368" s="79" t="n">
        <ns0:v>5890586</ns0:v>
      </ns0:c>
      <ns0:c r="AA368" s="78" t="n">
        <ns0:v>3.93</ns0:v>
      </ns0:c>
      <ns0:c r="AB368" s="74" t="inlineStr">
        <ns0:is>
          <ns0:t>Horizon Together Holding Ltd; JSC International Investment Fund SPC (acting for and on behalf of Huangshan SP); Smart Ventures Limited</ns0:t>
        </ns0:is>
      </ns0:c>
      <ns0:c r="AC368" s="74" t="inlineStr">
        <ns0:is>
          <ns0:t>horizon;jsc;smart</ns0:t>
        </ns0:is>
      </ns0:c>
      <ns0:c r="AD368" s="78" t="n">
        <ns0:v>7</ns0:v>
      </ns0:c>
      <ns0:c r="AE368" s="74" t="inlineStr">
        <ns0:is>
          <ns0:t>lapsed (no over-allocation)</ns0:t>
        </ns0:is>
      </ns0:c>
      <ns0:c r="AF368" s="85" t="n"/>
      <ns0:c r="AG368" s="74" t="inlineStr">
        <ns0:is>
          <ns0:t>China International Capital Corporation Hong Kong Securities Limited</ns0:t>
        </ns0:is>
      </ns0:c>
      <ns0:c r="AH368" s="74" t="inlineStr">
        <ns0:is>
          <ns0:t>China International</ns0:t>
        </ns0:is>
      </ns0:c>
      <ns0:c r="AI368" s="86" t="n">
        <ns0:v>29.71</ns0:v>
      </ns0:c>
      <ns0:c r="AJ368" s="87" t="n">
        <ns0:v>53.58</ns0:v>
      </ns0:c>
      <ns0:c r="AK368" s="87" t="n">
        <ns0:v>1.25</ns0:v>
      </ns0:c>
      <ns0:c r="AL368" s="87" t="n">
        <ns0:v>32.06</ns0:v>
      </ns0:c>
      <ns0:c r="AM368" s="87" t="n">
        <ns0:v>16.3</ns0:v>
      </ns0:c>
      <ns0:c r="AN368" s="89" t="n">
        <ns0:v>1.57</ns0:v>
      </ns0:c>
      <ns0:c r="AO368" s="78" t="n">
        <ns0:v>19.93</ns0:v>
      </ns0:c>
      <ns0:c r="AP368" s="87" t="n">
        <ns0:v>98.95999999999999</ns0:v>
      </ns0:c>
      <ns0:c r="AQ368" s="87" t="n">
        <ns0:v>68.05</ns0:v>
      </ns0:c>
      <ns0:c r="AR368" s="87" t="n">
        <ns0:v>110.51</ns0:v>
      </ns0:c>
      <ns0:c r="AS368" s="87" t="n">
        <ns0:v>29.55</ns0:v>
      </ns0:c>
      <ns0:c r="AT368" s="87" t="n">
        <ns0:v>9.42</ns0:v>
      </ns0:c>
      <ns0:c r="AU368" s="87" t="n">
        <ns0:v>37.07</ns0:v>
      </ns0:c>
      <ns0:c r="AV368" s="87" t="n">
        <ns0:v>97.73999999999999</ns0:v>
      </ns0:c>
      <ns0:c r="AW368" s="87" t="n">
        <ns0:v>73.05</ns0:v>
      </ns0:c>
      <ns0:c r="AX368" s="87" t="n">
        <ns0:v>117.64</ns0:v>
      </ns0:c>
      <ns0:c r="AY368" s="87" t="n">
        <ns0:v>15.59</ns0:v>
      </ns0:c>
      <ns0:c r="AZ368" s="87" t="n">
        <ns0:v>-5</ns0:v>
      </ns0:c>
      <ns0:c r="BA368" s="87" t="n">
        <ns0:v>-6.17</ns0:v>
      </ns0:c>
      <ns0:c r="BB368" s="74" t="inlineStr">
        <ns0:is>
          <ns0:t>Hang Seng Commerce &amp; Industry sub-index</ns0:t>
        </ns0:is>
      </ns0:c>
      <ns0:c r="BC368" s="87" t="n">
        <ns0:v>-49.04</ns0:v>
      </ns0:c>
      <ns0:c r="BD368" s="75" t="n">
        <ns0:v>46297</ns0:v>
      </ns0:c>
      <ns0:c r="BE368" s="76" t="n">
        <ns0:v>2154.9</ns0:v>
      </ns0:c>
      <ns0:c r="BF368" s="79" t="n">
        <ns0:v>-594.9</ns0:v>
      </ns0:c>
      <ns0:c r="BG368" s="74" t="inlineStr">
        <ns0:is>
          <ns0:t>N</ns0:t>
        </ns0:is>
      </ns0:c>
      <ns0:c r="BH368" s="74" t="inlineStr">
        <ns0:is>
          <ns0:t>n/m</ns0:t>
        </ns0:is>
      </ns0:c>
      <ns0:c r="BI368" s="88" t="n"/>
      <ns0:c r="BJ368" s="88" t="n"/>
      <ns0:c r="BK368" s="89" t="n">
        <ns0:v>7.1</ns0:v>
      </ns0:c>
      <ns0:c r="BL368" s="90">
        <ns0:f>IFERROR(IF('BBG Verify'!S368="","Awaiting Bloomberg",'BBG Verify'!S368),"Awaiting Bloomberg")</ns0:f>
        <ns0:v/>
      </ns0:c>
      <ns0:c r="BM368" s="91" t="inlineStr">
        <ns0:is>
          <ns0:t>N</ns0:t>
        </ns0:is>
      </ns0:c>
      <ns0:c r="BN368" s="92">
        <ns0:f>IFERROR(IF('BBG Verify'!K368="","Awaiting Bloomberg",'BBG Verify'!K368),"Awaiting Bloomberg")</ns0:f>
        <ns0:v/>
      </ns0:c>
      <ns0:c r="BO368" s="74" t="inlineStr">
        <ns0:is>
          <ns0:t>N/A</ns0:t>
        </ns0:is>
      </ns0:c>
      <ns0:c r="BP368" s="74" t="inlineStr">
        <ns0:is>
          <ns0:t>N/A</ns0:t>
        </ns0:is>
      </ns0:c>
      <ns0:c r="BQ368" s="74" t="inlineStr">
        <ns0:is>
          <ns0:t>N/A</ns0:t>
        </ns0:is>
      </ns0:c>
      <ns0:c r="BR368" s="74" t="inlineStr">
        <ns0:is>
          <ns0:t>N/A</ns0:t>
        </ns0:is>
      </ns0:c>
      <ns0:c r="BS368" s="74" t="inlineStr">
        <ns0:is>
          <ns0:t>N/A</ns0:t>
        </ns0:is>
      </ns0:c>
      <ns0:c r="BT368" s="74" t="inlineStr">
        <ns0:is>
          <ns0:t>N/A</ns0:t>
        </ns0:is>
      </ns0:c>
      <ns0:c r="BU368" s="91" t="inlineStr">
        <ns0:is>
          <ns0:t>China International Capital Corporation Hong Kong Securities Limited; Guotai Junan Capital Limited; CMB International Capital Limited; Huatai Financial Holdings (Hong Kong) Limited; CITIC Securities (Hong Kong) Limited</ns0:t>
        </ns0:is>
      </ns0:c>
      <ns0:c r="BV368" s="74" t="inlineStr">
        <ns0:is>
          <ns0:t>China International Capital Corporation Hong Kong Securities Limited; Huatai Financial Holdings (Hong Kong) Limited; CITIC Securities (Hong Kong) Limited; Guotai Junan Capital Limited; CMB International Capital Limited</ns0:t>
        </ns0:is>
      </ns0:c>
      <ns0:c r="BW368" s="74" t="inlineStr">
        <ns0:is>
          <ns0:t>China International Capital Corporation Hong Kong Securities Limited; Guotai Junan Securities (Hong Kong) Limited; CMB International Capital Limited; Huatai Financial Holdings (Hong Kong) Limited; CLSA Limited; BOCI Asia Limited; ABCI Capital Limited; Tiger Brokers (HK) Global Limited</ns0:t>
        </ns0:is>
      </ns0:c>
      <ns0:c r="BX368" s="74" t="inlineStr">
        <ns0:is>
          <ns0: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ns0:t>
        </ns0:is>
      </ns0:c>
      <ns0:c r="BY368" s="93">
        <ns0:f>HYPERLINK("https://www1.hkexnews.hk/listedco/listconews/sehk/2025/0922/2025092200011.pdf","prospectus")</ns0:f>
        <ns0:v/>
      </ns0:c>
      <ns0:c r="BZ368" s="93">
        <ns0:f>HYPERLINK("https://www1.hkexnews.hk/listedco/listconews/sehk/2025/0929/2025092903622.pdf","allotment")</ns0:f>
        <ns0:v/>
      </ns0:c>
      <ns0:c r="CA368" s="93">
        <ns0:f>HYPERLINK("https://www1.hkexnews.hk/listedco/listconews/sehk/2025/1031/2025103102634.pdf","stabilisation")</ns0:f>
        <ns0:v/>
      </ns0:c>
      <ns0:c r="CB368" s="94" t="n"/>
      <ns0:c r="CC368" s="74" t="inlineStr">
        <ns0:is>
          <ns0:t>P/E: loss-making at IPO, use P/S; greenshoe: outcome published; expiry date not in the notice; range low: maximum offer price only, no floor published; market cap: prospectus 'market capitalisation' line is the listing-rule threshold, not the issuer's figure; rejected</ns0:t>
        </ns0:is>
      </ns0:c>
    </ns0:row>
    <ns0:row r="369" ht="22" customHeight="1">
      <ns0:c r="A369" s="73" t="inlineStr">
        <ns0:is>
          <ns0:t>2259</ns0:t>
        </ns0:is>
      </ns0:c>
      <ns0:c r="B369" s="74" t="inlineStr">
        <ns0:is>
          <ns0:t>ZIJIN GOLD INTL</ns0:t>
        </ns0:is>
      </ns0:c>
      <ns0:c r="C369" s="74" t="inlineStr">
        <ns0:is>
          <ns0:t>紫金黃金國際</ns0:t>
        </ns0:is>
      </ns0:c>
      <ns0:c r="D369" s="74" t="inlineStr">
        <ns0:is>
          <ns0:t>Materials/Energy</ns0:t>
        </ns0:is>
      </ns0:c>
      <ns0:c r="E369" s="74" t="inlineStr">
        <ns0:is>
          <ns0:t>Mining / metals</ns0:t>
        </ns0:is>
      </ns0:c>
      <ns0:c r="F369" s="74" t="inlineStr">
        <ns0:is>
          <ns0:t>Gold &amp; Precious Metals</ns0:t>
        </ns0:is>
      </ns0:c>
      <ns0:c r="G369" s="74" t="inlineStr">
        <ns0:is>
          <ns0:t>Standard</ns0:t>
        </ns0:is>
      </ns0:c>
      <ns0:c r="H369" s="75" t="n">
        <ns0:v>45930</ns0:v>
      </ns0:c>
      <ns0:c r="I369" s="76" t="n">
        <ns0:v>24984.2</ns0:v>
      </ns0:c>
      <ns0:c r="J369" s="74" t="inlineStr">
        <ns0:is>
          <ns0:t>gross (stated)</ns0:t>
        </ns0:is>
      </ns0:c>
      <ns0:c r="K369" s="95" t="n"/>
      <ns0:c r="L369" s="77" t="n">
        <ns0:v>71.59</ns0:v>
      </ns0:c>
      <ns0:c r="M369" s="77" t="n">
        <ns0:v>71.59</ns0:v>
      </ns0:c>
      <ns0:c r="N369" s="74" t="inlineStr">
        <ns0:is>
          <ns0:t>Y</ns0:t>
        </ns0:is>
      </ns0:c>
      <ns0:c r="O369" s="78" t="n">
        <ns0:v>100</ns0:v>
      </ns0:c>
      <ns0:c r="P369" s="84" t="n"/>
      <ns0:c r="Q369" s="79" t="n">
        <ns0:v>187900</ns0:v>
      </ns0:c>
      <ns0:c r="R369" s="74" t="inlineStr">
        <ns0:is>
          <ns0:t>prospectus:stated market capitalisation</ns0:t>
        </ns0:is>
      </ns0:c>
      <ns0:c r="S369" s="80" t="n">
        <ns0:v>240.74</ns0:v>
      </ns0:c>
      <ns0:c r="T369" s="81" t="n">
        <ns0:v>20.38</ns0:v>
      </ns0:c>
      <ns0:c r="U369" s="82" t="n">
        <ns0:v>49.9</ns0:v>
      </ns0:c>
      <ns0:c r="V369" s="83" t="n">
        <ns0:v>438</ns0:v>
      </ns0:c>
      <ns0:c r="W369" s="78" t="n">
        <ns0:v>10</ns0:v>
      </ns0:c>
      <ns0:c r="X369" s="74" t="inlineStr">
        <ns0:is>
          <ns0:t>NO</ns0:t>
        </ns0:is>
      </ns0:c>
      <ns0:c r="Y369" s="79" t="n">
        <ns0:v>12517.08</ns0:v>
      </ns0:c>
      <ns0:c r="Z369" s="79" t="n">
        <ns0:v>174844341</ns0:v>
      </ns0:c>
      <ns0:c r="AA369" s="78" t="n">
        <ns0:v>6.66</ns0:v>
      </ns0:c>
      <ns0:c r="AB369" s="74" t="inlineStr">
        <ns0:is>
          <ns0:t>GIC Private Limited; HHLR Advisors, Ltd; BlackRock Funds; Schroder Investment Management Limited, Schroder Investment Management (Singapore) Ltd; Schroder Investment Management (Hong Kong) Limited; Perseverance Asset Management International (Singapore) Pte. Ltd; Shanghai Gaoyi Asset Management Partnership (Limited Partnership) and CITIC Securities International; Capital Management Limited (in connection with CITICS Back-to- back TRS and CITICS Client TRS) FIL Investment Management (Hong Kong) Limited; Shanghai Greenwoods Asset Management Co., Ltd and CSICM (in connection with CITICS Back-to- back TRS and CITICS Client TRS); Greenwoods Asset Management Hong Kong Limited; Baillie Gifford Overseas Limited and Baillie Gifford &amp; Co (together Baillie Gifford); Pacific Asset Management Co., Limited and CPIC Investment Management (H.K.); Taikang Life Insurance Co., Ltd; China Universal Asset Management Company Limited and China Universal Asset Management (Hong Kong) Company Limited , together with CUAM, China Universal Investors; UBS Asset Management (Singapore) Ltd; GF International Investment Management Limited; Dao Yi Capital Limited; New Golden Future Limited; RBC Global Asset Management (Asia) Limited; Invesco Hong Kong Limited; CPE River Investment Limited; Oaktree Capital Management, L.P; Mirae Asset Securities Co., Ltd. , Mirae Asset Global Investments Co., Ltd. , and Mirae Asset Securities (HK) Ltd. (together, the Mirae Asset Financial Group); Fullgoal Asset Management (HK) Limited; Fullgoal Fund Management Co., Ltd; IDG Breyer Capital Fund L.P; Arc Avenue Asset Management Pte. Ltd; Greater Bay Area Homeland Investments Limited; Millennium Capital Management (Singapore) Pte. Ltd., and its affiliated entities; Globe Asia Investments Limited; Sparky International Company Limited</ns0:t>
        </ns0:is>
      </ns0:c>
      <ns0:c r="AC369" s="74" t="inlineStr">
        <ns0:is>
          <ns0:t>gic;hhlr;blackrock;schroder;perseverance;shanghai-gaoyi;fil;shanghai-greenwoods;greenwoods;baillie;cpic;taikang;universal;ubs;gf;dao;new-golden;rbc;invesco;cpe;oaktree;mirae;fullgoal;idg;arc;greater;millennium;globe;sparky</ns0:t>
        </ns0:is>
      </ns0:c>
      <ns0:c r="AD369" s="78" t="n">
        <ns0:v>5</ns0:v>
      </ns0:c>
      <ns0:c r="AE369" s="85" t="n"/>
      <ns0:c r="AF369" s="85" t="n"/>
      <ns0:c r="AG369" s="74" t="inlineStr">
        <ns0:is>
          <ns0:t>Morgan Stanley Asia Limited</ns0:t>
        </ns0:is>
      </ns0:c>
      <ns0:c r="AH369" s="74" t="inlineStr">
        <ns0:is>
          <ns0:t>Morgan Stanley</ns0:t>
        </ns0:is>
      </ns0:c>
      <ns0:c r="AI369" s="86" t="n">
        <ns0:v>51.42</ns0:v>
      </ns0:c>
      <ns0:c r="AJ369" s="87" t="n">
        <ns0:v>68.45999999999999</ns0:v>
      </ns0:c>
      <ns0:c r="AK369" s="87" t="n">
        <ns0:v>1.25</ns0:v>
      </ns0:c>
      <ns0:c r="AL369" s="87" t="n">
        <ns0:v>55.75</ns0:v>
      </ns0:c>
      <ns0:c r="AM369" s="87" t="n">
        <ns0:v>8.16</ns0:v>
      </ns0:c>
      <ns0:c r="AN369" s="89" t="n">
        <ns0:v>2.8</ns0:v>
      </ns0:c>
      <ns0:c r="AO369" s="78" t="n">
        <ns0:v>10.76</ns0:v>
      </ns0:c>
      <ns0:c r="AP369" s="87" t="n">
        <ns0:v>97.37</ns0:v>
      </ns0:c>
      <ns0:c r="AQ369" s="87" t="n">
        <ns0:v>81.45</ns0:v>
      </ns0:c>
      <ns0:c r="AR369" s="87" t="n">
        <ns0:v>100.73</ns0:v>
      </ns0:c>
      <ns0:c r="AS369" s="87" t="n">
        <ns0:v>17.16</ns0:v>
      </ns0:c>
      <ns0:c r="AT369" s="87" t="n">
        <ns0:v>7.71</ns0:v>
      </ns0:c>
      <ns0:c r="AU369" s="87" t="n">
        <ns0:v>19.16</ns0:v>
      </ns0:c>
      <ns0:c r="AV369" s="87" t="n">
        <ns0:v>96.15000000000001</ns0:v>
      </ns0:c>
      <ns0:c r="AW369" s="87" t="n">
        <ns0:v>86.45</ns0:v>
      </ns0:c>
      <ns0:c r="AX369" s="87" t="n">
        <ns0:v>107.86</ns0:v>
      </ns0:c>
      <ns0:c r="AY369" s="87" t="n">
        <ns0:v>13.88</ns0:v>
      </ns0:c>
      <ns0:c r="AZ369" s="87" t="n">
        <ns0:v>-5</ns0:v>
      </ns0:c>
      <ns0:c r="BA369" s="87" t="n">
        <ns0:v>-6.17</ns0:v>
      </ns0:c>
      <ns0:c r="BB369" s="74" t="inlineStr">
        <ns0:is>
          <ns0:t>Hang Seng Commerce &amp; Industry sub-index</ns0:t>
        </ns0:is>
      </ns0:c>
      <ns0:c r="BC369" s="87" t="n">
        <ns0:v>99.47</ns0:v>
      </ns0:c>
      <ns0:c r="BD369" s="75" t="n">
        <ns0:v>46297</ns0:v>
      </ns0:c>
      <ns0:c r="BE369" s="76" t="n">
        <ns0:v>23293</ns0:v>
      </ns0:c>
      <ns0:c r="BF369" s="79" t="n">
        <ns0:v>4840.7</ns0:v>
      </ns0:c>
      <ns0:c r="BG369" s="74" t="inlineStr">
        <ns0:is>
          <ns0:t>Y</ns0:t>
        </ns0:is>
      </ns0:c>
      <ns0:c r="BH369" s="89" t="n">
        <ns0:v>38.8</ns0:v>
      </ns0:c>
      <ns0:c r="BI369" s="89" t="n">
        <ns0:v>21.6</ns0:v>
      </ns0:c>
      <ns0:c r="BJ369" s="89" t="n">
        <ns0:v>14.3</ns0:v>
      </ns0:c>
      <ns0:c r="BK369" s="89" t="n">
        <ns0:v>8.1</ns0:v>
      </ns0:c>
      <ns0:c r="BL369" s="90">
        <ns0:f>IFERROR(IF('BBG Verify'!S369="","Awaiting Bloomberg",'BBG Verify'!S369),"Awaiting Bloomberg")</ns0:f>
        <ns0:v/>
      </ns0:c>
      <ns0:c r="BM369" s="91" t="inlineStr">
        <ns0:is>
          <ns0:t>N</ns0:t>
        </ns0:is>
      </ns0:c>
      <ns0:c r="BN369" s="92">
        <ns0:f>IFERROR(IF('BBG Verify'!K369="","Awaiting Bloomberg",'BBG Verify'!K369),"Awaiting Bloomberg")</ns0:f>
        <ns0:v/>
      </ns0:c>
      <ns0:c r="BO369" s="74" t="inlineStr">
        <ns0:is>
          <ns0:t>N/A</ns0:t>
        </ns0:is>
      </ns0:c>
      <ns0:c r="BP369" s="74" t="inlineStr">
        <ns0:is>
          <ns0:t>N/A</ns0:t>
        </ns0:is>
      </ns0:c>
      <ns0:c r="BQ369" s="74" t="inlineStr">
        <ns0:is>
          <ns0:t>N/A</ns0:t>
        </ns0:is>
      </ns0:c>
      <ns0:c r="BR369" s="74" t="inlineStr">
        <ns0:is>
          <ns0:t>N/A</ns0:t>
        </ns0:is>
      </ns0:c>
      <ns0:c r="BS369" s="74" t="inlineStr">
        <ns0:is>
          <ns0:t>N/A</ns0:t>
        </ns0:is>
      </ns0:c>
      <ns0:c r="BT369" s="74" t="inlineStr">
        <ns0:is>
          <ns0:t>N/A</ns0:t>
        </ns0:is>
      </ns0:c>
      <ns0:c r="BU369" s="91" t="inlineStr">
        <ns0:is>
          <ns0:t>Morgan Stanley Asia Limited; CITIC Securities (Hong Kong) Limited</ns0:t>
        </ns0:is>
      </ns0:c>
      <ns0:c r="BV369" s="74" t="inlineStr">
        <ns0:is>
          <ns0:t>Morgan Stanley Asia Limited; CITIC Securities (Hong Kong) Limited</ns0:t>
        </ns0:is>
      </ns0:c>
      <ns0:c r="BW369" s="74" t="inlineStr">
        <ns0:is>
          <ns0:t>Morgan Stanley &amp; Co. International plc; Canary Wharf London E14 4QA United Kingdom CLSA Limited; GF Securities (Hong Kong) Brokerage Limited; Huatai Financial Holdings (Hong Kong) Limited</ns0:t>
        </ns0:is>
      </ns0:c>
      <ns0:c r="BX369" s="74" t="inlineStr">
        <ns0:is>
          <ns0:t>China Industrial Securities International Capital Limited; CLSA Limited; GF Securities (Hong Kong) Brokerage Limited; Huatai Financial Holdings (Hong Kong) Limited; Macquarie Capital Limited; Morgan Stanley Asia Limited</ns0:t>
        </ns0:is>
      </ns0:c>
      <ns0:c r="BY369" s="93">
        <ns0:f>HYPERLINK("https://www1.hkexnews.hk/listedco/listconews/sehk/2025/0919/2025091900073.pdf","prospectus")</ns0:f>
        <ns0:v/>
      </ns0:c>
      <ns0:c r="BZ369" s="93">
        <ns0:f>HYPERLINK("https://www1.hkexnews.hk/listedco/listconews/sehk/2025/0929/2025092903788.pdf","allotment")</ns0:f>
        <ns0:v/>
      </ns0:c>
      <ns0:c r="CA369" s="93">
        <ns0:f>HYPERLINK("https://www1.hkexnews.hk/listedco/listconews/sehk/2025/1026/2025102600001.pdf","stabilisation")</ns0:f>
        <ns0:v/>
      </ns0:c>
      <ns0:c r="CB369" s="94" t="n"/>
      <ns0:c r="CC369" s="74" t="inlineStr">
        <ns0:is>
          <ns0:t>greenshoe: end-of-stabilisation notice not found; range low: maximum offer price only, no floor published; stabilisation notice: notice linked; outcome wording not recognised, result left blank</ns0:t>
        </ns0:is>
      </ns0:c>
    </ns0:row>
    <ns0:row r="370" ht="22" customHeight="1">
      <ns0:c r="A370" s="73" t="inlineStr">
        <ns0:is>
          <ns0:t>2652</ns0:t>
        </ns0:is>
      </ns0:c>
      <ns0:c r="B370" s="74" t="inlineStr">
        <ns0:is>
          <ns0:t>CF PHARMTECH</ns0:t>
        </ns0:is>
      </ns0:c>
      <ns0:c r="C370" s="74" t="inlineStr">
        <ns0:is>
          <ns0:t>長風藥業</ns0:t>
        </ns0:is>
      </ns0:c>
      <ns0:c r="D370" s="74" t="inlineStr">
        <ns0:is>
          <ns0:t>Healthcare</ns0:t>
        </ns0:is>
      </ns0:c>
      <ns0:c r="E370" s="74" t="inlineStr">
        <ns0:is>
          <ns0:t>Biopharma commercial</ns0:t>
        </ns0:is>
      </ns0:c>
      <ns0:c r="F370" s="74" t="inlineStr">
        <ns0:is>
          <ns0:t>Pharmaceuticals</ns0:t>
        </ns0:is>
      </ns0:c>
      <ns0:c r="G370" s="74" t="inlineStr">
        <ns0:is>
          <ns0:t>Standard</ns0:t>
        </ns0:is>
      </ns0:c>
      <ns0:c r="H370" s="75" t="n">
        <ns0:v>45938</ns0:v>
      </ns0:c>
      <ns0:c r="I370" s="76" t="n">
        <ns0:v>607.7</ns0:v>
      </ns0:c>
      <ns0:c r="J370" s="74" t="inlineStr">
        <ns0:is>
          <ns0:t>gross (price x shares)</ns0:t>
        </ns0:is>
      </ns0:c>
      <ns0:c r="K370" s="95" t="n"/>
      <ns0:c r="L370" s="77" t="n">
        <ns0:v>14.75</ns0:v>
      </ns0:c>
      <ns0:c r="M370" s="77" t="n">
        <ns0:v>14.75</ns0:v>
      </ns0:c>
      <ns0:c r="N370" s="74" t="inlineStr">
        <ns0:is>
          <ns0:t>Y</ns0:t>
        </ns0:is>
      </ns0:c>
      <ns0:c r="O370" s="78" t="n">
        <ns0:v>100</ns0:v>
      </ns0:c>
      <ns0:c r="P370" s="84" t="n"/>
      <ns0:c r="Q370" s="79" t="n">
        <ns0:v>6076.7</ns0:v>
      </ns0:c>
      <ns0:c r="R370" s="74" t="inlineStr">
        <ns0:is>
          <ns0:t>derived:price x shares upon listing</ns0:t>
        </ns0:is>
      </ns0:c>
      <ns0:c r="S370" s="80" t="n">
        <ns0:v>6697.8</ns0:v>
      </ns0:c>
      <ns0:c r="T370" s="81" t="n">
        <ns0:v>12.74</ns0:v>
      </ns0:c>
      <ns0:c r="U370" s="82" t="n">
        <ns0:v>0</ns0:v>
      </ns0:c>
      <ns0:c r="V370" s="83" t="n">
        <ns0:v>70</ns0:v>
      </ns0:c>
      <ns0:c r="W370" s="78" t="n">
        <ns0:v>10</ns0:v>
      </ns0:c>
      <ns0:c r="X370" s="74" t="inlineStr">
        <ns0:is>
          <ns0:t>NA</ns0:t>
        </ns0:is>
      </ns0:c>
      <ns0:c r="Y370" s="79" t="n">
        <ns0:v>607.7</ns0:v>
      </ns0:c>
      <ns0:c r="Z370" s="79" t="n">
        <ns0:v>41198000</ns0:v>
      </ns0:c>
      <ns0:c r="AA370" s="78" t="n">
        <ns0:v>10</ns0:v>
      </ns0:c>
      <ns0:c r="AB370" s="74" t="inlineStr">
        <ns0:is>
          <ns0:t>none — no cornerstone tranche</ns0:t>
        </ns0:is>
      </ns0:c>
      <ns0:c r="AC370" s="74" t="inlineStr">
        <ns0:is>
          <ns0:t>none</ns0:t>
        </ns0:is>
      </ns0:c>
      <ns0:c r="AD370" s="84" t="n"/>
      <ns0:c r="AE370" s="85" t="n"/>
      <ns0:c r="AF370" s="85" t="n"/>
      <ns0:c r="AG370" s="85" t="n"/>
      <ns0:c r="AH370" s="85" t="n"/>
      <ns0:c r="AI370" s="86" t="n">
        <ns0:v>227.46</ns0:v>
      </ns0:c>
      <ns0:c r="AJ370" s="87" t="n">
        <ns0:v>161.02</ns0:v>
      </ns0:c>
      <ns0:c r="AK370" s="87" t="n">
        <ns0:v>1.1</ns0:v>
      </ns0:c>
      <ns0:c r="AL370" s="87" t="n">
        <ns0:v>218.64</ns0:v>
      </ns0:c>
      <ns0:c r="AM370" s="87" t="n">
        <ns0:v>-18.08</ns0:v>
      </ns0:c>
      <ns0:c r="AN370" s="89" t="n">
        <ns0:v>3.29</ns0:v>
      </ns0:c>
      <ns0:c r="AO370" s="78" t="n">
        <ns0:v>24.13</ns0:v>
      </ns0:c>
      <ns0:c r="AP370" s="87" t="n">
        <ns0:v>94.58</ns0:v>
      </ns0:c>
      <ns0:c r="AQ370" s="87" t="n">
        <ns0:v>89.83</ns0:v>
      </ns0:c>
      <ns0:c r="AR370" s="87" t="n">
        <ns0:v>112.88</ns0:v>
      </ns0:c>
      <ns0:c r="AS370" s="87" t="n">
        <ns0:v>-25.45</ns0:v>
      </ns0:c>
      <ns0:c r="AT370" s="87" t="n">
        <ns0:v>-27.27</ns0:v>
      </ns0:c>
      <ns0:c r="AU370" s="87" t="n">
        <ns0:v>-18.44</ns0:v>
      </ns0:c>
      <ns0:c r="AV370" s="87" t="n">
        <ns0:v>103.84</ns0:v>
      </ns0:c>
      <ns0:c r="AW370" s="87" t="n">
        <ns0:v>102.26</ns0:v>
      </ns0:c>
      <ns0:c r="AX370" s="87" t="n">
        <ns0:v>122.87</ns0:v>
      </ns0:c>
      <ns0:c r="AY370" s="87" t="n">
        <ns0:v>-13.89</ns0:v>
      </ns0:c>
      <ns0:c r="AZ370" s="87" t="n">
        <ns0:v>-12.43</ns0:v>
      </ns0:c>
      <ns0:c r="BA370" s="87" t="n">
        <ns0:v>-13.38</ns0:v>
      </ns0:c>
      <ns0:c r="BB370" s="74" t="inlineStr">
        <ns0:is>
          <ns0:t>China Biotech ETF (HS biotech proxy)</ns0:t>
        </ns0:is>
      </ns0:c>
      <ns0:c r="BC370" s="87" t="n">
        <ns0:v>-53.56</ns0:v>
      </ns0:c>
      <ns0:c r="BD370" s="75" t="n">
        <ns0:v>46297</ns0:v>
      </ns0:c>
      <ns0:c r="BE370" s="76" t="n">
        <ns0:v>668.5</ns0:v>
      </ns0:c>
      <ns0:c r="BF370" s="97" t="n"/>
      <ns0:c r="BG370" s="74" t="inlineStr">
        <ns0:is>
          <ns0:t>Y</ns0:t>
        </ns0:is>
      </ns0:c>
      <ns0:c r="BH370" s="90">
        <ns0:f>IFERROR(IF('BBG Verify'!O370="","Awaiting Bloomberg",'BBG Verify'!O370),"Awaiting Bloomberg")</ns0:f>
        <ns0:v/>
      </ns0:c>
      <ns0:c r="BI370" s="88" t="n"/>
      <ns0:c r="BJ370" s="88" t="n"/>
      <ns0:c r="BK370" s="89" t="n">
        <ns0:v>9.1</ns0:v>
      </ns0:c>
      <ns0:c r="BL370" s="90">
        <ns0:f>IFERROR(IF('BBG Verify'!S370="","Awaiting Bloomberg",'BBG Verify'!S370),"Awaiting Bloomberg")</ns0:f>
        <ns0:v/>
      </ns0:c>
      <ns0:c r="BM370" s="91" t="inlineStr">
        <ns0:is>
          <ns0:t>N</ns0:t>
        </ns0:is>
      </ns0:c>
      <ns0:c r="BN370" s="92">
        <ns0:f>IFERROR(IF('BBG Verify'!K370="","Awaiting Bloomberg",'BBG Verify'!K370),"Awaiting Bloomberg")</ns0:f>
        <ns0:v/>
      </ns0:c>
      <ns0:c r="BO370" s="74" t="inlineStr">
        <ns0:is>
          <ns0:t>N/A</ns0:t>
        </ns0:is>
      </ns0:c>
      <ns0:c r="BP370" s="74" t="inlineStr">
        <ns0:is>
          <ns0:t>N/A</ns0:t>
        </ns0:is>
      </ns0:c>
      <ns0:c r="BQ370" s="74" t="inlineStr">
        <ns0:is>
          <ns0:t>N/A</ns0:t>
        </ns0:is>
      </ns0:c>
      <ns0:c r="BR370" s="74" t="inlineStr">
        <ns0:is>
          <ns0:t>N/A</ns0:t>
        </ns0:is>
      </ns0:c>
      <ns0:c r="BS370" s="74" t="inlineStr">
        <ns0:is>
          <ns0:t>N/A</ns0:t>
        </ns0:is>
      </ns0:c>
      <ns0:c r="BT370" s="74" t="inlineStr">
        <ns0:is>
          <ns0:t>N/A</ns0:t>
        </ns0:is>
      </ns0:c>
      <ns0:c r="BU370" s="91" t="inlineStr">
        <ns0:is>
          <ns0:t>CITIC Securities (Hong Kong) Limited; CMB International Capital Limited</ns0:t>
        </ns0:is>
      </ns0:c>
      <ns0:c r="BV370" s="74" t="inlineStr">
        <ns0:is>
          <ns0:t>CITIC Securities (Hong Kong) Limited</ns0:t>
        </ns0:is>
      </ns0:c>
      <ns0:c r="BW370" s="74" t="inlineStr">
        <ns0:is>
          <ns0: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ns0:t>
        </ns0:is>
      </ns0:c>
      <ns0:c r="BX370" s="74" t="inlineStr">
        <ns0:is>
          <ns0: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ns0:t>
        </ns0:is>
      </ns0:c>
      <ns0:c r="BY370" s="93">
        <ns0:f>HYPERLINK("https://www1.hkexnews.hk/listedco/listconews/sehk/2025/0926/2025092600041.pdf","prospectus")</ns0:f>
        <ns0:v/>
      </ns0:c>
      <ns0:c r="BZ370" s="93">
        <ns0:f>HYPERLINK("https://www1.hkexnews.hk/listedco/listconews/sehk/2025/1006/2025100601430.pdf","allotment")</ns0:f>
        <ns0:v/>
      </ns0:c>
      <ns0:c r="CA370" s="85" t="n"/>
      <ns0:c r="CB370" s="94" t="n"/>
      <ns0:c r="CC370" s="74" t="inlineStr">
        <ns0:is>
          <ns0:t>P/E: withheld: 1,558x fails the 300x plausibility cap; extracted net income HK$3.9m suspect; greenshoe: no over-allotment option; range low: maximum offer price only, no floor published; cornerstone list: no cornerstone tranche; greenshoe size: no over-allotment option; stabilising manager: no over-allotment option, so none appointed; financials: not extractable; pre-IPO year outside the AAStocks window</ns0:t>
        </ns0:is>
      </ns0:c>
    </ns0:row>
    <ns0:row r="371" ht="22" customHeight="1">
      <ns0:c r="A371" s="73" t="inlineStr">
        <ns0:is>
          <ns0:t>2650</ns0:t>
        </ns0:is>
      </ns0:c>
      <ns0:c r="B371" s="74" t="inlineStr">
        <ns0:is>
          <ns0:t>ZHIDA TECH</ns0:t>
        </ns0:is>
      </ns0:c>
      <ns0:c r="C371" s="74" t="inlineStr">
        <ns0:is>
          <ns0:t>摯達科技</ns0:t>
        </ns0:is>
      </ns0:c>
      <ns0:c r="D371" s="74" t="inlineStr">
        <ns0:is>
          <ns0:t>Consumer</ns0:t>
        </ns0:is>
      </ns0:c>
      <ns0:c r="E371" s="74" t="inlineStr">
        <ns0:is>
          <ns0:t>Auto parts / supply chain</ns0:t>
        </ns0:is>
      </ns0:c>
      <ns0:c r="F371" s="74" t="inlineStr">
        <ns0:is>
          <ns0:t>Auto Parts &amp; Equipment</ns0:t>
        </ns0:is>
      </ns0:c>
      <ns0:c r="G371" s="74" t="inlineStr">
        <ns0:is>
          <ns0:t>Standard</ns0:t>
        </ns0:is>
      </ns0:c>
      <ns0:c r="H371" s="75" t="n">
        <ns0:v>45940</ns0:v>
      </ns0:c>
      <ns0:c r="I371" s="76" t="n">
        <ns0:v>400.12</ns0:v>
      </ns0:c>
      <ns0:c r="J371" s="74" t="inlineStr">
        <ns0:is>
          <ns0:t>gross (stated)</ns0:t>
        </ns0:is>
      </ns0:c>
      <ns0:c r="K371" s="77" t="n">
        <ns0:v>66.92</ns0:v>
      </ns0:c>
      <ns0:c r="L371" s="77" t="n">
        <ns0:v>83.63</ns0:v>
      </ns0:c>
      <ns0:c r="M371" s="77" t="n">
        <ns0:v>66.92</ns0:v>
      </ns0:c>
      <ns0:c r="N371" s="74" t="inlineStr">
        <ns0:is>
          <ns0:t>N</ns0:t>
        </ns0:is>
      </ns0:c>
      <ns0:c r="O371" s="78" t="n">
        <ns0:v>80</ns0:v>
      </ns0:c>
      <ns0:c r="P371" s="78" t="n">
        <ns0:v>0</ns0:v>
      </ns0:c>
      <ns0:c r="Q371" s="79" t="n">
        <ns0:v>4001.1</ns0:v>
      </ns0:c>
      <ns0:c r="R371" s="74" t="inlineStr">
        <ns0:is>
          <ns0:t>derived:price x shares upon listing</ns0:t>
        </ns0:is>
      </ns0:c>
      <ns0:c r="S371" s="80" t="n">
        <ns0:v>5440.8</ns0:v>
      </ns0:c>
      <ns0:c r="T371" s="81" t="n">
        <ns0:v>2.37</ns0:v>
      </ns0:c>
      <ns0:c r="U371" s="82" t="n">
        <ns0:v>0</ns0:v>
      </ns0:c>
      <ns0:c r="V371" s="83" t="n">
        <ns0:v>129</ns0:v>
      </ns0:c>
      <ns0:c r="W371" s="78" t="n">
        <ns0:v>10</ns0:v>
      </ns0:c>
      <ns0:c r="X371" s="74" t="inlineStr">
        <ns0:is>
          <ns0:t>NA</ns0:t>
        </ns0:is>
      </ns0:c>
      <ns0:c r="Y371" s="79" t="n">
        <ns0:v>400.12</ns0:v>
      </ns0:c>
      <ns0:c r="Z371" s="79" t="n">
        <ns0:v>5978900</ns0:v>
      </ns0:c>
      <ns0:c r="AA371" s="78" t="n">
        <ns0:v>10</ns0:v>
      </ns0:c>
      <ns0:c r="AB371" s="74" t="inlineStr">
        <ns0:is>
          <ns0:t>none — no cornerstone tranche</ns0:t>
        </ns0:is>
      </ns0:c>
      <ns0:c r="AC371" s="74" t="inlineStr">
        <ns0:is>
          <ns0:t>none</ns0:t>
        </ns0:is>
      </ns0:c>
      <ns0:c r="AD371" s="78" t="n">
        <ns0:v>11.33</ns0:v>
      </ns0:c>
      <ns0:c r="AE371" s="74" t="inlineStr">
        <ns0:is>
          <ns0:t>lapsed</ns0:t>
        </ns0:is>
      </ns0:c>
      <ns0:c r="AF371" s="74" t="inlineStr">
        <ns0:is>
          <ns0:t>2025-11-05</ns0:t>
        </ns0:is>
      </ns0:c>
      <ns0:c r="AG371" s="74" t="inlineStr">
        <ns0:is>
          <ns0:t>Shenwan Hongyuan Securities</ns0:t>
        </ns0:is>
      </ns0:c>
      <ns0:c r="AH371" s="74" t="inlineStr">
        <ns0:is>
          <ns0:t>Shenwan Hongyuan</ns0:t>
        </ns0:is>
      </ns0:c>
      <ns0:c r="AI371" s="86" t="n">
        <ns0:v>181.38</ns0:v>
      </ns0:c>
      <ns0:c r="AJ371" s="87" t="n">
        <ns0:v>192.14</ns0:v>
      </ns0:c>
      <ns0:c r="AK371" s="87" t="n">
        <ns0:v>-2.65</ns0:v>
      </ns0:c>
      <ns0:c r="AL371" s="87" t="n">
        <ns0:v>183.92</ns0:v>
      </ns0:c>
      <ns0:c r="AM371" s="87" t="n">
        <ns0:v>2.9</ns0:v>
      </ns0:c>
      <ns0:c r="AN371" s="89" t="n">
        <ns0:v>2.61</ns0:v>
      </ns0:c>
      <ns0:c r="AO371" s="78" t="n">
        <ns0:v>13.58</ns0:v>
      </ns0:c>
      <ns0:c r="AP371" s="87" t="n">
        <ns0:v>171.22</ns0:v>
      </ns0:c>
      <ns0:c r="AQ371" s="87" t="n">
        <ns0:v>167.04</ns0:v>
      </ns0:c>
      <ns0:c r="AR371" s="87" t="n">
        <ns0:v>258.64</ns0:v>
      </ns0:c>
      <ns0:c r="AS371" s="87" t="n">
        <ns0:v>-7.16</ns0:v>
      </ns0:c>
      <ns0:c r="AT371" s="87" t="n">
        <ns0:v>-8.59</ns0:v>
      </ns0:c>
      <ns0:c r="AU371" s="87" t="n">
        <ns0:v>22.76</ns0:v>
      </ns0:c>
      <ns0:c r="AV371" s="87" t="n">
        <ns0:v>179.37</ns0:v>
      </ns0:c>
      <ns0:c r="AW371" s="87" t="n">
        <ns0:v>172.3</ns0:v>
      </ns0:c>
      <ns0:c r="AX371" s="87" t="n">
        <ns0:v>265.13</ns0:v>
      </ns0:c>
      <ns0:c r="AY371" s="87" t="n">
        <ns0:v>-5.91</ns0:v>
      </ns0:c>
      <ns0:c r="AZ371" s="87" t="n">
        <ns0:v>-5.26</ns0:v>
      </ns0:c>
      <ns0:c r="BA371" s="87" t="n">
        <ns0:v>-2.68</ns0:v>
      </ns0:c>
      <ns0:c r="BB371" s="74" t="inlineStr">
        <ns0:is>
          <ns0:t>Hang Seng Commerce &amp; Industry sub-index</ns0:t>
        </ns0:is>
      </ns0:c>
      <ns0:c r="BC371" s="87" t="n">
        <ns0:v>-51.36</ns0:v>
      </ns0:c>
      <ns0:c r="BD371" s="75" t="n">
        <ns0:v>46297</ns0:v>
      </ns0:c>
      <ns0:c r="BE371" s="76" t="n">
        <ns0:v>652.7</ns0:v>
      </ns0:c>
      <ns0:c r="BF371" s="79" t="n">
        <ns0:v>-259.5</ns0:v>
      </ns0:c>
      <ns0:c r="BG371" s="74" t="inlineStr">
        <ns0:is>
          <ns0:t>N</ns0:t>
        </ns0:is>
      </ns0:c>
      <ns0:c r="BH371" s="74" t="inlineStr">
        <ns0:is>
          <ns0:t>n/m</ns0:t>
        </ns0:is>
      </ns0:c>
      <ns0:c r="BI371" s="88" t="n"/>
      <ns0:c r="BJ371" s="88" t="n"/>
      <ns0:c r="BK371" s="89" t="n">
        <ns0:v>6.1</ns0:v>
      </ns0:c>
      <ns0:c r="BL371" s="90">
        <ns0:f>IFERROR(IF('BBG Verify'!S371="","Awaiting Bloomberg",'BBG Verify'!S371),"Awaiting Bloomberg")</ns0:f>
        <ns0:v/>
      </ns0:c>
      <ns0:c r="BM371" s="91" t="inlineStr">
        <ns0:is>
          <ns0:t>N</ns0:t>
        </ns0:is>
      </ns0:c>
      <ns0:c r="BN371" s="92">
        <ns0:f>IFERROR(IF('BBG Verify'!K371="","Awaiting Bloomberg",'BBG Verify'!K371),"Awaiting Bloomberg")</ns0:f>
        <ns0:v/>
      </ns0:c>
      <ns0:c r="BO371" s="74" t="inlineStr">
        <ns0:is>
          <ns0:t>N/A</ns0:t>
        </ns0:is>
      </ns0:c>
      <ns0:c r="BP371" s="74" t="inlineStr">
        <ns0:is>
          <ns0:t>N/A</ns0:t>
        </ns0:is>
      </ns0:c>
      <ns0:c r="BQ371" s="74" t="inlineStr">
        <ns0:is>
          <ns0:t>N/A</ns0:t>
        </ns0:is>
      </ns0:c>
      <ns0:c r="BR371" s="74" t="inlineStr">
        <ns0:is>
          <ns0:t>N/A</ns0:t>
        </ns0:is>
      </ns0:c>
      <ns0:c r="BS371" s="74" t="inlineStr">
        <ns0:is>
          <ns0:t>N/A</ns0:t>
        </ns0:is>
      </ns0:c>
      <ns0:c r="BT371" s="74" t="inlineStr">
        <ns0:is>
          <ns0:t>N/A</ns0:t>
        </ns0:is>
      </ns0:c>
      <ns0:c r="BU371" s="91" t="inlineStr">
        <ns0:is>
          <ns0:t>Shenwan Hongyuan Capital (H.K.) Limited</ns0:t>
        </ns0:is>
      </ns0:c>
      <ns0:c r="BV371" s="74" t="inlineStr">
        <ns0:is>
          <ns0:t>Shenwan Hongyuan Capital (H.K.) Limited</ns0:t>
        </ns0:is>
      </ns0:c>
      <ns0:c r="BW371" s="74" t="inlineStr">
        <ns0:is>
          <ns0:t>Shenwan Hongyuan Securities (H.K.) Limited; BOCOM International Securities Limited; First Shanghai Securities Limited; China Industrial Securities International Capital Limited; Livermore Holdings Limited; SPDB International Capital Limited</ns0:t>
        </ns0:is>
      </ns0:c>
      <ns0:c r="BX371" s="74" t="inlineStr">
        <ns0:is>
          <ns0: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ns0:t>
        </ns0:is>
      </ns0:c>
      <ns0:c r="BY371" s="93">
        <ns0:f>HYPERLINK("https://www1.hkexnews.hk/listedco/listconews/sehk/2025/0930/2025093000033.pdf","prospectus")</ns0:f>
        <ns0:v/>
      </ns0:c>
      <ns0:c r="BZ371" s="93">
        <ns0:f>HYPERLINK("https://www1.hkexnews.hk/listedco/listconews/sehk/2025/1009/2025100901252.pdf","allotment")</ns0:f>
        <ns0:v/>
      </ns0:c>
      <ns0:c r="CA371" s="93">
        <ns0:f>HYPERLINK("https://www1.hkexnews.hk/listedco/listconews/sehk/2025/1105/2025110500584.pdf","stabilisation")</ns0:f>
        <ns0:v/>
      </ns0:c>
      <ns0:c r="CB371" s="94" t="n"/>
      <ns0:c r="CC371" s="74" t="inlineStr">
        <ns0:is>
          <ns0:t>P/E: loss-making at IPO, use P/S; market cap: prospectus 'market capitalisation' line is the listing-rule threshold, not the issuer's figure; rejected; cornerstone list: no cornerstone tranche</ns0:t>
        </ns0:is>
      </ns0:c>
    </ns0:row>
    <ns0:row r="372" ht="22" customHeight="1">
      <ns0:c r="A372" s="73" t="inlineStr">
        <ns0:is>
          <ns0:t>2575</ns0:t>
        </ns0:is>
      </ns0:c>
      <ns0:c r="B372" s="74" t="inlineStr">
        <ns0:is>
          <ns0:t>XUANZHUBIO-B</ns0:t>
        </ns0:is>
      </ns0:c>
      <ns0:c r="C372" s="74" t="inlineStr">
        <ns0:is>
          <ns0:t>軒竹生物－Ｂ</ns0:t>
        </ns0:is>
      </ns0:c>
      <ns0:c r="D372" s="74" t="inlineStr">
        <ns0:is>
          <ns0:t>Healthcare</ns0:t>
        </ns0:is>
      </ns0:c>
      <ns0:c r="E372" s="74" t="inlineStr">
        <ns0:is>
          <ns0:t>Biotech pre-revenue (18A)</ns0:t>
        </ns0:is>
      </ns0:c>
      <ns0:c r="F372" s="74" t="inlineStr">
        <ns0:is>
          <ns0:t>Biotechnology - Pharmaceuticals</ns0:t>
        </ns0:is>
      </ns0:c>
      <ns0:c r="G372" s="74" t="inlineStr">
        <ns0:is>
          <ns0:t>18A</ns0:t>
        </ns0:is>
      </ns0:c>
      <ns0:c r="H372" s="75" t="n">
        <ns0:v>45945</ns0:v>
      </ns0:c>
      <ns0:c r="I372" s="76" t="n">
        <ns0:v>781.1</ns0:v>
      </ns0:c>
      <ns0:c r="J372" s="74" t="inlineStr">
        <ns0:is>
          <ns0:t>gross (stated)</ns0:t>
        </ns0:is>
      </ns0:c>
      <ns0:c r="K372" s="95" t="n"/>
      <ns0:c r="L372" s="77" t="n">
        <ns0:v>11.6</ns0:v>
      </ns0:c>
      <ns0:c r="M372" s="77" t="n">
        <ns0:v>11.6</ns0:v>
      </ns0:c>
      <ns0:c r="N372" s="74" t="inlineStr">
        <ns0:is>
          <ns0:t>Y</ns0:t>
        </ns0:is>
      </ns0:c>
      <ns0:c r="O372" s="78" t="n">
        <ns0:v>100</ns0:v>
      </ns0:c>
      <ns0:c r="P372" s="84" t="n"/>
      <ns0:c r="Q372" s="79" t="n">
        <ns0:v>6008.2</ns0:v>
      </ns0:c>
      <ns0:c r="R372" s="74" t="inlineStr">
        <ns0:is>
          <ns0:t>derived:price x shares upon listing</ns0:t>
        </ns0:is>
      </ns0:c>
      <ns0:c r="S372" s="80" t="n">
        <ns0:v>4908.33</ns0:v>
      </ns0:c>
      <ns0:c r="T372" s="81" t="n">
        <ns0:v>10.15</ns0:v>
      </ns0:c>
      <ns0:c r="U372" s="82" t="n">
        <ns0:v>9.81</ns0:v>
      </ns0:c>
      <ns0:c r="V372" s="83" t="n">
        <ns0:v>105</ns0:v>
      </ns0:c>
      <ns0:c r="W372" s="84" t="n"/>
      <ns0:c r="X372" s="74" t="inlineStr">
        <ns0:is>
          <ns0:t>NA</ns0:t>
        </ns0:is>
      </ns0:c>
      <ns0:c r="Y372" s="79" t="n">
        <ns0:v>704.47</ns0:v>
      </ns0:c>
      <ns0:c r="Z372" s="79" t="n">
        <ns0:v>60728084</ns0:v>
      </ns0:c>
      <ns0:c r="AA372" s="78" t="n">
        <ns0:v>11.73</ns0:v>
      </ns0:c>
      <ns0:c r="AB372" s="74" t="inlineStr">
        <ns0:is>
          <ns0:t>Beijing Denov Ruilang Phase XV Equity Investment Fund Center (Limited Partnership)</ns0:t>
        </ns0:is>
      </ns0:c>
      <ns0:c r="AC372" s="74" t="inlineStr">
        <ns0:is>
          <ns0:t>beijing-denov</ns0:t>
        </ns0:is>
      </ns0:c>
      <ns0:c r="AD372" s="78" t="n">
        <ns0:v>15</ns0:v>
      </ns0:c>
      <ns0:c r="AE372" s="85" t="n"/>
      <ns0:c r="AF372" s="85" t="n"/>
      <ns0:c r="AG372" s="85" t="n"/>
      <ns0:c r="AH372" s="85" t="n"/>
      <ns0:c r="AI372" s="86" t="n">
        <ns0:v>172.41</ns0:v>
      </ns0:c>
      <ns0:c r="AJ372" s="87" t="n">
        <ns0:v>126.72</ns0:v>
      </ns0:c>
      <ns0:c r="AK372" s="87" t="n">
        <ns0:v>1.96</ns0:v>
      </ns0:c>
      <ns0:c r="AL372" s="87" t="n">
        <ns0:v>153.97</ns0:v>
      </ns0:c>
      <ns0:c r="AM372" s="87" t="n">
        <ns0:v>-10.73</ns0:v>
      </ns0:c>
      <ns0:c r="AN372" s="88" t="n"/>
      <ns0:c r="AO372" s="78" t="n">
        <ns0:v>15.95</ns0:v>
      </ns0:c>
      <ns0:c r="AP372" s="87" t="n">
        <ns0:v>417.24</ns0:v>
      </ns0:c>
      <ns0:c r="AQ372" s="87" t="n">
        <ns0:v>451.29</ns0:v>
      </ns0:c>
      <ns0:c r="AR372" s="87" t="n">
        <ns0:v>509.05</ns0:v>
      </ns0:c>
      <ns0:c r="AS372" s="87" t="n">
        <ns0:v>128.14</ns0:v>
      </ns0:c>
      <ns0:c r="AT372" s="87" t="n">
        <ns0:v>143.16</ns0:v>
      </ns0:c>
      <ns0:c r="AU372" s="87" t="n">
        <ns0:v>168.64</ns0:v>
      </ns0:c>
      <ns0:c r="AV372" s="87" t="n">
        <ns0:v>416.05</ns0:v>
      </ns0:c>
      <ns0:c r="AW372" s="87" t="n">
        <ns0:v>448.13</ns0:v>
      </ns0:c>
      <ns0:c r="AX372" s="87" t="n">
        <ns0:v>508.14</ns0:v>
      </ns0:c>
      <ns0:c r="AY372" s="87" t="n">
        <ns0:v>141.98</ns0:v>
      </ns0:c>
      <ns0:c r="AZ372" s="87" t="n">
        <ns0:v>3.16</ns0:v>
      </ns0:c>
      <ns0:c r="BA372" s="87" t="n">
        <ns0:v>1.18</ns0:v>
      </ns0:c>
      <ns0:c r="BB372" s="74" t="inlineStr">
        <ns0:is>
          <ns0:t>China Biotech ETF (HS biotech proxy)</ns0:t>
        </ns0:is>
      </ns0:c>
      <ns0:c r="BC372" s="87" t="n">
        <ns0:v>-24.35</ns0:v>
      </ns0:c>
      <ns0:c r="BD372" s="75" t="n">
        <ns0:v>46297</ns0:v>
      </ns0:c>
      <ns0:c r="BE372" s="76" t="n">
        <ns0:v>17.6</ns0:v>
      </ns0:c>
      <ns0:c r="BF372" s="79" t="n">
        <ns0:v>-612.1</ns0:v>
      </ns0:c>
      <ns0:c r="BG372" s="74" t="inlineStr">
        <ns0:is>
          <ns0:t>N</ns0:t>
        </ns0:is>
      </ns0:c>
      <ns0:c r="BH372" s="74" t="inlineStr">
        <ns0:is>
          <ns0:t>n/m</ns0:t>
        </ns0:is>
      </ns0:c>
      <ns0:c r="BI372" s="88" t="n"/>
      <ns0:c r="BJ372" s="88" t="n"/>
      <ns0:c r="BK372" s="89" t="n">
        <ns0:v>341.4</ns0:v>
      </ns0:c>
      <ns0:c r="BL372" s="90">
        <ns0:f>IFERROR(IF('BBG Verify'!S372="","Awaiting Bloomberg",'BBG Verify'!S372),"Awaiting Bloomberg")</ns0:f>
        <ns0:v/>
      </ns0:c>
      <ns0:c r="BM372" s="91" t="inlineStr">
        <ns0:is>
          <ns0:t>N</ns0:t>
        </ns0:is>
      </ns0:c>
      <ns0:c r="BN372" s="92">
        <ns0:f>IFERROR(IF('BBG Verify'!K372="","Awaiting Bloomberg",'BBG Verify'!K372),"Awaiting Bloomberg")</ns0:f>
        <ns0:v/>
      </ns0:c>
      <ns0:c r="BO372" s="74" t="inlineStr">
        <ns0:is>
          <ns0:t>N/A</ns0:t>
        </ns0:is>
      </ns0:c>
      <ns0:c r="BP372" s="74" t="inlineStr">
        <ns0:is>
          <ns0:t>N/A</ns0:t>
        </ns0:is>
      </ns0:c>
      <ns0:c r="BQ372" s="74" t="inlineStr">
        <ns0:is>
          <ns0:t>N/A</ns0:t>
        </ns0:is>
      </ns0:c>
      <ns0:c r="BR372" s="74" t="inlineStr">
        <ns0:is>
          <ns0:t>N/A</ns0:t>
        </ns0:is>
      </ns0:c>
      <ns0:c r="BS372" s="74" t="inlineStr">
        <ns0:is>
          <ns0:t>N/A</ns0:t>
        </ns0:is>
      </ns0:c>
      <ns0:c r="BT372" s="74" t="inlineStr">
        <ns0:is>
          <ns0:t>N/A</ns0:t>
        </ns0:is>
      </ns0:c>
      <ns0:c r="BU372" s="91" t="inlineStr">
        <ns0:is>
          <ns0:t>First Shanghai Capital Limited; CMB Wing Lung Bank Limited; China CITIC Bank International Limited; Ms. Wang Y u ( ˮρ) H Share Registrar Computershare Hong Kong Investor Services Limited</ns0:t>
        </ns0:is>
      </ns0:c>
      <ns0:c r="BV372" s="74" t="inlineStr">
        <ns0:is>
          <ns0:t>China International Capital Corporation Hong Kong Securities Limited</ns0:t>
        </ns0:is>
      </ns0:c>
      <ns0:c r="BW372" s="74" t="inlineStr">
        <ns0:is>
          <ns0:t>China International Capital Corporation Hong Kong Securities Limited; CMB International Capital Limited</ns0:t>
        </ns0:is>
      </ns0:c>
      <ns0:c r="BX372" s="74" t="inlineStr">
        <ns0:is>
          <ns0:t>China International Capital Corporation Hong Kong Securities Limited; CMB International Capital Limited</ns0:t>
        </ns0:is>
      </ns0:c>
      <ns0:c r="BY372" s="93">
        <ns0:f>HYPERLINK("https://www1.hkexnews.hk/listedco/listconews/sehk/2025/1006/2025100600007.pdf","prospectus")</ns0:f>
        <ns0:v/>
      </ns0:c>
      <ns0:c r="BZ372" s="93">
        <ns0:f>HYPERLINK("https://www1.hkexnews.hk/listedco/listconews/sehk/2025/1014/2025101401222.pdf","allotment")</ns0:f>
        <ns0:v/>
      </ns0:c>
      <ns0:c r="CA372" s="85" t="n"/>
      <ns0:c r="CB372" s="94" t="n"/>
      <ns0:c r="CC372" s="74" t="inlineStr">
        <ns0:is>
          <ns0:t>P/E: loss-making at IPO, use P/S; greenshoe: end-of-stabilisation notice not found; range low: maximum offer price only, no floor published; P/S: 341x on HK$17.6m revenue, effectively pre-revenue; not comparable; stabilising manager: not named in the allotment notice or prospectus glossary; allocation: allocation table not in this notice's format (older prose announcement); day-1 tape: volume on file; the retail multiple needs the final public split, which this notice does not state</ns0:t>
        </ns0:is>
      </ns0:c>
    </ns0:row>
    <ns0:row r="373" ht="22" customHeight="1">
      <ns0:c r="A373" s="73" t="inlineStr">
        <ns0:is>
          <ns0:t>2670</ns0:t>
        </ns0:is>
      </ns0:c>
      <ns0:c r="B373" s="74" t="inlineStr">
        <ns0:is>
          <ns0:t>YUNJI</ns0:t>
        </ns0:is>
      </ns0:c>
      <ns0:c r="C373" s="74" t="inlineStr">
        <ns0:is>
          <ns0:t>雲迹</ns0:t>
        </ns0:is>
      </ns0:c>
      <ns0:c r="D373" s="74" t="inlineStr">
        <ns0:is>
          <ns0:t>Technology</ns0:t>
        </ns0:is>
      </ns0:c>
      <ns0:c r="E373" s="74" t="inlineStr">
        <ns0:is>
          <ns0:t>Robotics &amp; autonomous driving</ns0:t>
        </ns0:is>
      </ns0:c>
      <ns0:c r="F373" s="74" t="inlineStr">
        <ns0:is>
          <ns0:t>Advanced hardware and software</ns0:t>
        </ns0:is>
      </ns0:c>
      <ns0:c r="G373" s="74" t="inlineStr">
        <ns0:is>
          <ns0:t>18C</ns0:t>
        </ns0:is>
      </ns0:c>
      <ns0:c r="H373" s="75" t="n">
        <ns0:v>45946</ns0:v>
      </ns0:c>
      <ns0:c r="I373" s="76" t="n">
        <ns0:v>659.6</ns0:v>
      </ns0:c>
      <ns0:c r="J373" s="74" t="inlineStr">
        <ns0:is>
          <ns0:t>gross (stated)</ns0:t>
        </ns0:is>
      </ns0:c>
      <ns0:c r="K373" s="95" t="n"/>
      <ns0:c r="L373" s="77" t="n">
        <ns0:v>95.59999999999999</ns0:v>
      </ns0:c>
      <ns0:c r="M373" s="77" t="n">
        <ns0:v>95.59999999999999</ns0:v>
      </ns0:c>
      <ns0:c r="N373" s="74" t="inlineStr">
        <ns0:is>
          <ns0:t>Y</ns0:t>
        </ns0:is>
      </ns0:c>
      <ns0:c r="O373" s="78" t="n">
        <ns0:v>100</ns0:v>
      </ns0:c>
      <ns0:c r="P373" s="84" t="n"/>
      <ns0:c r="Q373" s="79" t="n">
        <ns0:v>5886</ns0:v>
      </ns0:c>
      <ns0:c r="R373" s="74" t="inlineStr">
        <ns0:is>
          <ns0:t>prospectus:stated market capitalisation</ns0:t>
        </ns0:is>
      </ns0:c>
      <ns0:c r="S373" s="80" t="n">
        <ns0:v>5657.2</ns0:v>
      </ns0:c>
      <ns0:c r="T373" s="81" t="n">
        <ns0:v>18.62</ns0:v>
      </ns0:c>
      <ns0:c r="U373" s="82" t="n">
        <ns0:v>0</ns0:v>
      </ns0:c>
      <ns0:c r="V373" s="83" t="n">
        <ns0:v>83</ns0:v>
      </ns0:c>
      <ns0:c r="W373" s="78" t="n">
        <ns0:v>20</ns0:v>
      </ns0:c>
      <ns0:c r="X373" s="74" t="inlineStr">
        <ns0:is>
          <ns0:t>YES</ns0:t>
        </ns0:is>
      </ns0:c>
      <ns0:c r="Y373" s="79" t="n">
        <ns0:v>659.6</ns0:v>
      </ns0:c>
      <ns0:c r="Z373" s="79" t="n">
        <ns0:v>6900000</ns0:v>
      </ns0:c>
      <ns0:c r="AA373" s="78" t="n">
        <ns0:v>11.21</ns0:v>
      </ns0:c>
      <ns0:c r="AB373" s="74" t="inlineStr">
        <ns0:is>
          <ns0:t>none — no cornerstone tranche</ns0:t>
        </ns0:is>
      </ns0:c>
      <ns0:c r="AC373" s="74" t="inlineStr">
        <ns0:is>
          <ns0:t>none</ns0:t>
        </ns0:is>
      </ns0:c>
      <ns0:c r="AD373" s="78" t="n">
        <ns0:v>15</ns0:v>
      </ns0:c>
      <ns0:c r="AE373" s="74" t="inlineStr">
        <ns0:is>
          <ns0:t>full</ns0:t>
        </ns0:is>
      </ns0:c>
      <ns0:c r="AF373" s="74" t="inlineStr">
        <ns0:is>
          <ns0:t>2025-11-12</ns0:t>
        </ns0:is>
      </ns0:c>
      <ns0:c r="AG373" s="74" t="inlineStr">
        <ns0:is>
          <ns0:t>CLSA Limited</ns0:t>
        </ns0:is>
      </ns0:c>
      <ns0:c r="AH373" s="74" t="inlineStr">
        <ns0:is>
          <ns0:t>CLSA</ns0:t>
        </ns0:is>
      </ns0:c>
      <ns0:c r="AI373" s="86" t="n">
        <ns0:v>53.77</ns0:v>
      </ns0:c>
      <ns0:c r="AJ373" s="87" t="n">
        <ns0:v>26.05</ns0:v>
      </ns0:c>
      <ns0:c r="AK373" s="87" t="n">
        <ns0:v>-1.17</ns0:v>
      </ns0:c>
      <ns0:c r="AL373" s="87" t="n">
        <ns0:v>49.37</ns0:v>
      </ns0:c>
      <ns0:c r="AM373" s="87" t="n">
        <ns0:v>-15.61</ns0:v>
      </ns0:c>
      <ns0:c r="AN373" s="89" t="n">
        <ns0:v>2.34</ns0:v>
      </ns0:c>
      <ns0:c r="AO373" s="78" t="n">
        <ns0:v>15.9</ns0:v>
      </ns0:c>
      <ns0:c r="AP373" s="87" t="n">
        <ns0:v>29.18</ns0:v>
      </ns0:c>
      <ns0:c r="AQ373" s="87" t="n">
        <ns0:v>18.2</ns0:v>
      </ns0:c>
      <ns0:c r="AR373" s="87" t="n">
        <ns0:v>23.74</ns0:v>
      </ns0:c>
      <ns0:c r="AS373" s="87" t="n">
        <ns0:v>2.48</ns0:v>
      </ns0:c>
      <ns0:c r="AT373" s="87" t="n">
        <ns0:v>-6.23</ns0:v>
      </ns0:c>
      <ns0:c r="AU373" s="87" t="n">
        <ns0:v>-1.83</ns0:v>
      </ns0:c>
      <ns0:c r="AV373" s="87" t="n">
        <ns0:v>31.36</ns0:v>
      </ns0:c>
      <ns0:c r="AW373" s="87" t="n">
        <ns0:v>23.4</ns0:v>
      </ns0:c>
      <ns0:c r="AX373" s="87" t="n">
        <ns0:v>29.28</ns0:v>
      </ns0:c>
      <ns0:c r="AY373" s="87" t="n">
        <ns0:v>-2.16</ns0:v>
      </ns0:c>
      <ns0:c r="AZ373" s="87" t="n">
        <ns0:v>-5.2</ns0:v>
      </ns0:c>
      <ns0:c r="BA373" s="87" t="n">
        <ns0:v>-4.07</ns0:v>
      </ns0:c>
      <ns0:c r="BB373" s="74" t="inlineStr">
        <ns0:is>
          <ns0:t>HSTECH (Hang Seng TECH ETF)</ns0:t>
        </ns0:is>
      </ns0:c>
      <ns0:c r="BC373" s="87" t="n">
        <ns0:v>-37.81</ns0:v>
      </ns0:c>
      <ns0:c r="BD373" s="75" t="n">
        <ns0:v>46297</ns0:v>
      </ns0:c>
      <ns0:c r="BE373" s="76" t="n">
        <ns0:v>269.3</ns0:v>
      </ns0:c>
      <ns0:c r="BF373" s="79" t="n">
        <ns0:v>-64</ns0:v>
      </ns0:c>
      <ns0:c r="BG373" s="74" t="inlineStr">
        <ns0:is>
          <ns0:t>N</ns0:t>
        </ns0:is>
      </ns0:c>
      <ns0:c r="BH373" s="74" t="inlineStr">
        <ns0:is>
          <ns0:t>n/m</ns0:t>
        </ns0:is>
      </ns0:c>
      <ns0:c r="BI373" s="88" t="n"/>
      <ns0:c r="BJ373" s="88" t="n"/>
      <ns0:c r="BK373" s="89" t="n">
        <ns0:v>21.9</ns0:v>
      </ns0:c>
      <ns0:c r="BL373" s="90">
        <ns0:f>IFERROR(IF('BBG Verify'!S373="","Awaiting Bloomberg",'BBG Verify'!S373),"Awaiting Bloomberg")</ns0:f>
        <ns0:v/>
      </ns0:c>
      <ns0:c r="BM373" s="91" t="inlineStr">
        <ns0:is>
          <ns0:t>N</ns0:t>
        </ns0:is>
      </ns0:c>
      <ns0:c r="BN373" s="92">
        <ns0:f>IFERROR(IF('BBG Verify'!K373="","Awaiting Bloomberg",'BBG Verify'!K373),"Awaiting Bloomberg")</ns0:f>
        <ns0:v/>
      </ns0:c>
      <ns0:c r="BO373" s="74" t="inlineStr">
        <ns0:is>
          <ns0:t>N/A</ns0:t>
        </ns0:is>
      </ns0:c>
      <ns0:c r="BP373" s="74" t="inlineStr">
        <ns0:is>
          <ns0:t>N/A</ns0:t>
        </ns0:is>
      </ns0:c>
      <ns0:c r="BQ373" s="74" t="inlineStr">
        <ns0:is>
          <ns0:t>N/A</ns0:t>
        </ns0:is>
      </ns0:c>
      <ns0:c r="BR373" s="74" t="inlineStr">
        <ns0:is>
          <ns0:t>N/A</ns0:t>
        </ns0:is>
      </ns0:c>
      <ns0:c r="BS373" s="74" t="inlineStr">
        <ns0:is>
          <ns0:t>N/A</ns0:t>
        </ns0:is>
      </ns0:c>
      <ns0:c r="BT373" s="74" t="inlineStr">
        <ns0:is>
          <ns0:t>N/A</ns0:t>
        </ns0:is>
      </ns0:c>
      <ns0:c r="BU373" s="91" t="inlineStr">
        <ns0:is>
          <ns0:t>CITIC Securities (Hong Kong) Limited; CCB International Capital Limited</ns0:t>
        </ns0:is>
      </ns0:c>
      <ns0:c r="BV373" s="74" t="inlineStr">
        <ns0:is>
          <ns0:t>CCB International Capital Limited; CITIC Securities (Hong Kong) Limited</ns0:t>
        </ns0:is>
      </ns0:c>
      <ns0:c r="BW373" s="74" t="inlineStr">
        <ns0:is>
          <ns0:t>CLSA Limited; CCB International Capital Limited; SDICS International Securities (Hong Kong) Limited; Futu Securities International (Hong Kong) Limited; Fuze Securities (International) Limited; SPDB International Capital Limited; Tiger Brokers (HK) Global Limited</ns0:t>
        </ns0:is>
      </ns0:c>
      <ns0:c r="BX373" s="74" t="inlineStr">
        <ns0:is>
          <ns0: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ns0:t>
        </ns0:is>
      </ns0:c>
      <ns0:c r="BY373" s="93">
        <ns0:f>HYPERLINK("https://www1.hkexnews.hk/listedco/listconews/sehk/2025/1008/2025100800003.pdf","prospectus")</ns0:f>
        <ns0:v/>
      </ns0:c>
      <ns0:c r="BZ373" s="93">
        <ns0:f>HYPERLINK("https://www1.hkexnews.hk/listedco/listconews/sehk/2025/1015/2025101501398.pdf","allotment")</ns0:f>
        <ns0:v/>
      </ns0:c>
      <ns0:c r="CA373" s="93">
        <ns0:f>HYPERLINK("https://www1.hkexnews.hk/listedco/listconews/sehk/2025/1112/2025111201502.pdf","stabilisation")</ns0:f>
        <ns0:v/>
      </ns0:c>
      <ns0:c r="CB373" s="94" t="n"/>
      <ns0:c r="CC373" s="74" t="inlineStr">
        <ns0:is>
          <ns0:t>P/E: loss-making at IPO, use P/S; range low: maximum offer price only, no floor published; cornerstone list: no cornerstone tranche</ns0:t>
        </ns0:is>
      </ns0:c>
    </ns0:row>
    <ns0:row r="374" ht="22" customHeight="1">
      <ns0:c r="A374" s="73" t="inlineStr">
        <ns0:is>
          <ns0:t>2637</ns0:t>
        </ns0:is>
      </ns0:c>
      <ns0:c r="B374" s="74" t="inlineStr">
        <ns0:is>
          <ns0:t>HAIXI PHARMA</ns0:t>
        </ns0:is>
      </ns0:c>
      <ns0:c r="C374" s="74" t="inlineStr">
        <ns0:is>
          <ns0:t>海西新藥</ns0:t>
        </ns0:is>
      </ns0:c>
      <ns0:c r="D374" s="74" t="inlineStr">
        <ns0:is>
          <ns0:t>Healthcare</ns0:t>
        </ns0:is>
      </ns0:c>
      <ns0:c r="E374" s="74" t="inlineStr">
        <ns0:is>
          <ns0:t>Biopharma commercial</ns0:t>
        </ns0:is>
      </ns0:c>
      <ns0:c r="F374" s="74" t="inlineStr">
        <ns0:is>
          <ns0:t>Pharmaceuticals</ns0:t>
        </ns0:is>
      </ns0:c>
      <ns0:c r="G374" s="74" t="inlineStr">
        <ns0:is>
          <ns0:t>Standard</ns0:t>
        </ns0:is>
      </ns0:c>
      <ns0:c r="H374" s="75" t="n">
        <ns0:v>45950</ns0:v>
      </ns0:c>
      <ns0:c r="I374" s="76" t="n">
        <ns0:v>993.6</ns0:v>
      </ns0:c>
      <ns0:c r="J374" s="74" t="inlineStr">
        <ns0:is>
          <ns0:t>gross (stated)</ns0:t>
        </ns0:is>
      </ns0:c>
      <ns0:c r="K374" s="77" t="n">
        <ns0:v>69.88</ns0:v>
      </ns0:c>
      <ns0:c r="L374" s="77" t="n">
        <ns0:v>86.40000000000001</ns0:v>
      </ns0:c>
      <ns0:c r="M374" s="77" t="n">
        <ns0:v>86.40000000000001</ns0:v>
      </ns0:c>
      <ns0:c r="N374" s="74" t="inlineStr">
        <ns0:is>
          <ns0:t>Y</ns0:t>
        </ns0:is>
      </ns0:c>
      <ns0:c r="O374" s="78" t="n">
        <ns0:v>100</ns0:v>
      </ns0:c>
      <ns0:c r="P374" s="78" t="n">
        <ns0:v>100</ns0:v>
      </ns0:c>
      <ns0:c r="Q374" s="79" t="n">
        <ns0:v>6800.3</ns0:v>
      </ns0:c>
      <ns0:c r="R374" s="74" t="inlineStr">
        <ns0:is>
          <ns0:t>derived:price x shares upon listing</ns0:t>
        </ns0:is>
      </ns0:c>
      <ns0:c r="S374" s="80" t="n">
        <ns0:v>3165.1</ns0:v>
      </ns0:c>
      <ns0:c r="T374" s="81" t="n">
        <ns0:v>6.3</ns0:v>
      </ns0:c>
      <ns0:c r="U374" s="82" t="n">
        <ns0:v>17.23</ns0:v>
      </ns0:c>
      <ns0:c r="V374" s="83" t="n">
        <ns0:v>46</ns0:v>
      </ns0:c>
      <ns0:c r="W374" s="78" t="n">
        <ns0:v>10</ns0:v>
      </ns0:c>
      <ns0:c r="X374" s="74" t="inlineStr">
        <ns0:is>
          <ns0:t>NO</ns0:t>
        </ns0:is>
      </ns0:c>
      <ns0:c r="Y374" s="79" t="n">
        <ns0:v>822.4</ns0:v>
      </ns0:c>
      <ns0:c r="Z374" s="79" t="n">
        <ns0:v>9518550</ns0:v>
      </ns0:c>
      <ns0:c r="AA374" s="78" t="n">
        <ns0:v>12.09</ns0:v>
      </ns0:c>
      <ns0:c r="AB374" s="74" t="inlineStr">
        <ns0:is>
          <ns0:t>Harvest International Premium Value (Secondary Market) Fund SPC acting on behalf of and for the account of Harvest Oriental SP</ns0:t>
        </ns0:is>
      </ns0:c>
      <ns0:c r="AC374" s="74" t="inlineStr">
        <ns0:is>
          <ns0:t>harvest</ns0:t>
        </ns0:is>
      </ns0:c>
      <ns0:c r="AD374" s="84" t="n"/>
      <ns0:c r="AE374" s="85" t="n"/>
      <ns0:c r="AF374" s="85" t="n"/>
      <ns0:c r="AG374" s="85" t="n"/>
      <ns0:c r="AH374" s="85" t="n"/>
      <ns0:c r="AI374" s="86" t="n">
        <ns0:v>24.54</ns0:v>
      </ns0:c>
      <ns0:c r="AJ374" s="87" t="n">
        <ns0:v>20.6</ns0:v>
      </ns0:c>
      <ns0:c r="AK374" s="87" t="n">
        <ns0:v>0.59</ns0:v>
      </ns0:c>
      <ns0:c r="AL374" s="87" t="n">
        <ns0:v>18.06</ns0:v>
      </ns0:c>
      <ns0:c r="AM374" s="87" t="n">
        <ns0:v>2.15</ns0:v>
      </ns0:c>
      <ns0:c r="AN374" s="89" t="n">
        <ns0:v>2.09</ns0:v>
      </ns0:c>
      <ns0:c r="AO374" s="78" t="n">
        <ns0:v>17.45</ns0:v>
      </ns0:c>
      <ns0:c r="AP374" s="87" t="n">
        <ns0:v>30.67</ns0:v>
      </ns0:c>
      <ns0:c r="AQ374" s="87" t="n">
        <ns0:v>47.57</ns0:v>
      </ns0:c>
      <ns0:c r="AR374" s="87" t="n">
        <ns0:v>62.85</ns0:v>
      </ns0:c>
      <ns0:c r="AS374" s="87" t="n">
        <ns0:v>8.35</ns0:v>
      </ns0:c>
      <ns0:c r="AT374" s="87" t="n">
        <ns0:v>22.36</ns0:v>
      </ns0:c>
      <ns0:c r="AU374" s="87" t="n">
        <ns0:v>35.03</ns0:v>
      </ns0:c>
      <ns0:c r="AV374" s="87" t="n">
        <ns0:v>29.21</ns0:v>
      </ns0:c>
      <ns0:c r="AW374" s="87" t="n">
        <ns0:v>49.17</ns0:v>
      </ns0:c>
      <ns0:c r="AX374" s="87" t="n">
        <ns0:v>66.48</ns0:v>
      </ns0:c>
      <ns0:c r="AY374" s="87" t="n">
        <ns0:v>24.53</ns0:v>
      </ns0:c>
      <ns0:c r="AZ374" s="87" t="n">
        <ns0:v>-1.6</ns0:v>
      </ns0:c>
      <ns0:c r="BA374" s="87" t="n">
        <ns0:v>-2.17</ns0:v>
      </ns0:c>
      <ns0:c r="BB374" s="74" t="inlineStr">
        <ns0:is>
          <ns0:t>China Biotech ETF (HS biotech proxy)</ns0:t>
        </ns0:is>
      </ns0:c>
      <ns0:c r="BC374" s="87" t="n">
        <ns0:v>88.66</ns0:v>
      </ns0:c>
      <ns0:c r="BD374" s="75" t="n">
        <ns0:v>46297</ns0:v>
      </ns0:c>
      <ns0:c r="BE374" s="76" t="n">
        <ns0:v>513.4</ns0:v>
      </ns0:c>
      <ns0:c r="BF374" s="79" t="n">
        <ns0:v>149.7</ns0:v>
      </ns0:c>
      <ns0:c r="BG374" s="74" t="inlineStr">
        <ns0:is>
          <ns0:t>Y</ns0:t>
        </ns0:is>
      </ns0:c>
      <ns0:c r="BH374" s="89" t="n">
        <ns0:v>45.4</ns0:v>
      </ns0:c>
      <ns0:c r="BI374" s="88" t="n"/>
      <ns0:c r="BJ374" s="88" t="n"/>
      <ns0:c r="BK374" s="89" t="n">
        <ns0:v>13.2</ns0:v>
      </ns0:c>
      <ns0:c r="BL374" s="90">
        <ns0:f>IFERROR(IF('BBG Verify'!S374="","Awaiting Bloomberg",'BBG Verify'!S374),"Awaiting Bloomberg")</ns0:f>
        <ns0:v/>
      </ns0:c>
      <ns0:c r="BM374" s="91" t="inlineStr">
        <ns0:is>
          <ns0:t>N</ns0:t>
        </ns0:is>
      </ns0:c>
      <ns0:c r="BN374" s="92">
        <ns0:f>IFERROR(IF('BBG Verify'!K374="","Awaiting Bloomberg",'BBG Verify'!K374),"Awaiting Bloomberg")</ns0:f>
        <ns0:v/>
      </ns0:c>
      <ns0:c r="BO374" s="74" t="inlineStr">
        <ns0:is>
          <ns0:t>N/A</ns0:t>
        </ns0:is>
      </ns0:c>
      <ns0:c r="BP374" s="74" t="inlineStr">
        <ns0:is>
          <ns0:t>N/A</ns0:t>
        </ns0:is>
      </ns0:c>
      <ns0:c r="BQ374" s="74" t="inlineStr">
        <ns0:is>
          <ns0:t>N/A</ns0:t>
        </ns0:is>
      </ns0:c>
      <ns0:c r="BR374" s="74" t="inlineStr">
        <ns0:is>
          <ns0:t>N/A</ns0:t>
        </ns0:is>
      </ns0:c>
      <ns0:c r="BS374" s="74" t="inlineStr">
        <ns0:is>
          <ns0:t>N/A</ns0:t>
        </ns0:is>
      </ns0:c>
      <ns0:c r="BT374" s="74" t="inlineStr">
        <ns0:is>
          <ns0:t>N/A</ns0:t>
        </ns0:is>
      </ns0:c>
      <ns0:c r="BU374" s="91" t="inlineStr">
        <ns0:is>
          <ns0:t>Huatai Financial Holdings (Hong Kong) Limited; CMB International Capital Limited</ns0:t>
        </ns0:is>
      </ns0:c>
      <ns0:c r="BV374" s="74" t="inlineStr">
        <ns0:is>
          <ns0:t>Huatai Financial Holdings (Hong Kong) Limited; CMB International Capital Limited</ns0:t>
        </ns0:is>
      </ns0:c>
      <ns0:c r="BW374" s="74" t="inlineStr">
        <ns0:is>
          <ns0: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Zhongtai International Securities Limited</ns0:t>
        </ns0:is>
      </ns0:c>
      <ns0:c r="BX374" s="74" t="inlineStr">
        <ns0:is>
          <ns0: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ns0:t>
        </ns0:is>
      </ns0:c>
      <ns0:c r="BY374" s="93">
        <ns0:f>HYPERLINK("https://www1.hkexnews.hk/listedco/listconews/sehk/2025/1009/2025100900041.pdf","prospectus")</ns0:f>
        <ns0:v/>
      </ns0:c>
      <ns0:c r="BZ374" s="93">
        <ns0:f>HYPERLINK("https://www1.hkexnews.hk/listedco/listconews/sehk/2025/1017/2025101701654.pdf","allotment")</ns0:f>
        <ns0:v/>
      </ns0:c>
      <ns0:c r="CA374" s="85" t="n"/>
      <ns0:c r="CB374" s="94" t="n"/>
      <ns0:c r="CC374" s="74" t="inlineStr">
        <ns0:is>
          <ns0:t>greenshoe: no over-allotment option; greenshoe size: no over-allotment option; stabilising manager: no over-allotment option, so none appointed</ns0:t>
        </ns0:is>
      </ns0:c>
    </ns0:row>
    <ns0:row r="375" ht="22" customHeight="1">
      <ns0:c r="A375" s="73" t="inlineStr">
        <ns0:is>
          <ns0:t>6687</ns0:t>
        </ns0:is>
      </ns0:c>
      <ns0:c r="B375" s="74" t="inlineStr">
        <ns0:is>
          <ns0:t>JST GROUP</ns0:t>
        </ns0:is>
      </ns0:c>
      <ns0:c r="C375" s="74" t="inlineStr">
        <ns0:is>
          <ns0:t>聚水潭</ns0:t>
        </ns0:is>
      </ns0:c>
      <ns0:c r="D375" s="74" t="inlineStr">
        <ns0:is>
          <ns0:t>Technology</ns0:t>
        </ns0:is>
      </ns0:c>
      <ns0:c r="E375" s="74" t="inlineStr">
        <ns0:is>
          <ns0:t>Software &amp; AI</ns0:t>
        </ns0:is>
      </ns0:c>
      <ns0:c r="F375" s="74" t="inlineStr">
        <ns0:is>
          <ns0:t>Application Software</ns0:t>
        </ns0:is>
      </ns0:c>
      <ns0:c r="G375" s="74" t="inlineStr">
        <ns0:is>
          <ns0:t>Standard</ns0:t>
        </ns0:is>
      </ns0:c>
      <ns0:c r="H375" s="75" t="n">
        <ns0:v>45951</ns0:v>
      </ns0:c>
      <ns0:c r="I375" s="76" t="n">
        <ns0:v>2085.89</ns0:v>
      </ns0:c>
      <ns0:c r="J375" s="74" t="inlineStr">
        <ns0:is>
          <ns0:t>gross (stated)</ns0:t>
        </ns0:is>
      </ns0:c>
      <ns0:c r="K375" s="95" t="n"/>
      <ns0:c r="L375" s="77" t="n">
        <ns0:v>30.6</ns0:v>
      </ns0:c>
      <ns0:c r="M375" s="77" t="n">
        <ns0:v>30.6</ns0:v>
      </ns0:c>
      <ns0:c r="N375" s="74" t="inlineStr">
        <ns0:is>
          <ns0:t>Y</ns0:t>
        </ns0:is>
      </ns0:c>
      <ns0:c r="O375" s="78" t="n">
        <ns0:v>100</ns0:v>
      </ns0:c>
      <ns0:c r="P375" s="84" t="n"/>
      <ns0:c r="Q375" s="79" t="n">
        <ns0:v>13000</ns0:v>
      </ns0:c>
      <ns0:c r="R375" s="74" t="inlineStr">
        <ns0:is>
          <ns0:t>prospectus:stated market capitalisation</ns0:t>
        </ns0:is>
      </ns0:c>
      <ns0:c r="S375" s="80" t="n">
        <ns0:v>1952.95</ns0:v>
      </ns0:c>
      <ns0:c r="T375" s="81" t="n">
        <ns0:v>22.89</ns0:v>
      </ns0:c>
      <ns0:c r="U375" s="82" t="n">
        <ns0:v>48.5</ns0:v>
      </ns0:c>
      <ns0:c r="V375" s="83" t="n">
        <ns0:v>632</ns0:v>
      </ns0:c>
      <ns0:c r="W375" s="78" t="n">
        <ns0:v>10</ns0:v>
      </ns0:c>
      <ns0:c r="X375" s="74" t="inlineStr">
        <ns0:is>
          <ns0:t>NA</ns0:t>
        </ns0:is>
      </ns0:c>
      <ns0:c r="Y375" s="79" t="n">
        <ns0:v>1074.23</ns0:v>
      </ns0:c>
      <ns0:c r="Z375" s="79" t="n">
        <ns0:v>35105593</ns0:v>
      </ns0:c>
      <ns0:c r="AA375" s="78" t="n">
        <ns0:v>8.26</ns0:v>
      </ns0:c>
      <ns0:c r="AB375" s="74" t="inlineStr">
        <ns0:is>
          <ns0:t>Blue Lake Capital Opportunity Fund I, L.P; China Universal Asset Management Co., Ltd and China Universal Asset Management (Hong Kong) Company Limited , together with CUAM, each a Cornerstone Investor and collectively the CUAM Entities; Dymon Asia Multi-Strategy Investment Master Fund; Fourier Capital Management Limited; GRANITE ASIA VIII INVESTMENTS PTE. LTD; Greenwoods Asset Management Hong Kong Limited; GTCS Holdings Limited; HSG Growth VI Holdco F, Ltd; Jain Global Master Fund Ltd; Perseverance Asset Management International (Singapore) Pte. Ltd; Stoneylake Global Alpha Fund; WT Asset Management Limited; 3W Fund Management Limited</ns0:t>
        </ns0:is>
      </ns0:c>
      <ns0:c r="AC375" s="74" t="inlineStr">
        <ns0:is>
          <ns0:t>blue;universal;dymon;fourier;granite;greenwoods;gtcs;hsg;jain;perseverance;stoneylake;wt;3w</ns0:t>
        </ns0:is>
      </ns0:c>
      <ns0:c r="AD375" s="78" t="n">
        <ns0:v>15</ns0:v>
      </ns0:c>
      <ns0:c r="AE375" s="74" t="inlineStr">
        <ns0:is>
          <ns0:t>full</ns0:t>
        </ns0:is>
      </ns0:c>
      <ns0:c r="AF375" s="85" t="n"/>
      <ns0:c r="AG375" s="74" t="inlineStr">
        <ns0:is>
          <ns0:t>China International Capital Corporation Hong Kong Securities Limited</ns0:t>
        </ns0:is>
      </ns0:c>
      <ns0:c r="AH375" s="74" t="inlineStr">
        <ns0:is>
          <ns0:t>China International</ns0:t>
        </ns0:is>
      </ns0:c>
      <ns0:c r="AI375" s="86" t="n">
        <ns0:v>37.25</ns0:v>
      </ns0:c>
      <ns0:c r="AJ375" s="87" t="n">
        <ns0:v>23.86</ns0:v>
      </ns0:c>
      <ns0:c r="AK375" s="87" t="n">
        <ns0:v>1.29</ns0:v>
      </ns0:c>
      <ns0:c r="AL375" s="87" t="n">
        <ns0:v>24.18</ns0:v>
      </ns0:c>
      <ns0:c r="AM375" s="87" t="n">
        <ns0:v>-0.26</ns0:v>
      </ns0:c>
      <ns0:c r="AN375" s="89" t="n">
        <ns0:v>5.5</ns0:v>
      </ns0:c>
      <ns0:c r="AO375" s="78" t="n">
        <ns0:v>14.42</ns0:v>
      </ns0:c>
      <ns0:c r="AP375" s="87" t="n">
        <ns0:v>8.5</ns0:v>
      </ns0:c>
      <ns0:c r="AQ375" s="87" t="n">
        <ns0:v>-15.1</ns0:v>
      </ns0:c>
      <ns0:c r="AR375" s="87" t="n">
        <ns0:v>-6.27</ns0:v>
      </ns0:c>
      <ns0:c r="AS375" s="87" t="n">
        <ns0:v>-12.4</ns0:v>
      </ns0:c>
      <ns0:c r="AT375" s="87" t="n">
        <ns0:v>-31.45</ns0:v>
      </ns0:c>
      <ns0:c r="AU375" s="87" t="n">
        <ns0:v>-24.33</ns0:v>
      </ns0:c>
      <ns0:c r="AV375" s="87" t="n">
        <ns0:v>6.01</ns0:v>
      </ns0:c>
      <ns0:c r="AW375" s="87" t="n">
        <ns0:v>-9.17</ns0:v>
      </ns0:c>
      <ns0:c r="AX375" s="87" t="n">
        <ns0:v>-3.26</ns0:v>
      </ns0:c>
      <ns0:c r="AY375" s="87" t="n">
        <ns0:v>-24.32</ns0:v>
      </ns0:c>
      <ns0:c r="AZ375" s="87" t="n">
        <ns0:v>-5.93</ns0:v>
      </ns0:c>
      <ns0:c r="BA375" s="87" t="n">
        <ns0:v>-7.13</ns0:v>
      </ns0:c>
      <ns0:c r="BB375" s="74" t="inlineStr">
        <ns0:is>
          <ns0:t>HSTECH (Hang Seng TECH ETF)</ns0:t>
        </ns0:is>
      </ns0:c>
      <ns0:c r="BC375" s="87" t="n">
        <ns0:v>-58.79</ns0:v>
      </ns0:c>
      <ns0:c r="BD375" s="75" t="n">
        <ns0:v>46297</ns0:v>
      </ns0:c>
      <ns0:c r="BE375" s="76" t="n">
        <ns0:v>1000.7</ns0:v>
      </ns0:c>
      <ns0:c r="BF375" s="97" t="n"/>
      <ns0:c r="BG375" s="74" t="inlineStr">
        <ns0:is>
          <ns0:t>Y</ns0:t>
        </ns0:is>
      </ns0:c>
      <ns0:c r="BH375" s="90">
        <ns0:f>IFERROR(IF('BBG Verify'!O375="","Awaiting Bloomberg",'BBG Verify'!O375),"Awaiting Bloomberg")</ns0:f>
        <ns0:v/>
      </ns0:c>
      <ns0:c r="BI375" s="88" t="n"/>
      <ns0:c r="BJ375" s="88" t="n"/>
      <ns0:c r="BK375" s="89" t="n">
        <ns0:v>13</ns0:v>
      </ns0:c>
      <ns0:c r="BL375" s="90">
        <ns0:f>IFERROR(IF('BBG Verify'!S375="","Awaiting Bloomberg",'BBG Verify'!S375),"Awaiting Bloomberg")</ns0:f>
        <ns0:v/>
      </ns0:c>
      <ns0:c r="BM375" s="91" t="inlineStr">
        <ns0:is>
          <ns0:t>N</ns0:t>
        </ns0:is>
      </ns0:c>
      <ns0:c r="BN375" s="92">
        <ns0:f>IFERROR(IF('BBG Verify'!K375="","Awaiting Bloomberg",'BBG Verify'!K375),"Awaiting Bloomberg")</ns0:f>
        <ns0:v/>
      </ns0:c>
      <ns0:c r="BO375" s="74" t="inlineStr">
        <ns0:is>
          <ns0:t>N/A</ns0:t>
        </ns0:is>
      </ns0:c>
      <ns0:c r="BP375" s="74" t="inlineStr">
        <ns0:is>
          <ns0:t>N/A</ns0:t>
        </ns0:is>
      </ns0:c>
      <ns0:c r="BQ375" s="74" t="inlineStr">
        <ns0:is>
          <ns0:t>N/A</ns0:t>
        </ns0:is>
      </ns0:c>
      <ns0:c r="BR375" s="74" t="inlineStr">
        <ns0:is>
          <ns0:t>N/A</ns0:t>
        </ns0:is>
      </ns0:c>
      <ns0:c r="BS375" s="74" t="inlineStr">
        <ns0:is>
          <ns0:t>N/A</ns0:t>
        </ns0:is>
      </ns0:c>
      <ns0:c r="BT375" s="74" t="inlineStr">
        <ns0:is>
          <ns0:t>N/A</ns0:t>
        </ns0:is>
      </ns0:c>
      <ns0:c r="BU375" s="91" t="inlineStr">
        <ns0:is>
          <ns0:t>China International Capital Corporation Hong Kong Securities Limited; J.P. Morgan Securities (Far East) Limited</ns0:t>
        </ns0:is>
      </ns0:c>
      <ns0:c r="BV375" s="74" t="inlineStr">
        <ns0:is>
          <ns0:t>China International Capital Corporation Hong Kong Securities Limited; J.P. Morgan Securities (Far East) Limited</ns0:t>
        </ns0:is>
      </ns0:c>
      <ns0:c r="BW375" s="74" t="inlineStr">
        <ns0:is>
          <ns0:t>China International Capital Corporation Hong Kong Securities Limited; J.P. Morgan Securities (Asia Pacific) Limited</ns0:t>
        </ns0:is>
      </ns0:c>
      <ns0:c r="BX375" s="74" t="inlineStr">
        <ns0:is>
          <ns0:t>China International Capital Corporation Hong Kong Securities Limited; Futu Securities International (Hong Kong) Limited; J.P. Morgan Securities (Asia Pacific) Limited</ns0:t>
        </ns0:is>
      </ns0:c>
      <ns0:c r="BY375" s="93">
        <ns0:f>HYPERLINK("https://www1.hkexnews.hk/listedco/listconews/sehk/2025/1013/2025101300005.pdf","prospectus")</ns0:f>
        <ns0:v/>
      </ns0:c>
      <ns0:c r="BZ375" s="93">
        <ns0:f>HYPERLINK("https://www1.hkexnews.hk/listedco/listconews/sehk/2025/1020/2025102001624.pdf","allotment")</ns0:f>
        <ns0:v/>
      </ns0:c>
      <ns0:c r="CA375" s="93">
        <ns0:f>HYPERLINK("https://www1.hkexnews.hk/listedco/listconews/sehk/2025/1116/2025111600017.pdf","stabilisation")</ns0:f>
        <ns0:v/>
      </ns0:c>
      <ns0:c r="CB375" s="94" t="n"/>
      <ns0:c r="CC375" s="74" t="inlineStr">
        <ns0:is>
          <ns0:t>P/E: withheld: 1,121x fails the 300x plausibility cap; extracted net income HK$11.6m suspect; greenshoe: outcome published; expiry date not in the notice; range low: maximum offer price only, no floor published; financials: not extractable; pre-IPO year outside the AAStocks window</ns0:t>
        </ns0:is>
      </ns0:c>
    </ns0:row>
    <ns0:row r="376" ht="22" customHeight="1">
      <ns0:c r="A376" s="73" t="inlineStr">
        <ns0:is>
          <ns0:t>0638</ns0:t>
        </ns0:is>
      </ns0:c>
      <ns0:c r="B376" s="74" t="inlineStr">
        <ns0:is>
          <ns0:t>FIBOCOM</ns0:t>
        </ns0:is>
      </ns0:c>
      <ns0:c r="C376" s="74" t="inlineStr">
        <ns0:is>
          <ns0:t>廣和通</ns0:t>
        </ns0:is>
      </ns0:c>
      <ns0:c r="D376" s="74" t="inlineStr">
        <ns0:is>
          <ns0:t>Technology</ns0:t>
        </ns0:is>
      </ns0:c>
      <ns0:c r="E376" s="74" t="inlineStr">
        <ns0:is>
          <ns0:t>Hardware &amp; electronics</ns0:t>
        </ns0:is>
      </ns0:c>
      <ns0:c r="F376" s="74" t="inlineStr">
        <ns0:is>
          <ns0:t>Telecommunication Services</ns0:t>
        </ns0:is>
      </ns0:c>
      <ns0:c r="G376" s="74" t="inlineStr">
        <ns0:is>
          <ns0:t>Standard</ns0:t>
        </ns0:is>
      </ns0:c>
      <ns0:c r="H376" s="75" t="n">
        <ns0:v>45952</ns0:v>
      </ns0:c>
      <ns0:c r="I376" s="76" t="n">
        <ns0:v>2904.2</ns0:v>
      </ns0:c>
      <ns0:c r="J376" s="74" t="inlineStr">
        <ns0:is>
          <ns0:t>gross (stated)</ns0:t>
        </ns0:is>
      </ns0:c>
      <ns0:c r="K376" s="77" t="n">
        <ns0:v>19.88</ns0:v>
      </ns0:c>
      <ns0:c r="L376" s="77" t="n">
        <ns0:v>21.5</ns0:v>
      </ns0:c>
      <ns0:c r="M376" s="77" t="n">
        <ns0:v>21.5</ns0:v>
      </ns0:c>
      <ns0:c r="N376" s="74" t="inlineStr">
        <ns0:is>
          <ns0:t>Y</ns0:t>
        </ns0:is>
      </ns0:c>
      <ns0:c r="O376" s="78" t="n">
        <ns0:v>100</ns0:v>
      </ns0:c>
      <ns0:c r="P376" s="78" t="n">
        <ns0:v>100</ns0:v>
      </ns0:c>
      <ns0:c r="Q376" s="79" t="n">
        <ns0:v>19361.5</ns0:v>
      </ns0:c>
      <ns0:c r="R376" s="74" t="inlineStr">
        <ns0:is>
          <ns0:t>aastocks:上市市值 at the struck price</ns0:t>
        </ns0:is>
      </ns0:c>
      <ns0:c r="S376" s="80" t="n">
        <ns0:v>550.99</ns0:v>
      </ns0:c>
      <ns0:c r="T376" s="81" t="n">
        <ns0:v>9.16</ns0:v>
      </ns0:c>
      <ns0:c r="U376" s="82" t="n">
        <ns0:v>32.72</ns0:v>
      </ns0:c>
      <ns0:c r="V376" s="83" t="n">
        <ns0:v>118</ns0:v>
      </ns0:c>
      <ns0:c r="W376" s="78" t="n">
        <ns0:v>10</ns0:v>
      </ns0:c>
      <ns0:c r="X376" s="74" t="inlineStr">
        <ns0:is>
          <ns0:t>NA</ns0:t>
        </ns0:is>
      </ns0:c>
      <ns0:c r="Y376" s="79" t="n">
        <ns0:v>1953.95</ns0:v>
      </ns0:c>
      <ns0:c r="Z376" s="79" t="n">
        <ns0:v>90881959</ns0:v>
      </ns0:c>
      <ns0:c r="AA376" s="78" t="n">
        <ns0:v>10.09</ns0:v>
      </ns0:c>
      <ns0:c r="AB376" s="74" t="inlineStr">
        <ns0:is>
          <ns0:t>Pacific Asset Management Co., Limited; CPIC (HK); GF Fund Management Co., Ltd; GF International; Ruihua Investment</ns0:t>
        </ns0:is>
      </ns0:c>
      <ns0:c r="AC376" s="74" t="inlineStr">
        <ns0:is>
          <ns0:t>pacific-asset;cpic;gf;ruihua</ns0:t>
        </ns0:is>
      </ns0:c>
      <ns0:c r="AD376" s="78" t="n">
        <ns0:v>15</ns0:v>
      </ns0:c>
      <ns0:c r="AE376" s="74" t="inlineStr">
        <ns0:is>
          <ns0:t>lapsed</ns0:t>
        </ns0:is>
      </ns0:c>
      <ns0:c r="AF376" s="74" t="inlineStr">
        <ns0:is>
          <ns0:t>2025-11-16</ns0:t>
        </ns0:is>
      </ns0:c>
      <ns0:c r="AG376" s="85" t="n"/>
      <ns0:c r="AH376" s="85" t="n"/>
      <ns0:c r="AI376" s="86" t="n">
        <ns0:v>0</ns0:v>
      </ns0:c>
      <ns0:c r="AJ376" s="87" t="n">
        <ns0:v>-11.72</ns0:v>
      </ns0:c>
      <ns0:c r="AK376" s="87" t="n">
        <ns0:v>-1.36</ns0:v>
      </ns0:c>
      <ns0:c r="AL376" s="87" t="n">
        <ns0:v>0</ns0:v>
      </ns0:c>
      <ns0:c r="AM376" s="87" t="n">
        <ns0:v>-11.72</ns0:v>
      </ns0:c>
      <ns0:c r="AN376" s="89" t="n">
        <ns0:v>2.35</ns0:v>
      </ns0:c>
      <ns0:c r="AO376" s="78" t="n">
        <ns0:v>12.6</ns0:v>
      </ns0:c>
      <ns0:c r="AP376" s="87" t="n">
        <ns0:v>-10.23</ns0:v>
      </ns0:c>
      <ns0:c r="AQ376" s="87" t="n">
        <ns0:v>-27.91</ns0:v>
      </ns0:c>
      <ns0:c r="AR376" s="87" t="n">
        <ns0:v>-24.88</ns0:v>
      </ns0:c>
      <ns0:c r="AS376" s="87" t="n">
        <ns0:v>1.69</ns0:v>
      </ns0:c>
      <ns0:c r="AT376" s="87" t="n">
        <ns0:v>-18.34</ns0:v>
      </ns0:c>
      <ns0:c r="AU376" s="87" t="n">
        <ns0:v>-14.91</ns0:v>
      </ns0:c>
      <ns0:c r="AV376" s="87" t="n">
        <ns0:v>-10.99</ns0:v>
      </ns0:c>
      <ns0:c r="AW376" s="87" t="n">
        <ns0:v>-17.38</ns0:v>
      </ns0:c>
      <ns0:c r="AX376" s="87" t="n">
        <ns0:v>-21.14</ns0:v>
      </ns0:c>
      <ns0:c r="AY376" s="87" t="n">
        <ns0:v>-9.050000000000001</ns0:v>
      </ns0:c>
      <ns0:c r="AZ376" s="87" t="n">
        <ns0:v>-10.53</ns0:v>
      </ns0:c>
      <ns0:c r="BA376" s="87" t="n">
        <ns0:v>-9.289999999999999</ns0:v>
      </ns0:c>
      <ns0:c r="BB376" s="74" t="inlineStr">
        <ns0:is>
          <ns0:t>HSTECH (Hang Seng TECH ETF)</ns0:t>
        </ns0:is>
      </ns0:c>
      <ns0:c r="BC376" s="87" t="n">
        <ns0:v>-68.33</ns0:v>
      </ns0:c>
      <ns0:c r="BD376" s="75" t="n">
        <ns0:v>46297</ns0:v>
      </ns0:c>
      <ns0:c r="BE376" s="76" t="n">
        <ns0:v>7668.3</ns0:v>
      </ns0:c>
      <ns0:c r="BF376" s="79" t="n">
        <ns0:v>744.5</ns0:v>
      </ns0:c>
      <ns0:c r="BG376" s="74" t="inlineStr">
        <ns0:is>
          <ns0:t>Y</ns0:t>
        </ns0:is>
      </ns0:c>
      <ns0:c r="BH376" s="89" t="n">
        <ns0:v>26</ns0:v>
      </ns0:c>
      <ns0:c r="BI376" s="88" t="n"/>
      <ns0:c r="BJ376" s="88" t="n"/>
      <ns0:c r="BK376" s="89" t="n">
        <ns0:v>2.5</ns0:v>
      </ns0:c>
      <ns0:c r="BL376" s="90">
        <ns0:f>IFERROR(IF('BBG Verify'!S376="","Awaiting Bloomberg",'BBG Verify'!S376),"Awaiting Bloomberg")</ns0:f>
        <ns0:v/>
      </ns0:c>
      <ns0:c r="BM376" s="91" t="inlineStr">
        <ns0:is>
          <ns0:t>Y</ns0:t>
        </ns0:is>
      </ns0:c>
      <ns0:c r="BN376" s="74" t="inlineStr">
        <ns0:is>
          <ns0:t>300638.SZ</ns0:t>
        </ns0:is>
      </ns0:c>
      <ns0:c r="BO376" s="87" t="n">
        <ns0:v>51.88</ns0:v>
      </ns0:c>
      <ns0:c r="BP376" s="77" t="n">
        <ns0:v>32.6548</ns0:v>
      </ns0:c>
      <ns0:c r="BQ376" s="101" t="n">
        <ns0:v>2.3887</ns0:v>
      </ns0:c>
      <ns0:c r="BR376" s="79" t="n">
        <ns0:v>20744.8</ns0:v>
      </ns0:c>
      <ns0:c r="BS376" s="90">
        <ns0:f>IFERROR(IF('BBG Verify'!Q376="","Awaiting Bloomberg",'BBG Verify'!Q376),"Awaiting Bloomberg")</ns0:f>
        <ns0:v/>
      </ns0:c>
      <ns0:c r="BT376" s="90">
        <ns0:f>IFERROR(IF('BBG Verify'!R376="","Awaiting Bloomberg",'BBG Verify'!R376),"Awaiting Bloomberg")</ns0:f>
        <ns0:v/>
      </ns0:c>
      <ns0:c r="BU376" s="91" t="inlineStr">
        <ns0:is>
          <ns0:t>CITIC Securities (Hong Kong) Limited</ns0:t>
        </ns0:is>
      </ns0:c>
      <ns0:c r="BV376" s="74" t="inlineStr">
        <ns0:is>
          <ns0:t>CITIC Securities (Hong Kong) Limited</ns0:t>
        </ns0:is>
      </ns0:c>
      <ns0:c r="BW376" s="74" t="inlineStr">
        <ns0:is>
          <ns0:t>CLSA Limited; SDICS International Securities (Hong Kong) Limited; CMB International Capital Limited; (Below in alphabetical order) ABCI Capital Limited; China Sunrise Securities (International) Limited</ns0:t>
        </ns0:is>
      </ns0:c>
      <ns0:c r="BX376" s="74" t="inlineStr">
        <ns0:is>
          <ns0:t>ABCI Securities Company Limited; CLSA Limited; CMB International Capital Limited; China Sunrise Securities (International) Limited; Futu Securities International (Hong Kong) Limited; SDICS International Securities (Hong Kong) Limited</ns0:t>
        </ns0:is>
      </ns0:c>
      <ns0:c r="BY376" s="93">
        <ns0:f>HYPERLINK("https://www1.hkexnews.hk/listedco/listconews/sehk/2025/1014/2025101400007.pdf","prospectus")</ns0:f>
        <ns0:v/>
      </ns0:c>
      <ns0:c r="BZ376" s="93">
        <ns0:f>HYPERLINK("https://www1.hkexnews.hk/listedco/listconews/sehk/2025/1021/2025102101036.pdf","allotment")</ns0:f>
        <ns0:v/>
      </ns0:c>
      <ns0:c r="CA376" s="93">
        <ns0:f>HYPERLINK("https://www1.hkexnews.hk/listedco/listconews/sehk/2025/1116/2025111600077.pdf","stabilisation")</ns0:f>
        <ns0:v/>
      </ns0:c>
      <ns0:c r="CB376" s="94" t="n"/>
      <ns0:c r="CC376" s="74" t="inlineStr">
        <ns0:is>
          <ns0:t>A/H: Oct 2025 H listing (IoT wireless modules); market cap: published listing cap used; the estimate from stated market capitalisation disagreed; stabilising manager: not named in the allotment notice or prospectus glossary</ns0:t>
        </ns0:is>
      </ns0:c>
    </ns0:row>
    <ns0:row r="377" ht="22" customHeight="1">
      <ns0:c r="A377" s="73" t="inlineStr">
        <ns0:is>
          <ns0:t>1384</ns0:t>
        </ns0:is>
      </ns0:c>
      <ns0:c r="B377" s="74" t="inlineStr">
        <ns0:is>
          <ns0:t>DEEPEXI TECH</ns0:t>
        </ns0:is>
      </ns0:c>
      <ns0:c r="C377" s="74" t="inlineStr">
        <ns0:is>
          <ns0:t>滴普科技</ns0:t>
        </ns0:is>
      </ns0:c>
      <ns0:c r="D377" s="74" t="inlineStr">
        <ns0:is>
          <ns0:t>Technology</ns0:t>
        </ns0:is>
      </ns0:c>
      <ns0:c r="E377" s="74" t="inlineStr">
        <ns0:is>
          <ns0:t>Software &amp; AI</ns0:t>
        </ns0:is>
      </ns0:c>
      <ns0:c r="F377" s="74" t="inlineStr">
        <ns0:is>
          <ns0:t>Advanced hardware and software</ns0:t>
        </ns0:is>
      </ns0:c>
      <ns0:c r="G377" s="74" t="inlineStr">
        <ns0:is>
          <ns0:t>18C</ns0:t>
        </ns0:is>
      </ns0:c>
      <ns0:c r="H377" s="75" t="n">
        <ns0:v>45958</ns0:v>
      </ns0:c>
      <ns0:c r="I377" s="76" t="n">
        <ns0:v>710.01</ns0:v>
      </ns0:c>
      <ns0:c r="J377" s="74" t="inlineStr">
        <ns0:is>
          <ns0:t>gross (stated)</ns0:t>
        </ns0:is>
      </ns0:c>
      <ns0:c r="K377" s="95" t="n"/>
      <ns0:c r="L377" s="77" t="n">
        <ns0:v>26.66</ns0:v>
      </ns0:c>
      <ns0:c r="M377" s="77" t="n">
        <ns0:v>26.66</ns0:v>
      </ns0:c>
      <ns0:c r="N377" s="74" t="inlineStr">
        <ns0:is>
          <ns0:t>Y</ns0:t>
        </ns0:is>
      </ns0:c>
      <ns0:c r="O377" s="78" t="n">
        <ns0:v>100</ns0:v>
      </ns0:c>
      <ns0:c r="P377" s="84" t="n"/>
      <ns0:c r="Q377" s="79" t="n">
        <ns0:v>8708</ns0:v>
      </ns0:c>
      <ns0:c r="R377" s="74" t="inlineStr">
        <ns0:is>
          <ns0:t>derived:price x shares upon listing</ns0:t>
        </ns0:is>
      </ns0:c>
      <ns0:c r="S377" s="80" t="n">
        <ns0:v>7569.83</ns0:v>
      </ns0:c>
      <ns0:c r="T377" s="81" t="n">
        <ns0:v>16.61</ns0:v>
      </ns0:c>
      <ns0:c r="U377" s="82" t="n">
        <ns0:v>0</ns0:v>
      </ns0:c>
      <ns0:c r="V377" s="83" t="n">
        <ns0:v>159</ns0:v>
      </ns0:c>
      <ns0:c r="W377" s="78" t="n">
        <ns0:v>20</ns0:v>
      </ns0:c>
      <ns0:c r="X377" s="74" t="inlineStr">
        <ns0:is>
          <ns0:t>YES</ns0:t>
        </ns0:is>
      </ns0:c>
      <ns0:c r="Y377" s="79" t="n">
        <ns0:v>710.01</ns0:v>
      </ns0:c>
      <ns0:c r="Z377" s="79" t="n">
        <ns0:v>26632000</ns0:v>
      </ns0:c>
      <ns0:c r="AA377" s="78" t="n">
        <ns0:v>8.15</ns0:v>
      </ns0:c>
      <ns0:c r="AB377" s="74" t="inlineStr">
        <ns0:is>
          <ns0:t>none — no cornerstone tranche</ns0:t>
        </ns0:is>
      </ns0:c>
      <ns0:c r="AC377" s="74" t="inlineStr">
        <ns0:is>
          <ns0:t>none</ns0:t>
        </ns0:is>
      </ns0:c>
      <ns0:c r="AD377" s="84" t="n"/>
      <ns0:c r="AE377" s="85" t="n"/>
      <ns0:c r="AF377" s="85" t="n"/>
      <ns0:c r="AG377" s="85" t="n"/>
      <ns0:c r="AH377" s="85" t="n"/>
      <ns0:c r="AI377" s="86" t="n">
        <ns0:v>94.67</ns0:v>
      </ns0:c>
      <ns0:c r="AJ377" s="87" t="n">
        <ns0:v>150.56</ns0:v>
      </ns0:c>
      <ns0:c r="AK377" s="87" t="n">
        <ns0:v>-1.49</ns0:v>
      </ns0:c>
      <ns0:c r="AL377" s="87" t="n">
        <ns0:v>111.93</ns0:v>
      </ns0:c>
      <ns0:c r="AM377" s="87" t="n">
        <ns0:v>18.23</ns0:v>
      </ns0:c>
      <ns0:c r="AN377" s="89" t="n">
        <ns0:v>2.2</ns0:v>
      </ns0:c>
      <ns0:c r="AO377" s="78" t="n">
        <ns0:v>28.85</ns0:v>
      </ns0:c>
      <ns0:c r="AP377" s="87" t="n">
        <ns0:v>278.84</ns0:v>
      </ns0:c>
      <ns0:c r="AQ377" s="87" t="n">
        <ns0:v>169.5</ns0:v>
      </ns0:c>
      <ns0:c r="AR377" s="87" t="n">
        <ns0:v>205.51</ns0:v>
      </ns0:c>
      <ns0:c r="AS377" s="87" t="n">
        <ns0:v>51.2</ns0:v>
      </ns0:c>
      <ns0:c r="AT377" s="87" t="n">
        <ns0:v>7.56</ns0:v>
      </ns0:c>
      <ns0:c r="AU377" s="87" t="n">
        <ns0:v>21.93</ns0:v>
      </ns0:c>
      <ns0:c r="AV377" s="87" t="n">
        <ns0:v>285.12</ns0:v>
      </ns0:c>
      <ns0:c r="AW377" s="87" t="n">
        <ns0:v>178.84</ns0:v>
      </ns0:c>
      <ns0:c r="AX377" s="87" t="n">
        <ns0:v>211.13</ns0:v>
      </ns0:c>
      <ns0:c r="AY377" s="87" t="n">
        <ns0:v>15.53</ns0:v>
      </ns0:c>
      <ns0:c r="AZ377" s="87" t="n">
        <ns0:v>-9.34</ns0:v>
      </ns0:c>
      <ns0:c r="BA377" s="87" t="n">
        <ns0:v>-7.97</ns0:v>
      </ns0:c>
      <ns0:c r="BB377" s="74" t="inlineStr">
        <ns0:is>
          <ns0:t>HSTECH (Hang Seng TECH ETF)</ns0:t>
        </ns0:is>
      </ns0:c>
      <ns0:c r="BC377" s="87" t="n">
        <ns0:v>-16.28</ns0:v>
      </ns0:c>
      <ns0:c r="BD377" s="75" t="n">
        <ns0:v>46297</ns0:v>
      </ns0:c>
      <ns0:c r="BE377" s="76" t="n">
        <ns0:v>267.2</ns0:v>
      </ns0:c>
      <ns0:c r="BF377" s="79" t="n">
        <ns0:v>-1380.5</ns0:v>
      </ns0:c>
      <ns0:c r="BG377" s="74" t="inlineStr">
        <ns0:is>
          <ns0:t>N</ns0:t>
        </ns0:is>
      </ns0:c>
      <ns0:c r="BH377" s="74" t="inlineStr">
        <ns0:is>
          <ns0:t>n/m</ns0:t>
        </ns0:is>
      </ns0:c>
      <ns0:c r="BI377" s="88" t="n"/>
      <ns0:c r="BJ377" s="88" t="n"/>
      <ns0:c r="BK377" s="89" t="n">
        <ns0:v>32.6</ns0:v>
      </ns0:c>
      <ns0:c r="BL377" s="90">
        <ns0:f>IFERROR(IF('BBG Verify'!S377="","Awaiting Bloomberg",'BBG Verify'!S377),"Awaiting Bloomberg")</ns0:f>
        <ns0:v/>
      </ns0:c>
      <ns0:c r="BM377" s="91" t="inlineStr">
        <ns0:is>
          <ns0:t>N</ns0:t>
        </ns0:is>
      </ns0:c>
      <ns0:c r="BN377" s="92">
        <ns0:f>IFERROR(IF('BBG Verify'!K377="","Awaiting Bloomberg",'BBG Verify'!K377),"Awaiting Bloomberg")</ns0:f>
        <ns0:v/>
      </ns0:c>
      <ns0:c r="BO377" s="74" t="inlineStr">
        <ns0:is>
          <ns0:t>N/A</ns0:t>
        </ns0:is>
      </ns0:c>
      <ns0:c r="BP377" s="74" t="inlineStr">
        <ns0:is>
          <ns0:t>N/A</ns0:t>
        </ns0:is>
      </ns0:c>
      <ns0:c r="BQ377" s="74" t="inlineStr">
        <ns0:is>
          <ns0:t>N/A</ns0:t>
        </ns0:is>
      </ns0:c>
      <ns0:c r="BR377" s="74" t="inlineStr">
        <ns0:is>
          <ns0:t>N/A</ns0:t>
        </ns0:is>
      </ns0:c>
      <ns0:c r="BS377" s="74" t="inlineStr">
        <ns0:is>
          <ns0:t>N/A</ns0:t>
        </ns0:is>
      </ns0:c>
      <ns0:c r="BT377" s="74" t="inlineStr">
        <ns0:is>
          <ns0:t>N/A</ns0:t>
        </ns0:is>
      </ns0:c>
      <ns0:c r="BU377" s="91" t="inlineStr">
        <ns0:is>
          <ns0:t>CITIC Securities (Hong Kong) Limited; CMBC International Capital Limited; Guotai Junan Capital Limited; SPDB International Capital Limited; BOCOM International (Asia) Limited</ns0:t>
        </ns0:is>
      </ns0:c>
      <ns0:c r="BV377" s="74" t="inlineStr">
        <ns0:is>
          <ns0:t>CITIC Securities (Hong Kong) Limited; BOCOM International (Asia) Limited; Guotai Junan Capital Limited; CMBC International Capital Limited; SPDB International Capital Limited</ns0:t>
        </ns0:is>
      </ns0:c>
      <ns0:c r="BW377" s="74" t="inlineStr">
        <ns0:is>
          <ns0:t>CLSA Limited; CMBC Securities Company Limited; SPDB International Capital Limited; BOCOM International Securities Limited</ns0:t>
        </ns0:is>
      </ns0:c>
      <ns0:c r="BX377" s="74" t="inlineStr">
        <ns0:is>
          <ns0:t>BOCOM International Securities Limited; CLSA Limited; CMBC Securities Company Limited; Guotai Junan Securities (Hong Kong) Limited; Livermore Holdings Limited; SPDB International Capital Limited; Yellow River Securities Limited</ns0:t>
        </ns0:is>
      </ns0:c>
      <ns0:c r="BY377" s="93">
        <ns0:f>HYPERLINK("https://www1.hkexnews.hk/listedco/listconews/sehk/2025/1020/2025102000015.pdf","prospectus")</ns0:f>
        <ns0:v/>
      </ns0:c>
      <ns0:c r="BZ377" s="93">
        <ns0:f>HYPERLINK("https://www1.hkexnews.hk/listedco/listconews/sehk/2025/1027/2025102701434.pdf","allotment")</ns0:f>
        <ns0:v/>
      </ns0:c>
      <ns0:c r="CA377" s="85" t="n"/>
      <ns0:c r="CB377" s="94" t="n"/>
      <ns0:c r="CC377" s="74" t="inlineStr">
        <ns0:is>
          <ns0:t>P/E: loss-making at IPO, use P/S; greenshoe: no over-allotment option; range low: maximum offer price only, no floor published; cornerstone list: no cornerstone tranche; greenshoe size: no over-allotment option; stabilising manager: no over-allotment option, so none appointed</ns0:t>
        </ns0:is>
      </ns0:c>
    </ns0:row>
    <ns0:row r="378" ht="22" customHeight="1">
      <ns0:c r="A378" s="73" t="inlineStr">
        <ns0:is>
          <ns0:t>6031</ns0:t>
        </ns0:is>
      </ns0:c>
      <ns0:c r="B378" s="74" t="inlineStr">
        <ns0:is>
          <ns0:t>SANY HEAVY IND</ns0:t>
        </ns0:is>
      </ns0:c>
      <ns0:c r="C378" s="74" t="inlineStr">
        <ns0:is>
          <ns0:t>三一重工</ns0:t>
        </ns0:is>
      </ns0:c>
      <ns0:c r="D378" s="74" t="inlineStr">
        <ns0:is>
          <ns0:t>Industrials</ns0:t>
        </ns0:is>
      </ns0:c>
      <ns0:c r="E378" s="74" t="inlineStr">
        <ns0:is>
          <ns0:t>Capital goods / machinery</ns0:t>
        </ns0:is>
      </ns0:c>
      <ns0:c r="F378" s="74" t="inlineStr">
        <ns0:is>
          <ns0:t>Heavy Electrical Equipment</ns0:t>
        </ns0:is>
      </ns0:c>
      <ns0:c r="G378" s="74" t="inlineStr">
        <ns0:is>
          <ns0:t>Standard</ns0:t>
        </ns0:is>
      </ns0:c>
      <ns0:c r="H378" s="75" t="n">
        <ns0:v>45958</ns0:v>
      </ns0:c>
      <ns0:c r="I378" s="76" t="n">
        <ns0:v>13453.1</ns0:v>
      </ns0:c>
      <ns0:c r="J378" s="74" t="inlineStr">
        <ns0:is>
          <ns0:t>gross (stated)</ns0:t>
        </ns0:is>
      </ns0:c>
      <ns0:c r="K378" s="95" t="n"/>
      <ns0:c r="L378" s="77" t="n">
        <ns0:v>21.3</ns0:v>
      </ns0:c>
      <ns0:c r="M378" s="77" t="n">
        <ns0:v>21.3</ns0:v>
      </ns0:c>
      <ns0:c r="N378" s="74" t="inlineStr">
        <ns0:is>
          <ns0:t>Y</ns0:t>
        </ns0:is>
      </ns0:c>
      <ns0:c r="O378" s="78" t="n">
        <ns0:v>100</ns0:v>
      </ns0:c>
      <ns0:c r="P378" s="84" t="n"/>
      <ns0:c r="Q378" s="79" t="n">
        <ns0:v>184289</ns0:v>
      </ns0:c>
      <ns0:c r="R378" s="74" t="inlineStr">
        <ns0:is>
          <ns0:t>derived:deal size / offer % of enlarged capital</ns0:t>
        </ns0:is>
      </ns0:c>
      <ns0:c r="S378" s="80" t="n">
        <ns0:v>52.93</ns0:v>
      </ns0:c>
      <ns0:c r="T378" s="81" t="n">
        <ns0:v>13.96</ns0:v>
      </ns0:c>
      <ns0:c r="U378" s="82" t="n">
        <ns0:v>34.94</ns0:v>
      </ns0:c>
      <ns0:c r="V378" s="83" t="n">
        <ns0:v>270</ns0:v>
      </ns0:c>
      <ns0:c r="W378" s="78" t="n">
        <ns0:v>9.19</ns0:v>
      </ns0:c>
      <ns0:c r="X378" s="74" t="inlineStr">
        <ns0:is>
          <ns0:t>NA</ns0:t>
        </ns0:is>
      </ns0:c>
      <ns0:c r="Y378" s="79" t="n">
        <ns0:v>8752.59</ns0:v>
      </ns0:c>
      <ns0:c r="Z378" s="79" t="n">
        <ns0:v>410918179</ns0:v>
      </ns0:c>
      <ns0:c r="AA378" s="78" t="n">
        <ns0:v>4.75</ns0:v>
      </ns0:c>
      <ns0:c r="AB378" s="74" t="inlineStr">
        <ns0:is>
          <ns0:t>Infore Funds Series 2 Open-ended Fund Company – Infore Technology Fund 2; UBS Asset Management (Singapore) Ltd; LMR Multi-Strategy Master Fund Limited; BlackRock Funds; RBC Global Asset Management (Asia) Limited; WT Asset Management Limited; Oaktree Capital Management, L.P; Foresight Global Superior Choice SPC — Global Superior Choice Series Fund 1 SP and Foresight Global Superior Choice SPC — Vision Fund 1 SP; Shanghai Gaoyi and CITIC Securities International Capital Management Limited (in connection with CITICS Back-to-back TRS and CITICS Client TRS); Perseverance Asset Management International (Singapore) Pte. Ltd; Greenwoods Asset Management Hong Kong Limited; Pinpoint Asset Management Limited; Shanghai Pinpoint and CICC Financial Trading Limited (in connection with Pinpoint OTC Swaps); Jane Street Asia Trading Limited; FengHe Asia Fund Ltd; Qube Master Fund Ltd; Weichai Power Hong Kong International Development Co., Ltd; Dajia Life Insurance Co., Ltd; Shaanxi Fast Auto Drive Group Co., Ltd; Value Partners Hong Kong Limited</ns0:t>
        </ns0:is>
      </ns0:c>
      <ns0:c r="AC378" s="74" t="inlineStr">
        <ns0:is>
          <ns0:t>infore;ubs;lmr;blackrock;rbc;wt;oaktree;foresight;shanghai-gaoyi;perseverance;greenwoods;pinpoint;shanghai-pinpoint;jane;fenghe;qube;weichai;dajia;shaanxi;value</ns0:t>
        </ns0:is>
      </ns0:c>
      <ns0:c r="AD378" s="78" t="n">
        <ns0:v>15</ns0:v>
      </ns0:c>
      <ns0:c r="AE378" s="74" t="inlineStr">
        <ns0:is>
          <ns0:t>partial</ns0:t>
        </ns0:is>
      </ns0:c>
      <ns0:c r="AF378" s="74" t="inlineStr">
        <ns0:is>
          <ns0:t>2025-11-22</ns0:t>
        </ns0:is>
      </ns0:c>
      <ns0:c r="AG378" s="74" t="inlineStr">
        <ns0:is>
          <ns0:t>CLSA Limited</ns0:t>
        </ns0:is>
      </ns0:c>
      <ns0:c r="AH378" s="74" t="inlineStr">
        <ns0:is>
          <ns0:t>CLSA</ns0:t>
        </ns0:is>
      </ns0:c>
      <ns0:c r="AI378" s="86" t="n">
        <ns0:v>-2.54</ns0:v>
      </ns0:c>
      <ns0:c r="AJ378" s="87" t="n">
        <ns0:v>2.82</ns0:v>
      </ns0:c>
      <ns0:c r="AK378" s="87" t="n">
        <ns0:v>-1.39</ns0:v>
      </ns0:c>
      <ns0:c r="AL378" s="87" t="n">
        <ns0:v>0</ns0:v>
      </ns0:c>
      <ns0:c r="AM378" s="87" t="n">
        <ns0:v>2.82</ns0:v>
      </ns0:c>
      <ns0:c r="AN378" s="89" t="n">
        <ns0:v>2.38</ns0:v>
      </ns0:c>
      <ns0:c r="AO378" s="78" t="n">
        <ns0:v>4.69</ns0:v>
      </ns0:c>
      <ns0:c r="AP378" s="87" t="n">
        <ns0:v>6.67</ns0:v>
      </ns0:c>
      <ns0:c r="AQ378" s="87" t="n">
        <ns0:v>0.19</ns0:v>
      </ns0:c>
      <ns0:c r="AR378" s="87" t="n">
        <ns0:v>18.78</ns0:v>
      </ns0:c>
      <ns0:c r="AS378" s="87" t="n">
        <ns0:v>3.74</ns0:v>
      </ns0:c>
      <ns0:c r="AT378" s="87" t="n">
        <ns0:v>-2.56</ns0:v>
      </ns0:c>
      <ns0:c r="AU378" s="87" t="n">
        <ns0:v>15.52</ns0:v>
      </ns0:c>
      <ns0:c r="AV378" s="87" t="n">
        <ns0:v>11.46</ns0:v>
      </ns0:c>
      <ns0:c r="AW378" s="87" t="n">
        <ns0:v>6.17</ns0:v>
      </ns0:c>
      <ns0:c r="AX378" s="87" t="n">
        <ns0:v>19.75</ns0:v>
      </ns0:c>
      <ns0:c r="AY378" s="87" t="n">
        <ns0:v>2.09</ns0:v>
      </ns0:c>
      <ns0:c r="AZ378" s="87" t="n">
        <ns0:v>-5.98</ns0:v>
      </ns0:c>
      <ns0:c r="BA378" s="87" t="n">
        <ns0:v>-4.65</ns0:v>
      </ns0:c>
      <ns0:c r="BB378" s="74" t="inlineStr">
        <ns0:is>
          <ns0:t>Hang Seng Commerce &amp; Industry sub-index</ns0:t>
        </ns0:is>
      </ns0:c>
      <ns0:c r="BC378" s="87" t="n">
        <ns0:v>-20.28</ns0:v>
      </ns0:c>
      <ns0:c r="BD378" s="75" t="n">
        <ns0:v>46297</ns0:v>
      </ns0:c>
      <ns0:c r="BE378" s="76" t="n">
        <ns0:v>86221.7</ns0:v>
      </ns0:c>
      <ns0:c r="BF378" s="79" t="n">
        <ns0:v>6701.8</ns0:v>
      </ns0:c>
      <ns0:c r="BG378" s="74" t="inlineStr">
        <ns0:is>
          <ns0:t>Y</ns0:t>
        </ns0:is>
      </ns0:c>
      <ns0:c r="BH378" s="89" t="n">
        <ns0:v>27.5</ns0:v>
      </ns0:c>
      <ns0:c r="BI378" s="89" t="n">
        <ns0:v>22.3</ns0:v>
      </ns0:c>
      <ns0:c r="BJ378" s="89" t="n">
        <ns0:v>16.3</ns0:v>
      </ns0:c>
      <ns0:c r="BK378" s="89" t="n">
        <ns0:v>2.1</ns0:v>
      </ns0:c>
      <ns0:c r="BL378" s="90">
        <ns0:f>IFERROR(IF('BBG Verify'!S378="","Awaiting Bloomberg",'BBG Verify'!S378),"Awaiting Bloomberg")</ns0:f>
        <ns0:v/>
      </ns0:c>
      <ns0:c r="BM378" s="91" t="inlineStr">
        <ns0:is>
          <ns0:t>Y</ns0:t>
        </ns0:is>
      </ns0:c>
      <ns0:c r="BN378" s="74" t="inlineStr">
        <ns0:is>
          <ns0:t>600031.SS</ns0:t>
        </ns0:is>
      </ns0:c>
      <ns0:c r="BO378" s="87" t="n">
        <ns0:v>15.4</ns0:v>
      </ns0:c>
      <ns0:c r="BP378" s="77" t="n">
        <ns0:v>24.5793</ns0:v>
      </ns0:c>
      <ns0:c r="BQ378" s="101" t="n">
        <ns0:v>0.2054</ns0:v>
      </ns0:c>
      <ns0:c r="BR378" s="79" t="n">
        <ns0:v>188272</ns0:v>
      </ns0:c>
      <ns0:c r="BS378" s="90">
        <ns0:f>IFERROR(IF('BBG Verify'!Q378="","Awaiting Bloomberg",'BBG Verify'!Q378),"Awaiting Bloomberg")</ns0:f>
        <ns0:v/>
      </ns0:c>
      <ns0:c r="BT378" s="90">
        <ns0:f>IFERROR(IF('BBG Verify'!R378="","Awaiting Bloomberg",'BBG Verify'!R378),"Awaiting Bloomberg")</ns0:f>
        <ns0:v/>
      </ns0:c>
      <ns0:c r="BU378" s="91" t="inlineStr">
        <ns0:is>
          <ns0:t>CITIC Securities (Hong Kong) Limited</ns0:t>
        </ns0:is>
      </ns0:c>
      <ns0:c r="BV378" s="74" t="inlineStr">
        <ns0:is>
          <ns0:t>CITIC Securities (Hong Kong) Limited</ns0:t>
        </ns0:is>
      </ns0:c>
      <ns0:c r="BW378" s="74" t="inlineStr">
        <ns0:is>
          <ns0:t>CLSA Limited; China International Capital Corporation Hong Kong Securities Limited; BOCI Asia Limited; ABCI Capital Limited; ICBC International Securities Limited; China Merchants Securities (HK) Co., Limited</ns0:t>
        </ns0:is>
      </ns0:c>
      <ns0:c r="BX378" s="74" t="inlineStr">
        <ns0:is>
          <ns0:t>ABCI Securities Company Limited; BOCI Asia Limited; China International Capital Corporation Hong Kong Securities Limited; CLSA Limited; China Merchants Securities (HK) Company Limited; ICBC International Securities Limited</ns0:t>
        </ns0:is>
      </ns0:c>
      <ns0:c r="BY378" s="93">
        <ns0:f>HYPERLINK("https://www1.hkexnews.hk/listedco/listconews/sehk/2025/1020/2025102000017.pdf","prospectus")</ns0:f>
        <ns0:v/>
      </ns0:c>
      <ns0:c r="BZ378" s="93">
        <ns0:f>HYPERLINK("https://www1.hkexnews.hk/listedco/listconews/sehk/2025/1027/2025102701586.pdf","allotment")</ns0:f>
        <ns0:v/>
      </ns0:c>
      <ns0:c r="CA378" s="93">
        <ns0:f>HYPERLINK("https://www1.hkexnews.hk/listedco/listconews/sehk/2025/1123/2025112300093.pdf","stabilisation")</ns0:f>
        <ns0:v/>
      </ns0:c>
      <ns0:c r="CB378" s="94" t="n"/>
      <ns0:c r="CC378" s="74" t="inlineStr">
        <ns0:is>
          <ns0:t>range low: maximum offer price only, no floor published; A/H: Oct 2025, ~US$1.72bn</ns0:t>
        </ns0:is>
      </ns0:c>
    </ns0:row>
    <ns0:row r="379" ht="22" customHeight="1">
      <ns0:c r="A379" s="73" t="inlineStr">
        <ns0:is>
          <ns0:t>6166</ns0:t>
        </ns0:is>
      </ns0:c>
      <ns0:c r="B379" s="74" t="inlineStr">
        <ns0:is>
          <ns0:t>CIG</ns0:t>
        </ns0:is>
      </ns0:c>
      <ns0:c r="C379" s="74" t="inlineStr">
        <ns0:is>
          <ns0:t>劍橋科技</ns0:t>
        </ns0:is>
      </ns0:c>
      <ns0:c r="D379" s="74" t="inlineStr">
        <ns0:is>
          <ns0:t>Technology</ns0:t>
        </ns0:is>
      </ns0:c>
      <ns0:c r="E379" s="74" t="inlineStr">
        <ns0:is>
          <ns0:t>Hardware &amp; electronics</ns0:t>
        </ns0:is>
      </ns0:c>
      <ns0:c r="F379" s="74" t="inlineStr">
        <ns0:is>
          <ns0:t>Telecommunications &amp; Networking Equipment</ns0:t>
        </ns0:is>
      </ns0:c>
      <ns0:c r="G379" s="74" t="inlineStr">
        <ns0:is>
          <ns0:t>Standard</ns0:t>
        </ns0:is>
      </ns0:c>
      <ns0:c r="H379" s="75" t="n">
        <ns0:v>45958</ns0:v>
      </ns0:c>
      <ns0:c r="I379" s="76" t="n">
        <ns0:v>4615.7</ns0:v>
      </ns0:c>
      <ns0:c r="J379" s="74" t="inlineStr">
        <ns0:is>
          <ns0:t>gross (stated)</ns0:t>
        </ns0:is>
      </ns0:c>
      <ns0:c r="K379" s="95" t="n"/>
      <ns0:c r="L379" s="77" t="n">
        <ns0:v>68.88</ns0:v>
      </ns0:c>
      <ns0:c r="M379" s="77" t="n">
        <ns0:v>68.88</ns0:v>
      </ns0:c>
      <ns0:c r="N379" s="74" t="inlineStr">
        <ns0:is>
          <ns0:t>Y</ns0:t>
        </ns0:is>
      </ns0:c>
      <ns0:c r="O379" s="78" t="n">
        <ns0:v>100</ns0:v>
      </ns0:c>
      <ns0:c r="P379" s="84" t="n"/>
      <ns0:c r="Q379" s="79" t="n">
        <ns0:v>20698.2</ns0:v>
      </ns0:c>
      <ns0:c r="R379" s="74" t="inlineStr">
        <ns0:is>
          <ns0:t>derived:deal size / offer % of enlarged capital</ns0:t>
        </ns0:is>
      </ns0:c>
      <ns0:c r="S379" s="80" t="n">
        <ns0:v>338.7</ns0:v>
      </ns0:c>
      <ns0:c r="T379" s="81" t="n">
        <ns0:v>16.5</ns0:v>
      </ns0:c>
      <ns0:c r="U379" s="82" t="n">
        <ns0:v>48.89</ns0:v>
      </ns0:c>
      <ns0:c r="V379" s="83" t="n">
        <ns0:v>119</ns0:v>
      </ns0:c>
      <ns0:c r="W379" s="78" t="n">
        <ns0:v>10</ns0:v>
      </ns0:c>
      <ns0:c r="X379" s="74" t="inlineStr">
        <ns0:is>
          <ns0:t>NO</ns0:t>
        </ns0:is>
      </ns0:c>
      <ns0:c r="Y379" s="79" t="n">
        <ns0:v>2359.08</ns0:v>
      </ns0:c>
      <ns0:c r="Z379" s="79" t="n">
        <ns0:v>34249067</ns0:v>
      </ns0:c>
      <ns0:c r="AA379" s="78" t="n">
        <ns0:v>11.4</ns0:v>
      </ns0:c>
      <ns0:c r="AB379" s="74" t="inlineStr">
        <ns0:is>
          <ns0:t>Baring Asset Management (Asia) Limited; Morgan Stanley &amp; Co. International plc; HCEP Management Limited; Arc Avenue Asset Management Pte. Ltd; CloudAlpha Capital Management Limited; Turing International Limited; Cithara Global Multi-Strategy SPC — Bosideng Industry Investment Fund SP; 3W Fund Management Limited; Schonfeld Strategic Advisors (Hong Kong) Limited; Infini Global Master Fund; Alpine Investment Management Limited; Dymon Asia Multi-Strategy Investment Master Fund; Aqua Ocean Limited; Martis Fund, L.P; Taikang Life Insurance Co., Ltd; ICBC Wealth Management Co., Ltd</ns0:t>
        </ns0:is>
      </ns0:c>
      <ns0:c r="AC379" s="74" t="inlineStr">
        <ns0:is>
          <ns0:t>baring;morgan;hcep;arc;cloudalpha;turing;cithara;3w;schonfeld;infini;alpine;dymon;aqua;martis;taikang;icbc</ns0:t>
        </ns0:is>
      </ns0:c>
      <ns0:c r="AD379" s="78" t="n">
        <ns0:v>15</ns0:v>
      </ns0:c>
      <ns0:c r="AE379" s="74" t="inlineStr">
        <ns0:is>
          <ns0:t>full</ns0:t>
        </ns0:is>
      </ns0:c>
      <ns0:c r="AF379" s="74" t="inlineStr">
        <ns0:is>
          <ns0:t>2025-11-22</ns0:t>
        </ns0:is>
      </ns0:c>
      <ns0:c r="AG379" s="74" t="inlineStr">
        <ns0:is>
          <ns0:t>Guotai Junan Securities</ns0:t>
        </ns0:is>
      </ns0:c>
      <ns0:c r="AH379" s="74" t="inlineStr">
        <ns0:is>
          <ns0:t>Guotai Junan</ns0:t>
        </ns0:is>
      </ns0:c>
      <ns0:c r="AI379" s="86" t="n">
        <ns0:v>44.16</ns0:v>
      </ns0:c>
      <ns0:c r="AJ379" s="87" t="n">
        <ns0:v>33.86</ns0:v>
      </ns0:c>
      <ns0:c r="AK379" s="87" t="n">
        <ns0:v>-1.49</ns0:v>
      </ns0:c>
      <ns0:c r="AL379" s="87" t="n">
        <ns0:v>36.47</ns0:v>
      </ns0:c>
      <ns0:c r="AM379" s="87" t="n">
        <ns0:v>-1.91</ns0:v>
      </ns0:c>
      <ns0:c r="AN379" s="89" t="n">
        <ns0:v>4.31</ns0:v>
      </ns0:c>
      <ns0:c r="AO379" s="78" t="n">
        <ns0:v>20</ns0:v>
      </ns0:c>
      <ns0:c r="AP379" s="87" t="n">
        <ns0:v>13.53</ns0:v>
      </ns0:c>
      <ns0:c r="AQ379" s="87" t="n">
        <ns0:v>14.76</ns0:v>
      </ns0:c>
      <ns0:c r="AR379" s="87" t="n">
        <ns0:v>19.05</ns0:v>
      </ns0:c>
      <ns0:c r="AS379" s="87" t="n">
        <ns0:v>-15.19</ns0:v>
      </ns0:c>
      <ns0:c r="AT379" s="87" t="n">
        <ns0:v>-14.27</ns0:v>
      </ns0:c>
      <ns0:c r="AU379" s="87" t="n">
        <ns0:v>-11.06</ns0:v>
      </ns0:c>
      <ns0:c r="AV379" s="87" t="n">
        <ns0:v>19.81</ns0:v>
      </ns0:c>
      <ns0:c r="AW379" s="87" t="n">
        <ns0:v>24.1</ns0:v>
      </ns0:c>
      <ns0:c r="AX379" s="87" t="n">
        <ns0:v>24.67</ns0:v>
      </ns0:c>
      <ns0:c r="AY379" s="87" t="n">
        <ns0:v>-6.3</ns0:v>
      </ns0:c>
      <ns0:c r="AZ379" s="87" t="n">
        <ns0:v>-9.34</ns0:v>
      </ns0:c>
      <ns0:c r="BA379" s="87" t="n">
        <ns0:v>-7.97</ns0:v>
      </ns0:c>
      <ns0:c r="BB379" s="74" t="inlineStr">
        <ns0:is>
          <ns0:t>HSTECH (Hang Seng TECH ETF)</ns0:t>
        </ns0:is>
      </ns0:c>
      <ns0:c r="BC379" s="87" t="n">
        <ns0:v>63.76</ns0:v>
      </ns0:c>
      <ns0:c r="BD379" s="75" t="n">
        <ns0:v>46297</ns0:v>
      </ns0:c>
      <ns0:c r="BE379" s="76" t="n">
        <ns0:v>4014.9</ns0:v>
      </ns0:c>
      <ns0:c r="BF379" s="79" t="n">
        <ns0:v>183.7</ns0:v>
      </ns0:c>
      <ns0:c r="BG379" s="74" t="inlineStr">
        <ns0:is>
          <ns0:t>Y</ns0:t>
        </ns0:is>
      </ns0:c>
      <ns0:c r="BH379" s="89" t="n">
        <ns0:v>112.7</ns0:v>
      </ns0:c>
      <ns0:c r="BI379" s="89" t="n">
        <ns0:v>107.9</ns0:v>
      </ns0:c>
      <ns0:c r="BJ379" s="89" t="n">
        <ns0:v>93.7</ns0:v>
      </ns0:c>
      <ns0:c r="BK379" s="89" t="n">
        <ns0:v>5.2</ns0:v>
      </ns0:c>
      <ns0:c r="BL379" s="90">
        <ns0:f>IFERROR(IF('BBG Verify'!S379="","Awaiting Bloomberg",'BBG Verify'!S379),"Awaiting Bloomberg")</ns0:f>
        <ns0:v/>
      </ns0:c>
      <ns0:c r="BM379" s="91" t="inlineStr">
        <ns0:is>
          <ns0:t>Y</ns0:t>
        </ns0:is>
      </ns0:c>
      <ns0:c r="BN379" s="74" t="inlineStr">
        <ns0:is>
          <ns0:t>603083.SS</ns0:t>
        </ns0:is>
      </ns0:c>
      <ns0:c r="BO379" s="87" t="n">
        <ns0:v>88.48</ns0:v>
      </ns0:c>
      <ns0:c r="BP379" s="77" t="n">
        <ns0:v>129.8239</ns0:v>
      </ns0:c>
      <ns0:c r="BQ379" s="101" t="n">
        <ns0:v>1.1313</ns0:v>
      </ns0:c>
      <ns0:c r="BR379" s="79" t="n">
        <ns0:v>88575.2</ns0:v>
      </ns0:c>
      <ns0:c r="BS379" s="90">
        <ns0:f>IFERROR(IF('BBG Verify'!Q379="","Awaiting Bloomberg",'BBG Verify'!Q379),"Awaiting Bloomberg")</ns0:f>
        <ns0:v/>
      </ns0:c>
      <ns0:c r="BT379" s="90">
        <ns0:f>IFERROR(IF('BBG Verify'!R379="","Awaiting Bloomberg",'BBG Verify'!R379),"Awaiting Bloomberg")</ns0:f>
        <ns0:v/>
      </ns0:c>
      <ns0:c r="BU379" s="91" t="inlineStr">
        <ns0:is>
          <ns0:t>Guotai Junan Capital Limited; Guotai Junan Securities (Hong Kong) Limited</ns0:t>
        </ns0:is>
      </ns0:c>
      <ns0:c r="BV379" s="74" t="inlineStr">
        <ns0:is>
          <ns0:t>Guotai Junan Capital Limited</ns0:t>
        </ns0:is>
      </ns0:c>
      <ns0:c r="BW379" s="74" t="inlineStr">
        <ns0:is>
          <ns0:t>Guotai Junan Securities (Hong Kong) Limited; CLSA Limited; DBS Asia Capital Limited; Star River Securities Limited</ns0:t>
        </ns0:is>
      </ns0:c>
      <ns0:c r="BX379" s="74" t="inlineStr">
        <ns0:is>
          <ns0:t>CLSA Limited; DBS Asia Capital Limited; Guotai Junan Securities (Hong Kong) Limited; Star River Securities Limited</ns0:t>
        </ns0:is>
      </ns0:c>
      <ns0:c r="BY379" s="93">
        <ns0:f>HYPERLINK("https://www1.hkexnews.hk/listedco/listconews/sehk/2025/1020/2025102000019.pdf","prospectus")</ns0:f>
        <ns0:v/>
      </ns0:c>
      <ns0:c r="BZ379" s="93">
        <ns0:f>HYPERLINK("https://www1.hkexnews.hk/listedco/listconews/sehk/2025/1027/2025102701698.pdf","allotment")</ns0:f>
        <ns0:v/>
      </ns0:c>
      <ns0:c r="CA379" s="93">
        <ns0:f>HYPERLINK("https://www1.hkexnews.hk/listedco/listconews/sehk/2025/1124/2025112401113.pdf","stabilisation")</ns0:f>
        <ns0:v/>
      </ns0:c>
      <ns0:c r="CB379" s="94" t="n"/>
      <ns0:c r="CC379" s="74" t="inlineStr">
        <ns0:is>
          <ns0:t>range low: maximum offer price only, no floor published; A/H: Oct 2025 H listing (telecom/AI networking hardware)</ns0:t>
        </ns0:is>
      </ns0:c>
    </ns0:row>
    <ns0:row r="380" ht="22" customHeight="1">
      <ns0:c r="A380" s="73" t="inlineStr">
        <ns0:is>
          <ns0:t>6980</ns0:t>
        </ns0:is>
      </ns0:c>
      <ns0:c r="B380" s="74" t="inlineStr">
        <ns0:is>
          <ns0:t>BAMA TEA</ns0:t>
        </ns0:is>
      </ns0:c>
      <ns0:c r="C380" s="74" t="inlineStr">
        <ns0:is>
          <ns0:t>八馬茶業</ns0:t>
        </ns0:is>
      </ns0:c>
      <ns0:c r="D380" s="74" t="inlineStr">
        <ns0:is>
          <ns0:t>Consumer</ns0:t>
        </ns0:is>
      </ns0:c>
      <ns0:c r="E380" s="74" t="inlineStr">
        <ns0:is>
          <ns0:t>Beverages / packaged food</ns0:t>
        </ns0:is>
      </ns0:c>
      <ns0:c r="F380" s="74" t="inlineStr">
        <ns0:is>
          <ns0:t>Beverages (Non-alcoholic)</ns0:t>
        </ns0:is>
      </ns0:c>
      <ns0:c r="G380" s="74" t="inlineStr">
        <ns0:is>
          <ns0:t>Standard</ns0:t>
        </ns0:is>
      </ns0:c>
      <ns0:c r="H380" s="75" t="n">
        <ns0:v>45958</ns0:v>
      </ns0:c>
      <ns0:c r="I380" s="76" t="n">
        <ns0:v>450</ns0:v>
      </ns0:c>
      <ns0:c r="J380" s="74" t="inlineStr">
        <ns0:is>
          <ns0:t>gross (stated)</ns0:t>
        </ns0:is>
      </ns0:c>
      <ns0:c r="K380" s="95" t="n"/>
      <ns0:c r="L380" s="77" t="n">
        <ns0:v>50</ns0:v>
      </ns0:c>
      <ns0:c r="M380" s="77" t="n">
        <ns0:v>50</ns0:v>
      </ns0:c>
      <ns0:c r="N380" s="74" t="inlineStr">
        <ns0:is>
          <ns0:t>Y</ns0:t>
        </ns0:is>
      </ns0:c>
      <ns0:c r="O380" s="78" t="n">
        <ns0:v>100</ns0:v>
      </ns0:c>
      <ns0:c r="P380" s="84" t="n"/>
      <ns0:c r="Q380" s="79" t="n">
        <ns0:v>4250</ns0:v>
      </ns0:c>
      <ns0:c r="R380" s="74" t="inlineStr">
        <ns0:is>
          <ns0:t>derived:price x shares upon listing</ns0:t>
        </ns0:is>
      </ns0:c>
      <ns0:c r="S380" s="80" t="n">
        <ns0:v>2680.04</ns0:v>
      </ns0:c>
      <ns0:c r="T380" s="81" t="n">
        <ns0:v>13.58</ns0:v>
      </ns0:c>
      <ns0:c r="U380" s="82" t="n">
        <ns0:v>0</ns0:v>
      </ns0:c>
      <ns0:c r="V380" s="83" t="n">
        <ns0:v>113</ns0:v>
      </ns0:c>
      <ns0:c r="W380" s="78" t="n">
        <ns0:v>10</ns0:v>
      </ns0:c>
      <ns0:c r="X380" s="74" t="inlineStr">
        <ns0:is>
          <ns0:t>NO</ns0:t>
        </ns0:is>
      </ns0:c>
      <ns0:c r="Y380" s="79" t="n">
        <ns0:v>450</ns0:v>
      </ns0:c>
      <ns0:c r="Z380" s="79" t="n">
        <ns0:v>9000000</ns0:v>
      </ns0:c>
      <ns0:c r="AA380" s="78" t="n">
        <ns0:v>10.59</ns0:v>
      </ns0:c>
      <ns0:c r="AB380" s="74" t="inlineStr">
        <ns0:is>
          <ns0:t>none — no cornerstone tranche</ns0:t>
        </ns0:is>
      </ns0:c>
      <ns0:c r="AC380" s="74" t="inlineStr">
        <ns0:is>
          <ns0:t>none</ns0:t>
        </ns0:is>
      </ns0:c>
      <ns0:c r="AD380" s="78" t="n">
        <ns0:v>15</ns0:v>
      </ns0:c>
      <ns0:c r="AE380" s="85" t="n"/>
      <ns0:c r="AF380" s="85" t="n"/>
      <ns0:c r="AG380" s="85" t="n"/>
      <ns0:c r="AH380" s="85" t="n"/>
      <ns0:c r="AI380" s="86" t="n">
        <ns0:v>60.2</ns0:v>
      </ns0:c>
      <ns0:c r="AJ380" s="87" t="n">
        <ns0:v>86.7</ns0:v>
      </ns0:c>
      <ns0:c r="AK380" s="87" t="n">
        <ns0:v>-1.39</ns0:v>
      </ns0:c>
      <ns0:c r="AL380" s="87" t="n">
        <ns0:v>60.2</ns0:v>
      </ns0:c>
      <ns0:c r="AM380" s="87" t="n">
        <ns0:v>16.54</ns0:v>
      </ns0:c>
      <ns0:c r="AN380" s="89" t="n">
        <ns0:v>4.68</ns0:v>
      </ns0:c>
      <ns0:c r="AO380" s="78" t="n">
        <ns0:v>22.35</ns0:v>
      </ns0:c>
      <ns0:c r="AP380" s="87" t="n">
        <ns0:v>46</ns0:v>
      </ns0:c>
      <ns0:c r="AQ380" s="87" t="n">
        <ns0:v>5</ns0:v>
      </ns0:c>
      <ns0:c r="AR380" s="87" t="n">
        <ns0:v>-40.04</ns0:v>
      </ns0:c>
      <ns0:c r="AS380" s="87" t="n">
        <ns0:v>-21.8</ns0:v>
      </ns0:c>
      <ns0:c r="AT380" s="87" t="n">
        <ns0:v>-43.76</ns0:v>
      </ns0:c>
      <ns0:c r="AU380" s="87" t="n">
        <ns0:v>-67.88</ns0:v>
      </ns0:c>
      <ns0:c r="AV380" s="87" t="n">
        <ns0:v>50.79</ns0:v>
      </ns0:c>
      <ns0:c r="AW380" s="87" t="n">
        <ns0:v>10.98</ns0:v>
      </ns0:c>
      <ns0:c r="AX380" s="87" t="n">
        <ns0:v>-39.07</ns0:v>
      </ns0:c>
      <ns0:c r="AY380" s="87" t="n">
        <ns0:v>-39.11</ns0:v>
      </ns0:c>
      <ns0:c r="AZ380" s="87" t="n">
        <ns0:v>-5.98</ns0:v>
      </ns0:c>
      <ns0:c r="BA380" s="87" t="n">
        <ns0:v>-4.65</ns0:v>
      </ns0:c>
      <ns0:c r="BB380" s="74" t="inlineStr">
        <ns0:is>
          <ns0:t>Hang Seng Commerce &amp; Industry sub-index</ns0:t>
        </ns0:is>
      </ns0:c>
      <ns0:c r="BC380" s="87" t="n">
        <ns0:v>-45.96</ns0:v>
      </ns0:c>
      <ns0:c r="BD380" s="75" t="n">
        <ns0:v>46297</ns0:v>
      </ns0:c>
      <ns0:c r="BE380" s="76" t="n">
        <ns0:v>2357.6</ns0:v>
      </ns0:c>
      <ns0:c r="BF380" s="79" t="n">
        <ns0:v>246.6</ns0:v>
      </ns0:c>
      <ns0:c r="BG380" s="74" t="inlineStr">
        <ns0:is>
          <ns0:t>Y</ns0:t>
        </ns0:is>
      </ns0:c>
      <ns0:c r="BH380" s="89" t="n">
        <ns0:v>17.2</ns0:v>
      </ns0:c>
      <ns0:c r="BI380" s="89" t="n">
        <ns0:v>32.7</ns0:v>
      </ns0:c>
      <ns0:c r="BJ380" s="89" t="n">
        <ns0:v>7.7</ns0:v>
      </ns0:c>
      <ns0:c r="BK380" s="89" t="n">
        <ns0:v>1.8</ns0:v>
      </ns0:c>
      <ns0:c r="BL380" s="90">
        <ns0:f>IFERROR(IF('BBG Verify'!S380="","Awaiting Bloomberg",'BBG Verify'!S380),"Awaiting Bloomberg")</ns0:f>
        <ns0:v/>
      </ns0:c>
      <ns0:c r="BM380" s="91" t="inlineStr">
        <ns0:is>
          <ns0:t>N</ns0:t>
        </ns0:is>
      </ns0:c>
      <ns0:c r="BN380" s="92">
        <ns0:f>IFERROR(IF('BBG Verify'!K380="","Awaiting Bloomberg",'BBG Verify'!K380),"Awaiting Bloomberg")</ns0:f>
        <ns0:v/>
      </ns0:c>
      <ns0:c r="BO380" s="74" t="inlineStr">
        <ns0:is>
          <ns0:t>N/A</ns0:t>
        </ns0:is>
      </ns0:c>
      <ns0:c r="BP380" s="74" t="inlineStr">
        <ns0:is>
          <ns0:t>N/A</ns0:t>
        </ns0:is>
      </ns0:c>
      <ns0:c r="BQ380" s="74" t="inlineStr">
        <ns0:is>
          <ns0:t>N/A</ns0:t>
        </ns0:is>
      </ns0:c>
      <ns0:c r="BR380" s="74" t="inlineStr">
        <ns0:is>
          <ns0:t>N/A</ns0:t>
        </ns0:is>
      </ns0:c>
      <ns0:c r="BS380" s="74" t="inlineStr">
        <ns0:is>
          <ns0:t>N/A</ns0:t>
        </ns0:is>
      </ns0:c>
      <ns0:c r="BT380" s="74" t="inlineStr">
        <ns0:is>
          <ns0:t>N/A</ns0:t>
        </ns0:is>
      </ns0:c>
      <ns0:c r="BU380" s="91" t="inlineStr">
        <ns0:is>
          <ns0:t>Huatai Financial Holdings (Hong Kong) Limited; ABCI Capital Limited; TFI Capital Limited</ns0:t>
        </ns0:is>
      </ns0:c>
      <ns0:c r="BV380" s="74" t="inlineStr">
        <ns0:is>
          <ns0:t>Huatai Financial Holdings (Hong Kong) Limited; TFI Capital Limited; ABCI Capital Limited</ns0:t>
        </ns0:is>
      </ns0:c>
      <ns0:c r="BW380" s="74" t="inlineStr">
        <ns0:is>
          <ns0: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ns0:t>
        </ns0:is>
      </ns0:c>
      <ns0:c r="BX380" s="74" t="inlineStr">
        <ns0:is>
          <ns0: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ns0:t>
        </ns0:is>
      </ns0:c>
      <ns0:c r="BY380" s="93">
        <ns0:f>HYPERLINK("https://www1.hkexnews.hk/listedco/listconews/sehk/2025/1020/2025102000021.pdf","prospectus")</ns0:f>
        <ns0:v/>
      </ns0:c>
      <ns0:c r="BZ380" s="93">
        <ns0:f>HYPERLINK("https://www1.hkexnews.hk/listedco/listconews/sehk/2025/1027/2025102701732.pdf","allotment")</ns0:f>
        <ns0:v/>
      </ns0:c>
      <ns0:c r="CA380" s="85" t="n"/>
      <ns0:c r="CB380" s="94" t="n"/>
      <ns0:c r="CC380" s="74" t="inlineStr">
        <ns0:is>
          <ns0:t>greenshoe: end-of-stabilisation notice not found; range low: maximum offer price only, no floor published; cornerstone list: no cornerstone tranche; stabilising manager: filing states none appointed (prospectus: 'no stabilizing manager will be appointed' stated in the filing)</ns0:t>
        </ns0:is>
      </ns0:c>
    </ns0:row>
    <ns0:row r="381" ht="22" customHeight="1">
      <ns0:c r="A381" s="73" t="inlineStr">
        <ns0:is>
          <ns0:t>2718</ns0:t>
        </ns0:is>
      </ns0:c>
      <ns0:c r="B381" s="74" t="inlineStr">
        <ns0:is>
          <ns0:t>MININGLAMP-W</ns0:t>
        </ns0:is>
      </ns0:c>
      <ns0:c r="C381" s="74" t="inlineStr">
        <ns0:is>
          <ns0:t>明略科技－Ｗ</ns0:t>
        </ns0:is>
      </ns0:c>
      <ns0:c r="D381" s="74" t="inlineStr">
        <ns0:is>
          <ns0:t>Technology</ns0:t>
        </ns0:is>
      </ns0:c>
      <ns0:c r="E381" s="74" t="inlineStr">
        <ns0:is>
          <ns0:t>Software &amp; AI</ns0:t>
        </ns0:is>
      </ns0:c>
      <ns0:c r="F381" s="74" t="inlineStr">
        <ns0:is>
          <ns0:t>Advanced hardware and software</ns0:t>
        </ns0:is>
      </ns0:c>
      <ns0:c r="G381" s="74" t="inlineStr">
        <ns0:is>
          <ns0:t>WVR</ns0:t>
        </ns0:is>
      </ns0:c>
      <ns0:c r="H381" s="75" t="n">
        <ns0:v>45964</ns0:v>
      </ns0:c>
      <ns0:c r="I381" s="76" t="n">
        <ns0:v>1017.9</ns0:v>
      </ns0:c>
      <ns0:c r="J381" s="74" t="inlineStr">
        <ns0:is>
          <ns0:t>gross (stated)</ns0:t>
        </ns0:is>
      </ns0:c>
      <ns0:c r="K381" s="95" t="n"/>
      <ns0:c r="L381" s="77" t="n">
        <ns0:v>141</ns0:v>
      </ns0:c>
      <ns0:c r="M381" s="77" t="n">
        <ns0:v>141</ns0:v>
      </ns0:c>
      <ns0:c r="N381" s="74" t="inlineStr">
        <ns0:is>
          <ns0:t>Y</ns0:t>
        </ns0:is>
      </ns0:c>
      <ns0:c r="O381" s="78" t="n">
        <ns0:v>100</ns0:v>
      </ns0:c>
      <ns0:c r="P381" s="84" t="n"/>
      <ns0:c r="Q381" s="79" t="n">
        <ns0:v>20357.3</ns0:v>
      </ns0:c>
      <ns0:c r="R381" s="74" t="inlineStr">
        <ns0:is>
          <ns0:t>prospectus:stated market capitalisation</ns0:t>
        </ns0:is>
      </ns0:c>
      <ns0:c r="S381" s="80" t="n">
        <ns0:v>4452.86</ns0:v>
      </ns0:c>
      <ns0:c r="T381" s="81" t="n">
        <ns0:v>13.93</ns0:v>
      </ns0:c>
      <ns0:c r="U381" s="82" t="n">
        <ns0:v>45.1</ns0:v>
      </ns0:c>
      <ns0:c r="V381" s="83" t="n">
        <ns0:v>117</ns0:v>
      </ns0:c>
      <ns0:c r="W381" s="78" t="n">
        <ns0:v>10</ns0:v>
      </ns0:c>
      <ns0:c r="X381" s="74" t="inlineStr">
        <ns0:is>
          <ns0:t>NA</ns0:t>
        </ns0:is>
      </ns0:c>
      <ns0:c r="Y381" s="79" t="n">
        <ns0:v>558.83</ns0:v>
      </ns0:c>
      <ns0:c r="Z381" s="79" t="n">
        <ns0:v>3963231</ns0:v>
      </ns0:c>
      <ns0:c r="AA381" s="78" t="n">
        <ns0:v>2.75</ns0:v>
      </ns0:c>
      <ns0:c r="AB381" s="74" t="inlineStr">
        <ns0:is>
          <ns0:t>Huang River Investment Limited; Ms. Minfang Guo (ٹ; Treasure-stone Investment Group Limited; Ms. Lina Bao (ࢆ; Hundreds Capital; GFH Financial Group B.S.C; QuantumPharm Limited</ns0:t>
        </ns0:is>
      </ns0:c>
      <ns0:c r="AC381" s="74" t="inlineStr">
        <ns0:is>
          <ns0:t>huang-river;ms-minfang;treasure;ms-lina;hundreds;gfh;quantumpharm</ns0:t>
        </ns0:is>
      </ns0:c>
      <ns0:c r="AD381" s="78" t="n">
        <ns0:v>15</ns0:v>
      </ns0:c>
      <ns0:c r="AE381" s="74" t="inlineStr">
        <ns0:is>
          <ns0:t>full</ns0:t>
        </ns0:is>
      </ns0:c>
      <ns0:c r="AF381" s="74" t="inlineStr">
        <ns0:is>
          <ns0:t>2025-11-27</ns0:t>
        </ns0:is>
      </ns0:c>
      <ns0:c r="AG381" s="74" t="inlineStr">
        <ns0:is>
          <ns0:t>China International Capital Corporation Hong Kong Securities Limited</ns0:t>
        </ns0:is>
      </ns0:c>
      <ns0:c r="AH381" s="74" t="inlineStr">
        <ns0:is>
          <ns0:t>China International</ns0:t>
        </ns0:is>
      </ns0:c>
      <ns0:c r="AI381" s="86" t="n">
        <ns0:v>110.64</ns0:v>
      </ns0:c>
      <ns0:c r="AJ381" s="87" t="n">
        <ns0:v>106.1</ns0:v>
      </ns0:c>
      <ns0:c r="AK381" s="87" t="n">
        <ns0:v>0.09</ns0:v>
      </ns0:c>
      <ns0:c r="AL381" s="87" t="n">
        <ns0:v>98.58</ns0:v>
      </ns0:c>
      <ns0:c r="AM381" s="87" t="n">
        <ns0:v>3.79</ns0:v>
      </ns0:c>
      <ns0:c r="AN381" s="89" t="n">
        <ns0:v>2.99</ns0:v>
      </ns0:c>
      <ns0:c r="AO381" s="78" t="n">
        <ns0:v>13.5</ns0:v>
      </ns0:c>
      <ns0:c r="AP381" s="87" t="n">
        <ns0:v>57.16</ns0:v>
      </ns0:c>
      <ns0:c r="AQ381" s="87" t="n">
        <ns0:v>45.25</ns0:v>
      </ns0:c>
      <ns0:c r="AR381" s="87" t="n">
        <ns0:v>77.87</ns0:v>
      </ns0:c>
      <ns0:c r="AS381" s="87" t="n">
        <ns0:v>-23.75</ns0:v>
      </ns0:c>
      <ns0:c r="AT381" s="87" t="n">
        <ns0:v>-29.52</ns0:v>
      </ns0:c>
      <ns0:c r="AU381" s="87" t="n">
        <ns0:v>-13.7</ns0:v>
      </ns0:c>
      <ns0:c r="AV381" s="87" t="n">
        <ns0:v>57.42</ns0:v>
      </ns0:c>
      <ns0:c r="AW381" s="87" t="n">
        <ns0:v>50.16</ns0:v>
      </ns0:c>
      <ns0:c r="AX381" s="87" t="n">
        <ns0:v>85.79000000000001</ns0:v>
      </ns0:c>
      <ns0:c r="AY381" s="87" t="n">
        <ns0:v>-24.53</ns0:v>
      </ns0:c>
      <ns0:c r="AZ381" s="87" t="n">
        <ns0:v>-4.91</ns0:v>
      </ns0:c>
      <ns0:c r="BA381" s="87" t="n">
        <ns0:v>-4.99</ns0:v>
      </ns0:c>
      <ns0:c r="BB381" s="74" t="inlineStr">
        <ns0:is>
          <ns0:t>HSTECH (Hang Seng TECH ETF)</ns0:t>
        </ns0:is>
      </ns0:c>
      <ns0:c r="BC381" s="87" t="n">
        <ns0:v>-75.18000000000001</ns0:v>
      </ns0:c>
      <ns0:c r="BD381" s="75" t="n">
        <ns0:v>46297</ns0:v>
      </ns0:c>
      <ns0:c r="BE381" s="76" t="n">
        <ns0:v>1519.5</ns0:v>
      </ns0:c>
      <ns0:c r="BF381" s="79" t="n">
        <ns0:v>352.4</ns0:v>
      </ns0:c>
      <ns0:c r="BG381" s="74" t="inlineStr">
        <ns0:is>
          <ns0:t>Y</ns0:t>
        </ns0:is>
      </ns0:c>
      <ns0:c r="BH381" s="89" t="n">
        <ns0:v>57.8</ns0:v>
      </ns0:c>
      <ns0:c r="BI381" s="88" t="n"/>
      <ns0:c r="BJ381" s="88" t="n"/>
      <ns0:c r="BK381" s="89" t="n">
        <ns0:v>13.4</ns0:v>
      </ns0:c>
      <ns0:c r="BL381" s="90">
        <ns0:f>IFERROR(IF('BBG Verify'!S381="","Awaiting Bloomberg",'BBG Verify'!S381),"Awaiting Bloomberg")</ns0:f>
        <ns0:v/>
      </ns0:c>
      <ns0:c r="BM381" s="91" t="inlineStr">
        <ns0:is>
          <ns0:t>N</ns0:t>
        </ns0:is>
      </ns0:c>
      <ns0:c r="BN381" s="92">
        <ns0:f>IFERROR(IF('BBG Verify'!K381="","Awaiting Bloomberg",'BBG Verify'!K381),"Awaiting Bloomberg")</ns0:f>
        <ns0:v/>
      </ns0:c>
      <ns0:c r="BO381" s="74" t="inlineStr">
        <ns0:is>
          <ns0:t>N/A</ns0:t>
        </ns0:is>
      </ns0:c>
      <ns0:c r="BP381" s="74" t="inlineStr">
        <ns0:is>
          <ns0:t>N/A</ns0:t>
        </ns0:is>
      </ns0:c>
      <ns0:c r="BQ381" s="74" t="inlineStr">
        <ns0:is>
          <ns0:t>N/A</ns0:t>
        </ns0:is>
      </ns0:c>
      <ns0:c r="BR381" s="74" t="inlineStr">
        <ns0:is>
          <ns0:t>N/A</ns0:t>
        </ns0:is>
      </ns0:c>
      <ns0:c r="BS381" s="74" t="inlineStr">
        <ns0:is>
          <ns0:t>N/A</ns0:t>
        </ns0:is>
      </ns0:c>
      <ns0:c r="BT381" s="74" t="inlineStr">
        <ns0:is>
          <ns0:t>N/A</ns0:t>
        </ns0:is>
      </ns0:c>
      <ns0:c r="BU381" s="91" t="inlineStr">
        <ns0:is>
          <ns0:t>China International Capital Corporation Hong Kong Securities Limited</ns0:t>
        </ns0:is>
      </ns0:c>
      <ns0:c r="BV381" s="74" t="inlineStr">
        <ns0:is>
          <ns0:t>China International Capital Corporation Hong Kong Securities Limited</ns0:t>
        </ns0:is>
      </ns0:c>
      <ns0:c r="BW381" s="74" t="inlineStr">
        <ns0:is>
          <ns0:t>China International Capital Corporation Hong Kong Securities Limited; CLSA Limited; Futu Securities International (Hong Kong) Limited; Tiger Brokers (HK) Global Limited; Fuze Securities (International) Limited; Livermore Holdings Limited; Mulana Investment Management Limited; Citrus Securities Limited</ns0:t>
        </ns0:is>
      </ns0:c>
      <ns0:c r="BX381" s="74" t="inlineStr">
        <ns0:is>
          <ns0: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ns0:t>
        </ns0:is>
      </ns0:c>
      <ns0:c r="BY381" s="93">
        <ns0:f>HYPERLINK("https://www1.hkexnews.hk/listedco/listconews/sehk/2025/1023/2025102300005.pdf","prospectus")</ns0:f>
        <ns0:v/>
      </ns0:c>
      <ns0:c r="BZ381" s="93">
        <ns0:f>HYPERLINK("https://www1.hkexnews.hk/listedco/listconews/sehk/2025/1031/2025103103042.pdf","allotment")</ns0:f>
        <ns0:v/>
      </ns0:c>
      <ns0:c r="CA381" s="93">
        <ns0:f>HYPERLINK("https://www1.hkexnews.hk/listedco/listconews/sehk/2025/1127/2025112701372.pdf","stabilisation")</ns0:f>
        <ns0:v/>
      </ns0:c>
      <ns0:c r="CB381" s="94" t="n"/>
      <ns0:c r="CC381" s="74" t="inlineStr">
        <ns0:is>
          <ns0:t>range low: maximum offer price only, no floor published</ns0:t>
        </ns0:is>
      </ns0:c>
    </ns0:row>
    <ns0:row r="382" ht="22" customHeight="1">
      <ns0:c r="A382" s="73" t="inlineStr">
        <ns0:is>
          <ns0:t>9927</ns0:t>
        </ns0:is>
      </ns0:c>
      <ns0:c r="B382" s="74" t="inlineStr">
        <ns0:is>
          <ns0:t>SERES</ns0:t>
        </ns0:is>
      </ns0:c>
      <ns0:c r="C382" s="74" t="inlineStr">
        <ns0:is>
          <ns0:t>賽力斯</ns0:t>
        </ns0:is>
      </ns0:c>
      <ns0:c r="D382" s="74" t="inlineStr">
        <ns0:is>
          <ns0:t>Consumer</ns0:t>
        </ns0:is>
      </ns0:c>
      <ns0:c r="E382" s="74" t="inlineStr">
        <ns0:is>
          <ns0:t>Autos (NEV OEM)</ns0:t>
        </ns0:is>
      </ns0:c>
      <ns0:c r="F382" s="74" t="inlineStr">
        <ns0:is>
          <ns0:t>Automobile Manufacturers</ns0:t>
        </ns0:is>
      </ns0:c>
      <ns0:c r="G382" s="74" t="inlineStr">
        <ns0:is>
          <ns0:t>Standard</ns0:t>
        </ns0:is>
      </ns0:c>
      <ns0:c r="H382" s="75" t="n">
        <ns0:v>45966</ns0:v>
      </ns0:c>
      <ns0:c r="I382" s="76" t="n">
        <ns0:v>14283.4</ns0:v>
      </ns0:c>
      <ns0:c r="J382" s="74" t="inlineStr">
        <ns0:is>
          <ns0:t>gross (stated)</ns0:t>
        </ns0:is>
      </ns0:c>
      <ns0:c r="K382" s="95" t="n"/>
      <ns0:c r="L382" s="77" t="n">
        <ns0:v>131.5</ns0:v>
      </ns0:c>
      <ns0:c r="M382" s="77" t="n">
        <ns0:v>131.5</ns0:v>
      </ns0:c>
      <ns0:c r="N382" s="74" t="inlineStr">
        <ns0:is>
          <ns0:t>Y</ns0:t>
        </ns0:is>
      </ns0:c>
      <ns0:c r="O382" s="78" t="n">
        <ns0:v>100</ns0:v>
      </ns0:c>
      <ns0:c r="P382" s="84" t="n"/>
      <ns0:c r="Q382" s="79" t="n">
        <ns0:v>216743.6</ns0:v>
      </ns0:c>
      <ns0:c r="R382" s="74" t="inlineStr">
        <ns0:is>
          <ns0:t>derived:deal size / offer % of enlarged capital</ns0:t>
        </ns0:is>
      </ns0:c>
      <ns0:c r="S382" s="80" t="n">
        <ns0:v>132.68</ns0:v>
      </ns0:c>
      <ns0:c r="T382" s="81" t="n">
        <ns0:v>8.609999999999999</ns0:v>
      </ns0:c>
      <ns0:c r="U382" s="82" t="n">
        <ns0:v>44.95</ns0:v>
      </ns0:c>
      <ns0:c r="V382" s="83" t="n">
        <ns0:v>234</ns0:v>
      </ns0:c>
      <ns0:c r="W382" s="78" t="n">
        <ns0:v>10</ns0:v>
      </ns0:c>
      <ns0:c r="X382" s="74" t="inlineStr">
        <ns0:is>
          <ns0:t>NA</ns0:t>
        </ns0:is>
      </ns0:c>
      <ns0:c r="Y382" s="79" t="n">
        <ns0:v>7863.01</ns0:v>
      </ns0:c>
      <ns0:c r="Z382" s="79" t="n">
        <ns0:v>59794760</ns0:v>
      </ns0:c>
      <ns0:c r="AA382" s="78" t="n">
        <ns0:v>3.63</ns0:v>
      </ns0:c>
      <ns0:c r="AB382" s="74" t="inlineStr">
        <ns0:is>
          <ns0:t>Chongqing Industrial Investment Parent Fund Enterprise Partnership (L.P.); Shenzhen Lin Yuan Investment Management Co., Ltd. and Huatai Capital Investment Limited (in connection with Huatai Back-to-back TRS and Linyuan TRS); GF Fund Management Co., Ltd; GF International Investment Management Limited; New China Asset Management (Hong Kong) Limited; BESS Broadway Limited; Sanhua (Hong Kong) Co Limited; Zhongsheng Holdings Company Limited; Zhink International Pte. Ltd; Gold Wings Holdings Limited; Honour Goal Investments Limited; Hichain Logistics (Hong Kong) Limited; Schroder Investment Management (Singapore) Ltd and Schroder Investment Management (Hong Kong) Limited (collectively, Schroder ); Mirae Asset Securities Co., Ltd; New Alternative Limited; PSBC Wealth Management Co., Ltd; Skyler International Co., Ltd; Xingyu Automotive Lighting (Hong Kong) Company Limited; China MeiDong Auto Holdings Limited; Ghisallo Fund Master Ltd; Jump Trading Pacific Pte. Ltd; Jain Global Master Fund Ltd; China Alpha Fund Management (HK) Limited</ns0:t>
        </ns0:is>
      </ns0:c>
      <ns0:c r="AC382" s="74" t="inlineStr">
        <ns0:is>
          <ns0:t>chongqing;shenzhen-lin;gf;new;bess;sanhua;zhongsheng;zhink;gold;honour;hichain;schroder;mirae;new-alternative;psbc;skyler;xingyu;meidong;ghisallo;jump;jain;alpha</ns0:t>
        </ns0:is>
      </ns0:c>
      <ns0:c r="AD382" s="78" t="n">
        <ns0:v>5.78</ns0:v>
      </ns0:c>
      <ns0:c r="AE382" s="74" t="inlineStr">
        <ns0:is>
          <ns0:t>partial</ns0:t>
        </ns0:is>
      </ns0:c>
      <ns0:c r="AF382" s="74" t="inlineStr">
        <ns0:is>
          <ns0:t>2025-11-30</ns0:t>
        </ns0:is>
      </ns0:c>
      <ns0:c r="AG382" s="74" t="inlineStr">
        <ns0:is>
          <ns0:t>China International Capital Corporation Hong Kong Securities Limited</ns0:t>
        </ns0:is>
      </ns0:c>
      <ns0:c r="AH382" s="74" t="inlineStr">
        <ns0:is>
          <ns0:t>China International</ns0:t>
        </ns0:is>
      </ns0:c>
      <ns0:c r="AI382" s="86" t="n">
        <ns0:v>0.68</ns0:v>
      </ns0:c>
      <ns0:c r="AJ382" s="87" t="n">
        <ns0:v>0</ns0:v>
      </ns0:c>
      <ns0:c r="AK382" s="87" t="n">
        <ns0:v>-0.05</ns0:v>
      </ns0:c>
      <ns0:c r="AL382" s="87" t="n">
        <ns0:v>-1.98</ns0:v>
      </ns0:c>
      <ns0:c r="AM382" s="87" t="n">
        <ns0:v>2.02</ns0:v>
      </ns0:c>
      <ns0:c r="AN382" s="89" t="n">
        <ns0:v>1.71</ns0:v>
      </ns0:c>
      <ns0:c r="AO382" s="78" t="n">
        <ns0:v>10.47</ns0:v>
      </ns0:c>
      <ns0:c r="AP382" s="87" t="n">
        <ns0:v>-12.17</ns0:v>
      </ns0:c>
      <ns0:c r="AQ382" s="87" t="n">
        <ns0:v>-11.94</ns0:v>
      </ns0:c>
      <ns0:c r="AR382" s="87" t="n">
        <ns0:v>-26.2</ns0:v>
      </ns0:c>
      <ns0:c r="AS382" s="87" t="n">
        <ns0:v>-12.17</ns0:v>
      </ns0:c>
      <ns0:c r="AT382" s="87" t="n">
        <ns0:v>-11.94</ns0:v>
      </ns0:c>
      <ns0:c r="AU382" s="87" t="n">
        <ns0:v>-26.2</ns0:v>
      </ns0:c>
      <ns0:c r="AV382" s="87" t="n">
        <ns0:v>-15.09</ns0:v>
      </ns0:c>
      <ns0:c r="AW382" s="87" t="n">
        <ns0:v>-11.49</ns0:v>
      </ns0:c>
      <ns0:c r="AX382" s="87" t="n">
        <ns0:v>-24.44</ns0:v>
      </ns0:c>
      <ns0:c r="AY382" s="87" t="n">
        <ns0:v>-11.54</ns0:v>
      </ns0:c>
      <ns0:c r="AZ382" s="87" t="n">
        <ns0:v>-0.45</ns0:v>
      </ns0:c>
      <ns0:c r="BA382" s="87" t="n">
        <ns0:v>-0.4</ns0:v>
      </ns0:c>
      <ns0:c r="BB382" s="74" t="inlineStr">
        <ns0:is>
          <ns0:t>Hang Seng Commerce &amp; Industry sub-index</ns0:t>
        </ns0:is>
      </ns0:c>
      <ns0:c r="BC382" s="87" t="n">
        <ns0:v>-71.59999999999999</ns0:v>
      </ns0:c>
      <ns0:c r="BD382" s="75" t="n">
        <ns0:v>46297</ns0:v>
      </ns0:c>
      <ns0:c r="BE382" s="76" t="n">
        <ns0:v>159625</ns0:v>
      </ns0:c>
      <ns0:c r="BF382" s="79" t="n">
        <ns0:v>-1527.6</ns0:v>
      </ns0:c>
      <ns0:c r="BG382" s="74" t="inlineStr">
        <ns0:is>
          <ns0:t>N</ns0:t>
        </ns0:is>
      </ns0:c>
      <ns0:c r="BH382" s="74" t="inlineStr">
        <ns0:is>
          <ns0:t>n/m</ns0:t>
        </ns0:is>
      </ns0:c>
      <ns0:c r="BI382" s="89" t="n">
        <ns0:v>25.5</ns0:v>
      </ns0:c>
      <ns0:c r="BJ382" s="89" t="n">
        <ns0:v>9.699999999999999</ns0:v>
      </ns0:c>
      <ns0:c r="BK382" s="89" t="n">
        <ns0:v>1.4</ns0:v>
      </ns0:c>
      <ns0:c r="BL382" s="90">
        <ns0:f>IFERROR(IF('BBG Verify'!S382="","Awaiting Bloomberg",'BBG Verify'!S382),"Awaiting Bloomberg")</ns0:f>
        <ns0:v/>
      </ns0:c>
      <ns0:c r="BM382" s="91" t="inlineStr">
        <ns0:is>
          <ns0:t>Y</ns0:t>
        </ns0:is>
      </ns0:c>
      <ns0:c r="BN382" s="74" t="inlineStr">
        <ns0:is>
          <ns0:t>601127.SS</ns0:t>
        </ns0:is>
      </ns0:c>
      <ns0:c r="BO382" s="87" t="n">
        <ns0:v>27.41</ns0:v>
      </ns0:c>
      <ns0:c r="BP382" s="77" t="n">
        <ns0:v>167.5467</ns0:v>
      </ns0:c>
      <ns0:c r="BQ382" s="101" t="n">
        <ns0:v>0.471</ns0:v>
      </ns0:c>
      <ns0:c r="BR382" s="79" t="n">
        <ns0:v>95728.10000000001</ns0:v>
      </ns0:c>
      <ns0:c r="BS382" s="90">
        <ns0:f>IFERROR(IF('BBG Verify'!Q382="","Awaiting Bloomberg",'BBG Verify'!Q382),"Awaiting Bloomberg")</ns0:f>
        <ns0:v/>
      </ns0:c>
      <ns0:c r="BT382" s="90">
        <ns0:f>IFERROR(IF('BBG Verify'!R382="","Awaiting Bloomberg",'BBG Verify'!R382),"Awaiting Bloomberg")</ns0:f>
        <ns0:v/>
      </ns0:c>
      <ns0:c r="BU382" s="91" t="inlineStr">
        <ns0:is>
          <ns0:t>CICC; China Galaxy International</ns0:t>
        </ns0:is>
      </ns0:c>
      <ns0:c r="BV382" s="74" t="inlineStr">
        <ns0:is>
          <ns0:t>China International Capital Corporation Hong Kong Securities Limited; China Galaxy International Securities (Hong Kong) Company Limited</ns0:t>
        </ns0:is>
      </ns0:c>
      <ns0:c r="BW382" s="74" t="inlineStr">
        <ns0:is>
          <ns0:t>China International Capital Corporation Hong Kong Securities Limited; China Galaxy International Securities (Hong Kong) Co., Limited; Huatai Financial Holdings (Hong Kong) Limited</ns0:t>
        </ns0:is>
      </ns0:c>
      <ns0:c r="BX382" s="74" t="inlineStr">
        <ns0:is>
          <ns0:t>China Galaxy International Securities (Hong Kong) Company Limited; China International Capital Corporation Hong Kong Securities Limited; Huatai Financial Holdings (Hong Kong) Limited</ns0:t>
        </ns0:is>
      </ns0:c>
      <ns0:c r="BY382" s="93">
        <ns0:f>HYPERLINK("https://www1.hkexnews.hk/listedco/listconews/sehk/2025/1027/2025102700059.pdf","prospectus")</ns0:f>
        <ns0:v/>
      </ns0:c>
      <ns0:c r="BZ382" s="93">
        <ns0:f>HYPERLINK("https://www1.hkexnews.hk/listedco/listconews/sehk/2025/1104/2025110402282.pdf","allotment")</ns0:f>
        <ns0:v/>
      </ns0:c>
      <ns0:c r="CA382" s="93">
        <ns0:f>HYPERLINK("https://www1.hkexnews.hk/listedco/listconews/sehk/2025/1130/2025113000281.pdf","stabilisation")</ns0:f>
        <ns0:v/>
      </ns0:c>
      <ns0:c r="CB382" s="94" t="n"/>
      <ns0:c r="CC382" s="74" t="inlineStr">
        <ns0:is>
          <ns0:t>P/E: loss-making at IPO, use P/S; range low: maximum offer price only, no floor published; A/H: Nov 2025, HK$14.28bn (~US$1.8bn); 3rd-largest HK IPO of 2025; flat debut</ns0:t>
        </ns0:is>
      </ns0:c>
    </ns0:row>
    <ns0:row r="383" ht="22" customHeight="1">
      <ns0:c r="A383" s="73" t="inlineStr">
        <ns0:is>
          <ns0:t>2630</ns0:t>
        </ns0:is>
      </ns0:c>
      <ns0:c r="B383" s="74" t="inlineStr">
        <ns0:is>
          <ns0:t>VIGONVITA-B</ns0:t>
        </ns0:is>
      </ns0:c>
      <ns0:c r="C383" s="74" t="inlineStr">
        <ns0:is>
          <ns0:t>旺山旺水－Ｂ</ns0:t>
        </ns0:is>
      </ns0:c>
      <ns0:c r="D383" s="74" t="inlineStr">
        <ns0:is>
          <ns0:t>Healthcare</ns0:t>
        </ns0:is>
      </ns0:c>
      <ns0:c r="E383" s="74" t="inlineStr">
        <ns0:is>
          <ns0:t>Biotech pre-revenue (18A)</ns0:t>
        </ns0:is>
      </ns0:c>
      <ns0:c r="F383" s="74" t="inlineStr">
        <ns0:is>
          <ns0:t>Biotechnology - Pharmaceuticals</ns0:t>
        </ns0:is>
      </ns0:c>
      <ns0:c r="G383" s="74" t="inlineStr">
        <ns0:is>
          <ns0:t>18A</ns0:t>
        </ns0:is>
      </ns0:c>
      <ns0:c r="H383" s="75" t="n">
        <ns0:v>45967</ns0:v>
      </ns0:c>
      <ns0:c r="I383" s="76" t="n">
        <ns0:v>587.24</ns0:v>
      </ns0:c>
      <ns0:c r="J383" s="74" t="inlineStr">
        <ns0:is>
          <ns0:t>gross (stated)</ns0:t>
        </ns0:is>
      </ns0:c>
      <ns0:c r="K383" s="95" t="n"/>
      <ns0:c r="L383" s="77" t="n">
        <ns0:v>34</ns0:v>
      </ns0:c>
      <ns0:c r="M383" s="77" t="n">
        <ns0:v>33.37</ns0:v>
      </ns0:c>
      <ns0:c r="N383" s="74" t="inlineStr">
        <ns0:is>
          <ns0:t>N</ns0:t>
        </ns0:is>
      </ns0:c>
      <ns0:c r="O383" s="78" t="n">
        <ns0:v>98.09999999999999</ns0:v>
      </ns0:c>
      <ns0:c r="P383" s="84" t="n"/>
      <ns0:c r="Q383" s="79" t="n">
        <ns0:v>5592.7</ns0:v>
      </ns0:c>
      <ns0:c r="R383" s="74" t="inlineStr">
        <ns0:is>
          <ns0:t>derived:price x shares upon listing</ns0:t>
        </ns0:is>
      </ns0:c>
      <ns0:c r="S383" s="80" t="n">
        <ns0:v>6238.42</ns0:v>
      </ns0:c>
      <ns0:c r="T383" s="81" t="n">
        <ns0:v>16.87</ns0:v>
      </ns0:c>
      <ns0:c r="U383" s="82" t="n">
        <ns0:v>0</ns0:v>
      </ns0:c>
      <ns0:c r="V383" s="83" t="n">
        <ns0:v>70</ns0:v>
      </ns0:c>
      <ns0:c r="W383" s="78" t="n">
        <ns0:v>10</ns0:v>
      </ns0:c>
      <ns0:c r="X383" s="74" t="inlineStr">
        <ns0:is>
          <ns0:t>NO</ns0:t>
        </ns0:is>
      </ns0:c>
      <ns0:c r="Y383" s="79" t="n">
        <ns0:v>587.24</ns0:v>
      </ns0:c>
      <ns0:c r="Z383" s="79" t="n">
        <ns0:v>17597800</ns0:v>
      </ns0:c>
      <ns0:c r="AA383" s="78" t="n">
        <ns0:v>10.5</ns0:v>
      </ns0:c>
      <ns0:c r="AB383" s="74" t="inlineStr">
        <ns0:is>
          <ns0:t>none — no cornerstone tranche</ns0:t>
        </ns0:is>
      </ns0:c>
      <ns0:c r="AC383" s="74" t="inlineStr">
        <ns0:is>
          <ns0:t>none</ns0:t>
        </ns0:is>
      </ns0:c>
      <ns0:c r="AD383" s="78" t="n">
        <ns0:v>6.24</ns0:v>
      </ns0:c>
      <ns0:c r="AE383" s="74" t="inlineStr">
        <ns0:is>
          <ns0:t>lapsed (no over-allocation)</ns0:t>
        </ns0:is>
      </ns0:c>
      <ns0:c r="AF383" s="74" t="inlineStr">
        <ns0:is>
          <ns0:t>2025-12-03</ns0:t>
        </ns0:is>
      </ns0:c>
      <ns0:c r="AG383" s="74" t="inlineStr">
        <ns0:is>
          <ns0:t>CLSA Limited</ns0:t>
        </ns0:is>
      </ns0:c>
      <ns0:c r="AH383" s="74" t="inlineStr">
        <ns0:is>
          <ns0:t>CLSA</ns0:t>
        </ns0:is>
      </ns0:c>
      <ns0:c r="AI383" s="86" t="n">
        <ns0:v>154.72</ns0:v>
      </ns0:c>
      <ns0:c r="AJ383" s="87" t="n">
        <ns0:v>145.73</ns0:v>
      </ns0:c>
      <ns0:c r="AK383" s="87" t="n">
        <ns0:v>0.4</ns0:v>
      </ns0:c>
      <ns0:c r="AL383" s="87" t="n">
        <ns0:v>184.69</ns0:v>
      </ns0:c>
      <ns0:c r="AM383" s="87" t="n">
        <ns0:v>-13.69</ns0:v>
      </ns0:c>
      <ns0:c r="AN383" s="89" t="n">
        <ns0:v>3.14</ns0:v>
      </ns0:c>
      <ns0:c r="AO383" s="78" t="n">
        <ns0:v>16.05</ns0:v>
      </ns0:c>
      <ns0:c r="AP383" s="87" t="n">
        <ns0:v>64.97</ns0:v>
      </ns0:c>
      <ns0:c r="AQ383" s="87" t="n">
        <ns0:v>131.05</ns0:v>
      </ns0:c>
      <ns0:c r="AR383" s="87" t="n">
        <ns0:v>216.15</ns0:v>
      </ns0:c>
      <ns0:c r="AS383" s="87" t="n">
        <ns0:v>-32.87</ns0:v>
      </ns0:c>
      <ns0:c r="AT383" s="87" t="n">
        <ns0:v>-5.97</ns0:v>
      </ns0:c>
      <ns0:c r="AU383" s="87" t="n">
        <ns0:v>28.66</ns0:v>
      </ns0:c>
      <ns0:c r="AV383" s="87" t="n">
        <ns0:v>61.71</ns0:v>
      </ns0:c>
      <ns0:c r="AW383" s="87" t="n">
        <ns0:v>132.59</ns0:v>
      </ns0:c>
      <ns0:c r="AX383" s="87" t="n">
        <ns0:v>223.02</ns0:v>
      </ns0:c>
      <ns0:c r="AY383" s="87" t="n">
        <ns0:v>-4.04</ns0:v>
      </ns0:c>
      <ns0:c r="AZ383" s="87" t="n">
        <ns0:v>-1.54</ns0:v>
      </ns0:c>
      <ns0:c r="BA383" s="87" t="n">
        <ns0:v>-1.93</ns0:v>
      </ns0:c>
      <ns0:c r="BB383" s="74" t="inlineStr">
        <ns0:is>
          <ns0:t>China Biotech ETF (HS biotech proxy)</ns0:t>
        </ns0:is>
      </ns0:c>
      <ns0:c r="BC383" s="87" t="n">
        <ns0:v>143.33</ns0:v>
      </ns0:c>
      <ns0:c r="BD383" s="75" t="n">
        <ns0:v>46297</ns0:v>
      </ns0:c>
      <ns0:c r="BE383" s="76" t="n">
        <ns0:v>3.5</ns0:v>
      </ns0:c>
      <ns0:c r="BF383" s="79" t="n">
        <ns0:v>-81.2</ns0:v>
      </ns0:c>
      <ns0:c r="BG383" s="74" t="inlineStr">
        <ns0:is>
          <ns0:t>N</ns0:t>
        </ns0:is>
      </ns0:c>
      <ns0:c r="BH383" s="74" t="inlineStr">
        <ns0:is>
          <ns0:t>n/m</ns0:t>
        </ns0:is>
      </ns0:c>
      <ns0:c r="BI383" s="88" t="n"/>
      <ns0:c r="BJ383" s="88" t="n"/>
      <ns0:c r="BK383" s="89" t="n">
        <ns0:v>1597.9</ns0:v>
      </ns0:c>
      <ns0:c r="BL383" s="90">
        <ns0:f>IFERROR(IF('BBG Verify'!S383="","Awaiting Bloomberg",'BBG Verify'!S383),"Awaiting Bloomberg")</ns0:f>
        <ns0:v/>
      </ns0:c>
      <ns0:c r="BM383" s="91" t="inlineStr">
        <ns0:is>
          <ns0:t>N</ns0:t>
        </ns0:is>
      </ns0:c>
      <ns0:c r="BN383" s="92">
        <ns0:f>IFERROR(IF('BBG Verify'!K383="","Awaiting Bloomberg",'BBG Verify'!K383),"Awaiting Bloomberg")</ns0:f>
        <ns0:v/>
      </ns0:c>
      <ns0:c r="BO383" s="74" t="inlineStr">
        <ns0:is>
          <ns0:t>N/A</ns0:t>
        </ns0:is>
      </ns0:c>
      <ns0:c r="BP383" s="74" t="inlineStr">
        <ns0:is>
          <ns0:t>N/A</ns0:t>
        </ns0:is>
      </ns0:c>
      <ns0:c r="BQ383" s="74" t="inlineStr">
        <ns0:is>
          <ns0:t>N/A</ns0:t>
        </ns0:is>
      </ns0:c>
      <ns0:c r="BR383" s="74" t="inlineStr">
        <ns0:is>
          <ns0:t>N/A</ns0:t>
        </ns0:is>
      </ns0:c>
      <ns0:c r="BS383" s="74" t="inlineStr">
        <ns0:is>
          <ns0:t>N/A</ns0:t>
        </ns0:is>
      </ns0:c>
      <ns0:c r="BT383" s="74" t="inlineStr">
        <ns0:is>
          <ns0:t>N/A</ns0:t>
        </ns0:is>
      </ns0:c>
      <ns0:c r="BU383" s="91" t="inlineStr">
        <ns0:is>
          <ns0:t>CITIC Securities (Hong Kong) Limited</ns0:t>
        </ns0:is>
      </ns0:c>
      <ns0:c r="BV383" s="74" t="inlineStr">
        <ns0:is>
          <ns0:t>CITIC Securities (Hong Kong) Limited</ns0:t>
        </ns0:is>
      </ns0:c>
      <ns0:c r="BW383" s="74" t="inlineStr">
        <ns0:is>
          <ns0: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ns0:t>
        </ns0:is>
      </ns0:c>
      <ns0:c r="BX383" s="74" t="inlineStr">
        <ns0:is>
          <ns0: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ns0:t>
        </ns0:is>
      </ns0:c>
      <ns0:c r="BY383" s="93">
        <ns0:f>HYPERLINK("https://www1.hkexnews.hk/listedco/listconews/sehk/2025/1028/2025102800017.pdf","prospectus")</ns0:f>
        <ns0:v/>
      </ns0:c>
      <ns0:c r="BZ383" s="93">
        <ns0:f>HYPERLINK("https://www1.hkexnews.hk/listedco/listconews/sehk/2025/1105/2025110502006.pdf","allotment")</ns0:f>
        <ns0:v/>
      </ns0:c>
      <ns0:c r="CA383" s="93">
        <ns0:f>HYPERLINK("https://www1.hkexnews.hk/listedco/listconews/sehk/2025/1203/2025120300845.pdf","stabilisation")</ns0:f>
        <ns0:v/>
      </ns0:c>
      <ns0:c r="CB383" s="94" t="n"/>
      <ns0:c r="CC383" s="74" t="inlineStr">
        <ns0:is>
          <ns0:t>P/E: loss-making at IPO, use P/S; range low: maximum offer price only, no floor published; market cap: prospectus 'market capitalisation' line is the listing-rule threshold, not the issuer's figure; rejected; cornerstone list: no cornerstone tranche; P/S: 1,598x on HK$3.5m revenue, effectively pre-revenue; not comparable</ns0:t>
        </ns0:is>
      </ns0:c>
    </ns0:row>
    <ns0:row r="384" ht="22" customHeight="1">
      <ns0:c r="A384" s="73" t="inlineStr">
        <ns0:is>
          <ns0:t>2026</ns0:t>
        </ns0:is>
      </ns0:c>
      <ns0:c r="B384" s="74" t="inlineStr">
        <ns0:is>
          <ns0:t>PONY-W</ns0:t>
        </ns0:is>
      </ns0:c>
      <ns0:c r="C384" s="74" t="inlineStr">
        <ns0:is>
          <ns0:t>小馬智行</ns0:t>
        </ns0:is>
      </ns0:c>
      <ns0:c r="D384" s="74" t="inlineStr">
        <ns0:is>
          <ns0:t>Technology</ns0:t>
        </ns0:is>
      </ns0:c>
      <ns0:c r="E384" s="74" t="inlineStr">
        <ns0:is>
          <ns0:t>Robotics &amp; autonomous driving</ns0:t>
        </ns0:is>
      </ns0:c>
      <ns0:c r="F384" s="74" t="inlineStr">
        <ns0:is>
          <ns0:t>Trucking</ns0:t>
        </ns0:is>
      </ns0:c>
      <ns0:c r="G384" s="74" t="inlineStr">
        <ns0:is>
          <ns0:t>WVR</ns0:t>
        </ns0:is>
      </ns0:c>
      <ns0:c r="H384" s="75" t="n">
        <ns0:v>45967</ns0:v>
      </ns0:c>
      <ns0:c r="I384" s="76" t="n">
        <ns0:v>6706.61</ns0:v>
      </ns0:c>
      <ns0:c r="J384" s="74" t="inlineStr">
        <ns0:is>
          <ns0:t>gross (stated)</ns0:t>
        </ns0:is>
      </ns0:c>
      <ns0:c r="K384" s="95" t="n"/>
      <ns0:c r="L384" s="77" t="n">
        <ns0:v>180</ns0:v>
      </ns0:c>
      <ns0:c r="M384" s="77" t="n">
        <ns0:v>139</ns0:v>
      </ns0:c>
      <ns0:c r="N384" s="74" t="inlineStr">
        <ns0:is>
          <ns0:t>N</ns0:t>
        </ns0:is>
      </ns0:c>
      <ns0:c r="O384" s="78" t="n">
        <ns0:v>77.2</ns0:v>
      </ns0:c>
      <ns0:c r="P384" s="84" t="n"/>
      <ns0:c r="Q384" s="79" t="n">
        <ns0:v>60419.9</ns0:v>
      </ns0:c>
      <ns0:c r="R384" s="74" t="inlineStr">
        <ns0:is>
          <ns0:t>derived:deal size / offer % of enlarged capital</ns0:t>
        </ns0:is>
      </ns0:c>
      <ns0:c r="S384" s="80" t="n">
        <ns0:v>15.88</ns0:v>
      </ns0:c>
      <ns0:c r="T384" s="81" t="n">
        <ns0:v>7.72</ns0:v>
      </ns0:c>
      <ns0:c r="U384" s="82" t="n">
        <ns0:v>13.91</ns0:v>
      </ns0:c>
      <ns0:c r="V384" s="83" t="n">
        <ns0:v>122</ns0:v>
      </ns0:c>
      <ns0:c r="W384" s="78" t="n">
        <ns0:v>8.699999999999999</ns0:v>
      </ns0:c>
      <ns0:c r="X384" s="74" t="inlineStr">
        <ns0:is>
          <ns0:t>NA</ns0:t>
        </ns0:is>
      </ns0:c>
      <ns0:c r="Y384" s="79" t="n">
        <ns0:v>5773.72</ns0:v>
      </ns0:c>
      <ns0:c r="Z384" s="79" t="n">
        <ns0:v>41537564</ns0:v>
      </ns0:c>
      <ns0:c r="AA384" s="78" t="n">
        <ns0:v>9.56</ns0:v>
      </ns0:c>
      <ns0:c r="AB384" s="74" t="inlineStr">
        <ns0:is>
          <ns0:t>Eastspring Investments (Singapore) Limited; Ghisallo Fund Master Ltd; Athos Capital Limited; Hel Ved Master Fund; Ocean Arete Limited</ns0:t>
        </ns0:is>
      </ns0:c>
      <ns0:c r="AC384" s="74" t="inlineStr">
        <ns0:is>
          <ns0:t>eastspring;ghisallo;athos;hel;ocean</ns0:t>
        </ns0:is>
      </ns0:c>
      <ns0:c r="AD384" s="78" t="n">
        <ns0:v>15</ns0:v>
      </ns0:c>
      <ns0:c r="AE384" s="74" t="inlineStr">
        <ns0:is>
          <ns0:t>lapsed</ns0:t>
        </ns0:is>
      </ns0:c>
      <ns0:c r="AF384" s="74" t="inlineStr">
        <ns0:is>
          <ns0:t>2025-12-03</ns0:t>
        </ns0:is>
      </ns0:c>
      <ns0:c r="AG384" s="74" t="inlineStr">
        <ns0:is>
          <ns0:t>Goldman Sachs</ns0:t>
        </ns0:is>
      </ns0:c>
      <ns0:c r="AH384" s="74" t="inlineStr">
        <ns0:is>
          <ns0:t>Goldman Sachs</ns0:t>
        </ns0:is>
      </ns0:c>
      <ns0:c r="AI384" s="86" t="n">
        <ns0:v>-11.37</ns0:v>
      </ns0:c>
      <ns0:c r="AJ384" s="87" t="n">
        <ns0:v>-9.279999999999999</ns0:v>
      </ns0:c>
      <ns0:c r="AK384" s="87" t="n">
        <ns0:v>2.73</ns0:v>
      </ns0:c>
      <ns0:c r="AL384" s="87" t="n">
        <ns0:v>-10.79</ns0:v>
      </ns0:c>
      <ns0:c r="AM384" s="87" t="n">
        <ns0:v>1.69</ns0:v>
      </ns0:c>
      <ns0:c r="AN384" s="89" t="n">
        <ns0:v>2.07</ns0:v>
      </ns0:c>
      <ns0:c r="AO384" s="78" t="n">
        <ns0:v>5.89</ns0:v>
      </ns0:c>
      <ns0:c r="AP384" s="87" t="n">
        <ns0:v>-22.3</ns0:v>
      </ns0:c>
      <ns0:c r="AQ384" s="87" t="n">
        <ns0:v>-16.47</ns0:v>
      </ns0:c>
      <ns0:c r="AR384" s="87" t="n">
        <ns0:v>-25.4</ns0:v>
      </ns0:c>
      <ns0:c r="AS384" s="87" t="n">
        <ns0:v>-14.35</ns0:v>
      </ns0:c>
      <ns0:c r="AT384" s="87" t="n">
        <ns0:v>-7.93</ns0:v>
      </ns0:c>
      <ns0:c r="AU384" s="87" t="n">
        <ns0:v>-17.77</ns0:v>
      </ns0:c>
      <ns0:c r="AV384" s="87" t="n">
        <ns0:v>-25.56</ns0:v>
      </ns0:c>
      <ns0:c r="AW384" s="87" t="n">
        <ns0:v>-14.18</ns0:v>
      </ns0:c>
      <ns0:c r="AX384" s="87" t="n">
        <ns0:v>-17.64</ns0:v>
      </ns0:c>
      <ns0:c r="AY384" s="87" t="n">
        <ns0:v>-3.04</ns0:v>
      </ns0:c>
      <ns0:c r="AZ384" s="87" t="n">
        <ns0:v>-2.29</ns0:v>
      </ns0:c>
      <ns0:c r="BA384" s="87" t="n">
        <ns0:v>-4.89</ns0:v>
      </ns0:c>
      <ns0:c r="BB384" s="74" t="inlineStr">
        <ns0:is>
          <ns0:t>HSTECH (Hang Seng TECH ETF)</ns0:t>
        </ns0:is>
      </ns0:c>
      <ns0:c r="BC384" s="87" t="n">
        <ns0:v>-66.23999999999999</ns0:v>
      </ns0:c>
      <ns0:c r="BD384" s="75" t="n">
        <ns0:v>46297</ns0:v>
      </ns0:c>
      <ns0:c r="BE384" s="76" t="n">
        <ns0:v>585.2</ns0:v>
      </ns0:c>
      <ns0:c r="BF384" s="79" t="n">
        <ns0:v>-2138.1</ns0:v>
      </ns0:c>
      <ns0:c r="BG384" s="74" t="inlineStr">
        <ns0:is>
          <ns0:t>N</ns0:t>
        </ns0:is>
      </ns0:c>
      <ns0:c r="BH384" s="74" t="inlineStr">
        <ns0:is>
          <ns0:t>n/m</ns0:t>
        </ns0:is>
      </ns0:c>
      <ns0:c r="BI384" s="88" t="n"/>
      <ns0:c r="BJ384" s="88" t="n"/>
      <ns0:c r="BK384" s="89" t="n">
        <ns0:v>103.2</ns0:v>
      </ns0:c>
      <ns0:c r="BL384" s="90">
        <ns0:f>IFERROR(IF('BBG Verify'!S384="","Awaiting Bloomberg",'BBG Verify'!S384),"Awaiting Bloomberg")</ns0:f>
        <ns0:v/>
      </ns0:c>
      <ns0:c r="BM384" s="91" t="inlineStr">
        <ns0:is>
          <ns0:t>N</ns0:t>
        </ns0:is>
      </ns0:c>
      <ns0:c r="BN384" s="92">
        <ns0:f>IFERROR(IF('BBG Verify'!K384="","Awaiting Bloomberg",'BBG Verify'!K384),"Awaiting Bloomberg")</ns0:f>
        <ns0:v/>
      </ns0:c>
      <ns0:c r="BO384" s="74" t="inlineStr">
        <ns0:is>
          <ns0:t>N/A</ns0:t>
        </ns0:is>
      </ns0:c>
      <ns0:c r="BP384" s="74" t="inlineStr">
        <ns0:is>
          <ns0:t>N/A</ns0:t>
        </ns0:is>
      </ns0:c>
      <ns0:c r="BQ384" s="74" t="inlineStr">
        <ns0:is>
          <ns0:t>N/A</ns0:t>
        </ns0:is>
      </ns0:c>
      <ns0:c r="BR384" s="74" t="inlineStr">
        <ns0:is>
          <ns0:t>N/A</ns0:t>
        </ns0:is>
      </ns0:c>
      <ns0:c r="BS384" s="74" t="inlineStr">
        <ns0:is>
          <ns0:t>N/A</ns0:t>
        </ns0:is>
      </ns0:c>
      <ns0:c r="BT384" s="74" t="inlineStr">
        <ns0:is>
          <ns0:t>N/A</ns0:t>
        </ns0:is>
      </ns0:c>
      <ns0:c r="BU384" s="91" t="inlineStr">
        <ns0:is>
          <ns0:t>Goldman Sachs (Asia) L.L.C; Merrill Lynch (Asia Pacific) Limited; Deutsche Securities Asia Limited; Huatai Financial Holdings (Hong Kong) Limited</ns0:t>
        </ns0:is>
      </ns0:c>
      <ns0:c r="BV384" s="74" t="inlineStr">
        <ns0:is>
          <ns0:t>Merrill Lynch (Asia Pacific) Limited; Goldman Sachs (Asia) L.L.C.; Huatai Financial Holdings (Hong Kong) Limited; Deutsche Securities Asia Limited</ns0:t>
        </ns0:is>
      </ns0:c>
      <ns0:c r="BW384" s="74" t="inlineStr">
        <ns0:is>
          <ns0:t>Goldman Sachs (Asia) L.L.C; Merrill Lynch (Asia Pacific) Limited; Deutsche Bank AG, Hong Kong Branch; Huatai Financial Holdings (Hong Kong) Limited; CLSA Limited; BOCI Asia Limited</ns0:t>
        </ns0:is>
      </ns0:c>
      <ns0:c r="BX384" s="74" t="inlineStr">
        <ns0:is>
          <ns0:t>BOCI Asia Limited; CLSA Limited; Deutsche Bank AG, Hong Kong Branch; Futu Securities International (Hong Kong) Limited; Goldman Sachs (Asia) L.L.C.; Huatai Financial Holdings (Hong Kong) Limited; Macquarie Capital Limited; Merrill Lynch (Asia Pacific) Limited; Tiger Brokers (HK) Global Limited</ns0:t>
        </ns0:is>
      </ns0:c>
      <ns0:c r="BY384" s="93">
        <ns0:f>HYPERLINK("https://www1.hkexnews.hk/listedco/listconews/sehk/2025/1028/2025102800087.pdf","prospectus")</ns0:f>
        <ns0:v/>
      </ns0:c>
      <ns0:c r="BZ384" s="93">
        <ns0:f>HYPERLINK("https://www1.hkexnews.hk/listedco/listconews/sehk/2025/1105/2025110502018.pdf","allotment")</ns0:f>
        <ns0:v/>
      </ns0:c>
      <ns0:c r="CA384" s="93">
        <ns0:f>HYPERLINK("https://www1.hkexnews.hk/listedco/listconews/sehk/2025/1203/2025120302148.pdf","stabilisation")</ns0:f>
        <ns0:v/>
      </ns0:c>
      <ns0:c r="CB384" s="94" t="n"/>
      <ns0:c r="CC384" s="74" t="inlineStr">
        <ns0:is>
          <ns0:t>P/E: loss-making at IPO, use P/S; range low: maximum offer price only, no floor published</ns0:t>
        </ns0:is>
      </ns0:c>
    </ns0:row>
    <ns0:row r="385" ht="22" customHeight="1">
      <ns0:c r="A385" s="73" t="inlineStr">
        <ns0:is>
          <ns0:t>0699</ns0:t>
        </ns0:is>
      </ns0:c>
      <ns0:c r="B385" s="74" t="inlineStr">
        <ns0:is>
          <ns0:t>JOYSON ELEC</ns0:t>
        </ns0:is>
      </ns0:c>
      <ns0:c r="C385" s="74" t="inlineStr">
        <ns0:is>
          <ns0:t>均勝電子</ns0:t>
        </ns0:is>
      </ns0:c>
      <ns0:c r="D385" s="74" t="inlineStr">
        <ns0:is>
          <ns0:t>Consumer</ns0:t>
        </ns0:is>
      </ns0:c>
      <ns0:c r="E385" s="74" t="inlineStr">
        <ns0:is>
          <ns0:t>Auto parts / supply chain</ns0:t>
        </ns0:is>
      </ns0:c>
      <ns0:c r="F385" s="74" t="inlineStr">
        <ns0:is>
          <ns0:t>Auto Parts &amp; Equipment</ns0:t>
        </ns0:is>
      </ns0:c>
      <ns0:c r="G385" s="74" t="inlineStr">
        <ns0:is>
          <ns0:t>Standard</ns0:t>
        </ns0:is>
      </ns0:c>
      <ns0:c r="H385" s="75" t="n">
        <ns0:v>45967</ns0:v>
      </ns0:c>
      <ns0:c r="I385" s="76" t="n">
        <ns0:v>3412.2</ns0:v>
      </ns0:c>
      <ns0:c r="J385" s="74" t="inlineStr">
        <ns0:is>
          <ns0:t>gross (stated)</ns0:t>
        </ns0:is>
      </ns0:c>
      <ns0:c r="K385" s="95" t="n"/>
      <ns0:c r="L385" s="77" t="n">
        <ns0:v>23.6</ns0:v>
      </ns0:c>
      <ns0:c r="M385" s="77" t="n">
        <ns0:v>22</ns0:v>
      </ns0:c>
      <ns0:c r="N385" s="74" t="inlineStr">
        <ns0:is>
          <ns0:t>N</ns0:t>
        </ns0:is>
      </ns0:c>
      <ns0:c r="O385" s="78" t="n">
        <ns0:v>93.2</ns0:v>
      </ns0:c>
      <ns0:c r="P385" s="84" t="n"/>
      <ns0:c r="Q385" s="79" t="n">
        <ns0:v>26637</ns0:v>
      </ns0:c>
      <ns0:c r="R385" s="74" t="inlineStr">
        <ns0:is>
          <ns0:t>derived:deal size / offer % of enlarged capital</ns0:t>
        </ns0:is>
      </ns0:c>
      <ns0:c r="S385" s="80" t="n">
        <ns0:v>147.67</ns0:v>
      </ns0:c>
      <ns0:c r="T385" s="81" t="n">
        <ns0:v>9.779999999999999</ns0:v>
      </ns0:c>
      <ns0:c r="U385" s="82" t="n">
        <ns0:v>24.38</ns0:v>
      </ns0:c>
      <ns0:c r="V385" s="83" t="n">
        <ns0:v>129</ns0:v>
      </ns0:c>
      <ns0:c r="W385" s="78" t="n">
        <ns0:v>10</ns0:v>
      </ns0:c>
      <ns0:c r="X385" s="74" t="inlineStr">
        <ns0:is>
          <ns0:t>NA</ns0:t>
        </ns0:is>
      </ns0:c>
      <ns0:c r="Y385" s="79" t="n">
        <ns0:v>2580.31</ns0:v>
      </ns0:c>
      <ns0:c r="Z385" s="79" t="n">
        <ns0:v>117286620</ns0:v>
      </ns0:c>
      <ns0:c r="AA385" s="78" t="n">
        <ns0:v>9.69</ns0:v>
      </ns0:c>
      <ns0:c r="AB385" s="74" t="inlineStr">
        <ns0:is>
          <ns0:t>Jun Sheng SP; Ningbo Xinzhi Industrial Investment Co., Ltd; Jump Trading Pacific Pte. Ltd; Eastern Bell Capital VIII Investment Limited; PSBC Wealth Management Co., Ltd; Vandi Investments Limited; Fidelidade – Companhia de Seguros, S.A</ns0:t>
        </ns0:is>
      </ns0:c>
      <ns0:c r="AC385" s="74" t="inlineStr">
        <ns0:is>
          <ns0:t>jun;ningbo;jump;eastern-bell;psbc;vandi;fidelidade</ns0:t>
        </ns0:is>
      </ns0:c>
      <ns0:c r="AD385" s="78" t="n">
        <ns0:v>15</ns0:v>
      </ns0:c>
      <ns0:c r="AE385" s="74" t="inlineStr">
        <ns0:is>
          <ns0:t>lapsed</ns0:t>
        </ns0:is>
      </ns0:c>
      <ns0:c r="AF385" s="85" t="n"/>
      <ns0:c r="AG385" s="74" t="inlineStr">
        <ns0:is>
          <ns0:t>China International Capital Corporation Hong Kong Securities Limited</ns0:t>
        </ns0:is>
      </ns0:c>
      <ns0:c r="AH385" s="74" t="inlineStr">
        <ns0:is>
          <ns0:t>China International</ns0:t>
        </ns0:is>
      </ns0:c>
      <ns0:c r="AI385" s="86" t="n">
        <ns0:v>-2.73</ns0:v>
      </ns0:c>
      <ns0:c r="AJ385" s="87" t="n">
        <ns0:v>-8</ns0:v>
      </ns0:c>
      <ns0:c r="AK385" s="87" t="n">
        <ns0:v>2.34</ns0:v>
      </ns0:c>
      <ns0:c r="AL385" s="87" t="n">
        <ns0:v>-2.27</ns0:v>
      </ns0:c>
      <ns0:c r="AM385" s="87" t="n">
        <ns0:v>-5.86</ns0:v>
      </ns0:c>
      <ns0:c r="AN385" s="89" t="n">
        <ns0:v>2.24</ns0:v>
      </ns0:c>
      <ns0:c r="AO385" s="78" t="n">
        <ns0:v>7.67</ns0:v>
      </ns0:c>
      <ns0:c r="AP385" s="87" t="n">
        <ns0:v>-20.45</ns0:v>
      </ns0:c>
      <ns0:c r="AQ385" s="87" t="n">
        <ns0:v>-20.82</ns0:v>
      </ns0:c>
      <ns0:c r="AR385" s="87" t="n">
        <ns0:v>-22.86</ns0:v>
      </ns0:c>
      <ns0:c r="AS385" s="87" t="n">
        <ns0:v>-13.53</ns0:v>
      </ns0:c>
      <ns0:c r="AT385" s="87" t="n">
        <ns0:v>-13.93</ns0:v>
      </ns0:c>
      <ns0:c r="AU385" s="87" t="n">
        <ns0:v>-16.15</ns0:v>
      </ns0:c>
      <ns0:c r="AV385" s="87" t="n">
        <ns0:v>-24.17</ns0:v>
      </ns0:c>
      <ns0:c r="AW385" s="87" t="n">
        <ns0:v>-20.92</ns0:v>
      </ns0:c>
      <ns0:c r="AX385" s="87" t="n">
        <ns0:v>-20.29</ns0:v>
      </ns0:c>
      <ns0:c r="AY385" s="87" t="n">
        <ns0:v>-11.75</ns0:v>
      </ns0:c>
      <ns0:c r="AZ385" s="87" t="n">
        <ns0:v>0.1</ns0:v>
      </ns0:c>
      <ns0:c r="BA385" s="87" t="n">
        <ns0:v>-2.18</ns0:v>
      </ns0:c>
      <ns0:c r="BB385" s="74" t="inlineStr">
        <ns0:is>
          <ns0:t>Hang Seng Commerce &amp; Industry sub-index</ns0:t>
        </ns0:is>
      </ns0:c>
      <ns0:c r="BC385" s="87" t="n">
        <ns0:v>-44.59</ns0:v>
      </ns0:c>
      <ns0:c r="BD385" s="75" t="n">
        <ns0:v>46297</ns0:v>
      </ns0:c>
      <ns0:c r="BE385" s="76" t="n">
        <ns0:v>61449.9</ns0:v>
      </ns0:c>
      <ns0:c r="BF385" s="79" t="n">
        <ns0:v>1458.9</ns0:v>
      </ns0:c>
      <ns0:c r="BG385" s="74" t="inlineStr">
        <ns0:is>
          <ns0:t>Y</ns0:t>
        </ns0:is>
      </ns0:c>
      <ns0:c r="BH385" s="89" t="n">
        <ns0:v>18.3</ns0:v>
      </ns0:c>
      <ns0:c r="BI385" s="88" t="n"/>
      <ns0:c r="BJ385" s="88" t="n"/>
      <ns0:c r="BK385" s="89" t="n">
        <ns0:v>0.4</ns0:v>
      </ns0:c>
      <ns0:c r="BL385" s="90">
        <ns0:f>IFERROR(IF('BBG Verify'!S385="","Awaiting Bloomberg",'BBG Verify'!S385),"Awaiting Bloomberg")</ns0:f>
        <ns0:v/>
      </ns0:c>
      <ns0:c r="BM385" s="91" t="inlineStr">
        <ns0:is>
          <ns0:t>Y</ns0:t>
        </ns0:is>
      </ns0:c>
      <ns0:c r="BN385" s="74" t="inlineStr">
        <ns0:is>
          <ns0:t>600699.SS</ns0:t>
        </ns0:is>
      </ns0:c>
      <ns0:c r="BO385" s="87" t="n">
        <ns0:v>48.18</ns0:v>
      </ns0:c>
      <ns0:c r="BP385" s="77" t="n">
        <ns0:v>32.5992</ns0:v>
      </ns0:c>
      <ns0:c r="BQ385" s="101" t="n">
        <ns0:v>1.2523</ns0:v>
      </ns0:c>
      <ns0:c r="BR385" s="79" t="n">
        <ns0:v>42590.1</ns0:v>
      </ns0:c>
      <ns0:c r="BS385" s="90">
        <ns0:f>IFERROR(IF('BBG Verify'!Q385="","Awaiting Bloomberg",'BBG Verify'!Q385),"Awaiting Bloomberg")</ns0:f>
        <ns0:v/>
      </ns0:c>
      <ns0:c r="BT385" s="90">
        <ns0:f>IFERROR(IF('BBG Verify'!R385="","Awaiting Bloomberg",'BBG Verify'!R385),"Awaiting Bloomberg")</ns0:f>
        <ns0:v/>
      </ns0:c>
      <ns0:c r="BU385" s="91" t="inlineStr">
        <ns0:is>
          <ns0:t>China International Capital Corporation Hong Kong Securities Limited; UBS Securities Hong Kong Limited</ns0:t>
        </ns0:is>
      </ns0:c>
      <ns0:c r="BV385" s="74" t="inlineStr">
        <ns0:is>
          <ns0:t>China International Capital Corporation Hong Kong Securities Limited; UBS Securities Hong Kong Limited</ns0:t>
        </ns0:is>
      </ns0:c>
      <ns0:c r="BW385" s="74" t="inlineStr">
        <ns0:is>
          <ns0:t>China International Capital Corporation Hong Kong Securities Limited; UBS AG Hong Kong Branch; ABCI Capital Limited; China Renaissance Securities (Hong Kong) Limited</ns0:t>
        </ns0:is>
      </ns0:c>
      <ns0:c r="BX385" s="74" t="inlineStr">
        <ns0:is>
          <ns0:t>ABCI Securities Company Limited; China International Capital Corporation Hong Kong Securities Limited; China Renaissance Securities (Hong Kong) Limited; GF Securities (Hong Kong) Brokerage Limited; UBS AG Hong Kong Branch</ns0:t>
        </ns0:is>
      </ns0:c>
      <ns0:c r="BY385" s="93">
        <ns0:f>HYPERLINK("https://www1.hkexnews.hk/listedco/listconews/sehk/2025/1028/2025102800057.pdf","prospectus")</ns0:f>
        <ns0:v/>
      </ns0:c>
      <ns0:c r="BZ385" s="93">
        <ns0:f>HYPERLINK("https://www1.hkexnews.hk/listedco/listconews/sehk/2025/1105/2025110502028.pdf","allotment")</ns0:f>
        <ns0:v/>
      </ns0:c>
      <ns0:c r="CA385" s="93">
        <ns0:f>HYPERLINK("https://www1.hkexnews.hk/listedco/listconews/sehk/2025/1204/2025120402068.pdf","stabilisation")</ns0:f>
        <ns0:v/>
      </ns0:c>
      <ns0:c r="CB385" s="94" t="n"/>
      <ns0:c r="CC385" s="74" t="inlineStr">
        <ns0:is>
          <ns0:t>greenshoe: outcome published; expiry date not in the notice; range low: maximum offer price only, no floor published; A/H: Nov 2025 H listing (auto electronics/safety)</ns0:t>
        </ns0:is>
      </ns0:c>
    </ns0:row>
    <ns0:row r="386" ht="22" customHeight="1">
      <ns0:c r="A386" s="73" t="inlineStr">
        <ns0:is>
          <ns0:t>2698</ns0:t>
        </ns0:is>
      </ns0:c>
      <ns0:c r="B386" s="74" t="inlineStr">
        <ns0:is>
          <ns0:t>SOFTCARE</ns0:t>
        </ns0:is>
      </ns0:c>
      <ns0:c r="C386" s="74" t="inlineStr">
        <ns0:is>
          <ns0:t>樂舒適</ns0:t>
        </ns0:is>
      </ns0:c>
      <ns0:c r="D386" s="74" t="inlineStr">
        <ns0:is>
          <ns0:t>Consumer</ns0:t>
        </ns0:is>
      </ns0:c>
      <ns0:c r="E386" s="74" t="inlineStr">
        <ns0:is>
          <ns0:t>Retail / distribution</ns0:t>
        </ns0:is>
      </ns0:c>
      <ns0:c r="F386" s="74" t="inlineStr">
        <ns0:is>
          <ns0:t>Children's and Infant Products</ns0:t>
        </ns0:is>
      </ns0:c>
      <ns0:c r="G386" s="74" t="inlineStr">
        <ns0:is>
          <ns0:t>Standard</ns0:t>
        </ns0:is>
      </ns0:c>
      <ns0:c r="H386" s="75" t="n">
        <ns0:v>45971</ns0:v>
      </ns0:c>
      <ns0:c r="I386" s="76" t="n">
        <ns0:v>2381.16</ns0:v>
      </ns0:c>
      <ns0:c r="J386" s="74" t="inlineStr">
        <ns0:is>
          <ns0:t>gross (stated)</ns0:t>
        </ns0:is>
      </ns0:c>
      <ns0:c r="K386" s="77" t="n">
        <ns0:v>24.2</ns0:v>
      </ns0:c>
      <ns0:c r="L386" s="77" t="n">
        <ns0:v>26.2</ns0:v>
      </ns0:c>
      <ns0:c r="M386" s="77" t="n">
        <ns0:v>26.2</ns0:v>
      </ns0:c>
      <ns0:c r="N386" s="74" t="inlineStr">
        <ns0:is>
          <ns0:t>Y</ns0:t>
        </ns0:is>
      </ns0:c>
      <ns0:c r="O386" s="78" t="n">
        <ns0:v>100</ns0:v>
      </ns0:c>
      <ns0:c r="P386" s="78" t="n">
        <ns0:v>100</ns0:v>
      </ns0:c>
      <ns0:c r="Q386" s="79" t="n">
        <ns0:v>14662.4</ns0:v>
      </ns0:c>
      <ns0:c r="R386" s="74" t="inlineStr">
        <ns0:is>
          <ns0:t>prospectus:stated market capitalisation</ns0:t>
        </ns0:is>
      </ns0:c>
      <ns0:c r="S386" s="80" t="n">
        <ns0:v>1813.77</ns0:v>
      </ns0:c>
      <ns0:c r="T386" s="81" t="n">
        <ns0:v>34.33</ns0:v>
      </ns0:c>
      <ns0:c r="U386" s="82" t="n">
        <ns0:v>40.45</ns0:v>
      </ns0:c>
      <ns0:c r="V386" s="83" t="n">
        <ns0:v>277</ns0:v>
      </ns0:c>
      <ns0:c r="W386" s="78" t="n">
        <ns0:v>10</ns0:v>
      </ns0:c>
      <ns0:c r="X386" s="74" t="inlineStr">
        <ns0:is>
          <ns0:t>NO</ns0:t>
        </ns0:is>
      </ns0:c>
      <ns0:c r="Y386" s="79" t="n">
        <ns0:v>1417.98</ns0:v>
      </ns0:c>
      <ns0:c r="Z386" s="79" t="n">
        <ns0:v>54121422</ns0:v>
      </ns0:c>
      <ns0:c r="AA386" s="78" t="n">
        <ns0:v>9.67</ns0:v>
      </ns0:c>
      <ns0:c r="AB386" s="74" t="inlineStr">
        <ns0:is>
          <ns0:t>Arc Avenue; Beijing Shunao; CDH Emerging Markets; HCEP Funds; NewTrails Capital; NewTrails Forest; China Southern; Fullgoal Fund; E Fund Management Co., Ltd; E Fund HK; Charisma Mega; TruMed Healthcare; TruMed Innovation Fund; Qihui Runjin; ChinaAMC (HK)</ns0:t>
        </ns0:is>
      </ns0:c>
      <ns0:c r="AC386" s="74" t="inlineStr">
        <ns0:is>
          <ns0:t>arc;beijing-shunao;cdh;hcep;newtrails;southern;fullgoal;fund-management;fund-hk;charisma;trumed;qihui;chinaamc</ns0:t>
        </ns0:is>
      </ns0:c>
      <ns0:c r="AD386" s="78" t="n">
        <ns0:v>15</ns0:v>
      </ns0:c>
      <ns0:c r="AE386" s="74" t="inlineStr">
        <ns0:is>
          <ns0:t>full</ns0:t>
        </ns0:is>
      </ns0:c>
      <ns0:c r="AF386" s="74" t="inlineStr">
        <ns0:is>
          <ns0:t>2025-12-05</ns0:t>
        </ns0:is>
      </ns0:c>
      <ns0:c r="AG386" s="74" t="inlineStr">
        <ns0:is>
          <ns0:t>China International Capital Corporation Hong Kong Securities Limited</ns0:t>
        </ns0:is>
      </ns0:c>
      <ns0:c r="AH386" s="74" t="inlineStr">
        <ns0:is>
          <ns0:t>China International</ns0:t>
        </ns0:is>
      </ns0:c>
      <ns0:c r="AI386" s="86" t="n">
        <ns0:v>35.88</ns0:v>
      </ns0:c>
      <ns0:c r="AJ386" s="87" t="n">
        <ns0:v>25.95</ns0:v>
      </ns0:c>
      <ns0:c r="AK386" s="87" t="n">
        <ns0:v>1.88</ns0:v>
      </ns0:c>
      <ns0:c r="AL386" s="87" t="n">
        <ns0:v>33.51</ns0:v>
      </ns0:c>
      <ns0:c r="AM386" s="87" t="n">
        <ns0:v>-5.66</ns0:v>
      </ns0:c>
      <ns0:c r="AN386" s="89" t="n">
        <ns0:v>4.69</ns0:v>
      </ns0:c>
      <ns0:c r="AO386" s="78" t="n">
        <ns0:v>10.86</ns0:v>
      </ns0:c>
      <ns0:c r="AP386" s="87" t="n">
        <ns0:v>17.71</ns0:v>
      </ns0:c>
      <ns0:c r="AQ386" s="87" t="n">
        <ns0:v>14.5</ns0:v>
      </ns0:c>
      <ns0:c r="AR386" s="87" t="n">
        <ns0:v>17.1</ns0:v>
      </ns0:c>
      <ns0:c r="AS386" s="87" t="n">
        <ns0:v>-6.54</ns0:v>
      </ns0:c>
      <ns0:c r="AT386" s="87" t="n">
        <ns0:v>-9.09</ns0:v>
      </ns0:c>
      <ns0:c r="AU386" s="87" t="n">
        <ns0:v>-7.03</ns0:v>
      </ns0:c>
      <ns0:c r="AV386" s="87" t="n">
        <ns0:v>17.93</ns0:v>
      </ns0:c>
      <ns0:c r="AW386" s="87" t="n">
        <ns0:v>17.89</ns0:v>
      </ns0:c>
      <ns0:c r="AX386" s="87" t="n">
        <ns0:v>18.47</ns0:v>
      </ns0:c>
      <ns0:c r="AY386" s="87" t="n">
        <ns0:v>-3.92</ns0:v>
      </ns0:c>
      <ns0:c r="AZ386" s="87" t="n">
        <ns0:v>-3.39</ns0:v>
      </ns0:c>
      <ns0:c r="BA386" s="87" t="n">
        <ns0:v>-5.17</ns0:v>
      </ns0:c>
      <ns0:c r="BB386" s="74" t="inlineStr">
        <ns0:is>
          <ns0:t>Hang Seng Commerce &amp; Industry sub-index</ns0:t>
        </ns0:is>
      </ns0:c>
      <ns0:c r="BC386" s="87" t="n">
        <ns0:v>1.15</ns0:v>
      </ns0:c>
      <ns0:c r="BD386" s="75" t="n">
        <ns0:v>46297</ns0:v>
      </ns0:c>
      <ns0:c r="BE386" s="76" t="n">
        <ns0:v>3544.2</ns0:v>
      </ns0:c>
      <ns0:c r="BF386" s="79" t="n">
        <ns0:v>741.9</ns0:v>
      </ns0:c>
      <ns0:c r="BG386" s="74" t="inlineStr">
        <ns0:is>
          <ns0:t>Y</ns0:t>
        </ns0:is>
      </ns0:c>
      <ns0:c r="BH386" s="89" t="n">
        <ns0:v>19.8</ns0:v>
      </ns0:c>
      <ns0:c r="BI386" s="89" t="n">
        <ns0:v>22.3</ns0:v>
      </ns0:c>
      <ns0:c r="BJ386" s="89" t="n">
        <ns0:v>19.1</ns0:v>
      </ns0:c>
      <ns0:c r="BK386" s="89" t="n">
        <ns0:v>4.1</ns0:v>
      </ns0:c>
      <ns0:c r="BL386" s="90">
        <ns0:f>IFERROR(IF('BBG Verify'!S386="","Awaiting Bloomberg",'BBG Verify'!S386),"Awaiting Bloomberg")</ns0:f>
        <ns0:v/>
      </ns0:c>
      <ns0:c r="BM386" s="91" t="inlineStr">
        <ns0:is>
          <ns0:t>N</ns0:t>
        </ns0:is>
      </ns0:c>
      <ns0:c r="BN386" s="92">
        <ns0:f>IFERROR(IF('BBG Verify'!K386="","Awaiting Bloomberg",'BBG Verify'!K386),"Awaiting Bloomberg")</ns0:f>
        <ns0:v/>
      </ns0:c>
      <ns0:c r="BO386" s="74" t="inlineStr">
        <ns0:is>
          <ns0:t>N/A</ns0:t>
        </ns0:is>
      </ns0:c>
      <ns0:c r="BP386" s="74" t="inlineStr">
        <ns0:is>
          <ns0:t>N/A</ns0:t>
        </ns0:is>
      </ns0:c>
      <ns0:c r="BQ386" s="74" t="inlineStr">
        <ns0:is>
          <ns0:t>N/A</ns0:t>
        </ns0:is>
      </ns0:c>
      <ns0:c r="BR386" s="74" t="inlineStr">
        <ns0:is>
          <ns0:t>N/A</ns0:t>
        </ns0:is>
      </ns0:c>
      <ns0:c r="BS386" s="74" t="inlineStr">
        <ns0:is>
          <ns0:t>N/A</ns0:t>
        </ns0:is>
      </ns0:c>
      <ns0:c r="BT386" s="74" t="inlineStr">
        <ns0:is>
          <ns0:t>N/A</ns0:t>
        </ns0:is>
      </ns0:c>
      <ns0:c r="BU386" s="91" t="inlineStr">
        <ns0:is>
          <ns0:t>China International Capital Corporation Hong Kong Securities Limited; CITIC Securities (Hong Kong) Limited; GF Capital (Hong Kong) Limited</ns0:t>
        </ns0:is>
      </ns0:c>
      <ns0:c r="BV386" s="74" t="inlineStr">
        <ns0:is>
          <ns0:t>China International Capital Corporation Hong Kong Securities Limited; CITIC Securities (Hong Kong) Limited; GF Capital (Hong Kong) Limited</ns0:t>
        </ns0:is>
      </ns0:c>
      <ns0:c r="BW386" s="74" t="inlineStr">
        <ns0:is>
          <ns0:t>China International Capital Corporation Hong Kong Securities Limited; CLSA Limited; GF Securities (Hong Kong) Brokerage Limited</ns0:t>
        </ns0:is>
      </ns0:c>
      <ns0:c r="BX386" s="74" t="inlineStr">
        <ns0:is>
          <ns0:t>China International Capital Corporation Hong Kong Securities Limited; CLSA Limited; GF Securities (Hong Kong) Brokerage Limited</ns0:t>
        </ns0:is>
      </ns0:c>
      <ns0:c r="BY386" s="93">
        <ns0:f>HYPERLINK("https://www1.hkexnews.hk/listedco/listconews/sehk/2025/1031/2025103100021.pdf","prospectus")</ns0:f>
        <ns0:v/>
      </ns0:c>
      <ns0:c r="BZ386" s="93">
        <ns0:f>HYPERLINK("https://www1.hkexnews.hk/listedco/listconews/sehk/2025/1107/2025110701708.pdf","allotment")</ns0:f>
        <ns0:v/>
      </ns0:c>
      <ns0:c r="CA386" s="93">
        <ns0:f>HYPERLINK("https://www1.hkexnews.hk/listedco/listconews/sehk/2025/1205/2025120501683.pdf","stabilisation")</ns0:f>
        <ns0:v/>
      </ns0:c>
      <ns0:c r="CB386" s="94" t="n"/>
      <ns0:c r="CC386" s="74" t="inlineStr"/>
    </ns0:row>
    <ns0:row r="387" ht="22" customHeight="1">
      <ns0:c r="A387" s="73" t="inlineStr">
        <ns0:is>
          <ns0:t>2579</ns0:t>
        </ns0:is>
      </ns0:c>
      <ns0:c r="B387" s="74" t="inlineStr">
        <ns0:is>
          <ns0:t>CNGR</ns0:t>
        </ns0:is>
      </ns0:c>
      <ns0:c r="C387" s="74" t="inlineStr">
        <ns0:is>
          <ns0:t>中偉新材</ns0:t>
        </ns0:is>
      </ns0:c>
      <ns0:c r="D387" s="74" t="inlineStr">
        <ns0:is>
          <ns0:t>Industrials</ns0:t>
        </ns0:is>
      </ns0:c>
      <ns0:c r="E387" s="74" t="inlineStr">
        <ns0:is>
          <ns0:t>Batteries / energy storage</ns0:t>
        </ns0:is>
      </ns0:c>
      <ns0:c r="F387" s="74" t="inlineStr">
        <ns0:is>
          <ns0:t>Diversified Chemicals</ns0:t>
        </ns0:is>
      </ns0:c>
      <ns0:c r="G387" s="74" t="inlineStr">
        <ns0:is>
          <ns0:t>Standard</ns0:t>
        </ns0:is>
      </ns0:c>
      <ns0:c r="H387" s="75" t="n">
        <ns0:v>45978</ns0:v>
      </ns0:c>
      <ns0:c r="I387" s="76" t="n">
        <ns0:v>3543.7</ns0:v>
      </ns0:c>
      <ns0:c r="J387" s="74" t="inlineStr">
        <ns0:is>
          <ns0:t>gross (price x shares)</ns0:t>
        </ns0:is>
      </ns0:c>
      <ns0:c r="K387" s="95" t="n"/>
      <ns0:c r="L387" s="77" t="n">
        <ns0:v>37.8</ns0:v>
      </ns0:c>
      <ns0:c r="M387" s="77" t="n">
        <ns0:v>34</ns0:v>
      </ns0:c>
      <ns0:c r="N387" s="74" t="inlineStr">
        <ns0:is>
          <ns0:t>N</ns0:t>
        </ns0:is>
      </ns0:c>
      <ns0:c r="O387" s="78" t="n">
        <ns0:v>89.90000000000001</ns0:v>
      </ns0:c>
      <ns0:c r="P387" s="84" t="n"/>
      <ns0:c r="Q387" s="79" t="n">
        <ns0:v>38999</ns0:v>
      </ns0:c>
      <ns0:c r="R387" s="74" t="inlineStr">
        <ns0:is>
          <ns0:t>aastocks:上市市值 at the struck price</ns0:t>
        </ns0:is>
      </ns0:c>
      <ns0:c r="S387" s="80" t="n">
        <ns0:v>27.9</ns0:v>
      </ns0:c>
      <ns0:c r="T387" s="81" t="n">
        <ns0:v>4.08</ns0:v>
      </ns0:c>
      <ns0:c r="U387" s="82" t="n">
        <ns0:v>25.36</ns0:v>
      </ns0:c>
      <ns0:c r="V387" s="83" t="n">
        <ns0:v>81</ns0:v>
      </ns0:c>
      <ns0:c r="W387" s="78" t="n">
        <ns0:v>10</ns0:v>
      </ns0:c>
      <ns0:c r="X387" s="74" t="inlineStr">
        <ns0:is>
          <ns0:t>NO</ns0:t>
        </ns0:is>
      </ns0:c>
      <ns0:c r="Y387" s="79" t="n">
        <ns0:v>2645.02</ns0:v>
      </ns0:c>
      <ns0:c r="Z387" s="79" t="n">
        <ns0:v>77793839</ns0:v>
      </ns0:c>
      <ns0:c r="AA387" s="78" t="n">
        <ns0:v>6.78</ns0:v>
      </ns0:c>
      <ns0:c r="AB387" s="74" t="inlineStr">
        <ns0:is>
          <ns0:t>Pointer Investment (Hong Kong) Limited; CALB Group Co., Ltd; Dongsheng Pulead Technology and Guotai Junan Investments (Hong Kong) Limited (in connection with Dongsheng Pulead OTC Swaps); Shanghai Gaoyi and Huatai Capital Investment Limited (in connection with Gaoyi OTC Swaps); Hunan Xingxiang Emerging Industry Investment Fund Partnership (Limited Partnership); Lens International (HK) Limited</ns0:t>
        </ns0:is>
      </ns0:c>
      <ns0:c r="AC387" s="74" t="inlineStr">
        <ns0:is>
          <ns0:t>pointer;calb;dongsheng;shanghai-gaoyi;hunan;lens</ns0:t>
        </ns0:is>
      </ns0:c>
      <ns0:c r="AD387" s="78" t="n">
        <ns0:v>15</ns0:v>
      </ns0:c>
      <ns0:c r="AE387" s="74" t="inlineStr">
        <ns0:is>
          <ns0:t>lapsed</ns0:t>
        </ns0:is>
      </ns0:c>
      <ns0:c r="AF387" s="85" t="n"/>
      <ns0:c r="AG387" s="74" t="inlineStr">
        <ns0:is>
          <ns0:t>Morgan Stanley Asia Limited</ns0:t>
        </ns0:is>
      </ns0:c>
      <ns0:c r="AH387" s="74" t="inlineStr">
        <ns0:is>
          <ns0:t>Morgan Stanley</ns0:t>
        </ns0:is>
      </ns0:c>
      <ns0:c r="AI387" s="105" t="n">
        <ns0:v>-2.41</ns0:v>
      </ns0:c>
      <ns0:c r="AJ387" s="87" t="n">
        <ns0:v>-0.12</ns0:v>
      </ns0:c>
      <ns0:c r="AK387" s="87" t="n">
        <ns0:v>-0.65</ns0:v>
      </ns0:c>
      <ns0:c r="AL387" s="87" t="n">
        <ns0:v>0</ns0:v>
      </ns0:c>
      <ns0:c r="AM387" s="87" t="n">
        <ns0:v>-0.12</ns0:v>
      </ns0:c>
      <ns0:c r="AN387" s="89" t="n">
        <ns0:v>1.64</ns0:v>
      </ns0:c>
      <ns0:c r="AO387" s="78" t="n">
        <ns0:v>5.88</ns0:v>
      </ns0:c>
      <ns0:c r="AP387" s="87" t="n">
        <ns0:v>-10.88</ns0:v>
      </ns0:c>
      <ns0:c r="AQ387" s="87" t="n">
        <ns0:v>-22.65</ns0:v>
      </ns0:c>
      <ns0:c r="AR387" s="87" t="n">
        <ns0:v>2.53</ns0:v>
      </ns0:c>
      <ns0:c r="AS387" s="87" t="n">
        <ns0:v>-10.77</ns0:v>
      </ns0:c>
      <ns0:c r="AT387" s="87" t="n">
        <ns0:v>-22.56</ns0:v>
      </ns0:c>
      <ns0:c r="AU387" s="87" t="n">
        <ns0:v>2.65</ns0:v>
      </ns0:c>
      <ns0:c r="AV387" s="87" t="n">
        <ns0:v>-7.61</ns0:v>
      </ns0:c>
      <ns0:c r="AW387" s="87" t="n">
        <ns0:v>-16.86</ns0:v>
      </ns0:c>
      <ns0:c r="AX387" s="87" t="n">
        <ns0:v>7.46</ns0:v>
      </ns0:c>
      <ns0:c r="AY387" s="87" t="n">
        <ns0:v>-17.38</ns0:v>
      </ns0:c>
      <ns0:c r="AZ387" s="87" t="n">
        <ns0:v>-5.79</ns0:v>
      </ns0:c>
      <ns0:c r="BA387" s="87" t="n">
        <ns0:v>-5.18</ns0:v>
      </ns0:c>
      <ns0:c r="BB387" s="74" t="inlineStr">
        <ns0:is>
          <ns0:t>Hang Seng Commerce &amp; Industry sub-index</ns0:t>
        </ns0:is>
      </ns0:c>
      <ns0:c r="BC387" s="87" t="n">
        <ns0:v>-39.12</ns0:v>
      </ns0:c>
      <ns0:c r="BD387" s="75" t="n">
        <ns0:v>46297</ns0:v>
      </ns0:c>
      <ns0:c r="BE387" s="76" t="n">
        <ns0:v>44245.2</ns0:v>
      </ns0:c>
      <ns0:c r="BF387" s="79" t="n">
        <ns0:v>1966.5</ns0:v>
      </ns0:c>
      <ns0:c r="BG387" s="74" t="inlineStr">
        <ns0:is>
          <ns0:t>Y</ns0:t>
        </ns0:is>
      </ns0:c>
      <ns0:c r="BH387" s="89" t="n">
        <ns0:v>19.8</ns0:v>
      </ns0:c>
      <ns0:c r="BI387" s="89" t="n">
        <ns0:v>21.5</ns0:v>
      </ns0:c>
      <ns0:c r="BJ387" s="89" t="n">
        <ns0:v>13.4</ns0:v>
      </ns0:c>
      <ns0:c r="BK387" s="89" t="n">
        <ns0:v>0.9</ns0:v>
      </ns0:c>
      <ns0:c r="BL387" s="90">
        <ns0:f>IFERROR(IF('BBG Verify'!S387="","Awaiting Bloomberg",'BBG Verify'!S387),"Awaiting Bloomberg")</ns0:f>
        <ns0:v/>
      </ns0:c>
      <ns0:c r="BM387" s="91" t="inlineStr">
        <ns0:is>
          <ns0:t>Y</ns0:t>
        </ns0:is>
      </ns0:c>
      <ns0:c r="BN387" s="74" t="inlineStr">
        <ns0:is>
          <ns0:t>300919.SZ</ns0:t>
        </ns0:is>
      </ns0:c>
      <ns0:c r="BO387" s="87" t="n">
        <ns0:v>59.33</ns0:v>
      </ns0:c>
      <ns0:c r="BP387" s="77" t="n">
        <ns0:v>54.1727</ns0:v>
      </ns0:c>
      <ns0:c r="BQ387" s="101" t="n">
        <ns0:v>1.1053</ns0:v>
      </ns0:c>
      <ns0:c r="BR387" s="79" t="n">
        <ns0:v>45540.2</ns0:v>
      </ns0:c>
      <ns0:c r="BS387" s="90">
        <ns0:f>IFERROR(IF('BBG Verify'!Q387="","Awaiting Bloomberg",'BBG Verify'!Q387),"Awaiting Bloomberg")</ns0:f>
        <ns0:v/>
      </ns0:c>
      <ns0:c r="BT387" s="90">
        <ns0:f>IFERROR(IF('BBG Verify'!R387="","Awaiting Bloomberg",'BBG Verify'!R387),"Awaiting Bloomberg")</ns0:f>
        <ns0:v/>
      </ns0:c>
      <ns0:c r="BU387" s="91" t="inlineStr">
        <ns0:is>
          <ns0:t>Morgan Stanley Asia Limited; Huatai Financial Holdings (Hong Kong) Limited</ns0:t>
        </ns0:is>
      </ns0:c>
      <ns0:c r="BV387" s="74" t="inlineStr">
        <ns0:is>
          <ns0:t>Morgan Stanley Asia Limited; Huatai Financial Holdings (Hong Kong) Limited</ns0:t>
        </ns0:is>
      </ns0:c>
      <ns0:c r="BW387" s="74" t="inlineStr">
        <ns0:is>
          <ns0:t>Morgan Stanley Asia Limited; Huatai Financial Holdings (Hong Kong) Limited; China International Capital Corporation Hong Kong Securities Limited; BNP Paribas Securities (Asia) Limited; ABCI CAPITAL LIMITED; BOCI Asia Limited; ICBC International Securities Limited; CCB International Capital Limited; Mizuho Securities Asia Limited; Tiger Brokers (HK) Global Limited</ns0:t>
        </ns0:is>
      </ns0:c>
      <ns0:c r="BX387" s="74" t="inlineStr">
        <ns0:is>
          <ns0: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ns0:t>
        </ns0:is>
      </ns0:c>
      <ns0:c r="BY387" s="93">
        <ns0:f>HYPERLINK("https://www1.hkexnews.hk/listedco/listconews/sehk/2025/1107/2025110700058.htm","prospectus")</ns0:f>
        <ns0:v/>
      </ns0:c>
      <ns0:c r="BZ387" s="93">
        <ns0:f>HYPERLINK("https://www1.hkexnews.hk/listedco/listconews/sehk/2025/1116/2025111600003.pdf","allotment")</ns0:f>
        <ns0:v/>
      </ns0:c>
      <ns0:c r="CA387" s="93">
        <ns0:f>HYPERLINK("https://www1.hkexnews.hk/listedco/listconews/sehk/2025/1212/2025121200406.pdf","stabilisation")</ns0:f>
        <ns0:v/>
      </ns0:c>
      <ns0:c r="CB387" s="94" t="n"/>
      <ns0:c r="CC387" s="74" t="inlineStr">
        <ns0:is>
          <ns0:t>greenshoe: outcome published; expiry date not in the notice; range low: maximum offer price only, no floor published; A/H: Nov 2025 H listing (battery precursor materials)</ns0:t>
        </ns0:is>
      </ns0:c>
    </ns0:row>
    <ns0:row r="388" ht="22" customHeight="1">
      <ns0:c r="A388" s="73" t="inlineStr">
        <ns0:is>
          <ns0:t>2788</ns0:t>
        </ns0:is>
      </ns0:c>
      <ns0:c r="B388" s="74" t="inlineStr">
        <ns0:is>
          <ns0:t>CHUANGXIN IND</ns0:t>
        </ns0:is>
      </ns0:c>
      <ns0:c r="C388" s="74" t="inlineStr">
        <ns0:is>
          <ns0:t>創新實業</ns0:t>
        </ns0:is>
      </ns0:c>
      <ns0:c r="D388" s="74" t="inlineStr">
        <ns0:is>
          <ns0:t>Materials/Energy</ns0:t>
        </ns0:is>
      </ns0:c>
      <ns0:c r="E388" s="74" t="inlineStr">
        <ns0:is>
          <ns0:t>Mining / metals</ns0:t>
        </ns0:is>
      </ns0:c>
      <ns0:c r="F388" s="74" t="inlineStr">
        <ns0:is>
          <ns0:t>Aluminum</ns0:t>
        </ns0:is>
      </ns0:c>
      <ns0:c r="G388" s="74" t="inlineStr">
        <ns0:is>
          <ns0:t>Standard</ns0:t>
        </ns0:is>
      </ns0:c>
      <ns0:c r="H388" s="75" t="n">
        <ns0:v>45985</ns0:v>
      </ns0:c>
      <ns0:c r="I388" s="76" t="n">
        <ns0:v>5495</ns0:v>
      </ns0:c>
      <ns0:c r="J388" s="74" t="inlineStr">
        <ns0:is>
          <ns0:t>gross (stated)</ns0:t>
        </ns0:is>
      </ns0:c>
      <ns0:c r="K388" s="77" t="n">
        <ns0:v>10.18</ns0:v>
      </ns0:c>
      <ns0:c r="L388" s="77" t="n">
        <ns0:v>10.99</ns0:v>
      </ns0:c>
      <ns0:c r="M388" s="77" t="n">
        <ns0:v>10.99</ns0:v>
      </ns0:c>
      <ns0:c r="N388" s="74" t="inlineStr">
        <ns0:is>
          <ns0:t>Y</ns0:t>
        </ns0:is>
      </ns0:c>
      <ns0:c r="O388" s="78" t="n">
        <ns0:v>100</ns0:v>
      </ns0:c>
      <ns0:c r="P388" s="78" t="n">
        <ns0:v>100</ns0:v>
      </ns0:c>
      <ns0:c r="Q388" s="79" t="n">
        <ns0:v>19837.5</ns0:v>
      </ns0:c>
      <ns0:c r="R388" s="74" t="inlineStr">
        <ns0:is>
          <ns0:t>derived:deal size / offer % of enlarged capital</ns0:t>
        </ns0:is>
      </ns0:c>
      <ns0:c r="S388" s="80" t="n">
        <ns0:v>447.2</ns0:v>
      </ns0:c>
      <ns0:c r="T388" s="81" t="n">
        <ns0:v>19.85</ns0:v>
      </ns0:c>
      <ns0:c r="U388" s="82" t="n">
        <ns0:v>49.66</ns0:v>
      </ns0:c>
      <ns0:c r="V388" s="83" t="n">
        <ns0:v>219</ns0:v>
      </ns0:c>
      <ns0:c r="W388" s="78" t="n">
        <ns0:v>10</ns0:v>
      </ns0:c>
      <ns0:c r="X388" s="74" t="inlineStr">
        <ns0:is>
          <ns0:t>NA</ns0:t>
        </ns0:is>
      </ns0:c>
      <ns0:c r="Y388" s="79" t="n">
        <ns0:v>2766.18</ns0:v>
      </ns0:c>
      <ns0:c r="Z388" s="79" t="n">
        <ns0:v>251700000</ns0:v>
      </ns0:c>
      <ns0:c r="AA388" s="78" t="n">
        <ns0:v>13.94</ns0:v>
      </ns0:c>
      <ns0:c r="AB388" s="74" t="inlineStr">
        <ns0:is>
          <ns0:t>China Hongqiao Group Limited; Taikang Life; Glencore AG; Mercuria Holdings (Singapore) Pte. Ltd; HK Greenwoods; Shanghai Greenwoods and CICC FT (in connection with Greenwoods OTC Swaps); Turquoise Hime (ORIX); Investcorp; CPIC IMHK; GF Fund; Fullgoal HK and Fullgoal Fund; Millennium ICSA; Jane Street; Polymer; Pointer Investment; Brilliant Partners Fund LP and China Core Fund; Cephei Capital</ns0:t>
        </ns0:is>
      </ns0:c>
      <ns0:c r="AC388" s="74" t="inlineStr">
        <ns0:is>
          <ns0:t>hongqiao;taikang;glencore;mercuria;greenwoods;shanghai-greenwoods;turquoise;investcorp;cpic;gf;fullgoal;millennium;jane;polymer;pointer;brilliant;cephei</ns0:t>
        </ns0:is>
      </ns0:c>
      <ns0:c r="AD388" s="78" t="n">
        <ns0:v>15</ns0:v>
      </ns0:c>
      <ns0:c r="AE388" s="74" t="inlineStr">
        <ns0:is>
          <ns0:t>full</ns0:t>
        </ns0:is>
      </ns0:c>
      <ns0:c r="AF388" s="74" t="inlineStr">
        <ns0:is>
          <ns0:t>2025-12-19</ns0:t>
        </ns0:is>
      </ns0:c>
      <ns0:c r="AG388" s="74" t="inlineStr">
        <ns0:is>
          <ns0:t>China International Capital Corporation Hong Kong Securities Limited</ns0:t>
        </ns0:is>
      </ns0:c>
      <ns0:c r="AH388" s="74" t="inlineStr">
        <ns0:is>
          <ns0:t>China International</ns0:t>
        </ns0:is>
      </ns0:c>
      <ns0:c r="AI388" s="86" t="n">
        <ns0:v>30.57</ns0:v>
      </ns0:c>
      <ns0:c r="AJ388" s="87" t="n">
        <ns0:v>32.76</ns0:v>
      </ns0:c>
      <ns0:c r="AK388" s="87" t="n">
        <ns0:v>2.25</ns0:v>
      </ns0:c>
      <ns0:c r="AL388" s="87" t="n">
        <ns0:v>38.31</ns0:v>
      </ns0:c>
      <ns0:c r="AM388" s="87" t="n">
        <ns0:v>-4.01</ns0:v>
      </ns0:c>
      <ns0:c r="AN388" s="89" t="n">
        <ns0:v>3.41</ns0:v>
      </ns0:c>
      <ns0:c r="AO388" s="78" t="n">
        <ns0:v>10.66</ns0:v>
      </ns0:c>
      <ns0:c r="AP388" s="87" t="n">
        <ns0:v>59.42</ns0:v>
      </ns0:c>
      <ns0:c r="AQ388" s="87" t="n">
        <ns0:v>78.34</ns0:v>
      </ns0:c>
      <ns0:c r="AR388" s="87" t="n">
        <ns0:v>115.65</ns0:v>
      </ns0:c>
      <ns0:c r="AS388" s="87" t="n">
        <ns0:v>20.08</ns0:v>
      </ns0:c>
      <ns0:c r="AT388" s="87" t="n">
        <ns0:v>34.33</ns0:v>
      </ns0:c>
      <ns0:c r="AU388" s="87" t="n">
        <ns0:v>62.44</ns0:v>
      </ns0:c>
      <ns0:c r="AV388" s="87" t="n">
        <ns0:v>55.74</ns0:v>
      </ns0:c>
      <ns0:c r="AW388" s="87" t="n">
        <ns0:v>77.44</ns0:v>
      </ns0:c>
      <ns0:c r="AX388" s="87" t="n">
        <ns0:v>115.98</ns0:v>
      </ns0:c>
      <ns0:c r="AY388" s="87" t="n">
        <ns0:v>35.65</ns0:v>
      </ns0:c>
      <ns0:c r="AZ388" s="87" t="n">
        <ns0:v>0.9</ns0:v>
      </ns0:c>
      <ns0:c r="BA388" s="87" t="n">
        <ns0:v>-1.32</ns0:v>
      </ns0:c>
      <ns0:c r="BB388" s="74" t="inlineStr">
        <ns0:is>
          <ns0:t>Hang Seng Commerce &amp; Industry sub-index</ns0:t>
        </ns0:is>
      </ns0:c>
      <ns0:c r="BC388" s="87" t="n">
        <ns0:v>35.4</ns0:v>
      </ns0:c>
      <ns0:c r="BD388" s="75" t="n">
        <ns0:v>46297</ns0:v>
      </ns0:c>
      <ns0:c r="BE388" s="76" t="n">
        <ns0:v>16679.5</ns0:v>
      </ns0:c>
      <ns0:c r="BF388" s="79" t="n">
        <ns0:v>2261.8</ns0:v>
      </ns0:c>
      <ns0:c r="BG388" s="74" t="inlineStr">
        <ns0:is>
          <ns0:t>Y</ns0:t>
        </ns0:is>
      </ns0:c>
      <ns0:c r="BH388" s="89" t="n">
        <ns0:v>8.800000000000001</ns0:v>
      </ns0:c>
      <ns0:c r="BI388" s="88" t="n"/>
      <ns0:c r="BJ388" s="88" t="n"/>
      <ns0:c r="BK388" s="89" t="n">
        <ns0:v>1.2</ns0:v>
      </ns0:c>
      <ns0:c r="BL388" s="90">
        <ns0:f>IFERROR(IF('BBG Verify'!S388="","Awaiting Bloomberg",'BBG Verify'!S388),"Awaiting Bloomberg")</ns0:f>
        <ns0:v/>
      </ns0:c>
      <ns0:c r="BM388" s="91" t="inlineStr">
        <ns0:is>
          <ns0:t>N</ns0:t>
        </ns0:is>
      </ns0:c>
      <ns0:c r="BN388" s="92">
        <ns0:f>IFERROR(IF('BBG Verify'!K388="","Awaiting Bloomberg",'BBG Verify'!K388),"Awaiting Bloomberg")</ns0:f>
        <ns0:v/>
      </ns0:c>
      <ns0:c r="BO388" s="74" t="inlineStr">
        <ns0:is>
          <ns0:t>N/A</ns0:t>
        </ns0:is>
      </ns0:c>
      <ns0:c r="BP388" s="74" t="inlineStr">
        <ns0:is>
          <ns0:t>N/A</ns0:t>
        </ns0:is>
      </ns0:c>
      <ns0:c r="BQ388" s="74" t="inlineStr">
        <ns0:is>
          <ns0:t>N/A</ns0:t>
        </ns0:is>
      </ns0:c>
      <ns0:c r="BR388" s="74" t="inlineStr">
        <ns0:is>
          <ns0:t>N/A</ns0:t>
        </ns0:is>
      </ns0:c>
      <ns0:c r="BS388" s="74" t="inlineStr">
        <ns0:is>
          <ns0:t>N/A</ns0:t>
        </ns0:is>
      </ns0:c>
      <ns0:c r="BT388" s="74" t="inlineStr">
        <ns0:is>
          <ns0:t>N/A</ns0:t>
        </ns0:is>
      </ns0:c>
      <ns0:c r="BU388" s="91" t="inlineStr">
        <ns0:is>
          <ns0:t>China International Capital Corporation Hong Kong Securities Limited; Huatai Financial Holdings (Hong Kong) Limited</ns0:t>
        </ns0:is>
      </ns0:c>
      <ns0:c r="BV388" s="74" t="inlineStr">
        <ns0:is>
          <ns0:t>China International Capital Corporation Hong Kong Securities Limited; Huatai Financial Holdings (Hong Kong) Limited</ns0:t>
        </ns0:is>
      </ns0:c>
      <ns0:c r="BW388" s="74" t="inlineStr">
        <ns0:is>
          <ns0:t>China International Capital Corporation Hong Kong Securities Limited; Huatai Financial Holdings (Hong Kong) Limited; CMB International Capital Limited; UOB Kay Hian (Hong Kong) Limited; BOCI Asia Limited; South China Securities Limited</ns0:t>
        </ns0:is>
      </ns0:c>
      <ns0:c r="BX388" s="74" t="inlineStr">
        <ns0:is>
          <ns0: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ns0:t>
        </ns0:is>
      </ns0:c>
      <ns0:c r="BY388" s="93">
        <ns0:f>HYPERLINK("https://www1.hkexnews.hk/listedco/listconews/sehk/2025/1114/2025111400009.pdf","prospectus")</ns0:f>
        <ns0:v/>
      </ns0:c>
      <ns0:c r="BZ388" s="93">
        <ns0:f>HYPERLINK("https://www1.hkexnews.hk/listedco/listconews/sehk/2025/1121/2025112101421.pdf","allotment")</ns0:f>
        <ns0:v/>
      </ns0:c>
      <ns0:c r="CA388" s="93">
        <ns0:f>HYPERLINK("https://www1.hkexnews.hk/listedco/listconews/sehk/2025/1219/2025121901467.pdf","stabilisation")</ns0:f>
        <ns0:v/>
      </ns0:c>
      <ns0:c r="CB388" s="94" t="n"/>
      <ns0:c r="CC388" s="74" t="inlineStr"/>
    </ns0:row>
    <ns0:row r="389" ht="22" customHeight="1">
      <ns0:c r="A389" s="73" t="inlineStr">
        <ns0:is>
          <ns0:t>2685</ns0:t>
        </ns0:is>
      </ns0:c>
      <ns0:c r="B389" s="74" t="inlineStr">
        <ns0:is>
          <ns0:t>QUANTGROUP</ns0:t>
        </ns0:is>
      </ns0:c>
      <ns0:c r="C389" s="74" t="inlineStr">
        <ns0:is>
          <ns0:t>量化派</ns0:t>
        </ns0:is>
      </ns0:c>
      <ns0:c r="D389" s="74" t="inlineStr">
        <ns0:is>
          <ns0:t>Technology</ns0:t>
        </ns0:is>
      </ns0:c>
      <ns0:c r="E389" s="74" t="inlineStr">
        <ns0:is>
          <ns0:t>Internet &amp; fintech</ns0:t>
        </ns0:is>
      </ns0:c>
      <ns0:c r="F389" s="74" t="inlineStr">
        <ns0:is>
          <ns0:t>e-Commerce &amp; Internet Services</ns0:t>
        </ns0:is>
      </ns0:c>
      <ns0:c r="G389" s="74" t="inlineStr">
        <ns0:is>
          <ns0:t>Standard</ns0:t>
        </ns0:is>
      </ns0:c>
      <ns0:c r="H389" s="75" t="n">
        <ns0:v>45988</ns0:v>
      </ns0:c>
      <ns0:c r="I389" s="76" t="n">
        <ns0:v>130.81</ns0:v>
      </ns0:c>
      <ns0:c r="J389" s="74" t="inlineStr">
        <ns0:is>
          <ns0:t>gross (stated)</ns0:t>
        </ns0:is>
      </ns0:c>
      <ns0:c r="K389" s="77" t="n">
        <ns0:v>8.800000000000001</ns0:v>
      </ns0:c>
      <ns0:c r="L389" s="77" t="n">
        <ns0:v>9.800000000000001</ns0:v>
      </ns0:c>
      <ns0:c r="M389" s="77" t="n">
        <ns0:v>9.800000000000001</ns0:v>
      </ns0:c>
      <ns0:c r="N389" s="74" t="inlineStr">
        <ns0:is>
          <ns0:t>Y</ns0:t>
        </ns0:is>
      </ns0:c>
      <ns0:c r="O389" s="78" t="n">
        <ns0:v>100</ns0:v>
      </ns0:c>
      <ns0:c r="P389" s="78" t="n">
        <ns0:v>100</ns0:v>
      </ns0:c>
      <ns0:c r="Q389" s="79" t="n">
        <ns0:v>5031.2</ns0:v>
      </ns0:c>
      <ns0:c r="R389" s="74" t="inlineStr">
        <ns0:is>
          <ns0:t>derived:deal size / offer % of enlarged capital</ns0:t>
        </ns0:is>
      </ns0:c>
      <ns0:c r="S389" s="80" t="n">
        <ns0:v>9366.280000000001</ns0:v>
      </ns0:c>
      <ns0:c r="T389" s="81" t="n">
        <ns0:v>15.07</ns0:v>
      </ns0:c>
      <ns0:c r="U389" s="82" t="n">
        <ns0:v>0</ns0:v>
      </ns0:c>
      <ns0:c r="V389" s="83" t="n">
        <ns0:v>97</ns0:v>
      </ns0:c>
      <ns0:c r="W389" s="78" t="n">
        <ns0:v>10</ns0:v>
      </ns0:c>
      <ns0:c r="X389" s="74" t="inlineStr">
        <ns0:is>
          <ns0:t>NO</ns0:t>
        </ns0:is>
      </ns0:c>
      <ns0:c r="Y389" s="79" t="n">
        <ns0:v>130.81</ns0:v>
      </ns0:c>
      <ns0:c r="Z389" s="97" t="n"/>
      <ns0:c r="AA389" s="78" t="n">
        <ns0:v>2.6</ns0:v>
      </ns0:c>
      <ns0:c r="AB389" s="74" t="inlineStr">
        <ns0:is>
          <ns0:t>none — no cornerstone tranche</ns0:t>
        </ns0:is>
      </ns0:c>
      <ns0:c r="AC389" s="74" t="inlineStr">
        <ns0:is>
          <ns0:t>none</ns0:t>
        </ns0:is>
      </ns0:c>
      <ns0:c r="AD389" s="78" t="n">
        <ns0:v>15</ns0:v>
      </ns0:c>
      <ns0:c r="AE389" s="74" t="inlineStr">
        <ns0:is>
          <ns0:t>partial</ns0:t>
        </ns0:is>
      </ns0:c>
      <ns0:c r="AF389" s="74" t="inlineStr">
        <ns0:is>
          <ns0:t>2025-12-24</ns0:t>
        </ns0:is>
      </ns0:c>
      <ns0:c r="AG389" s="74" t="inlineStr">
        <ns0:is>
          <ns0:t>China International Capital Corporation Hong Kong Securities Limited</ns0:t>
        </ns0:is>
      </ns0:c>
      <ns0:c r="AH389" s="74" t="inlineStr">
        <ns0:is>
          <ns0:t>China International</ns0:t>
        </ns0:is>
      </ns0:c>
      <ns0:c r="AI389" s="86" t="n">
        <ns0:v>185.71</ns0:v>
      </ns0:c>
      <ns0:c r="AJ389" s="87" t="n">
        <ns0:v>88.78</ns0:v>
      </ns0:c>
      <ns0:c r="AK389" s="87" t="n">
        <ns0:v>-0.36</ns0:v>
      </ns0:c>
      <ns0:c r="AL389" s="87" t="n">
        <ns0:v>165.31</ns0:v>
      </ns0:c>
      <ns0:c r="AM389" s="87" t="n">
        <ns0:v>-28.85</ns0:v>
      </ns0:c>
      <ns0:c r="AN389" s="89" t="n">
        <ns0:v>3.67</ns0:v>
      </ns0:c>
      <ns0:c r="AO389" s="78" t="n">
        <ns0:v>36.54</ns0:v>
      </ns0:c>
      <ns0:c r="AP389" s="87" t="n">
        <ns0:v>189.8</ns0:v>
      </ns0:c>
      <ns0:c r="AQ389" s="87" t="n">
        <ns0:v>177.76</ns0:v>
      </ns0:c>
      <ns0:c r="AR389" s="87" t="n">
        <ns0:v>208.98</ns0:v>
      </ns0:c>
      <ns0:c r="AS389" s="87" t="n">
        <ns0:v>53.51</ns0:v>
      </ns0:c>
      <ns0:c r="AT389" s="87" t="n">
        <ns0:v>47.13</ns0:v>
      </ns0:c>
      <ns0:c r="AU389" s="87" t="n">
        <ns0:v>63.67</ns0:v>
      </ns0:c>
      <ns0:c r="AV389" s="87" t="n">
        <ns0:v>189.89</ns0:v>
      </ns0:c>
      <ns0:c r="AW389" s="87" t="n">
        <ns0:v>178.58</ns0:v>
      </ns0:c>
      <ns0:c r="AX389" s="87" t="n">
        <ns0:v>223.24</ns0:v>
      </ns0:c>
      <ns0:c r="AY389" s="87" t="n">
        <ns0:v>47.59</ns0:v>
      </ns0:c>
      <ns0:c r="AZ389" s="87" t="n">
        <ns0:v>-0.82</ns0:v>
      </ns0:c>
      <ns0:c r="BA389" s="87" t="n">
        <ns0:v>-0.46</ns0:v>
      </ns0:c>
      <ns0:c r="BB389" s="74" t="inlineStr">
        <ns0:is>
          <ns0:t>HSTECH (Hang Seng TECH ETF)</ns0:t>
        </ns0:is>
      </ns0:c>
      <ns0:c r="BC389" s="87" t="n">
        <ns0:v>-61.22</ns0:v>
      </ns0:c>
      <ns0:c r="BD389" s="75" t="n">
        <ns0:v>46297</ns0:v>
      </ns0:c>
      <ns0:c r="BE389" s="76" t="n">
        <ns0:v>1092.3</ns0:v>
      </ns0:c>
      <ns0:c r="BF389" s="79" t="n">
        <ns0:v>161.8</ns0:v>
      </ns0:c>
      <ns0:c r="BG389" s="74" t="inlineStr">
        <ns0:is>
          <ns0:t>Y</ns0:t>
        </ns0:is>
      </ns0:c>
      <ns0:c r="BH389" s="89" t="n">
        <ns0:v>31.1</ns0:v>
      </ns0:c>
      <ns0:c r="BI389" s="88" t="n"/>
      <ns0:c r="BJ389" s="88" t="n"/>
      <ns0:c r="BK389" s="89" t="n">
        <ns0:v>4.6</ns0:v>
      </ns0:c>
      <ns0:c r="BL389" s="90">
        <ns0:f>IFERROR(IF('BBG Verify'!S389="","Awaiting Bloomberg",'BBG Verify'!S389),"Awaiting Bloomberg")</ns0:f>
        <ns0:v/>
      </ns0:c>
      <ns0:c r="BM389" s="91" t="inlineStr">
        <ns0:is>
          <ns0:t>N</ns0:t>
        </ns0:is>
      </ns0:c>
      <ns0:c r="BN389" s="92">
        <ns0:f>IFERROR(IF('BBG Verify'!K389="","Awaiting Bloomberg",'BBG Verify'!K389),"Awaiting Bloomberg")</ns0:f>
        <ns0:v/>
      </ns0:c>
      <ns0:c r="BO389" s="74" t="inlineStr">
        <ns0:is>
          <ns0:t>N/A</ns0:t>
        </ns0:is>
      </ns0:c>
      <ns0:c r="BP389" s="74" t="inlineStr">
        <ns0:is>
          <ns0:t>N/A</ns0:t>
        </ns0:is>
      </ns0:c>
      <ns0:c r="BQ389" s="74" t="inlineStr">
        <ns0:is>
          <ns0:t>N/A</ns0:t>
        </ns0:is>
      </ns0:c>
      <ns0:c r="BR389" s="74" t="inlineStr">
        <ns0:is>
          <ns0:t>N/A</ns0:t>
        </ns0:is>
      </ns0:c>
      <ns0:c r="BS389" s="74" t="inlineStr">
        <ns0:is>
          <ns0:t>N/A</ns0:t>
        </ns0:is>
      </ns0:c>
      <ns0:c r="BT389" s="74" t="inlineStr">
        <ns0:is>
          <ns0:t>N/A</ns0:t>
        </ns0:is>
      </ns0:c>
      <ns0:c r="BU389" s="91" t="inlineStr">
        <ns0:is>
          <ns0:t>China International Capital Corporation Hong Kong Securities Limited; Hong Kong SAR CITIC Securities (Hong Kong) Limited</ns0:t>
        </ns0:is>
      </ns0:c>
      <ns0:c r="BV389" s="74" t="inlineStr">
        <ns0:is>
          <ns0:t>China International Capital Corporation Hong Kong Securities Limited; CITIC Securities (Hong Kong) Limited</ns0:t>
        </ns0:is>
      </ns0:c>
      <ns0:c r="BW389" s="74" t="inlineStr">
        <ns0:is>
          <ns0: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ns0:t>
        </ns0:is>
      </ns0:c>
      <ns0:c r="BX389" s="74" t="inlineStr">
        <ns0:is>
          <ns0:t>China International Capital Corporation Hong Kong Securities Limited; CLSA Limited; Fosun International Securities Limited; Futu Securities International (Hong Kong) Limited; Tiger Brokers (HK) Global Limited</ns0:t>
        </ns0:is>
      </ns0:c>
      <ns0:c r="BY389" s="93">
        <ns0:f>HYPERLINK("https://www1.hkexnews.hk/listedco/listconews/sehk/2025/1119/2025111900009.pdf","prospectus")</ns0:f>
        <ns0:v/>
      </ns0:c>
      <ns0:c r="BZ389" s="93">
        <ns0:f>HYPERLINK("https://www1.hkexnews.hk/listedco/listconews/sehk/2025/1126/2025112601522.pdf","allotment")</ns0:f>
        <ns0:v/>
      </ns0:c>
      <ns0:c r="CA389" s="93">
        <ns0:f>HYPERLINK("https://www1.hkexnews.hk/listedco/listconews/sehk/2025/1224/2025122401992.pdf","stabilisation")</ns0:f>
        <ns0:v/>
      </ns0:c>
      <ns0:c r="CB389" s="94" t="n"/>
      <ns0:c r="CC389" s="74" t="inlineStr">
        <ns0:is>
          <ns0:t>cornerstone list: no cornerstone tranche; eff float shares: share count unavailable; the HK$m figure is exact</ns0:t>
        </ns0:is>
      </ns0:c>
    </ns0:row>
    <ns0:row r="390" ht="22" customHeight="1">
      <ns0:c r="A390" s="73" t="inlineStr">
        <ns0:is>
          <ns0:t>9609</ns0:t>
        </ns0:is>
      </ns0:c>
      <ns0:c r="B390" s="74" t="inlineStr">
        <ns0:is>
          <ns0:t>HAIWEI ELEC</ns0:t>
        </ns0:is>
      </ns0:c>
      <ns0:c r="C390" s="74" t="inlineStr">
        <ns0:is>
          <ns0:t>海偉股份</ns0:t>
        </ns0:is>
      </ns0:c>
      <ns0:c r="D390" s="74" t="inlineStr">
        <ns0:is>
          <ns0:t>Materials/Energy</ns0:t>
        </ns0:is>
      </ns0:c>
      <ns0:c r="E390" s="74" t="inlineStr">
        <ns0:is>
          <ns0:t>Chemicals</ns0:t>
        </ns0:is>
      </ns0:c>
      <ns0:c r="F390" s="74" t="inlineStr">
        <ns0:is>
          <ns0:t>Electrical Components &amp; Equipment</ns0:t>
        </ns0:is>
      </ns0:c>
      <ns0:c r="G390" s="74" t="inlineStr">
        <ns0:is>
          <ns0:t>Standard</ns0:t>
        </ns0:is>
      </ns0:c>
      <ns0:c r="H390" s="75" t="n">
        <ns0:v>45989</ns0:v>
      </ns0:c>
      <ns0:c r="I390" s="76" t="n">
        <ns0:v>506.31</ns0:v>
      </ns0:c>
      <ns0:c r="J390" s="74" t="inlineStr">
        <ns0:is>
          <ns0:t>gross (stated)</ns0:t>
        </ns0:is>
      </ns0:c>
      <ns0:c r="K390" s="95" t="n"/>
      <ns0:c r="L390" s="77" t="n">
        <ns0:v>14.28</ns0:v>
      </ns0:c>
      <ns0:c r="M390" s="77" t="n">
        <ns0:v>14.28</ns0:v>
      </ns0:c>
      <ns0:c r="N390" s="74" t="inlineStr">
        <ns0:is>
          <ns0:t>Y</ns0:t>
        </ns0:is>
      </ns0:c>
      <ns0:c r="O390" s="78" t="n">
        <ns0:v>100</ns0:v>
      </ns0:c>
      <ns0:c r="P390" s="84" t="n"/>
      <ns0:c r="Q390" s="79" t="n">
        <ns0:v>17399</ns0:v>
      </ns0:c>
      <ns0:c r="R390" s="74" t="inlineStr">
        <ns0:is>
          <ns0:t>derived:deal size / offer % of enlarged capital</ns0:t>
        </ns0:is>
      </ns0:c>
      <ns0:c r="S390" s="80" t="n">
        <ns0:v>5426.27</ns0:v>
      </ns0:c>
      <ns0:c r="T390" s="81" t="n">
        <ns0:v>6.11</ns0:v>
      </ns0:c>
      <ns0:c r="U390" s="82" t="n">
        <ns0:v>42.67</ns0:v>
      </ns0:c>
      <ns0:c r="V390" s="83" t="n">
        <ns0:v>54</ns0:v>
      </ns0:c>
      <ns0:c r="W390" s="78" t="n">
        <ns0:v>10</ns0:v>
      </ns0:c>
      <ns0:c r="X390" s="74" t="inlineStr">
        <ns0:is>
          <ns0:t>NA</ns0:t>
        </ns0:is>
      </ns0:c>
      <ns0:c r="Y390" s="79" t="n">
        <ns0:v>290.27</ns0:v>
      </ns0:c>
      <ns0:c r="Z390" s="79" t="n">
        <ns0:v>20326925</ns0:v>
      </ns0:c>
      <ns0:c r="AA390" s="78" t="n">
        <ns0:v>1.67</ns0:v>
      </ns0:c>
      <ns0:c r="AB390" s="74" t="inlineStr">
        <ns0:is>
          <ns0:t>Horizon Splendor Limited</ns0:t>
        </ns0:is>
      </ns0:c>
      <ns0:c r="AC390" s="74" t="inlineStr">
        <ns0:is>
          <ns0:t>horizon</ns0:t>
        </ns0:is>
      </ns0:c>
      <ns0:c r="AD390" s="78" t="n">
        <ns0:v>15</ns0:v>
      </ns0:c>
      <ns0:c r="AE390" s="74" t="inlineStr">
        <ns0:is>
          <ns0:t>partial</ns0:t>
        </ns0:is>
      </ns0:c>
      <ns0:c r="AF390" s="74" t="inlineStr">
        <ns0:is>
          <ns0:t>2025-12-25</ns0:t>
        </ns0:is>
      </ns0:c>
      <ns0:c r="AG390" s="74" t="inlineStr">
        <ns0:is>
          <ns0:t>China International Capital Corporation Hong Kong Securities Limited</ns0:t>
        </ns0:is>
      </ns0:c>
      <ns0:c r="AH390" s="74" t="inlineStr">
        <ns0:is>
          <ns0:t>China International</ns0:t>
        </ns0:is>
      </ns0:c>
      <ns0:c r="AI390" s="105" t="n">
        <ns0:v>0.49</ns0:v>
      </ns0:c>
      <ns0:c r="AJ390" s="87" t="n">
        <ns0:v>-22.97</ns0:v>
      </ns0:c>
      <ns0:c r="AK390" s="87" t="n">
        <ns0:v>-0.15</ns0:v>
      </ns0:c>
      <ns0:c r="AL390" s="87" t="n">
        <ns0:v>-5.46</ns0:v>
      </ns0:c>
      <ns0:c r="AM390" s="87" t="n">
        <ns0:v>-18.52</ns0:v>
      </ns0:c>
      <ns0:c r="AN390" s="89" t="n">
        <ns0:v>4.55</ns0:v>
      </ns0:c>
      <ns0:c r="AO390" s="78" t="n">
        <ns0:v>18.52</ns0:v>
      </ns0:c>
      <ns0:c r="AP390" s="87" t="n">
        <ns0:v>-21.5</ns0:v>
      </ns0:c>
      <ns0:c r="AQ390" s="87" t="n">
        <ns0:v>-35.43</ns0:v>
      </ns0:c>
      <ns0:c r="AR390" s="87" t="n">
        <ns0:v>-36.2</ns0:v>
      </ns0:c>
      <ns0:c r="AS390" s="87" t="n">
        <ns0:v>1.91</ns0:v>
      </ns0:c>
      <ns0:c r="AT390" s="87" t="n">
        <ns0:v>-16.18</ns0:v>
      </ns0:c>
      <ns0:c r="AU390" s="87" t="n">
        <ns0:v>-17.18</ns0:v>
      </ns0:c>
      <ns0:c r="AV390" s="87" t="n">
        <ns0:v>-22.87</ns0:v>
      </ns0:c>
      <ns0:c r="AW390" s="87" t="n">
        <ns0:v>-32.73</ns0:v>
      </ns0:c>
      <ns0:c r="AX390" s="87" t="n">
        <ns0:v>-27.85</ns0:v>
      </ns0:c>
      <ns0:c r="AY390" s="87" t="n">
        <ns0:v>-13.62</ns0:v>
      </ns0:c>
      <ns0:c r="AZ390" s="87" t="n">
        <ns0:v>-2.7</ns0:v>
      </ns0:c>
      <ns0:c r="BA390" s="87" t="n">
        <ns0:v>-2.56</ns0:v>
      </ns0:c>
      <ns0:c r="BB390" s="74" t="inlineStr">
        <ns0:is>
          <ns0:t>Hang Seng Commerce &amp; Industry sub-index</ns0:t>
        </ns0:is>
      </ns0:c>
      <ns0:c r="BC390" s="87" t="n">
        <ns0:v>-51.72</ns0:v>
      </ns0:c>
      <ns0:c r="BD390" s="75" t="n">
        <ns0:v>46297</ns0:v>
      </ns0:c>
      <ns0:c r="BE390" s="76" t="n">
        <ns0:v>463.9</ns0:v>
      </ns0:c>
      <ns0:c r="BF390" s="79" t="n">
        <ns0:v>95.09999999999999</ns0:v>
      </ns0:c>
      <ns0:c r="BG390" s="74" t="inlineStr">
        <ns0:is>
          <ns0:t>Y</ns0:t>
        </ns0:is>
      </ns0:c>
      <ns0:c r="BH390" s="89" t="n">
        <ns0:v>183</ns0:v>
      </ns0:c>
      <ns0:c r="BI390" s="88" t="n"/>
      <ns0:c r="BJ390" s="88" t="n"/>
      <ns0:c r="BK390" s="89" t="n">
        <ns0:v>37.5</ns0:v>
      </ns0:c>
      <ns0:c r="BL390" s="90">
        <ns0:f>IFERROR(IF('BBG Verify'!S390="","Awaiting Bloomberg",'BBG Verify'!S390),"Awaiting Bloomberg")</ns0:f>
        <ns0:v/>
      </ns0:c>
      <ns0:c r="BM390" s="91" t="inlineStr">
        <ns0:is>
          <ns0:t>N</ns0:t>
        </ns0:is>
      </ns0:c>
      <ns0:c r="BN390" s="92">
        <ns0:f>IFERROR(IF('BBG Verify'!K390="","Awaiting Bloomberg",'BBG Verify'!K390),"Awaiting Bloomberg")</ns0:f>
        <ns0:v/>
      </ns0:c>
      <ns0:c r="BO390" s="74" t="inlineStr">
        <ns0:is>
          <ns0:t>N/A</ns0:t>
        </ns0:is>
      </ns0:c>
      <ns0:c r="BP390" s="74" t="inlineStr">
        <ns0:is>
          <ns0:t>N/A</ns0:t>
        </ns0:is>
      </ns0:c>
      <ns0:c r="BQ390" s="74" t="inlineStr">
        <ns0:is>
          <ns0:t>N/A</ns0:t>
        </ns0:is>
      </ns0:c>
      <ns0:c r="BR390" s="74" t="inlineStr">
        <ns0:is>
          <ns0:t>N/A</ns0:t>
        </ns0:is>
      </ns0:c>
      <ns0:c r="BS390" s="74" t="inlineStr">
        <ns0:is>
          <ns0:t>N/A</ns0:t>
        </ns0:is>
      </ns0:c>
      <ns0:c r="BT390" s="74" t="inlineStr">
        <ns0:is>
          <ns0:t>N/A</ns0:t>
        </ns0:is>
      </ns0:c>
      <ns0:c r="BU390" s="91" t="inlineStr">
        <ns0:is>
          <ns0:t>China International Capital Corporation Hong Kong Securities Limited</ns0:t>
        </ns0:is>
      </ns0:c>
      <ns0:c r="BV390" s="74" t="inlineStr">
        <ns0:is>
          <ns0:t>China International Capital Corporation Hong Kong Securities Limited</ns0:t>
        </ns0:is>
      </ns0:c>
      <ns0:c r="BW390" s="74" t="inlineStr">
        <ns0:is>
          <ns0:t>China International Capital Corporation Hong Kong Securities Limited; China Securities (International) Corporate Finance Company Limited; CLSA Limited; CCB International Capital Limited; BOCI Asia Limited; Huizhi International Capital Holdings Co., Limited</ns0:t>
        </ns0:is>
      </ns0:c>
      <ns0:c r="BX390" s="74" t="inlineStr">
        <ns0:is>
          <ns0: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ns0:t>
        </ns0:is>
      </ns0:c>
      <ns0:c r="BY390" s="93">
        <ns0:f>HYPERLINK("https://www1.hkexnews.hk/listedco/listconews/sehk/2025/1120/2025112000009.pdf","prospectus")</ns0:f>
        <ns0:v/>
      </ns0:c>
      <ns0:c r="BZ390" s="93">
        <ns0:f>HYPERLINK("https://www1.hkexnews.hk/listedco/listconews/sehk/2025/1127/2025112701630.pdf","allotment")</ns0:f>
        <ns0:v/>
      </ns0:c>
      <ns0:c r="CA390" s="93">
        <ns0:f>HYPERLINK("https://www1.hkexnews.hk/listedco/listconews/sehk/2025/1228/2025122800169.pdf","stabilisation")</ns0:f>
        <ns0:v/>
      </ns0:c>
      <ns0:c r="CB390" s="94" t="n"/>
      <ns0:c r="CC390" s="74" t="inlineStr">
        <ns0:is>
          <ns0:t>range low: maximum offer price only, no floor published</ns0:t>
        </ns0:is>
      </ns0:c>
    </ns0:row>
    <ns0:row r="391" ht="22" customHeight="1">
      <ns0:c r="A391" s="73" t="inlineStr">
        <ns0:is>
          <ns0:t>2539</ns0:t>
        </ns0:is>
      </ns0:c>
      <ns0:c r="B391" s="74" t="inlineStr">
        <ns0:is>
          <ns0:t>LEMO SERVICES</ns0:t>
        </ns0:is>
      </ns0:c>
      <ns0:c r="C391" s="74" t="inlineStr">
        <ns0:is>
          <ns0:t>樂摩科技</ns0:t>
        </ns0:is>
      </ns0:c>
      <ns0:c r="D391" s="74" t="inlineStr">
        <ns0:is>
          <ns0:t>Real Estate</ns0:t>
        </ns0:is>
      </ns0:c>
      <ns0:c r="E391" s="74" t="inlineStr">
        <ns0:is>
          <ns0:t>Property management</ns0:t>
        </ns0:is>
      </ns0:c>
      <ns0:c r="F391" s="74" t="inlineStr">
        <ns0:is>
          <ns0:t>Leisure Products</ns0:t>
        </ns0:is>
      </ns0:c>
      <ns0:c r="G391" s="74" t="inlineStr">
        <ns0:is>
          <ns0:t>Standard</ns0:t>
        </ns0:is>
      </ns0:c>
      <ns0:c r="H391" s="75" t="n">
        <ns0:v>45994</ns0:v>
      </ns0:c>
      <ns0:c r="I391" s="76" t="n">
        <ns0:v>222.22</ns0:v>
      </ns0:c>
      <ns0:c r="J391" s="74" t="inlineStr">
        <ns0:is>
          <ns0:t>gross (stated)</ns0:t>
        </ns0:is>
      </ns0:c>
      <ns0:c r="K391" s="77" t="n">
        <ns0:v>27</ns0:v>
      </ns0:c>
      <ns0:c r="L391" s="77" t="n">
        <ns0:v>40</ns0:v>
      </ns0:c>
      <ns0:c r="M391" s="77" t="n">
        <ns0:v>40</ns0:v>
      </ns0:c>
      <ns0:c r="N391" s="74" t="inlineStr">
        <ns0:is>
          <ns0:t>Y</ns0:t>
        </ns0:is>
      </ns0:c>
      <ns0:c r="O391" s="78" t="n">
        <ns0:v>100</ns0:v>
      </ns0:c>
      <ns0:c r="P391" s="78" t="n">
        <ns0:v>100</ns0:v>
      </ns0:c>
      <ns0:c r="Q391" s="79" t="n">
        <ns0:v>2222.2</ns0:v>
      </ns0:c>
      <ns0:c r="R391" s="74" t="inlineStr">
        <ns0:is>
          <ns0:t>derived:price x shares upon listing</ns0:t>
        </ns0:is>
      </ns0:c>
      <ns0:c r="S391" s="80" t="n">
        <ns0:v>7324.29</ns0:v>
      </ns0:c>
      <ns0:c r="T391" s="81" t="n">
        <ns0:v>6.78</ns0:v>
      </ns0:c>
      <ns0:c r="U391" s="82" t="n">
        <ns0:v>0</ns0:v>
      </ns0:c>
      <ns0:c r="V391" s="83" t="n">
        <ns0:v>131</ns0:v>
      </ns0:c>
      <ns0:c r="W391" s="78" t="n">
        <ns0:v>10</ns0:v>
      </ns0:c>
      <ns0:c r="X391" s="74" t="inlineStr">
        <ns0:is>
          <ns0:t>NA</ns0:t>
        </ns0:is>
      </ns0:c>
      <ns0:c r="Y391" s="79" t="n">
        <ns0:v>222.22</ns0:v>
      </ns0:c>
      <ns0:c r="Z391" s="79" t="n">
        <ns0:v>5555600</ns0:v>
      </ns0:c>
      <ns0:c r="AA391" s="78" t="n">
        <ns0:v>10</ns0:v>
      </ns0:c>
      <ns0:c r="AB391" s="74" t="inlineStr">
        <ns0:is>
          <ns0:t>none — no cornerstone tranche</ns0:t>
        </ns0:is>
      </ns0:c>
      <ns0:c r="AC391" s="74" t="inlineStr">
        <ns0:is>
          <ns0:t>none</ns0:t>
        </ns0:is>
      </ns0:c>
      <ns0:c r="AD391" s="84" t="n"/>
      <ns0:c r="AE391" s="85" t="n"/>
      <ns0:c r="AF391" s="85" t="n"/>
      <ns0:c r="AG391" s="85" t="n"/>
      <ns0:c r="AH391" s="85" t="n"/>
      <ns0:c r="AI391" s="86" t="n">
        <ns0:v>62.5</ns0:v>
      </ns0:c>
      <ns0:c r="AJ391" s="87" t="n">
        <ns0:v>36.25</ns0:v>
      </ns0:c>
      <ns0:c r="AK391" s="87" t="n">
        <ns0:v>-1.61</ns0:v>
      </ns0:c>
      <ns0:c r="AL391" s="87" t="n">
        <ns0:v>62</ns0:v>
      </ns0:c>
      <ns0:c r="AM391" s="87" t="n">
        <ns0:v>-15.9</ns0:v>
      </ns0:c>
      <ns0:c r="AN391" s="89" t="n">
        <ns0:v>4.6</ns0:v>
      </ns0:c>
      <ns0:c r="AO391" s="78" t="n">
        <ns0:v>45.29</ns0:v>
      </ns0:c>
      <ns0:c r="AP391" s="87" t="n">
        <ns0:v>66.75</ns0:v>
      </ns0:c>
      <ns0:c r="AQ391" s="87" t="n">
        <ns0:v>-16.05</ns0:v>
      </ns0:c>
      <ns0:c r="AR391" s="87" t="n">
        <ns0:v>-55.7</ns0:v>
      </ns0:c>
      <ns0:c r="AS391" s="87" t="n">
        <ns0:v>22.39</ns0:v>
      </ns0:c>
      <ns0:c r="AT391" s="87" t="n">
        <ns0:v>-38.39</ns0:v>
      </ns0:c>
      <ns0:c r="AU391" s="87" t="n">
        <ns0:v>-67.48999999999999</ns0:v>
      </ns0:c>
      <ns0:c r="AV391" s="87" t="n">
        <ns0:v>71.5</ns0:v>
      </ns0:c>
      <ns0:c r="AW391" s="87" t="n">
        <ns0:v>-14.01</ns0:v>
      </ns0:c>
      <ns0:c r="AX391" s="87" t="n">
        <ns0:v>-68.91</ns0:v>
      </ns0:c>
      <ns0:c r="AY391" s="87" t="n">
        <ns0:v>-37.95</ns0:v>
      </ns0:c>
      <ns0:c r="AZ391" s="87" t="n">
        <ns0:v>-2.04</ns0:v>
      </ns0:c>
      <ns0:c r="BA391" s="87" t="n">
        <ns0:v>-0.44</ns0:v>
      </ns0:c>
      <ns0:c r="BB391" s="74" t="inlineStr">
        <ns0:is>
          <ns0:t>Hang Seng Properties sub-index</ns0:t>
        </ns0:is>
      </ns0:c>
      <ns0:c r="BC391" s="87" t="n">
        <ns0:v>-78.5</ns0:v>
      </ns0:c>
      <ns0:c r="BD391" s="75" t="n">
        <ns0:v>46297</ns0:v>
      </ns0:c>
      <ns0:c r="BE391" s="76" t="n">
        <ns0:v>877.8</ns0:v>
      </ns0:c>
      <ns0:c r="BF391" s="79" t="n">
        <ns0:v>94.40000000000001</ns0:v>
      </ns0:c>
      <ns0:c r="BG391" s="74" t="inlineStr">
        <ns0:is>
          <ns0:t>Y</ns0:t>
        </ns0:is>
      </ns0:c>
      <ns0:c r="BH391" s="89" t="n">
        <ns0:v>23.5</ns0:v>
      </ns0:c>
      <ns0:c r="BI391" s="88" t="n"/>
      <ns0:c r="BJ391" s="88" t="n"/>
      <ns0:c r="BK391" s="89" t="n">
        <ns0:v>2.5</ns0:v>
      </ns0:c>
      <ns0:c r="BL391" s="90">
        <ns0:f>IFERROR(IF('BBG Verify'!S391="","Awaiting Bloomberg",'BBG Verify'!S391),"Awaiting Bloomberg")</ns0:f>
        <ns0:v/>
      </ns0:c>
      <ns0:c r="BM391" s="91" t="inlineStr">
        <ns0:is>
          <ns0:t>N</ns0:t>
        </ns0:is>
      </ns0:c>
      <ns0:c r="BN391" s="92">
        <ns0:f>IFERROR(IF('BBG Verify'!K391="","Awaiting Bloomberg",'BBG Verify'!K391),"Awaiting Bloomberg")</ns0:f>
        <ns0:v/>
      </ns0:c>
      <ns0:c r="BO391" s="74" t="inlineStr">
        <ns0:is>
          <ns0:t>N/A</ns0:t>
        </ns0:is>
      </ns0:c>
      <ns0:c r="BP391" s="74" t="inlineStr">
        <ns0:is>
          <ns0:t>N/A</ns0:t>
        </ns0:is>
      </ns0:c>
      <ns0:c r="BQ391" s="74" t="inlineStr">
        <ns0:is>
          <ns0:t>N/A</ns0:t>
        </ns0:is>
      </ns0:c>
      <ns0:c r="BR391" s="74" t="inlineStr">
        <ns0:is>
          <ns0:t>N/A</ns0:t>
        </ns0:is>
      </ns0:c>
      <ns0:c r="BS391" s="74" t="inlineStr">
        <ns0:is>
          <ns0:t>N/A</ns0:t>
        </ns0:is>
      </ns0:c>
      <ns0:c r="BT391" s="74" t="inlineStr">
        <ns0:is>
          <ns0:t>N/A</ns0:t>
        </ns0:is>
      </ns0:c>
      <ns0:c r="BU391" s="91" t="inlineStr">
        <ns0:is>
          <ns0:t>China Securities (International) Corporate Finance Company Limited; Shenwan Hongyuan Capital (H.K.) Limited</ns0:t>
        </ns0:is>
      </ns0:c>
      <ns0:c r="BV391" s="74" t="inlineStr">
        <ns0:is>
          <ns0:t>China Securities (International) Corporate Finance Company Limited; Shenwan Hongyuan Capital (H.K.) Limited</ns0:t>
        </ns0:is>
      </ns0:c>
      <ns0:c r="BW391" s="74" t="inlineStr">
        <ns0:is>
          <ns0: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ns0:t>
        </ns0:is>
      </ns0:c>
      <ns0:c r="BX391" s="74" t="inlineStr">
        <ns0:is>
          <ns0: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ns0:t>
        </ns0:is>
      </ns0:c>
      <ns0:c r="BY391" s="93">
        <ns0:f>HYPERLINK("https://www1.hkexnews.hk/listedco/listconews/sehk/2025/1125/2025112500051.pdf","prospectus")</ns0:f>
        <ns0:v/>
      </ns0:c>
      <ns0:c r="BZ391" s="93">
        <ns0:f>HYPERLINK("https://www1.hkexnews.hk/listedco/listconews/sehk/2025/1202/2025120202454.pdf","allotment")</ns0:f>
        <ns0:v/>
      </ns0:c>
      <ns0:c r="CA391" s="85" t="n"/>
      <ns0:c r="CB391" s="94" t="n"/>
      <ns0:c r="CC391" s="74" t="inlineStr">
        <ns0:is>
          <ns0:t>greenshoe: no over-allotment option; market cap: prospectus 'market capitalisation' line is the listing-rule threshold, not the issuer's figure; rejected; cornerstone list: no cornerstone tranche; greenshoe size: no over-allotment option; stabilising manager: filing states none appointed (allotment announcement: 'no stabilizing manager will be appointed' stated in the filing)</ns0:t>
        </ns0:is>
      </ns0:c>
    </ns0:row>
    <ns0:row r="392" ht="22" customHeight="1">
      <ns0:c r="A392" s="73" t="inlineStr">
        <ns0:is>
          <ns0:t>2693</ns0:t>
        </ns0:is>
      </ns0:c>
      <ns0:c r="B392" s="74" t="inlineStr">
        <ns0:is>
          <ns0:t>JINYAN KAOLIN</ns0:t>
        </ns0:is>
      </ns0:c>
      <ns0:c r="C392" s="74" t="inlineStr">
        <ns0:is>
          <ns0:t>金岩高嶺新材</ns0:t>
        </ns0:is>
      </ns0:c>
      <ns0:c r="D392" s="74" t="inlineStr">
        <ns0:is>
          <ns0:t>Materials/Energy</ns0:t>
        </ns0:is>
      </ns0:c>
      <ns0:c r="E392" s="74" t="inlineStr">
        <ns0:is>
          <ns0:t>Mining / metals</ns0:t>
        </ns0:is>
      </ns0:c>
      <ns0:c r="F392" s="74" t="inlineStr">
        <ns0:is>
          <ns0:t>Diversified Metals &amp; Minerals</ns0:t>
        </ns0:is>
      </ns0:c>
      <ns0:c r="G392" s="74" t="inlineStr">
        <ns0:is>
          <ns0:t>Standard</ns0:t>
        </ns0:is>
      </ns0:c>
      <ns0:c r="H392" s="75" t="n">
        <ns0:v>45994</ns0:v>
      </ns0:c>
      <ns0:c r="I392" s="76" t="n">
        <ns0:v>177.4</ns0:v>
      </ns0:c>
      <ns0:c r="J392" s="74" t="inlineStr">
        <ns0:is>
          <ns0:t>gross (price x shares)</ns0:t>
        </ns0:is>
      </ns0:c>
      <ns0:c r="K392" s="95" t="n"/>
      <ns0:c r="L392" s="77" t="n">
        <ns0:v>7.3</ns0:v>
      </ns0:c>
      <ns0:c r="M392" s="77" t="n">
        <ns0:v>7.3</ns0:v>
      </ns0:c>
      <ns0:c r="N392" s="74" t="inlineStr">
        <ns0:is>
          <ns0:t>Y</ns0:t>
        </ns0:is>
      </ns0:c>
      <ns0:c r="O392" s="78" t="n">
        <ns0:v>100</ns0:v>
      </ns0:c>
      <ns0:c r="P392" s="84" t="n"/>
      <ns0:c r="Q392" s="79" t="n">
        <ns0:v>709.5</ns0:v>
      </ns0:c>
      <ns0:c r="R392" s="74" t="inlineStr">
        <ns0:is>
          <ns0:t>derived:price x shares upon listing</ns0:t>
        </ns0:is>
      </ns0:c>
      <ns0:c r="S392" s="80" t="n">
        <ns0:v>6876.17</ns0:v>
      </ns0:c>
      <ns0:c r="T392" s="81" t="n">
        <ns0:v>2.01</ns0:v>
      </ns0:c>
      <ns0:c r="U392" s="82" t="n">
        <ns0:v>42.97</ns0:v>
      </ns0:c>
      <ns0:c r="V392" s="83" t="n">
        <ns0:v>94</ns0:v>
      </ns0:c>
      <ns0:c r="W392" s="78" t="n">
        <ns0:v>10</ns0:v>
      </ns0:c>
      <ns0:c r="X392" s="74" t="inlineStr">
        <ns0:is>
          <ns0:t>NO</ns0:t>
        </ns0:is>
      </ns0:c>
      <ns0:c r="Y392" s="79" t="n">
        <ns0:v>101.17</ns0:v>
      </ns0:c>
      <ns0:c r="Z392" s="79" t="n">
        <ns0:v>13858290</ns0:v>
      </ns0:c>
      <ns0:c r="AA392" s="78" t="n">
        <ns0:v>14.26</ns0:v>
      </ns0:c>
      <ns0:c r="AB392" s="74" t="inlineStr">
        <ns0:is>
          <ns0:t>Pingmei Shenma (Hong Kong) International Investment Limited; Hong Kong Chuangli Yingtai Investment Limited; Hong Kong Jinyuan Industry and Trade Limited; Degao Mining Technology Limited</ns0:t>
        </ns0:is>
      </ns0:c>
      <ns0:c r="AC392" s="74" t="inlineStr">
        <ns0:is>
          <ns0:t>pingmei;chuangli;jinyuan;degao</ns0:t>
        </ns0:is>
      </ns0:c>
      <ns0:c r="AD392" s="78" t="n">
        <ns0:v>6.1</ns0:v>
      </ns0:c>
      <ns0:c r="AE392" s="74" t="inlineStr">
        <ns0:is>
          <ns0:t>lapsed</ns0:t>
        </ns0:is>
      </ns0:c>
      <ns0:c r="AF392" s="85" t="n"/>
      <ns0:c r="AG392" s="74" t="inlineStr">
        <ns0:is>
          <ns0:t>Guoyuan Securities Brokerage</ns0:t>
        </ns0:is>
      </ns0:c>
      <ns0:c r="AH392" s="74" t="inlineStr">
        <ns0:is>
          <ns0:t>Guoyuan</ns0:t>
        </ns0:is>
      </ns0:c>
      <ns0:c r="AI392" s="86" t="n">
        <ns0:v>35.75</ns0:v>
      </ns0:c>
      <ns0:c r="AJ392" s="87" t="n">
        <ns0:v>2.19</ns0:v>
      </ns0:c>
      <ns0:c r="AK392" s="87" t="n">
        <ns0:v>-1.16</ns0:v>
      </ns0:c>
      <ns0:c r="AL392" s="87" t="n">
        <ns0:v>27.4</ns0:v>
      </ns0:c>
      <ns0:c r="AM392" s="87" t="n">
        <ns0:v>-19.79</ns0:v>
      </ns0:c>
      <ns0:c r="AN392" s="89" t="n">
        <ns0:v>4.65</ns0:v>
      </ns0:c>
      <ns0:c r="AO392" s="78" t="n">
        <ns0:v>27.42</ns0:v>
      </ns0:c>
      <ns0:c r="AP392" s="87" t="n">
        <ns0:v>-11.51</ns0:v>
      </ns0:c>
      <ns0:c r="AQ392" s="87" t="n">
        <ns0:v>-41.1</ns0:v>
      </ns0:c>
      <ns0:c r="AR392" s="87" t="n">
        <ns0:v>-39.04</ns0:v>
      </ns0:c>
      <ns0:c r="AS392" s="87" t="n">
        <ns0:v>-13.41</ns0:v>
      </ns0:c>
      <ns0:c r="AT392" s="87" t="n">
        <ns0:v>-42.36</ns0:v>
      </ns0:c>
      <ns0:c r="AU392" s="87" t="n">
        <ns0:v>-40.35</ns0:v>
      </ns0:c>
      <ns0:c r="AV392" s="87" t="n">
        <ns0:v>-9.6</ns0:v>
      </ns0:c>
      <ns0:c r="AW392" s="87" t="n">
        <ns0:v>-41.44</ns0:v>
      </ns0:c>
      <ns0:c r="AX392" s="87" t="n">
        <ns0:v>-33.29</ns0:v>
      </ns0:c>
      <ns0:c r="AY392" s="87" t="n">
        <ns0:v>-43.88</ns0:v>
      </ns0:c>
      <ns0:c r="AZ392" s="87" t="n">
        <ns0:v>0.34</ns0:v>
      </ns0:c>
      <ns0:c r="BA392" s="87" t="n">
        <ns0:v>1.52</ns0:v>
      </ns0:c>
      <ns0:c r="BB392" s="74" t="inlineStr">
        <ns0:is>
          <ns0:t>Hang Seng Commerce &amp; Industry sub-index</ns0:t>
        </ns0:is>
      </ns0:c>
      <ns0:c r="BC392" s="87" t="n">
        <ns0:v>-60.82</ns0:v>
      </ns0:c>
      <ns0:c r="BD392" s="75" t="n">
        <ns0:v>46297</ns0:v>
      </ns0:c>
      <ns0:c r="BE392" s="76" t="n">
        <ns0:v>293.9</ns0:v>
      </ns0:c>
      <ns0:c r="BF392" s="79" t="n">
        <ns0:v>57.9</ns0:v>
      </ns0:c>
      <ns0:c r="BG392" s="74" t="inlineStr">
        <ns0:is>
          <ns0:t>Y</ns0:t>
        </ns0:is>
      </ns0:c>
      <ns0:c r="BH392" s="89" t="n">
        <ns0:v>12.3</ns0:v>
      </ns0:c>
      <ns0:c r="BI392" s="88" t="n"/>
      <ns0:c r="BJ392" s="88" t="n"/>
      <ns0:c r="BK392" s="89" t="n">
        <ns0:v>2.4</ns0:v>
      </ns0:c>
      <ns0:c r="BL392" s="90">
        <ns0:f>IFERROR(IF('BBG Verify'!S392="","Awaiting Bloomberg",'BBG Verify'!S392),"Awaiting Bloomberg")</ns0:f>
        <ns0:v/>
      </ns0:c>
      <ns0:c r="BM392" s="91" t="inlineStr">
        <ns0:is>
          <ns0:t>N</ns0:t>
        </ns0:is>
      </ns0:c>
      <ns0:c r="BN392" s="92">
        <ns0:f>IFERROR(IF('BBG Verify'!K392="","Awaiting Bloomberg",'BBG Verify'!K392),"Awaiting Bloomberg")</ns0:f>
        <ns0:v/>
      </ns0:c>
      <ns0:c r="BO392" s="74" t="inlineStr">
        <ns0:is>
          <ns0:t>N/A</ns0:t>
        </ns0:is>
      </ns0:c>
      <ns0:c r="BP392" s="74" t="inlineStr">
        <ns0:is>
          <ns0:t>N/A</ns0:t>
        </ns0:is>
      </ns0:c>
      <ns0:c r="BQ392" s="74" t="inlineStr">
        <ns0:is>
          <ns0:t>N/A</ns0:t>
        </ns0:is>
      </ns0:c>
      <ns0:c r="BR392" s="74" t="inlineStr">
        <ns0:is>
          <ns0:t>N/A</ns0:t>
        </ns0:is>
      </ns0:c>
      <ns0:c r="BS392" s="74" t="inlineStr">
        <ns0:is>
          <ns0:t>N/A</ns0:t>
        </ns0:is>
      </ns0:c>
      <ns0:c r="BT392" s="74" t="inlineStr">
        <ns0:is>
          <ns0:t>N/A</ns0:t>
        </ns0:is>
      </ns0:c>
      <ns0:c r="BU392" s="91" t="inlineStr">
        <ns0:is>
          <ns0:t>Guoyuan Capital (Hong Kong) Limited; CMBC International Capital Limited</ns0:t>
        </ns0:is>
      </ns0:c>
      <ns0:c r="BV392" s="74" t="inlineStr">
        <ns0:is>
          <ns0:t>Guoyuan Capital (Hong Kong) Limited; CMBC International Capital Limited</ns0:t>
        </ns0:is>
      </ns0:c>
      <ns0:c r="BW392" s="74" t="inlineStr">
        <ns0:is>
          <ns0:t>China Sunrise Securities (International) Limited; First Shanghai Securities Limited; Futu Securities International (Hong Kong) Limited; ICBC International Securities Limited; Shenwan Hongyuan Securities (H.K.) Limited; uSmart Securities Limited</ns0:t>
        </ns0:is>
      </ns0:c>
      <ns0:c r="BX392" s="74" t="inlineStr">
        <ns0:is>
          <ns0: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ns0:t>
        </ns0:is>
      </ns0:c>
      <ns0:c r="BY392" s="93">
        <ns0:f>HYPERLINK("https://www1.hkexnews.hk/listedco/listconews/sehk/2025/1125/2025112500049.pdf","prospectus")</ns0:f>
        <ns0:v/>
      </ns0:c>
      <ns0:c r="BZ392" s="93">
        <ns0:f>HYPERLINK("https://www1.hkexnews.hk/listedco/listconews/sehk/2025/1202/2025120202632.pdf","allotment")</ns0:f>
        <ns0:v/>
      </ns0:c>
      <ns0:c r="CA392" s="93">
        <ns0:f>HYPERLINK("https://www1.hkexnews.hk/listedco/listconews/sehk/2025/1228/2025122800123.pdf","stabilisation")</ns0:f>
        <ns0:v/>
      </ns0:c>
      <ns0:c r="CB392" s="94" t="n"/>
      <ns0:c r="CC392" s="74" t="inlineStr">
        <ns0:is>
          <ns0:t>greenshoe: outcome published; expiry date not in the notice; range low: maximum offer price only, no floor published</ns0:t>
        </ns0:is>
      </ns0:c>
    </ns0:row>
    <ns0:row r="393" ht="22" customHeight="1">
      <ns0:c r="A393" s="73" t="inlineStr">
        <ns0:is>
          <ns0:t>2408</ns0:t>
        </ns0:is>
      </ns0:c>
      <ns0:c r="B393" s="74" t="inlineStr">
        <ns0:is>
          <ns0:t>XIAO NOODLES</ns0:t>
        </ns0:is>
      </ns0:c>
      <ns0:c r="C393" s="74" t="inlineStr">
        <ns0:is>
          <ns0:t>遇見小麵</ns0:t>
        </ns0:is>
      </ns0:c>
      <ns0:c r="D393" s="74" t="inlineStr">
        <ns0:is>
          <ns0:t>Consumer</ns0:t>
        </ns0:is>
      </ns0:c>
      <ns0:c r="E393" s="74" t="inlineStr">
        <ns0:is>
          <ns0:t>F&amp;B chains / restaurants</ns0:t>
        </ns0:is>
      </ns0:c>
      <ns0:c r="F393" s="74" t="inlineStr">
        <ns0:is>
          <ns0:t>Restaurants</ns0:t>
        </ns0:is>
      </ns0:c>
      <ns0:c r="G393" s="74" t="inlineStr">
        <ns0:is>
          <ns0:t>Standard</ns0:t>
        </ns0:is>
      </ns0:c>
      <ns0:c r="H393" s="75" t="n">
        <ns0:v>45996</ns0:v>
      </ns0:c>
      <ns0:c r="I393" s="76" t="n">
        <ns0:v>685.4</ns0:v>
      </ns0:c>
      <ns0:c r="J393" s="74" t="inlineStr">
        <ns0:is>
          <ns0:t>gross (stated)</ns0:t>
        </ns0:is>
      </ns0:c>
      <ns0:c r="K393" s="77" t="n">
        <ns0:v>5.64</ns0:v>
      </ns0:c>
      <ns0:c r="L393" s="77" t="n">
        <ns0:v>7.04</ns0:v>
      </ns0:c>
      <ns0:c r="M393" s="77" t="n">
        <ns0:v>7.04</ns0:v>
      </ns0:c>
      <ns0:c r="N393" s="74" t="inlineStr">
        <ns0:is>
          <ns0:t>Y</ns0:t>
        </ns0:is>
      </ns0:c>
      <ns0:c r="O393" s="78" t="n">
        <ns0:v>100</ns0:v>
      </ns0:c>
      <ns0:c r="P393" s="78" t="n">
        <ns0:v>100</ns0:v>
      </ns0:c>
      <ns0:c r="Q393" s="79" t="n">
        <ns0:v>4796.4</ns0:v>
      </ns0:c>
      <ns0:c r="R393" s="74" t="inlineStr">
        <ns0:is>
          <ns0:t>derived:deal size / offer % of enlarged capital</ns0:t>
        </ns0:is>
      </ns0:c>
      <ns0:c r="S393" s="80" t="n">
        <ns0:v>425.97</ns0:v>
      </ns0:c>
      <ns0:c r="T393" s="81" t="n">
        <ns0:v>4.99</ns0:v>
      </ns0:c>
      <ns0:c r="U393" s="82" t="n">
        <ns0:v>24.95</ns0:v>
      </ns0:c>
      <ns0:c r="V393" s="83" t="n">
        <ns0:v>108</ns0:v>
      </ns0:c>
      <ns0:c r="W393" s="78" t="n">
        <ns0:v>10</ns0:v>
      </ns0:c>
      <ns0:c r="X393" s="74" t="inlineStr">
        <ns0:is>
          <ns0:t>NO</ns0:t>
        </ns0:is>
      </ns0:c>
      <ns0:c r="Y393" s="79" t="n">
        <ns0:v>514.39</ns0:v>
      </ns0:c>
      <ns0:c r="Z393" s="79" t="n">
        <ns0:v>73072057</ns0:v>
      </ns0:c>
      <ns0:c r="AA393" s="78" t="n">
        <ns0:v>10.72</ns0:v>
      </ns0:c>
      <ns0:c r="AB393" s="74" t="inlineStr">
        <ns0:is>
          <ns0:t>HHLR Advisors, Ltd; Guotai Junan Investments (Hong Kong) Limited (in connection with the Dream ee OTC Swaps); Dream ee (Hong Kong) Open-ended Fund Company; Hong Kong Shengying Investment Limited; Zeta Wisdom OFC; Hai Di Lao Holdings Pte. Ltd</ns0:t>
        </ns0:is>
      </ns0:c>
      <ns0:c r="AC393" s="74" t="inlineStr">
        <ns0:is>
          <ns0:t>hhlr;guotai;dream;shengying;zeta;hai</ns0:t>
        </ns0:is>
      </ns0:c>
      <ns0:c r="AD393" s="78" t="n">
        <ns0:v>5</ns0:v>
      </ns0:c>
      <ns0:c r="AE393" s="74" t="inlineStr">
        <ns0:is>
          <ns0:t>lapsed</ns0:t>
        </ns0:is>
      </ns0:c>
      <ns0:c r="AF393" s="74" t="inlineStr">
        <ns0:is>
          <ns0:t>2026-01-01</ns0:t>
        </ns0:is>
      </ns0:c>
      <ns0:c r="AG393" s="74" t="inlineStr">
        <ns0:is>
          <ns0:t>CMB International Global Markets Limited</ns0:t>
        </ns0:is>
      </ns0:c>
      <ns0:c r="AH393" s="74" t="inlineStr">
        <ns0:is>
          <ns0:t>CMB</ns0:t>
        </ns0:is>
      </ns0:c>
      <ns0:c r="AI393" s="86" t="n">
        <ns0:v>-14.2</ns0:v>
      </ns0:c>
      <ns0:c r="AJ393" s="87" t="n">
        <ns0:v>-27.84</ns0:v>
      </ns0:c>
      <ns0:c r="AK393" s="87" t="n">
        <ns0:v>0.51</ns0:v>
      </ns0:c>
      <ns0:c r="AL393" s="87" t="n">
        <ns0:v>-28.98</ns0:v>
      </ns0:c>
      <ns0:c r="AM393" s="87" t="n">
        <ns0:v>1.61</ns0:v>
      </ns0:c>
      <ns0:c r="AN393" s="89" t="n">
        <ns0:v>3.7</ns0:v>
      </ns0:c>
      <ns0:c r="AO393" s="78" t="n">
        <ns0:v>10.4</ns0:v>
      </ns0:c>
      <ns0:c r="AP393" s="87" t="n">
        <ns0:v>-28.69</ns0:v>
      </ns0:c>
      <ns0:c r="AQ393" s="87" t="n">
        <ns0:v>-37.22</ns0:v>
      </ns0:c>
      <ns0:c r="AR393" s="87" t="n">
        <ns0:v>-33.66</ns0:v>
      </ns0:c>
      <ns0:c r="AS393" s="87" t="n">
        <ns0:v>-1.18</ns0:v>
      </ns0:c>
      <ns0:c r="AT393" s="87" t="n">
        <ns0:v>-13</ns0:v>
      </ns0:c>
      <ns0:c r="AU393" s="87" t="n">
        <ns0:v>-8.07</ns0:v>
      </ns0:c>
      <ns0:c r="AV393" s="87" t="n">
        <ns0:v>-28.28</ns0:v>
      </ns0:c>
      <ns0:c r="AW393" s="87" t="n">
        <ns0:v>-35.45</ns0:v>
      </ns0:c>
      <ns0:c r="AX393" s="87" t="n">
        <ns0:v>-27.83</ns0:v>
      </ns0:c>
      <ns0:c r="AY393" s="87" t="n">
        <ns0:v>-10.74</ns0:v>
      </ns0:c>
      <ns0:c r="AZ393" s="87" t="n">
        <ns0:v>-1.77</ns0:v>
      </ns0:c>
      <ns0:c r="BA393" s="87" t="n">
        <ns0:v>-2.26</ns0:v>
      </ns0:c>
      <ns0:c r="BB393" s="74" t="inlineStr">
        <ns0:is>
          <ns0:t>Hang Seng Commerce &amp; Industry sub-index</ns0:t>
        </ns0:is>
      </ns0:c>
      <ns0:c r="BC393" s="87" t="n">
        <ns0:v>-40.41</ns0:v>
      </ns0:c>
      <ns0:c r="BD393" s="75" t="n">
        <ns0:v>46297</ns0:v>
      </ns0:c>
      <ns0:c r="BE393" s="76" t="n">
        <ns0:v>1269.9</ns0:v>
      </ns0:c>
      <ns0:c r="BF393" s="79" t="n">
        <ns0:v>82.40000000000001</ns0:v>
      </ns0:c>
      <ns0:c r="BG393" s="74" t="inlineStr">
        <ns0:is>
          <ns0:t>Y</ns0:t>
        </ns0:is>
      </ns0:c>
      <ns0:c r="BH393" s="89" t="n">
        <ns0:v>58.2</ns0:v>
      </ns0:c>
      <ns0:c r="BI393" s="89" t="n">
        <ns0:v>32.8</ns0:v>
      </ns0:c>
      <ns0:c r="BJ393" s="89" t="n">
        <ns0:v>14.1</ns0:v>
      </ns0:c>
      <ns0:c r="BK393" s="89" t="n">
        <ns0:v>3.8</ns0:v>
      </ns0:c>
      <ns0:c r="BL393" s="90">
        <ns0:f>IFERROR(IF('BBG Verify'!S393="","Awaiting Bloomberg",'BBG Verify'!S393),"Awaiting Bloomberg")</ns0:f>
        <ns0:v/>
      </ns0:c>
      <ns0:c r="BM393" s="91" t="inlineStr">
        <ns0:is>
          <ns0:t>N</ns0:t>
        </ns0:is>
      </ns0:c>
      <ns0:c r="BN393" s="92">
        <ns0:f>IFERROR(IF('BBG Verify'!K393="","Awaiting Bloomberg",'BBG Verify'!K393),"Awaiting Bloomberg")</ns0:f>
        <ns0:v/>
      </ns0:c>
      <ns0:c r="BO393" s="74" t="inlineStr">
        <ns0:is>
          <ns0:t>N/A</ns0:t>
        </ns0:is>
      </ns0:c>
      <ns0:c r="BP393" s="74" t="inlineStr">
        <ns0:is>
          <ns0:t>N/A</ns0:t>
        </ns0:is>
      </ns0:c>
      <ns0:c r="BQ393" s="74" t="inlineStr">
        <ns0:is>
          <ns0:t>N/A</ns0:t>
        </ns0:is>
      </ns0:c>
      <ns0:c r="BR393" s="74" t="inlineStr">
        <ns0:is>
          <ns0:t>N/A</ns0:t>
        </ns0:is>
      </ns0:c>
      <ns0:c r="BS393" s="74" t="inlineStr">
        <ns0:is>
          <ns0:t>N/A</ns0:t>
        </ns0:is>
      </ns0:c>
      <ns0:c r="BT393" s="74" t="inlineStr">
        <ns0:is>
          <ns0:t>N/A</ns0:t>
        </ns0:is>
      </ns0:c>
      <ns0:c r="BU393" s="91" t="inlineStr">
        <ns0:is>
          <ns0:t>CMB International Capital Limited</ns0:t>
        </ns0:is>
      </ns0:c>
      <ns0:c r="BV393" s="74" t="inlineStr">
        <ns0:is>
          <ns0:t>CMB International Capital Limited</ns0:t>
        </ns0:is>
      </ns0:c>
      <ns0:c r="BW393" s="74" t="inlineStr">
        <ns0:is>
          <ns0: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ns0:t>
        </ns0:is>
      </ns0:c>
      <ns0:c r="BX393" s="74" t="inlineStr">
        <ns0:is>
          <ns0: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ns0:t>
        </ns0:is>
      </ns0:c>
      <ns0:c r="BY393" s="93">
        <ns0:f>HYPERLINK("https://www1.hkexnews.hk/listedco/listconews/sehk/2025/1127/2025112700009.pdf","prospectus")</ns0:f>
        <ns0:v/>
      </ns0:c>
      <ns0:c r="BZ393" s="93">
        <ns0:f>HYPERLINK("https://www1.hkexnews.hk/listedco/listconews/sehk/2025/1204/2025120402156.pdf","allotment")</ns0:f>
        <ns0:v/>
      </ns0:c>
      <ns0:c r="CA393" s="93">
        <ns0:f>HYPERLINK("https://www1.hkexnews.hk/listedco/listconews/sehk/2026/0101/2026010100007.pdf","stabilisation")</ns0:f>
        <ns0:v/>
      </ns0:c>
      <ns0:c r="CB393" s="94" t="n"/>
      <ns0:c r="CC393" s="74" t="inlineStr">
        <ns0:is>
          <ns0:t>market cap: prospectus 'market capitalisation' line is the listing-rule threshold, not the issuer's figure; rejected</ns0:t>
        </ns0:is>
      </ns0:c>
    </ns0:row>
    <ns0:row r="394" ht="22" customHeight="1">
      <ns0:c r="A394" s="73" t="inlineStr">
        <ns0:is>
          <ns0:t>2658</ns0:t>
        </ns0:is>
      </ns0:c>
      <ns0:c r="B394" s="74" t="inlineStr">
        <ns0:is>
          <ns0:t>TIANYU SEMI</ns0:t>
        </ns0:is>
      </ns0:c>
      <ns0:c r="C394" s="74" t="inlineStr">
        <ns0:is>
          <ns0:t>天域半導體</ns0:t>
        </ns0:is>
      </ns0:c>
      <ns0:c r="D394" s="74" t="inlineStr">
        <ns0:is>
          <ns0:t>Technology</ns0:t>
        </ns0:is>
      </ns0:c>
      <ns0:c r="E394" s="74" t="inlineStr">
        <ns0:is>
          <ns0:t>Semiconductors</ns0:t>
        </ns0:is>
      </ns0:c>
      <ns0:c r="F394" s="74" t="inlineStr">
        <ns0:is>
          <ns0:t>Semiconductors &amp; Semiconductor Equipment</ns0:t>
        </ns0:is>
      </ns0:c>
      <ns0:c r="G394" s="74" t="inlineStr">
        <ns0:is>
          <ns0:t>Standard</ns0:t>
        </ns0:is>
      </ns0:c>
      <ns0:c r="H394" s="75" t="n">
        <ns0:v>45996</ns0:v>
      </ns0:c>
      <ns0:c r="I394" s="76" t="n">
        <ns0:v>1744.1</ns0:v>
      </ns0:c>
      <ns0:c r="J394" s="74" t="inlineStr">
        <ns0:is>
          <ns0:t>gross (stated)</ns0:t>
        </ns0:is>
      </ns0:c>
      <ns0:c r="K394" s="95" t="n"/>
      <ns0:c r="L394" s="77" t="n">
        <ns0:v>58</ns0:v>
      </ns0:c>
      <ns0:c r="M394" s="77" t="n">
        <ns0:v>58</ns0:v>
      </ns0:c>
      <ns0:c r="N394" s="74" t="inlineStr">
        <ns0:is>
          <ns0:t>Y</ns0:t>
        </ns0:is>
      </ns0:c>
      <ns0:c r="O394" s="78" t="n">
        <ns0:v>100</ns0:v>
      </ns0:c>
      <ns0:c r="P394" s="84" t="n"/>
      <ns0:c r="Q394" s="79" t="n">
        <ns0:v>22810</ns0:v>
      </ns0:c>
      <ns0:c r="R394" s="74" t="inlineStr">
        <ns0:is>
          <ns0:t>prospectus:stated market capitalisation</ns0:t>
        </ns0:is>
      </ns0:c>
      <ns0:c r="S394" s="80" t="n">
        <ns0:v>60.63</ns0:v>
      </ns0:c>
      <ns0:c r="T394" s="81" t="n">
        <ns0:v>2.47</ns0:v>
      </ns0:c>
      <ns0:c r="U394" s="82" t="n">
        <ns0:v>9.26</ns0:v>
      </ns0:c>
      <ns0:c r="V394" s="83" t="n">
        <ns0:v>57</ns0:v>
      </ns0:c>
      <ns0:c r="W394" s="78" t="n">
        <ns0:v>10</ns0:v>
      </ns0:c>
      <ns0:c r="X394" s="74" t="inlineStr">
        <ns0:is>
          <ns0:t>NO</ns0:t>
        </ns0:is>
      </ns0:c>
      <ns0:c r="Y394" s="79" t="n">
        <ns0:v>1582.6</ns0:v>
      </ns0:c>
      <ns0:c r="Z394" s="79" t="n">
        <ns0:v>27285972</ns0:v>
      </ns0:c>
      <ns0:c r="AA394" s="78" t="n">
        <ns0:v>6.94</ns0:v>
      </ns0:c>
      <ns0:c r="AB394" s="74" t="inlineStr">
        <ns0:is>
          <ns0:t>Guangdong Primitive Forest Fund Management Co., Ltd* and GF Global Capital Limited; Glory Ocean Innovation Limited</ns0:t>
        </ns0:is>
      </ns0:c>
      <ns0:c r="AC394" s="74" t="inlineStr">
        <ns0:is>
          <ns0:t>guangdong;glory</ns0:t>
        </ns0:is>
      </ns0:c>
      <ns0:c r="AD394" s="78" t="n">
        <ns0:v>7.3537</ns0:v>
      </ns0:c>
      <ns0:c r="AE394" s="74" t="inlineStr">
        <ns0:is>
          <ns0:t>lapsed (no over-allocation)</ns0:t>
        </ns0:is>
      </ns0:c>
      <ns0:c r="AF394" s="85" t="n"/>
      <ns0:c r="AG394" s="74" t="inlineStr">
        <ns0:is>
          <ns0:t>CLSA Limited</ns0:t>
        </ns0:is>
      </ns0:c>
      <ns0:c r="AH394" s="74" t="inlineStr">
        <ns0:is>
          <ns0:t>CLSA</ns0:t>
        </ns0:is>
      </ns0:c>
      <ns0:c r="AI394" s="86" t="n">
        <ns0:v>-14.59</ns0:v>
      </ns0:c>
      <ns0:c r="AJ394" s="87" t="n">
        <ns0:v>-30.17</ns0:v>
      </ns0:c>
      <ns0:c r="AK394" s="87" t="n">
        <ns0:v>0.73</ns0:v>
      </ns0:c>
      <ns0:c r="AL394" s="87" t="n">
        <ns0:v>-34.48</ns0:v>
      </ns0:c>
      <ns0:c r="AM394" s="87" t="n">
        <ns0:v>6.58</ns0:v>
      </ns0:c>
      <ns0:c r="AN394" s="89" t="n">
        <ns0:v>1.24</ns0:v>
      </ns0:c>
      <ns0:c r="AO394" s="78" t="n">
        <ns0:v>25.89</ns0:v>
      </ns0:c>
      <ns0:c r="AP394" s="87" t="n">
        <ns0:v>-21.69</ns0:v>
      </ns0:c>
      <ns0:c r="AQ394" s="87" t="n">
        <ns0:v>-17.79</ns0:v>
      </ns0:c>
      <ns0:c r="AR394" s="87" t="n">
        <ns0:v>-17.93</ns0:v>
      </ns0:c>
      <ns0:c r="AS394" s="87" t="n">
        <ns0:v>12.14</ns0:v>
      </ns0:c>
      <ns0:c r="AT394" s="87" t="n">
        <ns0:v>17.73</ns0:v>
      </ns0:c>
      <ns0:c r="AU394" s="87" t="n">
        <ns0:v>17.53</ns0:v>
      </ns0:c>
      <ns0:c r="AV394" s="87" t="n">
        <ns0:v>-21.96</ns0:v>
      </ns0:c>
      <ns0:c r="AW394" s="87" t="n">
        <ns0:v>-18.79</ns0:v>
      </ns0:c>
      <ns0:c r="AX394" s="87" t="n">
        <ns0:v>-7.46</ns0:v>
      </ns0:c>
      <ns0:c r="AY394" s="87" t="n">
        <ns0:v>17.46</ns0:v>
      </ns0:c>
      <ns0:c r="AZ394" s="87" t="n">
        <ns0:v>1</ns0:v>
      </ns0:c>
      <ns0:c r="BA394" s="87" t="n">
        <ns0:v>0.27</ns0:v>
      </ns0:c>
      <ns0:c r="BB394" s="74" t="inlineStr">
        <ns0:is>
          <ns0:t>HSTECH (Hang Seng TECH ETF)</ns0:t>
        </ns0:is>
      </ns0:c>
      <ns0:c r="BC394" s="87" t="n">
        <ns0:v>-14.66</ns0:v>
      </ns0:c>
      <ns0:c r="BD394" s="75" t="n">
        <ns0:v>46297</ns0:v>
      </ns0:c>
      <ns0:c r="BE394" s="76" t="n">
        <ns0:v>571.6</ns0:v>
      </ns0:c>
      <ns0:c r="BF394" s="79" t="n">
        <ns0:v>-610.1</ns0:v>
      </ns0:c>
      <ns0:c r="BG394" s="74" t="inlineStr">
        <ns0:is>
          <ns0:t>N</ns0:t>
        </ns0:is>
      </ns0:c>
      <ns0:c r="BH394" s="74" t="inlineStr">
        <ns0:is>
          <ns0:t>n/m</ns0:t>
        </ns0:is>
      </ns0:c>
      <ns0:c r="BI394" s="88" t="n"/>
      <ns0:c r="BJ394" s="88" t="n"/>
      <ns0:c r="BK394" s="89" t="n">
        <ns0:v>39.9</ns0:v>
      </ns0:c>
      <ns0:c r="BL394" s="90">
        <ns0:f>IFERROR(IF('BBG Verify'!S394="","Awaiting Bloomberg",'BBG Verify'!S394),"Awaiting Bloomberg")</ns0:f>
        <ns0:v/>
      </ns0:c>
      <ns0:c r="BM394" s="91" t="inlineStr">
        <ns0:is>
          <ns0:t>N</ns0:t>
        </ns0:is>
      </ns0:c>
      <ns0:c r="BN394" s="92">
        <ns0:f>IFERROR(IF('BBG Verify'!K394="","Awaiting Bloomberg",'BBG Verify'!K394),"Awaiting Bloomberg")</ns0:f>
        <ns0:v/>
      </ns0:c>
      <ns0:c r="BO394" s="74" t="inlineStr">
        <ns0:is>
          <ns0:t>N/A</ns0:t>
        </ns0:is>
      </ns0:c>
      <ns0:c r="BP394" s="74" t="inlineStr">
        <ns0:is>
          <ns0:t>N/A</ns0:t>
        </ns0:is>
      </ns0:c>
      <ns0:c r="BQ394" s="74" t="inlineStr">
        <ns0:is>
          <ns0:t>N/A</ns0:t>
        </ns0:is>
      </ns0:c>
      <ns0:c r="BR394" s="74" t="inlineStr">
        <ns0:is>
          <ns0:t>N/A</ns0:t>
        </ns0:is>
      </ns0:c>
      <ns0:c r="BS394" s="74" t="inlineStr">
        <ns0:is>
          <ns0:t>N/A</ns0:t>
        </ns0:is>
      </ns0:c>
      <ns0:c r="BT394" s="74" t="inlineStr">
        <ns0:is>
          <ns0:t>N/A</ns0:t>
        </ns0:is>
      </ns0:c>
      <ns0:c r="BU394" s="91" t="inlineStr">
        <ns0:is>
          <ns0:t>CITIC Securities (Hong Kong) Limited</ns0:t>
        </ns0:is>
      </ns0:c>
      <ns0:c r="BV394" s="74" t="inlineStr">
        <ns0:is>
          <ns0:t>CITIC Securities (Hong Kong) Limited</ns0:t>
        </ns0:is>
      </ns0:c>
      <ns0:c r="BW394" s="74" t="inlineStr">
        <ns0:is>
          <ns0:t>CLSA Limited; China International Capital Corporation Hong Kong Securities Limited; GF Securities (Hong Kong) Brokerage Limited; CMB International Capital Limited; ABCI Capital Limited; Cheer Union Securities Limited; CNI Securities Group Limited; Futu Securities International (Hong Kong) Limited; ICBC International Securities Limited; Livermore Holdings Limited; Shenwan Hongyuan Securities (H.K.) Limited; Sinolink Securities (Hong Kong) Company Limited</ns0:t>
        </ns0:is>
      </ns0:c>
      <ns0:c r="BX394" s="74" t="inlineStr">
        <ns0:is>
          <ns0: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ns0:t>
        </ns0:is>
      </ns0:c>
      <ns0:c r="BY394" s="93">
        <ns0:f>HYPERLINK("https://www1.hkexnews.hk/listedco/listconews/sehk/2025/1127/2025112700013.pdf","prospectus")</ns0:f>
        <ns0:v/>
      </ns0:c>
      <ns0:c r="BZ394" s="93">
        <ns0:f>HYPERLINK("https://www1.hkexnews.hk/listedco/listconews/sehk/2025/1204/2025120402598.pdf","allotment")</ns0:f>
        <ns0:v/>
      </ns0:c>
      <ns0:c r="CA394" s="93">
        <ns0:f>HYPERLINK("https://www1.hkexnews.hk/listedco/listconews/sehk/2026/0101/2026010100003.pdf","stabilisation")</ns0:f>
        <ns0:v/>
      </ns0:c>
      <ns0:c r="CB394" s="94" t="n"/>
      <ns0:c r="CC394" s="74" t="inlineStr">
        <ns0:is>
          <ns0:t>P/E: loss-making at IPO, use P/S; greenshoe: outcome published; expiry date not in the notice; range low: maximum offer price only, no floor published</ns0:t>
        </ns0:is>
      </ns0:c>
    </ns0:row>
    <ns0:row r="395" ht="22" customHeight="1">
      <ns0:c r="A395" s="73" t="inlineStr">
        <ns0:is>
          <ns0:t>2676</ns0:t>
        </ns0:is>
      </ns0:c>
      <ns0:c r="B395" s="74" t="inlineStr">
        <ns0:is>
          <ns0:t>NOVOSENSE</ns0:t>
        </ns0:is>
      </ns0:c>
      <ns0:c r="C395" s="74" t="inlineStr">
        <ns0:is>
          <ns0:t>納芯微</ns0:t>
        </ns0:is>
      </ns0:c>
      <ns0:c r="D395" s="74" t="inlineStr">
        <ns0:is>
          <ns0:t>Technology</ns0:t>
        </ns0:is>
      </ns0:c>
      <ns0:c r="E395" s="74" t="inlineStr">
        <ns0:is>
          <ns0:t>Semiconductors</ns0:t>
        </ns0:is>
      </ns0:c>
      <ns0:c r="F395" s="74" t="inlineStr">
        <ns0:is>
          <ns0:t>Semiconductors &amp; Semiconductor Equipment</ns0:t>
        </ns0:is>
      </ns0:c>
      <ns0:c r="G395" s="74" t="inlineStr">
        <ns0:is>
          <ns0:t>Standard</ns0:t>
        </ns0:is>
      </ns0:c>
      <ns0:c r="H395" s="75" t="n">
        <ns0:v>45999</ns0:v>
      </ns0:c>
      <ns0:c r="I395" s="76" t="n">
        <ns0:v>2211.9</ns0:v>
      </ns0:c>
      <ns0:c r="J395" s="74" t="inlineStr">
        <ns0:is>
          <ns0:t>gross (stated)</ns0:t>
        </ns0:is>
      </ns0:c>
      <ns0:c r="K395" s="95" t="n"/>
      <ns0:c r="L395" s="77" t="n">
        <ns0:v>116</ns0:v>
      </ns0:c>
      <ns0:c r="M395" s="77" t="n">
        <ns0:v>116</ns0:v>
      </ns0:c>
      <ns0:c r="N395" s="74" t="inlineStr">
        <ns0:is>
          <ns0:t>Y</ns0:t>
        </ns0:is>
      </ns0:c>
      <ns0:c r="O395" s="78" t="n">
        <ns0:v>100</ns0:v>
      </ns0:c>
      <ns0:c r="P395" s="84" t="n"/>
      <ns0:c r="Q395" s="79" t="n">
        <ns0:v>18745.2</ns0:v>
      </ns0:c>
      <ns0:c r="R395" s="74" t="inlineStr">
        <ns0:is>
          <ns0:t>derived:price x shares upon listing</ns0:t>
        </ns0:is>
      </ns0:c>
      <ns0:c r="S395" s="80" t="n">
        <ns0:v>25.33</ns0:v>
      </ns0:c>
      <ns0:c r="T395" s="81" t="n">
        <ns0:v>2.65</ns0:v>
      </ns0:c>
      <ns0:c r="U395" s="82" t="n">
        <ns0:v>49.23</ns0:v>
      </ns0:c>
      <ns0:c r="V395" s="83" t="n">
        <ns0:v>70</ns0:v>
      </ns0:c>
      <ns0:c r="W395" s="78" t="n">
        <ns0:v>10</ns0:v>
      </ns0:c>
      <ns0:c r="X395" s="74" t="inlineStr">
        <ns0:is>
          <ns0:t>NO</ns0:t>
        </ns0:is>
      </ns0:c>
      <ns0:c r="Y395" s="79" t="n">
        <ns0:v>1122.98</ns0:v>
      </ns0:c>
      <ns0:c r="Z395" s="79" t="n">
        <ns0:v>9681027</ns0:v>
      </ns0:c>
      <ns0:c r="AA395" s="78" t="n">
        <ns0:v>5.99</ns0:v>
      </ns0:c>
      <ns0:c r="AB395" s="74" t="inlineStr">
        <ns0:is>
          <ns0:t>Oriza Naxin; Golden Link; Hield International; Perseverance Asset Management; 3W Fund; Green Better Limited; Dream ee HK Fund</ns0:t>
        </ns0:is>
      </ns0:c>
      <ns0:c r="AC395" s="74" t="inlineStr">
        <ns0:is>
          <ns0:t>oriza;golden-link;hield;perseverance;3w;green;dream</ns0:t>
        </ns0:is>
      </ns0:c>
      <ns0:c r="AD395" s="78" t="n">
        <ns0:v>15</ns0:v>
      </ns0:c>
      <ns0:c r="AE395" s="74" t="inlineStr">
        <ns0:is>
          <ns0:t>partial</ns0:t>
        </ns0:is>
      </ns0:c>
      <ns0:c r="AF395" s="74" t="inlineStr">
        <ns0:is>
          <ns0:t>2026-01-02</ns0:t>
        </ns0:is>
      </ns0:c>
      <ns0:c r="AG395" s="74" t="inlineStr">
        <ns0:is>
          <ns0:t>China International Capital Corporation Hong Kong Securities Limited</ns0:t>
        </ns0:is>
      </ns0:c>
      <ns0:c r="AH395" s="74" t="inlineStr">
        <ns0:is>
          <ns0:t>China International</ns0:t>
        </ns0:is>
      </ns0:c>
      <ns0:c r="AI395" s="86" t="n">
        <ns0:v>-8.880000000000001</ns0:v>
      </ns0:c>
      <ns0:c r="AJ395" s="87" t="n">
        <ns0:v>-4.31</ns0:v>
      </ns0:c>
      <ns0:c r="AK395" s="87" t="n">
        <ns0:v>0.09</ns0:v>
      </ns0:c>
      <ns0:c r="AL395" s="87" t="n">
        <ns0:v>0</ns0:v>
      </ns0:c>
      <ns0:c r="AM395" s="87" t="n">
        <ns0:v>-4.31</ns0:v>
      </ns0:c>
      <ns0:c r="AN395" s="89" t="n">
        <ns0:v>1.06</ns0:v>
      </ns0:c>
      <ns0:c r="AO395" s="78" t="n">
        <ns0:v>9.31</ns0:v>
      </ns0:c>
      <ns0:c r="AP395" s="87" t="n">
        <ns0:v>-2.5</ns0:v>
      </ns0:c>
      <ns0:c r="AQ395" s="87" t="n">
        <ns0:v>20.78</ns0:v>
      </ns0:c>
      <ns0:c r="AR395" s="87" t="n">
        <ns0:v>8.619999999999999</ns0:v>
      </ns0:c>
      <ns0:c r="AS395" s="87" t="n">
        <ns0:v>1.89</ns0:v>
      </ns0:c>
      <ns0:c r="AT395" s="87" t="n">
        <ns0:v>26.22</ns0:v>
      </ns0:c>
      <ns0:c r="AU395" s="87" t="n">
        <ns0:v>13.51</ns0:v>
      </ns0:c>
      <ns0:c r="AV395" s="87" t="n">
        <ns0:v>0.3</ns0:v>
      </ns0:c>
      <ns0:c r="AW395" s="87" t="n">
        <ns0:v>20.33</ns0:v>
      </ns0:c>
      <ns0:c r="AX395" s="87" t="n">
        <ns0:v>20.71</ns0:v>
      </ns0:c>
      <ns0:c r="AY395" s="87" t="n">
        <ns0:v>25.86</ns0:v>
      </ns0:c>
      <ns0:c r="AZ395" s="87" t="n">
        <ns0:v>0.45</ns0:v>
      </ns0:c>
      <ns0:c r="BA395" s="87" t="n">
        <ns0:v>0.36</ns0:v>
      </ns0:c>
      <ns0:c r="BB395" s="74" t="inlineStr">
        <ns0:is>
          <ns0:t>HSTECH (Hang Seng TECH ETF)</ns0:t>
        </ns0:is>
      </ns0:c>
      <ns0:c r="BC395" s="87" t="n">
        <ns0:v>46.55</ns0:v>
      </ns0:c>
      <ns0:c r="BD395" s="75" t="n">
        <ns0:v>46297</ns0:v>
      </ns0:c>
      <ns0:c r="BE395" s="76" t="n">
        <ns0:v>2156.3</ns0:v>
      </ns0:c>
      <ns0:c r="BF395" s="79" t="n">
        <ns0:v>-419.5</ns0:v>
      </ns0:c>
      <ns0:c r="BG395" s="74" t="inlineStr">
        <ns0:is>
          <ns0:t>N</ns0:t>
        </ns0:is>
      </ns0:c>
      <ns0:c r="BH395" s="74" t="inlineStr">
        <ns0:is>
          <ns0:t>n/m</ns0:t>
        </ns0:is>
      </ns0:c>
      <ns0:c r="BI395" s="88" t="n"/>
      <ns0:c r="BJ395" s="88" t="n"/>
      <ns0:c r="BK395" s="89" t="n">
        <ns0:v>8.699999999999999</ns0:v>
      </ns0:c>
      <ns0:c r="BL395" s="90">
        <ns0:f>IFERROR(IF('BBG Verify'!S395="","Awaiting Bloomberg",'BBG Verify'!S395),"Awaiting Bloomberg")</ns0:f>
        <ns0:v/>
      </ns0:c>
      <ns0:c r="BM395" s="91" t="inlineStr">
        <ns0:is>
          <ns0:t>Y</ns0:t>
        </ns0:is>
      </ns0:c>
      <ns0:c r="BN395" s="74" t="inlineStr">
        <ns0:is>
          <ns0:t>688052.SS</ns0:t>
        </ns0:is>
      </ns0:c>
      <ns0:c r="BO395" s="87" t="n">
        <ns0:v>50.14</ns0:v>
      </ns0:c>
      <ns0:c r="BP395" s="77" t="n">
        <ns0:v>174.1672</ns0:v>
      </ns0:c>
      <ns0:c r="BQ395" s="101" t="n">
        <ns0:v>0.6268</ns0:v>
      </ns0:c>
      <ns0:c r="BR395" s="79" t="n">
        <ns0:v>45235.8</ns0:v>
      </ns0:c>
      <ns0:c r="BS395" s="90">
        <ns0:f>IFERROR(IF('BBG Verify'!Q395="","Awaiting Bloomberg",'BBG Verify'!Q395),"Awaiting Bloomberg")</ns0:f>
        <ns0:v/>
      </ns0:c>
      <ns0:c r="BT395" s="90">
        <ns0:f>IFERROR(IF('BBG Verify'!R395="","Awaiting Bloomberg",'BBG Verify'!R395),"Awaiting Bloomberg")</ns0:f>
        <ns0:v/>
      </ns0:c>
      <ns0:c r="BU395" s="91" t="inlineStr">
        <ns0:is>
          <ns0:t>China International Capital Corporation Hong Kong Securities Limited; CITIC Securities (Hong Kong) Limited; CCB International Capital Limited</ns0:t>
        </ns0:is>
      </ns0:c>
      <ns0:c r="BV395" s="74" t="inlineStr">
        <ns0:is>
          <ns0:t>China International Capital Corporation Hong Kong Securities Limited; CCB International Capital Limited; CITIC Securities (Hong Kong) Limited</ns0:t>
        </ns0:is>
      </ns0:c>
      <ns0:c r="BW395" s="74" t="inlineStr">
        <ns0:is>
          <ns0: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I Win Securities Limited</ns0:t>
        </ns0:is>
      </ns0:c>
      <ns0:c r="BX395" s="74" t="inlineStr">
        <ns0:is>
          <ns0: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ns0:t>
        </ns0:is>
      </ns0:c>
      <ns0:c r="BY395" s="93">
        <ns0:f>HYPERLINK("https://www1.hkexnews.hk/listedco/listconews/sehk/2025/1128/2025112800015.pdf","prospectus")</ns0:f>
        <ns0:v/>
      </ns0:c>
      <ns0:c r="BZ395" s="93">
        <ns0:f>HYPERLINK("https://www1.hkexnews.hk/listedco/listconews/sehk/2025/1205/2025120501747.pdf","allotment")</ns0:f>
        <ns0:v/>
      </ns0:c>
      <ns0:c r="CA395" s="93">
        <ns0:f>HYPERLINK("https://www1.hkexnews.hk/listedco/listconews/sehk/2026/0102/2026010203002.pdf","stabilisation")</ns0:f>
        <ns0:v/>
      </ns0:c>
      <ns0:c r="CB395" s="94" t="n"/>
      <ns0:c r="CC395" s="74" t="inlineStr">
        <ns0:is>
          <ns0:t>P/E: loss-making at IPO, use P/S; range low: maximum offer price only, no floor published; A/H: Dec 2025 H listing (analog/mixed-signal chips)</ns0:t>
        </ns0:is>
      </ns0:c>
    </ns0:row>
    <ns0:row r="396" ht="22" customHeight="1">
      <ns0:c r="A396" s="73" t="inlineStr">
        <ns0:is>
          <ns0:t>2687</ns0:t>
        </ns0:is>
      </ns0:c>
      <ns0:c r="B396" s="74" t="inlineStr">
        <ns0:is>
          <ns0:t>ABLE DIGITAL</ns0:t>
        </ns0:is>
      </ns0:c>
      <ns0:c r="C396" s="74" t="inlineStr">
        <ns0:is>
          <ns0:t>卓越睿新</ns0:t>
        </ns0:is>
      </ns0:c>
      <ns0:c r="D396" s="74" t="inlineStr">
        <ns0:is>
          <ns0:t>Technology</ns0:t>
        </ns0:is>
      </ns0:c>
      <ns0:c r="E396" s="74" t="inlineStr">
        <ns0:is>
          <ns0:t>Software &amp; AI</ns0:t>
        </ns0:is>
      </ns0:c>
      <ns0:c r="F396" s="74" t="inlineStr">
        <ns0:is>
          <ns0:t>Education Services</ns0:t>
        </ns0:is>
      </ns0:c>
      <ns0:c r="G396" s="74" t="inlineStr">
        <ns0:is>
          <ns0:t>Standard</ns0:t>
        </ns0:is>
      </ns0:c>
      <ns0:c r="H396" s="75" t="n">
        <ns0:v>45999</ns0:v>
      </ns0:c>
      <ns0:c r="I396" s="76" t="n">
        <ns0:v>450</ns0:v>
      </ns0:c>
      <ns0:c r="J396" s="74" t="inlineStr">
        <ns0:is>
          <ns0:t>gross (stated)</ns0:t>
        </ns0:is>
      </ns0:c>
      <ns0:c r="K396" s="77" t="n">
        <ns0:v>62.26</ns0:v>
      </ns0:c>
      <ns0:c r="L396" s="77" t="n">
        <ns0:v>76.09999999999999</ns0:v>
      </ns0:c>
      <ns0:c r="M396" s="77" t="n">
        <ns0:v>67.5</ns0:v>
      </ns0:c>
      <ns0:c r="N396" s="74" t="inlineStr">
        <ns0:is>
          <ns0:t>N</ns0:t>
        </ns0:is>
      </ns0:c>
      <ns0:c r="O396" s="78" t="n">
        <ns0:v>88.7</ns0:v>
      </ns0:c>
      <ns0:c r="P396" s="78" t="n">
        <ns0:v>37.9</ns0:v>
      </ns0:c>
      <ns0:c r="Q396" s="79" t="n">
        <ns0:v>4500</ns0:v>
      </ns0:c>
      <ns0:c r="R396" s="74" t="inlineStr">
        <ns0:is>
          <ns0:t>derived:price x shares upon listing</ns0:t>
        </ns0:is>
      </ns0:c>
      <ns0:c r="S396" s="80" t="n">
        <ns0:v>4813.4</ns0:v>
      </ns0:c>
      <ns0:c r="T396" s="81" t="n">
        <ns0:v>2.33</ns0:v>
      </ns0:c>
      <ns0:c r="U396" s="82" t="n">
        <ns0:v>0</ns0:v>
      </ns0:c>
      <ns0:c r="V396" s="83" t="n">
        <ns0:v>77</ns0:v>
      </ns0:c>
      <ns0:c r="W396" s="78" t="n">
        <ns0:v>10</ns0:v>
      </ns0:c>
      <ns0:c r="X396" s="74" t="inlineStr">
        <ns0:is>
          <ns0:t>NA</ns0:t>
        </ns0:is>
      </ns0:c>
      <ns0:c r="Y396" s="79" t="n">
        <ns0:v>450</ns0:v>
      </ns0:c>
      <ns0:c r="Z396" s="79" t="n">
        <ns0:v>6666700</ns0:v>
      </ns0:c>
      <ns0:c r="AA396" s="78" t="n">
        <ns0:v>10</ns0:v>
      </ns0:c>
      <ns0:c r="AB396" s="74" t="inlineStr">
        <ns0:is>
          <ns0:t>none — no cornerstone tranche</ns0:t>
        </ns0:is>
      </ns0:c>
      <ns0:c r="AC396" s="74" t="inlineStr">
        <ns0:is>
          <ns0:t>none</ns0:t>
        </ns0:is>
      </ns0:c>
      <ns0:c r="AD396" s="84" t="n"/>
      <ns0:c r="AE396" s="85" t="n"/>
      <ns0:c r="AF396" s="85" t="n"/>
      <ns0:c r="AG396" s="85" t="n"/>
      <ns0:c r="AH396" s="85" t="n"/>
      <ns0:c r="AI396" s="86" t="n">
        <ns0:v>29.7</ns0:v>
      </ns0:c>
      <ns0:c r="AJ396" s="87" t="n">
        <ns0:v>87.26000000000001</ns0:v>
      </ns0:c>
      <ns0:c r="AK396" s="87" t="n">
        <ns0:v>0.09</ns0:v>
      </ns0:c>
      <ns0:c r="AL396" s="87" t="n">
        <ns0:v>23.85</ns0:v>
      </ns0:c>
      <ns0:c r="AM396" s="87" t="n">
        <ns0:v>51.2</ns0:v>
      </ns0:c>
      <ns0:c r="AN396" s="89" t="n">
        <ns0:v>2.27</ns0:v>
      </ns0:c>
      <ns0:c r="AO396" s="78" t="n">
        <ns0:v>72.37</ns0:v>
      </ns0:c>
      <ns0:c r="AP396" s="87" t="n">
        <ns0:v>140</ns0:v>
      </ns0:c>
      <ns0:c r="AQ396" s="87" t="n">
        <ns0:v>138.52</ns0:v>
      </ns0:c>
      <ns0:c r="AR396" s="87" t="n">
        <ns0:v>107.7</ns0:v>
      </ns0:c>
      <ns0:c r="AS396" s="87" t="n">
        <ns0:v>28.16</ns0:v>
      </ns0:c>
      <ns0:c r="AT396" s="87" t="n">
        <ns0:v>27.37</ns0:v>
      </ns0:c>
      <ns0:c r="AU396" s="87" t="n">
        <ns0:v>10.92</ns0:v>
      </ns0:c>
      <ns0:c r="AV396" s="87" t="n">
        <ns0:v>142.8</ns0:v>
      </ns0:c>
      <ns0:c r="AW396" s="87" t="n">
        <ns0:v>138.07</ns0:v>
      </ns0:c>
      <ns0:c r="AX396" s="87" t="n">
        <ns0:v>119.79</ns0:v>
      </ns0:c>
      <ns0:c r="AY396" s="87" t="n">
        <ns0:v>27.01</ns0:v>
      </ns0:c>
      <ns0:c r="AZ396" s="87" t="n">
        <ns0:v>0.45</ns0:v>
      </ns0:c>
      <ns0:c r="BA396" s="87" t="n">
        <ns0:v>0.36</ns0:v>
      </ns0:c>
      <ns0:c r="BB396" s="74" t="inlineStr">
        <ns0:is>
          <ns0:t>HSTECH (Hang Seng TECH ETF)</ns0:t>
        </ns0:is>
      </ns0:c>
      <ns0:c r="BC396" s="87" t="n">
        <ns0:v>289.93</ns0:v>
      </ns0:c>
      <ns0:c r="BD396" s="75" t="n">
        <ns0:v>46297</ns0:v>
      </ns0:c>
      <ns0:c r="BE396" s="76" t="n">
        <ns0:v>933</ns0:v>
      </ns0:c>
      <ns0:c r="BF396" s="79" t="n">
        <ns0:v>117.3</ns0:v>
      </ns0:c>
      <ns0:c r="BG396" s="74" t="inlineStr">
        <ns0:is>
          <ns0:t>Y</ns0:t>
        </ns0:is>
      </ns0:c>
      <ns0:c r="BH396" s="89" t="n">
        <ns0:v>38.4</ns0:v>
      </ns0:c>
      <ns0:c r="BI396" s="89" t="n">
        <ns0:v>72.59999999999999</ns0:v>
      </ns0:c>
      <ns0:c r="BJ396" s="89" t="n">
        <ns0:v>113.4</ns0:v>
      </ns0:c>
      <ns0:c r="BK396" s="89" t="n">
        <ns0:v>4.8</ns0:v>
      </ns0:c>
      <ns0:c r="BL396" s="90">
        <ns0:f>IFERROR(IF('BBG Verify'!S396="","Awaiting Bloomberg",'BBG Verify'!S396),"Awaiting Bloomberg")</ns0:f>
        <ns0:v/>
      </ns0:c>
      <ns0:c r="BM396" s="91" t="inlineStr">
        <ns0:is>
          <ns0:t>N</ns0:t>
        </ns0:is>
      </ns0:c>
      <ns0:c r="BN396" s="92">
        <ns0:f>IFERROR(IF('BBG Verify'!K396="","Awaiting Bloomberg",'BBG Verify'!K396),"Awaiting Bloomberg")</ns0:f>
        <ns0:v/>
      </ns0:c>
      <ns0:c r="BO396" s="74" t="inlineStr">
        <ns0:is>
          <ns0:t>N/A</ns0:t>
        </ns0:is>
      </ns0:c>
      <ns0:c r="BP396" s="74" t="inlineStr">
        <ns0:is>
          <ns0:t>N/A</ns0:t>
        </ns0:is>
      </ns0:c>
      <ns0:c r="BQ396" s="74" t="inlineStr">
        <ns0:is>
          <ns0:t>N/A</ns0:t>
        </ns0:is>
      </ns0:c>
      <ns0:c r="BR396" s="74" t="inlineStr">
        <ns0:is>
          <ns0:t>N/A</ns0:t>
        </ns0:is>
      </ns0:c>
      <ns0:c r="BS396" s="74" t="inlineStr">
        <ns0:is>
          <ns0:t>N/A</ns0:t>
        </ns0:is>
      </ns0:c>
      <ns0:c r="BT396" s="74" t="inlineStr">
        <ns0:is>
          <ns0:t>N/A</ns0:t>
        </ns0:is>
      </ns0:c>
      <ns0:c r="BU396" s="91" t="inlineStr">
        <ns0:is>
          <ns0:t>ABCI Capital Limited</ns0:t>
        </ns0:is>
      </ns0:c>
      <ns0:c r="BV396" s="74" t="inlineStr">
        <ns0:is>
          <ns0:t>ABCI Capital Limited</ns0:t>
        </ns0:is>
      </ns0:c>
      <ns0:c r="BW396" s="74" t="inlineStr">
        <ns0:is>
          <ns0:t>ABCI Capital Limited</ns0:t>
        </ns0:is>
      </ns0:c>
      <ns0:c r="BX396" s="74" t="inlineStr">
        <ns0:is>
          <ns0:t>ABCI Securities Company Limited; Livermore Holdings Limited; Tiger Brokers (HK) Global Limited</ns0:t>
        </ns0:is>
      </ns0:c>
      <ns0:c r="BY396" s="93">
        <ns0:f>HYPERLINK("https://www1.hkexnews.hk/listedco/listconews/sehk/2025/1128/2025112800005.pdf","prospectus")</ns0:f>
        <ns0:v/>
      </ns0:c>
      <ns0:c r="BZ396" s="93">
        <ns0:f>HYPERLINK("https://www1.hkexnews.hk/listedco/listconews/sehk/2025/1205/2025120501787.pdf","allotment")</ns0:f>
        <ns0:v/>
      </ns0:c>
      <ns0:c r="CA396" s="85" t="n"/>
      <ns0:c r="CB396" s="94" t="n"/>
      <ns0:c r="CC396" s="74" t="inlineStr">
        <ns0:is>
          <ns0:t>greenshoe: no over-allotment option; market cap: prospectus 'market capitalisation' line is the listing-rule threshold, not the issuer's figure; rejected; cornerstone list: no cornerstone tranche; greenshoe size: no over-allotment option; stabilising manager: filing states none appointed (prospectus: 'no stabilizing manager will be appointed' stated in the filing)</ns0:t>
        </ns0:is>
      </ns0:c>
    </ns0:row>
    <ns0:row r="397" ht="22" customHeight="1">
      <ns0:c r="A397" s="73" t="inlineStr">
        <ns0:is>
          <ns0:t>2659</ns0:t>
        </ns0:is>
      </ns0:c>
      <ns0:c r="B397" s="74" t="inlineStr">
        <ns0:is>
          <ns0:t>BAO PHARMA-B</ns0:t>
        </ns0:is>
      </ns0:c>
      <ns0:c r="C397" s="74" t="inlineStr">
        <ns0:is>
          <ns0:t>寶濟藥業－Ｂ</ns0:t>
        </ns0:is>
      </ns0:c>
      <ns0:c r="D397" s="74" t="inlineStr">
        <ns0:is>
          <ns0:t>Healthcare</ns0:t>
        </ns0:is>
      </ns0:c>
      <ns0:c r="E397" s="74" t="inlineStr">
        <ns0:is>
          <ns0:t>Biotech pre-revenue (18A)</ns0:t>
        </ns0:is>
      </ns0:c>
      <ns0:c r="F397" s="74" t="inlineStr">
        <ns0:is>
          <ns0:t>Biotechnology - Pharmaceuticals</ns0:t>
        </ns0:is>
      </ns0:c>
      <ns0:c r="G397" s="74" t="inlineStr">
        <ns0:is>
          <ns0:t>18A</ns0:t>
        </ns0:is>
      </ns0:c>
      <ns0:c r="H397" s="75" t="n">
        <ns0:v>46001</ns0:v>
      </ns0:c>
      <ns0:c r="I397" s="76" t="n">
        <ns0:v>1000.1</ns0:v>
      </ns0:c>
      <ns0:c r="J397" s="74" t="inlineStr">
        <ns0:is>
          <ns0:t>gross (stated)</ns0:t>
        </ns0:is>
      </ns0:c>
      <ns0:c r="K397" s="95" t="n"/>
      <ns0:c r="L397" s="77" t="n">
        <ns0:v>26.38</ns0:v>
      </ns0:c>
      <ns0:c r="M397" s="77" t="n">
        <ns0:v>26.38</ns0:v>
      </ns0:c>
      <ns0:c r="N397" s="74" t="inlineStr">
        <ns0:is>
          <ns0:t>Y</ns0:t>
        </ns0:is>
      </ns0:c>
      <ns0:c r="O397" s="78" t="n">
        <ns0:v>100</ns0:v>
      </ns0:c>
      <ns0:c r="P397" s="84" t="n"/>
      <ns0:c r="Q397" s="79" t="n">
        <ns0:v>8599.4</ns0:v>
      </ns0:c>
      <ns0:c r="R397" s="74" t="inlineStr">
        <ns0:is>
          <ns0:t>derived:price x shares upon listing</ns0:t>
        </ns0:is>
      </ns0:c>
      <ns0:c r="S397" s="80" t="n">
        <ns0:v>3526.34</ns0:v>
      </ns0:c>
      <ns0:c r="T397" s="81" t="n">
        <ns0:v>6.59</ns0:v>
      </ns0:c>
      <ns0:c r="U397" s="82" t="n">
        <ns0:v>20.06</ns0:v>
      </ns0:c>
      <ns0:c r="V397" s="83" t="n">
        <ns0:v>97</ns0:v>
      </ns0:c>
      <ns0:c r="W397" s="78" t="n">
        <ns0:v>10</ns0:v>
      </ns0:c>
      <ns0:c r="X397" s="74" t="inlineStr">
        <ns0:is>
          <ns0:t>NA</ns0:t>
        </ns0:is>
      </ns0:c>
      <ns0:c r="Y397" s="79" t="n">
        <ns0:v>799.48</ns0:v>
      </ns0:c>
      <ns0:c r="Z397" s="79" t="n">
        <ns0:v>30306613</ns0:v>
      </ns0:c>
      <ns0:c r="AA397" s="78" t="n">
        <ns0:v>9.300000000000001</ns0:v>
      </ns0:c>
      <ns0:c r="AB397" s="74" t="inlineStr">
        <ns0:is>
          <ns0:t>AnkeBio (Hong Kong) Co., Limited; Derivatives China Alpha Fund SPC (acting for and on behalf of Derivatives China Fundamental Fund SP); Guotai Junan Investments (Hong Kong) Limited (in connection with the Zhonghe OTC Swaps)</ns0:t>
        </ns0:is>
      </ns0:c>
      <ns0:c r="AC397" s="74" t="inlineStr">
        <ns0:is>
          <ns0:t>ankebio;derivatives;guotai</ns0:t>
        </ns0:is>
      </ns0:c>
      <ns0:c r="AD397" s="78" t="n">
        <ns0:v>15</ns0:v>
      </ns0:c>
      <ns0:c r="AE397" s="85" t="n"/>
      <ns0:c r="AF397" s="85" t="n"/>
      <ns0:c r="AG397" s="85" t="n"/>
      <ns0:c r="AH397" s="85" t="n"/>
      <ns0:c r="AI397" s="86" t="n">
        <ns0:v>112.28</ns0:v>
      </ns0:c>
      <ns0:c r="AJ397" s="87" t="n">
        <ns0:v>138.82</ns0:v>
      </ns0:c>
      <ns0:c r="AK397" s="87" t="n">
        <ns0:v>0.08</ns0:v>
      </ns0:c>
      <ns0:c r="AL397" s="87" t="n">
        <ns0:v>129.34</ns0:v>
      </ns0:c>
      <ns0:c r="AM397" s="87" t="n">
        <ns0:v>4.13</ns0:v>
      </ns0:c>
      <ns0:c r="AN397" s="89" t="n">
        <ns0:v>2.09</ns0:v>
      </ns0:c>
      <ns0:c r="AO397" s="78" t="n">
        <ns0:v>11.82</ns0:v>
      </ns0:c>
      <ns0:c r="AP397" s="87" t="n">
        <ns0:v>173.69</ns0:v>
      </ns0:c>
      <ns0:c r="AQ397" s="87" t="n">
        <ns0:v>226.76</ns0:v>
      </ns0:c>
      <ns0:c r="AR397" s="87" t="n">
        <ns0:v>249.32</ns0:v>
      </ns0:c>
      <ns0:c r="AS397" s="87" t="n">
        <ns0:v>14.6</ns0:v>
      </ns0:c>
      <ns0:c r="AT397" s="87" t="n">
        <ns0:v>36.82</ns0:v>
      </ns0:c>
      <ns0:c r="AU397" s="87" t="n">
        <ns0:v>46.27</ns0:v>
      </ns0:c>
      <ns0:c r="AV397" s="87" t="n">
        <ns0:v>177.04</ns0:v>
      </ns0:c>
      <ns0:c r="AW397" s="87" t="n">
        <ns0:v>221.06</ns0:v>
      </ns0:c>
      <ns0:c r="AX397" s="87" t="n">
        <ns0:v>245.4</ns0:v>
      </ns0:c>
      <ns0:c r="AY397" s="87" t="n">
        <ns0:v>31.21</ns0:v>
      </ns0:c>
      <ns0:c r="AZ397" s="87" t="n">
        <ns0:v>5.7</ns0:v>
      </ns0:c>
      <ns0:c r="BA397" s="87" t="n">
        <ns0:v>5.61</ns0:v>
      </ns0:c>
      <ns0:c r="BB397" s="74" t="inlineStr">
        <ns0:is>
          <ns0:t>China Biotech ETF (HS biotech proxy)</ns0:t>
        </ns0:is>
      </ns0:c>
      <ns0:c r="BC397" s="87" t="n">
        <ns0:v>-54.21</ns0:v>
      </ns0:c>
      <ns0:c r="BD397" s="75" t="n">
        <ns0:v>46297</ns0:v>
      </ns0:c>
      <ns0:c r="BE397" s="76" t="n">
        <ns0:v>1.6</ns0:v>
      </ns0:c>
      <ns0:c r="BF397" s="79" t="n">
        <ns0:v>-184</ns0:v>
      </ns0:c>
      <ns0:c r="BG397" s="74" t="inlineStr">
        <ns0:is>
          <ns0:t>N</ns0:t>
        </ns0:is>
      </ns0:c>
      <ns0:c r="BH397" s="74" t="inlineStr">
        <ns0:is>
          <ns0:t>n/m</ns0:t>
        </ns0:is>
      </ns0:c>
      <ns0:c r="BI397" s="88" t="n"/>
      <ns0:c r="BJ397" s="88" t="n"/>
      <ns0:c r="BK397" s="89" t="n">
        <ns0:v>5374.6</ns0:v>
      </ns0:c>
      <ns0:c r="BL397" s="90">
        <ns0:f>IFERROR(IF('BBG Verify'!S397="","Awaiting Bloomberg",'BBG Verify'!S397),"Awaiting Bloomberg")</ns0:f>
        <ns0:v/>
      </ns0:c>
      <ns0:c r="BM397" s="91" t="inlineStr">
        <ns0:is>
          <ns0:t>N</ns0:t>
        </ns0:is>
      </ns0:c>
      <ns0:c r="BN397" s="92">
        <ns0:f>IFERROR(IF('BBG Verify'!K397="","Awaiting Bloomberg",'BBG Verify'!K397),"Awaiting Bloomberg")</ns0:f>
        <ns0:v/>
      </ns0:c>
      <ns0:c r="BO397" s="74" t="inlineStr">
        <ns0:is>
          <ns0:t>N/A</ns0:t>
        </ns0:is>
      </ns0:c>
      <ns0:c r="BP397" s="74" t="inlineStr">
        <ns0:is>
          <ns0:t>N/A</ns0:t>
        </ns0:is>
      </ns0:c>
      <ns0:c r="BQ397" s="74" t="inlineStr">
        <ns0:is>
          <ns0:t>N/A</ns0:t>
        </ns0:is>
      </ns0:c>
      <ns0:c r="BR397" s="74" t="inlineStr">
        <ns0:is>
          <ns0:t>N/A</ns0:t>
        </ns0:is>
      </ns0:c>
      <ns0:c r="BS397" s="74" t="inlineStr">
        <ns0:is>
          <ns0:t>N/A</ns0:t>
        </ns0:is>
      </ns0:c>
      <ns0:c r="BT397" s="74" t="inlineStr">
        <ns0:is>
          <ns0:t>N/A</ns0:t>
        </ns0:is>
      </ns0:c>
      <ns0:c r="BU397" s="91" t="inlineStr">
        <ns0:is>
          <ns0:t>CITIC Securities (Hong Kong) Limited; Haitong International Capital Limited</ns0:t>
        </ns0:is>
      </ns0:c>
      <ns0:c r="BV397" s="74" t="inlineStr">
        <ns0:is>
          <ns0:t>Haitong International Capital Limited; CITIC Securities (Hong Kong) Limited</ns0:t>
        </ns0:is>
      </ns0:c>
      <ns0:c r="BW397" s="74" t="inlineStr">
        <ns0:is>
          <ns0:t>CLSA Limited; Haitong International Securities Company Limited; West Bull Securities Limited; BOCOM International Securities Limited; CCB International Capital Limited; Guoyuan Securities Brokerage (Hong Kong) Limited; Phillip Securities (Hong Kong) Limited; SDIC Securities (Hong Kong) Limited; Shenwan Hongyuan Securities (H.K.) Limited; SPDB International Capital Limited; Valuable Capital Limited</ns0:t>
        </ns0:is>
      </ns0:c>
      <ns0:c r="BX397" s="74" t="inlineStr">
        <ns0:is>
          <ns0: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ns0:t>
        </ns0:is>
      </ns0:c>
      <ns0:c r="BY397" s="93">
        <ns0:f>HYPERLINK("https://www1.hkexnews.hk/listedco/listconews/sehk/2025/1202/2025120200034.pdf","prospectus")</ns0:f>
        <ns0:v/>
      </ns0:c>
      <ns0:c r="BZ397" s="93">
        <ns0:f>HYPERLINK("https://www1.hkexnews.hk/listedco/listconews/sehk/2025/1209/2025120901444.pdf","allotment")</ns0:f>
        <ns0:v/>
      </ns0:c>
      <ns0:c r="CA397" s="85" t="n"/>
      <ns0:c r="CB397" s="94" t="n"/>
      <ns0:c r="CC397" s="74" t="inlineStr">
        <ns0:is>
          <ns0:t>P/E: loss-making at IPO, use P/S; greenshoe: end-of-stabilisation notice not found; range low: maximum offer price only, no floor published; P/S: 5,375x on HK$1.6m revenue, effectively pre-revenue; not comparable; stabilising manager: not named in the allotment notice or prospectus glossary</ns0:t>
        </ns0:is>
      </ns0:c>
    </ns0:row>
    <ns0:row r="398" ht="22" customHeight="1">
      <ns0:c r="A398" s="73" t="inlineStr">
        <ns0:is>
          <ns0:t>7618</ns0:t>
        </ns0:is>
      </ns0:c>
      <ns0:c r="B398" s="74" t="inlineStr">
        <ns0:is>
          <ns0:t>JD INDUSTRIALS</ns0:t>
        </ns0:is>
      </ns0:c>
      <ns0:c r="C398" s="74" t="inlineStr">
        <ns0:is>
          <ns0:t>京東工業</ns0:t>
        </ns0:is>
      </ns0:c>
      <ns0:c r="D398" s="74" t="inlineStr">
        <ns0:is>
          <ns0:t>Technology</ns0:t>
        </ns0:is>
      </ns0:c>
      <ns0:c r="E398" s="74" t="inlineStr">
        <ns0:is>
          <ns0:t>Internet &amp; fintech</ns0:t>
        </ns0:is>
      </ns0:c>
      <ns0:c r="F398" s="74" t="inlineStr">
        <ns0:is>
          <ns0:t>Commercial &amp; Professional Services</ns0:t>
        </ns0:is>
      </ns0:c>
      <ns0:c r="G398" s="74" t="inlineStr">
        <ns0:is>
          <ns0:t>Standard</ns0:t>
        </ns0:is>
      </ns0:c>
      <ns0:c r="H398" s="75" t="n">
        <ns0:v>46002</ns0:v>
      </ns0:c>
      <ns0:c r="I398" s="76" t="n">
        <ns0:v>2978</ns0:v>
      </ns0:c>
      <ns0:c r="J398" s="74" t="inlineStr">
        <ns0:is>
          <ns0:t>gross (stated)</ns0:t>
        </ns0:is>
      </ns0:c>
      <ns0:c r="K398" s="95" t="n"/>
      <ns0:c r="L398" s="77" t="n">
        <ns0:v>15.5</ns0:v>
      </ns0:c>
      <ns0:c r="M398" s="77" t="n">
        <ns0:v>14.1</ns0:v>
      </ns0:c>
      <ns0:c r="N398" s="74" t="inlineStr">
        <ns0:is>
          <ns0:t>N</ns0:t>
        </ns0:is>
      </ns0:c>
      <ns0:c r="O398" s="78" t="n">
        <ns0:v>91</ns0:v>
      </ns0:c>
      <ns0:c r="P398" s="84" t="n"/>
      <ns0:c r="Q398" s="79" t="n">
        <ns0:v>41038</ns0:v>
      </ns0:c>
      <ns0:c r="R398" s="74" t="inlineStr">
        <ns0:is>
          <ns0:t>aastocks:上市市值 at the struck price</ns0:t>
        </ns0:is>
      </ns0:c>
      <ns0:c r="S398" s="80" t="n">
        <ns0:v>60.52</ns0:v>
      </ns0:c>
      <ns0:c r="T398" s="81" t="n">
        <ns0:v>7.88</ns0:v>
      </ns0:c>
      <ns0:c r="U398" s="82" t="n">
        <ns0:v>44.45</ns0:v>
      </ns0:c>
      <ns0:c r="V398" s="83" t="n">
        <ns0:v>93</ns0:v>
      </ns0:c>
      <ns0:c r="W398" s="78" t="n">
        <ns0:v>10</ns0:v>
      </ns0:c>
      <ns0:c r="X398" s="74" t="inlineStr">
        <ns0:is>
          <ns0:t>NA</ns0:t>
        </ns0:is>
      </ns0:c>
      <ns0:c r="Y398" s="79" t="n">
        <ns0:v>1654.28</ns0:v>
      </ns0:c>
      <ns0:c r="Z398" s="79" t="n">
        <ns0:v>117326488</ns0:v>
      </ns0:c>
      <ns0:c r="AA398" s="78" t="n">
        <ns0:v>4.03</ns0:v>
      </ns0:c>
      <ns0:c r="AB398" s="74" t="inlineStr">
        <ns0:is>
          <ns0:t>M&amp;G Investors; CPE Investment Wu Limited; IvyRock; CoreView; Schonfeld; Burkehill</ns0:t>
        </ns0:is>
      </ns0:c>
      <ns0:c r="AC398" s="74" t="inlineStr">
        <ns0:is>
          <ns0:t>investors;cpe;ivyrock;coreview;schonfeld;burkehill</ns0:t>
        </ns0:is>
      </ns0:c>
      <ns0:c r="AD398" s="78" t="n">
        <ns0:v>15</ns0:v>
      </ns0:c>
      <ns0:c r="AE398" s="74" t="inlineStr">
        <ns0:is>
          <ns0:t>partial</ns0:t>
        </ns0:is>
      </ns0:c>
      <ns0:c r="AF398" s="74" t="inlineStr">
        <ns0:is>
          <ns0:t>2026-01-07</ns0:t>
        </ns0:is>
      </ns0:c>
      <ns0:c r="AG398" s="74" t="inlineStr">
        <ns0:is>
          <ns0:t>Merrill Lynch</ns0:t>
        </ns0:is>
      </ns0:c>
      <ns0:c r="AH398" s="74" t="inlineStr">
        <ns0:is>
          <ns0:t>Merrill Lynch</ns0:t>
        </ns0:is>
      </ns0:c>
      <ns0:c r="AI398" s="86" t="n">
        <ns0:v>-2.62</ns0:v>
      </ns0:c>
      <ns0:c r="AJ398" s="87" t="n">
        <ns0:v>0</ns0:v>
      </ns0:c>
      <ns0:c r="AK398" s="87" t="n">
        <ns0:v>-0.55</ns0:v>
      </ns0:c>
      <ns0:c r="AL398" s="87" t="n">
        <ns0:v>-7.8</ns0:v>
      </ns0:c>
      <ns0:c r="AM398" s="87" t="n">
        <ns0:v>8.460000000000001</ns0:v>
      </ns0:c>
      <ns0:c r="AN398" s="89" t="n">
        <ns0:v>1.87</ns0:v>
      </ns0:c>
      <ns0:c r="AO398" s="78" t="n">
        <ns0:v>11.46</ns0:v>
      </ns0:c>
      <ns0:c r="AP398" s="87" t="n">
        <ns0:v>-1.28</ns0:v>
      </ns0:c>
      <ns0:c r="AQ398" s="87" t="n">
        <ns0:v>-3.4</ns0:v>
      </ns0:c>
      <ns0:c r="AR398" s="87" t="n">
        <ns0:v>-8.44</ns0:v>
      </ns0:c>
      <ns0:c r="AS398" s="87" t="n">
        <ns0:v>-1.28</ns0:v>
      </ns0:c>
      <ns0:c r="AT398" s="87" t="n">
        <ns0:v>-3.4</ns0:v>
      </ns0:c>
      <ns0:c r="AU398" s="87" t="n">
        <ns0:v>-8.44</ns0:v>
      </ns0:c>
      <ns0:c r="AV398" s="87" t="n">
        <ns0:v>1.38</ns0:v>
      </ns0:c>
      <ns0:c r="AW398" s="87" t="n">
        <ns0:v>-9.17</ns0:v>
      </ns0:c>
      <ns0:c r="AX398" s="87" t="n">
        <ns0:v>-0.1</ns0:v>
      </ns0:c>
      <ns0:c r="AY398" s="87" t="n">
        <ns0:v>-9.76</ns0:v>
      </ns0:c>
      <ns0:c r="AZ398" s="87" t="n">
        <ns0:v>5.77</ns0:v>
      </ns0:c>
      <ns0:c r="BA398" s="87" t="n">
        <ns0:v>6.36</ns0:v>
      </ns0:c>
      <ns0:c r="BB398" s="74" t="inlineStr">
        <ns0:is>
          <ns0:t>HSTECH (Hang Seng TECH ETF)</ns0:t>
        </ns0:is>
      </ns0:c>
      <ns0:c r="BC398" s="87" t="n">
        <ns0:v>-10.43</ns0:v>
      </ns0:c>
      <ns0:c r="BD398" s="75" t="n">
        <ns0:v>46297</ns0:v>
      </ns0:c>
      <ns0:c r="BE398" s="76" t="n">
        <ns0:v>22437.5</ns0:v>
      </ns0:c>
      <ns0:c r="BF398" s="79" t="n">
        <ns0:v>837.8</ns0:v>
      </ns0:c>
      <ns0:c r="BG398" s="74" t="inlineStr">
        <ns0:is>
          <ns0:t>Y</ns0:t>
        </ns0:is>
      </ns0:c>
      <ns0:c r="BH398" s="89" t="n">
        <ns0:v>49</ns0:v>
      </ns0:c>
      <ns0:c r="BI398" s="89" t="n">
        <ns0:v>28.4</ns0:v>
      </ns0:c>
      <ns0:c r="BJ398" s="89" t="n">
        <ns0:v>10</ns0:v>
      </ns0:c>
      <ns0:c r="BK398" s="89" t="n">
        <ns0:v>1.8</ns0:v>
      </ns0:c>
      <ns0:c r="BL398" s="90">
        <ns0:f>IFERROR(IF('BBG Verify'!S398="","Awaiting Bloomberg",'BBG Verify'!S398),"Awaiting Bloomberg")</ns0:f>
        <ns0:v/>
      </ns0:c>
      <ns0:c r="BM398" s="91" t="inlineStr">
        <ns0:is>
          <ns0:t>N</ns0:t>
        </ns0:is>
      </ns0:c>
      <ns0:c r="BN398" s="92">
        <ns0:f>IFERROR(IF('BBG Verify'!K398="","Awaiting Bloomberg",'BBG Verify'!K398),"Awaiting Bloomberg")</ns0:f>
        <ns0:v/>
      </ns0:c>
      <ns0:c r="BO398" s="74" t="inlineStr">
        <ns0:is>
          <ns0:t>N/A</ns0:t>
        </ns0:is>
      </ns0:c>
      <ns0:c r="BP398" s="74" t="inlineStr">
        <ns0:is>
          <ns0:t>N/A</ns0:t>
        </ns0:is>
      </ns0:c>
      <ns0:c r="BQ398" s="74" t="inlineStr">
        <ns0:is>
          <ns0:t>N/A</ns0:t>
        </ns0:is>
      </ns0:c>
      <ns0:c r="BR398" s="74" t="inlineStr">
        <ns0:is>
          <ns0:t>N/A</ns0:t>
        </ns0:is>
      </ns0:c>
      <ns0:c r="BS398" s="74" t="inlineStr">
        <ns0:is>
          <ns0:t>N/A</ns0:t>
        </ns0:is>
      </ns0:c>
      <ns0:c r="BT398" s="74" t="inlineStr">
        <ns0:is>
          <ns0:t>N/A</ns0:t>
        </ns0:is>
      </ns0:c>
      <ns0:c r="BU398" s="91" t="inlineStr">
        <ns0:is>
          <ns0:t>Merrill Lynch (Asia Pacific) Limited; UBS Securities Hong Kong Limited; Haitong International Capital Limited; Goldman Sachs (Asia) L.L.C; Haitong International Securities Company Limited</ns0:t>
        </ns0:is>
      </ns0:c>
      <ns0:c r="BV398" s="74" t="inlineStr">
        <ns0:is>
          <ns0:t>Haitong International Capital Limited; UBS Securities Hong Kong Limited; Merrill Lynch (Asia Pacific) Limited; Goldman Sachs (Asia) L.L.C.</ns0:t>
        </ns0:is>
      </ns0:c>
      <ns0:c r="BW398" s="74" t="inlineStr">
        <ns0:is>
          <ns0:t>Merrill Lynch (Asia Pacific) Limited; UBS AG Hong Kong Branch; Goldman Sachs (Asia) L.L.C; Huatai Financial Holdings (Hong Kong) Limited; ABCI Capital Limited; BOCI Asia Limited; CLSA Limited; CMBC Securities Company Limited; Futu Securities International (Hong Kong) Limited; Orient Securities (Hong Kong) Limited; Haitong International Securities Company Limited</ns0:t>
        </ns0:is>
      </ns0:c>
      <ns0:c r="BX398" s="74" t="inlineStr">
        <ns0:is>
          <ns0: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ns0:t>
        </ns0:is>
      </ns0:c>
      <ns0:c r="BY398" s="93">
        <ns0:f>HYPERLINK("https://www1.hkexnews.hk/listedco/listconews/sehk/2025/1203/2025120300086.pdf","prospectus")</ns0:f>
        <ns0:v/>
      </ns0:c>
      <ns0:c r="BZ398" s="93">
        <ns0:f>HYPERLINK("https://www1.hkexnews.hk/listedco/listconews/sehk/2025/1210/2025121001474.pdf","allotment")</ns0:f>
        <ns0:v/>
      </ns0:c>
      <ns0:c r="CA398" s="93">
        <ns0:f>HYPERLINK("https://www1.hkexnews.hk/listedco/listconews/sehk/2026/0107/2026010701764.pdf","stabilisation")</ns0:f>
        <ns0:v/>
      </ns0:c>
      <ns0:c r="CB398" s="94" t="n"/>
      <ns0:c r="CC398" s="74" t="inlineStr">
        <ns0:is>
          <ns0:t>range low: maximum offer price only, no floor published; market cap: prospectus 'market capitalisation' line is the listing-rule threshold, not the issuer's figure; rejected</ns0:t>
        </ns0:is>
      </ns0:c>
    </ns0:row>
    <ns0:row r="399" ht="22" customHeight="1">
      <ns0:c r="A399" s="73" t="inlineStr">
        <ns0:is>
          <ns0:t>2655</ns0:t>
        </ns0:is>
      </ns0:c>
      <ns0:c r="B399" s="74" t="inlineStr">
        <ns0:is>
          <ns0:t>GUOXIA TECH</ns0:t>
        </ns0:is>
      </ns0:c>
      <ns0:c r="C399" s="74" t="inlineStr">
        <ns0:is>
          <ns0:t>果下科技</ns0:t>
        </ns0:is>
      </ns0:c>
      <ns0:c r="D399" s="74" t="inlineStr">
        <ns0:is>
          <ns0:t>Technology</ns0:t>
        </ns0:is>
      </ns0:c>
      <ns0:c r="E399" s="74" t="inlineStr">
        <ns0:is>
          <ns0:t>Software &amp; AI</ns0:t>
        </ns0:is>
      </ns0:c>
      <ns0:c r="F399" s="74" t="inlineStr">
        <ns0:is>
          <ns0:t>New energy and environmental protection</ns0:t>
        </ns0:is>
      </ns0:c>
      <ns0:c r="G399" s="74" t="inlineStr">
        <ns0:is>
          <ns0:t>Standard</ns0:t>
        </ns0:is>
      </ns0:c>
      <ns0:c r="H399" s="75" t="n">
        <ns0:v>46007</ns0:v>
      </ns0:c>
      <ns0:c r="I399" s="76" t="n">
        <ns0:v>782.51</ns0:v>
      </ns0:c>
      <ns0:c r="J399" s="74" t="inlineStr">
        <ns0:is>
          <ns0:t>gross (stated)</ns0:t>
        </ns0:is>
      </ns0:c>
      <ns0:c r="K399" s="95" t="n"/>
      <ns0:c r="L399" s="77" t="n">
        <ns0:v>20.1</ns0:v>
      </ns0:c>
      <ns0:c r="M399" s="77" t="n">
        <ns0:v>20.1</ns0:v>
      </ns0:c>
      <ns0:c r="N399" s="74" t="inlineStr">
        <ns0:is>
          <ns0:t>Y</ns0:t>
        </ns0:is>
      </ns0:c>
      <ns0:c r="O399" s="78" t="n">
        <ns0:v>100</ns0:v>
      </ns0:c>
      <ns0:c r="P399" s="84" t="n"/>
      <ns0:c r="Q399" s="79" t="n">
        <ns0:v>9099</ns0:v>
      </ns0:c>
      <ns0:c r="R399" s="74" t="inlineStr">
        <ns0:is>
          <ns0:t>derived:deal size / offer % of enlarged capital</ns0:t>
        </ns0:is>
      </ns0:c>
      <ns0:c r="S399" s="80" t="n">
        <ns0:v>1890.73</ns0:v>
      </ns0:c>
      <ns0:c r="T399" s="81" t="n">
        <ns0:v>3.63</ns0:v>
      </ns0:c>
      <ns0:c r="U399" s="82" t="n">
        <ns0:v>9.49</ns0:v>
      </ns0:c>
      <ns0:c r="V399" s="83" t="n">
        <ns0:v>157</ns0:v>
      </ns0:c>
      <ns0:c r="W399" s="78" t="n">
        <ns0:v>8.699999999999999</ns0:v>
      </ns0:c>
      <ns0:c r="X399" s="74" t="inlineStr">
        <ns0:is>
          <ns0:t>NO</ns0:t>
        </ns0:is>
      </ns0:c>
      <ns0:c r="Y399" s="79" t="n">
        <ns0:v>708.25</ns0:v>
      </ns0:c>
      <ns0:c r="Z399" s="79" t="n">
        <ns0:v>35236267</ns0:v>
      </ns0:c>
      <ns0:c r="AA399" s="78" t="n">
        <ns0:v>7.78</ns0:v>
      </ns0:c>
      <ns0:c r="AB399" s="74" t="inlineStr">
        <ns0:is>
          <ns0:t>Huikai Hong Kong Economic Development Co., Ltd; Dream ee (Hong Kong) Open-ended Fund Company; RIME Capital Limited</ns0:t>
        </ns0:is>
      </ns0:c>
      <ns0:c r="AC399" s="74" t="inlineStr">
        <ns0:is>
          <ns0:t>huikai;dream;rime</ns0:t>
        </ns0:is>
      </ns0:c>
      <ns0:c r="AD399" s="78" t="n">
        <ns0:v>15</ns0:v>
      </ns0:c>
      <ns0:c r="AE399" s="74" t="inlineStr">
        <ns0:is>
          <ns0:t>full</ns0:t>
        </ns0:is>
      </ns0:c>
      <ns0:c r="AF399" s="74" t="inlineStr">
        <ns0:is>
          <ns0:t>2026-01-10</ns0:t>
        </ns0:is>
      </ns0:c>
      <ns0:c r="AG399" s="74" t="inlineStr">
        <ns0:is>
          <ns0:t>Livermore Holdings Limited</ns0:t>
        </ns0:is>
      </ns0:c>
      <ns0:c r="AH399" s="74" t="inlineStr">
        <ns0:is>
          <ns0:t>Livermore</ns0:t>
        </ns0:is>
      </ns0:c>
      <ns0:c r="AI399" s="86" t="n">
        <ns0:v>88.06</ns0:v>
      </ns0:c>
      <ns0:c r="AJ399" s="87" t="n">
        <ns0:v>117.91</ns0:v>
      </ns0:c>
      <ns0:c r="AK399" s="87" t="n">
        <ns0:v>-1.76</ns0:v>
      </ns0:c>
      <ns0:c r="AL399" s="87" t="n">
        <ns0:v>89.05</ns0:v>
      </ns0:c>
      <ns0:c r="AM399" s="87" t="n">
        <ns0:v>15.27</ns0:v>
      </ns0:c>
      <ns0:c r="AN399" s="89" t="n">
        <ns0:v>2.58</ns0:v>
      </ns0:c>
      <ns0:c r="AO399" s="78" t="n">
        <ns0:v>30.16</ns0:v>
      </ns0:c>
      <ns0:c r="AP399" s="87" t="n">
        <ns0:v>107.76</ns0:v>
      </ns0:c>
      <ns0:c r="AQ399" s="87" t="n">
        <ns0:v>222.39</ns0:v>
      </ns0:c>
      <ns0:c r="AR399" s="87" t="n">
        <ns0:v>141.79</ns0:v>
      </ns0:c>
      <ns0:c r="AS399" s="87" t="n">
        <ns0:v>-4.66</ns0:v>
      </ns0:c>
      <ns0:c r="AT399" s="87" t="n">
        <ns0:v>47.95</ns0:v>
      </ns0:c>
      <ns0:c r="AU399" s="87" t="n">
        <ns0:v>10.96</ns0:v>
      </ns0:c>
      <ns0:c r="AV399" s="87" t="n">
        <ns0:v>108.04</ns0:v>
      </ns0:c>
      <ns0:c r="AW399" s="87" t="n">
        <ns0:v>217.84</ns0:v>
      </ns0:c>
      <ns0:c r="AX399" s="87" t="n">
        <ns0:v>156.26</ns0:v>
      </ns0:c>
      <ns0:c r="AY399" s="87" t="n">
        <ns0:v>41.52</ns0:v>
      </ns0:c>
      <ns0:c r="AZ399" s="87" t="n">
        <ns0:v>4.55</ns0:v>
      </ns0:c>
      <ns0:c r="BA399" s="87" t="n">
        <ns0:v>6.43</ns0:v>
      </ns0:c>
      <ns0:c r="BB399" s="74" t="inlineStr">
        <ns0:is>
          <ns0:t>HSTECH (Hang Seng TECH ETF)</ns0:t>
        </ns0:is>
      </ns0:c>
      <ns0:c r="BC399" s="87" t="n">
        <ns0:v>-28.21</ns0:v>
      </ns0:c>
      <ns0:c r="BD399" s="75" t="n">
        <ns0:v>46297</ns0:v>
      </ns0:c>
      <ns0:c r="BE399" s="76" t="n">
        <ns0:v>1128.2</ns0:v>
      </ns0:c>
      <ns0:c r="BF399" s="79" t="n">
        <ns0:v>35</ns0:v>
      </ns0:c>
      <ns0:c r="BG399" s="74" t="inlineStr">
        <ns0:is>
          <ns0:t>Y</ns0:t>
        </ns0:is>
      </ns0:c>
      <ns0:c r="BH399" s="89" t="n">
        <ns0:v>260</ns0:v>
      </ns0:c>
      <ns0:c r="BI399" s="89" t="n">
        <ns0:v>32</ns0:v>
      </ns0:c>
      <ns0:c r="BJ399" s="89" t="n">
        <ns0:v>86.8</ns0:v>
      </ns0:c>
      <ns0:c r="BK399" s="89" t="n">
        <ns0:v>8.1</ns0:v>
      </ns0:c>
      <ns0:c r="BL399" s="90">
        <ns0:f>IFERROR(IF('BBG Verify'!S399="","Awaiting Bloomberg",'BBG Verify'!S399),"Awaiting Bloomberg")</ns0:f>
        <ns0:v/>
      </ns0:c>
      <ns0:c r="BM399" s="91" t="inlineStr">
        <ns0:is>
          <ns0:t>N</ns0:t>
        </ns0:is>
      </ns0:c>
      <ns0:c r="BN399" s="92">
        <ns0:f>IFERROR(IF('BBG Verify'!K399="","Awaiting Bloomberg",'BBG Verify'!K399),"Awaiting Bloomberg")</ns0:f>
        <ns0:v/>
      </ns0:c>
      <ns0:c r="BO399" s="74" t="inlineStr">
        <ns0:is>
          <ns0:t>N/A</ns0:t>
        </ns0:is>
      </ns0:c>
      <ns0:c r="BP399" s="74" t="inlineStr">
        <ns0:is>
          <ns0:t>N/A</ns0:t>
        </ns0:is>
      </ns0:c>
      <ns0:c r="BQ399" s="74" t="inlineStr">
        <ns0:is>
          <ns0:t>N/A</ns0:t>
        </ns0:is>
      </ns0:c>
      <ns0:c r="BR399" s="74" t="inlineStr">
        <ns0:is>
          <ns0:t>N/A</ns0:t>
        </ns0:is>
      </ns0:c>
      <ns0:c r="BS399" s="74" t="inlineStr">
        <ns0:is>
          <ns0:t>N/A</ns0:t>
        </ns0:is>
      </ns0:c>
      <ns0:c r="BT399" s="74" t="inlineStr">
        <ns0:is>
          <ns0:t>N/A</ns0:t>
        </ns0:is>
      </ns0:c>
      <ns0:c r="BU399" s="91" t="inlineStr">
        <ns0:is>
          <ns0:t>China Everbright Capital Limited</ns0:t>
        </ns0:is>
      </ns0:c>
      <ns0:c r="BV399" s="74" t="inlineStr">
        <ns0:is>
          <ns0:t>China Everbright Capital Limited</ns0:t>
        </ns0:is>
      </ns0:c>
      <ns0:c r="BW399" s="74" t="inlineStr">
        <ns0:is>
          <ns0:t>ABCI Capital Limited; Yellow River Securities Limited; West Bull Securities Limited; BOCI Asia Limited; ICBC International Securities Limited; Yue Xiu Securities Company Limited; Shenwan Hongyuan Securities (H.K.) Limited; CMB International Capital Limited; CMBC Securities Company Limited; CCB International Capital Limited; Caitong International Securities Co., Limited; Futu Securities International (Hong Kong) Limited</ns0:t>
        </ns0:is>
      </ns0:c>
      <ns0:c r="BX399" s="74" t="inlineStr">
        <ns0:is>
          <ns0: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ns0:t>
        </ns0:is>
      </ns0:c>
      <ns0:c r="BY399" s="93">
        <ns0:f>HYPERLINK("https://www1.hkexnews.hk/listedco/listconews/sehk/2025/1208/2025120800011.pdf","prospectus")</ns0:f>
        <ns0:v/>
      </ns0:c>
      <ns0:c r="BZ399" s="93">
        <ns0:f>HYPERLINK("https://www1.hkexnews.hk/listedco/listconews/sehk/2025/1215/2025121501608.pdf","allotment")</ns0:f>
        <ns0:v/>
      </ns0:c>
      <ns0:c r="CA399" s="93">
        <ns0:f>HYPERLINK("https://www1.hkexnews.hk/listedco/listconews/sehk/2026/0109/2026010901587.pdf","stabilisation")</ns0:f>
        <ns0:v/>
      </ns0:c>
      <ns0:c r="CB399" s="94" t="n"/>
      <ns0:c r="CC399" s="74" t="inlineStr">
        <ns0:is>
          <ns0:t>range low: maximum offer price only, no floor published</ns0:t>
        </ns0:is>
      </ns0:c>
    </ns0:row>
    <ns0:row r="400" ht="22" customHeight="1">
      <ns0:c r="A400" s="73" t="inlineStr">
        <ns0:is>
          <ns0:t>3887</ns0:t>
        </ns0:is>
      </ns0:c>
      <ns0:c r="B400" s="74" t="inlineStr">
        <ns0:is>
          <ns0:t>HASHKEY HLDGS</ns0:t>
        </ns0:is>
      </ns0:c>
      <ns0:c r="C400" s="74" t="inlineStr">
        <ns0:is>
          <ns0:t>HASHKEY HLDGS</ns0:t>
        </ns0:is>
      </ns0:c>
      <ns0:c r="D400" s="74" t="inlineStr">
        <ns0:is>
          <ns0:t>Technology</ns0:t>
        </ns0:is>
      </ns0:c>
      <ns0:c r="E400" s="74" t="inlineStr">
        <ns0:is>
          <ns0:t>Internet &amp; fintech</ns0:t>
        </ns0:is>
      </ns0:c>
      <ns0:c r="F400" s="74" t="inlineStr">
        <ns0:is>
          <ns0:t>Investment Holdings &amp; Assets Management</ns0:t>
        </ns0:is>
      </ns0:c>
      <ns0:c r="G400" s="74" t="inlineStr">
        <ns0:is>
          <ns0:t>Standard</ns0:t>
        </ns0:is>
      </ns0:c>
      <ns0:c r="H400" s="75" t="n">
        <ns0:v>46008</ns0:v>
      </ns0:c>
      <ns0:c r="I400" s="76" t="n">
        <ns0:v>1607</ns0:v>
      </ns0:c>
      <ns0:c r="J400" s="74" t="inlineStr">
        <ns0:is>
          <ns0:t>gross (price x shares)</ns0:t>
        </ns0:is>
      </ns0:c>
      <ns0:c r="K400" s="95" t="n"/>
      <ns0:c r="L400" s="77" t="n">
        <ns0:v>6.95</ns0:v>
      </ns0:c>
      <ns0:c r="M400" s="77" t="n">
        <ns0:v>6.68</ns0:v>
      </ns0:c>
      <ns0:c r="N400" s="74" t="inlineStr">
        <ns0:is>
          <ns0:t>N</ns0:t>
        </ns0:is>
      </ns0:c>
      <ns0:c r="O400" s="78" t="n">
        <ns0:v>96.09999999999999</ns0:v>
      </ns0:c>
      <ns0:c r="P400" s="84" t="n"/>
      <ns0:c r="Q400" s="79" t="n">
        <ns0:v>19116.7</ns0:v>
      </ns0:c>
      <ns0:c r="R400" s="74" t="inlineStr">
        <ns0:is>
          <ns0:t>aastocks:上市市值 at the struck price</ns0:t>
        </ns0:is>
      </ns0:c>
      <ns0:c r="S400" s="80" t="n">
        <ns0:v>393.71</ns0:v>
      </ns0:c>
      <ns0:c r="T400" s="81" t="n">
        <ns0:v>5.46</ns0:v>
      </ns0:c>
      <ns0:c r="U400" s="82" t="n">
        <ns0:v>36.31</ns0:v>
      </ns0:c>
      <ns0:c r="V400" s="83" t="n">
        <ns0:v>86</ns0:v>
      </ns0:c>
      <ns0:c r="W400" s="78" t="n">
        <ns0:v>10</ns0:v>
      </ns0:c>
      <ns0:c r="X400" s="74" t="inlineStr">
        <ns0:is>
          <ns0:t>NO</ns0:t>
        </ns0:is>
      </ns0:c>
      <ns0:c r="Y400" s="79" t="n">
        <ns0:v>1023.5</ns0:v>
      </ns0:c>
      <ns0:c r="Z400" s="79" t="n">
        <ns0:v>153219033</ns0:v>
      </ns0:c>
      <ns0:c r="AA400" s="78" t="n">
        <ns0:v>5.35</ns0:v>
      </ns0:c>
      <ns0:c r="AB400" s="74" t="inlineStr">
        <ns0:is>
          <ns0:t>UBS Asset Management (Singapore) Ltd; FIL Investment Management (Hong Kong) Limited; Infini Global Master Fund; Deep Source Holdings Limited; Profit Channel Development Limited; Shining Light Grace Limited</ns0:t>
        </ns0:is>
      </ns0:c>
      <ns0:c r="AC400" s="74" t="inlineStr">
        <ns0:is>
          <ns0:t>ubs;fil;infini;deep;profit;shining</ns0:t>
        </ns0:is>
      </ns0:c>
      <ns0:c r="AD400" s="78" t="n">
        <ns0:v>15</ns0:v>
      </ns0:c>
      <ns0:c r="AE400" s="74" t="inlineStr">
        <ns0:is>
          <ns0:t>partial</ns0:t>
        </ns0:is>
      </ns0:c>
      <ns0:c r="AF400" s="74" t="inlineStr">
        <ns0:is>
          <ns0:t>2026-01-11</ns0:t>
        </ns0:is>
      </ns0:c>
      <ns0:c r="AG400" s="74" t="inlineStr">
        <ns0:is>
          <ns0:t>J.P. Morgan Securities</ns0:t>
        </ns0:is>
      </ns0:c>
      <ns0:c r="AH400" s="74" t="inlineStr">
        <ns0:is>
          <ns0:t>JP Morgan</ns0:t>
        </ns0:is>
      </ns0:c>
      <ns0:c r="AI400" s="86" t="n">
        <ns0:v>-1.05</ns0:v>
      </ns0:c>
      <ns0:c r="AJ400" s="87" t="n">
        <ns0:v>-0.15</ns0:v>
      </ns0:c>
      <ns0:c r="AK400" s="87" t="n">
        <ns0:v>1.13</ns0:v>
      </ns0:c>
      <ns0:c r="AL400" s="87" t="n">
        <ns0:v>0.3</ns0:v>
      </ns0:c>
      <ns0:c r="AM400" s="87" t="n">
        <ns0:v>-0.45</ns0:v>
      </ns0:c>
      <ns0:c r="AN400" s="89" t="n">
        <ns0:v>4.11</ns0:v>
      </ns0:c>
      <ns0:c r="AO400" s="78" t="n">
        <ns0:v>14.93</ns0:v>
      </ns0:c>
      <ns0:c r="AP400" s="87" t="n">
        <ns0:v>-14.22</ns0:v>
      </ns0:c>
      <ns0:c r="AQ400" s="87" t="n">
        <ns0:v>7.34</ns0:v>
      </ns0:c>
      <ns0:c r="AR400" s="87" t="n">
        <ns0:v>-29.34</ns0:v>
      </ns0:c>
      <ns0:c r="AS400" s="87" t="n">
        <ns0:v>-14.09</ns0:v>
      </ns0:c>
      <ns0:c r="AT400" s="87" t="n">
        <ns0:v>7.5</ns0:v>
      </ns0:c>
      <ns0:c r="AU400" s="87" t="n">
        <ns0:v>-29.23</ns0:v>
      </ns0:c>
      <ns0:c r="AV400" s="87" t="n">
        <ns0:v>-15.83</ns0:v>
      </ns0:c>
      <ns0:c r="AW400" s="87" t="n">
        <ns0:v>2.14</ns0:v>
      </ns0:c>
      <ns0:c r="AX400" s="87" t="n">
        <ns0:v>-18.53</ns0:v>
      </ns0:c>
      <ns0:c r="AY400" s="87" t="n">
        <ns0:v>3.48</ns0:v>
      </ns0:c>
      <ns0:c r="AZ400" s="87" t="n">
        <ns0:v>5.2</ns0:v>
      </ns0:c>
      <ns0:c r="BA400" s="87" t="n">
        <ns0:v>4.02</ns0:v>
      </ns0:c>
      <ns0:c r="BB400" s="74" t="inlineStr">
        <ns0:is>
          <ns0:t>HSTECH (Hang Seng TECH ETF)</ns0:t>
        </ns0:is>
      </ns0:c>
      <ns0:c r="BC400" s="87" t="n">
        <ns0:v>-66.69</ns0:v>
      </ns0:c>
      <ns0:c r="BD400" s="75" t="n">
        <ns0:v>46297</ns0:v>
      </ns0:c>
      <ns0:c r="BE400" s="76" t="n">
        <ns0:v>720.7</ns0:v>
      </ns0:c>
      <ns0:c r="BF400" s="79" t="n">
        <ns0:v>-1189.6</ns0:v>
      </ns0:c>
      <ns0:c r="BG400" s="74" t="inlineStr">
        <ns0:is>
          <ns0:t>N</ns0:t>
        </ns0:is>
      </ns0:c>
      <ns0:c r="BH400" s="74" t="inlineStr">
        <ns0:is>
          <ns0:t>n/m</ns0:t>
        </ns0:is>
      </ns0:c>
      <ns0:c r="BI400" s="88" t="n"/>
      <ns0:c r="BJ400" s="88" t="n"/>
      <ns0:c r="BK400" s="89" t="n">
        <ns0:v>26.5</ns0:v>
      </ns0:c>
      <ns0:c r="BL400" s="90">
        <ns0:f>IFERROR(IF('BBG Verify'!S400="","Awaiting Bloomberg",'BBG Verify'!S400),"Awaiting Bloomberg")</ns0:f>
        <ns0:v/>
      </ns0:c>
      <ns0:c r="BM400" s="91" t="inlineStr">
        <ns0:is>
          <ns0:t>N</ns0:t>
        </ns0:is>
      </ns0:c>
      <ns0:c r="BN400" s="92">
        <ns0:f>IFERROR(IF('BBG Verify'!K400="","Awaiting Bloomberg",'BBG Verify'!K400),"Awaiting Bloomberg")</ns0:f>
        <ns0:v/>
      </ns0:c>
      <ns0:c r="BO400" s="74" t="inlineStr">
        <ns0:is>
          <ns0:t>N/A</ns0:t>
        </ns0:is>
      </ns0:c>
      <ns0:c r="BP400" s="74" t="inlineStr">
        <ns0:is>
          <ns0:t>N/A</ns0:t>
        </ns0:is>
      </ns0:c>
      <ns0:c r="BQ400" s="74" t="inlineStr">
        <ns0:is>
          <ns0:t>N/A</ns0:t>
        </ns0:is>
      </ns0:c>
      <ns0:c r="BR400" s="74" t="inlineStr">
        <ns0:is>
          <ns0:t>N/A</ns0:t>
        </ns0:is>
      </ns0:c>
      <ns0:c r="BS400" s="74" t="inlineStr">
        <ns0:is>
          <ns0:t>N/A</ns0:t>
        </ns0:is>
      </ns0:c>
      <ns0:c r="BT400" s="74" t="inlineStr">
        <ns0:is>
          <ns0:t>N/A</ns0:t>
        </ns0:is>
      </ns0:c>
      <ns0:c r="BU400" s="91" t="inlineStr">
        <ns0:is>
          <ns0:t>J.P. Morgan Securities (Far East) Limited; Guotai Junan Capital Limited</ns0:t>
        </ns0:is>
      </ns0:c>
      <ns0:c r="BV400" s="74" t="inlineStr">
        <ns0:is>
          <ns0:t>J.P. Morgan Securities (Far East) Limited; Guotai Junan Capital Limited</ns0:t>
        </ns0:is>
      </ns0:c>
      <ns0:c r="BW400" s="74" t="inlineStr">
        <ns0:is>
          <ns0:t>( in alphabetical order ) CMB International Capital Limited; Tiger Brokers (HK) Global Limited; Victory Securities Company Limited</ns0:t>
        </ns0:is>
      </ns0:c>
      <ns0:c r="BX400" s="74" t="inlineStr">
        <ns0:is>
          <ns0: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ns0:t>
        </ns0:is>
      </ns0:c>
      <ns0:c r="BY400" s="93">
        <ns0:f>HYPERLINK("https://www1.hkexnews.hk/listedco/listconews/sehk/2025/1209/2025120900025.pdf","prospectus")</ns0:f>
        <ns0:v/>
      </ns0:c>
      <ns0:c r="BZ400" s="93">
        <ns0:f>HYPERLINK("https://www1.hkexnews.hk/listedco/listconews/sehk/2025/1216/2025121601390.pdf","allotment")</ns0:f>
        <ns0:v/>
      </ns0:c>
      <ns0:c r="CA400" s="93">
        <ns0:f>HYPERLINK("https://www1.hkexnews.hk/listedco/listconews/sehk/2026/0112/2026011200057.pdf","stabilisation")</ns0:f>
        <ns0:v/>
      </ns0:c>
      <ns0:c r="CB400" s="94" t="n"/>
      <ns0:c r="CC400" s="74" t="inlineStr">
        <ns0:is>
          <ns0:t>P/E: loss-making at IPO, use P/S; range low: maximum offer price only, no floor published; market cap: published listing cap used; the estimate from deal size / offer % of enlarged capital disagreed</ns0:t>
        </ns0:is>
      </ns0:c>
    </ns0:row>
    <ns0:row r="401" ht="22" customHeight="1">
      <ns0:c r="A401" s="73" t="inlineStr">
        <ns0:is>
          <ns0:t>2546</ns0:t>
        </ns0:is>
      </ns0:c>
      <ns0:c r="B401" s="74" t="inlineStr">
        <ns0:is>
          <ns0:t>ZHIHUI MINING</ns0:t>
        </ns0:is>
      </ns0:c>
      <ns0:c r="C401" s="74" t="inlineStr">
        <ns0:is>
          <ns0:t>智匯礦業</ns0:t>
        </ns0:is>
      </ns0:c>
      <ns0:c r="D401" s="74" t="inlineStr">
        <ns0:is>
          <ns0:t>Materials/Energy</ns0:t>
        </ns0:is>
      </ns0:c>
      <ns0:c r="E401" s="74" t="inlineStr">
        <ns0:is>
          <ns0:t>Mining / metals</ns0:t>
        </ns0:is>
      </ns0:c>
      <ns0:c r="F401" s="74" t="inlineStr">
        <ns0:is>
          <ns0:t>Diversified Metals &amp; Minerals</ns0:t>
        </ns0:is>
      </ns0:c>
      <ns0:c r="G401" s="74" t="inlineStr">
        <ns0:is>
          <ns0:t>Standard</ns0:t>
        </ns0:is>
      </ns0:c>
      <ns0:c r="H401" s="75" t="n">
        <ns0:v>46010</ns0:v>
      </ns0:c>
      <ns0:c r="I401" s="76" t="n">
        <ns0:v>550</ns0:v>
      </ns0:c>
      <ns0:c r="J401" s="74" t="inlineStr">
        <ns0:is>
          <ns0:t>gross (stated)</ns0:t>
        </ns0:is>
      </ns0:c>
      <ns0:c r="K401" s="95" t="n"/>
      <ns0:c r="L401" s="77" t="n">
        <ns0:v>4.51</ns0:v>
      </ns0:c>
      <ns0:c r="M401" s="77" t="n">
        <ns0:v>4.51</ns0:v>
      </ns0:c>
      <ns0:c r="N401" s="74" t="inlineStr">
        <ns0:is>
          <ns0:t>Y</ns0:t>
        </ns0:is>
      </ns0:c>
      <ns0:c r="O401" s="78" t="n">
        <ns0:v>100</ns0:v>
      </ns0:c>
      <ns0:c r="P401" s="84" t="n"/>
      <ns0:c r="Q401" s="79" t="n">
        <ns0:v>2200</ns0:v>
      </ns0:c>
      <ns0:c r="R401" s="74" t="inlineStr">
        <ns0:is>
          <ns0:t>derived:price x shares upon listing</ns0:t>
        </ns0:is>
      </ns0:c>
      <ns0:c r="S401" s="80" t="n">
        <ns0:v>5248.15</ns0:v>
      </ns0:c>
      <ns0:c r="T401" s="81" t="n">
        <ns0:v>2.68</ns0:v>
      </ns0:c>
      <ns0:c r="U401" s="82" t="n">
        <ns0:v>40.78</ns0:v>
      </ns0:c>
      <ns0:c r="V401" s="83" t="n">
        <ns0:v>164</ns0:v>
      </ns0:c>
      <ns0:c r="W401" s="78" t="n">
        <ns0:v>10</ns0:v>
      </ns0:c>
      <ns0:c r="X401" s="74" t="inlineStr">
        <ns0:is>
          <ns0:t>NO</ns0:t>
        </ns0:is>
      </ns0:c>
      <ns0:c r="Y401" s="79" t="n">
        <ns0:v>325.71</ns0:v>
      </ns0:c>
      <ns0:c r="Z401" s="79" t="n">
        <ns0:v>72219974</ns0:v>
      </ns0:c>
      <ns0:c r="AA401" s="78" t="n">
        <ns0:v>14.81</ns0:v>
      </ns0:c>
      <ns0:c r="AB401" s="74" t="inlineStr">
        <ns0:is>
          <ns0:t>Sparky International Company Limited; Greater Bay Area Homeland Investments Limited No - GIGA Industries Limited; Poly Platinum Enterprises Limited</ns0:t>
        </ns0:is>
      </ns0:c>
      <ns0:c r="AC401" s="74" t="inlineStr">
        <ns0:is>
          <ns0:t>sparky;greater;poly</ns0:t>
        </ns0:is>
      </ns0:c>
      <ns0:c r="AD401" s="84" t="n"/>
      <ns0:c r="AE401" s="85" t="n"/>
      <ns0:c r="AF401" s="85" t="n"/>
      <ns0:c r="AG401" s="85" t="n"/>
      <ns0:c r="AH401" s="85" t="n"/>
      <ns0:c r="AI401" s="86" t="n">
        <ns0:v>126.61</ns0:v>
      </ns0:c>
      <ns0:c r="AJ401" s="87" t="n">
        <ns0:v>90.69</ns0:v>
      </ns0:c>
      <ns0:c r="AK401" s="87" t="n">
        <ns0:v>0.83</ns0:v>
      </ns0:c>
      <ns0:c r="AL401" s="87" t="n">
        <ns0:v>139.47</ns0:v>
      </ns0:c>
      <ns0:c r="AM401" s="87" t="n">
        <ns0:v>-20.37</ns0:v>
      </ns0:c>
      <ns0:c r="AN401" s="89" t="n">
        <ns0:v>2.49</ns0:v>
      </ns0:c>
      <ns0:c r="AO401" s="78" t="n">
        <ns0:v>27.04</ns0:v>
      </ns0:c>
      <ns0:c r="AP401" s="87" t="n">
        <ns0:v>109.31</ns0:v>
      </ns0:c>
      <ns0:c r="AQ401" s="87" t="n">
        <ns0:v>186.03</ns0:v>
      </ns0:c>
      <ns0:c r="AR401" s="87" t="n">
        <ns0:v>212.64</ns0:v>
      </ns0:c>
      <ns0:c r="AS401" s="87" t="n">
        <ns0:v>9.76</ns0:v>
      </ns0:c>
      <ns0:c r="AT401" s="87" t="n">
        <ns0:v>50</ns0:v>
      </ns0:c>
      <ns0:c r="AU401" s="87" t="n">
        <ns0:v>63.95</ns0:v>
      </ns0:c>
      <ns0:c r="AV401" s="87" t="n">
        <ns0:v>108.33</ns0:v>
      </ns0:c>
      <ns0:c r="AW401" s="87" t="n">
        <ns0:v>181.75</ns0:v>
      </ns0:c>
      <ns0:c r="AX401" s="87" t="n">
        <ns0:v>219.56</ns0:v>
      </ns0:c>
      <ns0:c r="AY401" s="87" t="n">
        <ns0:v>46.57</ns0:v>
      </ns0:c>
      <ns0:c r="AZ401" s="87" t="n">
        <ns0:v>4.28</ns0:v>
      </ns0:c>
      <ns0:c r="BA401" s="87" t="n">
        <ns0:v>3.43</ns0:v>
      </ns0:c>
      <ns0:c r="BB401" s="74" t="inlineStr">
        <ns0:is>
          <ns0:t>Hang Seng Commerce &amp; Industry sub-index</ns0:t>
        </ns0:is>
      </ns0:c>
      <ns0:c r="BC401" s="87" t="n">
        <ns0:v>350.55</ns0:v>
      </ns0:c>
      <ns0:c r="BD401" s="75" t="n">
        <ns0:v>46297</ns0:v>
      </ns0:c>
      <ns0:c r="BE401" s="76" t="n">
        <ns0:v>331.6</ns0:v>
      </ns0:c>
      <ns0:c r="BF401" s="79" t="n">
        <ns0:v>69.09999999999999</ns0:v>
      </ns0:c>
      <ns0:c r="BG401" s="74" t="inlineStr">
        <ns0:is>
          <ns0:t>Y</ns0:t>
        </ns0:is>
      </ns0:c>
      <ns0:c r="BH401" s="89" t="n">
        <ns0:v>31.8</ns0:v>
      </ns0:c>
      <ns0:c r="BI401" s="88" t="n"/>
      <ns0:c r="BJ401" s="88" t="n"/>
      <ns0:c r="BK401" s="89" t="n">
        <ns0:v>6.6</ns0:v>
      </ns0:c>
      <ns0:c r="BL401" s="90">
        <ns0:f>IFERROR(IF('BBG Verify'!S401="","Awaiting Bloomberg",'BBG Verify'!S401),"Awaiting Bloomberg")</ns0:f>
        <ns0:v/>
      </ns0:c>
      <ns0:c r="BM401" s="91" t="inlineStr">
        <ns0:is>
          <ns0:t>N</ns0:t>
        </ns0:is>
      </ns0:c>
      <ns0:c r="BN401" s="92">
        <ns0:f>IFERROR(IF('BBG Verify'!K401="","Awaiting Bloomberg",'BBG Verify'!K401),"Awaiting Bloomberg")</ns0:f>
        <ns0:v/>
      </ns0:c>
      <ns0:c r="BO401" s="74" t="inlineStr">
        <ns0:is>
          <ns0:t>N/A</ns0:t>
        </ns0:is>
      </ns0:c>
      <ns0:c r="BP401" s="74" t="inlineStr">
        <ns0:is>
          <ns0:t>N/A</ns0:t>
        </ns0:is>
      </ns0:c>
      <ns0:c r="BQ401" s="74" t="inlineStr">
        <ns0:is>
          <ns0:t>N/A</ns0:t>
        </ns0:is>
      </ns0:c>
      <ns0:c r="BR401" s="74" t="inlineStr">
        <ns0:is>
          <ns0:t>N/A</ns0:t>
        </ns0:is>
      </ns0:c>
      <ns0:c r="BS401" s="74" t="inlineStr">
        <ns0:is>
          <ns0:t>N/A</ns0:t>
        </ns0:is>
      </ns0:c>
      <ns0:c r="BT401" s="74" t="inlineStr">
        <ns0:is>
          <ns0:t>N/A</ns0:t>
        </ns0:is>
      </ns0:c>
      <ns0:c r="BU401" s="91" t="inlineStr">
        <ns0:is>
          <ns0:t>Sinolink Securities (Hong Kong) Company Limited; Maxa Capital Limited</ns0:t>
        </ns0:is>
      </ns0:c>
      <ns0:c r="BV401" s="74" t="inlineStr">
        <ns0:is>
          <ns0:t>Maxa Capital Limited; Sinolink Securities (Hong Kong) Company Limited</ns0:t>
        </ns0:is>
      </ns0:c>
      <ns0:c r="BW401" s="74" t="inlineStr">
        <ns0:is>
          <ns0:t>Sinolink Securities (Hong Kong) Company Limited; Maxa Capital Limited; ABCI Capital Limited; ABCI Securities Company Limited</ns0:t>
        </ns0:is>
      </ns0:c>
      <ns0:c r="BX401" s="74" t="inlineStr">
        <ns0:is>
          <ns0: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ns0:t>
        </ns0:is>
      </ns0:c>
      <ns0:c r="BY401" s="93">
        <ns0:f>HYPERLINK("https://www1.hkexnews.hk/listedco/listconews/sehk/2025/1211/2025121100043.pdf","prospectus")</ns0:f>
        <ns0:v/>
      </ns0:c>
      <ns0:c r="BZ401" s="93">
        <ns0:f>HYPERLINK("https://www1.hkexnews.hk/listedco/listconews/sehk/2025/1218/2025121801566.pdf","allotment")</ns0:f>
        <ns0:v/>
      </ns0:c>
      <ns0:c r="CA401" s="85" t="n"/>
      <ns0:c r="CB401" s="94" t="n"/>
      <ns0:c r="CC401" s="74" t="inlineStr">
        <ns0:is>
          <ns0:t>greenshoe: no over-allotment option; range low: maximum offer price only, no floor published; greenshoe size: no over-allotment option; stabilising manager: no over-allotment option, so none appointed</ns0:t>
        </ns0:is>
      </ns0:c>
    </ns0:row>
    <ns0:row r="402" ht="22" customHeight="1">
      <ns0:c r="A402" s="73" t="inlineStr">
        <ns0:is>
          <ns0:t>3881</ns0:t>
        </ns0:is>
      </ns0:c>
      <ns0:c r="B402" s="74" t="inlineStr">
        <ns0:is>
          <ns0:t>CIDI</ns0:t>
        </ns0:is>
      </ns0:c>
      <ns0:c r="C402" s="74" t="inlineStr">
        <ns0:is>
          <ns0:t>希迪智駕</ns0:t>
        </ns0:is>
      </ns0:c>
      <ns0:c r="D402" s="74" t="inlineStr">
        <ns0:is>
          <ns0:t>Technology</ns0:t>
        </ns0:is>
      </ns0:c>
      <ns0:c r="E402" s="74" t="inlineStr">
        <ns0:is>
          <ns0:t>Robotics &amp; autonomous driving</ns0:t>
        </ns0:is>
      </ns0:c>
      <ns0:c r="F402" s="74" t="inlineStr">
        <ns0:is>
          <ns0:t>Advanced hardware and software</ns0:t>
        </ns0:is>
      </ns0:c>
      <ns0:c r="G402" s="74" t="inlineStr">
        <ns0:is>
          <ns0:t>18C</ns0:t>
        </ns0:is>
      </ns0:c>
      <ns0:c r="H402" s="75" t="n">
        <ns0:v>46010</ns0:v>
      </ns0:c>
      <ns0:c r="I402" s="76" t="n">
        <ns0:v>1422.3</ns0:v>
      </ns0:c>
      <ns0:c r="J402" s="74" t="inlineStr">
        <ns0:is>
          <ns0:t>gross (stated)</ns0:t>
        </ns0:is>
      </ns0:c>
      <ns0:c r="K402" s="95" t="n"/>
      <ns0:c r="L402" s="77" t="n">
        <ns0:v>263</ns0:v>
      </ns0:c>
      <ns0:c r="M402" s="77" t="n">
        <ns0:v>263</ns0:v>
      </ns0:c>
      <ns0:c r="N402" s="74" t="inlineStr">
        <ns0:is>
          <ns0:t>Y</ns0:t>
        </ns0:is>
      </ns0:c>
      <ns0:c r="O402" s="78" t="n">
        <ns0:v>100</ns0:v>
      </ns0:c>
      <ns0:c r="P402" s="84" t="n"/>
      <ns0:c r="Q402" s="79" t="n">
        <ns0:v>11516.6</ns0:v>
      </ns0:c>
      <ns0:c r="R402" s="74" t="inlineStr">
        <ns0:is>
          <ns0:t>prospectus:stated market capitalisation</ns0:t>
        </ns0:is>
      </ns0:c>
      <ns0:c r="S402" s="80" t="n">
        <ns0:v>22.55</ns0:v>
      </ns0:c>
      <ns0:c r="T402" s="81" t="n">
        <ns0:v>2.1</ns0:v>
      </ns0:c>
      <ns0:c r="U402" s="82" t="n">
        <ns0:v>38.39</ns0:v>
      </ns0:c>
      <ns0:c r="V402" s="83" t="n">
        <ns0:v>42</ns0:v>
      </ns0:c>
      <ns0:c r="W402" s="78" t="n">
        <ns0:v>10</ns0:v>
      </ns0:c>
      <ns0:c r="X402" s="74" t="inlineStr">
        <ns0:is>
          <ns0:t>YES</ns0:t>
        </ns0:is>
      </ns0:c>
      <ns0:c r="Y402" s="79" t="n">
        <ns0:v>876.28</ns0:v>
      </ns0:c>
      <ns0:c r="Z402" s="79" t="n">
        <ns0:v>3331856</ns0:v>
      </ns0:c>
      <ns0:c r="AA402" s="78" t="n">
        <ns0:v>7.61</ns0:v>
      </ns0:c>
      <ns0:c r="AB402" s="74" t="inlineStr">
        <ns0:is>
          <ns0:t>Hunan Xiangjiang Zhicheng Industrial Investment Fund Partnership (Limited Partnership); Nanning Zhijia No. 1 Ruiyue Equity Investment Partnership (Limited Partnership); ICBC UBS Asset Management (International) Company Limited; Qianhai Kaiyuan Qunwei QDII Single Asset Management Plan</ns0:t>
        </ns0:is>
      </ns0:c>
      <ns0:c r="AC402" s="74" t="inlineStr">
        <ns0:is>
          <ns0:t>hunan;nanning;icbc;qianhai</ns0:t>
        </ns0:is>
      </ns0:c>
      <ns0:c r="AD402" s="78" t="n">
        <ns0:v>10</ns0:v>
      </ns0:c>
      <ns0:c r="AE402" s="74" t="inlineStr">
        <ns0:is>
          <ns0:t>lapsed</ns0:t>
        </ns0:is>
      </ns0:c>
      <ns0:c r="AF402" s="85" t="n"/>
      <ns0:c r="AG402" s="74" t="inlineStr">
        <ns0:is>
          <ns0:t>China International Capital Corporation Hong Kong Securities Limited</ns0:t>
        </ns0:is>
      </ns0:c>
      <ns0:c r="AH402" s="74" t="inlineStr">
        <ns0:is>
          <ns0:t>China International</ns0:t>
        </ns0:is>
      </ns0:c>
      <ns0:c r="AI402" s="86" t="n">
        <ns0:v>-6.08</ns0:v>
      </ns0:c>
      <ns0:c r="AJ402" s="87" t="n">
        <ns0:v>-13.69</ns0:v>
      </ns0:c>
      <ns0:c r="AK402" s="87" t="n">
        <ns0:v>0.9399999999999999</ns0:v>
      </ns0:c>
      <ns0:c r="AL402" s="87" t="n">
        <ns0:v>0</ns0:v>
      </ns0:c>
      <ns0:c r="AM402" s="87" t="n">
        <ns0:v>-13.69</ns0:v>
      </ns0:c>
      <ns0:c r="AN402" s="89" t="n">
        <ns0:v>1.5</ns0:v>
      </ns0:c>
      <ns0:c r="AO402" s="78" t="n">
        <ns0:v>17.11</ns0:v>
      </ns0:c>
      <ns0:c r="AP402" s="87" t="n">
        <ns0:v>-15.21</ns0:v>
      </ns0:c>
      <ns0:c r="AQ402" s="87" t="n">
        <ns0:v>-7.83</ns0:v>
      </ns0:c>
      <ns0:c r="AR402" s="87" t="n">
        <ns0:v>-11.79</ns0:v>
      </ns0:c>
      <ns0:c r="AS402" s="87" t="n">
        <ns0:v>-1.76</ns0:v>
      </ns0:c>
      <ns0:c r="AT402" s="87" t="n">
        <ns0:v>6.79</ns0:v>
      </ns0:c>
      <ns0:c r="AU402" s="87" t="n">
        <ns0:v>2.2</ns0:v>
      </ns0:c>
      <ns0:c r="AV402" s="87" t="n">
        <ns0:v>-18.03</ns0:v>
      </ns0:c>
      <ns0:c r="AW402" s="87" t="n">
        <ns0:v>-14.04</ns0:v>
      </ns0:c>
      <ns0:c r="AX402" s="87" t="n">
        <ns0:v>0.53</ns0:v>
      </ns0:c>
      <ns0:c r="AY402" s="87" t="n">
        <ns0:v>1.57</ns0:v>
      </ns0:c>
      <ns0:c r="AZ402" s="87" t="n">
        <ns0:v>6.21</ns0:v>
      </ns0:c>
      <ns0:c r="BA402" s="87" t="n">
        <ns0:v>5.22</ns0:v>
      </ns0:c>
      <ns0:c r="BB402" s="74" t="inlineStr">
        <ns0:is>
          <ns0:t>HSTECH (Hang Seng TECH ETF)</ns0:t>
        </ns0:is>
      </ns0:c>
      <ns0:c r="BC402" s="87" t="n">
        <ns0:v>-24.79</ns0:v>
      </ns0:c>
      <ns0:c r="BD402" s="75" t="n">
        <ns0:v>46297</ns0:v>
      </ns0:c>
      <ns0:c r="BE402" s="76" t="n">
        <ns0:v>451</ns0:v>
      </ns0:c>
      <ns0:c r="BF402" s="79" t="n">
        <ns0:v>-638.8</ns0:v>
      </ns0:c>
      <ns0:c r="BG402" s="74" t="inlineStr">
        <ns0:is>
          <ns0:t>N</ns0:t>
        </ns0:is>
      </ns0:c>
      <ns0:c r="BH402" s="74" t="inlineStr">
        <ns0:is>
          <ns0:t>n/m</ns0:t>
        </ns0:is>
      </ns0:c>
      <ns0:c r="BI402" s="88" t="n"/>
      <ns0:c r="BJ402" s="88" t="n"/>
      <ns0:c r="BK402" s="89" t="n">
        <ns0:v>25.5</ns0:v>
      </ns0:c>
      <ns0:c r="BL402" s="90">
        <ns0:f>IFERROR(IF('BBG Verify'!S402="","Awaiting Bloomberg",'BBG Verify'!S402),"Awaiting Bloomberg")</ns0:f>
        <ns0:v/>
      </ns0:c>
      <ns0:c r="BM402" s="91" t="inlineStr">
        <ns0:is>
          <ns0:t>N</ns0:t>
        </ns0:is>
      </ns0:c>
      <ns0:c r="BN402" s="92">
        <ns0:f>IFERROR(IF('BBG Verify'!K402="","Awaiting Bloomberg",'BBG Verify'!K402),"Awaiting Bloomberg")</ns0:f>
        <ns0:v/>
      </ns0:c>
      <ns0:c r="BO402" s="74" t="inlineStr">
        <ns0:is>
          <ns0:t>N/A</ns0:t>
        </ns0:is>
      </ns0:c>
      <ns0:c r="BP402" s="74" t="inlineStr">
        <ns0:is>
          <ns0:t>N/A</ns0:t>
        </ns0:is>
      </ns0:c>
      <ns0:c r="BQ402" s="74" t="inlineStr">
        <ns0:is>
          <ns0:t>N/A</ns0:t>
        </ns0:is>
      </ns0:c>
      <ns0:c r="BR402" s="74" t="inlineStr">
        <ns0:is>
          <ns0:t>N/A</ns0:t>
        </ns0:is>
      </ns0:c>
      <ns0:c r="BS402" s="74" t="inlineStr">
        <ns0:is>
          <ns0:t>N/A</ns0:t>
        </ns0:is>
      </ns0:c>
      <ns0:c r="BT402" s="74" t="inlineStr">
        <ns0:is>
          <ns0:t>N/A</ns0:t>
        </ns0:is>
      </ns0:c>
      <ns0:c r="BU402" s="91" t="inlineStr">
        <ns0:is>
          <ns0:t>China International Capital Corporation Hong Kong Securities Limited; China Securities (International) Corporate Finance Company Limited; Ping An of China Capital (Hong Kong) Company Limited</ns0:t>
        </ns0:is>
      </ns0:c>
      <ns0:c r="BV402" s="74" t="inlineStr">
        <ns0:is>
          <ns0:t>China International Capital Corporation Hong Kong Securities Limited; Ping An of China Capital (Hong Kong) Company Limited; China Securities (International) Corporate Finance Company Limited</ns0:t>
        </ns0:is>
      </ns0:c>
      <ns0:c r="BW402" s="74" t="inlineStr">
        <ns0:is>
          <ns0:t>China International Capital Corporation Hong Kong Securities Limited; China Securities (International) Corporate Finance Company Limited;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ns0:t>
        </ns0:is>
      </ns0:c>
      <ns0:c r="BX402" s="74" t="inlineStr">
        <ns0:is>
          <ns0: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ns0:t>
        </ns0:is>
      </ns0:c>
      <ns0:c r="BY402" s="93">
        <ns0:f>HYPERLINK("https://www1.hkexnews.hk/listedco/listconews/sehk/2025/1211/2025121100007.pdf","prospectus")</ns0:f>
        <ns0:v/>
      </ns0:c>
      <ns0:c r="BZ402" s="93">
        <ns0:f>HYPERLINK("https://www1.hkexnews.hk/listedco/listconews/sehk/2025/1218/2025121801904.pdf","allotment")</ns0:f>
        <ns0:v/>
      </ns0:c>
      <ns0:c r="CA402" s="93">
        <ns0:f>HYPERLINK("https://www1.hkexnews.hk/listedco/listconews/sehk/2026/0116/2026011600161.pdf","stabilisation")</ns0:f>
        <ns0:v/>
      </ns0:c>
      <ns0:c r="CB402" s="94" t="n"/>
      <ns0:c r="CC402" s="74" t="inlineStr">
        <ns0:is>
          <ns0:t>P/E: loss-making at IPO, use P/S; greenshoe: conflict: notice read 'lapsed' but Bloomberg records 540,800 shares exercised; check the notice; range low: maximum offer price only, no floor published</ns0:t>
        </ns0:is>
      </ns0:c>
    </ns0:row>
    <ns0:row r="403" ht="22" customHeight="1">
      <ns0:c r="A403" s="73" t="inlineStr">
        <ns0:is>
          <ns0:t>2695</ns0:t>
        </ns0:is>
      </ns0:c>
      <ns0:c r="B403" s="74" t="inlineStr">
        <ns0:is>
          <ns0:t>IMPRESSION DHP</ns0:t>
        </ns0:is>
      </ns0:c>
      <ns0:c r="C403" s="74" t="inlineStr">
        <ns0:is>
          <ns0:t>印象大紅袍</ns0:t>
        </ns0:is>
      </ns0:c>
      <ns0:c r="D403" s="74" t="inlineStr">
        <ns0:is>
          <ns0:t>Media &amp; telecom</ns0:t>
        </ns0:is>
      </ns0:c>
      <ns0:c r="E403" s="74" t="inlineStr">
        <ns0:is>
          <ns0:t>Media / advertising</ns0:t>
        </ns0:is>
      </ns0:c>
      <ns0:c r="F403" s="74" t="inlineStr">
        <ns0:is>
          <ns0:t>Tourism</ns0:t>
        </ns0:is>
      </ns0:c>
      <ns0:c r="G403" s="74" t="inlineStr">
        <ns0:is>
          <ns0:t>Standard</ns0:t>
        </ns0:is>
      </ns0:c>
      <ns0:c r="H403" s="75" t="n">
        <ns0:v>46013</ns0:v>
      </ns0:c>
      <ns0:c r="I403" s="76" t="n">
        <ns0:v>129.96</ns0:v>
      </ns0:c>
      <ns0:c r="J403" s="74" t="inlineStr">
        <ns0:is>
          <ns0:t>gross (stated)</ns0:t>
        </ns0:is>
      </ns0:c>
      <ns0:c r="K403" s="77" t="n">
        <ns0:v>3.47</ns0:v>
      </ns0:c>
      <ns0:c r="L403" s="77" t="n">
        <ns0:v>4.1</ns0:v>
      </ns0:c>
      <ns0:c r="M403" s="77" t="n">
        <ns0:v>3.6</ns0:v>
      </ns0:c>
      <ns0:c r="N403" s="74" t="inlineStr">
        <ns0:is>
          <ns0:t>N</ns0:t>
        </ns0:is>
      </ns0:c>
      <ns0:c r="O403" s="78" t="n">
        <ns0:v>87.8</ns0:v>
      </ns0:c>
      <ns0:c r="P403" s="78" t="n">
        <ns0:v>20.6</ns0:v>
      </ns0:c>
      <ns0:c r="Q403" s="79" t="n">
        <ns0:v>519</ns0:v>
      </ns0:c>
      <ns0:c r="R403" s="74" t="inlineStr">
        <ns0:is>
          <ns0:t>derived:price x shares upon listing</ns0:t>
        </ns0:is>
      </ns0:c>
      <ns0:c r="S403" s="80" t="n">
        <ns0:v>3397.48</ns0:v>
      </ns0:c>
      <ns0:c r="T403" s="81" t="n">
        <ns0:v>1.91</ns0:v>
      </ns0:c>
      <ns0:c r="U403" s="82" t="n">
        <ns0:v>0</ns0:v>
      </ns0:c>
      <ns0:c r="V403" s="83" t="n">
        <ns0:v>109</ns0:v>
      </ns0:c>
      <ns0:c r="W403" s="78" t="n">
        <ns0:v>10</ns0:v>
      </ns0:c>
      <ns0:c r="X403" s="74" t="inlineStr">
        <ns0:is>
          <ns0:t>NO</ns0:t>
        </ns0:is>
      </ns0:c>
      <ns0:c r="Y403" s="79" t="n">
        <ns0:v>129.96</ns0:v>
      </ns0:c>
      <ns0:c r="Z403" s="79" t="n">
        <ns0:v>36100000</ns0:v>
      </ns0:c>
      <ns0:c r="AA403" s="78" t="n">
        <ns0:v>25.04</ns0:v>
      </ns0:c>
      <ns0:c r="AB403" s="74" t="inlineStr">
        <ns0:is>
          <ns0:t>none — no cornerstone tranche</ns0:t>
        </ns0:is>
      </ns0:c>
      <ns0:c r="AC403" s="74" t="inlineStr">
        <ns0:is>
          <ns0:t>none</ns0:t>
        </ns0:is>
      </ns0:c>
      <ns0:c r="AD403" s="78" t="n">
        <ns0:v>11.4</ns0:v>
      </ns0:c>
      <ns0:c r="AE403" s="85" t="n"/>
      <ns0:c r="AF403" s="85" t="n"/>
      <ns0:c r="AG403" s="74" t="inlineStr">
        <ns0:is>
          <ns0:t>China Industrial Securities International Capital Limited</ns0:t>
        </ns0:is>
      </ns0:c>
      <ns0:c r="AH403" s="74" t="inlineStr">
        <ns0:is>
          <ns0:t>China Industrial</ns0:t>
        </ns0:is>
      </ns0:c>
      <ns0:c r="AI403" s="86" t="n">
        <ns0:v>-4.44</ns0:v>
      </ns0:c>
      <ns0:c r="AJ403" s="87" t="n">
        <ns0:v>-35.28</ns0:v>
      </ns0:c>
      <ns0:c r="AK403" s="87" t="n">
        <ns0:v>0.43</ns0:v>
      </ns0:c>
      <ns0:c r="AL403" s="87" t="n">
        <ns0:v>-9.44</ns0:v>
      </ns0:c>
      <ns0:c r="AM403" s="87" t="n">
        <ns0:v>-28.53</ns0:v>
      </ns0:c>
      <ns0:c r="AN403" s="89" t="n">
        <ns0:v>11.82</ns0:v>
      </ns0:c>
      <ns0:c r="AO403" s="78" t="n">
        <ns0:v>32.82</ns0:v>
      </ns0:c>
      <ns0:c r="AP403" s="87" t="n">
        <ns0:v>-41.11</ns0:v>
      </ns0:c>
      <ns0:c r="AQ403" s="87" t="n">
        <ns0:v>-35.56</ns0:v>
      </ns0:c>
      <ns0:c r="AR403" s="87" t="n">
        <ns0:v>-50.28</ns0:v>
      </ns0:c>
      <ns0:c r="AS403" s="87" t="n">
        <ns0:v>-9.01</ns0:v>
      </ns0:c>
      <ns0:c r="AT403" s="87" t="n">
        <ns0:v>-0.43</ns0:v>
      </ns0:c>
      <ns0:c r="AU403" s="87" t="n">
        <ns0:v>-23.18</ns0:v>
      </ns0:c>
      <ns0:c r="AV403" s="87" t="n">
        <ns0:v>-40.88</ns0:v>
      </ns0:c>
      <ns0:c r="AW403" s="87" t="n">
        <ns0:v>-39.68</ns0:v>
      </ns0:c>
      <ns0:c r="AX403" s="87" t="n">
        <ns0:v>-47.4</ns0:v>
      </ns0:c>
      <ns0:c r="AY403" s="87" t="n">
        <ns0:v>-4.1</ns0:v>
      </ns0:c>
      <ns0:c r="AZ403" s="87" t="n">
        <ns0:v>4.12</ns0:v>
      </ns0:c>
      <ns0:c r="BA403" s="87" t="n">
        <ns0:v>3.67</ns0:v>
      </ns0:c>
      <ns0:c r="BB403" s="74" t="inlineStr">
        <ns0:is>
          <ns0:t>Hang Seng Index</ns0:t>
        </ns0:is>
      </ns0:c>
      <ns0:c r="BC403" s="87" t="n">
        <ns0:v>-66.81</ns0:v>
      </ns0:c>
      <ns0:c r="BD403" s="75" t="n">
        <ns0:v>46297</ns0:v>
      </ns0:c>
      <ns0:c r="BE403" s="76" t="n">
        <ns0:v>150.9</ns0:v>
      </ns0:c>
      <ns0:c r="BF403" s="79" t="n">
        <ns0:v>-2.9</ns0:v>
      </ns0:c>
      <ns0:c r="BG403" s="74" t="inlineStr">
        <ns0:is>
          <ns0:t>N</ns0:t>
        </ns0:is>
      </ns0:c>
      <ns0:c r="BH403" s="74" t="inlineStr">
        <ns0:is>
          <ns0:t>n/m</ns0:t>
        </ns0:is>
      </ns0:c>
      <ns0:c r="BI403" s="89" t="n">
        <ns0:v>5.6</ns0:v>
      </ns0:c>
      <ns0:c r="BJ403" s="89" t="n">
        <ns0:v>3.1</ns0:v>
      </ns0:c>
      <ns0:c r="BK403" s="89" t="n">
        <ns0:v>3.4</ns0:v>
      </ns0:c>
      <ns0:c r="BL403" s="90">
        <ns0:f>IFERROR(IF('BBG Verify'!S403="","Awaiting Bloomberg",'BBG Verify'!S403),"Awaiting Bloomberg")</ns0:f>
        <ns0:v/>
      </ns0:c>
      <ns0:c r="BM403" s="91" t="inlineStr">
        <ns0:is>
          <ns0:t>N</ns0:t>
        </ns0:is>
      </ns0:c>
      <ns0:c r="BN403" s="92">
        <ns0:f>IFERROR(IF('BBG Verify'!K403="","Awaiting Bloomberg",'BBG Verify'!K403),"Awaiting Bloomberg")</ns0:f>
        <ns0:v/>
      </ns0:c>
      <ns0:c r="BO403" s="74" t="inlineStr">
        <ns0:is>
          <ns0:t>N/A</ns0:t>
        </ns0:is>
      </ns0:c>
      <ns0:c r="BP403" s="74" t="inlineStr">
        <ns0:is>
          <ns0:t>N/A</ns0:t>
        </ns0:is>
      </ns0:c>
      <ns0:c r="BQ403" s="74" t="inlineStr">
        <ns0:is>
          <ns0:t>N/A</ns0:t>
        </ns0:is>
      </ns0:c>
      <ns0:c r="BR403" s="74" t="inlineStr">
        <ns0:is>
          <ns0:t>N/A</ns0:t>
        </ns0:is>
      </ns0:c>
      <ns0:c r="BS403" s="74" t="inlineStr">
        <ns0:is>
          <ns0:t>N/A</ns0:t>
        </ns0:is>
      </ns0:c>
      <ns0:c r="BT403" s="74" t="inlineStr">
        <ns0:is>
          <ns0:t>N/A</ns0:t>
        </ns0:is>
      </ns0:c>
      <ns0:c r="BU403" s="91" t="inlineStr">
        <ns0:is>
          <ns0:t>China Industrial Securities International Capital Limited; Halcyon Capital Limited</ns0:t>
        </ns0:is>
      </ns0:c>
      <ns0:c r="BV403" s="74" t="inlineStr">
        <ns0:is>
          <ns0:t>China Industrial Securities International Capital Limited; Halcyon Capital Limited</ns0:t>
        </ns0:is>
      </ns0:c>
      <ns0:c r="BW403" s="74" t="inlineStr">
        <ns0:is>
          <ns0:t>China Industrial Securities International Capital Limited; Halcyon Securities Limited; ABCI Capital Limited; ABCI Securities Company Limited</ns0:t>
        </ns0:is>
      </ns0:c>
      <ns0:c r="BX403" s="74" t="inlineStr">
        <ns0:is>
          <ns0: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ns0:t>
        </ns0:is>
      </ns0:c>
      <ns0:c r="BY403" s="93">
        <ns0:f>HYPERLINK("https://www1.hkexnews.hk/listedco/listconews/sehk/2025/1212/2025121200055.pdf","prospectus")</ns0:f>
        <ns0:v/>
      </ns0:c>
      <ns0:c r="BZ403" s="93">
        <ns0:f>HYPERLINK("https://www1.hkexnews.hk/listedco/listconews/sehk/2025/1219/2025121901141.pdf","allotment")</ns0:f>
        <ns0:v/>
      </ns0:c>
      <ns0:c r="CA403" s="85" t="n"/>
      <ns0:c r="CB403" s="94" t="n"/>
      <ns0:c r="CC403" s="74" t="inlineStr">
        <ns0:is>
          <ns0:t>P/E: loss-making at IPO, use P/S; greenshoe: end-of-stabilisation notice not found; market cap: prospectus 'market capitalisation' line is the listing-rule threshold, not the issuer's figure; rejected; cornerstone list: no cornerstone tranche</ns0:t>
        </ns0:is>
      </ns0:c>
    </ns0:row>
    <ns0:row r="404" ht="22" customHeight="1">
      <ns0:c r="A404" s="73" t="inlineStr">
        <ns0:is>
          <ns0:t>2396</ns0:t>
        </ns0:is>
      </ns0:c>
      <ns0:c r="B404" s="74" t="inlineStr">
        <ns0:is>
          <ns0:t>B&amp;K CORP-B</ns0:t>
        </ns0:is>
      </ns0:c>
      <ns0:c r="C404" s="74" t="inlineStr">
        <ns0:is>
          <ns0:t>青城新藥－Ｂ</ns0:t>
        </ns0:is>
      </ns0:c>
      <ns0:c r="D404" s="74" t="inlineStr">
        <ns0:is>
          <ns0:t>Healthcare</ns0:t>
        </ns0:is>
      </ns0:c>
      <ns0:c r="E404" s="74" t="inlineStr">
        <ns0:is>
          <ns0:t>Biotech pre-revenue (18A)</ns0:t>
        </ns0:is>
      </ns0:c>
      <ns0:c r="F404" s="74" t="inlineStr">
        <ns0:is>
          <ns0:t>Biotechnology - Pharmaceuticals</ns0:t>
        </ns0:is>
      </ns0:c>
      <ns0:c r="G404" s="74" t="inlineStr">
        <ns0:is>
          <ns0:t>18A</ns0:t>
        </ns0:is>
      </ns0:c>
      <ns0:c r="H404" s="75" t="n">
        <ns0:v>46013</ns0:v>
      </ns0:c>
      <ns0:c r="I404" s="76" t="n">
        <ns0:v>674.2</ns0:v>
      </ns0:c>
      <ns0:c r="J404" s="74" t="inlineStr">
        <ns0:is>
          <ns0:t>gross (price x shares)</ns0:t>
        </ns0:is>
      </ns0:c>
      <ns0:c r="K404" s="95" t="n"/>
      <ns0:c r="L404" s="77" t="n">
        <ns0:v>51</ns0:v>
      </ns0:c>
      <ns0:c r="M404" s="77" t="n">
        <ns0:v>38.2</ns0:v>
      </ns0:c>
      <ns0:c r="N404" s="74" t="inlineStr">
        <ns0:is>
          <ns0:t>N</ns0:t>
        </ns0:is>
      </ns0:c>
      <ns0:c r="O404" s="78" t="n">
        <ns0:v>74.90000000000001</ns0:v>
      </ns0:c>
      <ns0:c r="P404" s="84" t="n"/>
      <ns0:c r="Q404" s="79" t="n">
        <ns0:v>4494.5</ns0:v>
      </ns0:c>
      <ns0:c r="R404" s="74" t="inlineStr">
        <ns0:is>
          <ns0:t>derived:price x shares upon listing</ns0:t>
        </ns0:is>
      </ns0:c>
      <ns0:c r="S404" s="80" t="n">
        <ns0:v>791.95</ns0:v>
      </ns0:c>
      <ns0:c r="T404" s="81" t="n">
        <ns0:v>6.05</ns0:v>
      </ns0:c>
      <ns0:c r="U404" s="82" t="n">
        <ns0:v>0</ns0:v>
      </ns0:c>
      <ns0:c r="V404" s="83" t="n">
        <ns0:v>73</ns0:v>
      </ns0:c>
      <ns0:c r="W404" s="78" t="n">
        <ns0:v>10</ns0:v>
      </ns0:c>
      <ns0:c r="X404" s="74" t="inlineStr">
        <ns0:is>
          <ns0:t>NA</ns0:t>
        </ns0:is>
      </ns0:c>
      <ns0:c r="Y404" s="79" t="n">
        <ns0:v>674.2</ns0:v>
      </ns0:c>
      <ns0:c r="Z404" s="79" t="n">
        <ns0:v>17648800</ns0:v>
      </ns0:c>
      <ns0:c r="AA404" s="78" t="n">
        <ns0:v>15</ns0:v>
      </ns0:c>
      <ns0:c r="AB404" s="74" t="inlineStr">
        <ns0:is>
          <ns0:t>none — no cornerstone tranche</ns0:t>
        </ns0:is>
      </ns0:c>
      <ns0:c r="AC404" s="74" t="inlineStr">
        <ns0:is>
          <ns0:t>none</ns0:t>
        </ns0:is>
      </ns0:c>
      <ns0:c r="AD404" s="78" t="n">
        <ns0:v>15</ns0:v>
      </ns0:c>
      <ns0:c r="AE404" s="74" t="inlineStr">
        <ns0:is>
          <ns0:t>lapsed (no over-allocation)</ns0:t>
        </ns0:is>
      </ns0:c>
      <ns0:c r="AF404" s="74" t="inlineStr">
        <ns0:is>
          <ns0:t>2026-01-16</ns0:t>
        </ns0:is>
      </ns0:c>
      <ns0:c r="AG404" s="74" t="inlineStr">
        <ns0:is>
          <ns0:t>CLSA Limited</ns0:t>
        </ns0:is>
      </ns0:c>
      <ns0:c r="AH404" s="74" t="inlineStr">
        <ns0:is>
          <ns0:t>CLSA</ns0:t>
        </ns0:is>
      </ns0:c>
      <ns0:c r="AI404" s="105" t="n">
        <ns0:v>0.58</ns0:v>
      </ns0:c>
      <ns0:c r="AJ404" s="87" t="n">
        <ns0:v>-29.32</ns0:v>
      </ns0:c>
      <ns0:c r="AK404" s="87" t="n">
        <ns0:v>-1.04</ns0:v>
      </ns0:c>
      <ns0:c r="AL404" s="87" t="n">
        <ns0:v>-11.52</ns0:v>
      </ns0:c>
      <ns0:c r="AM404" s="87" t="n">
        <ns0:v>-20.12</ns0:v>
      </ns0:c>
      <ns0:c r="AN404" s="89" t="n">
        <ns0:v>2.83</ns0:v>
      </ns0:c>
      <ns0:c r="AO404" s="78" t="n">
        <ns0:v>30.18</ns0:v>
      </ns0:c>
      <ns0:c r="AP404" s="87" t="n">
        <ns0:v>-57.67</ns0:v>
      </ns0:c>
      <ns0:c r="AQ404" s="87" t="n">
        <ns0:v>-71.95999999999999</ns0:v>
      </ns0:c>
      <ns0:c r="AR404" s="87" t="n">
        <ns0:v>-81.02</ns0:v>
      </ns0:c>
      <ns0:c r="AS404" s="87" t="n">
        <ns0:v>-40.11</ns0:v>
      </ns0:c>
      <ns0:c r="AT404" s="87" t="n">
        <ns0:v>-60.33</ns0:v>
      </ns0:c>
      <ns0:c r="AU404" s="87" t="n">
        <ns0:v>-73.15000000000001</ns0:v>
      </ns0:c>
      <ns0:c r="AV404" s="87" t="n">
        <ns0:v>-53.08</ns0:v>
      </ns0:c>
      <ns0:c r="AW404" s="87" t="n">
        <ns0:v>-73.8</ns0:v>
      </ns0:c>
      <ns0:c r="AX404" s="87" t="n">
        <ns0:v>-86.11</ns0:v>
      </ns0:c>
      <ns0:c r="AY404" s="87" t="n">
        <ns0:v>-63.25</ns0:v>
      </ns0:c>
      <ns0:c r="AZ404" s="87" t="n">
        <ns0:v>1.84</ns0:v>
      </ns0:c>
      <ns0:c r="BA404" s="87" t="n">
        <ns0:v>2.92</ns0:v>
      </ns0:c>
      <ns0:c r="BB404" s="74" t="inlineStr">
        <ns0:is>
          <ns0:t>China Biotech ETF (HS biotech proxy)</ns0:t>
        </ns0:is>
      </ns0:c>
      <ns0:c r="BC404" s="87" t="n">
        <ns0:v>-89.08</ns0:v>
      </ns0:c>
      <ns0:c r="BD404" s="75" t="n">
        <ns0:v>46297</ns0:v>
      </ns0:c>
      <ns0:c r="BE404" s="76" t="n">
        <ns0:v>0.3</ns0:v>
      </ns0:c>
      <ns0:c r="BF404" s="79" t="n">
        <ns0:v>-180.5</ns0:v>
      </ns0:c>
      <ns0:c r="BG404" s="74" t="inlineStr">
        <ns0:is>
          <ns0:t>N</ns0:t>
        </ns0:is>
      </ns0:c>
      <ns0:c r="BH404" s="74" t="inlineStr">
        <ns0:is>
          <ns0:t>n/m</ns0:t>
        </ns0:is>
      </ns0:c>
      <ns0:c r="BI404" s="88" t="n"/>
      <ns0:c r="BJ404" s="88" t="n"/>
      <ns0:c r="BK404" s="89" t="n">
        <ns0:v>14981.7</ns0:v>
      </ns0:c>
      <ns0:c r="BL404" s="90">
        <ns0:f>IFERROR(IF('BBG Verify'!S404="","Awaiting Bloomberg",'BBG Verify'!S404),"Awaiting Bloomberg")</ns0:f>
        <ns0:v/>
      </ns0:c>
      <ns0:c r="BM404" s="91" t="inlineStr">
        <ns0:is>
          <ns0:t>N</ns0:t>
        </ns0:is>
      </ns0:c>
      <ns0:c r="BN404" s="92">
        <ns0:f>IFERROR(IF('BBG Verify'!K404="","Awaiting Bloomberg",'BBG Verify'!K404),"Awaiting Bloomberg")</ns0:f>
        <ns0:v/>
      </ns0:c>
      <ns0:c r="BO404" s="74" t="inlineStr">
        <ns0:is>
          <ns0:t>N/A</ns0:t>
        </ns0:is>
      </ns0:c>
      <ns0:c r="BP404" s="74" t="inlineStr">
        <ns0:is>
          <ns0:t>N/A</ns0:t>
        </ns0:is>
      </ns0:c>
      <ns0:c r="BQ404" s="74" t="inlineStr">
        <ns0:is>
          <ns0:t>N/A</ns0:t>
        </ns0:is>
      </ns0:c>
      <ns0:c r="BR404" s="74" t="inlineStr">
        <ns0:is>
          <ns0:t>N/A</ns0:t>
        </ns0:is>
      </ns0:c>
      <ns0:c r="BS404" s="74" t="inlineStr">
        <ns0:is>
          <ns0:t>N/A</ns0:t>
        </ns0:is>
      </ns0:c>
      <ns0:c r="BT404" s="74" t="inlineStr">
        <ns0:is>
          <ns0:t>N/A</ns0:t>
        </ns0:is>
      </ns0:c>
      <ns0:c r="BU404" s="91" t="inlineStr">
        <ns0:is>
          <ns0:t>Huatai Financial Holdings (Hong Kong) Limited; CITIC Securities (Hong Kong) Limited</ns0:t>
        </ns0:is>
      </ns0:c>
      <ns0:c r="BV404" s="74" t="inlineStr">
        <ns0:is>
          <ns0:t>Huatai Financial Holdings (Hong Kong) Limited; CITIC Securities (Hong Kong) Limited</ns0:t>
        </ns0:is>
      </ns0:c>
      <ns0:c r="BW404" s="74" t="inlineStr">
        <ns0:is>
          <ns0:t>Huatai Financial Holdings (Hong Kong) Limited;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ns0:t>
        </ns0:is>
      </ns0:c>
      <ns0:c r="BX404" s="74" t="inlineStr">
        <ns0:is>
          <ns0: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ns0:t>
        </ns0:is>
      </ns0:c>
      <ns0:c r="BY404" s="93">
        <ns0:f>HYPERLINK("https://www1.hkexnews.hk/listedco/listconews/sehk/2025/1212/2025121200081.pdf","prospectus")</ns0:f>
        <ns0:v/>
      </ns0:c>
      <ns0:c r="BZ404" s="93">
        <ns0:f>HYPERLINK("https://www1.hkexnews.hk/listedco/listconews/sehk/2025/1219/2025121901577.pdf","allotment")</ns0:f>
        <ns0:v/>
      </ns0:c>
      <ns0:c r="CA404" s="93">
        <ns0:f>HYPERLINK("https://www1.hkexnews.hk/listedco/listconews/sehk/2026/0118/2026011800013.pdf","stabilisation")</ns0:f>
        <ns0:v/>
      </ns0:c>
      <ns0:c r="CB404" s="94" t="n"/>
      <ns0:c r="CC404" s="74" t="inlineStr">
        <ns0:is>
          <ns0:t>P/E: loss-making at IPO, use P/S; range low: maximum offer price only, no floor published; market cap: prospectus 'market capitalisation' line is the listing-rule threshold, not the issuer's figure; rejected; cornerstone list: no cornerstone tranche; P/S: 14,982x on HK$0.3m revenue, effectively pre-revenue; not comparable</ns0:t>
        </ns0:is>
      </ns0:c>
    </ns0:row>
    <ns0:row r="405" ht="22" customHeight="1">
      <ns0:c r="A405" s="73" t="inlineStr">
        <ns0:is>
          <ns0:t>2581</ns0:t>
        </ns0:is>
      </ns0:c>
      <ns0:c r="B405" s="74" t="inlineStr">
        <ns0:is>
          <ns0:t>BENQ HOLDING</ns0:t>
        </ns0:is>
      </ns0:c>
      <ns0:c r="C405" s="74" t="inlineStr">
        <ns0:is>
          <ns0:t>明基醫院</ns0:t>
        </ns0:is>
      </ns0:c>
      <ns0:c r="D405" s="74" t="inlineStr">
        <ns0:is>
          <ns0:t>Technology</ns0:t>
        </ns0:is>
      </ns0:c>
      <ns0:c r="E405" s="74" t="inlineStr">
        <ns0:is>
          <ns0:t>Hardware &amp; electronics</ns0:t>
        </ns0:is>
      </ns0:c>
      <ns0:c r="F405" s="74" t="inlineStr">
        <ns0:is>
          <ns0:t>Health Care Services</ns0:t>
        </ns0:is>
      </ns0:c>
      <ns0:c r="G405" s="74" t="inlineStr">
        <ns0:is>
          <ns0:t>Standard</ns0:t>
        </ns0:is>
      </ns0:c>
      <ns0:c r="H405" s="75" t="n">
        <ns0:v>46013</ns0:v>
      </ns0:c>
      <ns0:c r="I405" s="76" t="n">
        <ns0:v>625.8</ns0:v>
      </ns0:c>
      <ns0:c r="J405" s="74" t="inlineStr">
        <ns0:is>
          <ns0:t>gross (stated)</ns0:t>
        </ns0:is>
      </ns0:c>
      <ns0:c r="K405" s="77" t="n">
        <ns0:v>9.34</ns0:v>
      </ns0:c>
      <ns0:c r="L405" s="77" t="n">
        <ns0:v>11.68</ns0:v>
      </ns0:c>
      <ns0:c r="M405" s="77" t="n">
        <ns0:v>9.34</ns0:v>
      </ns0:c>
      <ns0:c r="N405" s="74" t="inlineStr">
        <ns0:is>
          <ns0:t>N</ns0:t>
        </ns0:is>
      </ns0:c>
      <ns0:c r="O405" s="78" t="n">
        <ns0:v>80</ns0:v>
      </ns0:c>
      <ns0:c r="P405" s="78" t="n">
        <ns0:v>0</ns0:v>
      </ns0:c>
      <ns0:c r="Q405" s="79" t="n">
        <ns0:v>2913.6</ns0:v>
      </ns0:c>
      <ns0:c r="R405" s="74" t="inlineStr">
        <ns0:is>
          <ns0:t>derived:price x shares upon listing</ns0:t>
        </ns0:is>
      </ns0:c>
      <ns0:c r="S405" s="80" t="n">
        <ns0:v>6.28</ns0:v>
      </ns0:c>
      <ns0:c r="T405" s="81" t="n">
        <ns0:v>1.28</ns0:v>
      </ns0:c>
      <ns0:c r="U405" s="82" t="n">
        <ns0:v>49.63</ns0:v>
      </ns0:c>
      <ns0:c r="V405" s="83" t="n">
        <ns0:v>40</ns0:v>
      </ns0:c>
      <ns0:c r="W405" s="78" t="n">
        <ns0:v>10</ns0:v>
      </ns0:c>
      <ns0:c r="X405" s="74" t="inlineStr">
        <ns0:is>
          <ns0:t>NA</ns0:t>
        </ns0:is>
      </ns0:c>
      <ns0:c r="Y405" s="79" t="n">
        <ns0:v>315.22</ns0:v>
      </ns0:c>
      <ns0:c r="Z405" s="79" t="n">
        <ns0:v>33747900</ns0:v>
      </ns0:c>
      <ns0:c r="AA405" s="78" t="n">
        <ns0:v>10.82</ns0:v>
      </ns0:c>
      <ns0:c r="AB405" s="74" t="inlineStr">
        <ns0:is>
          <ns0:t>Heron Neutron Medical Corp; Suzhou Zhanxingtou Industrial Fund Partnership (Limited Partnership)</ns0:t>
        </ns0:is>
      </ns0:c>
      <ns0:c r="AC405" s="74" t="inlineStr">
        <ns0:is>
          <ns0:t>heron;suzhou</ns0:t>
        </ns0:is>
      </ns0:c>
      <ns0:c r="AD405" s="84" t="n"/>
      <ns0:c r="AE405" s="85" t="n"/>
      <ns0:c r="AF405" s="85" t="n"/>
      <ns0:c r="AG405" s="85" t="n"/>
      <ns0:c r="AH405" s="85" t="n"/>
      <ns0:c r="AI405" s="86" t="n">
        <ns0:v>-25.37</ns0:v>
      </ns0:c>
      <ns0:c r="AJ405" s="87" t="n">
        <ns0:v>-49.46</ns0:v>
      </ns0:c>
      <ns0:c r="AK405" s="87" t="n">
        <ns0:v>1.03</ns0:v>
      </ns0:c>
      <ns0:c r="AL405" s="87" t="n">
        <ns0:v>-30.41</ns0:v>
      </ns0:c>
      <ns0:c r="AM405" s="87" t="n">
        <ns0:v>-27.37</ns0:v>
      </ns0:c>
      <ns0:c r="AN405" s="89" t="n">
        <ns0:v>1.17</ns0:v>
      </ns0:c>
      <ns0:c r="AO405" s="78" t="n">
        <ns0:v>27.38</ns0:v>
      </ns0:c>
      <ns0:c r="AP405" s="87" t="n">
        <ns0:v>-56</ns0:v>
      </ns0:c>
      <ns0:c r="AQ405" s="87" t="n">
        <ns0:v>-56.21</ns0:v>
      </ns0:c>
      <ns0:c r="AR405" s="87" t="n">
        <ns0:v>-63.06</ns0:v>
      </ns0:c>
      <ns0:c r="AS405" s="87" t="n">
        <ns0:v>-12.94</ns0:v>
      </ns0:c>
      <ns0:c r="AT405" s="87" t="n">
        <ns0:v>-13.36</ns0:v>
      </ns0:c>
      <ns0:c r="AU405" s="87" t="n">
        <ns0:v>-26.91</ns0:v>
      </ns0:c>
      <ns0:c r="AV405" s="87" t="n">
        <ns0:v>-56.56</ns0:v>
      </ns0:c>
      <ns0:c r="AW405" s="87" t="n">
        <ns0:v>-61.99</ns0:v>
      </ns0:c>
      <ns0:c r="AX405" s="87" t="n">
        <ns0:v>-50.37</ns0:v>
      </ns0:c>
      <ns0:c r="AY405" s="87" t="n">
        <ns0:v>-18.07</ns0:v>
      </ns0:c>
      <ns0:c r="AZ405" s="87" t="n">
        <ns0:v>5.78</ns0:v>
      </ns0:c>
      <ns0:c r="BA405" s="87" t="n">
        <ns0:v>4.71</ns0:v>
      </ns0:c>
      <ns0:c r="BB405" s="74" t="inlineStr">
        <ns0:is>
          <ns0:t>HSTECH (Hang Seng TECH ETF)</ns0:t>
        </ns0:is>
      </ns0:c>
      <ns0:c r="BC405" s="87" t="n">
        <ns0:v>-71.09</ns0:v>
      </ns0:c>
      <ns0:c r="BD405" s="75" t="n">
        <ns0:v>46297</ns0:v>
      </ns0:c>
      <ns0:c r="BE405" s="76" t="n">
        <ns0:v>2924.9</ns0:v>
      </ns0:c>
      <ns0:c r="BF405" s="79" t="n">
        <ns0:v>119.8</ns0:v>
      </ns0:c>
      <ns0:c r="BG405" s="74" t="inlineStr">
        <ns0:is>
          <ns0:t>Y</ns0:t>
        </ns0:is>
      </ns0:c>
      <ns0:c r="BH405" s="89" t="n">
        <ns0:v>24.3</ns0:v>
      </ns0:c>
      <ns0:c r="BI405" s="89" t="n">
        <ns0:v>11.1</ns0:v>
      </ns0:c>
      <ns0:c r="BJ405" s="89" t="n">
        <ns0:v>6.2</ns0:v>
      </ns0:c>
      <ns0:c r="BK405" s="89" t="n">
        <ns0:v>1</ns0:v>
      </ns0:c>
      <ns0:c r="BL405" s="90">
        <ns0:f>IFERROR(IF('BBG Verify'!S405="","Awaiting Bloomberg",'BBG Verify'!S405),"Awaiting Bloomberg")</ns0:f>
        <ns0:v/>
      </ns0:c>
      <ns0:c r="BM405" s="91" t="inlineStr">
        <ns0:is>
          <ns0:t>N</ns0:t>
        </ns0:is>
      </ns0:c>
      <ns0:c r="BN405" s="92">
        <ns0:f>IFERROR(IF('BBG Verify'!K405="","Awaiting Bloomberg",'BBG Verify'!K405),"Awaiting Bloomberg")</ns0:f>
        <ns0:v/>
      </ns0:c>
      <ns0:c r="BO405" s="74" t="inlineStr">
        <ns0:is>
          <ns0:t>N/A</ns0:t>
        </ns0:is>
      </ns0:c>
      <ns0:c r="BP405" s="74" t="inlineStr">
        <ns0:is>
          <ns0:t>N/A</ns0:t>
        </ns0:is>
      </ns0:c>
      <ns0:c r="BQ405" s="74" t="inlineStr">
        <ns0:is>
          <ns0:t>N/A</ns0:t>
        </ns0:is>
      </ns0:c>
      <ns0:c r="BR405" s="74" t="inlineStr">
        <ns0:is>
          <ns0:t>N/A</ns0:t>
        </ns0:is>
      </ns0:c>
      <ns0:c r="BS405" s="74" t="inlineStr">
        <ns0:is>
          <ns0:t>N/A</ns0:t>
        </ns0:is>
      </ns0:c>
      <ns0:c r="BT405" s="74" t="inlineStr">
        <ns0:is>
          <ns0:t>N/A</ns0:t>
        </ns0:is>
      </ns0:c>
      <ns0:c r="BU405" s="91" t="inlineStr">
        <ns0:is>
          <ns0:t>China International Capital Corporation Hong Kong Securities Limited; Citigroup Global Markets Asia Limited</ns0:t>
        </ns0:is>
      </ns0:c>
      <ns0:c r="BV405" s="74" t="inlineStr">
        <ns0:is>
          <ns0:t>China International Capital Corporation Hong Kong Securities Limited; Citigroup Global Markets Asia Limited</ns0:t>
        </ns0:is>
      </ns0:c>
      <ns0:c r="BW405" s="74" t="inlineStr">
        <ns0:is>
          <ns0: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ns0:t>
        </ns0:is>
      </ns0:c>
      <ns0:c r="BX405" s="74" t="inlineStr">
        <ns0:is>
          <ns0:t>Citigroup Global Markets Asia Limited; China International Capital Corporation Hong Kong Securities Limited; CTBC Bank Co., Ltd.; Futu Securities International (Hong Kong) Limited; Livermore Holdings Limited; TradeGo Markets Limited; UOB Kay Hian (Hong Kong) Limited</ns0:t>
        </ns0:is>
      </ns0:c>
      <ns0:c r="BY405" s="93">
        <ns0:f>HYPERLINK("https://www1.hkexnews.hk/listedco/listconews/sehk/2025/1212/2025121200057.pdf","prospectus")</ns0:f>
        <ns0:v/>
      </ns0:c>
      <ns0:c r="BZ405" s="93">
        <ns0:f>HYPERLINK("https://www1.hkexnews.hk/listedco/listconews/sehk/2025/1219/2025121901603.pdf","allotment")</ns0:f>
        <ns0:v/>
      </ns0:c>
      <ns0:c r="CA405" s="85" t="n"/>
      <ns0:c r="CB405" s="94" t="n"/>
      <ns0:c r="CC405" s="74" t="inlineStr">
        <ns0:is>
          <ns0:t>greenshoe: no over-allotment option; sponsor: English name not in the filing; AAStocks 保薦人 shown; market cap: prospectus 'market capitalisation' line is the listing-rule threshold, not the issuer's figure; rejected; greenshoe size: no over-allotment option; stabilising manager: filing states none appointed (prospectus: 'no stabilizing manager will be appointed' stated in the filing)</ns0:t>
        </ns0:is>
      </ns0:c>
    </ns0:row>
    <ns0:row r="406" ht="22" customHeight="1">
      <ns0:c r="A406" s="73" t="inlineStr">
        <ns0:is>
          <ns0:t>2691</ns0:t>
        </ns0:is>
      </ns0:c>
      <ns0:c r="B406" s="74" t="inlineStr">
        <ns0:is>
          <ns0:t>NANHUA FUTURES</ns0:t>
        </ns0:is>
      </ns0:c>
      <ns0:c r="C406" s="74" t="inlineStr">
        <ns0:is>
          <ns0:t>南華期貨股份</ns0:t>
        </ns0:is>
      </ns0:c>
      <ns0:c r="D406" s="74" t="inlineStr">
        <ns0:is>
          <ns0:t>Financials</ns0:t>
        </ns0:is>
      </ns0:c>
      <ns0:c r="E406" s="74" t="inlineStr">
        <ns0:is>
          <ns0:t>Brokers / asset management</ns0:t>
        </ns0:is>
      </ns0:c>
      <ns0:c r="F406" s="74" t="inlineStr">
        <ns0:is>
          <ns0:t>Investment Banking &amp; Brokerage</ns0:t>
        </ns0:is>
      </ns0:c>
      <ns0:c r="G406" s="74" t="inlineStr">
        <ns0:is>
          <ns0:t>Standard</ns0:t>
        </ns0:is>
      </ns0:c>
      <ns0:c r="H406" s="75" t="n">
        <ns0:v>46013</ns0:v>
      </ns0:c>
      <ns0:c r="I406" s="76" t="n">
        <ns0:v>1291.91</ns0:v>
      </ns0:c>
      <ns0:c r="J406" s="74" t="inlineStr">
        <ns0:is>
          <ns0:t>gross (stated)</ns0:t>
        </ns0:is>
      </ns0:c>
      <ns0:c r="K406" s="95" t="n"/>
      <ns0:c r="L406" s="77" t="n">
        <ns0:v>16</ns0:v>
      </ns0:c>
      <ns0:c r="M406" s="77" t="n">
        <ns0:v>12</ns0:v>
      </ns0:c>
      <ns0:c r="N406" s="74" t="inlineStr">
        <ns0:is>
          <ns0:t>N</ns0:t>
        </ns0:is>
      </ns0:c>
      <ns0:c r="O406" s="78" t="n">
        <ns0:v>75</ns0:v>
      </ns0:c>
      <ns0:c r="P406" s="84" t="n"/>
      <ns0:c r="Q406" s="79" t="n">
        <ns0:v>10491.8</ns0:v>
      </ns0:c>
      <ns0:c r="R406" s="74" t="inlineStr">
        <ns0:is>
          <ns0:t>prospectus:stated market capitalisation, rescaled to the offer price</ns0:t>
        </ns0:is>
      </ns0:c>
      <ns0:c r="S406" s="80" t="n">
        <ns0:v>1.91</ns0:v>
      </ns0:c>
      <ns0:c r="T406" s="81" t="n">
        <ns0:v>0.99</ns0:v>
      </ns0:c>
      <ns0:c r="U406" s="82" t="n">
        <ns0:v>0</ns0:v>
      </ns0:c>
      <ns0:c r="V406" s="83" t="n">
        <ns0:v>32</ns0:v>
      </ns0:c>
      <ns0:c r="W406" s="78" t="n">
        <ns0:v>15</ns0:v>
      </ns0:c>
      <ns0:c r="X406" s="85" t="n"/>
      <ns0:c r="Y406" s="79" t="n">
        <ns0:v>1291.91</ns0:v>
      </ns0:c>
      <ns0:c r="Z406" s="79" t="n">
        <ns0:v>107659000</ns0:v>
      </ns0:c>
      <ns0:c r="AA406" s="78" t="n">
        <ns0:v>12.31</ns0:v>
      </ns0:c>
      <ns0:c r="AB406" s="74" t="inlineStr">
        <ns0:is>
          <ns0:t>none — no cornerstone tranche</ns0:t>
        </ns0:is>
      </ns0:c>
      <ns0:c r="AC406" s="74" t="inlineStr">
        <ns0:is>
          <ns0:t>none</ns0:t>
        </ns0:is>
      </ns0:c>
      <ns0:c r="AD406" s="78" t="n">
        <ns0:v>5</ns0:v>
      </ns0:c>
      <ns0:c r="AE406" s="74" t="inlineStr">
        <ns0:is>
          <ns0:t>lapsed (no over-allocation)</ns0:t>
        </ns0:is>
      </ns0:c>
      <ns0:c r="AF406" s="85" t="n"/>
      <ns0:c r="AG406" s="74" t="inlineStr">
        <ns0:is>
          <ns0:t>CLSA Limited</ns0:t>
        </ns0:is>
      </ns0:c>
      <ns0:c r="AH406" s="74" t="inlineStr">
        <ns0:is>
          <ns0:t>CLSA</ns0:t>
        </ns0:is>
      </ns0:c>
      <ns0:c r="AI406" s="86" t="n">
        <ns0:v>-7.42</ns0:v>
      </ns0:c>
      <ns0:c r="AJ406" s="87" t="n">
        <ns0:v>-24.17</ns0:v>
      </ns0:c>
      <ns0:c r="AK406" s="87" t="n">
        <ns0:v>0.52</ns0:v>
      </ns0:c>
      <ns0:c r="AL406" s="87" t="n">
        <ns0:v>-23.92</ns0:v>
      </ns0:c>
      <ns0:c r="AM406" s="87" t="n">
        <ns0:v>-0.33</ns0:v>
      </ns0:c>
      <ns0:c r="AN406" s="89" t="n">
        <ns0:v>0.49</ns0:v>
      </ns0:c>
      <ns0:c r="AO406" s="78" t="n">
        <ns0:v>18.62</ns0:v>
      </ns0:c>
      <ns0:c r="AP406" s="87" t="n">
        <ns0:v>-17.42</ns0:v>
      </ns0:c>
      <ns0:c r="AQ406" s="87" t="n">
        <ns0:v>-12.75</ns0:v>
      </ns0:c>
      <ns0:c r="AR406" s="87" t="n">
        <ns0:v>-9.5</ns0:v>
      </ns0:c>
      <ns0:c r="AS406" s="87" t="n">
        <ns0:v>8.9</ns0:v>
      </ns0:c>
      <ns0:c r="AT406" s="87" t="n">
        <ns0:v>15.06</ns0:v>
      </ns0:c>
      <ns0:c r="AU406" s="87" t="n">
        <ns0:v>19.35</ns0:v>
      </ns0:c>
      <ns0:c r="AV406" s="87" t="n">
        <ns0:v>-18.24</ns0:v>
      </ns0:c>
      <ns0:c r="AW406" s="87" t="n">
        <ns0:v>-16.12</ns0:v>
      </ns0:c>
      <ns0:c r="AX406" s="87" t="n">
        <ns0:v>-12.35</ns0:v>
      </ns0:c>
      <ns0:c r="AY406" s="87" t="n">
        <ns0:v>12.22</ns0:v>
      </ns0:c>
      <ns0:c r="AZ406" s="87" t="n">
        <ns0:v>3.37</ns0:v>
      </ns0:c>
      <ns0:c r="BA406" s="87" t="n">
        <ns0:v>2.84</ns0:v>
      </ns0:c>
      <ns0:c r="BB406" s="74" t="inlineStr">
        <ns0:is>
          <ns0:t>Hang Seng Finance sub-index</ns0:t>
        </ns0:is>
      </ns0:c>
      <ns0:c r="BC406" s="87" t="n">
        <ns0:v>-28.95</ns0:v>
      </ns0:c>
      <ns0:c r="BD406" s="75" t="n">
        <ns0:v>46297</ns0:v>
      </ns0:c>
      <ns0:c r="BE406" s="76" t="n">
        <ns0:v>0</ns0:v>
      </ns0:c>
      <ns0:c r="BF406" s="79" t="n">
        <ns0:v>503.8</ns0:v>
      </ns0:c>
      <ns0:c r="BG406" s="74" t="inlineStr">
        <ns0:is>
          <ns0:t>Y</ns0:t>
        </ns0:is>
      </ns0:c>
      <ns0:c r="BH406" s="89" t="n">
        <ns0:v>20.8</ns0:v>
      </ns0:c>
      <ns0:c r="BI406" s="89" t="n">
        <ns0:v>10.9</ns0:v>
      </ns0:c>
      <ns0:c r="BJ406" s="89" t="n">
        <ns0:v>5.8</ns0:v>
      </ns0:c>
      <ns0:c r="BK406" s="74" t="inlineStr">
        <ns0:is>
          <ns0:t>pre-rev</ns0:t>
        </ns0:is>
      </ns0:c>
      <ns0:c r="BL406" s="90">
        <ns0:f>IFERROR(IF('BBG Verify'!S406="","Awaiting Bloomberg",'BBG Verify'!S406),"Awaiting Bloomberg")</ns0:f>
        <ns0:v/>
      </ns0:c>
      <ns0:c r="BM406" s="91" t="inlineStr">
        <ns0:is>
          <ns0:t>Y</ns0:t>
        </ns0:is>
      </ns0:c>
      <ns0:c r="BN406" s="74" t="inlineStr">
        <ns0:is>
          <ns0:t>603093.SS</ns0:t>
        </ns0:is>
      </ns0:c>
      <ns0:c r="BO406" s="87" t="n">
        <ns0:v>77.34999999999999</ns0:v>
      </ns0:c>
      <ns0:c r="BP406" s="77" t="n">
        <ns0:v>21.2816</ns0:v>
      </ns0:c>
      <ns0:c r="BQ406" s="101" t="n">
        <ns0:v>1.6192</ns0:v>
      </ns0:c>
      <ns0:c r="BR406" s="79" t="n">
        <ns0:v>15991.8</ns0:v>
      </ns0:c>
      <ns0:c r="BS406" s="90">
        <ns0:f>IFERROR(IF('BBG Verify'!Q406="","Awaiting Bloomberg",'BBG Verify'!Q406),"Awaiting Bloomberg")</ns0:f>
        <ns0:v/>
      </ns0:c>
      <ns0:c r="BT406" s="90">
        <ns0:f>IFERROR(IF('BBG Verify'!R406="","Awaiting Bloomberg",'BBG Verify'!R406),"Awaiting Bloomberg")</ns0:f>
        <ns0:v/>
      </ns0:c>
      <ns0:c r="BU406" s="91" t="inlineStr">
        <ns0:is>
          <ns0:t>CITIC Securities (Hong Kong) Limited</ns0:t>
        </ns0:is>
      </ns0:c>
      <ns0:c r="BV406" s="74" t="inlineStr">
        <ns0:is>
          <ns0:t>CITIC Securities (Hong Kong) Limited</ns0:t>
        </ns0:is>
      </ns0:c>
      <ns0:c r="BW406" s="74" t="inlineStr">
        <ns0:is>
          <ns0:t>CLSA Limited; HGNH International Securities Co., Limited; BOCI Asia Limited; CMB International Capital Limited; ABCI Capital Limited; Zheshang International Financial Holdings Co., Limited; Caitong International Securities Co., Limited; China Everbright Securities (HK) Limited</ns0:t>
        </ns0:is>
      </ns0:c>
      <ns0:c r="BX406" s="74" t="inlineStr">
        <ns0:is>
          <ns0: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ns0:t>
        </ns0:is>
      </ns0:c>
      <ns0:c r="BY406" s="93">
        <ns0:f>HYPERLINK("https://www1.hkexnews.hk/listedco/listconews/sehk/2025/1212/2025121200021.pdf","prospectus")</ns0:f>
        <ns0:v/>
      </ns0:c>
      <ns0:c r="BZ406" s="93">
        <ns0:f>HYPERLINK("https://www1.hkexnews.hk/listedco/listconews/sehk/2025/1219/2025121902017.pdf","allotment")</ns0:f>
        <ns0:v/>
      </ns0:c>
      <ns0:c r="CA406" s="93">
        <ns0:f>HYPERLINK("https://www1.hkexnews.hk/listedco/listconews/sehk/2026/0116/2026011600262.pdf","stabilisation")</ns0:f>
        <ns0:v/>
      </ns0:c>
      <ns0:c r="CB406" s="94" t="n"/>
      <ns0:c r="CC406" s="74" t="inlineStr">
        <ns0:is>
          <ns0:t>greenshoe: outcome published; expiry date not in the notice; range low: maximum offer price only, no floor published; A/H: Dec 2025 H listing (futures broker); market cap: prospectus cap HK$13,989m at HK$16.00, rescaled to HK$12.00; cornerstone list: no cornerstone tranche; P/S: pre-revenue issuer, no sales multiple; financials rejected: net income above total income (equity-method gains, investment firm); both as filed; allocation: clawback line not in this notice; a 12-28% split is consistent with either a tier-1 clawback or a placing shortfall</ns0:t>
        </ns0:is>
      </ns0:c>
    </ns0:row>
    <ns0:row r="407" ht="22" customHeight="1">
      <ns0:c r="A407" s="73" t="inlineStr">
        <ns0:is>
          <ns0:t>2635</ns0:t>
        </ns0:is>
      </ns0:c>
      <ns0:c r="B407" s="74" t="inlineStr">
        <ns0:is>
          <ns0:t>NUOBIKAN</ns0:t>
        </ns0:is>
      </ns0:c>
      <ns0:c r="C407" s="74" t="inlineStr">
        <ns0:is>
          <ns0:t>諾比侃</ns0:t>
        </ns0:is>
      </ns0:c>
      <ns0:c r="D407" s="74" t="inlineStr">
        <ns0:is>
          <ns0:t>Technology</ns0:t>
        </ns0:is>
      </ns0:c>
      <ns0:c r="E407" s="74" t="inlineStr">
        <ns0:is>
          <ns0:t>Software &amp; AI</ns0:t>
        </ns0:is>
      </ns0:c>
      <ns0:c r="F407" s="74" t="inlineStr">
        <ns0:is>
          <ns0:t>Advanced hardware and software</ns0:t>
        </ns0:is>
      </ns0:c>
      <ns0:c r="G407" s="74" t="inlineStr">
        <ns0:is>
          <ns0:t>Standard</ns0:t>
        </ns0:is>
      </ns0:c>
      <ns0:c r="H407" s="75" t="n">
        <ns0:v>46014</ns0:v>
      </ns0:c>
      <ns0:c r="I407" s="76" t="n">
        <ns0:v>302.93</ns0:v>
      </ns0:c>
      <ns0:c r="J407" s="74" t="inlineStr">
        <ns0:is>
          <ns0:t>gross (stated)</ns0:t>
        </ns0:is>
      </ns0:c>
      <ns0:c r="K407" s="95" t="n"/>
      <ns0:c r="L407" s="77" t="n">
        <ns0:v>106</ns0:v>
      </ns0:c>
      <ns0:c r="M407" s="77" t="n">
        <ns0:v>80</ns0:v>
      </ns0:c>
      <ns0:c r="N407" s="74" t="inlineStr">
        <ns0:is>
          <ns0:t>N</ns0:t>
        </ns0:is>
      </ns0:c>
      <ns0:c r="O407" s="78" t="n">
        <ns0:v>75.5</ns0:v>
      </ns0:c>
      <ns0:c r="P407" s="84" t="n"/>
      <ns0:c r="Q407" s="79" t="n">
        <ns0:v>3029.3</ns0:v>
      </ns0:c>
      <ns0:c r="R407" s="74" t="inlineStr">
        <ns0:is>
          <ns0:t>derived:price x shares upon listing</ns0:t>
        </ns0:is>
      </ns0:c>
      <ns0:c r="S407" s="80" t="n">
        <ns0:v>188.74</ns0:v>
      </ns0:c>
      <ns0:c r="T407" s="81" t="n">
        <ns0:v>2.08</ns0:v>
      </ns0:c>
      <ns0:c r="U407" s="82" t="n">
        <ns0:v>0</ns0:v>
      </ns0:c>
      <ns0:c r="V407" s="83" t="n">
        <ns0:v>79</ns0:v>
      </ns0:c>
      <ns0:c r="W407" s="78" t="n">
        <ns0:v>10</ns0:v>
      </ns0:c>
      <ns0:c r="X407" s="74" t="inlineStr">
        <ns0:is>
          <ns0:t>NO</ns0:t>
        </ns0:is>
      </ns0:c>
      <ns0:c r="Y407" s="79" t="n">
        <ns0:v>302.93</ns0:v>
      </ns0:c>
      <ns0:c r="Z407" s="79" t="n">
        <ns0:v>3786600</ns0:v>
      </ns0:c>
      <ns0:c r="AA407" s="78" t="n">
        <ns0:v>10</ns0:v>
      </ns0:c>
      <ns0:c r="AB407" s="74" t="inlineStr">
        <ns0:is>
          <ns0:t>none — no cornerstone tranche</ns0:t>
        </ns0:is>
      </ns0:c>
      <ns0:c r="AC407" s="74" t="inlineStr">
        <ns0:is>
          <ns0:t>none</ns0:t>
        </ns0:is>
      </ns0:c>
      <ns0:c r="AD407" s="78" t="n">
        <ns0:v>19.6</ns0:v>
      </ns0:c>
      <ns0:c r="AE407" s="74" t="inlineStr">
        <ns0:is>
          <ns0:t>lapsed (no over-allocation)</ns0:t>
        </ns0:is>
      </ns0:c>
      <ns0:c r="AF407" s="85" t="n"/>
      <ns0:c r="AG407" s="74" t="inlineStr">
        <ns0:is>
          <ns0:t>China International Capital Corporation Hong Kong Securities Limited</ns0:t>
        </ns0:is>
      </ns0:c>
      <ns0:c r="AH407" s="74" t="inlineStr">
        <ns0:is>
          <ns0:t>China International</ns0:t>
        </ns0:is>
      </ns0:c>
      <ns0:c r="AI407" s="86" t="n">
        <ns0:v>275.75</ns0:v>
      </ns0:c>
      <ns0:c r="AJ407" s="87" t="n">
        <ns0:v>363.75</ns0:v>
      </ns0:c>
      <ns0:c r="AK407" s="87" t="n">
        <ns0:v>-0.83</ns0:v>
      </ns0:c>
      <ns0:c r="AL407" s="87" t="n">
        <ns0:v>299.75</ns0:v>
      </ns0:c>
      <ns0:c r="AM407" s="87" t="n">
        <ns0:v>16.01</ns0:v>
      </ns0:c>
      <ns0:c r="AN407" s="89" t="n">
        <ns0:v>2.29</ns0:v>
      </ns0:c>
      <ns0:c r="AO407" s="78" t="n">
        <ns0:v>19.07</ns0:v>
      </ns0:c>
      <ns0:c r="AP407" s="87" t="n">
        <ns0:v>331.75</ns0:v>
      </ns0:c>
      <ns0:c r="AQ407" s="87" t="n">
        <ns0:v>388.5</ns0:v>
      </ns0:c>
      <ns0:c r="AR407" s="87" t="n">
        <ns0:v>505</ns0:v>
      </ns0:c>
      <ns0:c r="AS407" s="87" t="n">
        <ns0:v>-6.9</ns0:v>
      </ns0:c>
      <ns0:c r="AT407" s="87" t="n">
        <ns0:v>5.34</ns0:v>
      </ns0:c>
      <ns0:c r="AU407" s="87" t="n">
        <ns0:v>30.46</ns0:v>
      </ns0:c>
      <ns0:c r="AV407" s="87" t="n">
        <ns0:v>328.15</ns0:v>
      </ns0:c>
      <ns0:c r="AW407" s="87" t="n">
        <ns0:v>384.99</ns0:v>
      </ns0:c>
      <ns0:c r="AX407" s="87" t="n">
        <ns0:v>520.24</ns0:v>
      </ns0:c>
      <ns0:c r="AY407" s="87" t="n">
        <ns0:v>0.96</ns0:v>
      </ns0:c>
      <ns0:c r="AZ407" s="87" t="n">
        <ns0:v>3.51</ns0:v>
      </ns0:c>
      <ns0:c r="BA407" s="87" t="n">
        <ns0:v>4.38</ns0:v>
      </ns0:c>
      <ns0:c r="BB407" s="74" t="inlineStr">
        <ns0:is>
          <ns0:t>HSTECH (Hang Seng TECH ETF)</ns0:t>
        </ns0:is>
      </ns0:c>
      <ns0:c r="BC407" s="87" t="n">
        <ns0:v>13.38</ns0:v>
      </ns0:c>
      <ns0:c r="BD407" s="75" t="n">
        <ns0:v>46297</ns0:v>
      </ns0:c>
      <ns0:c r="BE407" s="76" t="n">
        <ns0:v>442.9</ns0:v>
      </ns0:c>
      <ns0:c r="BF407" s="79" t="n">
        <ns0:v>126.9</ns0:v>
      </ns0:c>
      <ns0:c r="BG407" s="74" t="inlineStr">
        <ns0:is>
          <ns0:t>Y</ns0:t>
        </ns0:is>
      </ns0:c>
      <ns0:c r="BH407" s="89" t="n">
        <ns0:v>23.9</ns0:v>
      </ns0:c>
      <ns0:c r="BI407" s="88" t="n"/>
      <ns0:c r="BJ407" s="88" t="n"/>
      <ns0:c r="BK407" s="89" t="n">
        <ns0:v>6.8</ns0:v>
      </ns0:c>
      <ns0:c r="BL407" s="90">
        <ns0:f>IFERROR(IF('BBG Verify'!S407="","Awaiting Bloomberg",'BBG Verify'!S407),"Awaiting Bloomberg")</ns0:f>
        <ns0:v/>
      </ns0:c>
      <ns0:c r="BM407" s="91" t="inlineStr">
        <ns0:is>
          <ns0:t>N</ns0:t>
        </ns0:is>
      </ns0:c>
      <ns0:c r="BN407" s="92">
        <ns0:f>IFERROR(IF('BBG Verify'!K407="","Awaiting Bloomberg",'BBG Verify'!K407),"Awaiting Bloomberg")</ns0:f>
        <ns0:v/>
      </ns0:c>
      <ns0:c r="BO407" s="74" t="inlineStr">
        <ns0:is>
          <ns0:t>N/A</ns0:t>
        </ns0:is>
      </ns0:c>
      <ns0:c r="BP407" s="74" t="inlineStr">
        <ns0:is>
          <ns0:t>N/A</ns0:t>
        </ns0:is>
      </ns0:c>
      <ns0:c r="BQ407" s="74" t="inlineStr">
        <ns0:is>
          <ns0:t>N/A</ns0:t>
        </ns0:is>
      </ns0:c>
      <ns0:c r="BR407" s="74" t="inlineStr">
        <ns0:is>
          <ns0:t>N/A</ns0:t>
        </ns0:is>
      </ns0:c>
      <ns0:c r="BS407" s="74" t="inlineStr">
        <ns0:is>
          <ns0:t>N/A</ns0:t>
        </ns0:is>
      </ns0:c>
      <ns0:c r="BT407" s="74" t="inlineStr">
        <ns0:is>
          <ns0:t>N/A</ns0:t>
        </ns0:is>
      </ns0:c>
      <ns0:c r="BU407" s="91" t="inlineStr">
        <ns0:is>
          <ns0:t>China International Capital Corporation Hong Kong Securities Limited</ns0:t>
        </ns0:is>
      </ns0:c>
      <ns0:c r="BV407" s="74" t="inlineStr">
        <ns0:is>
          <ns0:t>China International Capital Corporation Hong Kong Securities Limited</ns0:t>
        </ns0:is>
      </ns0:c>
      <ns0:c r="BW407" s="74" t="inlineStr">
        <ns0:is>
          <ns0:t>China International Capital Corporation Hong Kong Securities Limited; Livermore Holdings Limited; Patrons Securities Limited</ns0:t>
        </ns0:is>
      </ns0:c>
      <ns0:c r="BX407" s="74" t="inlineStr">
        <ns0:is>
          <ns0:t>China International Capital Corporation Hong Kong Securities Limited; Livermore Holdings Limited; Patrons Securities Limited</ns0:t>
        </ns0:is>
      </ns0:c>
      <ns0:c r="BY407" s="93">
        <ns0:f>HYPERLINK("https://www1.hkexnews.hk/listedco/listconews/sehk/2025/1215/2025121500019.pdf","prospectus")</ns0:f>
        <ns0:v/>
      </ns0:c>
      <ns0:c r="BZ407" s="93">
        <ns0:f>HYPERLINK("https://www1.hkexnews.hk/listedco/listconews/sehk/2025/1222/2025122201578.pdf","allotment")</ns0:f>
        <ns0:v/>
      </ns0:c>
      <ns0:c r="CA407" s="93">
        <ns0:f>HYPERLINK("https://www1.hkexnews.hk/listedco/listconews/sehk/2026/0119/2026011900805.pdf","stabilisation")</ns0:f>
        <ns0:v/>
      </ns0:c>
      <ns0:c r="CB407" s="94" t="n"/>
      <ns0:c r="CC407" s="74" t="inlineStr">
        <ns0:is>
          <ns0:t>greenshoe: outcome published; expiry date not in the notice; range low: maximum offer price only, no floor published; sponsor: English name not in the filing; AAStocks 保薦人 shown; cornerstone list: no cornerstone tranche</ns0:t>
        </ns0:is>
      </ns0:c>
    </ns0:row>
    <ns0:row r="408" ht="22" customHeight="1">
      <ns0:c r="A408" s="73" t="inlineStr">
        <ns0:is>
          <ns0:t>2661</ns0:t>
        </ns0:is>
      </ns0:c>
      <ns0:c r="B408" s="74" t="inlineStr">
        <ns0:is>
          <ns0:t>QINGSONG HEALTH</ns0:t>
        </ns0:is>
      </ns0:c>
      <ns0:c r="C408" s="74" t="inlineStr">
        <ns0:is>
          <ns0:t>輕鬆健康</ns0:t>
        </ns0:is>
      </ns0:c>
      <ns0:c r="D408" s="74" t="inlineStr">
        <ns0:is>
          <ns0:t>Financials</ns0:t>
        </ns0:is>
      </ns0:c>
      <ns0:c r="E408" s="74" t="inlineStr">
        <ns0:is>
          <ns0:t>Insurance</ns0:t>
        </ns0:is>
      </ns0:c>
      <ns0:c r="F408" s="74" t="inlineStr">
        <ns0:is>
          <ns0:t>Health Care Services</ns0:t>
        </ns0:is>
      </ns0:c>
      <ns0:c r="G408" s="74" t="inlineStr">
        <ns0:is>
          <ns0:t>Standard</ns0:t>
        </ns0:is>
      </ns0:c>
      <ns0:c r="H408" s="75" t="n">
        <ns0:v>46014</ns0:v>
      </ns0:c>
      <ns0:c r="I408" s="76" t="n">
        <ns0:v>601.9299999999999</ns0:v>
      </ns0:c>
      <ns0:c r="J408" s="74" t="inlineStr">
        <ns0:is>
          <ns0:t>gross (stated)</ns0:t>
        </ns0:is>
      </ns0:c>
      <ns0:c r="K408" s="95" t="n"/>
      <ns0:c r="L408" s="77" t="n">
        <ns0:v>22.68</ns0:v>
      </ns0:c>
      <ns0:c r="M408" s="77" t="n">
        <ns0:v>22.68</ns0:v>
      </ns0:c>
      <ns0:c r="N408" s="74" t="inlineStr">
        <ns0:is>
          <ns0:t>Y</ns0:t>
        </ns0:is>
      </ns0:c>
      <ns0:c r="O408" s="78" t="n">
        <ns0:v>100</ns0:v>
      </ns0:c>
      <ns0:c r="P408" s="84" t="n"/>
      <ns0:c r="Q408" s="79" t="n">
        <ns0:v>4680.6</ns0:v>
      </ns0:c>
      <ns0:c r="R408" s="74" t="inlineStr">
        <ns0:is>
          <ns0:t>derived:price x shares upon listing</ns0:t>
        </ns0:is>
      </ns0:c>
      <ns0:c r="S408" s="80" t="n">
        <ns0:v>1421.47</ns0:v>
      </ns0:c>
      <ns0:c r="T408" s="81" t="n">
        <ns0:v>2.9</ns0:v>
      </ns0:c>
      <ns0:c r="U408" s="82" t="n">
        <ns0:v>18.09</ns0:v>
      </ns0:c>
      <ns0:c r="V408" s="83" t="n">
        <ns0:v>113</ns0:v>
      </ns0:c>
      <ns0:c r="W408" s="78" t="n">
        <ns0:v>10</ns0:v>
      </ns0:c>
      <ns0:c r="X408" s="74" t="inlineStr">
        <ns0:is>
          <ns0:t>NO</ns0:t>
        </ns0:is>
      </ns0:c>
      <ns0:c r="Y408" s="79" t="n">
        <ns0:v>493.04</ns0:v>
      </ns0:c>
      <ns0:c r="Z408" s="79" t="n">
        <ns0:v>21738914</ns0:v>
      </ns0:c>
      <ns0:c r="AA408" s="78" t="n">
        <ns0:v>10.53</ns0:v>
      </ns0:c>
      <ns0:c r="AB408" s="74" t="inlineStr">
        <ns0:is>
          <ns0:t>Aoqin Heming</ns0:t>
        </ns0:is>
      </ns0:c>
      <ns0:c r="AC408" s="74" t="inlineStr">
        <ns0:is>
          <ns0:t>aoqin</ns0:t>
        </ns0:is>
      </ns0:c>
      <ns0:c r="AD408" s="78" t="n">
        <ns0:v>13.61</ns0:v>
      </ns0:c>
      <ns0:c r="AE408" s="74" t="inlineStr">
        <ns0:is>
          <ns0:t>lapsed (no over-allocation)</ns0:t>
        </ns0:is>
      </ns0:c>
      <ns0:c r="AF408" s="74" t="inlineStr">
        <ns0:is>
          <ns0:t>2026-01-17</ns0:t>
        </ns0:is>
      </ns0:c>
      <ns0:c r="AG408" s="74" t="inlineStr">
        <ns0:is>
          <ns0:t>China International Capital Corporation Hong Kong Securities Limited</ns0:t>
        </ns0:is>
      </ns0:c>
      <ns0:c r="AH408" s="74" t="inlineStr">
        <ns0:is>
          <ns0:t>China International</ns0:t>
        </ns0:is>
      </ns0:c>
      <ns0:c r="AI408" s="86" t="n">
        <ns0:v>127.95</ns0:v>
      </ns0:c>
      <ns0:c r="AJ408" s="87" t="n">
        <ns0:v>158.82</ns0:v>
      </ns0:c>
      <ns0:c r="AK408" s="87" t="n">
        <ns0:v>0.58</ns0:v>
      </ns0:c>
      <ns0:c r="AL408" s="87" t="n">
        <ns0:v>120.46</ns0:v>
      </ns0:c>
      <ns0:c r="AM408" s="87" t="n">
        <ns0:v>17.4</ns0:v>
      </ns0:c>
      <ns0:c r="AN408" s="89" t="n">
        <ns0:v>2.35</ns0:v>
      </ns0:c>
      <ns0:c r="AO408" s="78" t="n">
        <ns0:v>21.6</ns0:v>
      </ns0:c>
      <ns0:c r="AP408" s="87" t="n">
        <ns0:v>229.37</ns0:v>
      </ns0:c>
      <ns0:c r="AQ408" s="87" t="n">
        <ns0:v>338.71</ns0:v>
      </ns0:c>
      <ns0:c r="AR408" s="87" t="n">
        <ns0:v>592.6799999999999</ns0:v>
      </ns0:c>
      <ns0:c r="AS408" s="87" t="n">
        <ns0:v>27.26</ns0:v>
      </ns0:c>
      <ns0:c r="AT408" s="87" t="n">
        <ns0:v>69.5</ns0:v>
      </ns0:c>
      <ns0:c r="AU408" s="87" t="n">
        <ns0:v>167.63</ns0:v>
      </ns0:c>
      <ns0:c r="AV408" s="87" t="n">
        <ns0:v>226.94</ns0:v>
      </ns0:c>
      <ns0:c r="AW408" s="87" t="n">
        <ns0:v>335.11</ns0:v>
      </ns0:c>
      <ns0:c r="AX408" s="87" t="n">
        <ns0:v>590.54</ns0:v>
      </ns0:c>
      <ns0:c r="AY408" s="87" t="n">
        <ns0:v>66.48999999999999</ns0:v>
      </ns0:c>
      <ns0:c r="AZ408" s="87" t="n">
        <ns0:v>3.6</ns0:v>
      </ns0:c>
      <ns0:c r="BA408" s="87" t="n">
        <ns0:v>3.01</ns0:v>
      </ns0:c>
      <ns0:c r="BB408" s="74" t="inlineStr">
        <ns0:is>
          <ns0:t>Hang Seng Finance sub-index</ns0:t>
        </ns0:is>
      </ns0:c>
      <ns0:c r="BC408" s="87" t="n">
        <ns0:v>-83.2</ns0:v>
      </ns0:c>
      <ns0:c r="BD408" s="75" t="n">
        <ns0:v>46297</ns0:v>
      </ns0:c>
      <ns0:c r="BE408" s="76" t="n">
        <ns0:v>1039.5</ns0:v>
      </ns0:c>
      <ns0:c r="BF408" s="79" t="n">
        <ns0:v>-0</ns0:v>
      </ns0:c>
      <ns0:c r="BG408" s="74" t="inlineStr">
        <ns0:is>
          <ns0:t>N</ns0:t>
        </ns0:is>
      </ns0:c>
      <ns0:c r="BH408" s="74" t="inlineStr">
        <ns0:is>
          <ns0:t>n/m</ns0:t>
        </ns0:is>
      </ns0:c>
      <ns0:c r="BI408" s="88" t="n"/>
      <ns0:c r="BJ408" s="88" t="n"/>
      <ns0:c r="BK408" s="89" t="n">
        <ns0:v>4.5</ns0:v>
      </ns0:c>
      <ns0:c r="BL408" s="90">
        <ns0:f>IFERROR(IF('BBG Verify'!S408="","Awaiting Bloomberg",'BBG Verify'!S408),"Awaiting Bloomberg")</ns0:f>
        <ns0:v/>
      </ns0:c>
      <ns0:c r="BM408" s="91" t="inlineStr">
        <ns0:is>
          <ns0:t>N</ns0:t>
        </ns0:is>
      </ns0:c>
      <ns0:c r="BN408" s="92">
        <ns0:f>IFERROR(IF('BBG Verify'!K408="","Awaiting Bloomberg",'BBG Verify'!K408),"Awaiting Bloomberg")</ns0:f>
        <ns0:v/>
      </ns0:c>
      <ns0:c r="BO408" s="74" t="inlineStr">
        <ns0:is>
          <ns0:t>N/A</ns0:t>
        </ns0:is>
      </ns0:c>
      <ns0:c r="BP408" s="74" t="inlineStr">
        <ns0:is>
          <ns0:t>N/A</ns0:t>
        </ns0:is>
      </ns0:c>
      <ns0:c r="BQ408" s="74" t="inlineStr">
        <ns0:is>
          <ns0:t>N/A</ns0:t>
        </ns0:is>
      </ns0:c>
      <ns0:c r="BR408" s="74" t="inlineStr">
        <ns0:is>
          <ns0:t>N/A</ns0:t>
        </ns0:is>
      </ns0:c>
      <ns0:c r="BS408" s="74" t="inlineStr">
        <ns0:is>
          <ns0:t>N/A</ns0:t>
        </ns0:is>
      </ns0:c>
      <ns0:c r="BT408" s="74" t="inlineStr">
        <ns0:is>
          <ns0:t>N/A</ns0:t>
        </ns0:is>
      </ns0:c>
      <ns0:c r="BU408" s="91" t="inlineStr">
        <ns0:is>
          <ns0:t>China International Capital Corporation Hong Kong Securities Limited; China Merchants Securities (HK) Co., Limited</ns0:t>
        </ns0:is>
      </ns0:c>
      <ns0:c r="BV408" s="74" t="inlineStr">
        <ns0:is>
          <ns0:t>China International Capital Corporation Hong Kong Securities Limited; China Merchants Securities (HK) Company Limited</ns0:t>
        </ns0:is>
      </ns0:c>
      <ns0:c r="BW408" s="74" t="inlineStr">
        <ns0:is>
          <ns0:t>China International Capital Corporation Hong Kong Securities Limited; China Merchants Securities (HK) Co., Limited; Futu Securities International (Hong Kong) Limited; SPDB International Capital Limited</ns0:t>
        </ns0:is>
      </ns0:c>
      <ns0:c r="BX408" s="74" t="inlineStr">
        <ns0:is>
          <ns0:t>China International Capital Corporation Hong Kong Securities Limited; China Merchants Securities (HK) Company Limited; Futu Securities International (Hong Kong) Limited; SPDB International Capital Limited</ns0:t>
        </ns0:is>
      </ns0:c>
      <ns0:c r="BY408" s="93">
        <ns0:f>HYPERLINK("https://www1.hkexnews.hk/listedco/listconews/sehk/2025/1215/2025121500031.pdf","prospectus")</ns0:f>
        <ns0:v/>
      </ns0:c>
      <ns0:c r="BZ408" s="93">
        <ns0:f>HYPERLINK("https://www1.hkexnews.hk/listedco/listconews/sehk/2025/1222/2025122201716.pdf","allotment")</ns0:f>
        <ns0:v/>
      </ns0:c>
      <ns0:c r="CA408" s="93">
        <ns0:f>HYPERLINK("https://www1.hkexnews.hk/listedco/listconews/sehk/2026/0118/2026011800009.pdf","stabilisation")</ns0:f>
        <ns0:v/>
      </ns0:c>
      <ns0:c r="CB408" s="94" t="n"/>
      <ns0:c r="CC408" s="74" t="inlineStr">
        <ns0:is>
          <ns0:t>P/E: loss-making at IPO, use P/S; range low: maximum offer price only, no floor published</ns0:t>
        </ns0:is>
      </ns0:c>
    </ns0:row>
    <ns0:row r="409" ht="22" customHeight="1">
      <ns0:c r="A409" s="73" t="inlineStr">
        <ns0:is>
          <ns0:t>3378</ns0:t>
        </ns0:is>
      </ns0:c>
      <ns0:c r="B409" s="74" t="inlineStr">
        <ns0:is>
          <ns0:t>HANXBIO-B</ns0:t>
        </ns0:is>
      </ns0:c>
      <ns0:c r="C409" s="74" t="inlineStr">
        <ns0:is>
          <ns0:t>翰思艾泰－Ｂ</ns0:t>
        </ns0:is>
      </ns0:c>
      <ns0:c r="D409" s="74" t="inlineStr">
        <ns0:is>
          <ns0:t>Healthcare</ns0:t>
        </ns0:is>
      </ns0:c>
      <ns0:c r="E409" s="74" t="inlineStr">
        <ns0:is>
          <ns0:t>Biotech pre-revenue (18A)</ns0:t>
        </ns0:is>
      </ns0:c>
      <ns0:c r="F409" s="74" t="inlineStr">
        <ns0:is>
          <ns0:t>Biotechnology - Pharmaceuticals</ns0:t>
        </ns0:is>
      </ns0:c>
      <ns0:c r="G409" s="74" t="inlineStr">
        <ns0:is>
          <ns0:t>18A</ns0:t>
        </ns0:is>
      </ns0:c>
      <ns0:c r="H409" s="75" t="n">
        <ns0:v>46014</ns0:v>
      </ns0:c>
      <ns0:c r="I409" s="76" t="n">
        <ns0:v>586.3</ns0:v>
      </ns0:c>
      <ns0:c r="J409" s="74" t="inlineStr">
        <ns0:is>
          <ns0:t>gross (stated)</ns0:t>
        </ns0:is>
      </ns0:c>
      <ns0:c r="K409" s="77" t="n">
        <ns0:v>28</ns0:v>
      </ns0:c>
      <ns0:c r="L409" s="77" t="n">
        <ns0:v>32</ns0:v>
      </ns0:c>
      <ns0:c r="M409" s="77" t="n">
        <ns0:v>32</ns0:v>
      </ns0:c>
      <ns0:c r="N409" s="74" t="inlineStr">
        <ns0:is>
          <ns0:t>Y</ns0:t>
        </ns0:is>
      </ns0:c>
      <ns0:c r="O409" s="78" t="n">
        <ns0:v>100</ns0:v>
      </ns0:c>
      <ns0:c r="P409" s="78" t="n">
        <ns0:v>100</ns0:v>
      </ns0:c>
      <ns0:c r="Q409" s="79" t="n">
        <ns0:v>4359</ns0:v>
      </ns0:c>
      <ns0:c r="R409" s="74" t="inlineStr">
        <ns0:is>
          <ns0:t>derived:price x shares upon listing</ns0:t>
        </ns0:is>
      </ns0:c>
      <ns0:c r="S409" s="80" t="n">
        <ns0:v>3074.09</ns0:v>
      </ns0:c>
      <ns0:c r="T409" s="81" t="n">
        <ns0:v>5.78</ns0:v>
      </ns0:c>
      <ns0:c r="U409" s="82" t="n">
        <ns0:v>15.93</ns0:v>
      </ns0:c>
      <ns0:c r="V409" s="83" t="n">
        <ns0:v>65</ns0:v>
      </ns0:c>
      <ns0:c r="W409" s="78" t="n">
        <ns0:v>10</ns0:v>
      </ns0:c>
      <ns0:c r="X409" s="74" t="inlineStr">
        <ns0:is>
          <ns0:t>NO</ns0:t>
        </ns0:is>
      </ns0:c>
      <ns0:c r="Y409" s="79" t="n">
        <ns0:v>492.9</ns0:v>
      </ns0:c>
      <ns0:c r="Z409" s="79" t="n">
        <ns0:v>15402465</ns0:v>
      </ns0:c>
      <ns0:c r="AA409" s="78" t="n">
        <ns0:v>11.31</ns0:v>
      </ns0:c>
      <ns0:c r="AB409" s="74" t="inlineStr">
        <ns0:is>
          <ns0:t>Fund Resources Investment Holding Group Company Limited; Sage Partners Master Fund; Guotai Junan Investments (Hong Kong) Limited (in connection with the Kunyang OTC Swaps); TFI Investment Fund SPC (acting for and on behalf of its segregated portfolio, TFI Lakeside SP); Main Source Capital Limited; YStem Holding Limited; Awaken Thunder Capital Limited</ns0:t>
        </ns0:is>
      </ns0:c>
      <ns0:c r="AC409" s="74" t="inlineStr">
        <ns0:is>
          <ns0:t>resources;sage;guotai;tfi;main;ystem;awaken</ns0:t>
        </ns0:is>
      </ns0:c>
      <ns0:c r="AD409" s="78" t="n">
        <ns0:v>9.699999999999999</ns0:v>
      </ns0:c>
      <ns0:c r="AE409" s="74" t="inlineStr">
        <ns0:is>
          <ns0:t>lapsed (no over-allocation)</ns0:t>
        </ns0:is>
      </ns0:c>
      <ns0:c r="AF409" s="85" t="n"/>
      <ns0:c r="AG409" s="85" t="n"/>
      <ns0:c r="AH409" s="85" t="n"/>
      <ns0:c r="AI409" s="86" t="n">
        <ns0:v>2.06</ns0:v>
      </ns0:c>
      <ns0:c r="AJ409" s="87" t="n">
        <ns0:v>-46.25</ns0:v>
      </ns0:c>
      <ns0:c r="AK409" s="87" t="n">
        <ns0:v>-0.65</ns0:v>
      </ns0:c>
      <ns0:c r="AL409" s="87" t="n">
        <ns0:v>-9.69</ns0:v>
      </ns0:c>
      <ns0:c r="AM409" s="87" t="n">
        <ns0:v>-40.48</ns0:v>
      </ns0:c>
      <ns0:c r="AN409" s="89" t="n">
        <ns0:v>5.41</ns0:v>
      </ns0:c>
      <ns0:c r="AO409" s="78" t="n">
        <ns0:v>42.49</ns0:v>
      </ns0:c>
      <ns0:c r="AP409" s="87" t="n">
        <ns0:v>-46.69</ns0:v>
      </ns0:c>
      <ns0:c r="AQ409" s="87" t="n">
        <ns0:v>-46.97</ns0:v>
      </ns0:c>
      <ns0:c r="AR409" s="87" t="n">
        <ns0:v>-3.5</ns0:v>
      </ns0:c>
      <ns0:c r="AS409" s="87" t="n">
        <ns0:v>-0.82</ns0:v>
      </ns0:c>
      <ns0:c r="AT409" s="87" t="n">
        <ns0:v>-1.34</ns0:v>
      </ns0:c>
      <ns0:c r="AU409" s="87" t="n">
        <ns0:v>79.53</ns0:v>
      </ns0:c>
      <ns0:c r="AV409" s="87" t="n">
        <ns0:v>-44.11</ns0:v>
      </ns0:c>
      <ns0:c r="AW409" s="87" t="n">
        <ns0:v>-48.39</ns0:v>
      </ns0:c>
      <ns0:c r="AX409" s="87" t="n">
        <ns0:v>-9.859999999999999</ns0:v>
      </ns0:c>
      <ns0:c r="AY409" s="87" t="n">
        <ns0:v>-3.42</ns0:v>
      </ns0:c>
      <ns0:c r="AZ409" s="87" t="n">
        <ns0:v>1.42</ns0:v>
      </ns0:c>
      <ns0:c r="BA409" s="87" t="n">
        <ns0:v>2.08</ns0:v>
      </ns0:c>
      <ns0:c r="BB409" s="74" t="inlineStr">
        <ns0:is>
          <ns0:t>China Biotech ETF (HS biotech proxy)</ns0:t>
        </ns0:is>
      </ns0:c>
      <ns0:c r="BC409" s="87" t="n">
        <ns0:v>-9.75</ns0:v>
      </ns0:c>
      <ns0:c r="BD409" s="75" t="n">
        <ns0:v>46297</ns0:v>
      </ns0:c>
      <ns0:c r="BE409" s="76" t="n">
        <ns0:v>0</ns0:v>
      </ns0:c>
      <ns0:c r="BF409" s="79" t="n">
        <ns0:v>-128.6</ns0:v>
      </ns0:c>
      <ns0:c r="BG409" s="74" t="inlineStr">
        <ns0:is>
          <ns0:t>N</ns0:t>
        </ns0:is>
      </ns0:c>
      <ns0:c r="BH409" s="74" t="inlineStr">
        <ns0:is>
          <ns0:t>n/m</ns0:t>
        </ns0:is>
      </ns0:c>
      <ns0:c r="BI409" s="88" t="n"/>
      <ns0:c r="BJ409" s="88" t="n"/>
      <ns0:c r="BK409" s="74" t="inlineStr">
        <ns0:is>
          <ns0:t>pre-rev</ns0:t>
        </ns0:is>
      </ns0:c>
      <ns0:c r="BL409" s="90">
        <ns0:f>IFERROR(IF('BBG Verify'!S409="","Awaiting Bloomberg",'BBG Verify'!S409),"Awaiting Bloomberg")</ns0:f>
        <ns0:v/>
      </ns0:c>
      <ns0:c r="BM409" s="91" t="inlineStr">
        <ns0:is>
          <ns0:t>N</ns0:t>
        </ns0:is>
      </ns0:c>
      <ns0:c r="BN409" s="92">
        <ns0:f>IFERROR(IF('BBG Verify'!K409="","Awaiting Bloomberg",'BBG Verify'!K409),"Awaiting Bloomberg")</ns0:f>
        <ns0:v/>
      </ns0:c>
      <ns0:c r="BO409" s="74" t="inlineStr">
        <ns0:is>
          <ns0:t>N/A</ns0:t>
        </ns0:is>
      </ns0:c>
      <ns0:c r="BP409" s="74" t="inlineStr">
        <ns0:is>
          <ns0:t>N/A</ns0:t>
        </ns0:is>
      </ns0:c>
      <ns0:c r="BQ409" s="74" t="inlineStr">
        <ns0:is>
          <ns0:t>N/A</ns0:t>
        </ns0:is>
      </ns0:c>
      <ns0:c r="BR409" s="74" t="inlineStr">
        <ns0:is>
          <ns0:t>N/A</ns0:t>
        </ns0:is>
      </ns0:c>
      <ns0:c r="BS409" s="74" t="inlineStr">
        <ns0:is>
          <ns0:t>N/A</ns0:t>
        </ns0:is>
      </ns0:c>
      <ns0:c r="BT409" s="74" t="inlineStr">
        <ns0:is>
          <ns0:t>N/A</ns0:t>
        </ns0:is>
      </ns0:c>
      <ns0:c r="BU409" s="91" t="inlineStr">
        <ns0:is>
          <ns0:t>ICBC International Capital Limited</ns0:t>
        </ns0:is>
      </ns0:c>
      <ns0:c r="BV409" s="74" t="inlineStr">
        <ns0:is>
          <ns0:t>ICBC International Capital Limited</ns0:t>
        </ns0:is>
      </ns0:c>
      <ns0:c r="BW409" s="74" t="inlineStr">
        <ns0:is>
          <ns0:t>ICBC International Securities Limited; China Securities (International) Corporate Finance Company Limited; China Merchants Securities (HK) Co., Limited; Haitong International Securities Company Limited; CCB International Capital Limited; TFI Securities and Futures Limited; ABCI Capital Limited; SPDB International Capital Limited; Livermore Holdings Limited; Tiger Brokers (HK) Global Limited; Shanxi Securities International Limited; Beta International Securities Limited</ns0:t>
        </ns0:is>
      </ns0:c>
      <ns0:c r="BX409" s="74" t="inlineStr">
        <ns0:is>
          <ns0: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ns0:t>
        </ns0:is>
      </ns0:c>
      <ns0:c r="BY409" s="93">
        <ns0:f>HYPERLINK("https://www1.hkexnews.hk/listedco/listconews/sehk/2025/1215/2025121500027.pdf","prospectus")</ns0:f>
        <ns0:v/>
      </ns0:c>
      <ns0:c r="BZ409" s="93">
        <ns0:f>HYPERLINK("https://www1.hkexnews.hk/listedco/listconews/sehk/2025/1222/2025122201726.pdf","allotment")</ns0:f>
        <ns0:v/>
      </ns0:c>
      <ns0:c r="CA409" s="93">
        <ns0:f>HYPERLINK("https://www1.hkexnews.hk/listedco/listconews/sehk/2026/0123/2026012301142.pdf","stabilisation")</ns0:f>
        <ns0:v/>
      </ns0:c>
      <ns0:c r="CB409" s="94" t="n"/>
      <ns0:c r="CC409" s="74" t="inlineStr">
        <ns0:is>
          <ns0:t>P/E: loss-making at IPO, use P/S; greenshoe: outcome published; expiry date not in the notice; market cap: prospectus 'market capitalisation' line is the listing-rule threshold, not the issuer's figure; rejected; P/S: pre-revenue issuer, no sales multiple; stabilising manager: not named in the allotment notice or prospectus glossary</ns0:t>
        </ns0:is>
      </ns0:c>
    </ns0:row>
    <ns0:row r="410" ht="22" customHeight="1">
      <ns0:c r="A410" s="73" t="inlineStr">
        <ns0:is>
          <ns0:t>3317</ns0:t>
        </ns0:is>
      </ns0:c>
      <ns0:c r="B410" s="74" t="inlineStr">
        <ns0:is>
          <ns0:t>XUNCE</ns0:t>
        </ns0:is>
      </ns0:c>
      <ns0:c r="C410" s="74" t="inlineStr">
        <ns0:is>
          <ns0:t>迅策</ns0:t>
        </ns0:is>
      </ns0:c>
      <ns0:c r="D410" s="74" t="inlineStr">
        <ns0:is>
          <ns0:t>Technology</ns0:t>
        </ns0:is>
      </ns0:c>
      <ns0:c r="E410" s="74" t="inlineStr">
        <ns0:is>
          <ns0:t>Software &amp; AI</ns0:t>
        </ns0:is>
      </ns0:c>
      <ns0:c r="F410" s="74" t="inlineStr">
        <ns0:is>
          <ns0:t>Application Software</ns0:t>
        </ns0:is>
      </ns0:c>
      <ns0:c r="G410" s="74" t="inlineStr">
        <ns0:is>
          <ns0:t>Standard</ns0:t>
        </ns0:is>
      </ns0:c>
      <ns0:c r="H410" s="75" t="n">
        <ns0:v>46021</ns0:v>
      </ns0:c>
      <ns0:c r="I410" s="76" t="n">
        <ns0:v>1080</ns0:v>
      </ns0:c>
      <ns0:c r="J410" s="74" t="inlineStr">
        <ns0:is>
          <ns0:t>gross (stated)</ns0:t>
        </ns0:is>
      </ns0:c>
      <ns0:c r="K410" s="77" t="n">
        <ns0:v>48</ns0:v>
      </ns0:c>
      <ns0:c r="L410" s="77" t="n">
        <ns0:v>55</ns0:v>
      </ns0:c>
      <ns0:c r="M410" s="77" t="n">
        <ns0:v>48</ns0:v>
      </ns0:c>
      <ns0:c r="N410" s="74" t="inlineStr">
        <ns0:is>
          <ns0:t>N</ns0:t>
        </ns0:is>
      </ns0:c>
      <ns0:c r="O410" s="78" t="n">
        <ns0:v>87.3</ns0:v>
      </ns0:c>
      <ns0:c r="P410" s="78" t="n">
        <ns0:v>0</ns0:v>
      </ns0:c>
      <ns0:c r="Q410" s="79" t="n">
        <ns0:v>17460.7</ns0:v>
      </ns0:c>
      <ns0:c r="R410" s="74" t="inlineStr">
        <ns0:is>
          <ns0:t>aastocks:上市市值 at the struck price</ns0:t>
        </ns0:is>
      </ns0:c>
      <ns0:c r="S410" s="80" t="n">
        <ns0:v>7.24</ns0:v>
      </ns0:c>
      <ns0:c r="T410" s="81" t="n">
        <ns0:v>3.1</ns0:v>
      </ns0:c>
      <ns0:c r="U410" s="82" t="n">
        <ns0:v>28.5</ns0:v>
      </ns0:c>
      <ns0:c r="V410" s="83" t="n">
        <ns0:v>49</ns0:v>
      </ns0:c>
      <ns0:c r="W410" s="78" t="n">
        <ns0:v>10</ns0:v>
      </ns0:c>
      <ns0:c r="X410" s="74" t="inlineStr">
        <ns0:is>
          <ns0:t>NO</ns0:t>
        </ns0:is>
      </ns0:c>
      <ns0:c r="Y410" s="79" t="n">
        <ns0:v>772.2</ns0:v>
      </ns0:c>
      <ns0:c r="Z410" s="79" t="n">
        <ns0:v>16087500</ns0:v>
      </ns0:c>
      <ns0:c r="AA410" s="78" t="n">
        <ns0:v>4.42</ns0:v>
      </ns0:c>
      <ns0:c r="AB410" s="74" t="inlineStr">
        <ns0:is>
          <ns0:t>SinoMedia Holding Limited; York House Investment Limited (together with Alphahill Future Fund and Manifold Master Fund, Alphahill Funds ); Wealth Strategy Holding Limited; Infini Global Master Fund; Vered Holdings (Hong Kong) Limited ʮ̡; New Golden Future Limited; Cithara Global Multi-Strategy SPC — Bosideng Industry Investment Fund SP; Factorial Master Fund; Joy Mobile Network Pte. Ltd</ns0:t>
        </ns0:is>
      </ns0:c>
      <ns0:c r="AC410" s="74" t="inlineStr">
        <ns0:is>
          <ns0:t>sinomedia;york;wealth;infini;vered;new-golden;cithara;factorial;joy</ns0:t>
        </ns0:is>
      </ns0:c>
      <ns0:c r="AD410" s="78" t="n">
        <ns0:v>15</ns0:v>
      </ns0:c>
      <ns0:c r="AE410" s="74" t="inlineStr">
        <ns0:is>
          <ns0:t>partial</ns0:t>
        </ns0:is>
      </ns0:c>
      <ns0:c r="AF410" s="74" t="inlineStr">
        <ns0:is>
          <ns0:t>2026-01-22</ns0:t>
        </ns0:is>
      </ns0:c>
      <ns0:c r="AG410" s="74" t="inlineStr">
        <ns0:is>
          <ns0:t>Guotai Junan Securities</ns0:t>
        </ns0:is>
      </ns0:c>
      <ns0:c r="AH410" s="74" t="inlineStr">
        <ns0:is>
          <ns0:t>Guotai Junan</ns0:t>
        </ns0:is>
      </ns0:c>
      <ns0:c r="AI410" s="86" t="n">
        <ns0:v>2.04</ns0:v>
      </ns0:c>
      <ns0:c r="AJ410" s="87" t="n">
        <ns0:v>1.04</ns0:v>
      </ns0:c>
      <ns0:c r="AK410" s="87" t="n">
        <ns0:v>1.68</ns0:v>
      </ns0:c>
      <ns0:c r="AL410" s="87" t="n">
        <ns0:v>0.04</ns0:v>
      </ns0:c>
      <ns0:c r="AM410" s="87" t="n">
        <ns0:v>1</ns0:v>
      </ns0:c>
      <ns0:c r="AN410" s="89" t="n">
        <ns0:v>1.95</ns0:v>
      </ns0:c>
      <ns0:c r="AO410" s="78" t="n">
        <ns0:v>22.53</ns0:v>
      </ns0:c>
      <ns0:c r="AP410" s="87" t="n">
        <ns0:v>1.54</ns0:v>
      </ns0:c>
      <ns0:c r="AQ410" s="87" t="n">
        <ns0:v>23.75</ns0:v>
      </ns0:c>
      <ns0:c r="AR410" s="87" t="n">
        <ns0:v>313.54</ns0:v>
      </ns0:c>
      <ns0:c r="AS410" s="87" t="n">
        <ns0:v>0.49</ns0:v>
      </ns0:c>
      <ns0:c r="AT410" s="87" t="n">
        <ns0:v>22.48</ns0:v>
      </ns0:c>
      <ns0:c r="AU410" s="87" t="n">
        <ns0:v>309.28</ns0:v>
      </ns0:c>
      <ns0:c r="AV410" s="87" t="n">
        <ns0:v>-3.21</ns0:v>
      </ns0:c>
      <ns0:c r="AW410" s="87" t="n">
        <ns0:v>17.42</ns0:v>
      </ns0:c>
      <ns0:c r="AX410" s="87" t="n">
        <ns0:v>328.44</ns0:v>
      </ns0:c>
      <ns0:c r="AY410" s="87" t="n">
        <ns0:v>17.9</ns0:v>
      </ns0:c>
      <ns0:c r="AZ410" s="87" t="n">
        <ns0:v>6.33</ns0:v>
      </ns0:c>
      <ns0:c r="BA410" s="87" t="n">
        <ns0:v>4.58</ns0:v>
      </ns0:c>
      <ns0:c r="BB410" s="74" t="inlineStr">
        <ns0:is>
          <ns0:t>HSTECH (Hang Seng TECH ETF)</ns0:t>
        </ns0:is>
      </ns0:c>
      <ns0:c r="BC410" s="87" t="n">
        <ns0:v>91.56</ns0:v>
      </ns0:c>
      <ns0:c r="BD410" s="75" t="n">
        <ns0:v>46297</ns0:v>
      </ns0:c>
      <ns0:c r="BE410" s="76" t="n">
        <ns0:v>695.2</ns0:v>
      </ns0:c>
      <ns0:c r="BF410" s="79" t="n">
        <ns0:v>-107.6</ns0:v>
      </ns0:c>
      <ns0:c r="BG410" s="74" t="inlineStr">
        <ns0:is>
          <ns0:t>N</ns0:t>
        </ns0:is>
      </ns0:c>
      <ns0:c r="BH410" s="74" t="inlineStr">
        <ns0:is>
          <ns0:t>n/m</ns0:t>
        </ns0:is>
      </ns0:c>
      <ns0:c r="BI410" s="88" t="n"/>
      <ns0:c r="BJ410" s="88" t="n"/>
      <ns0:c r="BK410" s="89" t="n">
        <ns0:v>25.1</ns0:v>
      </ns0:c>
      <ns0:c r="BL410" s="90">
        <ns0:f>IFERROR(IF('BBG Verify'!S410="","Awaiting Bloomberg",'BBG Verify'!S410),"Awaiting Bloomberg")</ns0:f>
        <ns0:v/>
      </ns0:c>
      <ns0:c r="BM410" s="91" t="inlineStr">
        <ns0:is>
          <ns0:t>N</ns0:t>
        </ns0:is>
      </ns0:c>
      <ns0:c r="BN410" s="92">
        <ns0:f>IFERROR(IF('BBG Verify'!K410="","Awaiting Bloomberg",'BBG Verify'!K410),"Awaiting Bloomberg")</ns0:f>
        <ns0:v/>
      </ns0:c>
      <ns0:c r="BO410" s="74" t="inlineStr">
        <ns0:is>
          <ns0:t>N/A</ns0:t>
        </ns0:is>
      </ns0:c>
      <ns0:c r="BP410" s="74" t="inlineStr">
        <ns0:is>
          <ns0:t>N/A</ns0:t>
        </ns0:is>
      </ns0:c>
      <ns0:c r="BQ410" s="74" t="inlineStr">
        <ns0:is>
          <ns0:t>N/A</ns0:t>
        </ns0:is>
      </ns0:c>
      <ns0:c r="BR410" s="74" t="inlineStr">
        <ns0:is>
          <ns0:t>N/A</ns0:t>
        </ns0:is>
      </ns0:c>
      <ns0:c r="BS410" s="74" t="inlineStr">
        <ns0:is>
          <ns0:t>N/A</ns0:t>
        </ns0:is>
      </ns0:c>
      <ns0:c r="BT410" s="74" t="inlineStr">
        <ns0:is>
          <ns0:t>N/A</ns0:t>
        </ns0:is>
      </ns0:c>
      <ns0:c r="BU410" s="91" t="inlineStr">
        <ns0:is>
          <ns0:t>Guotai Junan Capital Limited</ns0:t>
        </ns0:is>
      </ns0:c>
      <ns0:c r="BV410" s="74" t="inlineStr">
        <ns0:is>
          <ns0:t>Guotai Junan Capital Limited</ns0:t>
        </ns0:is>
      </ns0:c>
      <ns0:c r="BW410" s="74" t="inlineStr">
        <ns0:is>
          <ns0:t>Guotai Junan Securities (Hong Kong) Limited; Deutsche Bank AG, Hong Kong Branch; Futu Securities International (Hong Kong) Limited; Hong Tai Securities Limited; Orient Securities (Hong Kong) Limited; North Beta International Securities Limited; ICBC International Securities Limited; CCB International Capital Limited; China Galaxy International Securities (Hong Kong) Co., Limited; TradeGo Markets Limited; China Merchants Securities (HK) Co., Limited; ABCI Capital Limited</ns0:t>
        </ns0:is>
      </ns0:c>
      <ns0:c r="BX410" s="74" t="inlineStr">
        <ns0:is>
          <ns0: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ns0:t>
        </ns0:is>
      </ns0:c>
      <ns0:c r="BY410" s="93">
        <ns0:f>HYPERLINK("https://www1.hkexnews.hk/listedco/listconews/sehk/2025/1218/2025121800027.pdf","prospectus")</ns0:f>
        <ns0:v/>
      </ns0:c>
      <ns0:c r="BZ410" s="93">
        <ns0:f>HYPERLINK("https://www1.hkexnews.hk/listedco/listconews/sehk/2025/1229/2025122902057.pdf","allotment")</ns0:f>
        <ns0:v/>
      </ns0:c>
      <ns0:c r="CA410" s="93">
        <ns0:f>HYPERLINK("https://www1.hkexnews.hk/listedco/listconews/sehk/2026/0123/2026012300001.pdf","stabilisation")</ns0:f>
        <ns0:v/>
      </ns0:c>
      <ns0:c r="CB410" s="94" t="n"/>
      <ns0:c r="CC410" s="74" t="inlineStr">
        <ns0:is>
          <ns0:t>P/E: loss-making at IPO, use P/S; market cap: published listing cap used; the estimate from deal size / offer % of enlarged capital disagreed</ns0:t>
        </ns0:is>
      </ns0:c>
    </ns0:row>
    <ns0:row r="411" ht="22" customHeight="1">
      <ns0:c r="A411" s="73" t="inlineStr">
        <ns0:is>
          <ns0:t>2657</ns0:t>
        </ns0:is>
      </ns0:c>
      <ns0:c r="B411" s="74" t="inlineStr">
        <ns0:is>
          <ns0:t>FOREST CABIN</ns0:t>
        </ns0:is>
      </ns0:c>
      <ns0:c r="C411" s="74" t="inlineStr">
        <ns0:is>
          <ns0:t>林清軒</ns0:t>
        </ns0:is>
      </ns0:c>
      <ns0:c r="D411" s="74" t="inlineStr">
        <ns0:is>
          <ns0:t>Consumer</ns0:t>
        </ns0:is>
      </ns0:c>
      <ns0:c r="E411" s="74" t="inlineStr">
        <ns0:is>
          <ns0:t>Beauty / personal care</ns0:t>
        </ns0:is>
      </ns0:c>
      <ns0:c r="F411" s="74" t="inlineStr">
        <ns0:is>
          <ns0:t>Beauty &amp; Toiletries Products and Services</ns0:t>
        </ns0:is>
      </ns0:c>
      <ns0:c r="G411" s="74" t="inlineStr">
        <ns0:is>
          <ns0:t>Standard</ns0:t>
        </ns0:is>
      </ns0:c>
      <ns0:c r="H411" s="75" t="n">
        <ns0:v>46021</ns0:v>
      </ns0:c>
      <ns0:c r="I411" s="76" t="n">
        <ns0:v>1086.2</ns0:v>
      </ns0:c>
      <ns0:c r="J411" s="74" t="inlineStr">
        <ns0:is>
          <ns0:t>gross (stated)</ns0:t>
        </ns0:is>
      </ns0:c>
      <ns0:c r="K411" s="95" t="n"/>
      <ns0:c r="L411" s="77" t="n">
        <ns0:v>77.77</ns0:v>
      </ns0:c>
      <ns0:c r="M411" s="77" t="n">
        <ns0:v>77.77</ns0:v>
      </ns0:c>
      <ns0:c r="N411" s="74" t="inlineStr">
        <ns0:is>
          <ns0:t>Y</ns0:t>
        </ns0:is>
      </ns0:c>
      <ns0:c r="O411" s="78" t="n">
        <ns0:v>100</ns0:v>
      </ns0:c>
      <ns0:c r="P411" s="84" t="n"/>
      <ns0:c r="Q411" s="79" t="n">
        <ns0:v>10861.7</ns0:v>
      </ns0:c>
      <ns0:c r="R411" s="74" t="inlineStr">
        <ns0:is>
          <ns0:t>prospectus:stated market capitalisation</ns0:t>
        </ns0:is>
      </ns0:c>
      <ns0:c r="S411" s="80" t="n">
        <ns0:v>1235.81</ns0:v>
      </ns0:c>
      <ns0:c r="T411" s="81" t="n">
        <ns0:v>19.79</ns0:v>
      </ns0:c>
      <ns0:c r="U411" s="82" t="n">
        <ns0:v>44.43</ns0:v>
      </ns0:c>
      <ns0:c r="V411" s="83" t="n">
        <ns0:v>149</ns0:v>
      </ns0:c>
      <ns0:c r="W411" s="78" t="n">
        <ns0:v>10</ns0:v>
      </ns0:c>
      <ns0:c r="X411" s="74" t="inlineStr">
        <ns0:is>
          <ns0:t>NO</ns0:t>
        </ns0:is>
      </ns0:c>
      <ns0:c r="Y411" s="79" t="n">
        <ns0:v>603.6</ns0:v>
      </ns0:c>
      <ns0:c r="Z411" s="79" t="n">
        <ns0:v>7761156</ns0:v>
      </ns0:c>
      <ns0:c r="AA411" s="78" t="n">
        <ns0:v>5.56</ns0:v>
      </ns0:c>
      <ns0:c r="AB411" s="74" t="inlineStr">
        <ns0:is>
          <ns0:t>FIL Investment Management (Hong Kong) Limited; Mega Prime Development Limited; Loyal Valley Capital; Duckling Fund, L.P; SynerSuccess Capital Ltd; Dajia Life Insurance Co., Ltd; Yield Royal Investment Holding (Singapore) PTE. LTD</ns0:t>
        </ns0:is>
      </ns0:c>
      <ns0:c r="AC411" s="74" t="inlineStr">
        <ns0:is>
          <ns0:t>fil;mega;loyal;duckling;synersuccess;dajia;yield</ns0:t>
        </ns0:is>
      </ns0:c>
      <ns0:c r="AD411" s="78" t="n">
        <ns0:v>11.33</ns0:v>
      </ns0:c>
      <ns0:c r="AE411" s="85" t="n"/>
      <ns0:c r="AF411" s="74" t="inlineStr">
        <ns0:is>
          <ns0:t>2026-01-22</ns0:t>
        </ns0:is>
      </ns0:c>
      <ns0:c r="AG411" s="74" t="inlineStr">
        <ns0:is>
          <ns0:t>CLSA Limited</ns0:t>
        </ns0:is>
      </ns0:c>
      <ns0:c r="AH411" s="74" t="inlineStr">
        <ns0:is>
          <ns0:t>CLSA</ns0:t>
        </ns0:is>
      </ns0:c>
      <ns0:c r="AI411" s="86" t="n">
        <ns0:v>17.85</ns0:v>
      </ns0:c>
      <ns0:c r="AJ411" s="87" t="n">
        <ns0:v>9.300000000000001</ns0:v>
      </ns0:c>
      <ns0:c r="AK411" s="87" t="n">
        <ns0:v>1.15</ns0:v>
      </ns0:c>
      <ns0:c r="AL411" s="87" t="n">
        <ns0:v>9.300000000000001</ns0:v>
      </ns0:c>
      <ns0:c r="AM411" s="87" t="n">
        <ns0:v>0</ns0:v>
      </ns0:c>
      <ns0:c r="AN411" s="89" t="n">
        <ns0:v>3.75</ns0:v>
      </ns0:c>
      <ns0:c r="AO411" s="78" t="n">
        <ns0:v>7.82</ns0:v>
      </ns0:c>
      <ns0:c r="AP411" s="87" t="n">
        <ns0:v>6.72</ns0:v>
      </ns0:c>
      <ns0:c r="AQ411" s="87" t="n">
        <ns0:v>3.64</ns0:v>
      </ns0:c>
      <ns0:c r="AR411" s="87" t="n">
        <ns0:v>-18.28</ns0:v>
      </ns0:c>
      <ns0:c r="AS411" s="87" t="n">
        <ns0:v>-2.36</ns0:v>
      </ns0:c>
      <ns0:c r="AT411" s="87" t="n">
        <ns0:v>-5.18</ns0:v>
      </ns0:c>
      <ns0:c r="AU411" s="87" t="n">
        <ns0:v>-25.23</ns0:v>
      </ns0:c>
      <ns0:c r="AV411" s="87" t="n">
        <ns0:v>3.48</ns0:v>
      </ns0:c>
      <ns0:c r="AW411" s="87" t="n">
        <ns0:v>-4.82</ns0:v>
      </ns0:c>
      <ns0:c r="AX411" s="87" t="n">
        <ns0:v>-11.47</ns0:v>
      </ns0:c>
      <ns0:c r="AY411" s="87" t="n">
        <ns0:v>-12.4</ns0:v>
      </ns0:c>
      <ns0:c r="AZ411" s="87" t="n">
        <ns0:v>8.460000000000001</ns0:v>
      </ns0:c>
      <ns0:c r="BA411" s="87" t="n">
        <ns0:v>7.22</ns0:v>
      </ns0:c>
      <ns0:c r="BB411" s="74" t="inlineStr">
        <ns0:is>
          <ns0:t>Hang Seng Commerce &amp; Industry sub-index</ns0:t>
        </ns0:is>
      </ns0:c>
      <ns0:c r="BC411" s="87" t="n">
        <ns0:v>-26.45</ns0:v>
      </ns0:c>
      <ns0:c r="BD411" s="75" t="n">
        <ns0:v>46297</ns0:v>
      </ns0:c>
      <ns0:c r="BE411" s="76" t="n">
        <ns0:v>1330.6</ns0:v>
      </ns0:c>
      <ns0:c r="BF411" s="79" t="n">
        <ns0:v>-0.1</ns0:v>
      </ns0:c>
      <ns0:c r="BG411" s="74" t="inlineStr">
        <ns0:is>
          <ns0:t>N</ns0:t>
        </ns0:is>
      </ns0:c>
      <ns0:c r="BH411" s="74" t="inlineStr">
        <ns0:is>
          <ns0:t>n/m</ns0:t>
        </ns0:is>
      </ns0:c>
      <ns0:c r="BI411" s="89" t="n">
        <ns0:v>6.8</ns0:v>
      </ns0:c>
      <ns0:c r="BJ411" s="89" t="n">
        <ns0:v>5.5</ns0:v>
      </ns0:c>
      <ns0:c r="BK411" s="89" t="n">
        <ns0:v>8.199999999999999</ns0:v>
      </ns0:c>
      <ns0:c r="BL411" s="90">
        <ns0:f>IFERROR(IF('BBG Verify'!S411="","Awaiting Bloomberg",'BBG Verify'!S411),"Awaiting Bloomberg")</ns0:f>
        <ns0:v/>
      </ns0:c>
      <ns0:c r="BM411" s="91" t="inlineStr">
        <ns0:is>
          <ns0:t>N</ns0:t>
        </ns0:is>
      </ns0:c>
      <ns0:c r="BN411" s="92">
        <ns0:f>IFERROR(IF('BBG Verify'!K411="","Awaiting Bloomberg",'BBG Verify'!K411),"Awaiting Bloomberg")</ns0:f>
        <ns0:v/>
      </ns0:c>
      <ns0:c r="BO411" s="74" t="inlineStr">
        <ns0:is>
          <ns0:t>N/A</ns0:t>
        </ns0:is>
      </ns0:c>
      <ns0:c r="BP411" s="74" t="inlineStr">
        <ns0:is>
          <ns0:t>N/A</ns0:t>
        </ns0:is>
      </ns0:c>
      <ns0:c r="BQ411" s="74" t="inlineStr">
        <ns0:is>
          <ns0:t>N/A</ns0:t>
        </ns0:is>
      </ns0:c>
      <ns0:c r="BR411" s="74" t="inlineStr">
        <ns0:is>
          <ns0:t>N/A</ns0:t>
        </ns0:is>
      </ns0:c>
      <ns0:c r="BS411" s="74" t="inlineStr">
        <ns0:is>
          <ns0:t>N/A</ns0:t>
        </ns0:is>
      </ns0:c>
      <ns0:c r="BT411" s="74" t="inlineStr">
        <ns0:is>
          <ns0:t>N/A</ns0:t>
        </ns0:is>
      </ns0:c>
      <ns0:c r="BU411" s="91" t="inlineStr">
        <ns0:is>
          <ns0:t>CITIC Securities (Hong Kong) Limited; Huatai Financial Holdings (Hong Kong) Limited</ns0:t>
        </ns0:is>
      </ns0:c>
      <ns0:c r="BV411" s="74" t="inlineStr">
        <ns0:is>
          <ns0:t>Huatai Financial Holdings (Hong Kong) Limited; CITIC Securities (Hong Kong) Limited</ns0:t>
        </ns0:is>
      </ns0:c>
      <ns0:c r="BW411" s="74" t="inlineStr">
        <ns0:is>
          <ns0:t>CLSA Limited; Huatai Financial Holdings (Hong Kong) Limited; Futu Securities International (Hong Kong) Limited; Tiger Brokers (HK) Global Limited</ns0:t>
        </ns0:is>
      </ns0:c>
      <ns0:c r="BX411" s="74" t="inlineStr">
        <ns0:is>
          <ns0:t>CLSA Limited; Futu Securities International (Hong Kong) Limited; Huatai Financial Holdings (Hong Kong) Limited; Tiger Brokers (HK) Global Limited</ns0:t>
        </ns0:is>
      </ns0:c>
      <ns0:c r="BY411" s="93">
        <ns0:f>HYPERLINK("https://www1.hkexnews.hk/listedco/listconews/sehk/2025/1218/2025121800221.pdf","prospectus")</ns0:f>
        <ns0:v/>
      </ns0:c>
      <ns0:c r="BZ411" s="93">
        <ns0:f>HYPERLINK("https://www1.hkexnews.hk/listedco/listconews/sehk/2025/1229/2025122902127.pdf","allotment")</ns0:f>
        <ns0:v/>
      </ns0:c>
      <ns0:c r="CA411" s="93">
        <ns0:f>HYPERLINK("https://www1.hkexnews.hk/listedco/listconews/sehk/2026/0122/2026012201117.pdf","stabilisation")</ns0:f>
        <ns0:v/>
      </ns0:c>
      <ns0:c r="CB411" s="94" t="n"/>
      <ns0:c r="CC411" s="74" t="inlineStr">
        <ns0:is>
          <ns0:t>P/E: loss-making at IPO, use P/S; greenshoe: end-of-stabilisation notice not found; range low: maximum offer price only, no floor published; stabilisation notice: notice linked; outcome wording not recognised, result left blank</ns0:t>
        </ns0:is>
      </ns0:c>
    </ns0:row>
    <ns0:row r="412" ht="22" customHeight="1">
      <ns0:c r="A412" s="73" t="inlineStr">
        <ns0:is>
          <ns0:t>2671</ns0:t>
        </ns0:is>
      </ns0:c>
      <ns0:c r="B412" s="74" t="inlineStr">
        <ns0:is>
          <ns0:t>USAS BUILDING</ns0:t>
        </ns0:is>
      </ns0:c>
      <ns0:c r="C412" s="74" t="inlineStr">
        <ns0:is>
          <ns0:t>美聯股份</ns0:t>
        </ns0:is>
      </ns0:c>
      <ns0:c r="D412" s="74" t="inlineStr">
        <ns0:is>
          <ns0:t>Industrials</ns0:t>
        </ns0:is>
      </ns0:c>
      <ns0:c r="E412" s="74" t="inlineStr">
        <ns0:is>
          <ns0:t>Construction / engineering</ns0:t>
        </ns0:is>
      </ns0:c>
      <ns0:c r="F412" s="74" t="inlineStr">
        <ns0:is>
          <ns0:t>Building Construction</ns0:t>
        </ns0:is>
      </ns0:c>
      <ns0:c r="G412" s="74" t="inlineStr">
        <ns0:is>
          <ns0:t>Standard</ns0:t>
        </ns0:is>
      </ns0:c>
      <ns0:c r="H412" s="75" t="n">
        <ns0:v>46021</ns0:v>
      </ns0:c>
      <ns0:c r="I412" s="76" t="n">
        <ns0:v>174.7</ns0:v>
      </ns0:c>
      <ns0:c r="J412" s="74" t="inlineStr">
        <ns0:is>
          <ns0:t>gross (price x shares)</ns0:t>
        </ns0:is>
      </ns0:c>
      <ns0:c r="K412" s="77" t="n">
        <ns0:v>7.1</ns0:v>
      </ns0:c>
      <ns0:c r="L412" s="77" t="n">
        <ns0:v>9.16</ns0:v>
      </ns0:c>
      <ns0:c r="M412" s="77" t="n">
        <ns0:v>7.1</ns0:v>
      </ns0:c>
      <ns0:c r="N412" s="74" t="inlineStr">
        <ns0:is>
          <ns0:t>N</ns0:t>
        </ns0:is>
      </ns0:c>
      <ns0:c r="O412" s="78" t="n">
        <ns0:v>77.5</ns0:v>
      </ns0:c>
      <ns0:c r="P412" s="78" t="n">
        <ns0:v>0</ns0:v>
      </ns0:c>
      <ns0:c r="Q412" s="79" t="n">
        <ns0:v>855.9</ns0:v>
      </ns0:c>
      <ns0:c r="R412" s="74" t="inlineStr">
        <ns0:is>
          <ns0:t>derived:price x shares upon listing</ns0:t>
        </ns0:is>
      </ns0:c>
      <ns0:c r="S412" s="80" t="n">
        <ns0:v>146.25</ns0:v>
      </ns0:c>
      <ns0:c r="T412" s="81" t="n">
        <ns0:v>1.48</ns0:v>
      </ns0:c>
      <ns0:c r="U412" s="82" t="n">
        <ns0:v>29.48</ns0:v>
      </ns0:c>
      <ns0:c r="V412" s="83" t="n">
        <ns0:v>81</ns0:v>
      </ns0:c>
      <ns0:c r="W412" s="78" t="n">
        <ns0:v>10</ns0:v>
      </ns0:c>
      <ns0:c r="X412" s="74" t="inlineStr">
        <ns0:is>
          <ns0:t>NA</ns0:t>
        </ns0:is>
      </ns0:c>
      <ns0:c r="Y412" s="79" t="n">
        <ns0:v>123.2</ns0:v>
      </ns0:c>
      <ns0:c r="Z412" s="79" t="n">
        <ns0:v>17347920</ns0:v>
      </ns0:c>
      <ns0:c r="AA412" s="78" t="n">
        <ns0:v>14.39</ns0:v>
      </ns0:c>
      <ns0:c r="AB412" s="74" t="inlineStr">
        <ns0:is>
          <ns0:t>Colorful Cloud Holdings Limited; Tiny Jade Holdings (HK) Co., Limited; Wu Xinghua; Logic Selective Value Investment Funds SPC</ns0:t>
        </ns0:is>
      </ns0:c>
      <ns0:c r="AC412" s="74" t="inlineStr">
        <ns0:is>
          <ns0:t>colorful;tiny;wu-xinghua;logic</ns0:t>
        </ns0:is>
      </ns0:c>
      <ns0:c r="AD412" s="78" t="n">
        <ns0:v>14.4</ns0:v>
      </ns0:c>
      <ns0:c r="AE412" s="85" t="n"/>
      <ns0:c r="AF412" s="85" t="n"/>
      <ns0:c r="AG412" s="85" t="n"/>
      <ns0:c r="AH412" s="85" t="n"/>
      <ns0:c r="AI412" s="86" t="n">
        <ns0:v>13.66</ns0:v>
      </ns0:c>
      <ns0:c r="AJ412" s="87" t="n">
        <ns0:v>7.61</ns0:v>
      </ns0:c>
      <ns0:c r="AK412" s="87" t="n">
        <ns0:v>1.15</ns0:v>
      </ns0:c>
      <ns0:c r="AL412" s="87" t="n">
        <ns0:v>15.63</ns0:v>
      </ns0:c>
      <ns0:c r="AM412" s="87" t="n">
        <ns0:v>-6.94</ns0:v>
      </ns0:c>
      <ns0:c r="AN412" s="89" t="n">
        <ns0:v>5.63</ns0:v>
      </ns0:c>
      <ns0:c r="AO412" s="78" t="n">
        <ns0:v>56.03</ns0:v>
      </ns0:c>
      <ns0:c r="AP412" s="87" t="n">
        <ns0:v>4.23</ns0:v>
      </ns0:c>
      <ns0:c r="AQ412" s="87" t="n">
        <ns0:v>-29.58</ns0:v>
      </ns0:c>
      <ns0:c r="AR412" s="87" t="n">
        <ns0:v>-42.25</ns0:v>
      </ns0:c>
      <ns0:c r="AS412" s="87" t="n">
        <ns0:v>-3.14</ns0:v>
      </ns0:c>
      <ns0:c r="AT412" s="87" t="n">
        <ns0:v>-34.56</ns0:v>
      </ns0:c>
      <ns0:c r="AU412" s="87" t="n">
        <ns0:v>-46.33</ns0:v>
      </ns0:c>
      <ns0:c r="AV412" s="87" t="n">
        <ns0:v>0.99</ns0:v>
      </ns0:c>
      <ns0:c r="AW412" s="87" t="n">
        <ns0:v>-38.04</ns0:v>
      </ns0:c>
      <ns0:c r="AX412" s="87" t="n">
        <ns0:v>-35.44</ns0:v>
      </ns0:c>
      <ns0:c r="AY412" s="87" t="n">
        <ns0:v>-41.78</ns0:v>
      </ns0:c>
      <ns0:c r="AZ412" s="87" t="n">
        <ns0:v>8.460000000000001</ns0:v>
      </ns0:c>
      <ns0:c r="BA412" s="87" t="n">
        <ns0:v>7.22</ns0:v>
      </ns0:c>
      <ns0:c r="BB412" s="74" t="inlineStr">
        <ns0:is>
          <ns0:t>Hang Seng Commerce &amp; Industry sub-index</ns0:t>
        </ns0:is>
      </ns0:c>
      <ns0:c r="BC412" s="87" t="n">
        <ns0:v>-0.14</ns0:v>
      </ns0:c>
      <ns0:c r="BD412" s="75" t="n">
        <ns0:v>46297</ns0:v>
      </ns0:c>
      <ns0:c r="BE412" s="98" t="n"/>
      <ns0:c r="BF412" s="97" t="n"/>
      <ns0:c r="BG412" s="74" t="inlineStr">
        <ns0:is>
          <ns0:t>Y</ns0:t>
        </ns0:is>
      </ns0:c>
      <ns0:c r="BH412" s="89" t="n">
        <ns0:v>5.4</ns0:v>
      </ns0:c>
      <ns0:c r="BI412" s="89" t="n">
        <ns0:v>5.4</ns0:v>
      </ns0:c>
      <ns0:c r="BJ412" s="89" t="n">
        <ns0:v>6.3</ns0:v>
      </ns0:c>
      <ns0:c r="BK412" s="88" t="n"/>
      <ns0:c r="BL412" s="90">
        <ns0:f>IFERROR(IF('BBG Verify'!S412="","Awaiting Bloomberg",'BBG Verify'!S412),"Awaiting Bloomberg")</ns0:f>
        <ns0:v/>
      </ns0:c>
      <ns0:c r="BM412" s="91" t="inlineStr">
        <ns0:is>
          <ns0:t>N</ns0:t>
        </ns0:is>
      </ns0:c>
      <ns0:c r="BN412" s="92">
        <ns0:f>IFERROR(IF('BBG Verify'!K412="","Awaiting Bloomberg",'BBG Verify'!K412),"Awaiting Bloomberg")</ns0:f>
        <ns0:v/>
      </ns0:c>
      <ns0:c r="BO412" s="74" t="inlineStr">
        <ns0:is>
          <ns0:t>N/A</ns0:t>
        </ns0:is>
      </ns0:c>
      <ns0:c r="BP412" s="74" t="inlineStr">
        <ns0:is>
          <ns0:t>N/A</ns0:t>
        </ns0:is>
      </ns0:c>
      <ns0:c r="BQ412" s="74" t="inlineStr">
        <ns0:is>
          <ns0:t>N/A</ns0:t>
        </ns0:is>
      </ns0:c>
      <ns0:c r="BR412" s="74" t="inlineStr">
        <ns0:is>
          <ns0:t>N/A</ns0:t>
        </ns0:is>
      </ns0:c>
      <ns0:c r="BS412" s="74" t="inlineStr">
        <ns0:is>
          <ns0:t>N/A</ns0:t>
        </ns0:is>
      </ns0:c>
      <ns0:c r="BT412" s="74" t="inlineStr">
        <ns0:is>
          <ns0:t>N/A</ns0:t>
        </ns0:is>
      </ns0:c>
      <ns0:c r="BU412" s="91" t="inlineStr">
        <ns0:is>
          <ns0:t>Shenwan Hongyuan Capital (H.K.) Limited</ns0:t>
        </ns0:is>
      </ns0:c>
      <ns0:c r="BV412" s="74" t="inlineStr">
        <ns0:is>
          <ns0:t>Shenwan Hongyuan Capital (H.K.) Limited</ns0:t>
        </ns0:is>
      </ns0:c>
      <ns0:c r="BW412" s="74" t="inlineStr">
        <ns0:is>
          <ns0:t>Shenwan Hongyuan Securities (H.K.) Limited; ABCI Capital Limited; BOCI Asia Limited; Patrons Securities Limited; SPDB International Capital Limited; TradeGo Markets Limited</ns0:t>
        </ns0:is>
      </ns0:c>
      <ns0:c r="BX412" s="74" t="inlineStr">
        <ns0:is>
          <ns0:t>ABCI Securities Company Limited; BOCI Asia Limited; Patrons Securities Limited; Shenwan Hongyuan Securities (H.K.) Limited; SPDB International Capital Limited; TradeGo Markets Limited</ns0:t>
        </ns0:is>
      </ns0:c>
      <ns0:c r="BY412" s="93">
        <ns0:f>HYPERLINK("https://www1.hkexnews.hk/listedco/listconews/sehk/2025/1218/2025121800035.pdf","prospectus")</ns0:f>
        <ns0:v/>
      </ns0:c>
      <ns0:c r="BZ412" s="93">
        <ns0:f>HYPERLINK("https://www1.hkexnews.hk/listedco/listconews/sehk/2025/1229/2025122902215.pdf","allotment")</ns0:f>
        <ns0:v/>
      </ns0:c>
      <ns0:c r="CA412" s="85" t="n"/>
      <ns0:c r="CB412" s="94" t="n"/>
      <ns0:c r="CC412" s="74" t="inlineStr">
        <ns0:is>
          <ns0:t>P/E: Bloomberg trailing-12m basis (prospectus-year multiple not derivable); greenshoe: end-of-stabilisation notice not found; P/S: revenue not extractable; stabilising manager: filing states none appointed (allotment announcement: 'no stabilizing manager will be appointed' stated in the filing); financials rejected: net income HK$77.9m exceeds revenue HK$1.7m; both withheld with their multiples</ns0:t>
        </ns0:is>
      </ns0:c>
    </ns0:row>
    <ns0:row r="413" ht="22" customHeight="1">
      <ns0:c r="A413" s="73" t="inlineStr">
        <ns0:is>
          <ns0:t>3696</ns0:t>
        </ns0:is>
      </ns0:c>
      <ns0:c r="B413" s="74" t="inlineStr">
        <ns0:is>
          <ns0:t>INSILICO</ns0:t>
        </ns0:is>
      </ns0:c>
      <ns0:c r="C413" s="74" t="inlineStr">
        <ns0:is>
          <ns0:t>英矽智能</ns0:t>
        </ns0:is>
      </ns0:c>
      <ns0:c r="D413" s="74" t="inlineStr">
        <ns0:is>
          <ns0:t>Technology</ns0:t>
        </ns0:is>
      </ns0:c>
      <ns0:c r="E413" s="74" t="inlineStr">
        <ns0:is>
          <ns0:t>Software &amp; AI</ns0:t>
        </ns0:is>
      </ns0:c>
      <ns0:c r="F413" s="74" t="inlineStr">
        <ns0:is>
          <ns0:t>Biotechnology - Pharmaceuticals</ns0:t>
        </ns0:is>
      </ns0:c>
      <ns0:c r="G413" s="74" t="inlineStr">
        <ns0:is>
          <ns0:t>Standard</ns0:t>
        </ns0:is>
      </ns0:c>
      <ns0:c r="H413" s="75" t="n">
        <ns0:v>46021</ns0:v>
      </ns0:c>
      <ns0:c r="I413" s="76" t="n">
        <ns0:v>2277.3</ns0:v>
      </ns0:c>
      <ns0:c r="J413" s="74" t="inlineStr">
        <ns0:is>
          <ns0:t>gross (stated)</ns0:t>
        </ns0:is>
      </ns0:c>
      <ns0:c r="K413" s="95" t="n"/>
      <ns0:c r="L413" s="77" t="n">
        <ns0:v>24.05</ns0:v>
      </ns0:c>
      <ns0:c r="M413" s="77" t="n">
        <ns0:v>24.05</ns0:v>
      </ns0:c>
      <ns0:c r="N413" s="74" t="inlineStr">
        <ns0:is>
          <ns0:t>Y</ns0:t>
        </ns0:is>
      </ns0:c>
      <ns0:c r="O413" s="78" t="n">
        <ns0:v>100</ns0:v>
      </ns0:c>
      <ns0:c r="P413" s="84" t="n"/>
      <ns0:c r="Q413" s="79" t="n">
        <ns0:v>13406</ns0:v>
      </ns0:c>
      <ns0:c r="R413" s="74" t="inlineStr">
        <ns0:is>
          <ns0:t>prospectus:stated market capitalisation</ns0:t>
        </ns0:is>
      </ns0:c>
      <ns0:c r="S413" s="80" t="n">
        <ns0:v>1427.37</ns0:v>
      </ns0:c>
      <ns0:c r="T413" s="81" t="n">
        <ns0:v>26.27</ns0:v>
      </ns0:c>
      <ns0:c r="U413" s="82" t="n">
        <ns0:v>39.29</ns0:v>
      </ns0:c>
      <ns0:c r="V413" s="83" t="n">
        <ns0:v>216</ns0:v>
      </ns0:c>
      <ns0:c r="W413" s="78" t="n">
        <ns0:v>10</ns0:v>
      </ns0:c>
      <ns0:c r="X413" s="74" t="inlineStr">
        <ns0:is>
          <ns0:t>NA</ns0:t>
        </ns0:is>
      </ns0:c>
      <ns0:c r="Y413" s="79" t="n">
        <ns0:v>1382.55</ns0:v>
      </ns0:c>
      <ns0:c r="Z413" s="79" t="n">
        <ns0:v>57486603</ns0:v>
      </ns0:c>
      <ns0:c r="AA413" s="78" t="n">
        <ns0:v>10.31</ns0:v>
      </ns0:c>
      <ns0:c r="AB413" s="74" t="inlineStr">
        <ns0:is>
          <ns0:t>Lilly; Tencent; Oaktree; Schroders; Taibai Investments Pte. Ltd; China AMC; Pacific Asset Management Co., Limited; E Fund Management Co., Ltd; Fullgoal HK; Fullgoal Fund; Harvest; Taikang Life; Emerging Markets Healthcare Partners LLC; Infini</ns0:t>
        </ns0:is>
      </ns0:c>
      <ns0:c r="AC413" s="74" t="inlineStr">
        <ns0:is>
          <ns0:t>lilly;tencent;oaktree;schroders;taibai;amc;pacific-asset;fund-management;fullgoal;harvest;taikang;emerging;infini</ns0:t>
        </ns0:is>
      </ns0:c>
      <ns0:c r="AD413" s="78" t="n">
        <ns0:v>15</ns0:v>
      </ns0:c>
      <ns0:c r="AE413" s="74" t="inlineStr">
        <ns0:is>
          <ns0:t>full</ns0:t>
        </ns0:is>
      </ns0:c>
      <ns0:c r="AF413" s="74" t="inlineStr">
        <ns0:is>
          <ns0:t>2026-01-22</ns0:t>
        </ns0:is>
      </ns0:c>
      <ns0:c r="AG413" s="74" t="inlineStr">
        <ns0:is>
          <ns0:t>Morgan Stanley Asia Limited</ns0:t>
        </ns0:is>
      </ns0:c>
      <ns0:c r="AH413" s="74" t="inlineStr">
        <ns0:is>
          <ns0:t>Morgan Stanley</ns0:t>
        </ns0:is>
      </ns0:c>
      <ns0:c r="AI413" s="86" t="n">
        <ns0:v>53.26</ns0:v>
      </ns0:c>
      <ns0:c r="AJ413" s="87" t="n">
        <ns0:v>24.66</ns0:v>
      </ns0:c>
      <ns0:c r="AK413" s="87" t="n">
        <ns0:v>1.68</ns0:v>
      </ns0:c>
      <ns0:c r="AL413" s="87" t="n">
        <ns0:v>45.53</ns0:v>
      </ns0:c>
      <ns0:c r="AM413" s="87" t="n">
        <ns0:v>-14.34</ns0:v>
      </ns0:c>
      <ns0:c r="AN413" s="89" t="n">
        <ns0:v>3.98</ns0:v>
      </ns0:c>
      <ns0:c r="AO413" s="78" t="n">
        <ns0:v>16.34</ns0:v>
      </ns0:c>
      <ns0:c r="AP413" s="87" t="n">
        <ns0:v>68.40000000000001</ns0:v>
      </ns0:c>
      <ns0:c r="AQ413" s="87" t="n">
        <ns0:v>172.35</ns0:v>
      </ns0:c>
      <ns0:c r="AR413" s="87" t="n">
        <ns0:v>138.05</ns0:v>
      </ns0:c>
      <ns0:c r="AS413" s="87" t="n">
        <ns0:v>35.09</ns0:v>
      </ns0:c>
      <ns0:c r="AT413" s="87" t="n">
        <ns0:v>118.47</ns0:v>
      </ns0:c>
      <ns0:c r="AU413" s="87" t="n">
        <ns0:v>90.95999999999999</ns0:v>
      </ns0:c>
      <ns0:c r="AV413" s="87" t="n">
        <ns0:v>63.65</ns0:v>
      </ns0:c>
      <ns0:c r="AW413" s="87" t="n">
        <ns0:v>166.02</ns0:v>
      </ns0:c>
      <ns0:c r="AX413" s="87" t="n">
        <ns0:v>152.95</ns0:v>
      </ns0:c>
      <ns0:c r="AY413" s="87" t="n">
        <ns0:v>113.89</ns0:v>
      </ns0:c>
      <ns0:c r="AZ413" s="87" t="n">
        <ns0:v>6.33</ns0:v>
      </ns0:c>
      <ns0:c r="BA413" s="87" t="n">
        <ns0:v>4.58</ns0:v>
      </ns0:c>
      <ns0:c r="BB413" s="74" t="inlineStr">
        <ns0:is>
          <ns0:t>HSTECH (Hang Seng TECH ETF)</ns0:t>
        </ns0:is>
      </ns0:c>
      <ns0:c r="BC413" s="87" t="n">
        <ns0:v>139.5</ns0:v>
      </ns0:c>
      <ns0:c r="BD413" s="75" t="n">
        <ns0:v>46297</ns0:v>
      </ns0:c>
      <ns0:c r="BE413" s="76" t="n">
        <ns0:v>669.5</ns0:v>
      </ns0:c>
      <ns0:c r="BF413" s="79" t="n">
        <ns0:v>-133.3</ns0:v>
      </ns0:c>
      <ns0:c r="BG413" s="74" t="inlineStr">
        <ns0:is>
          <ns0:t>N</ns0:t>
        </ns0:is>
      </ns0:c>
      <ns0:c r="BH413" s="74" t="inlineStr">
        <ns0:is>
          <ns0:t>n/m</ns0:t>
        </ns0:is>
      </ns0:c>
      <ns0:c r="BI413" s="88" t="n"/>
      <ns0:c r="BJ413" s="88" t="n"/>
      <ns0:c r="BK413" s="89" t="n">
        <ns0:v>20</ns0:v>
      </ns0:c>
      <ns0:c r="BL413" s="90">
        <ns0:f>IFERROR(IF('BBG Verify'!S413="","Awaiting Bloomberg",'BBG Verify'!S413),"Awaiting Bloomberg")</ns0:f>
        <ns0:v/>
      </ns0:c>
      <ns0:c r="BM413" s="91" t="inlineStr">
        <ns0:is>
          <ns0:t>N</ns0:t>
        </ns0:is>
      </ns0:c>
      <ns0:c r="BN413" s="92">
        <ns0:f>IFERROR(IF('BBG Verify'!K413="","Awaiting Bloomberg",'BBG Verify'!K413),"Awaiting Bloomberg")</ns0:f>
        <ns0:v/>
      </ns0:c>
      <ns0:c r="BO413" s="74" t="inlineStr">
        <ns0:is>
          <ns0:t>N/A</ns0:t>
        </ns0:is>
      </ns0:c>
      <ns0:c r="BP413" s="74" t="inlineStr">
        <ns0:is>
          <ns0:t>N/A</ns0:t>
        </ns0:is>
      </ns0:c>
      <ns0:c r="BQ413" s="74" t="inlineStr">
        <ns0:is>
          <ns0:t>N/A</ns0:t>
        </ns0:is>
      </ns0:c>
      <ns0:c r="BR413" s="74" t="inlineStr">
        <ns0:is>
          <ns0:t>N/A</ns0:t>
        </ns0:is>
      </ns0:c>
      <ns0:c r="BS413" s="74" t="inlineStr">
        <ns0:is>
          <ns0:t>N/A</ns0:t>
        </ns0:is>
      </ns0:c>
      <ns0:c r="BT413" s="74" t="inlineStr">
        <ns0:is>
          <ns0:t>N/A</ns0:t>
        </ns0:is>
      </ns0:c>
      <ns0:c r="BU413" s="91" t="inlineStr">
        <ns0:is>
          <ns0:t>Morgan Stanley Asia Limited; China International Capital Corporation Hong Kong Securities Limited; GF Capital (Hong Kong) Limited</ns0:t>
        </ns0:is>
      </ns0:c>
      <ns0:c r="BV413" s="74" t="inlineStr">
        <ns0:is>
          <ns0:t>China International Capital Corporation Hong Kong Securities Limited; Morgan Stanley Asia Limited; GF Capital (Hong Kong) Limited</ns0:t>
        </ns0:is>
      </ns0:c>
      <ns0:c r="BW413" s="74" t="inlineStr">
        <ns0:is>
          <ns0:t>Morgan Stanley Asia Limited; GF Securities (Hong Kong) Brokerage Limited; BNP Paribas Securities (Asia) Limited; Sinolink Securities (Hong Kong) Company Limited; BOCI Asia Limited</ns0:t>
        </ns0:is>
      </ns0:c>
      <ns0:c r="BX413" s="74" t="inlineStr">
        <ns0:is>
          <ns0:t>BNP Paribas Securities (Asia) Limited; BOCI Asia Limited; China International Capital Corporation Hong Kong Securities Limited; GF Securities (Hong Kong) Brokerage Limited; Morgan Stanley Asia Limited; Sinolink Securities (Hong Kong) Company Limited</ns0:t>
        </ns0:is>
      </ns0:c>
      <ns0:c r="BY413" s="93">
        <ns0:f>HYPERLINK("https://www1.hkexnews.hk/listedco/listconews/sehk/2025/1218/2025121800031.pdf","prospectus")</ns0:f>
        <ns0:v/>
      </ns0:c>
      <ns0:c r="BZ413" s="93">
        <ns0:f>HYPERLINK("https://www1.hkexnews.hk/listedco/listconews/sehk/2025/1229/2025122902395.pdf","allotment")</ns0:f>
        <ns0:v/>
      </ns0:c>
      <ns0:c r="CA413" s="93">
        <ns0:f>HYPERLINK("https://www1.hkexnews.hk/listedco/listconews/sehk/2026/0122/2026012201223.pdf","stabilisation")</ns0:f>
        <ns0:v/>
      </ns0:c>
      <ns0:c r="CB413" s="94" t="n"/>
      <ns0:c r="CC413" s="74" t="inlineStr">
        <ns0:is>
          <ns0:t>P/E: loss-making at IPO, use P/S; range low: maximum offer price only, no floor published</ns0:t>
        </ns0:is>
      </ns0:c>
    </ns0:row>
    <ns0:row r="414" ht="22" customHeight="1">
      <ns0:c r="A414" s="73" t="inlineStr">
        <ns0:is>
          <ns0:t>6651</ns0:t>
        </ns0:is>
      </ns0:c>
      <ns0:c r="B414" s="74" t="inlineStr">
        <ns0:is>
          <ns0:t>51WORLD</ns0:t>
        </ns0:is>
      </ns0:c>
      <ns0:c r="C414" s="74" t="inlineStr">
        <ns0:is>
          <ns0:t>五一視界</ns0:t>
        </ns0:is>
      </ns0:c>
      <ns0:c r="D414" s="74" t="inlineStr">
        <ns0:is>
          <ns0:t>Technology</ns0:t>
        </ns0:is>
      </ns0:c>
      <ns0:c r="E414" s="74" t="inlineStr">
        <ns0:is>
          <ns0:t>Software &amp; AI</ns0:t>
        </ns0:is>
      </ns0:c>
      <ns0:c r="F414" s="74" t="inlineStr">
        <ns0:is>
          <ns0:t>Advanced hardware and software</ns0:t>
        </ns0:is>
      </ns0:c>
      <ns0:c r="G414" s="74" t="inlineStr">
        <ns0:is>
          <ns0:t>18C</ns0:t>
        </ns0:is>
      </ns0:c>
      <ns0:c r="H414" s="75" t="n">
        <ns0:v>46021</ns0:v>
      </ns0:c>
      <ns0:c r="I414" s="76" t="n">
        <ns0:v>731.3</ns0:v>
      </ns0:c>
      <ns0:c r="J414" s="74" t="inlineStr">
        <ns0:is>
          <ns0:t>gross (stated)</ns0:t>
        </ns0:is>
      </ns0:c>
      <ns0:c r="K414" s="95" t="n"/>
      <ns0:c r="L414" s="77" t="n">
        <ns0:v>30.5</ns0:v>
      </ns0:c>
      <ns0:c r="M414" s="77" t="n">
        <ns0:v>30.5</ns0:v>
      </ns0:c>
      <ns0:c r="N414" s="74" t="inlineStr">
        <ns0:is>
          <ns0:t>Y</ns0:t>
        </ns0:is>
      </ns0:c>
      <ns0:c r="O414" s="78" t="n">
        <ns0:v>100</ns0:v>
      </ns0:c>
      <ns0:c r="P414" s="84" t="n"/>
      <ns0:c r="Q414" s="79" t="n">
        <ns0:v>12393.9</ns0:v>
      </ns0:c>
      <ns0:c r="R414" s="74" t="inlineStr">
        <ns0:is>
          <ns0:t>derived:price x shares upon listing</ns0:t>
        </ns0:is>
      </ns0:c>
      <ns0:c r="S414" s="80" t="n">
        <ns0:v>256.01</ns0:v>
      </ns0:c>
      <ns0:c r="T414" s="81" t="n">
        <ns0:v>2.6</ns0:v>
      </ns0:c>
      <ns0:c r="U414" s="82" t="n">
        <ns0:v>0</ns0:v>
      </ns0:c>
      <ns0:c r="V414" s="83" t="n">
        <ns0:v>84</ns0:v>
      </ns0:c>
      <ns0:c r="W414" s="78" t="n">
        <ns0:v>20</ns0:v>
      </ns0:c>
      <ns0:c r="X414" s="74" t="inlineStr">
        <ns0:is>
          <ns0:t>YES</ns0:t>
        </ns0:is>
      </ns0:c>
      <ns0:c r="Y414" s="79" t="n">
        <ns0:v>731.3</ns0:v>
      </ns0:c>
      <ns0:c r="Z414" s="79" t="n">
        <ns0:v>23975200</ns0:v>
      </ns0:c>
      <ns0:c r="AA414" s="78" t="n">
        <ns0:v>5.9</ns0:v>
      </ns0:c>
      <ns0:c r="AB414" s="74" t="inlineStr">
        <ns0:is>
          <ns0:t>none — no cornerstone tranche</ns0:t>
        </ns0:is>
      </ns0:c>
      <ns0:c r="AC414" s="74" t="inlineStr">
        <ns0:is>
          <ns0:t>none</ns0:t>
        </ns0:is>
      </ns0:c>
      <ns0:c r="AD414" s="78" t="n">
        <ns0:v>16.3</ns0:v>
      </ns0:c>
      <ns0:c r="AE414" s="74" t="inlineStr">
        <ns0:is>
          <ns0:t>lapsed (no over-allocation)</ns0:t>
        </ns0:is>
      </ns0:c>
      <ns0:c r="AF414" s="85" t="n"/>
      <ns0:c r="AG414" s="74" t="inlineStr">
        <ns0:is>
          <ns0:t>China International Capital Corporation Hong Kong Securities Limited 19 DEFINITIONS</ns0:t>
        </ns0:is>
      </ns0:c>
      <ns0:c r="AH414" s="74" t="inlineStr">
        <ns0:is>
          <ns0:t>China International</ns0:t>
        </ns0:is>
      </ns0:c>
      <ns0:c r="AI414" s="86" t="n">
        <ns0:v>23.54</ns0:v>
      </ns0:c>
      <ns0:c r="AJ414" s="87" t="n">
        <ns0:v>29.9</ns0:v>
      </ns0:c>
      <ns0:c r="AK414" s="87" t="n">
        <ns0:v>1.68</ns0:v>
      </ns0:c>
      <ns0:c r="AL414" s="87" t="n">
        <ns0:v>14.75</ns0:v>
      </ns0:c>
      <ns0:c r="AM414" s="87" t="n">
        <ns0:v>13.2</ns0:v>
      </ns0:c>
      <ns0:c r="AN414" s="89" t="n">
        <ns0:v>1.11</ns0:v>
      </ns0:c>
      <ns0:c r="AO414" s="78" t="n">
        <ns0:v>13.71</ns0:v>
      </ns0:c>
      <ns0:c r="AP414" s="87" t="n">
        <ns0:v>51.48</ns0:v>
      </ns0:c>
      <ns0:c r="AQ414" s="87" t="n">
        <ns0:v>212.46</ns0:v>
      </ns0:c>
      <ns0:c r="AR414" s="87" t="n">
        <ns0:v>18.82</ns0:v>
      </ns0:c>
      <ns0:c r="AS414" s="87" t="n">
        <ns0:v>16.61</ns0:v>
      </ns0:c>
      <ns0:c r="AT414" s="87" t="n">
        <ns0:v>140.54</ns0:v>
      </ns0:c>
      <ns0:c r="AU414" s="87" t="n">
        <ns0:v>-8.529999999999999</ns0:v>
      </ns0:c>
      <ns0:c r="AV414" s="87" t="n">
        <ns0:v>46.73</ns0:v>
      </ns0:c>
      <ns0:c r="AW414" s="87" t="n">
        <ns0:v>206.13</ns0:v>
      </ns0:c>
      <ns0:c r="AX414" s="87" t="n">
        <ns0:v>33.72</ns0:v>
      </ns0:c>
      <ns0:c r="AY414" s="87" t="n">
        <ns0:v>135.96</ns0:v>
      </ns0:c>
      <ns0:c r="AZ414" s="87" t="n">
        <ns0:v>6.33</ns0:v>
      </ns0:c>
      <ns0:c r="BA414" s="87" t="n">
        <ns0:v>4.58</ns0:v>
      </ns0:c>
      <ns0:c r="BB414" s="74" t="inlineStr">
        <ns0:is>
          <ns0:t>HSTECH (Hang Seng TECH ETF)</ns0:t>
        </ns0:is>
      </ns0:c>
      <ns0:c r="BC414" s="87" t="n">
        <ns0:v>73.61</ns0:v>
      </ns0:c>
      <ns0:c r="BD414" s="75" t="n">
        <ns0:v>46297</ns0:v>
      </ns0:c>
      <ns0:c r="BE414" s="76" t="n">
        <ns0:v>316.1</ns0:v>
      </ns0:c>
      <ns0:c r="BF414" s="79" t="n">
        <ns0:v>-86.90000000000001</ns0:v>
      </ns0:c>
      <ns0:c r="BG414" s="74" t="inlineStr">
        <ns0:is>
          <ns0:t>N</ns0:t>
        </ns0:is>
      </ns0:c>
      <ns0:c r="BH414" s="74" t="inlineStr">
        <ns0:is>
          <ns0:t>n/m</ns0:t>
        </ns0:is>
      </ns0:c>
      <ns0:c r="BI414" s="88" t="n"/>
      <ns0:c r="BJ414" s="88" t="n"/>
      <ns0:c r="BK414" s="89" t="n">
        <ns0:v>39.2</ns0:v>
      </ns0:c>
      <ns0:c r="BL414" s="90">
        <ns0:f>IFERROR(IF('BBG Verify'!S414="","Awaiting Bloomberg",'BBG Verify'!S414),"Awaiting Bloomberg")</ns0:f>
        <ns0:v/>
      </ns0:c>
      <ns0:c r="BM414" s="91" t="inlineStr">
        <ns0:is>
          <ns0:t>N</ns0:t>
        </ns0:is>
      </ns0:c>
      <ns0:c r="BN414" s="92">
        <ns0:f>IFERROR(IF('BBG Verify'!K414="","Awaiting Bloomberg",'BBG Verify'!K414),"Awaiting Bloomberg")</ns0:f>
        <ns0:v/>
      </ns0:c>
      <ns0:c r="BO414" s="74" t="inlineStr">
        <ns0:is>
          <ns0:t>N/A</ns0:t>
        </ns0:is>
      </ns0:c>
      <ns0:c r="BP414" s="74" t="inlineStr">
        <ns0:is>
          <ns0:t>N/A</ns0:t>
        </ns0:is>
      </ns0:c>
      <ns0:c r="BQ414" s="74" t="inlineStr">
        <ns0:is>
          <ns0:t>N/A</ns0:t>
        </ns0:is>
      </ns0:c>
      <ns0:c r="BR414" s="74" t="inlineStr">
        <ns0:is>
          <ns0:t>N/A</ns0:t>
        </ns0:is>
      </ns0:c>
      <ns0:c r="BS414" s="74" t="inlineStr">
        <ns0:is>
          <ns0:t>N/A</ns0:t>
        </ns0:is>
      </ns0:c>
      <ns0:c r="BT414" s="74" t="inlineStr">
        <ns0:is>
          <ns0:t>N/A</ns0:t>
        </ns0:is>
      </ns0:c>
      <ns0:c r="BU414" s="91" t="inlineStr">
        <ns0:is>
          <ns0:t>China International Capital Corporation Hong Kong Securities Limited; Huatai Financial Holdings (Hong Kong) Limited</ns0:t>
        </ns0:is>
      </ns0:c>
      <ns0:c r="BV414" s="74" t="inlineStr">
        <ns0:is>
          <ns0:t>China International Capital Corporation Hong Kong Securities Limited; Huatai Financial Holdings (Hong Kong) Limited</ns0:t>
        </ns0:is>
      </ns0:c>
      <ns0:c r="BW414" s="74" t="inlineStr">
        <ns0:is>
          <ns0:t>China International Capital Corporation Hong Kong Securities Limited; CMB International Capital Limited;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ns0:t>
        </ns0:is>
      </ns0:c>
      <ns0:c r="BX414" s="74" t="inlineStr">
        <ns0:is>
          <ns0: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ns0:t>
        </ns0:is>
      </ns0:c>
      <ns0:c r="BY414" s="93">
        <ns0:f>HYPERLINK("https://www1.hkexnews.hk/listedco/listconews/sehk/2025/1218/2025121800029.pdf","prospectus")</ns0:f>
        <ns0:v/>
      </ns0:c>
      <ns0:c r="BZ414" s="93">
        <ns0:f>HYPERLINK("https://www1.hkexnews.hk/listedco/listconews/sehk/2025/1229/2025122902393.pdf","allotment")</ns0:f>
        <ns0:v/>
      </ns0:c>
      <ns0:c r="CA414" s="93">
        <ns0:f>HYPERLINK("https://www1.hkexnews.hk/listedco/listconews/sehk/2026/0122/2026012200344.pdf","stabilisation")</ns0:f>
        <ns0:v/>
      </ns0:c>
      <ns0:c r="CB414" s="94" t="n"/>
      <ns0:c r="CC414" s="74" t="inlineStr">
        <ns0:is>
          <ns0:t>P/E: loss-making at IPO, use P/S; greenshoe: outcome published; expiry date not in the notice; range low: maximum offer price only, no floor published; market cap: prospectus 'market capitalisation' line is the listing-rule threshold, not the issuer's figure; rejected; cornerstone list: no cornerstone tranche</ns0:t>
        </ns0:is>
      </ns0:c>
    </ns0:row>
    <ns0:row r="415" ht="22" customHeight="1">
      <ns0:c r="A415" s="73" t="inlineStr">
        <ns0:is>
          <ns0:t>6600</ns0:t>
        </ns0:is>
      </ns0:c>
      <ns0:c r="B415" s="74" t="inlineStr">
        <ns0:is>
          <ns0:t>ONEROBOTICS</ns0:t>
        </ns0:is>
      </ns0:c>
      <ns0:c r="C415" s="74" t="inlineStr">
        <ns0:is>
          <ns0:t>臥安機器人</ns0:t>
        </ns0:is>
      </ns0:c>
      <ns0:c r="D415" s="74" t="inlineStr">
        <ns0:is>
          <ns0:t>Technology</ns0:t>
        </ns0:is>
      </ns0:c>
      <ns0:c r="E415" s="74" t="inlineStr">
        <ns0:is>
          <ns0:t>Robotics &amp; autonomous driving</ns0:t>
        </ns0:is>
      </ns0:c>
      <ns0:c r="F415" s="74" t="inlineStr">
        <ns0:is>
          <ns0:t>Consumer Electronics</ns0:t>
        </ns0:is>
      </ns0:c>
      <ns0:c r="G415" s="74" t="inlineStr">
        <ns0:is>
          <ns0:t>Standard</ns0:t>
        </ns0:is>
      </ns0:c>
      <ns0:c r="H415" s="75" t="n">
        <ns0:v>46021</ns0:v>
      </ns0:c>
      <ns0:c r="I415" s="76" t="n">
        <ns0:v>1640.01</ns0:v>
      </ns0:c>
      <ns0:c r="J415" s="74" t="inlineStr">
        <ns0:is>
          <ns0:t>gross (stated)</ns0:t>
        </ns0:is>
      </ns0:c>
      <ns0:c r="K415" s="77" t="n">
        <ns0:v>63</ns0:v>
      </ns0:c>
      <ns0:c r="L415" s="77" t="n">
        <ns0:v>81</ns0:v>
      </ns0:c>
      <ns0:c r="M415" s="77" t="n">
        <ns0:v>73.8</ns0:v>
      </ns0:c>
      <ns0:c r="N415" s="74" t="inlineStr">
        <ns0:is>
          <ns0:t>N</ns0:t>
        </ns0:is>
      </ns0:c>
      <ns0:c r="O415" s="78" t="n">
        <ns0:v>91.09999999999999</ns0:v>
      </ns0:c>
      <ns0:c r="P415" s="78" t="n">
        <ns0:v>60</ns0:v>
      </ns0:c>
      <ns0:c r="Q415" s="79" t="n">
        <ns0:v>16400</ns0:v>
      </ns0:c>
      <ns0:c r="R415" s="74" t="inlineStr">
        <ns0:is>
          <ns0:t>derived:price x shares upon listing</ns0:t>
        </ns0:is>
      </ns0:c>
      <ns0:c r="S415" s="80" t="n">
        <ns0:v>254.5</ns0:v>
      </ns0:c>
      <ns0:c r="T415" s="81" t="n">
        <ns0:v>8.9</ns0:v>
      </ns0:c>
      <ns0:c r="U415" s="82" t="n">
        <ns0:v>42.68</ns0:v>
      </ns0:c>
      <ns0:c r="V415" s="83" t="n">
        <ns0:v>80</ns0:v>
      </ns0:c>
      <ns0:c r="W415" s="78" t="n">
        <ns0:v>10</ns0:v>
      </ns0:c>
      <ns0:c r="X415" s="74" t="inlineStr">
        <ns0:is>
          <ns0:t>NA</ns0:t>
        </ns0:is>
      </ns0:c>
      <ns0:c r="Y415" s="79" t="n">
        <ns0:v>940.05</ns0:v>
      </ns0:c>
      <ns0:c r="Z415" s="79" t="n">
        <ns0:v>12737822</ns0:v>
      </ns0:c>
      <ns0:c r="AA415" s="78" t="n">
        <ns0:v>5.73</ns0:v>
      </ns0:c>
      <ns0:c r="AB415" s="74" t="inlineStr">
        <ns0:is>
          <ns0:t>HACF, L.P; Cithara Global Multi-Strategy SPC — Bosideng Industry Investment Fund SP; Infini Global Master Fund; China Orient Enhanced Income Fund; China Orient Multi-Strategy Master Fund; Wind Sabre Fund SPC; Yield Royal Investment Holding (Singapore) PTE. LTD; Sage Partners Master Fund; Sage Sunshine 1 Limited</ns0:t>
        </ns0:is>
      </ns0:c>
      <ns0:c r="AC415" s="74" t="inlineStr">
        <ns0:is>
          <ns0:t>hacf;cithara;infini;orient;wind;yield;sage</ns0:t>
        </ns0:is>
      </ns0:c>
      <ns0:c r="AD415" s="78" t="n">
        <ns0:v>15</ns0:v>
      </ns0:c>
      <ns0:c r="AE415" s="74" t="inlineStr">
        <ns0:is>
          <ns0:t>partial</ns0:t>
        </ns0:is>
      </ns0:c>
      <ns0:c r="AF415" s="85" t="n"/>
      <ns0:c r="AG415" s="85" t="n"/>
      <ns0:c r="AH415" s="85" t="n"/>
      <ns0:c r="AI415" s="86" t="n">
        <ns0:v>-8.67</ns0:v>
      </ns0:c>
      <ns0:c r="AJ415" s="87" t="n">
        <ns0:v>0.07000000000000001</ns0:v>
      </ns0:c>
      <ns0:c r="AK415" s="87" t="n">
        <ns0:v>1.68</ns0:v>
      </ns0:c>
      <ns0:c r="AL415" s="87" t="n">
        <ns0:v>0</ns0:v>
      </ns0:c>
      <ns0:c r="AM415" s="87" t="n">
        <ns0:v>0.07000000000000001</ns0:v>
      </ns0:c>
      <ns0:c r="AN415" s="89" t="n">
        <ns0:v>2.13</ns0:v>
      </ns0:c>
      <ns0:c r="AO415" s="78" t="n">
        <ns0:v>1.63</ns0:v>
      </ns0:c>
      <ns0:c r="AP415" s="87" t="n">
        <ns0:v>40.24</ns0:v>
      </ns0:c>
      <ns0:c r="AQ415" s="87" t="n">
        <ns0:v>129.27</ns0:v>
      </ns0:c>
      <ns0:c r="AR415" s="87" t="n">
        <ns0:v>33.4</ns0:v>
      </ns0:c>
      <ns0:c r="AS415" s="87" t="n">
        <ns0:v>40.14</ns0:v>
      </ns0:c>
      <ns0:c r="AT415" s="87" t="n">
        <ns0:v>129.11</ns0:v>
      </ns0:c>
      <ns0:c r="AU415" s="87" t="n">
        <ns0:v>33.31</ns0:v>
      </ns0:c>
      <ns0:c r="AV415" s="87" t="n">
        <ns0:v>35.49</ns0:v>
      </ns0:c>
      <ns0:c r="AW415" s="87" t="n">
        <ns0:v>122.94</ns0:v>
      </ns0:c>
      <ns0:c r="AX415" s="87" t="n">
        <ns0:v>48.3</ns0:v>
      </ns0:c>
      <ns0:c r="AY415" s="87" t="n">
        <ns0:v>124.53</ns0:v>
      </ns0:c>
      <ns0:c r="AZ415" s="87" t="n">
        <ns0:v>6.33</ns0:v>
      </ns0:c>
      <ns0:c r="BA415" s="87" t="n">
        <ns0:v>4.58</ns0:v>
      </ns0:c>
      <ns0:c r="BB415" s="74" t="inlineStr">
        <ns0:is>
          <ns0:t>HSTECH (Hang Seng TECH ETF)</ns0:t>
        </ns0:is>
      </ns0:c>
      <ns0:c r="BC415" s="87" t="n">
        <ns0:v>-39.02</ns0:v>
      </ns0:c>
      <ns0:c r="BD415" s="75" t="n">
        <ns0:v>46297</ns0:v>
      </ns0:c>
      <ns0:c r="BE415" s="76" t="n">
        <ns0:v>670.9</ns0:v>
      </ns0:c>
      <ns0:c r="BF415" s="79" t="n">
        <ns0:v>-3.4</ns0:v>
      </ns0:c>
      <ns0:c r="BG415" s="74" t="inlineStr">
        <ns0:is>
          <ns0:t>N</ns0:t>
        </ns0:is>
      </ns0:c>
      <ns0:c r="BH415" s="74" t="inlineStr">
        <ns0:is>
          <ns0:t>n/m</ns0:t>
        </ns0:is>
      </ns0:c>
      <ns0:c r="BI415" s="88" t="n"/>
      <ns0:c r="BJ415" s="88" t="n"/>
      <ns0:c r="BK415" s="89" t="n">
        <ns0:v>24.4</ns0:v>
      </ns0:c>
      <ns0:c r="BL415" s="90">
        <ns0:f>IFERROR(IF('BBG Verify'!S415="","Awaiting Bloomberg",'BBG Verify'!S415),"Awaiting Bloomberg")</ns0:f>
        <ns0:v/>
      </ns0:c>
      <ns0:c r="BM415" s="91" t="inlineStr">
        <ns0:is>
          <ns0:t>N</ns0:t>
        </ns0:is>
      </ns0:c>
      <ns0:c r="BN415" s="92">
        <ns0:f>IFERROR(IF('BBG Verify'!K415="","Awaiting Bloomberg",'BBG Verify'!K415),"Awaiting Bloomberg")</ns0:f>
        <ns0:v/>
      </ns0:c>
      <ns0:c r="BO415" s="74" t="inlineStr">
        <ns0:is>
          <ns0:t>N/A</ns0:t>
        </ns0:is>
      </ns0:c>
      <ns0:c r="BP415" s="74" t="inlineStr">
        <ns0:is>
          <ns0:t>N/A</ns0:t>
        </ns0:is>
      </ns0:c>
      <ns0:c r="BQ415" s="74" t="inlineStr">
        <ns0:is>
          <ns0:t>N/A</ns0:t>
        </ns0:is>
      </ns0:c>
      <ns0:c r="BR415" s="74" t="inlineStr">
        <ns0:is>
          <ns0:t>N/A</ns0:t>
        </ns0:is>
      </ns0:c>
      <ns0:c r="BS415" s="74" t="inlineStr">
        <ns0:is>
          <ns0:t>N/A</ns0:t>
        </ns0:is>
      </ns0:c>
      <ns0:c r="BT415" s="74" t="inlineStr">
        <ns0:is>
          <ns0:t>N/A</ns0:t>
        </ns0:is>
      </ns0:c>
      <ns0:c r="BU415" s="91" t="inlineStr">
        <ns0:is>
          <ns0:t>Guotai Junan Capital Limited; Huatai Financial Holdings (Hong Kong) Limited; Guotai Junan Securities (Hong Kong) Limited</ns0:t>
        </ns0:is>
      </ns0:c>
      <ns0:c r="BV415" s="74" t="inlineStr">
        <ns0:is>
          <ns0:t>Huatai Financial Holdings (Hong Kong) Limited; Guotai Junan Capital Limited</ns0:t>
        </ns0:is>
      </ns0:c>
      <ns0:c r="BW415" s="74" t="inlineStr">
        <ns0:is>
          <ns0:t>Guotai Junan Securities (Hong Kong) Limited; Huatai Financial Holdings (Hong Kong) Limited; Co., Limited; BOCI Asia Limited; Futu Securities International (Hong Kong) Limited</ns0:t>
        </ns0:is>
      </ns0:c>
      <ns0:c r="BX415" s="74" t="inlineStr">
        <ns0:is>
          <ns0:t>BOCI Asia Limited; China Galaxy International Securities (Hong Kong) Company Limited; Futu Securities International (Hong Kong) Limited; Guotai Junan Securities (Hong Kong) Limited; Huatai Financial Holdings (Hong Kong) Limited</ns0:t>
        </ns0:is>
      </ns0:c>
      <ns0:c r="BY415" s="93">
        <ns0:f>HYPERLINK("https://www1.hkexnews.hk/listedco/listconews/sehk/2025/1218/2025121800167.pdf","prospectus")</ns0:f>
        <ns0:v/>
      </ns0:c>
      <ns0:c r="BZ415" s="93">
        <ns0:f>HYPERLINK("https://www1.hkexnews.hk/listedco/listconews/sehk/2025/1229/2025122902399.pdf","allotment")</ns0:f>
        <ns0:v/>
      </ns0:c>
      <ns0:c r="CA415" s="93">
        <ns0:f>HYPERLINK("https://www1.hkexnews.hk/listedco/listconews/sehk/2026/0122/2026012201287.pdf","stabilisation")</ns0:f>
        <ns0:v/>
      </ns0:c>
      <ns0:c r="CB415" s="94" t="n"/>
      <ns0:c r="CC415" s="74" t="inlineStr">
        <ns0:is>
          <ns0:t>P/E: loss-making at IPO, use P/S; greenshoe: outcome published; expiry date not in the notice; market cap: prospectus 'market capitalisation' line is the listing-rule threshold, not the issuer's figure; rejected; stabilising manager: not named in the allotment notice or prospectus glossary</ns0:t>
        </ns0:is>
      </ns0:c>
    </ns0:row>
    <ns0:row r="416" ht="22" customHeight="1">
      <ns0:c r="A416" s="73" t="inlineStr">
        <ns0:is>
          <ns0:t>6082</ns0:t>
        </ns0:is>
      </ns0:c>
      <ns0:c r="B416" s="74" t="inlineStr">
        <ns0:is>
          <ns0:t>BIREN TECH</ns0:t>
        </ns0:is>
      </ns0:c>
      <ns0:c r="C416" s="74" t="inlineStr">
        <ns0:is>
          <ns0:t>壁仞科技</ns0:t>
        </ns0:is>
      </ns0:c>
      <ns0:c r="D416" s="74" t="inlineStr">
        <ns0:is>
          <ns0:t>Technology</ns0:t>
        </ns0:is>
      </ns0:c>
      <ns0:c r="E416" s="74" t="inlineStr">
        <ns0:is>
          <ns0:t>Semiconductors</ns0:t>
        </ns0:is>
      </ns0:c>
      <ns0:c r="F416" s="74" t="inlineStr">
        <ns0:is>
          <ns0:t>Advanced hardware and software</ns0:t>
        </ns0:is>
      </ns0:c>
      <ns0:c r="G416" s="74" t="inlineStr">
        <ns0:is>
          <ns0:t>18C</ns0:t>
        </ns0:is>
      </ns0:c>
      <ns0:c r="H416" s="75" t="n">
        <ns0:v>46024</ns0:v>
      </ns0:c>
      <ns0:c r="I416" s="76" t="n">
        <ns0:v>5583</ns0:v>
      </ns0:c>
      <ns0:c r="J416" s="74" t="inlineStr">
        <ns0:is>
          <ns0:t>gross (stated)</ns0:t>
        </ns0:is>
      </ns0:c>
      <ns0:c r="K416" s="77" t="n">
        <ns0:v>17</ns0:v>
      </ns0:c>
      <ns0:c r="L416" s="77" t="n">
        <ns0:v>19.6</ns0:v>
      </ns0:c>
      <ns0:c r="M416" s="77" t="n">
        <ns0:v>19.6</ns0:v>
      </ns0:c>
      <ns0:c r="N416" s="74" t="inlineStr">
        <ns0:is>
          <ns0:t>Y</ns0:t>
        </ns0:is>
      </ns0:c>
      <ns0:c r="O416" s="78" t="n">
        <ns0:v>100</ns0:v>
      </ns0:c>
      <ns0:c r="P416" s="78" t="n">
        <ns0:v>100</ns0:v>
      </ns0:c>
      <ns0:c r="Q416" s="79" t="n">
        <ns0:v>40103</ns0:v>
      </ns0:c>
      <ns0:c r="R416" s="74" t="inlineStr">
        <ns0:is>
          <ns0:t>prospectus:stated market capitalisation</ns0:t>
        </ns0:is>
      </ns0:c>
      <ns0:c r="S416" s="80" t="n">
        <ns0:v>2347.53</ns0:v>
      </ns0:c>
      <ns0:c r="T416" s="81" t="n">
        <ns0:v>25.95</ns0:v>
      </ns0:c>
      <ns0:c r="U416" s="82" t="n">
        <ns0:v>51.93</ns0:v>
      </ns0:c>
      <ns0:c r="V416" s="83" t="n">
        <ns0:v>359</ns0:v>
      </ns0:c>
      <ns0:c r="W416" s="78" t="n">
        <ns0:v>17.39</ns0:v>
      </ns0:c>
      <ns0:c r="X416" s="74" t="inlineStr">
        <ns0:is>
          <ns0:t>YES</ns0:t>
        </ns0:is>
      </ns0:c>
      <ns0:c r="Y416" s="79" t="n">
        <ns0:v>2683.75</ns0:v>
      </ns0:c>
      <ns0:c r="Z416" s="79" t="n">
        <ns0:v>136925761</ns0:v>
      </ns0:c>
      <ns0:c r="AA416" s="78" t="n">
        <ns0:v>6.69</ns0:v>
      </ns0:c>
      <ns0:c r="AB416" s="74" t="inlineStr">
        <ns0:is>
          <ns0:t>3W Fund Management Limited; Qiming Venture Partners; QM125 Limited; QM120 Limited; Aspex Master Fund; WT Asset Management Limited; Hao Great China Focus Fund; Ping An Life Insurance Company of China, Ltd; Huadeng Technology Peak Fortitude Ventures Ltd; Lion Global Investors Limited; Shanghai Greenwoods and CICC Financial Trading Limited (in connection with Greenwoods OTC Swaps); MY Asian Opportunities Master Fund, L.P; Eastspring Investments (Singapore) Limited; UBS Asset Management (Singapore) Ltd; Taikang Life Insurance Co., Ltd; Aspirational China Growth GP Limited; Charoen Pokphand Robot Limited; Digital China (HK) Limited 有限公司; Jinxiu 608 and GTJA HK (in connection with the GTJA Back-to-back TRS and Zhonghe OTC Swaps); China Southern Asset Management Co., Ltd; Fullgoal Fund Management Co., Ltd; Fullgoal Asset Management (HK) Limited; Yeebo Alpha Limited; Enhanced Investment Products Limited; Tessy Holding Limited; New Opportunities SPC</ns0:t>
        </ns0:is>
      </ns0:c>
      <ns0:c r="AC416" s="74" t="inlineStr">
        <ns0:is>
          <ns0:t>3w;qiming;qm125;qm120;aspex;wt;hao;ping;huadeng;lion;shanghai-greenwoods;my;eastspring;ubs;taikang;aspirational;charoen;digital;jinxiu;southern;fullgoal;yeebo;enhanced;tessy;new-opportunities</ns0:t>
        </ns0:is>
      </ns0:c>
      <ns0:c r="AD416" s="78" t="n">
        <ns0:v>15</ns0:v>
      </ns0:c>
      <ns0:c r="AE416" s="74" t="inlineStr">
        <ns0:is>
          <ns0:t>full</ns0:t>
        </ns0:is>
      </ns0:c>
      <ns0:c r="AF416" s="74" t="inlineStr">
        <ns0:is>
          <ns0:t>2026-01-28</ns0:t>
        </ns0:is>
      </ns0:c>
      <ns0:c r="AG416" s="74" t="inlineStr">
        <ns0:is>
          <ns0:t>China International Capital Corporation Hong Kong Securities Limited</ns0:t>
        </ns0:is>
      </ns0:c>
      <ns0:c r="AH416" s="74" t="inlineStr">
        <ns0:is>
          <ns0:t>China International</ns0:t>
        </ns0:is>
      </ns0:c>
      <ns0:c r="AI416" s="86" t="n">
        <ns0:v>78.98</ns0:v>
      </ns0:c>
      <ns0:c r="AJ416" s="87" t="n">
        <ns0:v>75.81999999999999</ns0:v>
      </ns0:c>
      <ns0:c r="AK416" s="87" t="n">
        <ns0:v>4.08</ns0:v>
      </ns0:c>
      <ns0:c r="AL416" s="87" t="n">
        <ns0:v>82.14</ns0:v>
      </ns0:c>
      <ns0:c r="AM416" s="87" t="n">
        <ns0:v>-3.47</ns0:v>
      </ns0:c>
      <ns0:c r="AN416" s="89" t="n">
        <ns0:v>3.04</ns0:v>
      </ns0:c>
      <ns0:c r="AO416" s="78" t="n">
        <ns0:v>26.27</ns0:v>
      </ns0:c>
      <ns0:c r="AP416" s="87" t="n">
        <ns0:v>73.78</ns0:v>
      </ns0:c>
      <ns0:c r="AQ416" s="87" t="n">
        <ns0:v>67.34999999999999</ns0:v>
      </ns0:c>
      <ns0:c r="AR416" s="87" t="n">
        <ns0:v>75.31</ns0:v>
      </ns0:c>
      <ns0:c r="AS416" s="87" t="n">
        <ns0:v>-1.16</ns0:v>
      </ns0:c>
      <ns0:c r="AT416" s="87" t="n">
        <ns0:v>-4.82</ns0:v>
      </ns0:c>
      <ns0:c r="AU416" s="87" t="n">
        <ns0:v>-0.29</ns0:v>
      </ns0:c>
      <ns0:c r="AV416" s="87" t="n">
        <ns0:v>70.53</ns0:v>
      </ns0:c>
      <ns0:c r="AW416" s="87" t="n">
        <ns0:v>67.16</ns0:v>
      </ns0:c>
      <ns0:c r="AX416" s="87" t="n">
        <ns0:v>87.84999999999999</ns0:v>
      </ns0:c>
      <ns0:c r="AY416" s="87" t="n">
        <ns0:v>-1.08</ns0:v>
      </ns0:c>
      <ns0:c r="AZ416" s="87" t="n">
        <ns0:v>0.19</ns0:v>
      </ns0:c>
      <ns0:c r="BA416" s="87" t="n">
        <ns0:v>-3.74</ns0:v>
      </ns0:c>
      <ns0:c r="BB416" s="74" t="inlineStr">
        <ns0:is>
          <ns0:t>HSTECH (Hang Seng TECH ETF)</ns0:t>
        </ns0:is>
      </ns0:c>
      <ns0:c r="BC416" s="87" t="n">
        <ns0:v>83.16</ns0:v>
      </ns0:c>
      <ns0:c r="BD416" s="75" t="n">
        <ns0:v>46297</ns0:v>
      </ns0:c>
      <ns0:c r="BE416" s="76" t="n">
        <ns0:v>370.5</ns0:v>
      </ns0:c>
      <ns0:c r="BF416" s="79" t="n">
        <ns0:v>-1691.9</ns0:v>
      </ns0:c>
      <ns0:c r="BG416" s="74" t="inlineStr">
        <ns0:is>
          <ns0:t>N</ns0:t>
        </ns0:is>
      </ns0:c>
      <ns0:c r="BH416" s="74" t="inlineStr">
        <ns0:is>
          <ns0:t>n/m</ns0:t>
        </ns0:is>
      </ns0:c>
      <ns0:c r="BI416" s="88" t="n"/>
      <ns0:c r="BJ416" s="88" t="n"/>
      <ns0:c r="BK416" s="89" t="n">
        <ns0:v>108.2</ns0:v>
      </ns0:c>
      <ns0:c r="BL416" s="90">
        <ns0:f>IFERROR(IF('BBG Verify'!S416="","Awaiting Bloomberg",'BBG Verify'!S416),"Awaiting Bloomberg")</ns0:f>
        <ns0:v/>
      </ns0:c>
      <ns0:c r="BM416" s="91" t="inlineStr">
        <ns0:is>
          <ns0:t>N</ns0:t>
        </ns0:is>
      </ns0:c>
      <ns0:c r="BN416" s="92">
        <ns0:f>IFERROR(IF('BBG Verify'!K416="","Awaiting Bloomberg",'BBG Verify'!K416),"Awaiting Bloomberg")</ns0:f>
        <ns0:v/>
      </ns0:c>
      <ns0:c r="BO416" s="74" t="inlineStr">
        <ns0:is>
          <ns0:t>N/A</ns0:t>
        </ns0:is>
      </ns0:c>
      <ns0:c r="BP416" s="74" t="inlineStr">
        <ns0:is>
          <ns0:t>N/A</ns0:t>
        </ns0:is>
      </ns0:c>
      <ns0:c r="BQ416" s="74" t="inlineStr">
        <ns0:is>
          <ns0:t>N/A</ns0:t>
        </ns0:is>
      </ns0:c>
      <ns0:c r="BR416" s="74" t="inlineStr">
        <ns0:is>
          <ns0:t>N/A</ns0:t>
        </ns0:is>
      </ns0:c>
      <ns0:c r="BS416" s="74" t="inlineStr">
        <ns0:is>
          <ns0:t>N/A</ns0:t>
        </ns0:is>
      </ns0:c>
      <ns0:c r="BT416" s="74" t="inlineStr">
        <ns0:is>
          <ns0:t>N/A</ns0:t>
        </ns0:is>
      </ns0:c>
      <ns0:c r="BU416" s="91" t="inlineStr">
        <ns0:is>
          <ns0:t>China International Capital Corporation Hong Kong Securities Limited; Ping An of China Capital (Hong Kong) Company Limited; BOCI Asia Limited; Ping An Securities (Hong Kong) Company Limited</ns0:t>
        </ns0:is>
      </ns0:c>
      <ns0:c r="BV416" s="74" t="inlineStr">
        <ns0:is>
          <ns0:t>China International Capital Corporation Hong Kong Securities Limited; Ping An of China Capital (Hong Kong) Company Limited; BOCI Asia Limited</ns0:t>
        </ns0:is>
      </ns0:c>
      <ns0:c r="BW416" s="74" t="inlineStr">
        <ns0:is>
          <ns0:t>China International Capital Corporation Hong Kong Securities Limited; Ping An Securities (Hong Kong) Company Limited; BOCI Asia Limited; CLSA Limited; Orient Securities (Hong Kong) Limited; Futu Securities International (Hong Kong) Limited; SPDB International Capital Limited</ns0:t>
        </ns0:is>
      </ns0:c>
      <ns0:c r="BX416" s="74" t="inlineStr">
        <ns0:is>
          <ns0:t>BOCI Asia Limited; China International Capital Corporation Hong Kong Securities Limited; CLSA Limited; Futu Securities International (Hong Kong) Limited; Orient Securities (Hong Kong) Limited; Ping An Securities (Hong Kong) Company Limited; SPDB International Capital Limited</ns0:t>
        </ns0:is>
      </ns0:c>
      <ns0:c r="BY416" s="93">
        <ns0:f>HYPERLINK("https://www1.hkexnews.hk/listedco/listconews/sehk/2025/1222/2025122200019.pdf","prospectus")</ns0:f>
        <ns0:v/>
      </ns0:c>
      <ns0:c r="BZ416" s="93">
        <ns0:f>HYPERLINK("https://www1.hkexnews.hk/listedco/listconews/sehk/2025/1231/2025123102783.pdf","allotment")</ns0:f>
        <ns0:v/>
      </ns0:c>
      <ns0:c r="CA416" s="93">
        <ns0:f>HYPERLINK("https://www1.hkexnews.hk/listedco/listconews/sehk/2026/0128/2026012800772.pdf","stabilisation")</ns0:f>
        <ns0:v/>
      </ns0:c>
      <ns0:c r="CB416" s="94" t="n"/>
      <ns0:c r="CC416" s="74" t="inlineStr">
        <ns0:is>
          <ns0:t>P/E: loss-making at IPO, use P/S; A/H: no A-share listing; nearest A proxy Cambricon Technologies (688256.SS)</ns0:t>
        </ns0:is>
      </ns0:c>
    </ns0:row>
    <ns0:row r="417" ht="22" customHeight="1">
      <ns0:c r="A417" s="73" t="inlineStr">
        <ns0:is>
          <ns0:t>2513</ns0:t>
        </ns0:is>
      </ns0:c>
      <ns0:c r="B417" s="74" t="inlineStr">
        <ns0:is>
          <ns0:t>KNOWLEDGE ATLAS</ns0:t>
        </ns0:is>
      </ns0:c>
      <ns0:c r="C417" s="74" t="inlineStr">
        <ns0:is>
          <ns0:t>智譜</ns0:t>
        </ns0:is>
      </ns0:c>
      <ns0:c r="D417" s="74" t="inlineStr">
        <ns0:is>
          <ns0:t>Technology</ns0:t>
        </ns0:is>
      </ns0:c>
      <ns0:c r="E417" s="74" t="inlineStr">
        <ns0:is>
          <ns0:t>Software &amp; AI</ns0:t>
        </ns0:is>
      </ns0:c>
      <ns0:c r="F417" s="74" t="inlineStr">
        <ns0:is>
          <ns0:t>Next-generation information technology</ns0:t>
        </ns0:is>
      </ns0:c>
      <ns0:c r="G417" s="74" t="inlineStr">
        <ns0:is>
          <ns0:t>18C</ns0:t>
        </ns0:is>
      </ns0:c>
      <ns0:c r="H417" s="75" t="n">
        <ns0:v>46030</ns0:v>
      </ns0:c>
      <ns0:c r="I417" s="76" t="n">
        <ns0:v>4348.1</ns0:v>
      </ns0:c>
      <ns0:c r="J417" s="74" t="inlineStr">
        <ns0:is>
          <ns0:t>gross (stated)</ns0:t>
        </ns0:is>
      </ns0:c>
      <ns0:c r="K417" s="95" t="n"/>
      <ns0:c r="L417" s="77" t="n">
        <ns0:v>116.2</ns0:v>
      </ns0:c>
      <ns0:c r="M417" s="77" t="n">
        <ns0:v>116.2</ns0:v>
      </ns0:c>
      <ns0:c r="N417" s="74" t="inlineStr">
        <ns0:is>
          <ns0:t>Y</ns0:t>
        </ns0:is>
      </ns0:c>
      <ns0:c r="O417" s="78" t="n">
        <ns0:v>100</ns0:v>
      </ns0:c>
      <ns0:c r="P417" s="84" t="n"/>
      <ns0:c r="Q417" s="79" t="n">
        <ns0:v>45058</ns0:v>
      </ns0:c>
      <ns0:c r="R417" s="74" t="inlineStr">
        <ns0:is>
          <ns0:t>derived:deal size / offer % of enlarged capital</ns0:t>
        </ns0:is>
      </ns0:c>
      <ns0:c r="S417" s="80" t="n">
        <ns0:v>1159.46</ns0:v>
      </ns0:c>
      <ns0:c r="T417" s="81" t="n">
        <ns0:v>15.28</ns0:v>
      </ns0:c>
      <ns0:c r="U417" s="82" t="n">
        <ns0:v>68.63</ns0:v>
      </ns0:c>
      <ns0:c r="V417" s="83" t="n">
        <ns0:v>221</ns0:v>
      </ns0:c>
      <ns0:c r="W417" s="78" t="n">
        <ns0:v>20</ns0:v>
      </ns0:c>
      <ns0:c r="X417" s="74" t="inlineStr">
        <ns0:is>
          <ns0:t>YES</ns0:t>
        </ns0:is>
      </ns0:c>
      <ns0:c r="Y417" s="79" t="n">
        <ns0:v>1364</ns0:v>
      </ns0:c>
      <ns0:c r="Z417" s="79" t="n">
        <ns0:v>11738497</ns0:v>
      </ns0:c>
      <ns0:c r="AA417" s="78" t="n">
        <ns0:v>3.03</ns0:v>
      </ns0:c>
      <ns0:c r="AB417" s="74" t="inlineStr">
        <ns0:is>
          <ns0:t>JSC International Investment Fund SPC (acting for and on behalf of Qizhi SP); JinYi Capital Multi- Strategy Fund SPC Ltd. (acting for and on behalf of Structured Credit SP Fund); Perseverance Asset Management; Shanghai Gaoyi and CICC Financial Trading Limited (in connection with Gaoyi OTC Swaps); WT Asset Management Limited; Taikang Life; GF Fund; 3W Fund; RIME; Optimas Capital Limited; Luster LightTech International Limited</ns0:t>
        </ns0:is>
      </ns0:c>
      <ns0:c r="AC417" s="74" t="inlineStr">
        <ns0:is>
          <ns0:t>jsc;jinyi;perseverance;shanghai-gaoyi;wt;taikang;gf;3w;rime;optimas;luster</ns0:t>
        </ns0:is>
      </ns0:c>
      <ns0:c r="AD417" s="78" t="n">
        <ns0:v>15</ns0:v>
      </ns0:c>
      <ns0:c r="AE417" s="74" t="inlineStr">
        <ns0:is>
          <ns0:t>full</ns0:t>
        </ns0:is>
      </ns0:c>
      <ns0:c r="AF417" s="74" t="inlineStr">
        <ns0:is>
          <ns0:t>2026-02-04</ns0:t>
        </ns0:is>
      </ns0:c>
      <ns0:c r="AG417" s="74" t="inlineStr">
        <ns0:is>
          <ns0:t>China International Capital Corporation Hong Kong Securities Limited</ns0:t>
        </ns0:is>
      </ns0:c>
      <ns0:c r="AH417" s="74" t="inlineStr">
        <ns0:is>
          <ns0:t>China International</ns0:t>
        </ns0:is>
      </ns0:c>
      <ns0:c r="AI417" s="86" t="n">
        <ns0:v>6.02</ns0:v>
      </ns0:c>
      <ns0:c r="AJ417" s="87" t="n">
        <ns0:v>13.17</ns0:v>
      </ns0:c>
      <ns0:c r="AK417" s="87" t="n">
        <ns0:v>-1.24</ns0:v>
      </ns0:c>
      <ns0:c r="AL417" s="87" t="n">
        <ns0:v>3.27</ns0:v>
      </ns0:c>
      <ns0:c r="AM417" s="87" t="n">
        <ns0:v>9.59</ns0:v>
      </ns0:c>
      <ns0:c r="AN417" s="89" t="n">
        <ns0:v>2.34</ns0:v>
      </ns0:c>
      <ns0:c r="AO417" s="78" t="n">
        <ns0:v>15.75</ns0:v>
      </ns0:c>
      <ns0:c r="AP417" s="87" t="n">
        <ns0:v>107.4</ns0:v>
      </ns0:c>
      <ns0:c r="AQ417" s="87" t="n">
        <ns0:v>74.87</ns0:v>
      </ns0:c>
      <ns0:c r="AR417" s="87" t="n">
        <ns0:v>646.13</ns0:v>
      </ns0:c>
      <ns0:c r="AS417" s="87" t="n">
        <ns0:v>83.26000000000001</ns0:v>
      </ns0:c>
      <ns0:c r="AT417" s="87" t="n">
        <ns0:v>54.52</ns0:v>
      </ns0:c>
      <ns0:c r="AU417" s="87" t="n">
        <ns0:v>559.3</ns0:v>
      </ns0:c>
      <ns0:c r="AV417" s="87" t="n">
        <ns0:v>105.98</ns0:v>
      </ns0:c>
      <ns0:c r="AW417" s="87" t="n">
        <ns0:v>81.89</ns0:v>
      </ns0:c>
      <ns0:c r="AX417" s="87" t="n">
        <ns0:v>660.55</ns0:v>
      </ns0:c>
      <ns0:c r="AY417" s="87" t="n">
        <ns0:v>60.37</ns0:v>
      </ns0:c>
      <ns0:c r="AZ417" s="87" t="n">
        <ns0:v>-7.02</ns0:v>
      </ns0:c>
      <ns0:c r="BA417" s="87" t="n">
        <ns0:v>-5.85</ns0:v>
      </ns0:c>
      <ns0:c r="BB417" s="74" t="inlineStr">
        <ns0:is>
          <ns0:t>HSTECH (Hang Seng TECH ETF)</ns0:t>
        </ns0:is>
      </ns0:c>
      <ns0:c r="BC417" s="87" t="n">
        <ns0:v>439.16</ns0:v>
      </ns0:c>
      <ns0:c r="BD417" s="75" t="n">
        <ns0:v>46297</ns0:v>
      </ns0:c>
      <ns0:c r="BE417" s="76" t="n">
        <ns0:v>343.7</ns0:v>
      </ns0:c>
      <ns0:c r="BF417" s="79" t="n">
        <ns0:v>-2110.3</ns0:v>
      </ns0:c>
      <ns0:c r="BG417" s="74" t="inlineStr">
        <ns0:is>
          <ns0:t>N</ns0:t>
        </ns0:is>
      </ns0:c>
      <ns0:c r="BH417" s="74" t="inlineStr">
        <ns0:is>
          <ns0:t>n/m</ns0:t>
        </ns0:is>
      </ns0:c>
      <ns0:c r="BI417" s="88" t="n"/>
      <ns0:c r="BJ417" s="88" t="n"/>
      <ns0:c r="BK417" s="89" t="n">
        <ns0:v>131.1</ns0:v>
      </ns0:c>
      <ns0:c r="BL417" s="90">
        <ns0:f>IFERROR(IF('BBG Verify'!S417="","Awaiting Bloomberg",'BBG Verify'!S417),"Awaiting Bloomberg")</ns0:f>
        <ns0:v/>
      </ns0:c>
      <ns0:c r="BM417" s="91" t="inlineStr">
        <ns0:is>
          <ns0:t>N</ns0:t>
        </ns0:is>
      </ns0:c>
      <ns0:c r="BN417" s="92">
        <ns0:f>IFERROR(IF('BBG Verify'!K417="","Awaiting Bloomberg",'BBG Verify'!K417),"Awaiting Bloomberg")</ns0:f>
        <ns0:v/>
      </ns0:c>
      <ns0:c r="BO417" s="74" t="inlineStr">
        <ns0:is>
          <ns0:t>N/A</ns0:t>
        </ns0:is>
      </ns0:c>
      <ns0:c r="BP417" s="74" t="inlineStr">
        <ns0:is>
          <ns0:t>N/A</ns0:t>
        </ns0:is>
      </ns0:c>
      <ns0:c r="BQ417" s="74" t="inlineStr">
        <ns0:is>
          <ns0:t>N/A</ns0:t>
        </ns0:is>
      </ns0:c>
      <ns0:c r="BR417" s="74" t="inlineStr">
        <ns0:is>
          <ns0:t>N/A</ns0:t>
        </ns0:is>
      </ns0:c>
      <ns0:c r="BS417" s="74" t="inlineStr">
        <ns0:is>
          <ns0:t>N/A</ns0:t>
        </ns0:is>
      </ns0:c>
      <ns0:c r="BT417" s="74" t="inlineStr">
        <ns0:is>
          <ns0:t>N/A</ns0:t>
        </ns0:is>
      </ns0:c>
      <ns0:c r="BU417" s="91" t="inlineStr">
        <ns0:is>
          <ns0:t>CICC</ns0:t>
        </ns0:is>
      </ns0:c>
      <ns0:c r="BV417" s="74" t="inlineStr">
        <ns0:is>
          <ns0:t>China International Capital Corporation Hong Kong Securities Limited</ns0:t>
        </ns0:is>
      </ns0:c>
      <ns0:c r="BW417" s="74" t="inlineStr">
        <ns0:is>
          <ns0:t>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ns0:t>
        </ns0:is>
      </ns0:c>
      <ns0:c r="BX417" s="74" t="inlineStr">
        <ns0:is>
          <ns0: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ns0:t>
        </ns0:is>
      </ns0:c>
      <ns0:c r="BY417" s="93">
        <ns0:f>HYPERLINK("https://www1.hkexnews.hk/listedco/listconews/sehk/2025/1230/2025123000017.pdf","prospectus")</ns0:f>
        <ns0:v/>
      </ns0:c>
      <ns0:c r="BZ417" s="93">
        <ns0:f>HYPERLINK("https://www1.hkexnews.hk/listedco/listconews/sehk/2026/0107/2026010701798.pdf","allotment")</ns0:f>
        <ns0:v/>
      </ns0:c>
      <ns0:c r="CA417" s="93">
        <ns0:f>HYPERLINK("https://www1.hkexnews.hk/listedco/listconews/sehk/2026/0204/2026020402110.pdf","stabilisation")</ns0:f>
        <ns0:v/>
      </ns0:c>
      <ns0:c r="CB417" s="94" t="n"/>
      <ns0:c r="CC417" s="74" t="inlineStr">
        <ns0:is>
          <ns0:t>P/E: loss-making at IPO, use P/S; range low: maximum offer price only, no floor published</ns0:t>
        </ns0:is>
      </ns0:c>
    </ns0:row>
    <ns0:row r="418" ht="22" customHeight="1">
      <ns0:c r="A418" s="73" t="inlineStr">
        <ns0:is>
          <ns0:t>9903</ns0:t>
        </ns0:is>
      </ns0:c>
      <ns0:c r="B418" s="74" t="inlineStr">
        <ns0:is>
          <ns0:t>ILUVATAR COREX</ns0:t>
        </ns0:is>
      </ns0:c>
      <ns0:c r="C418" s="74" t="inlineStr">
        <ns0:is>
          <ns0:t>天數智芯</ns0:t>
        </ns0:is>
      </ns0:c>
      <ns0:c r="D418" s="74" t="inlineStr">
        <ns0:is>
          <ns0:t>Technology</ns0:t>
        </ns0:is>
      </ns0:c>
      <ns0:c r="E418" s="74" t="inlineStr">
        <ns0:is>
          <ns0:t>Semiconductors</ns0:t>
        </ns0:is>
      </ns0:c>
      <ns0:c r="F418" s="74" t="inlineStr">
        <ns0:is>
          <ns0:t>Semiconductors &amp; Semiconductor Equipment</ns0:t>
        </ns0:is>
      </ns0:c>
      <ns0:c r="G418" s="74" t="inlineStr">
        <ns0:is>
          <ns0:t>Standard</ns0:t>
        </ns0:is>
      </ns0:c>
      <ns0:c r="H418" s="75" t="n">
        <ns0:v>46030</ns0:v>
      </ns0:c>
      <ns0:c r="I418" s="76" t="n">
        <ns0:v>3677.4</ns0:v>
      </ns0:c>
      <ns0:c r="J418" s="74" t="inlineStr">
        <ns0:is>
          <ns0:t>gross (stated)</ns0:t>
        </ns0:is>
      </ns0:c>
      <ns0:c r="K418" s="95" t="n"/>
      <ns0:c r="L418" s="77" t="n">
        <ns0:v>144.6</ns0:v>
      </ns0:c>
      <ns0:c r="M418" s="77" t="n">
        <ns0:v>144.6</ns0:v>
      </ns0:c>
      <ns0:c r="N418" s="74" t="inlineStr">
        <ns0:is>
          <ns0:t>Y</ns0:t>
        </ns0:is>
      </ns0:c>
      <ns0:c r="O418" s="78" t="n">
        <ns0:v>100</ns0:v>
      </ns0:c>
      <ns0:c r="P418" s="84" t="n"/>
      <ns0:c r="Q418" s="79" t="n">
        <ns0:v>36774.3</ns0:v>
      </ns0:c>
      <ns0:c r="R418" s="74" t="inlineStr">
        <ns0:is>
          <ns0:t>derived:price x shares upon listing</ns0:t>
        </ns0:is>
      </ns0:c>
      <ns0:c r="S418" s="80" t="n">
        <ns0:v>414.24</ns0:v>
      </ns0:c>
      <ns0:c r="T418" s="81" t="n">
        <ns0:v>10.68</ns0:v>
      </ns0:c>
      <ns0:c r="U418" s="82" t="n">
        <ns0:v>43.02</ns0:v>
      </ns0:c>
      <ns0:c r="V418" s="83" t="n">
        <ns0:v>121</ns0:v>
      </ns0:c>
      <ns0:c r="W418" s="84" t="n"/>
      <ns0:c r="X418" s="74" t="inlineStr">
        <ns0:is>
          <ns0:t>NA</ns0:t>
        </ns0:is>
      </ns0:c>
      <ns0:c r="Y418" s="79" t="n">
        <ns0:v>2095.38</ns0:v>
      </ns0:c>
      <ns0:c r="Z418" s="79" t="n">
        <ns0:v>14491040</ns0:v>
      </ns0:c>
      <ns0:c r="AA418" s="78" t="n">
        <ns0:v>5.7</ns0:v>
      </ns0:c>
      <ns0:c r="AB418" s="74" t="inlineStr">
        <ns0:is>
          <ns0:t>ZTE (H.K.) LIMITED; XN Mountain International Limited; Wind Sabre Fund SPC acting on behalf and for the account of Wind Sabre Opportunities Fund SP; UBS Asset Management (Singapore) Ltd; Teamsun Technology (HK) Limited; Qin Wan Investment Limited; OCM Limited; Ocean Fine Industrial Limited; Huatai Capital Investment Limited (in connection with OTC swaps for Jiujiu Hengxin (Xiamen) Private Fund Management Co., Ltd.); Fourth Paradigm International Limited; Engine International Technology Co., Limited; Duckling Fund, L.P; DeepRoot Alpha Ltd; China Universal Asset Management (Hong Kong) Company Limited; China Orient International Asset Management Limited — China Orient Enhanced Income Fund; China Orient International Asset Management Limited — China Orient Multi-Strategy Master Fund; China Asset Management (Hong Kong) Limited; CFIG Holdings Limited; Alphahill Capital Limited</ns0:t>
        </ns0:is>
      </ns0:c>
      <ns0:c r="AC418" s="74" t="inlineStr">
        <ns0:is>
          <ns0:t>zte;xn;wind;ubs;teamsun;qin-wan;ocm;ocean;huatai;fourth;engine;duckling;deeproot;universal;orient;china-asset;cfig;alphahill</ns0:t>
        </ns0:is>
      </ns0:c>
      <ns0:c r="AD418" s="84" t="n"/>
      <ns0:c r="AE418" s="85" t="n"/>
      <ns0:c r="AF418" s="85" t="n"/>
      <ns0:c r="AG418" s="85" t="n"/>
      <ns0:c r="AH418" s="85" t="n"/>
      <ns0:c r="AI418" s="86" t="n">
        <ns0:v>36.93</ns0:v>
      </ns0:c>
      <ns0:c r="AJ418" s="87" t="n">
        <ns0:v>8.44</ns0:v>
      </ns0:c>
      <ns0:c r="AK418" s="87" t="n">
        <ns0:v>-1.24</ns0:v>
      </ns0:c>
      <ns0:c r="AL418" s="87" t="n">
        <ns0:v>31.54</ns0:v>
      </ns0:c>
      <ns0:c r="AM418" s="87" t="n">
        <ns0:v>-17.56</ns0:v>
      </ns0:c>
      <ns0:c r="AN418" s="88" t="n"/>
      <ns0:c r="AO418" s="78" t="n">
        <ns0:v>22.66</ns0:v>
      </ns0:c>
      <ns0:c r="AP418" s="87" t="n">
        <ns0:v>21.72</ns0:v>
      </ns0:c>
      <ns0:c r="AQ418" s="87" t="n">
        <ns0:v>14.25</ns0:v>
      </ns0:c>
      <ns0:c r="AR418" s="87" t="n">
        <ns0:v>156.57</ns0:v>
      </ns0:c>
      <ns0:c r="AS418" s="87" t="n">
        <ns0:v>12.25</ns0:v>
      </ns0:c>
      <ns0:c r="AT418" s="87" t="n">
        <ns0:v>5.36</ns0:v>
      </ns0:c>
      <ns0:c r="AU418" s="87" t="n">
        <ns0:v>136.6</ns0:v>
      </ns0:c>
      <ns0:c r="AV418" s="87" t="n">
        <ns0:v>20.3</ns0:v>
      </ns0:c>
      <ns0:c r="AW418" s="87" t="n">
        <ns0:v>21.27</ns0:v>
      </ns0:c>
      <ns0:c r="AX418" s="87" t="n">
        <ns0:v>170.99</ns0:v>
      </ns0:c>
      <ns0:c r="AY418" s="87" t="n">
        <ns0:v>11.21</ns0:v>
      </ns0:c>
      <ns0:c r="AZ418" s="87" t="n">
        <ns0:v>-7.02</ns0:v>
      </ns0:c>
      <ns0:c r="BA418" s="87" t="n">
        <ns0:v>-5.85</ns0:v>
      </ns0:c>
      <ns0:c r="BB418" s="74" t="inlineStr">
        <ns0:is>
          <ns0:t>HSTECH (Hang Seng TECH ETF)</ns0:t>
        </ns0:is>
      </ns0:c>
      <ns0:c r="BC418" s="87" t="n">
        <ns0:v>105.39</ns0:v>
      </ns0:c>
      <ns0:c r="BD418" s="75" t="n">
        <ns0:v>46297</ns0:v>
      </ns0:c>
      <ns0:c r="BE418" s="76" t="n">
        <ns0:v>593.5</ns0:v>
      </ns0:c>
      <ns0:c r="BF418" s="79" t="n">
        <ns0:v>-1104</ns0:v>
      </ns0:c>
      <ns0:c r="BG418" s="74" t="inlineStr">
        <ns0:is>
          <ns0:t>N</ns0:t>
        </ns0:is>
      </ns0:c>
      <ns0:c r="BH418" s="74" t="inlineStr">
        <ns0:is>
          <ns0:t>n/m</ns0:t>
        </ns0:is>
      </ns0:c>
      <ns0:c r="BI418" s="88" t="n"/>
      <ns0:c r="BJ418" s="88" t="n"/>
      <ns0:c r="BK418" s="89" t="n">
        <ns0:v>62</ns0:v>
      </ns0:c>
      <ns0:c r="BL418" s="90">
        <ns0:f>IFERROR(IF('BBG Verify'!S418="","Awaiting Bloomberg",'BBG Verify'!S418),"Awaiting Bloomberg")</ns0:f>
        <ns0:v/>
      </ns0:c>
      <ns0:c r="BM418" s="91" t="inlineStr">
        <ns0:is>
          <ns0:t>N</ns0:t>
        </ns0:is>
      </ns0:c>
      <ns0:c r="BN418" s="92">
        <ns0:f>IFERROR(IF('BBG Verify'!K418="","Awaiting Bloomberg",'BBG Verify'!K418),"Awaiting Bloomberg")</ns0:f>
        <ns0:v/>
      </ns0:c>
      <ns0:c r="BO418" s="74" t="inlineStr">
        <ns0:is>
          <ns0:t>N/A</ns0:t>
        </ns0:is>
      </ns0:c>
      <ns0:c r="BP418" s="74" t="inlineStr">
        <ns0:is>
          <ns0:t>N/A</ns0:t>
        </ns0:is>
      </ns0:c>
      <ns0:c r="BQ418" s="74" t="inlineStr">
        <ns0:is>
          <ns0:t>N/A</ns0:t>
        </ns0:is>
      </ns0:c>
      <ns0:c r="BR418" s="74" t="inlineStr">
        <ns0:is>
          <ns0:t>N/A</ns0:t>
        </ns0:is>
      </ns0:c>
      <ns0:c r="BS418" s="74" t="inlineStr">
        <ns0:is>
          <ns0:t>N/A</ns0:t>
        </ns0:is>
      </ns0:c>
      <ns0:c r="BT418" s="74" t="inlineStr">
        <ns0:is>
          <ns0:t>N/A</ns0:t>
        </ns0:is>
      </ns0:c>
      <ns0:c r="BU418" s="91" t="inlineStr">
        <ns0:is>
          <ns0:t>Huatai Financial Holdings (Hong Kong) Limited</ns0:t>
        </ns0:is>
      </ns0:c>
      <ns0:c r="BV418" s="74" t="inlineStr">
        <ns0:is>
          <ns0:t>Huatai Financial Holdings (Hong Kong) Limited</ns0:t>
        </ns0:is>
      </ns0:c>
      <ns0:c r="BW418" s="74" t="inlineStr">
        <ns0:is>
          <ns0:t>Huatai Financial Holdings (Hong Kong) Limited; CMB International Capital Limited; Zhongtai International Securities Limited; Guosen Securities (HK) Brokerage Company, Limited; Bowlea Securities Limited; Carnegie Hill Capital Partners Limited; Star River Securities Limited</ns0:t>
        </ns0:is>
      </ns0:c>
      <ns0:c r="BX418" s="74" t="inlineStr">
        <ns0:is>
          <ns0:t>Bowlea Securities Limited; Carnegie Hill Capital Partners Limited; CMB International Capital Limited; Guosen Securities (HK) Brokerage Company, Limited; Huatai Financial Holdings (Hong Kong) Limited; Star River Securities Limited; Zhongtai International Securities Limited</ns0:t>
        </ns0:is>
      </ns0:c>
      <ns0:c r="BY418" s="93">
        <ns0:f>HYPERLINK("https://www1.hkexnews.hk/listedco/listconews/sehk/2025/1230/2025123000019.pdf","prospectus")</ns0:f>
        <ns0:v/>
      </ns0:c>
      <ns0:c r="BZ418" s="93">
        <ns0:f>HYPERLINK("https://www1.hkexnews.hk/listedco/listconews/sehk/2026/0107/2026010701802.pdf","allotment")</ns0:f>
        <ns0:v/>
      </ns0:c>
      <ns0:c r="CA418" s="85" t="n"/>
      <ns0:c r="CB418" s="94" t="n"/>
      <ns0:c r="CC418" s="74" t="inlineStr">
        <ns0:is>
          <ns0:t>P/E: loss-making at IPO, use P/S; greenshoe: no over-allotment option; range low: maximum offer price only, no floor published; A/H: no A-share listing; nearest A proxy Cambricon Technologies (688256.SS); greenshoe size: no over-allotment option; stabilising manager: no over-allotment option, so none appointed; allocation: allocation table not in this notice's format (older prose announcement); day-1 tape: volume on file; the retail multiple needs the final public split, which this notice does not state</ns0:t>
        </ns0:is>
      </ns0:c>
    </ns0:row>
    <ns0:row r="419" ht="22" customHeight="1">
      <ns0:c r="A419" s="73" t="inlineStr">
        <ns0:is>
          <ns0:t>2675</ns0:t>
        </ns0:is>
      </ns0:c>
      <ns0:c r="B419" s="74" t="inlineStr">
        <ns0:is>
          <ns0:t>EDGE MEDICAL-B</ns0:t>
        </ns0:is>
      </ns0:c>
      <ns0:c r="C419" s="74" t="inlineStr">
        <ns0:is>
          <ns0:t>精鋒醫療－Ｂ</ns0:t>
        </ns0:is>
      </ns0:c>
      <ns0:c r="D419" s="74" t="inlineStr">
        <ns0:is>
          <ns0:t>Healthcare</ns0:t>
        </ns0:is>
      </ns0:c>
      <ns0:c r="E419" s="74" t="inlineStr">
        <ns0:is>
          <ns0:t>Medical devices</ns0:t>
        </ns0:is>
      </ns0:c>
      <ns0:c r="F419" s="74" t="inlineStr">
        <ns0:is>
          <ns0:t>Biotechnology - Medical Devices</ns0:t>
        </ns0:is>
      </ns0:c>
      <ns0:c r="G419" s="74" t="inlineStr">
        <ns0:is>
          <ns0:t>18A</ns0:t>
        </ns0:is>
      </ns0:c>
      <ns0:c r="H419" s="75" t="n">
        <ns0:v>46030</ns0:v>
      </ns0:c>
      <ns0:c r="I419" s="76" t="n">
        <ns0:v>1198.7</ns0:v>
      </ns0:c>
      <ns0:c r="J419" s="74" t="inlineStr">
        <ns0:is>
          <ns0:t>gross (stated)</ns0:t>
        </ns0:is>
      </ns0:c>
      <ns0:c r="K419" s="95" t="n"/>
      <ns0:c r="L419" s="77" t="n">
        <ns0:v>43.24</ns0:v>
      </ns0:c>
      <ns0:c r="M419" s="77" t="n">
        <ns0:v>43.24</ns0:v>
      </ns0:c>
      <ns0:c r="N419" s="74" t="inlineStr">
        <ns0:is>
          <ns0:t>Y</ns0:t>
        </ns0:is>
      </ns0:c>
      <ns0:c r="O419" s="78" t="n">
        <ns0:v>100</ns0:v>
      </ns0:c>
      <ns0:c r="P419" s="84" t="n"/>
      <ns0:c r="Q419" s="79" t="n">
        <ns0:v>16765.1</ns0:v>
      </ns0:c>
      <ns0:c r="R419" s="74" t="inlineStr">
        <ns0:is>
          <ns0:t>derived:price x shares upon listing</ns0:t>
        </ns0:is>
      </ns0:c>
      <ns0:c r="S419" s="80" t="n">
        <ns0:v>1091.94</ns0:v>
      </ns0:c>
      <ns0:c r="T419" s="81" t="n">
        <ns0:v>25.18</ns0:v>
      </ns0:c>
      <ns0:c r="U419" s="82" t="n">
        <ns0:v>48.68</ns0:v>
      </ns0:c>
      <ns0:c r="V419" s="83" t="n">
        <ns0:v>175</ns0:v>
      </ns0:c>
      <ns0:c r="W419" s="78" t="n">
        <ns0:v>10</ns0:v>
      </ns0:c>
      <ns0:c r="X419" s="74" t="inlineStr">
        <ns0:is>
          <ns0:t>NO</ns0:t>
        </ns0:is>
      </ns0:c>
      <ns0:c r="Y419" s="79" t="n">
        <ns0:v>615.17</ns0:v>
      </ns0:c>
      <ns0:c r="Z419" s="79" t="n">
        <ns0:v>14227033</ns0:v>
      </ns0:c>
      <ns0:c r="AA419" s="78" t="n">
        <ns0:v>3.67</ns0:v>
      </ns0:c>
      <ns0:c r="AB419" s="74" t="inlineStr">
        <ns0:is>
          <ns0:t>Abu Dhabi Investment Authority; UBS Asset Management (Singapore) Ltd; OrbiMed Genesis Master Fund, L.P; Huang River Investment Limited; LYFE Capital Fund IV (Dragon), L.P; Poly Platinum Enterprises Limited; Close associate of an existing shareholder Mega Prime Development Limited; Close associate of an existing shareholder China Asset Management (Hong Kong) Limited; China Alpha Fund Management (HK) Limited; Tekful Limited; Integrated Core Strategies (Asia) Pte. Ltd; Sage Partners Master Fund; Close associate of an existing shareholder Panjing Harbourview Investment Fund; Infini Global Master Fund</ns0:t>
        </ns0:is>
      </ns0:c>
      <ns0:c r="AC419" s="74" t="inlineStr">
        <ns0:is>
          <ns0:t>abu;ubs;orbimed;huang-river;lyfe;poly;close;alpha;tekful;integrated;sage;infini</ns0:t>
        </ns0:is>
      </ns0:c>
      <ns0:c r="AD419" s="78" t="n">
        <ns0:v>15</ns0:v>
      </ns0:c>
      <ns0:c r="AE419" s="74" t="inlineStr">
        <ns0:is>
          <ns0:t>full</ns0:t>
        </ns0:is>
      </ns0:c>
      <ns0:c r="AF419" s="85" t="n"/>
      <ns0:c r="AG419" s="74" t="inlineStr">
        <ns0:is>
          <ns0:t>Morgan Stanley Asia Limited</ns0:t>
        </ns0:is>
      </ns0:c>
      <ns0:c r="AH419" s="74" t="inlineStr">
        <ns0:is>
          <ns0:t>Morgan Stanley</ns0:t>
        </ns0:is>
      </ns0:c>
      <ns0:c r="AI419" s="86" t="n">
        <ns0:v>39.11</ns0:v>
      </ns0:c>
      <ns0:c r="AJ419" s="87" t="n">
        <ns0:v>30.9</ns0:v>
      </ns0:c>
      <ns0:c r="AK419" s="87" t="n">
        <ns0:v>-0.73</ns0:v>
      </ns0:c>
      <ns0:c r="AL419" s="87" t="n">
        <ns0:v>36.45</ns0:v>
      </ns0:c>
      <ns0:c r="AM419" s="87" t="n">
        <ns0:v>-4.07</ns0:v>
      </ns0:c>
      <ns0:c r="AN419" s="89" t="n">
        <ns0:v>4.57</ns0:v>
      </ns0:c>
      <ns0:c r="AO419" s="78" t="n">
        <ns0:v>20.34</ns0:v>
      </ns0:c>
      <ns0:c r="AP419" s="87" t="n">
        <ns0:v>55.53</ns0:v>
      </ns0:c>
      <ns0:c r="AQ419" s="87" t="n">
        <ns0:v>37.72</ns0:v>
      </ns0:c>
      <ns0:c r="AR419" s="87" t="n">
        <ns0:v>24.88</ns0:v>
      </ns0:c>
      <ns0:c r="AS419" s="87" t="n">
        <ns0:v>18.82</ns0:v>
      </ns0:c>
      <ns0:c r="AT419" s="87" t="n">
        <ns0:v>5.21</ns0:v>
      </ns0:c>
      <ns0:c r="AU419" s="87" t="n">
        <ns0:v>-4.6</ns0:v>
      </ns0:c>
      <ns0:c r="AV419" s="87" t="n">
        <ns0:v>54.65</ns0:v>
      </ns0:c>
      <ns0:c r="AW419" s="87" t="n">
        <ns0:v>44.87</ns0:v>
      </ns0:c>
      <ns0:c r="AX419" s="87" t="n">
        <ns0:v>14.69</ns0:v>
      </ns0:c>
      <ns0:c r="AY419" s="87" t="n">
        <ns0:v>11.68</ns0:v>
      </ns0:c>
      <ns0:c r="AZ419" s="87" t="n">
        <ns0:v>-7.15</ns0:v>
      </ns0:c>
      <ns0:c r="BA419" s="87" t="n">
        <ns0:v>-6.47</ns0:v>
      </ns0:c>
      <ns0:c r="BB419" s="74" t="inlineStr">
        <ns0:is>
          <ns0:t>China Biotech ETF (HS biotech proxy)</ns0:t>
        </ns0:is>
      </ns0:c>
      <ns0:c r="BC419" s="87" t="n">
        <ns0:v>-20.31</ns0:v>
      </ns0:c>
      <ns0:c r="BD419" s="75" t="n">
        <ns0:v>46297</ns0:v>
      </ns0:c>
      <ns0:c r="BE419" s="76" t="n">
        <ns0:v>33.3</ns0:v>
      </ns0:c>
      <ns0:c r="BF419" s="79" t="n">
        <ns0:v>-145.8</ns0:v>
      </ns0:c>
      <ns0:c r="BG419" s="74" t="inlineStr">
        <ns0:is>
          <ns0:t>N</ns0:t>
        </ns0:is>
      </ns0:c>
      <ns0:c r="BH419" s="74" t="inlineStr">
        <ns0:is>
          <ns0:t>n/m</ns0:t>
        </ns0:is>
      </ns0:c>
      <ns0:c r="BI419" s="88" t="n"/>
      <ns0:c r="BJ419" s="88" t="n"/>
      <ns0:c r="BK419" s="89" t="n">
        <ns0:v>503.5</ns0:v>
      </ns0:c>
      <ns0:c r="BL419" s="90">
        <ns0:f>IFERROR(IF('BBG Verify'!S419="","Awaiting Bloomberg",'BBG Verify'!S419),"Awaiting Bloomberg")</ns0:f>
        <ns0:v/>
      </ns0:c>
      <ns0:c r="BM419" s="91" t="inlineStr">
        <ns0:is>
          <ns0:t>N</ns0:t>
        </ns0:is>
      </ns0:c>
      <ns0:c r="BN419" s="92">
        <ns0:f>IFERROR(IF('BBG Verify'!K419="","Awaiting Bloomberg",'BBG Verify'!K419),"Awaiting Bloomberg")</ns0:f>
        <ns0:v/>
      </ns0:c>
      <ns0:c r="BO419" s="74" t="inlineStr">
        <ns0:is>
          <ns0:t>N/A</ns0:t>
        </ns0:is>
      </ns0:c>
      <ns0:c r="BP419" s="74" t="inlineStr">
        <ns0:is>
          <ns0:t>N/A</ns0:t>
        </ns0:is>
      </ns0:c>
      <ns0:c r="BQ419" s="74" t="inlineStr">
        <ns0:is>
          <ns0:t>N/A</ns0:t>
        </ns0:is>
      </ns0:c>
      <ns0:c r="BR419" s="74" t="inlineStr">
        <ns0:is>
          <ns0:t>N/A</ns0:t>
        </ns0:is>
      </ns0:c>
      <ns0:c r="BS419" s="74" t="inlineStr">
        <ns0:is>
          <ns0:t>N/A</ns0:t>
        </ns0:is>
      </ns0:c>
      <ns0:c r="BT419" s="74" t="inlineStr">
        <ns0:is>
          <ns0:t>N/A</ns0:t>
        </ns0:is>
      </ns0:c>
      <ns0:c r="BU419" s="91" t="inlineStr">
        <ns0:is>
          <ns0:t>Morgan Stanley Asia Limited; GF Capital (Hong Kong) Limited</ns0:t>
        </ns0:is>
      </ns0:c>
      <ns0:c r="BV419" s="74" t="inlineStr">
        <ns0:is>
          <ns0:t>Morgan Stanley Asia Limited; GF Capital (Hong Kong) Limited</ns0:t>
        </ns0:is>
      </ns0:c>
      <ns0:c r="BW419" s="74" t="inlineStr">
        <ns0:is>
          <ns0:t>Morgan Stanley Asia Limited; GF Securities (Hong Kong) Brokerage Limited; CLSA Limited</ns0:t>
        </ns0:is>
      </ns0:c>
      <ns0:c r="BX419" s="74" t="inlineStr">
        <ns0:is>
          <ns0:t>China International Capital Corporation Hong Kong Securities Limited; CLSA Limited; CMBC Securities Company Limited; GF Securities (Hong Kong) Brokerage Limited; Morgan Stanley Asia Limited</ns0:t>
        </ns0:is>
      </ns0:c>
      <ns0:c r="BY419" s="93">
        <ns0:f>HYPERLINK("https://www1.hkexnews.hk/listedco/listconews/sehk/2025/1230/2025123000029.pdf","prospectus")</ns0:f>
        <ns0:v/>
      </ns0:c>
      <ns0:c r="BZ419" s="93">
        <ns0:f>HYPERLINK("https://www1.hkexnews.hk/listedco/listconews/sehk/2026/0107/2026010701900.pdf","allotment")</ns0:f>
        <ns0:v/>
      </ns0:c>
      <ns0:c r="CA419" s="93">
        <ns0:f>HYPERLINK("https://www1.hkexnews.hk/listedco/listconews/sehk/2026/0204/2026020402144.pdf","stabilisation")</ns0:f>
        <ns0:v/>
      </ns0:c>
      <ns0:c r="CB419" s="94" t="n"/>
      <ns0:c r="CC419" s="74" t="inlineStr">
        <ns0:is>
          <ns0:t>P/E: loss-making at IPO, use P/S; greenshoe: outcome published; expiry date not in the notice; range low: maximum offer price only, no floor published; P/S: 504x on HK$33.3m revenue, effectively pre-revenue; not comparable</ns0:t>
        </ns0:is>
      </ns0:c>
    </ns0:row>
    <ns0:row r="420" ht="22" customHeight="1">
      <ns0:c r="A420" s="73" t="inlineStr">
        <ns0:is>
          <ns0:t>0100</ns0:t>
        </ns0:is>
      </ns0:c>
      <ns0:c r="B420" s="74" t="inlineStr">
        <ns0:is>
          <ns0:t>MINIMAX-WP</ns0:t>
        </ns0:is>
      </ns0:c>
      <ns0:c r="C420" s="74" t="inlineStr">
        <ns0:is>
          <ns0:t>MINIMAX-W</ns0:t>
        </ns0:is>
      </ns0:c>
      <ns0:c r="D420" s="74" t="inlineStr">
        <ns0:is>
          <ns0:t>Technology</ns0:t>
        </ns0:is>
      </ns0:c>
      <ns0:c r="E420" s="74" t="inlineStr">
        <ns0:is>
          <ns0:t>Software &amp; AI</ns0:t>
        </ns0:is>
      </ns0:c>
      <ns0:c r="F420" s="74" t="inlineStr">
        <ns0:is>
          <ns0:t>Next-generation information technology</ns0:t>
        </ns0:is>
      </ns0:c>
      <ns0:c r="G420" s="74" t="inlineStr">
        <ns0:is>
          <ns0:t>WVR + 18C</ns0:t>
        </ns0:is>
      </ns0:c>
      <ns0:c r="H420" s="75" t="n">
        <ns0:v>46031</ns0:v>
      </ns0:c>
      <ns0:c r="I420" s="76" t="n">
        <ns0:v>4817.6</ns0:v>
      </ns0:c>
      <ns0:c r="J420" s="74" t="inlineStr">
        <ns0:is>
          <ns0:t>gross (stated)</ns0:t>
        </ns0:is>
      </ns0:c>
      <ns0:c r="K420" s="77" t="n">
        <ns0:v>151</ns0:v>
      </ns0:c>
      <ns0:c r="L420" s="77" t="n">
        <ns0:v>165</ns0:v>
      </ns0:c>
      <ns0:c r="M420" s="77" t="n">
        <ns0:v>165</ns0:v>
      </ns0:c>
      <ns0:c r="N420" s="74" t="inlineStr">
        <ns0:is>
          <ns0:t>Y</ns0:t>
        </ns0:is>
      </ns0:c>
      <ns0:c r="O420" s="78" t="n">
        <ns0:v>100</ns0:v>
      </ns0:c>
      <ns0:c r="P420" s="78" t="n">
        <ns0:v>100</ns0:v>
      </ns0:c>
      <ns0:c r="Q420" s="79" t="n">
        <ns0:v>51251.1</ns0:v>
      </ns0:c>
      <ns0:c r="R420" s="74" t="inlineStr">
        <ns0:is>
          <ns0:t>derived:deal size / offer % of enlarged capital</ns0:t>
        </ns0:is>
      </ns0:c>
      <ns0:c r="S420" s="80" t="n">
        <ns0:v>1837.17</ns0:v>
      </ns0:c>
      <ns0:c r="T420" s="81" t="n">
        <ns0:v>36.76</ns0:v>
      </ns0:c>
      <ns0:c r="U420" s="82" t="n">
        <ns0:v>56.53</ns0:v>
      </ns0:c>
      <ns0:c r="V420" s="83" t="n">
        <ns0:v>376</ns0:v>
      </ns0:c>
      <ns0:c r="W420" s="78" t="n">
        <ns0:v>17.39</ns0:v>
      </ns0:c>
      <ns0:c r="X420" s="74" t="inlineStr">
        <ns0:is>
          <ns0:t>YES</ns0:t>
        </ns0:is>
      </ns0:c>
      <ns0:c r="Y420" s="79" t="n">
        <ns0:v>2094.21</ns0:v>
      </ns0:c>
      <ns0:c r="Z420" s="79" t="n">
        <ns0:v>12692197</ns0:v>
      </ns0:c>
      <ns0:c r="AA420" s="78" t="n">
        <ns0:v>4.09</ns0:v>
      </ns0:c>
      <ns0:c r="AB420" s="74" t="inlineStr">
        <ns0:is>
          <ns0:t>Abu Dhabi Investment Authority; Alisoft China Holding Limited; Aspex Master Fund; Abstract Enigma Limited; China Universal Asset Management (Hong Kong) Company Limited; Eastspring Investments (Singapore) Limited; E Fund Management Co., Ltd; IDG Breyer Capital Fund L.P; Janchor Partners Pan-Asian Master Fund and Janchor Partners Opportunities Master Fund III; Martis Fund, L.P; Mirae Asset Securities Co., Ltd; MPC VII Pte. Ltd; Perseverance Asset Management International (Singapore) Pte. Ltd. (Perseverance; Taikang Life Insurance Co., Ltd</ns0:t>
        </ns0:is>
      </ns0:c>
      <ns0:c r="AC420" s="74" t="inlineStr">
        <ns0:is>
          <ns0:t>abu;alisoft;aspex;abstract;universal;eastspring;fund-management;idg;janchor;martis;mirae;mpc;perseverance;taikang</ns0:t>
        </ns0:is>
      </ns0:c>
      <ns0:c r="AD420" s="78" t="n">
        <ns0:v>15</ns0:v>
      </ns0:c>
      <ns0:c r="AE420" s="74" t="inlineStr">
        <ns0:is>
          <ns0:t>full</ns0:t>
        </ns0:is>
      </ns0:c>
      <ns0:c r="AF420" s="74" t="inlineStr">
        <ns0:is>
          <ns0:t>2026-02-05</ns0:t>
        </ns0:is>
      </ns0:c>
      <ns0:c r="AG420" s="74" t="inlineStr">
        <ns0:is>
          <ns0:t>China International Capital Corporation Hong Kong Securities Limited</ns0:t>
        </ns0:is>
      </ns0:c>
      <ns0:c r="AH420" s="74" t="inlineStr">
        <ns0:is>
          <ns0:t>China International</ns0:t>
        </ns0:is>
      </ns0:c>
      <ns0:c r="AI420" s="86" t="n">
        <ns0:v>24.61</ns0:v>
      </ns0:c>
      <ns0:c r="AJ420" s="87" t="n">
        <ns0:v>109.09</ns0:v>
      </ns0:c>
      <ns0:c r="AK420" s="87" t="n">
        <ns0:v>0.18</ns0:v>
      </ns0:c>
      <ns0:c r="AL420" s="87" t="n">
        <ns0:v>42.67</ns0:v>
      </ns0:c>
      <ns0:c r="AM420" s="87" t="n">
        <ns0:v>46.55</ns0:v>
      </ns0:c>
      <ns0:c r="AN420" s="89" t="n">
        <ns0:v>3.14</ns0:v>
      </ns0:c>
      <ns0:c r="AO420" s="78" t="n">
        <ns0:v>55.99</ns0:v>
      </ns0:c>
      <ns0:c r="AP420" s="87" t="n">
        <ns0:v>165.45</ns0:v>
      </ns0:c>
      <ns0:c r="AQ420" s="87" t="n">
        <ns0:v>212.12</ns0:v>
      </ns0:c>
      <ns0:c r="AR420" s="87" t="n">
        <ns0:v>445.76</ns0:v>
      </ns0:c>
      <ns0:c r="AS420" s="87" t="n">
        <ns0:v>26.95</ns0:v>
      </ns0:c>
      <ns0:c r="AT420" s="87" t="n">
        <ns0:v>49.28</ns0:v>
      </ns0:c>
      <ns0:c r="AU420" s="87" t="n">
        <ns0:v>161.02</ns0:v>
      </ns0:c>
      <ns0:c r="AV420" s="87" t="n">
        <ns0:v>162.84</ns0:v>
      </ns0:c>
      <ns0:c r="AW420" s="87" t="n">
        <ns0:v>216.71</ns0:v>
      </ns0:c>
      <ns0:c r="AX420" s="87" t="n">
        <ns0:v>455.86</ns0:v>
      </ns0:c>
      <ns0:c r="AY420" s="87" t="n">
        <ns0:v>54.04</ns0:v>
      </ns0:c>
      <ns0:c r="AZ420" s="87" t="n">
        <ns0:v>-4.59</ns0:v>
      </ns0:c>
      <ns0:c r="BA420" s="87" t="n">
        <ns0:v>-4.76</ns0:v>
      </ns0:c>
      <ns0:c r="BB420" s="74" t="inlineStr">
        <ns0:is>
          <ns0:t>HSTECH (Hang Seng TECH ETF)</ns0:t>
        </ns0:is>
      </ns0:c>
      <ns0:c r="BC420" s="87" t="n">
        <ns0:v>47.15</ns0:v>
      </ns0:c>
      <ns0:c r="BD420" s="75" t="n">
        <ns0:v>46297</ns0:v>
      </ns0:c>
      <ns0:c r="BE420" s="76" t="n">
        <ns0:v>616.2</ns0:v>
      </ns0:c>
      <ns0:c r="BF420" s="79" t="n">
        <ns0:v>-14598.6</ns0:v>
      </ns0:c>
      <ns0:c r="BG420" s="74" t="inlineStr">
        <ns0:is>
          <ns0:t>N</ns0:t>
        </ns0:is>
      </ns0:c>
      <ns0:c r="BH420" s="74" t="inlineStr">
        <ns0:is>
          <ns0:t>n/m</ns0:t>
        </ns0:is>
      </ns0:c>
      <ns0:c r="BI420" s="88" t="n"/>
      <ns0:c r="BJ420" s="88" t="n"/>
      <ns0:c r="BK420" s="89" t="n">
        <ns0:v>83.2</ns0:v>
      </ns0:c>
      <ns0:c r="BL420" s="90">
        <ns0:f>IFERROR(IF('BBG Verify'!S420="","Awaiting Bloomberg",'BBG Verify'!S420),"Awaiting Bloomberg")</ns0:f>
        <ns0:v/>
      </ns0:c>
      <ns0:c r="BM420" s="91" t="inlineStr">
        <ns0:is>
          <ns0:t>N</ns0:t>
        </ns0:is>
      </ns0:c>
      <ns0:c r="BN420" s="92">
        <ns0:f>IFERROR(IF('BBG Verify'!K420="","Awaiting Bloomberg",'BBG Verify'!K420),"Awaiting Bloomberg")</ns0:f>
        <ns0:v/>
      </ns0:c>
      <ns0:c r="BO420" s="74" t="inlineStr">
        <ns0:is>
          <ns0:t>N/A</ns0:t>
        </ns0:is>
      </ns0:c>
      <ns0:c r="BP420" s="74" t="inlineStr">
        <ns0:is>
          <ns0:t>N/A</ns0:t>
        </ns0:is>
      </ns0:c>
      <ns0:c r="BQ420" s="74" t="inlineStr">
        <ns0:is>
          <ns0:t>N/A</ns0:t>
        </ns0:is>
      </ns0:c>
      <ns0:c r="BR420" s="74" t="inlineStr">
        <ns0:is>
          <ns0:t>N/A</ns0:t>
        </ns0:is>
      </ns0:c>
      <ns0:c r="BS420" s="74" t="inlineStr">
        <ns0:is>
          <ns0:t>N/A</ns0:t>
        </ns0:is>
      </ns0:c>
      <ns0:c r="BT420" s="74" t="inlineStr">
        <ns0:is>
          <ns0:t>N/A</ns0:t>
        </ns0:is>
      </ns0:c>
      <ns0:c r="BU420" s="91" t="inlineStr">
        <ns0:is>
          <ns0:t>China International Capital Corporation Hong Kong Securities Limited; UBS Securities Hong Kong Limited</ns0:t>
        </ns0:is>
      </ns0:c>
      <ns0:c r="BV420" s="74" t="inlineStr">
        <ns0:is>
          <ns0:t>China International Capital Corporation Hong Kong Securities Limited; UBS Securities Hong Kong Limited</ns0:t>
        </ns0:is>
      </ns0:c>
      <ns0:c r="BW420" s="74" t="inlineStr">
        <ns0:is>
          <ns0:t>China International Capital Corporation Hong Kong Securities Limited; UBS AG Hong Kong Branch; Goldman Sachs (Asia) L.L.C; Morgan Stanley Asia Limited; Futu Securities International (Hong Kong) Limited; Tiger Brokers (HK) Global Limited</ns0:t>
        </ns0:is>
      </ns0:c>
      <ns0:c r="BX420" s="74" t="inlineStr">
        <ns0:is>
          <ns0:t>China International Capital Corporation Hong Kong Securities Limited; Futu Securities International (Hong Kong) Limited; Goldman Sachs (Asia) L.L.C.; Morgan Stanley Asia Limited; Tiger Brokers (HK) Global Limited; UBS AG Hong Kong Branch</ns0:t>
        </ns0:is>
      </ns0:c>
      <ns0:c r="BY420" s="93">
        <ns0:f>HYPERLINK("https://www1.hkexnews.hk/listedco/listconews/sehk/2025/1231/2025123100025.pdf","prospectus")</ns0:f>
        <ns0:v/>
      </ns0:c>
      <ns0:c r="BZ420" s="93">
        <ns0:f>HYPERLINK("https://www1.hkexnews.hk/listedco/listconews/sehk/2026/0108/2026010801342.pdf","allotment")</ns0:f>
        <ns0:v/>
      </ns0:c>
      <ns0:c r="CA420" s="93">
        <ns0:f>HYPERLINK("https://www1.hkexnews.hk/listedco/listconews/sehk/2026/0205/2026020502043.pdf","stabilisation")</ns0:f>
        <ns0:v/>
      </ns0:c>
      <ns0:c r="CB420" s="94" t="n"/>
      <ns0:c r="CC420" s="74" t="inlineStr">
        <ns0:is>
          <ns0:t>P/E: loss-making at IPO, use P/S; A/H: no A-share listing; nearest A proxy Kunlun Tech (300418.SZ)</ns0:t>
        </ns0:is>
      </ns0:c>
    </ns0:row>
    <ns0:row r="421" ht="22" customHeight="1">
      <ns0:c r="A421" s="73" t="inlineStr">
        <ns0:is>
          <ns0:t>6938</ns0:t>
        </ns0:is>
      </ns0:c>
      <ns0:c r="B421" s="74" t="inlineStr">
        <ns0:is>
          <ns0:t>RIBOLIFE-B</ns0:t>
        </ns0:is>
      </ns0:c>
      <ns0:c r="C421" s="74" t="inlineStr">
        <ns0:is>
          <ns0:t>瑞博生物－Ｂ</ns0:t>
        </ns0:is>
      </ns0:c>
      <ns0:c r="D421" s="74" t="inlineStr">
        <ns0:is>
          <ns0:t>Healthcare</ns0:t>
        </ns0:is>
      </ns0:c>
      <ns0:c r="E421" s="74" t="inlineStr">
        <ns0:is>
          <ns0:t>Biotech pre-revenue (18A)</ns0:t>
        </ns0:is>
      </ns0:c>
      <ns0:c r="F421" s="74" t="inlineStr">
        <ns0:is>
          <ns0:t>Biotechnology - Pharmaceuticals</ns0:t>
        </ns0:is>
      </ns0:c>
      <ns0:c r="G421" s="74" t="inlineStr">
        <ns0:is>
          <ns0:t>18A</ns0:t>
        </ns0:is>
      </ns0:c>
      <ns0:c r="H421" s="75" t="n">
        <ns0:v>46031</ns0:v>
      </ns0:c>
      <ns0:c r="I421" s="76" t="n">
        <ns0:v>1832.45</ns0:v>
      </ns0:c>
      <ns0:c r="J421" s="74" t="inlineStr">
        <ns0:is>
          <ns0:t>gross (stated)</ns0:t>
        </ns0:is>
      </ns0:c>
      <ns0:c r="K421" s="95" t="n"/>
      <ns0:c r="L421" s="77" t="n">
        <ns0:v>57.97</ns0:v>
      </ns0:c>
      <ns0:c r="M421" s="77" t="n">
        <ns0:v>57.97</ns0:v>
      </ns0:c>
      <ns0:c r="N421" s="74" t="inlineStr">
        <ns0:is>
          <ns0:t>Y</ns0:t>
        </ns0:is>
      </ns0:c>
      <ns0:c r="O421" s="78" t="n">
        <ns0:v>100</ns0:v>
      </ns0:c>
      <ns0:c r="P421" s="84" t="n"/>
      <ns0:c r="Q421" s="79" t="n">
        <ns0:v>9373.200000000001</ns0:v>
      </ns0:c>
      <ns0:c r="R421" s="74" t="inlineStr">
        <ns0:is>
          <ns0:t>prospectus:stated market capitalisation</ns0:t>
        </ns0:is>
      </ns0:c>
      <ns0:c r="S421" s="80" t="n">
        <ns0:v>101.06</ns0:v>
      </ns0:c>
      <ns0:c r="T421" s="81" t="n">
        <ns0:v>16.7</ns0:v>
      </ns0:c>
      <ns0:c r="U421" s="82" t="n">
        <ns0:v>42.5</ns0:v>
      </ns0:c>
      <ns0:c r="V421" s="83" t="n">
        <ns0:v>177</ns0:v>
      </ns0:c>
      <ns0:c r="W421" s="78" t="n">
        <ns0:v>8.699999999999999</ns0:v>
      </ns0:c>
      <ns0:c r="X421" s="74" t="inlineStr">
        <ns0:is>
          <ns0:t>NA</ns0:t>
        </ns0:is>
      </ns0:c>
      <ns0:c r="Y421" s="79" t="n">
        <ns0:v>1053.66</ns0:v>
      </ns0:c>
      <ns0:c r="Z421" s="79" t="n">
        <ns0:v>18175980</ns0:v>
      </ns0:c>
      <ns0:c r="AA421" s="78" t="n">
        <ns0:v>11.24</ns0:v>
      </ns0:c>
      <ns0:c r="AB421" s="74" t="inlineStr">
        <ns0:is>
          <ns0:t>Arc Avenue Asset Management Pte. Ltd; Bright Stone Holdings Limited; China Asset Management Co., Ltd; Da Cheng International Asset Management Company Limited; Dacheng Fund Management Company Limited; Erik Selin Fastigheter Aktiebolag; Himension Fund; IvyRock Asset Management (HK) Limited; Mingxin Growth Ventures LS2 Limited; Springs Capital (Hong Kong) Limited; Taikang Life Insurance Co., Ltd; LP. ), Tenbagger Capital (Shanghai, Ziran), LP. ) and Huatai Capital Investment Limited</ns0:t>
        </ns0:is>
      </ns0:c>
      <ns0:c r="AC421" s="74" t="inlineStr">
        <ns0:is>
          <ns0:t>arc;bright;china-asset;da;dacheng;erik;himension;ivyrock;mingxin;springs;taikang;tenbagger</ns0:t>
        </ns0:is>
      </ns0:c>
      <ns0:c r="AD421" s="78" t="n">
        <ns0:v>15</ns0:v>
      </ns0:c>
      <ns0:c r="AE421" s="74" t="inlineStr">
        <ns0:is>
          <ns0:t>full</ns0:t>
        </ns0:is>
      </ns0:c>
      <ns0:c r="AF421" s="74" t="inlineStr">
        <ns0:is>
          <ns0:t>2026-02-05</ns0:t>
        </ns0:is>
      </ns0:c>
      <ns0:c r="AG421" s="74" t="inlineStr">
        <ns0:is>
          <ns0:t>China International Capital Corporation Hong Kong Securities Limited</ns0:t>
        </ns0:is>
      </ns0:c>
      <ns0:c r="AH421" s="74" t="inlineStr">
        <ns0:is>
          <ns0:t>China International</ns0:t>
        </ns0:is>
      </ns0:c>
      <ns0:c r="AI421" s="86" t="n">
        <ns0:v>29.03</ns0:v>
      </ns0:c>
      <ns0:c r="AJ421" s="87" t="n">
        <ns0:v>41.62</ns0:v>
      </ns0:c>
      <ns0:c r="AK421" s="87" t="n">
        <ns0:v>1.39</ns0:v>
      </ns0:c>
      <ns0:c r="AL421" s="87" t="n">
        <ns0:v>29.38</ns0:v>
      </ns0:c>
      <ns0:c r="AM421" s="87" t="n">
        <ns0:v>9.460000000000001</ns0:v>
      </ns0:c>
      <ns0:c r="AN421" s="89" t="n">
        <ns0:v>5.15</ns0:v>
      </ns0:c>
      <ns0:c r="AO421" s="78" t="n">
        <ns0:v>28.13</ns0:v>
      </ns0:c>
      <ns0:c r="AP421" s="87" t="n">
        <ns0:v>30.76</ns0:v>
      </ns0:c>
      <ns0:c r="AQ421" s="87" t="n">
        <ns0:v>18.25</ns0:v>
      </ns0:c>
      <ns0:c r="AR421" s="87" t="n">
        <ns0:v>14.63</ns0:v>
      </ns0:c>
      <ns0:c r="AS421" s="87" t="n">
        <ns0:v>-7.67</ns0:v>
      </ns0:c>
      <ns0:c r="AT421" s="87" t="n">
        <ns0:v>-16.5</ns0:v>
      </ns0:c>
      <ns0:c r="AU421" s="87" t="n">
        <ns0:v>-19.06</ns0:v>
      </ns0:c>
      <ns0:c r="AV421" s="87" t="n">
        <ns0:v>29.59</ns0:v>
      </ns0:c>
      <ns0:c r="AW421" s="87" t="n">
        <ns0:v>23.78</ns0:v>
      </ns0:c>
      <ns0:c r="AX421" s="87" t="n">
        <ns0:v>2.94</ns0:v>
      </ns0:c>
      <ns0:c r="AY421" s="87" t="n">
        <ns0:v>-9.68</ns0:v>
      </ns0:c>
      <ns0:c r="AZ421" s="87" t="n">
        <ns0:v>-5.53</ns0:v>
      </ns0:c>
      <ns0:c r="BA421" s="87" t="n">
        <ns0:v>-6.82</ns0:v>
      </ns0:c>
      <ns0:c r="BB421" s="74" t="inlineStr">
        <ns0:is>
          <ns0:t>China Biotech ETF (HS biotech proxy)</ns0:t>
        </ns0:is>
      </ns0:c>
      <ns0:c r="BC421" s="87" t="n">
        <ns0:v>-6.33</ns0:v>
      </ns0:c>
      <ns0:c r="BD421" s="75" t="n">
        <ns0:v>46297</ns0:v>
      </ns0:c>
      <ns0:c r="BE421" s="76" t="n">
        <ns0:v>72.90000000000001</ns0:v>
      </ns0:c>
      <ns0:c r="BF421" s="79" t="n">
        <ns0:v>-155.7</ns0:v>
      </ns0:c>
      <ns0:c r="BG421" s="74" t="inlineStr">
        <ns0:is>
          <ns0:t>N</ns0:t>
        </ns0:is>
      </ns0:c>
      <ns0:c r="BH421" s="74" t="inlineStr">
        <ns0:is>
          <ns0:t>n/m</ns0:t>
        </ns0:is>
      </ns0:c>
      <ns0:c r="BI421" s="88" t="n"/>
      <ns0:c r="BJ421" s="88" t="n"/>
      <ns0:c r="BK421" s="89" t="n">
        <ns0:v>128.6</ns0:v>
      </ns0:c>
      <ns0:c r="BL421" s="90">
        <ns0:f>IFERROR(IF('BBG Verify'!S421="","Awaiting Bloomberg",'BBG Verify'!S421),"Awaiting Bloomberg")</ns0:f>
        <ns0:v/>
      </ns0:c>
      <ns0:c r="BM421" s="91" t="inlineStr">
        <ns0:is>
          <ns0:t>N</ns0:t>
        </ns0:is>
      </ns0:c>
      <ns0:c r="BN421" s="92">
        <ns0:f>IFERROR(IF('BBG Verify'!K421="","Awaiting Bloomberg",'BBG Verify'!K421),"Awaiting Bloomberg")</ns0:f>
        <ns0:v/>
      </ns0:c>
      <ns0:c r="BO421" s="74" t="inlineStr">
        <ns0:is>
          <ns0:t>N/A</ns0:t>
        </ns0:is>
      </ns0:c>
      <ns0:c r="BP421" s="74" t="inlineStr">
        <ns0:is>
          <ns0:t>N/A</ns0:t>
        </ns0:is>
      </ns0:c>
      <ns0:c r="BQ421" s="74" t="inlineStr">
        <ns0:is>
          <ns0:t>N/A</ns0:t>
        </ns0:is>
      </ns0:c>
      <ns0:c r="BR421" s="74" t="inlineStr">
        <ns0:is>
          <ns0:t>N/A</ns0:t>
        </ns0:is>
      </ns0:c>
      <ns0:c r="BS421" s="74" t="inlineStr">
        <ns0:is>
          <ns0:t>N/A</ns0:t>
        </ns0:is>
      </ns0:c>
      <ns0:c r="BT421" s="74" t="inlineStr">
        <ns0:is>
          <ns0:t>N/A</ns0:t>
        </ns0:is>
      </ns0:c>
      <ns0:c r="BU421" s="91" t="inlineStr">
        <ns0:is>
          <ns0:t>Citigroup Global Markets Asia Limited</ns0:t>
        </ns0:is>
      </ns0:c>
      <ns0:c r="BV421" s="74" t="inlineStr">
        <ns0:is>
          <ns0:t>China International Capital Corporation Hong Kong Securities Limited; Citigroup Global Markets Asia Limited</ns0:t>
        </ns0:is>
      </ns0:c>
      <ns0:c r="BW421" s="74" t="inlineStr">
        <ns0:is>
          <ns0: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ns0:t>
        </ns0:is>
      </ns0:c>
      <ns0:c r="BX421" s="74" t="inlineStr">
        <ns0:is>
          <ns0: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ns0:t>
        </ns0:is>
      </ns0:c>
      <ns0:c r="BY421" s="93">
        <ns0:f>HYPERLINK("https://www1.hkexnews.hk/listedco/listconews/sehk/2025/1231/2025123100037.pdf","prospectus")</ns0:f>
        <ns0:v/>
      </ns0:c>
      <ns0:c r="BZ421" s="93">
        <ns0:f>HYPERLINK("https://www1.hkexnews.hk/listedco/listconews/sehk/2026/0108/2026010801352.pdf","allotment")</ns0:f>
        <ns0:v/>
      </ns0:c>
      <ns0:c r="CA421" s="93">
        <ns0:f>HYPERLINK("https://www1.hkexnews.hk/listedco/listconews/sehk/2026/0205/2026020502414.pdf","stabilisation")</ns0:f>
        <ns0:v/>
      </ns0:c>
      <ns0:c r="CB421" s="94" t="n"/>
      <ns0:c r="CC421" s="74" t="inlineStr">
        <ns0:is>
          <ns0:t>P/E: loss-making at IPO, use P/S; range low: maximum offer price only, no floor published</ns0:t>
        </ns0:is>
      </ns0:c>
    </ns0:row>
    <ns0:row r="422" ht="22" customHeight="1">
      <ns0:c r="A422" s="73" t="inlineStr">
        <ns0:is>
          <ns0:t>3636</ns0:t>
        </ns0:is>
      </ns0:c>
      <ns0:c r="B422" s="74" t="inlineStr">
        <ns0:is>
          <ns0:t>JINXUN RESOURCE</ns0:t>
        </ns0:is>
      </ns0:c>
      <ns0:c r="C422" s="74" t="inlineStr">
        <ns0:is>
          <ns0:t>金潯資源</ns0:t>
        </ns0:is>
      </ns0:c>
      <ns0:c r="D422" s="74" t="inlineStr">
        <ns0:is>
          <ns0:t>Materials/Energy</ns0:t>
        </ns0:is>
      </ns0:c>
      <ns0:c r="E422" s="74" t="inlineStr">
        <ns0:is>
          <ns0:t>Mining / metals</ns0:t>
        </ns0:is>
      </ns0:c>
      <ns0:c r="F422" s="74" t="inlineStr">
        <ns0:is>
          <ns0:t>Diversified Metals &amp; Minerals</ns0:t>
        </ns0:is>
      </ns0:c>
      <ns0:c r="G422" s="74" t="inlineStr">
        <ns0:is>
          <ns0:t>Standard</ns0:t>
        </ns0:is>
      </ns0:c>
      <ns0:c r="H422" s="75" t="n">
        <ns0:v>46031</ns0:v>
      </ns0:c>
      <ns0:c r="I422" s="76" t="n">
        <ns0:v>1102.97</ns0:v>
      </ns0:c>
      <ns0:c r="J422" s="74" t="inlineStr">
        <ns0:is>
          <ns0:t>gross (stated)</ns0:t>
        </ns0:is>
      </ns0:c>
      <ns0:c r="K422" s="95" t="n"/>
      <ns0:c r="L422" s="77" t="n">
        <ns0:v>30</ns0:v>
      </ns0:c>
      <ns0:c r="M422" s="77" t="n">
        <ns0:v>30</ns0:v>
      </ns0:c>
      <ns0:c r="N422" s="74" t="inlineStr">
        <ns0:is>
          <ns0:t>Y</ns0:t>
        </ns0:is>
      </ns0:c>
      <ns0:c r="O422" s="78" t="n">
        <ns0:v>100</ns0:v>
      </ns0:c>
      <ns0:c r="P422" s="84" t="n"/>
      <ns0:c r="Q422" s="79" t="n">
        <ns0:v>3981.8</ns0:v>
      </ns0:c>
      <ns0:c r="R422" s="74" t="inlineStr">
        <ns0:is>
          <ns0:t>derived:deal size / offer % of enlarged capital</ns0:t>
        </ns0:is>
      </ns0:c>
      <ns0:c r="S422" s="80" t="n">
        <ns0:v>143.46</ns0:v>
      </ns0:c>
      <ns0:c r="T422" s="81" t="n">
        <ns0:v>12.78</ns0:v>
      </ns0:c>
      <ns0:c r="U422" s="82" t="n">
        <ns0:v>42.5</ns0:v>
      </ns0:c>
      <ns0:c r="V422" s="83" t="n">
        <ns0:v>96</ns0:v>
      </ns0:c>
      <ns0:c r="W422" s="78" t="n">
        <ns0:v>10</ns0:v>
      </ns0:c>
      <ns0:c r="X422" s="74" t="inlineStr">
        <ns0:is>
          <ns0:t>NO</ns0:t>
        </ns0:is>
      </ns0:c>
      <ns0:c r="Y422" s="79" t="n">
        <ns0:v>634.21</ns0:v>
      </ns0:c>
      <ns0:c r="Z422" s="79" t="n">
        <ns0:v>21140220</ns0:v>
      </ns0:c>
      <ns0:c r="AA422" s="78" t="n">
        <ns0:v>15.93</ns0:v>
      </ns0:c>
      <ns0:c r="AB422" s="74" t="inlineStr">
        <ns0:is>
          <ns0:t>Glencore International AG; Stoneylake Global Alpha Fund; China Asset Management (Hong Kong) Limited; New Asia Ferrell Asset Management Limited; Bridge Zone Group Limited; Zhengxin Group Investment Limited; Sunwoda Treasury (Hong Kong) Limited</ns0:t>
        </ns0:is>
      </ns0:c>
      <ns0:c r="AC422" s="74" t="inlineStr">
        <ns0:is>
          <ns0:t>glencore;stoneylake;china-asset;new-ferrell;bridge;zhengxin;sunwoda</ns0:t>
        </ns0:is>
      </ns0:c>
      <ns0:c r="AD422" s="78" t="n">
        <ns0:v>15</ns0:v>
      </ns0:c>
      <ns0:c r="AE422" s="74" t="inlineStr">
        <ns0:is>
          <ns0:t>full</ns0:t>
        </ns0:is>
      </ns0:c>
      <ns0:c r="AF422" s="74" t="inlineStr">
        <ns0:is>
          <ns0:t>2026-02-05</ns0:t>
        </ns0:is>
      </ns0:c>
      <ns0:c r="AG422" s="74" t="inlineStr">
        <ns0:is>
          <ns0:t>Huatai Financial Holdings</ns0:t>
        </ns0:is>
      </ns0:c>
      <ns0:c r="AH422" s="74" t="inlineStr">
        <ns0:is>
          <ns0:t>Huatai</ns0:t>
        </ns0:is>
      </ns0:c>
      <ns0:c r="AI422" s="86" t="n">
        <ns0:v>29</ns0:v>
      </ns0:c>
      <ns0:c r="AJ422" s="87" t="n">
        <ns0:v>26</ns0:v>
      </ns0:c>
      <ns0:c r="AK422" s="87" t="n">
        <ns0:v>0.39</ns0:v>
      </ns0:c>
      <ns0:c r="AL422" s="87" t="n">
        <ns0:v>26.67</ns0:v>
      </ns0:c>
      <ns0:c r="AM422" s="87" t="n">
        <ns0:v>-0.53</ns0:v>
      </ns0:c>
      <ns0:c r="AN422" s="89" t="n">
        <ns0:v>3.51</ns0:v>
      </ns0:c>
      <ns0:c r="AO422" s="78" t="n">
        <ns0:v>7.95</ns0:v>
      </ns0:c>
      <ns0:c r="AP422" s="87" t="n">
        <ns0:v>31.27</ns0:v>
      </ns0:c>
      <ns0:c r="AQ422" s="87" t="n">
        <ns0:v>25.53</ns0:v>
      </ns0:c>
      <ns0:c r="AR422" s="87" t="n">
        <ns0:v>-12.67</ns0:v>
      </ns0:c>
      <ns0:c r="AS422" s="87" t="n">
        <ns0:v>4.18</ns0:v>
      </ns0:c>
      <ns0:c r="AT422" s="87" t="n">
        <ns0:v>-0.37</ns0:v>
      </ns0:c>
      <ns0:c r="AU422" s="87" t="n">
        <ns0:v>-30.69</ns0:v>
      </ns0:c>
      <ns0:c r="AV422" s="87" t="n">
        <ns0:v>28.08</ns0:v>
      </ns0:c>
      <ns0:c r="AW422" s="87" t="n">
        <ns0:v>24.65</ns0:v>
      </ns0:c>
      <ns0:c r="AX422" s="87" t="n">
        <ns0:v>-9.619999999999999</ns0:v>
      </ns0:c>
      <ns0:c r="AY422" s="87" t="n">
        <ns0:v>-0.86</ns0:v>
      </ns0:c>
      <ns0:c r="AZ422" s="87" t="n">
        <ns0:v>0.88</ns0:v>
      </ns0:c>
      <ns0:c r="BA422" s="87" t="n">
        <ns0:v>0.49</ns0:v>
      </ns0:c>
      <ns0:c r="BB422" s="74" t="inlineStr">
        <ns0:is>
          <ns0:t>Hang Seng Commerce &amp; Industry sub-index</ns0:t>
        </ns0:is>
      </ns0:c>
      <ns0:c r="BC422" s="87" t="n">
        <ns0:v>-48.3</ns0:v>
      </ns0:c>
      <ns0:c r="BD422" s="75" t="n">
        <ns0:v>46297</ns0:v>
      </ns0:c>
      <ns0:c r="BE422" s="76" t="n">
        <ns0:v>1946.8</ns0:v>
      </ns0:c>
      <ns0:c r="BF422" s="79" t="n">
        <ns0:v>222.7</ns0:v>
      </ns0:c>
      <ns0:c r="BG422" s="74" t="inlineStr">
        <ns0:is>
          <ns0:t>Y</ns0:t>
        </ns0:is>
      </ns0:c>
      <ns0:c r="BH422" s="89" t="n">
        <ns0:v>17.9</ns0:v>
      </ns0:c>
      <ns0:c r="BI422" s="89" t="n">
        <ns0:v>11.4</ns0:v>
      </ns0:c>
      <ns0:c r="BJ422" s="89" t="n">
        <ns0:v>5</ns0:v>
      </ns0:c>
      <ns0:c r="BK422" s="89" t="n">
        <ns0:v>2</ns0:v>
      </ns0:c>
      <ns0:c r="BL422" s="90">
        <ns0:f>IFERROR(IF('BBG Verify'!S422="","Awaiting Bloomberg",'BBG Verify'!S422),"Awaiting Bloomberg")</ns0:f>
        <ns0:v/>
      </ns0:c>
      <ns0:c r="BM422" s="91" t="inlineStr">
        <ns0:is>
          <ns0:t>N</ns0:t>
        </ns0:is>
      </ns0:c>
      <ns0:c r="BN422" s="92">
        <ns0:f>IFERROR(IF('BBG Verify'!K422="","Awaiting Bloomberg",'BBG Verify'!K422),"Awaiting Bloomberg")</ns0:f>
        <ns0:v/>
      </ns0:c>
      <ns0:c r="BO422" s="74" t="inlineStr">
        <ns0:is>
          <ns0:t>N/A</ns0:t>
        </ns0:is>
      </ns0:c>
      <ns0:c r="BP422" s="74" t="inlineStr">
        <ns0:is>
          <ns0:t>N/A</ns0:t>
        </ns0:is>
      </ns0:c>
      <ns0:c r="BQ422" s="74" t="inlineStr">
        <ns0:is>
          <ns0:t>N/A</ns0:t>
        </ns0:is>
      </ns0:c>
      <ns0:c r="BR422" s="74" t="inlineStr">
        <ns0:is>
          <ns0:t>N/A</ns0:t>
        </ns0:is>
      </ns0:c>
      <ns0:c r="BS422" s="74" t="inlineStr">
        <ns0:is>
          <ns0:t>N/A</ns0:t>
        </ns0:is>
      </ns0:c>
      <ns0:c r="BT422" s="74" t="inlineStr">
        <ns0:is>
          <ns0:t>N/A</ns0:t>
        </ns0:is>
      </ns0:c>
      <ns0:c r="BU422" s="91" t="inlineStr">
        <ns0:is>
          <ns0:t>Huatai Financial Holdings (Hong Kong) Limited</ns0:t>
        </ns0:is>
      </ns0:c>
      <ns0:c r="BV422" s="74" t="inlineStr">
        <ns0:is>
          <ns0:t>Huatai Financial Holdings (Hong Kong) Limited</ns0:t>
        </ns0:is>
      </ns0:c>
      <ns0:c r="BW422" s="74" t="inlineStr">
        <ns0:is>
          <ns0:t>ABCI Capital Limited; ABCI Securities Company Limited</ns0:t>
        </ns0:is>
      </ns0:c>
      <ns0:c r="BX422" s="74" t="inlineStr">
        <ns0:is>
          <ns0:t>ABCI Securities Company Limited; BOCI Asia Limited; CLSA Limited; Futu Securities International (Hong Kong) Limited; Huatai Financial Holdings (Hong Kong) Limited; Tiger Brokers (HK) Global Limited; TFI Securities and Futures Limited; UOB Kay Hian (Hong Kong) Limited</ns0:t>
        </ns0:is>
      </ns0:c>
      <ns0:c r="BY422" s="93">
        <ns0:f>HYPERLINK("https://www1.hkexnews.hk/listedco/listconews/sehk/2025/1231/2025123100041.pdf","prospectus")</ns0:f>
        <ns0:v/>
      </ns0:c>
      <ns0:c r="BZ422" s="93">
        <ns0:f>HYPERLINK("https://www1.hkexnews.hk/listedco/listconews/sehk/2026/0108/2026010801368.pdf","allotment")</ns0:f>
        <ns0:v/>
      </ns0:c>
      <ns0:c r="CA422" s="93">
        <ns0:f>HYPERLINK("https://www1.hkexnews.hk/listedco/listconews/sehk/2026/0205/2026020501967.pdf","stabilisation")</ns0:f>
        <ns0:v/>
      </ns0:c>
      <ns0:c r="CB422" s="94" t="n"/>
      <ns0:c r="CC422" s="74" t="inlineStr">
        <ns0:is>
          <ns0:t>range low: maximum offer price only, no floor published</ns0:t>
        </ns0:is>
      </ns0:c>
    </ns0:row>
    <ns0:row r="423" ht="22" customHeight="1">
      <ns0:c r="A423" s="73" t="inlineStr">
        <ns0:is>
          <ns0:t>0501</ns0:t>
        </ns0:is>
      </ns0:c>
      <ns0:c r="B423" s="74" t="inlineStr">
        <ns0:is>
          <ns0:t>OMNIVISION</ns0:t>
        </ns0:is>
      </ns0:c>
      <ns0:c r="C423" s="74" t="inlineStr">
        <ns0:is>
          <ns0:t>豪威集團</ns0:t>
        </ns0:is>
      </ns0:c>
      <ns0:c r="D423" s="74" t="inlineStr">
        <ns0:is>
          <ns0:t>Technology</ns0:t>
        </ns0:is>
      </ns0:c>
      <ns0:c r="E423" s="74" t="inlineStr">
        <ns0:is>
          <ns0:t>Semiconductors</ns0:t>
        </ns0:is>
      </ns0:c>
      <ns0:c r="F423" s="74" t="inlineStr">
        <ns0:is>
          <ns0:t>Semiconductors &amp; Semiconductor Equipment</ns0:t>
        </ns0:is>
      </ns0:c>
      <ns0:c r="G423" s="74" t="inlineStr">
        <ns0:is>
          <ns0:t>Standard</ns0:t>
        </ns0:is>
      </ns0:c>
      <ns0:c r="H423" s="75" t="n">
        <ns0:v>46034</ns0:v>
      </ns0:c>
      <ns0:c r="I423" s="76" t="n">
        <ns0:v>4799.8</ns0:v>
      </ns0:c>
      <ns0:c r="J423" s="74" t="inlineStr">
        <ns0:is>
          <ns0:t>gross (stated)</ns0:t>
        </ns0:is>
      </ns0:c>
      <ns0:c r="K423" s="95" t="n"/>
      <ns0:c r="L423" s="77" t="n">
        <ns0:v>104.8</ns0:v>
      </ns0:c>
      <ns0:c r="M423" s="77" t="n">
        <ns0:v>104.8</ns0:v>
      </ns0:c>
      <ns0:c r="N423" s="74" t="inlineStr">
        <ns0:is>
          <ns0:t>Y</ns0:t>
        </ns0:is>
      </ns0:c>
      <ns0:c r="O423" s="78" t="n">
        <ns0:v>100</ns0:v>
      </ns0:c>
      <ns0:c r="P423" s="84" t="n"/>
      <ns0:c r="Q423" s="79" t="n">
        <ns0:v>115103.1</ns0:v>
      </ns0:c>
      <ns0:c r="R423" s="74" t="inlineStr">
        <ns0:is>
          <ns0:t>derived:deal size / offer % of enlarged capital</ns0:t>
        </ns0:is>
      </ns0:c>
      <ns0:c r="S423" s="80" t="n">
        <ns0:v>9.279999999999999</ns0:v>
      </ns0:c>
      <ns0:c r="T423" s="81" t="n">
        <ns0:v>9.73</ns0:v>
      </ns0:c>
      <ns0:c r="U423" s="82" t="n">
        <ns0:v>45.28</ns0:v>
      </ns0:c>
      <ns0:c r="V423" s="83" t="n">
        <ns0:v>127</ns0:v>
      </ns0:c>
      <ns0:c r="W423" s="84" t="n"/>
      <ns0:c r="X423" s="74" t="inlineStr">
        <ns0:is>
          <ns0:t>NA</ns0:t>
        </ns0:is>
      </ns0:c>
      <ns0:c r="Y423" s="79" t="n">
        <ns0:v>2626.45</ns0:v>
      </ns0:c>
      <ns0:c r="Z423" s="79" t="n">
        <ns0:v>25061760</ns0:v>
      </ns0:c>
      <ns0:c r="AA423" s="78" t="n">
        <ns0:v>2.28</ns0:v>
      </ns0:c>
      <ns0:c r="AB423" s="74" t="inlineStr">
        <ns0:is>
          <ns0:t>Wildlife Willow Limited; UBS Asset Management (Singapore) Ltd; Formosa Opportunity Limited; Huaqin Telecom Hong Kong Limited; SKY ROYAL TRADING LIMITED; Pudong Science and Technology (Cayman) Co., Ltd; JSC International Investment Fund SPC (acting for and on behalf of Yongxin I SP); Ghisallo Fund Master Ltd; Dajia Life Insurance Co., Ltd; PSBC Wealth Management Co., Ltd. (through GF Securities Asset Management (Guangdong) Co., Ltd as the qualified domestic institutional investor)</ns0:t>
        </ns0:is>
      </ns0:c>
      <ns0:c r="AC423" s="74" t="inlineStr">
        <ns0:is>
          <ns0:t>wildlife;ubs;formosa;huaqin;sky;pudong;jsc;ghisallo;dajia;psbc</ns0:t>
        </ns0:is>
      </ns0:c>
      <ns0:c r="AD423" s="78" t="n">
        <ns0:v>5.91</ns0:v>
      </ns0:c>
      <ns0:c r="AE423" s="74" t="inlineStr">
        <ns0:is>
          <ns0:t>partial</ns0:t>
        </ns0:is>
      </ns0:c>
      <ns0:c r="AF423" s="74" t="inlineStr">
        <ns0:is>
          <ns0:t>2026-02-06</ns0:t>
        </ns0:is>
      </ns0:c>
      <ns0:c r="AG423" s="74" t="inlineStr">
        <ns0:is>
          <ns0:t>China International Capital Corporation Hong Kong Securities Limited</ns0:t>
        </ns0:is>
      </ns0:c>
      <ns0:c r="AH423" s="74" t="inlineStr">
        <ns0:is>
          <ns0:t>China International</ns0:t>
        </ns0:is>
      </ns0:c>
      <ns0:c r="AI423" s="86" t="n">
        <ns0:v>-0.29</ns0:v>
      </ns0:c>
      <ns0:c r="AJ423" s="87" t="n">
        <ns0:v>16.22</ns0:v>
      </ns0:c>
      <ns0:c r="AK423" s="87" t="n">
        <ns0:v>3.14</ns0:v>
      </ns0:c>
      <ns0:c r="AL423" s="87" t="n">
        <ns0:v>3.05</ns0:v>
      </ns0:c>
      <ns0:c r="AM423" s="87" t="n">
        <ns0:v>12.78</ns0:v>
      </ns0:c>
      <ns0:c r="AN423" s="88" t="n"/>
      <ns0:c r="AO423" s="78" t="n">
        <ns0:v>12.78</ns0:v>
      </ns0:c>
      <ns0:c r="AP423" s="87" t="n">
        <ns0:v>11.16</ns0:v>
      </ns0:c>
      <ns0:c r="AQ423" s="87" t="n">
        <ns0:v>-0.1</ns0:v>
      </ns0:c>
      <ns0:c r="AR423" s="87" t="n">
        <ns0:v>-25.05</ns0:v>
      </ns0:c>
      <ns0:c r="AS423" s="87" t="n">
        <ns0:v>-4.35</ns0:v>
      </ns0:c>
      <ns0:c r="AT423" s="87" t="n">
        <ns0:v>-14.04</ns0:v>
      </ns0:c>
      <ns0:c r="AU423" s="87" t="n">
        <ns0:v>-35.51</ns0:v>
      </ns0:c>
      <ns0:c r="AV423" s="87" t="n">
        <ns0:v>9.99</ns0:v>
      </ns0:c>
      <ns0:c r="AW423" s="87" t="n">
        <ns0:v>4.21</ns0:v>
      </ns0:c>
      <ns0:c r="AX423" s="87" t="n">
        <ns0:v>-13.75</ns0:v>
      </ns0:c>
      <ns0:c r="AY423" s="87" t="n">
        <ns0:v>-6.81</ns0:v>
      </ns0:c>
      <ns0:c r="AZ423" s="87" t="n">
        <ns0:v>-4.31</ns0:v>
      </ns0:c>
      <ns0:c r="BA423" s="87" t="n">
        <ns0:v>-7.23</ns0:v>
      </ns0:c>
      <ns0:c r="BB423" s="74" t="inlineStr">
        <ns0:is>
          <ns0:t>HSTECH (Hang Seng TECH ETF)</ns0:t>
        </ns0:is>
      </ns0:c>
      <ns0:c r="BC423" s="87" t="n">
        <ns0:v>-33.06</ns0:v>
      </ns0:c>
      <ns0:c r="BD423" s="75" t="n">
        <ns0:v>46297</ns0:v>
      </ns0:c>
      <ns0:c r="BE423" s="76" t="n">
        <ns0:v>28277.5</ns0:v>
      </ns0:c>
      <ns0:c r="BF423" s="79" t="n">
        <ns0:v>4450</ns0:v>
      </ns0:c>
      <ns0:c r="BG423" s="74" t="inlineStr">
        <ns0:is>
          <ns0:t>Y</ns0:t>
        </ns0:is>
      </ns0:c>
      <ns0:c r="BH423" s="89" t="n">
        <ns0:v>25.9</ns0:v>
      </ns0:c>
      <ns0:c r="BI423" s="88" t="n"/>
      <ns0:c r="BJ423" s="88" t="n"/>
      <ns0:c r="BK423" s="89" t="n">
        <ns0:v>4.1</ns0:v>
      </ns0:c>
      <ns0:c r="BL423" s="90">
        <ns0:f>IFERROR(IF('BBG Verify'!S423="","Awaiting Bloomberg",'BBG Verify'!S423),"Awaiting Bloomberg")</ns0:f>
        <ns0:v/>
      </ns0:c>
      <ns0:c r="BM423" s="91" t="inlineStr">
        <ns0:is>
          <ns0:t>Y</ns0:t>
        </ns0:is>
      </ns0:c>
      <ns0:c r="BN423" s="74" t="inlineStr">
        <ns0:is>
          <ns0:t>603501.SS</ns0:t>
        </ns0:is>
      </ns0:c>
      <ns0:c r="BO423" s="87" t="n">
        <ns0:v>40</ns0:v>
      </ns0:c>
      <ns0:c r="BP423" s="77" t="n">
        <ns0:v>146.7186</ns0:v>
      </ns0:c>
      <ns0:c r="BQ423" s="101" t="n">
        <ns0:v>0.3714</ns0:v>
      </ns0:c>
      <ns0:c r="BR423" s="79" t="n">
        <ns0:v>121050.4</ns0:v>
      </ns0:c>
      <ns0:c r="BS423" s="90">
        <ns0:f>IFERROR(IF('BBG Verify'!Q423="","Awaiting Bloomberg",'BBG Verify'!Q423),"Awaiting Bloomberg")</ns0:f>
        <ns0:v/>
      </ns0:c>
      <ns0:c r="BT423" s="90">
        <ns0:f>IFERROR(IF('BBG Verify'!R423="","Awaiting Bloomberg",'BBG Verify'!R423),"Awaiting Bloomberg")</ns0:f>
        <ns0:v/>
      </ns0:c>
      <ns0:c r="BU423" s="91" t="inlineStr">
        <ns0:is>
          <ns0:t>UBS Securities Hong Kong Limited; China International Capital Corporation Hong Kong Securities Limited; Ping An of China Capital (Hong Kong) Company Limited; GF Capital (Hong Kong) Limited</ns0:t>
        </ns0:is>
      </ns0:c>
      <ns0:c r="BV423" s="74" t="inlineStr">
        <ns0:is>
          <ns0:t>China International Capital Corporation Hong Kong Securities Limited; UBS Securities Hong Kong Limited; GF Capital (Hong Kong) Limited; Ping An of China Capital (Hong Kong) Company Limited</ns0:t>
        </ns0:is>
      </ns0:c>
      <ns0:c r="BW423" s="74" t="inlineStr">
        <ns0:is>
          <ns0:t>UBS AG Hong Kong Branch; China International Capital Corporation Hong Kong Securities Limited; Ping An Securities (Hong Kong) Company Limited; GF Securities (Hong Kong) Brokerage Limited; CLSA Limited; Haitong International Securities Company Limited</ns0:t>
        </ns0:is>
      </ns0:c>
      <ns0:c r="BX423" s="74" t="inlineStr">
        <ns0:is>
          <ns0: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ns0:t>
        </ns0:is>
      </ns0:c>
      <ns0:c r="BY423" s="93">
        <ns0:f>HYPERLINK("https://www1.hkexnews.hk/listedco/listconews/sehk/2025/1231/2025123100089.pdf","prospectus")</ns0:f>
        <ns0:v/>
      </ns0:c>
      <ns0:c r="BZ423" s="93">
        <ns0:f>HYPERLINK("https://www1.hkexnews.hk/listedco/listconews/sehk/2026/0109/2026010901581.pdf","allotment")</ns0:f>
        <ns0:v/>
      </ns0:c>
      <ns0:c r="CA423" s="93">
        <ns0:f>HYPERLINK("https://www1.hkexnews.hk/listedco/listconews/sehk/2026/0206/2026020601086.pdf","stabilisation")</ns0:f>
        <ns0:v/>
      </ns0:c>
      <ns0:c r="CB423" s="94" t="n"/>
      <ns0:c r="CC423" s="74" t="inlineStr">
        <ns0:is>
          <ns0:t>range low: maximum offer price only, no floor published; A/H: Jan 2026, US$616m offering; rose on debut; allocation: allocation table not in this notice's format (older prose announcement); day-1 tape: volume on file; the retail multiple needs the final public split, which this notice does not state</ns0:t>
        </ns0:is>
      </ns0:c>
    </ns0:row>
    <ns0:row r="424" ht="22" customHeight="1">
      <ns0:c r="A424" s="73" t="inlineStr">
        <ns0:is>
          <ns0:t>1641</ns0:t>
        </ns0:is>
      </ns0:c>
      <ns0:c r="B424" s="74" t="inlineStr">
        <ns0:is>
          <ns0:t>HX COLDCHAIN</ns0:t>
        </ns0:is>
      </ns0:c>
      <ns0:c r="C424" s="74" t="inlineStr">
        <ns0:is>
          <ns0:t>紅星冷鏈</ns0:t>
        </ns0:is>
      </ns0:c>
      <ns0:c r="D424" s="74" t="inlineStr">
        <ns0:is>
          <ns0:t>Industrials</ns0:t>
        </ns0:is>
      </ns0:c>
      <ns0:c r="E424" s="74" t="inlineStr">
        <ns0:is>
          <ns0:t>Logistics</ns0:t>
        </ns0:is>
      </ns0:c>
      <ns0:c r="F424" s="74" t="inlineStr">
        <ns0:is>
          <ns0:t>Packaged Foods</ns0:t>
        </ns0:is>
      </ns0:c>
      <ns0:c r="G424" s="74" t="inlineStr">
        <ns0:is>
          <ns0:t>Standard</ns0:t>
        </ns0:is>
      </ns0:c>
      <ns0:c r="H424" s="75" t="n">
        <ns0:v>46035</ns0:v>
      </ns0:c>
      <ns0:c r="I424" s="76" t="n">
        <ns0:v>285.2</ns0:v>
      </ns0:c>
      <ns0:c r="J424" s="74" t="inlineStr">
        <ns0:is>
          <ns0:t>gross (stated)</ns0:t>
        </ns0:is>
      </ns0:c>
      <ns0:c r="K424" s="95" t="n"/>
      <ns0:c r="L424" s="77" t="n">
        <ns0:v>12.26</ns0:v>
      </ns0:c>
      <ns0:c r="M424" s="77" t="n">
        <ns0:v>12.26</ns0:v>
      </ns0:c>
      <ns0:c r="N424" s="74" t="inlineStr">
        <ns0:is>
          <ns0:t>Y</ns0:t>
        </ns0:is>
      </ns0:c>
      <ns0:c r="O424" s="78" t="n">
        <ns0:v>100</ns0:v>
      </ns0:c>
      <ns0:c r="P424" s="84" t="n"/>
      <ns0:c r="Q424" s="79" t="n">
        <ns0:v>1204.7</ns0:v>
      </ns0:c>
      <ns0:c r="R424" s="74" t="inlineStr">
        <ns0:is>
          <ns0:t>derived:price x shares upon listing</ns0:t>
        </ns0:is>
      </ns0:c>
      <ns0:c r="S424" s="80" t="n">
        <ns0:v>2309.25</ns0:v>
      </ns0:c>
      <ns0:c r="T424" s="81" t="n">
        <ns0:v>1.65</ns0:v>
      </ns0:c>
      <ns0:c r="U424" s="82" t="n">
        <ns0:v>7.66</ns0:v>
      </ns0:c>
      <ns0:c r="V424" s="83" t="n">
        <ns0:v>106</ns0:v>
      </ns0:c>
      <ns0:c r="W424" s="78" t="n">
        <ns0:v>10</ns0:v>
      </ns0:c>
      <ns0:c r="X424" s="74" t="inlineStr">
        <ns0:is>
          <ns0:t>NO</ns0:t>
        </ns0:is>
      </ns0:c>
      <ns0:c r="Y424" s="79" t="n">
        <ns0:v>263.35</ns0:v>
      </ns0:c>
      <ns0:c r="Z424" s="79" t="n">
        <ns0:v>21481054</ns0:v>
      </ns0:c>
      <ns0:c r="AA424" s="78" t="n">
        <ns0:v>21.86</ns0:v>
      </ns0:c>
      <ns0:c r="AB424" s="74" t="inlineStr">
        <ns0:is>
          <ns0:t>FUHUIDA (HK) LIMITED</ns0:t>
        </ns0:is>
      </ns0:c>
      <ns0:c r="AC424" s="74" t="inlineStr">
        <ns0:is>
          <ns0:t>fuhuida</ns0:t>
        </ns0:is>
      </ns0:c>
      <ns0:c r="AD424" s="78" t="n">
        <ns0:v>15</ns0:v>
      </ns0:c>
      <ns0:c r="AE424" s="85" t="n"/>
      <ns0:c r="AF424" s="85" t="n"/>
      <ns0:c r="AG424" s="85" t="n"/>
      <ns0:c r="AH424" s="85" t="n"/>
      <ns0:c r="AI424" s="86" t="n">
        <ns0:v>47.39</ns0:v>
      </ns0:c>
      <ns0:c r="AJ424" s="87" t="n">
        <ns0:v>0.33</ns0:v>
      </ns0:c>
      <ns0:c r="AK424" s="87" t="n">
        <ns0:v>0.7</ns0:v>
      </ns0:c>
      <ns0:c r="AL424" s="87" t="n">
        <ns0:v>59.71</ns0:v>
      </ns0:c>
      <ns0:c r="AM424" s="87" t="n">
        <ns0:v>-37.18</ns0:v>
      </ns0:c>
      <ns0:c r="AN424" s="89" t="n">
        <ns0:v>5.96</ns0:v>
      </ns0:c>
      <ns0:c r="AO424" s="78" t="n">
        <ns0:v>39.33</ns0:v>
      </ns0:c>
      <ns0:c r="AP424" s="87" t="n">
        <ns0:v>-18.76</ns0:v>
      </ns0:c>
      <ns0:c r="AQ424" s="87" t="n">
        <ns0:v>-30.51</ns0:v>
      </ns0:c>
      <ns0:c r="AR424" s="87" t="n">
        <ns0:v>-42.09</ns0:v>
      </ns0:c>
      <ns0:c r="AS424" s="87" t="n">
        <ns0:v>-19.03</ns0:v>
      </ns0:c>
      <ns0:c r="AT424" s="87" t="n">
        <ns0:v>-30.74</ns0:v>
      </ns0:c>
      <ns0:c r="AU424" s="87" t="n">
        <ns0:v>-42.28</ns0:v>
      </ns0:c>
      <ns0:c r="AV424" s="87" t="n">
        <ns0:v>-17.31</ns0:v>
      </ns0:c>
      <ns0:c r="AW424" s="87" t="n">
        <ns0:v>-30.22</ns0:v>
      </ns0:c>
      <ns0:c r="AX424" s="87" t="n">
        <ns0:v>-36.03</ns0:v>
      </ns0:c>
      <ns0:c r="AY424" s="87" t="n">
        <ns0:v>-29.75</ns0:v>
      </ns0:c>
      <ns0:c r="AZ424" s="87" t="n">
        <ns0:v>-0.29</ns0:v>
      </ns0:c>
      <ns0:c r="BA424" s="87" t="n">
        <ns0:v>-0.99</ns0:v>
      </ns0:c>
      <ns0:c r="BB424" s="74" t="inlineStr">
        <ns0:is>
          <ns0:t>Hang Seng Commerce &amp; Industry sub-index</ns0:t>
        </ns0:is>
      </ns0:c>
      <ns0:c r="BC424" s="87" t="n">
        <ns0:v>-72.34999999999999</ns0:v>
      </ns0:c>
      <ns0:c r="BD424" s="75" t="n">
        <ns0:v>46297</ns0:v>
      </ns0:c>
      <ns0:c r="BE424" s="76" t="n">
        <ns0:v>256.9</ns0:v>
      </ns0:c>
      <ns0:c r="BF424" s="79" t="n">
        <ns0:v>91.2</ns0:v>
      </ns0:c>
      <ns0:c r="BG424" s="74" t="inlineStr">
        <ns0:is>
          <ns0:t>Y</ns0:t>
        </ns0:is>
      </ns0:c>
      <ns0:c r="BH424" s="89" t="n">
        <ns0:v>13.2</ns0:v>
      </ns0:c>
      <ns0:c r="BI424" s="89" t="n">
        <ns0:v>10.8</ns0:v>
      </ns0:c>
      <ns0:c r="BJ424" s="89" t="n">
        <ns0:v>3.5</ns0:v>
      </ns0:c>
      <ns0:c r="BK424" s="89" t="n">
        <ns0:v>4.7</ns0:v>
      </ns0:c>
      <ns0:c r="BL424" s="90">
        <ns0:f>IFERROR(IF('BBG Verify'!S424="","Awaiting Bloomberg",'BBG Verify'!S424),"Awaiting Bloomberg")</ns0:f>
        <ns0:v/>
      </ns0:c>
      <ns0:c r="BM424" s="91" t="inlineStr">
        <ns0:is>
          <ns0:t>N</ns0:t>
        </ns0:is>
      </ns0:c>
      <ns0:c r="BN424" s="92">
        <ns0:f>IFERROR(IF('BBG Verify'!K424="","Awaiting Bloomberg",'BBG Verify'!K424),"Awaiting Bloomberg")</ns0:f>
        <ns0:v/>
      </ns0:c>
      <ns0:c r="BO424" s="74" t="inlineStr">
        <ns0:is>
          <ns0:t>N/A</ns0:t>
        </ns0:is>
      </ns0:c>
      <ns0:c r="BP424" s="74" t="inlineStr">
        <ns0:is>
          <ns0:t>N/A</ns0:t>
        </ns0:is>
      </ns0:c>
      <ns0:c r="BQ424" s="74" t="inlineStr">
        <ns0:is>
          <ns0:t>N/A</ns0:t>
        </ns0:is>
      </ns0:c>
      <ns0:c r="BR424" s="74" t="inlineStr">
        <ns0:is>
          <ns0:t>N/A</ns0:t>
        </ns0:is>
      </ns0:c>
      <ns0:c r="BS424" s="74" t="inlineStr">
        <ns0:is>
          <ns0:t>N/A</ns0:t>
        </ns0:is>
      </ns0:c>
      <ns0:c r="BT424" s="74" t="inlineStr">
        <ns0:is>
          <ns0:t>N/A</ns0:t>
        </ns0:is>
      </ns0:c>
      <ns0:c r="BU424" s="91" t="inlineStr">
        <ns0:is>
          <ns0:t>CCB International Capital Limited; ABCI Capital Limited</ns0:t>
        </ns0:is>
      </ns0:c>
      <ns0:c r="BV424" s="74" t="inlineStr">
        <ns0:is>
          <ns0:t>CCB International Capital Limited; ABCI Capital Limited</ns0:t>
        </ns0:is>
      </ns0:c>
      <ns0:c r="BW424" s="74" t="inlineStr">
        <ns0:is>
          <ns0:t>CCB International Capital Limited; ABCI Capital Limited; A VICT Global Asset Management Limited; BOCOM International Securities Limited; CEB International Capital Corporation Limited; CMBC Securities Company Limited; Guosen Securities (HK) Brokerage Company, Limited; Huafu International Securities Limited; MoneyMore Securities Limited; Orient Securities (Hong Kong) Limited; Ruibang Securities Limited; Shanxi Securities International Limited</ns0:t>
        </ns0:is>
      </ns0:c>
      <ns0:c r="BX424" s="74" t="inlineStr">
        <ns0:is>
          <ns0: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ns0:t>
        </ns0:is>
      </ns0:c>
      <ns0:c r="BY424" s="93">
        <ns0:f>HYPERLINK("https://www1.hkexnews.hk/listedco/listconews/sehk/2025/1231/2025123100085.pdf","prospectus")</ns0:f>
        <ns0:v/>
      </ns0:c>
      <ns0:c r="BZ424" s="93">
        <ns0:f>HYPERLINK("https://www1.hkexnews.hk/listedco/listconews/sehk/2026/0112/2026011201301.pdf","allotment")</ns0:f>
        <ns0:v/>
      </ns0:c>
      <ns0:c r="CA424" s="85" t="n"/>
      <ns0:c r="CB424" s="94" t="n"/>
      <ns0:c r="CC424" s="74" t="inlineStr">
        <ns0:is>
          <ns0:t>greenshoe: end-of-stabilisation notice not found; range low: maximum offer price only, no floor published; market cap: prospectus 'market capitalisation' line is the listing-rule threshold, not the issuer's figure; rejected; stabilising manager: not named in the allotment notice or prospectus glossary</ns0:t>
        </ns0:is>
      </ns0:c>
    </ns0:row>
    <ns0:row r="425" ht="22" customHeight="1">
      <ns0:c r="A425" s="73" t="inlineStr">
        <ns0:is>
          <ns0:t>3986</ns0:t>
        </ns0:is>
      </ns0:c>
      <ns0:c r="B425" s="74" t="inlineStr">
        <ns0:is>
          <ns0:t>GIGADEVICE</ns0:t>
        </ns0:is>
      </ns0:c>
      <ns0:c r="C425" s="74" t="inlineStr">
        <ns0:is>
          <ns0:t>兆易創新</ns0:t>
        </ns0:is>
      </ns0:c>
      <ns0:c r="D425" s="74" t="inlineStr">
        <ns0:is>
          <ns0:t>Technology</ns0:t>
        </ns0:is>
      </ns0:c>
      <ns0:c r="E425" s="74" t="inlineStr">
        <ns0:is>
          <ns0:t>Semiconductors</ns0:t>
        </ns0:is>
      </ns0:c>
      <ns0:c r="F425" s="74" t="inlineStr">
        <ns0:is>
          <ns0:t>Semiconductors &amp; Semiconductor Equipment</ns0:t>
        </ns0:is>
      </ns0:c>
      <ns0:c r="G425" s="74" t="inlineStr">
        <ns0:is>
          <ns0:t>Standard</ns0:t>
        </ns0:is>
      </ns0:c>
      <ns0:c r="H425" s="75" t="n">
        <ns0:v>46035</ns0:v>
      </ns0:c>
      <ns0:c r="I425" s="76" t="n">
        <ns0:v>4684.4</ns0:v>
      </ns0:c>
      <ns0:c r="J425" s="74" t="inlineStr">
        <ns0:is>
          <ns0:t>gross (stated)</ns0:t>
        </ns0:is>
      </ns0:c>
      <ns0:c r="K425" s="95" t="n"/>
      <ns0:c r="L425" s="77" t="n">
        <ns0:v>162</ns0:v>
      </ns0:c>
      <ns0:c r="M425" s="77" t="n">
        <ns0:v>162</ns0:v>
      </ns0:c>
      <ns0:c r="N425" s="74" t="inlineStr">
        <ns0:is>
          <ns0:t>Y</ns0:t>
        </ns0:is>
      </ns0:c>
      <ns0:c r="O425" s="78" t="n">
        <ns0:v>100</ns0:v>
      </ns0:c>
      <ns0:c r="P425" s="84" t="n"/>
      <ns0:c r="Q425" s="79" t="n">
        <ns0:v>113578.6</ns0:v>
      </ns0:c>
      <ns0:c r="R425" s="74" t="inlineStr">
        <ns0:is>
          <ns0:t>aastocks:上市市值 at the struck price</ns0:t>
        </ns0:is>
      </ns0:c>
      <ns0:c r="S425" s="80" t="n">
        <ns0:v>542.22</ns0:v>
      </ns0:c>
      <ns0:c r="T425" s="81" t="n">
        <ns0:v>18.52</ns0:v>
      </ns0:c>
      <ns0:c r="U425" s="82" t="n">
        <ns0:v>49.78</ns0:v>
      </ns0:c>
      <ns0:c r="V425" s="83" t="n">
        <ns0:v>177</ns0:v>
      </ns0:c>
      <ns0:c r="W425" s="78" t="n">
        <ns0:v>10</ns0:v>
      </ns0:c>
      <ns0:c r="X425" s="74" t="inlineStr">
        <ns0:is>
          <ns0:t>NA</ns0:t>
        </ns0:is>
      </ns0:c>
      <ns0:c r="Y425" s="79" t="n">
        <ns0:v>2352.51</ns0:v>
      </ns0:c>
      <ns0:c r="Z425" s="79" t="n">
        <ns0:v>14521515</ns0:v>
      </ns0:c>
      <ns0:c r="AA425" s="78" t="n">
        <ns0:v>2.07</ns0:v>
      </ns0:c>
      <ns0:c r="AB425" s="74" t="inlineStr">
        <ns0:is>
          <ns0:t>Yunfeng Capital; Xiaomi; TCL Industries; Huaqin Technology; China Pinnacle Equity Management Limited; Greenwoods (Jinglin)</ns0:t>
        </ns0:is>
      </ns0:c>
      <ns0:c r="AC425" s="74" t="inlineStr">
        <ns0:is>
          <ns0:t>yunfeng;xiaomi;tcl;huaqin;pinnacle;greenwoods</ns0:t>
        </ns0:is>
      </ns0:c>
      <ns0:c r="AD425" s="78" t="n">
        <ns0:v>15</ns0:v>
      </ns0:c>
      <ns0:c r="AE425" s="74" t="inlineStr">
        <ns0:is>
          <ns0:t>full</ns0:t>
        </ns0:is>
      </ns0:c>
      <ns0:c r="AF425" s="74" t="inlineStr">
        <ns0:is>
          <ns0:t>2026-02-07</ns0:t>
        </ns0:is>
      </ns0:c>
      <ns0:c r="AG425" s="74" t="inlineStr">
        <ns0:is>
          <ns0:t>Huatai Financial Holdings</ns0:t>
        </ns0:is>
      </ns0:c>
      <ns0:c r="AH425" s="74" t="inlineStr">
        <ns0:is>
          <ns0:t>Huatai</ns0:t>
        </ns0:is>
      </ns0:c>
      <ns0:c r="AI425" s="86" t="n">
        <ns0:v>40</ns0:v>
      </ns0:c>
      <ns0:c r="AJ425" s="87" t="n">
        <ns0:v>37.53</ns0:v>
      </ns0:c>
      <ns0:c r="AK425" s="87" t="n">
        <ns0:v>0</ns0:v>
      </ns0:c>
      <ns0:c r="AL425" s="87" t="n">
        <ns0:v>45.06</ns0:v>
      </ns0:c>
      <ns0:c r="AM425" s="87" t="n">
        <ns0:v>-5.19</ns0:v>
      </ns0:c>
      <ns0:c r="AN425" s="89" t="n">
        <ns0:v>3.61</ns0:v>
      </ns0:c>
      <ns0:c r="AO425" s="78" t="n">
        <ns0:v>12.26</ns0:v>
      </ns0:c>
      <ns0:c r="AP425" s="87" t="n">
        <ns0:v>88.89</ns0:v>
      </ns0:c>
      <ns0:c r="AQ425" s="87" t="n">
        <ns0:v>82.72</ns0:v>
      </ns0:c>
      <ns0:c r="AR425" s="87" t="n">
        <ns0:v>161.11</ns0:v>
      </ns0:c>
      <ns0:c r="AS425" s="87" t="n">
        <ns0:v>37.34</ns0:v>
      </ns0:c>
      <ns0:c r="AT425" s="87" t="n">
        <ns0:v>32.86</ns0:v>
      </ns0:c>
      <ns0:c r="AU425" s="87" t="n">
        <ns0:v>89.86</ns0:v>
      </ns0:c>
      <ns0:c r="AV425" s="87" t="n">
        <ns0:v>91.94</ns0:v>
      </ns0:c>
      <ns0:c r="AW425" s="87" t="n">
        <ns0:v>88.98999999999999</ns0:v>
      </ns0:c>
      <ns0:c r="AX425" s="87" t="n">
        <ns0:v>174.87</ns0:v>
      </ns0:c>
      <ns0:c r="AY425" s="87" t="n">
        <ns0:v>39.13</ns0:v>
      </ns0:c>
      <ns0:c r="AZ425" s="87" t="n">
        <ns0:v>-6.27</ns0:v>
      </ns0:c>
      <ns0:c r="BA425" s="87" t="n">
        <ns0:v>-6.27</ns0:v>
      </ns0:c>
      <ns0:c r="BB425" s="74" t="inlineStr">
        <ns0:is>
          <ns0:t>HSTECH (Hang Seng TECH ETF)</ns0:t>
        </ns0:is>
      </ns0:c>
      <ns0:c r="BC425" s="87" t="n">
        <ns0:v>180.74</ns0:v>
      </ns0:c>
      <ns0:c r="BD425" s="75" t="n">
        <ns0:v>46297</ns0:v>
      </ns0:c>
      <ns0:c r="BE425" s="76" t="n">
        <ns0:v>8091.6</ns0:v>
      </ns0:c>
      <ns0:c r="BF425" s="79" t="n">
        <ns0:v>1211</ns0:v>
      </ns0:c>
      <ns0:c r="BG425" s="74" t="inlineStr">
        <ns0:is>
          <ns0:t>Y</ns0:t>
        </ns0:is>
      </ns0:c>
      <ns0:c r="BH425" s="89" t="n">
        <ns0:v>93.8</ns0:v>
      </ns0:c>
      <ns0:c r="BI425" s="89" t="n">
        <ns0:v>80.3</ns0:v>
      </ns0:c>
      <ns0:c r="BJ425" s="89" t="n">
        <ns0:v>191.8</ns0:v>
      </ns0:c>
      <ns0:c r="BK425" s="89" t="n">
        <ns0:v>14</ns0:v>
      </ns0:c>
      <ns0:c r="BL425" s="90">
        <ns0:f>IFERROR(IF('BBG Verify'!S425="","Awaiting Bloomberg",'BBG Verify'!S425),"Awaiting Bloomberg")</ns0:f>
        <ns0:v/>
      </ns0:c>
      <ns0:c r="BM425" s="91" t="inlineStr">
        <ns0:is>
          <ns0:t>Y</ns0:t>
        </ns0:is>
      </ns0:c>
      <ns0:c r="BN425" s="74" t="inlineStr">
        <ns0:is>
          <ns0:t>603986.SS</ns0:t>
        </ns0:is>
      </ns0:c>
      <ns0:c r="BO425" s="87" t="n">
        <ns0:v>80.54000000000001</ns0:v>
      </ns0:c>
      <ns0:c r="BP425" s="77" t="n">
        <ns0:v>292.4683</ns0:v>
      </ns0:c>
      <ns0:c r="BQ425" s="101" t="n">
        <ns0:v>-0.08939999999999999</ns0:v>
      </ns0:c>
      <ns0:c r="BR425" s="79" t="n">
        <ns0:v>291656.5</ns0:v>
      </ns0:c>
      <ns0:c r="BS425" s="90">
        <ns0:f>IFERROR(IF('BBG Verify'!Q425="","Awaiting Bloomberg",'BBG Verify'!Q425),"Awaiting Bloomberg")</ns0:f>
        <ns0:v/>
      </ns0:c>
      <ns0:c r="BT425" s="90">
        <ns0:f>IFERROR(IF('BBG Verify'!R425="","Awaiting Bloomberg",'BBG Verify'!R425),"Awaiting Bloomberg")</ns0:f>
        <ns0:v/>
      </ns0:c>
      <ns0:c r="BU425" s="91" t="inlineStr">
        <ns0:is>
          <ns0:t>China International Capital Corporation Hong Kong Securities Limited; Huatai Financial Holdings (Hong Kong) Limited</ns0:t>
        </ns0:is>
      </ns0:c>
      <ns0:c r="BV425" s="74" t="inlineStr">
        <ns0:is>
          <ns0:t>China International Capital Corporation Hong Kong Securities Limited; Huatai Financial Holdings (Hong Kong) Limited</ns0:t>
        </ns0:is>
      </ns0:c>
      <ns0:c r="BW425" s="74" t="inlineStr">
        <ns0:is>
          <ns0:t>Huatai Financial Holdings (Hong Kong) Limited; China International Capital Corporation Hong Kong Securities Limited</ns0:t>
        </ns0:is>
      </ns0:c>
      <ns0:c r="BX425" s="74" t="inlineStr">
        <ns0:is>
          <ns0:t>China International Capital Corporation Hong Kong Securities Limited; Huatai Financial Holdings (Hong Kong) Limited</ns0:t>
        </ns0:is>
      </ns0:c>
      <ns0:c r="BY425" s="93">
        <ns0:f>HYPERLINK("https://www1.hkexnews.hk/listedco/listconews/sehk/2025/1231/2025123100035.pdf","prospectus")</ns0:f>
        <ns0:v/>
      </ns0:c>
      <ns0:c r="BZ425" s="93">
        <ns0:f>HYPERLINK("https://www1.hkexnews.hk/listedco/listconews/sehk/2026/0112/2026011201539.pdf","allotment")</ns0:f>
        <ns0:v/>
      </ns0:c>
      <ns0:c r="CA425" s="93">
        <ns0:f>HYPERLINK("https://www1.hkexnews.hk/listedco/listconews/sehk/2026/0208/2026020800007.pdf","stabilisation")</ns0:f>
        <ns0:v/>
      </ns0:c>
      <ns0:c r="CB425" s="94" t="n"/>
      <ns0:c r="CC425" s="74" t="inlineStr">
        <ns0:is>
          <ns0:t>range low: maximum offer price only, no floor published; A/H: Jan 2026, ~US$600m at top of range; closed +37.5% on debut; market cap: published listing cap used; the estimate from stated market capitalisation disagreed</ns0:t>
        </ns0:is>
      </ns0:c>
    </ns0:row>
    <ns0:row r="426" ht="22" customHeight="1">
      <ns0:c r="A426" s="73" t="inlineStr">
        <ns0:is>
          <ns0:t>9611</ns0:t>
        </ns0:is>
      </ns0:c>
      <ns0:c r="B426" s="74" t="inlineStr">
        <ns0:is>
          <ns0:t>LONGCHEER</ns0:t>
        </ns0:is>
      </ns0:c>
      <ns0:c r="C426" s="74" t="inlineStr">
        <ns0:is>
          <ns0:t>龍旗科技</ns0:t>
        </ns0:is>
      </ns0:c>
      <ns0:c r="D426" s="74" t="inlineStr">
        <ns0:is>
          <ns0:t>Technology</ns0:t>
        </ns0:is>
      </ns0:c>
      <ns0:c r="E426" s="74" t="inlineStr">
        <ns0:is>
          <ns0:t>Hardware &amp; electronics</ns0:t>
        </ns0:is>
      </ns0:c>
      <ns0:c r="F426" s="74" t="inlineStr">
        <ns0:is>
          <ns0:t>Smartphone</ns0:t>
        </ns0:is>
      </ns0:c>
      <ns0:c r="G426" s="74" t="inlineStr">
        <ns0:is>
          <ns0:t>Standard</ns0:t>
        </ns0:is>
      </ns0:c>
      <ns0:c r="H426" s="75" t="n">
        <ns0:v>46044</ns0:v>
      </ns0:c>
      <ns0:c r="I426" s="76" t="n">
        <ns0:v>1620</ns0:v>
      </ns0:c>
      <ns0:c r="J426" s="74" t="inlineStr">
        <ns0:is>
          <ns0:t>gross (stated)</ns0:t>
        </ns0:is>
      </ns0:c>
      <ns0:c r="K426" s="95" t="n"/>
      <ns0:c r="L426" s="77" t="n">
        <ns0:v>31</ns0:v>
      </ns0:c>
      <ns0:c r="M426" s="77" t="n">
        <ns0:v>31</ns0:v>
      </ns0:c>
      <ns0:c r="N426" s="74" t="inlineStr">
        <ns0:is>
          <ns0:t>Y</ns0:t>
        </ns0:is>
      </ns0:c>
      <ns0:c r="O426" s="78" t="n">
        <ns0:v>100</ns0:v>
      </ns0:c>
      <ns0:c r="P426" s="84" t="n"/>
      <ns0:c r="Q426" s="79" t="n">
        <ns0:v>16200.3</ns0:v>
      </ns0:c>
      <ns0:c r="R426" s="74" t="inlineStr">
        <ns0:is>
          <ns0:t>derived:price x shares upon listing</ns0:t>
        </ns0:is>
      </ns0:c>
      <ns0:c r="S426" s="80" t="n">
        <ns0:v>1149.76</ns0:v>
      </ns0:c>
      <ns0:c r="T426" s="81" t="n">
        <ns0:v>9.02</ns0:v>
      </ns0:c>
      <ns0:c r="U426" s="82" t="n">
        <ns0:v>27.17</ns0:v>
      </ns0:c>
      <ns0:c r="V426" s="83" t="n">
        <ns0:v>172</ns0:v>
      </ns0:c>
      <ns0:c r="W426" s="78" t="n">
        <ns0:v>10</ns0:v>
      </ns0:c>
      <ns0:c r="X426" s="74" t="inlineStr">
        <ns0:is>
          <ns0:t>NO</ns0:t>
        </ns0:is>
      </ns0:c>
      <ns0:c r="Y426" s="79" t="n">
        <ns0:v>1179.85</ns0:v>
      </ns0:c>
      <ns0:c r="Z426" s="79" t="n">
        <ns0:v>38060303</ns0:v>
      </ns0:c>
      <ns0:c r="AA426" s="78" t="n">
        <ns0:v>7.28</ns0:v>
      </ns0:c>
      <ns0:c r="AB426" s="74" t="inlineStr">
        <ns0:is>
          <ns0:t>Qualcomm Ventures LLC; Jiangxi Guokong Private Equity Fund Management Co., Ltd; Hong Kong Yuto Printing Company Limited; Qingdao Guanlan and Guotai Junan Investments (Hong Kong) Limited (in connection with Guanlan OTC Swaps); Endless Growth NH Limited</ns0:t>
        </ns0:is>
      </ns0:c>
      <ns0:c r="AC426" s="74" t="inlineStr">
        <ns0:is>
          <ns0:t>qualcomm;jiangxi;yuto;qingdao;endless</ns0:t>
        </ns0:is>
      </ns0:c>
      <ns0:c r="AD426" s="78" t="n">
        <ns0:v>15</ns0:v>
      </ns0:c>
      <ns0:c r="AE426" s="74" t="inlineStr">
        <ns0:is>
          <ns0:t>lapsed</ns0:t>
        </ns0:is>
      </ns0:c>
      <ns0:c r="AF426" s="74" t="inlineStr">
        <ns0:is>
          <ns0:t>2026-02-18</ns0:t>
        </ns0:is>
      </ns0:c>
      <ns0:c r="AG426" s="74" t="inlineStr">
        <ns0:is>
          <ns0:t>Citigroup Global Markets Asia Limited</ns0:t>
        </ns0:is>
      </ns0:c>
      <ns0:c r="AH426" s="74" t="inlineStr">
        <ns0:is>
          <ns0:t>Citigroup</ns0:t>
        </ns0:is>
      </ns0:c>
      <ns0:c r="AI426" s="86" t="n">
        <ns0:v>16.84</ns0:v>
      </ns0:c>
      <ns0:c r="AJ426" s="87" t="n">
        <ns0:v>3.55</ns0:v>
      </ns0:c>
      <ns0:c r="AK426" s="87" t="n">
        <ns0:v>0.36</ns0:v>
      </ns0:c>
      <ns0:c r="AL426" s="87" t="n">
        <ns0:v>12.9</ns0:v>
      </ns0:c>
      <ns0:c r="AM426" s="87" t="n">
        <ns0:v>-8.279999999999999</ns0:v>
      </ns0:c>
      <ns0:c r="AN426" s="89" t="n">
        <ns0:v>4.71</ns0:v>
      </ns0:c>
      <ns0:c r="AO426" s="78" t="n">
        <ns0:v>16.11</ns0:v>
      </ns0:c>
      <ns0:c r="AP426" s="87" t="n">
        <ns0:v>-1.61</ns0:v>
      </ns0:c>
      <ns0:c r="AQ426" s="87" t="n">
        <ns0:v>-3.68</ns0:v>
      </ns0:c>
      <ns0:c r="AR426" s="87" t="n">
        <ns0:v>-29.1</ns0:v>
      </ns0:c>
      <ns0:c r="AS426" s="87" t="n">
        <ns0:v>-4.98</ns0:v>
      </ns0:c>
      <ns0:c r="AT426" s="87" t="n">
        <ns0:v>-6.98</ns0:v>
      </ns0:c>
      <ns0:c r="AU426" s="87" t="n">
        <ns0:v>-31.53</ns0:v>
      </ns0:c>
      <ns0:c r="AV426" s="87" t="n">
        <ns0:v>-3.21</ns0:v>
      </ns0:c>
      <ns0:c r="AW426" s="87" t="n">
        <ns0:v>4.86</ns0:v>
      </ns0:c>
      <ns0:c r="AX426" s="87" t="n">
        <ns0:v>-14.69</ns0:v>
      </ns0:c>
      <ns0:c r="AY426" s="87" t="n">
        <ns0:v>1.89</ns0:v>
      </ns0:c>
      <ns0:c r="AZ426" s="87" t="n">
        <ns0:v>-8.539999999999999</ns0:v>
      </ns0:c>
      <ns0:c r="BA426" s="87" t="n">
        <ns0:v>-8.869999999999999</ns0:v>
      </ns0:c>
      <ns0:c r="BB426" s="74" t="inlineStr">
        <ns0:is>
          <ns0:t>HSTECH (Hang Seng TECH ETF)</ns0:t>
        </ns0:is>
      </ns0:c>
      <ns0:c r="BC426" s="87" t="n">
        <ns0:v>-34.97</ns0:v>
      </ns0:c>
      <ns0:c r="BD426" s="75" t="n">
        <ns0:v>46297</ns0:v>
      </ns0:c>
      <ns0:c r="BE426" s="76" t="n">
        <ns0:v>51020.7</ns0:v>
      </ns0:c>
      <ns0:c r="BF426" s="79" t="n">
        <ns0:v>542.7</ns0:v>
      </ns0:c>
      <ns0:c r="BG426" s="74" t="inlineStr">
        <ns0:is>
          <ns0:t>Y</ns0:t>
        </ns0:is>
      </ns0:c>
      <ns0:c r="BH426" s="89" t="n">
        <ns0:v>29.9</ns0:v>
      </ns0:c>
      <ns0:c r="BI426" s="89" t="n">
        <ns0:v>22.6</ns0:v>
      </ns0:c>
      <ns0:c r="BJ426" s="89" t="n">
        <ns0:v>16.3</ns0:v>
      </ns0:c>
      <ns0:c r="BK426" s="89" t="n">
        <ns0:v>0.3</ns0:v>
      </ns0:c>
      <ns0:c r="BL426" s="90">
        <ns0:f>IFERROR(IF('BBG Verify'!S426="","Awaiting Bloomberg",'BBG Verify'!S426),"Awaiting Bloomberg")</ns0:f>
        <ns0:v/>
      </ns0:c>
      <ns0:c r="BM426" s="91" t="inlineStr">
        <ns0:is>
          <ns0:t>Y</ns0:t>
        </ns0:is>
      </ns0:c>
      <ns0:c r="BN426" s="74" t="inlineStr">
        <ns0:is>
          <ns0:t>603341.SS</ns0:t>
        </ns0:is>
      </ns0:c>
      <ns0:c r="BO426" s="87" t="n">
        <ns0:v>75.63</ns0:v>
      </ns0:c>
      <ns0:c r="BP426" s="77" t="n">
        <ns0:v>54.4441</ns0:v>
      </ns0:c>
      <ns0:c r="BQ426" s="101" t="n">
        <ns0:v>1.0437</ns0:v>
      </ns0:c>
      <ns0:c r="BR426" s="79" t="n">
        <ns0:v>21529.2</ns0:v>
      </ns0:c>
      <ns0:c r="BS426" s="90">
        <ns0:f>IFERROR(IF('BBG Verify'!Q426="","Awaiting Bloomberg",'BBG Verify'!Q426),"Awaiting Bloomberg")</ns0:f>
        <ns0:v/>
      </ns0:c>
      <ns0:c r="BT426" s="90">
        <ns0:f>IFERROR(IF('BBG Verify'!R426="","Awaiting Bloomberg",'BBG Verify'!R426),"Awaiting Bloomberg")</ns0:f>
        <ns0:v/>
      </ns0:c>
      <ns0:c r="BU426" s="91" t="inlineStr">
        <ns0:is>
          <ns0:t>Citigroup Global Markets Asia Limited; Haitong International Capital Limited; Guotai Junan Capital Limited</ns0:t>
        </ns0:is>
      </ns0:c>
      <ns0:c r="BV426" s="74" t="inlineStr">
        <ns0:is>
          <ns0:t>Haitong International Capital Limited; Guotai Junan Capital Limited; Citigroup Global Markets Asia Limited</ns0:t>
        </ns0:is>
      </ns0:c>
      <ns0:c r="BW426" s="74" t="inlineStr">
        <ns0:is>
          <ns0:t>Citigroup Global Markets Asia Limited; Haitong International Securities Company Limited; Guotai Junan Securities (Hong Kong) Limited; Huatai Financial Holdings (Hong Kong) Limited; ABCI Capital Limited; Citigroup Global Markets Limited; Tiger Brokers (HK) Global Limited</ns0:t>
        </ns0:is>
      </ns0:c>
      <ns0:c r="BX426" s="74" t="inlineStr">
        <ns0:is>
          <ns0: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ns0:t>
        </ns0:is>
      </ns0:c>
      <ns0:c r="BY426" s="93">
        <ns0:f>HYPERLINK("https://www1.hkexnews.hk/listedco/listconews/sehk/2026/0114/2026011400011.pdf","prospectus")</ns0:f>
        <ns0:v/>
      </ns0:c>
      <ns0:c r="BZ426" s="93">
        <ns0:f>HYPERLINK("https://www1.hkexnews.hk/listedco/listconews/sehk/2026/0121/2026012101145.pdf","allotment")</ns0:f>
        <ns0:v/>
      </ns0:c>
      <ns0:c r="CA426" s="93">
        <ns0:f>HYPERLINK("https://www1.hkexnews.hk/listedco/listconews/sehk/2026/0223/2026022300424.pdf","stabilisation")</ns0:f>
        <ns0:v/>
      </ns0:c>
      <ns0:c r="CB426" s="94" t="n"/>
      <ns0:c r="CC426" s="74" t="inlineStr">
        <ns0:is>
          <ns0:t>range low: maximum offer price only, no floor published; A/H: Jan 2026 H listing (smart-device ODM)</ns0:t>
        </ns0:is>
      </ns0:c>
    </ns0:row>
    <ns0:row r="427" ht="22" customHeight="1">
      <ns0:c r="A427" s="73" t="inlineStr">
        <ns0:is>
          <ns0:t>1768</ns0:t>
        </ns0:is>
      </ns0:c>
      <ns0:c r="B427" s="74" t="inlineStr">
        <ns0:is>
          <ns0:t>BUSYMING</ns0:t>
        </ns0:is>
      </ns0:c>
      <ns0:c r="C427" s="74" t="inlineStr">
        <ns0:is>
          <ns0:t>鳴鳴很忙</ns0:t>
        </ns0:is>
      </ns0:c>
      <ns0:c r="D427" s="74" t="inlineStr">
        <ns0:is>
          <ns0:t>Consumer</ns0:t>
        </ns0:is>
      </ns0:c>
      <ns0:c r="E427" s="74" t="inlineStr">
        <ns0:is>
          <ns0:t>Beverages / packaged food</ns0:t>
        </ns0:is>
      </ns0:c>
      <ns0:c r="F427" s="74" t="inlineStr">
        <ns0:is>
          <ns0:t>Packaged Foods</ns0:t>
        </ns0:is>
      </ns0:c>
      <ns0:c r="G427" s="74" t="inlineStr">
        <ns0:is>
          <ns0:t>Standard</ns0:t>
        </ns0:is>
      </ns0:c>
      <ns0:c r="H427" s="75" t="n">
        <ns0:v>46050</ns0:v>
      </ns0:c>
      <ns0:c r="I427" s="76" t="n">
        <ns0:v>3670</ns0:v>
      </ns0:c>
      <ns0:c r="J427" s="74" t="inlineStr">
        <ns0:is>
          <ns0:t>gross (stated)</ns0:t>
        </ns0:is>
      </ns0:c>
      <ns0:c r="K427" s="95" t="n"/>
      <ns0:c r="L427" s="77" t="n">
        <ns0:v>236.6</ns0:v>
      </ns0:c>
      <ns0:c r="M427" s="77" t="n">
        <ns0:v>236.6</ns0:v>
      </ns0:c>
      <ns0:c r="N427" s="74" t="inlineStr">
        <ns0:is>
          <ns0:t>Y</ns0:t>
        </ns0:is>
      </ns0:c>
      <ns0:c r="O427" s="78" t="n">
        <ns0:v>100</ns0:v>
      </ns0:c>
      <ns0:c r="P427" s="84" t="n"/>
      <ns0:c r="Q427" s="79" t="n">
        <ns0:v>50989.9</ns0:v>
      </ns0:c>
      <ns0:c r="R427" s="74" t="inlineStr">
        <ns0:is>
          <ns0:t>derived:price x shares upon listing</ns0:t>
        </ns0:is>
      </ns0:c>
      <ns0:c r="S427" s="80" t="n">
        <ns0:v>1899.49</ns0:v>
      </ns0:c>
      <ns0:c r="T427" s="81" t="n">
        <ns0:v>44.44</ns0:v>
      </ns0:c>
      <ns0:c r="U427" s="82" t="n">
        <ns0:v>41.41</ns0:v>
      </ns0:c>
      <ns0:c r="V427" s="83" t="n">
        <ns0:v>306</ns0:v>
      </ns0:c>
      <ns0:c r="W427" s="78" t="n">
        <ns0:v>9.1</ns0:v>
      </ns0:c>
      <ns0:c r="X427" s="74" t="inlineStr">
        <ns0:is>
          <ns0:t>NO</ns0:t>
        </ns0:is>
      </ns0:c>
      <ns0:c r="Y427" s="79" t="n">
        <ns0:v>2150.25</ns0:v>
      </ns0:c>
      <ns0:c r="Z427" s="79" t="n">
        <ns0:v>9088012</ns0:v>
      </ns0:c>
      <ns0:c r="AA427" s="78" t="n">
        <ns0:v>4.22</ns0:v>
      </ns0:c>
      <ns0:c r="AB427" s="74" t="inlineStr">
        <ns0:is>
          <ns0:t>Tencent; Temasek; BlackRock; FIL Investment; Bosera International; E Fund; Springs Capital (Hong Kong) Limited; Taikang Life</ns0:t>
        </ns0:is>
      </ns0:c>
      <ns0:c r="AC427" s="74" t="inlineStr">
        <ns0:is>
          <ns0:t>tencent;temasek;blackrock;fil;bosera;fund;springs;taikang</ns0:t>
        </ns0:is>
      </ns0:c>
      <ns0:c r="AD427" s="78" t="n">
        <ns0:v>15</ns0:v>
      </ns0:c>
      <ns0:c r="AE427" s="74" t="inlineStr">
        <ns0:is>
          <ns0:t>full</ns0:t>
        </ns0:is>
      </ns0:c>
      <ns0:c r="AF427" s="85" t="n"/>
      <ns0:c r="AG427" s="74" t="inlineStr">
        <ns0:is>
          <ns0:t>Goldman Sachs</ns0:t>
        </ns0:is>
      </ns0:c>
      <ns0:c r="AH427" s="74" t="inlineStr">
        <ns0:is>
          <ns0:t>Goldman Sachs</ns0:t>
        </ns0:is>
      </ns0:c>
      <ns0:c r="AI427" s="86" t="n">
        <ns0:v>72.44</ns0:v>
      </ns0:c>
      <ns0:c r="AJ427" s="87" t="n">
        <ns0:v>69.06</ns0:v>
      </ns0:c>
      <ns0:c r="AK427" s="87" t="n">
        <ns0:v>2.6</ns0:v>
      </ns0:c>
      <ns0:c r="AL427" s="87" t="n">
        <ns0:v>88.08</ns0:v>
      </ns0:c>
      <ns0:c r="AM427" s="87" t="n">
        <ns0:v>-10.11</ns0:v>
      </ns0:c>
      <ns0:c r="AN427" s="89" t="n">
        <ns0:v>5.59</ns0:v>
      </ns0:c>
      <ns0:c r="AO427" s="78" t="n">
        <ns0:v>10.29</ns0:v>
      </ns0:c>
      <ns0:c r="AP427" s="87" t="n">
        <ns0:v>68.81</ns0:v>
      </ns0:c>
      <ns0:c r="AQ427" s="87" t="n">
        <ns0:v>65.17</ns0:v>
      </ns0:c>
      <ns0:c r="AR427" s="87" t="n">
        <ns0:v>84.11</ns0:v>
      </ns0:c>
      <ns0:c r="AS427" s="87" t="n">
        <ns0:v>-0.15</ns0:v>
      </ns0:c>
      <ns0:c r="AT427" s="87" t="n">
        <ns0:v>-2.3</ns0:v>
      </ns0:c>
      <ns0:c r="AU427" s="87" t="n">
        <ns0:v>8.9</ns0:v>
      </ns0:c>
      <ns0:c r="AV427" s="87" t="n">
        <ns0:v>72.29000000000001</ns0:v>
      </ns0:c>
      <ns0:c r="AW427" s="87" t="n">
        <ns0:v>73.93000000000001</ns0:v>
      </ns0:c>
      <ns0:c r="AX427" s="87" t="n">
        <ns0:v>92.84999999999999</ns0:v>
      </ns0:c>
      <ns0:c r="AY427" s="87" t="n">
        <ns0:v>8.77</ns0:v>
      </ns0:c>
      <ns0:c r="AZ427" s="87" t="n">
        <ns0:v>-8.76</ns0:v>
      </ns0:c>
      <ns0:c r="BA427" s="87" t="n">
        <ns0:v>-11.07</ns0:v>
      </ns0:c>
      <ns0:c r="BB427" s="74" t="inlineStr">
        <ns0:is>
          <ns0:t>Hang Seng Commerce &amp; Industry sub-index</ns0:t>
        </ns0:is>
      </ns0:c>
      <ns0:c r="BC427" s="87" t="n">
        <ns0:v>45.48</ns0:v>
      </ns0:c>
      <ns0:c r="BD427" s="75" t="n">
        <ns0:v>46297</ns0:v>
      </ns0:c>
      <ns0:c r="BE427" s="76" t="n">
        <ns0:v>43277.9</ns0:v>
      </ns0:c>
      <ns0:c r="BF427" s="79" t="n">
        <ns0:v>912.1</ns0:v>
      </ns0:c>
      <ns0:c r="BG427" s="74" t="inlineStr">
        <ns0:is>
          <ns0:t>Y</ns0:t>
        </ns0:is>
      </ns0:c>
      <ns0:c r="BH427" s="89" t="n">
        <ns0:v>55.9</ns0:v>
      </ns0:c>
      <ns0:c r="BI427" s="88" t="n"/>
      <ns0:c r="BJ427" s="88" t="n"/>
      <ns0:c r="BK427" s="89" t="n">
        <ns0:v>1.2</ns0:v>
      </ns0:c>
      <ns0:c r="BL427" s="90">
        <ns0:f>IFERROR(IF('BBG Verify'!S427="","Awaiting Bloomberg",'BBG Verify'!S427),"Awaiting Bloomberg")</ns0:f>
        <ns0:v/>
      </ns0:c>
      <ns0:c r="BM427" s="91" t="inlineStr">
        <ns0:is>
          <ns0:t>N</ns0:t>
        </ns0:is>
      </ns0:c>
      <ns0:c r="BN427" s="92">
        <ns0:f>IFERROR(IF('BBG Verify'!K427="","Awaiting Bloomberg",'BBG Verify'!K427),"Awaiting Bloomberg")</ns0:f>
        <ns0:v/>
      </ns0:c>
      <ns0:c r="BO427" s="74" t="inlineStr">
        <ns0:is>
          <ns0:t>N/A</ns0:t>
        </ns0:is>
      </ns0:c>
      <ns0:c r="BP427" s="74" t="inlineStr">
        <ns0:is>
          <ns0:t>N/A</ns0:t>
        </ns0:is>
      </ns0:c>
      <ns0:c r="BQ427" s="74" t="inlineStr">
        <ns0:is>
          <ns0:t>N/A</ns0:t>
        </ns0:is>
      </ns0:c>
      <ns0:c r="BR427" s="74" t="inlineStr">
        <ns0:is>
          <ns0:t>N/A</ns0:t>
        </ns0:is>
      </ns0:c>
      <ns0:c r="BS427" s="74" t="inlineStr">
        <ns0:is>
          <ns0:t>N/A</ns0:t>
        </ns0:is>
      </ns0:c>
      <ns0:c r="BT427" s="74" t="inlineStr">
        <ns0:is>
          <ns0:t>N/A</ns0:t>
        </ns0:is>
      </ns0:c>
      <ns0:c r="BU427" s="91" t="inlineStr">
        <ns0:is>
          <ns0:t>Goldman Sachs (Asia) L.L.C; Huatai Financial Holdings (Hong Kong) Limited</ns0:t>
        </ns0:is>
      </ns0:c>
      <ns0:c r="BV427" s="74" t="inlineStr">
        <ns0:is>
          <ns0:t>Goldman Sachs (Asia) L.L.C.; Huatai Financial Holdings (Hong Kong) Limited</ns0:t>
        </ns0:is>
      </ns0:c>
      <ns0:c r="BW427" s="74" t="inlineStr">
        <ns0:is>
          <ns0:t>Goldman Sachs (Asia) L.L.C; Huatai Financial Holdings (Hong Kong) Limited; Deutsche Bank AG, Hong Kong Branch; Haitong International Securities Company Limited; Futu Securities International (Hong Kong) Limited</ns0:t>
        </ns0:is>
      </ns0:c>
      <ns0:c r="BX427" s="74" t="inlineStr">
        <ns0:is>
          <ns0:t>Deutsche Bank AG; Hong Kong Branch; Futu Securities International (Hong Kong) Limited; Goldman Sachs (Asia) L.L.C.; Huatai Financial Holdings (Hong Kong) Limited; Haitong International Securities Company Limited; SPDB International Capital Limited</ns0:t>
        </ns0:is>
      </ns0:c>
      <ns0:c r="BY427" s="93">
        <ns0:f>HYPERLINK("https://www1.hkexnews.hk/listedco/listconews/sehk/2026/0120/2026012000025.pdf","prospectus")</ns0:f>
        <ns0:v/>
      </ns0:c>
      <ns0:c r="BZ427" s="93">
        <ns0:f>HYPERLINK("https://www1.hkexnews.hk/listedco/listconews/sehk/2026/0127/2026012701713.pdf","allotment")</ns0:f>
        <ns0:v/>
      </ns0:c>
      <ns0:c r="CA427" s="93">
        <ns0:f>HYPERLINK("https://www1.hkexnews.hk/listedco/listconews/sehk/2026/0223/2026022300458.pdf","stabilisation")</ns0:f>
        <ns0:v/>
      </ns0:c>
      <ns0:c r="CB427" s="94" t="n"/>
      <ns0:c r="CC427" s="74" t="inlineStr">
        <ns0:is>
          <ns0:t>greenshoe: outcome published; expiry date not in the notice; range low: maximum offer price only, no floor published</ns0:t>
        </ns0:is>
      </ns0:c>
    </ns0:row>
    <ns0:row r="428" ht="22" customHeight="1">
      <ns0:c r="A428" s="73" t="inlineStr">
        <ns0:is>
          <ns0:t>9980</ns0:t>
        </ns0:is>
      </ns0:c>
      <ns0:c r="B428" s="74" t="inlineStr">
        <ns0:is>
          <ns0:t>EASTROC</ns0:t>
        </ns0:is>
      </ns0:c>
      <ns0:c r="C428" s="74" t="inlineStr">
        <ns0:is>
          <ns0:t>東鵬飲料</ns0:t>
        </ns0:is>
      </ns0:c>
      <ns0:c r="D428" s="74" t="inlineStr">
        <ns0:is>
          <ns0:t>Consumer</ns0:t>
        </ns0:is>
      </ns0:c>
      <ns0:c r="E428" s="74" t="inlineStr">
        <ns0:is>
          <ns0:t>Beverages / packaged food</ns0:t>
        </ns0:is>
      </ns0:c>
      <ns0:c r="F428" s="74" t="inlineStr">
        <ns0:is>
          <ns0:t>Beverages (Non-alcoholic)</ns0:t>
        </ns0:is>
      </ns0:c>
      <ns0:c r="G428" s="74" t="inlineStr">
        <ns0:is>
          <ns0:t>Standard</ns0:t>
        </ns0:is>
      </ns0:c>
      <ns0:c r="H428" s="75" t="n">
        <ns0:v>46056</ns0:v>
      </ns0:c>
      <ns0:c r="I428" s="76" t="n">
        <ns0:v>10140.7</ns0:v>
      </ns0:c>
      <ns0:c r="J428" s="74" t="inlineStr">
        <ns0:is>
          <ns0:t>gross (stated)</ns0:t>
        </ns0:is>
      </ns0:c>
      <ns0:c r="K428" s="95" t="n"/>
      <ns0:c r="L428" s="77" t="n">
        <ns0:v>248</ns0:v>
      </ns0:c>
      <ns0:c r="M428" s="77" t="n">
        <ns0:v>248</ns0:v>
      </ns0:c>
      <ns0:c r="N428" s="74" t="inlineStr">
        <ns0:is>
          <ns0:t>Y</ns0:t>
        </ns0:is>
      </ns0:c>
      <ns0:c r="O428" s="78" t="n">
        <ns0:v>100</ns0:v>
      </ns0:c>
      <ns0:c r="P428" s="84" t="n"/>
      <ns0:c r="Q428" s="79" t="n">
        <ns0:v>139103.9</ns0:v>
      </ns0:c>
      <ns0:c r="R428" s="74" t="inlineStr">
        <ns0:is>
          <ns0:t>derived:price x shares upon listing</ns0:t>
        </ns0:is>
      </ns0:c>
      <ns0:c r="S428" s="80" t="n">
        <ns0:v>57.46</ns0:v>
      </ns0:c>
      <ns0:c r="T428" s="81" t="n">
        <ns0:v>15.6</ns0:v>
      </ns0:c>
      <ns0:c r="U428" s="82" t="n">
        <ns0:v>49.2</ns0:v>
      </ns0:c>
      <ns0:c r="V428" s="83" t="n">
        <ns0:v>219</ns0:v>
      </ns0:c>
      <ns0:c r="W428" s="78" t="n">
        <ns0:v>10</ns0:v>
      </ns0:c>
      <ns0:c r="X428" s="74" t="inlineStr">
        <ns0:is>
          <ns0:t>NO</ns0:t>
        </ns0:is>
      </ns0:c>
      <ns0:c r="Y428" s="79" t="n">
        <ns0:v>5151.48</ns0:v>
      </ns0:c>
      <ns0:c r="Z428" s="97" t="n"/>
      <ns0:c r="AA428" s="78" t="n">
        <ns0:v>3.7</ns0:v>
      </ns0:c>
      <ns0:c r="AB428" s="74" t="inlineStr">
        <ns0:is>
          <ns0: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ns0:t>
        </ns0:is>
      </ns0:c>
      <ns0:c r="AC428" s="74" t="inlineStr">
        <ns0:is>
          <ns0:t>al;taibai;true;huang-river;hsg;azure;taikang;investments-limited;velmar;pinpoint;amazing;phase</ns0:t>
        </ns0:is>
      </ns0:c>
      <ns0:c r="AD428" s="78" t="n">
        <ns0:v>7.29</ns0:v>
      </ns0:c>
      <ns0:c r="AE428" s="74" t="inlineStr">
        <ns0:is>
          <ns0:t>partial</ns0:t>
        </ns0:is>
      </ns0:c>
      <ns0:c r="AF428" s="85" t="n"/>
      <ns0:c r="AG428" s="74" t="inlineStr">
        <ns0:is>
          <ns0:t>Morgan Stanley Asia Limited</ns0:t>
        </ns0:is>
      </ns0:c>
      <ns0:c r="AH428" s="74" t="inlineStr">
        <ns0:is>
          <ns0:t>Morgan Stanley</ns0:t>
        </ns0:is>
      </ns0:c>
      <ns0:c r="AI428" s="86" t="n">
        <ns0:v>0.8100000000000001</ns0:v>
      </ns0:c>
      <ns0:c r="AJ428" s="87" t="n">
        <ns0:v>1.53</ns0:v>
      </ns0:c>
      <ns0:c r="AK428" s="87" t="n">
        <ns0:v>-0.38</ns0:v>
      </ns0:c>
      <ns0:c r="AL428" s="87" t="n">
        <ns0:v>0</ns0:v>
      </ns0:c>
      <ns0:c r="AM428" s="87" t="n">
        <ns0:v>1.53</ns0:v>
      </ns0:c>
      <ns0:c r="AN428" s="89" t="n">
        <ns0:v>1.35</ns0:v>
      </ns0:c>
      <ns0:c r="AO428" s="78" t="n">
        <ns0:v>2.5</ns0:v>
      </ns0:c>
      <ns0:c r="AP428" s="87" t="n">
        <ns0:v>0.8100000000000001</ns0:v>
      </ns0:c>
      <ns0:c r="AQ428" s="87" t="n">
        <ns0:v>-13.87</ns0:v>
      </ns0:c>
      <ns0:c r="AR428" s="87" t="n">
        <ns0:v>-12.46</ns0:v>
      </ns0:c>
      <ns0:c r="AS428" s="87" t="n">
        <ns0:v>-0.71</ns0:v>
      </ns0:c>
      <ns0:c r="AT428" s="87" t="n">
        <ns0:v>-15.17</ns0:v>
      </ns0:c>
      <ns0:c r="AU428" s="87" t="n">
        <ns0:v>-13.78</ns0:v>
      </ns0:c>
      <ns0:c r="AV428" s="87" t="n">
        <ns0:v>-0.05</ns0:v>
      </ns0:c>
      <ns0:c r="AW428" s="87" t="n">
        <ns0:v>-7.17</ns0:v>
      </ns0:c>
      <ns0:c r="AX428" s="87" t="n">
        <ns0:v>-6.91</ns0:v>
      </ns0:c>
      <ns0:c r="AY428" s="87" t="n">
        <ns0:v>-8.82</ns0:v>
      </ns0:c>
      <ns0:c r="AZ428" s="87" t="n">
        <ns0:v>-6.7</ns0:v>
      </ns0:c>
      <ns0:c r="BA428" s="87" t="n">
        <ns0:v>-6.35</ns0:v>
      </ns0:c>
      <ns0:c r="BB428" s="74" t="inlineStr">
        <ns0:is>
          <ns0:t>Hang Seng Commerce &amp; Industry sub-index</ns0:t>
        </ns0:is>
      </ns0:c>
      <ns0:c r="BC428" s="87" t="n">
        <ns0:v>-50.73</ns0:v>
      </ns0:c>
      <ns0:c r="BD428" s="75" t="n">
        <ns0:v>46297</ns0:v>
      </ns0:c>
      <ns0:c r="BE428" s="76" t="n">
        <ns0:v>17413.4</ns0:v>
      </ns0:c>
      <ns0:c r="BF428" s="79" t="n">
        <ns0:v>3659.1</ns0:v>
      </ns0:c>
      <ns0:c r="BG428" s="74" t="inlineStr">
        <ns0:is>
          <ns0:t>Y</ns0:t>
        </ns0:is>
      </ns0:c>
      <ns0:c r="BH428" s="89" t="n">
        <ns0:v>38</ns0:v>
      </ns0:c>
      <ns0:c r="BI428" s="89" t="n">
        <ns0:v>26.3</ns0:v>
      </ns0:c>
      <ns0:c r="BJ428" s="89" t="n">
        <ns0:v>14.4</ns0:v>
      </ns0:c>
      <ns0:c r="BK428" s="89" t="n">
        <ns0:v>8</ns0:v>
      </ns0:c>
      <ns0:c r="BL428" s="90">
        <ns0:f>IFERROR(IF('BBG Verify'!S428="","Awaiting Bloomberg",'BBG Verify'!S428),"Awaiting Bloomberg")</ns0:f>
        <ns0:v/>
      </ns0:c>
      <ns0:c r="BM428" s="91" t="inlineStr">
        <ns0:is>
          <ns0:t>Y</ns0:t>
        </ns0:is>
      </ns0:c>
      <ns0:c r="BN428" s="74" t="inlineStr">
        <ns0:is>
          <ns0:t>605499.SS</ns0:t>
        </ns0:is>
      </ns0:c>
      <ns0:c r="BO428" s="87" t="n">
        <ns0:v>16.43</ns0:v>
      </ns0:c>
      <ns0:c r="BP428" s="77" t="n">
        <ns0:v>288.7582</ns0:v>
      </ns0:c>
      <ns0:c r="BQ428" s="101" t="n">
        <ns0:v>0.3974</ns0:v>
      </ns0:c>
      <ns0:c r="BR428" s="79" t="n">
        <ns0:v>96477.39999999999</ns0:v>
      </ns0:c>
      <ns0:c r="BS428" s="90">
        <ns0:f>IFERROR(IF('BBG Verify'!Q428="","Awaiting Bloomberg",'BBG Verify'!Q428),"Awaiting Bloomberg")</ns0:f>
        <ns0:v/>
      </ns0:c>
      <ns0:c r="BT428" s="90">
        <ns0:f>IFERROR(IF('BBG Verify'!R428="","Awaiting Bloomberg",'BBG Verify'!R428),"Awaiting Bloomberg")</ns0:f>
        <ns0:v/>
      </ns0:c>
      <ns0:c r="BU428" s="91" t="inlineStr">
        <ns0:is>
          <ns0:t>Huatai Financial Holdings (Hong Kong) Limited; Morgan Stanley Asia Limited; UBS Securities Hong Kong Limited</ns0:t>
        </ns0:is>
      </ns0:c>
      <ns0:c r="BV428" s="74" t="inlineStr">
        <ns0:is>
          <ns0:t>Morgan Stanley Asia Limited; UBS Securities Hong Kong Limited; Huatai Financial Holdings (Hong Kong) Limited</ns0:t>
        </ns0:is>
      </ns0:c>
      <ns0:c r="BW428" s="74" t="inlineStr">
        <ns0:is>
          <ns0:t>Huatai Financial Holdings (Hong Kong) Limited; Morgan Stanley Asia Limited; UBS AG Hong Kong Branch</ns0:t>
        </ns0:is>
      </ns0:c>
      <ns0:c r="BX428" s="74" t="inlineStr">
        <ns0:is>
          <ns0:t>Huatai Financial Holdings (Hong Kong) Limited; Morgan Stanley Asia Limited; UBS AG Hong Kong Branch</ns0:t>
        </ns0:is>
      </ns0:c>
      <ns0:c r="BY428" s="93">
        <ns0:f>HYPERLINK("https://www1.hkexnews.hk/listedco/listconews/sehk/2026/0126/2026012600003.pdf","prospectus")</ns0:f>
        <ns0:v/>
      </ns0:c>
      <ns0:c r="BZ428" s="93">
        <ns0:f>HYPERLINK("https://www1.hkexnews.hk/listedco/listconews/sehk/2026/0202/2026020203212.pdf","allotment")</ns0:f>
        <ns0:v/>
      </ns0:c>
      <ns0:c r="CA428" s="93">
        <ns0:f>HYPERLINK("https://www1.hkexnews.hk/listedco/listconews/sehk/2026/0301/2026030100013.pdf","stabilisation")</ns0:f>
        <ns0:v/>
      </ns0:c>
      <ns0:c r="CB428" s="94" t="n"/>
      <ns0:c r="CC428" s="74" t="inlineStr">
        <ns0:is>
          <ns0:t>greenshoe: outcome published; expiry date not in the notice; range low: maximum offer price only, no floor published; A/H: Feb 2026, ~HK$10.1bn at HK$248/sh; largest HK IPO of early 2026; eff float shares: share count unavailable; the HK$m figure is exact</ns0:t>
        </ns0:is>
      </ns0:c>
    </ns0:row>
    <ns0:row r="429" ht="22" customHeight="1">
      <ns0:c r="A429" s="73" t="inlineStr">
        <ns0:is>
          <ns0:t>2768</ns0:t>
        </ns0:is>
      </ns0:c>
      <ns0:c r="B429" s="74" t="inlineStr">
        <ns0:is>
          <ns0:t>GON TECHNOLOGY</ns0:t>
        </ns0:is>
      </ns0:c>
      <ns0:c r="C429" s="74" t="inlineStr">
        <ns0:is>
          <ns0:t>國恩科技</ns0:t>
        </ns0:is>
      </ns0:c>
      <ns0:c r="D429" s="74" t="inlineStr">
        <ns0:is>
          <ns0:t>Technology</ns0:t>
        </ns0:is>
      </ns0:c>
      <ns0:c r="E429" s="74" t="inlineStr">
        <ns0:is>
          <ns0:t>Hardware &amp; electronics</ns0:t>
        </ns0:is>
      </ns0:c>
      <ns0:c r="F429" s="74" t="inlineStr">
        <ns0:is>
          <ns0:t>Diversified Chemicals</ns0:t>
        </ns0:is>
      </ns0:c>
      <ns0:c r="G429" s="74" t="inlineStr">
        <ns0:is>
          <ns0:t>Standard</ns0:t>
        </ns0:is>
      </ns0:c>
      <ns0:c r="H429" s="75" t="n">
        <ns0:v>46057</ns0:v>
      </ns0:c>
      <ns0:c r="I429" s="76" t="n">
        <ns0:v>1080</ns0:v>
      </ns0:c>
      <ns0:c r="J429" s="74" t="inlineStr">
        <ns0:is>
          <ns0:t>gross (stated)</ns0:t>
        </ns0:is>
      </ns0:c>
      <ns0:c r="K429" s="77" t="n">
        <ns0:v>34</ns0:v>
      </ns0:c>
      <ns0:c r="L429" s="77" t="n">
        <ns0:v>42</ns0:v>
      </ns0:c>
      <ns0:c r="M429" s="77" t="n">
        <ns0:v>36</ns0:v>
      </ns0:c>
      <ns0:c r="N429" s="74" t="inlineStr">
        <ns0:is>
          <ns0:t>N</ns0:t>
        </ns0:is>
      </ns0:c>
      <ns0:c r="O429" s="78" t="n">
        <ns0:v>85.7</ns0:v>
      </ns0:c>
      <ns0:c r="P429" s="78" t="n">
        <ns0:v>25</ns0:v>
      </ns0:c>
      <ns0:c r="Q429" s="79" t="n">
        <ns0:v>10845</ns0:v>
      </ns0:c>
      <ns0:c r="R429" s="74" t="inlineStr">
        <ns0:is>
          <ns0:t>derived:price x shares upon listing</ns0:t>
        </ns0:is>
      </ns0:c>
      <ns0:c r="S429" s="80" t="n">
        <ns0:v>2251.85</ns0:v>
      </ns0:c>
      <ns0:c r="T429" s="81" t="n">
        <ns0:v>10.03</ns0:v>
      </ns0:c>
      <ns0:c r="U429" s="82" t="n">
        <ns0:v>29.56</ns0:v>
      </ns0:c>
      <ns0:c r="V429" s="83" t="n">
        <ns0:v>88</ns0:v>
      </ns0:c>
      <ns0:c r="W429" s="78" t="n">
        <ns0:v>10</ns0:v>
      </ns0:c>
      <ns0:c r="X429" s="74" t="inlineStr">
        <ns0:is>
          <ns0:t>NO</ns0:t>
        </ns0:is>
      </ns0:c>
      <ns0:c r="Y429" s="79" t="n">
        <ns0:v>760.75</ns0:v>
      </ns0:c>
      <ns0:c r="Z429" s="79" t="n">
        <ns0:v>21132000</ns0:v>
      </ns0:c>
      <ns0:c r="AA429" s="78" t="n">
        <ns0:v>7.01</ns0:v>
      </ns0:c>
      <ns0:c r="AB429" s="74" t="inlineStr">
        <ns0:is>
          <ns0:t>Nice First Investments Limited; SLD International Enterprises Limited; Cheng A International Co., Limited; Shenwan Hongyuan Securities Co., Ltd; First Seafront Fund Series SPC; New Harvest Wealth Securities Company Limited; Luminous Horizon Limited; Fullgoal Asset Management (HK) Limited</ns0:t>
        </ns0:is>
      </ns0:c>
      <ns0:c r="AC429" s="74" t="inlineStr">
        <ns0:is>
          <ns0:t>nice;sld;cheng;shenwan;first-seafront;new-harvest;luminous;fullgoal</ns0:t>
        </ns0:is>
      </ns0:c>
      <ns0:c r="AD429" s="78" t="n">
        <ns0:v>15</ns0:v>
      </ns0:c>
      <ns0:c r="AE429" s="85" t="n"/>
      <ns0:c r="AF429" s="85" t="n"/>
      <ns0:c r="AG429" s="85" t="n"/>
      <ns0:c r="AH429" s="85" t="n"/>
      <ns0:c r="AI429" s="86" t="n">
        <ns0:v>31.11</ns0:v>
      </ns0:c>
      <ns0:c r="AJ429" s="87" t="n">
        <ns0:v>11.56</ns0:v>
      </ns0:c>
      <ns0:c r="AK429" s="87" t="n">
        <ns0:v>-1.78</ns0:v>
      </ns0:c>
      <ns0:c r="AL429" s="87" t="n">
        <ns0:v>25</ns0:v>
      </ns0:c>
      <ns0:c r="AM429" s="87" t="n">
        <ns0:v>-10.75</ns0:v>
      </ns0:c>
      <ns0:c r="AN429" s="89" t="n">
        <ns0:v>8.470000000000001</ns0:v>
      </ns0:c>
      <ns0:c r="AO429" s="78" t="n">
        <ns0:v>24.44</ns0:v>
      </ns0:c>
      <ns0:c r="AP429" s="87" t="n">
        <ns0:v>27.22</ns0:v>
      </ns0:c>
      <ns0:c r="AQ429" s="87" t="n">
        <ns0:v>33.22</ns0:v>
      </ns0:c>
      <ns0:c r="AR429" s="87" t="n">
        <ns0:v>43.75</ns0:v>
      </ns0:c>
      <ns0:c r="AS429" s="87" t="n">
        <ns0:v>14.04</ns0:v>
      </ns0:c>
      <ns0:c r="AT429" s="87" t="n">
        <ns0:v>19.42</ns0:v>
      </ns0:c>
      <ns0:c r="AU429" s="87" t="n">
        <ns0:v>28.85</ns0:v>
      </ns0:c>
      <ns0:c r="AV429" s="87" t="n">
        <ns0:v>26.57</ns0:v>
      </ns0:c>
      <ns0:c r="AW429" s="87" t="n">
        <ns0:v>40.68</ns0:v>
      </ns0:c>
      <ns0:c r="AX429" s="87" t="n">
        <ns0:v>50.43</ns0:v>
      </ns0:c>
      <ns0:c r="AY429" s="87" t="n">
        <ns0:v>25.21</ns0:v>
      </ns0:c>
      <ns0:c r="AZ429" s="87" t="n">
        <ns0:v>-7.46</ns0:v>
      </ns0:c>
      <ns0:c r="BA429" s="87" t="n">
        <ns0:v>-5.79</ns0:v>
      </ns0:c>
      <ns0:c r="BB429" s="74" t="inlineStr">
        <ns0:is>
          <ns0:t>HSTECH (Hang Seng TECH ETF)</ns0:t>
        </ns0:is>
      </ns0:c>
      <ns0:c r="BC429" s="87" t="n">
        <ns0:v>54.82</ns0:v>
      </ns0:c>
      <ns0:c r="BD429" s="75" t="n">
        <ns0:v>46297</ns0:v>
      </ns0:c>
      <ns0:c r="BE429" s="76" t="n">
        <ns0:v>21106.3</ns0:v>
      </ns0:c>
      <ns0:c r="BF429" s="79" t="n">
        <ns0:v>792.6</ns0:v>
      </ns0:c>
      <ns0:c r="BG429" s="74" t="inlineStr">
        <ns0:is>
          <ns0:t>Y</ns0:t>
        </ns0:is>
      </ns0:c>
      <ns0:c r="BH429" s="89" t="n">
        <ns0:v>13.7</ns0:v>
      </ns0:c>
      <ns0:c r="BI429" s="89" t="n">
        <ns0:v>11.2</ns0:v>
      </ns0:c>
      <ns0:c r="BJ429" s="89" t="n">
        <ns0:v>16.5</ns0:v>
      </ns0:c>
      <ns0:c r="BK429" s="89" t="n">
        <ns0:v>0.5</ns0:v>
      </ns0:c>
      <ns0:c r="BL429" s="90">
        <ns0:f>IFERROR(IF('BBG Verify'!S429="","Awaiting Bloomberg",'BBG Verify'!S429),"Awaiting Bloomberg")</ns0:f>
        <ns0:v/>
      </ns0:c>
      <ns0:c r="BM429" s="91" t="inlineStr">
        <ns0:is>
          <ns0:t>Y</ns0:t>
        </ns0:is>
      </ns0:c>
      <ns0:c r="BN429" s="74" t="inlineStr">
        <ns0:is>
          <ns0:t>002768.SZ</ns0:t>
        </ns0:is>
      </ns0:c>
      <ns0:c r="BO429" s="87" t="n">
        <ns0:v>74.11</ns0:v>
      </ns0:c>
      <ns0:c r="BP429" s="77" t="n">
        <ns0:v>62.6783</ns0:v>
      </ns0:c>
      <ns0:c r="BQ429" s="101" t="n">
        <ns0:v>1.1692</ns0:v>
      </ns0:c>
      <ns0:c r="BR429" s="79" t="n">
        <ns0:v>35682.9</ns0:v>
      </ns0:c>
      <ns0:c r="BS429" s="90">
        <ns0:f>IFERROR(IF('BBG Verify'!Q429="","Awaiting Bloomberg",'BBG Verify'!Q429),"Awaiting Bloomberg")</ns0:f>
        <ns0:v/>
      </ns0:c>
      <ns0:c r="BT429" s="90">
        <ns0:f>IFERROR(IF('BBG Verify'!R429="","Awaiting Bloomberg",'BBG Verify'!R429),"Awaiting Bloomberg")</ns0:f>
        <ns0:v/>
      </ns0:c>
      <ns0:c r="BU429" s="91" t="inlineStr">
        <ns0:is>
          <ns0:t>China Merchants Securities (HK) Co., Limited</ns0:t>
        </ns0:is>
      </ns0:c>
      <ns0:c r="BV429" s="74" t="inlineStr">
        <ns0:is>
          <ns0:t>China Merchants Securities (HK) Company Limited</ns0:t>
        </ns0:is>
      </ns0:c>
      <ns0:c r="BW429" s="74" t="inlineStr">
        <ns0:is>
          <ns0:t>China Merchants Securities (HK) Co., Limited; CLSA Limited; China International Capital Corporation Hong Kong Securities Limited; Tiger Brokers (HK) Global Limited; Livermore Holdings Limited</ns0:t>
        </ns0:is>
      </ns0:c>
      <ns0:c r="BX429" s="74" t="inlineStr">
        <ns0:is>
          <ns0:t>China International Capital Corporation Hong Kong Securities Limited; CLSA Limited; CMB International Capital Limited; China Merchants Securities (HK) Company Limited; Livermore Holdings Limited; Tiger Brokers (HK) Global Limited</ns0:t>
        </ns0:is>
      </ns0:c>
      <ns0:c r="BY429" s="93">
        <ns0:f>HYPERLINK("https://www1.hkexnews.hk/listedco/listconews/sehk/2026/0127/2026012700009.pdf","prospectus")</ns0:f>
        <ns0:v/>
      </ns0:c>
      <ns0:c r="BZ429" s="93">
        <ns0:f>HYPERLINK("https://www1.hkexnews.hk/listedco/listconews/sehk/2026/0203/2026020302602.pdf","allotment")</ns0:f>
        <ns0:v/>
      </ns0:c>
      <ns0:c r="CA429" s="85" t="n"/>
      <ns0:c r="CB429" s="94" t="n"/>
      <ns0:c r="CC429" s="74" t="inlineStr">
        <ns0:is>
          <ns0:t>greenshoe: end-of-stabilisation notice not found; A/H: Feb 2026 H listing (polymer materials); market cap: today's A-line share count implies HK$15,718m, 31% above the filed count (capitalisation issue since); filed count kept; stabilising manager: not named in the allotment notice or prospectus glossary</ns0:t>
        </ns0:is>
      </ns0:c>
    </ns0:row>
    <ns0:row r="430" ht="22" customHeight="1">
      <ns0:c r="A430" s="73" t="inlineStr">
        <ns0:is>
          <ns0:t>2677</ns0:t>
        </ns0:is>
      </ns0:c>
      <ns0:c r="B430" s="74" t="inlineStr">
        <ns0:is>
          <ns0:t>DISTINCT HEALTH</ns0:t>
        </ns0:is>
      </ns0:c>
      <ns0:c r="C430" s="74" t="inlineStr">
        <ns0:is>
          <ns0:t>卓正醫療</ns0:t>
        </ns0:is>
      </ns0:c>
      <ns0:c r="D430" s="74" t="inlineStr">
        <ns0:is>
          <ns0:t>Healthcare</ns0:t>
        </ns0:is>
      </ns0:c>
      <ns0:c r="E430" s="74" t="inlineStr">
        <ns0:is>
          <ns0:t>Digital health</ns0:t>
        </ns0:is>
      </ns0:c>
      <ns0:c r="F430" s="74" t="inlineStr">
        <ns0:is>
          <ns0:t>Health Care Services</ns0:t>
        </ns0:is>
      </ns0:c>
      <ns0:c r="G430" s="74" t="inlineStr">
        <ns0:is>
          <ns0:t>Standard</ns0:t>
        </ns0:is>
      </ns0:c>
      <ns0:c r="H430" s="75" t="n">
        <ns0:v>46059</ns0:v>
      </ns0:c>
      <ns0:c r="I430" s="76" t="n">
        <ns0:v>284.53</ns0:v>
      </ns0:c>
      <ns0:c r="J430" s="74" t="inlineStr">
        <ns0:is>
          <ns0:t>gross (stated)</ns0:t>
        </ns0:is>
      </ns0:c>
      <ns0:c r="K430" s="77" t="n">
        <ns0:v>57.7</ns0:v>
      </ns0:c>
      <ns0:c r="L430" s="77" t="n">
        <ns0:v>66.59999999999999</ns0:v>
      </ns0:c>
      <ns0:c r="M430" s="77" t="n">
        <ns0:v>59.9</ns0:v>
      </ns0:c>
      <ns0:c r="N430" s="74" t="inlineStr">
        <ns0:is>
          <ns0:t>N</ns0:t>
        </ns0:is>
      </ns0:c>
      <ns0:c r="O430" s="78" t="n">
        <ns0:v>89.90000000000001</ns0:v>
      </ns0:c>
      <ns0:c r="P430" s="78" t="n">
        <ns0:v>24.7</ns0:v>
      </ns0:c>
      <ns0:c r="Q430" s="79" t="n">
        <ns0:v>3856.6</ns0:v>
      </ns0:c>
      <ns0:c r="R430" s="74" t="inlineStr">
        <ns0:is>
          <ns0:t>derived:price x shares upon listing</ns0:t>
        </ns0:is>
      </ns0:c>
      <ns0:c r="S430" s="80" t="n">
        <ns0:v>2730.73</ns0:v>
      </ns0:c>
      <ns0:c r="T430" s="81" t="n">
        <ns0:v>5.79</ns0:v>
      </ns0:c>
      <ns0:c r="U430" s="82" t="n">
        <ns0:v>31.59</ns0:v>
      </ns0:c>
      <ns0:c r="V430" s="83" t="n">
        <ns0:v>211</ns0:v>
      </ns0:c>
      <ns0:c r="W430" s="78" t="n">
        <ns0:v>10</ns0:v>
      </ns0:c>
      <ns0:c r="X430" s="74" t="inlineStr">
        <ns0:is>
          <ns0:t>NO</ns0:t>
        </ns0:is>
      </ns0:c>
      <ns0:c r="Y430" s="79" t="n">
        <ns0:v>194.65</ns0:v>
      </ns0:c>
      <ns0:c r="Z430" s="79" t="n">
        <ns0:v>3249475</ns0:v>
      </ns0:c>
      <ns0:c r="AA430" s="78" t="n">
        <ns0:v>5.05</ns0:v>
      </ns0:c>
      <ns0:c r="AB430" s="74" t="inlineStr">
        <ns0:is>
          <ns0:t>Health Vision Hong Kong Limited; KingMed Diagnostics (Hong Kong) Limited ʮ̡; Mininglamp Technology; Galaxy Dynasty Limited</ns0:t>
        </ns0:is>
      </ns0:c>
      <ns0:c r="AC430" s="74" t="inlineStr">
        <ns0:is>
          <ns0:t>health;kingmed;mininglamp;galaxy</ns0:t>
        </ns0:is>
      </ns0:c>
      <ns0:c r="AD430" s="78" t="n">
        <ns0:v>15</ns0:v>
      </ns0:c>
      <ns0:c r="AE430" s="74" t="inlineStr">
        <ns0:is>
          <ns0:t>partial</ns0:t>
        </ns0:is>
      </ns0:c>
      <ns0:c r="AF430" s="74" t="inlineStr">
        <ns0:is>
          <ns0:t>2026-03-05</ns0:t>
        </ns0:is>
      </ns0:c>
      <ns0:c r="AG430" s="85" t="n"/>
      <ns0:c r="AH430" s="85" t="n"/>
      <ns0:c r="AI430" s="86" t="n">
        <ns0:v>48.25</ns0:v>
      </ns0:c>
      <ns0:c r="AJ430" s="87" t="n">
        <ns0:v>13.36</ns0:v>
      </ns0:c>
      <ns0:c r="AK430" s="87" t="n">
        <ns0:v>0.03</ns0:v>
      </ns0:c>
      <ns0:c r="AL430" s="87" t="n">
        <ns0:v>35.23</ns0:v>
      </ns0:c>
      <ns0:c r="AM430" s="87" t="n">
        <ns0:v>-16.17</ns0:v>
      </ns0:c>
      <ns0:c r="AN430" s="89" t="n">
        <ns0:v>5.09</ns0:v>
      </ns0:c>
      <ns0:c r="AO430" s="78" t="n">
        <ns0:v>31.73</ns0:v>
      </ns0:c>
      <ns0:c r="AP430" s="87" t="n">
        <ns0:v>-3.17</ns0:v>
      </ns0:c>
      <ns0:c r="AQ430" s="87" t="n">
        <ns0:v>9.1</ns0:v>
      </ns0:c>
      <ns0:c r="AR430" s="87" t="n">
        <ns0:v>-54.49</ns0:v>
      </ns0:c>
      <ns0:c r="AS430" s="87" t="n">
        <ns0:v>-14.58</ns0:v>
      </ns0:c>
      <ns0:c r="AT430" s="87" t="n">
        <ns0:v>-3.76</ns0:v>
      </ns0:c>
      <ns0:c r="AU430" s="87" t="n">
        <ns0:v>-59.85</ns0:v>
      </ns0:c>
      <ns0:c r="AV430" s="87" t="n">
        <ns0:v>-4.64</ns0:v>
      </ns0:c>
      <ns0:c r="AW430" s="87" t="n">
        <ns0:v>14.97</ns0:v>
      </ns0:c>
      <ns0:c r="AX430" s="87" t="n">
        <ns0:v>-61.12</ns0:v>
      </ns0:c>
      <ns0:c r="AY430" s="87" t="n">
        <ns0:v>2.14</ns0:v>
      </ns0:c>
      <ns0:c r="AZ430" s="87" t="n">
        <ns0:v>-5.87</ns0:v>
      </ns0:c>
      <ns0:c r="BA430" s="87" t="n">
        <ns0:v>-5.9</ns0:v>
      </ns0:c>
      <ns0:c r="BB430" s="74" t="inlineStr">
        <ns0:is>
          <ns0:t>China Biotech ETF (HS biotech proxy)</ns0:t>
        </ns0:is>
      </ns0:c>
      <ns0:c r="BC430" s="87" t="n">
        <ns0:v>-61.97</ns0:v>
      </ns0:c>
      <ns0:c r="BD430" s="75" t="n">
        <ns0:v>46297</ns0:v>
      </ns0:c>
      <ns0:c r="BE430" s="76" t="n">
        <ns0:v>1054.4</ns0:v>
      </ns0:c>
      <ns0:c r="BF430" s="79" t="n">
        <ns0:v>88.2</ns0:v>
      </ns0:c>
      <ns0:c r="BG430" s="74" t="inlineStr">
        <ns0:is>
          <ns0:t>Y</ns0:t>
        </ns0:is>
      </ns0:c>
      <ns0:c r="BH430" s="89" t="n">
        <ns0:v>43.7</ns0:v>
      </ns0:c>
      <ns0:c r="BI430" s="88" t="n"/>
      <ns0:c r="BJ430" s="88" t="n"/>
      <ns0:c r="BK430" s="89" t="n">
        <ns0:v>3.7</ns0:v>
      </ns0:c>
      <ns0:c r="BL430" s="90">
        <ns0:f>IFERROR(IF('BBG Verify'!S430="","Awaiting Bloomberg",'BBG Verify'!S430),"Awaiting Bloomberg")</ns0:f>
        <ns0:v/>
      </ns0:c>
      <ns0:c r="BM430" s="91" t="inlineStr">
        <ns0:is>
          <ns0:t>N</ns0:t>
        </ns0:is>
      </ns0:c>
      <ns0:c r="BN430" s="92">
        <ns0:f>IFERROR(IF('BBG Verify'!K430="","Awaiting Bloomberg",'BBG Verify'!K430),"Awaiting Bloomberg")</ns0:f>
        <ns0:v/>
      </ns0:c>
      <ns0:c r="BO430" s="74" t="inlineStr">
        <ns0:is>
          <ns0:t>N/A</ns0:t>
        </ns0:is>
      </ns0:c>
      <ns0:c r="BP430" s="74" t="inlineStr">
        <ns0:is>
          <ns0:t>N/A</ns0:t>
        </ns0:is>
      </ns0:c>
      <ns0:c r="BQ430" s="74" t="inlineStr">
        <ns0:is>
          <ns0:t>N/A</ns0:t>
        </ns0:is>
      </ns0:c>
      <ns0:c r="BR430" s="74" t="inlineStr">
        <ns0:is>
          <ns0:t>N/A</ns0:t>
        </ns0:is>
      </ns0:c>
      <ns0:c r="BS430" s="74" t="inlineStr">
        <ns0:is>
          <ns0:t>N/A</ns0:t>
        </ns0:is>
      </ns0:c>
      <ns0:c r="BT430" s="74" t="inlineStr">
        <ns0:is>
          <ns0:t>N/A</ns0:t>
        </ns0:is>
      </ns0:c>
      <ns0:c r="BU430" s="91" t="inlineStr">
        <ns0:is>
          <ns0:t>Haitong International Capital Limited; SPDB International Capital Limited; Haitong International Securities Company Limited</ns0:t>
        </ns0:is>
      </ns0:c>
      <ns0:c r="BV430" s="74" t="inlineStr">
        <ns0:is>
          <ns0:t>Haitong International Capital Limited; SPDB International Capital Limited</ns0:t>
        </ns0:is>
      </ns0:c>
      <ns0:c r="BW430" s="74" t="inlineStr">
        <ns0:is>
          <ns0:t>Haitong International Securities Company Limited; SPDB International Capital Limited; CMB International Capital Limited; China Galaxy International Securities (Hong Kong) Co., Limited; CCB International Capital Limited; ICBC International Securities Limited; China Renaissance Securities (Hong Kong) Limited; Futu Securities International (Hong Kong) Limited; Zhongtai International Securities Limited; XCap Partners Limited; Funde Securities Limited; Tiger Brokers (HK) Global Limited</ns0:t>
        </ns0:is>
      </ns0:c>
      <ns0:c r="BX430" s="74" t="inlineStr">
        <ns0:is>
          <ns0: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ns0:t>
        </ns0:is>
      </ns0:c>
      <ns0:c r="BY430" s="93">
        <ns0:f>HYPERLINK("https://www1.hkexnews.hk/listedco/listconews/sehk/2026/0129/2026012900021.pdf","prospectus")</ns0:f>
        <ns0:v/>
      </ns0:c>
      <ns0:c r="BZ430" s="93">
        <ns0:f>HYPERLINK("https://www1.hkexnews.hk/listedco/listconews/sehk/2026/0205/2026020501800.pdf","allotment")</ns0:f>
        <ns0:v/>
      </ns0:c>
      <ns0:c r="CA430" s="93">
        <ns0:f>HYPERLINK("https://www1.hkexnews.hk/listedco/listconews/sehk/2026/0305/2026030502008.pdf","stabilisation")</ns0:f>
        <ns0:v/>
      </ns0:c>
      <ns0:c r="CB430" s="94" t="n"/>
      <ns0:c r="CC430" s="74" t="inlineStr">
        <ns0:is>
          <ns0:t>stabilising manager: not named in the allotment notice or prospectus glossary</ns0:t>
        </ns0:is>
      </ns0:c>
    </ns0:row>
    <ns0:row r="431" ht="22" customHeight="1">
      <ns0:c r="A431" s="73" t="inlineStr">
        <ns0:is>
          <ns0:t>3200</ns0:t>
        </ns0:is>
      </ns0:c>
      <ns0:c r="B431" s="74" t="inlineStr">
        <ns0:is>
          <ns0:t>HANS CNC</ns0:t>
        </ns0:is>
      </ns0:c>
      <ns0:c r="C431" s="74" t="inlineStr">
        <ns0:is>
          <ns0:t>大族數控</ns0:t>
        </ns0:is>
      </ns0:c>
      <ns0:c r="D431" s="74" t="inlineStr">
        <ns0:is>
          <ns0:t>Industrials</ns0:t>
        </ns0:is>
      </ns0:c>
      <ns0:c r="E431" s="74" t="inlineStr">
        <ns0:is>
          <ns0:t>Capital goods / machinery</ns0:t>
        </ns0:is>
      </ns0:c>
      <ns0:c r="F431" s="74" t="inlineStr">
        <ns0:is>
          <ns0:t>Printed Circuit Boards</ns0:t>
        </ns0:is>
      </ns0:c>
      <ns0:c r="G431" s="74" t="inlineStr">
        <ns0:is>
          <ns0:t>Standard</ns0:t>
        </ns0:is>
      </ns0:c>
      <ns0:c r="H431" s="75" t="n">
        <ns0:v>46059</ns0:v>
      </ns0:c>
      <ns0:c r="I431" s="76" t="n">
        <ns0:v>4833.3</ns0:v>
      </ns0:c>
      <ns0:c r="J431" s="74" t="inlineStr">
        <ns0:is>
          <ns0:t>gross (stated)</ns0:t>
        </ns0:is>
      </ns0:c>
      <ns0:c r="K431" s="95" t="n"/>
      <ns0:c r="L431" s="77" t="n">
        <ns0:v>95.8</ns0:v>
      </ns0:c>
      <ns0:c r="M431" s="77" t="n">
        <ns0:v>95.8</ns0:v>
      </ns0:c>
      <ns0:c r="N431" s="74" t="inlineStr">
        <ns0:is>
          <ns0:t>Y</ns0:t>
        </ns0:is>
      </ns0:c>
      <ns0:c r="O431" s="78" t="n">
        <ns0:v>100</ns0:v>
      </ns0:c>
      <ns0:c r="P431" s="84" t="n"/>
      <ns0:c r="Q431" s="79" t="n">
        <ns0:v>40277.5</ns0:v>
      </ns0:c>
      <ns0:c r="R431" s="74" t="inlineStr">
        <ns0:is>
          <ns0:t>derived:deal size / offer % of enlarged capital</ns0:t>
        </ns0:is>
      </ns0:c>
      <ns0:c r="S431" s="80" t="n">
        <ns0:v>446.39</ns0:v>
      </ns0:c>
      <ns0:c r="T431" s="81" t="n">
        <ns0:v>21.07</ns0:v>
      </ns0:c>
      <ns0:c r="U431" s="82" t="n">
        <ns0:v>50</ns0:v>
      </ns0:c>
      <ns0:c r="V431" s="83" t="n">
        <ns0:v>218</ns0:v>
      </ns0:c>
      <ns0:c r="W431" s="78" t="n">
        <ns0:v>10</ns0:v>
      </ns0:c>
      <ns0:c r="X431" s="74" t="inlineStr">
        <ns0:is>
          <ns0:t>NA</ns0:t>
        </ns0:is>
      </ns0:c>
      <ns0:c r="Y431" s="79" t="n">
        <ns0:v>2416.65</ns0:v>
      </ns0:c>
      <ns0:c r="Z431" s="79" t="n">
        <ns0:v>25225900</ns0:v>
      </ns0:c>
      <ns0:c r="AA431" s="78" t="n">
        <ns0:v>6</ns0:v>
      </ns0:c>
      <ns0:c r="AB431" s="74" t="inlineStr">
        <ns0:is>
          <ns0:t>Schroders; HHLR Advisors (Hillhouse); Morgan Stanley Asia Limited; Fullgoal Fund; Hongxing International; OmniVision HK; Industrial Bank WM</ns0:t>
        </ns0:is>
      </ns0:c>
      <ns0:c r="AC431" s="74" t="inlineStr">
        <ns0:is>
          <ns0:t>schroders;hhlr;morgan;fullgoal;hongxing;omnivision;industrial</ns0:t>
        </ns0:is>
      </ns0:c>
      <ns0:c r="AD431" s="78" t="n">
        <ns0:v>15</ns0:v>
      </ns0:c>
      <ns0:c r="AE431" s="74" t="inlineStr">
        <ns0:is>
          <ns0:t>full</ns0:t>
        </ns0:is>
      </ns0:c>
      <ns0:c r="AF431" s="74" t="inlineStr">
        <ns0:is>
          <ns0:t>2026-03-05</ns0:t>
        </ns0:is>
      </ns0:c>
      <ns0:c r="AG431" s="74" t="inlineStr">
        <ns0:is>
          <ns0:t>China International Capital Corporation Hong Kong Securities Limited</ns0:t>
        </ns0:is>
      </ns0:c>
      <ns0:c r="AH431" s="74" t="inlineStr">
        <ns0:is>
          <ns0:t>China International</ns0:t>
        </ns0:is>
      </ns0:c>
      <ns0:c r="AI431" s="86" t="n">
        <ns0:v>23.38</ns0:v>
      </ns0:c>
      <ns0:c r="AJ431" s="87" t="n">
        <ns0:v>14.82</ns0:v>
      </ns0:c>
      <ns0:c r="AK431" s="87" t="n">
        <ns0:v>-0.87</ns0:v>
      </ns0:c>
      <ns0:c r="AL431" s="87" t="n">
        <ns0:v>10.65</ns0:v>
      </ns0:c>
      <ns0:c r="AM431" s="87" t="n">
        <ns0:v>3.77</ns0:v>
      </ns0:c>
      <ns0:c r="AN431" s="89" t="n">
        <ns0:v>2.6</ns0:v>
      </ns0:c>
      <ns0:c r="AO431" s="78" t="n">
        <ns0:v>10.28</ns0:v>
      </ns0:c>
      <ns0:c r="AP431" s="87" t="n">
        <ns0:v>17.54</ns0:v>
      </ns0:c>
      <ns0:c r="AQ431" s="87" t="n">
        <ns0:v>21.92</ns0:v>
      </ns0:c>
      <ns0:c r="AR431" s="87" t="n">
        <ns0:v>69.42</ns0:v>
      </ns0:c>
      <ns0:c r="AS431" s="87" t="n">
        <ns0:v>2.37</ns0:v>
      </ns0:c>
      <ns0:c r="AT431" s="87" t="n">
        <ns0:v>6.18</ns0:v>
      </ns0:c>
      <ns0:c r="AU431" s="87" t="n">
        <ns0:v>47.55</ns0:v>
      </ns0:c>
      <ns0:c r="AV431" s="87" t="n">
        <ns0:v>18.24</ns0:v>
      </ns0:c>
      <ns0:c r="AW431" s="87" t="n">
        <ns0:v>26.5</ns0:v>
      </ns0:c>
      <ns0:c r="AX431" s="87" t="n">
        <ns0:v>76.59999999999999</ns0:v>
      </ns0:c>
      <ns0:c r="AY431" s="87" t="n">
        <ns0:v>9.92</ns0:v>
      </ns0:c>
      <ns0:c r="AZ431" s="87" t="n">
        <ns0:v>-4.58</ns0:v>
      </ns0:c>
      <ns0:c r="BA431" s="87" t="n">
        <ns0:v>-3.74</ns0:v>
      </ns0:c>
      <ns0:c r="BB431" s="74" t="inlineStr">
        <ns0:is>
          <ns0:t>Hang Seng Commerce &amp; Industry sub-index</ns0:t>
        </ns0:is>
      </ns0:c>
      <ns0:c r="BC431" s="87" t="n">
        <ns0:v>-1.88</ns0:v>
      </ns0:c>
      <ns0:c r="BD431" s="75" t="n">
        <ns0:v>46297</ns0:v>
      </ns0:c>
      <ns0:c r="BE431" s="76" t="n">
        <ns0:v>3677.4</ns0:v>
      </ns0:c>
      <ns0:c r="BF431" s="79" t="n">
        <ns0:v>329.5</ns0:v>
      </ns0:c>
      <ns0:c r="BG431" s="74" t="inlineStr">
        <ns0:is>
          <ns0:t>Y</ns0:t>
        </ns0:is>
      </ns0:c>
      <ns0:c r="BH431" s="89" t="n">
        <ns0:v>122.2</ns0:v>
      </ns0:c>
      <ns0:c r="BI431" s="89" t="n">
        <ns0:v>50.1</ns0:v>
      </ns0:c>
      <ns0:c r="BJ431" s="89" t="n">
        <ns0:v>50.2</ns0:v>
      </ns0:c>
      <ns0:c r="BK431" s="89" t="n">
        <ns0:v>11</ns0:v>
      </ns0:c>
      <ns0:c r="BL431" s="90">
        <ns0:f>IFERROR(IF('BBG Verify'!S431="","Awaiting Bloomberg",'BBG Verify'!S431),"Awaiting Bloomberg")</ns0:f>
        <ns0:v/>
      </ns0:c>
      <ns0:c r="BM431" s="91" t="inlineStr">
        <ns0:is>
          <ns0:t>Y</ns0:t>
        </ns0:is>
      </ns0:c>
      <ns0:c r="BN431" s="74" t="inlineStr">
        <ns0:is>
          <ns0:t>301200.SZ</ns0:t>
        </ns0:is>
      </ns0:c>
      <ns0:c r="BO431" s="87" t="n">
        <ns0:v>84.04000000000001</ns0:v>
      </ns0:c>
      <ns0:c r="BP431" s="77" t="n">
        <ns0:v>176.3149</ns0:v>
      </ns0:c>
      <ns0:c r="BQ431" s="101" t="n">
        <ns0:v>1.7988</ns0:v>
      </ns0:c>
      <ns0:c r="BR431" s="79" t="n">
        <ns0:v>128683.3</ns0:v>
      </ns0:c>
      <ns0:c r="BS431" s="90">
        <ns0:f>IFERROR(IF('BBG Verify'!Q431="","Awaiting Bloomberg",'BBG Verify'!Q431),"Awaiting Bloomberg")</ns0:f>
        <ns0:v/>
      </ns0:c>
      <ns0:c r="BT431" s="90">
        <ns0:f>IFERROR(IF('BBG Verify'!R431="","Awaiting Bloomberg",'BBG Verify'!R431),"Awaiting Bloomberg")</ns0:f>
        <ns0:v/>
      </ns0:c>
      <ns0:c r="BU431" s="91" t="inlineStr">
        <ns0:is>
          <ns0:t>China International Capital Corporation Hong Kong Securities Limited</ns0:t>
        </ns0:is>
      </ns0:c>
      <ns0:c r="BV431" s="74" t="inlineStr">
        <ns0:is>
          <ns0:t>China International Capital Corporation Hong Kong Securities Limited</ns0:t>
        </ns0:is>
      </ns0:c>
      <ns0:c r="BW431" s="74" t="inlineStr">
        <ns0:is>
          <ns0:t>China International Capital Corporation Hong Kong Securities Limited; Deutsche Bank AG, Hong Kong Branch; Sinolink Securities (Hong Kong) Company Limited; SDIC Securities (Hong Kong) Limited; ABCI Capital Limited</ns0:t>
        </ns0:is>
      </ns0:c>
      <ns0:c r="BX431" s="74" t="inlineStr">
        <ns0:is>
          <ns0:t>ABCI Securities Company Limited; China International Capital Corporation Hong Kong Securities Limited; Deutsche Bank AG, Hong Kong Branch; SDIC Securities (Hong Kong) Limited; Sinolink Securities (Hong Kong) Company Limited</ns0:t>
        </ns0:is>
      </ns0:c>
      <ns0:c r="BY431" s="93">
        <ns0:f>HYPERLINK("https://www1.hkexnews.hk/listedco/listconews/sehk/2026/0129/2026012900019.pdf","prospectus")</ns0:f>
        <ns0:v/>
      </ns0:c>
      <ns0:c r="BZ431" s="93">
        <ns0:f>HYPERLINK("https://www1.hkexnews.hk/listedco/listconews/sehk/2026/0205/2026020502290.pdf","allotment")</ns0:f>
        <ns0:v/>
      </ns0:c>
      <ns0:c r="CA431" s="93">
        <ns0:f>HYPERLINK("https://www1.hkexnews.hk/listedco/listconews/sehk/2026/0305/2026030501746.pdf","stabilisation")</ns0:f>
        <ns0:v/>
      </ns0:c>
      <ns0:c r="CB431" s="94" t="n"/>
      <ns0:c r="CC431" s="74" t="inlineStr">
        <ns0:is>
          <ns0:t>range low: maximum offer price only, no floor published; A/H: Feb 2026 H listing (PCB drilling equipment)</ns0:t>
        </ns0:is>
      </ns0:c>
    </ns0:row>
    <ns0:row r="432" ht="22" customHeight="1">
      <ns0:c r="A432" s="73" t="inlineStr">
        <ns0:is>
          <ns0:t>2714</ns0:t>
        </ns0:is>
      </ns0:c>
      <ns0:c r="B432" s="74" t="inlineStr">
        <ns0:is>
          <ns0:t>MUYUAN</ns0:t>
        </ns0:is>
      </ns0:c>
      <ns0:c r="C432" s="74" t="inlineStr">
        <ns0:is>
          <ns0:t>牧原股份</ns0:t>
        </ns0:is>
      </ns0:c>
      <ns0:c r="D432" s="74" t="inlineStr">
        <ns0:is>
          <ns0:t>Consumer</ns0:t>
        </ns0:is>
      </ns0:c>
      <ns0:c r="E432" s="74" t="inlineStr">
        <ns0:is>
          <ns0:t>Beverages / packaged food</ns0:t>
        </ns0:is>
      </ns0:c>
      <ns0:c r="F432" s="74" t="inlineStr">
        <ns0:is>
          <ns0:t>Poultry, Meat and Seafood</ns0:t>
        </ns0:is>
      </ns0:c>
      <ns0:c r="G432" s="74" t="inlineStr">
        <ns0:is>
          <ns0:t>Standard</ns0:t>
        </ns0:is>
      </ns0:c>
      <ns0:c r="H432" s="75" t="n">
        <ns0:v>46059</ns0:v>
      </ns0:c>
      <ns0:c r="I432" s="76" t="n">
        <ns0:v>10684.1</ns0:v>
      </ns0:c>
      <ns0:c r="J432" s="74" t="inlineStr">
        <ns0:is>
          <ns0:t>gross (stated)</ns0:t>
        </ns0:is>
      </ns0:c>
      <ns0:c r="K432" s="95" t="n"/>
      <ns0:c r="L432" s="77" t="n">
        <ns0:v>39</ns0:v>
      </ns0:c>
      <ns0:c r="M432" s="77" t="n">
        <ns0:v>39</ns0:v>
      </ns0:c>
      <ns0:c r="N432" s="74" t="inlineStr">
        <ns0:is>
          <ns0:t>Y</ns0:t>
        </ns0:is>
      </ns0:c>
      <ns0:c r="O432" s="78" t="n">
        <ns0:v>100</ns0:v>
      </ns0:c>
      <ns0:c r="P432" s="84" t="n"/>
      <ns0:c r="Q432" s="79" t="n">
        <ns0:v>286002</ns0:v>
      </ns0:c>
      <ns0:c r="R432" s="74" t="inlineStr">
        <ns0:is>
          <ns0:t>prospectus:stated market capitalisation</ns0:t>
        </ns0:is>
      </ns0:c>
      <ns0:c r="S432" s="80" t="n">
        <ns0:v>5.88</ns0:v>
      </ns0:c>
      <ns0:c r="T432" s="81" t="n">
        <ns0:v>8.619999999999999</ns0:v>
      </ns0:c>
      <ns0:c r="U432" s="82" t="n">
        <ns0:v>50</ns0:v>
      </ns0:c>
      <ns0:c r="V432" s="83" t="n">
        <ns0:v>160</ns0:v>
      </ns0:c>
      <ns0:c r="W432" s="84" t="n"/>
      <ns0:c r="X432" s="74" t="inlineStr">
        <ns0:is>
          <ns0:t>NA</ns0:t>
        </ns0:is>
      </ns0:c>
      <ns0:c r="Y432" s="79" t="n">
        <ns0:v>5342.05</ns0:v>
      </ns0:c>
      <ns0:c r="Z432" s="79" t="n">
        <ns0:v>136975700</ns0:v>
      </ns0:c>
      <ns0:c r="AA432" s="78" t="n">
        <ns0:v>1.87</ns0:v>
      </ns0:c>
      <ns0:c r="AB432" s="74" t="inlineStr">
        <ns0:is>
          <ns0: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ns0:t>
        </ns0:is>
      </ns0:c>
      <ns0:c r="AC432" s="74" t="inlineStr">
        <ns0:is>
          <ns0:t>charoen;wii;hpry;sinochem;henan;fil;rbc;perseverance;shanghai-gaoyi;ping;dajia;ubs;midea;integrated;jane</ns0:t>
        </ns0:is>
      </ns0:c>
      <ns0:c r="AD432" s="78" t="n">
        <ns0:v>15</ns0:v>
      </ns0:c>
      <ns0:c r="AE432" s="74" t="inlineStr">
        <ns0:is>
          <ns0:t>partial</ns0:t>
        </ns0:is>
      </ns0:c>
      <ns0:c r="AF432" s="74" t="inlineStr">
        <ns0:is>
          <ns0:t>2026-03-05</ns0:t>
        </ns0:is>
      </ns0:c>
      <ns0:c r="AG432" s="74" t="inlineStr">
        <ns0:is>
          <ns0:t>Morgan Stanley Asia Limited</ns0:t>
        </ns0:is>
      </ns0:c>
      <ns0:c r="AH432" s="74" t="inlineStr">
        <ns0:is>
          <ns0:t>Morgan Stanley</ns0:t>
        </ns0:is>
      </ns0:c>
      <ns0:c r="AI432" s="86" t="n">
        <ns0:v>5.13</ns0:v>
      </ns0:c>
      <ns0:c r="AJ432" s="87" t="n">
        <ns0:v>3.9</ns0:v>
      </ns0:c>
      <ns0:c r="AK432" s="87" t="n">
        <ns0:v>-0.87</ns0:v>
      </ns0:c>
      <ns0:c r="AL432" s="87" t="n">
        <ns0:v>0</ns0:v>
      </ns0:c>
      <ns0:c r="AM432" s="87" t="n">
        <ns0:v>3.9</ns0:v>
      </ns0:c>
      <ns0:c r="AN432" s="88" t="n"/>
      <ns0:c r="AO432" s="78" t="n">
        <ns0:v>7.03</ns0:v>
      </ns0:c>
      <ns0:c r="AP432" s="87" t="n">
        <ns0:v>0.51</ns0:v>
      </ns0:c>
      <ns0:c r="AQ432" s="87" t="n">
        <ns0:v>19.69</ns0:v>
      </ns0:c>
      <ns0:c r="AR432" s="87" t="n">
        <ns0:v>0.67</ns0:v>
      </ns0:c>
      <ns0:c r="AS432" s="87" t="n">
        <ns0:v>-3.26</ns0:v>
      </ns0:c>
      <ns0:c r="AT432" s="87" t="n">
        <ns0:v>15.2</ns0:v>
      </ns0:c>
      <ns0:c r="AU432" s="87" t="n">
        <ns0:v>-3.11</ns0:v>
      </ns0:c>
      <ns0:c r="AV432" s="87" t="n">
        <ns0:v>1.21</ns0:v>
      </ns0:c>
      <ns0:c r="AW432" s="87" t="n">
        <ns0:v>24.27</ns0:v>
      </ns0:c>
      <ns0:c r="AX432" s="87" t="n">
        <ns0:v>7.85</ns0:v>
      </ns0:c>
      <ns0:c r="AY432" s="87" t="n">
        <ns0:v>18.94</ns0:v>
      </ns0:c>
      <ns0:c r="AZ432" s="87" t="n">
        <ns0:v>-4.58</ns0:v>
      </ns0:c>
      <ns0:c r="BA432" s="87" t="n">
        <ns0:v>-3.74</ns0:v>
      </ns0:c>
      <ns0:c r="BB432" s="74" t="inlineStr">
        <ns0:is>
          <ns0:t>Hang Seng Commerce &amp; Industry sub-index</ns0:t>
        </ns0:is>
      </ns0:c>
      <ns0:c r="BC432" s="87" t="n">
        <ns0:v>-5.69</ns0:v>
      </ns0:c>
      <ns0:c r="BD432" s="75" t="n">
        <ns0:v>46297</ns0:v>
      </ns0:c>
      <ns0:c r="BE432" s="76" t="n">
        <ns0:v>158559.5</ns0:v>
      </ns0:c>
      <ns0:c r="BF432" s="79" t="n">
        <ns0:v>16992.9</ns0:v>
      </ns0:c>
      <ns0:c r="BG432" s="74" t="inlineStr">
        <ns0:is>
          <ns0:t>Y</ns0:t>
        </ns0:is>
      </ns0:c>
      <ns0:c r="BH432" s="89" t="n">
        <ns0:v>16.8</ns0:v>
      </ns0:c>
      <ns0:c r="BI432" s="89" t="n">
        <ns0:v>12.5</ns0:v>
      </ns0:c>
      <ns0:c r="BJ432" s="89" t="n">
        <ns0:v>9.9</ns0:v>
      </ns0:c>
      <ns0:c r="BK432" s="89" t="n">
        <ns0:v>1.8</ns0:v>
      </ns0:c>
      <ns0:c r="BL432" s="90">
        <ns0:f>IFERROR(IF('BBG Verify'!S432="","Awaiting Bloomberg",'BBG Verify'!S432),"Awaiting Bloomberg")</ns0:f>
        <ns0:v/>
      </ns0:c>
      <ns0:c r="BM432" s="91" t="inlineStr">
        <ns0:is>
          <ns0:t>Y</ns0:t>
        </ns0:is>
      </ns0:c>
      <ns0:c r="BN432" s="74" t="inlineStr">
        <ns0:is>
          <ns0:t>002714.SZ</ns0:t>
        </ns0:is>
      </ns0:c>
      <ns0:c r="BO432" s="87" t="n">
        <ns0:v>34.91</ns0:v>
      </ns0:c>
      <ns0:c r="BP432" s="77" t="n">
        <ns0:v>52.613</ns0:v>
      </ns0:c>
      <ns0:c r="BQ432" s="101" t="n">
        <ns0:v>0.3506</ns0:v>
      </ns0:c>
      <ns0:c r="BR432" s="79" t="n">
        <ns0:v>286891.7</ns0:v>
      </ns0:c>
      <ns0:c r="BS432" s="90">
        <ns0:f>IFERROR(IF('BBG Verify'!Q432="","Awaiting Bloomberg",'BBG Verify'!Q432),"Awaiting Bloomberg")</ns0:f>
        <ns0:v/>
      </ns0:c>
      <ns0:c r="BT432" s="90">
        <ns0:f>IFERROR(IF('BBG Verify'!R432="","Awaiting Bloomberg",'BBG Verify'!R432),"Awaiting Bloomberg")</ns0:f>
        <ns0:v/>
      </ns0:c>
      <ns0:c r="BU432" s="91" t="inlineStr">
        <ns0:is>
          <ns0:t>Morgan Stanley Asia Limited; CITIC Securities (Hong Kong) Limited; Goldman Sachs (Asia) L.L.C</ns0:t>
        </ns0:is>
      </ns0:c>
      <ns0:c r="BV432" s="74" t="inlineStr">
        <ns0:is>
          <ns0:t>Morgan Stanley Asia Limited; Goldman Sachs (Asia) L.L.C.; CITIC Securities (Hong Kong) Limited</ns0:t>
        </ns0:is>
      </ns0:c>
      <ns0:c r="BW432" s="74" t="inlineStr">
        <ns0:is>
          <ns0: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ns0:t>
        </ns0:is>
      </ns0:c>
      <ns0:c r="BX432" s="74" t="inlineStr">
        <ns0:is>
          <ns0: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ns0:t>
        </ns0:is>
      </ns0:c>
      <ns0:c r="BY432" s="93">
        <ns0:f>HYPERLINK("https://www1.hkexnews.hk/listedco/listconews/sehk/2026/0129/2026012900023.pdf","prospectus")</ns0:f>
        <ns0:v/>
      </ns0:c>
      <ns0:c r="BZ432" s="93">
        <ns0:f>HYPERLINK("https://www1.hkexnews.hk/listedco/listconews/sehk/2026/0205/2026020502402.pdf","allotment")</ns0:f>
        <ns0:v/>
      </ns0:c>
      <ns0:c r="CA432" s="93">
        <ns0:f>HYPERLINK("https://www1.hkexnews.hk/listedco/listconews/sehk/2026/0305/2026030501974.pdf","stabilisation")</ns0:f>
        <ns0:v/>
      </ns0:c>
      <ns0:c r="CB432" s="94" t="n"/>
      <ns0:c r="CC432" s="74" t="inlineStr">
        <ns0:is>
          <ns0:t>range low: maximum offer price only, no floor published; A/H: Feb 2026, net proceeds up to HK$12.0bn w/ greenshoe; subdued debut; allocation: allocation table not in this notice's format (older prose announcement); day-1 tape: volume on file; the retail multiple needs the final public split, which this notice does not state</ns0:t>
        </ns0:is>
      </ns0:c>
    </ns0:row>
    <ns0:row r="433" ht="22" customHeight="1">
      <ns0:c r="A433" s="73" t="inlineStr">
        <ns0:is>
          <ns0:t>6809</ns0:t>
        </ns0:is>
      </ns0:c>
      <ns0:c r="B433" s="74" t="inlineStr">
        <ns0:is>
          <ns0:t>MONTAGE TECH</ns0:t>
        </ns0:is>
      </ns0:c>
      <ns0:c r="C433" s="74" t="inlineStr">
        <ns0:is>
          <ns0:t>瀾起科技</ns0:t>
        </ns0:is>
      </ns0:c>
      <ns0:c r="D433" s="74" t="inlineStr">
        <ns0:is>
          <ns0:t>Technology</ns0:t>
        </ns0:is>
      </ns0:c>
      <ns0:c r="E433" s="74" t="inlineStr">
        <ns0:is>
          <ns0:t>Semiconductors</ns0:t>
        </ns0:is>
      </ns0:c>
      <ns0:c r="F433" s="74" t="inlineStr">
        <ns0:is>
          <ns0:t>Semiconductors &amp; Semiconductor Equipment</ns0:t>
        </ns0:is>
      </ns0:c>
      <ns0:c r="G433" s="74" t="inlineStr">
        <ns0:is>
          <ns0:t>Standard</ns0:t>
        </ns0:is>
      </ns0:c>
      <ns0:c r="H433" s="75" t="n">
        <ns0:v>46062</ns0:v>
      </ns0:c>
      <ns0:c r="I433" s="76" t="n">
        <ns0:v>7043</ns0:v>
      </ns0:c>
      <ns0:c r="J433" s="74" t="inlineStr">
        <ns0:is>
          <ns0:t>gross (stated)</ns0:t>
        </ns0:is>
      </ns0:c>
      <ns0:c r="K433" s="95" t="n"/>
      <ns0:c r="L433" s="77" t="n">
        <ns0:v>106.89</ns0:v>
      </ns0:c>
      <ns0:c r="M433" s="77" t="n">
        <ns0:v>106.89</ns0:v>
      </ns0:c>
      <ns0:c r="N433" s="74" t="inlineStr">
        <ns0:is>
          <ns0:t>Y</ns0:t>
        </ns0:is>
      </ns0:c>
      <ns0:c r="O433" s="78" t="n">
        <ns0:v>100</ns0:v>
      </ns0:c>
      <ns0:c r="P433" s="84" t="n"/>
      <ns0:c r="Q433" s="79" t="n">
        <ns0:v>113600.4</ns0:v>
      </ns0:c>
      <ns0:c r="R433" s="74" t="inlineStr">
        <ns0:is>
          <ns0:t>derived:deal size / offer % of enlarged capital</ns0:t>
        </ns0:is>
      </ns0:c>
      <ns0:c r="S433" s="80" t="n">
        <ns0:v>707.3</ns0:v>
      </ns0:c>
      <ns0:c r="T433" s="81" t="n">
        <ns0:v>37.67</ns0:v>
      </ns0:c>
      <ns0:c r="U433" s="82" t="n">
        <ns0:v>49.82</ns0:v>
      </ns0:c>
      <ns0:c r="V433" s="83" t="n">
        <ns0:v>412</ns0:v>
      </ns0:c>
      <ns0:c r="W433" s="78" t="n">
        <ns0:v>10</ns0:v>
      </ns0:c>
      <ns0:c r="X433" s="74" t="inlineStr">
        <ns0:is>
          <ns0:t>NA</ns0:t>
        </ns0:is>
      </ns0:c>
      <ns0:c r="Y433" s="79" t="n">
        <ns0:v>3534.18</ns0:v>
      </ns0:c>
      <ns0:c r="Z433" s="79" t="n">
        <ns0:v>33063602</ns0:v>
      </ns0:c>
      <ns0:c r="AA433" s="78" t="n">
        <ns0:v>3.11</ns0:v>
      </ns0:c>
      <ns0:c r="AB433" s="74" t="inlineStr">
        <ns0:is>
          <ns0:t>J.P. Morgan Investment Management Inc; UBS Asset Management (Singapore) Ltd; Yunfeng Investments Limited New Alternative Limited; New Golden Future Limited; Alisoft China Holding Limited; Aspex Master Fund; Janchor Partners Pan-Asian Master Fund; Baring Asset Management (Asia) Limited; Mirae Asset Securities Co., Ltd; AGIC Partners Holding (Cayman) II Limited; Hel Ved Master Fund; Huaqin Telecom Hong Kong Limited; Huadeng Summit Fortitude Ventures Ltd; PSBC Wealth Management Co., Ltd; Taikang Life Insurance Co., Ltd; MY Asian Opportunities Master Fund, L.P; Qube Master Fund Ltd</ns0:t>
        </ns0:is>
      </ns0:c>
      <ns0:c r="AC433" s="74" t="inlineStr">
        <ns0:is>
          <ns0:t>morgan;ubs;yunfeng;new-golden;alisoft;aspex;janchor;baring;mirae;agic;hel;huaqin;huadeng;psbc;taikang;my;qube</ns0:t>
        </ns0:is>
      </ns0:c>
      <ns0:c r="AD433" s="78" t="n">
        <ns0:v>15</ns0:v>
      </ns0:c>
      <ns0:c r="AE433" s="74" t="inlineStr">
        <ns0:is>
          <ns0:t>full</ns0:t>
        </ns0:is>
      </ns0:c>
      <ns0:c r="AF433" s="74" t="inlineStr">
        <ns0:is>
          <ns0:t>2026-03-06</ns0:t>
        </ns0:is>
      </ns0:c>
      <ns0:c r="AG433" s="74" t="inlineStr">
        <ns0:is>
          <ns0:t>Morgan Stanley Asia Limited</ns0:t>
        </ns0:is>
      </ns0:c>
      <ns0:c r="AH433" s="74" t="inlineStr">
        <ns0:is>
          <ns0:t>Morgan Stanley</ns0:t>
        </ns0:is>
      </ns0:c>
      <ns0:c r="AI433" s="86" t="n">
        <ns0:v>39.77</ns0:v>
      </ns0:c>
      <ns0:c r="AJ433" s="87" t="n">
        <ns0:v>63.72</ns0:v>
      </ns0:c>
      <ns0:c r="AK433" s="87" t="n">
        <ns0:v>1.34</ns0:v>
      </ns0:c>
      <ns0:c r="AL433" s="87" t="n">
        <ns0:v>57.17</ns0:v>
      </ns0:c>
      <ns0:c r="AM433" s="87" t="n">
        <ns0:v>4.17</ns0:v>
      </ns0:c>
      <ns0:c r="AN433" s="89" t="n">
        <ns0:v>3.21</ns0:v>
      </ns0:c>
      <ns0:c r="AO433" s="78" t="n">
        <ns0:v>11.9</ns0:v>
      </ns0:c>
      <ns0:c r="AP433" s="87" t="n">
        <ns0:v>97.40000000000001</ns0:v>
      </ns0:c>
      <ns0:c r="AQ433" s="87" t="n">
        <ns0:v>64.19</ns0:v>
      </ns0:c>
      <ns0:c r="AR433" s="87" t="n">
        <ns0:v>312.39</ns0:v>
      </ns0:c>
      <ns0:c r="AS433" s="87" t="n">
        <ns0:v>20.57</ns0:v>
      </ns0:c>
      <ns0:c r="AT433" s="87" t="n">
        <ns0:v>0.29</ns0:v>
      </ns0:c>
      <ns0:c r="AU433" s="87" t="n">
        <ns0:v>151.89</ns0:v>
      </ns0:c>
      <ns0:c r="AV433" s="87" t="n">
        <ns0:v>97.02</ns0:v>
      </ns0:c>
      <ns0:c r="AW433" s="87" t="n">
        <ns0:v>71.06999999999999</ns0:v>
      </ns0:c>
      <ns0:c r="AX433" s="87" t="n">
        <ns0:v>321.84</ns0:v>
      </ns0:c>
      <ns0:c r="AY433" s="87" t="n">
        <ns0:v>8.4</ns0:v>
      </ns0:c>
      <ns0:c r="AZ433" s="87" t="n">
        <ns0:v>-6.88</ns0:v>
      </ns0:c>
      <ns0:c r="BA433" s="87" t="n">
        <ns0:v>-8.109999999999999</ns0:v>
      </ns0:c>
      <ns0:c r="BB433" s="74" t="inlineStr">
        <ns0:is>
          <ns0:t>HSTECH (Hang Seng TECH ETF)</ns0:t>
        </ns0:is>
      </ns0:c>
      <ns0:c r="BC433" s="87" t="n">
        <ns0:v>170.93</ns0:v>
      </ns0:c>
      <ns0:c r="BD433" s="75" t="n">
        <ns0:v>46297</ns0:v>
      </ns0:c>
      <ns0:c r="BE433" s="76" t="n">
        <ns0:v>4002.8</ns0:v>
      </ns0:c>
      <ns0:c r="BF433" s="79" t="n">
        <ns0:v>1474.8</ns0:v>
      </ns0:c>
      <ns0:c r="BG433" s="74" t="inlineStr">
        <ns0:is>
          <ns0:t>Y</ns0:t>
        </ns0:is>
      </ns0:c>
      <ns0:c r="BH433" s="89" t="n">
        <ns0:v>77</ns0:v>
      </ns0:c>
      <ns0:c r="BI433" s="89" t="n">
        <ns0:v>79.09999999999999</ns0:v>
      </ns0:c>
      <ns0:c r="BJ433" s="89" t="n">
        <ns0:v>136.4</ns0:v>
      </ns0:c>
      <ns0:c r="BK433" s="89" t="n">
        <ns0:v>28.4</ns0:v>
      </ns0:c>
      <ns0:c r="BL433" s="90">
        <ns0:f>IFERROR(IF('BBG Verify'!S433="","Awaiting Bloomberg",'BBG Verify'!S433),"Awaiting Bloomberg")</ns0:f>
        <ns0:v/>
      </ns0:c>
      <ns0:c r="BM433" s="91" t="inlineStr">
        <ns0:is>
          <ns0:t>Y</ns0:t>
        </ns0:is>
      </ns0:c>
      <ns0:c r="BN433" s="74" t="inlineStr">
        <ns0:is>
          <ns0:t>688008.SS</ns0:t>
        </ns0:is>
      </ns0:c>
      <ns0:c r="BO433" s="87" t="n">
        <ns0:v>72.29000000000001</ns0:v>
      </ns0:c>
      <ns0:c r="BP433" s="77" t="n">
        <ns0:v>184.1562</ns0:v>
      </ns0:c>
      <ns0:c r="BQ433" s="101" t="n">
        <ns0:v>-0.1825</ns0:v>
      </ns0:c>
      <ns0:c r="BR433" s="79" t="n">
        <ns0:v>289081</ns0:v>
      </ns0:c>
      <ns0:c r="BS433" s="90">
        <ns0:f>IFERROR(IF('BBG Verify'!Q433="","Awaiting Bloomberg",'BBG Verify'!Q433),"Awaiting Bloomberg")</ns0:f>
        <ns0:v/>
      </ns0:c>
      <ns0:c r="BT433" s="90">
        <ns0:f>IFERROR(IF('BBG Verify'!R433="","Awaiting Bloomberg",'BBG Verify'!R433),"Awaiting Bloomberg")</ns0:f>
        <ns0:v/>
      </ns0:c>
      <ns0:c r="BU433" s="91" t="inlineStr">
        <ns0:is>
          <ns0:t>China International Capital Corporation Hong Kong Securities Limited; Morgan Stanley Asia Limited; UBS Securities Hong Kong Limited</ns0:t>
        </ns0:is>
      </ns0:c>
      <ns0:c r="BV433" s="74" t="inlineStr">
        <ns0:is>
          <ns0:t>China International Capital Corporation Hong Kong Securities Limited; Morgan Stanley Asia Limited; UBS Securities Hong Kong Limited</ns0:t>
        </ns0:is>
      </ns0:c>
      <ns0:c r="BW433" s="74" t="inlineStr">
        <ns0:is>
          <ns0:t>China International Capital Corporation Hong Kong Securities Limited; Morgan Stanley Asia Limited; UBS AG Hong Kong Branch</ns0:t>
        </ns0:is>
      </ns0:c>
      <ns0:c r="BX433" s="74" t="inlineStr">
        <ns0:is>
          <ns0:t>China International Capital Corporation Hong Kong Securities Limited; CLSA Limited; Goldman Sachs (Asia) L.L.C.; Morgan Stanley Asia Limited; UBS AG Hong Kong Branch</ns0:t>
        </ns0:is>
      </ns0:c>
      <ns0:c r="BY433" s="93">
        <ns0:f>HYPERLINK("https://www1.hkexnews.hk/listedco/listconews/sehk/2026/0130/2026013000007.pdf","prospectus")</ns0:f>
        <ns0:v/>
      </ns0:c>
      <ns0:c r="BZ433" s="93">
        <ns0:f>HYPERLINK("https://www1.hkexnews.hk/listedco/listconews/sehk/2026/0206/2026020601350.pdf","allotment")</ns0:f>
        <ns0:v/>
      </ns0:c>
      <ns0:c r="CA433" s="93">
        <ns0:f>HYPERLINK("https://www1.hkexnews.hk/listedco/listconews/sehk/2026/0306/2026030600629.pdf","stabilisation")</ns0:f>
        <ns0:v/>
      </ns0:c>
      <ns0:c r="CB433" s="94" t="n"/>
      <ns0:c r="CC433" s="74" t="inlineStr">
        <ns0:is>
          <ns0:t>range low: maximum offer price only, no floor published; A/H: Feb 2026 H listing (memory interface chips)</ns0:t>
        </ns0:is>
      </ns0:c>
    </ns0:row>
    <ns0:row r="434" ht="22" customHeight="1">
      <ns0:c r="A434" s="73" t="inlineStr">
        <ns0:is>
          <ns0:t>2720</ns0:t>
        </ns0:is>
      </ns0:c>
      <ns0:c r="B434" s="74" t="inlineStr">
        <ns0:is>
          <ns0:t>RIDGE OUTDOOR</ns0:t>
        </ns0:is>
      </ns0:c>
      <ns0:c r="C434" s="74" t="inlineStr">
        <ns0:is>
          <ns0:t>樂欣戶外</ns0:t>
        </ns0:is>
      </ns0:c>
      <ns0:c r="D434" s="74" t="inlineStr">
        <ns0:is>
          <ns0:t>Consumer</ns0:t>
        </ns0:is>
      </ns0:c>
      <ns0:c r="E434" s="74" t="inlineStr">
        <ns0:is>
          <ns0:t>Retail / distribution</ns0:t>
        </ns0:is>
      </ns0:c>
      <ns0:c r="F434" s="74" t="inlineStr">
        <ns0:is>
          <ns0:t>Leisure Products</ns0:t>
        </ns0:is>
      </ns0:c>
      <ns0:c r="G434" s="74" t="inlineStr">
        <ns0:is>
          <ns0:t>Standard</ns0:t>
        </ns0:is>
      </ns0:c>
      <ns0:c r="H434" s="75" t="n">
        <ns0:v>46063</ns0:v>
      </ns0:c>
      <ns0:c r="I434" s="76" t="n">
        <ns0:v>345.5</ns0:v>
      </ns0:c>
      <ns0:c r="J434" s="74" t="inlineStr">
        <ns0:is>
          <ns0:t>gross (stated)</ns0:t>
        </ns0:is>
      </ns0:c>
      <ns0:c r="K434" s="77" t="n">
        <ns0:v>11.25</ns0:v>
      </ns0:c>
      <ns0:c r="L434" s="77" t="n">
        <ns0:v>12.25</ns0:v>
      </ns0:c>
      <ns0:c r="M434" s="77" t="n">
        <ns0:v>12.25</ns0:v>
      </ns0:c>
      <ns0:c r="N434" s="74" t="inlineStr">
        <ns0:is>
          <ns0:t>Y</ns0:t>
        </ns0:is>
      </ns0:c>
      <ns0:c r="O434" s="78" t="n">
        <ns0:v>100</ns0:v>
      </ns0:c>
      <ns0:c r="P434" s="78" t="n">
        <ns0:v>100</ns0:v>
      </ns0:c>
      <ns0:c r="Q434" s="79" t="n">
        <ns0:v>1570.5</ns0:v>
      </ns0:c>
      <ns0:c r="R434" s="74" t="inlineStr">
        <ns0:is>
          <ns0:t>derived:price x shares upon listing</ns0:t>
        </ns0:is>
      </ns0:c>
      <ns0:c r="S434" s="80" t="n">
        <ns0:v>3654.23</ns0:v>
      </ns0:c>
      <ns0:c r="T434" s="81" t="n">
        <ns0:v>2.94</ns0:v>
      </ns0:c>
      <ns0:c r="U434" s="82" t="n">
        <ns0:v>37.62</ns0:v>
      </ns0:c>
      <ns0:c r="V434" s="83" t="n">
        <ns0:v>74</ns0:v>
      </ns0:c>
      <ns0:c r="W434" s="78" t="n">
        <ns0:v>10</ns0:v>
      </ns0:c>
      <ns0:c r="X434" s="74" t="inlineStr">
        <ns0:is>
          <ns0:t>NO</ns0:t>
        </ns0:is>
      </ns0:c>
      <ns0:c r="Y434" s="79" t="n">
        <ns0:v>215.52</ns0:v>
      </ns0:c>
      <ns0:c r="Z434" s="79" t="n">
        <ns0:v>17594279</ns0:v>
      </ns0:c>
      <ns0:c r="AA434" s="78" t="n">
        <ns0:v>13.72</ns0:v>
      </ns0:c>
      <ns0:c r="AB434" s="74" t="inlineStr">
        <ns0:is>
          <ns0:t>Orbit Venture Capital Management Co., Limited; Huangshan Dejun Enterprise Management Co., Ltd</ns0:t>
        </ns0:is>
      </ns0:c>
      <ns0:c r="AC434" s="74" t="inlineStr">
        <ns0:is>
          <ns0:t>orbit;huangshan</ns0:t>
        </ns0:is>
      </ns0:c>
      <ns0:c r="AD434" s="84" t="n"/>
      <ns0:c r="AE434" s="85" t="n"/>
      <ns0:c r="AF434" s="85" t="n"/>
      <ns0:c r="AG434" s="85" t="n"/>
      <ns0:c r="AH434" s="85" t="n"/>
      <ns0:c r="AI434" s="86" t="n">
        <ns0:v>99.84</ns0:v>
      </ns0:c>
      <ns0:c r="AJ434" s="87" t="n">
        <ns0:v>102.29</ns0:v>
      </ns0:c>
      <ns0:c r="AK434" s="87" t="n">
        <ns0:v>0.82</ns0:v>
      </ns0:c>
      <ns0:c r="AL434" s="87" t="n">
        <ns0:v>96.08</ns0:v>
      </ns0:c>
      <ns0:c r="AM434" s="87" t="n">
        <ns0:v>3.17</ns0:v>
      </ns0:c>
      <ns0:c r="AN434" s="89" t="n">
        <ns0:v>2.21</ns0:v>
      </ns0:c>
      <ns0:c r="AO434" s="78" t="n">
        <ns0:v>32.89</ns0:v>
      </ns0:c>
      <ns0:c r="AP434" s="87" t="n">
        <ns0:v>124.49</ns0:v>
      </ns0:c>
      <ns0:c r="AQ434" s="87" t="n">
        <ns0:v>112.24</ns0:v>
      </ns0:c>
      <ns0:c r="AR434" s="87" t="n">
        <ns0:v>100.82</ns0:v>
      </ns0:c>
      <ns0:c r="AS434" s="87" t="n">
        <ns0:v>10.97</ns0:v>
      </ns0:c>
      <ns0:c r="AT434" s="87" t="n">
        <ns0:v>4.92</ns0:v>
      </ns0:c>
      <ns0:c r="AU434" s="87" t="n">
        <ns0:v>-0.73</ns0:v>
      </ns0:c>
      <ns0:c r="AV434" s="87" t="n">
        <ns0:v>126.89</ns0:v>
      </ns0:c>
      <ns0:c r="AW434" s="87" t="n">
        <ns0:v>116.15</ns0:v>
      </ns0:c>
      <ns0:c r="AX434" s="87" t="n">
        <ns0:v>108.97</ns0:v>
      </ns0:c>
      <ns0:c r="AY434" s="87" t="n">
        <ns0:v>9.619999999999999</ns0:v>
      </ns0:c>
      <ns0:c r="AZ434" s="87" t="n">
        <ns0:v>-3.91</ns0:v>
      </ns0:c>
      <ns0:c r="BA434" s="87" t="n">
        <ns0:v>-4.7</ns0:v>
      </ns0:c>
      <ns0:c r="BB434" s="74" t="inlineStr">
        <ns0:is>
          <ns0:t>Hang Seng Commerce &amp; Industry sub-index</ns0:t>
        </ns0:is>
      </ns0:c>
      <ns0:c r="BC434" s="87" t="n">
        <ns0:v>94.78</ns0:v>
      </ns0:c>
      <ns0:c r="BD434" s="75" t="n">
        <ns0:v>46297</ns0:v>
      </ns0:c>
      <ns0:c r="BE434" s="76" t="n">
        <ns0:v>630.8</ns0:v>
      </ns0:c>
      <ns0:c r="BF434" s="79" t="n">
        <ns0:v>65.3</ns0:v>
      </ns0:c>
      <ns0:c r="BG434" s="74" t="inlineStr">
        <ns0:is>
          <ns0:t>Y</ns0:t>
        </ns0:is>
      </ns0:c>
      <ns0:c r="BH434" s="89" t="n">
        <ns0:v>24.1</ns0:v>
      </ns0:c>
      <ns0:c r="BI434" s="88" t="n"/>
      <ns0:c r="BJ434" s="88" t="n"/>
      <ns0:c r="BK434" s="89" t="n">
        <ns0:v>2.5</ns0:v>
      </ns0:c>
      <ns0:c r="BL434" s="90">
        <ns0:f>IFERROR(IF('BBG Verify'!S434="","Awaiting Bloomberg",'BBG Verify'!S434),"Awaiting Bloomberg")</ns0:f>
        <ns0:v/>
      </ns0:c>
      <ns0:c r="BM434" s="91" t="inlineStr">
        <ns0:is>
          <ns0:t>N</ns0:t>
        </ns0:is>
      </ns0:c>
      <ns0:c r="BN434" s="92">
        <ns0:f>IFERROR(IF('BBG Verify'!K434="","Awaiting Bloomberg",'BBG Verify'!K434),"Awaiting Bloomberg")</ns0:f>
        <ns0:v/>
      </ns0:c>
      <ns0:c r="BO434" s="74" t="inlineStr">
        <ns0:is>
          <ns0:t>N/A</ns0:t>
        </ns0:is>
      </ns0:c>
      <ns0:c r="BP434" s="74" t="inlineStr">
        <ns0:is>
          <ns0:t>N/A</ns0:t>
        </ns0:is>
      </ns0:c>
      <ns0:c r="BQ434" s="74" t="inlineStr">
        <ns0:is>
          <ns0:t>N/A</ns0:t>
        </ns0:is>
      </ns0:c>
      <ns0:c r="BR434" s="74" t="inlineStr">
        <ns0:is>
          <ns0:t>N/A</ns0:t>
        </ns0:is>
      </ns0:c>
      <ns0:c r="BS434" s="74" t="inlineStr">
        <ns0:is>
          <ns0:t>N/A</ns0:t>
        </ns0:is>
      </ns0:c>
      <ns0:c r="BT434" s="74" t="inlineStr">
        <ns0:is>
          <ns0:t>N/A</ns0:t>
        </ns0:is>
      </ns0:c>
      <ns0:c r="BU434" s="91" t="inlineStr">
        <ns0:is>
          <ns0:t>China International Capital Corporation Hong Kong Securities Limited</ns0:t>
        </ns0:is>
      </ns0:c>
      <ns0:c r="BV434" s="74" t="inlineStr">
        <ns0:is>
          <ns0:t>China International Capital Corporation Hong Kong Securities Limited</ns0:t>
        </ns0:is>
      </ns0:c>
      <ns0:c r="BW434" s="74" t="inlineStr">
        <ns0:is>
          <ns0:t>China International Capital Corporation Hong Kong Securities Limited; Futu Securities International (Hong Kong) Limited; Fuze Securities (International) Limited</ns0:t>
        </ns0:is>
      </ns0:c>
      <ns0:c r="BX434" s="74" t="inlineStr">
        <ns0:is>
          <ns0:t>China International Capital Corporation Hong Kong Securities Limited; Futu Securities International (Hong Kong) Limited; FUZE SECURITIES (INTERNATIONAL) LIMITED</ns0:t>
        </ns0:is>
      </ns0:c>
      <ns0:c r="BY434" s="93">
        <ns0:f>HYPERLINK("https://www1.hkexnews.hk/listedco/listconews/sehk/2026/0130/2026013002014.pdf","prospectus")</ns0:f>
        <ns0:v/>
      </ns0:c>
      <ns0:c r="BZ434" s="93">
        <ns0:f>HYPERLINK("https://www1.hkexnews.hk/listedco/listconews/sehk/2026/0209/2026020901096.pdf","allotment")</ns0:f>
        <ns0:v/>
      </ns0:c>
      <ns0:c r="CA434" s="85" t="n"/>
      <ns0:c r="CB434" s="94" t="n"/>
      <ns0:c r="CC434" s="74" t="inlineStr">
        <ns0:is>
          <ns0:t>greenshoe: no over-allotment option; greenshoe size: no over-allotment option; stabilising manager: no over-allotment option, so none appointed</ns0:t>
        </ns0:is>
      </ns0:c>
    </ns0:row>
    <ns0:row r="435" ht="22" customHeight="1">
      <ns0:c r="A435" s="73" t="inlineStr">
        <ns0:is>
          <ns0:t>0600</ns0:t>
        </ns0:is>
      </ns0:c>
      <ns0:c r="B435" s="74" t="inlineStr">
        <ns0:is>
          <ns0:t>AXERA</ns0:t>
        </ns0:is>
      </ns0:c>
      <ns0:c r="C435" s="74" t="inlineStr">
        <ns0:is>
          <ns0:t>愛芯元智</ns0:t>
        </ns0:is>
      </ns0:c>
      <ns0:c r="D435" s="74" t="inlineStr">
        <ns0:is>
          <ns0:t>Technology</ns0:t>
        </ns0:is>
      </ns0:c>
      <ns0:c r="E435" s="74" t="inlineStr">
        <ns0:is>
          <ns0:t>Semiconductors</ns0:t>
        </ns0:is>
      </ns0:c>
      <ns0:c r="F435" s="74" t="inlineStr">
        <ns0:is>
          <ns0:t>Semiconductors &amp; Semiconductor Equipment</ns0:t>
        </ns0:is>
      </ns0:c>
      <ns0:c r="G435" s="74" t="inlineStr">
        <ns0:is>
          <ns0:t>Standard</ns0:t>
        </ns0:is>
      </ns0:c>
      <ns0:c r="H435" s="75" t="n">
        <ns0:v>46063</ns0:v>
      </ns0:c>
      <ns0:c r="I435" s="76" t="n">
        <ns0:v>2958.6</ns0:v>
      </ns0:c>
      <ns0:c r="J435" s="74" t="inlineStr">
        <ns0:is>
          <ns0:t>gross (stated)</ns0:t>
        </ns0:is>
      </ns0:c>
      <ns0:c r="K435" s="95" t="n"/>
      <ns0:c r="L435" s="77" t="n">
        <ns0:v>28.2</ns0:v>
      </ns0:c>
      <ns0:c r="M435" s="77" t="n">
        <ns0:v>28.2</ns0:v>
      </ns0:c>
      <ns0:c r="N435" s="74" t="inlineStr">
        <ns0:is>
          <ns0:t>Y</ns0:t>
        </ns0:is>
      </ns0:c>
      <ns0:c r="O435" s="78" t="n">
        <ns0:v>100</ns0:v>
      </ns0:c>
      <ns0:c r="P435" s="84" t="n"/>
      <ns0:c r="Q435" s="79" t="n">
        <ns0:v>16580</ns0:v>
      </ns0:c>
      <ns0:c r="R435" s="74" t="inlineStr">
        <ns0:is>
          <ns0:t>press:sina/HKCD 2026-02-10: 发行价28.2 市值165.8亿</ns0:t>
        </ns0:is>
      </ns0:c>
      <ns0:c r="S435" s="80" t="n">
        <ns0:v>104.82</ns0:v>
      </ns0:c>
      <ns0:c r="T435" s="81" t="n">
        <ns0:v>6.8</ns0:v>
      </ns0:c>
      <ns0:c r="U435" s="82" t="n">
        <ns0:v>48.76</ns0:v>
      </ns0:c>
      <ns0:c r="V435" s="83" t="n">
        <ns0:v>138</ns0:v>
      </ns0:c>
      <ns0:c r="W435" s="78" t="n">
        <ns0:v>10</ns0:v>
      </ns0:c>
      <ns0:c r="X435" s="74" t="inlineStr">
        <ns0:is>
          <ns0:t>NA</ns0:t>
        </ns0:is>
      </ns0:c>
      <ns0:c r="Y435" s="79" t="n">
        <ns0:v>1515.99</ns0:v>
      </ns0:c>
      <ns0:c r="Z435" s="97" t="n"/>
      <ns0:c r="AA435" s="78" t="n">
        <ns0:v>9.140000000000001</ns0:v>
      </ns0:c>
      <ns0:c r="AB435" s="74" t="inlineStr">
        <ns0:is>
          <ns0:t>Xin Ma Apparel International Limited; JSC International Investment Fund SPC; NGS Super Pty Limited; Desay SV Automotive Singapore Pte. Ltd; Factorial Master Fund; Hel Ved Master Fund; Valliance Asset Management Limited; Alphahill Capital Limited; Joyson Electronics Holdings Hong Kong Limited; Jupiter Global Master Fund Ltd; GRANITE ASIA IX VCC (for the account of and on behalf of GX ACCESS); Longhorn Note 2 and CICC Financial Trading Limited (in connection with Longhorn OTC Swaps); NonaVerse (Hong Kong) Limited; Qingdao Guanlan Note 2 and Guotai Junan Investments (Hong Kong) Limited (in connection with Guanlan OTC Swaps); Jinyi Capital Multi-Strategy Fund SPC Ltd</ns0:t>
        </ns0:is>
      </ns0:c>
      <ns0:c r="AC435" s="74" t="inlineStr">
        <ns0:is>
          <ns0:t>xin;jsc;ngs;desay;factorial;hel;valliance;alphahill;joyson;jupiter;granite;longhorn;nonaverse;qingdao;jinyi</ns0:t>
        </ns0:is>
      </ns0:c>
      <ns0:c r="AD435" s="78" t="n">
        <ns0:v>6</ns0:v>
      </ns0:c>
      <ns0:c r="AE435" s="74" t="inlineStr">
        <ns0:is>
          <ns0:t>partial</ns0:t>
        </ns0:is>
      </ns0:c>
      <ns0:c r="AF435" s="85" t="n"/>
      <ns0:c r="AG435" s="74" t="inlineStr">
        <ns0:is>
          <ns0:t>China International Capital Corporation Hong Kong Securities Limited</ns0:t>
        </ns0:is>
      </ns0:c>
      <ns0:c r="AH435" s="74" t="inlineStr">
        <ns0:is>
          <ns0:t>China International</ns0:t>
        </ns0:is>
      </ns0:c>
      <ns0:c r="AI435" s="86" t="n">
        <ns0:v>-4.26</ns0:v>
      </ns0:c>
      <ns0:c r="AJ435" s="87" t="n">
        <ns0:v>0</ns0:v>
      </ns0:c>
      <ns0:c r="AK435" s="87" t="n">
        <ns0:v>0.47</ns0:v>
      </ns0:c>
      <ns0:c r="AL435" s="87" t="n">
        <ns0:v>0</ns0:v>
      </ns0:c>
      <ns0:c r="AM435" s="87" t="n">
        <ns0:v>0</ns0:v>
      </ns0:c>
      <ns0:c r="AN435" s="89" t="n">
        <ns0:v>2.15</ns0:v>
      </ns0:c>
      <ns0:c r="AO435" s="78" t="n">
        <ns0:v>3.48</ns0:v>
      </ns0:c>
      <ns0:c r="AP435" s="87" t="n">
        <ns0:v>20.21</ns0:v>
      </ns0:c>
      <ns0:c r="AQ435" s="87" t="n">
        <ns0:v>-11.21</ns0:v>
      </ns0:c>
      <ns0:c r="AR435" s="87" t="n">
        <ns0:v>-28.01</ns0:v>
      </ns0:c>
      <ns0:c r="AS435" s="87" t="n">
        <ns0:v>20.21</ns0:v>
      </ns0:c>
      <ns0:c r="AT435" s="87" t="n">
        <ns0:v>-11.21</ns0:v>
      </ns0:c>
      <ns0:c r="AU435" s="87" t="n">
        <ns0:v>-28.01</ns0:v>
      </ns0:c>
      <ns0:c r="AV435" s="87" t="n">
        <ns0:v>23.89</ns0:v>
      </ns0:c>
      <ns0:c r="AW435" s="87" t="n">
        <ns0:v>-5.51</ns0:v>
      </ns0:c>
      <ns0:c r="AX435" s="87" t="n">
        <ns0:v>-17.82</ns0:v>
      </ns0:c>
      <ns0:c r="AY435" s="87" t="n">
        <ns0:v>-5.07</ns0:v>
      </ns0:c>
      <ns0:c r="AZ435" s="87" t="n">
        <ns0:v>-5.7</ns0:v>
      </ns0:c>
      <ns0:c r="BA435" s="87" t="n">
        <ns0:v>-6.14</ns0:v>
      </ns0:c>
      <ns0:c r="BB435" s="74" t="inlineStr">
        <ns0:is>
          <ns0:t>HSTECH (Hang Seng TECH ETF)</ns0:t>
        </ns0:is>
      </ns0:c>
      <ns0:c r="BC435" s="87" t="n">
        <ns0:v>-24.11</ns0:v>
      </ns0:c>
      <ns0:c r="BD435" s="75" t="n">
        <ns0:v>46297</ns0:v>
      </ns0:c>
      <ns0:c r="BE435" s="76" t="n">
        <ns0:v>520.2</ns0:v>
      </ns0:c>
      <ns0:c r="BF435" s="79" t="n">
        <ns0:v>-249.7</ns0:v>
      </ns0:c>
      <ns0:c r="BG435" s="74" t="inlineStr">
        <ns0:is>
          <ns0:t>N</ns0:t>
        </ns0:is>
      </ns0:c>
      <ns0:c r="BH435" s="74" t="inlineStr">
        <ns0:is>
          <ns0:t>n/m</ns0:t>
        </ns0:is>
      </ns0:c>
      <ns0:c r="BI435" s="88" t="n"/>
      <ns0:c r="BJ435" s="88" t="n"/>
      <ns0:c r="BK435" s="89" t="n">
        <ns0:v>31.9</ns0:v>
      </ns0:c>
      <ns0:c r="BL435" s="90">
        <ns0:f>IFERROR(IF('BBG Verify'!S435="","Awaiting Bloomberg",'BBG Verify'!S435),"Awaiting Bloomberg")</ns0:f>
        <ns0:v/>
      </ns0:c>
      <ns0:c r="BM435" s="91" t="inlineStr">
        <ns0:is>
          <ns0:t>N</ns0:t>
        </ns0:is>
      </ns0:c>
      <ns0:c r="BN435" s="92">
        <ns0:f>IFERROR(IF('BBG Verify'!K435="","Awaiting Bloomberg",'BBG Verify'!K435),"Awaiting Bloomberg")</ns0:f>
        <ns0:v/>
      </ns0:c>
      <ns0:c r="BO435" s="74" t="inlineStr">
        <ns0:is>
          <ns0:t>N/A</ns0:t>
        </ns0:is>
      </ns0:c>
      <ns0:c r="BP435" s="74" t="inlineStr">
        <ns0:is>
          <ns0:t>N/A</ns0:t>
        </ns0:is>
      </ns0:c>
      <ns0:c r="BQ435" s="74" t="inlineStr">
        <ns0:is>
          <ns0:t>N/A</ns0:t>
        </ns0:is>
      </ns0:c>
      <ns0:c r="BR435" s="74" t="inlineStr">
        <ns0:is>
          <ns0:t>N/A</ns0:t>
        </ns0:is>
      </ns0:c>
      <ns0:c r="BS435" s="74" t="inlineStr">
        <ns0:is>
          <ns0:t>N/A</ns0:t>
        </ns0:is>
      </ns0:c>
      <ns0:c r="BT435" s="74" t="inlineStr">
        <ns0:is>
          <ns0:t>N/A</ns0:t>
        </ns0:is>
      </ns0:c>
      <ns0:c r="BU435" s="91" t="inlineStr">
        <ns0:is>
          <ns0:t>China International Capital Corporation Hong Kong Securities Limited; Guotai Junan Capital Limited; BOCOM International (Asia) Limited</ns0:t>
        </ns0:is>
      </ns0:c>
      <ns0:c r="BV435" s="74" t="inlineStr">
        <ns0:is>
          <ns0:t>China International Capital Corporation Hong Kong Securities Limited; BOCOM International (Asia) Limited; Guotai Junan Capital Limited</ns0:t>
        </ns0:is>
      </ns0:c>
      <ns0:c r="BW435" s="74" t="inlineStr">
        <ns0:is>
          <ns0:t>China International Capital Corporation Hong Kong Securities Limited; BOCOM International Securities Limited; GF Securities (Hong Kong) Brokerage Limited; Ping An Securities (Hong Kong) Company Limited; Guotai Junan Securities (Hong Kong) Limited; Futu Securities International (Hong Kong) Limited; Livermore Holdings Limited; Golden Continent Securities Co., Limited</ns0:t>
        </ns0:is>
      </ns0:c>
      <ns0:c r="BX435" s="74" t="inlineStr">
        <ns0:is>
          <ns0:t>BOCOM International Securities Limited; China International Capital Corporation Hong Kong Securities Limited; Guotai Junan Securities (Hong Kong) Limited</ns0:t>
        </ns0:is>
      </ns0:c>
      <ns0:c r="BY435" s="93">
        <ns0:f>HYPERLINK("https://www1.hkexnews.hk/listedco/listconews/sehk/2026/0130/2026013000009.pdf","prospectus")</ns0:f>
        <ns0:v/>
      </ns0:c>
      <ns0:c r="BZ435" s="93">
        <ns0:f>HYPERLINK("https://www1.hkexnews.hk/listedco/listconews/sehk/2026/0209/2026020901278.pdf","allotment")</ns0:f>
        <ns0:v/>
      </ns0:c>
      <ns0:c r="CA435" s="93">
        <ns0:f>HYPERLINK("https://www1.hkexnews.hk/listedco/listconews/sehk/2026/0308/2026030800189.pdf","stabilisation")</ns0:f>
        <ns0:v/>
      </ns0:c>
      <ns0:c r="CB435" s="94" t="n"/>
      <ns0:c r="CC435" s="74" t="inlineStr">
        <ns0:is>
          <ns0:t>P/E: loss-making at IPO, use P/S; greenshoe: outcome published; expiry date not in the notice; range low: maximum offer price only, no floor published; A/H: no A-share listing; nearest A proxy Rockchip Electronics (603893.SS); eff float shares: share count unavailable; the HK$m figure is exact</ns0:t>
        </ns0:is>
      </ns0:c>
    </ns0:row>
    <ns0:row r="436" ht="22" customHeight="1">
      <ns0:c r="A436" s="73" t="inlineStr">
        <ns0:is>
          <ns0:t>0470</ns0:t>
        </ns0:is>
      </ns0:c>
      <ns0:c r="B436" s="74" t="inlineStr">
        <ns0:is>
          <ns0:t>WUXI LEAD</ns0:t>
        </ns0:is>
      </ns0:c>
      <ns0:c r="C436" s="74" t="inlineStr">
        <ns0:is>
          <ns0:t>先導智能</ns0:t>
        </ns0:is>
      </ns0:c>
      <ns0:c r="D436" s="74" t="inlineStr">
        <ns0:is>
          <ns0:t>Industrials</ns0:t>
        </ns0:is>
      </ns0:c>
      <ns0:c r="E436" s="74" t="inlineStr">
        <ns0:is>
          <ns0:t>Capital goods / machinery</ns0:t>
        </ns0:is>
      </ns0:c>
      <ns0:c r="F436" s="74" t="inlineStr">
        <ns0:is>
          <ns0:t>Advanced hardware and software</ns0:t>
        </ns0:is>
      </ns0:c>
      <ns0:c r="G436" s="74" t="inlineStr">
        <ns0:is>
          <ns0:t>Standard</ns0:t>
        </ns0:is>
      </ns0:c>
      <ns0:c r="H436" s="75" t="n">
        <ns0:v>46064</ns0:v>
      </ns0:c>
      <ns0:c r="I436" s="76" t="n">
        <ns0:v>4930.8</ns0:v>
      </ns0:c>
      <ns0:c r="J436" s="74" t="inlineStr">
        <ns0:is>
          <ns0:t>gross (stated)</ns0:t>
        </ns0:is>
      </ns0:c>
      <ns0:c r="K436" s="95" t="n"/>
      <ns0:c r="L436" s="77" t="n">
        <ns0:v>45.8</ns0:v>
      </ns0:c>
      <ns0:c r="M436" s="77" t="n">
        <ns0:v>45.8</ns0:v>
      </ns0:c>
      <ns0:c r="N436" s="74" t="inlineStr">
        <ns0:is>
          <ns0:t>Y</ns0:t>
        </ns0:is>
      </ns0:c>
      <ns0:c r="O436" s="78" t="n">
        <ns0:v>100</ns0:v>
      </ns0:c>
      <ns0:c r="P436" s="84" t="n"/>
      <ns0:c r="Q436" s="79" t="n">
        <ns0:v>76661</ns0:v>
      </ns0:c>
      <ns0:c r="R436" s="74" t="inlineStr">
        <ns0:is>
          <ns0:t>derived:price x shares upon listing</ns0:t>
        </ns0:is>
      </ns0:c>
      <ns0:c r="S436" s="80" t="n">
        <ns0:v>79.54000000000001</ns0:v>
      </ns0:c>
      <ns0:c r="T436" s="99">
        <ns0:f>IFERROR(IF('BBG Verify'!E436="","Awaiting Bloomberg",'BBG Verify'!E436),"Awaiting Bloomberg")</ns0:f>
        <ns0:v/>
      </ns0:c>
      <ns0:c r="U436" s="82" t="n">
        <ns0:v>43.48</ns0:v>
      </ns0:c>
      <ns0:c r="V436" s="100" t="n"/>
      <ns0:c r="W436" s="78" t="n">
        <ns0:v>8.699999999999999</ns0:v>
      </ns0:c>
      <ns0:c r="X436" s="74" t="inlineStr">
        <ns0:is>
          <ns0:t>NA</ns0:t>
        </ns0:is>
      </ns0:c>
      <ns0:c r="Y436" s="79" t="n">
        <ns0:v>2786.89</ns0:v>
      </ns0:c>
      <ns0:c r="Z436" s="79" t="n">
        <ns0:v>60848528</ns0:v>
      </ns0:c>
      <ns0:c r="AA436" s="78" t="n">
        <ns0:v>3.64</ns0:v>
      </ns0:c>
      <ns0:c r="AB436" s="74" t="inlineStr">
        <ns0:is>
          <ns0:t>Oaktree Capital Management, L.P; Pinpoint Asset Management Limited; Aspex Master Fund; MY Asian Opportunities Master Fund, L.P; Morgan Stanley &amp; Co. International plc; Ovata Capital Management Limited; Qube Master Fund Ltd; Wuxi Jinchou and GTHT (in connection with Wuxi; Integrated Core Strategies (Asia) Pte. Ltd; Rome Garden Holding Limited</ns0:t>
        </ns0:is>
      </ns0:c>
      <ns0:c r="AC436" s="74" t="inlineStr">
        <ns0:is>
          <ns0:t>oaktree;pinpoint;aspex;my;morgan;ovata;qube;wuxi;integrated;rome</ns0:t>
        </ns0:is>
      </ns0:c>
      <ns0:c r="AD436" s="78" t="n">
        <ns0:v>15</ns0:v>
      </ns0:c>
      <ns0:c r="AE436" s="74" t="inlineStr">
        <ns0:is>
          <ns0:t>partial</ns0:t>
        </ns0:is>
      </ns0:c>
      <ns0:c r="AF436" s="85" t="n"/>
      <ns0:c r="AG436" s="74" t="inlineStr">
        <ns0:is>
          <ns0:t>J.P. Morgan Securities</ns0:t>
        </ns0:is>
      </ns0:c>
      <ns0:c r="AH436" s="74" t="inlineStr">
        <ns0:is>
          <ns0:t>JP Morgan</ns0:t>
        </ns0:is>
      </ns0:c>
      <ns0:c r="AI436" s="86" t="n">
        <ns0:v>1.88</ns0:v>
      </ns0:c>
      <ns0:c r="AJ436" s="87" t="n">
        <ns0:v>0</ns0:v>
      </ns0:c>
      <ns0:c r="AK436" s="87" t="n">
        <ns0:v>0.64</ns0:v>
      </ns0:c>
      <ns0:c r="AL436" s="87" t="n">
        <ns0:v>1</ns0:v>
      </ns0:c>
      <ns0:c r="AM436" s="87" t="n">
        <ns0:v>-0.99</ns0:v>
      </ns0:c>
      <ns0:c r="AN436" s="89" t="n">
        <ns0:v>2.82</ns0:v>
      </ns0:c>
      <ns0:c r="AO436" s="78" t="n">
        <ns0:v>3.24</ns0:v>
      </ns0:c>
      <ns0:c r="AP436" s="87" t="n">
        <ns0:v>0.61</ns0:v>
      </ns0:c>
      <ns0:c r="AQ436" s="87" t="n">
        <ns0:v>-9.039999999999999</ns0:v>
      </ns0:c>
      <ns0:c r="AR436" s="87" t="n">
        <ns0:v>15.5</ns0:v>
      </ns0:c>
      <ns0:c r="AS436" s="87" t="n">
        <ns0:v>0.61</ns0:v>
      </ns0:c>
      <ns0:c r="AT436" s="87" t="n">
        <ns0:v>-9.039999999999999</ns0:v>
      </ns0:c>
      <ns0:c r="AU436" s="87" t="n">
        <ns0:v>15.5</ns0:v>
      </ns0:c>
      <ns0:c r="AV436" s="87" t="n">
        <ns0:v>1.12</ns0:v>
      </ns0:c>
      <ns0:c r="AW436" s="87" t="n">
        <ns0:v>-4.23</ns0:v>
      </ns0:c>
      <ns0:c r="AX436" s="87" t="n">
        <ns0:v>24.71</ns0:v>
      </ns0:c>
      <ns0:c r="AY436" s="87" t="n">
        <ns0:v>-3.62</ns0:v>
      </ns0:c>
      <ns0:c r="AZ436" s="87" t="n">
        <ns0:v>-4.81</ns0:v>
      </ns0:c>
      <ns0:c r="BA436" s="87" t="n">
        <ns0:v>-5.42</ns0:v>
      </ns0:c>
      <ns0:c r="BB436" s="74" t="inlineStr">
        <ns0:is>
          <ns0:t>Hang Seng Commerce &amp; Industry sub-index</ns0:t>
        </ns0:is>
      </ns0:c>
      <ns0:c r="BC436" s="87" t="n">
        <ns0:v>-40.17</ns0:v>
      </ns0:c>
      <ns0:c r="BD436" s="75" t="n">
        <ns0:v>46297</ns0:v>
      </ns0:c>
      <ns0:c r="BE436" s="76" t="n">
        <ns0:v>13040.6</ns0:v>
      </ns0:c>
      <ns0:c r="BF436" s="79" t="n">
        <ns0:v>314.7</ns0:v>
      </ns0:c>
      <ns0:c r="BG436" s="74" t="inlineStr">
        <ns0:is>
          <ns0:t>Y</ns0:t>
        </ns0:is>
      </ns0:c>
      <ns0:c r="BH436" s="89" t="n">
        <ns0:v>243.6</ns0:v>
      </ns0:c>
      <ns0:c r="BI436" s="88" t="n"/>
      <ns0:c r="BJ436" s="88" t="n"/>
      <ns0:c r="BK436" s="89" t="n">
        <ns0:v>5.9</ns0:v>
      </ns0:c>
      <ns0:c r="BL436" s="90">
        <ns0:f>IFERROR(IF('BBG Verify'!S436="","Awaiting Bloomberg",'BBG Verify'!S436),"Awaiting Bloomberg")</ns0:f>
        <ns0:v/>
      </ns0:c>
      <ns0:c r="BM436" s="91" t="inlineStr">
        <ns0:is>
          <ns0:t>Y</ns0:t>
        </ns0:is>
      </ns0:c>
      <ns0:c r="BN436" s="74" t="inlineStr">
        <ns0:is>
          <ns0:t>300450.SZ</ns0:t>
        </ns0:is>
      </ns0:c>
      <ns0:c r="BO436" s="87" t="n">
        <ns0:v>41.82</ns0:v>
      </ns0:c>
      <ns0:c r="BP436" s="77" t="n">
        <ns0:v>64.9515</ns0:v>
      </ns0:c>
      <ns0:c r="BQ436" s="101" t="n">
        <ns0:v>0.4923</ns0:v>
      </ns0:c>
      <ns0:c r="BR436" s="79" t="n">
        <ns0:v>68485.89999999999</ns0:v>
      </ns0:c>
      <ns0:c r="BS436" s="90">
        <ns0:f>IFERROR(IF('BBG Verify'!Q436="","Awaiting Bloomberg",'BBG Verify'!Q436),"Awaiting Bloomberg")</ns0:f>
        <ns0:v/>
      </ns0:c>
      <ns0:c r="BT436" s="90">
        <ns0:f>IFERROR(IF('BBG Verify'!R436="","Awaiting Bloomberg",'BBG Verify'!R436),"Awaiting Bloomberg")</ns0:f>
        <ns0:v/>
      </ns0:c>
      <ns0:c r="BU436" s="91" t="inlineStr">
        <ns0:is>
          <ns0:t>CITIC Securities (Hong Kong) Limited; J.P. Morgan Securities (Far East) Limited</ns0:t>
        </ns0:is>
      </ns0:c>
      <ns0:c r="BV436" s="74" t="inlineStr">
        <ns0:is>
          <ns0:t>J.P. Morgan Securities (Far East) Limited; CITIC Securities (Hong Kong) Limited</ns0:t>
        </ns0:is>
      </ns0:c>
      <ns0:c r="BW436" s="74" t="inlineStr">
        <ns0:is>
          <ns0:t>CMB International Capital Limited; ICBC International Securities Limited; SPDB International Capital Limited</ns0:t>
        </ns0:is>
      </ns0:c>
      <ns0:c r="BX436" s="74" t="inlineStr">
        <ns0:is>
          <ns0:t>ABCI Securities Company Limited; BOCI Asia Limited; CLSA Limited; CMB International Capital Limited; Huatai Financial Holdings (Hong Kong) Limited; ICBC International Securities Limited; J.P. Morgan Securities (Asia Pacific) Limited; SPDB International Capital Limited</ns0:t>
        </ns0:is>
      </ns0:c>
      <ns0:c r="BY436" s="93">
        <ns0:f>HYPERLINK("https://www1.hkexnews.hk/listedco/listconews/sehk/2026/0203/2026020300009.pdf","prospectus")</ns0:f>
        <ns0:v/>
      </ns0:c>
      <ns0:c r="BZ436" s="93">
        <ns0:f>HYPERLINK("https://www1.hkexnews.hk/listedco/listconews/sehk/2026/0210/2026021001338.pdf","allotment")</ns0:f>
        <ns0:v/>
      </ns0:c>
      <ns0:c r="CA436" s="93">
        <ns0:f>HYPERLINK("https://www1.hkexnews.hk/listedco/listconews/sehk/2026/0308/2026030800191.pdf","stabilisation")</ns0:f>
        <ns0:v/>
      </ns0:c>
      <ns0:c r="CB436" s="94" t="n"/>
      <ns0:c r="CC436" s="74" t="inlineStr">
        <ns0:is>
          <ns0:t>intl sub: not stated in the filing; greenshoe: outcome published; expiry date not in the notice; range low: maximum offer price only, no floor published; A/H: Feb 2026 H listing (battery-making equipment); allocation: allocation table not in this notice's format (older prose announcement)</ns0:t>
        </ns0:is>
      </ns0:c>
    </ns0:row>
    <ns0:row r="437" ht="22" customHeight="1">
      <ns0:c r="A437" s="73" t="inlineStr">
        <ns0:is>
          <ns0:t>2706</ns0:t>
        </ns0:is>
      </ns0:c>
      <ns0:c r="B437" s="74" t="inlineStr">
        <ns0:is>
          <ns0:t>HAIZHI TECH GP</ns0:t>
        </ns0:is>
      </ns0:c>
      <ns0:c r="C437" s="74" t="inlineStr">
        <ns0:is>
          <ns0:t>海致科技集團</ns0:t>
        </ns0:is>
      </ns0:c>
      <ns0:c r="D437" s="74" t="inlineStr">
        <ns0:is>
          <ns0:t>Technology</ns0:t>
        </ns0:is>
      </ns0:c>
      <ns0:c r="E437" s="74" t="inlineStr">
        <ns0:is>
          <ns0:t>Software &amp; AI</ns0:t>
        </ns0:is>
      </ns0:c>
      <ns0:c r="F437" s="74" t="inlineStr">
        <ns0:is>
          <ns0:t>Advanced hardware and software</ns0:t>
        </ns0:is>
      </ns0:c>
      <ns0:c r="G437" s="74" t="inlineStr">
        <ns0:is>
          <ns0:t>Standard</ns0:t>
        </ns0:is>
      </ns0:c>
      <ns0:c r="H437" s="75" t="n">
        <ns0:v>46066</ns0:v>
      </ns0:c>
      <ns0:c r="I437" s="76" t="n">
        <ns0:v>758.5</ns0:v>
      </ns0:c>
      <ns0:c r="J437" s="74" t="inlineStr">
        <ns0:is>
          <ns0:t>gross (stated)</ns0:t>
        </ns0:is>
      </ns0:c>
      <ns0:c r="K437" s="77" t="n">
        <ns0:v>25.6</ns0:v>
      </ns0:c>
      <ns0:c r="L437" s="77" t="n">
        <ns0:v>28</ns0:v>
      </ns0:c>
      <ns0:c r="M437" s="77" t="n">
        <ns0:v>27.06</ns0:v>
      </ns0:c>
      <ns0:c r="N437" s="74" t="inlineStr">
        <ns0:is>
          <ns0:t>N</ns0:t>
        </ns0:is>
      </ns0:c>
      <ns0:c r="O437" s="78" t="n">
        <ns0:v>96.59999999999999</ns0:v>
      </ns0:c>
      <ns0:c r="P437" s="78" t="n">
        <ns0:v>60.8</ns0:v>
      </ns0:c>
      <ns0:c r="Q437" s="79" t="n">
        <ns0:v>10835.7</ns0:v>
      </ns0:c>
      <ns0:c r="R437" s="74" t="inlineStr">
        <ns0:is>
          <ns0:t>derived:price x shares upon listing</ns0:t>
        </ns0:is>
      </ns0:c>
      <ns0:c r="S437" s="80" t="n">
        <ns0:v>5065.06</ns0:v>
      </ns0:c>
      <ns0:c r="T437" s="81" t="n">
        <ns0:v>8.390000000000001</ns0:v>
      </ns0:c>
      <ns0:c r="U437" s="82" t="n">
        <ns0:v>93</ns0:v>
      </ns0:c>
      <ns0:c r="V437" s="83" t="n">
        <ns0:v>120</ns0:v>
      </ns0:c>
      <ns0:c r="W437" s="78" t="n">
        <ns0:v>10</ns0:v>
      </ns0:c>
      <ns0:c r="X437" s="74" t="inlineStr">
        <ns0:is>
          <ns0:t>NA</ns0:t>
        </ns0:is>
      </ns0:c>
      <ns0:c r="Y437" s="79" t="n">
        <ns0:v>53.09</ns0:v>
      </ns0:c>
      <ns0:c r="Z437" s="79" t="n">
        <ns0:v>1962114</ns0:v>
      </ns0:c>
      <ns0:c r="AA437" s="78" t="n">
        <ns0:v>0.49</ns0:v>
      </ns0:c>
      <ns0:c r="AB437" s="74" t="inlineStr">
        <ns0:is>
          <ns0: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ns0:t>
        </ns0:is>
      </ns0:c>
      <ns0:c r="AC437" s="74" t="inlineStr">
        <ns0:is>
          <ns0:t>ren-xuyang;yang-zaifei;lc;bai-gmbh;sky;yifang;shi-youcai;yang-juan;wan-pengjiang;hu-song;tal;alternative</ns0:t>
        </ns0:is>
      </ns0:c>
      <ns0:c r="AD437" s="84" t="n"/>
      <ns0:c r="AE437" s="85" t="n"/>
      <ns0:c r="AF437" s="85" t="n"/>
      <ns0:c r="AG437" s="85" t="n"/>
      <ns0:c r="AH437" s="85" t="n"/>
      <ns0:c r="AI437" s="86" t="n">
        <ns0:v>210.42</ns0:v>
      </ns0:c>
      <ns0:c r="AJ437" s="87" t="n">
        <ns0:v>242.2</ns0:v>
      </ns0:c>
      <ns0:c r="AK437" s="87" t="n">
        <ns0:v>-1.04</ns0:v>
      </ns0:c>
      <ns0:c r="AL437" s="87" t="n">
        <ns0:v>204.14</ns0:v>
      </ns0:c>
      <ns0:c r="AM437" s="87" t="n">
        <ns0:v>12.51</ns0:v>
      </ns0:c>
      <ns0:c r="AN437" s="89" t="n">
        <ns0:v>3.5</ns0:v>
      </ns0:c>
      <ns0:c r="AO437" s="78" t="n">
        <ns0:v>21.02</ns0:v>
      </ns0:c>
      <ns0:c r="AP437" s="87" t="n">
        <ns0:v>298.74</ns0:v>
      </ns0:c>
      <ns0:c r="AQ437" s="87" t="n">
        <ns0:v>204.69</ns0:v>
      </ns0:c>
      <ns0:c r="AR437" s="87" t="n">
        <ns0:v>132.45</ns0:v>
      </ns0:c>
      <ns0:c r="AS437" s="87" t="n">
        <ns0:v>16.52</ns0:v>
      </ns0:c>
      <ns0:c r="AT437" s="87" t="n">
        <ns0:v>-10.96</ns0:v>
      </ns0:c>
      <ns0:c r="AU437" s="87" t="n">
        <ns0:v>-32.07</ns0:v>
      </ns0:c>
      <ns0:c r="AV437" s="87" t="n">
        <ns0:v>301.67</ns0:v>
      </ns0:c>
      <ns0:c r="AW437" s="87" t="n">
        <ns0:v>212.53</ns0:v>
      </ns0:c>
      <ns0:c r="AX437" s="87" t="n">
        <ns0:v>142.63</ns0:v>
      </ns0:c>
      <ns0:c r="AY437" s="87" t="n">
        <ns0:v>-4.09</ns0:v>
      </ns0:c>
      <ns0:c r="AZ437" s="87" t="n">
        <ns0:v>-7.84</ns0:v>
      </ns0:c>
      <ns0:c r="BA437" s="87" t="n">
        <ns0:v>-6.87</ns0:v>
      </ns0:c>
      <ns0:c r="BB437" s="74" t="inlineStr">
        <ns0:is>
          <ns0:t>HSTECH (Hang Seng TECH ETF)</ns0:t>
        </ns0:is>
      </ns0:c>
      <ns0:c r="BC437" s="87" t="n">
        <ns0:v>43.46</ns0:v>
      </ns0:c>
      <ns0:c r="BD437" s="75" t="n">
        <ns0:v>46297</ns0:v>
      </ns0:c>
      <ns0:c r="BE437" s="76" t="n">
        <ns0:v>553.4</ns0:v>
      </ns0:c>
      <ns0:c r="BF437" s="79" t="n">
        <ns0:v>-103.1</ns0:v>
      </ns0:c>
      <ns0:c r="BG437" s="74" t="inlineStr">
        <ns0:is>
          <ns0:t>N</ns0:t>
        </ns0:is>
      </ns0:c>
      <ns0:c r="BH437" s="74" t="inlineStr">
        <ns0:is>
          <ns0:t>n/m</ns0:t>
        </ns0:is>
      </ns0:c>
      <ns0:c r="BI437" s="88" t="n"/>
      <ns0:c r="BJ437" s="88" t="n"/>
      <ns0:c r="BK437" s="89" t="n">
        <ns0:v>19.6</ns0:v>
      </ns0:c>
      <ns0:c r="BL437" s="90">
        <ns0:f>IFERROR(IF('BBG Verify'!S437="","Awaiting Bloomberg",'BBG Verify'!S437),"Awaiting Bloomberg")</ns0:f>
        <ns0:v/>
      </ns0:c>
      <ns0:c r="BM437" s="91" t="inlineStr">
        <ns0:is>
          <ns0:t>N</ns0:t>
        </ns0:is>
      </ns0:c>
      <ns0:c r="BN437" s="92">
        <ns0:f>IFERROR(IF('BBG Verify'!K437="","Awaiting Bloomberg",'BBG Verify'!K437),"Awaiting Bloomberg")</ns0:f>
        <ns0:v/>
      </ns0:c>
      <ns0:c r="BO437" s="74" t="inlineStr">
        <ns0:is>
          <ns0:t>N/A</ns0:t>
        </ns0:is>
      </ns0:c>
      <ns0:c r="BP437" s="74" t="inlineStr">
        <ns0:is>
          <ns0:t>N/A</ns0:t>
        </ns0:is>
      </ns0:c>
      <ns0:c r="BQ437" s="74" t="inlineStr">
        <ns0:is>
          <ns0:t>N/A</ns0:t>
        </ns0:is>
      </ns0:c>
      <ns0:c r="BR437" s="74" t="inlineStr">
        <ns0:is>
          <ns0:t>N/A</ns0:t>
        </ns0:is>
      </ns0:c>
      <ns0:c r="BS437" s="74" t="inlineStr">
        <ns0:is>
          <ns0:t>N/A</ns0:t>
        </ns0:is>
      </ns0:c>
      <ns0:c r="BT437" s="74" t="inlineStr">
        <ns0:is>
          <ns0:t>N/A</ns0:t>
        </ns0:is>
      </ns0:c>
      <ns0:c r="BU437" s="91" t="inlineStr">
        <ns0:is>
          <ns0:t>CMB International Capital Limited; BOCI Asia Limited; Shenwan Hongyuan Capital (H.K.) Limited</ns0:t>
        </ns0:is>
      </ns0:c>
      <ns0:c r="BV437" s="74" t="inlineStr">
        <ns0:is>
          <ns0:t>CMB International Capital Limited; BOCI Asia Limited; Shenwan Hongyuan Capital (H.K.) Limited</ns0:t>
        </ns0:is>
      </ns0:c>
      <ns0:c r="BW437" s="74" t="inlineStr">
        <ns0:is>
          <ns0:t>CMB International Capital Limited; BOCI Asia Limited; Shenwan Hongyuan Securities (H.K.) Limited; Futu Securities International (Hong Kong) Limited; Tiger Brokers (HK) Global Limited; ABCI Capital Limited; Funde Securities Limited; Huafu International Securities Limited; Livermore Holdings Limited; TradeGo Markets Limited; Eddid Securities and Futures Limited</ns0:t>
        </ns0:is>
      </ns0:c>
      <ns0:c r="BX437" s="74" t="inlineStr">
        <ns0:is>
          <ns0: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ns0:t>
        </ns0:is>
      </ns0:c>
      <ns0:c r="BY437" s="93">
        <ns0:f>HYPERLINK("https://www1.hkexnews.hk/listedco/listconews/sehk/2026/0205/2026020500037.pdf","prospectus")</ns0:f>
        <ns0:v/>
      </ns0:c>
      <ns0:c r="BZ437" s="93">
        <ns0:f>HYPERLINK("https://www1.hkexnews.hk/listedco/listconews/sehk/2026/0212/2026021201324.pdf","allotment")</ns0:f>
        <ns0:v/>
      </ns0:c>
      <ns0:c r="CA437" s="85" t="n"/>
      <ns0:c r="CB437" s="94" t="n"/>
      <ns0:c r="CC437" s="74" t="inlineStr">
        <ns0:is>
          <ns0:t>P/E: loss-making at IPO, use P/S; greenshoe: no over-allotment option; greenshoe size: no over-allotment option; stabilising manager: filing states none appointed (allotment announcement: 'no stabilizing manager will be appointed' stated in the filing)</ns0:t>
        </ns0:is>
      </ns0:c>
    </ns0:row>
    <ns0:row r="438" ht="22" customHeight="1">
      <ns0:c r="A438" s="73" t="inlineStr">
        <ns0:is>
          <ns0:t>9981</ns0:t>
        </ns0:is>
      </ns0:c>
      <ns0:c r="B438" s="74" t="inlineStr">
        <ns0:is>
          <ns0:t>WOER</ns0:t>
        </ns0:is>
      </ns0:c>
      <ns0:c r="C438" s="74" t="inlineStr">
        <ns0:is>
          <ns0:t>沃爾核材</ns0:t>
        </ns0:is>
      </ns0:c>
      <ns0:c r="D438" s="74" t="inlineStr">
        <ns0:is>
          <ns0:t>Materials/Energy</ns0:t>
        </ns0:is>
      </ns0:c>
      <ns0:c r="E438" s="74" t="inlineStr">
        <ns0:is>
          <ns0:t>Chemicals</ns0:t>
        </ns0:is>
      </ns0:c>
      <ns0:c r="F438" s="74" t="inlineStr">
        <ns0:is>
          <ns0:t>Electrical Components &amp; Equipment</ns0:t>
        </ns0:is>
      </ns0:c>
      <ns0:c r="G438" s="74" t="inlineStr">
        <ns0:is>
          <ns0:t>Standard</ns0:t>
        </ns0:is>
      </ns0:c>
      <ns0:c r="H438" s="75" t="n">
        <ns0:v>46066</ns0:v>
      </ns0:c>
      <ns0:c r="I438" s="76" t="n">
        <ns0:v>2812.4</ns0:v>
      </ns0:c>
      <ns0:c r="J438" s="74" t="inlineStr">
        <ns0:is>
          <ns0:t>gross (stated)</ns0:t>
        </ns0:is>
      </ns0:c>
      <ns0:c r="K438" s="95" t="n"/>
      <ns0:c r="L438" s="77" t="n">
        <ns0:v>20.09</ns0:v>
      </ns0:c>
      <ns0:c r="M438" s="77" t="n">
        <ns0:v>20.09</ns0:v>
      </ns0:c>
      <ns0:c r="N438" s="74" t="inlineStr">
        <ns0:is>
          <ns0:t>Y</ns0:t>
        </ns0:is>
      </ns0:c>
      <ns0:c r="O438" s="78" t="n">
        <ns0:v>100</ns0:v>
      </ns0:c>
      <ns0:c r="P438" s="84" t="n"/>
      <ns0:c r="Q438" s="79" t="n">
        <ns0:v>28123.7</ns0:v>
      </ns0:c>
      <ns0:c r="R438" s="74" t="inlineStr">
        <ns0:is>
          <ns0:t>derived:price x shares upon listing</ns0:t>
        </ns0:is>
      </ns0:c>
      <ns0:c r="S438" s="80" t="n">
        <ns0:v>569.58</ns0:v>
      </ns0:c>
      <ns0:c r="T438" s="81" t="n">
        <ns0:v>8.19</ns0:v>
      </ns0:c>
      <ns0:c r="U438" s="82" t="n">
        <ns0:v>34.45</ns0:v>
      </ns0:c>
      <ns0:c r="V438" s="83" t="n">
        <ns0:v>116</ns0:v>
      </ns0:c>
      <ns0:c r="W438" s="78" t="n">
        <ns0:v>10</ns0:v>
      </ns0:c>
      <ns0:c r="X438" s="74" t="inlineStr">
        <ns0:is>
          <ns0:t>NA</ns0:t>
        </ns0:is>
      </ns0:c>
      <ns0:c r="Y438" s="79" t="n">
        <ns0:v>1843.53</ns0:v>
      </ns0:c>
      <ns0:c r="Z438" s="79" t="n">
        <ns0:v>91762658</ns0:v>
      </ns0:c>
      <ns0:c r="AA438" s="78" t="n">
        <ns0:v>6.56</ns0:v>
      </ns0:c>
      <ns0:c r="AB438" s="74" t="inlineStr">
        <ns0:is>
          <ns0: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PTE. LTD; Guohui (HK) Holdings Co., Limited 控股有限公司; Pu Xin (via GTJA OTC swaps); Capchem (Hongkong); Enhanced Investment Products Limited; Factorial Master Fund; Qianhai Starlight Capital SPC</ns0:t>
        </ns0:is>
      </ns0:c>
      <ns0:c r="AC438" s="74" t="inlineStr">
        <ns0:is>
          <ns0:t>hhlr;shanghai-greenwoods;jump;huizhou;jiangxi;shen-zhen;best;rime;scv;yield;guohui;pu;capchem;enhanced;factorial;qianhai</ns0:t>
        </ns0:is>
      </ns0:c>
      <ns0:c r="AD438" s="84" t="n"/>
      <ns0:c r="AE438" s="85" t="n"/>
      <ns0:c r="AF438" s="85" t="n"/>
      <ns0:c r="AG438" s="85" t="n"/>
      <ns0:c r="AH438" s="85" t="n"/>
      <ns0:c r="AI438" s="86" t="n">
        <ns0:v>4.93</ns0:v>
      </ns0:c>
      <ns0:c r="AJ438" s="87" t="n">
        <ns0:v>2.94</ns0:v>
      </ns0:c>
      <ns0:c r="AK438" s="87" t="n">
        <ns0:v>-1.44</ns0:v>
      </ns0:c>
      <ns0:c r="AL438" s="87" t="n">
        <ns0:v>0.05</ns0:v>
      </ns0:c>
      <ns0:c r="AM438" s="87" t="n">
        <ns0:v>2.89</ns0:v>
      </ns0:c>
      <ns0:c r="AN438" s="89" t="n">
        <ns0:v>2.28</ns0:v>
      </ns0:c>
      <ns0:c r="AO438" s="78" t="n">
        <ns0:v>8.460000000000001</ns0:v>
      </ns0:c>
      <ns0:c r="AP438" s="87" t="n">
        <ns0:v>3.04</ns0:v>
      </ns0:c>
      <ns0:c r="AQ438" s="87" t="n">
        <ns0:v>1.05</ns0:v>
      </ns0:c>
      <ns0:c r="AR438" s="87" t="n">
        <ns0:v>-28.07</ns0:v>
      </ns0:c>
      <ns0:c r="AS438" s="87" t="n">
        <ns0:v>0.1</ns0:v>
      </ns0:c>
      <ns0:c r="AT438" s="87" t="n">
        <ns0:v>-1.84</ns0:v>
      </ns0:c>
      <ns0:c r="AU438" s="87" t="n">
        <ns0:v>-30.12</ns0:v>
      </ns0:c>
      <ns0:c r="AV438" s="87" t="n">
        <ns0:v>4.99</ns0:v>
      </ns0:c>
      <ns0:c r="AW438" s="87" t="n">
        <ns0:v>7.19</ns0:v>
      </ns0:c>
      <ns0:c r="AX438" s="87" t="n">
        <ns0:v>-18.36</ns0:v>
      </ns0:c>
      <ns0:c r="AY438" s="87" t="n">
        <ns0:v>2.93</ns0:v>
      </ns0:c>
      <ns0:c r="AZ438" s="87" t="n">
        <ns0:v>-6.14</ns0:v>
      </ns0:c>
      <ns0:c r="BA438" s="87" t="n">
        <ns0:v>-4.77</ns0:v>
      </ns0:c>
      <ns0:c r="BB438" s="74" t="inlineStr">
        <ns0:is>
          <ns0:t>Hang Seng Commerce &amp; Industry sub-index</ns0:t>
        </ns0:is>
      </ns0:c>
      <ns0:c r="BC438" s="87" t="n">
        <ns0:v>-59.68</ns0:v>
      </ns0:c>
      <ns0:c r="BD438" s="75" t="n">
        <ns0:v>46297</ns0:v>
      </ns0:c>
      <ns0:c r="BE438" s="76" t="n">
        <ns0:v>7612.1</ns0:v>
      </ns0:c>
      <ns0:c r="BF438" s="79" t="n">
        <ns0:v>1012.6</ns0:v>
      </ns0:c>
      <ns0:c r="BG438" s="74" t="inlineStr">
        <ns0:is>
          <ns0:t>Y</ns0:t>
        </ns0:is>
      </ns0:c>
      <ns0:c r="BH438" s="89" t="n">
        <ns0:v>27.8</ns0:v>
      </ns0:c>
      <ns0:c r="BI438" s="89" t="n">
        <ns0:v>19.9</ns0:v>
      </ns0:c>
      <ns0:c r="BJ438" s="89" t="n">
        <ns0:v>10.1</ns0:v>
      </ns0:c>
      <ns0:c r="BK438" s="89" t="n">
        <ns0:v>3.7</ns0:v>
      </ns0:c>
      <ns0:c r="BL438" s="90">
        <ns0:f>IFERROR(IF('BBG Verify'!S438="","Awaiting Bloomberg",'BBG Verify'!S438),"Awaiting Bloomberg")</ns0:f>
        <ns0:v/>
      </ns0:c>
      <ns0:c r="BM438" s="91" t="inlineStr">
        <ns0:is>
          <ns0:t>Y</ns0:t>
        </ns0:is>
      </ns0:c>
      <ns0:c r="BN438" s="74" t="inlineStr">
        <ns0:is>
          <ns0:t>002130.SZ</ns0:t>
        </ns0:is>
      </ns0:c>
      <ns0:c r="BO438" s="87" t="n">
        <ns0:v>58.6</ns0:v>
      </ns0:c>
      <ns0:c r="BP438" s="77" t="n">
        <ns0:v>31.8623</ns0:v>
      </ns0:c>
      <ns0:c r="BQ438" s="101" t="n">
        <ns0:v>1.2696</ns0:v>
      </ns0:c>
      <ns0:c r="BR438" s="79" t="n">
        <ns0:v>25743.7</ns0:v>
      </ns0:c>
      <ns0:c r="BS438" s="90">
        <ns0:f>IFERROR(IF('BBG Verify'!Q438="","Awaiting Bloomberg",'BBG Verify'!Q438),"Awaiting Bloomberg")</ns0:f>
        <ns0:v/>
      </ns0:c>
      <ns0:c r="BT438" s="90">
        <ns0:f>IFERROR(IF('BBG Verify'!R438="","Awaiting Bloomberg",'BBG Verify'!R438),"Awaiting Bloomberg")</ns0:f>
        <ns0:v/>
      </ns0:c>
      <ns0:c r="BU438" s="91" t="inlineStr">
        <ns0:is>
          <ns0:t>China Merchants Securities (HK) Co., Limited</ns0:t>
        </ns0:is>
      </ns0:c>
      <ns0:c r="BV438" s="74" t="inlineStr">
        <ns0:is>
          <ns0:t>China Securities (International) Corporate Finance Company Limited; China Merchants Securities (HK) Company Limited</ns0:t>
        </ns0:is>
      </ns0:c>
      <ns0:c r="BW438" s="74" t="inlineStr">
        <ns0:is>
          <ns0:t>China Securities (International) Corporate Finance Company Limited; China Merchants Securities (HK) Co., Limited; Shanxi Securities International Limited; DBS Asia Capital Limited; Futu Securities International (Hong Kong) Limited; Tiger Brokers (HK) Global Limited</ns0:t>
        </ns0:is>
      </ns0:c>
      <ns0:c r="BX438" s="74" t="inlineStr">
        <ns0:is>
          <ns0:t>China Merchants Securities (HK) Company Limited; China Securities (International) Corporate Finance Company Limited; DBS Asia Capital Limited; Futu Securities International (Hong Kong) Limited; Shanxi Securities International Limited; Tiger Brokers (HK) Global Limited</ns0:t>
        </ns0:is>
      </ns0:c>
      <ns0:c r="BY438" s="93">
        <ns0:f>HYPERLINK("https://www1.hkexnews.hk/listedco/listconews/sehk/2026/0205/2026020500092.htm","prospectus")</ns0:f>
        <ns0:v/>
      </ns0:c>
      <ns0:c r="BZ438" s="93">
        <ns0:f>HYPERLINK("https://www1.hkexnews.hk/listedco/listconews/sehk/2026/0212/2026021201492.pdf","allotment")</ns0:f>
        <ns0:v/>
      </ns0:c>
      <ns0:c r="CA438" s="85" t="n"/>
      <ns0:c r="CB438" s="94" t="n"/>
      <ns0:c r="CC438" s="74" t="inlineStr">
        <ns0:is>
          <ns0:t>greenshoe: no over-allotment option; range low: maximum offer price only, no floor published; A/H: Feb 2026 H listing; greenshoe size: no over-allotment option; stabilising manager: no over-allotment option, so none appointed</ns0:t>
        </ns0:is>
      </ns0:c>
    </ns0:row>
    <ns0:row r="439" ht="22" customHeight="1">
      <ns0:c r="A439" s="73" t="inlineStr">
        <ns0:is>
          <ns0:t>2715</ns0:t>
        </ns0:is>
      </ns0:c>
      <ns0:c r="B439" s="74" t="inlineStr">
        <ns0:is>
          <ns0:t>ESTUN</ns0:t>
        </ns0:is>
      </ns0:c>
      <ns0:c r="C439" s="74" t="inlineStr">
        <ns0:is>
          <ns0:t>埃斯頓</ns0:t>
        </ns0:is>
      </ns0:c>
      <ns0:c r="D439" s="74" t="inlineStr">
        <ns0:is>
          <ns0:t>Technology</ns0:t>
        </ns0:is>
      </ns0:c>
      <ns0:c r="E439" s="74" t="inlineStr">
        <ns0:is>
          <ns0:t>Robotics &amp; autonomous driving</ns0:t>
        </ns0:is>
      </ns0:c>
      <ns0:c r="F439" s="74" t="inlineStr">
        <ns0:is>
          <ns0:t>Next-generation information technology</ns0:t>
        </ns0:is>
      </ns0:c>
      <ns0:c r="G439" s="74" t="inlineStr">
        <ns0:is>
          <ns0:t>Standard</ns0:t>
        </ns0:is>
      </ns0:c>
      <ns0:c r="H439" s="75" t="n">
        <ns0:v>46090</ns0:v>
      </ns0:c>
      <ns0:c r="I439" s="76" t="n">
        <ns0:v>1486.54</ns0:v>
      </ns0:c>
      <ns0:c r="J439" s="74" t="inlineStr">
        <ns0:is>
          <ns0:t>gross (stated)</ns0:t>
        </ns0:is>
      </ns0:c>
      <ns0:c r="K439" s="77" t="n">
        <ns0:v>15.36</ns0:v>
      </ns0:c>
      <ns0:c r="L439" s="77" t="n">
        <ns0:v>17</ns0:v>
      </ns0:c>
      <ns0:c r="M439" s="77" t="n">
        <ns0:v>15.36</ns0:v>
      </ns0:c>
      <ns0:c r="N439" s="74" t="inlineStr">
        <ns0:is>
          <ns0:t>N</ns0:t>
        </ns0:is>
      </ns0:c>
      <ns0:c r="O439" s="78" t="n">
        <ns0:v>90.40000000000001</ns0:v>
      </ns0:c>
      <ns0:c r="P439" s="78" t="n">
        <ns0:v>0</ns0:v>
      </ns0:c>
      <ns0:c r="Q439" s="79" t="n">
        <ns0:v>16299.5</ns0:v>
      </ns0:c>
      <ns0:c r="R439" s="74" t="inlineStr">
        <ns0:is>
          <ns0:t>aastocks:上市市值 at the struck price</ns0:t>
        </ns0:is>
      </ns0:c>
      <ns0:c r="S439" s="80" t="n">
        <ns0:v>19.67</ns0:v>
      </ns0:c>
      <ns0:c r="T439" s="81" t="n">
        <ns0:v>3.34</ns0:v>
      </ns0:c>
      <ns0:c r="U439" s="82" t="n">
        <ns0:v>35.18</ns0:v>
      </ns0:c>
      <ns0:c r="V439" s="83" t="n">
        <ns0:v>87</ns0:v>
      </ns0:c>
      <ns0:c r="W439" s="78" t="n">
        <ns0:v>10</ns0:v>
      </ns0:c>
      <ns0:c r="X439" s="74" t="inlineStr">
        <ns0:is>
          <ns0:t>NA</ns0:t>
        </ns0:is>
      </ns0:c>
      <ns0:c r="Y439" s="79" t="n">
        <ns0:v>963.58</ns0:v>
      </ns0:c>
      <ns0:c r="Z439" s="79" t="n">
        <ns0:v>62732796</ns0:v>
      </ns0:c>
      <ns0:c r="AA439" s="78" t="n">
        <ns0:v>5.91</ns0:v>
      </ns0:c>
      <ns0:c r="AB439" s="74" t="inlineStr">
        <ns0:is>
          <ns0:t>Harvest Oriental SP; Hengtong Optic-electric International; Dream ee HK Fund; Deep Source; Haitian Huayuan; New Fortune; Qianhai Hezhong Investment</ns0:t>
        </ns0:is>
      </ns0:c>
      <ns0:c r="AC439" s="74" t="inlineStr">
        <ns0:is>
          <ns0:t>harvest;hengtong;dream;deep;haitian;new-fortune;qianhai</ns0:t>
        </ns0:is>
      </ns0:c>
      <ns0:c r="AD439" s="78" t="n">
        <ns0:v>5.1</ns0:v>
      </ns0:c>
      <ns0:c r="AE439" s="74" t="inlineStr">
        <ns0:is>
          <ns0:t>lapsed</ns0:t>
        </ns0:is>
      </ns0:c>
      <ns0:c r="AF439" s="74" t="inlineStr">
        <ns0:is>
          <ns0:t>2026-04-03</ns0:t>
        </ns0:is>
      </ns0:c>
      <ns0:c r="AG439" s="74" t="inlineStr">
        <ns0:is>
          <ns0:t>Huatai Financial Holdings</ns0:t>
        </ns0:is>
      </ns0:c>
      <ns0:c r="AH439" s="74" t="inlineStr">
        <ns0:is>
          <ns0:t>Huatai</ns0:t>
        </ns0:is>
      </ns0:c>
      <ns0:c r="AI439" s="86" t="n">
        <ns0:v>-8.199999999999999</ns0:v>
      </ns0:c>
      <ns0:c r="AJ439" s="87" t="n">
        <ns0:v>-16.02</ns0:v>
      </ns0:c>
      <ns0:c r="AK439" s="87" t="n">
        <ns0:v>-0.29</ns0:v>
      </ns0:c>
      <ns0:c r="AL439" s="87" t="n">
        <ns0:v>0</ns0:v>
      </ns0:c>
      <ns0:c r="AM439" s="87" t="n">
        <ns0:v>-16.02</ns0:v>
      </ns0:c>
      <ns0:c r="AN439" s="89" t="n">
        <ns0:v>2.13</ns0:v>
      </ns0:c>
      <ns0:c r="AO439" s="78" t="n">
        <ns0:v>18.62</ns0:v>
      </ns0:c>
      <ns0:c r="AP439" s="87" t="n">
        <ns0:v>-16.41</ns0:v>
      </ns0:c>
      <ns0:c r="AQ439" s="87" t="n">
        <ns0:v>-16.73</ns0:v>
      </ns0:c>
      <ns0:c r="AR439" s="87" t="n">
        <ns0:v>8.27</ns0:v>
      </ns0:c>
      <ns0:c r="AS439" s="87" t="n">
        <ns0:v>-0.46</ns0:v>
      </ns0:c>
      <ns0:c r="AT439" s="87" t="n">
        <ns0:v>-0.85</ns0:v>
      </ns0:c>
      <ns0:c r="AU439" s="87" t="n">
        <ns0:v>28.92</ns0:v>
      </ns0:c>
      <ns0:c r="AV439" s="87" t="n">
        <ns0:v>-19.76</ns0:v>
      </ns0:c>
      <ns0:c r="AW439" s="87" t="n">
        <ns0:v>-15.12</ns0:v>
      </ns0:c>
      <ns0:c r="AX439" s="87" t="n">
        <ns0:v>13.98</ns0:v>
      </ns0:c>
      <ns0:c r="AY439" s="87" t="n">
        <ns0:v>0.48</ns0:v>
      </ns0:c>
      <ns0:c r="AZ439" s="87" t="n">
        <ns0:v>-1.61</ns0:v>
      </ns0:c>
      <ns0:c r="BA439" s="87" t="n">
        <ns0:v>-1.33</ns0:v>
      </ns0:c>
      <ns0:c r="BB439" s="74" t="inlineStr">
        <ns0:is>
          <ns0:t>HSTECH (Hang Seng TECH ETF)</ns0:t>
        </ns0:is>
      </ns0:c>
      <ns0:c r="BC439" s="87" t="n">
        <ns0:v>-8.27</ns0:v>
      </ns0:c>
      <ns0:c r="BD439" s="75" t="n">
        <ns0:v>46297</ns0:v>
      </ns0:c>
      <ns0:c r="BE439" s="76" t="n">
        <ns0:v>4409.6</ns0:v>
      </ns0:c>
      <ns0:c r="BF439" s="79" t="n">
        <ns0:v>-664.6</ns0:v>
      </ns0:c>
      <ns0:c r="BG439" s="74" t="inlineStr">
        <ns0:is>
          <ns0:t>N</ns0:t>
        </ns0:is>
      </ns0:c>
      <ns0:c r="BH439" s="74" t="inlineStr">
        <ns0:is>
          <ns0:t>n/m</ns0:t>
        </ns0:is>
      </ns0:c>
      <ns0:c r="BI439" s="89" t="n">
        <ns0:v>210.8</ns0:v>
      </ns0:c>
      <ns0:c r="BJ439" s="89" t="n">
        <ns0:v>303.5</ns0:v>
      </ns0:c>
      <ns0:c r="BK439" s="89" t="n">
        <ns0:v>3.7</ns0:v>
      </ns0:c>
      <ns0:c r="BL439" s="90">
        <ns0:f>IFERROR(IF('BBG Verify'!S439="","Awaiting Bloomberg",'BBG Verify'!S439),"Awaiting Bloomberg")</ns0:f>
        <ns0:v/>
      </ns0:c>
      <ns0:c r="BM439" s="91" t="inlineStr">
        <ns0:is>
          <ns0:t>Y</ns0:t>
        </ns0:is>
      </ns0:c>
      <ns0:c r="BN439" s="74" t="inlineStr">
        <ns0:is>
          <ns0:t>002747.SZ</ns0:t>
        </ns0:is>
      </ns0:c>
      <ns0:c r="BO439" s="87" t="n">
        <ns0:v>64.04000000000001</ns0:v>
      </ns0:c>
      <ns0:c r="BP439" s="77" t="n">
        <ns0:v>25.1964</ns0:v>
      </ns0:c>
      <ns0:c r="BQ439" s="101" t="n">
        <ns0:v>1.3436</ns0:v>
      </ns0:c>
      <ns0:c r="BR439" s="79" t="n">
        <ns0:v>32006.9</ns0:v>
      </ns0:c>
      <ns0:c r="BS439" s="90">
        <ns0:f>IFERROR(IF('BBG Verify'!Q439="","Awaiting Bloomberg",'BBG Verify'!Q439),"Awaiting Bloomberg")</ns0:f>
        <ns0:v/>
      </ns0:c>
      <ns0:c r="BT439" s="90">
        <ns0:f>IFERROR(IF('BBG Verify'!R439="","Awaiting Bloomberg",'BBG Verify'!R439),"Awaiting Bloomberg")</ns0:f>
        <ns0:v/>
      </ns0:c>
      <ns0:c r="BU439" s="91" t="inlineStr">
        <ns0:is>
          <ns0:t>Huatai Financial Holdings (Hong Kong) Limited</ns0:t>
        </ns0:is>
      </ns0:c>
      <ns0:c r="BV439" s="74" t="inlineStr">
        <ns0:is>
          <ns0:t>Huatai Financial Holdings (Hong Kong) Limited</ns0:t>
        </ns0:is>
      </ns0:c>
      <ns0:c r="BW439" s="74" t="inlineStr">
        <ns0:is>
          <ns0: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ns0:t>
        </ns0:is>
      </ns0:c>
      <ns0:c r="BX439" s="74" t="inlineStr">
        <ns0:is>
          <ns0: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ns0:t>
        </ns0:is>
      </ns0:c>
      <ns0:c r="BY439" s="93">
        <ns0:f>HYPERLINK("https://www1.hkexnews.hk/listedco/listconews/sehk/2026/0227/2026022700017.pdf","prospectus")</ns0:f>
        <ns0:v/>
      </ns0:c>
      <ns0:c r="BZ439" s="93">
        <ns0:f>HYPERLINK("https://www1.hkexnews.hk/listedco/listconews/sehk/2026/0306/2026030601391.pdf","allotment")</ns0:f>
        <ns0:v/>
      </ns0:c>
      <ns0:c r="CA439" s="93">
        <ns0:f>HYPERLINK("https://www1.hkexnews.hk/listedco/listconews/sehk/2026/0407/2026040700049.pdf","stabilisation")</ns0:f>
        <ns0:v/>
      </ns0:c>
      <ns0:c r="CB439" s="94" t="n"/>
      <ns0:c r="CC439" s="74" t="inlineStr">
        <ns0:is>
          <ns0:t>P/E: loss-making at IPO, use P/S; A/H: Mar 2026 H listing (industrial robots); market cap: published listing cap used; the estimate from deal size / offer % of enlarged capital disagreed</ns0:t>
        </ns0:is>
      </ns0:c>
    </ns0:row>
    <ns0:row r="440" ht="22" customHeight="1">
      <ns0:c r="A440" s="73" t="inlineStr">
        <ns0:is>
          <ns0:t>2649</ns0:t>
        </ns0:is>
      </ns0:c>
      <ns0:c r="B440" s="74" t="inlineStr">
        <ns0:is>
          <ns0:t>ALSCO POOLING</ns0:t>
        </ns0:is>
      </ns0:c>
      <ns0:c r="C440" s="74" t="inlineStr">
        <ns0:is>
          <ns0:t>優樂賽共享</ns0:t>
        </ns0:is>
      </ns0:c>
      <ns0:c r="D440" s="74" t="inlineStr">
        <ns0:is>
          <ns0:t>Industrials</ns0:t>
        </ns0:is>
      </ns0:c>
      <ns0:c r="E440" s="74" t="inlineStr">
        <ns0:is>
          <ns0:t>Logistics</ns0:t>
        </ns0:is>
      </ns0:c>
      <ns0:c r="F440" s="74" t="inlineStr">
        <ns0:is>
          <ns0:t>Metal &amp; Glass &amp; Plastic Packaging</ns0:t>
        </ns0:is>
      </ns0:c>
      <ns0:c r="G440" s="74" t="inlineStr">
        <ns0:is>
          <ns0:t>Standard</ns0:t>
        </ns0:is>
      </ns0:c>
      <ns0:c r="H440" s="75" t="n">
        <ns0:v>46090</ns0:v>
      </ns0:c>
      <ns0:c r="I440" s="76" t="n">
        <ns0:v>223.7</ns0:v>
      </ns0:c>
      <ns0:c r="J440" s="74" t="inlineStr">
        <ns0:is>
          <ns0:t>gross (stated)</ns0:t>
        </ns0:is>
      </ns0:c>
      <ns0:c r="K440" s="77" t="n">
        <ns0:v>11</ns0:v>
      </ns0:c>
      <ns0:c r="L440" s="77" t="n">
        <ns0:v>14</ns0:v>
      </ns0:c>
      <ns0:c r="M440" s="77" t="n">
        <ns0:v>11</ns0:v>
      </ns0:c>
      <ns0:c r="N440" s="74" t="inlineStr">
        <ns0:is>
          <ns0:t>N</ns0:t>
        </ns0:is>
      </ns0:c>
      <ns0:c r="O440" s="78" t="n">
        <ns0:v>78.59999999999999</ns0:v>
      </ns0:c>
      <ns0:c r="P440" s="78" t="n">
        <ns0:v>0</ns0:v>
      </ns0:c>
      <ns0:c r="Q440" s="79" t="n">
        <ns0:v>993.7</ns0:v>
      </ns0:c>
      <ns0:c r="R440" s="74" t="inlineStr">
        <ns0:is>
          <ns0:t>derived:price x shares upon listing</ns0:t>
        </ns0:is>
      </ns0:c>
      <ns0:c r="S440" s="80" t="n">
        <ns0:v>5297.23</ns0:v>
      </ns0:c>
      <ns0:c r="T440" s="81" t="n">
        <ns0:v>4.2</ns0:v>
      </ns0:c>
      <ns0:c r="U440" s="82" t="n">
        <ns0:v>0</ns0:v>
      </ns0:c>
      <ns0:c r="V440" s="83" t="n">
        <ns0:v>162</ns0:v>
      </ns0:c>
      <ns0:c r="W440" s="78" t="n">
        <ns0:v>10</ns0:v>
      </ns0:c>
      <ns0:c r="X440" s="74" t="inlineStr">
        <ns0:is>
          <ns0:t>NO</ns0:t>
        </ns0:is>
      </ns0:c>
      <ns0:c r="Y440" s="79" t="n">
        <ns0:v>223.7</ns0:v>
      </ns0:c>
      <ns0:c r="Z440" s="79" t="n">
        <ns0:v>20336000</ns0:v>
      </ns0:c>
      <ns0:c r="AA440" s="78" t="n">
        <ns0:v>22.51</ns0:v>
      </ns0:c>
      <ns0:c r="AB440" s="74" t="inlineStr">
        <ns0:is>
          <ns0:t>none — no cornerstone tranche</ns0:t>
        </ns0:is>
      </ns0:c>
      <ns0:c r="AC440" s="74" t="inlineStr">
        <ns0:is>
          <ns0:t>none</ns0:t>
        </ns0:is>
      </ns0:c>
      <ns0:c r="AD440" s="78" t="n">
        <ns0:v>15</ns0:v>
      </ns0:c>
      <ns0:c r="AE440" s="85" t="n"/>
      <ns0:c r="AF440" s="85" t="n"/>
      <ns0:c r="AG440" s="74" t="inlineStr">
        <ns0:is>
          <ns0:t>China Securities</ns0:t>
        </ns0:is>
      </ns0:c>
      <ns0:c r="AH440" s="74" t="inlineStr">
        <ns0:is>
          <ns0:t>China Securities</ns0:t>
        </ns0:is>
      </ns0:c>
      <ns0:c r="AI440" s="86" t="n">
        <ns0:v>-0.91</ns0:v>
      </ns0:c>
      <ns0:c r="AJ440" s="87" t="n">
        <ns0:v>-43.64</ns0:v>
      </ns0:c>
      <ns0:c r="AK440" s="87" t="n">
        <ns0:v>-0.71</ns0:v>
      </ns0:c>
      <ns0:c r="AL440" s="87" t="n">
        <ns0:v>-31.82</ns0:v>
      </ns0:c>
      <ns0:c r="AM440" s="87" t="n">
        <ns0:v>-17.34</ns0:v>
      </ns0:c>
      <ns0:c r="AN440" s="89" t="n">
        <ns0:v>9.220000000000001</ns0:v>
      </ns0:c>
      <ns0:c r="AO440" s="78" t="n">
        <ns0:v>25.33</ns0:v>
      </ns0:c>
      <ns0:c r="AP440" s="87" t="n">
        <ns0:v>-53.09</ns0:v>
      </ns0:c>
      <ns0:c r="AQ440" s="103" t="n"/>
      <ns0:c r="AR440" s="103" t="n"/>
      <ns0:c r="AS440" s="87" t="n">
        <ns0:v>-16.77</ns0:v>
      </ns0:c>
      <ns0:c r="AT440" s="103" t="n"/>
      <ns0:c r="AU440" s="103" t="n"/>
      <ns0:c r="AV440" s="87" t="n">
        <ns0:v>-55.39</ns0:v>
      </ns0:c>
      <ns0:c r="AW440" s="103" t="n"/>
      <ns0:c r="AX440" s="103" t="n"/>
      <ns0:c r="AY440" s="103" t="n"/>
      <ns0:c r="AZ440" s="103" t="n"/>
      <ns0:c r="BA440" s="103" t="n"/>
      <ns0:c r="BB440" s="74" t="inlineStr">
        <ns0:is>
          <ns0:t>Hang Seng Commerce &amp; Industry sub-index</ns0:t>
        </ns0:is>
      </ns0:c>
      <ns0:c r="BC440" s="87" t="n">
        <ns0:v>-64.55</ns0:v>
      </ns0:c>
      <ns0:c r="BD440" s="75" t="n">
        <ns0:v>46111</ns0:v>
      </ns0:c>
      <ns0:c r="BE440" s="76" t="n">
        <ns0:v>921.4</ns0:v>
      </ns0:c>
      <ns0:c r="BF440" s="79" t="n">
        <ns0:v>55.8</ns0:v>
      </ns0:c>
      <ns0:c r="BG440" s="74" t="inlineStr">
        <ns0:is>
          <ns0:t>Y</ns0:t>
        </ns0:is>
      </ns0:c>
      <ns0:c r="BH440" s="89" t="n">
        <ns0:v>17.8</ns0:v>
      </ns0:c>
      <ns0:c r="BI440" s="88" t="n"/>
      <ns0:c r="BJ440" s="88" t="n"/>
      <ns0:c r="BK440" s="89" t="n">
        <ns0:v>1.1</ns0:v>
      </ns0:c>
      <ns0:c r="BL440" s="90">
        <ns0:f>IFERROR(IF('BBG Verify'!S440="","Awaiting Bloomberg",'BBG Verify'!S440),"Awaiting Bloomberg")</ns0:f>
        <ns0:v/>
      </ns0:c>
      <ns0:c r="BM440" s="91" t="inlineStr">
        <ns0:is>
          <ns0:t>N</ns0:t>
        </ns0:is>
      </ns0:c>
      <ns0:c r="BN440" s="92">
        <ns0:f>IFERROR(IF('BBG Verify'!K440="","Awaiting Bloomberg",'BBG Verify'!K440),"Awaiting Bloomberg")</ns0:f>
        <ns0:v/>
      </ns0:c>
      <ns0:c r="BO440" s="74" t="inlineStr">
        <ns0:is>
          <ns0:t>N/A</ns0:t>
        </ns0:is>
      </ns0:c>
      <ns0:c r="BP440" s="74" t="inlineStr">
        <ns0:is>
          <ns0:t>N/A</ns0:t>
        </ns0:is>
      </ns0:c>
      <ns0:c r="BQ440" s="74" t="inlineStr">
        <ns0:is>
          <ns0:t>N/A</ns0:t>
        </ns0:is>
      </ns0:c>
      <ns0:c r="BR440" s="74" t="inlineStr">
        <ns0:is>
          <ns0:t>N/A</ns0:t>
        </ns0:is>
      </ns0:c>
      <ns0:c r="BS440" s="74" t="inlineStr">
        <ns0:is>
          <ns0:t>N/A</ns0:t>
        </ns0:is>
      </ns0:c>
      <ns0:c r="BT440" s="74" t="inlineStr">
        <ns0:is>
          <ns0:t>N/A</ns0:t>
        </ns0:is>
      </ns0:c>
      <ns0:c r="BU440" s="91" t="inlineStr">
        <ns0:is>
          <ns0:t>China Securities (International) Corporate Finance Company Limited</ns0:t>
        </ns0:is>
      </ns0:c>
      <ns0:c r="BV440" s="74" t="inlineStr">
        <ns0:is>
          <ns0:t>China Securities (International) Corporate Finance Company Limited</ns0:t>
        </ns0:is>
      </ns0:c>
      <ns0:c r="BW440" s="74" t="inlineStr">
        <ns0:is>
          <ns0: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ns0:t>
        </ns0:is>
      </ns0:c>
      <ns0:c r="BX440" s="74" t="inlineStr">
        <ns0:is>
          <ns0: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ns0:t>
        </ns0:is>
      </ns0:c>
      <ns0:c r="BY440" s="93">
        <ns0:f>HYPERLINK("https://www1.hkexnews.hk/listedco/listconews/sehk/2026/0227/2026022700013.pdf","prospectus")</ns0:f>
        <ns0:v/>
      </ns0:c>
      <ns0:c r="BZ440" s="93">
        <ns0:f>HYPERLINK("https://www1.hkexnews.hk/listedco/listconews/sehk/2026/0306/2026030601405.pdf","allotment")</ns0:f>
        <ns0:v/>
      </ns0:c>
      <ns0:c r="CA440" s="85" t="n"/>
      <ns0:c r="CB440" s="94" t="n"/>
      <ns0:c r="CC440" s="74" t="inlineStr">
        <ns0:is>
          <ns0:t>greenshoe: end-of-stabilisation notice not found; 1m: pending: 15 traded sessions after debut; 21 needed; 3m: pending: 15 traded sessions after debut; 63 needed; cornerstone list: no cornerstone tranche; price series: Suspended from 30 March 2026 at 13:00 HKT (HKEX notice). Only 15 traded sessions after debut: 1m/3m windows incomplete; last available traded close HK$3.90. https://www.hkexnews.hk/listedco/listconews/sehk/2026/0330/2026033000390_c.htm; alpha/index: 1m window not elapsed</ns0:t>
        </ns0:is>
      </ns0:c>
    </ns0:row>
    <ns0:row r="441" ht="22" customHeight="1">
      <ns0:c r="A441" s="73" t="inlineStr">
        <ns0:is>
          <ns0:t>2692</ns0:t>
        </ns0:is>
      </ns0:c>
      <ns0:c r="B441" s="74" t="inlineStr">
        <ns0:is>
          <ns0:t>ZHAOWEI</ns0:t>
        </ns0:is>
      </ns0:c>
      <ns0:c r="C441" s="74" t="inlineStr">
        <ns0:is>
          <ns0:t>兆威機電</ns0:t>
        </ns0:is>
      </ns0:c>
      <ns0:c r="D441" s="74" t="inlineStr">
        <ns0:is>
          <ns0:t>Industrials</ns0:t>
        </ns0:is>
      </ns0:c>
      <ns0:c r="E441" s="74" t="inlineStr">
        <ns0:is>
          <ns0:t>Capital goods / machinery</ns0:t>
        </ns0:is>
      </ns0:c>
      <ns0:c r="F441" s="74" t="inlineStr">
        <ns0:is>
          <ns0:t>Industrial Machinery</ns0:t>
        </ns0:is>
      </ns0:c>
      <ns0:c r="G441" s="74" t="inlineStr">
        <ns0:is>
          <ns0:t>Standard</ns0:t>
        </ns0:is>
      </ns0:c>
      <ns0:c r="H441" s="75" t="n">
        <ns0:v>46090</ns0:v>
      </ns0:c>
      <ns0:c r="I441" s="76" t="n">
        <ns0:v>1906.62</ns0:v>
      </ns0:c>
      <ns0:c r="J441" s="74" t="inlineStr">
        <ns0:is>
          <ns0:t>gross (stated)</ns0:t>
        </ns0:is>
      </ns0:c>
      <ns0:c r="K441" s="95" t="n"/>
      <ns0:c r="L441" s="77" t="n">
        <ns0:v>73.68000000000001</ns0:v>
      </ns0:c>
      <ns0:c r="M441" s="77" t="n">
        <ns0:v>71.28</ns0:v>
      </ns0:c>
      <ns0:c r="N441" s="74" t="inlineStr">
        <ns0:is>
          <ns0:t>N</ns0:t>
        </ns0:is>
      </ns0:c>
      <ns0:c r="O441" s="78" t="n">
        <ns0:v>96.7</ns0:v>
      </ns0:c>
      <ns0:c r="P441" s="84" t="n"/>
      <ns0:c r="Q441" s="79" t="n">
        <ns0:v>19066.2</ns0:v>
      </ns0:c>
      <ns0:c r="R441" s="74" t="inlineStr">
        <ns0:is>
          <ns0:t>derived:price x shares upon listing</ns0:t>
        </ns0:is>
      </ns0:c>
      <ns0:c r="S441" s="80" t="n">
        <ns0:v>1536.76</ns0:v>
      </ns0:c>
      <ns0:c r="T441" s="81" t="n">
        <ns0:v>13.4</ns0:v>
      </ns0:c>
      <ns0:c r="U441" s="82" t="n">
        <ns0:v>34.17</ns0:v>
      </ns0:c>
      <ns0:c r="V441" s="83" t="n">
        <ns0:v>75</ns0:v>
      </ns0:c>
      <ns0:c r="W441" s="78" t="n">
        <ns0:v>10</ns0:v>
      </ns0:c>
      <ns0:c r="X441" s="74" t="inlineStr">
        <ns0:is>
          <ns0:t>NA</ns0:t>
        </ns0:is>
      </ns0:c>
      <ns0:c r="Y441" s="79" t="n">
        <ns0:v>1255.13</ns0:v>
      </ns0:c>
      <ns0:c r="Z441" s="79" t="n">
        <ns0:v>17608406</ns0:v>
      </ns0:c>
      <ns0:c r="AA441" s="78" t="n">
        <ns0:v>6.58</ns0:v>
      </ns0:c>
      <ns0:c r="AB441" s="74" t="inlineStr">
        <ns0:is>
          <ns0:t>HHLRA; Mirae Asset Securities Co., Ltd; Perseverance Asset Management; Da Cheng International; GF Fund HK; Oakwise Growth Fund; Jump Trading; VVC Technology Fund Ltd; Taihu Golden Valley; Topstar Worldwide; Virtues Capital and China Securities (International) Investment Company Limited (in connection with the OTC Swaps); Hengbang and China Galaxy International Investment Company Limited (in connection with the Hengbang OTC Swaps); W Investment; BeingBoom Capital; Mr. He Maoling; Mr. Luo Jie; Bridge Zone Group Limited; CMBC International; RIME; Main Source Capital Limited</ns0:t>
        </ns0:is>
      </ns0:c>
      <ns0:c r="AC441" s="74" t="inlineStr">
        <ns0:is>
          <ns0:t>hhlra;mirae;perseverance;da;gf;oakwise;jump;vvc;taihu;topstar;virtues;hengbang;investment;beingboom;mr-he;mr-luo;bridge;cmbc;rime;main</ns0:t>
        </ns0:is>
      </ns0:c>
      <ns0:c r="AD441" s="84" t="n"/>
      <ns0:c r="AE441" s="85" t="n"/>
      <ns0:c r="AF441" s="85" t="n"/>
      <ns0:c r="AG441" s="85" t="n"/>
      <ns0:c r="AH441" s="85" t="n"/>
      <ns0:c r="AI441" s="86" t="n">
        <ns0:v>16.16</ns0:v>
      </ns0:c>
      <ns0:c r="AJ441" s="87" t="n">
        <ns0:v>2.41</ns0:v>
      </ns0:c>
      <ns0:c r="AK441" s="87" t="n">
        <ns0:v>-0.71</ns0:v>
      </ns0:c>
      <ns0:c r="AL441" s="87" t="n">
        <ns0:v>9.43</ns0:v>
      </ns0:c>
      <ns0:c r="AM441" s="87" t="n">
        <ns0:v>-6.42</ns0:v>
      </ns0:c>
      <ns0:c r="AN441" s="89" t="n">
        <ns0:v>1.91</ns0:v>
      </ns0:c>
      <ns0:c r="AO441" s="78" t="n">
        <ns0:v>10.51</ns0:v>
      </ns0:c>
      <ns0:c r="AP441" s="87" t="n">
        <ns0:v>11.39</ns0:v>
      </ns0:c>
      <ns0:c r="AQ441" s="87" t="n">
        <ns0:v>-7.48</ns0:v>
      </ns0:c>
      <ns0:c r="AR441" s="87" t="n">
        <ns0:v>-13.09</ns0:v>
      </ns0:c>
      <ns0:c r="AS441" s="87" t="n">
        <ns0:v>8.77</ns0:v>
      </ns0:c>
      <ns0:c r="AT441" s="87" t="n">
        <ns0:v>-9.66</ns0:v>
      </ns0:c>
      <ns0:c r="AU441" s="87" t="n">
        <ns0:v>-15.14</ns0:v>
      </ns0:c>
      <ns0:c r="AV441" s="87" t="n">
        <ns0:v>9.09</ns0:v>
      </ns0:c>
      <ns0:c r="AW441" s="87" t="n">
        <ns0:v>-6.7</ns0:v>
      </ns0:c>
      <ns0:c r="AX441" s="87" t="n">
        <ns0:v>-4.36</ns0:v>
      </ns0:c>
      <ns0:c r="AY441" s="87" t="n">
        <ns0:v>-9.59</ns0:v>
      </ns0:c>
      <ns0:c r="AZ441" s="87" t="n">
        <ns0:v>-0.78</ns0:v>
      </ns0:c>
      <ns0:c r="BA441" s="87" t="n">
        <ns0:v>-0.07000000000000001</ns0:v>
      </ns0:c>
      <ns0:c r="BB441" s="74" t="inlineStr">
        <ns0:is>
          <ns0:t>Hang Seng Commerce &amp; Industry sub-index</ns0:t>
        </ns0:is>
      </ns0:c>
      <ns0:c r="BC441" s="87" t="n">
        <ns0:v>-47.33</ns0:v>
      </ns0:c>
      <ns0:c r="BD441" s="75" t="n">
        <ns0:v>46297</ns0:v>
      </ns0:c>
      <ns0:c r="BE441" s="76" t="n">
        <ns0:v>1677.1</ns0:v>
      </ns0:c>
      <ns0:c r="BF441" s="79" t="n">
        <ns0:v>248</ns0:v>
      </ns0:c>
      <ns0:c r="BG441" s="74" t="inlineStr">
        <ns0:is>
          <ns0:t>Y</ns0:t>
        </ns0:is>
      </ns0:c>
      <ns0:c r="BH441" s="89" t="n">
        <ns0:v>76.90000000000001</ns0:v>
      </ns0:c>
      <ns0:c r="BI441" s="89" t="n">
        <ns0:v>61</ns0:v>
      </ns0:c>
      <ns0:c r="BJ441" s="89" t="n">
        <ns0:v>45</ns0:v>
      </ns0:c>
      <ns0:c r="BK441" s="89" t="n">
        <ns0:v>11.4</ns0:v>
      </ns0:c>
      <ns0:c r="BL441" s="90">
        <ns0:f>IFERROR(IF('BBG Verify'!S441="","Awaiting Bloomberg",'BBG Verify'!S441),"Awaiting Bloomberg")</ns0:f>
        <ns0:v/>
      </ns0:c>
      <ns0:c r="BM441" s="91" t="inlineStr">
        <ns0:is>
          <ns0:t>Y</ns0:t>
        </ns0:is>
      </ns0:c>
      <ns0:c r="BN441" s="74" t="inlineStr">
        <ns0:is>
          <ns0:t>003021.SZ</ns0:t>
        </ns0:is>
      </ns0:c>
      <ns0:c r="BO441" s="87" t="n">
        <ns0:v>87.19</ns0:v>
      </ns0:c>
      <ns0:c r="BP441" s="77" t="n">
        <ns0:v>133.4288</ns0:v>
      </ns0:c>
      <ns0:c r="BQ441" s="101" t="n">
        <ns0:v>1.1901</ns0:v>
      </ns0:c>
      <ns0:c r="BR441" s="79" t="n">
        <ns0:v>22032.6</ns0:v>
      </ns0:c>
      <ns0:c r="BS441" s="90">
        <ns0:f>IFERROR(IF('BBG Verify'!Q441="","Awaiting Bloomberg",'BBG Verify'!Q441),"Awaiting Bloomberg")</ns0:f>
        <ns0:v/>
      </ns0:c>
      <ns0:c r="BT441" s="90">
        <ns0:f>IFERROR(IF('BBG Verify'!R441="","Awaiting Bloomberg",'BBG Verify'!R441),"Awaiting Bloomberg")</ns0:f>
        <ns0:v/>
      </ns0:c>
      <ns0:c r="BU441" s="91" t="inlineStr">
        <ns0:is>
          <ns0:t>China Merchants Securities (HK) Co., Limited; Deutsche Securities Asia Limited</ns0:t>
        </ns0:is>
      </ns0:c>
      <ns0:c r="BV441" s="74" t="inlineStr">
        <ns0:is>
          <ns0:t>Deutsche Securities Asia Limited; China Merchants Securities (HK) Company Limited</ns0:t>
        </ns0:is>
      </ns0:c>
      <ns0:c r="BW441" s="74" t="inlineStr">
        <ns0:is>
          <ns0:t>China Merchants Securities (HK) Co., Limited; Deutsche Bank AG, Hong Kong Branch; CLSA Limited; ABCI Capital Limited; BOCOM International Securities Limited; Futu Securities International (Hong Kong) Limited; Y ellow River Securities Limited</ns0:t>
        </ns0:is>
      </ns0:c>
      <ns0:c r="BX441" s="74" t="inlineStr">
        <ns0:is>
          <ns0: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ns0:t>
        </ns0:is>
      </ns0:c>
      <ns0:c r="BY441" s="93">
        <ns0:f>HYPERLINK("https://www1.hkexnews.hk/listedco/listconews/sehk/2026/0227/2026022700015.pdf","prospectus")</ns0:f>
        <ns0:v/>
      </ns0:c>
      <ns0:c r="BZ441" s="93">
        <ns0:f>HYPERLINK("https://www1.hkexnews.hk/listedco/listconews/sehk/2026/0306/2026030601575.pdf","allotment")</ns0:f>
        <ns0:v/>
      </ns0:c>
      <ns0:c r="CA441" s="85" t="n"/>
      <ns0:c r="CB441" s="94" t="n"/>
      <ns0:c r="CC441" s="74" t="inlineStr">
        <ns0:is>
          <ns0:t>greenshoe: no over-allotment option; range low: maximum offer price only, no floor published; A/H: Mar 2026 H listing (micro drive systems/dexterous hands); greenshoe size: no over-allotment option; stabilising manager: no over-allotment option, so none appointed</ns0:t>
        </ns0:is>
      </ns0:c>
    </ns0:row>
    <ns0:row r="442" ht="22" customHeight="1">
      <ns0:c r="A442" s="73" t="inlineStr">
        <ns0:is>
          <ns0:t>3268</ns0:t>
        </ns0:is>
      </ns0:c>
      <ns0:c r="B442" s="74" t="inlineStr">
        <ns0:is>
          <ns0:t>MEIG</ns0:t>
        </ns0:is>
      </ns0:c>
      <ns0:c r="C442" s="74" t="inlineStr">
        <ns0:is>
          <ns0:t>美格智能</ns0:t>
        </ns0:is>
      </ns0:c>
      <ns0:c r="D442" s="74" t="inlineStr">
        <ns0:is>
          <ns0:t>Technology</ns0:t>
        </ns0:is>
      </ns0:c>
      <ns0:c r="E442" s="74" t="inlineStr">
        <ns0:is>
          <ns0:t>Hardware &amp; electronics</ns0:t>
        </ns0:is>
      </ns0:c>
      <ns0:c r="F442" s="74" t="inlineStr">
        <ns0:is>
          <ns0:t>Telecommunications &amp; Networking Equipment</ns0:t>
        </ns0:is>
      </ns0:c>
      <ns0:c r="G442" s="74" t="inlineStr">
        <ns0:is>
          <ns0:t>Standard</ns0:t>
        </ns0:is>
      </ns0:c>
      <ns0:c r="H442" s="75" t="n">
        <ns0:v>46091</ns0:v>
      </ns0:c>
      <ns0:c r="I442" s="76" t="n">
        <ns0:v>1161.6</ns0:v>
      </ns0:c>
      <ns0:c r="J442" s="74" t="inlineStr">
        <ns0:is>
          <ns0:t>gross (stated)</ns0:t>
        </ns0:is>
      </ns0:c>
      <ns0:c r="K442" s="95" t="n"/>
      <ns0:c r="L442" s="77" t="n">
        <ns0:v>28.86</ns0:v>
      </ns0:c>
      <ns0:c r="M442" s="77" t="n">
        <ns0:v>28.86</ns0:v>
      </ns0:c>
      <ns0:c r="N442" s="74" t="inlineStr">
        <ns0:is>
          <ns0:t>Y</ns0:t>
        </ns0:is>
      </ns0:c>
      <ns0:c r="O442" s="78" t="n">
        <ns0:v>100</ns0:v>
      </ns0:c>
      <ns0:c r="P442" s="84" t="n"/>
      <ns0:c r="Q442" s="79" t="n">
        <ns0:v>8715.9</ns0:v>
      </ns0:c>
      <ns0:c r="R442" s="74" t="inlineStr">
        <ns0:is>
          <ns0:t>derived:price x shares upon listing</ns0:t>
        </ns0:is>
      </ns0:c>
      <ns0:c r="S442" s="80" t="n">
        <ns0:v>174.12</ns0:v>
      </ns0:c>
      <ns0:c r="T442" s="81" t="n">
        <ns0:v>4.5</ns0:v>
      </ns0:c>
      <ns0:c r="U442" s="82" t="n">
        <ns0:v>39.47</ns0:v>
      </ns0:c>
      <ns0:c r="V442" s="83" t="n">
        <ns0:v>69</ns0:v>
      </ns0:c>
      <ns0:c r="W442" s="78" t="n">
        <ns0:v>8.699999999999999</ns0:v>
      </ns0:c>
      <ns0:c r="X442" s="74" t="inlineStr">
        <ns0:is>
          <ns0:t>NA</ns0:t>
        </ns0:is>
      </ns0:c>
      <ns0:c r="Y442" s="79" t="n">
        <ns0:v>703.12</ns0:v>
      </ns0:c>
      <ns0:c r="Z442" s="79" t="n">
        <ns0:v>24363325</ns0:v>
      </ns0:c>
      <ns0:c r="AA442" s="78" t="n">
        <ns0:v>8.07</ns0:v>
      </ns0:c>
      <ns0:c r="AB442" s="74" t="inlineStr">
        <ns0:is>
          <ns0:t>Baoyue Lake Shenzhen Industrial Investment Win-Win Enterprise Management Limited; Meiko Elec. Hong Kong Co., Limited; Streamax Electronics Limited; Harvest International Premium Value (Secondary Market) Fund SPC on behalf of Harvest Oriental SP; Jinyi Capital Multi-Strategy Fund SPC Ltd; Open Wealth Management Limited; China Winning Limited; Chau Tsang Cheong (Mr. Chau)</ns0:t>
        </ns0:is>
      </ns0:c>
      <ns0:c r="AC442" s="74" t="inlineStr">
        <ns0:is>
          <ns0:t>baoyue;meiko;streamax;harvest;jinyi;open;winning;chau</ns0:t>
        </ns0:is>
      </ns0:c>
      <ns0:c r="AD442" s="84" t="n"/>
      <ns0:c r="AE442" s="85" t="n"/>
      <ns0:c r="AF442" s="85" t="n"/>
      <ns0:c r="AG442" s="85" t="n"/>
      <ns0:c r="AH442" s="85" t="n"/>
      <ns0:c r="AI442" s="86" t="n">
        <ns0:v>1.87</ns0:v>
      </ns0:c>
      <ns0:c r="AJ442" s="87" t="n">
        <ns0:v>1.52</ns0:v>
      </ns0:c>
      <ns0:c r="AK442" s="87" t="n">
        <ns0:v>2.57</ns0:v>
      </ns0:c>
      <ns0:c r="AL442" s="87" t="n">
        <ns0:v>0.62</ns0:v>
      </ns0:c>
      <ns0:c r="AM442" s="87" t="n">
        <ns0:v>0.89</ns0:v>
      </ns0:c>
      <ns0:c r="AN442" s="89" t="n">
        <ns0:v>2.81</ns0:v>
      </ns0:c>
      <ns0:c r="AO442" s="78" t="n">
        <ns0:v>7.71</ns0:v>
      </ns0:c>
      <ns0:c r="AP442" s="87" t="n">
        <ns0:v>-10.05</ns0:v>
      </ns0:c>
      <ns0:c r="AQ442" s="87" t="n">
        <ns0:v>-20.03</ns0:v>
      </ns0:c>
      <ns0:c r="AR442" s="87" t="n">
        <ns0:v>-29.11</ns0:v>
      </ns0:c>
      <ns0:c r="AS442" s="87" t="n">
        <ns0:v>-11.4</ns0:v>
      </ns0:c>
      <ns0:c r="AT442" s="87" t="n">
        <ns0:v>-21.23</ns0:v>
      </ns0:c>
      <ns0:c r="AU442" s="87" t="n">
        <ns0:v>-30.17</ns0:v>
      </ns0:c>
      <ns0:c r="AV442" s="87" t="n">
        <ns0:v>-13.7</ns0:v>
      </ns0:c>
      <ns0:c r="AW442" s="87" t="n">
        <ns0:v>-18</ns0:v>
      </ns0:c>
      <ns0:c r="AX442" s="87" t="n">
        <ns0:v>-24.71</ns0:v>
      </ns0:c>
      <ns0:c r="AY442" s="87" t="n">
        <ns0:v>-16.74</ns0:v>
      </ns0:c>
      <ns0:c r="AZ442" s="87" t="n">
        <ns0:v>-2.03</ns0:v>
      </ns0:c>
      <ns0:c r="BA442" s="87" t="n">
        <ns0:v>-4.49</ns0:v>
      </ns0:c>
      <ns0:c r="BB442" s="74" t="inlineStr">
        <ns0:is>
          <ns0:t>HSTECH (Hang Seng TECH ETF)</ns0:t>
        </ns0:is>
      </ns0:c>
      <ns0:c r="BC442" s="87" t="n">
        <ns0:v>-39.36</ns0:v>
      </ns0:c>
      <ns0:c r="BD442" s="75" t="n">
        <ns0:v>46297</ns0:v>
      </ns0:c>
      <ns0:c r="BE442" s="76" t="n">
        <ns0:v>3235.5</ns0:v>
      </ns0:c>
      <ns0:c r="BF442" s="79" t="n">
        <ns0:v>147.8</ns0:v>
      </ns0:c>
      <ns0:c r="BG442" s="74" t="inlineStr">
        <ns0:is>
          <ns0:t>Y</ns0:t>
        </ns0:is>
      </ns0:c>
      <ns0:c r="BH442" s="89" t="n">
        <ns0:v>59</ns0:v>
      </ns0:c>
      <ns0:c r="BI442" s="89" t="n">
        <ns0:v>47.3</ns0:v>
      </ns0:c>
      <ns0:c r="BJ442" s="89" t="n">
        <ns0:v>28.6</ns0:v>
      </ns0:c>
      <ns0:c r="BK442" s="89" t="n">
        <ns0:v>2.7</ns0:v>
      </ns0:c>
      <ns0:c r="BL442" s="90">
        <ns0:f>IFERROR(IF('BBG Verify'!S442="","Awaiting Bloomberg",'BBG Verify'!S442),"Awaiting Bloomberg")</ns0:f>
        <ns0:v/>
      </ns0:c>
      <ns0:c r="BM442" s="91" t="inlineStr">
        <ns0:is>
          <ns0:t>Y</ns0:t>
        </ns0:is>
      </ns0:c>
      <ns0:c r="BN442" s="74" t="inlineStr">
        <ns0:is>
          <ns0:t>002881.SZ</ns0:t>
        </ns0:is>
      </ns0:c>
      <ns0:c r="BO442" s="87" t="n">
        <ns0:v>92.41</ns0:v>
      </ns0:c>
      <ns0:c r="BP442" s="77" t="n">
        <ns0:v>55.5283</ns0:v>
      </ns0:c>
      <ns0:c r="BQ442" s="101" t="n">
        <ns0:v>1.8361</ns0:v>
      </ns0:c>
      <ns0:c r="BR442" s="79" t="n">
        <ns0:v>15008.4</ns0:v>
      </ns0:c>
      <ns0:c r="BS442" s="90">
        <ns0:f>IFERROR(IF('BBG Verify'!Q442="","Awaiting Bloomberg",'BBG Verify'!Q442),"Awaiting Bloomberg")</ns0:f>
        <ns0:v/>
      </ns0:c>
      <ns0:c r="BT442" s="90">
        <ns0:f>IFERROR(IF('BBG Verify'!R442="","Awaiting Bloomberg",'BBG Verify'!R442),"Awaiting Bloomberg")</ns0:f>
        <ns0:v/>
      </ns0:c>
      <ns0:c r="BU442" s="91" t="inlineStr">
        <ns0:is>
          <ns0:t>China International Capital Corporation Hong Kong Securities Limited</ns0:t>
        </ns0:is>
      </ns0:c>
      <ns0:c r="BV442" s="74" t="inlineStr">
        <ns0:is>
          <ns0:t>China International Capital Corporation Hong Kong Securities Limited</ns0:t>
        </ns0:is>
      </ns0:c>
      <ns0:c r="BW442" s="74" t="inlineStr">
        <ns0:is>
          <ns0:t>China International Capital Corporation Hong Kong Securities Limited; BNP Paribas Securities (Asia) Limited; Futu Securities International (Hong Kong) Limited; Tiger Brokers (HK) Global Limited; Open Securities Limited</ns0:t>
        </ns0:is>
      </ns0:c>
      <ns0:c r="BX442" s="74" t="inlineStr">
        <ns0:is>
          <ns0:t>BNP Paribas Securities (Asia) Limited; China International Capital Corporation Hong Kong Securities Limited; China Industrial Securities International Capital Limited; Futu Securities International (Hong Kong) Limited; Open Securities Limited; Tiger Brokers (HK) Global Limited</ns0:t>
        </ns0:is>
      </ns0:c>
      <ns0:c r="BY442" s="93">
        <ns0:f>HYPERLINK("https://www1.hkexnews.hk/listedco/listconews/sehk/2026/0227/2026022700019.pdf","prospectus")</ns0:f>
        <ns0:v/>
      </ns0:c>
      <ns0:c r="BZ442" s="93">
        <ns0:f>HYPERLINK("https://www1.hkexnews.hk/listedco/listconews/sehk/2026/0309/2026030901426.pdf","allotment")</ns0:f>
        <ns0:v/>
      </ns0:c>
      <ns0:c r="CA442" s="85" t="n"/>
      <ns0:c r="CB442" s="94" t="n"/>
      <ns0:c r="CC442" s="74" t="inlineStr">
        <ns0:is>
          <ns0:t>greenshoe: no over-allotment option; range low: maximum offer price only, no floor published; A/H: Mar 2026 H listing (IoT modules); greenshoe size: no over-allotment option; stabilising manager: no over-allotment option, so none appointed</ns0:t>
        </ns0:is>
      </ns0:c>
    </ns0:row>
    <ns0:row r="443" ht="22" customHeight="1">
      <ns0:c r="A443" s="73" t="inlineStr">
        <ns0:is>
          <ns0:t>1989</ns0:t>
        </ns0:is>
      </ns0:c>
      <ns0:c r="B443" s="74" t="inlineStr">
        <ns0:is>
          <ns0:t>DELTON</ns0:t>
        </ns0:is>
      </ns0:c>
      <ns0:c r="C443" s="74" t="inlineStr">
        <ns0:is>
          <ns0:t>廣合科技</ns0:t>
        </ns0:is>
      </ns0:c>
      <ns0:c r="D443" s="74" t="inlineStr">
        <ns0:is>
          <ns0:t>Technology</ns0:t>
        </ns0:is>
      </ns0:c>
      <ns0:c r="E443" s="74" t="inlineStr">
        <ns0:is>
          <ns0:t>Hardware &amp; electronics</ns0:t>
        </ns0:is>
      </ns0:c>
      <ns0:c r="F443" s="74" t="inlineStr">
        <ns0:is>
          <ns0:t>Printed Circuit Boards</ns0:t>
        </ns0:is>
      </ns0:c>
      <ns0:c r="G443" s="74" t="inlineStr">
        <ns0:is>
          <ns0:t>Standard</ns0:t>
        </ns0:is>
      </ns0:c>
      <ns0:c r="H443" s="75" t="n">
        <ns0:v>46101</ns0:v>
      </ns0:c>
      <ns0:c r="I443" s="76" t="n">
        <ns0:v>3306.48</ns0:v>
      </ns0:c>
      <ns0:c r="J443" s="74" t="inlineStr">
        <ns0:is>
          <ns0:t>gross (stated)</ns0:t>
        </ns0:is>
      </ns0:c>
      <ns0:c r="K443" s="95" t="n"/>
      <ns0:c r="L443" s="77" t="n">
        <ns0:v>71.88</ns0:v>
      </ns0:c>
      <ns0:c r="M443" s="77" t="n">
        <ns0:v>71.88</ns0:v>
      </ns0:c>
      <ns0:c r="N443" s="74" t="inlineStr">
        <ns0:is>
          <ns0:t>Y</ns0:t>
        </ns0:is>
      </ns0:c>
      <ns0:c r="O443" s="78" t="n">
        <ns0:v>100</ns0:v>
      </ns0:c>
      <ns0:c r="P443" s="84" t="n"/>
      <ns0:c r="Q443" s="79" t="n">
        <ns0:v>33959.5</ns0:v>
      </ns0:c>
      <ns0:c r="R443" s="74" t="inlineStr">
        <ns0:is>
          <ns0:t>derived:price x shares upon listing</ns0:t>
        </ns0:is>
      </ns0:c>
      <ns0:c r="S443" s="80" t="n">
        <ns0:v>1070.72</ns0:v>
      </ns0:c>
      <ns0:c r="T443" s="81" t="n">
        <ns0:v>14.64</ns0:v>
      </ns0:c>
      <ns0:c r="U443" s="82" t="n">
        <ns0:v>44.94</ns0:v>
      </ns0:c>
      <ns0:c r="V443" s="83" t="n">
        <ns0:v>162</ns0:v>
      </ns0:c>
      <ns0:c r="W443" s="78" t="n">
        <ns0:v>10</ns0:v>
      </ns0:c>
      <ns0:c r="X443" s="74" t="inlineStr">
        <ns0:is>
          <ns0:t>NA</ns0:t>
        </ns0:is>
      </ns0:c>
      <ns0:c r="Y443" s="79" t="n">
        <ns0:v>1820.55</ns0:v>
      </ns0:c>
      <ns0:c r="Z443" s="79" t="n">
        <ns0:v>25327600</ns0:v>
      </ns0:c>
      <ns0:c r="AA443" s="78" t="n">
        <ns0:v>5.36</ns0:v>
      </ns0:c>
      <ns0:c r="AB443" s="74" t="inlineStr">
        <ns0:is>
          <ns0:t>Baring Asset Management (Asia) Limited; CPE Greater China Enterprises Growth Fund及CPE Growth Fund; Dajia Life Insurance Co., Ltd; Eastspring Investments (Singapore) Limited; Greater Bay Area Homeland Investments Limited; Greenwoods Asset Management Hong Kong Limited; Guotai Junan Investments (Hong Kong) Limited; Beijing Yuanfeng Asset Management L.L.P; ICBC Wealth Management Co., Ltd; MY Asian Opportunities Master Fund, L.P; Shanghai Greenwoods Asset Management Co., Ltd; CITIC Securities International Capital Management Limited; UBS Asset Management (Singapore) Ltd; Value Partners Hong Kong Limited</ns0:t>
        </ns0:is>
      </ns0:c>
      <ns0:c r="AC443" s="74" t="inlineStr">
        <ns0:is>
          <ns0:t>baring;cpe;dajia;eastspring;greater;greenwoods;guotai;beijing-yuanfeng;icbc;my;shanghai-greenwoods;citic;ubs;value</ns0:t>
        </ns0:is>
      </ns0:c>
      <ns0:c r="AD443" s="84" t="n"/>
      <ns0:c r="AE443" s="85" t="n"/>
      <ns0:c r="AF443" s="85" t="n"/>
      <ns0:c r="AG443" s="85" t="n"/>
      <ns0:c r="AH443" s="85" t="n"/>
      <ns0:c r="AI443" s="86" t="n">
        <ns0:v>32.16</ns0:v>
      </ns0:c>
      <ns0:c r="AJ443" s="87" t="n">
        <ns0:v>33.56</ns0:v>
      </ns0:c>
      <ns0:c r="AK443" s="87" t="n">
        <ns0:v>-2.25</ns0:v>
      </ns0:c>
      <ns0:c r="AL443" s="87" t="n">
        <ns0:v>32.23</ns0:v>
      </ns0:c>
      <ns0:c r="AM443" s="87" t="n">
        <ns0:v>1.01</ns0:v>
      </ns0:c>
      <ns0:c r="AN443" s="89" t="n">
        <ns0:v>5.83</ns0:v>
      </ns0:c>
      <ns0:c r="AO443" s="78" t="n">
        <ns0:v>55.65</ns0:v>
      </ns0:c>
      <ns0:c r="AP443" s="87" t="n">
        <ns0:v>35.99</ns0:v>
      </ns0:c>
      <ns0:c r="AQ443" s="87" t="n">
        <ns0:v>111.32</ns0:v>
      </ns0:c>
      <ns0:c r="AR443" s="87" t="n">
        <ns0:v>163.63</ns0:v>
      </ns0:c>
      <ns0:c r="AS443" s="87" t="n">
        <ns0:v>1.82</ns0:v>
      </ns0:c>
      <ns0:c r="AT443" s="87" t="n">
        <ns0:v>58.22</ns0:v>
      </ns0:c>
      <ns0:c r="AU443" s="87" t="n">
        <ns0:v>97.39</ns0:v>
      </ns0:c>
      <ns0:c r="AV443" s="87" t="n">
        <ns0:v>40.09</ns0:v>
      </ns0:c>
      <ns0:c r="AW443" s="87" t="n">
        <ns0:v>113.82</ns0:v>
      </ns0:c>
      <ns0:c r="AX443" s="87" t="n">
        <ns0:v>174.9</ns0:v>
      </ns0:c>
      <ns0:c r="AY443" s="87" t="n">
        <ns0:v>58.47</ns0:v>
      </ns0:c>
      <ns0:c r="AZ443" s="87" t="n">
        <ns0:v>-2.5</ns0:v>
      </ns0:c>
      <ns0:c r="BA443" s="87" t="n">
        <ns0:v>-0.25</ns0:v>
      </ns0:c>
      <ns0:c r="BB443" s="74" t="inlineStr">
        <ns0:is>
          <ns0:t>HSTECH (Hang Seng TECH ETF)</ns0:t>
        </ns0:is>
      </ns0:c>
      <ns0:c r="BC443" s="87" t="n">
        <ns0:v>64.3</ns0:v>
      </ns0:c>
      <ns0:c r="BD443" s="75" t="n">
        <ns0:v>46297</ns0:v>
      </ns0:c>
      <ns0:c r="BE443" s="76" t="n">
        <ns0:v>4107.7</ns0:v>
      </ns0:c>
      <ns0:c r="BF443" s="79" t="n">
        <ns0:v>743.7</ns0:v>
      </ns0:c>
      <ns0:c r="BG443" s="74" t="inlineStr">
        <ns0:is>
          <ns0:t>Y</ns0:t>
        </ns0:is>
      </ns0:c>
      <ns0:c r="BH443" s="89" t="n">
        <ns0:v>45.7</ns0:v>
      </ns0:c>
      <ns0:c r="BI443" s="89" t="n">
        <ns0:v>35.4</ns0:v>
      </ns0:c>
      <ns0:c r="BJ443" s="89" t="n">
        <ns0:v>38.1</ns0:v>
      </ns0:c>
      <ns0:c r="BK443" s="89" t="n">
        <ns0:v>8.300000000000001</ns0:v>
      </ns0:c>
      <ns0:c r="BL443" s="90">
        <ns0:f>IFERROR(IF('BBG Verify'!S443="","Awaiting Bloomberg",'BBG Verify'!S443),"Awaiting Bloomberg")</ns0:f>
        <ns0:v/>
      </ns0:c>
      <ns0:c r="BM443" s="91" t="inlineStr">
        <ns0:is>
          <ns0:t>Y</ns0:t>
        </ns0:is>
      </ns0:c>
      <ns0:c r="BN443" s="74" t="inlineStr">
        <ns0:is>
          <ns0:t>001389.SZ</ns0:t>
        </ns0:is>
      </ns0:c>
      <ns0:c r="BO443" s="87" t="n">
        <ns0:v>83.56</ns0:v>
      </ns0:c>
      <ns0:c r="BP443" s="77" t="n">
        <ns0:v>131.9413</ns0:v>
      </ns0:c>
      <ns0:c r="BQ443" s="101" t="n">
        <ns0:v>0.7504</ns0:v>
      </ns0:c>
      <ns0:c r="BR443" s="79" t="n">
        <ns0:v>97765.2</ns0:v>
      </ns0:c>
      <ns0:c r="BS443" s="90">
        <ns0:f>IFERROR(IF('BBG Verify'!Q443="","Awaiting Bloomberg",'BBG Verify'!Q443),"Awaiting Bloomberg")</ns0:f>
        <ns0:v/>
      </ns0:c>
      <ns0:c r="BT443" s="90">
        <ns0:f>IFERROR(IF('BBG Verify'!R443="","Awaiting Bloomberg",'BBG Verify'!R443),"Awaiting Bloomberg")</ns0:f>
        <ns0:v/>
      </ns0:c>
      <ns0:c r="BU443" s="91" t="inlineStr">
        <ns0:is>
          <ns0:t>CITIC Securities (Hong Kong) Limited; HSBC Corporate Finance (Hong Kong) Limited</ns0:t>
        </ns0:is>
      </ns0:c>
      <ns0:c r="BV443" s="74" t="inlineStr">
        <ns0:is>
          <ns0:t>CITIC Securities (Hong Kong) Limited</ns0:t>
        </ns0:is>
      </ns0:c>
      <ns0:c r="BW443" s="74" t="inlineStr">
        <ns0:is>
          <ns0:t>CLSA Limited; GF Securities (Hong Kong) Brokerage Limited; Guolian Securities International Capital Market Co., Limited; Huatai Financial Holdings (Hong Kong) Limited; The Hongkong and Shanghai Banking Corporation Limited</ns0:t>
        </ns0:is>
      </ns0:c>
      <ns0:c r="BX443" s="74" t="inlineStr">
        <ns0:is>
          <ns0:t>CLSA Limited; GF Securities (Hong Kong) Brokerage Limited; Guolian Securities International Capital Market Co., Limited; Huatai Financial Holdings (Hong Kong) Limited; The Hongkong and Shanghai Banking Corporation Limited</ns0:t>
        </ns0:is>
      </ns0:c>
      <ns0:c r="BY443" s="93">
        <ns0:f>HYPERLINK("https://www1.hkexnews.hk/listedco/listconews/sehk/2026/0312/2026031200003.pdf","prospectus")</ns0:f>
        <ns0:v/>
      </ns0:c>
      <ns0:c r="BZ443" s="93">
        <ns0:f>HYPERLINK("https://www1.hkexnews.hk/listedco/listconews/sehk/2026/0319/2026031901556.pdf","allotment")</ns0:f>
        <ns0:v/>
      </ns0:c>
      <ns0:c r="CA443" s="85" t="n"/>
      <ns0:c r="CB443" s="94" t="n"/>
      <ns0:c r="CC443" s="74" t="inlineStr">
        <ns0:is>
          <ns0:t>greenshoe: no over-allotment option; range low: maximum offer price only, no floor published; A/H: Mar 2026 H listing (PCB); greenshoe size: no over-allotment option; stabilising manager: filing states none appointed (prospectus: 'no stabilizing manager will be appointed' stated in the filing)</ns0:t>
        </ns0:is>
      </ns0:c>
    </ns0:row>
    <ns0:row r="444" ht="22" customHeight="1">
      <ns0:c r="A444" s="73" t="inlineStr">
        <ns0:is>
          <ns0:t>2701</ns0:t>
        </ns0:is>
      </ns0:c>
      <ns0:c r="B444" s="74" t="inlineStr">
        <ns0:is>
          <ns0:t>NSING TECH</ns0:t>
        </ns0:is>
      </ns0:c>
      <ns0:c r="C444" s="74" t="inlineStr">
        <ns0:is>
          <ns0:t>國民技術</ns0:t>
        </ns0:is>
      </ns0:c>
      <ns0:c r="D444" s="74" t="inlineStr">
        <ns0:is>
          <ns0:t>Technology</ns0:t>
        </ns0:is>
      </ns0:c>
      <ns0:c r="E444" s="74" t="inlineStr">
        <ns0:is>
          <ns0:t>Semiconductors</ns0:t>
        </ns0:is>
      </ns0:c>
      <ns0:c r="F444" s="74" t="inlineStr">
        <ns0:is>
          <ns0:t>Semiconductors &amp; Semiconductor Equipment</ns0:t>
        </ns0:is>
      </ns0:c>
      <ns0:c r="G444" s="74" t="inlineStr">
        <ns0:is>
          <ns0:t>Standard</ns0:t>
        </ns0:is>
      </ns0:c>
      <ns0:c r="H444" s="75" t="n">
        <ns0:v>46104</ns0:v>
      </ns0:c>
      <ns0:c r="I444" s="76" t="n">
        <ns0:v>1026</ns0:v>
      </ns0:c>
      <ns0:c r="J444" s="74" t="inlineStr">
        <ns0:is>
          <ns0:t>gross (stated)</ns0:t>
        </ns0:is>
      </ns0:c>
      <ns0:c r="K444" s="95" t="n"/>
      <ns0:c r="L444" s="77" t="n">
        <ns0:v>10.8</ns0:v>
      </ns0:c>
      <ns0:c r="M444" s="77" t="n">
        <ns0:v>10.8</ns0:v>
      </ns0:c>
      <ns0:c r="N444" s="74" t="inlineStr">
        <ns0:is>
          <ns0:t>Y</ns0:t>
        </ns0:is>
      </ns0:c>
      <ns0:c r="O444" s="78" t="n">
        <ns0:v>100</ns0:v>
      </ns0:c>
      <ns0:c r="P444" s="84" t="n"/>
      <ns0:c r="Q444" s="79" t="n">
        <ns0:v>7323.8</ns0:v>
      </ns0:c>
      <ns0:c r="R444" s="74" t="inlineStr">
        <ns0:is>
          <ns0:t>derived:price x shares upon listing</ns0:t>
        </ns0:is>
      </ns0:c>
      <ns0:c r="S444" s="80" t="n">
        <ns0:v>131.83</ns0:v>
      </ns0:c>
      <ns0:c r="T444" s="81" t="n">
        <ns0:v>2.51</ns0:v>
      </ns0:c>
      <ns0:c r="U444" s="82" t="n">
        <ns0:v>13.6</ns0:v>
      </ns0:c>
      <ns0:c r="V444" s="83" t="n">
        <ns0:v>59</ns0:v>
      </ns0:c>
      <ns0:c r="W444" s="78" t="n">
        <ns0:v>10</ns0:v>
      </ns0:c>
      <ns0:c r="X444" s="74" t="inlineStr">
        <ns0:is>
          <ns0:t>NO</ns0:t>
        </ns0:is>
      </ns0:c>
      <ns0:c r="Y444" s="79" t="n">
        <ns0:v>886.46</ns0:v>
      </ns0:c>
      <ns0:c r="Z444" s="79" t="n">
        <ns0:v>82080000</ns0:v>
      </ns0:c>
      <ns0:c r="AA444" s="78" t="n">
        <ns0:v>12.1</ns0:v>
      </ns0:c>
      <ns0:c r="AB444" s="74" t="inlineStr">
        <ns0:is>
          <ns0:t>Guohua Life Insurance Co., Ltd; Harvest Oriental II SP; Mr. An Jiangbo; Ms. Christine Tai; Sunwoda Treasury (Hong Kong) Limited</ns0:t>
        </ns0:is>
      </ns0:c>
      <ns0:c r="AC444" s="74" t="inlineStr">
        <ns0:is>
          <ns0:t>guohua;harvest;mr-an;ms-christine;sunwoda</ns0:t>
        </ns0:is>
      </ns0:c>
      <ns0:c r="AD444" s="84" t="n"/>
      <ns0:c r="AE444" s="85" t="n"/>
      <ns0:c r="AF444" s="85" t="n"/>
      <ns0:c r="AG444" s="85" t="n"/>
      <ns0:c r="AH444" s="85" t="n"/>
      <ns0:c r="AI444" s="86" t="n">
        <ns0:v>8.33</ns0:v>
      </ns0:c>
      <ns0:c r="AJ444" s="87" t="n">
        <ns0:v>4.17</ns0:v>
      </ns0:c>
      <ns0:c r="AK444" s="87" t="n">
        <ns0:v>-3.44</ns0:v>
      </ns0:c>
      <ns0:c r="AL444" s="87" t="n">
        <ns0:v>32.41</ns0:v>
      </ns0:c>
      <ns0:c r="AM444" s="87" t="n">
        <ns0:v>-21.33</ns0:v>
      </ns0:c>
      <ns0:c r="AN444" s="89" t="n">
        <ns0:v>6.18</ns0:v>
      </ns0:c>
      <ns0:c r="AO444" s="78" t="n">
        <ns0:v>39.16</ns0:v>
      </ns0:c>
      <ns0:c r="AP444" s="87" t="n">
        <ns0:v>21.11</ns0:v>
      </ns0:c>
      <ns0:c r="AQ444" s="87" t="n">
        <ns0:v>14.54</ns0:v>
      </ns0:c>
      <ns0:c r="AR444" s="87" t="n">
        <ns0:v>17.78</ns0:v>
      </ns0:c>
      <ns0:c r="AS444" s="87" t="n">
        <ns0:v>16.26</ns0:v>
      </ns0:c>
      <ns0:c r="AT444" s="87" t="n">
        <ns0:v>9.949999999999999</ns0:v>
      </ns0:c>
      <ns0:c r="AU444" s="87" t="n">
        <ns0:v>13.07</ns0:v>
      </ns0:c>
      <ns0:c r="AV444" s="87" t="n">
        <ns0:v>24.88</ns0:v>
      </ns0:c>
      <ns0:c r="AW444" s="87" t="n">
        <ns0:v>13.91</ns0:v>
      </ns0:c>
      <ns0:c r="AX444" s="87" t="n">
        <ns0:v>30.15</ns0:v>
      </ns0:c>
      <ns0:c r="AY444" s="87" t="n">
        <ns0:v>5.74</ns0:v>
      </ns0:c>
      <ns0:c r="AZ444" s="87" t="n">
        <ns0:v>0.63</ns0:v>
      </ns0:c>
      <ns0:c r="BA444" s="87" t="n">
        <ns0:v>4.21</ns0:v>
      </ns0:c>
      <ns0:c r="BB444" s="74" t="inlineStr">
        <ns0:is>
          <ns0:t>HSTECH (Hang Seng TECH ETF)</ns0:t>
        </ns0:is>
      </ns0:c>
      <ns0:c r="BC444" s="87" t="n">
        <ns0:v>-28.1</ns0:v>
      </ns0:c>
      <ns0:c r="BD444" s="75" t="n">
        <ns0:v>46297</ns0:v>
      </ns0:c>
      <ns0:c r="BE444" s="76" t="n">
        <ns0:v>1284.3</ns0:v>
      </ns0:c>
      <ns0:c r="BF444" s="79" t="n">
        <ns0:v>-281.3</ns0:v>
      </ns0:c>
      <ns0:c r="BG444" s="74" t="inlineStr">
        <ns0:is>
          <ns0:t>N</ns0:t>
        </ns0:is>
      </ns0:c>
      <ns0:c r="BH444" s="74" t="inlineStr">
        <ns0:is>
          <ns0:t>n/m</ns0:t>
        </ns0:is>
      </ns0:c>
      <ns0:c r="BI444" s="88" t="n"/>
      <ns0:c r="BJ444" s="88" t="n"/>
      <ns0:c r="BK444" s="89" t="n">
        <ns0:v>5.7</ns0:v>
      </ns0:c>
      <ns0:c r="BL444" s="90">
        <ns0:f>IFERROR(IF('BBG Verify'!S444="","Awaiting Bloomberg",'BBG Verify'!S444),"Awaiting Bloomberg")</ns0:f>
        <ns0:v/>
      </ns0:c>
      <ns0:c r="BM444" s="91" t="inlineStr">
        <ns0:is>
          <ns0:t>Y</ns0:t>
        </ns0:is>
      </ns0:c>
      <ns0:c r="BN444" s="74" t="inlineStr">
        <ns0:is>
          <ns0:t>300077.SZ</ns0:t>
        </ns0:is>
      </ns0:c>
      <ns0:c r="BO444" s="87" t="n">
        <ns0:v>128.98</ns0:v>
      </ns0:c>
      <ns0:c r="BP444" s="77" t="n">
        <ns0:v>24.7297</ns0:v>
      </ns0:c>
      <ns0:c r="BQ444" s="101" t="n">
        <ns0:v>2.1437</ns0:v>
      </ns0:c>
      <ns0:c r="BR444" s="79" t="n">
        <ns0:v>16565.4</ns0:v>
      </ns0:c>
      <ns0:c r="BS444" s="90">
        <ns0:f>IFERROR(IF('BBG Verify'!Q444="","Awaiting Bloomberg",'BBG Verify'!Q444),"Awaiting Bloomberg")</ns0:f>
        <ns0:v/>
      </ns0:c>
      <ns0:c r="BT444" s="90">
        <ns0:f>IFERROR(IF('BBG Verify'!R444="","Awaiting Bloomberg",'BBG Verify'!R444),"Awaiting Bloomberg")</ns0:f>
        <ns0:v/>
      </ns0:c>
      <ns0:c r="BU444" s="91" t="inlineStr">
        <ns0:is>
          <ns0:t>CITIC Securities (Hong Kong) Limited</ns0:t>
        </ns0:is>
      </ns0:c>
      <ns0:c r="BV444" s="74" t="inlineStr">
        <ns0:is>
          <ns0:t>CITIC Securities (Hong Kong) Limited</ns0:t>
        </ns0:is>
      </ns0:c>
      <ns0:c r="BW444" s="74" t="inlineStr">
        <ns0:is>
          <ns0:t>CLSA Limited; BOCOM International Securities Limited; SPDB International Capital Limited; Jinluo Securities Limited</ns0:t>
        </ns0:is>
      </ns0:c>
      <ns0:c r="BX444" s="74" t="inlineStr">
        <ns0:is>
          <ns0:t>BOCOM International Securities Limited; CLSA Limited; Futu Securities International (Hong Kong) Limited; Jinluo Securities Limited; SPDB International Capital Limited</ns0:t>
        </ns0:is>
      </ns0:c>
      <ns0:c r="BY444" s="93">
        <ns0:f>HYPERLINK("https://www1.hkexnews.hk/listedco/listconews/sehk/2026/0313/2026031300049.pdf","prospectus")</ns0:f>
        <ns0:v/>
      </ns0:c>
      <ns0:c r="BZ444" s="93">
        <ns0:f>HYPERLINK("https://www1.hkexnews.hk/listedco/listconews/sehk/2026/0320/2026032001594.pdf","allotment")</ns0:f>
        <ns0:v/>
      </ns0:c>
      <ns0:c r="CA444" s="85" t="n"/>
      <ns0:c r="CB444" s="94" t="n"/>
      <ns0:c r="CC444" s="74" t="inlineStr">
        <ns0:is>
          <ns0:t>P/E: loss-making at IPO, use P/S; greenshoe: no over-allotment option; range low: maximum offer price only, no floor published; A/H: Mar 2026 H listing (security/MCU chips); greenshoe size: no over-allotment option; stabilising manager: no over-allotment option, so none appointed</ns0:t>
        </ns0:is>
      </ns0:c>
    </ns0:row>
    <ns0:row r="445" ht="22" customHeight="1">
      <ns0:c r="A445" s="73" t="inlineStr">
        <ns0:is>
          <ns0:t>3355</ns0:t>
        </ns0:is>
      </ns0:c>
      <ns0:c r="B445" s="74" t="inlineStr">
        <ns0:is>
          <ns0:t>FS.COM</ns0:t>
        </ns0:is>
      </ns0:c>
      <ns0:c r="C445" s="74" t="inlineStr">
        <ns0:is>
          <ns0:t>飛速創新</ns0:t>
        </ns0:is>
      </ns0:c>
      <ns0:c r="D445" s="74" t="inlineStr">
        <ns0:is>
          <ns0:t>Technology</ns0:t>
        </ns0:is>
      </ns0:c>
      <ns0:c r="E445" s="74" t="inlineStr">
        <ns0:is>
          <ns0:t>Hardware &amp; electronics</ns0:t>
        </ns0:is>
      </ns0:c>
      <ns0:c r="F445" s="74" t="inlineStr">
        <ns0:is>
          <ns0:t>IT Consulting &amp; Other Services</ns0:t>
        </ns0:is>
      </ns0:c>
      <ns0:c r="G445" s="74" t="inlineStr">
        <ns0:is>
          <ns0:t>Standard</ns0:t>
        </ns0:is>
      </ns0:c>
      <ns0:c r="H445" s="75" t="n">
        <ns0:v>46104</ns0:v>
      </ns0:c>
      <ns0:c r="I445" s="76" t="n">
        <ns0:v>1664</ns0:v>
      </ns0:c>
      <ns0:c r="J445" s="74" t="inlineStr">
        <ns0:is>
          <ns0:t>gross (price x shares)</ns0:t>
        </ns0:is>
      </ns0:c>
      <ns0:c r="K445" s="95" t="n"/>
      <ns0:c r="L445" s="77" t="n">
        <ns0:v>41.6</ns0:v>
      </ns0:c>
      <ns0:c r="M445" s="77" t="n">
        <ns0:v>41.6</ns0:v>
      </ns0:c>
      <ns0:c r="N445" s="74" t="inlineStr">
        <ns0:is>
          <ns0:t>Y</ns0:t>
        </ns0:is>
      </ns0:c>
      <ns0:c r="O445" s="78" t="n">
        <ns0:v>100</ns0:v>
      </ns0:c>
      <ns0:c r="P445" s="84" t="n"/>
      <ns0:c r="Q445" s="79" t="n">
        <ns0:v>16640</ns0:v>
      </ns0:c>
      <ns0:c r="R445" s="74" t="inlineStr">
        <ns0:is>
          <ns0:t>derived:price x shares upon listing</ns0:t>
        </ns0:is>
      </ns0:c>
      <ns0:c r="S445" s="80" t="n">
        <ns0:v>1579.71</ns0:v>
      </ns0:c>
      <ns0:c r="T445" s="81" t="n">
        <ns0:v>10.92</ns0:v>
      </ns0:c>
      <ns0:c r="U445" s="82" t="n">
        <ns0:v>42.31</ns0:v>
      </ns0:c>
      <ns0:c r="V445" s="83" t="n">
        <ns0:v>140</ns0:v>
      </ns0:c>
      <ns0:c r="W445" s="78" t="n">
        <ns0:v>10</ns0:v>
      </ns0:c>
      <ns0:c r="X445" s="74" t="inlineStr">
        <ns0:is>
          <ns0:t>NA</ns0:t>
        </ns0:is>
      </ns0:c>
      <ns0:c r="Y445" s="79" t="n">
        <ns0:v>959.96</ns0:v>
      </ns0:c>
      <ns0:c r="Z445" s="79" t="n">
        <ns0:v>23076000</ns0:v>
      </ns0:c>
      <ns0:c r="AA445" s="78" t="n">
        <ns0:v>5.77</ns0:v>
      </ns0:c>
      <ns0:c r="AB445" s="74" t="inlineStr">
        <ns0:is>
          <ns0:t>Hao Great China Focus Fund; Great Holding Development Limited; WT Asset Management Limited; Caitong Funds SPC — Strategic Equity Fund III SP; Shanghai Intewise Capital Investment Limited ultimate clients and CICC Financial Trading Limited (in connection with Shanghai Intewise OTC Swaps); Foresight Capital Steady Growth LPF; SCGC Capital Holding Company Limited; Aether Wave Fund L.P; GF International Investment Management Limited; Shenzhen Kaifeng Investment Management Co., Ltd. , Changdu Kaifeng Investment; Management Co., Ltd.; CICC FT (in connection with the Kaifeng OTC Swaps (as defined below)) Wider Huge Group Limited</ns0:t>
        </ns0:is>
      </ns0:c>
      <ns0:c r="AC445" s="74" t="inlineStr">
        <ns0:is>
          <ns0:t>hao;great-development;wt;caitong;shanghai-intewise;foresight;scgc;aether;gf;shenzhen-kaifeng;management-co;china-international</ns0:t>
        </ns0:is>
      </ns0:c>
      <ns0:c r="AD445" s="78" t="n">
        <ns0:v>15</ns0:v>
      </ns0:c>
      <ns0:c r="AE445" s="74" t="inlineStr">
        <ns0:is>
          <ns0:t>partial</ns0:t>
        </ns0:is>
      </ns0:c>
      <ns0:c r="AF445" s="85" t="n"/>
      <ns0:c r="AG445" s="74" t="inlineStr">
        <ns0:is>
          <ns0:t>China International Capital Corporation Hong Kong Securities Limited</ns0:t>
        </ns0:is>
      </ns0:c>
      <ns0:c r="AH445" s="74" t="inlineStr">
        <ns0:is>
          <ns0:t>China International</ns0:t>
        </ns0:is>
      </ns0:c>
      <ns0:c r="AI445" s="86" t="n">
        <ns0:v>46.39</ns0:v>
      </ns0:c>
      <ns0:c r="AJ445" s="87" t="n">
        <ns0:v>13.46</ns0:v>
      </ns0:c>
      <ns0:c r="AK445" s="87" t="n">
        <ns0:v>-3.44</ns0:v>
      </ns0:c>
      <ns0:c r="AL445" s="87" t="n">
        <ns0:v>34.62</ns0:v>
      </ns0:c>
      <ns0:c r="AM445" s="87" t="n">
        <ns0:v>-15.72</ns0:v>
      </ns0:c>
      <ns0:c r="AN445" s="89" t="n">
        <ns0:v>3.26</ns0:v>
      </ns0:c>
      <ns0:c r="AO445" s="78" t="n">
        <ns0:v>24.46</ns0:v>
      </ns0:c>
      <ns0:c r="AP445" s="87" t="n">
        <ns0:v>3.94</ns0:v>
      </ns0:c>
      <ns0:c r="AQ445" s="87" t="n">
        <ns0:v>7.5</ns0:v>
      </ns0:c>
      <ns0:c r="AR445" s="87" t="n">
        <ns0:v>-13.99</ns0:v>
      </ns0:c>
      <ns0:c r="AS445" s="87" t="n">
        <ns0:v>-8.390000000000001</ns0:v>
      </ns0:c>
      <ns0:c r="AT445" s="87" t="n">
        <ns0:v>-5.25</ns0:v>
      </ns0:c>
      <ns0:c r="AU445" s="87" t="n">
        <ns0:v>-24.19</ns0:v>
      </ns0:c>
      <ns0:c r="AV445" s="87" t="n">
        <ns0:v>7.71</ns0:v>
      </ns0:c>
      <ns0:c r="AW445" s="87" t="n">
        <ns0:v>6.87</ns0:v>
      </ns0:c>
      <ns0:c r="AX445" s="87" t="n">
        <ns0:v>-1.62</ns0:v>
      </ns0:c>
      <ns0:c r="AY445" s="87" t="n">
        <ns0:v>-9.460000000000001</ns0:v>
      </ns0:c>
      <ns0:c r="AZ445" s="87" t="n">
        <ns0:v>0.63</ns0:v>
      </ns0:c>
      <ns0:c r="BA445" s="87" t="n">
        <ns0:v>4.21</ns0:v>
      </ns0:c>
      <ns0:c r="BB445" s="74" t="inlineStr">
        <ns0:is>
          <ns0:t>HSTECH (Hang Seng TECH ETF)</ns0:t>
        </ns0:is>
      </ns0:c>
      <ns0:c r="BC445" s="87" t="n">
        <ns0:v>-11.06</ns0:v>
      </ns0:c>
      <ns0:c r="BD445" s="75" t="n">
        <ns0:v>46297</ns0:v>
      </ns0:c>
      <ns0:c r="BE445" s="76" t="n">
        <ns0:v>2873</ns0:v>
      </ns0:c>
      <ns0:c r="BF445" s="79" t="n">
        <ns0:v>437</ns0:v>
      </ns0:c>
      <ns0:c r="BG445" s="74" t="inlineStr">
        <ns0:is>
          <ns0:t>Y</ns0:t>
        </ns0:is>
      </ns0:c>
      <ns0:c r="BH445" s="89" t="n">
        <ns0:v>38.1</ns0:v>
      </ns0:c>
      <ns0:c r="BI445" s="88" t="n"/>
      <ns0:c r="BJ445" s="88" t="n"/>
      <ns0:c r="BK445" s="89" t="n">
        <ns0:v>5.8</ns0:v>
      </ns0:c>
      <ns0:c r="BL445" s="90">
        <ns0:f>IFERROR(IF('BBG Verify'!S445="","Awaiting Bloomberg",'BBG Verify'!S445),"Awaiting Bloomberg")</ns0:f>
        <ns0:v/>
      </ns0:c>
      <ns0:c r="BM445" s="91" t="inlineStr">
        <ns0:is>
          <ns0:t>N</ns0:t>
        </ns0:is>
      </ns0:c>
      <ns0:c r="BN445" s="92">
        <ns0:f>IFERROR(IF('BBG Verify'!K445="","Awaiting Bloomberg",'BBG Verify'!K445),"Awaiting Bloomberg")</ns0:f>
        <ns0:v/>
      </ns0:c>
      <ns0:c r="BO445" s="74" t="inlineStr">
        <ns0:is>
          <ns0:t>N/A</ns0:t>
        </ns0:is>
      </ns0:c>
      <ns0:c r="BP445" s="74" t="inlineStr">
        <ns0:is>
          <ns0:t>N/A</ns0:t>
        </ns0:is>
      </ns0:c>
      <ns0:c r="BQ445" s="74" t="inlineStr">
        <ns0:is>
          <ns0:t>N/A</ns0:t>
        </ns0:is>
      </ns0:c>
      <ns0:c r="BR445" s="74" t="inlineStr">
        <ns0:is>
          <ns0:t>N/A</ns0:t>
        </ns0:is>
      </ns0:c>
      <ns0:c r="BS445" s="74" t="inlineStr">
        <ns0:is>
          <ns0:t>N/A</ns0:t>
        </ns0:is>
      </ns0:c>
      <ns0:c r="BT445" s="74" t="inlineStr">
        <ns0:is>
          <ns0:t>N/A</ns0:t>
        </ns0:is>
      </ns0:c>
      <ns0:c r="BU445" s="91" t="inlineStr">
        <ns0:is>
          <ns0:t>China International Capital Corporation Hong Kong Securities Limited; China Securities (International) Corporate Finance Company Limited; China Merchants Securities (HK) Company Limited</ns0:t>
        </ns0:is>
      </ns0:c>
      <ns0:c r="BV445" s="74" t="inlineStr">
        <ns0:is>
          <ns0:t>China International Capital Corporation Hong Kong Securities Limited; China Securities (International) Corporate Finance Company Limited; China Merchants Securities (HK) Company Limited</ns0:t>
        </ns0:is>
      </ns0:c>
      <ns0:c r="BW445" s="74" t="inlineStr">
        <ns0:is>
          <ns0:t>China International Capital Corporation Hong Kong Securities Limited; China Securities (International) Corporate Finance Company Limited; China Merchants Securities (HK) Co., Limited; BOCI Asia Limited; Tiger Brokers (HK) Global Limited</ns0:t>
        </ns0:is>
      </ns0:c>
      <ns0:c r="BX445" s="74" t="inlineStr">
        <ns0:is>
          <ns0:t>BOCI Asia Limited; China International Capital Corporation Hong Kong Securities Limited; China Merchants Securities (HK) Company Limited; China Securities (International) Corporate Finance Company Limited; Futu Securities International (Hong Kong) Limited; Tiger Brokers (HK) Global Limited</ns0:t>
        </ns0:is>
      </ns0:c>
      <ns0:c r="BY445" s="93">
        <ns0:f>HYPERLINK("https://www1.hkexnews.hk/listedco/listconews/sehk/2026/0313/2026031300015.pdf","prospectus")</ns0:f>
        <ns0:v/>
      </ns0:c>
      <ns0:c r="BZ445" s="93">
        <ns0:f>HYPERLINK("https://www1.hkexnews.hk/listedco/listconews/sehk/2026/0320/2026032001750.pdf","allotment")</ns0:f>
        <ns0:v/>
      </ns0:c>
      <ns0:c r="CA445" s="93">
        <ns0:f>HYPERLINK("https://www1.hkexnews.hk/listedco/listconews/sehk/2026/0417/2026041701549.pdf","stabilisation")</ns0:f>
        <ns0:v/>
      </ns0:c>
      <ns0:c r="CB445" s="94" t="n"/>
      <ns0:c r="CC445" s="74" t="inlineStr">
        <ns0:is>
          <ns0:t>greenshoe: outcome published; expiry date not in the notice; range low: maximum offer price only, no floor published; sponsor: English name not in the filing; AAStocks 保薦人 shown</ns0:t>
        </ns0:is>
      </ns0:c>
    </ns0:row>
    <ns0:row r="446" ht="22" customHeight="1">
      <ns0:c r="A446" s="73" t="inlineStr">
        <ns0:is>
          <ns0:t>2729</ns0:t>
        </ns0:is>
      </ns0:c>
      <ns0:c r="B446" s="74" t="inlineStr">
        <ns0:is>
          <ns0:t>GALAXIS TECH</ns0:t>
        </ns0:is>
      </ns0:c>
      <ns0:c r="C446" s="74" t="inlineStr">
        <ns0:is>
          <ns0:t>凱樂士科技</ns0:t>
        </ns0:is>
      </ns0:c>
      <ns0:c r="D446" s="74" t="inlineStr">
        <ns0:is>
          <ns0:t>Technology</ns0:t>
        </ns0:is>
      </ns0:c>
      <ns0:c r="E446" s="74" t="inlineStr">
        <ns0:is>
          <ns0:t>Robotics &amp; autonomous driving</ns0:t>
        </ns0:is>
      </ns0:c>
      <ns0:c r="F446" s="74" t="inlineStr">
        <ns0:is>
          <ns0:t>Advanced hardware and software</ns0:t>
        </ns0:is>
      </ns0:c>
      <ns0:c r="G446" s="74" t="inlineStr">
        <ns0:is>
          <ns0:t>Standard</ns0:t>
        </ns0:is>
      </ns0:c>
      <ns0:c r="H446" s="75" t="n">
        <ns0:v>46105</ns0:v>
      </ns0:c>
      <ns0:c r="I446" s="76" t="n">
        <ns0:v>613</ns0:v>
      </ns0:c>
      <ns0:c r="J446" s="74" t="inlineStr">
        <ns0:is>
          <ns0:t>gross (stated)</ns0:t>
        </ns0:is>
      </ns0:c>
      <ns0:c r="K446" s="95" t="n"/>
      <ns0:c r="L446" s="77" t="n">
        <ns0:v>20.4</ns0:v>
      </ns0:c>
      <ns0:c r="M446" s="77" t="n">
        <ns0:v>16.66</ns0:v>
      </ns0:c>
      <ns0:c r="N446" s="74" t="inlineStr">
        <ns0:is>
          <ns0:t>N</ns0:t>
        </ns0:is>
      </ns0:c>
      <ns0:c r="O446" s="78" t="n">
        <ns0:v>81.7</ns0:v>
      </ns0:c>
      <ns0:c r="P446" s="84" t="n"/>
      <ns0:c r="Q446" s="79" t="n">
        <ns0:v>7128.5</ns0:v>
      </ns0:c>
      <ns0:c r="R446" s="74" t="inlineStr">
        <ns0:is>
          <ns0:t>derived:price x shares upon listing</ns0:t>
        </ns0:is>
      </ns0:c>
      <ns0:c r="S446" s="80" t="n">
        <ns0:v>2153.26</ns0:v>
      </ns0:c>
      <ns0:c r="T446" s="81" t="n">
        <ns0:v>3.37</ns0:v>
      </ns0:c>
      <ns0:c r="U446" s="82" t="n">
        <ns0:v>0</ns0:v>
      </ns0:c>
      <ns0:c r="V446" s="100" t="n"/>
      <ns0:c r="W446" s="78" t="n">
        <ns0:v>10</ns0:v>
      </ns0:c>
      <ns0:c r="X446" s="74" t="inlineStr">
        <ns0:is>
          <ns0:t>NO</ns0:t>
        </ns0:is>
      </ns0:c>
      <ns0:c r="Y446" s="79" t="n">
        <ns0:v>613</ns0:v>
      </ns0:c>
      <ns0:c r="Z446" s="79" t="n">
        <ns0:v>36798000</ns0:v>
      </ns0:c>
      <ns0:c r="AA446" s="78" t="n">
        <ns0:v>8.6</ns0:v>
      </ns0:c>
      <ns0:c r="AB446" s="74" t="inlineStr">
        <ns0:is>
          <ns0:t>none — no cornerstone tranche</ns0:t>
        </ns0:is>
      </ns0:c>
      <ns0:c r="AC446" s="74" t="inlineStr">
        <ns0:is>
          <ns0:t>none</ns0:t>
        </ns0:is>
      </ns0:c>
      <ns0:c r="AD446" s="78" t="n">
        <ns0:v>8.800000000000001</ns0:v>
      </ns0:c>
      <ns0:c r="AE446" s="74" t="inlineStr">
        <ns0:is>
          <ns0:t>lapsed (no over-allocation)</ns0:t>
        </ns0:is>
      </ns0:c>
      <ns0:c r="AF446" s="85" t="n"/>
      <ns0:c r="AG446" s="85" t="n"/>
      <ns0:c r="AH446" s="85" t="n"/>
      <ns0:c r="AI446" s="86" t="n">
        <ns0:v>83.19</ns0:v>
      </ns0:c>
      <ns0:c r="AJ446" s="87" t="n">
        <ns0:v>84.27</ns0:v>
      </ns0:c>
      <ns0:c r="AK446" s="87" t="n">
        <ns0:v>2.43</ns0:v>
      </ns0:c>
      <ns0:c r="AL446" s="87" t="n">
        <ns0:v>92.08</ns0:v>
      </ns0:c>
      <ns0:c r="AM446" s="87" t="n">
        <ns0:v>-4.07</ns0:v>
      </ns0:c>
      <ns0:c r="AN446" s="89" t="n">
        <ns0:v>3.07</ns0:v>
      </ns0:c>
      <ns0:c r="AO446" s="78" t="n">
        <ns0:v>18.69</ns0:v>
      </ns0:c>
      <ns0:c r="AP446" s="87" t="n">
        <ns0:v>80.19</ns0:v>
      </ns0:c>
      <ns0:c r="AQ446" s="87" t="n">
        <ns0:v>126.29</ns0:v>
      </ns0:c>
      <ns0:c r="AR446" s="87" t="n">
        <ns0:v>79.34999999999999</ns0:v>
      </ns0:c>
      <ns0:c r="AS446" s="87" t="n">
        <ns0:v>-2.21</ns0:v>
      </ns0:c>
      <ns0:c r="AT446" s="87" t="n">
        <ns0:v>22.8</ns0:v>
      </ns0:c>
      <ns0:c r="AU446" s="87" t="n">
        <ns0:v>-2.67</ns0:v>
      </ns0:c>
      <ns0:c r="AV446" s="87" t="n">
        <ns0:v>81.41</ns0:v>
      </ns0:c>
      <ns0:c r="AW446" s="87" t="n">
        <ns0:v>121.43</ns0:v>
      </ns0:c>
      <ns0:c r="AX446" s="87" t="n">
        <ns0:v>85.81999999999999</ns0:v>
      </ns0:c>
      <ns0:c r="AY446" s="87" t="n">
        <ns0:v>20.43</ns0:v>
      </ns0:c>
      <ns0:c r="AZ446" s="87" t="n">
        <ns0:v>4.86</ns0:v>
      </ns0:c>
      <ns0:c r="BA446" s="87" t="n">
        <ns0:v>2.37</ns0:v>
      </ns0:c>
      <ns0:c r="BB446" s="74" t="inlineStr">
        <ns0:is>
          <ns0:t>HSTECH (Hang Seng TECH ETF)</ns0:t>
        </ns0:is>
      </ns0:c>
      <ns0:c r="BC446" s="87" t="n">
        <ns0:v>22.69</ns0:v>
      </ns0:c>
      <ns0:c r="BD446" s="75" t="n">
        <ns0:v>46297</ns0:v>
      </ns0:c>
      <ns0:c r="BE446" s="76" t="n">
        <ns0:v>793.6</ns0:v>
      </ns0:c>
      <ns0:c r="BF446" s="79" t="n">
        <ns0:v>-195.9</ns0:v>
      </ns0:c>
      <ns0:c r="BG446" s="74" t="inlineStr">
        <ns0:is>
          <ns0:t>N</ns0:t>
        </ns0:is>
      </ns0:c>
      <ns0:c r="BH446" s="74" t="inlineStr">
        <ns0:is>
          <ns0:t>n/m</ns0:t>
        </ns0:is>
      </ns0:c>
      <ns0:c r="BI446" s="88" t="n"/>
      <ns0:c r="BJ446" s="88" t="n"/>
      <ns0:c r="BK446" s="89" t="n">
        <ns0:v>9</ns0:v>
      </ns0:c>
      <ns0:c r="BL446" s="90">
        <ns0:f>IFERROR(IF('BBG Verify'!S446="","Awaiting Bloomberg",'BBG Verify'!S446),"Awaiting Bloomberg")</ns0:f>
        <ns0:v/>
      </ns0:c>
      <ns0:c r="BM446" s="91" t="inlineStr">
        <ns0:is>
          <ns0:t>N</ns0:t>
        </ns0:is>
      </ns0:c>
      <ns0:c r="BN446" s="92">
        <ns0:f>IFERROR(IF('BBG Verify'!K446="","Awaiting Bloomberg",'BBG Verify'!K446),"Awaiting Bloomberg")</ns0:f>
        <ns0:v/>
      </ns0:c>
      <ns0:c r="BO446" s="74" t="inlineStr">
        <ns0:is>
          <ns0:t>N/A</ns0:t>
        </ns0:is>
      </ns0:c>
      <ns0:c r="BP446" s="74" t="inlineStr">
        <ns0:is>
          <ns0:t>N/A</ns0:t>
        </ns0:is>
      </ns0:c>
      <ns0:c r="BQ446" s="74" t="inlineStr">
        <ns0:is>
          <ns0:t>N/A</ns0:t>
        </ns0:is>
      </ns0:c>
      <ns0:c r="BR446" s="74" t="inlineStr">
        <ns0:is>
          <ns0:t>N/A</ns0:t>
        </ns0:is>
      </ns0:c>
      <ns0:c r="BS446" s="74" t="inlineStr">
        <ns0:is>
          <ns0:t>N/A</ns0:t>
        </ns0:is>
      </ns0:c>
      <ns0:c r="BT446" s="74" t="inlineStr">
        <ns0:is>
          <ns0:t>N/A</ns0:t>
        </ns0:is>
      </ns0:c>
      <ns0:c r="BU446" s="91" t="inlineStr">
        <ns0:is>
          <ns0:t>Guotai Junan Capital Limited; CITIC Securities (Hong Kong) Limited</ns0:t>
        </ns0:is>
      </ns0:c>
      <ns0:c r="BV446" s="74" t="inlineStr">
        <ns0:is>
          <ns0:t>CITIC Securities (Hong Kong) Limited; Guotai Junan Capital Limited</ns0:t>
        </ns0:is>
      </ns0:c>
      <ns0:c r="BW446" s="74" t="inlineStr">
        <ns0:is>
          <ns0:t>ICBC International Securities Limited; CCB International Capital Limited; Yunfeng Securities Limited; Livermore Holdings Limited; SPDB International Capital Limited; Shenwan Hongyuan Securities (H.K.) Limited; Yuen Meta (International) Securities Limited; Harmonia Capital Limited</ns0:t>
        </ns0:is>
      </ns0:c>
      <ns0:c r="BX446" s="74" t="inlineStr">
        <ns0:is>
          <ns0: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ns0:t>
        </ns0:is>
      </ns0:c>
      <ns0:c r="BY446" s="93">
        <ns0:f>HYPERLINK("https://www1.hkexnews.hk/listedco/listconews/sehk/2026/0316/2026031600013.pdf","prospectus")</ns0:f>
        <ns0:v/>
      </ns0:c>
      <ns0:c r="BZ446" s="93">
        <ns0:f>HYPERLINK("https://www1.hkexnews.hk/listedco/listconews/sehk/2026/0323/2026032301408.pdf","allotment")</ns0:f>
        <ns0:v/>
      </ns0:c>
      <ns0:c r="CA446" s="93">
        <ns0:f>HYPERLINK("https://www1.hkexnews.hk/listedco/listconews/sehk/2026/0420/2026042000237.pdf","stabilisation")</ns0:f>
        <ns0:v/>
      </ns0:c>
      <ns0:c r="CB446" s="94" t="n"/>
      <ns0:c r="CC446" s="74" t="inlineStr">
        <ns0:is>
          <ns0:t>P/E: loss-making at IPO, use P/S; greenshoe: outcome published; expiry date not in the notice; range low: maximum offer price only, no floor published; cornerstone list: no cornerstone tranche; stabilising manager: not named in the allotment notice or prospectus glossary; allocation: allocation table not in this notice's format (older prose announcement)</ns0:t>
        </ns0:is>
      </ns0:c>
    </ns0:row>
    <ns0:row r="447" ht="22" customHeight="1">
      <ns0:c r="A447" s="73" t="inlineStr">
        <ns0:is>
          <ns0:t>2632</ns0:t>
        </ns0:is>
      </ns0:c>
      <ns0:c r="B447" s="74" t="inlineStr">
        <ns0:is>
          <ns0:t>NEW VISION CO</ns0:t>
        </ns0:is>
      </ns0:c>
      <ns0:c r="C447" s="74" t="inlineStr">
        <ns0:is>
          <ns0:t>澤景股份</ns0:t>
        </ns0:is>
      </ns0:c>
      <ns0:c r="D447" s="74" t="inlineStr">
        <ns0:is>
          <ns0:t>Consumer</ns0:t>
        </ns0:is>
      </ns0:c>
      <ns0:c r="E447" s="74" t="inlineStr">
        <ns0:is>
          <ns0:t>Auto parts / supply chain</ns0:t>
        </ns0:is>
      </ns0:c>
      <ns0:c r="F447" s="74" t="inlineStr">
        <ns0:is>
          <ns0:t>Auto Parts &amp; Equipment</ns0:t>
        </ns0:is>
      </ns0:c>
      <ns0:c r="G447" s="74" t="inlineStr">
        <ns0:is>
          <ns0:t>Standard</ns0:t>
        </ns0:is>
      </ns0:c>
      <ns0:c r="H447" s="75" t="n">
        <ns0:v>46105</ns0:v>
      </ns0:c>
      <ns0:c r="I447" s="76" t="n">
        <ns0:v>717.21</ns0:v>
      </ns0:c>
      <ns0:c r="J447" s="74" t="inlineStr">
        <ns0:is>
          <ns0:t>gross (stated)</ns0:t>
        </ns0:is>
      </ns0:c>
      <ns0:c r="K447" s="95" t="n"/>
      <ns0:c r="L447" s="77" t="n">
        <ns0:v>48</ns0:v>
      </ns0:c>
      <ns0:c r="M447" s="77" t="n">
        <ns0:v>44.2</ns0:v>
      </ns0:c>
      <ns0:c r="N447" s="74" t="inlineStr">
        <ns0:is>
          <ns0:t>N</ns0:t>
        </ns0:is>
      </ns0:c>
      <ns0:c r="O447" s="78" t="n">
        <ns0:v>92.09999999999999</ns0:v>
      </ns0:c>
      <ns0:c r="P447" s="84" t="n"/>
      <ns0:c r="Q447" s="79" t="n">
        <ns0:v>5454.1</ns0:v>
      </ns0:c>
      <ns0:c r="R447" s="74" t="inlineStr">
        <ns0:is>
          <ns0:t>derived:price x shares upon listing</ns0:t>
        </ns0:is>
      </ns0:c>
      <ns0:c r="S447" s="80" t="n">
        <ns0:v>68.89</ns0:v>
      </ns0:c>
      <ns0:c r="T447" s="81" t="n">
        <ns0:v>1.34</ns0:v>
      </ns0:c>
      <ns0:c r="U447" s="82" t="n">
        <ns0:v>15.33</ns0:v>
      </ns0:c>
      <ns0:c r="V447" s="83" t="n">
        <ns0:v>71</ns0:v>
      </ns0:c>
      <ns0:c r="W447" s="78" t="n">
        <ns0:v>10</ns0:v>
      </ns0:c>
      <ns0:c r="X447" s="74" t="inlineStr">
        <ns0:is>
          <ns0:t>NO</ns0:t>
        </ns0:is>
      </ns0:c>
      <ns0:c r="Y447" s="79" t="n">
        <ns0:v>607.26</ns0:v>
      </ns0:c>
      <ns0:c r="Z447" s="79" t="n">
        <ns0:v>13738978</ns0:v>
      </ns0:c>
      <ns0:c r="AA447" s="78" t="n">
        <ns0:v>11.13</ns0:v>
      </ns0:c>
      <ns0:c r="AB447" s="74" t="inlineStr">
        <ns0:is>
          <ns0:t>Yingke No. 1 (Hongkong) Limited ʮ̡; Hongkong High Tech Industrial (Beijing) Development Investment Co., Limited ʮ̡</ns0:t>
        </ns0:is>
      </ns0:c>
      <ns0:c r="AC447" s="74" t="inlineStr">
        <ns0:is>
          <ns0:t>yingke;hongkong</ns0:t>
        </ns0:is>
      </ns0:c>
      <ns0:c r="AD447" s="84" t="n"/>
      <ns0:c r="AE447" s="85" t="n"/>
      <ns0:c r="AF447" s="85" t="n"/>
      <ns0:c r="AG447" s="85" t="n"/>
      <ns0:c r="AH447" s="85" t="n"/>
      <ns0:c r="AI447" s="105" t="n">
        <ns0:v>1.04</ns0:v>
      </ns0:c>
      <ns0:c r="AJ447" s="87" t="n">
        <ns0:v>-36.92</ns0:v>
      </ns0:c>
      <ns0:c r="AK447" s="87" t="n">
        <ns0:v>2.45</ns0:v>
      </ns0:c>
      <ns0:c r="AL447" s="87" t="n">
        <ns0:v>-0.68</ns0:v>
      </ns0:c>
      <ns0:c r="AM447" s="87" t="n">
        <ns0:v>-36.49</ns0:v>
      </ns0:c>
      <ns0:c r="AN447" s="89" t="n">
        <ns0:v>3.22</ns0:v>
      </ns0:c>
      <ns0:c r="AO447" s="78" t="n">
        <ns0:v>41.23</ns0:v>
      </ns0:c>
      <ns0:c r="AP447" s="87" t="n">
        <ns0:v>1.81</ns0:v>
      </ns0:c>
      <ns0:c r="AQ447" s="87" t="n">
        <ns0:v>94.12</ns0:v>
      </ns0:c>
      <ns0:c r="AR447" s="87" t="n">
        <ns0:v>149.1</ns0:v>
      </ns0:c>
      <ns0:c r="AS447" s="87" t="n">
        <ns0:v>61.4</ns0:v>
      </ns0:c>
      <ns0:c r="AT447" s="87" t="n">
        <ns0:v>207.74</ns0:v>
      </ns0:c>
      <ns0:c r="AU447" s="87" t="n">
        <ns0:v>294.9</ns0:v>
      </ns0:c>
      <ns0:c r="AV447" s="87" t="n">
        <ns0:v>2.11</ns0:v>
      </ns0:c>
      <ns0:c r="AW447" s="87" t="n">
        <ns0:v>90.3</ns0:v>
      </ns0:c>
      <ns0:c r="AX447" s="87" t="n">
        <ns0:v>160.17</ns0:v>
      </ns0:c>
      <ns0:c r="AY447" s="87" t="n">
        <ns0:v>206.4</ns0:v>
      </ns0:c>
      <ns0:c r="AZ447" s="87" t="n">
        <ns0:v>3.82</ns0:v>
      </ns0:c>
      <ns0:c r="BA447" s="87" t="n">
        <ns0:v>1.34</ns0:v>
      </ns0:c>
      <ns0:c r="BB447" s="74" t="inlineStr">
        <ns0:is>
          <ns0:t>Hang Seng Commerce &amp; Industry sub-index</ns0:t>
        </ns0:is>
      </ns0:c>
      <ns0:c r="BC447" s="87" t="n">
        <ns0:v>31.11</ns0:v>
      </ns0:c>
      <ns0:c r="BD447" s="75" t="n">
        <ns0:v>46297</ns0:v>
      </ns0:c>
      <ns0:c r="BE447" s="76" t="n">
        <ns0:v>635.4</ns0:v>
      </ns0:c>
      <ns0:c r="BF447" s="79" t="n">
        <ns0:v>-151.6</ns0:v>
      </ns0:c>
      <ns0:c r="BG447" s="74" t="inlineStr">
        <ns0:is>
          <ns0:t>N</ns0:t>
        </ns0:is>
      </ns0:c>
      <ns0:c r="BH447" s="74" t="inlineStr">
        <ns0:is>
          <ns0:t>n/m</ns0:t>
        </ns0:is>
      </ns0:c>
      <ns0:c r="BI447" s="88" t="n"/>
      <ns0:c r="BJ447" s="88" t="n"/>
      <ns0:c r="BK447" s="89" t="n">
        <ns0:v>8.6</ns0:v>
      </ns0:c>
      <ns0:c r="BL447" s="90">
        <ns0:f>IFERROR(IF('BBG Verify'!S447="","Awaiting Bloomberg",'BBG Verify'!S447),"Awaiting Bloomberg")</ns0:f>
        <ns0:v/>
      </ns0:c>
      <ns0:c r="BM447" s="91" t="inlineStr">
        <ns0:is>
          <ns0:t>N</ns0:t>
        </ns0:is>
      </ns0:c>
      <ns0:c r="BN447" s="92">
        <ns0:f>IFERROR(IF('BBG Verify'!K447="","Awaiting Bloomberg",'BBG Verify'!K447),"Awaiting Bloomberg")</ns0:f>
        <ns0:v/>
      </ns0:c>
      <ns0:c r="BO447" s="74" t="inlineStr">
        <ns0:is>
          <ns0:t>N/A</ns0:t>
        </ns0:is>
      </ns0:c>
      <ns0:c r="BP447" s="74" t="inlineStr">
        <ns0:is>
          <ns0:t>N/A</ns0:t>
        </ns0:is>
      </ns0:c>
      <ns0:c r="BQ447" s="74" t="inlineStr">
        <ns0:is>
          <ns0:t>N/A</ns0:t>
        </ns0:is>
      </ns0:c>
      <ns0:c r="BR447" s="74" t="inlineStr">
        <ns0:is>
          <ns0:t>N/A</ns0:t>
        </ns0:is>
      </ns0:c>
      <ns0:c r="BS447" s="74" t="inlineStr">
        <ns0:is>
          <ns0:t>N/A</ns0:t>
        </ns0:is>
      </ns0:c>
      <ns0:c r="BT447" s="74" t="inlineStr">
        <ns0:is>
          <ns0:t>N/A</ns0:t>
        </ns0:is>
      </ns0:c>
      <ns0:c r="BU447" s="91" t="inlineStr">
        <ns0:is>
          <ns0:t>Haitong International Capital Limited; CITIC Securities (Hong Kong) Limited</ns0:t>
        </ns0:is>
      </ns0:c>
      <ns0:c r="BV447" s="74" t="inlineStr">
        <ns0:is>
          <ns0:t>Haitong International Capital Limited; CITIC Securities (Hong Kong) Limited</ns0:t>
        </ns0:is>
      </ns0:c>
      <ns0:c r="BW447" s="74" t="inlineStr">
        <ns0:is>
          <ns0:t>BOCI Asia Limited; Patrons Securities Limited</ns0:t>
        </ns0:is>
      </ns0:c>
      <ns0:c r="BX447" s="74" t="inlineStr">
        <ns0:is>
          <ns0:t>BOCI Asia Limited; CLSA Limited; Futu Securities International (Hong Kong) Limited; Haitong International Securities Company Limited; Patrons Securities Limited</ns0:t>
        </ns0:is>
      </ns0:c>
      <ns0:c r="BY447" s="93">
        <ns0:f>HYPERLINK("https://www1.hkexnews.hk/listedco/listconews/sehk/2026/0316/2026031600011.pdf","prospectus")</ns0:f>
        <ns0:v/>
      </ns0:c>
      <ns0:c r="BZ447" s="93">
        <ns0:f>HYPERLINK("https://www1.hkexnews.hk/listedco/listconews/sehk/2026/0323/2026032301630.pdf","allotment")</ns0:f>
        <ns0:v/>
      </ns0:c>
      <ns0:c r="CA447" s="85" t="n"/>
      <ns0:c r="CB447" s="94" t="n"/>
      <ns0:c r="CC447" s="74" t="inlineStr">
        <ns0:is>
          <ns0: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ns0:t>
        </ns0:is>
      </ns0:c>
    </ns0:row>
    <ns0:row r="448" ht="22" customHeight="1">
      <ns0:c r="A448" s="73" t="inlineStr">
        <ns0:is>
          <ns0:t>2726</ns0:t>
        </ns0:is>
      </ns0:c>
      <ns0:c r="B448" s="74" t="inlineStr">
        <ns0:is>
          <ns0:t>EPIWORLD</ns0:t>
        </ns0:is>
      </ns0:c>
      <ns0:c r="C448" s="74" t="inlineStr">
        <ns0:is>
          <ns0:t>瀚天天成</ns0:t>
        </ns0:is>
      </ns0:c>
      <ns0:c r="D448" s="74" t="inlineStr">
        <ns0:is>
          <ns0:t>Technology</ns0:t>
        </ns0:is>
      </ns0:c>
      <ns0:c r="E448" s="74" t="inlineStr">
        <ns0:is>
          <ns0:t>Semiconductors</ns0:t>
        </ns0:is>
      </ns0:c>
      <ns0:c r="F448" s="74" t="inlineStr">
        <ns0:is>
          <ns0:t>Semiconductors &amp; Semiconductor Equipment</ns0:t>
        </ns0:is>
      </ns0:c>
      <ns0:c r="G448" s="74" t="inlineStr">
        <ns0:is>
          <ns0:t>Standard</ns0:t>
        </ns0:is>
      </ns0:c>
      <ns0:c r="H448" s="75" t="n">
        <ns0:v>46111</ns0:v>
      </ns0:c>
      <ns0:c r="I448" s="76" t="n">
        <ns0:v>1640</ns0:v>
      </ns0:c>
      <ns0:c r="J448" s="74" t="inlineStr">
        <ns0:is>
          <ns0:t>gross (stated)</ns0:t>
        </ns0:is>
      </ns0:c>
      <ns0:c r="K448" s="95" t="n"/>
      <ns0:c r="L448" s="77" t="n">
        <ns0:v>76.26000000000001</ns0:v>
      </ns0:c>
      <ns0:c r="M448" s="77" t="n">
        <ns0:v>76.26000000000001</ns0:v>
      </ns0:c>
      <ns0:c r="N448" s="74" t="inlineStr">
        <ns0:is>
          <ns0:t>Y</ns0:t>
        </ns0:is>
      </ns0:c>
      <ns0:c r="O448" s="78" t="n">
        <ns0:v>100</ns0:v>
      </ns0:c>
      <ns0:c r="P448" s="84" t="n"/>
      <ns0:c r="Q448" s="79" t="n">
        <ns0:v>32455.1</ns0:v>
      </ns0:c>
      <ns0:c r="R448" s="74" t="inlineStr">
        <ns0:is>
          <ns0:t>derived:price x shares upon listing</ns0:t>
        </ns0:is>
      </ns0:c>
      <ns0:c r="S448" s="80" t="n">
        <ns0:v>50.66</ns0:v>
      </ns0:c>
      <ns0:c r="T448" s="81" t="n">
        <ns0:v>1.95</ns0:v>
      </ns0:c>
      <ns0:c r="U448" s="82" t="n">
        <ns0:v>46.8</ns0:v>
      </ns0:c>
      <ns0:c r="V448" s="83" t="n">
        <ns0:v>120</ns0:v>
      </ns0:c>
      <ns0:c r="W448" s="78" t="n">
        <ns0:v>10</ns0:v>
      </ns0:c>
      <ns0:c r="X448" s="74" t="inlineStr">
        <ns0:is>
          <ns0:t>NA</ns0:t>
        </ns0:is>
      </ns0:c>
      <ns0:c r="Y448" s="79" t="n">
        <ns0:v>872.48</ns0:v>
      </ns0:c>
      <ns0:c r="Z448" s="79" t="n">
        <ns0:v>11433771</ns0:v>
      </ns0:c>
      <ns0:c r="AA448" s="78" t="n">
        <ns0:v>2.69</ns0:v>
      </ns0:c>
      <ns0:c r="AB448" s="74" t="inlineStr">
        <ns0:is>
          <ns0:t>Xiamen Advanced Intelligent Manufacturing Industry Investment Limited</ns0:t>
        </ns0:is>
      </ns0:c>
      <ns0:c r="AC448" s="74" t="inlineStr">
        <ns0:is>
          <ns0:t>xiamen</ns0:t>
        </ns0:is>
      </ns0:c>
      <ns0:c r="AD448" s="84" t="n"/>
      <ns0:c r="AE448" s="85" t="n"/>
      <ns0:c r="AF448" s="85" t="n"/>
      <ns0:c r="AG448" s="85" t="n"/>
      <ns0:c r="AH448" s="85" t="n"/>
      <ns0:c r="AI448" s="86" t="n">
        <ns0:v>37.69</ns0:v>
      </ns0:c>
      <ns0:c r="AJ448" s="87" t="n">
        <ns0:v>35.06</ns0:v>
      </ns0:c>
      <ns0:c r="AK448" s="87" t="n">
        <ns0:v>-1.92</ns0:v>
      </ns0:c>
      <ns0:c r="AL448" s="87" t="n">
        <ns0:v>44.24</ns0:v>
      </ns0:c>
      <ns0:c r="AM448" s="87" t="n">
        <ns0:v>-6.36</ns0:v>
      </ns0:c>
      <ns0:c r="AN448" s="89" t="n">
        <ns0:v>1.15</ns0:v>
      </ns0:c>
      <ns0:c r="AO448" s="78" t="n">
        <ns0:v>21.55</ns0:v>
      </ns0:c>
      <ns0:c r="AP448" s="87" t="n">
        <ns0:v>51.19</ns0:v>
      </ns0:c>
      <ns0:c r="AQ448" s="87" t="n">
        <ns0:v>40.44</ns0:v>
      </ns0:c>
      <ns0:c r="AR448" s="87" t="n">
        <ns0:v>31.26</ns0:v>
      </ns0:c>
      <ns0:c r="AS448" s="87" t="n">
        <ns0:v>11.94</ns0:v>
      </ns0:c>
      <ns0:c r="AT448" s="87" t="n">
        <ns0:v>3.98</ns0:v>
      </ns0:c>
      <ns0:c r="AU448" s="87" t="n">
        <ns0:v>-2.81</ns0:v>
      </ns0:c>
      <ns0:c r="AV448" s="87" t="n">
        <ns0:v>50.46</ns0:v>
      </ns0:c>
      <ns0:c r="AW448" s="87" t="n">
        <ns0:v>36.29</ns0:v>
      </ns0:c>
      <ns0:c r="AX448" s="87" t="n">
        <ns0:v>36.05</ns0:v>
      </ns0:c>
      <ns0:c r="AY448" s="87" t="n">
        <ns0:v>-2.21</ns0:v>
      </ns0:c>
      <ns0:c r="AZ448" s="87" t="n">
        <ns0:v>4.15</ns0:v>
      </ns0:c>
      <ns0:c r="BA448" s="87" t="n">
        <ns0:v>6.19</ns0:v>
      </ns0:c>
      <ns0:c r="BB448" s="74" t="inlineStr">
        <ns0:is>
          <ns0:t>HSTECH (Hang Seng TECH ETF)</ns0:t>
        </ns0:is>
      </ns0:c>
      <ns0:c r="BC448" s="87" t="n">
        <ns0:v>22.67</ns0:v>
      </ns0:c>
      <ns0:c r="BD448" s="75" t="n">
        <ns0:v>46297</ns0:v>
      </ns0:c>
      <ns0:c r="BE448" s="76" t="n">
        <ns0:v>1071.7</ns0:v>
      </ns0:c>
      <ns0:c r="BF448" s="79" t="n">
        <ns0:v>181.6</ns0:v>
      </ns0:c>
      <ns0:c r="BG448" s="74" t="inlineStr">
        <ns0:is>
          <ns0:t>Y</ns0:t>
        </ns0:is>
      </ns0:c>
      <ns0:c r="BH448" s="89" t="n">
        <ns0:v>178.7</ns0:v>
      </ns0:c>
      <ns0:c r="BI448" s="88" t="n"/>
      <ns0:c r="BJ448" s="88" t="n"/>
      <ns0:c r="BK448" s="89" t="n">
        <ns0:v>30.3</ns0:v>
      </ns0:c>
      <ns0:c r="BL448" s="90">
        <ns0:f>IFERROR(IF('BBG Verify'!S448="","Awaiting Bloomberg",'BBG Verify'!S448),"Awaiting Bloomberg")</ns0:f>
        <ns0:v/>
      </ns0:c>
      <ns0:c r="BM448" s="91" t="inlineStr">
        <ns0:is>
          <ns0:t>N</ns0:t>
        </ns0:is>
      </ns0:c>
      <ns0:c r="BN448" s="92">
        <ns0:f>IFERROR(IF('BBG Verify'!K448="","Awaiting Bloomberg",'BBG Verify'!K448),"Awaiting Bloomberg")</ns0:f>
        <ns0:v/>
      </ns0:c>
      <ns0:c r="BO448" s="74" t="inlineStr">
        <ns0:is>
          <ns0:t>N/A</ns0:t>
        </ns0:is>
      </ns0:c>
      <ns0:c r="BP448" s="74" t="inlineStr">
        <ns0:is>
          <ns0:t>N/A</ns0:t>
        </ns0:is>
      </ns0:c>
      <ns0:c r="BQ448" s="74" t="inlineStr">
        <ns0:is>
          <ns0:t>N/A</ns0:t>
        </ns0:is>
      </ns0:c>
      <ns0:c r="BR448" s="74" t="inlineStr">
        <ns0:is>
          <ns0:t>N/A</ns0:t>
        </ns0:is>
      </ns0:c>
      <ns0:c r="BS448" s="74" t="inlineStr">
        <ns0:is>
          <ns0:t>N/A</ns0:t>
        </ns0:is>
      </ns0:c>
      <ns0:c r="BT448" s="74" t="inlineStr">
        <ns0:is>
          <ns0:t>N/A</ns0:t>
        </ns0:is>
      </ns0:c>
      <ns0:c r="BU448" s="91" t="inlineStr">
        <ns0:is>
          <ns0:t>China International Capital Corporation Hong Kong Securities Limited</ns0:t>
        </ns0:is>
      </ns0:c>
      <ns0:c r="BV448" s="74" t="inlineStr">
        <ns0:is>
          <ns0:t>China International Capital Corporation Hong Kong Securities Limited</ns0:t>
        </ns0:is>
      </ns0:c>
      <ns0:c r="BW448" s="74" t="inlineStr">
        <ns0:is>
          <ns0:t>ABCI Capital Limited; Daokou Securities Limited; China Industrial Securities International Capital Limited; Fuze Securities (International) Limited; Kingston Securities Limited; Yuen Meta (International) Securities Limited</ns0:t>
        </ns0:is>
      </ns0:c>
      <ns0:c r="BX448" s="74" t="inlineStr">
        <ns0:is>
          <ns0: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ns0:t>
        </ns0:is>
      </ns0:c>
      <ns0:c r="BY448" s="93">
        <ns0:f>HYPERLINK("https://www1.hkexnews.hk/listedco/listconews/sehk/2026/0320/2026032000029.pdf","prospectus")</ns0:f>
        <ns0:v/>
      </ns0:c>
      <ns0:c r="BZ448" s="93">
        <ns0:f>HYPERLINK("https://www1.hkexnews.hk/listedco/listconews/sehk/2026/0327/2026032702128.pdf","allotment")</ns0:f>
        <ns0:v/>
      </ns0:c>
      <ns0:c r="CA448" s="85" t="n"/>
      <ns0:c r="CB448" s="94" t="n"/>
      <ns0:c r="CC448" s="74" t="inlineStr">
        <ns0:is>
          <ns0:t>greenshoe: no over-allotment option; range low: maximum offer price only, no floor published; sponsor: English name not in the filing; AAStocks 保薦人 shown; greenshoe size: no over-allotment option; stabilising manager: filing states none appointed (prospectus: 'no stabilizing manager will be appointed' stated in the filing)</ns0:t>
        </ns0:is>
      </ns0:c>
    </ns0:row>
    <ns0:row r="449" ht="22" customHeight="1">
      <ns0:c r="A449" s="73" t="inlineStr">
        <ns0:is>
          <ns0:t>2526</ns0:t>
        </ns0:is>
      </ns0:c>
      <ns0:c r="B449" s="74" t="inlineStr">
        <ns0:is>
          <ns0:t>DIAGENS-B</ns0:t>
        </ns0:is>
      </ns0:c>
      <ns0:c r="C449" s="74" t="inlineStr">
        <ns0:is>
          <ns0:t>德適－Ｂ</ns0:t>
        </ns0:is>
      </ns0:c>
      <ns0:c r="D449" s="74" t="inlineStr">
        <ns0:is>
          <ns0:t>Healthcare</ns0:t>
        </ns0:is>
      </ns0:c>
      <ns0:c r="E449" s="74" t="inlineStr">
        <ns0:is>
          <ns0:t>Medical devices</ns0:t>
        </ns0:is>
      </ns0:c>
      <ns0:c r="F449" s="74" t="inlineStr">
        <ns0:is>
          <ns0:t>Biotechnology - Medical Devices</ns0:t>
        </ns0:is>
      </ns0:c>
      <ns0:c r="G449" s="74" t="inlineStr">
        <ns0:is>
          <ns0:t>18A</ns0:t>
        </ns0:is>
      </ns0:c>
      <ns0:c r="H449" s="75" t="n">
        <ns0:v>46111</ns0:v>
      </ns0:c>
      <ns0:c r="I449" s="76" t="n">
        <ns0:v>791.9</ns0:v>
      </ns0:c>
      <ns0:c r="J449" s="74" t="inlineStr">
        <ns0:is>
          <ns0:t>gross (stated)</ns0:t>
        </ns0:is>
      </ns0:c>
      <ns0:c r="K449" s="95" t="n"/>
      <ns0:c r="L449" s="77" t="n">
        <ns0:v>112.5</ns0:v>
      </ns0:c>
      <ns0:c r="M449" s="77" t="n">
        <ns0:v>99</ns0:v>
      </ns0:c>
      <ns0:c r="N449" s="74" t="inlineStr">
        <ns0:is>
          <ns0:t>N</ns0:t>
        </ns0:is>
      </ns0:c>
      <ns0:c r="O449" s="78" t="n">
        <ns0:v>88</ns0:v>
      </ns0:c>
      <ns0:c r="P449" s="84" t="n"/>
      <ns0:c r="Q449" s="79" t="n">
        <ns0:v>8799</ns0:v>
      </ns0:c>
      <ns0:c r="R449" s="74" t="inlineStr">
        <ns0:is>
          <ns0:t>derived:price x shares upon listing</ns0:t>
        </ns0:is>
      </ns0:c>
      <ns0:c r="S449" s="80" t="n">
        <ns0:v>1073.37</ns0:v>
      </ns0:c>
      <ns0:c r="T449" s="81" t="n">
        <ns0:v>3.45</ns0:v>
      </ns0:c>
      <ns0:c r="U449" s="82" t="n">
        <ns0:v>0</ns0:v>
      </ns0:c>
      <ns0:c r="V449" s="83" t="n">
        <ns0:v>120</ns0:v>
      </ns0:c>
      <ns0:c r="W449" s="78" t="n">
        <ns0:v>10</ns0:v>
      </ns0:c>
      <ns0:c r="X449" s="74" t="inlineStr">
        <ns0:is>
          <ns0:t>NO</ns0:t>
        </ns0:is>
      </ns0:c>
      <ns0:c r="Y449" s="79" t="n">
        <ns0:v>791.9</ns0:v>
      </ns0:c>
      <ns0:c r="Z449" s="79" t="n">
        <ns0:v>7999200</ns0:v>
      </ns0:c>
      <ns0:c r="AA449" s="78" t="n">
        <ns0:v>9</ns0:v>
      </ns0:c>
      <ns0:c r="AB449" s="74" t="inlineStr">
        <ns0:is>
          <ns0:t>none — no cornerstone tranche</ns0:t>
        </ns0:is>
      </ns0:c>
      <ns0:c r="AC449" s="74" t="inlineStr">
        <ns0:is>
          <ns0:t>none</ns0:t>
        </ns0:is>
      </ns0:c>
      <ns0:c r="AD449" s="84" t="n"/>
      <ns0:c r="AE449" s="85" t="n"/>
      <ns0:c r="AF449" s="85" t="n"/>
      <ns0:c r="AG449" s="85" t="n"/>
      <ns0:c r="AH449" s="85" t="n"/>
      <ns0:c r="AI449" s="86" t="n">
        <ns0:v>101.52</ns0:v>
      </ns0:c>
      <ns0:c r="AJ449" s="87" t="n">
        <ns0:v>111.72</ns0:v>
      </ns0:c>
      <ns0:c r="AK449" s="87" t="n">
        <ns0:v>0.15</ns0:v>
      </ns0:c>
      <ns0:c r="AL449" s="87" t="n">
        <ns0:v>121.21</ns0:v>
      </ns0:c>
      <ns0:c r="AM449" s="87" t="n">
        <ns0:v>-4.29</ns0:v>
      </ns0:c>
      <ns0:c r="AN449" s="89" t="n">
        <ns0:v>2.8</ns0:v>
      </ns0:c>
      <ns0:c r="AO449" s="78" t="n">
        <ns0:v>15.98</ns0:v>
      </ns0:c>
      <ns0:c r="AP449" s="87" t="n">
        <ns0:v>202.02</ns0:v>
      </ns0:c>
      <ns0:c r="AQ449" s="87" t="n">
        <ns0:v>234.34</ns0:v>
      </ns0:c>
      <ns0:c r="AR449" s="87" t="n">
        <ns0:v>303.03</ns0:v>
      </ns0:c>
      <ns0:c r="AS449" s="87" t="n">
        <ns0:v>42.65</ns0:v>
      </ns0:c>
      <ns0:c r="AT449" s="87" t="n">
        <ns0:v>57.92</ns0:v>
      </ns0:c>
      <ns0:c r="AU449" s="87" t="n">
        <ns0:v>90.36</ns0:v>
      </ns0:c>
      <ns0:c r="AV449" s="87" t="n">
        <ns0:v>196.11</ns0:v>
      </ns0:c>
      <ns0:c r="AW449" s="87" t="n">
        <ns0:v>230.63</ns0:v>
      </ns0:c>
      <ns0:c r="AX449" s="87" t="n">
        <ns0:v>300.15</ns0:v>
      </ns0:c>
      <ns0:c r="AY449" s="87" t="n">
        <ns0:v>54.36</ns0:v>
      </ns0:c>
      <ns0:c r="AZ449" s="87" t="n">
        <ns0:v>3.71</ns0:v>
      </ns0:c>
      <ns0:c r="BA449" s="87" t="n">
        <ns0:v>3.56</ns0:v>
      </ns0:c>
      <ns0:c r="BB449" s="74" t="inlineStr">
        <ns0:is>
          <ns0:t>China Biotech ETF (HS biotech proxy)</ns0:t>
        </ns0:is>
      </ns0:c>
      <ns0:c r="BC449" s="87" t="n">
        <ns0:v>147.47</ns0:v>
      </ns0:c>
      <ns0:c r="BD449" s="75" t="n">
        <ns0:v>46297</ns0:v>
      </ns0:c>
      <ns0:c r="BE449" s="76" t="n">
        <ns0:v>21.5</ns0:v>
      </ns0:c>
      <ns0:c r="BF449" s="79" t="n">
        <ns0:v>-61.7</ns0:v>
      </ns0:c>
      <ns0:c r="BG449" s="74" t="inlineStr">
        <ns0:is>
          <ns0:t>N</ns0:t>
        </ns0:is>
      </ns0:c>
      <ns0:c r="BH449" s="74" t="inlineStr">
        <ns0:is>
          <ns0:t>n/m</ns0:t>
        </ns0:is>
      </ns0:c>
      <ns0:c r="BI449" s="88" t="n"/>
      <ns0:c r="BJ449" s="88" t="n"/>
      <ns0:c r="BK449" s="89" t="n">
        <ns0:v>409.3</ns0:v>
      </ns0:c>
      <ns0:c r="BL449" s="90">
        <ns0:f>IFERROR(IF('BBG Verify'!S449="","Awaiting Bloomberg",'BBG Verify'!S449),"Awaiting Bloomberg")</ns0:f>
        <ns0:v/>
      </ns0:c>
      <ns0:c r="BM449" s="91" t="inlineStr">
        <ns0:is>
          <ns0:t>N</ns0:t>
        </ns0:is>
      </ns0:c>
      <ns0:c r="BN449" s="92">
        <ns0:f>IFERROR(IF('BBG Verify'!K449="","Awaiting Bloomberg",'BBG Verify'!K449),"Awaiting Bloomberg")</ns0:f>
        <ns0:v/>
      </ns0:c>
      <ns0:c r="BO449" s="74" t="inlineStr">
        <ns0:is>
          <ns0:t>N/A</ns0:t>
        </ns0:is>
      </ns0:c>
      <ns0:c r="BP449" s="74" t="inlineStr">
        <ns0:is>
          <ns0:t>N/A</ns0:t>
        </ns0:is>
      </ns0:c>
      <ns0:c r="BQ449" s="74" t="inlineStr">
        <ns0:is>
          <ns0:t>N/A</ns0:t>
        </ns0:is>
      </ns0:c>
      <ns0:c r="BR449" s="74" t="inlineStr">
        <ns0:is>
          <ns0:t>N/A</ns0:t>
        </ns0:is>
      </ns0:c>
      <ns0:c r="BS449" s="74" t="inlineStr">
        <ns0:is>
          <ns0:t>N/A</ns0:t>
        </ns0:is>
      </ns0:c>
      <ns0:c r="BT449" s="74" t="inlineStr">
        <ns0:is>
          <ns0:t>N/A</ns0:t>
        </ns0:is>
      </ns0:c>
      <ns0:c r="BU449" s="91" t="inlineStr">
        <ns0:is>
          <ns0:t>Huatai Financial Holdings (Hong Kong) Limited</ns0:t>
        </ns0:is>
      </ns0:c>
      <ns0:c r="BV449" s="74" t="inlineStr">
        <ns0:is>
          <ns0:t>Huatai Financial Holdings (Hong Kong) Limited</ns0:t>
        </ns0:is>
      </ns0:c>
      <ns0:c r="BW449" s="74" t="inlineStr">
        <ns0:is>
          <ns0:t>Huatai Financial Holdings (Hong Kong) Limited; Futu Securities International (Hong Kong) Limited; ABCI Capital Limited; BOCI Asia Limited; CCB International Capital Limited; China Galaxy International Securities (Hong Kong) Co., Limited; Huafu International Securities Limited; Y ellow River Securities Limited; Yuen Meta (International) Securities Limited; Yunfeng Securities Limited; Zheshang International Financial Holdings Co., Ltd</ns0:t>
        </ns0:is>
      </ns0:c>
      <ns0:c r="BX449" s="74" t="inlineStr">
        <ns0:is>
          <ns0: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ns0:t>
        </ns0:is>
      </ns0:c>
      <ns0:c r="BY449" s="93">
        <ns0:f>HYPERLINK("https://www1.hkexnews.hk/listedco/listconews/sehk/2026/0320/2026032000025.pdf","prospectus")</ns0:f>
        <ns0:v/>
      </ns0:c>
      <ns0:c r="BZ449" s="93">
        <ns0:f>HYPERLINK("https://www1.hkexnews.hk/listedco/listconews/sehk/2026/0327/2026032702330.pdf","allotment")</ns0:f>
        <ns0:v/>
      </ns0:c>
      <ns0:c r="CA449" s="85" t="n"/>
      <ns0:c r="CB449" s="94" t="n"/>
      <ns0:c r="CC449" s="74" t="inlineStr">
        <ns0:is>
          <ns0:t>P/E: loss-making at IPO, use P/S; greenshoe: no over-allotment option; range low: maximum offer price only, no floor published; cornerstone list: no cornerstone tranche; greenshoe size: no over-allotment option; P/S: 409x on HK$21.5m revenue, effectively pre-revenue; not comparable; stabilising manager: filing states none appointed (allotment announcement: 'no stabilizing manager will be appointed' stated in the filing)</ns0:t>
        </ns0:is>
      </ns0:c>
    </ns0:row>
    <ns0:row r="450" ht="22" customHeight="1">
      <ns0:c r="A450" s="73" t="inlineStr">
        <ns0:is>
          <ns0:t>6636</ns0:t>
        </ns0:is>
      </ns0:c>
      <ns0:c r="B450" s="74" t="inlineStr">
        <ns0:is>
          <ns0:t>EXTREME VISION</ns0:t>
        </ns0:is>
      </ns0:c>
      <ns0:c r="C450" s="74" t="inlineStr">
        <ns0:is>
          <ns0:t>極視角</ns0:t>
        </ns0:is>
      </ns0:c>
      <ns0:c r="D450" s="74" t="inlineStr">
        <ns0:is>
          <ns0:t>Technology</ns0:t>
        </ns0:is>
      </ns0:c>
      <ns0:c r="E450" s="74" t="inlineStr">
        <ns0:is>
          <ns0:t>Software &amp; AI</ns0:t>
        </ns0:is>
      </ns0:c>
      <ns0:c r="F450" s="74" t="inlineStr">
        <ns0:is>
          <ns0:t>Next-generation information technology</ns0:t>
        </ns0:is>
      </ns0:c>
      <ns0:c r="G450" s="74" t="inlineStr">
        <ns0:is>
          <ns0:t>18C</ns0:t>
        </ns0:is>
      </ns0:c>
      <ns0:c r="H450" s="75" t="n">
        <ns0:v>46111</ns0:v>
      </ns0:c>
      <ns0:c r="I450" s="76" t="n">
        <ns0:v>499.2</ns0:v>
      </ns0:c>
      <ns0:c r="J450" s="74" t="inlineStr">
        <ns0:is>
          <ns0:t>gross (stated)</ns0:t>
        </ns0:is>
      </ns0:c>
      <ns0:c r="K450" s="95" t="n"/>
      <ns0:c r="L450" s="77" t="n">
        <ns0:v>40</ns0:v>
      </ns0:c>
      <ns0:c r="M450" s="77" t="n">
        <ns0:v>40</ns0:v>
      </ns0:c>
      <ns0:c r="N450" s="74" t="inlineStr">
        <ns0:is>
          <ns0:t>Y</ns0:t>
        </ns0:is>
      </ns0:c>
      <ns0:c r="O450" s="78" t="n">
        <ns0:v>100</ns0:v>
      </ns0:c>
      <ns0:c r="P450" s="84" t="n"/>
      <ns0:c r="Q450" s="79" t="n">
        <ns0:v>4516.6</ns0:v>
      </ns0:c>
      <ns0:c r="R450" s="74" t="inlineStr">
        <ns0:is>
          <ns0:t>derived:price x shares upon listing</ns0:t>
        </ns0:is>
      </ns0:c>
      <ns0:c r="S450" s="80" t="n">
        <ns0:v>4591.37</ns0:v>
      </ns0:c>
      <ns0:c r="T450" s="81" t="n">
        <ns0:v>3.41</ns0:v>
      </ns0:c>
      <ns0:c r="U450" s="82" t="n">
        <ns0:v>9.449999999999999</ns0:v>
      </ns0:c>
      <ns0:c r="V450" s="83" t="n">
        <ns0:v>128</ns0:v>
      </ns0:c>
      <ns0:c r="W450" s="78" t="n">
        <ns0:v>20</ns0:v>
      </ns0:c>
      <ns0:c r="X450" s="74" t="inlineStr">
        <ns0:is>
          <ns0:t>YES</ns0:t>
        </ns0:is>
      </ns0:c>
      <ns0:c r="Y450" s="79" t="n">
        <ns0:v>452.03</ns0:v>
      </ns0:c>
      <ns0:c r="Z450" s="79" t="n">
        <ns0:v>11300640</ns0:v>
      </ns0:c>
      <ns0:c r="AA450" s="78" t="n">
        <ns0:v>10.01</ns0:v>
      </ns0:c>
      <ns0:c r="AB450" s="74" t="inlineStr">
        <ns0:is>
          <ns0:t>Zhengjin International</ns0:t>
        </ns0:is>
      </ns0:c>
      <ns0:c r="AC450" s="74" t="inlineStr">
        <ns0:is>
          <ns0:t>zhengjin</ns0:t>
        </ns0:is>
      </ns0:c>
      <ns0:c r="AD450" s="84" t="n"/>
      <ns0:c r="AE450" s="85" t="n"/>
      <ns0:c r="AF450" s="85" t="n"/>
      <ns0:c r="AG450" s="85" t="n"/>
      <ns0:c r="AH450" s="85" t="n"/>
      <ns0:c r="AI450" s="86" t="n">
        <ns0:v>54.5</ns0:v>
      </ns0:c>
      <ns0:c r="AJ450" s="87" t="n">
        <ns0:v>150</ns0:v>
      </ns0:c>
      <ns0:c r="AK450" s="87" t="n">
        <ns0:v>-1.92</ns0:v>
      </ns0:c>
      <ns0:c r="AL450" s="87" t="n">
        <ns0:v>49.88</ns0:v>
      </ns0:c>
      <ns0:c r="AM450" s="87" t="n">
        <ns0:v>66.8</ns0:v>
      </ns0:c>
      <ns0:c r="AN450" s="89" t="n">
        <ns0:v>3.22</ns0:v>
      </ns0:c>
      <ns0:c r="AO450" s="78" t="n">
        <ns0:v>73.39</ns0:v>
      </ns0:c>
      <ns0:c r="AP450" s="87" t="n">
        <ns0:v>164</ns0:v>
      </ns0:c>
      <ns0:c r="AQ450" s="87" t="n">
        <ns0:v>151.25</ns0:v>
      </ns0:c>
      <ns0:c r="AR450" s="87" t="n">
        <ns0:v>112.5</ns0:v>
      </ns0:c>
      <ns0:c r="AS450" s="87" t="n">
        <ns0:v>5.6</ns0:v>
      </ns0:c>
      <ns0:c r="AT450" s="87" t="n">
        <ns0:v>0.5</ns0:v>
      </ns0:c>
      <ns0:c r="AU450" s="87" t="n">
        <ns0:v>-15</ns0:v>
      </ns0:c>
      <ns0:c r="AV450" s="87" t="n">
        <ns0:v>163.27</ns0:v>
      </ns0:c>
      <ns0:c r="AW450" s="87" t="n">
        <ns0:v>147.1</ns0:v>
      </ns0:c>
      <ns0:c r="AX450" s="87" t="n">
        <ns0:v>117.29</ns0:v>
      </ns0:c>
      <ns0:c r="AY450" s="87" t="n">
        <ns0:v>-5.69</ns0:v>
      </ns0:c>
      <ns0:c r="AZ450" s="87" t="n">
        <ns0:v>4.15</ns0:v>
      </ns0:c>
      <ns0:c r="BA450" s="87" t="n">
        <ns0:v>6.19</ns0:v>
      </ns0:c>
      <ns0:c r="BB450" s="74" t="inlineStr">
        <ns0:is>
          <ns0:t>HSTECH (Hang Seng TECH ETF)</ns0:t>
        </ns0:is>
      </ns0:c>
      <ns0:c r="BC450" s="87" t="n">
        <ns0:v>77.5</ns0:v>
      </ns0:c>
      <ns0:c r="BD450" s="75" t="n">
        <ns0:v>46297</ns0:v>
      </ns0:c>
      <ns0:c r="BE450" s="76" t="n">
        <ns0:v>283</ns0:v>
      </ns0:c>
      <ns0:c r="BF450" s="97" t="n"/>
      <ns0:c r="BG450" s="74" t="inlineStr">
        <ns0:is>
          <ns0:t>Y</ns0:t>
        </ns0:is>
      </ns0:c>
      <ns0:c r="BH450" s="90">
        <ns0:f>IFERROR(IF('BBG Verify'!O450="","Awaiting Bloomberg",'BBG Verify'!O450),"Awaiting Bloomberg")</ns0:f>
        <ns0:v/>
      </ns0:c>
      <ns0:c r="BI450" s="88" t="n"/>
      <ns0:c r="BJ450" s="88" t="n"/>
      <ns0:c r="BK450" s="89" t="n">
        <ns0:v>16</ns0:v>
      </ns0:c>
      <ns0:c r="BL450" s="90">
        <ns0:f>IFERROR(IF('BBG Verify'!S450="","Awaiting Bloomberg",'BBG Verify'!S450),"Awaiting Bloomberg")</ns0:f>
        <ns0:v/>
      </ns0:c>
      <ns0:c r="BM450" s="91" t="inlineStr">
        <ns0:is>
          <ns0:t>N</ns0:t>
        </ns0:is>
      </ns0:c>
      <ns0:c r="BN450" s="92">
        <ns0:f>IFERROR(IF('BBG Verify'!K450="","Awaiting Bloomberg",'BBG Verify'!K450),"Awaiting Bloomberg")</ns0:f>
        <ns0:v/>
      </ns0:c>
      <ns0:c r="BO450" s="74" t="inlineStr">
        <ns0:is>
          <ns0:t>N/A</ns0:t>
        </ns0:is>
      </ns0:c>
      <ns0:c r="BP450" s="74" t="inlineStr">
        <ns0:is>
          <ns0:t>N/A</ns0:t>
        </ns0:is>
      </ns0:c>
      <ns0:c r="BQ450" s="74" t="inlineStr">
        <ns0:is>
          <ns0:t>N/A</ns0:t>
        </ns0:is>
      </ns0:c>
      <ns0:c r="BR450" s="74" t="inlineStr">
        <ns0:is>
          <ns0:t>N/A</ns0:t>
        </ns0:is>
      </ns0:c>
      <ns0:c r="BS450" s="74" t="inlineStr">
        <ns0:is>
          <ns0:t>N/A</ns0:t>
        </ns0:is>
      </ns0:c>
      <ns0:c r="BT450" s="74" t="inlineStr">
        <ns0:is>
          <ns0:t>N/A</ns0:t>
        </ns0:is>
      </ns0:c>
      <ns0:c r="BU450" s="91" t="inlineStr">
        <ns0:is>
          <ns0:t>CITIC Securities (Hong Kong) Limited</ns0:t>
        </ns0:is>
      </ns0:c>
      <ns0:c r="BV450" s="74" t="inlineStr">
        <ns0:is>
          <ns0:t>CITIC Securities (Hong Kong) Limited</ns0:t>
        </ns0:is>
      </ns0:c>
      <ns0:c r="BW450" s="74" t="inlineStr">
        <ns0:is>
          <ns0:t>CLSA Limited; CMB International Capital Limited; ABCI Capital Limited; SDIC Securities (Hong Kong) Limited; Guosen Securities (HK) Brokerage Company, Limited; Livermore Holdings Limited; China Sunrise Securities (International) Limited</ns0:t>
        </ns0:is>
      </ns0:c>
      <ns0:c r="BX450" s="74" t="inlineStr">
        <ns0:is>
          <ns0:t>ABCI Securities Company Limited; CLSA Limited; CMB International Capital Limited; China Sunrise Securities (International) Limited; Guosen Securities (HK) Brokerage Company, Limited; Livermore Holdings Limited; SDIC Securities (Hong Kong) Limited</ns0:t>
        </ns0:is>
      </ns0:c>
      <ns0:c r="BY450" s="93">
        <ns0:f>HYPERLINK("https://www1.hkexnews.hk/listedco/listconews/sehk/2026/0320/2026032000097.pdf","prospectus")</ns0:f>
        <ns0:v/>
      </ns0:c>
      <ns0:c r="BZ450" s="93">
        <ns0:f>HYPERLINK("https://www1.hkexnews.hk/listedco/listconews/sehk/2026/0327/2026032703232.pdf","allotment")</ns0:f>
        <ns0:v/>
      </ns0:c>
      <ns0:c r="CA450" s="85" t="n"/>
      <ns0:c r="CB450" s="94" t="n"/>
      <ns0:c r="CC450" s="74" t="inlineStr">
        <ns0:is>
          <ns0:t>P/E: withheld: 45,166x fails the 300x plausibility cap; extracted net income HK$0.1m suspect; greenshoe: no over-allotment option; range low: maximum offer price only, no floor published; market cap: prospectus 'market capitalisation' line is the listing-rule threshold, not the issuer's figure; rejected; greenshoe size: no over-allotment option; stabilising manager: filing states none appointed (prospectus: 'no stabilizing manager will be appointed' stated in the filing); financials: not extractable; pre-IPO year outside the AAStocks window</ns0:t>
        </ns0:is>
      </ns0:c>
    </ns0:row>
    <ns0:row r="451" ht="22" customHeight="1">
      <ns0:c r="A451" s="73" t="inlineStr">
        <ns0:is>
          <ns0:t>1021</ns0:t>
        </ns0:is>
      </ns0:c>
      <ns0:c r="B451" s="74" t="inlineStr">
        <ns0:is>
          <ns0:t>HUAYAN ROBOTICS</ns0:t>
        </ns0:is>
      </ns0:c>
      <ns0:c r="C451" s="74" t="inlineStr">
        <ns0:is>
          <ns0:t>華沿機器人</ns0:t>
        </ns0:is>
      </ns0:c>
      <ns0:c r="D451" s="74" t="inlineStr">
        <ns0:is>
          <ns0:t>Technology</ns0:t>
        </ns0:is>
      </ns0:c>
      <ns0:c r="E451" s="74" t="inlineStr">
        <ns0:is>
          <ns0:t>Robotics &amp; autonomous driving</ns0:t>
        </ns0:is>
      </ns0:c>
      <ns0:c r="F451" s="74" t="inlineStr">
        <ns0:is>
          <ns0:t>Advanced hardware and software</ns0:t>
        </ns0:is>
      </ns0:c>
      <ns0:c r="G451" s="74" t="inlineStr">
        <ns0:is>
          <ns0:t>18C</ns0:t>
        </ns0:is>
      </ns0:c>
      <ns0:c r="H451" s="75" t="n">
        <ns0:v>46111</ns0:v>
      </ns0:c>
      <ns0:c r="I451" s="76" t="n">
        <ns0:v>1579.34</ns0:v>
      </ns0:c>
      <ns0:c r="J451" s="74" t="inlineStr">
        <ns0:is>
          <ns0:t>gross (stated)</ns0:t>
        </ns0:is>
      </ns0:c>
      <ns0:c r="K451" s="95" t="n"/>
      <ns0:c r="L451" s="77" t="n">
        <ns0:v>17</ns0:v>
      </ns0:c>
      <ns0:c r="M451" s="77" t="n">
        <ns0:v>17</ns0:v>
      </ns0:c>
      <ns0:c r="N451" s="74" t="inlineStr">
        <ns0:is>
          <ns0:t>Y</ns0:t>
        </ns0:is>
      </ns0:c>
      <ns0:c r="O451" s="78" t="n">
        <ns0:v>100</ns0:v>
      </ns0:c>
      <ns0:c r="P451" s="84" t="n"/>
      <ns0:c r="Q451" s="79" t="n">
        <ns0:v>8242.9</ns0:v>
      </ns0:c>
      <ns0:c r="R451" s="74" t="inlineStr">
        <ns0:is>
          <ns0:t>derived:deal size / offer % of enlarged capital</ns0:t>
        </ns0:is>
      </ns0:c>
      <ns0:c r="S451" s="80" t="n">
        <ns0:v>5059.38</ns0:v>
      </ns0:c>
      <ns0:c r="T451" s="81" t="n">
        <ns0:v>16.65</ns0:v>
      </ns0:c>
      <ns0:c r="U451" s="82" t="n">
        <ns0:v>48.6</ns0:v>
      </ns0:c>
      <ns0:c r="V451" s="83" t="n">
        <ns0:v>151</ns0:v>
      </ns0:c>
      <ns0:c r="W451" s="78" t="n">
        <ns0:v>17.39</ns0:v>
      </ns0:c>
      <ns0:c r="X451" s="74" t="inlineStr">
        <ns0:is>
          <ns0:t>YES</ns0:t>
        </ns0:is>
      </ns0:c>
      <ns0:c r="Y451" s="79" t="n">
        <ns0:v>811.78</ns0:v>
      </ns0:c>
      <ns0:c r="Z451" s="79" t="n">
        <ns0:v>47751936</ns0:v>
      </ns0:c>
      <ns0:c r="AA451" s="78" t="n">
        <ns0:v>9.85</ns0:v>
      </ns0:c>
      <ns0:c r="AB451" s="74" t="inlineStr">
        <ns0:is>
          <ns0:t>Eternal Summer Consulting Company Ltd; GF Management Co., Ltd. ʮ̡; GF International Investment Management Limited; HHLR Advisors, Ltd; Huatai Capital Investment Limited; Huatai Securities Co., Ltd; Morgan Stanley &amp; Co. International plc; Richfirm (Hong Kong) Development Limited; Samson Group Limited; Shrewd Pioneer Limited; VVC Technology Fund Ltd</ns0:t>
        </ns0:is>
      </ns0:c>
      <ns0:c r="AC451" s="74" t="inlineStr">
        <ns0:is>
          <ns0:t>eternal;gf;hhlr;huatai;morgan;richfirm;samson;shrewd;vvc</ns0:t>
        </ns0:is>
      </ns0:c>
      <ns0:c r="AD451" s="78" t="n">
        <ns0:v>15</ns0:v>
      </ns0:c>
      <ns0:c r="AE451" s="74" t="inlineStr">
        <ns0:is>
          <ns0:t>full</ns0:t>
        </ns0:is>
      </ns0:c>
      <ns0:c r="AF451" s="85" t="n"/>
      <ns0:c r="AG451" s="74" t="inlineStr">
        <ns0:is>
          <ns0:t>China International Capital Corporation Hong Kong Securities Limited</ns0:t>
        </ns0:is>
      </ns0:c>
      <ns0:c r="AH451" s="74" t="inlineStr">
        <ns0:is>
          <ns0:t>China International</ns0:t>
        </ns0:is>
      </ns0:c>
      <ns0:c r="AI451" s="86" t="n">
        <ns0:v>10.41</ns0:v>
      </ns0:c>
      <ns0:c r="AJ451" s="87" t="n">
        <ns0:v>8.24</ns0:v>
      </ns0:c>
      <ns0:c r="AK451" s="87" t="n">
        <ns0:v>-1.92</ns0:v>
      </ns0:c>
      <ns0:c r="AL451" s="87" t="n">
        <ns0:v>-1.18</ns0:v>
      </ns0:c>
      <ns0:c r="AM451" s="87" t="n">
        <ns0:v>9.529999999999999</ns0:v>
      </ns0:c>
      <ns0:c r="AN451" s="89" t="n">
        <ns0:v>2.77</ns0:v>
      </ns0:c>
      <ns0:c r="AO451" s="78" t="n">
        <ns0:v>29.88</ns0:v>
      </ns0:c>
      <ns0:c r="AP451" s="87" t="n">
        <ns0:v>5.41</ns0:v>
      </ns0:c>
      <ns0:c r="AQ451" s="87" t="n">
        <ns0:v>16.24</ns0:v>
      </ns0:c>
      <ns0:c r="AR451" s="87" t="n">
        <ns0:v>-9.119999999999999</ns0:v>
      </ns0:c>
      <ns0:c r="AS451" s="87" t="n">
        <ns0:v>-2.61</ns0:v>
      </ns0:c>
      <ns0:c r="AT451" s="87" t="n">
        <ns0:v>7.39</ns0:v>
      </ns0:c>
      <ns0:c r="AU451" s="87" t="n">
        <ns0:v>-16.04</ns0:v>
      </ns0:c>
      <ns0:c r="AV451" s="87" t="n">
        <ns0:v>4.68</ns0:v>
      </ns0:c>
      <ns0:c r="AW451" s="87" t="n">
        <ns0:v>12.09</ns0:v>
      </ns0:c>
      <ns0:c r="AX451" s="87" t="n">
        <ns0:v>-4.33</ns0:v>
      </ns0:c>
      <ns0:c r="AY451" s="87" t="n">
        <ns0:v>1.2</ns0:v>
      </ns0:c>
      <ns0:c r="AZ451" s="87" t="n">
        <ns0:v>4.15</ns0:v>
      </ns0:c>
      <ns0:c r="BA451" s="87" t="n">
        <ns0:v>6.19</ns0:v>
      </ns0:c>
      <ns0:c r="BB451" s="74" t="inlineStr">
        <ns0:is>
          <ns0:t>HSTECH (Hang Seng TECH ETF)</ns0:t>
        </ns0:is>
      </ns0:c>
      <ns0:c r="BC451" s="87" t="n">
        <ns0:v>-53.15</ns0:v>
      </ns0:c>
      <ns0:c r="BD451" s="75" t="n">
        <ns0:v>46297</ns0:v>
      </ns0:c>
      <ns0:c r="BE451" s="76" t="n">
        <ns0:v>341.5</ns0:v>
      </ns0:c>
      <ns0:c r="BF451" s="97" t="n"/>
      <ns0:c r="BG451" s="74" t="inlineStr">
        <ns0:is>
          <ns0:t>Y</ns0:t>
        </ns0:is>
      </ns0:c>
      <ns0:c r="BH451" s="90">
        <ns0:f>IFERROR(IF('BBG Verify'!O451="","Awaiting Bloomberg",'BBG Verify'!O451),"Awaiting Bloomberg")</ns0:f>
        <ns0:v/>
      </ns0:c>
      <ns0:c r="BI451" s="88" t="n"/>
      <ns0:c r="BJ451" s="88" t="n"/>
      <ns0:c r="BK451" s="89" t="n">
        <ns0:v>24.1</ns0:v>
      </ns0:c>
      <ns0:c r="BL451" s="90">
        <ns0:f>IFERROR(IF('BBG Verify'!S451="","Awaiting Bloomberg",'BBG Verify'!S451),"Awaiting Bloomberg")</ns0:f>
        <ns0:v/>
      </ns0:c>
      <ns0:c r="BM451" s="91" t="inlineStr">
        <ns0:is>
          <ns0:t>N</ns0:t>
        </ns0:is>
      </ns0:c>
      <ns0:c r="BN451" s="92">
        <ns0:f>IFERROR(IF('BBG Verify'!K451="","Awaiting Bloomberg",'BBG Verify'!K451),"Awaiting Bloomberg")</ns0:f>
        <ns0:v/>
      </ns0:c>
      <ns0:c r="BO451" s="74" t="inlineStr">
        <ns0:is>
          <ns0:t>N/A</ns0:t>
        </ns0:is>
      </ns0:c>
      <ns0:c r="BP451" s="74" t="inlineStr">
        <ns0:is>
          <ns0:t>N/A</ns0:t>
        </ns0:is>
      </ns0:c>
      <ns0:c r="BQ451" s="74" t="inlineStr">
        <ns0:is>
          <ns0:t>N/A</ns0:t>
        </ns0:is>
      </ns0:c>
      <ns0:c r="BR451" s="74" t="inlineStr">
        <ns0:is>
          <ns0:t>N/A</ns0:t>
        </ns0:is>
      </ns0:c>
      <ns0:c r="BS451" s="74" t="inlineStr">
        <ns0:is>
          <ns0:t>N/A</ns0:t>
        </ns0:is>
      </ns0:c>
      <ns0:c r="BT451" s="74" t="inlineStr">
        <ns0:is>
          <ns0:t>N/A</ns0:t>
        </ns0:is>
      </ns0:c>
      <ns0:c r="BU451" s="91" t="inlineStr">
        <ns0:is>
          <ns0:t>China International Capital Corporation Hong Kong Securities Limited; Deutsche Securities Asia Limited</ns0:t>
        </ns0:is>
      </ns0:c>
      <ns0:c r="BV451" s="74" t="inlineStr">
        <ns0:is>
          <ns0:t>China International Capital Corporation Hong Kong Securities Limited; Deutsche Securities Asia Limited</ns0:t>
        </ns0:is>
      </ns0:c>
      <ns0:c r="BW451" s="74" t="inlineStr">
        <ns0:is>
          <ns0:t>China International Capital Corporation Hong Kong Securities Limited; Deutsche Bank AG, Hong Kong Branch; Futu Securities International (Hong Kong) Limited; Zheshang International Financial Holdings Co., Limited</ns0:t>
        </ns0:is>
      </ns0:c>
      <ns0:c r="BX451" s="74" t="inlineStr">
        <ns0:is>
          <ns0:t>China International Capital Corporation Hong Kong Securities Limited; Deutsche Bank AG, Hong Kong Branch; Futu Securities International (Hong Kong) Limited; Zheshang International Financial Holdings Co., Limited</ns0:t>
        </ns0:is>
      </ns0:c>
      <ns0:c r="BY451" s="93">
        <ns0:f>HYPERLINK("https://www1.hkexnews.hk/listedco/listconews/sehk/2026/0320/2026032000035.pdf","prospectus")</ns0:f>
        <ns0:v/>
      </ns0:c>
      <ns0:c r="BZ451" s="93">
        <ns0:f>HYPERLINK("https://www1.hkexnews.hk/listedco/listconews/sehk/2026/0327/2026032703804.pdf","allotment")</ns0:f>
        <ns0:v/>
      </ns0:c>
      <ns0:c r="CA451" s="93">
        <ns0:f>HYPERLINK("https://www1.hkexnews.hk/listedco/listconews/sehk/2026/0426/2026042600007.pdf","stabilisation")</ns0:f>
        <ns0:v/>
      </ns0:c>
      <ns0:c r="CB451" s="94" t="n"/>
      <ns0:c r="CC451" s="74" t="inlineStr">
        <ns0:is>
          <ns0:t>P/E: withheld: 418x fails the 300x plausibility cap; extracted net income HK$19.7m suspect; greenshoe: outcome published; expiry date not in the notice; range low: maximum offer price only, no floor published; financials: not extractable; pre-IPO year outside the AAStocks window</ns0:t>
        </ns0:is>
      </ns0:c>
    </ns0:row>
    <ns0:row r="452" ht="22" customHeight="1">
      <ns0:c r="A452" s="73" t="inlineStr">
        <ns0:is>
          <ns0:t>0664</ns0:t>
        </ns0:is>
      </ns0:c>
      <ns0:c r="B452" s="74" t="inlineStr">
        <ns0:is>
          <ns0:t>TONGSHIFU</ns0:t>
        </ns0:is>
      </ns0:c>
      <ns0:c r="C452" s="74" t="inlineStr">
        <ns0:is>
          <ns0:t>銅師傅</ns0:t>
        </ns0:is>
      </ns0:c>
      <ns0:c r="D452" s="74" t="inlineStr">
        <ns0:is>
          <ns0:t>Consumer</ns0:t>
        </ns0:is>
      </ns0:c>
      <ns0:c r="E452" s="74" t="inlineStr">
        <ns0:is>
          <ns0:t>Beverages / packaged food</ns0:t>
        </ns0:is>
      </ns0:c>
      <ns0:c r="F452" s="74" t="inlineStr">
        <ns0:is>
          <ns0:t>Leisure Products</ns0:t>
        </ns0:is>
      </ns0:c>
      <ns0:c r="G452" s="74" t="inlineStr">
        <ns0:is>
          <ns0:t>Standard</ns0:t>
        </ns0:is>
      </ns0:c>
      <ns0:c r="H452" s="75" t="n">
        <ns0:v>46112</ns0:v>
      </ns0:c>
      <ns0:c r="I452" s="76" t="n">
        <ns0:v>444.41</ns0:v>
      </ns0:c>
      <ns0:c r="J452" s="74" t="inlineStr">
        <ns0:is>
          <ns0:t>gross (stated)</ns0:t>
        </ns0:is>
      </ns0:c>
      <ns0:c r="K452" s="95" t="n"/>
      <ns0:c r="L452" s="77" t="n">
        <ns0:v>68</ns0:v>
      </ns0:c>
      <ns0:c r="M452" s="77" t="n">
        <ns0:v>60</ns0:v>
      </ns0:c>
      <ns0:c r="N452" s="74" t="inlineStr">
        <ns0:is>
          <ns0:t>N</ns0:t>
        </ns0:is>
      </ns0:c>
      <ns0:c r="O452" s="78" t="n">
        <ns0:v>88.2</ns0:v>
      </ns0:c>
      <ns0:c r="P452" s="84" t="n"/>
      <ns0:c r="Q452" s="79" t="n">
        <ns0:v>3864.4</ns0:v>
      </ns0:c>
      <ns0:c r="R452" s="74" t="inlineStr">
        <ns0:is>
          <ns0:t>derived:price x shares upon listing</ns0:t>
        </ns0:is>
      </ns0:c>
      <ns0:c r="S452" s="80" t="n">
        <ns0:v>59.55</ns0:v>
      </ns0:c>
      <ns0:c r="T452" s="81" t="n">
        <ns0:v>1.56</ns0:v>
      </ns0:c>
      <ns0:c r="U452" s="82" t="n">
        <ns0:v>28.94</ns0:v>
      </ns0:c>
      <ns0:c r="V452" s="83" t="n">
        <ns0:v>43</ns0:v>
      </ns0:c>
      <ns0:c r="W452" s="78" t="n">
        <ns0:v>15</ns0:v>
      </ns0:c>
      <ns0:c r="X452" s="85" t="n"/>
      <ns0:c r="Y452" s="79" t="n">
        <ns0:v>315.8</ns0:v>
      </ns0:c>
      <ns0:c r="Z452" s="79" t="n">
        <ns0:v>5263272</ns0:v>
      </ns0:c>
      <ns0:c r="AA452" s="78" t="n">
        <ns0:v>8.17</ns0:v>
      </ns0:c>
      <ns0:c r="AB452" s="74" t="inlineStr">
        <ns0:is>
          <ns0:t>Jiantou International (Hong Kong) Co., Limited</ns0:t>
        </ns0:is>
      </ns0:c>
      <ns0:c r="AC452" s="74" t="inlineStr">
        <ns0:is>
          <ns0:t>jiantou</ns0:t>
        </ns0:is>
      </ns0:c>
      <ns0:c r="AD452" s="78" t="n">
        <ns0:v>6.75</ns0:v>
      </ns0:c>
      <ns0:c r="AE452" s="74" t="inlineStr">
        <ns0:is>
          <ns0:t>lapsed</ns0:t>
        </ns0:is>
      </ns0:c>
      <ns0:c r="AF452" s="74" t="inlineStr">
        <ns0:is>
          <ns0:t>2026-04-25</ns0:t>
        </ns0:is>
      </ns0:c>
      <ns0:c r="AG452" s="74" t="inlineStr">
        <ns0:is>
          <ns0:t>CMB International Capital Limited</ns0:t>
        </ns0:is>
      </ns0:c>
      <ns0:c r="AH452" s="74" t="inlineStr">
        <ns0:is>
          <ns0:t>CMB</ns0:t>
        </ns0:is>
      </ns0:c>
      <ns0:c r="AI452" s="86" t="n">
        <ns0:v>-30.07</ns0:v>
      </ns0:c>
      <ns0:c r="AJ452" s="87" t="n">
        <ns0:v>-49.17</ns0:v>
      </ns0:c>
      <ns0:c r="AK452" s="87" t="n">
        <ns0:v>-0.5600000000000001</ns0:v>
      </ns0:c>
      <ns0:c r="AL452" s="87" t="n">
        <ns0:v>-40.97</ns0:v>
      </ns0:c>
      <ns0:c r="AM452" s="87" t="n">
        <ns0:v>-13.89</ns0:v>
      </ns0:c>
      <ns0:c r="AN452" s="89" t="n">
        <ns0:v>2.61</ns0:v>
      </ns0:c>
      <ns0:c r="AO452" s="78" t="n">
        <ns0:v>33.15</ns0:v>
      </ns0:c>
      <ns0:c r="AP452" s="87" t="n">
        <ns0:v>-53.17</ns0:v>
      </ns0:c>
      <ns0:c r="AQ452" s="87" t="n">
        <ns0:v>-62.27</ns0:v>
      </ns0:c>
      <ns0:c r="AR452" s="87" t="n">
        <ns0:v>-74.81999999999999</ns0:v>
      </ns0:c>
      <ns0:c r="AS452" s="87" t="n">
        <ns0:v>-7.87</ns0:v>
      </ns0:c>
      <ns0:c r="AT452" s="87" t="n">
        <ns0:v>-25.77</ns0:v>
      </ns0:c>
      <ns0:c r="AU452" s="87" t="n">
        <ns0:v>-50.46</ns0:v>
      </ns0:c>
      <ns0:c r="AV452" s="87" t="n">
        <ns0:v>-56.61</ns0:v>
      </ns0:c>
      <ns0:c r="AW452" s="87" t="n">
        <ns0:v>-65.63</ns0:v>
      </ns0:c>
      <ns0:c r="AX452" s="87" t="n">
        <ns0:v>-66.55</ns0:v>
      </ns0:c>
      <ns0:c r="AY452" s="87" t="n">
        <ns0:v>-29.71</ns0:v>
      </ns0:c>
      <ns0:c r="AZ452" s="87" t="n">
        <ns0:v>3.36</ns0:v>
      </ns0:c>
      <ns0:c r="BA452" s="87" t="n">
        <ns0:v>3.94</ns0:v>
      </ns0:c>
      <ns0:c r="BB452" s="74" t="inlineStr">
        <ns0:is>
          <ns0:t>Hang Seng Commerce &amp; Industry sub-index</ns0:t>
        </ns0:is>
      </ns0:c>
      <ns0:c r="BC452" s="87" t="n">
        <ns0:v>-80.90000000000001</ns0:v>
      </ns0:c>
      <ns0:c r="BD452" s="75" t="n">
        <ns0:v>46297</ns0:v>
      </ns0:c>
      <ns0:c r="BE452" s="76" t="n">
        <ns0:v>679.1</ns0:v>
      </ns0:c>
      <ns0:c r="BF452" s="79" t="n">
        <ns0:v>86.90000000000001</ns0:v>
      </ns0:c>
      <ns0:c r="BG452" s="74" t="inlineStr">
        <ns0:is>
          <ns0:t>Y</ns0:t>
        </ns0:is>
      </ns0:c>
      <ns0:c r="BH452" s="89" t="n">
        <ns0:v>44.5</ns0:v>
      </ns0:c>
      <ns0:c r="BI452" s="88" t="n"/>
      <ns0:c r="BJ452" s="88" t="n"/>
      <ns0:c r="BK452" s="89" t="n">
        <ns0:v>5.7</ns0:v>
      </ns0:c>
      <ns0:c r="BL452" s="90">
        <ns0:f>IFERROR(IF('BBG Verify'!S452="","Awaiting Bloomberg",'BBG Verify'!S452),"Awaiting Bloomberg")</ns0:f>
        <ns0:v/>
      </ns0:c>
      <ns0:c r="BM452" s="91" t="inlineStr">
        <ns0:is>
          <ns0:t>N</ns0:t>
        </ns0:is>
      </ns0:c>
      <ns0:c r="BN452" s="92">
        <ns0:f>IFERROR(IF('BBG Verify'!K452="","Awaiting Bloomberg",'BBG Verify'!K452),"Awaiting Bloomberg")</ns0:f>
        <ns0:v/>
      </ns0:c>
      <ns0:c r="BO452" s="74" t="inlineStr">
        <ns0:is>
          <ns0:t>N/A</ns0:t>
        </ns0:is>
      </ns0:c>
      <ns0:c r="BP452" s="74" t="inlineStr">
        <ns0:is>
          <ns0:t>N/A</ns0:t>
        </ns0:is>
      </ns0:c>
      <ns0:c r="BQ452" s="74" t="inlineStr">
        <ns0:is>
          <ns0:t>N/A</ns0:t>
        </ns0:is>
      </ns0:c>
      <ns0:c r="BR452" s="74" t="inlineStr">
        <ns0:is>
          <ns0:t>N/A</ns0:t>
        </ns0:is>
      </ns0:c>
      <ns0:c r="BS452" s="74" t="inlineStr">
        <ns0:is>
          <ns0:t>N/A</ns0:t>
        </ns0:is>
      </ns0:c>
      <ns0:c r="BT452" s="74" t="inlineStr">
        <ns0:is>
          <ns0:t>N/A</ns0:t>
        </ns0:is>
      </ns0:c>
      <ns0:c r="BU452" s="91" t="inlineStr">
        <ns0:is>
          <ns0:t>CMB International Capital Limited</ns0:t>
        </ns0:is>
      </ns0:c>
      <ns0:c r="BV452" s="74" t="inlineStr">
        <ns0:is>
          <ns0:t>CMB International Capital Limited</ns0:t>
        </ns0:is>
      </ns0:c>
      <ns0:c r="BW452" s="74" t="inlineStr">
        <ns0:is>
          <ns0:t>CMB International Capital Limited; CLSA Limited; ABCI Capital Limited; China Everbright Securities (HK) Limited; Futu Securities International (Hong Kong) Limited; Patrons Securities Limited</ns0:t>
        </ns0:is>
      </ns0:c>
      <ns0:c r="BX452" s="74" t="inlineStr">
        <ns0:is>
          <ns0:t>ABCI Securities Company Limited; China Everbright Securities (HK) Limited; CLSA Limited; CMB International Capital Limited; Futu Securities International (Hong Kong) Limited; Livermore Holdings Limited; Patrons Securities Limited</ns0:t>
        </ns0:is>
      </ns0:c>
      <ns0:c r="BY452" s="93">
        <ns0:f>HYPERLINK("https://www1.hkexnews.hk/listedco/listconews/sehk/2026/0323/2026032300037.pdf","prospectus")</ns0:f>
        <ns0:v/>
      </ns0:c>
      <ns0:c r="BZ452" s="93">
        <ns0:f>HYPERLINK("https://www1.hkexnews.hk/listedco/listconews/sehk/2026/0330/2026033003120.pdf","allotment")</ns0:f>
        <ns0:v/>
      </ns0:c>
      <ns0:c r="CA452" s="93">
        <ns0:f>HYPERLINK("https://www1.hkexnews.hk/listedco/listconews/sehk/2026/0430/2026043004704.pdf","stabilisation")</ns0:f>
        <ns0:v/>
      </ns0:c>
      <ns0:c r="CB452" s="94" t="n"/>
      <ns0:c r="CC452" s="74" t="inlineStr">
        <ns0:is>
          <ns0:t>range low: maximum offer price only, no floor published; allocation: clawback line not in this notice; a 12-28% split is consistent with either a tier-1 clawback or a placing shortfall</ns0:t>
        </ns0:is>
      </ns0:c>
    </ns0:row>
    <ns0:row r="453" ht="22" customHeight="1">
      <ns0:c r="A453" s="73" t="inlineStr">
        <ns0:is>
          <ns0:t>3625</ns0:t>
        </ns0:is>
      </ns0:c>
      <ns0:c r="B453" s="74" t="inlineStr">
        <ns0:is>
          <ns0:t>FOURSEMI</ns0:t>
        </ns0:is>
      </ns0:c>
      <ns0:c r="C453" s="74" t="inlineStr">
        <ns0:is>
          <ns0:t>傅里葉</ns0:t>
        </ns0:is>
      </ns0:c>
      <ns0:c r="D453" s="74" t="inlineStr">
        <ns0:is>
          <ns0:t>Technology</ns0:t>
        </ns0:is>
      </ns0:c>
      <ns0:c r="E453" s="74" t="inlineStr">
        <ns0:is>
          <ns0:t>Semiconductors</ns0:t>
        </ns0:is>
      </ns0:c>
      <ns0:c r="F453" s="74" t="inlineStr">
        <ns0:is>
          <ns0:t>Semiconductors &amp; Semiconductor Equipment</ns0:t>
        </ns0:is>
      </ns0:c>
      <ns0:c r="G453" s="74" t="inlineStr">
        <ns0:is>
          <ns0:t>18C</ns0:t>
        </ns0:is>
      </ns0:c>
      <ns0:c r="H453" s="75" t="n">
        <ns0:v>46112</ns0:v>
      </ns0:c>
      <ns0:c r="I453" s="76" t="n">
        <ns0:v>480</ns0:v>
      </ns0:c>
      <ns0:c r="J453" s="74" t="inlineStr">
        <ns0:is>
          <ns0:t>gross (stated)</ns0:t>
        </ns0:is>
      </ns0:c>
      <ns0:c r="K453" s="95" t="n"/>
      <ns0:c r="L453" s="77" t="n">
        <ns0:v>50</ns0:v>
      </ns0:c>
      <ns0:c r="M453" s="77" t="n">
        <ns0:v>40</ns0:v>
      </ns0:c>
      <ns0:c r="N453" s="74" t="inlineStr">
        <ns0:is>
          <ns0:t>N</ns0:t>
        </ns0:is>
      </ns0:c>
      <ns0:c r="O453" s="78" t="n">
        <ns0:v>80</ns0:v>
      </ns0:c>
      <ns0:c r="P453" s="84" t="n"/>
      <ns0:c r="Q453" s="79" t="n">
        <ns0:v>4480</ns0:v>
      </ns0:c>
      <ns0:c r="R453" s="74" t="inlineStr">
        <ns0:is>
          <ns0:t>derived:price x shares upon listing</ns0:t>
        </ns0:is>
      </ns0:c>
      <ns0:c r="S453" s="80" t="n">
        <ns0:v>3118.43</ns0:v>
      </ns0:c>
      <ns0:c r="T453" s="81" t="n">
        <ns0:v>2.93</ns0:v>
      </ns0:c>
      <ns0:c r="U453" s="82" t="n">
        <ns0:v>0</ns0:v>
      </ns0:c>
      <ns0:c r="V453" s="83" t="n">
        <ns0:v>100</ns0:v>
      </ns0:c>
      <ns0:c r="W453" s="78" t="n">
        <ns0:v>20</ns0:v>
      </ns0:c>
      <ns0:c r="X453" s="74" t="inlineStr">
        <ns0:is>
          <ns0:t>YES</ns0:t>
        </ns0:is>
      </ns0:c>
      <ns0:c r="Y453" s="79" t="n">
        <ns0:v>480</ns0:v>
      </ns0:c>
      <ns0:c r="Z453" s="79" t="n">
        <ns0:v>12000000</ns0:v>
      </ns0:c>
      <ns0:c r="AA453" s="78" t="n">
        <ns0:v>10.71</ns0:v>
      </ns0:c>
      <ns0:c r="AB453" s="74" t="inlineStr">
        <ns0:is>
          <ns0:t>none — no cornerstone tranche</ns0:t>
        </ns0:is>
      </ns0:c>
      <ns0:c r="AC453" s="74" t="inlineStr">
        <ns0:is>
          <ns0:t>none</ns0:t>
        </ns0:is>
      </ns0:c>
      <ns0:c r="AD453" s="78" t="n">
        <ns0:v>5.72</ns0:v>
      </ns0:c>
      <ns0:c r="AE453" s="85" t="n"/>
      <ns0:c r="AF453" s="85" t="n"/>
      <ns0:c r="AG453" s="85" t="n"/>
      <ns0:c r="AH453" s="85" t="n"/>
      <ns0:c r="AI453" s="86" t="n">
        <ns0:v>108.75</ns0:v>
      </ns0:c>
      <ns0:c r="AJ453" s="87" t="n">
        <ns0:v>100</ns0:v>
      </ns0:c>
      <ns0:c r="AK453" s="87" t="n">
        <ns0:v>-0.87</ns0:v>
      </ns0:c>
      <ns0:c r="AL453" s="87" t="n">
        <ns0:v>112.62</ns0:v>
      </ns0:c>
      <ns0:c r="AM453" s="87" t="n">
        <ns0:v>-5.94</ns0:v>
      </ns0:c>
      <ns0:c r="AN453" s="89" t="n">
        <ns0:v>2.04</ns0:v>
      </ns0:c>
      <ns0:c r="AO453" s="78" t="n">
        <ns0:v>10.58</ns0:v>
      </ns0:c>
      <ns0:c r="AP453" s="87" t="n">
        <ns0:v>226.25</ns0:v>
      </ns0:c>
      <ns0:c r="AQ453" s="87" t="n">
        <ns0:v>244.75</ns0:v>
      </ns0:c>
      <ns0:c r="AR453" s="87" t="n">
        <ns0:v>125</ns0:v>
      </ns0:c>
      <ns0:c r="AS453" s="87" t="n">
        <ns0:v>63.13</ns0:v>
      </ns0:c>
      <ns0:c r="AT453" s="87" t="n">
        <ns0:v>72.37</ns0:v>
      </ns0:c>
      <ns0:c r="AU453" s="87" t="n">
        <ns0:v>12.5</ns0:v>
      </ns0:c>
      <ns0:c r="AV453" s="87" t="n">
        <ns0:v>222.59</ns0:v>
      </ns0:c>
      <ns0:c r="AW453" s="87" t="n">
        <ns0:v>239.78</ns0:v>
      </ns0:c>
      <ns0:c r="AX453" s="87" t="n">
        <ns0:v>128.75</ns0:v>
      </ns0:c>
      <ns0:c r="AY453" s="87" t="n">
        <ns0:v>66.48</ns0:v>
      </ns0:c>
      <ns0:c r="AZ453" s="87" t="n">
        <ns0:v>4.97</ns0:v>
      </ns0:c>
      <ns0:c r="BA453" s="87" t="n">
        <ns0:v>5.89</ns0:v>
      </ns0:c>
      <ns0:c r="BB453" s="74" t="inlineStr">
        <ns0:is>
          <ns0:t>HSTECH (Hang Seng TECH ETF)</ns0:t>
        </ns0:is>
      </ns0:c>
      <ns0:c r="BC453" s="87" t="n">
        <ns0:v>21.25</ns0:v>
      </ns0:c>
      <ns0:c r="BD453" s="75" t="n">
        <ns0:v>46297</ns0:v>
      </ns0:c>
      <ns0:c r="BE453" s="76" t="n">
        <ns0:v>390.7</ns0:v>
      </ns0:c>
      <ns0:c r="BF453" s="79" t="n">
        <ns0:v>-62.5</ns0:v>
      </ns0:c>
      <ns0:c r="BG453" s="74" t="inlineStr">
        <ns0:is>
          <ns0:t>N</ns0:t>
        </ns0:is>
      </ns0:c>
      <ns0:c r="BH453" s="74" t="inlineStr">
        <ns0:is>
          <ns0:t>n/m</ns0:t>
        </ns0:is>
      </ns0:c>
      <ns0:c r="BI453" s="88" t="n"/>
      <ns0:c r="BJ453" s="88" t="n"/>
      <ns0:c r="BK453" s="89" t="n">
        <ns0:v>11.5</ns0:v>
      </ns0:c>
      <ns0:c r="BL453" s="90">
        <ns0:f>IFERROR(IF('BBG Verify'!S453="","Awaiting Bloomberg",'BBG Verify'!S453),"Awaiting Bloomberg")</ns0:f>
        <ns0:v/>
      </ns0:c>
      <ns0:c r="BM453" s="91" t="inlineStr">
        <ns0:is>
          <ns0:t>N</ns0:t>
        </ns0:is>
      </ns0:c>
      <ns0:c r="BN453" s="92">
        <ns0:f>IFERROR(IF('BBG Verify'!K453="","Awaiting Bloomberg",'BBG Verify'!K453),"Awaiting Bloomberg")</ns0:f>
        <ns0:v/>
      </ns0:c>
      <ns0:c r="BO453" s="74" t="inlineStr">
        <ns0:is>
          <ns0:t>N/A</ns0:t>
        </ns0:is>
      </ns0:c>
      <ns0:c r="BP453" s="74" t="inlineStr">
        <ns0:is>
          <ns0:t>N/A</ns0:t>
        </ns0:is>
      </ns0:c>
      <ns0:c r="BQ453" s="74" t="inlineStr">
        <ns0:is>
          <ns0:t>N/A</ns0:t>
        </ns0:is>
      </ns0:c>
      <ns0:c r="BR453" s="74" t="inlineStr">
        <ns0:is>
          <ns0:t>N/A</ns0:t>
        </ns0:is>
      </ns0:c>
      <ns0:c r="BS453" s="74" t="inlineStr">
        <ns0:is>
          <ns0:t>N/A</ns0:t>
        </ns0:is>
      </ns0:c>
      <ns0:c r="BT453" s="74" t="inlineStr">
        <ns0:is>
          <ns0:t>N/A</ns0:t>
        </ns0:is>
      </ns0:c>
      <ns0:c r="BU453" s="91" t="inlineStr">
        <ns0:is>
          <ns0:t>Guotai Junan Capital Limited; Orient Capital (Hong Kong) Limited</ns0:t>
        </ns0:is>
      </ns0:c>
      <ns0:c r="BV453" s="74" t="inlineStr">
        <ns0:is>
          <ns0:t>Guotai Junan Capital Limited; Orient Capital (Hong Kong) Limited</ns0:t>
        </ns0:is>
      </ns0:c>
      <ns0:c r="BW453" s="74" t="inlineStr">
        <ns0:is>
          <ns0:t>Guotai Junan Securities (Hong Kong) Limited; Orient Securities (Hong Kong) Limited; CCB International Capital Limited; ABCI Capital Limited; Futu Securities International (Hong Kong) Limited; Y ellow River Securities Limited; Shenwan Hongyuan Securities (H.K.) Limited; Livermore Holdings Limited; Huafu International Securities Limited; Zheshang International Financial Holdings Co., Limited</ns0:t>
        </ns0:is>
      </ns0:c>
      <ns0:c r="BX453" s="74" t="inlineStr">
        <ns0:is>
          <ns0: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ns0:t>
        </ns0:is>
      </ns0:c>
      <ns0:c r="BY453" s="93">
        <ns0:f>HYPERLINK("https://www1.hkexnews.hk/listedco/listconews/sehk/2026/0323/2026032300023.pdf","prospectus")</ns0:f>
        <ns0:v/>
      </ns0:c>
      <ns0:c r="BZ453" s="93">
        <ns0:f>HYPERLINK("https://www1.hkexnews.hk/listedco/listconews/sehk/2026/0330/2026033003564.pdf","allotment")</ns0:f>
        <ns0:v/>
      </ns0:c>
      <ns0:c r="CA453" s="85" t="n"/>
      <ns0:c r="CB453" s="94" t="n"/>
      <ns0:c r="CC453" s="74" t="inlineStr">
        <ns0:is>
          <ns0:t>P/E: loss-making at IPO, use P/S; greenshoe: end-of-stabilisation notice not found; range low: maximum offer price only, no floor published; cornerstone list: no cornerstone tranche; stabilising manager: filing states none appointed (allotment announcement: 'no stabilizing manager will be appointed' stated in the filing)</ns0:t>
        </ns0:is>
      </ns0:c>
    </ns0:row>
    <ns0:row r="454" ht="22" customHeight="1">
      <ns0:c r="A454" s="73" t="inlineStr">
        <ns0:is>
          <ns0:t>6656</ns0:t>
        </ns0:is>
      </ns0:c>
      <ns0:c r="B454" s="74" t="inlineStr">
        <ns0:is>
          <ns0:t>SIGENERGY</ns0:t>
        </ns0:is>
      </ns0:c>
      <ns0:c r="C454" s="74" t="inlineStr">
        <ns0:is>
          <ns0:t>思格新能源</ns0:t>
        </ns0:is>
      </ns0:c>
      <ns0:c r="D454" s="74" t="inlineStr">
        <ns0:is>
          <ns0:t>Industrials</ns0:t>
        </ns0:is>
      </ns0:c>
      <ns0:c r="E454" s="74" t="inlineStr">
        <ns0:is>
          <ns0:t>Batteries / energy storage</ns0:t>
        </ns0:is>
      </ns0:c>
      <ns0:c r="F454" s="74" t="inlineStr">
        <ns0:is>
          <ns0:t>New energy and environmental protection</ns0:t>
        </ns0:is>
      </ns0:c>
      <ns0:c r="G454" s="74" t="inlineStr">
        <ns0:is>
          <ns0:t>Standard</ns0:t>
        </ns0:is>
      </ns0:c>
      <ns0:c r="H454" s="75" t="n">
        <ns0:v>46128</ns0:v>
      </ns0:c>
      <ns0:c r="I454" s="76" t="n">
        <ns0:v>4400.7</ns0:v>
      </ns0:c>
      <ns0:c r="J454" s="74" t="inlineStr">
        <ns0:is>
          <ns0:t>gross (stated)</ns0:t>
        </ns0:is>
      </ns0:c>
      <ns0:c r="K454" s="95" t="n"/>
      <ns0:c r="L454" s="77" t="n">
        <ns0:v>324.2</ns0:v>
      </ns0:c>
      <ns0:c r="M454" s="77" t="n">
        <ns0:v>324.2</ns0:v>
      </ns0:c>
      <ns0:c r="N454" s="74" t="inlineStr">
        <ns0:is>
          <ns0:t>Y</ns0:t>
        </ns0:is>
      </ns0:c>
      <ns0:c r="O454" s="78" t="n">
        <ns0:v>100</ns0:v>
      </ns0:c>
      <ns0:c r="P454" s="84" t="n"/>
      <ns0:c r="Q454" s="79" t="n">
        <ns0:v>80011.60000000001</ns0:v>
      </ns0:c>
      <ns0:c r="R454" s="74" t="inlineStr">
        <ns0:is>
          <ns0:t>prospectus:stated market capitalisation</ns0:t>
        </ns0:is>
      </ns0:c>
      <ns0:c r="S454" s="80" t="n">
        <ns0:v>1102.05</ns0:v>
      </ns0:c>
      <ns0:c r="T454" s="81" t="n">
        <ns0:v>31.2</ns0:v>
      </ns0:c>
      <ns0:c r="U454" s="82" t="n">
        <ns0:v>49.6</ns0:v>
      </ns0:c>
      <ns0:c r="V454" s="83" t="n">
        <ns0:v>428</ns0:v>
      </ns0:c>
      <ns0:c r="W454" s="78" t="n">
        <ns0:v>10</ns0:v>
      </ns0:c>
      <ns0:c r="X454" s="74" t="inlineStr">
        <ns0:is>
          <ns0:t>NA</ns0:t>
        </ns0:is>
      </ns0:c>
      <ns0:c r="Y454" s="79" t="n">
        <ns0:v>2217.95</ns0:v>
      </ns0:c>
      <ns0:c r="Z454" s="79" t="n">
        <ns0:v>6841246</ns0:v>
      </ns0:c>
      <ns0:c r="AA454" s="78" t="n">
        <ns0:v>2.77</ns0:v>
      </ns0:c>
      <ns0:c r="AB454" s="74" t="inlineStr">
        <ns0:is>
          <ns0: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ns0:t>
        </ns0:is>
      </ns0:c>
      <ns0:c r="AC454" s="74" t="inlineStr">
        <ns0:is>
          <ns0:t>3w;aranda;axa;baring;charoen;cpe;cpic;fullgoal;goldman;greenwoods;hhlr;hillhouse;huadeng;icbc;lazurite;perseverance;scene;shanghai-lujiazui;tropical;ubs</ns0:t>
        </ns0:is>
      </ns0:c>
      <ns0:c r="AD454" s="78" t="n">
        <ns0:v>15</ns0:v>
      </ns0:c>
      <ns0:c r="AE454" s="74" t="inlineStr">
        <ns0:is>
          <ns0:t>full</ns0:t>
        </ns0:is>
      </ns0:c>
      <ns0:c r="AF454" s="85" t="n"/>
      <ns0:c r="AG454" s="74" t="inlineStr">
        <ns0:is>
          <ns0:t>CLSA Limited</ns0:t>
        </ns0:is>
      </ns0:c>
      <ns0:c r="AH454" s="74" t="inlineStr">
        <ns0:is>
          <ns0:t>CLSA</ns0:t>
        </ns0:is>
      </ns0:c>
      <ns0:c r="AI454" s="86" t="n">
        <ns0:v>78.29000000000001</ns0:v>
      </ns0:c>
      <ns0:c r="AJ454" s="87" t="n">
        <ns0:v>103.42</ns0:v>
      </ns0:c>
      <ns0:c r="AK454" s="87" t="n">
        <ns0:v>2.62</ns0:v>
      </ns0:c>
      <ns0:c r="AL454" s="87" t="n">
        <ns0:v>79.20999999999999</ns0:v>
      </ns0:c>
      <ns0:c r="AM454" s="87" t="n">
        <ns0:v>13.51</ns0:v>
      </ns0:c>
      <ns0:c r="AN454" s="89" t="n">
        <ns0:v>5.68</ns0:v>
      </ns0:c>
      <ns0:c r="AO454" s="78" t="n">
        <ns0:v>18.67</ns0:v>
      </ns0:c>
      <ns0:c r="AP454" s="87" t="n">
        <ns0:v>73.66</ns0:v>
      </ns0:c>
      <ns0:c r="AQ454" s="87" t="n">
        <ns0:v>64.40000000000001</ns0:v>
      </ns0:c>
      <ns0:c r="AR454" s="87" t="n">
        <ns0:v>-14.68</ns0:v>
      </ns0:c>
      <ns0:c r="AS454" s="87" t="n">
        <ns0:v>-14.63</ns0:v>
      </ns0:c>
      <ns0:c r="AT454" s="87" t="n">
        <ns0:v>-19.18</ns0:v>
      </ns0:c>
      <ns0:c r="AU454" s="87" t="n">
        <ns0:v>-58.06</ns0:v>
      </ns0:c>
      <ns0:c r="AV454" s="87" t="n">
        <ns0:v>74.03</ns0:v>
      </ns0:c>
      <ns0:c r="AW454" s="87" t="n">
        <ns0:v>66.81</ns0:v>
      </ns0:c>
      <ns0:c r="AX454" s="87" t="n">
        <ns0:v>-9.630000000000001</ns0:v>
      </ns0:c>
      <ns0:c r="AY454" s="87" t="n">
        <ns0:v>-14.28</ns0:v>
      </ns0:c>
      <ns0:c r="AZ454" s="87" t="n">
        <ns0:v>-2.41</ns0:v>
      </ns0:c>
      <ns0:c r="BA454" s="87" t="n">
        <ns0:v>-4.9</ns0:v>
      </ns0:c>
      <ns0:c r="BB454" s="74" t="inlineStr">
        <ns0:is>
          <ns0:t>Hang Seng Commerce &amp; Industry sub-index</ns0:t>
        </ns0:is>
      </ns0:c>
      <ns0:c r="BC454" s="87" t="n">
        <ns0:v>-14.87</ns0:v>
      </ns0:c>
      <ns0:c r="BD454" s="75" t="n">
        <ns0:v>46297</ns0:v>
      </ns0:c>
      <ns0:c r="BE454" s="76" t="n">
        <ns0:v>9900.6</ns0:v>
      </ns0:c>
      <ns0:c r="BF454" s="79" t="n">
        <ns0:v>3210.7</ns0:v>
      </ns0:c>
      <ns0:c r="BG454" s="74" t="inlineStr">
        <ns0:is>
          <ns0:t>Y</ns0:t>
        </ns0:is>
      </ns0:c>
      <ns0:c r="BH454" s="89" t="n">
        <ns0:v>24.9</ns0:v>
      </ns0:c>
      <ns0:c r="BI454" s="88" t="n"/>
      <ns0:c r="BJ454" s="88" t="n"/>
      <ns0:c r="BK454" s="89" t="n">
        <ns0:v>8.1</ns0:v>
      </ns0:c>
      <ns0:c r="BL454" s="90">
        <ns0:f>IFERROR(IF('BBG Verify'!S454="","Awaiting Bloomberg",'BBG Verify'!S454),"Awaiting Bloomberg")</ns0:f>
        <ns0:v/>
      </ns0:c>
      <ns0:c r="BM454" s="91" t="inlineStr">
        <ns0:is>
          <ns0:t>N</ns0:t>
        </ns0:is>
      </ns0:c>
      <ns0:c r="BN454" s="92">
        <ns0:f>IFERROR(IF('BBG Verify'!K454="","Awaiting Bloomberg",'BBG Verify'!K454),"Awaiting Bloomberg")</ns0:f>
        <ns0:v/>
      </ns0:c>
      <ns0:c r="BO454" s="74" t="inlineStr">
        <ns0:is>
          <ns0:t>N/A</ns0:t>
        </ns0:is>
      </ns0:c>
      <ns0:c r="BP454" s="74" t="inlineStr">
        <ns0:is>
          <ns0:t>N/A</ns0:t>
        </ns0:is>
      </ns0:c>
      <ns0:c r="BQ454" s="74" t="inlineStr">
        <ns0:is>
          <ns0:t>N/A</ns0:t>
        </ns0:is>
      </ns0:c>
      <ns0:c r="BR454" s="74" t="inlineStr">
        <ns0:is>
          <ns0:t>N/A</ns0:t>
        </ns0:is>
      </ns0:c>
      <ns0:c r="BS454" s="74" t="inlineStr">
        <ns0:is>
          <ns0:t>N/A</ns0:t>
        </ns0:is>
      </ns0:c>
      <ns0:c r="BT454" s="74" t="inlineStr">
        <ns0:is>
          <ns0:t>N/A</ns0:t>
        </ns0:is>
      </ns0:c>
      <ns0:c r="BU454" s="91" t="inlineStr">
        <ns0:is>
          <ns0:t>CITIC Securities (Hong Kong) Limited; BNP Paribas Securities (Asia) Limited</ns0:t>
        </ns0:is>
      </ns0:c>
      <ns0:c r="BV454" s="74" t="inlineStr">
        <ns0:is>
          <ns0:t>CITIC Securities (Hong Kong) Limited; BNP Paribas Securities (Asia) Limited</ns0:t>
        </ns0:is>
      </ns0:c>
      <ns0:c r="BW454" s="74" t="inlineStr">
        <ns0:is>
          <ns0:t>CLSA Limited; BNP Paribas Securities (Asia) Limited; China International Capital Corporation Hong Kong Securities Limited</ns0:t>
        </ns0:is>
      </ns0:c>
      <ns0:c r="BX454" s="74" t="inlineStr">
        <ns0:is>
          <ns0:t>BNP Paribas Securities (Asia) Limited; China International Capital Corporation Hong Kong Securities Limited; CLSA Limited</ns0:t>
        </ns0:is>
      </ns0:c>
      <ns0:c r="BY454" s="93">
        <ns0:f>HYPERLINK("https://www1.hkexnews.hk/listedco/listconews/sehk/2026/0408/2026040800017.pdf","prospectus")</ns0:f>
        <ns0:v/>
      </ns0:c>
      <ns0:c r="BZ454" s="93">
        <ns0:f>HYPERLINK("https://www1.hkexnews.hk/listedco/listconews/sehk/2026/0415/2026041501574.pdf","allotment")</ns0:f>
        <ns0:v/>
      </ns0:c>
      <ns0:c r="CA454" s="93">
        <ns0:f>HYPERLINK("https://www1.hkexnews.hk/listedco/listconews/sehk/2026/0513/2026051301292.pdf","stabilisation")</ns0:f>
        <ns0:v/>
      </ns0:c>
      <ns0:c r="CB454" s="94" t="n"/>
      <ns0:c r="CC454" s="74" t="inlineStr">
        <ns0:is>
          <ns0:t>greenshoe: outcome published; expiry date not in the notice; range low: maximum offer price only, no floor published</ns0:t>
        </ns0:is>
      </ns0:c>
    </ns0:row>
    <ns0:row r="455" ht="22" customHeight="1">
      <ns0:c r="A455" s="73" t="inlineStr">
        <ns0:is>
          <ns0:t>0068</ns0:t>
        </ns0:is>
      </ns0:c>
      <ns0:c r="B455" s="74" t="inlineStr">
        <ns0:is>
          <ns0:t>MANYCORE TECH</ns0:t>
        </ns0:is>
      </ns0:c>
      <ns0:c r="C455" s="74" t="inlineStr">
        <ns0:is>
          <ns0:t>MANYCORE TECH</ns0:t>
        </ns0:is>
      </ns0:c>
      <ns0:c r="D455" s="74" t="inlineStr">
        <ns0:is>
          <ns0:t>Technology</ns0:t>
        </ns0:is>
      </ns0:c>
      <ns0:c r="E455" s="74" t="inlineStr">
        <ns0:is>
          <ns0:t>Software &amp; AI</ns0:t>
        </ns0:is>
      </ns0:c>
      <ns0:c r="F455" s="74" t="inlineStr">
        <ns0:is>
          <ns0:t>Advanced hardware and software</ns0:t>
        </ns0:is>
      </ns0:c>
      <ns0:c r="G455" s="74" t="inlineStr">
        <ns0:is>
          <ns0:t>Standard</ns0:t>
        </ns0:is>
      </ns0:c>
      <ns0:c r="H455" s="75" t="n">
        <ns0:v>46129</ns0:v>
      </ns0:c>
      <ns0:c r="I455" s="76" t="n">
        <ns0:v>1223.9</ns0:v>
      </ns0:c>
      <ns0:c r="J455" s="74" t="inlineStr">
        <ns0:is>
          <ns0:t>gross (stated)</ns0:t>
        </ns0:is>
      </ns0:c>
      <ns0:c r="K455" s="95" t="n"/>
      <ns0:c r="L455" s="77" t="n">
        <ns0:v>7.62</ns0:v>
      </ns0:c>
      <ns0:c r="M455" s="77" t="n">
        <ns0:v>7.62</ns0:v>
      </ns0:c>
      <ns0:c r="N455" s="74" t="inlineStr">
        <ns0:is>
          <ns0:t>Y</ns0:t>
        </ns0:is>
      </ns0:c>
      <ns0:c r="O455" s="78" t="n">
        <ns0:v>100</ns0:v>
      </ns0:c>
      <ns0:c r="P455" s="84" t="n"/>
      <ns0:c r="Q455" s="79" t="n">
        <ns0:v>11400</ns0:v>
      </ns0:c>
      <ns0:c r="R455" s="74" t="inlineStr">
        <ns0:is>
          <ns0:t>prospectus:stated market capitalisation</ns0:t>
        </ns0:is>
      </ns0:c>
      <ns0:c r="S455" s="80" t="n">
        <ns0:v>1590.56</ns0:v>
      </ns0:c>
      <ns0:c r="T455" s="81" t="n">
        <ns0:v>14.46</ns0:v>
      </ns0:c>
      <ns0:c r="U455" s="82" t="n">
        <ns0:v>37.14</ns0:v>
      </ns0:c>
      <ns0:c r="V455" s="83" t="n">
        <ns0:v>107</ns0:v>
      </ns0:c>
      <ns0:c r="W455" s="78" t="n">
        <ns0:v>10</ns0:v>
      </ns0:c>
      <ns0:c r="X455" s="74" t="inlineStr">
        <ns0:is>
          <ns0:t>NO</ns0:t>
        </ns0:is>
      </ns0:c>
      <ns0:c r="Y455" s="79" t="n">
        <ns0:v>769.34</ns0:v>
      </ns0:c>
      <ns0:c r="Z455" s="79" t="n">
        <ns0:v>100965103</ns0:v>
      </ns0:c>
      <ns0:c r="AA455" s="78" t="n">
        <ns0:v>6.75</ns0:v>
      </ns0:c>
      <ns0:c r="AB455" s="74" t="inlineStr">
        <ns0:is>
          <ns0:t>Taikang Life Insurance Co., Ltd; Sunshine Life Insurance Corporation Limited; GF Fund Management Co., Ltd. and GF International Investment Management Limited (together, GF Fund); Redwood Elite Limited; Mirae Asset Securities Co., Ltd; RIME Capital Limited; Hesai Hong Kong Limited; Guohui (HK) Holdings Co., Limited 控股有限公司; CR Construction Group Holdings Limited</ns0:t>
        </ns0:is>
      </ns0:c>
      <ns0:c r="AC455" s="74" t="inlineStr">
        <ns0:is>
          <ns0:t>taikang;sunshine;gf;redwood;mirae;rime;hesai;guohui;cr</ns0:t>
        </ns0:is>
      </ns0:c>
      <ns0:c r="AD455" s="78" t="n">
        <ns0:v>15</ns0:v>
      </ns0:c>
      <ns0:c r="AE455" s="74" t="inlineStr">
        <ns0:is>
          <ns0:t>full</ns0:t>
        </ns0:is>
      </ns0:c>
      <ns0:c r="AF455" s="85" t="n"/>
      <ns0:c r="AG455" s="74" t="inlineStr">
        <ns0:is>
          <ns0:t>J.P. Morgan Securities</ns0:t>
        </ns0:is>
      </ns0:c>
      <ns0:c r="AH455" s="74" t="inlineStr">
        <ns0:is>
          <ns0:t>JP Morgan</ns0:t>
        </ns0:is>
      </ns0:c>
      <ns0:c r="AI455" s="86" t="n">
        <ns0:v>169.29</ns0:v>
      </ns0:c>
      <ns0:c r="AJ455" s="87" t="n">
        <ns0:v>144.09</ns0:v>
      </ns0:c>
      <ns0:c r="AK455" s="87" t="n">
        <ns0:v>-1.16</ns0:v>
      </ns0:c>
      <ns0:c r="AL455" s="87" t="n">
        <ns0:v>171.65</ns0:v>
      </ns0:c>
      <ns0:c r="AM455" s="87" t="n">
        <ns0:v>-10.15</ns0:v>
      </ns0:c>
      <ns0:c r="AN455" s="89" t="n">
        <ns0:v>8.369999999999999</ns0:v>
      </ns0:c>
      <ns0:c r="AO455" s="78" t="n">
        <ns0:v>25.89</ns0:v>
      </ns0:c>
      <ns0:c r="AP455" s="87" t="n">
        <ns0:v>273.75</ns0:v>
      </ns0:c>
      <ns0:c r="AQ455" s="87" t="n">
        <ns0:v>142.91</ns0:v>
      </ns0:c>
      <ns0:c r="AR455" s="87" t="n">
        <ns0:v>16.54</ns0:v>
      </ns0:c>
      <ns0:c r="AS455" s="87" t="n">
        <ns0:v>53.12</ns0:v>
      </ns0:c>
      <ns0:c r="AT455" s="87" t="n">
        <ns0:v>-0.48</ns0:v>
      </ns0:c>
      <ns0:c r="AU455" s="87" t="n">
        <ns0:v>-52.26</ns0:v>
      </ns0:c>
      <ns0:c r="AV455" s="87" t="n">
        <ns0:v>277.63</ns0:v>
      </ns0:c>
      <ns0:c r="AW455" s="87" t="n">
        <ns0:v>147.6</ns0:v>
      </ns0:c>
      <ns0:c r="AX455" s="87" t="n">
        <ns0:v>21.99</ns0:v>
      </ns0:c>
      <ns0:c r="AY455" s="87" t="n">
        <ns0:v>3.09</ns0:v>
      </ns0:c>
      <ns0:c r="AZ455" s="87" t="n">
        <ns0:v>-4.69</ns0:v>
      </ns0:c>
      <ns0:c r="BA455" s="87" t="n">
        <ns0:v>-3.57</ns0:v>
      </ns0:c>
      <ns0:c r="BB455" s="74" t="inlineStr">
        <ns0:is>
          <ns0:t>HSTECH (Hang Seng TECH ETF)</ns0:t>
        </ns0:is>
      </ns0:c>
      <ns0:c r="BC455" s="87" t="n">
        <ns0:v>-6.43</ns0:v>
      </ns0:c>
      <ns0:c r="BD455" s="75" t="n">
        <ns0:v>46297</ns0:v>
      </ns0:c>
      <ns0:c r="BE455" s="76" t="n">
        <ns0:v>902</ns0:v>
      </ns0:c>
      <ns0:c r="BF455" s="79" t="n">
        <ns0:v>-470.7</ns0:v>
      </ns0:c>
      <ns0:c r="BG455" s="74" t="inlineStr">
        <ns0:is>
          <ns0:t>N</ns0:t>
        </ns0:is>
      </ns0:c>
      <ns0:c r="BH455" s="74" t="inlineStr">
        <ns0:is>
          <ns0:t>n/m</ns0:t>
        </ns0:is>
      </ns0:c>
      <ns0:c r="BI455" s="88" t="n"/>
      <ns0:c r="BJ455" s="88" t="n"/>
      <ns0:c r="BK455" s="89" t="n">
        <ns0:v>12.6</ns0:v>
      </ns0:c>
      <ns0:c r="BL455" s="90">
        <ns0:f>IFERROR(IF('BBG Verify'!S455="","Awaiting Bloomberg",'BBG Verify'!S455),"Awaiting Bloomberg")</ns0:f>
        <ns0:v/>
      </ns0:c>
      <ns0:c r="BM455" s="91" t="inlineStr">
        <ns0:is>
          <ns0:t>N</ns0:t>
        </ns0:is>
      </ns0:c>
      <ns0:c r="BN455" s="92">
        <ns0:f>IFERROR(IF('BBG Verify'!K455="","Awaiting Bloomberg",'BBG Verify'!K455),"Awaiting Bloomberg")</ns0:f>
        <ns0:v/>
      </ns0:c>
      <ns0:c r="BO455" s="74" t="inlineStr">
        <ns0:is>
          <ns0:t>N/A</ns0:t>
        </ns0:is>
      </ns0:c>
      <ns0:c r="BP455" s="74" t="inlineStr">
        <ns0:is>
          <ns0:t>N/A</ns0:t>
        </ns0:is>
      </ns0:c>
      <ns0:c r="BQ455" s="74" t="inlineStr">
        <ns0:is>
          <ns0:t>N/A</ns0:t>
        </ns0:is>
      </ns0:c>
      <ns0:c r="BR455" s="74" t="inlineStr">
        <ns0:is>
          <ns0:t>N/A</ns0:t>
        </ns0:is>
      </ns0:c>
      <ns0:c r="BS455" s="74" t="inlineStr">
        <ns0:is>
          <ns0:t>N/A</ns0:t>
        </ns0:is>
      </ns0:c>
      <ns0:c r="BT455" s="74" t="inlineStr">
        <ns0:is>
          <ns0:t>N/A</ns0:t>
        </ns0:is>
      </ns0:c>
      <ns0:c r="BU455" s="91" t="inlineStr">
        <ns0:is>
          <ns0:t>J.P. Morgan Securities (Far East) Limited; CCB International Capital Limited</ns0:t>
        </ns0:is>
      </ns0:c>
      <ns0:c r="BV455" s="74" t="inlineStr">
        <ns0:is>
          <ns0:t>CCB International Capital Limited; J.P. Morgan Securities (Far East) Limited</ns0:t>
        </ns0:is>
      </ns0:c>
      <ns0:c r="BW455" s="74" t="inlineStr">
        <ns0:is>
          <ns0:t>J.P. Morgan Securities (Asia Pacific) Limited; CCB International Capital Limited; Tiger Brokers (HK) Global Limited; ABCI Capital Limited; BOCI Asia Limited</ns0:t>
        </ns0:is>
      </ns0:c>
      <ns0:c r="BX455" s="74" t="inlineStr">
        <ns0:is>
          <ns0:t>ABCI Securities Company Limited; BOCI Asia Limited; CCB International Capital Limited; Futu Securities International (Hong Kong) Limited; J.P. Morgan Securities (Asia Pacific) Limited; Tiger Brokers (HK) Global Limited</ns0:t>
        </ns0:is>
      </ns0:c>
      <ns0:c r="BY455" s="93">
        <ns0:f>HYPERLINK("https://www1.hkexnews.hk/listedco/listconews/sehk/2026/0409/2026040900025.pdf","prospectus")</ns0:f>
        <ns0:v/>
      </ns0:c>
      <ns0:c r="BZ455" s="93">
        <ns0:f>HYPERLINK("https://www1.hkexnews.hk/listedco/listconews/sehk/2026/0416/2026041601684.pdf","allotment")</ns0:f>
        <ns0:v/>
      </ns0:c>
      <ns0:c r="CA455" s="93">
        <ns0:f>HYPERLINK("https://www1.hkexnews.hk/listedco/listconews/sehk/2026/0518/2026051801670.pdf","stabilisation")</ns0:f>
        <ns0:v/>
      </ns0:c>
      <ns0:c r="CB455" s="94" t="n"/>
      <ns0:c r="CC455" s="74" t="inlineStr">
        <ns0:is>
          <ns0:t>P/E: loss-making at IPO, use P/S; greenshoe: outcome published; expiry date not in the notice; range low: maximum offer price only, no floor published</ns0:t>
        </ns0:is>
      </ns0:c>
    </ns0:row>
    <ns0:row r="456" ht="22" customHeight="1">
      <ns0:c r="A456" s="73" t="inlineStr">
        <ns0:is>
          <ns0:t>3277</ns0:t>
        </ns0:is>
      </ns0:c>
      <ns0:c r="B456" s="74" t="inlineStr">
        <ns0:is>
          <ns0:t>GPIXEL</ns0:t>
        </ns0:is>
      </ns0:c>
      <ns0:c r="C456" s="74" t="inlineStr">
        <ns0:is>
          <ns0:t>長光辰芯</ns0:t>
        </ns0:is>
      </ns0:c>
      <ns0:c r="D456" s="74" t="inlineStr">
        <ns0:is>
          <ns0:t>Technology</ns0:t>
        </ns0:is>
      </ns0:c>
      <ns0:c r="E456" s="74" t="inlineStr">
        <ns0:is>
          <ns0:t>Semiconductors</ns0:t>
        </ns0:is>
      </ns0:c>
      <ns0:c r="F456" s="74" t="inlineStr">
        <ns0:is>
          <ns0:t>Electronic Equipment &amp; Instruments</ns0:t>
        </ns0:is>
      </ns0:c>
      <ns0:c r="G456" s="74" t="inlineStr">
        <ns0:is>
          <ns0:t>Standard</ns0:t>
        </ns0:is>
      </ns0:c>
      <ns0:c r="H456" s="75" t="n">
        <ns0:v>46129</ns0:v>
      </ns0:c>
      <ns0:c r="I456" s="76" t="n">
        <ns0:v>2603.9</ns0:v>
      </ns0:c>
      <ns0:c r="J456" s="74" t="inlineStr">
        <ns0:is>
          <ns0:t>gross (stated)</ns0:t>
        </ns0:is>
      </ns0:c>
      <ns0:c r="K456" s="95" t="n"/>
      <ns0:c r="L456" s="77" t="n">
        <ns0:v>39.88</ns0:v>
      </ns0:c>
      <ns0:c r="M456" s="77" t="n">
        <ns0:v>39.88</ns0:v>
      </ns0:c>
      <ns0:c r="N456" s="74" t="inlineStr">
        <ns0:is>
          <ns0:t>Y</ns0:t>
        </ns0:is>
      </ns0:c>
      <ns0:c r="O456" s="78" t="n">
        <ns0:v>100</ns0:v>
      </ns0:c>
      <ns0:c r="P456" s="84" t="n"/>
      <ns0:c r="Q456" s="79" t="n">
        <ns0:v>11600</ns0:v>
      </ns0:c>
      <ns0:c r="R456" s="74" t="inlineStr">
        <ns0:is>
          <ns0:t>prospectus:stated market capitalisation</ns0:t>
        </ns0:is>
      </ns0:c>
      <ns0:c r="S456" s="80" t="n">
        <ns0:v>1138.21</ns0:v>
      </ns0:c>
      <ns0:c r="T456" s="81" t="n">
        <ns0:v>22.69</ns0:v>
      </ns0:c>
      <ns0:c r="U456" s="82" t="n">
        <ns0:v>50</ns0:v>
      </ns0:c>
      <ns0:c r="V456" s="83" t="n">
        <ns0:v>172</ns0:v>
      </ns0:c>
      <ns0:c r="W456" s="78" t="n">
        <ns0:v>10</ns0:v>
      </ns0:c>
      <ns0:c r="X456" s="74" t="inlineStr">
        <ns0:is>
          <ns0:t>NO</ns0:t>
        </ns0:is>
      </ns0:c>
      <ns0:c r="Y456" s="79" t="n">
        <ns0:v>1301.95</ns0:v>
      </ns0:c>
      <ns0:c r="Z456" s="79" t="n">
        <ns0:v>32647100</ns0:v>
      </ns0:c>
      <ns0:c r="AA456" s="78" t="n">
        <ns0:v>11.22</ns0:v>
      </ns0:c>
      <ns0:c r="AB456" s="74" t="inlineStr">
        <ns0:is>
          <ns0:t>CPE Peepal Investment Limited; HHLR Advisors, Ltd; UBS Asset Management (Singapore) Ltd; Arc Avenue Asset Management Pte. Ltd; Boyu Capital Management (Singapore) Pte. Ltd. Note 3&amp;4; Fullgoal Asset Management (HK) Limited Notes 3&amp;5; Fullgoal Fund Management Co., Ltd. Notes 3&amp;5; GF International Investment Management Limited; GF Fund Management Co., Ltd; Shanghai Greenwoods Asset Management Co., Ltd. and Huatai Capital Investment Limited (in connection with Greenwoods OTC Swaps) Notes 3&amp;7; Greenwoods Asset Management Hong Kong Limited; Mirae Asset Securities Co., Ltd; Perseverance Asset Management International (Singapore) Pte. Ltd; Yield Royal Investment Holding (Singapore) PTE. LTD; 3W Fund Management Limited; Eastern Bell Capital VIII Investment Limited; ICBC Wealth Management Co., Ltd. Notes 3 &amp; 8; Protium Capital Limited; SCC Foresight Ventures Ltd; Voyage42 Master Fund; WT Asset Management Limited; E Fund Management (Hong Kong) Co., Ltd; China Asset Management Co., Ltd. Notes 3&amp;6; Cithara Global Multi-Strategy SPC — Disruptive Innovation Investment Fund SP; Panjing Harbourview Investment Fund; Value Partners Hong Kong Limited; China Orient International Asset Management Limited — China Orient Multi-Strategy Master Fund; China Merchants Securities Investment Management (Hong Kong) Company Limited</ns0:t>
        </ns0:is>
      </ns0:c>
      <ns0:c r="AC456" s="74" t="inlineStr">
        <ns0:is>
          <ns0:t>cpe;hhlr;ubs;arc;boyu;fullgoal;gf;shanghai-greenwoods;greenwoods;mirae;perseverance;yield;3w;eastern-bell;icbc;protium;scc;voyage42;wt;fund-management;notes;cithara;panjing;value;orient;merchants</ns0:t>
        </ns0:is>
      </ns0:c>
      <ns0:c r="AD456" s="78" t="n">
        <ns0:v>18.29</ns0:v>
      </ns0:c>
      <ns0:c r="AE456" s="74" t="inlineStr">
        <ns0:is>
          <ns0:t>full</ns0:t>
        </ns0:is>
      </ns0:c>
      <ns0:c r="AF456" s="74" t="inlineStr">
        <ns0:is>
          <ns0:t>2026-05-14</ns0:t>
        </ns0:is>
      </ns0:c>
      <ns0:c r="AG456" s="74" t="inlineStr">
        <ns0:is>
          <ns0:t>CLSA Limited</ns0:t>
        </ns0:is>
      </ns0:c>
      <ns0:c r="AH456" s="74" t="inlineStr">
        <ns0:is>
          <ns0:t>CLSA</ns0:t>
        </ns0:is>
      </ns0:c>
      <ns0:c r="AI456" s="86" t="n">
        <ns0:v>71.26000000000001</ns0:v>
      </ns0:c>
      <ns0:c r="AJ456" s="87" t="n">
        <ns0:v>75.53</ns0:v>
      </ns0:c>
      <ns0:c r="AK456" s="87" t="n">
        <ns0:v>-1.16</ns0:v>
      </ns0:c>
      <ns0:c r="AL456" s="87" t="n">
        <ns0:v>80.54000000000001</ns0:v>
      </ns0:c>
      <ns0:c r="AM456" s="87" t="n">
        <ns0:v>-2.78</ns0:v>
      </ns0:c>
      <ns0:c r="AN456" s="89" t="n">
        <ns0:v>4.29</ns0:v>
      </ns0:c>
      <ns0:c r="AO456" s="78" t="n">
        <ns0:v>25.49</ns0:v>
      </ns0:c>
      <ns0:c r="AP456" s="87" t="n">
        <ns0:v>112.39</ns0:v>
      </ns0:c>
      <ns0:c r="AQ456" s="87" t="n">
        <ns0:v>107.62</ns0:v>
      </ns0:c>
      <ns0:c r="AR456" s="87" t="n">
        <ns0:v>81.42</ns0:v>
      </ns0:c>
      <ns0:c r="AS456" s="87" t="n">
        <ns0:v>21</ns0:v>
      </ns0:c>
      <ns0:c r="AT456" s="87" t="n">
        <ns0:v>18.28</ns0:v>
      </ns0:c>
      <ns0:c r="AU456" s="87" t="n">
        <ns0:v>3.36</ns0:v>
      </ns0:c>
      <ns0:c r="AV456" s="87" t="n">
        <ns0:v>116.27</ns0:v>
      </ns0:c>
      <ns0:c r="AW456" s="87" t="n">
        <ns0:v>112.31</ns0:v>
      </ns0:c>
      <ns0:c r="AX456" s="87" t="n">
        <ns0:v>86.87</ns0:v>
      </ns0:c>
      <ns0:c r="AY456" s="87" t="n">
        <ns0:v>21.85</ns0:v>
      </ns0:c>
      <ns0:c r="AZ456" s="87" t="n">
        <ns0:v>-4.69</ns0:v>
      </ns0:c>
      <ns0:c r="BA456" s="87" t="n">
        <ns0:v>-3.57</ns0:v>
      </ns0:c>
      <ns0:c r="BB456" s="74" t="inlineStr">
        <ns0:is>
          <ns0:t>HSTECH (Hang Seng TECH ETF)</ns0:t>
        </ns0:is>
      </ns0:c>
      <ns0:c r="BC456" s="87" t="n">
        <ns0:v>78.03</ns0:v>
      </ns0:c>
      <ns0:c r="BD456" s="75" t="n">
        <ns0:v>46297</ns0:v>
      </ns0:c>
      <ns0:c r="BE456" s="76" t="n">
        <ns0:v>942.2</ns0:v>
      </ns0:c>
      <ns0:c r="BF456" s="79" t="n">
        <ns0:v>322.5</ns0:v>
      </ns0:c>
      <ns0:c r="BG456" s="74" t="inlineStr">
        <ns0:is>
          <ns0:t>Y</ns0:t>
        </ns0:is>
      </ns0:c>
      <ns0:c r="BH456" s="89" t="n">
        <ns0:v>36</ns0:v>
      </ns0:c>
      <ns0:c r="BI456" s="88" t="n"/>
      <ns0:c r="BJ456" s="88" t="n"/>
      <ns0:c r="BK456" s="89" t="n">
        <ns0:v>12.3</ns0:v>
      </ns0:c>
      <ns0:c r="BL456" s="90">
        <ns0:f>IFERROR(IF('BBG Verify'!S456="","Awaiting Bloomberg",'BBG Verify'!S456),"Awaiting Bloomberg")</ns0:f>
        <ns0:v/>
      </ns0:c>
      <ns0:c r="BM456" s="91" t="inlineStr">
        <ns0:is>
          <ns0:t>N</ns0:t>
        </ns0:is>
      </ns0:c>
      <ns0:c r="BN456" s="92">
        <ns0:f>IFERROR(IF('BBG Verify'!K456="","Awaiting Bloomberg",'BBG Verify'!K456),"Awaiting Bloomberg")</ns0:f>
        <ns0:v/>
      </ns0:c>
      <ns0:c r="BO456" s="74" t="inlineStr">
        <ns0:is>
          <ns0:t>N/A</ns0:t>
        </ns0:is>
      </ns0:c>
      <ns0:c r="BP456" s="74" t="inlineStr">
        <ns0:is>
          <ns0:t>N/A</ns0:t>
        </ns0:is>
      </ns0:c>
      <ns0:c r="BQ456" s="74" t="inlineStr">
        <ns0:is>
          <ns0:t>N/A</ns0:t>
        </ns0:is>
      </ns0:c>
      <ns0:c r="BR456" s="74" t="inlineStr">
        <ns0:is>
          <ns0:t>N/A</ns0:t>
        </ns0:is>
      </ns0:c>
      <ns0:c r="BS456" s="74" t="inlineStr">
        <ns0:is>
          <ns0:t>N/A</ns0:t>
        </ns0:is>
      </ns0:c>
      <ns0:c r="BT456" s="74" t="inlineStr">
        <ns0:is>
          <ns0:t>N/A</ns0:t>
        </ns0:is>
      </ns0:c>
      <ns0:c r="BU456" s="91" t="inlineStr">
        <ns0:is>
          <ns0:t>CITIC Securities (Hong Kong) Limited; Guotai Junan Capital Limited</ns0:t>
        </ns0:is>
      </ns0:c>
      <ns0:c r="BV456" s="74" t="inlineStr">
        <ns0:is>
          <ns0:t>CITIC Securities (Hong Kong) Limited; Guotai Junan Capital Limited</ns0:t>
        </ns0:is>
      </ns0:c>
      <ns0:c r="BW456" s="74" t="inlineStr">
        <ns0:is>
          <ns0:t>CLSA Limited; Guotai Junan Securities (Hong Kong) Limited</ns0:t>
        </ns0:is>
      </ns0:c>
      <ns0:c r="BX456" s="74" t="inlineStr">
        <ns0:is>
          <ns0:t>CLSA Limited; Guotai Junan Securities (Hong Kong) Limited</ns0:t>
        </ns0:is>
      </ns0:c>
      <ns0:c r="BY456" s="93">
        <ns0:f>HYPERLINK("https://www1.hkexnews.hk/listedco/listconews/sehk/2026/0409/2026040900047.pdf","prospectus")</ns0:f>
        <ns0:v/>
      </ns0:c>
      <ns0:c r="BZ456" s="93">
        <ns0:f>HYPERLINK("https://www1.hkexnews.hk/listedco/listconews/sehk/2026/0416/2026041602158.pdf","allotment")</ns0:f>
        <ns0:v/>
      </ns0:c>
      <ns0:c r="CA456" s="93">
        <ns0:f>HYPERLINK("https://www1.hkexnews.hk/listedco/listconews/sehk/2026/0514/2026051400392.pdf","stabilisation")</ns0:f>
        <ns0:v/>
      </ns0:c>
      <ns0:c r="CB456" s="94" t="n"/>
      <ns0:c r="CC456" s="74" t="inlineStr">
        <ns0:is>
          <ns0:t>range low: maximum offer price only, no floor published</ns0:t>
        </ns0:is>
      </ns0:c>
    </ns0:row>
    <ns0:row r="457" ht="22" customHeight="1">
      <ns0:c r="A457" s="73" t="inlineStr">
        <ns0:is>
          <ns0:t>2476</ns0:t>
        </ns0:is>
      </ns0:c>
      <ns0:c r="B457" s="74" t="inlineStr">
        <ns0:is>
          <ns0:t>VGT</ns0:t>
        </ns0:is>
      </ns0:c>
      <ns0:c r="C457" s="74" t="inlineStr">
        <ns0:is>
          <ns0:t>勝宏科技</ns0:t>
        </ns0:is>
      </ns0:c>
      <ns0:c r="D457" s="74" t="inlineStr">
        <ns0:is>
          <ns0:t>Technology</ns0:t>
        </ns0:is>
      </ns0:c>
      <ns0:c r="E457" s="74" t="inlineStr">
        <ns0:is>
          <ns0:t>Hardware &amp; electronics</ns0:t>
        </ns0:is>
      </ns0:c>
      <ns0:c r="F457" s="74" t="inlineStr">
        <ns0:is>
          <ns0:t>Printed Circuit Boards</ns0:t>
        </ns0:is>
      </ns0:c>
      <ns0:c r="G457" s="74" t="inlineStr">
        <ns0:is>
          <ns0:t>Standard</ns0:t>
        </ns0:is>
      </ns0:c>
      <ns0:c r="H457" s="75" t="n">
        <ns0:v>46133</ns0:v>
      </ns0:c>
      <ns0:c r="I457" s="76" t="n">
        <ns0:v>20117</ns0:v>
      </ns0:c>
      <ns0:c r="J457" s="74" t="inlineStr">
        <ns0:is>
          <ns0:t>gross (stated)</ns0:t>
        </ns0:is>
      </ns0:c>
      <ns0:c r="K457" s="95" t="n"/>
      <ns0:c r="L457" s="77" t="n">
        <ns0:v>209.88</ns0:v>
      </ns0:c>
      <ns0:c r="M457" s="77" t="n">
        <ns0:v>209.88</ns0:v>
      </ns0:c>
      <ns0:c r="N457" s="74" t="inlineStr">
        <ns0:is>
          <ns0:t>Y</ns0:t>
        </ns0:is>
      </ns0:c>
      <ns0:c r="O457" s="78" t="n">
        <ns0:v>100</ns0:v>
      </ns0:c>
      <ns0:c r="P457" s="84" t="n"/>
      <ns0:c r="Q457" s="79" t="n">
        <ns0:v>203202</ns0:v>
      </ns0:c>
      <ns0:c r="R457" s="74" t="inlineStr">
        <ns0:is>
          <ns0:t>derived:deal size / offer % of enlarged capital</ns0:t>
        </ns0:is>
      </ns0:c>
      <ns0:c r="S457" s="80" t="n">
        <ns0:v>431.15</ns0:v>
      </ns0:c>
      <ns0:c r="T457" s="81" t="n">
        <ns0:v>18.5</ns0:v>
      </ns0:c>
      <ns0:c r="U457" s="82" t="n">
        <ns0:v>33.7</ns0:v>
      </ns0:c>
      <ns0:c r="V457" s="100" t="n"/>
      <ns0:c r="W457" s="84" t="n"/>
      <ns0:c r="X457" s="74" t="inlineStr">
        <ns0:is>
          <ns0:t>NA</ns0:t>
        </ns0:is>
      </ns0:c>
      <ns0:c r="Y457" s="79" t="n">
        <ns0:v>13337.57</ns0:v>
      </ns0:c>
      <ns0:c r="Z457" s="79" t="n">
        <ns0:v>63548550</ns0:v>
      </ns0:c>
      <ns0:c r="AA457" s="78" t="n">
        <ns0:v>6.56</ns0:v>
      </ns0:c>
      <ns0:c r="AB457" s="74" t="inlineStr">
        <ns0:is>
          <ns0: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LIMITED; HQ TELECOM SINGAPORE PTE. LTD; Huizhou Huilian Investment Partnership (Limited Partnership); Infore Funds Series 1 Open-ended Fund Company – Infore Global Equity Fund; Janchor Partners Pan-Asian Master Fund; Jump Trading Pacific Pte. Ltd; Mega Prime Development Limited; Metazone Link (HK) Limited; Mirae Asset Securities Co., Ltd; Morgan Stanley &amp; Co. International plc; Mr. Ye Guofu; MY Asian Opportunities Master Fund, L.P; New Alternative Limited; New Golden Future Limited; Ovata Capital Management Limited; Panjing Harbourview Investment Fund; Pinpoint Asset Management Limited; Poly Platinum Enterprises Limited; Ruihua (International) Investment Limited; SR Wealth Securities Limited; Sunshine Life Insurance Corporation Limited; Tanwan Inc; Tianhong Asset Management Co., Ltd; Tropical Terrain Limited; Wind Sabre Fund SPC; Yong Rong (HK) Asset Management Limited</ns0:t>
        </ns0:is>
      </ns0:c>
      <ns0:c r="AC457" s="74" t="inlineStr">
        <ns0:is>
          <ns0:t>black;bosera;cloudalpha;cloudview;cncb;cpe;deliante;foresight;golden-k2;greenwoods;hhlr;mason;hq;huizhou;infore;janchor;jump;mega;metazone;mirae;morgan;mr-ye;my;new-alternative;new-golden;ovata;panjing;pinpoint;poly;ruihua;sr;sunshine;tanwan;tianhong;tropical;wind;yong</ns0:t>
        </ns0:is>
      </ns0:c>
      <ns0:c r="AD457" s="78" t="n">
        <ns0:v>15</ns0:v>
      </ns0:c>
      <ns0:c r="AE457" s="74" t="inlineStr">
        <ns0:is>
          <ns0:t>full</ns0:t>
        </ns0:is>
      </ns0:c>
      <ns0:c r="AF457" s="74" t="inlineStr">
        <ns0:is>
          <ns0:t>2026-05-16</ns0:t>
        </ns0:is>
      </ns0:c>
      <ns0:c r="AG457" s="74" t="inlineStr">
        <ns0:is>
          <ns0:t>J.P. Morgan Securities</ns0:t>
        </ns0:is>
      </ns0:c>
      <ns0:c r="AH457" s="74" t="inlineStr">
        <ns0:is>
          <ns0:t>JP Morgan</ns0:t>
        </ns0:is>
      </ns0:c>
      <ns0:c r="AI457" s="86" t="n">
        <ns0:v>58.66</ns0:v>
      </ns0:c>
      <ns0:c r="AJ457" s="87" t="n">
        <ns0:v>50.09</ns0:v>
      </ns0:c>
      <ns0:c r="AK457" s="87" t="n">
        <ns0:v>0.12</ns0:v>
      </ns0:c>
      <ns0:c r="AL457" s="87" t="n">
        <ns0:v>57.23</ns0:v>
      </ns0:c>
      <ns0:c r="AM457" s="87" t="n">
        <ns0:v>-4.54</ns0:v>
      </ns0:c>
      <ns0:c r="AN457" s="88" t="n"/>
      <ns0:c r="AO457" s="78" t="n">
        <ns0:v>10.36</ns0:v>
      </ns0:c>
      <ns0:c r="AP457" s="87" t="n">
        <ns0:v>42.94</ns0:v>
      </ns0:c>
      <ns0:c r="AQ457" s="87" t="n">
        <ns0:v>64.95</ns0:v>
      </ns0:c>
      <ns0:c r="AR457" s="87" t="n">
        <ns0:v>9.59</ns0:v>
      </ns0:c>
      <ns0:c r="AS457" s="87" t="n">
        <ns0:v>-4.76</ns0:v>
      </ns0:c>
      <ns0:c r="AT457" s="87" t="n">
        <ns0:v>9.9</ns0:v>
      </ns0:c>
      <ns0:c r="AU457" s="87" t="n">
        <ns0:v>-26.98</ns0:v>
      </ns0:c>
      <ns0:c r="AV457" s="87" t="n">
        <ns0:v>47.47</ns0:v>
      </ns0:c>
      <ns0:c r="AW457" s="87" t="n">
        <ns0:v>70.65000000000001</ns0:v>
      </ns0:c>
      <ns0:c r="AX457" s="87" t="n">
        <ns0:v>16.46</ns0:v>
      </ns0:c>
      <ns0:c r="AY457" s="87" t="n">
        <ns0:v>15.71</ns0:v>
      </ns0:c>
      <ns0:c r="AZ457" s="87" t="n">
        <ns0:v>-5.7</ns0:v>
      </ns0:c>
      <ns0:c r="BA457" s="87" t="n">
        <ns0:v>-5.81</ns0:v>
      </ns0:c>
      <ns0:c r="BB457" s="74" t="inlineStr">
        <ns0:is>
          <ns0:t>HSTECH (Hang Seng TECH ETF)</ns0:t>
        </ns0:is>
      </ns0:c>
      <ns0:c r="BC457" s="87" t="n">
        <ns0:v>-7.04</ns0:v>
      </ns0:c>
      <ns0:c r="BD457" s="75" t="n">
        <ns0:v>46297</ns0:v>
      </ns0:c>
      <ns0:c r="BE457" s="76" t="n">
        <ns0:v>21221.5</ns0:v>
      </ns0:c>
      <ns0:c r="BF457" s="79" t="n">
        <ns0:v>1269.9</ns0:v>
      </ns0:c>
      <ns0:c r="BG457" s="74" t="inlineStr">
        <ns0:is>
          <ns0:t>Y</ns0:t>
        </ns0:is>
      </ns0:c>
      <ns0:c r="BH457" s="89" t="n">
        <ns0:v>160</ns0:v>
      </ns0:c>
      <ns0:c r="BI457" s="88" t="n"/>
      <ns0:c r="BJ457" s="88" t="n"/>
      <ns0:c r="BK457" s="89" t="n">
        <ns0:v>9.6</ns0:v>
      </ns0:c>
      <ns0:c r="BL457" s="90">
        <ns0:f>IFERROR(IF('BBG Verify'!S457="","Awaiting Bloomberg",'BBG Verify'!S457),"Awaiting Bloomberg")</ns0:f>
        <ns0:v/>
      </ns0:c>
      <ns0:c r="BM457" s="91" t="inlineStr">
        <ns0:is>
          <ns0:t>Y</ns0:t>
        </ns0:is>
      </ns0:c>
      <ns0:c r="BN457" s="74" t="inlineStr">
        <ns0:is>
          <ns0:t>300476.SZ</ns0:t>
        </ns0:is>
      </ns0:c>
      <ns0:c r="BO457" s="87" t="n">
        <ns0:v>87.67</ns0:v>
      </ns0:c>
      <ns0:c r="BP457" s="77" t="n">
        <ns0:v>393.8878</ns0:v>
      </ns0:c>
      <ns0:c r="BQ457" s="101" t="n">
        <ns0:v>0.2614</ns0:v>
      </ns0:c>
      <ns0:c r="BR457" s="79" t="n">
        <ns0:v>241960.3</ns0:v>
      </ns0:c>
      <ns0:c r="BS457" s="90">
        <ns0:f>IFERROR(IF('BBG Verify'!Q457="","Awaiting Bloomberg",'BBG Verify'!Q457),"Awaiting Bloomberg")</ns0:f>
        <ns0:v/>
      </ns0:c>
      <ns0:c r="BT457" s="90">
        <ns0:f>IFERROR(IF('BBG Verify'!R457="","Awaiting Bloomberg",'BBG Verify'!R457),"Awaiting Bloomberg")</ns0:f>
        <ns0:v/>
      </ns0:c>
      <ns0:c r="BU457" s="91" t="inlineStr">
        <ns0:is>
          <ns0:t>J.P. Morgan Securities (Far East) Limited; China Securities (International) Corporate Finance Company Limited; GF Capital (Hong Kong) Limited</ns0:t>
        </ns0:is>
      </ns0:c>
      <ns0:c r="BV457" s="74" t="inlineStr">
        <ns0:is>
          <ns0:t>J.P. Morgan Securities (Far East) Limited; GF Capital (Hong Kong) Limited; China Securities (International) Corporate Finance Company Limited</ns0:t>
        </ns0:is>
      </ns0:c>
      <ns0:c r="BW457" s="74" t="inlineStr">
        <ns0:is>
          <ns0:t>J.P. Morgan Securities (Asia Pacific) Limited; China Securities (International) Corporate Finance Company Limited; GF Securities (Hong Kong) Brokerage Limited; China International Capital Corporation Hong Kong Securities Limited</ns0:t>
        </ns0:is>
      </ns0:c>
      <ns0:c r="BX457" s="74" t="inlineStr">
        <ns0:is>
          <ns0: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ns0:t>
        </ns0:is>
      </ns0:c>
      <ns0:c r="BY457" s="93">
        <ns0:f>HYPERLINK("https://www1.hkexnews.hk/listedco/listconews/sehk/2026/0413/2026041300005.pdf","prospectus")</ns0:f>
        <ns0:v/>
      </ns0:c>
      <ns0:c r="BZ457" s="93">
        <ns0:f>HYPERLINK("https://www1.hkexnews.hk/listedco/listconews/sehk/2026/0420/2026042001650.pdf","allotment")</ns0:f>
        <ns0:v/>
      </ns0:c>
      <ns0:c r="CA457" s="93">
        <ns0:f>HYPERLINK("https://www1.hkexnews.hk/listedco/listconews/sehk/2026/0518/2026051800452.pdf","stabilisation")</ns0:f>
        <ns0:v/>
      </ns0:c>
      <ns0:c r="CB457" s="94" t="n"/>
      <ns0:c r="CC457" s="74" t="inlineStr">
        <ns0:is>
          <ns0:t>range low: maximum offer price only, no floor published; A/H: Apr 2026, HK$20.1bn (~US$2.57bn); +60% debut; Nvidia AI-PCB supplier; allocation: allocation table not in this notice's format (older prose announcement); day-1 tape: volume on file; the retail multiple needs the final public split, which this notice does not state</ns0:t>
        </ns0:is>
      </ns0:c>
    </ns0:row>
    <ns0:row r="458" ht="22" customHeight="1">
      <ns0:c r="A458" s="73" t="inlineStr">
        <ns0:is>
          <ns0:t>3296</ns0:t>
        </ns0:is>
      </ns0:c>
      <ns0:c r="B458" s="74" t="inlineStr">
        <ns0:is>
          <ns0:t>HUAQIN</ns0:t>
        </ns0:is>
      </ns0:c>
      <ns0:c r="C458" s="74" t="inlineStr">
        <ns0:is>
          <ns0:t>華勤技術</ns0:t>
        </ns0:is>
      </ns0:c>
      <ns0:c r="D458" s="74" t="inlineStr">
        <ns0:is>
          <ns0:t>Technology</ns0:t>
        </ns0:is>
      </ns0:c>
      <ns0:c r="E458" s="74" t="inlineStr">
        <ns0:is>
          <ns0:t>Hardware &amp; electronics</ns0:t>
        </ns0:is>
      </ns0:c>
      <ns0:c r="F458" s="74" t="inlineStr">
        <ns0:is>
          <ns0:t>Telecommunications &amp; Networking Equipment</ns0:t>
        </ns0:is>
      </ns0:c>
      <ns0:c r="G458" s="74" t="inlineStr">
        <ns0:is>
          <ns0:t>Standard</ns0:t>
        </ns0:is>
      </ns0:c>
      <ns0:c r="H458" s="75" t="n">
        <ns0:v>46135</ns0:v>
      </ns0:c>
      <ns0:c r="I458" s="76" t="n">
        <ns0:v>4549.2</ns0:v>
      </ns0:c>
      <ns0:c r="J458" s="74" t="inlineStr">
        <ns0:is>
          <ns0:t>gross (stated)</ns0:t>
        </ns0:is>
      </ns0:c>
      <ns0:c r="K458" s="95" t="n"/>
      <ns0:c r="L458" s="77" t="n">
        <ns0:v>77.7</ns0:v>
      </ns0:c>
      <ns0:c r="M458" s="77" t="n">
        <ns0:v>77.7</ns0:v>
      </ns0:c>
      <ns0:c r="N458" s="74" t="inlineStr">
        <ns0:is>
          <ns0:t>Y</ns0:t>
        </ns0:is>
      </ns0:c>
      <ns0:c r="O458" s="78" t="n">
        <ns0:v>100</ns0:v>
      </ns0:c>
      <ns0:c r="P458" s="84" t="n"/>
      <ns0:c r="Q458" s="79" t="n">
        <ns0:v>83471.60000000001</ns0:v>
      </ns0:c>
      <ns0:c r="R458" s="74" t="inlineStr">
        <ns0:is>
          <ns0:t>derived:price x shares upon listing</ns0:t>
        </ns0:is>
      </ns0:c>
      <ns0:c r="S458" s="80" t="n">
        <ns0:v>531.33</ns0:v>
      </ns0:c>
      <ns0:c r="T458" s="81" t="n">
        <ns0:v>13.34</ns0:v>
      </ns0:c>
      <ns0:c r="U458" s="82" t="n">
        <ns0:v>49.96</ns0:v>
      </ns0:c>
      <ns0:c r="V458" s="83" t="n">
        <ns0:v>171</ns0:v>
      </ns0:c>
      <ns0:c r="W458" s="78" t="n">
        <ns0:v>10</ns0:v>
      </ns0:c>
      <ns0:c r="X458" s="74" t="inlineStr">
        <ns0:is>
          <ns0:t>NA</ns0:t>
        </ns0:is>
      </ns0:c>
      <ns0:c r="Y458" s="79" t="n">
        <ns0:v>2276.42</ns0:v>
      </ns0:c>
      <ns0:c r="Z458" s="79" t="n">
        <ns0:v>29297519</ns0:v>
      </ns0:c>
      <ns0:c r="AA458" s="78" t="n">
        <ns0:v>2.73</ns0:v>
      </ns0:c>
      <ns0:c r="AB458" s="74" t="inlineStr">
        <ns0:is>
          <ns0:t>JPMAMAPL; UBS AM Singapore; Shanghai Gaoyi and CICC FT (in connection with Gaoyi OTC Swaps); Perseverance Asset Management; Cloud Map; Taikang Life; 3W Fund; New China Asset Management; Everbright Wealth; IvyRock; Aurora SF (in connection with the Arrangement); OmniVision HK; Green Better Limited; Hongxing International; Ingenic Semiconductor HK; Awinic Technology Limited; JinYi Capital (acting for and on behalf of Structured Credit SP Fund)</ns0:t>
        </ns0:is>
      </ns0:c>
      <ns0:c r="AC458" s="74" t="inlineStr">
        <ns0:is>
          <ns0:t>jpmamapl;ubs;shanghai-gaoyi;perseverance;cloud;taikang;3w;new;everbright;ivyrock;aurora;omnivision;green;hongxing;ingenic;awinic;jinyi</ns0:t>
        </ns0:is>
      </ns0:c>
      <ns0:c r="AD458" s="78" t="n">
        <ns0:v>15</ns0:v>
      </ns0:c>
      <ns0:c r="AE458" s="74" t="inlineStr">
        <ns0:is>
          <ns0:t>full</ns0:t>
        </ns0:is>
      </ns0:c>
      <ns0:c r="AF458" s="74" t="inlineStr">
        <ns0:is>
          <ns0:t>2026-05-20</ns0:t>
        </ns0:is>
      </ns0:c>
      <ns0:c r="AG458" s="74" t="inlineStr">
        <ns0:is>
          <ns0:t>China International Capital Corporation Hong Kong Securities Limited</ns0:t>
        </ns0:is>
      </ns0:c>
      <ns0:c r="AH458" s="74" t="inlineStr">
        <ns0:is>
          <ns0:t>China International</ns0:t>
        </ns0:is>
      </ns0:c>
      <ns0:c r="AI458" s="86" t="n">
        <ns0:v>17.31</ns0:v>
      </ns0:c>
      <ns0:c r="AJ458" s="87" t="n">
        <ns0:v>13.26</ns0:v>
      </ns0:c>
      <ns0:c r="AK458" s="87" t="n">
        <ns0:v>-2.06</ns0:v>
      </ns0:c>
      <ns0:c r="AL458" s="87" t="n">
        <ns0:v>12.68</ns0:v>
      </ns0:c>
      <ns0:c r="AM458" s="87" t="n">
        <ns0:v>0.51</ns0:v>
      </ns0:c>
      <ns0:c r="AN458" s="89" t="n">
        <ns0:v>4.2</ns0:v>
      </ns0:c>
      <ns0:c r="AO458" s="78" t="n">
        <ns0:v>6.8</ns0:v>
      </ns0:c>
      <ns0:c r="AP458" s="87" t="n">
        <ns0:v>17.12</ns0:v>
      </ns0:c>
      <ns0:c r="AQ458" s="87" t="n">
        <ns0:v>52.16</ns0:v>
      </ns0:c>
      <ns0:c r="AR458" s="87" t="n">
        <ns0:v>21.17</ns0:v>
      </ns0:c>
      <ns0:c r="AS458" s="87" t="n">
        <ns0:v>3.41</ns0:v>
      </ns0:c>
      <ns0:c r="AT458" s="87" t="n">
        <ns0:v>34.35</ns0:v>
      </ns0:c>
      <ns0:c r="AU458" s="87" t="n">
        <ns0:v>6.98</ns0:v>
      </ns0:c>
      <ns0:c r="AV458" s="87" t="n">
        <ns0:v>18.81</ns0:v>
      </ns0:c>
      <ns0:c r="AW458" s="87" t="n">
        <ns0:v>52.53</ns0:v>
      </ns0:c>
      <ns0:c r="AX458" s="87" t="n">
        <ns0:v>26.15</ns0:v>
      </ns0:c>
      <ns0:c r="AY458" s="87" t="n">
        <ns0:v>32.63</ns0:v>
      </ns0:c>
      <ns0:c r="AZ458" s="87" t="n">
        <ns0:v>-0.37</ns0:v>
      </ns0:c>
      <ns0:c r="BA458" s="87" t="n">
        <ns0:v>1.72</ns0:v>
      </ns0:c>
      <ns0:c r="BB458" s="74" t="inlineStr">
        <ns0:is>
          <ns0:t>HSTECH (Hang Seng TECH ETF)</ns0:t>
        </ns0:is>
      </ns0:c>
      <ns0:c r="BC458" s="87" t="n">
        <ns0:v>19.01</ns0:v>
      </ns0:c>
      <ns0:c r="BD458" s="75" t="n">
        <ns0:v>46297</ns0:v>
      </ns0:c>
      <ns0:c r="BE458" s="76" t="n">
        <ns0:v>188580.6</ns0:v>
      </ns0:c>
      <ns0:c r="BF458" s="79" t="n">
        <ns0:v>4544.7</ns0:v>
      </ns0:c>
      <ns0:c r="BG458" s="74" t="inlineStr">
        <ns0:is>
          <ns0:t>Y</ns0:t>
        </ns0:is>
      </ns0:c>
      <ns0:c r="BH458" s="89" t="n">
        <ns0:v>18.4</ns0:v>
      </ns0:c>
      <ns0:c r="BI458" s="89" t="n">
        <ns0:v>19.2</ns0:v>
      </ns0:c>
      <ns0:c r="BJ458" s="89" t="n">
        <ns0:v>23.6</ns0:v>
      </ns0:c>
      <ns0:c r="BK458" s="89" t="n">
        <ns0:v>0.4</ns0:v>
      </ns0:c>
      <ns0:c r="BL458" s="90">
        <ns0:f>IFERROR(IF('BBG Verify'!S458="","Awaiting Bloomberg",'BBG Verify'!S458),"Awaiting Bloomberg")</ns0:f>
        <ns0:v/>
      </ns0:c>
      <ns0:c r="BM458" s="91" t="inlineStr">
        <ns0:is>
          <ns0:t>Y</ns0:t>
        </ns0:is>
      </ns0:c>
      <ns0:c r="BN458" s="74" t="inlineStr">
        <ns0:is>
          <ns0:t>603296.SS</ns0:t>
        </ns0:is>
      </ns0:c>
      <ns0:c r="BO458" s="87" t="n">
        <ns0:v>55.23</ns0:v>
      </ns0:c>
      <ns0:c r="BP458" s="77" t="n">
        <ns0:v>120.6149</ns0:v>
      </ns0:c>
      <ns0:c r="BQ458" s="101" t="n">
        <ns0:v>0.3198</ns0:v>
      </ns0:c>
      <ns0:c r="BR458" s="79" t="n">
        <ns0:v>132183.7</ns0:v>
      </ns0:c>
      <ns0:c r="BS458" s="90">
        <ns0:f>IFERROR(IF('BBG Verify'!Q458="","Awaiting Bloomberg",'BBG Verify'!Q458),"Awaiting Bloomberg")</ns0:f>
        <ns0:v/>
      </ns0:c>
      <ns0:c r="BT458" s="90">
        <ns0:f>IFERROR(IF('BBG Verify'!R458="","Awaiting Bloomberg",'BBG Verify'!R458),"Awaiting Bloomberg")</ns0:f>
        <ns0:v/>
      </ns0:c>
      <ns0:c r="BU458" s="91" t="inlineStr">
        <ns0:is>
          <ns0:t>CICC; BofA Securities</ns0:t>
        </ns0:is>
      </ns0:c>
      <ns0:c r="BV458" s="74" t="inlineStr">
        <ns0:is>
          <ns0:t>China International Capital Corporation Hong Kong Securities Limited; Merrill Lynch (Asia Pacific) Limited</ns0:t>
        </ns0:is>
      </ns0:c>
      <ns0:c r="BW458" s="74" t="inlineStr">
        <ns0:is>
          <ns0:t>ABCI Capital Limited; Tiger Brokers (HK) Global Limited</ns0:t>
        </ns0:is>
      </ns0:c>
      <ns0:c r="BX458" s="74" t="inlineStr">
        <ns0:is>
          <ns0:t>ABCI Securities Company Limited; China International Capital Corporation Hong Kong Securities Limited; CLSA Limited; Futu Securities International (Hong Kong) Limited; Goldman Sachs (Asia) L.L.C.; Merrill Lynch (Asia Pacific) Limited; Tiger Brokers (HK) Global Limited</ns0:t>
        </ns0:is>
      </ns0:c>
      <ns0:c r="BY458" s="93">
        <ns0:f>HYPERLINK("https://www1.hkexnews.hk/listedco/listconews/sehk/2026/0415/2026041500011.pdf","prospectus")</ns0:f>
        <ns0:v/>
      </ns0:c>
      <ns0:c r="BZ458" s="93">
        <ns0:f>HYPERLINK("https://www1.hkexnews.hk/listedco/listconews/sehk/2026/0422/2026042202072.pdf","allotment")</ns0:f>
        <ns0:v/>
      </ns0:c>
      <ns0:c r="CA458" s="93">
        <ns0:f>HYPERLINK("https://www1.hkexnews.hk/listedco/listconews/sehk/2026/0520/2026052001304.pdf","stabilisation")</ns0:f>
        <ns0:v/>
      </ns0:c>
      <ns0:c r="CB458" s="94" t="n"/>
      <ns0:c r="CC458" s="74" t="inlineStr">
        <ns0:is>
          <ns0:t>range low: maximum offer price only, no floor published; A/H: Apr 2026 H listing (smart-hardware ODM)</ns0:t>
        </ns0:is>
      </ns0:c>
    </ns0:row>
    <ns0:row r="459" ht="22" customHeight="1">
      <ns0:c r="A459" s="73" t="inlineStr">
        <ns0:is>
          <ns0:t>2493</ns0:t>
        </ns0:is>
      </ns0:c>
      <ns0:c r="B459" s="74" t="inlineStr">
        <ns0:is>
          <ns0:t>MABWELL-B</ns0:t>
        </ns0:is>
      </ns0:c>
      <ns0:c r="C459" s="74" t="inlineStr">
        <ns0:is>
          <ns0:t>邁威生物－Ｂ</ns0:t>
        </ns0:is>
      </ns0:c>
      <ns0:c r="D459" s="74" t="inlineStr">
        <ns0:is>
          <ns0:t>Healthcare</ns0:t>
        </ns0:is>
      </ns0:c>
      <ns0:c r="E459" s="74" t="inlineStr">
        <ns0:is>
          <ns0:t>Biotech pre-revenue (18A)</ns0:t>
        </ns0:is>
      </ns0:c>
      <ns0:c r="F459" s="74" t="inlineStr">
        <ns0:is>
          <ns0:t>Biotechnology - Pharmaceuticals</ns0:t>
        </ns0:is>
      </ns0:c>
      <ns0:c r="G459" s="74" t="inlineStr">
        <ns0:is>
          <ns0:t>18A</ns0:t>
        </ns0:is>
      </ns0:c>
      <ns0:c r="H459" s="75" t="n">
        <ns0:v>46140</ns0:v>
      </ns0:c>
      <ns0:c r="I459" s="76" t="n">
        <ns0:v>1302.7</ns0:v>
      </ns0:c>
      <ns0:c r="J459" s="74" t="inlineStr">
        <ns0:is>
          <ns0:t>gross (price x shares)</ns0:t>
        </ns0:is>
      </ns0:c>
      <ns0:c r="K459" s="77" t="n">
        <ns0:v>27.64</ns0:v>
      </ns0:c>
      <ns0:c r="L459" s="77" t="n">
        <ns0:v>30.71</ns0:v>
      </ns0:c>
      <ns0:c r="M459" s="77" t="n">
        <ns0:v>27.64</ns0:v>
      </ns0:c>
      <ns0:c r="N459" s="74" t="inlineStr">
        <ns0:is>
          <ns0:t>N</ns0:t>
        </ns0:is>
      </ns0:c>
      <ns0:c r="O459" s="78" t="n">
        <ns0:v>90</ns0:v>
      </ns0:c>
      <ns0:c r="P459" s="78" t="n">
        <ns0:v>0</ns0:v>
      </ns0:c>
      <ns0:c r="Q459" s="79" t="n">
        <ns0:v>12347.6</ns0:v>
      </ns0:c>
      <ns0:c r="R459" s="74" t="inlineStr">
        <ns0:is>
          <ns0:t>derived:price x shares upon listing</ns0:t>
        </ns0:is>
      </ns0:c>
      <ns0:c r="S459" s="80" t="n">
        <ns0:v>481.71</ns0:v>
      </ns0:c>
      <ns0:c r="T459" s="81" t="n">
        <ns0:v>3.46</ns0:v>
      </ns0:c>
      <ns0:c r="U459" s="82" t="n">
        <ns0:v>31.87</ns0:v>
      </ns0:c>
      <ns0:c r="V459" s="83" t="n">
        <ns0:v>82</ns0:v>
      </ns0:c>
      <ns0:c r="W459" s="78" t="n">
        <ns0:v>10</ns0:v>
      </ns0:c>
      <ns0:c r="X459" s="74" t="inlineStr">
        <ns0:is>
          <ns0:t>NO</ns0:t>
        </ns0:is>
      </ns0:c>
      <ns0:c r="Y459" s="79" t="n">
        <ns0:v>887.53</ns0:v>
      </ns0:c>
      <ns0:c r="Z459" s="79" t="n">
        <ns0:v>32109805</ns0:v>
      </ns0:c>
      <ns0:c r="AA459" s="78" t="n">
        <ns0:v>7.19</ns0:v>
      </ns0:c>
      <ns0:c r="AB459" s="74" t="inlineStr">
        <ns0:is>
          <ns0:t>Junshi Hong Kong Limited; Sanjin International CO., LTD; Guohui (HK) Holdings Co., Limited 控股有限公司; CHIL; WuXi Biologics HealthCare Venture; Splendid Zhonghe (Tianjin) Investment Management Co., Ltd. 投資管理有限公 司</ns0:t>
        </ns0:is>
      </ns0:c>
      <ns0:c r="AC459" s="74" t="inlineStr">
        <ns0:is>
          <ns0:t>junshi;sanjin;guohui;chil;wuxi;splendid</ns0:t>
        </ns0:is>
      </ns0:c>
      <ns0:c r="AD459" s="84" t="n"/>
      <ns0:c r="AE459" s="85" t="n"/>
      <ns0:c r="AF459" s="85" t="n"/>
      <ns0:c r="AG459" s="85" t="n"/>
      <ns0:c r="AH459" s="85" t="n"/>
      <ns0:c r="AI459" s="86" t="n">
        <ns0:v>3.11</ns0:v>
      </ns0:c>
      <ns0:c r="AJ459" s="87" t="n">
        <ns0:v>0.58</ns0:v>
      </ns0:c>
      <ns0:c r="AK459" s="87" t="n">
        <ns0:v>0.78</ns0:v>
      </ns0:c>
      <ns0:c r="AL459" s="87" t="n">
        <ns0:v>2.39</ns0:v>
      </ns0:c>
      <ns0:c r="AM459" s="87" t="n">
        <ns0:v>-1.77</ns0:v>
      </ns0:c>
      <ns0:c r="AN459" s="89" t="n">
        <ns0:v>3.18</ns0:v>
      </ns0:c>
      <ns0:c r="AO459" s="78" t="n">
        <ns0:v>12.23</ns0:v>
      </ns0:c>
      <ns0:c r="AP459" s="87" t="n">
        <ns0:v>-2.03</ns0:v>
      </ns0:c>
      <ns0:c r="AQ459" s="87" t="n">
        <ns0:v>-17.58</ns0:v>
      </ns0:c>
      <ns0:c r="AR459" s="87" t="n">
        <ns0:v>-24.17</ns0:v>
      </ns0:c>
      <ns0:c r="AS459" s="87" t="n">
        <ns0:v>-2.59</ns0:v>
      </ns0:c>
      <ns0:c r="AT459" s="87" t="n">
        <ns0:v>-18.06</ns0:v>
      </ns0:c>
      <ns0:c r="AU459" s="87" t="n">
        <ns0:v>-24.61</ns0:v>
      </ns0:c>
      <ns0:c r="AV459" s="87" t="n">
        <ns0:v>-2.78</ns0:v>
      </ns0:c>
      <ns0:c r="AW459" s="87" t="n">
        <ns0:v>-11.23</ns0:v>
      </ns0:c>
      <ns0:c r="AX459" s="87" t="n">
        <ns0:v>-23.18</ns0:v>
      </ns0:c>
      <ns0:c r="AY459" s="87" t="n">
        <ns0:v>-10.98</ns0:v>
      </ns0:c>
      <ns0:c r="AZ459" s="87" t="n">
        <ns0:v>-6.35</ns0:v>
      </ns0:c>
      <ns0:c r="BA459" s="87" t="n">
        <ns0:v>-7.08</ns0:v>
      </ns0:c>
      <ns0:c r="BB459" s="74" t="inlineStr">
        <ns0:is>
          <ns0:t>China Biotech ETF (HS biotech proxy)</ns0:t>
        </ns0:is>
      </ns0:c>
      <ns0:c r="BC459" s="87" t="n">
        <ns0:v>-24.46</ns0:v>
      </ns0:c>
      <ns0:c r="BD459" s="75" t="n">
        <ns0:v>46297</ns0:v>
      </ns0:c>
      <ns0:c r="BE459" s="76" t="n">
        <ns0:v>724.6</ns0:v>
      </ns0:c>
      <ns0:c r="BF459" s="79" t="n">
        <ns0:v>-1069.5</ns0:v>
      </ns0:c>
      <ns0:c r="BG459" s="74" t="inlineStr">
        <ns0:is>
          <ns0:t>N</ns0:t>
        </ns0:is>
      </ns0:c>
      <ns0:c r="BH459" s="74" t="inlineStr">
        <ns0:is>
          <ns0:t>n/m</ns0:t>
        </ns0:is>
      </ns0:c>
      <ns0:c r="BI459" s="88" t="n"/>
      <ns0:c r="BJ459" s="88" t="n"/>
      <ns0:c r="BK459" s="89" t="n">
        <ns0:v>17</ns0:v>
      </ns0:c>
      <ns0:c r="BL459" s="90">
        <ns0:f>IFERROR(IF('BBG Verify'!S459="","Awaiting Bloomberg",'BBG Verify'!S459),"Awaiting Bloomberg")</ns0:f>
        <ns0:v/>
      </ns0:c>
      <ns0:c r="BM459" s="91" t="inlineStr">
        <ns0:is>
          <ns0:t>Y</ns0:t>
        </ns0:is>
      </ns0:c>
      <ns0:c r="BN459" s="74" t="inlineStr">
        <ns0:is>
          <ns0:t>688062.SS</ns0:t>
        </ns0:is>
      </ns0:c>
      <ns0:c r="BO459" s="87" t="n">
        <ns0:v>53.53</ns0:v>
      </ns0:c>
      <ns0:c r="BP459" s="77" t="n">
        <ns0:v>42.4365</ns0:v>
      </ns0:c>
      <ns0:c r="BQ459" s="101" t="n">
        <ns0:v>0.5154</ns0:v>
      </ns0:c>
      <ns0:c r="BR459" s="79" t="n">
        <ns0:v>14142.1</ns0:v>
      </ns0:c>
      <ns0:c r="BS459" s="90">
        <ns0:f>IFERROR(IF('BBG Verify'!Q459="","Awaiting Bloomberg",'BBG Verify'!Q459),"Awaiting Bloomberg")</ns0:f>
        <ns0:v/>
      </ns0:c>
      <ns0:c r="BT459" s="90">
        <ns0:f>IFERROR(IF('BBG Verify'!R459="","Awaiting Bloomberg",'BBG Verify'!R459),"Awaiting Bloomberg")</ns0:f>
        <ns0:v/>
      </ns0:c>
      <ns0:c r="BU459" s="91" t="inlineStr">
        <ns0:is>
          <ns0:t>CITIC Securities (Hong Kong) Limited; Haitong International Capital Limited</ns0:t>
        </ns0:is>
      </ns0:c>
      <ns0:c r="BV459" s="74" t="inlineStr">
        <ns0:is>
          <ns0:t>Haitong International Capital Limited; CITIC Securities (Hong Kong) Limited</ns0:t>
        </ns0:is>
      </ns0:c>
      <ns0:c r="BW459" s="74" t="inlineStr">
        <ns0:is>
          <ns0:t>CLSA Limited; Haitong International Securities Company Limited; CMB International Capital Limited; ABCI Capital Limited</ns0:t>
        </ns0:is>
      </ns0:c>
      <ns0:c r="BX459" s="74" t="inlineStr">
        <ns0:is>
          <ns0: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ns0:t>
        </ns0:is>
      </ns0:c>
      <ns0:c r="BY459" s="93">
        <ns0:f>HYPERLINK("https://www1.hkexnews.hk/listedco/listconews/sehk/2026/0420/2026042000011.pdf","prospectus")</ns0:f>
        <ns0:v/>
      </ns0:c>
      <ns0:c r="BZ459" s="93">
        <ns0:f>HYPERLINK("https://www1.hkexnews.hk/listedco/listconews/sehk/2026/0427/2026042703128.pdf","allotment")</ns0:f>
        <ns0:v/>
      </ns0:c>
      <ns0:c r="CA459" s="85" t="n"/>
      <ns0:c r="CB459" s="94" t="n"/>
      <ns0:c r="CC459" s="74" t="inlineStr">
        <ns0:is>
          <ns0:t>P/E: loss-making at IPO, use P/S; greenshoe: no over-allotment option; A/H: Apr 2026 H listing (ADC biotech); A+H on STAR; greenshoe size: no over-allotment option; stabilising manager: no over-allotment option, so none appointed</ns0:t>
        </ns0:is>
      </ns0:c>
    </ns0:row>
    <ns0:row r="460" ht="22" customHeight="1">
      <ns0:c r="A460" s="73" t="inlineStr">
        <ns0:is>
          <ns0:t>1879</ns0:t>
        </ns0:is>
      </ns0:c>
      <ns0:c r="B460" s="74" t="inlineStr">
        <ns0:is>
          <ns0:t>XIZHI TECH-P</ns0:t>
        </ns0:is>
      </ns0:c>
      <ns0:c r="C460" s="74" t="inlineStr">
        <ns0:is>
          <ns0:t>曦智科技－Ｐ</ns0:t>
        </ns0:is>
      </ns0:c>
      <ns0:c r="D460" s="74" t="inlineStr">
        <ns0:is>
          <ns0:t>Technology</ns0:t>
        </ns0:is>
      </ns0:c>
      <ns0:c r="E460" s="74" t="inlineStr">
        <ns0:is>
          <ns0:t>Software &amp; AI</ns0:t>
        </ns0:is>
      </ns0:c>
      <ns0:c r="F460" s="74" t="inlineStr">
        <ns0:is>
          <ns0:t>Advanced hardware and software</ns0:t>
        </ns0:is>
      </ns0:c>
      <ns0:c r="G460" s="74" t="inlineStr">
        <ns0:is>
          <ns0:t>18C</ns0:t>
        </ns0:is>
      </ns0:c>
      <ns0:c r="H460" s="75" t="n">
        <ns0:v>46140</ns0:v>
      </ns0:c>
      <ns0:c r="I460" s="76" t="n">
        <ns0:v>2527.3</ns0:v>
      </ns0:c>
      <ns0:c r="J460" s="74" t="inlineStr">
        <ns0:is>
          <ns0:t>gross (stated)</ns0:t>
        </ns0:is>
      </ns0:c>
      <ns0:c r="K460" s="77" t="n">
        <ns0:v>166.6</ns0:v>
      </ns0:c>
      <ns0:c r="L460" s="77" t="n">
        <ns0:v>183.2</ns0:v>
      </ns0:c>
      <ns0:c r="M460" s="77" t="n">
        <ns0:v>183.2</ns0:v>
      </ns0:c>
      <ns0:c r="N460" s="74" t="inlineStr">
        <ns0:is>
          <ns0:t>Y</ns0:t>
        </ns0:is>
      </ns0:c>
      <ns0:c r="O460" s="78" t="n">
        <ns0:v>100</ns0:v>
      </ns0:c>
      <ns0:c r="P460" s="78" t="n">
        <ns0:v>100</ns0:v>
      </ns0:c>
      <ns0:c r="Q460" s="79" t="n">
        <ns0:v>14981</ns0:v>
      </ns0:c>
      <ns0:c r="R460" s="74" t="inlineStr">
        <ns0:is>
          <ns0:t>derived:deal size / offer % of enlarged capital</ns0:t>
        </ns0:is>
      </ns0:c>
      <ns0:c r="S460" s="80" t="n">
        <ns0:v>5784.7</ns0:v>
      </ns0:c>
      <ns0:c r="T460" s="81" t="n">
        <ns0:v>53.83</ns0:v>
      </ns0:c>
      <ns0:c r="U460" s="82" t="n">
        <ns0:v>65.06</ns0:v>
      </ns0:c>
      <ns0:c r="V460" s="83" t="n">
        <ns0:v>327</ns0:v>
      </ns0:c>
      <ns0:c r="W460" s="78" t="n">
        <ns0:v>20</ns0:v>
      </ns0:c>
      <ns0:c r="X460" s="74" t="inlineStr">
        <ns0:is>
          <ns0:t>YES</ns0:t>
        </ns0:is>
      </ns0:c>
      <ns0:c r="Y460" s="79" t="n">
        <ns0:v>883.04</ns0:v>
      </ns0:c>
      <ns0:c r="Z460" s="79" t="n">
        <ns0:v>4820048</ns0:v>
      </ns0:c>
      <ns0:c r="AA460" s="78" t="n">
        <ns0:v>5.89</ns0:v>
      </ns0:c>
      <ns0:c r="AB460" s="74" t="inlineStr">
        <ns0:is>
          <ns0:t>Alibaba Investment; Baillie Gifford; BlackRock; Fidelity International; Schroders; Temasek; CM Shanghai Fund; HHLRA FUNDS; UBS AM; 3W Fund; Aspex; CPE Fir; Greenwoods Yes — Shanghai Greenwoods and CICC FT (in connection with Greenwoods OTC Swaps) GF Fund; Lenovo; Mirae Asset Securities Co., Ltd; ZTE (H.K.) LIMITED; ICBC Wealth; Ping An AM</ns0:t>
        </ns0:is>
      </ns0:c>
      <ns0:c r="AC460" s="74" t="inlineStr">
        <ns0:is>
          <ns0:t>alibaba;baillie;blackrock;fidelity;schroders;temasek;cm;hhlra;ubs;3w;aspex;cpe;greenwoods;lenovo;mirae;zte;icbc;ping</ns0:t>
        </ns0:is>
      </ns0:c>
      <ns0:c r="AD460" s="78" t="n">
        <ns0:v>15</ns0:v>
      </ns0:c>
      <ns0:c r="AE460" s="74" t="inlineStr">
        <ns0:is>
          <ns0:t>full</ns0:t>
        </ns0:is>
      </ns0:c>
      <ns0:c r="AF460" s="74" t="inlineStr">
        <ns0:is>
          <ns0:t>2026-05-23</ns0:t>
        </ns0:is>
      </ns0:c>
      <ns0:c r="AG460" s="74" t="inlineStr">
        <ns0:is>
          <ns0:t>China International Capital Corporation Hong Kong Securities Limited</ns0:t>
        </ns0:is>
      </ns0:c>
      <ns0:c r="AH460" s="74" t="inlineStr">
        <ns0:is>
          <ns0:t>China International</ns0:t>
        </ns0:is>
      </ns0:c>
      <ns0:c r="AI460" s="86" t="n">
        <ns0:v>350.87</ns0:v>
      </ns0:c>
      <ns0:c r="AJ460" s="87" t="n">
        <ns0:v>383.62</ns0:v>
      </ns0:c>
      <ns0:c r="AK460" s="87" t="n">
        <ns0:v>-2.15</ns0:v>
      </ns0:c>
      <ns0:c r="AL460" s="87" t="n">
        <ns0:v>380.35</ns0:v>
      </ns0:c>
      <ns0:c r="AM460" s="87" t="n">
        <ns0:v>0.68</ns0:v>
      </ns0:c>
      <ns0:c r="AN460" s="89" t="n">
        <ns0:v>3.36</ns0:v>
      </ns0:c>
      <ns0:c r="AO460" s="78" t="n">
        <ns0:v>21.48</ns0:v>
      </ns0:c>
      <ns0:c r="AP460" s="87" t="n">
        <ns0:v>384.99</ns0:v>
      </ns0:c>
      <ns0:c r="AQ460" s="87" t="n">
        <ns0:v>236.24</ns0:v>
      </ns0:c>
      <ns0:c r="AR460" s="87" t="n">
        <ns0:v>27.29</ns0:v>
      </ns0:c>
      <ns0:c r="AS460" s="87" t="n">
        <ns0:v>0.28</ns0:v>
      </ns0:c>
      <ns0:c r="AT460" s="87" t="n">
        <ns0:v>-30.47</ns0:v>
      </ns0:c>
      <ns0:c r="AU460" s="87" t="n">
        <ns0:v>-73.68000000000001</ns0:v>
      </ns0:c>
      <ns0:c r="AV460" s="87" t="n">
        <ns0:v>384.16</ns0:v>
      </ns0:c>
      <ns0:c r="AW460" s="87" t="n">
        <ns0:v>237.19</ns0:v>
      </ns0:c>
      <ns0:c r="AX460" s="87" t="n">
        <ns0:v>29.61</ns0:v>
      </ns0:c>
      <ns0:c r="AY460" s="87" t="n">
        <ns0:v>-31.7</ns0:v>
      </ns0:c>
      <ns0:c r="AZ460" s="87" t="n">
        <ns0:v>-0.95</ns0:v>
      </ns0:c>
      <ns0:c r="BA460" s="87" t="n">
        <ns0:v>1.23</ns0:v>
      </ns0:c>
      <ns0:c r="BB460" s="74" t="inlineStr">
        <ns0:is>
          <ns0:t>HSTECH (Hang Seng TECH ETF)</ns0:t>
        </ns0:is>
      </ns0:c>
      <ns0:c r="BC460" s="87" t="n">
        <ns0:v>52.84</ns0:v>
      </ns0:c>
      <ns0:c r="BD460" s="75" t="n">
        <ns0:v>46297</ns0:v>
      </ns0:c>
      <ns0:c r="BE460" s="76" t="n">
        <ns0:v>117</ns0:v>
      </ns0:c>
      <ns0:c r="BF460" s="79" t="n">
        <ns0:v>-808.8</ns0:v>
      </ns0:c>
      <ns0:c r="BG460" s="74" t="inlineStr">
        <ns0:is>
          <ns0:t>N</ns0:t>
        </ns0:is>
      </ns0:c>
      <ns0:c r="BH460" s="74" t="inlineStr">
        <ns0:is>
          <ns0:t>n/m</ns0:t>
        </ns0:is>
      </ns0:c>
      <ns0:c r="BI460" s="88" t="n"/>
      <ns0:c r="BJ460" s="88" t="n"/>
      <ns0:c r="BK460" s="89" t="n">
        <ns0:v>128</ns0:v>
      </ns0:c>
      <ns0:c r="BL460" s="90">
        <ns0:f>IFERROR(IF('BBG Verify'!S460="","Awaiting Bloomberg",'BBG Verify'!S460),"Awaiting Bloomberg")</ns0:f>
        <ns0:v/>
      </ns0:c>
      <ns0:c r="BM460" s="91" t="inlineStr">
        <ns0:is>
          <ns0:t>N</ns0:t>
        </ns0:is>
      </ns0:c>
      <ns0:c r="BN460" s="92">
        <ns0:f>IFERROR(IF('BBG Verify'!K460="","Awaiting Bloomberg",'BBG Verify'!K460),"Awaiting Bloomberg")</ns0:f>
        <ns0:v/>
      </ns0:c>
      <ns0:c r="BO460" s="74" t="inlineStr">
        <ns0:is>
          <ns0:t>N/A</ns0:t>
        </ns0:is>
      </ns0:c>
      <ns0:c r="BP460" s="74" t="inlineStr">
        <ns0:is>
          <ns0:t>N/A</ns0:t>
        </ns0:is>
      </ns0:c>
      <ns0:c r="BQ460" s="74" t="inlineStr">
        <ns0:is>
          <ns0:t>N/A</ns0:t>
        </ns0:is>
      </ns0:c>
      <ns0:c r="BR460" s="74" t="inlineStr">
        <ns0:is>
          <ns0:t>N/A</ns0:t>
        </ns0:is>
      </ns0:c>
      <ns0:c r="BS460" s="74" t="inlineStr">
        <ns0:is>
          <ns0:t>N/A</ns0:t>
        </ns0:is>
      </ns0:c>
      <ns0:c r="BT460" s="74" t="inlineStr">
        <ns0:is>
          <ns0:t>N/A</ns0:t>
        </ns0:is>
      </ns0:c>
      <ns0:c r="BU460" s="91" t="inlineStr">
        <ns0:is>
          <ns0:t>China International Capital Corporation Hong Kong Securities Limited; Haitong International Capital Limited</ns0:t>
        </ns0:is>
      </ns0:c>
      <ns0:c r="BV460" s="74" t="inlineStr">
        <ns0:is>
          <ns0:t>China International Capital Corporation Hong Kong Securities Limited; Haitong International Capital Limited</ns0:t>
        </ns0:is>
      </ns0:c>
      <ns0:c r="BW460" s="74" t="inlineStr">
        <ns0:is>
          <ns0:t>China International Capital Corporation Hong Kong Securities Limited; Haitong International Securities Company Limited; The Hongkong and Shanghai Banking Corporation Limited; Futu Securities International (Hong Kong) Limited; Shenwan Hongyuan Securities (H.K.) Limited</ns0:t>
        </ns0:is>
      </ns0:c>
      <ns0:c r="BX460" s="74" t="inlineStr">
        <ns0:is>
          <ns0:t>China International Capital Corporation Hong Kong Securities Limited; Futu Securities International (Hong Kong) Limited; Haitong International Securities Company Limited; The Hongkong and Shanghai Banking Corporation Limited; Shenwan Hongyuan Securities (H.K.) Limited</ns0:t>
        </ns0:is>
      </ns0:c>
      <ns0:c r="BY460" s="93">
        <ns0:f>HYPERLINK("https://www1.hkexnews.hk/listedco/listconews/sehk/2026/0420/2026042000021.pdf","prospectus")</ns0:f>
        <ns0:v/>
      </ns0:c>
      <ns0:c r="BZ460" s="93">
        <ns0:f>HYPERLINK("https://www1.hkexnews.hk/listedco/listconews/sehk/2026/0427/2026042703526.pdf","allotment")</ns0:f>
        <ns0:v/>
      </ns0:c>
      <ns0:c r="CA460" s="93">
        <ns0:f>HYPERLINK("https://www1.hkexnews.hk/listedco/listconews/sehk/2026/0525/2026052500077.pdf","stabilisation")</ns0:f>
        <ns0:v/>
      </ns0:c>
      <ns0:c r="CB460" s="94" t="n"/>
      <ns0:c r="CC460" s="74" t="inlineStr">
        <ns0:is>
          <ns0:t>P/E: loss-making at IPO, use P/S; market cap: prospectus 'market capitalisation' line is the listing-rule threshold, not the issuer's figure; rejected</ns0:t>
        </ns0:is>
      </ns0:c>
    </ns0:row>
    <ns0:row r="461" ht="22" customHeight="1">
      <ns0:c r="A461" s="73" t="inlineStr">
        <ns0:is>
          <ns0:t>6810</ns0:t>
        </ns0:is>
      </ns0:c>
      <ns0:c r="B461" s="74" t="inlineStr">
        <ns0:is>
          <ns0:t>SUNMI TECH-W</ns0:t>
        </ns0:is>
      </ns0:c>
      <ns0:c r="C461" s="74" t="inlineStr">
        <ns0:is>
          <ns0:t>商米科技－Ｗ</ns0:t>
        </ns0:is>
      </ns0:c>
      <ns0:c r="D461" s="74" t="inlineStr">
        <ns0:is>
          <ns0:t>Technology</ns0:t>
        </ns0:is>
      </ns0:c>
      <ns0:c r="E461" s="74" t="inlineStr">
        <ns0:is>
          <ns0:t>Hardware &amp; electronics</ns0:t>
        </ns0:is>
      </ns0:c>
      <ns0:c r="F461" s="74" t="inlineStr">
        <ns0:is>
          <ns0:t>Computer Storage &amp; Peripherals</ns0:t>
        </ns0:is>
      </ns0:c>
      <ns0:c r="G461" s="74" t="inlineStr">
        <ns0:is>
          <ns0:t>WVR</ns0:t>
        </ns0:is>
      </ns0:c>
      <ns0:c r="H461" s="75" t="n">
        <ns0:v>46141</ns0:v>
      </ns0:c>
      <ns0:c r="I461" s="76" t="n">
        <ns0:v>1059.7</ns0:v>
      </ns0:c>
      <ns0:c r="J461" s="74" t="inlineStr">
        <ns0:is>
          <ns0:t>gross (stated)</ns0:t>
        </ns0:is>
      </ns0:c>
      <ns0:c r="K461" s="95" t="n"/>
      <ns0:c r="L461" s="77" t="n">
        <ns0:v>24.86</ns0:v>
      </ns0:c>
      <ns0:c r="M461" s="77" t="n">
        <ns0:v>24.86</ns0:v>
      </ns0:c>
      <ns0:c r="N461" s="74" t="inlineStr">
        <ns0:is>
          <ns0:t>Y</ns0:t>
        </ns0:is>
      </ns0:c>
      <ns0:c r="O461" s="78" t="n">
        <ns0:v>100</ns0:v>
      </ns0:c>
      <ns0:c r="P461" s="84" t="n"/>
      <ns0:c r="Q461" s="79" t="n">
        <ns0:v>10009.3</ns0:v>
      </ns0:c>
      <ns0:c r="R461" s="74" t="inlineStr">
        <ns0:is>
          <ns0:t>derived:price x shares upon listing</ns0:t>
        </ns0:is>
      </ns0:c>
      <ns0:c r="S461" s="80" t="n">
        <ns0:v>2003.16</ns0:v>
      </ns0:c>
      <ns0:c r="T461" s="81" t="n">
        <ns0:v>7.91</ns0:v>
      </ns0:c>
      <ns0:c r="U461" s="82" t="n">
        <ns0:v>27.03</ns0:v>
      </ns0:c>
      <ns0:c r="V461" s="83" t="n">
        <ns0:v>181</ns0:v>
      </ns0:c>
      <ns0:c r="W461" s="78" t="n">
        <ns0:v>10</ns0:v>
      </ns0:c>
      <ns0:c r="X461" s="74" t="inlineStr">
        <ns0:is>
          <ns0:t>NA</ns0:t>
        </ns0:is>
      </ns0:c>
      <ns0:c r="Y461" s="79" t="n">
        <ns0:v>773.26</ns0:v>
      </ns0:c>
      <ns0:c r="Z461" s="79" t="n">
        <ns0:v>31104776</ns0:v>
      </ns0:c>
      <ns0:c r="AA461" s="78" t="n">
        <ns0:v>7.73</ns0:v>
      </ns0:c>
      <ns0:c r="AB461" s="74" t="inlineStr">
        <ns0:is>
          <ns0:t>China Orient Enhanced Income Fund; XINWUTANG CO., LIMITED</ns0:t>
        </ns0:is>
      </ns0:c>
      <ns0:c r="AC461" s="74" t="inlineStr">
        <ns0:is>
          <ns0:t>orient;xinwutang</ns0:t>
        </ns0:is>
      </ns0:c>
      <ns0:c r="AD461" s="78" t="n">
        <ns0:v>15</ns0:v>
      </ns0:c>
      <ns0:c r="AE461" s="85" t="n"/>
      <ns0:c r="AF461" s="85" t="n"/>
      <ns0:c r="AG461" s="85" t="n"/>
      <ns0:c r="AH461" s="85" t="n"/>
      <ns0:c r="AI461" s="86" t="n">
        <ns0:v>282.14</ns0:v>
      </ns0:c>
      <ns0:c r="AJ461" s="87" t="n">
        <ns0:v>241.11</ns0:v>
      </ns0:c>
      <ns0:c r="AK461" s="87" t="n">
        <ns0:v>1.78</ns0:v>
      </ns0:c>
      <ns0:c r="AL461" s="87" t="n">
        <ns0:v>292.2</ns0:v>
      </ns0:c>
      <ns0:c r="AM461" s="87" t="n">
        <ns0:v>-13.03</ns0:v>
      </ns0:c>
      <ns0:c r="AN461" s="89" t="n">
        <ns0:v>2.76</ns0:v>
      </ns0:c>
      <ns0:c r="AO461" s="78" t="n">
        <ns0:v>19.64</ns0:v>
      </ns0:c>
      <ns0:c r="AP461" s="87" t="n">
        <ns0:v>216.57</ns0:v>
      </ns0:c>
      <ns0:c r="AQ461" s="87" t="n">
        <ns0:v>201.49</ns0:v>
      </ns0:c>
      <ns0:c r="AR461" s="87" t="n">
        <ns0:v>136.73</ns0:v>
      </ns0:c>
      <ns0:c r="AS461" s="87" t="n">
        <ns0:v>-7.19</ns0:v>
      </ns0:c>
      <ns0:c r="AT461" s="87" t="n">
        <ns0:v>-11.62</ns0:v>
      </ns0:c>
      <ns0:c r="AU461" s="87" t="n">
        <ns0:v>-30.6</ns0:v>
      </ns0:c>
      <ns0:c r="AV461" s="87" t="n">
        <ns0:v>210.56</ns0:v>
      </ns0:c>
      <ns0:c r="AW461" s="87" t="n">
        <ns0:v>198.53</ns0:v>
      </ns0:c>
      <ns0:c r="AX461" s="87" t="n">
        <ns0:v>136.65</ns0:v>
      </ns0:c>
      <ns0:c r="AY461" s="87" t="n">
        <ns0:v>-12.78</ns0:v>
      </ns0:c>
      <ns0:c r="AZ461" s="87" t="n">
        <ns0:v>2.96</ns0:v>
      </ns0:c>
      <ns0:c r="BA461" s="87" t="n">
        <ns0:v>1.16</ns0:v>
      </ns0:c>
      <ns0:c r="BB461" s="74" t="inlineStr">
        <ns0:is>
          <ns0:t>HSTECH (Hang Seng TECH ETF)</ns0:t>
        </ns0:is>
      </ns0:c>
      <ns0:c r="BC461" s="87" t="n">
        <ns0:v>93.56</ns0:v>
      </ns0:c>
      <ns0:c r="BD461" s="75" t="n">
        <ns0:v>46297</ns0:v>
      </ns0:c>
      <ns0:c r="BE461" s="76" t="n">
        <ns0:v>4193</ns0:v>
      </ns0:c>
      <ns0:c r="BF461" s="79" t="n">
        <ns0:v>244.9</ns0:v>
      </ns0:c>
      <ns0:c r="BG461" s="74" t="inlineStr">
        <ns0:is>
          <ns0:t>Y</ns0:t>
        </ns0:is>
      </ns0:c>
      <ns0:c r="BH461" s="89" t="n">
        <ns0:v>40.9</ns0:v>
      </ns0:c>
      <ns0:c r="BI461" s="88" t="n"/>
      <ns0:c r="BJ461" s="88" t="n"/>
      <ns0:c r="BK461" s="89" t="n">
        <ns0:v>2.4</ns0:v>
      </ns0:c>
      <ns0:c r="BL461" s="90">
        <ns0:f>IFERROR(IF('BBG Verify'!S461="","Awaiting Bloomberg",'BBG Verify'!S461),"Awaiting Bloomberg")</ns0:f>
        <ns0:v/>
      </ns0:c>
      <ns0:c r="BM461" s="91" t="inlineStr">
        <ns0:is>
          <ns0:t>N</ns0:t>
        </ns0:is>
      </ns0:c>
      <ns0:c r="BN461" s="92">
        <ns0:f>IFERROR(IF('BBG Verify'!K461="","Awaiting Bloomberg",'BBG Verify'!K461),"Awaiting Bloomberg")</ns0:f>
        <ns0:v/>
      </ns0:c>
      <ns0:c r="BO461" s="74" t="inlineStr">
        <ns0:is>
          <ns0:t>N/A</ns0:t>
        </ns0:is>
      </ns0:c>
      <ns0:c r="BP461" s="74" t="inlineStr">
        <ns0:is>
          <ns0:t>N/A</ns0:t>
        </ns0:is>
      </ns0:c>
      <ns0:c r="BQ461" s="74" t="inlineStr">
        <ns0:is>
          <ns0:t>N/A</ns0:t>
        </ns0:is>
      </ns0:c>
      <ns0:c r="BR461" s="74" t="inlineStr">
        <ns0:is>
          <ns0:t>N/A</ns0:t>
        </ns0:is>
      </ns0:c>
      <ns0:c r="BS461" s="74" t="inlineStr">
        <ns0:is>
          <ns0:t>N/A</ns0:t>
        </ns0:is>
      </ns0:c>
      <ns0:c r="BT461" s="74" t="inlineStr">
        <ns0:is>
          <ns0:t>N/A</ns0:t>
        </ns0:is>
      </ns0:c>
      <ns0:c r="BU461" s="91" t="inlineStr">
        <ns0:is>
          <ns0:t>Deutsche Securities Asia Limited; CITIC Securities (Hong Kong) Limited; ABCI Capital Limited</ns0:t>
        </ns0:is>
      </ns0:c>
      <ns0:c r="BV461" s="74" t="inlineStr">
        <ns0:is>
          <ns0:t>CITIC Securities (Hong Kong) Limited; Deutsche Securities Asia Limited; ABCI Capital Limited</ns0:t>
        </ns0:is>
      </ns0:c>
      <ns0:c r="BW461" s="74" t="inlineStr">
        <ns0:is>
          <ns0:t>Deutsche Bank AG, Hong Kong Branch; CLSA Limited; ABCI Capital Limited; CMB International Capital Limited; Shenwan Hongyuan Securities (H.K.) Limited; Yue Xiu Securities Company Limited; Tiger Brokers (HK) Global Limited; Futu Securities International (Hong Kong) Limited; Tianda Securities Limited; Webull Securities Limited; Yuen Meta (International) Securities Limited; West Bull Securities Limited</ns0:t>
        </ns0:is>
      </ns0:c>
      <ns0:c r="BX461" s="74" t="inlineStr">
        <ns0:is>
          <ns0: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ns0:t>
        </ns0:is>
      </ns0:c>
      <ns0:c r="BY461" s="93">
        <ns0:f>HYPERLINK("https://www1.hkexnews.hk/listedco/listconews/sehk/2026/0421/2026042100017.pdf","prospectus")</ns0:f>
        <ns0:v/>
      </ns0:c>
      <ns0:c r="BZ461" s="93">
        <ns0:f>HYPERLINK("https://www1.hkexnews.hk/listedco/listconews/sehk/2026/0428/2026042804737.pdf","allotment")</ns0:f>
        <ns0:v/>
      </ns0:c>
      <ns0:c r="CA461" s="85" t="n"/>
      <ns0:c r="CB461" s="94" t="n"/>
      <ns0:c r="CC461" s="74" t="inlineStr">
        <ns0:is>
          <ns0:t>greenshoe: end-of-stabilisation notice not found; range low: maximum offer price only, no floor published; stabilising manager: filing states none appointed (allotment announcement: 'no stabilizing manager will be appointed' stated in the filing)</ns0:t>
        </ns0:is>
      </ns0:c>
    </ns0:row>
    <ns0:row r="462" ht="22" customHeight="1">
      <ns0:c r="A462" s="73" t="inlineStr">
        <ns0:is>
          <ns0:t>1609</ns0:t>
        </ns0:is>
      </ns0:c>
      <ns0:c r="B462" s="74" t="inlineStr">
        <ns0:is>
          <ns0:t>STAR SPORTS MED</ns0:t>
        </ns0:is>
      </ns0:c>
      <ns0:c r="C462" s="74" t="inlineStr">
        <ns0:is>
          <ns0:t>天星醫療</ns0:t>
        </ns0:is>
      </ns0:c>
      <ns0:c r="D462" s="74" t="inlineStr">
        <ns0:is>
          <ns0:t>Healthcare</ns0:t>
        </ns0:is>
      </ns0:c>
      <ns0:c r="E462" s="74" t="inlineStr">
        <ns0:is>
          <ns0:t>Medical devices</ns0:t>
        </ns0:is>
      </ns0:c>
      <ns0:c r="F462" s="74" t="inlineStr">
        <ns0:is>
          <ns0:t>Health Care Equipment</ns0:t>
        </ns0:is>
      </ns0:c>
      <ns0:c r="G462" s="74" t="inlineStr">
        <ns0:is>
          <ns0:t>Standard</ns0:t>
        </ns0:is>
      </ns0:c>
      <ns0:c r="H462" s="75" t="n">
        <ns0:v>46147</ns0:v>
      </ns0:c>
      <ns0:c r="I462" s="76" t="n">
        <ns0:v>829.6</ns0:v>
      </ns0:c>
      <ns0:c r="J462" s="74" t="inlineStr">
        <ns0:is>
          <ns0:t>gross (stated)</ns0:t>
        </ns0:is>
      </ns0:c>
      <ns0:c r="K462" s="95" t="n"/>
      <ns0:c r="L462" s="77" t="n">
        <ns0:v>98.5</ns0:v>
      </ns0:c>
      <ns0:c r="M462" s="77" t="n">
        <ns0:v>98.5</ns0:v>
      </ns0:c>
      <ns0:c r="N462" s="74" t="inlineStr">
        <ns0:is>
          <ns0:t>Y</ns0:t>
        </ns0:is>
      </ns0:c>
      <ns0:c r="O462" s="78" t="n">
        <ns0:v>100</ns0:v>
      </ns0:c>
      <ns0:c r="P462" s="84" t="n"/>
      <ns0:c r="Q462" s="79" t="n">
        <ns0:v>5400.9</ns0:v>
      </ns0:c>
      <ns0:c r="R462" s="74" t="inlineStr">
        <ns0:is>
          <ns0:t>derived:price x shares upon listing</ns0:t>
        </ns0:is>
      </ns0:c>
      <ns0:c r="S462" s="80" t="n">
        <ns0:v>7823.13</ns0:v>
      </ns0:c>
      <ns0:c r="T462" s="81" t="n">
        <ns0:v>10.41</ns0:v>
      </ns0:c>
      <ns0:c r="U462" s="82" t="n">
        <ns0:v>34.7</ns0:v>
      </ns0:c>
      <ns0:c r="V462" s="83" t="n">
        <ns0:v>71</ns0:v>
      </ns0:c>
      <ns0:c r="W462" s="78" t="n">
        <ns0:v>10</ns0:v>
      </ns0:c>
      <ns0:c r="X462" s="74" t="inlineStr">
        <ns0:is>
          <ns0:t>NA</ns0:t>
        </ns0:is>
      </ns0:c>
      <ns0:c r="Y462" s="79" t="n">
        <ns0:v>541.73</ns0:v>
      </ns0:c>
      <ns0:c r="Z462" s="79" t="n">
        <ns0:v>5499468</ns0:v>
      </ns0:c>
      <ns0:c r="AA462" s="78" t="n">
        <ns0:v>10.03</ns0:v>
      </ns0:c>
      <ns0:c r="AB462" s="74" t="inlineStr">
        <ns0:is>
          <ns0:t>JSC International Investment Fund SPC for and on behalf of JSC International Investment Fund SPC-Shenghai SP; OAP IV (HK) Limited ʮ̡ ); Greater Bay Area Development Fund Management Limited for and on behalf of the M a n a g e dA c c o u n to fM e g a Prime Development Limited; GBAD Fund Management for and on behalf of the Managed Account of Poly Platinum Enterprises Limited</ns0:t>
        </ns0:is>
      </ns0:c>
      <ns0:c r="AC462" s="74" t="inlineStr">
        <ns0:is>
          <ns0:t>jsc;oap;greater;gbad</ns0:t>
        </ns0:is>
      </ns0:c>
      <ns0:c r="AD462" s="84" t="n"/>
      <ns0:c r="AE462" s="85" t="n"/>
      <ns0:c r="AF462" s="85" t="n"/>
      <ns0:c r="AG462" s="85" t="n"/>
      <ns0:c r="AH462" s="85" t="n"/>
      <ns0:c r="AI462" s="86" t="n">
        <ns0:v>213.91</ns0:v>
      </ns0:c>
      <ns0:c r="AJ462" s="87" t="n">
        <ns0:v>118.27</ns0:v>
      </ns0:c>
      <ns0:c r="AK462" s="87" t="n">
        <ns0:v>-0.52</ns0:v>
      </ns0:c>
      <ns0:c r="AL462" s="87" t="n">
        <ns0:v>192.39</ns0:v>
      </ns0:c>
      <ns0:c r="AM462" s="87" t="n">
        <ns0:v>-25.35</ns0:v>
      </ns0:c>
      <ns0:c r="AN462" s="89" t="n">
        <ns0:v>3.85</ns0:v>
      </ns0:c>
      <ns0:c r="AO462" s="78" t="n">
        <ns0:v>33.68</ns0:v>
      </ns0:c>
      <ns0:c r="AP462" s="87" t="n">
        <ns0:v>102.44</ns0:v>
      </ns0:c>
      <ns0:c r="AQ462" s="87" t="n">
        <ns0:v>94.31</ns0:v>
      </ns0:c>
      <ns0:c r="AR462" s="87" t="n">
        <ns0:v>26.4</ns0:v>
      </ns0:c>
      <ns0:c r="AS462" s="87" t="n">
        <ns0:v>-7.25</ns0:v>
      </ns0:c>
      <ns0:c r="AT462" s="87" t="n">
        <ns0:v>-10.98</ns0:v>
      </ns0:c>
      <ns0:c r="AU462" s="87" t="n">
        <ns0:v>-42.09</ns0:v>
      </ns0:c>
      <ns0:c r="AV462" s="87" t="n">
        <ns0:v>102.24</ns0:v>
      </ns0:c>
      <ns0:c r="AW462" s="87" t="n">
        <ns0:v>108.17</ns0:v>
      </ns0:c>
      <ns0:c r="AX462" s="87" t="n">
        <ns0:v>25.77</ns0:v>
      </ns0:c>
      <ns0:c r="AY462" s="87" t="n">
        <ns0:v>2.43</ns0:v>
      </ns0:c>
      <ns0:c r="AZ462" s="87" t="n">
        <ns0:v>-13.86</ns0:v>
      </ns0:c>
      <ns0:c r="BA462" s="87" t="n">
        <ns0:v>-13.41</ns0:v>
      </ns0:c>
      <ns0:c r="BB462" s="74" t="inlineStr">
        <ns0:is>
          <ns0:t>China Biotech ETF (HS biotech proxy)</ns0:t>
        </ns0:is>
      </ns0:c>
      <ns0:c r="BC462" s="87" t="n">
        <ns0:v>-18.98</ns0:v>
      </ns0:c>
      <ns0:c r="BD462" s="75" t="n">
        <ns0:v>46297</ns0:v>
      </ns0:c>
      <ns0:c r="BE462" s="76" t="n">
        <ns0:v>443</ns0:v>
      </ns0:c>
      <ns0:c r="BF462" s="79" t="n">
        <ns0:v>150.7</ns0:v>
      </ns0:c>
      <ns0:c r="BG462" s="74" t="inlineStr">
        <ns0:is>
          <ns0:t>Y</ns0:t>
        </ns0:is>
      </ns0:c>
      <ns0:c r="BH462" s="89" t="n">
        <ns0:v>35.8</ns0:v>
      </ns0:c>
      <ns0:c r="BI462" s="88" t="n"/>
      <ns0:c r="BJ462" s="88" t="n"/>
      <ns0:c r="BK462" s="89" t="n">
        <ns0:v>12.2</ns0:v>
      </ns0:c>
      <ns0:c r="BL462" s="90">
        <ns0:f>IFERROR(IF('BBG Verify'!S462="","Awaiting Bloomberg",'BBG Verify'!S462),"Awaiting Bloomberg")</ns0:f>
        <ns0:v/>
      </ns0:c>
      <ns0:c r="BM462" s="91" t="inlineStr">
        <ns0:is>
          <ns0:t>N</ns0:t>
        </ns0:is>
      </ns0:c>
      <ns0:c r="BN462" s="92">
        <ns0:f>IFERROR(IF('BBG Verify'!K462="","Awaiting Bloomberg",'BBG Verify'!K462),"Awaiting Bloomberg")</ns0:f>
        <ns0:v/>
      </ns0:c>
      <ns0:c r="BO462" s="74" t="inlineStr">
        <ns0:is>
          <ns0:t>N/A</ns0:t>
        </ns0:is>
      </ns0:c>
      <ns0:c r="BP462" s="74" t="inlineStr">
        <ns0:is>
          <ns0:t>N/A</ns0:t>
        </ns0:is>
      </ns0:c>
      <ns0:c r="BQ462" s="74" t="inlineStr">
        <ns0:is>
          <ns0:t>N/A</ns0:t>
        </ns0:is>
      </ns0:c>
      <ns0:c r="BR462" s="74" t="inlineStr">
        <ns0:is>
          <ns0:t>N/A</ns0:t>
        </ns0:is>
      </ns0:c>
      <ns0:c r="BS462" s="74" t="inlineStr">
        <ns0:is>
          <ns0:t>N/A</ns0:t>
        </ns0:is>
      </ns0:c>
      <ns0:c r="BT462" s="74" t="inlineStr">
        <ns0:is>
          <ns0:t>N/A</ns0:t>
        </ns0:is>
      </ns0:c>
      <ns0:c r="BU462" s="91" t="inlineStr">
        <ns0:is>
          <ns0:t>CITIC Securities (Hong Kong) Limited; CCB International Capital Limited</ns0:t>
        </ns0:is>
      </ns0:c>
      <ns0:c r="BV462" s="74" t="inlineStr">
        <ns0:is>
          <ns0:t>CCB International Capital Limited; CITIC Securities (Hong Kong) Limited</ns0:t>
        </ns0:is>
      </ns0:c>
      <ns0:c r="BW462" s="74" t="inlineStr">
        <ns0:is>
          <ns0:t>CLSA Limited; CCB International Capital Limited; (Hong Kong) Co., Limited; CMBC Securities Company Limited; Open Securities Limited; Zheshang International Financial Holdings Co., Limited</ns0:t>
        </ns0:is>
      </ns0:c>
      <ns0:c r="BX462" s="74" t="inlineStr">
        <ns0:is>
          <ns0: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ns0:t>
        </ns0:is>
      </ns0:c>
      <ns0:c r="BY462" s="93">
        <ns0:f>HYPERLINK("https://www1.hkexnews.hk/listedco/listconews/sehk/2026/0424/2026042400053.pdf","prospectus")</ns0:f>
        <ns0:v/>
      </ns0:c>
      <ns0:c r="BZ462" s="93">
        <ns0:f>HYPERLINK("https://www1.hkexnews.hk/listedco/listconews/sehk/2026/0504/2026050403728.pdf","allotment")</ns0:f>
        <ns0:v/>
      </ns0:c>
      <ns0:c r="CA462" s="85" t="n"/>
      <ns0:c r="CB462" s="94" t="n"/>
      <ns0:c r="CC462" s="74" t="inlineStr">
        <ns0:is>
          <ns0:t>greenshoe: no over-allotment option; range low: maximum offer price only, no floor published; greenshoe size: no over-allotment option; stabilising manager: no over-allotment option, so none appointed</ns0:t>
        </ns0:is>
      </ns0:c>
    </ns0:row>
    <ns0:row r="463" ht="22" customHeight="1">
      <ns0:c r="A463" s="73" t="inlineStr">
        <ns0:is>
          <ns0:t>1187</ns0:t>
        </ns0:is>
      </ns0:c>
      <ns0:c r="B463" s="74" t="inlineStr">
        <ns0:is>
          <ns0:t>COFOE MEDICAL</ns0:t>
        </ns0:is>
      </ns0:c>
      <ns0:c r="C463" s="74" t="inlineStr">
        <ns0:is>
          <ns0:t>可孚醫療</ns0:t>
        </ns0:is>
      </ns0:c>
      <ns0:c r="D463" s="74" t="inlineStr">
        <ns0:is>
          <ns0:t>Healthcare</ns0:t>
        </ns0:is>
      </ns0:c>
      <ns0:c r="E463" s="74" t="inlineStr">
        <ns0:is>
          <ns0:t>Medical devices</ns0:t>
        </ns0:is>
      </ns0:c>
      <ns0:c r="F463" s="74" t="inlineStr">
        <ns0:is>
          <ns0:t>Health Care Equipment</ns0:t>
        </ns0:is>
      </ns0:c>
      <ns0:c r="G463" s="74" t="inlineStr">
        <ns0:is>
          <ns0:t>Standard</ns0:t>
        </ns0:is>
      </ns0:c>
      <ns0:c r="H463" s="75" t="n">
        <ns0:v>46148</ns0:v>
      </ns0:c>
      <ns0:c r="I463" s="76" t="n">
        <ns0:v>1062</ns0:v>
      </ns0:c>
      <ns0:c r="J463" s="74" t="inlineStr">
        <ns0:is>
          <ns0:t>gross (stated)</ns0:t>
        </ns0:is>
      </ns0:c>
      <ns0:c r="K463" s="95" t="n"/>
      <ns0:c r="L463" s="77" t="n">
        <ns0:v>39.33</ns0:v>
      </ns0:c>
      <ns0:c r="M463" s="77" t="n">
        <ns0:v>39.33</ns0:v>
      </ns0:c>
      <ns0:c r="N463" s="74" t="inlineStr">
        <ns0:is>
          <ns0:t>Y</ns0:t>
        </ns0:is>
      </ns0:c>
      <ns0:c r="O463" s="78" t="n">
        <ns0:v>100</ns0:v>
      </ns0:c>
      <ns0:c r="P463" s="84" t="n"/>
      <ns0:c r="Q463" s="79" t="n">
        <ns0:v>9277.799999999999</ns0:v>
      </ns0:c>
      <ns0:c r="R463" s="74" t="inlineStr">
        <ns0:is>
          <ns0:t>derived:price x shares upon listing</ns0:t>
        </ns0:is>
      </ns0:c>
      <ns0:c r="S463" s="80" t="n">
        <ns0:v>399.08</ns0:v>
      </ns0:c>
      <ns0:c r="T463" s="81" t="n">
        <ns0:v>3.4</ns0:v>
      </ns0:c>
      <ns0:c r="U463" s="82" t="n">
        <ns0:v>35.76</ns0:v>
      </ns0:c>
      <ns0:c r="V463" s="83" t="n">
        <ns0:v>129</ns0:v>
      </ns0:c>
      <ns0:c r="W463" s="78" t="n">
        <ns0:v>10</ns0:v>
      </ns0:c>
      <ns0:c r="X463" s="74" t="inlineStr">
        <ns0:is>
          <ns0:t>NA</ns0:t>
        </ns0:is>
      </ns0:c>
      <ns0:c r="Y463" s="79" t="n">
        <ns0:v>682.23</ns0:v>
      </ns0:c>
      <ns0:c r="Z463" s="79" t="n">
        <ns0:v>17344800</ns0:v>
      </ns0:c>
      <ns0:c r="AA463" s="78" t="n">
        <ns0:v>7.35</ns0:v>
      </ns0:c>
      <ns0:c r="AB463" s="74" t="inlineStr">
        <ns0:is>
          <ns0: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 Vision Capital Management Co., Ltd.; China Galaxy International Investment Company Limited</ns0:t>
        </ns0:is>
      </ns0:c>
      <ns0:c r="AC463" s="74" t="inlineStr">
        <ns0:is>
          <ns0:t>changsha;da;fr;hongkong;lens;mr-dai;mr-huang;ms-lu;odi;panjing;sinohealth;vision;galaxy</ns0:t>
        </ns0:is>
      </ns0:c>
      <ns0:c r="AD463" s="84" t="n"/>
      <ns0:c r="AE463" s="85" t="n"/>
      <ns0:c r="AF463" s="85" t="n"/>
      <ns0:c r="AG463" s="85" t="n"/>
      <ns0:c r="AH463" s="85" t="n"/>
      <ns0:c r="AI463" s="86" t="n">
        <ns0:v>2.21</ns0:v>
      </ns0:c>
      <ns0:c r="AJ463" s="87" t="n">
        <ns0:v>-1.09</ns0:v>
      </ns0:c>
      <ns0:c r="AK463" s="87" t="n">
        <ns0:v>-0.06</ns0:v>
      </ns0:c>
      <ns0:c r="AL463" s="87" t="n">
        <ns0:v>1.3</ns0:v>
      </ns0:c>
      <ns0:c r="AM463" s="87" t="n">
        <ns0:v>-2.36</ns0:v>
      </ns0:c>
      <ns0:c r="AN463" s="89" t="n">
        <ns0:v>4.14</ns0:v>
      </ns0:c>
      <ns0:c r="AO463" s="78" t="n">
        <ns0:v>13.81</ns0:v>
      </ns0:c>
      <ns0:c r="AP463" s="87" t="n">
        <ns0:v>-6.69</ns0:v>
      </ns0:c>
      <ns0:c r="AQ463" s="87" t="n">
        <ns0:v>-16.09</ns0:v>
      </ns0:c>
      <ns0:c r="AR463" s="87" t="n">
        <ns0:v>-17.72</ns0:v>
      </ns0:c>
      <ns0:c r="AS463" s="87" t="n">
        <ns0:v>-5.66</ns0:v>
      </ns0:c>
      <ns0:c r="AT463" s="87" t="n">
        <ns0:v>-15.17</ns0:v>
      </ns0:c>
      <ns0:c r="AU463" s="87" t="n">
        <ns0:v>-16.81</ns0:v>
      </ns0:c>
      <ns0:c r="AV463" s="87" t="n">
        <ns0:v>-6.32</ns0:v>
      </ns0:c>
      <ns0:c r="AW463" s="87" t="n">
        <ns0:v>-2.1</ns0:v>
      </ns0:c>
      <ns0:c r="AX463" s="87" t="n">
        <ns0:v>-18.53</ns0:v>
      </ns0:c>
      <ns0:c r="AY463" s="87" t="n">
        <ns0:v>-1.23</ns0:v>
      </ns0:c>
      <ns0:c r="AZ463" s="87" t="n">
        <ns0:v>-13.99</ns0:v>
      </ns0:c>
      <ns0:c r="BA463" s="87" t="n">
        <ns0:v>-13.94</ns0:v>
      </ns0:c>
      <ns0:c r="BB463" s="74" t="inlineStr">
        <ns0:is>
          <ns0:t>China Biotech ETF (HS biotech proxy)</ns0:t>
        </ns0:is>
      </ns0:c>
      <ns0:c r="BC463" s="87" t="n">
        <ns0:v>-28.5</ns0:v>
      </ns0:c>
      <ns0:c r="BD463" s="75" t="n">
        <ns0:v>46297</ns0:v>
      </ns0:c>
      <ns0:c r="BE463" s="76" t="n">
        <ns0:v>3726.2</ns0:v>
      </ns0:c>
      <ns0:c r="BF463" s="79" t="n">
        <ns0:v>-1.5</ns0:v>
      </ns0:c>
      <ns0:c r="BG463" s="74" t="inlineStr">
        <ns0:is>
          <ns0:t>N</ns0:t>
        </ns0:is>
      </ns0:c>
      <ns0:c r="BH463" s="74" t="inlineStr">
        <ns0:is>
          <ns0:t>n/m</ns0:t>
        </ns0:is>
      </ns0:c>
      <ns0:c r="BI463" s="89" t="n">
        <ns0:v>18.8</ns0:v>
      </ns0:c>
      <ns0:c r="BJ463" s="89" t="n">
        <ns0:v>15.1</ns0:v>
      </ns0:c>
      <ns0:c r="BK463" s="89" t="n">
        <ns0:v>2.5</ns0:v>
      </ns0:c>
      <ns0:c r="BL463" s="90">
        <ns0:f>IFERROR(IF('BBG Verify'!S463="","Awaiting Bloomberg",'BBG Verify'!S463),"Awaiting Bloomberg")</ns0:f>
        <ns0:v/>
      </ns0:c>
      <ns0:c r="BM463" s="91" t="inlineStr">
        <ns0:is>
          <ns0:t>Y</ns0:t>
        </ns0:is>
      </ns0:c>
      <ns0:c r="BN463" s="74" t="inlineStr">
        <ns0:is>
          <ns0:t>301087.SZ</ns0:t>
        </ns0:is>
      </ns0:c>
      <ns0:c r="BO463" s="87" t="n">
        <ns0:v>54.6</ns0:v>
      </ns0:c>
      <ns0:c r="BP463" s="77" t="n">
        <ns0:v>60.8041</ns0:v>
      </ns0:c>
      <ns0:c r="BQ463" s="101" t="n">
        <ns0:v>1.1683</ns0:v>
      </ns0:c>
      <ns0:c r="BR463" s="79" t="n">
        <ns0:v>14387.9</ns0:v>
      </ns0:c>
      <ns0:c r="BS463" s="90">
        <ns0:f>IFERROR(IF('BBG Verify'!Q463="","Awaiting Bloomberg",'BBG Verify'!Q463),"Awaiting Bloomberg")</ns0:f>
        <ns0:v/>
      </ns0:c>
      <ns0:c r="BT463" s="90">
        <ns0:f>IFERROR(IF('BBG Verify'!R463="","Awaiting Bloomberg",'BBG Verify'!R463),"Awaiting Bloomberg")</ns0:f>
        <ns0:v/>
      </ns0:c>
      <ns0:c r="BU463" s="91" t="inlineStr">
        <ns0:is>
          <ns0:t>Huatai Financial Holdings (Hong Kong) Limited; BNP Paribas Securities (Asia) Limited</ns0:t>
        </ns0:is>
      </ns0:c>
      <ns0:c r="BV463" s="74" t="inlineStr">
        <ns0:is>
          <ns0:t>Huatai Financial Holdings (Hong Kong) Limited; BNP Paribas Securities (Asia) Limited</ns0:t>
        </ns0:is>
      </ns0:c>
      <ns0:c r="BW463" s="74" t="inlineStr">
        <ns0:is>
          <ns0:t>BNP Paribas Securities (Asia) Limited; Futu Securities International (Hong Kong) Limited; Huatai Financial Holdings (Hong Kong) Limited</ns0:t>
        </ns0:is>
      </ns0:c>
      <ns0:c r="BX463" s="74" t="inlineStr">
        <ns0:is>
          <ns0:t>BNP Paribas Securities (Asia) Limited; Futu Securities International (Hong Kong) Limited; Huatai Financial Holdings (Hong Kong) Limited</ns0:t>
        </ns0:is>
      </ns0:c>
      <ns0:c r="BY463" s="93">
        <ns0:f>HYPERLINK("https://www1.hkexnews.hk/listedco/listconews/sehk/2026/0427/2026042700013.pdf","prospectus")</ns0:f>
        <ns0:v/>
      </ns0:c>
      <ns0:c r="BZ463" s="93">
        <ns0:f>HYPERLINK("https://www1.hkexnews.hk/listedco/listconews/sehk/2026/0505/2026050501942.pdf","allotment")</ns0:f>
        <ns0:v/>
      </ns0:c>
      <ns0:c r="CA463" s="85" t="n"/>
      <ns0:c r="CB463" s="94" t="n"/>
      <ns0:c r="CC463" s="74" t="inlineStr">
        <ns0:is>
          <ns0:t>P/E: loss-making at IPO, use P/S; greenshoe: no over-allotment option; range low: maximum offer price only, no floor published; A/H: May 2026 H listing (home medical devices); greenshoe size: no over-allotment option; stabilising manager: filing states none appointed (prospectus: 'no stabilizing manager will be appointed' stated in the filing)</ns0:t>
        </ns0:is>
      </ns0:c>
    </ns0:row>
    <ns0:row r="464" ht="22" customHeight="1">
      <ns0:c r="A464" s="73" t="inlineStr">
        <ns0:is>
          <ns0:t>1236</ns0:t>
        </ns0:is>
      </ns0:c>
      <ns0:c r="B464" s="74" t="inlineStr">
        <ns0:is>
          <ns0:t>LDROBOT</ns0:t>
        </ns0:is>
      </ns0:c>
      <ns0:c r="C464" s="74" t="inlineStr">
        <ns0:is>
          <ns0:t>樂動機器人</ns0:t>
        </ns0:is>
      </ns0:c>
      <ns0:c r="D464" s="74" t="inlineStr">
        <ns0:is>
          <ns0:t>Technology</ns0:t>
        </ns0:is>
      </ns0:c>
      <ns0:c r="E464" s="74" t="inlineStr">
        <ns0:is>
          <ns0:t>Robotics &amp; autonomous driving</ns0:t>
        </ns0:is>
      </ns0:c>
      <ns0:c r="F464" s="74" t="inlineStr">
        <ns0:is>
          <ns0:t>Advanced hardware and software</ns0:t>
        </ns0:is>
      </ns0:c>
      <ns0:c r="G464" s="74" t="inlineStr">
        <ns0:is>
          <ns0:t>Standard</ns0:t>
        </ns0:is>
      </ns0:c>
      <ns0:c r="H464" s="75" t="n">
        <ns0:v>46153</ns0:v>
      </ns0:c>
      <ns0:c r="I464" s="76" t="n">
        <ns0:v>878.7</ns0:v>
      </ns0:c>
      <ns0:c r="J464" s="74" t="inlineStr">
        <ns0:is>
          <ns0:t>gross (stated)</ns0:t>
        </ns0:is>
      </ns0:c>
      <ns0:c r="K464" s="77" t="n">
        <ns0:v>24</ns0:v>
      </ns0:c>
      <ns0:c r="L464" s="77" t="n">
        <ns0:v>30</ns0:v>
      </ns0:c>
      <ns0:c r="M464" s="77" t="n">
        <ns0:v>26.36</ns0:v>
      </ns0:c>
      <ns0:c r="N464" s="74" t="inlineStr">
        <ns0:is>
          <ns0:t>N</ns0:t>
        </ns0:is>
      </ns0:c>
      <ns0:c r="O464" s="78" t="n">
        <ns0:v>87.90000000000001</ns0:v>
      </ns0:c>
      <ns0:c r="P464" s="78" t="n">
        <ns0:v>39.3</ns0:v>
      </ns0:c>
      <ns0:c r="Q464" s="79" t="n">
        <ns0:v>7776.1</ns0:v>
      </ns0:c>
      <ns0:c r="R464" s="74" t="inlineStr">
        <ns0:is>
          <ns0:t>derived:deal size / offer % of enlarged capital</ns0:t>
        </ns0:is>
      </ns0:c>
      <ns0:c r="S464" s="80" t="n">
        <ns0:v>6707.66</ns0:v>
      </ns0:c>
      <ns0:c r="T464" s="81" t="n">
        <ns0:v>9.539999999999999</ns0:v>
      </ns0:c>
      <ns0:c r="U464" s="82" t="n">
        <ns0:v>31.52</ns0:v>
      </ns0:c>
      <ns0:c r="V464" s="83" t="n">
        <ns0:v>111</ns0:v>
      </ns0:c>
      <ns0:c r="W464" s="78" t="n">
        <ns0:v>10</ns0:v>
      </ns0:c>
      <ns0:c r="X464" s="74" t="inlineStr">
        <ns0:is>
          <ns0:t>NO</ns0:t>
        </ns0:is>
      </ns0:c>
      <ns0:c r="Y464" s="79" t="n">
        <ns0:v>601.73</ns0:v>
      </ns0:c>
      <ns0:c r="Z464" s="79" t="n">
        <ns0:v>22826712</ns0:v>
      </ns0:c>
      <ns0:c r="AA464" s="78" t="n">
        <ns0:v>7.74</ns0:v>
      </ns0:c>
      <ns0:c r="AB464" s="74" t="inlineStr">
        <ns0:is>
          <ns0:t>KCH Vision Investment Limited</ns0:t>
        </ns0:is>
      </ns0:c>
      <ns0:c r="AC464" s="74" t="inlineStr">
        <ns0:is>
          <ns0:t>kch</ns0:t>
        </ns0:is>
      </ns0:c>
      <ns0:c r="AD464" s="78" t="n">
        <ns0:v>13.41</ns0:v>
      </ns0:c>
      <ns0:c r="AE464" s="74" t="inlineStr">
        <ns0:is>
          <ns0:t>lapsed (no over-allocation)</ns0:t>
        </ns0:is>
      </ns0:c>
      <ns0:c r="AF464" s="85" t="n"/>
      <ns0:c r="AG464" s="74" t="inlineStr">
        <ns0:is>
          <ns0:t>Haitong International Securities Company Limited</ns0:t>
        </ns0:is>
      </ns0:c>
      <ns0:c r="AH464" s="74" t="inlineStr">
        <ns0:is>
          <ns0:t>Haitong</ns0:t>
        </ns0:is>
      </ns0:c>
      <ns0:c r="AI464" s="86" t="n">
        <ns0:v>88.92</ns0:v>
      </ns0:c>
      <ns0:c r="AJ464" s="87" t="n">
        <ns0:v>127.62</ns0:v>
      </ns0:c>
      <ns0:c r="AK464" s="87" t="n">
        <ns0:v>0</ns0:v>
      </ns0:c>
      <ns0:c r="AL464" s="87" t="n">
        <ns0:v>102.96</ns0:v>
      </ns0:c>
      <ns0:c r="AM464" s="87" t="n">
        <ns0:v>12.15</ns0:v>
      </ns0:c>
      <ns0:c r="AN464" s="89" t="n">
        <ns0:v>4.4</ns0:v>
      </ns0:c>
      <ns0:c r="AO464" s="78" t="n">
        <ns0:v>29.35</ns0:v>
      </ns0:c>
      <ns0:c r="AP464" s="87" t="n">
        <ns0:v>56.68</ns0:v>
      </ns0:c>
      <ns0:c r="AQ464" s="87" t="n">
        <ns0:v>54.86</ns0:v>
      </ns0:c>
      <ns0:c r="AR464" s="87" t="n">
        <ns0:v>48.71</ns0:v>
      </ns0:c>
      <ns0:c r="AS464" s="87" t="n">
        <ns0:v>-31.17</ns0:v>
      </ns0:c>
      <ns0:c r="AT464" s="87" t="n">
        <ns0:v>-31.97</ns0:v>
      </ns0:c>
      <ns0:c r="AU464" s="87" t="n">
        <ns0:v>-34.67</ns0:v>
      </ns0:c>
      <ns0:c r="AV464" s="87" t="n">
        <ns0:v>61.92</ns0:v>
      </ns0:c>
      <ns0:c r="AW464" s="87" t="n">
        <ns0:v>62.14</ns0:v>
      </ns0:c>
      <ns0:c r="AX464" s="87" t="n">
        <ns0:v>53.95</ns0:v>
      </ns0:c>
      <ns0:c r="AY464" s="87" t="n">
        <ns0:v>-24.69</ns0:v>
      </ns0:c>
      <ns0:c r="AZ464" s="87" t="n">
        <ns0:v>-7.28</ns0:v>
      </ns0:c>
      <ns0:c r="BA464" s="87" t="n">
        <ns0:v>-7.28</ns0:v>
      </ns0:c>
      <ns0:c r="BB464" s="74" t="inlineStr">
        <ns0:is>
          <ns0:t>HSTECH (Hang Seng TECH ETF)</ns0:t>
        </ns0:is>
      </ns0:c>
      <ns0:c r="BC464" s="87" t="n">
        <ns0:v>-9.33</ns0:v>
      </ns0:c>
      <ns0:c r="BD464" s="75" t="n">
        <ns0:v>46297</ns0:v>
      </ns0:c>
      <ns0:c r="BE464" s="76" t="n">
        <ns0:v>150.6</ns0:v>
      </ns0:c>
      <ns0:c r="BF464" s="79" t="n">
        <ns0:v>-68.8</ns0:v>
      </ns0:c>
      <ns0:c r="BG464" s="74" t="inlineStr">
        <ns0:is>
          <ns0:t>N</ns0:t>
        </ns0:is>
      </ns0:c>
      <ns0:c r="BH464" s="74" t="inlineStr">
        <ns0:is>
          <ns0:t>n/m</ns0:t>
        </ns0:is>
      </ns0:c>
      <ns0:c r="BI464" s="88" t="n"/>
      <ns0:c r="BJ464" s="88" t="n"/>
      <ns0:c r="BK464" s="89" t="n">
        <ns0:v>51.6</ns0:v>
      </ns0:c>
      <ns0:c r="BL464" s="90">
        <ns0:f>IFERROR(IF('BBG Verify'!S464="","Awaiting Bloomberg",'BBG Verify'!S464),"Awaiting Bloomberg")</ns0:f>
        <ns0:v/>
      </ns0:c>
      <ns0:c r="BM464" s="91" t="inlineStr">
        <ns0:is>
          <ns0:t>N</ns0:t>
        </ns0:is>
      </ns0:c>
      <ns0:c r="BN464" s="92">
        <ns0:f>IFERROR(IF('BBG Verify'!K464="","Awaiting Bloomberg",'BBG Verify'!K464),"Awaiting Bloomberg")</ns0:f>
        <ns0:v/>
      </ns0:c>
      <ns0:c r="BO464" s="74" t="inlineStr">
        <ns0:is>
          <ns0:t>N/A</ns0:t>
        </ns0:is>
      </ns0:c>
      <ns0:c r="BP464" s="74" t="inlineStr">
        <ns0:is>
          <ns0:t>N/A</ns0:t>
        </ns0:is>
      </ns0:c>
      <ns0:c r="BQ464" s="74" t="inlineStr">
        <ns0:is>
          <ns0:t>N/A</ns0:t>
        </ns0:is>
      </ns0:c>
      <ns0:c r="BR464" s="74" t="inlineStr">
        <ns0:is>
          <ns0:t>N/A</ns0:t>
        </ns0:is>
      </ns0:c>
      <ns0:c r="BS464" s="74" t="inlineStr">
        <ns0:is>
          <ns0:t>N/A</ns0:t>
        </ns0:is>
      </ns0:c>
      <ns0:c r="BT464" s="74" t="inlineStr">
        <ns0:is>
          <ns0:t>N/A</ns0:t>
        </ns0:is>
      </ns0:c>
      <ns0:c r="BU464" s="91" t="inlineStr">
        <ns0:is>
          <ns0:t>Haitong International Capital Limited; Guotai Junan Capital Limited</ns0:t>
        </ns0:is>
      </ns0:c>
      <ns0:c r="BV464" s="74" t="inlineStr">
        <ns0:is>
          <ns0:t>Haitong International Capital Limited; Guotai Junan Capital Limited</ns0:t>
        </ns0:is>
      </ns0:c>
      <ns0:c r="BW464" s="74" t="inlineStr">
        <ns0:is>
          <ns0:t>Orient Securities (Hong Kong) Limited; Yuet Sheung International Securities Limited; Goldbridge Securities Limited</ns0:t>
        </ns0:is>
      </ns0:c>
      <ns0:c r="BX464" s="74" t="inlineStr">
        <ns0:is>
          <ns0: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ns0:t>
        </ns0:is>
      </ns0:c>
      <ns0:c r="BY464" s="93">
        <ns0:f>HYPERLINK("https://www1.hkexnews.hk/listedco/listconews/sehk/2026/0430/2026043000099.pdf","prospectus")</ns0:f>
        <ns0:v/>
      </ns0:c>
      <ns0:c r="BZ464" s="93">
        <ns0:f>HYPERLINK("https://www1.hkexnews.hk/listedco/listconews/sehk/2026/0508/2026050801854.pdf","allotment")</ns0:f>
        <ns0:v/>
      </ns0:c>
      <ns0:c r="CA464" s="93">
        <ns0:f>HYPERLINK("https://www1.hkexnews.hk/listedco/listconews/sehk/2026/0609/2026060901520.pdf","stabilisation")</ns0:f>
        <ns0:v/>
      </ns0:c>
      <ns0:c r="CB464" s="94" t="n"/>
      <ns0:c r="CC464" s="74" t="inlineStr">
        <ns0:is>
          <ns0:t>P/E: loss-making at IPO, use P/S; greenshoe: outcome published; expiry date not in the notice</ns0:t>
        </ns0:is>
      </ns0:c>
    </ns0:row>
    <ns0:row r="465" ht="22" customHeight="1">
      <ns0:c r="A465" s="73" t="inlineStr">
        <ns0:is>
          <ns0:t>7630</ns0:t>
        </ns0:is>
      </ns0:c>
      <ns0:c r="B465" s="74" t="inlineStr">
        <ns0:is>
          <ns0:t>IMPACT THERAP-B</ns0:t>
        </ns0:is>
      </ns0:c>
      <ns0:c r="C465" s="74" t="inlineStr">
        <ns0:is>
          <ns0:t>英派藥業－Ｂ</ns0:t>
        </ns0:is>
      </ns0:c>
      <ns0:c r="D465" s="74" t="inlineStr">
        <ns0:is>
          <ns0:t>Healthcare</ns0:t>
        </ns0:is>
      </ns0:c>
      <ns0:c r="E465" s="74" t="inlineStr">
        <ns0:is>
          <ns0:t>Biotech pre-revenue (18A)</ns0:t>
        </ns0:is>
      </ns0:c>
      <ns0:c r="F465" s="74" t="inlineStr">
        <ns0:is>
          <ns0:t>Biotechnology - Pharmaceuticals</ns0:t>
        </ns0:is>
      </ns0:c>
      <ns0:c r="G465" s="74" t="inlineStr">
        <ns0:is>
          <ns0:t>18A</ns0:t>
        </ns0:is>
      </ns0:c>
      <ns0:c r="H465" s="75" t="n">
        <ns0:v>46155</ns0:v>
      </ns0:c>
      <ns0:c r="I465" s="76" t="n">
        <ns0:v>843.7</ns0:v>
      </ns0:c>
      <ns0:c r="J465" s="74" t="inlineStr">
        <ns0:is>
          <ns0:t>gross (stated)</ns0:t>
        </ns0:is>
      </ns0:c>
      <ns0:c r="K465" s="77" t="n">
        <ns0:v>19.75</ns0:v>
      </ns0:c>
      <ns0:c r="L465" s="77" t="n">
        <ns0:v>21.75</ns0:v>
      </ns0:c>
      <ns0:c r="M465" s="77" t="n">
        <ns0:v>20.1</ns0:v>
      </ns0:c>
      <ns0:c r="N465" s="74" t="inlineStr">
        <ns0:is>
          <ns0:t>N</ns0:t>
        </ns0:is>
      </ns0:c>
      <ns0:c r="O465" s="78" t="n">
        <ns0:v>92.40000000000001</ns0:v>
      </ns0:c>
      <ns0:c r="P465" s="78" t="n">
        <ns0:v>17.5</ns0:v>
      </ns0:c>
      <ns0:c r="Q465" s="79" t="n">
        <ns0:v>4933.9</ns0:v>
      </ns0:c>
      <ns0:c r="R465" s="74" t="inlineStr">
        <ns0:is>
          <ns0:t>derived:deal size / offer % of enlarged capital</ns0:t>
        </ns0:is>
      </ns0:c>
      <ns0:c r="S465" s="80" t="n">
        <ns0:v>2282.4</ns0:v>
      </ns0:c>
      <ns0:c r="T465" s="81" t="n">
        <ns0:v>24.58</ns0:v>
      </ns0:c>
      <ns0:c r="U465" s="82" t="n">
        <ns0:v>33.19</ns0:v>
      </ns0:c>
      <ns0:c r="V465" s="83" t="n">
        <ns0:v>137</ns0:v>
      </ns0:c>
      <ns0:c r="W465" s="78" t="n">
        <ns0:v>10</ns0:v>
      </ns0:c>
      <ns0:c r="X465" s="74" t="inlineStr">
        <ns0:is>
          <ns0:t>NA</ns0:t>
        </ns0:is>
      </ns0:c>
      <ns0:c r="Y465" s="79" t="n">
        <ns0:v>563.6799999999999</ns0:v>
      </ns0:c>
      <ns0:c r="Z465" s="79" t="n">
        <ns0:v>28044834</ns0:v>
      </ns0:c>
      <ns0:c r="AA465" s="78" t="n">
        <ns0:v>11.42</ns0:v>
      </ns0:c>
      <ns0:c r="AB465" s="74" t="inlineStr">
        <ns0:is>
          <ns0:t>Huang River Investment Limited; Prosper High Holding Limited; LAV Star Opportunities Limited; Global Superior Choice Fund 1 SP; Vision Fund 1 SP; Horizon Next SP; First Quarter Moon OFC – Phecda Fund; Worldwide Healthcare Partners LLC</ns0:t>
        </ns0:is>
      </ns0:c>
      <ns0:c r="AC465" s="74" t="inlineStr">
        <ns0:is>
          <ns0:t>huang-river;prosper;lav;superior;vision;horizon;first-quarter;healthcare</ns0:t>
        </ns0:is>
      </ns0:c>
      <ns0:c r="AD465" s="78" t="n">
        <ns0:v>8.529999999999999</ns0:v>
      </ns0:c>
      <ns0:c r="AE465" s="74" t="inlineStr">
        <ns0:is>
          <ns0:t>full</ns0:t>
        </ns0:is>
      </ns0:c>
      <ns0:c r="AF465" s="74" t="inlineStr">
        <ns0:is>
          <ns0:t>2026-06-07</ns0:t>
        </ns0:is>
      </ns0:c>
      <ns0:c r="AG465" s="74" t="inlineStr">
        <ns0:is>
          <ns0:t>Goldman Sachs</ns0:t>
        </ns0:is>
      </ns0:c>
      <ns0:c r="AH465" s="74" t="inlineStr">
        <ns0:is>
          <ns0:t>Goldman Sachs</ns0:t>
        </ns0:is>
      </ns0:c>
      <ns0:c r="AI465" s="86" t="n">
        <ns0:v>60</ns0:v>
      </ns0:c>
      <ns0:c r="AJ465" s="87" t="n">
        <ns0:v>108.26</ns0:v>
      </ns0:c>
      <ns0:c r="AK465" s="87" t="n">
        <ns0:v>-1.09</ns0:v>
      </ns0:c>
      <ns0:c r="AL465" s="87" t="n">
        <ns0:v>76.62</ns0:v>
      </ns0:c>
      <ns0:c r="AM465" s="87" t="n">
        <ns0:v>17.91</ns0:v>
      </ns0:c>
      <ns0:c r="AN465" s="89" t="n">
        <ns0:v>3.61</ns0:v>
      </ns0:c>
      <ns0:c r="AO465" s="78" t="n">
        <ns0:v>35.77</ns0:v>
      </ns0:c>
      <ns0:c r="AP465" s="87" t="n">
        <ns0:v>86.27</ns0:v>
      </ns0:c>
      <ns0:c r="AQ465" s="87" t="n">
        <ns0:v>81.09</ns0:v>
      </ns0:c>
      <ns0:c r="AR465" s="87" t="n">
        <ns0:v>-39.75</ns0:v>
      </ns0:c>
      <ns0:c r="AS465" s="87" t="n">
        <ns0:v>-10.56</ns0:v>
      </ns0:c>
      <ns0:c r="AT465" s="87" t="n">
        <ns0:v>-13.05</ns0:v>
      </ns0:c>
      <ns0:c r="AU465" s="87" t="n">
        <ns0:v>-71.06999999999999</ns0:v>
      </ns0:c>
      <ns0:c r="AV465" s="87" t="n">
        <ns0:v>93.78</ns0:v>
      </ns0:c>
      <ns0:c r="AW465" s="87" t="n">
        <ns0:v>95.55</ns0:v>
      </ns0:c>
      <ns0:c r="AX465" s="87" t="n">
        <ns0:v>-48.04</ns0:v>
      </ns0:c>
      <ns0:c r="AY465" s="87" t="n">
        <ns0:v>0.47</ns0:v>
      </ns0:c>
      <ns0:c r="AZ465" s="87" t="n">
        <ns0:v>-14.46</ns0:v>
      </ns0:c>
      <ns0:c r="BA465" s="87" t="n">
        <ns0:v>-13.52</ns0:v>
      </ns0:c>
      <ns0:c r="BB465" s="74" t="inlineStr">
        <ns0:is>
          <ns0:t>China Biotech ETF (HS biotech proxy)</ns0:t>
        </ns0:is>
      </ns0:c>
      <ns0:c r="BC465" s="87" t="n">
        <ns0:v>-29.3</ns0:v>
      </ns0:c>
      <ns0:c r="BD465" s="75" t="n">
        <ns0:v>46297</ns0:v>
      </ns0:c>
      <ns0:c r="BE465" s="76" t="n">
        <ns0:v>42.1</ns0:v>
      </ns0:c>
      <ns0:c r="BF465" s="79" t="n">
        <ns0:v>-325.5</ns0:v>
      </ns0:c>
      <ns0:c r="BG465" s="74" t="inlineStr">
        <ns0:is>
          <ns0:t>N</ns0:t>
        </ns0:is>
      </ns0:c>
      <ns0:c r="BH465" s="74" t="inlineStr">
        <ns0:is>
          <ns0:t>n/m</ns0:t>
        </ns0:is>
      </ns0:c>
      <ns0:c r="BI465" s="88" t="n"/>
      <ns0:c r="BJ465" s="88" t="n"/>
      <ns0:c r="BK465" s="89" t="n">
        <ns0:v>117.2</ns0:v>
      </ns0:c>
      <ns0:c r="BL465" s="90">
        <ns0:f>IFERROR(IF('BBG Verify'!S465="","Awaiting Bloomberg",'BBG Verify'!S465),"Awaiting Bloomberg")</ns0:f>
        <ns0:v/>
      </ns0:c>
      <ns0:c r="BM465" s="91" t="inlineStr">
        <ns0:is>
          <ns0:t>N</ns0:t>
        </ns0:is>
      </ns0:c>
      <ns0:c r="BN465" s="92">
        <ns0:f>IFERROR(IF('BBG Verify'!K465="","Awaiting Bloomberg",'BBG Verify'!K465),"Awaiting Bloomberg")</ns0:f>
        <ns0:v/>
      </ns0:c>
      <ns0:c r="BO465" s="74" t="inlineStr">
        <ns0:is>
          <ns0:t>N/A</ns0:t>
        </ns0:is>
      </ns0:c>
      <ns0:c r="BP465" s="74" t="inlineStr">
        <ns0:is>
          <ns0:t>N/A</ns0:t>
        </ns0:is>
      </ns0:c>
      <ns0:c r="BQ465" s="74" t="inlineStr">
        <ns0:is>
          <ns0:t>N/A</ns0:t>
        </ns0:is>
      </ns0:c>
      <ns0:c r="BR465" s="74" t="inlineStr">
        <ns0:is>
          <ns0:t>N/A</ns0:t>
        </ns0:is>
      </ns0:c>
      <ns0:c r="BS465" s="74" t="inlineStr">
        <ns0:is>
          <ns0:t>N/A</ns0:t>
        </ns0:is>
      </ns0:c>
      <ns0:c r="BT465" s="74" t="inlineStr">
        <ns0:is>
          <ns0:t>N/A</ns0:t>
        </ns0:is>
      </ns0:c>
      <ns0:c r="BU465" s="91" t="inlineStr">
        <ns0:is>
          <ns0:t>China International Capital Corporation Hong Kong Securities Limited; Goldman Sachs (Asia) L.L.C.</ns0:t>
        </ns0:is>
      </ns0:c>
      <ns0:c r="BV465" s="74" t="inlineStr">
        <ns0:is>
          <ns0:t>China International Capital Corporation Hong Kong Securities Limited; Goldman Sachs (Asia) L.L.C.</ns0:t>
        </ns0:is>
      </ns0:c>
      <ns0:c r="BW465" s="74" t="inlineStr">
        <ns0:is>
          <ns0:t>China International Capital Corporation Hong Kong Securities Limited; CMB International Capital Limited; Goldman Sachs (Asia) L.L.C.; Tiger Brokers (HK) Global Limited</ns0:t>
        </ns0:is>
      </ns0:c>
      <ns0:c r="BX465" s="74" t="inlineStr">
        <ns0:is>
          <ns0:t>China International Capital Corporation Hong Kong Securities Limited; CMB International Capital Limited; Goldman Sachs (Asia) L.L.C.; Tiger Brokers (HK) Global Limited</ns0:t>
        </ns0:is>
      </ns0:c>
      <ns0:c r="BY465" s="93">
        <ns0:f>HYPERLINK("https://www1.hkexnews.hk/listedco/listconews/sehk/2026/0505/2026050500023.pdf","prospectus")</ns0:f>
        <ns0:v/>
      </ns0:c>
      <ns0:c r="BZ465" s="93">
        <ns0:f>HYPERLINK("https://www1.hkexnews.hk/listedco/listconews/sehk/2026/0512/2026051201406.pdf","allotment")</ns0:f>
        <ns0:v/>
      </ns0:c>
      <ns0:c r="CA465" s="93">
        <ns0:f>HYPERLINK("https://www1.hkexnews.hk/listedco/listconews/sehk/2026/0608/2026060800490.pdf","stabilisation")</ns0:f>
        <ns0:v/>
      </ns0:c>
      <ns0:c r="CB465" s="94" t="n"/>
      <ns0:c r="CC465" s="74" t="inlineStr">
        <ns0:is>
          <ns0:t>P/E: loss-making at IPO, use P/S; sponsor: English name not in the filing; AAStocks 保薦人 shown</ns0:t>
        </ns0:is>
      </ns0:c>
    </ns0:row>
    <ns0:row r="466" ht="22" customHeight="1">
      <ns0:c r="A466" s="73" t="inlineStr">
        <ns0:is>
          <ns0:t>7666</ns0:t>
        </ns0:is>
      </ns0:c>
      <ns0:c r="B466" s="74" t="inlineStr">
        <ns0:is>
          <ns0:t>METIS TECHBIO-P</ns0:t>
        </ns0:is>
      </ns0:c>
      <ns0:c r="C466" s="74" t="inlineStr">
        <ns0:is>
          <ns0:t>劑泰科技－Ｐ</ns0:t>
        </ns0:is>
      </ns0:c>
      <ns0:c r="D466" s="74" t="inlineStr">
        <ns0:is>
          <ns0:t>Healthcare</ns0:t>
        </ns0:is>
      </ns0:c>
      <ns0:c r="E466" s="74" t="inlineStr">
        <ns0:is>
          <ns0:t>Biotech pre-revenue (18A)</ns0:t>
        </ns0:is>
      </ns0:c>
      <ns0:c r="F466" s="74" t="inlineStr">
        <ns0:is>
          <ns0:t>Advanced materials</ns0:t>
        </ns0:is>
      </ns0:c>
      <ns0:c r="G466" s="74" t="inlineStr">
        <ns0:is>
          <ns0:t>18C</ns0:t>
        </ns0:is>
      </ns0:c>
      <ns0:c r="H466" s="75" t="n">
        <ns0:v>46155</ns0:v>
      </ns0:c>
      <ns0:c r="I466" s="76" t="n">
        <ns0:v>2112.9</ns0:v>
      </ns0:c>
      <ns0:c r="J466" s="74" t="inlineStr">
        <ns0:is>
          <ns0:t>gross (stated)</ns0:t>
        </ns0:is>
      </ns0:c>
      <ns0:c r="K466" s="95" t="n"/>
      <ns0:c r="L466" s="77" t="n">
        <ns0:v>10.5</ns0:v>
      </ns0:c>
      <ns0:c r="M466" s="77" t="n">
        <ns0:v>10.5</ns0:v>
      </ns0:c>
      <ns0:c r="N466" s="74" t="inlineStr">
        <ns0:is>
          <ns0:t>Y</ns0:t>
        </ns0:is>
      </ns0:c>
      <ns0:c r="O466" s="78" t="n">
        <ns0:v>100</ns0:v>
      </ns0:c>
      <ns0:c r="P466" s="84" t="n"/>
      <ns0:c r="Q466" s="79" t="n">
        <ns0:v>12101.4</ns0:v>
      </ns0:c>
      <ns0:c r="R466" s="74" t="inlineStr">
        <ns0:is>
          <ns0:t>prospectus:stated market capitalisation</ns0:t>
        </ns0:is>
      </ns0:c>
      <ns0:c r="S466" s="80" t="n">
        <ns0:v>6910.96</ns0:v>
      </ns0:c>
      <ns0:c r="T466" s="81" t="n">
        <ns0:v>33.86</ns0:v>
      </ns0:c>
      <ns0:c r="U466" s="82" t="n">
        <ns0:v>54.87</ns0:v>
      </ns0:c>
      <ns0:c r="V466" s="83" t="n">
        <ns0:v>208</ns0:v>
      </ns0:c>
      <ns0:c r="W466" s="78" t="n">
        <ns0:v>20</ns0:v>
      </ns0:c>
      <ns0:c r="X466" s="74" t="inlineStr">
        <ns0:is>
          <ns0:t>YES</ns0:t>
        </ns0:is>
      </ns0:c>
      <ns0:c r="Y466" s="79" t="n">
        <ns0:v>953.55</ns0:v>
      </ns0:c>
      <ns0:c r="Z466" s="79" t="n">
        <ns0:v>90814648</ns0:v>
      </ns0:c>
      <ns0:c r="AA466" s="78" t="n">
        <ns0:v>7.88</ns0:v>
      </ns0:c>
      <ns0:c r="AB466" s="74" t="inlineStr">
        <ns0:is>
          <ns0:t>BlackRock; UBS AM Singapore; China Venture Capital Innovation Investment Fund Co., Ltd; Mirae; HHLRA; Deerfield; RTW Funds; Arc Avenue; Huadeng Technology; Isometry Global; GF Fund; ICBCUBS Entities; ChinaAMC (HK); Fullgoal Fund; Lake Bleu; Sage Partners; ICBC Wealth Management Co., Ltd; ORIX Asia AM</ns0:t>
        </ns0:is>
      </ns0:c>
      <ns0:c r="AC466" s="74" t="inlineStr">
        <ns0:is>
          <ns0:t>blackrock;ubs;venture;mirae;hhlra;deerfield;rtw;arc;huadeng;isometry;gf;icbcubs;chinaamc;fullgoal;lake;sage;icbc;orix</ns0:t>
        </ns0:is>
      </ns0:c>
      <ns0:c r="AD466" s="78" t="n">
        <ns0:v>15</ns0:v>
      </ns0:c>
      <ns0:c r="AE466" s="74" t="inlineStr">
        <ns0:is>
          <ns0:t>full</ns0:t>
        </ns0:is>
      </ns0:c>
      <ns0:c r="AF466" s="74" t="inlineStr">
        <ns0:is>
          <ns0:t>2026-06-07</ns0:t>
        </ns0:is>
      </ns0:c>
      <ns0:c r="AG466" s="74" t="inlineStr">
        <ns0:is>
          <ns0:t>CLSA Limited</ns0:t>
        </ns0:is>
      </ns0:c>
      <ns0:c r="AH466" s="74" t="inlineStr">
        <ns0:is>
          <ns0:t>CLSA</ns0:t>
        </ns0:is>
      </ns0:c>
      <ns0:c r="AI466" s="86" t="n">
        <ns0:v>180</ns0:v>
      </ns0:c>
      <ns0:c r="AJ466" s="87" t="n">
        <ns0:v>126.67</ns0:v>
      </ns0:c>
      <ns0:c r="AK466" s="87" t="n">
        <ns0:v>-1.09</ns0:v>
      </ns0:c>
      <ns0:c r="AL466" s="87" t="n">
        <ns0:v>173.14</ns0:v>
      </ns0:c>
      <ns0:c r="AM466" s="87" t="n">
        <ns0:v>-17.01</ns0:v>
      </ns0:c>
      <ns0:c r="AN466" s="89" t="n">
        <ns0:v>2.1</ns0:v>
      </ns0:c>
      <ns0:c r="AO466" s="78" t="n">
        <ns0:v>26.08</ns0:v>
      </ns0:c>
      <ns0:c r="AP466" s="87" t="n">
        <ns0:v>71.43000000000001</ns0:v>
      </ns0:c>
      <ns0:c r="AQ466" s="87" t="n">
        <ns0:v>25.62</ns0:v>
      </ns0:c>
      <ns0:c r="AR466" s="87" t="n">
        <ns0:v>25.62</ns0:v>
      </ns0:c>
      <ns0:c r="AS466" s="87" t="n">
        <ns0:v>-24.37</ns0:v>
      </ns0:c>
      <ns0:c r="AT466" s="87" t="n">
        <ns0:v>-44.58</ns0:v>
      </ns0:c>
      <ns0:c r="AU466" s="87" t="n">
        <ns0:v>-44.58</ns0:v>
      </ns0:c>
      <ns0:c r="AV466" s="87" t="n">
        <ns0:v>78.94</ns0:v>
      </ns0:c>
      <ns0:c r="AW466" s="87" t="n">
        <ns0:v>40.08</ns0:v>
      </ns0:c>
      <ns0:c r="AX466" s="87" t="n">
        <ns0:v>17.33</ns0:v>
      </ns0:c>
      <ns0:c r="AY466" s="87" t="n">
        <ns0:v>-31.06</ns0:v>
      </ns0:c>
      <ns0:c r="AZ466" s="87" t="n">
        <ns0:v>-14.46</ns0:v>
      </ns0:c>
      <ns0:c r="BA466" s="87" t="n">
        <ns0:v>-13.52</ns0:v>
      </ns0:c>
      <ns0:c r="BB466" s="74" t="inlineStr">
        <ns0:is>
          <ns0:t>China Biotech ETF (HS biotech proxy)</ns0:t>
        </ns0:is>
      </ns0:c>
      <ns0:c r="BC466" s="87" t="n">
        <ns0:v>76.38</ns0:v>
      </ns0:c>
      <ns0:c r="BD466" s="75" t="n">
        <ns0:v>46297</ns0:v>
      </ns0:c>
      <ns0:c r="BE466" s="76" t="n">
        <ns0:v>115.5</ns0:v>
      </ns0:c>
      <ns0:c r="BF466" s="79" t="n">
        <ns0:v>-431</ns0:v>
      </ns0:c>
      <ns0:c r="BG466" s="74" t="inlineStr">
        <ns0:is>
          <ns0:t>N</ns0:t>
        </ns0:is>
      </ns0:c>
      <ns0:c r="BH466" s="74" t="inlineStr">
        <ns0:is>
          <ns0:t>n/m</ns0:t>
        </ns0:is>
      </ns0:c>
      <ns0:c r="BI466" s="88" t="n"/>
      <ns0:c r="BJ466" s="88" t="n"/>
      <ns0:c r="BK466" s="89" t="n">
        <ns0:v>104.8</ns0:v>
      </ns0:c>
      <ns0:c r="BL466" s="90">
        <ns0:f>IFERROR(IF('BBG Verify'!S466="","Awaiting Bloomberg",'BBG Verify'!S466),"Awaiting Bloomberg")</ns0:f>
        <ns0:v/>
      </ns0:c>
      <ns0:c r="BM466" s="91" t="inlineStr">
        <ns0:is>
          <ns0:t>N</ns0:t>
        </ns0:is>
      </ns0:c>
      <ns0:c r="BN466" s="92">
        <ns0:f>IFERROR(IF('BBG Verify'!K466="","Awaiting Bloomberg",'BBG Verify'!K466),"Awaiting Bloomberg")</ns0:f>
        <ns0:v/>
      </ns0:c>
      <ns0:c r="BO466" s="74" t="inlineStr">
        <ns0:is>
          <ns0:t>N/A</ns0:t>
        </ns0:is>
      </ns0:c>
      <ns0:c r="BP466" s="74" t="inlineStr">
        <ns0:is>
          <ns0:t>N/A</ns0:t>
        </ns0:is>
      </ns0:c>
      <ns0:c r="BQ466" s="74" t="inlineStr">
        <ns0:is>
          <ns0:t>N/A</ns0:t>
        </ns0:is>
      </ns0:c>
      <ns0:c r="BR466" s="74" t="inlineStr">
        <ns0:is>
          <ns0:t>N/A</ns0:t>
        </ns0:is>
      </ns0:c>
      <ns0:c r="BS466" s="74" t="inlineStr">
        <ns0:is>
          <ns0:t>N/A</ns0:t>
        </ns0:is>
      </ns0:c>
      <ns0:c r="BT466" s="74" t="inlineStr">
        <ns0:is>
          <ns0:t>N/A</ns0:t>
        </ns0:is>
      </ns0:c>
      <ns0:c r="BU466" s="91" t="inlineStr">
        <ns0:is>
          <ns0:t>Jefferies Hong Kong Limited; Deutsche Securities Asia Limited; CITIC Securities (Hong Kong) Limited</ns0:t>
        </ns0:is>
      </ns0:c>
      <ns0:c r="BV466" s="74" t="inlineStr">
        <ns0:is>
          <ns0:t>Jefferies Hong Kong Limited; CITIC Securities (Hong Kong) Limited; Deutsche Securities Asia Limited</ns0:t>
        </ns0:is>
      </ns0:c>
      <ns0:c r="BW466" s="74" t="inlineStr">
        <ns0:is>
          <ns0:t>Futu Securities International (Hong Kong) Limited</ns0:t>
        </ns0:is>
      </ns0:c>
      <ns0:c r="BX466" s="74" t="inlineStr">
        <ns0:is>
          <ns0:t>CLSA Limited; CMB International Capital Limited; Deutsche Bank AG, Hong Kong Branch; Futu Securities International (Hong Kong) Limited; Jefferies Hong Kong Limited</ns0:t>
        </ns0:is>
      </ns0:c>
      <ns0:c r="BY466" s="93">
        <ns0:f>HYPERLINK("https://www1.hkexnews.hk/listedco/listconews/sehk/2026/0505/2026050500019.pdf","prospectus")</ns0:f>
        <ns0:v/>
      </ns0:c>
      <ns0:c r="BZ466" s="93">
        <ns0:f>HYPERLINK("https://www1.hkexnews.hk/listedco/listconews/sehk/2026/0512/2026051201482.pdf","allotment")</ns0:f>
        <ns0:v/>
      </ns0:c>
      <ns0:c r="CA466" s="93">
        <ns0:f>HYPERLINK("https://www1.hkexnews.hk/listedco/listconews/sehk/2026/0605/2026060501450.pdf","stabilisation")</ns0:f>
        <ns0:v/>
      </ns0:c>
      <ns0:c r="CB466" s="94" t="n"/>
      <ns0:c r="CC466" s="74" t="inlineStr">
        <ns0:is>
          <ns0:t>P/E: loss-making at IPO, use P/S; range low: maximum offer price only, no floor published</ns0:t>
        </ns0:is>
      </ns0:c>
    </ns0:row>
    <ns0:row r="467" ht="22" customHeight="1">
      <ns0:c r="A467" s="73" t="inlineStr">
        <ns0:is>
          <ns0:t>6871</ns0:t>
        </ns0:is>
      </ns0:c>
      <ns0:c r="B467" s="74" t="inlineStr">
        <ns0:is>
          <ns0:t>ROBOTPHOENIX</ns0:t>
        </ns0:is>
      </ns0:c>
      <ns0:c r="C467" s="74" t="inlineStr">
        <ns0:is>
          <ns0:t>翼菲科技</ns0:t>
        </ns0:is>
      </ns0:c>
      <ns0:c r="D467" s="74" t="inlineStr">
        <ns0:is>
          <ns0:t>Technology</ns0:t>
        </ns0:is>
      </ns0:c>
      <ns0:c r="E467" s="74" t="inlineStr">
        <ns0:is>
          <ns0:t>Robotics &amp; autonomous driving</ns0:t>
        </ns0:is>
      </ns0:c>
      <ns0:c r="F467" s="74" t="inlineStr">
        <ns0:is>
          <ns0:t>Advanced hardware and software</ns0:t>
        </ns0:is>
      </ns0:c>
      <ns0:c r="G467" s="74" t="inlineStr">
        <ns0:is>
          <ns0:t>18C</ns0:t>
        </ns0:is>
      </ns0:c>
      <ns0:c r="H467" s="75" t="n">
        <ns0:v>46160</ns0:v>
      </ns0:c>
      <ns0:c r="I467" s="76" t="n">
        <ns0:v>750.3</ns0:v>
      </ns0:c>
      <ns0:c r="J467" s="74" t="inlineStr">
        <ns0:is>
          <ns0:t>gross (stated)</ns0:t>
        </ns0:is>
      </ns0:c>
      <ns0:c r="K467" s="95" t="n"/>
      <ns0:c r="L467" s="77" t="n">
        <ns0:v>30.5</ns0:v>
      </ns0:c>
      <ns0:c r="M467" s="77" t="n">
        <ns0:v>30.5</ns0:v>
      </ns0:c>
      <ns0:c r="N467" s="74" t="inlineStr">
        <ns0:is>
          <ns0:t>Y</ns0:t>
        </ns0:is>
      </ns0:c>
      <ns0:c r="O467" s="78" t="n">
        <ns0:v>100</ns0:v>
      </ns0:c>
      <ns0:c r="P467" s="84" t="n"/>
      <ns0:c r="Q467" s="79" t="n">
        <ns0:v>7471.1</ns0:v>
      </ns0:c>
      <ns0:c r="R467" s="74" t="inlineStr">
        <ns0:is>
          <ns0:t>derived:price x shares upon listing</ns0:t>
        </ns0:is>
      </ns0:c>
      <ns0:c r="S467" s="80" t="n">
        <ns0:v>14855.4</ns0:v>
      </ns0:c>
      <ns0:c r="T467" s="81" t="n">
        <ns0:v>9.77</ns0:v>
      </ns0:c>
      <ns0:c r="U467" s="82" t="n">
        <ns0:v>0</ns0:v>
      </ns0:c>
      <ns0:c r="V467" s="83" t="n">
        <ns0:v>133</ns0:v>
      </ns0:c>
      <ns0:c r="W467" s="78" t="n">
        <ns0:v>20</ns0:v>
      </ns0:c>
      <ns0:c r="X467" s="74" t="inlineStr">
        <ns0:is>
          <ns0:t>YES</ns0:t>
        </ns0:is>
      </ns0:c>
      <ns0:c r="Y467" s="79" t="n">
        <ns0:v>750.3</ns0:v>
      </ns0:c>
      <ns0:c r="Z467" s="79" t="n">
        <ns0:v>24600000</ns0:v>
      </ns0:c>
      <ns0:c r="AA467" s="78" t="n">
        <ns0:v>10.04</ns0:v>
      </ns0:c>
      <ns0:c r="AB467" s="74" t="inlineStr">
        <ns0:is>
          <ns0:t>none — no cornerstone tranche</ns0:t>
        </ns0:is>
      </ns0:c>
      <ns0:c r="AC467" s="74" t="inlineStr">
        <ns0:is>
          <ns0:t>none</ns0:t>
        </ns0:is>
      </ns0:c>
      <ns0:c r="AD467" s="84" t="n"/>
      <ns0:c r="AE467" s="85" t="n"/>
      <ns0:c r="AF467" s="85" t="n"/>
      <ns0:c r="AG467" s="85" t="n"/>
      <ns0:c r="AH467" s="85" t="n"/>
      <ns0:c r="AI467" s="86" t="n">
        <ns0:v>79.18000000000001</ns0:v>
      </ns0:c>
      <ns0:c r="AJ467" s="87" t="n">
        <ns0:v>76.23</ns0:v>
      </ns0:c>
      <ns0:c r="AK467" s="87" t="n">
        <ns0:v>-1.95</ns0:v>
      </ns0:c>
      <ns0:c r="AL467" s="87" t="n">
        <ns0:v>79.18000000000001</ns0:v>
      </ns0:c>
      <ns0:c r="AM467" s="87" t="n">
        <ns0:v>-1.65</ns0:v>
      </ns0:c>
      <ns0:c r="AN467" s="89" t="n">
        <ns0:v>2.58</ns0:v>
      </ns0:c>
      <ns0:c r="AO467" s="78" t="n">
        <ns0:v>14</ns0:v>
      </ns0:c>
      <ns0:c r="AP467" s="87" t="n">
        <ns0:v>12.72</ns0:v>
      </ns0:c>
      <ns0:c r="AQ467" s="87" t="n">
        <ns0:v>23.28</ns0:v>
      </ns0:c>
      <ns0:c r="AR467" s="87" t="n">
        <ns0:v>7.54</ns0:v>
      </ns0:c>
      <ns0:c r="AS467" s="87" t="n">
        <ns0:v>-36.04</ns0:v>
      </ns0:c>
      <ns0:c r="AT467" s="87" t="n">
        <ns0:v>-30.05</ns0:v>
      </ns0:c>
      <ns0:c r="AU467" s="87" t="n">
        <ns0:v>-38.98</ns0:v>
      </ns0:c>
      <ns0:c r="AV467" s="87" t="n">
        <ns0:v>12.51</ns0:v>
      </ns0:c>
      <ns0:c r="AW467" s="87" t="n">
        <ns0:v>28.75</ns0:v>
      </ns0:c>
      <ns0:c r="AX467" s="87" t="n">
        <ns0:v>11.23</ns0:v>
      </ns0:c>
      <ns0:c r="AY467" s="87" t="n">
        <ns0:v>-26.46</ns0:v>
      </ns0:c>
      <ns0:c r="AZ467" s="87" t="n">
        <ns0:v>-5.47</ns0:v>
      </ns0:c>
      <ns0:c r="BA467" s="87" t="n">
        <ns0:v>-3.59</ns0:v>
      </ns0:c>
      <ns0:c r="BB467" s="74" t="inlineStr">
        <ns0:is>
          <ns0:t>HSTECH (Hang Seng TECH ETF)</ns0:t>
        </ns0:is>
      </ns0:c>
      <ns0:c r="BC467" s="87" t="n">
        <ns0:v>-5.84</ns0:v>
      </ns0:c>
      <ns0:c r="BD467" s="75" t="n">
        <ns0:v>46297</ns0:v>
      </ns0:c>
      <ns0:c r="BE467" s="76" t="n">
        <ns0:v>426.1</ns0:v>
      </ns0:c>
      <ns0:c r="BF467" s="79" t="n">
        <ns0:v>-168.2</ns0:v>
      </ns0:c>
      <ns0:c r="BG467" s="74" t="inlineStr">
        <ns0:is>
          <ns0:t>N</ns0:t>
        </ns0:is>
      </ns0:c>
      <ns0:c r="BH467" s="74" t="inlineStr">
        <ns0:is>
          <ns0:t>n/m</ns0:t>
        </ns0:is>
      </ns0:c>
      <ns0:c r="BI467" s="88" t="n"/>
      <ns0:c r="BJ467" s="88" t="n"/>
      <ns0:c r="BK467" s="89" t="n">
        <ns0:v>17.5</ns0:v>
      </ns0:c>
      <ns0:c r="BL467" s="90">
        <ns0:f>IFERROR(IF('BBG Verify'!S467="","Awaiting Bloomberg",'BBG Verify'!S467),"Awaiting Bloomberg")</ns0:f>
        <ns0:v/>
      </ns0:c>
      <ns0:c r="BM467" s="91" t="inlineStr">
        <ns0:is>
          <ns0:t>N</ns0:t>
        </ns0:is>
      </ns0:c>
      <ns0:c r="BN467" s="92">
        <ns0:f>IFERROR(IF('BBG Verify'!K467="","Awaiting Bloomberg",'BBG Verify'!K467),"Awaiting Bloomberg")</ns0:f>
        <ns0:v/>
      </ns0:c>
      <ns0:c r="BO467" s="74" t="inlineStr">
        <ns0:is>
          <ns0:t>N/A</ns0:t>
        </ns0:is>
      </ns0:c>
      <ns0:c r="BP467" s="74" t="inlineStr">
        <ns0:is>
          <ns0:t>N/A</ns0:t>
        </ns0:is>
      </ns0:c>
      <ns0:c r="BQ467" s="74" t="inlineStr">
        <ns0:is>
          <ns0:t>N/A</ns0:t>
        </ns0:is>
      </ns0:c>
      <ns0:c r="BR467" s="74" t="inlineStr">
        <ns0:is>
          <ns0:t>N/A</ns0:t>
        </ns0:is>
      </ns0:c>
      <ns0:c r="BS467" s="74" t="inlineStr">
        <ns0:is>
          <ns0:t>N/A</ns0:t>
        </ns0:is>
      </ns0:c>
      <ns0:c r="BT467" s="74" t="inlineStr">
        <ns0:is>
          <ns0:t>N/A</ns0:t>
        </ns0:is>
      </ns0:c>
      <ns0:c r="BU467" s="91" t="inlineStr">
        <ns0:is>
          <ns0:t>ABCI Capital Limited</ns0:t>
        </ns0:is>
      </ns0:c>
      <ns0:c r="BV467" s="74" t="inlineStr">
        <ns0:is>
          <ns0:t>ABCI Capital Limited</ns0:t>
        </ns0:is>
      </ns0:c>
      <ns0:c r="BW467" s="74" t="inlineStr">
        <ns0:is>
          <ns0:t>ABCI Capital Limited; CLSA Limited; Ping An Securities (Hong Kong) Company Limited; China Industrial Securities International Capital Limited; CMBC Securities Company Limited; Huafu International Securities Limited; Shenwan Hongyuan Securities (H.K.) Limited; SPDB International Capital Limited</ns0:t>
        </ns0:is>
      </ns0:c>
      <ns0:c r="BX467" s="74" t="inlineStr">
        <ns0:is>
          <ns0: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ns0:t>
        </ns0:is>
      </ns0:c>
      <ns0:c r="BY467" s="93">
        <ns0:f>HYPERLINK("https://www1.hkexnews.hk/listedco/listconews/sehk/2026/0508/2026050800015.pdf","prospectus")</ns0:f>
        <ns0:v/>
      </ns0:c>
      <ns0:c r="BZ467" s="93">
        <ns0:f>HYPERLINK("https://www1.hkexnews.hk/listedco/listconews/sehk/2026/0515/2026051502141.pdf","allotment")</ns0:f>
        <ns0:v/>
      </ns0:c>
      <ns0:c r="CA467" s="85" t="n"/>
      <ns0:c r="CB467" s="94" t="n"/>
      <ns0:c r="CC467" s="74" t="inlineStr">
        <ns0:is>
          <ns0:t>P/E: loss-making at IPO, use P/S; greenshoe: no over-allotment option; range low: maximum offer price only, no floor published; market cap: prospectus 'market capitalisation' line is the listing-rule threshold, not the issuer's figure; rejected; cornerstone list: no cornerstone tranche; greenshoe size: no over-allotment option; stabilising manager: no over-allotment option, so none appointed</ns0:t>
        </ns0:is>
      </ns0:c>
    </ns0:row>
    <ns0:row r="468" ht="22" customHeight="1">
      <ns0:c r="A468" s="73" t="inlineStr">
        <ns0:is>
          <ns0:t>1511</ns0:t>
        </ns0:is>
      </ns0:c>
      <ns0:c r="B468" s="74" t="inlineStr">
        <ns0:is>
          <ns0:t>UISEE TECH</ns0:t>
        </ns0:is>
      </ns0:c>
      <ns0:c r="C468" s="74" t="inlineStr">
        <ns0:is>
          <ns0:t>馭勢科技</ns0:t>
        </ns0:is>
      </ns0:c>
      <ns0:c r="D468" s="74" t="inlineStr">
        <ns0:is>
          <ns0:t>Technology</ns0:t>
        </ns0:is>
      </ns0:c>
      <ns0:c r="E468" s="74" t="inlineStr">
        <ns0:is>
          <ns0:t>Robotics &amp; autonomous driving</ns0:t>
        </ns0:is>
      </ns0:c>
      <ns0:c r="F468" s="74" t="inlineStr">
        <ns0:is>
          <ns0:t>Advanced hardware and software</ns0:t>
        </ns0:is>
      </ns0:c>
      <ns0:c r="G468" s="74" t="inlineStr">
        <ns0:is>
          <ns0:t>18C</ns0:t>
        </ns0:is>
      </ns0:c>
      <ns0:c r="H468" s="75" t="n">
        <ns0:v>46162</ns0:v>
      </ns0:c>
      <ns0:c r="I468" s="76" t="n">
        <ns0:v>872</ns0:v>
      </ns0:c>
      <ns0:c r="J468" s="74" t="inlineStr">
        <ns0:is>
          <ns0:t>gross (stated)</ns0:t>
        </ns0:is>
      </ns0:c>
      <ns0:c r="K468" s="95" t="n"/>
      <ns0:c r="L468" s="77" t="n">
        <ns0:v>60.3</ns0:v>
      </ns0:c>
      <ns0:c r="M468" s="77" t="n">
        <ns0:v>60.3</ns0:v>
      </ns0:c>
      <ns0:c r="N468" s="74" t="inlineStr">
        <ns0:is>
          <ns0:t>Y</ns0:t>
        </ns0:is>
      </ns0:c>
      <ns0:c r="O468" s="78" t="n">
        <ns0:v>100</ns0:v>
      </ns0:c>
      <ns0:c r="P468" s="84" t="n"/>
      <ns0:c r="Q468" s="79" t="n">
        <ns0:v>9797.799999999999</ns0:v>
      </ns0:c>
      <ns0:c r="R468" s="74" t="inlineStr">
        <ns0:is>
          <ns0:t>derived:price x shares upon listing</ns0:t>
        </ns0:is>
      </ns0:c>
      <ns0:c r="S468" s="80" t="n">
        <ns0:v>6777.29</ns0:v>
      </ns0:c>
      <ns0:c r="T468" s="81" t="n">
        <ns0:v>5.66</ns0:v>
      </ns0:c>
      <ns0:c r="U468" s="82" t="n">
        <ns0:v>29.96</ns0:v>
      </ns0:c>
      <ns0:c r="V468" s="83" t="n">
        <ns0:v>87</ns0:v>
      </ns0:c>
      <ns0:c r="W468" s="78" t="n">
        <ns0:v>20</ns0:v>
      </ns0:c>
      <ns0:c r="X468" s="74" t="inlineStr">
        <ns0:is>
          <ns0:t>YES</ns0:t>
        </ns0:is>
      </ns0:c>
      <ns0:c r="Y468" s="79" t="n">
        <ns0:v>610.75</ns0:v>
      </ns0:c>
      <ns0:c r="Z468" s="79" t="n">
        <ns0:v>10128624</ns0:v>
      </ns0:c>
      <ns0:c r="AA468" s="78" t="n">
        <ns0:v>6.23</ns0:v>
      </ns0:c>
      <ns0:c r="AB468" s="74" t="inlineStr">
        <ns0:is>
          <ns0:t>CYGG Holding Limited; Starwin International A LPF; Xiongan Autonomous Driving Limited</ns0:t>
        </ns0:is>
      </ns0:c>
      <ns0:c r="AC468" s="74" t="inlineStr">
        <ns0:is>
          <ns0:t>cygg;starwin;xiongan</ns0:t>
        </ns0:is>
      </ns0:c>
      <ns0:c r="AD468" s="84" t="n"/>
      <ns0:c r="AE468" s="85" t="n"/>
      <ns0:c r="AF468" s="85" t="n"/>
      <ns0:c r="AG468" s="85" t="n"/>
      <ns0:c r="AH468" s="85" t="n"/>
      <ns0:c r="AI468" s="105" t="n">
        <ns0:v>-1.24</ns0:v>
      </ns0:c>
      <ns0:c r="AJ468" s="87" t="n">
        <ns0:v>-4.64</ns0:v>
      </ns0:c>
      <ns0:c r="AK468" s="87" t="n">
        <ns0:v>0.21</ns0:v>
      </ns0:c>
      <ns0:c r="AL468" s="87" t="n">
        <ns0:v>-7.13</ns0:v>
      </ns0:c>
      <ns0:c r="AM468" s="87" t="n">
        <ns0:v>2.68</ns0:v>
      </ns0:c>
      <ns0:c r="AN468" s="89" t="n">
        <ns0:v>2.18</ns0:v>
      </ns0:c>
      <ns0:c r="AO468" s="78" t="n">
        <ns0:v>20.54</ns0:v>
      </ns0:c>
      <ns0:c r="AP468" s="87" t="n">
        <ns0:v>22.31</ns0:v>
      </ns0:c>
      <ns0:c r="AQ468" s="87" t="n">
        <ns0:v>68.66</ns0:v>
      </ns0:c>
      <ns0:c r="AR468" s="87" t="n">
        <ns0:v>-0.83</ns0:v>
      </ns0:c>
      <ns0:c r="AS468" s="87" t="n">
        <ns0:v>28.26</ns0:v>
      </ns0:c>
      <ns0:c r="AT468" s="87" t="n">
        <ns0:v>76.87</ns0:v>
      </ns0:c>
      <ns0:c r="AU468" s="87" t="n">
        <ns0:v>4</ns0:v>
      </ns0:c>
      <ns0:c r="AV468" s="87" t="n">
        <ns0:v>21.85</ns0:v>
      </ns0:c>
      <ns0:c r="AW468" s="87" t="n">
        <ns0:v>74.88</ns0:v>
      </ns0:c>
      <ns0:c r="AX468" s="87" t="n">
        <ns0:v>2.41</ns0:v>
      </ns0:c>
      <ns0:c r="AY468" s="87" t="n">
        <ns0:v>83.29000000000001</ns0:v>
      </ns0:c>
      <ns0:c r="AZ468" s="87" t="n">
        <ns0:v>-6.22</ns0:v>
      </ns0:c>
      <ns0:c r="BA468" s="87" t="n">
        <ns0:v>-6.42</ns0:v>
      </ns0:c>
      <ns0:c r="BB468" s="74" t="inlineStr">
        <ns0:is>
          <ns0:t>HSTECH (Hang Seng TECH ETF)</ns0:t>
        </ns0:is>
      </ns0:c>
      <ns0:c r="BC468" s="87" t="n">
        <ns0:v>-15.42</ns0:v>
      </ns0:c>
      <ns0:c r="BD468" s="75" t="n">
        <ns0:v>46297</ns0:v>
      </ns0:c>
      <ns0:c r="BE468" s="76" t="n">
        <ns0:v>161.3</ns0:v>
      </ns0:c>
      <ns0:c r="BF468" s="79" t="n">
        <ns0:v>-253.2</ns0:v>
      </ns0:c>
      <ns0:c r="BG468" s="74" t="inlineStr">
        <ns0:is>
          <ns0:t>N</ns0:t>
        </ns0:is>
      </ns0:c>
      <ns0:c r="BH468" s="74" t="inlineStr">
        <ns0:is>
          <ns0:t>n/m</ns0:t>
        </ns0:is>
      </ns0:c>
      <ns0:c r="BI468" s="88" t="n"/>
      <ns0:c r="BJ468" s="88" t="n"/>
      <ns0:c r="BK468" s="89" t="n">
        <ns0:v>60.7</ns0:v>
      </ns0:c>
      <ns0:c r="BL468" s="90">
        <ns0:f>IFERROR(IF('BBG Verify'!S468="","Awaiting Bloomberg",'BBG Verify'!S468),"Awaiting Bloomberg")</ns0:f>
        <ns0:v/>
      </ns0:c>
      <ns0:c r="BM468" s="91" t="inlineStr">
        <ns0:is>
          <ns0:t>N</ns0:t>
        </ns0:is>
      </ns0:c>
      <ns0:c r="BN468" s="92">
        <ns0:f>IFERROR(IF('BBG Verify'!K468="","Awaiting Bloomberg",'BBG Verify'!K468),"Awaiting Bloomberg")</ns0:f>
        <ns0:v/>
      </ns0:c>
      <ns0:c r="BO468" s="74" t="inlineStr">
        <ns0:is>
          <ns0:t>N/A</ns0:t>
        </ns0:is>
      </ns0:c>
      <ns0:c r="BP468" s="74" t="inlineStr">
        <ns0:is>
          <ns0:t>N/A</ns0:t>
        </ns0:is>
      </ns0:c>
      <ns0:c r="BQ468" s="74" t="inlineStr">
        <ns0:is>
          <ns0:t>N/A</ns0:t>
        </ns0:is>
      </ns0:c>
      <ns0:c r="BR468" s="74" t="inlineStr">
        <ns0:is>
          <ns0:t>N/A</ns0:t>
        </ns0:is>
      </ns0:c>
      <ns0:c r="BS468" s="74" t="inlineStr">
        <ns0:is>
          <ns0:t>N/A</ns0:t>
        </ns0:is>
      </ns0:c>
      <ns0:c r="BT468" s="74" t="inlineStr">
        <ns0:is>
          <ns0:t>N/A</ns0:t>
        </ns0:is>
      </ns0:c>
      <ns0:c r="BU468" s="91" t="inlineStr">
        <ns0:is>
          <ns0:t>CITIC Securities (Hong Kong) Limited</ns0:t>
        </ns0:is>
      </ns0:c>
      <ns0:c r="BV468" s="74" t="inlineStr">
        <ns0:is>
          <ns0:t>CITIC Securities (Hong Kong) Limited</ns0:t>
        </ns0:is>
      </ns0:c>
      <ns0:c r="BW468" s="74" t="inlineStr">
        <ns0:is>
          <ns0: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ns0:t>
        </ns0:is>
      </ns0:c>
      <ns0:c r="BX468" s="74" t="inlineStr">
        <ns0:is>
          <ns0: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ns0:t>
        </ns0:is>
      </ns0:c>
      <ns0:c r="BY468" s="93">
        <ns0:f>HYPERLINK("https://www1.hkexnews.hk/listedco/listconews/sehk/2026/0512/2026051200147.pdf","prospectus")</ns0:f>
        <ns0:v/>
      </ns0:c>
      <ns0:c r="BZ468" s="93">
        <ns0:f>HYPERLINK("https://www1.hkexnews.hk/listedco/listconews/sehk/2026/0519/2026051901257.pdf","allotment")</ns0:f>
        <ns0:v/>
      </ns0:c>
      <ns0:c r="CA468" s="85" t="n"/>
      <ns0:c r="CB468" s="94" t="n"/>
      <ns0:c r="CC468" s="74" t="inlineStr">
        <ns0:is>
          <ns0: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ns0:t>
        </ns0:is>
      </ns0:c>
    </ns0:row>
    <ns0:row r="469" ht="22" customHeight="1">
      <ns0:c r="A469" s="73" t="inlineStr">
        <ns0:is>
          <ns0:t>7688</ns0:t>
        </ns0:is>
      </ns0:c>
      <ns0:c r="B469" s="74" t="inlineStr">
        <ns0:is>
          <ns0:t>TOPNC</ns0:t>
        </ns0:is>
      </ns0:c>
      <ns0:c r="C469" s="74" t="inlineStr">
        <ns0:is>
          <ns0:t>拓璞數控</ns0:t>
        </ns0:is>
      </ns0:c>
      <ns0:c r="D469" s="74" t="inlineStr">
        <ns0:is>
          <ns0:t>Industrials</ns0:t>
        </ns0:is>
      </ns0:c>
      <ns0:c r="E469" s="74" t="inlineStr">
        <ns0:is>
          <ns0:t>Capital goods / machinery</ns0:t>
        </ns0:is>
      </ns0:c>
      <ns0:c r="F469" s="74" t="inlineStr">
        <ns0:is>
          <ns0:t>Electrical Components &amp; Equipment</ns0:t>
        </ns0:is>
      </ns0:c>
      <ns0:c r="G469" s="74" t="inlineStr">
        <ns0:is>
          <ns0:t>Standard</ns0:t>
        </ns0:is>
      </ns0:c>
      <ns0:c r="H469" s="75" t="n">
        <ns0:v>46162</ns0:v>
      </ns0:c>
      <ns0:c r="I469" s="76" t="n">
        <ns0:v>1724</ns0:v>
      </ns0:c>
      <ns0:c r="J469" s="74" t="inlineStr">
        <ns0:is>
          <ns0:t>gross (stated)</ns0:t>
        </ns0:is>
      </ns0:c>
      <ns0:c r="K469" s="95" t="n"/>
      <ns0:c r="L469" s="77" t="n">
        <ns0:v>26.39</ns0:v>
      </ns0:c>
      <ns0:c r="M469" s="77" t="n">
        <ns0:v>26.39</ns0:v>
      </ns0:c>
      <ns0:c r="N469" s="74" t="inlineStr">
        <ns0:is>
          <ns0:t>Y</ns0:t>
        </ns0:is>
      </ns0:c>
      <ns0:c r="O469" s="78" t="n">
        <ns0:v>100</ns0:v>
      </ns0:c>
      <ns0:c r="P469" s="84" t="n"/>
      <ns0:c r="Q469" s="79" t="n">
        <ns0:v>9631.299999999999</ns0:v>
      </ns0:c>
      <ns0:c r="R469" s="74" t="inlineStr">
        <ns0:is>
          <ns0:t>derived:deal size / offer % of enlarged capital</ns0:t>
        </ns0:is>
      </ns0:c>
      <ns0:c r="S469" s="80" t="n">
        <ns0:v>3764.63</ns0:v>
      </ns0:c>
      <ns0:c r="T469" s="81" t="n">
        <ns0:v>30.46</ns0:v>
      </ns0:c>
      <ns0:c r="U469" s="82" t="n">
        <ns0:v>50</ns0:v>
      </ns0:c>
      <ns0:c r="V469" s="83" t="n">
        <ns0:v>104</ns0:v>
      </ns0:c>
      <ns0:c r="W469" s="78" t="n">
        <ns0:v>10</ns0:v>
      </ns0:c>
      <ns0:c r="X469" s="74" t="inlineStr">
        <ns0:is>
          <ns0:t>NO</ns0:t>
        </ns0:is>
      </ns0:c>
      <ns0:c r="Y469" s="79" t="n">
        <ns0:v>862</ns0:v>
      </ns0:c>
      <ns0:c r="Z469" s="79" t="n">
        <ns0:v>32665000</ns0:v>
      </ns0:c>
      <ns0:c r="AA469" s="78" t="n">
        <ns0:v>8.949999999999999</ns0:v>
      </ns0:c>
      <ns0:c r="AB469" s="74" t="inlineStr">
        <ns0:is>
          <ns0:t>RBC Global Asset Management (Asia) Limited; 3W Fund Management Limited; Boyu Capital Management (Singapore) Pte. Ltd. (Notes 3 and 4); HHLR Advisors, Ltd; UBS Asset Management (Singapore) Ltd; CDH Global Frontier Ventures Limited; Cithara Global Multi-Strategy SPC — Disruptive Innovation Investment Fund SP; Fullgoal Asset Management (HK) Limited; Fullgoal Fund Management Co., Ltd; China Asset Management Co., Ltd; Shanghai Minhang Financial Investment Development Co., Ltd. (Notes 3 and 7); TT International Asset Management Ltd; Mirae Asset Securities Co., Ltd; Goldman Sachs Asset Management (Hong Kong) Limited</ns0:t>
        </ns0:is>
      </ns0:c>
      <ns0:c r="AC469" s="74" t="inlineStr">
        <ns0:is>
          <ns0:t>rbc;3w;boyu;hhlr;ubs;cdh;cithara;fullgoal;china-asset;shanghai-minhang;tt;mirae;goldman</ns0:t>
        </ns0:is>
      </ns0:c>
      <ns0:c r="AD469" s="78" t="n">
        <ns0:v>15</ns0:v>
      </ns0:c>
      <ns0:c r="AE469" s="74" t="inlineStr">
        <ns0:is>
          <ns0:t>full</ns0:t>
        </ns0:is>
      </ns0:c>
      <ns0:c r="AF469" s="85" t="n"/>
      <ns0:c r="AG469" s="74" t="inlineStr">
        <ns0:is>
          <ns0:t>Guotai Junan Securities</ns0:t>
        </ns0:is>
      </ns0:c>
      <ns0:c r="AH469" s="74" t="inlineStr">
        <ns0:is>
          <ns0:t>Guotai Junan</ns0:t>
        </ns0:is>
      </ns0:c>
      <ns0:c r="AI469" s="86" t="n">
        <ns0:v>47.78</ns0:v>
      </ns0:c>
      <ns0:c r="AJ469" s="87" t="n">
        <ns0:v>79.98999999999999</ns0:v>
      </ns0:c>
      <ns0:c r="AK469" s="87" t="n">
        <ns0:v>-0.34</ns0:v>
      </ns0:c>
      <ns0:c r="AL469" s="87" t="n">
        <ns0:v>40.2</ns0:v>
      </ns0:c>
      <ns0:c r="AM469" s="87" t="n">
        <ns0:v>28.38</ns0:v>
      </ns0:c>
      <ns0:c r="AN469" s="89" t="n">
        <ns0:v>6.2</ns0:v>
      </ns0:c>
      <ns0:c r="AO469" s="78" t="n">
        <ns0:v>39.46</ns0:v>
      </ns0:c>
      <ns0:c r="AP469" s="87" t="n">
        <ns0:v>35.66</ns0:v>
      </ns0:c>
      <ns0:c r="AQ469" s="87" t="n">
        <ns0:v>11.25</ns0:v>
      </ns0:c>
      <ns0:c r="AR469" s="87" t="n">
        <ns0:v>-38.8</ns0:v>
      </ns0:c>
      <ns0:c r="AS469" s="87" t="n">
        <ns0:v>-24.63</ns0:v>
      </ns0:c>
      <ns0:c r="AT469" s="87" t="n">
        <ns0:v>-38.19</ns0:v>
      </ns0:c>
      <ns0:c r="AU469" s="87" t="n">
        <ns0:v>-66</ns0:v>
      </ns0:c>
      <ns0:c r="AV469" s="87" t="n">
        <ns0:v>39.23</ns0:v>
      </ns0:c>
      <ns0:c r="AW469" s="87" t="n">
        <ns0:v>21.16</ns0:v>
      </ns0:c>
      <ns0:c r="AX469" s="87" t="n">
        <ns0:v>-37.74</ns0:v>
      </ns0:c>
      <ns0:c r="AY469" s="87" t="n">
        <ns0:v>-28.58</ns0:v>
      </ns0:c>
      <ns0:c r="AZ469" s="87" t="n">
        <ns0:v>-9.91</ns0:v>
      </ns0:c>
      <ns0:c r="BA469" s="87" t="n">
        <ns0:v>-9.609999999999999</ns0:v>
      </ns0:c>
      <ns0:c r="BB469" s="74" t="inlineStr">
        <ns0:is>
          <ns0:t>Hang Seng Commerce &amp; Industry sub-index</ns0:t>
        </ns0:is>
      </ns0:c>
      <ns0:c r="BC469" s="87" t="n">
        <ns0:v>-30.01</ns0:v>
      </ns0:c>
      <ns0:c r="BD469" s="75" t="n">
        <ns0:v>46297</ns0:v>
      </ns0:c>
      <ns0:c r="BE469" s="76" t="n">
        <ns0:v>635.8</ns0:v>
      </ns0:c>
      <ns0:c r="BF469" s="97" t="n"/>
      <ns0:c r="BG469" s="74" t="inlineStr">
        <ns0:is>
          <ns0:t>Y</ns0:t>
        </ns0:is>
      </ns0:c>
      <ns0:c r="BH469" s="90">
        <ns0:f>IFERROR(IF('BBG Verify'!O469="","Awaiting Bloomberg",'BBG Verify'!O469),"Awaiting Bloomberg")</ns0:f>
        <ns0:v/>
      </ns0:c>
      <ns0:c r="BI469" s="88" t="n"/>
      <ns0:c r="BJ469" s="88" t="n"/>
      <ns0:c r="BK469" s="89" t="n">
        <ns0:v>15.1</ns0:v>
      </ns0:c>
      <ns0:c r="BL469" s="90">
        <ns0:f>IFERROR(IF('BBG Verify'!S469="","Awaiting Bloomberg",'BBG Verify'!S469),"Awaiting Bloomberg")</ns0:f>
        <ns0:v/>
      </ns0:c>
      <ns0:c r="BM469" s="91" t="inlineStr">
        <ns0:is>
          <ns0:t>N</ns0:t>
        </ns0:is>
      </ns0:c>
      <ns0:c r="BN469" s="92">
        <ns0:f>IFERROR(IF('BBG Verify'!K469="","Awaiting Bloomberg",'BBG Verify'!K469),"Awaiting Bloomberg")</ns0:f>
        <ns0:v/>
      </ns0:c>
      <ns0:c r="BO469" s="74" t="inlineStr">
        <ns0:is>
          <ns0:t>N/A</ns0:t>
        </ns0:is>
      </ns0:c>
      <ns0:c r="BP469" s="74" t="inlineStr">
        <ns0:is>
          <ns0:t>N/A</ns0:t>
        </ns0:is>
      </ns0:c>
      <ns0:c r="BQ469" s="74" t="inlineStr">
        <ns0:is>
          <ns0:t>N/A</ns0:t>
        </ns0:is>
      </ns0:c>
      <ns0:c r="BR469" s="74" t="inlineStr">
        <ns0:is>
          <ns0:t>N/A</ns0:t>
        </ns0:is>
      </ns0:c>
      <ns0:c r="BS469" s="74" t="inlineStr">
        <ns0:is>
          <ns0:t>N/A</ns0:t>
        </ns0:is>
      </ns0:c>
      <ns0:c r="BT469" s="74" t="inlineStr">
        <ns0:is>
          <ns0:t>N/A</ns0:t>
        </ns0:is>
      </ns0:c>
      <ns0:c r="BU469" s="91" t="inlineStr">
        <ns0:is>
          <ns0:t>Guotai Junan Capital Limited; CCB International Capital Limited</ns0:t>
        </ns0:is>
      </ns0:c>
      <ns0:c r="BV469" s="74" t="inlineStr">
        <ns0:is>
          <ns0:t>CCB International Capital Limited; Guotai Junan Capital Limited</ns0:t>
        </ns0:is>
      </ns0:c>
      <ns0:c r="BW469" s="74" t="inlineStr">
        <ns0:is>
          <ns0:t>Guotai Junan Securities (Hong Kong) Limited; CCB International Capital Limited; SBI China Capital Financial Services Limited; BOCI Asia Limited; CMB International Capital Limited</ns0:t>
        </ns0:is>
      </ns0:c>
      <ns0:c r="BX469" s="74" t="inlineStr">
        <ns0:is>
          <ns0:t>BOCI Asia Limited; CCB International Capital Limited; CMB International Capital Limited; Guotai Junan Securities (Hong Kong) Limited; SBI China Capital Financial Services Limited</ns0:t>
        </ns0:is>
      </ns0:c>
      <ns0:c r="BY469" s="93">
        <ns0:f>HYPERLINK("https://www1.hkexnews.hk/listedco/listconews/sehk/2026/0512/2026051200017.pdf","prospectus")</ns0:f>
        <ns0:v/>
      </ns0:c>
      <ns0:c r="BZ469" s="93">
        <ns0:f>HYPERLINK("https://www1.hkexnews.hk/listedco/listconews/sehk/2026/0519/2026051901261.pdf","allotment")</ns0:f>
        <ns0:v/>
      </ns0:c>
      <ns0:c r="CA469" s="93">
        <ns0:f>HYPERLINK("https://www1.hkexnews.hk/listedco/listconews/sehk/2026/0614/2026061400165.pdf","stabilisation")</ns0:f>
        <ns0:v/>
      </ns0:c>
      <ns0:c r="CB469" s="94" t="n"/>
      <ns0:c r="CC469" s="74" t="inlineStr">
        <ns0:is>
          <ns0:t>P/E: withheld: 32,104x fails the 300x plausibility cap; extracted net income HK$0.3m suspect; greenshoe: outcome published; expiry date not in the notice; range low: maximum offer price only, no floor published; financials: not extractable; pre-IPO year outside the AAStocks window</ns0:t>
        </ns0:is>
      </ns0:c>
    </ns0:row>
    <ns0:row r="470" ht="22" customHeight="1">
      <ns0:c r="A470" s="73" t="inlineStr">
        <ns0:is>
          <ns0:t>6872</ns0:t>
        </ns0:is>
      </ns0:c>
      <ns0:c r="B470" s="74" t="inlineStr">
        <ns0:is>
          <ns0:t>TENNOR THERAP-B</ns0:t>
        </ns0:is>
      </ns0:c>
      <ns0:c r="C470" s="74" t="inlineStr">
        <ns0:is>
          <ns0:t>丹諾醫藥－B</ns0:t>
        </ns0:is>
      </ns0:c>
      <ns0:c r="D470" s="74" t="inlineStr">
        <ns0:is>
          <ns0:t>Healthcare</ns0:t>
        </ns0:is>
      </ns0:c>
      <ns0:c r="E470" s="74" t="inlineStr">
        <ns0:is>
          <ns0:t>Biotech pre-revenue (18A)</ns0:t>
        </ns0:is>
      </ns0:c>
      <ns0:c r="F470" s="74" t="inlineStr">
        <ns0:is>
          <ns0:t>Pharmaceuticals</ns0:t>
        </ns0:is>
      </ns0:c>
      <ns0:c r="G470" s="74" t="inlineStr">
        <ns0:is>
          <ns0:t>18A</ns0:t>
        </ns0:is>
      </ns0:c>
      <ns0:c r="H470" s="75" t="n">
        <ns0:v>46164</ns0:v>
      </ns0:c>
      <ns0:c r="I470" s="76" t="n">
        <ns0:v>670.4</ns0:v>
      </ns0:c>
      <ns0:c r="J470" s="74" t="inlineStr">
        <ns0:is>
          <ns0:t>gross (stated)</ns0:t>
        </ns0:is>
      </ns0:c>
      <ns0:c r="K470" s="95" t="n"/>
      <ns0:c r="L470" s="77" t="n">
        <ns0:v>75.7</ns0:v>
      </ns0:c>
      <ns0:c r="M470" s="77" t="n">
        <ns0:v>75.7</ns0:v>
      </ns0:c>
      <ns0:c r="N470" s="74" t="inlineStr">
        <ns0:is>
          <ns0:t>Y</ns0:t>
        </ns0:is>
      </ns0:c>
      <ns0:c r="O470" s="78" t="n">
        <ns0:v>100</ns0:v>
      </ns0:c>
      <ns0:c r="P470" s="84" t="n"/>
      <ns0:c r="Q470" s="79" t="n">
        <ns0:v>3961.3</ns0:v>
      </ns0:c>
      <ns0:c r="R470" s="74" t="inlineStr">
        <ns0:is>
          <ns0:t>derived:price x shares upon listing</ns0:t>
        </ns0:is>
      </ns0:c>
      <ns0:c r="S470" s="80" t="n">
        <ns0:v>9015.110000000001</ns0:v>
      </ns0:c>
      <ns0:c r="T470" s="81" t="n">
        <ns0:v>9.24</ns0:v>
      </ns0:c>
      <ns0:c r="U470" s="82" t="n">
        <ns0:v>34.81</ns0:v>
      </ns0:c>
      <ns0:c r="V470" s="83" t="n">
        <ns0:v>81</ns0:v>
      </ns0:c>
      <ns0:c r="W470" s="78" t="n">
        <ns0:v>9.35</ns0:v>
      </ns0:c>
      <ns0:c r="X470" s="74" t="inlineStr">
        <ns0:is>
          <ns0:t>NA</ns0:t>
        </ns0:is>
      </ns0:c>
      <ns0:c r="Y470" s="79" t="n">
        <ns0:v>437.03</ns0:v>
      </ns0:c>
      <ns0:c r="Z470" s="79" t="n">
        <ns0:v>5773226</ns0:v>
      </ns0:c>
      <ns0:c r="AA470" s="78" t="n">
        <ns0:v>11.03</ns0:v>
      </ns0:c>
      <ns0:c r="AB470" s="74" t="inlineStr">
        <ns0:is>
          <ns0:t>AMR Action Fund, L.P; AMR Action Fund, SCSp; Orient Asset Management (Hong Kong) Limited 有限公 司; June Star Global Limited</ns0:t>
        </ns0:is>
      </ns0:c>
      <ns0:c r="AC470" s="74" t="inlineStr">
        <ns0:is>
          <ns0:t>amr;orient;june</ns0:t>
        </ns0:is>
      </ns0:c>
      <ns0:c r="AD470" s="78" t="n">
        <ns0:v>5.5</ns0:v>
      </ns0:c>
      <ns0:c r="AE470" s="85" t="n"/>
      <ns0:c r="AF470" s="85" t="n"/>
      <ns0:c r="AG470" s="74" t="inlineStr">
        <ns0:is>
          <ns0:t>CLSA Limited</ns0:t>
        </ns0:is>
      </ns0:c>
      <ns0:c r="AH470" s="74" t="inlineStr">
        <ns0:is>
          <ns0:t>CLSA</ns0:t>
        </ns0:is>
      </ns0:c>
      <ns0:c r="AI470" s="86" t="n">
        <ns0:v>94.84999999999999</ns0:v>
      </ns0:c>
      <ns0:c r="AJ470" s="87" t="n">
        <ns0:v>178.73</ns0:v>
      </ns0:c>
      <ns0:c r="AK470" s="87" t="n">
        <ns0:v>-0.9399999999999999</ns0:v>
      </ns0:c>
      <ns0:c r="AL470" s="87" t="n">
        <ns0:v>98.15000000000001</ns0:v>
      </ns0:c>
      <ns0:c r="AM470" s="87" t="n">
        <ns0:v>40.67</ns0:v>
      </ns0:c>
      <ns0:c r="AN470" s="89" t="n">
        <ns0:v>2.97</ns0:v>
      </ns0:c>
      <ns0:c r="AO470" s="78" t="n">
        <ns0:v>51.47</ns0:v>
      </ns0:c>
      <ns0:c r="AP470" s="87" t="n">
        <ns0:v>166.84</ns0:v>
      </ns0:c>
      <ns0:c r="AQ470" s="87" t="n">
        <ns0:v>248.22</ns0:v>
      </ns0:c>
      <ns0:c r="AR470" s="87" t="n">
        <ns0:v>164.99</ns0:v>
      </ns0:c>
      <ns0:c r="AS470" s="87" t="n">
        <ns0:v>-4.27</ns0:v>
      </ns0:c>
      <ns0:c r="AT470" s="87" t="n">
        <ns0:v>24.93</ns0:v>
      </ns0:c>
      <ns0:c r="AU470" s="87" t="n">
        <ns0:v>-4.93</ns0:v>
      </ns0:c>
      <ns0:c r="AV470" s="87" t="n">
        <ns0:v>169.52</ns0:v>
      </ns0:c>
      <ns0:c r="AW470" s="87" t="n">
        <ns0:v>256.1</ns0:v>
      </ns0:c>
      <ns0:c r="AX470" s="87" t="n">
        <ns0:v>153.42</ns0:v>
      </ns0:c>
      <ns0:c r="AY470" s="87" t="n">
        <ns0:v>31.94</ns0:v>
      </ns0:c>
      <ns0:c r="AZ470" s="87" t="n">
        <ns0:v>-7.88</ns0:v>
      </ns0:c>
      <ns0:c r="BA470" s="87" t="n">
        <ns0:v>-7.01</ns0:v>
      </ns0:c>
      <ns0:c r="BB470" s="74" t="inlineStr">
        <ns0:is>
          <ns0:t>China Biotech ETF (HS biotech proxy)</ns0:t>
        </ns0:is>
      </ns0:c>
      <ns0:c r="BC470" s="87" t="n">
        <ns0:v>48.08</ns0:v>
      </ns0:c>
      <ns0:c r="BD470" s="75" t="n">
        <ns0:v>46297</ns0:v>
      </ns0:c>
      <ns0:c r="BE470" s="76" t="n">
        <ns0:v>0</ns0:v>
      </ns0:c>
      <ns0:c r="BF470" s="79" t="n">
        <ns0:v>-168.5</ns0:v>
      </ns0:c>
      <ns0:c r="BG470" s="74" t="inlineStr">
        <ns0:is>
          <ns0:t>N</ns0:t>
        </ns0:is>
      </ns0:c>
      <ns0:c r="BH470" s="74" t="inlineStr">
        <ns0:is>
          <ns0:t>n/m</ns0:t>
        </ns0:is>
      </ns0:c>
      <ns0:c r="BI470" s="88" t="n"/>
      <ns0:c r="BJ470" s="88" t="n"/>
      <ns0:c r="BK470" s="74" t="inlineStr">
        <ns0:is>
          <ns0:t>pre-rev</ns0:t>
        </ns0:is>
      </ns0:c>
      <ns0:c r="BL470" s="90">
        <ns0:f>IFERROR(IF('BBG Verify'!S470="","Awaiting Bloomberg",'BBG Verify'!S470),"Awaiting Bloomberg")</ns0:f>
        <ns0:v/>
      </ns0:c>
      <ns0:c r="BM470" s="91" t="inlineStr">
        <ns0:is>
          <ns0:t>N</ns0:t>
        </ns0:is>
      </ns0:c>
      <ns0:c r="BN470" s="92">
        <ns0:f>IFERROR(IF('BBG Verify'!K470="","Awaiting Bloomberg",'BBG Verify'!K470),"Awaiting Bloomberg")</ns0:f>
        <ns0:v/>
      </ns0:c>
      <ns0:c r="BO470" s="74" t="inlineStr">
        <ns0:is>
          <ns0:t>N/A</ns0:t>
        </ns0:is>
      </ns0:c>
      <ns0:c r="BP470" s="74" t="inlineStr">
        <ns0:is>
          <ns0:t>N/A</ns0:t>
        </ns0:is>
      </ns0:c>
      <ns0:c r="BQ470" s="74" t="inlineStr">
        <ns0:is>
          <ns0:t>N/A</ns0:t>
        </ns0:is>
      </ns0:c>
      <ns0:c r="BR470" s="74" t="inlineStr">
        <ns0:is>
          <ns0:t>N/A</ns0:t>
        </ns0:is>
      </ns0:c>
      <ns0:c r="BS470" s="74" t="inlineStr">
        <ns0:is>
          <ns0:t>N/A</ns0:t>
        </ns0:is>
      </ns0:c>
      <ns0:c r="BT470" s="74" t="inlineStr">
        <ns0:is>
          <ns0:t>N/A</ns0:t>
        </ns0:is>
      </ns0:c>
      <ns0:c r="BU470" s="91" t="inlineStr">
        <ns0:is>
          <ns0:t>CITIC Securities (Hong Kong) Limited; ABCI Capital Limited</ns0:t>
        </ns0:is>
      </ns0:c>
      <ns0:c r="BV470" s="74" t="inlineStr">
        <ns0:is>
          <ns0:t>CITIC Securities (Hong Kong) Limited; ABCI Capital Limited</ns0:t>
        </ns0:is>
      </ns0:c>
      <ns0:c r="BW470" s="74" t="inlineStr">
        <ns0:is>
          <ns0:t>CLSA Limited; ABCI Capital Limited; China Renaissance Securities (Hong Kong) Limited</ns0:t>
        </ns0:is>
      </ns0:c>
      <ns0:c r="BX470" s="74" t="inlineStr">
        <ns0:is>
          <ns0:t>ABCI Securities Company Limited; CLSA Limited; China Renaissance Securities (Hong Kong) Limited; Futu Securities International (Hong Kong) Limited; Tiger Brokers (HK) Global Limited</ns0:t>
        </ns0:is>
      </ns0:c>
      <ns0:c r="BY470" s="93">
        <ns0:f>HYPERLINK("https://www1.hkexnews.hk/listedco/listconews/sehk/2026/0514/2026051400013.pdf","prospectus")</ns0:f>
        <ns0:v/>
      </ns0:c>
      <ns0:c r="BZ470" s="93">
        <ns0:f>HYPERLINK("https://www1.hkexnews.hk/listedco/listconews/sehk/2026/0521/2026052101298.pdf","allotment")</ns0:f>
        <ns0:v/>
      </ns0:c>
      <ns0:c r="CA470" s="85" t="n"/>
      <ns0:c r="CB470" s="94" t="n"/>
      <ns0:c r="CC470" s="74" t="inlineStr">
        <ns0:is>
          <ns0:t>P/E: loss-making at IPO, use P/S; greenshoe: end-of-stabilisation notice not found; range low: maximum offer price only, no floor published; P/S: pre-revenue issuer, no sales multiple</ns0:t>
        </ns0:is>
      </ns0:c>
    </ns0:row>
    <ns0:row r="471" ht="22" customHeight="1">
      <ns0:c r="A471" s="73" t="inlineStr">
        <ns0:is>
          <ns0:t>3310</ns0:t>
        </ns0:is>
      </ns0:c>
      <ns0:c r="B471" s="74" t="inlineStr">
        <ns0:is>
          <ns0:t>VIEWTRIX TECH</ns0:t>
        </ns0:is>
      </ns0:c>
      <ns0:c r="C471" s="74" t="inlineStr">
        <ns0:is>
          <ns0:t>雲英谷科技</ns0:t>
        </ns0:is>
      </ns0:c>
      <ns0:c r="D471" s="74" t="inlineStr">
        <ns0:is>
          <ns0:t>Technology</ns0:t>
        </ns0:is>
      </ns0:c>
      <ns0:c r="E471" s="74" t="inlineStr">
        <ns0:is>
          <ns0:t>Semiconductors</ns0:t>
        </ns0:is>
      </ns0:c>
      <ns0:c r="F471" s="74" t="inlineStr">
        <ns0:is>
          <ns0:t>Semiconductors &amp; Semiconductor Equipment</ns0:t>
        </ns0:is>
      </ns0:c>
      <ns0:c r="G471" s="74" t="inlineStr">
        <ns0:is>
          <ns0:t>Standard</ns0:t>
        </ns0:is>
      </ns0:c>
      <ns0:c r="H471" s="75" t="n">
        <ns0:v>46169</ns0:v>
      </ns0:c>
      <ns0:c r="I471" s="76" t="n">
        <ns0:v>1100</ns0:v>
      </ns0:c>
      <ns0:c r="J471" s="74" t="inlineStr">
        <ns0:is>
          <ns0:t>gross (stated)</ns0:t>
        </ns0:is>
      </ns0:c>
      <ns0:c r="K471" s="95" t="n"/>
      <ns0:c r="L471" s="77" t="n">
        <ns0:v>20.81</ns0:v>
      </ns0:c>
      <ns0:c r="M471" s="77" t="n">
        <ns0:v>20.81</ns0:v>
      </ns0:c>
      <ns0:c r="N471" s="74" t="inlineStr">
        <ns0:is>
          <ns0:t>Y</ns0:t>
        </ns0:is>
      </ns0:c>
      <ns0:c r="O471" s="78" t="n">
        <ns0:v>100</ns0:v>
      </ns0:c>
      <ns0:c r="P471" s="84" t="n"/>
      <ns0:c r="Q471" s="79" t="n">
        <ns0:v>7857.1</ns0:v>
      </ns0:c>
      <ns0:c r="R471" s="74" t="inlineStr">
        <ns0:is>
          <ns0:t>derived:deal size / offer % of enlarged capital</ns0:t>
        </ns0:is>
      </ns0:c>
      <ns0:c r="S471" s="80" t="n">
        <ns0:v>3559.68</ns0:v>
      </ns0:c>
      <ns0:c r="T471" s="81" t="n">
        <ns0:v>7.05</ns0:v>
      </ns0:c>
      <ns0:c r="U471" s="82" t="n">
        <ns0:v>35.37</ns0:v>
      </ns0:c>
      <ns0:c r="V471" s="83" t="n">
        <ns0:v>72</ns0:v>
      </ns0:c>
      <ns0:c r="W471" s="78" t="n">
        <ns0:v>10</ns0:v>
      </ns0:c>
      <ns0:c r="X471" s="74" t="inlineStr">
        <ns0:is>
          <ns0:t>NA</ns0:t>
        </ns0:is>
      </ns0:c>
      <ns0:c r="Y471" s="79" t="n">
        <ns0:v>710.9299999999999</ns0:v>
      </ns0:c>
      <ns0:c r="Z471" s="79" t="n">
        <ns0:v>34162901</ns0:v>
      </ns0:c>
      <ns0:c r="AA471" s="78" t="n">
        <ns0:v>9.050000000000001</ns0:v>
      </ns0:c>
      <ns0:c r="AB471" s="74" t="inlineStr">
        <ns0:is>
          <ns0:t>Digital Vista GD Investment LP; SpreadCom Limited</ns0:t>
        </ns0:is>
      </ns0:c>
      <ns0:c r="AC471" s="74" t="inlineStr">
        <ns0:is>
          <ns0:t>digital;spreadcom</ns0:t>
        </ns0:is>
      </ns0:c>
      <ns0:c r="AD471" s="78" t="n">
        <ns0:v>15</ns0:v>
      </ns0:c>
      <ns0:c r="AE471" s="74" t="inlineStr">
        <ns0:is>
          <ns0:t>full</ns0:t>
        </ns0:is>
      </ns0:c>
      <ns0:c r="AF471" s="74" t="inlineStr">
        <ns0:is>
          <ns0:t>2026-06-20</ns0:t>
        </ns0:is>
      </ns0:c>
      <ns0:c r="AG471" s="74" t="inlineStr">
        <ns0:is>
          <ns0:t>China International Capital Corporation Hong Kong Securities Limited</ns0:t>
        </ns0:is>
      </ns0:c>
      <ns0:c r="AH471" s="74" t="inlineStr">
        <ns0:is>
          <ns0:t>China International</ns0:t>
        </ns0:is>
      </ns0:c>
      <ns0:c r="AI471" s="86" t="n">
        <ns0:v>20.81</ns0:v>
      </ns0:c>
      <ns0:c r="AJ471" s="87" t="n">
        <ns0:v>91.73</ns0:v>
      </ns0:c>
      <ns0:c r="AK471" s="87" t="n">
        <ns0:v>-0.79</ns0:v>
      </ns0:c>
      <ns0:c r="AL471" s="87" t="n">
        <ns0:v>22.44</ns0:v>
      </ns0:c>
      <ns0:c r="AM471" s="87" t="n">
        <ns0:v>56.59</ns0:v>
      </ns0:c>
      <ns0:c r="AN471" s="89" t="n">
        <ns0:v>3.18</ns0:v>
      </ns0:c>
      <ns0:c r="AO471" s="78" t="n">
        <ns0:v>56.91</ns0:v>
      </ns0:c>
      <ns0:c r="AP471" s="87" t="n">
        <ns0:v>66.94</ns0:v>
      </ns0:c>
      <ns0:c r="AQ471" s="87" t="n">
        <ns0:v>60.98</ns0:v>
      </ns0:c>
      <ns0:c r="AR471" s="87" t="n">
        <ns0:v>34.45</ns0:v>
      </ns0:c>
      <ns0:c r="AS471" s="87" t="n">
        <ns0:v>-12.93</ns0:v>
      </ns0:c>
      <ns0:c r="AT471" s="87" t="n">
        <ns0:v>-16.04</ns0:v>
      </ns0:c>
      <ns0:c r="AU471" s="87" t="n">
        <ns0:v>-29.88</ns0:v>
      </ns0:c>
      <ns0:c r="AV471" s="87" t="n">
        <ns0:v>64.67</ns0:v>
      </ns0:c>
      <ns0:c r="AW471" s="87" t="n">
        <ns0:v>74.62</ns0:v>
      </ns0:c>
      <ns0:c r="AX471" s="87" t="n">
        <ns0:v>40.81</ns0:v>
      </ns0:c>
      <ns0:c r="AY471" s="87" t="n">
        <ns0:v>-3.09</ns0:v>
      </ns0:c>
      <ns0:c r="AZ471" s="87" t="n">
        <ns0:v>-13.64</ns0:v>
      </ns0:c>
      <ns0:c r="BA471" s="87" t="n">
        <ns0:v>-12.95</ns0:v>
      </ns0:c>
      <ns0:c r="BB471" s="74" t="inlineStr">
        <ns0:is>
          <ns0:t>HSTECH (Hang Seng TECH ETF)</ns0:t>
        </ns0:is>
      </ns0:c>
      <ns0:c r="BC471" s="87" t="n">
        <ns0:v>20.9</ns0:v>
      </ns0:c>
      <ns0:c r="BD471" s="75" t="n">
        <ns0:v>46297</ns0:v>
      </ns0:c>
      <ns0:c r="BE471" s="76" t="n">
        <ns0:v>980.4</ns0:v>
      </ns0:c>
      <ns0:c r="BF471" s="79" t="n">
        <ns0:v>-253.4</ns0:v>
      </ns0:c>
      <ns0:c r="BG471" s="74" t="inlineStr">
        <ns0:is>
          <ns0:t>N</ns0:t>
        </ns0:is>
      </ns0:c>
      <ns0:c r="BH471" s="74" t="inlineStr">
        <ns0:is>
          <ns0:t>n/m</ns0:t>
        </ns0:is>
      </ns0:c>
      <ns0:c r="BI471" s="88" t="n"/>
      <ns0:c r="BJ471" s="88" t="n"/>
      <ns0:c r="BK471" s="89" t="n">
        <ns0:v>8</ns0:v>
      </ns0:c>
      <ns0:c r="BL471" s="90">
        <ns0:f>IFERROR(IF('BBG Verify'!S471="","Awaiting Bloomberg",'BBG Verify'!S471),"Awaiting Bloomberg")</ns0:f>
        <ns0:v/>
      </ns0:c>
      <ns0:c r="BM471" s="91" t="inlineStr">
        <ns0:is>
          <ns0:t>N</ns0:t>
        </ns0:is>
      </ns0:c>
      <ns0:c r="BN471" s="92">
        <ns0:f>IFERROR(IF('BBG Verify'!K471="","Awaiting Bloomberg",'BBG Verify'!K471),"Awaiting Bloomberg")</ns0:f>
        <ns0:v/>
      </ns0:c>
      <ns0:c r="BO471" s="74" t="inlineStr">
        <ns0:is>
          <ns0:t>N/A</ns0:t>
        </ns0:is>
      </ns0:c>
      <ns0:c r="BP471" s="74" t="inlineStr">
        <ns0:is>
          <ns0:t>N/A</ns0:t>
        </ns0:is>
      </ns0:c>
      <ns0:c r="BQ471" s="74" t="inlineStr">
        <ns0:is>
          <ns0:t>N/A</ns0:t>
        </ns0:is>
      </ns0:c>
      <ns0:c r="BR471" s="74" t="inlineStr">
        <ns0:is>
          <ns0:t>N/A</ns0:t>
        </ns0:is>
      </ns0:c>
      <ns0:c r="BS471" s="74" t="inlineStr">
        <ns0:is>
          <ns0:t>N/A</ns0:t>
        </ns0:is>
      </ns0:c>
      <ns0:c r="BT471" s="74" t="inlineStr">
        <ns0:is>
          <ns0:t>N/A</ns0:t>
        </ns0:is>
      </ns0:c>
      <ns0:c r="BU471" s="91" t="inlineStr">
        <ns0:is>
          <ns0:t>China International Capital Corporation Hong Kong Securities Limited; CITIC Securities (Hong Kong) Limited</ns0:t>
        </ns0:is>
      </ns0:c>
      <ns0:c r="BV471" s="74" t="inlineStr">
        <ns0:is>
          <ns0:t>China International Capital Corporation Hong Kong Securities Limited; CITIC Securities (Hong Kong) Limited</ns0:t>
        </ns0:is>
      </ns0:c>
      <ns0:c r="BW471" s="74" t="inlineStr">
        <ns0:is>
          <ns0:t>CLSA Limited; GF Securities (Hong Kong) Brokerage Limited; A VICT Global Asset Management Limited; Webull Securities Limited</ns0:t>
        </ns0:is>
      </ns0:c>
      <ns0:c r="BX471" s="74" t="inlineStr">
        <ns0:is>
          <ns0:t>AVICT Global Asset Management Limited; China International Capital Corporation Hong Kong Securities Limited; CLSA Limited; GF Securities (Hong Kong) Brokerage Limited; Webull Securities Limited</ns0:t>
        </ns0:is>
      </ns0:c>
      <ns0:c r="BY471" s="93">
        <ns0:f>HYPERLINK("https://www1.hkexnews.hk/listedco/listconews/sehk/2026/0518/2026051800021.pdf","prospectus")</ns0:f>
        <ns0:v/>
      </ns0:c>
      <ns0:c r="BZ471" s="93">
        <ns0:f>HYPERLINK("https://www1.hkexnews.hk/listedco/listconews/sehk/2026/0526/2026052601908.pdf","allotment")</ns0:f>
        <ns0:v/>
      </ns0:c>
      <ns0:c r="CA471" s="93">
        <ns0:f>HYPERLINK("https://www1.hkexnews.hk/listedco/listconews/sehk/2026/0621/2026062100023.pdf","stabilisation")</ns0:f>
        <ns0:v/>
      </ns0:c>
      <ns0:c r="CB471" s="94" t="n"/>
      <ns0:c r="CC471" s="74" t="inlineStr">
        <ns0:is>
          <ns0:t>P/E: loss-making at IPO, use P/S; range low: maximum offer price only, no floor published</ns0:t>
        </ns0:is>
      </ns0:c>
    </ns0:row>
    <ns0:row r="472" ht="22" customHeight="1">
      <ns0:c r="A472" s="73" t="inlineStr">
        <ns0:is>
          <ns0:t>2723</ns0:t>
        </ns0:is>
      </ns0:c>
      <ns0:c r="B472" s="74" t="inlineStr">
        <ns0:is>
          <ns0:t>DEEPZERO</ns0:t>
        </ns0:is>
      </ns0:c>
      <ns0:c r="C472" s="74" t="inlineStr">
        <ns0:is>
          <ns0:t>深演智能</ns0:t>
        </ns0:is>
      </ns0:c>
      <ns0:c r="D472" s="74" t="inlineStr">
        <ns0:is>
          <ns0:t>Technology</ns0:t>
        </ns0:is>
      </ns0:c>
      <ns0:c r="E472" s="74" t="inlineStr">
        <ns0:is>
          <ns0:t>Software &amp; AI</ns0:t>
        </ns0:is>
      </ns0:c>
      <ns0:c r="F472" s="74" t="inlineStr">
        <ns0:is>
          <ns0:t>Next-generation information technology</ns0:t>
        </ns0:is>
      </ns0:c>
      <ns0:c r="G472" s="74" t="inlineStr">
        <ns0:is>
          <ns0:t>Standard</ns0:t>
        </ns0:is>
      </ns0:c>
      <ns0:c r="H472" s="75" t="n">
        <ns0:v>46169</ns0:v>
      </ns0:c>
      <ns0:c r="I472" s="76" t="n">
        <ns0:v>503.3</ns0:v>
      </ns0:c>
      <ns0:c r="J472" s="74" t="inlineStr">
        <ns0:is>
          <ns0:t>gross (stated)</ns0:t>
        </ns0:is>
      </ns0:c>
      <ns0:c r="K472" s="77" t="n">
        <ns0:v>43.5</ns0:v>
      </ns0:c>
      <ns0:c r="L472" s="77" t="n">
        <ns0:v>55.5</ns0:v>
      </ns0:c>
      <ns0:c r="M472" s="77" t="n">
        <ns0:v>55.5</ns0:v>
      </ns0:c>
      <ns0:c r="N472" s="74" t="inlineStr">
        <ns0:is>
          <ns0:t>Y</ns0:t>
        </ns0:is>
      </ns0:c>
      <ns0:c r="O472" s="78" t="n">
        <ns0:v>100</ns0:v>
      </ns0:c>
      <ns0:c r="P472" s="78" t="n">
        <ns0:v>100</ns0:v>
      </ns0:c>
      <ns0:c r="Q472" s="79" t="n">
        <ns0:v>5032.7</ns0:v>
      </ns0:c>
      <ns0:c r="R472" s="74" t="inlineStr">
        <ns0:is>
          <ns0:t>derived:price x shares upon listing</ns0:t>
        </ns0:is>
      </ns0:c>
      <ns0:c r="S472" s="80" t="n">
        <ns0:v>5480.23</ns0:v>
      </ns0:c>
      <ns0:c r="T472" s="81" t="n">
        <ns0:v>3.41</ns0:v>
      </ns0:c>
      <ns0:c r="U472" s="82" t="n">
        <ns0:v>0</ns0:v>
      </ns0:c>
      <ns0:c r="V472" s="83" t="n">
        <ns0:v>78</ns0:v>
      </ns0:c>
      <ns0:c r="W472" s="84" t="n"/>
      <ns0:c r="X472" s="85" t="n"/>
      <ns0:c r="Y472" s="79" t="n">
        <ns0:v>503.3</ns0:v>
      </ns0:c>
      <ns0:c r="Z472" s="79" t="n">
        <ns0:v>9068000</ns0:v>
      </ns0:c>
      <ns0:c r="AA472" s="78" t="n">
        <ns0:v>10</ns0:v>
      </ns0:c>
      <ns0:c r="AB472" s="74" t="inlineStr">
        <ns0:is>
          <ns0:t>none — no cornerstone tranche</ns0:t>
        </ns0:is>
      </ns0:c>
      <ns0:c r="AC472" s="74" t="inlineStr">
        <ns0:is>
          <ns0:t>none</ns0:t>
        </ns0:is>
      </ns0:c>
      <ns0:c r="AD472" s="84" t="n"/>
      <ns0:c r="AE472" s="85" t="n"/>
      <ns0:c r="AF472" s="85" t="n"/>
      <ns0:c r="AG472" s="85" t="n"/>
      <ns0:c r="AH472" s="85" t="n"/>
      <ns0:c r="AI472" s="86" t="n">
        <ns0:v>168.47</ns0:v>
      </ns0:c>
      <ns0:c r="AJ472" s="87" t="n">
        <ns0:v>265.77</ns0:v>
      </ns0:c>
      <ns0:c r="AK472" s="87" t="n">
        <ns0:v>-0.79</ns0:v>
      </ns0:c>
      <ns0:c r="AL472" s="87" t="n">
        <ns0:v>179.28</ns0:v>
      </ns0:c>
      <ns0:c r="AM472" s="87" t="n">
        <ns0:v>30.97</ns0:v>
      </ns0:c>
      <ns0:c r="AN472" s="88" t="n"/>
      <ns0:c r="AO472" s="78" t="n">
        <ns0:v>48.39</ns0:v>
      </ns0:c>
      <ns0:c r="AP472" s="87" t="n">
        <ns0:v>543.24</ns0:v>
      </ns0:c>
      <ns0:c r="AQ472" s="87" t="n">
        <ns0:v>484.14</ns0:v>
      </ns0:c>
      <ns0:c r="AR472" s="87" t="n">
        <ns0:v>1085.59</ns0:v>
      </ns0:c>
      <ns0:c r="AS472" s="87" t="n">
        <ns0:v>75.86</ns0:v>
      </ns0:c>
      <ns0:c r="AT472" s="87" t="n">
        <ns0:v>59.7</ns0:v>
      </ns0:c>
      <ns0:c r="AU472" s="87" t="n">
        <ns0:v>224.14</ns0:v>
      </ns0:c>
      <ns0:c r="AV472" s="87" t="n">
        <ns0:v>540.97</ns0:v>
      </ns0:c>
      <ns0:c r="AW472" s="87" t="n">
        <ns0:v>497.78</ns0:v>
      </ns0:c>
      <ns0:c r="AX472" s="87" t="n">
        <ns0:v>1091.95</ns0:v>
      </ns0:c>
      <ns0:c r="AY472" s="87" t="n">
        <ns0:v>72.65000000000001</ns0:v>
      </ns0:c>
      <ns0:c r="AZ472" s="87" t="n">
        <ns0:v>-13.64</ns0:v>
      </ns0:c>
      <ns0:c r="BA472" s="87" t="n">
        <ns0:v>-12.95</ns0:v>
      </ns0:c>
      <ns0:c r="BB472" s="74" t="inlineStr">
        <ns0:is>
          <ns0:t>HSTECH (Hang Seng TECH ETF)</ns0:t>
        </ns0:is>
      </ns0:c>
      <ns0:c r="BC472" s="87" t="n">
        <ns0:v>1154.95</ns0:v>
      </ns0:c>
      <ns0:c r="BD472" s="75" t="n">
        <ns0:v>46297</ns0:v>
      </ns0:c>
      <ns0:c r="BE472" s="76" t="n">
        <ns0:v>634.2</ns0:v>
      </ns0:c>
      <ns0:c r="BF472" s="97" t="n"/>
      <ns0:c r="BG472" s="74" t="inlineStr">
        <ns0:is>
          <ns0:t>Y</ns0:t>
        </ns0:is>
      </ns0:c>
      <ns0:c r="BH472" s="90">
        <ns0:f>IFERROR(IF('BBG Verify'!O472="","Awaiting Bloomberg",'BBG Verify'!O472),"Awaiting Bloomberg")</ns0:f>
        <ns0:v/>
      </ns0:c>
      <ns0:c r="BI472" s="88" t="n"/>
      <ns0:c r="BJ472" s="89" t="n">
        <ns0:v>4730.6</ns0:v>
      </ns0:c>
      <ns0:c r="BK472" s="89" t="n">
        <ns0:v>7.9</ns0:v>
      </ns0:c>
      <ns0:c r="BL472" s="90">
        <ns0:f>IFERROR(IF('BBG Verify'!S472="","Awaiting Bloomberg",'BBG Verify'!S472),"Awaiting Bloomberg")</ns0:f>
        <ns0:v/>
      </ns0:c>
      <ns0:c r="BM472" s="91" t="inlineStr">
        <ns0:is>
          <ns0:t>N</ns0:t>
        </ns0:is>
      </ns0:c>
      <ns0:c r="BN472" s="92">
        <ns0:f>IFERROR(IF('BBG Verify'!K472="","Awaiting Bloomberg",'BBG Verify'!K472),"Awaiting Bloomberg")</ns0:f>
        <ns0:v/>
      </ns0:c>
      <ns0:c r="BO472" s="74" t="inlineStr">
        <ns0:is>
          <ns0:t>N/A</ns0:t>
        </ns0:is>
      </ns0:c>
      <ns0:c r="BP472" s="74" t="inlineStr">
        <ns0:is>
          <ns0:t>N/A</ns0:t>
        </ns0:is>
      </ns0:c>
      <ns0:c r="BQ472" s="74" t="inlineStr">
        <ns0:is>
          <ns0:t>N/A</ns0:t>
        </ns0:is>
      </ns0:c>
      <ns0:c r="BR472" s="74" t="inlineStr">
        <ns0:is>
          <ns0:t>N/A</ns0:t>
        </ns0:is>
      </ns0:c>
      <ns0:c r="BS472" s="74" t="inlineStr">
        <ns0:is>
          <ns0:t>N/A</ns0:t>
        </ns0:is>
      </ns0:c>
      <ns0:c r="BT472" s="74" t="inlineStr">
        <ns0:is>
          <ns0:t>N/A</ns0:t>
        </ns0:is>
      </ns0:c>
      <ns0:c r="BU472" s="91" t="inlineStr">
        <ns0:is>
          <ns0:t>ICBC International Capital Limited</ns0:t>
        </ns0:is>
      </ns0:c>
      <ns0:c r="BV472" s="74" t="inlineStr">
        <ns0:is>
          <ns0:t>ICBC International Capital Limited</ns0:t>
        </ns0:is>
      </ns0:c>
      <ns0:c r="BW472" s="74" t="inlineStr">
        <ns0:is>
          <ns0: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ns0:t>
        </ns0:is>
      </ns0:c>
      <ns0:c r="BX472" s="74" t="inlineStr">
        <ns0:is>
          <ns0: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ns0:t>
        </ns0:is>
      </ns0:c>
      <ns0:c r="BY472" s="93">
        <ns0:f>HYPERLINK("https://www1.hkexnews.hk/listedco/listconews/sehk/2026/0518/2026051800023.pdf","prospectus")</ns0:f>
        <ns0:v/>
      </ns0:c>
      <ns0:c r="BZ472" s="93">
        <ns0:f>HYPERLINK("https://www1.hkexnews.hk/listedco/listconews/sehk/2026/0526/2026052602298.pdf","allotment")</ns0:f>
        <ns0:v/>
      </ns0:c>
      <ns0:c r="CA472" s="85" t="n"/>
      <ns0:c r="CB472" s="94" t="n"/>
      <ns0:c r="CC472" s="74" t="inlineStr">
        <ns0:is>
          <ns0:t>P/E: withheld: 498x fails the 300x plausibility cap; extracted net income HK$10.1m suspect; greenshoe: no over-allotment option; cornerstone list: no cornerstone tranche; greenshoe size: no over-allotment option; stabilising manager: no over-allotment option, so none appointed; financials: not extractable; pre-IPO year outside the AAStocks window; allocation: allocation table not in this notice's format (older prose announcement); day-1 tape: volume on file; the retail multiple needs the final public split, which this notice does not state</ns0:t>
        </ns0:is>
      </ns0:c>
    </ns0:row>
    <ns0:row r="473" ht="22" customHeight="1">
      <ns0:c r="A473" s="73" t="inlineStr">
        <ns0:is>
          <ns0:t>0901</ns0:t>
        </ns0:is>
      </ns0:c>
      <ns0:c r="B473" s="74" t="inlineStr">
        <ns0:is>
          <ns0:t>SDMC</ns0:t>
        </ns0:is>
      </ns0:c>
      <ns0:c r="C473" s="74" t="inlineStr">
        <ns0:is>
          <ns0:t>華曦達</ns0:t>
        </ns0:is>
      </ns0:c>
      <ns0:c r="D473" s="74" t="inlineStr">
        <ns0:is>
          <ns0:t>Technology</ns0:t>
        </ns0:is>
      </ns0:c>
      <ns0:c r="E473" s="74" t="inlineStr">
        <ns0:is>
          <ns0:t>Hardware &amp; electronics</ns0:t>
        </ns0:is>
      </ns0:c>
      <ns0:c r="F473" s="74" t="inlineStr">
        <ns0:is>
          <ns0:t>Advanced hardware and software</ns0:t>
        </ns0:is>
      </ns0:c>
      <ns0:c r="G473" s="74" t="inlineStr">
        <ns0:is>
          <ns0:t>Standard</ns0:t>
        </ns0:is>
      </ns0:c>
      <ns0:c r="H473" s="75" t="n">
        <ns0:v>46169</ns0:v>
      </ns0:c>
      <ns0:c r="I473" s="76" t="n">
        <ns0:v>630</ns0:v>
      </ns0:c>
      <ns0:c r="J473" s="74" t="inlineStr">
        <ns0:is>
          <ns0:t>gross (price x shares)</ns0:t>
        </ns0:is>
      </ns0:c>
      <ns0:c r="K473" s="95" t="n"/>
      <ns0:c r="L473" s="77" t="n">
        <ns0:v>32.8</ns0:v>
      </ns0:c>
      <ns0:c r="M473" s="77" t="n">
        <ns0:v>32.8</ns0:v>
      </ns0:c>
      <ns0:c r="N473" s="74" t="inlineStr">
        <ns0:is>
          <ns0:t>Y</ns0:t>
        </ns0:is>
      </ns0:c>
      <ns0:c r="O473" s="78" t="n">
        <ns0:v>100</ns0:v>
      </ns0:c>
      <ns0:c r="P473" s="84" t="n"/>
      <ns0:c r="Q473" s="79" t="n">
        <ns0:v>6872.9</ns0:v>
      </ns0:c>
      <ns0:c r="R473" s="74" t="inlineStr">
        <ns0:is>
          <ns0:t>prospectus:stated market capitalisation</ns0:t>
        </ns0:is>
      </ns0:c>
      <ns0:c r="S473" s="80" t="n">
        <ns0:v>1972</ns0:v>
      </ns0:c>
      <ns0:c r="T473" s="99">
        <ns0:f>IFERROR(IF('BBG Verify'!E473="","Awaiting Bloomberg",'BBG Verify'!E473),"Awaiting Bloomberg")</ns0:f>
        <ns0:v/>
      </ns0:c>
      <ns0:c r="U473" s="82" t="n">
        <ns0:v>0</ns0:v>
      </ns0:c>
      <ns0:c r="V473" s="100" t="n"/>
      <ns0:c r="W473" s="84" t="n"/>
      <ns0:c r="X473" s="85" t="n"/>
      <ns0:c r="Y473" s="79" t="n">
        <ns0:v>630</ns0:v>
      </ns0:c>
      <ns0:c r="Z473" s="79" t="n">
        <ns0:v>19207300</ns0:v>
      </ns0:c>
      <ns0:c r="AA473" s="78" t="n">
        <ns0:v>9.17</ns0:v>
      </ns0:c>
      <ns0:c r="AB473" s="74" t="inlineStr">
        <ns0:is>
          <ns0:t>none — no cornerstone tranche</ns0:t>
        </ns0:is>
      </ns0:c>
      <ns0:c r="AC473" s="74" t="inlineStr">
        <ns0:is>
          <ns0:t>none</ns0:t>
        </ns0:is>
      </ns0:c>
      <ns0:c r="AD473" s="78" t="n">
        <ns0:v>15</ns0:v>
      </ns0:c>
      <ns0:c r="AE473" s="85" t="n"/>
      <ns0:c r="AF473" s="85" t="n"/>
      <ns0:c r="AG473" s="85" t="n"/>
      <ns0:c r="AH473" s="85" t="n"/>
      <ns0:c r="AI473" s="86" t="n">
        <ns0:v>93.59999999999999</ns0:v>
      </ns0:c>
      <ns0:c r="AJ473" s="87" t="n">
        <ns0:v>86.59</ns0:v>
      </ns0:c>
      <ns0:c r="AK473" s="87" t="n">
        <ns0:v>-0.79</ns0:v>
      </ns0:c>
      <ns0:c r="AL473" s="87" t="n">
        <ns0:v>100.61</ns0:v>
      </ns0:c>
      <ns0:c r="AM473" s="87" t="n">
        <ns0:v>-6.99</ns0:v>
      </ns0:c>
      <ns0:c r="AN473" s="88" t="n"/>
      <ns0:c r="AO473" s="78" t="n">
        <ns0:v>20.9</ns0:v>
      </ns0:c>
      <ns0:c r="AP473" s="87" t="n">
        <ns0:v>104.57</ns0:v>
      </ns0:c>
      <ns0:c r="AQ473" s="87" t="n">
        <ns0:v>96.19</ns0:v>
      </ns0:c>
      <ns0:c r="AR473" s="87" t="n">
        <ns0:v>115.55</ns0:v>
      </ns0:c>
      <ns0:c r="AS473" s="87" t="n">
        <ns0:v>9.640000000000001</ns0:v>
      </ns0:c>
      <ns0:c r="AT473" s="87" t="n">
        <ns0:v>5.14</ns0:v>
      </ns0:c>
      <ns0:c r="AU473" s="87" t="n">
        <ns0:v>15.52</ns0:v>
      </ns0:c>
      <ns0:c r="AV473" s="87" t="n">
        <ns0:v>102.3</ns0:v>
      </ns0:c>
      <ns0:c r="AW473" s="87" t="n">
        <ns0:v>109.83</ns0:v>
      </ns0:c>
      <ns0:c r="AX473" s="87" t="n">
        <ns0:v>121.91</ns0:v>
      </ns0:c>
      <ns0:c r="AY473" s="87" t="n">
        <ns0:v>18.09</ns0:v>
      </ns0:c>
      <ns0:c r="AZ473" s="87" t="n">
        <ns0:v>-13.64</ns0:v>
      </ns0:c>
      <ns0:c r="BA473" s="87" t="n">
        <ns0:v>-12.95</ns0:v>
      </ns0:c>
      <ns0:c r="BB473" s="74" t="inlineStr">
        <ns0:is>
          <ns0:t>HSTECH (Hang Seng TECH ETF)</ns0:t>
        </ns0:is>
      </ns0:c>
      <ns0:c r="BC473" s="87" t="n">
        <ns0:v>79.27</ns0:v>
      </ns0:c>
      <ns0:c r="BD473" s="75" t="n">
        <ns0:v>46297</ns0:v>
      </ns0:c>
      <ns0:c r="BE473" s="76" t="n">
        <ns0:v>3704.4</ns0:v>
      </ns0:c>
      <ns0:c r="BF473" s="79" t="n">
        <ns0:v>263.1</ns0:v>
      </ns0:c>
      <ns0:c r="BG473" s="74" t="inlineStr">
        <ns0:is>
          <ns0:t>Y</ns0:t>
        </ns0:is>
      </ns0:c>
      <ns0:c r="BH473" s="89" t="n">
        <ns0:v>26.1</ns0:v>
      </ns0:c>
      <ns0:c r="BI473" s="88" t="n"/>
      <ns0:c r="BJ473" s="88" t="n"/>
      <ns0:c r="BK473" s="89" t="n">
        <ns0:v>1.9</ns0:v>
      </ns0:c>
      <ns0:c r="BL473" s="90">
        <ns0:f>IFERROR(IF('BBG Verify'!S473="","Awaiting Bloomberg",'BBG Verify'!S473),"Awaiting Bloomberg")</ns0:f>
        <ns0:v/>
      </ns0:c>
      <ns0:c r="BM473" s="91" t="inlineStr">
        <ns0:is>
          <ns0:t>N</ns0:t>
        </ns0:is>
      </ns0:c>
      <ns0:c r="BN473" s="92">
        <ns0:f>IFERROR(IF('BBG Verify'!K473="","Awaiting Bloomberg",'BBG Verify'!K473),"Awaiting Bloomberg")</ns0:f>
        <ns0:v/>
      </ns0:c>
      <ns0:c r="BO473" s="74" t="inlineStr">
        <ns0:is>
          <ns0:t>N/A</ns0:t>
        </ns0:is>
      </ns0:c>
      <ns0:c r="BP473" s="74" t="inlineStr">
        <ns0:is>
          <ns0:t>N/A</ns0:t>
        </ns0:is>
      </ns0:c>
      <ns0:c r="BQ473" s="74" t="inlineStr">
        <ns0:is>
          <ns0:t>N/A</ns0:t>
        </ns0:is>
      </ns0:c>
      <ns0:c r="BR473" s="74" t="inlineStr">
        <ns0:is>
          <ns0:t>N/A</ns0:t>
        </ns0:is>
      </ns0:c>
      <ns0:c r="BS473" s="74" t="inlineStr">
        <ns0:is>
          <ns0:t>N/A</ns0:t>
        </ns0:is>
      </ns0:c>
      <ns0:c r="BT473" s="74" t="inlineStr">
        <ns0:is>
          <ns0:t>N/A</ns0:t>
        </ns0:is>
      </ns0:c>
      <ns0:c r="BU473" s="91" t="inlineStr">
        <ns0:is>
          <ns0:t>China Securities (International) Corporate Finance Company Limited</ns0:t>
        </ns0:is>
      </ns0:c>
      <ns0:c r="BV473" s="74" t="inlineStr">
        <ns0:is>
          <ns0:t>China Securities (International) Corporate Finance Company Limited</ns0:t>
        </ns0:is>
      </ns0:c>
      <ns0:c r="BW473" s="74" t="inlineStr">
        <ns0:is>
          <ns0:t>China Securities (International) Corporate Finance Company Limited; CMB International Capital Limited; CCB International Capital Limited; ABCI Capital Limited; CNCB (Hong Kong) Capital Limited; Get Nice Securities Limited; Forthright Securities Company Limited; DIRECTORS AND P ARTIES INVOLVED IN THE GLOBAL OFFERING Roofer Securities Limited</ns0:t>
        </ns0:is>
      </ns0:c>
      <ns0:c r="BX473" s="74" t="inlineStr">
        <ns0:is>
          <ns0: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ns0:t>
        </ns0:is>
      </ns0:c>
      <ns0:c r="BY473" s="93">
        <ns0:f>HYPERLINK("https://www1.hkexnews.hk/listedco/listconews/sehk/2026/0518/2026051800027.pdf","prospectus")</ns0:f>
        <ns0:v/>
      </ns0:c>
      <ns0:c r="BZ473" s="93">
        <ns0:f>HYPERLINK("https://www1.hkexnews.hk/listedco/listconews/sehk/2026/0526/2026052602392.pdf","allotment")</ns0:f>
        <ns0:v/>
      </ns0:c>
      <ns0:c r="CA473" s="85" t="n"/>
      <ns0:c r="CB473" s="94" t="n"/>
      <ns0:c r="CC473" s="74" t="inlineStr">
        <ns0:is>
          <ns0:t>intl sub: not stated in the filing; greenshoe: end-of-stabilisation notice not found; range low: maximum offer price only, no floor published; sponsor: English name not in the filing; AAStocks 保薦人 shown; cornerstone list: no cornerstone tranche; stabilising manager: not named in the allotment notice or prospectus glossary; allocation: allocation table not in this notice's format (older prose announcement); day-1 tape: volume on file; the retail multiple needs the final public split, which this notice does not state</ns0:t>
        </ns0:is>
      </ns0:c>
    </ns0:row>
    <ns0:row r="474" ht="22" customHeight="1">
      <ns0:c r="A474" s="73" t="inlineStr">
        <ns0:is>
          <ns0:t>3388</ns0:t>
        </ns0:is>
      </ns0:c>
      <ns0:c r="B474" s="74" t="inlineStr">
        <ns0:is>
          <ns0:t>CREALITY</ns0:t>
        </ns0:is>
      </ns0:c>
      <ns0:c r="C474" s="74" t="inlineStr">
        <ns0:is>
          <ns0:t>創想三維</ns0:t>
        </ns0:is>
      </ns0:c>
      <ns0:c r="D474" s="74" t="inlineStr">
        <ns0:is>
          <ns0:t>Technology</ns0:t>
        </ns0:is>
      </ns0:c>
      <ns0:c r="E474" s="74" t="inlineStr">
        <ns0:is>
          <ns0:t>Hardware &amp; electronics</ns0:t>
        </ns0:is>
      </ns0:c>
      <ns0:c r="F474" s="74" t="inlineStr">
        <ns0:is>
          <ns0:t>Computer Storage &amp; Peripherals</ns0:t>
        </ns0:is>
      </ns0:c>
      <ns0:c r="G474" s="74" t="inlineStr">
        <ns0:is>
          <ns0:t>Standard</ns0:t>
        </ns0:is>
      </ns0:c>
      <ns0:c r="H474" s="75" t="n">
        <ns0:v>46171</ns0:v>
      </ns0:c>
      <ns0:c r="I474" s="76" t="n">
        <ns0:v>1380.44</ns0:v>
      </ns0:c>
      <ns0:c r="J474" s="74" t="inlineStr">
        <ns0:is>
          <ns0:t>gross (stated)</ns0:t>
        </ns0:is>
      </ns0:c>
      <ns0:c r="K474" s="95" t="n"/>
      <ns0:c r="L474" s="77" t="n">
        <ns0:v>18.8</ns0:v>
      </ns0:c>
      <ns0:c r="M474" s="77" t="n">
        <ns0:v>18.8</ns0:v>
      </ns0:c>
      <ns0:c r="N474" s="74" t="inlineStr">
        <ns0:is>
          <ns0:t>Y</ns0:t>
        </ns0:is>
      </ns0:c>
      <ns0:c r="O474" s="78" t="n">
        <ns0:v>100</ns0:v>
      </ns0:c>
      <ns0:c r="P474" s="84" t="n"/>
      <ns0:c r="Q474" s="79" t="n">
        <ns0:v>8776.6</ns0:v>
      </ns0:c>
      <ns0:c r="R474" s="74" t="inlineStr">
        <ns0:is>
          <ns0:t>prospectus:stated market capitalisation</ns0:t>
        </ns0:is>
      </ns0:c>
      <ns0:c r="S474" s="80" t="n">
        <ns0:v>3829.42</ns0:v>
      </ns0:c>
      <ns0:c r="T474" s="81" t="n">
        <ns0:v>26.8</ns0:v>
      </ns0:c>
      <ns0:c r="U474" s="82" t="n">
        <ns0:v>49.9</ns0:v>
      </ns0:c>
      <ns0:c r="V474" s="83" t="n">
        <ns0:v>183</ns0:v>
      </ns0:c>
      <ns0:c r="W474" s="78" t="n">
        <ns0:v>10</ns0:v>
      </ns0:c>
      <ns0:c r="X474" s="74" t="inlineStr">
        <ns0:is>
          <ns0:t>NA</ns0:t>
        </ns0:is>
      </ns0:c>
      <ns0:c r="Y474" s="79" t="n">
        <ns0:v>691.6</ns0:v>
      </ns0:c>
      <ns0:c r="Z474" s="79" t="n">
        <ns0:v>36787203</ns0:v>
      </ns0:c>
      <ns0:c r="AA474" s="78" t="n">
        <ns0:v>7.88</ns0:v>
      </ns0:c>
      <ns0:c r="AB474" s="74" t="inlineStr">
        <ns0:is>
          <ns0:t>Taikang Life Insurance Co., Ltd; CITIC Industrial International Investment Limited; CPE Greater China Enterprises Growth Fund; Martis Fund, L.P; Hong Kong BoYue International Investment Fund Co., Limited; Greater Bay Area Homeland Investments Limited; Apex Insight Investment L.P; Oasis Investments II Master Fund Ltd; Jump Trading Pacific Pte. Ltd; Polymer Asia Fund LP; Dingxin (Securities) Limited; Colloway Group Limited; Seven Grand Managers, LLC; Integrated Core Strategies (Asia) Pte. Ltd; Optimas Capital Limited</ns0:t>
        </ns0:is>
      </ns0:c>
      <ns0:c r="AC474" s="74" t="inlineStr">
        <ns0:is>
          <ns0:t>taikang;citic;cpe;martis;boyue;greater;apex;oasis;jump;polymer;dingxin;colloway;seven;integrated;optimas</ns0:t>
        </ns0:is>
      </ns0:c>
      <ns0:c r="AD474" s="78" t="n">
        <ns0:v>15</ns0:v>
      </ns0:c>
      <ns0:c r="AE474" s="74" t="inlineStr">
        <ns0:is>
          <ns0:t>full</ns0:t>
        </ns0:is>
      </ns0:c>
      <ns0:c r="AF474" s="74" t="inlineStr">
        <ns0:is>
          <ns0:t>2026-06-25</ns0:t>
        </ns0:is>
      </ns0:c>
      <ns0:c r="AG474" s="74" t="inlineStr">
        <ns0:is>
          <ns0:t>China International Capital Corporation Hong Kong Securities Limited</ns0:t>
        </ns0:is>
      </ns0:c>
      <ns0:c r="AH474" s="74" t="inlineStr">
        <ns0:is>
          <ns0:t>China International</ns0:t>
        </ns0:is>
      </ns0:c>
      <ns0:c r="AI474" s="86" t="n">
        <ns0:v>70.64</ns0:v>
      </ns0:c>
      <ns0:c r="AJ474" s="87" t="n">
        <ns0:v>21.28</ns0:v>
      </ns0:c>
      <ns0:c r="AK474" s="87" t="n">
        <ns0:v>0.04</ns0:v>
      </ns0:c>
      <ns0:c r="AL474" s="87" t="n">
        <ns0:v>80.20999999999999</ns0:v>
      </ns0:c>
      <ns0:c r="AM474" s="87" t="n">
        <ns0:v>-32.7</ns0:v>
      </ns0:c>
      <ns0:c r="AN474" s="89" t="n">
        <ns0:v>4.97</ns0:v>
      </ns0:c>
      <ns0:c r="AO474" s="78" t="n">
        <ns0:v>38.72</ns0:v>
      </ns0:c>
      <ns0:c r="AP474" s="87" t="n">
        <ns0:v>11.17</ns0:v>
      </ns0:c>
      <ns0:c r="AQ474" s="87" t="n">
        <ns0:v>38.72</ns0:v>
      </ns0:c>
      <ns0:c r="AR474" s="87" t="n">
        <ns0:v>25.43</ns0:v>
      </ns0:c>
      <ns0:c r="AS474" s="87" t="n">
        <ns0:v>-8.34</ns0:v>
      </ns0:c>
      <ns0:c r="AT474" s="87" t="n">
        <ns0:v>14.38</ns0:v>
      </ns0:c>
      <ns0:c r="AU474" s="87" t="n">
        <ns0:v>3.42</ns0:v>
      </ns0:c>
      <ns0:c r="AV474" s="87" t="n">
        <ns0:v>11.09</ns0:v>
      </ns0:c>
      <ns0:c r="AW474" s="87" t="n">
        <ns0:v>46.92</ns0:v>
      </ns0:c>
      <ns0:c r="AX474" s="87" t="n">
        <ns0:v>30.87</ns0:v>
      </ns0:c>
      <ns0:c r="AY474" s="87" t="n">
        <ns0:v>22.62</ns0:v>
      </ns0:c>
      <ns0:c r="AZ474" s="87" t="n">
        <ns0:v>-8.199999999999999</ns0:v>
      </ns0:c>
      <ns0:c r="BA474" s="87" t="n">
        <ns0:v>-8.24</ns0:v>
      </ns0:c>
      <ns0:c r="BB474" s="74" t="inlineStr">
        <ns0:is>
          <ns0:t>HSTECH (Hang Seng TECH ETF)</ns0:t>
        </ns0:is>
      </ns0:c>
      <ns0:c r="BC474" s="87" t="n">
        <ns0:v>43.62</ns0:v>
      </ns0:c>
      <ns0:c r="BD474" s="75" t="n">
        <ns0:v>46297</ns0:v>
      </ns0:c>
      <ns0:c r="BE474" s="76" t="n">
        <ns0:v>3439.7</ns0:v>
      </ns0:c>
      <ns0:c r="BF474" s="79" t="n">
        <ns0:v>-226.9</ns0:v>
      </ns0:c>
      <ns0:c r="BG474" s="74" t="inlineStr">
        <ns0:is>
          <ns0:t>N</ns0:t>
        </ns0:is>
      </ns0:c>
      <ns0:c r="BH474" s="74" t="inlineStr">
        <ns0:is>
          <ns0:t>n/m</ns0:t>
        </ns0:is>
      </ns0:c>
      <ns0:c r="BI474" s="88" t="n"/>
      <ns0:c r="BJ474" s="88" t="n"/>
      <ns0:c r="BK474" s="89" t="n">
        <ns0:v>2.6</ns0:v>
      </ns0:c>
      <ns0:c r="BL474" s="90">
        <ns0:f>IFERROR(IF('BBG Verify'!S474="","Awaiting Bloomberg",'BBG Verify'!S474),"Awaiting Bloomberg")</ns0:f>
        <ns0:v/>
      </ns0:c>
      <ns0:c r="BM474" s="91" t="inlineStr">
        <ns0:is>
          <ns0:t>N</ns0:t>
        </ns0:is>
      </ns0:c>
      <ns0:c r="BN474" s="92">
        <ns0:f>IFERROR(IF('BBG Verify'!K474="","Awaiting Bloomberg",'BBG Verify'!K474),"Awaiting Bloomberg")</ns0:f>
        <ns0:v/>
      </ns0:c>
      <ns0:c r="BO474" s="74" t="inlineStr">
        <ns0:is>
          <ns0:t>N/A</ns0:t>
        </ns0:is>
      </ns0:c>
      <ns0:c r="BP474" s="74" t="inlineStr">
        <ns0:is>
          <ns0:t>N/A</ns0:t>
        </ns0:is>
      </ns0:c>
      <ns0:c r="BQ474" s="74" t="inlineStr">
        <ns0:is>
          <ns0:t>N/A</ns0:t>
        </ns0:is>
      </ns0:c>
      <ns0:c r="BR474" s="74" t="inlineStr">
        <ns0:is>
          <ns0:t>N/A</ns0:t>
        </ns0:is>
      </ns0:c>
      <ns0:c r="BS474" s="74" t="inlineStr">
        <ns0:is>
          <ns0:t>N/A</ns0:t>
        </ns0:is>
      </ns0:c>
      <ns0:c r="BT474" s="74" t="inlineStr">
        <ns0:is>
          <ns0:t>N/A</ns0:t>
        </ns0:is>
      </ns0:c>
      <ns0:c r="BU474" s="91" t="inlineStr">
        <ns0:is>
          <ns0:t>China International Capital Corporation Hong Kong Securities Limited</ns0:t>
        </ns0:is>
      </ns0:c>
      <ns0:c r="BV474" s="74" t="inlineStr">
        <ns0:is>
          <ns0:t>China International Capital Corporation Hong Kong Securities Limited</ns0:t>
        </ns0:is>
      </ns0:c>
      <ns0:c r="BW474" s="74" t="inlineStr">
        <ns0:is>
          <ns0: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ns0:t>
        </ns0:is>
      </ns0:c>
      <ns0:c r="BX474" s="74" t="inlineStr">
        <ns0:is>
          <ns0: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ns0:t>
        </ns0:is>
      </ns0:c>
      <ns0:c r="BY474" s="93">
        <ns0:f>HYPERLINK("https://www1.hkexnews.hk/listedco/listconews/sehk/2026/0520/2026052000023.pdf","prospectus")</ns0:f>
        <ns0:v/>
      </ns0:c>
      <ns0:c r="BZ474" s="93">
        <ns0:f>HYPERLINK("https://www1.hkexnews.hk/listedco/listconews/sehk/2026/0528/2026052802543.pdf","allotment")</ns0:f>
        <ns0:v/>
      </ns0:c>
      <ns0:c r="CA474" s="93">
        <ns0:f>HYPERLINK("https://www1.hkexnews.hk/listedco/listconews/sehk/2026/0625/2026062502150.pdf","stabilisation")</ns0:f>
        <ns0:v/>
      </ns0:c>
      <ns0:c r="CB474" s="94" t="n"/>
      <ns0:c r="CC474" s="74" t="inlineStr">
        <ns0:is>
          <ns0:t>P/E: loss-making at IPO, use P/S; range low: maximum offer price only, no floor published; sponsor: English name not in the filing; AAStocks 保薦人 shown</ns0:t>
        </ns0:is>
      </ns0:c>
    </ns0:row>
    <ns0:row r="475" ht="22" customHeight="1">
      <ns0:c r="A475" s="73" t="inlineStr">
        <ns0:is>
          <ns0:t>2553</ns0:t>
        </ns0:is>
      </ns0:c>
      <ns0:c r="B475" s="74" t="inlineStr">
        <ns0:is>
          <ns0:t>SHOUGANG LANZA</ns0:t>
        </ns0:is>
      </ns0:c>
      <ns0:c r="C475" s="74" t="inlineStr">
        <ns0:is>
          <ns0:t>首鋼朗澤</ns0:t>
        </ns0:is>
      </ns0:c>
      <ns0:c r="D475" s="74" t="inlineStr">
        <ns0:is>
          <ns0:t>Materials/Energy</ns0:t>
        </ns0:is>
      </ns0:c>
      <ns0:c r="E475" s="74" t="inlineStr">
        <ns0:is>
          <ns0:t>Chemicals</ns0:t>
        </ns0:is>
      </ns0:c>
      <ns0:c r="F475" s="74" t="inlineStr">
        <ns0:is>
          <ns0:t>Diversified Chemicals</ns0:t>
        </ns0:is>
      </ns0:c>
      <ns0:c r="G475" s="74" t="inlineStr">
        <ns0:is>
          <ns0:t>Standard</ns0:t>
        </ns0:is>
      </ns0:c>
      <ns0:c r="H475" s="75" t="n">
        <ns0:v>46176</ns0:v>
      </ns0:c>
      <ns0:c r="I475" s="76" t="n">
        <ns0:v>584</ns0:v>
      </ns0:c>
      <ns0:c r="J475" s="74" t="inlineStr">
        <ns0:is>
          <ns0:t>gross (stated)</ns0:t>
        </ns0:is>
      </ns0:c>
      <ns0:c r="K475" s="95" t="n"/>
      <ns0:c r="L475" s="77" t="n">
        <ns0:v>17.1</ns0:v>
      </ns0:c>
      <ns0:c r="M475" s="77" t="n">
        <ns0:v>14.6</ns0:v>
      </ns0:c>
      <ns0:c r="N475" s="74" t="inlineStr">
        <ns0:is>
          <ns0:t>N</ns0:t>
        </ns0:is>
      </ns0:c>
      <ns0:c r="O475" s="78" t="n">
        <ns0:v>85.40000000000001</ns0:v>
      </ns0:c>
      <ns0:c r="P475" s="84" t="n"/>
      <ns0:c r="Q475" s="79" t="n">
        <ns0:v>5840</ns0:v>
      </ns0:c>
      <ns0:c r="R475" s="74" t="inlineStr">
        <ns0:is>
          <ns0:t>derived:price x shares upon listing</ns0:t>
        </ns0:is>
      </ns0:c>
      <ns0:c r="S475" s="80" t="n">
        <ns0:v>1421.54</ns0:v>
      </ns0:c>
      <ns0:c r="T475" s="81" t="n">
        <ns0:v>0.95</ns0:v>
      </ns0:c>
      <ns0:c r="U475" s="82" t="n">
        <ns0:v>0</ns0:v>
      </ns0:c>
      <ns0:c r="V475" s="83" t="n">
        <ns0:v>97</ns0:v>
      </ns0:c>
      <ns0:c r="W475" s="78" t="n">
        <ns0:v>15</ns0:v>
      </ns0:c>
      <ns0:c r="X475" s="74" t="inlineStr">
        <ns0:is>
          <ns0:t>NA</ns0:t>
        </ns0:is>
      </ns0:c>
      <ns0:c r="Y475" s="79" t="n">
        <ns0:v>584</ns0:v>
      </ns0:c>
      <ns0:c r="Z475" s="79" t="n">
        <ns0:v>40000000</ns0:v>
      </ns0:c>
      <ns0:c r="AA475" s="78" t="n">
        <ns0:v>10</ns0:v>
      </ns0:c>
      <ns0:c r="AB475" s="74" t="inlineStr">
        <ns0:is>
          <ns0:t>none — no cornerstone tranche</ns0:t>
        </ns0:is>
      </ns0:c>
      <ns0:c r="AC475" s="74" t="inlineStr">
        <ns0:is>
          <ns0:t>none</ns0:t>
        </ns0:is>
      </ns0:c>
      <ns0:c r="AD475" s="78" t="n">
        <ns0:v>15.9</ns0:v>
      </ns0:c>
      <ns0:c r="AE475" s="74" t="inlineStr">
        <ns0:is>
          <ns0:t>lapsed (no over-allocation)</ns0:t>
        </ns0:is>
      </ns0:c>
      <ns0:c r="AF475" s="74" t="inlineStr">
        <ns0:is>
          <ns0:t>2026-06-28</ns0:t>
        </ns0:is>
      </ns0:c>
      <ns0:c r="AG475" s="74" t="inlineStr">
        <ns0:is>
          <ns0:t>Yue Xiu Securities Company Limited</ns0:t>
        </ns0:is>
      </ns0:c>
      <ns0:c r="AH475" s="74" t="inlineStr">
        <ns0:is>
          <ns0:t>Yue Xiu</ns0:t>
        </ns0:is>
      </ns0:c>
      <ns0:c r="AI475" s="86" t="n">
        <ns0:v>146.58</ns0:v>
      </ns0:c>
      <ns0:c r="AJ475" s="87" t="n">
        <ns0:v>44.25</ns0:v>
      </ns0:c>
      <ns0:c r="AK475" s="87" t="n">
        <ns0:v>-2.09</ns0:v>
      </ns0:c>
      <ns0:c r="AL475" s="87" t="n">
        <ns0:v>91.78</ns0:v>
      </ns0:c>
      <ns0:c r="AM475" s="87" t="n">
        <ns0:v>-24.78</ns0:v>
      </ns0:c>
      <ns0:c r="AN475" s="89" t="n">
        <ns0:v>6.17</ns0:v>
      </ns0:c>
      <ns0:c r="AO475" s="78" t="n">
        <ns0:v>42.71</ns0:v>
      </ns0:c>
      <ns0:c r="AP475" s="87" t="n">
        <ns0:v>115.75</ns0:v>
      </ns0:c>
      <ns0:c r="AQ475" s="87" t="n">
        <ns0:v>193.84</ns0:v>
      </ns0:c>
      <ns0:c r="AR475" s="87" t="n">
        <ns0:v>67.81</ns0:v>
      </ns0:c>
      <ns0:c r="AS475" s="87" t="n">
        <ns0:v>49.57</ns0:v>
      </ns0:c>
      <ns0:c r="AT475" s="87" t="n">
        <ns0:v>103.7</ns0:v>
      </ns0:c>
      <ns0:c r="AU475" s="87" t="n">
        <ns0:v>16.33</ns0:v>
      </ns0:c>
      <ns0:c r="AV475" s="87" t="n">
        <ns0:v>123.08</ns0:v>
      </ns0:c>
      <ns0:c r="AW475" s="87" t="n">
        <ns0:v>205.32</ns0:v>
      </ns0:c>
      <ns0:c r="AX475" s="87" t="n">
        <ns0:v>74.8</ns0:v>
      </ns0:c>
      <ns0:c r="AY475" s="87" t="n">
        <ns0:v>113.3</ns0:v>
      </ns0:c>
      <ns0:c r="AZ475" s="87" t="n">
        <ns0:v>-11.48</ns0:v>
      </ns0:c>
      <ns0:c r="BA475" s="87" t="n">
        <ns0:v>-9.6</ns0:v>
      </ns0:c>
      <ns0:c r="BB475" s="74" t="inlineStr">
        <ns0:is>
          <ns0:t>Hang Seng Commerce &amp; Industry sub-index</ns0:t>
        </ns0:is>
      </ns0:c>
      <ns0:c r="BC475" s="87" t="n">
        <ns0:v>-19.25</ns0:v>
      </ns0:c>
      <ns0:c r="BD475" s="75" t="n">
        <ns0:v>46297</ns0:v>
      </ns0:c>
      <ns0:c r="BE475" s="76" t="n">
        <ns0:v>573.9</ns0:v>
      </ns0:c>
      <ns0:c r="BF475" s="79" t="n">
        <ns0:v>-357.4</ns0:v>
      </ns0:c>
      <ns0:c r="BG475" s="74" t="inlineStr">
        <ns0:is>
          <ns0:t>N</ns0:t>
        </ns0:is>
      </ns0:c>
      <ns0:c r="BH475" s="74" t="inlineStr">
        <ns0:is>
          <ns0:t>n/m</ns0:t>
        </ns0:is>
      </ns0:c>
      <ns0:c r="BI475" s="88" t="n"/>
      <ns0:c r="BJ475" s="88" t="n"/>
      <ns0:c r="BK475" s="89" t="n">
        <ns0:v>10.2</ns0:v>
      </ns0:c>
      <ns0:c r="BL475" s="90">
        <ns0:f>IFERROR(IF('BBG Verify'!S475="","Awaiting Bloomberg",'BBG Verify'!S475),"Awaiting Bloomberg")</ns0:f>
        <ns0:v/>
      </ns0:c>
      <ns0:c r="BM475" s="91" t="inlineStr">
        <ns0:is>
          <ns0:t>N</ns0:t>
        </ns0:is>
      </ns0:c>
      <ns0:c r="BN475" s="92">
        <ns0:f>IFERROR(IF('BBG Verify'!K475="","Awaiting Bloomberg",'BBG Verify'!K475),"Awaiting Bloomberg")</ns0:f>
        <ns0:v/>
      </ns0:c>
      <ns0:c r="BO475" s="74" t="inlineStr">
        <ns0:is>
          <ns0:t>N/A</ns0:t>
        </ns0:is>
      </ns0:c>
      <ns0:c r="BP475" s="74" t="inlineStr">
        <ns0:is>
          <ns0:t>N/A</ns0:t>
        </ns0:is>
      </ns0:c>
      <ns0:c r="BQ475" s="74" t="inlineStr">
        <ns0:is>
          <ns0:t>N/A</ns0:t>
        </ns0:is>
      </ns0:c>
      <ns0:c r="BR475" s="74" t="inlineStr">
        <ns0:is>
          <ns0:t>N/A</ns0:t>
        </ns0:is>
      </ns0:c>
      <ns0:c r="BS475" s="74" t="inlineStr">
        <ns0:is>
          <ns0:t>N/A</ns0:t>
        </ns0:is>
      </ns0:c>
      <ns0:c r="BT475" s="74" t="inlineStr">
        <ns0:is>
          <ns0:t>N/A</ns0:t>
        </ns0:is>
      </ns0:c>
      <ns0:c r="BU475" s="91" t="inlineStr">
        <ns0:is>
          <ns0:t>Yue Xiu Capital Limited</ns0:t>
        </ns0:is>
      </ns0:c>
      <ns0:c r="BV475" s="74" t="inlineStr">
        <ns0:is>
          <ns0:t>Yue Xiu Capital Limited</ns0:t>
        </ns0:is>
      </ns0:c>
      <ns0:c r="BW475" s="74" t="inlineStr">
        <ns0:is>
          <ns0:t>Yue Xiu Securities Company Limited; Mango Financial Limited; Maxa Asset Management Limited; CCB International Capital Limited; Skyvast Securities Limited; GEO Securities Limited; uSmart Securities Limited; CMBC Securities Company Limited; Futu Securities International (Hong Kong) Limited; Livermore Holdings Limited</ns0:t>
        </ns0:is>
      </ns0:c>
      <ns0:c r="BX475" s="74" t="inlineStr">
        <ns0:is>
          <ns0:t>CCB International Capital Limited; CMBC Securities Company Limited; Futu Securities International (Hong Kong) Limited; GEO Securities Limited; Livermore Holdings Limited; Maxa Asset Management Limited; Mango Financial Limited; Skyvast Securities Limited</ns0:t>
        </ns0:is>
      </ns0:c>
      <ns0:c r="BY475" s="93">
        <ns0:f>HYPERLINK("https://www1.hkexnews.hk/listedco/listconews/sehk/2026/0526/2026052600047.pdf","prospectus")</ns0:f>
        <ns0:v/>
      </ns0:c>
      <ns0:c r="BZ475" s="93">
        <ns0:f>HYPERLINK("https://www1.hkexnews.hk/listedco/listconews/sehk/2026/0602/2026060202644.pdf","allotment")</ns0:f>
        <ns0:v/>
      </ns0:c>
      <ns0:c r="CA475" s="93">
        <ns0:f>HYPERLINK("https://www1.hkexnews.hk/listedco/listconews/sehk/2026/0630/2026063000051.pdf","stabilisation")</ns0:f>
        <ns0:v/>
      </ns0:c>
      <ns0:c r="CB475" s="94" t="n"/>
      <ns0:c r="CC475" s="74" t="inlineStr">
        <ns0:is>
          <ns0:t>P/E: loss-making at IPO, use P/S; range low: maximum offer price only, no floor published; cornerstone list: no cornerstone tranche</ns0:t>
        </ns0:is>
      </ns0:c>
    </ns0:row>
    <ns0:row r="476" ht="22" customHeight="1">
      <ns0:c r="A476" s="73" t="inlineStr">
        <ns0:is>
          <ns0:t>2290</ns0:t>
        </ns0:is>
      </ns0:c>
      <ns0:c r="B476" s="74" t="inlineStr">
        <ns0:is>
          <ns0:t>LUNG FUNG GROUP</ns0:t>
        </ns0:is>
      </ns0:c>
      <ns0:c r="C476" s="74" t="inlineStr">
        <ns0:is>
          <ns0:t>龍豐集團</ns0:t>
        </ns0:is>
      </ns0:c>
      <ns0:c r="D476" s="74" t="inlineStr">
        <ns0:is>
          <ns0:t>Consumer</ns0:t>
        </ns0:is>
      </ns0:c>
      <ns0:c r="E476" s="74" t="inlineStr">
        <ns0:is>
          <ns0:t>Retail / distribution</ns0:t>
        </ns0:is>
      </ns0:c>
      <ns0:c r="F476" s="74" t="inlineStr">
        <ns0:is>
          <ns0:t>Beauty &amp; Toiletries Products Retail</ns0:t>
        </ns0:is>
      </ns0:c>
      <ns0:c r="G476" s="74" t="inlineStr">
        <ns0:is>
          <ns0:t>Standard</ns0:t>
        </ns0:is>
      </ns0:c>
      <ns0:c r="H476" s="75" t="n">
        <ns0:v>46178</ns0:v>
      </ns0:c>
      <ns0:c r="I476" s="76" t="n">
        <ns0:v>647.5</ns0:v>
      </ns0:c>
      <ns0:c r="J476" s="74" t="inlineStr">
        <ns0:is>
          <ns0:t>gross (stated)</ns0:t>
        </ns0:is>
      </ns0:c>
      <ns0:c r="K476" s="77" t="n">
        <ns0:v>5.18</ns0:v>
      </ns0:c>
      <ns0:c r="L476" s="77" t="n">
        <ns0:v>6.38</ns0:v>
      </ns0:c>
      <ns0:c r="M476" s="77" t="n">
        <ns0:v>5.18</ns0:v>
      </ns0:c>
      <ns0:c r="N476" s="74" t="inlineStr">
        <ns0:is>
          <ns0:t>N</ns0:t>
        </ns0:is>
      </ns0:c>
      <ns0:c r="O476" s="78" t="n">
        <ns0:v>81.2</ns0:v>
      </ns0:c>
      <ns0:c r="P476" s="78" t="n">
        <ns0:v>0</ns0:v>
      </ns0:c>
      <ns0:c r="Q476" s="79" t="n">
        <ns0:v>2590</ns0:v>
      </ns0:c>
      <ns0:c r="R476" s="74" t="inlineStr">
        <ns0:is>
          <ns0:t>derived:price x shares upon listing</ns0:t>
        </ns0:is>
      </ns0:c>
      <ns0:c r="S476" s="80" t="n">
        <ns0:v>664.92</ns0:v>
      </ns0:c>
      <ns0:c r="T476" s="81" t="n">
        <ns0:v>3.18</ns0:v>
      </ns0:c>
      <ns0:c r="U476" s="82" t="n">
        <ns0:v>0</ns0:v>
      </ns0:c>
      <ns0:c r="V476" s="83" t="n">
        <ns0:v>78</ns0:v>
      </ns0:c>
      <ns0:c r="W476" s="78" t="n">
        <ns0:v>10</ns0:v>
      </ns0:c>
      <ns0:c r="X476" s="74" t="inlineStr">
        <ns0:is>
          <ns0:t>NO</ns0:t>
        </ns0:is>
      </ns0:c>
      <ns0:c r="Y476" s="79" t="n">
        <ns0:v>647.5</ns0:v>
      </ns0:c>
      <ns0:c r="Z476" s="79" t="n">
        <ns0:v>125000000</ns0:v>
      </ns0:c>
      <ns0:c r="AA476" s="78" t="n">
        <ns0:v>25</ns0:v>
      </ns0:c>
      <ns0:c r="AB476" s="74" t="inlineStr">
        <ns0:is>
          <ns0:t>none — no cornerstone tranche</ns0:t>
        </ns0:is>
      </ns0:c>
      <ns0:c r="AC476" s="74" t="inlineStr">
        <ns0:is>
          <ns0:t>none</ns0:t>
        </ns0:is>
      </ns0:c>
      <ns0:c r="AD476" s="78" t="n">
        <ns0:v>15</ns0:v>
      </ns0:c>
      <ns0:c r="AE476" s="85" t="n"/>
      <ns0:c r="AF476" s="85" t="n"/>
      <ns0:c r="AG476" s="85" t="n"/>
      <ns0:c r="AH476" s="85" t="n"/>
      <ns0:c r="AI476" s="105" t="n">
        <ns0:v>-1.54</ns0:v>
      </ns0:c>
      <ns0:c r="AJ476" s="87" t="n">
        <ns0:v>-45.75</ns0:v>
      </ns0:c>
      <ns0:c r="AK476" s="87" t="n">
        <ns0:v>-1.35</ns0:v>
      </ns0:c>
      <ns0:c r="AL476" s="87" t="n">
        <ns0:v>-16.6</ns0:v>
      </ns0:c>
      <ns0:c r="AM476" s="87" t="n">
        <ns0:v>-34.95</ns0:v>
      </ns0:c>
      <ns0:c r="AN476" s="89" t="n">
        <ns0:v>6.84</ns0:v>
      </ns0:c>
      <ns0:c r="AO476" s="78" t="n">
        <ns0:v>41.67</ns0:v>
      </ns0:c>
      <ns0:c r="AP476" s="87" t="n">
        <ns0:v>-47.49</ns0:v>
      </ns0:c>
      <ns0:c r="AQ476" s="87" t="n">
        <ns0:v>-28.57</ns0:v>
      </ns0:c>
      <ns0:c r="AR476" s="87" t="n">
        <ns0:v>-22.1</ns0:v>
      </ns0:c>
      <ns0:c r="AS476" s="87" t="n">
        <ns0:v>-3.21</ns0:v>
      </ns0:c>
      <ns0:c r="AT476" s="87" t="n">
        <ns0:v>31.67</ns0:v>
      </ns0:c>
      <ns0:c r="AU476" s="87" t="n">
        <ns0:v>43.59</ns0:v>
      </ns0:c>
      <ns0:c r="AV476" s="87" t="n">
        <ns0:v>-43.71</ns0:v>
      </ns0:c>
      <ns0:c r="AW476" s="87" t="n">
        <ns0:v>-23.07</ns0:v>
      </ns0:c>
      <ns0:c r="AX476" s="87" t="n">
        <ns0:v>-19.59</ns0:v>
      </ns0:c>
      <ns0:c r="AY476" s="87" t="n">
        <ns0:v>35.88</ns0:v>
      </ns0:c>
      <ns0:c r="AZ476" s="87" t="n">
        <ns0:v>-5.5</ns0:v>
      </ns0:c>
      <ns0:c r="BA476" s="87" t="n">
        <ns0:v>-4.21</ns0:v>
      </ns0:c>
      <ns0:c r="BB476" s="74" t="inlineStr">
        <ns0:is>
          <ns0:t>Hang Seng Commerce &amp; Industry sub-index</ns0:t>
        </ns0:is>
      </ns0:c>
      <ns0:c r="BC476" s="87" t="n">
        <ns0:v>-16.51</ns0:v>
      </ns0:c>
      <ns0:c r="BD476" s="75" t="n">
        <ns0:v>46297</ns0:v>
      </ns0:c>
      <ns0:c r="BE476" s="76" t="n">
        <ns0:v>2460.5</ns0:v>
      </ns0:c>
      <ns0:c r="BF476" s="79" t="n">
        <ns0:v>-27.1</ns0:v>
      </ns0:c>
      <ns0:c r="BG476" s="74" t="inlineStr">
        <ns0:is>
          <ns0:t>N</ns0:t>
        </ns0:is>
      </ns0:c>
      <ns0:c r="BH476" s="74" t="inlineStr">
        <ns0:is>
          <ns0:t>n/m</ns0:t>
        </ns0:is>
      </ns0:c>
      <ns0:c r="BI476" s="88" t="n"/>
      <ns0:c r="BJ476" s="88" t="n"/>
      <ns0:c r="BK476" s="89" t="n">
        <ns0:v>1.1</ns0:v>
      </ns0:c>
      <ns0:c r="BL476" s="90">
        <ns0:f>IFERROR(IF('BBG Verify'!S476="","Awaiting Bloomberg",'BBG Verify'!S476),"Awaiting Bloomberg")</ns0:f>
        <ns0:v/>
      </ns0:c>
      <ns0:c r="BM476" s="91" t="inlineStr">
        <ns0:is>
          <ns0:t>N</ns0:t>
        </ns0:is>
      </ns0:c>
      <ns0:c r="BN476" s="92">
        <ns0:f>IFERROR(IF('BBG Verify'!K476="","Awaiting Bloomberg",'BBG Verify'!K476),"Awaiting Bloomberg")</ns0:f>
        <ns0:v/>
      </ns0:c>
      <ns0:c r="BO476" s="74" t="inlineStr">
        <ns0:is>
          <ns0:t>N/A</ns0:t>
        </ns0:is>
      </ns0:c>
      <ns0:c r="BP476" s="74" t="inlineStr">
        <ns0:is>
          <ns0:t>N/A</ns0:t>
        </ns0:is>
      </ns0:c>
      <ns0:c r="BQ476" s="74" t="inlineStr">
        <ns0:is>
          <ns0:t>N/A</ns0:t>
        </ns0:is>
      </ns0:c>
      <ns0:c r="BR476" s="74" t="inlineStr">
        <ns0:is>
          <ns0:t>N/A</ns0:t>
        </ns0:is>
      </ns0:c>
      <ns0:c r="BS476" s="74" t="inlineStr">
        <ns0:is>
          <ns0:t>N/A</ns0:t>
        </ns0:is>
      </ns0:c>
      <ns0:c r="BT476" s="74" t="inlineStr">
        <ns0:is>
          <ns0:t>N/A</ns0:t>
        </ns0:is>
      </ns0:c>
      <ns0:c r="BU476" s="91" t="inlineStr">
        <ns0:is>
          <ns0:t>DBS Asia Capital Limited; Industry consultant Frost &amp; Sullivan Limited; AVISTA Valuation Advisory Limited;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ns0:t>
        </ns0:is>
      </ns0:c>
      <ns0:c r="BV476" s="74" t="inlineStr">
        <ns0:is>
          <ns0:t>DBS Asia Capital Limited</ns0:t>
        </ns0:is>
      </ns0:c>
      <ns0:c r="BW476" s="74" t="inlineStr">
        <ns0:is>
          <ns0:t>CMB International Capital Limited; DBS Asia Capital Limited; Phillip Securities (Hong Kong) Limited; SPDB International Capital Limited</ns0:t>
        </ns0:is>
      </ns0:c>
      <ns0:c r="BX476" s="74" t="inlineStr">
        <ns0:is>
          <ns0:t>CMB International Capital Limited; DBS Asia Capital Limited; Phillip Securities (Hong Kong) Limited; SPDB International Capital Limited</ns0:t>
        </ns0:is>
      </ns0:c>
      <ns0:c r="BY476" s="93">
        <ns0:f>HYPERLINK("https://www1.hkexnews.hk/listedco/listconews/sehk/2026/0528/2026052800031.pdf","prospectus")</ns0:f>
        <ns0:v/>
      </ns0:c>
      <ns0:c r="BZ476" s="93">
        <ns0:f>HYPERLINK("https://www1.hkexnews.hk/listedco/listconews/sehk/2026/0604/2026060402521.pdf","allotment")</ns0:f>
        <ns0:v/>
      </ns0:c>
      <ns0:c r="CA476" s="93">
        <ns0:f>HYPERLINK("https://www1.hkexnews.hk/listedco/listconews/sehk/2026/0702/2026070203049.pdf","stabilisation")</ns0:f>
        <ns0:v/>
      </ns0:c>
      <ns0:c r="CB476" s="94" t="n"/>
      <ns0:c r="CC476" s="74" t="inlineStr">
        <ns0:is>
          <ns0:t>P/E: loss-making at IPO, use P/S; greenshoe: end-of-stabilisation notice not found; cornerstone list: no cornerstone tranche; stabilising manager: not named in the allotment notice or prospectus glossary; stabilisation notice: notice linked; outcome wording not recognised, result left blank</ns0:t>
        </ns0:is>
      </ns0:c>
    </ns0:row>
    <ns0:row r="477" ht="22" customHeight="1">
      <ns0:c r="A477" s="73" t="inlineStr">
        <ns0:is>
          <ns0:t>1081</ns0:t>
        </ns0:is>
      </ns0:c>
      <ns0:c r="B477" s="74" t="inlineStr">
        <ns0:is>
          <ns0:t>DAJIN</ns0:t>
        </ns0:is>
      </ns0:c>
      <ns0:c r="C477" s="74" t="inlineStr">
        <ns0:is>
          <ns0:t>大金重工</ns0:t>
        </ns0:is>
      </ns0:c>
      <ns0:c r="D477" s="74" t="inlineStr">
        <ns0:is>
          <ns0:t>Industrials</ns0:t>
        </ns0:is>
      </ns0:c>
      <ns0:c r="E477" s="74" t="inlineStr">
        <ns0:is>
          <ns0:t>Solar / wind supply chain</ns0:t>
        </ns0:is>
      </ns0:c>
      <ns0:c r="F477" s="74" t="inlineStr">
        <ns0:is>
          <ns0:t>Environmental Goods</ns0:t>
        </ns0:is>
      </ns0:c>
      <ns0:c r="G477" s="74" t="inlineStr">
        <ns0:is>
          <ns0:t>Standard</ns0:t>
        </ns0:is>
      </ns0:c>
      <ns0:c r="H477" s="75" t="n">
        <ns0:v>46178</ns0:v>
      </ns0:c>
      <ns0:c r="I477" s="76" t="n">
        <ns0:v>6640.7</ns0:v>
      </ns0:c>
      <ns0:c r="J477" s="74" t="inlineStr">
        <ns0:is>
          <ns0:t>gross (stated)</ns0:t>
        </ns0:is>
      </ns0:c>
      <ns0:c r="K477" s="95" t="n"/>
      <ns0:c r="L477" s="77" t="n">
        <ns0:v>66.40000000000001</ns0:v>
      </ns0:c>
      <ns0:c r="M477" s="77" t="n">
        <ns0:v>66.40000000000001</ns0:v>
      </ns0:c>
      <ns0:c r="N477" s="74" t="inlineStr">
        <ns0:is>
          <ns0:t>Y</ns0:t>
        </ns0:is>
      </ns0:c>
      <ns0:c r="O477" s="78" t="n">
        <ns0:v>100</ns0:v>
      </ns0:c>
      <ns0:c r="P477" s="84" t="n"/>
      <ns0:c r="Q477" s="79" t="n">
        <ns0:v>64686.6</ns0:v>
      </ns0:c>
      <ns0:c r="R477" s="74" t="inlineStr">
        <ns0:is>
          <ns0:t>prospectus:stated market capitalisation</ns0:t>
        </ns0:is>
      </ns0:c>
      <ns0:c r="S477" s="80" t="n">
        <ns0:v>134.39</ns0:v>
      </ns0:c>
      <ns0:c r="T477" s="81" t="n">
        <ns0:v>10.68</ns0:v>
      </ns0:c>
      <ns0:c r="U477" s="82" t="n">
        <ns0:v>48.54</ns0:v>
      </ns0:c>
      <ns0:c r="V477" s="83" t="n">
        <ns0:v>125</ns0:v>
      </ns0:c>
      <ns0:c r="W477" s="78" t="n">
        <ns0:v>8.699999999999999</ns0:v>
      </ns0:c>
      <ns0:c r="X477" s="74" t="inlineStr">
        <ns0:is>
          <ns0:t>NA</ns0:t>
        </ns0:is>
      </ns0:c>
      <ns0:c r="Y477" s="79" t="n">
        <ns0:v>3417.3</ns0:v>
      </ns0:c>
      <ns0:c r="Z477" s="97" t="n"/>
      <ns0:c r="AA477" s="78" t="n">
        <ns0:v>5.28</ns0:v>
      </ns0:c>
      <ns0:c r="AB477" s="74" t="inlineStr">
        <ns0:is>
          <ns0:t>CPE Juniper Investment Limited; Eastspring Investments (Hong Kong) Limited (瀚 亞投資（香港）;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ns0:t>
        </ns0:is>
      </ns0:c>
      <ns0:c r="AC477" s="74" t="inlineStr">
        <ns0:is>
          <ns0:t>cpe;eastspring;fullgoal;gic;hhlr;hillhouse;icbc;marshall;millennium;pinpoint;psbc;taikang;ubs</ns0:t>
        </ns0:is>
      </ns0:c>
      <ns0:c r="AD477" s="78" t="n">
        <ns0:v>15</ns0:v>
      </ns0:c>
      <ns0:c r="AE477" s="74" t="inlineStr">
        <ns0:is>
          <ns0:t>partial</ns0:t>
        </ns0:is>
      </ns0:c>
      <ns0:c r="AF477" s="74" t="inlineStr">
        <ns0:is>
          <ns0:t>2026-07-02</ns0:t>
        </ns0:is>
      </ns0:c>
      <ns0:c r="AG477" s="74" t="inlineStr">
        <ns0:is>
          <ns0:t>Huatai Financial Holdings</ns0:t>
        </ns0:is>
      </ns0:c>
      <ns0:c r="AH477" s="74" t="inlineStr">
        <ns0:is>
          <ns0:t>Huatai</ns0:t>
        </ns0:is>
      </ns0:c>
      <ns0:c r="AI477" s="86" t="n">
        <ns0:v>-4.97</ns0:v>
      </ns0:c>
      <ns0:c r="AJ477" s="87" t="n">
        <ns0:v>0</ns0:v>
      </ns0:c>
      <ns0:c r="AK477" s="87" t="n">
        <ns0:v>-1.35</ns0:v>
      </ns0:c>
      <ns0:c r="AL477" s="87" t="n">
        <ns0:v>0</ns0:v>
      </ns0:c>
      <ns0:c r="AM477" s="87" t="n">
        <ns0:v>0</ns0:v>
      </ns0:c>
      <ns0:c r="AN477" s="89" t="n">
        <ns0:v>2.06</ns0:v>
      </ns0:c>
      <ns0:c r="AO477" s="78" t="n">
        <ns0:v>11.14</ns0:v>
      </ns0:c>
      <ns0:c r="AP477" s="87" t="n">
        <ns0:v>-3.69</ns0:v>
      </ns0:c>
      <ns0:c r="AQ477" s="87" t="n">
        <ns0:v>-30.72</ns0:v>
      </ns0:c>
      <ns0:c r="AR477" s="87" t="n">
        <ns0:v>-57.02</ns0:v>
      </ns0:c>
      <ns0:c r="AS477" s="87" t="n">
        <ns0:v>-3.69</ns0:v>
      </ns0:c>
      <ns0:c r="AT477" s="87" t="n">
        <ns0:v>-30.72</ns0:v>
      </ns0:c>
      <ns0:c r="AU477" s="87" t="n">
        <ns0:v>-57.02</ns0:v>
      </ns0:c>
      <ns0:c r="AV477" s="87" t="n">
        <ns0:v>0.09</ns0:v>
      </ns0:c>
      <ns0:c r="AW477" s="87" t="n">
        <ns0:v>-25.22</ns0:v>
      </ns0:c>
      <ns0:c r="AX477" s="87" t="n">
        <ns0:v>-54.51</ns0:v>
      </ns0:c>
      <ns0:c r="AY477" s="87" t="n">
        <ns0:v>-26.51</ns0:v>
      </ns0:c>
      <ns0:c r="AZ477" s="87" t="n">
        <ns0:v>-5.5</ns0:v>
      </ns0:c>
      <ns0:c r="BA477" s="87" t="n">
        <ns0:v>-4.21</ns0:v>
      </ns0:c>
      <ns0:c r="BB477" s="74" t="inlineStr">
        <ns0:is>
          <ns0:t>Hang Seng Commerce &amp; Industry sub-index</ns0:t>
        </ns0:is>
      </ns0:c>
      <ns0:c r="BC477" s="87" t="n">
        <ns0:v>-52.02</ns0:v>
      </ns0:c>
      <ns0:c r="BD477" s="75" t="n">
        <ns0:v>46297</ns0:v>
      </ns0:c>
      <ns0:c r="BE477" s="76" t="n">
        <ns0:v>6790.9</ns0:v>
      </ns0:c>
      <ns0:c r="BF477" s="79" t="n">
        <ns0:v>1213.6</ns0:v>
      </ns0:c>
      <ns0:c r="BG477" s="74" t="inlineStr">
        <ns0:is>
          <ns0:t>Y</ns0:t>
        </ns0:is>
      </ns0:c>
      <ns0:c r="BH477" s="89" t="n">
        <ns0:v>53.3</ns0:v>
      </ns0:c>
      <ns0:c r="BI477" s="89" t="n">
        <ns0:v>33.2</ns0:v>
      </ns0:c>
      <ns0:c r="BJ477" s="89" t="n">
        <ns0:v>17.8</ns0:v>
      </ns0:c>
      <ns0:c r="BK477" s="89" t="n">
        <ns0:v>9.5</ns0:v>
      </ns0:c>
      <ns0:c r="BL477" s="90">
        <ns0:f>IFERROR(IF('BBG Verify'!S477="","Awaiting Bloomberg",'BBG Verify'!S477),"Awaiting Bloomberg")</ns0:f>
        <ns0:v/>
      </ns0:c>
      <ns0:c r="BM477" s="91" t="inlineStr">
        <ns0:is>
          <ns0:t>Y</ns0:t>
        </ns0:is>
      </ns0:c>
      <ns0:c r="BN477" s="74" t="inlineStr">
        <ns0:is>
          <ns0:t>002487.SZ</ns0:t>
        </ns0:is>
      </ns0:c>
      <ns0:c r="BO477" s="87" t="n">
        <ns0:v>17.8</ns0:v>
      </ns0:c>
      <ns0:c r="BP477" s="77" t="n">
        <ns0:v>78.2184</ns0:v>
      </ns0:c>
      <ns0:c r="BQ477" s="101" t="n">
        <ns0:v>0.7004</ns0:v>
      </ns0:c>
      <ns0:c r="BR477" s="79" t="n">
        <ns0:v>40108.2</ns0:v>
      </ns0:c>
      <ns0:c r="BS477" s="90">
        <ns0:f>IFERROR(IF('BBG Verify'!Q477="","Awaiting Bloomberg",'BBG Verify'!Q477),"Awaiting Bloomberg")</ns0:f>
        <ns0:v/>
      </ns0:c>
      <ns0:c r="BT477" s="90">
        <ns0:f>IFERROR(IF('BBG Verify'!R477="","Awaiting Bloomberg",'BBG Verify'!R477),"Awaiting Bloomberg")</ns0:f>
        <ns0:v/>
      </ns0:c>
      <ns0:c r="BU477" s="91" t="inlineStr">
        <ns0:is>
          <ns0:t>Huatai Financial Holdings (Hong Kong) Limited; China Merchants Securities (HK) Co., Limited</ns0:t>
        </ns0:is>
      </ns0:c>
      <ns0:c r="BV477" s="74" t="inlineStr">
        <ns0:is>
          <ns0:t>Huatai Financial Holdings (Hong Kong) Limited; China Merchants Securities (HK) Company Limited</ns0:t>
        </ns0:is>
      </ns0:c>
      <ns0:c r="BW477" s="74" t="inlineStr">
        <ns0:is>
          <ns0:t>Huatai Financial Holdings (Hong Kong) Limited; China Merchants Securities (HK) Co., Limited; China International Capital Corporation Hong Kong Securities Limited; Ping An Securities (Hong Kong) Company Limited</ns0:t>
        </ns0:is>
      </ns0:c>
      <ns0:c r="BX477" s="74" t="inlineStr">
        <ns0:is>
          <ns0:t>CCB International Capital Limited; China International Capital Corporation Hong Kong Securities Limited; China Merchants Securities (HK) Company Limited; Huatai Financial Holdings (Hong Kong) Limited; Ping An Securities (Hong Kong) Company Limited</ns0:t>
        </ns0:is>
      </ns0:c>
      <ns0:c r="BY477" s="93">
        <ns0:f>HYPERLINK("https://www1.hkexnews.hk/listedco/listconews/sehk/2026/0528/2026052800019.pdf","prospectus")</ns0:f>
        <ns0:v/>
      </ns0:c>
      <ns0:c r="BZ477" s="93">
        <ns0:f>HYPERLINK("https://www1.hkexnews.hk/listedco/listconews/sehk/2026/0604/2026060402919.pdf","allotment")</ns0:f>
        <ns0:v/>
      </ns0:c>
      <ns0:c r="CA477" s="93">
        <ns0:f>HYPERLINK("https://www1.hkexnews.hk/listedco/listconews/sehk/2026/0702/2026070203999.pdf","stabilisation")</ns0:f>
        <ns0:v/>
      </ns0:c>
      <ns0:c r="CB477" s="94" t="n"/>
      <ns0:c r="CC477" s="74" t="inlineStr">
        <ns0:is>
          <ns0:t>range low: maximum offer price only, no floor published; A/H: Jun 2026 H listing (offshore wind towers/monopiles); eff float shares: share count unavailable; the HK$m figure is exact</ns0:t>
        </ns0:is>
      </ns0:c>
    </ns0:row>
    <ns0:row r="478" ht="22" customHeight="1">
      <ns0:c r="A478" s="73" t="inlineStr">
        <ns0:is>
          <ns0:t>1779</ns0:t>
        </ns0:is>
      </ns0:c>
      <ns0:c r="B478" s="74" t="inlineStr">
        <ns0:is>
          <ns0:t>LONGBIO-B</ns0:t>
        </ns0:is>
      </ns0:c>
      <ns0:c r="C478" s="74" t="inlineStr">
        <ns0:is>
          <ns0:t>天辰生物－Ｂ</ns0:t>
        </ns0:is>
      </ns0:c>
      <ns0:c r="D478" s="74" t="inlineStr">
        <ns0:is>
          <ns0:t>Healthcare</ns0:t>
        </ns0:is>
      </ns0:c>
      <ns0:c r="E478" s="74" t="inlineStr">
        <ns0:is>
          <ns0:t>Biotech pre-revenue (18A)</ns0:t>
        </ns0:is>
      </ns0:c>
      <ns0:c r="F478" s="74" t="inlineStr">
        <ns0:is>
          <ns0:t>Biotechnology - Pharmaceuticals</ns0:t>
        </ns0:is>
      </ns0:c>
      <ns0:c r="G478" s="74" t="inlineStr">
        <ns0:is>
          <ns0:t>18A</ns0:t>
        </ns0:is>
      </ns0:c>
      <ns0:c r="H478" s="75" t="n">
        <ns0:v>46178</ns0:v>
      </ns0:c>
      <ns0:c r="I478" s="76" t="n">
        <ns0:v>1363.4</ns0:v>
      </ns0:c>
      <ns0:c r="J478" s="74" t="inlineStr">
        <ns0:is>
          <ns0:t>gross (stated)</ns0:t>
        </ns0:is>
      </ns0:c>
      <ns0:c r="K478" s="95" t="n"/>
      <ns0:c r="L478" s="77" t="n">
        <ns0:v>96.06</ns0:v>
      </ns0:c>
      <ns0:c r="M478" s="77" t="n">
        <ns0:v>96.06</ns0:v>
      </ns0:c>
      <ns0:c r="N478" s="74" t="inlineStr">
        <ns0:is>
          <ns0:t>Y</ns0:t>
        </ns0:is>
      </ns0:c>
      <ns0:c r="O478" s="78" t="n">
        <ns0:v>100</ns0:v>
      </ns0:c>
      <ns0:c r="P478" s="84" t="n"/>
      <ns0:c r="Q478" s="79" t="n">
        <ns0:v>7127</ns0:v>
      </ns0:c>
      <ns0:c r="R478" s="74" t="inlineStr">
        <ns0:is>
          <ns0:t>prospectus:stated market capitalisation</ns0:t>
        </ns0:is>
      </ns0:c>
      <ns0:c r="S478" s="80" t="n">
        <ns0:v>4762.58</ns0:v>
      </ns0:c>
      <ns0:c r="T478" s="81" t="n">
        <ns0:v>10.94</ns0:v>
      </ns0:c>
      <ns0:c r="U478" s="82" t="n">
        <ns0:v>49.96</ns0:v>
      </ns0:c>
      <ns0:c r="V478" s="83" t="n">
        <ns0:v>80</ns0:v>
      </ns0:c>
      <ns0:c r="W478" s="78" t="n">
        <ns0:v>10</ns0:v>
      </ns0:c>
      <ns0:c r="X478" s="74" t="inlineStr">
        <ns0:is>
          <ns0:t>NO</ns0:t>
        </ns0:is>
      </ns0:c>
      <ns0:c r="Y478" s="79" t="n">
        <ns0:v>682.25</ns0:v>
      </ns0:c>
      <ns0:c r="Z478" s="79" t="n">
        <ns0:v>7102252</ns0:v>
      </ns0:c>
      <ns0:c r="AA478" s="78" t="n">
        <ns0:v>9.57</ns0:v>
      </ns0:c>
      <ns0:c r="AB478" s="74" t="inlineStr">
        <ns0:is>
          <ns0:t>OrbiMed Genesis Master Fund, L.P; The Biotech Growth Trust PLC; TruMed Health Innovation Fund LP; TruMed Healthcare Master Fund; Shanghai Gaoyi Asset Management Partnership (Limited Partnership) ) and Huatai Capital Investment Limited (in connection with Huatai Back-to-back TRS and the Huatai Client TRS; Wisdomshire Asset Management Co., Ltd* and HTCI (in connection with Huatai Back-to-back TRS and the Huatai Client TRS); Foresight Global Superior Choice SPC { Vision Fund 1 SP; Foresight Global Superior Choice SPC { Global Superior Choice Fund 1 SP; Foresight Global Superior Choice SPC { Horizon Fund 1 SP; Foresight Global Superior Choice SPC { Horizon Next Fund SP; Fullgoal Fund Management Co., Ltd; Fullgoal Asset Management (HK) Limited; Value Partners Hong Kong Limited; Greater Bay Area Development Fund Management Limited for and on behalf of the M a n a g e dA c c o u n to fM e g a Prime Development Limited; FR M CONSULTING CO., LTD</ns0:t>
        </ns0:is>
      </ns0:c>
      <ns0:c r="AC478" s="74" t="inlineStr">
        <ns0:is>
          <ns0:t>orbimed;biotech;trumed;shanghai-gaoyi;wisdomshire;foresight;fullgoal;value;greater;fr</ns0:t>
        </ns0:is>
      </ns0:c>
      <ns0:c r="AD478" s="78" t="n">
        <ns0:v>5.73</ns0:v>
      </ns0:c>
      <ns0:c r="AE478" s="74" t="inlineStr">
        <ns0:is>
          <ns0:t>full</ns0:t>
        </ns0:is>
      </ns0:c>
      <ns0:c r="AF478" s="74" t="inlineStr">
        <ns0:is>
          <ns0:t>2026-07-02</ns0:t>
        </ns0:is>
      </ns0:c>
      <ns0:c r="AG478" s="74" t="inlineStr">
        <ns0:is>
          <ns0:t>Sinolink Securities</ns0:t>
        </ns0:is>
      </ns0:c>
      <ns0:c r="AH478" s="74" t="inlineStr">
        <ns0:is>
          <ns0:t>Sinolink</ns0:t>
        </ns0:is>
      </ns0:c>
      <ns0:c r="AI478" s="86" t="n">
        <ns0:v>57.09</ns0:v>
      </ns0:c>
      <ns0:c r="AJ478" s="87" t="n">
        <ns0:v>37.21</ns0:v>
      </ns0:c>
      <ns0:c r="AK478" s="87" t="n">
        <ns0:v>-0.66</ns0:v>
      </ns0:c>
      <ns0:c r="AL478" s="87" t="n">
        <ns0:v>50.22</ns0:v>
      </ns0:c>
      <ns0:c r="AM478" s="87" t="n">
        <ns0:v>-8.66</ns0:v>
      </ns0:c>
      <ns0:c r="AN478" s="89" t="n">
        <ns0:v>2.83</ns0:v>
      </ns0:c>
      <ns0:c r="AO478" s="78" t="n">
        <ns0:v>21.9</ns0:v>
      </ns0:c>
      <ns0:c r="AP478" s="87" t="n">
        <ns0:v>49.8</ns0:v>
      </ns0:c>
      <ns0:c r="AQ478" s="87" t="n">
        <ns0:v>-1.05</ns0:v>
      </ns0:c>
      <ns0:c r="AR478" s="87" t="n">
        <ns0:v>33.25</ns0:v>
      </ns0:c>
      <ns0:c r="AS478" s="87" t="n">
        <ns0:v>9.18</ns0:v>
      </ns0:c>
      <ns0:c r="AT478" s="87" t="n">
        <ns0:v>-27.88</ns0:v>
      </ns0:c>
      <ns0:c r="AU478" s="87" t="n">
        <ns0:v>-2.89</ns0:v>
      </ns0:c>
      <ns0:c r="AV478" s="87" t="n">
        <ns0:v>50.3</ns0:v>
      </ns0:c>
      <ns0:c r="AW478" s="87" t="n">
        <ns0:v>-9.859999999999999</ns0:v>
      </ns0:c>
      <ns0:c r="AX478" s="87" t="n">
        <ns0:v>9.69</ns0:v>
      </ns0:c>
      <ns0:c r="AY478" s="87" t="n">
        <ns0:v>-37.41</ns0:v>
      </ns0:c>
      <ns0:c r="AZ478" s="87" t="n">
        <ns0:v>8.81</ns0:v>
      </ns0:c>
      <ns0:c r="BA478" s="87" t="n">
        <ns0:v>9.529999999999999</ns0:v>
      </ns0:c>
      <ns0:c r="BB478" s="74" t="inlineStr">
        <ns0:is>
          <ns0:t>China Biotech ETF (HS biotech proxy)</ns0:t>
        </ns0:is>
      </ns0:c>
      <ns0:c r="BC478" s="87" t="n">
        <ns0:v>5.87</ns0:v>
      </ns0:c>
      <ns0:c r="BD478" s="75" t="n">
        <ns0:v>46297</ns0:v>
      </ns0:c>
      <ns0:c r="BE478" s="76" t="n">
        <ns0:v>2.2</ns0:v>
      </ns0:c>
      <ns0:c r="BF478" s="79" t="n">
        <ns0:v>-151.1</ns0:v>
      </ns0:c>
      <ns0:c r="BG478" s="74" t="inlineStr">
        <ns0:is>
          <ns0:t>N</ns0:t>
        </ns0:is>
      </ns0:c>
      <ns0:c r="BH478" s="74" t="inlineStr">
        <ns0:is>
          <ns0:t>n/m</ns0:t>
        </ns0:is>
      </ns0:c>
      <ns0:c r="BI478" s="88" t="n"/>
      <ns0:c r="BJ478" s="88" t="n"/>
      <ns0:c r="BK478" s="89" t="n">
        <ns0:v>3239.5</ns0:v>
      </ns0:c>
      <ns0:c r="BL478" s="90">
        <ns0:f>IFERROR(IF('BBG Verify'!S478="","Awaiting Bloomberg",'BBG Verify'!S478),"Awaiting Bloomberg")</ns0:f>
        <ns0:v/>
      </ns0:c>
      <ns0:c r="BM478" s="91" t="inlineStr">
        <ns0:is>
          <ns0:t>N</ns0:t>
        </ns0:is>
      </ns0:c>
      <ns0:c r="BN478" s="92">
        <ns0:f>IFERROR(IF('BBG Verify'!K478="","Awaiting Bloomberg",'BBG Verify'!K478),"Awaiting Bloomberg")</ns0:f>
        <ns0:v/>
      </ns0:c>
      <ns0:c r="BO478" s="74" t="inlineStr">
        <ns0:is>
          <ns0:t>N/A</ns0:t>
        </ns0:is>
      </ns0:c>
      <ns0:c r="BP478" s="74" t="inlineStr">
        <ns0:is>
          <ns0:t>N/A</ns0:t>
        </ns0:is>
      </ns0:c>
      <ns0:c r="BQ478" s="74" t="inlineStr">
        <ns0:is>
          <ns0:t>N/A</ns0:t>
        </ns0:is>
      </ns0:c>
      <ns0:c r="BR478" s="74" t="inlineStr">
        <ns0:is>
          <ns0:t>N/A</ns0:t>
        </ns0:is>
      </ns0:c>
      <ns0:c r="BS478" s="74" t="inlineStr">
        <ns0:is>
          <ns0:t>N/A</ns0:t>
        </ns0:is>
      </ns0:c>
      <ns0:c r="BT478" s="74" t="inlineStr">
        <ns0:is>
          <ns0:t>N/A</ns0:t>
        </ns0:is>
      </ns0:c>
      <ns0:c r="BU478" s="91" t="inlineStr">
        <ns0:is>
          <ns0:t>Sinolink Securities (Hong Kong) Company Limited</ns0:t>
        </ns0:is>
      </ns0:c>
      <ns0:c r="BV478" s="74" t="inlineStr">
        <ns0:is>
          <ns0:t>Sinolink Securities (Hong Kong) Company Limited</ns0:t>
        </ns0:is>
      </ns0:c>
      <ns0:c r="BW478" s="74" t="inlineStr">
        <ns0:is>
          <ns0:t>GF Securities (Hong Kong) Brokerage Limited; ABCI Capital Limited; ABCI Securities Company Limited</ns0:t>
        </ns0:is>
      </ns0:c>
      <ns0:c r="BX478" s="74" t="inlineStr">
        <ns0:is>
          <ns0:t>ABCI Securities Company Limited; CCB International Capital Limited; GF Securities (Hong Kong) Brokerage Limited; Sinolink Securities (Hong Kong) Company Limited; Shanxi Securities International Limited; TradeGo Markets Limited</ns0:t>
        </ns0:is>
      </ns0:c>
      <ns0:c r="BY478" s="93">
        <ns0:f>HYPERLINK("https://www1.hkexnews.hk/listedco/listconews/sehk/2026/0528/2026052800023.pdf","prospectus")</ns0:f>
        <ns0:v/>
      </ns0:c>
      <ns0:c r="BZ478" s="93">
        <ns0:f>HYPERLINK("https://www1.hkexnews.hk/listedco/listconews/sehk/2026/0604/2026060402923.pdf","allotment")</ns0:f>
        <ns0:v/>
      </ns0:c>
      <ns0:c r="CA478" s="93">
        <ns0:f>HYPERLINK("https://www1.hkexnews.hk/listedco/listconews/sehk/2026/0702/2026070203309.pdf","stabilisation")</ns0:f>
        <ns0:v/>
      </ns0:c>
      <ns0:c r="CB478" s="94" t="n"/>
      <ns0:c r="CC478" s="74" t="inlineStr">
        <ns0:is>
          <ns0:t>P/E: loss-making at IPO, use P/S; range low: maximum offer price only, no floor published; P/S: 3,240x on HK$2.2m revenue, effectively pre-revenue; not comparable</ns0:t>
        </ns0:is>
      </ns0:c>
    </ns0:row>
    <ns0:row r="479" ht="22" customHeight="1">
      <ns0:c r="A479" s="73" t="inlineStr">
        <ns0:is>
          <ns0:t>6658</ns0:t>
        </ns0:is>
      </ns0:c>
      <ns0:c r="B479" s="74" t="inlineStr">
        <ns0:is>
          <ns0:t>LIULIUMEI</ns0:t>
        </ns0:is>
      </ns0:c>
      <ns0:c r="C479" s="74" t="inlineStr">
        <ns0:is>
          <ns0:t>溜溜梅</ns0:t>
        </ns0:is>
      </ns0:c>
      <ns0:c r="D479" s="74" t="inlineStr">
        <ns0:is>
          <ns0:t>Consumer</ns0:t>
        </ns0:is>
      </ns0:c>
      <ns0:c r="E479" s="74" t="inlineStr">
        <ns0:is>
          <ns0:t>Beverages / packaged food</ns0:t>
        </ns0:is>
      </ns0:c>
      <ns0:c r="F479" s="74" t="inlineStr">
        <ns0:is>
          <ns0:t>Packaged Foods</ns0:t>
        </ns0:is>
      </ns0:c>
      <ns0:c r="G479" s="74" t="inlineStr">
        <ns0:is>
          <ns0:t>Standard</ns0:t>
        </ns0:is>
      </ns0:c>
      <ns0:c r="H479" s="75" t="n">
        <ns0:v>46188</ns0:v>
      </ns0:c>
      <ns0:c r="I479" s="76" t="n">
        <ns0:v>499.6</ns0:v>
      </ns0:c>
      <ns0:c r="J479" s="74" t="inlineStr">
        <ns0:is>
          <ns0:t>gross (stated)</ns0:t>
        </ns0:is>
      </ns0:c>
      <ns0:c r="K479" s="95" t="n"/>
      <ns0:c r="L479" s="77" t="n">
        <ns0:v>43.58</ns0:v>
      </ns0:c>
      <ns0:c r="M479" s="77" t="n">
        <ns0:v>43.58</ns0:v>
      </ns0:c>
      <ns0:c r="N479" s="74" t="inlineStr">
        <ns0:is>
          <ns0:t>Y</ns0:t>
        </ns0:is>
      </ns0:c>
      <ns0:c r="O479" s="78" t="n">
        <ns0:v>100</ns0:v>
      </ns0:c>
      <ns0:c r="P479" s="84" t="n"/>
      <ns0:c r="Q479" s="79" t="n">
        <ns0:v>3434.6</ns0:v>
      </ns0:c>
      <ns0:c r="R479" s="74" t="inlineStr">
        <ns0:is>
          <ns0:t>derived:price x shares upon listing</ns0:t>
        </ns0:is>
      </ns0:c>
      <ns0:c r="S479" s="80" t="n">
        <ns0:v>6586.73</ns0:v>
      </ns0:c>
      <ns0:c r="T479" s="81" t="n">
        <ns0:v>2.64</ns0:v>
      </ns0:c>
      <ns0:c r="U479" s="82" t="n">
        <ns0:v>29.55</ns0:v>
      </ns0:c>
      <ns0:c r="V479" s="83" t="n">
        <ns0:v>64</ns0:v>
      </ns0:c>
      <ns0:c r="W479" s="78" t="n">
        <ns0:v>10</ns0:v>
      </ns0:c>
      <ns0:c r="X479" s="74" t="inlineStr">
        <ns0:is>
          <ns0:t>NA</ns0:t>
        </ns0:is>
      </ns0:c>
      <ns0:c r="Y479" s="79" t="n">
        <ns0:v>351.97</ns0:v>
      </ns0:c>
      <ns0:c r="Z479" s="79" t="n">
        <ns0:v>8076458</ns0:v>
      </ns0:c>
      <ns0:c r="AA479" s="78" t="n">
        <ns0:v>10.25</ns0:v>
      </ns0:c>
      <ns0:c r="AB479" s="74" t="inlineStr">
        <ns0:is>
          <ns0:t>Top New Development Limited; Wuhu Fanchang District Rural Revitalization Development Group (Hong Kong) Limited</ns0:t>
        </ns0:is>
      </ns0:c>
      <ns0:c r="AC479" s="74" t="inlineStr">
        <ns0:is>
          <ns0:t>top;wuhu</ns0:t>
        </ns0:is>
      </ns0:c>
      <ns0:c r="AD479" s="78" t="n">
        <ns0:v>11.9</ns0:v>
      </ns0:c>
      <ns0:c r="AE479" s="85" t="n"/>
      <ns0:c r="AF479" s="85" t="n"/>
      <ns0:c r="AG479" s="85" t="n"/>
      <ns0:c r="AH479" s="85" t="n"/>
      <ns0:c r="AI479" s="86" t="n">
        <ns0:v>127.74</ns0:v>
      </ns0:c>
      <ns0:c r="AJ479" s="87" t="n">
        <ns0:v>193.71</ns0:v>
      </ns0:c>
      <ns0:c r="AK479" s="87" t="n">
        <ns0:v>0.28</ns0:v>
      </ns0:c>
      <ns0:c r="AL479" s="87" t="n">
        <ns0:v>117.99</ns0:v>
      </ns0:c>
      <ns0:c r="AM479" s="87" t="n">
        <ns0:v>34.74</ns0:v>
      </ns0:c>
      <ns0:c r="AN479" s="89" t="n">
        <ns0:v>3.75</ns0:v>
      </ns0:c>
      <ns0:c r="AO479" s="78" t="n">
        <ns0:v>41.16</ns0:v>
      </ns0:c>
      <ns0:c r="AP479" s="87" t="n">
        <ns0:v>225.61</ns0:v>
      </ns0:c>
      <ns0:c r="AQ479" s="87" t="n">
        <ns0:v>277.93</ns0:v>
      </ns0:c>
      <ns0:c r="AR479" s="87" t="n">
        <ns0:v>307.99</ns0:v>
      </ns0:c>
      <ns0:c r="AS479" s="87" t="n">
        <ns0:v>10.86</ns0:v>
      </ns0:c>
      <ns0:c r="AT479" s="87" t="n">
        <ns0:v>28.67</ns0:v>
      </ns0:c>
      <ns0:c r="AU479" s="87" t="n">
        <ns0:v>38.91</ns0:v>
      </ns0:c>
      <ns0:c r="AV479" s="87" t="n">
        <ns0:v>233.32</ns0:v>
      </ns0:c>
      <ns0:c r="AW479" s="87" t="n">
        <ns0:v>275.73</ns0:v>
      </ns0:c>
      <ns0:c r="AX479" s="87" t="n">
        <ns0:v>310.49</ns0:v>
      </ns0:c>
      <ns0:c r="AY479" s="87" t="n">
        <ns0:v>26.76</ns0:v>
      </ns0:c>
      <ns0:c r="AZ479" s="87" t="n">
        <ns0:v>2.2</ns0:v>
      </ns0:c>
      <ns0:c r="BA479" s="87" t="n">
        <ns0:v>1.91</ns0:v>
      </ns0:c>
      <ns0:c r="BB479" s="74" t="inlineStr">
        <ns0:is>
          <ns0:t>Hang Seng Commerce &amp; Industry sub-index</ns0:t>
        </ns0:is>
      </ns0:c>
      <ns0:c r="BC479" s="87" t="n">
        <ns0:v>290.09</ns0:v>
      </ns0:c>
      <ns0:c r="BD479" s="75" t="n">
        <ns0:v>46297</ns0:v>
      </ns0:c>
      <ns0:c r="BE479" s="76" t="n">
        <ns0:v>1881.8</ns0:v>
      </ns0:c>
      <ns0:c r="BF479" s="79" t="n">
        <ns0:v>200.3</ns0:v>
      </ns0:c>
      <ns0:c r="BG479" s="74" t="inlineStr">
        <ns0:is>
          <ns0:t>Y</ns0:t>
        </ns0:is>
      </ns0:c>
      <ns0:c r="BH479" s="89" t="n">
        <ns0:v>17.1</ns0:v>
      </ns0:c>
      <ns0:c r="BI479" s="88" t="n"/>
      <ns0:c r="BJ479" s="88" t="n"/>
      <ns0:c r="BK479" s="89" t="n">
        <ns0:v>1.8</ns0:v>
      </ns0:c>
      <ns0:c r="BL479" s="90">
        <ns0:f>IFERROR(IF('BBG Verify'!S479="","Awaiting Bloomberg",'BBG Verify'!S479),"Awaiting Bloomberg")</ns0:f>
        <ns0:v/>
      </ns0:c>
      <ns0:c r="BM479" s="91" t="inlineStr">
        <ns0:is>
          <ns0:t>N</ns0:t>
        </ns0:is>
      </ns0:c>
      <ns0:c r="BN479" s="92">
        <ns0:f>IFERROR(IF('BBG Verify'!K479="","Awaiting Bloomberg",'BBG Verify'!K479),"Awaiting Bloomberg")</ns0:f>
        <ns0:v/>
      </ns0:c>
      <ns0:c r="BO479" s="74" t="inlineStr">
        <ns0:is>
          <ns0:t>N/A</ns0:t>
        </ns0:is>
      </ns0:c>
      <ns0:c r="BP479" s="74" t="inlineStr">
        <ns0:is>
          <ns0:t>N/A</ns0:t>
        </ns0:is>
      </ns0:c>
      <ns0:c r="BQ479" s="74" t="inlineStr">
        <ns0:is>
          <ns0:t>N/A</ns0:t>
        </ns0:is>
      </ns0:c>
      <ns0:c r="BR479" s="74" t="inlineStr">
        <ns0:is>
          <ns0:t>N/A</ns0:t>
        </ns0:is>
      </ns0:c>
      <ns0:c r="BS479" s="74" t="inlineStr">
        <ns0:is>
          <ns0:t>N/A</ns0:t>
        </ns0:is>
      </ns0:c>
      <ns0:c r="BT479" s="74" t="inlineStr">
        <ns0:is>
          <ns0:t>N/A</ns0:t>
        </ns0:is>
      </ns0:c>
      <ns0:c r="BU479" s="91" t="inlineStr">
        <ns0:is>
          <ns0:t>CITIC Securities (Hong Kong) Limited; Guoyuan Capital (Hong Kong) Limited</ns0:t>
        </ns0:is>
      </ns0:c>
      <ns0:c r="BV479" s="74" t="inlineStr">
        <ns0:is>
          <ns0:t>CITIC Securities (Hong Kong) Limited; Guoyuan Capital (Hong Kong) Limited</ns0:t>
        </ns0:is>
      </ns0:c>
      <ns0:c r="BW479" s="74" t="inlineStr">
        <ns0:is>
          <ns0:t>CLSA Limited; Guoyuan Securities Brokerage (Hong Kong) Limited; Zhongtai International Securities Limited; Soochow Securities International Brokerage Limited; CEB International Capital Corporation Limited; Huafu International Securities Limited; Orient Securities (Hong Kong) Limited</ns0:t>
        </ns0:is>
      </ns0:c>
      <ns0:c r="BX479" s="74" t="inlineStr">
        <ns0:is>
          <ns0:t>CEB International Capital Corporation Limited; CLSA Limited; Guoyuan Securities Brokerage (Hong Kong) Limited; Huafu International Securities Limited; Orient Securities (Hong Kong) Limited; Soochow Securities International Brokerage Limited; Zhongtai International Securities Limited</ns0:t>
        </ns0:is>
      </ns0:c>
      <ns0:c r="BY479" s="93">
        <ns0:f>HYPERLINK("https://www1.hkexnews.hk/listedco/listconews/sehk/2026/0605/2026060500023.pdf","prospectus")</ns0:f>
        <ns0:v/>
      </ns0:c>
      <ns0:c r="BZ479" s="93">
        <ns0:f>HYPERLINK("https://www1.hkexnews.hk/listedco/listconews/sehk/2026/0612/2026061202100.pdf","allotment")</ns0:f>
        <ns0:v/>
      </ns0:c>
      <ns0:c r="CA479" s="85" t="n"/>
      <ns0:c r="CB479" s="94" t="n"/>
      <ns0:c r="CC479" s="74" t="inlineStr">
        <ns0:is>
          <ns0:t>greenshoe: end-of-stabilisation notice not found; range low: maximum offer price only, no floor published; stabilising manager: filing states none appointed (allotment announcement: 'no stabilizing manager will be appointed' stated in the filing)</ns0:t>
        </ns0:is>
      </ns0:c>
    </ns0:row>
    <ns0:row r="480" ht="22" customHeight="1">
      <ns0:c r="A480" s="73" t="inlineStr">
        <ns0:is>
          <ns0:t>6675</ns0:t>
        </ns0:is>
      </ns0:c>
      <ns0:c r="B480" s="74" t="inlineStr">
        <ns0:is>
          <ns0:t>SENASIC</ns0:t>
        </ns0:is>
      </ns0:c>
      <ns0:c r="C480" s="74" t="inlineStr">
        <ns0:is>
          <ns0:t>SENASIC</ns0:t>
        </ns0:is>
      </ns0:c>
      <ns0:c r="D480" s="74" t="inlineStr">
        <ns0:is>
          <ns0:t>Technology</ns0:t>
        </ns0:is>
      </ns0:c>
      <ns0:c r="E480" s="74" t="inlineStr">
        <ns0:is>
          <ns0:t>Semiconductors</ns0:t>
        </ns0:is>
      </ns0:c>
      <ns0:c r="F480" s="74" t="inlineStr">
        <ns0:is>
          <ns0:t>Semiconductors &amp; Semiconductor Equipment</ns0:t>
        </ns0:is>
      </ns0:c>
      <ns0:c r="G480" s="74" t="inlineStr">
        <ns0:is>
          <ns0:t>Standard</ns0:t>
        </ns0:is>
      </ns0:c>
      <ns0:c r="H480" s="75" t="n">
        <ns0:v>46190</ns0:v>
      </ns0:c>
      <ns0:c r="I480" s="76" t="n">
        <ns0:v>980.55</ns0:v>
      </ns0:c>
      <ns0:c r="J480" s="74" t="inlineStr">
        <ns0:is>
          <ns0:t>gross (stated)</ns0:t>
        </ns0:is>
      </ns0:c>
      <ns0:c r="K480" s="95" t="n"/>
      <ns0:c r="L480" s="77" t="n">
        <ns0:v>18.36</ns0:v>
      </ns0:c>
      <ns0:c r="M480" s="77" t="n">
        <ns0:v>18.36</ns0:v>
      </ns0:c>
      <ns0:c r="N480" s="74" t="inlineStr">
        <ns0:is>
          <ns0:t>Y</ns0:t>
        </ns0:is>
      </ns0:c>
      <ns0:c r="O480" s="78" t="n">
        <ns0:v>100</ns0:v>
      </ns0:c>
      <ns0:c r="P480" s="84" t="n"/>
      <ns0:c r="Q480" s="79" t="n">
        <ns0:v>6178.6</ns0:v>
      </ns0:c>
      <ns0:c r="R480" s="74" t="inlineStr">
        <ns0:is>
          <ns0:t>derived:deal size / offer % of enlarged capital</ns0:t>
        </ns0:is>
      </ns0:c>
      <ns0:c r="S480" s="80" t="n">
        <ns0:v>5144.97</ns0:v>
      </ns0:c>
      <ns0:c r="T480" s="81" t="n">
        <ns0:v>4.44</ns0:v>
      </ns0:c>
      <ns0:c r="U480" s="82" t="n">
        <ns0:v>28.86</ns0:v>
      </ns0:c>
      <ns0:c r="V480" s="83" t="n">
        <ns0:v>105</ns0:v>
      </ns0:c>
      <ns0:c r="W480" s="78" t="n">
        <ns0:v>10</ns0:v>
      </ns0:c>
      <ns0:c r="X480" s="74" t="inlineStr">
        <ns0:is>
          <ns0:t>NA</ns0:t>
        </ns0:is>
      </ns0:c>
      <ns0:c r="Y480" s="79" t="n">
        <ns0:v>697.5599999999999</ns0:v>
      </ns0:c>
      <ns0:c r="Z480" s="79" t="n">
        <ns0:v>37993740</ns0:v>
      </ns0:c>
      <ns0:c r="AA480" s="78" t="n">
        <ns0:v>11.29</ns0:v>
      </ns0:c>
      <ns0:c r="AB480" s="74" t="inlineStr">
        <ns0:is>
          <ns0:t>Sunwoda Treasury (Hong Kong) Limited; Longwei Hong Kong Company Limited; Oakwise Growth Fund SPC { Greater China Fund SP; Tembusu Limited; Andrew Y Yan; RIME Capital Limited; Thalassa Capital Dynamics SPC (acting for and on behalf of Thalassa Horizon SP); Chample International Limited; Libra Stable Value and Fixed Income Segregated Portfolio Company acting for and on behalf of Libra Fixed Income One SP</ns0:t>
        </ns0:is>
      </ns0:c>
      <ns0:c r="AC480" s="74" t="inlineStr">
        <ns0:is>
          <ns0:t>sunwoda;longwei;oakwise;tembusu;andrew;rime;thalassa;chample;libra</ns0:t>
        </ns0:is>
      </ns0:c>
      <ns0:c r="AD480" s="78" t="n">
        <ns0:v>5.3</ns0:v>
      </ns0:c>
      <ns0:c r="AE480" s="74" t="inlineStr">
        <ns0:is>
          <ns0:t>partial</ns0:t>
        </ns0:is>
      </ns0:c>
      <ns0:c r="AF480" s="85" t="n"/>
      <ns0:c r="AG480" s="74" t="inlineStr">
        <ns0:is>
          <ns0:t>China International Capital Corporation Hong Kong Securities Limited</ns0:t>
        </ns0:is>
      </ns0:c>
      <ns0:c r="AH480" s="74" t="inlineStr">
        <ns0:is>
          <ns0:t>China International</ns0:t>
        </ns0:is>
      </ns0:c>
      <ns0:c r="AI480" s="86" t="n">
        <ns0:v>71.02</ns0:v>
      </ns0:c>
      <ns0:c r="AJ480" s="87" t="n">
        <ns0:v>127.12</ns0:v>
      </ns0:c>
      <ns0:c r="AK480" s="87" t="n">
        <ns0:v>0.09</ns0:v>
      </ns0:c>
      <ns0:c r="AL480" s="87" t="n">
        <ns0:v>72.11</ns0:v>
      </ns0:c>
      <ns0:c r="AM480" s="87" t="n">
        <ns0:v>31.96</ns0:v>
      </ns0:c>
      <ns0:c r="AN480" s="89" t="n">
        <ns0:v>3.08</ns0:v>
      </ns0:c>
      <ns0:c r="AO480" s="78" t="n">
        <ns0:v>32.66</ns0:v>
      </ns0:c>
      <ns0:c r="AP480" s="87" t="n">
        <ns0:v>105.88</ns0:v>
      </ns0:c>
      <ns0:c r="AQ480" s="87" t="n">
        <ns0:v>10.02</ns0:v>
      </ns0:c>
      <ns0:c r="AR480" s="87" t="n">
        <ns0:v>54.47</ns0:v>
      </ns0:c>
      <ns0:c r="AS480" s="87" t="n">
        <ns0:v>-9.35</ns0:v>
      </ns0:c>
      <ns0:c r="AT480" s="87" t="n">
        <ns0:v>-51.56</ns0:v>
      </ns0:c>
      <ns0:c r="AU480" s="87" t="n">
        <ns0:v>-31.99</ns0:v>
      </ns0:c>
      <ns0:c r="AV480" s="87" t="n">
        <ns0:v>110.97</ns0:v>
      </ns0:c>
      <ns0:c r="AW480" s="87" t="n">
        <ns0:v>8.09</ns0:v>
      </ns0:c>
      <ns0:c r="AX480" s="87" t="n">
        <ns0:v>61.48</ns0:v>
      </ns0:c>
      <ns0:c r="AY480" s="87" t="n">
        <ns0:v>-53.4</ns0:v>
      </ns0:c>
      <ns0:c r="AZ480" s="87" t="n">
        <ns0:v>1.93</ns0:v>
      </ns0:c>
      <ns0:c r="BA480" s="87" t="n">
        <ns0:v>1.84</ns0:v>
      </ns0:c>
      <ns0:c r="BB480" s="74" t="inlineStr">
        <ns0:is>
          <ns0:t>HSTECH (Hang Seng TECH ETF)</ns0:t>
        </ns0:is>
      </ns0:c>
      <ns0:c r="BC480" s="87" t="n">
        <ns0:v>30.72</ns0:v>
      </ns0:c>
      <ns0:c r="BD480" s="75" t="n">
        <ns0:v>46297</ns0:v>
      </ns0:c>
      <ns0:c r="BE480" s="76" t="n">
        <ns0:v>525.6</ns0:v>
      </ns0:c>
      <ns0:c r="BF480" s="79" t="n">
        <ns0:v>-386.5</ns0:v>
      </ns0:c>
      <ns0:c r="BG480" s="74" t="inlineStr">
        <ns0:is>
          <ns0:t>N</ns0:t>
        </ns0:is>
      </ns0:c>
      <ns0:c r="BH480" s="74" t="inlineStr">
        <ns0:is>
          <ns0:t>n/m</ns0:t>
        </ns0:is>
      </ns0:c>
      <ns0:c r="BI480" s="88" t="n"/>
      <ns0:c r="BJ480" s="88" t="n"/>
      <ns0:c r="BK480" s="89" t="n">
        <ns0:v>11.8</ns0:v>
      </ns0:c>
      <ns0:c r="BL480" s="90">
        <ns0:f>IFERROR(IF('BBG Verify'!S480="","Awaiting Bloomberg",'BBG Verify'!S480),"Awaiting Bloomberg")</ns0:f>
        <ns0:v/>
      </ns0:c>
      <ns0:c r="BM480" s="91" t="inlineStr">
        <ns0:is>
          <ns0:t>N</ns0:t>
        </ns0:is>
      </ns0:c>
      <ns0:c r="BN480" s="92">
        <ns0:f>IFERROR(IF('BBG Verify'!K480="","Awaiting Bloomberg",'BBG Verify'!K480),"Awaiting Bloomberg")</ns0:f>
        <ns0:v/>
      </ns0:c>
      <ns0:c r="BO480" s="74" t="inlineStr">
        <ns0:is>
          <ns0:t>N/A</ns0:t>
        </ns0:is>
      </ns0:c>
      <ns0:c r="BP480" s="74" t="inlineStr">
        <ns0:is>
          <ns0:t>N/A</ns0:t>
        </ns0:is>
      </ns0:c>
      <ns0:c r="BQ480" s="74" t="inlineStr">
        <ns0:is>
          <ns0:t>N/A</ns0:t>
        </ns0:is>
      </ns0:c>
      <ns0:c r="BR480" s="74" t="inlineStr">
        <ns0:is>
          <ns0:t>N/A</ns0:t>
        </ns0:is>
      </ns0:c>
      <ns0:c r="BS480" s="74" t="inlineStr">
        <ns0:is>
          <ns0:t>N/A</ns0:t>
        </ns0:is>
      </ns0:c>
      <ns0:c r="BT480" s="74" t="inlineStr">
        <ns0:is>
          <ns0:t>N/A</ns0:t>
        </ns0:is>
      </ns0:c>
      <ns0:c r="BU480" s="91" t="inlineStr">
        <ns0:is>
          <ns0:t>China International Capital Corporation Hong Kong Securities Limited; Guotai Junan Capital Limited; OCs China International Capital Corporation Hong Kong Securities Limited; Guotai Junan Securities (Hong Kong) Limited</ns0:t>
        </ns0:is>
      </ns0:c>
      <ns0:c r="BV480" s="74" t="inlineStr">
        <ns0:is>
          <ns0:t>China International Capital Corporation Hong Kong Securities Limited; Guotai Junan Capital Limited</ns0:t>
        </ns0:is>
      </ns0:c>
      <ns0:c r="BW480" s="74" t="inlineStr">
        <ns0:is>
          <ns0: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ns0:t>
        </ns0:is>
      </ns0:c>
      <ns0:c r="BX480" s="74" t="inlineStr">
        <ns0:is>
          <ns0: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ns0:t>
        </ns0:is>
      </ns0:c>
      <ns0:c r="BY480" s="93">
        <ns0:f>HYPERLINK("https://www1.hkexnews.hk/listedco/listconews/sehk/2026/0609/2026060900029.pdf","prospectus")</ns0:f>
        <ns0:v/>
      </ns0:c>
      <ns0:c r="BZ480" s="93">
        <ns0:f>HYPERLINK("https://www1.hkexnews.hk/listedco/listconews/sehk/2026/0616/2026061601760.pdf","allotment")</ns0:f>
        <ns0:v/>
      </ns0:c>
      <ns0:c r="CA480" s="93">
        <ns0:f>HYPERLINK("https://www1.hkexnews.hk/listedco/listconews/sehk/2026/0712/2026071200003.pdf","stabilisation")</ns0:f>
        <ns0:v/>
      </ns0:c>
      <ns0:c r="CB480" s="94" t="n"/>
      <ns0:c r="CC480" s="74" t="inlineStr">
        <ns0:is>
          <ns0:t>P/E: loss-making at IPO, use P/S; greenshoe: outcome published; expiry date not in the notice; range low: maximum offer price only, no floor published</ns0:t>
        </ns0:is>
      </ns0:c>
    </ns0:row>
    <ns0:row r="481" ht="22" customHeight="1">
      <ns0:c r="A481" s="73" t="inlineStr">
        <ns0:is>
          <ns0:t>1392</ns0:t>
        </ns0:is>
      </ns0:c>
      <ns0:c r="B481" s="74" t="inlineStr">
        <ns0:is>
          <ns0:t>HQVT</ns0:t>
        </ns0:is>
      </ns0:c>
      <ns0:c r="C481" s="74" t="inlineStr">
        <ns0:is>
          <ns0:t>海清智元</ns0:t>
        </ns0:is>
      </ns0:c>
      <ns0:c r="D481" s="74" t="inlineStr">
        <ns0:is>
          <ns0:t>Technology</ns0:t>
        </ns0:is>
      </ns0:c>
      <ns0:c r="E481" s="74" t="inlineStr">
        <ns0:is>
          <ns0:t>Software &amp; AI</ns0:t>
        </ns0:is>
      </ns0:c>
      <ns0:c r="F481" s="74" t="inlineStr">
        <ns0:is>
          <ns0:t>Next-generation information technology</ns0:t>
        </ns0:is>
      </ns0:c>
      <ns0:c r="G481" s="74" t="inlineStr">
        <ns0:is>
          <ns0:t>Standard</ns0:t>
        </ns0:is>
      </ns0:c>
      <ns0:c r="H481" s="75" t="n">
        <ns0:v>46195</ns0:v>
      </ns0:c>
      <ns0:c r="I481" s="76" t="n">
        <ns0:v>613.17</ns0:v>
      </ns0:c>
      <ns0:c r="J481" s="74" t="inlineStr">
        <ns0:is>
          <ns0:t>gross (stated)</ns0:t>
        </ns0:is>
      </ns0:c>
      <ns0:c r="K481" s="95" t="n"/>
      <ns0:c r="L481" s="77" t="n">
        <ns0:v>7.2</ns0:v>
      </ns0:c>
      <ns0:c r="M481" s="77" t="n">
        <ns0:v>7.2</ns0:v>
      </ns0:c>
      <ns0:c r="N481" s="74" t="inlineStr">
        <ns0:is>
          <ns0:t>Y</ns0:t>
        </ns0:is>
      </ns0:c>
      <ns0:c r="O481" s="78" t="n">
        <ns0:v>100</ns0:v>
      </ns0:c>
      <ns0:c r="P481" s="84" t="n"/>
      <ns0:c r="Q481" s="79" t="n">
        <ns0:v>5574.3</ns0:v>
      </ns0:c>
      <ns0:c r="R481" s="74" t="inlineStr">
        <ns0:is>
          <ns0:t>derived:price x shares upon listing</ns0:t>
        </ns0:is>
      </ns0:c>
      <ns0:c r="S481" s="80" t="n">
        <ns0:v>7181.21</ns0:v>
      </ns0:c>
      <ns0:c r="T481" s="81" t="n">
        <ns0:v>4.81</ns0:v>
      </ns0:c>
      <ns0:c r="U481" s="82" t="n">
        <ns0:v>0</ns0:v>
      </ns0:c>
      <ns0:c r="V481" s="83" t="n">
        <ns0:v>137</ns0:v>
      </ns0:c>
      <ns0:c r="W481" s="78" t="n">
        <ns0:v>10</ns0:v>
      </ns0:c>
      <ns0:c r="X481" s="74" t="inlineStr">
        <ns0:is>
          <ns0:t>NA</ns0:t>
        </ns0:is>
      </ns0:c>
      <ns0:c r="Y481" s="79" t="n">
        <ns0:v>613.17</ns0:v>
      </ns0:c>
      <ns0:c r="Z481" s="79" t="n">
        <ns0:v>85162500</ns0:v>
      </ns0:c>
      <ns0:c r="AA481" s="78" t="n">
        <ns0:v>11</ns0:v>
      </ns0:c>
      <ns0:c r="AB481" s="74" t="inlineStr">
        <ns0:is>
          <ns0:t>none — no cornerstone tranche</ns0:t>
        </ns0:is>
      </ns0:c>
      <ns0:c r="AC481" s="74" t="inlineStr">
        <ns0:is>
          <ns0:t>none</ns0:t>
        </ns0:is>
      </ns0:c>
      <ns0:c r="AD481" s="84" t="n"/>
      <ns0:c r="AE481" s="85" t="n"/>
      <ns0:c r="AF481" s="85" t="n"/>
      <ns0:c r="AG481" s="85" t="n"/>
      <ns0:c r="AH481" s="85" t="n"/>
      <ns0:c r="AI481" s="86" t="n">
        <ns0:v>263.89</ns0:v>
      </ns0:c>
      <ns0:c r="AJ481" s="87" t="n">
        <ns0:v>270.83</ns0:v>
      </ns0:c>
      <ns0:c r="AK481" s="87" t="n">
        <ns0:v>-1.06</ns0:v>
      </ns0:c>
      <ns0:c r="AL481" s="87" t="n">
        <ns0:v>302.78</ns0:v>
      </ns0:c>
      <ns0:c r="AM481" s="87" t="n">
        <ns0:v>-7.93</ns0:v>
      </ns0:c>
      <ns0:c r="AN481" s="89" t="n">
        <ns0:v>3.24</ns0:v>
      </ns0:c>
      <ns0:c r="AO481" s="78" t="n">
        <ns0:v>17.24</ns0:v>
      </ns0:c>
      <ns0:c r="AP481" s="87" t="n">
        <ns0:v>143.75</ns0:v>
      </ns0:c>
      <ns0:c r="AQ481" s="87" t="n">
        <ns0:v>95.83</ns0:v>
      </ns0:c>
      <ns0:c r="AR481" s="87" t="n">
        <ns0:v>416.94</ns0:v>
      </ns0:c>
      <ns0:c r="AS481" s="87" t="n">
        <ns0:v>-34.27</ns0:v>
      </ns0:c>
      <ns0:c r="AT481" s="87" t="n">
        <ns0:v>-47.19</ns0:v>
      </ns0:c>
      <ns0:c r="AU481" s="87" t="n">
        <ns0:v>39.4</ns0:v>
      </ns0:c>
      <ns0:c r="AV481" s="87" t="n">
        <ns0:v>148.27</ns0:v>
      </ns0:c>
      <ns0:c r="AW481" s="87" t="n">
        <ns0:v>94.31999999999999</ns0:v>
      </ns0:c>
      <ns0:c r="AX481" s="87" t="n">
        <ns0:v>421.2</ns0:v>
      </ns0:c>
      <ns0:c r="AY481" s="87" t="n">
        <ns0:v>-49.79</ns0:v>
      </ns0:c>
      <ns0:c r="AZ481" s="87" t="n">
        <ns0:v>1.51</ns0:v>
      </ns0:c>
      <ns0:c r="BA481" s="87" t="n">
        <ns0:v>2.6</ns0:v>
      </ns0:c>
      <ns0:c r="BB481" s="74" t="inlineStr">
        <ns0:is>
          <ns0:t>HSTECH (Hang Seng TECH ETF)</ns0:t>
        </ns0:is>
      </ns0:c>
      <ns0:c r="BC481" s="87" t="n">
        <ns0:v>214.17</ns0:v>
      </ns0:c>
      <ns0:c r="BD481" s="75" t="n">
        <ns0:v>46297</ns0:v>
      </ns0:c>
      <ns0:c r="BE481" s="76" t="n">
        <ns0:v>735.4</ns0:v>
      </ns0:c>
      <ns0:c r="BF481" s="79" t="n">
        <ns0:v>32.3</ns0:v>
      </ns0:c>
      <ns0:c r="BG481" s="74" t="inlineStr">
        <ns0:is>
          <ns0:t>Y</ns0:t>
        </ns0:is>
      </ns0:c>
      <ns0:c r="BH481" s="89" t="n">
        <ns0:v>172.6</ns0:v>
      </ns0:c>
      <ns0:c r="BI481" s="88" t="n"/>
      <ns0:c r="BJ481" s="88" t="n"/>
      <ns0:c r="BK481" s="89" t="n">
        <ns0:v>7.6</ns0:v>
      </ns0:c>
      <ns0:c r="BL481" s="90">
        <ns0:f>IFERROR(IF('BBG Verify'!S481="","Awaiting Bloomberg",'BBG Verify'!S481),"Awaiting Bloomberg")</ns0:f>
        <ns0:v/>
      </ns0:c>
      <ns0:c r="BM481" s="91" t="inlineStr">
        <ns0:is>
          <ns0:t>N</ns0:t>
        </ns0:is>
      </ns0:c>
      <ns0:c r="BN481" s="92">
        <ns0:f>IFERROR(IF('BBG Verify'!K481="","Awaiting Bloomberg",'BBG Verify'!K481),"Awaiting Bloomberg")</ns0:f>
        <ns0:v/>
      </ns0:c>
      <ns0:c r="BO481" s="74" t="inlineStr">
        <ns0:is>
          <ns0:t>N/A</ns0:t>
        </ns0:is>
      </ns0:c>
      <ns0:c r="BP481" s="74" t="inlineStr">
        <ns0:is>
          <ns0:t>N/A</ns0:t>
        </ns0:is>
      </ns0:c>
      <ns0:c r="BQ481" s="74" t="inlineStr">
        <ns0:is>
          <ns0:t>N/A</ns0:t>
        </ns0:is>
      </ns0:c>
      <ns0:c r="BR481" s="74" t="inlineStr">
        <ns0:is>
          <ns0:t>N/A</ns0:t>
        </ns0:is>
      </ns0:c>
      <ns0:c r="BS481" s="74" t="inlineStr">
        <ns0:is>
          <ns0:t>N/A</ns0:t>
        </ns0:is>
      </ns0:c>
      <ns0:c r="BT481" s="74" t="inlineStr">
        <ns0:is>
          <ns0:t>N/A</ns0:t>
        </ns0:is>
      </ns0:c>
      <ns0:c r="BU481" s="91" t="inlineStr">
        <ns0:is>
          <ns0:t>CMBC International Capital Limited; SPDB International Capital Limited</ns0:t>
        </ns0:is>
      </ns0:c>
      <ns0:c r="BV481" s="74" t="inlineStr">
        <ns0:is>
          <ns0:t>CMBC International Capital Limited; SPDB International Capital Limited</ns0:t>
        </ns0:is>
      </ns0:c>
      <ns0:c r="BW481" s="74" t="inlineStr">
        <ns0:is>
          <ns0:t>Livermore Holdings Limited; CCB International Capital Limited; CMB International Capital Limited; DL Securities (HK) Limited; Huafu International Securities Limited; Skyvast Securities Limited; Somerley Capital Limited; Yuen Meta (International) Securities Limited; Yunfeng Securities Limited; Zheshang International Financial Holdings Co., Limited; Zhongtai International Securities Limited</ns0:t>
        </ns0:is>
      </ns0:c>
      <ns0:c r="BX481" s="74" t="inlineStr">
        <ns0:is>
          <ns0: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ns0:t>
        </ns0:is>
      </ns0:c>
      <ns0:c r="BY481" s="93">
        <ns0:f>HYPERLINK("https://www1.hkexnews.hk/listedco/listconews/sehk/2026/0611/2026061100015.pdf","prospectus")</ns0:f>
        <ns0:v/>
      </ns0:c>
      <ns0:c r="BZ481" s="93">
        <ns0:f>HYPERLINK("https://www1.hkexnews.hk/listedco/listconews/sehk/2026/0618/2026061802066.pdf","allotment")</ns0:f>
        <ns0:v/>
      </ns0:c>
      <ns0:c r="CA481" s="85" t="n"/>
      <ns0:c r="CB481" s="94" t="n"/>
      <ns0:c r="CC481" s="74" t="inlineStr">
        <ns0:is>
          <ns0:t>greenshoe: no over-allotment option; range low: maximum offer price only, no floor published; cornerstone list: no cornerstone tranche; greenshoe size: no over-allotment option; stabilising manager: no over-allotment option, so none appointed</ns0:t>
        </ns0:is>
      </ns0:c>
    </ns0:row>
    <ns0:row r="482" ht="22" customHeight="1">
      <ns0:c r="A482" s="73" t="inlineStr">
        <ns0:is>
          <ns0:t>6132</ns0:t>
        </ns0:is>
      </ns0:c>
      <ns0:c r="B482" s="74" t="inlineStr">
        <ns0:is>
          <ns0:t>HJ SCIENCE-B</ns0:t>
        </ns0:is>
      </ns0:c>
      <ns0:c r="C482" s="74" t="inlineStr">
        <ns0:is>
          <ns0:t>華健未來－Ｂ</ns0:t>
        </ns0:is>
      </ns0:c>
      <ns0:c r="D482" s="74" t="inlineStr">
        <ns0:is>
          <ns0:t>Healthcare</ns0:t>
        </ns0:is>
      </ns0:c>
      <ns0:c r="E482" s="74" t="inlineStr">
        <ns0:is>
          <ns0:t>Biotech pre-revenue (18A)</ns0:t>
        </ns0:is>
      </ns0:c>
      <ns0:c r="F482" s="74" t="inlineStr">
        <ns0:is>
          <ns0:t>Biotechnology - Pharmaceuticals</ns0:t>
        </ns0:is>
      </ns0:c>
      <ns0:c r="G482" s="74" t="inlineStr">
        <ns0:is>
          <ns0:t>18A</ns0:t>
        </ns0:is>
      </ns0:c>
      <ns0:c r="H482" s="75" t="n">
        <ns0:v>46196</ns0:v>
      </ns0:c>
      <ns0:c r="I482" s="76" t="n">
        <ns0:v>1112.5</ns0:v>
      </ns0:c>
      <ns0:c r="J482" s="74" t="inlineStr">
        <ns0:is>
          <ns0:t>gross (stated)</ns0:t>
        </ns0:is>
      </ns0:c>
      <ns0:c r="K482" s="95" t="n"/>
      <ns0:c r="L482" s="77" t="n">
        <ns0:v>81.8</ns0:v>
      </ns0:c>
      <ns0:c r="M482" s="77" t="n">
        <ns0:v>81.8</ns0:v>
      </ns0:c>
      <ns0:c r="N482" s="74" t="inlineStr">
        <ns0:is>
          <ns0:t>Y</ns0:t>
        </ns0:is>
      </ns0:c>
      <ns0:c r="O482" s="78" t="n">
        <ns0:v>100</ns0:v>
      </ns0:c>
      <ns0:c r="P482" s="84" t="n"/>
      <ns0:c r="Q482" s="79" t="n">
        <ns0:v>6020</ns0:v>
      </ns0:c>
      <ns0:c r="R482" s="74" t="inlineStr">
        <ns0:is>
          <ns0:t>press:eastmoney 2026-06: 总市值60.20亿 at HK$81.80</ns0:t>
        </ns0:is>
      </ns0:c>
      <ns0:c r="S482" s="80" t="n">
        <ns0:v>2007.6</ns0:v>
      </ns0:c>
      <ns0:c r="T482" s="81" t="n">
        <ns0:v>7</ns0:v>
      </ns0:c>
      <ns0:c r="U482" s="82" t="n">
        <ns0:v>45.79</ns0:v>
      </ns0:c>
      <ns0:c r="V482" s="83" t="n">
        <ns0:v>91</ns0:v>
      </ns0:c>
      <ns0:c r="W482" s="78" t="n">
        <ns0:v>10</ns0:v>
      </ns0:c>
      <ns0:c r="X482" s="74" t="inlineStr">
        <ns0:is>
          <ns0:t>NO</ns0:t>
        </ns0:is>
      </ns0:c>
      <ns0:c r="Y482" s="79" t="n">
        <ns0:v>603.09</ns0:v>
      </ns0:c>
      <ns0:c r="Z482" s="79" t="n">
        <ns0:v>7372560</ns0:v>
      </ns0:c>
      <ns0:c r="AA482" s="78" t="n">
        <ns0:v>10.02</ns0:v>
      </ns0:c>
      <ns0:c r="AB482" s="74" t="inlineStr">
        <ns0:is>
          <ns0:t>Superior Choice SPC — Horizon Next Fund SP and Foresight International Series — Foresight China Equity Fund (collectively, Foresight Funds); Key Broad Future Limited; LBC HK Opportunity Fund Limited; Sage Partners Master Fund; Panjing Harbourview Investment Fund; Taikang Life Insurance Co., Ltd</ns0:t>
        </ns0:is>
      </ns0:c>
      <ns0:c r="AC482" s="74" t="inlineStr">
        <ns0:is>
          <ns0:t>superior;key;lbc;sage;panjing;taikang</ns0:t>
        </ns0:is>
      </ns0:c>
      <ns0:c r="AD482" s="78" t="n">
        <ns0:v>7.5</ns0:v>
      </ns0:c>
      <ns0:c r="AE482" s="74" t="inlineStr">
        <ns0:is>
          <ns0:t>lapsed</ns0:t>
        </ns0:is>
      </ns0:c>
      <ns0:c r="AF482" s="85" t="n"/>
      <ns0:c r="AG482" s="74" t="inlineStr">
        <ns0:is>
          <ns0:t>CLSA Limited</ns0:t>
        </ns0:is>
      </ns0:c>
      <ns0:c r="AH482" s="74" t="inlineStr">
        <ns0:is>
          <ns0:t>CLSA</ns0:t>
        </ns0:is>
      </ns0:c>
      <ns0:c r="AI482" s="86" t="n">
        <ns0:v>0</ns0:v>
      </ns0:c>
      <ns0:c r="AJ482" s="87" t="n">
        <ns0:v>-56.89</ns0:v>
      </ns0:c>
      <ns0:c r="AK482" s="87" t="n">
        <ns0:v>0.1</ns0:v>
      </ns0:c>
      <ns0:c r="AL482" s="87" t="n">
        <ns0:v>0</ns0:v>
      </ns0:c>
      <ns0:c r="AM482" s="87" t="n">
        <ns0:v>-56.89</ns0:v>
      </ns0:c>
      <ns0:c r="AN482" s="89" t="n">
        <ns0:v>6.07</ns0:v>
      </ns0:c>
      <ns0:c r="AO482" s="78" t="n">
        <ns0:v>57.14</ns0:v>
      </ns0:c>
      <ns0:c r="AP482" s="87" t="n">
        <ns0:v>-56.14</ns0:v>
      </ns0:c>
      <ns0:c r="AQ482" s="87" t="n">
        <ns0:v>-42.52</ns0:v>
      </ns0:c>
      <ns0:c r="AR482" s="87" t="n">
        <ns0:v>-47.11</ns0:v>
      </ns0:c>
      <ns0:c r="AS482" s="87" t="n">
        <ns0:v>1.74</ns0:v>
      </ns0:c>
      <ns0:c r="AT482" s="87" t="n">
        <ns0:v>33.33</ns0:v>
      </ns0:c>
      <ns0:c r="AU482" s="87" t="n">
        <ns0:v>22.69</ns0:v>
      </ns0:c>
      <ns0:c r="AV482" s="87" t="n">
        <ns0:v>-64.12</ns0:v>
      </ns0:c>
      <ns0:c r="AW482" s="87" t="n">
        <ns0:v>-61.81</ns0:v>
      </ns0:c>
      <ns0:c r="AX482" s="87" t="n">
        <ns0:v>-78.16</ns0:v>
      </ns0:c>
      <ns0:c r="AY482" s="87" t="n">
        <ns0:v>14.16</ns0:v>
      </ns0:c>
      <ns0:c r="AZ482" s="87" t="n">
        <ns0:v>19.29</ns0:v>
      </ns0:c>
      <ns0:c r="BA482" s="87" t="n">
        <ns0:v>19.17</ns0:v>
      </ns0:c>
      <ns0:c r="BB482" s="74" t="inlineStr">
        <ns0:is>
          <ns0:t>China Biotech ETF (HS biotech proxy)</ns0:t>
        </ns0:is>
      </ns0:c>
      <ns0:c r="BC482" s="87" t="n">
        <ns0:v>-56.26</ns0:v>
      </ns0:c>
      <ns0:c r="BD482" s="75" t="n">
        <ns0:v>46297</ns0:v>
      </ns0:c>
      <ns0:c r="BE482" s="76" t="n">
        <ns0:v>14.3</ns0:v>
      </ns0:c>
      <ns0:c r="BF482" s="79" t="n">
        <ns0:v>-148.6</ns0:v>
      </ns0:c>
      <ns0:c r="BG482" s="74" t="inlineStr">
        <ns0:is>
          <ns0:t>N</ns0:t>
        </ns0:is>
      </ns0:c>
      <ns0:c r="BH482" s="74" t="inlineStr">
        <ns0:is>
          <ns0:t>n/m</ns0:t>
        </ns0:is>
      </ns0:c>
      <ns0:c r="BI482" s="88" t="n"/>
      <ns0:c r="BJ482" s="88" t="n"/>
      <ns0:c r="BK482" s="89" t="n">
        <ns0:v>421</ns0:v>
      </ns0:c>
      <ns0:c r="BL482" s="90">
        <ns0:f>IFERROR(IF('BBG Verify'!S482="","Awaiting Bloomberg",'BBG Verify'!S482),"Awaiting Bloomberg")</ns0:f>
        <ns0:v/>
      </ns0:c>
      <ns0:c r="BM482" s="91" t="inlineStr">
        <ns0:is>
          <ns0:t>N</ns0:t>
        </ns0:is>
      </ns0:c>
      <ns0:c r="BN482" s="92">
        <ns0:f>IFERROR(IF('BBG Verify'!K482="","Awaiting Bloomberg",'BBG Verify'!K482),"Awaiting Bloomberg")</ns0:f>
        <ns0:v/>
      </ns0:c>
      <ns0:c r="BO482" s="74" t="inlineStr">
        <ns0:is>
          <ns0:t>N/A</ns0:t>
        </ns0:is>
      </ns0:c>
      <ns0:c r="BP482" s="74" t="inlineStr">
        <ns0:is>
          <ns0:t>N/A</ns0:t>
        </ns0:is>
      </ns0:c>
      <ns0:c r="BQ482" s="74" t="inlineStr">
        <ns0:is>
          <ns0:t>N/A</ns0:t>
        </ns0:is>
      </ns0:c>
      <ns0:c r="BR482" s="74" t="inlineStr">
        <ns0:is>
          <ns0:t>N/A</ns0:t>
        </ns0:is>
      </ns0:c>
      <ns0:c r="BS482" s="74" t="inlineStr">
        <ns0:is>
          <ns0:t>N/A</ns0:t>
        </ns0:is>
      </ns0:c>
      <ns0:c r="BT482" s="74" t="inlineStr">
        <ns0:is>
          <ns0:t>N/A</ns0:t>
        </ns0:is>
      </ns0:c>
      <ns0:c r="BU482" s="91" t="inlineStr">
        <ns0:is>
          <ns0:t>CITIC Securities (Hong Kong) Limited</ns0:t>
        </ns0:is>
      </ns0:c>
      <ns0:c r="BV482" s="74" t="inlineStr">
        <ns0:is>
          <ns0:t>CITIC Securities (Hong Kong) Limited</ns0:t>
        </ns0:is>
      </ns0:c>
      <ns0:c r="BW482" s="74" t="inlineStr">
        <ns0:is>
          <ns0:t>CLSA Limited</ns0:t>
        </ns0:is>
      </ns0:c>
      <ns0:c r="BX482" s="74" t="inlineStr">
        <ns0:is>
          <ns0:t>CLSA Limited</ns0:t>
        </ns0:is>
      </ns0:c>
      <ns0:c r="BY482" s="93">
        <ns0:f>HYPERLINK("https://www1.hkexnews.hk/listedco/listconews/sehk/2026/0612/2026061200083.pdf","prospectus")</ns0:f>
        <ns0:v/>
      </ns0:c>
      <ns0:c r="BZ482" s="93">
        <ns0:f>HYPERLINK("https://www1.hkexnews.hk/listedco/listconews/sehk/2026/0622/2026062201627.pdf","allotment")</ns0:f>
        <ns0:v/>
      </ns0:c>
      <ns0:c r="CA482" s="93">
        <ns0:f>HYPERLINK("https://www1.hkexnews.hk/listedco/listconews/sehk/2026/0717/2026071700724.pdf","stabilisation")</ns0:f>
        <ns0:v/>
      </ns0:c>
      <ns0:c r="CB482" s="94" t="n"/>
      <ns0:c r="CC482" s="74" t="inlineStr">
        <ns0:is>
          <ns0:t>P/E: loss-making at IPO, use P/S; greenshoe: outcome published; expiry date not in the notice; range low: maximum offer price only, no floor published; P/S: 421x on HK$14.3m revenue, effectively pre-revenue; not comparable</ns0:t>
        </ns0:is>
      </ns0:c>
    </ns0:row>
    <ns0:row r="483" ht="22" customHeight="1">
      <ns0:c r="A483" s="73" t="inlineStr">
        <ns0:is>
          <ns0:t>6067</ns0:t>
        </ns0:is>
      </ns0:c>
      <ns0:c r="B483" s="74" t="inlineStr">
        <ns0:is>
          <ns0:t>SENIOR MATERIAL</ns0:t>
        </ns0:is>
      </ns0:c>
      <ns0:c r="C483" s="74" t="inlineStr">
        <ns0:is>
          <ns0:t>星源材質</ns0:t>
        </ns0:is>
      </ns0:c>
      <ns0:c r="D483" s="74" t="inlineStr">
        <ns0:is>
          <ns0:t>Industrials</ns0:t>
        </ns0:is>
      </ns0:c>
      <ns0:c r="E483" s="74" t="inlineStr">
        <ns0:is>
          <ns0:t>Batteries / energy storage</ns0:t>
        </ns0:is>
      </ns0:c>
      <ns0:c r="F483" s="74" t="inlineStr">
        <ns0:is>
          <ns0:t>Battery Products</ns0:t>
        </ns0:is>
      </ns0:c>
      <ns0:c r="G483" s="74" t="inlineStr">
        <ns0:is>
          <ns0:t>Standard</ns0:t>
        </ns0:is>
      </ns0:c>
      <ns0:c r="H483" s="75" t="n">
        <ns0:v>46196</ns0:v>
      </ns0:c>
      <ns0:c r="I483" s="76" t="n">
        <ns0:v>1342.7</ns0:v>
      </ns0:c>
      <ns0:c r="J483" s="74" t="inlineStr">
        <ns0:is>
          <ns0:t>gross (stated)</ns0:t>
        </ns0:is>
      </ns0:c>
      <ns0:c r="K483" s="95" t="n"/>
      <ns0:c r="L483" s="77" t="n">
        <ns0:v>8.98</ns0:v>
      </ns0:c>
      <ns0:c r="M483" s="77" t="n">
        <ns0:v>8.98</ns0:v>
      </ns0:c>
      <ns0:c r="N483" s="74" t="inlineStr">
        <ns0:is>
          <ns0:t>Y</ns0:t>
        </ns0:is>
      </ns0:c>
      <ns0:c r="O483" s="78" t="n">
        <ns0:v>100</ns0:v>
      </ns0:c>
      <ns0:c r="P483" s="84" t="n"/>
      <ns0:c r="Q483" s="79" t="n">
        <ns0:v>13427.2</ns0:v>
      </ns0:c>
      <ns0:c r="R483" s="74" t="inlineStr">
        <ns0:is>
          <ns0:t>derived:price x shares upon listing</ns0:t>
        </ns0:is>
      </ns0:c>
      <ns0:c r="S483" s="80" t="n">
        <ns0:v>1563.16</ns0:v>
      </ns0:c>
      <ns0:c r="T483" s="81" t="n">
        <ns0:v>14.34</ns0:v>
      </ns0:c>
      <ns0:c r="U483" s="82" t="n">
        <ns0:v>45.14</ns0:v>
      </ns0:c>
      <ns0:c r="V483" s="83" t="n">
        <ns0:v>104</ns0:v>
      </ns0:c>
      <ns0:c r="W483" s="78" t="n">
        <ns0:v>10</ns0:v>
      </ns0:c>
      <ns0:c r="X483" s="74" t="inlineStr">
        <ns0:is>
          <ns0:t>NA</ns0:t>
        </ns0:is>
      </ns0:c>
      <ns0:c r="Y483" s="79" t="n">
        <ns0:v>736.61</ns0:v>
      </ns0:c>
      <ns0:c r="Z483" s="79" t="n">
        <ns0:v>82028592</ns0:v>
      </ns0:c>
      <ns0:c r="AA483" s="78" t="n">
        <ns0:v>5.49</ns0:v>
      </ns0:c>
      <ns0:c r="AB483" s="74" t="inlineStr">
        <ns0:is>
          <ns0: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ns0:t>
        </ns0:is>
      </ns0:c>
      <ns0:c r="AC483" s="74" t="inlineStr">
        <ns0:is>
          <ns0:t>bona;china-international;fullgoal;gf;harvest;jinkosolar;mondeomax;mr-chen;sheen;sinsanwa;springs;sunwoda;taikang</ns0:t>
        </ns0:is>
      </ns0:c>
      <ns0:c r="AD483" s="84" t="n"/>
      <ns0:c r="AE483" s="85" t="n"/>
      <ns0:c r="AF483" s="85" t="n"/>
      <ns0:c r="AG483" s="85" t="n"/>
      <ns0:c r="AH483" s="85" t="n"/>
      <ns0:c r="AI483" s="86" t="n">
        <ns0:v>40.76</ns0:v>
      </ns0:c>
      <ns0:c r="AJ483" s="87" t="n">
        <ns0:v>22.49</ns0:v>
      </ns0:c>
      <ns0:c r="AK483" s="87" t="n">
        <ns0:v>-2.82</ns0:v>
      </ns0:c>
      <ns0:c r="AL483" s="87" t="n">
        <ns0:v>38.42</ns0:v>
      </ns0:c>
      <ns0:c r="AM483" s="87" t="n">
        <ns0:v>-11.51</ns0:v>
      </ns0:c>
      <ns0:c r="AN483" s="89" t="n">
        <ns0:v>4.44</ns0:v>
      </ns0:c>
      <ns0:c r="AO483" s="78" t="n">
        <ns0:v>19.39</ns0:v>
      </ns0:c>
      <ns0:c r="AP483" s="87" t="n">
        <ns0:v>10.24</ns0:v>
      </ns0:c>
      <ns0:c r="AQ483" s="87" t="n">
        <ns0:v>-12.25</ns0:v>
      </ns0:c>
      <ns0:c r="AR483" s="87" t="n">
        <ns0:v>-12.31</ns0:v>
      </ns0:c>
      <ns0:c r="AS483" s="87" t="n">
        <ns0:v>-10</ns0:v>
      </ns0:c>
      <ns0:c r="AT483" s="87" t="n">
        <ns0:v>-28.36</ns0:v>
      </ns0:c>
      <ns0:c r="AU483" s="87" t="n">
        <ns0:v>-28.41</ns0:v>
      </ns0:c>
      <ns0:c r="AV483" s="87" t="n">
        <ns0:v>13.81</ns0:v>
      </ns0:c>
      <ns0:c r="AW483" s="87" t="n">
        <ns0:v>-18.87</ns0:v>
      </ns0:c>
      <ns0:c r="AX483" s="87" t="n">
        <ns0:v>-16.36</ns0:v>
      </ns0:c>
      <ns0:c r="AY483" s="87" t="n">
        <ns0:v>-38.07</ns0:v>
      </ns0:c>
      <ns0:c r="AZ483" s="87" t="n">
        <ns0:v>6.62</ns0:v>
      </ns0:c>
      <ns0:c r="BA483" s="87" t="n">
        <ns0:v>9.710000000000001</ns0:v>
      </ns0:c>
      <ns0:c r="BB483" s="74" t="inlineStr">
        <ns0:is>
          <ns0:t>Hang Seng Commerce &amp; Industry sub-index</ns0:t>
        </ns0:is>
      </ns0:c>
      <ns0:c r="BC483" s="87" t="n">
        <ns0:v>-22.44</ns0:v>
      </ns0:c>
      <ns0:c r="BD483" s="75" t="n">
        <ns0:v>46297</ns0:v>
      </ns0:c>
      <ns0:c r="BE483" s="76" t="n">
        <ns0:v>4484.5</ns0:v>
      </ns0:c>
      <ns0:c r="BF483" s="79" t="n">
        <ns0:v>157.4</ns0:v>
      </ns0:c>
      <ns0:c r="BG483" s="74" t="inlineStr">
        <ns0:is>
          <ns0:t>Y</ns0:t>
        </ns0:is>
      </ns0:c>
      <ns0:c r="BH483" s="89" t="n">
        <ns0:v>85.3</ns0:v>
      </ns0:c>
      <ns0:c r="BI483" s="89" t="n">
        <ns0:v>297.2</ns0:v>
      </ns0:c>
      <ns0:c r="BJ483" s="89" t="n">
        <ns0:v>224.7</ns0:v>
      </ns0:c>
      <ns0:c r="BK483" s="89" t="n">
        <ns0:v>3</ns0:v>
      </ns0:c>
      <ns0:c r="BL483" s="90">
        <ns0:f>IFERROR(IF('BBG Verify'!S483="","Awaiting Bloomberg",'BBG Verify'!S483),"Awaiting Bloomberg")</ns0:f>
        <ns0:v/>
      </ns0:c>
      <ns0:c r="BM483" s="91" t="inlineStr">
        <ns0:is>
          <ns0:t>Y</ns0:t>
        </ns0:is>
      </ns0:c>
      <ns0:c r="BN483" s="74" t="inlineStr">
        <ns0:is>
          <ns0:t>300568.SZ</ns0:t>
        </ns0:is>
      </ns0:c>
      <ns0:c r="BO483" s="87" t="n">
        <ns0:v>162.05</ns0:v>
      </ns0:c>
      <ns0:c r="BP483" s="77" t="n">
        <ns0:v>23.5319</ns0:v>
      </ns0:c>
      <ns0:c r="BQ483" s="101" t="n">
        <ns0:v>1.6448</ns0:v>
      </ns0:c>
      <ns0:c r="BR483" s="79" t="n">
        <ns0:v>27558.3</ns0:v>
      </ns0:c>
      <ns0:c r="BS483" s="90">
        <ns0:f>IFERROR(IF('BBG Verify'!Q483="","Awaiting Bloomberg",'BBG Verify'!Q483),"Awaiting Bloomberg")</ns0:f>
        <ns0:v/>
      </ns0:c>
      <ns0:c r="BT483" s="90">
        <ns0:f>IFERROR(IF('BBG Verify'!R483="","Awaiting Bloomberg",'BBG Verify'!R483),"Awaiting Bloomberg")</ns0:f>
        <ns0:v/>
      </ns0:c>
      <ns0:c r="BU483" s="91" t="inlineStr">
        <ns0:is>
          <ns0:t>China Securities (International) Corporate Finance Company Limited</ns0:t>
        </ns0:is>
      </ns0:c>
      <ns0:c r="BV483" s="74" t="inlineStr">
        <ns0:is>
          <ns0:t>China Securities (International) Corporate Finance Company Limited</ns0:t>
        </ns0:is>
      </ns0:c>
      <ns0:c r="BW483" s="74" t="inlineStr">
        <ns0:is>
          <ns0: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ns0:t>
        </ns0:is>
      </ns0:c>
      <ns0:c r="BX483" s="74" t="inlineStr">
        <ns0:is>
          <ns0: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ns0:t>
        </ns0:is>
      </ns0:c>
      <ns0:c r="BY483" s="93">
        <ns0:f>HYPERLINK("https://www1.hkexnews.hk/listedco/listconews/sehk/2026/0612/2026061200031.pdf","prospectus")</ns0:f>
        <ns0:v/>
      </ns0:c>
      <ns0:c r="BZ483" s="93">
        <ns0:f>HYPERLINK("https://www1.hkexnews.hk/listedco/listconews/sehk/2026/0622/2026062202141.pdf","allotment")</ns0:f>
        <ns0:v/>
      </ns0:c>
      <ns0:c r="CA483" s="85" t="n"/>
      <ns0:c r="CB483" s="94" t="n"/>
      <ns0:c r="CC483" s="74" t="inlineStr">
        <ns0:is>
          <ns0:t>greenshoe: no over-allotment option; range low: maximum offer price only, no floor published; A/H: Jun 2026 H listing (battery separators); greenshoe size: no over-allotment option; stabilising manager: no over-allotment option, so none appointed</ns0:t>
        </ns0:is>
      </ns0:c>
    </ns0:row>
    <ns0:row r="484" ht="22" customHeight="1">
      <ns0:c r="A484" s="73" t="inlineStr">
        <ns0:is>
          <ns0:t>2335</ns0:t>
        </ns0:is>
      </ns0:c>
      <ns0:c r="B484" s="74" t="inlineStr">
        <ns0:is>
          <ns0:t>MICOT PHARMA-B</ns0:t>
        </ns0:is>
      </ns0:c>
      <ns0:c r="C484" s="74" t="inlineStr">
        <ns0:is>
          <ns0:t>麥科醫藥－Ｂ</ns0:t>
        </ns0:is>
      </ns0:c>
      <ns0:c r="D484" s="74" t="inlineStr">
        <ns0:is>
          <ns0:t>Healthcare</ns0:t>
        </ns0:is>
      </ns0:c>
      <ns0:c r="E484" s="74" t="inlineStr">
        <ns0:is>
          <ns0:t>Biotech pre-revenue (18A)</ns0:t>
        </ns0:is>
      </ns0:c>
      <ns0:c r="F484" s="74" t="inlineStr">
        <ns0:is>
          <ns0:t>Biotechnology - Pharmaceuticals</ns0:t>
        </ns0:is>
      </ns0:c>
      <ns0:c r="G484" s="74" t="inlineStr">
        <ns0:is>
          <ns0:t>18A</ns0:t>
        </ns0:is>
      </ns0:c>
      <ns0:c r="H484" s="75" t="n">
        <ns0:v>46197</ns0:v>
      </ns0:c>
      <ns0:c r="I484" s="76" t="n">
        <ns0:v>1056.6</ns0:v>
      </ns0:c>
      <ns0:c r="J484" s="74" t="inlineStr">
        <ns0:is>
          <ns0:t>gross (stated)</ns0:t>
        </ns0:is>
      </ns0:c>
      <ns0:c r="K484" s="77" t="n">
        <ns0:v>18.2</ns0:v>
      </ns0:c>
      <ns0:c r="L484" s="77" t="n">
        <ns0:v>21</ns0:v>
      </ns0:c>
      <ns0:c r="M484" s="77" t="n">
        <ns0:v>18.2</ns0:v>
      </ns0:c>
      <ns0:c r="N484" s="74" t="inlineStr">
        <ns0:is>
          <ns0:t>N</ns0:t>
        </ns0:is>
      </ns0:c>
      <ns0:c r="O484" s="78" t="n">
        <ns0:v>86.7</ns0:v>
      </ns0:c>
      <ns0:c r="P484" s="78" t="n">
        <ns0:v>0</ns0:v>
      </ns0:c>
      <ns0:c r="Q484" s="79" t="n">
        <ns0:v>6037.7</ns0:v>
      </ns0:c>
      <ns0:c r="R484" s="74" t="inlineStr">
        <ns0:is>
          <ns0:t>derived:price x shares upon listing</ns0:t>
        </ns0:is>
      </ns0:c>
      <ns0:c r="S484" s="80" t="n">
        <ns0:v>1181.46</ns0:v>
      </ns0:c>
      <ns0:c r="T484" s="81" t="n">
        <ns0:v>2.52</ns0:v>
      </ns0:c>
      <ns0:c r="U484" s="82" t="n">
        <ns0:v>42.51</ns0:v>
      </ns0:c>
      <ns0:c r="V484" s="83" t="n">
        <ns0:v>73</ns0:v>
      </ns0:c>
      <ns0:c r="W484" s="78" t="n">
        <ns0:v>10</ns0:v>
      </ns0:c>
      <ns0:c r="X484" s="74" t="inlineStr">
        <ns0:is>
          <ns0:t>NA</ns0:t>
        </ns0:is>
      </ns0:c>
      <ns0:c r="Y484" s="79" t="n">
        <ns0:v>607.4400000000001</ns0:v>
      </ns0:c>
      <ns0:c r="Z484" s="79" t="n">
        <ns0:v>33375475</ns0:v>
      </ns0:c>
      <ns0:c r="AA484" s="78" t="n">
        <ns0:v>10.06</ns0:v>
      </ns0:c>
      <ns0:c r="AB484" s="74" t="inlineStr">
        <ns0:is>
          <ns0:t>Qiyuan Hong Kong; Everest Medicine; Summit Capital</ns0:t>
        </ns0:is>
      </ns0:c>
      <ns0:c r="AC484" s="74" t="inlineStr">
        <ns0:is>
          <ns0:t>qiyuan;everest;summit</ns0:t>
        </ns0:is>
      </ns0:c>
      <ns0:c r="AD484" s="78" t="n">
        <ns0:v>8.24</ns0:v>
      </ns0:c>
      <ns0:c r="AE484" s="85" t="n"/>
      <ns0:c r="AF484" s="74" t="inlineStr">
        <ns0:is>
          <ns0:t>2026-07-18</ns0:t>
        </ns0:is>
      </ns0:c>
      <ns0:c r="AG484" s="74" t="inlineStr">
        <ns0:is>
          <ns0:t>CCB International Capital Limited</ns0:t>
        </ns0:is>
      </ns0:c>
      <ns0:c r="AH484" s="74" t="inlineStr">
        <ns0:is>
          <ns0:t>CCB</ns0:t>
        </ns0:is>
      </ns0:c>
      <ns0:c r="AI484" s="86" t="n">
        <ns0:v>95.05</ns0:v>
      </ns0:c>
      <ns0:c r="AJ484" s="87" t="n">
        <ns0:v>102.75</ns0:v>
      </ns0:c>
      <ns0:c r="AK484" s="87" t="n">
        <ns0:v>3.03</ns0:v>
      </ns0:c>
      <ns0:c r="AL484" s="87" t="n">
        <ns0:v>86.92</ns0:v>
      </ns0:c>
      <ns0:c r="AM484" s="87" t="n">
        <ns0:v>8.470000000000001</ns0:v>
      </ns0:c>
      <ns0:c r="AN484" s="89" t="n">
        <ns0:v>1.95</ns0:v>
      </ns0:c>
      <ns0:c r="AO484" s="78" t="n">
        <ns0:v>14.4</ns0:v>
      </ns0:c>
      <ns0:c r="AP484" s="87" t="n">
        <ns0:v>97.58</ns0:v>
      </ns0:c>
      <ns0:c r="AQ484" s="87" t="n">
        <ns0:v>86.81</ns0:v>
      </ns0:c>
      <ns0:c r="AR484" s="87" t="n">
        <ns0:v>21.76</ns0:v>
      </ns0:c>
      <ns0:c r="AS484" s="87" t="n">
        <ns0:v>-2.55</ns0:v>
      </ns0:c>
      <ns0:c r="AT484" s="87" t="n">
        <ns0:v>-7.86</ns0:v>
      </ns0:c>
      <ns0:c r="AU484" s="87" t="n">
        <ns0:v>-39.95</ns0:v>
      </ns0:c>
      <ns0:c r="AV484" s="87" t="n">
        <ns0:v>86.28</ns0:v>
      </ns0:c>
      <ns0:c r="AW484" s="87" t="n">
        <ns0:v>70.06</ns0:v>
      </ns0:c>
      <ns0:c r="AX484" s="87" t="n">
        <ns0:v>-9.050000000000001</ns0:v>
      </ns0:c>
      <ns0:c r="AY484" s="87" t="n">
        <ns0:v>-21.18</ns0:v>
      </ns0:c>
      <ns0:c r="AZ484" s="87" t="n">
        <ns0:v>16.75</ns0:v>
      </ns0:c>
      <ns0:c r="BA484" s="87" t="n">
        <ns0:v>13.32</ns0:v>
      </ns0:c>
      <ns0:c r="BB484" s="74" t="inlineStr">
        <ns0:is>
          <ns0:t>China Biotech ETF (HS biotech proxy)</ns0:t>
        </ns0:is>
      </ns0:c>
      <ns0:c r="BC484" s="87" t="n">
        <ns0:v>19.67</ns0:v>
      </ns0:c>
      <ns0:c r="BD484" s="75" t="n">
        <ns0:v>46297</ns0:v>
      </ns0:c>
      <ns0:c r="BE484" s="76" t="n">
        <ns0:v>2.2</ns0:v>
      </ns0:c>
      <ns0:c r="BF484" s="79" t="n">
        <ns0:v>-203.4</ns0:v>
      </ns0:c>
      <ns0:c r="BG484" s="74" t="inlineStr">
        <ns0:is>
          <ns0:t>N</ns0:t>
        </ns0:is>
      </ns0:c>
      <ns0:c r="BH484" s="74" t="inlineStr">
        <ns0:is>
          <ns0:t>n/m</ns0:t>
        </ns0:is>
      </ns0:c>
      <ns0:c r="BI484" s="88" t="n"/>
      <ns0:c r="BJ484" s="88" t="n"/>
      <ns0:c r="BK484" s="89" t="n">
        <ns0:v>2744.4</ns0:v>
      </ns0:c>
      <ns0:c r="BL484" s="90">
        <ns0:f>IFERROR(IF('BBG Verify'!S484="","Awaiting Bloomberg",'BBG Verify'!S484),"Awaiting Bloomberg")</ns0:f>
        <ns0:v/>
      </ns0:c>
      <ns0:c r="BM484" s="91" t="inlineStr">
        <ns0:is>
          <ns0:t>N</ns0:t>
        </ns0:is>
      </ns0:c>
      <ns0:c r="BN484" s="92">
        <ns0:f>IFERROR(IF('BBG Verify'!K484="","Awaiting Bloomberg",'BBG Verify'!K484),"Awaiting Bloomberg")</ns0:f>
        <ns0:v/>
      </ns0:c>
      <ns0:c r="BO484" s="74" t="inlineStr">
        <ns0:is>
          <ns0:t>N/A</ns0:t>
        </ns0:is>
      </ns0:c>
      <ns0:c r="BP484" s="74" t="inlineStr">
        <ns0:is>
          <ns0:t>N/A</ns0:t>
        </ns0:is>
      </ns0:c>
      <ns0:c r="BQ484" s="74" t="inlineStr">
        <ns0:is>
          <ns0:t>N/A</ns0:t>
        </ns0:is>
      </ns0:c>
      <ns0:c r="BR484" s="74" t="inlineStr">
        <ns0:is>
          <ns0:t>N/A</ns0:t>
        </ns0:is>
      </ns0:c>
      <ns0:c r="BS484" s="74" t="inlineStr">
        <ns0:is>
          <ns0:t>N/A</ns0:t>
        </ns0:is>
      </ns0:c>
      <ns0:c r="BT484" s="74" t="inlineStr">
        <ns0:is>
          <ns0:t>N/A</ns0:t>
        </ns0:is>
      </ns0:c>
      <ns0:c r="BU484" s="91" t="inlineStr">
        <ns0:is>
          <ns0:t>CCB International Capital Limited; China Merchants Securities (HK) Company Limited</ns0:t>
        </ns0:is>
      </ns0:c>
      <ns0:c r="BV484" s="74" t="inlineStr">
        <ns0:is>
          <ns0:t>CCB International Capital Limited; China Merchants Securities (HK) Company Limited</ns0:t>
        </ns0:is>
      </ns0:c>
      <ns0:c r="BW484" s="74" t="inlineStr">
        <ns0:is>
          <ns0:t>CCB International Capital Limited; China Merchants Securities (HK) Company Limited; Jakota Securities Group Limited; Ruibang Securities Limited; Sinolink Securities (Hong Kong) Company Limited; Somerley Capital Limited; Skyvast Securities Limited; Tiger Brokers (HK) Global Limited</ns0:t>
        </ns0:is>
      </ns0:c>
      <ns0:c r="BX484" s="74" t="inlineStr">
        <ns0:is>
          <ns0:t>CCB International Capital Limited; China Merchants Securities (HK) Company Limited; Jakota Securities Group Limited; Ruibang Securities Limited; Sinolink Securities (Hong Kong) Company Limited; Somerley Capital Limited; Skyvast Securities Limited; Tiger Brokers (HK) Global Limited</ns0:t>
        </ns0:is>
      </ns0:c>
      <ns0:c r="BY484" s="93">
        <ns0:f>HYPERLINK("https://www1.hkexnews.hk/listedco/listconews/sehk/2026/0615/2026061500009.pdf","prospectus")</ns0:f>
        <ns0:v/>
      </ns0:c>
      <ns0:c r="BZ484" s="93">
        <ns0:f>HYPERLINK("https://www1.hkexnews.hk/listedco/listconews/sehk/2026/0623/2026062301227.pdf","allotment")</ns0:f>
        <ns0:v/>
      </ns0:c>
      <ns0:c r="CA484" s="85" t="n"/>
      <ns0:c r="CB484" s="94" t="n"/>
      <ns0:c r="CC484" s="74" t="inlineStr">
        <ns0:is>
          <ns0:t>P/E: loss-making at IPO, use P/S; greenshoe: end-of-stabilisation notice not found; sponsor: English name not in the filing; AAStocks 保薦人 shown; P/S: 2,744x on HK$2.2m revenue, effectively pre-revenue; not comparable</ns0:t>
        </ns0:is>
      </ns0:c>
    </ns0:row>
    <ns0:row r="485" ht="22" customHeight="1">
      <ns0:c r="A485" s="73" t="inlineStr">
        <ns0:is>
          <ns0:t>6106</ns0:t>
        </ns0:is>
      </ns0:c>
      <ns0:c r="B485" s="74" t="inlineStr">
        <ns0:is>
          <ns0:t>SEER TECH</ns0:t>
        </ns0:is>
      </ns0:c>
      <ns0:c r="C485" s="74" t="inlineStr">
        <ns0:is>
          <ns0:t>仙工智能</ns0:t>
        </ns0:is>
      </ns0:c>
      <ns0:c r="D485" s="74" t="inlineStr">
        <ns0:is>
          <ns0:t>Technology</ns0:t>
        </ns0:is>
      </ns0:c>
      <ns0:c r="E485" s="74" t="inlineStr">
        <ns0:is>
          <ns0:t>Robotics &amp; autonomous driving</ns0:t>
        </ns0:is>
      </ns0:c>
      <ns0:c r="F485" s="74" t="inlineStr">
        <ns0:is>
          <ns0:t>Advanced hardware and software</ns0:t>
        </ns0:is>
      </ns0:c>
      <ns0:c r="G485" s="74" t="inlineStr">
        <ns0:is>
          <ns0:t>18C</ns0:t>
        </ns0:is>
      </ns0:c>
      <ns0:c r="H485" s="75" t="n">
        <ns0:v>46197</ns0:v>
      </ns0:c>
      <ns0:c r="I485" s="76" t="n">
        <ns0:v>1066.5</ns0:v>
      </ns0:c>
      <ns0:c r="J485" s="74" t="inlineStr">
        <ns0:is>
          <ns0:t>gross (stated)</ns0:t>
        </ns0:is>
      </ns0:c>
      <ns0:c r="K485" s="95" t="n"/>
      <ns0:c r="L485" s="77" t="n">
        <ns0:v>101.6</ns0:v>
      </ns0:c>
      <ns0:c r="M485" s="77" t="n">
        <ns0:v>101.6</ns0:v>
      </ns0:c>
      <ns0:c r="N485" s="74" t="inlineStr">
        <ns0:is>
          <ns0:t>Y</ns0:t>
        </ns0:is>
      </ns0:c>
      <ns0:c r="O485" s="78" t="n">
        <ns0:v>100</ns0:v>
      </ns0:c>
      <ns0:c r="P485" s="84" t="n"/>
      <ns0:c r="Q485" s="79" t="n">
        <ns0:v>9902.5</ns0:v>
      </ns0:c>
      <ns0:c r="R485" s="74" t="inlineStr">
        <ns0:is>
          <ns0:t>derived:deal size / offer % of enlarged capital</ns0:t>
        </ns0:is>
      </ns0:c>
      <ns0:c r="S485" s="80" t="n">
        <ns0:v>5934.56</ns0:v>
      </ns0:c>
      <ns0:c r="T485" s="81" t="n">
        <ns0:v>21.29</ns0:v>
      </ns0:c>
      <ns0:c r="U485" s="82" t="n">
        <ns0:v>43.34</ns0:v>
      </ns0:c>
      <ns0:c r="V485" s="83" t="n">
        <ns0:v>134</ns0:v>
      </ns0:c>
      <ns0:c r="W485" s="78" t="n">
        <ns0:v>20</ns0:v>
      </ns0:c>
      <ns0:c r="X485" s="74" t="inlineStr">
        <ns0:is>
          <ns0:t>YES</ns0:t>
        </ns0:is>
      </ns0:c>
      <ns0:c r="Y485" s="79" t="n">
        <ns0:v>604.28</ns0:v>
      </ns0:c>
      <ns0:c r="Z485" s="79" t="n">
        <ns0:v>5947770</ns0:v>
      </ns0:c>
      <ns0:c r="AA485" s="78" t="n">
        <ns0:v>6.1</ns0:v>
      </ns0:c>
      <ns0:c r="AB485" s="74" t="inlineStr">
        <ns0:is>
          <ns0:t>HHLRA; Yuanbao Family Office; 3W Fund; GF Fund; Ruihua Investment; Zhonghe Capital (through GF Securities AM as the qualified domestic institutional investor); Yishao Capital; Nova Kerry Inc</ns0:t>
        </ns0:is>
      </ns0:c>
      <ns0:c r="AC485" s="74" t="inlineStr">
        <ns0:is>
          <ns0:t>hhlra;yuanbao;3w;gf;ruihua;zhonghe;yishao;nova</ns0:t>
        </ns0:is>
      </ns0:c>
      <ns0:c r="AD485" s="78" t="n">
        <ns0:v>15</ns0:v>
      </ns0:c>
      <ns0:c r="AE485" s="74" t="inlineStr">
        <ns0:is>
          <ns0:t>lapsed</ns0:t>
        </ns0:is>
      </ns0:c>
      <ns0:c r="AF485" s="85" t="n"/>
      <ns0:c r="AG485" s="74" t="inlineStr">
        <ns0:is>
          <ns0:t>China International Capital Corporation Hong Kong Securities Limited</ns0:t>
        </ns0:is>
      </ns0:c>
      <ns0:c r="AH485" s="74" t="inlineStr">
        <ns0:is>
          <ns0:t>China International</ns0:t>
        </ns0:is>
      </ns0:c>
      <ns0:c r="AI485" s="86" t="n">
        <ns0:v>-7.28</ns0:v>
      </ns0:c>
      <ns0:c r="AJ485" s="87" t="n">
        <ns0:v>4.33</ns0:v>
      </ns0:c>
      <ns0:c r="AK485" s="87" t="n">
        <ns0:v>1.99</ns0:v>
      </ns0:c>
      <ns0:c r="AL485" s="87" t="n">
        <ns0:v>0</ns0:v>
      </ns0:c>
      <ns0:c r="AM485" s="87" t="n">
        <ns0:v>4.33</ns0:v>
      </ns0:c>
      <ns0:c r="AN485" s="89" t="n">
        <ns0:v>3</ns0:v>
      </ns0:c>
      <ns0:c r="AO485" s="78" t="n">
        <ns0:v>38.29</ns0:v>
      </ns0:c>
      <ns0:c r="AP485" s="87" t="n">
        <ns0:v>-19.54</ns0:v>
      </ns0:c>
      <ns0:c r="AQ485" s="87" t="n">
        <ns0:v>-44.69</ns0:v>
      </ns0:c>
      <ns0:c r="AR485" s="87" t="n">
        <ns0:v>-31.3</ns0:v>
      </ns0:c>
      <ns0:c r="AS485" s="87" t="n">
        <ns0:v>-22.88</ns0:v>
      </ns0:c>
      <ns0:c r="AT485" s="87" t="n">
        <ns0:v>-46.99</ns0:v>
      </ns0:c>
      <ns0:c r="AU485" s="87" t="n">
        <ns0:v>-34.15</ns0:v>
      </ns0:c>
      <ns0:c r="AV485" s="87" t="n">
        <ns0:v>-20.7</ns0:v>
      </ns0:c>
      <ns0:c r="AW485" s="87" t="n">
        <ns0:v>-49.98</ns0:v>
      </ns0:c>
      <ns0:c r="AX485" s="87" t="n">
        <ns0:v>-32.23</ns0:v>
      </ns0:c>
      <ns0:c r="AY485" s="87" t="n">
        <ns0:v>-50.22</ns0:v>
      </ns0:c>
      <ns0:c r="AZ485" s="87" t="n">
        <ns0:v>5.29</ns0:v>
      </ns0:c>
      <ns0:c r="BA485" s="87" t="n">
        <ns0:v>3.23</ns0:v>
      </ns0:c>
      <ns0:c r="BB485" s="74" t="inlineStr">
        <ns0:is>
          <ns0:t>HSTECH (Hang Seng TECH ETF)</ns0:t>
        </ns0:is>
      </ns0:c>
      <ns0:c r="BC485" s="87" t="n">
        <ns0:v>-41.78</ns0:v>
      </ns0:c>
      <ns0:c r="BD485" s="75" t="n">
        <ns0:v>46297</ns0:v>
      </ns0:c>
      <ns0:c r="BE485" s="76" t="n">
        <ns0:v>486.1</ns0:v>
      </ns0:c>
      <ns0:c r="BF485" s="79" t="n">
        <ns0:v>-51.8</ns0:v>
      </ns0:c>
      <ns0:c r="BG485" s="74" t="inlineStr">
        <ns0:is>
          <ns0:t>N</ns0:t>
        </ns0:is>
      </ns0:c>
      <ns0:c r="BH485" s="74" t="inlineStr">
        <ns0:is>
          <ns0:t>n/m</ns0:t>
        </ns0:is>
      </ns0:c>
      <ns0:c r="BI485" s="88" t="n"/>
      <ns0:c r="BJ485" s="88" t="n"/>
      <ns0:c r="BK485" s="89" t="n">
        <ns0:v>20.4</ns0:v>
      </ns0:c>
      <ns0:c r="BL485" s="90">
        <ns0:f>IFERROR(IF('BBG Verify'!S485="","Awaiting Bloomberg",'BBG Verify'!S485),"Awaiting Bloomberg")</ns0:f>
        <ns0:v/>
      </ns0:c>
      <ns0:c r="BM485" s="91" t="inlineStr">
        <ns0:is>
          <ns0:t>N</ns0:t>
        </ns0:is>
      </ns0:c>
      <ns0:c r="BN485" s="92">
        <ns0:f>IFERROR(IF('BBG Verify'!K485="","Awaiting Bloomberg",'BBG Verify'!K485),"Awaiting Bloomberg")</ns0:f>
        <ns0:v/>
      </ns0:c>
      <ns0:c r="BO485" s="74" t="inlineStr">
        <ns0:is>
          <ns0:t>N/A</ns0:t>
        </ns0:is>
      </ns0:c>
      <ns0:c r="BP485" s="74" t="inlineStr">
        <ns0:is>
          <ns0:t>N/A</ns0:t>
        </ns0:is>
      </ns0:c>
      <ns0:c r="BQ485" s="74" t="inlineStr">
        <ns0:is>
          <ns0:t>N/A</ns0:t>
        </ns0:is>
      </ns0:c>
      <ns0:c r="BR485" s="74" t="inlineStr">
        <ns0:is>
          <ns0:t>N/A</ns0:t>
        </ns0:is>
      </ns0:c>
      <ns0:c r="BS485" s="74" t="inlineStr">
        <ns0:is>
          <ns0:t>N/A</ns0:t>
        </ns0:is>
      </ns0:c>
      <ns0:c r="BT485" s="74" t="inlineStr">
        <ns0:is>
          <ns0:t>N/A</ns0:t>
        </ns0:is>
      </ns0:c>
      <ns0:c r="BU485" s="91" t="inlineStr">
        <ns0:is>
          <ns0:t>China International Capital Corporation Hong Kong Securities Limited</ns0:t>
        </ns0:is>
      </ns0:c>
      <ns0:c r="BV485" s="74" t="inlineStr">
        <ns0:is>
          <ns0:t>China International Capital Corporation Hong Kong Securities Limited</ns0:t>
        </ns0:is>
      </ns0:c>
      <ns0:c r="BW485" s="74" t="inlineStr">
        <ns0:is>
          <ns0:t>Kong Securities Limited; CMB International Capital Limited; Soochow Securities International Brokerage Limited; BOCI Asia Limited; Futu Securities International (Hong Kong) Limited; Tiger Brokers (HK) Global Limited; Zheshang International Financial Holdings Co., Limited; ABCI Capital Limited; ABCI Securities Company Limited</ns0:t>
        </ns0:is>
      </ns0:c>
      <ns0:c r="BX485" s="74" t="inlineStr">
        <ns0:is>
          <ns0: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ns0:t>
        </ns0:is>
      </ns0:c>
      <ns0:c r="BY485" s="93">
        <ns0:f>HYPERLINK("https://www1.hkexnews.hk/listedco/listconews/sehk/2026/0615/2026061500013.pdf","prospectus")</ns0:f>
        <ns0:v/>
      </ns0:c>
      <ns0:c r="BZ485" s="93">
        <ns0:f>HYPERLINK("https://www1.hkexnews.hk/listedco/listconews/sehk/2026/0623/2026062302143.pdf","allotment")</ns0:f>
        <ns0:v/>
      </ns0:c>
      <ns0:c r="CA485" s="93">
        <ns0:f>HYPERLINK("https://www1.hkexnews.hk/listedco/listconews/sehk/2026/0719/2026071900001.pdf","stabilisation")</ns0:f>
        <ns0:v/>
      </ns0:c>
      <ns0:c r="CB485" s="94" t="n"/>
      <ns0:c r="CC485" s="74" t="inlineStr">
        <ns0:is>
          <ns0:t>P/E: loss-making at IPO, use P/S; greenshoe: outcome published; expiry date not in the notice; range low: maximum offer price only, no floor published; sponsor: English name not in the filing; AAStocks 保薦人 shown</ns0:t>
        </ns0:is>
      </ns0:c>
    </ns0:row>
    <ns0:row r="486" ht="22" customHeight="1">
      <ns0:c r="A486" s="73" t="inlineStr">
        <ns0:is>
          <ns0:t>2272</ns0:t>
        </ns0:is>
      </ns0:c>
      <ns0:c r="B486" s="74" t="inlineStr">
        <ns0:is>
          <ns0:t>KEYTOP PARKING</ns0:t>
        </ns0:is>
      </ns0:c>
      <ns0:c r="C486" s="74" t="inlineStr">
        <ns0:is>
          <ns0:t>科拓股份</ns0:t>
        </ns0:is>
      </ns0:c>
      <ns0:c r="D486" s="74" t="inlineStr">
        <ns0:is>
          <ns0:t>Technology</ns0:t>
        </ns0:is>
      </ns0:c>
      <ns0:c r="E486" s="74" t="inlineStr">
        <ns0:is>
          <ns0:t>Software &amp; AI</ns0:t>
        </ns0:is>
      </ns0:c>
      <ns0:c r="F486" s="74" t="inlineStr">
        <ns0:is>
          <ns0:t>Application Software</ns0:t>
        </ns0:is>
      </ns0:c>
      <ns0:c r="G486" s="74" t="inlineStr">
        <ns0:is>
          <ns0:t>Standard</ns0:t>
        </ns0:is>
      </ns0:c>
      <ns0:c r="H486" s="75" t="n">
        <ns0:v>46199</ns0:v>
      </ns0:c>
      <ns0:c r="I486" s="76" t="n">
        <ns0:v>399.9</ns0:v>
      </ns0:c>
      <ns0:c r="J486" s="74" t="inlineStr">
        <ns0:is>
          <ns0:t>gross (stated)</ns0:t>
        </ns0:is>
      </ns0:c>
      <ns0:c r="K486" s="95" t="n"/>
      <ns0:c r="L486" s="77" t="n">
        <ns0:v>39.55</ns0:v>
      </ns0:c>
      <ns0:c r="M486" s="77" t="n">
        <ns0:v>39.55</ns0:v>
      </ns0:c>
      <ns0:c r="N486" s="74" t="inlineStr">
        <ns0:is>
          <ns0:t>Y</ns0:t>
        </ns0:is>
      </ns0:c>
      <ns0:c r="O486" s="78" t="n">
        <ns0:v>100</ns0:v>
      </ns0:c>
      <ns0:c r="P486" s="84" t="n"/>
      <ns0:c r="Q486" s="79" t="n">
        <ns0:v>3999.4</ns0:v>
      </ns0:c>
      <ns0:c r="R486" s="74" t="inlineStr">
        <ns0:is>
          <ns0:t>derived:price x shares upon listing</ns0:t>
        </ns0:is>
      </ns0:c>
      <ns0:c r="S486" s="80" t="n">
        <ns0:v>2115.21</ns0:v>
      </ns0:c>
      <ns0:c r="T486" s="81" t="n">
        <ns0:v>5.56</ns0:v>
      </ns0:c>
      <ns0:c r="U486" s="82" t="n">
        <ns0:v>0</ns0:v>
      </ns0:c>
      <ns0:c r="V486" s="83" t="n">
        <ns0:v>106</ns0:v>
      </ns0:c>
      <ns0:c r="W486" s="78" t="n">
        <ns0:v>10</ns0:v>
      </ns0:c>
      <ns0:c r="X486" s="74" t="inlineStr">
        <ns0:is>
          <ns0:t>NA</ns0:t>
        </ns0:is>
      </ns0:c>
      <ns0:c r="Y486" s="79" t="n">
        <ns0:v>399.9</ns0:v>
      </ns0:c>
      <ns0:c r="Z486" s="79" t="n">
        <ns0:v>10112280</ns0:v>
      </ns0:c>
      <ns0:c r="AA486" s="78" t="n">
        <ns0:v>10</ns0:v>
      </ns0:c>
      <ns0:c r="AB486" s="74" t="inlineStr">
        <ns0:is>
          <ns0:t>none — no cornerstone tranche</ns0:t>
        </ns0:is>
      </ns0:c>
      <ns0:c r="AC486" s="74" t="inlineStr">
        <ns0:is>
          <ns0:t>none</ns0:t>
        </ns0:is>
      </ns0:c>
      <ns0:c r="AD486" s="78" t="n">
        <ns0:v>10</ns0:v>
      </ns0:c>
      <ns0:c r="AE486" s="85" t="n"/>
      <ns0:c r="AF486" s="85" t="n"/>
      <ns0:c r="AG486" s="74" t="inlineStr">
        <ns0:is>
          <ns0:t>China International Capital Corporation Hong Kong Securities Limited</ns0:t>
        </ns0:is>
      </ns0:c>
      <ns0:c r="AH486" s="74" t="inlineStr">
        <ns0:is>
          <ns0:t>China International</ns0:t>
        </ns0:is>
      </ns0:c>
      <ns0:c r="AI486" s="86" t="n">
        <ns0:v>203.16</ns0:v>
      </ns0:c>
      <ns0:c r="AJ486" s="87" t="n">
        <ns0:v>203.92</ns0:v>
      </ns0:c>
      <ns0:c r="AK486" s="87" t="n">
        <ns0:v>-3.46</ns0:v>
      </ns0:c>
      <ns0:c r="AL486" s="87" t="n">
        <ns0:v>178.38</ns0:v>
      </ns0:c>
      <ns0:c r="AM486" s="87" t="n">
        <ns0:v>9.17</ns0:v>
      </ns0:c>
      <ns0:c r="AN486" s="89" t="n">
        <ns0:v>2</ns0:v>
      </ns0:c>
      <ns0:c r="AO486" s="78" t="n">
        <ns0:v>11.53</ns0:v>
      </ns0:c>
      <ns0:c r="AP486" s="87" t="n">
        <ns0:v>199.87</ns0:v>
      </ns0:c>
      <ns0:c r="AQ486" s="87" t="n">
        <ns0:v>176.86</ns0:v>
      </ns0:c>
      <ns0:c r="AR486" s="87" t="n">
        <ns0:v>88.75</ns0:v>
      </ns0:c>
      <ns0:c r="AS486" s="87" t="n">
        <ns0:v>-1.33</ns0:v>
      </ns0:c>
      <ns0:c r="AT486" s="87" t="n">
        <ns0:v>-8.9</ns0:v>
      </ns0:c>
      <ns0:c r="AU486" s="87" t="n">
        <ns0:v>-37.89</ns0:v>
      </ns0:c>
      <ns0:c r="AV486" s="87" t="n">
        <ns0:v>196.96</ns0:v>
      </ns0:c>
      <ns0:c r="AW486" s="87" t="n">
        <ns0:v>169.61</ns0:v>
      </ns0:c>
      <ns0:c r="AX486" s="87" t="n">
        <ns0:v>90.09</ns0:v>
      </ns0:c>
      <ns0:c r="AY486" s="87" t="n">
        <ns0:v>-20</ns0:v>
      </ns0:c>
      <ns0:c r="AZ486" s="87" t="n">
        <ns0:v>7.25</ns0:v>
      </ns0:c>
      <ns0:c r="BA486" s="87" t="n">
        <ns0:v>11.1</ns0:v>
      </ns0:c>
      <ns0:c r="BB486" s="74" t="inlineStr">
        <ns0:is>
          <ns0:t>HSTECH (Hang Seng TECH ETF)</ns0:t>
        </ns0:is>
      </ns0:c>
      <ns0:c r="BC486" s="87" t="n">
        <ns0:v>42.35</ns0:v>
      </ns0:c>
      <ns0:c r="BD486" s="75" t="n">
        <ns0:v>46297</ns0:v>
      </ns0:c>
      <ns0:c r="BE486" s="76" t="n">
        <ns0:v>913.7</ns0:v>
      </ns0:c>
      <ns0:c r="BF486" s="79" t="n">
        <ns0:v>103</ns0:v>
      </ns0:c>
      <ns0:c r="BG486" s="74" t="inlineStr">
        <ns0:is>
          <ns0:t>Y</ns0:t>
        </ns0:is>
      </ns0:c>
      <ns0:c r="BH486" s="89" t="n">
        <ns0:v>38.8</ns0:v>
      </ns0:c>
      <ns0:c r="BI486" s="88" t="n"/>
      <ns0:c r="BJ486" s="88" t="n"/>
      <ns0:c r="BK486" s="89" t="n">
        <ns0:v>4.4</ns0:v>
      </ns0:c>
      <ns0:c r="BL486" s="90">
        <ns0:f>IFERROR(IF('BBG Verify'!S486="","Awaiting Bloomberg",'BBG Verify'!S486),"Awaiting Bloomberg")</ns0:f>
        <ns0:v/>
      </ns0:c>
      <ns0:c r="BM486" s="91" t="inlineStr">
        <ns0:is>
          <ns0:t>N</ns0:t>
        </ns0:is>
      </ns0:c>
      <ns0:c r="BN486" s="92">
        <ns0:f>IFERROR(IF('BBG Verify'!K486="","Awaiting Bloomberg",'BBG Verify'!K486),"Awaiting Bloomberg")</ns0:f>
        <ns0:v/>
      </ns0:c>
      <ns0:c r="BO486" s="74" t="inlineStr">
        <ns0:is>
          <ns0:t>N/A</ns0:t>
        </ns0:is>
      </ns0:c>
      <ns0:c r="BP486" s="74" t="inlineStr">
        <ns0:is>
          <ns0:t>N/A</ns0:t>
        </ns0:is>
      </ns0:c>
      <ns0:c r="BQ486" s="74" t="inlineStr">
        <ns0:is>
          <ns0:t>N/A</ns0:t>
        </ns0:is>
      </ns0:c>
      <ns0:c r="BR486" s="74" t="inlineStr">
        <ns0:is>
          <ns0:t>N/A</ns0:t>
        </ns0:is>
      </ns0:c>
      <ns0:c r="BS486" s="74" t="inlineStr">
        <ns0:is>
          <ns0:t>N/A</ns0:t>
        </ns0:is>
      </ns0:c>
      <ns0:c r="BT486" s="74" t="inlineStr">
        <ns0:is>
          <ns0:t>N/A</ns0:t>
        </ns0:is>
      </ns0:c>
      <ns0:c r="BU486" s="91" t="inlineStr">
        <ns0:is>
          <ns0:t>China International Capital Corporation Hong Kong Securities Limited; CMBC Securities Company Limited</ns0:t>
        </ns0:is>
      </ns0:c>
      <ns0:c r="BV486" s="74" t="inlineStr">
        <ns0:is>
          <ns0:t>China International Capital Corporation Hong Kong Securities Limited; CMBC International Capital Limited</ns0:t>
        </ns0:is>
      </ns0:c>
      <ns0:c r="BW486" s="74" t="inlineStr">
        <ns0:is>
          <ns0: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ns0:t>
        </ns0:is>
      </ns0:c>
      <ns0:c r="BX486" s="74" t="inlineStr">
        <ns0:is>
          <ns0: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ns0:t>
        </ns0:is>
      </ns0:c>
      <ns0:c r="BY486" s="93">
        <ns0:f>HYPERLINK("https://www1.hkexnews.hk/listedco/listconews/sehk/2026/0617/2026061700071.pdf","prospectus")</ns0:f>
        <ns0:v/>
      </ns0:c>
      <ns0:c r="BZ486" s="93">
        <ns0:f>HYPERLINK("https://www1.hkexnews.hk/listedco/listconews/sehk/2026/0625/2026062501916.pdf","allotment")</ns0:f>
        <ns0:v/>
      </ns0:c>
      <ns0:c r="CA486" s="85" t="n"/>
      <ns0:c r="CB486" s="94" t="n"/>
      <ns0:c r="CC486" s="74" t="inlineStr">
        <ns0:is>
          <ns0:t>greenshoe: end-of-stabilisation notice not found; range low: maximum offer price only, no floor published; cornerstone list: no cornerstone tranche</ns0:t>
        </ns0:is>
      </ns0:c>
    </ns0:row>
    <ns0:row r="487" ht="22" customHeight="1">
      <ns0:c r="A487" s="73" t="inlineStr">
        <ns0:is>
          <ns0:t>1956</ns0:t>
        </ns0:is>
      </ns0:c>
      <ns0:c r="B487" s="74" t="inlineStr">
        <ns0:is>
          <ns0:t>WENGE AI</ns0:t>
        </ns0:is>
      </ns0:c>
      <ns0:c r="C487" s="74" t="inlineStr">
        <ns0:is>
          <ns0:t>中科聞歌</ns0:t>
        </ns0:is>
      </ns0:c>
      <ns0:c r="D487" s="74" t="inlineStr">
        <ns0:is>
          <ns0:t>Technology</ns0:t>
        </ns0:is>
      </ns0:c>
      <ns0:c r="E487" s="74" t="inlineStr">
        <ns0:is>
          <ns0:t>Software &amp; AI</ns0:t>
        </ns0:is>
      </ns0:c>
      <ns0:c r="F487" s="74" t="inlineStr">
        <ns0:is>
          <ns0:t>Advanced hardware and software</ns0:t>
        </ns0:is>
      </ns0:c>
      <ns0:c r="G487" s="74" t="inlineStr">
        <ns0:is>
          <ns0:t>18C</ns0:t>
        </ns0:is>
      </ns0:c>
      <ns0:c r="H487" s="75" t="n">
        <ns0:v>46199</ns0:v>
      </ns0:c>
      <ns0:c r="I487" s="76" t="n">
        <ns0:v>900.5</ns0:v>
      </ns0:c>
      <ns0:c r="J487" s="74" t="inlineStr">
        <ns0:is>
          <ns0:t>gross (stated)</ns0:t>
        </ns0:is>
      </ns0:c>
      <ns0:c r="K487" s="95" t="n"/>
      <ns0:c r="L487" s="77" t="n">
        <ns0:v>60.7</ns0:v>
      </ns0:c>
      <ns0:c r="M487" s="77" t="n">
        <ns0:v>60.7</ns0:v>
      </ns0:c>
      <ns0:c r="N487" s="74" t="inlineStr">
        <ns0:is>
          <ns0:t>Y</ns0:t>
        </ns0:is>
      </ns0:c>
      <ns0:c r="O487" s="78" t="n">
        <ns0:v>100</ns0:v>
      </ns0:c>
      <ns0:c r="P487" s="84" t="n"/>
      <ns0:c r="Q487" s="79" t="n">
        <ns0:v>10507.6</ns0:v>
      </ns0:c>
      <ns0:c r="R487" s="74" t="inlineStr">
        <ns0:is>
          <ns0:t>derived:deal size / offer % of enlarged capital</ns0:t>
        </ns0:is>
      </ns0:c>
      <ns0:c r="S487" s="80" t="n">
        <ns0:v>5966.78</ns0:v>
      </ns0:c>
      <ns0:c r="T487" s="81" t="n">
        <ns0:v>20.7</ns0:v>
      </ns0:c>
      <ns0:c r="U487" s="82" t="n">
        <ns0:v>26.97</ns0:v>
      </ns0:c>
      <ns0:c r="V487" s="83" t="n">
        <ns0:v>147</ns0:v>
      </ns0:c>
      <ns0:c r="W487" s="78" t="n">
        <ns0:v>20</ns0:v>
      </ns0:c>
      <ns0:c r="X487" s="74" t="inlineStr">
        <ns0:is>
          <ns0:t>YES</ns0:t>
        </ns0:is>
      </ns0:c>
      <ns0:c r="Y487" s="79" t="n">
        <ns0:v>657.64</ns0:v>
      </ns0:c>
      <ns0:c r="Z487" s="79" t="n">
        <ns0:v>10833708</ns0:v>
      </ns0:c>
      <ns0:c r="AA487" s="78" t="n">
        <ns0:v>6.26</ns0:v>
      </ns0:c>
      <ns0:c r="AB487" s="74" t="inlineStr">
        <ns0:is>
          <ns0:t>China Orient Enhanced Income Fund; Harvest Global Investments Limited; First Seafront Asset Management Limited; Guohui (HK) Holdings Co., Limited 控股有限公司; Huatai Capital Investment Limited; CMBC International Investment (HK) Limited ࠢ ʮ̡</ns0:t>
        </ns0:is>
      </ns0:c>
      <ns0:c r="AC487" s="74" t="inlineStr">
        <ns0:is>
          <ns0:t>orient;harvest;first-seafront;guohui;huatai;cmbc</ns0:t>
        </ns0:is>
      </ns0:c>
      <ns0:c r="AD487" s="78" t="n">
        <ns0:v>20</ns0:v>
      </ns0:c>
      <ns0:c r="AE487" s="74" t="inlineStr">
        <ns0:is>
          <ns0:t>partial</ns0:t>
        </ns0:is>
      </ns0:c>
      <ns0:c r="AF487" s="74" t="inlineStr">
        <ns0:is>
          <ns0:t>2026-07-23</ns0:t>
        </ns0:is>
      </ns0:c>
      <ns0:c r="AG487" s="74" t="inlineStr">
        <ns0:is>
          <ns0:t>China International Capital Corporation Hong Kong Securities Limited</ns0:t>
        </ns0:is>
      </ns0:c>
      <ns0:c r="AH487" s="74" t="inlineStr">
        <ns0:is>
          <ns0:t>China International</ns0:t>
        </ns0:is>
      </ns0:c>
      <ns0:c r="AI487" s="86" t="n">
        <ns0:v>90.12</ns0:v>
      </ns0:c>
      <ns0:c r="AJ487" s="87" t="n">
        <ns0:v>84.02</ns0:v>
      </ns0:c>
      <ns0:c r="AK487" s="87" t="n">
        <ns0:v>-3.46</ns0:v>
      </ns0:c>
      <ns0:c r="AL487" s="87" t="n">
        <ns0:v>81.22</ns0:v>
      </ns0:c>
      <ns0:c r="AM487" s="87" t="n">
        <ns0:v>1.55</ns0:v>
      </ns0:c>
      <ns0:c r="AN487" s="89" t="n">
        <ns0:v>2.13</ns0:v>
      </ns0:c>
      <ns0:c r="AO487" s="78" t="n">
        <ns0:v>18.18</ns0:v>
      </ns0:c>
      <ns0:c r="AP487" s="87" t="n">
        <ns0:v>30.07</ns0:v>
      </ns0:c>
      <ns0:c r="AQ487" s="87" t="n">
        <ns0:v>0.99</ns0:v>
      </ns0:c>
      <ns0:c r="AR487" s="87" t="n">
        <ns0:v>17.05</ns0:v>
      </ns0:c>
      <ns0:c r="AS487" s="87" t="n">
        <ns0:v>-29.32</ns0:v>
      </ns0:c>
      <ns0:c r="AT487" s="87" t="n">
        <ns0:v>-45.12</ns0:v>
      </ns0:c>
      <ns0:c r="AU487" s="87" t="n">
        <ns0:v>-36.39</ns0:v>
      </ns0:c>
      <ns0:c r="AV487" s="87" t="n">
        <ns0:v>27.16</ns0:v>
      </ns0:c>
      <ns0:c r="AW487" s="87" t="n">
        <ns0:v>-6.26</ns0:v>
      </ns0:c>
      <ns0:c r="AX487" s="87" t="n">
        <ns0:v>18.39</ns0:v>
      </ns0:c>
      <ns0:c r="AY487" s="87" t="n">
        <ns0:v>-56.22</ns0:v>
      </ns0:c>
      <ns0:c r="AZ487" s="87" t="n">
        <ns0:v>7.25</ns0:v>
      </ns0:c>
      <ns0:c r="BA487" s="87" t="n">
        <ns0:v>11.1</ns0:v>
      </ns0:c>
      <ns0:c r="BB487" s="74" t="inlineStr">
        <ns0:is>
          <ns0:t>HSTECH (Hang Seng TECH ETF)</ns0:t>
        </ns0:is>
      </ns0:c>
      <ns0:c r="BC487" s="87" t="n">
        <ns0:v>12.93</ns0:v>
      </ns0:c>
      <ns0:c r="BD487" s="75" t="n">
        <ns0:v>46297</ns0:v>
      </ns0:c>
      <ns0:c r="BE487" s="76" t="n">
        <ns0:v>445.8</ns0:v>
      </ns0:c>
      <ns0:c r="BF487" s="79" t="n">
        <ns0:v>-172.8</ns0:v>
      </ns0:c>
      <ns0:c r="BG487" s="74" t="inlineStr">
        <ns0:is>
          <ns0:t>N</ns0:t>
        </ns0:is>
      </ns0:c>
      <ns0:c r="BH487" s="74" t="inlineStr">
        <ns0:is>
          <ns0:t>n/m</ns0:t>
        </ns0:is>
      </ns0:c>
      <ns0:c r="BI487" s="88" t="n"/>
      <ns0:c r="BJ487" s="88" t="n"/>
      <ns0:c r="BK487" s="89" t="n">
        <ns0:v>23.6</ns0:v>
      </ns0:c>
      <ns0:c r="BL487" s="90">
        <ns0:f>IFERROR(IF('BBG Verify'!S487="","Awaiting Bloomberg",'BBG Verify'!S487),"Awaiting Bloomberg")</ns0:f>
        <ns0:v/>
      </ns0:c>
      <ns0:c r="BM487" s="91" t="inlineStr">
        <ns0:is>
          <ns0:t>N</ns0:t>
        </ns0:is>
      </ns0:c>
      <ns0:c r="BN487" s="92">
        <ns0:f>IFERROR(IF('BBG Verify'!K487="","Awaiting Bloomberg",'BBG Verify'!K487),"Awaiting Bloomberg")</ns0:f>
        <ns0:v/>
      </ns0:c>
      <ns0:c r="BO487" s="74" t="inlineStr">
        <ns0:is>
          <ns0:t>N/A</ns0:t>
        </ns0:is>
      </ns0:c>
      <ns0:c r="BP487" s="74" t="inlineStr">
        <ns0:is>
          <ns0:t>N/A</ns0:t>
        </ns0:is>
      </ns0:c>
      <ns0:c r="BQ487" s="74" t="inlineStr">
        <ns0:is>
          <ns0:t>N/A</ns0:t>
        </ns0:is>
      </ns0:c>
      <ns0:c r="BR487" s="74" t="inlineStr">
        <ns0:is>
          <ns0:t>N/A</ns0:t>
        </ns0:is>
      </ns0:c>
      <ns0:c r="BS487" s="74" t="inlineStr">
        <ns0:is>
          <ns0:t>N/A</ns0:t>
        </ns0:is>
      </ns0:c>
      <ns0:c r="BT487" s="74" t="inlineStr">
        <ns0:is>
          <ns0:t>N/A</ns0:t>
        </ns0:is>
      </ns0:c>
      <ns0:c r="BU487" s="91" t="inlineStr">
        <ns0:is>
          <ns0:t>China International Capital Corporation Hong Kong Securities Limited</ns0:t>
        </ns0:is>
      </ns0:c>
      <ns0:c r="BV487" s="74" t="inlineStr">
        <ns0:is>
          <ns0:t>China International Capital Corporation Hong Kong Securities Limited</ns0:t>
        </ns0:is>
      </ns0:c>
      <ns0:c r="BW487" s="74" t="inlineStr">
        <ns0:is>
          <ns0: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ns0:t>
        </ns0:is>
      </ns0:c>
      <ns0:c r="BX487" s="74" t="inlineStr">
        <ns0:is>
          <ns0: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ns0:t>
        </ns0:is>
      </ns0:c>
      <ns0:c r="BY487" s="93">
        <ns0:f>HYPERLINK("https://www1.hkexnews.hk/listedco/listconews/sehk/2026/0617/2026061700025.pdf","prospectus")</ns0:f>
        <ns0:v/>
      </ns0:c>
      <ns0:c r="BZ487" s="93">
        <ns0:f>HYPERLINK("https://www1.hkexnews.hk/listedco/listconews/sehk/2026/0625/2026062501938.pdf","allotment")</ns0:f>
        <ns0:v/>
      </ns0:c>
      <ns0:c r="CA487" s="93">
        <ns0:f>HYPERLINK("https://www1.hkexnews.hk/listedco/listconews/sehk/2026/0724/2026072401850.pdf","stabilisation")</ns0:f>
        <ns0:v/>
      </ns0:c>
      <ns0:c r="CB487" s="94" t="n"/>
      <ns0:c r="CC487" s="74" t="inlineStr">
        <ns0:is>
          <ns0:t>P/E: loss-making at IPO, use P/S; range low: maximum offer price only, no floor published; A/H: no A-share listing; nearest A proxy TRS Information Technology (300229.SZ); sponsor: English name not in the filing; AAStocks 保薦人 shown</ns0:t>
        </ns0:is>
      </ns0:c>
    </ns0:row>
    <ns0:row r="488" ht="22" customHeight="1">
      <ns0:c r="A488" s="73" t="inlineStr">
        <ns0:is>
          <ns0:t>3661</ns0:t>
        </ns0:is>
      </ns0:c>
      <ns0:c r="B488" s="74" t="inlineStr">
        <ns0:is>
          <ns0:t>SG MICRO</ns0:t>
        </ns0:is>
      </ns0:c>
      <ns0:c r="C488" s="74" t="inlineStr">
        <ns0:is>
          <ns0:t>聖邦股份</ns0:t>
        </ns0:is>
      </ns0:c>
      <ns0:c r="D488" s="74" t="inlineStr">
        <ns0:is>
          <ns0:t>Technology</ns0:t>
        </ns0:is>
      </ns0:c>
      <ns0:c r="E488" s="74" t="inlineStr">
        <ns0:is>
          <ns0:t>Semiconductors</ns0:t>
        </ns0:is>
      </ns0:c>
      <ns0:c r="F488" s="74" t="inlineStr">
        <ns0:is>
          <ns0:t>Semiconductors &amp; Semiconductor Equipment</ns0:t>
        </ns0:is>
      </ns0:c>
      <ns0:c r="G488" s="74" t="inlineStr">
        <ns0:is>
          <ns0:t>Standard</ns0:t>
        </ns0:is>
      </ns0:c>
      <ns0:c r="H488" s="75" t="n">
        <ns0:v>46199</ns0:v>
      </ns0:c>
      <ns0:c r="I488" s="76" t="n">
        <ns0:v>4600.9</ns0:v>
      </ns0:c>
      <ns0:c r="J488" s="74" t="inlineStr">
        <ns0:is>
          <ns0:t>gross (stated)</ns0:t>
        </ns0:is>
      </ns0:c>
      <ns0:c r="K488" s="95" t="n"/>
      <ns0:c r="L488" s="77" t="n">
        <ns0:v>85.2</ns0:v>
      </ns0:c>
      <ns0:c r="M488" s="77" t="n">
        <ns0:v>85.2</ns0:v>
      </ns0:c>
      <ns0:c r="N488" s="74" t="inlineStr">
        <ns0:is>
          <ns0:t>Y</ns0:t>
        </ns0:is>
      </ns0:c>
      <ns0:c r="O488" s="78" t="n">
        <ns0:v>100</ns0:v>
      </ns0:c>
      <ns0:c r="P488" s="84" t="n"/>
      <ns0:c r="Q488" s="79" t="n">
        <ns0:v>57511.3</ns0:v>
      </ns0:c>
      <ns0:c r="R488" s="74" t="inlineStr">
        <ns0:is>
          <ns0:t>derived:price x shares upon listing</ns0:t>
        </ns0:is>
      </ns0:c>
      <ns0:c r="S488" s="80" t="n">
        <ns0:v>251.73</ns0:v>
      </ns0:c>
      <ns0:c r="T488" s="81" t="n">
        <ns0:v>23.5</ns0:v>
      </ns0:c>
      <ns0:c r="U488" s="82" t="n">
        <ns0:v>49.89</ns0:v>
      </ns0:c>
      <ns0:c r="V488" s="83" t="n">
        <ns0:v>233</ns0:v>
      </ns0:c>
      <ns0:c r="W488" s="78" t="n">
        <ns0:v>10</ns0:v>
      </ns0:c>
      <ns0:c r="X488" s="74" t="inlineStr">
        <ns0:is>
          <ns0:t>NA</ns0:t>
        </ns0:is>
      </ns0:c>
      <ns0:c r="Y488" s="79" t="n">
        <ns0:v>2305.51</ns0:v>
      </ns0:c>
      <ns0:c r="Z488" s="79" t="n">
        <ns0:v>27060001</ns0:v>
      </ns0:c>
      <ns0:c r="AA488" s="78" t="n">
        <ns0:v>4.01</ns0:v>
      </ns0:c>
      <ns0:c r="AB488" s="74" t="inlineStr">
        <ns0:is>
          <ns0:t>GIC Private Limited; JPMorgan Asset Management (Asia Pacific) Limited; CPE Ginkgo Investment Limited; Da Cheng International Asset Management Company Limited; Dajia Life Insurance Co., Ltd; Dymon Asia Multi-Strategy Investment Master Fund; First Sentier Investors (Hong Kong) Limited; GF Fund Management Co., Ltd; GF International Investment Management Limited; 4 Golden Continent Global Vision Open- ended Fund Company- Value Opportunity Fund N0.2; Harvest Global Investments Limited; HHLR Advisors, Ltd; HHLRA (as the investment manager of an SMA managed for CPP Investments); Huadeng Tech Ace Investment Ltd; HQ TELECOM SINGAPORE PTE. LTD; Sungrow Power (Hong Kong) Co., Limited; ICBC Wealth Management Co., Ltd; LMR Multi-Strategy Master Fund Limited; Millennium Capital Management (Singapore) Pte. Ltd; Ninety One Asia Pte. Limited; Ocean Fine Industrial Limited; 5 PSBC Wealth Management Co., Ltd; Taikang Life Insurance Co., Ltd; Value Partners Hong Kong Limited</ns0:t>
        </ns0:is>
      </ns0:c>
      <ns0:c r="AC488" s="74" t="inlineStr">
        <ns0:is>
          <ns0:t>gic;jpmorgan;cpe;da;dajia;dymon;first-sentier;gf;golden-continent;harvest;hhlr;hhlra;huadeng;hq;sungrow;icbc;lmr;millennium;ninety;ocean;psbc;taikang;value</ns0:t>
        </ns0:is>
      </ns0:c>
      <ns0:c r="AD488" s="78" t="n">
        <ns0:v>15</ns0:v>
      </ns0:c>
      <ns0:c r="AE488" s="74" t="inlineStr">
        <ns0:is>
          <ns0:t>full</ns0:t>
        </ns0:is>
      </ns0:c>
      <ns0:c r="AF488" s="74" t="inlineStr">
        <ns0:is>
          <ns0:t>2026-07-23</ns0:t>
        </ns0:is>
      </ns0:c>
      <ns0:c r="AG488" s="74" t="inlineStr">
        <ns0:is>
          <ns0:t>China International Capital Corporation Hong Kong Securities Limited</ns0:t>
        </ns0:is>
      </ns0:c>
      <ns0:c r="AH488" s="74" t="inlineStr">
        <ns0:is>
          <ns0:t>China International</ns0:t>
        </ns0:is>
      </ns0:c>
      <ns0:c r="AI488" s="86" t="n">
        <ns0:v>30.28</ns0:v>
      </ns0:c>
      <ns0:c r="AJ488" s="87" t="n">
        <ns0:v>47.07</ns0:v>
      </ns0:c>
      <ns0:c r="AK488" s="87" t="n">
        <ns0:v>-3.46</ns0:v>
      </ns0:c>
      <ns0:c r="AL488" s="87" t="n">
        <ns0:v>23.36</ns0:v>
      </ns0:c>
      <ns0:c r="AM488" s="87" t="n">
        <ns0:v>19.22</ns0:v>
      </ns0:c>
      <ns0:c r="AN488" s="89" t="n">
        <ns0:v>3.69</ns0:v>
      </ns0:c>
      <ns0:c r="AO488" s="78" t="n">
        <ns0:v>28.83</ns0:v>
      </ns0:c>
      <ns0:c r="AP488" s="87" t="n">
        <ns0:v>37.91</ns0:v>
      </ns0:c>
      <ns0:c r="AQ488" s="87" t="n">
        <ns0:v>4.93</ns0:v>
      </ns0:c>
      <ns0:c r="AR488" s="87" t="n">
        <ns0:v>7.81</ns0:v>
      </ns0:c>
      <ns0:c r="AS488" s="87" t="n">
        <ns0:v>-6.23</ns0:v>
      </ns0:c>
      <ns0:c r="AT488" s="87" t="n">
        <ns0:v>-28.65</ns0:v>
      </ns0:c>
      <ns0:c r="AU488" s="87" t="n">
        <ns0:v>-26.69</ns0:v>
      </ns0:c>
      <ns0:c r="AV488" s="87" t="n">
        <ns0:v>35</ns0:v>
      </ns0:c>
      <ns0:c r="AW488" s="87" t="n">
        <ns0:v>-2.32</ns0:v>
      </ns0:c>
      <ns0:c r="AX488" s="87" t="n">
        <ns0:v>9.15</ns0:v>
      </ns0:c>
      <ns0:c r="AY488" s="87" t="n">
        <ns0:v>-39.75</ns0:v>
      </ns0:c>
      <ns0:c r="AZ488" s="87" t="n">
        <ns0:v>7.25</ns0:v>
      </ns0:c>
      <ns0:c r="BA488" s="87" t="n">
        <ns0:v>11.1</ns0:v>
      </ns0:c>
      <ns0:c r="BB488" s="74" t="inlineStr">
        <ns0:is>
          <ns0:t>HSTECH (Hang Seng TECH ETF)</ns0:t>
        </ns0:is>
      </ns0:c>
      <ns0:c r="BC488" s="87" t="n">
        <ns0:v>-1.58</ns0:v>
      </ns0:c>
      <ns0:c r="BD488" s="75" t="n">
        <ns0:v>46297</ns0:v>
      </ns0:c>
      <ns0:c r="BE488" s="76" t="n">
        <ns0:v>4287.9</ns0:v>
      </ns0:c>
      <ns0:c r="BF488" s="79" t="n">
        <ns0:v>587.8</ns0:v>
      </ns0:c>
      <ns0:c r="BG488" s="74" t="inlineStr">
        <ns0:is>
          <ns0:t>Y</ns0:t>
        </ns0:is>
      </ns0:c>
      <ns0:c r="BH488" s="89" t="n">
        <ns0:v>97.8</ns0:v>
      </ns0:c>
      <ns0:c r="BI488" s="89" t="n">
        <ns0:v>122.6</ns0:v>
      </ns0:c>
      <ns0:c r="BJ488" s="89" t="n">
        <ns0:v>102.3</ns0:v>
      </ns0:c>
      <ns0:c r="BK488" s="89" t="n">
        <ns0:v>13.4</ns0:v>
      </ns0:c>
      <ns0:c r="BL488" s="90">
        <ns0:f>IFERROR(IF('BBG Verify'!S488="","Awaiting Bloomberg",'BBG Verify'!S488),"Awaiting Bloomberg")</ns0:f>
        <ns0:v/>
      </ns0:c>
      <ns0:c r="BM488" s="91" t="inlineStr">
        <ns0:is>
          <ns0:t>Y</ns0:t>
        </ns0:is>
      </ns0:c>
      <ns0:c r="BN488" s="74" t="inlineStr">
        <ns0:is>
          <ns0:t>300661.SZ</ns0:t>
        </ns0:is>
      </ns0:c>
      <ns0:c r="BO488" s="87" t="n">
        <ns0:v>87.31999999999999</ns0:v>
      </ns0:c>
      <ns0:c r="BP488" s="77" t="n">
        <ns0:v>159.5961</ns0:v>
      </ns0:c>
      <ns0:c r="BQ488" s="101" t="n">
        <ns0:v>0.5382</ns0:v>
      </ns0:c>
      <ns0:c r="BR488" s="79" t="n">
        <ns0:v>88516.60000000001</ns0:v>
      </ns0:c>
      <ns0:c r="BS488" s="90">
        <ns0:f>IFERROR(IF('BBG Verify'!Q488="","Awaiting Bloomberg",'BBG Verify'!Q488),"Awaiting Bloomberg")</ns0:f>
        <ns0:v/>
      </ns0:c>
      <ns0:c r="BT488" s="90">
        <ns0:f>IFERROR(IF('BBG Verify'!R488="","Awaiting Bloomberg",'BBG Verify'!R488),"Awaiting Bloomberg")</ns0:f>
        <ns0:v/>
      </ns0:c>
      <ns0:c r="BU488" s="91" t="inlineStr">
        <ns0:is>
          <ns0:t>Huatai Financial Holdings (Hong Kong) Limited</ns0:t>
        </ns0:is>
      </ns0:c>
      <ns0:c r="BV488" s="74" t="inlineStr">
        <ns0:is>
          <ns0:t>China International Capital Corporation Hong Kong Securities Limited; Huatai Financial Holdings (Hong Kong) Limited</ns0:t>
        </ns0:is>
      </ns0:c>
      <ns0:c r="BW488" s="74" t="inlineStr">
        <ns0:is>
          <ns0:t>China International Capital Corporation Hong Kong Securities Limited; Huatai Financial Holdings (Hong Kong) Limited</ns0:t>
        </ns0:is>
      </ns0:c>
      <ns0:c r="BX488" s="74" t="inlineStr">
        <ns0:is>
          <ns0:t>China International Capital Corporation Hong Kong Securities Limited; Huatai Financial Holdings (Hong Kong) Limited</ns0:t>
        </ns0:is>
      </ns0:c>
      <ns0:c r="BY488" s="93">
        <ns0:f>HYPERLINK("https://www1.hkexnews.hk/listedco/listconews/sehk/2026/0617/2026061700162.htm","prospectus")</ns0:f>
        <ns0:v/>
      </ns0:c>
      <ns0:c r="BZ488" s="93">
        <ns0:f>HYPERLINK("https://www1.hkexnews.hk/listedco/listconews/sehk/2026/0625/2026062502076.pdf","allotment")</ns0:f>
        <ns0:v/>
      </ns0:c>
      <ns0:c r="CA488" s="93">
        <ns0:f>HYPERLINK("https://www1.hkexnews.hk/listedco/listconews/sehk/2026/0723/2026072301288.pdf","stabilisation")</ns0:f>
        <ns0:v/>
      </ns0:c>
      <ns0:c r="CB488" s="94" t="n"/>
      <ns0:c r="CC488" s="74" t="inlineStr">
        <ns0:is>
          <ns0:t>price range: fixed-price offering (no indicative range); range low: maximum offer price only, no floor published; A/H: Jun 2026 H listing (analog chips)</ns0:t>
        </ns0:is>
      </ns0:c>
    </ns0:row>
    <ns0:row r="489" ht="22" customHeight="1">
      <ns0:c r="A489" s="73" t="inlineStr">
        <ns0:is>
          <ns0:t>1688</ns0:t>
        </ns0:is>
      </ns0:c>
      <ns0:c r="B489" s="74" t="inlineStr">
        <ns0:is>
          <ns0:t>LINGYI ITECH</ns0:t>
        </ns0:is>
      </ns0:c>
      <ns0:c r="C489" s="74" t="inlineStr">
        <ns0:is>
          <ns0:t>領益智造</ns0:t>
        </ns0:is>
      </ns0:c>
      <ns0:c r="D489" s="74" t="inlineStr">
        <ns0:is>
          <ns0:t>Technology</ns0:t>
        </ns0:is>
      </ns0:c>
      <ns0:c r="E489" s="74" t="inlineStr">
        <ns0:is>
          <ns0:t>Hardware &amp; electronics</ns0:t>
        </ns0:is>
      </ns0:c>
      <ns0:c r="F489" s="74" t="inlineStr">
        <ns0:is>
          <ns0:t>Electrical Components &amp; Equipment</ns0:t>
        </ns0:is>
      </ns0:c>
      <ns0:c r="G489" s="74" t="inlineStr">
        <ns0:is>
          <ns0:t>Standard</ns0:t>
        </ns0:is>
      </ns0:c>
      <ns0:c r="H489" s="75" t="n">
        <ns0:v>46199</ns0:v>
      </ns0:c>
      <ns0:c r="I489" s="76" t="n">
        <ns0:v>8264.200000000001</ns0:v>
      </ns0:c>
      <ns0:c r="J489" s="74" t="inlineStr">
        <ns0:is>
          <ns0:t>gross (stated)</ns0:t>
        </ns0:is>
      </ns0:c>
      <ns0:c r="K489" s="95" t="n"/>
      <ns0:c r="L489" s="77" t="n">
        <ns0:v>10.18</ns0:v>
      </ns0:c>
      <ns0:c r="M489" s="77" t="n">
        <ns0:v>10.18</ns0:v>
      </ns0:c>
      <ns0:c r="N489" s="74" t="inlineStr">
        <ns0:is>
          <ns0:t>Y</ns0:t>
        </ns0:is>
      </ns0:c>
      <ns0:c r="O489" s="78" t="n">
        <ns0:v>100</ns0:v>
      </ns0:c>
      <ns0:c r="P489" s="84" t="n"/>
      <ns0:c r="Q489" s="79" t="n">
        <ns0:v>82661.7</ns0:v>
      </ns0:c>
      <ns0:c r="R489" s="74" t="inlineStr">
        <ns0:is>
          <ns0:t>derived:price x shares upon listing</ns0:t>
        </ns0:is>
      </ns0:c>
      <ns0:c r="S489" s="80" t="n">
        <ns0:v>96.16</ns0:v>
      </ns0:c>
      <ns0:c r="T489" s="81" t="n">
        <ns0:v>10.27</ns0:v>
      </ns0:c>
      <ns0:c r="U489" s="82" t="n">
        <ns0:v>38.59</ns0:v>
      </ns0:c>
      <ns0:c r="V489" s="100" t="n"/>
      <ns0:c r="W489" s="78" t="n">
        <ns0:v>10</ns0:v>
      </ns0:c>
      <ns0:c r="X489" s="74" t="inlineStr">
        <ns0:is>
          <ns0:t>NA</ns0:t>
        </ns0:is>
      </ns0:c>
      <ns0:c r="Y489" s="79" t="n">
        <ns0:v>5075.05</ns0:v>
      </ns0:c>
      <ns0:c r="Z489" s="79" t="n">
        <ns0:v>498533676</ns0:v>
      </ns0:c>
      <ns0:c r="AA489" s="78" t="n">
        <ns0:v>6.14</ns0:v>
      </ns0:c>
      <ns0:c r="AB489" s="74" t="inlineStr">
        <ns0:is>
          <ns0:t>GF Fund Management Co., Ltd; GF International Investment Management Limited; Kaide Global Investment Ltd; Qube Master Fund Ltd, acting by its sub-investment manager Qube Research &amp; Technologies Hong Kong Limited; Ti-Capital (HK) Pioneer Fund III and Ti-Capital (HK) Pioneer Fund IV (collectively, Ti-Capital Funds ); Value Partners Hong Kong Limited; Hongxing International Technology Limited ࠢ ʮ̡; Morgan Stanley &amp; Co. International plc; Greenwoods Asset Management Hong Kong Limited, as the investment manager of Golden China Master Fund; 3W Fund Management Limited; Deliante Holdings Co., Ltd; Sunny Optical Capital Limited ʮ̡; Honor Information Technology Co., Limited ࢹڦ ʮ̡; Jain Global Master Fund Ltd, acting through its investment manager Jain Global LLC; Seven Grand Managers, LLC; Taikang Life Insurance Co., Ltd; Da Cheng International Asset Management Company Limited; Everbright Wealth Management Co., Ltd. ࠢ ப΂ʮ̡; GRANITE ASIA IX VCC (for the account of and on behalf of GX ACCESS, GRANITE ASIA ); Verition Multi-Strategy Master Fund Ltd., managed by Verition Fund Management LLC</ns0:t>
        </ns0:is>
      </ns0:c>
      <ns0:c r="AC489" s="74" t="inlineStr">
        <ns0:is>
          <ns0:t>gf;kaide;qube;ti;value;hongxing;morgan;greenwoods;3w;deliante;sunny;honor;jain;seven;taikang;da;everbright;granite;verition</ns0:t>
        </ns0:is>
      </ns0:c>
      <ns0:c r="AD489" s="78" t="n">
        <ns0:v>15</ns0:v>
      </ns0:c>
      <ns0:c r="AE489" s="85" t="n"/>
      <ns0:c r="AF489" s="85" t="n"/>
      <ns0:c r="AG489" s="85" t="n"/>
      <ns0:c r="AH489" s="85" t="n"/>
      <ns0:c r="AI489" s="86" t="n">
        <ns0:v>21.32</ns0:v>
      </ns0:c>
      <ns0:c r="AJ489" s="87" t="n">
        <ns0:v>-4.62</ns0:v>
      </ns0:c>
      <ns0:c r="AK489" s="87" t="n">
        <ns0:v>-3.46</ns0:v>
      </ns0:c>
      <ns0:c r="AL489" s="87" t="n">
        <ns0:v>6.09</ns0:v>
      </ns0:c>
      <ns0:c r="AM489" s="87" t="n">
        <ns0:v>-10.1</ns0:v>
      </ns0:c>
      <ns0:c r="AN489" s="89" t="n">
        <ns0:v>2.37</ns0:v>
      </ns0:c>
      <ns0:c r="AO489" s="78" t="n">
        <ns0:v>21.85</ns0:v>
      </ns0:c>
      <ns0:c r="AP489" s="87" t="n">
        <ns0:v>-5.11</ns0:v>
      </ns0:c>
      <ns0:c r="AQ489" s="87" t="n">
        <ns0:v>-37.23</ns0:v>
      </ns0:c>
      <ns0:c r="AR489" s="87" t="n">
        <ns0:v>-42.88</ns0:v>
      </ns0:c>
      <ns0:c r="AS489" s="87" t="n">
        <ns0:v>-0.51</ns0:v>
      </ns0:c>
      <ns0:c r="AT489" s="87" t="n">
        <ns0:v>-34.19</ns0:v>
      </ns0:c>
      <ns0:c r="AU489" s="87" t="n">
        <ns0:v>-40.11</ns0:v>
      </ns0:c>
      <ns0:c r="AV489" s="87" t="n">
        <ns0:v>-8.02</ns0:v>
      </ns0:c>
      <ns0:c r="AW489" s="87" t="n">
        <ns0:v>-44.48</ns0:v>
      </ns0:c>
      <ns0:c r="AX489" s="87" t="n">
        <ns0:v>-41.54</ns0:v>
      </ns0:c>
      <ns0:c r="AY489" s="87" t="n">
        <ns0:v>-45.29</ns0:v>
      </ns0:c>
      <ns0:c r="AZ489" s="87" t="n">
        <ns0:v>7.25</ns0:v>
      </ns0:c>
      <ns0:c r="BA489" s="87" t="n">
        <ns0:v>11.1</ns0:v>
      </ns0:c>
      <ns0:c r="BB489" s="74" t="inlineStr">
        <ns0:is>
          <ns0:t>HSTECH (Hang Seng TECH ETF)</ns0:t>
        </ns0:is>
      </ns0:c>
      <ns0:c r="BC489" s="87" t="n">
        <ns0:v>-46.27</ns0:v>
      </ns0:c>
      <ns0:c r="BD489" s="75" t="n">
        <ns0:v>46297</ns0:v>
      </ns0:c>
      <ns0:c r="BE489" s="76" t="n">
        <ns0:v>56571.8</ns0:v>
      </ns0:c>
      <ns0:c r="BF489" s="79" t="n">
        <ns0:v>2559.5</ns0:v>
      </ns0:c>
      <ns0:c r="BG489" s="74" t="inlineStr">
        <ns0:is>
          <ns0:t>Y</ns0:t>
        </ns0:is>
      </ns0:c>
      <ns0:c r="BH489" s="89" t="n">
        <ns0:v>32.3</ns0:v>
      </ns0:c>
      <ns0:c r="BI489" s="89" t="n">
        <ns0:v>28.8</ns0:v>
      </ns0:c>
      <ns0:c r="BJ489" s="89" t="n">
        <ns0:v>19.6</ns0:v>
      </ns0:c>
      <ns0:c r="BK489" s="89" t="n">
        <ns0:v>1.5</ns0:v>
      </ns0:c>
      <ns0:c r="BL489" s="90">
        <ns0:f>IFERROR(IF('BBG Verify'!S489="","Awaiting Bloomberg",'BBG Verify'!S489),"Awaiting Bloomberg")</ns0:f>
        <ns0:v/>
      </ns0:c>
      <ns0:c r="BM489" s="91" t="inlineStr">
        <ns0:is>
          <ns0:t>Y</ns0:t>
        </ns0:is>
      </ns0:c>
      <ns0:c r="BN489" s="74" t="inlineStr">
        <ns0:is>
          <ns0:t>002600.SZ</ns0:t>
        </ns0:is>
      </ns0:c>
      <ns0:c r="BO489" s="87" t="n">
        <ns0:v>102.71</ns0:v>
      </ns0:c>
      <ns0:c r="BP489" s="77" t="n">
        <ns0:v>20.6362</ns0:v>
      </ns0:c>
      <ns0:c r="BQ489" s="101" t="n">
        <ns0:v>1.5413</ns0:v>
      </ns0:c>
      <ns0:c r="BR489" s="79" t="n">
        <ns0:v>112937.4</ns0:v>
      </ns0:c>
      <ns0:c r="BS489" s="90">
        <ns0:f>IFERROR(IF('BBG Verify'!Q489="","Awaiting Bloomberg",'BBG Verify'!Q489),"Awaiting Bloomberg")</ns0:f>
        <ns0:v/>
      </ns0:c>
      <ns0:c r="BT489" s="90">
        <ns0:f>IFERROR(IF('BBG Verify'!R489="","Awaiting Bloomberg",'BBG Verify'!R489),"Awaiting Bloomberg")</ns0:f>
        <ns0:v/>
      </ns0:c>
      <ns0:c r="BU489" s="91" t="inlineStr">
        <ns0:is>
          <ns0:t>Guotai Junan Capital Limited</ns0:t>
        </ns0:is>
      </ns0:c>
      <ns0:c r="BV489" s="74" t="inlineStr">
        <ns0:is>
          <ns0:t>Guotai Junan Capital Limited</ns0:t>
        </ns0:is>
      </ns0:c>
      <ns0:c r="BW489" s="74" t="inlineStr">
        <ns0:is>
          <ns0:t>Guotai Junan Securities (Hong Kong) Limited; CLSA Limited; J.P. Morgan Securities (Asia Pacific) Limited; Citigroup Global Markets Asia Limited; Futu Securities International (Hong Kong) Limited; Tiger Brokers (HK) Global Limited</ns0:t>
        </ns0:is>
      </ns0:c>
      <ns0:c r="BX489" s="74" t="inlineStr">
        <ns0:is>
          <ns0:t>Citigroup Global Markets Asia Limited; CLSA Limited; Futu Securities International (Hong Kong) Limited; Guotai Junan Securities (Hong Kong) Limited; J.P. Morgan Securities (Asia Pacific) Limited; Tiger Brokers (HK) Global Limited</ns0:t>
        </ns0:is>
      </ns0:c>
      <ns0:c r="BY489" s="93">
        <ns0:f>HYPERLINK("https://www1.hkexnews.hk/listedco/listconews/sehk/2026/0617/2026061700029.pdf","prospectus")</ns0:f>
        <ns0:v/>
      </ns0:c>
      <ns0:c r="BZ489" s="93">
        <ns0:f>HYPERLINK("https://www1.hkexnews.hk/listedco/listconews/sehk/2026/0625/2026062502292.pdf","allotment")</ns0:f>
        <ns0:v/>
      </ns0:c>
      <ns0:c r="CA489" s="85" t="n"/>
      <ns0:c r="CB489" s="94" t="n"/>
      <ns0:c r="CC489" s="74" t="inlineStr">
        <ns0:is>
          <ns0:t>greenshoe: end-of-stabilisation notice not found; range low: maximum offer price only, no floor published; A/H: Jun 2026 H listing (consumer-electronics precision parts); stabilising manager: not named in the allotment notice or prospectus glossary; allocation: allocation table not in this notice's format (older prose announcement)</ns0:t>
        </ns0:is>
      </ns0:c>
    </ns0:row>
    <ns0:row r="490" ht="22" customHeight="1">
      <ns0:c r="A490" s="73" t="inlineStr">
        <ns0:is>
          <ns0:t>9630</ns0:t>
        </ns0:is>
      </ns0:c>
      <ns0:c r="B490" s="74" t="inlineStr">
        <ns0:is>
          <ns0:t>CFMEE</ns0:t>
        </ns0:is>
      </ns0:c>
      <ns0:c r="C490" s="74" t="inlineStr">
        <ns0:is>
          <ns0:t>芯碁微裝</ns0:t>
        </ns0:is>
      </ns0:c>
      <ns0:c r="D490" s="74" t="inlineStr">
        <ns0:is>
          <ns0:t>Technology</ns0:t>
        </ns0:is>
      </ns0:c>
      <ns0:c r="E490" s="74" t="inlineStr">
        <ns0:is>
          <ns0:t>Semiconductors</ns0:t>
        </ns0:is>
      </ns0:c>
      <ns0:c r="F490" s="74" t="inlineStr">
        <ns0:is>
          <ns0:t>Next-generation information technology</ns0:t>
        </ns0:is>
      </ns0:c>
      <ns0:c r="G490" s="74" t="inlineStr">
        <ns0:is>
          <ns0:t>Standard</ns0:t>
        </ns0:is>
      </ns0:c>
      <ns0:c r="H490" s="75" t="n">
        <ns0:v>46199</ns0:v>
      </ns0:c>
      <ns0:c r="I490" s="76" t="n">
        <ns0:v>3244.7</ns0:v>
      </ns0:c>
      <ns0:c r="J490" s="74" t="inlineStr">
        <ns0:is>
          <ns0:t>gross (stated)</ns0:t>
        </ns0:is>
      </ns0:c>
      <ns0:c r="K490" s="95" t="n"/>
      <ns0:c r="L490" s="77" t="n">
        <ns0:v>252.73</ns0:v>
      </ns0:c>
      <ns0:c r="M490" s="77" t="n">
        <ns0:v>252.73</ns0:v>
      </ns0:c>
      <ns0:c r="N490" s="74" t="inlineStr">
        <ns0:is>
          <ns0:t>Y</ns0:t>
        </ns0:is>
      </ns0:c>
      <ns0:c r="O490" s="78" t="n">
        <ns0:v>100</ns0:v>
      </ns0:c>
      <ns0:c r="P490" s="84" t="n"/>
      <ns0:c r="Q490" s="79" t="n">
        <ns0:v>32189.5</ns0:v>
      </ns0:c>
      <ns0:c r="R490" s="74" t="inlineStr">
        <ns0:is>
          <ns0:t>derived:deal size / offer % of enlarged capital</ns0:t>
        </ns0:is>
      </ns0:c>
      <ns0:c r="S490" s="80" t="n">
        <ns0:v>1007.22</ns0:v>
      </ns0:c>
      <ns0:c r="T490" s="81" t="n">
        <ns0:v>27.22</ns0:v>
      </ns0:c>
      <ns0:c r="U490" s="82" t="n">
        <ns0:v>48.5</ns0:v>
      </ns0:c>
      <ns0:c r="V490" s="83" t="n">
        <ns0:v>200</ns0:v>
      </ns0:c>
      <ns0:c r="W490" s="78" t="n">
        <ns0:v>10</ns0:v>
      </ns0:c>
      <ns0:c r="X490" s="74" t="inlineStr">
        <ns0:is>
          <ns0:t>NO</ns0:t>
        </ns0:is>
      </ns0:c>
      <ns0:c r="Y490" s="79" t="n">
        <ns0:v>1671.02</ns0:v>
      </ns0:c>
      <ns0:c r="Z490" s="97" t="n"/>
      <ns0:c r="AA490" s="78" t="n">
        <ns0:v>5.19</ns0:v>
      </ns0:c>
      <ns0:c r="AB490" s="74" t="inlineStr">
        <ns0:is>
          <ns0:t>Bosera Asset Management (International) Co., Limited; China Universal Asset Management (Hong Kong) Company Limited; CICC Financial Trading Limited; CPE Chestnut Investment Limited; Fullgoal Asset Management (HK) Limited; Fullgoal Fund Management Co., Ltd;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ns0:t>
        </ns0:is>
      </ns0:c>
      <ns0:c r="AC490" s="74" t="inlineStr">
        <ns0:is>
          <ns0:t>bosera;universal;china-international;cpe;fullgoal;gf;hefei;hhlr;yonglian;xinyao;huadeng;jpmorgan;lion;montage;monterey;nexchip;ocean;sungrow;victory</ns0:t>
        </ns0:is>
      </ns0:c>
      <ns0:c r="AD490" s="78" t="n">
        <ns0:v>8.880000000000001</ns0:v>
      </ns0:c>
      <ns0:c r="AE490" s="74" t="inlineStr">
        <ns0:is>
          <ns0:t>full</ns0:t>
        </ns0:is>
      </ns0:c>
      <ns0:c r="AF490" s="85" t="n"/>
      <ns0:c r="AG490" s="74" t="inlineStr">
        <ns0:is>
          <ns0:t>China International Capital Corporation Hong Kong Securities Limited</ns0:t>
        </ns0:is>
      </ns0:c>
      <ns0:c r="AH490" s="74" t="inlineStr">
        <ns0:is>
          <ns0:t>China International</ns0:t>
        </ns0:is>
      </ns0:c>
      <ns0:c r="AI490" s="86" t="n">
        <ns0:v>76.16</ns0:v>
      </ns0:c>
      <ns0:c r="AJ490" s="87" t="n">
        <ns0:v>103.77</ns0:v>
      </ns0:c>
      <ns0:c r="AK490" s="87" t="n">
        <ns0:v>-3.46</ns0:v>
      </ns0:c>
      <ns0:c r="AL490" s="87" t="n">
        <ns0:v>73.7</ns0:v>
      </ns0:c>
      <ns0:c r="AM490" s="87" t="n">
        <ns0:v>17.31</ns0:v>
      </ns0:c>
      <ns0:c r="AN490" s="89" t="n">
        <ns0:v>4.56</ns0:v>
      </ns0:c>
      <ns0:c r="AO490" s="78" t="n">
        <ns0:v>26.26</ns0:v>
      </ns0:c>
      <ns0:c r="AP490" s="87" t="n">
        <ns0:v>55.11</ns0:v>
      </ns0:c>
      <ns0:c r="AQ490" s="87" t="n">
        <ns0:v>30.26</ns0:v>
      </ns0:c>
      <ns0:c r="AR490" s="87" t="n">
        <ns0:v>38.17</ns0:v>
      </ns0:c>
      <ns0:c r="AS490" s="87" t="n">
        <ns0:v>-23.88</ns0:v>
      </ns0:c>
      <ns0:c r="AT490" s="87" t="n">
        <ns0:v>-36.07</ns0:v>
      </ns0:c>
      <ns0:c r="AU490" s="87" t="n">
        <ns0:v>-32.19</ns0:v>
      </ns0:c>
      <ns0:c r="AV490" s="87" t="n">
        <ns0:v>52.2</ns0:v>
      </ns0:c>
      <ns0:c r="AW490" s="87" t="n">
        <ns0:v>23.01</ns0:v>
      </ns0:c>
      <ns0:c r="AX490" s="87" t="n">
        <ns0:v>39.51</ns0:v>
      </ns0:c>
      <ns0:c r="AY490" s="87" t="n">
        <ns0:v>-47.17</ns0:v>
      </ns0:c>
      <ns0:c r="AZ490" s="87" t="n">
        <ns0:v>7.25</ns0:v>
      </ns0:c>
      <ns0:c r="BA490" s="87" t="n">
        <ns0:v>11.1</ns0:v>
      </ns0:c>
      <ns0:c r="BB490" s="74" t="inlineStr">
        <ns0:is>
          <ns0:t>HSTECH (Hang Seng TECH ETF)</ns0:t>
        </ns0:is>
      </ns0:c>
      <ns0:c r="BC490" s="87" t="n">
        <ns0:v>26.62</ns0:v>
      </ns0:c>
      <ns0:c r="BD490" s="75" t="n">
        <ns0:v>46297</ns0:v>
      </ns0:c>
      <ns0:c r="BE490" s="76" t="n">
        <ns0:v>1548.9</ns0:v>
      </ns0:c>
      <ns0:c r="BF490" s="79" t="n">
        <ns0:v>318.9</ns0:v>
      </ns0:c>
      <ns0:c r="BG490" s="74" t="inlineStr">
        <ns0:is>
          <ns0:t>Y</ns0:t>
        </ns0:is>
      </ns0:c>
      <ns0:c r="BH490" s="89" t="n">
        <ns0:v>100.9</ns0:v>
      </ns0:c>
      <ns0:c r="BI490" s="89" t="n">
        <ns0:v>202.5</ns0:v>
      </ns0:c>
      <ns0:c r="BJ490" s="89" t="n">
        <ns0:v>147.3</ns0:v>
      </ns0:c>
      <ns0:c r="BK490" s="89" t="n">
        <ns0:v>20.8</ns0:v>
      </ns0:c>
      <ns0:c r="BL490" s="90">
        <ns0:f>IFERROR(IF('BBG Verify'!S490="","Awaiting Bloomberg",'BBG Verify'!S490),"Awaiting Bloomberg")</ns0:f>
        <ns0:v/>
      </ns0:c>
      <ns0:c r="BM490" s="91" t="inlineStr">
        <ns0:is>
          <ns0:t>Y</ns0:t>
        </ns0:is>
      </ns0:c>
      <ns0:c r="BN490" s="74" t="inlineStr">
        <ns0:is>
          <ns0:t>688630.SS</ns0:t>
        </ns0:is>
      </ns0:c>
      <ns0:c r="BO490" s="87" t="n">
        <ns0:v>153.68</ns0:v>
      </ns0:c>
      <ns0:c r="BP490" s="77" t="n">
        <ns0:v>641.1315</ns0:v>
      </ns0:c>
      <ns0:c r="BQ490" s="101" t="n">
        <ns0:v>0.4215</ns0:v>
      </ns0:c>
      <ns0:c r="BR490" s="79" t="n">
        <ns0:v>66659.7</ns0:v>
      </ns0:c>
      <ns0:c r="BS490" s="90">
        <ns0:f>IFERROR(IF('BBG Verify'!Q490="","Awaiting Bloomberg",'BBG Verify'!Q490),"Awaiting Bloomberg")</ns0:f>
        <ns0:v/>
      </ns0:c>
      <ns0:c r="BT490" s="90">
        <ns0:f>IFERROR(IF('BBG Verify'!R490="","Awaiting Bloomberg",'BBG Verify'!R490),"Awaiting Bloomberg")</ns0:f>
        <ns0:v/>
      </ns0:c>
      <ns0:c r="BU490" s="91" t="inlineStr">
        <ns0:is>
          <ns0:t>China International Capital Corporation Hong Kong Securities Limited</ns0:t>
        </ns0:is>
      </ns0:c>
      <ns0:c r="BV490" s="74" t="inlineStr">
        <ns0:is>
          <ns0:t>China International Capital Corporation Hong Kong Securities Limited</ns0:t>
        </ns0:is>
      </ns0:c>
      <ns0:c r="BW490" s="74" t="inlineStr">
        <ns0:is>
          <ns0:t>BOCI Asia Limited</ns0:t>
        </ns0:is>
      </ns0:c>
      <ns0:c r="BX490" s="74" t="inlineStr">
        <ns0:is>
          <ns0:t>BOCI Asia Limited; China International Capital Corporation Hong Kong Securities Limited; CMB International Capital Limited; Futu Securities International (Hong Kong) Limited; Guoyuan Securities Brokerage (Hong Kong) Limited</ns0:t>
        </ns0:is>
      </ns0:c>
      <ns0:c r="BY490" s="93">
        <ns0:f>HYPERLINK("https://www1.hkexnews.hk/listedco/listconews/sehk/2026/0617/2026061700039.pdf","prospectus")</ns0:f>
        <ns0:v/>
      </ns0:c>
      <ns0:c r="BZ490" s="93">
        <ns0:f>HYPERLINK("https://www1.hkexnews.hk/listedco/listconews/sehk/2026/0625/2026062502296.pdf","allotment")</ns0:f>
        <ns0:v/>
      </ns0:c>
      <ns0:c r="CA490" s="93">
        <ns0:f>HYPERLINK("https://www1.hkexnews.hk/listedco/listconews/sehk/2026/0723/2026072300312.pdf","stabilisation")</ns0:f>
        <ns0:v/>
      </ns0:c>
      <ns0:c r="CB490" s="94" t="n"/>
      <ns0:c r="CC490" s="74" t="inlineStr">
        <ns0:is>
          <ns0:t>greenshoe: outcome published; expiry date not in the notice; range low: maximum offer price only, no floor published; A/H: Jun 2026 H listing (direct-write lithography equipment); sponsor: English name not in the filing; AAStocks 保薦人 shown; eff float shares: share count unavailable; the HK$m figure is exact</ns0:t>
        </ns0:is>
      </ns0:c>
    </ns0:row>
    <ns0:row r="491" ht="22" customHeight="1">
      <ns0:c r="A491" s="73" t="inlineStr">
        <ns0:is>
          <ns0:t>6228</ns0:t>
        </ns0:is>
      </ns0:c>
      <ns0:c r="B491" s="74" t="inlineStr">
        <ns0:is>
          <ns0:t>MERDEKAGOLD-DRS</ns0:t>
        </ns0:is>
      </ns0:c>
      <ns0:c r="C491" s="74" t="inlineStr">
        <ns0:is>
          <ns0:t>自由黃金－ＤＲＳ</ns0:t>
        </ns0:is>
      </ns0:c>
      <ns0:c r="D491" s="74" t="inlineStr">
        <ns0:is>
          <ns0:t>Materials/Energy</ns0:t>
        </ns0:is>
      </ns0:c>
      <ns0:c r="E491" s="74" t="inlineStr">
        <ns0:is>
          <ns0:t>Mining / metals</ns0:t>
        </ns0:is>
      </ns0:c>
      <ns0:c r="F491" s="74" t="inlineStr">
        <ns0:is>
          <ns0:t>Gold &amp; Precious Metals</ns0:t>
        </ns0:is>
      </ns0:c>
      <ns0:c r="G491" s="74" t="inlineStr">
        <ns0:is>
          <ns0:t>Standard</ns0:t>
        </ns0:is>
      </ns0:c>
      <ns0:c r="H491" s="75" t="n">
        <ns0:v>46199</ns0:v>
      </ns0:c>
      <ns0:c r="I491" s="76" t="n">
        <ns0:v>2385.18</ns0:v>
      </ns0:c>
      <ns0:c r="J491" s="74" t="inlineStr">
        <ns0:is>
          <ns0:t>gross (stated)</ns0:t>
        </ns0:is>
      </ns0:c>
      <ns0:c r="K491" s="95" t="n"/>
      <ns0:c r="L491" s="77" t="n">
        <ns0:v>26.6</ns0:v>
      </ns0:c>
      <ns0:c r="M491" s="77" t="n">
        <ns0:v>26.6</ns0:v>
      </ns0:c>
      <ns0:c r="N491" s="74" t="inlineStr">
        <ns0:is>
          <ns0:t>Y</ns0:t>
        </ns0:is>
      </ns0:c>
      <ns0:c r="O491" s="78" t="n">
        <ns0:v>100</ns0:v>
      </ns0:c>
      <ns0:c r="P491" s="84" t="n"/>
      <ns0:c r="Q491" s="79" t="n">
        <ns0:v>34074</ns0:v>
      </ns0:c>
      <ns0:c r="R491" s="74" t="inlineStr">
        <ns0:is>
          <ns0:t>derived:deal size / offer % of enlarged capital</ns0:t>
        </ns0:is>
      </ns0:c>
      <ns0:c r="S491" s="80" t="n">
        <ns0:v>4.42</ns0:v>
      </ns0:c>
      <ns0:c r="T491" s="81" t="n">
        <ns0:v>7.67</ns0:v>
      </ns0:c>
      <ns0:c r="U491" s="82" t="n">
        <ns0:v>49.9</ns0:v>
      </ns0:c>
      <ns0:c r="V491" s="83" t="n">
        <ns0:v>98</ns0:v>
      </ns0:c>
      <ns0:c r="W491" s="84" t="n"/>
      <ns0:c r="X491" s="74" t="inlineStr">
        <ns0:is>
          <ns0:t>NA</ns0:t>
        </ns0:is>
      </ns0:c>
      <ns0:c r="Y491" s="79" t="n">
        <ns0:v>1194.98</ns0:v>
      </ns0:c>
      <ns0:c r="Z491" s="97" t="n"/>
      <ns0:c r="AA491" s="78" t="n">
        <ns0:v>3.51</ns0:v>
      </ns0:c>
      <ns0:c r="AB491" s="74" t="inlineStr">
        <ns0:is>
          <ns0: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ns0:t>
        </ns0:is>
      </ns0:c>
      <ns0:c r="AC491" s="74" t="inlineStr">
        <ns0:is>
          <ns0:t>cngr;dymon;gf;glencore;intera;mercuria;orix;ping;trafigura;wanguo;wind</ns0:t>
        </ns0:is>
      </ns0:c>
      <ns0:c r="AD491" s="78" t="n">
        <ns0:v>15</ns0:v>
      </ns0:c>
      <ns0:c r="AE491" s="74" t="inlineStr">
        <ns0:is>
          <ns0:t>partial</ns0:t>
        </ns0:is>
      </ns0:c>
      <ns0:c r="AF491" s="85" t="n"/>
      <ns0:c r="AG491" s="74" t="inlineStr">
        <ns0:is>
          <ns0:t>CLSA Limited</ns0:t>
        </ns0:is>
      </ns0:c>
      <ns0:c r="AH491" s="74" t="inlineStr">
        <ns0:is>
          <ns0:t>CLSA</ns0:t>
        </ns0:is>
      </ns0:c>
      <ns0:c r="AI491" s="86" t="n">
        <ns0:v>0</ns0:v>
      </ns0:c>
      <ns0:c r="AJ491" s="87" t="n">
        <ns0:v>-6.54</ns0:v>
      </ns0:c>
      <ns0:c r="AK491" s="87" t="n">
        <ns0:v>-2.25</ns0:v>
      </ns0:c>
      <ns0:c r="AL491" s="87" t="n">
        <ns0:v>0</ns0:v>
      </ns0:c>
      <ns0:c r="AM491" s="87" t="n">
        <ns0:v>-6.54</ns0:v>
      </ns0:c>
      <ns0:c r="AN491" s="88" t="n"/>
      <ns0:c r="AO491" s="78" t="n">
        <ns0:v>10.83</ns0:v>
      </ns0:c>
      <ns0:c r="AP491" s="87" t="n">
        <ns0:v>-2.26</ns0:v>
      </ns0:c>
      <ns0:c r="AQ491" s="87" t="n">
        <ns0:v>-0.38</ns0:v>
      </ns0:c>
      <ns0:c r="AR491" s="87" t="n">
        <ns0:v>28.5</ns0:v>
      </ns0:c>
      <ns0:c r="AS491" s="87" t="n">
        <ns0:v>4.58</ns0:v>
      </ns0:c>
      <ns0:c r="AT491" s="87" t="n">
        <ns0:v>6.59</ns0:v>
      </ns0:c>
      <ns0:c r="AU491" s="87" t="n">
        <ns0:v>37.49</ns0:v>
      </ns0:c>
      <ns0:c r="AV491" s="87" t="n">
        <ns0:v>-6.28</ns0:v>
      </ns0:c>
      <ns0:c r="AW491" s="87" t="n">
        <ns0:v>-10.75</ns0:v>
      </ns0:c>
      <ns0:c r="AX491" s="87" t="n">
        <ns0:v>22.05</ns0:v>
      </ns0:c>
      <ns0:c r="AY491" s="87" t="n">
        <ns0:v>-6.32</ns0:v>
      </ns0:c>
      <ns0:c r="AZ491" s="87" t="n">
        <ns0:v>10.37</ns0:v>
      </ns0:c>
      <ns0:c r="BA491" s="87" t="n">
        <ns0:v>12.91</ns0:v>
      </ns0:c>
      <ns0:c r="BB491" s="74" t="inlineStr">
        <ns0:is>
          <ns0:t>Hang Seng Commerce &amp; Industry sub-index</ns0:t>
        </ns0:is>
      </ns0:c>
      <ns0:c r="BC491" s="87" t="n">
        <ns0:v>26.77</ns0:v>
      </ns0:c>
      <ns0:c r="BD491" s="75" t="n">
        <ns0:v>46297</ns0:v>
      </ns0:c>
      <ns0:c r="BE491" s="76" t="n">
        <ns0:v>1</ns0:v>
      </ns0:c>
      <ns0:c r="BF491" s="79" t="n">
        <ns0:v>-214.4</ns0:v>
      </ns0:c>
      <ns0:c r="BG491" s="74" t="inlineStr">
        <ns0:is>
          <ns0:t>N</ns0:t>
        </ns0:is>
      </ns0:c>
      <ns0:c r="BH491" s="74" t="inlineStr">
        <ns0:is>
          <ns0:t>n/m</ns0:t>
        </ns0:is>
      </ns0:c>
      <ns0:c r="BI491" s="88" t="n"/>
      <ns0:c r="BJ491" s="88" t="n"/>
      <ns0:c r="BK491" s="89" t="n">
        <ns0:v>34074</ns0:v>
      </ns0:c>
      <ns0:c r="BL491" s="90">
        <ns0:f>IFERROR(IF('BBG Verify'!S491="","Awaiting Bloomberg",'BBG Verify'!S491),"Awaiting Bloomberg")</ns0:f>
        <ns0:v/>
      </ns0:c>
      <ns0:c r="BM491" s="91" t="inlineStr">
        <ns0:is>
          <ns0:t>N</ns0:t>
        </ns0:is>
      </ns0:c>
      <ns0:c r="BN491" s="92">
        <ns0:f>IFERROR(IF('BBG Verify'!K491="","Awaiting Bloomberg",'BBG Verify'!K491),"Awaiting Bloomberg")</ns0:f>
        <ns0:v/>
      </ns0:c>
      <ns0:c r="BO491" s="74" t="inlineStr">
        <ns0:is>
          <ns0:t>N/A</ns0:t>
        </ns0:is>
      </ns0:c>
      <ns0:c r="BP491" s="74" t="inlineStr">
        <ns0:is>
          <ns0:t>N/A</ns0:t>
        </ns0:is>
      </ns0:c>
      <ns0:c r="BQ491" s="74" t="inlineStr">
        <ns0:is>
          <ns0:t>N/A</ns0:t>
        </ns0:is>
      </ns0:c>
      <ns0:c r="BR491" s="74" t="inlineStr">
        <ns0:is>
          <ns0:t>N/A</ns0:t>
        </ns0:is>
      </ns0:c>
      <ns0:c r="BS491" s="74" t="inlineStr">
        <ns0:is>
          <ns0:t>N/A</ns0:t>
        </ns0:is>
      </ns0:c>
      <ns0:c r="BT491" s="74" t="inlineStr">
        <ns0:is>
          <ns0:t>N/A</ns0:t>
        </ns0:is>
      </ns0:c>
      <ns0:c r="BU491" s="91" t="inlineStr">
        <ns0:is>
          <ns0:t>UBS Securities Hong Kong Limited; CITIC Securities (Hong Kong) Limited</ns0:t>
        </ns0:is>
      </ns0:c>
      <ns0:c r="BV491" s="74" t="inlineStr">
        <ns0:is>
          <ns0:t>UBS Securities Hong Kong Limited; CITIC Securities (Hong Kong) Limited</ns0:t>
        </ns0:is>
      </ns0:c>
      <ns0:c r="BW491" s="74" t="inlineStr">
        <ns0:is>
          <ns0: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ns0:t>
        </ns0:is>
      </ns0:c>
      <ns0:c r="BX491" s="74" t="inlineStr">
        <ns0:is>
          <ns0: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ns0:t>
        </ns0:is>
      </ns0:c>
      <ns0:c r="BY491" s="93">
        <ns0:f>HYPERLINK("https://www1.hkexnews.hk/listedco/listconews/sehk/2026/0617/2026061700075.pdf","prospectus")</ns0:f>
        <ns0:v/>
      </ns0:c>
      <ns0:c r="BZ491" s="93">
        <ns0:f>HYPERLINK("https://www1.hkexnews.hk/listedco/listconews/sehk/2026/0625/2026062502338.pdf","allotment")</ns0:f>
        <ns0:v/>
      </ns0:c>
      <ns0:c r="CA491" s="93">
        <ns0:f>HYPERLINK("https://www1.hkexnews.hk/listedco/listconews/sehk/2026/0723/2026072301404.pdf","stabilisation")</ns0:f>
        <ns0:v/>
      </ns0:c>
      <ns0:c r="CB491" s="94" t="n"/>
      <ns0:c r="CC491" s="74" t="inlineStr">
        <ns0:is>
          <ns0:t>P/E: loss-making at IPO, use P/S; greenshoe: outcome published; expiry date not in the notice; range low: maximum offer price only, no floor published; P/S: 34,074x on HK$1.0m revenue, effectively pre-revenue; not comparable; eff float shares: share count unavailable; the HK$m figure is exact; allocation: allocation table not in this notice's format (older prose announcement); day-1 tape: volume on file; the retail multiple needs the final public split, which this notice does not state</ns0:t>
        </ns0:is>
      </ns0:c>
    </ns0:row>
    <ns0:row r="492" ht="22" customHeight="1">
      <ns0:c r="A492" s="73" t="inlineStr">
        <ns0:is>
          <ns0:t>2672</ns0:t>
        </ns0:is>
      </ns0:c>
      <ns0:c r="B492" s="74" t="inlineStr">
        <ns0:is>
          <ns0:t>BAIGE DIGITAL</ns0:t>
        </ns0:is>
      </ns0:c>
      <ns0:c r="C492" s="74" t="inlineStr">
        <ns0:is>
          <ns0:t>白鴿在線（廈門）數字科技</ns0:t>
        </ns0:is>
      </ns0:c>
      <ns0:c r="D492" s="74" t="inlineStr">
        <ns0:is>
          <ns0:t>Financials</ns0:t>
        </ns0:is>
      </ns0:c>
      <ns0:c r="E492" s="74" t="inlineStr">
        <ns0:is>
          <ns0:t>Insurance</ns0:t>
        </ns0:is>
      </ns0:c>
      <ns0:c r="F492" s="74" t="inlineStr">
        <ns0:is>
          <ns0:t>Application Software</ns0:t>
        </ns0:is>
      </ns0:c>
      <ns0:c r="G492" s="74" t="inlineStr">
        <ns0:is>
          <ns0:t>Standard</ns0:t>
        </ns0:is>
      </ns0:c>
      <ns0:c r="H492" s="75" t="n">
        <ns0:v>46202</ns0:v>
      </ns0:c>
      <ns0:c r="I492" s="76" t="n">
        <ns0:v>520.2</ns0:v>
      </ns0:c>
      <ns0:c r="J492" s="74" t="inlineStr">
        <ns0:is>
          <ns0:t>gross (price x shares)</ns0:t>
        </ns0:is>
      </ns0:c>
      <ns0:c r="K492" s="95" t="n"/>
      <ns0:c r="L492" s="77" t="n">
        <ns0:v>20.28</ns0:v>
      </ns0:c>
      <ns0:c r="M492" s="77" t="n">
        <ns0:v>15.6</ns0:v>
      </ns0:c>
      <ns0:c r="N492" s="74" t="inlineStr">
        <ns0:is>
          <ns0:t>N</ns0:t>
        </ns0:is>
      </ns0:c>
      <ns0:c r="O492" s="78" t="n">
        <ns0:v>76.90000000000001</ns0:v>
      </ns0:c>
      <ns0:c r="P492" s="84" t="n"/>
      <ns0:c r="Q492" s="79" t="n">
        <ns0:v>5001.7</ns0:v>
      </ns0:c>
      <ns0:c r="R492" s="74" t="inlineStr">
        <ns0:is>
          <ns0:t>derived:price x shares upon listing</ns0:t>
        </ns0:is>
      </ns0:c>
      <ns0:c r="S492" s="80" t="n">
        <ns0:v>242.05</ns0:v>
      </ns0:c>
      <ns0:c r="T492" s="81" t="n">
        <ns0:v>2.44</ns0:v>
      </ns0:c>
      <ns0:c r="U492" s="82" t="n">
        <ns0:v>3.84</ns0:v>
      </ns0:c>
      <ns0:c r="V492" s="83" t="n">
        <ns0:v>95</ns0:v>
      </ns0:c>
      <ns0:c r="W492" s="78" t="n">
        <ns0:v>10</ns0:v>
      </ns0:c>
      <ns0:c r="X492" s="74" t="inlineStr">
        <ns0:is>
          <ns0:t>NA</ns0:t>
        </ns0:is>
      </ns0:c>
      <ns0:c r="Y492" s="79" t="n">
        <ns0:v>500.22</ns0:v>
      </ns0:c>
      <ns0:c r="Z492" s="79" t="n">
        <ns0:v>32063975</ns0:v>
      </ns0:c>
      <ns0:c r="AA492" s="78" t="n">
        <ns0:v>10</ns0:v>
      </ns0:c>
      <ns0:c r="AB492" s="74" t="inlineStr">
        <ns0:is>
          <ns0:t>GLY New Mobility; Mr. Ke</ns0:t>
        </ns0:is>
      </ns0:c>
      <ns0:c r="AC492" s="74" t="inlineStr">
        <ns0:is>
          <ns0:t>gly;mr-ke</ns0:t>
        </ns0:is>
      </ns0:c>
      <ns0:c r="AD492" s="78" t="n">
        <ns0:v>11.8</ns0:v>
      </ns0:c>
      <ns0:c r="AE492" s="85" t="n"/>
      <ns0:c r="AF492" s="74" t="inlineStr">
        <ns0:is>
          <ns0:t>2026-07-24</ns0:t>
        </ns0:is>
      </ns0:c>
      <ns0:c r="AG492" s="74" t="inlineStr">
        <ns0:is>
          <ns0:t>CMBC Securities Company Limited</ns0:t>
        </ns0:is>
      </ns0:c>
      <ns0:c r="AH492" s="74" t="inlineStr">
        <ns0:is>
          <ns0:t>CMBC</ns0:t>
        </ns0:is>
      </ns0:c>
      <ns0:c r="AI492" s="86" t="n">
        <ns0:v>272.44</ns0:v>
      </ns0:c>
      <ns0:c r="AJ492" s="87" t="n">
        <ns0:v>367.95</ns0:v>
      </ns0:c>
      <ns0:c r="AK492" s="87" t="n">
        <ns0:v>0.55</ns0:v>
      </ns0:c>
      <ns0:c r="AL492" s="87" t="n">
        <ns0:v>291.67</ns0:v>
      </ns0:c>
      <ns0:c r="AM492" s="87" t="n">
        <ns0:v>19.48</ns0:v>
      </ns0:c>
      <ns0:c r="AN492" s="89" t="n">
        <ns0:v>1.82</ns0:v>
      </ns0:c>
      <ns0:c r="AO492" s="78" t="n">
        <ns0:v>22.09</ns0:v>
      </ns0:c>
      <ns0:c r="AP492" s="87" t="n">
        <ns0:v>295.19</ns0:v>
      </ns0:c>
      <ns0:c r="AQ492" s="87" t="n">
        <ns0:v>280.77</ns0:v>
      </ns0:c>
      <ns0:c r="AR492" s="87" t="n">
        <ns0:v>288.46</ns0:v>
      </ns0:c>
      <ns0:c r="AS492" s="87" t="n">
        <ns0:v>-15.55</ns0:v>
      </ns0:c>
      <ns0:c r="AT492" s="87" t="n">
        <ns0:v>-18.63</ns0:v>
      </ns0:c>
      <ns0:c r="AU492" s="87" t="n">
        <ns0:v>-16.99</ns0:v>
      </ns0:c>
      <ns0:c r="AV492" s="87" t="n">
        <ns0:v>294.57</ns0:v>
      </ns0:c>
      <ns0:c r="AW492" s="87" t="n">
        <ns0:v>269.3</ns0:v>
      </ns0:c>
      <ns0:c r="AX492" s="87" t="n">
        <ns0:v>278.95</ns0:v>
      </ns0:c>
      <ns0:c r="AY492" s="87" t="n">
        <ns0:v>-29.5</ns0:v>
      </ns0:c>
      <ns0:c r="AZ492" s="87" t="n">
        <ns0:v>11.47</ns0:v>
      </ns0:c>
      <ns0:c r="BA492" s="87" t="n">
        <ns0:v>10.87</ns0:v>
      </ns0:c>
      <ns0:c r="BB492" s="74" t="inlineStr">
        <ns0:is>
          <ns0:t>Hang Seng Finance sub-index</ns0:t>
        </ns0:is>
      </ns0:c>
      <ns0:c r="BC492" s="87" t="n">
        <ns0:v>273.72</ns0:v>
      </ns0:c>
      <ns0:c r="BD492" s="75" t="n">
        <ns0:v>46297</ns0:v>
      </ns0:c>
      <ns0:c r="BE492" s="76" t="n">
        <ns0:v>1349.8</ns0:v>
      </ns0:c>
      <ns0:c r="BF492" s="79" t="n">
        <ns0:v>-51.3</ns0:v>
      </ns0:c>
      <ns0:c r="BG492" s="74" t="inlineStr">
        <ns0:is>
          <ns0:t>N</ns0:t>
        </ns0:is>
      </ns0:c>
      <ns0:c r="BH492" s="74" t="inlineStr">
        <ns0:is>
          <ns0:t>n/m</ns0:t>
        </ns0:is>
      </ns0:c>
      <ns0:c r="BI492" s="88" t="n"/>
      <ns0:c r="BJ492" s="88" t="n"/>
      <ns0:c r="BK492" s="89" t="n">
        <ns0:v>3.7</ns0:v>
      </ns0:c>
      <ns0:c r="BL492" s="90">
        <ns0:f>IFERROR(IF('BBG Verify'!S492="","Awaiting Bloomberg",'BBG Verify'!S492),"Awaiting Bloomberg")</ns0:f>
        <ns0:v/>
      </ns0:c>
      <ns0:c r="BM492" s="91" t="inlineStr">
        <ns0:is>
          <ns0:t>N</ns0:t>
        </ns0:is>
      </ns0:c>
      <ns0:c r="BN492" s="92">
        <ns0:f>IFERROR(IF('BBG Verify'!K492="","Awaiting Bloomberg",'BBG Verify'!K492),"Awaiting Bloomberg")</ns0:f>
        <ns0:v/>
      </ns0:c>
      <ns0:c r="BO492" s="74" t="inlineStr">
        <ns0:is>
          <ns0:t>N/A</ns0:t>
        </ns0:is>
      </ns0:c>
      <ns0:c r="BP492" s="74" t="inlineStr">
        <ns0:is>
          <ns0:t>N/A</ns0:t>
        </ns0:is>
      </ns0:c>
      <ns0:c r="BQ492" s="74" t="inlineStr">
        <ns0:is>
          <ns0:t>N/A</ns0:t>
        </ns0:is>
      </ns0:c>
      <ns0:c r="BR492" s="74" t="inlineStr">
        <ns0:is>
          <ns0:t>N/A</ns0:t>
        </ns0:is>
      </ns0:c>
      <ns0:c r="BS492" s="74" t="inlineStr">
        <ns0:is>
          <ns0:t>N/A</ns0:t>
        </ns0:is>
      </ns0:c>
      <ns0:c r="BT492" s="74" t="inlineStr">
        <ns0:is>
          <ns0:t>N/A</ns0:t>
        </ns0:is>
      </ns0:c>
      <ns0:c r="BU492" s="91" t="inlineStr">
        <ns0:is>
          <ns0:t>CMBC International Capital Limited; BOCI Asia Limited</ns0:t>
        </ns0:is>
      </ns0:c>
      <ns0:c r="BV492" s="74" t="inlineStr">
        <ns0:is>
          <ns0:t>BOCI Asia Limited; CMBC International Capital Limited</ns0:t>
        </ns0:is>
      </ns0:c>
      <ns0:c r="BW492" s="74" t="inlineStr">
        <ns0:is>
          <ns0:t>ICBC International Securities Limited</ns0:t>
        </ns0:is>
      </ns0:c>
      <ns0:c r="BX492" s="74" t="inlineStr">
        <ns0:is>
          <ns0: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ns0:t>
        </ns0:is>
      </ns0:c>
      <ns0:c r="BY492" s="93">
        <ns0:f>HYPERLINK("https://www1.hkexnews.hk/listedco/listconews/sehk/2026/0618/2026061800045.pdf","prospectus")</ns0:f>
        <ns0:v/>
      </ns0:c>
      <ns0:c r="BZ492" s="93">
        <ns0:f>HYPERLINK("https://www1.hkexnews.hk/listedco/listconews/sehk/2026/0626/2026062602363.pdf","allotment")</ns0:f>
        <ns0:v/>
      </ns0:c>
      <ns0:c r="CA492" s="85" t="n"/>
      <ns0:c r="CB492" s="94" t="n"/>
      <ns0:c r="CC492" s="74" t="inlineStr">
        <ns0:is>
          <ns0:t>P/E: loss-making at IPO, use P/S; greenshoe: end-of-stabilisation notice not found; range low: maximum offer price only, no floor published</ns0:t>
        </ns0:is>
      </ns0:c>
    </ns0:row>
    <ns0:row r="493" ht="22" customHeight="1">
      <ns0:c r="A493" s="73" t="inlineStr">
        <ns0:is>
          <ns0:t>1191</ns0:t>
        </ns0:is>
      </ns0:c>
      <ns0:c r="B493" s="74" t="inlineStr">
        <ns0:is>
          <ns0:t>CREALIGHTS</ns0:t>
        </ns0:is>
      </ns0:c>
      <ns0:c r="C493" s="74" t="inlineStr">
        <ns0:is>
          <ns0:t>海光芯正</ns0:t>
        </ns0:is>
      </ns0:c>
      <ns0:c r="D493" s="74" t="inlineStr">
        <ns0:is>
          <ns0:t>Technology</ns0:t>
        </ns0:is>
      </ns0:c>
      <ns0:c r="E493" s="74" t="inlineStr">
        <ns0:is>
          <ns0:t>Hardware &amp; electronics</ns0:t>
        </ns0:is>
      </ns0:c>
      <ns0:c r="F493" s="74" t="inlineStr">
        <ns0:is>
          <ns0:t>Telecommunications &amp; Networking Equipment</ns0:t>
        </ns0:is>
      </ns0:c>
      <ns0:c r="G493" s="74" t="inlineStr">
        <ns0:is>
          <ns0:t>Standard</ns0:t>
        </ns0:is>
      </ns0:c>
      <ns0:c r="H493" s="75" t="n">
        <ns0:v>46202</ns0:v>
      </ns0:c>
      <ns0:c r="I493" s="76" t="n">
        <ns0:v>1531.19</ns0:v>
      </ns0:c>
      <ns0:c r="J493" s="74" t="inlineStr">
        <ns0:is>
          <ns0:t>gross (stated)</ns0:t>
        </ns0:is>
      </ns0:c>
      <ns0:c r="K493" s="95" t="n"/>
      <ns0:c r="L493" s="77" t="n">
        <ns0:v>114</ns0:v>
      </ns0:c>
      <ns0:c r="M493" s="77" t="n">
        <ns0:v>114</ns0:v>
      </ns0:c>
      <ns0:c r="N493" s="74" t="inlineStr">
        <ns0:is>
          <ns0:t>Y</ns0:t>
        </ns0:is>
      </ns0:c>
      <ns0:c r="O493" s="78" t="n">
        <ns0:v>100</ns0:v>
      </ns0:c>
      <ns0:c r="P493" s="84" t="n"/>
      <ns0:c r="Q493" s="79" t="n">
        <ns0:v>10208</ns0:v>
      </ns0:c>
      <ns0:c r="R493" s="74" t="inlineStr">
        <ns0:is>
          <ns0:t>press:sina 2026-06-19: 发行后总市值约102.08亿 at HK$114</ns0:t>
        </ns0:is>
      </ns0:c>
      <ns0:c r="S493" s="80" t="n">
        <ns0:v>1296.89</ns0:v>
      </ns0:c>
      <ns0:c r="T493" s="81" t="n">
        <ns0:v>15.51</ns0:v>
      </ns0:c>
      <ns0:c r="U493" s="82" t="n">
        <ns0:v>49.85</ns0:v>
      </ns0:c>
      <ns0:c r="V493" s="83" t="n">
        <ns0:v>116</ns0:v>
      </ns0:c>
      <ns0:c r="W493" s="78" t="n">
        <ns0:v>10</ns0:v>
      </ns0:c>
      <ns0:c r="X493" s="74" t="inlineStr">
        <ns0:is>
          <ns0:t>NA</ns0:t>
        </ns0:is>
      </ns0:c>
      <ns0:c r="Y493" s="79" t="n">
        <ns0:v>767.89</ns0:v>
      </ns0:c>
      <ns0:c r="Z493" s="79" t="n">
        <ns0:v>6735897</ns0:v>
      </ns0:c>
      <ns0:c r="AA493" s="78" t="n">
        <ns0:v>7.52</ns0:v>
      </ns0:c>
      <ns0:c r="AB493" s="74" t="inlineStr">
        <ns0:is>
          <ns0:t>E Fund Management Co., Ltd; JSC International Investment Fund SPC; Kingsoft Cloud Network Corporation Limited; Perseverance Asset Management International (Singapore) Pte. Ltd; UBS Asset Management (Singapore) Ltd; Winwin Technology Investment Co., Limited</ns0:t>
        </ns0:is>
      </ns0:c>
      <ns0:c r="AC493" s="74" t="inlineStr">
        <ns0:is>
          <ns0:t>fund-management;jsc;kingsoft;perseverance;ubs;winwin</ns0:t>
        </ns0:is>
      </ns0:c>
      <ns0:c r="AD493" s="78" t="n">
        <ns0:v>15</ns0:v>
      </ns0:c>
      <ns0:c r="AE493" s="74" t="inlineStr">
        <ns0:is>
          <ns0:t>full</ns0:t>
        </ns0:is>
      </ns0:c>
      <ns0:c r="AF493" s="85" t="n"/>
      <ns0:c r="AG493" s="74" t="inlineStr">
        <ns0:is>
          <ns0:t>Huatai Financial Holdings</ns0:t>
        </ns0:is>
      </ns0:c>
      <ns0:c r="AH493" s="74" t="inlineStr">
        <ns0:is>
          <ns0:t>Huatai</ns0:t>
        </ns0:is>
      </ns0:c>
      <ns0:c r="AI493" s="86" t="n">
        <ns0:v>86.84</ns0:v>
      </ns0:c>
      <ns0:c r="AJ493" s="87" t="n">
        <ns0:v>44.74</ns0:v>
      </ns0:c>
      <ns0:c r="AK493" s="87" t="n">
        <ns0:v>3.06</ns0:v>
      </ns0:c>
      <ns0:c r="AL493" s="87" t="n">
        <ns0:v>75.34999999999999</ns0:v>
      </ns0:c>
      <ns0:c r="AM493" s="87" t="n">
        <ns0:v>-17.46</ns0:v>
      </ns0:c>
      <ns0:c r="AN493" s="89" t="n">
        <ns0:v>3.84</ns0:v>
      </ns0:c>
      <ns0:c r="AO493" s="78" t="n">
        <ns0:v>31.52</ns0:v>
      </ns0:c>
      <ns0:c r="AP493" s="87" t="n">
        <ns0:v>60.53</ns0:v>
      </ns0:c>
      <ns0:c r="AQ493" s="87" t="n">
        <ns0:v>-41.67</ns0:v>
      </ns0:c>
      <ns0:c r="AR493" s="87" t="n">
        <ns0:v>38.07</ns0:v>
      </ns0:c>
      <ns0:c r="AS493" s="87" t="n">
        <ns0:v>10.91</ns0:v>
      </ns0:c>
      <ns0:c r="AT493" s="87" t="n">
        <ns0:v>-59.7</ns0:v>
      </ns0:c>
      <ns0:c r="AU493" s="87" t="n">
        <ns0:v>-4.61</ns0:v>
      </ns0:c>
      <ns0:c r="AV493" s="87" t="n">
        <ns0:v>54.84</ns0:v>
      </ns0:c>
      <ns0:c r="AW493" s="87" t="n">
        <ns0:v>-55.74</ns0:v>
      </ns0:c>
      <ns0:c r="AX493" s="87" t="n">
        <ns0:v>36.63</ns0:v>
      </ns0:c>
      <ns0:c r="AY493" s="87" t="n">
        <ns0:v>-70.38</ns0:v>
      </ns0:c>
      <ns0:c r="AZ493" s="87" t="n">
        <ns0:v>14.07</ns0:v>
      </ns0:c>
      <ns0:c r="BA493" s="87" t="n">
        <ns0:v>10.68</ns0:v>
      </ns0:c>
      <ns0:c r="BB493" s="74" t="inlineStr">
        <ns0:is>
          <ns0:t>HSTECH (Hang Seng TECH ETF)</ns0:t>
        </ns0:is>
      </ns0:c>
      <ns0:c r="BC493" s="87" t="n">
        <ns0:v>12.54</ns0:v>
      </ns0:c>
      <ns0:c r="BD493" s="75" t="n">
        <ns0:v>46297</ns0:v>
      </ns0:c>
      <ns0:c r="BE493" s="76" t="n">
        <ns0:v>1343.2</ns0:v>
      </ns0:c>
      <ns0:c r="BF493" s="79" t="n">
        <ns0:v>-110.2</ns0:v>
      </ns0:c>
      <ns0:c r="BG493" s="74" t="inlineStr">
        <ns0:is>
          <ns0:t>N</ns0:t>
        </ns0:is>
      </ns0:c>
      <ns0:c r="BH493" s="74" t="inlineStr">
        <ns0:is>
          <ns0:t>n/m</ns0:t>
        </ns0:is>
      </ns0:c>
      <ns0:c r="BI493" s="88" t="n"/>
      <ns0:c r="BJ493" s="88" t="n"/>
      <ns0:c r="BK493" s="89" t="n">
        <ns0:v>7.6</ns0:v>
      </ns0:c>
      <ns0:c r="BL493" s="90">
        <ns0:f>IFERROR(IF('BBG Verify'!S493="","Awaiting Bloomberg",'BBG Verify'!S493),"Awaiting Bloomberg")</ns0:f>
        <ns0:v/>
      </ns0:c>
      <ns0:c r="BM493" s="91" t="inlineStr">
        <ns0:is>
          <ns0:t>N</ns0:t>
        </ns0:is>
      </ns0:c>
      <ns0:c r="BN493" s="92">
        <ns0:f>IFERROR(IF('BBG Verify'!K493="","Awaiting Bloomberg",'BBG Verify'!K493),"Awaiting Bloomberg")</ns0:f>
        <ns0:v/>
      </ns0:c>
      <ns0:c r="BO493" s="74" t="inlineStr">
        <ns0:is>
          <ns0:t>N/A</ns0:t>
        </ns0:is>
      </ns0:c>
      <ns0:c r="BP493" s="74" t="inlineStr">
        <ns0:is>
          <ns0:t>N/A</ns0:t>
        </ns0:is>
      </ns0:c>
      <ns0:c r="BQ493" s="74" t="inlineStr">
        <ns0:is>
          <ns0:t>N/A</ns0:t>
        </ns0:is>
      </ns0:c>
      <ns0:c r="BR493" s="74" t="inlineStr">
        <ns0:is>
          <ns0:t>N/A</ns0:t>
        </ns0:is>
      </ns0:c>
      <ns0:c r="BS493" s="74" t="inlineStr">
        <ns0:is>
          <ns0:t>N/A</ns0:t>
        </ns0:is>
      </ns0:c>
      <ns0:c r="BT493" s="74" t="inlineStr">
        <ns0:is>
          <ns0:t>N/A</ns0:t>
        </ns0:is>
      </ns0:c>
      <ns0:c r="BU493" s="91" t="inlineStr">
        <ns0:is>
          <ns0:t>Frost &amp; Sullivan (Beijing) Inc., Shanghai Branch; Transfer Pricing Consultant Grant Thornton Singapore Pte Ltd; Bank of China (Hong Kong) Limited; China CITIC Bank International Limited; Agricultural Bank of China Suzhou Qingjianhu Branch</ns0:t>
        </ns0:is>
      </ns0:c>
      <ns0:c r="BV493" s="74" t="inlineStr">
        <ns0:is>
          <ns0:t>Huatai Financial Holdings (Hong Kong) Limited</ns0:t>
        </ns0:is>
      </ns0:c>
      <ns0:c r="BW493" s="74" t="inlineStr">
        <ns0:is>
          <ns0:t>Huatai Financial Holdings (Hong Kong) Limited</ns0:t>
        </ns0:is>
      </ns0:c>
      <ns0:c r="BX493" s="74" t="inlineStr">
        <ns0:is>
          <ns0:t>Huatai Financial Holdings (Hong Kong) Limited</ns0:t>
        </ns0:is>
      </ns0:c>
      <ns0:c r="BY493" s="93">
        <ns0:f>HYPERLINK("https://www1.hkexnews.hk/listedco/listconews/sehk/2026/0618/2026061800079.pdf","prospectus")</ns0:f>
        <ns0:v/>
      </ns0:c>
      <ns0:c r="BZ493" s="93">
        <ns0:f>HYPERLINK("https://www1.hkexnews.hk/listedco/listconews/sehk/2026/0626/2026062602599.pdf","allotment")</ns0:f>
        <ns0:v/>
      </ns0:c>
      <ns0:c r="CA493" s="93">
        <ns0:f>HYPERLINK("https://www1.hkexnews.hk/listedco/listconews/sehk/2026/0724/2026072400428.pdf","stabilisation")</ns0:f>
        <ns0:v/>
      </ns0:c>
      <ns0:c r="CB493" s="94" t="n"/>
      <ns0:c r="CC493" s="74" t="inlineStr">
        <ns0:is>
          <ns0:t>P/E: loss-making at IPO, use P/S; greenshoe: outcome published; expiry date not in the notice; range low: maximum offer price only, no floor published</ns0:t>
        </ns0:is>
      </ns0:c>
    </ns0:row>
    <ns0:row r="494" ht="22" customHeight="1">
      <ns0:c r="A494" s="73" t="inlineStr">
        <ns0:is>
          <ns0:t>9637</ns0:t>
        </ns0:is>
      </ns0:c>
      <ns0:c r="B494" s="74" t="inlineStr">
        <ns0:is>
          <ns0:t>ALEBUND-B</ns0:t>
        </ns0:is>
      </ns0:c>
      <ns0:c r="C494" s="74" t="inlineStr">
        <ns0:is>
          <ns0:t>禮邦醫藥－Ｂ</ns0:t>
        </ns0:is>
      </ns0:c>
      <ns0:c r="D494" s="74" t="inlineStr">
        <ns0:is>
          <ns0:t>Healthcare</ns0:t>
        </ns0:is>
      </ns0:c>
      <ns0:c r="E494" s="74" t="inlineStr">
        <ns0:is>
          <ns0:t>Biotech pre-revenue (18A)</ns0:t>
        </ns0:is>
      </ns0:c>
      <ns0:c r="F494" s="74" t="inlineStr">
        <ns0:is>
          <ns0:t>Biotechnology - Pharmaceuticals</ns0:t>
        </ns0:is>
      </ns0:c>
      <ns0:c r="G494" s="74" t="inlineStr">
        <ns0:is>
          <ns0:t>18A</ns0:t>
        </ns0:is>
      </ns0:c>
      <ns0:c r="H494" s="75" t="n">
        <ns0:v>46202</ns0:v>
      </ns0:c>
      <ns0:c r="I494" s="76" t="n">
        <ns0:v>1282.7</ns0:v>
      </ns0:c>
      <ns0:c r="J494" s="74" t="inlineStr">
        <ns0:is>
          <ns0:t>gross (stated)</ns0:t>
        </ns0:is>
      </ns0:c>
      <ns0:c r="K494" s="95" t="n"/>
      <ns0:c r="L494" s="77" t="n">
        <ns0:v>22.6</ns0:v>
      </ns0:c>
      <ns0:c r="M494" s="77" t="n">
        <ns0:v>22.6</ns0:v>
      </ns0:c>
      <ns0:c r="N494" s="74" t="inlineStr">
        <ns0:is>
          <ns0:t>Y</ns0:t>
        </ns0:is>
      </ns0:c>
      <ns0:c r="O494" s="78" t="n">
        <ns0:v>100</ns0:v>
      </ns0:c>
      <ns0:c r="P494" s="84" t="n"/>
      <ns0:c r="Q494" s="79" t="n">
        <ns0:v>6859.4</ns0:v>
      </ns0:c>
      <ns0:c r="R494" s="74" t="inlineStr">
        <ns0:is>
          <ns0:t>derived:deal size / offer % of enlarged capital</ns0:t>
        </ns0:is>
      </ns0:c>
      <ns0:c r="S494" s="80" t="n">
        <ns0:v>963.5599999999999</ns0:v>
      </ns0:c>
      <ns0:c r="T494" s="81" t="n">
        <ns0:v>19.77</ns0:v>
      </ns0:c>
      <ns0:c r="U494" s="82" t="n">
        <ns0:v>49.78</ns0:v>
      </ns0:c>
      <ns0:c r="V494" s="83" t="n">
        <ns0:v>93</ns0:v>
      </ns0:c>
      <ns0:c r="W494" s="78" t="n">
        <ns0:v>10</ns0:v>
      </ns0:c>
      <ns0:c r="X494" s="74" t="inlineStr">
        <ns0:is>
          <ns0:t>NA</ns0:t>
        </ns0:is>
      </ns0:c>
      <ns0:c r="Y494" s="79" t="n">
        <ns0:v>644.17</ns0:v>
      </ns0:c>
      <ns0:c r="Z494" s="79" t="n">
        <ns0:v>28502562</ns0:v>
      </ns0:c>
      <ns0:c r="AA494" s="78" t="n">
        <ns0:v>9.390000000000001</ns0:v>
      </ns0:c>
      <ns0:c r="AB494" s="74" t="inlineStr">
        <ns0:is>
          <ns0:t>GIC Private Limited; Loomis, Sayles &amp; Company, L.P; Loomis Sayles Trust Company, LLC; RTW Master Fund, Ltd; RTW Innovation Master Fund, Ltd; RTW Biotech Opportunities Ltd; SymBiosis II, LLC; Huang River Investment Limited; Perfect Ten Holding Limited; Cormorant Global Healthcare Master Fund, LP; Dymon Asia Multi-Strategy Investment Master Fund; GF Fund Management Co., Ltd; GF International Investment Management Limited; China Universal Asset Management (Hong Kong) Company Limited; E Fund Management (Hong Kong) Co., Ltd; Golden Valley Value Select Master Fund; Golden Valley Global Limited; Loyal Valley Capital Advantage Fund III LP</ns0:t>
        </ns0:is>
      </ns0:c>
      <ns0:c r="AC494" s="74" t="inlineStr">
        <ns0:is>
          <ns0:t>gic;loomis;rtw;symbiosis;huang-river;perfect;cormorant;dymon;gf;universal;fund-management;golden-valley;loyal</ns0:t>
        </ns0:is>
      </ns0:c>
      <ns0:c r="AD494" s="78" t="n">
        <ns0:v>7.9</ns0:v>
      </ns0:c>
      <ns0:c r="AE494" s="74" t="inlineStr">
        <ns0:is>
          <ns0:t>full</ns0:t>
        </ns0:is>
      </ns0:c>
      <ns0:c r="AF494" s="85" t="n"/>
      <ns0:c r="AG494" s="74" t="inlineStr">
        <ns0:is>
          <ns0:t>Jefferies Hong Kong Limited</ns0:t>
        </ns0:is>
      </ns0:c>
      <ns0:c r="AH494" s="74" t="inlineStr">
        <ns0:is>
          <ns0:t>Jefferies</ns0:t>
        </ns0:is>
      </ns0:c>
      <ns0:c r="AI494" s="86" t="n">
        <ns0:v>88.05</ns0:v>
      </ns0:c>
      <ns0:c r="AJ494" s="87" t="n">
        <ns0:v>103.54</ns0:v>
      </ns0:c>
      <ns0:c r="AK494" s="87" t="n">
        <ns0:v>7.68</ns0:v>
      </ns0:c>
      <ns0:c r="AL494" s="87" t="n">
        <ns0:v>85.84</ns0:v>
      </ns0:c>
      <ns0:c r="AM494" s="87" t="n">
        <ns0:v>9.52</ns0:v>
      </ns0:c>
      <ns0:c r="AN494" s="89" t="n">
        <ns0:v>2.25</ns0:v>
      </ns0:c>
      <ns0:c r="AO494" s="78" t="n">
        <ns0:v>13.1</ns0:v>
      </ns0:c>
      <ns0:c r="AP494" s="87" t="n">
        <ns0:v>29.12</ns0:v>
      </ns0:c>
      <ns0:c r="AQ494" s="87" t="n">
        <ns0:v>19.47</ns0:v>
      </ns0:c>
      <ns0:c r="AR494" s="87" t="n">
        <ns0:v>9.65</ns0:v>
      </ns0:c>
      <ns0:c r="AS494" s="87" t="n">
        <ns0:v>-36.56</ns0:v>
      </ns0:c>
      <ns0:c r="AT494" s="87" t="n">
        <ns0:v>-41.3</ns0:v>
      </ns0:c>
      <ns0:c r="AU494" s="87" t="n">
        <ns0:v>-46.13</ns0:v>
      </ns0:c>
      <ns0:c r="AV494" s="87" t="n">
        <ns0:v>16.76</ns0:v>
      </ns0:c>
      <ns0:c r="AW494" s="87" t="n">
        <ns0:v>2.47</ns0:v>
      </ns0:c>
      <ns0:c r="AX494" s="87" t="n">
        <ns0:v>-16.14</ns0:v>
      </ns0:c>
      <ns0:c r="AY494" s="87" t="n">
        <ns0:v>-49.96</ns0:v>
      </ns0:c>
      <ns0:c r="AZ494" s="87" t="n">
        <ns0:v>17</ns0:v>
      </ns0:c>
      <ns0:c r="BA494" s="87" t="n">
        <ns0:v>8.66</ns0:v>
      </ns0:c>
      <ns0:c r="BB494" s="74" t="inlineStr">
        <ns0:is>
          <ns0:t>China Biotech ETF (HS biotech proxy)</ns0:t>
        </ns0:is>
      </ns0:c>
      <ns0:c r="BC494" s="87" t="n">
        <ns0:v>12.39</ns0:v>
      </ns0:c>
      <ns0:c r="BD494" s="75" t="n">
        <ns0:v>46297</ns0:v>
      </ns0:c>
      <ns0:c r="BE494" s="76" t="n">
        <ns0:v>33.6</ns0:v>
      </ns0:c>
      <ns0:c r="BF494" s="79" t="n">
        <ns0:v>-827</ns0:v>
      </ns0:c>
      <ns0:c r="BG494" s="74" t="inlineStr">
        <ns0:is>
          <ns0:t>N</ns0:t>
        </ns0:is>
      </ns0:c>
      <ns0:c r="BH494" s="74" t="inlineStr">
        <ns0:is>
          <ns0:t>n/m</ns0:t>
        </ns0:is>
      </ns0:c>
      <ns0:c r="BI494" s="88" t="n"/>
      <ns0:c r="BJ494" s="88" t="n"/>
      <ns0:c r="BK494" s="89" t="n">
        <ns0:v>204.1</ns0:v>
      </ns0:c>
      <ns0:c r="BL494" s="90">
        <ns0:f>IFERROR(IF('BBG Verify'!S494="","Awaiting Bloomberg",'BBG Verify'!S494),"Awaiting Bloomberg")</ns0:f>
        <ns0:v/>
      </ns0:c>
      <ns0:c r="BM494" s="91" t="inlineStr">
        <ns0:is>
          <ns0:t>N</ns0:t>
        </ns0:is>
      </ns0:c>
      <ns0:c r="BN494" s="92">
        <ns0:f>IFERROR(IF('BBG Verify'!K494="","Awaiting Bloomberg",'BBG Verify'!K494),"Awaiting Bloomberg")</ns0:f>
        <ns0:v/>
      </ns0:c>
      <ns0:c r="BO494" s="74" t="inlineStr">
        <ns0:is>
          <ns0:t>N/A</ns0:t>
        </ns0:is>
      </ns0:c>
      <ns0:c r="BP494" s="74" t="inlineStr">
        <ns0:is>
          <ns0:t>N/A</ns0:t>
        </ns0:is>
      </ns0:c>
      <ns0:c r="BQ494" s="74" t="inlineStr">
        <ns0:is>
          <ns0:t>N/A</ns0:t>
        </ns0:is>
      </ns0:c>
      <ns0:c r="BR494" s="74" t="inlineStr">
        <ns0:is>
          <ns0:t>N/A</ns0:t>
        </ns0:is>
      </ns0:c>
      <ns0:c r="BS494" s="74" t="inlineStr">
        <ns0:is>
          <ns0:t>N/A</ns0:t>
        </ns0:is>
      </ns0:c>
      <ns0:c r="BT494" s="74" t="inlineStr">
        <ns0:is>
          <ns0:t>N/A</ns0:t>
        </ns0:is>
      </ns0:c>
      <ns0:c r="BU494" s="91" t="inlineStr">
        <ns0:is>
          <ns0:t>Jefferies Hong Kong Limited; Merrill Lynch (Asia Pacific) Limited; Huatai Financial Holdings (Hong Kong) Limited</ns0:t>
        </ns0:is>
      </ns0:c>
      <ns0:c r="BV494" s="74" t="inlineStr">
        <ns0:is>
          <ns0:t>Jefferies Hong Kong Limited; Merrill Lynch (Asia Pacific) Limited; Huatai Financial Holdings (Hong Kong) Limited</ns0:t>
        </ns0:is>
      </ns0:c>
      <ns0:c r="BW494" s="74" t="inlineStr">
        <ns0:is>
          <ns0:t>BOCI Asia Limited</ns0:t>
        </ns0:is>
      </ns0:c>
      <ns0:c r="BX494" s="74" t="inlineStr">
        <ns0:is>
          <ns0:t>BOCI Asia Limited; CLSA Limited; Huatai Financial Holdings (Hong Kong) Limited; Jefferies Hong Kong Limited; Merrill Lynch (Asia Pacific) Limited</ns0:t>
        </ns0:is>
      </ns0:c>
      <ns0:c r="BY494" s="93">
        <ns0:f>HYPERLINK("https://www1.hkexnews.hk/listedco/listconews/sehk/2026/0618/2026061800025.pdf","prospectus")</ns0:f>
        <ns0:v/>
      </ns0:c>
      <ns0:c r="BZ494" s="93">
        <ns0:f>HYPERLINK("https://www1.hkexnews.hk/listedco/listconews/sehk/2026/0626/2026062603033.pdf","allotment")</ns0:f>
        <ns0:v/>
      </ns0:c>
      <ns0:c r="CA494" s="93">
        <ns0:f>HYPERLINK("https://www1.hkexnews.hk/listedco/listconews/sehk/2026/0724/2026072400262.pdf","stabilisation")</ns0:f>
        <ns0:v/>
      </ns0:c>
      <ns0:c r="CB494" s="94" t="n"/>
      <ns0:c r="CC494" s="74" t="inlineStr">
        <ns0:is>
          <ns0:t>P/E: loss-making at IPO, use P/S; greenshoe: outcome published; expiry date not in the notice; range low: maximum offer price only, no floor published; sponsor: English name not in the filing; AAStocks 保薦人 shown</ns0:t>
        </ns0:is>
      </ns0:c>
    </ns0:row>
    <ns0:row r="495" ht="22" customHeight="1">
      <ns0:c r="A495" s="73" t="inlineStr">
        <ns0:is>
          <ns0:t>2697</ns0:t>
        </ns0:is>
      </ns0:c>
      <ns0:c r="B495" s="74" t="inlineStr">
        <ns0:is>
          <ns0:t>TH MEDICAL-B</ns0:t>
        </ns0:is>
      </ns0:c>
      <ns0:c r="C495" s="74" t="inlineStr">
        <ns0:is>
          <ns0:t>真健康醫療－Ｂ</ns0:t>
        </ns0:is>
      </ns0:c>
      <ns0:c r="D495" s="74" t="inlineStr">
        <ns0:is>
          <ns0:t>Healthcare</ns0:t>
        </ns0:is>
      </ns0:c>
      <ns0:c r="E495" s="74" t="inlineStr">
        <ns0:is>
          <ns0:t>Medical devices</ns0:t>
        </ns0:is>
      </ns0:c>
      <ns0:c r="F495" s="74" t="inlineStr">
        <ns0:is>
          <ns0:t>Biotechnology - Medical Devices</ns0:t>
        </ns0:is>
      </ns0:c>
      <ns0:c r="G495" s="74" t="inlineStr">
        <ns0:is>
          <ns0:t>18A</ns0:t>
        </ns0:is>
      </ns0:c>
      <ns0:c r="H495" s="75" t="n">
        <ns0:v>46203</ns0:v>
      </ns0:c>
      <ns0:c r="I495" s="76" t="n">
        <ns0:v>449.9</ns0:v>
      </ns0:c>
      <ns0:c r="J495" s="74" t="inlineStr">
        <ns0:is>
          <ns0:t>gross (stated)</ns0:t>
        </ns0:is>
      </ns0:c>
      <ns0:c r="K495" s="95" t="n"/>
      <ns0:c r="L495" s="77" t="n">
        <ns0:v>135.4</ns0:v>
      </ns0:c>
      <ns0:c r="M495" s="77" t="n">
        <ns0:v>126.2</ns0:v>
      </ns0:c>
      <ns0:c r="N495" s="74" t="inlineStr">
        <ns0:is>
          <ns0:t>N</ns0:t>
        </ns0:is>
      </ns0:c>
      <ns0:c r="O495" s="78" t="n">
        <ns0:v>93.2</ns0:v>
      </ns0:c>
      <ns0:c r="P495" s="84" t="n"/>
      <ns0:c r="Q495" s="79" t="n">
        <ns0:v>4498.7</ns0:v>
      </ns0:c>
      <ns0:c r="R495" s="74" t="inlineStr">
        <ns0:is>
          <ns0:t>derived:price x shares upon listing</ns0:t>
        </ns0:is>
      </ns0:c>
      <ns0:c r="S495" s="80" t="n">
        <ns0:v>1790.4</ns0:v>
      </ns0:c>
      <ns0:c r="T495" s="81" t="n">
        <ns0:v>2.2</ns0:v>
      </ns0:c>
      <ns0:c r="U495" s="82" t="n">
        <ns0:v>0</ns0:v>
      </ns0:c>
      <ns0:c r="V495" s="83" t="n">
        <ns0:v>107</ns0:v>
      </ns0:c>
      <ns0:c r="W495" s="78" t="n">
        <ns0:v>10</ns0:v>
      </ns0:c>
      <ns0:c r="X495" s="74" t="inlineStr">
        <ns0:is>
          <ns0:t>NO</ns0:t>
        </ns0:is>
      </ns0:c>
      <ns0:c r="Y495" s="79" t="n">
        <ns0:v>449.9</ns0:v>
      </ns0:c>
      <ns0:c r="Z495" s="79" t="n">
        <ns0:v>3564700</ns0:v>
      </ns0:c>
      <ns0:c r="AA495" s="78" t="n">
        <ns0:v>10</ns0:v>
      </ns0:c>
      <ns0:c r="AB495" s="74" t="inlineStr">
        <ns0:is>
          <ns0:t>none — no cornerstone tranche</ns0:t>
        </ns0:is>
      </ns0:c>
      <ns0:c r="AC495" s="74" t="inlineStr">
        <ns0:is>
          <ns0:t>none</ns0:t>
        </ns0:is>
      </ns0:c>
      <ns0:c r="AD495" s="78" t="n">
        <ns0:v>14.5</ns0:v>
      </ns0:c>
      <ns0:c r="AE495" s="85" t="n"/>
      <ns0:c r="AF495" s="85" t="n"/>
      <ns0:c r="AG495" s="74" t="inlineStr">
        <ns0:is>
          <ns0:t>China International Capital Corporation Hong Kong Securities Limited</ns0:t>
        </ns0:is>
      </ns0:c>
      <ns0:c r="AH495" s="74" t="inlineStr">
        <ns0:is>
          <ns0:t>China International</ns0:t>
        </ns0:is>
      </ns0:c>
      <ns0:c r="AI495" s="86" t="n">
        <ns0:v>172.74</ns0:v>
      </ns0:c>
      <ns0:c r="AJ495" s="87" t="n">
        <ns0:v>216.96</ns0:v>
      </ns0:c>
      <ns0:c r="AK495" s="87" t="n">
        <ns0:v>-0.9399999999999999</ns0:v>
      </ns0:c>
      <ns0:c r="AL495" s="87" t="n">
        <ns0:v>159.27</ns0:v>
      </ns0:c>
      <ns0:c r="AM495" s="87" t="n">
        <ns0:v>22.25</ns0:v>
      </ns0:c>
      <ns0:c r="AN495" s="89" t="n">
        <ns0:v>2.56</ns0:v>
      </ns0:c>
      <ns0:c r="AO495" s="78" t="n">
        <ns0:v>30.07</ns0:v>
      </ns0:c>
      <ns0:c r="AP495" s="87" t="n">
        <ns0:v>202.22</ns0:v>
      </ns0:c>
      <ns0:c r="AQ495" s="87" t="n">
        <ns0:v>325.91</ns0:v>
      </ns0:c>
      <ns0:c r="AR495" s="87" t="n">
        <ns0:v>112.2</ns0:v>
      </ns0:c>
      <ns0:c r="AS495" s="87" t="n">
        <ns0:v>-4.65</ns0:v>
      </ns0:c>
      <ns0:c r="AT495" s="87" t="n">
        <ns0:v>34.37</ns0:v>
      </ns0:c>
      <ns0:c r="AU495" s="87" t="n">
        <ns0:v>-33.05</ns0:v>
      </ns0:c>
      <ns0:c r="AV495" s="87" t="n">
        <ns0:v>199.84</ns0:v>
      </ns0:c>
      <ns0:c r="AW495" s="87" t="n">
        <ns0:v>319.19</ns0:v>
      </ns0:c>
      <ns0:c r="AX495" s="87" t="n">
        <ns0:v>96.13</ns0:v>
      </ns0:c>
      <ns0:c r="AY495" s="87" t="n">
        <ns0:v>26.64</ns0:v>
      </ns0:c>
      <ns0:c r="AZ495" s="87" t="n">
        <ns0:v>6.72</ns0:v>
      </ns0:c>
      <ns0:c r="BA495" s="87" t="n">
        <ns0:v>7.73</ns0:v>
      </ns0:c>
      <ns0:c r="BB495" s="74" t="inlineStr">
        <ns0:is>
          <ns0:t>China Biotech ETF (HS biotech proxy)</ns0:t>
        </ns0:is>
      </ns0:c>
      <ns0:c r="BC495" s="87" t="n">
        <ns0:v>121.55</ns0:v>
      </ns0:c>
      <ns0:c r="BD495" s="75" t="n">
        <ns0:v>46297</ns0:v>
      </ns0:c>
      <ns0:c r="BE495" s="76" t="n">
        <ns0:v>13.4</ns0:v>
      </ns0:c>
      <ns0:c r="BF495" s="79" t="n">
        <ns0:v>-99.09999999999999</ns0:v>
      </ns0:c>
      <ns0:c r="BG495" s="74" t="inlineStr">
        <ns0:is>
          <ns0:t>N</ns0:t>
        </ns0:is>
      </ns0:c>
      <ns0:c r="BH495" s="74" t="inlineStr">
        <ns0:is>
          <ns0:t>n/m</ns0:t>
        </ns0:is>
      </ns0:c>
      <ns0:c r="BI495" s="88" t="n"/>
      <ns0:c r="BJ495" s="88" t="n"/>
      <ns0:c r="BK495" s="89" t="n">
        <ns0:v>335.7</ns0:v>
      </ns0:c>
      <ns0:c r="BL495" s="90">
        <ns0:f>IFERROR(IF('BBG Verify'!S495="","Awaiting Bloomberg",'BBG Verify'!S495),"Awaiting Bloomberg")</ns0:f>
        <ns0:v/>
      </ns0:c>
      <ns0:c r="BM495" s="91" t="inlineStr">
        <ns0:is>
          <ns0:t>N</ns0:t>
        </ns0:is>
      </ns0:c>
      <ns0:c r="BN495" s="92">
        <ns0:f>IFERROR(IF('BBG Verify'!K495="","Awaiting Bloomberg",'BBG Verify'!K495),"Awaiting Bloomberg")</ns0:f>
        <ns0:v/>
      </ns0:c>
      <ns0:c r="BO495" s="74" t="inlineStr">
        <ns0:is>
          <ns0:t>N/A</ns0:t>
        </ns0:is>
      </ns0:c>
      <ns0:c r="BP495" s="74" t="inlineStr">
        <ns0:is>
          <ns0:t>N/A</ns0:t>
        </ns0:is>
      </ns0:c>
      <ns0:c r="BQ495" s="74" t="inlineStr">
        <ns0:is>
          <ns0:t>N/A</ns0:t>
        </ns0:is>
      </ns0:c>
      <ns0:c r="BR495" s="74" t="inlineStr">
        <ns0:is>
          <ns0:t>N/A</ns0:t>
        </ns0:is>
      </ns0:c>
      <ns0:c r="BS495" s="74" t="inlineStr">
        <ns0:is>
          <ns0:t>N/A</ns0:t>
        </ns0:is>
      </ns0:c>
      <ns0:c r="BT495" s="74" t="inlineStr">
        <ns0:is>
          <ns0:t>N/A</ns0:t>
        </ns0:is>
      </ns0:c>
      <ns0:c r="BU495" s="91" t="inlineStr">
        <ns0:is>
          <ns0:t>China International Capital Corporation Hong Kong Securities Limited; DBS Asia Capital Limited</ns0:t>
        </ns0:is>
      </ns0:c>
      <ns0:c r="BV495" s="74" t="inlineStr">
        <ns0:is>
          <ns0:t>China International Capital Corporation Hong Kong Securities Limited; DBS Asia Capital Limited</ns0:t>
        </ns0:is>
      </ns0:c>
      <ns0:c r="BW495" s="74" t="inlineStr">
        <ns0:is>
          <ns0:t>China International Capital Corporation Hong Kong Securities Limited; DBS Asia Capital Limited; ABCI Capital Limited; Funde Securities Limited; CMBC Securities Company Limited; Livermore Holdings Limited; Open Securities Limited; SPDB International Capital Limited</ns0:t>
        </ns0:is>
      </ns0:c>
      <ns0:c r="BX495" s="74" t="inlineStr">
        <ns0:is>
          <ns0: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ns0:t>
        </ns0:is>
      </ns0:c>
      <ns0:c r="BY495" s="93">
        <ns0:f>HYPERLINK("https://www1.hkexnews.hk/listedco/listconews/sehk/2026/0622/2026062200041.pdf","prospectus")</ns0:f>
        <ns0:v/>
      </ns0:c>
      <ns0:c r="BZ495" s="93">
        <ns0:f>HYPERLINK("https://www1.hkexnews.hk/listedco/listconews/sehk/2026/0629/2026062901959.pdf","allotment")</ns0:f>
        <ns0:v/>
      </ns0:c>
      <ns0:c r="CA495" s="85" t="n"/>
      <ns0:c r="CB495" s="94" t="n"/>
      <ns0:c r="CC495" s="74" t="inlineStr">
        <ns0:is>
          <ns0:t>P/E: loss-making at IPO, use P/S; greenshoe: end-of-stabilisation notice not found; range low: maximum offer price only, no floor published; cornerstone list: no cornerstone tranche; P/S: 336x on HK$13.4m revenue, effectively pre-revenue; not comparable</ns0:t>
        </ns0:is>
      </ns0:c>
    </ns0:row>
    <ns0:row r="496" ht="22" customHeight="1">
      <ns0:c r="A496" s="73" t="inlineStr">
        <ns0:is>
          <ns0:t>6915</ns0:t>
        </ns0:is>
      </ns0:c>
      <ns0:c r="B496" s="74" t="inlineStr">
        <ns0:is>
          <ns0:t>JIANGXI BIO</ns0:t>
        </ns0:is>
      </ns0:c>
      <ns0:c r="C496" s="74" t="inlineStr">
        <ns0:is>
          <ns0:t>江西生物</ns0:t>
        </ns0:is>
      </ns0:c>
      <ns0:c r="D496" s="74" t="inlineStr">
        <ns0:is>
          <ns0:t>Healthcare</ns0:t>
        </ns0:is>
      </ns0:c>
      <ns0:c r="E496" s="74" t="inlineStr">
        <ns0:is>
          <ns0:t>Biopharma commercial</ns0:t>
        </ns0:is>
      </ns0:c>
      <ns0:c r="F496" s="74" t="inlineStr">
        <ns0:is>
          <ns0:t>Biotechnology - Pharmaceuticals</ns0:t>
        </ns0:is>
      </ns0:c>
      <ns0:c r="G496" s="74" t="inlineStr">
        <ns0:is>
          <ns0:t>Standard</ns0:t>
        </ns0:is>
      </ns0:c>
      <ns0:c r="H496" s="75" t="n">
        <ns0:v>46203</ns0:v>
      </ns0:c>
      <ns0:c r="I496" s="76" t="n">
        <ns0:v>405.83</ns0:v>
      </ns0:c>
      <ns0:c r="J496" s="74" t="inlineStr">
        <ns0:is>
          <ns0:t>gross (stated)</ns0:t>
        </ns0:is>
      </ns0:c>
      <ns0:c r="K496" s="77" t="n">
        <ns0:v>9.33</ns0:v>
      </ns0:c>
      <ns0:c r="L496" s="77" t="n">
        <ns0:v>13.06</ns0:v>
      </ns0:c>
      <ns0:c r="M496" s="77" t="n">
        <ns0:v>11.2</ns0:v>
      </ns0:c>
      <ns0:c r="N496" s="74" t="inlineStr">
        <ns0:is>
          <ns0:t>N</ns0:t>
        </ns0:is>
      </ns0:c>
      <ns0:c r="O496" s="78" t="n">
        <ns0:v>85.8</ns0:v>
      </ns0:c>
      <ns0:c r="P496" s="78" t="n">
        <ns0:v>50.1</ns0:v>
      </ns0:c>
      <ns0:c r="Q496" s="79" t="n">
        <ns0:v>3453.9</ns0:v>
      </ns0:c>
      <ns0:c r="R496" s="74" t="inlineStr">
        <ns0:is>
          <ns0:t>derived:deal size / offer % of enlarged capital</ns0:t>
        </ns0:is>
      </ns0:c>
      <ns0:c r="S496" s="80" t="n">
        <ns0:v>476.56</ns0:v>
      </ns0:c>
      <ns0:c r="T496" s="81" t="n">
        <ns0:v>4.25</ns0:v>
      </ns0:c>
      <ns0:c r="U496" s="82" t="n">
        <ns0:v>12.32</ns0:v>
      </ns0:c>
      <ns0:c r="V496" s="83" t="n">
        <ns0:v>63</ns0:v>
      </ns0:c>
      <ns0:c r="W496" s="78" t="n">
        <ns0:v>10</ns0:v>
      </ns0:c>
      <ns0:c r="X496" s="74" t="inlineStr">
        <ns0:is>
          <ns0:t>NA</ns0:t>
        </ns0:is>
      </ns0:c>
      <ns0:c r="Y496" s="79" t="n">
        <ns0:v>355.83</ns0:v>
      </ns0:c>
      <ns0:c r="Z496" s="79" t="n">
        <ns0:v>31770410</ns0:v>
      </ns0:c>
      <ns0:c r="AA496" s="78" t="n">
        <ns0:v>10.3</ns0:v>
      </ns0:c>
      <ns0:c r="AB496" s="74" t="inlineStr">
        <ns0:is>
          <ns0:t>Wealth Strategy Holding Limited</ns0:t>
        </ns0:is>
      </ns0:c>
      <ns0:c r="AC496" s="74" t="inlineStr">
        <ns0:is>
          <ns0:t>wealth</ns0:t>
        </ns0:is>
      </ns0:c>
      <ns0:c r="AD496" s="78" t="n">
        <ns0:v>15</ns0:v>
      </ns0:c>
      <ns0:c r="AE496" s="74" t="inlineStr">
        <ns0:is>
          <ns0:t>lapsed</ns0:t>
        </ns0:is>
      </ns0:c>
      <ns0:c r="AF496" s="74" t="inlineStr">
        <ns0:is>
          <ns0:t>2026-07-25</ns0:t>
        </ns0:is>
      </ns0:c>
      <ns0:c r="AG496" s="74" t="inlineStr">
        <ns0:is>
          <ns0:t>Chin a International Capital Corporation Hong Kong Securities Limited</ns0:t>
        </ns0:is>
      </ns0:c>
      <ns0:c r="AH496" s="74" t="inlineStr">
        <ns0:is>
          <ns0:t>Chin a</ns0:t>
        </ns0:is>
      </ns0:c>
      <ns0:c r="AI496" s="86" t="n">
        <ns0:v>-3.48</ns0:v>
      </ns0:c>
      <ns0:c r="AJ496" s="87" t="n">
        <ns0:v>-12.68</ns0:v>
      </ns0:c>
      <ns0:c r="AK496" s="87" t="n">
        <ns0:v>-0.9399999999999999</ns0:v>
      </ns0:c>
      <ns0:c r="AL496" s="87" t="n">
        <ns0:v>-33.93</ns0:v>
      </ns0:c>
      <ns0:c r="AM496" s="87" t="n">
        <ns0:v>32.16</ns0:v>
      </ns0:c>
      <ns0:c r="AN496" s="89" t="n">
        <ns0:v>8.27</ns0:v>
      </ns0:c>
      <ns0:c r="AO496" s="78" t="n">
        <ns0:v>46.62</ns0:v>
      </ns0:c>
      <ns0:c r="AP496" s="87" t="n">
        <ns0:v>-62.41</ns0:v>
      </ns0:c>
      <ns0:c r="AQ496" s="87" t="n">
        <ns0:v>24.82</ns0:v>
      </ns0:c>
      <ns0:c r="AR496" s="87" t="n">
        <ns0:v>1.87</ns0:v>
      </ns0:c>
      <ns0:c r="AS496" s="87" t="n">
        <ns0:v>-56.95</ns0:v>
      </ns0:c>
      <ns0:c r="AT496" s="87" t="n">
        <ns0:v>42.95</ns0:v>
      </ns0:c>
      <ns0:c r="AU496" s="87" t="n">
        <ns0:v>16.66</ns0:v>
      </ns0:c>
      <ns0:c r="AV496" s="87" t="n">
        <ns0:v>-64.79000000000001</ns0:v>
      </ns0:c>
      <ns0:c r="AW496" s="87" t="n">
        <ns0:v>18.1</ns0:v>
      </ns0:c>
      <ns0:c r="AX496" s="87" t="n">
        <ns0:v>-14.2</ns0:v>
      </ns0:c>
      <ns0:c r="AY496" s="87" t="n">
        <ns0:v>35.22</ns0:v>
      </ns0:c>
      <ns0:c r="AZ496" s="87" t="n">
        <ns0:v>6.72</ns0:v>
      </ns0:c>
      <ns0:c r="BA496" s="87" t="n">
        <ns0:v>7.73</ns0:v>
      </ns0:c>
      <ns0:c r="BB496" s="74" t="inlineStr">
        <ns0:is>
          <ns0:t>China Biotech ETF (HS biotech proxy)</ns0:t>
        </ns0:is>
      </ns0:c>
      <ns0:c r="BC496" s="87" t="n">
        <ns0:v>0.89</ns0:v>
      </ns0:c>
      <ns0:c r="BD496" s="75" t="n">
        <ns0:v>46297</ns0:v>
      </ns0:c>
      <ns0:c r="BE496" s="76" t="n">
        <ns0:v>242.8</ns0:v>
      </ns0:c>
      <ns0:c r="BF496" s="79" t="n">
        <ns0:v>104.3</ns0:v>
      </ns0:c>
      <ns0:c r="BG496" s="74" t="inlineStr">
        <ns0:is>
          <ns0:t>Y</ns0:t>
        </ns0:is>
      </ns0:c>
      <ns0:c r="BH496" s="89" t="n">
        <ns0:v>33.1</ns0:v>
      </ns0:c>
      <ns0:c r="BI496" s="88" t="n"/>
      <ns0:c r="BJ496" s="88" t="n"/>
      <ns0:c r="BK496" s="89" t="n">
        <ns0:v>14.2</ns0:v>
      </ns0:c>
      <ns0:c r="BL496" s="90">
        <ns0:f>IFERROR(IF('BBG Verify'!S496="","Awaiting Bloomberg",'BBG Verify'!S496),"Awaiting Bloomberg")</ns0:f>
        <ns0:v/>
      </ns0:c>
      <ns0:c r="BM496" s="91" t="inlineStr">
        <ns0:is>
          <ns0:t>N</ns0:t>
        </ns0:is>
      </ns0:c>
      <ns0:c r="BN496" s="92">
        <ns0:f>IFERROR(IF('BBG Verify'!K496="","Awaiting Bloomberg",'BBG Verify'!K496),"Awaiting Bloomberg")</ns0:f>
        <ns0:v/>
      </ns0:c>
      <ns0:c r="BO496" s="74" t="inlineStr">
        <ns0:is>
          <ns0:t>N/A</ns0:t>
        </ns0:is>
      </ns0:c>
      <ns0:c r="BP496" s="74" t="inlineStr">
        <ns0:is>
          <ns0:t>N/A</ns0:t>
        </ns0:is>
      </ns0:c>
      <ns0:c r="BQ496" s="74" t="inlineStr">
        <ns0:is>
          <ns0:t>N/A</ns0:t>
        </ns0:is>
      </ns0:c>
      <ns0:c r="BR496" s="74" t="inlineStr">
        <ns0:is>
          <ns0:t>N/A</ns0:t>
        </ns0:is>
      </ns0:c>
      <ns0:c r="BS496" s="74" t="inlineStr">
        <ns0:is>
          <ns0:t>N/A</ns0:t>
        </ns0:is>
      </ns0:c>
      <ns0:c r="BT496" s="74" t="inlineStr">
        <ns0:is>
          <ns0:t>N/A</ns0:t>
        </ns0:is>
      </ns0:c>
      <ns0:c r="BU496" s="91" t="inlineStr">
        <ns0:is>
          <ns0:t>China Merchants Securities (HK) Co., Limited</ns0:t>
        </ns0:is>
      </ns0:c>
      <ns0:c r="BV496" s="74" t="inlineStr">
        <ns0:is>
          <ns0:t>China International Capital Corporation Hong Kong Securities Limited; China Merchants Securities (HK) Company Limited</ns0:t>
        </ns0:is>
      </ns0:c>
      <ns0:c r="BW496" s="74" t="inlineStr">
        <ns0:is>
          <ns0:t>China Merchants Securities (HK) Co., Limited; Futu Securities International (Hong Kong) Limited; CMBC Securities Company Limited; Arta Asset Management Limited</ns0:t>
        </ns0:is>
      </ns0:c>
      <ns0:c r="BX496" s="74" t="inlineStr">
        <ns0:is>
          <ns0:t>Arta Asset Management Limited; China International Capital Corporation Hong Kong Securities Limited; CMBC Securities Company Limited; China Merchants Securities (HK) Company Limited; Futu Securities International (Hong Kong) Limited; Guosen Securities (HK) Brokerage Company, Limited</ns0:t>
        </ns0:is>
      </ns0:c>
      <ns0:c r="BY496" s="93">
        <ns0:f>HYPERLINK("https://www1.hkexnews.hk/listedco/listconews/sehk/2026/0622/2026062200065.pdf","prospectus")</ns0:f>
        <ns0:v/>
      </ns0:c>
      <ns0:c r="BZ496" s="93">
        <ns0:f>HYPERLINK("https://www1.hkexnews.hk/listedco/listconews/sehk/2026/0629/2026062902075.pdf","allotment")</ns0:f>
        <ns0:v/>
      </ns0:c>
      <ns0:c r="CA496" s="93">
        <ns0:f>HYPERLINK("https://www1.hkexnews.hk/listedco/listconews/sehk/2026/0726/2026072600027.pdf","stabilisation")</ns0:f>
        <ns0:v/>
      </ns0:c>
      <ns0:c r="CB496" s="94" t="n"/>
      <ns0:c r="CC496" s="74" t="inlineStr"/>
    </ns0:row>
    <ns0:row r="497" ht="22" customHeight="1">
      <ns0:c r="A497" s="73" t="inlineStr">
        <ns0:is>
          <ns0:t>3952</ns0:t>
        </ns0:is>
      </ns0:c>
      <ns0:c r="B497" s="74" t="inlineStr">
        <ns0:is>
          <ns0:t>LAIFUAL</ns0:t>
        </ns0:is>
      </ns0:c>
      <ns0:c r="C497" s="74" t="inlineStr">
        <ns0:is>
          <ns0:t>來福諧波</ns0:t>
        </ns0:is>
      </ns0:c>
      <ns0:c r="D497" s="74" t="inlineStr">
        <ns0:is>
          <ns0:t>Industrials</ns0:t>
        </ns0:is>
      </ns0:c>
      <ns0:c r="E497" s="74" t="inlineStr">
        <ns0:is>
          <ns0:t>Capital goods / machinery</ns0:t>
        </ns0:is>
      </ns0:c>
      <ns0:c r="F497" s="74" t="inlineStr">
        <ns0:is>
          <ns0:t>Advanced hardware and software</ns0:t>
        </ns0:is>
      </ns0:c>
      <ns0:c r="G497" s="74" t="inlineStr">
        <ns0:is>
          <ns0:t>18C</ns0:t>
        </ns0:is>
      </ns0:c>
      <ns0:c r="H497" s="75" t="n">
        <ns0:v>46203</ns0:v>
      </ns0:c>
      <ns0:c r="I497" s="76" t="n">
        <ns0:v>1149.3</ns0:v>
      </ns0:c>
      <ns0:c r="J497" s="74" t="inlineStr">
        <ns0:is>
          <ns0:t>gross (stated)</ns0:t>
        </ns0:is>
      </ns0:c>
      <ns0:c r="K497" s="95" t="n"/>
      <ns0:c r="L497" s="77" t="n">
        <ns0:v>85.5</ns0:v>
      </ns0:c>
      <ns0:c r="M497" s="77" t="n">
        <ns0:v>85.5</ns0:v>
      </ns0:c>
      <ns0:c r="N497" s="74" t="inlineStr">
        <ns0:is>
          <ns0:t>Y</ns0:t>
        </ns0:is>
      </ns0:c>
      <ns0:c r="O497" s="78" t="n">
        <ns0:v>100</ns0:v>
      </ns0:c>
      <ns0:c r="P497" s="84" t="n"/>
      <ns0:c r="Q497" s="79" t="n">
        <ns0:v>7818.4</ns0:v>
      </ns0:c>
      <ns0:c r="R497" s="74" t="inlineStr">
        <ns0:is>
          <ns0:t>derived:deal size / offer % of enlarged capital</ns0:t>
        </ns0:is>
      </ns0:c>
      <ns0:c r="S497" s="80" t="n">
        <ns0:v>4571.99</ns0:v>
      </ns0:c>
      <ns0:c r="T497" s="81" t="n">
        <ns0:v>7.89</ns0:v>
      </ns0:c>
      <ns0:c r="U497" s="82" t="n">
        <ns0:v>37.52</ns0:v>
      </ns0:c>
      <ns0:c r="V497" s="83" t="n">
        <ns0:v>93</ns0:v>
      </ns0:c>
      <ns0:c r="W497" s="78" t="n">
        <ns0:v>20</ns0:v>
      </ns0:c>
      <ns0:c r="X497" s="74" t="inlineStr">
        <ns0:is>
          <ns0:t>YES</ns0:t>
        </ns0:is>
      </ns0:c>
      <ns0:c r="Y497" s="79" t="n">
        <ns0:v>718.08</ns0:v>
      </ns0:c>
      <ns0:c r="Z497" s="79" t="n">
        <ns0:v>8398499</ns0:v>
      </ns0:c>
      <ns0:c r="AA497" s="78" t="n">
        <ns0:v>9.18</ns0:v>
      </ns0:c>
      <ns0:c r="AB497" s="74" t="inlineStr">
        <ns0:is>
          <ns0:t>Oaktree Capital Management, L.P; Alphahill Capital Limited; Harvest Global Investments Limited; CDH Global Frontier Ventures Limited; E Fund Management Co., Ltd; Eurus Holdings SPC acting for and on behalf of OAAM Diversified Opportunities IV S.P; LBC HK Opportunity Fund Limited; Dream ee (Hong Kong) Open-ended Fund Company; Factorial Master Fund; Oasis Investments II Master Fund Ltd</ns0:t>
        </ns0:is>
      </ns0:c>
      <ns0:c r="AC497" s="74" t="inlineStr">
        <ns0:is>
          <ns0:t>oaktree;alphahill;harvest;cdh;fund-management;eurus;lbc;dream;factorial;oasis</ns0:t>
        </ns0:is>
      </ns0:c>
      <ns0:c r="AD497" s="78" t="n">
        <ns0:v>8.699999999999999</ns0:v>
      </ns0:c>
      <ns0:c r="AE497" s="74" t="inlineStr">
        <ns0:is>
          <ns0:t>partial</ns0:t>
        </ns0:is>
      </ns0:c>
      <ns0:c r="AF497" s="74" t="inlineStr">
        <ns0:is>
          <ns0:t>2026-07-25</ns0:t>
        </ns0:is>
      </ns0:c>
      <ns0:c r="AG497" s="74" t="inlineStr">
        <ns0:is>
          <ns0:t>CMB International Securities Limited</ns0:t>
        </ns0:is>
      </ns0:c>
      <ns0:c r="AH497" s="74" t="inlineStr">
        <ns0:is>
          <ns0:t>CMB</ns0:t>
        </ns0:is>
      </ns0:c>
      <ns0:c r="AI497" s="86" t="n">
        <ns0:v>18.13</ns0:v>
      </ns0:c>
      <ns0:c r="AJ497" s="87" t="n">
        <ns0:v>-14.62</ns0:v>
      </ns0:c>
      <ns0:c r="AK497" s="87" t="n">
        <ns0:v>-0.15</ns0:v>
      </ns0:c>
      <ns0:c r="AL497" s="87" t="n">
        <ns0:v>3.16</ns0:v>
      </ns0:c>
      <ns0:c r="AM497" s="87" t="n">
        <ns0:v>-17.24</ns0:v>
      </ns0:c>
      <ns0:c r="AN497" s="89" t="n">
        <ns0:v>3.87</ns0:v>
      </ns0:c>
      <ns0:c r="AO497" s="78" t="n">
        <ns0:v>29.02</ns0:v>
      </ns0:c>
      <ns0:c r="AP497" s="87" t="n">
        <ns0:v>21.87</ns0:v>
      </ns0:c>
      <ns0:c r="AQ497" s="87" t="n">
        <ns0:v>-42.22</ns0:v>
      </ns0:c>
      <ns0:c r="AR497" s="87" t="n">
        <ns0:v>-45.52</ns0:v>
      </ns0:c>
      <ns0:c r="AS497" s="87" t="n">
        <ns0:v>42.74</ns0:v>
      </ns0:c>
      <ns0:c r="AT497" s="87" t="n">
        <ns0:v>-32.33</ns0:v>
      </ns0:c>
      <ns0:c r="AU497" s="87" t="n">
        <ns0:v>-36.19</ns0:v>
      </ns0:c>
      <ns0:c r="AV497" s="87" t="n">
        <ns0:v>14.78</ns0:v>
      </ns0:c>
      <ns0:c r="AW497" s="87" t="n">
        <ns0:v>-55.12</ns0:v>
      </ns0:c>
      <ns0:c r="AX497" s="87" t="n">
        <ns0:v>-51.24</ns0:v>
      </ns0:c>
      <ns0:c r="AY497" s="87" t="n">
        <ns0:v>-45.4</ns0:v>
      </ns0:c>
      <ns0:c r="AZ497" s="87" t="n">
        <ns0:v>12.9</ns0:v>
      </ns0:c>
      <ns0:c r="BA497" s="87" t="n">
        <ns0:v>13.07</ns0:v>
      </ns0:c>
      <ns0:c r="BB497" s="74" t="inlineStr">
        <ns0:is>
          <ns0:t>Hang Seng Commerce &amp; Industry sub-index</ns0:t>
        </ns0:is>
      </ns0:c>
      <ns0:c r="BC497" s="87" t="n">
        <ns0:v>-49.12</ns0:v>
      </ns0:c>
      <ns0:c r="BD497" s="75" t="n">
        <ns0:v>46297</ns0:v>
      </ns0:c>
      <ns0:c r="BE497" s="76" t="n">
        <ns0:v>287</ns0:v>
      </ns0:c>
      <ns0:c r="BF497" s="79" t="n">
        <ns0:v>-185.7</ns0:v>
      </ns0:c>
      <ns0:c r="BG497" s="74" t="inlineStr">
        <ns0:is>
          <ns0:t>N</ns0:t>
        </ns0:is>
      </ns0:c>
      <ns0:c r="BH497" s="74" t="inlineStr">
        <ns0:is>
          <ns0:t>n/m</ns0:t>
        </ns0:is>
      </ns0:c>
      <ns0:c r="BI497" s="88" t="n"/>
      <ns0:c r="BJ497" s="88" t="n"/>
      <ns0:c r="BK497" s="89" t="n">
        <ns0:v>27.2</ns0:v>
      </ns0:c>
      <ns0:c r="BL497" s="90">
        <ns0:f>IFERROR(IF('BBG Verify'!S497="","Awaiting Bloomberg",'BBG Verify'!S497),"Awaiting Bloomberg")</ns0:f>
        <ns0:v/>
      </ns0:c>
      <ns0:c r="BM497" s="91" t="inlineStr">
        <ns0:is>
          <ns0:t>N</ns0:t>
        </ns0:is>
      </ns0:c>
      <ns0:c r="BN497" s="92">
        <ns0:f>IFERROR(IF('BBG Verify'!K497="","Awaiting Bloomberg",'BBG Verify'!K497),"Awaiting Bloomberg")</ns0:f>
        <ns0:v/>
      </ns0:c>
      <ns0:c r="BO497" s="74" t="inlineStr">
        <ns0:is>
          <ns0:t>N/A</ns0:t>
        </ns0:is>
      </ns0:c>
      <ns0:c r="BP497" s="74" t="inlineStr">
        <ns0:is>
          <ns0:t>N/A</ns0:t>
        </ns0:is>
      </ns0:c>
      <ns0:c r="BQ497" s="74" t="inlineStr">
        <ns0:is>
          <ns0:t>N/A</ns0:t>
        </ns0:is>
      </ns0:c>
      <ns0:c r="BR497" s="74" t="inlineStr">
        <ns0:is>
          <ns0:t>N/A</ns0:t>
        </ns0:is>
      </ns0:c>
      <ns0:c r="BS497" s="74" t="inlineStr">
        <ns0:is>
          <ns0:t>N/A</ns0:t>
        </ns0:is>
      </ns0:c>
      <ns0:c r="BT497" s="74" t="inlineStr">
        <ns0:is>
          <ns0:t>N/A</ns0:t>
        </ns0:is>
      </ns0:c>
      <ns0:c r="BU497" s="91" t="inlineStr">
        <ns0:is>
          <ns0:t>CMB International Capital Limited</ns0:t>
        </ns0:is>
      </ns0:c>
      <ns0:c r="BV497" s="74" t="inlineStr">
        <ns0:is>
          <ns0:t>CMB International Capital Limited</ns0:t>
        </ns0:is>
      </ns0:c>
      <ns0:c r="BW497" s="74" t="inlineStr">
        <ns0:is>
          <ns0:t>CMB International Capital Limited</ns0:t>
        </ns0:is>
      </ns0:c>
      <ns0:c r="BX497" s="74" t="inlineStr">
        <ns0:is>
          <ns0:t>CMB International Capital Limited</ns0:t>
        </ns0:is>
      </ns0:c>
      <ns0:c r="BY497" s="93">
        <ns0:f>HYPERLINK("https://www1.hkexnews.hk/listedco/listconews/sehk/2026/0622/2026062200047.pdf","prospectus")</ns0:f>
        <ns0:v/>
      </ns0:c>
      <ns0:c r="BZ497" s="93">
        <ns0:f>HYPERLINK("https://www1.hkexnews.hk/listedco/listconews/sehk/2026/0629/2026062902089.pdf","allotment")</ns0:f>
        <ns0:v/>
      </ns0:c>
      <ns0:c r="CA497" s="93">
        <ns0:f>HYPERLINK("https://www1.hkexnews.hk/listedco/listconews/sehk/2026/0726/2026072600013.pdf","stabilisation")</ns0:f>
        <ns0:v/>
      </ns0:c>
      <ns0:c r="CB497" s="94" t="n"/>
      <ns0:c r="CC497" s="74" t="inlineStr">
        <ns0:is>
          <ns0:t>P/E: loss-making at IPO, use P/S; range low: maximum offer price only, no floor published</ns0:t>
        </ns0:is>
      </ns0:c>
    </ns0:row>
    <ns0:row r="498" ht="22" customHeight="1">
      <ns0:c r="A498" s="73" t="inlineStr">
        <ns0:is>
          <ns0:t>6715</ns0:t>
        </ns0:is>
      </ns0:c>
      <ns0:c r="B498" s="74" t="inlineStr">
        <ns0:is>
          <ns0:t>XUNLONG SCITECH</ns0:t>
        </ns0:is>
      </ns0:c>
      <ns0:c r="C498" s="74" t="inlineStr">
        <ns0:is>
          <ns0:t>鱘龍科技</ns0:t>
        </ns0:is>
      </ns0:c>
      <ns0:c r="D498" s="74" t="inlineStr">
        <ns0:is>
          <ns0:t>Consumer</ns0:t>
        </ns0:is>
      </ns0:c>
      <ns0:c r="E498" s="74" t="inlineStr">
        <ns0:is>
          <ns0:t>Beverages / packaged food</ns0:t>
        </ns0:is>
      </ns0:c>
      <ns0:c r="F498" s="74" t="inlineStr">
        <ns0:is>
          <ns0:t>Poultry, Meat and Seafood</ns0:t>
        </ns0:is>
      </ns0:c>
      <ns0:c r="G498" s="74" t="inlineStr">
        <ns0:is>
          <ns0:t>Standard</ns0:t>
        </ns0:is>
      </ns0:c>
      <ns0:c r="H498" s="75" t="n">
        <ns0:v>46203</ns0:v>
      </ns0:c>
      <ns0:c r="I498" s="76" t="n">
        <ns0:v>1233.1</ns0:v>
      </ns0:c>
      <ns0:c r="J498" s="74" t="inlineStr">
        <ns0:is>
          <ns0:t>gross (stated)</ns0:t>
        </ns0:is>
      </ns0:c>
      <ns0:c r="K498" s="95" t="n"/>
      <ns0:c r="L498" s="77" t="n">
        <ns0:v>75.5</ns0:v>
      </ns0:c>
      <ns0:c r="M498" s="77" t="n">
        <ns0:v>75.5</ns0:v>
      </ns0:c>
      <ns0:c r="N498" s="74" t="inlineStr">
        <ns0:is>
          <ns0:t>Y</ns0:t>
        </ns0:is>
      </ns0:c>
      <ns0:c r="O498" s="78" t="n">
        <ns0:v>100</ns0:v>
      </ns0:c>
      <ns0:c r="P498" s="84" t="n"/>
      <ns0:c r="Q498" s="79" t="n">
        <ns0:v>8220</ns0:v>
      </ns0:c>
      <ns0:c r="R498" s="74" t="inlineStr">
        <ns0:is>
          <ns0:t>press:10jqka 2026-06-30: 开盘涨36.42% 总市值112.15亿</ns0:t>
        </ns0:is>
      </ns0:c>
      <ns0:c r="S498" s="80" t="n">
        <ns0:v>2134.81</ns0:v>
      </ns0:c>
      <ns0:c r="T498" s="81" t="n">
        <ns0:v>19.87</ns0:v>
      </ns0:c>
      <ns0:c r="U498" s="82" t="n">
        <ns0:v>49.88</ns0:v>
      </ns0:c>
      <ns0:c r="V498" s="83" t="n">
        <ns0:v>145</ns0:v>
      </ns0:c>
      <ns0:c r="W498" s="84" t="n"/>
      <ns0:c r="X498" s="74" t="inlineStr">
        <ns0:is>
          <ns0:t>NO</ns0:t>
        </ns0:is>
      </ns0:c>
      <ns0:c r="Y498" s="79" t="n">
        <ns0:v>618.03</ns0:v>
      </ns0:c>
      <ns0:c r="Z498" s="79" t="n">
        <ns0:v>8186049</ns0:v>
      </ns0:c>
      <ns0:c r="AA498" s="78" t="n">
        <ns0:v>7.52</ns0:v>
      </ns0:c>
      <ns0:c r="AB498" s="74" t="inlineStr">
        <ns0:is>
          <ns0:t>BlackRock Funds; Barings; Taikang Life; Shanghai Greenwoods and GTINV (in connection with Greenwoods OTC Swaps); Dacheng Investors; ICBC Wealth Notes 3 and 5; Nova Kerry Inc; Mirae Asset Securities Co., Ltd</ns0:t>
        </ns0:is>
      </ns0:c>
      <ns0:c r="AC498" s="74" t="inlineStr">
        <ns0:is>
          <ns0:t>blackrock;barings;taikang;shanghai-greenwoods;dacheng;icbc;nova;mirae</ns0:t>
        </ns0:is>
      </ns0:c>
      <ns0:c r="AD498" s="78" t="n">
        <ns0:v>15</ns0:v>
      </ns0:c>
      <ns0:c r="AE498" s="74" t="inlineStr">
        <ns0:is>
          <ns0:t>lapsed</ns0:t>
        </ns0:is>
      </ns0:c>
      <ns0:c r="AF498" s="74" t="inlineStr">
        <ns0:is>
          <ns0:t>2026-07-25</ns0:t>
        </ns0:is>
      </ns0:c>
      <ns0:c r="AG498" s="74" t="inlineStr">
        <ns0:is>
          <ns0:t>CL SA Limited</ns0:t>
        </ns0:is>
      </ns0:c>
      <ns0:c r="AH498" s="74" t="inlineStr">
        <ns0:is>
          <ns0:t>CL</ns0:t>
        </ns0:is>
      </ns0:c>
      <ns0:c r="AI498" s="86" t="n">
        <ns0:v>37.09</ns0:v>
      </ns0:c>
      <ns0:c r="AJ498" s="87" t="n">
        <ns0:v>50.99</ns0:v>
      </ns0:c>
      <ns0:c r="AK498" s="87" t="n">
        <ns0:v>-0.15</ns0:v>
      </ns0:c>
      <ns0:c r="AL498" s="87" t="n">
        <ns0:v>36.42</ns0:v>
      </ns0:c>
      <ns0:c r="AM498" s="87" t="n">
        <ns0:v>10.68</ns0:v>
      </ns0:c>
      <ns0:c r="AN498" s="88" t="n"/>
      <ns0:c r="AO498" s="78" t="n">
        <ns0:v>18.64</ns0:v>
      </ns0:c>
      <ns0:c r="AP498" s="87" t="n">
        <ns0:v>3.97</ns0:v>
      </ns0:c>
      <ns0:c r="AQ498" s="87" t="n">
        <ns0:v>-22.72</ns0:v>
      </ns0:c>
      <ns0:c r="AR498" s="87" t="n">
        <ns0:v>-17.42</ns0:v>
      </ns0:c>
      <ns0:c r="AS498" s="87" t="n">
        <ns0:v>-31.14</ns0:v>
      </ns0:c>
      <ns0:c r="AT498" s="87" t="n">
        <ns0:v>-48.82</ns0:v>
      </ns0:c>
      <ns0:c r="AU498" s="87" t="n">
        <ns0:v>-45.31</ns0:v>
      </ns0:c>
      <ns0:c r="AV498" s="87" t="n">
        <ns0:v>-3.12</ns0:v>
      </ns0:c>
      <ns0:c r="AW498" s="87" t="n">
        <ns0:v>-35.62</ns0:v>
      </ns0:c>
      <ns0:c r="AX498" s="87" t="n">
        <ns0:v>-23.14</ns0:v>
      </ns0:c>
      <ns0:c r="AY498" s="87" t="n">
        <ns0:v>-61.89</ns0:v>
      </ns0:c>
      <ns0:c r="AZ498" s="87" t="n">
        <ns0:v>12.9</ns0:v>
      </ns0:c>
      <ns0:c r="BA498" s="87" t="n">
        <ns0:v>13.07</ns0:v>
      </ns0:c>
      <ns0:c r="BB498" s="74" t="inlineStr">
        <ns0:is>
          <ns0:t>Hang Seng Commerce &amp; Industry sub-index</ns0:t>
        </ns0:is>
      </ns0:c>
      <ns0:c r="BC498" s="87" t="n">
        <ns0:v>-18.81</ns0:v>
      </ns0:c>
      <ns0:c r="BD498" s="75" t="n">
        <ns0:v>46297</ns0:v>
      </ns0:c>
      <ns0:c r="BE498" s="76" t="n">
        <ns0:v>845.9</ns0:v>
      </ns0:c>
      <ns0:c r="BF498" s="79" t="n">
        <ns0:v>399.7</ns0:v>
      </ns0:c>
      <ns0:c r="BG498" s="74" t="inlineStr">
        <ns0:is>
          <ns0:t>Y</ns0:t>
        </ns0:is>
      </ns0:c>
      <ns0:c r="BH498" s="89" t="n">
        <ns0:v>20.6</ns0:v>
      </ns0:c>
      <ns0:c r="BI498" s="88" t="n"/>
      <ns0:c r="BJ498" s="88" t="n"/>
      <ns0:c r="BK498" s="89" t="n">
        <ns0:v>9.699999999999999</ns0:v>
      </ns0:c>
      <ns0:c r="BL498" s="90">
        <ns0:f>IFERROR(IF('BBG Verify'!S498="","Awaiting Bloomberg",'BBG Verify'!S498),"Awaiting Bloomberg")</ns0:f>
        <ns0:v/>
      </ns0:c>
      <ns0:c r="BM498" s="91" t="inlineStr">
        <ns0:is>
          <ns0:t>N</ns0:t>
        </ns0:is>
      </ns0:c>
      <ns0:c r="BN498" s="92">
        <ns0:f>IFERROR(IF('BBG Verify'!K498="","Awaiting Bloomberg",'BBG Verify'!K498),"Awaiting Bloomberg")</ns0:f>
        <ns0:v/>
      </ns0:c>
      <ns0:c r="BO498" s="74" t="inlineStr">
        <ns0:is>
          <ns0:t>N/A</ns0:t>
        </ns0:is>
      </ns0:c>
      <ns0:c r="BP498" s="74" t="inlineStr">
        <ns0:is>
          <ns0:t>N/A</ns0:t>
        </ns0:is>
      </ns0:c>
      <ns0:c r="BQ498" s="74" t="inlineStr">
        <ns0:is>
          <ns0:t>N/A</ns0:t>
        </ns0:is>
      </ns0:c>
      <ns0:c r="BR498" s="74" t="inlineStr">
        <ns0:is>
          <ns0:t>N/A</ns0:t>
        </ns0:is>
      </ns0:c>
      <ns0:c r="BS498" s="74" t="inlineStr">
        <ns0:is>
          <ns0:t>N/A</ns0:t>
        </ns0:is>
      </ns0:c>
      <ns0:c r="BT498" s="74" t="inlineStr">
        <ns0:is>
          <ns0:t>N/A</ns0:t>
        </ns0:is>
      </ns0:c>
      <ns0:c r="BU498" s="91" t="inlineStr">
        <ns0:is>
          <ns0:t>CITIC Securities (Hong Kong) Limited; China Securities (Internat ional) Corporate Finance Company Limited; CLSA Limited</ns0:t>
        </ns0:is>
      </ns0:c>
      <ns0:c r="BV498" s="74" t="inlineStr">
        <ns0:is>
          <ns0:t>CITIC Securities (Hong Kong) Limited; China Securities (International) Corporate Finance Company Limited</ns0:t>
        </ns0:is>
      </ns0:c>
      <ns0:c r="BW498" s="74" t="inlineStr">
        <ns0:is>
          <ns0:t>China Industrial Securities International Capital Limited; CLSA Limited; China Securities (International) Corporate Finance Company Limited; Huafu International Securities Limited</ns0:t>
        </ns0:is>
      </ns0:c>
      <ns0:c r="BX498" s="74" t="inlineStr">
        <ns0:is>
          <ns0:t>China Industrial Securities International Capital Limited; CLSA Limited; China Securities (International) Corporate Finance Company Limited; Huafu International Securities Limited</ns0:t>
        </ns0:is>
      </ns0:c>
      <ns0:c r="BY498" s="93">
        <ns0:f>HYPERLINK("https://www1.hkexnews.hk/listedco/listconews/sehk/2026/0622/2026062200025.pdf","prospectus")</ns0:f>
        <ns0:v/>
      </ns0:c>
      <ns0:c r="BZ498" s="93">
        <ns0:f>HYPERLINK("https://www1.hkexnews.hk/listedco/listconews/sehk/2026/0629/2026062902679.pdf","allotment")</ns0:f>
        <ns0:v/>
      </ns0:c>
      <ns0:c r="CA498" s="93">
        <ns0:f>HYPERLINK("https://www1.hkexnews.hk/listedco/listconews/sehk/2026/0726/2026072600021.pdf","stabilisation")</ns0:f>
        <ns0:v/>
      </ns0:c>
      <ns0:c r="CB498" s="94" t="n"/>
      <ns0:c r="CC498" s="74" t="inlineStr">
        <ns0:is>
          <ns0:t>range low: maximum offer price only, no floor published; allocation: allocation table not in this notice's format (older prose announcement); day-1 tape: volume on file; the retail multiple needs the final public split, which this notice does not state</ns0:t>
        </ns0:is>
      </ns0:c>
    </ns0:row>
    <ns0:row r="499" ht="22" customHeight="1">
      <ns0:c r="A499" s="73" t="inlineStr">
        <ns0:is>
          <ns0:t>0668</ns0:t>
        </ns0:is>
      </ns0:c>
      <ns0:c r="B499" s="74" t="inlineStr">
        <ns0:is>
          <ns0:t>ANKER</ns0:t>
        </ns0:is>
      </ns0:c>
      <ns0:c r="C499" s="74" t="inlineStr">
        <ns0:is>
          <ns0:t>安克創新</ns0:t>
        </ns0:is>
      </ns0:c>
      <ns0:c r="D499" s="74" t="inlineStr">
        <ns0:is>
          <ns0:t>Technology</ns0:t>
        </ns0:is>
      </ns0:c>
      <ns0:c r="E499" s="74" t="inlineStr">
        <ns0:is>
          <ns0:t>Hardware &amp; electronics</ns0:t>
        </ns0:is>
      </ns0:c>
      <ns0:c r="F499" s="74" t="inlineStr">
        <ns0:is>
          <ns0:t>Consumer Electronics</ns0:t>
        </ns0:is>
      </ns0:c>
      <ns0:c r="G499" s="74" t="inlineStr">
        <ns0:is>
          <ns0:t>Standard</ns0:t>
        </ns0:is>
      </ns0:c>
      <ns0:c r="H499" s="75" t="n">
        <ns0:v>46205</ns0:v>
      </ns0:c>
      <ns0:c r="I499" s="76" t="n">
        <ns0:v>4631.6</ns0:v>
      </ns0:c>
      <ns0:c r="J499" s="74" t="inlineStr">
        <ns0:is>
          <ns0:t>gross (stated)</ns0:t>
        </ns0:is>
      </ns0:c>
      <ns0:c r="K499" s="95" t="n"/>
      <ns0:c r="L499" s="77" t="n">
        <ns0:v>99.31999999999999</ns0:v>
      </ns0:c>
      <ns0:c r="M499" s="77" t="n">
        <ns0:v>99.31999999999999</ns0:v>
      </ns0:c>
      <ns0:c r="N499" s="74" t="inlineStr">
        <ns0:is>
          <ns0:t>Y</ns0:t>
        </ns0:is>
      </ns0:c>
      <ns0:c r="O499" s="78" t="n">
        <ns0:v>100</ns0:v>
      </ns0:c>
      <ns0:c r="P499" s="84" t="n"/>
      <ns0:c r="Q499" s="79" t="n">
        <ns0:v>57894.5</ns0:v>
      </ns0:c>
      <ns0:c r="R499" s="74" t="inlineStr">
        <ns0:is>
          <ns0:t>derived:price x shares upon listing</ns0:t>
        </ns0:is>
      </ns0:c>
      <ns0:c r="S499" s="80" t="n">
        <ns0:v>27.57</ns0:v>
      </ns0:c>
      <ns0:c r="T499" s="81" t="n">
        <ns0:v>10.24</ns0:v>
      </ns0:c>
      <ns0:c r="U499" s="82" t="n">
        <ns0:v>49.9</ns0:v>
      </ns0:c>
      <ns0:c r="V499" s="83" t="n">
        <ns0:v>137</ns0:v>
      </ns0:c>
      <ns0:c r="W499" s="78" t="n">
        <ns0:v>10</ns0:v>
      </ns0:c>
      <ns0:c r="X499" s="74" t="inlineStr">
        <ns0:is>
          <ns0:t>NA</ns0:t>
        </ns0:is>
      </ns0:c>
      <ns0:c r="Y499" s="79" t="n">
        <ns0:v>2320.43</ns0:v>
      </ns0:c>
      <ns0:c r="Z499" s="79" t="n">
        <ns0:v>23363033</ns0:v>
      </ns0:c>
      <ns0:c r="AA499" s="78" t="n">
        <ns0:v>4.01</ns0:v>
      </ns0:c>
      <ns0:c r="AB499" s="74" t="inlineStr">
        <ns0:is>
          <ns0:t>Schroder Investment Management (Singapore) Ltd; Schroder Investment Management (Hong Kong) Limited; Aspex Master Fund; Principal Asset Management Company (Asia) Limited; Greenwoods Asset Management Hong Kong Limited; Guotai Junan Investments (Hong Kong) Limited and Shanghai Greenwoods Asset Management Co., Ltd. (in connection with the Greenwoods OTC Swaps); HACF, L.P; UBS Asset Management (Singapore) Ltd; Franklin Templeton Sealand Fund Management Co., Ltd; Jane Street Asia Trading Limited; Taikang Life Insurance Co., Ltd; WT Asset Management Limited; Value Partners Hong Kong Limited</ns0:t>
        </ns0:is>
      </ns0:c>
      <ns0:c r="AC499" s="74" t="inlineStr">
        <ns0:is>
          <ns0:t>schroder;aspex;principal;greenwoods;guotai;hacf;ubs;franklin;jane;taikang;wt;value</ns0:t>
        </ns0:is>
      </ns0:c>
      <ns0:c r="AD499" s="78" t="n">
        <ns0:v>15</ns0:v>
      </ns0:c>
      <ns0:c r="AE499" s="74" t="inlineStr">
        <ns0:is>
          <ns0:t>partial</ns0:t>
        </ns0:is>
      </ns0:c>
      <ns0:c r="AF499" s="85" t="n"/>
      <ns0:c r="AG499" s="74" t="inlineStr">
        <ns0:is>
          <ns0:t>China International Capital Corporation Hong Kong Securities Limited</ns0:t>
        </ns0:is>
      </ns0:c>
      <ns0:c r="AH499" s="74" t="inlineStr">
        <ns0:is>
          <ns0:t>China International</ns0:t>
        </ns0:is>
      </ns0:c>
      <ns0:c r="AI499" s="86" t="n">
        <ns0:v>-4.8</ns0:v>
      </ns0:c>
      <ns0:c r="AJ499" s="87" t="n">
        <ns0:v>15.69</ns0:v>
      </ns0:c>
      <ns0:c r="AK499" s="87" t="n">
        <ns0:v>-0.59</ns0:v>
      </ns0:c>
      <ns0:c r="AL499" s="87" t="n">
        <ns0:v>-0.02</ns0:v>
      </ns0:c>
      <ns0:c r="AM499" s="87" t="n">
        <ns0:v>15.71</ns0:v>
      </ns0:c>
      <ns0:c r="AN499" s="89" t="n">
        <ns0:v>2.17</ns0:v>
      </ns0:c>
      <ns0:c r="AO499" s="78" t="n">
        <ns0:v>25.08</ns0:v>
      </ns0:c>
      <ns0:c r="AP499" s="87" t="n">
        <ns0:v>1.29</ns0:v>
      </ns0:c>
      <ns0:c r="AQ499" s="87" t="n">
        <ns0:v>10.55</ns0:v>
      </ns0:c>
      <ns0:c r="AR499" s="87" t="n">
        <ns0:v>19.92</ns0:v>
      </ns0:c>
      <ns0:c r="AS499" s="87" t="n">
        <ns0:v>-12.45</ns0:v>
      </ns0:c>
      <ns0:c r="AT499" s="87" t="n">
        <ns0:v>-4.44</ns0:v>
      </ns0:c>
      <ns0:c r="AU499" s="87" t="n">
        <ns0:v>3.66</ns0:v>
      </ns0:c>
      <ns0:c r="AV499" s="87" t="n">
        <ns0:v>-4.4</ns0:v>
      </ns0:c>
      <ns0:c r="AW499" s="87" t="n">
        <ns0:v>2.81</ns0:v>
      </ns0:c>
      <ns0:c r="AX499" s="87" t="n">
        <ns0:v>25.34</ns0:v>
      </ns0:c>
      <ns0:c r="AY499" s="87" t="n">
        <ns0:v>-12.83</ns0:v>
      </ns0:c>
      <ns0:c r="AZ499" s="87" t="n">
        <ns0:v>7.74</ns0:v>
      </ns0:c>
      <ns0:c r="BA499" s="87" t="n">
        <ns0:v>8.390000000000001</ns0:v>
      </ns0:c>
      <ns0:c r="BB499" s="74" t="inlineStr">
        <ns0:is>
          <ns0:t>HSTECH (Hang Seng TECH ETF)</ns0:t>
        </ns0:is>
      </ns0:c>
      <ns0:c r="BC499" s="87" t="n">
        <ns0:v>14.78</ns0:v>
      </ns0:c>
      <ns0:c r="BD499" s="75" t="n">
        <ns0:v>46297</ns0:v>
      </ns0:c>
      <ns0:c r="BE499" s="76" t="n">
        <ns0:v>33565.8</ns0:v>
      </ns0:c>
      <ns0:c r="BF499" s="79" t="n">
        <ns0:v>2878.9</ns0:v>
      </ns0:c>
      <ns0:c r="BG499" s="74" t="inlineStr">
        <ns0:is>
          <ns0:t>Y</ns0:t>
        </ns0:is>
      </ns0:c>
      <ns0:c r="BH499" s="89" t="n">
        <ns0:v>20.1</ns0:v>
      </ns0:c>
      <ns0:c r="BI499" s="88" t="n"/>
      <ns0:c r="BJ499" s="88" t="n"/>
      <ns0:c r="BK499" s="89" t="n">
        <ns0:v>1.7</ns0:v>
      </ns0:c>
      <ns0:c r="BL499" s="90">
        <ns0:f>IFERROR(IF('BBG Verify'!S499="","Awaiting Bloomberg",'BBG Verify'!S499),"Awaiting Bloomberg")</ns0:f>
        <ns0:v/>
      </ns0:c>
      <ns0:c r="BM499" s="91" t="inlineStr">
        <ns0:is>
          <ns0:t>Y</ns0:t>
        </ns0:is>
      </ns0:c>
      <ns0:c r="BN499" s="74" t="inlineStr">
        <ns0:is>
          <ns0:t>300866.SZ</ns0:t>
        </ns0:is>
      </ns0:c>
      <ns0:c r="BO499" s="87" t="n">
        <ns0:v>25.2</ns0:v>
      </ns0:c>
      <ns0:c r="BP499" s="77" t="n">
        <ns0:v>124.3512</ns0:v>
      </ns0:c>
      <ns0:c r="BQ499" s="101" t="n">
        <ns0:v>0.2794</ns0:v>
      </ns0:c>
      <ns0:c r="BR499" s="79" t="n">
        <ns0:v>85999.60000000001</ns0:v>
      </ns0:c>
      <ns0:c r="BS499" s="90">
        <ns0:f>IFERROR(IF('BBG Verify'!Q499="","Awaiting Bloomberg",'BBG Verify'!Q499),"Awaiting Bloomberg")</ns0:f>
        <ns0:v/>
      </ns0:c>
      <ns0:c r="BT499" s="90">
        <ns0:f>IFERROR(IF('BBG Verify'!R499="","Awaiting Bloomberg",'BBG Verify'!R499),"Awaiting Bloomberg")</ns0:f>
        <ns0:v/>
      </ns0:c>
      <ns0:c r="BU499" s="91" t="inlineStr">
        <ns0:is>
          <ns0:t>China International Capital Corporation Hong Kong Securities Limited; Goldman Sachs (Asia) L.L.C.; J.P. Morgan Securities (Far East) Limited</ns0:t>
        </ns0:is>
      </ns0:c>
      <ns0:c r="BV499" s="74" t="inlineStr">
        <ns0:is>
          <ns0:t>China International Capital Corporation Hong Kong Securities Limited; J.P. Morgan Securities (Far East) Limited; Goldman Sachs (Asia) L.L.C.</ns0:t>
        </ns0:is>
      </ns0:c>
      <ns0:c r="BW499" s="74" t="inlineStr">
        <ns0:is>
          <ns0:t>China International Capital Corporation Hong Kong Securities Limited; Goldman Sachs (Asia) L.L.C.; J.P. Morgan Securities (Asia Pacific) Limited</ns0:t>
        </ns0:is>
      </ns0:c>
      <ns0:c r="BX499" s="74" t="inlineStr">
        <ns0:is>
          <ns0:t>China International Capital Corporation Hong Kong Securities Limited; Goldman Sachs (Asia) L.L.C.; J.P. Morgan Securities (Asia Pacific) Limited</ns0:t>
        </ns0:is>
      </ns0:c>
      <ns0:c r="BY499" s="93">
        <ns0:f>HYPERLINK("https://www1.hkexnews.hk/listedco/listconews/sehk/2026/0623/2026062300037.pdf","prospectus")</ns0:f>
        <ns0:v/>
      </ns0:c>
      <ns0:c r="BZ499" s="93">
        <ns0:f>HYPERLINK("https://www1.hkexnews.hk/listedco/listconews/sehk/2026/0630/2026063003481.pdf","allotment")</ns0:f>
        <ns0:v/>
      </ns0:c>
      <ns0:c r="CA499" s="93">
        <ns0:f>HYPERLINK("https://www1.hkexnews.hk/listedco/listconews/sehk/2026/0726/2026072600023.pdf","stabilisation")</ns0:f>
        <ns0:v/>
      </ns0:c>
      <ns0:c r="CB499" s="94" t="n"/>
      <ns0:c r="CC499" s="74" t="inlineStr">
        <ns0:is>
          <ns0:t>greenshoe: outcome published; expiry date not in the notice; range low: maximum offer price only, no floor published; A/H: Jun 2026 H listing (consumer charging/power brands); alpha/index: sector index has no bar for the 3m window</ns0:t>
        </ns0:is>
      </ns0:c>
    </ns0:row>
    <ns0:row r="500" ht="22" customHeight="1">
      <ns0:c r="A500" s="73" t="inlineStr">
        <ns0:is>
          <ns0:t>2667</ns0:t>
        </ns0:is>
      </ns0:c>
      <ns0:c r="B500" s="74" t="inlineStr">
        <ns0:is>
          <ns0:t>TONGRENTANGCARE</ns0:t>
        </ns0:is>
      </ns0:c>
      <ns0:c r="C500" s="74" t="inlineStr">
        <ns0:is>
          <ns0:t>同仁堂醫養</ns0:t>
        </ns0:is>
      </ns0:c>
      <ns0:c r="D500" s="74" t="inlineStr">
        <ns0:is>
          <ns0:t>Healthcare</ns0:t>
        </ns0:is>
      </ns0:c>
      <ns0:c r="E500" s="74" t="inlineStr">
        <ns0:is>
          <ns0:t>TCM</ns0:t>
        </ns0:is>
      </ns0:c>
      <ns0:c r="F500" s="74" t="inlineStr">
        <ns0:is>
          <ns0:t>Health Care Services</ns0:t>
        </ns0:is>
      </ns0:c>
      <ns0:c r="G500" s="74" t="inlineStr">
        <ns0:is>
          <ns0:t>Standard</ns0:t>
        </ns0:is>
      </ns0:c>
      <ns0:c r="H500" s="75" t="n">
        <ns0:v>46210</ns0:v>
      </ns0:c>
      <ns0:c r="I500" s="76" t="n">
        <ns0:v>594.8</ns0:v>
      </ns0:c>
      <ns0:c r="J500" s="74" t="inlineStr">
        <ns0:is>
          <ns0:t>gross (stated)</ns0:t>
        </ns0:is>
      </ns0:c>
      <ns0:c r="K500" s="77" t="n">
        <ns0:v>5.48</ns0:v>
      </ns0:c>
      <ns0:c r="L500" s="77" t="n">
        <ns0:v>6.21</ns0:v>
      </ns0:c>
      <ns0:c r="M500" s="77" t="n">
        <ns0:v>5.5</ns0:v>
      </ns0:c>
      <ns0:c r="N500" s="74" t="inlineStr">
        <ns0:is>
          <ns0:t>N</ns0:t>
        </ns0:is>
      </ns0:c>
      <ns0:c r="O500" s="78" t="n">
        <ns0:v>88.59999999999999</ns0:v>
      </ns0:c>
      <ns0:c r="P500" s="78" t="n">
        <ns0:v>2.7</ns0:v>
      </ns0:c>
      <ns0:c r="Q500" s="79" t="n">
        <ns0:v>2258.6</ns0:v>
      </ns0:c>
      <ns0:c r="R500" s="74" t="inlineStr">
        <ns0:is>
          <ns0:t>prospectus:stated market capitalisation, rescaled to the offer price</ns0:t>
        </ns0:is>
      </ns0:c>
      <ns0:c r="S500" s="80" t="n">
        <ns0:v>251.74</ns0:v>
      </ns0:c>
      <ns0:c r="T500" s="81" t="n">
        <ns0:v>2.84</ns0:v>
      </ns0:c>
      <ns0:c r="U500" s="82" t="n">
        <ns0:v>49.77</ns0:v>
      </ns0:c>
      <ns0:c r="V500" s="83" t="n">
        <ns0:v>75</ns0:v>
      </ns0:c>
      <ns0:c r="W500" s="78" t="n">
        <ns0:v>10</ns0:v>
      </ns0:c>
      <ns0:c r="X500" s="74" t="inlineStr">
        <ns0:is>
          <ns0:t>NO</ns0:t>
        </ns0:is>
      </ns0:c>
      <ns0:c r="Y500" s="79" t="n">
        <ns0:v>298.77</ns0:v>
      </ns0:c>
      <ns0:c r="Z500" s="79" t="n">
        <ns0:v>54325503</ns0:v>
      </ns0:c>
      <ns0:c r="AA500" s="78" t="n">
        <ns0:v>13.23</ns0:v>
      </ns0:c>
      <ns0:c r="AB500" s="74" t="inlineStr">
        <ns0:is>
          <ns0:t>Airport Technology Capital; Aurora SF; CICCFT (in connection with OTC Swaps)</ns0:t>
        </ns0:is>
      </ns0:c>
      <ns0:c r="AC500" s="74" t="inlineStr">
        <ns0:is>
          <ns0:t>airport;aurora;ciccft</ns0:t>
        </ns0:is>
      </ns0:c>
      <ns0:c r="AD500" s="78" t="n">
        <ns0:v>15</ns0:v>
      </ns0:c>
      <ns0:c r="AE500" s="74" t="inlineStr">
        <ns0:is>
          <ns0:t>lapsed</ns0:t>
        </ns0:is>
      </ns0:c>
      <ns0:c r="AF500" s="74" t="inlineStr">
        <ns0:is>
          <ns0:t>2026-08-01</ns0:t>
        </ns0:is>
      </ns0:c>
      <ns0:c r="AG500" s="74" t="inlineStr">
        <ns0:is>
          <ns0:t>China International Capital Corporation Hong Kong Securities Limited</ns0:t>
        </ns0:is>
      </ns0:c>
      <ns0:c r="AH500" s="74" t="inlineStr">
        <ns0:is>
          <ns0:t>China International</ns0:t>
        </ns0:is>
      </ns0:c>
      <ns0:c r="AI500" s="86" t="n">
        <ns0:v>-15.64</ns0:v>
      </ns0:c>
      <ns0:c r="AJ500" s="87" t="n">
        <ns0:v>-39.09</ns0:v>
      </ns0:c>
      <ns0:c r="AK500" s="87" t="n">
        <ns0:v>-3.69</ns0:v>
      </ns0:c>
      <ns0:c r="AL500" s="87" t="n">
        <ns0:v>-13.45</ns0:v>
      </ns0:c>
      <ns0:c r="AM500" s="87" t="n">
        <ns0:v>-29.62</ns0:v>
      </ns0:c>
      <ns0:c r="AN500" s="89" t="n">
        <ns0:v>4</ns0:v>
      </ns0:c>
      <ns0:c r="AO500" s="78" t="n">
        <ns0:v>37.39</ns0:v>
      </ns0:c>
      <ns0:c r="AP500" s="87" t="n">
        <ns0:v>-44.73</ns0:v>
      </ns0:c>
      <ns0:c r="AQ500" s="87" t="n">
        <ns0:v>-49.09</ns0:v>
      </ns0:c>
      <ns0:c r="AR500" s="103" t="n"/>
      <ns0:c r="AS500" s="87" t="n">
        <ns0:v>-9.26</ns0:v>
      </ns0:c>
      <ns0:c r="AT500" s="87" t="n">
        <ns0:v>-16.42</ns0:v>
      </ns0:c>
      <ns0:c r="AU500" s="103" t="n"/>
      <ns0:c r="AV500" s="87" t="n">
        <ns0:v>-43.95</ns0:v>
      </ns0:c>
      <ns0:c r="AW500" s="87" t="n">
        <ns0:v>-50.53</ns0:v>
      </ns0:c>
      <ns0:c r="AX500" s="103" t="n"/>
      <ns0:c r="AY500" s="87" t="n">
        <ns0:v>-21.75</ns0:v>
      </ns0:c>
      <ns0:c r="AZ500" s="87" t="n">
        <ns0:v>1.44</ns0:v>
      </ns0:c>
      <ns0:c r="BA500" s="87" t="n">
        <ns0:v>5.33</ns0:v>
      </ns0:c>
      <ns0:c r="BB500" s="74" t="inlineStr">
        <ns0:is>
          <ns0:t>China Biotech ETF (HS biotech proxy)</ns0:t>
        </ns0:is>
      </ns0:c>
      <ns0:c r="BC500" s="87" t="n">
        <ns0:v>-59.45</ns0:v>
      </ns0:c>
      <ns0:c r="BD500" s="75" t="n">
        <ns0:v>46297</ns0:v>
      </ns0:c>
      <ns0:c r="BE500" s="76" t="n">
        <ns0:v>1288.4</ns0:v>
      </ns0:c>
      <ns0:c r="BF500" s="79" t="n">
        <ns0:v>37.1</ns0:v>
      </ns0:c>
      <ns0:c r="BG500" s="74" t="inlineStr">
        <ns0:is>
          <ns0:t>Y</ns0:t>
        </ns0:is>
      </ns0:c>
      <ns0:c r="BH500" s="89" t="n">
        <ns0:v>60.9</ns0:v>
      </ns0:c>
      <ns0:c r="BI500" s="88" t="n"/>
      <ns0:c r="BJ500" s="88" t="n"/>
      <ns0:c r="BK500" s="89" t="n">
        <ns0:v>1.8</ns0:v>
      </ns0:c>
      <ns0:c r="BL500" s="90">
        <ns0:f>IFERROR(IF('BBG Verify'!S500="","Awaiting Bloomberg",'BBG Verify'!S500),"Awaiting Bloomberg")</ns0:f>
        <ns0:v/>
      </ns0:c>
      <ns0:c r="BM500" s="91" t="inlineStr">
        <ns0:is>
          <ns0:t>N</ns0:t>
        </ns0:is>
      </ns0:c>
      <ns0:c r="BN500" s="92">
        <ns0:f>IFERROR(IF('BBG Verify'!K500="","Awaiting Bloomberg",'BBG Verify'!K500),"Awaiting Bloomberg")</ns0:f>
        <ns0:v/>
      </ns0:c>
      <ns0:c r="BO500" s="74" t="inlineStr">
        <ns0:is>
          <ns0:t>N/A</ns0:t>
        </ns0:is>
      </ns0:c>
      <ns0:c r="BP500" s="74" t="inlineStr">
        <ns0:is>
          <ns0:t>N/A</ns0:t>
        </ns0:is>
      </ns0:c>
      <ns0:c r="BQ500" s="74" t="inlineStr">
        <ns0:is>
          <ns0:t>N/A</ns0:t>
        </ns0:is>
      </ns0:c>
      <ns0:c r="BR500" s="74" t="inlineStr">
        <ns0:is>
          <ns0:t>N/A</ns0:t>
        </ns0:is>
      </ns0:c>
      <ns0:c r="BS500" s="74" t="inlineStr">
        <ns0:is>
          <ns0:t>N/A</ns0:t>
        </ns0:is>
      </ns0:c>
      <ns0:c r="BT500" s="74" t="inlineStr">
        <ns0:is>
          <ns0:t>N/A</ns0:t>
        </ns0:is>
      </ns0:c>
      <ns0:c r="BU500" s="91" t="inlineStr">
        <ns0:is>
          <ns0:t>China International Capital Corporation Hong Kong Securities Limited</ns0:t>
        </ns0:is>
      </ns0:c>
      <ns0:c r="BV500" s="74" t="inlineStr">
        <ns0:is>
          <ns0:t>China International Capital Corporation Hong Kong Securities Limited</ns0:t>
        </ns0:is>
      </ns0:c>
      <ns0:c r="BW500" s="74" t="inlineStr">
        <ns0:is>
          <ns0:t>China International Capital Corporation Hong Kong Securities Limited; ICBC International Securities Limited; Kong GF Securities (Hong Kong) Brokerage Limited; Chai, Hong Kong ABCI Capital Limited; West Bull Securities Limited; Patrons Securities Limited</ns0:t>
        </ns0:is>
      </ns0:c>
      <ns0:c r="BX500" s="74" t="inlineStr">
        <ns0:is>
          <ns0: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ns0:t>
        </ns0:is>
      </ns0:c>
      <ns0:c r="BY500" s="93">
        <ns0:f>HYPERLINK("https://www1.hkexnews.hk/listedco/listconews/sehk/2026/0626/2026062600021.pdf","prospectus")</ns0:f>
        <ns0:v/>
      </ns0:c>
      <ns0:c r="BZ500" s="93">
        <ns0:f>HYPERLINK("https://www1.hkexnews.hk/listedco/listconews/sehk/2026/0706/2026070602117.pdf","allotment")</ns0:f>
        <ns0:v/>
      </ns0:c>
      <ns0:c r="CA500" s="93">
        <ns0:f>HYPERLINK("https://www1.hkexnews.hk/listedco/listconews/sehk/2026/0803/2026080301376.pdf","stabilisation")</ns0:f>
        <ns0:v/>
      </ns0:c>
      <ns0:c r="CB500" s="94" t="n"/>
      <ns0:c r="CC500" s="74" t="inlineStr">
        <ns0:is>
          <ns0:t>3m: pending: 62 traded sessions after debut; 63 needed; sponsor: English name not in the filing; AAStocks 保薦人 shown; market cap: prospectus cap HK$2,550m at HK$6.21, rescaled to HK$5.50; alpha/index: 3m window not elapsed</ns0:t>
        </ns0:is>
      </ns0:c>
    </ns0:row>
    <ns0:row r="501" ht="22" customHeight="1">
      <ns0:c r="A501" s="73" t="inlineStr">
        <ns0:is>
          <ns0:t>7656</ns0:t>
        </ns0:is>
      </ns0:c>
      <ns0:c r="B501" s="74" t="inlineStr">
        <ns0:is>
          <ns0:t>RECONOVA</ns0:t>
        </ns0:is>
      </ns0:c>
      <ns0:c r="C501" s="74" t="inlineStr">
        <ns0:is>
          <ns0:t>瑞為技術</ns0:t>
        </ns0:is>
      </ns0:c>
      <ns0:c r="D501" s="74" t="inlineStr">
        <ns0:is>
          <ns0:t>Technology</ns0:t>
        </ns0:is>
      </ns0:c>
      <ns0:c r="E501" s="74" t="inlineStr">
        <ns0:is>
          <ns0:t>Software &amp; AI</ns0:t>
        </ns0:is>
      </ns0:c>
      <ns0:c r="F501" s="74" t="inlineStr">
        <ns0:is>
          <ns0:t>Advanced hardware and software</ns0:t>
        </ns0:is>
      </ns0:c>
      <ns0:c r="G501" s="74" t="inlineStr">
        <ns0:is>
          <ns0:t>18C</ns0:t>
        </ns0:is>
      </ns0:c>
      <ns0:c r="H501" s="75" t="n">
        <ns0:v>46211</ns0:v>
      </ns0:c>
      <ns0:c r="I501" s="76" t="n">
        <ns0:v>608.4</ns0:v>
      </ns0:c>
      <ns0:c r="J501" s="74" t="inlineStr">
        <ns0:is>
          <ns0:t>gross (stated)</ns0:t>
        </ns0:is>
      </ns0:c>
      <ns0:c r="K501" s="95" t="n"/>
      <ns0:c r="L501" s="77" t="n">
        <ns0:v>21.66</ns0:v>
      </ns0:c>
      <ns0:c r="M501" s="77" t="n">
        <ns0:v>21.66</ns0:v>
      </ns0:c>
      <ns0:c r="N501" s="74" t="inlineStr">
        <ns0:is>
          <ns0:t>Y</ns0:t>
        </ns0:is>
      </ns0:c>
      <ns0:c r="O501" s="78" t="n">
        <ns0:v>100</ns0:v>
      </ns0:c>
      <ns0:c r="P501" s="84" t="n"/>
      <ns0:c r="Q501" s="79" t="n">
        <ns0:v>6612.6</ns0:v>
      </ns0:c>
      <ns0:c r="R501" s="74" t="inlineStr">
        <ns0:is>
          <ns0:t>derived:price x shares upon listing</ns0:t>
        </ns0:is>
      </ns0:c>
      <ns0:c r="S501" s="80" t="n">
        <ns0:v>3646.06</ns0:v>
      </ns0:c>
      <ns0:c r="T501" s="81" t="n">
        <ns0:v>3.08</ns0:v>
      </ns0:c>
      <ns0:c r="U501" s="82" t="n">
        <ns0:v>0</ns0:v>
      </ns0:c>
      <ns0:c r="V501" s="83" t="n">
        <ns0:v>105</ns0:v>
      </ns0:c>
      <ns0:c r="W501" s="78" t="n">
        <ns0:v>20</ns0:v>
      </ns0:c>
      <ns0:c r="X501" s="74" t="inlineStr">
        <ns0:is>
          <ns0:t>YES</ns0:t>
        </ns0:is>
      </ns0:c>
      <ns0:c r="Y501" s="79" t="n">
        <ns0:v>608.4</ns0:v>
      </ns0:c>
      <ns0:c r="Z501" s="79" t="n">
        <ns0:v>28087000</ns0:v>
      </ns0:c>
      <ns0:c r="AA501" s="78" t="n">
        <ns0:v>9.199999999999999</ns0:v>
      </ns0:c>
      <ns0:c r="AB501" s="74" t="inlineStr">
        <ns0:is>
          <ns0:t>none — no cornerstone tranche</ns0:t>
        </ns0:is>
      </ns0:c>
      <ns0:c r="AC501" s="74" t="inlineStr">
        <ns0:is>
          <ns0:t>none</ns0:t>
        </ns0:is>
      </ns0:c>
      <ns0:c r="AD501" s="84" t="n"/>
      <ns0:c r="AE501" s="85" t="n"/>
      <ns0:c r="AF501" s="85" t="n"/>
      <ns0:c r="AG501" s="85" t="n"/>
      <ns0:c r="AH501" s="85" t="n"/>
      <ns0:c r="AI501" s="86" t="n">
        <ns0:v>-16.94</ns0:v>
      </ns0:c>
      <ns0:c r="AJ501" s="87" t="n">
        <ns0:v>-3.05</ns0:v>
      </ns0:c>
      <ns0:c r="AK501" s="87" t="n">
        <ns0:v>5.02</ns0:v>
      </ns0:c>
      <ns0:c r="AL501" s="87" t="n">
        <ns0:v>-16.9</ns0:v>
      </ns0:c>
      <ns0:c r="AM501" s="87" t="n">
        <ns0:v>16.67</ns0:v>
      </ns0:c>
      <ns0:c r="AN501" s="89" t="n">
        <ns0:v>2.15</ns0:v>
      </ns0:c>
      <ns0:c r="AO501" s="78" t="n">
        <ns0:v>41</ns0:v>
      </ns0:c>
      <ns0:c r="AP501" s="87" t="n">
        <ns0:v>31.12</ns0:v>
      </ns0:c>
      <ns0:c r="AQ501" s="87" t="n">
        <ns0:v>53.74</ns0:v>
      </ns0:c>
      <ns0:c r="AR501" s="103" t="n"/>
      <ns0:c r="AS501" s="87" t="n">
        <ns0:v>35.24</ns0:v>
      </ns0:c>
      <ns0:c r="AT501" s="87" t="n">
        <ns0:v>58.58</ns0:v>
      </ns0:c>
      <ns0:c r="AU501" s="103" t="n"/>
      <ns0:c r="AV501" s="87" t="n">
        <ns0:v>25.91</ns0:v>
      </ns0:c>
      <ns0:c r="AW501" s="87" t="n">
        <ns0:v>46.59</ns0:v>
      </ns0:c>
      <ns0:c r="AX501" s="103" t="n"/>
      <ns0:c r="AY501" s="87" t="n">
        <ns0:v>56.55</ns0:v>
      </ns0:c>
      <ns0:c r="AZ501" s="87" t="n">
        <ns0:v>7.15</ns0:v>
      </ns0:c>
      <ns0:c r="BA501" s="87" t="n">
        <ns0:v>2.03</ns0:v>
      </ns0:c>
      <ns0:c r="BB501" s="74" t="inlineStr">
        <ns0:is>
          <ns0:t>HSTECH (Hang Seng TECH ETF)</ns0:t>
        </ns0:is>
      </ns0:c>
      <ns0:c r="BC501" s="87" t="n">
        <ns0:v>-31.21</ns0:v>
      </ns0:c>
      <ns0:c r="BD501" s="75" t="n">
        <ns0:v>46297</ns0:v>
      </ns0:c>
      <ns0:c r="BE501" s="76" t="n">
        <ns0:v>487.3</ns0:v>
      </ns0:c>
      <ns0:c r="BF501" s="79" t="n">
        <ns0:v>-75</ns0:v>
      </ns0:c>
      <ns0:c r="BG501" s="74" t="inlineStr">
        <ns0:is>
          <ns0:t>N</ns0:t>
        </ns0:is>
      </ns0:c>
      <ns0:c r="BH501" s="74" t="inlineStr">
        <ns0:is>
          <ns0:t>n/m</ns0:t>
        </ns0:is>
      </ns0:c>
      <ns0:c r="BI501" s="88" t="n"/>
      <ns0:c r="BJ501" s="88" t="n"/>
      <ns0:c r="BK501" s="89" t="n">
        <ns0:v>13.6</ns0:v>
      </ns0:c>
      <ns0:c r="BL501" s="90">
        <ns0:f>IFERROR(IF('BBG Verify'!S501="","Awaiting Bloomberg",'BBG Verify'!S501),"Awaiting Bloomberg")</ns0:f>
        <ns0:v/>
      </ns0:c>
      <ns0:c r="BM501" s="91" t="inlineStr">
        <ns0:is>
          <ns0:t>N</ns0:t>
        </ns0:is>
      </ns0:c>
      <ns0:c r="BN501" s="92">
        <ns0:f>IFERROR(IF('BBG Verify'!K501="","Awaiting Bloomberg",'BBG Verify'!K501),"Awaiting Bloomberg")</ns0:f>
        <ns0:v/>
      </ns0:c>
      <ns0:c r="BO501" s="74" t="inlineStr">
        <ns0:is>
          <ns0:t>N/A</ns0:t>
        </ns0:is>
      </ns0:c>
      <ns0:c r="BP501" s="74" t="inlineStr">
        <ns0:is>
          <ns0:t>N/A</ns0:t>
        </ns0:is>
      </ns0:c>
      <ns0:c r="BQ501" s="74" t="inlineStr">
        <ns0:is>
          <ns0:t>N/A</ns0:t>
        </ns0:is>
      </ns0:c>
      <ns0:c r="BR501" s="74" t="inlineStr">
        <ns0:is>
          <ns0:t>N/A</ns0:t>
        </ns0:is>
      </ns0:c>
      <ns0:c r="BS501" s="74" t="inlineStr">
        <ns0:is>
          <ns0:t>N/A</ns0:t>
        </ns0:is>
      </ns0:c>
      <ns0:c r="BT501" s="74" t="inlineStr">
        <ns0:is>
          <ns0:t>N/A</ns0:t>
        </ns0:is>
      </ns0:c>
      <ns0:c r="BU501" s="91" t="inlineStr">
        <ns0:is>
          <ns0:t>Huatai Financial Holdings (Hong Kong) Limited; CCB International Capital Limited; ABCI Capital Limited</ns0:t>
        </ns0:is>
      </ns0:c>
      <ns0:c r="BV501" s="74" t="inlineStr">
        <ns0:is>
          <ns0:t>CCB International Capital Limited; Huatai Financial Holdings (Hong Kong) Limited; ABCI Capital Limited</ns0:t>
        </ns0:is>
      </ns0:c>
      <ns0:c r="BW501" s="74" t="inlineStr">
        <ns0:is>
          <ns0:t>Huatai Financial Holdings (Hong Kong) Limited; CCB International Capital Limited; ABCI Capital Limited; CMBC Securities Company Limited; Huafu International Securities Limited; Shenwan Hongyuan Securities (H.K.) Limited; Sunfund Securities Limited; Futu Securities International (Hong Kong) Limited; Yuet Sheung International Securities Limited</ns0:t>
        </ns0:is>
      </ns0:c>
      <ns0:c r="BX501" s="74" t="inlineStr">
        <ns0:is>
          <ns0: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ns0:t>
        </ns0:is>
      </ns0:c>
      <ns0:c r="BY501" s="93">
        <ns0:f>HYPERLINK("https://www1.hkexnews.hk/listedco/listconews/sehk/2026/0629/2026062900145.pdf","prospectus")</ns0:f>
        <ns0:v/>
      </ns0:c>
      <ns0:c r="BZ501" s="93">
        <ns0:f>HYPERLINK("https://www1.hkexnews.hk/listedco/listconews/sehk/2026/0707/2026070701895.pdf","allotment")</ns0:f>
        <ns0:v/>
      </ns0:c>
      <ns0:c r="CA501" s="85" t="n"/>
      <ns0:c r="CB501" s="94" t="n"/>
      <ns0:c r="CC501" s="74" t="inlineStr">
        <ns0:is>
          <ns0:t>P/E: loss-making at IPO, use P/S; greenshoe: no over-allotment option; range low: maximum offer price only, no floor published; 3m: pending: 61 traded sessions after debut; 63 needed; cornerstone list: no cornerstone tranche; greenshoe size: no over-allotment option; stabilising manager: filing states none appointed (prospectus: 'no stabilizing manager will be appointed' stated in the filing); alpha/index: 3m window not elapsed</ns0:t>
        </ns0:is>
      </ns0:c>
    </ns0:row>
    <ns0:row r="502" ht="22" customHeight="1">
      <ns0:c r="A502" s="73" t="inlineStr">
        <ns0:is>
          <ns0:t>9971</ns0:t>
        </ns0:is>
      </ns0:c>
      <ns0:c r="B502" s="74" t="inlineStr">
        <ns0:is>
          <ns0:t>BASICSEMI</ns0:t>
        </ns0:is>
      </ns0:c>
      <ns0:c r="C502" s="74" t="inlineStr">
        <ns0:is>
          <ns0:t>基本半導體</ns0:t>
        </ns0:is>
      </ns0:c>
      <ns0:c r="D502" s="74" t="inlineStr">
        <ns0:is>
          <ns0:t>Technology</ns0:t>
        </ns0:is>
      </ns0:c>
      <ns0:c r="E502" s="74" t="inlineStr">
        <ns0:is>
          <ns0:t>Semiconductors</ns0:t>
        </ns0:is>
      </ns0:c>
      <ns0:c r="F502" s="74" t="inlineStr">
        <ns0:is>
          <ns0:t>Semiconductors &amp; Semiconductor Equipment</ns0:t>
        </ns0:is>
      </ns0:c>
      <ns0:c r="G502" s="74" t="inlineStr">
        <ns0:is>
          <ns0:t>18C</ns0:t>
        </ns0:is>
      </ns0:c>
      <ns0:c r="H502" s="75" t="n">
        <ns0:v>46211</ns0:v>
      </ns0:c>
      <ns0:c r="I502" s="76" t="n">
        <ns0:v>865.95</ns0:v>
      </ns0:c>
      <ns0:c r="J502" s="74" t="inlineStr">
        <ns0:is>
          <ns0:t>gross (stated)</ns0:t>
        </ns0:is>
      </ns0:c>
      <ns0:c r="K502" s="95" t="n"/>
      <ns0:c r="L502" s="77" t="n">
        <ns0:v>31.62</ns0:v>
      </ns0:c>
      <ns0:c r="M502" s="77" t="n">
        <ns0:v>31.62</ns0:v>
      </ns0:c>
      <ns0:c r="N502" s="74" t="inlineStr">
        <ns0:is>
          <ns0:t>Y</ns0:t>
        </ns0:is>
      </ns0:c>
      <ns0:c r="O502" s="78" t="n">
        <ns0:v>100</ns0:v>
      </ns0:c>
      <ns0:c r="P502" s="84" t="n"/>
      <ns0:c r="Q502" s="79" t="n">
        <ns0:v>9621.6</ns0:v>
      </ns0:c>
      <ns0:c r="R502" s="74" t="inlineStr">
        <ns0:is>
          <ns0:t>derived:price x shares upon listing</ns0:t>
        </ns0:is>
      </ns0:c>
      <ns0:c r="S502" s="80" t="n">
        <ns0:v>4812.72</ns0:v>
      </ns0:c>
      <ns0:c r="T502" s="81" t="n">
        <ns0:v>2.98</ns0:v>
      </ns0:c>
      <ns0:c r="U502" s="82" t="n">
        <ns0:v>0</ns0:v>
      </ns0:c>
      <ns0:c r="V502" s="83" t="n">
        <ns0:v>96</ns0:v>
      </ns0:c>
      <ns0:c r="W502" s="78" t="n">
        <ns0:v>20</ns0:v>
      </ns0:c>
      <ns0:c r="X502" s="74" t="inlineStr">
        <ns0:is>
          <ns0:t>YES</ns0:t>
        </ns0:is>
      </ns0:c>
      <ns0:c r="Y502" s="79" t="n">
        <ns0:v>865.95</ns0:v>
      </ns0:c>
      <ns0:c r="Z502" s="79" t="n">
        <ns0:v>27386200</ns0:v>
      </ns0:c>
      <ns0:c r="AA502" s="78" t="n">
        <ns0:v>9</ns0:v>
      </ns0:c>
      <ns0:c r="AB502" s="74" t="inlineStr">
        <ns0:is>
          <ns0:t>none — no cornerstone tranche</ns0:t>
        </ns0:is>
      </ns0:c>
      <ns0:c r="AC502" s="74" t="inlineStr">
        <ns0:is>
          <ns0:t>none</ns0:t>
        </ns0:is>
      </ns0:c>
      <ns0:c r="AD502" s="78" t="n">
        <ns0:v>17.41</ns0:v>
      </ns0:c>
      <ns0:c r="AE502" s="74" t="inlineStr">
        <ns0:is>
          <ns0:t>lapsed (no over-allocation)</ns0:t>
        </ns0:is>
      </ns0:c>
      <ns0:c r="AF502" s="85" t="n"/>
      <ns0:c r="AG502" s="74" t="inlineStr">
        <ns0:is>
          <ns0:t>Sinolink Securities</ns0:t>
        </ns0:is>
      </ns0:c>
      <ns0:c r="AH502" s="74" t="inlineStr">
        <ns0:is>
          <ns0:t>Sinolink</ns0:t>
        </ns0:is>
      </ns0:c>
      <ns0:c r="AI502" s="86" t="n">
        <ns0:v>9.93</ns0:v>
      </ns0:c>
      <ns0:c r="AJ502" s="87" t="n">
        <ns0:v>5.06</ns0:v>
      </ns0:c>
      <ns0:c r="AK502" s="87" t="n">
        <ns0:v>5.02</ns0:v>
      </ns0:c>
      <ns0:c r="AL502" s="87" t="n">
        <ns0:v>7.91</ns0:v>
      </ns0:c>
      <ns0:c r="AM502" s="87" t="n">
        <ns0:v>-2.64</ns0:v>
      </ns0:c>
      <ns0:c r="AN502" s="89" t="n">
        <ns0:v>2.06</ns0:v>
      </ns0:c>
      <ns0:c r="AO502" s="78" t="n">
        <ns0:v>12.84</ns0:v>
      </ns0:c>
      <ns0:c r="AP502" s="87" t="n">
        <ns0:v>33.71</ns0:v>
      </ns0:c>
      <ns0:c r="AQ502" s="87" t="n">
        <ns0:v>74.89</ns0:v>
      </ns0:c>
      <ns0:c r="AR502" s="103" t="n"/>
      <ns0:c r="AS502" s="87" t="n">
        <ns0:v>27.27</ns0:v>
      </ns0:c>
      <ns0:c r="AT502" s="87" t="n">
        <ns0:v>66.47</ns0:v>
      </ns0:c>
      <ns0:c r="AU502" s="103" t="n"/>
      <ns0:c r="AV502" s="87" t="n">
        <ns0:v>28.5</ns0:v>
      </ns0:c>
      <ns0:c r="AW502" s="87" t="n">
        <ns0:v>67.73999999999999</ns0:v>
      </ns0:c>
      <ns0:c r="AX502" s="103" t="n"/>
      <ns0:c r="AY502" s="87" t="n">
        <ns0:v>64.44</ns0:v>
      </ns0:c>
      <ns0:c r="AZ502" s="87" t="n">
        <ns0:v>7.15</ns0:v>
      </ns0:c>
      <ns0:c r="BA502" s="87" t="n">
        <ns0:v>2.03</ns0:v>
      </ns0:c>
      <ns0:c r="BB502" s="74" t="inlineStr">
        <ns0:is>
          <ns0:t>HSTECH (Hang Seng TECH ETF)</ns0:t>
        </ns0:is>
      </ns0:c>
      <ns0:c r="BC502" s="87" t="n">
        <ns0:v>26.5</ns0:v>
      </ns0:c>
      <ns0:c r="BD502" s="75" t="n">
        <ns0:v>46297</ns0:v>
      </ns0:c>
      <ns0:c r="BE502" s="76" t="n">
        <ns0:v>342.3</ns0:v>
      </ns0:c>
      <ns0:c r="BF502" s="79" t="n">
        <ns0:v>-260.8</ns0:v>
      </ns0:c>
      <ns0:c r="BG502" s="74" t="inlineStr">
        <ns0:is>
          <ns0:t>N</ns0:t>
        </ns0:is>
      </ns0:c>
      <ns0:c r="BH502" s="74" t="inlineStr">
        <ns0:is>
          <ns0:t>n/m</ns0:t>
        </ns0:is>
      </ns0:c>
      <ns0:c r="BI502" s="88" t="n"/>
      <ns0:c r="BJ502" s="88" t="n"/>
      <ns0:c r="BK502" s="89" t="n">
        <ns0:v>28.1</ns0:v>
      </ns0:c>
      <ns0:c r="BL502" s="90">
        <ns0:f>IFERROR(IF('BBG Verify'!S502="","Awaiting Bloomberg",'BBG Verify'!S502),"Awaiting Bloomberg")</ns0:f>
        <ns0:v/>
      </ns0:c>
      <ns0:c r="BM502" s="91" t="inlineStr">
        <ns0:is>
          <ns0:t>N</ns0:t>
        </ns0:is>
      </ns0:c>
      <ns0:c r="BN502" s="92">
        <ns0:f>IFERROR(IF('BBG Verify'!K502="","Awaiting Bloomberg",'BBG Verify'!K502),"Awaiting Bloomberg")</ns0:f>
        <ns0:v/>
      </ns0:c>
      <ns0:c r="BO502" s="74" t="inlineStr">
        <ns0:is>
          <ns0:t>N/A</ns0:t>
        </ns0:is>
      </ns0:c>
      <ns0:c r="BP502" s="74" t="inlineStr">
        <ns0:is>
          <ns0:t>N/A</ns0:t>
        </ns0:is>
      </ns0:c>
      <ns0:c r="BQ502" s="74" t="inlineStr">
        <ns0:is>
          <ns0:t>N/A</ns0:t>
        </ns0:is>
      </ns0:c>
      <ns0:c r="BR502" s="74" t="inlineStr">
        <ns0:is>
          <ns0:t>N/A</ns0:t>
        </ns0:is>
      </ns0:c>
      <ns0:c r="BS502" s="74" t="inlineStr">
        <ns0:is>
          <ns0:t>N/A</ns0:t>
        </ns0:is>
      </ns0:c>
      <ns0:c r="BT502" s="74" t="inlineStr">
        <ns0:is>
          <ns0:t>N/A</ns0:t>
        </ns0:is>
      </ns0:c>
      <ns0:c r="BU502" s="91" t="inlineStr">
        <ns0:is>
          <ns0:t>Sinolink Securities (Hong Kong) Company Limited; BOCI Asia Limited</ns0:t>
        </ns0:is>
      </ns0:c>
      <ns0:c r="BV502" s="74" t="inlineStr">
        <ns0:is>
          <ns0:t>BOCI Asia Limited; Sinolink Securities (Hong Kong) Company Limited</ns0:t>
        </ns0:is>
      </ns0:c>
      <ns0:c r="BW502" s="74" t="inlineStr">
        <ns0:is>
          <ns0:t>Fortune (HK) Securities Limited; Futu Securities International (Hong Kong) Limited; Guosen Securities (HK) Capital Company Limited; Patrons Securities Limited; Tiger Brokers (HK) Global Limited; TradeGo Markets Limited; Yue Xiu Securities Company Limited</ns0:t>
        </ns0:is>
      </ns0:c>
      <ns0:c r="BX502" s="74" t="inlineStr">
        <ns0:is>
          <ns0: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ns0:t>
        </ns0:is>
      </ns0:c>
      <ns0:c r="BY502" s="93">
        <ns0:f>HYPERLINK("https://www1.hkexnews.hk/listedco/listconews/sehk/2026/0629/2026062900049.pdf","prospectus")</ns0:f>
        <ns0:v/>
      </ns0:c>
      <ns0:c r="BZ502" s="93">
        <ns0:f>HYPERLINK("https://www1.hkexnews.hk/listedco/listconews/sehk/2026/0707/2026070701913.pdf","allotment")</ns0:f>
        <ns0:v/>
      </ns0:c>
      <ns0:c r="CA502" s="93">
        <ns0:f>HYPERLINK("https://www1.hkexnews.hk/listedco/listconews/sehk/2026/0803/2026080300057.pdf","stabilisation")</ns0:f>
        <ns0:v/>
      </ns0:c>
      <ns0:c r="CB502" s="94" t="n"/>
      <ns0:c r="CC502" s="74" t="inlineStr">
        <ns0:is>
          <ns0:t>P/E: loss-making at IPO, use P/S; greenshoe: outcome published; expiry date not in the notice; range low: maximum offer price only, no floor published; 3m: pending: 61 traded sessions after debut; 63 needed; cornerstone list: no cornerstone tranche; alpha/index: 3m window not elapsed</ns0:t>
        </ns0:is>
      </ns0:c>
    </ns0:row>
    <ns0:row r="503" ht="22" customHeight="1">
      <ns0:c r="A503" s="73" t="inlineStr">
        <ns0:is>
          <ns0:t>6880</ns0:t>
        </ns0:is>
      </ns0:c>
      <ns0:c r="B503" s="74" t="inlineStr">
        <ns0:is>
          <ns0:t>MOMENTA-W</ns0:t>
        </ns0:is>
      </ns0:c>
      <ns0:c r="C503" s="74" t="inlineStr">
        <ns0:is>
          <ns0:t>MOMENTA-W</ns0:t>
        </ns0:is>
      </ns0:c>
      <ns0:c r="D503" s="74" t="inlineStr">
        <ns0:is>
          <ns0:t>Technology</ns0:t>
        </ns0:is>
      </ns0:c>
      <ns0:c r="E503" s="74" t="inlineStr">
        <ns0:is>
          <ns0:t>Robotics &amp; autonomous driving</ns0:t>
        </ns0:is>
      </ns0:c>
      <ns0:c r="F503" s="74" t="inlineStr">
        <ns0:is>
          <ns0:t>Advanced hardware and software</ns0:t>
        </ns0:is>
      </ns0:c>
      <ns0:c r="G503" s="74" t="inlineStr">
        <ns0:is>
          <ns0:t>WVR</ns0:t>
        </ns0:is>
      </ns0:c>
      <ns0:c r="H503" s="75" t="n">
        <ns0:v>46211</ns0:v>
      </ns0:c>
      <ns0:c r="I503" s="76" t="n">
        <ns0:v>5893.8</ns0:v>
      </ns0:c>
      <ns0:c r="J503" s="74" t="inlineStr">
        <ns0:is>
          <ns0:t>gross (stated)</ns0:t>
        </ns0:is>
      </ns0:c>
      <ns0:c r="K503" s="95" t="n"/>
      <ns0:c r="L503" s="77" t="n">
        <ns0:v>295.6</ns0:v>
      </ns0:c>
      <ns0:c r="M503" s="77" t="n">
        <ns0:v>295.6</ns0:v>
      </ns0:c>
      <ns0:c r="N503" s="74" t="inlineStr">
        <ns0:is>
          <ns0:t>Y</ns0:t>
        </ns0:is>
      </ns0:c>
      <ns0:c r="O503" s="78" t="n">
        <ns0:v>100</ns0:v>
      </ns0:c>
      <ns0:c r="P503" s="84" t="n"/>
      <ns0:c r="Q503" s="79" t="n">
        <ns0:v>69600</ns0:v>
      </ns0:c>
      <ns0:c r="R503" s="74" t="inlineStr">
        <ns0:is>
          <ns0:t>press:xueqiu/sina 2026-07-08: IPO市值约696亿 ≈ US$9bn</ns0:t>
        </ns0:is>
      </ns0:c>
      <ns0:c r="S503" s="80" t="n">
        <ns0:v>413.63</ns0:v>
      </ns0:c>
      <ns0:c r="T503" s="81" t="n">
        <ns0:v>20.31</ns0:v>
      </ns0:c>
      <ns0:c r="U503" s="82" t="n">
        <ns0:v>49.95</ns0:v>
      </ns0:c>
      <ns0:c r="V503" s="83" t="n">
        <ns0:v>239</ns0:v>
      </ns0:c>
      <ns0:c r="W503" s="84" t="n"/>
      <ns0:c r="X503" s="74" t="inlineStr">
        <ns0:is>
          <ns0:t>NA</ns0:t>
        </ns0:is>
      </ns0:c>
      <ns0:c r="Y503" s="79" t="n">
        <ns0:v>2949.85</ns0:v>
      </ns0:c>
      <ns0:c r="Z503" s="79" t="n">
        <ns0:v>9979119</ns0:v>
      </ns0:c>
      <ns0:c r="AA503" s="78" t="n">
        <ns0:v>4.24</ns0:v>
      </ns0:c>
      <ns0:c r="AB503" s="74" t="inlineStr">
        <ns0:is>
          <ns0:t>Fidelity International; BlackRock; Mercedes-Benz AG; Oaktree; Golden Link; Franklin Templeton; Boyu; Gaoyi Entities; CPIC; GF Fund; ChinaAMC (HK); Suzhou Mosu; GigaDevice</ns0:t>
        </ns0:is>
      </ns0:c>
      <ns0:c r="AC503" s="74" t="inlineStr">
        <ns0:is>
          <ns0:t>fidelity;blackrock;mercedes;oaktree;golden-link;franklin;boyu;gaoyi;cpic;gf;chinaamc;suzhou;gigadevice</ns0:t>
        </ns0:is>
      </ns0:c>
      <ns0:c r="AD503" s="78" t="n">
        <ns0:v>15</ns0:v>
      </ns0:c>
      <ns0:c r="AE503" s="74" t="inlineStr">
        <ns0:is>
          <ns0:t>lapsed</ns0:t>
        </ns0:is>
      </ns0:c>
      <ns0:c r="AF503" s="74" t="inlineStr">
        <ns0:is>
          <ns0:t>2026-08-02</ns0:t>
        </ns0:is>
      </ns0:c>
      <ns0:c r="AG503" s="74" t="inlineStr">
        <ns0:is>
          <ns0:t>China International Capital Corporation Hong Kong Securities Limited</ns0:t>
        </ns0:is>
      </ns0:c>
      <ns0:c r="AH503" s="74" t="inlineStr">
        <ns0:is>
          <ns0:t>China International</ns0:t>
        </ns0:is>
      </ns0:c>
      <ns0:c r="AI503" s="105" t="n">
        <ns0:v>-0.34</ns0:v>
      </ns0:c>
      <ns0:c r="AJ503" s="87" t="n">
        <ns0:v>0</ns0:v>
      </ns0:c>
      <ns0:c r="AK503" s="87" t="n">
        <ns0:v>5.02</ns0:v>
      </ns0:c>
      <ns0:c r="AL503" s="87" t="n">
        <ns0:v>1.83</ns0:v>
      </ns0:c>
      <ns0:c r="AM503" s="87" t="n">
        <ns0:v>-1.8</ns0:v>
      </ns0:c>
      <ns0:c r="AN503" s="88" t="n"/>
      <ns0:c r="AO503" s="78" t="n">
        <ns0:v>7.11</ns0:v>
      </ns0:c>
      <ns0:c r="AP503" s="87" t="n">
        <ns0:v>0.27</ns0:v>
      </ns0:c>
      <ns0:c r="AQ503" s="87" t="n">
        <ns0:v>-10.08</ns0:v>
      </ns0:c>
      <ns0:c r="AR503" s="103" t="n"/>
      <ns0:c r="AS503" s="87" t="n">
        <ns0:v>0.27</ns0:v>
      </ns0:c>
      <ns0:c r="AT503" s="87" t="n">
        <ns0:v>-10.08</ns0:v>
      </ns0:c>
      <ns0:c r="AU503" s="103" t="n"/>
      <ns0:c r="AV503" s="87" t="n">
        <ns0:v>-4.94</ns0:v>
      </ns0:c>
      <ns0:c r="AW503" s="87" t="n">
        <ns0:v>-17.23</ns0:v>
      </ns0:c>
      <ns0:c r="AX503" s="103" t="n"/>
      <ns0:c r="AY503" s="87" t="n">
        <ns0:v>-12.11</ns0:v>
      </ns0:c>
      <ns0:c r="AZ503" s="87" t="n">
        <ns0:v>7.15</ns0:v>
      </ns0:c>
      <ns0:c r="BA503" s="87" t="n">
        <ns0:v>2.03</ns0:v>
      </ns0:c>
      <ns0:c r="BB503" s="74" t="inlineStr">
        <ns0:is>
          <ns0:t>HSTECH (Hang Seng TECH ETF)</ns0:t>
        </ns0:is>
      </ns0:c>
      <ns0:c r="BC503" s="87" t="n">
        <ns0:v>-45.94</ns0:v>
      </ns0:c>
      <ns0:c r="BD503" s="75" t="n">
        <ns0:v>46297</ns0:v>
      </ns0:c>
      <ns0:c r="BE503" s="76" t="n">
        <ns0:v>2653.8</ns0:v>
      </ns0:c>
      <ns0:c r="BF503" s="79" t="n">
        <ns0:v>-3803.7</ns0:v>
      </ns0:c>
      <ns0:c r="BG503" s="74" t="inlineStr">
        <ns0:is>
          <ns0:t>N</ns0:t>
        </ns0:is>
      </ns0:c>
      <ns0:c r="BH503" s="74" t="inlineStr">
        <ns0:is>
          <ns0:t>n/m</ns0:t>
        </ns0:is>
      </ns0:c>
      <ns0:c r="BI503" s="88" t="n"/>
      <ns0:c r="BJ503" s="88" t="n"/>
      <ns0:c r="BK503" s="89" t="n">
        <ns0:v>26.2</ns0:v>
      </ns0:c>
      <ns0:c r="BL503" s="90">
        <ns0:f>IFERROR(IF('BBG Verify'!S503="","Awaiting Bloomberg",'BBG Verify'!S503),"Awaiting Bloomberg")</ns0:f>
        <ns0:v/>
      </ns0:c>
      <ns0:c r="BM503" s="91" t="inlineStr">
        <ns0:is>
          <ns0:t>N</ns0:t>
        </ns0:is>
      </ns0:c>
      <ns0:c r="BN503" s="92">
        <ns0:f>IFERROR(IF('BBG Verify'!K503="","Awaiting Bloomberg",'BBG Verify'!K503),"Awaiting Bloomberg")</ns0:f>
        <ns0:v/>
      </ns0:c>
      <ns0:c r="BO503" s="74" t="inlineStr">
        <ns0:is>
          <ns0:t>N/A</ns0:t>
        </ns0:is>
      </ns0:c>
      <ns0:c r="BP503" s="74" t="inlineStr">
        <ns0:is>
          <ns0:t>N/A</ns0:t>
        </ns0:is>
      </ns0:c>
      <ns0:c r="BQ503" s="74" t="inlineStr">
        <ns0:is>
          <ns0:t>N/A</ns0:t>
        </ns0:is>
      </ns0:c>
      <ns0:c r="BR503" s="74" t="inlineStr">
        <ns0:is>
          <ns0:t>N/A</ns0:t>
        </ns0:is>
      </ns0:c>
      <ns0:c r="BS503" s="74" t="inlineStr">
        <ns0:is>
          <ns0:t>N/A</ns0:t>
        </ns0:is>
      </ns0:c>
      <ns0:c r="BT503" s="74" t="inlineStr">
        <ns0:is>
          <ns0:t>N/A</ns0:t>
        </ns0:is>
      </ns0:c>
      <ns0:c r="BU503" s="91" t="inlineStr">
        <ns0:is>
          <ns0:t>China International Capital Corporation Hong Kong Securities Limited; Deutsche Securities Asia Limited</ns0:t>
        </ns0:is>
      </ns0:c>
      <ns0:c r="BV503" s="74" t="inlineStr">
        <ns0:is>
          <ns0:t>China International Capital Corporation Hong Kong Securities Limited; Deutsche Securities Asia Limited</ns0:t>
        </ns0:is>
      </ns0:c>
      <ns0:c r="BW503" s="74" t="inlineStr">
        <ns0:is>
          <ns0:t>Tiger Brokers (HK) Global Limited</ns0:t>
        </ns0:is>
      </ns0:c>
      <ns0:c r="BX503" s="74" t="inlineStr">
        <ns0:is>
          <ns0:t>China International Capital Corporation Hong Kong Securities Limited; Deutsche Bank AG, Hong Kong Branch; Futu Securities International (Hong Kong) Limited; J.P. Morgan Securities (Asia Pacific) Limited; Tiger Brokers (HK) Global Limited</ns0:t>
        </ns0:is>
      </ns0:c>
      <ns0:c r="BY503" s="93">
        <ns0:f>HYPERLINK("https://www1.hkexnews.hk/listedco/listconews/sehk/2026/0629/2026062900057.pdf","prospectus")</ns0:f>
        <ns0:v/>
      </ns0:c>
      <ns0:c r="BZ503" s="93">
        <ns0:f>HYPERLINK("https://www1.hkexnews.hk/listedco/listconews/sehk/2026/0707/2026070701963.pdf","allotment")</ns0:f>
        <ns0:v/>
      </ns0:c>
      <ns0:c r="CA503" s="93">
        <ns0:f>HYPERLINK("https://www1.hkexnews.hk/listedco/listconews/sehk/2026/0802/2026080200011.pdf","stabilisation")</ns0:f>
        <ns0:v/>
      </ns0:c>
      <ns0:c r="CB503" s="94" t="n"/>
      <ns0:c r="CC503" s="74" t="inlineStr">
        <ns0:is>
          <ns0:t>P/E: loss-making at IPO, use P/S; range low: maximum offer price only, no floor published; 3m: pending: 61 traded sessions after debut; 63 needed; alpha/index: 3m window not elapsed; allocation: allocation table not in this notice's format (older prose announcement); day-1 tape: volume on file; the retail multiple needs the final public split, which this notice does not state</ns0:t>
        </ns0:is>
      </ns0:c>
    </ns0:row>
    <ns0:row r="504" ht="22" customHeight="1">
      <ns0:c r="A504" s="73" t="inlineStr">
        <ns0:is>
          <ns0:t>7687</ns0:t>
        </ns0:is>
      </ns0:c>
      <ns0:c r="B504" s="74" t="inlineStr">
        <ns0:is>
          <ns0:t>EACON</ns0:t>
        </ns0:is>
      </ns0:c>
      <ns0:c r="C504" s="74" t="inlineStr">
        <ns0:is>
          <ns0:t>易控智駕</ns0:t>
        </ns0:is>
      </ns0:c>
      <ns0:c r="D504" s="74" t="inlineStr">
        <ns0:is>
          <ns0:t>Technology</ns0:t>
        </ns0:is>
      </ns0:c>
      <ns0:c r="E504" s="74" t="inlineStr">
        <ns0:is>
          <ns0:t>Robotics &amp; autonomous driving</ns0:t>
        </ns0:is>
      </ns0:c>
      <ns0:c r="F504" s="74" t="inlineStr">
        <ns0:is>
          <ns0:t>Advanced hardware and software</ns0:t>
        </ns0:is>
      </ns0:c>
      <ns0:c r="G504" s="74" t="inlineStr">
        <ns0:is>
          <ns0:t>Standard</ns0:t>
        </ns0:is>
      </ns0:c>
      <ns0:c r="H504" s="75" t="n">
        <ns0:v>46211</ns0:v>
      </ns0:c>
      <ns0:c r="I504" s="76" t="n">
        <ns0:v>2297.53</ns0:v>
      </ns0:c>
      <ns0:c r="J504" s="74" t="inlineStr">
        <ns0:is>
          <ns0:t>gross (stated)</ns0:t>
        </ns0:is>
      </ns0:c>
      <ns0:c r="K504" s="77" t="n">
        <ns0:v>81.16</ns0:v>
      </ns0:c>
      <ns0:c r="L504" s="77" t="n">
        <ns0:v>87.92</ns0:v>
      </ns0:c>
      <ns0:c r="M504" s="77" t="n">
        <ns0:v>87.92</ns0:v>
      </ns0:c>
      <ns0:c r="N504" s="74" t="inlineStr">
        <ns0:is>
          <ns0:t>Y</ns0:t>
        </ns0:is>
      </ns0:c>
      <ns0:c r="O504" s="78" t="n">
        <ns0:v>100</ns0:v>
      </ns0:c>
      <ns0:c r="P504" s="78" t="n">
        <ns0:v>100</ns0:v>
      </ns0:c>
      <ns0:c r="Q504" s="79" t="n">
        <ns0:v>11603.7</ns0:v>
      </ns0:c>
      <ns0:c r="R504" s="74" t="inlineStr">
        <ns0:is>
          <ns0:t>derived:deal size / offer % of enlarged capital</ns0:t>
        </ns0:is>
      </ns0:c>
      <ns0:c r="S504" s="80" t="n">
        <ns0:v>157.82</ns0:v>
      </ns0:c>
      <ns0:c r="T504" s="81" t="n">
        <ns0:v>10.5</ns0:v>
      </ns0:c>
      <ns0:c r="U504" s="82" t="n">
        <ns0:v>49.79</ns0:v>
      </ns0:c>
      <ns0:c r="V504" s="83" t="n">
        <ns0:v>74</ns0:v>
      </ns0:c>
      <ns0:c r="W504" s="78" t="n">
        <ns0:v>10</ns0:v>
      </ns0:c>
      <ns0:c r="X504" s="74" t="inlineStr">
        <ns0:is>
          <ns0:t>NA</ns0:t>
        </ns0:is>
      </ns0:c>
      <ns0:c r="Y504" s="79" t="n">
        <ns0:v>1153.59</ns0:v>
      </ns0:c>
      <ns0:c r="Z504" s="79" t="n">
        <ns0:v>13120877</ns0:v>
      </ns0:c>
      <ns0:c r="AA504" s="78" t="n">
        <ns0:v>9.94</ns0:v>
      </ns0:c>
      <ns0:c r="AB504" s="74" t="inlineStr">
        <ns0:is>
          <ns0:t>ZIJINNING; Aurora SF (in connection with the Arrangement); Fidelity International; JPMAMAPL; Barings; Indus Fund; Jain Global Master Fund Ltd; REGAL; GF Fund; Seven Grand</ns0:t>
        </ns0:is>
      </ns0:c>
      <ns0:c r="AC504" s="74" t="inlineStr">
        <ns0:is>
          <ns0:t>zijinning;aurora;fidelity;jpmamapl;barings;indus;jain;regal;gf;seven</ns0:t>
        </ns0:is>
      </ns0:c>
      <ns0:c r="AD504" s="78" t="n">
        <ns0:v>6.2</ns0:v>
      </ns0:c>
      <ns0:c r="AE504" s="74" t="inlineStr">
        <ns0:is>
          <ns0:t>partial</ns0:t>
        </ns0:is>
      </ns0:c>
      <ns0:c r="AF504" s="74" t="inlineStr">
        <ns0:is>
          <ns0:t>2026-08-02</ns0:t>
        </ns0:is>
      </ns0:c>
      <ns0:c r="AG504" s="74" t="inlineStr">
        <ns0:is>
          <ns0:t>Haitong International Securities Company Limited</ns0:t>
        </ns0:is>
      </ns0:c>
      <ns0:c r="AH504" s="74" t="inlineStr">
        <ns0:is>
          <ns0:t>Haitong</ns0:t>
        </ns0:is>
      </ns0:c>
      <ns0:c r="AI504" s="86" t="n">
        <ns0:v>4.07</ns0:v>
      </ns0:c>
      <ns0:c r="AJ504" s="87" t="n">
        <ns0:v>9.99</ns0:v>
      </ns0:c>
      <ns0:c r="AK504" s="87" t="n">
        <ns0:v>5.02</ns0:v>
      </ns0:c>
      <ns0:c r="AL504" s="87" t="n">
        <ns0:v>3.5</ns0:v>
      </ns0:c>
      <ns0:c r="AM504" s="87" t="n">
        <ns0:v>6.27</ns0:v>
      </ns0:c>
      <ns0:c r="AN504" s="89" t="n">
        <ns0:v>2.81</ns0:v>
      </ns0:c>
      <ns0:c r="AO504" s="78" t="n">
        <ns0:v>14.45</ns0:v>
      </ns0:c>
      <ns0:c r="AP504" s="87" t="n">
        <ns0:v>2.59</ns0:v>
      </ns0:c>
      <ns0:c r="AQ504" s="87" t="n">
        <ns0:v>-5.6</ns0:v>
      </ns0:c>
      <ns0:c r="AR504" s="103" t="n"/>
      <ns0:c r="AS504" s="87" t="n">
        <ns0:v>-6.73</ns0:v>
      </ns0:c>
      <ns0:c r="AT504" s="87" t="n">
        <ns0:v>-14.17</ns0:v>
      </ns0:c>
      <ns0:c r="AU504" s="103" t="n"/>
      <ns0:c r="AV504" s="87" t="n">
        <ns0:v>-2.62</ns0:v>
      </ns0:c>
      <ns0:c r="AW504" s="87" t="n">
        <ns0:v>-12.75</ns0:v>
      </ns0:c>
      <ns0:c r="AX504" s="103" t="n"/>
      <ns0:c r="AY504" s="87" t="n">
        <ns0:v>-16.2</ns0:v>
      </ns0:c>
      <ns0:c r="AZ504" s="87" t="n">
        <ns0:v>7.15</ns0:v>
      </ns0:c>
      <ns0:c r="BA504" s="87" t="n">
        <ns0:v>2.03</ns0:v>
      </ns0:c>
      <ns0:c r="BB504" s="74" t="inlineStr">
        <ns0:is>
          <ns0:t>HSTECH (Hang Seng TECH ETF)</ns0:t>
        </ns0:is>
      </ns0:c>
      <ns0:c r="BC504" s="87" t="n">
        <ns0:v>-23.79</ns0:v>
      </ns0:c>
      <ns0:c r="BD504" s="75" t="n">
        <ns0:v>46297</ns0:v>
      </ns0:c>
      <ns0:c r="BE504" s="76" t="n">
        <ns0:v>1578.8</ns0:v>
      </ns0:c>
      <ns0:c r="BF504" s="79" t="n">
        <ns0:v>-567.1</ns0:v>
      </ns0:c>
      <ns0:c r="BG504" s="74" t="inlineStr">
        <ns0:is>
          <ns0:t>N</ns0:t>
        </ns0:is>
      </ns0:c>
      <ns0:c r="BH504" s="74" t="inlineStr">
        <ns0:is>
          <ns0:t>n/m</ns0:t>
        </ns0:is>
      </ns0:c>
      <ns0:c r="BI504" s="88" t="n"/>
      <ns0:c r="BJ504" s="88" t="n"/>
      <ns0:c r="BK504" s="89" t="n">
        <ns0:v>7.3</ns0:v>
      </ns0:c>
      <ns0:c r="BL504" s="90">
        <ns0:f>IFERROR(IF('BBG Verify'!S504="","Awaiting Bloomberg",'BBG Verify'!S504),"Awaiting Bloomberg")</ns0:f>
        <ns0:v/>
      </ns0:c>
      <ns0:c r="BM504" s="91" t="inlineStr">
        <ns0:is>
          <ns0:t>N</ns0:t>
        </ns0:is>
      </ns0:c>
      <ns0:c r="BN504" s="92">
        <ns0:f>IFERROR(IF('BBG Verify'!K504="","Awaiting Bloomberg",'BBG Verify'!K504),"Awaiting Bloomberg")</ns0:f>
        <ns0:v/>
      </ns0:c>
      <ns0:c r="BO504" s="74" t="inlineStr">
        <ns0:is>
          <ns0:t>N/A</ns0:t>
        </ns0:is>
      </ns0:c>
      <ns0:c r="BP504" s="74" t="inlineStr">
        <ns0:is>
          <ns0:t>N/A</ns0:t>
        </ns0:is>
      </ns0:c>
      <ns0:c r="BQ504" s="74" t="inlineStr">
        <ns0:is>
          <ns0:t>N/A</ns0:t>
        </ns0:is>
      </ns0:c>
      <ns0:c r="BR504" s="74" t="inlineStr">
        <ns0:is>
          <ns0:t>N/A</ns0:t>
        </ns0:is>
      </ns0:c>
      <ns0:c r="BS504" s="74" t="inlineStr">
        <ns0:is>
          <ns0:t>N/A</ns0:t>
        </ns0:is>
      </ns0:c>
      <ns0:c r="BT504" s="74" t="inlineStr">
        <ns0:is>
          <ns0:t>N/A</ns0:t>
        </ns0:is>
      </ns0:c>
      <ns0:c r="BU504" s="91" t="inlineStr">
        <ns0:is>
          <ns0:t>Haitong International Capital Limited</ns0:t>
        </ns0:is>
      </ns0:c>
      <ns0:c r="BV504" s="74" t="inlineStr">
        <ns0:is>
          <ns0:t>Haitong International Capital Limited</ns0:t>
        </ns0:is>
      </ns0:c>
      <ns0:c r="BW504" s="74" t="inlineStr">
        <ns0:is>
          <ns0: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ns0:t>
        </ns0:is>
      </ns0:c>
      <ns0:c r="BX504" s="74" t="inlineStr">
        <ns0:is>
          <ns0: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ns0:t>
        </ns0:is>
      </ns0:c>
      <ns0:c r="BY504" s="93">
        <ns0:f>HYPERLINK("https://www1.hkexnews.hk/listedco/listconews/sehk/2026/0629/2026062900135.pdf","prospectus")</ns0:f>
        <ns0:v/>
      </ns0:c>
      <ns0:c r="BZ504" s="93">
        <ns0:f>HYPERLINK("https://www1.hkexnews.hk/listedco/listconews/sehk/2026/0707/2026070702043.pdf","allotment")</ns0:f>
        <ns0:v/>
      </ns0:c>
      <ns0:c r="CA504" s="93">
        <ns0:f>HYPERLINK("https://www1.hkexnews.hk/listedco/listconews/sehk/2026/0802/2026080200017.pdf","stabilisation")</ns0:f>
        <ns0:v/>
      </ns0:c>
      <ns0:c r="CB504" s="94" t="n"/>
      <ns0:c r="CC504" s="74" t="inlineStr">
        <ns0:is>
          <ns0:t>P/E: loss-making at IPO, use P/S; 3m: pending: 61 traded sessions after debut; 63 needed; alpha/index: 3m window not elapsed</ns0:t>
        </ns0:is>
      </ns0:c>
    </ns0:row>
    <ns0:row r="505" ht="22" customHeight="1">
      <ns0:c r="A505" s="73" t="inlineStr">
        <ns0:is>
          <ns0:t>2797</ns0:t>
        </ns0:is>
      </ns0:c>
      <ns0:c r="B505" s="74" t="inlineStr">
        <ns0:is>
          <ns0:t>QIYUNSHAN FOOD</ns0:t>
        </ns0:is>
      </ns0:c>
      <ns0:c r="C505" s="74" t="inlineStr">
        <ns0:is>
          <ns0:t>齊雲山食品</ns0:t>
        </ns0:is>
      </ns0:c>
      <ns0:c r="D505" s="74" t="inlineStr">
        <ns0:is>
          <ns0:t>Consumer</ns0:t>
        </ns0:is>
      </ns0:c>
      <ns0:c r="E505" s="74" t="inlineStr">
        <ns0:is>
          <ns0:t>Beverages / packaged food</ns0:t>
        </ns0:is>
      </ns0:c>
      <ns0:c r="F505" s="74" t="inlineStr">
        <ns0:is>
          <ns0:t>Packaged Foods</ns0:t>
        </ns0:is>
      </ns0:c>
      <ns0:c r="G505" s="74" t="inlineStr">
        <ns0:is>
          <ns0:t>Standard</ns0:t>
        </ns0:is>
      </ns0:c>
      <ns0:c r="H505" s="75" t="n">
        <ns0:v>46212</ns0:v>
      </ns0:c>
      <ns0:c r="I505" s="76" t="n">
        <ns0:v>200</ns0:v>
      </ns0:c>
      <ns0:c r="J505" s="74" t="inlineStr">
        <ns0:is>
          <ns0:t>gross (stated)</ns0:t>
        </ns0:is>
      </ns0:c>
      <ns0:c r="K505" s="77" t="n">
        <ns0:v>5</ns0:v>
      </ns0:c>
      <ns0:c r="L505" s="77" t="n">
        <ns0:v>8</ns0:v>
      </ns0:c>
      <ns0:c r="M505" s="77" t="n">
        <ns0:v>8</ns0:v>
      </ns0:c>
      <ns0:c r="N505" s="74" t="inlineStr">
        <ns0:is>
          <ns0:t>Y</ns0:t>
        </ns0:is>
      </ns0:c>
      <ns0:c r="O505" s="78" t="n">
        <ns0:v>100</ns0:v>
      </ns0:c>
      <ns0:c r="P505" s="78" t="n">
        <ns0:v>100</ns0:v>
      </ns0:c>
      <ns0:c r="Q505" s="79" t="n">
        <ns0:v>800</ns0:v>
      </ns0:c>
      <ns0:c r="R505" s="74" t="inlineStr">
        <ns0:is>
          <ns0:t>derived:price x shares upon listing</ns0:t>
        </ns0:is>
      </ns0:c>
      <ns0:c r="S505" s="80" t="n">
        <ns0:v>1688.1</ns0:v>
      </ns0:c>
      <ns0:c r="T505" s="81" t="n">
        <ns0:v>1.51</ns0:v>
      </ns0:c>
      <ns0:c r="U505" s="82" t="n">
        <ns0:v>0</ns0:v>
      </ns0:c>
      <ns0:c r="V505" s="83" t="n">
        <ns0:v>85</ns0:v>
      </ns0:c>
      <ns0:c r="W505" s="78" t="n">
        <ns0:v>10</ns0:v>
      </ns0:c>
      <ns0:c r="X505" s="74" t="inlineStr">
        <ns0:is>
          <ns0:t>NO</ns0:t>
        </ns0:is>
      </ns0:c>
      <ns0:c r="Y505" s="79" t="n">
        <ns0:v>200</ns0:v>
      </ns0:c>
      <ns0:c r="Z505" s="79" t="n">
        <ns0:v>25000000</ns0:v>
      </ns0:c>
      <ns0:c r="AA505" s="78" t="n">
        <ns0:v>25</ns0:v>
      </ns0:c>
      <ns0:c r="AB505" s="74" t="inlineStr">
        <ns0:is>
          <ns0:t>none — no cornerstone tranche</ns0:t>
        </ns0:is>
      </ns0:c>
      <ns0:c r="AC505" s="74" t="inlineStr">
        <ns0:is>
          <ns0:t>none</ns0:t>
        </ns0:is>
      </ns0:c>
      <ns0:c r="AD505" s="78" t="n">
        <ns0:v>15</ns0:v>
      </ns0:c>
      <ns0:c r="AE505" s="74" t="inlineStr">
        <ns0:is>
          <ns0:t>lapsed (no over-allocation)</ns0:t>
        </ns0:is>
      </ns0:c>
      <ns0:c r="AF505" s="85" t="n"/>
      <ns0:c r="AG505" s="74" t="inlineStr">
        <ns0:is>
          <ns0:t>Zhongtai Intern ational Securities Limited</ns0:t>
        </ns0:is>
      </ns0:c>
      <ns0:c r="AH505" s="74" t="inlineStr">
        <ns0:is>
          <ns0:t>Zhongtai Intern</ns0:t>
        </ns0:is>
      </ns0:c>
      <ns0:c r="AI505" s="86" t="n">
        <ns0:v>93.75</ns0:v>
      </ns0:c>
      <ns0:c r="AJ505" s="87" t="n">
        <ns0:v>162.5</ns0:v>
      </ns0:c>
      <ns0:c r="AK505" s="87" t="n">
        <ns0:v>-0.5600000000000001</ns0:v>
      </ns0:c>
      <ns0:c r="AL505" s="87" t="n">
        <ns0:v>100</ns0:v>
      </ns0:c>
      <ns0:c r="AM505" s="87" t="n">
        <ns0:v>31.25</ns0:v>
      </ns0:c>
      <ns0:c r="AN505" s="89" t="n">
        <ns0:v>4.03</ns0:v>
      </ns0:c>
      <ns0:c r="AO505" s="78" t="n">
        <ns0:v>62.5</ns0:v>
      </ns0:c>
      <ns0:c r="AP505" s="87" t="n">
        <ns0:v>267.5</ns0:v>
      </ns0:c>
      <ns0:c r="AQ505" s="87" t="n">
        <ns0:v>1146.88</ns0:v>
      </ns0:c>
      <ns0:c r="AR505" s="103" t="n"/>
      <ns0:c r="AS505" s="87" t="n">
        <ns0:v>40</ns0:v>
      </ns0:c>
      <ns0:c r="AT505" s="87" t="n">
        <ns0:v>375</ns0:v>
      </ns0:c>
      <ns0:c r="AU505" s="103" t="n"/>
      <ns0:c r="AV505" s="87" t="n">
        <ns0:v>263.44</ns0:v>
      </ns0:c>
      <ns0:c r="AW505" s="87" t="n">
        <ns0:v>1140.07</ns0:v>
      </ns0:c>
      <ns0:c r="AX505" s="103" t="n"/>
      <ns0:c r="AY505" s="87" t="n">
        <ns0:v>367.59</ns0:v>
      </ns0:c>
      <ns0:c r="AZ505" s="87" t="n">
        <ns0:v>6.81</ns0:v>
      </ns0:c>
      <ns0:c r="BA505" s="87" t="n">
        <ns0:v>7.41</ns0:v>
      </ns0:c>
      <ns0:c r="BB505" s="74" t="inlineStr">
        <ns0:is>
          <ns0:t>Hang Seng Commerce &amp; Industry sub-index</ns0:t>
        </ns0:is>
      </ns0:c>
      <ns0:c r="BC505" s="87" t="n">
        <ns0:v>1186.25</ns0:v>
      </ns0:c>
      <ns0:c r="BD505" s="75" t="n">
        <ns0:v>46297</ns0:v>
      </ns0:c>
      <ns0:c r="BE505" s="76" t="n">
        <ns0:v>345.1</ns0:v>
      </ns0:c>
      <ns0:c r="BF505" s="79" t="n">
        <ns0:v>53.8</ns0:v>
      </ns0:c>
      <ns0:c r="BG505" s="74" t="inlineStr">
        <ns0:is>
          <ns0:t>Y</ns0:t>
        </ns0:is>
      </ns0:c>
      <ns0:c r="BH505" s="89" t="n">
        <ns0:v>14.9</ns0:v>
      </ns0:c>
      <ns0:c r="BI505" s="88" t="n"/>
      <ns0:c r="BJ505" s="88" t="n"/>
      <ns0:c r="BK505" s="89" t="n">
        <ns0:v>2.3</ns0:v>
      </ns0:c>
      <ns0:c r="BL505" s="90">
        <ns0:f>IFERROR(IF('BBG Verify'!S505="","Awaiting Bloomberg",'BBG Verify'!S505),"Awaiting Bloomberg")</ns0:f>
        <ns0:v/>
      </ns0:c>
      <ns0:c r="BM505" s="91" t="inlineStr">
        <ns0:is>
          <ns0:t>N</ns0:t>
        </ns0:is>
      </ns0:c>
      <ns0:c r="BN505" s="92">
        <ns0:f>IFERROR(IF('BBG Verify'!K505="","Awaiting Bloomberg",'BBG Verify'!K505),"Awaiting Bloomberg")</ns0:f>
        <ns0:v/>
      </ns0:c>
      <ns0:c r="BO505" s="74" t="inlineStr">
        <ns0:is>
          <ns0:t>N/A</ns0:t>
        </ns0:is>
      </ns0:c>
      <ns0:c r="BP505" s="74" t="inlineStr">
        <ns0:is>
          <ns0:t>N/A</ns0:t>
        </ns0:is>
      </ns0:c>
      <ns0:c r="BQ505" s="74" t="inlineStr">
        <ns0:is>
          <ns0:t>N/A</ns0:t>
        </ns0:is>
      </ns0:c>
      <ns0:c r="BR505" s="74" t="inlineStr">
        <ns0:is>
          <ns0:t>N/A</ns0:t>
        </ns0:is>
      </ns0:c>
      <ns0:c r="BS505" s="74" t="inlineStr">
        <ns0:is>
          <ns0:t>N/A</ns0:t>
        </ns0:is>
      </ns0:c>
      <ns0:c r="BT505" s="74" t="inlineStr">
        <ns0:is>
          <ns0:t>N/A</ns0:t>
        </ns0:is>
      </ns0:c>
      <ns0:c r="BU505" s="91" t="inlineStr">
        <ns0:is>
          <ns0:t>Zhongtai Inte rnational Capital Limited</ns0:t>
        </ns0:is>
      </ns0:c>
      <ns0:c r="BV505" s="74" t="inlineStr">
        <ns0:is>
          <ns0:t>Zhongtai International Capital Limited</ns0:t>
        </ns0:is>
      </ns0:c>
      <ns0:c r="BW505" s="74" t="inlineStr">
        <ns0:is>
          <ns0:t>CCB International Capital Limited; ABCI Capital Limited</ns0:t>
        </ns0:is>
      </ns0:c>
      <ns0:c r="BX505" s="74" t="inlineStr">
        <ns0:is>
          <ns0: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ns0:t>
        </ns0:is>
      </ns0:c>
      <ns0:c r="BY505" s="93">
        <ns0:f>HYPERLINK("https://www1.hkexnews.hk/listedco/listconews/sehk/2026/0630/2026063000055.pdf","prospectus")</ns0:f>
        <ns0:v/>
      </ns0:c>
      <ns0:c r="BZ505" s="93">
        <ns0:f>HYPERLINK("https://www1.hkexnews.hk/listedco/listconews/sehk/2026/0708/2026070801132.pdf","allotment")</ns0:f>
        <ns0:v/>
      </ns0:c>
      <ns0:c r="CA505" s="93">
        <ns0:f>HYPERLINK("https://www1.hkexnews.hk/listedco/listconews/sehk/2026/0805/2026080501400.pdf","stabilisation")</ns0:f>
        <ns0:v/>
      </ns0:c>
      <ns0:c r="CB505" s="94" t="n"/>
      <ns0:c r="CC505" s="74" t="inlineStr">
        <ns0:is>
          <ns0:t>greenshoe: outcome published; expiry date not in the notice; 3m: pending: 60 traded sessions after debut; 63 needed; cornerstone list: no cornerstone tranche; alpha/index: 3m window not elapsed</ns0:t>
        </ns0:is>
      </ns0:c>
    </ns0:row>
    <ns0:row r="506" ht="22" customHeight="1">
      <ns0:c r="A506" s="73" t="inlineStr">
        <ns0:is>
          <ns0:t>1770</ns0:t>
        </ns0:is>
      </ns0:c>
      <ns0:c r="B506" s="74" t="inlineStr">
        <ns0:is>
          <ns0:t>DKE</ns0:t>
        </ns0:is>
      </ns0:c>
      <ns0:c r="C506" s="74" t="inlineStr">
        <ns0:is>
          <ns0:t>東方科脈</ns0:t>
        </ns0:is>
      </ns0:c>
      <ns0:c r="D506" s="74" t="inlineStr">
        <ns0:is>
          <ns0:t>Technology</ns0:t>
        </ns0:is>
      </ns0:c>
      <ns0:c r="E506" s="74" t="inlineStr">
        <ns0:is>
          <ns0:t>Hardware &amp; electronics</ns0:t>
        </ns0:is>
      </ns0:c>
      <ns0:c r="F506" s="74" t="inlineStr">
        <ns0:is>
          <ns0:t>Electrical Components &amp; Equipment</ns0:t>
        </ns0:is>
      </ns0:c>
      <ns0:c r="G506" s="74" t="inlineStr">
        <ns0:is>
          <ns0:t>Standard</ns0:t>
        </ns0:is>
      </ns0:c>
      <ns0:c r="H506" s="75" t="n">
        <ns0:v>46212</ns0:v>
      </ns0:c>
      <ns0:c r="I506" s="76" t="n">
        <ns0:v>402.53</ns0:v>
      </ns0:c>
      <ns0:c r="J506" s="74" t="inlineStr">
        <ns0:is>
          <ns0:t>gross (stated)</ns0:t>
        </ns0:is>
      </ns0:c>
      <ns0:c r="K506" s="95" t="n"/>
      <ns0:c r="L506" s="77" t="n">
        <ns0:v>101.11</ns0:v>
      </ns0:c>
      <ns0:c r="M506" s="77" t="n">
        <ns0:v>78.64</ns0:v>
      </ns0:c>
      <ns0:c r="N506" s="74" t="inlineStr">
        <ns0:is>
          <ns0:t>N</ns0:t>
        </ns0:is>
      </ns0:c>
      <ns0:c r="O506" s="78" t="n">
        <ns0:v>77.8</ns0:v>
      </ns0:c>
      <ns0:c r="P506" s="84" t="n"/>
      <ns0:c r="Q506" s="79" t="n">
        <ns0:v>4025.2</ns0:v>
      </ns0:c>
      <ns0:c r="R506" s="74" t="inlineStr">
        <ns0:is>
          <ns0:t>derived:price x shares upon listing</ns0:t>
        </ns0:is>
      </ns0:c>
      <ns0:c r="S506" s="80" t="n">
        <ns0:v>1067.54</ns0:v>
      </ns0:c>
      <ns0:c r="T506" s="81" t="n">
        <ns0:v>3.69</ns0:v>
      </ns0:c>
      <ns0:c r="U506" s="82" t="n">
        <ns0:v>0</ns0:v>
      </ns0:c>
      <ns0:c r="V506" s="83" t="n">
        <ns0:v>52</ns0:v>
      </ns0:c>
      <ns0:c r="W506" s="78" t="n">
        <ns0:v>10</ns0:v>
      </ns0:c>
      <ns0:c r="X506" s="74" t="inlineStr">
        <ns0:is>
          <ns0:t>NO</ns0:t>
        </ns0:is>
      </ns0:c>
      <ns0:c r="Y506" s="79" t="n">
        <ns0:v>402.53</ns0:v>
      </ns0:c>
      <ns0:c r="Z506" s="79" t="n">
        <ns0:v>5118600</ns0:v>
      </ns0:c>
      <ns0:c r="AA506" s="78" t="n">
        <ns0:v>10</ns0:v>
      </ns0:c>
      <ns0:c r="AB506" s="74" t="inlineStr">
        <ns0:is>
          <ns0:t>none — no cornerstone tranche</ns0:t>
        </ns0:is>
      </ns0:c>
      <ns0:c r="AC506" s="74" t="inlineStr">
        <ns0:is>
          <ns0:t>none</ns0:t>
        </ns0:is>
      </ns0:c>
      <ns0:c r="AD506" s="78" t="n">
        <ns0:v>10</ns0:v>
      </ns0:c>
      <ns0:c r="AE506" s="74" t="inlineStr">
        <ns0:is>
          <ns0:t>lapsed (no over-allocation)</ns0:t>
        </ns0:is>
      </ns0:c>
      <ns0:c r="AF506" s="85" t="n"/>
      <ns0:c r="AG506" s="74" t="inlineStr">
        <ns0:is>
          <ns0:t>CLSA Limited</ns0:t>
        </ns0:is>
      </ns0:c>
      <ns0:c r="AH506" s="74" t="inlineStr">
        <ns0:is>
          <ns0:t>CLSA</ns0:t>
        </ns0:is>
      </ns0:c>
      <ns0:c r="AI506" s="86" t="n">
        <ns0:v>3.38</ns0:v>
      </ns0:c>
      <ns0:c r="AJ506" s="87" t="n">
        <ns0:v>1.73</ns0:v>
      </ns0:c>
      <ns0:c r="AK506" s="87" t="n">
        <ns0:v>0</ns0:v>
      </ns0:c>
      <ns0:c r="AL506" s="87" t="n">
        <ns0:v>-1.89</ns0:v>
      </ns0:c>
      <ns0:c r="AM506" s="87" t="n">
        <ns0:v>3.69</ns0:v>
      </ns0:c>
      <ns0:c r="AN506" s="89" t="n">
        <ns0:v>1.79</ns0:v>
      </ns0:c>
      <ns0:c r="AO506" s="78" t="n">
        <ns0:v>12.7</ns0:v>
      </ns0:c>
      <ns0:c r="AP506" s="87" t="n">
        <ns0:v>-1.2</ns0:v>
      </ns0:c>
      <ns0:c r="AQ506" s="87" t="n">
        <ns0:v>42.42</ns0:v>
      </ns0:c>
      <ns0:c r="AR506" s="103" t="n"/>
      <ns0:c r="AS506" s="87" t="n">
        <ns0:v>-2.88</ns0:v>
      </ns0:c>
      <ns0:c r="AT506" s="87" t="n">
        <ns0:v>40</ns0:v>
      </ns0:c>
      <ns0:c r="AU506" s="103" t="n"/>
      <ns0:c r="AV506" s="87" t="n">
        <ns0:v>-3.53</ns0:v>
      </ns0:c>
      <ns0:c r="AW506" s="87" t="n">
        <ns0:v>39.7</ns0:v>
      </ns0:c>
      <ns0:c r="AX506" s="103" t="n"/>
      <ns0:c r="AY506" s="87" t="n">
        <ns0:v>37.28</ns0:v>
      </ns0:c>
      <ns0:c r="AZ506" s="87" t="n">
        <ns0:v>2.72</ns0:v>
      </ns0:c>
      <ns0:c r="BA506" s="87" t="n">
        <ns0:v>2.72</ns0:v>
      </ns0:c>
      <ns0:c r="BB506" s="74" t="inlineStr">
        <ns0:is>
          <ns0:t>HSTECH (Hang Seng TECH ETF)</ns0:t>
        </ns0:is>
      </ns0:c>
      <ns0:c r="BC506" s="87" t="n">
        <ns0:v>-5.9</ns0:v>
      </ns0:c>
      <ns0:c r="BD506" s="75" t="n">
        <ns0:v>46297</ns0:v>
      </ns0:c>
      <ns0:c r="BE506" s="76" t="n">
        <ns0:v>571.6</ns0:v>
      </ns0:c>
      <ns0:c r="BF506" s="79" t="n">
        <ns0:v>88.3</ns0:v>
      </ns0:c>
      <ns0:c r="BG506" s="74" t="inlineStr">
        <ns0:is>
          <ns0:t>Y</ns0:t>
        </ns0:is>
      </ns0:c>
      <ns0:c r="BH506" s="89" t="n">
        <ns0:v>45.6</ns0:v>
      </ns0:c>
      <ns0:c r="BI506" s="88" t="n"/>
      <ns0:c r="BJ506" s="88" t="n"/>
      <ns0:c r="BK506" s="89" t="n">
        <ns0:v>7</ns0:v>
      </ns0:c>
      <ns0:c r="BL506" s="90">
        <ns0:f>IFERROR(IF('BBG Verify'!S506="","Awaiting Bloomberg",'BBG Verify'!S506),"Awaiting Bloomberg")</ns0:f>
        <ns0:v/>
      </ns0:c>
      <ns0:c r="BM506" s="91" t="inlineStr">
        <ns0:is>
          <ns0:t>N</ns0:t>
        </ns0:is>
      </ns0:c>
      <ns0:c r="BN506" s="92">
        <ns0:f>IFERROR(IF('BBG Verify'!K506="","Awaiting Bloomberg",'BBG Verify'!K506),"Awaiting Bloomberg")</ns0:f>
        <ns0:v/>
      </ns0:c>
      <ns0:c r="BO506" s="74" t="inlineStr">
        <ns0:is>
          <ns0:t>N/A</ns0:t>
        </ns0:is>
      </ns0:c>
      <ns0:c r="BP506" s="74" t="inlineStr">
        <ns0:is>
          <ns0:t>N/A</ns0:t>
        </ns0:is>
      </ns0:c>
      <ns0:c r="BQ506" s="74" t="inlineStr">
        <ns0:is>
          <ns0:t>N/A</ns0:t>
        </ns0:is>
      </ns0:c>
      <ns0:c r="BR506" s="74" t="inlineStr">
        <ns0:is>
          <ns0:t>N/A</ns0:t>
        </ns0:is>
      </ns0:c>
      <ns0:c r="BS506" s="74" t="inlineStr">
        <ns0:is>
          <ns0:t>N/A</ns0:t>
        </ns0:is>
      </ns0:c>
      <ns0:c r="BT506" s="74" t="inlineStr">
        <ns0:is>
          <ns0:t>N/A</ns0:t>
        </ns0:is>
      </ns0:c>
      <ns0:c r="BU506" s="91" t="inlineStr">
        <ns0:is>
          <ns0:t>CITIC Securities (Hong Kong) Limited</ns0:t>
        </ns0:is>
      </ns0:c>
      <ns0:c r="BV506" s="74" t="inlineStr">
        <ns0:is>
          <ns0:t>CITIC Securities (Hong Kong) Limited</ns0:t>
        </ns0:is>
      </ns0:c>
      <ns0:c r="BW506" s="74" t="inlineStr">
        <ns0:is>
          <ns0:t>CMBC Securities Company Limited; JA Securities Limited</ns0:t>
        </ns0:is>
      </ns0:c>
      <ns0:c r="BX506" s="74" t="inlineStr">
        <ns0:is>
          <ns0:t>China Harbour International Securities Limited; CLSA Limited; CMBC Securities Company Limited; JA Securities Limited; SPDB International Capital Limited</ns0:t>
        </ns0:is>
      </ns0:c>
      <ns0:c r="BY506" s="93">
        <ns0:f>HYPERLINK("https://www1.hkexnews.hk/listedco/listconews/sehk/2026/0629/2026062900101.pdf","prospectus")</ns0:f>
        <ns0:v/>
      </ns0:c>
      <ns0:c r="BZ506" s="93">
        <ns0:f>HYPERLINK("https://www1.hkexnews.hk/listedco/listconews/sehk/2026/0708/2026070801214.pdf","allotment")</ns0:f>
        <ns0:v/>
      </ns0:c>
      <ns0:c r="CA506" s="93">
        <ns0:f>HYPERLINK("https://www1.hkexnews.hk/listedco/listconews/sehk/2026/0803/2026080303735.pdf","stabilisation")</ns0:f>
        <ns0:v/>
      </ns0:c>
      <ns0:c r="CB506" s="94" t="n"/>
      <ns0:c r="CC506" s="74" t="inlineStr">
        <ns0:is>
          <ns0:t>greenshoe: outcome published; expiry date not in the notice; range low: maximum offer price only, no floor published; 3m: pending: 60 traded sessions after debut; 63 needed; cornerstone list: no cornerstone tranche; alpha/index: 3m window not elapsed</ns0:t>
        </ns0:is>
      </ns0:c>
    </ns0:row>
    <ns0:row r="507" ht="22" customHeight="1">
      <ns0:c r="A507" s="73" t="inlineStr">
        <ns0:is>
          <ns0:t>3752</ns0:t>
        </ns0:is>
      </ns0:c>
      <ns0:c r="B507" s="74" t="inlineStr">
        <ns0:is>
          <ns0:t>ROKAE ROBOTICS</ns0:t>
        </ns0:is>
      </ns0:c>
      <ns0:c r="C507" s="74" t="inlineStr">
        <ns0:is>
          <ns0:t>珞石機器人</ns0:t>
        </ns0:is>
      </ns0:c>
      <ns0:c r="D507" s="74" t="inlineStr">
        <ns0:is>
          <ns0:t>Technology</ns0:t>
        </ns0:is>
      </ns0:c>
      <ns0:c r="E507" s="74" t="inlineStr">
        <ns0:is>
          <ns0:t>Robotics &amp; autonomous driving</ns0:t>
        </ns0:is>
      </ns0:c>
      <ns0:c r="F507" s="74" t="inlineStr">
        <ns0:is>
          <ns0:t>Advanced hardware and software</ns0:t>
        </ns0:is>
      </ns0:c>
      <ns0:c r="G507" s="74" t="inlineStr">
        <ns0:is>
          <ns0:t>Standard</ns0:t>
        </ns0:is>
      </ns0:c>
      <ns0:c r="H507" s="75" t="n">
        <ns0:v>46212</ns0:v>
      </ns0:c>
      <ns0:c r="I507" s="76" t="n">
        <ns0:v>875.2</ns0:v>
      </ns0:c>
      <ns0:c r="J507" s="74" t="inlineStr">
        <ns0:is>
          <ns0:t>gross (stated)</ns0:t>
        </ns0:is>
      </ns0:c>
      <ns0:c r="K507" s="95" t="n"/>
      <ns0:c r="L507" s="77" t="n">
        <ns0:v>38</ns0:v>
      </ns0:c>
      <ns0:c r="M507" s="77" t="n">
        <ns0:v>38</ns0:v>
      </ns0:c>
      <ns0:c r="N507" s="74" t="inlineStr">
        <ns0:is>
          <ns0:t>Y</ns0:t>
        </ns0:is>
      </ns0:c>
      <ns0:c r="O507" s="78" t="n">
        <ns0:v>100</ns0:v>
      </ns0:c>
      <ns0:c r="P507" s="84" t="n"/>
      <ns0:c r="Q507" s="79" t="n">
        <ns0:v>9950</ns0:v>
      </ns0:c>
      <ns0:c r="R507" s="74" t="inlineStr">
        <ns0:is>
          <ns0:t>prospectus:stated market capitalisation</ns0:t>
        </ns0:is>
      </ns0:c>
      <ns0:c r="S507" s="80" t="n">
        <ns0:v>156.58</ns0:v>
      </ns0:c>
      <ns0:c r="T507" s="81" t="n">
        <ns0:v>11.96</ns0:v>
      </ns0:c>
      <ns0:c r="U507" s="82" t="n">
        <ns0:v>31.4</ns0:v>
      </ns0:c>
      <ns0:c r="V507" s="83" t="n">
        <ns0:v>72</ns0:v>
      </ns0:c>
      <ns0:c r="W507" s="78" t="n">
        <ns0:v>10</ns0:v>
      </ns0:c>
      <ns0:c r="X507" s="74" t="inlineStr">
        <ns0:is>
          <ns0:t>NO</ns0:t>
        </ns0:is>
      </ns0:c>
      <ns0:c r="Y507" s="79" t="n">
        <ns0:v>600.39</ns0:v>
      </ns0:c>
      <ns0:c r="Z507" s="79" t="n">
        <ns0:v>15799883</ns0:v>
      </ns0:c>
      <ns0:c r="AA507" s="78" t="n">
        <ns0:v>6.03</ns0:v>
      </ns0:c>
      <ns0:c r="AB507" s="74" t="inlineStr">
        <ns0:is>
          <ns0:t>GF Management Co., Ltd. ʮ̡; GF International Investment Management Limitedʮ̡ HUATAI CAPITAL INVESTMENT LIMITEDʮ̡; Beijing Financial Street Capital Operation Group Co., Ltd.ፄ൑༟͉༶ᐄ ʮ̡; Yishao Capital Management (HK) Limited; All View Focus Fund LPF</ns0:t>
        </ns0:is>
      </ns0:c>
      <ns0:c r="AC507" s="74" t="inlineStr">
        <ns0:is>
          <ns0:t>gf;beijing-financial;yishao;all</ns0:t>
        </ns0:is>
      </ns0:c>
      <ns0:c r="AD507" s="78" t="n">
        <ns0:v>15</ns0:v>
      </ns0:c>
      <ns0:c r="AE507" s="74" t="inlineStr">
        <ns0:is>
          <ns0:t>full</ns0:t>
        </ns0:is>
      </ns0:c>
      <ns0:c r="AF507" s="74" t="inlineStr">
        <ns0:is>
          <ns0:t>2026-08-05</ns0:t>
        </ns0:is>
      </ns0:c>
      <ns0:c r="AG507" s="74" t="inlineStr">
        <ns0:is>
          <ns0:t>China International Capital Corporation Hong Kong Securities Limited</ns0:t>
        </ns0:is>
      </ns0:c>
      <ns0:c r="AH507" s="74" t="inlineStr">
        <ns0:is>
          <ns0:t>China International</ns0:t>
        </ns0:is>
      </ns0:c>
      <ns0:c r="AI507" s="105" t="n">
        <ns0:v>-1.84</ns0:v>
      </ns0:c>
      <ns0:c r="AJ507" s="87" t="n">
        <ns0:v>15.21</ns0:v>
      </ns0:c>
      <ns0:c r="AK507" s="87" t="n">
        <ns0:v>0</ns0:v>
      </ns0:c>
      <ns0:c r="AL507" s="87" t="n">
        <ns0:v>0.05</ns0:v>
      </ns0:c>
      <ns0:c r="AM507" s="87" t="n">
        <ns0:v>15.15</ns0:v>
      </ns0:c>
      <ns0:c r="AN507" s="89" t="n">
        <ns0:v>1.77</ns0:v>
      </ns0:c>
      <ns0:c r="AO507" s="78" t="n">
        <ns0:v>17.2</ns0:v>
      </ns0:c>
      <ns0:c r="AP507" s="87" t="n">
        <ns0:v>28.63</ns0:v>
      </ns0:c>
      <ns0:c r="AQ507" s="87" t="n">
        <ns0:v>88.95</ns0:v>
      </ns0:c>
      <ns0:c r="AR507" s="103" t="n"/>
      <ns0:c r="AS507" s="87" t="n">
        <ns0:v>11.65</ns0:v>
      </ns0:c>
      <ns0:c r="AT507" s="87" t="n">
        <ns0:v>64</ns0:v>
      </ns0:c>
      <ns0:c r="AU507" s="103" t="n"/>
      <ns0:c r="AV507" s="87" t="n">
        <ns0:v>26.3</ns0:v>
      </ns0:c>
      <ns0:c r="AW507" s="87" t="n">
        <ns0:v>86.23</ns0:v>
      </ns0:c>
      <ns0:c r="AX507" s="103" t="n"/>
      <ns0:c r="AY507" s="87" t="n">
        <ns0:v>61.28</ns0:v>
      </ns0:c>
      <ns0:c r="AZ507" s="87" t="n">
        <ns0:v>2.72</ns0:v>
      </ns0:c>
      <ns0:c r="BA507" s="87" t="n">
        <ns0:v>2.72</ns0:v>
      </ns0:c>
      <ns0:c r="BB507" s="74" t="inlineStr">
        <ns0:is>
          <ns0:t>HSTECH (Hang Seng TECH ETF)</ns0:t>
        </ns0:is>
      </ns0:c>
      <ns0:c r="BC507" s="87" t="n">
        <ns0:v>37.76</ns0:v>
      </ns0:c>
      <ns0:c r="BD507" s="75" t="n">
        <ns0:v>46297</ns0:v>
      </ns0:c>
      <ns0:c r="BE507" s="76" t="n">
        <ns0:v>573.9</ns0:v>
      </ns0:c>
      <ns0:c r="BF507" s="79" t="n">
        <ns0:v>-197.2</ns0:v>
      </ns0:c>
      <ns0:c r="BG507" s="74" t="inlineStr">
        <ns0:is>
          <ns0:t>N</ns0:t>
        </ns0:is>
      </ns0:c>
      <ns0:c r="BH507" s="74" t="inlineStr">
        <ns0:is>
          <ns0:t>n/m</ns0:t>
        </ns0:is>
      </ns0:c>
      <ns0:c r="BI507" s="88" t="n"/>
      <ns0:c r="BJ507" s="88" t="n"/>
      <ns0:c r="BK507" s="89" t="n">
        <ns0:v>17.3</ns0:v>
      </ns0:c>
      <ns0:c r="BL507" s="90">
        <ns0:f>IFERROR(IF('BBG Verify'!S507="","Awaiting Bloomberg",'BBG Verify'!S507),"Awaiting Bloomberg")</ns0:f>
        <ns0:v/>
      </ns0:c>
      <ns0:c r="BM507" s="91" t="inlineStr">
        <ns0:is>
          <ns0:t>N</ns0:t>
        </ns0:is>
      </ns0:c>
      <ns0:c r="BN507" s="92">
        <ns0:f>IFERROR(IF('BBG Verify'!K507="","Awaiting Bloomberg",'BBG Verify'!K507),"Awaiting Bloomberg")</ns0:f>
        <ns0:v/>
      </ns0:c>
      <ns0:c r="BO507" s="74" t="inlineStr">
        <ns0:is>
          <ns0:t>N/A</ns0:t>
        </ns0:is>
      </ns0:c>
      <ns0:c r="BP507" s="74" t="inlineStr">
        <ns0:is>
          <ns0:t>N/A</ns0:t>
        </ns0:is>
      </ns0:c>
      <ns0:c r="BQ507" s="74" t="inlineStr">
        <ns0:is>
          <ns0:t>N/A</ns0:t>
        </ns0:is>
      </ns0:c>
      <ns0:c r="BR507" s="74" t="inlineStr">
        <ns0:is>
          <ns0:t>N/A</ns0:t>
        </ns0:is>
      </ns0:c>
      <ns0:c r="BS507" s="74" t="inlineStr">
        <ns0:is>
          <ns0:t>N/A</ns0:t>
        </ns0:is>
      </ns0:c>
      <ns0:c r="BT507" s="74" t="inlineStr">
        <ns0:is>
          <ns0:t>N/A</ns0:t>
        </ns0:is>
      </ns0:c>
      <ns0:c r="BU507" s="91" t="inlineStr">
        <ns0:is>
          <ns0:t>China International Capital Corporation Hong Kong Securities Limited; Guotai Junan Capital Limited</ns0:t>
        </ns0:is>
      </ns0:c>
      <ns0:c r="BV507" s="74" t="inlineStr">
        <ns0:is>
          <ns0:t>China International Capital Corporation Hong Kong Securities Limited; Guotai Junan Capital Limited</ns0:t>
        </ns0:is>
      </ns0:c>
      <ns0:c r="BW507" s="74" t="inlineStr">
        <ns0:is>
          <ns0:t>China International Capital Corporation Hong Kong Securities Limited; Guotai Junan Securities (Hong Kong) Limited; Guosen Securities (HK) Brokerage Company, Limited; Futu Securities International (Hong Kong) Limited; Kingsway Financial Services Group Limited</ns0:t>
        </ns0:is>
      </ns0:c>
      <ns0:c r="BX507" s="74" t="inlineStr">
        <ns0:is>
          <ns0:t>China International Capital Corporation Hong Kong Securities Limited; Futu Securities International (Hong Kong) Limited; Guotai Junan Securities (Hong Kong) Limited; Guosen Securities (HK) Brokerage Company, Limited; Kingsway Financial Services Group Limited</ns0:t>
        </ns0:is>
      </ns0:c>
      <ns0:c r="BY507" s="93">
        <ns0:f>HYPERLINK("https://www1.hkexnews.hk/listedco/listconews/sehk/2026/0630/2026063000033.pdf","prospectus")</ns0:f>
        <ns0:v/>
      </ns0:c>
      <ns0:c r="BZ507" s="93">
        <ns0:f>HYPERLINK("https://www1.hkexnews.hk/listedco/listconews/sehk/2026/0708/2026070801234.pdf","allotment")</ns0:f>
        <ns0:v/>
      </ns0:c>
      <ns0:c r="CA507" s="93">
        <ns0:f>HYPERLINK("https://www1.hkexnews.hk/listedco/listconews/sehk/2026/0805/2026080501829.pdf","stabilisation")</ns0:f>
        <ns0:v/>
      </ns0:c>
      <ns0:c r="CB507" s="94" t="n"/>
      <ns0:c r="CC507" s="74" t="inlineStr">
        <ns0:is>
          <ns0:t>P/E: loss-making at IPO, use P/S; range low: maximum offer price only, no floor published; 3m: pending: 60 traded sessions after debut; 63 needed; alpha/index: 3m window not elapsed</ns0:t>
        </ns0:is>
      </ns0:c>
    </ns0:row>
    <ns0:row r="508" ht="22" customHeight="1">
      <ns0:c r="A508" s="73" t="inlineStr">
        <ns0:is>
          <ns0:t>0537</ns0:t>
        </ns0:is>
      </ns0:c>
      <ns0:c r="B508" s="74" t="inlineStr">
        <ns0:is>
          <ns0:t>RIGOL</ns0:t>
        </ns0:is>
      </ns0:c>
      <ns0:c r="C508" s="74" t="inlineStr">
        <ns0:is>
          <ns0:t>普源精電</ns0:t>
        </ns0:is>
      </ns0:c>
      <ns0:c r="D508" s="74" t="inlineStr">
        <ns0:is>
          <ns0:t>Industrials</ns0:t>
        </ns0:is>
      </ns0:c>
      <ns0:c r="E508" s="74" t="inlineStr">
        <ns0:is>
          <ns0:t>Capital goods / machinery</ns0:t>
        </ns0:is>
      </ns0:c>
      <ns0:c r="F508" s="74" t="inlineStr">
        <ns0:is>
          <ns0:t>Electronic Equipment &amp; Instruments</ns0:t>
        </ns0:is>
      </ns0:c>
      <ns0:c r="G508" s="74" t="inlineStr">
        <ns0:is>
          <ns0:t>Standard</ns0:t>
        </ns0:is>
      </ns0:c>
      <ns0:c r="H508" s="75" t="n">
        <ns0:v>46212</ns0:v>
      </ns0:c>
      <ns0:c r="I508" s="76" t="n">
        <ns0:v>1140.4</ns0:v>
      </ns0:c>
      <ns0:c r="J508" s="74" t="inlineStr">
        <ns0:is>
          <ns0:t>gross (stated)</ns0:t>
        </ns0:is>
      </ns0:c>
      <ns0:c r="K508" s="95" t="n"/>
      <ns0:c r="L508" s="77" t="n">
        <ns0:v>45.98</ns0:v>
      </ns0:c>
      <ns0:c r="M508" s="77" t="n">
        <ns0:v>45.98</ns0:v>
      </ns0:c>
      <ns0:c r="N508" s="74" t="inlineStr">
        <ns0:is>
          <ns0:t>Y</ns0:t>
        </ns0:is>
      </ns0:c>
      <ns0:c r="O508" s="78" t="n">
        <ns0:v>100</ns0:v>
      </ns0:c>
      <ns0:c r="P508" s="84" t="n"/>
      <ns0:c r="Q508" s="79" t="n">
        <ns0:v>10054.8</ns0:v>
      </ns0:c>
      <ns0:c r="R508" s="74" t="inlineStr">
        <ns0:is>
          <ns0:t>derived:price x shares upon listing</ns0:t>
        </ns0:is>
      </ns0:c>
      <ns0:c r="S508" s="80" t="n">
        <ns0:v>356.86</ns0:v>
      </ns0:c>
      <ns0:c r="T508" s="81" t="n">
        <ns0:v>9.17</ns0:v>
      </ns0:c>
      <ns0:c r="U508" s="82" t="n">
        <ns0:v>42.11</ns0:v>
      </ns0:c>
      <ns0:c r="V508" s="83" t="n">
        <ns0:v>91</ns0:v>
      </ns0:c>
      <ns0:c r="W508" s="84" t="n"/>
      <ns0:c r="X508" s="74" t="inlineStr">
        <ns0:is>
          <ns0:t>NA</ns0:t>
        </ns0:is>
      </ns0:c>
      <ns0:c r="Y508" s="79" t="n">
        <ns0:v>660.1799999999999</ns0:v>
      </ns0:c>
      <ns0:c r="Z508" s="79" t="n">
        <ns0:v>14357994</ns0:v>
      </ns0:c>
      <ns0:c r="AA508" s="78" t="n">
        <ns0:v>6.57</ns0:v>
      </ns0:c>
      <ns0:c r="AB508" s="74" t="inlineStr">
        <ns0:is>
          <ns0:t>CITIC-Prudential Fund Management Company Ltd; CPE Hemlock Investment Limited; HHLR Advisors, Ltd; Hua Yuan International Limited; Purple Diamond Ltd; Sungrow Power (Hong Kong) Co., Limited; Suzhou Taihu Golden Valley Construction and Development Co., Ltd</ns0:t>
        </ns0:is>
      </ns0:c>
      <ns0:c r="AC508" s="74" t="inlineStr">
        <ns0:is>
          <ns0:t>citic;cpe;hhlr;hua;purple;sungrow;suzhou</ns0:t>
        </ns0:is>
      </ns0:c>
      <ns0:c r="AD508" s="84" t="n"/>
      <ns0:c r="AE508" s="85" t="n"/>
      <ns0:c r="AF508" s="85" t="n"/>
      <ns0:c r="AG508" s="85" t="n"/>
      <ns0:c r="AH508" s="85" t="n"/>
      <ns0:c r="AI508" s="86" t="n">
        <ns0:v>-17.36</ns0:v>
      </ns0:c>
      <ns0:c r="AJ508" s="87" t="n">
        <ns0:v>-37.36</ns0:v>
      </ns0:c>
      <ns0:c r="AK508" s="87" t="n">
        <ns0:v>-0.5600000000000001</ns0:v>
      </ns0:c>
      <ns0:c r="AL508" s="87" t="n">
        <ns0:v>-18.75</ns0:v>
      </ns0:c>
      <ns0:c r="AM508" s="87" t="n">
        <ns0:v>-22.9</ns0:v>
      </ns0:c>
      <ns0:c r="AN508" s="88" t="n"/>
      <ns0:c r="AO508" s="78" t="n">
        <ns0:v>24.79</ns0:v>
      </ns0:c>
      <ns0:c r="AP508" s="87" t="n">
        <ns0:v>-44.32</ns0:v>
      </ns0:c>
      <ns0:c r="AQ508" s="87" t="n">
        <ns0:v>-45.06</ns0:v>
      </ns0:c>
      <ns0:c r="AR508" s="103" t="n"/>
      <ns0:c r="AS508" s="87" t="n">
        <ns0:v>-11.11</ns0:v>
      </ns0:c>
      <ns0:c r="AT508" s="87" t="n">
        <ns0:v>-12.29</ns0:v>
      </ns0:c>
      <ns0:c r="AU508" s="103" t="n"/>
      <ns0:c r="AV508" s="87" t="n">
        <ns0:v>-48.38</ns0:v>
      </ns0:c>
      <ns0:c r="AW508" s="87" t="n">
        <ns0:v>-51.87</ns0:v>
      </ns0:c>
      <ns0:c r="AX508" s="103" t="n"/>
      <ns0:c r="AY508" s="87" t="n">
        <ns0:v>-19.7</ns0:v>
      </ns0:c>
      <ns0:c r="AZ508" s="87" t="n">
        <ns0:v>6.81</ns0:v>
      </ns0:c>
      <ns0:c r="BA508" s="87" t="n">
        <ns0:v>7.41</ns0:v>
      </ns0:c>
      <ns0:c r="BB508" s="74" t="inlineStr">
        <ns0:is>
          <ns0:t>Hang Seng Commerce &amp; Industry sub-index</ns0:t>
        </ns0:is>
      </ns0:c>
      <ns0:c r="BC508" s="87" t="n">
        <ns0:v>-48.19</ns0:v>
      </ns0:c>
      <ns0:c r="BD508" s="75" t="n">
        <ns0:v>46297</ns0:v>
      </ns0:c>
      <ns0:c r="BE508" s="76" t="n">
        <ns0:v>853.4</ns0:v>
      </ns0:c>
      <ns0:c r="BF508" s="79" t="n">
        <ns0:v>94.7</ns0:v>
      </ns0:c>
      <ns0:c r="BG508" s="74" t="inlineStr">
        <ns0:is>
          <ns0:t>Y</ns0:t>
        </ns0:is>
      </ns0:c>
      <ns0:c r="BH508" s="89" t="n">
        <ns0:v>106.2</ns0:v>
      </ns0:c>
      <ns0:c r="BI508" s="88" t="n"/>
      <ns0:c r="BJ508" s="88" t="n"/>
      <ns0:c r="BK508" s="89" t="n">
        <ns0:v>11.8</ns0:v>
      </ns0:c>
      <ns0:c r="BL508" s="90">
        <ns0:f>IFERROR(IF('BBG Verify'!S508="","Awaiting Bloomberg",'BBG Verify'!S508),"Awaiting Bloomberg")</ns0:f>
        <ns0:v/>
      </ns0:c>
      <ns0:c r="BM508" s="91" t="inlineStr">
        <ns0:is>
          <ns0:t>Y</ns0:t>
        </ns0:is>
      </ns0:c>
      <ns0:c r="BN508" s="74" t="inlineStr">
        <ns0:is>
          <ns0:t>688337.SS</ns0:t>
        </ns0:is>
      </ns0:c>
      <ns0:c r="BO508" s="87" t="n">
        <ns0:v>43.58</ns0:v>
      </ns0:c>
      <ns0:c r="BP508" s="77" t="n">
        <ns0:v>66.0176</ns0:v>
      </ns0:c>
      <ns0:c r="BQ508" s="101" t="n">
        <ns0:v>1.3485</ns0:v>
      </ns0:c>
      <ns0:c r="BR508" s="79" t="n">
        <ns0:v>12233.8</ns0:v>
      </ns0:c>
      <ns0:c r="BS508" s="90">
        <ns0:f>IFERROR(IF('BBG Verify'!Q508="","Awaiting Bloomberg",'BBG Verify'!Q508),"Awaiting Bloomberg")</ns0:f>
        <ns0:v/>
      </ns0:c>
      <ns0:c r="BT508" s="90">
        <ns0:f>IFERROR(IF('BBG Verify'!R508="","Awaiting Bloomberg",'BBG Verify'!R508),"Awaiting Bloomberg")</ns0:f>
        <ns0:v/>
      </ns0:c>
      <ns0:c r="BU508" s="91" t="inlineStr">
        <ns0:is>
          <ns0:t>CITIC Securities (Hong Kong) Limited</ns0:t>
        </ns0:is>
      </ns0:c>
      <ns0:c r="BV508" s="74" t="inlineStr">
        <ns0:is>
          <ns0:t>CITIC Securities (Hong Kong) Limited</ns0:t>
        </ns0:is>
      </ns0:c>
      <ns0:c r="BW508" s="74" t="inlineStr">
        <ns0:is>
          <ns0:t>CLSA Limited</ns0:t>
        </ns0:is>
      </ns0:c>
      <ns0:c r="BX508" s="74" t="inlineStr">
        <ns0:is>
          <ns0:t>CLSA Limited; CMB International Capital Limited; ICBC International Securities Limited</ns0:t>
        </ns0:is>
      </ns0:c>
      <ns0:c r="BY508" s="93">
        <ns0:f>HYPERLINK("https://www1.hkexnews.hk/listedco/listconews/sehk/2026/0630/2026063000023.pdf","prospectus")</ns0:f>
        <ns0:v/>
      </ns0:c>
      <ns0:c r="BZ508" s="93">
        <ns0:f>HYPERLINK("https://www1.hkexnews.hk/listedco/listconews/sehk/2026/0708/2026070801336.pdf","allotment")</ns0:f>
        <ns0:v/>
      </ns0:c>
      <ns0:c r="CA508" s="85" t="n"/>
      <ns0:c r="CB508" s="94" t="n"/>
      <ns0:c r="CC508" s="74" t="inlineStr">
        <ns0:is>
          <ns0:t>greenshoe: no over-allotment option; range low: maximum offer price only, no floor published; A/H: Jul 2026 H listing (electronic test &amp; measurement); 3m: pending: 60 traded sessions after debut; 63 needed; greenshoe size: no over-allotment option; stabilising manager: filing states none appointed (prospectus: 'no stabilizing manager will be appointed' stated in the filing); alpha/index: 3m window not elapsed; allocation: allocation table not in this notice's format (older prose announcement); day-1 tape: volume on file; the retail multiple needs the final public split, which this notice does not state</ns0:t>
        </ns0:is>
      </ns0:c>
    </ns0:row>
    <ns0:row r="509" ht="22" customHeight="1">
      <ns0:c r="A509" s="73" t="inlineStr">
        <ns0:is>
          <ns0:t>2475</ns0:t>
        </ns0:is>
      </ns0:c>
      <ns0:c r="B509" s="74" t="inlineStr">
        <ns0:is>
          <ns0:t>LUXSHARE ICT</ns0:t>
        </ns0:is>
      </ns0:c>
      <ns0:c r="C509" s="74" t="inlineStr">
        <ns0:is>
          <ns0:t>立訊精密</ns0:t>
        </ns0:is>
      </ns0:c>
      <ns0:c r="D509" s="74" t="inlineStr">
        <ns0:is>
          <ns0:t>Technology</ns0:t>
        </ns0:is>
      </ns0:c>
      <ns0:c r="E509" s="74" t="inlineStr">
        <ns0:is>
          <ns0:t>Hardware &amp; electronics</ns0:t>
        </ns0:is>
      </ns0:c>
      <ns0:c r="F509" s="74" t="inlineStr">
        <ns0:is>
          <ns0:t>Telecommunications &amp; Networking Equipment</ns0:t>
        </ns0:is>
      </ns0:c>
      <ns0:c r="G509" s="74" t="inlineStr">
        <ns0:is>
          <ns0:t>Standard</ns0:t>
        </ns0:is>
      </ns0:c>
      <ns0:c r="H509" s="75" t="n">
        <ns0:v>46212</ns0:v>
      </ns0:c>
      <ns0:c r="I509" s="76" t="n">
        <ns0:v>24266.2</ns0:v>
      </ns0:c>
      <ns0:c r="J509" s="74" t="inlineStr">
        <ns0:is>
          <ns0:t>gross (stated)</ns0:t>
        </ns0:is>
      </ns0:c>
      <ns0:c r="K509" s="95" t="n"/>
      <ns0:c r="L509" s="77" t="n">
        <ns0:v>63.28</ns0:v>
      </ns0:c>
      <ns0:c r="M509" s="77" t="n">
        <ns0:v>63.28</ns0:v>
      </ns0:c>
      <ns0:c r="N509" s="74" t="inlineStr">
        <ns0:is>
          <ns0:t>Y</ns0:t>
        </ns0:is>
      </ns0:c>
      <ns0:c r="O509" s="78" t="n">
        <ns0:v>100</ns0:v>
      </ns0:c>
      <ns0:c r="P509" s="84" t="n"/>
      <ns0:c r="Q509" s="79" t="n">
        <ns0:v>487365.5</ns0:v>
      </ns0:c>
      <ns0:c r="R509" s="74" t="inlineStr">
        <ns0:is>
          <ns0:t>derived:price x shares upon listing</ns0:t>
        </ns0:is>
      </ns0:c>
      <ns0:c r="S509" s="80" t="n">
        <ns0:v>3.78</ns0:v>
      </ns0:c>
      <ns0:c r="T509" s="81" t="n">
        <ns0:v>9.460000000000001</ns0:v>
      </ns0:c>
      <ns0:c r="U509" s="82" t="n">
        <ns0:v>48.44</ns0:v>
      </ns0:c>
      <ns0:c r="V509" s="83" t="n">
        <ns0:v>294</ns0:v>
      </ns0:c>
      <ns0:c r="W509" s="78" t="n">
        <ns0:v>10</ns0:v>
      </ns0:c>
      <ns0:c r="X509" s="74" t="inlineStr">
        <ns0:is>
          <ns0:t>NA</ns0:t>
        </ns0:is>
      </ns0:c>
      <ns0:c r="Y509" s="79" t="n">
        <ns0:v>12511.65</ns0:v>
      </ns0:c>
      <ns0:c r="Z509" s="79" t="n">
        <ns0:v>197718576</ns0:v>
      </ns0:c>
      <ns0:c r="AA509" s="78" t="n">
        <ns0:v>2.57</ns0:v>
      </ns0:c>
      <ns0:c r="AB509" s="74" t="inlineStr">
        <ns0:is>
          <ns0:t>Taibai Investments Pte. Ltd; True Light Investments H Pte. Ltd; HHLR Advisors, Ltd; HHLRA (as the investment manager of a segregated management account for CPP Investments); GIC Private Limited; CPE Neem Investment Limited; Greenwoods Asset Management Hong Kong Limited; Foresight Global Superior Choice SPC—Global Superior Choice Fund 1 SP , Foresight Global Superior Choice SPC—Vision Fund 1 SP , Foresight Global; SP , Foresight China Equity Fund Abu Dhabi Investment Authority; UBS Asset Management (Singapore) Ltd; Oaktree Capital Management, L.P; Eastspring Investments (Singapore) Limited; Eastspring Investments (Hong Kong) Limited (瀚 亞投資（香港）; First Sentier Investors (Hong Kong) Limited; First Sentier Investors (Singapore); GF Fund Management Co., Ltd; GF International Investment Management Limited; China Universal Asset Management (Hong Kong) Company Limited; Bosera Asset Management (International) Co., Limited; FIL Investment Management (Hong Kong) Limited; Value Partners Hong Kong Limited; Taikang Life Insurance Co., Ltd; Huang River Investment Limited; Prosper High Holding Limited; Mirae Asset Securities Co., Ltd; Mirae Asset Global Investments Co., Ltd; Perseverance Asset Management International (Singapore) Pte. Ltd. (Perseverance; Integrated Core Strategies (Asia) Pte. Ltd; Jane Street Asia Trading Limited; WT Asset Management Limited; MY Asian Opportunities Master Fund, L.P; Polymer Asia Fund LP</ns0:t>
        </ns0:is>
      </ns0:c>
      <ns0:c r="AC509" s="74" t="inlineStr">
        <ns0:is>
          <ns0:t>taibai;true;hhlr;hhlra;gic;cpe;greenwoods;foresight;ubs;oaktree;eastspring;first-sentier;gf;universal;bosera;fil;value;taikang;huang-river;prosper;mirae;perseverance;integrated;jane;wt;my;polymer</ns0:t>
        </ns0:is>
      </ns0:c>
      <ns0:c r="AD509" s="78" t="n">
        <ns0:v>15</ns0:v>
      </ns0:c>
      <ns0:c r="AE509" s="74" t="inlineStr">
        <ns0:is>
          <ns0:t>partial</ns0:t>
        </ns0:is>
      </ns0:c>
      <ns0:c r="AF509" s="74" t="inlineStr">
        <ns0:is>
          <ns0:t>2026-08-05</ns0:t>
        </ns0:is>
      </ns0:c>
      <ns0:c r="AG509" s="74" t="inlineStr">
        <ns0:is>
          <ns0:t>Goldman Sachs</ns0:t>
        </ns0:is>
      </ns0:c>
      <ns0:c r="AH509" s="74" t="inlineStr">
        <ns0:is>
          <ns0:t>Goldman Sachs</ns0:t>
        </ns0:is>
      </ns0:c>
      <ns0:c r="AI509" s="86" t="n">
        <ns0:v>-4.95</ns0:v>
      </ns0:c>
      <ns0:c r="AJ509" s="87" t="n">
        <ns0:v>-1.55</ns0:v>
      </ns0:c>
      <ns0:c r="AK509" s="87" t="n">
        <ns0:v>0</ns0:v>
      </ns0:c>
      <ns0:c r="AL509" s="87" t="n">
        <ns0:v>-0.05</ns0:v>
      </ns0:c>
      <ns0:c r="AM509" s="87" t="n">
        <ns0:v>-1.5</ns0:v>
      </ns0:c>
      <ns0:c r="AN509" s="89" t="n">
        <ns0:v>1.85</ns0:v>
      </ns0:c>
      <ns0:c r="AO509" s="78" t="n">
        <ns0:v>9.57</ns0:v>
      </ns0:c>
      <ns0:c r="AP509" s="87" t="n">
        <ns0:v>-5.18</ns0:v>
      </ns0:c>
      <ns0:c r="AQ509" s="87" t="n">
        <ns0:v>0.11</ns0:v>
      </ns0:c>
      <ns0:c r="AR509" s="103" t="n"/>
      <ns0:c r="AS509" s="87" t="n">
        <ns0:v>-3.69</ns0:v>
      </ns0:c>
      <ns0:c r="AT509" s="87" t="n">
        <ns0:v>1.69</ns0:v>
      </ns0:c>
      <ns0:c r="AU509" s="103" t="n"/>
      <ns0:c r="AV509" s="87" t="n">
        <ns0:v>-7.51</ns0:v>
      </ns0:c>
      <ns0:c r="AW509" s="87" t="n">
        <ns0:v>-2.61</ns0:v>
      </ns0:c>
      <ns0:c r="AX509" s="103" t="n"/>
      <ns0:c r="AY509" s="87" t="n">
        <ns0:v>-1.03</ns0:v>
      </ns0:c>
      <ns0:c r="AZ509" s="87" t="n">
        <ns0:v>2.72</ns0:v>
      </ns0:c>
      <ns0:c r="BA509" s="87" t="n">
        <ns0:v>2.72</ns0:v>
      </ns0:c>
      <ns0:c r="BB509" s="74" t="inlineStr">
        <ns0:is>
          <ns0:t>HSTECH (Hang Seng TECH ETF)</ns0:t>
        </ns0:is>
      </ns0:c>
      <ns0:c r="BC509" s="87" t="n">
        <ns0:v>-16.32</ns0:v>
      </ns0:c>
      <ns0:c r="BD509" s="75" t="n">
        <ns0:v>46297</ns0:v>
      </ns0:c>
      <ns0:c r="BE509" s="76" t="n">
        <ns0:v>365578.9</ns0:v>
      </ns0:c>
      <ns0:c r="BF509" s="79" t="n">
        <ns0:v>19987.3</ns0:v>
      </ns0:c>
      <ns0:c r="BG509" s="74" t="inlineStr">
        <ns0:is>
          <ns0:t>Y</ns0:t>
        </ns0:is>
      </ns0:c>
      <ns0:c r="BH509" s="89" t="n">
        <ns0:v>24.4</ns0:v>
      </ns0:c>
      <ns0:c r="BI509" s="89" t="n">
        <ns0:v>22.8</ns0:v>
      </ns0:c>
      <ns0:c r="BJ509" s="89" t="n">
        <ns0:v>23</ns0:v>
      </ns0:c>
      <ns0:c r="BK509" s="89" t="n">
        <ns0:v>1.3</ns0:v>
      </ns0:c>
      <ns0:c r="BL509" s="90">
        <ns0:f>IFERROR(IF('BBG Verify'!S509="","Awaiting Bloomberg",'BBG Verify'!S509),"Awaiting Bloomberg")</ns0:f>
        <ns0:v/>
      </ns0:c>
      <ns0:c r="BM509" s="91" t="inlineStr">
        <ns0:is>
          <ns0:t>Y</ns0:t>
        </ns0:is>
      </ns0:c>
      <ns0:c r="BN509" s="74" t="inlineStr">
        <ns0:is>
          <ns0:t>002475.SZ</ns0:t>
        </ns0:is>
      </ns0:c>
      <ns0:c r="BO509" s="87" t="n">
        <ns0:v>13.94</ns0:v>
      </ns0:c>
      <ns0:c r="BP509" s="77" t="n">
        <ns0:v>72.09999999999999</ns0:v>
      </ns0:c>
      <ns0:c r="BQ509" s="101" t="n">
        <ns0:v>0.0924</ns0:v>
      </ns0:c>
      <ns0:c r="BR509" s="79" t="n">
        <ns0:v>447909.8</ns0:v>
      </ns0:c>
      <ns0:c r="BS509" s="90">
        <ns0:f>IFERROR(IF('BBG Verify'!Q509="","Awaiting Bloomberg",'BBG Verify'!Q509),"Awaiting Bloomberg")</ns0:f>
        <ns0:v/>
      </ns0:c>
      <ns0:c r="BT509" s="90">
        <ns0:f>IFERROR(IF('BBG Verify'!R509="","Awaiting Bloomberg",'BBG Verify'!R509),"Awaiting Bloomberg")</ns0:f>
        <ns0:v/>
      </ns0:c>
      <ns0:c r="BU509" s="91" t="inlineStr">
        <ns0:is>
          <ns0:t>CITIC Securities (Hong Kong) Limited; Goldman Sachs (Asia) L.L.C; China International Capital Corporation Hong Kong Securities Limited</ns0:t>
        </ns0:is>
      </ns0:c>
      <ns0:c r="BV509" s="74" t="inlineStr">
        <ns0:is>
          <ns0:t>China International Capital Corporation Hong Kong Securities Limited; Goldman Sachs (Asia) L.L.C.; CITIC Securities (Hong Kong) Limited</ns0:t>
        </ns0:is>
      </ns0:c>
      <ns0:c r="BW509" s="74" t="inlineStr">
        <ns0:is>
          <ns0:t>CLSA Limited; Goldman Sachs (Asia) L.L.C; China International Capital Corporation Hong Kong Securities Limited</ns0:t>
        </ns0:is>
      </ns0:c>
      <ns0:c r="BX509" s="74" t="inlineStr">
        <ns0:is>
          <ns0:t>China International Capital Corporation Hong Kong Securities Limited; CLSA Limited; GF Securities (Hong Kong) Brokerage Limited; Goldman Sachs (Asia) L.L.C.; Guosen Securities (HK) Capital Company Limited; The Hongkong and Shanghai Banking Corporation Limited</ns0:t>
        </ns0:is>
      </ns0:c>
      <ns0:c r="BY509" s="93">
        <ns0:f>HYPERLINK("https://www1.hkexnews.hk/listedco/listconews/sehk/2026/0630/2026063000097.pdf","prospectus")</ns0:f>
        <ns0:v/>
      </ns0:c>
      <ns0:c r="BZ509" s="93">
        <ns0:f>HYPERLINK("https://www1.hkexnews.hk/listedco/listconews/sehk/2026/0708/2026070801342.pdf","allotment")</ns0:f>
        <ns0:v/>
      </ns0:c>
      <ns0:c r="CA509" s="93">
        <ns0:f>HYPERLINK("https://www1.hkexnews.hk/listedco/listconews/sehk/2026/0805/2026080501907.pdf","stabilisation")</ns0:f>
        <ns0:v/>
      </ns0:c>
      <ns0:c r="CB509" s="94" t="n"/>
      <ns0:c r="CC509" s="74" t="inlineStr">
        <ns0:is>
          <ns0:t>range low: maximum offer price only, no floor published; A/H: Jul 2026, ~US$3.1bn; largest HK IPO of 2026 until Innolight; 3m: pending: 60 traded sessions after debut; 63 needed; alpha/index: 3m window not elapsed</ns0:t>
        </ns0:is>
      </ns0:c>
    </ns0:row>
    <ns0:row r="510" ht="22" customHeight="1">
      <ns0:c r="A510" s="73" t="inlineStr">
        <ns0:is>
          <ns0:t>6951</ns0:t>
        </ns0:is>
      </ns0:c>
      <ns0:c r="B510" s="74" t="inlineStr">
        <ns0:is>
          <ns0:t>CCTC</ns0:t>
        </ns0:is>
      </ns0:c>
      <ns0:c r="C510" s="74" t="inlineStr">
        <ns0:is>
          <ns0:t>三環集團</ns0:t>
        </ns0:is>
      </ns0:c>
      <ns0:c r="D510" s="74" t="inlineStr">
        <ns0:is>
          <ns0:t>Technology</ns0:t>
        </ns0:is>
      </ns0:c>
      <ns0:c r="E510" s="74" t="inlineStr">
        <ns0:is>
          <ns0:t>Hardware &amp; electronics</ns0:t>
        </ns0:is>
      </ns0:c>
      <ns0:c r="F510" s="74" t="inlineStr">
        <ns0:is>
          <ns0:t>Electronic Components</ns0:t>
        </ns0:is>
      </ns0:c>
      <ns0:c r="G510" s="74" t="inlineStr">
        <ns0:is>
          <ns0:t>Standard</ns0:t>
        </ns0:is>
      </ns0:c>
      <ns0:c r="H510" s="75" t="n">
        <ns0:v>46212</ns0:v>
      </ns0:c>
      <ns0:c r="I510" s="76" t="n">
        <ns0:v>7157.8</ns0:v>
      </ns0:c>
      <ns0:c r="J510" s="74" t="inlineStr">
        <ns0:is>
          <ns0:t>gross (stated)</ns0:t>
        </ns0:is>
      </ns0:c>
      <ns0:c r="K510" s="95" t="n"/>
      <ns0:c r="L510" s="77" t="n">
        <ns0:v>100.3</ns0:v>
      </ns0:c>
      <ns0:c r="M510" s="77" t="n">
        <ns0:v>100.3</ns0:v>
      </ns0:c>
      <ns0:c r="N510" s="74" t="inlineStr">
        <ns0:is>
          <ns0:t>Y</ns0:t>
        </ns0:is>
      </ns0:c>
      <ns0:c r="O510" s="78" t="n">
        <ns0:v>100</ns0:v>
      </ns0:c>
      <ns0:c r="P510" s="84" t="n"/>
      <ns0:c r="Q510" s="79" t="n">
        <ns0:v>199382.5</ns0:v>
      </ns0:c>
      <ns0:c r="R510" s="74" t="inlineStr">
        <ns0:is>
          <ns0:t>derived:price x shares upon listing</ns0:t>
        </ns0:is>
      </ns0:c>
      <ns0:c r="S510" s="80" t="n">
        <ns0:v>327.49</ns0:v>
      </ns0:c>
      <ns0:c r="T510" s="81" t="n">
        <ns0:v>16.24</ns0:v>
      </ns0:c>
      <ns0:c r="U510" s="82" t="n">
        <ns0:v>49.81</ns0:v>
      </ns0:c>
      <ns0:c r="V510" s="83" t="n">
        <ns0:v>151</ns0:v>
      </ns0:c>
      <ns0:c r="W510" s="78" t="n">
        <ns0:v>10</ns0:v>
      </ns0:c>
      <ns0:c r="X510" s="74" t="inlineStr">
        <ns0:is>
          <ns0:t>NA</ns0:t>
        </ns0:is>
      </ns0:c>
      <ns0:c r="Y510" s="79" t="n">
        <ns0:v>3592.5</ns0:v>
      </ns0:c>
      <ns0:c r="Z510" s="79" t="n">
        <ns0:v>35817742</ns0:v>
      </ns0:c>
      <ns0:c r="AA510" s="78" t="n">
        <ns0:v>1.8</ns0:v>
      </ns0:c>
      <ns0:c r="AB510" s="74" t="inlineStr">
        <ns0:is>
          <ns0:t>Temasek; JPMAMAPL; CPE River; Ninety One Asia Pte. Limited; Alibaba Investment; Huang River; GSAM; Manulife-managed Funds; Taikang Life; China Universal Investors; Bosera Internaitonal; ICBC Wealth; IvyRock; GBAHIL; Metazone; Verition Fund; GMF and IRMF</ns0:t>
        </ns0:is>
      </ns0:c>
      <ns0:c r="AC510" s="74" t="inlineStr">
        <ns0:is>
          <ns0:t>temasek;jpmamapl;cpe;ninety;alibaba;huang-river;gsam;manulife;taikang;universal;bosera;icbc;ivyrock;gbahil;metazone;verition;gmf</ns0:t>
        </ns0:is>
      </ns0:c>
      <ns0:c r="AD510" s="78" t="n">
        <ns0:v>15</ns0:v>
      </ns0:c>
      <ns0:c r="AE510" s="74" t="inlineStr">
        <ns0:is>
          <ns0:t>partial</ns0:t>
        </ns0:is>
      </ns0:c>
      <ns0:c r="AF510" s="85" t="n"/>
      <ns0:c r="AG510" s="74" t="inlineStr">
        <ns0:is>
          <ns0:t>China Galaxy International Securities</ns0:t>
        </ns0:is>
      </ns0:c>
      <ns0:c r="AH510" s="74" t="inlineStr">
        <ns0:is>
          <ns0:t>China Galaxy</ns0:t>
        </ns0:is>
      </ns0:c>
      <ns0:c r="AI510" s="86" t="n">
        <ns0:v>-4.29</ns0:v>
      </ns0:c>
      <ns0:c r="AJ510" s="87" t="n">
        <ns0:v>4.69</ns0:v>
      </ns0:c>
      <ns0:c r="AK510" s="87" t="n">
        <ns0:v>0</ns0:v>
      </ns0:c>
      <ns0:c r="AL510" s="87" t="n">
        <ns0:v>0</ns0:v>
      </ns0:c>
      <ns0:c r="AM510" s="87" t="n">
        <ns0:v>4.69</ns0:v>
      </ns0:c>
      <ns0:c r="AN510" s="89" t="n">
        <ns0:v>2.5</ns0:v>
      </ns0:c>
      <ns0:c r="AO510" s="78" t="n">
        <ns0:v>8.67</ns0:v>
      </ns0:c>
      <ns0:c r="AP510" s="87" t="n">
        <ns0:v>-2.29</ns0:v>
      </ns0:c>
      <ns0:c r="AQ510" s="87" t="n">
        <ns0:v>6.68</ns0:v>
      </ns0:c>
      <ns0:c r="AR510" s="103" t="n"/>
      <ns0:c r="AS510" s="87" t="n">
        <ns0:v>-6.67</ns0:v>
      </ns0:c>
      <ns0:c r="AT510" s="87" t="n">
        <ns0:v>1.9</ns0:v>
      </ns0:c>
      <ns0:c r="AU510" s="103" t="n"/>
      <ns0:c r="AV510" s="87" t="n">
        <ns0:v>-4.62</ns0:v>
      </ns0:c>
      <ns0:c r="AW510" s="87" t="n">
        <ns0:v>3.96</ns0:v>
      </ns0:c>
      <ns0:c r="AX510" s="103" t="n"/>
      <ns0:c r="AY510" s="87" t="n">
        <ns0:v>-0.82</ns0:v>
      </ns0:c>
      <ns0:c r="AZ510" s="87" t="n">
        <ns0:v>2.72</ns0:v>
      </ns0:c>
      <ns0:c r="BA510" s="87" t="n">
        <ns0:v>2.72</ns0:v>
      </ns0:c>
      <ns0:c r="BB510" s="74" t="inlineStr">
        <ns0:is>
          <ns0:t>HSTECH (Hang Seng TECH ETF)</ns0:t>
        </ns0:is>
      </ns0:c>
      <ns0:c r="BC510" s="87" t="n">
        <ns0:v>23.73</ns0:v>
      </ns0:c>
      <ns0:c r="BD510" s="75" t="n">
        <ns0:v>46297</ns0:v>
      </ns0:c>
      <ns0:c r="BE510" s="76" t="n">
        <ns0:v>9755.4</ns0:v>
      </ns0:c>
      <ns0:c r="BF510" s="79" t="n">
        <ns0:v>2878.7</ns0:v>
      </ns0:c>
      <ns0:c r="BG510" s="74" t="inlineStr">
        <ns0:is>
          <ns0:t>Y</ns0:t>
        </ns0:is>
      </ns0:c>
      <ns0:c r="BH510" s="89" t="n">
        <ns0:v>69.3</ns0:v>
      </ns0:c>
      <ns0:c r="BI510" s="89" t="n">
        <ns0:v>66.3</ns0:v>
      </ns0:c>
      <ns0:c r="BJ510" s="89" t="n">
        <ns0:v>79.90000000000001</ns0:v>
      </ns0:c>
      <ns0:c r="BK510" s="89" t="n">
        <ns0:v>20.4</ns0:v>
      </ns0:c>
      <ns0:c r="BL510" s="90">
        <ns0:f>IFERROR(IF('BBG Verify'!S510="","Awaiting Bloomberg",'BBG Verify'!S510),"Awaiting Bloomberg")</ns0:f>
        <ns0:v/>
      </ns0:c>
      <ns0:c r="BM510" s="91" t="inlineStr">
        <ns0:is>
          <ns0:t>Y</ns0:t>
        </ns0:is>
      </ns0:c>
      <ns0:c r="BN510" s="74" t="inlineStr">
        <ns0:is>
          <ns0:t>300408.SZ</ns0:t>
        </ns0:is>
      </ns0:c>
      <ns0:c r="BO510" s="87" t="n">
        <ns0:v>50.09</ns0:v>
      </ns0:c>
      <ns0:c r="BP510" s="77" t="n">
        <ns0:v>150.5363</ns0:v>
      </ns0:c>
      <ns0:c r="BQ510" s="101" t="n">
        <ns0:v>0.1064</ns0:v>
      </ns0:c>
      <ns0:c r="BR510" s="79" t="n">
        <ns0:v>274271.6</ns0:v>
      </ns0:c>
      <ns0:c r="BS510" s="90">
        <ns0:f>IFERROR(IF('BBG Verify'!Q510="","Awaiting Bloomberg",'BBG Verify'!Q510),"Awaiting Bloomberg")</ns0:f>
        <ns0:v/>
      </ns0:c>
      <ns0:c r="BT510" s="90">
        <ns0:f>IFERROR(IF('BBG Verify'!R510="","Awaiting Bloomberg",'BBG Verify'!R510),"Awaiting Bloomberg")</ns0:f>
        <ns0:v/>
      </ns0:c>
      <ns0:c r="BU510" s="91" t="inlineStr">
        <ns0:is>
          <ns0:t>China Galaxy International Securities (Hong Kong) Co., Limited</ns0:t>
        </ns0:is>
      </ns0:c>
      <ns0:c r="BV510" s="74" t="inlineStr">
        <ns0:is>
          <ns0:t>China Galaxy International Securities (Hong Kong) Company Limited</ns0:t>
        </ns0:is>
      </ns0:c>
      <ns0:c r="BW510" s="74" t="inlineStr">
        <ns0:is>
          <ns0:t>CCB International Capital Limited</ns0:t>
        </ns0:is>
      </ns0:c>
      <ns0:c r="BX510" s="74" t="inlineStr">
        <ns0:is>
          <ns0:t>BOCI Asia Limited; CCB International Capital Limited; China Galaxy International Securities (Hong Kong) Company Limited; Huatai Financial Holdings (Hong Kong) Limited; ICBC International Securities Limited</ns0:t>
        </ns0:is>
      </ns0:c>
      <ns0:c r="BY510" s="93">
        <ns0:f>HYPERLINK("https://www1.hkexnews.hk/listedco/listconews/sehk/2026/0630/2026063000323.pdf","prospectus")</ns0:f>
        <ns0:v/>
      </ns0:c>
      <ns0:c r="BZ510" s="93">
        <ns0:f>HYPERLINK("https://www1.hkexnews.hk/listedco/listconews/sehk/2026/0708/2026070801348.pdf","allotment")</ns0:f>
        <ns0:v/>
      </ns0:c>
      <ns0:c r="CA510" s="93">
        <ns0:f>HYPERLINK("https://www1.hkexnews.hk/listedco/listconews/sehk/2026/0805/2026080501999.pdf","stabilisation")</ns0:f>
        <ns0:v/>
      </ns0:c>
      <ns0:c r="CB510" s="94" t="n"/>
      <ns0:c r="CC510" s="74" t="inlineStr">
        <ns0:is>
          <ns0:t>greenshoe: outcome published; expiry date not in the notice; range low: maximum offer price only, no floor published; A/H: Jul 2026 H listing (ceramic components; targeted ~US$1bn); 3m: pending: 60 traded sessions after debut; 63 needed; alpha/index: 3m window not elapsed</ns0:t>
        </ns0:is>
      </ns0:c>
    </ns0:row>
    <ns0:row r="511" ht="22" customHeight="1">
      <ns0:c r="A511" s="73" t="inlineStr">
        <ns0:is>
          <ns0:t>1377</ns0:t>
        </ns0:is>
      </ns0:c>
      <ns0:c r="B511" s="74" t="inlineStr">
        <ns0:is>
          <ns0:t>DTECH</ns0:t>
        </ns0:is>
      </ns0:c>
      <ns0:c r="C511" s="74" t="inlineStr">
        <ns0:is>
          <ns0:t>鼎泰高科</ns0:t>
        </ns0:is>
      </ns0:c>
      <ns0:c r="D511" s="74" t="inlineStr">
        <ns0:is>
          <ns0:t>Technology</ns0:t>
        </ns0:is>
      </ns0:c>
      <ns0:c r="E511" s="74" t="inlineStr">
        <ns0:is>
          <ns0:t>Hardware &amp; electronics</ns0:t>
        </ns0:is>
      </ns0:c>
      <ns0:c r="F511" s="74" t="inlineStr">
        <ns0:is>
          <ns0:t>Industrial Machinery</ns0:t>
        </ns0:is>
      </ns0:c>
      <ns0:c r="G511" s="74" t="inlineStr">
        <ns0:is>
          <ns0:t>Standard</ns0:t>
        </ns0:is>
      </ns0:c>
      <ns0:c r="H511" s="75" t="n">
        <ns0:v>46212</ns0:v>
      </ns0:c>
      <ns0:c r="I511" s="76" t="n">
        <ns0:v>4800.2</ns0:v>
      </ns0:c>
      <ns0:c r="J511" s="74" t="inlineStr">
        <ns0:is>
          <ns0:t>gross (stated)</ns0:t>
        </ns0:is>
      </ns0:c>
      <ns0:c r="K511" s="95" t="n"/>
      <ns0:c r="L511" s="77" t="n">
        <ns0:v>380</ns0:v>
      </ns0:c>
      <ns0:c r="M511" s="77" t="n">
        <ns0:v>380</ns0:v>
      </ns0:c>
      <ns0:c r="N511" s="74" t="inlineStr">
        <ns0:is>
          <ns0:t>Y</ns0:t>
        </ns0:is>
      </ns0:c>
      <ns0:c r="O511" s="78" t="n">
        <ns0:v>100</ns0:v>
      </ns0:c>
      <ns0:c r="P511" s="84" t="n"/>
      <ns0:c r="Q511" s="79" t="n">
        <ns0:v>161137.1</ns0:v>
      </ns0:c>
      <ns0:c r="R511" s="74" t="inlineStr">
        <ns0:is>
          <ns0:t>derived:price x shares upon listing</ns0:t>
        </ns0:is>
      </ns0:c>
      <ns0:c r="S511" s="80" t="n">
        <ns0:v>354.64</ns0:v>
      </ns0:c>
      <ns0:c r="T511" s="81" t="n">
        <ns0:v>24.5</ns0:v>
      </ns0:c>
      <ns0:c r="U511" s="82" t="n">
        <ns0:v>41.45</ns0:v>
      </ns0:c>
      <ns0:c r="V511" s="100" t="n"/>
      <ns0:c r="W511" s="84" t="n"/>
      <ns0:c r="X511" s="74" t="inlineStr">
        <ns0:is>
          <ns0:t>NA</ns0:t>
        </ns0:is>
      </ns0:c>
      <ns0:c r="Y511" s="79" t="n">
        <ns0:v>2810.52</ns0:v>
      </ns0:c>
      <ns0:c r="Z511" s="79" t="n">
        <ns0:v>7396036</ns0:v>
      </ns0:c>
      <ns0:c r="AA511" s="78" t="n">
        <ns0:v>1.74</ns0:v>
      </ns0:c>
      <ns0:c r="AB511" s="74" t="inlineStr">
        <ns0:is>
          <ns0:t>Victory Giant Technology Holdings (Hong Kong) Limited; HHLR Advisors, Ltd; Aspex Master Fund; KINGBOARD INVESTMENTS LIMITED; CPE Investment XVI Limited; CloudAlpha Capital Management Limited; E FUND E FUND MANAGEMENT CO., LTD; E Fund Management (Hong Kong) Co., Ltd; Verition Multi- Strategy Master Fund Ltd; Taikang Life Insurance Co., Ltd; Athos Capital Limited; Hel Ved Master Fund; Integrated Core Strategies (Asia) Pte. Ltd; IFUND SPC — Vision IX SP; Baring Asset Management (Asia) Limited; Martis Fund, L.P; DYNAMIC HOLDING CO., LTD</ns0:t>
        </ns0:is>
      </ns0:c>
      <ns0:c r="AC511" s="74" t="inlineStr">
        <ns0:is>
          <ns0:t>victory;hhlr;aspex;kingboard;cpe;cloudalpha;fund-fund;fund-management;verition;taikang;athos;hel;integrated;ifund;baring;martis;dynamic</ns0:t>
        </ns0:is>
      </ns0:c>
      <ns0:c r="AD511" s="78" t="n">
        <ns0:v>15</ns0:v>
      </ns0:c>
      <ns0:c r="AE511" s="85" t="n"/>
      <ns0:c r="AF511" s="85" t="n"/>
      <ns0:c r="AG511" s="85" t="n"/>
      <ns0:c r="AH511" s="85" t="n"/>
      <ns0:c r="AI511" s="86" t="n">
        <ns0:v>-10.53</ns0:v>
      </ns0:c>
      <ns0:c r="AJ511" s="87" t="n">
        <ns0:v>-1.79</ns0:v>
      </ns0:c>
      <ns0:c r="AK511" s="87" t="n">
        <ns0:v>0</ns0:v>
      </ns0:c>
      <ns0:c r="AL511" s="87" t="n">
        <ns0:v>-13.16</ns0:v>
      </ns0:c>
      <ns0:c r="AM511" s="87" t="n">
        <ns0:v>13.09</ns0:v>
      </ns0:c>
      <ns0:c r="AN511" s="88" t="n"/>
      <ns0:c r="AO511" s="78" t="n">
        <ns0:v>17.58</ns0:v>
      </ns0:c>
      <ns0:c r="AP511" s="87" t="n">
        <ns0:v>9.949999999999999</ns0:v>
      </ns0:c>
      <ns0:c r="AQ511" s="87" t="n">
        <ns0:v>2.63</ns0:v>
      </ns0:c>
      <ns0:c r="AR511" s="103" t="n"/>
      <ns0:c r="AS511" s="87" t="n">
        <ns0:v>11.95</ns0:v>
      </ns0:c>
      <ns0:c r="AT511" s="87" t="n">
        <ns0:v>4.5</ns0:v>
      </ns0:c>
      <ns0:c r="AU511" s="103" t="n"/>
      <ns0:c r="AV511" s="87" t="n">
        <ns0:v>7.62</ns0:v>
      </ns0:c>
      <ns0:c r="AW511" s="87" t="n">
        <ns0:v>-0.09</ns0:v>
      </ns0:c>
      <ns0:c r="AX511" s="103" t="n"/>
      <ns0:c r="AY511" s="87" t="n">
        <ns0:v>1.78</ns0:v>
      </ns0:c>
      <ns0:c r="AZ511" s="87" t="n">
        <ns0:v>2.72</ns0:v>
      </ns0:c>
      <ns0:c r="BA511" s="87" t="n">
        <ns0:v>2.72</ns0:v>
      </ns0:c>
      <ns0:c r="BB511" s="74" t="inlineStr">
        <ns0:is>
          <ns0:t>HSTECH (Hang Seng TECH ETF)</ns0:t>
        </ns0:is>
      </ns0:c>
      <ns0:c r="BC511" s="87" t="n">
        <ns0:v>-31.42</ns0:v>
      </ns0:c>
      <ns0:c r="BD511" s="75" t="n">
        <ns0:v>46297</ns0:v>
      </ns0:c>
      <ns0:c r="BE511" s="98" t="n"/>
      <ns0:c r="BF511" s="79" t="n">
        <ns0:v>474.8</ns0:v>
      </ns0:c>
      <ns0:c r="BG511" s="74" t="inlineStr">
        <ns0:is>
          <ns0:t>Y</ns0:t>
        </ns0:is>
      </ns0:c>
      <ns0:c r="BH511" s="89" t="n">
        <ns0:v>339.4</ns0:v>
      </ns0:c>
      <ns0:c r="BI511" s="89" t="n">
        <ns0:v>305.7</ns0:v>
      </ns0:c>
      <ns0:c r="BJ511" s="89" t="n">
        <ns0:v>301.2</ns0:v>
      </ns0:c>
      <ns0:c r="BK511" s="88" t="n"/>
      <ns0:c r="BL511" s="90">
        <ns0:f>IFERROR(IF('BBG Verify'!S511="","Awaiting Bloomberg",'BBG Verify'!S511),"Awaiting Bloomberg")</ns0:f>
        <ns0:v/>
      </ns0:c>
      <ns0:c r="BM511" s="91" t="inlineStr">
        <ns0:is>
          <ns0:t>Y</ns0:t>
        </ns0:is>
      </ns0:c>
      <ns0:c r="BN511" s="74" t="inlineStr">
        <ns0:is>
          <ns0:t>301377.SZ</ns0:t>
        </ns0:is>
      </ns0:c>
      <ns0:c r="BO511" s="87" t="n">
        <ns0:v>43.69</ns0:v>
      </ns0:c>
      <ns0:c r="BP511" s="77" t="n">
        <ns0:v>546.0071</ns0:v>
      </ns0:c>
      <ns0:c r="BQ511" s="101" t="n">
        <ns0:v>0.5312</ns0:v>
      </ns0:c>
      <ns0:c r="BR511" s="79" t="n">
        <ns0:v>169283.2</ns0:v>
      </ns0:c>
      <ns0:c r="BS511" s="90">
        <ns0:f>IFERROR(IF('BBG Verify'!Q511="","Awaiting Bloomberg",'BBG Verify'!Q511),"Awaiting Bloomberg")</ns0:f>
        <ns0:v/>
      </ns0:c>
      <ns0:c r="BT511" s="90">
        <ns0:f>IFERROR(IF('BBG Verify'!R511="","Awaiting Bloomberg",'BBG Verify'!R511),"Awaiting Bloomberg")</ns0:f>
        <ns0:v/>
      </ns0:c>
      <ns0:c r="BU511" s="91" t="inlineStr">
        <ns0:is>
          <ns0:t>CITIC Securities (Hong Kong) Limited; HSBC Corporate Finance (Hong Kong) Limited</ns0:t>
        </ns0:is>
      </ns0:c>
      <ns0:c r="BV511" s="74" t="inlineStr">
        <ns0:is>
          <ns0:t>HSBC Corporate Finance (Hong Kong) Limited; CITIC Securities (Hong Kong) Limited</ns0:t>
        </ns0:is>
      </ns0:c>
      <ns0:c r="BW511" s="74" t="inlineStr">
        <ns0:is>
          <ns0:t>CLSA Limited; The Hongkong and Shanghai Banking Corporation Limited; ABCI Capital Limited; GF Securities (Hong Kong) Brokerage Limited; Huatai Financial Holdings (Hong Kong) Limited</ns0:t>
        </ns0:is>
      </ns0:c>
      <ns0:c r="BX511" s="74" t="inlineStr">
        <ns0:is>
          <ns0: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ns0:t>
        </ns0:is>
      </ns0:c>
      <ns0:c r="BY511" s="93">
        <ns0:f>HYPERLINK("https://www1.hkexnews.hk/listedco/listconews/sehk/2026/0630/2026063000041.pdf","prospectus")</ns0:f>
        <ns0:v/>
      </ns0:c>
      <ns0:c r="BZ511" s="93">
        <ns0:f>HYPERLINK("https://www1.hkexnews.hk/listedco/listconews/sehk/2026/0708/2026070801372.pdf","allotment")</ns0:f>
        <ns0:v/>
      </ns0:c>
      <ns0:c r="CA511" s="85" t="n"/>
      <ns0:c r="CB511" s="94" t="n"/>
      <ns0:c r="CC511" s="74" t="inlineStr">
        <ns0:is>
          <ns0:t>P/E: extreme but real: trailing multiple at the offer, Bloomberg prints 306x; greenshoe: end-of-stabilisation notice not found; range low: maximum offer price only, no floor published; A/H: Jul 2026 H listing (PCB drilling tools); 3m: pending: 60 traded sessions after debut; 63 needed; P/S: revenue not extractable; stabilising manager: not named in the allotment notice or prospectus glossary; financials: not extractable; pre-IPO year outside the AAStocks window; alpha/index: 3m window not elapsed; allocation: allocation table not in this notice's format (older prose announcement); day-1 tape: volume on file; the retail multiple needs the final public split, which this notice does not state</ns0:t>
        </ns0:is>
      </ns0:c>
    </ns0:row>
    <ns0:row r="512" ht="22" customHeight="1">
      <ns0:c r="A512" s="73" t="inlineStr">
        <ns0:is>
          <ns0:t>6745</ns0:t>
        </ns0:is>
      </ns0:c>
      <ns0:c r="B512" s="74" t="inlineStr">
        <ns0:is>
          <ns0:t>BEFAR GROUP</ns0:t>
        </ns0:is>
      </ns0:c>
      <ns0:c r="C512" s="74" t="inlineStr">
        <ns0:is>
          <ns0:t>濱化股份</ns0:t>
        </ns0:is>
      </ns0:c>
      <ns0:c r="D512" s="74" t="inlineStr">
        <ns0:is>
          <ns0:t>Materials/Energy</ns0:t>
        </ns0:is>
      </ns0:c>
      <ns0:c r="E512" s="74" t="inlineStr">
        <ns0:is>
          <ns0:t>Chemicals</ns0:t>
        </ns0:is>
      </ns0:c>
      <ns0:c r="F512" s="74" t="inlineStr">
        <ns0:is>
          <ns0:t>Diversified Chemicals</ns0:t>
        </ns0:is>
      </ns0:c>
      <ns0:c r="G512" s="74" t="inlineStr">
        <ns0:is>
          <ns0:t>Standard</ns0:t>
        </ns0:is>
      </ns0:c>
      <ns0:c r="H512" s="75" t="n">
        <ns0:v>46213</ns0:v>
      </ns0:c>
      <ns0:c r="I512" s="76" t="n">
        <ns0:v>1225.4</ns0:v>
      </ns0:c>
      <ns0:c r="J512" s="74" t="inlineStr">
        <ns0:is>
          <ns0:t>gross (stated)</ns0:t>
        </ns0:is>
      </ns0:c>
      <ns0:c r="K512" s="95" t="n"/>
      <ns0:c r="L512" s="77" t="n">
        <ns0:v>3.59</ns0:v>
      </ns0:c>
      <ns0:c r="M512" s="77" t="n">
        <ns0:v>3.48</ns0:v>
      </ns0:c>
      <ns0:c r="N512" s="74" t="inlineStr">
        <ns0:is>
          <ns0:t>N</ns0:t>
        </ns0:is>
      </ns0:c>
      <ns0:c r="O512" s="78" t="n">
        <ns0:v>96.90000000000001</ns0:v>
      </ns0:c>
      <ns0:c r="P512" s="84" t="n"/>
      <ns0:c r="Q512" s="79" t="n">
        <ns0:v>8608.299999999999</ns0:v>
      </ns0:c>
      <ns0:c r="R512" s="74" t="inlineStr">
        <ns0:is>
          <ns0:t>aastocks:上市市值 at the struck price</ns0:t>
        </ns0:is>
      </ns0:c>
      <ns0:c r="S512" s="80" t="n">
        <ns0:v>227.58</ns0:v>
      </ns0:c>
      <ns0:c r="T512" s="81" t="n">
        <ns0:v>4.26</ns0:v>
      </ns0:c>
      <ns0:c r="U512" s="82" t="n">
        <ns0:v>31.88</ns0:v>
      </ns0:c>
      <ns0:c r="V512" s="83" t="n">
        <ns0:v>110</ns0:v>
      </ns0:c>
      <ns0:c r="W512" s="78" t="n">
        <ns0:v>10</ns0:v>
      </ns0:c>
      <ns0:c r="X512" s="74" t="inlineStr">
        <ns0:is>
          <ns0:t>NA</ns0:t>
        </ns0:is>
      </ns0:c>
      <ns0:c r="Y512" s="79" t="n">
        <ns0:v>834.74</ns0:v>
      </ns0:c>
      <ns0:c r="Z512" s="79" t="n">
        <ns0:v>239868231</ns0:v>
      </ns0:c>
      <ns0:c r="AA512" s="78" t="n">
        <ns0:v>9.699999999999999</ns0:v>
      </ns0:c>
      <ns0:c r="AB512" s="74" t="inlineStr">
        <ns0:is>
          <ns0:t>Beijing Yian and HTCI (in connection with the Beijing Yian OTC Swaps); Luhua Daosheng and HTCI (in connection with the Luhua Daosheng OTC Swaps); Aurora SF (in connection with Binzhou Guotou Arrangement); China Hongqiao Group Limited; Hyperion Venture; Tianto; Safewell</ns0:t>
        </ns0:is>
      </ns0:c>
      <ns0:c r="AC512" s="74" t="inlineStr">
        <ns0:is>
          <ns0:t>beijing-yian;luhua;aurora;hongqiao;hyperion;tianto;safewell</ns0:t>
        </ns0:is>
      </ns0:c>
      <ns0:c r="AD512" s="84" t="n"/>
      <ns0:c r="AE512" s="85" t="n"/>
      <ns0:c r="AF512" s="85" t="n"/>
      <ns0:c r="AG512" s="85" t="n"/>
      <ns0:c r="AH512" s="85" t="n"/>
      <ns0:c r="AI512" s="86" t="n">
        <ns0:v>-21.55</ns0:v>
      </ns0:c>
      <ns0:c r="AJ512" s="87" t="n">
        <ns0:v>-18.68</ns0:v>
      </ns0:c>
      <ns0:c r="AK512" s="87" t="n">
        <ns0:v>0.55</ns0:v>
      </ns0:c>
      <ns0:c r="AL512" s="87" t="n">
        <ns0:v>-21.26</ns0:v>
      </ns0:c>
      <ns0:c r="AM512" s="87" t="n">
        <ns0:v>3.28</ns0:v>
      </ns0:c>
      <ns0:c r="AN512" s="89" t="n">
        <ns0:v>2.07</ns0:v>
      </ns0:c>
      <ns0:c r="AO512" s="78" t="n">
        <ns0:v>18.61</ns0:v>
      </ns0:c>
      <ns0:c r="AP512" s="87" t="n">
        <ns0:v>-13.22</ns0:v>
      </ns0:c>
      <ns0:c r="AQ512" s="87" t="n">
        <ns0:v>-3.16</ns0:v>
      </ns0:c>
      <ns0:c r="AR512" s="103" t="n"/>
      <ns0:c r="AS512" s="87" t="n">
        <ns0:v>6.71</ns0:v>
      </ns0:c>
      <ns0:c r="AT512" s="87" t="n">
        <ns0:v>19.09</ns0:v>
      </ns0:c>
      <ns0:c r="AU512" s="103" t="n"/>
      <ns0:c r="AV512" s="87" t="n">
        <ns0:v>-14.88</ns0:v>
      </ns0:c>
      <ns0:c r="AW512" s="87" t="n">
        <ns0:v>-11.99</ns0:v>
      </ns0:c>
      <ns0:c r="AX512" s="103" t="n"/>
      <ns0:c r="AY512" s="87" t="n">
        <ns0:v>10.85</ns0:v>
      </ns0:c>
      <ns0:c r="AZ512" s="87" t="n">
        <ns0:v>8.83</ns0:v>
      </ns0:c>
      <ns0:c r="BA512" s="87" t="n">
        <ns0:v>8.24</ns0:v>
      </ns0:c>
      <ns0:c r="BB512" s="74" t="inlineStr">
        <ns0:is>
          <ns0:t>Hang Seng Commerce &amp; Industry sub-index</ns0:t>
        </ns0:is>
      </ns0:c>
      <ns0:c r="BC512" s="87" t="n">
        <ns0:v>-19.54</ns0:v>
      </ns0:c>
      <ns0:c r="BD512" s="75" t="n">
        <ns0:v>46297</ns0:v>
      </ns0:c>
      <ns0:c r="BE512" s="76" t="n">
        <ns0:v>16320.1</ns0:v>
      </ns0:c>
      <ns0:c r="BF512" s="79" t="n">
        <ns0:v>918.8</ns0:v>
      </ns0:c>
      <ns0:c r="BG512" s="74" t="inlineStr">
        <ns0:is>
          <ns0:t>Y</ns0:t>
        </ns0:is>
      </ns0:c>
      <ns0:c r="BH512" s="89" t="n">
        <ns0:v>9.4</ns0:v>
      </ns0:c>
      <ns0:c r="BI512" s="89" t="n">
        <ns0:v>16</ns0:v>
      </ns0:c>
      <ns0:c r="BJ512" s="89" t="n">
        <ns0:v>17.8</ns0:v>
      </ns0:c>
      <ns0:c r="BK512" s="89" t="n">
        <ns0:v>0.5</ns0:v>
      </ns0:c>
      <ns0:c r="BL512" s="90">
        <ns0:f>IFERROR(IF('BBG Verify'!S512="","Awaiting Bloomberg",'BBG Verify'!S512),"Awaiting Bloomberg")</ns0:f>
        <ns0:v/>
      </ns0:c>
      <ns0:c r="BM512" s="91" t="inlineStr">
        <ns0:is>
          <ns0:t>Y</ns0:t>
        </ns0:is>
      </ns0:c>
      <ns0:c r="BN512" s="74" t="inlineStr">
        <ns0:is>
          <ns0:t>601678.SS</ns0:t>
        </ns0:is>
      </ns0:c>
      <ns0:c r="BO512" s="87" t="n">
        <ns0:v>90.03</ns0:v>
      </ns0:c>
      <ns0:c r="BP512" s="77" t="n">
        <ns0:v>6.6132</ns0:v>
      </ns0:c>
      <ns0:c r="BQ512" s="101" t="n">
        <ns0:v>1.3736</ns0:v>
      </ns0:c>
      <ns0:c r="BR512" s="79" t="n">
        <ns0:v>16015.2</ns0:v>
      </ns0:c>
      <ns0:c r="BS512" s="90">
        <ns0:f>IFERROR(IF('BBG Verify'!Q512="","Awaiting Bloomberg",'BBG Verify'!Q512),"Awaiting Bloomberg")</ns0:f>
        <ns0:v/>
      </ns0:c>
      <ns0:c r="BT512" s="90">
        <ns0:f>IFERROR(IF('BBG Verify'!R512="","Awaiting Bloomberg",'BBG Verify'!R512),"Awaiting Bloomberg")</ns0:f>
        <ns0:v/>
      </ns0:c>
      <ns0:c r="BU512" s="91" t="inlineStr">
        <ns0:is>
          <ns0:t>Huatai Financial Holdings (Hong Kong) Limited; CCB International Capital Limited</ns0:t>
        </ns0:is>
      </ns0:c>
      <ns0:c r="BV512" s="74" t="inlineStr">
        <ns0:is>
          <ns0:t>CCB International Capital Limited; Huatai Financial Holdings (Hong Kong) Limited</ns0:t>
        </ns0:is>
      </ns0:c>
      <ns0:c r="BW512" s="74" t="inlineStr">
        <ns0:is>
          <ns0:t>Huafu International Securities Limited; Central China International Securities Co., Limited; CMB International Capital Limited; Huatai Financial Holdings (Hong Kong) Limited; CCB International Capital Limited; Zhongtai International Securities Limited</ns0:t>
        </ns0:is>
      </ns0:c>
      <ns0:c r="BX512" s="74" t="inlineStr">
        <ns0:is>
          <ns0:t>CCB International Capital Limited; Central China International Securities Co., Limited; CMB International Capital Limited; Huatai Financial Holdings (Hong Kong) Limited; Huafu International Securities Limited; Zhongtai International Securities Limited</ns0:t>
        </ns0:is>
      </ns0:c>
      <ns0:c r="BY512" s="93">
        <ns0:f>HYPERLINK("https://www1.hkexnews.hk/listedco/listconews/sehk/2026/0630/2026063000101.pdf","prospectus")</ns0:f>
        <ns0:v/>
      </ns0:c>
      <ns0:c r="BZ512" s="93">
        <ns0:f>HYPERLINK("https://www1.hkexnews.hk/listedco/listconews/sehk/2026/0709/2026070901273.pdf","allotment")</ns0:f>
        <ns0:v/>
      </ns0:c>
      <ns0:c r="CA512" s="85" t="n"/>
      <ns0:c r="CB512" s="94" t="n"/>
      <ns0:c r="CC512" s="74" t="inlineStr">
        <ns0:is>
          <ns0:t>greenshoe: no over-allotment option; range low: maximum offer price only, no floor published; A/H: Jul 2026 H listing (chlor-alkali/chemicals); 3m: pending: 59 traded sessions after debut; 63 needed; greenshoe size: no over-allotment option; stabilising manager: filing states none appointed (allotment announcement: 'no stabilizing manager will be appointed' stated in the filing); alpha/index: 3m window not elapsed</ns0:t>
        </ns0:is>
      </ns0:c>
    </ns0:row>
    <ns0:row r="513" ht="22" customHeight="1">
      <ns0:c r="A513" s="73" t="inlineStr">
        <ns0:is>
          <ns0:t>2249</ns0:t>
        </ns0:is>
      </ns0:c>
      <ns0:c r="B513" s="74" t="inlineStr">
        <ns0:is>
          <ns0:t>NEXCHIP</ns0:t>
        </ns0:is>
      </ns0:c>
      <ns0:c r="C513" s="74" t="inlineStr">
        <ns0:is>
          <ns0:t>晶合集成</ns0:t>
        </ns0:is>
      </ns0:c>
      <ns0:c r="D513" s="74" t="inlineStr">
        <ns0:is>
          <ns0:t>Technology</ns0:t>
        </ns0:is>
      </ns0:c>
      <ns0:c r="E513" s="74" t="inlineStr">
        <ns0:is>
          <ns0:t>Semiconductors</ns0:t>
        </ns0:is>
      </ns0:c>
      <ns0:c r="F513" s="74" t="inlineStr">
        <ns0:is>
          <ns0:t>Semiconductors &amp; Semiconductor Equipment</ns0:t>
        </ns0:is>
      </ns0:c>
      <ns0:c r="G513" s="74" t="inlineStr">
        <ns0:is>
          <ns0:t>Standard</ns0:t>
        </ns0:is>
      </ns0:c>
      <ns0:c r="H513" s="75" t="n">
        <ns0:v>46213</ns0:v>
      </ns0:c>
      <ns0:c r="I513" s="76" t="n">
        <ns0:v>6982.19</ns0:v>
      </ns0:c>
      <ns0:c r="J513" s="74" t="inlineStr">
        <ns0:is>
          <ns0:t>gross (stated)</ns0:t>
        </ns0:is>
      </ns0:c>
      <ns0:c r="K513" s="95" t="n"/>
      <ns0:c r="L513" s="77" t="n">
        <ns0:v>32.3</ns0:v>
      </ns0:c>
      <ns0:c r="M513" s="77" t="n">
        <ns0:v>32.3</ns0:v>
      </ns0:c>
      <ns0:c r="N513" s="74" t="inlineStr">
        <ns0:is>
          <ns0:t>Y</ns0:t>
        </ns0:is>
      </ns0:c>
      <ns0:c r="O513" s="78" t="n">
        <ns0:v>100</ns0:v>
      </ns0:c>
      <ns0:c r="P513" s="84" t="n"/>
      <ns0:c r="Q513" s="79" t="n">
        <ns0:v>72179.10000000001</ns0:v>
      </ns0:c>
      <ns0:c r="R513" s="74" t="inlineStr">
        <ns0:is>
          <ns0:t>aastocks:上市市值 at the struck price</ns0:t>
        </ns0:is>
      </ns0:c>
      <ns0:c r="S513" s="80" t="n">
        <ns0:v>344.26</ns0:v>
      </ns0:c>
      <ns0:c r="T513" s="81" t="n">
        <ns0:v>14.62</ns0:v>
      </ns0:c>
      <ns0:c r="U513" s="82" t="n">
        <ns0:v>49.92</ns0:v>
      </ns0:c>
      <ns0:c r="V513" s="83" t="n">
        <ns0:v>170</ns0:v>
      </ns0:c>
      <ns0:c r="W513" s="78" t="n">
        <ns0:v>10</ns0:v>
      </ns0:c>
      <ns0:c r="X513" s="74" t="inlineStr">
        <ns0:is>
          <ns0:t>NA</ns0:t>
        </ns0:is>
      </ns0:c>
      <ns0:c r="Y513" s="79" t="n">
        <ns0:v>3496.68</ns0:v>
      </ns0:c>
      <ns0:c r="Z513" s="79" t="n">
        <ns0:v>108256434</ns0:v>
      </ns0:c>
      <ns0:c r="AA513" s="78" t="n">
        <ns0:v>4.84</ns0:v>
      </ns0:c>
      <ns0:c r="AB513" s="74" t="inlineStr">
        <ns0:is>
          <ns0:t>Hefei Chipone (Hong Kong) Co., Limited and Chipone (Hong Kong) Co., Limited (collectively, Chipone ); Puxin Technology Limited; Smartsens Technology (HK) Co., Limited; Chery Automobile HongKong Trade Co., Limited; Goertek (HongKong) Co., Limited; Taikang Life Insurance Co., Ltd; GF Fund Management Co., Ltd; GF International Investment Management Limited; Shanghai Gaoyi Asset Management Partnership (Limited Partnership); Perseverance Asset Management International (Singapore) Pte. Ltd; China Universal Asset Management (Hong Kong) Company Limited; NGS Super Pty Limited , as trustee of NGS Super; HHLR Advisors, Ltd; WT Asset Management Limited; IvyRock Asset Management (HK) Limited; Verition Multi-Strategy Master Fund Ltd., managed by Verition Fund Management LLC; Pinpoint Asset Management Limited; Da Cheng International Asset Management Company Limited; ICBC Wealth Management Co., Ltd; PSBC Wealth Management Co., Ltd; Harvest Global Investments Limited</ns0:t>
        </ns0:is>
      </ns0:c>
      <ns0:c r="AC513" s="74" t="inlineStr">
        <ns0:is>
          <ns0:t>hefei;puxin;smartsens;chery;goertek;taikang;gf;shanghai-gaoyi;perseverance;universal;ngs;hhlr;wt;ivyrock;verition;pinpoint;da;icbc;psbc;harvest</ns0:t>
        </ns0:is>
      </ns0:c>
      <ns0:c r="AD513" s="78" t="n">
        <ns0:v>15</ns0:v>
      </ns0:c>
      <ns0:c r="AE513" s="74" t="inlineStr">
        <ns0:is>
          <ns0:t>partial</ns0:t>
        </ns0:is>
      </ns0:c>
      <ns0:c r="AF513" s="74" t="inlineStr">
        <ns0:is>
          <ns0:t>2026-08-06</ns0:t>
        </ns0:is>
      </ns0:c>
      <ns0:c r="AG513" s="74" t="inlineStr">
        <ns0:is>
          <ns0:t>China International Capital Corporation Hong Kong Securities Limited</ns0:t>
        </ns0:is>
      </ns0:c>
      <ns0:c r="AH513" s="74" t="inlineStr">
        <ns0:is>
          <ns0:t>China International</ns0:t>
        </ns0:is>
      </ns0:c>
      <ns0:c r="AI513" s="86" t="n">
        <ns0:v>11.76</ns0:v>
      </ns0:c>
      <ns0:c r="AJ513" s="87" t="n">
        <ns0:v>0</ns0:v>
      </ns0:c>
      <ns0:c r="AK513" s="87" t="n">
        <ns0:v>-0.13</ns0:v>
      </ns0:c>
      <ns0:c r="AL513" s="87" t="n">
        <ns0:v>11.46</ns0:v>
      </ns0:c>
      <ns0:c r="AM513" s="87" t="n">
        <ns0:v>-10.28</ns0:v>
      </ns0:c>
      <ns0:c r="AN513" s="89" t="n">
        <ns0:v>2.99</ns0:v>
      </ns0:c>
      <ns0:c r="AO513" s="78" t="n">
        <ns0:v>13.89</ns0:v>
      </ns0:c>
      <ns0:c r="AP513" s="87" t="n">
        <ns0:v>-9.66</ns0:v>
      </ns0:c>
      <ns0:c r="AQ513" s="87" t="n">
        <ns0:v>-0.12</ns0:v>
      </ns0:c>
      <ns0:c r="AR513" s="103" t="n"/>
      <ns0:c r="AS513" s="87" t="n">
        <ns0:v>-9.66</ns0:v>
      </ns0:c>
      <ns0:c r="AT513" s="87" t="n">
        <ns0:v>-0.12</ns0:v>
      </ns0:c>
      <ns0:c r="AU513" s="103" t="n"/>
      <ns0:c r="AV513" s="87" t="n">
        <ns0:v>-7.38</ns0:v>
      </ns0:c>
      <ns0:c r="AW513" s="87" t="n">
        <ns0:v>-4</ns0:v>
      </ns0:c>
      <ns0:c r="AX513" s="103" t="n"/>
      <ns0:c r="AY513" s="87" t="n">
        <ns0:v>-4.13</ns0:v>
      </ns0:c>
      <ns0:c r="AZ513" s="87" t="n">
        <ns0:v>3.88</ns0:v>
      </ns0:c>
      <ns0:c r="BA513" s="87" t="n">
        <ns0:v>4.01</ns0:v>
      </ns0:c>
      <ns0:c r="BB513" s="74" t="inlineStr">
        <ns0:is>
          <ns0:t>HSTECH (Hang Seng TECH ETF)</ns0:t>
        </ns0:is>
      </ns0:c>
      <ns0:c r="BC513" s="87" t="n">
        <ns0:v>-20.31</ns0:v>
      </ns0:c>
      <ns0:c r="BD513" s="75" t="n">
        <ns0:v>46297</ns0:v>
      </ns0:c>
      <ns0:c r="BE513" s="76" t="n">
        <ns0:v>11427.1</ns0:v>
      </ns0:c>
      <ns0:c r="BF513" s="79" t="n">
        <ns0:v>513.1</ns0:v>
      </ns0:c>
      <ns0:c r="BG513" s="74" t="inlineStr">
        <ns0:is>
          <ns0:t>Y</ns0:t>
        </ns0:is>
      </ns0:c>
      <ns0:c r="BH513" s="89" t="n">
        <ns0:v>140.7</ns0:v>
      </ns0:c>
      <ns0:c r="BI513" s="89" t="n">
        <ns0:v>77.3</ns0:v>
      </ns0:c>
      <ns0:c r="BJ513" s="89" t="n">
        <ns0:v>87.3</ns0:v>
      </ns0:c>
      <ns0:c r="BK513" s="89" t="n">
        <ns0:v>6.3</ns0:v>
      </ns0:c>
      <ns0:c r="BL513" s="90">
        <ns0:f>IFERROR(IF('BBG Verify'!S513="","Awaiting Bloomberg",'BBG Verify'!S513),"Awaiting Bloomberg")</ns0:f>
        <ns0:v/>
      </ns0:c>
      <ns0:c r="BM513" s="91" t="inlineStr">
        <ns0:is>
          <ns0:t>Y</ns0:t>
        </ns0:is>
      </ns0:c>
      <ns0:c r="BN513" s="74" t="inlineStr">
        <ns0:is>
          <ns0:t>688249.SS</ns0:t>
        </ns0:is>
      </ns0:c>
      <ns0:c r="BO513" s="87" t="n">
        <ns0:v>132.6</ns0:v>
      </ns0:c>
      <ns0:c r="BP513" s="77" t="n">
        <ns0:v>75.1297</ns0:v>
      </ns0:c>
      <ns0:c r="BQ513" s="101" t="n">
        <ns0:v>0.4916</ns0:v>
      </ns0:c>
      <ns0:c r="BR513" s="79" t="n">
        <ns0:v>85835.7</ns0:v>
      </ns0:c>
      <ns0:c r="BS513" s="90">
        <ns0:f>IFERROR(IF('BBG Verify'!Q513="","Awaiting Bloomberg",'BBG Verify'!Q513),"Awaiting Bloomberg")</ns0:f>
        <ns0:v/>
      </ns0:c>
      <ns0:c r="BT513" s="90">
        <ns0:f>IFERROR(IF('BBG Verify'!R513="","Awaiting Bloomberg",'BBG Verify'!R513),"Awaiting Bloomberg")</ns0:f>
        <ns0:v/>
      </ns0:c>
      <ns0:c r="BU513" s="91" t="inlineStr">
        <ns0:is>
          <ns0:t>CICC</ns0:t>
        </ns0:is>
      </ns0:c>
      <ns0:c r="BV513" s="74" t="inlineStr">
        <ns0:is>
          <ns0:t>China International Capital Corporation Hong Kong Securities Limited</ns0:t>
        </ns0:is>
      </ns0:c>
      <ns0:c r="BW513" s="74" t="inlineStr">
        <ns0:is>
          <ns0:t>BOCI Asia Limited; ICBC International Securities Limited; Futu Securities International (Hong Kong) Limited</ns0:t>
        </ns0:is>
      </ns0:c>
      <ns0:c r="BX513" s="74" t="inlineStr">
        <ns0:is>
          <ns0:t>BOCI Asia Limited; China International Capital Corporation Hong Kong Securities Limited; CLSA Limited; CMB International Capital Limited; Futu Securities International (Hong Kong) Limited; Huatai Financial Holdings (Hong Kong) Limited; ICBC International Securities Limited</ns0:t>
        </ns0:is>
      </ns0:c>
      <ns0:c r="BY513" s="93">
        <ns0:f>HYPERLINK("https://www1.hkexnews.hk/listedco/listconews/sehk/2026/0630/2026063000123.pdf","prospectus")</ns0:f>
        <ns0:v/>
      </ns0:c>
      <ns0:c r="BZ513" s="93">
        <ns0:f>HYPERLINK("https://www1.hkexnews.hk/listedco/listconews/sehk/2026/0709/2026070901289.pdf","allotment")</ns0:f>
        <ns0:v/>
      </ns0:c>
      <ns0:c r="CA513" s="93">
        <ns0:f>HYPERLINK("https://www1.hkexnews.hk/listedco/listconews/sehk/2026/0806/2026080602039.pdf","stabilisation")</ns0:f>
        <ns0:v/>
      </ns0:c>
      <ns0:c r="CB513" s="94" t="n"/>
      <ns0:c r="CC513" s="74" t="inlineStr">
        <ns0:is>
          <ns0:t>range low: maximum offer price only, no floor published; A/H: Jul 2026 H listing (foundry); 3m: pending: 59 traded sessions after debut; 63 needed; market cap: published listing cap used; the estimate from deal size / offer % of enlarged capital disagreed; alpha/index: 3m window not elapsed</ns0:t>
        </ns0:is>
      </ns0:c>
    </ns0:row>
    <ns0:row r="514" ht="22" customHeight="1">
      <ns0:c r="A514" s="73" t="inlineStr">
        <ns0:is>
          <ns0:t>3308</ns0:t>
        </ns0:is>
      </ns0:c>
      <ns0:c r="B514" s="74" t="inlineStr">
        <ns0:is>
          <ns0:t>ZJ INNOLIGHT</ns0:t>
        </ns0:is>
      </ns0:c>
      <ns0:c r="C514" s="74" t="inlineStr">
        <ns0:is>
          <ns0:t>中際旭創</ns0:t>
        </ns0:is>
      </ns0:c>
      <ns0:c r="D514" s="74" t="inlineStr">
        <ns0:is>
          <ns0:t>Technology</ns0:t>
        </ns0:is>
      </ns0:c>
      <ns0:c r="E514" s="74" t="inlineStr">
        <ns0:is>
          <ns0:t>Hardware &amp; electronics</ns0:t>
        </ns0:is>
      </ns0:c>
      <ns0:c r="F514" s="74" t="inlineStr">
        <ns0:is>
          <ns0:t>Telecommunications &amp; Networking Equipment</ns0:t>
        </ns0:is>
      </ns0:c>
      <ns0:c r="G514" s="74" t="inlineStr">
        <ns0:is>
          <ns0:t>Standard</ns0:t>
        </ns0:is>
      </ns0:c>
      <ns0:c r="H514" s="75" t="n">
        <ns0:v>46233</ns0:v>
      </ns0:c>
      <ns0:c r="I514" s="76" t="n">
        <ns0:v>53410</ns0:v>
      </ns0:c>
      <ns0:c r="J514" s="74" t="inlineStr">
        <ns0:is>
          <ns0:t>gross (stated)</ns0:t>
        </ns0:is>
      </ns0:c>
      <ns0:c r="K514" s="95" t="n"/>
      <ns0:c r="L514" s="77" t="n">
        <ns0:v>1010</ns0:v>
      </ns0:c>
      <ns0:c r="M514" s="77" t="n">
        <ns0:v>980</ns0:v>
      </ns0:c>
      <ns0:c r="N514" s="74" t="inlineStr">
        <ns0:is>
          <ns0:t>N</ns0:t>
        </ns0:is>
      </ns0:c>
      <ns0:c r="O514" s="78" t="n">
        <ns0:v>97</ns0:v>
      </ns0:c>
      <ns0:c r="P514" s="84" t="n"/>
      <ns0:c r="Q514" s="79" t="n">
        <ns0:v>1530449.5</ns0:v>
      </ns0:c>
      <ns0:c r="R514" s="74" t="inlineStr">
        <ns0:is>
          <ns0:t>prospectus:stated market capitalisation, rescaled to the offer price</ns0:t>
        </ns0:is>
      </ns0:c>
      <ns0:c r="S514" s="80" t="n">
        <ns0:v>16.84</ns0:v>
      </ns0:c>
      <ns0:c r="T514" s="81" t="n">
        <ns0:v>9.73</ns0:v>
      </ns0:c>
      <ns0:c r="U514" s="82" t="n">
        <ns0:v>50</ns0:v>
      </ns0:c>
      <ns0:c r="V514" s="83" t="n">
        <ns0:v>549</ns0:v>
      </ns0:c>
      <ns0:c r="W514" s="78" t="n">
        <ns0:v>10</ns0:v>
      </ns0:c>
      <ns0:c r="X514" s="74" t="inlineStr">
        <ns0:is>
          <ns0:t>NA</ns0:t>
        </ns0:is>
      </ns0:c>
      <ns0:c r="Y514" s="79" t="n">
        <ns0:v>26705</ns0:v>
      </ns0:c>
      <ns0:c r="Z514" s="79" t="n">
        <ns0:v>27250000</ns0:v>
      </ns0:c>
      <ns0:c r="AA514" s="78" t="n">
        <ns0:v>1.74</ns0:v>
      </ns0:c>
      <ns0:c r="AB514" s="74" t="inlineStr">
        <ns0:is>
          <ns0:t>Taibai; True Light; HHLRA; JPMIMI; JPMAMAPL; BlackRock; YF Capital; Aspex; ADIA; Wellington; Perseverance Asset Management; Indus Funds; Mirae Investors; NGS Super Fund; Bain Capital; Boyu Capital; IDG Capital; Ninety One Asia Pte. Limited; WT Asset Management Limited; CloudAlpha Capital; Tairen; Hao Funds; Janchor Funds; Alibaba; Tencent; CPP Investments; Oaktree; CP Black Dragon; CTFE; Athos Capital Limited; TAL Funds; Burkehill; General Atlantic; Huadeng Technology</ns0:t>
        </ns0:is>
      </ns0:c>
      <ns0:c r="AC514" s="74" t="inlineStr">
        <ns0:is>
          <ns0:t>taibai;true;hhlra;jpmimi;jpmamapl;blackrock;yf;aspex;adia;wellington;perseverance;indus;mirae;ngs;bain;boyu;idg;ninety;wt;cloudalpha;tairen;hao;janchor;alibaba;tencent;cpp;oaktree;cp;ctfe;athos;tal;burkehill;general;huadeng</ns0:t>
        </ns0:is>
      </ns0:c>
      <ns0:c r="AD514" s="78" t="n">
        <ns0:v>15</ns0:v>
      </ns0:c>
      <ns0:c r="AE514" s="74" t="inlineStr">
        <ns0:is>
          <ns0:t>full</ns0:t>
        </ns0:is>
      </ns0:c>
      <ns0:c r="AF514" s="85" t="n"/>
      <ns0:c r="AG514" s="74" t="inlineStr">
        <ns0:is>
          <ns0:t>Goldman Sachs</ns0:t>
        </ns0:is>
      </ns0:c>
      <ns0:c r="AH514" s="74" t="inlineStr">
        <ns0:is>
          <ns0:t>Goldman Sachs</ns0:t>
        </ns0:is>
      </ns0:c>
      <ns0:c r="AI514" s="86" t="n">
        <ns0:v>-1.07</ns0:v>
      </ns0:c>
      <ns0:c r="AJ514" s="87" t="n">
        <ns0:v>-2.04</ns0:v>
      </ns0:c>
      <ns0:c r="AK514" s="87" t="n">
        <ns0:v>-1.05</ns0:v>
      </ns0:c>
      <ns0:c r="AL514" s="87" t="n">
        <ns0:v>-0.92</ns0:v>
      </ns0:c>
      <ns0:c r="AM514" s="87" t="n">
        <ns0:v>-1.13</ns0:v>
      </ns0:c>
      <ns0:c r="AN514" s="89" t="n">
        <ns0:v>2.24</ns0:v>
      </ns0:c>
      <ns0:c r="AO514" s="78" t="n">
        <ns0:v>9.58</ns0:v>
      </ns0:c>
      <ns0:c r="AP514" s="87" t="n">
        <ns0:v>17.45</ns0:v>
      </ns0:c>
      <ns0:c r="AQ514" s="87" t="n">
        <ns0:v>6.12</ns0:v>
      </ns0:c>
      <ns0:c r="AR514" s="103" t="n"/>
      <ns0:c r="AS514" s="87" t="n">
        <ns0:v>19.9</ns0:v>
      </ns0:c>
      <ns0:c r="AT514" s="87" t="n">
        <ns0:v>8.33</ns0:v>
      </ns0:c>
      <ns0:c r="AU514" s="103" t="n"/>
      <ns0:c r="AV514" s="87" t="n">
        <ns0:v>18.16</ns0:v>
      </ns0:c>
      <ns0:c r="AW514" s="87" t="n">
        <ns0:v>11.28</ns0:v>
      </ns0:c>
      <ns0:c r="AX514" s="103" t="n"/>
      <ns0:c r="AY514" s="87" t="n">
        <ns0:v>12.48</ns0:v>
      </ns0:c>
      <ns0:c r="AZ514" s="87" t="n">
        <ns0:v>-5.16</ns0:v>
      </ns0:c>
      <ns0:c r="BA514" s="87" t="n">
        <ns0:v>-4.15</ns0:v>
      </ns0:c>
      <ns0:c r="BB514" s="74" t="inlineStr">
        <ns0:is>
          <ns0:t>HSTECH (Hang Seng TECH ETF)</ns0:t>
        </ns0:is>
      </ns0:c>
      <ns0:c r="BC514" s="87" t="n">
        <ns0:v>9.390000000000001</ns0:v>
      </ns0:c>
      <ns0:c r="BD514" s="75" t="n">
        <ns0:v>46297</ns0:v>
      </ns0:c>
      <ns0:c r="BE514" s="76" t="n">
        <ns0:v>42063.9</ns0:v>
      </ns0:c>
      <ns0:c r="BF514" s="79" t="n">
        <ns0:v>12737.7</ns0:v>
      </ns0:c>
      <ns0:c r="BG514" s="74" t="inlineStr">
        <ns0:is>
          <ns0:t>Y</ns0:t>
        </ns0:is>
      </ns0:c>
      <ns0:c r="BH514" s="89" t="n">
        <ns0:v>120.2</ns0:v>
      </ns0:c>
      <ns0:c r="BI514" s="89" t="n">
        <ns0:v>85.09999999999999</ns0:v>
      </ns0:c>
      <ns0:c r="BJ514" s="89" t="n">
        <ns0:v>112.4</ns0:v>
      </ns0:c>
      <ns0:c r="BK514" s="89" t="n">
        <ns0:v>36.4</ns0:v>
      </ns0:c>
      <ns0:c r="BL514" s="90">
        <ns0:f>IFERROR(IF('BBG Verify'!S514="","Awaiting Bloomberg",'BBG Verify'!S514),"Awaiting Bloomberg")</ns0:f>
        <ns0:v/>
      </ns0:c>
      <ns0:c r="BM514" s="91" t="inlineStr">
        <ns0:is>
          <ns0:t>Y</ns0:t>
        </ns0:is>
      </ns0:c>
      <ns0:c r="BN514" s="74" t="inlineStr">
        <ns0:is>
          <ns0:t>300308.SZ</ns0:t>
        </ns0:is>
      </ns0:c>
      <ns0:c r="BO514" s="87" t="n">
        <ns0:v>12.36</ns0:v>
      </ns0:c>
      <ns0:c r="BP514" s="77" t="n">
        <ns0:v>1101.1724</ns0:v>
      </ns0:c>
      <ns0:c r="BQ514" s="101" t="n">
        <ns0:v>-0.1175</ns0:v>
      </ns0:c>
      <ns0:c r="BR514" s="79" t="n">
        <ns0:v>1114822.5</ns0:v>
      </ns0:c>
      <ns0:c r="BS514" s="90">
        <ns0:f>IFERROR(IF('BBG Verify'!Q514="","Awaiting Bloomberg",'BBG Verify'!Q514),"Awaiting Bloomberg")</ns0:f>
        <ns0:v/>
      </ns0:c>
      <ns0:c r="BT514" s="90">
        <ns0:f>IFERROR(IF('BBG Verify'!R514="","Awaiting Bloomberg",'BBG Verify'!R514),"Awaiting Bloomberg")</ns0:f>
        <ns0:v/>
      </ns0:c>
      <ns0:c r="BU514" s="91" t="inlineStr">
        <ns0:is>
          <ns0:t>Goldman Sachs (Asia) L.L.C; China International Capital Corporation Hong Kong Securities Limited; Morgan Stanley Asia Limited; GF Capital (Hong Kong) Limited</ns0:t>
        </ns0:is>
      </ns0:c>
      <ns0:c r="BV514" s="74" t="inlineStr">
        <ns0:is>
          <ns0:t>China International Capital Corporation Hong Kong Securities Limited; Morgan Stanley Asia Limited; Goldman Sachs (Asia) L.L.C.; GF Capital (Hong Kong) Limited</ns0:t>
        </ns0:is>
      </ns0:c>
      <ns0:c r="BW514" s="74" t="inlineStr">
        <ns0:is>
          <ns0:t>Goldman Sachs (Asia) L.L.C; China International Capital Corporation Hong Kong Securities Limited; Morgan Stanley Asia Limited; GF Securities (Hong Kong) Brokerage Limited; Citigroup Global Markets Asia Limited; Citigroup Global Markets Limited; Corporation Limited; China Galaxy International Securities (Hong Kong) Co., Limited; Zhongtai International Securities Limited; Zero2IPO Securities Limited; DBS Asia Capital Limited; Haitong International Securities Company Limited; The Hongkong and Shanghai Banking Corporation Limited; ABCI Capital Limited</ns0:t>
        </ns0:is>
      </ns0:c>
      <ns0:c r="BX514" s="74" t="inlineStr">
        <ns0:is>
          <ns0: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ns0:t>
        </ns0:is>
      </ns0:c>
      <ns0:c r="BY514" s="93">
        <ns0:f>HYPERLINK("https://www1.hkexnews.hk/listedco/listconews/sehk/2026/0722/2026072200013.pdf","prospectus")</ns0:f>
        <ns0:v/>
      </ns0:c>
      <ns0:c r="BZ514" s="93">
        <ns0:f>HYPERLINK("https://www1.hkexnews.hk/listedco/listconews/sehk/2026/0729/2026072901629.pdf","allotment")</ns0:f>
        <ns0:v/>
      </ns0:c>
      <ns0:c r="CA514" s="93">
        <ns0:f>HYPERLINK("https://www1.hkexnews.hk/listedco/listconews/sehk/2026/0827/2026082700007.pdf","stabilisation")</ns0:f>
        <ns0:v/>
      </ns0:c>
      <ns0:c r="CB514" s="94" t="n"/>
      <ns0:c r="CC514" s="74" t="inlineStr">
        <ns0:is>
          <ns0:t>greenshoe: outcome published; expiry date not in the notice; range low: maximum offer price only, no floor published; A/H: Jul 2026; Hong Kong's largest IPO in seven years (optical transceivers for AI datacenters); 3m: pending: 45 traded sessions after debut; 63 needed; market cap: prospectus cap HK$1,577,300m at HK$1,010.00, rescaled to HK$980.00; alpha/index: 3m window not elapsed</ns0:t>
        </ns0:is>
      </ns0:c>
    </ns0:row>
    <ns0:row r="515" ht="22" customHeight="1">
      <ns0:c r="A515" s="73" t="inlineStr">
        <ns0:is>
          <ns0:t>2261</ns0:t>
        </ns0:is>
      </ns0:c>
      <ns0:c r="B515" s="74" t="inlineStr">
        <ns0:is>
          <ns0:t>NASN TECH</ns0:t>
        </ns0:is>
      </ns0:c>
      <ns0:c r="C515" s="74" t="inlineStr">
        <ns0:is>
          <ns0:t>拿森科技</ns0:t>
        </ns0:is>
      </ns0:c>
      <ns0:c r="D515" s="74" t="inlineStr">
        <ns0:is>
          <ns0:t>Consumer</ns0:t>
        </ns0:is>
      </ns0:c>
      <ns0:c r="E515" s="74" t="inlineStr">
        <ns0:is>
          <ns0:t>Auto parts / supply chain</ns0:t>
        </ns0:is>
      </ns0:c>
      <ns0:c r="F515" s="74" t="inlineStr">
        <ns0:is>
          <ns0:t>Auto Parts &amp; Equipment</ns0:t>
        </ns0:is>
      </ns0:c>
      <ns0:c r="G515" s="74" t="inlineStr">
        <ns0:is>
          <ns0:t>Standard</ns0:t>
        </ns0:is>
      </ns0:c>
      <ns0:c r="H515" s="75" t="n">
        <ns0:v>46241</ns0:v>
      </ns0:c>
      <ns0:c r="I515" s="76" t="n">
        <ns0:v>600.1</ns0:v>
      </ns0:c>
      <ns0:c r="J515" s="74" t="inlineStr">
        <ns0:is>
          <ns0:t>gross (price x shares)</ns0:t>
        </ns0:is>
      </ns0:c>
      <ns0:c r="K515" s="95" t="n"/>
      <ns0:c r="L515" s="77" t="n">
        <ns0:v>11.18</ns0:v>
      </ns0:c>
      <ns0:c r="M515" s="77" t="n">
        <ns0:v>10.42</ns0:v>
      </ns0:c>
      <ns0:c r="N515" s="74" t="inlineStr">
        <ns0:is>
          <ns0:t>N</ns0:t>
        </ns0:is>
      </ns0:c>
      <ns0:c r="O515" s="78" t="n">
        <ns0:v>93.2</ns0:v>
      </ns0:c>
      <ns0:c r="P515" s="84" t="n"/>
      <ns0:c r="Q515" s="79" t="n">
        <ns0:v>6199.7</ns0:v>
      </ns0:c>
      <ns0:c r="R515" s="74" t="inlineStr">
        <ns0:is>
          <ns0:t>derived:price x shares upon listing</ns0:t>
        </ns0:is>
      </ns0:c>
      <ns0:c r="S515" s="80" t="n">
        <ns0:v>2513.54</ns0:v>
      </ns0:c>
      <ns0:c r="T515" s="81" t="n">
        <ns0:v>2.12</ns0:v>
      </ns0:c>
      <ns0:c r="U515" s="82" t="n">
        <ns0:v>0</ns0:v>
      </ns0:c>
      <ns0:c r="V515" s="83" t="n">
        <ns0:v>133</ns0:v>
      </ns0:c>
      <ns0:c r="W515" s="78" t="n">
        <ns0:v>10</ns0:v>
      </ns0:c>
      <ns0:c r="X515" s="74" t="inlineStr">
        <ns0:is>
          <ns0:t>NO</ns0:t>
        </ns0:is>
      </ns0:c>
      <ns0:c r="Y515" s="79" t="n">
        <ns0:v>600.1</ns0:v>
      </ns0:c>
      <ns0:c r="Z515" s="79" t="n">
        <ns0:v>57594500</ns0:v>
      </ns0:c>
      <ns0:c r="AA515" s="78" t="n">
        <ns0:v>9.68</ns0:v>
      </ns0:c>
      <ns0:c r="AB515" s="74" t="inlineStr">
        <ns0:is>
          <ns0:t>none — no cornerstone tranche</ns0:t>
        </ns0:is>
      </ns0:c>
      <ns0:c r="AC515" s="74" t="inlineStr">
        <ns0:is>
          <ns0:t>none</ns0:t>
        </ns0:is>
      </ns0:c>
      <ns0:c r="AD515" s="78" t="n">
        <ns0:v>10.12</ns0:v>
      </ns0:c>
      <ns0:c r="AE515" s="74" t="inlineStr">
        <ns0:is>
          <ns0:t>lapsed (no over-allocation)</ns0:t>
        </ns0:is>
      </ns0:c>
      <ns0:c r="AF515" s="85" t="n"/>
      <ns0:c r="AG515" s="74" t="inlineStr">
        <ns0:is>
          <ns0:t>Haitong International Securities Company Limited</ns0:t>
        </ns0:is>
      </ns0:c>
      <ns0:c r="AH515" s="74" t="inlineStr">
        <ns0:is>
          <ns0:t>Haitong</ns0:t>
        </ns0:is>
      </ns0:c>
      <ns0:c r="AI515" s="86" t="n">
        <ns0:v>60.27</ns0:v>
      </ns0:c>
      <ns0:c r="AJ515" s="87" t="n">
        <ns0:v>64.11</ns0:v>
      </ns0:c>
      <ns0:c r="AK515" s="87" t="n">
        <ns0:v>0.84</ns0:v>
      </ns0:c>
      <ns0:c r="AL515" s="87" t="n">
        <ns0:v>62.19</ns0:v>
      </ns0:c>
      <ns0:c r="AM515" s="87" t="n">
        <ns0:v>1.18</ns0:v>
      </ns0:c>
      <ns0:c r="AN515" s="89" t="n">
        <ns0:v>2.33</ns0:v>
      </ns0:c>
      <ns0:c r="AO515" s="78" t="n">
        <ns0:v>18.93</ns0:v>
      </ns0:c>
      <ns0:c r="AP515" s="87" t="n">
        <ns0:v>45.3</ns0:v>
      </ns0:c>
      <ns0:c r="AQ515" s="87" t="n">
        <ns0:v>39.92</ns0:v>
      </ns0:c>
      <ns0:c r="AR515" s="103" t="n"/>
      <ns0:c r="AS515" s="87" t="n">
        <ns0:v>-11.46</ns0:v>
      </ns0:c>
      <ns0:c r="AT515" s="87" t="n">
        <ns0:v>-14.74</ns0:v>
      </ns0:c>
      <ns0:c r="AU515" s="103" t="n"/>
      <ns0:c r="AV515" s="87" t="n">
        <ns0:v>47.27</ns0:v>
      </ns0:c>
      <ns0:c r="AW515" s="87" t="n">
        <ns0:v>43.38</ns0:v>
      </ns0:c>
      <ns0:c r="AX515" s="103" t="n"/>
      <ns0:c r="AY515" s="87" t="n">
        <ns0:v>-10.48</ns0:v>
      </ns0:c>
      <ns0:c r="AZ515" s="87" t="n">
        <ns0:v>-3.46</ns0:v>
      </ns0:c>
      <ns0:c r="BA515" s="87" t="n">
        <ns0:v>-4.26</ns0:v>
      </ns0:c>
      <ns0:c r="BB515" s="74" t="inlineStr">
        <ns0:is>
          <ns0:t>Hang Seng Commerce &amp; Industry sub-index</ns0:t>
        </ns0:is>
      </ns0:c>
      <ns0:c r="BC515" s="87" t="n">
        <ns0:v>54.51</ns0:v>
      </ns0:c>
      <ns0:c r="BD515" s="75" t="n">
        <ns0:v>46297</ns0:v>
      </ns0:c>
      <ns0:c r="BE515" s="76" t="n">
        <ns0:v>676</ns0:v>
      </ns0:c>
      <ns0:c r="BF515" s="79" t="n">
        <ns0:v>-208.5</ns0:v>
      </ns0:c>
      <ns0:c r="BG515" s="74" t="inlineStr">
        <ns0:is>
          <ns0:t>N</ns0:t>
        </ns0:is>
      </ns0:c>
      <ns0:c r="BH515" s="74" t="inlineStr">
        <ns0:is>
          <ns0:t>n/m</ns0:t>
        </ns0:is>
      </ns0:c>
      <ns0:c r="BI515" s="88" t="n"/>
      <ns0:c r="BJ515" s="88" t="n"/>
      <ns0:c r="BK515" s="89" t="n">
        <ns0:v>9.199999999999999</ns0:v>
      </ns0:c>
      <ns0:c r="BL515" s="90">
        <ns0:f>IFERROR(IF('BBG Verify'!S515="","Awaiting Bloomberg",'BBG Verify'!S515),"Awaiting Bloomberg")</ns0:f>
        <ns0:v/>
      </ns0:c>
      <ns0:c r="BM515" s="91" t="inlineStr">
        <ns0:is>
          <ns0:t>N</ns0:t>
        </ns0:is>
      </ns0:c>
      <ns0:c r="BN515" s="92">
        <ns0:f>IFERROR(IF('BBG Verify'!K515="","Awaiting Bloomberg",'BBG Verify'!K515),"Awaiting Bloomberg")</ns0:f>
        <ns0:v/>
      </ns0:c>
      <ns0:c r="BO515" s="74" t="inlineStr">
        <ns0:is>
          <ns0:t>N/A</ns0:t>
        </ns0:is>
      </ns0:c>
      <ns0:c r="BP515" s="74" t="inlineStr">
        <ns0:is>
          <ns0:t>N/A</ns0:t>
        </ns0:is>
      </ns0:c>
      <ns0:c r="BQ515" s="74" t="inlineStr">
        <ns0:is>
          <ns0:t>N/A</ns0:t>
        </ns0:is>
      </ns0:c>
      <ns0:c r="BR515" s="74" t="inlineStr">
        <ns0:is>
          <ns0:t>N/A</ns0:t>
        </ns0:is>
      </ns0:c>
      <ns0:c r="BS515" s="74" t="inlineStr">
        <ns0:is>
          <ns0:t>N/A</ns0:t>
        </ns0:is>
      </ns0:c>
      <ns0:c r="BT515" s="74" t="inlineStr">
        <ns0:is>
          <ns0:t>N/A</ns0:t>
        </ns0:is>
      </ns0:c>
      <ns0:c r="BU515" s="91" t="inlineStr">
        <ns0:is>
          <ns0:t>Haitong International Capital Limited; BOCI Asia Limited</ns0:t>
        </ns0:is>
      </ns0:c>
      <ns0:c r="BV515" s="74" t="inlineStr">
        <ns0:is>
          <ns0:t>Haitong International Capital Limited; BOCI Asia Limited</ns0:t>
        </ns0:is>
      </ns0:c>
      <ns0:c r="BW515" s="74" t="inlineStr">
        <ns0:is>
          <ns0:t>Haitong International Securities Company Limited; BOCI Asia Limited; SDIC Securities (Hong Kong) Limited; Orient Securities (Hong Kong) Limited; TradeMaster Securities (Hong Kong) Limited; SPDB International Capital Limited</ns0:t>
        </ns0:is>
      </ns0:c>
      <ns0:c r="BX515" s="74" t="inlineStr">
        <ns0:is>
          <ns0:t>BOCI Asia Limited; Futu Securities International (Hong Kong) Limited; Haitong International Securities Company Limited; Orient Securities (Hong Kong) Limited; SDIC Securities (Hong Kong) Limited; SPDB International Capital Limited; TradeMaster Securities (Hong Kong) Limited</ns0:t>
        </ns0:is>
      </ns0:c>
      <ns0:c r="BY515" s="93">
        <ns0:f>HYPERLINK("https://www1.hkexnews.hk/listedco/listconews/sehk/2026/0730/2026073000009.pdf","prospectus")</ns0:f>
        <ns0:v/>
      </ns0:c>
      <ns0:c r="BZ515" s="93">
        <ns0:f>HYPERLINK("https://www1.hkexnews.hk/listedco/listconews/sehk/2026/0806/2026080602047.pdf","allotment")</ns0:f>
        <ns0:v/>
      </ns0:c>
      <ns0:c r="CA515" s="93">
        <ns0:f>HYPERLINK("https://www1.hkexnews.hk/listedco/listconews/sehk/2026/0903/2026090301412.pdf","stabilisation")</ns0:f>
        <ns0:v/>
      </ns0:c>
      <ns0:c r="CB515" s="94" t="n"/>
      <ns0:c r="CC515" s="74" t="inlineStr">
        <ns0:is>
          <ns0:t>P/E: loss-making at IPO, use P/S; greenshoe: outcome published; expiry date not in the notice; range low: maximum offer price only, no floor published; 3m: pending: 39 traded sessions after debut; 63 needed; cornerstone list: no cornerstone tranche; alpha/index: 3m window not elapsed</ns0:t>
        </ns0:is>
      </ns0:c>
    </ns0:row>
    <ns0:row r="516" ht="22" customHeight="1">
      <ns0:c r="A516" s="73" t="inlineStr">
        <ns0:is>
          <ns0:t>3223</ns0:t>
        </ns0:is>
      </ns0:c>
      <ns0:c r="B516" s="74" t="inlineStr">
        <ns0:is>
          <ns0:t>INGENIC</ns0:t>
        </ns0:is>
      </ns0:c>
      <ns0:c r="C516" s="74" t="inlineStr">
        <ns0:is>
          <ns0:t>北京君正</ns0:t>
        </ns0:is>
      </ns0:c>
      <ns0:c r="D516" s="74" t="inlineStr">
        <ns0:is>
          <ns0:t>Technology</ns0:t>
        </ns0:is>
      </ns0:c>
      <ns0:c r="E516" s="74" t="inlineStr">
        <ns0:is>
          <ns0:t>Semiconductors</ns0:t>
        </ns0:is>
      </ns0:c>
      <ns0:c r="F516" s="74" t="inlineStr">
        <ns0:is>
          <ns0:t>Semiconductors &amp; Semiconductor Equipment</ns0:t>
        </ns0:is>
      </ns0:c>
      <ns0:c r="G516" s="74" t="inlineStr">
        <ns0:is>
          <ns0:t>Standard</ns0:t>
        </ns0:is>
      </ns0:c>
      <ns0:c r="H516" s="75" t="n">
        <ns0:v>46259</ns0:v>
      </ns0:c>
      <ns0:c r="I516" s="76" t="n">
        <ns0:v>3128.7</ns0:v>
      </ns0:c>
      <ns0:c r="J516" s="74" t="inlineStr">
        <ns0:is>
          <ns0:t>gross (stated)</ns0:t>
        </ns0:is>
      </ns0:c>
      <ns0:c r="K516" s="95" t="n"/>
      <ns0:c r="L516" s="77" t="n">
        <ns0:v>102.8</ns0:v>
      </ns0:c>
      <ns0:c r="M516" s="77" t="n">
        <ns0:v>100</ns0:v>
      </ns0:c>
      <ns0:c r="N516" s="74" t="inlineStr">
        <ns0:is>
          <ns0:t>N</ns0:t>
        </ns0:is>
      </ns0:c>
      <ns0:c r="O516" s="78" t="n">
        <ns0:v>97.3</ns0:v>
      </ns0:c>
      <ns0:c r="P516" s="84" t="n"/>
      <ns0:c r="Q516" s="79" t="n">
        <ns0:v>51495.2</ns0:v>
      </ns0:c>
      <ns0:c r="R516" s="74" t="inlineStr">
        <ns0:is>
          <ns0:t>derived:price x shares upon listing</ns0:t>
        </ns0:is>
      </ns0:c>
      <ns0:c r="S516" s="80" t="n">
        <ns0:v>927.37</ns0:v>
      </ns0:c>
      <ns0:c r="T516" s="81" t="n">
        <ns0:v>8.43</ns0:v>
      </ns0:c>
      <ns0:c r="U516" s="82" t="n">
        <ns0:v>48.05</ns0:v>
      </ns0:c>
      <ns0:c r="V516" s="83" t="n">
        <ns0:v>101</ns0:v>
      </ns0:c>
      <ns0:c r="W516" s="78" t="n">
        <ns0:v>10</ns0:v>
      </ns0:c>
      <ns0:c r="X516" s="74" t="inlineStr">
        <ns0:is>
          <ns0:t>NA</ns0:t>
        </ns0:is>
      </ns0:c>
      <ns0:c r="Y516" s="79" t="n">
        <ns0:v>1625.36</ns0:v>
      </ns0:c>
      <ns0:c r="Z516" s="79" t="n">
        <ns0:v>16253752</ns0:v>
      </ns0:c>
      <ns0:c r="AA516" s="78" t="n">
        <ns0:v>3.16</ns0:v>
      </ns0:c>
      <ns0:c r="AB516" s="74" t="inlineStr">
        <ns0:is>
          <ns0:t>Arrow Target Investment L.P; China Universal Asset Management (Hong Kong) Company Limited; CloudAlpha Capital Management Limited; Dream ee (Hong Kong) Open-ended Fund Company; Emerald Prime Group Limited; GF Fund Management Co., Ltd; Heading Pioneer 10 Fund LPF; HQ TELECOM SINGAPORE PTE. LTD; Huatai Capital Investment Limited; ICBC Wealth Management Co., Ltd; Perseverance Asset Management International (Singapore) Pte. Ltd</ns0:t>
        </ns0:is>
      </ns0:c>
      <ns0:c r="AC516" s="74" t="inlineStr">
        <ns0:is>
          <ns0:t>arrow;universal;cloudalpha;dream;emerald;gf;heading;hq;huatai;icbc;perseverance</ns0:t>
        </ns0:is>
      </ns0:c>
      <ns0:c r="AD516" s="78" t="n">
        <ns0:v>15</ns0:v>
      </ns0:c>
      <ns0:c r="AE516" s="74" t="inlineStr">
        <ns0:is>
          <ns0:t>lapsed</ns0:t>
        </ns0:is>
      </ns0:c>
      <ns0:c r="AF516" s="74" t="inlineStr">
        <ns0:is>
          <ns0:t>2026-09-19</ns0:t>
        </ns0:is>
      </ns0:c>
      <ns0:c r="AG516" s="74" t="inlineStr">
        <ns0:is>
          <ns0:t>Guotai Junan Securities</ns0:t>
        </ns0:is>
      </ns0:c>
      <ns0:c r="AH516" s="74" t="inlineStr">
        <ns0:is>
          <ns0:t>Guotai Junan</ns0:t>
        </ns0:is>
      </ns0:c>
      <ns0:c r="AI516" s="105" t="n">
        <ns0:v>-0.25</ns0:v>
      </ns0:c>
      <ns0:c r="AJ516" s="87" t="n">
        <ns0:v>0</ns0:v>
      </ns0:c>
      <ns0:c r="AK516" s="87" t="n">
        <ns0:v>0.04</ns0:v>
      </ns0:c>
      <ns0:c r="AL516" s="87" t="n">
        <ns0:v>0</ns0:v>
      </ns0:c>
      <ns0:c r="AM516" s="87" t="n">
        <ns0:v>0</ns0:v>
      </ns0:c>
      <ns0:c r="AN516" s="89" t="n">
        <ns0:v>1.86</ns0:v>
      </ns0:c>
      <ns0:c r="AO516" s="78" t="n">
        <ns0:v>3.3</ns0:v>
      </ns0:c>
      <ns0:c r="AP516" s="87" t="n">
        <ns0:v>0</ns0:v>
      </ns0:c>
      <ns0:c r="AQ516" s="87" t="n">
        <ns0:v>1.5</ns0:v>
      </ns0:c>
      <ns0:c r="AR516" s="103" t="n"/>
      <ns0:c r="AS516" s="87" t="n">
        <ns0:v>0</ns0:v>
      </ns0:c>
      <ns0:c r="AT516" s="87" t="n">
        <ns0:v>1.5</ns0:v>
      </ns0:c>
      <ns0:c r="AU516" s="103" t="n"/>
      <ns0:c r="AV516" s="87" t="n">
        <ns0:v>0.62</ns0:v>
      </ns0:c>
      <ns0:c r="AW516" s="87" t="n">
        <ns0:v>6.3</ns0:v>
      </ns0:c>
      <ns0:c r="AX516" s="103" t="n"/>
      <ns0:c r="AY516" s="87" t="n">
        <ns0:v>6.35</ns0:v>
      </ns0:c>
      <ns0:c r="AZ516" s="87" t="n">
        <ns0:v>-4.8</ns0:v>
      </ns0:c>
      <ns0:c r="BA516" s="87" t="n">
        <ns0:v>-4.85</ns0:v>
      </ns0:c>
      <ns0:c r="BB516" s="74" t="inlineStr">
        <ns0:is>
          <ns0:t>HSTECH (Hang Seng TECH ETF)</ns0:t>
        </ns0:is>
      </ns0:c>
      <ns0:c r="BC516" s="87" t="n">
        <ns0:v>-11</ns0:v>
      </ns0:c>
      <ns0:c r="BD516" s="75" t="n">
        <ns0:v>46297</ns0:v>
      </ns0:c>
      <ns0:c r="BE516" s="76" t="n">
        <ns0:v>5215</ns0:v>
      </ns0:c>
      <ns0:c r="BF516" s="79" t="n">
        <ns0:v>414</ns0:v>
      </ns0:c>
      <ns0:c r="BG516" s="74" t="inlineStr">
        <ns0:is>
          <ns0:t>Y</ns0:t>
        </ns0:is>
      </ns0:c>
      <ns0:c r="BH516" s="89" t="n">
        <ns0:v>124.4</ns0:v>
      </ns0:c>
      <ns0:c r="BI516" s="88" t="n"/>
      <ns0:c r="BJ516" s="88" t="n"/>
      <ns0:c r="BK516" s="89" t="n">
        <ns0:v>9.9</ns0:v>
      </ns0:c>
      <ns0:c r="BL516" s="90">
        <ns0:f>IFERROR(IF('BBG Verify'!S516="","Awaiting Bloomberg",'BBG Verify'!S516),"Awaiting Bloomberg")</ns0:f>
        <ns0:v/>
      </ns0:c>
      <ns0:c r="BM516" s="91" t="inlineStr">
        <ns0:is>
          <ns0:t>Y</ns0:t>
        </ns0:is>
      </ns0:c>
      <ns0:c r="BN516" s="74" t="inlineStr">
        <ns0:is>
          <ns0:t>300223.SZ</ns0:t>
        </ns0:is>
      </ns0:c>
      <ns0:c r="BO516" s="87" t="n">
        <ns0:v>55.89</ns0:v>
      </ns0:c>
      <ns0:c r="BP516" s="77" t="n">
        <ns0:v>155.8899</ns0:v>
      </ns0:c>
      <ns0:c r="BQ516" s="101" t="n">
        <ns0:v>0.6981000000000001</ns0:v>
      </ns0:c>
      <ns0:c r="BR516" s="79" t="n">
        <ns0:v>77863.3</ns0:v>
      </ns0:c>
      <ns0:c r="BS516" s="90">
        <ns0:f>IFERROR(IF('BBG Verify'!Q516="","Awaiting Bloomberg",'BBG Verify'!Q516),"Awaiting Bloomberg")</ns0:f>
        <ns0:v/>
      </ns0:c>
      <ns0:c r="BT516" s="90">
        <ns0:f>IFERROR(IF('BBG Verify'!R516="","Awaiting Bloomberg",'BBG Verify'!R516),"Awaiting Bloomberg")</ns0:f>
        <ns0:v/>
      </ns0:c>
      <ns0:c r="BU516" s="91" t="inlineStr">
        <ns0:is>
          <ns0:t>Guotai Junan Capital Limited</ns0:t>
        </ns0:is>
      </ns0:c>
      <ns0:c r="BV516" s="74" t="inlineStr">
        <ns0:is>
          <ns0:t>Guotai Junan Capital Limited</ns0:t>
        </ns0:is>
      </ns0:c>
      <ns0:c r="BW516" s="74" t="inlineStr">
        <ns0:is>
          <ns0:t>Guotai Junan Securities (Hong Kong) Limited; Huatai Financial Holdings (Hong Kong) Limited; Ping An Securities (Hong Kong) Company Limited</ns0:t>
        </ns0:is>
      </ns0:c>
      <ns0:c r="BX516" s="74" t="inlineStr">
        <ns0:is>
          <ns0:t>Futu Securities International (Hong Kong) Limited; Guotai Junan Securities (Hong Kong) Limited; Huatai Financial Holdings (Hong Kong) Limited; Ping An Securities (Hong Kong) Company Limited; Tiger Brokers (HK) Global Limited; Zheshang International Financial Holdings Co., Limited</ns0:t>
        </ns0:is>
      </ns0:c>
      <ns0:c r="BY516" s="93">
        <ns0:f>HYPERLINK("https://www1.hkexnews.hk/listedco/listconews/sehk/2026/0817/2026081700003.pdf","prospectus")</ns0:f>
        <ns0:v/>
      </ns0:c>
      <ns0:c r="BZ516" s="93">
        <ns0:f>HYPERLINK("https://www1.hkexnews.hk/listedco/listconews/sehk/2026/0824/2026082401907.pdf","allotment")</ns0:f>
        <ns0:v/>
      </ns0:c>
      <ns0:c r="CA516" s="93">
        <ns0:f>HYPERLINK("https://www1.hkexnews.hk/listedco/listconews/sehk/2026/0920/2026092000001.pdf","stabilisation")</ns0:f>
        <ns0:v/>
      </ns0:c>
      <ns0:c r="CB516" s="94" t="n"/>
      <ns0:c r="CC516" s="74" t="inlineStr">
        <ns0:is>
          <ns0:t>range low: maximum offer price only, no floor published; A/H: H listed 2026-08-25; fabless CPU/analog+memory (auto); 3m: pending: 27 traded sessions after debut; 63 needed; alpha/index: 3m window not elapsed</ns0:t>
        </ns0:is>
      </ns0:c>
    </ns0:row>
    <ns0:row r="517" ht="22" customHeight="1">
      <ns0:c r="A517" s="73" t="inlineStr">
        <ns0:is>
          <ns0:t>0625</ns0:t>
        </ns0:is>
      </ns0:c>
      <ns0:c r="B517" s="74" t="inlineStr">
        <ns0:is>
          <ns0:t>SHEIN-W</ns0:t>
        </ns0:is>
      </ns0:c>
      <ns0:c r="C517" s="74" t="inlineStr">
        <ns0:is>
          <ns0:t>希音</ns0:t>
        </ns0:is>
      </ns0:c>
      <ns0:c r="D517" s="74" t="inlineStr">
        <ns0:is>
          <ns0:t>Consumer</ns0:t>
        </ns0:is>
      </ns0:c>
      <ns0:c r="E517" s="74" t="inlineStr">
        <ns0:is>
          <ns0:t>Apparel / luxury</ns0:t>
        </ns0:is>
      </ns0:c>
      <ns0:c r="F517" s="74" t="inlineStr">
        <ns0:is>
          <ns0:t>Apparel, Accessories &amp; Luxury Goods Retail</ns0:t>
        </ns0:is>
      </ns0:c>
      <ns0:c r="G517" s="74" t="inlineStr">
        <ns0:is>
          <ns0:t>WVR</ns0:t>
        </ns0:is>
      </ns0:c>
      <ns0:c r="H517" s="75" t="n">
        <ns0:v>46266</ns0:v>
      </ns0:c>
      <ns0:c r="I517" s="76" t="n">
        <ns0:v>13596.4</ns0:v>
      </ns0:c>
      <ns0:c r="J517" s="74" t="inlineStr">
        <ns0:is>
          <ns0:t>gross (stated)</ns0:t>
        </ns0:is>
      </ns0:c>
      <ns0:c r="K517" s="95" t="n"/>
      <ns0:c r="L517" s="77" t="n">
        <ns0:v>49.5</ns0:v>
      </ns0:c>
      <ns0:c r="M517" s="77" t="n">
        <ns0:v>48.56</ns0:v>
      </ns0:c>
      <ns0:c r="N517" s="74" t="inlineStr">
        <ns0:is>
          <ns0:t>N</ns0:t>
        </ns0:is>
      </ns0:c>
      <ns0:c r="O517" s="78" t="n">
        <ns0:v>98.09999999999999</ns0:v>
      </ns0:c>
      <ns0:c r="P517" s="84" t="n"/>
      <ns0:c r="Q517" s="79" t="n">
        <ns0:v>206195.6</ns0:v>
      </ns0:c>
      <ns0:c r="R517" s="74" t="inlineStr">
        <ns0:is>
          <ns0:t>derived:price x shares upon listing</ns0:t>
        </ns0:is>
      </ns0:c>
      <ns0:c r="S517" s="80" t="n">
        <ns0:v>5.63</ns0:v>
      </ns0:c>
      <ns0:c r="T517" s="81" t="n">
        <ns0:v>2.59</ns0:v>
      </ns0:c>
      <ns0:c r="U517" s="82" t="n">
        <ns0:v>22.1</ns0:v>
      </ns0:c>
      <ns0:c r="V517" s="83" t="n">
        <ns0:v>106</ns0:v>
      </ns0:c>
      <ns0:c r="W517" s="78" t="n">
        <ns0:v>10</ns0:v>
      </ns0:c>
      <ns0:c r="X517" s="74" t="inlineStr">
        <ns0:is>
          <ns0:t>NA</ns0:t>
        </ns0:is>
      </ns0:c>
      <ns0:c r="Y517" s="79" t="n">
        <ns0:v>10591.6</ns0:v>
      </ns0:c>
      <ns0:c r="Z517" s="79" t="n">
        <ns0:v>218114158</ns0:v>
      </ns0:c>
      <ns0:c r="AA517" s="78" t="n">
        <ns0:v>5.14</ns0:v>
      </ns0:c>
      <ns0:c r="AB517" s="74" t="inlineStr">
        <ns0:is>
          <ns0:t>Exclusive Depot Limited; Internet Fund IIIA Pte. Ltd; General Atlantic Singapore EDL Pte. Ltd; Huang River Investment Limited; Greenwoods Asset Management Hong Kong Limited; Taikang Life Insurance Co., Ltd; UBS Asset Management (Singapore) Ltd</ns0:t>
        </ns0:is>
      </ns0:c>
      <ns0:c r="AC517" s="74" t="inlineStr">
        <ns0:is>
          <ns0:t>exclusive;internet;general;huang-river;greenwoods;taikang;ubs</ns0:t>
        </ns0:is>
      </ns0:c>
      <ns0:c r="AD517" s="78" t="n">
        <ns0:v>15</ns0:v>
      </ns0:c>
      <ns0:c r="AE517" s="74" t="inlineStr">
        <ns0:is>
          <ns0:t>lapsed</ns0:t>
        </ns0:is>
      </ns0:c>
      <ns0:c r="AF517" s="74" t="inlineStr">
        <ns0:is>
          <ns0:t>2026-09-26</ns0:t>
        </ns0:is>
      </ns0:c>
      <ns0:c r="AG517" s="74" t="inlineStr">
        <ns0:is>
          <ns0:t>Goldman Sachs</ns0:t>
        </ns0:is>
      </ns0:c>
      <ns0:c r="AH517" s="74" t="inlineStr">
        <ns0:is>
          <ns0:t>Goldman Sachs</ns0:t>
        </ns0:is>
      </ns0:c>
      <ns0:c r="AI517" s="86" t="n">
        <ns0:v>-13.1</ns0:v>
      </ns0:c>
      <ns0:c r="AJ517" s="87" t="n">
        <ns0:v>-0.12</ns0:v>
      </ns0:c>
      <ns0:c r="AK517" s="87" t="n">
        <ns0:v>-1.35</ns0:v>
      </ns0:c>
      <ns0:c r="AL517" s="87" t="n">
        <ns0:v>0</ns0:v>
      </ns0:c>
      <ns0:c r="AM517" s="87" t="n">
        <ns0:v>-0.12</ns0:v>
      </ns0:c>
      <ns0:c r="AN517" s="89" t="n">
        <ns0:v>1.71</ns0:v>
      </ns0:c>
      <ns0:c r="AO517" s="78" t="n">
        <ns0:v>9.970000000000001</ns0:v>
      </ns0:c>
      <ns0:c r="AP517" s="87" t="n">
        <ns0:v>-16.68</ns0:v>
      </ns0:c>
      <ns0:c r="AQ517" s="87" t="n">
        <ns0:v>-36.49</ns0:v>
      </ns0:c>
      <ns0:c r="AR517" s="103" t="n"/>
      <ns0:c r="AS517" s="87" t="n">
        <ns0:v>-16.58</ns0:v>
      </ns0:c>
      <ns0:c r="AT517" s="87" t="n">
        <ns0:v>-36.41</ns0:v>
      </ns0:c>
      <ns0:c r="AU517" s="103" t="n"/>
      <ns0:c r="AV517" s="87" t="n">
        <ns0:v>-14.87</ns0:v>
      </ns0:c>
      <ns0:c r="AW517" s="87" t="n">
        <ns0:v>-31.24</ns0:v>
      </ns0:c>
      <ns0:c r="AX517" s="103" t="n"/>
      <ns0:c r="AY517" s="87" t="n">
        <ns0:v>-32.45</ns0:v>
      </ns0:c>
      <ns0:c r="AZ517" s="87" t="n">
        <ns0:v>-5.25</ns0:v>
      </ns0:c>
      <ns0:c r="BA517" s="87" t="n">
        <ns0:v>-3.96</ns0:v>
      </ns0:c>
      <ns0:c r="BB517" s="74" t="inlineStr">
        <ns0:is>
          <ns0:t>Hang Seng Commerce &amp; Industry sub-index</ns0:t>
        </ns0:is>
      </ns0:c>
      <ns0:c r="BC517" s="87" t="n">
        <ns0:v>-36.12</ns0:v>
      </ns0:c>
      <ns0:c r="BD517" s="75" t="n">
        <ns0:v>46297</ns0:v>
      </ns0:c>
      <ns0:c r="BE517" s="76" t="n">
        <ns0:v>326406.6</ns0:v>
      </ns0:c>
      <ns0:c r="BF517" s="79" t="n">
        <ns0:v>16099.2</ns0:v>
      </ns0:c>
      <ns0:c r="BG517" s="74" t="inlineStr">
        <ns0:is>
          <ns0:t>Y</ns0:t>
        </ns0:is>
      </ns0:c>
      <ns0:c r="BH517" s="89" t="n">
        <ns0:v>12.8</ns0:v>
      </ns0:c>
      <ns0:c r="BI517" s="88" t="n"/>
      <ns0:c r="BJ517" s="88" t="n"/>
      <ns0:c r="BK517" s="89" t="n">
        <ns0:v>0.6</ns0:v>
      </ns0:c>
      <ns0:c r="BL517" s="90">
        <ns0:f>IFERROR(IF('BBG Verify'!S517="","Awaiting Bloomberg",'BBG Verify'!S517),"Awaiting Bloomberg")</ns0:f>
        <ns0:v/>
      </ns0:c>
      <ns0:c r="BM517" s="91" t="inlineStr">
        <ns0:is>
          <ns0:t>N</ns0:t>
        </ns0:is>
      </ns0:c>
      <ns0:c r="BN517" s="92">
        <ns0:f>IFERROR(IF('BBG Verify'!K517="","Awaiting Bloomberg",'BBG Verify'!K517),"Awaiting Bloomberg")</ns0:f>
        <ns0:v/>
      </ns0:c>
      <ns0:c r="BO517" s="74" t="inlineStr">
        <ns0:is>
          <ns0:t>N/A</ns0:t>
        </ns0:is>
      </ns0:c>
      <ns0:c r="BP517" s="74" t="inlineStr">
        <ns0:is>
          <ns0:t>N/A</ns0:t>
        </ns0:is>
      </ns0:c>
      <ns0:c r="BQ517" s="74" t="inlineStr">
        <ns0:is>
          <ns0:t>N/A</ns0:t>
        </ns0:is>
      </ns0:c>
      <ns0:c r="BR517" s="74" t="inlineStr">
        <ns0:is>
          <ns0:t>N/A</ns0:t>
        </ns0:is>
      </ns0:c>
      <ns0:c r="BS517" s="74" t="inlineStr">
        <ns0:is>
          <ns0:t>N/A</ns0:t>
        </ns0:is>
      </ns0:c>
      <ns0:c r="BT517" s="74" t="inlineStr">
        <ns0:is>
          <ns0:t>N/A</ns0:t>
        </ns0:is>
      </ns0:c>
      <ns0:c r="BU517" s="91" t="inlineStr">
        <ns0:is>
          <ns0:t>Goldman Sachs (Asia) L.L.C; Morgan Stanley Asia Limited; J.P. Morgan Securities (Far East) Limited</ns0:t>
        </ns0:is>
      </ns0:c>
      <ns0:c r="BV517" s="74" t="inlineStr">
        <ns0:is>
          <ns0:t>Morgan Stanley Asia Limited; J.P. Morgan Securities (Far East) Limited; Goldman Sachs (Asia) L.L.C.</ns0:t>
        </ns0:is>
      </ns0:c>
      <ns0:c r="BW517" s="74" t="inlineStr">
        <ns0:is>
          <ns0:t>UBS AG Hong Kong Branch; Merrill Lynch (Asia Pacific) Limited; Cantabria Spain East West Bank, Hong Kong Branch</ns0:t>
        </ns0:is>
      </ns0:c>
      <ns0:c r="BX517" s="74" t="inlineStr">
        <ns0:is>
          <ns0:t>Banco Santander; S.A.; East West Bank, Hong Kong Branch; Goldman Sachs (Asia) L.L.C.; Haitong International Securities Company Limited; The Hongkong and Shanghai Banking Corporation Limited; J.P. Morgan Securities (Asia Pacific) Limited; Merrill Lynch (Asia Pacific) Limited; Morgan Stanley Asia Limited; UBS AG Hong Kong Branch</ns0:t>
        </ns0:is>
      </ns0:c>
      <ns0:c r="BY517" s="93">
        <ns0:f>HYPERLINK("https://www1.hkexnews.hk/listedco/listconews/sehk/2026/0824/2026082400019.pdf","prospectus")</ns0:f>
        <ns0:v/>
      </ns0:c>
      <ns0:c r="BZ517" s="93">
        <ns0:f>HYPERLINK("https://www1.hkexnews.hk/listedco/listconews/sehk/2026/0831/2026083102409.pdf","allotment")</ns0:f>
        <ns0:v/>
      </ns0:c>
      <ns0:c r="CA517" s="93">
        <ns0:f>HYPERLINK("https://www1.hkexnews.hk/listedco/listconews/sehk/2026/0927/2026092700013.pdf","stabilisation")</ns0:f>
        <ns0:v/>
      </ns0:c>
      <ns0:c r="CB517" s="94" t="n"/>
      <ns0:c r="CC517" s="74" t="inlineStr">
        <ns0:is>
          <ns0:t>range low: maximum offer price only, no floor published; 3m: pending: 22 traded sessions after debut; 63 needed; alpha/index: 3m window not elapsed</ns0:t>
        </ns0:is>
      </ns0:c>
    </ns0:row>
    <ns0:row r="518" ht="22" customHeight="1">
      <ns0:c r="A518" s="73" t="inlineStr">
        <ns0:is>
          <ns0:t>9615</ns0:t>
        </ns0:is>
      </ns0:c>
      <ns0:c r="B518" s="74" t="inlineStr">
        <ns0:is>
          <ns0:t>MECH-MIND ROBOT</ns0:t>
        </ns0:is>
      </ns0:c>
      <ns0:c r="C518" s="74" t="inlineStr">
        <ns0:is>
          <ns0:t>梅卡曼德機器人</ns0:t>
        </ns0:is>
      </ns0:c>
      <ns0:c r="D518" s="74" t="inlineStr">
        <ns0:is>
          <ns0:t>Technology</ns0:t>
        </ns0:is>
      </ns0:c>
      <ns0:c r="E518" s="74" t="inlineStr">
        <ns0:is>
          <ns0:t>Robotics &amp; autonomous driving</ns0:t>
        </ns0:is>
      </ns0:c>
      <ns0:c r="F518" s="74" t="inlineStr">
        <ns0:is>
          <ns0:t>Advanced hardware and software</ns0:t>
        </ns0:is>
      </ns0:c>
      <ns0:c r="G518" s="74" t="inlineStr">
        <ns0:is>
          <ns0:t>18C</ns0:t>
        </ns0:is>
      </ns0:c>
      <ns0:c r="H518" s="75" t="n">
        <ns0:v>46266</ns0:v>
      </ns0:c>
      <ns0:c r="I518" s="76" t="n">
        <ns0:v>2353.4</ns0:v>
      </ns0:c>
      <ns0:c r="J518" s="74" t="inlineStr">
        <ns0:is>
          <ns0:t>gross (stated)</ns0:t>
        </ns0:is>
      </ns0:c>
      <ns0:c r="K518" s="77" t="n">
        <ns0:v>95.3</ns0:v>
      </ns0:c>
      <ns0:c r="L518" s="77" t="n">
        <ns0:v>101.7</ns0:v>
      </ns0:c>
      <ns0:c r="M518" s="77" t="n">
        <ns0:v>101.7</ns0:v>
      </ns0:c>
      <ns0:c r="N518" s="74" t="inlineStr">
        <ns0:is>
          <ns0:t>Y</ns0:t>
        </ns0:is>
      </ns0:c>
      <ns0:c r="O518" s="78" t="n">
        <ns0:v>100</ns0:v>
      </ns0:c>
      <ns0:c r="P518" s="78" t="n">
        <ns0:v>100</ns0:v>
      </ns0:c>
      <ns0:c r="Q518" s="79" t="n">
        <ns0:v>12713.6</ns0:v>
      </ns0:c>
      <ns0:c r="R518" s="74" t="inlineStr">
        <ns0:is>
          <ns0:t>derived:price x shares upon listing</ns0:t>
        </ns0:is>
      </ns0:c>
      <ns0:c r="S518" s="80" t="n">
        <ns0:v>3835.36</ns0:v>
      </ns0:c>
      <ns0:c r="T518" s="81" t="n">
        <ns0:v>13.39</ns0:v>
      </ns0:c>
      <ns0:c r="U518" s="82" t="n">
        <ns0:v>62.02</ns0:v>
      </ns0:c>
      <ns0:c r="V518" s="83" t="n">
        <ns0:v>130</ns0:v>
      </ns0:c>
      <ns0:c r="W518" s="78" t="n">
        <ns0:v>20</ns0:v>
      </ns0:c>
      <ns0:c r="X518" s="74" t="inlineStr">
        <ns0:is>
          <ns0:t>YES</ns0:t>
        </ns0:is>
      </ns0:c>
      <ns0:c r="Y518" s="79" t="n">
        <ns0:v>893.8200000000001</ns0:v>
      </ns0:c>
      <ns0:c r="Z518" s="79" t="n">
        <ns0:v>8788796</ns0:v>
      </ns0:c>
      <ns0:c r="AA518" s="78" t="n">
        <ns0:v>7.03</ns0:v>
      </ns0:c>
      <ns0:c r="AB518" s="74" t="inlineStr">
        <ns0:is>
          <ns0:t>Baillie Gifford; Taikang Life; Invus; Jane Street; Ghisallo; Ruihua; NGS Super Fund; E Fund; Golden Link</ns0:t>
        </ns0:is>
      </ns0:c>
      <ns0:c r="AC518" s="74" t="inlineStr">
        <ns0:is>
          <ns0:t>baillie;taikang;invus;jane;ghisallo;ruihua;ngs;fund;golden-link</ns0:t>
        </ns0:is>
      </ns0:c>
      <ns0:c r="AD518" s="78" t="n">
        <ns0:v>15</ns0:v>
      </ns0:c>
      <ns0:c r="AE518" s="74" t="inlineStr">
        <ns0:is>
          <ns0:t>lapsed</ns0:t>
        </ns0:is>
      </ns0:c>
      <ns0:c r="AF518" s="74" t="inlineStr">
        <ns0:is>
          <ns0:t>2026-09-26</ns0:t>
        </ns0:is>
      </ns0:c>
      <ns0:c r="AG518" s="74" t="inlineStr">
        <ns0:is>
          <ns0:t>CLSA Limited</ns0:t>
        </ns0:is>
      </ns0:c>
      <ns0:c r="AH518" s="74" t="inlineStr">
        <ns0:is>
          <ns0:t>CLSA</ns0:t>
        </ns0:is>
      </ns0:c>
      <ns0:c r="AI518" s="86" t="n">
        <ns0:v>-1.08</ns0:v>
      </ns0:c>
      <ns0:c r="AJ518" s="87" t="n">
        <ns0:v>-1.87</ns0:v>
      </ns0:c>
      <ns0:c r="AK518" s="87" t="n">
        <ns0:v>-1.41</ns0:v>
      </ns0:c>
      <ns0:c r="AL518" s="87" t="n">
        <ns0:v>0</ns0:v>
      </ns0:c>
      <ns0:c r="AM518" s="87" t="n">
        <ns0:v>-1.87</ns0:v>
      </ns0:c>
      <ns0:c r="AN518" s="89" t="n">
        <ns0:v>1.24</ns0:v>
      </ns0:c>
      <ns0:c r="AO518" s="78" t="n">
        <ns0:v>4.92</ns0:v>
      </ns0:c>
      <ns0:c r="AP518" s="87" t="n">
        <ns0:v>-20.99</ns0:v>
      </ns0:c>
      <ns0:c r="AQ518" s="87" t="n">
        <ns0:v>-20.85</ns0:v>
      </ns0:c>
      <ns0:c r="AR518" s="103" t="n"/>
      <ns0:c r="AS518" s="87" t="n">
        <ns0:v>-19.48</ns0:v>
      </ns0:c>
      <ns0:c r="AT518" s="87" t="n">
        <ns0:v>-19.34</ns0:v>
      </ns0:c>
      <ns0:c r="AU518" s="103" t="n"/>
      <ns0:c r="AV518" s="87" t="n">
        <ns0:v>-17.46</ns0:v>
      </ns0:c>
      <ns0:c r="AW518" s="87" t="n">
        <ns0:v>-12.82</ns0:v>
      </ns0:c>
      <ns0:c r="AX518" s="103" t="n"/>
      <ns0:c r="AY518" s="87" t="n">
        <ns0:v>-12.63</ns0:v>
      </ns0:c>
      <ns0:c r="AZ518" s="87" t="n">
        <ns0:v>-8.029999999999999</ns0:v>
      </ns0:c>
      <ns0:c r="BA518" s="87" t="n">
        <ns0:v>-6.71</ns0:v>
      </ns0:c>
      <ns0:c r="BB518" s="74" t="inlineStr">
        <ns0:is>
          <ns0:t>HSTECH (Hang Seng TECH ETF)</ns0:t>
        </ns0:is>
      </ns0:c>
      <ns0:c r="BC518" s="87" t="n">
        <ns0:v>-22.32</ns0:v>
      </ns0:c>
      <ns0:c r="BD518" s="75" t="n">
        <ns0:v>46297</ns0:v>
      </ns0:c>
      <ns0:c r="BE518" s="76" t="n">
        <ns0:v>427.6</ns0:v>
      </ns0:c>
      <ns0:c r="BF518" s="79" t="n">
        <ns0:v>-396.2</ns0:v>
      </ns0:c>
      <ns0:c r="BG518" s="74" t="inlineStr">
        <ns0:is>
          <ns0:t>N</ns0:t>
        </ns0:is>
      </ns0:c>
      <ns0:c r="BH518" s="74" t="inlineStr">
        <ns0:is>
          <ns0:t>n/m</ns0:t>
        </ns0:is>
      </ns0:c>
      <ns0:c r="BI518" s="88" t="n"/>
      <ns0:c r="BJ518" s="88" t="n"/>
      <ns0:c r="BK518" s="89" t="n">
        <ns0:v>29.7</ns0:v>
      </ns0:c>
      <ns0:c r="BL518" s="90">
        <ns0:f>IFERROR(IF('BBG Verify'!S518="","Awaiting Bloomberg",'BBG Verify'!S518),"Awaiting Bloomberg")</ns0:f>
        <ns0:v/>
      </ns0:c>
      <ns0:c r="BM518" s="91" t="inlineStr">
        <ns0:is>
          <ns0:t>N</ns0:t>
        </ns0:is>
      </ns0:c>
      <ns0:c r="BN518" s="92">
        <ns0:f>IFERROR(IF('BBG Verify'!K518="","Awaiting Bloomberg",'BBG Verify'!K518),"Awaiting Bloomberg")</ns0:f>
        <ns0:v/>
      </ns0:c>
      <ns0:c r="BO518" s="74" t="inlineStr">
        <ns0:is>
          <ns0:t>N/A</ns0:t>
        </ns0:is>
      </ns0:c>
      <ns0:c r="BP518" s="74" t="inlineStr">
        <ns0:is>
          <ns0:t>N/A</ns0:t>
        </ns0:is>
      </ns0:c>
      <ns0:c r="BQ518" s="74" t="inlineStr">
        <ns0:is>
          <ns0:t>N/A</ns0:t>
        </ns0:is>
      </ns0:c>
      <ns0:c r="BR518" s="74" t="inlineStr">
        <ns0:is>
          <ns0:t>N/A</ns0:t>
        </ns0:is>
      </ns0:c>
      <ns0:c r="BS518" s="74" t="inlineStr">
        <ns0:is>
          <ns0:t>N/A</ns0:t>
        </ns0:is>
      </ns0:c>
      <ns0:c r="BT518" s="74" t="inlineStr">
        <ns0:is>
          <ns0:t>N/A</ns0:t>
        </ns0:is>
      </ns0:c>
      <ns0:c r="BU518" s="91" t="inlineStr">
        <ns0:is>
          <ns0:t>China Securities (International) Corporate Finance Company Limited; CITIC Securities (Hong Kong) Limited</ns0:t>
        </ns0:is>
      </ns0:c>
      <ns0:c r="BV518" s="74" t="inlineStr">
        <ns0:is>
          <ns0:t>CITIC Securities (Hong Kong) Limited; China Securities (International) Corporate Finance Company Limited</ns0:t>
        </ns0:is>
      </ns0:c>
      <ns0:c r="BW518" s="74" t="inlineStr">
        <ns0:is>
          <ns0:t>Tiger Brokers (HK) Global Limited</ns0:t>
        </ns0:is>
      </ns0:c>
      <ns0:c r="BX518" s="74" t="inlineStr">
        <ns0:is>
          <ns0:t>CLSA Limited; China Securities (International) Corporate Finance Company Limited; Daiwa Capital Markets Hong Kong Limited; Futu Securities International (Hong Kong) Limited; Macquarie Capital Limited; Tiger Brokers (HK) Global Limited</ns0:t>
        </ns0:is>
      </ns0:c>
      <ns0:c r="BY518" s="93">
        <ns0:f>HYPERLINK("https://www1.hkexnews.hk/listedco/listconews/sehk/2026/0824/2026082400017.pdf","prospectus")</ns0:f>
        <ns0:v/>
      </ns0:c>
      <ns0:c r="BZ518" s="93">
        <ns0:f>HYPERLINK("https://www1.hkexnews.hk/listedco/listconews/sehk/2026/0831/2026083102433.pdf","allotment")</ns0:f>
        <ns0:v/>
      </ns0:c>
      <ns0:c r="CA518" s="93">
        <ns0:f>HYPERLINK("https://www1.hkexnews.hk/listedco/listconews/sehk/2026/0927/2026092700001.pdf","stabilisation")</ns0:f>
        <ns0:v/>
      </ns0:c>
      <ns0:c r="CB518" s="94" t="n"/>
      <ns0:c r="CC518" s="74" t="inlineStr">
        <ns0:is>
          <ns0:t>P/E: loss-making at IPO, use P/S; 3m: pending: 22 traded sessions after debut; 63 needed; alpha/index: 3m window not elapsed</ns0:t>
        </ns0:is>
      </ns0:c>
    </ns0:row>
    <ns0:row r="519" ht="22" customHeight="1">
      <ns0:c r="A519" s="73" t="inlineStr">
        <ns0:is>
          <ns0:t>2041</ns0:t>
        </ns0:is>
      </ns0:c>
      <ns0:c r="B519" s="74" t="inlineStr">
        <ns0:is>
          <ns0:t>MEDCAPTAIN</ns0:t>
        </ns0:is>
      </ns0:c>
      <ns0:c r="C519" s="74" t="inlineStr">
        <ns0:is>
          <ns0:t>麥科田</ns0:t>
        </ns0:is>
      </ns0:c>
      <ns0:c r="D519" s="74" t="inlineStr">
        <ns0:is>
          <ns0:t>Healthcare</ns0:t>
        </ns0:is>
      </ns0:c>
      <ns0:c r="E519" s="74" t="inlineStr">
        <ns0:is>
          <ns0:t>Medical devices</ns0:t>
        </ns0:is>
      </ns0:c>
      <ns0:c r="F519" s="74" t="inlineStr">
        <ns0:is>
          <ns0:t>Health Care Equipment</ns0:t>
        </ns0:is>
      </ns0:c>
      <ns0:c r="G519" s="74" t="inlineStr">
        <ns0:is>
          <ns0:t>Standard</ns0:t>
        </ns0:is>
      </ns0:c>
      <ns0:c r="H519" s="75" t="n">
        <ns0:v>46272</ns0:v>
      </ns0:c>
      <ns0:c r="I519" s="76" t="n">
        <ns0:v>600</ns0:v>
      </ns0:c>
      <ns0:c r="J519" s="74" t="inlineStr">
        <ns0:is>
          <ns0:t>gross (stated)</ns0:t>
        </ns0:is>
      </ns0:c>
      <ns0:c r="K519" s="95" t="n"/>
      <ns0:c r="L519" s="77" t="n">
        <ns0:v>15.42</ns0:v>
      </ns0:c>
      <ns0:c r="M519" s="77" t="n">
        <ns0:v>15.42</ns0:v>
      </ns0:c>
      <ns0:c r="N519" s="74" t="inlineStr">
        <ns0:is>
          <ns0:t>Y</ns0:t>
        </ns0:is>
      </ns0:c>
      <ns0:c r="O519" s="78" t="n">
        <ns0:v>100</ns0:v>
      </ns0:c>
      <ns0:c r="P519" s="84" t="n"/>
      <ns0:c r="Q519" s="79" t="n">
        <ns0:v>8305.6</ns0:v>
      </ns0:c>
      <ns0:c r="R519" s="74" t="inlineStr">
        <ns0:is>
          <ns0:t>derived:price x shares upon listing</ns0:t>
        </ns0:is>
      </ns0:c>
      <ns0:c r="S519" s="80" t="n">
        <ns0:v>436.37</ns0:v>
      </ns0:c>
      <ns0:c r="T519" s="81" t="n">
        <ns0:v>2.35</ns0:v>
      </ns0:c>
      <ns0:c r="U519" s="82" t="n">
        <ns0:v>0</ns0:v>
      </ns0:c>
      <ns0:c r="V519" s="83" t="n">
        <ns0:v>95</ns0:v>
      </ns0:c>
      <ns0:c r="W519" s="78" t="n">
        <ns0:v>10</ns0:v>
      </ns0:c>
      <ns0:c r="X519" s="74" t="inlineStr">
        <ns0:is>
          <ns0:t>NA</ns0:t>
        </ns0:is>
      </ns0:c>
      <ns0:c r="Y519" s="79" t="n">
        <ns0:v>600</ns0:v>
      </ns0:c>
      <ns0:c r="Z519" s="79" t="n">
        <ns0:v>38910600</ns0:v>
      </ns0:c>
      <ns0:c r="AA519" s="78" t="n">
        <ns0:v>7.22</ns0:v>
      </ns0:c>
      <ns0:c r="AB519" s="74" t="inlineStr">
        <ns0:is>
          <ns0:t>none — no cornerstone tranche</ns0:t>
        </ns0:is>
      </ns0:c>
      <ns0:c r="AC519" s="74" t="inlineStr">
        <ns0:is>
          <ns0:t>none</ns0:t>
        </ns0:is>
      </ns0:c>
      <ns0:c r="AD519" s="84" t="n"/>
      <ns0:c r="AE519" s="85" t="n"/>
      <ns0:c r="AF519" s="85" t="n"/>
      <ns0:c r="AG519" s="85" t="n"/>
      <ns0:c r="AH519" s="85" t="n"/>
      <ns0:c r="AI519" s="86" t="n">
        <ns0:v>-22.83</ns0:v>
      </ns0:c>
      <ns0:c r="AJ519" s="87" t="n">
        <ns0:v>-42.93</ns0:v>
      </ns0:c>
      <ns0:c r="AK519" s="87" t="n">
        <ns0:v>-1.43</ns0:v>
      </ns0:c>
      <ns0:c r="AL519" s="87" t="n">
        <ns0:v>-35.15</ns0:v>
      </ns0:c>
      <ns0:c r="AM519" s="87" t="n">
        <ns0:v>-12</ns0:v>
      </ns0:c>
      <ns0:c r="AN519" s="89" t="n">
        <ns0:v>3.12</ns0:v>
      </ns0:c>
      <ns0:c r="AO519" s="78" t="n">
        <ns0:v>24.9</ns0:v>
      </ns0:c>
      <ns0:c r="AP519" s="87" t="n">
        <ns0:v>-46.47</ns0:v>
      </ns0:c>
      <ns0:c r="AQ519" s="103" t="n"/>
      <ns0:c r="AR519" s="103" t="n"/>
      <ns0:c r="AS519" s="87" t="n">
        <ns0:v>-6.2</ns0:v>
      </ns0:c>
      <ns0:c r="AT519" s="103" t="n"/>
      <ns0:c r="AU519" s="103" t="n"/>
      <ns0:c r="AV519" s="87" t="n">
        <ns0:v>-44.51</ns0:v>
      </ns0:c>
      <ns0:c r="AW519" s="103" t="n"/>
      <ns0:c r="AX519" s="103" t="n"/>
      <ns0:c r="AY519" s="103" t="n"/>
      <ns0:c r="AZ519" s="103" t="n"/>
      <ns0:c r="BA519" s="103" t="n"/>
      <ns0:c r="BB519" s="74" t="inlineStr">
        <ns0:is>
          <ns0:t>China Biotech ETF (HS biotech proxy)</ns0:t>
        </ns0:is>
      </ns0:c>
      <ns0:c r="BC519" s="87" t="n">
        <ns0:v>-54.34</ns0:v>
      </ns0:c>
      <ns0:c r="BD519" s="75" t="n">
        <ns0:v>46297</ns0:v>
      </ns0:c>
      <ns0:c r="BE519" s="76" t="n">
        <ns0:v>1781.1</ns0:v>
      </ns0:c>
      <ns0:c r="BF519" s="79" t="n">
        <ns0:v>55.8</ns0:v>
      </ns0:c>
      <ns0:c r="BG519" s="74" t="inlineStr">
        <ns0:is>
          <ns0:t>Y</ns0:t>
        </ns0:is>
      </ns0:c>
      <ns0:c r="BH519" s="89" t="n">
        <ns0:v>148.8</ns0:v>
      </ns0:c>
      <ns0:c r="BI519" s="88" t="n"/>
      <ns0:c r="BJ519" s="88" t="n"/>
      <ns0:c r="BK519" s="89" t="n">
        <ns0:v>4.7</ns0:v>
      </ns0:c>
      <ns0:c r="BL519" s="90">
        <ns0:f>IFERROR(IF('BBG Verify'!S519="","Awaiting Bloomberg",'BBG Verify'!S519),"Awaiting Bloomberg")</ns0:f>
        <ns0:v/>
      </ns0:c>
      <ns0:c r="BM519" s="91" t="inlineStr">
        <ns0:is>
          <ns0:t>N</ns0:t>
        </ns0:is>
      </ns0:c>
      <ns0:c r="BN519" s="92">
        <ns0:f>IFERROR(IF('BBG Verify'!K519="","Awaiting Bloomberg",'BBG Verify'!K519),"Awaiting Bloomberg")</ns0:f>
        <ns0:v/>
      </ns0:c>
      <ns0:c r="BO519" s="74" t="inlineStr">
        <ns0:is>
          <ns0:t>N/A</ns0:t>
        </ns0:is>
      </ns0:c>
      <ns0:c r="BP519" s="74" t="inlineStr">
        <ns0:is>
          <ns0:t>N/A</ns0:t>
        </ns0:is>
      </ns0:c>
      <ns0:c r="BQ519" s="74" t="inlineStr">
        <ns0:is>
          <ns0:t>N/A</ns0:t>
        </ns0:is>
      </ns0:c>
      <ns0:c r="BR519" s="74" t="inlineStr">
        <ns0:is>
          <ns0:t>N/A</ns0:t>
        </ns0:is>
      </ns0:c>
      <ns0:c r="BS519" s="74" t="inlineStr">
        <ns0:is>
          <ns0:t>N/A</ns0:t>
        </ns0:is>
      </ns0:c>
      <ns0:c r="BT519" s="74" t="inlineStr">
        <ns0:is>
          <ns0:t>N/A</ns0:t>
        </ns0:is>
      </ns0:c>
      <ns0:c r="BU519" s="91" t="inlineStr">
        <ns0:is>
          <ns0:t>Morgan Stanley Asia Limited; Huatai Financial Holdings (Hong Kong) Limited</ns0:t>
        </ns0:is>
      </ns0:c>
      <ns0:c r="BV519" s="74" t="inlineStr">
        <ns0:is>
          <ns0:t>Morgan Stanley Asia Limited; Huatai Financial Holdings (Hong Kong) Limited</ns0:t>
        </ns0:is>
      </ns0:c>
      <ns0:c r="BW519" s="74" t="inlineStr">
        <ns0:is>
          <ns0:t>Morgan Stanley Asia Limited; Huatai Financial Holdings (Hong Kong) Limited; Celestial Securities Limited; Eddid Securities and Futures Limited; Futu Securities International (Hong Kong) Limited; Huafu International Securities Limited; Jinluo Securities Limited; TradeGo Markets Limited; UOB Kay Hian (Hong Kong) Limited; Yuet Sheung International Securities Limited; BNP Paribas Securities (Asia) Limited</ns0:t>
        </ns0:is>
      </ns0:c>
      <ns0:c r="BX519" s="74" t="inlineStr">
        <ns0:is>
          <ns0:t>BNP Paribas Securities (Asia) Limited; Celestial Securities Limited; Eddid Securities and Futures Limited; Futu Securities International (Hong Kong) Limited; Huatai Financial Holdings (Hong Kong) Limited; Huafu International Securities Limited; Jinluo Securities Limited; Morgan Stanley Asia Limited; SBI China Capital Financial Services Limited; TradeGo Markets Limited; UOB Kay Hian (Hong Kong) Limited; Yuet Sheung International Securities Limited</ns0:t>
        </ns0:is>
      </ns0:c>
      <ns0:c r="BY519" s="93">
        <ns0:f>HYPERLINK("https://www1.hkexnews.hk/listedco/listconews/sehk/2026/0828/2026082800009.pdf","prospectus")</ns0:f>
        <ns0:v/>
      </ns0:c>
      <ns0:c r="BZ519" s="93">
        <ns0:f>HYPERLINK("https://www1.hkexnews.hk/listedco/listconews/sehk/2026/0904/2026090401842.pdf","allotment")</ns0:f>
        <ns0:v/>
      </ns0:c>
      <ns0:c r="CA519" s="85" t="n"/>
      <ns0:c r="CB519" s="94" t="n"/>
      <ns0:c r="CC519" s="74" t="inlineStr">
        <ns0:is>
          <ns0:t>greenshoe: stabilisation window still open; range low: maximum offer price only, no floor published; 1m: pending: 18 traded sessions after debut; 21 needed; 3m: pending: 18 traded sessions after debut; 63 needed; sponsor: English name not in the filing; AAStocks 保薦人 shown; cornerstone list: no cornerstone tranche; greenshoe size: no over-allotment option; stabilising manager: filing states none appointed (prospectus: 'no stabilizing manager will be appointed' stated in the filing); alpha/index: 1m window not elapsed</ns0:t>
        </ns0:is>
      </ns0:c>
    </ns0:row>
    <ns0:row r="520" ht="22" customHeight="1">
      <ns0:c r="A520" s="73" t="inlineStr">
        <ns0:is>
          <ns0:t>9976</ns0:t>
        </ns0:is>
      </ns0:c>
      <ns0:c r="B520" s="74" t="inlineStr">
        <ns0:is>
          <ns0:t>LONGSYS</ns0:t>
        </ns0:is>
      </ns0:c>
      <ns0:c r="C520" s="74" t="inlineStr">
        <ns0:is>
          <ns0:t>江波龍</ns0:t>
        </ns0:is>
      </ns0:c>
      <ns0:c r="D520" s="74" t="inlineStr">
        <ns0:is>
          <ns0:t>Technology</ns0:t>
        </ns0:is>
      </ns0:c>
      <ns0:c r="E520" s="74" t="inlineStr">
        <ns0:is>
          <ns0:t>Hardware &amp; electronics</ns0:t>
        </ns0:is>
      </ns0:c>
      <ns0:c r="F520" s="74" t="inlineStr">
        <ns0:is>
          <ns0:t>Semiconductors &amp; Semiconductor Equipment</ns0:t>
        </ns0:is>
      </ns0:c>
      <ns0:c r="G520" s="74" t="inlineStr">
        <ns0:is>
          <ns0:t>Standard</ns0:t>
        </ns0:is>
      </ns0:c>
      <ns0:c r="H520" s="75" t="n">
        <ns0:v>46273</ns0:v>
      </ns0:c>
      <ns0:c r="I520" s="76" t="n">
        <ns0:v>7077.5</ns0:v>
      </ns0:c>
      <ns0:c r="J520" s="74" t="inlineStr">
        <ns0:is>
          <ns0:t>gross (stated)</ns0:t>
        </ns0:is>
      </ns0:c>
      <ns0:c r="K520" s="95" t="n"/>
      <ns0:c r="L520" s="77" t="n">
        <ns0:v>240.6</ns0:v>
      </ns0:c>
      <ns0:c r="M520" s="77" t="n">
        <ns0:v>236</ns0:v>
      </ns0:c>
      <ns0:c r="N520" s="74" t="inlineStr">
        <ns0:is>
          <ns0:t>N</ns0:t>
        </ns0:is>
      </ns0:c>
      <ns0:c r="O520" s="78" t="n">
        <ns0:v>98.09999999999999</ns0:v>
      </ns0:c>
      <ns0:c r="P520" s="84" t="n"/>
      <ns0:c r="Q520" s="79" t="n">
        <ns0:v>124166.7</ns0:v>
      </ns0:c>
      <ns0:c r="R520" s="74" t="inlineStr">
        <ns0:is>
          <ns0:t>derived:deal size / offer % of enlarged capital</ns0:t>
        </ns0:is>
      </ns0:c>
      <ns0:c r="S520" s="80" t="n">
        <ns0:v>40.32</ns0:v>
      </ns0:c>
      <ns0:c r="T520" s="104" t="n">
        <ns0:v>3.88</ns0:v>
      </ns0:c>
      <ns0:c r="U520" s="82" t="n">
        <ns0:v>16.7</ns0:v>
      </ns0:c>
      <ns0:c r="V520" s="83" t="n">
        <ns0:v>227</ns0:v>
      </ns0:c>
      <ns0:c r="W520" s="84" t="n"/>
      <ns0:c r="X520" s="74" t="inlineStr">
        <ns0:is>
          <ns0:t>NA</ns0:t>
        </ns0:is>
      </ns0:c>
      <ns0:c r="Y520" s="79" t="n">
        <ns0:v>5895.56</ns0:v>
      </ns0:c>
      <ns0:c r="Z520" s="79" t="n">
        <ns0:v>24981212</ns0:v>
      </ns0:c>
      <ns0:c r="AA520" s="78" t="n">
        <ns0:v>4.75</ns0:v>
      </ns0:c>
      <ns0:c r="AB520" s="74" t="inlineStr">
        <ns0:is>
          <ns0:t>Admiralty Harbour Growth Opportunities SPC SP1; CITIC Securities Asset Management (HK) Limited; Colorful Technology Company Limited; CQTech Limited; HOSIN Global (HK) Electronics Co., Limited; Huadeng Tech Bright Investment Ltd; Ingenic Semiconductor (HongKong) Group Limited; Ju Yuen (Hong Kong) International Limited; Lenovo Group Limited; Lens Technology (HK) Co., Limited; SDMC Technology (Hong Kong) Limited; Transsion International Limited; Wind Sabre Fund SPC; YuFeng Financial Group Limited; YuFeng Project 1 Limited Partnership Fund</ns0:t>
        </ns0:is>
      </ns0:c>
      <ns0:c r="AC520" s="74" t="inlineStr">
        <ns0:is>
          <ns0:t>admiralty;citic;colorful;cqtech;hosin;huadeng;ingenic;ju;lenovo;lens;sdmc;transsion;wind;yufeng</ns0:t>
        </ns0:is>
      </ns0:c>
      <ns0:c r="AD520" s="78" t="n">
        <ns0:v>15</ns0:v>
      </ns0:c>
      <ns0:c r="AE520" s="85" t="n"/>
      <ns0:c r="AF520" s="74" t="inlineStr">
        <ns0:is>
          <ns0:t>2026-10-03</ns0:t>
        </ns0:is>
      </ns0:c>
      <ns0:c r="AG520" s="74" t="inlineStr">
        <ns0:is>
          <ns0:t>CLSA Limited</ns0:t>
        </ns0:is>
      </ns0:c>
      <ns0:c r="AH520" s="74" t="inlineStr">
        <ns0:is>
          <ns0:t>CLSA</ns0:t>
        </ns0:is>
      </ns0:c>
      <ns0:c r="AI520" s="105" t="n">
        <ns0:v>-0.68</ns0:v>
      </ns0:c>
      <ns0:c r="AJ520" s="87" t="n">
        <ns0:v>-1.02</ns0:v>
      </ns0:c>
      <ns0:c r="AK520" s="87" t="n">
        <ns0:v>-1.49</ns0:v>
      </ns0:c>
      <ns0:c r="AL520" s="87" t="n">
        <ns0:v>0</ns0:v>
      </ns0:c>
      <ns0:c r="AM520" s="87" t="n">
        <ns0:v>-1.02</ns0:v>
      </ns0:c>
      <ns0:c r="AN520" s="88" t="n"/>
      <ns0:c r="AO520" s="78" t="n">
        <ns0:v>2.29</ns0:v>
      </ns0:c>
      <ns0:c r="AP520" s="87" t="n">
        <ns0:v>-23.94</ns0:v>
      </ns0:c>
      <ns0:c r="AQ520" s="103" t="n"/>
      <ns0:c r="AR520" s="103" t="n"/>
      <ns0:c r="AS520" s="87" t="n">
        <ns0:v>-23.16</ns0:v>
      </ns0:c>
      <ns0:c r="AT520" s="103" t="n"/>
      <ns0:c r="AU520" s="103" t="n"/>
      <ns0:c r="AV520" s="87" t="n">
        <ns0:v>-18.85</ns0:v>
      </ns0:c>
      <ns0:c r="AW520" s="103" t="n"/>
      <ns0:c r="AX520" s="103" t="n"/>
      <ns0:c r="AY520" s="103" t="n"/>
      <ns0:c r="AZ520" s="103" t="n"/>
      <ns0:c r="BA520" s="103" t="n"/>
      <ns0:c r="BB520" s="74" t="inlineStr">
        <ns0:is>
          <ns0:t>HSTECH (Hang Seng TECH ETF)</ns0:t>
        </ns0:is>
      </ns0:c>
      <ns0:c r="BC520" s="87" t="n">
        <ns0:v>-16.69</ns0:v>
      </ns0:c>
      <ns0:c r="BD520" s="75" t="n">
        <ns0:v>46297</ns0:v>
      </ns0:c>
      <ns0:c r="BE520" s="76" t="n">
        <ns0:v>25042.8</ns0:v>
      </ns0:c>
      <ns0:c r="BF520" s="97" t="n"/>
      <ns0:c r="BG520" s="74" t="inlineStr">
        <ns0:is>
          <ns0:t>Y</ns0:t>
        </ns0:is>
      </ns0:c>
      <ns0:c r="BH520" s="90">
        <ns0:f>IFERROR(IF('BBG Verify'!O520="","Awaiting Bloomberg",'BBG Verify'!O520),"Awaiting Bloomberg")</ns0:f>
        <ns0:v/>
      </ns0:c>
      <ns0:c r="BI520" s="88" t="n"/>
      <ns0:c r="BJ520" s="88" t="n"/>
      <ns0:c r="BK520" s="89" t="n">
        <ns0:v>5</ns0:v>
      </ns0:c>
      <ns0:c r="BL520" s="90">
        <ns0:f>IFERROR(IF('BBG Verify'!S520="","Awaiting Bloomberg",'BBG Verify'!S520),"Awaiting Bloomberg")</ns0:f>
        <ns0:v/>
      </ns0:c>
      <ns0:c r="BM520" s="91" t="inlineStr">
        <ns0:is>
          <ns0:t>N</ns0:t>
        </ns0:is>
      </ns0:c>
      <ns0:c r="BN520" s="92">
        <ns0:f>IFERROR(IF('BBG Verify'!K520="","Awaiting Bloomberg",'BBG Verify'!K520),"Awaiting Bloomberg")</ns0:f>
        <ns0:v/>
      </ns0:c>
      <ns0:c r="BO520" s="74" t="inlineStr">
        <ns0:is>
          <ns0:t>N/A</ns0:t>
        </ns0:is>
      </ns0:c>
      <ns0:c r="BP520" s="74" t="inlineStr">
        <ns0:is>
          <ns0:t>N/A</ns0:t>
        </ns0:is>
      </ns0:c>
      <ns0:c r="BQ520" s="101" t="n">
        <ns0:v>0.7973</ns0:v>
      </ns0:c>
      <ns0:c r="BR520" s="79" t="n">
        <ns0:v>162469.7</ns0:v>
      </ns0:c>
      <ns0:c r="BS520" s="74" t="inlineStr">
        <ns0:is>
          <ns0:t>N/A</ns0:t>
        </ns0:is>
      </ns0:c>
      <ns0:c r="BT520" s="74" t="inlineStr">
        <ns0:is>
          <ns0:t>N/A</ns0:t>
        </ns0:is>
      </ns0:c>
      <ns0:c r="BU520" s="91" t="inlineStr">
        <ns0:is>
          <ns0:t>CITIC Securities (Hong Kong) Limited; Citigroup Global Markets Asia Limited</ns0:t>
        </ns0:is>
      </ns0:c>
      <ns0:c r="BV520" s="74" t="inlineStr">
        <ns0:is>
          <ns0:t>CITIC Securities (Hong Kong) Limited; Citigroup Global Markets Asia Limited</ns0:t>
        </ns0:is>
      </ns0:c>
      <ns0:c r="BW520" s="74" t="inlineStr">
        <ns0:is>
          <ns0:t>CLSA Limited; Citigroup Global Markets Asia Limited; China Securities (International) Corporate Finance Company Limited; ABCI Capital Limited; Citigroup Global Markets Limited; Finance Company Limited; Futu Securities International (Hong Kong) Limited; Tiger Brokers (HK) Global Limited</ns0:t>
        </ns0:is>
      </ns0:c>
      <ns0:c r="BX520" s="74" t="inlineStr">
        <ns0:is>
          <ns0:t>ABCI Securities Company Limited; Citigroup Global Markets Asia Limited; CLSA Limited; China Securities (International) Corporate Finance Company Limited; Futu Securities International (Hong Kong) Limited; Tiger Brokers (HK) Global Limited</ns0:t>
        </ns0:is>
      </ns0:c>
      <ns0:c r="BY520" s="93">
        <ns0:f>HYPERLINK("https://www1.hkexnews.hk/listedco/listconews/sehk/2026/0831/2026083100047.pdf","prospectus")</ns0:f>
        <ns0:v/>
      </ns0:c>
      <ns0:c r="BZ520" s="93">
        <ns0:f>HYPERLINK("https://www1.hkexnews.hk/listedco/listconews/sehk/2026/0907/2026090701319.pdf","allotment")</ns0:f>
        <ns0:v/>
      </ns0:c>
      <ns0:c r="CA520" s="85" t="n"/>
      <ns0:c r="CB520" s="94" t="n"/>
      <ns0:c r="CC520" s="74" t="inlineStr">
        <ns0:is>
          <ns0:t>P/E: withheld: 2,581x fails the 300x plausibility cap; extracted net income HK$48.1m suspect; greenshoe: stabilisation window still open; range low: maximum offer price only, no floor published; 1m: pending: 17 traded sessions after debut; 21 needed; 3m: pending: 17 traded sessions after debut; 63 needed; financials: not extractable; pre-IPO year outside the AAStocks window; alpha/index: 1m window not elapsed; allocation: allocation table not in this notice's format (older prose announcement); day-1 tape: volume on file; the retail multiple needs the final public split, which this notice does not state</ns0:t>
        </ns0:is>
      </ns0:c>
    </ns0:row>
    <ns0:row r="521" ht="22" customHeight="1">
      <ns0:c r="A521" s="73" t="inlineStr">
        <ns0:is>
          <ns0:t>3231</ns0:t>
        </ns0:is>
      </ns0:c>
      <ns0:c r="B521" s="74" t="inlineStr">
        <ns0:is>
          <ns0:t>EXCELLAND ROBOT</ns0:t>
        </ns0:is>
      </ns0:c>
      <ns0:c r="C521" s="74" t="inlineStr">
        <ns0:is>
          <ns0:t>優地機器人</ns0:t>
        </ns0:is>
      </ns0:c>
      <ns0:c r="D521" s="74" t="inlineStr">
        <ns0:is>
          <ns0:t>Technology</ns0:t>
        </ns0:is>
      </ns0:c>
      <ns0:c r="E521" s="74" t="inlineStr">
        <ns0:is>
          <ns0:t>Robotics &amp; autonomous driving</ns0:t>
        </ns0:is>
      </ns0:c>
      <ns0:c r="F521" s="74" t="inlineStr">
        <ns0:is>
          <ns0:t>Advanced hardware and software</ns0:t>
        </ns0:is>
      </ns0:c>
      <ns0:c r="G521" s="74" t="inlineStr">
        <ns0:is>
          <ns0:t>18C</ns0:t>
        </ns0:is>
      </ns0:c>
      <ns0:c r="H521" s="75" t="n">
        <ns0:v>46274</ns0:v>
      </ns0:c>
      <ns0:c r="I521" s="76" t="n">
        <ns0:v>650.2</ns0:v>
      </ns0:c>
      <ns0:c r="J521" s="74" t="inlineStr">
        <ns0:is>
          <ns0:t>gross (stated)</ns0:t>
        </ns0:is>
      </ns0:c>
      <ns0:c r="K521" s="77" t="n">
        <ns0:v>14.45</ns0:v>
      </ns0:c>
      <ns0:c r="L521" s="77" t="n">
        <ns0:v>19.55</ns0:v>
      </ns0:c>
      <ns0:c r="M521" s="77" t="n">
        <ns0:v>14.45</ns0:v>
      </ns0:c>
      <ns0:c r="N521" s="74" t="inlineStr">
        <ns0:is>
          <ns0:t>N</ns0:t>
        </ns0:is>
      </ns0:c>
      <ns0:c r="O521" s="78" t="n">
        <ns0:v>73.90000000000001</ns0:v>
      </ns0:c>
      <ns0:c r="P521" s="78" t="n">
        <ns0:v>0</ns0:v>
      </ns0:c>
      <ns0:c r="Q521" s="79" t="n">
        <ns0:v>6016.5</ns0:v>
      </ns0:c>
      <ns0:c r="R521" s="74" t="inlineStr">
        <ns0:is>
          <ns0:t>derived:price x shares upon listing</ns0:t>
        </ns0:is>
      </ns0:c>
      <ns0:c r="S521" s="80" t="n">
        <ns0:v>140.02</ns0:v>
      </ns0:c>
      <ns0:c r="T521" s="81" t="n">
        <ns0:v>0.99</ns0:v>
      </ns0:c>
      <ns0:c r="U521" s="82" t="n">
        <ns0:v>3.63</ns0:v>
      </ns0:c>
      <ns0:c r="V521" s="83" t="n">
        <ns0:v>87</ns0:v>
      </ns0:c>
      <ns0:c r="W521" s="78" t="n">
        <ns0:v>6.18</ns0:v>
      </ns0:c>
      <ns0:c r="X521" s="74" t="inlineStr">
        <ns0:is>
          <ns0:t>NO</ns0:t>
        </ns0:is>
      </ns0:c>
      <ns0:c r="Y521" s="79" t="n">
        <ns0:v>626.6</ns0:v>
      </ns0:c>
      <ns0:c r="Z521" s="79" t="n">
        <ns0:v>43366500</ns0:v>
      </ns0:c>
      <ns0:c r="AA521" s="78" t="n">
        <ns0:v>10.41</ns0:v>
      </ns0:c>
      <ns0:c r="AB521" s="74" t="inlineStr">
        <ns0:is>
          <ns0:t>SensePower Management Limited; CYGG Holding Limited</ns0:t>
        </ns0:is>
      </ns0:c>
      <ns0:c r="AC521" s="74" t="inlineStr">
        <ns0:is>
          <ns0:t>sensepower;cygg</ns0:t>
        </ns0:is>
      </ns0:c>
      <ns0:c r="AD521" s="84" t="n"/>
      <ns0:c r="AE521" s="85" t="n"/>
      <ns0:c r="AF521" s="85" t="n"/>
      <ns0:c r="AG521" s="85" t="n"/>
      <ns0:c r="AH521" s="85" t="n"/>
      <ns0:c r="AI521" s="86" t="n">
        <ns0:v>105.54</ns0:v>
      </ns0:c>
      <ns0:c r="AJ521" s="87" t="n">
        <ns0:v>153.84</ns0:v>
      </ns0:c>
      <ns0:c r="AK521" s="87" t="n">
        <ns0:v>-0.91</ns0:v>
      </ns0:c>
      <ns0:c r="AL521" s="87" t="n">
        <ns0:v>142.21</ns0:v>
      </ns0:c>
      <ns0:c r="AM521" s="87" t="n">
        <ns0:v>4.8</ns0:v>
      </ns0:c>
      <ns0:c r="AN521" s="89" t="n">
        <ns0:v>2.58</ns0:v>
      </ns0:c>
      <ns0:c r="AO521" s="78" t="n">
        <ns0:v>26.06</ns0:v>
      </ns0:c>
      <ns0:c r="AP521" s="87" t="n">
        <ns0:v>156.47</ns0:v>
      </ns0:c>
      <ns0:c r="AQ521" s="103" t="n"/>
      <ns0:c r="AR521" s="103" t="n"/>
      <ns0:c r="AS521" s="87" t="n">
        <ns0:v>1.04</ns0:v>
      </ns0:c>
      <ns0:c r="AT521" s="103" t="n"/>
      <ns0:c r="AU521" s="103" t="n"/>
      <ns0:c r="AV521" s="87" t="n">
        <ns0:v>159.44</ns0:v>
      </ns0:c>
      <ns0:c r="AW521" s="103" t="n"/>
      <ns0:c r="AX521" s="103" t="n"/>
      <ns0:c r="AY521" s="103" t="n"/>
      <ns0:c r="AZ521" s="103" t="n"/>
      <ns0:c r="BA521" s="103" t="n"/>
      <ns0:c r="BB521" s="74" t="inlineStr">
        <ns0:is>
          <ns0:t>HSTECH (Hang Seng TECH ETF)</ns0:t>
        </ns0:is>
      </ns0:c>
      <ns0:c r="BC521" s="87" t="n">
        <ns0:v>151.9</ns0:v>
      </ns0:c>
      <ns0:c r="BD521" s="75" t="n">
        <ns0:v>46297</ns0:v>
      </ns0:c>
      <ns0:c r="BE521" s="76" t="n">
        <ns0:v>0</ns0:v>
      </ns0:c>
      <ns0:c r="BF521" s="79" t="n">
        <ns0:v>-121.9</ns0:v>
      </ns0:c>
      <ns0:c r="BG521" s="74" t="inlineStr">
        <ns0:is>
          <ns0:t>N</ns0:t>
        </ns0:is>
      </ns0:c>
      <ns0:c r="BH521" s="74" t="inlineStr">
        <ns0:is>
          <ns0:t>n/m</ns0:t>
        </ns0:is>
      </ns0:c>
      <ns0:c r="BI521" s="88" t="n"/>
      <ns0:c r="BJ521" s="88" t="n"/>
      <ns0:c r="BK521" s="74" t="inlineStr">
        <ns0:is>
          <ns0:t>pre-rev</ns0:t>
        </ns0:is>
      </ns0:c>
      <ns0:c r="BL521" s="90">
        <ns0:f>IFERROR(IF('BBG Verify'!S521="","Awaiting Bloomberg",'BBG Verify'!S521),"Awaiting Bloomberg")</ns0:f>
        <ns0:v/>
      </ns0:c>
      <ns0:c r="BM521" s="91" t="inlineStr">
        <ns0:is>
          <ns0:t>N</ns0:t>
        </ns0:is>
      </ns0:c>
      <ns0:c r="BN521" s="92">
        <ns0:f>IFERROR(IF('BBG Verify'!K521="","Awaiting Bloomberg",'BBG Verify'!K521),"Awaiting Bloomberg")</ns0:f>
        <ns0:v/>
      </ns0:c>
      <ns0:c r="BO521" s="74" t="inlineStr">
        <ns0:is>
          <ns0:t>N/A</ns0:t>
        </ns0:is>
      </ns0:c>
      <ns0:c r="BP521" s="74" t="inlineStr">
        <ns0:is>
          <ns0:t>N/A</ns0:t>
        </ns0:is>
      </ns0:c>
      <ns0:c r="BQ521" s="74" t="inlineStr">
        <ns0:is>
          <ns0:t>N/A</ns0:t>
        </ns0:is>
      </ns0:c>
      <ns0:c r="BR521" s="74" t="inlineStr">
        <ns0:is>
          <ns0:t>N/A</ns0:t>
        </ns0:is>
      </ns0:c>
      <ns0:c r="BS521" s="74" t="inlineStr">
        <ns0:is>
          <ns0:t>N/A</ns0:t>
        </ns0:is>
      </ns0:c>
      <ns0:c r="BT521" s="74" t="inlineStr">
        <ns0:is>
          <ns0:t>N/A</ns0:t>
        </ns0:is>
      </ns0:c>
      <ns0:c r="BU521" s="91" t="inlineStr">
        <ns0:is>
          <ns0:t>Silver Nile Global Investments Limited</ns0:t>
        </ns0:is>
      </ns0:c>
      <ns0:c r="BV521" s="74" t="inlineStr">
        <ns0:is>
          <ns0:t>Silver Nile Global Investments Limited</ns0:t>
        </ns0:is>
      </ns0:c>
      <ns0:c r="BW521" s="74" t="inlineStr">
        <ns0:is>
          <ns0:t>Silver Nile Global Investments Limited; CEB International Capital Corporation Limited; CMBC Securities Company Limited; SDIC Securities (Hong Kong) Limited; Harmonia Capital Limited; Guosen Securities (HK) Brokerage Company, Limited; Yuet Sheung International Securities Limited; Neutral Financial Holding Company Limited; Livermore Holdings Limited; uSmart Securities Limited</ns0:t>
        </ns0:is>
      </ns0:c>
      <ns0:c r="BX521" s="74" t="inlineStr">
        <ns0:is>
          <ns0:t>CEB International Capital Corporation Limited; CMBC Securities Company Limited; DL Securities (HK) Limited; Get Nice Securities Limited; Guosen Securities (HK) Brokerage Company, Limited; Harmonia Capital Limited; Jinluo Securities Limited; Livermore Holdings Limited; Neutral Financial Holding Company Limited; SDIC Securities (Hong Kong) Limited; Silver Nile Global Investments Limited</ns0:t>
        </ns0:is>
      </ns0:c>
      <ns0:c r="BY521" s="93">
        <ns0:f>HYPERLINK("https://www1.hkexnews.hk/listedco/listconews/sehk/2026/0831/2026083100009.pdf","prospectus")</ns0:f>
        <ns0:v/>
      </ns0:c>
      <ns0:c r="BZ521" s="93">
        <ns0:f>HYPERLINK("https://www1.hkexnews.hk/listedco/listconews/sehk/2026/0908/2026090800985.pdf","allotment")</ns0:f>
        <ns0:v/>
      </ns0:c>
      <ns0:c r="CA521" s="85" t="n"/>
      <ns0:c r="CB521" s="94" t="n"/>
      <ns0:c r="CC521" s="74" t="inlineStr">
        <ns0:is>
          <ns0:t>P/E: loss-making at IPO, use P/S; greenshoe: stabilisation window still open; 1m: pending: 16 traded sessions after debut; 21 needed; 3m: pending: 16 traded sessions after debut; 63 needed; greenshoe size: no over-allotment option; P/S: pre-revenue issuer, no sales multiple; stabilising manager: no over-allotment option, so none appointed; alpha/index: 1m window not elapsed</ns0:t>
        </ns0:is>
      </ns0:c>
    </ns0:row>
    <ns0:row r="522" ht="22" customHeight="1">
      <ns0:c r="A522" s="73" t="inlineStr">
        <ns0:is>
          <ns0:t>6727</ns0:t>
        </ns0:is>
      </ns0:c>
      <ns0:c r="B522" s="74" t="inlineStr">
        <ns0:is>
          <ns0:t>TRANSWARP</ns0:t>
        </ns0:is>
      </ns0:c>
      <ns0:c r="C522" s="74" t="inlineStr">
        <ns0:is>
          <ns0:t>星環科技</ns0:t>
        </ns0:is>
      </ns0:c>
      <ns0:c r="D522" s="74" t="inlineStr">
        <ns0:is>
          <ns0:t>Technology</ns0:t>
        </ns0:is>
      </ns0:c>
      <ns0:c r="E522" s="74" t="inlineStr">
        <ns0:is>
          <ns0:t>Software &amp; AI</ns0:t>
        </ns0:is>
      </ns0:c>
      <ns0:c r="F522" s="74" t="inlineStr">
        <ns0:is>
          <ns0:t>Advanced hardware and software</ns0:t>
        </ns0:is>
      </ns0:c>
      <ns0:c r="G522" s="74" t="inlineStr">
        <ns0:is>
          <ns0:t>18C</ns0:t>
        </ns0:is>
      </ns0:c>
      <ns0:c r="H522" s="75" t="n">
        <ns0:v>46286</ns0:v>
      </ns0:c>
      <ns0:c r="I522" s="76" t="n">
        <ns0:v>686.53</ns0:v>
      </ns0:c>
      <ns0:c r="J522" s="74" t="inlineStr">
        <ns0:is>
          <ns0:t>gross (stated)</ns0:t>
        </ns0:is>
      </ns0:c>
      <ns0:c r="K522" s="95" t="n"/>
      <ns0:c r="L522" s="77" t="n">
        <ns0:v>61</ns0:v>
      </ns0:c>
      <ns0:c r="M522" s="77" t="n">
        <ns0:v>49</ns0:v>
      </ns0:c>
      <ns0:c r="N522" s="74" t="inlineStr">
        <ns0:is>
          <ns0:t>N</ns0:t>
        </ns0:is>
      </ns0:c>
      <ns0:c r="O522" s="78" t="n">
        <ns0:v>80.3</ns0:v>
      </ns0:c>
      <ns0:c r="P522" s="84" t="n"/>
      <ns0:c r="Q522" s="79" t="n">
        <ns0:v>6622.2</ns0:v>
      </ns0:c>
      <ns0:c r="R522" s="74" t="inlineStr">
        <ns0:is>
          <ns0:t>derived:price x shares upon listing</ns0:t>
        </ns0:is>
      </ns0:c>
      <ns0:c r="S522" s="80" t="n">
        <ns0:v>73.86</ns0:v>
      </ns0:c>
      <ns0:c r="T522" s="81" t="n">
        <ns0:v>1.42</ns0:v>
      </ns0:c>
      <ns0:c r="U522" s="82" t="n">
        <ns0:v>10.75</ns0:v>
      </ns0:c>
      <ns0:c r="V522" s="83" t="n">
        <ns0:v>50</ns0:v>
      </ns0:c>
      <ns0:c r="W522" s="78" t="n">
        <ns0:v>20</ns0:v>
      </ns0:c>
      <ns0:c r="X522" s="85" t="n"/>
      <ns0:c r="Y522" s="79" t="n">
        <ns0:v>612.73</ns0:v>
      </ns0:c>
      <ns0:c r="Z522" s="79" t="n">
        <ns0:v>12504639</ns0:v>
      </ns0:c>
      <ns0:c r="AA522" s="78" t="n">
        <ns0:v>9.25</ns0:v>
      </ns0:c>
      <ns0:c r="AB522" s="74" t="inlineStr">
        <ns0:is>
          <ns0:t>Electronic Channel Limited; LUOYANG Sci-Tech Inv</ns0:t>
        </ns0:is>
      </ns0:c>
      <ns0:c r="AC522" s="74" t="inlineStr">
        <ns0:is>
          <ns0:t>electronic;luoyang</ns0:t>
        </ns0:is>
      </ns0:c>
      <ns0:c r="AD522" s="84" t="n"/>
      <ns0:c r="AE522" s="85" t="n"/>
      <ns0:c r="AF522" s="85" t="n"/>
      <ns0:c r="AG522" s="85" t="n"/>
      <ns0:c r="AH522" s="85" t="n"/>
      <ns0:c r="AI522" s="105" t="n">
        <ns0:v>-1.27</ns0:v>
      </ns0:c>
      <ns0:c r="AJ522" s="87" t="n">
        <ns0:v>-9.18</ns0:v>
      </ns0:c>
      <ns0:c r="AK522" s="87" t="n">
        <ns0:v>0.42</ns0:v>
      </ns0:c>
      <ns0:c r="AL522" s="87" t="n">
        <ns0:v>0</ns0:v>
      </ns0:c>
      <ns0:c r="AM522" s="87" t="n">
        <ns0:v>-9.18</ns0:v>
      </ns0:c>
      <ns0:c r="AN522" s="89" t="n">
        <ns0:v>1.73</ns0:v>
      </ns0:c>
      <ns0:c r="AO522" s="78" t="n">
        <ns0:v>10.2</ns0:v>
      </ns0:c>
      <ns0:c r="AP522" s="87" t="n">
        <ns0:v>-31.84</ns0:v>
      </ns0:c>
      <ns0:c r="AQ522" s="103" t="n"/>
      <ns0:c r="AR522" s="103" t="n"/>
      <ns0:c r="AS522" s="87" t="n">
        <ns0:v>-24.95</ns0:v>
      </ns0:c>
      <ns0:c r="AT522" s="103" t="n"/>
      <ns0:c r="AU522" s="103" t="n"/>
      <ns0:c r="AV522" s="87" t="n">
        <ns0:v>-29.15</ns0:v>
      </ns0:c>
      <ns0:c r="AW522" s="103" t="n"/>
      <ns0:c r="AX522" s="103" t="n"/>
      <ns0:c r="AY522" s="103" t="n"/>
      <ns0:c r="AZ522" s="103" t="n"/>
      <ns0:c r="BA522" s="103" t="n"/>
      <ns0:c r="BB522" s="74" t="inlineStr">
        <ns0:is>
          <ns0:t>HSTECH (Hang Seng TECH ETF)</ns0:t>
        </ns0:is>
      </ns0:c>
      <ns0:c r="BC522" s="87" t="n">
        <ns0:v>-35.06</ns0:v>
      </ns0:c>
      <ns0:c r="BD522" s="75" t="n">
        <ns0:v>46297</ns0:v>
      </ns0:c>
      <ns0:c r="BE522" s="76" t="n">
        <ns0:v>491.8</ns0:v>
      </ns0:c>
      <ns0:c r="BF522" s="79" t="n">
        <ns0:v>-269.7</ns0:v>
      </ns0:c>
      <ns0:c r="BG522" s="74" t="inlineStr">
        <ns0:is>
          <ns0:t>N</ns0:t>
        </ns0:is>
      </ns0:c>
      <ns0:c r="BH522" s="74" t="inlineStr">
        <ns0:is>
          <ns0:t>n/m</ns0:t>
        </ns0:is>
      </ns0:c>
      <ns0:c r="BI522" s="88" t="n"/>
      <ns0:c r="BJ522" s="88" t="n"/>
      <ns0:c r="BK522" s="89" t="n">
        <ns0:v>13.5</ns0:v>
      </ns0:c>
      <ns0:c r="BL522" s="90">
        <ns0:f>IFERROR(IF('BBG Verify'!S522="","Awaiting Bloomberg",'BBG Verify'!S522),"Awaiting Bloomberg")</ns0:f>
        <ns0:v/>
      </ns0:c>
      <ns0:c r="BM522" s="91" t="inlineStr">
        <ns0:is>
          <ns0:t>N</ns0:t>
        </ns0:is>
      </ns0:c>
      <ns0:c r="BN522" s="92">
        <ns0:f>IFERROR(IF('BBG Verify'!K522="","Awaiting Bloomberg",'BBG Verify'!K522),"Awaiting Bloomberg")</ns0:f>
        <ns0:v/>
      </ns0:c>
      <ns0:c r="BO522" s="74" t="inlineStr">
        <ns0:is>
          <ns0:t>N/A</ns0:t>
        </ns0:is>
      </ns0:c>
      <ns0:c r="BP522" s="74" t="inlineStr">
        <ns0:is>
          <ns0:t>N/A</ns0:t>
        </ns0:is>
      </ns0:c>
      <ns0:c r="BQ522" s="101" t="n">
        <ns0:v>2.2362</ns0:v>
      </ns0:c>
      <ns0:c r="BR522" s="79" t="n">
        <ns0:v>13919.6</ns0:v>
      </ns0:c>
      <ns0:c r="BS522" s="74" t="inlineStr">
        <ns0:is>
          <ns0:t>N/A</ns0:t>
        </ns0:is>
      </ns0:c>
      <ns0:c r="BT522" s="74" t="inlineStr">
        <ns0:is>
          <ns0:t>N/A</ns0:t>
        </ns0:is>
      </ns0:c>
      <ns0:c r="BU522" s="91" t="inlineStr">
        <ns0:is>
          <ns0:t>Haitong International Capital Limited; Haitong International Securities Company Limited</ns0:t>
        </ns0:is>
      </ns0:c>
      <ns0:c r="BV522" s="74" t="inlineStr">
        <ns0:is>
          <ns0:t>Haitong International Capital Limited</ns0:t>
        </ns0:is>
      </ns0:c>
      <ns0:c r="BW522" s="74" t="inlineStr">
        <ns0:is>
          <ns0:t>Webull Securities Limited; BOCOM International Securities Limited; Huafu International Securities Limited; CMB International Capital Limited; SPDB International Capital Limited</ns0:t>
        </ns0:is>
      </ns0:c>
      <ns0:c r="BX522" s="74" t="inlineStr">
        <ns0:is>
          <ns0:t>BOCOM International Securities Limited; CMB International Capital Limited; First Securities (HK) Limited; Futu Securities International (Hong Kong) Limited; Huafu International Securities Limited; Haitong International Securities Company Limited; Shenwan Hongyuan Securities (H.K.) Limited; SPDB International Capital Limited; TFI Securities and Futures Limited; Webull Securities Limited</ns0:t>
        </ns0:is>
      </ns0:c>
      <ns0:c r="BY522" s="93">
        <ns0:f>HYPERLINK("https://www1.hkexnews.hk/listedco/listconews/sehk/2026/0911/2026091100019.pdf","prospectus")</ns0:f>
        <ns0:v/>
      </ns0:c>
      <ns0:c r="BZ522" s="93">
        <ns0:f>HYPERLINK("https://www1.hkexnews.hk/listedco/listconews/sehk/2026/0918/2026091801414.pdf","allotment")</ns0:f>
        <ns0:v/>
      </ns0:c>
      <ns0:c r="CA522" s="85" t="n"/>
      <ns0:c r="CB522" s="94" t="n"/>
      <ns0:c r="CC522" s="74" t="inlineStr">
        <ns0:is>
          <ns0:t>P/E: loss-making at IPO, use P/S; greenshoe: stabilisation window still open; range low: maximum offer price only, no floor published; 1m: pending: 8 traded sessions after debut; 21 needed; 3m: pending: 8 traded sessions after debut; 63 needed; greenshoe size: no over-allotment option; stabilising manager: no over-allotment option, so none appointed; alpha/index: 1m window not elapsed; allocation: clawback line not in this notice; a 12-28% split is consistent with either a tier-1 clawback or a placing shortfall</ns0:t>
        </ns0:is>
      </ns0:c>
    </ns0:row>
    <ns0:row r="523" ht="22" customHeight="1">
      <ns0:c r="A523" s="73" t="inlineStr">
        <ns0:is>
          <ns0:t>9856</ns0:t>
        </ns0:is>
      </ns0:c>
      <ns0:c r="B523" s="74" t="inlineStr">
        <ns0:is>
          <ns0:t>LIGENT</ns0:t>
        </ns0:is>
      </ns0:c>
      <ns0:c r="C523" s="74" t="inlineStr">
        <ns0:is>
          <ns0:t>納真科技</ns0:t>
        </ns0:is>
      </ns0:c>
      <ns0:c r="D523" s="74" t="inlineStr">
        <ns0:is>
          <ns0:t>Technology</ns0:t>
        </ns0:is>
      </ns0:c>
      <ns0:c r="E523" s="74" t="inlineStr">
        <ns0:is>
          <ns0:t>Hardware &amp; electronics</ns0:t>
        </ns0:is>
      </ns0:c>
      <ns0:c r="F523" s="74" t="inlineStr">
        <ns0:is>
          <ns0:t>Electrical Components &amp; Equipment</ns0:t>
        </ns0:is>
      </ns0:c>
      <ns0:c r="G523" s="74" t="inlineStr">
        <ns0:is>
          <ns0:t>Standard</ns0:t>
        </ns0:is>
      </ns0:c>
      <ns0:c r="H523" s="75" t="n">
        <ns0:v>46287</ns0:v>
      </ns0:c>
      <ns0:c r="I523" s="76" t="n">
        <ns0:v>5669.6</ns0:v>
      </ns0:c>
      <ns0:c r="J523" s="74" t="inlineStr">
        <ns0:is>
          <ns0:t>gross (stated)</ns0:t>
        </ns0:is>
      </ns0:c>
      <ns0:c r="K523" s="95" t="n"/>
      <ns0:c r="L523" s="77" t="n">
        <ns0:v>32.96</ns0:v>
      </ns0:c>
      <ns0:c r="M523" s="77" t="n">
        <ns0:v>32.96</ns0:v>
      </ns0:c>
      <ns0:c r="N523" s="74" t="inlineStr">
        <ns0:is>
          <ns0:t>Y</ns0:t>
        </ns0:is>
      </ns0:c>
      <ns0:c r="O523" s="78" t="n">
        <ns0:v>100</ns0:v>
      </ns0:c>
      <ns0:c r="P523" s="84" t="n"/>
      <ns0:c r="Q523" s="79" t="n">
        <ns0:v>28911.8</ns0:v>
      </ns0:c>
      <ns0:c r="R523" s="74" t="inlineStr">
        <ns0:is>
          <ns0:t>derived:deal size / offer % of enlarged capital</ns0:t>
        </ns0:is>
      </ns0:c>
      <ns0:c r="S523" s="80" t="n">
        <ns0:v>35.16</ns0:v>
      </ns0:c>
      <ns0:c r="T523" s="81" t="n">
        <ns0:v>4.67</ns0:v>
      </ns0:c>
      <ns0:c r="U523" s="82" t="n">
        <ns0:v>47.02</ns0:v>
      </ns0:c>
      <ns0:c r="V523" s="83" t="n">
        <ns0:v>192</ns0:v>
      </ns0:c>
      <ns0:c r="W523" s="78" t="n">
        <ns0:v>10</ns0:v>
      </ns0:c>
      <ns0:c r="X523" s="74" t="inlineStr">
        <ns0:is>
          <ns0:t>NA</ns0:t>
        </ns0:is>
      </ns0:c>
      <ns0:c r="Y523" s="79" t="n">
        <ns0:v>3003.75</ns0:v>
      </ns0:c>
      <ns0:c r="Z523" s="79" t="n">
        <ns0:v>91133388</ns0:v>
      </ns0:c>
      <ns0:c r="AA523" s="78" t="n">
        <ns0:v>10.39</ns0:v>
      </ns0:c>
      <ns0:c r="AB523" s="74" t="inlineStr">
        <ns0:is>
          <ns0:t>Primavera Investment Fund; GBAHIL – Mega Prime; Poly Platinum; HK BVF I LPF; Orient Asset Management; Mount Altai; Peak View Capital; Sinofortune International; Ambre Lau Trade Limited; SCV Delta; Mirae Asset Securities Co., Ltd; PAG Capital Structure Opportunity Fund LP; Turquoise Hime (ORIX); GF Fund (6) – GF Fund Management; GF Fund HK; E Fund Management Co., Ltd; CSC OTC Swap; First Seafront Asset Management Limited; GaoTeng Global Asset Management Limited; GigaDevice; Amlogic Hong Kong; Atlas Venture Limited; Alphahill Capital Limited; ODI TRUST LIMITED; Barings</ns0:t>
        </ns0:is>
      </ns0:c>
      <ns0:c r="AC523" s="74" t="inlineStr">
        <ns0:is>
          <ns0:t>primavera;gbahil;poly;bvf;orient;mount;peak;sinofortune;ambre;scv;mirae;pag;turquoise;gf;fund-management;csc;first-seafront;gaoteng;gigadevice;amlogic;atlas;alphahill;odi;barings</ns0:t>
        </ns0:is>
      </ns0:c>
      <ns0:c r="AD523" s="78" t="n">
        <ns0:v>15</ns0:v>
      </ns0:c>
      <ns0:c r="AE523" s="85" t="n"/>
      <ns0:c r="AF523" s="74" t="inlineStr">
        <ns0:is>
          <ns0:t>2026-10-17</ns0:t>
        </ns0:is>
      </ns0:c>
      <ns0:c r="AG523" s="74" t="inlineStr">
        <ns0:is>
          <ns0:t>CLSA Limited</ns0:t>
        </ns0:is>
      </ns0:c>
      <ns0:c r="AH523" s="74" t="inlineStr">
        <ns0:is>
          <ns0:t>CLSA</ns0:t>
        </ns0:is>
      </ns0:c>
      <ns0:c r="AI523" s="86" t="n">
        <ns0:v>8.92</ns0:v>
      </ns0:c>
      <ns0:c r="AJ523" s="87" t="n">
        <ns0:v>4.61</ns0:v>
      </ns0:c>
      <ns0:c r="AK523" s="87" t="n">
        <ns0:v>0.37</ns0:v>
      </ns0:c>
      <ns0:c r="AL523" s="87" t="n">
        <ns0:v>11.04</ns0:v>
      </ns0:c>
      <ns0:c r="AM523" s="87" t="n">
        <ns0:v>-5.79</ns0:v>
      </ns0:c>
      <ns0:c r="AN523" s="89" t="n">
        <ns0:v>3.97</ns0:v>
      </ns0:c>
      <ns0:c r="AO523" s="78" t="n">
        <ns0:v>14.43</ns0:v>
      </ns0:c>
      <ns0:c r="AP523" s="87" t="n">
        <ns0:v>-2.67</ns0:v>
      </ns0:c>
      <ns0:c r="AQ523" s="103" t="n"/>
      <ns0:c r="AR523" s="103" t="n"/>
      <ns0:c r="AS523" s="87" t="n">
        <ns0:v>-6.96</ns0:v>
      </ns0:c>
      <ns0:c r="AT523" s="103" t="n"/>
      <ns0:c r="AU523" s="103" t="n"/>
      <ns0:c r="AV523" s="87" t="n">
        <ns0:v>1.62</ns0:v>
      </ns0:c>
      <ns0:c r="AW523" s="103" t="n"/>
      <ns0:c r="AX523" s="103" t="n"/>
      <ns0:c r="AY523" s="103" t="n"/>
      <ns0:c r="AZ523" s="103" t="n"/>
      <ns0:c r="BA523" s="103" t="n"/>
      <ns0:c r="BB523" s="74" t="inlineStr">
        <ns0:is>
          <ns0:t>HSTECH (Hang Seng TECH ETF)</ns0:t>
        </ns0:is>
      </ns0:c>
      <ns0:c r="BC523" s="87" t="n">
        <ns0:v>0.18</ns0:v>
      </ns0:c>
      <ns0:c r="BD523" s="75" t="n">
        <ns0:v>46297</ns0:v>
      </ns0:c>
      <ns0:c r="BE523" s="76" t="n">
        <ns0:v>9190.1</ns0:v>
      </ns0:c>
      <ns0:c r="BF523" s="79" t="n">
        <ns0:v>959.9</ns0:v>
      </ns0:c>
      <ns0:c r="BG523" s="74" t="inlineStr">
        <ns0:is>
          <ns0:t>Y</ns0:t>
        </ns0:is>
      </ns0:c>
      <ns0:c r="BH523" s="89" t="n">
        <ns0:v>30.1</ns0:v>
      </ns0:c>
      <ns0:c r="BI523" s="88" t="n"/>
      <ns0:c r="BJ523" s="88" t="n"/>
      <ns0:c r="BK523" s="89" t="n">
        <ns0:v>3.1</ns0:v>
      </ns0:c>
      <ns0:c r="BL523" s="90">
        <ns0:f>IFERROR(IF('BBG Verify'!S523="","Awaiting Bloomberg",'BBG Verify'!S523),"Awaiting Bloomberg")</ns0:f>
        <ns0:v/>
      </ns0:c>
      <ns0:c r="BM523" s="91" t="inlineStr">
        <ns0:is>
          <ns0:t>N</ns0:t>
        </ns0:is>
      </ns0:c>
      <ns0:c r="BN523" s="92">
        <ns0:f>IFERROR(IF('BBG Verify'!K523="","Awaiting Bloomberg",'BBG Verify'!K523),"Awaiting Bloomberg")</ns0:f>
        <ns0:v/>
      </ns0:c>
      <ns0:c r="BO523" s="74" t="inlineStr">
        <ns0:is>
          <ns0:t>N/A</ns0:t>
        </ns0:is>
      </ns0:c>
      <ns0:c r="BP523" s="74" t="inlineStr">
        <ns0:is>
          <ns0:t>N/A</ns0:t>
        </ns0:is>
      </ns0:c>
      <ns0:c r="BQ523" s="74" t="inlineStr">
        <ns0:is>
          <ns0:t>N/A</ns0:t>
        </ns0:is>
      </ns0:c>
      <ns0:c r="BR523" s="74" t="inlineStr">
        <ns0:is>
          <ns0:t>N/A</ns0:t>
        </ns0:is>
      </ns0:c>
      <ns0:c r="BS523" s="74" t="inlineStr">
        <ns0:is>
          <ns0:t>N/A</ns0:t>
        </ns0:is>
      </ns0:c>
      <ns0:c r="BT523" s="74" t="inlineStr">
        <ns0:is>
          <ns0:t>N/A</ns0:t>
        </ns0:is>
      </ns0:c>
      <ns0:c r="BU523" s="91" t="inlineStr">
        <ns0:is>
          <ns0:t>Citigroup Global Markets Asia Limited; CITIC Securities (Hong Kong) Limited</ns0:t>
        </ns0:is>
      </ns0:c>
      <ns0:c r="BV523" s="74" t="inlineStr">
        <ns0:is>
          <ns0:t>CITIC Securities (Hong Kong) Limited; Citigroup Global Markets Asia Limited</ns0:t>
        </ns0:is>
      </ns0:c>
      <ns0:c r="BW523" s="74" t="inlineStr">
        <ns0:is>
          <ns0:t>Citigroup Global Markets Asia Limited; Citigroup Global Markets Limited; Canary Wharf London E14 5LB, United Kingdom CLSA Limited; GF Securities (Hong Kong) Brokerage Limited</ns0:t>
        </ns0:is>
      </ns0:c>
      <ns0:c r="BX523" s="74" t="inlineStr">
        <ns0:is>
          <ns0:t>Citigroup Global Markets Asia Limited; CLSA Limited; Futu Securities International (Hong Kong) Limited; GF Securities (Hong Kong) Brokerage Limited</ns0:t>
        </ns0:is>
      </ns0:c>
      <ns0:c r="BY523" s="93">
        <ns0:f>HYPERLINK("https://www1.hkexnews.hk/listedco/listconews/sehk/2026/0914/2026091400007.pdf","prospectus")</ns0:f>
        <ns0:v/>
      </ns0:c>
      <ns0:c r="BZ523" s="93">
        <ns0:f>HYPERLINK("https://www1.hkexnews.hk/listedco/listconews/sehk/2026/0921/2026092101567.pdf","allotment")</ns0:f>
        <ns0:v/>
      </ns0:c>
      <ns0:c r="CA523" s="85" t="n"/>
      <ns0:c r="CB523" s="94" t="n"/>
      <ns0:c r="CC523" s="74" t="inlineStr">
        <ns0:is>
          <ns0:t>greenshoe: stabilisation window still open; range low: maximum offer price only, no floor published; 1m: pending: 7 traded sessions after debut; 21 needed; 3m: pending: 7 traded sessions after debut; 63 needed; alpha/index: 1m window not elapsed</ns0:t>
        </ns0:is>
      </ns0:c>
    </ns0:row>
    <ns0:row r="524" ht="22" customHeight="1">
      <ns0:c r="A524" s="73" t="inlineStr">
        <ns0:is>
          <ns0:t>9607</ns0:t>
        </ns0:is>
      </ns0:c>
      <ns0:c r="B524" s="74" t="inlineStr">
        <ns0:is>
          <ns0:t>RA MATERIALS</ns0:t>
        </ns0:is>
      </ns0:c>
      <ns0:c r="C524" s="74" t="inlineStr">
        <ns0:is>
          <ns0:t>彤程新材</ns0:t>
        </ns0:is>
      </ns0:c>
      <ns0:c r="D524" s="74" t="inlineStr">
        <ns0:is>
          <ns0:t>Materials/Energy</ns0:t>
        </ns0:is>
      </ns0:c>
      <ns0:c r="E524" s="74" t="inlineStr">
        <ns0:is>
          <ns0:t>Chemicals</ns0:t>
        </ns0:is>
      </ns0:c>
      <ns0:c r="F524" s="74" t="inlineStr">
        <ns0:is>
          <ns0:t>Diversified Chemicals</ns0:t>
        </ns0:is>
      </ns0:c>
      <ns0:c r="G524" s="74" t="inlineStr">
        <ns0:is>
          <ns0:t>Standard</ns0:t>
        </ns0:is>
      </ns0:c>
      <ns0:c r="H524" s="75" t="n">
        <ns0:v>46294</ns0:v>
      </ns0:c>
      <ns0:c r="I524" s="76" t="n">
        <ns0:v>2997.22</ns0:v>
      </ns0:c>
      <ns0:c r="J524" s="74" t="inlineStr">
        <ns0:is>
          <ns0:t>gross (stated)</ns0:t>
        </ns0:is>
      </ns0:c>
      <ns0:c r="K524" s="77" t="n">
        <ns0:v>39</ns0:v>
      </ns0:c>
      <ns0:c r="L524" s="77" t="n">
        <ns0:v>44</ns0:v>
      </ns0:c>
      <ns0:c r="M524" s="77" t="n">
        <ns0:v>44</ns0:v>
      </ns0:c>
      <ns0:c r="N524" s="74" t="inlineStr">
        <ns0:is>
          <ns0:t>Y</ns0:t>
        </ns0:is>
      </ns0:c>
      <ns0:c r="O524" s="78" t="n">
        <ns0:v>100</ns0:v>
      </ns0:c>
      <ns0:c r="P524" s="78" t="n">
        <ns0:v>100</ns0:v>
      </ns0:c>
      <ns0:c r="Q524" s="79" t="n">
        <ns0:v>30104.3</ns0:v>
      </ns0:c>
      <ns0:c r="R524" s="74" t="inlineStr">
        <ns0:is>
          <ns0:t>derived:price x shares upon listing</ns0:t>
        </ns0:is>
      </ns0:c>
      <ns0:c r="S524" s="80" t="n">
        <ns0:v>3.4</ns0:v>
      </ns0:c>
      <ns0:c r="T524" s="81" t="n">
        <ns0:v>2.75</ns0:v>
      </ns0:c>
      <ns0:c r="U524" s="82" t="n">
        <ns0:v>33.14</ns0:v>
      </ns0:c>
      <ns0:c r="V524" s="83" t="n">
        <ns0:v>81</ns0:v>
      </ns0:c>
      <ns0:c r="W524" s="78" t="n">
        <ns0:v>10</ns0:v>
      </ns0:c>
      <ns0:c r="X524" s="74" t="inlineStr">
        <ns0:is>
          <ns0:t>NA</ns0:t>
        </ns0:is>
      </ns0:c>
      <ns0:c r="Y524" s="79" t="n">
        <ns0:v>2003.94</ns0:v>
      </ns0:c>
      <ns0:c r="Z524" s="79" t="n">
        <ns0:v>45544163</ns0:v>
      </ns0:c>
      <ns0:c r="AA524" s="78" t="n">
        <ns0:v>6.66</ns0:v>
      </ns0:c>
      <ns0:c r="AB524" s="74" t="inlineStr">
        <ns0:is>
          <ns0:t>CNCB Investment; Full Truck; Golden Valley Master; Goldshore; Happy Wisdom; Prinx Chengshan HK; Yang Quanhai; Zhou Bo</ns0:t>
        </ns0:is>
      </ns0:c>
      <ns0:c r="AC524" s="74" t="inlineStr">
        <ns0:is>
          <ns0:t>cncb;full;golden-valley;goldshore;happy;prinx;yang-quanhai;zhou-bo</ns0:t>
        </ns0:is>
      </ns0:c>
      <ns0:c r="AD524" s="78" t="n">
        <ns0:v>10</ns0:v>
      </ns0:c>
      <ns0:c r="AE524" s="85" t="n"/>
      <ns0:c r="AF524" s="85" t="n"/>
      <ns0:c r="AG524" s="85" t="n"/>
      <ns0:c r="AH524" s="85" t="n"/>
      <ns0:c r="AI524" s="86" t="n">
        <ns0:v>-17.86</ns0:v>
      </ns0:c>
      <ns0:c r="AJ524" s="87" t="n">
        <ns0:v>-9.140000000000001</ns0:v>
      </ns0:c>
      <ns0:c r="AK524" s="87" t="n">
        <ns0:v>-0.79</ns0:v>
      </ns0:c>
      <ns0:c r="AL524" s="87" t="n">
        <ns0:v>-9.09</ns0:v>
      </ns0:c>
      <ns0:c r="AM524" s="87" t="n">
        <ns0:v>-0.05</ns0:v>
      </ns0:c>
      <ns0:c r="AN524" s="89" t="n">
        <ns0:v>1.58</ns0:v>
      </ns0:c>
      <ns0:c r="AO524" s="78" t="n">
        <ns0:v>6.7</ns0:v>
      </ns0:c>
      <ns0:c r="AP524" s="103" t="n"/>
      <ns0:c r="AQ524" s="103" t="n"/>
      <ns0:c r="AR524" s="103" t="n"/>
      <ns0:c r="AS524" s="103" t="n"/>
      <ns0:c r="AT524" s="103" t="n"/>
      <ns0:c r="AU524" s="103" t="n"/>
      <ns0:c r="AV524" s="103" t="n"/>
      <ns0:c r="AW524" s="103" t="n"/>
      <ns0:c r="AX524" s="103" t="n"/>
      <ns0:c r="AY524" s="103" t="n"/>
      <ns0:c r="AZ524" s="103" t="n"/>
      <ns0:c r="BA524" s="103" t="n"/>
      <ns0:c r="BB524" s="74" t="inlineStr">
        <ns0:is>
          <ns0:t>Hang Seng Commerce &amp; Industry sub-index</ns0:t>
        </ns0:is>
      </ns0:c>
      <ns0:c r="BC524" s="87" t="n">
        <ns0:v>-8.359999999999999</ns0:v>
      </ns0:c>
      <ns0:c r="BD524" s="75" t="n">
        <ns0:v>46297</ns0:v>
      </ns0:c>
      <ns0:c r="BE524" s="76" t="n">
        <ns0:v>3762.6</ns0:v>
      </ns0:c>
      <ns0:c r="BF524" s="79" t="n">
        <ns0:v>635</ns0:v>
      </ns0:c>
      <ns0:c r="BG524" s="74" t="inlineStr">
        <ns0:is>
          <ns0:t>Y</ns0:t>
        </ns0:is>
      </ns0:c>
      <ns0:c r="BH524" s="89" t="n">
        <ns0:v>47.4</ns0:v>
      </ns0:c>
      <ns0:c r="BI524" s="88" t="n"/>
      <ns0:c r="BJ524" s="88" t="n"/>
      <ns0:c r="BK524" s="89" t="n">
        <ns0:v>8</ns0:v>
      </ns0:c>
      <ns0:c r="BL524" s="90">
        <ns0:f>IFERROR(IF('BBG Verify'!S524="","Awaiting Bloomberg",'BBG Verify'!S524),"Awaiting Bloomberg")</ns0:f>
        <ns0:v/>
      </ns0:c>
      <ns0:c r="BM524" s="91" t="inlineStr">
        <ns0:is>
          <ns0:t>N</ns0:t>
        </ns0:is>
      </ns0:c>
      <ns0:c r="BN524" s="92">
        <ns0:f>IFERROR(IF('BBG Verify'!K524="","Awaiting Bloomberg",'BBG Verify'!K524),"Awaiting Bloomberg")</ns0:f>
        <ns0:v/>
      </ns0:c>
      <ns0:c r="BO524" s="74" t="inlineStr">
        <ns0:is>
          <ns0:t>N/A</ns0:t>
        </ns0:is>
      </ns0:c>
      <ns0:c r="BP524" s="74" t="inlineStr">
        <ns0:is>
          <ns0:t>N/A</ns0:t>
        </ns0:is>
      </ns0:c>
      <ns0:c r="BQ524" s="101" t="n">
        <ns0:v>0.8083</ns0:v>
      </ns0:c>
      <ns0:c r="BR524" s="79" t="n">
        <ns0:v>49895.2</ns0:v>
      </ns0:c>
      <ns0:c r="BS524" s="74" t="inlineStr">
        <ns0:is>
          <ns0:t>N/A</ns0:t>
        </ns0:is>
      </ns0:c>
      <ns0:c r="BT524" s="74" t="inlineStr">
        <ns0:is>
          <ns0:t>N/A</ns0:t>
        </ns0:is>
      </ns0:c>
      <ns0:c r="BU524" s="91" t="inlineStr">
        <ns0:is>
          <ns0:t>Haitong International Capital Limited</ns0:t>
        </ns0:is>
      </ns0:c>
      <ns0:c r="BV524" s="74" t="inlineStr">
        <ns0:is>
          <ns0:t>Haitong International Capital Limited</ns0:t>
        </ns0:is>
      </ns0:c>
      <ns0:c r="BW524" s="74" t="inlineStr">
        <ns0:is>
          <ns0:t>Futu Securities International (Hong Kong) Limited; Harmonia Capital Limited; Huajin Securities (International) Limited; Tiger Brokers (HK) Global Limited; Co-lead Manager uSmart Securities Limited; Haitong International Securities Company Limited; Fortune (HK) Securities Limited; uSmart Securities Limited; Yuan Tong Global Securities Limited</ns0:t>
        </ns0:is>
      </ns0:c>
      <ns0:c r="BX524" s="74" t="inlineStr">
        <ns0:is>
          <ns0:t>Fortune (HK) Securities Limited; Futu Securities International (Hong Kong) Limited; Harmonia Capital Limited; Haitong International Securities Company Limited; Huajin Securities (International) Limited; Tiger Brokers (HK) Global Limited</ns0:t>
        </ns0:is>
      </ns0:c>
      <ns0:c r="BY524" s="93">
        <ns0:f>HYPERLINK("https://www1.hkexnews.hk/listedco/listconews/sehk/2026/0921/2026092100029.pdf","prospectus")</ns0:f>
        <ns0:v/>
      </ns0:c>
      <ns0:c r="BZ524" s="93">
        <ns0:f>HYPERLINK("https://www1.hkexnews.hk/listedco/listconews/sehk/2026/0928/2026092801809.pdf","allotment")</ns0:f>
        <ns0:v/>
      </ns0:c>
      <ns0:c r="CA524" s="85" t="n"/>
      <ns0:c r="CB524" s="94" t="n"/>
      <ns0:c r="CC524" s="74" t="inlineStr">
        <ns0:is>
          <ns0:t>greenshoe: stabilisation window still open; 1w: pending: 2 traded sessions after debut; 5 needed; 1m: pending: 2 traded sessions after debut; 21 needed; 3m: pending: 2 traded sessions after debut; 63 needed; stabilising manager: filing states none appointed (allotment announcement: 'no stabilizing manager will be appointed' stated in the filing); alpha/index: 1w window not elapsed; public sub: HKEX table 3.4x kept; AAStocks 超額倍數 2.75x on its own basis</ns0:t>
        </ns0:is>
      </ns0:c>
    </ns0:row>
    <ns0:row r="525" ht="22" customHeight="1">
      <ns0:c r="A525" s="73" t="inlineStr">
        <ns0:is>
          <ns0:t>3228</ns0:t>
        </ns0:is>
      </ns0:c>
      <ns0:c r="B525" s="74" t="inlineStr">
        <ns0:is>
          <ns0:t>KINWONG</ns0:t>
        </ns0:is>
      </ns0:c>
      <ns0:c r="C525" s="74" t="inlineStr">
        <ns0:is>
          <ns0:t>景旺電子</ns0:t>
        </ns0:is>
      </ns0:c>
      <ns0:c r="D525" s="74" t="inlineStr">
        <ns0:is>
          <ns0:t>Technology</ns0:t>
        </ns0:is>
      </ns0:c>
      <ns0:c r="E525" s="74" t="inlineStr">
        <ns0:is>
          <ns0:t>Hardware &amp; electronics</ns0:t>
        </ns0:is>
      </ns0:c>
      <ns0:c r="F525" s="74" t="inlineStr">
        <ns0:is>
          <ns0:t>Printed Circuit Boards</ns0:t>
        </ns0:is>
      </ns0:c>
      <ns0:c r="G525" s="74" t="inlineStr">
        <ns0:is>
          <ns0:t>Standard</ns0:t>
        </ns0:is>
      </ns0:c>
      <ns0:c r="H525" s="75" t="n">
        <ns0:v>46294</ns0:v>
      </ns0:c>
      <ns0:c r="I525" s="76" t="n">
        <ns0:v>5097.3</ns0:v>
      </ns0:c>
      <ns0:c r="J525" s="74" t="inlineStr">
        <ns0:is>
          <ns0:t>gross (stated)</ns0:t>
        </ns0:is>
      </ns0:c>
      <ns0:c r="K525" s="95" t="n"/>
      <ns0:c r="L525" s="77" t="n">
        <ns0:v>69.88</ns0:v>
      </ns0:c>
      <ns0:c r="M525" s="77" t="n">
        <ns0:v>69.88</ns0:v>
      </ns0:c>
      <ns0:c r="N525" s="74" t="inlineStr">
        <ns0:is>
          <ns0:t>Y</ns0:t>
        </ns0:is>
      </ns0:c>
      <ns0:c r="O525" s="78" t="n">
        <ns0:v>100</ns0:v>
      </ns0:c>
      <ns0:c r="P525" s="84" t="n"/>
      <ns0:c r="Q525" s="79" t="n">
        <ns0:v>75069.89999999999</ns0:v>
      </ns0:c>
      <ns0:c r="R525" s="74" t="inlineStr">
        <ns0:is>
          <ns0:t>derived:price x shares upon listing</ns0:t>
        </ns0:is>
      </ns0:c>
      <ns0:c r="S525" s="80" t="n">
        <ns0:v>94.3</ns0:v>
      </ns0:c>
      <ns0:c r="T525" s="81" t="n">
        <ns0:v>10.57</ns0:v>
      </ns0:c>
      <ns0:c r="U525" s="82" t="n">
        <ns0:v>47.4</ns0:v>
      </ns0:c>
      <ns0:c r="V525" s="83" t="n">
        <ns0:v>143</ns0:v>
      </ns0:c>
      <ns0:c r="W525" s="78" t="n">
        <ns0:v>10</ns0:v>
      </ns0:c>
      <ns0:c r="X525" s="74" t="inlineStr">
        <ns0:is>
          <ns0:t>NO</ns0:t>
        </ns0:is>
      </ns0:c>
      <ns0:c r="Y525" s="79" t="n">
        <ns0:v>2681.18</ns0:v>
      </ns0:c>
      <ns0:c r="Z525" s="79" t="n">
        <ns0:v>38368702</ns0:v>
      </ns0:c>
      <ns0:c r="AA525" s="78" t="n">
        <ns0:v>3.57</ns0:v>
      </ns0:c>
      <ns0:c r="AB525" s="74" t="inlineStr">
        <ns0:is>
          <ns0:t>3W Fund Management Limited; Baring Asset Management (Asia) Limited; Bosera Asset Management (International) Co., Limited; Cambridge Industries Group Telecommunication Limited; CloudAlpha Capital Management Limited; CPE Redwood Investment Limited; E Fund Management (Hong Kong) Co., Ltd; HONG KONG MASON ELECTRONICS CO., LIMITED; JPMorgan Asset Management (Asia Pacific) Limited; KINGBOARD INVESTMENTS LIMITED; Ninety One Asia Pte. Limited; Seven Grand Managers, LLC; Tianhong Asset Management Co., Ltd; Zhongji Innolight Co., Ltd</ns0:t>
        </ns0:is>
      </ns0:c>
      <ns0:c r="AC525" s="74" t="inlineStr">
        <ns0:is>
          <ns0:t>3w;baring;bosera;cambridge;cloudalpha;cpe;fund-management;mason;jpmorgan;kingboard;ninety;seven;tianhong;zhongji</ns0:t>
        </ns0:is>
      </ns0:c>
      <ns0:c r="AD525" s="84" t="n"/>
      <ns0:c r="AE525" s="85" t="n"/>
      <ns0:c r="AF525" s="85" t="n"/>
      <ns0:c r="AG525" s="85" t="n"/>
      <ns0:c r="AH525" s="85" t="n"/>
      <ns0:c r="AI525" s="86" t="n">
        <ns0:v>-6.34</ns0:v>
      </ns0:c>
      <ns0:c r="AJ525" s="87" t="n">
        <ns0:v>10.26</ns0:v>
      </ns0:c>
      <ns0:c r="AK525" s="87" t="n">
        <ns0:v>-1.24</ns0:v>
      </ns0:c>
      <ns0:c r="AL525" s="87" t="n">
        <ns0:v>-6.98</ns0:v>
      </ns0:c>
      <ns0:c r="AM525" s="87" t="n">
        <ns0:v>18.53</ns0:v>
      </ns0:c>
      <ns0:c r="AN525" s="89" t="n">
        <ns0:v>3.11</ns0:v>
      </ns0:c>
      <ns0:c r="AO525" s="78" t="n">
        <ns0:v>24.31</ns0:v>
      </ns0:c>
      <ns0:c r="AP525" s="103" t="n"/>
      <ns0:c r="AQ525" s="103" t="n"/>
      <ns0:c r="AR525" s="103" t="n"/>
      <ns0:c r="AS525" s="103" t="n"/>
      <ns0:c r="AT525" s="103" t="n"/>
      <ns0:c r="AU525" s="103" t="n"/>
      <ns0:c r="AV525" s="103" t="n"/>
      <ns0:c r="AW525" s="103" t="n"/>
      <ns0:c r="AX525" s="103" t="n"/>
      <ns0:c r="AY525" s="103" t="n"/>
      <ns0:c r="AZ525" s="103" t="n"/>
      <ns0:c r="BA525" s="103" t="n"/>
      <ns0:c r="BB525" s="74" t="inlineStr">
        <ns0:is>
          <ns0:t>HSTECH (Hang Seng TECH ETF)</ns0:t>
        </ns0:is>
      </ns0:c>
      <ns0:c r="BC525" s="87" t="n">
        <ns0:v>6.47</ns0:v>
      </ns0:c>
      <ns0:c r="BD525" s="75" t="n">
        <ns0:v>46297</ns0:v>
      </ns0:c>
      <ns0:c r="BE525" s="76" t="n">
        <ns0:v>16838.9</ns0:v>
      </ns0:c>
      <ns0:c r="BF525" s="79" t="n">
        <ns0:v>1368.4</ns0:v>
      </ns0:c>
      <ns0:c r="BG525" s="74" t="inlineStr">
        <ns0:is>
          <ns0:t>Y</ns0:t>
        </ns0:is>
      </ns0:c>
      <ns0:c r="BH525" s="89" t="n">
        <ns0:v>54.9</ns0:v>
      </ns0:c>
      <ns0:c r="BI525" s="88" t="n"/>
      <ns0:c r="BJ525" s="88" t="n"/>
      <ns0:c r="BK525" s="89" t="n">
        <ns0:v>4.5</ns0:v>
      </ns0:c>
      <ns0:c r="BL525" s="90">
        <ns0:f>IFERROR(IF('BBG Verify'!S525="","Awaiting Bloomberg",'BBG Verify'!S525),"Awaiting Bloomberg")</ns0:f>
        <ns0:v/>
      </ns0:c>
      <ns0:c r="BM525" s="91" t="inlineStr">
        <ns0:is>
          <ns0:t>N</ns0:t>
        </ns0:is>
      </ns0:c>
      <ns0:c r="BN525" s="92">
        <ns0:f>IFERROR(IF('BBG Verify'!K525="","Awaiting Bloomberg",'BBG Verify'!K525),"Awaiting Bloomberg")</ns0:f>
        <ns0:v/>
      </ns0:c>
      <ns0:c r="BO525" s="74" t="inlineStr">
        <ns0:is>
          <ns0:t>N/A</ns0:t>
        </ns0:is>
      </ns0:c>
      <ns0:c r="BP525" s="74" t="inlineStr">
        <ns0:is>
          <ns0:t>N/A</ns0:t>
        </ns0:is>
      </ns0:c>
      <ns0:c r="BQ525" s="101" t="n">
        <ns0:v>0.5918</ns0:v>
      </ns0:c>
      <ns0:c r="BR525" s="79" t="n">
        <ns0:v>127407.3</ns0:v>
      </ns0:c>
      <ns0:c r="BS525" s="74" t="inlineStr">
        <ns0:is>
          <ns0:t>N/A</ns0:t>
        </ns0:is>
      </ns0:c>
      <ns0:c r="BT525" s="74" t="inlineStr">
        <ns0:is>
          <ns0:t>N/A</ns0:t>
        </ns0:is>
      </ns0:c>
      <ns0:c r="BU525" s="91" t="inlineStr">
        <ns0:is>
          <ns0:t>CITIC Securities (Hong Kong) Limited; Merrill Lynch (Asia Pacific) Limited; Guolian Securities International Capital Market Co., Limited</ns0:t>
        </ns0:is>
      </ns0:c>
      <ns0:c r="BV525" s="74" t="inlineStr">
        <ns0:is>
          <ns0:t>Merrill Lynch (Asia Pacific) Limited; CITIC Securities (Hong Kong) Limited; Guolian Securities International Capital Market Co.</ns0:t>
        </ns0:is>
      </ns0:c>
      <ns0:c r="BW525" s="74" t="inlineStr">
        <ns0:is>
          <ns0:t>CLSA Limited; Merrill Lynch (Asia Pacific) Limited; Guolian Securities International Capital Co., Limited</ns0:t>
        </ns0:is>
      </ns0:c>
      <ns0:c r="BX525" s="74" t="inlineStr">
        <ns0:is>
          <ns0:t>CLSA Limited; Guolian Securities International Capital Market Co., Limited; Merrill Lynch (Asia Pacific) Limited</ns0:t>
        </ns0:is>
      </ns0:c>
      <ns0:c r="BY525" s="93">
        <ns0:f>HYPERLINK("https://www1.hkexnews.hk/listedco/listconews/sehk/2026/0921/2026092100035.pdf","prospectus")</ns0:f>
        <ns0:v/>
      </ns0:c>
      <ns0:c r="BZ525" s="93">
        <ns0:f>HYPERLINK("https://www1.hkexnews.hk/listedco/listconews/sehk/2026/0928/2026092801965.pdf","allotment")</ns0:f>
        <ns0:v/>
      </ns0:c>
      <ns0:c r="CA525" s="85" t="n"/>
      <ns0:c r="CB525" s="94" t="n"/>
      <ns0:c r="CC525" s="74" t="inlineStr">
        <ns0:is>
          <ns0:t>greenshoe: stabilisation window still open; range low: maximum offer price only, no floor published; 1w: pending: 2 traded sessions after debut; 5 needed; 1m: pending: 2 traded sessions after debut; 21 needed; 3m: pending: 2 traded sessions after debut; 63 needed; greenshoe size: no over-allotment option; stabilising manager: no over-allotment option, so none appointed; alpha/index: 1w window not elapsed; public sub: HKEX table 94.3x kept; AAStocks 超額倍數 10.57x on its own basis</ns0:t>
        </ns0:is>
      </ns0:c>
    </ns0:row>
    <ns0:row r="526" ht="22" customHeight="1">
      <ns0:c r="A526" s="73" t="inlineStr">
        <ns0:is>
          <ns0:t>3757</ns0:t>
        </ns0:is>
      </ns0:c>
      <ns0:c r="B526" s="74" t="inlineStr">
        <ns0:is>
          <ns0:t>ROBOTECHNIK</ns0:t>
        </ns0:is>
      </ns0:c>
      <ns0:c r="C526" s="74" t="inlineStr">
        <ns0:is>
          <ns0:t>羅博特科</ns0:t>
        </ns0:is>
      </ns0:c>
      <ns0:c r="D526" s="74" t="inlineStr">
        <ns0:is>
          <ns0:t>Technology</ns0:t>
        </ns0:is>
      </ns0:c>
      <ns0:c r="E526" s="74" t="inlineStr">
        <ns0:is>
          <ns0:t>Robotics &amp; autonomous driving</ns0:t>
        </ns0:is>
      </ns0:c>
      <ns0:c r="F526" s="74" t="inlineStr">
        <ns0:is>
          <ns0:t>New energy and environmental protection</ns0:t>
        </ns0:is>
      </ns0:c>
      <ns0:c r="G526" s="74" t="inlineStr">
        <ns0:is>
          <ns0:t>Standard</ns0:t>
        </ns0:is>
      </ns0:c>
      <ns0:c r="H526" s="75" t="n">
        <ns0:v>46294</ns0:v>
      </ns0:c>
      <ns0:c r="I526" s="76" t="n">
        <ns0:v>5177.9</ns0:v>
      </ns0:c>
      <ns0:c r="J526" s="74" t="inlineStr">
        <ns0:is>
          <ns0:t>gross (stated)</ns0:t>
        </ns0:is>
      </ns0:c>
      <ns0:c r="K526" s="95" t="n"/>
      <ns0:c r="L526" s="77" t="n">
        <ns0:v>436</ns0:v>
      </ns0:c>
      <ns0:c r="M526" s="77" t="n">
        <ns0:v>436</ns0:v>
      </ns0:c>
      <ns0:c r="N526" s="74" t="inlineStr">
        <ns0:is>
          <ns0:t>Y</ns0:t>
        </ns0:is>
      </ns0:c>
      <ns0:c r="O526" s="78" t="n">
        <ns0:v>100</ns0:v>
      </ns0:c>
      <ns0:c r="P526" s="84" t="n"/>
      <ns0:c r="Q526" s="79" t="n">
        <ns0:v>69038.7</ns0:v>
      </ns0:c>
      <ns0:c r="R526" s="74" t="inlineStr">
        <ns0:is>
          <ns0:t>derived:deal size / offer % of enlarged capital</ns0:t>
        </ns0:is>
      </ns0:c>
      <ns0:c r="S526" s="80" t="n">
        <ns0:v>8.699999999999999</ns0:v>
      </ns0:c>
      <ns0:c r="T526" s="81" t="n">
        <ns0:v>5.97</ns0:v>
      </ns0:c>
      <ns0:c r="U526" s="82" t="n">
        <ns0:v>35.2</ns0:v>
      </ns0:c>
      <ns0:c r="V526" s="83" t="n">
        <ns0:v>120</ns0:v>
      </ns0:c>
      <ns0:c r="W526" s="78" t="n">
        <ns0:v>10</ns0:v>
      </ns0:c>
      <ns0:c r="X526" s="74" t="inlineStr">
        <ns0:is>
          <ns0:t>NA</ns0:t>
        </ns0:is>
      </ns0:c>
      <ns0:c r="Y526" s="79" t="n">
        <ns0:v>3355.28</ns0:v>
      </ns0:c>
      <ns0:c r="Z526" s="79" t="n">
        <ns0:v>7695648</ns0:v>
      </ns0:c>
      <ns0:c r="AA526" s="78" t="n">
        <ns0:v>4.86</ns0:v>
      </ns0:c>
      <ns0:c r="AB526" s="74" t="inlineStr">
        <ns0:is>
          <ns0:t>Temasek; Sunpeak Asset; IvyRock; E Fund Management Co., Ltd; E Fund HK; Winner Global Fund; Wind Sabre; Vestide Lumir; Arrowpoint; Sino Opulence Fund; Roofer Asset Management; Bloom Capital; Mr. Lai Pak Lam; Mr. Xia Shengli; Mr. Zhu Guodong; Mr. Zheng Xiaofeng</ns0:t>
        </ns0:is>
      </ns0:c>
      <ns0:c r="AC526" s="74" t="inlineStr">
        <ns0:is>
          <ns0:t>temasek;sunpeak;ivyrock;fund-management;fund-hk;winner;wind;vestide;arrowpoint;sino-opulence;roofer;bloom;mr-lai;mr-xia;mr-zhu;mr-zheng</ns0:t>
        </ns0:is>
      </ns0:c>
      <ns0:c r="AD526" s="78" t="n">
        <ns0:v>15</ns0:v>
      </ns0:c>
      <ns0:c r="AE526" s="85" t="n"/>
      <ns0:c r="AF526" s="74" t="inlineStr">
        <ns0:is>
          <ns0:t>2026-10-24</ns0:t>
        </ns0:is>
      </ns0:c>
      <ns0:c r="AG526" s="74" t="inlineStr">
        <ns0:is>
          <ns0:t>Huatai Financial Holdings</ns0:t>
        </ns0:is>
      </ns0:c>
      <ns0:c r="AH526" s="74" t="inlineStr">
        <ns0:is>
          <ns0:t>Huatai</ns0:t>
        </ns0:is>
      </ns0:c>
      <ns0:c r="AI526" s="86" t="n">
        <ns0:v>-1.83</ns0:v>
      </ns0:c>
      <ns0:c r="AJ526" s="87" t="n">
        <ns0:v>-4.95</ns0:v>
      </ns0:c>
      <ns0:c r="AK526" s="87" t="n">
        <ns0:v>-1.24</ns0:v>
      </ns0:c>
      <ns0:c r="AL526" s="87" t="n">
        <ns0:v>-3.76</ns0:v>
      </ns0:c>
      <ns0:c r="AM526" s="87" t="n">
        <ns0:v>-1.24</ns0:v>
      </ns0:c>
      <ns0:c r="AN526" s="89" t="n">
        <ns0:v>2.19</ns0:v>
      </ns0:c>
      <ns0:c r="AO526" s="78" t="n">
        <ns0:v>7.48</ns0:v>
      </ns0:c>
      <ns0:c r="AP526" s="103" t="n"/>
      <ns0:c r="AQ526" s="103" t="n"/>
      <ns0:c r="AR526" s="103" t="n"/>
      <ns0:c r="AS526" s="103" t="n"/>
      <ns0:c r="AT526" s="103" t="n"/>
      <ns0:c r="AU526" s="103" t="n"/>
      <ns0:c r="AV526" s="103" t="n"/>
      <ns0:c r="AW526" s="103" t="n"/>
      <ns0:c r="AX526" s="103" t="n"/>
      <ns0:c r="AY526" s="103" t="n"/>
      <ns0:c r="AZ526" s="103" t="n"/>
      <ns0:c r="BA526" s="103" t="n"/>
      <ns0:c r="BB526" s="74" t="inlineStr">
        <ns0:is>
          <ns0:t>HSTECH (Hang Seng TECH ETF)</ns0:t>
        </ns0:is>
      </ns0:c>
      <ns0:c r="BC526" s="87" t="n">
        <ns0:v>-8.85</ns0:v>
      </ns0:c>
      <ns0:c r="BD526" s="75" t="n">
        <ns0:v>46297</ns0:v>
      </ns0:c>
      <ns0:c r="BE526" s="76" t="n">
        <ns0:v>1043.7</ns0:v>
      </ns0:c>
      <ns0:c r="BF526" s="79" t="n">
        <ns0:v>-49.5</ns0:v>
      </ns0:c>
      <ns0:c r="BG526" s="74" t="inlineStr">
        <ns0:is>
          <ns0:t>N</ns0:t>
        </ns0:is>
      </ns0:c>
      <ns0:c r="BH526" s="74" t="inlineStr">
        <ns0:is>
          <ns0:t>n/m</ns0:t>
        </ns0:is>
      </ns0:c>
      <ns0:c r="BI526" s="88" t="n"/>
      <ns0:c r="BJ526" s="88" t="n"/>
      <ns0:c r="BK526" s="89" t="n">
        <ns0:v>66.09999999999999</ns0:v>
      </ns0:c>
      <ns0:c r="BL526" s="90">
        <ns0:f>IFERROR(IF('BBG Verify'!S526="","Awaiting Bloomberg",'BBG Verify'!S526),"Awaiting Bloomberg")</ns0:f>
        <ns0:v/>
      </ns0:c>
      <ns0:c r="BM526" s="91" t="inlineStr">
        <ns0:is>
          <ns0:t>N</ns0:t>
        </ns0:is>
      </ns0:c>
      <ns0:c r="BN526" s="92">
        <ns0:f>IFERROR(IF('BBG Verify'!K526="","Awaiting Bloomberg",'BBG Verify'!K526),"Awaiting Bloomberg")</ns0:f>
        <ns0:v/>
      </ns0:c>
      <ns0:c r="BO526" s="74" t="inlineStr">
        <ns0:is>
          <ns0:t>N/A</ns0:t>
        </ns0:is>
      </ns0:c>
      <ns0:c r="BP526" s="74" t="inlineStr">
        <ns0:is>
          <ns0:t>N/A</ns0:t>
        </ns0:is>
      </ns0:c>
      <ns0:c r="BQ526" s="101" t="n">
        <ns0:v>0.5711000000000001</ns0:v>
      </ns0:c>
      <ns0:c r="BR526" s="79" t="n">
        <ns0:v>112094.5</ns0:v>
      </ns0:c>
      <ns0:c r="BS526" s="74" t="inlineStr">
        <ns0:is>
          <ns0:t>N/A</ns0:t>
        </ns0:is>
      </ns0:c>
      <ns0:c r="BT526" s="74" t="inlineStr">
        <ns0:is>
          <ns0:t>N/A</ns0:t>
        </ns0:is>
      </ns0:c>
      <ns0:c r="BU526" s="91" t="inlineStr">
        <ns0:is>
          <ns0:t>Huatai Financial Holdings (Hong Kong) Limited; Citigroup Global Markets Asia Limited; Orient Capital (Hong Kong) Limited</ns0:t>
        </ns0:is>
      </ns0:c>
      <ns0:c r="BV526" s="74" t="inlineStr">
        <ns0:is>
          <ns0:t>Huatai Financial Holdings (Hong Kong) Limited; Orient Capital (Hong Kong) Limited; Citigroup Global Markets Asia Limited</ns0:t>
        </ns0:is>
      </ns0:c>
      <ns0:c r="BW526" s="74" t="inlineStr">
        <ns0:is>
          <ns0:t>Huatai Financial Holdings (Hong Kong) Limited; Citigroup Global Markets Asia Limited; Citigroup Global Markets Limited; Canary Wharf London E14 5LB, United Kingdom Orient Securities (Hong Kong) Limited; Tiger Brokers (HK) Global Limited</ns0:t>
        </ns0:is>
      </ns0:c>
      <ns0:c r="BX526" s="74" t="inlineStr">
        <ns0:is>
          <ns0:t>Citigroup Global Markets Asia Limited; Futu Securities International (Hong Kong) Limited; Huatai Financial Holdings (Hong Kong) Limited; Orient Securities (Hong Kong) Limited; Tiger Brokers (HK) Global Limited</ns0:t>
        </ns0:is>
      </ns0:c>
      <ns0:c r="BY526" s="93">
        <ns0:f>HYPERLINK("https://www1.hkexnews.hk/listedco/listconews/sehk/2026/0921/2026092100017.pdf","prospectus")</ns0:f>
        <ns0:v/>
      </ns0:c>
      <ns0:c r="BZ526" s="93">
        <ns0:f>HYPERLINK("https://www1.hkexnews.hk/listedco/listconews/sehk/2026/0928/2026092801977.pdf","allotment")</ns0:f>
        <ns0:v/>
      </ns0:c>
      <ns0:c r="CA526" s="85" t="n"/>
      <ns0:c r="CB526" s="94" t="n"/>
      <ns0:c r="CC526" s="74" t="inlineStr">
        <ns0:is>
          <ns0:t>P/E: loss-making at IPO, use P/S; greenshoe: stabilisation window still open; range low: maximum offer price only, no floor published; 1w: pending: 2 traded sessions after debut; 5 needed; 1m: pending: 2 traded sessions after debut; 21 needed; 3m: pending: 2 traded sessions after debut; 63 needed; alpha/index: 1w window not elapsed; public sub: HKEX table 8.7x kept; AAStocks 超額倍數 5.97x on its own basis</ns0:t>
        </ns0:is>
      </ns0:c>
    </ns0:row>
    <ns0:row r="527" ht="22" customHeight="1">
      <ns0:c r="A527" s="73" t="inlineStr">
        <ns0:is>
          <ns0:t>6731</ns0:t>
        </ns0:is>
      </ns0:c>
      <ns0:c r="B527" s="74" t="inlineStr">
        <ns0:is>
          <ns0:t>DIRECT DRIVE</ns0:t>
        </ns0:is>
      </ns0:c>
      <ns0:c r="C527" s="74" t="inlineStr">
        <ns0:is>
          <ns0:t>本末科技</ns0:t>
        </ns0:is>
      </ns0:c>
      <ns0:c r="D527" s="74" t="inlineStr">
        <ns0:is>
          <ns0:t>Technology</ns0:t>
        </ns0:is>
      </ns0:c>
      <ns0:c r="E527" s="74" t="inlineStr">
        <ns0:is>
          <ns0:t>Robotics &amp; autonomous driving</ns0:t>
        </ns0:is>
      </ns0:c>
      <ns0:c r="F527" s="74" t="inlineStr">
        <ns0:is>
          <ns0:t>Advanced hardware and software</ns0:t>
        </ns0:is>
      </ns0:c>
      <ns0:c r="G527" s="74" t="inlineStr">
        <ns0:is>
          <ns0:t>18C</ns0:t>
        </ns0:is>
      </ns0:c>
      <ns0:c r="H527" s="75" t="n">
        <ns0:v>46294</ns0:v>
      </ns0:c>
      <ns0:c r="I527" s="76" t="n">
        <ns0:v>1080</ns0:v>
      </ns0:c>
      <ns0:c r="J527" s="74" t="inlineStr">
        <ns0:is>
          <ns0:t>gross (stated)</ns0:t>
        </ns0:is>
      </ns0:c>
      <ns0:c r="K527" s="95" t="n"/>
      <ns0:c r="L527" s="77" t="n">
        <ns0:v>21.6</ns0:v>
      </ns0:c>
      <ns0:c r="M527" s="77" t="n">
        <ns0:v>21.6</ns0:v>
      </ns0:c>
      <ns0:c r="N527" s="74" t="inlineStr">
        <ns0:is>
          <ns0:t>Y</ns0:t>
        </ns0:is>
      </ns0:c>
      <ns0:c r="O527" s="78" t="n">
        <ns0:v>100</ns0:v>
      </ns0:c>
      <ns0:c r="P527" s="84" t="n"/>
      <ns0:c r="Q527" s="79" t="n">
        <ns0:v>7983.1</ns0:v>
      </ns0:c>
      <ns0:c r="R527" s="74" t="inlineStr">
        <ns0:is>
          <ns0:t>derived:price x shares upon listing</ns0:t>
        </ns0:is>
      </ns0:c>
      <ns0:c r="S527" s="80" t="n">
        <ns0:v>208.6</ns0:v>
      </ns0:c>
      <ns0:c r="T527" s="81" t="n">
        <ns0:v>208.56</ns0:v>
      </ns0:c>
      <ns0:c r="U527" s="82" t="n">
        <ns0:v>43.54</ns0:v>
      </ns0:c>
      <ns0:c r="V527" s="100" t="n"/>
      <ns0:c r="W527" s="78" t="n">
        <ns0:v>20</ns0:v>
      </ns0:c>
      <ns0:c r="X527" s="74" t="inlineStr">
        <ns0:is>
          <ns0:t>YES</ns0:t>
        </ns0:is>
      </ns0:c>
      <ns0:c r="Y527" s="79" t="n">
        <ns0:v>609.77</ns0:v>
      </ns0:c>
      <ns0:c r="Z527" s="79" t="n">
        <ns0:v>28230000</ns0:v>
      </ns0:c>
      <ns0:c r="AA527" s="78" t="n">
        <ns0:v>7.64</ns0:v>
      </ns0:c>
      <ns0:c r="AB527" s="74" t="inlineStr">
        <ns0:is>
          <ns0:t>HK Technology Innovation; JSC International (for and on behalf of Shenghai SP)</ns0:t>
        </ns0:is>
      </ns0:c>
      <ns0:c r="AC527" s="74" t="inlineStr">
        <ns0:is>
          <ns0:t>technology;jsc</ns0:t>
        </ns0:is>
      </ns0:c>
      <ns0:c r="AD527" s="78" t="n">
        <ns0:v>18.99</ns0:v>
      </ns0:c>
      <ns0:c r="AE527" s="85" t="n"/>
      <ns0:c r="AF527" s="85" t="n"/>
      <ns0:c r="AG527" s="74" t="inlineStr">
        <ns0:is>
          <ns0:t>CLSA Limited</ns0:t>
        </ns0:is>
      </ns0:c>
      <ns0:c r="AH527" s="74" t="inlineStr">
        <ns0:is>
          <ns0:t>CLSA</ns0:t>
        </ns0:is>
      </ns0:c>
      <ns0:c r="AI527" s="86" t="n">
        <ns0:v>4.26</ns0:v>
      </ns0:c>
      <ns0:c r="AJ527" s="87" t="n">
        <ns0:v>7.41</ns0:v>
      </ns0:c>
      <ns0:c r="AK527" s="87" t="n">
        <ns0:v>-1.24</ns0:v>
      </ns0:c>
      <ns0:c r="AL527" s="87" t="n">
        <ns0:v>4.07</ns0:v>
      </ns0:c>
      <ns0:c r="AM527" s="87" t="n">
        <ns0:v>3.21</ns0:v>
      </ns0:c>
      <ns0:c r="AN527" s="89" t="n">
        <ns0:v>1.34</ns0:v>
      </ns0:c>
      <ns0:c r="AO527" s="78" t="n">
        <ns0:v>7.38</ns0:v>
      </ns0:c>
      <ns0:c r="AP527" s="103" t="n"/>
      <ns0:c r="AQ527" s="103" t="n"/>
      <ns0:c r="AR527" s="103" t="n"/>
      <ns0:c r="AS527" s="103" t="n"/>
      <ns0:c r="AT527" s="103" t="n"/>
      <ns0:c r="AU527" s="103" t="n"/>
      <ns0:c r="AV527" s="103" t="n"/>
      <ns0:c r="AW527" s="103" t="n"/>
      <ns0:c r="AX527" s="103" t="n"/>
      <ns0:c r="AY527" s="103" t="n"/>
      <ns0:c r="AZ527" s="103" t="n"/>
      <ns0:c r="BA527" s="103" t="n"/>
      <ns0:c r="BB527" s="74" t="inlineStr">
        <ns0:is>
          <ns0:t>HSTECH (Hang Seng TECH ETF)</ns0:t>
        </ns0:is>
      </ns0:c>
      <ns0:c r="BC527" s="87" t="n">
        <ns0:v>13.43</ns0:v>
      </ns0:c>
      <ns0:c r="BD527" s="75" t="n">
        <ns0:v>46297</ns0:v>
      </ns0:c>
      <ns0:c r="BE527" s="76" t="n">
        <ns0:v>309.9</ns0:v>
      </ns0:c>
      <ns0:c r="BF527" s="79" t="n">
        <ns0:v>-969.1</ns0:v>
      </ns0:c>
      <ns0:c r="BG527" s="74" t="inlineStr">
        <ns0:is>
          <ns0:t>N</ns0:t>
        </ns0:is>
      </ns0:c>
      <ns0:c r="BH527" s="74" t="inlineStr">
        <ns0:is>
          <ns0:t>n/m</ns0:t>
        </ns0:is>
      </ns0:c>
      <ns0:c r="BI527" s="88" t="n"/>
      <ns0:c r="BJ527" s="88" t="n"/>
      <ns0:c r="BK527" s="89" t="n">
        <ns0:v>25.8</ns0:v>
      </ns0:c>
      <ns0:c r="BL527" s="90">
        <ns0:f>IFERROR(IF('BBG Verify'!S527="","Awaiting Bloomberg",'BBG Verify'!S527),"Awaiting Bloomberg")</ns0:f>
        <ns0:v/>
      </ns0:c>
      <ns0:c r="BM527" s="91" t="inlineStr">
        <ns0:is>
          <ns0:t>N</ns0:t>
        </ns0:is>
      </ns0:c>
      <ns0:c r="BN527" s="92">
        <ns0:f>IFERROR(IF('BBG Verify'!K527="","Awaiting Bloomberg",'BBG Verify'!K527),"Awaiting Bloomberg")</ns0:f>
        <ns0:v/>
      </ns0:c>
      <ns0:c r="BO527" s="74" t="inlineStr">
        <ns0:is>
          <ns0:t>N/A</ns0:t>
        </ns0:is>
      </ns0:c>
      <ns0:c r="BP527" s="74" t="inlineStr">
        <ns0:is>
          <ns0:t>N/A</ns0:t>
        </ns0:is>
      </ns0:c>
      <ns0:c r="BQ527" s="74" t="inlineStr">
        <ns0:is>
          <ns0:t>N/A</ns0:t>
        </ns0:is>
      </ns0:c>
      <ns0:c r="BR527" s="74" t="inlineStr">
        <ns0:is>
          <ns0:t>N/A</ns0:t>
        </ns0:is>
      </ns0:c>
      <ns0:c r="BS527" s="74" t="inlineStr">
        <ns0:is>
          <ns0:t>N/A</ns0:t>
        </ns0:is>
      </ns0:c>
      <ns0:c r="BT527" s="74" t="inlineStr">
        <ns0:is>
          <ns0:t>N/A</ns0:t>
        </ns0:is>
      </ns0:c>
      <ns0:c r="BU527" s="91" t="inlineStr">
        <ns0:is>
          <ns0:t>CITIC Securities (Hong Kong) Limited</ns0:t>
        </ns0:is>
      </ns0:c>
      <ns0:c r="BV527" s="74" t="inlineStr">
        <ns0:is>
          <ns0:t>CITIC Securities (Hong Kong) Limited</ns0:t>
        </ns0:is>
      </ns0:c>
      <ns0:c r="BW527" s="74" t="inlineStr">
        <ns0:is>
          <ns0:t>CLSA Limited; CMB International Capital Limited; Futu Securities International (Hong Kong) Limited; Neutral Financial Holding Company Limited</ns0:t>
        </ns0:is>
      </ns0:c>
      <ns0:c r="BX527" s="74" t="inlineStr">
        <ns0:is>
          <ns0:t>China Harbour International Securities Limited; CLSA Limited; CMB International Capital Limited; Futu Securities International (Hong Kong) Limited; Neutral Financial Holding Company Limited</ns0:t>
        </ns0:is>
      </ns0:c>
      <ns0:c r="BY527" s="93">
        <ns0:f>HYPERLINK("https://www1.hkexnews.hk/listedco/listconews/sehk/2026/0921/2026092100065.pdf","prospectus")</ns0:f>
        <ns0:v/>
      </ns0:c>
      <ns0:c r="BZ527" s="93">
        <ns0:f>HYPERLINK("https://www1.hkexnews.hk/listedco/listconews/sehk/2026/0928/2026092802011.pdf","allotment")</ns0:f>
        <ns0:v/>
      </ns0:c>
      <ns0:c r="CA527" s="85" t="n"/>
      <ns0:c r="CB527" s="94" t="n"/>
      <ns0:c r="CC527" s="74" t="inlineStr">
        <ns0:is>
          <ns0:t>P/E: loss-making at IPO, use P/S; greenshoe: stabilisation window still open; range low: maximum offer price only, no floor published; 1w: pending: 2 traded sessions after debut; 5 needed; 1m: pending: 2 traded sessions after debut; 21 needed; 3m: pending: 2 traded sessions after debut; 63 needed; market cap: prospectus 'market capitalisation' line is the listing-rule threshold, not the issuer's figure; rejected; alpha/index: 1w window not elapsed; allocation: allocation table not in this notice's format (older prose announcement)</ns0:t>
        </ns0:is>
      </ns0:c>
    </ns0:row>
    <ns0:row r="528" ht="22" customHeight="1">
      <ns0:c r="A528" s="73" t="inlineStr">
        <ns0:is>
          <ns0:t>6802</ns0:t>
        </ns0:is>
      </ns0:c>
      <ns0:c r="B528" s="74" t="inlineStr">
        <ns0:is>
          <ns0:t>CAMSENSE</ns0:t>
        </ns0:is>
      </ns0:c>
      <ns0:c r="C528" s="74" t="inlineStr">
        <ns0:is>
          <ns0:t>歡創科技</ns0:t>
        </ns0:is>
      </ns0:c>
      <ns0:c r="D528" s="74" t="inlineStr">
        <ns0:is>
          <ns0:t>Technology</ns0:t>
        </ns0:is>
      </ns0:c>
      <ns0:c r="E528" s="74" t="inlineStr">
        <ns0:is>
          <ns0:t>Robotics &amp; autonomous driving</ns0:t>
        </ns0:is>
      </ns0:c>
      <ns0:c r="F528" s="74" t="inlineStr">
        <ns0:is>
          <ns0:t>Advanced hardware and software</ns0:t>
        </ns0:is>
      </ns0:c>
      <ns0:c r="G528" s="74" t="inlineStr">
        <ns0:is>
          <ns0:t>Standard</ns0:t>
        </ns0:is>
      </ns0:c>
      <ns0:c r="H528" s="75" t="n">
        <ns0:v>46295</ns0:v>
      </ns0:c>
      <ns0:c r="I528" s="76" t="n">
        <ns0:v>682</ns0:v>
      </ns0:c>
      <ns0:c r="J528" s="74" t="inlineStr">
        <ns0:is>
          <ns0:t>gross (stated)</ns0:t>
        </ns0:is>
      </ns0:c>
      <ns0:c r="K528" s="95" t="n"/>
      <ns0:c r="L528" s="77" t="n">
        <ns0:v>58.85</ns0:v>
      </ns0:c>
      <ns0:c r="M528" s="77" t="n">
        <ns0:v>58.85</ns0:v>
      </ns0:c>
      <ns0:c r="N528" s="74" t="inlineStr">
        <ns0:is>
          <ns0:t>Y</ns0:t>
        </ns0:is>
      </ns0:c>
      <ns0:c r="O528" s="78" t="n">
        <ns0:v>100</ns0:v>
      </ns0:c>
      <ns0:c r="P528" s="84" t="n"/>
      <ns0:c r="Q528" s="79" t="n">
        <ns0:v>5029.5</ns0:v>
      </ns0:c>
      <ns0:c r="R528" s="74" t="inlineStr">
        <ns0:is>
          <ns0:t>derived:deal size / offer % of enlarged capital</ns0:t>
        </ns0:is>
      </ns0:c>
      <ns0:c r="S528" s="80" t="n">
        <ns0:v>5.53</ns0:v>
      </ns0:c>
      <ns0:c r="T528" s="81" t="n">
        <ns0:v>5.53</ns0:v>
      </ns0:c>
      <ns0:c r="U528" s="82" t="n">
        <ns0:v>16.13</ns0:v>
      </ns0:c>
      <ns0:c r="V528" s="83" t="n">
        <ns0:v>130</ns0:v>
      </ns0:c>
      <ns0:c r="W528" s="78" t="n">
        <ns0:v>10</ns0:v>
      </ns0:c>
      <ns0:c r="X528" s="74" t="inlineStr">
        <ns0:is>
          <ns0:t>NA</ns0:t>
        </ns0:is>
      </ns0:c>
      <ns0:c r="Y528" s="79" t="n">
        <ns0:v>571.99</ns0:v>
      </ns0:c>
      <ns0:c r="Z528" s="79" t="n">
        <ns0:v>9719527</ns0:v>
      </ns0:c>
      <ns0:c r="AA528" s="78" t="n">
        <ns0:v>11.37</ns0:v>
      </ns0:c>
      <ns0:c r="AB528" s="74" t="inlineStr">
        <ns0:is>
          <ns0:t>Golden Link; Taiwan ZMAX</ns0:t>
        </ns0:is>
      </ns0:c>
      <ns0:c r="AC528" s="74" t="inlineStr">
        <ns0:is>
          <ns0:t>golden-link;taiwan</ns0:t>
        </ns0:is>
      </ns0:c>
      <ns0:c r="AD528" s="78" t="n">
        <ns0:v>15</ns0:v>
      </ns0:c>
      <ns0:c r="AE528" s="85" t="n"/>
      <ns0:c r="AF528" s="85" t="n"/>
      <ns0:c r="AG528" s="74" t="inlineStr">
        <ns0:is>
          <ns0:t>China International Capital Corporation Hong Kong Securities Limited</ns0:t>
        </ns0:is>
      </ns0:c>
      <ns0:c r="AH528" s="74" t="inlineStr">
        <ns0:is>
          <ns0:t>China International</ns0:t>
        </ns0:is>
      </ns0:c>
      <ns0:c r="AI528" s="86" t="n">
        <ns0:v>190.23</ns0:v>
      </ns0:c>
      <ns0:c r="AJ528" s="87" t="n">
        <ns0:v>265.68</ns0:v>
      </ns0:c>
      <ns0:c r="AK528" s="87" t="n">
        <ns0:v>0.39</ns0:v>
      </ns0:c>
      <ns0:c r="AL528" s="87" t="n">
        <ns0:v>185.47</ns0:v>
      </ns0:c>
      <ns0:c r="AM528" s="87" t="n">
        <ns0:v>28.1</ns0:v>
      </ns0:c>
      <ns0:c r="AN528" s="89" t="n">
        <ns0:v>3.29</ns0:v>
      </ns0:c>
      <ns0:c r="AO528" s="78" t="n">
        <ns0:v>34.05</ns0:v>
      </ns0:c>
      <ns0:c r="AP528" s="103" t="n"/>
      <ns0:c r="AQ528" s="103" t="n"/>
      <ns0:c r="AR528" s="103" t="n"/>
      <ns0:c r="AS528" s="103" t="n"/>
      <ns0:c r="AT528" s="103" t="n"/>
      <ns0:c r="AU528" s="103" t="n"/>
      <ns0:c r="AV528" s="103" t="n"/>
      <ns0:c r="AW528" s="103" t="n"/>
      <ns0:c r="AX528" s="103" t="n"/>
      <ns0:c r="AY528" s="103" t="n"/>
      <ns0:c r="AZ528" s="103" t="n"/>
      <ns0:c r="BA528" s="103" t="n"/>
      <ns0:c r="BB528" s="74" t="inlineStr">
        <ns0:is>
          <ns0:t>HSTECH (Hang Seng TECH ETF)</ns0:t>
        </ns0:is>
      </ns0:c>
      <ns0:c r="BC528" s="87" t="n">
        <ns0:v>92.01000000000001</ns0:v>
      </ns0:c>
      <ns0:c r="BD528" s="75" t="n">
        <ns0:v>46297</ns0:v>
      </ns0:c>
      <ns0:c r="BE528" s="76" t="n">
        <ns0:v>674.9</ns0:v>
      </ns0:c>
      <ns0:c r="BF528" s="79" t="n">
        <ns0:v>2.4</ns0:v>
      </ns0:c>
      <ns0:c r="BG528" s="74" t="inlineStr">
        <ns0:is>
          <ns0:t>Y</ns0:t>
        </ns0:is>
      </ns0:c>
      <ns0:c r="BH528" s="89" t="n">
        <ns0:v>2095.6</ns0:v>
      </ns0:c>
      <ns0:c r="BI528" s="88" t="n"/>
      <ns0:c r="BJ528" s="88" t="n"/>
      <ns0:c r="BK528" s="89" t="n">
        <ns0:v>7.5</ns0:v>
      </ns0:c>
      <ns0:c r="BL528" s="90">
        <ns0:f>IFERROR(IF('BBG Verify'!S528="","Awaiting Bloomberg",'BBG Verify'!S528),"Awaiting Bloomberg")</ns0:f>
        <ns0:v/>
      </ns0:c>
      <ns0:c r="BM528" s="91" t="inlineStr">
        <ns0:is>
          <ns0:t>N</ns0:t>
        </ns0:is>
      </ns0:c>
      <ns0:c r="BN528" s="92">
        <ns0:f>IFERROR(IF('BBG Verify'!K528="","Awaiting Bloomberg",'BBG Verify'!K528),"Awaiting Bloomberg")</ns0:f>
        <ns0:v/>
      </ns0:c>
      <ns0:c r="BO528" s="74" t="inlineStr">
        <ns0:is>
          <ns0:t>N/A</ns0:t>
        </ns0:is>
      </ns0:c>
      <ns0:c r="BP528" s="74" t="inlineStr">
        <ns0:is>
          <ns0:t>N/A</ns0:t>
        </ns0:is>
      </ns0:c>
      <ns0:c r="BQ528" s="74" t="inlineStr">
        <ns0:is>
          <ns0:t>N/A</ns0:t>
        </ns0:is>
      </ns0:c>
      <ns0:c r="BR528" s="74" t="inlineStr">
        <ns0:is>
          <ns0:t>N/A</ns0:t>
        </ns0:is>
      </ns0:c>
      <ns0:c r="BS528" s="74" t="inlineStr">
        <ns0:is>
          <ns0:t>N/A</ns0:t>
        </ns0:is>
      </ns0:c>
      <ns0:c r="BT528" s="74" t="inlineStr">
        <ns0:is>
          <ns0:t>N/A</ns0:t>
        </ns0:is>
      </ns0:c>
      <ns0:c r="BU528" s="91" t="inlineStr">
        <ns0:is>
          <ns0:t>China International Capital Corporation Hong Kong Securities Limited; Guosen Securities (HK) Capital Company Limited</ns0:t>
        </ns0:is>
      </ns0:c>
      <ns0:c r="BV528" s="74" t="inlineStr">
        <ns0:is>
          <ns0:t>China International Capital Corporation Hong Kong Securities Limited; Guosen Securities (HK) Capital Company Limited</ns0:t>
        </ns0:is>
      </ns0:c>
      <ns0:c r="BW528" s="74" t="inlineStr">
        <ns0:is>
          <ns0:t>China International Capital Corporation Hong Kong Securities Limited; Guosen Securities (HK) Capital Company Limited; GF Securities (Hong Kong) Brokerage Limited; CCB International Capital Limited; First Shanghai Securities Limited; Huafu International Securities Limited; Shenwan Hongyuan Securities (H.K.) Limited; SkyVast Securities Limited; Somerley Capital Limited; Tiger Brokers (HK) Global Limited; Futu Securities International (Hong Kong) Limited</ns0:t>
        </ns0:is>
      </ns0:c>
      <ns0:c r="BX528" s="74" t="inlineStr">
        <ns0:is>
          <ns0:t>CCB International Capital Limited; China International Capital Corporation Hong Kong Securities Limited; First Shanghai Securities Limited; Futu Securities International (Hong Kong) Limited; GF Securities (Hong Kong) Brokerage Limited; Guosen Securities (HK) Capital Company Limited; Huafu International Securities Limited; Shenwan Hongyuan Securities (H.K.) Limited; Somerley Capital Limited; Skyvast Securities Limited; Tiger Brokers (HK) Global Limited</ns0:t>
        </ns0:is>
      </ns0:c>
      <ns0:c r="BY528" s="93">
        <ns0:f>HYPERLINK("https://www1.hkexnews.hk/listedco/listconews/sehk/2026/0922/2026092200005.pdf","prospectus")</ns0:f>
        <ns0:v/>
      </ns0:c>
      <ns0:c r="BZ528" s="93">
        <ns0:f>HYPERLINK("https://www1.hkexnews.hk/listedco/listconews/sehk/2026/0929/2026092901927.pdf","allotment")</ns0:f>
        <ns0:v/>
      </ns0:c>
      <ns0:c r="CA528" s="85" t="n"/>
      <ns0:c r="CB528" s="94" t="n"/>
      <ns0:c r="CC528" s="74" t="inlineStr">
        <ns0:is>
          <ns0:t>P/E: extreme trailing multiple on small positive profit; latest full-year net income checked against the filing; greenshoe: stabilisation window still open; range low: maximum offer price only, no floor published; 1w: pending: 1 traded sessions after debut; 5 needed; 1m: pending: 1 traded sessions after debut; 21 needed; 3m: pending: 1 traded sessions after debut; 63 needed; alpha/index: 1w window not elapsed</ns0:t>
        </ns0:is>
      </ns0:c>
    </ns0:row>
  </ns0:sheetData>
  <ns0:autoFilter ref="A4:CC528"/>
  <ns0:mergeCells count="9">
    <ns0:mergeCell ref="A2:L2"/>
    <ns0:mergeCell ref="A3:H3"/>
    <ns0:mergeCell ref="BE3:BL3"/>
    <ns0:mergeCell ref="S3:AH3"/>
    <ns0:mergeCell ref="I3:R3"/>
    <ns0:mergeCell ref="BM3:BT3"/>
    <ns0:mergeCell ref="CB3:CC3"/>
    <ns0:mergeCell ref="AI3:BD3"/>
    <ns0:mergeCell ref="BU3:CA3"/>
  </ns0:mergeCells>
  <ns0:conditionalFormatting sqref="A5:CC528">
    <ns0:cfRule type="expression" priority="20" dxfId="32" stopIfTrue="0">
      <ns0:formula>MOD(ROW(),2)=0</ns0:formula>
    </ns0:cfRule>
  </ns0:conditionalFormatting>
  <ns0:conditionalFormatting sqref="AJ5:AJ528">
    <ns0:cfRule type="colorScale" priority="1">
      <ns0:colorScale>
        <ns0:cfvo type="num" val="-60"/>
        <ns0:cfvo type="num" val="0"/>
        <ns0:cfvo type="num" val="60"/>
        <ns0:color rgb="FFE9C5C5"/>
        <ns0:color rgb="FFFFFFFF"/>
        <ns0:color rgb="FFCEDFCF"/>
      </ns0:colorScale>
    </ns0:cfRule>
  </ns0:conditionalFormatting>
  <ns0:conditionalFormatting sqref="AL5:AL528">
    <ns0:cfRule type="colorScale" priority="2">
      <ns0:colorScale>
        <ns0:cfvo type="num" val="-60"/>
        <ns0:cfvo type="num" val="0"/>
        <ns0:cfvo type="num" val="60"/>
        <ns0:color rgb="FFE9C5C5"/>
        <ns0:color rgb="FFFFFFFF"/>
        <ns0:color rgb="FFCEDFCF"/>
      </ns0:colorScale>
    </ns0:cfRule>
  </ns0:conditionalFormatting>
  <ns0:conditionalFormatting sqref="AM5:AM528">
    <ns0:cfRule type="colorScale" priority="3">
      <ns0:colorScale>
        <ns0:cfvo type="num" val="-60"/>
        <ns0:cfvo type="num" val="0"/>
        <ns0:cfvo type="num" val="60"/>
        <ns0:color rgb="FFE9C5C5"/>
        <ns0:color rgb="FFFFFFFF"/>
        <ns0:color rgb="FFCEDFCF"/>
      </ns0:colorScale>
    </ns0:cfRule>
  </ns0:conditionalFormatting>
  <ns0:conditionalFormatting sqref="AP5:AP528">
    <ns0:cfRule type="colorScale" priority="4">
      <ns0:colorScale>
        <ns0:cfvo type="num" val="-60"/>
        <ns0:cfvo type="num" val="0"/>
        <ns0:cfvo type="num" val="60"/>
        <ns0:color rgb="FFE9C5C5"/>
        <ns0:color rgb="FFFFFFFF"/>
        <ns0:color rgb="FFCEDFCF"/>
      </ns0:colorScale>
    </ns0:cfRule>
  </ns0:conditionalFormatting>
  <ns0:conditionalFormatting sqref="AQ5:AQ528">
    <ns0:cfRule type="colorScale" priority="5">
      <ns0:colorScale>
        <ns0:cfvo type="num" val="-60"/>
        <ns0:cfvo type="num" val="0"/>
        <ns0:cfvo type="num" val="60"/>
        <ns0:color rgb="FFE9C5C5"/>
        <ns0:color rgb="FFFFFFFF"/>
        <ns0:color rgb="FFCEDFCF"/>
      </ns0:colorScale>
    </ns0:cfRule>
  </ns0:conditionalFormatting>
  <ns0:conditionalFormatting sqref="AR5:AR528">
    <ns0:cfRule type="colorScale" priority="6">
      <ns0:colorScale>
        <ns0:cfvo type="num" val="-60"/>
        <ns0:cfvo type="num" val="0"/>
        <ns0:cfvo type="num" val="60"/>
        <ns0:color rgb="FFE9C5C5"/>
        <ns0:color rgb="FFFFFFFF"/>
        <ns0:color rgb="FFCEDFCF"/>
      </ns0:colorScale>
    </ns0:cfRule>
  </ns0:conditionalFormatting>
  <ns0:conditionalFormatting sqref="AS5:AS528">
    <ns0:cfRule type="colorScale" priority="7">
      <ns0:colorScale>
        <ns0:cfvo type="num" val="-60"/>
        <ns0:cfvo type="num" val="0"/>
        <ns0:cfvo type="num" val="60"/>
        <ns0:color rgb="FFE9C5C5"/>
        <ns0:color rgb="FFFFFFFF"/>
        <ns0:color rgb="FFCEDFCF"/>
      </ns0:colorScale>
    </ns0:cfRule>
  </ns0:conditionalFormatting>
  <ns0:conditionalFormatting sqref="AT5:AT528">
    <ns0:cfRule type="colorScale" priority="8">
      <ns0:colorScale>
        <ns0:cfvo type="num" val="-60"/>
        <ns0:cfvo type="num" val="0"/>
        <ns0:cfvo type="num" val="60"/>
        <ns0:color rgb="FFE9C5C5"/>
        <ns0:color rgb="FFFFFFFF"/>
        <ns0:color rgb="FFCEDFCF"/>
      </ns0:colorScale>
    </ns0:cfRule>
  </ns0:conditionalFormatting>
  <ns0:conditionalFormatting sqref="AU5:AU528">
    <ns0:cfRule type="colorScale" priority="9">
      <ns0:colorScale>
        <ns0:cfvo type="num" val="-60"/>
        <ns0:cfvo type="num" val="0"/>
        <ns0:cfvo type="num" val="60"/>
        <ns0:color rgb="FFE9C5C5"/>
        <ns0:color rgb="FFFFFFFF"/>
        <ns0:color rgb="FFCEDFCF"/>
      </ns0:colorScale>
    </ns0:cfRule>
  </ns0:conditionalFormatting>
  <ns0:conditionalFormatting sqref="AW5:AW528">
    <ns0:cfRule type="colorScale" priority="10">
      <ns0:colorScale>
        <ns0:cfvo type="num" val="-60"/>
        <ns0:cfvo type="num" val="0"/>
        <ns0:cfvo type="num" val="60"/>
        <ns0:color rgb="FFE9C5C5"/>
        <ns0:color rgb="FFFFFFFF"/>
        <ns0:color rgb="FFCEDFCF"/>
      </ns0:colorScale>
    </ns0:cfRule>
  </ns0:conditionalFormatting>
  <ns0:conditionalFormatting sqref="AY5:AY528">
    <ns0:cfRule type="colorScale" priority="11">
      <ns0:colorScale>
        <ns0:cfvo type="num" val="-60"/>
        <ns0:cfvo type="num" val="0"/>
        <ns0:cfvo type="num" val="60"/>
        <ns0:color rgb="FFE9C5C5"/>
        <ns0:color rgb="FFFFFFFF"/>
        <ns0:color rgb="FFCEDFCF"/>
      </ns0:colorScale>
    </ns0:cfRule>
  </ns0:conditionalFormatting>
  <ns0:conditionalFormatting sqref="BC5:BC528">
    <ns0:cfRule type="colorScale" priority="12">
      <ns0:colorScale>
        <ns0:cfvo type="num" val="-60"/>
        <ns0:cfvo type="num" val="0"/>
        <ns0:cfvo type="num" val="60"/>
        <ns0:color rgb="FFE9C5C5"/>
        <ns0:color rgb="FFFFFFFF"/>
        <ns0:color rgb="FFCEDFCF"/>
      </ns0:colorScale>
    </ns0:cfRule>
  </ns0:conditionalFormatting>
  <ns0:conditionalFormatting sqref="BO5:BO528">
    <ns0:cfRule type="colorScale" priority="13">
      <ns0:colorScale>
        <ns0:cfvo type="num" val="-60"/>
        <ns0:cfvo type="num" val="0"/>
        <ns0:cfvo type="num" val="60"/>
        <ns0:color rgb="FFE9C5C5"/>
        <ns0:color rgb="FFFFFFFF"/>
        <ns0:color rgb="FFCEDFCF"/>
      </ns0:colorScale>
    </ns0:cfRule>
  </ns0:conditionalFormatting>
  <ns0:conditionalFormatting sqref="BQ5:BQ528">
    <ns0:cfRule type="colorScale" priority="14">
      <ns0:colorScale>
        <ns0:cfvo type="num" val="-60"/>
        <ns0:cfvo type="num" val="0"/>
        <ns0:cfvo type="num" val="60"/>
        <ns0:color rgb="FFE9C5C5"/>
        <ns0:color rgb="FFFFFFFF"/>
        <ns0:color rgb="FFCEDFCF"/>
      </ns0:colorScale>
    </ns0:cfRule>
  </ns0:conditionalFormatting>
  <ns0:conditionalFormatting sqref="I5:I528">
    <ns0:cfRule type="dataBar" priority="15">
      <ns0:dataBar showValue="1">
        <ns0:cfvo type="min"/>
        <ns0:cfvo type="max"/>
        <ns0:color rgb="FF7086A6"/>
      </ns0:dataBar>
    </ns0:cfRule>
  </ns0:conditionalFormatting>
  <ns0:conditionalFormatting sqref="Q5:Q528">
    <ns0:cfRule type="dataBar" priority="16">
      <ns0:dataBar showValue="1">
        <ns0:cfvo type="min"/>
        <ns0:cfvo type="max"/>
        <ns0:color rgb="FF7086A6"/>
      </ns0:dataBar>
    </ns0:cfRule>
  </ns0:conditionalFormatting>
  <ns0:conditionalFormatting sqref="S5:S528">
    <ns0:cfRule type="dataBar" priority="17">
      <ns0:dataBar showValue="1">
        <ns0:cfvo type="min"/>
        <ns0:cfvo type="max"/>
        <ns0:color rgb="FF7086A6"/>
      </ns0:dataBar>
    </ns0:cfRule>
  </ns0:conditionalFormatting>
  <ns0:conditionalFormatting sqref="T5:T528">
    <ns0:cfRule type="dataBar" priority="18">
      <ns0:dataBar showValue="1">
        <ns0:cfvo type="min"/>
        <ns0:cfvo type="max"/>
        <ns0:color rgb="FF7086A6"/>
      </ns0:dataBar>
    </ns0:cfRule>
  </ns0:conditionalFormatting>
  <ns0:conditionalFormatting sqref="U5:U528">
    <ns0:cfRule type="dataBar" priority="19">
      <ns0:dataBar showValue="1">
        <ns0:cfvo type="min"/>
        <ns0:cfvo type="max"/>
        <ns0:color rgb="FF7086A6"/>
      </ns0:dataBar>
    </ns0:cfRule>
  </ns0:conditionalFormatting>
  <ns0:printOptions horizontalCentered="1"/>
  <ns0:pageMargins left="0.75" right="0.75" top="1" bottom="1" header="0.5" footer="0.5"/>
  <ns0:pageSetup orientation="landscape" paperSize="8" fitToHeight="0" fitToWidth="1"/>
  <ns0:ignoredErrors>
    <ns0:ignoredError sqref="A5:A600" numberStoredAsText="1"/>
  </ns0:ignoredErrors>
  <ns0:legacyDrawing ns1:id="anysvml"/>
</ns0:worksheet>
</file>

<file path=xl/worksheets/sheet5.xml><?xml version="1.0" encoding="utf-8"?>
<worksheet xmlns="http://schemas.openxmlformats.org/spreadsheetml/2006/main">
  <sheetPr>
    <outlinePr summaryBelow="1" summaryRight="1"/>
    <pageSetUpPr fitToPage="1"/>
  </sheetPr>
  <dimension ref="A1:AD66"/>
  <sheetViews>
    <sheetView showGridLines="0" zoomScale="95" workbookViewId="0">
      <pane xSplit="2" ySplit="5" topLeftCell="C6" activePane="bottomRight" state="frozen"/>
      <selection pane="topRight"/>
      <selection pane="bottomLeft"/>
      <selection pane="bottomRight" activeCell="A1" sqref="A1"/>
    </sheetView>
  </sheetViews>
  <sheetFormatPr baseColWidth="8" defaultRowHeight="15"/>
  <cols>
    <col width="7" customWidth="1" min="1" max="1"/>
    <col width="26" customWidth="1" min="2" max="2"/>
    <col width="13" customWidth="1" min="3" max="3"/>
    <col width="13" customWidth="1" min="4" max="4"/>
    <col width="20" customWidth="1" min="5" max="5"/>
    <col width="11" customWidth="1" min="6" max="6"/>
    <col width="24" customWidth="1" min="7" max="7"/>
    <col width="11" customWidth="1" min="8" max="8"/>
    <col width="15" customWidth="1" min="9" max="9"/>
    <col width="11" customWidth="1" min="10" max="10"/>
    <col width="9" customWidth="1" min="11" max="11"/>
    <col width="9" customWidth="1" min="12" max="12"/>
    <col width="9" customWidth="1" min="13" max="13"/>
    <col width="10" customWidth="1" min="14" max="14"/>
    <col width="30" customWidth="1" min="15" max="15"/>
    <col width="9" customWidth="1" min="16" max="16"/>
    <col width="8" customWidth="1" min="17" max="17"/>
    <col width="22" customWidth="1" min="18" max="18"/>
    <col width="8" customWidth="1" min="19" max="19"/>
    <col width="7" customWidth="1" min="20" max="20"/>
    <col width="11" customWidth="1" min="21" max="21"/>
    <col width="9" customWidth="1" min="22" max="22"/>
    <col width="9" customWidth="1" min="23" max="23"/>
    <col width="10" customWidth="1" min="24" max="24"/>
    <col width="11" customWidth="1" min="25" max="25"/>
    <col width="30" customWidth="1" min="26" max="26"/>
    <col width="30" customWidth="1" min="27" max="27"/>
    <col width="10" customWidth="1" min="28" max="28"/>
    <col width="58" customWidth="1" min="29" max="29"/>
    <col width="58" customWidth="1" min="30" max="30"/>
  </cols>
  <sheetData>
    <row r="1" ht="30" customHeight="1">
      <c r="A1" s="16" t="inlineStr">
        <is>
          <t>PIPELINE</t>
        </is>
      </c>
    </row>
    <row r="2" ht="34" customHeight="1">
      <c r="A2" s="17" t="inlineStr">
        <is>
          <t>Rows are grouped by stage: in its offering window, hearing cleared (PHIP), filed or reported, withdrawn. Blue cells are inputs; the Screener reads expected size and subsector live. HK$ size = US$ range midpoint x 7.8 where not reported.</t>
        </is>
      </c>
    </row>
    <row r="3"/>
    <row r="4" ht="30" customHeight="1">
      <c r="A4" s="26" t="inlineStr">
        <is>
          <t>DEAL</t>
        </is>
      </c>
      <c r="B4" s="23" t="n"/>
      <c r="C4" s="23" t="n"/>
      <c r="D4" s="23" t="n"/>
      <c r="E4" s="23" t="n"/>
      <c r="F4" s="23" t="n"/>
      <c r="G4" s="23" t="n"/>
      <c r="H4" s="26" t="inlineStr">
        <is>
          <t>TERMS</t>
        </is>
      </c>
      <c r="I4" s="23" t="n"/>
      <c r="J4" s="23" t="n"/>
      <c r="K4" s="23" t="n"/>
      <c r="L4" s="23" t="n"/>
      <c r="M4" s="23" t="n"/>
      <c r="N4" s="23" t="n"/>
      <c r="O4" s="23" t="n"/>
      <c r="P4" s="23" t="n"/>
      <c r="Q4" s="23" t="n"/>
      <c r="R4" s="23" t="n"/>
      <c r="S4" s="26" t="inlineStr">
        <is>
          <t>PROFILE</t>
        </is>
      </c>
      <c r="T4" s="23" t="n"/>
      <c r="U4" s="23" t="n"/>
      <c r="V4" s="26" t="inlineStr">
        <is>
          <t>A-SHARE (A+H only)</t>
        </is>
      </c>
      <c r="W4" s="23" t="n"/>
      <c r="X4" s="23" t="n"/>
      <c r="Y4" s="23" t="n"/>
      <c r="Z4" s="26" t="inlineStr">
        <is>
          <t>BANKS &amp; DOCS</t>
        </is>
      </c>
      <c r="AA4" s="23" t="n"/>
      <c r="AB4" s="23" t="n"/>
      <c r="AC4" s="26" t="inlineStr">
        <is>
          <t>NOTES</t>
        </is>
      </c>
      <c r="AD4" s="23" t="n"/>
    </row>
    <row r="5" ht="30" customHeight="1">
      <c r="A5" s="26" t="inlineStr">
        <is>
          <t>Code</t>
        </is>
      </c>
      <c r="B5" s="26" t="inlineStr">
        <is>
          <t>Name</t>
        </is>
      </c>
      <c r="C5" s="26" t="inlineStr">
        <is>
          <t>Name (CN)</t>
        </is>
      </c>
      <c r="D5" s="26" t="inlineStr">
        <is>
          <t>Stage</t>
        </is>
      </c>
      <c r="E5" s="26" t="inlineStr">
        <is>
          <t>Listing / timing</t>
        </is>
      </c>
      <c r="F5" s="26" t="inlineStr">
        <is>
          <t>Sector</t>
        </is>
      </c>
      <c r="G5" s="26" t="inlineStr">
        <is>
          <t>Subsector</t>
        </is>
      </c>
      <c r="H5" s="26" t="inlineStr">
        <is>
          <t>Expected size (HK$m)</t>
        </is>
      </c>
      <c r="I5" s="26" t="inlineStr">
        <is>
          <t>Size basis</t>
        </is>
      </c>
      <c r="J5" s="26" t="inlineStr">
        <is>
          <t>Press size (US$m)</t>
        </is>
      </c>
      <c r="K5" s="26" t="inlineStr">
        <is>
          <t>Range lo (HK$)</t>
        </is>
      </c>
      <c r="L5" s="26" t="inlineStr">
        <is>
          <t>Max/cap (HK$)</t>
        </is>
      </c>
      <c r="M5" s="26" t="inlineStr">
        <is>
          <t>Expected P/E</t>
        </is>
      </c>
      <c r="N5" s="26" t="inlineStr">
        <is>
          <t>Cornerstone %</t>
        </is>
      </c>
      <c r="O5" s="26" t="inlineStr">
        <is>
          <t>Cornerstone investors</t>
        </is>
      </c>
      <c r="P5" s="26" t="inlineStr">
        <is>
          <t>Greenshoe %</t>
        </is>
      </c>
      <c r="Q5" s="26" t="inlineStr">
        <is>
          <t>Lot size</t>
        </is>
      </c>
      <c r="R5" s="26" t="inlineStr">
        <is>
          <t>Offer period</t>
        </is>
      </c>
      <c r="S5" s="26" t="inlineStr">
        <is>
          <t>Profitable</t>
        </is>
      </c>
      <c r="T5" s="26" t="inlineStr">
        <is>
          <t>H-share</t>
        </is>
      </c>
      <c r="U5" s="26" t="inlineStr">
        <is>
          <t>A-share code</t>
        </is>
      </c>
      <c r="V5" s="26" t="inlineStr">
        <is>
          <t>A px now</t>
        </is>
      </c>
      <c r="W5" s="26" t="inlineStr">
        <is>
          <t>A P/E (TTM)</t>
        </is>
      </c>
      <c r="X5" s="26" t="inlineStr">
        <is>
          <t>H cap vs A</t>
        </is>
      </c>
      <c r="Y5" s="26" t="inlineStr">
        <is>
          <t>A prem vs H cap</t>
        </is>
      </c>
      <c r="Z5" s="26" t="inlineStr">
        <is>
          <t>Sponsors</t>
        </is>
      </c>
      <c r="AA5" s="26" t="inlineStr">
        <is>
          <t>Bookrunners / OCs</t>
        </is>
      </c>
      <c r="AB5" s="26" t="inlineStr">
        <is>
          <t>Prospectus</t>
        </is>
      </c>
      <c r="AC5" s="26" t="inlineStr">
        <is>
          <t>Business</t>
        </is>
      </c>
      <c r="AD5" s="26" t="inlineStr">
        <is>
          <t>Valuation notes</t>
        </is>
      </c>
    </row>
    <row r="6">
      <c r="A6" s="24" t="inlineStr">
        <is>
          <t>1256</t>
        </is>
      </c>
      <c r="B6" s="24" t="inlineStr">
        <is>
          <t>Beijing ESWIN Computing Technology Co., Ltd.</t>
        </is>
      </c>
      <c r="C6" s="24" t="inlineStr">
        <is>
          <t>奕斯偉計算</t>
        </is>
      </c>
      <c r="D6" s="24" t="inlineStr">
        <is>
          <t>Offering</t>
        </is>
      </c>
      <c r="E6" s="106" t="inlineStr">
        <is>
          <t>2026-10-09</t>
        </is>
      </c>
      <c r="F6" s="24" t="inlineStr">
        <is>
          <t>Technology</t>
        </is>
      </c>
      <c r="G6" s="45" t="inlineStr">
        <is>
          <t>Semiconductors</t>
        </is>
      </c>
      <c r="H6" s="107" t="n">
        <v>2496.6</v>
      </c>
      <c r="I6" s="108" t="inlineStr">
        <is>
          <t>offer shares x maximum price</t>
        </is>
      </c>
      <c r="J6" s="109" t="n"/>
      <c r="K6" s="54" t="n">
        <v>1.48</v>
      </c>
      <c r="L6" s="54" t="n">
        <v>1.59</v>
      </c>
      <c r="M6" s="110" t="n"/>
      <c r="N6" s="56" t="n">
        <v>46.5</v>
      </c>
      <c r="O6" s="111" t="inlineStr">
        <is>
          <t>Beijing E-Town Shenghai Equity Investment Fund Partnership (Limited Partnership); Chipmore International Trading Company Limited; CITIC Securities Asset Management (HK) Limited; Direct Link Resources (Hong Kong) Company Limited; Grit No.1 Family OFC-Grit No.1 Equity Fund; Hefei Construction Investment Emerging Industry Equity Investment Fund Partnership Enterprise (L.P.); Mega Prime Development Limited; Ocean Fine Industrial Limited; ORIX Asia Asset Management Limited; Poly Platinum Enterprises Limited</t>
        </is>
      </c>
      <c r="P6" s="56" t="n">
        <v>0</v>
      </c>
      <c r="Q6" s="34" t="n">
        <v>2000</v>
      </c>
      <c r="R6" s="24" t="inlineStr">
        <is>
          <t>2026-09-28 to 2026-10-06</t>
        </is>
      </c>
      <c r="S6" s="112" t="inlineStr">
        <is>
          <t>N</t>
        </is>
      </c>
      <c r="T6" s="109" t="n"/>
      <c r="U6" s="109" t="n"/>
      <c r="V6" s="113" t="n"/>
      <c r="W6" s="110" t="n"/>
      <c r="X6" s="114" t="n"/>
      <c r="Y6" s="114" t="n"/>
      <c r="Z6" s="115" t="inlineStr">
        <is>
          <t>CITIC Securities (Hong Kong) Limited; China Securities (International) Corporate Finance Company Limited</t>
        </is>
      </c>
      <c r="AA6" s="111" t="inlineStr">
        <is>
          <t>CLSA Limited; China Securities (International) Corporate Finance Company Limited; Huatai Financial Holdings (Hong Kong) Limited; GF Securities (Hong Kong) Brokerage Limited; Huajin Securities (International) Limited; CMB International Capital Limited; Lighthouse Capital (HK) Financial Limited</t>
        </is>
      </c>
      <c r="AB6" s="116">
        <f>HYPERLINK("https://www1.hkexnews.hk/listedco/listconews/sehk/2026/0928/2026092800035.pdf","filing")</f>
        <v/>
      </c>
      <c r="AC6" s="117" t="inlineStr">
        <is>
          <t>We design the chip, chipsets and/or circuit board by integrating all necessary IP modules, and deliver the finalized design to manufacturers for production.  Software Building Blocks: including basic software (such as operating systems, drivers and firmware) and ...</t>
        </is>
      </c>
      <c r="AD6" s="118" t="inlineStr">
        <is>
          <t>greenshoe: none; no over-allotment option; an Offer Size Adjustment Option (upsize at pricing) instead; market cap basis: all shares (the filing's whole-company line); cornerstone %: committed amount ÷ offering at the maximum price</t>
        </is>
      </c>
    </row>
    <row r="7">
      <c r="A7" s="119" t="n"/>
      <c r="B7" s="120" t="inlineStr">
        <is>
          <t>Tanboer Group Co., Ltd.</t>
        </is>
      </c>
      <c r="C7" s="119" t="n"/>
      <c r="D7" s="120" t="inlineStr">
        <is>
          <t>PHIP posted</t>
        </is>
      </c>
      <c r="E7" s="121" t="inlineStr">
        <is>
          <t>PHIP 2026-06-21</t>
        </is>
      </c>
      <c r="F7" s="120" t="inlineStr">
        <is>
          <t>Consumer</t>
        </is>
      </c>
      <c r="G7" s="122" t="inlineStr">
        <is>
          <t>Apparel / luxury</t>
        </is>
      </c>
      <c r="H7" s="123" t="n">
        <v>780</v>
      </c>
      <c r="I7" s="124" t="inlineStr">
        <is>
          <t>press estimate</t>
        </is>
      </c>
      <c r="J7" s="119" t="n"/>
      <c r="K7" s="125" t="n"/>
      <c r="L7" s="125" t="n"/>
      <c r="M7" s="126" t="n"/>
      <c r="N7" s="127" t="inlineStr">
        <is>
          <t>at launch</t>
        </is>
      </c>
      <c r="O7" s="128" t="inlineStr">
        <is>
          <t>at launch</t>
        </is>
      </c>
      <c r="P7" s="127" t="inlineStr">
        <is>
          <t>at launch</t>
        </is>
      </c>
      <c r="Q7" s="129" t="inlineStr">
        <is>
          <t>at launch</t>
        </is>
      </c>
      <c r="R7" s="120" t="inlineStr">
        <is>
          <t>at launch</t>
        </is>
      </c>
      <c r="S7" s="130" t="inlineStr">
        <is>
          <t>Y</t>
        </is>
      </c>
      <c r="T7" s="119" t="n"/>
      <c r="U7" s="119" t="n"/>
      <c r="V7" s="131" t="n"/>
      <c r="W7" s="126" t="n"/>
      <c r="X7" s="132" t="n"/>
      <c r="Y7" s="132" t="n"/>
      <c r="Z7" s="133" t="inlineStr">
        <is>
          <t>at launch</t>
        </is>
      </c>
      <c r="AA7" s="128" t="inlineStr">
        <is>
          <t>China International Capital Corporation Hong Kong Securities Limited</t>
        </is>
      </c>
      <c r="AB7" s="134">
        <f>HYPERLINK("https://www1.hkexnews.hk/app/sehk/2026/108483/documents/sehk26062100126.pdf","filing")</f>
        <v/>
      </c>
      <c r="AC7" s="135" t="inlineStr">
        <is>
          <t>We operate our offline stores through two models to maximize market presence and adapt to consumer demands. Our permanent stores provide consistent brand presence in prime retail locations, offering our full product range throughout the year.</t>
        </is>
      </c>
      <c r="AD7" s="136" t="inlineStr">
        <is>
          <t>expected size not yet public</t>
        </is>
      </c>
    </row>
    <row r="8">
      <c r="A8" s="137" t="n"/>
      <c r="B8" s="24" t="inlineStr">
        <is>
          <t>Zhejiang Taotao Vehicles Co., Ltd.</t>
        </is>
      </c>
      <c r="C8" s="137" t="n"/>
      <c r="D8" s="24" t="inlineStr">
        <is>
          <t>PHIP posted</t>
        </is>
      </c>
      <c r="E8" s="106" t="inlineStr">
        <is>
          <t>PHIP 2026-09-07</t>
        </is>
      </c>
      <c r="F8" s="137" t="n"/>
      <c r="G8" s="138" t="n"/>
      <c r="H8" s="139" t="n"/>
      <c r="I8" s="140" t="n"/>
      <c r="J8" s="137" t="n"/>
      <c r="K8" s="141" t="n"/>
      <c r="L8" s="141" t="n"/>
      <c r="M8" s="142" t="n"/>
      <c r="N8" s="56" t="inlineStr">
        <is>
          <t>at launch</t>
        </is>
      </c>
      <c r="O8" s="111" t="inlineStr">
        <is>
          <t>at launch</t>
        </is>
      </c>
      <c r="P8" s="56" t="inlineStr">
        <is>
          <t>at launch</t>
        </is>
      </c>
      <c r="Q8" s="34" t="inlineStr">
        <is>
          <t>at launch</t>
        </is>
      </c>
      <c r="R8" s="24" t="inlineStr">
        <is>
          <t>at launch</t>
        </is>
      </c>
      <c r="S8" s="112" t="inlineStr">
        <is>
          <t>Y</t>
        </is>
      </c>
      <c r="T8" s="24" t="inlineStr">
        <is>
          <t>Y</t>
        </is>
      </c>
      <c r="U8" s="24" t="inlineStr">
        <is>
          <t>301345.SZ</t>
        </is>
      </c>
      <c r="V8" s="143" t="n"/>
      <c r="W8" s="142" t="n"/>
      <c r="X8" s="144" t="n"/>
      <c r="Y8" s="144" t="n"/>
      <c r="Z8" s="115" t="inlineStr">
        <is>
          <t>CLSA Limited</t>
        </is>
      </c>
      <c r="AA8" s="111" t="inlineStr">
        <is>
          <t>Zheshang International Financial Holdings Co., Limited; China Industrial Securities International Capital Limited</t>
        </is>
      </c>
      <c r="AB8" s="116">
        <f>HYPERLINK("https://www1.hkexnews.hk/app/sehk/2026/108575/documents/sehk26090701490.pdf","filing")</f>
        <v/>
      </c>
      <c r="AC8" s="117" t="inlineStr">
        <is>
          <t>We operate a tiered proprietary brand matrix tailored to distinct user segments and channels, comprising DENAGO TM, GOTRAX TM, TEKO TM and TAOMOTOR TM. This matrix enables precise coverage of key consumer cohorts and supports brand synergy through differentiated positioning and ...</t>
        </is>
      </c>
      <c r="AD8" s="118" t="inlineStr">
        <is>
          <t>expected size not yet public; subsector not auto-classified; type one in the blue cell</t>
        </is>
      </c>
    </row>
    <row r="9">
      <c r="A9" s="137" t="n"/>
      <c r="B9" s="24" t="inlineStr">
        <is>
          <t>Hunan Junxin Environmental Protection Co., Ltd.</t>
        </is>
      </c>
      <c r="C9" s="137" t="n"/>
      <c r="D9" s="24" t="inlineStr">
        <is>
          <t>PHIP posted</t>
        </is>
      </c>
      <c r="E9" s="106" t="inlineStr">
        <is>
          <t>PHIP 2026-09-13</t>
        </is>
      </c>
      <c r="F9" s="24" t="inlineStr">
        <is>
          <t>Materials/Energy</t>
        </is>
      </c>
      <c r="G9" s="45" t="inlineStr">
        <is>
          <t>Oil &amp; gas / utilities</t>
        </is>
      </c>
      <c r="H9" s="139" t="n"/>
      <c r="I9" s="140" t="n"/>
      <c r="J9" s="137" t="n"/>
      <c r="K9" s="141" t="n"/>
      <c r="L9" s="141" t="n"/>
      <c r="M9" s="142" t="n"/>
      <c r="N9" s="56" t="inlineStr">
        <is>
          <t>at launch</t>
        </is>
      </c>
      <c r="O9" s="111" t="inlineStr">
        <is>
          <t>at launch</t>
        </is>
      </c>
      <c r="P9" s="56" t="inlineStr">
        <is>
          <t>at launch</t>
        </is>
      </c>
      <c r="Q9" s="34" t="inlineStr">
        <is>
          <t>at launch</t>
        </is>
      </c>
      <c r="R9" s="24" t="inlineStr">
        <is>
          <t>at launch</t>
        </is>
      </c>
      <c r="S9" s="112" t="inlineStr">
        <is>
          <t>Y</t>
        </is>
      </c>
      <c r="T9" s="24" t="inlineStr">
        <is>
          <t>Y</t>
        </is>
      </c>
      <c r="U9" s="137" t="n"/>
      <c r="V9" s="143" t="n"/>
      <c r="W9" s="142" t="n"/>
      <c r="X9" s="144" t="n"/>
      <c r="Y9" s="144" t="n"/>
      <c r="Z9" s="115" t="inlineStr">
        <is>
          <t>at launch</t>
        </is>
      </c>
      <c r="AA9" s="111" t="inlineStr">
        <is>
          <t>China International Capital Corporation Hong Kong Securities Limited; CLSA Limited</t>
        </is>
      </c>
      <c r="AB9" s="116">
        <f>HYPERLINK("https://www1.hkexnews.hk/app/sehk/2026/108794/documents/sehk26091300040.pdf","filing")</f>
        <v/>
      </c>
      <c r="AC9" s="117" t="inlineStr">
        <is>
          <t>We are a company that provides specialized solutions in integrated waste treatment and resource utilization, including the investment, management, and operation of green energy and environmental services projects. Our core business comprises (i) clean waste-to-energy ...</t>
        </is>
      </c>
      <c r="AD9" s="118" t="inlineStr">
        <is>
          <t>A-share listed on the Shenzhen Stock Exchange; the PHIP does not print the code; confirm on the terminal; expected size not yet public</t>
        </is>
      </c>
    </row>
    <row r="10">
      <c r="A10" s="137" t="n"/>
      <c r="B10" s="24" t="inlineStr">
        <is>
          <t>Shenzhen Transsion Holdings Co., Ltd.</t>
        </is>
      </c>
      <c r="C10" s="137" t="n"/>
      <c r="D10" s="24" t="inlineStr">
        <is>
          <t>PHIP posted</t>
        </is>
      </c>
      <c r="E10" s="106" t="inlineStr">
        <is>
          <t>PHIP 2026-09-25</t>
        </is>
      </c>
      <c r="F10" s="24" t="inlineStr">
        <is>
          <t>Technology</t>
        </is>
      </c>
      <c r="G10" s="45" t="inlineStr">
        <is>
          <t>Hardware &amp; electronics</t>
        </is>
      </c>
      <c r="H10" s="139" t="n"/>
      <c r="I10" s="140" t="n"/>
      <c r="J10" s="137" t="n"/>
      <c r="K10" s="141" t="n"/>
      <c r="L10" s="141" t="n"/>
      <c r="M10" s="142" t="n"/>
      <c r="N10" s="56" t="inlineStr">
        <is>
          <t>at launch</t>
        </is>
      </c>
      <c r="O10" s="111" t="inlineStr">
        <is>
          <t>at launch</t>
        </is>
      </c>
      <c r="P10" s="56" t="inlineStr">
        <is>
          <t>at launch</t>
        </is>
      </c>
      <c r="Q10" s="34" t="inlineStr">
        <is>
          <t>at launch</t>
        </is>
      </c>
      <c r="R10" s="24" t="inlineStr">
        <is>
          <t>at launch</t>
        </is>
      </c>
      <c r="S10" s="112" t="inlineStr">
        <is>
          <t>Y</t>
        </is>
      </c>
      <c r="T10" s="24" t="inlineStr">
        <is>
          <t>Y</t>
        </is>
      </c>
      <c r="U10" s="24" t="inlineStr">
        <is>
          <t>688036.SS</t>
        </is>
      </c>
      <c r="V10" s="143" t="n"/>
      <c r="W10" s="142" t="n"/>
      <c r="X10" s="144" t="n"/>
      <c r="Y10" s="144" t="n"/>
      <c r="Z10" s="115" t="inlineStr">
        <is>
          <t>at launch</t>
        </is>
      </c>
      <c r="AA10" s="111" t="inlineStr">
        <is>
          <t>CLSA Limited; J.P. Morgan Securities (Asia Pacific) Limited; China International Capital Corporation Hong Kong Securities Limited; Haitong International Securities Company Limited; Deutsche Bank AG, Hong Kong Branch</t>
        </is>
      </c>
      <c r="AB10" s="116">
        <f>HYPERLINK("https://www1.hkexnews.hk/app/sehk/2026/108656/documents/sehk26092501136.pdf","filing")</f>
        <v/>
      </c>
      <c r="AC10" s="117" t="inlineStr">
        <is>
          <t>We manufacture our products through a combination of in-house production and engagement of ODM and OEM providers. During the Track Record Period, our in-house production was primarily focused on smartphones, while our feature phones, IoT products and others, as well as a portion ...</t>
        </is>
      </c>
      <c r="AD10" s="118" t="inlineStr">
        <is>
          <t>expected size not yet public</t>
        </is>
      </c>
    </row>
    <row r="11">
      <c r="A11" s="137" t="n"/>
      <c r="B11" s="24" t="inlineStr">
        <is>
          <t>Anhui Sinomags Technology Co., Ltd</t>
        </is>
      </c>
      <c r="C11" s="137" t="n"/>
      <c r="D11" s="24" t="inlineStr">
        <is>
          <t>PHIP posted</t>
        </is>
      </c>
      <c r="E11" s="106" t="inlineStr">
        <is>
          <t>PHIP 2026-09-28</t>
        </is>
      </c>
      <c r="F11" s="24" t="inlineStr">
        <is>
          <t>Technology</t>
        </is>
      </c>
      <c r="G11" s="45" t="inlineStr">
        <is>
          <t>Semiconductors</t>
        </is>
      </c>
      <c r="H11" s="139" t="n"/>
      <c r="I11" s="140" t="n"/>
      <c r="J11" s="137" t="n"/>
      <c r="K11" s="141" t="n"/>
      <c r="L11" s="141" t="n"/>
      <c r="M11" s="142" t="n"/>
      <c r="N11" s="56" t="inlineStr">
        <is>
          <t>at launch</t>
        </is>
      </c>
      <c r="O11" s="111" t="inlineStr">
        <is>
          <t>at launch</t>
        </is>
      </c>
      <c r="P11" s="56" t="inlineStr">
        <is>
          <t>at launch</t>
        </is>
      </c>
      <c r="Q11" s="34" t="inlineStr">
        <is>
          <t>at launch</t>
        </is>
      </c>
      <c r="R11" s="24" t="inlineStr">
        <is>
          <t>at launch</t>
        </is>
      </c>
      <c r="S11" s="112" t="inlineStr">
        <is>
          <t>Y</t>
        </is>
      </c>
      <c r="T11" s="137" t="n"/>
      <c r="U11" s="137" t="n"/>
      <c r="V11" s="143" t="n"/>
      <c r="W11" s="142" t="n"/>
      <c r="X11" s="144" t="n"/>
      <c r="Y11" s="144" t="n"/>
      <c r="Z11" s="115" t="inlineStr">
        <is>
          <t>at launch</t>
        </is>
      </c>
      <c r="AA11" s="111" t="inlineStr">
        <is>
          <t>China Securities (International) Corporate Finance Company Limited; GF Securities (Hong Kong) Brokerage Limited; SDICS International Securities (Hong Kong) Limited; BOCI Asia Limited; Guoyuan Securities Brokerage (Hong Kong) Limited; China Merchants Securities (HK) Co., Limited</t>
        </is>
      </c>
      <c r="AB11" s="116">
        <f>HYPERLINK("https://www1.hkexnews.hk/app/sehk/2026/108258/documents/sehk26092802070.pdf","filing")</f>
        <v/>
      </c>
      <c r="AC11" s="117" t="inlineStr">
        <is>
          <t>We are an integrated device manufacturer (“ IDM”) company in the magnetic sensor industry. We maintain a broad magnetic sensing technology portfolio with vertical integration across the industry value chain, from chip design and wafer manufacturing through module design and ...</t>
        </is>
      </c>
      <c r="AD11" s="118" t="inlineStr">
        <is>
          <t>expected size not yet public</t>
        </is>
      </c>
    </row>
    <row r="12">
      <c r="A12" s="137" t="n"/>
      <c r="B12" s="24" t="inlineStr">
        <is>
          <t>Amicro Technology Co., Ltd.</t>
        </is>
      </c>
      <c r="C12" s="137" t="n"/>
      <c r="D12" s="24" t="inlineStr">
        <is>
          <t>PHIP posted</t>
        </is>
      </c>
      <c r="E12" s="106" t="inlineStr">
        <is>
          <t>PHIP 2026-09-30</t>
        </is>
      </c>
      <c r="F12" s="24" t="inlineStr">
        <is>
          <t>Technology</t>
        </is>
      </c>
      <c r="G12" s="45" t="inlineStr">
        <is>
          <t>Robotics &amp; autonomous driving</t>
        </is>
      </c>
      <c r="H12" s="139" t="n"/>
      <c r="I12" s="140" t="n"/>
      <c r="J12" s="137" t="n"/>
      <c r="K12" s="141" t="n"/>
      <c r="L12" s="141" t="n"/>
      <c r="M12" s="142" t="n"/>
      <c r="N12" s="56" t="inlineStr">
        <is>
          <t>at launch</t>
        </is>
      </c>
      <c r="O12" s="111" t="inlineStr">
        <is>
          <t>at launch</t>
        </is>
      </c>
      <c r="P12" s="56" t="inlineStr">
        <is>
          <t>at launch</t>
        </is>
      </c>
      <c r="Q12" s="34" t="inlineStr">
        <is>
          <t>at launch</t>
        </is>
      </c>
      <c r="R12" s="24" t="inlineStr">
        <is>
          <t>at launch</t>
        </is>
      </c>
      <c r="S12" s="112" t="inlineStr">
        <is>
          <t>N</t>
        </is>
      </c>
      <c r="T12" s="137" t="n"/>
      <c r="U12" s="137" t="n"/>
      <c r="V12" s="143" t="n"/>
      <c r="W12" s="142" t="n"/>
      <c r="X12" s="144" t="n"/>
      <c r="Y12" s="144" t="n"/>
      <c r="Z12" s="115" t="inlineStr">
        <is>
          <t>China Securities (International) Corporate Finance Company Limited; Guotai Junan Securities (Hong Kong) Limited</t>
        </is>
      </c>
      <c r="AA12" s="111" t="inlineStr">
        <is>
          <t>China Securities (International) Corporate Finance Company Limited; Guotai Junan Securities (Hong Kong) Limited</t>
        </is>
      </c>
      <c r="AB12" s="116">
        <f>HYPERLINK("https://www1.hkexnews.hk/app/sehk/2026/108911/documents/sehk26093003030.pdf","filing")</f>
        <v/>
      </c>
      <c r="AC12" s="117" t="inlineStr">
        <is>
          <t>We are an established innovator contributing to the advancement and commercialization in the intelligent mobile robotics industry. We ranked third among intelligent mobile robotic solution providers in terms of revenue in 2025, capturing approximately 4.2% market share, and ...</t>
        </is>
      </c>
      <c r="AD12" s="118" t="inlineStr">
        <is>
          <t>expected size not yet public</t>
        </is>
      </c>
    </row>
    <row r="13">
      <c r="A13" s="145" t="n"/>
      <c r="B13" s="146" t="inlineStr">
        <is>
          <t>Sungrow Power Supply</t>
        </is>
      </c>
      <c r="C13" s="146" t="inlineStr">
        <is>
          <t>阳光电源</t>
        </is>
      </c>
      <c r="D13" s="146" t="inlineStr">
        <is>
          <t>A1 filed</t>
        </is>
      </c>
      <c r="E13" s="121" t="inlineStr">
        <is>
          <t>2026 H2 (application refiled Apr 2026, 6-month validity)</t>
        </is>
      </c>
      <c r="F13" s="146" t="inlineStr">
        <is>
          <t>Industrials</t>
        </is>
      </c>
      <c r="G13" s="122" t="inlineStr">
        <is>
          <t>Solar / wind supply chain</t>
        </is>
      </c>
      <c r="H13" s="147" t="n"/>
      <c r="I13" s="148" t="n"/>
      <c r="J13" s="145" t="n"/>
      <c r="K13" s="149" t="n"/>
      <c r="L13" s="149" t="n"/>
      <c r="M13" s="150" t="n"/>
      <c r="N13" s="151" t="inlineStr">
        <is>
          <t>at launch</t>
        </is>
      </c>
      <c r="O13" s="152" t="inlineStr">
        <is>
          <t>at launch</t>
        </is>
      </c>
      <c r="P13" s="151" t="inlineStr">
        <is>
          <t>at launch</t>
        </is>
      </c>
      <c r="Q13" s="153" t="inlineStr">
        <is>
          <t>at launch</t>
        </is>
      </c>
      <c r="R13" s="146" t="inlineStr">
        <is>
          <t>at launch</t>
        </is>
      </c>
      <c r="S13" s="154" t="n"/>
      <c r="T13" s="146" t="inlineStr">
        <is>
          <t>Y</t>
        </is>
      </c>
      <c r="U13" s="146" t="inlineStr">
        <is>
          <t>300274.SZ</t>
        </is>
      </c>
      <c r="V13" s="155" t="n"/>
      <c r="W13" s="150" t="n"/>
      <c r="X13" s="156" t="n"/>
      <c r="Y13" s="156" t="n"/>
      <c r="Z13" s="157" t="inlineStr">
        <is>
          <t>CICC</t>
        </is>
      </c>
      <c r="AA13" s="152" t="inlineStr">
        <is>
          <t>at launch</t>
        </is>
      </c>
      <c r="AB13" s="145" t="n"/>
      <c r="AC13" s="158" t="n"/>
      <c r="AD13" s="159" t="inlineStr">
        <is>
          <t>A-share market cap ~RMB 277-330bn (USD 40-47bn) in Apr 2026. Early reports cited a HK$987m (USD 126.7m) raise target from the Oct-2025 filing; treat with caution, small vs peers' A+H raises; no updated size disclosed on the Apr 2026 refiling.</t>
        </is>
      </c>
    </row>
    <row r="14">
      <c r="A14" s="160" t="n"/>
      <c r="B14" s="32" t="inlineStr">
        <is>
          <t>AgiBot (AgiBot Innovation / Zhiyuan Robotics)</t>
        </is>
      </c>
      <c r="C14" s="32" t="inlineStr">
        <is>
          <t>智元机器人</t>
        </is>
      </c>
      <c r="D14" s="32" t="inlineStr">
        <is>
          <t>A1 filed</t>
        </is>
      </c>
      <c r="E14" s="106" t="inlineStr">
        <is>
          <t>2026 H2 (possibly as early as Aug-Sep 2026)</t>
        </is>
      </c>
      <c r="F14" s="32" t="inlineStr">
        <is>
          <t>Technology</t>
        </is>
      </c>
      <c r="G14" s="45" t="inlineStr">
        <is>
          <t>Robotics &amp; autonomous driving</t>
        </is>
      </c>
      <c r="H14" s="107" t="n">
        <v>7800</v>
      </c>
      <c r="I14" s="161" t="n"/>
      <c r="J14" s="32" t="inlineStr">
        <is>
          <t>1,000</t>
        </is>
      </c>
      <c r="K14" s="162" t="n"/>
      <c r="L14" s="162" t="n"/>
      <c r="M14" s="163" t="n"/>
      <c r="N14" s="164" t="inlineStr">
        <is>
          <t>at launch</t>
        </is>
      </c>
      <c r="O14" s="165" t="inlineStr">
        <is>
          <t>at launch</t>
        </is>
      </c>
      <c r="P14" s="164" t="inlineStr">
        <is>
          <t>at launch</t>
        </is>
      </c>
      <c r="Q14" s="166" t="inlineStr">
        <is>
          <t>at launch</t>
        </is>
      </c>
      <c r="R14" s="32" t="inlineStr">
        <is>
          <t>at launch</t>
        </is>
      </c>
      <c r="S14" s="167" t="n"/>
      <c r="T14" s="32" t="inlineStr">
        <is>
          <t>N</t>
        </is>
      </c>
      <c r="U14" s="160" t="n"/>
      <c r="V14" s="168" t="n"/>
      <c r="W14" s="163" t="n"/>
      <c r="X14" s="169" t="n"/>
      <c r="Y14" s="169" t="n"/>
      <c r="Z14" s="170" t="inlineStr">
        <is>
          <t>CITIC Securities; CICC; Morgan Stanley</t>
        </is>
      </c>
      <c r="AA14" s="165" t="inlineStr">
        <is>
          <t>at launch</t>
        </is>
      </c>
      <c r="AB14" s="160" t="n"/>
      <c r="AC14" s="171" t="n"/>
      <c r="AD14" s="172" t="inlineStr">
        <is>
          <t>Cornerstone/valuation target HK$40-50bn (~USD 5.1-6.4bn); plans to sell 15-25% of shares, potentially raising &gt;USD 1bn. Last private rounds valued it above RMB 20bn (~USD 3bn) per Caixin.</t>
        </is>
      </c>
    </row>
    <row r="15">
      <c r="A15" s="160" t="n"/>
      <c r="B15" s="32" t="inlineStr">
        <is>
          <t>Xiaohongshu (RedNote)</t>
        </is>
      </c>
      <c r="C15" s="32" t="inlineStr">
        <is>
          <t>小红书</t>
        </is>
      </c>
      <c r="D15" s="32" t="inlineStr">
        <is>
          <t>A1 filed</t>
        </is>
      </c>
      <c r="E15" s="106" t="inlineStr">
        <is>
          <t>2026 H2, as early as year-end 2026</t>
        </is>
      </c>
      <c r="F15" s="32" t="inlineStr">
        <is>
          <t>Technology</t>
        </is>
      </c>
      <c r="G15" s="45" t="inlineStr">
        <is>
          <t>Internet &amp; fintech</t>
        </is>
      </c>
      <c r="H15" s="139" t="n"/>
      <c r="I15" s="161" t="n"/>
      <c r="J15" s="160" t="n"/>
      <c r="K15" s="162" t="n"/>
      <c r="L15" s="162" t="n"/>
      <c r="M15" s="163" t="n"/>
      <c r="N15" s="164" t="inlineStr">
        <is>
          <t>at launch</t>
        </is>
      </c>
      <c r="O15" s="165" t="inlineStr">
        <is>
          <t>at launch</t>
        </is>
      </c>
      <c r="P15" s="164" t="inlineStr">
        <is>
          <t>at launch</t>
        </is>
      </c>
      <c r="Q15" s="166" t="inlineStr">
        <is>
          <t>at launch</t>
        </is>
      </c>
      <c r="R15" s="32" t="inlineStr">
        <is>
          <t>at launch</t>
        </is>
      </c>
      <c r="S15" s="167" t="n"/>
      <c r="T15" s="32" t="inlineStr">
        <is>
          <t>N</t>
        </is>
      </c>
      <c r="U15" s="160" t="n"/>
      <c r="V15" s="168" t="n"/>
      <c r="W15" s="163" t="n"/>
      <c r="X15" s="169" t="n"/>
      <c r="Y15" s="169" t="n"/>
      <c r="Z15" s="170" t="inlineStr">
        <is>
          <t>Goldman Sachs; CICC</t>
        </is>
      </c>
      <c r="AA15" s="165" t="inlineStr">
        <is>
          <t>at launch</t>
        </is>
      </c>
      <c r="AB15" s="160" t="n"/>
      <c r="AC15" s="171" t="n"/>
      <c r="AD15" s="172" t="inlineStr">
        <is>
          <t>Targeting &gt;USD 70bn valuation (WSJ via The Standard, 2026-06); above the ~USD 50bn seen in recent private secondary trades; would be one of HK's largest tech IPOs. Company publicly denied some IPO rumours amid compliance dispute (The Standard, 2026-07).</t>
        </is>
      </c>
    </row>
    <row r="16">
      <c r="A16" s="145" t="n"/>
      <c r="B16" s="146" t="inlineStr">
        <is>
          <t>Moonshot AI</t>
        </is>
      </c>
      <c r="C16" s="146" t="inlineStr">
        <is>
          <t>月之暗面</t>
        </is>
      </c>
      <c r="D16" s="146" t="inlineStr">
        <is>
          <t>Reported</t>
        </is>
      </c>
      <c r="E16" s="121" t="inlineStr">
        <is>
          <t>filing 2026 H2; listing as early as end-2026</t>
        </is>
      </c>
      <c r="F16" s="146" t="inlineStr">
        <is>
          <t>Technology</t>
        </is>
      </c>
      <c r="G16" s="122" t="inlineStr">
        <is>
          <t>Software &amp; AI</t>
        </is>
      </c>
      <c r="H16" s="147" t="n"/>
      <c r="I16" s="148" t="n"/>
      <c r="J16" s="145" t="n"/>
      <c r="K16" s="149" t="n"/>
      <c r="L16" s="149" t="n"/>
      <c r="M16" s="150" t="n"/>
      <c r="N16" s="151" t="inlineStr">
        <is>
          <t>at launch</t>
        </is>
      </c>
      <c r="O16" s="152" t="inlineStr">
        <is>
          <t>at launch</t>
        </is>
      </c>
      <c r="P16" s="151" t="inlineStr">
        <is>
          <t>at launch</t>
        </is>
      </c>
      <c r="Q16" s="153" t="inlineStr">
        <is>
          <t>at launch</t>
        </is>
      </c>
      <c r="R16" s="146" t="inlineStr">
        <is>
          <t>at launch</t>
        </is>
      </c>
      <c r="S16" s="154" t="n"/>
      <c r="T16" s="146" t="inlineStr">
        <is>
          <t>N</t>
        </is>
      </c>
      <c r="U16" s="145" t="n"/>
      <c r="V16" s="155" t="n"/>
      <c r="W16" s="150" t="n"/>
      <c r="X16" s="156" t="n"/>
      <c r="Y16" s="156" t="n"/>
      <c r="Z16" s="157" t="inlineStr">
        <is>
          <t>at launch</t>
        </is>
      </c>
      <c r="AA16" s="152" t="inlineStr">
        <is>
          <t>at launch</t>
        </is>
      </c>
      <c r="AB16" s="145" t="n"/>
      <c r="AC16" s="158" t="n"/>
      <c r="AD16" s="159" t="inlineStr">
        <is>
          <t>Closed USD 3.5bn round at USD 35bn valuation (Bloomberg, 2026-07-29), up from ~USD 4bn end-2025; in talks for a final pre-IPO round at USD 50bn pre-money (Bloomberg, 2026-07-21).</t>
        </is>
      </c>
    </row>
    <row r="17">
      <c r="A17" s="173" t="inlineStr">
        <is>
          <t>6700</t>
        </is>
      </c>
      <c r="B17" s="173" t="inlineStr">
        <is>
          <t>Shenzhen Forms Syntron Information Co., Ltd.</t>
        </is>
      </c>
      <c r="C17" s="173" t="inlineStr">
        <is>
          <t>四方精創</t>
        </is>
      </c>
      <c r="D17" s="173" t="inlineStr">
        <is>
          <t>Postponed</t>
        </is>
      </c>
      <c r="E17" s="121" t="inlineStr">
        <is>
          <t>2026-09-22</t>
        </is>
      </c>
      <c r="F17" s="173" t="inlineStr">
        <is>
          <t>Technology</t>
        </is>
      </c>
      <c r="G17" s="122" t="inlineStr">
        <is>
          <t>Internet &amp; fintech</t>
        </is>
      </c>
      <c r="H17" s="123" t="n">
        <v>943.4</v>
      </c>
      <c r="I17" s="124" t="inlineStr">
        <is>
          <t>offer shares x maximum price</t>
        </is>
      </c>
      <c r="J17" s="174" t="n"/>
      <c r="K17" s="175" t="n"/>
      <c r="L17" s="176" t="n">
        <v>16</v>
      </c>
      <c r="M17" s="177" t="n">
        <v>16.6</v>
      </c>
      <c r="N17" s="178" t="n">
        <v>12.61</v>
      </c>
      <c r="O17" s="179" t="inlineStr">
        <is>
          <t>Mr. Cheng Chi Heng; Successful Lotus; Thalassa Capital; Yeebo Alpha</t>
        </is>
      </c>
      <c r="P17" s="178" t="n">
        <v>15</v>
      </c>
      <c r="Q17" s="180" t="n">
        <v>100</v>
      </c>
      <c r="R17" s="173" t="inlineStr">
        <is>
          <t>2026-09-14 to 2026-09-17</t>
        </is>
      </c>
      <c r="S17" s="181" t="inlineStr">
        <is>
          <t>Y</t>
        </is>
      </c>
      <c r="T17" s="173" t="inlineStr">
        <is>
          <t>Y</t>
        </is>
      </c>
      <c r="U17" s="173" t="inlineStr">
        <is>
          <t>300468.SZ</t>
        </is>
      </c>
      <c r="V17" s="182" t="n">
        <v>20.51</v>
      </c>
      <c r="W17" s="177" t="n">
        <v>24.86</v>
      </c>
      <c r="X17" s="183" t="n">
        <v>-33.4</v>
      </c>
      <c r="Y17" s="183" t="n">
        <v>50.15</v>
      </c>
      <c r="Z17" s="184" t="inlineStr">
        <is>
          <t>CMB International Capital Limited; Guosen Securities (HK) Capital Company Limited</t>
        </is>
      </c>
      <c r="AA17" s="179" t="inlineStr">
        <is>
          <t>CMB International Capital Limited; Guosen Securities (HK) Capital Company Limited; Victory Securities Company Limited; Emperio Securities And Assets Management Limited</t>
        </is>
      </c>
      <c r="AB17" s="134">
        <f>HYPERLINK("https://www1.hkexnews.hk/listedco/listconews/sehk/2026/0914/2026091400005.pdf","filing")</f>
        <v/>
      </c>
      <c r="AC17" s="135" t="inlineStr">
        <is>
          <t>We are an established fintech service provider in the banking industry based in the Greater Bay Area, delivering fintech software development services, consulting services, and system integration services to banks, regulatory authorities and other financial institutions across ...</t>
        </is>
      </c>
      <c r="AD17" s="136" t="inlineStr">
        <is>
          <t>stated market cap rejected: HK$824m is below the HK$943m offering itself</t>
        </is>
      </c>
    </row>
    <row r="18">
      <c r="A18" s="173" t="inlineStr">
        <is>
          <t>2523</t>
        </is>
      </c>
      <c r="B18" s="173" t="inlineStr">
        <is>
          <t>EKH LIMITED</t>
        </is>
      </c>
      <c r="C18" s="173" t="inlineStr">
        <is>
          <t>永康控股</t>
        </is>
      </c>
      <c r="D18" s="173" t="inlineStr">
        <is>
          <t>Withdrawn</t>
        </is>
      </c>
      <c r="E18" s="185" t="n"/>
      <c r="F18" s="173" t="inlineStr">
        <is>
          <t>Industrials</t>
        </is>
      </c>
      <c r="G18" s="122" t="inlineStr">
        <is>
          <t>Logistics</t>
        </is>
      </c>
      <c r="H18" s="123" t="n">
        <v>126</v>
      </c>
      <c r="I18" s="124" t="inlineStr">
        <is>
          <t>prospectus, net at max price</t>
        </is>
      </c>
      <c r="J18" s="174" t="n"/>
      <c r="K18" s="176" t="n">
        <v>2.2</v>
      </c>
      <c r="L18" s="176" t="n">
        <v>2.68</v>
      </c>
      <c r="M18" s="177" t="n">
        <v>73.3</v>
      </c>
      <c r="N18" s="178" t="n">
        <v>0</v>
      </c>
      <c r="O18" s="179" t="inlineStr">
        <is>
          <t>withdrawn</t>
        </is>
      </c>
      <c r="P18" s="178" t="inlineStr">
        <is>
          <t>withdrawn</t>
        </is>
      </c>
      <c r="Q18" s="180" t="inlineStr">
        <is>
          <t>withdrawn</t>
        </is>
      </c>
      <c r="R18" s="173" t="inlineStr">
        <is>
          <t>withdrawn</t>
        </is>
      </c>
      <c r="S18" s="181" t="inlineStr">
        <is>
          <t>Y</t>
        </is>
      </c>
      <c r="T18" s="174" t="n"/>
      <c r="U18" s="174" t="n"/>
      <c r="V18" s="186" t="n"/>
      <c r="W18" s="187" t="n"/>
      <c r="X18" s="188" t="n"/>
      <c r="Y18" s="188" t="n"/>
      <c r="Z18" s="184" t="inlineStr">
        <is>
          <t>Quam Capital Limited; Alliance Capital Partners Limited</t>
        </is>
      </c>
      <c r="AA18" s="179" t="inlineStr">
        <is>
          <t>Quam Securities Limited; CEB International Capital Corporation Limited; CMB International Capital Limited; Eddid Securities and Futures Limited; Grand China Securities Limited; Orient Securities (Hong Kong) Limited; SBI E2-Capital Securities Limited; SPDB International Capital Limited; uSmart Securities Limited</t>
        </is>
      </c>
      <c r="AB18" s="174" t="n"/>
      <c r="AC18" s="135"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t>
        </is>
      </c>
      <c r="AD18" s="189" t="n"/>
    </row>
    <row r="19"/>
    <row r="20"/>
    <row r="21"/>
    <row r="22">
      <c r="A22" s="190" t="inlineStr">
        <is>
          <t>HKEX APPLICATION QUEUE</t>
        </is>
      </c>
    </row>
    <row r="23">
      <c r="A23" s="71" t="inlineStr">
        <is>
          <t>PHIP posted = hearing cleared, usually days to weeks from launch; those rows are also in the table above. Refreshed on every run.</t>
        </is>
      </c>
    </row>
    <row r="24" ht="30" customHeight="1">
      <c r="A24" s="26" t="inlineStr">
        <is>
          <t>Applicant</t>
        </is>
      </c>
      <c r="B24" s="26" t="inlineStr">
        <is>
          <t>Stage</t>
        </is>
      </c>
      <c r="C24" s="26" t="inlineStr">
        <is>
          <t>First filed</t>
        </is>
      </c>
      <c r="D24" s="26" t="inlineStr">
        <is>
          <t>Latest filing</t>
        </is>
      </c>
      <c r="E24" s="26" t="inlineStr">
        <is>
          <t>Days in process</t>
        </is>
      </c>
      <c r="F24" s="26" t="inlineStr">
        <is>
          <t>Document</t>
        </is>
      </c>
    </row>
    <row r="25">
      <c r="A25" s="59" t="inlineStr">
        <is>
          <t>Amicro Technology Co., Ltd.</t>
        </is>
      </c>
      <c r="B25" s="32" t="inlineStr">
        <is>
          <t>PHIP posted (hearing cleared)</t>
        </is>
      </c>
      <c r="C25" s="32" t="inlineStr">
        <is>
          <t>2026-09-30</t>
        </is>
      </c>
      <c r="D25" s="32" t="inlineStr">
        <is>
          <t>2026-09-30</t>
        </is>
      </c>
      <c r="E25" s="191" t="n">
        <v>3</v>
      </c>
      <c r="F25" s="93">
        <f>HYPERLINK("https://www1.hkexnews.hk/app/sehk/2026/108911/documents/sehk26093003030.pdf","open filing")</f>
        <v/>
      </c>
    </row>
    <row r="26">
      <c r="A26" s="59" t="inlineStr">
        <is>
          <t>Anhui Sinomags Technology Co., Ltd</t>
        </is>
      </c>
      <c r="B26" s="32" t="inlineStr">
        <is>
          <t>PHIP posted (hearing cleared)</t>
        </is>
      </c>
      <c r="C26" s="32" t="inlineStr">
        <is>
          <t>2026-09-28</t>
        </is>
      </c>
      <c r="D26" s="32" t="inlineStr">
        <is>
          <t>2026-09-28</t>
        </is>
      </c>
      <c r="E26" s="191" t="n">
        <v>5</v>
      </c>
      <c r="F26" s="93">
        <f>HYPERLINK("https://www1.hkexnews.hk/app/sehk/2026/108258/documents/sehk26092802070.pdf","open filing")</f>
        <v/>
      </c>
    </row>
    <row r="27">
      <c r="A27" s="59" t="inlineStr">
        <is>
          <t>Shenzhen Transsion Holdings Co., Ltd.</t>
        </is>
      </c>
      <c r="B27" s="32" t="inlineStr">
        <is>
          <t>PHIP posted (hearing cleared)</t>
        </is>
      </c>
      <c r="C27" s="32" t="inlineStr">
        <is>
          <t>2026-09-25</t>
        </is>
      </c>
      <c r="D27" s="32" t="inlineStr">
        <is>
          <t>2026-09-25</t>
        </is>
      </c>
      <c r="E27" s="191" t="n">
        <v>8</v>
      </c>
      <c r="F27" s="93">
        <f>HYPERLINK("https://www1.hkexnews.hk/app/sehk/2026/108656/documents/sehk26092501136.pdf","open filing")</f>
        <v/>
      </c>
    </row>
    <row r="28">
      <c r="A28" s="59" t="inlineStr">
        <is>
          <t>Beijing ESWIN Computing Technology Co., Ltd.</t>
        </is>
      </c>
      <c r="B28" s="32" t="inlineStr">
        <is>
          <t>PHIP posted (hearing cleared)</t>
        </is>
      </c>
      <c r="C28" s="32" t="inlineStr">
        <is>
          <t>2026-09-21</t>
        </is>
      </c>
      <c r="D28" s="32" t="inlineStr">
        <is>
          <t>2026-09-21</t>
        </is>
      </c>
      <c r="E28" s="191" t="n">
        <v>12</v>
      </c>
      <c r="F28" s="93">
        <f>HYPERLINK("https://www1.hkexnews.hk/app/sehk/2026/108777/documents/sehk26092101738.pdf","open filing")</f>
        <v/>
      </c>
    </row>
    <row r="29">
      <c r="A29" s="59" t="inlineStr">
        <is>
          <t>Hunan Junxin Environmental Protection Co., Ltd.</t>
        </is>
      </c>
      <c r="B29" s="32" t="inlineStr">
        <is>
          <t>PHIP posted (hearing cleared)</t>
        </is>
      </c>
      <c r="C29" s="32" t="inlineStr">
        <is>
          <t>2026-09-13</t>
        </is>
      </c>
      <c r="D29" s="32" t="inlineStr">
        <is>
          <t>2026-09-13</t>
        </is>
      </c>
      <c r="E29" s="191" t="n">
        <v>20</v>
      </c>
      <c r="F29" s="93">
        <f>HYPERLINK("https://www1.hkexnews.hk/app/sehk/2026/108794/documents/sehk26091300040.pdf","open filing")</f>
        <v/>
      </c>
    </row>
    <row r="30">
      <c r="A30" s="59" t="inlineStr">
        <is>
          <t>Zhejiang Taotao Vehicles Co., Ltd.</t>
        </is>
      </c>
      <c r="B30" s="32" t="inlineStr">
        <is>
          <t>PHIP posted (hearing cleared)</t>
        </is>
      </c>
      <c r="C30" s="32" t="inlineStr">
        <is>
          <t>2026-09-07</t>
        </is>
      </c>
      <c r="D30" s="32" t="inlineStr">
        <is>
          <t>2026-09-07</t>
        </is>
      </c>
      <c r="E30" s="191" t="n">
        <v>26</v>
      </c>
      <c r="F30" s="93">
        <f>HYPERLINK("https://www1.hkexnews.hk/app/sehk/2026/108575/documents/sehk26090701490.pdf","open filing")</f>
        <v/>
      </c>
    </row>
    <row r="31">
      <c r="A31" s="59" t="inlineStr">
        <is>
          <t>Shenzhen Forms Syntron Information Co., Ltd.</t>
        </is>
      </c>
      <c r="B31" s="32" t="inlineStr">
        <is>
          <t>PHIP posted (hearing cleared)</t>
        </is>
      </c>
      <c r="C31" s="32" t="inlineStr">
        <is>
          <t>2026-09-06</t>
        </is>
      </c>
      <c r="D31" s="32" t="inlineStr">
        <is>
          <t>2026-09-06</t>
        </is>
      </c>
      <c r="E31" s="191" t="n">
        <v>27</v>
      </c>
      <c r="F31" s="93">
        <f>HYPERLINK("https://www1.hkexnews.hk/app/sehk/2026/108727/documents/sehk26090600084.pdf","open filing")</f>
        <v/>
      </c>
    </row>
    <row r="32">
      <c r="A32" s="59" t="inlineStr">
        <is>
          <t>Glorysoft (Shanghai) Co., Ltd.</t>
        </is>
      </c>
      <c r="B32" s="192" t="inlineStr">
        <is>
          <t>PHIP posted (hearing cleared)  [sponsor terminated]</t>
        </is>
      </c>
      <c r="C32" s="32" t="inlineStr">
        <is>
          <t>2026-08-07</t>
        </is>
      </c>
      <c r="D32" s="32" t="inlineStr">
        <is>
          <t>2026-08-07</t>
        </is>
      </c>
      <c r="E32" s="191" t="n">
        <v>57</v>
      </c>
      <c r="F32" s="93">
        <f>HYPERLINK("https://www1.hkexnews.hk/app/sehk/2026/108262/documents/sehk26062301714.pdf","open filing")</f>
        <v/>
      </c>
    </row>
    <row r="33">
      <c r="A33" s="59" t="inlineStr">
        <is>
          <t>EKH Limited</t>
        </is>
      </c>
      <c r="B33" s="32" t="inlineStr">
        <is>
          <t>PHIP posted (hearing cleared)</t>
        </is>
      </c>
      <c r="C33" s="32" t="inlineStr">
        <is>
          <t>2026-06-26</t>
        </is>
      </c>
      <c r="D33" s="32" t="inlineStr">
        <is>
          <t>2026-06-26</t>
        </is>
      </c>
      <c r="E33" s="191" t="n">
        <v>99</v>
      </c>
      <c r="F33" s="93">
        <f>HYPERLINK("https://www1.hkexnews.hk/app/sehk/2026/108390/documents/sehk26062603258.pdf","open filing")</f>
        <v/>
      </c>
    </row>
    <row r="34">
      <c r="A34" s="59" t="inlineStr">
        <is>
          <t>Tanboer Group Co., Ltd.</t>
        </is>
      </c>
      <c r="B34" s="32" t="inlineStr">
        <is>
          <t>PHIP posted (hearing cleared)</t>
        </is>
      </c>
      <c r="C34" s="32" t="inlineStr">
        <is>
          <t>2026-06-21</t>
        </is>
      </c>
      <c r="D34" s="32" t="inlineStr">
        <is>
          <t>2026-06-21</t>
        </is>
      </c>
      <c r="E34" s="191" t="n">
        <v>104</v>
      </c>
      <c r="F34" s="93">
        <f>HYPERLINK("https://www1.hkexnews.hk/app/sehk/2026/108483/documents/sehk26062100126.pdf","open filing")</f>
        <v/>
      </c>
    </row>
    <row r="35">
      <c r="A35" s="32" t="inlineStr">
        <is>
          <t>Gaw Capital Real Estate Private Debt OFC</t>
        </is>
      </c>
      <c r="B35" s="32" t="inlineStr">
        <is>
          <t>Application Proof only</t>
        </is>
      </c>
      <c r="C35" s="32" t="inlineStr">
        <is>
          <t>2026-10-02</t>
        </is>
      </c>
      <c r="D35" s="32" t="inlineStr">
        <is>
          <t>2026-10-02</t>
        </is>
      </c>
      <c r="E35" s="191" t="n">
        <v>1</v>
      </c>
      <c r="F35" s="93">
        <f>HYPERLINK("https://www1.hkexnews.hk/app/sehk/2026/108912/documents/sehk26100203578.pdf","open filing")</f>
        <v/>
      </c>
    </row>
    <row r="36">
      <c r="A36" s="32" t="inlineStr">
        <is>
          <t>ACROBIOSYSTEMS CO., LTD</t>
        </is>
      </c>
      <c r="B36" s="32" t="inlineStr">
        <is>
          <t>Application Proof only</t>
        </is>
      </c>
      <c r="C36" s="32" t="inlineStr">
        <is>
          <t>2026-09-30</t>
        </is>
      </c>
      <c r="D36" s="32" t="inlineStr">
        <is>
          <t>2026-09-30</t>
        </is>
      </c>
      <c r="E36" s="191" t="n">
        <v>3</v>
      </c>
      <c r="F36" s="93">
        <f>HYPERLINK("https://www1.hkexnews.hk/app/sehk/2026/108910/documents/sehk26093002652.pdf","open filing")</f>
        <v/>
      </c>
    </row>
    <row r="37">
      <c r="A37" s="32" t="inlineStr">
        <is>
          <t>DataCanvas Co., Ltd.</t>
        </is>
      </c>
      <c r="B37" s="32" t="inlineStr">
        <is>
          <t>Application Proof only</t>
        </is>
      </c>
      <c r="C37" s="32" t="inlineStr">
        <is>
          <t>2026-09-29</t>
        </is>
      </c>
      <c r="D37" s="32" t="inlineStr">
        <is>
          <t>2026-09-29</t>
        </is>
      </c>
      <c r="E37" s="191" t="n">
        <v>4</v>
      </c>
      <c r="F37" s="93">
        <f>HYPERLINK("https://www1.hkexnews.hk/app/sehk/2026/108908/documents/sehk26092900994.pdf","open filing")</f>
        <v/>
      </c>
    </row>
    <row r="38">
      <c r="A38" s="32" t="inlineStr">
        <is>
          <t>YUDO HOLDINGS CO., LIMITED</t>
        </is>
      </c>
      <c r="B38" s="32" t="inlineStr">
        <is>
          <t>Application Proof only</t>
        </is>
      </c>
      <c r="C38" s="32" t="inlineStr">
        <is>
          <t>2026-09-29</t>
        </is>
      </c>
      <c r="D38" s="32" t="inlineStr">
        <is>
          <t>2026-09-29</t>
        </is>
      </c>
      <c r="E38" s="191" t="n">
        <v>4</v>
      </c>
      <c r="F38" s="93">
        <f>HYPERLINK("https://www1.hkexnews.hk/app/sehk/2026/108909/documents/sehk26092902078.pdf","open filing")</f>
        <v/>
      </c>
    </row>
    <row r="39">
      <c r="A39" s="32" t="inlineStr">
        <is>
          <t>Shandong Linuo Pharmaceutical Packaging Co.,Ltd.</t>
        </is>
      </c>
      <c r="B39" s="32" t="inlineStr">
        <is>
          <t>Application Proof only</t>
        </is>
      </c>
      <c r="C39" s="32" t="inlineStr">
        <is>
          <t>2026-09-28</t>
        </is>
      </c>
      <c r="D39" s="32" t="inlineStr">
        <is>
          <t>2026-09-28</t>
        </is>
      </c>
      <c r="E39" s="191" t="n">
        <v>5</v>
      </c>
      <c r="F39" s="93">
        <f>HYPERLINK("https://www1.hkexnews.hk/app/sehk/2026/108907/documents/sehk26092800296.pdf","open filing")</f>
        <v/>
      </c>
    </row>
    <row r="40">
      <c r="A40" s="32" t="inlineStr">
        <is>
          <t>Voyager Intelligent Systems Limited</t>
        </is>
      </c>
      <c r="B40" s="32" t="inlineStr">
        <is>
          <t>Application Proof only</t>
        </is>
      </c>
      <c r="C40" s="32" t="inlineStr">
        <is>
          <t>2026-09-27</t>
        </is>
      </c>
      <c r="D40" s="32" t="inlineStr">
        <is>
          <t>2026-09-27</t>
        </is>
      </c>
      <c r="E40" s="191" t="n">
        <v>6</v>
      </c>
      <c r="F40" s="93">
        <f>HYPERLINK("https://www1.hkexnews.hk/app/sehk/2026/108906/documents/sehk26092700112.pdf","open filing")</f>
        <v/>
      </c>
    </row>
    <row r="41">
      <c r="A41" s="32" t="inlineStr">
        <is>
          <t>Guangdong Mic-Power New Energy Co., Ltd.</t>
        </is>
      </c>
      <c r="B41" s="32" t="inlineStr">
        <is>
          <t>Application Proof only</t>
        </is>
      </c>
      <c r="C41" s="32" t="inlineStr">
        <is>
          <t>2026-09-24</t>
        </is>
      </c>
      <c r="D41" s="32" t="inlineStr">
        <is>
          <t>2026-09-24</t>
        </is>
      </c>
      <c r="E41" s="191" t="n">
        <v>9</v>
      </c>
      <c r="F41" s="93">
        <f>HYPERLINK("https://www1.hkexnews.hk/app/sehk/2026/108867/documents/sehk26091001726.pdf","open filing")</f>
        <v/>
      </c>
    </row>
    <row r="42">
      <c r="A42" s="32" t="inlineStr">
        <is>
          <t>Orbbec Inc. - W</t>
        </is>
      </c>
      <c r="B42" s="32" t="inlineStr">
        <is>
          <t>Application Proof only</t>
        </is>
      </c>
      <c r="C42" s="32" t="inlineStr">
        <is>
          <t>2026-09-24</t>
        </is>
      </c>
      <c r="D42" s="32" t="inlineStr">
        <is>
          <t>2026-09-24</t>
        </is>
      </c>
      <c r="E42" s="191" t="n">
        <v>9</v>
      </c>
      <c r="F42" s="93">
        <f>HYPERLINK("https://www1.hkexnews.hk/app/sehk/2026/108890/documents/sehk26092401221.pdf","open filing")</f>
        <v/>
      </c>
    </row>
    <row r="43">
      <c r="A43" s="32" t="inlineStr">
        <is>
          <t>Onyx International Inc.</t>
        </is>
      </c>
      <c r="B43" s="32" t="inlineStr">
        <is>
          <t>Application Proof only</t>
        </is>
      </c>
      <c r="C43" s="32" t="inlineStr">
        <is>
          <t>2026-09-23</t>
        </is>
      </c>
      <c r="D43" s="32" t="inlineStr">
        <is>
          <t>2026-09-23</t>
        </is>
      </c>
      <c r="E43" s="191" t="n">
        <v>10</v>
      </c>
      <c r="F43" s="93">
        <f>HYPERLINK("https://www1.hkexnews.hk/app/sehk/2026/108889/documents/sehk26092301864.pdf","open filing")</f>
        <v/>
      </c>
    </row>
    <row r="44">
      <c r="A44" s="32" t="inlineStr">
        <is>
          <t>Amlogic (Shanghai) Co.,Ltd.</t>
        </is>
      </c>
      <c r="B44" s="192" t="inlineStr">
        <is>
          <t>Application Proof only  [sponsor terminated]</t>
        </is>
      </c>
      <c r="C44" s="32" t="inlineStr">
        <is>
          <t>2026-09-22</t>
        </is>
      </c>
      <c r="D44" s="32" t="inlineStr">
        <is>
          <t>2026-09-22</t>
        </is>
      </c>
      <c r="E44" s="191" t="n">
        <v>11</v>
      </c>
      <c r="F44" s="93">
        <f>HYPERLINK("https://www1.hkexnews.hk/app/sehk/2026/108440/documents/sehk26041200324.pdf","open filing")</f>
        <v/>
      </c>
    </row>
    <row r="45">
      <c r="A45" s="32" t="inlineStr">
        <is>
          <t>Guangdong Rising Mineral-Rich Mountain Copper Co., Ltd.</t>
        </is>
      </c>
      <c r="B45" s="32" t="inlineStr">
        <is>
          <t>Application Proof only</t>
        </is>
      </c>
      <c r="C45" s="32" t="inlineStr">
        <is>
          <t>2026-09-22</t>
        </is>
      </c>
      <c r="D45" s="32" t="inlineStr">
        <is>
          <t>2026-09-22</t>
        </is>
      </c>
      <c r="E45" s="191" t="n">
        <v>11</v>
      </c>
      <c r="F45" s="93">
        <f>HYPERLINK("https://www1.hkexnews.hk/app/sehk/2026/108888/documents/sehk26092201540.pdf","open filing")</f>
        <v/>
      </c>
    </row>
    <row r="46">
      <c r="A46" s="32" t="inlineStr">
        <is>
          <t>Dynamic Electronics Co., Ltd.</t>
        </is>
      </c>
      <c r="B46" s="32" t="inlineStr">
        <is>
          <t>Application Proof only</t>
        </is>
      </c>
      <c r="C46" s="32" t="inlineStr">
        <is>
          <t>2026-09-21</t>
        </is>
      </c>
      <c r="D46" s="32" t="inlineStr">
        <is>
          <t>2026-09-21</t>
        </is>
      </c>
      <c r="E46" s="191" t="n">
        <v>12</v>
      </c>
      <c r="F46" s="93">
        <f>HYPERLINK("https://www1.hkexnews.hk/app/sehk/2026/108887/documents/sehk26092101146.pdf","open filing")</f>
        <v/>
      </c>
    </row>
    <row r="47">
      <c r="A47" s="32" t="inlineStr">
        <is>
          <t>Hai Robotics Innovation Group Co., Ltd. - W</t>
        </is>
      </c>
      <c r="B47" s="32" t="inlineStr">
        <is>
          <t>Application Proof only</t>
        </is>
      </c>
      <c r="C47" s="32" t="inlineStr">
        <is>
          <t>2026-09-21</t>
        </is>
      </c>
      <c r="D47" s="32" t="inlineStr">
        <is>
          <t>2026-09-21</t>
        </is>
      </c>
      <c r="E47" s="191" t="n">
        <v>12</v>
      </c>
      <c r="F47" s="93">
        <f>HYPERLINK("https://www1.hkexnews.hk/app/sehk/2026/108870/documents/sehk26091300124.pdf","open filing")</f>
        <v/>
      </c>
    </row>
    <row r="48">
      <c r="A48" s="32" t="inlineStr">
        <is>
          <t>Zhejiang Jingxin Pharmaceutical Co., Ltd.</t>
        </is>
      </c>
      <c r="B48" s="32" t="inlineStr">
        <is>
          <t>Application Proof only</t>
        </is>
      </c>
      <c r="C48" s="32" t="inlineStr">
        <is>
          <t>2026-09-18</t>
        </is>
      </c>
      <c r="D48" s="32" t="inlineStr">
        <is>
          <t>2026-09-18</t>
        </is>
      </c>
      <c r="E48" s="191" t="n">
        <v>15</v>
      </c>
      <c r="F48" s="93">
        <f>HYPERLINK("https://www1.hkexnews.hk/app/sehk/2026/108886/documents/sehk26091801843.pdf","open filing")</f>
        <v/>
      </c>
    </row>
    <row r="49">
      <c r="A49" s="32" t="inlineStr">
        <is>
          <t>ZHE JIANG HAI LIANG CO., LTD.</t>
        </is>
      </c>
      <c r="B49" s="32" t="inlineStr">
        <is>
          <t>Application Proof only</t>
        </is>
      </c>
      <c r="C49" s="32" t="inlineStr">
        <is>
          <t>2026-09-11</t>
        </is>
      </c>
      <c r="D49" s="32" t="inlineStr">
        <is>
          <t>2026-09-11</t>
        </is>
      </c>
      <c r="E49" s="191" t="n">
        <v>22</v>
      </c>
      <c r="F49" s="93">
        <f>HYPERLINK("https://www1.hkexnews.hk/app/sehk/2026/108850/documents/sehk26083000490.pdf","open filing")</f>
        <v/>
      </c>
    </row>
    <row r="50">
      <c r="A50" s="32" t="inlineStr">
        <is>
          <t>ASR Microelectronics Co., Ltd.</t>
        </is>
      </c>
      <c r="B50" s="32" t="inlineStr">
        <is>
          <t>Application Proof only</t>
        </is>
      </c>
      <c r="C50" s="32" t="inlineStr">
        <is>
          <t>2026-09-11</t>
        </is>
      </c>
      <c r="D50" s="32" t="inlineStr">
        <is>
          <t>2026-09-11</t>
        </is>
      </c>
      <c r="E50" s="191" t="n">
        <v>22</v>
      </c>
      <c r="F50" s="93">
        <f>HYPERLINK("https://www1.hkexnews.hk/app/sehk/2026/108868/documents/sehk26091101556.pdf","open filing")</f>
        <v/>
      </c>
    </row>
    <row r="51">
      <c r="A51" s="32" t="inlineStr">
        <is>
          <t>Shanghai Vision Star Media Co.,Ltd.</t>
        </is>
      </c>
      <c r="B51" s="32" t="inlineStr">
        <is>
          <t>Application Proof only</t>
        </is>
      </c>
      <c r="C51" s="32" t="inlineStr">
        <is>
          <t>2026-09-10</t>
        </is>
      </c>
      <c r="D51" s="32" t="inlineStr">
        <is>
          <t>2026-09-10</t>
        </is>
      </c>
      <c r="E51" s="191" t="n">
        <v>23</v>
      </c>
      <c r="F51" s="93">
        <f>HYPERLINK("https://www1.hkexnews.hk/app/sehk/2026/108822/documents/sehk26082701844.pdf","open filing")</f>
        <v/>
      </c>
    </row>
    <row r="52">
      <c r="A52" s="32" t="inlineStr">
        <is>
          <t>Hangzhou Tangji Medical Technology Co., Ltd. - B</t>
        </is>
      </c>
      <c r="B52" s="32" t="inlineStr">
        <is>
          <t>Application Proof only</t>
        </is>
      </c>
      <c r="C52" s="32" t="inlineStr">
        <is>
          <t>2026-09-10</t>
        </is>
      </c>
      <c r="D52" s="32" t="inlineStr">
        <is>
          <t>2026-09-10</t>
        </is>
      </c>
      <c r="E52" s="191" t="n">
        <v>23</v>
      </c>
      <c r="F52" s="93">
        <f>HYPERLINK("https://www1.hkexnews.hk/app/sehk/2026/108827/documents/sehk26082803557.pdf","open filing")</f>
        <v/>
      </c>
    </row>
    <row r="53">
      <c r="A53" s="32" t="inlineStr">
        <is>
          <t>Zhuhai Kingsware Artificial Intelligence Co., Ltd.</t>
        </is>
      </c>
      <c r="B53" s="32" t="inlineStr">
        <is>
          <t>Application Proof only</t>
        </is>
      </c>
      <c r="C53" s="32" t="inlineStr">
        <is>
          <t>2026-09-04</t>
        </is>
      </c>
      <c r="D53" s="32" t="inlineStr">
        <is>
          <t>2026-09-04</t>
        </is>
      </c>
      <c r="E53" s="191" t="n">
        <v>29</v>
      </c>
      <c r="F53" s="93">
        <f>HYPERLINK("https://www1.hkexnews.hk/app/sehk/2026/108812/documents/sehk26082102364.pdf","open filing")</f>
        <v/>
      </c>
    </row>
    <row r="54">
      <c r="A54" s="32" t="inlineStr">
        <is>
          <t>VATAI HOLDINGS LIMITED</t>
        </is>
      </c>
      <c r="B54" s="32" t="inlineStr">
        <is>
          <t>Application Proof only</t>
        </is>
      </c>
      <c r="C54" s="32" t="inlineStr">
        <is>
          <t>2026-09-03</t>
        </is>
      </c>
      <c r="D54" s="32" t="inlineStr">
        <is>
          <t>2026-09-03</t>
        </is>
      </c>
      <c r="E54" s="191" t="n">
        <v>30</v>
      </c>
      <c r="F54" s="93">
        <f>HYPERLINK("https://www1.hkexnews.hk/app/sehk/2026/108857/documents/sehk26090300176.pdf","open filing")</f>
        <v/>
      </c>
    </row>
    <row r="55">
      <c r="A55" s="32" t="inlineStr">
        <is>
          <t>Shenzhen Salubris Pharmaceuticals Co., Ltd.</t>
        </is>
      </c>
      <c r="B55" s="32" t="inlineStr">
        <is>
          <t>Application Proof only</t>
        </is>
      </c>
      <c r="C55" s="32" t="inlineStr">
        <is>
          <t>2026-09-03</t>
        </is>
      </c>
      <c r="D55" s="32" t="inlineStr">
        <is>
          <t>2026-09-03</t>
        </is>
      </c>
      <c r="E55" s="191" t="n">
        <v>30</v>
      </c>
      <c r="F55" s="93">
        <f>HYPERLINK("https://www1.hkexnews.hk/app/sehk/2026/108858/documents/sehk26090301640.pdf","open filing")</f>
        <v/>
      </c>
    </row>
    <row r="56">
      <c r="A56" s="32" t="inlineStr">
        <is>
          <t>Hunan Yuneng New Energy Battery Material Co., Ltd.</t>
        </is>
      </c>
      <c r="B56" s="32" t="inlineStr">
        <is>
          <t>Application Proof only</t>
        </is>
      </c>
      <c r="C56" s="32" t="inlineStr">
        <is>
          <t>2026-09-01</t>
        </is>
      </c>
      <c r="D56" s="32" t="inlineStr">
        <is>
          <t>2026-09-01</t>
        </is>
      </c>
      <c r="E56" s="191" t="n">
        <v>32</v>
      </c>
      <c r="F56" s="93">
        <f>HYPERLINK("https://www1.hkexnews.hk/app/sehk/2026/108797/documents/sehk26081700010.pdf","open filing")</f>
        <v/>
      </c>
    </row>
    <row r="57">
      <c r="A57" s="32" t="inlineStr">
        <is>
          <t>Guangxi Yuchai Marine and Genset Power Co., Ltd.</t>
        </is>
      </c>
      <c r="B57" s="32" t="inlineStr">
        <is>
          <t>Application Proof only</t>
        </is>
      </c>
      <c r="C57" s="32" t="inlineStr">
        <is>
          <t>2026-08-31</t>
        </is>
      </c>
      <c r="D57" s="32" t="inlineStr">
        <is>
          <t>2026-08-31</t>
        </is>
      </c>
      <c r="E57" s="191" t="n">
        <v>33</v>
      </c>
      <c r="F57" s="93">
        <f>HYPERLINK("https://www1.hkexnews.hk/app/sehk/2026/108851/documents/sehk26083101780.pdf","open filing")</f>
        <v/>
      </c>
    </row>
    <row r="58">
      <c r="A58" s="32" t="inlineStr">
        <is>
          <t>Zhejiang IPLUSMOBOT Technology Co., Ltd.</t>
        </is>
      </c>
      <c r="B58" s="32" t="inlineStr">
        <is>
          <t>Application Proof only</t>
        </is>
      </c>
      <c r="C58" s="32" t="inlineStr">
        <is>
          <t>2026-08-31</t>
        </is>
      </c>
      <c r="D58" s="32" t="inlineStr">
        <is>
          <t>2026-08-31</t>
        </is>
      </c>
      <c r="E58" s="191" t="n">
        <v>33</v>
      </c>
      <c r="F58" s="93">
        <f>HYPERLINK("https://www1.hkexnews.hk/app/sehk/2026/108853/documents/sehk26083102166.pdf","open filing")</f>
        <v/>
      </c>
    </row>
    <row r="59">
      <c r="A59" s="32" t="inlineStr">
        <is>
          <t>ANEW Health Limited</t>
        </is>
      </c>
      <c r="B59" s="32" t="inlineStr">
        <is>
          <t>Application Proof only</t>
        </is>
      </c>
      <c r="C59" s="32" t="inlineStr">
        <is>
          <t>2026-08-31</t>
        </is>
      </c>
      <c r="D59" s="32" t="inlineStr">
        <is>
          <t>2026-08-31</t>
        </is>
      </c>
      <c r="E59" s="191" t="n">
        <v>33</v>
      </c>
      <c r="F59" s="93">
        <f>HYPERLINK("https://www1.hkexnews.hk/app/sehk/2026/108852/documents/sehk26083102544.pdf","open filing")</f>
        <v/>
      </c>
    </row>
    <row r="60">
      <c r="A60" s="32" t="inlineStr">
        <is>
          <t>Ningbo Sunny Smart Autotech Company Limited</t>
        </is>
      </c>
      <c r="B60" s="32" t="inlineStr">
        <is>
          <t>Application Proof only</t>
        </is>
      </c>
      <c r="C60" s="32" t="inlineStr">
        <is>
          <t>2026-08-31</t>
        </is>
      </c>
      <c r="D60" s="32" t="inlineStr">
        <is>
          <t>2026-08-31</t>
        </is>
      </c>
      <c r="E60" s="191" t="n">
        <v>33</v>
      </c>
      <c r="F60" s="93">
        <f>HYPERLINK("https://www1.hkexnews.hk/app/sehk/2026/108854/documents/sehk26083102636.pdf","open filing")</f>
        <v/>
      </c>
    </row>
    <row r="61">
      <c r="A61" s="32" t="inlineStr">
        <is>
          <t>Jiangxi Tongbo Technology Co., Ltd.</t>
        </is>
      </c>
      <c r="B61" s="32" t="inlineStr">
        <is>
          <t>Application Proof only</t>
        </is>
      </c>
      <c r="C61" s="32" t="inlineStr">
        <is>
          <t>2026-08-31</t>
        </is>
      </c>
      <c r="D61" s="32" t="inlineStr">
        <is>
          <t>2026-08-31</t>
        </is>
      </c>
      <c r="E61" s="191" t="n">
        <v>33</v>
      </c>
      <c r="F61" s="93">
        <f>HYPERLINK("https://www1.hkexnews.hk/app/sehk/2026/108855/documents/sehk26083102794.pdf","open filing")</f>
        <v/>
      </c>
    </row>
    <row r="62">
      <c r="A62" s="32" t="inlineStr">
        <is>
          <t>ProteLight Pharmaceuticals (Jiangsu) Co., Ltd. - B</t>
        </is>
      </c>
      <c r="B62" s="32" t="inlineStr">
        <is>
          <t>Application Proof only</t>
        </is>
      </c>
      <c r="C62" s="32" t="inlineStr">
        <is>
          <t>2026-08-31</t>
        </is>
      </c>
      <c r="D62" s="32" t="inlineStr">
        <is>
          <t>2026-08-31</t>
        </is>
      </c>
      <c r="E62" s="191" t="n">
        <v>33</v>
      </c>
      <c r="F62" s="93">
        <f>HYPERLINK("https://www1.hkexnews.hk/app/sehk/2026/108856/documents/sehk26083102866.pdf","open filing")</f>
        <v/>
      </c>
    </row>
    <row r="63">
      <c r="A63" s="32" t="inlineStr">
        <is>
          <t>Hangzhou Bangshun Pharmaceutical Co., Ltd. - B</t>
        </is>
      </c>
      <c r="B63" s="32" t="inlineStr">
        <is>
          <t>Application Proof only</t>
        </is>
      </c>
      <c r="C63" s="32" t="inlineStr">
        <is>
          <t>2026-08-30</t>
        </is>
      </c>
      <c r="D63" s="32" t="inlineStr">
        <is>
          <t>2026-08-30</t>
        </is>
      </c>
      <c r="E63" s="191" t="n">
        <v>34</v>
      </c>
      <c r="F63" s="93">
        <f>HYPERLINK("https://www1.hkexnews.hk/app/sehk/2026/108847/documents/sehk26083000266.pdf","open filing")</f>
        <v/>
      </c>
    </row>
    <row r="64">
      <c r="A64" s="32" t="inlineStr">
        <is>
          <t>Beijing XSKY Technology Co., Ltd.</t>
        </is>
      </c>
      <c r="B64" s="32" t="inlineStr">
        <is>
          <t>Application Proof only</t>
        </is>
      </c>
      <c r="C64" s="32" t="inlineStr">
        <is>
          <t>2026-08-30</t>
        </is>
      </c>
      <c r="D64" s="32" t="inlineStr">
        <is>
          <t>2026-08-30</t>
        </is>
      </c>
      <c r="E64" s="191" t="n">
        <v>34</v>
      </c>
      <c r="F64" s="93">
        <f>HYPERLINK("https://www1.hkexnews.hk/app/sehk/2026/108849/documents/sehk26083000408.pdf","open filing")</f>
        <v/>
      </c>
    </row>
    <row r="65"/>
    <row r="66">
      <c r="A66" s="71" t="inlineStr">
        <is>
          <t>10 PHIP-stage applications of 366 live; PHIPs plus the 30 most recent application proofs shown.</t>
        </is>
      </c>
    </row>
  </sheetData>
  <mergeCells count="7">
    <mergeCell ref="A2:L2"/>
    <mergeCell ref="V4:Y4"/>
    <mergeCell ref="S4:U4"/>
    <mergeCell ref="A4:G4"/>
    <mergeCell ref="Z4:AB4"/>
    <mergeCell ref="H4:R4"/>
    <mergeCell ref="AC4:AD4"/>
  </mergeCells>
  <dataValidations count="1">
    <dataValidation sqref="G6:G18" showDropDown="0" showInputMessage="0" showErrorMessage="0" allowBlank="1" type="list">
      <formula1>=SubsectorList</formula1>
    </dataValidation>
  </dataValidations>
  <printOptions horizontalCentered="1"/>
  <pageMargins left="0.75" right="0.75" top="1" bottom="1" header="0.5" footer="0.5"/>
  <pageSetup orientation="landscape" paperSize="8" fitToHeight="0" fitToWidth="1"/>
  <ignoredErrors>
    <ignoredError sqref="A6:A40" numberStoredAsText="1"/>
  </ignoredErrors>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K1082"/>
  <sheetViews>
    <sheetView showGridLines="0" zoomScale="95"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ht="30" customHeight="1">
      <c r="A1" s="16" t="inlineStr">
        <is>
          <t>CORNERSTONE LEAGUE</t>
        </is>
      </c>
    </row>
    <row r="2" ht="34" customHeight="1">
      <c r="A2" s="17" t="inlineStr">
        <is>
          <t>One row per investor; long and short forms of one house count once. Simple averages across their deals. Hit = share closing day 1 above the offer. Ex-pop legs run from the day-1 close.</t>
        </is>
      </c>
    </row>
    <row r="3">
      <c r="D3" s="190" t="inlineStr">
        <is>
          <t>VS OFFER (WITH POP)</t>
        </is>
      </c>
      <c r="H3" s="190" t="inlineStr">
        <is>
          <t>FROM DAY-1 CLOSE (EX-POP)</t>
        </is>
      </c>
    </row>
    <row r="4" ht="30" customHeight="1">
      <c r="A4" s="26" t="inlineStr">
        <is>
          <t>Investor</t>
        </is>
      </c>
      <c r="B4" s="26" t="inlineStr">
        <is>
          <t>Deals</t>
        </is>
      </c>
      <c r="C4" s="26" t="inlineStr">
        <is>
          <t>Day-1 hit</t>
        </is>
      </c>
      <c r="D4" s="26" t="inlineStr">
        <is>
          <t>Avg day-1 pop</t>
        </is>
      </c>
      <c r="E4" s="26" t="inlineStr">
        <is>
          <t>Avg 1w</t>
        </is>
      </c>
      <c r="F4" s="26" t="inlineStr">
        <is>
          <t>Avg 1m</t>
        </is>
      </c>
      <c r="G4" s="26" t="inlineStr">
        <is>
          <t>Avg 3m</t>
        </is>
      </c>
      <c r="H4" s="26" t="inlineStr">
        <is>
          <t>Avg 1w ex-pop</t>
        </is>
      </c>
      <c r="I4" s="26" t="inlineStr">
        <is>
          <t>Avg 1m ex-pop</t>
        </is>
      </c>
      <c r="J4" s="26" t="inlineStr">
        <is>
          <t>Avg 3m ex-pop</t>
        </is>
      </c>
      <c r="K4" s="26" t="inlineStr">
        <is>
          <t>Their deals</t>
        </is>
      </c>
    </row>
    <row r="5">
      <c r="A5" s="32" t="inlineStr">
        <is>
          <t>UBS Asset Management (Singapore) Ltd</t>
        </is>
      </c>
      <c r="B5" s="191" t="n">
        <v>38</v>
      </c>
      <c r="C5" s="193" t="n">
        <v>74</v>
      </c>
      <c r="D5" s="194" t="n">
        <v>37.3</v>
      </c>
      <c r="E5" s="194" t="n">
        <v>35.5</v>
      </c>
      <c r="F5" s="194" t="n">
        <v>27</v>
      </c>
      <c r="G5" s="194" t="n">
        <v>28.3</v>
      </c>
      <c r="H5" s="194" t="n">
        <v>-1.4</v>
      </c>
      <c r="I5" s="194" t="n">
        <v>-4.1</v>
      </c>
      <c r="J5" s="194" t="n">
        <v>-2</v>
      </c>
      <c r="K5" s="195" t="inlineStr">
        <is>
          <t>2150 NAYUKI; 2162 KEYMED BIO-B; 2137 BRII - B; 2216 BRONCUS-B; 2256 ABBISKO-B; 2235 MICROTECH MED-B; 2273 GUSHENGTANG; 2602 ONEWO; 2268 WUXI XDC; 0300 MIDEA GROUP; 2460 CR BEVERAGE; 0325 BLOKS; 1276 HENGRUI PHARMA; 3288 HAITIAN FLAV; 6603 IFBH; 6613 LENS; 2595 GENFLEET-B; 2259 ZIJIN GOLD INTL; 6031 SANY HEAVY IND; 3887 HASHKEY HLDGS; 6082 BIREN TECH; 9903 ILUVATAR COREX; 2675 EDGE MEDICAL-B; 0501 OMNIVISION; 2714 MUYUAN; 6809 MONTAGE TECH; 1989 DELTON; 6656 SIGENERGY; 3277 GPIXEL; 3296 HUAQIN; 1879 XIZHI TECH-P; 7666 METIS TECHBIO-P; 7688 TOPNC; 1081 DAJIN; 1191 CREALIGHTS; 0668 ANKER; 2475 LUXSHARE ICT; 0625 SHEIN-W</t>
        </is>
      </c>
    </row>
    <row r="6">
      <c r="A6" s="32" t="inlineStr">
        <is>
          <t>GF Fund Management Co., Ltd</t>
        </is>
      </c>
      <c r="B6" s="191" t="n">
        <v>36</v>
      </c>
      <c r="C6" s="193" t="n">
        <v>61</v>
      </c>
      <c r="D6" s="194" t="n">
        <v>25.9</v>
      </c>
      <c r="E6" s="194" t="n">
        <v>27.1</v>
      </c>
      <c r="F6" s="194" t="n">
        <v>14.8</v>
      </c>
      <c r="G6" s="194" t="n">
        <v>31.9</v>
      </c>
      <c r="H6" s="194" t="n">
        <v>-0.2</v>
      </c>
      <c r="I6" s="194" t="n">
        <v>-9</v>
      </c>
      <c r="J6" s="194" t="n">
        <v>3.3</v>
      </c>
      <c r="K6" s="195" t="inlineStr">
        <is>
          <t>2171 CARSGEN-B; 2150 NAYUKI; 2251 AIRDOC-B; 6633 QINGCI GAMES; 2246 GOGOX; 9863 LEAPMOTOR; 2420 ZIBUYU; 2415 MEDSCI; 6168 ZHOU LIU FU; 6603 IFBH; 3858 JIAXIN INTL RES; 2259 ZIJIN GOLD INTL; 0638 FIBOCOM; 9927 SERES; 2788 CHUANGXIN IND; 2513 KNOWLEDGE ATLAS; 2692 ZHAOWEI; 3355 FS.COM; 1021 HUAYAN ROBOTICS; 0068 MANYCORE TECH; 3277 GPIXEL; 7666 METIS TECHBIO-P; 6067 SENIOR MATERIAL; 6106 SEER TECH; 3661 SG MICRO; 1688 LINGYI ITECH; 9630 CFMEE; 6228 MERDEKAGOLD-DRS; 9637 ALEBUND-B; 6880 MOMENTA-W; 7687 EACON; 3752 ROKAE ROBOTICS; 2475 LUXSHARE ICT; 2249 NEXCHIP; 3223 INGENIC; 9856 LIGENT</t>
        </is>
      </c>
    </row>
    <row r="7">
      <c r="A7" s="32" t="inlineStr">
        <is>
          <t>Harvest International Premium Value (Secondary Market) Fund SPC</t>
        </is>
      </c>
      <c r="B7" s="191" t="n">
        <v>35</v>
      </c>
      <c r="C7" s="193" t="n">
        <v>54</v>
      </c>
      <c r="D7" s="194" t="n">
        <v>7.9</v>
      </c>
      <c r="E7" s="194" t="n">
        <v>11.9</v>
      </c>
      <c r="F7" s="194" t="n">
        <v>13.2</v>
      </c>
      <c r="G7" s="194" t="n">
        <v>15.4</v>
      </c>
      <c r="H7" s="194" t="n">
        <v>4.4</v>
      </c>
      <c r="I7" s="194" t="n">
        <v>5.4</v>
      </c>
      <c r="J7" s="194" t="n">
        <v>6.9</v>
      </c>
      <c r="K7" s="195"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6911 LANCANG TEA; 9879 MIGAO GROUP; 2465 LOPAL TECH; 2613 CONTIOCEAN; 2609 BAYZED HEALTH; 6603 IFBH; 2543 DAHON TECH; 2637 HAIXI PHARMA; 3696 INSILICO; 2715 ESTUN; 3268 MEIG; 2701 NSING TECH; 6067 SENIOR MATERIAL; 1956 WENGE AI; 3661 SG MICRO; 3952 LAIFUAL; 2249 NEXCHIP</t>
        </is>
      </c>
    </row>
    <row r="8">
      <c r="A8" s="32" t="inlineStr">
        <is>
          <t>Taikang Life Insurance Co., Ltd</t>
        </is>
      </c>
      <c r="B8" s="191" t="n">
        <v>30</v>
      </c>
      <c r="C8" s="193" t="n">
        <v>73</v>
      </c>
      <c r="D8" s="194" t="n">
        <v>28.9</v>
      </c>
      <c r="E8" s="194" t="n">
        <v>37.4</v>
      </c>
      <c r="F8" s="194" t="n">
        <v>31</v>
      </c>
      <c r="G8" s="194" t="n">
        <v>80.2</v>
      </c>
      <c r="H8" s="194" t="n">
        <v>4.3</v>
      </c>
      <c r="I8" s="194" t="n">
        <v>1.3</v>
      </c>
      <c r="J8" s="194" t="n">
        <v>33.1</v>
      </c>
      <c r="K8" s="195" t="inlineStr">
        <is>
          <t>2160 CARDIOFLOW-B; 1304 FORTIOR; 2525 HESAI-W; 2259 ZIJIN GOLD INTL; 6166 CIG; 2788 CHUANGXIN IND; 3696 INSILICO; 6082 BIREN TECH; 2513 KNOWLEDGE ATLAS; 0100 MINIMAX-WP; 6938 RIBOLIFE-B; 1768 BUSYMING; 9980 EASTROC; 6809 MONTAGE TECH; 0068 MANYCORE TECH; 3296 HUAQIN; 3388 CREALITY; 1081 DAJIN; 6132 HJ SCIENCE-B; 6067 SENIOR MATERIAL; 3661 SG MICRO; 1688 LINGYI ITECH; 6715 XUNLONG SCITECH; 0668 ANKER; 2475 LUXSHARE ICT; 6951 CCTC; 1377 DTECH; 2249 NEXCHIP; 0625 SHEIN-W; 9615 MECH-MIND ROBOT</t>
        </is>
      </c>
    </row>
    <row r="9">
      <c r="A9" s="32" t="inlineStr">
        <is>
          <t>HHLR Advisors, Ltd</t>
        </is>
      </c>
      <c r="B9" s="191" t="n">
        <v>28</v>
      </c>
      <c r="C9" s="193" t="n">
        <v>68</v>
      </c>
      <c r="D9" s="194" t="n">
        <v>38.3</v>
      </c>
      <c r="E9" s="194" t="n">
        <v>34.5</v>
      </c>
      <c r="F9" s="194" t="n">
        <v>20.4</v>
      </c>
      <c r="G9" s="194" t="n">
        <v>15</v>
      </c>
      <c r="H9" s="194" t="n">
        <v>-2.2</v>
      </c>
      <c r="I9" s="194" t="n">
        <v>-10</v>
      </c>
      <c r="J9" s="194" t="n">
        <v>-14.3</v>
      </c>
      <c r="K9" s="195" t="inlineStr">
        <is>
          <t>2197 CLOVER BIO-B; 2602 ONEWO; 2097 MIXUE GROUP; 1276 HENGRUI PHARMA; 3288 HAITIAN FLAV; 2525 HESAI-W; 9973 CHERY AUTO; 2259 ZIJIN GOLD INTL; 2408 XIAO NOODLES;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10">
      <c r="A10" s="32" t="inlineStr">
        <is>
          <t>CPE Greater China Enterprises Growth Fund</t>
        </is>
      </c>
      <c r="B10" s="191" t="n">
        <v>21</v>
      </c>
      <c r="C10" s="193" t="n">
        <v>67</v>
      </c>
      <c r="D10" s="194" t="n">
        <v>46</v>
      </c>
      <c r="E10" s="194" t="n">
        <v>47.5</v>
      </c>
      <c r="F10" s="194" t="n">
        <v>39.4</v>
      </c>
      <c r="G10" s="194" t="n">
        <v>42.1</v>
      </c>
      <c r="H10" s="194" t="n">
        <v>-0.2</v>
      </c>
      <c r="I10" s="194" t="n">
        <v>-1.9</v>
      </c>
      <c r="J10" s="194" t="n">
        <v>-2.8</v>
      </c>
      <c r="K10" s="195" t="inlineStr">
        <is>
          <t>2160 CARDIOFLOW-B; 6127 JOINN; 6669 ACOTEC-B; 0300 MIDEA GROUP; 1318 MAO GEPING; 2259 ZIJIN GOLD INTL; 7618 JD INDUSTRIALS; 1989 DELTON; 6656 SIGENERGY; 3277 GPIXEL; 2476 VGT; 1879 XIZHI TECH-P; 3388 CREALITY; 1081 DAJIN; 3661 SG MICRO; 9630 CFMEE; 0537 RIGOL; 2475 LUXSHARE ICT; 6951 CCTC; 1377 DTECH; 3228 KINWONG</t>
        </is>
      </c>
    </row>
    <row r="11">
      <c r="A11" s="32" t="inlineStr">
        <is>
          <t>Fullgoal Fund Management Co., Ltd</t>
        </is>
      </c>
      <c r="B11" s="191" t="n">
        <v>20</v>
      </c>
      <c r="C11" s="193" t="n">
        <v>95</v>
      </c>
      <c r="D11" s="194" t="n">
        <v>63.9</v>
      </c>
      <c r="E11" s="194" t="n">
        <v>63.9</v>
      </c>
      <c r="F11" s="194" t="n">
        <v>50.9</v>
      </c>
      <c r="G11" s="194" t="n">
        <v>60.6</v>
      </c>
      <c r="H11" s="194" t="n">
        <v>1.5</v>
      </c>
      <c r="I11" s="194" t="n">
        <v>-4.6</v>
      </c>
      <c r="J11" s="194" t="n">
        <v>0.4</v>
      </c>
      <c r="K11" s="195" t="inlineStr">
        <is>
          <t>2219 CHAOJU EYE CARE; 0325 BLOKS; 9606 DUALITYBIO-B; 3858 JIAXIN INTL RES; 2595 GENFLEET-B; 2259 ZIJIN GOLD INTL; 2698 SOFTCARE; 2788 CHUANGXIN IND; 3696 INSILICO; 6082 BIREN TECH; 2768 GON TECHNOLOGY; 3200 HANS CNC; 6656 SIGENERGY; 3277 GPIXEL; 7666 METIS TECHBIO-P; 7688 TOPNC; 1081 DAJIN; 1779 LONGBIO-B; 6067 SENIOR MATERIAL; 9630 CFMEE</t>
        </is>
      </c>
    </row>
    <row r="12">
      <c r="A12" s="32" t="inlineStr">
        <is>
          <t>Greenwoods Asset Management Hong Kong Limited</t>
        </is>
      </c>
      <c r="B12" s="191" t="n">
        <v>20</v>
      </c>
      <c r="C12" s="193" t="n">
        <v>75</v>
      </c>
      <c r="D12" s="194" t="n">
        <v>44.7</v>
      </c>
      <c r="E12" s="194" t="n">
        <v>48.9</v>
      </c>
      <c r="F12" s="194" t="n">
        <v>42.1</v>
      </c>
      <c r="G12" s="194" t="n">
        <v>46.3</v>
      </c>
      <c r="H12" s="194" t="n">
        <v>2.7</v>
      </c>
      <c r="I12" s="194" t="n">
        <v>1.3</v>
      </c>
      <c r="J12" s="194" t="n">
        <v>9.9</v>
      </c>
      <c r="K12" s="195" t="inlineStr">
        <is>
          <t>2285 CHERVON; 9878 HUITONGDA NET; 0325 BLOKS; 2050 SANHUA; 2648 ANJOY FOOD; 9973 CHERY AUTO; 2259 ZIJIN GOLD INTL; 6687 JST GROUP; 6031 SANY HEAVY IND; 2788 CHUANGXIN IND; 3986 GIGADEVICE; 1989 DELTON; 6656 SIGENERGY; 3277 GPIXEL; 2476 VGT; 1879 XIZHI TECH-P; 1688 LINGYI ITECH; 0668 ANKER; 2475 LUXSHARE ICT; 0625 SHEIN-W</t>
        </is>
      </c>
    </row>
    <row r="13">
      <c r="A13" s="32" t="inlineStr">
        <is>
          <t>3W Fund Management Limited</t>
        </is>
      </c>
      <c r="B13" s="191" t="n">
        <v>19</v>
      </c>
      <c r="C13" s="193" t="n">
        <v>79</v>
      </c>
      <c r="D13" s="194" t="n">
        <v>54.2</v>
      </c>
      <c r="E13" s="194" t="n">
        <v>57.4</v>
      </c>
      <c r="F13" s="194" t="n">
        <v>42.3</v>
      </c>
      <c r="G13" s="194" t="n">
        <v>50.9</v>
      </c>
      <c r="H13" s="194" t="n">
        <v>1.8</v>
      </c>
      <c r="I13" s="194" t="n">
        <v>-5</v>
      </c>
      <c r="J13" s="194" t="n">
        <v>15.7</v>
      </c>
      <c r="K13" s="195" t="inlineStr">
        <is>
          <t>2158 YIDU TECH; 2160 CARDIOFLOW-B; 6609 HEARTCARE-B; 2285 CHERVON; 2050 SANHUA; 1304 FORTIOR; 6687 JST GROUP; 6166 CIG; 2676 NOVOSENSE; 6082 BIREN TECH; 2513 KNOWLEDGE ATLAS; 6656 SIGENERGY; 3277 GPIXEL; 3296 HUAQIN; 1879 XIZHI TECH-P; 7688 TOPNC; 6106 SEER TECH; 1688 LINGYI ITECH; 3228 KINWONG</t>
        </is>
      </c>
    </row>
    <row r="14">
      <c r="A14" s="32" t="inlineStr">
        <is>
          <t>Perseverance Asset Management International (Singapore) Pte. Ltd</t>
        </is>
      </c>
      <c r="B14" s="191" t="n">
        <v>18</v>
      </c>
      <c r="C14" s="193" t="n">
        <v>67</v>
      </c>
      <c r="D14" s="194" t="n">
        <v>28.8</v>
      </c>
      <c r="E14" s="194" t="n">
        <v>40.8</v>
      </c>
      <c r="F14" s="194" t="n">
        <v>35.2</v>
      </c>
      <c r="G14" s="194" t="n">
        <v>96.8</v>
      </c>
      <c r="H14" s="194" t="n">
        <v>8.699999999999999</v>
      </c>
      <c r="I14" s="194" t="n">
        <v>4.4</v>
      </c>
      <c r="J14" s="194" t="n">
        <v>45.8</v>
      </c>
      <c r="K14" s="195" t="inlineStr">
        <is>
          <t>6669 ACOTEC-B; 9887 LEADS BIOLABS-B; 2259 ZIJIN GOLD INTL; 6687 JST GROUP; 6031 SANY HEAVY IND; 2676 NOVOSENSE; 2513 KNOWLEDGE ATLAS; 0100 MINIMAX-WP; 2714 MUYUAN; 2692 ZHAOWEI; 6656 SIGENERGY; 3277 GPIXEL; 3296 HUAQIN; 1191 CREALIGHTS; 2475 LUXSHARE ICT; 2249 NEXCHIP; 3308 ZJ INNOLIGHT; 3223 INGENIC</t>
        </is>
      </c>
    </row>
    <row r="15">
      <c r="A15" s="32" t="inlineStr">
        <is>
          <t>Mirae Asset Securities Co., Ltd</t>
        </is>
      </c>
      <c r="B15" s="191" t="n">
        <v>17</v>
      </c>
      <c r="C15" s="193" t="n">
        <v>71</v>
      </c>
      <c r="D15" s="194" t="n">
        <v>67.09999999999999</v>
      </c>
      <c r="E15" s="194" t="n">
        <v>75.90000000000001</v>
      </c>
      <c r="F15" s="194" t="n">
        <v>58.3</v>
      </c>
      <c r="G15" s="194" t="n">
        <v>72.8</v>
      </c>
      <c r="H15" s="194" t="n">
        <v>4.1</v>
      </c>
      <c r="I15" s="194" t="n">
        <v>-3.1</v>
      </c>
      <c r="J15" s="194" t="n">
        <v>7.3</v>
      </c>
      <c r="K15" s="195" t="inlineStr">
        <is>
          <t>2050 SANHUA; 2643 CAOCAO INC; 2259 ZIJIN GOLD INTL; 9927 SERES; 0100 MINIMAX-WP; 6809 MONTAGE TECH; 2692 ZHAOWEI; 0068 MANYCORE TECH; 3277 GPIXEL; 2476 VGT; 1879 XIZHI TECH-P; 7666 METIS TECHBIO-P; 7688 TOPNC; 6715 XUNLONG SCITECH; 2475 LUXSHARE ICT; 3308 ZJ INNOLIGHT; 9856 LIGENT</t>
        </is>
      </c>
    </row>
    <row r="16">
      <c r="A16" s="32" t="inlineStr">
        <is>
          <t>China Universal Asset Management (Hong Kong) Company Limited</t>
        </is>
      </c>
      <c r="B16" s="191" t="n">
        <v>16</v>
      </c>
      <c r="C16" s="193" t="n">
        <v>69</v>
      </c>
      <c r="D16" s="194" t="n">
        <v>54.1</v>
      </c>
      <c r="E16" s="194" t="n">
        <v>63</v>
      </c>
      <c r="F16" s="194" t="n">
        <v>45.9</v>
      </c>
      <c r="G16" s="194" t="n">
        <v>105.8</v>
      </c>
      <c r="H16" s="194" t="n">
        <v>1.1</v>
      </c>
      <c r="I16" s="194" t="n">
        <v>-6.4</v>
      </c>
      <c r="J16" s="194" t="n">
        <v>19</v>
      </c>
      <c r="K16" s="195" t="inlineStr">
        <is>
          <t>2155 MORIMATSU INTL; 2150 NAYUKI; 6669 ACOTEC-B; 6990 SKB BIO-B; 9606 DUALITYBIO-B; 2595 GENFLEET-B; 2259 ZIJIN GOLD INTL; 6687 JST GROUP; 9903 ILUVATAR COREX; 0100 MINIMAX-WP; 9630 CFMEE; 9637 ALEBUND-B; 2475 LUXSHARE ICT; 6951 CCTC; 2249 NEXCHIP; 3223 INGENIC</t>
        </is>
      </c>
    </row>
    <row r="17">
      <c r="A17" s="32" t="inlineStr">
        <is>
          <t>WT Asset Management Limited</t>
        </is>
      </c>
      <c r="B17" s="191" t="n">
        <v>16</v>
      </c>
      <c r="C17" s="193" t="n">
        <v>62</v>
      </c>
      <c r="D17" s="194" t="n">
        <v>16.8</v>
      </c>
      <c r="E17" s="194" t="n">
        <v>22.8</v>
      </c>
      <c r="F17" s="194" t="n">
        <v>13.5</v>
      </c>
      <c r="G17" s="194" t="n">
        <v>59.8</v>
      </c>
      <c r="H17" s="194" t="n">
        <v>4.7</v>
      </c>
      <c r="I17" s="194" t="n">
        <v>-3.1</v>
      </c>
      <c r="J17" s="194" t="n">
        <v>34.7</v>
      </c>
      <c r="K17" s="195" t="inlineStr">
        <is>
          <t>2160 CARDIOFLOW-B; 2171 CARSGEN-B; 2251 AIRDOC-B; 2279 YONGHE MEDICAL; 6936 SF HOLDING; 2525 HESAI-W; 6687 JST GROUP; 6031 SANY HEAVY IND; 6082 BIREN TECH; 2513 KNOWLEDGE ATLAS; 3355 FS.COM; 3277 GPIXEL; 0668 ANKER; 2475 LUXSHARE ICT; 2249 NEXCHIP; 3308 ZJ INNOLIGHT</t>
        </is>
      </c>
    </row>
    <row r="18">
      <c r="A18" s="32" t="inlineStr">
        <is>
          <t>ICBC Wealth Management Co., Ltd</t>
        </is>
      </c>
      <c r="B18" s="191" t="n">
        <v>15</v>
      </c>
      <c r="C18" s="193" t="n">
        <v>67</v>
      </c>
      <c r="D18" s="194" t="n">
        <v>59.2</v>
      </c>
      <c r="E18" s="194" t="n">
        <v>50.7</v>
      </c>
      <c r="F18" s="194" t="n">
        <v>38.1</v>
      </c>
      <c r="G18" s="194" t="n">
        <v>25.3</v>
      </c>
      <c r="H18" s="194" t="n">
        <v>-5.1</v>
      </c>
      <c r="I18" s="194" t="n">
        <v>-7.3</v>
      </c>
      <c r="J18" s="194" t="n">
        <v>-13.8</v>
      </c>
      <c r="K18" s="195" t="inlineStr">
        <is>
          <t>2050 SANHUA; 6603 IFBH; 6166 CIG; 3881 CIDI; 1989 DELTON; 6656 SIGENERGY; 3277 GPIXEL; 1879 XIZHI TECH-P; 7666 METIS TECHBIO-P; 1081 DAJIN; 3661 SG MICRO; 6715 XUNLONG SCITECH; 6951 CCTC; 2249 NEXCHIP; 3223 INGENIC</t>
        </is>
      </c>
    </row>
    <row r="19">
      <c r="A19" s="32" t="inlineStr">
        <is>
          <t>Lake Bleu Prime Healthcare Master Fund Limited</t>
        </is>
      </c>
      <c r="B19" s="191" t="n">
        <v>15</v>
      </c>
      <c r="C19" s="193" t="n">
        <v>60</v>
      </c>
      <c r="D19" s="194" t="n">
        <v>30.1</v>
      </c>
      <c r="E19" s="194" t="n">
        <v>25.6</v>
      </c>
      <c r="F19" s="194" t="n">
        <v>6.8</v>
      </c>
      <c r="G19" s="194" t="n">
        <v>2.9</v>
      </c>
      <c r="H19" s="194" t="n">
        <v>-2.8</v>
      </c>
      <c r="I19" s="194" t="n">
        <v>-16.4</v>
      </c>
      <c r="J19" s="194" t="n">
        <v>-24.3</v>
      </c>
      <c r="K19" s="195" t="inlineStr">
        <is>
          <t>2160 CARDIOFLOW-B; 2170 BASECARE-B; 6127 JOINN; 2190 ZYLOXTB-B; 2162 KEYMED BIO-B; 6609 HEARTCARE-B; 2216 BRONCUS-B; 2256 ABBISKO-B; 2235 MICROTECH MED-B; 2251 AIRDOC-B; 2279 YONGHE MEDICAL; 2268 WUXI XDC; 9606 DUALITYBIO-B; 2595 GENFLEET-B; 7666 METIS TECHBIO-P</t>
        </is>
      </c>
    </row>
    <row r="20">
      <c r="A20" s="32" t="inlineStr">
        <is>
          <t>OrbiMed Genesis Master Fund, L.P</t>
        </is>
      </c>
      <c r="B20" s="191" t="n">
        <v>15</v>
      </c>
      <c r="C20" s="193" t="n">
        <v>53</v>
      </c>
      <c r="D20" s="194" t="n">
        <v>27.2</v>
      </c>
      <c r="E20" s="194" t="n">
        <v>26</v>
      </c>
      <c r="F20" s="194" t="n">
        <v>13.8</v>
      </c>
      <c r="G20" s="194" t="n">
        <v>2.3</v>
      </c>
      <c r="H20" s="194" t="n">
        <v>-1.2</v>
      </c>
      <c r="I20" s="194" t="n">
        <v>-10.2</v>
      </c>
      <c r="J20" s="194" t="n">
        <v>-17.9</v>
      </c>
      <c r="K20" s="195" t="inlineStr">
        <is>
          <t>2158 YIDU TECH; 2170 BASECARE-B; 6127 JOINN; 6622 ZHAOKE OPHTH-B; 2192 MEDLIVE; 2256 ABBISKO-B; 2235 MICROTECH MED-B; 2251 AIRDOC-B; 2197 CLOVER BIO-B; 6639 ARRAIL GROUP; 2105 LAEKNA-B; 9887 LEADS BIOLABS-B; 2595 GENFLEET-B; 2675 EDGE MEDICAL-B; 1779 LONGBIO-B</t>
        </is>
      </c>
    </row>
    <row r="21">
      <c r="A21" s="32" t="inlineStr">
        <is>
          <t>IvyRock Asset Management (HK) Limited</t>
        </is>
      </c>
      <c r="B21" s="191" t="n">
        <v>14</v>
      </c>
      <c r="C21" s="193" t="n">
        <v>57</v>
      </c>
      <c r="D21" s="194" t="n">
        <v>12.9</v>
      </c>
      <c r="E21" s="194" t="n">
        <v>13.3</v>
      </c>
      <c r="F21" s="194" t="n">
        <v>8.699999999999999</v>
      </c>
      <c r="G21" s="194" t="n">
        <v>19.5</v>
      </c>
      <c r="H21" s="194" t="n">
        <v>-1.2</v>
      </c>
      <c r="I21" s="194" t="n">
        <v>-5.6</v>
      </c>
      <c r="J21" s="194" t="n">
        <v>-3</v>
      </c>
      <c r="K21" s="195" t="inlineStr">
        <is>
          <t>2170 BASECARE-B; 2171 CARSGEN-B; 2190 ZYLOXTB-B; 9960 KINDSTAR GLOBAL; 2251 AIRDOC-B; 2279 YONGHE MEDICAL; 2285 CHERVON; 1318 MAO GEPING; 7618 JD INDUSTRIALS; 6938 RIBOLIFE-B; 3296 HUAQIN; 6951 CCTC; 2249 NEXCHIP; 3757 ROBOTECHNIK</t>
        </is>
      </c>
    </row>
    <row r="22">
      <c r="A22" s="32" t="inlineStr">
        <is>
          <t>E Fund Management Co., Ltd</t>
        </is>
      </c>
      <c r="B22" s="191" t="n">
        <v>13</v>
      </c>
      <c r="C22" s="193" t="n">
        <v>77</v>
      </c>
      <c r="D22" s="194" t="n">
        <v>45</v>
      </c>
      <c r="E22" s="194" t="n">
        <v>65.5</v>
      </c>
      <c r="F22" s="194" t="n">
        <v>65.09999999999999</v>
      </c>
      <c r="G22" s="194" t="n">
        <v>112.1</v>
      </c>
      <c r="H22" s="194" t="n">
        <v>10.2</v>
      </c>
      <c r="I22" s="194" t="n">
        <v>4.7</v>
      </c>
      <c r="J22" s="194" t="n">
        <v>23.7</v>
      </c>
      <c r="K22" s="195" t="inlineStr">
        <is>
          <t>9606 DUALITYBIO-B; 9887 LEADS BIOLABS-B; 2698 SOFTCARE; 3696 INSILICO; 0100 MINIMAX-WP; 3277 GPIXEL; 1191 CREALIGHTS; 9637 ALEBUND-B; 3952 LAIFUAL; 1377 DTECH; 9856 LIGENT; 3228 KINWONG; 3757 ROBOTECHNIK</t>
        </is>
      </c>
    </row>
    <row r="23">
      <c r="A23" s="32" t="inlineStr">
        <is>
          <t>Oaktree Capital Management, L.P</t>
        </is>
      </c>
      <c r="B23" s="191" t="n">
        <v>13</v>
      </c>
      <c r="C23" s="193" t="n">
        <v>46</v>
      </c>
      <c r="D23" s="194" t="n">
        <v>8.9</v>
      </c>
      <c r="E23" s="194" t="n">
        <v>20.4</v>
      </c>
      <c r="F23" s="194" t="n">
        <v>20.1</v>
      </c>
      <c r="G23" s="194" t="n">
        <v>37.7</v>
      </c>
      <c r="H23" s="194" t="n">
        <v>10.3</v>
      </c>
      <c r="I23" s="194" t="n">
        <v>8.199999999999999</v>
      </c>
      <c r="J23" s="194" t="n">
        <v>20.2</v>
      </c>
      <c r="K23" s="195" t="inlineStr">
        <is>
          <t>2618 JD LOGISTICS; 1880 CTG DUTY-FREE; 6936 SF HOLDING; 1276 HENGRUI PHARMA; 6613 LENS; 2259 ZIJIN GOLD INTL; 6031 SANY HEAVY IND; 3696 INSILICO; 0470 WUXI LEAD; 3952 LAIFUAL; 6880 MOMENTA-W; 2475 LUXSHARE ICT; 3308 ZJ INNOLIGHT</t>
        </is>
      </c>
    </row>
    <row r="24">
      <c r="A24" s="32" t="inlineStr">
        <is>
          <t>BlackRock</t>
        </is>
      </c>
      <c r="B24" s="191" t="n">
        <v>12</v>
      </c>
      <c r="C24" s="193" t="n">
        <v>67</v>
      </c>
      <c r="D24" s="194" t="n">
        <v>71.90000000000001</v>
      </c>
      <c r="E24" s="194" t="n">
        <v>75.2</v>
      </c>
      <c r="F24" s="194" t="n">
        <v>42.9</v>
      </c>
      <c r="G24" s="194" t="n">
        <v>25</v>
      </c>
      <c r="H24" s="194" t="n">
        <v>1.4</v>
      </c>
      <c r="I24" s="194" t="n">
        <v>-11.9</v>
      </c>
      <c r="J24" s="194" t="n">
        <v>-23.9</v>
      </c>
      <c r="K24" s="195" t="inlineStr">
        <is>
          <t>1024 KUAISHOU-W; 9959 LINKLOGIS–W; 9960 KINDSTAR GLOBAL; 2256 ABBISKO-B; 2259 ZIJIN GOLD INTL; 6031 SANY HEAVY IND; 1768 BUSYMING; 1879 XIZHI TECH-P; 7666 METIS TECHBIO-P; 6715 XUNLONG SCITECH; 6880 MOMENTA-W; 3308 ZJ INNOLIGHT</t>
        </is>
      </c>
    </row>
    <row r="25">
      <c r="A25" s="32" t="inlineStr">
        <is>
          <t>Huang River Investment Limited</t>
        </is>
      </c>
      <c r="B25" s="191" t="n">
        <v>12</v>
      </c>
      <c r="C25" s="193" t="n">
        <v>67</v>
      </c>
      <c r="D25" s="194" t="n">
        <v>42.6</v>
      </c>
      <c r="E25" s="194" t="n">
        <v>34.7</v>
      </c>
      <c r="F25" s="194" t="n">
        <v>31.9</v>
      </c>
      <c r="G25" s="194" t="n">
        <v>64.8</v>
      </c>
      <c r="H25" s="194" t="n">
        <v>-3.8</v>
      </c>
      <c r="I25" s="194" t="n">
        <v>-4.4</v>
      </c>
      <c r="J25" s="194" t="n">
        <v>17.5</v>
      </c>
      <c r="K25" s="195" t="inlineStr">
        <is>
          <t>1519 J&amp;T EXPRESS-W; 6181 LAOPU GOLD; 1364 GUMING; 9887 LEADS BIOLABS-B; 2718 MININGLAMP-W; 2675 EDGE MEDICAL-B; 9980 EASTROC; 7630 IMPACT THERAP-B; 9637 ALEBUND-B; 2475 LUXSHARE ICT; 6951 CCTC; 0625 SHEIN-W</t>
        </is>
      </c>
    </row>
    <row r="26">
      <c r="A26" s="32" t="inlineStr">
        <is>
          <t>GIC Private Limited</t>
        </is>
      </c>
      <c r="B26" s="191" t="n">
        <v>12</v>
      </c>
      <c r="C26" s="193" t="n">
        <v>67</v>
      </c>
      <c r="D26" s="194" t="n">
        <v>38.1</v>
      </c>
      <c r="E26" s="194" t="n">
        <v>40.4</v>
      </c>
      <c r="F26" s="194" t="n">
        <v>25.5</v>
      </c>
      <c r="G26" s="194" t="n">
        <v>29.5</v>
      </c>
      <c r="H26" s="194" t="n">
        <v>-0.4</v>
      </c>
      <c r="I26" s="194" t="n">
        <v>-6.9</v>
      </c>
      <c r="J26" s="194" t="n">
        <v>-5.8</v>
      </c>
      <c r="K26" s="195" t="inlineStr">
        <is>
          <t>2160 CARDIOFLOW-B; 1024 KUAISHOU-W; 6622 ZHAOKE OPHTH-B; 2192 MEDLIVE; 1276 HENGRUI PHARMA; 3288 HAITIAN FLAV; 2050 SANHUA; 2259 ZIJIN GOLD INTL; 1081 DAJIN; 3661 SG MICRO; 9637 ALEBUND-B; 2475 LUXSHARE ICT</t>
        </is>
      </c>
    </row>
    <row r="27">
      <c r="A27" s="32" t="inlineStr">
        <is>
          <t>Boyu Capital Opportunities Master Fund</t>
        </is>
      </c>
      <c r="B27" s="191" t="n">
        <v>12</v>
      </c>
      <c r="C27" s="193" t="n">
        <v>50</v>
      </c>
      <c r="D27" s="194" t="n">
        <v>18.1</v>
      </c>
      <c r="E27" s="194" t="n">
        <v>14.8</v>
      </c>
      <c r="F27" s="194" t="n">
        <v>20</v>
      </c>
      <c r="G27" s="194" t="n">
        <v>-10.1</v>
      </c>
      <c r="H27" s="194" t="n">
        <v>-2.5</v>
      </c>
      <c r="I27" s="194" t="n">
        <v>3.2</v>
      </c>
      <c r="J27" s="194" t="n">
        <v>-26.4</v>
      </c>
      <c r="K27" s="195" t="inlineStr">
        <is>
          <t>2190 ZYLOXTB-B; 2162 KEYMED BIO-B; 2137 BRII - B; 6609 HEARTCARE-B; 2235 MICROTECH MED-B; 2273 GUSHENGTANG; 6633 QINGCI GAMES; 3277 GPIXEL; 7688 TOPNC; 3388 CREALITY; 6880 MOMENTA-W; 3308 ZJ INNOLIGHT</t>
        </is>
      </c>
    </row>
    <row r="28">
      <c r="A28" s="32" t="inlineStr">
        <is>
          <t>Sage Partners Master Fund</t>
        </is>
      </c>
      <c r="B28" s="191" t="n">
        <v>12</v>
      </c>
      <c r="C28" s="193" t="n">
        <v>58</v>
      </c>
      <c r="D28" s="194" t="n">
        <v>16.1</v>
      </c>
      <c r="E28" s="194" t="n">
        <v>14.2</v>
      </c>
      <c r="F28" s="194" t="n">
        <v>25.4</v>
      </c>
      <c r="G28" s="194" t="n">
        <v>-0.4</v>
      </c>
      <c r="H28" s="194" t="n">
        <v>0.1</v>
      </c>
      <c r="I28" s="194" t="n">
        <v>15.5</v>
      </c>
      <c r="J28" s="194" t="n">
        <v>-5.9</v>
      </c>
      <c r="K28" s="195" t="inlineStr">
        <is>
          <t>2190 ZYLOXTB-B; 2162 KEYMED BIO-B; 2137 BRII - B; 6609 HEARTCARE-B; 2235 MICROTECH MED-B; 2273 GUSHENGTANG; 9887 LEADS BIOLABS-B; 3378 HANXBIO-B; 6600 ONEROBOTICS; 2675 EDGE MEDICAL-B; 7666 METIS TECHBIO-P; 6132 HJ SCIENCE-B</t>
        </is>
      </c>
    </row>
    <row r="29">
      <c r="A29" s="32" t="inlineStr">
        <is>
          <t>Athos Capital Limited</t>
        </is>
      </c>
      <c r="B29" s="191" t="n">
        <v>12</v>
      </c>
      <c r="C29" s="193" t="n">
        <v>42</v>
      </c>
      <c r="D29" s="194" t="n">
        <v>1.3</v>
      </c>
      <c r="E29" s="194" t="n">
        <v>-1.2</v>
      </c>
      <c r="F29" s="194" t="n">
        <v>-2.5</v>
      </c>
      <c r="G29" s="194" t="n">
        <v>-12.7</v>
      </c>
      <c r="H29" s="194" t="n">
        <v>-2.4</v>
      </c>
      <c r="I29" s="194" t="n">
        <v>-3.7</v>
      </c>
      <c r="J29" s="194" t="n">
        <v>-14</v>
      </c>
      <c r="K29" s="195" t="inlineStr">
        <is>
          <t>2190 ZYLOXTB-B; 2137 BRII - B; 9960 KINDSTAR GLOBAL; 6669 ACOTEC-B; 2197 CLOVER BIO-B; 2279 YONGHE MEDICAL; 2602 ONEWO; 0300 MIDEA GROUP; 2460 CR BEVERAGE; 2026 PONY-W; 1377 DTECH; 3308 ZJ INNOLIGHT</t>
        </is>
      </c>
    </row>
    <row r="30">
      <c r="A30" s="32" t="inlineStr">
        <is>
          <t>Aspex Master Fund</t>
        </is>
      </c>
      <c r="B30" s="191" t="n">
        <v>11</v>
      </c>
      <c r="C30" s="193" t="n">
        <v>55</v>
      </c>
      <c r="D30" s="194" t="n">
        <v>56.9</v>
      </c>
      <c r="E30" s="194" t="n">
        <v>69.09999999999999</v>
      </c>
      <c r="F30" s="194" t="n">
        <v>51.9</v>
      </c>
      <c r="G30" s="194" t="n">
        <v>98.09999999999999</v>
      </c>
      <c r="H30" s="194" t="n">
        <v>8.300000000000001</v>
      </c>
      <c r="I30" s="194" t="n">
        <v>0.5</v>
      </c>
      <c r="J30" s="194" t="n">
        <v>28.1</v>
      </c>
      <c r="K30" s="195" t="inlineStr">
        <is>
          <t>6609 HEARTCARE-B; 2252 MEDBOT-B; 1519 J&amp;T EXPRESS-W; 6082 BIREN TECH; 0100 MINIMAX-WP; 6809 MONTAGE TECH; 0470 WUXI LEAD; 1879 XIZHI TECH-P; 0668 ANKER; 1377 DTECH; 3308 ZJ INNOLIGHT</t>
        </is>
      </c>
    </row>
    <row r="31">
      <c r="A31" s="32" t="inlineStr">
        <is>
          <t>PSBC Wealth Management Co., Ltd</t>
        </is>
      </c>
      <c r="B31" s="191" t="n">
        <v>11</v>
      </c>
      <c r="C31" s="193" t="n">
        <v>45</v>
      </c>
      <c r="D31" s="194" t="n">
        <v>11.4</v>
      </c>
      <c r="E31" s="194" t="n">
        <v>12.5</v>
      </c>
      <c r="F31" s="194" t="n">
        <v>5</v>
      </c>
      <c r="G31" s="194" t="n">
        <v>28.9</v>
      </c>
      <c r="H31" s="194" t="n">
        <v>-0</v>
      </c>
      <c r="I31" s="194" t="n">
        <v>-5.4</v>
      </c>
      <c r="J31" s="194" t="n">
        <v>8.199999999999999</v>
      </c>
      <c r="K31" s="195" t="inlineStr">
        <is>
          <t>0300 MIDEA GROUP; 2050 SANHUA; 2580 AUX ELECTRIC; 9973 CHERY AUTO; 9927 SERES; 0699 JOYSON ELEC; 0501 OMNIVISION; 6809 MONTAGE TECH; 1081 DAJIN; 3661 SG MICRO; 2249 NEXCHIP</t>
        </is>
      </c>
    </row>
    <row r="32">
      <c r="A32" s="32" t="inlineStr">
        <is>
          <t>Shanghai Greenwoods Asset Management Co., Ltd (上海 景林資產管理</t>
        </is>
      </c>
      <c r="B32" s="191" t="n">
        <v>10</v>
      </c>
      <c r="C32" s="193" t="n">
        <v>80</v>
      </c>
      <c r="D32" s="194" t="n">
        <v>33.9</v>
      </c>
      <c r="E32" s="194" t="n">
        <v>40.1</v>
      </c>
      <c r="F32" s="194" t="n">
        <v>45.7</v>
      </c>
      <c r="G32" s="194" t="n">
        <v>55.9</v>
      </c>
      <c r="H32" s="194" t="n">
        <v>4.5</v>
      </c>
      <c r="I32" s="194" t="n">
        <v>9.699999999999999</v>
      </c>
      <c r="J32" s="194" t="n">
        <v>17.6</v>
      </c>
      <c r="K32" s="195" t="inlineStr">
        <is>
          <t>2050 SANHUA; 2648 ANJOY FOOD; 9973 CHERY AUTO; 2259 ZIJIN GOLD INTL; 2788 CHUANGXIN IND; 6082 BIREN TECH; 9981 WOER; 1989 DELTON; 3277 GPIXEL; 6715 XUNLONG SCITECH</t>
        </is>
      </c>
    </row>
    <row r="33">
      <c r="A33" s="32" t="inlineStr">
        <is>
          <t>Morgan Stanley &amp; Co. International plc</t>
        </is>
      </c>
      <c r="B33" s="191" t="n">
        <v>10</v>
      </c>
      <c r="C33" s="193" t="n">
        <v>60</v>
      </c>
      <c r="D33" s="194" t="n">
        <v>32.7</v>
      </c>
      <c r="E33" s="194" t="n">
        <v>42.9</v>
      </c>
      <c r="F33" s="194" t="n">
        <v>30.3</v>
      </c>
      <c r="G33" s="194" t="n">
        <v>56.1</v>
      </c>
      <c r="H33" s="194" t="n">
        <v>4.2</v>
      </c>
      <c r="I33" s="194" t="n">
        <v>-1.6</v>
      </c>
      <c r="J33" s="194" t="n">
        <v>18.1</v>
      </c>
      <c r="K33" s="195" t="inlineStr">
        <is>
          <t>1024 KUAISHOU-W; 6936 SF HOLDING; 2050 SANHUA; 6166 CIG; 3200 HANS CNC; 6809 MONTAGE TECH; 0470 WUXI LEAD; 1021 HUAYAN ROBOTICS; 2476 VGT; 1688 LINGYI ITECH</t>
        </is>
      </c>
    </row>
    <row r="34">
      <c r="A34" s="32" t="inlineStr">
        <is>
          <t>Value Partners Hong Kong Limited</t>
        </is>
      </c>
      <c r="B34" s="191" t="n">
        <v>10</v>
      </c>
      <c r="C34" s="193" t="n">
        <v>70</v>
      </c>
      <c r="D34" s="194" t="n">
        <v>23.4</v>
      </c>
      <c r="E34" s="194" t="n">
        <v>25.7</v>
      </c>
      <c r="F34" s="194" t="n">
        <v>22.6</v>
      </c>
      <c r="G34" s="194" t="n">
        <v>34.7</v>
      </c>
      <c r="H34" s="194" t="n">
        <v>0.7</v>
      </c>
      <c r="I34" s="194" t="n">
        <v>-1.8</v>
      </c>
      <c r="J34" s="194" t="n">
        <v>5.8</v>
      </c>
      <c r="K34" s="195" t="inlineStr">
        <is>
          <t>2285 CHERVON; 1497 YAN PALACE; 6031 SANY HEAVY IND; 1989 DELTON; 3277 GPIXEL; 1779 LONGBIO-B; 3661 SG MICRO; 1688 LINGYI ITECH; 0668 ANKER; 2475 LUXSHARE ICT</t>
        </is>
      </c>
    </row>
    <row r="35">
      <c r="A35" s="32" t="inlineStr">
        <is>
          <t>LAV Star Opportunities Limited</t>
        </is>
      </c>
      <c r="B35" s="191" t="n">
        <v>10</v>
      </c>
      <c r="C35" s="193" t="n">
        <v>50</v>
      </c>
      <c r="D35" s="194" t="n">
        <v>22.8</v>
      </c>
      <c r="E35" s="194" t="n">
        <v>26.1</v>
      </c>
      <c r="F35" s="194" t="n">
        <v>12.5</v>
      </c>
      <c r="G35" s="194" t="n">
        <v>4.7</v>
      </c>
      <c r="H35" s="194" t="n">
        <v>3.5</v>
      </c>
      <c r="I35" s="194" t="n">
        <v>-9.199999999999999</v>
      </c>
      <c r="J35" s="194" t="n">
        <v>-17.6</v>
      </c>
      <c r="K35" s="195" t="inlineStr">
        <is>
          <t>2171 CARSGEN-B; 2162 KEYMED BIO-B; 6628 TRANSCENTA-B; 2256 ABBISKO-B; 2235 MICROTECH MED-B; 2252 MEDBOT-B; 2251 AIRDOC-B; 2279 YONGHE MEDICAL; 9606 DUALITYBIO-B; 7630 IMPACT THERAP-B</t>
        </is>
      </c>
    </row>
    <row r="36">
      <c r="A36" s="32" t="inlineStr">
        <is>
          <t>WuXi Biologics HealthCare Venture</t>
        </is>
      </c>
      <c r="B36" s="191" t="n">
        <v>10</v>
      </c>
      <c r="C36" s="193" t="n">
        <v>40</v>
      </c>
      <c r="D36" s="194" t="n">
        <v>22.5</v>
      </c>
      <c r="E36" s="194" t="n">
        <v>45.4</v>
      </c>
      <c r="F36" s="194" t="n">
        <v>22.6</v>
      </c>
      <c r="G36" s="194" t="n">
        <v>21</v>
      </c>
      <c r="H36" s="194" t="n">
        <v>8</v>
      </c>
      <c r="I36" s="194" t="n">
        <v>-3.5</v>
      </c>
      <c r="J36" s="194" t="n">
        <v>-5.2</v>
      </c>
      <c r="K36" s="195" t="inlineStr">
        <is>
          <t>2155 MORIMATSU INTL; 1228 CANBRIDGE-B; 2407 GAUSH MEDITECH; 2487 CUTIA-B; 1541 IMMUNEONCO-B; 2507 CIRRUS; 2561 VISEN PHARMA-B; 6831 GREEN TEA GROUP; 0470 WUXI LEAD; 2493 MABWELL-B</t>
        </is>
      </c>
    </row>
    <row r="37">
      <c r="A37" s="32" t="inlineStr">
        <is>
          <t>Foresight Funds</t>
        </is>
      </c>
      <c r="B37" s="191" t="n">
        <v>10</v>
      </c>
      <c r="C37" s="193" t="n">
        <v>70</v>
      </c>
      <c r="D37" s="194" t="n">
        <v>19.4</v>
      </c>
      <c r="E37" s="194" t="n">
        <v>22.4</v>
      </c>
      <c r="F37" s="194" t="n">
        <v>21.5</v>
      </c>
      <c r="G37" s="194" t="n">
        <v>17.6</v>
      </c>
      <c r="H37" s="194" t="n">
        <v>2.4</v>
      </c>
      <c r="I37" s="194" t="n">
        <v>2.4</v>
      </c>
      <c r="J37" s="194" t="n">
        <v>-0.9</v>
      </c>
      <c r="K37" s="195" t="inlineStr">
        <is>
          <t>2170 BASECARE-B; 2171 CARSGEN-B; 2273 GUSHENGTANG; 0300 MIDEA GROUP; 9887 LEADS BIOLABS-B; 6031 SANY HEAVY IND; 3355 FS.COM; 2476 VGT; 1779 LONGBIO-B; 2475 LUXSHARE ICT</t>
        </is>
      </c>
    </row>
    <row r="38">
      <c r="A38" s="32" t="inlineStr">
        <is>
          <t>China Orient Enhanced Income Fund</t>
        </is>
      </c>
      <c r="B38" s="191" t="n">
        <v>9</v>
      </c>
      <c r="C38" s="193" t="n">
        <v>89</v>
      </c>
      <c r="D38" s="194" t="n">
        <v>80.40000000000001</v>
      </c>
      <c r="E38" s="194" t="n">
        <v>79.3</v>
      </c>
      <c r="F38" s="194" t="n">
        <v>103.5</v>
      </c>
      <c r="G38" s="194" t="n">
        <v>77.09999999999999</v>
      </c>
      <c r="H38" s="194" t="n">
        <v>3.5</v>
      </c>
      <c r="I38" s="194" t="n">
        <v>15.5</v>
      </c>
      <c r="J38" s="194" t="n">
        <v>7.8</v>
      </c>
      <c r="K38" s="195" t="inlineStr">
        <is>
          <t>2158 YIDU TECH; 2191 SF REIT; 6600 ONEROBOTICS; 9903 ILUVATAR COREX; 3277 GPIXEL; 6810 SUNMI TECH-W; 6872 TENNOR THERAP-B; 1956 WENGE AI; 9856 LIGENT</t>
        </is>
      </c>
    </row>
    <row r="39">
      <c r="A39" s="32" t="inlineStr">
        <is>
          <t>Baring Asset Management (Asia) Limited</t>
        </is>
      </c>
      <c r="B39" s="191" t="n">
        <v>9</v>
      </c>
      <c r="C39" s="193" t="n">
        <v>89</v>
      </c>
      <c r="D39" s="194" t="n">
        <v>34.3</v>
      </c>
      <c r="E39" s="194" t="n">
        <v>29.3</v>
      </c>
      <c r="F39" s="194" t="n">
        <v>32.7</v>
      </c>
      <c r="G39" s="194" t="n">
        <v>92.59999999999999</v>
      </c>
      <c r="H39" s="194" t="n">
        <v>-5</v>
      </c>
      <c r="I39" s="194" t="n">
        <v>-4.8</v>
      </c>
      <c r="J39" s="194" t="n">
        <v>27</v>
      </c>
      <c r="K39" s="195" t="inlineStr">
        <is>
          <t>6166 CIG; 6809 MONTAGE TECH; 1989 DELTON; 6656 SIGENERGY; 6715 XUNLONG SCITECH; 7687 EACON; 1377 DTECH; 9856 LIGENT; 3228 KINWONG</t>
        </is>
      </c>
    </row>
    <row r="40">
      <c r="A40" s="32" t="inlineStr">
        <is>
          <t>JSC International Investment Fund SPC</t>
        </is>
      </c>
      <c r="B40" s="191" t="n">
        <v>9</v>
      </c>
      <c r="C40" s="193" t="n">
        <v>89</v>
      </c>
      <c r="D40" s="194" t="n">
        <v>28.9</v>
      </c>
      <c r="E40" s="194" t="n">
        <v>53</v>
      </c>
      <c r="F40" s="194" t="n">
        <v>23.2</v>
      </c>
      <c r="G40" s="194" t="n">
        <v>97.2</v>
      </c>
      <c r="H40" s="194" t="n">
        <v>18.6</v>
      </c>
      <c r="I40" s="194" t="n">
        <v>-4.6</v>
      </c>
      <c r="J40" s="194" t="n">
        <v>61.2</v>
      </c>
      <c r="K40" s="195" t="inlineStr">
        <is>
          <t>9660 HORIZONROBOT-W; 9973 CHERY AUTO; 2889 PATEO; 2513 KNOWLEDGE ATLAS; 0501 OMNIVISION; 0600 AXERA; 1609 STAR SPORTS MED; 1191 CREALIGHTS; 6731 DIRECT DRIVE</t>
        </is>
      </c>
    </row>
    <row r="41">
      <c r="A41" s="32" t="inlineStr">
        <is>
          <t>Shanghai Gaoyi Asset Management Partnership (Limited Partnership) and Huatai Capital Investment Limited (in connection with Huatai Back-to-back TRS and Huatai Client TRS)</t>
        </is>
      </c>
      <c r="B41" s="191" t="n">
        <v>9</v>
      </c>
      <c r="C41" s="193" t="n">
        <v>78</v>
      </c>
      <c r="D41" s="194" t="n">
        <v>25.6</v>
      </c>
      <c r="E41" s="194" t="n">
        <v>39.8</v>
      </c>
      <c r="F41" s="194" t="n">
        <v>33.2</v>
      </c>
      <c r="G41" s="194" t="n">
        <v>111.5</v>
      </c>
      <c r="H41" s="194" t="n">
        <v>10.8</v>
      </c>
      <c r="I41" s="194" t="n">
        <v>6.7</v>
      </c>
      <c r="J41" s="194" t="n">
        <v>73.2</v>
      </c>
      <c r="K41" s="195" t="inlineStr">
        <is>
          <t>9887 LEADS BIOLABS-B; 2259 ZIJIN GOLD INTL; 6031 SANY HEAVY IND; 2579 CNGR; 2513 KNOWLEDGE ATLAS; 2714 MUYUAN; 3296 HUAQIN; 1779 LONGBIO-B; 2249 NEXCHIP</t>
        </is>
      </c>
    </row>
    <row r="42">
      <c r="A42" s="32" t="inlineStr">
        <is>
          <t>Pinpoint Asset Management Limited</t>
        </is>
      </c>
      <c r="B42" s="191" t="n">
        <v>9</v>
      </c>
      <c r="C42" s="193" t="n">
        <v>56</v>
      </c>
      <c r="D42" s="194" t="n">
        <v>11</v>
      </c>
      <c r="E42" s="194" t="n">
        <v>10.7</v>
      </c>
      <c r="F42" s="194" t="n">
        <v>3.8</v>
      </c>
      <c r="G42" s="194" t="n">
        <v>3.2</v>
      </c>
      <c r="H42" s="194" t="n">
        <v>-0.4</v>
      </c>
      <c r="I42" s="194" t="n">
        <v>-7.4</v>
      </c>
      <c r="J42" s="194" t="n">
        <v>-7.8</v>
      </c>
      <c r="K42" s="195" t="inlineStr">
        <is>
          <t>2160 CARDIOFLOW-B; 6669 ACOTEC-B; 1304 FORTIOR; 6031 SANY HEAVY IND; 9980 EASTROC; 0470 WUXI LEAD; 2476 VGT; 1081 DAJIN; 2249 NEXCHIP</t>
        </is>
      </c>
    </row>
    <row r="43">
      <c r="A43" s="32" t="inlineStr">
        <is>
          <t>Infini Global Master Fund</t>
        </is>
      </c>
      <c r="B43" s="191" t="n">
        <v>9</v>
      </c>
      <c r="C43" s="193" t="n">
        <v>67</v>
      </c>
      <c r="D43" s="194" t="n">
        <v>9.5</v>
      </c>
      <c r="E43" s="194" t="n">
        <v>16.7</v>
      </c>
      <c r="F43" s="194" t="n">
        <v>44</v>
      </c>
      <c r="G43" s="194" t="n">
        <v>68.09999999999999</v>
      </c>
      <c r="H43" s="194" t="n">
        <v>6.2</v>
      </c>
      <c r="I43" s="194" t="n">
        <v>31.8</v>
      </c>
      <c r="J43" s="194" t="n">
        <v>56.4</v>
      </c>
      <c r="K43" s="195" t="inlineStr">
        <is>
          <t>6936 SF HOLDING; 2643 CAOCAO INC; 6613 LENS; 6166 CIG; 3887 HASHKEY HLDGS; 3317 XUNCE; 3696 INSILICO; 6600 ONEROBOTICS; 2675 EDGE MEDICAL-B</t>
        </is>
      </c>
    </row>
    <row r="44">
      <c r="A44" s="32" t="inlineStr">
        <is>
          <t>CloudAlpha Capital Management Limited</t>
        </is>
      </c>
      <c r="B44" s="191" t="n">
        <v>9</v>
      </c>
      <c r="C44" s="193" t="n">
        <v>44</v>
      </c>
      <c r="D44" s="194" t="n">
        <v>8.699999999999999</v>
      </c>
      <c r="E44" s="194" t="n">
        <v>12.7</v>
      </c>
      <c r="F44" s="194" t="n">
        <v>10.1</v>
      </c>
      <c r="G44" s="194" t="n">
        <v>2.9</v>
      </c>
      <c r="H44" s="194" t="n">
        <v>5.1</v>
      </c>
      <c r="I44" s="194" t="n">
        <v>1.3</v>
      </c>
      <c r="J44" s="194" t="n">
        <v>-8.300000000000001</v>
      </c>
      <c r="K44" s="195" t="inlineStr">
        <is>
          <t>2171 CARSGEN-B; 2252 MEDBOT-B; 2251 AIRDOC-B; 6166 CIG; 2476 VGT; 1377 DTECH; 3308 ZJ INNOLIGHT; 3223 INGENIC; 3228 KINWONG</t>
        </is>
      </c>
    </row>
    <row r="45">
      <c r="A45" s="32" t="inlineStr">
        <is>
          <t>Wind Sabre Fund SPC</t>
        </is>
      </c>
      <c r="B45" s="191" t="n">
        <v>9</v>
      </c>
      <c r="C45" s="193" t="n">
        <v>44</v>
      </c>
      <c r="D45" s="194" t="n">
        <v>6.9</v>
      </c>
      <c r="E45" s="194" t="n">
        <v>13.9</v>
      </c>
      <c r="F45" s="194" t="n">
        <v>37.7</v>
      </c>
      <c r="G45" s="194" t="n">
        <v>53.5</v>
      </c>
      <c r="H45" s="194" t="n">
        <v>5.5</v>
      </c>
      <c r="I45" s="194" t="n">
        <v>27</v>
      </c>
      <c r="J45" s="194" t="n">
        <v>43.5</v>
      </c>
      <c r="K45" s="195" t="inlineStr">
        <is>
          <t>6936 SF HOLDING; 2050 SANHUA; 1304 FORTIOR; 6600 ONEROBOTICS; 9903 ILUVATAR COREX; 2476 VGT; 6228 MERDEKAGOLD-DRS; 9976 LONGSYS; 3757 ROBOTECHNIK</t>
        </is>
      </c>
    </row>
    <row r="46">
      <c r="A46" s="32" t="inlineStr">
        <is>
          <t>Suzhou Harvest International Co., Limited</t>
        </is>
      </c>
      <c r="B46" s="191" t="n">
        <v>9</v>
      </c>
      <c r="C46" s="193" t="n">
        <v>33</v>
      </c>
      <c r="D46" s="194" t="n">
        <v>0.8</v>
      </c>
      <c r="E46" s="194" t="n">
        <v>1.6</v>
      </c>
      <c r="F46" s="194" t="n">
        <v>1.9</v>
      </c>
      <c r="G46" s="194" t="n">
        <v>32.2</v>
      </c>
      <c r="H46" s="194" t="n">
        <v>-1.4</v>
      </c>
      <c r="I46" s="194" t="n">
        <v>0.6</v>
      </c>
      <c r="J46" s="194" t="n">
        <v>13.1</v>
      </c>
      <c r="K46" s="195" t="inlineStr">
        <is>
          <t>2152 SUXIN SERVICES; 2479 TIANJUDIHE; 6681 BRAINAURORA-B; 2561 VISEN PHARMA-B; 3677 ZENERGY; 9606 DUALITYBIO-B; 2581 BENQ HOLDING; 6880 MOMENTA-W; 0537 RIGOL</t>
        </is>
      </c>
    </row>
    <row r="47">
      <c r="A47" s="32" t="inlineStr">
        <is>
          <t>Hongkong Ruihua Investment Management Limited</t>
        </is>
      </c>
      <c r="B47" s="191" t="n">
        <v>9</v>
      </c>
      <c r="C47" s="193" t="n">
        <v>33</v>
      </c>
      <c r="D47" s="194" t="n">
        <v>-2.1</v>
      </c>
      <c r="E47" s="194" t="n">
        <v>-1.2</v>
      </c>
      <c r="F47" s="194" t="n">
        <v>9.300000000000001</v>
      </c>
      <c r="G47" s="194" t="n">
        <v>18.8</v>
      </c>
      <c r="H47" s="194" t="n">
        <v>3</v>
      </c>
      <c r="I47" s="194" t="n">
        <v>19.9</v>
      </c>
      <c r="J47" s="194" t="n">
        <v>30.4</v>
      </c>
      <c r="K47" s="195" t="inlineStr">
        <is>
          <t>1228 CANBRIDGE-B; 2245 LYGEND RESOURCE; 2529 HOLLWIN URBAN; 2519 AUGROUP; 2582 GUOFUHEE; 2610 NANSHAN AL INTL; 9881 RONGTA TECH; 2632 NEW VISION CO; 1187 COFOE MEDICAL</t>
        </is>
      </c>
    </row>
    <row r="48">
      <c r="A48" s="32" t="inlineStr">
        <is>
          <t>Huadeng Technology</t>
        </is>
      </c>
      <c r="B48" s="191" t="n">
        <v>8</v>
      </c>
      <c r="C48" s="193" t="n">
        <v>75</v>
      </c>
      <c r="D48" s="194" t="n">
        <v>64.7</v>
      </c>
      <c r="E48" s="194" t="n">
        <v>50.4</v>
      </c>
      <c r="F48" s="194" t="n">
        <v>37.6</v>
      </c>
      <c r="G48" s="194" t="n">
        <v>74.09999999999999</v>
      </c>
      <c r="H48" s="194" t="n">
        <v>-6.6</v>
      </c>
      <c r="I48" s="194" t="n">
        <v>-17.8</v>
      </c>
      <c r="J48" s="194" t="n">
        <v>-1.7</v>
      </c>
      <c r="K48" s="195" t="inlineStr">
        <is>
          <t>6082 BIREN TECH; 6809 MONTAGE TECH; 6656 SIGENERGY; 7666 METIS TECHBIO-P; 3661 SG MICRO; 9630 CFMEE; 3308 ZJ INNOLIGHT; 9976 LONGSYS</t>
        </is>
      </c>
    </row>
    <row r="49">
      <c r="A49" s="32" t="inlineStr">
        <is>
          <t>MY Asian Opportunities Master Fund, L.P</t>
        </is>
      </c>
      <c r="B49" s="191" t="n">
        <v>8</v>
      </c>
      <c r="C49" s="193" t="n">
        <v>75</v>
      </c>
      <c r="D49" s="194" t="n">
        <v>43.3</v>
      </c>
      <c r="E49" s="194" t="n">
        <v>51.5</v>
      </c>
      <c r="F49" s="194" t="n">
        <v>55.9</v>
      </c>
      <c r="G49" s="194" t="n">
        <v>124.4</v>
      </c>
      <c r="H49" s="194" t="n">
        <v>5.3</v>
      </c>
      <c r="I49" s="194" t="n">
        <v>10.1</v>
      </c>
      <c r="J49" s="194" t="n">
        <v>47.2</v>
      </c>
      <c r="K49" s="195" t="inlineStr">
        <is>
          <t>0300 MIDEA GROUP; 9606 DUALITYBIO-B; 6082 BIREN TECH; 6809 MONTAGE TECH; 0470 WUXI LEAD; 1989 DELTON; 2476 VGT; 2475 LUXSHARE ICT</t>
        </is>
      </c>
    </row>
    <row r="50">
      <c r="A50" s="32" t="inlineStr">
        <is>
          <t>FIL Investment Management (Hong Kong) Limited</t>
        </is>
      </c>
      <c r="B50" s="191" t="n">
        <v>8</v>
      </c>
      <c r="C50" s="193" t="n">
        <v>75</v>
      </c>
      <c r="D50" s="194" t="n">
        <v>40.5</v>
      </c>
      <c r="E50" s="194" t="n">
        <v>52</v>
      </c>
      <c r="F50" s="194" t="n">
        <v>43.6</v>
      </c>
      <c r="G50" s="194" t="n">
        <v>40.8</v>
      </c>
      <c r="H50" s="194" t="n">
        <v>3.2</v>
      </c>
      <c r="I50" s="194" t="n">
        <v>3.8</v>
      </c>
      <c r="J50" s="194" t="n">
        <v>-3.7</v>
      </c>
      <c r="K50" s="195" t="inlineStr">
        <is>
          <t>1024 KUAISHOU-W; 2192 MEDLIVE; 2259 ZIJIN GOLD INTL; 3887 HASHKEY HLDGS; 2657 FOREST CABIN; 1768 BUSYMING; 2714 MUYUAN; 2475 LUXSHARE ICT</t>
        </is>
      </c>
    </row>
    <row r="51">
      <c r="A51" s="32" t="inlineStr">
        <is>
          <t>Dajia Life Insurance Co., Ltd</t>
        </is>
      </c>
      <c r="B51" s="191" t="n">
        <v>8</v>
      </c>
      <c r="C51" s="193" t="n">
        <v>100</v>
      </c>
      <c r="D51" s="194" t="n">
        <v>15.6</v>
      </c>
      <c r="E51" s="194" t="n">
        <v>16.5</v>
      </c>
      <c r="F51" s="194" t="n">
        <v>22.8</v>
      </c>
      <c r="G51" s="194" t="n">
        <v>23.3</v>
      </c>
      <c r="H51" s="194" t="n">
        <v>1.1</v>
      </c>
      <c r="I51" s="194" t="n">
        <v>6.5</v>
      </c>
      <c r="J51" s="194" t="n">
        <v>5.9</v>
      </c>
      <c r="K51" s="195" t="inlineStr">
        <is>
          <t>0300 MIDEA GROUP; 9973 CHERY AUTO; 6031 SANY HEAVY IND; 2657 FOREST CABIN; 0501 OMNIVISION; 2714 MUYUAN; 1989 DELTON; 3661 SG MICRO</t>
        </is>
      </c>
    </row>
    <row r="52">
      <c r="A52" s="32" t="inlineStr">
        <is>
          <t>Jump Trading Pacific Pte. Ltd</t>
        </is>
      </c>
      <c r="B52" s="191" t="n">
        <v>8</v>
      </c>
      <c r="C52" s="193" t="n">
        <v>75</v>
      </c>
      <c r="D52" s="194" t="n">
        <v>12.7</v>
      </c>
      <c r="E52" s="194" t="n">
        <v>15</v>
      </c>
      <c r="F52" s="194" t="n">
        <v>20.3</v>
      </c>
      <c r="G52" s="194" t="n">
        <v>8.1</v>
      </c>
      <c r="H52" s="194" t="n">
        <v>1.8</v>
      </c>
      <c r="I52" s="194" t="n">
        <v>5.4</v>
      </c>
      <c r="J52" s="194" t="n">
        <v>-4.7</v>
      </c>
      <c r="K52" s="195" t="inlineStr">
        <is>
          <t>0300 MIDEA GROUP; 6168 ZHOU LIU FU; 9927 SERES; 0699 JOYSON ELEC; 9981 WOER; 2692 ZHAOWEI; 2476 VGT; 3388 CREALITY</t>
        </is>
      </c>
    </row>
    <row r="53">
      <c r="A53" s="32" t="inlineStr">
        <is>
          <t>Jane Street Asia Trading Limited</t>
        </is>
      </c>
      <c r="B53" s="191" t="n">
        <v>8</v>
      </c>
      <c r="C53" s="193" t="n">
        <v>62</v>
      </c>
      <c r="D53" s="194" t="n">
        <v>11.7</v>
      </c>
      <c r="E53" s="194" t="n">
        <v>12.4</v>
      </c>
      <c r="F53" s="194" t="n">
        <v>18.5</v>
      </c>
      <c r="G53" s="194" t="n">
        <v>39.1</v>
      </c>
      <c r="H53" s="194" t="n">
        <v>-0.1</v>
      </c>
      <c r="I53" s="194" t="n">
        <v>5.7</v>
      </c>
      <c r="J53" s="194" t="n">
        <v>21</v>
      </c>
      <c r="K53" s="195" t="inlineStr">
        <is>
          <t>2050 SANHUA; 6603 IFBH; 6031 SANY HEAVY IND; 2788 CHUANGXIN IND; 2714 MUYUAN; 0668 ANKER; 2475 LUXSHARE ICT; 9615 MECH-MIND ROBOT</t>
        </is>
      </c>
    </row>
    <row r="54">
      <c r="A54" s="32" t="inlineStr">
        <is>
          <t>Zhejiang Innoforce Pharmaceuticals Co., Ltd</t>
        </is>
      </c>
      <c r="B54" s="191" t="n">
        <v>8</v>
      </c>
      <c r="C54" s="193" t="n">
        <v>38</v>
      </c>
      <c r="D54" s="194" t="n">
        <v>-7.3</v>
      </c>
      <c r="E54" s="194" t="n">
        <v>-8.5</v>
      </c>
      <c r="F54" s="194" t="n">
        <v>0.9</v>
      </c>
      <c r="G54" s="194" t="n">
        <v>22.1</v>
      </c>
      <c r="H54" s="194" t="n">
        <v>-2</v>
      </c>
      <c r="I54" s="194" t="n">
        <v>7.3</v>
      </c>
      <c r="J54" s="194" t="n">
        <v>32.9</v>
      </c>
      <c r="K54" s="195" t="inlineStr">
        <is>
          <t>2257 SIRNAOMICS-B; 6661 HUZHOU GAS; 9863 LEAPMOTOR; 6610 FLOWING CLOUD; 2420 ZIBUYU; 9930 HORIZON CD; 9690 TUHU-W; 1274 IMOTIONAUTOTECH</t>
        </is>
      </c>
    </row>
    <row r="55">
      <c r="A55" s="32" t="inlineStr">
        <is>
          <t>Schroders</t>
        </is>
      </c>
      <c r="B55" s="191" t="n">
        <v>7</v>
      </c>
      <c r="C55" s="193" t="n">
        <v>71</v>
      </c>
      <c r="D55" s="194" t="n">
        <v>72.40000000000001</v>
      </c>
      <c r="E55" s="194" t="n">
        <v>81.3</v>
      </c>
      <c r="F55" s="194" t="n">
        <v>76.7</v>
      </c>
      <c r="G55" s="194" t="n">
        <v>57.1</v>
      </c>
      <c r="H55" s="194" t="n">
        <v>6</v>
      </c>
      <c r="I55" s="194" t="n">
        <v>16</v>
      </c>
      <c r="J55" s="194" t="n">
        <v>18.9</v>
      </c>
      <c r="K55" s="195" t="inlineStr">
        <is>
          <t>2050 SANHUA; 2259 ZIJIN GOLD INTL; 9927 SERES; 3696 INSILICO; 3200 HANS CNC; 1879 XIZHI TECH-P; 0668 ANKER</t>
        </is>
      </c>
    </row>
    <row r="56">
      <c r="A56" s="32" t="inlineStr">
        <is>
          <t>TruMed Healthcare Master Fund and TruMed Health Innovation Fund LP</t>
        </is>
      </c>
      <c r="B56" s="191" t="n">
        <v>7</v>
      </c>
      <c r="C56" s="193" t="n">
        <v>100</v>
      </c>
      <c r="D56" s="194" t="n">
        <v>62.1</v>
      </c>
      <c r="E56" s="194" t="n">
        <v>65.40000000000001</v>
      </c>
      <c r="F56" s="194" t="n">
        <v>45</v>
      </c>
      <c r="G56" s="194" t="n">
        <v>70.40000000000001</v>
      </c>
      <c r="H56" s="194" t="n">
        <v>2.1</v>
      </c>
      <c r="I56" s="194" t="n">
        <v>-9.1</v>
      </c>
      <c r="J56" s="194" t="n">
        <v>5.2</v>
      </c>
      <c r="K56" s="195" t="inlineStr">
        <is>
          <t>2373 BEAUTYFARM MED; 6990 SKB BIO-B; 9606 DUALITYBIO-B; 9887 LEADS BIOLABS-B; 2595 GENFLEET-B; 2698 SOFTCARE; 1779 LONGBIO-B</t>
        </is>
      </c>
    </row>
    <row r="57">
      <c r="A57" s="32" t="inlineStr">
        <is>
          <t>Greater Bay Area Development Fund Management Limited for and on behalf of the M a n a g e dA c c o u n to fM e g a Prime Development Limited</t>
        </is>
      </c>
      <c r="B57" s="191" t="n">
        <v>7</v>
      </c>
      <c r="C57" s="193" t="n">
        <v>100</v>
      </c>
      <c r="D57" s="194" t="n">
        <v>54.9</v>
      </c>
      <c r="E57" s="194" t="n">
        <v>62.3</v>
      </c>
      <c r="F57" s="194" t="n">
        <v>73.09999999999999</v>
      </c>
      <c r="G57" s="194" t="n">
        <v>77.8</v>
      </c>
      <c r="H57" s="194" t="n">
        <v>5.1</v>
      </c>
      <c r="I57" s="194" t="n">
        <v>11.3</v>
      </c>
      <c r="J57" s="194" t="n">
        <v>15.8</v>
      </c>
      <c r="K57" s="195" t="inlineStr">
        <is>
          <t>2543 DAHON TECH; 2259 ZIJIN GOLD INTL; 2546 ZHIHUI MINING; 1989 DELTON; 1609 STAR SPORTS MED; 3388 CREALITY; 1779 LONGBIO-B</t>
        </is>
      </c>
    </row>
    <row r="58">
      <c r="A58" s="32" t="inlineStr">
        <is>
          <t>Arc Avenue Asset Management Pte. Ltd</t>
        </is>
      </c>
      <c r="B58" s="191" t="n">
        <v>7</v>
      </c>
      <c r="C58" s="193" t="n">
        <v>100</v>
      </c>
      <c r="D58" s="194" t="n">
        <v>53.9</v>
      </c>
      <c r="E58" s="194" t="n">
        <v>50.8</v>
      </c>
      <c r="F58" s="194" t="n">
        <v>38.9</v>
      </c>
      <c r="G58" s="194" t="n">
        <v>50.1</v>
      </c>
      <c r="H58" s="194" t="n">
        <v>-1.2</v>
      </c>
      <c r="I58" s="194" t="n">
        <v>-7.7</v>
      </c>
      <c r="J58" s="194" t="n">
        <v>3.4</v>
      </c>
      <c r="K58" s="195" t="inlineStr">
        <is>
          <t>2590 GEEKPLUS-W; 2259 ZIJIN GOLD INTL; 6166 CIG; 2698 SOFTCARE; 6938 RIBOLIFE-B; 3277 GPIXEL; 7666 METIS TECHBIO-P</t>
        </is>
      </c>
    </row>
    <row r="59">
      <c r="A59" s="32" t="inlineStr">
        <is>
          <t>Invesco Advisers, Inc</t>
        </is>
      </c>
      <c r="B59" s="191" t="n">
        <v>7</v>
      </c>
      <c r="C59" s="193" t="n">
        <v>86</v>
      </c>
      <c r="D59" s="194" t="n">
        <v>45.9</v>
      </c>
      <c r="E59" s="194" t="n">
        <v>63.1</v>
      </c>
      <c r="F59" s="194" t="n">
        <v>56.7</v>
      </c>
      <c r="G59" s="194" t="n">
        <v>36.1</v>
      </c>
      <c r="H59" s="194" t="n">
        <v>7.3</v>
      </c>
      <c r="I59" s="194" t="n">
        <v>11</v>
      </c>
      <c r="J59" s="194" t="n">
        <v>-5.5</v>
      </c>
      <c r="K59" s="195" t="inlineStr">
        <is>
          <t>1024 KUAISHOU-W; 2162 KEYMED BIO-B; 2137 BRII - B; 2235 MICROTECH MED-B; 2268 WUXI XDC; 1276 HENGRUI PHARMA; 2259 ZIJIN GOLD INTL</t>
        </is>
      </c>
    </row>
    <row r="60">
      <c r="A60" s="32" t="inlineStr">
        <is>
          <t>CPIC Investment Management (H.K.) Company Limited</t>
        </is>
      </c>
      <c r="B60" s="191" t="n">
        <v>7</v>
      </c>
      <c r="C60" s="193" t="n">
        <v>57</v>
      </c>
      <c r="D60" s="194" t="n">
        <v>39.6</v>
      </c>
      <c r="E60" s="194" t="n">
        <v>36</v>
      </c>
      <c r="F60" s="194" t="n">
        <v>39.2</v>
      </c>
      <c r="G60" s="194" t="n">
        <v>34.1</v>
      </c>
      <c r="H60" s="194" t="n">
        <v>-0.8</v>
      </c>
      <c r="I60" s="194" t="n">
        <v>-0.2</v>
      </c>
      <c r="J60" s="194" t="n">
        <v>-5.3</v>
      </c>
      <c r="K60" s="195" t="inlineStr">
        <is>
          <t>9696 TIANQI LITHIUM; 2505 EDA GROUP HLDGS; 2259 ZIJIN GOLD INTL; 0638 FIBOCOM; 2788 CHUANGXIN IND; 6656 SIGENERGY; 6880 MOMENTA-W</t>
        </is>
      </c>
    </row>
    <row r="61">
      <c r="A61" s="32" t="inlineStr">
        <is>
          <t>CICC Financial Trading Limited</t>
        </is>
      </c>
      <c r="B61" s="191" t="n">
        <v>7</v>
      </c>
      <c r="C61" s="193" t="n">
        <v>86</v>
      </c>
      <c r="D61" s="194" t="n">
        <v>37.4</v>
      </c>
      <c r="E61" s="194" t="n">
        <v>35.7</v>
      </c>
      <c r="F61" s="194" t="n">
        <v>32.9</v>
      </c>
      <c r="G61" s="194" t="n">
        <v>51.3</v>
      </c>
      <c r="H61" s="194" t="n">
        <v>-0.4</v>
      </c>
      <c r="I61" s="194" t="n">
        <v>-3</v>
      </c>
      <c r="J61" s="194" t="n">
        <v>6.6</v>
      </c>
      <c r="K61" s="195" t="inlineStr">
        <is>
          <t>0013 HUTCHMED; 6669 ACOTEC-B; 6181 LAOPU GOLD; 6168 ZHOU LIU FU; 3355 FS.COM; 6067 SENIOR MATERIAL; 9630 CFMEE</t>
        </is>
      </c>
    </row>
    <row r="62">
      <c r="A62" s="32" t="inlineStr">
        <is>
          <t>Janchor Partners Pan-Asian Master Fund</t>
        </is>
      </c>
      <c r="B62" s="191" t="n">
        <v>7</v>
      </c>
      <c r="C62" s="193" t="n">
        <v>57</v>
      </c>
      <c r="D62" s="194" t="n">
        <v>34.2</v>
      </c>
      <c r="E62" s="194" t="n">
        <v>47.4</v>
      </c>
      <c r="F62" s="194" t="n">
        <v>49.8</v>
      </c>
      <c r="G62" s="194" t="n">
        <v>122.3</v>
      </c>
      <c r="H62" s="194" t="n">
        <v>7.5</v>
      </c>
      <c r="I62" s="194" t="n">
        <v>7.3</v>
      </c>
      <c r="J62" s="194" t="n">
        <v>40.3</v>
      </c>
      <c r="K62" s="195" t="inlineStr">
        <is>
          <t>6127 JOINN; 2162 KEYMED BIO-B; 2256 ABBISKO-B; 0100 MINIMAX-WP; 6809 MONTAGE TECH; 2476 VGT; 3308 ZJ INNOLIGHT</t>
        </is>
      </c>
    </row>
    <row r="63">
      <c r="A63" s="32" t="inlineStr">
        <is>
          <t>Eastspring Investments (Singapore) Limited</t>
        </is>
      </c>
      <c r="B63" s="191" t="n">
        <v>7</v>
      </c>
      <c r="C63" s="193" t="n">
        <v>57</v>
      </c>
      <c r="D63" s="194" t="n">
        <v>30.4</v>
      </c>
      <c r="E63" s="194" t="n">
        <v>36.7</v>
      </c>
      <c r="F63" s="194" t="n">
        <v>50.5</v>
      </c>
      <c r="G63" s="194" t="n">
        <v>115.8</v>
      </c>
      <c r="H63" s="194" t="n">
        <v>1.8</v>
      </c>
      <c r="I63" s="194" t="n">
        <v>10</v>
      </c>
      <c r="J63" s="194" t="n">
        <v>44.3</v>
      </c>
      <c r="K63" s="195" t="inlineStr">
        <is>
          <t>2590 GEEKPLUS-W; 2026 PONY-W; 6082 BIREN TECH; 0100 MINIMAX-WP; 1989 DELTON; 1081 DAJIN; 2475 LUXSHARE ICT</t>
        </is>
      </c>
    </row>
    <row r="64">
      <c r="A64" s="32" t="inlineStr">
        <is>
          <t>Mega Prime Development Limited</t>
        </is>
      </c>
      <c r="B64" s="191" t="n">
        <v>7</v>
      </c>
      <c r="C64" s="193" t="n">
        <v>86</v>
      </c>
      <c r="D64" s="194" t="n">
        <v>27.7</v>
      </c>
      <c r="E64" s="194" t="n">
        <v>32.7</v>
      </c>
      <c r="F64" s="194" t="n">
        <v>41.2</v>
      </c>
      <c r="G64" s="194" t="n">
        <v>72.2</v>
      </c>
      <c r="H64" s="194" t="n">
        <v>3.8</v>
      </c>
      <c r="I64" s="194" t="n">
        <v>11.6</v>
      </c>
      <c r="J64" s="194" t="n">
        <v>35.1</v>
      </c>
      <c r="K64" s="195" t="inlineStr">
        <is>
          <t>9879 MIGAO GROUP; 1318 MAO GEPING; 2050 SANHUA; 6603 IFBH; 1304 FORTIOR; 2657 FOREST CABIN; 2476 VGT</t>
        </is>
      </c>
    </row>
    <row r="65">
      <c r="A65" s="32" t="inlineStr">
        <is>
          <t>Dymon Asia Multi-Strategy Investment Master Fund</t>
        </is>
      </c>
      <c r="B65" s="191" t="n">
        <v>7</v>
      </c>
      <c r="C65" s="193" t="n">
        <v>57</v>
      </c>
      <c r="D65" s="194" t="n">
        <v>23.9</v>
      </c>
      <c r="E65" s="194" t="n">
        <v>8.1</v>
      </c>
      <c r="F65" s="194" t="n">
        <v>-3.3</v>
      </c>
      <c r="G65" s="194" t="n">
        <v>7.1</v>
      </c>
      <c r="H65" s="194" t="n">
        <v>-8.699999999999999</v>
      </c>
      <c r="I65" s="194" t="n">
        <v>-17.9</v>
      </c>
      <c r="J65" s="194" t="n">
        <v>-6.6</v>
      </c>
      <c r="K65" s="195" t="inlineStr">
        <is>
          <t>2171 CARSGEN-B; 6669 ACOTEC-B; 6687 JST GROUP; 6166 CIG; 3661 SG MICRO; 6228 MERDEKAGOLD-DRS; 9637 ALEBUND-B</t>
        </is>
      </c>
    </row>
    <row r="66">
      <c r="A66" s="32" t="inlineStr">
        <is>
          <t>CITIC-Prudential Life Insurance Company Limited</t>
        </is>
      </c>
      <c r="B66" s="191" t="n">
        <v>7</v>
      </c>
      <c r="C66" s="193" t="n">
        <v>43</v>
      </c>
      <c r="D66" s="194" t="n">
        <v>13.5</v>
      </c>
      <c r="E66" s="194" t="n">
        <v>5.1</v>
      </c>
      <c r="F66" s="194" t="n">
        <v>16.1</v>
      </c>
      <c r="G66" s="194" t="n">
        <v>30.1</v>
      </c>
      <c r="H66" s="194" t="n">
        <v>-7.5</v>
      </c>
      <c r="I66" s="194" t="n">
        <v>2</v>
      </c>
      <c r="J66" s="194" t="n">
        <v>4</v>
      </c>
      <c r="K66" s="195" t="inlineStr">
        <is>
          <t>9858 YOURAN DAIRY; 6680 JLMAG; 2595 GENFLEET-B; 1989 DELTON; 3388 CREALITY; 0537 RIGOL; 9976 LONGSYS</t>
        </is>
      </c>
    </row>
    <row r="67">
      <c r="A67" s="32" t="inlineStr">
        <is>
          <t>Integrated Core Strategies (Asia) Pte. Ltd</t>
        </is>
      </c>
      <c r="B67" s="191" t="n">
        <v>7</v>
      </c>
      <c r="C67" s="193" t="n">
        <v>57</v>
      </c>
      <c r="D67" s="194" t="n">
        <v>11.1</v>
      </c>
      <c r="E67" s="194" t="n">
        <v>14.9</v>
      </c>
      <c r="F67" s="194" t="n">
        <v>16.7</v>
      </c>
      <c r="G67" s="194" t="n">
        <v>28.6</v>
      </c>
      <c r="H67" s="194" t="n">
        <v>3</v>
      </c>
      <c r="I67" s="194" t="n">
        <v>4.7</v>
      </c>
      <c r="J67" s="194" t="n">
        <v>10.4</v>
      </c>
      <c r="K67" s="195" t="inlineStr">
        <is>
          <t>1276 HENGRUI PHARMA; 2675 EDGE MEDICAL-B; 2714 MUYUAN; 0470 WUXI LEAD; 3388 CREALITY; 2475 LUXSHARE ICT; 1377 DTECH</t>
        </is>
      </c>
    </row>
    <row r="68">
      <c r="A68" s="32" t="inlineStr">
        <is>
          <t>Hudson Bay Master Fund Ltd</t>
        </is>
      </c>
      <c r="B68" s="191" t="n">
        <v>7</v>
      </c>
      <c r="C68" s="193" t="n">
        <v>43</v>
      </c>
      <c r="D68" s="194" t="n">
        <v>5.7</v>
      </c>
      <c r="E68" s="194" t="n">
        <v>2.9</v>
      </c>
      <c r="F68" s="194" t="n">
        <v>-8.4</v>
      </c>
      <c r="G68" s="194" t="n">
        <v>-28.2</v>
      </c>
      <c r="H68" s="194" t="n">
        <v>-2.5</v>
      </c>
      <c r="I68" s="194" t="n">
        <v>-13</v>
      </c>
      <c r="J68" s="194" t="n">
        <v>-33</v>
      </c>
      <c r="K68" s="195" t="inlineStr">
        <is>
          <t>2190 ZYLOXTB-B; 2162 KEYMED BIO-B; 2256 ABBISKO-B; 2235 MICROTECH MED-B; 1228 CANBRIDGE-B; 2279 YONGHE MEDICAL; 6639 ARRAIL GROUP</t>
        </is>
      </c>
    </row>
    <row r="69">
      <c r="A69" s="32" t="inlineStr">
        <is>
          <t>The Reynold Lemkins Group (Asia) Limited</t>
        </is>
      </c>
      <c r="B69" s="191" t="n">
        <v>7</v>
      </c>
      <c r="C69" s="193" t="n">
        <v>43</v>
      </c>
      <c r="D69" s="194" t="n">
        <v>4.7</v>
      </c>
      <c r="E69" s="194" t="n">
        <v>-15.2</v>
      </c>
      <c r="F69" s="194" t="n">
        <v>-4.9</v>
      </c>
      <c r="G69" s="194" t="n">
        <v>10</v>
      </c>
      <c r="H69" s="194" t="n">
        <v>-15.8</v>
      </c>
      <c r="I69" s="194" t="n">
        <v>-7.4</v>
      </c>
      <c r="J69" s="194" t="n">
        <v>11.2</v>
      </c>
      <c r="K69" s="195" t="inlineStr">
        <is>
          <t>2505 EDA GROUP HLDGS; 2479 TIANJUDIHE; 1354 KINGFARPROPERTY; 1471 ZHONGMIAO; 2561 VISEN PHARMA-B; 2573 NEWTREND GROUP; 2592 CLOUDBREAK-B</t>
        </is>
      </c>
    </row>
    <row r="70">
      <c r="A70" s="32" t="inlineStr">
        <is>
          <t>Jiangsu Pure Precision Technology Co., Ltd</t>
        </is>
      </c>
      <c r="B70" s="191" t="n">
        <v>7</v>
      </c>
      <c r="C70" s="193" t="n">
        <v>43</v>
      </c>
      <c r="D70" s="194" t="n">
        <v>-0.2</v>
      </c>
      <c r="E70" s="194" t="n">
        <v>-1</v>
      </c>
      <c r="F70" s="194" t="n">
        <v>6</v>
      </c>
      <c r="G70" s="194" t="n">
        <v>11.9</v>
      </c>
      <c r="H70" s="194" t="n">
        <v>-0.6</v>
      </c>
      <c r="I70" s="194" t="n">
        <v>6.9</v>
      </c>
      <c r="J70" s="194" t="n">
        <v>12.7</v>
      </c>
      <c r="K70" s="195" t="inlineStr">
        <is>
          <t>3931 CALB; 2407 GAUSH MEDITECH; 2517 GUOQUAN; 6657 BAIWANG CO; 2495 VOICECOMM; 2577 INNOSCIENCE; 3677 ZENERGY</t>
        </is>
      </c>
    </row>
    <row r="71">
      <c r="A71" s="32" t="inlineStr">
        <is>
          <t>The Valliance Fund</t>
        </is>
      </c>
      <c r="B71" s="191" t="n">
        <v>7</v>
      </c>
      <c r="C71" s="193" t="n">
        <v>29</v>
      </c>
      <c r="D71" s="194" t="n">
        <v>-6.1</v>
      </c>
      <c r="E71" s="194" t="n">
        <v>-5.3</v>
      </c>
      <c r="F71" s="194" t="n">
        <v>-4.9</v>
      </c>
      <c r="G71" s="194" t="n">
        <v>-23.8</v>
      </c>
      <c r="H71" s="194" t="n">
        <v>-0.1</v>
      </c>
      <c r="I71" s="194" t="n">
        <v>-1</v>
      </c>
      <c r="J71" s="194" t="n">
        <v>-19.7</v>
      </c>
      <c r="K71" s="195" t="inlineStr">
        <is>
          <t>6127 JOINN; 2219 CHAOJU EYE CARE; 2137 BRII - B; 6609 HEARTCARE-B; 6669 ACOTEC-B; 2216 BRONCUS-B; 0600 AXERA</t>
        </is>
      </c>
    </row>
    <row r="72">
      <c r="A72" s="32" t="inlineStr">
        <is>
          <t>Fidelity International</t>
        </is>
      </c>
      <c r="B72" s="191" t="n">
        <v>6</v>
      </c>
      <c r="C72" s="193" t="n">
        <v>83</v>
      </c>
      <c r="D72" s="194" t="n">
        <v>76.3</v>
      </c>
      <c r="E72" s="194" t="n">
        <v>75.7</v>
      </c>
      <c r="F72" s="194" t="n">
        <v>47.3</v>
      </c>
      <c r="G72" s="194" t="n">
        <v>12.6</v>
      </c>
      <c r="H72" s="194" t="n">
        <v>-0.4</v>
      </c>
      <c r="I72" s="194" t="n">
        <v>-8.4</v>
      </c>
      <c r="J72" s="194" t="n">
        <v>-25.9</v>
      </c>
      <c r="K72" s="195" t="inlineStr">
        <is>
          <t>9959 LINKLOGIS–W; 2190 ZYLOXTB-B; 2192 MEDLIVE; 1879 XIZHI TECH-P; 6880 MOMENTA-W; 7687 EACON</t>
        </is>
      </c>
    </row>
    <row r="73">
      <c r="A73" s="32" t="inlineStr">
        <is>
          <t>RIME Capital Limited</t>
        </is>
      </c>
      <c r="B73" s="191" t="n">
        <v>6</v>
      </c>
      <c r="C73" s="193" t="n">
        <v>100</v>
      </c>
      <c r="D73" s="194" t="n">
        <v>67.90000000000001</v>
      </c>
      <c r="E73" s="194" t="n">
        <v>101.5</v>
      </c>
      <c r="F73" s="194" t="n">
        <v>74</v>
      </c>
      <c r="G73" s="194" t="n">
        <v>136.3</v>
      </c>
      <c r="H73" s="194" t="n">
        <v>21.9</v>
      </c>
      <c r="I73" s="194" t="n">
        <v>6.5</v>
      </c>
      <c r="J73" s="194" t="n">
        <v>73.5</v>
      </c>
      <c r="K73" s="195" t="inlineStr">
        <is>
          <t>2655 GUOXIA TECH; 2513 KNOWLEDGE ATLAS; 9981 WOER; 2692 ZHAOWEI; 0068 MANYCORE TECH; 6675 SENASIC</t>
        </is>
      </c>
    </row>
    <row r="74">
      <c r="A74" s="32" t="inlineStr">
        <is>
          <t>Tencent Mobility Limited</t>
        </is>
      </c>
      <c r="B74" s="191" t="n">
        <v>6</v>
      </c>
      <c r="C74" s="193" t="n">
        <v>67</v>
      </c>
      <c r="D74" s="194" t="n">
        <v>42.3</v>
      </c>
      <c r="E74" s="194" t="n">
        <v>50.3</v>
      </c>
      <c r="F74" s="194" t="n">
        <v>67.09999999999999</v>
      </c>
      <c r="G74" s="194" t="n">
        <v>53.5</v>
      </c>
      <c r="H74" s="194" t="n">
        <v>7.9</v>
      </c>
      <c r="I74" s="194" t="n">
        <v>21.1</v>
      </c>
      <c r="J74" s="194" t="n">
        <v>9</v>
      </c>
      <c r="K74" s="195" t="inlineStr">
        <is>
          <t>2158 YIDU TECH; 2192 MEDLIVE; 2235 MICROTECH MED-B; 3696 INSILICO; 1768 BUSYMING; 3308 ZJ INNOLIGHT</t>
        </is>
      </c>
    </row>
    <row r="75">
      <c r="A75" s="32" t="inlineStr">
        <is>
          <t>China Asset Management Co., Ltd</t>
        </is>
      </c>
      <c r="B75" s="191" t="n">
        <v>6</v>
      </c>
      <c r="C75" s="193" t="n">
        <v>100</v>
      </c>
      <c r="D75" s="194" t="n">
        <v>40.7</v>
      </c>
      <c r="E75" s="194" t="n">
        <v>29.9</v>
      </c>
      <c r="F75" s="194" t="n">
        <v>19.2</v>
      </c>
      <c r="G75" s="194" t="n">
        <v>23.5</v>
      </c>
      <c r="H75" s="194" t="n">
        <v>-6.2</v>
      </c>
      <c r="I75" s="194" t="n">
        <v>-13.1</v>
      </c>
      <c r="J75" s="194" t="n">
        <v>-4.4</v>
      </c>
      <c r="K75" s="195" t="inlineStr">
        <is>
          <t>2160 CARDIOFLOW-B; 2508 SAINT BELLA; 9903 ILUVATAR COREX; 6938 RIBOLIFE-B; 3636 JINXUN RESOURCE; 7688 TOPNC</t>
        </is>
      </c>
    </row>
    <row r="76">
      <c r="A76" s="32" t="inlineStr">
        <is>
          <t>SensePower Management Limited</t>
        </is>
      </c>
      <c r="B76" s="191" t="n">
        <v>6</v>
      </c>
      <c r="C76" s="193" t="n">
        <v>67</v>
      </c>
      <c r="D76" s="194" t="n">
        <v>40</v>
      </c>
      <c r="E76" s="194" t="n">
        <v>49.4</v>
      </c>
      <c r="F76" s="194" t="n">
        <v>53.3</v>
      </c>
      <c r="G76" s="194" t="n">
        <v>55</v>
      </c>
      <c r="H76" s="194" t="n">
        <v>7</v>
      </c>
      <c r="I76" s="194" t="n">
        <v>27.1</v>
      </c>
      <c r="J76" s="194" t="n">
        <v>30.6</v>
      </c>
      <c r="K76" s="195" t="inlineStr">
        <is>
          <t>6626 YUEXIU SERVICES; 9878 HUITONGDA NET; 6610 FLOWING CLOUD; 2429 UBOX ONLINE; 9678 UNISOUND; 3231 EXCELLAND ROBOT</t>
        </is>
      </c>
    </row>
    <row r="77">
      <c r="A77" s="32" t="inlineStr">
        <is>
          <t>Bosera Asset Management (International) Co., Limited</t>
        </is>
      </c>
      <c r="B77" s="191" t="n">
        <v>6</v>
      </c>
      <c r="C77" s="193" t="n">
        <v>83</v>
      </c>
      <c r="D77" s="194" t="n">
        <v>39.4</v>
      </c>
      <c r="E77" s="194" t="n">
        <v>31.9</v>
      </c>
      <c r="F77" s="194" t="n">
        <v>33.4</v>
      </c>
      <c r="G77" s="194" t="n">
        <v>44</v>
      </c>
      <c r="H77" s="194" t="n">
        <v>-7.8</v>
      </c>
      <c r="I77" s="194" t="n">
        <v>-5</v>
      </c>
      <c r="J77" s="194" t="n">
        <v>-16.8</v>
      </c>
      <c r="K77" s="195" t="inlineStr">
        <is>
          <t>1768 BUSYMING; 2476 VGT; 9630 CFMEE; 2475 LUXSHARE ICT; 6951 CCTC; 3228 KINWONG</t>
        </is>
      </c>
    </row>
    <row r="78">
      <c r="A78" s="32" t="inlineStr">
        <is>
          <t>Martis Fund, L.P</t>
        </is>
      </c>
      <c r="B78" s="191" t="n">
        <v>6</v>
      </c>
      <c r="C78" s="193" t="n">
        <v>67</v>
      </c>
      <c r="D78" s="194" t="n">
        <v>27.7</v>
      </c>
      <c r="E78" s="194" t="n">
        <v>35.9</v>
      </c>
      <c r="F78" s="194" t="n">
        <v>50.2</v>
      </c>
      <c r="G78" s="194" t="n">
        <v>112.1</v>
      </c>
      <c r="H78" s="194" t="n">
        <v>4.5</v>
      </c>
      <c r="I78" s="194" t="n">
        <v>13.8</v>
      </c>
      <c r="J78" s="194" t="n">
        <v>44</v>
      </c>
      <c r="K78" s="195" t="inlineStr">
        <is>
          <t>2050 SANHUA; 9973 CHERY AUTO; 6166 CIG; 0100 MINIMAX-WP; 3388 CREALITY; 1377 DTECH</t>
        </is>
      </c>
    </row>
    <row r="79">
      <c r="A79" s="32" t="inlineStr">
        <is>
          <t>RBC Global Asset Management (Asia) Limited</t>
        </is>
      </c>
      <c r="B79" s="191" t="n">
        <v>6</v>
      </c>
      <c r="C79" s="193" t="n">
        <v>100</v>
      </c>
      <c r="D79" s="194" t="n">
        <v>26.5</v>
      </c>
      <c r="E79" s="194" t="n">
        <v>21.7</v>
      </c>
      <c r="F79" s="194" t="n">
        <v>31.8</v>
      </c>
      <c r="G79" s="194" t="n">
        <v>16.2</v>
      </c>
      <c r="H79" s="194" t="n">
        <v>-3.4</v>
      </c>
      <c r="I79" s="194" t="n">
        <v>9</v>
      </c>
      <c r="J79" s="194" t="n">
        <v>-3.9</v>
      </c>
      <c r="K79" s="195" t="inlineStr">
        <is>
          <t>2137 BRII - B; 3288 HAITIAN FLAV; 2259 ZIJIN GOLD INTL; 6031 SANY HEAVY IND; 2714 MUYUAN; 7688 TOPNC</t>
        </is>
      </c>
    </row>
    <row r="80">
      <c r="A80" s="32" t="inlineStr">
        <is>
          <t>Panjing Harbourview Investment Fund</t>
        </is>
      </c>
      <c r="B80" s="191" t="n">
        <v>6</v>
      </c>
      <c r="C80" s="193" t="n">
        <v>50</v>
      </c>
      <c r="D80" s="194" t="n">
        <v>26.4</v>
      </c>
      <c r="E80" s="194" t="n">
        <v>33.9</v>
      </c>
      <c r="F80" s="194" t="n">
        <v>31.2</v>
      </c>
      <c r="G80" s="194" t="n">
        <v>40.1</v>
      </c>
      <c r="H80" s="194" t="n">
        <v>3.5</v>
      </c>
      <c r="I80" s="194" t="n">
        <v>4.6</v>
      </c>
      <c r="J80" s="194" t="n">
        <v>4.3</v>
      </c>
      <c r="K80" s="195" t="inlineStr">
        <is>
          <t>6669 ACOTEC-B; 9606 DUALITYBIO-B; 3277 GPIXEL; 2476 VGT; 1187 COFOE MEDICAL; 6132 HJ SCIENCE-B</t>
        </is>
      </c>
    </row>
    <row r="81">
      <c r="A81" s="32" t="inlineStr">
        <is>
          <t>Snow Lake Funds and Accounts</t>
        </is>
      </c>
      <c r="B81" s="191" t="n">
        <v>6</v>
      </c>
      <c r="C81" s="193" t="n">
        <v>67</v>
      </c>
      <c r="D81" s="194" t="n">
        <v>26.2</v>
      </c>
      <c r="E81" s="194" t="n">
        <v>17.2</v>
      </c>
      <c r="F81" s="194" t="n">
        <v>5.7</v>
      </c>
      <c r="G81" s="194" t="n">
        <v>10.8</v>
      </c>
      <c r="H81" s="194" t="n">
        <v>-5.1</v>
      </c>
      <c r="I81" s="194" t="n">
        <v>-14.7</v>
      </c>
      <c r="J81" s="194" t="n">
        <v>-17.5</v>
      </c>
      <c r="K81" s="195" t="inlineStr">
        <is>
          <t>2125 STRAWBEAR ENT; 2160 CARDIOFLOW-B; 2190 ZYLOXTB-B; 9960 KINDSTAR GLOBAL; 2216 BRONCUS-B; 2252 MEDBOT-B</t>
        </is>
      </c>
    </row>
    <row r="82">
      <c r="A82" s="32" t="inlineStr">
        <is>
          <t>Guotai Junan Investments (Hong Kong) Limited</t>
        </is>
      </c>
      <c r="B82" s="191" t="n">
        <v>6</v>
      </c>
      <c r="C82" s="193" t="n">
        <v>67</v>
      </c>
      <c r="D82" s="194" t="n">
        <v>20.2</v>
      </c>
      <c r="E82" s="194" t="n">
        <v>40.3</v>
      </c>
      <c r="F82" s="194" t="n">
        <v>54.8</v>
      </c>
      <c r="G82" s="194" t="n">
        <v>75.8</v>
      </c>
      <c r="H82" s="194" t="n">
        <v>15.7</v>
      </c>
      <c r="I82" s="194" t="n">
        <v>21.5</v>
      </c>
      <c r="J82" s="194" t="n">
        <v>44.5</v>
      </c>
      <c r="K82" s="195" t="inlineStr">
        <is>
          <t>0020 SENSETIME-W; 2408 XIAO NOODLES; 2659 BAO PHARMA-B; 3378 HANXBIO-B; 1989 DELTON; 0668 ANKER</t>
        </is>
      </c>
    </row>
    <row r="83">
      <c r="A83" s="32" t="inlineStr">
        <is>
          <t>Da Cheng International Asset Management Company Limited</t>
        </is>
      </c>
      <c r="B83" s="191" t="n">
        <v>6</v>
      </c>
      <c r="C83" s="193" t="n">
        <v>50</v>
      </c>
      <c r="D83" s="194" t="n">
        <v>14.2</v>
      </c>
      <c r="E83" s="194" t="n">
        <v>9.800000000000001</v>
      </c>
      <c r="F83" s="194" t="n">
        <v>-6.3</v>
      </c>
      <c r="G83" s="194" t="n">
        <v>-10.2</v>
      </c>
      <c r="H83" s="194" t="n">
        <v>-3.5</v>
      </c>
      <c r="I83" s="194" t="n">
        <v>-17.4</v>
      </c>
      <c r="J83" s="194" t="n">
        <v>-23.6</v>
      </c>
      <c r="K83" s="195" t="inlineStr">
        <is>
          <t>6938 RIBOLIFE-B; 2692 ZHAOWEI; 1187 COFOE MEDICAL; 3661 SG MICRO; 1688 LINGYI ITECH; 2249 NEXCHIP</t>
        </is>
      </c>
    </row>
    <row r="84">
      <c r="A84" s="32" t="inlineStr">
        <is>
          <t>Dream ee (Hong Kong) Open-ended Fund Company</t>
        </is>
      </c>
      <c r="B84" s="191" t="n">
        <v>6</v>
      </c>
      <c r="C84" s="193" t="n">
        <v>17</v>
      </c>
      <c r="D84" s="194" t="n">
        <v>9.199999999999999</v>
      </c>
      <c r="E84" s="194" t="n">
        <v>13.7</v>
      </c>
      <c r="F84" s="194" t="n">
        <v>24.8</v>
      </c>
      <c r="G84" s="194" t="n">
        <v>15.9</v>
      </c>
      <c r="H84" s="194" t="n">
        <v>6.4</v>
      </c>
      <c r="I84" s="194" t="n">
        <v>4.9</v>
      </c>
      <c r="J84" s="194" t="n">
        <v>1.8</v>
      </c>
      <c r="K84" s="195" t="inlineStr">
        <is>
          <t>2408 XIAO NOODLES; 2676 NOVOSENSE; 2655 GUOXIA TECH; 2715 ESTUN; 3952 LAIFUAL; 3223 INGENIC</t>
        </is>
      </c>
    </row>
    <row r="85">
      <c r="A85" s="32" t="inlineStr">
        <is>
          <t>Springhill Master Fund Limited</t>
        </is>
      </c>
      <c r="B85" s="191" t="n">
        <v>6</v>
      </c>
      <c r="C85" s="193" t="n">
        <v>50</v>
      </c>
      <c r="D85" s="194" t="n">
        <v>3.7</v>
      </c>
      <c r="E85" s="194" t="n">
        <v>-2.9</v>
      </c>
      <c r="F85" s="194" t="n">
        <v>11.4</v>
      </c>
      <c r="G85" s="194" t="n">
        <v>-8.699999999999999</v>
      </c>
      <c r="H85" s="194" t="n">
        <v>-6.9</v>
      </c>
      <c r="I85" s="194" t="n">
        <v>6.4</v>
      </c>
      <c r="J85" s="194" t="n">
        <v>-13.4</v>
      </c>
      <c r="K85" s="195" t="inlineStr">
        <is>
          <t>2162 KEYMED BIO-B; 2137 BRII - B; 2192 MEDLIVE; 2216 BRONCUS-B; 2235 MICROTECH MED-B; 2197 CLOVER BIO-B</t>
        </is>
      </c>
    </row>
    <row r="86">
      <c r="A86" s="32" t="inlineStr">
        <is>
          <t>Ghisallo Fund Master Ltd</t>
        </is>
      </c>
      <c r="B86" s="191" t="n">
        <v>6</v>
      </c>
      <c r="C86" s="193" t="n">
        <v>33</v>
      </c>
      <c r="D86" s="194" t="n">
        <v>3.3</v>
      </c>
      <c r="E86" s="194" t="n">
        <v>-7.1</v>
      </c>
      <c r="F86" s="194" t="n">
        <v>-11</v>
      </c>
      <c r="G86" s="194" t="n">
        <v>-16.8</v>
      </c>
      <c r="H86" s="194" t="n">
        <v>-10.4</v>
      </c>
      <c r="I86" s="194" t="n">
        <v>-13.4</v>
      </c>
      <c r="J86" s="194" t="n">
        <v>-19.5</v>
      </c>
      <c r="K86" s="195" t="inlineStr">
        <is>
          <t>2460 CR BEVERAGE; 6936 SF HOLDING; 9927 SERES; 2026 PONY-W; 0501 OMNIVISION; 9615 MECH-MIND ROBOT</t>
        </is>
      </c>
    </row>
    <row r="87">
      <c r="A87" s="32" t="inlineStr">
        <is>
          <t>Green Better Limited</t>
        </is>
      </c>
      <c r="B87" s="191" t="n">
        <v>6</v>
      </c>
      <c r="C87" s="193" t="n">
        <v>50</v>
      </c>
      <c r="D87" s="194" t="n">
        <v>2.4</v>
      </c>
      <c r="E87" s="194" t="n">
        <v>3.2</v>
      </c>
      <c r="F87" s="194" t="n">
        <v>7.1</v>
      </c>
      <c r="G87" s="194" t="n">
        <v>9.800000000000001</v>
      </c>
      <c r="H87" s="194" t="n">
        <v>0.8</v>
      </c>
      <c r="I87" s="194" t="n">
        <v>4</v>
      </c>
      <c r="J87" s="194" t="n">
        <v>6.4</v>
      </c>
      <c r="K87" s="195" t="inlineStr">
        <is>
          <t>3658 NEW HOPE SERV; 1948 UJU HOLDING; 6936 SF HOLDING; 6613 LENS; 2676 NOVOSENSE; 3296 HUAQIN</t>
        </is>
      </c>
    </row>
    <row r="88">
      <c r="A88" s="32" t="inlineStr">
        <is>
          <t>Verition Multi- Strategy Master Fund Ltd</t>
        </is>
      </c>
      <c r="B88" s="191" t="n">
        <v>6</v>
      </c>
      <c r="C88" s="193" t="n">
        <v>33</v>
      </c>
      <c r="D88" s="194" t="n">
        <v>1.2</v>
      </c>
      <c r="E88" s="194" t="n">
        <v>1.8</v>
      </c>
      <c r="F88" s="194" t="n">
        <v>2.4</v>
      </c>
      <c r="G88" s="194" t="n">
        <v>34.8</v>
      </c>
      <c r="H88" s="194" t="n">
        <v>0.7</v>
      </c>
      <c r="I88" s="194" t="n">
        <v>0.9</v>
      </c>
      <c r="J88" s="194" t="n">
        <v>30.8</v>
      </c>
      <c r="K88" s="195" t="inlineStr">
        <is>
          <t>2050 SANHUA; 6613 LENS; 1688 LINGYI ITECH; 6951 CCTC; 1377 DTECH; 2249 NEXCHIP</t>
        </is>
      </c>
    </row>
    <row r="89">
      <c r="A89" s="32" t="inlineStr">
        <is>
          <t>China Structural Reform Fund Corporation Limited</t>
        </is>
      </c>
      <c r="B89" s="191" t="n">
        <v>6</v>
      </c>
      <c r="C89" s="193" t="n">
        <v>17</v>
      </c>
      <c r="D89" s="194" t="n">
        <v>-5.7</v>
      </c>
      <c r="E89" s="194" t="n">
        <v>-2</v>
      </c>
      <c r="F89" s="194" t="n">
        <v>-7.2</v>
      </c>
      <c r="G89" s="194" t="n">
        <v>-10.1</v>
      </c>
      <c r="H89" s="194" t="n">
        <v>3.6</v>
      </c>
      <c r="I89" s="194" t="n">
        <v>-3.4</v>
      </c>
      <c r="J89" s="194" t="n">
        <v>-6.3</v>
      </c>
      <c r="K89" s="195" t="inlineStr">
        <is>
          <t>6127 JOINN; 6608 BAIRONG-W; 6628 TRANSCENTA-B; 1880 CTG DUTY-FREE; 2507 CIRRUS; 0300 MIDEA GROUP</t>
        </is>
      </c>
    </row>
    <row r="90">
      <c r="A90" s="32" t="inlineStr">
        <is>
          <t>Golden Link</t>
        </is>
      </c>
      <c r="B90" s="191" t="n">
        <v>5</v>
      </c>
      <c r="C90" s="193" t="n">
        <v>40</v>
      </c>
      <c r="D90" s="194" t="n">
        <v>53.5</v>
      </c>
      <c r="E90" s="194" t="n">
        <v>1.4</v>
      </c>
      <c r="F90" s="194" t="n">
        <v>6.6</v>
      </c>
      <c r="G90" s="194" t="n">
        <v>23.8</v>
      </c>
      <c r="H90" s="194" t="n">
        <v>0.6</v>
      </c>
      <c r="I90" s="194" t="n">
        <v>5.9</v>
      </c>
      <c r="J90" s="194" t="n">
        <v>21.2</v>
      </c>
      <c r="K90" s="195" t="inlineStr">
        <is>
          <t>0300 MIDEA GROUP; 2676 NOVOSENSE; 6880 MOMENTA-W; 9615 MECH-MIND ROBOT; 6802 CAMSENSE</t>
        </is>
      </c>
    </row>
    <row r="91">
      <c r="A91" s="32" t="inlineStr">
        <is>
          <t>Cithara Global Multi-Strategy SPC — Bosideng Industry Investment Fund SP</t>
        </is>
      </c>
      <c r="B91" s="191" t="n">
        <v>5</v>
      </c>
      <c r="C91" s="193" t="n">
        <v>100</v>
      </c>
      <c r="D91" s="194" t="n">
        <v>38.1</v>
      </c>
      <c r="E91" s="194" t="n">
        <v>40.7</v>
      </c>
      <c r="F91" s="194" t="n">
        <v>57.3</v>
      </c>
      <c r="G91" s="194" t="n">
        <v>81.7</v>
      </c>
      <c r="H91" s="194" t="n">
        <v>4.4</v>
      </c>
      <c r="I91" s="194" t="n">
        <v>23.5</v>
      </c>
      <c r="J91" s="194" t="n">
        <v>53.8</v>
      </c>
      <c r="K91" s="195" t="inlineStr">
        <is>
          <t>6166 CIG; 3317 XUNCE; 6600 ONEROBOTICS; 3277 GPIXEL; 7688 TOPNC</t>
        </is>
      </c>
    </row>
    <row r="92">
      <c r="A92" s="32" t="inlineStr">
        <is>
          <t>Sunshine Life Insurance Corporation Limited</t>
        </is>
      </c>
      <c r="B92" s="191" t="n">
        <v>5</v>
      </c>
      <c r="C92" s="193" t="n">
        <v>40</v>
      </c>
      <c r="D92" s="194" t="n">
        <v>37.8</v>
      </c>
      <c r="E92" s="194" t="n">
        <v>61</v>
      </c>
      <c r="F92" s="194" t="n">
        <v>43.1</v>
      </c>
      <c r="G92" s="194" t="n">
        <v>4.2</v>
      </c>
      <c r="H92" s="194" t="n">
        <v>8.300000000000001</v>
      </c>
      <c r="I92" s="194" t="n">
        <v>4.5</v>
      </c>
      <c r="J92" s="194" t="n">
        <v>-15.7</v>
      </c>
      <c r="K92" s="195" t="inlineStr">
        <is>
          <t>9638 FERRETTI; 9886 DINGDANG HEALTH; 9985 WEILONG; 0068 MANYCORE TECH; 2476 VGT</t>
        </is>
      </c>
    </row>
    <row r="93">
      <c r="A93" s="32" t="inlineStr">
        <is>
          <t>Poly Platinum Enterprises Limited</t>
        </is>
      </c>
      <c r="B93" s="191" t="n">
        <v>5</v>
      </c>
      <c r="C93" s="193" t="n">
        <v>100</v>
      </c>
      <c r="D93" s="194" t="n">
        <v>37.1</v>
      </c>
      <c r="E93" s="194" t="n">
        <v>42.3</v>
      </c>
      <c r="F93" s="194" t="n">
        <v>76.2</v>
      </c>
      <c r="G93" s="194" t="n">
        <v>81</v>
      </c>
      <c r="H93" s="194" t="n">
        <v>2.9</v>
      </c>
      <c r="I93" s="194" t="n">
        <v>17.9</v>
      </c>
      <c r="J93" s="194" t="n">
        <v>23.6</v>
      </c>
      <c r="K93" s="195" t="inlineStr">
        <is>
          <t>6613 LENS; 2546 ZHIHUI MINING; 2675 EDGE MEDICAL-B; 2476 VGT; 9856 LIGENT</t>
        </is>
      </c>
    </row>
    <row r="94">
      <c r="A94" s="32" t="inlineStr">
        <is>
          <t>Golden Valley Global Limited</t>
        </is>
      </c>
      <c r="B94" s="191" t="n">
        <v>5</v>
      </c>
      <c r="C94" s="193" t="n">
        <v>40</v>
      </c>
      <c r="D94" s="194" t="n">
        <v>33</v>
      </c>
      <c r="E94" s="194" t="n">
        <v>23.7</v>
      </c>
      <c r="F94" s="194" t="n">
        <v>34.5</v>
      </c>
      <c r="G94" s="194" t="n">
        <v>45.9</v>
      </c>
      <c r="H94" s="194" t="n">
        <v>-12</v>
      </c>
      <c r="I94" s="194" t="n">
        <v>2</v>
      </c>
      <c r="J94" s="194" t="n">
        <v>18.2</v>
      </c>
      <c r="K94" s="195" t="inlineStr">
        <is>
          <t>6622 ZHAOKE OPHTH-B; 1364 GUMING; 9887 LEADS BIOLABS-B; 9637 ALEBUND-B; 9607 RA MATERIALS</t>
        </is>
      </c>
    </row>
    <row r="95">
      <c r="A95" s="32" t="inlineStr">
        <is>
          <t>Horizon Together Holding Ltd</t>
        </is>
      </c>
      <c r="B95" s="191" t="n">
        <v>5</v>
      </c>
      <c r="C95" s="193" t="n">
        <v>80</v>
      </c>
      <c r="D95" s="194" t="n">
        <v>31.4</v>
      </c>
      <c r="E95" s="194" t="n">
        <v>34.1</v>
      </c>
      <c r="F95" s="194" t="n">
        <v>28.6</v>
      </c>
      <c r="G95" s="194" t="n">
        <v>24.6</v>
      </c>
      <c r="H95" s="194" t="n">
        <v>2.2</v>
      </c>
      <c r="I95" s="194" t="n">
        <v>-1.9</v>
      </c>
      <c r="J95" s="194" t="n">
        <v>2</v>
      </c>
      <c r="K95" s="195" t="inlineStr">
        <is>
          <t>2431 MINIEYE; 9973 CHERY AUTO; 2889 PATEO; 9609 HAIWEI ELEC; 7630 IMPACT THERAP-B</t>
        </is>
      </c>
    </row>
    <row r="96">
      <c r="A96" s="32" t="inlineStr">
        <is>
          <t>Ocean Fine Industrial Limited</t>
        </is>
      </c>
      <c r="B96" s="191" t="n">
        <v>5</v>
      </c>
      <c r="C96" s="193" t="n">
        <v>60</v>
      </c>
      <c r="D96" s="194" t="n">
        <v>26.3</v>
      </c>
      <c r="E96" s="194" t="n">
        <v>18.5</v>
      </c>
      <c r="F96" s="194" t="n">
        <v>3.6</v>
      </c>
      <c r="G96" s="194" t="n">
        <v>36</v>
      </c>
      <c r="H96" s="194" t="n">
        <v>-1.8</v>
      </c>
      <c r="I96" s="194" t="n">
        <v>-12.5</v>
      </c>
      <c r="J96" s="194" t="n">
        <v>17.3</v>
      </c>
      <c r="K96" s="195" t="inlineStr">
        <is>
          <t>6911 LANCANG TEA; 2026 PONY-W; 9903 ILUVATAR COREX; 3661 SG MICRO; 9630 CFMEE</t>
        </is>
      </c>
    </row>
    <row r="97">
      <c r="A97" s="32" t="inlineStr">
        <is>
          <t>Huatai Capital Investment Limited</t>
        </is>
      </c>
      <c r="B97" s="191" t="n">
        <v>5</v>
      </c>
      <c r="C97" s="193" t="n">
        <v>80</v>
      </c>
      <c r="D97" s="194" t="n">
        <v>24.5</v>
      </c>
      <c r="E97" s="194" t="n">
        <v>13.6</v>
      </c>
      <c r="F97" s="194" t="n">
        <v>8.199999999999999</v>
      </c>
      <c r="G97" s="194" t="n">
        <v>46.4</v>
      </c>
      <c r="H97" s="194" t="n">
        <v>-5.8</v>
      </c>
      <c r="I97" s="194" t="n">
        <v>-8.4</v>
      </c>
      <c r="J97" s="194" t="n">
        <v>20.9</v>
      </c>
      <c r="K97" s="195" t="inlineStr">
        <is>
          <t>1490 CHESHI; 9903 ILUVATAR COREX; 1021 HUAYAN ROBOTICS; 1956 WENGE AI; 3223 INGENIC</t>
        </is>
      </c>
    </row>
    <row r="98">
      <c r="A98" s="32" t="inlineStr">
        <is>
          <t>China Southern Asset Management Co., Ltd</t>
        </is>
      </c>
      <c r="B98" s="191" t="n">
        <v>5</v>
      </c>
      <c r="C98" s="193" t="n">
        <v>60</v>
      </c>
      <c r="D98" s="194" t="n">
        <v>24.4</v>
      </c>
      <c r="E98" s="194" t="n">
        <v>23</v>
      </c>
      <c r="F98" s="194" t="n">
        <v>12.8</v>
      </c>
      <c r="G98" s="194" t="n">
        <v>19</v>
      </c>
      <c r="H98" s="194" t="n">
        <v>-1.1</v>
      </c>
      <c r="I98" s="194" t="n">
        <v>-10.8</v>
      </c>
      <c r="J98" s="194" t="n">
        <v>-3.1</v>
      </c>
      <c r="K98" s="195" t="inlineStr">
        <is>
          <t>2171 CARSGEN-B; 2150 NAYUKI; 6603 IFBH; 2698 SOFTCARE; 6082 BIREN TECH</t>
        </is>
      </c>
    </row>
    <row r="99">
      <c r="A99" s="32" t="inlineStr">
        <is>
          <t>Hefei Jianhui Zhanxin Cornerstone Investment Company Limited</t>
        </is>
      </c>
      <c r="B99" s="191" t="n">
        <v>5</v>
      </c>
      <c r="C99" s="193" t="n">
        <v>40</v>
      </c>
      <c r="D99" s="194" t="n">
        <v>21.1</v>
      </c>
      <c r="E99" s="194" t="n">
        <v>9</v>
      </c>
      <c r="F99" s="194" t="n">
        <v>-1.1</v>
      </c>
      <c r="G99" s="194" t="n">
        <v>-3.7</v>
      </c>
      <c r="H99" s="194" t="n">
        <v>-7.1</v>
      </c>
      <c r="I99" s="194" t="n">
        <v>-14.8</v>
      </c>
      <c r="J99" s="194" t="n">
        <v>-21.7</v>
      </c>
      <c r="K99" s="195" t="inlineStr">
        <is>
          <t>3931 CALB; 2482 LOGORY; 9973 CHERY AUTO; 9630 CFMEE; 2249 NEXCHIP</t>
        </is>
      </c>
    </row>
    <row r="100">
      <c r="A100" s="32" t="inlineStr">
        <is>
          <t>HSG Growth VII Holdco, Ltd</t>
        </is>
      </c>
      <c r="B100" s="191" t="n">
        <v>5</v>
      </c>
      <c r="C100" s="193" t="n">
        <v>100</v>
      </c>
      <c r="D100" s="194" t="n">
        <v>21</v>
      </c>
      <c r="E100" s="194" t="n">
        <v>28.2</v>
      </c>
      <c r="F100" s="194" t="n">
        <v>25.6</v>
      </c>
      <c r="G100" s="194" t="n">
        <v>29.1</v>
      </c>
      <c r="H100" s="194" t="n">
        <v>4.4</v>
      </c>
      <c r="I100" s="194" t="n">
        <v>1.5</v>
      </c>
      <c r="J100" s="194" t="n">
        <v>3.4</v>
      </c>
      <c r="K100" s="195" t="inlineStr">
        <is>
          <t>2268 WUXI XDC; 2097 MIXUE GROUP; 3288 HAITIAN FLAV; 6687 JST GROUP; 9980 EASTROC</t>
        </is>
      </c>
    </row>
    <row r="101">
      <c r="A101" s="32" t="inlineStr">
        <is>
          <t>Jain Global Master Fund Ltd</t>
        </is>
      </c>
      <c r="B101" s="191" t="n">
        <v>5</v>
      </c>
      <c r="C101" s="193" t="n">
        <v>60</v>
      </c>
      <c r="D101" s="194" t="n">
        <v>14.3</v>
      </c>
      <c r="E101" s="194" t="n">
        <v>7.9</v>
      </c>
      <c r="F101" s="194" t="n">
        <v>-7.2</v>
      </c>
      <c r="G101" s="194" t="n">
        <v>-16.5</v>
      </c>
      <c r="H101" s="194" t="n">
        <v>-5.9</v>
      </c>
      <c r="I101" s="194" t="n">
        <v>-19.5</v>
      </c>
      <c r="J101" s="194" t="n">
        <v>-28.4</v>
      </c>
      <c r="K101" s="195" t="inlineStr">
        <is>
          <t>6603 IFBH; 6687 JST GROUP; 9927 SERES; 1688 LINGYI ITECH; 7687 EACON</t>
        </is>
      </c>
    </row>
    <row r="102">
      <c r="A102" s="32" t="inlineStr">
        <is>
          <t>General Atlantic Singapore HCM Pte. Ltd</t>
        </is>
      </c>
      <c r="B102" s="191" t="n">
        <v>5</v>
      </c>
      <c r="C102" s="193" t="n">
        <v>40</v>
      </c>
      <c r="D102" s="194" t="n">
        <v>11.4</v>
      </c>
      <c r="E102" s="194" t="n">
        <v>10.7</v>
      </c>
      <c r="F102" s="194" t="n">
        <v>12.8</v>
      </c>
      <c r="G102" s="194" t="n">
        <v>-10</v>
      </c>
      <c r="H102" s="194" t="n">
        <v>-0.6</v>
      </c>
      <c r="I102" s="194" t="n">
        <v>-1.6</v>
      </c>
      <c r="J102" s="194" t="n">
        <v>-29.7</v>
      </c>
      <c r="K102" s="195" t="inlineStr">
        <is>
          <t>0013 HUTCHMED; 1228 CANBRIDGE-B; 2268 WUXI XDC; 3308 ZJ INNOLIGHT; 0625 SHEIN-W</t>
        </is>
      </c>
    </row>
    <row r="103">
      <c r="A103" s="32" t="inlineStr">
        <is>
          <t>Octagon Investments Master Fund LP</t>
        </is>
      </c>
      <c r="B103" s="191" t="n">
        <v>5</v>
      </c>
      <c r="C103" s="193" t="n">
        <v>40</v>
      </c>
      <c r="D103" s="194" t="n">
        <v>7</v>
      </c>
      <c r="E103" s="194" t="n">
        <v>3.4</v>
      </c>
      <c r="F103" s="194" t="n">
        <v>-5.3</v>
      </c>
      <c r="G103" s="194" t="n">
        <v>-19.3</v>
      </c>
      <c r="H103" s="194" t="n">
        <v>-3.3</v>
      </c>
      <c r="I103" s="194" t="n">
        <v>-11.3</v>
      </c>
      <c r="J103" s="194" t="n">
        <v>-24.2</v>
      </c>
      <c r="K103" s="195" t="inlineStr">
        <is>
          <t>6127 JOINN; 2190 ZYLOXTB-B; 2162 KEYMED BIO-B; 6609 HEARTCARE-B; 2235 MICROTECH MED-B</t>
        </is>
      </c>
    </row>
    <row r="104">
      <c r="A104" s="32" t="inlineStr">
        <is>
          <t>New China Asset Management (Hong Kong) Limited</t>
        </is>
      </c>
      <c r="B104" s="191" t="n">
        <v>5</v>
      </c>
      <c r="C104" s="193" t="n">
        <v>60</v>
      </c>
      <c r="D104" s="194" t="n">
        <v>3.9</v>
      </c>
      <c r="E104" s="194" t="n">
        <v>2.3</v>
      </c>
      <c r="F104" s="194" t="n">
        <v>2.4</v>
      </c>
      <c r="G104" s="194" t="n">
        <v>-10.9</v>
      </c>
      <c r="H104" s="194" t="n">
        <v>-1.6</v>
      </c>
      <c r="I104" s="194" t="n">
        <v>-2.2</v>
      </c>
      <c r="J104" s="194" t="n">
        <v>-14.8</v>
      </c>
      <c r="K104" s="195" t="inlineStr">
        <is>
          <t>6626 YUEXIU SERVICES; 9636 JF WEALTH; 6682 FOURTH PARADIGM; 9927 SERES; 3296 HUAQIN</t>
        </is>
      </c>
    </row>
    <row r="105">
      <c r="A105" s="32" t="inlineStr">
        <is>
          <t>The China State-owned Enterprise Mixed Ownership Reform Fund Co., Ltd</t>
        </is>
      </c>
      <c r="B105" s="191" t="n">
        <v>5</v>
      </c>
      <c r="C105" s="193" t="n">
        <v>20</v>
      </c>
      <c r="D105" s="194" t="n">
        <v>-3.2</v>
      </c>
      <c r="E105" s="194" t="n">
        <v>16</v>
      </c>
      <c r="F105" s="194" t="n">
        <v>6.2</v>
      </c>
      <c r="G105" s="194" t="n">
        <v>2.6</v>
      </c>
      <c r="H105" s="194" t="n">
        <v>17.7</v>
      </c>
      <c r="I105" s="194" t="n">
        <v>8.4</v>
      </c>
      <c r="J105" s="194" t="n">
        <v>4.5</v>
      </c>
      <c r="K105" s="195" t="inlineStr">
        <is>
          <t>0020 SENSETIME-W; 6680 JLMAG; 1880 CTG DUTY-FREE; 2602 ONEWO; 2245 LYGEND RESOURCE</t>
        </is>
      </c>
    </row>
    <row r="106">
      <c r="A106" s="32" t="inlineStr">
        <is>
          <t>Gold Mountains (H.K.) International Mining Company Limited</t>
        </is>
      </c>
      <c r="B106" s="191" t="n">
        <v>5</v>
      </c>
      <c r="C106" s="193" t="n">
        <v>0</v>
      </c>
      <c r="D106" s="194" t="n">
        <v>-6.6</v>
      </c>
      <c r="E106" s="194" t="n">
        <v>-7.8</v>
      </c>
      <c r="F106" s="194" t="n">
        <v>-0.5</v>
      </c>
      <c r="G106" s="194" t="n">
        <v>6.8</v>
      </c>
      <c r="H106" s="194" t="n">
        <v>-0.7</v>
      </c>
      <c r="I106" s="194" t="n">
        <v>7.3</v>
      </c>
      <c r="J106" s="194" t="n">
        <v>13.7</v>
      </c>
      <c r="K106" s="195" t="inlineStr">
        <is>
          <t>2385 READBOY; 9696 TIANQI LITHIUM; 2479 TIANJUDIHE; 6693 CHIFENG GOLD; 9927 SERES</t>
        </is>
      </c>
    </row>
    <row r="107">
      <c r="A107" s="32" t="inlineStr">
        <is>
          <t>Ping An of China Asset Management (Hong Kong) Company Limited</t>
        </is>
      </c>
      <c r="B107" s="191" t="n">
        <v>4</v>
      </c>
      <c r="C107" s="193" t="n">
        <v>75</v>
      </c>
      <c r="D107" s="194" t="n">
        <v>114.2</v>
      </c>
      <c r="E107" s="194" t="n">
        <v>114.3</v>
      </c>
      <c r="F107" s="194" t="n">
        <v>80.7</v>
      </c>
      <c r="G107" s="194" t="n">
        <v>32.9</v>
      </c>
      <c r="H107" s="194" t="n">
        <v>0.1</v>
      </c>
      <c r="I107" s="194" t="n">
        <v>-3.4</v>
      </c>
      <c r="J107" s="194" t="n">
        <v>-9.9</v>
      </c>
      <c r="K107" s="195" t="inlineStr">
        <is>
          <t>6082 BIREN TECH; 2714 MUYUAN; 1879 XIZHI TECH-P; 6228 MERDEKAGOLD-DRS</t>
        </is>
      </c>
    </row>
    <row r="108">
      <c r="A108" s="32" t="inlineStr">
        <is>
          <t>Temasek</t>
        </is>
      </c>
      <c r="B108" s="191" t="n">
        <v>4</v>
      </c>
      <c r="C108" s="193" t="n">
        <v>75</v>
      </c>
      <c r="D108" s="194" t="n">
        <v>113.1</v>
      </c>
      <c r="E108" s="194" t="n">
        <v>150.5</v>
      </c>
      <c r="F108" s="194" t="n">
        <v>102.7</v>
      </c>
      <c r="G108" s="194" t="n">
        <v>55.7</v>
      </c>
      <c r="H108" s="194" t="n">
        <v>-2.2</v>
      </c>
      <c r="I108" s="194" t="n">
        <v>-10.3</v>
      </c>
      <c r="J108" s="194" t="n">
        <v>-32.4</v>
      </c>
      <c r="K108" s="195" t="inlineStr">
        <is>
          <t>1768 BUSYMING; 1879 XIZHI TECH-P; 6951 CCTC; 3757 ROBOTECHNIK</t>
        </is>
      </c>
    </row>
    <row r="109">
      <c r="A109" s="32" t="inlineStr">
        <is>
          <t>CPP Investment Board PMI-2 Inc</t>
        </is>
      </c>
      <c r="B109" s="191" t="n">
        <v>4</v>
      </c>
      <c r="C109" s="193" t="n">
        <v>75</v>
      </c>
      <c r="D109" s="194" t="n">
        <v>89.3</v>
      </c>
      <c r="E109" s="194" t="n">
        <v>111.4</v>
      </c>
      <c r="F109" s="194" t="n">
        <v>90.09999999999999</v>
      </c>
      <c r="G109" s="194" t="n">
        <v>62.8</v>
      </c>
      <c r="H109" s="194" t="n">
        <v>10.9</v>
      </c>
      <c r="I109" s="194" t="n">
        <v>3.3</v>
      </c>
      <c r="J109" s="194" t="n">
        <v>-23.1</v>
      </c>
      <c r="K109" s="195" t="inlineStr">
        <is>
          <t>2158 YIDU TECH; 1024 KUAISHOU-W; 0013 HUTCHMED; 3308 ZJ INNOLIGHT</t>
        </is>
      </c>
    </row>
    <row r="110">
      <c r="A110" s="32" t="inlineStr">
        <is>
          <t>Alibaba Investment</t>
        </is>
      </c>
      <c r="B110" s="191" t="n">
        <v>4</v>
      </c>
      <c r="C110" s="193" t="n">
        <v>50</v>
      </c>
      <c r="D110" s="194" t="n">
        <v>87</v>
      </c>
      <c r="E110" s="194" t="n">
        <v>91.2</v>
      </c>
      <c r="F110" s="194" t="n">
        <v>50.5</v>
      </c>
      <c r="G110" s="194" t="n">
        <v>-10.1</v>
      </c>
      <c r="H110" s="194" t="n">
        <v>4.6</v>
      </c>
      <c r="I110" s="194" t="n">
        <v>-8.5</v>
      </c>
      <c r="J110" s="194" t="n">
        <v>-44.2</v>
      </c>
      <c r="K110" s="195" t="inlineStr">
        <is>
          <t>2566 JIUYUAN GENE; 1879 XIZHI TECH-P; 6951 CCTC; 3308 ZJ INNOLIGHT</t>
        </is>
      </c>
    </row>
    <row r="111">
      <c r="A111" s="32" t="inlineStr">
        <is>
          <t>RTW Master Fund, Ltd</t>
        </is>
      </c>
      <c r="B111" s="191" t="n">
        <v>4</v>
      </c>
      <c r="C111" s="193" t="n">
        <v>100</v>
      </c>
      <c r="D111" s="194" t="n">
        <v>85</v>
      </c>
      <c r="E111" s="194" t="n">
        <v>49.2</v>
      </c>
      <c r="F111" s="194" t="n">
        <v>23.7</v>
      </c>
      <c r="G111" s="194" t="n">
        <v>23.7</v>
      </c>
      <c r="H111" s="194" t="n">
        <v>-16.2</v>
      </c>
      <c r="I111" s="194" t="n">
        <v>-26.7</v>
      </c>
      <c r="J111" s="194" t="n">
        <v>-25.1</v>
      </c>
      <c r="K111" s="195" t="inlineStr">
        <is>
          <t>6990 SKB BIO-B; 2595 GENFLEET-B; 7666 METIS TECHBIO-P; 9637 ALEBUND-B</t>
        </is>
      </c>
    </row>
    <row r="112">
      <c r="A112" s="32" t="inlineStr">
        <is>
          <t>Aranda Investments Pte. Ltd</t>
        </is>
      </c>
      <c r="B112" s="191" t="n">
        <v>4</v>
      </c>
      <c r="C112" s="193" t="n">
        <v>75</v>
      </c>
      <c r="D112" s="194" t="n">
        <v>72.8</v>
      </c>
      <c r="E112" s="194" t="n">
        <v>86.3</v>
      </c>
      <c r="F112" s="194" t="n">
        <v>54</v>
      </c>
      <c r="G112" s="194" t="n">
        <v>13.1</v>
      </c>
      <c r="H112" s="194" t="n">
        <v>3.4</v>
      </c>
      <c r="I112" s="194" t="n">
        <v>-10.8</v>
      </c>
      <c r="J112" s="194" t="n">
        <v>-34.4</v>
      </c>
      <c r="K112" s="195" t="inlineStr">
        <is>
          <t>1024 KUAISHOU-W; 2162 KEYMED BIO-B; 2256 ABBISKO-B; 6656 SIGENERGY</t>
        </is>
      </c>
    </row>
    <row r="113">
      <c r="A113" s="32" t="inlineStr">
        <is>
          <t>Loyal Valley Capital</t>
        </is>
      </c>
      <c r="B113" s="191" t="n">
        <v>4</v>
      </c>
      <c r="C113" s="193" t="n">
        <v>100</v>
      </c>
      <c r="D113" s="194" t="n">
        <v>70.3</v>
      </c>
      <c r="E113" s="194" t="n">
        <v>58</v>
      </c>
      <c r="F113" s="194" t="n">
        <v>53.8</v>
      </c>
      <c r="G113" s="194" t="n">
        <v>82.7</v>
      </c>
      <c r="H113" s="194" t="n">
        <v>-5.8</v>
      </c>
      <c r="I113" s="194" t="n">
        <v>-8.199999999999999</v>
      </c>
      <c r="J113" s="194" t="n">
        <v>6.7</v>
      </c>
      <c r="K113" s="195" t="inlineStr">
        <is>
          <t>1318 MAO GEPING; 9887 LEADS BIOLABS-B; 2657 FOREST CABIN; 9637 ALEBUND-B</t>
        </is>
      </c>
    </row>
    <row r="114">
      <c r="A114" s="32" t="inlineStr">
        <is>
          <t>Guohui (HK) Holdings Co., Limited 控股有限公司</t>
        </is>
      </c>
      <c r="B114" s="191" t="n">
        <v>4</v>
      </c>
      <c r="C114" s="193" t="n">
        <v>100</v>
      </c>
      <c r="D114" s="194" t="n">
        <v>57.9</v>
      </c>
      <c r="E114" s="194" t="n">
        <v>76.2</v>
      </c>
      <c r="F114" s="194" t="n">
        <v>31.8</v>
      </c>
      <c r="G114" s="194" t="n">
        <v>-4.7</v>
      </c>
      <c r="H114" s="194" t="n">
        <v>5.3</v>
      </c>
      <c r="I114" s="194" t="n">
        <v>-16.4</v>
      </c>
      <c r="J114" s="194" t="n">
        <v>-35.8</v>
      </c>
      <c r="K114" s="195" t="inlineStr">
        <is>
          <t>9981 WOER; 0068 MANYCORE TECH; 2493 MABWELL-B; 1956 WENGE AI</t>
        </is>
      </c>
    </row>
    <row r="115">
      <c r="A115" s="32" t="inlineStr">
        <is>
          <t>New Golden Future Limited</t>
        </is>
      </c>
      <c r="B115" s="191" t="n">
        <v>4</v>
      </c>
      <c r="C115" s="193" t="n">
        <v>100</v>
      </c>
      <c r="D115" s="194" t="n">
        <v>45.8</v>
      </c>
      <c r="E115" s="194" t="n">
        <v>59.8</v>
      </c>
      <c r="F115" s="194" t="n">
        <v>58.6</v>
      </c>
      <c r="G115" s="194" t="n">
        <v>184.1</v>
      </c>
      <c r="H115" s="194" t="n">
        <v>8.4</v>
      </c>
      <c r="I115" s="194" t="n">
        <v>10.1</v>
      </c>
      <c r="J115" s="194" t="n">
        <v>113.3</v>
      </c>
      <c r="K115" s="195" t="inlineStr">
        <is>
          <t>2259 ZIJIN GOLD INTL; 3317 XUNCE; 6809 MONTAGE TECH; 2476 VGT</t>
        </is>
      </c>
    </row>
    <row r="116">
      <c r="A116" s="32" t="inlineStr">
        <is>
          <t>Sunwoda Treasury (Hong Kong) Limited</t>
        </is>
      </c>
      <c r="B116" s="191" t="n">
        <v>4</v>
      </c>
      <c r="C116" s="193" t="n">
        <v>100</v>
      </c>
      <c r="D116" s="194" t="n">
        <v>44.9</v>
      </c>
      <c r="E116" s="194" t="n">
        <v>42.1</v>
      </c>
      <c r="F116" s="194" t="n">
        <v>9.5</v>
      </c>
      <c r="G116" s="194" t="n">
        <v>11.8</v>
      </c>
      <c r="H116" s="194" t="n">
        <v>0.3</v>
      </c>
      <c r="I116" s="194" t="n">
        <v>-17.6</v>
      </c>
      <c r="J116" s="194" t="n">
        <v>-19.5</v>
      </c>
      <c r="K116" s="195" t="inlineStr">
        <is>
          <t>3636 JINXUN RESOURCE; 2701 NSING TECH; 6675 SENASIC; 6067 SENIOR MATERIAL</t>
        </is>
      </c>
    </row>
    <row r="117">
      <c r="A117" s="32" t="inlineStr">
        <is>
          <t>Worldwide Healthcare Partners LLC</t>
        </is>
      </c>
      <c r="B117" s="191" t="n">
        <v>4</v>
      </c>
      <c r="C117" s="193" t="n">
        <v>50</v>
      </c>
      <c r="D117" s="194" t="n">
        <v>44.8</v>
      </c>
      <c r="E117" s="194" t="n">
        <v>42.4</v>
      </c>
      <c r="F117" s="194" t="n">
        <v>28.8</v>
      </c>
      <c r="G117" s="194" t="n">
        <v>29.4</v>
      </c>
      <c r="H117" s="194" t="n">
        <v>-3</v>
      </c>
      <c r="I117" s="194" t="n">
        <v>-14</v>
      </c>
      <c r="J117" s="194" t="n">
        <v>-18.4</v>
      </c>
      <c r="K117" s="195" t="inlineStr">
        <is>
          <t>6669 ACOTEC-B; 2216 BRONCUS-B; 9606 DUALITYBIO-B; 7630 IMPACT THERAP-B</t>
        </is>
      </c>
    </row>
    <row r="118">
      <c r="A118" s="32" t="inlineStr">
        <is>
          <t>ChinaAMC (HK)</t>
        </is>
      </c>
      <c r="B118" s="191" t="n">
        <v>4</v>
      </c>
      <c r="C118" s="193" t="n">
        <v>75</v>
      </c>
      <c r="D118" s="194" t="n">
        <v>42.2</v>
      </c>
      <c r="E118" s="194" t="n">
        <v>28.8</v>
      </c>
      <c r="F118" s="194" t="n">
        <v>15.2</v>
      </c>
      <c r="G118" s="194" t="n">
        <v>35.9</v>
      </c>
      <c r="H118" s="194" t="n">
        <v>-5.6</v>
      </c>
      <c r="I118" s="194" t="n">
        <v>-12.7</v>
      </c>
      <c r="J118" s="194" t="n">
        <v>-3.1</v>
      </c>
      <c r="K118" s="195" t="inlineStr">
        <is>
          <t>1304 FORTIOR; 2698 SOFTCARE; 7666 METIS TECHBIO-P; 6880 MOMENTA-W</t>
        </is>
      </c>
    </row>
    <row r="119">
      <c r="A119" s="32" t="inlineStr">
        <is>
          <t>Matthews Funds</t>
        </is>
      </c>
      <c r="B119" s="191" t="n">
        <v>4</v>
      </c>
      <c r="C119" s="193" t="n">
        <v>75</v>
      </c>
      <c r="D119" s="194" t="n">
        <v>37.6</v>
      </c>
      <c r="E119" s="194" t="n">
        <v>32.8</v>
      </c>
      <c r="F119" s="194" t="n">
        <v>37.1</v>
      </c>
      <c r="G119" s="194" t="n">
        <v>1.1</v>
      </c>
      <c r="H119" s="194" t="n">
        <v>-3.8</v>
      </c>
      <c r="I119" s="194" t="n">
        <v>0.6</v>
      </c>
      <c r="J119" s="194" t="n">
        <v>-22.5</v>
      </c>
      <c r="K119" s="195" t="inlineStr">
        <is>
          <t>2158 YIDU TECH; 6622 ZHAOKE OPHTH-B; 2618 JD LOGISTICS; 2192 MEDLIVE</t>
        </is>
      </c>
    </row>
    <row r="120">
      <c r="A120" s="32" t="inlineStr">
        <is>
          <t>Millennium Capital Management (Singapore) Pte. Ltd</t>
        </is>
      </c>
      <c r="B120" s="191" t="n">
        <v>4</v>
      </c>
      <c r="C120" s="193" t="n">
        <v>75</v>
      </c>
      <c r="D120" s="194" t="n">
        <v>37.1</v>
      </c>
      <c r="E120" s="194" t="n">
        <v>47.8</v>
      </c>
      <c r="F120" s="194" t="n">
        <v>33.5</v>
      </c>
      <c r="G120" s="194" t="n">
        <v>41.8</v>
      </c>
      <c r="H120" s="194" t="n">
        <v>6.8</v>
      </c>
      <c r="I120" s="194" t="n">
        <v>-4.3</v>
      </c>
      <c r="J120" s="194" t="n">
        <v>-0.5</v>
      </c>
      <c r="K120" s="195" t="inlineStr">
        <is>
          <t>2259 ZIJIN GOLD INTL; 2788 CHUANGXIN IND; 1081 DAJIN; 3661 SG MICRO</t>
        </is>
      </c>
    </row>
    <row r="121">
      <c r="A121" s="32" t="inlineStr">
        <is>
          <t>Hillhouse Investment Management, Ltd</t>
        </is>
      </c>
      <c r="B121" s="191" t="n">
        <v>4</v>
      </c>
      <c r="C121" s="193" t="n">
        <v>75</v>
      </c>
      <c r="D121" s="194" t="n">
        <v>34.3</v>
      </c>
      <c r="E121" s="194" t="n">
        <v>33</v>
      </c>
      <c r="F121" s="194" t="n">
        <v>20.1</v>
      </c>
      <c r="G121" s="194" t="n">
        <v>-17</v>
      </c>
      <c r="H121" s="194" t="n">
        <v>2.1</v>
      </c>
      <c r="I121" s="194" t="n">
        <v>-9.199999999999999</v>
      </c>
      <c r="J121" s="194" t="n">
        <v>-34.5</v>
      </c>
      <c r="K121" s="195" t="inlineStr">
        <is>
          <t>2162 KEYMED BIO-B; 2252 MEDBOT-B; 6656 SIGENERGY; 1081 DAJIN</t>
        </is>
      </c>
    </row>
    <row r="122">
      <c r="A122" s="32" t="inlineStr">
        <is>
          <t>HCEP Master Fund</t>
        </is>
      </c>
      <c r="B122" s="191" t="n">
        <v>4</v>
      </c>
      <c r="C122" s="193" t="n">
        <v>100</v>
      </c>
      <c r="D122" s="194" t="n">
        <v>27.4</v>
      </c>
      <c r="E122" s="194" t="n">
        <v>26.5</v>
      </c>
      <c r="F122" s="194" t="n">
        <v>24.9</v>
      </c>
      <c r="G122" s="194" t="n">
        <v>21.2</v>
      </c>
      <c r="H122" s="194" t="n">
        <v>0.1</v>
      </c>
      <c r="I122" s="194" t="n">
        <v>-0.6</v>
      </c>
      <c r="J122" s="194" t="n">
        <v>-3</v>
      </c>
      <c r="K122" s="195" t="inlineStr">
        <is>
          <t>0300 MIDEA GROUP; 6603 IFBH; 6166 CIG; 2698 SOFTCARE</t>
        </is>
      </c>
    </row>
    <row r="123">
      <c r="A123" s="32" t="inlineStr">
        <is>
          <t>Vivo Opportunity Fund, L.P</t>
        </is>
      </c>
      <c r="B123" s="191" t="n">
        <v>4</v>
      </c>
      <c r="C123" s="193" t="n">
        <v>50</v>
      </c>
      <c r="D123" s="194" t="n">
        <v>26.5</v>
      </c>
      <c r="E123" s="194" t="n">
        <v>15.9</v>
      </c>
      <c r="F123" s="194" t="n">
        <v>-5.3</v>
      </c>
      <c r="G123" s="194" t="n">
        <v>-11.5</v>
      </c>
      <c r="H123" s="194" t="n">
        <v>-8.199999999999999</v>
      </c>
      <c r="I123" s="194" t="n">
        <v>-22</v>
      </c>
      <c r="J123" s="194" t="n">
        <v>-27.6</v>
      </c>
      <c r="K123" s="195" t="inlineStr">
        <is>
          <t>2256 ABBISKO-B; 2157 LEPU BIO-B; 2561 VISEN PHARMA-B; 2595 GENFLEET-B</t>
        </is>
      </c>
    </row>
    <row r="124">
      <c r="A124" s="32" t="inlineStr">
        <is>
          <t>E Fund HK</t>
        </is>
      </c>
      <c r="B124" s="191" t="n">
        <v>4</v>
      </c>
      <c r="C124" s="193" t="n">
        <v>50</v>
      </c>
      <c r="D124" s="194" t="n">
        <v>22</v>
      </c>
      <c r="E124" s="194" t="n">
        <v>21.8</v>
      </c>
      <c r="F124" s="194" t="n">
        <v>19.6</v>
      </c>
      <c r="G124" s="194" t="n">
        <v>50.6</v>
      </c>
      <c r="H124" s="194" t="n">
        <v>-8.699999999999999</v>
      </c>
      <c r="I124" s="194" t="n">
        <v>-10.2</v>
      </c>
      <c r="J124" s="194" t="n">
        <v>0.9</v>
      </c>
      <c r="K124" s="195" t="inlineStr">
        <is>
          <t>2698 SOFTCARE; 1768 BUSYMING; 9615 MECH-MIND ROBOT; 3757 ROBOTECHNIK</t>
        </is>
      </c>
    </row>
    <row r="125">
      <c r="A125" s="32" t="inlineStr">
        <is>
          <t>Yield Royal Investment Holding (Singapore) PTE. LTD</t>
        </is>
      </c>
      <c r="B125" s="191" t="n">
        <v>4</v>
      </c>
      <c r="C125" s="193" t="n">
        <v>100</v>
      </c>
      <c r="D125" s="194" t="n">
        <v>22</v>
      </c>
      <c r="E125" s="194" t="n">
        <v>40.6</v>
      </c>
      <c r="F125" s="194" t="n">
        <v>60.4</v>
      </c>
      <c r="G125" s="194" t="n">
        <v>17.1</v>
      </c>
      <c r="H125" s="194" t="n">
        <v>14.7</v>
      </c>
      <c r="I125" s="194" t="n">
        <v>35.1</v>
      </c>
      <c r="J125" s="194" t="n">
        <v>-4.7</v>
      </c>
      <c r="K125" s="195" t="inlineStr">
        <is>
          <t>2657 FOREST CABIN; 6600 ONEROBOTICS; 9981 WOER; 3277 GPIXEL</t>
        </is>
      </c>
    </row>
    <row r="126">
      <c r="A126" s="32" t="inlineStr">
        <is>
          <t>YHG Investment, L.P</t>
        </is>
      </c>
      <c r="B126" s="191" t="n">
        <v>4</v>
      </c>
      <c r="C126" s="193" t="n">
        <v>50</v>
      </c>
      <c r="D126" s="194" t="n">
        <v>21.2</v>
      </c>
      <c r="E126" s="194" t="n">
        <v>13.7</v>
      </c>
      <c r="F126" s="194" t="n">
        <v>-4.6</v>
      </c>
      <c r="G126" s="194" t="n">
        <v>1.9</v>
      </c>
      <c r="H126" s="194" t="n">
        <v>-7.4</v>
      </c>
      <c r="I126" s="194" t="n">
        <v>-22.1</v>
      </c>
      <c r="J126" s="194" t="n">
        <v>-14</v>
      </c>
      <c r="K126" s="195" t="inlineStr">
        <is>
          <t>2160 CARDIOFLOW-B; 2190 ZYLOXTB-B; 2197 CLOVER BIO-B; 2602 ONEWO</t>
        </is>
      </c>
    </row>
    <row r="127">
      <c r="A127" s="32" t="inlineStr">
        <is>
          <t>SCC Growth VI Holdco F, Ltd</t>
        </is>
      </c>
      <c r="B127" s="191" t="n">
        <v>4</v>
      </c>
      <c r="C127" s="193" t="n">
        <v>75</v>
      </c>
      <c r="D127" s="194" t="n">
        <v>18</v>
      </c>
      <c r="E127" s="194" t="n">
        <v>25.8</v>
      </c>
      <c r="F127" s="194" t="n">
        <v>44.8</v>
      </c>
      <c r="G127" s="194" t="n">
        <v>24.7</v>
      </c>
      <c r="H127" s="194" t="n">
        <v>3.9</v>
      </c>
      <c r="I127" s="194" t="n">
        <v>22.8</v>
      </c>
      <c r="J127" s="194" t="n">
        <v>6.3</v>
      </c>
      <c r="K127" s="195" t="inlineStr">
        <is>
          <t>6127 JOINN; 2137 BRII - B; 2179 RECBIO-B; 3277 GPIXEL</t>
        </is>
      </c>
    </row>
    <row r="128">
      <c r="A128" s="32" t="inlineStr">
        <is>
          <t>Qube Master Fund Ltd</t>
        </is>
      </c>
      <c r="B128" s="191" t="n">
        <v>4</v>
      </c>
      <c r="C128" s="193" t="n">
        <v>50</v>
      </c>
      <c r="D128" s="194" t="n">
        <v>15.5</v>
      </c>
      <c r="E128" s="194" t="n">
        <v>24.9</v>
      </c>
      <c r="F128" s="194" t="n">
        <v>4.5</v>
      </c>
      <c r="G128" s="194" t="n">
        <v>75.90000000000001</v>
      </c>
      <c r="H128" s="194" t="n">
        <v>6.1</v>
      </c>
      <c r="I128" s="194" t="n">
        <v>-11.4</v>
      </c>
      <c r="J128" s="194" t="n">
        <v>35.7</v>
      </c>
      <c r="K128" s="195" t="inlineStr">
        <is>
          <t>6031 SANY HEAVY IND; 6809 MONTAGE TECH; 0470 WUXI LEAD; 1688 LINGYI ITECH</t>
        </is>
      </c>
    </row>
    <row r="129">
      <c r="A129" s="32" t="inlineStr">
        <is>
          <t>Ninety One Asia Pte. Limited</t>
        </is>
      </c>
      <c r="B129" s="191" t="n">
        <v>4</v>
      </c>
      <c r="C129" s="193" t="n">
        <v>75</v>
      </c>
      <c r="D129" s="194" t="n">
        <v>15</v>
      </c>
      <c r="E129" s="194" t="n">
        <v>17.7</v>
      </c>
      <c r="F129" s="194" t="n">
        <v>5.9</v>
      </c>
      <c r="G129" s="194" t="n">
        <v>7.8</v>
      </c>
      <c r="H129" s="194" t="n">
        <v>2.3</v>
      </c>
      <c r="I129" s="194" t="n">
        <v>-6.1</v>
      </c>
      <c r="J129" s="194" t="n">
        <v>-26.7</v>
      </c>
      <c r="K129" s="195" t="inlineStr">
        <is>
          <t>3661 SG MICRO; 6951 CCTC; 3308 ZJ INNOLIGHT; 3228 KINWONG</t>
        </is>
      </c>
    </row>
    <row r="130">
      <c r="A130" s="32" t="inlineStr">
        <is>
          <t>Hel Ved Master Fund</t>
        </is>
      </c>
      <c r="B130" s="191" t="n">
        <v>4</v>
      </c>
      <c r="C130" s="193" t="n">
        <v>25</v>
      </c>
      <c r="D130" s="194" t="n">
        <v>13.2</v>
      </c>
      <c r="E130" s="194" t="n">
        <v>26.3</v>
      </c>
      <c r="F130" s="194" t="n">
        <v>9.800000000000001</v>
      </c>
      <c r="G130" s="194" t="n">
        <v>86.3</v>
      </c>
      <c r="H130" s="194" t="n">
        <v>9.6</v>
      </c>
      <c r="I130" s="194" t="n">
        <v>-3.6</v>
      </c>
      <c r="J130" s="194" t="n">
        <v>35.4</v>
      </c>
      <c r="K130" s="195" t="inlineStr">
        <is>
          <t>2026 PONY-W; 6809 MONTAGE TECH; 0600 AXERA; 1377 DTECH</t>
        </is>
      </c>
    </row>
    <row r="131">
      <c r="A131" s="32" t="inlineStr">
        <is>
          <t>LMR Multi-Strategy Master Fund Limited</t>
        </is>
      </c>
      <c r="B131" s="191" t="n">
        <v>4</v>
      </c>
      <c r="C131" s="193" t="n">
        <v>75</v>
      </c>
      <c r="D131" s="194" t="n">
        <v>12.4</v>
      </c>
      <c r="E131" s="194" t="n">
        <v>9.5</v>
      </c>
      <c r="F131" s="194" t="n">
        <v>-0.8</v>
      </c>
      <c r="G131" s="194" t="n">
        <v>11.8</v>
      </c>
      <c r="H131" s="194" t="n">
        <v>-2.2</v>
      </c>
      <c r="I131" s="194" t="n">
        <v>-10.3</v>
      </c>
      <c r="J131" s="194" t="n">
        <v>-0.2</v>
      </c>
      <c r="K131" s="195" t="inlineStr">
        <is>
          <t>2251 AIRDOC-B; 6613 LENS; 6031 SANY HEAVY IND; 3661 SG MICRO</t>
        </is>
      </c>
    </row>
    <row r="132">
      <c r="A132" s="32" t="inlineStr">
        <is>
          <t>Glencore International AG</t>
        </is>
      </c>
      <c r="B132" s="191" t="n">
        <v>4</v>
      </c>
      <c r="C132" s="193" t="n">
        <v>50</v>
      </c>
      <c r="D132" s="194" t="n">
        <v>11.8</v>
      </c>
      <c r="E132" s="194" t="n">
        <v>19.9</v>
      </c>
      <c r="F132" s="194" t="n">
        <v>23.7</v>
      </c>
      <c r="G132" s="194" t="n">
        <v>37</v>
      </c>
      <c r="H132" s="194" t="n">
        <v>6.2</v>
      </c>
      <c r="I132" s="194" t="n">
        <v>9.199999999999999</v>
      </c>
      <c r="J132" s="194" t="n">
        <v>23</v>
      </c>
      <c r="K132" s="195" t="inlineStr">
        <is>
          <t>2610 NANSHAN AL INTL; 2788 CHUANGXIN IND; 3636 JINXUN RESOURCE; 6228 MERDEKAGOLD-DRS</t>
        </is>
      </c>
    </row>
    <row r="133">
      <c r="A133" s="32" t="inlineStr">
        <is>
          <t>Ruihua Investment</t>
        </is>
      </c>
      <c r="B133" s="191" t="n">
        <v>4</v>
      </c>
      <c r="C133" s="193" t="n">
        <v>50</v>
      </c>
      <c r="D133" s="194" t="n">
        <v>10.2</v>
      </c>
      <c r="E133" s="194" t="n">
        <v>-2</v>
      </c>
      <c r="F133" s="194" t="n">
        <v>-7.1</v>
      </c>
      <c r="G133" s="194" t="n">
        <v>-15.5</v>
      </c>
      <c r="H133" s="194" t="n">
        <v>-11.4</v>
      </c>
      <c r="I133" s="194" t="n">
        <v>-18.7</v>
      </c>
      <c r="J133" s="194" t="n">
        <v>-25.3</v>
      </c>
      <c r="K133" s="195" t="inlineStr">
        <is>
          <t>0638 FIBOCOM; 2476 VGT; 6106 SEER TECH; 9615 MECH-MIND ROBOT</t>
        </is>
      </c>
    </row>
    <row r="134">
      <c r="A134" s="32" t="inlineStr">
        <is>
          <t>Seven Grand Managers, LLC</t>
        </is>
      </c>
      <c r="B134" s="191" t="n">
        <v>4</v>
      </c>
      <c r="C134" s="193" t="n">
        <v>75</v>
      </c>
      <c r="D134" s="194" t="n">
        <v>9.199999999999999</v>
      </c>
      <c r="E134" s="194" t="n">
        <v>2.9</v>
      </c>
      <c r="F134" s="194" t="n">
        <v>-1.4</v>
      </c>
      <c r="G134" s="194" t="n">
        <v>-8.699999999999999</v>
      </c>
      <c r="H134" s="194" t="n">
        <v>-5.2</v>
      </c>
      <c r="I134" s="194" t="n">
        <v>-11.3</v>
      </c>
      <c r="J134" s="194" t="n">
        <v>-18.3</v>
      </c>
      <c r="K134" s="195" t="inlineStr">
        <is>
          <t>3388 CREALITY; 1688 LINGYI ITECH; 7687 EACON; 3228 KINWONG</t>
        </is>
      </c>
    </row>
    <row r="135">
      <c r="A135" s="32" t="inlineStr">
        <is>
          <t>Jinyi Capital Multi-Strategy Fund SPC Ltd</t>
        </is>
      </c>
      <c r="B135" s="191" t="n">
        <v>4</v>
      </c>
      <c r="C135" s="193" t="n">
        <v>75</v>
      </c>
      <c r="D135" s="194" t="n">
        <v>7</v>
      </c>
      <c r="E135" s="194" t="n">
        <v>33.7</v>
      </c>
      <c r="F135" s="194" t="n">
        <v>23.9</v>
      </c>
      <c r="G135" s="194" t="n">
        <v>152.5</v>
      </c>
      <c r="H135" s="194" t="n">
        <v>23.9</v>
      </c>
      <c r="I135" s="194" t="n">
        <v>14.1</v>
      </c>
      <c r="J135" s="194" t="n">
        <v>127</v>
      </c>
      <c r="K135" s="195" t="inlineStr">
        <is>
          <t>2513 KNOWLEDGE ATLAS; 0600 AXERA; 3268 MEIG; 3296 HUAQIN</t>
        </is>
      </c>
    </row>
    <row r="136">
      <c r="A136" s="32" t="inlineStr">
        <is>
          <t>JPMAMAPL</t>
        </is>
      </c>
      <c r="B136" s="191" t="n">
        <v>4</v>
      </c>
      <c r="C136" s="193" t="n">
        <v>75</v>
      </c>
      <c r="D136" s="194" t="n">
        <v>6.5</v>
      </c>
      <c r="E136" s="194" t="n">
        <v>8.699999999999999</v>
      </c>
      <c r="F136" s="194" t="n">
        <v>14.8</v>
      </c>
      <c r="G136" s="194" t="n">
        <v>21.2</v>
      </c>
      <c r="H136" s="194" t="n">
        <v>2.5</v>
      </c>
      <c r="I136" s="194" t="n">
        <v>7.6</v>
      </c>
      <c r="J136" s="194" t="n">
        <v>7</v>
      </c>
      <c r="K136" s="195" t="inlineStr">
        <is>
          <t>3296 HUAQIN; 7687 EACON; 6951 CCTC; 3308 ZJ INNOLIGHT</t>
        </is>
      </c>
    </row>
    <row r="137">
      <c r="A137" s="32" t="inlineStr">
        <is>
          <t>Taibai Investments Pte. Ltd</t>
        </is>
      </c>
      <c r="B137" s="191" t="n">
        <v>4</v>
      </c>
      <c r="C137" s="193" t="n">
        <v>50</v>
      </c>
      <c r="D137" s="194" t="n">
        <v>5.7</v>
      </c>
      <c r="E137" s="194" t="n">
        <v>20.4</v>
      </c>
      <c r="F137" s="194" t="n">
        <v>41.2</v>
      </c>
      <c r="G137" s="194" t="n">
        <v>62.8</v>
      </c>
      <c r="H137" s="194" t="n">
        <v>12.6</v>
      </c>
      <c r="I137" s="194" t="n">
        <v>28.3</v>
      </c>
      <c r="J137" s="194" t="n">
        <v>38.6</v>
      </c>
      <c r="K137" s="195" t="inlineStr">
        <is>
          <t>3696 INSILICO; 9980 EASTROC; 2475 LUXSHARE ICT; 3308 ZJ INNOLIGHT</t>
        </is>
      </c>
    </row>
    <row r="138">
      <c r="A138" s="32" t="inlineStr">
        <is>
          <t>Alphahill Capital Limited</t>
        </is>
      </c>
      <c r="B138" s="191" t="n">
        <v>4</v>
      </c>
      <c r="C138" s="193" t="n">
        <v>50</v>
      </c>
      <c r="D138" s="194" t="n">
        <v>-0.4</v>
      </c>
      <c r="E138" s="194" t="n">
        <v>15.3</v>
      </c>
      <c r="F138" s="194" t="n">
        <v>-13.1</v>
      </c>
      <c r="G138" s="194" t="n">
        <v>27.7</v>
      </c>
      <c r="H138" s="194" t="n">
        <v>17.1</v>
      </c>
      <c r="I138" s="194" t="n">
        <v>-12.7</v>
      </c>
      <c r="J138" s="194" t="n">
        <v>24.1</v>
      </c>
      <c r="K138" s="195" t="inlineStr">
        <is>
          <t>9903 ILUVATAR COREX; 0600 AXERA; 3952 LAIFUAL; 9856 LIGENT</t>
        </is>
      </c>
    </row>
    <row r="139">
      <c r="A139" s="32" t="inlineStr">
        <is>
          <t>Lens Technology (HK) Co., Limited</t>
        </is>
      </c>
      <c r="B139" s="191" t="n">
        <v>4</v>
      </c>
      <c r="C139" s="193" t="n">
        <v>25</v>
      </c>
      <c r="D139" s="194" t="n">
        <v>-0.5</v>
      </c>
      <c r="E139" s="194" t="n">
        <v>-15.2</v>
      </c>
      <c r="F139" s="194" t="n">
        <v>-15.5</v>
      </c>
      <c r="G139" s="194" t="n">
        <v>-9.199999999999999</v>
      </c>
      <c r="H139" s="194" t="n">
        <v>-14.8</v>
      </c>
      <c r="I139" s="194" t="n">
        <v>-15.3</v>
      </c>
      <c r="J139" s="194" t="n">
        <v>-9</v>
      </c>
      <c r="K139" s="195" t="inlineStr">
        <is>
          <t>2529 HOLLWIN URBAN; 2579 CNGR; 1187 COFOE MEDICAL; 9976 LONGSYS</t>
        </is>
      </c>
    </row>
    <row r="140">
      <c r="A140" s="32" t="inlineStr">
        <is>
          <t>NGS Super Fund</t>
        </is>
      </c>
      <c r="B140" s="191" t="n">
        <v>4</v>
      </c>
      <c r="C140" s="193" t="n">
        <v>0</v>
      </c>
      <c r="D140" s="194" t="n">
        <v>-1</v>
      </c>
      <c r="E140" s="194" t="n">
        <v>1.8</v>
      </c>
      <c r="F140" s="194" t="n">
        <v>-6.5</v>
      </c>
      <c r="G140" s="194" t="n">
        <v>-28</v>
      </c>
      <c r="H140" s="194" t="n">
        <v>2.7</v>
      </c>
      <c r="I140" s="194" t="n">
        <v>-5.6</v>
      </c>
      <c r="J140" s="194" t="n">
        <v>-28</v>
      </c>
      <c r="K140" s="195" t="inlineStr">
        <is>
          <t>0600 AXERA; 2249 NEXCHIP; 3308 ZJ INNOLIGHT; 9615 MECH-MIND ROBOT</t>
        </is>
      </c>
    </row>
    <row r="141">
      <c r="A141" s="32" t="inlineStr">
        <is>
          <t>Factorial Master Fund</t>
        </is>
      </c>
      <c r="B141" s="191" t="n">
        <v>4</v>
      </c>
      <c r="C141" s="193" t="n">
        <v>50</v>
      </c>
      <c r="D141" s="194" t="n">
        <v>-2.7</v>
      </c>
      <c r="E141" s="194" t="n">
        <v>11.7</v>
      </c>
      <c r="F141" s="194" t="n">
        <v>-7.2</v>
      </c>
      <c r="G141" s="194" t="n">
        <v>53</v>
      </c>
      <c r="H141" s="194" t="n">
        <v>15.9</v>
      </c>
      <c r="I141" s="194" t="n">
        <v>-5.7</v>
      </c>
      <c r="J141" s="194" t="n">
        <v>53.7</v>
      </c>
      <c r="K141" s="195" t="inlineStr">
        <is>
          <t>3317 XUNCE; 0600 AXERA; 9981 WOER; 3952 LAIFUAL</t>
        </is>
      </c>
    </row>
    <row r="142">
      <c r="A142" s="32" t="inlineStr">
        <is>
          <t>Wealth Strategy Holding Limited</t>
        </is>
      </c>
      <c r="B142" s="191" t="n">
        <v>4</v>
      </c>
      <c r="C142" s="193" t="n">
        <v>50</v>
      </c>
      <c r="D142" s="194" t="n">
        <v>-5.1</v>
      </c>
      <c r="E142" s="194" t="n">
        <v>-7.1</v>
      </c>
      <c r="F142" s="194" t="n">
        <v>18.4</v>
      </c>
      <c r="G142" s="194" t="n">
        <v>64.3</v>
      </c>
      <c r="H142" s="194" t="n">
        <v>-7.1</v>
      </c>
      <c r="I142" s="194" t="n">
        <v>20.5</v>
      </c>
      <c r="J142" s="194" t="n">
        <v>68.3</v>
      </c>
      <c r="K142" s="195" t="inlineStr">
        <is>
          <t>2563 BIOSTAR PHARM-B; 2592 CLOUDBREAK-B; 3317 XUNCE; 6915 JIANGXI BIO</t>
        </is>
      </c>
    </row>
    <row r="143">
      <c r="A143" s="32" t="inlineStr">
        <is>
          <t>Qingdao Haifa Holding Development Co., Ltd</t>
        </is>
      </c>
      <c r="B143" s="191" t="n">
        <v>4</v>
      </c>
      <c r="C143" s="193" t="n">
        <v>25</v>
      </c>
      <c r="D143" s="194" t="n">
        <v>-5.4</v>
      </c>
      <c r="E143" s="194" t="n">
        <v>-5</v>
      </c>
      <c r="F143" s="194" t="n">
        <v>-4.9</v>
      </c>
      <c r="G143" s="194" t="n">
        <v>-22.6</v>
      </c>
      <c r="H143" s="194" t="n">
        <v>-0.7</v>
      </c>
      <c r="I143" s="194" t="n">
        <v>1.5</v>
      </c>
      <c r="J143" s="194" t="n">
        <v>-16.5</v>
      </c>
      <c r="K143" s="195" t="inlineStr">
        <is>
          <t>9638 FERRETTI; 1973 TIAN TU CAPITAL; 9611 LONGCHEER; 0600 AXERA</t>
        </is>
      </c>
    </row>
    <row r="144">
      <c r="A144" s="32" t="inlineStr">
        <is>
          <t>Ningbo Yinzhou District Financial Holding Co., Ltd</t>
        </is>
      </c>
      <c r="B144" s="191" t="n">
        <v>4</v>
      </c>
      <c r="C144" s="193" t="n">
        <v>25</v>
      </c>
      <c r="D144" s="194" t="n">
        <v>-7.5</v>
      </c>
      <c r="E144" s="194" t="n">
        <v>-13.3</v>
      </c>
      <c r="F144" s="194" t="n">
        <v>-17.4</v>
      </c>
      <c r="G144" s="194" t="n">
        <v>-25.5</v>
      </c>
      <c r="H144" s="194" t="n">
        <v>-7.7</v>
      </c>
      <c r="I144" s="194" t="n">
        <v>-14.4</v>
      </c>
      <c r="J144" s="194" t="n">
        <v>-23</v>
      </c>
      <c r="K144" s="195" t="inlineStr">
        <is>
          <t>2245 LYGEND RESOURCE; 2105 LAEKNA-B; 9686 NEUSOFT XIKANG; 0699 JOYSON ELEC</t>
        </is>
      </c>
    </row>
    <row r="145">
      <c r="A145" s="32" t="inlineStr">
        <is>
          <t>Aurora SF (in connection with the Arrangement)</t>
        </is>
      </c>
      <c r="B145" s="191" t="n">
        <v>4</v>
      </c>
      <c r="C145" s="193" t="n">
        <v>50</v>
      </c>
      <c r="D145" s="194" t="n">
        <v>-8.6</v>
      </c>
      <c r="E145" s="194" t="n">
        <v>-9.6</v>
      </c>
      <c r="F145" s="194" t="n">
        <v>-1.4</v>
      </c>
      <c r="G145" s="194" t="n">
        <v>21.2</v>
      </c>
      <c r="H145" s="194" t="n">
        <v>-1.5</v>
      </c>
      <c r="I145" s="194" t="n">
        <v>5.7</v>
      </c>
      <c r="J145" s="194" t="n">
        <v>7</v>
      </c>
      <c r="K145" s="195" t="inlineStr">
        <is>
          <t>3296 HUAQIN; 2667 TONGRENTANGCARE; 7687 EACON; 6745 BEFAR GROUP</t>
        </is>
      </c>
    </row>
    <row r="146">
      <c r="A146" s="32" t="inlineStr">
        <is>
          <t>Anji Guorong Construction Co., Ltd</t>
        </is>
      </c>
      <c r="B146" s="191" t="n">
        <v>4</v>
      </c>
      <c r="C146" s="193" t="n">
        <v>25</v>
      </c>
      <c r="D146" s="194" t="n">
        <v>-10.6</v>
      </c>
      <c r="E146" s="194" t="n">
        <v>-15.8</v>
      </c>
      <c r="F146" s="194" t="n">
        <v>-2</v>
      </c>
      <c r="G146" s="194" t="n">
        <v>8.199999999999999</v>
      </c>
      <c r="H146" s="194" t="n">
        <v>-6.8</v>
      </c>
      <c r="I146" s="194" t="n">
        <v>7.3</v>
      </c>
      <c r="J146" s="194" t="n">
        <v>18.8</v>
      </c>
      <c r="K146" s="195" t="inlineStr">
        <is>
          <t>6610 FLOWING CLOUD; 2440 HOWKINGTECH; 2415 MEDSCI; 6831 GREEN TEA GROUP</t>
        </is>
      </c>
    </row>
    <row r="147">
      <c r="A147" s="32" t="inlineStr">
        <is>
          <t>Baillie Gifford</t>
        </is>
      </c>
      <c r="B147" s="191" t="n">
        <v>3</v>
      </c>
      <c r="C147" s="193" t="n">
        <v>67</v>
      </c>
      <c r="D147" s="194" t="n">
        <v>150.1</v>
      </c>
      <c r="E147" s="194" t="n">
        <v>153.8</v>
      </c>
      <c r="F147" s="194" t="n">
        <v>98.90000000000001</v>
      </c>
      <c r="G147" s="194" t="n">
        <v>64</v>
      </c>
      <c r="H147" s="194" t="n">
        <v>-0.7</v>
      </c>
      <c r="I147" s="194" t="n">
        <v>-14</v>
      </c>
      <c r="J147" s="194" t="n">
        <v>-27.3</v>
      </c>
      <c r="K147" s="195" t="inlineStr">
        <is>
          <t>2259 ZIJIN GOLD INTL; 1879 XIZHI TECH-P; 9615 MECH-MIND ROBOT</t>
        </is>
      </c>
    </row>
    <row r="148">
      <c r="A148" s="32" t="inlineStr">
        <is>
          <t>The Biotech Growth Trust PLC</t>
        </is>
      </c>
      <c r="B148" s="191" t="n">
        <v>3</v>
      </c>
      <c r="C148" s="193" t="n">
        <v>100</v>
      </c>
      <c r="D148" s="194" t="n">
        <v>78.5</v>
      </c>
      <c r="E148" s="194" t="n">
        <v>79</v>
      </c>
      <c r="F148" s="194" t="n">
        <v>41.1</v>
      </c>
      <c r="G148" s="194" t="n">
        <v>42.7</v>
      </c>
      <c r="H148" s="194" t="n">
        <v>1.4</v>
      </c>
      <c r="I148" s="194" t="n">
        <v>-21.2</v>
      </c>
      <c r="J148" s="194" t="n">
        <v>-17.9</v>
      </c>
      <c r="K148" s="195" t="inlineStr">
        <is>
          <t>9887 LEADS BIOLABS-B; 2595 GENFLEET-B; 1779 LONGBIO-B</t>
        </is>
      </c>
    </row>
    <row r="149">
      <c r="A149" s="32" t="inlineStr">
        <is>
          <t>Charoen Pokphand Robot Limited</t>
        </is>
      </c>
      <c r="B149" s="191" t="n">
        <v>3</v>
      </c>
      <c r="C149" s="193" t="n">
        <v>100</v>
      </c>
      <c r="D149" s="194" t="n">
        <v>61</v>
      </c>
      <c r="E149" s="194" t="n">
        <v>49.3</v>
      </c>
      <c r="F149" s="194" t="n">
        <v>50.5</v>
      </c>
      <c r="G149" s="194" t="n">
        <v>20.4</v>
      </c>
      <c r="H149" s="194" t="n">
        <v>-6.4</v>
      </c>
      <c r="I149" s="194" t="n">
        <v>-2.9</v>
      </c>
      <c r="J149" s="194" t="n">
        <v>-20.5</v>
      </c>
      <c r="K149" s="195" t="inlineStr">
        <is>
          <t>6082 BIREN TECH; 2714 MUYUAN; 6656 SIGENERGY</t>
        </is>
      </c>
    </row>
    <row r="150">
      <c r="A150" s="32" t="inlineStr">
        <is>
          <t>Alisoft China Holding Limited</t>
        </is>
      </c>
      <c r="B150" s="191" t="n">
        <v>3</v>
      </c>
      <c r="C150" s="193" t="n">
        <v>100</v>
      </c>
      <c r="D150" s="194" t="n">
        <v>58.5</v>
      </c>
      <c r="E150" s="194" t="n">
        <v>94.09999999999999</v>
      </c>
      <c r="F150" s="194" t="n">
        <v>90.5</v>
      </c>
      <c r="G150" s="194" t="n">
        <v>256.1</v>
      </c>
      <c r="H150" s="194" t="n">
        <v>21.3</v>
      </c>
      <c r="I150" s="194" t="n">
        <v>14.1</v>
      </c>
      <c r="J150" s="194" t="n">
        <v>106.7</v>
      </c>
      <c r="K150" s="195" t="inlineStr">
        <is>
          <t>9660 HORIZONROBOT-W; 0100 MINIMAX-WP; 6809 MONTAGE TECH</t>
        </is>
      </c>
    </row>
    <row r="151">
      <c r="A151" s="32" t="inlineStr">
        <is>
          <t>IDG Breyer Capital Fund L.P</t>
        </is>
      </c>
      <c r="B151" s="191" t="n">
        <v>3</v>
      </c>
      <c r="C151" s="193" t="n">
        <v>67</v>
      </c>
      <c r="D151" s="194" t="n">
        <v>58.5</v>
      </c>
      <c r="E151" s="194" t="n">
        <v>93.40000000000001</v>
      </c>
      <c r="F151" s="194" t="n">
        <v>99.90000000000001</v>
      </c>
      <c r="G151" s="194" t="n">
        <v>273.2</v>
      </c>
      <c r="H151" s="194" t="n">
        <v>21.3</v>
      </c>
      <c r="I151" s="194" t="n">
        <v>21.8</v>
      </c>
      <c r="J151" s="194" t="n">
        <v>90.09999999999999</v>
      </c>
      <c r="K151" s="195" t="inlineStr">
        <is>
          <t>2259 ZIJIN GOLD INTL; 0100 MINIMAX-WP; 3308 ZJ INNOLIGHT</t>
        </is>
      </c>
    </row>
    <row r="152">
      <c r="A152" s="32" t="inlineStr">
        <is>
          <t>JPMorgan Asset Management (Asia Pacific) Limited</t>
        </is>
      </c>
      <c r="B152" s="191" t="n">
        <v>3</v>
      </c>
      <c r="C152" s="193" t="n">
        <v>100</v>
      </c>
      <c r="D152" s="194" t="n">
        <v>53.7</v>
      </c>
      <c r="E152" s="194" t="n">
        <v>46.5</v>
      </c>
      <c r="F152" s="194" t="n">
        <v>17.6</v>
      </c>
      <c r="G152" s="194" t="n">
        <v>23</v>
      </c>
      <c r="H152" s="194" t="n">
        <v>-15.1</v>
      </c>
      <c r="I152" s="194" t="n">
        <v>-32.4</v>
      </c>
      <c r="J152" s="194" t="n">
        <v>-29.4</v>
      </c>
      <c r="K152" s="195" t="inlineStr">
        <is>
          <t>3661 SG MICRO; 9630 CFMEE; 3228 KINWONG</t>
        </is>
      </c>
    </row>
    <row r="153">
      <c r="A153" s="32" t="inlineStr">
        <is>
          <t>Sparky International Company Limited</t>
        </is>
      </c>
      <c r="B153" s="191" t="n">
        <v>3</v>
      </c>
      <c r="C153" s="193" t="n">
        <v>67</v>
      </c>
      <c r="D153" s="194" t="n">
        <v>53</v>
      </c>
      <c r="E153" s="194" t="n">
        <v>69.59999999999999</v>
      </c>
      <c r="F153" s="194" t="n">
        <v>97.7</v>
      </c>
      <c r="G153" s="194" t="n">
        <v>141.3</v>
      </c>
      <c r="H153" s="194" t="n">
        <v>9.699999999999999</v>
      </c>
      <c r="I153" s="194" t="n">
        <v>27.7</v>
      </c>
      <c r="J153" s="194" t="n">
        <v>64.59999999999999</v>
      </c>
      <c r="K153" s="195" t="inlineStr">
        <is>
          <t>6693 CHIFENG GOLD; 2259 ZIJIN GOLD INTL; 2546 ZHIHUI MINING</t>
        </is>
      </c>
    </row>
    <row r="154">
      <c r="A154" s="32" t="inlineStr">
        <is>
          <t>TradArt Investment SP</t>
        </is>
      </c>
      <c r="B154" s="191" t="n">
        <v>3</v>
      </c>
      <c r="C154" s="193" t="n">
        <v>100</v>
      </c>
      <c r="D154" s="194" t="n">
        <v>48.1</v>
      </c>
      <c r="E154" s="194" t="n">
        <v>53.3</v>
      </c>
      <c r="F154" s="194" t="n">
        <v>114.9</v>
      </c>
      <c r="G154" s="194" t="n">
        <v>147.8</v>
      </c>
      <c r="H154" s="194" t="n">
        <v>4.9</v>
      </c>
      <c r="I154" s="194" t="n">
        <v>45.8</v>
      </c>
      <c r="J154" s="194" t="n">
        <v>66.8</v>
      </c>
      <c r="K154" s="195" t="inlineStr">
        <is>
          <t>1244 3D MEDICINES-B; 6698 STAR CM; 2306 YH ENT</t>
        </is>
      </c>
    </row>
    <row r="155">
      <c r="A155" s="32" t="inlineStr">
        <is>
          <t>Springs Capital (Hong Kong) Limited</t>
        </is>
      </c>
      <c r="B155" s="191" t="n">
        <v>3</v>
      </c>
      <c r="C155" s="193" t="n">
        <v>100</v>
      </c>
      <c r="D155" s="194" t="n">
        <v>44.4</v>
      </c>
      <c r="E155" s="194" t="n">
        <v>36.6</v>
      </c>
      <c r="F155" s="194" t="n">
        <v>23.7</v>
      </c>
      <c r="G155" s="194" t="n">
        <v>28.8</v>
      </c>
      <c r="H155" s="194" t="n">
        <v>-5.9</v>
      </c>
      <c r="I155" s="194" t="n">
        <v>-15.7</v>
      </c>
      <c r="J155" s="194" t="n">
        <v>-12.9</v>
      </c>
      <c r="K155" s="195" t="inlineStr">
        <is>
          <t>6938 RIBOLIFE-B; 1768 BUSYMING; 6067 SENIOR MATERIAL</t>
        </is>
      </c>
    </row>
    <row r="156">
      <c r="A156" s="32" t="inlineStr">
        <is>
          <t>Emerging Markets Healthcare Partners LLC</t>
        </is>
      </c>
      <c r="B156" s="191" t="n">
        <v>3</v>
      </c>
      <c r="C156" s="193" t="n">
        <v>67</v>
      </c>
      <c r="D156" s="194" t="n">
        <v>40.5</v>
      </c>
      <c r="E156" s="194" t="n">
        <v>59.5</v>
      </c>
      <c r="F156" s="194" t="n">
        <v>81.40000000000001</v>
      </c>
      <c r="G156" s="194" t="n">
        <v>112.2</v>
      </c>
      <c r="H156" s="194" t="n">
        <v>11.6</v>
      </c>
      <c r="I156" s="194" t="n">
        <v>30.5</v>
      </c>
      <c r="J156" s="194" t="n">
        <v>36.3</v>
      </c>
      <c r="K156" s="195" t="inlineStr">
        <is>
          <t>2216 BRONCUS-B; 9606 DUALITYBIO-B; 3696 INSILICO</t>
        </is>
      </c>
    </row>
    <row r="157">
      <c r="A157" s="32" t="inlineStr">
        <is>
          <t>Huangshan City Investment Private Equity Fund Management Co., Ltd</t>
        </is>
      </c>
      <c r="B157" s="191" t="n">
        <v>3</v>
      </c>
      <c r="C157" s="193" t="n">
        <v>100</v>
      </c>
      <c r="D157" s="194" t="n">
        <v>40.1</v>
      </c>
      <c r="E157" s="194" t="n">
        <v>45.9</v>
      </c>
      <c r="F157" s="194" t="n">
        <v>33.2</v>
      </c>
      <c r="G157" s="194" t="n">
        <v>28.5</v>
      </c>
      <c r="H157" s="194" t="n">
        <v>2.2</v>
      </c>
      <c r="I157" s="194" t="n">
        <v>-7.2</v>
      </c>
      <c r="J157" s="194" t="n">
        <v>-10.1</v>
      </c>
      <c r="K157" s="195" t="inlineStr">
        <is>
          <t>1334 RUICHANG INTL; 9973 CHERY AUTO; 2720 RIDGE OUTDOOR</t>
        </is>
      </c>
    </row>
    <row r="158">
      <c r="A158" s="32" t="inlineStr">
        <is>
          <t>Huaqin Telecom Hong Kong Limited</t>
        </is>
      </c>
      <c r="B158" s="191" t="n">
        <v>3</v>
      </c>
      <c r="C158" s="193" t="n">
        <v>100</v>
      </c>
      <c r="D158" s="194" t="n">
        <v>39.2</v>
      </c>
      <c r="E158" s="194" t="n">
        <v>65.8</v>
      </c>
      <c r="F158" s="194" t="n">
        <v>48.9</v>
      </c>
      <c r="G158" s="194" t="n">
        <v>149.5</v>
      </c>
      <c r="H158" s="194" t="n">
        <v>17.9</v>
      </c>
      <c r="I158" s="194" t="n">
        <v>6.4</v>
      </c>
      <c r="J158" s="194" t="n">
        <v>68.7</v>
      </c>
      <c r="K158" s="195" t="inlineStr">
        <is>
          <t>0501 OMNIVISION; 3986 GIGADEVICE; 6809 MONTAGE TECH</t>
        </is>
      </c>
    </row>
    <row r="159">
      <c r="A159" s="32" t="inlineStr">
        <is>
          <t>Sungrow Power (Hong Kong) Co., Limited</t>
        </is>
      </c>
      <c r="B159" s="191" t="n">
        <v>3</v>
      </c>
      <c r="C159" s="193" t="n">
        <v>67</v>
      </c>
      <c r="D159" s="194" t="n">
        <v>37.8</v>
      </c>
      <c r="E159" s="194" t="n">
        <v>16.2</v>
      </c>
      <c r="F159" s="194" t="n">
        <v>-3.3</v>
      </c>
      <c r="G159" s="194" t="n">
        <v>23</v>
      </c>
      <c r="H159" s="194" t="n">
        <v>-13.7</v>
      </c>
      <c r="I159" s="194" t="n">
        <v>-25.7</v>
      </c>
      <c r="J159" s="194" t="n">
        <v>-29.4</v>
      </c>
      <c r="K159" s="195" t="inlineStr">
        <is>
          <t>3661 SG MICRO; 9630 CFMEE; 0537 RIGOL</t>
        </is>
      </c>
    </row>
    <row r="160">
      <c r="A160" s="32" t="inlineStr">
        <is>
          <t>First Seafront Asset Management Limited</t>
        </is>
      </c>
      <c r="B160" s="191" t="n">
        <v>3</v>
      </c>
      <c r="C160" s="193" t="n">
        <v>100</v>
      </c>
      <c r="D160" s="194" t="n">
        <v>33.4</v>
      </c>
      <c r="E160" s="194" t="n">
        <v>18.2</v>
      </c>
      <c r="F160" s="194" t="n">
        <v>17.1</v>
      </c>
      <c r="G160" s="194" t="n">
        <v>30.4</v>
      </c>
      <c r="H160" s="194" t="n">
        <v>-7.4</v>
      </c>
      <c r="I160" s="194" t="n">
        <v>-12.8</v>
      </c>
      <c r="J160" s="194" t="n">
        <v>-3.8</v>
      </c>
      <c r="K160" s="195" t="inlineStr">
        <is>
          <t>2768 GON TECHNOLOGY; 1956 WENGE AI; 9856 LIGENT</t>
        </is>
      </c>
    </row>
    <row r="161">
      <c r="A161" s="32" t="inlineStr">
        <is>
          <t>HQ TELECOM SINGAPORE PTE. LTD</t>
        </is>
      </c>
      <c r="B161" s="191" t="n">
        <v>3</v>
      </c>
      <c r="C161" s="193" t="n">
        <v>67</v>
      </c>
      <c r="D161" s="194" t="n">
        <v>32.4</v>
      </c>
      <c r="E161" s="194" t="n">
        <v>26.9</v>
      </c>
      <c r="F161" s="194" t="n">
        <v>23.8</v>
      </c>
      <c r="G161" s="194" t="n">
        <v>8.699999999999999</v>
      </c>
      <c r="H161" s="194" t="n">
        <v>-3.7</v>
      </c>
      <c r="I161" s="194" t="n">
        <v>-5.8</v>
      </c>
      <c r="J161" s="194" t="n">
        <v>-26.8</v>
      </c>
      <c r="K161" s="195" t="inlineStr">
        <is>
          <t>2476 VGT; 3661 SG MICRO; 3223 INGENIC</t>
        </is>
      </c>
    </row>
    <row r="162">
      <c r="A162" s="32" t="inlineStr">
        <is>
          <t>Infore Holding</t>
        </is>
      </c>
      <c r="B162" s="191" t="n">
        <v>3</v>
      </c>
      <c r="C162" s="193" t="n">
        <v>100</v>
      </c>
      <c r="D162" s="194" t="n">
        <v>31</v>
      </c>
      <c r="E162" s="194" t="n">
        <v>20.8</v>
      </c>
      <c r="F162" s="194" t="n">
        <v>24.9</v>
      </c>
      <c r="G162" s="194" t="n">
        <v>16.6</v>
      </c>
      <c r="H162" s="194" t="n">
        <v>-6.8</v>
      </c>
      <c r="I162" s="194" t="n">
        <v>-4.8</v>
      </c>
      <c r="J162" s="194" t="n">
        <v>-8.300000000000001</v>
      </c>
      <c r="K162" s="195" t="inlineStr">
        <is>
          <t>2589 AUNTEA JENNY; 6031 SANY HEAVY IND; 2476 VGT</t>
        </is>
      </c>
    </row>
    <row r="163">
      <c r="A163" s="32" t="inlineStr">
        <is>
          <t>CDH Global Frontier Ventures Limited</t>
        </is>
      </c>
      <c r="B163" s="191" t="n">
        <v>3</v>
      </c>
      <c r="C163" s="193" t="n">
        <v>67</v>
      </c>
      <c r="D163" s="194" t="n">
        <v>30.4</v>
      </c>
      <c r="E163" s="194" t="n">
        <v>25.1</v>
      </c>
      <c r="F163" s="194" t="n">
        <v>-5.5</v>
      </c>
      <c r="G163" s="194" t="n">
        <v>-22.4</v>
      </c>
      <c r="H163" s="194" t="n">
        <v>3.9</v>
      </c>
      <c r="I163" s="194" t="n">
        <v>-26.5</v>
      </c>
      <c r="J163" s="194" t="n">
        <v>-36.4</v>
      </c>
      <c r="K163" s="195" t="inlineStr">
        <is>
          <t>2698 SOFTCARE; 7688 TOPNC; 3952 LAIFUAL</t>
        </is>
      </c>
    </row>
    <row r="164">
      <c r="A164" s="32" t="inlineStr">
        <is>
          <t>Hao Great China Focus Fund</t>
        </is>
      </c>
      <c r="B164" s="191" t="n">
        <v>3</v>
      </c>
      <c r="C164" s="193" t="n">
        <v>67</v>
      </c>
      <c r="D164" s="194" t="n">
        <v>29.1</v>
      </c>
      <c r="E164" s="194" t="n">
        <v>31.7</v>
      </c>
      <c r="F164" s="194" t="n">
        <v>27</v>
      </c>
      <c r="G164" s="194" t="n">
        <v>30.7</v>
      </c>
      <c r="H164" s="194" t="n">
        <v>3.4</v>
      </c>
      <c r="I164" s="194" t="n">
        <v>-0.6</v>
      </c>
      <c r="J164" s="194" t="n">
        <v>-12.2</v>
      </c>
      <c r="K164" s="195" t="inlineStr">
        <is>
          <t>6082 BIREN TECH; 3355 FS.COM; 3308 ZJ INNOLIGHT</t>
        </is>
      </c>
    </row>
    <row r="165">
      <c r="A165" s="32" t="inlineStr">
        <is>
          <t>Yi Fang Da Brocade Inv. Limited</t>
        </is>
      </c>
      <c r="B165" s="191" t="n">
        <v>3</v>
      </c>
      <c r="C165" s="193" t="n">
        <v>100</v>
      </c>
      <c r="D165" s="194" t="n">
        <v>29</v>
      </c>
      <c r="E165" s="194" t="n">
        <v>29.6</v>
      </c>
      <c r="F165" s="194" t="n">
        <v>11.6</v>
      </c>
      <c r="G165" s="194" t="n">
        <v>-5.6</v>
      </c>
      <c r="H165" s="194" t="n">
        <v>0</v>
      </c>
      <c r="I165" s="194" t="n">
        <v>-13.8</v>
      </c>
      <c r="J165" s="194" t="n">
        <v>-28.3</v>
      </c>
      <c r="K165" s="195" t="inlineStr">
        <is>
          <t>2160 CARDIOFLOW-B; 2162 KEYMED BIO-B; 2279 YONGHE MEDICAL</t>
        </is>
      </c>
    </row>
    <row r="166">
      <c r="A166" s="32" t="inlineStr">
        <is>
          <t>Eastern Bell Capital VIII Investment Limited</t>
        </is>
      </c>
      <c r="B166" s="191" t="n">
        <v>3</v>
      </c>
      <c r="C166" s="193" t="n">
        <v>33</v>
      </c>
      <c r="D166" s="194" t="n">
        <v>22.5</v>
      </c>
      <c r="E166" s="194" t="n">
        <v>34.5</v>
      </c>
      <c r="F166" s="194" t="n">
        <v>37.8</v>
      </c>
      <c r="G166" s="194" t="n">
        <v>43</v>
      </c>
      <c r="H166" s="194" t="n">
        <v>6.4</v>
      </c>
      <c r="I166" s="194" t="n">
        <v>10.3</v>
      </c>
      <c r="J166" s="194" t="n">
        <v>19.3</v>
      </c>
      <c r="K166" s="195" t="inlineStr">
        <is>
          <t>2050 SANHUA; 0699 JOYSON ELEC; 3277 GPIXEL</t>
        </is>
      </c>
    </row>
    <row r="167">
      <c r="A167" s="32" t="inlineStr">
        <is>
          <t>Metazone Link (HK) Limited</t>
        </is>
      </c>
      <c r="B167" s="191" t="n">
        <v>3</v>
      </c>
      <c r="C167" s="193" t="n">
        <v>100</v>
      </c>
      <c r="D167" s="194" t="n">
        <v>20.9</v>
      </c>
      <c r="E167" s="194" t="n">
        <v>23.2</v>
      </c>
      <c r="F167" s="194" t="n">
        <v>36.1</v>
      </c>
      <c r="G167" s="194" t="n">
        <v>24.3</v>
      </c>
      <c r="H167" s="194" t="n">
        <v>2.7</v>
      </c>
      <c r="I167" s="194" t="n">
        <v>12.8</v>
      </c>
      <c r="J167" s="194" t="n">
        <v>0.9</v>
      </c>
      <c r="K167" s="195" t="inlineStr">
        <is>
          <t>0300 MIDEA GROUP; 2476 VGT; 6951 CCTC</t>
        </is>
      </c>
    </row>
    <row r="168">
      <c r="A168" s="32" t="inlineStr">
        <is>
          <t>Indus Capital Partners, LLC</t>
        </is>
      </c>
      <c r="B168" s="191" t="n">
        <v>3</v>
      </c>
      <c r="C168" s="193" t="n">
        <v>67</v>
      </c>
      <c r="D168" s="194" t="n">
        <v>20.7</v>
      </c>
      <c r="E168" s="194" t="n">
        <v>26.6</v>
      </c>
      <c r="F168" s="194" t="n">
        <v>10</v>
      </c>
      <c r="G168" s="194" t="n">
        <v>27.5</v>
      </c>
      <c r="H168" s="194" t="n">
        <v>5.6</v>
      </c>
      <c r="I168" s="194" t="n">
        <v>-7.3</v>
      </c>
      <c r="J168" s="194" t="n">
        <v>-17.3</v>
      </c>
      <c r="K168" s="195" t="inlineStr">
        <is>
          <t>2160 CARDIOFLOW-B; 7687 EACON; 3308 ZJ INNOLIGHT</t>
        </is>
      </c>
    </row>
    <row r="169">
      <c r="A169" s="32" t="inlineStr">
        <is>
          <t>Dragon Merit Holdings Limited</t>
        </is>
      </c>
      <c r="B169" s="191" t="n">
        <v>3</v>
      </c>
      <c r="C169" s="193" t="n">
        <v>100</v>
      </c>
      <c r="D169" s="194" t="n">
        <v>18.9</v>
      </c>
      <c r="E169" s="194" t="n">
        <v>19.2</v>
      </c>
      <c r="F169" s="194" t="n">
        <v>22.3</v>
      </c>
      <c r="G169" s="194" t="n">
        <v>7</v>
      </c>
      <c r="H169" s="194" t="n">
        <v>0.3</v>
      </c>
      <c r="I169" s="194" t="n">
        <v>3.7</v>
      </c>
      <c r="J169" s="194" t="n">
        <v>-9.4</v>
      </c>
      <c r="K169" s="195" t="inlineStr">
        <is>
          <t>2162 KEYMED BIO-B; 2285 CHERVON; 3880 MEDTIDE</t>
        </is>
      </c>
    </row>
    <row r="170">
      <c r="A170" s="32" t="inlineStr">
        <is>
          <t>Huizhou Guohuilian Equity Investment Fund Partnership Enterprise (Limited Partnership)</t>
        </is>
      </c>
      <c r="B170" s="191" t="n">
        <v>3</v>
      </c>
      <c r="C170" s="193" t="n">
        <v>100</v>
      </c>
      <c r="D170" s="194" t="n">
        <v>18.4</v>
      </c>
      <c r="E170" s="194" t="n">
        <v>34</v>
      </c>
      <c r="F170" s="194" t="n">
        <v>38.3</v>
      </c>
      <c r="G170" s="194" t="n">
        <v>70</v>
      </c>
      <c r="H170" s="194" t="n">
        <v>16</v>
      </c>
      <c r="I170" s="194" t="n">
        <v>18</v>
      </c>
      <c r="J170" s="194" t="n">
        <v>54.9</v>
      </c>
      <c r="K170" s="195" t="inlineStr">
        <is>
          <t>2531 CARLINK TECH; 9981 WOER; 2476 VGT</t>
        </is>
      </c>
    </row>
    <row r="171">
      <c r="A171" s="32" t="inlineStr">
        <is>
          <t>Enreal and Forreal Funds</t>
        </is>
      </c>
      <c r="B171" s="191" t="n">
        <v>3</v>
      </c>
      <c r="C171" s="193" t="n">
        <v>100</v>
      </c>
      <c r="D171" s="194" t="n">
        <v>18.3</v>
      </c>
      <c r="E171" s="194" t="n">
        <v>25.3</v>
      </c>
      <c r="F171" s="194" t="n">
        <v>17.7</v>
      </c>
      <c r="G171" s="194" t="n">
        <v>3.5</v>
      </c>
      <c r="H171" s="194" t="n">
        <v>6.1</v>
      </c>
      <c r="I171" s="194" t="n">
        <v>-0.2</v>
      </c>
      <c r="J171" s="194" t="n">
        <v>-11.7</v>
      </c>
      <c r="K171" s="195" t="inlineStr">
        <is>
          <t>2279 YONGHE MEDICAL; 0300 MIDEA GROUP; 6603 IFBH</t>
        </is>
      </c>
    </row>
    <row r="172">
      <c r="A172" s="32" t="inlineStr">
        <is>
          <t>Polymer Asia Fund LP</t>
        </is>
      </c>
      <c r="B172" s="191" t="n">
        <v>3</v>
      </c>
      <c r="C172" s="193" t="n">
        <v>67</v>
      </c>
      <c r="D172" s="194" t="n">
        <v>17.5</v>
      </c>
      <c r="E172" s="194" t="n">
        <v>21.8</v>
      </c>
      <c r="F172" s="194" t="n">
        <v>39.1</v>
      </c>
      <c r="G172" s="194" t="n">
        <v>70.5</v>
      </c>
      <c r="H172" s="194" t="n">
        <v>2.7</v>
      </c>
      <c r="I172" s="194" t="n">
        <v>16.8</v>
      </c>
      <c r="J172" s="194" t="n">
        <v>32.9</v>
      </c>
      <c r="K172" s="195" t="inlineStr">
        <is>
          <t>2788 CHUANGXIN IND; 3388 CREALITY; 2475 LUXSHARE ICT</t>
        </is>
      </c>
    </row>
    <row r="173">
      <c r="A173" s="32" t="inlineStr">
        <is>
          <t>AIHC Master Fund</t>
        </is>
      </c>
      <c r="B173" s="191" t="n">
        <v>3</v>
      </c>
      <c r="C173" s="193" t="n">
        <v>67</v>
      </c>
      <c r="D173" s="194" t="n">
        <v>14.4</v>
      </c>
      <c r="E173" s="194" t="n">
        <v>5.4</v>
      </c>
      <c r="F173" s="194" t="n">
        <v>25.2</v>
      </c>
      <c r="G173" s="194" t="n">
        <v>-3.9</v>
      </c>
      <c r="H173" s="194" t="n">
        <v>-7.9</v>
      </c>
      <c r="I173" s="194" t="n">
        <v>13</v>
      </c>
      <c r="J173" s="194" t="n">
        <v>-14.4</v>
      </c>
      <c r="K173" s="195" t="inlineStr">
        <is>
          <t>2190 ZYLOXTB-B; 2137 BRII - B; 2256 ABBISKO-B</t>
        </is>
      </c>
    </row>
    <row r="174">
      <c r="A174" s="32" t="inlineStr">
        <is>
          <t>LBC HK Opportunity Fund Limited</t>
        </is>
      </c>
      <c r="B174" s="191" t="n">
        <v>3</v>
      </c>
      <c r="C174" s="193" t="n">
        <v>33</v>
      </c>
      <c r="D174" s="194" t="n">
        <v>11.7</v>
      </c>
      <c r="E174" s="194" t="n">
        <v>17.7</v>
      </c>
      <c r="F174" s="194" t="n">
        <v>-18.2</v>
      </c>
      <c r="G174" s="194" t="n">
        <v>-22.3</v>
      </c>
      <c r="H174" s="194" t="n">
        <v>11.7</v>
      </c>
      <c r="I174" s="194" t="n">
        <v>-12</v>
      </c>
      <c r="J174" s="194" t="n">
        <v>-17.5</v>
      </c>
      <c r="K174" s="195" t="inlineStr">
        <is>
          <t>2595 GENFLEET-B; 6132 HJ SCIENCE-B; 3952 LAIFUAL</t>
        </is>
      </c>
    </row>
    <row r="175">
      <c r="A175" s="32" t="inlineStr">
        <is>
          <t>China Pinnacle Equity Management Limited</t>
        </is>
      </c>
      <c r="B175" s="191" t="n">
        <v>3</v>
      </c>
      <c r="C175" s="193" t="n">
        <v>67</v>
      </c>
      <c r="D175" s="194" t="n">
        <v>10.2</v>
      </c>
      <c r="E175" s="194" t="n">
        <v>22.5</v>
      </c>
      <c r="F175" s="194" t="n">
        <v>20.1</v>
      </c>
      <c r="G175" s="194" t="n">
        <v>36.4</v>
      </c>
      <c r="H175" s="194" t="n">
        <v>7.4</v>
      </c>
      <c r="I175" s="194" t="n">
        <v>5.5</v>
      </c>
      <c r="J175" s="194" t="n">
        <v>14</v>
      </c>
      <c r="K175" s="195" t="inlineStr">
        <is>
          <t>9960 KINDSTAR GLOBAL; 3288 HAITIAN FLAV; 3986 GIGADEVICE</t>
        </is>
      </c>
    </row>
    <row r="176">
      <c r="A176" s="32" t="inlineStr">
        <is>
          <t>Hongxing International</t>
        </is>
      </c>
      <c r="B176" s="191" t="n">
        <v>3</v>
      </c>
      <c r="C176" s="193" t="n">
        <v>67</v>
      </c>
      <c r="D176" s="194" t="n">
        <v>7.8</v>
      </c>
      <c r="E176" s="194" t="n">
        <v>9.800000000000001</v>
      </c>
      <c r="F176" s="194" t="n">
        <v>12.3</v>
      </c>
      <c r="G176" s="194" t="n">
        <v>15.9</v>
      </c>
      <c r="H176" s="194" t="n">
        <v>1.8</v>
      </c>
      <c r="I176" s="194" t="n">
        <v>2.1</v>
      </c>
      <c r="J176" s="194" t="n">
        <v>4.8</v>
      </c>
      <c r="K176" s="195" t="inlineStr">
        <is>
          <t>3200 HANS CNC; 3296 HUAQIN; 1688 LINGYI ITECH</t>
        </is>
      </c>
    </row>
    <row r="177">
      <c r="A177" s="32" t="inlineStr">
        <is>
          <t>GRANITE ASIA VIII INVESTMENTS PTE. LTD</t>
        </is>
      </c>
      <c r="B177" s="191" t="n">
        <v>3</v>
      </c>
      <c r="C177" s="193" t="n">
        <v>33</v>
      </c>
      <c r="D177" s="194" t="n">
        <v>6.4</v>
      </c>
      <c r="E177" s="194" t="n">
        <v>7.9</v>
      </c>
      <c r="F177" s="194" t="n">
        <v>-21.2</v>
      </c>
      <c r="G177" s="194" t="n">
        <v>-25.7</v>
      </c>
      <c r="H177" s="194" t="n">
        <v>2.4</v>
      </c>
      <c r="I177" s="194" t="n">
        <v>-25.6</v>
      </c>
      <c r="J177" s="194" t="n">
        <v>-30.8</v>
      </c>
      <c r="K177" s="195" t="inlineStr">
        <is>
          <t>6687 JST GROUP; 0600 AXERA; 1688 LINGYI ITECH</t>
        </is>
      </c>
    </row>
    <row r="178">
      <c r="A178" s="32" t="inlineStr">
        <is>
          <t>Pacific Asset Management Co., Limited</t>
        </is>
      </c>
      <c r="B178" s="191" t="n">
        <v>3</v>
      </c>
      <c r="C178" s="193" t="n">
        <v>33</v>
      </c>
      <c r="D178" s="194" t="n">
        <v>4.3</v>
      </c>
      <c r="E178" s="194" t="n">
        <v>18.1</v>
      </c>
      <c r="F178" s="194" t="n">
        <v>49.6</v>
      </c>
      <c r="G178" s="194" t="n">
        <v>30.7</v>
      </c>
      <c r="H178" s="194" t="n">
        <v>11</v>
      </c>
      <c r="I178" s="194" t="n">
        <v>34.8</v>
      </c>
      <c r="J178" s="194" t="n">
        <v>18.3</v>
      </c>
      <c r="K178" s="195" t="inlineStr">
        <is>
          <t>9696 TIANQI LITHIUM; 0638 FIBOCOM; 3696 INSILICO</t>
        </is>
      </c>
    </row>
    <row r="179">
      <c r="A179" s="32" t="inlineStr">
        <is>
          <t>Duckling Fund, L.P</t>
        </is>
      </c>
      <c r="B179" s="191" t="n">
        <v>3</v>
      </c>
      <c r="C179" s="193" t="n">
        <v>67</v>
      </c>
      <c r="D179" s="194" t="n">
        <v>3.8</v>
      </c>
      <c r="E179" s="194" t="n">
        <v>8.800000000000001</v>
      </c>
      <c r="F179" s="194" t="n">
        <v>21</v>
      </c>
      <c r="G179" s="194" t="n">
        <v>98.40000000000001</v>
      </c>
      <c r="H179" s="194" t="n">
        <v>4.8</v>
      </c>
      <c r="I179" s="194" t="n">
        <v>18.4</v>
      </c>
      <c r="J179" s="194" t="n">
        <v>95.40000000000001</v>
      </c>
      <c r="K179" s="195" t="inlineStr">
        <is>
          <t>1364 GUMING; 2657 FOREST CABIN; 9903 ILUVATAR COREX</t>
        </is>
      </c>
    </row>
    <row r="180">
      <c r="A180" s="32" t="inlineStr">
        <is>
          <t>Colorful Cloud</t>
        </is>
      </c>
      <c r="B180" s="191" t="n">
        <v>3</v>
      </c>
      <c r="C180" s="193" t="n">
        <v>67</v>
      </c>
      <c r="D180" s="194" t="n">
        <v>2.4</v>
      </c>
      <c r="E180" s="194" t="n">
        <v>-8.9</v>
      </c>
      <c r="F180" s="194" t="n">
        <v>-12.7</v>
      </c>
      <c r="G180" s="194" t="n">
        <v>-22.7</v>
      </c>
      <c r="H180" s="194" t="n">
        <v>-11.3</v>
      </c>
      <c r="I180" s="194" t="n">
        <v>-15.5</v>
      </c>
      <c r="J180" s="194" t="n">
        <v>-25.1</v>
      </c>
      <c r="K180" s="195" t="inlineStr">
        <is>
          <t>2392 XUANWU CLOUD; 2671 USAS BUILDING; 9976 LONGSYS</t>
        </is>
      </c>
    </row>
    <row r="181">
      <c r="A181" s="32" t="inlineStr">
        <is>
          <t>CEPHEI</t>
        </is>
      </c>
      <c r="B181" s="191" t="n">
        <v>3</v>
      </c>
      <c r="C181" s="193" t="n">
        <v>33</v>
      </c>
      <c r="D181" s="194" t="n">
        <v>2.1</v>
      </c>
      <c r="E181" s="194" t="n">
        <v>6.7</v>
      </c>
      <c r="F181" s="194" t="n">
        <v>-0.3</v>
      </c>
      <c r="G181" s="194" t="n">
        <v>19.4</v>
      </c>
      <c r="H181" s="194" t="n">
        <v>1.6</v>
      </c>
      <c r="I181" s="194" t="n">
        <v>-8.6</v>
      </c>
      <c r="J181" s="194" t="n">
        <v>7.7</v>
      </c>
      <c r="K181" s="195" t="inlineStr">
        <is>
          <t>2216 BRONCUS-B; 2602 ONEWO; 2788 CHUANGXIN IND</t>
        </is>
      </c>
    </row>
    <row r="182">
      <c r="A182" s="32" t="inlineStr">
        <is>
          <t>Xian Yuanda Electronic Equipment Co., Ltd</t>
        </is>
      </c>
      <c r="B182" s="191" t="n">
        <v>3</v>
      </c>
      <c r="C182" s="193" t="n">
        <v>33</v>
      </c>
      <c r="D182" s="194" t="n">
        <v>1.3</v>
      </c>
      <c r="E182" s="194" t="n">
        <v>26.2</v>
      </c>
      <c r="F182" s="194" t="n">
        <v>35.5</v>
      </c>
      <c r="G182" s="194" t="n">
        <v>83.8</v>
      </c>
      <c r="H182" s="194" t="n">
        <v>20.1</v>
      </c>
      <c r="I182" s="194" t="n">
        <v>31.5</v>
      </c>
      <c r="J182" s="194" t="n">
        <v>85.2</v>
      </c>
      <c r="K182" s="195" t="inlineStr">
        <is>
          <t>2418 DEEWIN; 2536 PALASINO; 1354 KINGFARPROPERTY</t>
        </is>
      </c>
    </row>
    <row r="183">
      <c r="A183" s="32" t="inlineStr">
        <is>
          <t>China Sichuan International Investment Limited</t>
        </is>
      </c>
      <c r="B183" s="191" t="n">
        <v>3</v>
      </c>
      <c r="C183" s="193" t="n">
        <v>67</v>
      </c>
      <c r="D183" s="194" t="n">
        <v>0.5</v>
      </c>
      <c r="E183" s="194" t="n">
        <v>0.1</v>
      </c>
      <c r="F183" s="194" t="n">
        <v>-9.699999999999999</v>
      </c>
      <c r="G183" s="194" t="n">
        <v>-23.8</v>
      </c>
      <c r="H183" s="194" t="n">
        <v>-0.3</v>
      </c>
      <c r="I183" s="194" t="n">
        <v>-10.1</v>
      </c>
      <c r="J183" s="194" t="n">
        <v>-24.1</v>
      </c>
      <c r="K183" s="195" t="inlineStr">
        <is>
          <t>3658 NEW HOPE SERV; 9696 TIANQI LITHIUM; 9636 JF WEALTH</t>
        </is>
      </c>
    </row>
    <row r="184">
      <c r="A184" s="32" t="inlineStr">
        <is>
          <t>Hainan Financial Holdings Co., Ltd</t>
        </is>
      </c>
      <c r="B184" s="191" t="n">
        <v>3</v>
      </c>
      <c r="C184" s="193" t="n">
        <v>33</v>
      </c>
      <c r="D184" s="194" t="n">
        <v>0.3</v>
      </c>
      <c r="E184" s="194" t="n">
        <v>2.2</v>
      </c>
      <c r="F184" s="194" t="n">
        <v>9</v>
      </c>
      <c r="G184" s="194" t="n">
        <v>-1.7</v>
      </c>
      <c r="H184" s="194" t="n">
        <v>1.9</v>
      </c>
      <c r="I184" s="194" t="n">
        <v>8.699999999999999</v>
      </c>
      <c r="J184" s="194" t="n">
        <v>-2</v>
      </c>
      <c r="K184" s="195" t="inlineStr">
        <is>
          <t>9638 FERRETTI; 1880 CTG DUTY-FREE; 2451 LUYUAN GP HLDG</t>
        </is>
      </c>
    </row>
    <row r="185">
      <c r="A185" s="32" t="inlineStr">
        <is>
          <t>Keltic Investment (HK) Limited</t>
        </is>
      </c>
      <c r="B185" s="191" t="n">
        <v>3</v>
      </c>
      <c r="C185" s="193" t="n">
        <v>33</v>
      </c>
      <c r="D185" s="194" t="n">
        <v>0.1</v>
      </c>
      <c r="E185" s="194" t="n">
        <v>1.9</v>
      </c>
      <c r="F185" s="194" t="n">
        <v>-23.7</v>
      </c>
      <c r="G185" s="194" t="n">
        <v>-40.6</v>
      </c>
      <c r="H185" s="194" t="n">
        <v>1.8</v>
      </c>
      <c r="I185" s="194" t="n">
        <v>-23.7</v>
      </c>
      <c r="J185" s="194" t="n">
        <v>-40.6</v>
      </c>
      <c r="K185" s="195" t="inlineStr">
        <is>
          <t>3658 NEW HOPE SERV; 6626 YUEXIU SERVICES; 2210 BEIJING JIAYE</t>
        </is>
      </c>
    </row>
    <row r="186">
      <c r="A186" s="32" t="inlineStr">
        <is>
          <t>Main Source Capital Limited</t>
        </is>
      </c>
      <c r="B186" s="191" t="n">
        <v>3</v>
      </c>
      <c r="C186" s="193" t="n">
        <v>67</v>
      </c>
      <c r="D186" s="194" t="n">
        <v>-0.6</v>
      </c>
      <c r="E186" s="194" t="n">
        <v>-1.8</v>
      </c>
      <c r="F186" s="194" t="n">
        <v>-17.2</v>
      </c>
      <c r="G186" s="194" t="n">
        <v>-2.4</v>
      </c>
      <c r="H186" s="194" t="n">
        <v>-0.2</v>
      </c>
      <c r="I186" s="194" t="n">
        <v>-12.8</v>
      </c>
      <c r="J186" s="194" t="n">
        <v>13.8</v>
      </c>
      <c r="K186" s="195" t="inlineStr">
        <is>
          <t>9881 RONGTA TECH; 3378 HANXBIO-B; 2692 ZHAOWEI</t>
        </is>
      </c>
    </row>
    <row r="187">
      <c r="A187" s="32" t="inlineStr">
        <is>
          <t>True Light Investments H Pte. Ltd</t>
        </is>
      </c>
      <c r="B187" s="191" t="n">
        <v>3</v>
      </c>
      <c r="C187" s="193" t="n">
        <v>33</v>
      </c>
      <c r="D187" s="194" t="n">
        <v>-0.7</v>
      </c>
      <c r="E187" s="194" t="n">
        <v>4.4</v>
      </c>
      <c r="F187" s="194" t="n">
        <v>-2.5</v>
      </c>
      <c r="G187" s="194" t="n">
        <v>-12.5</v>
      </c>
      <c r="H187" s="194" t="n">
        <v>5.2</v>
      </c>
      <c r="I187" s="194" t="n">
        <v>-1.7</v>
      </c>
      <c r="J187" s="194" t="n">
        <v>-13.8</v>
      </c>
      <c r="K187" s="195" t="inlineStr">
        <is>
          <t>9980 EASTROC; 2475 LUXSHARE ICT; 3308 ZJ INNOLIGHT</t>
        </is>
      </c>
    </row>
    <row r="188">
      <c r="A188" s="32" t="inlineStr">
        <is>
          <t>Qianhai Kaiyuan Qunwei QDII Single Asset Management Plan</t>
        </is>
      </c>
      <c r="B188" s="191" t="n">
        <v>3</v>
      </c>
      <c r="C188" s="193" t="n">
        <v>33</v>
      </c>
      <c r="D188" s="194" t="n">
        <v>-8.9</v>
      </c>
      <c r="E188" s="194" t="n">
        <v>-9.5</v>
      </c>
      <c r="F188" s="194" t="n">
        <v>-7.8</v>
      </c>
      <c r="G188" s="194" t="n">
        <v>-10.5</v>
      </c>
      <c r="H188" s="194" t="n">
        <v>-0.7</v>
      </c>
      <c r="I188" s="194" t="n">
        <v>1.4</v>
      </c>
      <c r="J188" s="194" t="n">
        <v>0.3</v>
      </c>
      <c r="K188" s="195" t="inlineStr">
        <is>
          <t>3881 CIDI; 9981 WOER; 2715 ESTUN</t>
        </is>
      </c>
    </row>
    <row r="189">
      <c r="A189" s="32" t="inlineStr">
        <is>
          <t>King Terrace Limited</t>
        </is>
      </c>
      <c r="B189" s="191" t="n">
        <v>3</v>
      </c>
      <c r="C189" s="193" t="n">
        <v>67</v>
      </c>
      <c r="D189" s="194" t="n">
        <v>-10.1</v>
      </c>
      <c r="E189" s="194" t="n">
        <v>-7.8</v>
      </c>
      <c r="F189" s="194" t="n">
        <v>-15.1</v>
      </c>
      <c r="G189" s="194" t="n">
        <v>-14</v>
      </c>
      <c r="H189" s="194" t="n">
        <v>2.8</v>
      </c>
      <c r="I189" s="194" t="n">
        <v>-6.8</v>
      </c>
      <c r="J189" s="194" t="n">
        <v>-6</v>
      </c>
      <c r="K189" s="195" t="inlineStr">
        <is>
          <t>0606 SCE CM; 2157 LEPU BIO-B; 2566 JIUYUAN GENE</t>
        </is>
      </c>
    </row>
    <row r="190">
      <c r="A190" s="32" t="inlineStr">
        <is>
          <t>SCGC Capital Holding Company Limited</t>
        </is>
      </c>
      <c r="B190" s="191" t="n">
        <v>3</v>
      </c>
      <c r="C190" s="193" t="n">
        <v>67</v>
      </c>
      <c r="D190" s="194" t="n">
        <v>-10.2</v>
      </c>
      <c r="E190" s="194" t="n">
        <v>-14.9</v>
      </c>
      <c r="F190" s="194" t="n">
        <v>-18.4</v>
      </c>
      <c r="G190" s="194" t="n">
        <v>-12.9</v>
      </c>
      <c r="H190" s="194" t="n">
        <v>-5.5</v>
      </c>
      <c r="I190" s="194" t="n">
        <v>-10</v>
      </c>
      <c r="J190" s="194" t="n">
        <v>0.1</v>
      </c>
      <c r="K190" s="195" t="inlineStr">
        <is>
          <t>6668 E-STAR CM; 2560 CONCH MAT TECH; 3355 FS.COM</t>
        </is>
      </c>
    </row>
    <row r="191">
      <c r="A191" s="32" t="inlineStr">
        <is>
          <t>GOTION HIGH-TECH (HK) LIMITED</t>
        </is>
      </c>
      <c r="B191" s="191" t="n">
        <v>3</v>
      </c>
      <c r="C191" s="193" t="n">
        <v>33</v>
      </c>
      <c r="D191" s="194" t="n">
        <v>-19.3</v>
      </c>
      <c r="E191" s="194" t="n">
        <v>-21.4</v>
      </c>
      <c r="F191" s="194" t="n">
        <v>-17.3</v>
      </c>
      <c r="G191" s="194" t="n">
        <v>-5.4</v>
      </c>
      <c r="H191" s="194" t="n">
        <v>-3.4</v>
      </c>
      <c r="I191" s="194" t="n">
        <v>0.5</v>
      </c>
      <c r="J191" s="194" t="n">
        <v>18</v>
      </c>
      <c r="K191" s="195" t="inlineStr">
        <is>
          <t>2560 CONCH MAT TECH; 2643 CAOCAO INC; 9973 CHERY AUTO</t>
        </is>
      </c>
    </row>
    <row r="192">
      <c r="A192" s="32" t="inlineStr">
        <is>
          <t>Guangdong- Macao In-Depth Cooperation Zone in Hengqin</t>
        </is>
      </c>
      <c r="B192" s="191" t="n">
        <v>3</v>
      </c>
      <c r="C192" s="193" t="n">
        <v>33</v>
      </c>
      <c r="D192" s="194" t="n">
        <v>-24.3</v>
      </c>
      <c r="E192" s="194" t="n">
        <v>-23.7</v>
      </c>
      <c r="F192" s="194" t="n">
        <v>-22.3</v>
      </c>
      <c r="G192" s="194" t="n">
        <v>0.5</v>
      </c>
      <c r="H192" s="194" t="n">
        <v>0.6</v>
      </c>
      <c r="I192" s="194" t="n">
        <v>1.6</v>
      </c>
      <c r="J192" s="194" t="n">
        <v>27.5</v>
      </c>
      <c r="K192" s="195" t="inlineStr">
        <is>
          <t>2506 XUNFEIHEALTH; 2560 CONCH MAT TECH; 2658 TIANYU SEMI</t>
        </is>
      </c>
    </row>
    <row r="193">
      <c r="A193" s="32" t="inlineStr">
        <is>
          <t>ZTE (H.K.) LIMITED</t>
        </is>
      </c>
      <c r="B193" s="191" t="n">
        <v>2</v>
      </c>
      <c r="C193" s="193" t="n">
        <v>100</v>
      </c>
      <c r="D193" s="194" t="n">
        <v>196</v>
      </c>
      <c r="E193" s="194" t="n">
        <v>203.4</v>
      </c>
      <c r="F193" s="194" t="n">
        <v>125.2</v>
      </c>
      <c r="G193" s="194" t="n">
        <v>91.90000000000001</v>
      </c>
      <c r="H193" s="194" t="n">
        <v>6.3</v>
      </c>
      <c r="I193" s="194" t="n">
        <v>-12.6</v>
      </c>
      <c r="J193" s="194" t="n">
        <v>31.5</v>
      </c>
      <c r="K193" s="195" t="inlineStr">
        <is>
          <t>9903 ILUVATAR COREX; 1879 XIZHI TECH-P</t>
        </is>
      </c>
    </row>
    <row r="194">
      <c r="A194" s="32" t="inlineStr">
        <is>
          <t>June Star Global Limited</t>
        </is>
      </c>
      <c r="B194" s="191" t="n">
        <v>2</v>
      </c>
      <c r="C194" s="193" t="n">
        <v>100</v>
      </c>
      <c r="D194" s="194" t="n">
        <v>192.6</v>
      </c>
      <c r="E194" s="194" t="n">
        <v>175.3</v>
      </c>
      <c r="F194" s="194" t="n">
        <v>192.8</v>
      </c>
      <c r="G194" s="194" t="n">
        <v>124.8</v>
      </c>
      <c r="H194" s="194" t="n">
        <v>-5.8</v>
      </c>
      <c r="I194" s="194" t="n">
        <v>1.2</v>
      </c>
      <c r="J194" s="194" t="n">
        <v>-22.4</v>
      </c>
      <c r="K194" s="195" t="inlineStr">
        <is>
          <t>2591 INNOGEN-B; 6872 TENNOR THERAP-B</t>
        </is>
      </c>
    </row>
    <row r="195">
      <c r="A195" s="32" t="inlineStr">
        <is>
          <t>Lenovo</t>
        </is>
      </c>
      <c r="B195" s="191" t="n">
        <v>2</v>
      </c>
      <c r="C195" s="193" t="n">
        <v>50</v>
      </c>
      <c r="D195" s="194" t="n">
        <v>191.3</v>
      </c>
      <c r="E195" s="194" t="n">
        <v>180.5</v>
      </c>
      <c r="F195" s="194" t="n">
        <v>236.2</v>
      </c>
      <c r="G195" s="194" t="n">
        <v>27.3</v>
      </c>
      <c r="H195" s="194" t="n">
        <v>-11.4</v>
      </c>
      <c r="I195" s="194" t="n">
        <v>-30.5</v>
      </c>
      <c r="J195" s="194" t="n">
        <v>-73.7</v>
      </c>
      <c r="K195" s="195" t="inlineStr">
        <is>
          <t>1879 XIZHI TECH-P; 9976 LONGSYS</t>
        </is>
      </c>
    </row>
    <row r="196">
      <c r="A196" s="32" t="inlineStr">
        <is>
          <t>SKY ROYAL TRADING LIMITED</t>
        </is>
      </c>
      <c r="B196" s="191" t="n">
        <v>2</v>
      </c>
      <c r="C196" s="193" t="n">
        <v>100</v>
      </c>
      <c r="D196" s="194" t="n">
        <v>129.2</v>
      </c>
      <c r="E196" s="194" t="n">
        <v>155</v>
      </c>
      <c r="F196" s="194" t="n">
        <v>102.3</v>
      </c>
      <c r="G196" s="194" t="n">
        <v>53.7</v>
      </c>
      <c r="H196" s="194" t="n">
        <v>6.1</v>
      </c>
      <c r="I196" s="194" t="n">
        <v>-12.5</v>
      </c>
      <c r="J196" s="194" t="n">
        <v>-33.8</v>
      </c>
      <c r="K196" s="195" t="inlineStr">
        <is>
          <t>0501 OMNIVISION; 2706 HAIZHI TECH GP</t>
        </is>
      </c>
    </row>
    <row r="197">
      <c r="A197" s="32" t="inlineStr">
        <is>
          <t>TAL China Focus Master Fund</t>
        </is>
      </c>
      <c r="B197" s="191" t="n">
        <v>2</v>
      </c>
      <c r="C197" s="193" t="n">
        <v>50</v>
      </c>
      <c r="D197" s="194" t="n">
        <v>120.1</v>
      </c>
      <c r="E197" s="194" t="n">
        <v>158.1</v>
      </c>
      <c r="F197" s="194" t="n">
        <v>105.4</v>
      </c>
      <c r="G197" s="194" t="n">
        <v>132.4</v>
      </c>
      <c r="H197" s="194" t="n">
        <v>18.2</v>
      </c>
      <c r="I197" s="194" t="n">
        <v>-1.3</v>
      </c>
      <c r="J197" s="194" t="n">
        <v>-32.1</v>
      </c>
      <c r="K197" s="195" t="inlineStr">
        <is>
          <t>2706 HAIZHI TECH GP; 3308 ZJ INNOLIGHT</t>
        </is>
      </c>
    </row>
    <row r="198">
      <c r="A198" s="32" t="inlineStr">
        <is>
          <t>LC Logistics, Inc</t>
        </is>
      </c>
      <c r="B198" s="191" t="n">
        <v>2</v>
      </c>
      <c r="C198" s="193" t="n">
        <v>50</v>
      </c>
      <c r="D198" s="194" t="n">
        <v>115.4</v>
      </c>
      <c r="E198" s="194" t="n">
        <v>138</v>
      </c>
      <c r="F198" s="194" t="n">
        <v>92.7</v>
      </c>
      <c r="G198" s="194" t="n">
        <v>54.2</v>
      </c>
      <c r="H198" s="194" t="n">
        <v>1.8</v>
      </c>
      <c r="I198" s="194" t="n">
        <v>-9.9</v>
      </c>
      <c r="J198" s="194" t="n">
        <v>-23.1</v>
      </c>
      <c r="K198" s="195" t="inlineStr">
        <is>
          <t>2519 AUGROUP; 2706 HAIZHI TECH GP</t>
        </is>
      </c>
    </row>
    <row r="199">
      <c r="A199" s="32" t="inlineStr">
        <is>
          <t>Ginkgo Capital Global Fund SPC— Ginkgo Capital Global Fund I SP</t>
        </is>
      </c>
      <c r="B199" s="191" t="n">
        <v>2</v>
      </c>
      <c r="C199" s="193" t="n">
        <v>100</v>
      </c>
      <c r="D199" s="194" t="n">
        <v>108.2</v>
      </c>
      <c r="E199" s="194" t="n">
        <v>92.09999999999999</v>
      </c>
      <c r="F199" s="194" t="n">
        <v>73.59999999999999</v>
      </c>
      <c r="G199" s="194" t="n">
        <v>125.2</v>
      </c>
      <c r="H199" s="194" t="n">
        <v>-8</v>
      </c>
      <c r="I199" s="194" t="n">
        <v>-11.3</v>
      </c>
      <c r="J199" s="194" t="n">
        <v>51.1</v>
      </c>
      <c r="K199" s="195" t="inlineStr">
        <is>
          <t>2228 QUANTUMPH-P; 2591 INNOGEN-B</t>
        </is>
      </c>
    </row>
    <row r="200">
      <c r="A200" s="32" t="inlineStr">
        <is>
          <t>Zhengxin Group Investment Limited</t>
        </is>
      </c>
      <c r="B200" s="191" t="n">
        <v>2</v>
      </c>
      <c r="C200" s="193" t="n">
        <v>100</v>
      </c>
      <c r="D200" s="194" t="n">
        <v>101.9</v>
      </c>
      <c r="E200" s="194" t="n">
        <v>112.4</v>
      </c>
      <c r="F200" s="194" t="n">
        <v>85.90000000000001</v>
      </c>
      <c r="G200" s="194" t="n">
        <v>106.2</v>
      </c>
      <c r="H200" s="194" t="n">
        <v>4.9</v>
      </c>
      <c r="I200" s="194" t="n">
        <v>-5.9</v>
      </c>
      <c r="J200" s="194" t="n">
        <v>-6.8</v>
      </c>
      <c r="K200" s="195" t="inlineStr">
        <is>
          <t>3858 JIAXIN INTL RES; 3636 JINXUN RESOURCE</t>
        </is>
      </c>
    </row>
    <row r="201">
      <c r="A201" s="32" t="inlineStr">
        <is>
          <t>Top Vast (Hong Kong) Limited</t>
        </is>
      </c>
      <c r="B201" s="191" t="n">
        <v>2</v>
      </c>
      <c r="C201" s="193" t="n">
        <v>50</v>
      </c>
      <c r="D201" s="194" t="n">
        <v>94</v>
      </c>
      <c r="E201" s="194" t="n">
        <v>112.1</v>
      </c>
      <c r="F201" s="194" t="n">
        <v>128.7</v>
      </c>
      <c r="G201" s="194" t="n">
        <v>144.2</v>
      </c>
      <c r="H201" s="194" t="n">
        <v>7.6</v>
      </c>
      <c r="I201" s="194" t="n">
        <v>6.4</v>
      </c>
      <c r="J201" s="194" t="n">
        <v>12.1</v>
      </c>
      <c r="K201" s="195" t="inlineStr">
        <is>
          <t>6639 ARRAIL GROUP; 6658 LIULIUMEI</t>
        </is>
      </c>
    </row>
    <row r="202">
      <c r="A202" s="32" t="inlineStr">
        <is>
          <t>Goldman Sachs Asset Management (Hong Kong) Limited</t>
        </is>
      </c>
      <c r="B202" s="191" t="n">
        <v>2</v>
      </c>
      <c r="C202" s="193" t="n">
        <v>100</v>
      </c>
      <c r="D202" s="194" t="n">
        <v>91.7</v>
      </c>
      <c r="E202" s="194" t="n">
        <v>54.7</v>
      </c>
      <c r="F202" s="194" t="n">
        <v>37.8</v>
      </c>
      <c r="G202" s="194" t="n">
        <v>-26.7</v>
      </c>
      <c r="H202" s="194" t="n">
        <v>-19.6</v>
      </c>
      <c r="I202" s="194" t="n">
        <v>-28.7</v>
      </c>
      <c r="J202" s="194" t="n">
        <v>-62</v>
      </c>
      <c r="K202" s="195" t="inlineStr">
        <is>
          <t>6656 SIGENERGY; 7688 TOPNC</t>
        </is>
      </c>
    </row>
    <row r="203">
      <c r="A203" s="32" t="inlineStr">
        <is>
          <t>Lion Global Investors Limited</t>
        </is>
      </c>
      <c r="B203" s="191" t="n">
        <v>2</v>
      </c>
      <c r="C203" s="193" t="n">
        <v>100</v>
      </c>
      <c r="D203" s="194" t="n">
        <v>89.8</v>
      </c>
      <c r="E203" s="194" t="n">
        <v>64.40000000000001</v>
      </c>
      <c r="F203" s="194" t="n">
        <v>48.8</v>
      </c>
      <c r="G203" s="194" t="n">
        <v>56.7</v>
      </c>
      <c r="H203" s="194" t="n">
        <v>-12.5</v>
      </c>
      <c r="I203" s="194" t="n">
        <v>-20.4</v>
      </c>
      <c r="J203" s="194" t="n">
        <v>-16.2</v>
      </c>
      <c r="K203" s="195" t="inlineStr">
        <is>
          <t>6082 BIREN TECH; 9630 CFMEE</t>
        </is>
      </c>
    </row>
    <row r="204">
      <c r="A204" s="32" t="inlineStr">
        <is>
          <t>Digital China (HK) Limited 有限公司</t>
        </is>
      </c>
      <c r="B204" s="191" t="n">
        <v>2</v>
      </c>
      <c r="C204" s="193" t="n">
        <v>100</v>
      </c>
      <c r="D204" s="194" t="n">
        <v>83.8</v>
      </c>
      <c r="E204" s="194" t="n">
        <v>70.40000000000001</v>
      </c>
      <c r="F204" s="194" t="n">
        <v>64.2</v>
      </c>
      <c r="G204" s="194" t="n">
        <v>54.9</v>
      </c>
      <c r="H204" s="194" t="n">
        <v>-7</v>
      </c>
      <c r="I204" s="194" t="n">
        <v>-10.4</v>
      </c>
      <c r="J204" s="194" t="n">
        <v>-15.1</v>
      </c>
      <c r="K204" s="195" t="inlineStr">
        <is>
          <t>6082 BIREN TECH; 3310 VIEWTRIX TECH</t>
        </is>
      </c>
    </row>
    <row r="205">
      <c r="A205" s="32" t="inlineStr">
        <is>
          <t>MPC VII Pte. Ltd</t>
        </is>
      </c>
      <c r="B205" s="191" t="n">
        <v>2</v>
      </c>
      <c r="C205" s="193" t="n">
        <v>100</v>
      </c>
      <c r="D205" s="194" t="n">
        <v>83.7</v>
      </c>
      <c r="E205" s="194" t="n">
        <v>91.5</v>
      </c>
      <c r="F205" s="194" t="n">
        <v>100.5</v>
      </c>
      <c r="G205" s="194" t="n">
        <v>215.9</v>
      </c>
      <c r="H205" s="194" t="n">
        <v>0.6</v>
      </c>
      <c r="I205" s="194" t="n">
        <v>2.7</v>
      </c>
      <c r="J205" s="194" t="n">
        <v>57.7</v>
      </c>
      <c r="K205" s="195" t="inlineStr">
        <is>
          <t>2549 CAROTE LTD; 0100 MINIMAX-WP</t>
        </is>
      </c>
    </row>
    <row r="206">
      <c r="A206" s="32" t="inlineStr">
        <is>
          <t>Sunny Festive Limited</t>
        </is>
      </c>
      <c r="B206" s="191" t="n">
        <v>2</v>
      </c>
      <c r="C206" s="193" t="n">
        <v>50</v>
      </c>
      <c r="D206" s="194" t="n">
        <v>78.09999999999999</v>
      </c>
      <c r="E206" s="194" t="n">
        <v>122.7</v>
      </c>
      <c r="F206" s="194" t="n">
        <v>52.3</v>
      </c>
      <c r="G206" s="194" t="n">
        <v>31.3</v>
      </c>
      <c r="H206" s="194" t="n">
        <v>16.9</v>
      </c>
      <c r="I206" s="194" t="n">
        <v>-20.7</v>
      </c>
      <c r="J206" s="194" t="n">
        <v>-30.7</v>
      </c>
      <c r="K206" s="195" t="inlineStr">
        <is>
          <t>1024 KUAISHOU-W; 1688 LINGYI ITECH</t>
        </is>
      </c>
    </row>
    <row r="207">
      <c r="A207" s="32" t="inlineStr">
        <is>
          <t>Tropical Terrain Limited</t>
        </is>
      </c>
      <c r="B207" s="191" t="n">
        <v>2</v>
      </c>
      <c r="C207" s="193" t="n">
        <v>100</v>
      </c>
      <c r="D207" s="194" t="n">
        <v>76.8</v>
      </c>
      <c r="E207" s="194" t="n">
        <v>58.3</v>
      </c>
      <c r="F207" s="194" t="n">
        <v>64.7</v>
      </c>
      <c r="G207" s="194" t="n">
        <v>-2.5</v>
      </c>
      <c r="H207" s="194" t="n">
        <v>-9.699999999999999</v>
      </c>
      <c r="I207" s="194" t="n">
        <v>-4.6</v>
      </c>
      <c r="J207" s="194" t="n">
        <v>-42.5</v>
      </c>
      <c r="K207" s="195" t="inlineStr">
        <is>
          <t>6656 SIGENERGY; 2476 VGT</t>
        </is>
      </c>
    </row>
    <row r="208">
      <c r="A208" s="32" t="inlineStr">
        <is>
          <t>Redwood Elite Limited</t>
        </is>
      </c>
      <c r="B208" s="191" t="n">
        <v>2</v>
      </c>
      <c r="C208" s="193" t="n">
        <v>100</v>
      </c>
      <c r="D208" s="194" t="n">
        <v>76.59999999999999</v>
      </c>
      <c r="E208" s="194" t="n">
        <v>140.1</v>
      </c>
      <c r="F208" s="194" t="n">
        <v>79.5</v>
      </c>
      <c r="G208" s="194" t="n">
        <v>46.7</v>
      </c>
      <c r="H208" s="194" t="n">
        <v>25.3</v>
      </c>
      <c r="I208" s="194" t="n">
        <v>2.9</v>
      </c>
      <c r="J208" s="194" t="n">
        <v>4.9</v>
      </c>
      <c r="K208" s="195" t="inlineStr">
        <is>
          <t>6613 LENS; 0068 MANYCORE TECH</t>
        </is>
      </c>
    </row>
    <row r="209">
      <c r="A209" s="32" t="inlineStr">
        <is>
          <t>Velmar Company Limited</t>
        </is>
      </c>
      <c r="B209" s="191" t="n">
        <v>2</v>
      </c>
      <c r="C209" s="193" t="n">
        <v>100</v>
      </c>
      <c r="D209" s="194" t="n">
        <v>74.7</v>
      </c>
      <c r="E209" s="194" t="n">
        <v>68.3</v>
      </c>
      <c r="F209" s="194" t="n">
        <v>61.1</v>
      </c>
      <c r="G209" s="194" t="n">
        <v>13.2</v>
      </c>
      <c r="H209" s="194" t="n">
        <v>-2.8</v>
      </c>
      <c r="I209" s="194" t="n">
        <v>-10</v>
      </c>
      <c r="J209" s="194" t="n">
        <v>-28.9</v>
      </c>
      <c r="K209" s="195" t="inlineStr">
        <is>
          <t>2158 YIDU TECH; 9980 EASTROC</t>
        </is>
      </c>
    </row>
    <row r="210">
      <c r="A210" s="32" t="inlineStr">
        <is>
          <t>CYGG Holding Limited</t>
        </is>
      </c>
      <c r="B210" s="191" t="n">
        <v>2</v>
      </c>
      <c r="C210" s="193" t="n">
        <v>50</v>
      </c>
      <c r="D210" s="194" t="n">
        <v>74.59999999999999</v>
      </c>
      <c r="E210" s="194" t="n">
        <v>89.40000000000001</v>
      </c>
      <c r="F210" s="194" t="n">
        <v>68.7</v>
      </c>
      <c r="G210" s="194" t="n">
        <v>-0.8</v>
      </c>
      <c r="H210" s="194" t="n">
        <v>14.7</v>
      </c>
      <c r="I210" s="194" t="n">
        <v>76.90000000000001</v>
      </c>
      <c r="J210" s="194" t="n">
        <v>4</v>
      </c>
      <c r="K210" s="195" t="inlineStr">
        <is>
          <t>1511 UISEE TECH; 3231 EXCELLAND ROBOT</t>
        </is>
      </c>
    </row>
    <row r="211">
      <c r="A211" s="32" t="inlineStr">
        <is>
          <t>Wuhu Artec Biotechnology Co., Ltd.*</t>
        </is>
      </c>
      <c r="B211" s="191" t="n">
        <v>2</v>
      </c>
      <c r="C211" s="193" t="n">
        <v>50</v>
      </c>
      <c r="D211" s="194" t="n">
        <v>73</v>
      </c>
      <c r="E211" s="194" t="n">
        <v>87</v>
      </c>
      <c r="F211" s="194" t="n">
        <v>111.6</v>
      </c>
      <c r="G211" s="194" t="n">
        <v>133.3</v>
      </c>
      <c r="H211" s="194" t="n">
        <v>1.6</v>
      </c>
      <c r="I211" s="194" t="n">
        <v>7.6</v>
      </c>
      <c r="J211" s="194" t="n">
        <v>25.5</v>
      </c>
      <c r="K211" s="195" t="inlineStr">
        <is>
          <t>2560 CONCH MAT TECH; 6658 LIULIUMEI</t>
        </is>
      </c>
    </row>
    <row r="212">
      <c r="A212" s="32" t="inlineStr">
        <is>
          <t>Cormorant Asset Management, LP</t>
        </is>
      </c>
      <c r="B212" s="191" t="n">
        <v>2</v>
      </c>
      <c r="C212" s="193" t="n">
        <v>100</v>
      </c>
      <c r="D212" s="194" t="n">
        <v>72</v>
      </c>
      <c r="E212" s="194" t="n">
        <v>29.3</v>
      </c>
      <c r="F212" s="194" t="n">
        <v>14.1</v>
      </c>
      <c r="G212" s="194" t="n">
        <v>4</v>
      </c>
      <c r="H212" s="194" t="n">
        <v>-22.2</v>
      </c>
      <c r="I212" s="194" t="n">
        <v>-32</v>
      </c>
      <c r="J212" s="194" t="n">
        <v>-38.1</v>
      </c>
      <c r="K212" s="195" t="inlineStr">
        <is>
          <t>2190 ZYLOXTB-B; 9637 ALEBUND-B</t>
        </is>
      </c>
    </row>
    <row r="213">
      <c r="A213" s="32" t="inlineStr">
        <is>
          <t>KCH International Investment Limited</t>
        </is>
      </c>
      <c r="B213" s="191" t="n">
        <v>2</v>
      </c>
      <c r="C213" s="193" t="n">
        <v>100</v>
      </c>
      <c r="D213" s="194" t="n">
        <v>70.90000000000001</v>
      </c>
      <c r="E213" s="194" t="n">
        <v>29.8</v>
      </c>
      <c r="F213" s="194" t="n">
        <v>38.9</v>
      </c>
      <c r="G213" s="194" t="n">
        <v>68.59999999999999</v>
      </c>
      <c r="H213" s="194" t="n">
        <v>-20.5</v>
      </c>
      <c r="I213" s="194" t="n">
        <v>-12.1</v>
      </c>
      <c r="J213" s="194" t="n">
        <v>15.3</v>
      </c>
      <c r="K213" s="195" t="inlineStr">
        <is>
          <t>2431 MINIEYE; 1236 LDROBOT</t>
        </is>
      </c>
    </row>
    <row r="214">
      <c r="A214" s="32" t="inlineStr">
        <is>
          <t>Abu Dhabi Investment Authority</t>
        </is>
      </c>
      <c r="B214" s="191" t="n">
        <v>2</v>
      </c>
      <c r="C214" s="193" t="n">
        <v>100</v>
      </c>
      <c r="D214" s="194" t="n">
        <v>70</v>
      </c>
      <c r="E214" s="194" t="n">
        <v>110.5</v>
      </c>
      <c r="F214" s="194" t="n">
        <v>124.9</v>
      </c>
      <c r="G214" s="194" t="n">
        <v>235.3</v>
      </c>
      <c r="H214" s="194" t="n">
        <v>22.9</v>
      </c>
      <c r="I214" s="194" t="n">
        <v>27.2</v>
      </c>
      <c r="J214" s="194" t="n">
        <v>78.2</v>
      </c>
      <c r="K214" s="195" t="inlineStr">
        <is>
          <t>2675 EDGE MEDICAL-B; 0100 MINIMAX-WP</t>
        </is>
      </c>
    </row>
    <row r="215">
      <c r="A215" s="32" t="inlineStr">
        <is>
          <t>AnkeBio (Hong Kong) Co., Limited</t>
        </is>
      </c>
      <c r="B215" s="191" t="n">
        <v>2</v>
      </c>
      <c r="C215" s="193" t="n">
        <v>50</v>
      </c>
      <c r="D215" s="194" t="n">
        <v>69.40000000000001</v>
      </c>
      <c r="E215" s="194" t="n">
        <v>78.5</v>
      </c>
      <c r="F215" s="194" t="n">
        <v>98</v>
      </c>
      <c r="G215" s="194" t="n">
        <v>109.2</v>
      </c>
      <c r="H215" s="194" t="n">
        <v>-1.1</v>
      </c>
      <c r="I215" s="194" t="n">
        <v>3</v>
      </c>
      <c r="J215" s="194" t="n">
        <v>7.7</v>
      </c>
      <c r="K215" s="195" t="inlineStr">
        <is>
          <t>2561 VISEN PHARMA-B; 2659 BAO PHARMA-B</t>
        </is>
      </c>
    </row>
    <row r="216">
      <c r="A216" s="32" t="inlineStr">
        <is>
          <t>Oakwise Growth Fund</t>
        </is>
      </c>
      <c r="B216" s="191" t="n">
        <v>2</v>
      </c>
      <c r="C216" s="193" t="n">
        <v>100</v>
      </c>
      <c r="D216" s="194" t="n">
        <v>64.8</v>
      </c>
      <c r="E216" s="194" t="n">
        <v>58.6</v>
      </c>
      <c r="F216" s="194" t="n">
        <v>1.3</v>
      </c>
      <c r="G216" s="194" t="n">
        <v>20.7</v>
      </c>
      <c r="H216" s="194" t="n">
        <v>-0.3</v>
      </c>
      <c r="I216" s="194" t="n">
        <v>-30.6</v>
      </c>
      <c r="J216" s="194" t="n">
        <v>-23.6</v>
      </c>
      <c r="K216" s="195" t="inlineStr">
        <is>
          <t>2692 ZHAOWEI; 6675 SENASIC</t>
        </is>
      </c>
    </row>
    <row r="217">
      <c r="A217" s="32" t="inlineStr">
        <is>
          <t>CR Alpha Investment II Limited</t>
        </is>
      </c>
      <c r="B217" s="191" t="n">
        <v>2</v>
      </c>
      <c r="C217" s="193" t="n">
        <v>50</v>
      </c>
      <c r="D217" s="194" t="n">
        <v>63.8</v>
      </c>
      <c r="E217" s="194" t="n">
        <v>127.3</v>
      </c>
      <c r="F217" s="194" t="n">
        <v>65.7</v>
      </c>
      <c r="G217" s="194" t="n">
        <v>-9.300000000000001</v>
      </c>
      <c r="H217" s="194" t="n">
        <v>25</v>
      </c>
      <c r="I217" s="194" t="n">
        <v>2.8</v>
      </c>
      <c r="J217" s="194" t="n">
        <v>-37.2</v>
      </c>
      <c r="K217" s="195" t="inlineStr">
        <is>
          <t>6680 JLMAG; 0068 MANYCORE TECH</t>
        </is>
      </c>
    </row>
    <row r="218">
      <c r="A218" s="32" t="inlineStr">
        <is>
          <t>ORIX Asia AM</t>
        </is>
      </c>
      <c r="B218" s="191" t="n">
        <v>2</v>
      </c>
      <c r="C218" s="193" t="n">
        <v>50</v>
      </c>
      <c r="D218" s="194" t="n">
        <v>60.1</v>
      </c>
      <c r="E218" s="194" t="n">
        <v>34.6</v>
      </c>
      <c r="F218" s="194" t="n">
        <v>12.6</v>
      </c>
      <c r="G218" s="194" t="n">
        <v>27.1</v>
      </c>
      <c r="H218" s="194" t="n">
        <v>-9.9</v>
      </c>
      <c r="I218" s="194" t="n">
        <v>-19</v>
      </c>
      <c r="J218" s="194" t="n">
        <v>-3.5</v>
      </c>
      <c r="K218" s="195" t="inlineStr">
        <is>
          <t>7666 METIS TECHBIO-P; 6228 MERDEKAGOLD-DRS</t>
        </is>
      </c>
    </row>
    <row r="219">
      <c r="A219" s="32" t="inlineStr">
        <is>
          <t>QuantumPharm Limited</t>
        </is>
      </c>
      <c r="B219" s="191" t="n">
        <v>2</v>
      </c>
      <c r="C219" s="193" t="n">
        <v>100</v>
      </c>
      <c r="D219" s="194" t="n">
        <v>54.6</v>
      </c>
      <c r="E219" s="194" t="n">
        <v>28.9</v>
      </c>
      <c r="F219" s="194" t="n">
        <v>25.4</v>
      </c>
      <c r="G219" s="194" t="n">
        <v>40.5</v>
      </c>
      <c r="H219" s="194" t="n">
        <v>-13</v>
      </c>
      <c r="I219" s="194" t="n">
        <v>-13.6</v>
      </c>
      <c r="J219" s="194" t="n">
        <v>-6.8</v>
      </c>
      <c r="K219" s="195" t="inlineStr">
        <is>
          <t>2315 BIOCYTOGEN-B; 2718 MININGLAMP-W</t>
        </is>
      </c>
    </row>
    <row r="220">
      <c r="A220" s="32" t="inlineStr">
        <is>
          <t>Brilliant Partners Fund LP and China Core Fund</t>
        </is>
      </c>
      <c r="B220" s="191" t="n">
        <v>2</v>
      </c>
      <c r="C220" s="193" t="n">
        <v>100</v>
      </c>
      <c r="D220" s="194" t="n">
        <v>54.6</v>
      </c>
      <c r="E220" s="194" t="n">
        <v>77.90000000000001</v>
      </c>
      <c r="F220" s="194" t="n">
        <v>88.2</v>
      </c>
      <c r="G220" s="194" t="n">
        <v>193.1</v>
      </c>
      <c r="H220" s="194" t="n">
        <v>15.6</v>
      </c>
      <c r="I220" s="194" t="n">
        <v>23.2</v>
      </c>
      <c r="J220" s="194" t="n">
        <v>86.2</v>
      </c>
      <c r="K220" s="195" t="inlineStr">
        <is>
          <t>1318 MAO GEPING; 2788 CHUANGXIN IND</t>
        </is>
      </c>
    </row>
    <row r="221">
      <c r="A221" s="32" t="inlineStr">
        <is>
          <t>Montage Technology Holdings Company Limited</t>
        </is>
      </c>
      <c r="B221" s="191" t="n">
        <v>2</v>
      </c>
      <c r="C221" s="193" t="n">
        <v>100</v>
      </c>
      <c r="D221" s="194" t="n">
        <v>54.5</v>
      </c>
      <c r="E221" s="194" t="n">
        <v>26.1</v>
      </c>
      <c r="F221" s="194" t="n">
        <v>11.9</v>
      </c>
      <c r="G221" s="194" t="n">
        <v>13.7</v>
      </c>
      <c r="H221" s="194" t="n">
        <v>-15.8</v>
      </c>
      <c r="I221" s="194" t="n">
        <v>-23.6</v>
      </c>
      <c r="J221" s="194" t="n">
        <v>-23.7</v>
      </c>
      <c r="K221" s="195" t="inlineStr">
        <is>
          <t>6682 FOURTH PARADIGM; 9630 CFMEE</t>
        </is>
      </c>
    </row>
    <row r="222">
      <c r="A222" s="32" t="inlineStr">
        <is>
          <t>Vision Capital Management Co., Ltd.</t>
        </is>
      </c>
      <c r="B222" s="191" t="n">
        <v>2</v>
      </c>
      <c r="C222" s="193" t="n">
        <v>50</v>
      </c>
      <c r="D222" s="194" t="n">
        <v>53.6</v>
      </c>
      <c r="E222" s="194" t="n">
        <v>39.8</v>
      </c>
      <c r="F222" s="194" t="n">
        <v>32.5</v>
      </c>
      <c r="G222" s="194" t="n">
        <v>-28.7</v>
      </c>
      <c r="H222" s="194" t="n">
        <v>-8.1</v>
      </c>
      <c r="I222" s="194" t="n">
        <v>-14.1</v>
      </c>
      <c r="J222" s="194" t="n">
        <v>-43.9</v>
      </c>
      <c r="K222" s="195" t="inlineStr">
        <is>
          <t>1187 COFOE MEDICAL; 7630 IMPACT THERAP-B</t>
        </is>
      </c>
    </row>
    <row r="223">
      <c r="A223" s="32" t="inlineStr">
        <is>
          <t>Prosper High Holding Limited</t>
        </is>
      </c>
      <c r="B223" s="191" t="n">
        <v>2</v>
      </c>
      <c r="C223" s="193" t="n">
        <v>50</v>
      </c>
      <c r="D223" s="194" t="n">
        <v>53.4</v>
      </c>
      <c r="E223" s="194" t="n">
        <v>40.5</v>
      </c>
      <c r="F223" s="194" t="n">
        <v>40.6</v>
      </c>
      <c r="G223" s="194" t="n">
        <v>-39.8</v>
      </c>
      <c r="H223" s="194" t="n">
        <v>-7.1</v>
      </c>
      <c r="I223" s="194" t="n">
        <v>-5.7</v>
      </c>
      <c r="J223" s="194" t="n">
        <v>-71.09999999999999</v>
      </c>
      <c r="K223" s="195" t="inlineStr">
        <is>
          <t>7630 IMPACT THERAP-B; 2475 LUXSHARE ICT</t>
        </is>
      </c>
    </row>
    <row r="224">
      <c r="A224" s="32" t="inlineStr">
        <is>
          <t>Victory Giant Technology Holdings (Hong Kong) Limited</t>
        </is>
      </c>
      <c r="B224" s="191" t="n">
        <v>2</v>
      </c>
      <c r="C224" s="193" t="n">
        <v>50</v>
      </c>
      <c r="D224" s="194" t="n">
        <v>51</v>
      </c>
      <c r="E224" s="194" t="n">
        <v>32.5</v>
      </c>
      <c r="F224" s="194" t="n">
        <v>16.4</v>
      </c>
      <c r="G224" s="194" t="n">
        <v>38.2</v>
      </c>
      <c r="H224" s="194" t="n">
        <v>-6</v>
      </c>
      <c r="I224" s="194" t="n">
        <v>-15.8</v>
      </c>
      <c r="J224" s="194" t="n">
        <v>-32.2</v>
      </c>
      <c r="K224" s="195" t="inlineStr">
        <is>
          <t>9630 CFMEE; 1377 DTECH</t>
        </is>
      </c>
    </row>
    <row r="225">
      <c r="A225" s="32" t="inlineStr">
        <is>
          <t>Seraphim Advantage Inc</t>
        </is>
      </c>
      <c r="B225" s="191" t="n">
        <v>2</v>
      </c>
      <c r="C225" s="193" t="n">
        <v>100</v>
      </c>
      <c r="D225" s="194" t="n">
        <v>50.8</v>
      </c>
      <c r="E225" s="194" t="n">
        <v>75.90000000000001</v>
      </c>
      <c r="F225" s="194" t="n">
        <v>79.7</v>
      </c>
      <c r="G225" s="194" t="n">
        <v>175.9</v>
      </c>
      <c r="H225" s="194" t="n">
        <v>17.8</v>
      </c>
      <c r="I225" s="194" t="n">
        <v>20.7</v>
      </c>
      <c r="J225" s="194" t="n">
        <v>77.40000000000001</v>
      </c>
      <c r="K225" s="195" t="inlineStr">
        <is>
          <t>1318 MAO GEPING; 6168 ZHOU LIU FU</t>
        </is>
      </c>
    </row>
    <row r="226">
      <c r="A226" s="32" t="inlineStr">
        <is>
          <t>Yunfeng Capital</t>
        </is>
      </c>
      <c r="B226" s="191" t="n">
        <v>2</v>
      </c>
      <c r="C226" s="193" t="n">
        <v>100</v>
      </c>
      <c r="D226" s="194" t="n">
        <v>50.6</v>
      </c>
      <c r="E226" s="194" t="n">
        <v>93.09999999999999</v>
      </c>
      <c r="F226" s="194" t="n">
        <v>73.5</v>
      </c>
      <c r="G226" s="194" t="n">
        <v>236.8</v>
      </c>
      <c r="H226" s="194" t="n">
        <v>29</v>
      </c>
      <c r="I226" s="194" t="n">
        <v>16.6</v>
      </c>
      <c r="J226" s="194" t="n">
        <v>120.9</v>
      </c>
      <c r="K226" s="195" t="inlineStr">
        <is>
          <t>3986 GIGADEVICE; 6809 MONTAGE TECH</t>
        </is>
      </c>
    </row>
    <row r="227">
      <c r="A227" s="32" t="inlineStr">
        <is>
          <t>Gaoling Fund, L.P.</t>
        </is>
      </c>
      <c r="B227" s="191" t="n">
        <v>2</v>
      </c>
      <c r="C227" s="193" t="n">
        <v>100</v>
      </c>
      <c r="D227" s="194" t="n">
        <v>47.4</v>
      </c>
      <c r="E227" s="194" t="n">
        <v>44.6</v>
      </c>
      <c r="F227" s="194" t="n">
        <v>19.1</v>
      </c>
      <c r="G227" s="194" t="n">
        <v>12.9</v>
      </c>
      <c r="H227" s="194" t="n">
        <v>-2.2</v>
      </c>
      <c r="I227" s="194" t="n">
        <v>-19.4</v>
      </c>
      <c r="J227" s="194" t="n">
        <v>-23.7</v>
      </c>
      <c r="K227" s="195" t="inlineStr">
        <is>
          <t>2160 CARDIOFLOW-B; 2190 ZYLOXTB-B</t>
        </is>
      </c>
    </row>
    <row r="228">
      <c r="A228" s="32" t="inlineStr">
        <is>
          <t>Dacheng Fund Management Company Limited</t>
        </is>
      </c>
      <c r="B228" s="191" t="n">
        <v>2</v>
      </c>
      <c r="C228" s="193" t="n">
        <v>100</v>
      </c>
      <c r="D228" s="194" t="n">
        <v>46.3</v>
      </c>
      <c r="E228" s="194" t="n">
        <v>17.4</v>
      </c>
      <c r="F228" s="194" t="n">
        <v>-2.2</v>
      </c>
      <c r="G228" s="194" t="n">
        <v>-1.4</v>
      </c>
      <c r="H228" s="194" t="n">
        <v>-19.4</v>
      </c>
      <c r="I228" s="194" t="n">
        <v>-32.7</v>
      </c>
      <c r="J228" s="194" t="n">
        <v>-32.2</v>
      </c>
      <c r="K228" s="195" t="inlineStr">
        <is>
          <t>6938 RIBOLIFE-B; 6715 XUNLONG SCITECH</t>
        </is>
      </c>
    </row>
    <row r="229">
      <c r="A229" s="32" t="inlineStr">
        <is>
          <t>Black Dragon AP SPV1</t>
        </is>
      </c>
      <c r="B229" s="191" t="n">
        <v>2</v>
      </c>
      <c r="C229" s="193" t="n">
        <v>100</v>
      </c>
      <c r="D229" s="194" t="n">
        <v>46.1</v>
      </c>
      <c r="E229" s="194" t="n">
        <v>44.3</v>
      </c>
      <c r="F229" s="194" t="n">
        <v>49.3</v>
      </c>
      <c r="G229" s="194" t="n">
        <v>9.5</v>
      </c>
      <c r="H229" s="194" t="n">
        <v>-1.1</v>
      </c>
      <c r="I229" s="194" t="n">
        <v>2</v>
      </c>
      <c r="J229" s="194" t="n">
        <v>-25</v>
      </c>
      <c r="K229" s="195" t="inlineStr">
        <is>
          <t>6603 IFBH; 2476 VGT</t>
        </is>
      </c>
    </row>
    <row r="230">
      <c r="A230" s="32" t="inlineStr">
        <is>
          <t>Splendid Biotech Fund L.P</t>
        </is>
      </c>
      <c r="B230" s="191" t="n">
        <v>2</v>
      </c>
      <c r="C230" s="193" t="n">
        <v>100</v>
      </c>
      <c r="D230" s="194" t="n">
        <v>46.1</v>
      </c>
      <c r="E230" s="194" t="n">
        <v>49</v>
      </c>
      <c r="F230" s="194" t="n">
        <v>38.4</v>
      </c>
      <c r="G230" s="194" t="n">
        <v>22.5</v>
      </c>
      <c r="H230" s="194" t="n">
        <v>0.9</v>
      </c>
      <c r="I230" s="194" t="n">
        <v>-8.4</v>
      </c>
      <c r="J230" s="194" t="n">
        <v>-18.2</v>
      </c>
      <c r="K230" s="195" t="inlineStr">
        <is>
          <t>9887 LEADS BIOLABS-B; 2493 MABWELL-B</t>
        </is>
      </c>
    </row>
    <row r="231">
      <c r="A231" s="32" t="inlineStr">
        <is>
          <t>CMBC International</t>
        </is>
      </c>
      <c r="B231" s="191" t="n">
        <v>2</v>
      </c>
      <c r="C231" s="193" t="n">
        <v>100</v>
      </c>
      <c r="D231" s="194" t="n">
        <v>43.2</v>
      </c>
      <c r="E231" s="194" t="n">
        <v>20.7</v>
      </c>
      <c r="F231" s="194" t="n">
        <v>-3.2</v>
      </c>
      <c r="G231" s="194" t="n">
        <v>2</v>
      </c>
      <c r="H231" s="194" t="n">
        <v>-10.3</v>
      </c>
      <c r="I231" s="194" t="n">
        <v>-27.4</v>
      </c>
      <c r="J231" s="194" t="n">
        <v>-25.8</v>
      </c>
      <c r="K231" s="195" t="inlineStr">
        <is>
          <t>2692 ZHAOWEI; 1956 WENGE AI</t>
        </is>
      </c>
    </row>
    <row r="232">
      <c r="A232" s="32" t="inlineStr">
        <is>
          <t>Enhanced Investment Products Limited</t>
        </is>
      </c>
      <c r="B232" s="191" t="n">
        <v>2</v>
      </c>
      <c r="C232" s="193" t="n">
        <v>100</v>
      </c>
      <c r="D232" s="194" t="n">
        <v>39.4</v>
      </c>
      <c r="E232" s="194" t="n">
        <v>38.4</v>
      </c>
      <c r="F232" s="194" t="n">
        <v>34.2</v>
      </c>
      <c r="G232" s="194" t="n">
        <v>23.6</v>
      </c>
      <c r="H232" s="194" t="n">
        <v>-0.5</v>
      </c>
      <c r="I232" s="194" t="n">
        <v>-3.3</v>
      </c>
      <c r="J232" s="194" t="n">
        <v>-15.2</v>
      </c>
      <c r="K232" s="195" t="inlineStr">
        <is>
          <t>6082 BIREN TECH; 9981 WOER</t>
        </is>
      </c>
    </row>
    <row r="233">
      <c r="A233" s="32" t="inlineStr">
        <is>
          <t>Kunming Jiashiqing Investment Partnership (Limited Partnership)</t>
        </is>
      </c>
      <c r="B233" s="191" t="n">
        <v>2</v>
      </c>
      <c r="C233" s="193" t="n">
        <v>100</v>
      </c>
      <c r="D233" s="194" t="n">
        <v>35.8</v>
      </c>
      <c r="E233" s="194" t="n">
        <v>38.2</v>
      </c>
      <c r="F233" s="194" t="n">
        <v>28.7</v>
      </c>
      <c r="G233" s="194" t="n">
        <v>40.5</v>
      </c>
      <c r="H233" s="194" t="n">
        <v>1.7</v>
      </c>
      <c r="I233" s="194" t="n">
        <v>-5.3</v>
      </c>
      <c r="J233" s="194" t="n">
        <v>3.4</v>
      </c>
      <c r="K233" s="195" t="inlineStr">
        <is>
          <t>2257 SIRNAOMICS-B; 2373 BEAUTYFARM MED</t>
        </is>
      </c>
    </row>
    <row r="234">
      <c r="A234" s="32" t="inlineStr">
        <is>
          <t>HONG KONG MASON ELECTRONICS CO., LIMITED</t>
        </is>
      </c>
      <c r="B234" s="191" t="n">
        <v>2</v>
      </c>
      <c r="C234" s="193" t="n">
        <v>100</v>
      </c>
      <c r="D234" s="194" t="n">
        <v>30.2</v>
      </c>
      <c r="E234" s="194" t="n">
        <v>42.9</v>
      </c>
      <c r="F234" s="194" t="n">
        <v>65</v>
      </c>
      <c r="G234" s="194" t="n">
        <v>9.6</v>
      </c>
      <c r="H234" s="194" t="n">
        <v>-4.8</v>
      </c>
      <c r="I234" s="194" t="n">
        <v>9.9</v>
      </c>
      <c r="J234" s="194" t="n">
        <v>-27</v>
      </c>
      <c r="K234" s="195" t="inlineStr">
        <is>
          <t>2476 VGT; 3228 KINWONG</t>
        </is>
      </c>
    </row>
    <row r="235">
      <c r="A235" s="32" t="inlineStr">
        <is>
          <t>Tianhong Asset Management Co., Ltd</t>
        </is>
      </c>
      <c r="B235" s="191" t="n">
        <v>2</v>
      </c>
      <c r="C235" s="193" t="n">
        <v>100</v>
      </c>
      <c r="D235" s="194" t="n">
        <v>30.2</v>
      </c>
      <c r="E235" s="194" t="n">
        <v>42.9</v>
      </c>
      <c r="F235" s="194" t="n">
        <v>65</v>
      </c>
      <c r="G235" s="194" t="n">
        <v>9.6</v>
      </c>
      <c r="H235" s="194" t="n">
        <v>-4.8</v>
      </c>
      <c r="I235" s="194" t="n">
        <v>9.9</v>
      </c>
      <c r="J235" s="194" t="n">
        <v>-27</v>
      </c>
      <c r="K235" s="195" t="inlineStr">
        <is>
          <t>2476 VGT; 3228 KINWONG</t>
        </is>
      </c>
    </row>
    <row r="236">
      <c r="A236" s="32" t="inlineStr">
        <is>
          <t>Nova Kerry Inc</t>
        </is>
      </c>
      <c r="B236" s="191" t="n">
        <v>2</v>
      </c>
      <c r="C236" s="193" t="n">
        <v>100</v>
      </c>
      <c r="D236" s="194" t="n">
        <v>27.7</v>
      </c>
      <c r="E236" s="194" t="n">
        <v>-7.8</v>
      </c>
      <c r="F236" s="194" t="n">
        <v>-33.7</v>
      </c>
      <c r="G236" s="194" t="n">
        <v>-24.4</v>
      </c>
      <c r="H236" s="194" t="n">
        <v>-27</v>
      </c>
      <c r="I236" s="194" t="n">
        <v>-47.9</v>
      </c>
      <c r="J236" s="194" t="n">
        <v>-39.7</v>
      </c>
      <c r="K236" s="195" t="inlineStr">
        <is>
          <t>6106 SEER TECH; 6715 XUNLONG SCITECH</t>
        </is>
      </c>
    </row>
    <row r="237">
      <c r="A237" s="32" t="inlineStr">
        <is>
          <t>Global Superior Choice Fund 1 SP</t>
        </is>
      </c>
      <c r="B237" s="191" t="n">
        <v>2</v>
      </c>
      <c r="C237" s="193" t="n">
        <v>50</v>
      </c>
      <c r="D237" s="194" t="n">
        <v>25.7</v>
      </c>
      <c r="E237" s="194" t="n">
        <v>15.1</v>
      </c>
      <c r="F237" s="194" t="n">
        <v>19.3</v>
      </c>
      <c r="G237" s="194" t="n">
        <v>-43.4</v>
      </c>
      <c r="H237" s="194" t="n">
        <v>-4.4</v>
      </c>
      <c r="I237" s="194" t="n">
        <v>10.1</v>
      </c>
      <c r="J237" s="194" t="n">
        <v>-24.2</v>
      </c>
      <c r="K237" s="195" t="inlineStr">
        <is>
          <t>7630 IMPACT THERAP-B; 6132 HJ SCIENCE-B</t>
        </is>
      </c>
    </row>
    <row r="238">
      <c r="A238" s="32" t="inlineStr">
        <is>
          <t>New Alternative Limited</t>
        </is>
      </c>
      <c r="B238" s="191" t="n">
        <v>2</v>
      </c>
      <c r="C238" s="193" t="n">
        <v>50</v>
      </c>
      <c r="D238" s="194" t="n">
        <v>25</v>
      </c>
      <c r="E238" s="194" t="n">
        <v>15.4</v>
      </c>
      <c r="F238" s="194" t="n">
        <v>26.5</v>
      </c>
      <c r="G238" s="194" t="n">
        <v>-8.300000000000001</v>
      </c>
      <c r="H238" s="194" t="n">
        <v>-8.5</v>
      </c>
      <c r="I238" s="194" t="n">
        <v>-1</v>
      </c>
      <c r="J238" s="194" t="n">
        <v>-26.6</v>
      </c>
      <c r="K238" s="195" t="inlineStr">
        <is>
          <t>9927 SERES; 2476 VGT</t>
        </is>
      </c>
    </row>
    <row r="239">
      <c r="A239" s="32" t="inlineStr">
        <is>
          <t>Ovata Capital Management Limited</t>
        </is>
      </c>
      <c r="B239" s="191" t="n">
        <v>2</v>
      </c>
      <c r="C239" s="193" t="n">
        <v>50</v>
      </c>
      <c r="D239" s="194" t="n">
        <v>25</v>
      </c>
      <c r="E239" s="194" t="n">
        <v>21.8</v>
      </c>
      <c r="F239" s="194" t="n">
        <v>28</v>
      </c>
      <c r="G239" s="194" t="n">
        <v>12.5</v>
      </c>
      <c r="H239" s="194" t="n">
        <v>-2.1</v>
      </c>
      <c r="I239" s="194" t="n">
        <v>0.4</v>
      </c>
      <c r="J239" s="194" t="n">
        <v>-5.7</v>
      </c>
      <c r="K239" s="195" t="inlineStr">
        <is>
          <t>0470 WUXI LEAD; 2476 VGT</t>
        </is>
      </c>
    </row>
    <row r="240">
      <c r="A240" s="32" t="inlineStr">
        <is>
          <t>Stoneylake Global Alpha Fund</t>
        </is>
      </c>
      <c r="B240" s="191" t="n">
        <v>2</v>
      </c>
      <c r="C240" s="193" t="n">
        <v>100</v>
      </c>
      <c r="D240" s="194" t="n">
        <v>24.9</v>
      </c>
      <c r="E240" s="194" t="n">
        <v>19.9</v>
      </c>
      <c r="F240" s="194" t="n">
        <v>5.2</v>
      </c>
      <c r="G240" s="194" t="n">
        <v>-9.5</v>
      </c>
      <c r="H240" s="194" t="n">
        <v>-4.1</v>
      </c>
      <c r="I240" s="194" t="n">
        <v>-15.9</v>
      </c>
      <c r="J240" s="194" t="n">
        <v>-27.5</v>
      </c>
      <c r="K240" s="195" t="inlineStr">
        <is>
          <t>6687 JST GROUP; 3636 JINXUN RESOURCE</t>
        </is>
      </c>
    </row>
    <row r="241">
      <c r="A241" s="32" t="inlineStr">
        <is>
          <t>Bright Ambition</t>
        </is>
      </c>
      <c r="B241" s="191" t="n">
        <v>2</v>
      </c>
      <c r="C241" s="193" t="n">
        <v>100</v>
      </c>
      <c r="D241" s="194" t="n">
        <v>24.6</v>
      </c>
      <c r="E241" s="194" t="n">
        <v>13.7</v>
      </c>
      <c r="F241" s="194" t="n">
        <v>15.9</v>
      </c>
      <c r="G241" s="194" t="n">
        <v>31.7</v>
      </c>
      <c r="H241" s="194" t="n">
        <v>-8.9</v>
      </c>
      <c r="I241" s="194" t="n">
        <v>-5.5</v>
      </c>
      <c r="J241" s="194" t="n">
        <v>9.6</v>
      </c>
      <c r="K241" s="195" t="inlineStr">
        <is>
          <t>2585 MOKINGRAN; 6938 RIBOLIFE-B</t>
        </is>
      </c>
    </row>
    <row r="242">
      <c r="A242" s="32" t="inlineStr">
        <is>
          <t>M&amp;G Investments</t>
        </is>
      </c>
      <c r="B242" s="191" t="n">
        <v>2</v>
      </c>
      <c r="C242" s="193" t="n">
        <v>100</v>
      </c>
      <c r="D242" s="194" t="n">
        <v>22.8</v>
      </c>
      <c r="E242" s="194" t="n">
        <v>52.8</v>
      </c>
      <c r="F242" s="194" t="n">
        <v>50</v>
      </c>
      <c r="G242" s="194" t="n">
        <v>83.7</v>
      </c>
      <c r="H242" s="194" t="n">
        <v>22.2</v>
      </c>
      <c r="I242" s="194" t="n">
        <v>17.6</v>
      </c>
      <c r="J242" s="194" t="n">
        <v>40.4</v>
      </c>
      <c r="K242" s="195" t="inlineStr">
        <is>
          <t>2097 MIXUE GROUP; 2692 ZHAOWEI</t>
        </is>
      </c>
    </row>
    <row r="243">
      <c r="A243" s="32" t="inlineStr">
        <is>
          <t>First Sentier Investors (Hong Kong) Limited</t>
        </is>
      </c>
      <c r="B243" s="191" t="n">
        <v>2</v>
      </c>
      <c r="C243" s="193" t="n">
        <v>50</v>
      </c>
      <c r="D243" s="194" t="n">
        <v>22.8</v>
      </c>
      <c r="E243" s="194" t="n">
        <v>16.4</v>
      </c>
      <c r="F243" s="194" t="n">
        <v>2.5</v>
      </c>
      <c r="G243" s="194" t="n">
        <v>7.8</v>
      </c>
      <c r="H243" s="194" t="n">
        <v>-5</v>
      </c>
      <c r="I243" s="194" t="n">
        <v>-13.5</v>
      </c>
      <c r="J243" s="194" t="n">
        <v>-26.7</v>
      </c>
      <c r="K243" s="195" t="inlineStr">
        <is>
          <t>3661 SG MICRO; 2475 LUXSHARE ICT</t>
        </is>
      </c>
    </row>
    <row r="244">
      <c r="A244" s="32" t="inlineStr">
        <is>
          <t>Deliante Holdings Co., Ltd</t>
        </is>
      </c>
      <c r="B244" s="191" t="n">
        <v>2</v>
      </c>
      <c r="C244" s="193" t="n">
        <v>50</v>
      </c>
      <c r="D244" s="194" t="n">
        <v>22.7</v>
      </c>
      <c r="E244" s="194" t="n">
        <v>18.9</v>
      </c>
      <c r="F244" s="194" t="n">
        <v>13.9</v>
      </c>
      <c r="G244" s="194" t="n">
        <v>-16.6</v>
      </c>
      <c r="H244" s="194" t="n">
        <v>-2.6</v>
      </c>
      <c r="I244" s="194" t="n">
        <v>-12.1</v>
      </c>
      <c r="J244" s="194" t="n">
        <v>-33.5</v>
      </c>
      <c r="K244" s="195" t="inlineStr">
        <is>
          <t>2476 VGT; 1688 LINGYI ITECH</t>
        </is>
      </c>
    </row>
    <row r="245">
      <c r="A245" s="32" t="inlineStr">
        <is>
          <t>CNCB (Hong Kong) Investment Limited</t>
        </is>
      </c>
      <c r="B245" s="191" t="n">
        <v>2</v>
      </c>
      <c r="C245" s="193" t="n">
        <v>50</v>
      </c>
      <c r="D245" s="194" t="n">
        <v>20.5</v>
      </c>
      <c r="E245" s="194" t="n">
        <v>42.9</v>
      </c>
      <c r="F245" s="194" t="n">
        <v>65</v>
      </c>
      <c r="G245" s="194" t="n">
        <v>9.6</v>
      </c>
      <c r="H245" s="194" t="n">
        <v>-4.8</v>
      </c>
      <c r="I245" s="194" t="n">
        <v>9.9</v>
      </c>
      <c r="J245" s="194" t="n">
        <v>-27</v>
      </c>
      <c r="K245" s="195" t="inlineStr">
        <is>
          <t>2476 VGT; 9607 RA MATERIALS</t>
        </is>
      </c>
    </row>
    <row r="246">
      <c r="A246" s="32" t="inlineStr">
        <is>
          <t>Fourier Capital</t>
        </is>
      </c>
      <c r="B246" s="191" t="n">
        <v>2</v>
      </c>
      <c r="C246" s="193" t="n">
        <v>100</v>
      </c>
      <c r="D246" s="194" t="n">
        <v>19.9</v>
      </c>
      <c r="E246" s="194" t="n">
        <v>17.2</v>
      </c>
      <c r="F246" s="194" t="n">
        <v>7.9</v>
      </c>
      <c r="G246" s="194" t="n">
        <v>29.4</v>
      </c>
      <c r="H246" s="194" t="n">
        <v>-2</v>
      </c>
      <c r="I246" s="194" t="n">
        <v>-9.300000000000001</v>
      </c>
      <c r="J246" s="194" t="n">
        <v>9</v>
      </c>
      <c r="K246" s="195" t="inlineStr">
        <is>
          <t>1304 FORTIOR; 6687 JST GROUP</t>
        </is>
      </c>
    </row>
    <row r="247">
      <c r="A247" s="32" t="inlineStr">
        <is>
          <t>Al-Rayyan Holding LLC</t>
        </is>
      </c>
      <c r="B247" s="191" t="n">
        <v>2</v>
      </c>
      <c r="C247" s="193" t="n">
        <v>100</v>
      </c>
      <c r="D247" s="194" t="n">
        <v>18.7</v>
      </c>
      <c r="E247" s="194" t="n">
        <v>20.8</v>
      </c>
      <c r="F247" s="194" t="n">
        <v>18.7</v>
      </c>
      <c r="G247" s="194" t="n">
        <v>-11.2</v>
      </c>
      <c r="H247" s="194" t="n">
        <v>1.4</v>
      </c>
      <c r="I247" s="194" t="n">
        <v>-2</v>
      </c>
      <c r="J247" s="194" t="n">
        <v>-23.8</v>
      </c>
      <c r="K247" s="195" t="inlineStr">
        <is>
          <t>2268 WUXI XDC; 9980 EASTROC</t>
        </is>
      </c>
    </row>
    <row r="248">
      <c r="A248" s="32" t="inlineStr">
        <is>
          <t>Turquoise Hime (ORIX)</t>
        </is>
      </c>
      <c r="B248" s="191" t="n">
        <v>2</v>
      </c>
      <c r="C248" s="193" t="n">
        <v>100</v>
      </c>
      <c r="D248" s="194" t="n">
        <v>18.7</v>
      </c>
      <c r="E248" s="194" t="n">
        <v>28.4</v>
      </c>
      <c r="F248" s="194" t="n">
        <v>78.3</v>
      </c>
      <c r="G248" s="194" t="n">
        <v>115.7</v>
      </c>
      <c r="H248" s="194" t="n">
        <v>6.6</v>
      </c>
      <c r="I248" s="194" t="n">
        <v>34.3</v>
      </c>
      <c r="J248" s="194" t="n">
        <v>62.4</v>
      </c>
      <c r="K248" s="195" t="inlineStr">
        <is>
          <t>2788 CHUANGXIN IND; 9856 LIGENT</t>
        </is>
      </c>
    </row>
    <row r="249">
      <c r="A249" s="32" t="inlineStr">
        <is>
          <t>Wisdomshire Asset Management Co., Ltd</t>
        </is>
      </c>
      <c r="B249" s="191" t="n">
        <v>2</v>
      </c>
      <c r="C249" s="193" t="n">
        <v>50</v>
      </c>
      <c r="D249" s="194" t="n">
        <v>18.6</v>
      </c>
      <c r="E249" s="194" t="n">
        <v>22.4</v>
      </c>
      <c r="F249" s="194" t="n">
        <v>-1.2</v>
      </c>
      <c r="G249" s="194" t="n">
        <v>22.1</v>
      </c>
      <c r="H249" s="194" t="n">
        <v>2.1</v>
      </c>
      <c r="I249" s="194" t="n">
        <v>-14.6</v>
      </c>
      <c r="J249" s="194" t="n">
        <v>4</v>
      </c>
      <c r="K249" s="195" t="inlineStr">
        <is>
          <t>6936 SF HOLDING; 1779 LONGBIO-B</t>
        </is>
      </c>
    </row>
    <row r="250">
      <c r="A250" s="32" t="inlineStr">
        <is>
          <t>Long-Z Fund I, LP</t>
        </is>
      </c>
      <c r="B250" s="191" t="n">
        <v>2</v>
      </c>
      <c r="C250" s="193" t="n">
        <v>50</v>
      </c>
      <c r="D250" s="194" t="n">
        <v>18.4</v>
      </c>
      <c r="E250" s="194" t="n">
        <v>46.1</v>
      </c>
      <c r="F250" s="194" t="n">
        <v>76.2</v>
      </c>
      <c r="G250" s="194" t="n">
        <v>168.8</v>
      </c>
      <c r="H250" s="194" t="n">
        <v>20.1</v>
      </c>
      <c r="I250" s="194" t="n">
        <v>49.9</v>
      </c>
      <c r="J250" s="194" t="n">
        <v>135.3</v>
      </c>
      <c r="K250" s="195" t="inlineStr">
        <is>
          <t>1364 GUMING; 2097 MIXUE GROUP</t>
        </is>
      </c>
    </row>
    <row r="251">
      <c r="A251" s="32" t="inlineStr">
        <is>
          <t>FR M CONSULTING CO., LTD</t>
        </is>
      </c>
      <c r="B251" s="191" t="n">
        <v>2</v>
      </c>
      <c r="C251" s="193" t="n">
        <v>50</v>
      </c>
      <c r="D251" s="194" t="n">
        <v>18.1</v>
      </c>
      <c r="E251" s="194" t="n">
        <v>21.6</v>
      </c>
      <c r="F251" s="194" t="n">
        <v>-8.6</v>
      </c>
      <c r="G251" s="194" t="n">
        <v>7.8</v>
      </c>
      <c r="H251" s="194" t="n">
        <v>1.8</v>
      </c>
      <c r="I251" s="194" t="n">
        <v>-21.5</v>
      </c>
      <c r="J251" s="194" t="n">
        <v>-9.800000000000001</v>
      </c>
      <c r="K251" s="195" t="inlineStr">
        <is>
          <t>1187 COFOE MEDICAL; 1779 LONGBIO-B</t>
        </is>
      </c>
    </row>
    <row r="252">
      <c r="A252" s="32" t="inlineStr">
        <is>
          <t>Xiamen Evere Sports Goods Co., Ltd</t>
        </is>
      </c>
      <c r="B252" s="191" t="n">
        <v>2</v>
      </c>
      <c r="C252" s="193" t="n">
        <v>100</v>
      </c>
      <c r="D252" s="194" t="n">
        <v>17.7</v>
      </c>
      <c r="E252" s="194" t="n">
        <v>25.5</v>
      </c>
      <c r="F252" s="194" t="n">
        <v>24.9</v>
      </c>
      <c r="G252" s="194" t="n">
        <v>15.9</v>
      </c>
      <c r="H252" s="194" t="n">
        <v>5.7</v>
      </c>
      <c r="I252" s="194" t="n">
        <v>6.5</v>
      </c>
      <c r="J252" s="194" t="n">
        <v>-1.2</v>
      </c>
      <c r="K252" s="195" t="inlineStr">
        <is>
          <t>3650 KEEP; 2726 EPIWORLD</t>
        </is>
      </c>
    </row>
    <row r="253">
      <c r="A253" s="32" t="inlineStr">
        <is>
          <t>Optimas Capital Limited</t>
        </is>
      </c>
      <c r="B253" s="191" t="n">
        <v>2</v>
      </c>
      <c r="C253" s="193" t="n">
        <v>100</v>
      </c>
      <c r="D253" s="194" t="n">
        <v>17.2</v>
      </c>
      <c r="E253" s="194" t="n">
        <v>59.3</v>
      </c>
      <c r="F253" s="194" t="n">
        <v>56.8</v>
      </c>
      <c r="G253" s="194" t="n">
        <v>335.8</v>
      </c>
      <c r="H253" s="194" t="n">
        <v>37.5</v>
      </c>
      <c r="I253" s="194" t="n">
        <v>34.5</v>
      </c>
      <c r="J253" s="194" t="n">
        <v>281.4</v>
      </c>
      <c r="K253" s="195" t="inlineStr">
        <is>
          <t>2513 KNOWLEDGE ATLAS; 3388 CREALITY</t>
        </is>
      </c>
    </row>
    <row r="254">
      <c r="A254" s="32" t="inlineStr">
        <is>
          <t>Schonfeld Strategic Advisors (Hong Kong) Limited</t>
        </is>
      </c>
      <c r="B254" s="191" t="n">
        <v>2</v>
      </c>
      <c r="C254" s="193" t="n">
        <v>50</v>
      </c>
      <c r="D254" s="194" t="n">
        <v>16.9</v>
      </c>
      <c r="E254" s="194" t="n">
        <v>6.1</v>
      </c>
      <c r="F254" s="194" t="n">
        <v>5.7</v>
      </c>
      <c r="G254" s="194" t="n">
        <v>5.3</v>
      </c>
      <c r="H254" s="194" t="n">
        <v>-8.199999999999999</v>
      </c>
      <c r="I254" s="194" t="n">
        <v>-8.800000000000001</v>
      </c>
      <c r="J254" s="194" t="n">
        <v>-9.800000000000001</v>
      </c>
      <c r="K254" s="195" t="inlineStr">
        <is>
          <t>6166 CIG; 7618 JD INDUSTRIALS</t>
        </is>
      </c>
    </row>
    <row r="255">
      <c r="A255" s="32" t="inlineStr">
        <is>
          <t>Pointer Investment (Hong Kong) Limited</t>
        </is>
      </c>
      <c r="B255" s="191" t="n">
        <v>2</v>
      </c>
      <c r="C255" s="193" t="n">
        <v>50</v>
      </c>
      <c r="D255" s="194" t="n">
        <v>16.3</v>
      </c>
      <c r="E255" s="194" t="n">
        <v>24.3</v>
      </c>
      <c r="F255" s="194" t="n">
        <v>27.8</v>
      </c>
      <c r="G255" s="194" t="n">
        <v>59.1</v>
      </c>
      <c r="H255" s="194" t="n">
        <v>4.7</v>
      </c>
      <c r="I255" s="194" t="n">
        <v>5.9</v>
      </c>
      <c r="J255" s="194" t="n">
        <v>32.5</v>
      </c>
      <c r="K255" s="195" t="inlineStr">
        <is>
          <t>2579 CNGR; 2788 CHUANGXIN IND</t>
        </is>
      </c>
    </row>
    <row r="256">
      <c r="A256" s="32" t="inlineStr">
        <is>
          <t>Wildlife Willow Limited</t>
        </is>
      </c>
      <c r="B256" s="191" t="n">
        <v>2</v>
      </c>
      <c r="C256" s="193" t="n">
        <v>100</v>
      </c>
      <c r="D256" s="194" t="n">
        <v>15.6</v>
      </c>
      <c r="E256" s="194" t="n">
        <v>8.9</v>
      </c>
      <c r="F256" s="194" t="n">
        <v>-7.6</v>
      </c>
      <c r="G256" s="194" t="n">
        <v>-21.6</v>
      </c>
      <c r="H256" s="194" t="n">
        <v>-5.8</v>
      </c>
      <c r="I256" s="194" t="n">
        <v>-20.1</v>
      </c>
      <c r="J256" s="194" t="n">
        <v>-32.1</v>
      </c>
      <c r="K256" s="195" t="inlineStr">
        <is>
          <t>2460 CR BEVERAGE; 0501 OMNIVISION</t>
        </is>
      </c>
    </row>
    <row r="257">
      <c r="A257" s="32" t="inlineStr">
        <is>
          <t>China Alpha Fund Management (HK) Limited</t>
        </is>
      </c>
      <c r="B257" s="191" t="n">
        <v>2</v>
      </c>
      <c r="C257" s="193" t="n">
        <v>50</v>
      </c>
      <c r="D257" s="194" t="n">
        <v>15.4</v>
      </c>
      <c r="E257" s="194" t="n">
        <v>21.7</v>
      </c>
      <c r="F257" s="194" t="n">
        <v>12.9</v>
      </c>
      <c r="G257" s="194" t="n">
        <v>-0.7</v>
      </c>
      <c r="H257" s="194" t="n">
        <v>3.3</v>
      </c>
      <c r="I257" s="194" t="n">
        <v>-3.4</v>
      </c>
      <c r="J257" s="194" t="n">
        <v>-15.4</v>
      </c>
      <c r="K257" s="195" t="inlineStr">
        <is>
          <t>9927 SERES; 2675 EDGE MEDICAL-B</t>
        </is>
      </c>
    </row>
    <row r="258">
      <c r="A258" s="32" t="inlineStr">
        <is>
          <t>Baheal Wellness Limited</t>
        </is>
      </c>
      <c r="B258" s="191" t="n">
        <v>2</v>
      </c>
      <c r="C258" s="193" t="n">
        <v>50</v>
      </c>
      <c r="D258" s="194" t="n">
        <v>15</v>
      </c>
      <c r="E258" s="194" t="n">
        <v>43.5</v>
      </c>
      <c r="F258" s="194" t="n">
        <v>36.6</v>
      </c>
      <c r="G258" s="194" t="n">
        <v>-20.5</v>
      </c>
      <c r="H258" s="194" t="n">
        <v>23.3</v>
      </c>
      <c r="I258" s="194" t="n">
        <v>16.4</v>
      </c>
      <c r="J258" s="194" t="n">
        <v>-31.7</v>
      </c>
      <c r="K258" s="195" t="inlineStr">
        <is>
          <t>2361 SINOHEALTH HLDG; 2563 BIOSTAR PHARM-B</t>
        </is>
      </c>
    </row>
    <row r="259">
      <c r="A259" s="32" t="inlineStr">
        <is>
          <t>Bridge Zone Group Limited</t>
        </is>
      </c>
      <c r="B259" s="191" t="n">
        <v>2</v>
      </c>
      <c r="C259" s="193" t="n">
        <v>100</v>
      </c>
      <c r="D259" s="194" t="n">
        <v>14.2</v>
      </c>
      <c r="E259" s="194" t="n">
        <v>21.3</v>
      </c>
      <c r="F259" s="194" t="n">
        <v>9</v>
      </c>
      <c r="G259" s="194" t="n">
        <v>-12.9</v>
      </c>
      <c r="H259" s="194" t="n">
        <v>6.5</v>
      </c>
      <c r="I259" s="194" t="n">
        <v>-5</v>
      </c>
      <c r="J259" s="194" t="n">
        <v>-22.9</v>
      </c>
      <c r="K259" s="195" t="inlineStr">
        <is>
          <t>3636 JINXUN RESOURCE; 2692 ZHAOWEI</t>
        </is>
      </c>
    </row>
    <row r="260">
      <c r="A260" s="32" t="inlineStr">
        <is>
          <t>OmniVision HK</t>
        </is>
      </c>
      <c r="B260" s="191" t="n">
        <v>2</v>
      </c>
      <c r="C260" s="193" t="n">
        <v>100</v>
      </c>
      <c r="D260" s="194" t="n">
        <v>14</v>
      </c>
      <c r="E260" s="194" t="n">
        <v>17.3</v>
      </c>
      <c r="F260" s="194" t="n">
        <v>37</v>
      </c>
      <c r="G260" s="194" t="n">
        <v>45.3</v>
      </c>
      <c r="H260" s="194" t="n">
        <v>2.9</v>
      </c>
      <c r="I260" s="194" t="n">
        <v>20.3</v>
      </c>
      <c r="J260" s="194" t="n">
        <v>27.3</v>
      </c>
      <c r="K260" s="195" t="inlineStr">
        <is>
          <t>3200 HANS CNC; 3296 HUAQIN</t>
        </is>
      </c>
    </row>
    <row r="261">
      <c r="A261" s="32" t="inlineStr">
        <is>
          <t>Close associate of an existing Shareholder WeRide Inc</t>
        </is>
      </c>
      <c r="B261" s="191" t="n">
        <v>2</v>
      </c>
      <c r="C261" s="193" t="n">
        <v>50</v>
      </c>
      <c r="D261" s="194" t="n">
        <v>13.9</v>
      </c>
      <c r="E261" s="194" t="n">
        <v>17.5</v>
      </c>
      <c r="F261" s="194" t="n">
        <v>10.6</v>
      </c>
      <c r="G261" s="194" t="n">
        <v>-4.8</v>
      </c>
      <c r="H261" s="194" t="n">
        <v>0.4</v>
      </c>
      <c r="I261" s="194" t="n">
        <v>-4.3</v>
      </c>
      <c r="J261" s="194" t="n">
        <v>-18.5</v>
      </c>
      <c r="K261" s="195" t="inlineStr">
        <is>
          <t>9680 CHENQI TECH; 2675 EDGE MEDICAL-B</t>
        </is>
      </c>
    </row>
    <row r="262">
      <c r="A262" s="32" t="inlineStr">
        <is>
          <t>Mercuria Holdings (Singapore) Pte. Ltd</t>
        </is>
      </c>
      <c r="B262" s="191" t="n">
        <v>2</v>
      </c>
      <c r="C262" s="193" t="n">
        <v>50</v>
      </c>
      <c r="D262" s="194" t="n">
        <v>13.1</v>
      </c>
      <c r="E262" s="194" t="n">
        <v>28.6</v>
      </c>
      <c r="F262" s="194" t="n">
        <v>39</v>
      </c>
      <c r="G262" s="194" t="n">
        <v>72.09999999999999</v>
      </c>
      <c r="H262" s="194" t="n">
        <v>12.3</v>
      </c>
      <c r="I262" s="194" t="n">
        <v>20.5</v>
      </c>
      <c r="J262" s="194" t="n">
        <v>50</v>
      </c>
      <c r="K262" s="195" t="inlineStr">
        <is>
          <t>2788 CHUANGXIN IND; 6228 MERDEKAGOLD-DRS</t>
        </is>
      </c>
    </row>
    <row r="263">
      <c r="A263" s="32" t="inlineStr">
        <is>
          <t>Pamalican Fund Ltd</t>
        </is>
      </c>
      <c r="B263" s="191" t="n">
        <v>2</v>
      </c>
      <c r="C263" s="193" t="n">
        <v>100</v>
      </c>
      <c r="D263" s="194" t="n">
        <v>11.4</v>
      </c>
      <c r="E263" s="194" t="n">
        <v>17.8</v>
      </c>
      <c r="F263" s="194" t="n">
        <v>10.8</v>
      </c>
      <c r="G263" s="194" t="n">
        <v>10.4</v>
      </c>
      <c r="H263" s="194" t="n">
        <v>6.2</v>
      </c>
      <c r="I263" s="194" t="n">
        <v>0.3</v>
      </c>
      <c r="J263" s="194" t="n">
        <v>0</v>
      </c>
      <c r="K263" s="195" t="inlineStr">
        <is>
          <t>0300 MIDEA GROUP; 2460 CR BEVERAGE</t>
        </is>
      </c>
    </row>
    <row r="264">
      <c r="A264" s="32" t="inlineStr">
        <is>
          <t>Industrial Investment Fund (Limited Partnership) Star Group Limited</t>
        </is>
      </c>
      <c r="B264" s="191" t="n">
        <v>2</v>
      </c>
      <c r="C264" s="193" t="n">
        <v>100</v>
      </c>
      <c r="D264" s="194" t="n">
        <v>9.9</v>
      </c>
      <c r="E264" s="194" t="n">
        <v>9.9</v>
      </c>
      <c r="F264" s="194" t="n">
        <v>13.7</v>
      </c>
      <c r="G264" s="194" t="n">
        <v>65.09999999999999</v>
      </c>
      <c r="H264" s="194" t="n">
        <v>-0.2</v>
      </c>
      <c r="I264" s="194" t="n">
        <v>3.3</v>
      </c>
      <c r="J264" s="194" t="n">
        <v>50.3</v>
      </c>
      <c r="K264" s="195" t="inlineStr">
        <is>
          <t>2506 XUNFEIHEALTH; 3200 HANS CNC</t>
        </is>
      </c>
    </row>
    <row r="265">
      <c r="A265" s="32" t="inlineStr">
        <is>
          <t>Yishao Capital</t>
        </is>
      </c>
      <c r="B265" s="191" t="n">
        <v>2</v>
      </c>
      <c r="C265" s="193" t="n">
        <v>100</v>
      </c>
      <c r="D265" s="194" t="n">
        <v>9.800000000000001</v>
      </c>
      <c r="E265" s="194" t="n">
        <v>4.5</v>
      </c>
      <c r="F265" s="194" t="n">
        <v>22.1</v>
      </c>
      <c r="G265" s="194" t="n">
        <v>-31.3</v>
      </c>
      <c r="H265" s="194" t="n">
        <v>-5.6</v>
      </c>
      <c r="I265" s="194" t="n">
        <v>8.5</v>
      </c>
      <c r="J265" s="194" t="n">
        <v>-34.1</v>
      </c>
      <c r="K265" s="195" t="inlineStr">
        <is>
          <t>6106 SEER TECH; 3752 ROKAE ROBOTICS</t>
        </is>
      </c>
    </row>
    <row r="266">
      <c r="A266" s="32" t="inlineStr">
        <is>
          <t>VEKEN (HONGKONG) ECONOMIC AND TRADE CO., LIMITED</t>
        </is>
      </c>
      <c r="B266" s="191" t="n">
        <v>2</v>
      </c>
      <c r="C266" s="193" t="n">
        <v>100</v>
      </c>
      <c r="D266" s="194" t="n">
        <v>9</v>
      </c>
      <c r="E266" s="194" t="n">
        <v>15.4</v>
      </c>
      <c r="F266" s="194" t="n">
        <v>3.2</v>
      </c>
      <c r="G266" s="194" t="n">
        <v>-7.2</v>
      </c>
      <c r="H266" s="194" t="n">
        <v>5.4</v>
      </c>
      <c r="I266" s="194" t="n">
        <v>-5</v>
      </c>
      <c r="J266" s="194" t="n">
        <v>-14.1</v>
      </c>
      <c r="K266" s="195" t="inlineStr">
        <is>
          <t>2315 BIOCYTOGEN-B; 2543 DAHON TECH</t>
        </is>
      </c>
    </row>
    <row r="267">
      <c r="A267" s="32" t="inlineStr">
        <is>
          <t>Sanhua International Singapore</t>
        </is>
      </c>
      <c r="B267" s="191" t="n">
        <v>2</v>
      </c>
      <c r="C267" s="193" t="n">
        <v>50</v>
      </c>
      <c r="D267" s="194" t="n">
        <v>8</v>
      </c>
      <c r="E267" s="194" t="n">
        <v>6.8</v>
      </c>
      <c r="F267" s="194" t="n">
        <v>9.5</v>
      </c>
      <c r="G267" s="194" t="n">
        <v>19.4</v>
      </c>
      <c r="H267" s="194" t="n">
        <v>-1.9</v>
      </c>
      <c r="I267" s="194" t="n">
        <v>0.4</v>
      </c>
      <c r="J267" s="194" t="n">
        <v>8</v>
      </c>
      <c r="K267" s="195" t="inlineStr">
        <is>
          <t>1304 FORTIOR; 9927 SERES</t>
        </is>
      </c>
    </row>
    <row r="268">
      <c r="A268" s="32" t="inlineStr">
        <is>
          <t>HACF, L.P</t>
        </is>
      </c>
      <c r="B268" s="191" t="n">
        <v>2</v>
      </c>
      <c r="C268" s="193" t="n">
        <v>100</v>
      </c>
      <c r="D268" s="194" t="n">
        <v>7.9</v>
      </c>
      <c r="E268" s="194" t="n">
        <v>20.8</v>
      </c>
      <c r="F268" s="194" t="n">
        <v>69.90000000000001</v>
      </c>
      <c r="G268" s="194" t="n">
        <v>26.7</v>
      </c>
      <c r="H268" s="194" t="n">
        <v>13.8</v>
      </c>
      <c r="I268" s="194" t="n">
        <v>62.3</v>
      </c>
      <c r="J268" s="194" t="n">
        <v>18.5</v>
      </c>
      <c r="K268" s="195" t="inlineStr">
        <is>
          <t>6600 ONEROBOTICS; 0668 ANKER</t>
        </is>
      </c>
    </row>
    <row r="269">
      <c r="A269" s="32" t="inlineStr">
        <is>
          <t>Franklin Templeton Sealand Fund Management Co., Ltd</t>
        </is>
      </c>
      <c r="B269" s="191" t="n">
        <v>2</v>
      </c>
      <c r="C269" s="193" t="n">
        <v>50</v>
      </c>
      <c r="D269" s="194" t="n">
        <v>7.8</v>
      </c>
      <c r="E269" s="194" t="n">
        <v>0.8</v>
      </c>
      <c r="F269" s="194" t="n">
        <v>0.2</v>
      </c>
      <c r="G269" s="194" t="n">
        <v>19.9</v>
      </c>
      <c r="H269" s="194" t="n">
        <v>-6.1</v>
      </c>
      <c r="I269" s="194" t="n">
        <v>-7.3</v>
      </c>
      <c r="J269" s="194" t="n">
        <v>3.7</v>
      </c>
      <c r="K269" s="195" t="inlineStr">
        <is>
          <t>0668 ANKER; 6880 MOMENTA-W</t>
        </is>
      </c>
    </row>
    <row r="270">
      <c r="A270" s="32" t="inlineStr">
        <is>
          <t>China Hongqiao Group Limited</t>
        </is>
      </c>
      <c r="B270" s="191" t="n">
        <v>2</v>
      </c>
      <c r="C270" s="193" t="n">
        <v>50</v>
      </c>
      <c r="D270" s="194" t="n">
        <v>7</v>
      </c>
      <c r="E270" s="194" t="n">
        <v>23.1</v>
      </c>
      <c r="F270" s="194" t="n">
        <v>37.6</v>
      </c>
      <c r="G270" s="194" t="n">
        <v>115.7</v>
      </c>
      <c r="H270" s="194" t="n">
        <v>13.4</v>
      </c>
      <c r="I270" s="194" t="n">
        <v>26.7</v>
      </c>
      <c r="J270" s="194" t="n">
        <v>62.4</v>
      </c>
      <c r="K270" s="195" t="inlineStr">
        <is>
          <t>2788 CHUANGXIN IND; 6745 BEFAR GROUP</t>
        </is>
      </c>
    </row>
    <row r="271">
      <c r="A271" s="32" t="inlineStr">
        <is>
          <t>Galaxy Dynasty Limited</t>
        </is>
      </c>
      <c r="B271" s="191" t="n">
        <v>2</v>
      </c>
      <c r="C271" s="193" t="n">
        <v>50</v>
      </c>
      <c r="D271" s="194" t="n">
        <v>6.1</v>
      </c>
      <c r="E271" s="194" t="n">
        <v>-4.9</v>
      </c>
      <c r="F271" s="194" t="n">
        <v>-3.5</v>
      </c>
      <c r="G271" s="194" t="n">
        <v>-36.1</v>
      </c>
      <c r="H271" s="194" t="n">
        <v>-10.1</v>
      </c>
      <c r="I271" s="194" t="n">
        <v>-9.5</v>
      </c>
      <c r="J271" s="194" t="n">
        <v>-38.3</v>
      </c>
      <c r="K271" s="195" t="inlineStr">
        <is>
          <t>2677 DISTINCT HEALTH; 1187 COFOE MEDICAL</t>
        </is>
      </c>
    </row>
    <row r="272">
      <c r="A272" s="32" t="inlineStr">
        <is>
          <t>Ingenic Semiconductor HK</t>
        </is>
      </c>
      <c r="B272" s="191" t="n">
        <v>2</v>
      </c>
      <c r="C272" s="193" t="n">
        <v>50</v>
      </c>
      <c r="D272" s="194" t="n">
        <v>6.1</v>
      </c>
      <c r="E272" s="194" t="n">
        <v>-3.4</v>
      </c>
      <c r="F272" s="194" t="n">
        <v>52.2</v>
      </c>
      <c r="G272" s="194" t="n">
        <v>21.2</v>
      </c>
      <c r="H272" s="194" t="n">
        <v>-9.9</v>
      </c>
      <c r="I272" s="194" t="n">
        <v>34.4</v>
      </c>
      <c r="J272" s="194" t="n">
        <v>7</v>
      </c>
      <c r="K272" s="195" t="inlineStr">
        <is>
          <t>3296 HUAQIN; 9976 LONGSYS</t>
        </is>
      </c>
    </row>
    <row r="273">
      <c r="A273" s="32" t="inlineStr">
        <is>
          <t>VVC Technology Fund Ltd</t>
        </is>
      </c>
      <c r="B273" s="191" t="n">
        <v>2</v>
      </c>
      <c r="C273" s="193" t="n">
        <v>100</v>
      </c>
      <c r="D273" s="194" t="n">
        <v>5.3</v>
      </c>
      <c r="E273" s="194" t="n">
        <v>8.4</v>
      </c>
      <c r="F273" s="194" t="n">
        <v>4.4</v>
      </c>
      <c r="G273" s="194" t="n">
        <v>-11.1</v>
      </c>
      <c r="H273" s="194" t="n">
        <v>3.1</v>
      </c>
      <c r="I273" s="194" t="n">
        <v>-1.1</v>
      </c>
      <c r="J273" s="194" t="n">
        <v>-15.6</v>
      </c>
      <c r="K273" s="195" t="inlineStr">
        <is>
          <t>2692 ZHAOWEI; 1021 HUAYAN ROBOTICS</t>
        </is>
      </c>
    </row>
    <row r="274">
      <c r="A274" s="32" t="inlineStr">
        <is>
          <t>China Post Life Insurance Company Limited</t>
        </is>
      </c>
      <c r="B274" s="191" t="n">
        <v>2</v>
      </c>
      <c r="C274" s="193" t="n">
        <v>50</v>
      </c>
      <c r="D274" s="194" t="n">
        <v>4.8</v>
      </c>
      <c r="E274" s="194" t="n">
        <v>-0.5</v>
      </c>
      <c r="F274" s="194" t="n">
        <v>-17.8</v>
      </c>
      <c r="G274" s="194" t="n">
        <v>-13.7</v>
      </c>
      <c r="H274" s="194" t="n">
        <v>-4.8</v>
      </c>
      <c r="I274" s="194" t="n">
        <v>-21</v>
      </c>
      <c r="J274" s="194" t="n">
        <v>-16.4</v>
      </c>
      <c r="K274" s="195" t="inlineStr">
        <is>
          <t>2460 CR BEVERAGE; 2580 AUX ELECTRIC</t>
        </is>
      </c>
    </row>
    <row r="275">
      <c r="A275" s="32" t="inlineStr">
        <is>
          <t>GBAHIL</t>
        </is>
      </c>
      <c r="B275" s="191" t="n">
        <v>2</v>
      </c>
      <c r="C275" s="193" t="n">
        <v>100</v>
      </c>
      <c r="D275" s="194" t="n">
        <v>4.7</v>
      </c>
      <c r="E275" s="194" t="n">
        <v>-2.5</v>
      </c>
      <c r="F275" s="194" t="n">
        <v>6.7</v>
      </c>
      <c r="G275" s="196" t="n"/>
      <c r="H275" s="194" t="n">
        <v>-6.8</v>
      </c>
      <c r="I275" s="194" t="n">
        <v>1.9</v>
      </c>
      <c r="J275" s="196" t="n"/>
      <c r="K275" s="195" t="inlineStr">
        <is>
          <t>6951 CCTC; 9856 LIGENT</t>
        </is>
      </c>
    </row>
    <row r="276">
      <c r="A276" s="32" t="inlineStr">
        <is>
          <t>Everbright Wealth</t>
        </is>
      </c>
      <c r="B276" s="191" t="n">
        <v>2</v>
      </c>
      <c r="C276" s="193" t="n">
        <v>50</v>
      </c>
      <c r="D276" s="194" t="n">
        <v>4.3</v>
      </c>
      <c r="E276" s="194" t="n">
        <v>6</v>
      </c>
      <c r="F276" s="194" t="n">
        <v>7.5</v>
      </c>
      <c r="G276" s="194" t="n">
        <v>-10.9</v>
      </c>
      <c r="H276" s="194" t="n">
        <v>1.5</v>
      </c>
      <c r="I276" s="194" t="n">
        <v>0.1</v>
      </c>
      <c r="J276" s="194" t="n">
        <v>-16.6</v>
      </c>
      <c r="K276" s="195" t="inlineStr">
        <is>
          <t>3296 HUAQIN; 1688 LINGYI ITECH</t>
        </is>
      </c>
    </row>
    <row r="277">
      <c r="A277" s="32" t="inlineStr">
        <is>
          <t>Supercluster Universe Limited</t>
        </is>
      </c>
      <c r="B277" s="191" t="n">
        <v>2</v>
      </c>
      <c r="C277" s="193" t="n">
        <v>100</v>
      </c>
      <c r="D277" s="194" t="n">
        <v>4.2</v>
      </c>
      <c r="E277" s="194" t="n">
        <v>12.8</v>
      </c>
      <c r="F277" s="194" t="n">
        <v>17.5</v>
      </c>
      <c r="G277" s="194" t="n">
        <v>16.2</v>
      </c>
      <c r="H277" s="194" t="n">
        <v>7.8</v>
      </c>
      <c r="I277" s="194" t="n">
        <v>12.3</v>
      </c>
      <c r="J277" s="194" t="n">
        <v>10.9</v>
      </c>
      <c r="K277" s="195" t="inlineStr">
        <is>
          <t>0300 MIDEA GROUP; 3288 HAITIAN FLAV</t>
        </is>
      </c>
    </row>
    <row r="278">
      <c r="A278" s="32" t="inlineStr">
        <is>
          <t>KINGBOARD INVESTMENTS LIMITED</t>
        </is>
      </c>
      <c r="B278" s="191" t="n">
        <v>2</v>
      </c>
      <c r="C278" s="193" t="n">
        <v>50</v>
      </c>
      <c r="D278" s="194" t="n">
        <v>4.2</v>
      </c>
      <c r="E278" s="194" t="n">
        <v>9.9</v>
      </c>
      <c r="F278" s="194" t="n">
        <v>2.6</v>
      </c>
      <c r="G278" s="196" t="n"/>
      <c r="H278" s="194" t="n">
        <v>11.9</v>
      </c>
      <c r="I278" s="194" t="n">
        <v>4.5</v>
      </c>
      <c r="J278" s="196" t="n"/>
      <c r="K278" s="195" t="inlineStr">
        <is>
          <t>1377 DTECH; 3228 KINWONG</t>
        </is>
      </c>
    </row>
    <row r="279">
      <c r="A279" s="32" t="inlineStr">
        <is>
          <t>Eternal Earn Holding Limited</t>
        </is>
      </c>
      <c r="B279" s="191" t="n">
        <v>2</v>
      </c>
      <c r="C279" s="193" t="n">
        <v>50</v>
      </c>
      <c r="D279" s="194" t="n">
        <v>4.1</v>
      </c>
      <c r="E279" s="194" t="n">
        <v>4.4</v>
      </c>
      <c r="F279" s="194" t="n">
        <v>7.5</v>
      </c>
      <c r="G279" s="194" t="n">
        <v>12.4</v>
      </c>
      <c r="H279" s="194" t="n">
        <v>0.4</v>
      </c>
      <c r="I279" s="194" t="n">
        <v>3.1</v>
      </c>
      <c r="J279" s="194" t="n">
        <v>9</v>
      </c>
      <c r="K279" s="195" t="inlineStr">
        <is>
          <t>1519 J&amp;T EXPRESS-W; 1021 HUAYAN ROBOTICS</t>
        </is>
      </c>
    </row>
    <row r="280">
      <c r="A280" s="32" t="inlineStr">
        <is>
          <t>RemeGen Co., Ltd</t>
        </is>
      </c>
      <c r="B280" s="191" t="n">
        <v>2</v>
      </c>
      <c r="C280" s="193" t="n">
        <v>100</v>
      </c>
      <c r="D280" s="194" t="n">
        <v>4</v>
      </c>
      <c r="E280" s="194" t="n">
        <v>17.6</v>
      </c>
      <c r="F280" s="194" t="n">
        <v>21.8</v>
      </c>
      <c r="G280" s="194" t="n">
        <v>28</v>
      </c>
      <c r="H280" s="194" t="n">
        <v>12.9</v>
      </c>
      <c r="I280" s="194" t="n">
        <v>17</v>
      </c>
      <c r="J280" s="194" t="n">
        <v>22.9</v>
      </c>
      <c r="K280" s="195" t="inlineStr">
        <is>
          <t>2315 BIOCYTOGEN-B; 1541 IMMUNEONCO-B</t>
        </is>
      </c>
    </row>
    <row r="281">
      <c r="A281" s="32" t="inlineStr">
        <is>
          <t>COSCO Shipping (Hong Kong) Co., Limited</t>
        </is>
      </c>
      <c r="B281" s="191" t="n">
        <v>2</v>
      </c>
      <c r="C281" s="193" t="n">
        <v>50</v>
      </c>
      <c r="D281" s="194" t="n">
        <v>3.9</v>
      </c>
      <c r="E281" s="194" t="n">
        <v>18.6</v>
      </c>
      <c r="F281" s="194" t="n">
        <v>26.9</v>
      </c>
      <c r="G281" s="194" t="n">
        <v>24.1</v>
      </c>
      <c r="H281" s="194" t="n">
        <v>13.9</v>
      </c>
      <c r="I281" s="194" t="n">
        <v>21.9</v>
      </c>
      <c r="J281" s="194" t="n">
        <v>19.1</v>
      </c>
      <c r="K281" s="195" t="inlineStr">
        <is>
          <t>1880 CTG DUTY-FREE; 0300 MIDEA GROUP</t>
        </is>
      </c>
    </row>
    <row r="282">
      <c r="A282" s="32" t="inlineStr">
        <is>
          <t>Caitong Fund Management Co., Ltd</t>
        </is>
      </c>
      <c r="B282" s="191" t="n">
        <v>2</v>
      </c>
      <c r="C282" s="193" t="n">
        <v>50</v>
      </c>
      <c r="D282" s="194" t="n">
        <v>3.8</v>
      </c>
      <c r="E282" s="194" t="n">
        <v>-3.7</v>
      </c>
      <c r="F282" s="194" t="n">
        <v>-10.2</v>
      </c>
      <c r="G282" s="194" t="n">
        <v>-32.1</v>
      </c>
      <c r="H282" s="194" t="n">
        <v>-7</v>
      </c>
      <c r="I282" s="194" t="n">
        <v>-14.3</v>
      </c>
      <c r="J282" s="194" t="n">
        <v>-35.6</v>
      </c>
      <c r="K282" s="195" t="inlineStr">
        <is>
          <t>9600 NEWLINK TECH; 3355 FS.COM</t>
        </is>
      </c>
    </row>
    <row r="283">
      <c r="A283" s="32" t="inlineStr">
        <is>
          <t>SCV Alpha LP</t>
        </is>
      </c>
      <c r="B283" s="191" t="n">
        <v>2</v>
      </c>
      <c r="C283" s="193" t="n">
        <v>100</v>
      </c>
      <c r="D283" s="194" t="n">
        <v>3.8</v>
      </c>
      <c r="E283" s="194" t="n">
        <v>0.2</v>
      </c>
      <c r="F283" s="194" t="n">
        <v>1.1</v>
      </c>
      <c r="G283" s="194" t="n">
        <v>-28.1</v>
      </c>
      <c r="H283" s="194" t="n">
        <v>-3.4</v>
      </c>
      <c r="I283" s="194" t="n">
        <v>-1.8</v>
      </c>
      <c r="J283" s="194" t="n">
        <v>-30.1</v>
      </c>
      <c r="K283" s="195" t="inlineStr">
        <is>
          <t>9981 WOER; 9856 LIGENT</t>
        </is>
      </c>
    </row>
    <row r="284">
      <c r="A284" s="32" t="inlineStr">
        <is>
          <t>Oasis Investments II Master Fund Ltd</t>
        </is>
      </c>
      <c r="B284" s="191" t="n">
        <v>2</v>
      </c>
      <c r="C284" s="193" t="n">
        <v>50</v>
      </c>
      <c r="D284" s="194" t="n">
        <v>3.3</v>
      </c>
      <c r="E284" s="194" t="n">
        <v>16.5</v>
      </c>
      <c r="F284" s="194" t="n">
        <v>-1.8</v>
      </c>
      <c r="G284" s="194" t="n">
        <v>-10</v>
      </c>
      <c r="H284" s="194" t="n">
        <v>17.2</v>
      </c>
      <c r="I284" s="194" t="n">
        <v>-9</v>
      </c>
      <c r="J284" s="194" t="n">
        <v>-16.4</v>
      </c>
      <c r="K284" s="195" t="inlineStr">
        <is>
          <t>3388 CREALITY; 3952 LAIFUAL</t>
        </is>
      </c>
    </row>
    <row r="285">
      <c r="A285" s="32" t="inlineStr">
        <is>
          <t>LYFE CAPITAL FUND III (DRAGON), L.P</t>
        </is>
      </c>
      <c r="B285" s="191" t="n">
        <v>2</v>
      </c>
      <c r="C285" s="193" t="n">
        <v>50</v>
      </c>
      <c r="D285" s="194" t="n">
        <v>3.2</v>
      </c>
      <c r="E285" s="194" t="n">
        <v>13.7</v>
      </c>
      <c r="F285" s="194" t="n">
        <v>-2.3</v>
      </c>
      <c r="G285" s="194" t="n">
        <v>-16</v>
      </c>
      <c r="H285" s="194" t="n">
        <v>7</v>
      </c>
      <c r="I285" s="194" t="n">
        <v>-9.199999999999999</v>
      </c>
      <c r="J285" s="194" t="n">
        <v>-23.7</v>
      </c>
      <c r="K285" s="195" t="inlineStr">
        <is>
          <t>6609 HEARTCARE-B; 2675 EDGE MEDICAL-B</t>
        </is>
      </c>
    </row>
    <row r="286">
      <c r="A286" s="32" t="inlineStr">
        <is>
          <t>Jiangxi Guokong Private Equity Fund Management Co., Ltd</t>
        </is>
      </c>
      <c r="B286" s="191" t="n">
        <v>2</v>
      </c>
      <c r="C286" s="193" t="n">
        <v>100</v>
      </c>
      <c r="D286" s="194" t="n">
        <v>3.2</v>
      </c>
      <c r="E286" s="194" t="n">
        <v>0.7</v>
      </c>
      <c r="F286" s="194" t="n">
        <v>-1.3</v>
      </c>
      <c r="G286" s="194" t="n">
        <v>-28.6</v>
      </c>
      <c r="H286" s="194" t="n">
        <v>-2.4</v>
      </c>
      <c r="I286" s="194" t="n">
        <v>-4.4</v>
      </c>
      <c r="J286" s="194" t="n">
        <v>-30.8</v>
      </c>
      <c r="K286" s="195" t="inlineStr">
        <is>
          <t>9611 LONGCHEER; 9981 WOER</t>
        </is>
      </c>
    </row>
    <row r="287">
      <c r="A287" s="32" t="inlineStr">
        <is>
          <t>Virtues Origin SPC</t>
        </is>
      </c>
      <c r="B287" s="191" t="n">
        <v>2</v>
      </c>
      <c r="C287" s="193" t="n">
        <v>100</v>
      </c>
      <c r="D287" s="194" t="n">
        <v>3</v>
      </c>
      <c r="E287" s="194" t="n">
        <v>7.2</v>
      </c>
      <c r="F287" s="194" t="n">
        <v>-7.8</v>
      </c>
      <c r="G287" s="194" t="n">
        <v>1.7</v>
      </c>
      <c r="H287" s="194" t="n">
        <v>4.1</v>
      </c>
      <c r="I287" s="194" t="n">
        <v>-10.5</v>
      </c>
      <c r="J287" s="194" t="n">
        <v>-1.3</v>
      </c>
      <c r="K287" s="195" t="inlineStr">
        <is>
          <t>6668 E-STAR CM; 2692 ZHAOWEI</t>
        </is>
      </c>
    </row>
    <row r="288">
      <c r="A288" s="32" t="inlineStr">
        <is>
          <t>York Asian Opportunities Investments Master Fund, LP</t>
        </is>
      </c>
      <c r="B288" s="191" t="n">
        <v>2</v>
      </c>
      <c r="C288" s="193" t="n">
        <v>100</v>
      </c>
      <c r="D288" s="194" t="n">
        <v>3</v>
      </c>
      <c r="E288" s="194" t="n">
        <v>1.3</v>
      </c>
      <c r="F288" s="194" t="n">
        <v>3.2</v>
      </c>
      <c r="G288" s="194" t="n">
        <v>137.7</v>
      </c>
      <c r="H288" s="194" t="n">
        <v>-1.6</v>
      </c>
      <c r="I288" s="194" t="n">
        <v>0.6</v>
      </c>
      <c r="J288" s="194" t="n">
        <v>134.1</v>
      </c>
      <c r="K288" s="195" t="inlineStr">
        <is>
          <t>2279 YONGHE MEDICAL; 3317 XUNCE</t>
        </is>
      </c>
    </row>
    <row r="289">
      <c r="A289" s="32" t="inlineStr">
        <is>
          <t>Peak Reinsurance Company Limited</t>
        </is>
      </c>
      <c r="B289" s="191" t="n">
        <v>2</v>
      </c>
      <c r="C289" s="193" t="n">
        <v>100</v>
      </c>
      <c r="D289" s="194" t="n">
        <v>2.6</v>
      </c>
      <c r="E289" s="194" t="n">
        <v>1.2</v>
      </c>
      <c r="F289" s="194" t="n">
        <v>-25.8</v>
      </c>
      <c r="G289" s="194" t="n">
        <v>-45.3</v>
      </c>
      <c r="H289" s="194" t="n">
        <v>-1.3</v>
      </c>
      <c r="I289" s="194" t="n">
        <v>-26.2</v>
      </c>
      <c r="J289" s="194" t="n">
        <v>-45.5</v>
      </c>
      <c r="K289" s="195" t="inlineStr">
        <is>
          <t>3658 NEW HOPE SERV; 9856 LIGENT</t>
        </is>
      </c>
    </row>
    <row r="290">
      <c r="A290" s="32" t="inlineStr">
        <is>
          <t>Honour Goal Investments Limited</t>
        </is>
      </c>
      <c r="B290" s="191" t="n">
        <v>2</v>
      </c>
      <c r="C290" s="193" t="n">
        <v>50</v>
      </c>
      <c r="D290" s="194" t="n">
        <v>2.5</v>
      </c>
      <c r="E290" s="194" t="n">
        <v>-5</v>
      </c>
      <c r="F290" s="194" t="n">
        <v>-3.3</v>
      </c>
      <c r="G290" s="194" t="n">
        <v>17.3</v>
      </c>
      <c r="H290" s="194" t="n">
        <v>-7.5</v>
      </c>
      <c r="I290" s="194" t="n">
        <v>-5.8</v>
      </c>
      <c r="J290" s="194" t="n">
        <v>13.4</v>
      </c>
      <c r="K290" s="195" t="inlineStr">
        <is>
          <t>2506 XUNFEIHEALTH; 9927 SERES</t>
        </is>
      </c>
    </row>
    <row r="291">
      <c r="A291" s="32" t="inlineStr">
        <is>
          <t>GigaDevice</t>
        </is>
      </c>
      <c r="B291" s="191" t="n">
        <v>2</v>
      </c>
      <c r="C291" s="193" t="n">
        <v>50</v>
      </c>
      <c r="D291" s="194" t="n">
        <v>2.3</v>
      </c>
      <c r="E291" s="194" t="n">
        <v>-1.2</v>
      </c>
      <c r="F291" s="194" t="n">
        <v>-10.1</v>
      </c>
      <c r="G291" s="196" t="n"/>
      <c r="H291" s="194" t="n">
        <v>-3.3</v>
      </c>
      <c r="I291" s="194" t="n">
        <v>-10.1</v>
      </c>
      <c r="J291" s="196" t="n"/>
      <c r="K291" s="195" t="inlineStr">
        <is>
          <t>6880 MOMENTA-W; 9856 LIGENT</t>
        </is>
      </c>
    </row>
    <row r="292">
      <c r="A292" s="32" t="inlineStr">
        <is>
          <t>NANJING JINGKAI JUZHI INVESTMENT L.P</t>
        </is>
      </c>
      <c r="B292" s="191" t="n">
        <v>2</v>
      </c>
      <c r="C292" s="193" t="n">
        <v>50</v>
      </c>
      <c r="D292" s="194" t="n">
        <v>2.2</v>
      </c>
      <c r="E292" s="194" t="n">
        <v>-23</v>
      </c>
      <c r="F292" s="194" t="n">
        <v>-32.6</v>
      </c>
      <c r="G292" s="194" t="n">
        <v>-59.7</v>
      </c>
      <c r="H292" s="194" t="n">
        <v>-23.2</v>
      </c>
      <c r="I292" s="194" t="n">
        <v>-32.5</v>
      </c>
      <c r="J292" s="194" t="n">
        <v>-61</v>
      </c>
      <c r="K292" s="195" t="inlineStr">
        <is>
          <t>2438 MOBVOI; 2898 SUNHO BIO-B</t>
        </is>
      </c>
    </row>
    <row r="293">
      <c r="A293" s="32" t="inlineStr">
        <is>
          <t>Xingyu Automotive Lighting (Hong Kong) Company Limited</t>
        </is>
      </c>
      <c r="B293" s="191" t="n">
        <v>2</v>
      </c>
      <c r="C293" s="193" t="n">
        <v>50</v>
      </c>
      <c r="D293" s="194" t="n">
        <v>1.9</v>
      </c>
      <c r="E293" s="194" t="n">
        <v>-4.2</v>
      </c>
      <c r="F293" s="194" t="n">
        <v>-2.8</v>
      </c>
      <c r="G293" s="194" t="n">
        <v>-13.2</v>
      </c>
      <c r="H293" s="194" t="n">
        <v>-6.2</v>
      </c>
      <c r="I293" s="194" t="n">
        <v>-4.7</v>
      </c>
      <c r="J293" s="194" t="n">
        <v>-15</v>
      </c>
      <c r="K293" s="195" t="inlineStr">
        <is>
          <t>9973 CHERY AUTO; 9927 SERES</t>
        </is>
      </c>
    </row>
    <row r="294">
      <c r="A294" s="32" t="inlineStr">
        <is>
          <t>Sanjin International CO., LTD</t>
        </is>
      </c>
      <c r="B294" s="191" t="n">
        <v>2</v>
      </c>
      <c r="C294" s="193" t="n">
        <v>100</v>
      </c>
      <c r="D294" s="194" t="n">
        <v>1.8</v>
      </c>
      <c r="E294" s="194" t="n">
        <v>-0.7</v>
      </c>
      <c r="F294" s="194" t="n">
        <v>-6.1</v>
      </c>
      <c r="G294" s="194" t="n">
        <v>-10.5</v>
      </c>
      <c r="H294" s="194" t="n">
        <v>-2.5</v>
      </c>
      <c r="I294" s="194" t="n">
        <v>-7.9</v>
      </c>
      <c r="J294" s="194" t="n">
        <v>-12.3</v>
      </c>
      <c r="K294" s="195" t="inlineStr">
        <is>
          <t>2315 BIOCYTOGEN-B; 2493 MABWELL-B</t>
        </is>
      </c>
    </row>
    <row r="295">
      <c r="A295" s="32" t="inlineStr">
        <is>
          <t>ODI TRUST LIMITED</t>
        </is>
      </c>
      <c r="B295" s="191" t="n">
        <v>2</v>
      </c>
      <c r="C295" s="193" t="n">
        <v>50</v>
      </c>
      <c r="D295" s="194" t="n">
        <v>1.8</v>
      </c>
      <c r="E295" s="194" t="n">
        <v>-4.7</v>
      </c>
      <c r="F295" s="194" t="n">
        <v>-16.1</v>
      </c>
      <c r="G295" s="194" t="n">
        <v>-17.7</v>
      </c>
      <c r="H295" s="194" t="n">
        <v>-6.3</v>
      </c>
      <c r="I295" s="194" t="n">
        <v>-15.2</v>
      </c>
      <c r="J295" s="194" t="n">
        <v>-16.8</v>
      </c>
      <c r="K295" s="195" t="inlineStr">
        <is>
          <t>1187 COFOE MEDICAL; 9856 LIGENT</t>
        </is>
      </c>
    </row>
    <row r="296">
      <c r="A296" s="32" t="inlineStr">
        <is>
          <t>Internet Fund IIIA Pte. Ltd</t>
        </is>
      </c>
      <c r="B296" s="191" t="n">
        <v>2</v>
      </c>
      <c r="C296" s="193" t="n">
        <v>50</v>
      </c>
      <c r="D296" s="194" t="n">
        <v>1.6</v>
      </c>
      <c r="E296" s="194" t="n">
        <v>-0.2</v>
      </c>
      <c r="F296" s="194" t="n">
        <v>-16.2</v>
      </c>
      <c r="G296" s="194" t="n">
        <v>-24.2</v>
      </c>
      <c r="H296" s="194" t="n">
        <v>-2</v>
      </c>
      <c r="I296" s="194" t="n">
        <v>-17.8</v>
      </c>
      <c r="J296" s="194" t="n">
        <v>-26.6</v>
      </c>
      <c r="K296" s="195" t="inlineStr">
        <is>
          <t>2618 JD LOGISTICS; 0625 SHEIN-W</t>
        </is>
      </c>
    </row>
    <row r="297">
      <c r="A297" s="32" t="inlineStr">
        <is>
          <t>Shaanxi Tide Automobile Air Conditioning Co., Ltd</t>
        </is>
      </c>
      <c r="B297" s="191" t="n">
        <v>2</v>
      </c>
      <c r="C297" s="193" t="n">
        <v>50</v>
      </c>
      <c r="D297" s="194" t="n">
        <v>1.4</v>
      </c>
      <c r="E297" s="194" t="n">
        <v>-1.1</v>
      </c>
      <c r="F297" s="194" t="n">
        <v>-15.7</v>
      </c>
      <c r="G297" s="194" t="n">
        <v>-13.7</v>
      </c>
      <c r="H297" s="194" t="n">
        <v>-2.6</v>
      </c>
      <c r="I297" s="194" t="n">
        <v>-17.1</v>
      </c>
      <c r="J297" s="194" t="n">
        <v>-15.3</v>
      </c>
      <c r="K297" s="195" t="inlineStr">
        <is>
          <t>2418 DEEWIN; 6031 SANY HEAVY IND</t>
        </is>
      </c>
    </row>
    <row r="298">
      <c r="A298" s="32" t="inlineStr">
        <is>
          <t>ZGC International Limited</t>
        </is>
      </c>
      <c r="B298" s="191" t="n">
        <v>2</v>
      </c>
      <c r="C298" s="193" t="n">
        <v>50</v>
      </c>
      <c r="D298" s="194" t="n">
        <v>1.2</v>
      </c>
      <c r="E298" s="194" t="n">
        <v>11.9</v>
      </c>
      <c r="F298" s="194" t="n">
        <v>71.09999999999999</v>
      </c>
      <c r="G298" s="194" t="n">
        <v>42.4</v>
      </c>
      <c r="H298" s="194" t="n">
        <v>10.4</v>
      </c>
      <c r="I298" s="194" t="n">
        <v>66.2</v>
      </c>
      <c r="J298" s="194" t="n">
        <v>36.2</v>
      </c>
      <c r="K298" s="195" t="inlineStr">
        <is>
          <t>9885 YSB; 2438 MOBVOI</t>
        </is>
      </c>
    </row>
    <row r="299">
      <c r="A299" s="32" t="inlineStr">
        <is>
          <t>Heilan Group Co., Limited</t>
        </is>
      </c>
      <c r="B299" s="191" t="n">
        <v>2</v>
      </c>
      <c r="C299" s="193" t="n">
        <v>50</v>
      </c>
      <c r="D299" s="194" t="n">
        <v>1.1</v>
      </c>
      <c r="E299" s="194" t="n">
        <v>0</v>
      </c>
      <c r="F299" s="194" t="n">
        <v>-6</v>
      </c>
      <c r="G299" s="194" t="n">
        <v>-4.7</v>
      </c>
      <c r="H299" s="194" t="n">
        <v>-0.9</v>
      </c>
      <c r="I299" s="194" t="n">
        <v>-6.7</v>
      </c>
      <c r="J299" s="194" t="n">
        <v>-5.9</v>
      </c>
      <c r="K299" s="195" t="inlineStr">
        <is>
          <t>9878 HUITONGDA NET; 9857 LINMON MEDIA</t>
        </is>
      </c>
    </row>
    <row r="300">
      <c r="A300" s="32" t="inlineStr">
        <is>
          <t>Streamax Electronics Limited</t>
        </is>
      </c>
      <c r="B300" s="191" t="n">
        <v>2</v>
      </c>
      <c r="C300" s="193" t="n">
        <v>50</v>
      </c>
      <c r="D300" s="194" t="n">
        <v>0.8</v>
      </c>
      <c r="E300" s="194" t="n">
        <v>-9.5</v>
      </c>
      <c r="F300" s="194" t="n">
        <v>-25.9</v>
      </c>
      <c r="G300" s="194" t="n">
        <v>-37.6</v>
      </c>
      <c r="H300" s="194" t="n">
        <v>-10.1</v>
      </c>
      <c r="I300" s="194" t="n">
        <v>-26.5</v>
      </c>
      <c r="J300" s="194" t="n">
        <v>-38.1</v>
      </c>
      <c r="K300" s="195" t="inlineStr">
        <is>
          <t>2418 DEEWIN; 3268 MEIG</t>
        </is>
      </c>
    </row>
    <row r="301">
      <c r="A301" s="32" t="inlineStr">
        <is>
          <t>United Imaging Healthcare Hong Kong Limited</t>
        </is>
      </c>
      <c r="B301" s="191" t="n">
        <v>2</v>
      </c>
      <c r="C301" s="193" t="n">
        <v>100</v>
      </c>
      <c r="D301" s="194" t="n">
        <v>0.6</v>
      </c>
      <c r="E301" s="194" t="n">
        <v>14.5</v>
      </c>
      <c r="F301" s="194" t="n">
        <v>7.7</v>
      </c>
      <c r="G301" s="194" t="n">
        <v>27.6</v>
      </c>
      <c r="H301" s="194" t="n">
        <v>13.9</v>
      </c>
      <c r="I301" s="194" t="n">
        <v>7.1</v>
      </c>
      <c r="J301" s="194" t="n">
        <v>26.9</v>
      </c>
      <c r="K301" s="195" t="inlineStr">
        <is>
          <t>2522 RIMAG GROUP; 1828 FWD</t>
        </is>
      </c>
    </row>
    <row r="302">
      <c r="A302" s="32" t="inlineStr">
        <is>
          <t>Chongqing Dazuhuaiyuan Construction Investment Co., L</t>
        </is>
      </c>
      <c r="B302" s="191" t="n">
        <v>2</v>
      </c>
      <c r="C302" s="193" t="n">
        <v>50</v>
      </c>
      <c r="D302" s="194" t="n">
        <v>0.5</v>
      </c>
      <c r="E302" s="194" t="n">
        <v>-6.9</v>
      </c>
      <c r="F302" s="194" t="n">
        <v>-5.7</v>
      </c>
      <c r="G302" s="194" t="n">
        <v>-13.8</v>
      </c>
      <c r="H302" s="194" t="n">
        <v>-7.4</v>
      </c>
      <c r="I302" s="194" t="n">
        <v>-6.2</v>
      </c>
      <c r="J302" s="194" t="n">
        <v>-14.2</v>
      </c>
      <c r="K302" s="195" t="inlineStr">
        <is>
          <t>2451 LUYUAN GP HLDG; 9927 SERES</t>
        </is>
      </c>
    </row>
    <row r="303">
      <c r="A303" s="32" t="inlineStr">
        <is>
          <t>Xiongan Intelligent Robot Limited</t>
        </is>
      </c>
      <c r="B303" s="191" t="n">
        <v>2</v>
      </c>
      <c r="C303" s="193" t="n">
        <v>50</v>
      </c>
      <c r="D303" s="194" t="n">
        <v>0.4</v>
      </c>
      <c r="E303" s="194" t="n">
        <v>17.5</v>
      </c>
      <c r="F303" s="194" t="n">
        <v>39.3</v>
      </c>
      <c r="G303" s="194" t="n">
        <v>45.8</v>
      </c>
      <c r="H303" s="194" t="n">
        <v>17.6</v>
      </c>
      <c r="I303" s="194" t="n">
        <v>40.6</v>
      </c>
      <c r="J303" s="194" t="n">
        <v>43.4</v>
      </c>
      <c r="K303" s="195" t="inlineStr">
        <is>
          <t>2590 GEEKPLUS-W; 1511 UISEE TECH</t>
        </is>
      </c>
    </row>
    <row r="304">
      <c r="A304" s="32" t="inlineStr">
        <is>
          <t>CALB Co., Ltd</t>
        </is>
      </c>
      <c r="B304" s="191" t="n">
        <v>2</v>
      </c>
      <c r="C304" s="193" t="n">
        <v>0</v>
      </c>
      <c r="D304" s="194" t="n">
        <v>-0.1</v>
      </c>
      <c r="E304" s="194" t="n">
        <v>-7.4</v>
      </c>
      <c r="F304" s="194" t="n">
        <v>-9.199999999999999</v>
      </c>
      <c r="G304" s="194" t="n">
        <v>-9.300000000000001</v>
      </c>
      <c r="H304" s="194" t="n">
        <v>-7.3</v>
      </c>
      <c r="I304" s="194" t="n">
        <v>-9.1</v>
      </c>
      <c r="J304" s="194" t="n">
        <v>-9.300000000000001</v>
      </c>
      <c r="K304" s="195" t="inlineStr">
        <is>
          <t>9696 TIANQI LITHIUM; 2579 CNGR</t>
        </is>
      </c>
    </row>
    <row r="305">
      <c r="A305" s="32" t="inlineStr">
        <is>
          <t>Profit Joy (Hong Kong) Limited</t>
        </is>
      </c>
      <c r="B305" s="191" t="n">
        <v>2</v>
      </c>
      <c r="C305" s="193" t="n">
        <v>0</v>
      </c>
      <c r="D305" s="194" t="n">
        <v>-0.1</v>
      </c>
      <c r="E305" s="194" t="n">
        <v>-3.9</v>
      </c>
      <c r="F305" s="194" t="n">
        <v>15.1</v>
      </c>
      <c r="G305" s="194" t="n">
        <v>6.4</v>
      </c>
      <c r="H305" s="194" t="n">
        <v>-3.8</v>
      </c>
      <c r="I305" s="194" t="n">
        <v>15.2</v>
      </c>
      <c r="J305" s="194" t="n">
        <v>6.5</v>
      </c>
      <c r="K305" s="195" t="inlineStr">
        <is>
          <t>2517 GUOQUAN; 3887 HASHKEY HLDGS</t>
        </is>
      </c>
    </row>
    <row r="306">
      <c r="A306" s="32" t="inlineStr">
        <is>
          <t>Xuzhou Economic Technology Development Zone (HK) Investment Co., Limited</t>
        </is>
      </c>
      <c r="B306" s="191" t="n">
        <v>2</v>
      </c>
      <c r="C306" s="193" t="n">
        <v>50</v>
      </c>
      <c r="D306" s="194" t="n">
        <v>-1</v>
      </c>
      <c r="E306" s="194" t="n">
        <v>22.1</v>
      </c>
      <c r="F306" s="194" t="n">
        <v>63.5</v>
      </c>
      <c r="G306" s="194" t="n">
        <v>72</v>
      </c>
      <c r="H306" s="194" t="n">
        <v>20</v>
      </c>
      <c r="I306" s="194" t="n">
        <v>55.8</v>
      </c>
      <c r="J306" s="194" t="n">
        <v>59.4</v>
      </c>
      <c r="K306" s="195" t="inlineStr">
        <is>
          <t>1244 3D MEDICINES-B; 2479 TIANJUDIHE</t>
        </is>
      </c>
    </row>
    <row r="307">
      <c r="A307" s="32" t="inlineStr">
        <is>
          <t>Burkehill</t>
        </is>
      </c>
      <c r="B307" s="191" t="n">
        <v>2</v>
      </c>
      <c r="C307" s="193" t="n">
        <v>0</v>
      </c>
      <c r="D307" s="194" t="n">
        <v>-1</v>
      </c>
      <c r="E307" s="194" t="n">
        <v>8.1</v>
      </c>
      <c r="F307" s="194" t="n">
        <v>1.4</v>
      </c>
      <c r="G307" s="194" t="n">
        <v>-8.4</v>
      </c>
      <c r="H307" s="194" t="n">
        <v>9.300000000000001</v>
      </c>
      <c r="I307" s="194" t="n">
        <v>2.5</v>
      </c>
      <c r="J307" s="194" t="n">
        <v>-8.4</v>
      </c>
      <c r="K307" s="195" t="inlineStr">
        <is>
          <t>7618 JD INDUSTRIALS; 3308 ZJ INNOLIGHT</t>
        </is>
      </c>
    </row>
    <row r="308">
      <c r="A308" s="32" t="inlineStr">
        <is>
          <t>Goldstream Capital Management Limited</t>
        </is>
      </c>
      <c r="B308" s="191" t="n">
        <v>2</v>
      </c>
      <c r="C308" s="193" t="n">
        <v>50</v>
      </c>
      <c r="D308" s="194" t="n">
        <v>-1.3</v>
      </c>
      <c r="E308" s="194" t="n">
        <v>-8.800000000000001</v>
      </c>
      <c r="F308" s="194" t="n">
        <v>-17.1</v>
      </c>
      <c r="G308" s="194" t="n">
        <v>-17.9</v>
      </c>
      <c r="H308" s="194" t="n">
        <v>-7.1</v>
      </c>
      <c r="I308" s="194" t="n">
        <v>-17.5</v>
      </c>
      <c r="J308" s="194" t="n">
        <v>-21.8</v>
      </c>
      <c r="K308" s="195" t="inlineStr">
        <is>
          <t>1490 CHESHI; 6609 HEARTCARE-B</t>
        </is>
      </c>
    </row>
    <row r="309">
      <c r="A309" s="32" t="inlineStr">
        <is>
          <t>Chengdu High-tech Orinno Youchan Equity Investment Fund Partnership (LP)</t>
        </is>
      </c>
      <c r="B309" s="191" t="n">
        <v>2</v>
      </c>
      <c r="C309" s="193" t="n">
        <v>0</v>
      </c>
      <c r="D309" s="194" t="n">
        <v>-1.5</v>
      </c>
      <c r="E309" s="194" t="n">
        <v>0.9</v>
      </c>
      <c r="F309" s="194" t="n">
        <v>-18.9</v>
      </c>
      <c r="G309" s="194" t="n">
        <v>-40.6</v>
      </c>
      <c r="H309" s="194" t="n">
        <v>2.5</v>
      </c>
      <c r="I309" s="194" t="n">
        <v>-17.3</v>
      </c>
      <c r="J309" s="194" t="n">
        <v>-39.6</v>
      </c>
      <c r="K309" s="195" t="inlineStr">
        <is>
          <t>2416 EDIANYUN; 2496 YZYBIO-B</t>
        </is>
      </c>
    </row>
    <row r="310">
      <c r="A310" s="32" t="inlineStr">
        <is>
          <t>China Chengtong Investment Company Limited</t>
        </is>
      </c>
      <c r="B310" s="191" t="n">
        <v>2</v>
      </c>
      <c r="C310" s="193" t="n">
        <v>50</v>
      </c>
      <c r="D310" s="194" t="n">
        <v>-1.7</v>
      </c>
      <c r="E310" s="194" t="n">
        <v>2.3</v>
      </c>
      <c r="F310" s="194" t="n">
        <v>-17.8</v>
      </c>
      <c r="G310" s="194" t="n">
        <v>-12.4</v>
      </c>
      <c r="H310" s="194" t="n">
        <v>3.7</v>
      </c>
      <c r="I310" s="194" t="n">
        <v>-17.2</v>
      </c>
      <c r="J310" s="194" t="n">
        <v>-10</v>
      </c>
      <c r="K310" s="195" t="inlineStr">
        <is>
          <t>2618 JD LOGISTICS; 2602 ONEWO</t>
        </is>
      </c>
    </row>
    <row r="311">
      <c r="A311" s="32" t="inlineStr">
        <is>
          <t>Azure Telecommunication</t>
        </is>
      </c>
      <c r="B311" s="191" t="n">
        <v>2</v>
      </c>
      <c r="C311" s="193" t="n">
        <v>50</v>
      </c>
      <c r="D311" s="194" t="n">
        <v>-1.9</v>
      </c>
      <c r="E311" s="194" t="n">
        <v>-1.1</v>
      </c>
      <c r="F311" s="194" t="n">
        <v>-10.9</v>
      </c>
      <c r="G311" s="194" t="n">
        <v>-9.4</v>
      </c>
      <c r="H311" s="194" t="n">
        <v>0.8</v>
      </c>
      <c r="I311" s="194" t="n">
        <v>-9</v>
      </c>
      <c r="J311" s="194" t="n">
        <v>-7.4</v>
      </c>
      <c r="K311" s="195" t="inlineStr">
        <is>
          <t>2385 READBOY; 9980 EASTROC</t>
        </is>
      </c>
    </row>
    <row r="312">
      <c r="A312" s="32" t="inlineStr">
        <is>
          <t>Tasly International Capital Limited</t>
        </is>
      </c>
      <c r="B312" s="191" t="n">
        <v>2</v>
      </c>
      <c r="C312" s="193" t="n">
        <v>50</v>
      </c>
      <c r="D312" s="194" t="n">
        <v>-2.1</v>
      </c>
      <c r="E312" s="194" t="n">
        <v>2.5</v>
      </c>
      <c r="F312" s="194" t="n">
        <v>20.1</v>
      </c>
      <c r="G312" s="194" t="n">
        <v>17.7</v>
      </c>
      <c r="H312" s="194" t="n">
        <v>4.3</v>
      </c>
      <c r="I312" s="194" t="n">
        <v>19.9</v>
      </c>
      <c r="J312" s="194" t="n">
        <v>16.4</v>
      </c>
      <c r="K312" s="195" t="inlineStr">
        <is>
          <t>9955 CLOUDR; 6681 BRAINAURORA-B</t>
        </is>
      </c>
    </row>
    <row r="313">
      <c r="A313" s="32" t="inlineStr">
        <is>
          <t>Mr. Cheng Wan Wai</t>
        </is>
      </c>
      <c r="B313" s="191" t="n">
        <v>2</v>
      </c>
      <c r="C313" s="193" t="n">
        <v>50</v>
      </c>
      <c r="D313" s="194" t="n">
        <v>-2.3</v>
      </c>
      <c r="E313" s="194" t="n">
        <v>-11.9</v>
      </c>
      <c r="F313" s="194" t="n">
        <v>-26.7</v>
      </c>
      <c r="G313" s="194" t="n">
        <v>-33.2</v>
      </c>
      <c r="H313" s="194" t="n">
        <v>-9.800000000000001</v>
      </c>
      <c r="I313" s="194" t="n">
        <v>-23.9</v>
      </c>
      <c r="J313" s="194" t="n">
        <v>-32.8</v>
      </c>
      <c r="K313" s="195" t="inlineStr">
        <is>
          <t>2350 MTT GROUP; 6067 SENIOR MATERIAL</t>
        </is>
      </c>
    </row>
    <row r="314">
      <c r="A314" s="32" t="inlineStr">
        <is>
          <t>PT. Anugerah Citra Walet Indonesia</t>
        </is>
      </c>
      <c r="B314" s="191" t="n">
        <v>2</v>
      </c>
      <c r="C314" s="193" t="n">
        <v>0</v>
      </c>
      <c r="D314" s="194" t="n">
        <v>-2.5</v>
      </c>
      <c r="E314" s="194" t="n">
        <v>-7</v>
      </c>
      <c r="F314" s="194" t="n">
        <v>-3.8</v>
      </c>
      <c r="G314" s="194" t="n">
        <v>9.800000000000001</v>
      </c>
      <c r="H314" s="194" t="n">
        <v>-4.6</v>
      </c>
      <c r="I314" s="194" t="n">
        <v>-1.4</v>
      </c>
      <c r="J314" s="194" t="n">
        <v>12.9</v>
      </c>
      <c r="K314" s="195" t="inlineStr">
        <is>
          <t>1497 YAN PALACE; 2610 NANSHAN AL INTL</t>
        </is>
      </c>
    </row>
    <row r="315">
      <c r="A315" s="32" t="inlineStr">
        <is>
          <t>NonaVerse (Hong Kong) Limited</t>
        </is>
      </c>
      <c r="B315" s="191" t="n">
        <v>2</v>
      </c>
      <c r="C315" s="193" t="n">
        <v>0</v>
      </c>
      <c r="D315" s="194" t="n">
        <v>-2.5</v>
      </c>
      <c r="E315" s="194" t="n">
        <v>10.1</v>
      </c>
      <c r="F315" s="194" t="n">
        <v>-5.6</v>
      </c>
      <c r="G315" s="194" t="n">
        <v>-15.3</v>
      </c>
      <c r="H315" s="194" t="n">
        <v>12.8</v>
      </c>
      <c r="I315" s="194" t="n">
        <v>-3</v>
      </c>
      <c r="J315" s="194" t="n">
        <v>-12.7</v>
      </c>
      <c r="K315" s="195" t="inlineStr">
        <is>
          <t>2648 ANJOY FOOD; 0600 AXERA</t>
        </is>
      </c>
    </row>
    <row r="316">
      <c r="A316" s="32" t="inlineStr">
        <is>
          <t>Tibet Nord Technology Co., Ltd</t>
        </is>
      </c>
      <c r="B316" s="191" t="n">
        <v>2</v>
      </c>
      <c r="C316" s="193" t="n">
        <v>0</v>
      </c>
      <c r="D316" s="194" t="n">
        <v>-2.7</v>
      </c>
      <c r="E316" s="194" t="n">
        <v>-5.1</v>
      </c>
      <c r="F316" s="194" t="n">
        <v>-29.1</v>
      </c>
      <c r="G316" s="194" t="n">
        <v>-27.5</v>
      </c>
      <c r="H316" s="194" t="n">
        <v>-2.5</v>
      </c>
      <c r="I316" s="194" t="n">
        <v>-26.9</v>
      </c>
      <c r="J316" s="194" t="n">
        <v>-25</v>
      </c>
      <c r="K316" s="195" t="inlineStr">
        <is>
          <t>3931 CALB; 2580 AUX ELECTRIC</t>
        </is>
      </c>
    </row>
    <row r="317">
      <c r="A317" s="32" t="inlineStr">
        <is>
          <t>Yangtze River (Hong Kong) Limited</t>
        </is>
      </c>
      <c r="B317" s="191" t="n">
        <v>2</v>
      </c>
      <c r="C317" s="193" t="n">
        <v>50</v>
      </c>
      <c r="D317" s="194" t="n">
        <v>-2.9</v>
      </c>
      <c r="E317" s="194" t="n">
        <v>0.1</v>
      </c>
      <c r="F317" s="194" t="n">
        <v>-16.8</v>
      </c>
      <c r="G317" s="194" t="n">
        <v>-31.6</v>
      </c>
      <c r="H317" s="194" t="n">
        <v>2.8</v>
      </c>
      <c r="I317" s="194" t="n">
        <v>-15</v>
      </c>
      <c r="J317" s="194" t="n">
        <v>-30.5</v>
      </c>
      <c r="K317" s="195" t="inlineStr">
        <is>
          <t>2179 RECBIO-B; 9955 CLOUDR</t>
        </is>
      </c>
    </row>
    <row r="318">
      <c r="A318" s="32" t="inlineStr">
        <is>
          <t>CNGR Hong Kong Material Science &amp; Technology Co., Limited</t>
        </is>
      </c>
      <c r="B318" s="191" t="n">
        <v>2</v>
      </c>
      <c r="C318" s="193" t="n">
        <v>0</v>
      </c>
      <c r="D318" s="194" t="n">
        <v>-3.3</v>
      </c>
      <c r="E318" s="194" t="n">
        <v>-2.4</v>
      </c>
      <c r="F318" s="194" t="n">
        <v>-19.1</v>
      </c>
      <c r="G318" s="194" t="n">
        <v>-8.6</v>
      </c>
      <c r="H318" s="194" t="n">
        <v>1</v>
      </c>
      <c r="I318" s="194" t="n">
        <v>-15.6</v>
      </c>
      <c r="J318" s="194" t="n">
        <v>-4.1</v>
      </c>
      <c r="K318" s="195" t="inlineStr">
        <is>
          <t>3931 CALB; 6228 MERDEKAGOLD-DRS</t>
        </is>
      </c>
    </row>
    <row r="319">
      <c r="A319" s="32" t="inlineStr">
        <is>
          <t>Affin Hwang Asset Management Berhad</t>
        </is>
      </c>
      <c r="B319" s="191" t="n">
        <v>2</v>
      </c>
      <c r="C319" s="193" t="n">
        <v>50</v>
      </c>
      <c r="D319" s="194" t="n">
        <v>-3.6</v>
      </c>
      <c r="E319" s="194" t="n">
        <v>7</v>
      </c>
      <c r="F319" s="194" t="n">
        <v>-17</v>
      </c>
      <c r="G319" s="194" t="n">
        <v>15.4</v>
      </c>
      <c r="H319" s="194" t="n">
        <v>10.8</v>
      </c>
      <c r="I319" s="194" t="n">
        <v>-13.2</v>
      </c>
      <c r="J319" s="194" t="n">
        <v>21</v>
      </c>
      <c r="K319" s="195" t="inlineStr">
        <is>
          <t>2170 BASECARE-B; 2171 CARSGEN-B</t>
        </is>
      </c>
    </row>
    <row r="320">
      <c r="A320" s="32" t="inlineStr">
        <is>
          <t>CRF Investment Holdings Company Limited</t>
        </is>
      </c>
      <c r="B320" s="191" t="n">
        <v>2</v>
      </c>
      <c r="C320" s="193" t="n">
        <v>50</v>
      </c>
      <c r="D320" s="194" t="n">
        <v>-3.7</v>
      </c>
      <c r="E320" s="194" t="n">
        <v>2.2</v>
      </c>
      <c r="F320" s="194" t="n">
        <v>-16.9</v>
      </c>
      <c r="G320" s="194" t="n">
        <v>1.4</v>
      </c>
      <c r="H320" s="194" t="n">
        <v>5.6</v>
      </c>
      <c r="I320" s="194" t="n">
        <v>-13</v>
      </c>
      <c r="J320" s="194" t="n">
        <v>5.7</v>
      </c>
      <c r="K320" s="195" t="inlineStr">
        <is>
          <t>2170 BASECARE-B; 6127 JOINN</t>
        </is>
      </c>
    </row>
    <row r="321">
      <c r="A321" s="32" t="inlineStr">
        <is>
          <t>Triple Surge Holdings Limited</t>
        </is>
      </c>
      <c r="B321" s="191" t="n">
        <v>2</v>
      </c>
      <c r="C321" s="193" t="n">
        <v>50</v>
      </c>
      <c r="D321" s="194" t="n">
        <v>-4.8</v>
      </c>
      <c r="E321" s="194" t="n">
        <v>-23.7</v>
      </c>
      <c r="F321" s="194" t="n">
        <v>-28.6</v>
      </c>
      <c r="G321" s="194" t="n">
        <v>-50.3</v>
      </c>
      <c r="H321" s="194" t="n">
        <v>-20.7</v>
      </c>
      <c r="I321" s="194" t="n">
        <v>-25</v>
      </c>
      <c r="J321" s="194" t="n">
        <v>-46.5</v>
      </c>
      <c r="K321" s="195" t="inlineStr">
        <is>
          <t>2209 YESASIA HLDGS; 9639 WING LEE DEV</t>
        </is>
      </c>
    </row>
    <row r="322">
      <c r="A322" s="32" t="inlineStr">
        <is>
          <t>Wuhan Chuxing Yourui General Health Industry Investment Fund Partnership (Limite</t>
        </is>
      </c>
      <c r="B322" s="191" t="n">
        <v>2</v>
      </c>
      <c r="C322" s="193" t="n">
        <v>0</v>
      </c>
      <c r="D322" s="194" t="n">
        <v>-5.6</v>
      </c>
      <c r="E322" s="194" t="n">
        <v>-6.5</v>
      </c>
      <c r="F322" s="194" t="n">
        <v>-10.7</v>
      </c>
      <c r="G322" s="194" t="n">
        <v>-11.4</v>
      </c>
      <c r="H322" s="194" t="n">
        <v>-0.6</v>
      </c>
      <c r="I322" s="194" t="n">
        <v>-3.2</v>
      </c>
      <c r="J322" s="194" t="n">
        <v>-3.7</v>
      </c>
      <c r="K322" s="195" t="inlineStr">
        <is>
          <t>2496 YZYBIO-B; 2495 VOICECOMM</t>
        </is>
      </c>
    </row>
    <row r="323">
      <c r="A323" s="32" t="inlineStr">
        <is>
          <t>Hubei Ronbay Battery Triangle No. 1 Equity Investment Fund Partnership</t>
        </is>
      </c>
      <c r="B323" s="191" t="n">
        <v>2</v>
      </c>
      <c r="C323" s="193" t="n">
        <v>0</v>
      </c>
      <c r="D323" s="194" t="n">
        <v>-5.9</v>
      </c>
      <c r="E323" s="194" t="n">
        <v>-11.1</v>
      </c>
      <c r="F323" s="194" t="n">
        <v>-7.5</v>
      </c>
      <c r="G323" s="194" t="n">
        <v>-25.6</v>
      </c>
      <c r="H323" s="194" t="n">
        <v>-5.6</v>
      </c>
      <c r="I323" s="194" t="n">
        <v>-1.8</v>
      </c>
      <c r="J323" s="194" t="n">
        <v>-21</v>
      </c>
      <c r="K323" s="195" t="inlineStr">
        <is>
          <t>2245 LYGEND RESOURCE; 2619 XJ ELECTRICS</t>
        </is>
      </c>
    </row>
    <row r="324">
      <c r="A324" s="32" t="inlineStr">
        <is>
          <t>Artisan China Post-Venture Master Fund LP</t>
        </is>
      </c>
      <c r="B324" s="191" t="n">
        <v>2</v>
      </c>
      <c r="C324" s="193" t="n">
        <v>50</v>
      </c>
      <c r="D324" s="194" t="n">
        <v>-6.9</v>
      </c>
      <c r="E324" s="194" t="n">
        <v>3.1</v>
      </c>
      <c r="F324" s="194" t="n">
        <v>-7.7</v>
      </c>
      <c r="G324" s="194" t="n">
        <v>-23.4</v>
      </c>
      <c r="H324" s="194" t="n">
        <v>8.199999999999999</v>
      </c>
      <c r="I324" s="194" t="n">
        <v>-3.8</v>
      </c>
      <c r="J324" s="194" t="n">
        <v>-21.2</v>
      </c>
      <c r="K324" s="195" t="inlineStr">
        <is>
          <t>2216 BRONCUS-B; 2252 MEDBOT-B</t>
        </is>
      </c>
    </row>
    <row r="325">
      <c r="A325" s="32" t="inlineStr">
        <is>
          <t>Hunan Xingxiang Emerging Industry Investment Fund Partnership (Limited Partnership)</t>
        </is>
      </c>
      <c r="B325" s="191" t="n">
        <v>2</v>
      </c>
      <c r="C325" s="193" t="n">
        <v>0</v>
      </c>
      <c r="D325" s="194" t="n">
        <v>-6.9</v>
      </c>
      <c r="E325" s="194" t="n">
        <v>-13</v>
      </c>
      <c r="F325" s="194" t="n">
        <v>-15.2</v>
      </c>
      <c r="G325" s="194" t="n">
        <v>-4.6</v>
      </c>
      <c r="H325" s="194" t="n">
        <v>-6.3</v>
      </c>
      <c r="I325" s="194" t="n">
        <v>-7.9</v>
      </c>
      <c r="J325" s="194" t="n">
        <v>2.4</v>
      </c>
      <c r="K325" s="195" t="inlineStr">
        <is>
          <t>2579 CNGR; 3881 CIDI</t>
        </is>
      </c>
    </row>
    <row r="326">
      <c r="A326" s="32" t="inlineStr">
        <is>
          <t>Mercedes-Benz Mobility Services</t>
        </is>
      </c>
      <c r="B326" s="191" t="n">
        <v>2</v>
      </c>
      <c r="C326" s="193" t="n">
        <v>0</v>
      </c>
      <c r="D326" s="194" t="n">
        <v>-7.1</v>
      </c>
      <c r="E326" s="194" t="n">
        <v>-8</v>
      </c>
      <c r="F326" s="194" t="n">
        <v>-6.8</v>
      </c>
      <c r="G326" s="194" t="n">
        <v>25.2</v>
      </c>
      <c r="H326" s="194" t="n">
        <v>-1</v>
      </c>
      <c r="I326" s="194" t="n">
        <v>1.1</v>
      </c>
      <c r="J326" s="194" t="n">
        <v>45.8</v>
      </c>
      <c r="K326" s="195" t="inlineStr">
        <is>
          <t>2643 CAOCAO INC; 6880 MOMENTA-W</t>
        </is>
      </c>
    </row>
    <row r="327">
      <c r="A327" s="32" t="inlineStr">
        <is>
          <t>Sanya Development Holdings Co., Ltd</t>
        </is>
      </c>
      <c r="B327" s="191" t="n">
        <v>2</v>
      </c>
      <c r="C327" s="193" t="n">
        <v>0</v>
      </c>
      <c r="D327" s="194" t="n">
        <v>-7.6</v>
      </c>
      <c r="E327" s="194" t="n">
        <v>-19.9</v>
      </c>
      <c r="F327" s="194" t="n">
        <v>-13.9</v>
      </c>
      <c r="G327" s="194" t="n">
        <v>-28.8</v>
      </c>
      <c r="H327" s="194" t="n">
        <v>-14.5</v>
      </c>
      <c r="I327" s="194" t="n">
        <v>-8.199999999999999</v>
      </c>
      <c r="J327" s="194" t="n">
        <v>-23.8</v>
      </c>
      <c r="K327" s="195" t="inlineStr">
        <is>
          <t>9638 FERRETTI; 9639 WING LEE DEV</t>
        </is>
      </c>
    </row>
    <row r="328">
      <c r="A328" s="32" t="inlineStr">
        <is>
          <t>Carmignac Funds</t>
        </is>
      </c>
      <c r="B328" s="191" t="n">
        <v>2</v>
      </c>
      <c r="C328" s="193" t="n">
        <v>0</v>
      </c>
      <c r="D328" s="194" t="n">
        <v>-8.1</v>
      </c>
      <c r="E328" s="194" t="n">
        <v>-15.3</v>
      </c>
      <c r="F328" s="194" t="n">
        <v>-14.6</v>
      </c>
      <c r="G328" s="194" t="n">
        <v>-20.6</v>
      </c>
      <c r="H328" s="194" t="n">
        <v>-7.8</v>
      </c>
      <c r="I328" s="194" t="n">
        <v>-7.1</v>
      </c>
      <c r="J328" s="194" t="n">
        <v>-13.4</v>
      </c>
      <c r="K328" s="195" t="inlineStr">
        <is>
          <t>6127 JOINN; 9960 KINDSTAR GLOBAL</t>
        </is>
      </c>
    </row>
    <row r="329">
      <c r="A329" s="32" t="inlineStr">
        <is>
          <t>Deep Source Holdings Limited</t>
        </is>
      </c>
      <c r="B329" s="191" t="n">
        <v>2</v>
      </c>
      <c r="C329" s="193" t="n">
        <v>0</v>
      </c>
      <c r="D329" s="194" t="n">
        <v>-8.1</v>
      </c>
      <c r="E329" s="194" t="n">
        <v>-15.3</v>
      </c>
      <c r="F329" s="194" t="n">
        <v>-4.7</v>
      </c>
      <c r="G329" s="194" t="n">
        <v>-10.5</v>
      </c>
      <c r="H329" s="194" t="n">
        <v>-7.3</v>
      </c>
      <c r="I329" s="194" t="n">
        <v>3.3</v>
      </c>
      <c r="J329" s="194" t="n">
        <v>-0.2</v>
      </c>
      <c r="K329" s="195" t="inlineStr">
        <is>
          <t>3887 HASHKEY HLDGS; 2715 ESTUN</t>
        </is>
      </c>
    </row>
    <row r="330">
      <c r="A330" s="32" t="inlineStr">
        <is>
          <t>Janus Henderson Funds</t>
        </is>
      </c>
      <c r="B330" s="191" t="n">
        <v>2</v>
      </c>
      <c r="C330" s="193" t="n">
        <v>50</v>
      </c>
      <c r="D330" s="194" t="n">
        <v>-8.5</v>
      </c>
      <c r="E330" s="194" t="n">
        <v>-2.3</v>
      </c>
      <c r="F330" s="194" t="n">
        <v>-3.9</v>
      </c>
      <c r="G330" s="194" t="n">
        <v>-40.9</v>
      </c>
      <c r="H330" s="194" t="n">
        <v>4.9</v>
      </c>
      <c r="I330" s="194" t="n">
        <v>2.9</v>
      </c>
      <c r="J330" s="194" t="n">
        <v>-38</v>
      </c>
      <c r="K330" s="195" t="inlineStr">
        <is>
          <t>9959 LINKLOGIS–W; 1228 CANBRIDGE-B</t>
        </is>
      </c>
    </row>
    <row r="331">
      <c r="A331" s="32" t="inlineStr">
        <is>
          <t>Chery Commercial Vehicle (Anhui) Company Limited</t>
        </is>
      </c>
      <c r="B331" s="191" t="n">
        <v>2</v>
      </c>
      <c r="C331" s="193" t="n">
        <v>0</v>
      </c>
      <c r="D331" s="194" t="n">
        <v>-11.1</v>
      </c>
      <c r="E331" s="194" t="n">
        <v>-28.8</v>
      </c>
      <c r="F331" s="194" t="n">
        <v>-34.2</v>
      </c>
      <c r="G331" s="194" t="n">
        <v>-76.7</v>
      </c>
      <c r="H331" s="194" t="n">
        <v>-21.3</v>
      </c>
      <c r="I331" s="194" t="n">
        <v>-29.7</v>
      </c>
      <c r="J331" s="194" t="n">
        <v>-70.09999999999999</v>
      </c>
      <c r="K331" s="195" t="inlineStr">
        <is>
          <t>2246 GOGOX; 2249 NEXCHIP</t>
        </is>
      </c>
    </row>
    <row r="332">
      <c r="A332" s="32" t="inlineStr">
        <is>
          <t>Laurion Capital Master Fund Ltd</t>
        </is>
      </c>
      <c r="B332" s="191" t="n">
        <v>2</v>
      </c>
      <c r="C332" s="193" t="n">
        <v>50</v>
      </c>
      <c r="D332" s="194" t="n">
        <v>-11.2</v>
      </c>
      <c r="E332" s="194" t="n">
        <v>-12.7</v>
      </c>
      <c r="F332" s="194" t="n">
        <v>-13.6</v>
      </c>
      <c r="G332" s="194" t="n">
        <v>4.8</v>
      </c>
      <c r="H332" s="194" t="n">
        <v>-3.2</v>
      </c>
      <c r="I332" s="194" t="n">
        <v>-6.3</v>
      </c>
      <c r="J332" s="194" t="n">
        <v>15.7</v>
      </c>
      <c r="K332" s="195" t="inlineStr">
        <is>
          <t>2121 AINNOVATION; 6990 SKB BIO-B</t>
        </is>
      </c>
    </row>
    <row r="333">
      <c r="A333" s="32" t="inlineStr">
        <is>
          <t>Country Garden Property Services HK Holdings Company Limited</t>
        </is>
      </c>
      <c r="B333" s="191" t="n">
        <v>2</v>
      </c>
      <c r="C333" s="193" t="n">
        <v>0</v>
      </c>
      <c r="D333" s="194" t="n">
        <v>-12.4</v>
      </c>
      <c r="E333" s="194" t="n">
        <v>-15.1</v>
      </c>
      <c r="F333" s="194" t="n">
        <v>-26.7</v>
      </c>
      <c r="G333" s="194" t="n">
        <v>-28.9</v>
      </c>
      <c r="H333" s="194" t="n">
        <v>-3.5</v>
      </c>
      <c r="I333" s="194" t="n">
        <v>-18.4</v>
      </c>
      <c r="J333" s="194" t="n">
        <v>-21.7</v>
      </c>
      <c r="K333" s="195" t="inlineStr">
        <is>
          <t>2177 UNQ HOLDINGS; 2205 KANGQIAO SER</t>
        </is>
      </c>
    </row>
    <row r="334">
      <c r="A334" s="32" t="inlineStr">
        <is>
          <t>Fosun Diagnostics (Shanghai) Co., Ltd</t>
        </is>
      </c>
      <c r="B334" s="191" t="n">
        <v>2</v>
      </c>
      <c r="C334" s="193" t="n">
        <v>50</v>
      </c>
      <c r="D334" s="194" t="n">
        <v>-13.2</v>
      </c>
      <c r="E334" s="194" t="n">
        <v>-16.9</v>
      </c>
      <c r="F334" s="194" t="n">
        <v>-23.1</v>
      </c>
      <c r="G334" s="194" t="n">
        <v>-13.7</v>
      </c>
      <c r="H334" s="194" t="n">
        <v>-2.2</v>
      </c>
      <c r="I334" s="194" t="n">
        <v>-11.9</v>
      </c>
      <c r="J334" s="194" t="n">
        <v>-3.8</v>
      </c>
      <c r="K334" s="195" t="inlineStr">
        <is>
          <t>9860 ADICON HOLDINGS; 2566 JIUYUAN GENE</t>
        </is>
      </c>
    </row>
    <row r="335">
      <c r="A335" s="32" t="inlineStr">
        <is>
          <t>Wong Cheuk Tim, Timothy</t>
        </is>
      </c>
      <c r="B335" s="191" t="n">
        <v>2</v>
      </c>
      <c r="C335" s="193" t="n">
        <v>0</v>
      </c>
      <c r="D335" s="194" t="n">
        <v>-13.5</v>
      </c>
      <c r="E335" s="194" t="n">
        <v>-19.6</v>
      </c>
      <c r="F335" s="194" t="n">
        <v>-20.1</v>
      </c>
      <c r="G335" s="194" t="n">
        <v>-25.5</v>
      </c>
      <c r="H335" s="194" t="n">
        <v>-7.4</v>
      </c>
      <c r="I335" s="194" t="n">
        <v>-9.199999999999999</v>
      </c>
      <c r="J335" s="194" t="n">
        <v>-17</v>
      </c>
      <c r="K335" s="195" t="inlineStr">
        <is>
          <t>2350 MTT GROUP; 1497 YAN PALACE</t>
        </is>
      </c>
    </row>
    <row r="336">
      <c r="A336" s="32" t="inlineStr">
        <is>
          <t>Joyson Electronic USA LLC</t>
        </is>
      </c>
      <c r="B336" s="191" t="n">
        <v>2</v>
      </c>
      <c r="C336" s="193" t="n">
        <v>0</v>
      </c>
      <c r="D336" s="194" t="n">
        <v>-13.5</v>
      </c>
      <c r="E336" s="194" t="n">
        <v>-3.9</v>
      </c>
      <c r="F336" s="194" t="n">
        <v>-17.4</v>
      </c>
      <c r="G336" s="194" t="n">
        <v>-17.8</v>
      </c>
      <c r="H336" s="194" t="n">
        <v>9.4</v>
      </c>
      <c r="I336" s="194" t="n">
        <v>-3.3</v>
      </c>
      <c r="J336" s="194" t="n">
        <v>-0.8</v>
      </c>
      <c r="K336" s="195" t="inlineStr">
        <is>
          <t>2533 BLACK SESAME; 0600 AXERA</t>
        </is>
      </c>
    </row>
    <row r="337">
      <c r="A337" s="32" t="inlineStr">
        <is>
          <t>Superstring Capital Master Fund LP</t>
        </is>
      </c>
      <c r="B337" s="191" t="n">
        <v>2</v>
      </c>
      <c r="C337" s="193" t="n">
        <v>0</v>
      </c>
      <c r="D337" s="194" t="n">
        <v>-13.8</v>
      </c>
      <c r="E337" s="194" t="n">
        <v>-25.4</v>
      </c>
      <c r="F337" s="194" t="n">
        <v>-29.6</v>
      </c>
      <c r="G337" s="194" t="n">
        <v>-37.3</v>
      </c>
      <c r="H337" s="194" t="n">
        <v>-12.5</v>
      </c>
      <c r="I337" s="194" t="n">
        <v>-19</v>
      </c>
      <c r="J337" s="194" t="n">
        <v>-29.1</v>
      </c>
      <c r="K337" s="195" t="inlineStr">
        <is>
          <t>6609 HEARTCARE-B; 2197 CLOVER BIO-B</t>
        </is>
      </c>
    </row>
    <row r="338">
      <c r="A338" s="32" t="inlineStr">
        <is>
          <t>Zhongsheng Holdings Company Limited</t>
        </is>
      </c>
      <c r="B338" s="191" t="n">
        <v>2</v>
      </c>
      <c r="C338" s="193" t="n">
        <v>0</v>
      </c>
      <c r="D338" s="194" t="n">
        <v>-13.8</v>
      </c>
      <c r="E338" s="194" t="n">
        <v>-16.5</v>
      </c>
      <c r="F338" s="194" t="n">
        <v>-20.1</v>
      </c>
      <c r="G338" s="194" t="n">
        <v>-31.9</v>
      </c>
      <c r="H338" s="194" t="n">
        <v>-1.5</v>
      </c>
      <c r="I338" s="194" t="n">
        <v>-6.5</v>
      </c>
      <c r="J338" s="194" t="n">
        <v>-20</v>
      </c>
      <c r="K338" s="195" t="inlineStr">
        <is>
          <t>2502 JINYUAN HCHEM; 9927 SERES</t>
        </is>
      </c>
    </row>
    <row r="339">
      <c r="A339" s="32" t="inlineStr">
        <is>
          <t>Huzhou Erqing Asset Operation Co., Ltd</t>
        </is>
      </c>
      <c r="B339" s="191" t="n">
        <v>2</v>
      </c>
      <c r="C339" s="193" t="n">
        <v>0</v>
      </c>
      <c r="D339" s="194" t="n">
        <v>-14.5</v>
      </c>
      <c r="E339" s="194" t="n">
        <v>-4.5</v>
      </c>
      <c r="F339" s="194" t="n">
        <v>-11.6</v>
      </c>
      <c r="G339" s="194" t="n">
        <v>-5.6</v>
      </c>
      <c r="H339" s="194" t="n">
        <v>12.1</v>
      </c>
      <c r="I339" s="194" t="n">
        <v>3.8</v>
      </c>
      <c r="J339" s="194" t="n">
        <v>11</v>
      </c>
      <c r="K339" s="195" t="inlineStr">
        <is>
          <t>6661 HUZHOU GAS; 2409 SEACON</t>
        </is>
      </c>
    </row>
    <row r="340">
      <c r="A340" s="32" t="inlineStr">
        <is>
          <t>Jinhua Industrial Fund Co., Ltd</t>
        </is>
      </c>
      <c r="B340" s="191" t="n">
        <v>2</v>
      </c>
      <c r="C340" s="193" t="n">
        <v>50</v>
      </c>
      <c r="D340" s="194" t="n">
        <v>-16.3</v>
      </c>
      <c r="E340" s="194" t="n">
        <v>-25</v>
      </c>
      <c r="F340" s="194" t="n">
        <v>-30.8</v>
      </c>
      <c r="G340" s="194" t="n">
        <v>-19.2</v>
      </c>
      <c r="H340" s="194" t="n">
        <v>-12.4</v>
      </c>
      <c r="I340" s="194" t="n">
        <v>-21.8</v>
      </c>
      <c r="J340" s="194" t="n">
        <v>-3.8</v>
      </c>
      <c r="K340" s="195" t="inlineStr">
        <is>
          <t>9863 LEAPMOTOR; 2451 LUYUAN GP HLDG</t>
        </is>
      </c>
    </row>
    <row r="341">
      <c r="A341" s="32" t="inlineStr">
        <is>
          <t>Zoomlion International Trading (H.K.) Co., Limited</t>
        </is>
      </c>
      <c r="B341" s="191" t="n">
        <v>2</v>
      </c>
      <c r="C341" s="193" t="n">
        <v>0</v>
      </c>
      <c r="D341" s="194" t="n">
        <v>-18.8</v>
      </c>
      <c r="E341" s="194" t="n">
        <v>-17.8</v>
      </c>
      <c r="F341" s="194" t="n">
        <v>-29.3</v>
      </c>
      <c r="G341" s="194" t="n">
        <v>-25.1</v>
      </c>
      <c r="H341" s="194" t="n">
        <v>-0.8</v>
      </c>
      <c r="I341" s="194" t="n">
        <v>-13.9</v>
      </c>
      <c r="J341" s="194" t="n">
        <v>-8.1</v>
      </c>
      <c r="K341" s="195" t="inlineStr">
        <is>
          <t>2153 TAT HONG EQUIP; 9930 HORIZON CD</t>
        </is>
      </c>
    </row>
    <row r="342">
      <c r="A342" s="32" t="inlineStr">
        <is>
          <t>Jointown International Group Company Limited</t>
        </is>
      </c>
      <c r="B342" s="191" t="n">
        <v>2</v>
      </c>
      <c r="C342" s="193" t="n">
        <v>0</v>
      </c>
      <c r="D342" s="194" t="n">
        <v>-19.2</v>
      </c>
      <c r="E342" s="194" t="n">
        <v>-20.4</v>
      </c>
      <c r="F342" s="194" t="n">
        <v>-23.5</v>
      </c>
      <c r="G342" s="194" t="n">
        <v>-24</v>
      </c>
      <c r="H342" s="194" t="n">
        <v>-0.3</v>
      </c>
      <c r="I342" s="194" t="n">
        <v>-6.9</v>
      </c>
      <c r="J342" s="194" t="n">
        <v>-7.6</v>
      </c>
      <c r="K342" s="195" t="inlineStr">
        <is>
          <t>2291 SCIENTECH; 2566 JIUYUAN GENE</t>
        </is>
      </c>
    </row>
    <row r="343">
      <c r="A343" s="32" t="inlineStr">
        <is>
          <t>CM Shanghai Fund</t>
        </is>
      </c>
      <c r="B343" s="191" t="n">
        <v>1</v>
      </c>
      <c r="C343" s="193" t="n">
        <v>100</v>
      </c>
      <c r="D343" s="194" t="n">
        <v>383.6</v>
      </c>
      <c r="E343" s="194" t="n">
        <v>385</v>
      </c>
      <c r="F343" s="194" t="n">
        <v>236.2</v>
      </c>
      <c r="G343" s="194" t="n">
        <v>27.3</v>
      </c>
      <c r="H343" s="194" t="n">
        <v>0.3</v>
      </c>
      <c r="I343" s="194" t="n">
        <v>-30.5</v>
      </c>
      <c r="J343" s="194" t="n">
        <v>-73.7</v>
      </c>
      <c r="K343" s="195" t="inlineStr">
        <is>
          <t>1879 XIZHI TECH-P</t>
        </is>
      </c>
    </row>
    <row r="344">
      <c r="A344" s="32" t="inlineStr">
        <is>
          <t>GLY New Mobility</t>
        </is>
      </c>
      <c r="B344" s="191" t="n">
        <v>1</v>
      </c>
      <c r="C344" s="193" t="n">
        <v>100</v>
      </c>
      <c r="D344" s="194" t="n">
        <v>367.9</v>
      </c>
      <c r="E344" s="194" t="n">
        <v>295.2</v>
      </c>
      <c r="F344" s="194" t="n">
        <v>280.8</v>
      </c>
      <c r="G344" s="194" t="n">
        <v>288.5</v>
      </c>
      <c r="H344" s="194" t="n">
        <v>-15.6</v>
      </c>
      <c r="I344" s="194" t="n">
        <v>-18.6</v>
      </c>
      <c r="J344" s="194" t="n">
        <v>-17</v>
      </c>
      <c r="K344" s="195" t="inlineStr">
        <is>
          <t>2672 BAIGE DIGITAL</t>
        </is>
      </c>
    </row>
    <row r="345">
      <c r="A345" s="32" t="inlineStr">
        <is>
          <t>Mr. Ke</t>
        </is>
      </c>
      <c r="B345" s="191" t="n">
        <v>1</v>
      </c>
      <c r="C345" s="193" t="n">
        <v>100</v>
      </c>
      <c r="D345" s="194" t="n">
        <v>367.9</v>
      </c>
      <c r="E345" s="194" t="n">
        <v>295.2</v>
      </c>
      <c r="F345" s="194" t="n">
        <v>280.8</v>
      </c>
      <c r="G345" s="194" t="n">
        <v>288.5</v>
      </c>
      <c r="H345" s="194" t="n">
        <v>-15.6</v>
      </c>
      <c r="I345" s="194" t="n">
        <v>-18.6</v>
      </c>
      <c r="J345" s="194" t="n">
        <v>-17</v>
      </c>
      <c r="K345" s="195" t="inlineStr">
        <is>
          <t>2672 BAIGE DIGITAL</t>
        </is>
      </c>
    </row>
    <row r="346">
      <c r="A346" s="32" t="inlineStr">
        <is>
          <t>Taiwan ZMAX</t>
        </is>
      </c>
      <c r="B346" s="191" t="n">
        <v>1</v>
      </c>
      <c r="C346" s="193" t="n">
        <v>100</v>
      </c>
      <c r="D346" s="194" t="n">
        <v>265.7</v>
      </c>
      <c r="E346" s="196" t="n"/>
      <c r="F346" s="196" t="n"/>
      <c r="G346" s="196" t="n"/>
      <c r="H346" s="196" t="n"/>
      <c r="I346" s="196" t="n"/>
      <c r="J346" s="196" t="n"/>
      <c r="K346" s="195" t="inlineStr">
        <is>
          <t>6802 CAMSENSE</t>
        </is>
      </c>
    </row>
    <row r="347">
      <c r="A347" s="32" t="inlineStr">
        <is>
          <t>Huayou HongKong Holding Limited</t>
        </is>
      </c>
      <c r="B347" s="191" t="n">
        <v>1</v>
      </c>
      <c r="C347" s="193" t="n">
        <v>100</v>
      </c>
      <c r="D347" s="194" t="n">
        <v>258.9</v>
      </c>
      <c r="E347" s="194" t="n">
        <v>459.7</v>
      </c>
      <c r="F347" s="194" t="n">
        <v>303.2</v>
      </c>
      <c r="G347" s="194" t="n">
        <v>290.7</v>
      </c>
      <c r="H347" s="194" t="n">
        <v>56</v>
      </c>
      <c r="I347" s="194" t="n">
        <v>12.4</v>
      </c>
      <c r="J347" s="194" t="n">
        <v>8.9</v>
      </c>
      <c r="K347" s="195" t="inlineStr">
        <is>
          <t>2155 MORIMATSU INTL</t>
        </is>
      </c>
    </row>
    <row r="348">
      <c r="A348" s="32" t="inlineStr">
        <is>
          <t>Hwa-An International Limited</t>
        </is>
      </c>
      <c r="B348" s="191" t="n">
        <v>1</v>
      </c>
      <c r="C348" s="193" t="n">
        <v>100</v>
      </c>
      <c r="D348" s="194" t="n">
        <v>258.9</v>
      </c>
      <c r="E348" s="194" t="n">
        <v>459.7</v>
      </c>
      <c r="F348" s="194" t="n">
        <v>303.2</v>
      </c>
      <c r="G348" s="194" t="n">
        <v>290.7</v>
      </c>
      <c r="H348" s="194" t="n">
        <v>56</v>
      </c>
      <c r="I348" s="194" t="n">
        <v>12.4</v>
      </c>
      <c r="J348" s="194" t="n">
        <v>8.9</v>
      </c>
      <c r="K348" s="195" t="inlineStr">
        <is>
          <t>2155 MORIMATSU INTL</t>
        </is>
      </c>
    </row>
    <row r="349">
      <c r="A349" s="32" t="inlineStr">
        <is>
          <t>Jingzhirui (Suzhou) Microelectronic Technology Co., Ltd</t>
        </is>
      </c>
      <c r="B349" s="191" t="n">
        <v>1</v>
      </c>
      <c r="C349" s="193" t="n">
        <v>100</v>
      </c>
      <c r="D349" s="194" t="n">
        <v>258.9</v>
      </c>
      <c r="E349" s="194" t="n">
        <v>459.7</v>
      </c>
      <c r="F349" s="194" t="n">
        <v>303.2</v>
      </c>
      <c r="G349" s="194" t="n">
        <v>290.7</v>
      </c>
      <c r="H349" s="194" t="n">
        <v>56</v>
      </c>
      <c r="I349" s="194" t="n">
        <v>12.4</v>
      </c>
      <c r="J349" s="194" t="n">
        <v>8.9</v>
      </c>
      <c r="K349" s="195" t="inlineStr">
        <is>
          <t>2155 MORIMATSU INTL</t>
        </is>
      </c>
    </row>
    <row r="350">
      <c r="A350" s="32" t="inlineStr">
        <is>
          <t>Zhang Ning</t>
        </is>
      </c>
      <c r="B350" s="191" t="n">
        <v>1</v>
      </c>
      <c r="C350" s="193" t="n">
        <v>100</v>
      </c>
      <c r="D350" s="194" t="n">
        <v>258.9</v>
      </c>
      <c r="E350" s="194" t="n">
        <v>459.7</v>
      </c>
      <c r="F350" s="194" t="n">
        <v>303.2</v>
      </c>
      <c r="G350" s="194" t="n">
        <v>290.7</v>
      </c>
      <c r="H350" s="194" t="n">
        <v>56</v>
      </c>
      <c r="I350" s="194" t="n">
        <v>12.4</v>
      </c>
      <c r="J350" s="194" t="n">
        <v>8.9</v>
      </c>
      <c r="K350" s="195" t="inlineStr">
        <is>
          <t>2155 MORIMATSU INTL</t>
        </is>
      </c>
    </row>
    <row r="351">
      <c r="A351" s="32" t="inlineStr">
        <is>
          <t>Ren Xuyang (任旭陽)</t>
        </is>
      </c>
      <c r="B351" s="191" t="n">
        <v>1</v>
      </c>
      <c r="C351" s="193" t="n">
        <v>100</v>
      </c>
      <c r="D351" s="194" t="n">
        <v>242.2</v>
      </c>
      <c r="E351" s="194" t="n">
        <v>298.7</v>
      </c>
      <c r="F351" s="194" t="n">
        <v>204.7</v>
      </c>
      <c r="G351" s="194" t="n">
        <v>132.4</v>
      </c>
      <c r="H351" s="194" t="n">
        <v>16.5</v>
      </c>
      <c r="I351" s="194" t="n">
        <v>-11</v>
      </c>
      <c r="J351" s="194" t="n">
        <v>-32.1</v>
      </c>
      <c r="K351" s="195" t="inlineStr">
        <is>
          <t>2706 HAIZHI TECH GP</t>
        </is>
      </c>
    </row>
    <row r="352">
      <c r="A352" s="32" t="inlineStr">
        <is>
          <t>Yang Zaifei (楊再飛)</t>
        </is>
      </c>
      <c r="B352" s="191" t="n">
        <v>1</v>
      </c>
      <c r="C352" s="193" t="n">
        <v>100</v>
      </c>
      <c r="D352" s="194" t="n">
        <v>242.2</v>
      </c>
      <c r="E352" s="194" t="n">
        <v>298.7</v>
      </c>
      <c r="F352" s="194" t="n">
        <v>204.7</v>
      </c>
      <c r="G352" s="194" t="n">
        <v>132.4</v>
      </c>
      <c r="H352" s="194" t="n">
        <v>16.5</v>
      </c>
      <c r="I352" s="194" t="n">
        <v>-11</v>
      </c>
      <c r="J352" s="194" t="n">
        <v>-32.1</v>
      </c>
      <c r="K352" s="195" t="inlineStr">
        <is>
          <t>2706 HAIZHI TECH GP</t>
        </is>
      </c>
    </row>
    <row r="353">
      <c r="A353" s="32" t="inlineStr">
        <is>
          <t>BAI GmbH</t>
        </is>
      </c>
      <c r="B353" s="191" t="n">
        <v>1</v>
      </c>
      <c r="C353" s="193" t="n">
        <v>100</v>
      </c>
      <c r="D353" s="194" t="n">
        <v>242.2</v>
      </c>
      <c r="E353" s="194" t="n">
        <v>298.7</v>
      </c>
      <c r="F353" s="194" t="n">
        <v>204.7</v>
      </c>
      <c r="G353" s="194" t="n">
        <v>132.4</v>
      </c>
      <c r="H353" s="194" t="n">
        <v>16.5</v>
      </c>
      <c r="I353" s="194" t="n">
        <v>-11</v>
      </c>
      <c r="J353" s="194" t="n">
        <v>-32.1</v>
      </c>
      <c r="K353" s="195" t="inlineStr">
        <is>
          <t>2706 HAIZHI TECH GP</t>
        </is>
      </c>
    </row>
    <row r="354">
      <c r="A354" s="32" t="inlineStr">
        <is>
          <t>Yifang Technology Group, Ltd</t>
        </is>
      </c>
      <c r="B354" s="191" t="n">
        <v>1</v>
      </c>
      <c r="C354" s="193" t="n">
        <v>100</v>
      </c>
      <c r="D354" s="194" t="n">
        <v>242.2</v>
      </c>
      <c r="E354" s="194" t="n">
        <v>298.7</v>
      </c>
      <c r="F354" s="194" t="n">
        <v>204.7</v>
      </c>
      <c r="G354" s="194" t="n">
        <v>132.4</v>
      </c>
      <c r="H354" s="194" t="n">
        <v>16.5</v>
      </c>
      <c r="I354" s="194" t="n">
        <v>-11</v>
      </c>
      <c r="J354" s="194" t="n">
        <v>-32.1</v>
      </c>
      <c r="K354" s="195" t="inlineStr">
        <is>
          <t>2706 HAIZHI TECH GP</t>
        </is>
      </c>
    </row>
    <row r="355">
      <c r="A355" s="32" t="inlineStr">
        <is>
          <t>Shi Youcai (史有才)</t>
        </is>
      </c>
      <c r="B355" s="191" t="n">
        <v>1</v>
      </c>
      <c r="C355" s="193" t="n">
        <v>100</v>
      </c>
      <c r="D355" s="194" t="n">
        <v>242.2</v>
      </c>
      <c r="E355" s="194" t="n">
        <v>298.7</v>
      </c>
      <c r="F355" s="194" t="n">
        <v>204.7</v>
      </c>
      <c r="G355" s="194" t="n">
        <v>132.4</v>
      </c>
      <c r="H355" s="194" t="n">
        <v>16.5</v>
      </c>
      <c r="I355" s="194" t="n">
        <v>-11</v>
      </c>
      <c r="J355" s="194" t="n">
        <v>-32.1</v>
      </c>
      <c r="K355" s="195" t="inlineStr">
        <is>
          <t>2706 HAIZHI TECH GP</t>
        </is>
      </c>
    </row>
    <row r="356">
      <c r="A356" s="32" t="inlineStr">
        <is>
          <t>Yang Juan (楊娟)</t>
        </is>
      </c>
      <c r="B356" s="191" t="n">
        <v>1</v>
      </c>
      <c r="C356" s="193" t="n">
        <v>100</v>
      </c>
      <c r="D356" s="194" t="n">
        <v>242.2</v>
      </c>
      <c r="E356" s="194" t="n">
        <v>298.7</v>
      </c>
      <c r="F356" s="194" t="n">
        <v>204.7</v>
      </c>
      <c r="G356" s="194" t="n">
        <v>132.4</v>
      </c>
      <c r="H356" s="194" t="n">
        <v>16.5</v>
      </c>
      <c r="I356" s="194" t="n">
        <v>-11</v>
      </c>
      <c r="J356" s="194" t="n">
        <v>-32.1</v>
      </c>
      <c r="K356" s="195" t="inlineStr">
        <is>
          <t>2706 HAIZHI TECH GP</t>
        </is>
      </c>
    </row>
    <row r="357">
      <c r="A357" s="32" t="inlineStr">
        <is>
          <t>Wan Pengjiang (萬澎江)</t>
        </is>
      </c>
      <c r="B357" s="191" t="n">
        <v>1</v>
      </c>
      <c r="C357" s="193" t="n">
        <v>100</v>
      </c>
      <c r="D357" s="194" t="n">
        <v>242.2</v>
      </c>
      <c r="E357" s="194" t="n">
        <v>298.7</v>
      </c>
      <c r="F357" s="194" t="n">
        <v>204.7</v>
      </c>
      <c r="G357" s="194" t="n">
        <v>132.4</v>
      </c>
      <c r="H357" s="194" t="n">
        <v>16.5</v>
      </c>
      <c r="I357" s="194" t="n">
        <v>-11</v>
      </c>
      <c r="J357" s="194" t="n">
        <v>-32.1</v>
      </c>
      <c r="K357" s="195" t="inlineStr">
        <is>
          <t>2706 HAIZHI TECH GP</t>
        </is>
      </c>
    </row>
    <row r="358">
      <c r="A358" s="32" t="inlineStr">
        <is>
          <t>Hu Song (胡嵩)</t>
        </is>
      </c>
      <c r="B358" s="191" t="n">
        <v>1</v>
      </c>
      <c r="C358" s="193" t="n">
        <v>100</v>
      </c>
      <c r="D358" s="194" t="n">
        <v>242.2</v>
      </c>
      <c r="E358" s="194" t="n">
        <v>298.7</v>
      </c>
      <c r="F358" s="194" t="n">
        <v>204.7</v>
      </c>
      <c r="G358" s="194" t="n">
        <v>132.4</v>
      </c>
      <c r="H358" s="194" t="n">
        <v>16.5</v>
      </c>
      <c r="I358" s="194" t="n">
        <v>-11</v>
      </c>
      <c r="J358" s="194" t="n">
        <v>-32.1</v>
      </c>
      <c r="K358" s="195" t="inlineStr">
        <is>
          <t>2706 HAIZHI TECH GP</t>
        </is>
      </c>
    </row>
    <row r="359">
      <c r="A359" s="32" t="inlineStr">
        <is>
          <t>Alternative Fund, L.P</t>
        </is>
      </c>
      <c r="B359" s="191" t="n">
        <v>1</v>
      </c>
      <c r="C359" s="193" t="n">
        <v>100</v>
      </c>
      <c r="D359" s="194" t="n">
        <v>242.2</v>
      </c>
      <c r="E359" s="194" t="n">
        <v>298.7</v>
      </c>
      <c r="F359" s="194" t="n">
        <v>204.7</v>
      </c>
      <c r="G359" s="194" t="n">
        <v>132.4</v>
      </c>
      <c r="H359" s="194" t="n">
        <v>16.5</v>
      </c>
      <c r="I359" s="194" t="n">
        <v>-11</v>
      </c>
      <c r="J359" s="194" t="n">
        <v>-32.1</v>
      </c>
      <c r="K359" s="195" t="inlineStr">
        <is>
          <t>2706 HAIZHI TECH GP</t>
        </is>
      </c>
    </row>
    <row r="360">
      <c r="A360" s="32" t="inlineStr">
        <is>
          <t>XINWUTANG CO., LIMITED</t>
        </is>
      </c>
      <c r="B360" s="191" t="n">
        <v>1</v>
      </c>
      <c r="C360" s="193" t="n">
        <v>100</v>
      </c>
      <c r="D360" s="194" t="n">
        <v>241.1</v>
      </c>
      <c r="E360" s="194" t="n">
        <v>216.6</v>
      </c>
      <c r="F360" s="194" t="n">
        <v>201.5</v>
      </c>
      <c r="G360" s="194" t="n">
        <v>136.7</v>
      </c>
      <c r="H360" s="194" t="n">
        <v>-7.2</v>
      </c>
      <c r="I360" s="194" t="n">
        <v>-11.6</v>
      </c>
      <c r="J360" s="194" t="n">
        <v>-30.6</v>
      </c>
      <c r="K360" s="195" t="inlineStr">
        <is>
          <t>6810 SUNMI TECH-W</t>
        </is>
      </c>
    </row>
    <row r="361">
      <c r="A361" s="32" t="inlineStr">
        <is>
          <t>Carsonlin Investment Ltd</t>
        </is>
      </c>
      <c r="B361" s="191" t="n">
        <v>1</v>
      </c>
      <c r="C361" s="193" t="n">
        <v>100</v>
      </c>
      <c r="D361" s="194" t="n">
        <v>230.2</v>
      </c>
      <c r="E361" s="194" t="n">
        <v>281.1</v>
      </c>
      <c r="F361" s="194" t="n">
        <v>196.2</v>
      </c>
      <c r="G361" s="194" t="n">
        <v>696.2</v>
      </c>
      <c r="H361" s="194" t="n">
        <v>15.4</v>
      </c>
      <c r="I361" s="194" t="n">
        <v>-10.3</v>
      </c>
      <c r="J361" s="194" t="n">
        <v>141.1</v>
      </c>
      <c r="K361" s="195" t="inlineStr">
        <is>
          <t>2427 GUANZE MEDICAL</t>
        </is>
      </c>
    </row>
    <row r="362">
      <c r="A362" s="32" t="inlineStr">
        <is>
          <t>Mu Min</t>
        </is>
      </c>
      <c r="B362" s="191" t="n">
        <v>1</v>
      </c>
      <c r="C362" s="193" t="n">
        <v>100</v>
      </c>
      <c r="D362" s="194" t="n">
        <v>230.2</v>
      </c>
      <c r="E362" s="194" t="n">
        <v>281.1</v>
      </c>
      <c r="F362" s="194" t="n">
        <v>196.2</v>
      </c>
      <c r="G362" s="194" t="n">
        <v>696.2</v>
      </c>
      <c r="H362" s="194" t="n">
        <v>15.4</v>
      </c>
      <c r="I362" s="194" t="n">
        <v>-10.3</v>
      </c>
      <c r="J362" s="194" t="n">
        <v>141.1</v>
      </c>
      <c r="K362" s="195" t="inlineStr">
        <is>
          <t>2427 GUANZE MEDICAL</t>
        </is>
      </c>
    </row>
    <row r="363">
      <c r="A363" s="32" t="inlineStr">
        <is>
          <t>Yang Xinyun</t>
        </is>
      </c>
      <c r="B363" s="191" t="n">
        <v>1</v>
      </c>
      <c r="C363" s="193" t="n">
        <v>100</v>
      </c>
      <c r="D363" s="194" t="n">
        <v>230.2</v>
      </c>
      <c r="E363" s="194" t="n">
        <v>281.1</v>
      </c>
      <c r="F363" s="194" t="n">
        <v>196.2</v>
      </c>
      <c r="G363" s="194" t="n">
        <v>696.2</v>
      </c>
      <c r="H363" s="194" t="n">
        <v>15.4</v>
      </c>
      <c r="I363" s="194" t="n">
        <v>-10.3</v>
      </c>
      <c r="J363" s="194" t="n">
        <v>141.1</v>
      </c>
      <c r="K363" s="195" t="inlineStr">
        <is>
          <t>2427 GUANZE MEDICAL</t>
        </is>
      </c>
    </row>
    <row r="364">
      <c r="A364" s="32" t="inlineStr">
        <is>
          <t>Marketingforce Management Ltd</t>
        </is>
      </c>
      <c r="B364" s="191" t="n">
        <v>1</v>
      </c>
      <c r="C364" s="193" t="n">
        <v>100</v>
      </c>
      <c r="D364" s="194" t="n">
        <v>206.5</v>
      </c>
      <c r="E364" s="194" t="n">
        <v>183.7</v>
      </c>
      <c r="F364" s="194" t="n">
        <v>137.4</v>
      </c>
      <c r="G364" s="194" t="n">
        <v>84.59999999999999</v>
      </c>
      <c r="H364" s="194" t="n">
        <v>-7.4</v>
      </c>
      <c r="I364" s="194" t="n">
        <v>-22.6</v>
      </c>
      <c r="J364" s="194" t="n">
        <v>-39.8</v>
      </c>
      <c r="K364" s="195" t="inlineStr">
        <is>
          <t>2591 INNOGEN-B</t>
        </is>
      </c>
    </row>
    <row r="365">
      <c r="A365" s="32" t="inlineStr">
        <is>
          <t>DENG Haifeng (ࢤ</t>
        </is>
      </c>
      <c r="B365" s="191" t="n">
        <v>1</v>
      </c>
      <c r="C365" s="193" t="n">
        <v>100</v>
      </c>
      <c r="D365" s="194" t="n">
        <v>206.5</v>
      </c>
      <c r="E365" s="194" t="n">
        <v>183.7</v>
      </c>
      <c r="F365" s="194" t="n">
        <v>137.4</v>
      </c>
      <c r="G365" s="194" t="n">
        <v>84.59999999999999</v>
      </c>
      <c r="H365" s="194" t="n">
        <v>-7.4</v>
      </c>
      <c r="I365" s="194" t="n">
        <v>-22.6</v>
      </c>
      <c r="J365" s="194" t="n">
        <v>-39.8</v>
      </c>
      <c r="K365" s="195" t="inlineStr">
        <is>
          <t>2591 INNOGEN-B</t>
        </is>
      </c>
    </row>
    <row r="366">
      <c r="A366" s="32" t="inlineStr">
        <is>
          <t>LI Huifeng</t>
        </is>
      </c>
      <c r="B366" s="191" t="n">
        <v>1</v>
      </c>
      <c r="C366" s="193" t="n">
        <v>100</v>
      </c>
      <c r="D366" s="194" t="n">
        <v>206.5</v>
      </c>
      <c r="E366" s="194" t="n">
        <v>183.7</v>
      </c>
      <c r="F366" s="194" t="n">
        <v>137.4</v>
      </c>
      <c r="G366" s="194" t="n">
        <v>84.59999999999999</v>
      </c>
      <c r="H366" s="194" t="n">
        <v>-7.4</v>
      </c>
      <c r="I366" s="194" t="n">
        <v>-22.6</v>
      </c>
      <c r="J366" s="194" t="n">
        <v>-39.8</v>
      </c>
      <c r="K366" s="195" t="inlineStr">
        <is>
          <t>2591 INNOGEN-B</t>
        </is>
      </c>
    </row>
    <row r="367">
      <c r="A367" s="32" t="inlineStr">
        <is>
          <t>AMR Action Fund, L.P</t>
        </is>
      </c>
      <c r="B367" s="191" t="n">
        <v>1</v>
      </c>
      <c r="C367" s="193" t="n">
        <v>100</v>
      </c>
      <c r="D367" s="194" t="n">
        <v>178.7</v>
      </c>
      <c r="E367" s="194" t="n">
        <v>166.8</v>
      </c>
      <c r="F367" s="194" t="n">
        <v>248.2</v>
      </c>
      <c r="G367" s="194" t="n">
        <v>165</v>
      </c>
      <c r="H367" s="194" t="n">
        <v>-4.3</v>
      </c>
      <c r="I367" s="194" t="n">
        <v>24.9</v>
      </c>
      <c r="J367" s="194" t="n">
        <v>-4.9</v>
      </c>
      <c r="K367" s="195" t="inlineStr">
        <is>
          <t>6872 TENNOR THERAP-B</t>
        </is>
      </c>
    </row>
    <row r="368">
      <c r="A368" s="32" t="inlineStr">
        <is>
          <t>CHINA CINDA (HK) ASSET MANAGEMENT CO., LIMITED ʮ̡</t>
        </is>
      </c>
      <c r="B368" s="191" t="n">
        <v>1</v>
      </c>
      <c r="C368" s="193" t="n">
        <v>100</v>
      </c>
      <c r="D368" s="194" t="n">
        <v>177.8</v>
      </c>
      <c r="E368" s="194" t="n">
        <v>193.6</v>
      </c>
      <c r="F368" s="194" t="n">
        <v>146.3</v>
      </c>
      <c r="G368" s="194" t="n">
        <v>225.1</v>
      </c>
      <c r="H368" s="194" t="n">
        <v>5.7</v>
      </c>
      <c r="I368" s="194" t="n">
        <v>-11.3</v>
      </c>
      <c r="J368" s="194" t="n">
        <v>17</v>
      </c>
      <c r="K368" s="195" t="inlineStr">
        <is>
          <t>3858 JIAXIN INTL RES</t>
        </is>
      </c>
    </row>
    <row r="369">
      <c r="A369" s="32" t="inlineStr">
        <is>
          <t>LUYIN TRADING PTE. LTD</t>
        </is>
      </c>
      <c r="B369" s="191" t="n">
        <v>1</v>
      </c>
      <c r="C369" s="193" t="n">
        <v>100</v>
      </c>
      <c r="D369" s="194" t="n">
        <v>177.8</v>
      </c>
      <c r="E369" s="194" t="n">
        <v>193.6</v>
      </c>
      <c r="F369" s="194" t="n">
        <v>146.3</v>
      </c>
      <c r="G369" s="194" t="n">
        <v>225.1</v>
      </c>
      <c r="H369" s="194" t="n">
        <v>5.7</v>
      </c>
      <c r="I369" s="194" t="n">
        <v>-11.3</v>
      </c>
      <c r="J369" s="194" t="n">
        <v>17</v>
      </c>
      <c r="K369" s="195" t="inlineStr">
        <is>
          <t>3858 JIAXIN INTL RES</t>
        </is>
      </c>
    </row>
    <row r="370">
      <c r="A370" s="32" t="inlineStr">
        <is>
          <t>The Capital Group Funds</t>
        </is>
      </c>
      <c r="B370" s="191" t="n">
        <v>1</v>
      </c>
      <c r="C370" s="193" t="n">
        <v>100</v>
      </c>
      <c r="D370" s="194" t="n">
        <v>160.9</v>
      </c>
      <c r="E370" s="194" t="n">
        <v>250.4</v>
      </c>
      <c r="F370" s="194" t="n">
        <v>141.9</v>
      </c>
      <c r="G370" s="194" t="n">
        <v>105.4</v>
      </c>
      <c r="H370" s="194" t="n">
        <v>34.3</v>
      </c>
      <c r="I370" s="194" t="n">
        <v>-7.3</v>
      </c>
      <c r="J370" s="194" t="n">
        <v>-21.3</v>
      </c>
      <c r="K370" s="195" t="inlineStr">
        <is>
          <t>1024 KUAISHOU-W</t>
        </is>
      </c>
    </row>
    <row r="371">
      <c r="A371" s="32" t="inlineStr">
        <is>
          <t>Aoqin Heming</t>
        </is>
      </c>
      <c r="B371" s="191" t="n">
        <v>1</v>
      </c>
      <c r="C371" s="193" t="n">
        <v>100</v>
      </c>
      <c r="D371" s="194" t="n">
        <v>158.8</v>
      </c>
      <c r="E371" s="194" t="n">
        <v>229.4</v>
      </c>
      <c r="F371" s="194" t="n">
        <v>338.7</v>
      </c>
      <c r="G371" s="194" t="n">
        <v>592.7</v>
      </c>
      <c r="H371" s="194" t="n">
        <v>27.3</v>
      </c>
      <c r="I371" s="194" t="n">
        <v>69.5</v>
      </c>
      <c r="J371" s="194" t="n">
        <v>167.6</v>
      </c>
      <c r="K371" s="195" t="inlineStr">
        <is>
          <t>2661 QINGSONG HEALTH</t>
        </is>
      </c>
    </row>
    <row r="372">
      <c r="A372" s="32" t="inlineStr">
        <is>
          <t>Jiaxing Xinyang Private Equity Asset Management Co., Ltd. and Huatai Capital Investment Limited (in connection with Huatai Back-to-back TRS and Huatai Client TRS)</t>
        </is>
      </c>
      <c r="B372" s="191" t="n">
        <v>1</v>
      </c>
      <c r="C372" s="193" t="n">
        <v>100</v>
      </c>
      <c r="D372" s="194" t="n">
        <v>158</v>
      </c>
      <c r="E372" s="194" t="n">
        <v>314.7</v>
      </c>
      <c r="F372" s="194" t="n">
        <v>261.1</v>
      </c>
      <c r="G372" s="194" t="n">
        <v>212.7</v>
      </c>
      <c r="H372" s="194" t="n">
        <v>60.8</v>
      </c>
      <c r="I372" s="194" t="n">
        <v>40</v>
      </c>
      <c r="J372" s="194" t="n">
        <v>21.2</v>
      </c>
      <c r="K372" s="195" t="inlineStr">
        <is>
          <t>2627 AB&amp;B BIO-TECH-B</t>
        </is>
      </c>
    </row>
    <row r="373">
      <c r="A373" s="32" t="inlineStr">
        <is>
          <t>Zhengjin International</t>
        </is>
      </c>
      <c r="B373" s="191" t="n">
        <v>1</v>
      </c>
      <c r="C373" s="193" t="n">
        <v>100</v>
      </c>
      <c r="D373" s="194" t="n">
        <v>150</v>
      </c>
      <c r="E373" s="194" t="n">
        <v>164</v>
      </c>
      <c r="F373" s="194" t="n">
        <v>151.2</v>
      </c>
      <c r="G373" s="194" t="n">
        <v>112.5</v>
      </c>
      <c r="H373" s="194" t="n">
        <v>5.6</v>
      </c>
      <c r="I373" s="194" t="n">
        <v>0.5</v>
      </c>
      <c r="J373" s="194" t="n">
        <v>-15</v>
      </c>
      <c r="K373" s="195" t="inlineStr">
        <is>
          <t>6636 EXTREME VISION</t>
        </is>
      </c>
    </row>
    <row r="374">
      <c r="A374" s="32" t="inlineStr">
        <is>
          <t>Hesai Hong Kong Limited</t>
        </is>
      </c>
      <c r="B374" s="191" t="n">
        <v>1</v>
      </c>
      <c r="C374" s="193" t="n">
        <v>100</v>
      </c>
      <c r="D374" s="194" t="n">
        <v>144.1</v>
      </c>
      <c r="E374" s="194" t="n">
        <v>273.8</v>
      </c>
      <c r="F374" s="194" t="n">
        <v>142.9</v>
      </c>
      <c r="G374" s="194" t="n">
        <v>16.5</v>
      </c>
      <c r="H374" s="194" t="n">
        <v>53.1</v>
      </c>
      <c r="I374" s="194" t="n">
        <v>-0.5</v>
      </c>
      <c r="J374" s="194" t="n">
        <v>-52.3</v>
      </c>
      <c r="K374" s="195" t="inlineStr">
        <is>
          <t>0068 MANYCORE TECH</t>
        </is>
      </c>
    </row>
    <row r="375">
      <c r="A375" s="32" t="inlineStr">
        <is>
          <t>Derivatives China Alpha Fund SPC (acting for and on behalf of Derivatives China Fundamental Fund SP)</t>
        </is>
      </c>
      <c r="B375" s="191" t="n">
        <v>1</v>
      </c>
      <c r="C375" s="193" t="n">
        <v>100</v>
      </c>
      <c r="D375" s="194" t="n">
        <v>138.8</v>
      </c>
      <c r="E375" s="194" t="n">
        <v>173.7</v>
      </c>
      <c r="F375" s="194" t="n">
        <v>226.8</v>
      </c>
      <c r="G375" s="194" t="n">
        <v>249.3</v>
      </c>
      <c r="H375" s="194" t="n">
        <v>14.6</v>
      </c>
      <c r="I375" s="194" t="n">
        <v>36.8</v>
      </c>
      <c r="J375" s="194" t="n">
        <v>46.3</v>
      </c>
      <c r="K375" s="195" t="inlineStr">
        <is>
          <t>2659 BAO PHARMA-B</t>
        </is>
      </c>
    </row>
    <row r="376">
      <c r="A376" s="32" t="inlineStr">
        <is>
          <t>Longwei Hong Kong Company Limited</t>
        </is>
      </c>
      <c r="B376" s="191" t="n">
        <v>1</v>
      </c>
      <c r="C376" s="193" t="n">
        <v>100</v>
      </c>
      <c r="D376" s="194" t="n">
        <v>127.1</v>
      </c>
      <c r="E376" s="194" t="n">
        <v>105.9</v>
      </c>
      <c r="F376" s="194" t="n">
        <v>10</v>
      </c>
      <c r="G376" s="194" t="n">
        <v>54.5</v>
      </c>
      <c r="H376" s="194" t="n">
        <v>-9.300000000000001</v>
      </c>
      <c r="I376" s="194" t="n">
        <v>-51.6</v>
      </c>
      <c r="J376" s="194" t="n">
        <v>-32</v>
      </c>
      <c r="K376" s="195" t="inlineStr">
        <is>
          <t>6675 SENASIC</t>
        </is>
      </c>
    </row>
    <row r="377">
      <c r="A377" s="32" t="inlineStr">
        <is>
          <t>Tembusu Limited</t>
        </is>
      </c>
      <c r="B377" s="191" t="n">
        <v>1</v>
      </c>
      <c r="C377" s="193" t="n">
        <v>100</v>
      </c>
      <c r="D377" s="194" t="n">
        <v>127.1</v>
      </c>
      <c r="E377" s="194" t="n">
        <v>105.9</v>
      </c>
      <c r="F377" s="194" t="n">
        <v>10</v>
      </c>
      <c r="G377" s="194" t="n">
        <v>54.5</v>
      </c>
      <c r="H377" s="194" t="n">
        <v>-9.300000000000001</v>
      </c>
      <c r="I377" s="194" t="n">
        <v>-51.6</v>
      </c>
      <c r="J377" s="194" t="n">
        <v>-32</v>
      </c>
      <c r="K377" s="195" t="inlineStr">
        <is>
          <t>6675 SENASIC</t>
        </is>
      </c>
    </row>
    <row r="378">
      <c r="A378" s="32" t="inlineStr">
        <is>
          <t>Andrew Y Yan</t>
        </is>
      </c>
      <c r="B378" s="191" t="n">
        <v>1</v>
      </c>
      <c r="C378" s="193" t="n">
        <v>100</v>
      </c>
      <c r="D378" s="194" t="n">
        <v>127.1</v>
      </c>
      <c r="E378" s="194" t="n">
        <v>105.9</v>
      </c>
      <c r="F378" s="194" t="n">
        <v>10</v>
      </c>
      <c r="G378" s="194" t="n">
        <v>54.5</v>
      </c>
      <c r="H378" s="194" t="n">
        <v>-9.300000000000001</v>
      </c>
      <c r="I378" s="194" t="n">
        <v>-51.6</v>
      </c>
      <c r="J378" s="194" t="n">
        <v>-32</v>
      </c>
      <c r="K378" s="195" t="inlineStr">
        <is>
          <t>6675 SENASIC</t>
        </is>
      </c>
    </row>
    <row r="379">
      <c r="A379" s="32" t="inlineStr">
        <is>
          <t>Thalassa Capital Dynamics SPC (acting for and on behalf of Thalassa Horizon SP)</t>
        </is>
      </c>
      <c r="B379" s="191" t="n">
        <v>1</v>
      </c>
      <c r="C379" s="193" t="n">
        <v>100</v>
      </c>
      <c r="D379" s="194" t="n">
        <v>127.1</v>
      </c>
      <c r="E379" s="194" t="n">
        <v>105.9</v>
      </c>
      <c r="F379" s="194" t="n">
        <v>10</v>
      </c>
      <c r="G379" s="194" t="n">
        <v>54.5</v>
      </c>
      <c r="H379" s="194" t="n">
        <v>-9.300000000000001</v>
      </c>
      <c r="I379" s="194" t="n">
        <v>-51.6</v>
      </c>
      <c r="J379" s="194" t="n">
        <v>-32</v>
      </c>
      <c r="K379" s="195" t="inlineStr">
        <is>
          <t>6675 SENASIC</t>
        </is>
      </c>
    </row>
    <row r="380">
      <c r="A380" s="32" t="inlineStr">
        <is>
          <t>Chample International Limited</t>
        </is>
      </c>
      <c r="B380" s="191" t="n">
        <v>1</v>
      </c>
      <c r="C380" s="193" t="n">
        <v>100</v>
      </c>
      <c r="D380" s="194" t="n">
        <v>127.1</v>
      </c>
      <c r="E380" s="194" t="n">
        <v>105.9</v>
      </c>
      <c r="F380" s="194" t="n">
        <v>10</v>
      </c>
      <c r="G380" s="194" t="n">
        <v>54.5</v>
      </c>
      <c r="H380" s="194" t="n">
        <v>-9.300000000000001</v>
      </c>
      <c r="I380" s="194" t="n">
        <v>-51.6</v>
      </c>
      <c r="J380" s="194" t="n">
        <v>-32</v>
      </c>
      <c r="K380" s="195" t="inlineStr">
        <is>
          <t>6675 SENASIC</t>
        </is>
      </c>
    </row>
    <row r="381">
      <c r="A381" s="32" t="inlineStr">
        <is>
          <t>Libra Stable Value and Fixed Income Segregated Portfolio Company acting for and on behalf of Libra Fixed Income One SP</t>
        </is>
      </c>
      <c r="B381" s="191" t="n">
        <v>1</v>
      </c>
      <c r="C381" s="193" t="n">
        <v>100</v>
      </c>
      <c r="D381" s="194" t="n">
        <v>127.1</v>
      </c>
      <c r="E381" s="194" t="n">
        <v>105.9</v>
      </c>
      <c r="F381" s="194" t="n">
        <v>10</v>
      </c>
      <c r="G381" s="194" t="n">
        <v>54.5</v>
      </c>
      <c r="H381" s="194" t="n">
        <v>-9.300000000000001</v>
      </c>
      <c r="I381" s="194" t="n">
        <v>-51.6</v>
      </c>
      <c r="J381" s="194" t="n">
        <v>-32</v>
      </c>
      <c r="K381" s="195" t="inlineStr">
        <is>
          <t>6675 SENASIC</t>
        </is>
      </c>
    </row>
    <row r="382">
      <c r="A382" s="32" t="inlineStr">
        <is>
          <t>Beijing Denov Ruilang Phase XV Equity Investment Fund Center (Limited Partnership)</t>
        </is>
      </c>
      <c r="B382" s="191" t="n">
        <v>1</v>
      </c>
      <c r="C382" s="193" t="n">
        <v>100</v>
      </c>
      <c r="D382" s="194" t="n">
        <v>126.7</v>
      </c>
      <c r="E382" s="194" t="n">
        <v>417.2</v>
      </c>
      <c r="F382" s="194" t="n">
        <v>451.3</v>
      </c>
      <c r="G382" s="194" t="n">
        <v>509.1</v>
      </c>
      <c r="H382" s="194" t="n">
        <v>128.1</v>
      </c>
      <c r="I382" s="194" t="n">
        <v>143.2</v>
      </c>
      <c r="J382" s="194" t="n">
        <v>168.6</v>
      </c>
      <c r="K382" s="195" t="inlineStr">
        <is>
          <t>2575 XUANZHUBIO-B</t>
        </is>
      </c>
    </row>
    <row r="383">
      <c r="A383" s="32" t="inlineStr">
        <is>
          <t>China Venture Capital Innovation Investment Fund Co., Ltd</t>
        </is>
      </c>
      <c r="B383" s="191" t="n">
        <v>1</v>
      </c>
      <c r="C383" s="193" t="n">
        <v>100</v>
      </c>
      <c r="D383" s="194" t="n">
        <v>126.7</v>
      </c>
      <c r="E383" s="194" t="n">
        <v>71.40000000000001</v>
      </c>
      <c r="F383" s="194" t="n">
        <v>25.6</v>
      </c>
      <c r="G383" s="194" t="n">
        <v>25.6</v>
      </c>
      <c r="H383" s="194" t="n">
        <v>-24.4</v>
      </c>
      <c r="I383" s="194" t="n">
        <v>-44.6</v>
      </c>
      <c r="J383" s="194" t="n">
        <v>-44.6</v>
      </c>
      <c r="K383" s="195" t="inlineStr">
        <is>
          <t>7666 METIS TECHBIO-P</t>
        </is>
      </c>
    </row>
    <row r="384">
      <c r="A384" s="32" t="inlineStr">
        <is>
          <t>Deerfield</t>
        </is>
      </c>
      <c r="B384" s="191" t="n">
        <v>1</v>
      </c>
      <c r="C384" s="193" t="n">
        <v>100</v>
      </c>
      <c r="D384" s="194" t="n">
        <v>126.7</v>
      </c>
      <c r="E384" s="194" t="n">
        <v>71.40000000000001</v>
      </c>
      <c r="F384" s="194" t="n">
        <v>25.6</v>
      </c>
      <c r="G384" s="194" t="n">
        <v>25.6</v>
      </c>
      <c r="H384" s="194" t="n">
        <v>-24.4</v>
      </c>
      <c r="I384" s="194" t="n">
        <v>-44.6</v>
      </c>
      <c r="J384" s="194" t="n">
        <v>-44.6</v>
      </c>
      <c r="K384" s="195" t="inlineStr">
        <is>
          <t>7666 METIS TECHBIO-P</t>
        </is>
      </c>
    </row>
    <row r="385">
      <c r="A385" s="32" t="inlineStr">
        <is>
          <t>Isometry Global</t>
        </is>
      </c>
      <c r="B385" s="191" t="n">
        <v>1</v>
      </c>
      <c r="C385" s="193" t="n">
        <v>100</v>
      </c>
      <c r="D385" s="194" t="n">
        <v>126.7</v>
      </c>
      <c r="E385" s="194" t="n">
        <v>71.40000000000001</v>
      </c>
      <c r="F385" s="194" t="n">
        <v>25.6</v>
      </c>
      <c r="G385" s="194" t="n">
        <v>25.6</v>
      </c>
      <c r="H385" s="194" t="n">
        <v>-24.4</v>
      </c>
      <c r="I385" s="194" t="n">
        <v>-44.6</v>
      </c>
      <c r="J385" s="194" t="n">
        <v>-44.6</v>
      </c>
      <c r="K385" s="195" t="inlineStr">
        <is>
          <t>7666 METIS TECHBIO-P</t>
        </is>
      </c>
    </row>
    <row r="386">
      <c r="A386" s="32" t="inlineStr">
        <is>
          <t>ICBCUBS Entities</t>
        </is>
      </c>
      <c r="B386" s="191" t="n">
        <v>1</v>
      </c>
      <c r="C386" s="193" t="n">
        <v>100</v>
      </c>
      <c r="D386" s="194" t="n">
        <v>126.7</v>
      </c>
      <c r="E386" s="194" t="n">
        <v>71.40000000000001</v>
      </c>
      <c r="F386" s="194" t="n">
        <v>25.6</v>
      </c>
      <c r="G386" s="194" t="n">
        <v>25.6</v>
      </c>
      <c r="H386" s="194" t="n">
        <v>-24.4</v>
      </c>
      <c r="I386" s="194" t="n">
        <v>-44.6</v>
      </c>
      <c r="J386" s="194" t="n">
        <v>-44.6</v>
      </c>
      <c r="K386" s="195" t="inlineStr">
        <is>
          <t>7666 METIS TECHBIO-P</t>
        </is>
      </c>
    </row>
    <row r="387">
      <c r="A387" s="32" t="inlineStr">
        <is>
          <t>OAP IV (HK) Limited ʮ̡ )</t>
        </is>
      </c>
      <c r="B387" s="191" t="n">
        <v>1</v>
      </c>
      <c r="C387" s="193" t="n">
        <v>100</v>
      </c>
      <c r="D387" s="194" t="n">
        <v>118.3</v>
      </c>
      <c r="E387" s="194" t="n">
        <v>102.4</v>
      </c>
      <c r="F387" s="194" t="n">
        <v>94.3</v>
      </c>
      <c r="G387" s="194" t="n">
        <v>26.4</v>
      </c>
      <c r="H387" s="194" t="n">
        <v>-7.2</v>
      </c>
      <c r="I387" s="194" t="n">
        <v>-11</v>
      </c>
      <c r="J387" s="194" t="n">
        <v>-42.1</v>
      </c>
      <c r="K387" s="195" t="inlineStr">
        <is>
          <t>1609 STAR SPORTS MED</t>
        </is>
      </c>
    </row>
    <row r="388">
      <c r="A388" s="32" t="inlineStr">
        <is>
          <t>GBAD Fund Management for and on behalf of the Managed Account of Poly Platinum Enterprises Limited</t>
        </is>
      </c>
      <c r="B388" s="191" t="n">
        <v>1</v>
      </c>
      <c r="C388" s="193" t="n">
        <v>100</v>
      </c>
      <c r="D388" s="194" t="n">
        <v>118.3</v>
      </c>
      <c r="E388" s="194" t="n">
        <v>102.4</v>
      </c>
      <c r="F388" s="194" t="n">
        <v>94.3</v>
      </c>
      <c r="G388" s="194" t="n">
        <v>26.4</v>
      </c>
      <c r="H388" s="194" t="n">
        <v>-7.2</v>
      </c>
      <c r="I388" s="194" t="n">
        <v>-11</v>
      </c>
      <c r="J388" s="194" t="n">
        <v>-42.1</v>
      </c>
      <c r="K388" s="195" t="inlineStr">
        <is>
          <t>1609 STAR SPORTS MED</t>
        </is>
      </c>
    </row>
    <row r="389">
      <c r="A389" s="32" t="inlineStr">
        <is>
          <t>Huikai Hong Kong Economic Development Co., Ltd</t>
        </is>
      </c>
      <c r="B389" s="191" t="n">
        <v>1</v>
      </c>
      <c r="C389" s="193" t="n">
        <v>100</v>
      </c>
      <c r="D389" s="194" t="n">
        <v>117.9</v>
      </c>
      <c r="E389" s="194" t="n">
        <v>107.8</v>
      </c>
      <c r="F389" s="194" t="n">
        <v>222.4</v>
      </c>
      <c r="G389" s="194" t="n">
        <v>141.8</v>
      </c>
      <c r="H389" s="194" t="n">
        <v>-4.7</v>
      </c>
      <c r="I389" s="194" t="n">
        <v>48</v>
      </c>
      <c r="J389" s="194" t="n">
        <v>11</v>
      </c>
      <c r="K389" s="195" t="inlineStr">
        <is>
          <t>2655 GUOXIA TECH</t>
        </is>
      </c>
    </row>
    <row r="390">
      <c r="A390" s="32" t="inlineStr">
        <is>
          <t>BioNTech SE</t>
        </is>
      </c>
      <c r="B390" s="191" t="n">
        <v>1</v>
      </c>
      <c r="C390" s="193" t="n">
        <v>100</v>
      </c>
      <c r="D390" s="194" t="n">
        <v>116.7</v>
      </c>
      <c r="E390" s="194" t="n">
        <v>137.8</v>
      </c>
      <c r="F390" s="194" t="n">
        <v>111.4</v>
      </c>
      <c r="G390" s="194" t="n">
        <v>255.2</v>
      </c>
      <c r="H390" s="194" t="n">
        <v>9.800000000000001</v>
      </c>
      <c r="I390" s="194" t="n">
        <v>-2.4</v>
      </c>
      <c r="J390" s="194" t="n">
        <v>63.9</v>
      </c>
      <c r="K390" s="195" t="inlineStr">
        <is>
          <t>9606 DUALITYBIO-B</t>
        </is>
      </c>
    </row>
    <row r="391">
      <c r="A391" s="32" t="inlineStr">
        <is>
          <t>Fighton Asia Master Fund Limited</t>
        </is>
      </c>
      <c r="B391" s="191" t="n">
        <v>1</v>
      </c>
      <c r="C391" s="193" t="n">
        <v>100</v>
      </c>
      <c r="D391" s="194" t="n">
        <v>110.9</v>
      </c>
      <c r="E391" s="194" t="n">
        <v>218.8</v>
      </c>
      <c r="F391" s="194" t="n">
        <v>314.1</v>
      </c>
      <c r="G391" s="194" t="n">
        <v>284.4</v>
      </c>
      <c r="H391" s="194" t="n">
        <v>51.1</v>
      </c>
      <c r="I391" s="194" t="n">
        <v>96.3</v>
      </c>
      <c r="J391" s="194" t="n">
        <v>82.2</v>
      </c>
      <c r="K391" s="195" t="inlineStr">
        <is>
          <t>2422 REGO INTERACT</t>
        </is>
      </c>
    </row>
    <row r="392">
      <c r="A392" s="32" t="inlineStr">
        <is>
          <t>Abstract Enigma Limited</t>
        </is>
      </c>
      <c r="B392" s="191" t="n">
        <v>1</v>
      </c>
      <c r="C392" s="193" t="n">
        <v>100</v>
      </c>
      <c r="D392" s="194" t="n">
        <v>109.1</v>
      </c>
      <c r="E392" s="194" t="n">
        <v>165.4</v>
      </c>
      <c r="F392" s="194" t="n">
        <v>212.1</v>
      </c>
      <c r="G392" s="194" t="n">
        <v>445.8</v>
      </c>
      <c r="H392" s="194" t="n">
        <v>26.9</v>
      </c>
      <c r="I392" s="194" t="n">
        <v>49.3</v>
      </c>
      <c r="J392" s="194" t="n">
        <v>161</v>
      </c>
      <c r="K392" s="195" t="inlineStr">
        <is>
          <t>0100 MINIMAX-WP</t>
        </is>
      </c>
    </row>
    <row r="393">
      <c r="A393" s="32" t="inlineStr">
        <is>
          <t>First Quarter Moon OFC – Phecda Fund</t>
        </is>
      </c>
      <c r="B393" s="191" t="n">
        <v>1</v>
      </c>
      <c r="C393" s="193" t="n">
        <v>100</v>
      </c>
      <c r="D393" s="194" t="n">
        <v>108.3</v>
      </c>
      <c r="E393" s="194" t="n">
        <v>86.3</v>
      </c>
      <c r="F393" s="194" t="n">
        <v>81.09999999999999</v>
      </c>
      <c r="G393" s="194" t="n">
        <v>-39.8</v>
      </c>
      <c r="H393" s="194" t="n">
        <v>-10.6</v>
      </c>
      <c r="I393" s="194" t="n">
        <v>-13.1</v>
      </c>
      <c r="J393" s="194" t="n">
        <v>-71.09999999999999</v>
      </c>
      <c r="K393" s="195" t="inlineStr">
        <is>
          <t>7630 IMPACT THERAP-B</t>
        </is>
      </c>
    </row>
    <row r="394">
      <c r="A394" s="32" t="inlineStr">
        <is>
          <t>Ms. Minfang Guo (ٹ</t>
        </is>
      </c>
      <c r="B394" s="191" t="n">
        <v>1</v>
      </c>
      <c r="C394" s="193" t="n">
        <v>100</v>
      </c>
      <c r="D394" s="194" t="n">
        <v>106.1</v>
      </c>
      <c r="E394" s="194" t="n">
        <v>57.2</v>
      </c>
      <c r="F394" s="194" t="n">
        <v>45.2</v>
      </c>
      <c r="G394" s="194" t="n">
        <v>77.90000000000001</v>
      </c>
      <c r="H394" s="194" t="n">
        <v>-23.8</v>
      </c>
      <c r="I394" s="194" t="n">
        <v>-29.5</v>
      </c>
      <c r="J394" s="194" t="n">
        <v>-13.7</v>
      </c>
      <c r="K394" s="195" t="inlineStr">
        <is>
          <t>2718 MININGLAMP-W</t>
        </is>
      </c>
    </row>
    <row r="395">
      <c r="A395" s="32" t="inlineStr">
        <is>
          <t>Treasure-stone Investment Group Limited</t>
        </is>
      </c>
      <c r="B395" s="191" t="n">
        <v>1</v>
      </c>
      <c r="C395" s="193" t="n">
        <v>100</v>
      </c>
      <c r="D395" s="194" t="n">
        <v>106.1</v>
      </c>
      <c r="E395" s="194" t="n">
        <v>57.2</v>
      </c>
      <c r="F395" s="194" t="n">
        <v>45.2</v>
      </c>
      <c r="G395" s="194" t="n">
        <v>77.90000000000001</v>
      </c>
      <c r="H395" s="194" t="n">
        <v>-23.8</v>
      </c>
      <c r="I395" s="194" t="n">
        <v>-29.5</v>
      </c>
      <c r="J395" s="194" t="n">
        <v>-13.7</v>
      </c>
      <c r="K395" s="195" t="inlineStr">
        <is>
          <t>2718 MININGLAMP-W</t>
        </is>
      </c>
    </row>
    <row r="396">
      <c r="A396" s="32" t="inlineStr">
        <is>
          <t>Ms. Lina Bao (ࢆ</t>
        </is>
      </c>
      <c r="B396" s="191" t="n">
        <v>1</v>
      </c>
      <c r="C396" s="193" t="n">
        <v>100</v>
      </c>
      <c r="D396" s="194" t="n">
        <v>106.1</v>
      </c>
      <c r="E396" s="194" t="n">
        <v>57.2</v>
      </c>
      <c r="F396" s="194" t="n">
        <v>45.2</v>
      </c>
      <c r="G396" s="194" t="n">
        <v>77.90000000000001</v>
      </c>
      <c r="H396" s="194" t="n">
        <v>-23.8</v>
      </c>
      <c r="I396" s="194" t="n">
        <v>-29.5</v>
      </c>
      <c r="J396" s="194" t="n">
        <v>-13.7</v>
      </c>
      <c r="K396" s="195" t="inlineStr">
        <is>
          <t>2718 MININGLAMP-W</t>
        </is>
      </c>
    </row>
    <row r="397">
      <c r="A397" s="32" t="inlineStr">
        <is>
          <t>Hundreds Capital</t>
        </is>
      </c>
      <c r="B397" s="191" t="n">
        <v>1</v>
      </c>
      <c r="C397" s="193" t="n">
        <v>100</v>
      </c>
      <c r="D397" s="194" t="n">
        <v>106.1</v>
      </c>
      <c r="E397" s="194" t="n">
        <v>57.2</v>
      </c>
      <c r="F397" s="194" t="n">
        <v>45.2</v>
      </c>
      <c r="G397" s="194" t="n">
        <v>77.90000000000001</v>
      </c>
      <c r="H397" s="194" t="n">
        <v>-23.8</v>
      </c>
      <c r="I397" s="194" t="n">
        <v>-29.5</v>
      </c>
      <c r="J397" s="194" t="n">
        <v>-13.7</v>
      </c>
      <c r="K397" s="195" t="inlineStr">
        <is>
          <t>2718 MININGLAMP-W</t>
        </is>
      </c>
    </row>
    <row r="398">
      <c r="A398" s="32" t="inlineStr">
        <is>
          <t>GFH Financial Group B.S.C</t>
        </is>
      </c>
      <c r="B398" s="191" t="n">
        <v>1</v>
      </c>
      <c r="C398" s="193" t="n">
        <v>100</v>
      </c>
      <c r="D398" s="194" t="n">
        <v>106.1</v>
      </c>
      <c r="E398" s="194" t="n">
        <v>57.2</v>
      </c>
      <c r="F398" s="194" t="n">
        <v>45.2</v>
      </c>
      <c r="G398" s="194" t="n">
        <v>77.90000000000001</v>
      </c>
      <c r="H398" s="194" t="n">
        <v>-23.8</v>
      </c>
      <c r="I398" s="194" t="n">
        <v>-29.5</v>
      </c>
      <c r="J398" s="194" t="n">
        <v>-13.7</v>
      </c>
      <c r="K398" s="195" t="inlineStr">
        <is>
          <t>2718 MININGLAMP-W</t>
        </is>
      </c>
    </row>
    <row r="399">
      <c r="A399" s="32" t="inlineStr">
        <is>
          <t>HK Yonglian Investment Development Co., Limited</t>
        </is>
      </c>
      <c r="B399" s="191" t="n">
        <v>1</v>
      </c>
      <c r="C399" s="193" t="n">
        <v>100</v>
      </c>
      <c r="D399" s="194" t="n">
        <v>103.8</v>
      </c>
      <c r="E399" s="194" t="n">
        <v>55.1</v>
      </c>
      <c r="F399" s="194" t="n">
        <v>30.3</v>
      </c>
      <c r="G399" s="194" t="n">
        <v>38.2</v>
      </c>
      <c r="H399" s="194" t="n">
        <v>-23.9</v>
      </c>
      <c r="I399" s="194" t="n">
        <v>-36.1</v>
      </c>
      <c r="J399" s="194" t="n">
        <v>-32.2</v>
      </c>
      <c r="K399" s="195" t="inlineStr">
        <is>
          <t>9630 CFMEE</t>
        </is>
      </c>
    </row>
    <row r="400">
      <c r="A400" s="32" t="inlineStr">
        <is>
          <t>Hong Kong Xinyao Investment Limited</t>
        </is>
      </c>
      <c r="B400" s="191" t="n">
        <v>1</v>
      </c>
      <c r="C400" s="193" t="n">
        <v>100</v>
      </c>
      <c r="D400" s="194" t="n">
        <v>103.8</v>
      </c>
      <c r="E400" s="194" t="n">
        <v>55.1</v>
      </c>
      <c r="F400" s="194" t="n">
        <v>30.3</v>
      </c>
      <c r="G400" s="194" t="n">
        <v>38.2</v>
      </c>
      <c r="H400" s="194" t="n">
        <v>-23.9</v>
      </c>
      <c r="I400" s="194" t="n">
        <v>-36.1</v>
      </c>
      <c r="J400" s="194" t="n">
        <v>-32.2</v>
      </c>
      <c r="K400" s="195" t="inlineStr">
        <is>
          <t>9630 CFMEE</t>
        </is>
      </c>
    </row>
    <row r="401">
      <c r="A401" s="32" t="inlineStr">
        <is>
          <t>Monterey Park Finance Limited</t>
        </is>
      </c>
      <c r="B401" s="191" t="n">
        <v>1</v>
      </c>
      <c r="C401" s="193" t="n">
        <v>100</v>
      </c>
      <c r="D401" s="194" t="n">
        <v>103.8</v>
      </c>
      <c r="E401" s="194" t="n">
        <v>55.1</v>
      </c>
      <c r="F401" s="194" t="n">
        <v>30.3</v>
      </c>
      <c r="G401" s="194" t="n">
        <v>38.2</v>
      </c>
      <c r="H401" s="194" t="n">
        <v>-23.9</v>
      </c>
      <c r="I401" s="194" t="n">
        <v>-36.1</v>
      </c>
      <c r="J401" s="194" t="n">
        <v>-32.2</v>
      </c>
      <c r="K401" s="195" t="inlineStr">
        <is>
          <t>9630 CFMEE</t>
        </is>
      </c>
    </row>
    <row r="402">
      <c r="A402" s="32" t="inlineStr">
        <is>
          <t>Nexchip Semiconductor Hong Kong Corporation Limited</t>
        </is>
      </c>
      <c r="B402" s="191" t="n">
        <v>1</v>
      </c>
      <c r="C402" s="193" t="n">
        <v>100</v>
      </c>
      <c r="D402" s="194" t="n">
        <v>103.8</v>
      </c>
      <c r="E402" s="194" t="n">
        <v>55.1</v>
      </c>
      <c r="F402" s="194" t="n">
        <v>30.3</v>
      </c>
      <c r="G402" s="194" t="n">
        <v>38.2</v>
      </c>
      <c r="H402" s="194" t="n">
        <v>-23.9</v>
      </c>
      <c r="I402" s="194" t="n">
        <v>-36.1</v>
      </c>
      <c r="J402" s="194" t="n">
        <v>-32.2</v>
      </c>
      <c r="K402" s="195" t="inlineStr">
        <is>
          <t>9630 CFMEE</t>
        </is>
      </c>
    </row>
    <row r="403">
      <c r="A403" s="32" t="inlineStr">
        <is>
          <t>Loomis, Sayles &amp; Company, L.P</t>
        </is>
      </c>
      <c r="B403" s="191" t="n">
        <v>1</v>
      </c>
      <c r="C403" s="193" t="n">
        <v>100</v>
      </c>
      <c r="D403" s="194" t="n">
        <v>103.5</v>
      </c>
      <c r="E403" s="194" t="n">
        <v>29.1</v>
      </c>
      <c r="F403" s="194" t="n">
        <v>19.5</v>
      </c>
      <c r="G403" s="194" t="n">
        <v>9.699999999999999</v>
      </c>
      <c r="H403" s="194" t="n">
        <v>-36.6</v>
      </c>
      <c r="I403" s="194" t="n">
        <v>-41.3</v>
      </c>
      <c r="J403" s="194" t="n">
        <v>-46.1</v>
      </c>
      <c r="K403" s="195" t="inlineStr">
        <is>
          <t>9637 ALEBUND-B</t>
        </is>
      </c>
    </row>
    <row r="404">
      <c r="A404" s="32" t="inlineStr">
        <is>
          <t>SymBiosis II, LLC</t>
        </is>
      </c>
      <c r="B404" s="191" t="n">
        <v>1</v>
      </c>
      <c r="C404" s="193" t="n">
        <v>100</v>
      </c>
      <c r="D404" s="194" t="n">
        <v>103.5</v>
      </c>
      <c r="E404" s="194" t="n">
        <v>29.1</v>
      </c>
      <c r="F404" s="194" t="n">
        <v>19.5</v>
      </c>
      <c r="G404" s="194" t="n">
        <v>9.699999999999999</v>
      </c>
      <c r="H404" s="194" t="n">
        <v>-36.6</v>
      </c>
      <c r="I404" s="194" t="n">
        <v>-41.3</v>
      </c>
      <c r="J404" s="194" t="n">
        <v>-46.1</v>
      </c>
      <c r="K404" s="195" t="inlineStr">
        <is>
          <t>9637 ALEBUND-B</t>
        </is>
      </c>
    </row>
    <row r="405">
      <c r="A405" s="32" t="inlineStr">
        <is>
          <t>Perfect Ten Holding Limited</t>
        </is>
      </c>
      <c r="B405" s="191" t="n">
        <v>1</v>
      </c>
      <c r="C405" s="193" t="n">
        <v>100</v>
      </c>
      <c r="D405" s="194" t="n">
        <v>103.5</v>
      </c>
      <c r="E405" s="194" t="n">
        <v>29.1</v>
      </c>
      <c r="F405" s="194" t="n">
        <v>19.5</v>
      </c>
      <c r="G405" s="194" t="n">
        <v>9.699999999999999</v>
      </c>
      <c r="H405" s="194" t="n">
        <v>-36.6</v>
      </c>
      <c r="I405" s="194" t="n">
        <v>-41.3</v>
      </c>
      <c r="J405" s="194" t="n">
        <v>-46.1</v>
      </c>
      <c r="K405" s="195" t="inlineStr">
        <is>
          <t>9637 ALEBUND-B</t>
        </is>
      </c>
    </row>
    <row r="406">
      <c r="A406" s="32" t="inlineStr">
        <is>
          <t>AXA Investment Managers UK Limited</t>
        </is>
      </c>
      <c r="B406" s="191" t="n">
        <v>1</v>
      </c>
      <c r="C406" s="193" t="n">
        <v>100</v>
      </c>
      <c r="D406" s="194" t="n">
        <v>103.4</v>
      </c>
      <c r="E406" s="194" t="n">
        <v>73.7</v>
      </c>
      <c r="F406" s="194" t="n">
        <v>64.40000000000001</v>
      </c>
      <c r="G406" s="194" t="n">
        <v>-14.7</v>
      </c>
      <c r="H406" s="194" t="n">
        <v>-14.6</v>
      </c>
      <c r="I406" s="194" t="n">
        <v>-19.2</v>
      </c>
      <c r="J406" s="194" t="n">
        <v>-58.1</v>
      </c>
      <c r="K406" s="195" t="inlineStr">
        <is>
          <t>6656 SIGENERGY</t>
        </is>
      </c>
    </row>
    <row r="407">
      <c r="A407" s="32" t="inlineStr">
        <is>
          <t>Lazurite Hime L.P</t>
        </is>
      </c>
      <c r="B407" s="191" t="n">
        <v>1</v>
      </c>
      <c r="C407" s="193" t="n">
        <v>100</v>
      </c>
      <c r="D407" s="194" t="n">
        <v>103.4</v>
      </c>
      <c r="E407" s="194" t="n">
        <v>73.7</v>
      </c>
      <c r="F407" s="194" t="n">
        <v>64.40000000000001</v>
      </c>
      <c r="G407" s="194" t="n">
        <v>-14.7</v>
      </c>
      <c r="H407" s="194" t="n">
        <v>-14.6</v>
      </c>
      <c r="I407" s="194" t="n">
        <v>-19.2</v>
      </c>
      <c r="J407" s="194" t="n">
        <v>-58.1</v>
      </c>
      <c r="K407" s="195" t="inlineStr">
        <is>
          <t>6656 SIGENERGY</t>
        </is>
      </c>
    </row>
    <row r="408">
      <c r="A408" s="32" t="inlineStr">
        <is>
          <t>Scene Cloud Global Limited</t>
        </is>
      </c>
      <c r="B408" s="191" t="n">
        <v>1</v>
      </c>
      <c r="C408" s="193" t="n">
        <v>100</v>
      </c>
      <c r="D408" s="194" t="n">
        <v>103.4</v>
      </c>
      <c r="E408" s="194" t="n">
        <v>73.7</v>
      </c>
      <c r="F408" s="194" t="n">
        <v>64.40000000000001</v>
      </c>
      <c r="G408" s="194" t="n">
        <v>-14.7</v>
      </c>
      <c r="H408" s="194" t="n">
        <v>-14.6</v>
      </c>
      <c r="I408" s="194" t="n">
        <v>-19.2</v>
      </c>
      <c r="J408" s="194" t="n">
        <v>-58.1</v>
      </c>
      <c r="K408" s="195" t="inlineStr">
        <is>
          <t>6656 SIGENERGY</t>
        </is>
      </c>
    </row>
    <row r="409">
      <c r="A409" s="32" t="inlineStr">
        <is>
          <t>Shanghai Lujiazui (Group) Co., Ltd</t>
        </is>
      </c>
      <c r="B409" s="191" t="n">
        <v>1</v>
      </c>
      <c r="C409" s="193" t="n">
        <v>100</v>
      </c>
      <c r="D409" s="194" t="n">
        <v>103.4</v>
      </c>
      <c r="E409" s="194" t="n">
        <v>73.7</v>
      </c>
      <c r="F409" s="194" t="n">
        <v>64.40000000000001</v>
      </c>
      <c r="G409" s="194" t="n">
        <v>-14.7</v>
      </c>
      <c r="H409" s="194" t="n">
        <v>-14.6</v>
      </c>
      <c r="I409" s="194" t="n">
        <v>-19.2</v>
      </c>
      <c r="J409" s="194" t="n">
        <v>-58.1</v>
      </c>
      <c r="K409" s="195" t="inlineStr">
        <is>
          <t>6656 SIGENERGY</t>
        </is>
      </c>
    </row>
    <row r="410">
      <c r="A410" s="32" t="inlineStr">
        <is>
          <t>Qiyuan Hong Kong</t>
        </is>
      </c>
      <c r="B410" s="191" t="n">
        <v>1</v>
      </c>
      <c r="C410" s="193" t="n">
        <v>100</v>
      </c>
      <c r="D410" s="194" t="n">
        <v>102.8</v>
      </c>
      <c r="E410" s="194" t="n">
        <v>97.59999999999999</v>
      </c>
      <c r="F410" s="194" t="n">
        <v>86.8</v>
      </c>
      <c r="G410" s="194" t="n">
        <v>21.8</v>
      </c>
      <c r="H410" s="194" t="n">
        <v>-2.5</v>
      </c>
      <c r="I410" s="194" t="n">
        <v>-7.9</v>
      </c>
      <c r="J410" s="194" t="n">
        <v>-40</v>
      </c>
      <c r="K410" s="195" t="inlineStr">
        <is>
          <t>2335 MICOT PHARMA-B</t>
        </is>
      </c>
    </row>
    <row r="411">
      <c r="A411" s="32" t="inlineStr">
        <is>
          <t>Everest Medicine</t>
        </is>
      </c>
      <c r="B411" s="191" t="n">
        <v>1</v>
      </c>
      <c r="C411" s="193" t="n">
        <v>100</v>
      </c>
      <c r="D411" s="194" t="n">
        <v>102.8</v>
      </c>
      <c r="E411" s="194" t="n">
        <v>97.59999999999999</v>
      </c>
      <c r="F411" s="194" t="n">
        <v>86.8</v>
      </c>
      <c r="G411" s="194" t="n">
        <v>21.8</v>
      </c>
      <c r="H411" s="194" t="n">
        <v>-2.5</v>
      </c>
      <c r="I411" s="194" t="n">
        <v>-7.9</v>
      </c>
      <c r="J411" s="194" t="n">
        <v>-40</v>
      </c>
      <c r="K411" s="195" t="inlineStr">
        <is>
          <t>2335 MICOT PHARMA-B</t>
        </is>
      </c>
    </row>
    <row r="412">
      <c r="A412" s="32" t="inlineStr">
        <is>
          <t>Summit Capital</t>
        </is>
      </c>
      <c r="B412" s="191" t="n">
        <v>1</v>
      </c>
      <c r="C412" s="193" t="n">
        <v>100</v>
      </c>
      <c r="D412" s="194" t="n">
        <v>102.8</v>
      </c>
      <c r="E412" s="194" t="n">
        <v>97.59999999999999</v>
      </c>
      <c r="F412" s="194" t="n">
        <v>86.8</v>
      </c>
      <c r="G412" s="194" t="n">
        <v>21.8</v>
      </c>
      <c r="H412" s="194" t="n">
        <v>-2.5</v>
      </c>
      <c r="I412" s="194" t="n">
        <v>-7.9</v>
      </c>
      <c r="J412" s="194" t="n">
        <v>-40</v>
      </c>
      <c r="K412" s="195" t="inlineStr">
        <is>
          <t>2335 MICOT PHARMA-B</t>
        </is>
      </c>
    </row>
    <row r="413">
      <c r="A413" s="32" t="inlineStr">
        <is>
          <t>Orbit Venture Capital Management Co., Limited</t>
        </is>
      </c>
      <c r="B413" s="191" t="n">
        <v>1</v>
      </c>
      <c r="C413" s="193" t="n">
        <v>100</v>
      </c>
      <c r="D413" s="194" t="n">
        <v>102.3</v>
      </c>
      <c r="E413" s="194" t="n">
        <v>124.5</v>
      </c>
      <c r="F413" s="194" t="n">
        <v>112.2</v>
      </c>
      <c r="G413" s="194" t="n">
        <v>100.8</v>
      </c>
      <c r="H413" s="194" t="n">
        <v>11</v>
      </c>
      <c r="I413" s="194" t="n">
        <v>4.9</v>
      </c>
      <c r="J413" s="194" t="n">
        <v>-0.7</v>
      </c>
      <c r="K413" s="195" t="inlineStr">
        <is>
          <t>2720 RIDGE OUTDOOR</t>
        </is>
      </c>
    </row>
    <row r="414">
      <c r="A414" s="32" t="inlineStr">
        <is>
          <t>Hankang Biotech Fund III, L.P</t>
        </is>
      </c>
      <c r="B414" s="191" t="n">
        <v>1</v>
      </c>
      <c r="C414" s="193" t="n">
        <v>100</v>
      </c>
      <c r="D414" s="194" t="n">
        <v>91.7</v>
      </c>
      <c r="E414" s="194" t="n">
        <v>100</v>
      </c>
      <c r="F414" s="194" t="n">
        <v>94.3</v>
      </c>
      <c r="G414" s="194" t="n">
        <v>69.09999999999999</v>
      </c>
      <c r="H414" s="194" t="n">
        <v>4.3</v>
      </c>
      <c r="I414" s="194" t="n">
        <v>1.4</v>
      </c>
      <c r="J414" s="194" t="n">
        <v>-11.8</v>
      </c>
      <c r="K414" s="195" t="inlineStr">
        <is>
          <t>9887 LEADS BIOLABS-B</t>
        </is>
      </c>
    </row>
    <row r="415">
      <c r="A415" s="32" t="inlineStr">
        <is>
          <t>SpreadCom Limited</t>
        </is>
      </c>
      <c r="B415" s="191" t="n">
        <v>1</v>
      </c>
      <c r="C415" s="193" t="n">
        <v>100</v>
      </c>
      <c r="D415" s="194" t="n">
        <v>91.7</v>
      </c>
      <c r="E415" s="194" t="n">
        <v>66.90000000000001</v>
      </c>
      <c r="F415" s="194" t="n">
        <v>61</v>
      </c>
      <c r="G415" s="194" t="n">
        <v>34.5</v>
      </c>
      <c r="H415" s="194" t="n">
        <v>-12.9</v>
      </c>
      <c r="I415" s="194" t="n">
        <v>-16</v>
      </c>
      <c r="J415" s="194" t="n">
        <v>-29.9</v>
      </c>
      <c r="K415" s="195" t="inlineStr">
        <is>
          <t>3310 VIEWTRIX TECH</t>
        </is>
      </c>
    </row>
    <row r="416">
      <c r="A416" s="32" t="inlineStr">
        <is>
          <t>Origin Flair Limited</t>
        </is>
      </c>
      <c r="B416" s="191" t="n">
        <v>1</v>
      </c>
      <c r="C416" s="193" t="n">
        <v>100</v>
      </c>
      <c r="D416" s="194" t="n">
        <v>83.7</v>
      </c>
      <c r="E416" s="194" t="n">
        <v>25.9</v>
      </c>
      <c r="F416" s="194" t="n">
        <v>32.3</v>
      </c>
      <c r="G416" s="194" t="n">
        <v>130.9</v>
      </c>
      <c r="H416" s="194" t="n">
        <v>-31.5</v>
      </c>
      <c r="I416" s="194" t="n">
        <v>-28</v>
      </c>
      <c r="J416" s="194" t="n">
        <v>25.7</v>
      </c>
      <c r="K416" s="195" t="inlineStr">
        <is>
          <t>2125 STRAWBEAR ENT</t>
        </is>
      </c>
    </row>
    <row r="417">
      <c r="A417" s="32" t="inlineStr">
        <is>
          <t>Vipshop International Holdings Limited</t>
        </is>
      </c>
      <c r="B417" s="191" t="n">
        <v>1</v>
      </c>
      <c r="C417" s="193" t="n">
        <v>100</v>
      </c>
      <c r="D417" s="194" t="n">
        <v>83.7</v>
      </c>
      <c r="E417" s="194" t="n">
        <v>25.9</v>
      </c>
      <c r="F417" s="194" t="n">
        <v>32.3</v>
      </c>
      <c r="G417" s="194" t="n">
        <v>130.9</v>
      </c>
      <c r="H417" s="194" t="n">
        <v>-31.5</v>
      </c>
      <c r="I417" s="194" t="n">
        <v>-28</v>
      </c>
      <c r="J417" s="194" t="n">
        <v>25.7</v>
      </c>
      <c r="K417" s="195" t="inlineStr">
        <is>
          <t>2125 STRAWBEAR ENT</t>
        </is>
      </c>
    </row>
    <row r="418">
      <c r="A418" s="32" t="inlineStr">
        <is>
          <t>Shanghai Minhang Financial Investment Development Co., Ltd. (Notes 3 and 7)</t>
        </is>
      </c>
      <c r="B418" s="191" t="n">
        <v>1</v>
      </c>
      <c r="C418" s="193" t="n">
        <v>100</v>
      </c>
      <c r="D418" s="194" t="n">
        <v>80</v>
      </c>
      <c r="E418" s="194" t="n">
        <v>35.7</v>
      </c>
      <c r="F418" s="194" t="n">
        <v>11.2</v>
      </c>
      <c r="G418" s="194" t="n">
        <v>-38.8</v>
      </c>
      <c r="H418" s="194" t="n">
        <v>-24.6</v>
      </c>
      <c r="I418" s="194" t="n">
        <v>-38.2</v>
      </c>
      <c r="J418" s="194" t="n">
        <v>-66</v>
      </c>
      <c r="K418" s="195" t="inlineStr">
        <is>
          <t>7688 TOPNC</t>
        </is>
      </c>
    </row>
    <row r="419">
      <c r="A419" s="32" t="inlineStr">
        <is>
          <t>TT International Asset Management Ltd</t>
        </is>
      </c>
      <c r="B419" s="191" t="n">
        <v>1</v>
      </c>
      <c r="C419" s="193" t="n">
        <v>100</v>
      </c>
      <c r="D419" s="194" t="n">
        <v>80</v>
      </c>
      <c r="E419" s="194" t="n">
        <v>35.7</v>
      </c>
      <c r="F419" s="194" t="n">
        <v>11.2</v>
      </c>
      <c r="G419" s="194" t="n">
        <v>-38.8</v>
      </c>
      <c r="H419" s="194" t="n">
        <v>-24.6</v>
      </c>
      <c r="I419" s="194" t="n">
        <v>-38.2</v>
      </c>
      <c r="J419" s="194" t="n">
        <v>-66</v>
      </c>
      <c r="K419" s="195" t="inlineStr">
        <is>
          <t>7688 TOPNC</t>
        </is>
      </c>
    </row>
    <row r="420">
      <c r="A420" s="32" t="inlineStr">
        <is>
          <t>Jiangbei Pharmaceutical Technology (Hong Kong) Limited</t>
        </is>
      </c>
      <c r="B420" s="191" t="n">
        <v>1</v>
      </c>
      <c r="C420" s="193" t="n">
        <v>100</v>
      </c>
      <c r="D420" s="194" t="n">
        <v>78.7</v>
      </c>
      <c r="E420" s="194" t="n">
        <v>129.3</v>
      </c>
      <c r="F420" s="194" t="n">
        <v>138.8</v>
      </c>
      <c r="G420" s="194" t="n">
        <v>1039.9</v>
      </c>
      <c r="H420" s="194" t="n">
        <v>28.3</v>
      </c>
      <c r="I420" s="194" t="n">
        <v>33.6</v>
      </c>
      <c r="J420" s="194" t="n">
        <v>537.9</v>
      </c>
      <c r="K420" s="195" t="inlineStr">
        <is>
          <t>2617 TRANSTHERA-B</t>
        </is>
      </c>
    </row>
    <row r="421">
      <c r="A421" s="32" t="inlineStr">
        <is>
          <t>Sinohsc Honest Limited</t>
        </is>
      </c>
      <c r="B421" s="191" t="n">
        <v>1</v>
      </c>
      <c r="C421" s="193" t="n">
        <v>100</v>
      </c>
      <c r="D421" s="194" t="n">
        <v>78.7</v>
      </c>
      <c r="E421" s="194" t="n">
        <v>129.3</v>
      </c>
      <c r="F421" s="194" t="n">
        <v>138.8</v>
      </c>
      <c r="G421" s="194" t="n">
        <v>1039.9</v>
      </c>
      <c r="H421" s="194" t="n">
        <v>28.3</v>
      </c>
      <c r="I421" s="194" t="n">
        <v>33.6</v>
      </c>
      <c r="J421" s="194" t="n">
        <v>537.9</v>
      </c>
      <c r="K421" s="195" t="inlineStr">
        <is>
          <t>2617 TRANSTHERA-B</t>
        </is>
      </c>
    </row>
    <row r="422">
      <c r="A422" s="32" t="inlineStr">
        <is>
          <t>Pharmablock Horizon Capital Limited</t>
        </is>
      </c>
      <c r="B422" s="191" t="n">
        <v>1</v>
      </c>
      <c r="C422" s="193" t="n">
        <v>100</v>
      </c>
      <c r="D422" s="194" t="n">
        <v>78.7</v>
      </c>
      <c r="E422" s="194" t="n">
        <v>129.3</v>
      </c>
      <c r="F422" s="194" t="n">
        <v>138.8</v>
      </c>
      <c r="G422" s="194" t="n">
        <v>1039.9</v>
      </c>
      <c r="H422" s="194" t="n">
        <v>28.3</v>
      </c>
      <c r="I422" s="194" t="n">
        <v>33.6</v>
      </c>
      <c r="J422" s="194" t="n">
        <v>537.9</v>
      </c>
      <c r="K422" s="195" t="inlineStr">
        <is>
          <t>2617 TRANSTHERA-B</t>
        </is>
      </c>
    </row>
    <row r="423">
      <c r="A423" s="32" t="inlineStr">
        <is>
          <t>Kelingan (Hong Kong) Technology Co., Limited</t>
        </is>
      </c>
      <c r="B423" s="191" t="n">
        <v>1</v>
      </c>
      <c r="C423" s="193" t="n">
        <v>100</v>
      </c>
      <c r="D423" s="194" t="n">
        <v>78.7</v>
      </c>
      <c r="E423" s="194" t="n">
        <v>129.3</v>
      </c>
      <c r="F423" s="194" t="n">
        <v>138.8</v>
      </c>
      <c r="G423" s="194" t="n">
        <v>1039.9</v>
      </c>
      <c r="H423" s="194" t="n">
        <v>28.3</v>
      </c>
      <c r="I423" s="194" t="n">
        <v>33.6</v>
      </c>
      <c r="J423" s="194" t="n">
        <v>537.9</v>
      </c>
      <c r="K423" s="195" t="inlineStr">
        <is>
          <t>2617 TRANSTHERA-B</t>
        </is>
      </c>
    </row>
    <row r="424">
      <c r="A424" s="32" t="inlineStr">
        <is>
          <t>AKESO,INC</t>
        </is>
      </c>
      <c r="B424" s="191" t="n">
        <v>1</v>
      </c>
      <c r="C424" s="193" t="n">
        <v>100</v>
      </c>
      <c r="D424" s="194" t="n">
        <v>78.7</v>
      </c>
      <c r="E424" s="194" t="n">
        <v>129.3</v>
      </c>
      <c r="F424" s="194" t="n">
        <v>138.8</v>
      </c>
      <c r="G424" s="194" t="n">
        <v>1039.9</v>
      </c>
      <c r="H424" s="194" t="n">
        <v>28.3</v>
      </c>
      <c r="I424" s="194" t="n">
        <v>33.6</v>
      </c>
      <c r="J424" s="194" t="n">
        <v>537.9</v>
      </c>
      <c r="K424" s="195" t="inlineStr">
        <is>
          <t>2617 TRANSTHERA-B</t>
        </is>
      </c>
    </row>
    <row r="425">
      <c r="A425" s="32" t="inlineStr">
        <is>
          <t>Qiming Venture Partners</t>
        </is>
      </c>
      <c r="B425" s="191" t="n">
        <v>1</v>
      </c>
      <c r="C425" s="193" t="n">
        <v>100</v>
      </c>
      <c r="D425" s="194" t="n">
        <v>75.8</v>
      </c>
      <c r="E425" s="194" t="n">
        <v>73.8</v>
      </c>
      <c r="F425" s="194" t="n">
        <v>67.3</v>
      </c>
      <c r="G425" s="194" t="n">
        <v>75.3</v>
      </c>
      <c r="H425" s="194" t="n">
        <v>-1.2</v>
      </c>
      <c r="I425" s="194" t="n">
        <v>-4.8</v>
      </c>
      <c r="J425" s="194" t="n">
        <v>-0.3</v>
      </c>
      <c r="K425" s="195" t="inlineStr">
        <is>
          <t>6082 BIREN TECH</t>
        </is>
      </c>
    </row>
    <row r="426">
      <c r="A426" s="32" t="inlineStr">
        <is>
          <t>QM125 Limited</t>
        </is>
      </c>
      <c r="B426" s="191" t="n">
        <v>1</v>
      </c>
      <c r="C426" s="193" t="n">
        <v>100</v>
      </c>
      <c r="D426" s="194" t="n">
        <v>75.8</v>
      </c>
      <c r="E426" s="194" t="n">
        <v>73.8</v>
      </c>
      <c r="F426" s="194" t="n">
        <v>67.3</v>
      </c>
      <c r="G426" s="194" t="n">
        <v>75.3</v>
      </c>
      <c r="H426" s="194" t="n">
        <v>-1.2</v>
      </c>
      <c r="I426" s="194" t="n">
        <v>-4.8</v>
      </c>
      <c r="J426" s="194" t="n">
        <v>-0.3</v>
      </c>
      <c r="K426" s="195" t="inlineStr">
        <is>
          <t>6082 BIREN TECH</t>
        </is>
      </c>
    </row>
    <row r="427">
      <c r="A427" s="32" t="inlineStr">
        <is>
          <t>QM120 Limited</t>
        </is>
      </c>
      <c r="B427" s="191" t="n">
        <v>1</v>
      </c>
      <c r="C427" s="193" t="n">
        <v>100</v>
      </c>
      <c r="D427" s="194" t="n">
        <v>75.8</v>
      </c>
      <c r="E427" s="194" t="n">
        <v>73.8</v>
      </c>
      <c r="F427" s="194" t="n">
        <v>67.3</v>
      </c>
      <c r="G427" s="194" t="n">
        <v>75.3</v>
      </c>
      <c r="H427" s="194" t="n">
        <v>-1.2</v>
      </c>
      <c r="I427" s="194" t="n">
        <v>-4.8</v>
      </c>
      <c r="J427" s="194" t="n">
        <v>-0.3</v>
      </c>
      <c r="K427" s="195" t="inlineStr">
        <is>
          <t>6082 BIREN TECH</t>
        </is>
      </c>
    </row>
    <row r="428">
      <c r="A428" s="32" t="inlineStr">
        <is>
          <t>Aspirational China Growth GP Limited</t>
        </is>
      </c>
      <c r="B428" s="191" t="n">
        <v>1</v>
      </c>
      <c r="C428" s="193" t="n">
        <v>100</v>
      </c>
      <c r="D428" s="194" t="n">
        <v>75.8</v>
      </c>
      <c r="E428" s="194" t="n">
        <v>73.8</v>
      </c>
      <c r="F428" s="194" t="n">
        <v>67.3</v>
      </c>
      <c r="G428" s="194" t="n">
        <v>75.3</v>
      </c>
      <c r="H428" s="194" t="n">
        <v>-1.2</v>
      </c>
      <c r="I428" s="194" t="n">
        <v>-4.8</v>
      </c>
      <c r="J428" s="194" t="n">
        <v>-0.3</v>
      </c>
      <c r="K428" s="195" t="inlineStr">
        <is>
          <t>6082 BIREN TECH</t>
        </is>
      </c>
    </row>
    <row r="429">
      <c r="A429" s="32" t="inlineStr">
        <is>
          <t>Jinxiu 608 and GTJA HK (in connection with the GTJA Back-to-back TRS and Zhonghe OTC Swaps)</t>
        </is>
      </c>
      <c r="B429" s="191" t="n">
        <v>1</v>
      </c>
      <c r="C429" s="193" t="n">
        <v>100</v>
      </c>
      <c r="D429" s="194" t="n">
        <v>75.8</v>
      </c>
      <c r="E429" s="194" t="n">
        <v>73.8</v>
      </c>
      <c r="F429" s="194" t="n">
        <v>67.3</v>
      </c>
      <c r="G429" s="194" t="n">
        <v>75.3</v>
      </c>
      <c r="H429" s="194" t="n">
        <v>-1.2</v>
      </c>
      <c r="I429" s="194" t="n">
        <v>-4.8</v>
      </c>
      <c r="J429" s="194" t="n">
        <v>-0.3</v>
      </c>
      <c r="K429" s="195" t="inlineStr">
        <is>
          <t>6082 BIREN TECH</t>
        </is>
      </c>
    </row>
    <row r="430">
      <c r="A430" s="32" t="inlineStr">
        <is>
          <t>Yeebo Alpha Limited</t>
        </is>
      </c>
      <c r="B430" s="191" t="n">
        <v>1</v>
      </c>
      <c r="C430" s="193" t="n">
        <v>100</v>
      </c>
      <c r="D430" s="194" t="n">
        <v>75.8</v>
      </c>
      <c r="E430" s="194" t="n">
        <v>73.8</v>
      </c>
      <c r="F430" s="194" t="n">
        <v>67.3</v>
      </c>
      <c r="G430" s="194" t="n">
        <v>75.3</v>
      </c>
      <c r="H430" s="194" t="n">
        <v>-1.2</v>
      </c>
      <c r="I430" s="194" t="n">
        <v>-4.8</v>
      </c>
      <c r="J430" s="194" t="n">
        <v>-0.3</v>
      </c>
      <c r="K430" s="195" t="inlineStr">
        <is>
          <t>6082 BIREN TECH</t>
        </is>
      </c>
    </row>
    <row r="431">
      <c r="A431" s="32" t="inlineStr">
        <is>
          <t>Tessy Holding Limited</t>
        </is>
      </c>
      <c r="B431" s="191" t="n">
        <v>1</v>
      </c>
      <c r="C431" s="193" t="n">
        <v>100</v>
      </c>
      <c r="D431" s="194" t="n">
        <v>75.8</v>
      </c>
      <c r="E431" s="194" t="n">
        <v>73.8</v>
      </c>
      <c r="F431" s="194" t="n">
        <v>67.3</v>
      </c>
      <c r="G431" s="194" t="n">
        <v>75.3</v>
      </c>
      <c r="H431" s="194" t="n">
        <v>-1.2</v>
      </c>
      <c r="I431" s="194" t="n">
        <v>-4.8</v>
      </c>
      <c r="J431" s="194" t="n">
        <v>-0.3</v>
      </c>
      <c r="K431" s="195" t="inlineStr">
        <is>
          <t>6082 BIREN TECH</t>
        </is>
      </c>
    </row>
    <row r="432">
      <c r="A432" s="32" t="inlineStr">
        <is>
          <t>New Opportunities SPC</t>
        </is>
      </c>
      <c r="B432" s="191" t="n">
        <v>1</v>
      </c>
      <c r="C432" s="193" t="n">
        <v>100</v>
      </c>
      <c r="D432" s="194" t="n">
        <v>75.8</v>
      </c>
      <c r="E432" s="194" t="n">
        <v>73.8</v>
      </c>
      <c r="F432" s="194" t="n">
        <v>67.3</v>
      </c>
      <c r="G432" s="194" t="n">
        <v>75.3</v>
      </c>
      <c r="H432" s="194" t="n">
        <v>-1.2</v>
      </c>
      <c r="I432" s="194" t="n">
        <v>-4.8</v>
      </c>
      <c r="J432" s="194" t="n">
        <v>-0.3</v>
      </c>
      <c r="K432" s="195" t="inlineStr">
        <is>
          <t>6082 BIREN TECH</t>
        </is>
      </c>
    </row>
    <row r="433">
      <c r="A433" s="32" t="inlineStr">
        <is>
          <t>Protium Capital Limited</t>
        </is>
      </c>
      <c r="B433" s="191" t="n">
        <v>1</v>
      </c>
      <c r="C433" s="193" t="n">
        <v>100</v>
      </c>
      <c r="D433" s="194" t="n">
        <v>75.5</v>
      </c>
      <c r="E433" s="194" t="n">
        <v>112.4</v>
      </c>
      <c r="F433" s="194" t="n">
        <v>107.6</v>
      </c>
      <c r="G433" s="194" t="n">
        <v>81.40000000000001</v>
      </c>
      <c r="H433" s="194" t="n">
        <v>21</v>
      </c>
      <c r="I433" s="194" t="n">
        <v>18.3</v>
      </c>
      <c r="J433" s="194" t="n">
        <v>3.4</v>
      </c>
      <c r="K433" s="195" t="inlineStr">
        <is>
          <t>3277 GPIXEL</t>
        </is>
      </c>
    </row>
    <row r="434">
      <c r="A434" s="32" t="inlineStr">
        <is>
          <t>Voyage42 Master Fund</t>
        </is>
      </c>
      <c r="B434" s="191" t="n">
        <v>1</v>
      </c>
      <c r="C434" s="193" t="n">
        <v>100</v>
      </c>
      <c r="D434" s="194" t="n">
        <v>75.5</v>
      </c>
      <c r="E434" s="194" t="n">
        <v>112.4</v>
      </c>
      <c r="F434" s="194" t="n">
        <v>107.6</v>
      </c>
      <c r="G434" s="194" t="n">
        <v>81.40000000000001</v>
      </c>
      <c r="H434" s="194" t="n">
        <v>21</v>
      </c>
      <c r="I434" s="194" t="n">
        <v>18.3</v>
      </c>
      <c r="J434" s="194" t="n">
        <v>3.4</v>
      </c>
      <c r="K434" s="195" t="inlineStr">
        <is>
          <t>3277 GPIXEL</t>
        </is>
      </c>
    </row>
    <row r="435">
      <c r="A435" s="32" t="inlineStr">
        <is>
          <t>China Asset Management Co., Ltd. Notes 3&amp;6</t>
        </is>
      </c>
      <c r="B435" s="191" t="n">
        <v>1</v>
      </c>
      <c r="C435" s="193" t="n">
        <v>100</v>
      </c>
      <c r="D435" s="194" t="n">
        <v>75.5</v>
      </c>
      <c r="E435" s="194" t="n">
        <v>112.4</v>
      </c>
      <c r="F435" s="194" t="n">
        <v>107.6</v>
      </c>
      <c r="G435" s="194" t="n">
        <v>81.40000000000001</v>
      </c>
      <c r="H435" s="194" t="n">
        <v>21</v>
      </c>
      <c r="I435" s="194" t="n">
        <v>18.3</v>
      </c>
      <c r="J435" s="194" t="n">
        <v>3.4</v>
      </c>
      <c r="K435" s="195" t="inlineStr">
        <is>
          <t>3277 GPIXEL</t>
        </is>
      </c>
    </row>
    <row r="436">
      <c r="A436" s="32" t="inlineStr">
        <is>
          <t>China Merchants Securities Investment Management (Hong Kong) Company Limited</t>
        </is>
      </c>
      <c r="B436" s="191" t="n">
        <v>1</v>
      </c>
      <c r="C436" s="193" t="n">
        <v>100</v>
      </c>
      <c r="D436" s="194" t="n">
        <v>75.5</v>
      </c>
      <c r="E436" s="194" t="n">
        <v>112.4</v>
      </c>
      <c r="F436" s="194" t="n">
        <v>107.6</v>
      </c>
      <c r="G436" s="194" t="n">
        <v>81.40000000000001</v>
      </c>
      <c r="H436" s="194" t="n">
        <v>21</v>
      </c>
      <c r="I436" s="194" t="n">
        <v>18.3</v>
      </c>
      <c r="J436" s="194" t="n">
        <v>3.4</v>
      </c>
      <c r="K436" s="195" t="inlineStr">
        <is>
          <t>3277 GPIXEL</t>
        </is>
      </c>
    </row>
    <row r="437">
      <c r="A437" s="32" t="inlineStr">
        <is>
          <t>Southern Asset Management Co., Ltd. CPE Greater China Enterprises Growth Fund</t>
        </is>
      </c>
      <c r="B437" s="191" t="n">
        <v>1</v>
      </c>
      <c r="C437" s="193" t="n">
        <v>100</v>
      </c>
      <c r="D437" s="194" t="n">
        <v>72.8</v>
      </c>
      <c r="E437" s="194" t="n">
        <v>110.4</v>
      </c>
      <c r="F437" s="194" t="n">
        <v>104.9</v>
      </c>
      <c r="G437" s="194" t="n">
        <v>263</v>
      </c>
      <c r="H437" s="194" t="n">
        <v>21.7</v>
      </c>
      <c r="I437" s="194" t="n">
        <v>18.6</v>
      </c>
      <c r="J437" s="194" t="n">
        <v>110</v>
      </c>
      <c r="K437" s="195" t="inlineStr">
        <is>
          <t>6181 LAOPU GOLD</t>
        </is>
      </c>
    </row>
    <row r="438">
      <c r="A438" s="32" t="inlineStr">
        <is>
          <t>Dao Yi Capital Limited</t>
        </is>
      </c>
      <c r="B438" s="191" t="n">
        <v>1</v>
      </c>
      <c r="C438" s="193" t="n">
        <v>100</v>
      </c>
      <c r="D438" s="194" t="n">
        <v>68.5</v>
      </c>
      <c r="E438" s="194" t="n">
        <v>97.40000000000001</v>
      </c>
      <c r="F438" s="194" t="n">
        <v>81.5</v>
      </c>
      <c r="G438" s="194" t="n">
        <v>100.7</v>
      </c>
      <c r="H438" s="194" t="n">
        <v>17.2</v>
      </c>
      <c r="I438" s="194" t="n">
        <v>7.7</v>
      </c>
      <c r="J438" s="194" t="n">
        <v>19.2</v>
      </c>
      <c r="K438" s="195" t="inlineStr">
        <is>
          <t>2259 ZIJIN GOLD INTL</t>
        </is>
      </c>
    </row>
    <row r="439">
      <c r="A439" s="32" t="inlineStr">
        <is>
          <t>Globe Asia Investments Limited</t>
        </is>
      </c>
      <c r="B439" s="191" t="n">
        <v>1</v>
      </c>
      <c r="C439" s="193" t="n">
        <v>100</v>
      </c>
      <c r="D439" s="194" t="n">
        <v>68.5</v>
      </c>
      <c r="E439" s="194" t="n">
        <v>97.40000000000001</v>
      </c>
      <c r="F439" s="194" t="n">
        <v>81.5</v>
      </c>
      <c r="G439" s="194" t="n">
        <v>100.7</v>
      </c>
      <c r="H439" s="194" t="n">
        <v>17.2</v>
      </c>
      <c r="I439" s="194" t="n">
        <v>7.7</v>
      </c>
      <c r="J439" s="194" t="n">
        <v>19.2</v>
      </c>
      <c r="K439" s="195" t="inlineStr">
        <is>
          <t>2259 ZIJIN GOLD INTL</t>
        </is>
      </c>
    </row>
    <row r="440">
      <c r="A440" s="32" t="inlineStr">
        <is>
          <t>AGIC Partners Holding (Cayman) II Limited</t>
        </is>
      </c>
      <c r="B440" s="191" t="n">
        <v>1</v>
      </c>
      <c r="C440" s="193" t="n">
        <v>100</v>
      </c>
      <c r="D440" s="194" t="n">
        <v>63.7</v>
      </c>
      <c r="E440" s="194" t="n">
        <v>97.40000000000001</v>
      </c>
      <c r="F440" s="194" t="n">
        <v>64.2</v>
      </c>
      <c r="G440" s="194" t="n">
        <v>312.4</v>
      </c>
      <c r="H440" s="194" t="n">
        <v>20.6</v>
      </c>
      <c r="I440" s="194" t="n">
        <v>0.3</v>
      </c>
      <c r="J440" s="194" t="n">
        <v>151.9</v>
      </c>
      <c r="K440" s="195" t="inlineStr">
        <is>
          <t>6809 MONTAGE TECH</t>
        </is>
      </c>
    </row>
    <row r="441">
      <c r="A441" s="32" t="inlineStr">
        <is>
          <t>YSC Go (BVI) Limited</t>
        </is>
      </c>
      <c r="B441" s="191" t="n">
        <v>1</v>
      </c>
      <c r="C441" s="193" t="n">
        <v>100</v>
      </c>
      <c r="D441" s="194" t="n">
        <v>58.3</v>
      </c>
      <c r="E441" s="194" t="n">
        <v>17.6</v>
      </c>
      <c r="F441" s="194" t="n">
        <v>-11.1</v>
      </c>
      <c r="G441" s="194" t="n">
        <v>-14</v>
      </c>
      <c r="H441" s="194" t="n">
        <v>-25.7</v>
      </c>
      <c r="I441" s="194" t="n">
        <v>-43.8</v>
      </c>
      <c r="J441" s="194" t="n">
        <v>-45.7</v>
      </c>
      <c r="K441" s="195" t="inlineStr">
        <is>
          <t>2549 CAROTE LTD</t>
        </is>
      </c>
    </row>
    <row r="442">
      <c r="A442" s="32" t="inlineStr">
        <is>
          <t>CDG Group Fund L.P</t>
        </is>
      </c>
      <c r="B442" s="191" t="n">
        <v>1</v>
      </c>
      <c r="C442" s="193" t="n">
        <v>100</v>
      </c>
      <c r="D442" s="194" t="n">
        <v>54.3</v>
      </c>
      <c r="E442" s="194" t="n">
        <v>59.7</v>
      </c>
      <c r="F442" s="194" t="n">
        <v>29.5</v>
      </c>
      <c r="G442" s="194" t="n">
        <v>27.5</v>
      </c>
      <c r="H442" s="194" t="n">
        <v>3.5</v>
      </c>
      <c r="I442" s="194" t="n">
        <v>-16</v>
      </c>
      <c r="J442" s="194" t="n">
        <v>-17.3</v>
      </c>
      <c r="K442" s="195" t="inlineStr">
        <is>
          <t>2160 CARDIOFLOW-B</t>
        </is>
      </c>
    </row>
    <row r="443">
      <c r="A443" s="32" t="inlineStr">
        <is>
          <t>Kunlun Group Limited</t>
        </is>
      </c>
      <c r="B443" s="191" t="n">
        <v>1</v>
      </c>
      <c r="C443" s="193" t="n">
        <v>100</v>
      </c>
      <c r="D443" s="194" t="n">
        <v>54.3</v>
      </c>
      <c r="E443" s="194" t="n">
        <v>59.7</v>
      </c>
      <c r="F443" s="194" t="n">
        <v>29.5</v>
      </c>
      <c r="G443" s="194" t="n">
        <v>27.5</v>
      </c>
      <c r="H443" s="194" t="n">
        <v>3.5</v>
      </c>
      <c r="I443" s="194" t="n">
        <v>-16</v>
      </c>
      <c r="J443" s="194" t="n">
        <v>-17.3</v>
      </c>
      <c r="K443" s="195" t="inlineStr">
        <is>
          <t>2160 CARDIOFLOW-B</t>
        </is>
      </c>
    </row>
    <row r="444">
      <c r="A444" s="32" t="inlineStr">
        <is>
          <t>Tybourne Capital Management (HK) Limited</t>
        </is>
      </c>
      <c r="B444" s="191" t="n">
        <v>1</v>
      </c>
      <c r="C444" s="193" t="n">
        <v>100</v>
      </c>
      <c r="D444" s="194" t="n">
        <v>54.3</v>
      </c>
      <c r="E444" s="194" t="n">
        <v>59.7</v>
      </c>
      <c r="F444" s="194" t="n">
        <v>29.5</v>
      </c>
      <c r="G444" s="194" t="n">
        <v>27.5</v>
      </c>
      <c r="H444" s="194" t="n">
        <v>3.5</v>
      </c>
      <c r="I444" s="194" t="n">
        <v>-16</v>
      </c>
      <c r="J444" s="194" t="n">
        <v>-17.3</v>
      </c>
      <c r="K444" s="195" t="inlineStr">
        <is>
          <t>2160 CARDIOFLOW-B</t>
        </is>
      </c>
    </row>
    <row r="445">
      <c r="A445" s="32" t="inlineStr">
        <is>
          <t>Woodline Master Fund LP</t>
        </is>
      </c>
      <c r="B445" s="191" t="n">
        <v>1</v>
      </c>
      <c r="C445" s="193" t="n">
        <v>100</v>
      </c>
      <c r="D445" s="194" t="n">
        <v>54.3</v>
      </c>
      <c r="E445" s="194" t="n">
        <v>59.7</v>
      </c>
      <c r="F445" s="194" t="n">
        <v>29.5</v>
      </c>
      <c r="G445" s="194" t="n">
        <v>27.5</v>
      </c>
      <c r="H445" s="194" t="n">
        <v>3.5</v>
      </c>
      <c r="I445" s="194" t="n">
        <v>-16</v>
      </c>
      <c r="J445" s="194" t="n">
        <v>-17.3</v>
      </c>
      <c r="K445" s="195" t="inlineStr">
        <is>
          <t>2160 CARDIOFLOW-B</t>
        </is>
      </c>
    </row>
    <row r="446">
      <c r="A446" s="32" t="inlineStr">
        <is>
          <t>Smart Ventures Limited</t>
        </is>
      </c>
      <c r="B446" s="191" t="n">
        <v>1</v>
      </c>
      <c r="C446" s="193" t="n">
        <v>100</v>
      </c>
      <c r="D446" s="194" t="n">
        <v>53.6</v>
      </c>
      <c r="E446" s="194" t="n">
        <v>99</v>
      </c>
      <c r="F446" s="194" t="n">
        <v>68</v>
      </c>
      <c r="G446" s="194" t="n">
        <v>110.5</v>
      </c>
      <c r="H446" s="194" t="n">
        <v>29.6</v>
      </c>
      <c r="I446" s="194" t="n">
        <v>9.4</v>
      </c>
      <c r="J446" s="194" t="n">
        <v>37.1</v>
      </c>
      <c r="K446" s="195" t="inlineStr">
        <is>
          <t>2889 PATEO</t>
        </is>
      </c>
    </row>
    <row r="447">
      <c r="A447" s="32" t="inlineStr">
        <is>
          <t>Juzi Holding Co., Ltd</t>
        </is>
      </c>
      <c r="B447" s="191" t="n">
        <v>1</v>
      </c>
      <c r="C447" s="193" t="n">
        <v>100</v>
      </c>
      <c r="D447" s="194" t="n">
        <v>53.5</v>
      </c>
      <c r="E447" s="194" t="n">
        <v>56.3</v>
      </c>
      <c r="F447" s="194" t="n">
        <v>46</v>
      </c>
      <c r="G447" s="194" t="n">
        <v>58.6</v>
      </c>
      <c r="H447" s="194" t="n">
        <v>1.9</v>
      </c>
      <c r="I447" s="194" t="n">
        <v>-4.9</v>
      </c>
      <c r="J447" s="194" t="n">
        <v>3.4</v>
      </c>
      <c r="K447" s="195" t="inlineStr">
        <is>
          <t>2373 BEAUTYFARM MED</t>
        </is>
      </c>
    </row>
    <row r="448">
      <c r="A448" s="32" t="inlineStr">
        <is>
          <t>CA Fern Parent</t>
        </is>
      </c>
      <c r="B448" s="191" t="n">
        <v>1</v>
      </c>
      <c r="C448" s="193" t="n">
        <v>100</v>
      </c>
      <c r="D448" s="194" t="n">
        <v>50.4</v>
      </c>
      <c r="E448" s="194" t="n">
        <v>42</v>
      </c>
      <c r="F448" s="194" t="n">
        <v>76.09999999999999</v>
      </c>
      <c r="G448" s="194" t="n">
        <v>44.3</v>
      </c>
      <c r="H448" s="194" t="n">
        <v>-5.5</v>
      </c>
      <c r="I448" s="194" t="n">
        <v>17.1</v>
      </c>
      <c r="J448" s="194" t="n">
        <v>-4.1</v>
      </c>
      <c r="K448" s="195" t="inlineStr">
        <is>
          <t>0013 HUTCHMED</t>
        </is>
      </c>
    </row>
    <row r="449">
      <c r="A449" s="32" t="inlineStr">
        <is>
          <t>HBM Healthcare Investments (Cayman) Ltd</t>
        </is>
      </c>
      <c r="B449" s="191" t="n">
        <v>1</v>
      </c>
      <c r="C449" s="193" t="n">
        <v>100</v>
      </c>
      <c r="D449" s="194" t="n">
        <v>50.4</v>
      </c>
      <c r="E449" s="194" t="n">
        <v>42</v>
      </c>
      <c r="F449" s="194" t="n">
        <v>76.09999999999999</v>
      </c>
      <c r="G449" s="194" t="n">
        <v>44.3</v>
      </c>
      <c r="H449" s="194" t="n">
        <v>-5.5</v>
      </c>
      <c r="I449" s="194" t="n">
        <v>17.1</v>
      </c>
      <c r="J449" s="194" t="n">
        <v>-4.1</v>
      </c>
      <c r="K449" s="195" t="inlineStr">
        <is>
          <t>0013 HUTCHMED</t>
        </is>
      </c>
    </row>
    <row r="450">
      <c r="A450" s="32" t="inlineStr">
        <is>
          <t>Cloudview Capital Limited</t>
        </is>
      </c>
      <c r="B450" s="191" t="n">
        <v>1</v>
      </c>
      <c r="C450" s="193" t="n">
        <v>100</v>
      </c>
      <c r="D450" s="194" t="n">
        <v>50.1</v>
      </c>
      <c r="E450" s="194" t="n">
        <v>42.9</v>
      </c>
      <c r="F450" s="194" t="n">
        <v>65</v>
      </c>
      <c r="G450" s="194" t="n">
        <v>9.6</v>
      </c>
      <c r="H450" s="194" t="n">
        <v>-4.8</v>
      </c>
      <c r="I450" s="194" t="n">
        <v>9.9</v>
      </c>
      <c r="J450" s="194" t="n">
        <v>-27</v>
      </c>
      <c r="K450" s="195" t="inlineStr">
        <is>
          <t>2476 VGT</t>
        </is>
      </c>
    </row>
    <row r="451">
      <c r="A451" s="32" t="inlineStr">
        <is>
          <t>Golden K2 Falcon Open-ended Fund Company</t>
        </is>
      </c>
      <c r="B451" s="191" t="n">
        <v>1</v>
      </c>
      <c r="C451" s="193" t="n">
        <v>100</v>
      </c>
      <c r="D451" s="194" t="n">
        <v>50.1</v>
      </c>
      <c r="E451" s="194" t="n">
        <v>42.9</v>
      </c>
      <c r="F451" s="194" t="n">
        <v>65</v>
      </c>
      <c r="G451" s="194" t="n">
        <v>9.6</v>
      </c>
      <c r="H451" s="194" t="n">
        <v>-4.8</v>
      </c>
      <c r="I451" s="194" t="n">
        <v>9.9</v>
      </c>
      <c r="J451" s="194" t="n">
        <v>-27</v>
      </c>
      <c r="K451" s="195" t="inlineStr">
        <is>
          <t>2476 VGT</t>
        </is>
      </c>
    </row>
    <row r="452">
      <c r="A452" s="32" t="inlineStr">
        <is>
          <t>Mr. Ye Guofu</t>
        </is>
      </c>
      <c r="B452" s="191" t="n">
        <v>1</v>
      </c>
      <c r="C452" s="193" t="n">
        <v>100</v>
      </c>
      <c r="D452" s="194" t="n">
        <v>50.1</v>
      </c>
      <c r="E452" s="194" t="n">
        <v>42.9</v>
      </c>
      <c r="F452" s="194" t="n">
        <v>65</v>
      </c>
      <c r="G452" s="194" t="n">
        <v>9.6</v>
      </c>
      <c r="H452" s="194" t="n">
        <v>-4.8</v>
      </c>
      <c r="I452" s="194" t="n">
        <v>9.9</v>
      </c>
      <c r="J452" s="194" t="n">
        <v>-27</v>
      </c>
      <c r="K452" s="195" t="inlineStr">
        <is>
          <t>2476 VGT</t>
        </is>
      </c>
    </row>
    <row r="453">
      <c r="A453" s="32" t="inlineStr">
        <is>
          <t>SR Wealth Securities Limited</t>
        </is>
      </c>
      <c r="B453" s="191" t="n">
        <v>1</v>
      </c>
      <c r="C453" s="193" t="n">
        <v>100</v>
      </c>
      <c r="D453" s="194" t="n">
        <v>50.1</v>
      </c>
      <c r="E453" s="194" t="n">
        <v>42.9</v>
      </c>
      <c r="F453" s="194" t="n">
        <v>65</v>
      </c>
      <c r="G453" s="194" t="n">
        <v>9.6</v>
      </c>
      <c r="H453" s="194" t="n">
        <v>-4.8</v>
      </c>
      <c r="I453" s="194" t="n">
        <v>9.9</v>
      </c>
      <c r="J453" s="194" t="n">
        <v>-27</v>
      </c>
      <c r="K453" s="195" t="inlineStr">
        <is>
          <t>2476 VGT</t>
        </is>
      </c>
    </row>
    <row r="454">
      <c r="A454" s="32" t="inlineStr">
        <is>
          <t>Tanwan Inc</t>
        </is>
      </c>
      <c r="B454" s="191" t="n">
        <v>1</v>
      </c>
      <c r="C454" s="193" t="n">
        <v>100</v>
      </c>
      <c r="D454" s="194" t="n">
        <v>50.1</v>
      </c>
      <c r="E454" s="194" t="n">
        <v>42.9</v>
      </c>
      <c r="F454" s="194" t="n">
        <v>65</v>
      </c>
      <c r="G454" s="194" t="n">
        <v>9.6</v>
      </c>
      <c r="H454" s="194" t="n">
        <v>-4.8</v>
      </c>
      <c r="I454" s="194" t="n">
        <v>9.9</v>
      </c>
      <c r="J454" s="194" t="n">
        <v>-27</v>
      </c>
      <c r="K454" s="195" t="inlineStr">
        <is>
          <t>2476 VGT</t>
        </is>
      </c>
    </row>
    <row r="455">
      <c r="A455" s="32" t="inlineStr">
        <is>
          <t>Yong Rong (HK) Asset Management Limited</t>
        </is>
      </c>
      <c r="B455" s="191" t="n">
        <v>1</v>
      </c>
      <c r="C455" s="193" t="n">
        <v>100</v>
      </c>
      <c r="D455" s="194" t="n">
        <v>50.1</v>
      </c>
      <c r="E455" s="194" t="n">
        <v>42.9</v>
      </c>
      <c r="F455" s="194" t="n">
        <v>65</v>
      </c>
      <c r="G455" s="194" t="n">
        <v>9.6</v>
      </c>
      <c r="H455" s="194" t="n">
        <v>-4.8</v>
      </c>
      <c r="I455" s="194" t="n">
        <v>9.9</v>
      </c>
      <c r="J455" s="194" t="n">
        <v>-27</v>
      </c>
      <c r="K455" s="195" t="inlineStr">
        <is>
          <t>2476 VGT</t>
        </is>
      </c>
    </row>
    <row r="456">
      <c r="A456" s="32" t="inlineStr">
        <is>
          <t>Ding Shijia</t>
        </is>
      </c>
      <c r="B456" s="191" t="n">
        <v>1</v>
      </c>
      <c r="C456" s="193" t="n">
        <v>100</v>
      </c>
      <c r="D456" s="194" t="n">
        <v>47.8</v>
      </c>
      <c r="E456" s="194" t="n">
        <v>17.2</v>
      </c>
      <c r="F456" s="194" t="n">
        <v>6.9</v>
      </c>
      <c r="G456" s="194" t="n">
        <v>-1.2</v>
      </c>
      <c r="H456" s="194" t="n">
        <v>-20.7</v>
      </c>
      <c r="I456" s="194" t="n">
        <v>-27.7</v>
      </c>
      <c r="J456" s="194" t="n">
        <v>-33.2</v>
      </c>
      <c r="K456" s="195" t="inlineStr">
        <is>
          <t>2306 YH ENT</t>
        </is>
      </c>
    </row>
    <row r="457">
      <c r="A457" s="32" t="inlineStr">
        <is>
          <t>Maoyan Entertainment (HK) Limited</t>
        </is>
      </c>
      <c r="B457" s="191" t="n">
        <v>1</v>
      </c>
      <c r="C457" s="193" t="n">
        <v>100</v>
      </c>
      <c r="D457" s="194" t="n">
        <v>47.8</v>
      </c>
      <c r="E457" s="194" t="n">
        <v>17.2</v>
      </c>
      <c r="F457" s="194" t="n">
        <v>6.9</v>
      </c>
      <c r="G457" s="194" t="n">
        <v>-1.2</v>
      </c>
      <c r="H457" s="194" t="n">
        <v>-20.7</v>
      </c>
      <c r="I457" s="194" t="n">
        <v>-27.7</v>
      </c>
      <c r="J457" s="194" t="n">
        <v>-33.2</v>
      </c>
      <c r="K457" s="195" t="inlineStr">
        <is>
          <t>2306 YH ENT</t>
        </is>
      </c>
    </row>
    <row r="458">
      <c r="A458" s="32" t="inlineStr">
        <is>
          <t>Sun Mass Energy Development Limited</t>
        </is>
      </c>
      <c r="B458" s="191" t="n">
        <v>1</v>
      </c>
      <c r="C458" s="193" t="n">
        <v>100</v>
      </c>
      <c r="D458" s="194" t="n">
        <v>47.8</v>
      </c>
      <c r="E458" s="194" t="n">
        <v>17.2</v>
      </c>
      <c r="F458" s="194" t="n">
        <v>6.9</v>
      </c>
      <c r="G458" s="194" t="n">
        <v>-1.2</v>
      </c>
      <c r="H458" s="194" t="n">
        <v>-20.7</v>
      </c>
      <c r="I458" s="194" t="n">
        <v>-27.7</v>
      </c>
      <c r="J458" s="194" t="n">
        <v>-33.2</v>
      </c>
      <c r="K458" s="195" t="inlineStr">
        <is>
          <t>2306 YH ENT</t>
        </is>
      </c>
    </row>
    <row r="459">
      <c r="A459" s="32" t="inlineStr">
        <is>
          <t>4 Golden Continent Global Vision Open- ended Fund Company- Value Opportunity Fund N0.2</t>
        </is>
      </c>
      <c r="B459" s="191" t="n">
        <v>1</v>
      </c>
      <c r="C459" s="193" t="n">
        <v>100</v>
      </c>
      <c r="D459" s="194" t="n">
        <v>47.1</v>
      </c>
      <c r="E459" s="194" t="n">
        <v>37.9</v>
      </c>
      <c r="F459" s="194" t="n">
        <v>4.9</v>
      </c>
      <c r="G459" s="194" t="n">
        <v>7.8</v>
      </c>
      <c r="H459" s="194" t="n">
        <v>-6.2</v>
      </c>
      <c r="I459" s="194" t="n">
        <v>-28.6</v>
      </c>
      <c r="J459" s="194" t="n">
        <v>-26.7</v>
      </c>
      <c r="K459" s="195" t="inlineStr">
        <is>
          <t>3661 SG MICRO</t>
        </is>
      </c>
    </row>
    <row r="460">
      <c r="A460" s="32" t="inlineStr">
        <is>
          <t>Kingsoft Cloud Network Corporation Limited</t>
        </is>
      </c>
      <c r="B460" s="191" t="n">
        <v>1</v>
      </c>
      <c r="C460" s="193" t="n">
        <v>100</v>
      </c>
      <c r="D460" s="194" t="n">
        <v>44.7</v>
      </c>
      <c r="E460" s="194" t="n">
        <v>60.5</v>
      </c>
      <c r="F460" s="194" t="n">
        <v>-41.7</v>
      </c>
      <c r="G460" s="194" t="n">
        <v>38.1</v>
      </c>
      <c r="H460" s="194" t="n">
        <v>10.9</v>
      </c>
      <c r="I460" s="194" t="n">
        <v>-59.7</v>
      </c>
      <c r="J460" s="194" t="n">
        <v>-4.6</v>
      </c>
      <c r="K460" s="195" t="inlineStr">
        <is>
          <t>1191 CREALIGHTS</t>
        </is>
      </c>
    </row>
    <row r="461">
      <c r="A461" s="32" t="inlineStr">
        <is>
          <t>Winwin Technology Investment Co., Limited</t>
        </is>
      </c>
      <c r="B461" s="191" t="n">
        <v>1</v>
      </c>
      <c r="C461" s="193" t="n">
        <v>100</v>
      </c>
      <c r="D461" s="194" t="n">
        <v>44.7</v>
      </c>
      <c r="E461" s="194" t="n">
        <v>60.5</v>
      </c>
      <c r="F461" s="194" t="n">
        <v>-41.7</v>
      </c>
      <c r="G461" s="194" t="n">
        <v>38.1</v>
      </c>
      <c r="H461" s="194" t="n">
        <v>10.9</v>
      </c>
      <c r="I461" s="194" t="n">
        <v>-59.7</v>
      </c>
      <c r="J461" s="194" t="n">
        <v>-4.6</v>
      </c>
      <c r="K461" s="195" t="inlineStr">
        <is>
          <t>1191 CREALIGHTS</t>
        </is>
      </c>
    </row>
    <row r="462">
      <c r="A462" s="32" t="inlineStr">
        <is>
          <t>Nebula</t>
        </is>
      </c>
      <c r="B462" s="191" t="n">
        <v>1</v>
      </c>
      <c r="C462" s="193" t="n">
        <v>100</v>
      </c>
      <c r="D462" s="194" t="n">
        <v>44.6</v>
      </c>
      <c r="E462" s="194" t="n">
        <v>105.4</v>
      </c>
      <c r="F462" s="194" t="n">
        <v>184.9</v>
      </c>
      <c r="G462" s="194" t="n">
        <v>137.2</v>
      </c>
      <c r="H462" s="194" t="n">
        <v>42</v>
      </c>
      <c r="I462" s="194" t="n">
        <v>97</v>
      </c>
      <c r="J462" s="194" t="n">
        <v>64</v>
      </c>
      <c r="K462" s="195" t="inlineStr">
        <is>
          <t>9678 UNISOUND</t>
        </is>
      </c>
    </row>
    <row r="463">
      <c r="A463" s="32" t="inlineStr">
        <is>
          <t>Runjian International</t>
        </is>
      </c>
      <c r="B463" s="191" t="n">
        <v>1</v>
      </c>
      <c r="C463" s="193" t="n">
        <v>100</v>
      </c>
      <c r="D463" s="194" t="n">
        <v>44.6</v>
      </c>
      <c r="E463" s="194" t="n">
        <v>105.4</v>
      </c>
      <c r="F463" s="194" t="n">
        <v>184.9</v>
      </c>
      <c r="G463" s="194" t="n">
        <v>137.2</v>
      </c>
      <c r="H463" s="194" t="n">
        <v>42</v>
      </c>
      <c r="I463" s="194" t="n">
        <v>97</v>
      </c>
      <c r="J463" s="194" t="n">
        <v>64</v>
      </c>
      <c r="K463" s="195" t="inlineStr">
        <is>
          <t>9678 UNISOUND</t>
        </is>
      </c>
    </row>
    <row r="464">
      <c r="A464" s="32" t="inlineStr">
        <is>
          <t>Multi-Strategy SPC - Bosideng Industry Investment Fund SP</t>
        </is>
      </c>
      <c r="B464" s="191" t="n">
        <v>1</v>
      </c>
      <c r="C464" s="193" t="n">
        <v>100</v>
      </c>
      <c r="D464" s="194" t="n">
        <v>44</v>
      </c>
      <c r="E464" s="194" t="n">
        <v>46.1</v>
      </c>
      <c r="F464" s="194" t="n">
        <v>36.3</v>
      </c>
      <c r="G464" s="194" t="n">
        <v>44.7</v>
      </c>
      <c r="H464" s="194" t="n">
        <v>1.5</v>
      </c>
      <c r="I464" s="194" t="n">
        <v>-5.3</v>
      </c>
      <c r="J464" s="194" t="n">
        <v>0.5</v>
      </c>
      <c r="K464" s="195" t="inlineStr">
        <is>
          <t>6090 BUTONG GROUP</t>
        </is>
      </c>
    </row>
    <row r="465">
      <c r="A465" s="32" t="inlineStr">
        <is>
          <t>Shanghai Tongyi Investment Management Co., Ltd. and Huatai Capital Investment Limited (in connection with a back-to-back total return swap)</t>
        </is>
      </c>
      <c r="B465" s="191" t="n">
        <v>1</v>
      </c>
      <c r="C465" s="193" t="n">
        <v>100</v>
      </c>
      <c r="D465" s="194" t="n">
        <v>44</v>
      </c>
      <c r="E465" s="194" t="n">
        <v>46.1</v>
      </c>
      <c r="F465" s="194" t="n">
        <v>36.3</v>
      </c>
      <c r="G465" s="194" t="n">
        <v>44.7</v>
      </c>
      <c r="H465" s="194" t="n">
        <v>1.5</v>
      </c>
      <c r="I465" s="194" t="n">
        <v>-5.3</v>
      </c>
      <c r="J465" s="194" t="n">
        <v>0.5</v>
      </c>
      <c r="K465" s="195" t="inlineStr">
        <is>
          <t>6090 BUTONG GROUP</t>
        </is>
      </c>
    </row>
    <row r="466">
      <c r="A466" s="32" t="inlineStr">
        <is>
          <t>Great Praise Investment SPC - Selected AI Fund SP</t>
        </is>
      </c>
      <c r="B466" s="191" t="n">
        <v>1</v>
      </c>
      <c r="C466" s="193" t="n">
        <v>100</v>
      </c>
      <c r="D466" s="194" t="n">
        <v>44</v>
      </c>
      <c r="E466" s="194" t="n">
        <v>46.1</v>
      </c>
      <c r="F466" s="194" t="n">
        <v>36.3</v>
      </c>
      <c r="G466" s="194" t="n">
        <v>44.7</v>
      </c>
      <c r="H466" s="194" t="n">
        <v>1.5</v>
      </c>
      <c r="I466" s="194" t="n">
        <v>-5.3</v>
      </c>
      <c r="J466" s="194" t="n">
        <v>0.5</v>
      </c>
      <c r="K466" s="195" t="inlineStr">
        <is>
          <t>6090 BUTONG GROUP</t>
        </is>
      </c>
    </row>
    <row r="467">
      <c r="A467" s="32" t="inlineStr">
        <is>
          <t>Persistence Growth Limited</t>
        </is>
      </c>
      <c r="B467" s="191" t="n">
        <v>1</v>
      </c>
      <c r="C467" s="193" t="n">
        <v>100</v>
      </c>
      <c r="D467" s="194" t="n">
        <v>43.2</v>
      </c>
      <c r="E467" s="194" t="n">
        <v>94.3</v>
      </c>
      <c r="F467" s="194" t="n">
        <v>107.4</v>
      </c>
      <c r="G467" s="194" t="n">
        <v>180.5</v>
      </c>
      <c r="H467" s="194" t="n">
        <v>35.6</v>
      </c>
      <c r="I467" s="194" t="n">
        <v>44.8</v>
      </c>
      <c r="J467" s="194" t="n">
        <v>95.90000000000001</v>
      </c>
      <c r="K467" s="195" t="inlineStr">
        <is>
          <t>2097 MIXUE GROUP</t>
        </is>
      </c>
    </row>
    <row r="468">
      <c r="A468" s="32" t="inlineStr">
        <is>
          <t>Cao Ke</t>
        </is>
      </c>
      <c r="B468" s="191" t="n">
        <v>1</v>
      </c>
      <c r="C468" s="193" t="n">
        <v>100</v>
      </c>
      <c r="D468" s="194" t="n">
        <v>42</v>
      </c>
      <c r="E468" s="194" t="n">
        <v>30</v>
      </c>
      <c r="F468" s="194" t="n">
        <v>3</v>
      </c>
      <c r="G468" s="194" t="n">
        <v>9.5</v>
      </c>
      <c r="H468" s="194" t="n">
        <v>-8.4</v>
      </c>
      <c r="I468" s="194" t="n">
        <v>-27.5</v>
      </c>
      <c r="J468" s="194" t="n">
        <v>-22.9</v>
      </c>
      <c r="K468" s="195" t="inlineStr">
        <is>
          <t>9881 RONGTA TECH</t>
        </is>
      </c>
    </row>
    <row r="469">
      <c r="A469" s="32" t="inlineStr">
        <is>
          <t>Lin Xiaojian</t>
        </is>
      </c>
      <c r="B469" s="191" t="n">
        <v>1</v>
      </c>
      <c r="C469" s="193" t="n">
        <v>100</v>
      </c>
      <c r="D469" s="194" t="n">
        <v>42</v>
      </c>
      <c r="E469" s="194" t="n">
        <v>30</v>
      </c>
      <c r="F469" s="194" t="n">
        <v>3</v>
      </c>
      <c r="G469" s="194" t="n">
        <v>9.5</v>
      </c>
      <c r="H469" s="194" t="n">
        <v>-8.4</v>
      </c>
      <c r="I469" s="194" t="n">
        <v>-27.5</v>
      </c>
      <c r="J469" s="194" t="n">
        <v>-22.9</v>
      </c>
      <c r="K469" s="195" t="inlineStr">
        <is>
          <t>9881 RONGTA TECH</t>
        </is>
      </c>
    </row>
    <row r="470">
      <c r="A470" s="32" t="inlineStr">
        <is>
          <t>Sinos Group Limited</t>
        </is>
      </c>
      <c r="B470" s="191" t="n">
        <v>1</v>
      </c>
      <c r="C470" s="193" t="n">
        <v>100</v>
      </c>
      <c r="D470" s="194" t="n">
        <v>42</v>
      </c>
      <c r="E470" s="194" t="n">
        <v>30</v>
      </c>
      <c r="F470" s="194" t="n">
        <v>3</v>
      </c>
      <c r="G470" s="194" t="n">
        <v>9.5</v>
      </c>
      <c r="H470" s="194" t="n">
        <v>-8.4</v>
      </c>
      <c r="I470" s="194" t="n">
        <v>-27.5</v>
      </c>
      <c r="J470" s="194" t="n">
        <v>-22.9</v>
      </c>
      <c r="K470" s="195" t="inlineStr">
        <is>
          <t>9881 RONGTA TECH</t>
        </is>
      </c>
    </row>
    <row r="471">
      <c r="A471" s="32" t="inlineStr">
        <is>
          <t>Li Shuhan</t>
        </is>
      </c>
      <c r="B471" s="191" t="n">
        <v>1</v>
      </c>
      <c r="C471" s="193" t="n">
        <v>100</v>
      </c>
      <c r="D471" s="194" t="n">
        <v>42</v>
      </c>
      <c r="E471" s="194" t="n">
        <v>30</v>
      </c>
      <c r="F471" s="194" t="n">
        <v>3</v>
      </c>
      <c r="G471" s="194" t="n">
        <v>9.5</v>
      </c>
      <c r="H471" s="194" t="n">
        <v>-8.4</v>
      </c>
      <c r="I471" s="194" t="n">
        <v>-27.5</v>
      </c>
      <c r="J471" s="194" t="n">
        <v>-22.9</v>
      </c>
      <c r="K471" s="195" t="inlineStr">
        <is>
          <t>9881 RONGTA TECH</t>
        </is>
      </c>
    </row>
    <row r="472">
      <c r="A472" s="32" t="inlineStr">
        <is>
          <t>Ng Chi Fat</t>
        </is>
      </c>
      <c r="B472" s="191" t="n">
        <v>1</v>
      </c>
      <c r="C472" s="193" t="n">
        <v>100</v>
      </c>
      <c r="D472" s="194" t="n">
        <v>42</v>
      </c>
      <c r="E472" s="194" t="n">
        <v>30</v>
      </c>
      <c r="F472" s="194" t="n">
        <v>3</v>
      </c>
      <c r="G472" s="194" t="n">
        <v>9.5</v>
      </c>
      <c r="H472" s="194" t="n">
        <v>-8.4</v>
      </c>
      <c r="I472" s="194" t="n">
        <v>-27.5</v>
      </c>
      <c r="J472" s="194" t="n">
        <v>-22.9</v>
      </c>
      <c r="K472" s="195" t="inlineStr">
        <is>
          <t>9881 RONGTA TECH</t>
        </is>
      </c>
    </row>
    <row r="473">
      <c r="A473" s="32" t="inlineStr">
        <is>
          <t>Erik Selin Fastigheter Aktiebolag</t>
        </is>
      </c>
      <c r="B473" s="191" t="n">
        <v>1</v>
      </c>
      <c r="C473" s="193" t="n">
        <v>100</v>
      </c>
      <c r="D473" s="194" t="n">
        <v>41.6</v>
      </c>
      <c r="E473" s="194" t="n">
        <v>30.8</v>
      </c>
      <c r="F473" s="194" t="n">
        <v>18.2</v>
      </c>
      <c r="G473" s="194" t="n">
        <v>14.6</v>
      </c>
      <c r="H473" s="194" t="n">
        <v>-7.7</v>
      </c>
      <c r="I473" s="194" t="n">
        <v>-16.5</v>
      </c>
      <c r="J473" s="194" t="n">
        <v>-19.1</v>
      </c>
      <c r="K473" s="195" t="inlineStr">
        <is>
          <t>6938 RIBOLIFE-B</t>
        </is>
      </c>
    </row>
    <row r="474">
      <c r="A474" s="32" t="inlineStr">
        <is>
          <t>Himension Fund</t>
        </is>
      </c>
      <c r="B474" s="191" t="n">
        <v>1</v>
      </c>
      <c r="C474" s="193" t="n">
        <v>100</v>
      </c>
      <c r="D474" s="194" t="n">
        <v>41.6</v>
      </c>
      <c r="E474" s="194" t="n">
        <v>30.8</v>
      </c>
      <c r="F474" s="194" t="n">
        <v>18.2</v>
      </c>
      <c r="G474" s="194" t="n">
        <v>14.6</v>
      </c>
      <c r="H474" s="194" t="n">
        <v>-7.7</v>
      </c>
      <c r="I474" s="194" t="n">
        <v>-16.5</v>
      </c>
      <c r="J474" s="194" t="n">
        <v>-19.1</v>
      </c>
      <c r="K474" s="195" t="inlineStr">
        <is>
          <t>6938 RIBOLIFE-B</t>
        </is>
      </c>
    </row>
    <row r="475">
      <c r="A475" s="32" t="inlineStr">
        <is>
          <t>Mingxin Growth Ventures LS2 Limited</t>
        </is>
      </c>
      <c r="B475" s="191" t="n">
        <v>1</v>
      </c>
      <c r="C475" s="193" t="n">
        <v>100</v>
      </c>
      <c r="D475" s="194" t="n">
        <v>41.6</v>
      </c>
      <c r="E475" s="194" t="n">
        <v>30.8</v>
      </c>
      <c r="F475" s="194" t="n">
        <v>18.2</v>
      </c>
      <c r="G475" s="194" t="n">
        <v>14.6</v>
      </c>
      <c r="H475" s="194" t="n">
        <v>-7.7</v>
      </c>
      <c r="I475" s="194" t="n">
        <v>-16.5</v>
      </c>
      <c r="J475" s="194" t="n">
        <v>-19.1</v>
      </c>
      <c r="K475" s="195" t="inlineStr">
        <is>
          <t>6938 RIBOLIFE-B</t>
        </is>
      </c>
    </row>
    <row r="476">
      <c r="A476" s="32" t="inlineStr">
        <is>
          <t>LP. ), Tenbagger Capital (Shanghai, Ziran), LP. ) and Huatai Capital Investment Limited</t>
        </is>
      </c>
      <c r="B476" s="191" t="n">
        <v>1</v>
      </c>
      <c r="C476" s="193" t="n">
        <v>100</v>
      </c>
      <c r="D476" s="194" t="n">
        <v>41.6</v>
      </c>
      <c r="E476" s="194" t="n">
        <v>30.8</v>
      </c>
      <c r="F476" s="194" t="n">
        <v>18.2</v>
      </c>
      <c r="G476" s="194" t="n">
        <v>14.6</v>
      </c>
      <c r="H476" s="194" t="n">
        <v>-7.7</v>
      </c>
      <c r="I476" s="194" t="n">
        <v>-16.5</v>
      </c>
      <c r="J476" s="194" t="n">
        <v>-19.1</v>
      </c>
      <c r="K476" s="195" t="inlineStr">
        <is>
          <t>6938 RIBOLIFE-B</t>
        </is>
      </c>
    </row>
    <row r="477">
      <c r="A477" s="32" t="inlineStr">
        <is>
          <t>CURA International (Hong Kong) Investment Management Company Limited</t>
        </is>
      </c>
      <c r="B477" s="191" t="n">
        <v>1</v>
      </c>
      <c r="C477" s="193" t="n">
        <v>100</v>
      </c>
      <c r="D477" s="194" t="n">
        <v>41.5</v>
      </c>
      <c r="E477" s="194" t="n">
        <v>2.5</v>
      </c>
      <c r="F477" s="194" t="n">
        <v>0</v>
      </c>
      <c r="G477" s="194" t="n">
        <v>3.8</v>
      </c>
      <c r="H477" s="194" t="n">
        <v>-27.6</v>
      </c>
      <c r="I477" s="194" t="n">
        <v>-29.3</v>
      </c>
      <c r="J477" s="194" t="n">
        <v>-26.7</v>
      </c>
      <c r="K477" s="195" t="inlineStr">
        <is>
          <t>1965 LANDSEA LIFE</t>
        </is>
      </c>
    </row>
    <row r="478">
      <c r="A478" s="32" t="inlineStr">
        <is>
          <t>Dato Sri Ng Chong Keong</t>
        </is>
      </c>
      <c r="B478" s="191" t="n">
        <v>1</v>
      </c>
      <c r="C478" s="193" t="n">
        <v>100</v>
      </c>
      <c r="D478" s="194" t="n">
        <v>41.1</v>
      </c>
      <c r="E478" s="194" t="n">
        <v>62.5</v>
      </c>
      <c r="F478" s="194" t="n">
        <v>96.40000000000001</v>
      </c>
      <c r="G478" s="194" t="n">
        <v>258.9</v>
      </c>
      <c r="H478" s="194" t="n">
        <v>15.2</v>
      </c>
      <c r="I478" s="194" t="n">
        <v>39.2</v>
      </c>
      <c r="J478" s="194" t="n">
        <v>154.4</v>
      </c>
      <c r="K478" s="195" t="inlineStr">
        <is>
          <t>2321 SWANGCHAICHUAN</t>
        </is>
      </c>
    </row>
    <row r="479">
      <c r="A479" s="32" t="inlineStr">
        <is>
          <t>Huihuang Resources Limited</t>
        </is>
      </c>
      <c r="B479" s="191" t="n">
        <v>1</v>
      </c>
      <c r="C479" s="193" t="n">
        <v>100</v>
      </c>
      <c r="D479" s="194" t="n">
        <v>41.1</v>
      </c>
      <c r="E479" s="194" t="n">
        <v>62.5</v>
      </c>
      <c r="F479" s="194" t="n">
        <v>96.40000000000001</v>
      </c>
      <c r="G479" s="194" t="n">
        <v>258.9</v>
      </c>
      <c r="H479" s="194" t="n">
        <v>15.2</v>
      </c>
      <c r="I479" s="194" t="n">
        <v>39.2</v>
      </c>
      <c r="J479" s="194" t="n">
        <v>154.4</v>
      </c>
      <c r="K479" s="195" t="inlineStr">
        <is>
          <t>2321 SWANGCHAICHUAN</t>
        </is>
      </c>
    </row>
    <row r="480">
      <c r="A480" s="32" t="inlineStr">
        <is>
          <t>Mr. Tee Kian Heng</t>
        </is>
      </c>
      <c r="B480" s="191" t="n">
        <v>1</v>
      </c>
      <c r="C480" s="193" t="n">
        <v>100</v>
      </c>
      <c r="D480" s="194" t="n">
        <v>41.1</v>
      </c>
      <c r="E480" s="194" t="n">
        <v>62.5</v>
      </c>
      <c r="F480" s="194" t="n">
        <v>96.40000000000001</v>
      </c>
      <c r="G480" s="194" t="n">
        <v>258.9</v>
      </c>
      <c r="H480" s="194" t="n">
        <v>15.2</v>
      </c>
      <c r="I480" s="194" t="n">
        <v>39.2</v>
      </c>
      <c r="J480" s="194" t="n">
        <v>154.4</v>
      </c>
      <c r="K480" s="195" t="inlineStr">
        <is>
          <t>2321 SWANGCHAICHUAN</t>
        </is>
      </c>
    </row>
    <row r="481">
      <c r="A481" s="32" t="inlineStr">
        <is>
          <t>Nayuki Holdings Limited</t>
        </is>
      </c>
      <c r="B481" s="191" t="n">
        <v>1</v>
      </c>
      <c r="C481" s="193" t="n">
        <v>100</v>
      </c>
      <c r="D481" s="194" t="n">
        <v>40.9</v>
      </c>
      <c r="E481" s="194" t="n">
        <v>20.8</v>
      </c>
      <c r="F481" s="194" t="n">
        <v>55.9</v>
      </c>
      <c r="G481" s="194" t="n">
        <v>79.09999999999999</v>
      </c>
      <c r="H481" s="194" t="n">
        <v>-14.3</v>
      </c>
      <c r="I481" s="194" t="n">
        <v>10.7</v>
      </c>
      <c r="J481" s="194" t="n">
        <v>27.2</v>
      </c>
      <c r="K481" s="195" t="inlineStr">
        <is>
          <t>2429 UBOX ONLINE</t>
        </is>
      </c>
    </row>
    <row r="482">
      <c r="A482" s="32" t="inlineStr">
        <is>
          <t>Shenzhen Maliujia Network Technology Co., Ltd</t>
        </is>
      </c>
      <c r="B482" s="191" t="n">
        <v>1</v>
      </c>
      <c r="C482" s="193" t="n">
        <v>100</v>
      </c>
      <c r="D482" s="194" t="n">
        <v>40.9</v>
      </c>
      <c r="E482" s="194" t="n">
        <v>20.8</v>
      </c>
      <c r="F482" s="194" t="n">
        <v>55.9</v>
      </c>
      <c r="G482" s="194" t="n">
        <v>79.09999999999999</v>
      </c>
      <c r="H482" s="194" t="n">
        <v>-14.3</v>
      </c>
      <c r="I482" s="194" t="n">
        <v>10.7</v>
      </c>
      <c r="J482" s="194" t="n">
        <v>27.2</v>
      </c>
      <c r="K482" s="195" t="inlineStr">
        <is>
          <t>2429 UBOX ONLINE</t>
        </is>
      </c>
    </row>
    <row r="483">
      <c r="A483" s="32" t="inlineStr">
        <is>
          <t>Wei Jinbing</t>
        </is>
      </c>
      <c r="B483" s="191" t="n">
        <v>1</v>
      </c>
      <c r="C483" s="193" t="n">
        <v>100</v>
      </c>
      <c r="D483" s="194" t="n">
        <v>40.9</v>
      </c>
      <c r="E483" s="194" t="n">
        <v>20.8</v>
      </c>
      <c r="F483" s="194" t="n">
        <v>55.9</v>
      </c>
      <c r="G483" s="194" t="n">
        <v>79.09999999999999</v>
      </c>
      <c r="H483" s="194" t="n">
        <v>-14.3</v>
      </c>
      <c r="I483" s="194" t="n">
        <v>10.7</v>
      </c>
      <c r="J483" s="194" t="n">
        <v>27.2</v>
      </c>
      <c r="K483" s="195" t="inlineStr">
        <is>
          <t>2429 UBOX ONLINE</t>
        </is>
      </c>
    </row>
    <row r="484">
      <c r="A484" s="32" t="inlineStr">
        <is>
          <t>Golden Future LPF</t>
        </is>
      </c>
      <c r="B484" s="191" t="n">
        <v>1</v>
      </c>
      <c r="C484" s="193" t="n">
        <v>100</v>
      </c>
      <c r="D484" s="194" t="n">
        <v>40</v>
      </c>
      <c r="E484" s="194" t="n">
        <v>58.8</v>
      </c>
      <c r="F484" s="194" t="n">
        <v>110.6</v>
      </c>
      <c r="G484" s="194" t="n">
        <v>105.8</v>
      </c>
      <c r="H484" s="194" t="n">
        <v>13.4</v>
      </c>
      <c r="I484" s="194" t="n">
        <v>50.4</v>
      </c>
      <c r="J484" s="194" t="n">
        <v>47</v>
      </c>
      <c r="K484" s="195" t="inlineStr">
        <is>
          <t>0917 QUNABOX GROUP</t>
        </is>
      </c>
    </row>
    <row r="485">
      <c r="A485" s="32" t="inlineStr">
        <is>
          <t>Timber Kangaroo Capital Limited</t>
        </is>
      </c>
      <c r="B485" s="191" t="n">
        <v>1</v>
      </c>
      <c r="C485" s="193" t="n">
        <v>100</v>
      </c>
      <c r="D485" s="194" t="n">
        <v>39.1</v>
      </c>
      <c r="E485" s="194" t="n">
        <v>30.2</v>
      </c>
      <c r="F485" s="194" t="n">
        <v>45.3</v>
      </c>
      <c r="G485" s="194" t="n">
        <v>138.7</v>
      </c>
      <c r="H485" s="194" t="n">
        <v>-6.4</v>
      </c>
      <c r="I485" s="194" t="n">
        <v>4.5</v>
      </c>
      <c r="J485" s="194" t="n">
        <v>71.59999999999999</v>
      </c>
      <c r="K485" s="195" t="inlineStr">
        <is>
          <t>2603 JIHONG CO</t>
        </is>
      </c>
    </row>
    <row r="486">
      <c r="A486" s="32" t="inlineStr">
        <is>
          <t>Yulong International Capital Limited</t>
        </is>
      </c>
      <c r="B486" s="191" t="n">
        <v>1</v>
      </c>
      <c r="C486" s="193" t="n">
        <v>100</v>
      </c>
      <c r="D486" s="194" t="n">
        <v>39.1</v>
      </c>
      <c r="E486" s="194" t="n">
        <v>30.2</v>
      </c>
      <c r="F486" s="194" t="n">
        <v>45.3</v>
      </c>
      <c r="G486" s="194" t="n">
        <v>138.7</v>
      </c>
      <c r="H486" s="194" t="n">
        <v>-6.4</v>
      </c>
      <c r="I486" s="194" t="n">
        <v>4.5</v>
      </c>
      <c r="J486" s="194" t="n">
        <v>71.59999999999999</v>
      </c>
      <c r="K486" s="195" t="inlineStr">
        <is>
          <t>2603 JIHONG CO</t>
        </is>
      </c>
    </row>
    <row r="487">
      <c r="A487" s="32" t="inlineStr">
        <is>
          <t>Ms. Shen Zhenyu</t>
        </is>
      </c>
      <c r="B487" s="191" t="n">
        <v>1</v>
      </c>
      <c r="C487" s="193" t="n">
        <v>100</v>
      </c>
      <c r="D487" s="194" t="n">
        <v>39.1</v>
      </c>
      <c r="E487" s="194" t="n">
        <v>30.2</v>
      </c>
      <c r="F487" s="194" t="n">
        <v>45.3</v>
      </c>
      <c r="G487" s="194" t="n">
        <v>138.7</v>
      </c>
      <c r="H487" s="194" t="n">
        <v>-6.4</v>
      </c>
      <c r="I487" s="194" t="n">
        <v>4.5</v>
      </c>
      <c r="J487" s="194" t="n">
        <v>71.59999999999999</v>
      </c>
      <c r="K487" s="195" t="inlineStr">
        <is>
          <t>2603 JIHONG CO</t>
        </is>
      </c>
    </row>
    <row r="488">
      <c r="A488" s="32" t="inlineStr">
        <is>
          <t>Hong Kong Xinwei Electronic Co., Limited</t>
        </is>
      </c>
      <c r="B488" s="191" t="n">
        <v>1</v>
      </c>
      <c r="C488" s="193" t="n">
        <v>100</v>
      </c>
      <c r="D488" s="194" t="n">
        <v>38.3</v>
      </c>
      <c r="E488" s="194" t="n">
        <v>31.1</v>
      </c>
      <c r="F488" s="194" t="n">
        <v>79.40000000000001</v>
      </c>
      <c r="G488" s="194" t="n">
        <v>53.3</v>
      </c>
      <c r="H488" s="194" t="n">
        <v>-5.2</v>
      </c>
      <c r="I488" s="194" t="n">
        <v>29.7</v>
      </c>
      <c r="J488" s="194" t="n">
        <v>10.8</v>
      </c>
      <c r="K488" s="195" t="inlineStr">
        <is>
          <t>1333 BRETON</t>
        </is>
      </c>
    </row>
    <row r="489">
      <c r="A489" s="32" t="inlineStr">
        <is>
          <t>Changfeng Growth Equity Fund OFC</t>
        </is>
      </c>
      <c r="B489" s="191" t="n">
        <v>1</v>
      </c>
      <c r="C489" s="193" t="n">
        <v>100</v>
      </c>
      <c r="D489" s="194" t="n">
        <v>38.3</v>
      </c>
      <c r="E489" s="194" t="n">
        <v>31.1</v>
      </c>
      <c r="F489" s="194" t="n">
        <v>79.40000000000001</v>
      </c>
      <c r="G489" s="194" t="n">
        <v>53.3</v>
      </c>
      <c r="H489" s="194" t="n">
        <v>-5.2</v>
      </c>
      <c r="I489" s="194" t="n">
        <v>29.7</v>
      </c>
      <c r="J489" s="194" t="n">
        <v>10.8</v>
      </c>
      <c r="K489" s="195" t="inlineStr">
        <is>
          <t>1333 BRETON</t>
        </is>
      </c>
    </row>
    <row r="490">
      <c r="A490" s="32" t="inlineStr">
        <is>
          <t>Xiaomi</t>
        </is>
      </c>
      <c r="B490" s="191" t="n">
        <v>1</v>
      </c>
      <c r="C490" s="193" t="n">
        <v>100</v>
      </c>
      <c r="D490" s="194" t="n">
        <v>37.5</v>
      </c>
      <c r="E490" s="194" t="n">
        <v>88.90000000000001</v>
      </c>
      <c r="F490" s="194" t="n">
        <v>82.7</v>
      </c>
      <c r="G490" s="194" t="n">
        <v>161.1</v>
      </c>
      <c r="H490" s="194" t="n">
        <v>37.3</v>
      </c>
      <c r="I490" s="194" t="n">
        <v>32.9</v>
      </c>
      <c r="J490" s="194" t="n">
        <v>89.90000000000001</v>
      </c>
      <c r="K490" s="195" t="inlineStr">
        <is>
          <t>3986 GIGADEVICE</t>
        </is>
      </c>
    </row>
    <row r="491">
      <c r="A491" s="32" t="inlineStr">
        <is>
          <t>TCL Industries</t>
        </is>
      </c>
      <c r="B491" s="191" t="n">
        <v>1</v>
      </c>
      <c r="C491" s="193" t="n">
        <v>100</v>
      </c>
      <c r="D491" s="194" t="n">
        <v>37.5</v>
      </c>
      <c r="E491" s="194" t="n">
        <v>88.90000000000001</v>
      </c>
      <c r="F491" s="194" t="n">
        <v>82.7</v>
      </c>
      <c r="G491" s="194" t="n">
        <v>161.1</v>
      </c>
      <c r="H491" s="194" t="n">
        <v>37.3</v>
      </c>
      <c r="I491" s="194" t="n">
        <v>32.9</v>
      </c>
      <c r="J491" s="194" t="n">
        <v>89.90000000000001</v>
      </c>
      <c r="K491" s="195" t="inlineStr">
        <is>
          <t>3986 GIGADEVICE</t>
        </is>
      </c>
    </row>
    <row r="492">
      <c r="A492" s="32" t="inlineStr">
        <is>
          <t>Hengqin Guangdong Macao Deep Cooperation Zone Industrial Investment Fund (Limited Partnership)</t>
        </is>
      </c>
      <c r="B492" s="191" t="n">
        <v>1</v>
      </c>
      <c r="C492" s="193" t="n">
        <v>100</v>
      </c>
      <c r="D492" s="194" t="n">
        <v>36.7</v>
      </c>
      <c r="E492" s="194" t="n">
        <v>98</v>
      </c>
      <c r="F492" s="194" t="n">
        <v>71.8</v>
      </c>
      <c r="G492" s="194" t="n">
        <v>303.2</v>
      </c>
      <c r="H492" s="194" t="n">
        <v>44.8</v>
      </c>
      <c r="I492" s="194" t="n">
        <v>25.7</v>
      </c>
      <c r="J492" s="194" t="n">
        <v>195</v>
      </c>
      <c r="K492" s="195" t="inlineStr">
        <is>
          <t>2587 HEALTHYWAY INC</t>
        </is>
      </c>
    </row>
    <row r="493">
      <c r="A493" s="32" t="inlineStr">
        <is>
          <t>Novo Holdings A / S</t>
        </is>
      </c>
      <c r="B493" s="191" t="n">
        <v>1</v>
      </c>
      <c r="C493" s="193" t="n">
        <v>100</v>
      </c>
      <c r="D493" s="194" t="n">
        <v>35.9</v>
      </c>
      <c r="E493" s="194" t="n">
        <v>40.8</v>
      </c>
      <c r="F493" s="194" t="n">
        <v>51.2</v>
      </c>
      <c r="G493" s="194" t="n">
        <v>-10</v>
      </c>
      <c r="H493" s="194" t="n">
        <v>3.6</v>
      </c>
      <c r="I493" s="194" t="n">
        <v>11.2</v>
      </c>
      <c r="J493" s="194" t="n">
        <v>-33.8</v>
      </c>
      <c r="K493" s="195" t="inlineStr">
        <is>
          <t>2268 WUXI XDC</t>
        </is>
      </c>
    </row>
    <row r="494">
      <c r="A494" s="32" t="inlineStr">
        <is>
          <t>Turing International Limited</t>
        </is>
      </c>
      <c r="B494" s="191" t="n">
        <v>1</v>
      </c>
      <c r="C494" s="193" t="n">
        <v>100</v>
      </c>
      <c r="D494" s="194" t="n">
        <v>33.9</v>
      </c>
      <c r="E494" s="194" t="n">
        <v>13.5</v>
      </c>
      <c r="F494" s="194" t="n">
        <v>14.8</v>
      </c>
      <c r="G494" s="194" t="n">
        <v>19.1</v>
      </c>
      <c r="H494" s="194" t="n">
        <v>-15.2</v>
      </c>
      <c r="I494" s="194" t="n">
        <v>-14.3</v>
      </c>
      <c r="J494" s="194" t="n">
        <v>-11.1</v>
      </c>
      <c r="K494" s="195" t="inlineStr">
        <is>
          <t>6166 CIG</t>
        </is>
      </c>
    </row>
    <row r="495">
      <c r="A495" s="32" t="inlineStr">
        <is>
          <t>Alpine Investment Management Limited</t>
        </is>
      </c>
      <c r="B495" s="191" t="n">
        <v>1</v>
      </c>
      <c r="C495" s="193" t="n">
        <v>100</v>
      </c>
      <c r="D495" s="194" t="n">
        <v>33.9</v>
      </c>
      <c r="E495" s="194" t="n">
        <v>13.5</v>
      </c>
      <c r="F495" s="194" t="n">
        <v>14.8</v>
      </c>
      <c r="G495" s="194" t="n">
        <v>19.1</v>
      </c>
      <c r="H495" s="194" t="n">
        <v>-15.2</v>
      </c>
      <c r="I495" s="194" t="n">
        <v>-14.3</v>
      </c>
      <c r="J495" s="194" t="n">
        <v>-11.1</v>
      </c>
      <c r="K495" s="195" t="inlineStr">
        <is>
          <t>6166 CIG</t>
        </is>
      </c>
    </row>
    <row r="496">
      <c r="A496" s="32" t="inlineStr">
        <is>
          <t>Aqua Ocean Limited</t>
        </is>
      </c>
      <c r="B496" s="191" t="n">
        <v>1</v>
      </c>
      <c r="C496" s="193" t="n">
        <v>100</v>
      </c>
      <c r="D496" s="194" t="n">
        <v>33.9</v>
      </c>
      <c r="E496" s="194" t="n">
        <v>13.5</v>
      </c>
      <c r="F496" s="194" t="n">
        <v>14.8</v>
      </c>
      <c r="G496" s="194" t="n">
        <v>19.1</v>
      </c>
      <c r="H496" s="194" t="n">
        <v>-15.2</v>
      </c>
      <c r="I496" s="194" t="n">
        <v>-14.3</v>
      </c>
      <c r="J496" s="194" t="n">
        <v>-11.1</v>
      </c>
      <c r="K496" s="195" t="inlineStr">
        <is>
          <t>6166 CIG</t>
        </is>
      </c>
    </row>
    <row r="497">
      <c r="A497" s="32" t="inlineStr">
        <is>
          <t>GIMM Holding Limited</t>
        </is>
      </c>
      <c r="B497" s="191" t="n">
        <v>1</v>
      </c>
      <c r="C497" s="193" t="n">
        <v>100</v>
      </c>
      <c r="D497" s="194" t="n">
        <v>33.7</v>
      </c>
      <c r="E497" s="194" t="n">
        <v>0.5</v>
      </c>
      <c r="F497" s="194" t="n">
        <v>16.4</v>
      </c>
      <c r="G497" s="194" t="n">
        <v>-6.5</v>
      </c>
      <c r="H497" s="194" t="n">
        <v>-24.9</v>
      </c>
      <c r="I497" s="194" t="n">
        <v>-13</v>
      </c>
      <c r="J497" s="194" t="n">
        <v>-30.1</v>
      </c>
      <c r="K497" s="195" t="inlineStr">
        <is>
          <t>2508 SAINT BELLA</t>
        </is>
      </c>
    </row>
    <row r="498">
      <c r="A498" s="32" t="inlineStr">
        <is>
          <t>JKKB Limited</t>
        </is>
      </c>
      <c r="B498" s="191" t="n">
        <v>1</v>
      </c>
      <c r="C498" s="193" t="n">
        <v>100</v>
      </c>
      <c r="D498" s="194" t="n">
        <v>33.7</v>
      </c>
      <c r="E498" s="194" t="n">
        <v>0.5</v>
      </c>
      <c r="F498" s="194" t="n">
        <v>16.4</v>
      </c>
      <c r="G498" s="194" t="n">
        <v>-6.5</v>
      </c>
      <c r="H498" s="194" t="n">
        <v>-24.9</v>
      </c>
      <c r="I498" s="194" t="n">
        <v>-13</v>
      </c>
      <c r="J498" s="194" t="n">
        <v>-30.1</v>
      </c>
      <c r="K498" s="195" t="inlineStr">
        <is>
          <t>2508 SAINT BELLA</t>
        </is>
      </c>
    </row>
    <row r="499">
      <c r="A499" s="32" t="inlineStr">
        <is>
          <t>Carl Wu</t>
        </is>
      </c>
      <c r="B499" s="191" t="n">
        <v>1</v>
      </c>
      <c r="C499" s="193" t="n">
        <v>100</v>
      </c>
      <c r="D499" s="194" t="n">
        <v>33.7</v>
      </c>
      <c r="E499" s="194" t="n">
        <v>0.5</v>
      </c>
      <c r="F499" s="194" t="n">
        <v>16.4</v>
      </c>
      <c r="G499" s="194" t="n">
        <v>-6.5</v>
      </c>
      <c r="H499" s="194" t="n">
        <v>-24.9</v>
      </c>
      <c r="I499" s="194" t="n">
        <v>-13</v>
      </c>
      <c r="J499" s="194" t="n">
        <v>-30.1</v>
      </c>
      <c r="K499" s="195" t="inlineStr">
        <is>
          <t>2508 SAINT BELLA</t>
        </is>
      </c>
    </row>
    <row r="500">
      <c r="A500" s="32" t="inlineStr">
        <is>
          <t>SS Morgan Capital Limited</t>
        </is>
      </c>
      <c r="B500" s="191" t="n">
        <v>1</v>
      </c>
      <c r="C500" s="193" t="n">
        <v>100</v>
      </c>
      <c r="D500" s="194" t="n">
        <v>33.7</v>
      </c>
      <c r="E500" s="194" t="n">
        <v>0.5</v>
      </c>
      <c r="F500" s="194" t="n">
        <v>16.4</v>
      </c>
      <c r="G500" s="194" t="n">
        <v>-6.5</v>
      </c>
      <c r="H500" s="194" t="n">
        <v>-24.9</v>
      </c>
      <c r="I500" s="194" t="n">
        <v>-13</v>
      </c>
      <c r="J500" s="194" t="n">
        <v>-30.1</v>
      </c>
      <c r="K500" s="195" t="inlineStr">
        <is>
          <t>2508 SAINT BELLA</t>
        </is>
      </c>
    </row>
    <row r="501">
      <c r="A501" s="32" t="inlineStr">
        <is>
          <t>Minwise Business Consulting Limited</t>
        </is>
      </c>
      <c r="B501" s="191" t="n">
        <v>1</v>
      </c>
      <c r="C501" s="193" t="n">
        <v>100</v>
      </c>
      <c r="D501" s="194" t="n">
        <v>33.7</v>
      </c>
      <c r="E501" s="194" t="n">
        <v>0.5</v>
      </c>
      <c r="F501" s="194" t="n">
        <v>16.4</v>
      </c>
      <c r="G501" s="194" t="n">
        <v>-6.5</v>
      </c>
      <c r="H501" s="194" t="n">
        <v>-24.9</v>
      </c>
      <c r="I501" s="194" t="n">
        <v>-13</v>
      </c>
      <c r="J501" s="194" t="n">
        <v>-30.1</v>
      </c>
      <c r="K501" s="195" t="inlineStr">
        <is>
          <t>2508 SAINT BELLA</t>
        </is>
      </c>
    </row>
    <row r="502">
      <c r="A502" s="32" t="inlineStr">
        <is>
          <t>Wang Qianqing</t>
        </is>
      </c>
      <c r="B502" s="191" t="n">
        <v>1</v>
      </c>
      <c r="C502" s="193" t="n">
        <v>100</v>
      </c>
      <c r="D502" s="194" t="n">
        <v>33.7</v>
      </c>
      <c r="E502" s="194" t="n">
        <v>0.5</v>
      </c>
      <c r="F502" s="194" t="n">
        <v>16.4</v>
      </c>
      <c r="G502" s="194" t="n">
        <v>-6.5</v>
      </c>
      <c r="H502" s="194" t="n">
        <v>-24.9</v>
      </c>
      <c r="I502" s="194" t="n">
        <v>-13</v>
      </c>
      <c r="J502" s="194" t="n">
        <v>-30.1</v>
      </c>
      <c r="K502" s="195" t="inlineStr">
        <is>
          <t>2508 SAINT BELLA</t>
        </is>
      </c>
    </row>
    <row r="503">
      <c r="A503" s="32" t="inlineStr">
        <is>
          <t>Beijing Yuanfeng Asset Management L.L.P</t>
        </is>
      </c>
      <c r="B503" s="191" t="n">
        <v>1</v>
      </c>
      <c r="C503" s="193" t="n">
        <v>100</v>
      </c>
      <c r="D503" s="194" t="n">
        <v>33.6</v>
      </c>
      <c r="E503" s="194" t="n">
        <v>36</v>
      </c>
      <c r="F503" s="194" t="n">
        <v>111.3</v>
      </c>
      <c r="G503" s="194" t="n">
        <v>163.6</v>
      </c>
      <c r="H503" s="194" t="n">
        <v>1.8</v>
      </c>
      <c r="I503" s="194" t="n">
        <v>58.2</v>
      </c>
      <c r="J503" s="194" t="n">
        <v>97.40000000000001</v>
      </c>
      <c r="K503" s="195" t="inlineStr">
        <is>
          <t>1989 DELTON</t>
        </is>
      </c>
    </row>
    <row r="504">
      <c r="A504" s="32" t="inlineStr">
        <is>
          <t>Gigantic Wealth Holdings Limited</t>
        </is>
      </c>
      <c r="B504" s="191" t="n">
        <v>1</v>
      </c>
      <c r="C504" s="193" t="n">
        <v>100</v>
      </c>
      <c r="D504" s="194" t="n">
        <v>33</v>
      </c>
      <c r="E504" s="194" t="n">
        <v>44.3</v>
      </c>
      <c r="F504" s="194" t="n">
        <v>25.5</v>
      </c>
      <c r="G504" s="194" t="n">
        <v>-10.5</v>
      </c>
      <c r="H504" s="194" t="n">
        <v>8.5</v>
      </c>
      <c r="I504" s="194" t="n">
        <v>-5.7</v>
      </c>
      <c r="J504" s="194" t="n">
        <v>-32.7</v>
      </c>
      <c r="K504" s="195" t="inlineStr">
        <is>
          <t>2219 CHAOJU EYE CARE</t>
        </is>
      </c>
    </row>
    <row r="505">
      <c r="A505" s="32" t="inlineStr">
        <is>
          <t>GT Cedar Capital (Hong Kong) Limited</t>
        </is>
      </c>
      <c r="B505" s="191" t="n">
        <v>1</v>
      </c>
      <c r="C505" s="193" t="n">
        <v>100</v>
      </c>
      <c r="D505" s="194" t="n">
        <v>33</v>
      </c>
      <c r="E505" s="194" t="n">
        <v>44.3</v>
      </c>
      <c r="F505" s="194" t="n">
        <v>25.5</v>
      </c>
      <c r="G505" s="194" t="n">
        <v>-10.5</v>
      </c>
      <c r="H505" s="194" t="n">
        <v>8.5</v>
      </c>
      <c r="I505" s="194" t="n">
        <v>-5.7</v>
      </c>
      <c r="J505" s="194" t="n">
        <v>-32.7</v>
      </c>
      <c r="K505" s="195" t="inlineStr">
        <is>
          <t>2219 CHAOJU EYE CARE</t>
        </is>
      </c>
    </row>
    <row r="506">
      <c r="A506" s="32" t="inlineStr">
        <is>
          <t>Investcorp</t>
        </is>
      </c>
      <c r="B506" s="191" t="n">
        <v>1</v>
      </c>
      <c r="C506" s="193" t="n">
        <v>100</v>
      </c>
      <c r="D506" s="194" t="n">
        <v>32.8</v>
      </c>
      <c r="E506" s="194" t="n">
        <v>59.4</v>
      </c>
      <c r="F506" s="194" t="n">
        <v>78.3</v>
      </c>
      <c r="G506" s="194" t="n">
        <v>115.7</v>
      </c>
      <c r="H506" s="194" t="n">
        <v>20.1</v>
      </c>
      <c r="I506" s="194" t="n">
        <v>34.3</v>
      </c>
      <c r="J506" s="194" t="n">
        <v>62.4</v>
      </c>
      <c r="K506" s="195" t="inlineStr">
        <is>
          <t>2788 CHUANGXIN IND</t>
        </is>
      </c>
    </row>
    <row r="507">
      <c r="A507" s="32" t="inlineStr">
        <is>
          <t>Sanshui Venture Capital Co., Limited</t>
        </is>
      </c>
      <c r="B507" s="191" t="n">
        <v>1</v>
      </c>
      <c r="C507" s="193" t="n">
        <v>100</v>
      </c>
      <c r="D507" s="194" t="n">
        <v>31.3</v>
      </c>
      <c r="E507" s="194" t="n">
        <v>20.1</v>
      </c>
      <c r="F507" s="194" t="n">
        <v>24.4</v>
      </c>
      <c r="G507" s="194" t="n">
        <v>20.1</v>
      </c>
      <c r="H507" s="194" t="n">
        <v>-8.6</v>
      </c>
      <c r="I507" s="194" t="n">
        <v>-5.2</v>
      </c>
      <c r="J507" s="194" t="n">
        <v>-8.6</v>
      </c>
      <c r="K507" s="195" t="inlineStr">
        <is>
          <t>6960 SHUANGDENG</t>
        </is>
      </c>
    </row>
    <row r="508">
      <c r="A508" s="32" t="inlineStr">
        <is>
          <t>Tekful Limited</t>
        </is>
      </c>
      <c r="B508" s="191" t="n">
        <v>1</v>
      </c>
      <c r="C508" s="193" t="n">
        <v>100</v>
      </c>
      <c r="D508" s="194" t="n">
        <v>30.9</v>
      </c>
      <c r="E508" s="194" t="n">
        <v>55.5</v>
      </c>
      <c r="F508" s="194" t="n">
        <v>37.7</v>
      </c>
      <c r="G508" s="194" t="n">
        <v>24.9</v>
      </c>
      <c r="H508" s="194" t="n">
        <v>18.8</v>
      </c>
      <c r="I508" s="194" t="n">
        <v>5.2</v>
      </c>
      <c r="J508" s="194" t="n">
        <v>-4.6</v>
      </c>
      <c r="K508" s="195" t="inlineStr">
        <is>
          <t>2675 EDGE MEDICAL-B</t>
        </is>
      </c>
    </row>
    <row r="509">
      <c r="A509" s="32" t="inlineStr">
        <is>
          <t>NOVOTECH SG HOLDINGS PTE. LTD</t>
        </is>
      </c>
      <c r="B509" s="191" t="n">
        <v>1</v>
      </c>
      <c r="C509" s="193" t="n">
        <v>100</v>
      </c>
      <c r="D509" s="194" t="n">
        <v>30</v>
      </c>
      <c r="E509" s="194" t="n">
        <v>75</v>
      </c>
      <c r="F509" s="194" t="n">
        <v>74.7</v>
      </c>
      <c r="G509" s="194" t="n">
        <v>-2.9</v>
      </c>
      <c r="H509" s="194" t="n">
        <v>34.6</v>
      </c>
      <c r="I509" s="194" t="n">
        <v>34.4</v>
      </c>
      <c r="J509" s="194" t="n">
        <v>-25.3</v>
      </c>
      <c r="K509" s="195" t="inlineStr">
        <is>
          <t>2563 BIOSTAR PHARM-B</t>
        </is>
      </c>
    </row>
    <row r="510">
      <c r="A510" s="32" t="inlineStr">
        <is>
          <t>Silkywater Absolute Return LPF</t>
        </is>
      </c>
      <c r="B510" s="191" t="n">
        <v>1</v>
      </c>
      <c r="C510" s="193" t="n">
        <v>100</v>
      </c>
      <c r="D510" s="194" t="n">
        <v>30</v>
      </c>
      <c r="E510" s="194" t="n">
        <v>75</v>
      </c>
      <c r="F510" s="194" t="n">
        <v>74.7</v>
      </c>
      <c r="G510" s="194" t="n">
        <v>-2.9</v>
      </c>
      <c r="H510" s="194" t="n">
        <v>34.6</v>
      </c>
      <c r="I510" s="194" t="n">
        <v>34.4</v>
      </c>
      <c r="J510" s="194" t="n">
        <v>-25.3</v>
      </c>
      <c r="K510" s="195" t="inlineStr">
        <is>
          <t>2563 BIOSTAR PHARM-B</t>
        </is>
      </c>
    </row>
    <row r="511">
      <c r="A511" s="32" t="inlineStr">
        <is>
          <t>Beijing Xunrui Enterprise Management Partnership (Limited Partnership)</t>
        </is>
      </c>
      <c r="B511" s="191" t="n">
        <v>1</v>
      </c>
      <c r="C511" s="193" t="n">
        <v>100</v>
      </c>
      <c r="D511" s="194" t="n">
        <v>28.8</v>
      </c>
      <c r="E511" s="194" t="n">
        <v>25.3</v>
      </c>
      <c r="F511" s="194" t="n">
        <v>44.4</v>
      </c>
      <c r="G511" s="194" t="n">
        <v>87.5</v>
      </c>
      <c r="H511" s="194" t="n">
        <v>-2.7</v>
      </c>
      <c r="I511" s="194" t="n">
        <v>12.2</v>
      </c>
      <c r="J511" s="194" t="n">
        <v>45.7</v>
      </c>
      <c r="K511" s="195" t="inlineStr">
        <is>
          <t>2629 MIRXES-B</t>
        </is>
      </c>
    </row>
    <row r="512">
      <c r="A512" s="32" t="inlineStr">
        <is>
          <t>Evergreen Gate Limited</t>
        </is>
      </c>
      <c r="B512" s="191" t="n">
        <v>1</v>
      </c>
      <c r="C512" s="193" t="n">
        <v>100</v>
      </c>
      <c r="D512" s="194" t="n">
        <v>28.8</v>
      </c>
      <c r="E512" s="194" t="n">
        <v>25.3</v>
      </c>
      <c r="F512" s="194" t="n">
        <v>44.4</v>
      </c>
      <c r="G512" s="194" t="n">
        <v>87.5</v>
      </c>
      <c r="H512" s="194" t="n">
        <v>-2.7</v>
      </c>
      <c r="I512" s="194" t="n">
        <v>12.2</v>
      </c>
      <c r="J512" s="194" t="n">
        <v>45.7</v>
      </c>
      <c r="K512" s="195" t="inlineStr">
        <is>
          <t>2629 MIRXES-B</t>
        </is>
      </c>
    </row>
    <row r="513">
      <c r="A513" s="32" t="inlineStr">
        <is>
          <t>Luo Jinhong</t>
        </is>
      </c>
      <c r="B513" s="191" t="n">
        <v>1</v>
      </c>
      <c r="C513" s="193" t="n">
        <v>100</v>
      </c>
      <c r="D513" s="194" t="n">
        <v>28.4</v>
      </c>
      <c r="E513" s="194" t="n">
        <v>28</v>
      </c>
      <c r="F513" s="194" t="n">
        <v>28.9</v>
      </c>
      <c r="G513" s="194" t="n">
        <v>27.1</v>
      </c>
      <c r="H513" s="194" t="n">
        <v>-0.4</v>
      </c>
      <c r="I513" s="194" t="n">
        <v>0.4</v>
      </c>
      <c r="J513" s="194" t="n">
        <v>-1.1</v>
      </c>
      <c r="K513" s="195" t="inlineStr">
        <is>
          <t>2285 CHERVON</t>
        </is>
      </c>
    </row>
    <row r="514">
      <c r="A514" s="32" t="inlineStr">
        <is>
          <t>Double Joy Ventures Limited</t>
        </is>
      </c>
      <c r="B514" s="191" t="n">
        <v>1</v>
      </c>
      <c r="C514" s="193" t="n">
        <v>100</v>
      </c>
      <c r="D514" s="194" t="n">
        <v>27.6</v>
      </c>
      <c r="E514" s="194" t="n">
        <v>27.9</v>
      </c>
      <c r="F514" s="194" t="n">
        <v>22.5</v>
      </c>
      <c r="G514" s="194" t="n">
        <v>-6.2</v>
      </c>
      <c r="H514" s="194" t="n">
        <v>0.3</v>
      </c>
      <c r="I514" s="194" t="n">
        <v>-4</v>
      </c>
      <c r="J514" s="194" t="n">
        <v>-26.5</v>
      </c>
      <c r="K514" s="195" t="inlineStr">
        <is>
          <t>2162 KEYMED BIO-B</t>
        </is>
      </c>
    </row>
    <row r="515">
      <c r="A515" s="32" t="inlineStr">
        <is>
          <t>New Asia Ferrell Asset Management Limited</t>
        </is>
      </c>
      <c r="B515" s="191" t="n">
        <v>1</v>
      </c>
      <c r="C515" s="193" t="n">
        <v>100</v>
      </c>
      <c r="D515" s="194" t="n">
        <v>26</v>
      </c>
      <c r="E515" s="194" t="n">
        <v>31.3</v>
      </c>
      <c r="F515" s="194" t="n">
        <v>25.5</v>
      </c>
      <c r="G515" s="194" t="n">
        <v>-12.7</v>
      </c>
      <c r="H515" s="194" t="n">
        <v>4.2</v>
      </c>
      <c r="I515" s="194" t="n">
        <v>-0.4</v>
      </c>
      <c r="J515" s="194" t="n">
        <v>-30.7</v>
      </c>
      <c r="K515" s="195" t="inlineStr">
        <is>
          <t>3636 JINXUN RESOURCE</t>
        </is>
      </c>
    </row>
    <row r="516">
      <c r="A516" s="32" t="inlineStr">
        <is>
          <t>Mobilewise Limited</t>
        </is>
      </c>
      <c r="B516" s="191" t="n">
        <v>1</v>
      </c>
      <c r="C516" s="193" t="n">
        <v>100</v>
      </c>
      <c r="D516" s="194" t="n">
        <v>25.9</v>
      </c>
      <c r="E516" s="194" t="n">
        <v>66.09999999999999</v>
      </c>
      <c r="F516" s="194" t="n">
        <v>139.4</v>
      </c>
      <c r="G516" s="194" t="n">
        <v>167.2</v>
      </c>
      <c r="H516" s="194" t="n">
        <v>31.9</v>
      </c>
      <c r="I516" s="194" t="n">
        <v>90.09999999999999</v>
      </c>
      <c r="J516" s="194" t="n">
        <v>112.2</v>
      </c>
      <c r="K516" s="195" t="inlineStr">
        <is>
          <t>1244 3D MEDICINES-B</t>
        </is>
      </c>
    </row>
    <row r="517">
      <c r="A517" s="32" t="inlineStr">
        <is>
          <t>Beijing Shunao</t>
        </is>
      </c>
      <c r="B517" s="191" t="n">
        <v>1</v>
      </c>
      <c r="C517" s="193" t="n">
        <v>100</v>
      </c>
      <c r="D517" s="194" t="n">
        <v>25.9</v>
      </c>
      <c r="E517" s="194" t="n">
        <v>17.7</v>
      </c>
      <c r="F517" s="194" t="n">
        <v>14.5</v>
      </c>
      <c r="G517" s="194" t="n">
        <v>17.1</v>
      </c>
      <c r="H517" s="194" t="n">
        <v>-6.5</v>
      </c>
      <c r="I517" s="194" t="n">
        <v>-9.1</v>
      </c>
      <c r="J517" s="194" t="n">
        <v>-7</v>
      </c>
      <c r="K517" s="195" t="inlineStr">
        <is>
          <t>2698 SOFTCARE</t>
        </is>
      </c>
    </row>
    <row r="518">
      <c r="A518" s="32" t="inlineStr">
        <is>
          <t>NewTrails Capital</t>
        </is>
      </c>
      <c r="B518" s="191" t="n">
        <v>1</v>
      </c>
      <c r="C518" s="193" t="n">
        <v>100</v>
      </c>
      <c r="D518" s="194" t="n">
        <v>25.9</v>
      </c>
      <c r="E518" s="194" t="n">
        <v>17.7</v>
      </c>
      <c r="F518" s="194" t="n">
        <v>14.5</v>
      </c>
      <c r="G518" s="194" t="n">
        <v>17.1</v>
      </c>
      <c r="H518" s="194" t="n">
        <v>-6.5</v>
      </c>
      <c r="I518" s="194" t="n">
        <v>-9.1</v>
      </c>
      <c r="J518" s="194" t="n">
        <v>-7</v>
      </c>
      <c r="K518" s="195" t="inlineStr">
        <is>
          <t>2698 SOFTCARE</t>
        </is>
      </c>
    </row>
    <row r="519">
      <c r="A519" s="32" t="inlineStr">
        <is>
          <t>Charisma Mega</t>
        </is>
      </c>
      <c r="B519" s="191" t="n">
        <v>1</v>
      </c>
      <c r="C519" s="193" t="n">
        <v>100</v>
      </c>
      <c r="D519" s="194" t="n">
        <v>25.9</v>
      </c>
      <c r="E519" s="194" t="n">
        <v>17.7</v>
      </c>
      <c r="F519" s="194" t="n">
        <v>14.5</v>
      </c>
      <c r="G519" s="194" t="n">
        <v>17.1</v>
      </c>
      <c r="H519" s="194" t="n">
        <v>-6.5</v>
      </c>
      <c r="I519" s="194" t="n">
        <v>-9.1</v>
      </c>
      <c r="J519" s="194" t="n">
        <v>-7</v>
      </c>
      <c r="K519" s="195" t="inlineStr">
        <is>
          <t>2698 SOFTCARE</t>
        </is>
      </c>
    </row>
    <row r="520">
      <c r="A520" s="32" t="inlineStr">
        <is>
          <t>Qihui Runjin</t>
        </is>
      </c>
      <c r="B520" s="191" t="n">
        <v>1</v>
      </c>
      <c r="C520" s="193" t="n">
        <v>100</v>
      </c>
      <c r="D520" s="194" t="n">
        <v>25.9</v>
      </c>
      <c r="E520" s="194" t="n">
        <v>17.7</v>
      </c>
      <c r="F520" s="194" t="n">
        <v>14.5</v>
      </c>
      <c r="G520" s="194" t="n">
        <v>17.1</v>
      </c>
      <c r="H520" s="194" t="n">
        <v>-6.5</v>
      </c>
      <c r="I520" s="194" t="n">
        <v>-9.1</v>
      </c>
      <c r="J520" s="194" t="n">
        <v>-7</v>
      </c>
      <c r="K520" s="195" t="inlineStr">
        <is>
          <t>2698 SOFTCARE</t>
        </is>
      </c>
    </row>
    <row r="521">
      <c r="A521" s="32" t="inlineStr">
        <is>
          <t>Cordial Solar Limited</t>
        </is>
      </c>
      <c r="B521" s="191" t="n">
        <v>1</v>
      </c>
      <c r="C521" s="193" t="n">
        <v>100</v>
      </c>
      <c r="D521" s="194" t="n">
        <v>25.2</v>
      </c>
      <c r="E521" s="194" t="n">
        <v>31.7</v>
      </c>
      <c r="F521" s="194" t="n">
        <v>26.8</v>
      </c>
      <c r="G521" s="194" t="n">
        <v>76.5</v>
      </c>
      <c r="H521" s="194" t="n">
        <v>5.2</v>
      </c>
      <c r="I521" s="194" t="n">
        <v>1.3</v>
      </c>
      <c r="J521" s="194" t="n">
        <v>41</v>
      </c>
      <c r="K521" s="195" t="inlineStr">
        <is>
          <t>1276 HENGRUI PHARMA</t>
        </is>
      </c>
    </row>
    <row r="522">
      <c r="A522" s="32" t="inlineStr">
        <is>
          <t>Yongcheng No. 2 Hong Kong Limited</t>
        </is>
      </c>
      <c r="B522" s="191" t="n">
        <v>1</v>
      </c>
      <c r="C522" s="193" t="n">
        <v>100</v>
      </c>
      <c r="D522" s="194" t="n">
        <v>25</v>
      </c>
      <c r="E522" s="194" t="n">
        <v>55.4</v>
      </c>
      <c r="F522" s="194" t="n">
        <v>61.5</v>
      </c>
      <c r="G522" s="194" t="n">
        <v>81.2</v>
      </c>
      <c r="H522" s="194" t="n">
        <v>24.3</v>
      </c>
      <c r="I522" s="194" t="n">
        <v>29.2</v>
      </c>
      <c r="J522" s="194" t="n">
        <v>45</v>
      </c>
      <c r="K522" s="195" t="inlineStr">
        <is>
          <t>6168 ZHOU LIU FU</t>
        </is>
      </c>
    </row>
    <row r="523">
      <c r="A523" s="32" t="inlineStr">
        <is>
          <t>Shenzhen Luohu Investment Holding Co., Ltd</t>
        </is>
      </c>
      <c r="B523" s="191" t="n">
        <v>1</v>
      </c>
      <c r="C523" s="193" t="n">
        <v>100</v>
      </c>
      <c r="D523" s="194" t="n">
        <v>25</v>
      </c>
      <c r="E523" s="194" t="n">
        <v>55.4</v>
      </c>
      <c r="F523" s="194" t="n">
        <v>61.5</v>
      </c>
      <c r="G523" s="194" t="n">
        <v>81.2</v>
      </c>
      <c r="H523" s="194" t="n">
        <v>24.3</v>
      </c>
      <c r="I523" s="194" t="n">
        <v>29.2</v>
      </c>
      <c r="J523" s="194" t="n">
        <v>45</v>
      </c>
      <c r="K523" s="195" t="inlineStr">
        <is>
          <t>6168 ZHOU LIU FU</t>
        </is>
      </c>
    </row>
    <row r="524">
      <c r="A524" s="32" t="inlineStr">
        <is>
          <t>Pimlico Family Office Limited</t>
        </is>
      </c>
      <c r="B524" s="191" t="n">
        <v>1</v>
      </c>
      <c r="C524" s="193" t="n">
        <v>100</v>
      </c>
      <c r="D524" s="194" t="n">
        <v>25</v>
      </c>
      <c r="E524" s="194" t="n">
        <v>55.4</v>
      </c>
      <c r="F524" s="194" t="n">
        <v>61.5</v>
      </c>
      <c r="G524" s="194" t="n">
        <v>81.2</v>
      </c>
      <c r="H524" s="194" t="n">
        <v>24.3</v>
      </c>
      <c r="I524" s="194" t="n">
        <v>29.2</v>
      </c>
      <c r="J524" s="194" t="n">
        <v>45</v>
      </c>
      <c r="K524" s="195" t="inlineStr">
        <is>
          <t>6168 ZHOU LIU FU</t>
        </is>
      </c>
    </row>
    <row r="525">
      <c r="A525" s="32" t="inlineStr">
        <is>
          <t>Lingbao Gold International Company Limited</t>
        </is>
      </c>
      <c r="B525" s="191" t="n">
        <v>1</v>
      </c>
      <c r="C525" s="193" t="n">
        <v>100</v>
      </c>
      <c r="D525" s="194" t="n">
        <v>25</v>
      </c>
      <c r="E525" s="194" t="n">
        <v>55.4</v>
      </c>
      <c r="F525" s="194" t="n">
        <v>61.5</v>
      </c>
      <c r="G525" s="194" t="n">
        <v>81.2</v>
      </c>
      <c r="H525" s="194" t="n">
        <v>24.3</v>
      </c>
      <c r="I525" s="194" t="n">
        <v>29.2</v>
      </c>
      <c r="J525" s="194" t="n">
        <v>45</v>
      </c>
      <c r="K525" s="195" t="inlineStr">
        <is>
          <t>6168 ZHOU LIU FU</t>
        </is>
      </c>
    </row>
    <row r="526">
      <c r="A526" s="32" t="inlineStr">
        <is>
          <t>Lilly</t>
        </is>
      </c>
      <c r="B526" s="191" t="n">
        <v>1</v>
      </c>
      <c r="C526" s="193" t="n">
        <v>100</v>
      </c>
      <c r="D526" s="194" t="n">
        <v>24.7</v>
      </c>
      <c r="E526" s="194" t="n">
        <v>68.40000000000001</v>
      </c>
      <c r="F526" s="194" t="n">
        <v>172.3</v>
      </c>
      <c r="G526" s="194" t="n">
        <v>138.1</v>
      </c>
      <c r="H526" s="194" t="n">
        <v>35.1</v>
      </c>
      <c r="I526" s="194" t="n">
        <v>118.5</v>
      </c>
      <c r="J526" s="194" t="n">
        <v>91</v>
      </c>
      <c r="K526" s="195" t="inlineStr">
        <is>
          <t>3696 INSILICO</t>
        </is>
      </c>
    </row>
    <row r="527">
      <c r="A527" s="32" t="inlineStr">
        <is>
          <t>China AMC</t>
        </is>
      </c>
      <c r="B527" s="191" t="n">
        <v>1</v>
      </c>
      <c r="C527" s="193" t="n">
        <v>100</v>
      </c>
      <c r="D527" s="194" t="n">
        <v>24.7</v>
      </c>
      <c r="E527" s="194" t="n">
        <v>68.40000000000001</v>
      </c>
      <c r="F527" s="194" t="n">
        <v>172.3</v>
      </c>
      <c r="G527" s="194" t="n">
        <v>138.1</v>
      </c>
      <c r="H527" s="194" t="n">
        <v>35.1</v>
      </c>
      <c r="I527" s="194" t="n">
        <v>118.5</v>
      </c>
      <c r="J527" s="194" t="n">
        <v>91</v>
      </c>
      <c r="K527" s="195" t="inlineStr">
        <is>
          <t>3696 INSILICO</t>
        </is>
      </c>
    </row>
    <row r="528">
      <c r="A528" s="32" t="inlineStr">
        <is>
          <t>Blue Lake Capital Opportunity Fund I, L.P</t>
        </is>
      </c>
      <c r="B528" s="191" t="n">
        <v>1</v>
      </c>
      <c r="C528" s="193" t="n">
        <v>100</v>
      </c>
      <c r="D528" s="194" t="n">
        <v>23.9</v>
      </c>
      <c r="E528" s="194" t="n">
        <v>8.5</v>
      </c>
      <c r="F528" s="194" t="n">
        <v>-15.1</v>
      </c>
      <c r="G528" s="194" t="n">
        <v>-6.3</v>
      </c>
      <c r="H528" s="194" t="n">
        <v>-12.4</v>
      </c>
      <c r="I528" s="194" t="n">
        <v>-31.4</v>
      </c>
      <c r="J528" s="194" t="n">
        <v>-24.3</v>
      </c>
      <c r="K528" s="195" t="inlineStr">
        <is>
          <t>6687 JST GROUP</t>
        </is>
      </c>
    </row>
    <row r="529">
      <c r="A529" s="32" t="inlineStr">
        <is>
          <t>GTCS Holdings Limited</t>
        </is>
      </c>
      <c r="B529" s="191" t="n">
        <v>1</v>
      </c>
      <c r="C529" s="193" t="n">
        <v>100</v>
      </c>
      <c r="D529" s="194" t="n">
        <v>23.9</v>
      </c>
      <c r="E529" s="194" t="n">
        <v>8.5</v>
      </c>
      <c r="F529" s="194" t="n">
        <v>-15.1</v>
      </c>
      <c r="G529" s="194" t="n">
        <v>-6.3</v>
      </c>
      <c r="H529" s="194" t="n">
        <v>-12.4</v>
      </c>
      <c r="I529" s="194" t="n">
        <v>-31.4</v>
      </c>
      <c r="J529" s="194" t="n">
        <v>-24.3</v>
      </c>
      <c r="K529" s="195" t="inlineStr">
        <is>
          <t>6687 JST GROUP</t>
        </is>
      </c>
    </row>
    <row r="530">
      <c r="A530" s="32" t="inlineStr">
        <is>
          <t>Blink Field Limited</t>
        </is>
      </c>
      <c r="B530" s="191" t="n">
        <v>1</v>
      </c>
      <c r="C530" s="193" t="n">
        <v>100</v>
      </c>
      <c r="D530" s="194" t="n">
        <v>23.8</v>
      </c>
      <c r="E530" s="194" t="n">
        <v>67.09999999999999</v>
      </c>
      <c r="F530" s="194" t="n">
        <v>34.4</v>
      </c>
      <c r="G530" s="194" t="n">
        <v>102.3</v>
      </c>
      <c r="H530" s="194" t="n">
        <v>35</v>
      </c>
      <c r="I530" s="194" t="n">
        <v>8.6</v>
      </c>
      <c r="J530" s="194" t="n">
        <v>63.5</v>
      </c>
      <c r="K530" s="195" t="inlineStr">
        <is>
          <t>6683 STARPLUS LEGEND</t>
        </is>
      </c>
    </row>
    <row r="531">
      <c r="A531" s="32" t="inlineStr">
        <is>
          <t>NETDRAGON WEBSOFT INC</t>
        </is>
      </c>
      <c r="B531" s="191" t="n">
        <v>1</v>
      </c>
      <c r="C531" s="193" t="n">
        <v>100</v>
      </c>
      <c r="D531" s="194" t="n">
        <v>23.8</v>
      </c>
      <c r="E531" s="194" t="n">
        <v>67.09999999999999</v>
      </c>
      <c r="F531" s="194" t="n">
        <v>34.4</v>
      </c>
      <c r="G531" s="194" t="n">
        <v>102.3</v>
      </c>
      <c r="H531" s="194" t="n">
        <v>35</v>
      </c>
      <c r="I531" s="194" t="n">
        <v>8.6</v>
      </c>
      <c r="J531" s="194" t="n">
        <v>63.5</v>
      </c>
      <c r="K531" s="195" t="inlineStr">
        <is>
          <t>6683 STARPLUS LEGEND</t>
        </is>
      </c>
    </row>
    <row r="532">
      <c r="A532" s="32" t="inlineStr">
        <is>
          <t>Huadong Medicine Investment Holding (Hong Kong) Limited</t>
        </is>
      </c>
      <c r="B532" s="191" t="n">
        <v>1</v>
      </c>
      <c r="C532" s="193" t="n">
        <v>100</v>
      </c>
      <c r="D532" s="194" t="n">
        <v>23.7</v>
      </c>
      <c r="E532" s="194" t="n">
        <v>21</v>
      </c>
      <c r="F532" s="194" t="n">
        <v>20.7</v>
      </c>
      <c r="G532" s="194" t="n">
        <v>39.6</v>
      </c>
      <c r="H532" s="194" t="n">
        <v>-2.2</v>
      </c>
      <c r="I532" s="194" t="n">
        <v>-2.5</v>
      </c>
      <c r="J532" s="194" t="n">
        <v>12.9</v>
      </c>
      <c r="K532" s="195" t="inlineStr">
        <is>
          <t>2509 QYUNS-B</t>
        </is>
      </c>
    </row>
    <row r="533">
      <c r="A533" s="32" t="inlineStr">
        <is>
          <t>Beevest Capital Limited</t>
        </is>
      </c>
      <c r="B533" s="191" t="n">
        <v>1</v>
      </c>
      <c r="C533" s="193" t="n">
        <v>100</v>
      </c>
      <c r="D533" s="194" t="n">
        <v>23.7</v>
      </c>
      <c r="E533" s="194" t="n">
        <v>21</v>
      </c>
      <c r="F533" s="194" t="n">
        <v>20.7</v>
      </c>
      <c r="G533" s="194" t="n">
        <v>39.6</v>
      </c>
      <c r="H533" s="194" t="n">
        <v>-2.2</v>
      </c>
      <c r="I533" s="194" t="n">
        <v>-2.5</v>
      </c>
      <c r="J533" s="194" t="n">
        <v>12.9</v>
      </c>
      <c r="K533" s="195" t="inlineStr">
        <is>
          <t>2509 QYUNS-B</t>
        </is>
      </c>
    </row>
    <row r="534">
      <c r="A534" s="32" t="inlineStr">
        <is>
          <t>JianXin Medical Technology Limited</t>
        </is>
      </c>
      <c r="B534" s="191" t="n">
        <v>1</v>
      </c>
      <c r="C534" s="193" t="n">
        <v>100</v>
      </c>
      <c r="D534" s="194" t="n">
        <v>23.7</v>
      </c>
      <c r="E534" s="194" t="n">
        <v>21</v>
      </c>
      <c r="F534" s="194" t="n">
        <v>20.7</v>
      </c>
      <c r="G534" s="194" t="n">
        <v>39.6</v>
      </c>
      <c r="H534" s="194" t="n">
        <v>-2.2</v>
      </c>
      <c r="I534" s="194" t="n">
        <v>-2.5</v>
      </c>
      <c r="J534" s="194" t="n">
        <v>12.9</v>
      </c>
      <c r="K534" s="195" t="inlineStr">
        <is>
          <t>2509 QYUNS-B</t>
        </is>
      </c>
    </row>
    <row r="535">
      <c r="A535" s="32" t="inlineStr">
        <is>
          <t>Xinmin Tianshi Agricultural Industry Development Company Limited</t>
        </is>
      </c>
      <c r="B535" s="191" t="n">
        <v>1</v>
      </c>
      <c r="C535" s="193" t="n">
        <v>100</v>
      </c>
      <c r="D535" s="194" t="n">
        <v>22.7</v>
      </c>
      <c r="E535" s="194" t="n">
        <v>60.8</v>
      </c>
      <c r="F535" s="194" t="n">
        <v>61.5</v>
      </c>
      <c r="G535" s="194" t="n">
        <v>68.3</v>
      </c>
      <c r="H535" s="194" t="n">
        <v>31.1</v>
      </c>
      <c r="I535" s="194" t="n">
        <v>31.6</v>
      </c>
      <c r="J535" s="194" t="n">
        <v>37.2</v>
      </c>
      <c r="K535" s="195" t="inlineStr">
        <is>
          <t>9676 SHIYUE DAOTIAN</t>
        </is>
      </c>
    </row>
    <row r="536">
      <c r="A536" s="32" t="inlineStr">
        <is>
          <t>Bona Star Consultant Limited</t>
        </is>
      </c>
      <c r="B536" s="191" t="n">
        <v>1</v>
      </c>
      <c r="C536" s="193" t="n">
        <v>100</v>
      </c>
      <c r="D536" s="194" t="n">
        <v>22.5</v>
      </c>
      <c r="E536" s="194" t="n">
        <v>10.2</v>
      </c>
      <c r="F536" s="194" t="n">
        <v>-12.2</v>
      </c>
      <c r="G536" s="194" t="n">
        <v>-12.3</v>
      </c>
      <c r="H536" s="194" t="n">
        <v>-10</v>
      </c>
      <c r="I536" s="194" t="n">
        <v>-28.4</v>
      </c>
      <c r="J536" s="194" t="n">
        <v>-28.4</v>
      </c>
      <c r="K536" s="195" t="inlineStr">
        <is>
          <t>6067 SENIOR MATERIAL</t>
        </is>
      </c>
    </row>
    <row r="537">
      <c r="A537" s="32" t="inlineStr">
        <is>
          <t>JINKOSOLAR INVESTMENT LIMITED</t>
        </is>
      </c>
      <c r="B537" s="191" t="n">
        <v>1</v>
      </c>
      <c r="C537" s="193" t="n">
        <v>100</v>
      </c>
      <c r="D537" s="194" t="n">
        <v>22.5</v>
      </c>
      <c r="E537" s="194" t="n">
        <v>10.2</v>
      </c>
      <c r="F537" s="194" t="n">
        <v>-12.2</v>
      </c>
      <c r="G537" s="194" t="n">
        <v>-12.3</v>
      </c>
      <c r="H537" s="194" t="n">
        <v>-10</v>
      </c>
      <c r="I537" s="194" t="n">
        <v>-28.4</v>
      </c>
      <c r="J537" s="194" t="n">
        <v>-28.4</v>
      </c>
      <c r="K537" s="195" t="inlineStr">
        <is>
          <t>6067 SENIOR MATERIAL</t>
        </is>
      </c>
    </row>
    <row r="538">
      <c r="A538" s="32" t="inlineStr">
        <is>
          <t>Mondeomax Limited</t>
        </is>
      </c>
      <c r="B538" s="191" t="n">
        <v>1</v>
      </c>
      <c r="C538" s="193" t="n">
        <v>100</v>
      </c>
      <c r="D538" s="194" t="n">
        <v>22.5</v>
      </c>
      <c r="E538" s="194" t="n">
        <v>10.2</v>
      </c>
      <c r="F538" s="194" t="n">
        <v>-12.2</v>
      </c>
      <c r="G538" s="194" t="n">
        <v>-12.3</v>
      </c>
      <c r="H538" s="194" t="n">
        <v>-10</v>
      </c>
      <c r="I538" s="194" t="n">
        <v>-28.4</v>
      </c>
      <c r="J538" s="194" t="n">
        <v>-28.4</v>
      </c>
      <c r="K538" s="195" t="inlineStr">
        <is>
          <t>6067 SENIOR MATERIAL</t>
        </is>
      </c>
    </row>
    <row r="539">
      <c r="A539" s="32" t="inlineStr">
        <is>
          <t>SHEEN NATION HOLDINGS LIMITED</t>
        </is>
      </c>
      <c r="B539" s="191" t="n">
        <v>1</v>
      </c>
      <c r="C539" s="193" t="n">
        <v>100</v>
      </c>
      <c r="D539" s="194" t="n">
        <v>22.5</v>
      </c>
      <c r="E539" s="194" t="n">
        <v>10.2</v>
      </c>
      <c r="F539" s="194" t="n">
        <v>-12.2</v>
      </c>
      <c r="G539" s="194" t="n">
        <v>-12.3</v>
      </c>
      <c r="H539" s="194" t="n">
        <v>-10</v>
      </c>
      <c r="I539" s="194" t="n">
        <v>-28.4</v>
      </c>
      <c r="J539" s="194" t="n">
        <v>-28.4</v>
      </c>
      <c r="K539" s="195" t="inlineStr">
        <is>
          <t>6067 SENIOR MATERIAL</t>
        </is>
      </c>
    </row>
    <row r="540">
      <c r="A540" s="32" t="inlineStr">
        <is>
          <t>SINSANWA HOLDINGS (H.K.) CO., LIMITED</t>
        </is>
      </c>
      <c r="B540" s="191" t="n">
        <v>1</v>
      </c>
      <c r="C540" s="193" t="n">
        <v>100</v>
      </c>
      <c r="D540" s="194" t="n">
        <v>22.5</v>
      </c>
      <c r="E540" s="194" t="n">
        <v>10.2</v>
      </c>
      <c r="F540" s="194" t="n">
        <v>-12.2</v>
      </c>
      <c r="G540" s="194" t="n">
        <v>-12.3</v>
      </c>
      <c r="H540" s="194" t="n">
        <v>-10</v>
      </c>
      <c r="I540" s="194" t="n">
        <v>-28.4</v>
      </c>
      <c r="J540" s="194" t="n">
        <v>-28.4</v>
      </c>
      <c r="K540" s="195" t="inlineStr">
        <is>
          <t>6067 SENIOR MATERIAL</t>
        </is>
      </c>
    </row>
    <row r="541">
      <c r="A541" s="32" t="inlineStr">
        <is>
          <t>Coast Flagship Investment SPC</t>
        </is>
      </c>
      <c r="B541" s="191" t="n">
        <v>1</v>
      </c>
      <c r="C541" s="193" t="n">
        <v>100</v>
      </c>
      <c r="D541" s="194" t="n">
        <v>21.9</v>
      </c>
      <c r="E541" s="194" t="n">
        <v>10.6</v>
      </c>
      <c r="F541" s="194" t="n">
        <v>8.1</v>
      </c>
      <c r="G541" s="194" t="n">
        <v>21.1</v>
      </c>
      <c r="H541" s="194" t="n">
        <v>-9.300000000000001</v>
      </c>
      <c r="I541" s="194" t="n">
        <v>-11.3</v>
      </c>
      <c r="J541" s="194" t="n">
        <v>-0.7</v>
      </c>
      <c r="K541" s="195" t="inlineStr">
        <is>
          <t>1490 CHESHI</t>
        </is>
      </c>
    </row>
    <row r="542">
      <c r="A542" s="32" t="inlineStr">
        <is>
          <t>Shimmering Skyline L.P</t>
        </is>
      </c>
      <c r="B542" s="191" t="n">
        <v>1</v>
      </c>
      <c r="C542" s="193" t="n">
        <v>100</v>
      </c>
      <c r="D542" s="194" t="n">
        <v>21.9</v>
      </c>
      <c r="E542" s="194" t="n">
        <v>10.6</v>
      </c>
      <c r="F542" s="194" t="n">
        <v>8.1</v>
      </c>
      <c r="G542" s="194" t="n">
        <v>21.1</v>
      </c>
      <c r="H542" s="194" t="n">
        <v>-9.300000000000001</v>
      </c>
      <c r="I542" s="194" t="n">
        <v>-11.3</v>
      </c>
      <c r="J542" s="194" t="n">
        <v>-0.7</v>
      </c>
      <c r="K542" s="195" t="inlineStr">
        <is>
          <t>1490 CHESHI</t>
        </is>
      </c>
    </row>
    <row r="543">
      <c r="A543" s="32" t="inlineStr">
        <is>
          <t>He Win Hong Kong Holdings Co., Limited</t>
        </is>
      </c>
      <c r="B543" s="191" t="n">
        <v>1</v>
      </c>
      <c r="C543" s="193" t="n">
        <v>100</v>
      </c>
      <c r="D543" s="194" t="n">
        <v>21.4</v>
      </c>
      <c r="E543" s="194" t="n">
        <v>-16.8</v>
      </c>
      <c r="F543" s="194" t="n">
        <v>-34.6</v>
      </c>
      <c r="G543" s="194" t="n">
        <v>-34.9</v>
      </c>
      <c r="H543" s="194" t="n">
        <v>-31.5</v>
      </c>
      <c r="I543" s="194" t="n">
        <v>-46.1</v>
      </c>
      <c r="J543" s="194" t="n">
        <v>-46.4</v>
      </c>
      <c r="K543" s="195" t="inlineStr">
        <is>
          <t>2573 NEWTREND GROUP</t>
        </is>
      </c>
    </row>
    <row r="544">
      <c r="A544" s="32" t="inlineStr">
        <is>
          <t>Apex Insight Investment L.P</t>
        </is>
      </c>
      <c r="B544" s="191" t="n">
        <v>1</v>
      </c>
      <c r="C544" s="193" t="n">
        <v>100</v>
      </c>
      <c r="D544" s="194" t="n">
        <v>21.3</v>
      </c>
      <c r="E544" s="194" t="n">
        <v>11.2</v>
      </c>
      <c r="F544" s="194" t="n">
        <v>38.7</v>
      </c>
      <c r="G544" s="194" t="n">
        <v>25.4</v>
      </c>
      <c r="H544" s="194" t="n">
        <v>-8.300000000000001</v>
      </c>
      <c r="I544" s="194" t="n">
        <v>14.4</v>
      </c>
      <c r="J544" s="194" t="n">
        <v>3.4</v>
      </c>
      <c r="K544" s="195" t="inlineStr">
        <is>
          <t>3388 CREALITY</t>
        </is>
      </c>
    </row>
    <row r="545">
      <c r="A545" s="32" t="inlineStr">
        <is>
          <t>Dingxin (Securities) Limited</t>
        </is>
      </c>
      <c r="B545" s="191" t="n">
        <v>1</v>
      </c>
      <c r="C545" s="193" t="n">
        <v>100</v>
      </c>
      <c r="D545" s="194" t="n">
        <v>21.3</v>
      </c>
      <c r="E545" s="194" t="n">
        <v>11.2</v>
      </c>
      <c r="F545" s="194" t="n">
        <v>38.7</v>
      </c>
      <c r="G545" s="194" t="n">
        <v>25.4</v>
      </c>
      <c r="H545" s="194" t="n">
        <v>-8.300000000000001</v>
      </c>
      <c r="I545" s="194" t="n">
        <v>14.4</v>
      </c>
      <c r="J545" s="194" t="n">
        <v>3.4</v>
      </c>
      <c r="K545" s="195" t="inlineStr">
        <is>
          <t>3388 CREALITY</t>
        </is>
      </c>
    </row>
    <row r="546">
      <c r="A546" s="32" t="inlineStr">
        <is>
          <t>Colloway Group Limited</t>
        </is>
      </c>
      <c r="B546" s="191" t="n">
        <v>1</v>
      </c>
      <c r="C546" s="193" t="n">
        <v>100</v>
      </c>
      <c r="D546" s="194" t="n">
        <v>21.3</v>
      </c>
      <c r="E546" s="194" t="n">
        <v>11.2</v>
      </c>
      <c r="F546" s="194" t="n">
        <v>38.7</v>
      </c>
      <c r="G546" s="194" t="n">
        <v>25.4</v>
      </c>
      <c r="H546" s="194" t="n">
        <v>-8.300000000000001</v>
      </c>
      <c r="I546" s="194" t="n">
        <v>14.4</v>
      </c>
      <c r="J546" s="194" t="n">
        <v>3.4</v>
      </c>
      <c r="K546" s="195" t="inlineStr">
        <is>
          <t>3388 CREALITY</t>
        </is>
      </c>
    </row>
    <row r="547">
      <c r="A547" s="32" t="inlineStr">
        <is>
          <t>Future Industry Investment Fund II</t>
        </is>
      </c>
      <c r="B547" s="191" t="n">
        <v>1</v>
      </c>
      <c r="C547" s="193" t="n">
        <v>100</v>
      </c>
      <c r="D547" s="194" t="n">
        <v>20.9</v>
      </c>
      <c r="E547" s="194" t="n">
        <v>22.3</v>
      </c>
      <c r="F547" s="194" t="n">
        <v>16.5</v>
      </c>
      <c r="G547" s="194" t="n">
        <v>10.4</v>
      </c>
      <c r="H547" s="194" t="n">
        <v>1.2</v>
      </c>
      <c r="I547" s="194" t="n">
        <v>-3.6</v>
      </c>
      <c r="J547" s="194" t="n">
        <v>-8.699999999999999</v>
      </c>
      <c r="K547" s="195" t="inlineStr">
        <is>
          <t>2105 LAEKNA-B</t>
        </is>
      </c>
    </row>
    <row r="548">
      <c r="A548" s="32" t="inlineStr">
        <is>
          <t>Yuyao Yangming Equity Investment Fund Co., Ltd</t>
        </is>
      </c>
      <c r="B548" s="191" t="n">
        <v>1</v>
      </c>
      <c r="C548" s="193" t="n">
        <v>100</v>
      </c>
      <c r="D548" s="194" t="n">
        <v>20.9</v>
      </c>
      <c r="E548" s="194" t="n">
        <v>22.3</v>
      </c>
      <c r="F548" s="194" t="n">
        <v>16.5</v>
      </c>
      <c r="G548" s="194" t="n">
        <v>10.4</v>
      </c>
      <c r="H548" s="194" t="n">
        <v>1.2</v>
      </c>
      <c r="I548" s="194" t="n">
        <v>-3.6</v>
      </c>
      <c r="J548" s="194" t="n">
        <v>-8.699999999999999</v>
      </c>
      <c r="K548" s="195" t="inlineStr">
        <is>
          <t>2105 LAEKNA-B</t>
        </is>
      </c>
    </row>
    <row r="549">
      <c r="A549" s="32" t="inlineStr">
        <is>
          <t>Modern Direct Investment New Energy Technology Co., Limited</t>
        </is>
      </c>
      <c r="B549" s="191" t="n">
        <v>1</v>
      </c>
      <c r="C549" s="193" t="n">
        <v>100</v>
      </c>
      <c r="D549" s="194" t="n">
        <v>20.1</v>
      </c>
      <c r="E549" s="194" t="n">
        <v>3.6</v>
      </c>
      <c r="F549" s="194" t="n">
        <v>8.1</v>
      </c>
      <c r="G549" s="194" t="n">
        <v>-2.5</v>
      </c>
      <c r="H549" s="194" t="n">
        <v>-13.7</v>
      </c>
      <c r="I549" s="194" t="n">
        <v>-10</v>
      </c>
      <c r="J549" s="194" t="n">
        <v>-18.8</v>
      </c>
      <c r="K549" s="195" t="inlineStr">
        <is>
          <t>2865 DRINDA</t>
        </is>
      </c>
    </row>
    <row r="550">
      <c r="A550" s="32" t="inlineStr">
        <is>
          <t>Zhuhai Gokin New Energy Investment Co., Ltd</t>
        </is>
      </c>
      <c r="B550" s="191" t="n">
        <v>1</v>
      </c>
      <c r="C550" s="193" t="n">
        <v>100</v>
      </c>
      <c r="D550" s="194" t="n">
        <v>20.1</v>
      </c>
      <c r="E550" s="194" t="n">
        <v>3.6</v>
      </c>
      <c r="F550" s="194" t="n">
        <v>8.1</v>
      </c>
      <c r="G550" s="194" t="n">
        <v>-2.5</v>
      </c>
      <c r="H550" s="194" t="n">
        <v>-13.7</v>
      </c>
      <c r="I550" s="194" t="n">
        <v>-10</v>
      </c>
      <c r="J550" s="194" t="n">
        <v>-18.8</v>
      </c>
      <c r="K550" s="195" t="inlineStr">
        <is>
          <t>2865 DRINDA</t>
        </is>
      </c>
    </row>
    <row r="551">
      <c r="A551" s="32" t="inlineStr">
        <is>
          <t>Zhixin Qingzhuang</t>
        </is>
      </c>
      <c r="B551" s="191" t="n">
        <v>1</v>
      </c>
      <c r="C551" s="193" t="n">
        <v>100</v>
      </c>
      <c r="D551" s="194" t="n">
        <v>20</v>
      </c>
      <c r="E551" s="194" t="n">
        <v>48.5</v>
      </c>
      <c r="F551" s="194" t="n">
        <v>69.8</v>
      </c>
      <c r="G551" s="194" t="n">
        <v>132.2</v>
      </c>
      <c r="H551" s="194" t="n">
        <v>23.8</v>
      </c>
      <c r="I551" s="194" t="n">
        <v>41.5</v>
      </c>
      <c r="J551" s="194" t="n">
        <v>93.5</v>
      </c>
      <c r="K551" s="195" t="inlineStr">
        <is>
          <t>2582 GUOFUHEE</t>
        </is>
      </c>
    </row>
    <row r="552">
      <c r="A552" s="32" t="inlineStr">
        <is>
          <t>VH Nanchang Donghu Asset</t>
        </is>
      </c>
      <c r="B552" s="191" t="n">
        <v>1</v>
      </c>
      <c r="C552" s="193" t="n">
        <v>100</v>
      </c>
      <c r="D552" s="194" t="n">
        <v>18.5</v>
      </c>
      <c r="E552" s="194" t="n">
        <v>40</v>
      </c>
      <c r="F552" s="194" t="n">
        <v>90.2</v>
      </c>
      <c r="G552" s="194" t="n">
        <v>125.3</v>
      </c>
      <c r="H552" s="194" t="n">
        <v>18.2</v>
      </c>
      <c r="I552" s="194" t="n">
        <v>60.6</v>
      </c>
      <c r="J552" s="194" t="n">
        <v>90.2</v>
      </c>
      <c r="K552" s="195" t="inlineStr">
        <is>
          <t>2556 MARKETINGFORCE</t>
        </is>
      </c>
    </row>
    <row r="553">
      <c r="A553" s="32" t="inlineStr">
        <is>
          <t>Capital LPF</t>
        </is>
      </c>
      <c r="B553" s="191" t="n">
        <v>1</v>
      </c>
      <c r="C553" s="193" t="n">
        <v>100</v>
      </c>
      <c r="D553" s="194" t="n">
        <v>18.5</v>
      </c>
      <c r="E553" s="194" t="n">
        <v>40</v>
      </c>
      <c r="F553" s="194" t="n">
        <v>90.2</v>
      </c>
      <c r="G553" s="194" t="n">
        <v>125.3</v>
      </c>
      <c r="H553" s="194" t="n">
        <v>18.2</v>
      </c>
      <c r="I553" s="194" t="n">
        <v>60.6</v>
      </c>
      <c r="J553" s="194" t="n">
        <v>90.2</v>
      </c>
      <c r="K553" s="195" t="inlineStr">
        <is>
          <t>2556 MARKETINGFORCE</t>
        </is>
      </c>
    </row>
    <row r="554">
      <c r="A554" s="32" t="inlineStr">
        <is>
          <t>Sinopec HK</t>
        </is>
      </c>
      <c r="B554" s="191" t="n">
        <v>1</v>
      </c>
      <c r="C554" s="193" t="n">
        <v>100</v>
      </c>
      <c r="D554" s="194" t="n">
        <v>16.4</v>
      </c>
      <c r="E554" s="194" t="n">
        <v>17.5</v>
      </c>
      <c r="F554" s="194" t="n">
        <v>16.5</v>
      </c>
      <c r="G554" s="194" t="n">
        <v>57.4</v>
      </c>
      <c r="H554" s="194" t="n">
        <v>0.9</v>
      </c>
      <c r="I554" s="194" t="n">
        <v>0.1</v>
      </c>
      <c r="J554" s="194" t="n">
        <v>35.2</v>
      </c>
      <c r="K554" s="195" t="inlineStr">
        <is>
          <t>3750 CATL</t>
        </is>
      </c>
    </row>
    <row r="555">
      <c r="A555" s="32" t="inlineStr">
        <is>
          <t>16 2025 KIA</t>
        </is>
      </c>
      <c r="B555" s="191" t="n">
        <v>1</v>
      </c>
      <c r="C555" s="193" t="n">
        <v>100</v>
      </c>
      <c r="D555" s="194" t="n">
        <v>16.4</v>
      </c>
      <c r="E555" s="194" t="n">
        <v>17.5</v>
      </c>
      <c r="F555" s="194" t="n">
        <v>16.5</v>
      </c>
      <c r="G555" s="194" t="n">
        <v>57.4</v>
      </c>
      <c r="H555" s="194" t="n">
        <v>0.9</v>
      </c>
      <c r="I555" s="194" t="n">
        <v>0.1</v>
      </c>
      <c r="J555" s="194" t="n">
        <v>35.2</v>
      </c>
      <c r="K555" s="195" t="inlineStr">
        <is>
          <t>3750 CATL</t>
        </is>
      </c>
    </row>
    <row r="556">
      <c r="A556" s="32" t="inlineStr">
        <is>
          <t>November 19, 2025 HHLR CF, L.P</t>
        </is>
      </c>
      <c r="B556" s="191" t="n">
        <v>1</v>
      </c>
      <c r="C556" s="193" t="n">
        <v>100</v>
      </c>
      <c r="D556" s="194" t="n">
        <v>16.4</v>
      </c>
      <c r="E556" s="194" t="n">
        <v>17.5</v>
      </c>
      <c r="F556" s="194" t="n">
        <v>16.5</v>
      </c>
      <c r="G556" s="194" t="n">
        <v>57.4</v>
      </c>
      <c r="H556" s="194" t="n">
        <v>0.9</v>
      </c>
      <c r="I556" s="194" t="n">
        <v>0.1</v>
      </c>
      <c r="J556" s="194" t="n">
        <v>35.2</v>
      </c>
      <c r="K556" s="195" t="inlineStr">
        <is>
          <t>3750 CATL</t>
        </is>
      </c>
    </row>
    <row r="557">
      <c r="A557" s="32" t="inlineStr">
        <is>
          <t>17 Asset Management (Asia) Limited 2025 CPIC Investors</t>
        </is>
      </c>
      <c r="B557" s="191" t="n">
        <v>1</v>
      </c>
      <c r="C557" s="193" t="n">
        <v>100</v>
      </c>
      <c r="D557" s="194" t="n">
        <v>16.4</v>
      </c>
      <c r="E557" s="194" t="n">
        <v>17.5</v>
      </c>
      <c r="F557" s="194" t="n">
        <v>16.5</v>
      </c>
      <c r="G557" s="194" t="n">
        <v>57.4</v>
      </c>
      <c r="H557" s="194" t="n">
        <v>0.9</v>
      </c>
      <c r="I557" s="194" t="n">
        <v>0.1</v>
      </c>
      <c r="J557" s="194" t="n">
        <v>35.2</v>
      </c>
      <c r="K557" s="195" t="inlineStr">
        <is>
          <t>3750 CATL</t>
        </is>
      </c>
    </row>
    <row r="558">
      <c r="A558" s="32" t="inlineStr">
        <is>
          <t>Formosa Opportunity Limited</t>
        </is>
      </c>
      <c r="B558" s="191" t="n">
        <v>1</v>
      </c>
      <c r="C558" s="193" t="n">
        <v>100</v>
      </c>
      <c r="D558" s="194" t="n">
        <v>16.2</v>
      </c>
      <c r="E558" s="194" t="n">
        <v>11.2</v>
      </c>
      <c r="F558" s="194" t="n">
        <v>-0.1</v>
      </c>
      <c r="G558" s="194" t="n">
        <v>-25.1</v>
      </c>
      <c r="H558" s="194" t="n">
        <v>-4.3</v>
      </c>
      <c r="I558" s="194" t="n">
        <v>-14</v>
      </c>
      <c r="J558" s="194" t="n">
        <v>-35.5</v>
      </c>
      <c r="K558" s="195" t="inlineStr">
        <is>
          <t>0501 OMNIVISION</t>
        </is>
      </c>
    </row>
    <row r="559">
      <c r="A559" s="32" t="inlineStr">
        <is>
          <t>Pudong Science and Technology (Cayman) Co., Ltd</t>
        </is>
      </c>
      <c r="B559" s="191" t="n">
        <v>1</v>
      </c>
      <c r="C559" s="193" t="n">
        <v>100</v>
      </c>
      <c r="D559" s="194" t="n">
        <v>16.2</v>
      </c>
      <c r="E559" s="194" t="n">
        <v>11.2</v>
      </c>
      <c r="F559" s="194" t="n">
        <v>-0.1</v>
      </c>
      <c r="G559" s="194" t="n">
        <v>-25.1</v>
      </c>
      <c r="H559" s="194" t="n">
        <v>-4.3</v>
      </c>
      <c r="I559" s="194" t="n">
        <v>-14</v>
      </c>
      <c r="J559" s="194" t="n">
        <v>-35.5</v>
      </c>
      <c r="K559" s="195" t="inlineStr">
        <is>
          <t>0501 OMNIVISION</t>
        </is>
      </c>
    </row>
    <row r="560">
      <c r="A560" s="32" t="inlineStr">
        <is>
          <t>Torus</t>
        </is>
      </c>
      <c r="B560" s="191" t="n">
        <v>1</v>
      </c>
      <c r="C560" s="193" t="n">
        <v>100</v>
      </c>
      <c r="D560" s="194" t="n">
        <v>16</v>
      </c>
      <c r="E560" s="194" t="n">
        <v>25.8</v>
      </c>
      <c r="F560" s="194" t="n">
        <v>30.9</v>
      </c>
      <c r="G560" s="194" t="n">
        <v>65.09999999999999</v>
      </c>
      <c r="H560" s="194" t="n">
        <v>8.4</v>
      </c>
      <c r="I560" s="194" t="n">
        <v>12.8</v>
      </c>
      <c r="J560" s="194" t="n">
        <v>42.3</v>
      </c>
      <c r="K560" s="195" t="inlineStr">
        <is>
          <t>1304 FORTIOR</t>
        </is>
      </c>
    </row>
    <row r="561">
      <c r="A561" s="32" t="inlineStr">
        <is>
          <t>Intac</t>
        </is>
      </c>
      <c r="B561" s="191" t="n">
        <v>1</v>
      </c>
      <c r="C561" s="193" t="n">
        <v>100</v>
      </c>
      <c r="D561" s="194" t="n">
        <v>16</v>
      </c>
      <c r="E561" s="194" t="n">
        <v>25.8</v>
      </c>
      <c r="F561" s="194" t="n">
        <v>30.9</v>
      </c>
      <c r="G561" s="194" t="n">
        <v>65.09999999999999</v>
      </c>
      <c r="H561" s="194" t="n">
        <v>8.4</v>
      </c>
      <c r="I561" s="194" t="n">
        <v>12.8</v>
      </c>
      <c r="J561" s="194" t="n">
        <v>42.3</v>
      </c>
      <c r="K561" s="195" t="inlineStr">
        <is>
          <t>1304 FORTIOR</t>
        </is>
      </c>
    </row>
    <row r="562">
      <c r="A562" s="32" t="inlineStr">
        <is>
          <t>Principal Asset Management Company (Asia) Limited</t>
        </is>
      </c>
      <c r="B562" s="191" t="n">
        <v>1</v>
      </c>
      <c r="C562" s="193" t="n">
        <v>100</v>
      </c>
      <c r="D562" s="194" t="n">
        <v>15.7</v>
      </c>
      <c r="E562" s="194" t="n">
        <v>1.3</v>
      </c>
      <c r="F562" s="194" t="n">
        <v>10.6</v>
      </c>
      <c r="G562" s="194" t="n">
        <v>19.9</v>
      </c>
      <c r="H562" s="194" t="n">
        <v>-12.4</v>
      </c>
      <c r="I562" s="194" t="n">
        <v>-4.4</v>
      </c>
      <c r="J562" s="194" t="n">
        <v>3.7</v>
      </c>
      <c r="K562" s="195" t="inlineStr">
        <is>
          <t>0668 ANKER</t>
        </is>
      </c>
    </row>
    <row r="563">
      <c r="A563" s="32" t="inlineStr">
        <is>
          <t>Beijing Financial Street Capital Operation Group Co., Ltd.ፄ൑༟͉༶ᐄ ʮ̡</t>
        </is>
      </c>
      <c r="B563" s="191" t="n">
        <v>1</v>
      </c>
      <c r="C563" s="193" t="n">
        <v>100</v>
      </c>
      <c r="D563" s="194" t="n">
        <v>15.2</v>
      </c>
      <c r="E563" s="194" t="n">
        <v>28.6</v>
      </c>
      <c r="F563" s="194" t="n">
        <v>89</v>
      </c>
      <c r="G563" s="196" t="n"/>
      <c r="H563" s="194" t="n">
        <v>11.7</v>
      </c>
      <c r="I563" s="194" t="n">
        <v>64</v>
      </c>
      <c r="J563" s="196" t="n"/>
      <c r="K563" s="195" t="inlineStr">
        <is>
          <t>3752 ROKAE ROBOTICS</t>
        </is>
      </c>
    </row>
    <row r="564">
      <c r="A564" s="32" t="inlineStr">
        <is>
          <t>All View Focus Fund LPF</t>
        </is>
      </c>
      <c r="B564" s="191" t="n">
        <v>1</v>
      </c>
      <c r="C564" s="193" t="n">
        <v>100</v>
      </c>
      <c r="D564" s="194" t="n">
        <v>15.2</v>
      </c>
      <c r="E564" s="194" t="n">
        <v>28.6</v>
      </c>
      <c r="F564" s="194" t="n">
        <v>89</v>
      </c>
      <c r="G564" s="196" t="n"/>
      <c r="H564" s="194" t="n">
        <v>11.7</v>
      </c>
      <c r="I564" s="194" t="n">
        <v>64</v>
      </c>
      <c r="J564" s="196" t="n"/>
      <c r="K564" s="195" t="inlineStr">
        <is>
          <t>3752 ROKAE ROBOTICS</t>
        </is>
      </c>
    </row>
    <row r="565">
      <c r="A565" s="32" t="inlineStr">
        <is>
          <t>China Travel Service (Holdings) Hong Kong Limited</t>
        </is>
      </c>
      <c r="B565" s="191" t="n">
        <v>1</v>
      </c>
      <c r="C565" s="193" t="n">
        <v>100</v>
      </c>
      <c r="D565" s="194" t="n">
        <v>15</v>
      </c>
      <c r="E565" s="194" t="n">
        <v>6.6</v>
      </c>
      <c r="F565" s="194" t="n">
        <v>-15</v>
      </c>
      <c r="G565" s="194" t="n">
        <v>-18.1</v>
      </c>
      <c r="H565" s="194" t="n">
        <v>-7.3</v>
      </c>
      <c r="I565" s="194" t="n">
        <v>-26.1</v>
      </c>
      <c r="J565" s="194" t="n">
        <v>-28.8</v>
      </c>
      <c r="K565" s="195" t="inlineStr">
        <is>
          <t>2460 CR BEVERAGE</t>
        </is>
      </c>
    </row>
    <row r="566">
      <c r="A566" s="32" t="inlineStr">
        <is>
          <t>Allianz Global Investors Asia Pacific Limited</t>
        </is>
      </c>
      <c r="B566" s="191" t="n">
        <v>1</v>
      </c>
      <c r="C566" s="193" t="n">
        <v>100</v>
      </c>
      <c r="D566" s="194" t="n">
        <v>14.9</v>
      </c>
      <c r="E566" s="194" t="n">
        <v>30</v>
      </c>
      <c r="F566" s="194" t="n">
        <v>0.9</v>
      </c>
      <c r="G566" s="194" t="n">
        <v>-17.4</v>
      </c>
      <c r="H566" s="194" t="n">
        <v>13.1</v>
      </c>
      <c r="I566" s="194" t="n">
        <v>-12.2</v>
      </c>
      <c r="J566" s="194" t="n">
        <v>-28.2</v>
      </c>
      <c r="K566" s="195" t="inlineStr">
        <is>
          <t>2543 DAHON TECH</t>
        </is>
      </c>
    </row>
    <row r="567">
      <c r="A567" s="32" t="inlineStr">
        <is>
          <t>Emsdom Limited</t>
        </is>
      </c>
      <c r="B567" s="191" t="n">
        <v>1</v>
      </c>
      <c r="C567" s="193" t="n">
        <v>100</v>
      </c>
      <c r="D567" s="194" t="n">
        <v>14.3</v>
      </c>
      <c r="E567" s="194" t="n">
        <v>9.5</v>
      </c>
      <c r="F567" s="194" t="n">
        <v>-19.1</v>
      </c>
      <c r="G567" s="194" t="n">
        <v>-15.2</v>
      </c>
      <c r="H567" s="194" t="n">
        <v>-4.2</v>
      </c>
      <c r="I567" s="194" t="n">
        <v>-29.2</v>
      </c>
      <c r="J567" s="194" t="n">
        <v>-25.8</v>
      </c>
      <c r="K567" s="195" t="inlineStr">
        <is>
          <t>1334 RUICHANG INTL</t>
        </is>
      </c>
    </row>
    <row r="568">
      <c r="A568" s="32" t="inlineStr">
        <is>
          <t>Shanghai Huijin Asset Management Co., Ltd</t>
        </is>
      </c>
      <c r="B568" s="191" t="n">
        <v>1</v>
      </c>
      <c r="C568" s="193" t="n">
        <v>100</v>
      </c>
      <c r="D568" s="194" t="n">
        <v>13.8</v>
      </c>
      <c r="E568" s="194" t="n">
        <v>26.5</v>
      </c>
      <c r="F568" s="194" t="n">
        <v>93.8</v>
      </c>
      <c r="G568" s="194" t="n">
        <v>61.5</v>
      </c>
      <c r="H568" s="194" t="n">
        <v>11.1</v>
      </c>
      <c r="I568" s="194" t="n">
        <v>70.3</v>
      </c>
      <c r="J568" s="194" t="n">
        <v>41.9</v>
      </c>
      <c r="K568" s="195" t="inlineStr">
        <is>
          <t>6616 GLOBAL NEW MAT</t>
        </is>
      </c>
    </row>
    <row r="569">
      <c r="A569" s="32" t="inlineStr">
        <is>
          <t>YBN Investments</t>
        </is>
      </c>
      <c r="B569" s="191" t="n">
        <v>1</v>
      </c>
      <c r="C569" s="193" t="n">
        <v>100</v>
      </c>
      <c r="D569" s="194" t="n">
        <v>13.8</v>
      </c>
      <c r="E569" s="194" t="n">
        <v>26.5</v>
      </c>
      <c r="F569" s="194" t="n">
        <v>93.8</v>
      </c>
      <c r="G569" s="194" t="n">
        <v>61.5</v>
      </c>
      <c r="H569" s="194" t="n">
        <v>11.1</v>
      </c>
      <c r="I569" s="194" t="n">
        <v>70.3</v>
      </c>
      <c r="J569" s="194" t="n">
        <v>41.9</v>
      </c>
      <c r="K569" s="195" t="inlineStr">
        <is>
          <t>6616 GLOBAL NEW MAT</t>
        </is>
      </c>
    </row>
    <row r="570">
      <c r="A570" s="32" t="inlineStr">
        <is>
          <t>Great Holding Development Limited</t>
        </is>
      </c>
      <c r="B570" s="191" t="n">
        <v>1</v>
      </c>
      <c r="C570" s="193" t="n">
        <v>100</v>
      </c>
      <c r="D570" s="194" t="n">
        <v>13.5</v>
      </c>
      <c r="E570" s="194" t="n">
        <v>3.9</v>
      </c>
      <c r="F570" s="194" t="n">
        <v>7.5</v>
      </c>
      <c r="G570" s="194" t="n">
        <v>-14</v>
      </c>
      <c r="H570" s="194" t="n">
        <v>-8.4</v>
      </c>
      <c r="I570" s="194" t="n">
        <v>-5.2</v>
      </c>
      <c r="J570" s="194" t="n">
        <v>-24.2</v>
      </c>
      <c r="K570" s="195" t="inlineStr">
        <is>
          <t>3355 FS.COM</t>
        </is>
      </c>
    </row>
    <row r="571">
      <c r="A571" s="32" t="inlineStr">
        <is>
          <t>Shanghai Intewise Capital Investment Limited ultimate clients and CICC Financial Trading Limited (in connection with Shanghai Intewise OTC Swaps)</t>
        </is>
      </c>
      <c r="B571" s="191" t="n">
        <v>1</v>
      </c>
      <c r="C571" s="193" t="n">
        <v>100</v>
      </c>
      <c r="D571" s="194" t="n">
        <v>13.5</v>
      </c>
      <c r="E571" s="194" t="n">
        <v>3.9</v>
      </c>
      <c r="F571" s="194" t="n">
        <v>7.5</v>
      </c>
      <c r="G571" s="194" t="n">
        <v>-14</v>
      </c>
      <c r="H571" s="194" t="n">
        <v>-8.4</v>
      </c>
      <c r="I571" s="194" t="n">
        <v>-5.2</v>
      </c>
      <c r="J571" s="194" t="n">
        <v>-24.2</v>
      </c>
      <c r="K571" s="195" t="inlineStr">
        <is>
          <t>3355 FS.COM</t>
        </is>
      </c>
    </row>
    <row r="572">
      <c r="A572" s="32" t="inlineStr">
        <is>
          <t>Aether Wave Fund L.P</t>
        </is>
      </c>
      <c r="B572" s="191" t="n">
        <v>1</v>
      </c>
      <c r="C572" s="193" t="n">
        <v>100</v>
      </c>
      <c r="D572" s="194" t="n">
        <v>13.5</v>
      </c>
      <c r="E572" s="194" t="n">
        <v>3.9</v>
      </c>
      <c r="F572" s="194" t="n">
        <v>7.5</v>
      </c>
      <c r="G572" s="194" t="n">
        <v>-14</v>
      </c>
      <c r="H572" s="194" t="n">
        <v>-8.4</v>
      </c>
      <c r="I572" s="194" t="n">
        <v>-5.2</v>
      </c>
      <c r="J572" s="194" t="n">
        <v>-24.2</v>
      </c>
      <c r="K572" s="195" t="inlineStr">
        <is>
          <t>3355 FS.COM</t>
        </is>
      </c>
    </row>
    <row r="573">
      <c r="A573" s="32" t="inlineStr">
        <is>
          <t>Shenzhen Kaifeng Investment Management Co., Ltd. , Changdu Kaifeng Investment</t>
        </is>
      </c>
      <c r="B573" s="191" t="n">
        <v>1</v>
      </c>
      <c r="C573" s="193" t="n">
        <v>100</v>
      </c>
      <c r="D573" s="194" t="n">
        <v>13.5</v>
      </c>
      <c r="E573" s="194" t="n">
        <v>3.9</v>
      </c>
      <c r="F573" s="194" t="n">
        <v>7.5</v>
      </c>
      <c r="G573" s="194" t="n">
        <v>-14</v>
      </c>
      <c r="H573" s="194" t="n">
        <v>-8.4</v>
      </c>
      <c r="I573" s="194" t="n">
        <v>-5.2</v>
      </c>
      <c r="J573" s="194" t="n">
        <v>-24.2</v>
      </c>
      <c r="K573" s="195" t="inlineStr">
        <is>
          <t>3355 FS.COM</t>
        </is>
      </c>
    </row>
    <row r="574">
      <c r="A574" s="32" t="inlineStr">
        <is>
          <t>Management Co., Ltd.</t>
        </is>
      </c>
      <c r="B574" s="191" t="n">
        <v>1</v>
      </c>
      <c r="C574" s="193" t="n">
        <v>100</v>
      </c>
      <c r="D574" s="194" t="n">
        <v>13.5</v>
      </c>
      <c r="E574" s="194" t="n">
        <v>3.9</v>
      </c>
      <c r="F574" s="194" t="n">
        <v>7.5</v>
      </c>
      <c r="G574" s="194" t="n">
        <v>-14</v>
      </c>
      <c r="H574" s="194" t="n">
        <v>-8.4</v>
      </c>
      <c r="I574" s="194" t="n">
        <v>-5.2</v>
      </c>
      <c r="J574" s="194" t="n">
        <v>-24.2</v>
      </c>
      <c r="K574" s="195" t="inlineStr">
        <is>
          <t>3355 FS.COM</t>
        </is>
      </c>
    </row>
    <row r="575">
      <c r="A575" s="32" t="inlineStr">
        <is>
          <t>Health Vision Hong Kong Limited</t>
        </is>
      </c>
      <c r="B575" s="191" t="n">
        <v>1</v>
      </c>
      <c r="C575" s="193" t="n">
        <v>100</v>
      </c>
      <c r="D575" s="194" t="n">
        <v>13.4</v>
      </c>
      <c r="E575" s="194" t="n">
        <v>-3.2</v>
      </c>
      <c r="F575" s="194" t="n">
        <v>9.1</v>
      </c>
      <c r="G575" s="194" t="n">
        <v>-54.5</v>
      </c>
      <c r="H575" s="194" t="n">
        <v>-14.6</v>
      </c>
      <c r="I575" s="194" t="n">
        <v>-3.8</v>
      </c>
      <c r="J575" s="194" t="n">
        <v>-59.9</v>
      </c>
      <c r="K575" s="195" t="inlineStr">
        <is>
          <t>2677 DISTINCT HEALTH</t>
        </is>
      </c>
    </row>
    <row r="576">
      <c r="A576" s="32" t="inlineStr">
        <is>
          <t>KingMed Diagnostics (Hong Kong) Limited ʮ̡</t>
        </is>
      </c>
      <c r="B576" s="191" t="n">
        <v>1</v>
      </c>
      <c r="C576" s="193" t="n">
        <v>100</v>
      </c>
      <c r="D576" s="194" t="n">
        <v>13.4</v>
      </c>
      <c r="E576" s="194" t="n">
        <v>-3.2</v>
      </c>
      <c r="F576" s="194" t="n">
        <v>9.1</v>
      </c>
      <c r="G576" s="194" t="n">
        <v>-54.5</v>
      </c>
      <c r="H576" s="194" t="n">
        <v>-14.6</v>
      </c>
      <c r="I576" s="194" t="n">
        <v>-3.8</v>
      </c>
      <c r="J576" s="194" t="n">
        <v>-59.9</v>
      </c>
      <c r="K576" s="195" t="inlineStr">
        <is>
          <t>2677 DISTINCT HEALTH</t>
        </is>
      </c>
    </row>
    <row r="577">
      <c r="A577" s="32" t="inlineStr">
        <is>
          <t>Mininglamp Technology</t>
        </is>
      </c>
      <c r="B577" s="191" t="n">
        <v>1</v>
      </c>
      <c r="C577" s="193" t="n">
        <v>100</v>
      </c>
      <c r="D577" s="194" t="n">
        <v>13.4</v>
      </c>
      <c r="E577" s="194" t="n">
        <v>-3.2</v>
      </c>
      <c r="F577" s="194" t="n">
        <v>9.1</v>
      </c>
      <c r="G577" s="194" t="n">
        <v>-54.5</v>
      </c>
      <c r="H577" s="194" t="n">
        <v>-14.6</v>
      </c>
      <c r="I577" s="194" t="n">
        <v>-3.8</v>
      </c>
      <c r="J577" s="194" t="n">
        <v>-59.9</v>
      </c>
      <c r="K577" s="195" t="inlineStr">
        <is>
          <t>2677 DISTINCT HEALTH</t>
        </is>
      </c>
    </row>
    <row r="578">
      <c r="A578" s="32" t="inlineStr">
        <is>
          <t>Cloud Map</t>
        </is>
      </c>
      <c r="B578" s="191" t="n">
        <v>1</v>
      </c>
      <c r="C578" s="193" t="n">
        <v>100</v>
      </c>
      <c r="D578" s="194" t="n">
        <v>13.3</v>
      </c>
      <c r="E578" s="194" t="n">
        <v>17.1</v>
      </c>
      <c r="F578" s="194" t="n">
        <v>52.2</v>
      </c>
      <c r="G578" s="194" t="n">
        <v>21.2</v>
      </c>
      <c r="H578" s="194" t="n">
        <v>3.4</v>
      </c>
      <c r="I578" s="194" t="n">
        <v>34.4</v>
      </c>
      <c r="J578" s="194" t="n">
        <v>7</v>
      </c>
      <c r="K578" s="195" t="inlineStr">
        <is>
          <t>3296 HUAQIN</t>
        </is>
      </c>
    </row>
    <row r="579">
      <c r="A579" s="32" t="inlineStr">
        <is>
          <t>Awinic Technology Limited</t>
        </is>
      </c>
      <c r="B579" s="191" t="n">
        <v>1</v>
      </c>
      <c r="C579" s="193" t="n">
        <v>100</v>
      </c>
      <c r="D579" s="194" t="n">
        <v>13.3</v>
      </c>
      <c r="E579" s="194" t="n">
        <v>17.1</v>
      </c>
      <c r="F579" s="194" t="n">
        <v>52.2</v>
      </c>
      <c r="G579" s="194" t="n">
        <v>21.2</v>
      </c>
      <c r="H579" s="194" t="n">
        <v>3.4</v>
      </c>
      <c r="I579" s="194" t="n">
        <v>34.4</v>
      </c>
      <c r="J579" s="194" t="n">
        <v>7</v>
      </c>
      <c r="K579" s="195" t="inlineStr">
        <is>
          <t>3296 HUAQIN</t>
        </is>
      </c>
    </row>
    <row r="580">
      <c r="A580" s="32" t="inlineStr">
        <is>
          <t>Changxing Xingchang Industrial Investment Partnership (Limited Partnership)</t>
        </is>
      </c>
      <c r="B580" s="191" t="n">
        <v>1</v>
      </c>
      <c r="C580" s="193" t="n">
        <v>100</v>
      </c>
      <c r="D580" s="194" t="n">
        <v>13.2</v>
      </c>
      <c r="E580" s="194" t="n">
        <v>90.09999999999999</v>
      </c>
      <c r="F580" s="194" t="n">
        <v>135.9</v>
      </c>
      <c r="G580" s="194" t="n">
        <v>129.8</v>
      </c>
      <c r="H580" s="194" t="n">
        <v>67.90000000000001</v>
      </c>
      <c r="I580" s="194" t="n">
        <v>108.4</v>
      </c>
      <c r="J580" s="194" t="n">
        <v>102.9</v>
      </c>
      <c r="K580" s="195" t="inlineStr">
        <is>
          <t>2410 TYK MEDICINES-B</t>
        </is>
      </c>
    </row>
    <row r="581">
      <c r="A581" s="32" t="inlineStr">
        <is>
          <t>Luster LightTech International Limited</t>
        </is>
      </c>
      <c r="B581" s="191" t="n">
        <v>1</v>
      </c>
      <c r="C581" s="193" t="n">
        <v>100</v>
      </c>
      <c r="D581" s="194" t="n">
        <v>13.2</v>
      </c>
      <c r="E581" s="194" t="n">
        <v>107.4</v>
      </c>
      <c r="F581" s="194" t="n">
        <v>74.90000000000001</v>
      </c>
      <c r="G581" s="194" t="n">
        <v>646.1</v>
      </c>
      <c r="H581" s="194" t="n">
        <v>83.3</v>
      </c>
      <c r="I581" s="194" t="n">
        <v>54.5</v>
      </c>
      <c r="J581" s="194" t="n">
        <v>559.3</v>
      </c>
      <c r="K581" s="195" t="inlineStr">
        <is>
          <t>2513 KNOWLEDGE ATLAS</t>
        </is>
      </c>
    </row>
    <row r="582">
      <c r="A582" s="32" t="inlineStr">
        <is>
          <t>Ung Choi Kun</t>
        </is>
      </c>
      <c r="B582" s="191" t="n">
        <v>1</v>
      </c>
      <c r="C582" s="193" t="n">
        <v>100</v>
      </c>
      <c r="D582" s="194" t="n">
        <v>13</v>
      </c>
      <c r="E582" s="194" t="n">
        <v>13</v>
      </c>
      <c r="F582" s="194" t="n">
        <v>10.2</v>
      </c>
      <c r="G582" s="194" t="n">
        <v>-3.7</v>
      </c>
      <c r="H582" s="194" t="n">
        <v>0</v>
      </c>
      <c r="I582" s="194" t="n">
        <v>-2.5</v>
      </c>
      <c r="J582" s="194" t="n">
        <v>-14.8</v>
      </c>
      <c r="K582" s="195" t="inlineStr">
        <is>
          <t>1204 BOARDWARE INTEL</t>
        </is>
      </c>
    </row>
    <row r="583">
      <c r="A583" s="32" t="inlineStr">
        <is>
          <t>Corelink Group Limited</t>
        </is>
      </c>
      <c r="B583" s="191" t="n">
        <v>1</v>
      </c>
      <c r="C583" s="193" t="n">
        <v>100</v>
      </c>
      <c r="D583" s="194" t="n">
        <v>12</v>
      </c>
      <c r="E583" s="194" t="n">
        <v>1.6</v>
      </c>
      <c r="F583" s="194" t="n">
        <v>0.7</v>
      </c>
      <c r="G583" s="194" t="n">
        <v>20</v>
      </c>
      <c r="H583" s="194" t="n">
        <v>-9.300000000000001</v>
      </c>
      <c r="I583" s="194" t="n">
        <v>-10.1</v>
      </c>
      <c r="J583" s="194" t="n">
        <v>7.1</v>
      </c>
      <c r="K583" s="195" t="inlineStr">
        <is>
          <t>9860 ADICON HOLDINGS</t>
        </is>
      </c>
    </row>
    <row r="584">
      <c r="A584" s="32" t="inlineStr">
        <is>
          <t>MR Global (HK) Limited</t>
        </is>
      </c>
      <c r="B584" s="191" t="n">
        <v>1</v>
      </c>
      <c r="C584" s="193" t="n">
        <v>100</v>
      </c>
      <c r="D584" s="194" t="n">
        <v>12</v>
      </c>
      <c r="E584" s="194" t="n">
        <v>1.6</v>
      </c>
      <c r="F584" s="194" t="n">
        <v>0.7</v>
      </c>
      <c r="G584" s="194" t="n">
        <v>20</v>
      </c>
      <c r="H584" s="194" t="n">
        <v>-9.300000000000001</v>
      </c>
      <c r="I584" s="194" t="n">
        <v>-10.1</v>
      </c>
      <c r="J584" s="194" t="n">
        <v>7.1</v>
      </c>
      <c r="K584" s="195" t="inlineStr">
        <is>
          <t>9860 ADICON HOLDINGS</t>
        </is>
      </c>
    </row>
    <row r="585">
      <c r="A585" s="32" t="inlineStr">
        <is>
          <t>Snibe Diagnostic (Hong Kong) Company Limited</t>
        </is>
      </c>
      <c r="B585" s="191" t="n">
        <v>1</v>
      </c>
      <c r="C585" s="193" t="n">
        <v>100</v>
      </c>
      <c r="D585" s="194" t="n">
        <v>12</v>
      </c>
      <c r="E585" s="194" t="n">
        <v>1.6</v>
      </c>
      <c r="F585" s="194" t="n">
        <v>0.7</v>
      </c>
      <c r="G585" s="194" t="n">
        <v>20</v>
      </c>
      <c r="H585" s="194" t="n">
        <v>-9.300000000000001</v>
      </c>
      <c r="I585" s="194" t="n">
        <v>-10.1</v>
      </c>
      <c r="J585" s="194" t="n">
        <v>7.1</v>
      </c>
      <c r="K585" s="195" t="inlineStr">
        <is>
          <t>9860 ADICON HOLDINGS</t>
        </is>
      </c>
    </row>
    <row r="586">
      <c r="A586" s="32" t="inlineStr">
        <is>
          <t>Timestar Elite Limited</t>
        </is>
      </c>
      <c r="B586" s="191" t="n">
        <v>1</v>
      </c>
      <c r="C586" s="193" t="n">
        <v>100</v>
      </c>
      <c r="D586" s="194" t="n">
        <v>12</v>
      </c>
      <c r="E586" s="194" t="n">
        <v>1.6</v>
      </c>
      <c r="F586" s="194" t="n">
        <v>0.7</v>
      </c>
      <c r="G586" s="194" t="n">
        <v>20</v>
      </c>
      <c r="H586" s="194" t="n">
        <v>-9.300000000000001</v>
      </c>
      <c r="I586" s="194" t="n">
        <v>-10.1</v>
      </c>
      <c r="J586" s="194" t="n">
        <v>7.1</v>
      </c>
      <c r="K586" s="195" t="inlineStr">
        <is>
          <t>9860 ADICON HOLDINGS</t>
        </is>
      </c>
    </row>
    <row r="587">
      <c r="A587" s="32" t="inlineStr">
        <is>
          <t>Nice First Investments Limited</t>
        </is>
      </c>
      <c r="B587" s="191" t="n">
        <v>1</v>
      </c>
      <c r="C587" s="193" t="n">
        <v>100</v>
      </c>
      <c r="D587" s="194" t="n">
        <v>11.6</v>
      </c>
      <c r="E587" s="194" t="n">
        <v>27.2</v>
      </c>
      <c r="F587" s="194" t="n">
        <v>33.2</v>
      </c>
      <c r="G587" s="194" t="n">
        <v>43.8</v>
      </c>
      <c r="H587" s="194" t="n">
        <v>14</v>
      </c>
      <c r="I587" s="194" t="n">
        <v>19.4</v>
      </c>
      <c r="J587" s="194" t="n">
        <v>28.9</v>
      </c>
      <c r="K587" s="195" t="inlineStr">
        <is>
          <t>2768 GON TECHNOLOGY</t>
        </is>
      </c>
    </row>
    <row r="588">
      <c r="A588" s="32" t="inlineStr">
        <is>
          <t>SLD International Enterprises Limited</t>
        </is>
      </c>
      <c r="B588" s="191" t="n">
        <v>1</v>
      </c>
      <c r="C588" s="193" t="n">
        <v>100</v>
      </c>
      <c r="D588" s="194" t="n">
        <v>11.6</v>
      </c>
      <c r="E588" s="194" t="n">
        <v>27.2</v>
      </c>
      <c r="F588" s="194" t="n">
        <v>33.2</v>
      </c>
      <c r="G588" s="194" t="n">
        <v>43.8</v>
      </c>
      <c r="H588" s="194" t="n">
        <v>14</v>
      </c>
      <c r="I588" s="194" t="n">
        <v>19.4</v>
      </c>
      <c r="J588" s="194" t="n">
        <v>28.9</v>
      </c>
      <c r="K588" s="195" t="inlineStr">
        <is>
          <t>2768 GON TECHNOLOGY</t>
        </is>
      </c>
    </row>
    <row r="589">
      <c r="A589" s="32" t="inlineStr">
        <is>
          <t>Cheng A International Co., Limited</t>
        </is>
      </c>
      <c r="B589" s="191" t="n">
        <v>1</v>
      </c>
      <c r="C589" s="193" t="n">
        <v>100</v>
      </c>
      <c r="D589" s="194" t="n">
        <v>11.6</v>
      </c>
      <c r="E589" s="194" t="n">
        <v>27.2</v>
      </c>
      <c r="F589" s="194" t="n">
        <v>33.2</v>
      </c>
      <c r="G589" s="194" t="n">
        <v>43.8</v>
      </c>
      <c r="H589" s="194" t="n">
        <v>14</v>
      </c>
      <c r="I589" s="194" t="n">
        <v>19.4</v>
      </c>
      <c r="J589" s="194" t="n">
        <v>28.9</v>
      </c>
      <c r="K589" s="195" t="inlineStr">
        <is>
          <t>2768 GON TECHNOLOGY</t>
        </is>
      </c>
    </row>
    <row r="590">
      <c r="A590" s="32" t="inlineStr">
        <is>
          <t>Shenwan Hongyuan Securities Co., Ltd</t>
        </is>
      </c>
      <c r="B590" s="191" t="n">
        <v>1</v>
      </c>
      <c r="C590" s="193" t="n">
        <v>100</v>
      </c>
      <c r="D590" s="194" t="n">
        <v>11.6</v>
      </c>
      <c r="E590" s="194" t="n">
        <v>27.2</v>
      </c>
      <c r="F590" s="194" t="n">
        <v>33.2</v>
      </c>
      <c r="G590" s="194" t="n">
        <v>43.8</v>
      </c>
      <c r="H590" s="194" t="n">
        <v>14</v>
      </c>
      <c r="I590" s="194" t="n">
        <v>19.4</v>
      </c>
      <c r="J590" s="194" t="n">
        <v>28.9</v>
      </c>
      <c r="K590" s="195" t="inlineStr">
        <is>
          <t>2768 GON TECHNOLOGY</t>
        </is>
      </c>
    </row>
    <row r="591">
      <c r="A591" s="32" t="inlineStr">
        <is>
          <t>New Harvest Wealth Securities Company Limited</t>
        </is>
      </c>
      <c r="B591" s="191" t="n">
        <v>1</v>
      </c>
      <c r="C591" s="193" t="n">
        <v>100</v>
      </c>
      <c r="D591" s="194" t="n">
        <v>11.6</v>
      </c>
      <c r="E591" s="194" t="n">
        <v>27.2</v>
      </c>
      <c r="F591" s="194" t="n">
        <v>33.2</v>
      </c>
      <c r="G591" s="194" t="n">
        <v>43.8</v>
      </c>
      <c r="H591" s="194" t="n">
        <v>14</v>
      </c>
      <c r="I591" s="194" t="n">
        <v>19.4</v>
      </c>
      <c r="J591" s="194" t="n">
        <v>28.9</v>
      </c>
      <c r="K591" s="195" t="inlineStr">
        <is>
          <t>2768 GON TECHNOLOGY</t>
        </is>
      </c>
    </row>
    <row r="592">
      <c r="A592" s="32" t="inlineStr">
        <is>
          <t>Luminous Horizon Limited</t>
        </is>
      </c>
      <c r="B592" s="191" t="n">
        <v>1</v>
      </c>
      <c r="C592" s="193" t="n">
        <v>100</v>
      </c>
      <c r="D592" s="194" t="n">
        <v>11.6</v>
      </c>
      <c r="E592" s="194" t="n">
        <v>27.2</v>
      </c>
      <c r="F592" s="194" t="n">
        <v>33.2</v>
      </c>
      <c r="G592" s="194" t="n">
        <v>43.8</v>
      </c>
      <c r="H592" s="194" t="n">
        <v>14</v>
      </c>
      <c r="I592" s="194" t="n">
        <v>19.4</v>
      </c>
      <c r="J592" s="194" t="n">
        <v>28.9</v>
      </c>
      <c r="K592" s="195" t="inlineStr">
        <is>
          <t>2768 GON TECHNOLOGY</t>
        </is>
      </c>
    </row>
    <row r="593">
      <c r="A593" s="32" t="inlineStr">
        <is>
          <t>Liu Liyun</t>
        </is>
      </c>
      <c r="B593" s="191" t="n">
        <v>1</v>
      </c>
      <c r="C593" s="193" t="n">
        <v>100</v>
      </c>
      <c r="D593" s="194" t="n">
        <v>11.1</v>
      </c>
      <c r="E593" s="194" t="n">
        <v>6.7</v>
      </c>
      <c r="F593" s="194" t="n">
        <v>-7.8</v>
      </c>
      <c r="G593" s="194" t="n">
        <v>-36.7</v>
      </c>
      <c r="H593" s="194" t="n">
        <v>-4</v>
      </c>
      <c r="I593" s="194" t="n">
        <v>-17</v>
      </c>
      <c r="J593" s="194" t="n">
        <v>-43</v>
      </c>
      <c r="K593" s="195" t="inlineStr">
        <is>
          <t>2516 FAR INTL</t>
        </is>
      </c>
    </row>
    <row r="594">
      <c r="A594" s="32" t="inlineStr">
        <is>
          <t>Guo Shaojun</t>
        </is>
      </c>
      <c r="B594" s="191" t="n">
        <v>1</v>
      </c>
      <c r="C594" s="193" t="n">
        <v>100</v>
      </c>
      <c r="D594" s="194" t="n">
        <v>11.1</v>
      </c>
      <c r="E594" s="194" t="n">
        <v>6.7</v>
      </c>
      <c r="F594" s="194" t="n">
        <v>-7.8</v>
      </c>
      <c r="G594" s="194" t="n">
        <v>-36.7</v>
      </c>
      <c r="H594" s="194" t="n">
        <v>-4</v>
      </c>
      <c r="I594" s="194" t="n">
        <v>-17</v>
      </c>
      <c r="J594" s="194" t="n">
        <v>-43</v>
      </c>
      <c r="K594" s="195" t="inlineStr">
        <is>
          <t>2516 FAR INTL</t>
        </is>
      </c>
    </row>
    <row r="595">
      <c r="A595" s="32" t="inlineStr">
        <is>
          <t>Yang Yingwu</t>
        </is>
      </c>
      <c r="B595" s="191" t="n">
        <v>1</v>
      </c>
      <c r="C595" s="193" t="n">
        <v>100</v>
      </c>
      <c r="D595" s="194" t="n">
        <v>11.1</v>
      </c>
      <c r="E595" s="194" t="n">
        <v>6.7</v>
      </c>
      <c r="F595" s="194" t="n">
        <v>-7.8</v>
      </c>
      <c r="G595" s="194" t="n">
        <v>-36.7</v>
      </c>
      <c r="H595" s="194" t="n">
        <v>-4</v>
      </c>
      <c r="I595" s="194" t="n">
        <v>-17</v>
      </c>
      <c r="J595" s="194" t="n">
        <v>-43</v>
      </c>
      <c r="K595" s="195" t="inlineStr">
        <is>
          <t>2516 FAR INTL</t>
        </is>
      </c>
    </row>
    <row r="596">
      <c r="A596" s="32" t="inlineStr">
        <is>
          <t>Water Live Wealth Limited</t>
        </is>
      </c>
      <c r="B596" s="191" t="n">
        <v>1</v>
      </c>
      <c r="C596" s="193" t="n">
        <v>100</v>
      </c>
      <c r="D596" s="194" t="n">
        <v>10.4</v>
      </c>
      <c r="E596" s="194" t="n">
        <v>-24.3</v>
      </c>
      <c r="F596" s="194" t="n">
        <v>-45.1</v>
      </c>
      <c r="G596" s="194" t="n">
        <v>-54.9</v>
      </c>
      <c r="H596" s="194" t="n">
        <v>-31.4</v>
      </c>
      <c r="I596" s="194" t="n">
        <v>-50.2</v>
      </c>
      <c r="J596" s="194" t="n">
        <v>-59.2</v>
      </c>
      <c r="K596" s="195" t="inlineStr">
        <is>
          <t>2593 HERBS GROUP</t>
        </is>
      </c>
    </row>
    <row r="597">
      <c r="A597" s="32" t="inlineStr">
        <is>
          <t>Vital Message Medical Health Care Centre Limited</t>
        </is>
      </c>
      <c r="B597" s="191" t="n">
        <v>1</v>
      </c>
      <c r="C597" s="193" t="n">
        <v>100</v>
      </c>
      <c r="D597" s="194" t="n">
        <v>10.4</v>
      </c>
      <c r="E597" s="194" t="n">
        <v>-24.3</v>
      </c>
      <c r="F597" s="194" t="n">
        <v>-45.1</v>
      </c>
      <c r="G597" s="194" t="n">
        <v>-54.9</v>
      </c>
      <c r="H597" s="194" t="n">
        <v>-31.4</v>
      </c>
      <c r="I597" s="194" t="n">
        <v>-50.2</v>
      </c>
      <c r="J597" s="194" t="n">
        <v>-59.2</v>
      </c>
      <c r="K597" s="195" t="inlineStr">
        <is>
          <t>2593 HERBS GROUP</t>
        </is>
      </c>
    </row>
    <row r="598">
      <c r="A598" s="32" t="inlineStr">
        <is>
          <t>Mr. Yuen Tsz Ho Ronald</t>
        </is>
      </c>
      <c r="B598" s="191" t="n">
        <v>1</v>
      </c>
      <c r="C598" s="193" t="n">
        <v>100</v>
      </c>
      <c r="D598" s="194" t="n">
        <v>10.4</v>
      </c>
      <c r="E598" s="194" t="n">
        <v>-24.3</v>
      </c>
      <c r="F598" s="194" t="n">
        <v>-45.1</v>
      </c>
      <c r="G598" s="194" t="n">
        <v>-54.9</v>
      </c>
      <c r="H598" s="194" t="n">
        <v>-31.4</v>
      </c>
      <c r="I598" s="194" t="n">
        <v>-50.2</v>
      </c>
      <c r="J598" s="194" t="n">
        <v>-59.2</v>
      </c>
      <c r="K598" s="195" t="inlineStr">
        <is>
          <t>2593 HERBS GROUP</t>
        </is>
      </c>
    </row>
    <row r="599">
      <c r="A599" s="32" t="inlineStr">
        <is>
          <t>Cambridge Industries Group Telecommunication Limited</t>
        </is>
      </c>
      <c r="B599" s="191" t="n">
        <v>1</v>
      </c>
      <c r="C599" s="193" t="n">
        <v>100</v>
      </c>
      <c r="D599" s="194" t="n">
        <v>10.3</v>
      </c>
      <c r="E599" s="196" t="n"/>
      <c r="F599" s="196" t="n"/>
      <c r="G599" s="196" t="n"/>
      <c r="H599" s="196" t="n"/>
      <c r="I599" s="196" t="n"/>
      <c r="J599" s="196" t="n"/>
      <c r="K599" s="195" t="inlineStr">
        <is>
          <t>3228 KINWONG</t>
        </is>
      </c>
    </row>
    <row r="600">
      <c r="A600" s="32" t="inlineStr">
        <is>
          <t>Zhongji Innolight Co., Ltd</t>
        </is>
      </c>
      <c r="B600" s="191" t="n">
        <v>1</v>
      </c>
      <c r="C600" s="193" t="n">
        <v>100</v>
      </c>
      <c r="D600" s="194" t="n">
        <v>10.3</v>
      </c>
      <c r="E600" s="196" t="n"/>
      <c r="F600" s="196" t="n"/>
      <c r="G600" s="196" t="n"/>
      <c r="H600" s="196" t="n"/>
      <c r="I600" s="196" t="n"/>
      <c r="J600" s="196" t="n"/>
      <c r="K600" s="195" t="inlineStr">
        <is>
          <t>3228 KINWONG</t>
        </is>
      </c>
    </row>
    <row r="601">
      <c r="A601" s="32" t="inlineStr">
        <is>
          <t>Chu Kin Lan</t>
        </is>
      </c>
      <c r="B601" s="191" t="n">
        <v>1</v>
      </c>
      <c r="C601" s="193" t="n">
        <v>100</v>
      </c>
      <c r="D601" s="194" t="n">
        <v>10</v>
      </c>
      <c r="E601" s="194" t="n">
        <v>2</v>
      </c>
      <c r="F601" s="194" t="n">
        <v>8</v>
      </c>
      <c r="G601" s="194" t="n">
        <v>0</v>
      </c>
      <c r="H601" s="194" t="n">
        <v>-7.3</v>
      </c>
      <c r="I601" s="194" t="n">
        <v>-1.8</v>
      </c>
      <c r="J601" s="194" t="n">
        <v>-9.1</v>
      </c>
      <c r="K601" s="195" t="inlineStr">
        <is>
          <t>1489 GC CONSTRUCTION</t>
        </is>
      </c>
    </row>
    <row r="602">
      <c r="A602" s="32" t="inlineStr">
        <is>
          <t>Infinitus Wealth Limited</t>
        </is>
      </c>
      <c r="B602" s="191" t="n">
        <v>1</v>
      </c>
      <c r="C602" s="193" t="n">
        <v>100</v>
      </c>
      <c r="D602" s="194" t="n">
        <v>10</v>
      </c>
      <c r="E602" s="194" t="n">
        <v>2</v>
      </c>
      <c r="F602" s="194" t="n">
        <v>8</v>
      </c>
      <c r="G602" s="194" t="n">
        <v>0</v>
      </c>
      <c r="H602" s="194" t="n">
        <v>-7.3</v>
      </c>
      <c r="I602" s="194" t="n">
        <v>-1.8</v>
      </c>
      <c r="J602" s="194" t="n">
        <v>-9.1</v>
      </c>
      <c r="K602" s="195" t="inlineStr">
        <is>
          <t>1489 GC CONSTRUCTION</t>
        </is>
      </c>
    </row>
    <row r="603">
      <c r="A603" s="32" t="inlineStr">
        <is>
          <t>Grab Inc</t>
        </is>
      </c>
      <c r="B603" s="191" t="n">
        <v>1</v>
      </c>
      <c r="C603" s="193" t="n">
        <v>100</v>
      </c>
      <c r="D603" s="194" t="n">
        <v>10</v>
      </c>
      <c r="E603" s="194" t="n">
        <v>8.1</v>
      </c>
      <c r="F603" s="194" t="n">
        <v>-20.5</v>
      </c>
      <c r="G603" s="194" t="n">
        <v>-20.4</v>
      </c>
      <c r="H603" s="194" t="n">
        <v>-1.7</v>
      </c>
      <c r="I603" s="194" t="n">
        <v>-27.7</v>
      </c>
      <c r="J603" s="194" t="n">
        <v>-27.6</v>
      </c>
      <c r="K603" s="195" t="inlineStr">
        <is>
          <t>2525 HESAI-W</t>
        </is>
      </c>
    </row>
    <row r="604">
      <c r="A604" s="32" t="inlineStr">
        <is>
          <t>Hongda Group (Hong Kong) Co., Limited</t>
        </is>
      </c>
      <c r="B604" s="191" t="n">
        <v>1</v>
      </c>
      <c r="C604" s="193" t="n">
        <v>100</v>
      </c>
      <c r="D604" s="194" t="n">
        <v>10</v>
      </c>
      <c r="E604" s="194" t="n">
        <v>8.1</v>
      </c>
      <c r="F604" s="194" t="n">
        <v>-20.5</v>
      </c>
      <c r="G604" s="194" t="n">
        <v>-20.4</v>
      </c>
      <c r="H604" s="194" t="n">
        <v>-1.7</v>
      </c>
      <c r="I604" s="194" t="n">
        <v>-27.7</v>
      </c>
      <c r="J604" s="194" t="n">
        <v>-27.6</v>
      </c>
      <c r="K604" s="195" t="inlineStr">
        <is>
          <t>2525 HESAI-W</t>
        </is>
      </c>
    </row>
    <row r="605">
      <c r="A605" s="32" t="inlineStr">
        <is>
          <t>Commando Global Fund</t>
        </is>
      </c>
      <c r="B605" s="191" t="n">
        <v>1</v>
      </c>
      <c r="C605" s="193" t="n">
        <v>100</v>
      </c>
      <c r="D605" s="194" t="n">
        <v>10</v>
      </c>
      <c r="E605" s="194" t="n">
        <v>8.1</v>
      </c>
      <c r="F605" s="194" t="n">
        <v>-20.5</v>
      </c>
      <c r="G605" s="194" t="n">
        <v>-20.4</v>
      </c>
      <c r="H605" s="194" t="n">
        <v>-1.7</v>
      </c>
      <c r="I605" s="194" t="n">
        <v>-27.7</v>
      </c>
      <c r="J605" s="194" t="n">
        <v>-27.6</v>
      </c>
      <c r="K605" s="195" t="inlineStr">
        <is>
          <t>2525 HESAI-W</t>
        </is>
      </c>
    </row>
    <row r="606">
      <c r="A606" s="32" t="inlineStr">
        <is>
          <t>ZIJINNING</t>
        </is>
      </c>
      <c r="B606" s="191" t="n">
        <v>1</v>
      </c>
      <c r="C606" s="193" t="n">
        <v>100</v>
      </c>
      <c r="D606" s="194" t="n">
        <v>10</v>
      </c>
      <c r="E606" s="194" t="n">
        <v>2.6</v>
      </c>
      <c r="F606" s="194" t="n">
        <v>-5.6</v>
      </c>
      <c r="G606" s="196" t="n"/>
      <c r="H606" s="194" t="n">
        <v>-6.7</v>
      </c>
      <c r="I606" s="194" t="n">
        <v>-14.2</v>
      </c>
      <c r="J606" s="196" t="n"/>
      <c r="K606" s="195" t="inlineStr">
        <is>
          <t>7687 EACON</t>
        </is>
      </c>
    </row>
    <row r="607">
      <c r="A607" s="32" t="inlineStr">
        <is>
          <t>REGAL</t>
        </is>
      </c>
      <c r="B607" s="191" t="n">
        <v>1</v>
      </c>
      <c r="C607" s="193" t="n">
        <v>100</v>
      </c>
      <c r="D607" s="194" t="n">
        <v>10</v>
      </c>
      <c r="E607" s="194" t="n">
        <v>2.6</v>
      </c>
      <c r="F607" s="194" t="n">
        <v>-5.6</v>
      </c>
      <c r="G607" s="196" t="n"/>
      <c r="H607" s="194" t="n">
        <v>-6.7</v>
      </c>
      <c r="I607" s="194" t="n">
        <v>-14.2</v>
      </c>
      <c r="J607" s="196" t="n"/>
      <c r="K607" s="195" t="inlineStr">
        <is>
          <t>7687 EACON</t>
        </is>
      </c>
    </row>
    <row r="608">
      <c r="A608" s="32" t="inlineStr">
        <is>
          <t>EDB Investments</t>
        </is>
      </c>
      <c r="B608" s="191" t="n">
        <v>1</v>
      </c>
      <c r="C608" s="193" t="n">
        <v>100</v>
      </c>
      <c r="D608" s="194" t="n">
        <v>9.9</v>
      </c>
      <c r="E608" s="194" t="n">
        <v>25.4</v>
      </c>
      <c r="F608" s="194" t="n">
        <v>25.1</v>
      </c>
      <c r="G608" s="194" t="n">
        <v>-17.4</v>
      </c>
      <c r="H608" s="194" t="n">
        <v>14.1</v>
      </c>
      <c r="I608" s="194" t="n">
        <v>13.9</v>
      </c>
      <c r="J608" s="194" t="n">
        <v>-24.9</v>
      </c>
      <c r="K608" s="195" t="inlineStr">
        <is>
          <t>9959 LINKLOGIS–W</t>
        </is>
      </c>
    </row>
    <row r="609">
      <c r="A609" s="32" t="inlineStr">
        <is>
          <t>Ontario Teachers Pension Plan Board</t>
        </is>
      </c>
      <c r="B609" s="191" t="n">
        <v>1</v>
      </c>
      <c r="C609" s="193" t="n">
        <v>100</v>
      </c>
      <c r="D609" s="194" t="n">
        <v>9.9</v>
      </c>
      <c r="E609" s="194" t="n">
        <v>25.4</v>
      </c>
      <c r="F609" s="194" t="n">
        <v>25.1</v>
      </c>
      <c r="G609" s="194" t="n">
        <v>-17.4</v>
      </c>
      <c r="H609" s="194" t="n">
        <v>14.1</v>
      </c>
      <c r="I609" s="194" t="n">
        <v>13.9</v>
      </c>
      <c r="J609" s="194" t="n">
        <v>-24.9</v>
      </c>
      <c r="K609" s="195" t="inlineStr">
        <is>
          <t>9959 LINKLOGIS–W</t>
        </is>
      </c>
    </row>
    <row r="610">
      <c r="A610" s="32" t="inlineStr">
        <is>
          <t>Sequoia Funds</t>
        </is>
      </c>
      <c r="B610" s="191" t="n">
        <v>1</v>
      </c>
      <c r="C610" s="193" t="n">
        <v>100</v>
      </c>
      <c r="D610" s="194" t="n">
        <v>9.9</v>
      </c>
      <c r="E610" s="194" t="n">
        <v>25.4</v>
      </c>
      <c r="F610" s="194" t="n">
        <v>25.1</v>
      </c>
      <c r="G610" s="194" t="n">
        <v>-17.4</v>
      </c>
      <c r="H610" s="194" t="n">
        <v>14.1</v>
      </c>
      <c r="I610" s="194" t="n">
        <v>13.9</v>
      </c>
      <c r="J610" s="194" t="n">
        <v>-24.9</v>
      </c>
      <c r="K610" s="195" t="inlineStr">
        <is>
          <t>9959 LINKLOGIS–W</t>
        </is>
      </c>
    </row>
    <row r="611">
      <c r="A611" s="32" t="inlineStr">
        <is>
          <t>Successful Lotus Limited</t>
        </is>
      </c>
      <c r="B611" s="191" t="n">
        <v>1</v>
      </c>
      <c r="C611" s="193" t="n">
        <v>100</v>
      </c>
      <c r="D611" s="194" t="n">
        <v>9.800000000000001</v>
      </c>
      <c r="E611" s="194" t="n">
        <v>0.4</v>
      </c>
      <c r="F611" s="194" t="n">
        <v>9.800000000000001</v>
      </c>
      <c r="G611" s="194" t="n">
        <v>165.9</v>
      </c>
      <c r="H611" s="194" t="n">
        <v>-8.6</v>
      </c>
      <c r="I611" s="194" t="n">
        <v>0</v>
      </c>
      <c r="J611" s="194" t="n">
        <v>142.1</v>
      </c>
      <c r="K611" s="195" t="inlineStr">
        <is>
          <t>2228 QUANTUMPH-P</t>
        </is>
      </c>
    </row>
    <row r="612">
      <c r="A612" s="32" t="inlineStr">
        <is>
          <t>IntelliMed One Investment Limited</t>
        </is>
      </c>
      <c r="B612" s="191" t="n">
        <v>1</v>
      </c>
      <c r="C612" s="193" t="n">
        <v>100</v>
      </c>
      <c r="D612" s="194" t="n">
        <v>9.800000000000001</v>
      </c>
      <c r="E612" s="194" t="n">
        <v>0.4</v>
      </c>
      <c r="F612" s="194" t="n">
        <v>9.800000000000001</v>
      </c>
      <c r="G612" s="194" t="n">
        <v>165.9</v>
      </c>
      <c r="H612" s="194" t="n">
        <v>-8.6</v>
      </c>
      <c r="I612" s="194" t="n">
        <v>0</v>
      </c>
      <c r="J612" s="194" t="n">
        <v>142.1</v>
      </c>
      <c r="K612" s="195" t="inlineStr">
        <is>
          <t>2228 QUANTUMPH-P</t>
        </is>
      </c>
    </row>
    <row r="613">
      <c r="A613" s="32" t="inlineStr">
        <is>
          <t>Mammoth Medical Solutions</t>
        </is>
      </c>
      <c r="B613" s="191" t="n">
        <v>1</v>
      </c>
      <c r="C613" s="193" t="n">
        <v>100</v>
      </c>
      <c r="D613" s="194" t="n">
        <v>9.800000000000001</v>
      </c>
      <c r="E613" s="194" t="n">
        <v>0.4</v>
      </c>
      <c r="F613" s="194" t="n">
        <v>9.800000000000001</v>
      </c>
      <c r="G613" s="194" t="n">
        <v>165.9</v>
      </c>
      <c r="H613" s="194" t="n">
        <v>-8.6</v>
      </c>
      <c r="I613" s="194" t="n">
        <v>0</v>
      </c>
      <c r="J613" s="194" t="n">
        <v>142.1</v>
      </c>
      <c r="K613" s="195" t="inlineStr">
        <is>
          <t>2228 QUANTUMPH-P</t>
        </is>
      </c>
    </row>
    <row r="614">
      <c r="A614" s="32" t="inlineStr">
        <is>
          <t>Begonia No. 1 LPF</t>
        </is>
      </c>
      <c r="B614" s="191" t="n">
        <v>1</v>
      </c>
      <c r="C614" s="193" t="n">
        <v>100</v>
      </c>
      <c r="D614" s="194" t="n">
        <v>9.800000000000001</v>
      </c>
      <c r="E614" s="194" t="n">
        <v>0.4</v>
      </c>
      <c r="F614" s="194" t="n">
        <v>9.800000000000001</v>
      </c>
      <c r="G614" s="194" t="n">
        <v>165.9</v>
      </c>
      <c r="H614" s="194" t="n">
        <v>-8.6</v>
      </c>
      <c r="I614" s="194" t="n">
        <v>0</v>
      </c>
      <c r="J614" s="194" t="n">
        <v>142.1</v>
      </c>
      <c r="K614" s="195" t="inlineStr">
        <is>
          <t>2228 QUANTUMPH-P</t>
        </is>
      </c>
    </row>
    <row r="615">
      <c r="A615" s="32" t="inlineStr">
        <is>
          <t>Prof. Bradley Lether Pentelute</t>
        </is>
      </c>
      <c r="B615" s="191" t="n">
        <v>1</v>
      </c>
      <c r="C615" s="193" t="n">
        <v>100</v>
      </c>
      <c r="D615" s="194" t="n">
        <v>9.800000000000001</v>
      </c>
      <c r="E615" s="194" t="n">
        <v>0.4</v>
      </c>
      <c r="F615" s="194" t="n">
        <v>9.800000000000001</v>
      </c>
      <c r="G615" s="194" t="n">
        <v>165.9</v>
      </c>
      <c r="H615" s="194" t="n">
        <v>-8.6</v>
      </c>
      <c r="I615" s="194" t="n">
        <v>0</v>
      </c>
      <c r="J615" s="194" t="n">
        <v>142.1</v>
      </c>
      <c r="K615" s="195" t="inlineStr">
        <is>
          <t>2228 QUANTUMPH-P</t>
        </is>
      </c>
    </row>
    <row r="616">
      <c r="A616" s="32" t="inlineStr">
        <is>
          <t>Biocytogen Pharmaceuticals (Beijing) Co., Ltd. 醫藥科技股份有 限公司</t>
        </is>
      </c>
      <c r="B616" s="191" t="n">
        <v>1</v>
      </c>
      <c r="C616" s="193" t="n">
        <v>100</v>
      </c>
      <c r="D616" s="194" t="n">
        <v>9.800000000000001</v>
      </c>
      <c r="E616" s="194" t="n">
        <v>0.4</v>
      </c>
      <c r="F616" s="194" t="n">
        <v>9.800000000000001</v>
      </c>
      <c r="G616" s="194" t="n">
        <v>165.9</v>
      </c>
      <c r="H616" s="194" t="n">
        <v>-8.6</v>
      </c>
      <c r="I616" s="194" t="n">
        <v>0</v>
      </c>
      <c r="J616" s="194" t="n">
        <v>142.1</v>
      </c>
      <c r="K616" s="195" t="inlineStr">
        <is>
          <t>2228 QUANTUMPH-P</t>
        </is>
      </c>
    </row>
    <row r="617">
      <c r="A617" s="32" t="inlineStr">
        <is>
          <t>FaaS Capital Longevity Limited</t>
        </is>
      </c>
      <c r="B617" s="191" t="n">
        <v>1</v>
      </c>
      <c r="C617" s="193" t="n">
        <v>100</v>
      </c>
      <c r="D617" s="194" t="n">
        <v>9.800000000000001</v>
      </c>
      <c r="E617" s="194" t="n">
        <v>0.4</v>
      </c>
      <c r="F617" s="194" t="n">
        <v>9.800000000000001</v>
      </c>
      <c r="G617" s="194" t="n">
        <v>165.9</v>
      </c>
      <c r="H617" s="194" t="n">
        <v>-8.6</v>
      </c>
      <c r="I617" s="194" t="n">
        <v>0</v>
      </c>
      <c r="J617" s="194" t="n">
        <v>142.1</v>
      </c>
      <c r="K617" s="195" t="inlineStr">
        <is>
          <t>2228 QUANTUMPH-P</t>
        </is>
      </c>
    </row>
    <row r="618">
      <c r="A618" s="32" t="inlineStr">
        <is>
          <t>SynerSuccess Capital Ltd</t>
        </is>
      </c>
      <c r="B618" s="191" t="n">
        <v>1</v>
      </c>
      <c r="C618" s="193" t="n">
        <v>100</v>
      </c>
      <c r="D618" s="194" t="n">
        <v>9.300000000000001</v>
      </c>
      <c r="E618" s="194" t="n">
        <v>6.7</v>
      </c>
      <c r="F618" s="194" t="n">
        <v>3.6</v>
      </c>
      <c r="G618" s="194" t="n">
        <v>-18.3</v>
      </c>
      <c r="H618" s="194" t="n">
        <v>-2.4</v>
      </c>
      <c r="I618" s="194" t="n">
        <v>-5.2</v>
      </c>
      <c r="J618" s="194" t="n">
        <v>-25.2</v>
      </c>
      <c r="K618" s="195" t="inlineStr">
        <is>
          <t>2657 FOREST CABIN</t>
        </is>
      </c>
    </row>
    <row r="619">
      <c r="A619" s="32" t="inlineStr">
        <is>
          <t>Olympic Country Company Limited</t>
        </is>
      </c>
      <c r="B619" s="191" t="n">
        <v>1</v>
      </c>
      <c r="C619" s="193" t="n">
        <v>100</v>
      </c>
      <c r="D619" s="194" t="n">
        <v>9.1</v>
      </c>
      <c r="E619" s="194" t="n">
        <v>6.4</v>
      </c>
      <c r="F619" s="194" t="n">
        <v>16.1</v>
      </c>
      <c r="G619" s="194" t="n">
        <v>76.8</v>
      </c>
      <c r="H619" s="194" t="n">
        <v>-2.5</v>
      </c>
      <c r="I619" s="194" t="n">
        <v>6.3</v>
      </c>
      <c r="J619" s="194" t="n">
        <v>62</v>
      </c>
      <c r="K619" s="195" t="inlineStr">
        <is>
          <t>6613 LENS</t>
        </is>
      </c>
    </row>
    <row r="620">
      <c r="A620" s="32" t="inlineStr">
        <is>
          <t>QRT Master Fund SPC</t>
        </is>
      </c>
      <c r="B620" s="191" t="n">
        <v>1</v>
      </c>
      <c r="C620" s="193" t="n">
        <v>100</v>
      </c>
      <c r="D620" s="194" t="n">
        <v>9.1</v>
      </c>
      <c r="E620" s="194" t="n">
        <v>6.4</v>
      </c>
      <c r="F620" s="194" t="n">
        <v>16.1</v>
      </c>
      <c r="G620" s="194" t="n">
        <v>76.8</v>
      </c>
      <c r="H620" s="194" t="n">
        <v>-2.5</v>
      </c>
      <c r="I620" s="194" t="n">
        <v>6.3</v>
      </c>
      <c r="J620" s="194" t="n">
        <v>62</v>
      </c>
      <c r="K620" s="195" t="inlineStr">
        <is>
          <t>6613 LENS</t>
        </is>
      </c>
    </row>
    <row r="621">
      <c r="A621" s="32" t="inlineStr">
        <is>
          <t>XN Mountain International Limited</t>
        </is>
      </c>
      <c r="B621" s="191" t="n">
        <v>1</v>
      </c>
      <c r="C621" s="193" t="n">
        <v>100</v>
      </c>
      <c r="D621" s="194" t="n">
        <v>8.4</v>
      </c>
      <c r="E621" s="194" t="n">
        <v>21.7</v>
      </c>
      <c r="F621" s="194" t="n">
        <v>14.2</v>
      </c>
      <c r="G621" s="194" t="n">
        <v>156.6</v>
      </c>
      <c r="H621" s="194" t="n">
        <v>12.2</v>
      </c>
      <c r="I621" s="194" t="n">
        <v>5.4</v>
      </c>
      <c r="J621" s="194" t="n">
        <v>136.6</v>
      </c>
      <c r="K621" s="195" t="inlineStr">
        <is>
          <t>9903 ILUVATAR COREX</t>
        </is>
      </c>
    </row>
    <row r="622">
      <c r="A622" s="32" t="inlineStr">
        <is>
          <t>Teamsun Technology (HK) Limited</t>
        </is>
      </c>
      <c r="B622" s="191" t="n">
        <v>1</v>
      </c>
      <c r="C622" s="193" t="n">
        <v>100</v>
      </c>
      <c r="D622" s="194" t="n">
        <v>8.4</v>
      </c>
      <c r="E622" s="194" t="n">
        <v>21.7</v>
      </c>
      <c r="F622" s="194" t="n">
        <v>14.2</v>
      </c>
      <c r="G622" s="194" t="n">
        <v>156.6</v>
      </c>
      <c r="H622" s="194" t="n">
        <v>12.2</v>
      </c>
      <c r="I622" s="194" t="n">
        <v>5.4</v>
      </c>
      <c r="J622" s="194" t="n">
        <v>136.6</v>
      </c>
      <c r="K622" s="195" t="inlineStr">
        <is>
          <t>9903 ILUVATAR COREX</t>
        </is>
      </c>
    </row>
    <row r="623">
      <c r="A623" s="32" t="inlineStr">
        <is>
          <t>Qin Wan Investment Limited</t>
        </is>
      </c>
      <c r="B623" s="191" t="n">
        <v>1</v>
      </c>
      <c r="C623" s="193" t="n">
        <v>100</v>
      </c>
      <c r="D623" s="194" t="n">
        <v>8.4</v>
      </c>
      <c r="E623" s="194" t="n">
        <v>21.7</v>
      </c>
      <c r="F623" s="194" t="n">
        <v>14.2</v>
      </c>
      <c r="G623" s="194" t="n">
        <v>156.6</v>
      </c>
      <c r="H623" s="194" t="n">
        <v>12.2</v>
      </c>
      <c r="I623" s="194" t="n">
        <v>5.4</v>
      </c>
      <c r="J623" s="194" t="n">
        <v>136.6</v>
      </c>
      <c r="K623" s="195" t="inlineStr">
        <is>
          <t>9903 ILUVATAR COREX</t>
        </is>
      </c>
    </row>
    <row r="624">
      <c r="A624" s="32" t="inlineStr">
        <is>
          <t>OCM Limited</t>
        </is>
      </c>
      <c r="B624" s="191" t="n">
        <v>1</v>
      </c>
      <c r="C624" s="193" t="n">
        <v>100</v>
      </c>
      <c r="D624" s="194" t="n">
        <v>8.4</v>
      </c>
      <c r="E624" s="194" t="n">
        <v>21.7</v>
      </c>
      <c r="F624" s="194" t="n">
        <v>14.2</v>
      </c>
      <c r="G624" s="194" t="n">
        <v>156.6</v>
      </c>
      <c r="H624" s="194" t="n">
        <v>12.2</v>
      </c>
      <c r="I624" s="194" t="n">
        <v>5.4</v>
      </c>
      <c r="J624" s="194" t="n">
        <v>136.6</v>
      </c>
      <c r="K624" s="195" t="inlineStr">
        <is>
          <t>9903 ILUVATAR COREX</t>
        </is>
      </c>
    </row>
    <row r="625">
      <c r="A625" s="32" t="inlineStr">
        <is>
          <t>Fourth Paradigm International Limited</t>
        </is>
      </c>
      <c r="B625" s="191" t="n">
        <v>1</v>
      </c>
      <c r="C625" s="193" t="n">
        <v>100</v>
      </c>
      <c r="D625" s="194" t="n">
        <v>8.4</v>
      </c>
      <c r="E625" s="194" t="n">
        <v>21.7</v>
      </c>
      <c r="F625" s="194" t="n">
        <v>14.2</v>
      </c>
      <c r="G625" s="194" t="n">
        <v>156.6</v>
      </c>
      <c r="H625" s="194" t="n">
        <v>12.2</v>
      </c>
      <c r="I625" s="194" t="n">
        <v>5.4</v>
      </c>
      <c r="J625" s="194" t="n">
        <v>136.6</v>
      </c>
      <c r="K625" s="195" t="inlineStr">
        <is>
          <t>9903 ILUVATAR COREX</t>
        </is>
      </c>
    </row>
    <row r="626">
      <c r="A626" s="32" t="inlineStr">
        <is>
          <t>Engine International Technology Co., Limited</t>
        </is>
      </c>
      <c r="B626" s="191" t="n">
        <v>1</v>
      </c>
      <c r="C626" s="193" t="n">
        <v>100</v>
      </c>
      <c r="D626" s="194" t="n">
        <v>8.4</v>
      </c>
      <c r="E626" s="194" t="n">
        <v>21.7</v>
      </c>
      <c r="F626" s="194" t="n">
        <v>14.2</v>
      </c>
      <c r="G626" s="194" t="n">
        <v>156.6</v>
      </c>
      <c r="H626" s="194" t="n">
        <v>12.2</v>
      </c>
      <c r="I626" s="194" t="n">
        <v>5.4</v>
      </c>
      <c r="J626" s="194" t="n">
        <v>136.6</v>
      </c>
      <c r="K626" s="195" t="inlineStr">
        <is>
          <t>9903 ILUVATAR COREX</t>
        </is>
      </c>
    </row>
    <row r="627">
      <c r="A627" s="32" t="inlineStr">
        <is>
          <t>DeepRoot Alpha Ltd</t>
        </is>
      </c>
      <c r="B627" s="191" t="n">
        <v>1</v>
      </c>
      <c r="C627" s="193" t="n">
        <v>100</v>
      </c>
      <c r="D627" s="194" t="n">
        <v>8.4</v>
      </c>
      <c r="E627" s="194" t="n">
        <v>21.7</v>
      </c>
      <c r="F627" s="194" t="n">
        <v>14.2</v>
      </c>
      <c r="G627" s="194" t="n">
        <v>156.6</v>
      </c>
      <c r="H627" s="194" t="n">
        <v>12.2</v>
      </c>
      <c r="I627" s="194" t="n">
        <v>5.4</v>
      </c>
      <c r="J627" s="194" t="n">
        <v>136.6</v>
      </c>
      <c r="K627" s="195" t="inlineStr">
        <is>
          <t>9903 ILUVATAR COREX</t>
        </is>
      </c>
    </row>
    <row r="628">
      <c r="A628" s="32" t="inlineStr">
        <is>
          <t>CFIG Holdings Limited</t>
        </is>
      </c>
      <c r="B628" s="191" t="n">
        <v>1</v>
      </c>
      <c r="C628" s="193" t="n">
        <v>100</v>
      </c>
      <c r="D628" s="194" t="n">
        <v>8.4</v>
      </c>
      <c r="E628" s="194" t="n">
        <v>21.7</v>
      </c>
      <c r="F628" s="194" t="n">
        <v>14.2</v>
      </c>
      <c r="G628" s="194" t="n">
        <v>156.6</v>
      </c>
      <c r="H628" s="194" t="n">
        <v>12.2</v>
      </c>
      <c r="I628" s="194" t="n">
        <v>5.4</v>
      </c>
      <c r="J628" s="194" t="n">
        <v>136.6</v>
      </c>
      <c r="K628" s="195" t="inlineStr">
        <is>
          <t>9903 ILUVATAR COREX</t>
        </is>
      </c>
    </row>
    <row r="629">
      <c r="A629" s="32" t="inlineStr">
        <is>
          <t>Richfirm (Hong Kong) Development Limited</t>
        </is>
      </c>
      <c r="B629" s="191" t="n">
        <v>1</v>
      </c>
      <c r="C629" s="193" t="n">
        <v>100</v>
      </c>
      <c r="D629" s="194" t="n">
        <v>8.199999999999999</v>
      </c>
      <c r="E629" s="194" t="n">
        <v>5.4</v>
      </c>
      <c r="F629" s="194" t="n">
        <v>16.2</v>
      </c>
      <c r="G629" s="194" t="n">
        <v>-9.1</v>
      </c>
      <c r="H629" s="194" t="n">
        <v>-2.6</v>
      </c>
      <c r="I629" s="194" t="n">
        <v>7.4</v>
      </c>
      <c r="J629" s="194" t="n">
        <v>-16</v>
      </c>
      <c r="K629" s="195" t="inlineStr">
        <is>
          <t>1021 HUAYAN ROBOTICS</t>
        </is>
      </c>
    </row>
    <row r="630">
      <c r="A630" s="32" t="inlineStr">
        <is>
          <t>Samson Group Limited</t>
        </is>
      </c>
      <c r="B630" s="191" t="n">
        <v>1</v>
      </c>
      <c r="C630" s="193" t="n">
        <v>100</v>
      </c>
      <c r="D630" s="194" t="n">
        <v>8.199999999999999</v>
      </c>
      <c r="E630" s="194" t="n">
        <v>5.4</v>
      </c>
      <c r="F630" s="194" t="n">
        <v>16.2</v>
      </c>
      <c r="G630" s="194" t="n">
        <v>-9.1</v>
      </c>
      <c r="H630" s="194" t="n">
        <v>-2.6</v>
      </c>
      <c r="I630" s="194" t="n">
        <v>7.4</v>
      </c>
      <c r="J630" s="194" t="n">
        <v>-16</v>
      </c>
      <c r="K630" s="195" t="inlineStr">
        <is>
          <t>1021 HUAYAN ROBOTICS</t>
        </is>
      </c>
    </row>
    <row r="631">
      <c r="A631" s="32" t="inlineStr">
        <is>
          <t>Shrewd Pioneer Limited</t>
        </is>
      </c>
      <c r="B631" s="191" t="n">
        <v>1</v>
      </c>
      <c r="C631" s="193" t="n">
        <v>100</v>
      </c>
      <c r="D631" s="194" t="n">
        <v>8.199999999999999</v>
      </c>
      <c r="E631" s="194" t="n">
        <v>5.4</v>
      </c>
      <c r="F631" s="194" t="n">
        <v>16.2</v>
      </c>
      <c r="G631" s="194" t="n">
        <v>-9.1</v>
      </c>
      <c r="H631" s="194" t="n">
        <v>-2.6</v>
      </c>
      <c r="I631" s="194" t="n">
        <v>7.4</v>
      </c>
      <c r="J631" s="194" t="n">
        <v>-16</v>
      </c>
      <c r="K631" s="195" t="inlineStr">
        <is>
          <t>1021 HUAYAN ROBOTICS</t>
        </is>
      </c>
    </row>
    <row r="632">
      <c r="A632" s="32" t="inlineStr">
        <is>
          <t>He Sheng Overseas Holdings Limited</t>
        </is>
      </c>
      <c r="B632" s="191" t="n">
        <v>1</v>
      </c>
      <c r="C632" s="193" t="n">
        <v>100</v>
      </c>
      <c r="D632" s="194" t="n">
        <v>8.1</v>
      </c>
      <c r="E632" s="194" t="n">
        <v>11.9</v>
      </c>
      <c r="F632" s="194" t="n">
        <v>8.9</v>
      </c>
      <c r="G632" s="194" t="n">
        <v>14.1</v>
      </c>
      <c r="H632" s="194" t="n">
        <v>3.5</v>
      </c>
      <c r="I632" s="194" t="n">
        <v>0.8</v>
      </c>
      <c r="J632" s="194" t="n">
        <v>5.5</v>
      </c>
      <c r="K632" s="195" t="inlineStr">
        <is>
          <t>0606 SCE CM</t>
        </is>
      </c>
    </row>
    <row r="633">
      <c r="A633" s="32" t="inlineStr">
        <is>
          <t>Lam Yuen Ying</t>
        </is>
      </c>
      <c r="B633" s="191" t="n">
        <v>1</v>
      </c>
      <c r="C633" s="193" t="n">
        <v>100</v>
      </c>
      <c r="D633" s="194" t="n">
        <v>8.1</v>
      </c>
      <c r="E633" s="194" t="n">
        <v>11.9</v>
      </c>
      <c r="F633" s="194" t="n">
        <v>8.9</v>
      </c>
      <c r="G633" s="194" t="n">
        <v>14.1</v>
      </c>
      <c r="H633" s="194" t="n">
        <v>3.5</v>
      </c>
      <c r="I633" s="194" t="n">
        <v>0.8</v>
      </c>
      <c r="J633" s="194" t="n">
        <v>5.5</v>
      </c>
      <c r="K633" s="195" t="inlineStr">
        <is>
          <t>0606 SCE CM</t>
        </is>
      </c>
    </row>
    <row r="634">
      <c r="A634" s="32" t="inlineStr">
        <is>
          <t>TX Capital Value Fund</t>
        </is>
      </c>
      <c r="B634" s="191" t="n">
        <v>1</v>
      </c>
      <c r="C634" s="193" t="n">
        <v>100</v>
      </c>
      <c r="D634" s="194" t="n">
        <v>8.1</v>
      </c>
      <c r="E634" s="194" t="n">
        <v>11.9</v>
      </c>
      <c r="F634" s="194" t="n">
        <v>8.9</v>
      </c>
      <c r="G634" s="194" t="n">
        <v>14.1</v>
      </c>
      <c r="H634" s="194" t="n">
        <v>3.5</v>
      </c>
      <c r="I634" s="194" t="n">
        <v>0.8</v>
      </c>
      <c r="J634" s="194" t="n">
        <v>5.5</v>
      </c>
      <c r="K634" s="195" t="inlineStr">
        <is>
          <t>0606 SCE CM</t>
        </is>
      </c>
    </row>
    <row r="635">
      <c r="A635" s="32" t="inlineStr">
        <is>
          <t>Splendor Achieve Limited</t>
        </is>
      </c>
      <c r="B635" s="191" t="n">
        <v>1</v>
      </c>
      <c r="C635" s="193" t="n">
        <v>100</v>
      </c>
      <c r="D635" s="194" t="n">
        <v>7.8</v>
      </c>
      <c r="E635" s="194" t="n">
        <v>29</v>
      </c>
      <c r="F635" s="194" t="n">
        <v>36.7</v>
      </c>
      <c r="G635" s="194" t="n">
        <v>39</v>
      </c>
      <c r="H635" s="194" t="n">
        <v>19.6</v>
      </c>
      <c r="I635" s="194" t="n">
        <v>26.7</v>
      </c>
      <c r="J635" s="194" t="n">
        <v>28.9</v>
      </c>
      <c r="K635" s="195" t="inlineStr">
        <is>
          <t>0300 MIDEA GROUP</t>
        </is>
      </c>
    </row>
    <row r="636">
      <c r="A636" s="32" t="inlineStr">
        <is>
          <t>Vanguard Focus Limited</t>
        </is>
      </c>
      <c r="B636" s="191" t="n">
        <v>1</v>
      </c>
      <c r="C636" s="193" t="n">
        <v>100</v>
      </c>
      <c r="D636" s="194" t="n">
        <v>7.8</v>
      </c>
      <c r="E636" s="194" t="n">
        <v>29</v>
      </c>
      <c r="F636" s="194" t="n">
        <v>36.7</v>
      </c>
      <c r="G636" s="194" t="n">
        <v>39</v>
      </c>
      <c r="H636" s="194" t="n">
        <v>19.6</v>
      </c>
      <c r="I636" s="194" t="n">
        <v>26.7</v>
      </c>
      <c r="J636" s="194" t="n">
        <v>28.9</v>
      </c>
      <c r="K636" s="195" t="inlineStr">
        <is>
          <t>0300 MIDEA GROUP</t>
        </is>
      </c>
    </row>
    <row r="637">
      <c r="A637" s="32" t="inlineStr">
        <is>
          <t>YHLO (Hong Kong) Limited</t>
        </is>
      </c>
      <c r="B637" s="191" t="n">
        <v>1</v>
      </c>
      <c r="C637" s="193" t="n">
        <v>100</v>
      </c>
      <c r="D637" s="194" t="n">
        <v>7.7</v>
      </c>
      <c r="E637" s="194" t="n">
        <v>15.3</v>
      </c>
      <c r="F637" s="194" t="n">
        <v>94.40000000000001</v>
      </c>
      <c r="G637" s="194" t="n">
        <v>129.4</v>
      </c>
      <c r="H637" s="194" t="n">
        <v>7.1</v>
      </c>
      <c r="I637" s="194" t="n">
        <v>80.5</v>
      </c>
      <c r="J637" s="194" t="n">
        <v>112.9</v>
      </c>
      <c r="K637" s="195" t="inlineStr">
        <is>
          <t>2325 YUNKANG GROUP</t>
        </is>
      </c>
    </row>
    <row r="638">
      <c r="A638" s="32" t="inlineStr">
        <is>
          <t>Cangzhou Chuangrong Equity Investment Fund Co., Ltd</t>
        </is>
      </c>
      <c r="B638" s="191" t="n">
        <v>1</v>
      </c>
      <c r="C638" s="193" t="n">
        <v>100</v>
      </c>
      <c r="D638" s="194" t="n">
        <v>7.7</v>
      </c>
      <c r="E638" s="194" t="n">
        <v>1.9</v>
      </c>
      <c r="F638" s="194" t="n">
        <v>5.2</v>
      </c>
      <c r="G638" s="194" t="n">
        <v>-50.6</v>
      </c>
      <c r="H638" s="194" t="n">
        <v>-5.3</v>
      </c>
      <c r="I638" s="194" t="n">
        <v>-2.3</v>
      </c>
      <c r="J638" s="194" t="n">
        <v>-54.1</v>
      </c>
      <c r="K638" s="195" t="inlineStr">
        <is>
          <t>2511 HIGHTIDE-B</t>
        </is>
      </c>
    </row>
    <row r="639">
      <c r="A639" s="32" t="inlineStr">
        <is>
          <t>Tiny Jade Holdings (HK) Co., Limited</t>
        </is>
      </c>
      <c r="B639" s="191" t="n">
        <v>1</v>
      </c>
      <c r="C639" s="193" t="n">
        <v>100</v>
      </c>
      <c r="D639" s="194" t="n">
        <v>7.6</v>
      </c>
      <c r="E639" s="194" t="n">
        <v>4.2</v>
      </c>
      <c r="F639" s="194" t="n">
        <v>-29.6</v>
      </c>
      <c r="G639" s="194" t="n">
        <v>-42.2</v>
      </c>
      <c r="H639" s="194" t="n">
        <v>-3.1</v>
      </c>
      <c r="I639" s="194" t="n">
        <v>-34.6</v>
      </c>
      <c r="J639" s="194" t="n">
        <v>-46.3</v>
      </c>
      <c r="K639" s="195" t="inlineStr">
        <is>
          <t>2671 USAS BUILDING</t>
        </is>
      </c>
    </row>
    <row r="640">
      <c r="A640" s="32" t="inlineStr">
        <is>
          <t>Wu Xinghua</t>
        </is>
      </c>
      <c r="B640" s="191" t="n">
        <v>1</v>
      </c>
      <c r="C640" s="193" t="n">
        <v>100</v>
      </c>
      <c r="D640" s="194" t="n">
        <v>7.6</v>
      </c>
      <c r="E640" s="194" t="n">
        <v>4.2</v>
      </c>
      <c r="F640" s="194" t="n">
        <v>-29.6</v>
      </c>
      <c r="G640" s="194" t="n">
        <v>-42.2</v>
      </c>
      <c r="H640" s="194" t="n">
        <v>-3.1</v>
      </c>
      <c r="I640" s="194" t="n">
        <v>-34.6</v>
      </c>
      <c r="J640" s="194" t="n">
        <v>-46.3</v>
      </c>
      <c r="K640" s="195" t="inlineStr">
        <is>
          <t>2671 USAS BUILDING</t>
        </is>
      </c>
    </row>
    <row r="641">
      <c r="A641" s="32" t="inlineStr">
        <is>
          <t>Logic Selective Value Investment Funds SPC</t>
        </is>
      </c>
      <c r="B641" s="191" t="n">
        <v>1</v>
      </c>
      <c r="C641" s="193" t="n">
        <v>100</v>
      </c>
      <c r="D641" s="194" t="n">
        <v>7.6</v>
      </c>
      <c r="E641" s="194" t="n">
        <v>4.2</v>
      </c>
      <c r="F641" s="194" t="n">
        <v>-29.6</v>
      </c>
      <c r="G641" s="194" t="n">
        <v>-42.2</v>
      </c>
      <c r="H641" s="194" t="n">
        <v>-3.1</v>
      </c>
      <c r="I641" s="194" t="n">
        <v>-34.6</v>
      </c>
      <c r="J641" s="194" t="n">
        <v>-46.3</v>
      </c>
      <c r="K641" s="195" t="inlineStr">
        <is>
          <t>2671 USAS BUILDING</t>
        </is>
      </c>
    </row>
    <row r="642">
      <c r="A642" s="32" t="inlineStr">
        <is>
          <t>Tianjin Haitai Capital</t>
        </is>
      </c>
      <c r="B642" s="191" t="n">
        <v>1</v>
      </c>
      <c r="C642" s="193" t="n">
        <v>100</v>
      </c>
      <c r="D642" s="194" t="n">
        <v>7.5</v>
      </c>
      <c r="E642" s="194" t="n">
        <v>-3.3</v>
      </c>
      <c r="F642" s="194" t="n">
        <v>13.5</v>
      </c>
      <c r="G642" s="194" t="n">
        <v>48.7</v>
      </c>
      <c r="H642" s="194" t="n">
        <v>-10.1</v>
      </c>
      <c r="I642" s="194" t="n">
        <v>5.6</v>
      </c>
      <c r="J642" s="194" t="n">
        <v>38.3</v>
      </c>
      <c r="K642" s="195" t="inlineStr">
        <is>
          <t>2585 MOKINGRAN</t>
        </is>
      </c>
    </row>
    <row r="643">
      <c r="A643" s="32" t="inlineStr">
        <is>
          <t>Matrix Capital (on behalf of Matrix Income SP)</t>
        </is>
      </c>
      <c r="B643" s="191" t="n">
        <v>1</v>
      </c>
      <c r="C643" s="193" t="n">
        <v>100</v>
      </c>
      <c r="D643" s="194" t="n">
        <v>7.5</v>
      </c>
      <c r="E643" s="194" t="n">
        <v>-3.3</v>
      </c>
      <c r="F643" s="194" t="n">
        <v>13.5</v>
      </c>
      <c r="G643" s="194" t="n">
        <v>48.7</v>
      </c>
      <c r="H643" s="194" t="n">
        <v>-10.1</v>
      </c>
      <c r="I643" s="194" t="n">
        <v>5.6</v>
      </c>
      <c r="J643" s="194" t="n">
        <v>38.3</v>
      </c>
      <c r="K643" s="195" t="inlineStr">
        <is>
          <t>2585 MOKINGRAN</t>
        </is>
      </c>
    </row>
    <row r="644">
      <c r="A644" s="32" t="inlineStr">
        <is>
          <t>Solid Elegance</t>
        </is>
      </c>
      <c r="B644" s="191" t="n">
        <v>1</v>
      </c>
      <c r="C644" s="193" t="n">
        <v>100</v>
      </c>
      <c r="D644" s="194" t="n">
        <v>7.5</v>
      </c>
      <c r="E644" s="194" t="n">
        <v>-3.3</v>
      </c>
      <c r="F644" s="194" t="n">
        <v>13.5</v>
      </c>
      <c r="G644" s="194" t="n">
        <v>48.7</v>
      </c>
      <c r="H644" s="194" t="n">
        <v>-10.1</v>
      </c>
      <c r="I644" s="194" t="n">
        <v>5.6</v>
      </c>
      <c r="J644" s="194" t="n">
        <v>38.3</v>
      </c>
      <c r="K644" s="195" t="inlineStr">
        <is>
          <t>2585 MOKINGRAN</t>
        </is>
      </c>
    </row>
    <row r="645">
      <c r="A645" s="32" t="inlineStr">
        <is>
          <t>Swift Grace</t>
        </is>
      </c>
      <c r="B645" s="191" t="n">
        <v>1</v>
      </c>
      <c r="C645" s="193" t="n">
        <v>100</v>
      </c>
      <c r="D645" s="194" t="n">
        <v>7.5</v>
      </c>
      <c r="E645" s="194" t="n">
        <v>-3.3</v>
      </c>
      <c r="F645" s="194" t="n">
        <v>13.5</v>
      </c>
      <c r="G645" s="194" t="n">
        <v>48.7</v>
      </c>
      <c r="H645" s="194" t="n">
        <v>-10.1</v>
      </c>
      <c r="I645" s="194" t="n">
        <v>5.6</v>
      </c>
      <c r="J645" s="194" t="n">
        <v>38.3</v>
      </c>
      <c r="K645" s="195" t="inlineStr">
        <is>
          <t>2585 MOKINGRAN</t>
        </is>
      </c>
    </row>
    <row r="646">
      <c r="A646" s="32" t="inlineStr">
        <is>
          <t>HK Technology Innovation</t>
        </is>
      </c>
      <c r="B646" s="191" t="n">
        <v>1</v>
      </c>
      <c r="C646" s="193" t="n">
        <v>100</v>
      </c>
      <c r="D646" s="194" t="n">
        <v>7.4</v>
      </c>
      <c r="E646" s="196" t="n"/>
      <c r="F646" s="196" t="n"/>
      <c r="G646" s="196" t="n"/>
      <c r="H646" s="196" t="n"/>
      <c r="I646" s="196" t="n"/>
      <c r="J646" s="196" t="n"/>
      <c r="K646" s="195" t="inlineStr">
        <is>
          <t>6731 DIRECT DRIVE</t>
        </is>
      </c>
    </row>
    <row r="647">
      <c r="A647" s="32" t="inlineStr">
        <is>
          <t>C-MER Eye Care Holdings Limited</t>
        </is>
      </c>
      <c r="B647" s="191" t="n">
        <v>1</v>
      </c>
      <c r="C647" s="193" t="n">
        <v>100</v>
      </c>
      <c r="D647" s="194" t="n">
        <v>7.3</v>
      </c>
      <c r="E647" s="194" t="n">
        <v>106.5</v>
      </c>
      <c r="F647" s="194" t="n">
        <v>64.2</v>
      </c>
      <c r="G647" s="194" t="n">
        <v>59</v>
      </c>
      <c r="H647" s="194" t="n">
        <v>92.5</v>
      </c>
      <c r="I647" s="194" t="n">
        <v>53</v>
      </c>
      <c r="J647" s="194" t="n">
        <v>48.2</v>
      </c>
      <c r="K647" s="195" t="inlineStr">
        <is>
          <t>0020 SENSETIME-W</t>
        </is>
      </c>
    </row>
    <row r="648">
      <c r="A648" s="32" t="inlineStr">
        <is>
          <t>Guosheng Overseas Holdings (Hong Kong) Limited</t>
        </is>
      </c>
      <c r="B648" s="191" t="n">
        <v>1</v>
      </c>
      <c r="C648" s="193" t="n">
        <v>100</v>
      </c>
      <c r="D648" s="194" t="n">
        <v>7.3</v>
      </c>
      <c r="E648" s="194" t="n">
        <v>106.5</v>
      </c>
      <c r="F648" s="194" t="n">
        <v>64.2</v>
      </c>
      <c r="G648" s="194" t="n">
        <v>59</v>
      </c>
      <c r="H648" s="194" t="n">
        <v>92.5</v>
      </c>
      <c r="I648" s="194" t="n">
        <v>53</v>
      </c>
      <c r="J648" s="194" t="n">
        <v>48.2</v>
      </c>
      <c r="K648" s="195" t="inlineStr">
        <is>
          <t>0020 SENSETIME-W</t>
        </is>
      </c>
    </row>
    <row r="649">
      <c r="A649" s="32" t="inlineStr">
        <is>
          <t>HKSTP Venture Fund</t>
        </is>
      </c>
      <c r="B649" s="191" t="n">
        <v>1</v>
      </c>
      <c r="C649" s="193" t="n">
        <v>100</v>
      </c>
      <c r="D649" s="194" t="n">
        <v>7.3</v>
      </c>
      <c r="E649" s="194" t="n">
        <v>106.5</v>
      </c>
      <c r="F649" s="194" t="n">
        <v>64.2</v>
      </c>
      <c r="G649" s="194" t="n">
        <v>59</v>
      </c>
      <c r="H649" s="194" t="n">
        <v>92.5</v>
      </c>
      <c r="I649" s="194" t="n">
        <v>53</v>
      </c>
      <c r="J649" s="194" t="n">
        <v>48.2</v>
      </c>
      <c r="K649" s="195" t="inlineStr">
        <is>
          <t>0020 SENSETIME-W</t>
        </is>
      </c>
    </row>
    <row r="650">
      <c r="A650" s="32" t="inlineStr">
        <is>
          <t>SAIC Motor HK Investment Limited</t>
        </is>
      </c>
      <c r="B650" s="191" t="n">
        <v>1</v>
      </c>
      <c r="C650" s="193" t="n">
        <v>100</v>
      </c>
      <c r="D650" s="194" t="n">
        <v>7.3</v>
      </c>
      <c r="E650" s="194" t="n">
        <v>106.5</v>
      </c>
      <c r="F650" s="194" t="n">
        <v>64.2</v>
      </c>
      <c r="G650" s="194" t="n">
        <v>59</v>
      </c>
      <c r="H650" s="194" t="n">
        <v>92.5</v>
      </c>
      <c r="I650" s="194" t="n">
        <v>53</v>
      </c>
      <c r="J650" s="194" t="n">
        <v>48.2</v>
      </c>
      <c r="K650" s="195" t="inlineStr">
        <is>
          <t>0020 SENSETIME-W</t>
        </is>
      </c>
    </row>
    <row r="651">
      <c r="A651" s="32" t="inlineStr">
        <is>
          <t>Shanghai Artificial Intelligence Industry Equity Investment Fund Partnership</t>
        </is>
      </c>
      <c r="B651" s="191" t="n">
        <v>1</v>
      </c>
      <c r="C651" s="193" t="n">
        <v>100</v>
      </c>
      <c r="D651" s="194" t="n">
        <v>7.3</v>
      </c>
      <c r="E651" s="194" t="n">
        <v>106.5</v>
      </c>
      <c r="F651" s="194" t="n">
        <v>64.2</v>
      </c>
      <c r="G651" s="194" t="n">
        <v>59</v>
      </c>
      <c r="H651" s="194" t="n">
        <v>92.5</v>
      </c>
      <c r="I651" s="194" t="n">
        <v>53</v>
      </c>
      <c r="J651" s="194" t="n">
        <v>48.2</v>
      </c>
      <c r="K651" s="195" t="inlineStr">
        <is>
          <t>0020 SENSETIME-W</t>
        </is>
      </c>
    </row>
    <row r="652">
      <c r="A652" s="32" t="inlineStr">
        <is>
          <t>Shanghai Xuhui Capital Investment Co., Ltd</t>
        </is>
      </c>
      <c r="B652" s="191" t="n">
        <v>1</v>
      </c>
      <c r="C652" s="193" t="n">
        <v>100</v>
      </c>
      <c r="D652" s="194" t="n">
        <v>7.3</v>
      </c>
      <c r="E652" s="194" t="n">
        <v>106.5</v>
      </c>
      <c r="F652" s="194" t="n">
        <v>64.2</v>
      </c>
      <c r="G652" s="194" t="n">
        <v>59</v>
      </c>
      <c r="H652" s="194" t="n">
        <v>92.5</v>
      </c>
      <c r="I652" s="194" t="n">
        <v>53</v>
      </c>
      <c r="J652" s="194" t="n">
        <v>48.2</v>
      </c>
      <c r="K652" s="195" t="inlineStr">
        <is>
          <t>0020 SENSETIME-W</t>
        </is>
      </c>
    </row>
    <row r="653">
      <c r="A653" s="32" t="inlineStr">
        <is>
          <t>Taizhou Culture &amp; Tourism Development Group Ltd</t>
        </is>
      </c>
      <c r="B653" s="191" t="n">
        <v>1</v>
      </c>
      <c r="C653" s="193" t="n">
        <v>100</v>
      </c>
      <c r="D653" s="194" t="n">
        <v>7.3</v>
      </c>
      <c r="E653" s="194" t="n">
        <v>106.5</v>
      </c>
      <c r="F653" s="194" t="n">
        <v>64.2</v>
      </c>
      <c r="G653" s="194" t="n">
        <v>59</v>
      </c>
      <c r="H653" s="194" t="n">
        <v>92.5</v>
      </c>
      <c r="I653" s="194" t="n">
        <v>53</v>
      </c>
      <c r="J653" s="194" t="n">
        <v>48.2</v>
      </c>
      <c r="K653" s="195" t="inlineStr">
        <is>
          <t>0020 SENSETIME-W</t>
        </is>
      </c>
    </row>
    <row r="654">
      <c r="A654" s="32" t="inlineStr">
        <is>
          <t>HONG KONG BAIJIADA NEW MATERIAL LIMITED</t>
        </is>
      </c>
      <c r="B654" s="191" t="n">
        <v>1</v>
      </c>
      <c r="C654" s="193" t="n">
        <v>100</v>
      </c>
      <c r="D654" s="194" t="n">
        <v>7.1</v>
      </c>
      <c r="E654" s="194" t="n">
        <v>1.1</v>
      </c>
      <c r="F654" s="194" t="n">
        <v>0.7</v>
      </c>
      <c r="G654" s="194" t="n">
        <v>5.5</v>
      </c>
      <c r="H654" s="194" t="n">
        <v>-5.7</v>
      </c>
      <c r="I654" s="194" t="n">
        <v>-6</v>
      </c>
      <c r="J654" s="194" t="n">
        <v>-1.5</v>
      </c>
      <c r="K654" s="195" t="inlineStr">
        <is>
          <t>2411 PAGODA GP</t>
        </is>
      </c>
    </row>
    <row r="655">
      <c r="A655" s="32" t="inlineStr">
        <is>
          <t>Nantong Douson Drilling and Production Equipment Co., Ltd</t>
        </is>
      </c>
      <c r="B655" s="191" t="n">
        <v>1</v>
      </c>
      <c r="C655" s="193" t="n">
        <v>100</v>
      </c>
      <c r="D655" s="194" t="n">
        <v>7.1</v>
      </c>
      <c r="E655" s="194" t="n">
        <v>1.1</v>
      </c>
      <c r="F655" s="194" t="n">
        <v>0.7</v>
      </c>
      <c r="G655" s="194" t="n">
        <v>5.5</v>
      </c>
      <c r="H655" s="194" t="n">
        <v>-5.7</v>
      </c>
      <c r="I655" s="194" t="n">
        <v>-6</v>
      </c>
      <c r="J655" s="194" t="n">
        <v>-1.5</v>
      </c>
      <c r="K655" s="195" t="inlineStr">
        <is>
          <t>2411 PAGODA GP</t>
        </is>
      </c>
    </row>
    <row r="656">
      <c r="A656" s="32" t="inlineStr">
        <is>
          <t>Yip Wing Kui</t>
        </is>
      </c>
      <c r="B656" s="191" t="n">
        <v>1</v>
      </c>
      <c r="C656" s="193" t="n">
        <v>100</v>
      </c>
      <c r="D656" s="194" t="n">
        <v>7.1</v>
      </c>
      <c r="E656" s="194" t="n">
        <v>1.1</v>
      </c>
      <c r="F656" s="194" t="n">
        <v>0.7</v>
      </c>
      <c r="G656" s="194" t="n">
        <v>5.5</v>
      </c>
      <c r="H656" s="194" t="n">
        <v>-5.7</v>
      </c>
      <c r="I656" s="194" t="n">
        <v>-6</v>
      </c>
      <c r="J656" s="194" t="n">
        <v>-1.5</v>
      </c>
      <c r="K656" s="195" t="inlineStr">
        <is>
          <t>2411 PAGODA GP</t>
        </is>
      </c>
    </row>
    <row r="657">
      <c r="A657" s="32" t="inlineStr">
        <is>
          <t>H&amp;T Intelligent Control International Co., Limited</t>
        </is>
      </c>
      <c r="B657" s="191" t="n">
        <v>1</v>
      </c>
      <c r="C657" s="193" t="n">
        <v>100</v>
      </c>
      <c r="D657" s="194" t="n">
        <v>6.4</v>
      </c>
      <c r="E657" s="194" t="n">
        <v>2.3</v>
      </c>
      <c r="F657" s="194" t="n">
        <v>42.3</v>
      </c>
      <c r="G657" s="194" t="n">
        <v>23.2</v>
      </c>
      <c r="H657" s="194" t="n">
        <v>-3.8</v>
      </c>
      <c r="I657" s="194" t="n">
        <v>33.7</v>
      </c>
      <c r="J657" s="194" t="n">
        <v>15.8</v>
      </c>
      <c r="K657" s="195" t="inlineStr">
        <is>
          <t>2631 SICC</t>
        </is>
      </c>
    </row>
    <row r="658">
      <c r="A658" s="32" t="inlineStr">
        <is>
          <t>Mr. Lan Kun ( ᚆտ)</t>
        </is>
      </c>
      <c r="B658" s="191" t="n">
        <v>1</v>
      </c>
      <c r="C658" s="193" t="n">
        <v>100</v>
      </c>
      <c r="D658" s="194" t="n">
        <v>6.4</v>
      </c>
      <c r="E658" s="194" t="n">
        <v>2.3</v>
      </c>
      <c r="F658" s="194" t="n">
        <v>42.3</v>
      </c>
      <c r="G658" s="194" t="n">
        <v>23.2</v>
      </c>
      <c r="H658" s="194" t="n">
        <v>-3.8</v>
      </c>
      <c r="I658" s="194" t="n">
        <v>33.7</v>
      </c>
      <c r="J658" s="194" t="n">
        <v>15.8</v>
      </c>
      <c r="K658" s="195" t="inlineStr">
        <is>
          <t>2631 SICC</t>
        </is>
      </c>
    </row>
    <row r="659">
      <c r="A659" s="32" t="inlineStr">
        <is>
          <t>Yorkool International Limited</t>
        </is>
      </c>
      <c r="B659" s="191" t="n">
        <v>1</v>
      </c>
      <c r="C659" s="193" t="n">
        <v>100</v>
      </c>
      <c r="D659" s="194" t="n">
        <v>6</v>
      </c>
      <c r="E659" s="194" t="n">
        <v>34</v>
      </c>
      <c r="F659" s="194" t="n">
        <v>24.2</v>
      </c>
      <c r="G659" s="194" t="n">
        <v>9.9</v>
      </c>
      <c r="H659" s="194" t="n">
        <v>26.4</v>
      </c>
      <c r="I659" s="194" t="n">
        <v>17.1</v>
      </c>
      <c r="J659" s="194" t="n">
        <v>3.7</v>
      </c>
      <c r="K659" s="195" t="inlineStr">
        <is>
          <t>2252 MEDBOT-B</t>
        </is>
      </c>
    </row>
    <row r="660">
      <c r="A660" s="32" t="inlineStr">
        <is>
          <t>CS Logistics Holdings Ltd</t>
        </is>
      </c>
      <c r="B660" s="191" t="n">
        <v>1</v>
      </c>
      <c r="C660" s="193" t="n">
        <v>100</v>
      </c>
      <c r="D660" s="194" t="n">
        <v>5.5</v>
      </c>
      <c r="E660" s="194" t="n">
        <v>-7.6</v>
      </c>
      <c r="F660" s="194" t="n">
        <v>-20.1</v>
      </c>
      <c r="G660" s="194" t="n">
        <v>-56.1</v>
      </c>
      <c r="H660" s="194" t="n">
        <v>-12.4</v>
      </c>
      <c r="I660" s="194" t="n">
        <v>-24.3</v>
      </c>
      <c r="J660" s="194" t="n">
        <v>-58.4</v>
      </c>
      <c r="K660" s="195" t="inlineStr">
        <is>
          <t>2209 YESASIA HLDGS</t>
        </is>
      </c>
    </row>
    <row r="661">
      <c r="A661" s="32" t="inlineStr">
        <is>
          <t>De Well Group Singapore Pte. Ltd</t>
        </is>
      </c>
      <c r="B661" s="191" t="n">
        <v>1</v>
      </c>
      <c r="C661" s="193" t="n">
        <v>100</v>
      </c>
      <c r="D661" s="194" t="n">
        <v>5.5</v>
      </c>
      <c r="E661" s="194" t="n">
        <v>-16.4</v>
      </c>
      <c r="F661" s="194" t="n">
        <v>-20.9</v>
      </c>
      <c r="G661" s="194" t="n">
        <v>-33.8</v>
      </c>
      <c r="H661" s="194" t="n">
        <v>-20.8</v>
      </c>
      <c r="I661" s="194" t="n">
        <v>-25</v>
      </c>
      <c r="J661" s="194" t="n">
        <v>-37.3</v>
      </c>
      <c r="K661" s="195" t="inlineStr">
        <is>
          <t>2420 ZIBUYU</t>
        </is>
      </c>
    </row>
    <row r="662">
      <c r="A662" s="32" t="inlineStr">
        <is>
          <t>Castrol Holdings International Limited</t>
        </is>
      </c>
      <c r="B662" s="191" t="n">
        <v>1</v>
      </c>
      <c r="C662" s="193" t="n">
        <v>100</v>
      </c>
      <c r="D662" s="194" t="n">
        <v>5.4</v>
      </c>
      <c r="E662" s="194" t="n">
        <v>2.5</v>
      </c>
      <c r="F662" s="194" t="n">
        <v>25.7</v>
      </c>
      <c r="G662" s="194" t="n">
        <v>7</v>
      </c>
      <c r="H662" s="194" t="n">
        <v>-2.7</v>
      </c>
      <c r="I662" s="194" t="n">
        <v>19.3</v>
      </c>
      <c r="J662" s="194" t="n">
        <v>1.5</v>
      </c>
      <c r="K662" s="195" t="inlineStr">
        <is>
          <t>9690 TUHU-W</t>
        </is>
      </c>
    </row>
    <row r="663">
      <c r="A663" s="32" t="inlineStr">
        <is>
          <t>Image Frame Investment (HK) Limited</t>
        </is>
      </c>
      <c r="B663" s="191" t="n">
        <v>1</v>
      </c>
      <c r="C663" s="193" t="n">
        <v>100</v>
      </c>
      <c r="D663" s="194" t="n">
        <v>5.4</v>
      </c>
      <c r="E663" s="194" t="n">
        <v>2.5</v>
      </c>
      <c r="F663" s="194" t="n">
        <v>25.7</v>
      </c>
      <c r="G663" s="194" t="n">
        <v>7</v>
      </c>
      <c r="H663" s="194" t="n">
        <v>-2.7</v>
      </c>
      <c r="I663" s="194" t="n">
        <v>19.3</v>
      </c>
      <c r="J663" s="194" t="n">
        <v>1.5</v>
      </c>
      <c r="K663" s="195" t="inlineStr">
        <is>
          <t>9690 TUHU-W</t>
        </is>
      </c>
    </row>
    <row r="664">
      <c r="A664" s="32" t="inlineStr">
        <is>
          <t>Shanghai Zizhu High-tech Zone (Group) Co., Ltd</t>
        </is>
      </c>
      <c r="B664" s="191" t="n">
        <v>1</v>
      </c>
      <c r="C664" s="193" t="n">
        <v>100</v>
      </c>
      <c r="D664" s="194" t="n">
        <v>5.4</v>
      </c>
      <c r="E664" s="194" t="n">
        <v>2.5</v>
      </c>
      <c r="F664" s="194" t="n">
        <v>25.7</v>
      </c>
      <c r="G664" s="194" t="n">
        <v>7</v>
      </c>
      <c r="H664" s="194" t="n">
        <v>-2.7</v>
      </c>
      <c r="I664" s="194" t="n">
        <v>19.3</v>
      </c>
      <c r="J664" s="194" t="n">
        <v>1.5</v>
      </c>
      <c r="K664" s="195" t="inlineStr">
        <is>
          <t>9690 TUHU-W</t>
        </is>
      </c>
    </row>
    <row r="665">
      <c r="A665" s="32" t="inlineStr">
        <is>
          <t>Etarget Limited</t>
        </is>
      </c>
      <c r="B665" s="191" t="n">
        <v>1</v>
      </c>
      <c r="C665" s="193" t="n">
        <v>100</v>
      </c>
      <c r="D665" s="194" t="n">
        <v>5.4</v>
      </c>
      <c r="E665" s="194" t="n">
        <v>12.6</v>
      </c>
      <c r="F665" s="194" t="n">
        <v>9.9</v>
      </c>
      <c r="G665" s="194" t="n">
        <v>92.5</v>
      </c>
      <c r="H665" s="194" t="n">
        <v>6.9</v>
      </c>
      <c r="I665" s="194" t="n">
        <v>4.3</v>
      </c>
      <c r="J665" s="194" t="n">
        <v>82.7</v>
      </c>
      <c r="K665" s="195" t="inlineStr">
        <is>
          <t>2590 GEEKPLUS-W</t>
        </is>
      </c>
    </row>
    <row r="666">
      <c r="A666" s="32" t="inlineStr">
        <is>
          <t>Beijing Zhongguancun Science City Science and Technology Growth Investment Partn</t>
        </is>
      </c>
      <c r="B666" s="191" t="n">
        <v>1</v>
      </c>
      <c r="C666" s="193" t="n">
        <v>100</v>
      </c>
      <c r="D666" s="194" t="n">
        <v>5.2</v>
      </c>
      <c r="E666" s="194" t="n">
        <v>-2.9</v>
      </c>
      <c r="F666" s="194" t="n">
        <v>-6.5</v>
      </c>
      <c r="G666" s="194" t="n">
        <v>-10.8</v>
      </c>
      <c r="H666" s="194" t="n">
        <v>-7.7</v>
      </c>
      <c r="I666" s="194" t="n">
        <v>-11.1</v>
      </c>
      <c r="J666" s="194" t="n">
        <v>-15.2</v>
      </c>
      <c r="K666" s="195" t="inlineStr">
        <is>
          <t>6682 FOURTH PARADIGM</t>
        </is>
      </c>
    </row>
    <row r="667">
      <c r="A667" s="32" t="inlineStr">
        <is>
          <t>NCC China A-Share Master Fund</t>
        </is>
      </c>
      <c r="B667" s="191" t="n">
        <v>1</v>
      </c>
      <c r="C667" s="193" t="n">
        <v>100</v>
      </c>
      <c r="D667" s="194" t="n">
        <v>5.1</v>
      </c>
      <c r="E667" s="194" t="n">
        <v>1.1</v>
      </c>
      <c r="F667" s="194" t="n">
        <v>-17.3</v>
      </c>
      <c r="G667" s="194" t="n">
        <v>-38.1</v>
      </c>
      <c r="H667" s="194" t="n">
        <v>-3.7</v>
      </c>
      <c r="I667" s="194" t="n">
        <v>-21.3</v>
      </c>
      <c r="J667" s="194" t="n">
        <v>-41.1</v>
      </c>
      <c r="K667" s="195" t="inlineStr">
        <is>
          <t>2279 YONGHE MEDICAL</t>
        </is>
      </c>
    </row>
    <row r="668">
      <c r="A668" s="32" t="inlineStr">
        <is>
          <t>Costone China Growth Capital I L.P</t>
        </is>
      </c>
      <c r="B668" s="191" t="n">
        <v>1</v>
      </c>
      <c r="C668" s="193" t="n">
        <v>100</v>
      </c>
      <c r="D668" s="194" t="n">
        <v>5.1</v>
      </c>
      <c r="E668" s="194" t="n">
        <v>2.2</v>
      </c>
      <c r="F668" s="194" t="n">
        <v>5.4</v>
      </c>
      <c r="G668" s="194" t="n">
        <v>60.8</v>
      </c>
      <c r="H668" s="194" t="n">
        <v>-2.8</v>
      </c>
      <c r="I668" s="194" t="n">
        <v>0.3</v>
      </c>
      <c r="J668" s="194" t="n">
        <v>53</v>
      </c>
      <c r="K668" s="195" t="inlineStr">
        <is>
          <t>2506 XUNFEIHEALTH</t>
        </is>
      </c>
    </row>
    <row r="669">
      <c r="A669" s="32" t="inlineStr">
        <is>
          <t>Xunyi Limited</t>
        </is>
      </c>
      <c r="B669" s="191" t="n">
        <v>1</v>
      </c>
      <c r="C669" s="193" t="n">
        <v>100</v>
      </c>
      <c r="D669" s="194" t="n">
        <v>5.1</v>
      </c>
      <c r="E669" s="194" t="n">
        <v>2.2</v>
      </c>
      <c r="F669" s="194" t="n">
        <v>5.4</v>
      </c>
      <c r="G669" s="194" t="n">
        <v>60.8</v>
      </c>
      <c r="H669" s="194" t="n">
        <v>-2.8</v>
      </c>
      <c r="I669" s="194" t="n">
        <v>0.3</v>
      </c>
      <c r="J669" s="194" t="n">
        <v>53</v>
      </c>
      <c r="K669" s="195" t="inlineStr">
        <is>
          <t>2506 XUNFEIHEALTH</t>
        </is>
      </c>
    </row>
    <row r="670">
      <c r="A670" s="32" t="inlineStr">
        <is>
          <t>ClinChoice Medical Development Limited</t>
        </is>
      </c>
      <c r="B670" s="191" t="n">
        <v>1</v>
      </c>
      <c r="C670" s="193" t="n">
        <v>100</v>
      </c>
      <c r="D670" s="194" t="n">
        <v>5</v>
      </c>
      <c r="E670" s="194" t="n">
        <v>34.4</v>
      </c>
      <c r="F670" s="194" t="n">
        <v>38.2</v>
      </c>
      <c r="G670" s="194" t="n">
        <v>53</v>
      </c>
      <c r="H670" s="194" t="n">
        <v>28.1</v>
      </c>
      <c r="I670" s="194" t="n">
        <v>31.6</v>
      </c>
      <c r="J670" s="194" t="n">
        <v>45.8</v>
      </c>
      <c r="K670" s="195" t="inlineStr">
        <is>
          <t>1541 IMMUNEONCO-B</t>
        </is>
      </c>
    </row>
    <row r="671">
      <c r="A671" s="32" t="inlineStr">
        <is>
          <t>Hong Tai International III LPF</t>
        </is>
      </c>
      <c r="B671" s="191" t="n">
        <v>1</v>
      </c>
      <c r="C671" s="193" t="n">
        <v>100</v>
      </c>
      <c r="D671" s="194" t="n">
        <v>5</v>
      </c>
      <c r="E671" s="194" t="n">
        <v>-19.4</v>
      </c>
      <c r="F671" s="194" t="n">
        <v>-17.1</v>
      </c>
      <c r="G671" s="194" t="n">
        <v>-2.7</v>
      </c>
      <c r="H671" s="194" t="n">
        <v>-23.3</v>
      </c>
      <c r="I671" s="194" t="n">
        <v>-21.1</v>
      </c>
      <c r="J671" s="194" t="n">
        <v>-7.3</v>
      </c>
      <c r="K671" s="195" t="inlineStr">
        <is>
          <t>1471 ZHONGMIAO</t>
        </is>
      </c>
    </row>
    <row r="672">
      <c r="A672" s="32" t="inlineStr">
        <is>
          <t>Golden Feather Corporation</t>
        </is>
      </c>
      <c r="B672" s="191" t="n">
        <v>1</v>
      </c>
      <c r="C672" s="193" t="n">
        <v>100</v>
      </c>
      <c r="D672" s="194" t="n">
        <v>4.9</v>
      </c>
      <c r="E672" s="194" t="n">
        <v>0</v>
      </c>
      <c r="F672" s="194" t="n">
        <v>-8.5</v>
      </c>
      <c r="G672" s="194" t="n">
        <v>3</v>
      </c>
      <c r="H672" s="194" t="n">
        <v>-4.7</v>
      </c>
      <c r="I672" s="194" t="n">
        <v>-12.8</v>
      </c>
      <c r="J672" s="194" t="n">
        <v>-1.8</v>
      </c>
      <c r="K672" s="195" t="inlineStr">
        <is>
          <t>9878 HUITONGDA NET</t>
        </is>
      </c>
    </row>
    <row r="673">
      <c r="A673" s="32" t="inlineStr">
        <is>
          <t>Skyworth Overseas Investment Holdings Limited</t>
        </is>
      </c>
      <c r="B673" s="191" t="n">
        <v>1</v>
      </c>
      <c r="C673" s="193" t="n">
        <v>100</v>
      </c>
      <c r="D673" s="194" t="n">
        <v>4.9</v>
      </c>
      <c r="E673" s="194" t="n">
        <v>0</v>
      </c>
      <c r="F673" s="194" t="n">
        <v>-8.5</v>
      </c>
      <c r="G673" s="194" t="n">
        <v>3</v>
      </c>
      <c r="H673" s="194" t="n">
        <v>-4.7</v>
      </c>
      <c r="I673" s="194" t="n">
        <v>-12.8</v>
      </c>
      <c r="J673" s="194" t="n">
        <v>-1.8</v>
      </c>
      <c r="K673" s="195" t="inlineStr">
        <is>
          <t>9878 HUITONGDA NET</t>
        </is>
      </c>
    </row>
    <row r="674">
      <c r="A674" s="32" t="inlineStr">
        <is>
          <t>Windfall T&amp;L SPC</t>
        </is>
      </c>
      <c r="B674" s="191" t="n">
        <v>1</v>
      </c>
      <c r="C674" s="193" t="n">
        <v>100</v>
      </c>
      <c r="D674" s="194" t="n">
        <v>4.9</v>
      </c>
      <c r="E674" s="194" t="n">
        <v>0</v>
      </c>
      <c r="F674" s="194" t="n">
        <v>-8.5</v>
      </c>
      <c r="G674" s="194" t="n">
        <v>3</v>
      </c>
      <c r="H674" s="194" t="n">
        <v>-4.7</v>
      </c>
      <c r="I674" s="194" t="n">
        <v>-12.8</v>
      </c>
      <c r="J674" s="194" t="n">
        <v>-1.8</v>
      </c>
      <c r="K674" s="195" t="inlineStr">
        <is>
          <t>9878 HUITONGDA NET</t>
        </is>
      </c>
    </row>
    <row r="675">
      <c r="A675" s="32" t="inlineStr">
        <is>
          <t>GSAM</t>
        </is>
      </c>
      <c r="B675" s="191" t="n">
        <v>1</v>
      </c>
      <c r="C675" s="193" t="n">
        <v>100</v>
      </c>
      <c r="D675" s="194" t="n">
        <v>4.7</v>
      </c>
      <c r="E675" s="194" t="n">
        <v>-2.3</v>
      </c>
      <c r="F675" s="194" t="n">
        <v>6.7</v>
      </c>
      <c r="G675" s="196" t="n"/>
      <c r="H675" s="194" t="n">
        <v>-6.7</v>
      </c>
      <c r="I675" s="194" t="n">
        <v>1.9</v>
      </c>
      <c r="J675" s="196" t="n"/>
      <c r="K675" s="195" t="inlineStr">
        <is>
          <t>6951 CCTC</t>
        </is>
      </c>
    </row>
    <row r="676">
      <c r="A676" s="32" t="inlineStr">
        <is>
          <t>Manulife-managed Funds</t>
        </is>
      </c>
      <c r="B676" s="191" t="n">
        <v>1</v>
      </c>
      <c r="C676" s="193" t="n">
        <v>100</v>
      </c>
      <c r="D676" s="194" t="n">
        <v>4.7</v>
      </c>
      <c r="E676" s="194" t="n">
        <v>-2.3</v>
      </c>
      <c r="F676" s="194" t="n">
        <v>6.7</v>
      </c>
      <c r="G676" s="196" t="n"/>
      <c r="H676" s="194" t="n">
        <v>-6.7</v>
      </c>
      <c r="I676" s="194" t="n">
        <v>1.9</v>
      </c>
      <c r="J676" s="196" t="n"/>
      <c r="K676" s="195" t="inlineStr">
        <is>
          <t>6951 CCTC</t>
        </is>
      </c>
    </row>
    <row r="677">
      <c r="A677" s="32" t="inlineStr">
        <is>
          <t>GMF and IRMF</t>
        </is>
      </c>
      <c r="B677" s="191" t="n">
        <v>1</v>
      </c>
      <c r="C677" s="193" t="n">
        <v>100</v>
      </c>
      <c r="D677" s="194" t="n">
        <v>4.7</v>
      </c>
      <c r="E677" s="194" t="n">
        <v>-2.3</v>
      </c>
      <c r="F677" s="194" t="n">
        <v>6.7</v>
      </c>
      <c r="G677" s="196" t="n"/>
      <c r="H677" s="194" t="n">
        <v>-6.7</v>
      </c>
      <c r="I677" s="194" t="n">
        <v>1.9</v>
      </c>
      <c r="J677" s="196" t="n"/>
      <c r="K677" s="195" t="inlineStr">
        <is>
          <t>6951 CCTC</t>
        </is>
      </c>
    </row>
    <row r="678">
      <c r="A678" s="32" t="inlineStr">
        <is>
          <t>Primavera Investment Fund</t>
        </is>
      </c>
      <c r="B678" s="191" t="n">
        <v>1</v>
      </c>
      <c r="C678" s="193" t="n">
        <v>100</v>
      </c>
      <c r="D678" s="194" t="n">
        <v>4.6</v>
      </c>
      <c r="E678" s="194" t="n">
        <v>-2.7</v>
      </c>
      <c r="F678" s="196" t="n"/>
      <c r="G678" s="196" t="n"/>
      <c r="H678" s="194" t="n">
        <v>-7</v>
      </c>
      <c r="I678" s="196" t="n"/>
      <c r="J678" s="196" t="n"/>
      <c r="K678" s="195" t="inlineStr">
        <is>
          <t>9856 LIGENT</t>
        </is>
      </c>
    </row>
    <row r="679">
      <c r="A679" s="32" t="inlineStr">
        <is>
          <t>HK BVF I LPF</t>
        </is>
      </c>
      <c r="B679" s="191" t="n">
        <v>1</v>
      </c>
      <c r="C679" s="193" t="n">
        <v>100</v>
      </c>
      <c r="D679" s="194" t="n">
        <v>4.6</v>
      </c>
      <c r="E679" s="194" t="n">
        <v>-2.7</v>
      </c>
      <c r="F679" s="196" t="n"/>
      <c r="G679" s="196" t="n"/>
      <c r="H679" s="194" t="n">
        <v>-7</v>
      </c>
      <c r="I679" s="196" t="n"/>
      <c r="J679" s="196" t="n"/>
      <c r="K679" s="195" t="inlineStr">
        <is>
          <t>9856 LIGENT</t>
        </is>
      </c>
    </row>
    <row r="680">
      <c r="A680" s="32" t="inlineStr">
        <is>
          <t>Mount Altai</t>
        </is>
      </c>
      <c r="B680" s="191" t="n">
        <v>1</v>
      </c>
      <c r="C680" s="193" t="n">
        <v>100</v>
      </c>
      <c r="D680" s="194" t="n">
        <v>4.6</v>
      </c>
      <c r="E680" s="194" t="n">
        <v>-2.7</v>
      </c>
      <c r="F680" s="196" t="n"/>
      <c r="G680" s="196" t="n"/>
      <c r="H680" s="194" t="n">
        <v>-7</v>
      </c>
      <c r="I680" s="196" t="n"/>
      <c r="J680" s="196" t="n"/>
      <c r="K680" s="195" t="inlineStr">
        <is>
          <t>9856 LIGENT</t>
        </is>
      </c>
    </row>
    <row r="681">
      <c r="A681" s="32" t="inlineStr">
        <is>
          <t>Sinofortune International</t>
        </is>
      </c>
      <c r="B681" s="191" t="n">
        <v>1</v>
      </c>
      <c r="C681" s="193" t="n">
        <v>100</v>
      </c>
      <c r="D681" s="194" t="n">
        <v>4.6</v>
      </c>
      <c r="E681" s="194" t="n">
        <v>-2.7</v>
      </c>
      <c r="F681" s="196" t="n"/>
      <c r="G681" s="196" t="n"/>
      <c r="H681" s="194" t="n">
        <v>-7</v>
      </c>
      <c r="I681" s="196" t="n"/>
      <c r="J681" s="196" t="n"/>
      <c r="K681" s="195" t="inlineStr">
        <is>
          <t>9856 LIGENT</t>
        </is>
      </c>
    </row>
    <row r="682">
      <c r="A682" s="32" t="inlineStr">
        <is>
          <t>Ambre Lau Trade Limited</t>
        </is>
      </c>
      <c r="B682" s="191" t="n">
        <v>1</v>
      </c>
      <c r="C682" s="193" t="n">
        <v>100</v>
      </c>
      <c r="D682" s="194" t="n">
        <v>4.6</v>
      </c>
      <c r="E682" s="194" t="n">
        <v>-2.7</v>
      </c>
      <c r="F682" s="196" t="n"/>
      <c r="G682" s="196" t="n"/>
      <c r="H682" s="194" t="n">
        <v>-7</v>
      </c>
      <c r="I682" s="196" t="n"/>
      <c r="J682" s="196" t="n"/>
      <c r="K682" s="195" t="inlineStr">
        <is>
          <t>9856 LIGENT</t>
        </is>
      </c>
    </row>
    <row r="683">
      <c r="A683" s="32" t="inlineStr">
        <is>
          <t>PAG Capital Structure Opportunity Fund LP</t>
        </is>
      </c>
      <c r="B683" s="191" t="n">
        <v>1</v>
      </c>
      <c r="C683" s="193" t="n">
        <v>100</v>
      </c>
      <c r="D683" s="194" t="n">
        <v>4.6</v>
      </c>
      <c r="E683" s="194" t="n">
        <v>-2.7</v>
      </c>
      <c r="F683" s="196" t="n"/>
      <c r="G683" s="196" t="n"/>
      <c r="H683" s="194" t="n">
        <v>-7</v>
      </c>
      <c r="I683" s="196" t="n"/>
      <c r="J683" s="196" t="n"/>
      <c r="K683" s="195" t="inlineStr">
        <is>
          <t>9856 LIGENT</t>
        </is>
      </c>
    </row>
    <row r="684">
      <c r="A684" s="32" t="inlineStr">
        <is>
          <t>CSC OTC Swap</t>
        </is>
      </c>
      <c r="B684" s="191" t="n">
        <v>1</v>
      </c>
      <c r="C684" s="193" t="n">
        <v>100</v>
      </c>
      <c r="D684" s="194" t="n">
        <v>4.6</v>
      </c>
      <c r="E684" s="194" t="n">
        <v>-2.7</v>
      </c>
      <c r="F684" s="196" t="n"/>
      <c r="G684" s="196" t="n"/>
      <c r="H684" s="194" t="n">
        <v>-7</v>
      </c>
      <c r="I684" s="196" t="n"/>
      <c r="J684" s="196" t="n"/>
      <c r="K684" s="195" t="inlineStr">
        <is>
          <t>9856 LIGENT</t>
        </is>
      </c>
    </row>
    <row r="685">
      <c r="A685" s="32" t="inlineStr">
        <is>
          <t>GaoTeng Global Asset Management Limited</t>
        </is>
      </c>
      <c r="B685" s="191" t="n">
        <v>1</v>
      </c>
      <c r="C685" s="193" t="n">
        <v>100</v>
      </c>
      <c r="D685" s="194" t="n">
        <v>4.6</v>
      </c>
      <c r="E685" s="194" t="n">
        <v>-2.7</v>
      </c>
      <c r="F685" s="196" t="n"/>
      <c r="G685" s="196" t="n"/>
      <c r="H685" s="194" t="n">
        <v>-7</v>
      </c>
      <c r="I685" s="196" t="n"/>
      <c r="J685" s="196" t="n"/>
      <c r="K685" s="195" t="inlineStr">
        <is>
          <t>9856 LIGENT</t>
        </is>
      </c>
    </row>
    <row r="686">
      <c r="A686" s="32" t="inlineStr">
        <is>
          <t>Amlogic Hong Kong</t>
        </is>
      </c>
      <c r="B686" s="191" t="n">
        <v>1</v>
      </c>
      <c r="C686" s="193" t="n">
        <v>100</v>
      </c>
      <c r="D686" s="194" t="n">
        <v>4.6</v>
      </c>
      <c r="E686" s="194" t="n">
        <v>-2.7</v>
      </c>
      <c r="F686" s="196" t="n"/>
      <c r="G686" s="196" t="n"/>
      <c r="H686" s="194" t="n">
        <v>-7</v>
      </c>
      <c r="I686" s="196" t="n"/>
      <c r="J686" s="196" t="n"/>
      <c r="K686" s="195" t="inlineStr">
        <is>
          <t>9856 LIGENT</t>
        </is>
      </c>
    </row>
    <row r="687">
      <c r="A687" s="32" t="inlineStr">
        <is>
          <t>Atlas Venture Limited</t>
        </is>
      </c>
      <c r="B687" s="191" t="n">
        <v>1</v>
      </c>
      <c r="C687" s="193" t="n">
        <v>100</v>
      </c>
      <c r="D687" s="194" t="n">
        <v>4.6</v>
      </c>
      <c r="E687" s="194" t="n">
        <v>-2.7</v>
      </c>
      <c r="F687" s="196" t="n"/>
      <c r="G687" s="196" t="n"/>
      <c r="H687" s="194" t="n">
        <v>-7</v>
      </c>
      <c r="I687" s="196" t="n"/>
      <c r="J687" s="196" t="n"/>
      <c r="K687" s="195" t="inlineStr">
        <is>
          <t>9856 LIGENT</t>
        </is>
      </c>
    </row>
    <row r="688">
      <c r="A688" s="32" t="inlineStr">
        <is>
          <t>Yuanbao Family Office</t>
        </is>
      </c>
      <c r="B688" s="191" t="n">
        <v>1</v>
      </c>
      <c r="C688" s="193" t="n">
        <v>100</v>
      </c>
      <c r="D688" s="194" t="n">
        <v>4.3</v>
      </c>
      <c r="E688" s="194" t="n">
        <v>-19.5</v>
      </c>
      <c r="F688" s="194" t="n">
        <v>-44.7</v>
      </c>
      <c r="G688" s="194" t="n">
        <v>-31.3</v>
      </c>
      <c r="H688" s="194" t="n">
        <v>-22.9</v>
      </c>
      <c r="I688" s="194" t="n">
        <v>-47</v>
      </c>
      <c r="J688" s="194" t="n">
        <v>-34.1</v>
      </c>
      <c r="K688" s="195" t="inlineStr">
        <is>
          <t>6106 SEER TECH</t>
        </is>
      </c>
    </row>
    <row r="689">
      <c r="A689" s="32" t="inlineStr">
        <is>
          <t>Zhonghe Capital (through GF Securities AM as the qualified domestic institutional investor)</t>
        </is>
      </c>
      <c r="B689" s="191" t="n">
        <v>1</v>
      </c>
      <c r="C689" s="193" t="n">
        <v>100</v>
      </c>
      <c r="D689" s="194" t="n">
        <v>4.3</v>
      </c>
      <c r="E689" s="194" t="n">
        <v>-19.5</v>
      </c>
      <c r="F689" s="194" t="n">
        <v>-44.7</v>
      </c>
      <c r="G689" s="194" t="n">
        <v>-31.3</v>
      </c>
      <c r="H689" s="194" t="n">
        <v>-22.9</v>
      </c>
      <c r="I689" s="194" t="n">
        <v>-47</v>
      </c>
      <c r="J689" s="194" t="n">
        <v>-34.1</v>
      </c>
      <c r="K689" s="195" t="inlineStr">
        <is>
          <t>6106 SEER TECH</t>
        </is>
      </c>
    </row>
    <row r="690">
      <c r="A690" s="32" t="inlineStr">
        <is>
          <t>Fook Man Development Company Limited</t>
        </is>
      </c>
      <c r="B690" s="191" t="n">
        <v>1</v>
      </c>
      <c r="C690" s="193" t="n">
        <v>100</v>
      </c>
      <c r="D690" s="194" t="n">
        <v>4.2</v>
      </c>
      <c r="E690" s="194" t="n">
        <v>-4.9</v>
      </c>
      <c r="F690" s="194" t="n">
        <v>-8.6</v>
      </c>
      <c r="G690" s="194" t="n">
        <v>-4.7</v>
      </c>
      <c r="H690" s="194" t="n">
        <v>-8.699999999999999</v>
      </c>
      <c r="I690" s="194" t="n">
        <v>-12.2</v>
      </c>
      <c r="J690" s="194" t="n">
        <v>-8.5</v>
      </c>
      <c r="K690" s="195" t="inlineStr">
        <is>
          <t>9889 DRCB</t>
        </is>
      </c>
    </row>
    <row r="691">
      <c r="A691" s="32" t="inlineStr">
        <is>
          <t>Guohua Life Insurance Co., Ltd</t>
        </is>
      </c>
      <c r="B691" s="191" t="n">
        <v>1</v>
      </c>
      <c r="C691" s="193" t="n">
        <v>100</v>
      </c>
      <c r="D691" s="194" t="n">
        <v>4.2</v>
      </c>
      <c r="E691" s="194" t="n">
        <v>21.1</v>
      </c>
      <c r="F691" s="194" t="n">
        <v>14.5</v>
      </c>
      <c r="G691" s="194" t="n">
        <v>17.8</v>
      </c>
      <c r="H691" s="194" t="n">
        <v>16.3</v>
      </c>
      <c r="I691" s="194" t="n">
        <v>9.9</v>
      </c>
      <c r="J691" s="194" t="n">
        <v>13.1</v>
      </c>
      <c r="K691" s="195" t="inlineStr">
        <is>
          <t>2701 NSING TECH</t>
        </is>
      </c>
    </row>
    <row r="692">
      <c r="A692" s="32" t="inlineStr">
        <is>
          <t>Mr. An Jiangbo</t>
        </is>
      </c>
      <c r="B692" s="191" t="n">
        <v>1</v>
      </c>
      <c r="C692" s="193" t="n">
        <v>100</v>
      </c>
      <c r="D692" s="194" t="n">
        <v>4.2</v>
      </c>
      <c r="E692" s="194" t="n">
        <v>21.1</v>
      </c>
      <c r="F692" s="194" t="n">
        <v>14.5</v>
      </c>
      <c r="G692" s="194" t="n">
        <v>17.8</v>
      </c>
      <c r="H692" s="194" t="n">
        <v>16.3</v>
      </c>
      <c r="I692" s="194" t="n">
        <v>9.9</v>
      </c>
      <c r="J692" s="194" t="n">
        <v>13.1</v>
      </c>
      <c r="K692" s="195" t="inlineStr">
        <is>
          <t>2701 NSING TECH</t>
        </is>
      </c>
    </row>
    <row r="693">
      <c r="A693" s="32" t="inlineStr">
        <is>
          <t>Ms. Christine Tai</t>
        </is>
      </c>
      <c r="B693" s="191" t="n">
        <v>1</v>
      </c>
      <c r="C693" s="193" t="n">
        <v>100</v>
      </c>
      <c r="D693" s="194" t="n">
        <v>4.2</v>
      </c>
      <c r="E693" s="194" t="n">
        <v>21.1</v>
      </c>
      <c r="F693" s="194" t="n">
        <v>14.5</v>
      </c>
      <c r="G693" s="194" t="n">
        <v>17.8</v>
      </c>
      <c r="H693" s="194" t="n">
        <v>16.3</v>
      </c>
      <c r="I693" s="194" t="n">
        <v>9.9</v>
      </c>
      <c r="J693" s="194" t="n">
        <v>13.1</v>
      </c>
      <c r="K693" s="195" t="inlineStr">
        <is>
          <t>2701 NSING TECH</t>
        </is>
      </c>
    </row>
    <row r="694">
      <c r="A694" s="32" t="inlineStr">
        <is>
          <t>Hangzhou Fuyang Industrial Fund Investment Management Co., Ltd</t>
        </is>
      </c>
      <c r="B694" s="191" t="n">
        <v>1</v>
      </c>
      <c r="C694" s="193" t="n">
        <v>100</v>
      </c>
      <c r="D694" s="194" t="n">
        <v>4</v>
      </c>
      <c r="E694" s="194" t="n">
        <v>-5.1</v>
      </c>
      <c r="F694" s="194" t="n">
        <v>-6.2</v>
      </c>
      <c r="G694" s="194" t="n">
        <v>45.7</v>
      </c>
      <c r="H694" s="194" t="n">
        <v>-8.699999999999999</v>
      </c>
      <c r="I694" s="194" t="n">
        <v>-9.800000000000001</v>
      </c>
      <c r="J694" s="194" t="n">
        <v>40.1</v>
      </c>
      <c r="K694" s="195" t="inlineStr">
        <is>
          <t>6929 ORBUSNEICH</t>
        </is>
      </c>
    </row>
    <row r="695">
      <c r="A695" s="32" t="inlineStr">
        <is>
          <t>Wii Pte Ltd (Wilmar)</t>
        </is>
      </c>
      <c r="B695" s="191" t="n">
        <v>1</v>
      </c>
      <c r="C695" s="193" t="n">
        <v>100</v>
      </c>
      <c r="D695" s="194" t="n">
        <v>3.9</v>
      </c>
      <c r="E695" s="194" t="n">
        <v>0.5</v>
      </c>
      <c r="F695" s="194" t="n">
        <v>19.7</v>
      </c>
      <c r="G695" s="194" t="n">
        <v>0.7</v>
      </c>
      <c r="H695" s="194" t="n">
        <v>-3.3</v>
      </c>
      <c r="I695" s="194" t="n">
        <v>15.2</v>
      </c>
      <c r="J695" s="194" t="n">
        <v>-3.1</v>
      </c>
      <c r="K695" s="195" t="inlineStr">
        <is>
          <t>2714 MUYUAN</t>
        </is>
      </c>
    </row>
    <row r="696">
      <c r="A696" s="32" t="inlineStr">
        <is>
          <t>HPRY Holdings (Wilmar)</t>
        </is>
      </c>
      <c r="B696" s="191" t="n">
        <v>1</v>
      </c>
      <c r="C696" s="193" t="n">
        <v>100</v>
      </c>
      <c r="D696" s="194" t="n">
        <v>3.9</v>
      </c>
      <c r="E696" s="194" t="n">
        <v>0.5</v>
      </c>
      <c r="F696" s="194" t="n">
        <v>19.7</v>
      </c>
      <c r="G696" s="194" t="n">
        <v>0.7</v>
      </c>
      <c r="H696" s="194" t="n">
        <v>-3.3</v>
      </c>
      <c r="I696" s="194" t="n">
        <v>15.2</v>
      </c>
      <c r="J696" s="194" t="n">
        <v>-3.1</v>
      </c>
      <c r="K696" s="195" t="inlineStr">
        <is>
          <t>2714 MUYUAN</t>
        </is>
      </c>
    </row>
    <row r="697">
      <c r="A697" s="32" t="inlineStr">
        <is>
          <t>Sinochem Hong Kong (Group)</t>
        </is>
      </c>
      <c r="B697" s="191" t="n">
        <v>1</v>
      </c>
      <c r="C697" s="193" t="n">
        <v>100</v>
      </c>
      <c r="D697" s="194" t="n">
        <v>3.9</v>
      </c>
      <c r="E697" s="194" t="n">
        <v>0.5</v>
      </c>
      <c r="F697" s="194" t="n">
        <v>19.7</v>
      </c>
      <c r="G697" s="194" t="n">
        <v>0.7</v>
      </c>
      <c r="H697" s="194" t="n">
        <v>-3.3</v>
      </c>
      <c r="I697" s="194" t="n">
        <v>15.2</v>
      </c>
      <c r="J697" s="194" t="n">
        <v>-3.1</v>
      </c>
      <c r="K697" s="195" t="inlineStr">
        <is>
          <t>2714 MUYUAN</t>
        </is>
      </c>
    </row>
    <row r="698">
      <c r="A698" s="32" t="inlineStr">
        <is>
          <t>Hong Kong Henan Agri International</t>
        </is>
      </c>
      <c r="B698" s="191" t="n">
        <v>1</v>
      </c>
      <c r="C698" s="193" t="n">
        <v>100</v>
      </c>
      <c r="D698" s="194" t="n">
        <v>3.9</v>
      </c>
      <c r="E698" s="194" t="n">
        <v>0.5</v>
      </c>
      <c r="F698" s="194" t="n">
        <v>19.7</v>
      </c>
      <c r="G698" s="194" t="n">
        <v>0.7</v>
      </c>
      <c r="H698" s="194" t="n">
        <v>-3.3</v>
      </c>
      <c r="I698" s="194" t="n">
        <v>15.2</v>
      </c>
      <c r="J698" s="194" t="n">
        <v>-3.1</v>
      </c>
      <c r="K698" s="195" t="inlineStr">
        <is>
          <t>2714 MUYUAN</t>
        </is>
      </c>
    </row>
    <row r="699">
      <c r="A699" s="32" t="inlineStr">
        <is>
          <t>Midea Development Holding (BVI)</t>
        </is>
      </c>
      <c r="B699" s="191" t="n">
        <v>1</v>
      </c>
      <c r="C699" s="193" t="n">
        <v>100</v>
      </c>
      <c r="D699" s="194" t="n">
        <v>3.9</v>
      </c>
      <c r="E699" s="194" t="n">
        <v>0.5</v>
      </c>
      <c r="F699" s="194" t="n">
        <v>19.7</v>
      </c>
      <c r="G699" s="194" t="n">
        <v>0.7</v>
      </c>
      <c r="H699" s="194" t="n">
        <v>-3.3</v>
      </c>
      <c r="I699" s="194" t="n">
        <v>15.2</v>
      </c>
      <c r="J699" s="194" t="n">
        <v>-3.1</v>
      </c>
      <c r="K699" s="195" t="inlineStr">
        <is>
          <t>2714 MUYUAN</t>
        </is>
      </c>
    </row>
    <row r="700">
      <c r="A700" s="32" t="inlineStr">
        <is>
          <t>Cheng Hung Ping</t>
        </is>
      </c>
      <c r="B700" s="191" t="n">
        <v>1</v>
      </c>
      <c r="C700" s="193" t="n">
        <v>100</v>
      </c>
      <c r="D700" s="194" t="n">
        <v>3.8</v>
      </c>
      <c r="E700" s="194" t="n">
        <v>25</v>
      </c>
      <c r="F700" s="194" t="n">
        <v>60</v>
      </c>
      <c r="G700" s="194" t="n">
        <v>22.5</v>
      </c>
      <c r="H700" s="194" t="n">
        <v>20.5</v>
      </c>
      <c r="I700" s="194" t="n">
        <v>54.2</v>
      </c>
      <c r="J700" s="194" t="n">
        <v>18.1</v>
      </c>
      <c r="K700" s="195" t="inlineStr">
        <is>
          <t>1440 DEYUN HOLDING</t>
        </is>
      </c>
    </row>
    <row r="701">
      <c r="A701" s="32" t="inlineStr">
        <is>
          <t>Tam Yuk Ching Jenny</t>
        </is>
      </c>
      <c r="B701" s="191" t="n">
        <v>1</v>
      </c>
      <c r="C701" s="193" t="n">
        <v>100</v>
      </c>
      <c r="D701" s="194" t="n">
        <v>3.8</v>
      </c>
      <c r="E701" s="194" t="n">
        <v>25</v>
      </c>
      <c r="F701" s="194" t="n">
        <v>60</v>
      </c>
      <c r="G701" s="194" t="n">
        <v>22.5</v>
      </c>
      <c r="H701" s="194" t="n">
        <v>20.5</v>
      </c>
      <c r="I701" s="194" t="n">
        <v>54.2</v>
      </c>
      <c r="J701" s="194" t="n">
        <v>18.1</v>
      </c>
      <c r="K701" s="195" t="inlineStr">
        <is>
          <t>1440 DEYUN HOLDING</t>
        </is>
      </c>
    </row>
    <row r="702">
      <c r="A702" s="32" t="inlineStr">
        <is>
          <t>Tsai Chuen Sui Robert</t>
        </is>
      </c>
      <c r="B702" s="191" t="n">
        <v>1</v>
      </c>
      <c r="C702" s="193" t="n">
        <v>100</v>
      </c>
      <c r="D702" s="194" t="n">
        <v>3.8</v>
      </c>
      <c r="E702" s="194" t="n">
        <v>25</v>
      </c>
      <c r="F702" s="194" t="n">
        <v>60</v>
      </c>
      <c r="G702" s="194" t="n">
        <v>22.5</v>
      </c>
      <c r="H702" s="194" t="n">
        <v>20.5</v>
      </c>
      <c r="I702" s="194" t="n">
        <v>54.2</v>
      </c>
      <c r="J702" s="194" t="n">
        <v>18.1</v>
      </c>
      <c r="K702" s="195" t="inlineStr">
        <is>
          <t>1440 DEYUN HOLDING</t>
        </is>
      </c>
    </row>
    <row r="703">
      <c r="A703" s="32" t="inlineStr">
        <is>
          <t>Jinghui Ruiying (Hong Kong) Limited</t>
        </is>
      </c>
      <c r="B703" s="191" t="n">
        <v>1</v>
      </c>
      <c r="C703" s="193" t="n">
        <v>100</v>
      </c>
      <c r="D703" s="194" t="n">
        <v>3.8</v>
      </c>
      <c r="E703" s="194" t="n">
        <v>3.7</v>
      </c>
      <c r="F703" s="194" t="n">
        <v>6.4</v>
      </c>
      <c r="G703" s="194" t="n">
        <v>-0.2</v>
      </c>
      <c r="H703" s="194" t="n">
        <v>-0.1</v>
      </c>
      <c r="I703" s="194" t="n">
        <v>2.5</v>
      </c>
      <c r="J703" s="194" t="n">
        <v>-3.8</v>
      </c>
      <c r="K703" s="195" t="inlineStr">
        <is>
          <t>9973 CHERY AUTO</t>
        </is>
      </c>
    </row>
    <row r="704">
      <c r="A704" s="32" t="inlineStr">
        <is>
          <t>Pilgrim Ever Project Company Limited</t>
        </is>
      </c>
      <c r="B704" s="191" t="n">
        <v>1</v>
      </c>
      <c r="C704" s="193" t="n">
        <v>100</v>
      </c>
      <c r="D704" s="194" t="n">
        <v>3.6</v>
      </c>
      <c r="E704" s="194" t="n">
        <v>3.1</v>
      </c>
      <c r="F704" s="194" t="n">
        <v>-8</v>
      </c>
      <c r="G704" s="194" t="n">
        <v>16.6</v>
      </c>
      <c r="H704" s="194" t="n">
        <v>-0.5</v>
      </c>
      <c r="I704" s="194" t="n">
        <v>-11.2</v>
      </c>
      <c r="J704" s="194" t="n">
        <v>12.5</v>
      </c>
      <c r="K704" s="195" t="inlineStr">
        <is>
          <t>6668 E-STAR CM</t>
        </is>
      </c>
    </row>
    <row r="705">
      <c r="A705" s="32" t="inlineStr">
        <is>
          <t>Shenzhen Qichang Investment Holding Limited</t>
        </is>
      </c>
      <c r="B705" s="191" t="n">
        <v>1</v>
      </c>
      <c r="C705" s="193" t="n">
        <v>100</v>
      </c>
      <c r="D705" s="194" t="n">
        <v>3.6</v>
      </c>
      <c r="E705" s="194" t="n">
        <v>3.1</v>
      </c>
      <c r="F705" s="194" t="n">
        <v>-8</v>
      </c>
      <c r="G705" s="194" t="n">
        <v>16.6</v>
      </c>
      <c r="H705" s="194" t="n">
        <v>-0.5</v>
      </c>
      <c r="I705" s="194" t="n">
        <v>-11.2</v>
      </c>
      <c r="J705" s="194" t="n">
        <v>12.5</v>
      </c>
      <c r="K705" s="195" t="inlineStr">
        <is>
          <t>6668 E-STAR CM</t>
        </is>
      </c>
    </row>
    <row r="706">
      <c r="A706" s="32" t="inlineStr">
        <is>
          <t>Qualcomm Ventures LLC</t>
        </is>
      </c>
      <c r="B706" s="191" t="n">
        <v>1</v>
      </c>
      <c r="C706" s="193" t="n">
        <v>100</v>
      </c>
      <c r="D706" s="194" t="n">
        <v>3.5</v>
      </c>
      <c r="E706" s="194" t="n">
        <v>-1.6</v>
      </c>
      <c r="F706" s="194" t="n">
        <v>-3.7</v>
      </c>
      <c r="G706" s="194" t="n">
        <v>-29.1</v>
      </c>
      <c r="H706" s="194" t="n">
        <v>-5</v>
      </c>
      <c r="I706" s="194" t="n">
        <v>-7</v>
      </c>
      <c r="J706" s="194" t="n">
        <v>-31.5</v>
      </c>
      <c r="K706" s="195" t="inlineStr">
        <is>
          <t>9611 LONGCHEER</t>
        </is>
      </c>
    </row>
    <row r="707">
      <c r="A707" s="32" t="inlineStr">
        <is>
          <t>Hong Kong Yuto Printing Company Limited</t>
        </is>
      </c>
      <c r="B707" s="191" t="n">
        <v>1</v>
      </c>
      <c r="C707" s="193" t="n">
        <v>100</v>
      </c>
      <c r="D707" s="194" t="n">
        <v>3.5</v>
      </c>
      <c r="E707" s="194" t="n">
        <v>-1.6</v>
      </c>
      <c r="F707" s="194" t="n">
        <v>-3.7</v>
      </c>
      <c r="G707" s="194" t="n">
        <v>-29.1</v>
      </c>
      <c r="H707" s="194" t="n">
        <v>-5</v>
      </c>
      <c r="I707" s="194" t="n">
        <v>-7</v>
      </c>
      <c r="J707" s="194" t="n">
        <v>-31.5</v>
      </c>
      <c r="K707" s="195" t="inlineStr">
        <is>
          <t>9611 LONGCHEER</t>
        </is>
      </c>
    </row>
    <row r="708">
      <c r="A708" s="32" t="inlineStr">
        <is>
          <t>Endless Growth NH Limited</t>
        </is>
      </c>
      <c r="B708" s="191" t="n">
        <v>1</v>
      </c>
      <c r="C708" s="193" t="n">
        <v>100</v>
      </c>
      <c r="D708" s="194" t="n">
        <v>3.5</v>
      </c>
      <c r="E708" s="194" t="n">
        <v>-1.6</v>
      </c>
      <c r="F708" s="194" t="n">
        <v>-3.7</v>
      </c>
      <c r="G708" s="194" t="n">
        <v>-29.1</v>
      </c>
      <c r="H708" s="194" t="n">
        <v>-5</v>
      </c>
      <c r="I708" s="194" t="n">
        <v>-7</v>
      </c>
      <c r="J708" s="194" t="n">
        <v>-31.5</v>
      </c>
      <c r="K708" s="195" t="inlineStr">
        <is>
          <t>9611 LONGCHEER</t>
        </is>
      </c>
    </row>
    <row r="709">
      <c r="A709" s="32" t="inlineStr">
        <is>
          <t>Liugong Machinery Hongkong Co., Limited</t>
        </is>
      </c>
      <c r="B709" s="191" t="n">
        <v>1</v>
      </c>
      <c r="C709" s="193" t="n">
        <v>100</v>
      </c>
      <c r="D709" s="194" t="n">
        <v>3.4</v>
      </c>
      <c r="E709" s="194" t="n">
        <v>3.8</v>
      </c>
      <c r="F709" s="194" t="n">
        <v>2.7</v>
      </c>
      <c r="G709" s="194" t="n">
        <v>0.1</v>
      </c>
      <c r="H709" s="194" t="n">
        <v>0.4</v>
      </c>
      <c r="I709" s="194" t="n">
        <v>-0.7</v>
      </c>
      <c r="J709" s="194" t="n">
        <v>-3.1</v>
      </c>
      <c r="K709" s="195" t="inlineStr">
        <is>
          <t>2499 FOLANGSI</t>
        </is>
      </c>
    </row>
    <row r="710">
      <c r="A710" s="32" t="inlineStr">
        <is>
          <t>Huang Guangwei</t>
        </is>
      </c>
      <c r="B710" s="191" t="n">
        <v>1</v>
      </c>
      <c r="C710" s="193" t="n">
        <v>100</v>
      </c>
      <c r="D710" s="194" t="n">
        <v>3.4</v>
      </c>
      <c r="E710" s="194" t="n">
        <v>14.9</v>
      </c>
      <c r="F710" s="194" t="n">
        <v>73.90000000000001</v>
      </c>
      <c r="G710" s="194" t="n">
        <v>89.8</v>
      </c>
      <c r="H710" s="194" t="n">
        <v>11.1</v>
      </c>
      <c r="I710" s="194" t="n">
        <v>68.2</v>
      </c>
      <c r="J710" s="194" t="n">
        <v>83.5</v>
      </c>
      <c r="K710" s="195" t="inlineStr">
        <is>
          <t>6681 BRAINAURORA-B</t>
        </is>
      </c>
    </row>
    <row r="711">
      <c r="A711" s="32" t="inlineStr">
        <is>
          <t>SoftBank Group</t>
        </is>
      </c>
      <c r="B711" s="191" t="n">
        <v>1</v>
      </c>
      <c r="C711" s="193" t="n">
        <v>100</v>
      </c>
      <c r="D711" s="194" t="n">
        <v>3.3</v>
      </c>
      <c r="E711" s="194" t="n">
        <v>16.3</v>
      </c>
      <c r="F711" s="194" t="n">
        <v>4.2</v>
      </c>
      <c r="G711" s="194" t="n">
        <v>-24.2</v>
      </c>
      <c r="H711" s="194" t="n">
        <v>12.6</v>
      </c>
      <c r="I711" s="194" t="n">
        <v>0.8</v>
      </c>
      <c r="J711" s="194" t="n">
        <v>-26.6</v>
      </c>
      <c r="K711" s="195" t="inlineStr">
        <is>
          <t>2618 JD LOGISTICS</t>
        </is>
      </c>
    </row>
    <row r="712">
      <c r="A712" s="32" t="inlineStr">
        <is>
          <t>The Blackstone Group Inc</t>
        </is>
      </c>
      <c r="B712" s="191" t="n">
        <v>1</v>
      </c>
      <c r="C712" s="193" t="n">
        <v>100</v>
      </c>
      <c r="D712" s="194" t="n">
        <v>3.3</v>
      </c>
      <c r="E712" s="194" t="n">
        <v>16.3</v>
      </c>
      <c r="F712" s="194" t="n">
        <v>4.2</v>
      </c>
      <c r="G712" s="194" t="n">
        <v>-24.2</v>
      </c>
      <c r="H712" s="194" t="n">
        <v>12.6</v>
      </c>
      <c r="I712" s="194" t="n">
        <v>0.8</v>
      </c>
      <c r="J712" s="194" t="n">
        <v>-26.6</v>
      </c>
      <c r="K712" s="195" t="inlineStr">
        <is>
          <t>2618 JD LOGISTICS</t>
        </is>
      </c>
    </row>
    <row r="713">
      <c r="A713" s="32" t="inlineStr">
        <is>
          <t>Youyu Global Limited</t>
        </is>
      </c>
      <c r="B713" s="191" t="n">
        <v>1</v>
      </c>
      <c r="C713" s="193" t="n">
        <v>100</v>
      </c>
      <c r="D713" s="194" t="n">
        <v>3.1</v>
      </c>
      <c r="E713" s="194" t="n">
        <v>-6.5</v>
      </c>
      <c r="F713" s="194" t="n">
        <v>79.8</v>
      </c>
      <c r="G713" s="194" t="n">
        <v>22</v>
      </c>
      <c r="H713" s="194" t="n">
        <v>-9.4</v>
      </c>
      <c r="I713" s="194" t="n">
        <v>74.3</v>
      </c>
      <c r="J713" s="194" t="n">
        <v>18.3</v>
      </c>
      <c r="K713" s="195" t="inlineStr">
        <is>
          <t>2137 BRII - B</t>
        </is>
      </c>
    </row>
    <row r="714">
      <c r="A714" s="32" t="inlineStr">
        <is>
          <t>Beijing Xingxing Equity Investment Partnership (Limited Partnership)</t>
        </is>
      </c>
      <c r="B714" s="191" t="n">
        <v>1</v>
      </c>
      <c r="C714" s="193" t="n">
        <v>100</v>
      </c>
      <c r="D714" s="194" t="n">
        <v>3.1</v>
      </c>
      <c r="E714" s="194" t="n">
        <v>0.7</v>
      </c>
      <c r="F714" s="194" t="n">
        <v>5.5</v>
      </c>
      <c r="G714" s="194" t="n">
        <v>3.1</v>
      </c>
      <c r="H714" s="194" t="n">
        <v>-2.3</v>
      </c>
      <c r="I714" s="194" t="n">
        <v>2.3</v>
      </c>
      <c r="J714" s="194" t="n">
        <v>0</v>
      </c>
      <c r="K714" s="195" t="inlineStr">
        <is>
          <t>2315 BIOCYTOGEN-B</t>
        </is>
      </c>
    </row>
    <row r="715">
      <c r="A715" s="32" t="inlineStr">
        <is>
          <t>Kelun International Development Co., Limited</t>
        </is>
      </c>
      <c r="B715" s="191" t="n">
        <v>1</v>
      </c>
      <c r="C715" s="193" t="n">
        <v>100</v>
      </c>
      <c r="D715" s="194" t="n">
        <v>3.1</v>
      </c>
      <c r="E715" s="194" t="n">
        <v>8.9</v>
      </c>
      <c r="F715" s="194" t="n">
        <v>19.6</v>
      </c>
      <c r="G715" s="194" t="n">
        <v>33.7</v>
      </c>
      <c r="H715" s="194" t="n">
        <v>5.6</v>
      </c>
      <c r="I715" s="194" t="n">
        <v>16</v>
      </c>
      <c r="J715" s="194" t="n">
        <v>29.6</v>
      </c>
      <c r="K715" s="195" t="inlineStr">
        <is>
          <t>6990 SKB BIO-B</t>
        </is>
      </c>
    </row>
    <row r="716">
      <c r="A716" s="32" t="inlineStr">
        <is>
          <t>Shen Zhen New World Investment (H.K.)</t>
        </is>
      </c>
      <c r="B716" s="191" t="n">
        <v>1</v>
      </c>
      <c r="C716" s="193" t="n">
        <v>100</v>
      </c>
      <c r="D716" s="194" t="n">
        <v>2.9</v>
      </c>
      <c r="E716" s="194" t="n">
        <v>3</v>
      </c>
      <c r="F716" s="194" t="n">
        <v>1.1</v>
      </c>
      <c r="G716" s="194" t="n">
        <v>-28.1</v>
      </c>
      <c r="H716" s="194" t="n">
        <v>0.1</v>
      </c>
      <c r="I716" s="194" t="n">
        <v>-1.8</v>
      </c>
      <c r="J716" s="194" t="n">
        <v>-30.1</v>
      </c>
      <c r="K716" s="195" t="inlineStr">
        <is>
          <t>9981 WOER</t>
        </is>
      </c>
    </row>
    <row r="717">
      <c r="A717" s="32" t="inlineStr">
        <is>
          <t>Best Cheer Development</t>
        </is>
      </c>
      <c r="B717" s="191" t="n">
        <v>1</v>
      </c>
      <c r="C717" s="193" t="n">
        <v>100</v>
      </c>
      <c r="D717" s="194" t="n">
        <v>2.9</v>
      </c>
      <c r="E717" s="194" t="n">
        <v>3</v>
      </c>
      <c r="F717" s="194" t="n">
        <v>1.1</v>
      </c>
      <c r="G717" s="194" t="n">
        <v>-28.1</v>
      </c>
      <c r="H717" s="194" t="n">
        <v>0.1</v>
      </c>
      <c r="I717" s="194" t="n">
        <v>-1.8</v>
      </c>
      <c r="J717" s="194" t="n">
        <v>-30.1</v>
      </c>
      <c r="K717" s="195" t="inlineStr">
        <is>
          <t>9981 WOER</t>
        </is>
      </c>
    </row>
    <row r="718">
      <c r="A718" s="32" t="inlineStr">
        <is>
          <t>Pu Xin (via GTJA OTC swaps)</t>
        </is>
      </c>
      <c r="B718" s="191" t="n">
        <v>1</v>
      </c>
      <c r="C718" s="193" t="n">
        <v>100</v>
      </c>
      <c r="D718" s="194" t="n">
        <v>2.9</v>
      </c>
      <c r="E718" s="194" t="n">
        <v>3</v>
      </c>
      <c r="F718" s="194" t="n">
        <v>1.1</v>
      </c>
      <c r="G718" s="194" t="n">
        <v>-28.1</v>
      </c>
      <c r="H718" s="194" t="n">
        <v>0.1</v>
      </c>
      <c r="I718" s="194" t="n">
        <v>-1.8</v>
      </c>
      <c r="J718" s="194" t="n">
        <v>-30.1</v>
      </c>
      <c r="K718" s="195" t="inlineStr">
        <is>
          <t>9981 WOER</t>
        </is>
      </c>
    </row>
    <row r="719">
      <c r="A719" s="32" t="inlineStr">
        <is>
          <t>Capchem (Hongkong)</t>
        </is>
      </c>
      <c r="B719" s="191" t="n">
        <v>1</v>
      </c>
      <c r="C719" s="193" t="n">
        <v>100</v>
      </c>
      <c r="D719" s="194" t="n">
        <v>2.9</v>
      </c>
      <c r="E719" s="194" t="n">
        <v>3</v>
      </c>
      <c r="F719" s="194" t="n">
        <v>1.1</v>
      </c>
      <c r="G719" s="194" t="n">
        <v>-28.1</v>
      </c>
      <c r="H719" s="194" t="n">
        <v>0.1</v>
      </c>
      <c r="I719" s="194" t="n">
        <v>-1.8</v>
      </c>
      <c r="J719" s="194" t="n">
        <v>-30.1</v>
      </c>
      <c r="K719" s="195" t="inlineStr">
        <is>
          <t>9981 WOER</t>
        </is>
      </c>
    </row>
    <row r="720">
      <c r="A720" s="32" t="inlineStr">
        <is>
          <t>Baidu (Hong Kong) Limited</t>
        </is>
      </c>
      <c r="B720" s="191" t="n">
        <v>1</v>
      </c>
      <c r="C720" s="193" t="n">
        <v>100</v>
      </c>
      <c r="D720" s="194" t="n">
        <v>2.8</v>
      </c>
      <c r="E720" s="194" t="n">
        <v>19.6</v>
      </c>
      <c r="F720" s="194" t="n">
        <v>-4.8</v>
      </c>
      <c r="G720" s="194" t="n">
        <v>10</v>
      </c>
      <c r="H720" s="194" t="n">
        <v>16.3</v>
      </c>
      <c r="I720" s="194" t="n">
        <v>-7.3</v>
      </c>
      <c r="J720" s="194" t="n">
        <v>7.1</v>
      </c>
      <c r="K720" s="195" t="inlineStr">
        <is>
          <t>9660 HORIZONROBOT-W</t>
        </is>
      </c>
    </row>
    <row r="721">
      <c r="A721" s="32" t="inlineStr">
        <is>
          <t>PARTICIPATIONS 1</t>
        </is>
      </c>
      <c r="B721" s="191" t="n">
        <v>1</v>
      </c>
      <c r="C721" s="193" t="n">
        <v>100</v>
      </c>
      <c r="D721" s="194" t="n">
        <v>2.8</v>
      </c>
      <c r="E721" s="194" t="n">
        <v>19.6</v>
      </c>
      <c r="F721" s="194" t="n">
        <v>-4.8</v>
      </c>
      <c r="G721" s="194" t="n">
        <v>10</v>
      </c>
      <c r="H721" s="194" t="n">
        <v>16.3</v>
      </c>
      <c r="I721" s="194" t="n">
        <v>-7.3</v>
      </c>
      <c r="J721" s="194" t="n">
        <v>7.1</v>
      </c>
      <c r="K721" s="195" t="inlineStr">
        <is>
          <t>9660 HORIZONROBOT-W</t>
        </is>
      </c>
    </row>
    <row r="722">
      <c r="A722" s="32" t="inlineStr">
        <is>
          <t>Shanghai Pinpoint and CICC Financial Trading Limited (in connection with Pinpoint OTC Swaps)</t>
        </is>
      </c>
      <c r="B722" s="191" t="n">
        <v>1</v>
      </c>
      <c r="C722" s="193" t="n">
        <v>100</v>
      </c>
      <c r="D722" s="194" t="n">
        <v>2.8</v>
      </c>
      <c r="E722" s="194" t="n">
        <v>6.7</v>
      </c>
      <c r="F722" s="194" t="n">
        <v>0.2</v>
      </c>
      <c r="G722" s="194" t="n">
        <v>18.8</v>
      </c>
      <c r="H722" s="194" t="n">
        <v>3.7</v>
      </c>
      <c r="I722" s="194" t="n">
        <v>-2.6</v>
      </c>
      <c r="J722" s="194" t="n">
        <v>15.5</v>
      </c>
      <c r="K722" s="195" t="inlineStr">
        <is>
          <t>6031 SANY HEAVY IND</t>
        </is>
      </c>
    </row>
    <row r="723">
      <c r="A723" s="32" t="inlineStr">
        <is>
          <t>FengHe Asia Fund Ltd</t>
        </is>
      </c>
      <c r="B723" s="191" t="n">
        <v>1</v>
      </c>
      <c r="C723" s="193" t="n">
        <v>100</v>
      </c>
      <c r="D723" s="194" t="n">
        <v>2.8</v>
      </c>
      <c r="E723" s="194" t="n">
        <v>6.7</v>
      </c>
      <c r="F723" s="194" t="n">
        <v>0.2</v>
      </c>
      <c r="G723" s="194" t="n">
        <v>18.8</v>
      </c>
      <c r="H723" s="194" t="n">
        <v>3.7</v>
      </c>
      <c r="I723" s="194" t="n">
        <v>-2.6</v>
      </c>
      <c r="J723" s="194" t="n">
        <v>15.5</v>
      </c>
      <c r="K723" s="195" t="inlineStr">
        <is>
          <t>6031 SANY HEAVY IND</t>
        </is>
      </c>
    </row>
    <row r="724">
      <c r="A724" s="32" t="inlineStr">
        <is>
          <t>Weichai Power Hong Kong International Development Co., Ltd</t>
        </is>
      </c>
      <c r="B724" s="191" t="n">
        <v>1</v>
      </c>
      <c r="C724" s="193" t="n">
        <v>100</v>
      </c>
      <c r="D724" s="194" t="n">
        <v>2.8</v>
      </c>
      <c r="E724" s="194" t="n">
        <v>6.7</v>
      </c>
      <c r="F724" s="194" t="n">
        <v>0.2</v>
      </c>
      <c r="G724" s="194" t="n">
        <v>18.8</v>
      </c>
      <c r="H724" s="194" t="n">
        <v>3.7</v>
      </c>
      <c r="I724" s="194" t="n">
        <v>-2.6</v>
      </c>
      <c r="J724" s="194" t="n">
        <v>15.5</v>
      </c>
      <c r="K724" s="195" t="inlineStr">
        <is>
          <t>6031 SANY HEAVY IND</t>
        </is>
      </c>
    </row>
    <row r="725">
      <c r="A725" s="32" t="inlineStr">
        <is>
          <t>Heyuan Trading (Hong Kong) Limited</t>
        </is>
      </c>
      <c r="B725" s="191" t="n">
        <v>1</v>
      </c>
      <c r="C725" s="193" t="n">
        <v>100</v>
      </c>
      <c r="D725" s="194" t="n">
        <v>2.5</v>
      </c>
      <c r="E725" s="194" t="n">
        <v>-10.2</v>
      </c>
      <c r="F725" s="194" t="n">
        <v>-27.1</v>
      </c>
      <c r="G725" s="194" t="n">
        <v>-43.2</v>
      </c>
      <c r="H725" s="194" t="n">
        <v>-12.4</v>
      </c>
      <c r="I725" s="194" t="n">
        <v>-28.9</v>
      </c>
      <c r="J725" s="194" t="n">
        <v>-44.6</v>
      </c>
      <c r="K725" s="195" t="inlineStr">
        <is>
          <t>2271 ZHONGAN SERVICE</t>
        </is>
      </c>
    </row>
    <row r="726">
      <c r="A726" s="32" t="inlineStr">
        <is>
          <t>Wu Mingwu</t>
        </is>
      </c>
      <c r="B726" s="191" t="n">
        <v>1</v>
      </c>
      <c r="C726" s="193" t="n">
        <v>100</v>
      </c>
      <c r="D726" s="194" t="n">
        <v>2.5</v>
      </c>
      <c r="E726" s="194" t="n">
        <v>-10.2</v>
      </c>
      <c r="F726" s="194" t="n">
        <v>-27.1</v>
      </c>
      <c r="G726" s="194" t="n">
        <v>-43.2</v>
      </c>
      <c r="H726" s="194" t="n">
        <v>-12.4</v>
      </c>
      <c r="I726" s="194" t="n">
        <v>-28.9</v>
      </c>
      <c r="J726" s="194" t="n">
        <v>-44.6</v>
      </c>
      <c r="K726" s="195" t="inlineStr">
        <is>
          <t>2271 ZHONGAN SERVICE</t>
        </is>
      </c>
    </row>
    <row r="727">
      <c r="A727" s="32" t="inlineStr">
        <is>
          <t>Taihu Golden Valley</t>
        </is>
      </c>
      <c r="B727" s="191" t="n">
        <v>1</v>
      </c>
      <c r="C727" s="193" t="n">
        <v>100</v>
      </c>
      <c r="D727" s="194" t="n">
        <v>2.4</v>
      </c>
      <c r="E727" s="194" t="n">
        <v>11.4</v>
      </c>
      <c r="F727" s="194" t="n">
        <v>-7.5</v>
      </c>
      <c r="G727" s="194" t="n">
        <v>-13.1</v>
      </c>
      <c r="H727" s="194" t="n">
        <v>8.800000000000001</v>
      </c>
      <c r="I727" s="194" t="n">
        <v>-9.699999999999999</v>
      </c>
      <c r="J727" s="194" t="n">
        <v>-15.1</v>
      </c>
      <c r="K727" s="195" t="inlineStr">
        <is>
          <t>2692 ZHAOWEI</t>
        </is>
      </c>
    </row>
    <row r="728">
      <c r="A728" s="32" t="inlineStr">
        <is>
          <t>Topstar Worldwide</t>
        </is>
      </c>
      <c r="B728" s="191" t="n">
        <v>1</v>
      </c>
      <c r="C728" s="193" t="n">
        <v>100</v>
      </c>
      <c r="D728" s="194" t="n">
        <v>2.4</v>
      </c>
      <c r="E728" s="194" t="n">
        <v>11.4</v>
      </c>
      <c r="F728" s="194" t="n">
        <v>-7.5</v>
      </c>
      <c r="G728" s="194" t="n">
        <v>-13.1</v>
      </c>
      <c r="H728" s="194" t="n">
        <v>8.800000000000001</v>
      </c>
      <c r="I728" s="194" t="n">
        <v>-9.699999999999999</v>
      </c>
      <c r="J728" s="194" t="n">
        <v>-15.1</v>
      </c>
      <c r="K728" s="195" t="inlineStr">
        <is>
          <t>2692 ZHAOWEI</t>
        </is>
      </c>
    </row>
    <row r="729">
      <c r="A729" s="32" t="inlineStr">
        <is>
          <t>Hengbang and China Galaxy International Investment Company Limited (in connection with the Hengbang OTC Swaps)</t>
        </is>
      </c>
      <c r="B729" s="191" t="n">
        <v>1</v>
      </c>
      <c r="C729" s="193" t="n">
        <v>100</v>
      </c>
      <c r="D729" s="194" t="n">
        <v>2.4</v>
      </c>
      <c r="E729" s="194" t="n">
        <v>11.4</v>
      </c>
      <c r="F729" s="194" t="n">
        <v>-7.5</v>
      </c>
      <c r="G729" s="194" t="n">
        <v>-13.1</v>
      </c>
      <c r="H729" s="194" t="n">
        <v>8.800000000000001</v>
      </c>
      <c r="I729" s="194" t="n">
        <v>-9.699999999999999</v>
      </c>
      <c r="J729" s="194" t="n">
        <v>-15.1</v>
      </c>
      <c r="K729" s="195" t="inlineStr">
        <is>
          <t>2692 ZHAOWEI</t>
        </is>
      </c>
    </row>
    <row r="730">
      <c r="A730" s="32" t="inlineStr">
        <is>
          <t>BeingBoom Capital</t>
        </is>
      </c>
      <c r="B730" s="191" t="n">
        <v>1</v>
      </c>
      <c r="C730" s="193" t="n">
        <v>100</v>
      </c>
      <c r="D730" s="194" t="n">
        <v>2.4</v>
      </c>
      <c r="E730" s="194" t="n">
        <v>11.4</v>
      </c>
      <c r="F730" s="194" t="n">
        <v>-7.5</v>
      </c>
      <c r="G730" s="194" t="n">
        <v>-13.1</v>
      </c>
      <c r="H730" s="194" t="n">
        <v>8.800000000000001</v>
      </c>
      <c r="I730" s="194" t="n">
        <v>-9.699999999999999</v>
      </c>
      <c r="J730" s="194" t="n">
        <v>-15.1</v>
      </c>
      <c r="K730" s="195" t="inlineStr">
        <is>
          <t>2692 ZHAOWEI</t>
        </is>
      </c>
    </row>
    <row r="731">
      <c r="A731" s="32" t="inlineStr">
        <is>
          <t>Mr. He Maoling</t>
        </is>
      </c>
      <c r="B731" s="191" t="n">
        <v>1</v>
      </c>
      <c r="C731" s="193" t="n">
        <v>100</v>
      </c>
      <c r="D731" s="194" t="n">
        <v>2.4</v>
      </c>
      <c r="E731" s="194" t="n">
        <v>11.4</v>
      </c>
      <c r="F731" s="194" t="n">
        <v>-7.5</v>
      </c>
      <c r="G731" s="194" t="n">
        <v>-13.1</v>
      </c>
      <c r="H731" s="194" t="n">
        <v>8.800000000000001</v>
      </c>
      <c r="I731" s="194" t="n">
        <v>-9.699999999999999</v>
      </c>
      <c r="J731" s="194" t="n">
        <v>-15.1</v>
      </c>
      <c r="K731" s="195" t="inlineStr">
        <is>
          <t>2692 ZHAOWEI</t>
        </is>
      </c>
    </row>
    <row r="732">
      <c r="A732" s="32" t="inlineStr">
        <is>
          <t>Mr. Luo Jie</t>
        </is>
      </c>
      <c r="B732" s="191" t="n">
        <v>1</v>
      </c>
      <c r="C732" s="193" t="n">
        <v>100</v>
      </c>
      <c r="D732" s="194" t="n">
        <v>2.4</v>
      </c>
      <c r="E732" s="194" t="n">
        <v>11.4</v>
      </c>
      <c r="F732" s="194" t="n">
        <v>-7.5</v>
      </c>
      <c r="G732" s="194" t="n">
        <v>-13.1</v>
      </c>
      <c r="H732" s="194" t="n">
        <v>8.800000000000001</v>
      </c>
      <c r="I732" s="194" t="n">
        <v>-9.699999999999999</v>
      </c>
      <c r="J732" s="194" t="n">
        <v>-15.1</v>
      </c>
      <c r="K732" s="195" t="inlineStr">
        <is>
          <t>2692 ZHAOWEI</t>
        </is>
      </c>
    </row>
    <row r="733">
      <c r="A733" s="32" t="inlineStr">
        <is>
          <t>Pingmei Shenma (Hong Kong) International Investment Limited</t>
        </is>
      </c>
      <c r="B733" s="191" t="n">
        <v>1</v>
      </c>
      <c r="C733" s="193" t="n">
        <v>100</v>
      </c>
      <c r="D733" s="194" t="n">
        <v>2.2</v>
      </c>
      <c r="E733" s="194" t="n">
        <v>-11.5</v>
      </c>
      <c r="F733" s="194" t="n">
        <v>-41.1</v>
      </c>
      <c r="G733" s="194" t="n">
        <v>-39</v>
      </c>
      <c r="H733" s="194" t="n">
        <v>-13.4</v>
      </c>
      <c r="I733" s="194" t="n">
        <v>-42.4</v>
      </c>
      <c r="J733" s="194" t="n">
        <v>-40.4</v>
      </c>
      <c r="K733" s="195" t="inlineStr">
        <is>
          <t>2693 JINYAN KAOLIN</t>
        </is>
      </c>
    </row>
    <row r="734">
      <c r="A734" s="32" t="inlineStr">
        <is>
          <t>Hong Kong Chuangli Yingtai Investment Limited</t>
        </is>
      </c>
      <c r="B734" s="191" t="n">
        <v>1</v>
      </c>
      <c r="C734" s="193" t="n">
        <v>100</v>
      </c>
      <c r="D734" s="194" t="n">
        <v>2.2</v>
      </c>
      <c r="E734" s="194" t="n">
        <v>-11.5</v>
      </c>
      <c r="F734" s="194" t="n">
        <v>-41.1</v>
      </c>
      <c r="G734" s="194" t="n">
        <v>-39</v>
      </c>
      <c r="H734" s="194" t="n">
        <v>-13.4</v>
      </c>
      <c r="I734" s="194" t="n">
        <v>-42.4</v>
      </c>
      <c r="J734" s="194" t="n">
        <v>-40.4</v>
      </c>
      <c r="K734" s="195" t="inlineStr">
        <is>
          <t>2693 JINYAN KAOLIN</t>
        </is>
      </c>
    </row>
    <row r="735">
      <c r="A735" s="32" t="inlineStr">
        <is>
          <t>Hong Kong Jinyuan Industry and Trade Limited</t>
        </is>
      </c>
      <c r="B735" s="191" t="n">
        <v>1</v>
      </c>
      <c r="C735" s="193" t="n">
        <v>100</v>
      </c>
      <c r="D735" s="194" t="n">
        <v>2.2</v>
      </c>
      <c r="E735" s="194" t="n">
        <v>-11.5</v>
      </c>
      <c r="F735" s="194" t="n">
        <v>-41.1</v>
      </c>
      <c r="G735" s="194" t="n">
        <v>-39</v>
      </c>
      <c r="H735" s="194" t="n">
        <v>-13.4</v>
      </c>
      <c r="I735" s="194" t="n">
        <v>-42.4</v>
      </c>
      <c r="J735" s="194" t="n">
        <v>-40.4</v>
      </c>
      <c r="K735" s="195" t="inlineStr">
        <is>
          <t>2693 JINYAN KAOLIN</t>
        </is>
      </c>
    </row>
    <row r="736">
      <c r="A736" s="32" t="inlineStr">
        <is>
          <t>Degao Mining Technology Limited</t>
        </is>
      </c>
      <c r="B736" s="191" t="n">
        <v>1</v>
      </c>
      <c r="C736" s="193" t="n">
        <v>100</v>
      </c>
      <c r="D736" s="194" t="n">
        <v>2.2</v>
      </c>
      <c r="E736" s="194" t="n">
        <v>-11.5</v>
      </c>
      <c r="F736" s="194" t="n">
        <v>-41.1</v>
      </c>
      <c r="G736" s="194" t="n">
        <v>-39</v>
      </c>
      <c r="H736" s="194" t="n">
        <v>-13.4</v>
      </c>
      <c r="I736" s="194" t="n">
        <v>-42.4</v>
      </c>
      <c r="J736" s="194" t="n">
        <v>-40.4</v>
      </c>
      <c r="K736" s="195" t="inlineStr">
        <is>
          <t>2693 JINYAN KAOLIN</t>
        </is>
      </c>
    </row>
    <row r="737">
      <c r="A737" s="32" t="inlineStr">
        <is>
          <t>Lai Shixian</t>
        </is>
      </c>
      <c r="B737" s="191" t="n">
        <v>1</v>
      </c>
      <c r="C737" s="193" t="n">
        <v>100</v>
      </c>
      <c r="D737" s="194" t="n">
        <v>2</v>
      </c>
      <c r="E737" s="194" t="n">
        <v>-15.8</v>
      </c>
      <c r="F737" s="194" t="n">
        <v>-64.3</v>
      </c>
      <c r="G737" s="194" t="n">
        <v>-70.90000000000001</v>
      </c>
      <c r="H737" s="194" t="n">
        <v>-17.5</v>
      </c>
      <c r="I737" s="194" t="n">
        <v>-65</v>
      </c>
      <c r="J737" s="194" t="n">
        <v>-71.5</v>
      </c>
      <c r="K737" s="195" t="inlineStr">
        <is>
          <t>6696 MANY IDEA CLOUD</t>
        </is>
      </c>
    </row>
    <row r="738">
      <c r="A738" s="32" t="inlineStr">
        <is>
          <t>SCHP Master Fund</t>
        </is>
      </c>
      <c r="B738" s="191" t="n">
        <v>1</v>
      </c>
      <c r="C738" s="193" t="n">
        <v>100</v>
      </c>
      <c r="D738" s="194" t="n">
        <v>1.8</v>
      </c>
      <c r="E738" s="194" t="n">
        <v>10.1</v>
      </c>
      <c r="F738" s="194" t="n">
        <v>0.2</v>
      </c>
      <c r="G738" s="194" t="n">
        <v>-8.699999999999999</v>
      </c>
      <c r="H738" s="194" t="n">
        <v>8.1</v>
      </c>
      <c r="I738" s="194" t="n">
        <v>-1.6</v>
      </c>
      <c r="J738" s="194" t="n">
        <v>-10.3</v>
      </c>
      <c r="K738" s="195" t="inlineStr">
        <is>
          <t>2179 RECBIO-B</t>
        </is>
      </c>
    </row>
    <row r="739">
      <c r="A739" s="32" t="inlineStr">
        <is>
          <t>Dongfang Gold Industry (Hong Kong) Limited</t>
        </is>
      </c>
      <c r="B739" s="191" t="n">
        <v>1</v>
      </c>
      <c r="C739" s="193" t="n">
        <v>100</v>
      </c>
      <c r="D739" s="194" t="n">
        <v>1.8</v>
      </c>
      <c r="E739" s="194" t="n">
        <v>0</v>
      </c>
      <c r="F739" s="194" t="n">
        <v>1.8</v>
      </c>
      <c r="G739" s="194" t="n">
        <v>12.7</v>
      </c>
      <c r="H739" s="194" t="n">
        <v>-1.8</v>
      </c>
      <c r="I739" s="194" t="n">
        <v>0</v>
      </c>
      <c r="J739" s="194" t="n">
        <v>10.7</v>
      </c>
      <c r="K739" s="195" t="inlineStr">
        <is>
          <t>2489 PERSISTENCE RES</t>
        </is>
      </c>
    </row>
    <row r="740">
      <c r="A740" s="32" t="inlineStr">
        <is>
          <t>LifeTech Scientific Corporation</t>
        </is>
      </c>
      <c r="B740" s="191" t="n">
        <v>1</v>
      </c>
      <c r="C740" s="193" t="n">
        <v>100</v>
      </c>
      <c r="D740" s="194" t="n">
        <v>1.6</v>
      </c>
      <c r="E740" s="194" t="n">
        <v>0.5</v>
      </c>
      <c r="F740" s="194" t="n">
        <v>11.5</v>
      </c>
      <c r="G740" s="194" t="n">
        <v>28.4</v>
      </c>
      <c r="H740" s="194" t="n">
        <v>-1.1</v>
      </c>
      <c r="I740" s="194" t="n">
        <v>9.699999999999999</v>
      </c>
      <c r="J740" s="194" t="n">
        <v>26.4</v>
      </c>
      <c r="K740" s="195" t="inlineStr">
        <is>
          <t>9877 JENSCARE-B</t>
        </is>
      </c>
    </row>
    <row r="741">
      <c r="A741" s="32" t="inlineStr">
        <is>
          <t>Xiushan County Xinzhiyuan Market Management Co., Ltd</t>
        </is>
      </c>
      <c r="B741" s="191" t="n">
        <v>1</v>
      </c>
      <c r="C741" s="193" t="n">
        <v>100</v>
      </c>
      <c r="D741" s="194" t="n">
        <v>1.5</v>
      </c>
      <c r="E741" s="194" t="n">
        <v>2.2</v>
      </c>
      <c r="F741" s="194" t="n">
        <v>59.7</v>
      </c>
      <c r="G741" s="194" t="n">
        <v>18.9</v>
      </c>
      <c r="H741" s="194" t="n">
        <v>0.7</v>
      </c>
      <c r="I741" s="194" t="n">
        <v>57.3</v>
      </c>
      <c r="J741" s="194" t="n">
        <v>17.2</v>
      </c>
      <c r="K741" s="195" t="inlineStr">
        <is>
          <t>2419 DEKON AGR</t>
        </is>
      </c>
    </row>
    <row r="742">
      <c r="A742" s="32" t="inlineStr">
        <is>
          <t>Guiyang Agricultural Investment Development Co., Ltd</t>
        </is>
      </c>
      <c r="B742" s="191" t="n">
        <v>1</v>
      </c>
      <c r="C742" s="193" t="n">
        <v>100</v>
      </c>
      <c r="D742" s="194" t="n">
        <v>1.5</v>
      </c>
      <c r="E742" s="194" t="n">
        <v>2.2</v>
      </c>
      <c r="F742" s="194" t="n">
        <v>59.7</v>
      </c>
      <c r="G742" s="194" t="n">
        <v>18.9</v>
      </c>
      <c r="H742" s="194" t="n">
        <v>0.7</v>
      </c>
      <c r="I742" s="194" t="n">
        <v>57.3</v>
      </c>
      <c r="J742" s="194" t="n">
        <v>17.2</v>
      </c>
      <c r="K742" s="195" t="inlineStr">
        <is>
          <t>2419 DEKON AGR</t>
        </is>
      </c>
    </row>
    <row r="743">
      <c r="A743" s="32" t="inlineStr">
        <is>
          <t>Quxian Huixing Industrial Investment Co., Ltd</t>
        </is>
      </c>
      <c r="B743" s="191" t="n">
        <v>1</v>
      </c>
      <c r="C743" s="193" t="n">
        <v>100</v>
      </c>
      <c r="D743" s="194" t="n">
        <v>1.5</v>
      </c>
      <c r="E743" s="194" t="n">
        <v>2.2</v>
      </c>
      <c r="F743" s="194" t="n">
        <v>59.7</v>
      </c>
      <c r="G743" s="194" t="n">
        <v>18.9</v>
      </c>
      <c r="H743" s="194" t="n">
        <v>0.7</v>
      </c>
      <c r="I743" s="194" t="n">
        <v>57.3</v>
      </c>
      <c r="J743" s="194" t="n">
        <v>17.2</v>
      </c>
      <c r="K743" s="195" t="inlineStr">
        <is>
          <t>2419 DEKON AGR</t>
        </is>
      </c>
    </row>
    <row r="744">
      <c r="A744" s="32" t="inlineStr">
        <is>
          <t>China Mobile International Holdings Limited</t>
        </is>
      </c>
      <c r="B744" s="191" t="n">
        <v>1</v>
      </c>
      <c r="C744" s="193" t="n">
        <v>100</v>
      </c>
      <c r="D744" s="194" t="n">
        <v>1.5</v>
      </c>
      <c r="E744" s="194" t="n">
        <v>0.4</v>
      </c>
      <c r="F744" s="194" t="n">
        <v>17.2</v>
      </c>
      <c r="G744" s="194" t="n">
        <v>-4.5</v>
      </c>
      <c r="H744" s="194" t="n">
        <v>-1.1</v>
      </c>
      <c r="I744" s="194" t="n">
        <v>15.5</v>
      </c>
      <c r="J744" s="194" t="n">
        <v>-5.9</v>
      </c>
      <c r="K744" s="195" t="inlineStr">
        <is>
          <t>2571 SAIMO</t>
        </is>
      </c>
    </row>
    <row r="745">
      <c r="A745" s="32" t="inlineStr">
        <is>
          <t>Investments 1 Limited</t>
        </is>
      </c>
      <c r="B745" s="191" t="n">
        <v>1</v>
      </c>
      <c r="C745" s="193" t="n">
        <v>100</v>
      </c>
      <c r="D745" s="194" t="n">
        <v>1.5</v>
      </c>
      <c r="E745" s="194" t="n">
        <v>0.8</v>
      </c>
      <c r="F745" s="194" t="n">
        <v>-13.9</v>
      </c>
      <c r="G745" s="194" t="n">
        <v>-12.5</v>
      </c>
      <c r="H745" s="194" t="n">
        <v>-0.7</v>
      </c>
      <c r="I745" s="194" t="n">
        <v>-15.2</v>
      </c>
      <c r="J745" s="194" t="n">
        <v>-13.8</v>
      </c>
      <c r="K745" s="195" t="inlineStr">
        <is>
          <t>9980 EASTROC</t>
        </is>
      </c>
    </row>
    <row r="746">
      <c r="A746" s="32" t="inlineStr">
        <is>
          <t>Amazing Mountain Limited</t>
        </is>
      </c>
      <c r="B746" s="191" t="n">
        <v>1</v>
      </c>
      <c r="C746" s="193" t="n">
        <v>100</v>
      </c>
      <c r="D746" s="194" t="n">
        <v>1.5</v>
      </c>
      <c r="E746" s="194" t="n">
        <v>0.8</v>
      </c>
      <c r="F746" s="194" t="n">
        <v>-13.9</v>
      </c>
      <c r="G746" s="194" t="n">
        <v>-12.5</v>
      </c>
      <c r="H746" s="194" t="n">
        <v>-0.7</v>
      </c>
      <c r="I746" s="194" t="n">
        <v>-15.2</v>
      </c>
      <c r="J746" s="194" t="n">
        <v>-13.8</v>
      </c>
      <c r="K746" s="195" t="inlineStr">
        <is>
          <t>9980 EASTROC</t>
        </is>
      </c>
    </row>
    <row r="747">
      <c r="A747" s="32" t="inlineStr">
        <is>
          <t>Phase II L.P</t>
        </is>
      </c>
      <c r="B747" s="191" t="n">
        <v>1</v>
      </c>
      <c r="C747" s="193" t="n">
        <v>100</v>
      </c>
      <c r="D747" s="194" t="n">
        <v>1.5</v>
      </c>
      <c r="E747" s="194" t="n">
        <v>0.8</v>
      </c>
      <c r="F747" s="194" t="n">
        <v>-13.9</v>
      </c>
      <c r="G747" s="194" t="n">
        <v>-12.5</v>
      </c>
      <c r="H747" s="194" t="n">
        <v>-0.7</v>
      </c>
      <c r="I747" s="194" t="n">
        <v>-15.2</v>
      </c>
      <c r="J747" s="194" t="n">
        <v>-13.8</v>
      </c>
      <c r="K747" s="195" t="inlineStr">
        <is>
          <t>9980 EASTROC</t>
        </is>
      </c>
    </row>
    <row r="748">
      <c r="A748" s="32" t="inlineStr">
        <is>
          <t>Baoyue Lake Shenzhen Industrial Investment Win-Win Enterprise Management Limited</t>
        </is>
      </c>
      <c r="B748" s="191" t="n">
        <v>1</v>
      </c>
      <c r="C748" s="193" t="n">
        <v>100</v>
      </c>
      <c r="D748" s="194" t="n">
        <v>1.5</v>
      </c>
      <c r="E748" s="194" t="n">
        <v>-10.1</v>
      </c>
      <c r="F748" s="194" t="n">
        <v>-20</v>
      </c>
      <c r="G748" s="194" t="n">
        <v>-29.1</v>
      </c>
      <c r="H748" s="194" t="n">
        <v>-11.4</v>
      </c>
      <c r="I748" s="194" t="n">
        <v>-21.2</v>
      </c>
      <c r="J748" s="194" t="n">
        <v>-30.2</v>
      </c>
      <c r="K748" s="195" t="inlineStr">
        <is>
          <t>3268 MEIG</t>
        </is>
      </c>
    </row>
    <row r="749">
      <c r="A749" s="32" t="inlineStr">
        <is>
          <t>Meiko Elec. Hong Kong Co., Limited</t>
        </is>
      </c>
      <c r="B749" s="191" t="n">
        <v>1</v>
      </c>
      <c r="C749" s="193" t="n">
        <v>100</v>
      </c>
      <c r="D749" s="194" t="n">
        <v>1.5</v>
      </c>
      <c r="E749" s="194" t="n">
        <v>-10.1</v>
      </c>
      <c r="F749" s="194" t="n">
        <v>-20</v>
      </c>
      <c r="G749" s="194" t="n">
        <v>-29.1</v>
      </c>
      <c r="H749" s="194" t="n">
        <v>-11.4</v>
      </c>
      <c r="I749" s="194" t="n">
        <v>-21.2</v>
      </c>
      <c r="J749" s="194" t="n">
        <v>-30.2</v>
      </c>
      <c r="K749" s="195" t="inlineStr">
        <is>
          <t>3268 MEIG</t>
        </is>
      </c>
    </row>
    <row r="750">
      <c r="A750" s="32" t="inlineStr">
        <is>
          <t>Open Wealth Management Limited</t>
        </is>
      </c>
      <c r="B750" s="191" t="n">
        <v>1</v>
      </c>
      <c r="C750" s="193" t="n">
        <v>100</v>
      </c>
      <c r="D750" s="194" t="n">
        <v>1.5</v>
      </c>
      <c r="E750" s="194" t="n">
        <v>-10.1</v>
      </c>
      <c r="F750" s="194" t="n">
        <v>-20</v>
      </c>
      <c r="G750" s="194" t="n">
        <v>-29.1</v>
      </c>
      <c r="H750" s="194" t="n">
        <v>-11.4</v>
      </c>
      <c r="I750" s="194" t="n">
        <v>-21.2</v>
      </c>
      <c r="J750" s="194" t="n">
        <v>-30.2</v>
      </c>
      <c r="K750" s="195" t="inlineStr">
        <is>
          <t>3268 MEIG</t>
        </is>
      </c>
    </row>
    <row r="751">
      <c r="A751" s="32" t="inlineStr">
        <is>
          <t>China Winning Limited</t>
        </is>
      </c>
      <c r="B751" s="191" t="n">
        <v>1</v>
      </c>
      <c r="C751" s="193" t="n">
        <v>100</v>
      </c>
      <c r="D751" s="194" t="n">
        <v>1.5</v>
      </c>
      <c r="E751" s="194" t="n">
        <v>-10.1</v>
      </c>
      <c r="F751" s="194" t="n">
        <v>-20</v>
      </c>
      <c r="G751" s="194" t="n">
        <v>-29.1</v>
      </c>
      <c r="H751" s="194" t="n">
        <v>-11.4</v>
      </c>
      <c r="I751" s="194" t="n">
        <v>-21.2</v>
      </c>
      <c r="J751" s="194" t="n">
        <v>-30.2</v>
      </c>
      <c r="K751" s="195" t="inlineStr">
        <is>
          <t>3268 MEIG</t>
        </is>
      </c>
    </row>
    <row r="752">
      <c r="A752" s="32" t="inlineStr">
        <is>
          <t>Chau Tsang Cheong (Mr. Chau)</t>
        </is>
      </c>
      <c r="B752" s="191" t="n">
        <v>1</v>
      </c>
      <c r="C752" s="193" t="n">
        <v>100</v>
      </c>
      <c r="D752" s="194" t="n">
        <v>1.5</v>
      </c>
      <c r="E752" s="194" t="n">
        <v>-10.1</v>
      </c>
      <c r="F752" s="194" t="n">
        <v>-20</v>
      </c>
      <c r="G752" s="194" t="n">
        <v>-29.1</v>
      </c>
      <c r="H752" s="194" t="n">
        <v>-11.4</v>
      </c>
      <c r="I752" s="194" t="n">
        <v>-21.2</v>
      </c>
      <c r="J752" s="194" t="n">
        <v>-30.2</v>
      </c>
      <c r="K752" s="195" t="inlineStr">
        <is>
          <t>3268 MEIG</t>
        </is>
      </c>
    </row>
    <row r="753">
      <c r="A753" s="32" t="inlineStr">
        <is>
          <t>Southeast Investment Holding</t>
        </is>
      </c>
      <c r="B753" s="191" t="n">
        <v>1</v>
      </c>
      <c r="C753" s="193" t="n">
        <v>100</v>
      </c>
      <c r="D753" s="194" t="n">
        <v>1.4</v>
      </c>
      <c r="E753" s="194" t="n">
        <v>0.7</v>
      </c>
      <c r="F753" s="194" t="n">
        <v>13.8</v>
      </c>
      <c r="G753" s="194" t="n">
        <v>26.7</v>
      </c>
      <c r="H753" s="194" t="n">
        <v>-0.7</v>
      </c>
      <c r="I753" s="194" t="n">
        <v>12.2</v>
      </c>
      <c r="J753" s="194" t="n">
        <v>24.9</v>
      </c>
      <c r="K753" s="195" t="inlineStr">
        <is>
          <t>3677 ZENERGY</t>
        </is>
      </c>
    </row>
    <row r="754">
      <c r="A754" s="32" t="inlineStr">
        <is>
          <t>WinTwin Capital Limited</t>
        </is>
      </c>
      <c r="B754" s="191" t="n">
        <v>1</v>
      </c>
      <c r="C754" s="193" t="n">
        <v>100</v>
      </c>
      <c r="D754" s="194" t="n">
        <v>1.2</v>
      </c>
      <c r="E754" s="194" t="n">
        <v>17</v>
      </c>
      <c r="F754" s="194" t="n">
        <v>-25.3</v>
      </c>
      <c r="G754" s="194" t="n">
        <v>-1.3</v>
      </c>
      <c r="H754" s="194" t="n">
        <v>15.5</v>
      </c>
      <c r="I754" s="194" t="n">
        <v>-26.2</v>
      </c>
      <c r="J754" s="194" t="n">
        <v>-2.5</v>
      </c>
      <c r="K754" s="195" t="inlineStr">
        <is>
          <t>2170 BASECARE-B</t>
        </is>
      </c>
    </row>
    <row r="755">
      <c r="A755" s="32" t="inlineStr">
        <is>
          <t>MC Management 10 RSC Ltd</t>
        </is>
      </c>
      <c r="B755" s="191" t="n">
        <v>1</v>
      </c>
      <c r="C755" s="193" t="n">
        <v>100</v>
      </c>
      <c r="D755" s="194" t="n">
        <v>1.1</v>
      </c>
      <c r="E755" s="194" t="n">
        <v>0.7</v>
      </c>
      <c r="F755" s="194" t="n">
        <v>0.3</v>
      </c>
      <c r="G755" s="194" t="n">
        <v>21.1</v>
      </c>
      <c r="H755" s="194" t="n">
        <v>-0.4</v>
      </c>
      <c r="I755" s="194" t="n">
        <v>-0.8</v>
      </c>
      <c r="J755" s="194" t="n">
        <v>19.8</v>
      </c>
      <c r="K755" s="195" t="inlineStr">
        <is>
          <t>1828 FWD</t>
        </is>
      </c>
    </row>
    <row r="756">
      <c r="A756" s="32" t="inlineStr">
        <is>
          <t>SinoMedia Holding Limited</t>
        </is>
      </c>
      <c r="B756" s="191" t="n">
        <v>1</v>
      </c>
      <c r="C756" s="193" t="n">
        <v>100</v>
      </c>
      <c r="D756" s="194" t="n">
        <v>1</v>
      </c>
      <c r="E756" s="194" t="n">
        <v>1.5</v>
      </c>
      <c r="F756" s="194" t="n">
        <v>23.8</v>
      </c>
      <c r="G756" s="194" t="n">
        <v>313.5</v>
      </c>
      <c r="H756" s="194" t="n">
        <v>0.5</v>
      </c>
      <c r="I756" s="194" t="n">
        <v>22.5</v>
      </c>
      <c r="J756" s="194" t="n">
        <v>309.3</v>
      </c>
      <c r="K756" s="195" t="inlineStr">
        <is>
          <t>3317 XUNCE</t>
        </is>
      </c>
    </row>
    <row r="757">
      <c r="A757" s="32" t="inlineStr">
        <is>
          <t>Vered Holdings (Hong Kong) Limited ʮ̡</t>
        </is>
      </c>
      <c r="B757" s="191" t="n">
        <v>1</v>
      </c>
      <c r="C757" s="193" t="n">
        <v>100</v>
      </c>
      <c r="D757" s="194" t="n">
        <v>1</v>
      </c>
      <c r="E757" s="194" t="n">
        <v>1.5</v>
      </c>
      <c r="F757" s="194" t="n">
        <v>23.8</v>
      </c>
      <c r="G757" s="194" t="n">
        <v>313.5</v>
      </c>
      <c r="H757" s="194" t="n">
        <v>0.5</v>
      </c>
      <c r="I757" s="194" t="n">
        <v>22.5</v>
      </c>
      <c r="J757" s="194" t="n">
        <v>309.3</v>
      </c>
      <c r="K757" s="195" t="inlineStr">
        <is>
          <t>3317 XUNCE</t>
        </is>
      </c>
    </row>
    <row r="758">
      <c r="A758" s="32" t="inlineStr">
        <is>
          <t>Joy Mobile Network Pte. Ltd</t>
        </is>
      </c>
      <c r="B758" s="191" t="n">
        <v>1</v>
      </c>
      <c r="C758" s="193" t="n">
        <v>100</v>
      </c>
      <c r="D758" s="194" t="n">
        <v>1</v>
      </c>
      <c r="E758" s="194" t="n">
        <v>1.5</v>
      </c>
      <c r="F758" s="194" t="n">
        <v>23.8</v>
      </c>
      <c r="G758" s="194" t="n">
        <v>313.5</v>
      </c>
      <c r="H758" s="194" t="n">
        <v>0.5</v>
      </c>
      <c r="I758" s="194" t="n">
        <v>22.5</v>
      </c>
      <c r="J758" s="194" t="n">
        <v>309.3</v>
      </c>
      <c r="K758" s="195" t="inlineStr">
        <is>
          <t>3317 XUNCE</t>
        </is>
      </c>
    </row>
    <row r="759">
      <c r="A759" s="32" t="inlineStr">
        <is>
          <t>Phylion Battery Co., Ltd</t>
        </is>
      </c>
      <c r="B759" s="191" t="n">
        <v>1</v>
      </c>
      <c r="C759" s="193" t="n">
        <v>100</v>
      </c>
      <c r="D759" s="194" t="n">
        <v>0.9</v>
      </c>
      <c r="E759" s="194" t="n">
        <v>-1.6</v>
      </c>
      <c r="F759" s="194" t="n">
        <v>0.5</v>
      </c>
      <c r="G759" s="194" t="n">
        <v>-1.4</v>
      </c>
      <c r="H759" s="194" t="n">
        <v>-2.6</v>
      </c>
      <c r="I759" s="194" t="n">
        <v>-0.4</v>
      </c>
      <c r="J759" s="194" t="n">
        <v>-2.3</v>
      </c>
      <c r="K759" s="195" t="inlineStr">
        <is>
          <t>2451 LUYUAN GP HLDG</t>
        </is>
      </c>
    </row>
    <row r="760">
      <c r="A760" s="32" t="inlineStr">
        <is>
          <t>E-Town International Holding (Hong Kong) Co., Limited</t>
        </is>
      </c>
      <c r="B760" s="191" t="n">
        <v>1</v>
      </c>
      <c r="C760" s="193" t="n">
        <v>100</v>
      </c>
      <c r="D760" s="194" t="n">
        <v>0.9</v>
      </c>
      <c r="E760" s="194" t="n">
        <v>-2.2</v>
      </c>
      <c r="F760" s="194" t="n">
        <v>0</v>
      </c>
      <c r="G760" s="194" t="n">
        <v>143.8</v>
      </c>
      <c r="H760" s="194" t="n">
        <v>-3.1</v>
      </c>
      <c r="I760" s="194" t="n">
        <v>-0.9</v>
      </c>
      <c r="J760" s="194" t="n">
        <v>141.5</v>
      </c>
      <c r="K760" s="195" t="inlineStr">
        <is>
          <t>9880 UBTECH ROBOTICS</t>
        </is>
      </c>
    </row>
    <row r="761">
      <c r="A761" s="32" t="inlineStr">
        <is>
          <t>Chen Xiong</t>
        </is>
      </c>
      <c r="B761" s="191" t="n">
        <v>1</v>
      </c>
      <c r="C761" s="193" t="n">
        <v>100</v>
      </c>
      <c r="D761" s="194" t="n">
        <v>0.8</v>
      </c>
      <c r="E761" s="194" t="n">
        <v>0.8</v>
      </c>
      <c r="F761" s="194" t="n">
        <v>0</v>
      </c>
      <c r="G761" s="194" t="n">
        <v>0</v>
      </c>
      <c r="H761" s="194" t="n">
        <v>0</v>
      </c>
      <c r="I761" s="194" t="n">
        <v>-0.8</v>
      </c>
      <c r="J761" s="194" t="n">
        <v>-0.8</v>
      </c>
      <c r="K761" s="195" t="inlineStr">
        <is>
          <t>2260 VANOV HOLDINGS</t>
        </is>
      </c>
    </row>
    <row r="762">
      <c r="A762" s="32" t="inlineStr">
        <is>
          <t>Gong Chaohui</t>
        </is>
      </c>
      <c r="B762" s="191" t="n">
        <v>1</v>
      </c>
      <c r="C762" s="193" t="n">
        <v>100</v>
      </c>
      <c r="D762" s="194" t="n">
        <v>0.8</v>
      </c>
      <c r="E762" s="194" t="n">
        <v>0.8</v>
      </c>
      <c r="F762" s="194" t="n">
        <v>0</v>
      </c>
      <c r="G762" s="194" t="n">
        <v>0</v>
      </c>
      <c r="H762" s="194" t="n">
        <v>0</v>
      </c>
      <c r="I762" s="194" t="n">
        <v>-0.8</v>
      </c>
      <c r="J762" s="194" t="n">
        <v>-0.8</v>
      </c>
      <c r="K762" s="195" t="inlineStr">
        <is>
          <t>2260 VANOV HOLDINGS</t>
        </is>
      </c>
    </row>
    <row r="763">
      <c r="A763" s="32" t="inlineStr">
        <is>
          <t>Duke King Holdings Limited</t>
        </is>
      </c>
      <c r="B763" s="191" t="n">
        <v>1</v>
      </c>
      <c r="C763" s="193" t="n">
        <v>100</v>
      </c>
      <c r="D763" s="194" t="n">
        <v>0.8</v>
      </c>
      <c r="E763" s="194" t="n">
        <v>-0.8</v>
      </c>
      <c r="F763" s="194" t="n">
        <v>-7.7</v>
      </c>
      <c r="G763" s="194" t="n">
        <v>-4.8</v>
      </c>
      <c r="H763" s="194" t="n">
        <v>-1.6</v>
      </c>
      <c r="I763" s="194" t="n">
        <v>-8.4</v>
      </c>
      <c r="J763" s="194" t="n">
        <v>-5.6</v>
      </c>
      <c r="K763" s="195" t="inlineStr">
        <is>
          <t>9636 JF WEALTH</t>
        </is>
      </c>
    </row>
    <row r="764">
      <c r="A764" s="32" t="inlineStr">
        <is>
          <t>Garland Glory Holdings Limited</t>
        </is>
      </c>
      <c r="B764" s="191" t="n">
        <v>1</v>
      </c>
      <c r="C764" s="193" t="n">
        <v>100</v>
      </c>
      <c r="D764" s="194" t="n">
        <v>0.8</v>
      </c>
      <c r="E764" s="194" t="n">
        <v>-0.8</v>
      </c>
      <c r="F764" s="194" t="n">
        <v>-7.7</v>
      </c>
      <c r="G764" s="194" t="n">
        <v>-4.8</v>
      </c>
      <c r="H764" s="194" t="n">
        <v>-1.6</v>
      </c>
      <c r="I764" s="194" t="n">
        <v>-8.4</v>
      </c>
      <c r="J764" s="194" t="n">
        <v>-5.6</v>
      </c>
      <c r="K764" s="195" t="inlineStr">
        <is>
          <t>9636 JF WEALTH</t>
        </is>
      </c>
    </row>
    <row r="765">
      <c r="A765" s="32" t="inlineStr">
        <is>
          <t>Orchid Asia V Co-Investment, Limited</t>
        </is>
      </c>
      <c r="B765" s="191" t="n">
        <v>1</v>
      </c>
      <c r="C765" s="193" t="n">
        <v>100</v>
      </c>
      <c r="D765" s="194" t="n">
        <v>0.8</v>
      </c>
      <c r="E765" s="194" t="n">
        <v>-0.8</v>
      </c>
      <c r="F765" s="194" t="n">
        <v>-7.7</v>
      </c>
      <c r="G765" s="194" t="n">
        <v>-4.8</v>
      </c>
      <c r="H765" s="194" t="n">
        <v>-1.6</v>
      </c>
      <c r="I765" s="194" t="n">
        <v>-8.4</v>
      </c>
      <c r="J765" s="194" t="n">
        <v>-5.6</v>
      </c>
      <c r="K765" s="195" t="inlineStr">
        <is>
          <t>9636 JF WEALTH</t>
        </is>
      </c>
    </row>
    <row r="766">
      <c r="A766" s="32" t="inlineStr">
        <is>
          <t>Welight Capital L.P</t>
        </is>
      </c>
      <c r="B766" s="191" t="n">
        <v>1</v>
      </c>
      <c r="C766" s="193" t="n">
        <v>100</v>
      </c>
      <c r="D766" s="194" t="n">
        <v>0.7</v>
      </c>
      <c r="E766" s="194" t="n">
        <v>1.6</v>
      </c>
      <c r="F766" s="194" t="n">
        <v>15.5</v>
      </c>
      <c r="G766" s="194" t="n">
        <v>0</v>
      </c>
      <c r="H766" s="194" t="n">
        <v>1</v>
      </c>
      <c r="I766" s="194" t="n">
        <v>14.8</v>
      </c>
      <c r="J766" s="194" t="n">
        <v>-0.7</v>
      </c>
      <c r="K766" s="195" t="inlineStr">
        <is>
          <t>3880 MEDTIDE</t>
        </is>
      </c>
    </row>
    <row r="767">
      <c r="A767" s="32" t="inlineStr">
        <is>
          <t>Foshan Development Co., Ltd</t>
        </is>
      </c>
      <c r="B767" s="191" t="n">
        <v>1</v>
      </c>
      <c r="C767" s="193" t="n">
        <v>100</v>
      </c>
      <c r="D767" s="194" t="n">
        <v>0.6</v>
      </c>
      <c r="E767" s="194" t="n">
        <v>-3.4</v>
      </c>
      <c r="F767" s="194" t="n">
        <v>-1.6</v>
      </c>
      <c r="G767" s="194" t="n">
        <v>-6.5</v>
      </c>
      <c r="H767" s="194" t="n">
        <v>-4</v>
      </c>
      <c r="I767" s="194" t="n">
        <v>-2.2</v>
      </c>
      <c r="J767" s="194" t="n">
        <v>-7</v>
      </c>
      <c r="K767" s="195" t="inlineStr">
        <is>
          <t>3288 HAITIAN FLAV</t>
        </is>
      </c>
    </row>
    <row r="768">
      <c r="A768" s="32" t="inlineStr">
        <is>
          <t>Junshi Hong Kong Limited</t>
        </is>
      </c>
      <c r="B768" s="191" t="n">
        <v>1</v>
      </c>
      <c r="C768" s="193" t="n">
        <v>100</v>
      </c>
      <c r="D768" s="194" t="n">
        <v>0.6</v>
      </c>
      <c r="E768" s="194" t="n">
        <v>-2</v>
      </c>
      <c r="F768" s="194" t="n">
        <v>-17.6</v>
      </c>
      <c r="G768" s="194" t="n">
        <v>-24.2</v>
      </c>
      <c r="H768" s="194" t="n">
        <v>-2.6</v>
      </c>
      <c r="I768" s="194" t="n">
        <v>-18.1</v>
      </c>
      <c r="J768" s="194" t="n">
        <v>-24.6</v>
      </c>
      <c r="K768" s="195" t="inlineStr">
        <is>
          <t>2493 MABWELL-B</t>
        </is>
      </c>
    </row>
    <row r="769">
      <c r="A769" s="32" t="inlineStr">
        <is>
          <t>CHIL</t>
        </is>
      </c>
      <c r="B769" s="191" t="n">
        <v>1</v>
      </c>
      <c r="C769" s="193" t="n">
        <v>100</v>
      </c>
      <c r="D769" s="194" t="n">
        <v>0.6</v>
      </c>
      <c r="E769" s="194" t="n">
        <v>-2</v>
      </c>
      <c r="F769" s="194" t="n">
        <v>-17.6</v>
      </c>
      <c r="G769" s="194" t="n">
        <v>-24.2</v>
      </c>
      <c r="H769" s="194" t="n">
        <v>-2.6</v>
      </c>
      <c r="I769" s="194" t="n">
        <v>-18.1</v>
      </c>
      <c r="J769" s="194" t="n">
        <v>-24.6</v>
      </c>
      <c r="K769" s="195" t="inlineStr">
        <is>
          <t>2493 MABWELL-B</t>
        </is>
      </c>
    </row>
    <row r="770">
      <c r="A770" s="32" t="inlineStr">
        <is>
          <t>Golden Star International Pty Limited</t>
        </is>
      </c>
      <c r="B770" s="191" t="n">
        <v>1</v>
      </c>
      <c r="C770" s="193" t="n">
        <v>100</v>
      </c>
      <c r="D770" s="194" t="n">
        <v>0.5</v>
      </c>
      <c r="E770" s="194" t="n">
        <v>5</v>
      </c>
      <c r="F770" s="194" t="n">
        <v>-25.8</v>
      </c>
      <c r="G770" s="194" t="n">
        <v>-45.3</v>
      </c>
      <c r="H770" s="194" t="n">
        <v>4.5</v>
      </c>
      <c r="I770" s="194" t="n">
        <v>-26.2</v>
      </c>
      <c r="J770" s="194" t="n">
        <v>-45.5</v>
      </c>
      <c r="K770" s="195" t="inlineStr">
        <is>
          <t>3658 NEW HOPE SERV</t>
        </is>
      </c>
    </row>
    <row r="771">
      <c r="A771" s="32" t="inlineStr">
        <is>
          <t>Neptune Investments Holdings Limited</t>
        </is>
      </c>
      <c r="B771" s="191" t="n">
        <v>1</v>
      </c>
      <c r="C771" s="193" t="n">
        <v>100</v>
      </c>
      <c r="D771" s="194" t="n">
        <v>0.5</v>
      </c>
      <c r="E771" s="194" t="n">
        <v>5</v>
      </c>
      <c r="F771" s="194" t="n">
        <v>-25.8</v>
      </c>
      <c r="G771" s="194" t="n">
        <v>-45.3</v>
      </c>
      <c r="H771" s="194" t="n">
        <v>4.5</v>
      </c>
      <c r="I771" s="194" t="n">
        <v>-26.2</v>
      </c>
      <c r="J771" s="194" t="n">
        <v>-45.5</v>
      </c>
      <c r="K771" s="195" t="inlineStr">
        <is>
          <t>3658 NEW HOPE SERV</t>
        </is>
      </c>
    </row>
    <row r="772">
      <c r="A772" s="32" t="inlineStr">
        <is>
          <t>So-Young Hong Kong Limited</t>
        </is>
      </c>
      <c r="B772" s="191" t="n">
        <v>1</v>
      </c>
      <c r="C772" s="193" t="n">
        <v>100</v>
      </c>
      <c r="D772" s="194" t="n">
        <v>0.5</v>
      </c>
      <c r="E772" s="194" t="n">
        <v>38.7</v>
      </c>
      <c r="F772" s="194" t="n">
        <v>-1.6</v>
      </c>
      <c r="G772" s="194" t="n">
        <v>1.4</v>
      </c>
      <c r="H772" s="194" t="n">
        <v>38</v>
      </c>
      <c r="I772" s="194" t="n">
        <v>-2</v>
      </c>
      <c r="J772" s="194" t="n">
        <v>0.9</v>
      </c>
      <c r="K772" s="195" t="inlineStr">
        <is>
          <t>2487 CUTIA-B</t>
        </is>
      </c>
    </row>
    <row r="773">
      <c r="A773" s="32" t="inlineStr">
        <is>
          <t>STMicroelectro nics Limited</t>
        </is>
      </c>
      <c r="B773" s="191" t="n">
        <v>1</v>
      </c>
      <c r="C773" s="193" t="n">
        <v>100</v>
      </c>
      <c r="D773" s="194" t="n">
        <v>0.5</v>
      </c>
      <c r="E773" s="194" t="n">
        <v>-0</v>
      </c>
      <c r="F773" s="194" t="n">
        <v>32.7</v>
      </c>
      <c r="G773" s="194" t="n">
        <v>44.2</v>
      </c>
      <c r="H773" s="194" t="n">
        <v>-0.5</v>
      </c>
      <c r="I773" s="194" t="n">
        <v>32.1</v>
      </c>
      <c r="J773" s="194" t="n">
        <v>43.5</v>
      </c>
      <c r="K773" s="195" t="inlineStr">
        <is>
          <t>2577 INNOSCIENCE</t>
        </is>
      </c>
    </row>
    <row r="774">
      <c r="A774" s="32" t="inlineStr">
        <is>
          <t>HK InnoSC Limited Notes 2 and 4</t>
        </is>
      </c>
      <c r="B774" s="191" t="n">
        <v>1</v>
      </c>
      <c r="C774" s="193" t="n">
        <v>100</v>
      </c>
      <c r="D774" s="194" t="n">
        <v>0.5</v>
      </c>
      <c r="E774" s="194" t="n">
        <v>-0</v>
      </c>
      <c r="F774" s="194" t="n">
        <v>32.7</v>
      </c>
      <c r="G774" s="194" t="n">
        <v>44.2</v>
      </c>
      <c r="H774" s="194" t="n">
        <v>-0.5</v>
      </c>
      <c r="I774" s="194" t="n">
        <v>32.1</v>
      </c>
      <c r="J774" s="194" t="n">
        <v>43.5</v>
      </c>
      <c r="K774" s="195" t="inlineStr">
        <is>
          <t>2577 INNOSCIENCE</t>
        </is>
      </c>
    </row>
    <row r="775">
      <c r="A775" s="32" t="inlineStr">
        <is>
          <t>Inno CL. Limited Notes 3 and 4</t>
        </is>
      </c>
      <c r="B775" s="191" t="n">
        <v>1</v>
      </c>
      <c r="C775" s="193" t="n">
        <v>100</v>
      </c>
      <c r="D775" s="194" t="n">
        <v>0.5</v>
      </c>
      <c r="E775" s="194" t="n">
        <v>-0</v>
      </c>
      <c r="F775" s="194" t="n">
        <v>32.7</v>
      </c>
      <c r="G775" s="194" t="n">
        <v>44.2</v>
      </c>
      <c r="H775" s="194" t="n">
        <v>-0.5</v>
      </c>
      <c r="I775" s="194" t="n">
        <v>32.1</v>
      </c>
      <c r="J775" s="194" t="n">
        <v>43.5</v>
      </c>
      <c r="K775" s="195" t="inlineStr">
        <is>
          <t>2577 INNOSCIENCE</t>
        </is>
      </c>
    </row>
    <row r="776">
      <c r="A776" s="32" t="inlineStr">
        <is>
          <t>Fuqing Shengde Calorie Investment Co., Ltd</t>
        </is>
      </c>
      <c r="B776" s="191" t="n">
        <v>1</v>
      </c>
      <c r="C776" s="193" t="n">
        <v>100</v>
      </c>
      <c r="D776" s="194" t="n">
        <v>0.3</v>
      </c>
      <c r="E776" s="194" t="n">
        <v>-0.2</v>
      </c>
      <c r="F776" s="194" t="n">
        <v>9.300000000000001</v>
      </c>
      <c r="G776" s="194" t="n">
        <v>0.6</v>
      </c>
      <c r="H776" s="194" t="n">
        <v>-0.5</v>
      </c>
      <c r="I776" s="194" t="n">
        <v>9</v>
      </c>
      <c r="J776" s="194" t="n">
        <v>0.3</v>
      </c>
      <c r="K776" s="195" t="inlineStr">
        <is>
          <t>3650 KEEP</t>
        </is>
      </c>
    </row>
    <row r="777">
      <c r="A777" s="32" t="inlineStr">
        <is>
          <t>Shenzhen Fenda Technology Co., Ltd</t>
        </is>
      </c>
      <c r="B777" s="191" t="n">
        <v>1</v>
      </c>
      <c r="C777" s="193" t="n">
        <v>100</v>
      </c>
      <c r="D777" s="194" t="n">
        <v>0.3</v>
      </c>
      <c r="E777" s="194" t="n">
        <v>-0.2</v>
      </c>
      <c r="F777" s="194" t="n">
        <v>9.300000000000001</v>
      </c>
      <c r="G777" s="194" t="n">
        <v>0.6</v>
      </c>
      <c r="H777" s="194" t="n">
        <v>-0.5</v>
      </c>
      <c r="I777" s="194" t="n">
        <v>9</v>
      </c>
      <c r="J777" s="194" t="n">
        <v>0.3</v>
      </c>
      <c r="K777" s="195" t="inlineStr">
        <is>
          <t>3650 KEEP</t>
        </is>
      </c>
    </row>
    <row r="778">
      <c r="A778" s="32" t="inlineStr">
        <is>
          <t>CO., LIMITED LEYARD (HONGKONG) CO., LIMITED</t>
        </is>
      </c>
      <c r="B778" s="191" t="n">
        <v>1</v>
      </c>
      <c r="C778" s="193" t="n">
        <v>100</v>
      </c>
      <c r="D778" s="194" t="n">
        <v>0.3</v>
      </c>
      <c r="E778" s="194" t="n">
        <v>-19.4</v>
      </c>
      <c r="F778" s="194" t="n">
        <v>-7.8</v>
      </c>
      <c r="G778" s="194" t="n">
        <v>-12.5</v>
      </c>
      <c r="H778" s="194" t="n">
        <v>-19.6</v>
      </c>
      <c r="I778" s="194" t="n">
        <v>-8.1</v>
      </c>
      <c r="J778" s="194" t="n">
        <v>-12.8</v>
      </c>
      <c r="K778" s="195" t="inlineStr">
        <is>
          <t>2529 HOLLWIN URBAN</t>
        </is>
      </c>
    </row>
    <row r="779">
      <c r="A779" s="32" t="inlineStr">
        <is>
          <t>SANAN INTERNATION AL HOLDING CO., LIMITED</t>
        </is>
      </c>
      <c r="B779" s="191" t="n">
        <v>1</v>
      </c>
      <c r="C779" s="193" t="n">
        <v>100</v>
      </c>
      <c r="D779" s="194" t="n">
        <v>0.3</v>
      </c>
      <c r="E779" s="194" t="n">
        <v>-19.4</v>
      </c>
      <c r="F779" s="194" t="n">
        <v>-7.8</v>
      </c>
      <c r="G779" s="194" t="n">
        <v>-12.5</v>
      </c>
      <c r="H779" s="194" t="n">
        <v>-19.6</v>
      </c>
      <c r="I779" s="194" t="n">
        <v>-8.1</v>
      </c>
      <c r="J779" s="194" t="n">
        <v>-12.8</v>
      </c>
      <c r="K779" s="195" t="inlineStr">
        <is>
          <t>2529 HOLLWIN URBAN</t>
        </is>
      </c>
    </row>
    <row r="780">
      <c r="A780" s="32" t="inlineStr">
        <is>
          <t>XIANGZHENG CAPITAL LIMITED</t>
        </is>
      </c>
      <c r="B780" s="191" t="n">
        <v>1</v>
      </c>
      <c r="C780" s="193" t="n">
        <v>100</v>
      </c>
      <c r="D780" s="194" t="n">
        <v>0.3</v>
      </c>
      <c r="E780" s="194" t="n">
        <v>-19.4</v>
      </c>
      <c r="F780" s="194" t="n">
        <v>-7.8</v>
      </c>
      <c r="G780" s="194" t="n">
        <v>-12.5</v>
      </c>
      <c r="H780" s="194" t="n">
        <v>-19.6</v>
      </c>
      <c r="I780" s="194" t="n">
        <v>-8.1</v>
      </c>
      <c r="J780" s="194" t="n">
        <v>-12.8</v>
      </c>
      <c r="K780" s="195" t="inlineStr">
        <is>
          <t>2529 HOLLWIN URBAN</t>
        </is>
      </c>
    </row>
    <row r="781">
      <c r="A781" s="32" t="inlineStr">
        <is>
          <t>FUHUIDA (HK) LIMITED</t>
        </is>
      </c>
      <c r="B781" s="191" t="n">
        <v>1</v>
      </c>
      <c r="C781" s="193" t="n">
        <v>100</v>
      </c>
      <c r="D781" s="194" t="n">
        <v>0.3</v>
      </c>
      <c r="E781" s="194" t="n">
        <v>-18.8</v>
      </c>
      <c r="F781" s="194" t="n">
        <v>-30.5</v>
      </c>
      <c r="G781" s="194" t="n">
        <v>-42.1</v>
      </c>
      <c r="H781" s="194" t="n">
        <v>-19</v>
      </c>
      <c r="I781" s="194" t="n">
        <v>-30.7</v>
      </c>
      <c r="J781" s="194" t="n">
        <v>-42.3</v>
      </c>
      <c r="K781" s="195" t="inlineStr">
        <is>
          <t>1641 HX COLDCHAIN</t>
        </is>
      </c>
    </row>
    <row r="782">
      <c r="A782" s="32" t="inlineStr">
        <is>
          <t>Changsheng Fund Management Co., Ltd. - CHINA GF BANK- CHANGSHENG FUND -QDII1</t>
        </is>
      </c>
      <c r="B782" s="191" t="n">
        <v>1</v>
      </c>
      <c r="C782" s="193" t="n">
        <v>100</v>
      </c>
      <c r="D782" s="194" t="n">
        <v>0.2</v>
      </c>
      <c r="E782" s="194" t="n">
        <v>0</v>
      </c>
      <c r="F782" s="194" t="n">
        <v>31.1</v>
      </c>
      <c r="G782" s="194" t="n">
        <v>98.5</v>
      </c>
      <c r="H782" s="194" t="n">
        <v>-0.2</v>
      </c>
      <c r="I782" s="194" t="n">
        <v>30.8</v>
      </c>
      <c r="J782" s="194" t="n">
        <v>98</v>
      </c>
      <c r="K782" s="195" t="inlineStr">
        <is>
          <t>9879 MIGAO GROUP</t>
        </is>
      </c>
    </row>
    <row r="783">
      <c r="A783" s="32" t="inlineStr">
        <is>
          <t>Tongzhou International Development Limited</t>
        </is>
      </c>
      <c r="B783" s="191" t="n">
        <v>1</v>
      </c>
      <c r="C783" s="193" t="n">
        <v>100</v>
      </c>
      <c r="D783" s="194" t="n">
        <v>0.2</v>
      </c>
      <c r="E783" s="194" t="n">
        <v>-0.4</v>
      </c>
      <c r="F783" s="194" t="n">
        <v>-0.4</v>
      </c>
      <c r="G783" s="194" t="n">
        <v>47.6</v>
      </c>
      <c r="H783" s="194" t="n">
        <v>-0.6</v>
      </c>
      <c r="I783" s="194" t="n">
        <v>-0.6</v>
      </c>
      <c r="J783" s="194" t="n">
        <v>47.3</v>
      </c>
      <c r="K783" s="195" t="inlineStr">
        <is>
          <t>2597 XUNZHONG</t>
        </is>
      </c>
    </row>
    <row r="784">
      <c r="A784" s="32" t="inlineStr">
        <is>
          <t>Excellent Investment Enterprise Management (Hong Kong) Co., Limited</t>
        </is>
      </c>
      <c r="B784" s="191" t="n">
        <v>1</v>
      </c>
      <c r="C784" s="193" t="n">
        <v>100</v>
      </c>
      <c r="D784" s="194" t="n">
        <v>0.1</v>
      </c>
      <c r="E784" s="194" t="n">
        <v>28.3</v>
      </c>
      <c r="F784" s="194" t="n">
        <v>15.1</v>
      </c>
      <c r="G784" s="194" t="n">
        <v>34.2</v>
      </c>
      <c r="H784" s="194" t="n">
        <v>28.1</v>
      </c>
      <c r="I784" s="194" t="n">
        <v>14.9</v>
      </c>
      <c r="J784" s="194" t="n">
        <v>34</v>
      </c>
      <c r="K784" s="195" t="inlineStr">
        <is>
          <t>2522 RIMAG GROUP</t>
        </is>
      </c>
    </row>
    <row r="785">
      <c r="A785" s="32" t="inlineStr">
        <is>
          <t>China New Rich Medicine Holding Co. Limited</t>
        </is>
      </c>
      <c r="B785" s="191" t="n">
        <v>1</v>
      </c>
      <c r="C785" s="193" t="n">
        <v>100</v>
      </c>
      <c r="D785" s="194" t="n">
        <v>0.1</v>
      </c>
      <c r="E785" s="194" t="n">
        <v>28.3</v>
      </c>
      <c r="F785" s="194" t="n">
        <v>15.1</v>
      </c>
      <c r="G785" s="194" t="n">
        <v>34.2</v>
      </c>
      <c r="H785" s="194" t="n">
        <v>28.1</v>
      </c>
      <c r="I785" s="194" t="n">
        <v>14.9</v>
      </c>
      <c r="J785" s="194" t="n">
        <v>34</v>
      </c>
      <c r="K785" s="195" t="inlineStr">
        <is>
          <t>2522 RIMAG GROUP</t>
        </is>
      </c>
    </row>
    <row r="786">
      <c r="A786" s="32" t="inlineStr">
        <is>
          <t>DINGCHUANG HONGKONG INVESTMENT LIMITED</t>
        </is>
      </c>
      <c r="B786" s="191" t="n">
        <v>1</v>
      </c>
      <c r="C786" s="193" t="n">
        <v>100</v>
      </c>
      <c r="D786" s="194" t="n">
        <v>0.1</v>
      </c>
      <c r="E786" s="194" t="n">
        <v>11</v>
      </c>
      <c r="F786" s="194" t="n">
        <v>30.8</v>
      </c>
      <c r="G786" s="194" t="n">
        <v>69</v>
      </c>
      <c r="H786" s="194" t="n">
        <v>10.9</v>
      </c>
      <c r="I786" s="194" t="n">
        <v>30.7</v>
      </c>
      <c r="J786" s="194" t="n">
        <v>68.90000000000001</v>
      </c>
      <c r="K786" s="195" t="inlineStr">
        <is>
          <t>2570 REFIRE</t>
        </is>
      </c>
    </row>
    <row r="787">
      <c r="A787" s="32" t="inlineStr">
        <is>
          <t>Crotona Assets Limited</t>
        </is>
      </c>
      <c r="B787" s="191" t="n">
        <v>1</v>
      </c>
      <c r="C787" s="193" t="n">
        <v>0</v>
      </c>
      <c r="D787" s="194" t="n">
        <v>0</v>
      </c>
      <c r="E787" s="194" t="n">
        <v>10</v>
      </c>
      <c r="F787" s="194" t="n">
        <v>-13.9</v>
      </c>
      <c r="G787" s="194" t="n">
        <v>-33.8</v>
      </c>
      <c r="H787" s="194" t="n">
        <v>10</v>
      </c>
      <c r="I787" s="194" t="n">
        <v>-13.9</v>
      </c>
      <c r="J787" s="194" t="n">
        <v>-33.8</v>
      </c>
      <c r="K787" s="195" t="inlineStr">
        <is>
          <t>6626 YUEXIU SERVICES</t>
        </is>
      </c>
    </row>
    <row r="788">
      <c r="A788" s="32" t="inlineStr">
        <is>
          <t>Goingup Inc Limited</t>
        </is>
      </c>
      <c r="B788" s="191" t="n">
        <v>1</v>
      </c>
      <c r="C788" s="193" t="n">
        <v>0</v>
      </c>
      <c r="D788" s="194" t="n">
        <v>0</v>
      </c>
      <c r="E788" s="194" t="n">
        <v>10</v>
      </c>
      <c r="F788" s="194" t="n">
        <v>-13.9</v>
      </c>
      <c r="G788" s="194" t="n">
        <v>-33.8</v>
      </c>
      <c r="H788" s="194" t="n">
        <v>10</v>
      </c>
      <c r="I788" s="194" t="n">
        <v>-13.9</v>
      </c>
      <c r="J788" s="194" t="n">
        <v>-33.8</v>
      </c>
      <c r="K788" s="195" t="inlineStr">
        <is>
          <t>6626 YUEXIU SERVICES</t>
        </is>
      </c>
    </row>
    <row r="789">
      <c r="A789" s="32" t="inlineStr">
        <is>
          <t>Jiang Ganjun</t>
        </is>
      </c>
      <c r="B789" s="191" t="n">
        <v>1</v>
      </c>
      <c r="C789" s="193" t="n">
        <v>0</v>
      </c>
      <c r="D789" s="194" t="n">
        <v>0</v>
      </c>
      <c r="E789" s="194" t="n">
        <v>10</v>
      </c>
      <c r="F789" s="194" t="n">
        <v>-13.9</v>
      </c>
      <c r="G789" s="194" t="n">
        <v>-33.8</v>
      </c>
      <c r="H789" s="194" t="n">
        <v>10</v>
      </c>
      <c r="I789" s="194" t="n">
        <v>-13.9</v>
      </c>
      <c r="J789" s="194" t="n">
        <v>-33.8</v>
      </c>
      <c r="K789" s="195" t="inlineStr">
        <is>
          <t>6626 YUEXIU SERVICES</t>
        </is>
      </c>
    </row>
    <row r="790">
      <c r="A790" s="32" t="inlineStr">
        <is>
          <t>Kaiser Private Equity Fund SPC-SPI</t>
        </is>
      </c>
      <c r="B790" s="191" t="n">
        <v>1</v>
      </c>
      <c r="C790" s="193" t="n">
        <v>0</v>
      </c>
      <c r="D790" s="194" t="n">
        <v>0</v>
      </c>
      <c r="E790" s="194" t="n">
        <v>10</v>
      </c>
      <c r="F790" s="194" t="n">
        <v>-13.9</v>
      </c>
      <c r="G790" s="194" t="n">
        <v>-33.8</v>
      </c>
      <c r="H790" s="194" t="n">
        <v>10</v>
      </c>
      <c r="I790" s="194" t="n">
        <v>-13.9</v>
      </c>
      <c r="J790" s="194" t="n">
        <v>-33.8</v>
      </c>
      <c r="K790" s="195" t="inlineStr">
        <is>
          <t>6626 YUEXIU SERVICES</t>
        </is>
      </c>
    </row>
    <row r="791">
      <c r="A791" s="32" t="inlineStr">
        <is>
          <t>Ke Jiansheng</t>
        </is>
      </c>
      <c r="B791" s="191" t="n">
        <v>1</v>
      </c>
      <c r="C791" s="193" t="n">
        <v>0</v>
      </c>
      <c r="D791" s="194" t="n">
        <v>0</v>
      </c>
      <c r="E791" s="194" t="n">
        <v>10</v>
      </c>
      <c r="F791" s="194" t="n">
        <v>-13.9</v>
      </c>
      <c r="G791" s="194" t="n">
        <v>-33.8</v>
      </c>
      <c r="H791" s="194" t="n">
        <v>10</v>
      </c>
      <c r="I791" s="194" t="n">
        <v>-13.9</v>
      </c>
      <c r="J791" s="194" t="n">
        <v>-33.8</v>
      </c>
      <c r="K791" s="195" t="inlineStr">
        <is>
          <t>6626 YUEXIU SERVICES</t>
        </is>
      </c>
    </row>
    <row r="792">
      <c r="A792" s="32" t="inlineStr">
        <is>
          <t>Sunfly Holding Co., Ltd</t>
        </is>
      </c>
      <c r="B792" s="191" t="n">
        <v>1</v>
      </c>
      <c r="C792" s="193" t="n">
        <v>0</v>
      </c>
      <c r="D792" s="194" t="n">
        <v>0</v>
      </c>
      <c r="E792" s="194" t="n">
        <v>10</v>
      </c>
      <c r="F792" s="194" t="n">
        <v>-13.9</v>
      </c>
      <c r="G792" s="194" t="n">
        <v>-33.8</v>
      </c>
      <c r="H792" s="194" t="n">
        <v>10</v>
      </c>
      <c r="I792" s="194" t="n">
        <v>-13.9</v>
      </c>
      <c r="J792" s="194" t="n">
        <v>-33.8</v>
      </c>
      <c r="K792" s="195" t="inlineStr">
        <is>
          <t>6626 YUEXIU SERVICES</t>
        </is>
      </c>
    </row>
    <row r="793">
      <c r="A793" s="32" t="inlineStr">
        <is>
          <t>Wealthking Investments Limited</t>
        </is>
      </c>
      <c r="B793" s="191" t="n">
        <v>1</v>
      </c>
      <c r="C793" s="193" t="n">
        <v>0</v>
      </c>
      <c r="D793" s="194" t="n">
        <v>0</v>
      </c>
      <c r="E793" s="194" t="n">
        <v>10</v>
      </c>
      <c r="F793" s="194" t="n">
        <v>-13.9</v>
      </c>
      <c r="G793" s="194" t="n">
        <v>-33.8</v>
      </c>
      <c r="H793" s="194" t="n">
        <v>10</v>
      </c>
      <c r="I793" s="194" t="n">
        <v>-13.9</v>
      </c>
      <c r="J793" s="194" t="n">
        <v>-33.8</v>
      </c>
      <c r="K793" s="195" t="inlineStr">
        <is>
          <t>6626 YUEXIU SERVICES</t>
        </is>
      </c>
    </row>
    <row r="794">
      <c r="A794" s="32" t="inlineStr">
        <is>
          <t>Hangzhou Jintou Shenghan Investment Partnership (Limited Partnership)</t>
        </is>
      </c>
      <c r="B794" s="191" t="n">
        <v>1</v>
      </c>
      <c r="C794" s="193" t="n">
        <v>0</v>
      </c>
      <c r="D794" s="194" t="n">
        <v>0</v>
      </c>
      <c r="E794" s="194" t="n">
        <v>0</v>
      </c>
      <c r="F794" s="194" t="n">
        <v>9.800000000000001</v>
      </c>
      <c r="G794" s="194" t="n">
        <v>10.1</v>
      </c>
      <c r="H794" s="194" t="n">
        <v>0</v>
      </c>
      <c r="I794" s="194" t="n">
        <v>9.800000000000001</v>
      </c>
      <c r="J794" s="194" t="n">
        <v>10.1</v>
      </c>
      <c r="K794" s="195" t="inlineStr">
        <is>
          <t>2215 DEXIN SER GROUP</t>
        </is>
      </c>
    </row>
    <row r="795">
      <c r="A795" s="32" t="inlineStr">
        <is>
          <t>Hangzhou Light Industrial Association Investment Group Co.,Ltd</t>
        </is>
      </c>
      <c r="B795" s="191" t="n">
        <v>1</v>
      </c>
      <c r="C795" s="193" t="n">
        <v>0</v>
      </c>
      <c r="D795" s="194" t="n">
        <v>0</v>
      </c>
      <c r="E795" s="194" t="n">
        <v>0</v>
      </c>
      <c r="F795" s="194" t="n">
        <v>9.800000000000001</v>
      </c>
      <c r="G795" s="194" t="n">
        <v>10.1</v>
      </c>
      <c r="H795" s="194" t="n">
        <v>0</v>
      </c>
      <c r="I795" s="194" t="n">
        <v>9.800000000000001</v>
      </c>
      <c r="J795" s="194" t="n">
        <v>10.1</v>
      </c>
      <c r="K795" s="195" t="inlineStr">
        <is>
          <t>2215 DEXIN SER GROUP</t>
        </is>
      </c>
    </row>
    <row r="796">
      <c r="A796" s="32" t="inlineStr">
        <is>
          <t>JIC TRUST CO., LTD</t>
        </is>
      </c>
      <c r="B796" s="191" t="n">
        <v>1</v>
      </c>
      <c r="C796" s="193" t="n">
        <v>0</v>
      </c>
      <c r="D796" s="194" t="n">
        <v>0</v>
      </c>
      <c r="E796" s="194" t="n">
        <v>0</v>
      </c>
      <c r="F796" s="194" t="n">
        <v>9.800000000000001</v>
      </c>
      <c r="G796" s="194" t="n">
        <v>10.1</v>
      </c>
      <c r="H796" s="194" t="n">
        <v>0</v>
      </c>
      <c r="I796" s="194" t="n">
        <v>9.800000000000001</v>
      </c>
      <c r="J796" s="194" t="n">
        <v>10.1</v>
      </c>
      <c r="K796" s="195" t="inlineStr">
        <is>
          <t>2215 DEXIN SER GROUP</t>
        </is>
      </c>
    </row>
    <row r="797">
      <c r="A797" s="32" t="inlineStr">
        <is>
          <t>Maccura Biotechnology Co., Ltd</t>
        </is>
      </c>
      <c r="B797" s="191" t="n">
        <v>1</v>
      </c>
      <c r="C797" s="193" t="n">
        <v>0</v>
      </c>
      <c r="D797" s="194" t="n">
        <v>0</v>
      </c>
      <c r="E797" s="194" t="n">
        <v>-1.1</v>
      </c>
      <c r="F797" s="194" t="n">
        <v>-1.2</v>
      </c>
      <c r="G797" s="194" t="n">
        <v>-24.2</v>
      </c>
      <c r="H797" s="194" t="n">
        <v>-1.1</v>
      </c>
      <c r="I797" s="194" t="n">
        <v>-1.2</v>
      </c>
      <c r="J797" s="194" t="n">
        <v>-24.2</v>
      </c>
      <c r="K797" s="195" t="inlineStr">
        <is>
          <t>6667 MEGA GENOMICS</t>
        </is>
      </c>
    </row>
    <row r="798">
      <c r="A798" s="32" t="inlineStr">
        <is>
          <t>Nanchang Financial Holdings Co., Ltd</t>
        </is>
      </c>
      <c r="B798" s="191" t="n">
        <v>1</v>
      </c>
      <c r="C798" s="193" t="n">
        <v>0</v>
      </c>
      <c r="D798" s="194" t="n">
        <v>0</v>
      </c>
      <c r="E798" s="194" t="n">
        <v>-1.1</v>
      </c>
      <c r="F798" s="194" t="n">
        <v>-1.2</v>
      </c>
      <c r="G798" s="194" t="n">
        <v>-24.2</v>
      </c>
      <c r="H798" s="194" t="n">
        <v>-1.1</v>
      </c>
      <c r="I798" s="194" t="n">
        <v>-1.2</v>
      </c>
      <c r="J798" s="194" t="n">
        <v>-24.2</v>
      </c>
      <c r="K798" s="195" t="inlineStr">
        <is>
          <t>6667 MEGA GENOMICS</t>
        </is>
      </c>
    </row>
    <row r="799">
      <c r="A799" s="32" t="inlineStr">
        <is>
          <t>Kangshi No.1 LP</t>
        </is>
      </c>
      <c r="B799" s="191" t="n">
        <v>1</v>
      </c>
      <c r="C799" s="193" t="n">
        <v>0</v>
      </c>
      <c r="D799" s="194" t="n">
        <v>0</v>
      </c>
      <c r="E799" s="194" t="n">
        <v>11.9</v>
      </c>
      <c r="F799" s="194" t="n">
        <v>-1.5</v>
      </c>
      <c r="G799" s="194" t="n">
        <v>-38.1</v>
      </c>
      <c r="H799" s="194" t="n">
        <v>11.9</v>
      </c>
      <c r="I799" s="194" t="n">
        <v>-1.5</v>
      </c>
      <c r="J799" s="194" t="n">
        <v>-38.1</v>
      </c>
      <c r="K799" s="195" t="inlineStr">
        <is>
          <t>2361 SINOHEALTH HLDG</t>
        </is>
      </c>
    </row>
    <row r="800">
      <c r="A800" s="32" t="inlineStr">
        <is>
          <t>Luns Family Holdings Limited</t>
        </is>
      </c>
      <c r="B800" s="191" t="n">
        <v>1</v>
      </c>
      <c r="C800" s="193" t="n">
        <v>0</v>
      </c>
      <c r="D800" s="194" t="n">
        <v>0</v>
      </c>
      <c r="E800" s="194" t="n">
        <v>11.9</v>
      </c>
      <c r="F800" s="194" t="n">
        <v>-1.5</v>
      </c>
      <c r="G800" s="194" t="n">
        <v>-38.1</v>
      </c>
      <c r="H800" s="194" t="n">
        <v>11.9</v>
      </c>
      <c r="I800" s="194" t="n">
        <v>-1.5</v>
      </c>
      <c r="J800" s="194" t="n">
        <v>-38.1</v>
      </c>
      <c r="K800" s="195" t="inlineStr">
        <is>
          <t>2361 SINOHEALTH HLDG</t>
        </is>
      </c>
    </row>
    <row r="801">
      <c r="A801" s="32" t="inlineStr">
        <is>
          <t>Zheng Jingjie</t>
        </is>
      </c>
      <c r="B801" s="191" t="n">
        <v>1</v>
      </c>
      <c r="C801" s="193" t="n">
        <v>0</v>
      </c>
      <c r="D801" s="194" t="n">
        <v>0</v>
      </c>
      <c r="E801" s="194" t="n">
        <v>11.9</v>
      </c>
      <c r="F801" s="194" t="n">
        <v>-1.5</v>
      </c>
      <c r="G801" s="194" t="n">
        <v>-38.1</v>
      </c>
      <c r="H801" s="194" t="n">
        <v>11.9</v>
      </c>
      <c r="I801" s="194" t="n">
        <v>-1.5</v>
      </c>
      <c r="J801" s="194" t="n">
        <v>-38.1</v>
      </c>
      <c r="K801" s="195" t="inlineStr">
        <is>
          <t>2361 SINOHEALTH HLDG</t>
        </is>
      </c>
    </row>
    <row r="802">
      <c r="A802" s="32" t="inlineStr">
        <is>
          <t>LG Chem, Ltd</t>
        </is>
      </c>
      <c r="B802" s="191" t="n">
        <v>1</v>
      </c>
      <c r="C802" s="193" t="n">
        <v>0</v>
      </c>
      <c r="D802" s="194" t="n">
        <v>0</v>
      </c>
      <c r="E802" s="194" t="n">
        <v>-3.8</v>
      </c>
      <c r="F802" s="194" t="n">
        <v>4.3</v>
      </c>
      <c r="G802" s="194" t="n">
        <v>-21.2</v>
      </c>
      <c r="H802" s="194" t="n">
        <v>-3.8</v>
      </c>
      <c r="I802" s="194" t="n">
        <v>4.3</v>
      </c>
      <c r="J802" s="194" t="n">
        <v>-21.2</v>
      </c>
      <c r="K802" s="195" t="inlineStr">
        <is>
          <t>9696 TIANQI LITHIUM</t>
        </is>
      </c>
    </row>
    <row r="803">
      <c r="A803" s="32" t="inlineStr">
        <is>
          <t>Shenzhen Dynanonic Company Limited</t>
        </is>
      </c>
      <c r="B803" s="191" t="n">
        <v>1</v>
      </c>
      <c r="C803" s="193" t="n">
        <v>0</v>
      </c>
      <c r="D803" s="194" t="n">
        <v>0</v>
      </c>
      <c r="E803" s="194" t="n">
        <v>-3.8</v>
      </c>
      <c r="F803" s="194" t="n">
        <v>4.3</v>
      </c>
      <c r="G803" s="194" t="n">
        <v>-21.2</v>
      </c>
      <c r="H803" s="194" t="n">
        <v>-3.8</v>
      </c>
      <c r="I803" s="194" t="n">
        <v>4.3</v>
      </c>
      <c r="J803" s="194" t="n">
        <v>-21.2</v>
      </c>
      <c r="K803" s="195" t="inlineStr">
        <is>
          <t>9696 TIANQI LITHIUM</t>
        </is>
      </c>
    </row>
    <row r="804">
      <c r="A804" s="32" t="inlineStr">
        <is>
          <t>AMOREPACIFIC Group</t>
        </is>
      </c>
      <c r="B804" s="191" t="n">
        <v>1</v>
      </c>
      <c r="C804" s="193" t="n">
        <v>0</v>
      </c>
      <c r="D804" s="194" t="n">
        <v>0</v>
      </c>
      <c r="E804" s="194" t="n">
        <v>8.199999999999999</v>
      </c>
      <c r="F804" s="194" t="n">
        <v>17.1</v>
      </c>
      <c r="G804" s="194" t="n">
        <v>9.300000000000001</v>
      </c>
      <c r="H804" s="194" t="n">
        <v>8.199999999999999</v>
      </c>
      <c r="I804" s="194" t="n">
        <v>17.1</v>
      </c>
      <c r="J804" s="194" t="n">
        <v>9.300000000000001</v>
      </c>
      <c r="K804" s="195" t="inlineStr">
        <is>
          <t>1880 CTG DUTY-FREE</t>
        </is>
      </c>
    </row>
    <row r="805">
      <c r="A805" s="32" t="inlineStr">
        <is>
          <t>Luzhou Laojiao Co., Ltd</t>
        </is>
      </c>
      <c r="B805" s="191" t="n">
        <v>1</v>
      </c>
      <c r="C805" s="193" t="n">
        <v>0</v>
      </c>
      <c r="D805" s="194" t="n">
        <v>0</v>
      </c>
      <c r="E805" s="194" t="n">
        <v>8.199999999999999</v>
      </c>
      <c r="F805" s="194" t="n">
        <v>17.1</v>
      </c>
      <c r="G805" s="194" t="n">
        <v>9.300000000000001</v>
      </c>
      <c r="H805" s="194" t="n">
        <v>8.199999999999999</v>
      </c>
      <c r="I805" s="194" t="n">
        <v>17.1</v>
      </c>
      <c r="J805" s="194" t="n">
        <v>9.300000000000001</v>
      </c>
      <c r="K805" s="195" t="inlineStr">
        <is>
          <t>1880 CTG DUTY-FREE</t>
        </is>
      </c>
    </row>
    <row r="806">
      <c r="A806" s="32" t="inlineStr">
        <is>
          <t>Rongshi International Holding Company Limited</t>
        </is>
      </c>
      <c r="B806" s="191" t="n">
        <v>1</v>
      </c>
      <c r="C806" s="193" t="n">
        <v>0</v>
      </c>
      <c r="D806" s="194" t="n">
        <v>0</v>
      </c>
      <c r="E806" s="194" t="n">
        <v>8.199999999999999</v>
      </c>
      <c r="F806" s="194" t="n">
        <v>17.1</v>
      </c>
      <c r="G806" s="194" t="n">
        <v>9.300000000000001</v>
      </c>
      <c r="H806" s="194" t="n">
        <v>8.199999999999999</v>
      </c>
      <c r="I806" s="194" t="n">
        <v>17.1</v>
      </c>
      <c r="J806" s="194" t="n">
        <v>9.300000000000001</v>
      </c>
      <c r="K806" s="195" t="inlineStr">
        <is>
          <t>1880 CTG DUTY-FREE</t>
        </is>
      </c>
    </row>
    <row r="807">
      <c r="A807" s="32" t="inlineStr">
        <is>
          <t>Shanghai Airport Investment Corporation Limited</t>
        </is>
      </c>
      <c r="B807" s="191" t="n">
        <v>1</v>
      </c>
      <c r="C807" s="193" t="n">
        <v>0</v>
      </c>
      <c r="D807" s="194" t="n">
        <v>0</v>
      </c>
      <c r="E807" s="194" t="n">
        <v>8.199999999999999</v>
      </c>
      <c r="F807" s="194" t="n">
        <v>17.1</v>
      </c>
      <c r="G807" s="194" t="n">
        <v>9.300000000000001</v>
      </c>
      <c r="H807" s="194" t="n">
        <v>8.199999999999999</v>
      </c>
      <c r="I807" s="194" t="n">
        <v>17.1</v>
      </c>
      <c r="J807" s="194" t="n">
        <v>9.300000000000001</v>
      </c>
      <c r="K807" s="195" t="inlineStr">
        <is>
          <t>1880 CTG DUTY-FREE</t>
        </is>
      </c>
    </row>
    <row r="808">
      <c r="A808" s="32" t="inlineStr">
        <is>
          <t>Jumpcan International Co., Ltd</t>
        </is>
      </c>
      <c r="B808" s="191" t="n">
        <v>1</v>
      </c>
      <c r="C808" s="193" t="n">
        <v>0</v>
      </c>
      <c r="D808" s="194" t="n">
        <v>0</v>
      </c>
      <c r="E808" s="194" t="n">
        <v>0.3</v>
      </c>
      <c r="F808" s="194" t="n">
        <v>-1</v>
      </c>
      <c r="G808" s="194" t="n">
        <v>0</v>
      </c>
      <c r="H808" s="194" t="n">
        <v>0.3</v>
      </c>
      <c r="I808" s="194" t="n">
        <v>-1</v>
      </c>
      <c r="J808" s="194" t="n">
        <v>0</v>
      </c>
      <c r="K808" s="195" t="inlineStr">
        <is>
          <t>9886 DINGDANG HEALTH</t>
        </is>
      </c>
    </row>
    <row r="809">
      <c r="A809" s="32" t="inlineStr">
        <is>
          <t>Changzhou Jingce New Energy Tech Co., Ltd</t>
        </is>
      </c>
      <c r="B809" s="191" t="n">
        <v>1</v>
      </c>
      <c r="C809" s="193" t="n">
        <v>0</v>
      </c>
      <c r="D809" s="194" t="n">
        <v>0</v>
      </c>
      <c r="E809" s="194" t="n">
        <v>-2.6</v>
      </c>
      <c r="F809" s="194" t="n">
        <v>-37.8</v>
      </c>
      <c r="G809" s="194" t="n">
        <v>-45.8</v>
      </c>
      <c r="H809" s="194" t="n">
        <v>-2.6</v>
      </c>
      <c r="I809" s="194" t="n">
        <v>-37.8</v>
      </c>
      <c r="J809" s="194" t="n">
        <v>-45.8</v>
      </c>
      <c r="K809" s="195" t="inlineStr">
        <is>
          <t>3931 CALB</t>
        </is>
      </c>
    </row>
    <row r="810">
      <c r="A810" s="32" t="inlineStr">
        <is>
          <t>Hans Laser Technology Co., Limited</t>
        </is>
      </c>
      <c r="B810" s="191" t="n">
        <v>1</v>
      </c>
      <c r="C810" s="193" t="n">
        <v>0</v>
      </c>
      <c r="D810" s="194" t="n">
        <v>0</v>
      </c>
      <c r="E810" s="194" t="n">
        <v>-2.6</v>
      </c>
      <c r="F810" s="194" t="n">
        <v>-37.8</v>
      </c>
      <c r="G810" s="194" t="n">
        <v>-45.8</v>
      </c>
      <c r="H810" s="194" t="n">
        <v>-2.6</v>
      </c>
      <c r="I810" s="194" t="n">
        <v>-37.8</v>
      </c>
      <c r="J810" s="194" t="n">
        <v>-45.8</v>
      </c>
      <c r="K810" s="195" t="inlineStr">
        <is>
          <t>3931 CALB</t>
        </is>
      </c>
    </row>
    <row r="811">
      <c r="A811" s="32" t="inlineStr">
        <is>
          <t>Jiangmen New Energy</t>
        </is>
      </c>
      <c r="B811" s="191" t="n">
        <v>1</v>
      </c>
      <c r="C811" s="193" t="n">
        <v>0</v>
      </c>
      <c r="D811" s="194" t="n">
        <v>0</v>
      </c>
      <c r="E811" s="194" t="n">
        <v>-2.6</v>
      </c>
      <c r="F811" s="194" t="n">
        <v>-37.8</v>
      </c>
      <c r="G811" s="194" t="n">
        <v>-45.8</v>
      </c>
      <c r="H811" s="194" t="n">
        <v>-2.6</v>
      </c>
      <c r="I811" s="194" t="n">
        <v>-37.8</v>
      </c>
      <c r="J811" s="194" t="n">
        <v>-45.8</v>
      </c>
      <c r="K811" s="195" t="inlineStr">
        <is>
          <t>3931 CALB</t>
        </is>
      </c>
    </row>
    <row r="812">
      <c r="A812" s="32" t="inlineStr">
        <is>
          <t>Lv Lizhi</t>
        </is>
      </c>
      <c r="B812" s="191" t="n">
        <v>1</v>
      </c>
      <c r="C812" s="193" t="n">
        <v>0</v>
      </c>
      <c r="D812" s="194" t="n">
        <v>0</v>
      </c>
      <c r="E812" s="194" t="n">
        <v>-2.6</v>
      </c>
      <c r="F812" s="194" t="n">
        <v>-37.8</v>
      </c>
      <c r="G812" s="194" t="n">
        <v>-45.8</v>
      </c>
      <c r="H812" s="194" t="n">
        <v>-2.6</v>
      </c>
      <c r="I812" s="194" t="n">
        <v>-37.8</v>
      </c>
      <c r="J812" s="194" t="n">
        <v>-45.8</v>
      </c>
      <c r="K812" s="195" t="inlineStr">
        <is>
          <t>3931 CALB</t>
        </is>
      </c>
    </row>
    <row r="813">
      <c r="A813" s="32" t="inlineStr">
        <is>
          <t>Tianqi Lithium HK Co., Limited</t>
        </is>
      </c>
      <c r="B813" s="191" t="n">
        <v>1</v>
      </c>
      <c r="C813" s="193" t="n">
        <v>0</v>
      </c>
      <c r="D813" s="194" t="n">
        <v>0</v>
      </c>
      <c r="E813" s="194" t="n">
        <v>-2.6</v>
      </c>
      <c r="F813" s="194" t="n">
        <v>-37.8</v>
      </c>
      <c r="G813" s="194" t="n">
        <v>-45.8</v>
      </c>
      <c r="H813" s="194" t="n">
        <v>-2.6</v>
      </c>
      <c r="I813" s="194" t="n">
        <v>-37.8</v>
      </c>
      <c r="J813" s="194" t="n">
        <v>-45.8</v>
      </c>
      <c r="K813" s="195" t="inlineStr">
        <is>
          <t>3931 CALB</t>
        </is>
      </c>
    </row>
    <row r="814">
      <c r="A814" s="32" t="inlineStr">
        <is>
          <t>TMA International PTE. LTD</t>
        </is>
      </c>
      <c r="B814" s="191" t="n">
        <v>1</v>
      </c>
      <c r="C814" s="193" t="n">
        <v>0</v>
      </c>
      <c r="D814" s="194" t="n">
        <v>0</v>
      </c>
      <c r="E814" s="194" t="n">
        <v>-2.6</v>
      </c>
      <c r="F814" s="194" t="n">
        <v>-37.8</v>
      </c>
      <c r="G814" s="194" t="n">
        <v>-45.8</v>
      </c>
      <c r="H814" s="194" t="n">
        <v>-2.6</v>
      </c>
      <c r="I814" s="194" t="n">
        <v>-37.8</v>
      </c>
      <c r="J814" s="194" t="n">
        <v>-45.8</v>
      </c>
      <c r="K814" s="195" t="inlineStr">
        <is>
          <t>3931 CALB</t>
        </is>
      </c>
    </row>
    <row r="815">
      <c r="A815" s="32" t="inlineStr">
        <is>
          <t>Wang Sing International Resources Limited</t>
        </is>
      </c>
      <c r="B815" s="191" t="n">
        <v>1</v>
      </c>
      <c r="C815" s="193" t="n">
        <v>0</v>
      </c>
      <c r="D815" s="194" t="n">
        <v>0</v>
      </c>
      <c r="E815" s="194" t="n">
        <v>-2.6</v>
      </c>
      <c r="F815" s="194" t="n">
        <v>-37.8</v>
      </c>
      <c r="G815" s="194" t="n">
        <v>-45.8</v>
      </c>
      <c r="H815" s="194" t="n">
        <v>-2.6</v>
      </c>
      <c r="I815" s="194" t="n">
        <v>-37.8</v>
      </c>
      <c r="J815" s="194" t="n">
        <v>-45.8</v>
      </c>
      <c r="K815" s="195" t="inlineStr">
        <is>
          <t>3931 CALB</t>
        </is>
      </c>
    </row>
    <row r="816">
      <c r="A816" s="32" t="inlineStr">
        <is>
          <t>XING FA (HONG KONG) IMP.&amp;EXP. LIMITED</t>
        </is>
      </c>
      <c r="B816" s="191" t="n">
        <v>1</v>
      </c>
      <c r="C816" s="193" t="n">
        <v>0</v>
      </c>
      <c r="D816" s="194" t="n">
        <v>0</v>
      </c>
      <c r="E816" s="194" t="n">
        <v>-2.6</v>
      </c>
      <c r="F816" s="194" t="n">
        <v>-37.8</v>
      </c>
      <c r="G816" s="194" t="n">
        <v>-45.8</v>
      </c>
      <c r="H816" s="194" t="n">
        <v>-2.6</v>
      </c>
      <c r="I816" s="194" t="n">
        <v>-37.8</v>
      </c>
      <c r="J816" s="194" t="n">
        <v>-45.8</v>
      </c>
      <c r="K816" s="195" t="inlineStr">
        <is>
          <t>3931 CALB</t>
        </is>
      </c>
    </row>
    <row r="817">
      <c r="A817" s="32" t="inlineStr">
        <is>
          <t>XPeng Inc</t>
        </is>
      </c>
      <c r="B817" s="191" t="n">
        <v>1</v>
      </c>
      <c r="C817" s="193" t="n">
        <v>0</v>
      </c>
      <c r="D817" s="194" t="n">
        <v>0</v>
      </c>
      <c r="E817" s="194" t="n">
        <v>-2.6</v>
      </c>
      <c r="F817" s="194" t="n">
        <v>-37.8</v>
      </c>
      <c r="G817" s="194" t="n">
        <v>-45.8</v>
      </c>
      <c r="H817" s="194" t="n">
        <v>-2.6</v>
      </c>
      <c r="I817" s="194" t="n">
        <v>-37.8</v>
      </c>
      <c r="J817" s="194" t="n">
        <v>-45.8</v>
      </c>
      <c r="K817" s="195" t="inlineStr">
        <is>
          <t>3931 CALB</t>
        </is>
      </c>
    </row>
    <row r="818">
      <c r="A818" s="32" t="inlineStr">
        <is>
          <t>Zhenshi Group (HK) Heshi Composite Materials Co., Limited</t>
        </is>
      </c>
      <c r="B818" s="191" t="n">
        <v>1</v>
      </c>
      <c r="C818" s="193" t="n">
        <v>0</v>
      </c>
      <c r="D818" s="194" t="n">
        <v>0</v>
      </c>
      <c r="E818" s="194" t="n">
        <v>-2.6</v>
      </c>
      <c r="F818" s="194" t="n">
        <v>-37.8</v>
      </c>
      <c r="G818" s="194" t="n">
        <v>-45.8</v>
      </c>
      <c r="H818" s="194" t="n">
        <v>-2.6</v>
      </c>
      <c r="I818" s="194" t="n">
        <v>-37.8</v>
      </c>
      <c r="J818" s="194" t="n">
        <v>-45.8</v>
      </c>
      <c r="K818" s="195" t="inlineStr">
        <is>
          <t>3931 CALB</t>
        </is>
      </c>
    </row>
    <row r="819">
      <c r="A819" s="32" t="inlineStr">
        <is>
          <t>Shanghai Lingang Economic Development Group Investment Management Co., Ltd.*</t>
        </is>
      </c>
      <c r="B819" s="191" t="n">
        <v>1</v>
      </c>
      <c r="C819" s="193" t="n">
        <v>0</v>
      </c>
      <c r="D819" s="194" t="n">
        <v>0</v>
      </c>
      <c r="E819" s="194" t="n">
        <v>-5.5</v>
      </c>
      <c r="F819" s="194" t="n">
        <v>-0.2</v>
      </c>
      <c r="G819" s="194" t="n">
        <v>-0.5</v>
      </c>
      <c r="H819" s="194" t="n">
        <v>-5.5</v>
      </c>
      <c r="I819" s="194" t="n">
        <v>-0.2</v>
      </c>
      <c r="J819" s="194" t="n">
        <v>-0.5</v>
      </c>
      <c r="K819" s="195" t="inlineStr">
        <is>
          <t>2291 SCIENTECH</t>
        </is>
      </c>
    </row>
    <row r="820">
      <c r="A820" s="32" t="inlineStr">
        <is>
          <t>GEM Hong Kong International Co., Limited</t>
        </is>
      </c>
      <c r="B820" s="191" t="n">
        <v>1</v>
      </c>
      <c r="C820" s="193" t="n">
        <v>0</v>
      </c>
      <c r="D820" s="194" t="n">
        <v>0</v>
      </c>
      <c r="E820" s="194" t="n">
        <v>-3.7</v>
      </c>
      <c r="F820" s="194" t="n">
        <v>1.1</v>
      </c>
      <c r="G820" s="194" t="n">
        <v>-19.4</v>
      </c>
      <c r="H820" s="194" t="n">
        <v>-3.7</v>
      </c>
      <c r="I820" s="194" t="n">
        <v>1.1</v>
      </c>
      <c r="J820" s="194" t="n">
        <v>-19.4</v>
      </c>
      <c r="K820" s="195" t="inlineStr">
        <is>
          <t>2245 LYGEND RESOURCE</t>
        </is>
      </c>
    </row>
    <row r="821">
      <c r="A821" s="32" t="inlineStr">
        <is>
          <t>CL Kiwi Holding Ltd</t>
        </is>
      </c>
      <c r="B821" s="191" t="n">
        <v>1</v>
      </c>
      <c r="C821" s="193" t="n">
        <v>0</v>
      </c>
      <c r="D821" s="194" t="n">
        <v>0</v>
      </c>
      <c r="E821" s="194" t="n">
        <v>0</v>
      </c>
      <c r="F821" s="194" t="n">
        <v>-2.7</v>
      </c>
      <c r="G821" s="194" t="n">
        <v>-4.3</v>
      </c>
      <c r="H821" s="194" t="n">
        <v>0</v>
      </c>
      <c r="I821" s="194" t="n">
        <v>-2.7</v>
      </c>
      <c r="J821" s="194" t="n">
        <v>-4.3</v>
      </c>
      <c r="K821" s="195" t="inlineStr">
        <is>
          <t>2407 GAUSH MEDITECH</t>
        </is>
      </c>
    </row>
    <row r="822">
      <c r="A822" s="32" t="inlineStr">
        <is>
          <t>Fu Heliang</t>
        </is>
      </c>
      <c r="B822" s="191" t="n">
        <v>1</v>
      </c>
      <c r="C822" s="193" t="n">
        <v>0</v>
      </c>
      <c r="D822" s="194" t="n">
        <v>0</v>
      </c>
      <c r="E822" s="194" t="n">
        <v>-17.2</v>
      </c>
      <c r="F822" s="194" t="n">
        <v>-22</v>
      </c>
      <c r="G822" s="194" t="n">
        <v>-2.3</v>
      </c>
      <c r="H822" s="194" t="n">
        <v>-17.2</v>
      </c>
      <c r="I822" s="194" t="n">
        <v>-22</v>
      </c>
      <c r="J822" s="194" t="n">
        <v>-2.3</v>
      </c>
      <c r="K822" s="195" t="inlineStr">
        <is>
          <t>6955 BOAN BIOTECH-B</t>
        </is>
      </c>
    </row>
    <row r="823">
      <c r="A823" s="32" t="inlineStr">
        <is>
          <t>Sino Biopharmaceutical Limited</t>
        </is>
      </c>
      <c r="B823" s="191" t="n">
        <v>1</v>
      </c>
      <c r="C823" s="193" t="n">
        <v>0</v>
      </c>
      <c r="D823" s="194" t="n">
        <v>0</v>
      </c>
      <c r="E823" s="194" t="n">
        <v>-17.2</v>
      </c>
      <c r="F823" s="194" t="n">
        <v>-22</v>
      </c>
      <c r="G823" s="194" t="n">
        <v>-2.3</v>
      </c>
      <c r="H823" s="194" t="n">
        <v>-17.2</v>
      </c>
      <c r="I823" s="194" t="n">
        <v>-22</v>
      </c>
      <c r="J823" s="194" t="n">
        <v>-2.3</v>
      </c>
      <c r="K823" s="195" t="inlineStr">
        <is>
          <t>6955 BOAN BIOTECH-B</t>
        </is>
      </c>
    </row>
    <row r="824">
      <c r="A824" s="32" t="inlineStr">
        <is>
          <t>Astonish Investment Pte. Ltd</t>
        </is>
      </c>
      <c r="B824" s="191" t="n">
        <v>1</v>
      </c>
      <c r="C824" s="193" t="n">
        <v>0</v>
      </c>
      <c r="D824" s="194" t="n">
        <v>0</v>
      </c>
      <c r="E824" s="194" t="n">
        <v>0</v>
      </c>
      <c r="F824" s="194" t="n">
        <v>8.199999999999999</v>
      </c>
      <c r="G824" s="194" t="n">
        <v>-0.5</v>
      </c>
      <c r="H824" s="194" t="n">
        <v>0</v>
      </c>
      <c r="I824" s="194" t="n">
        <v>8.199999999999999</v>
      </c>
      <c r="J824" s="194" t="n">
        <v>-0.5</v>
      </c>
      <c r="K824" s="195" t="inlineStr">
        <is>
          <t>2402 SINOHYTEC</t>
        </is>
      </c>
    </row>
    <row r="825">
      <c r="A825" s="32" t="inlineStr">
        <is>
          <t>Jiang Gang International Investment Company Limited</t>
        </is>
      </c>
      <c r="B825" s="191" t="n">
        <v>1</v>
      </c>
      <c r="C825" s="193" t="n">
        <v>0</v>
      </c>
      <c r="D825" s="194" t="n">
        <v>0</v>
      </c>
      <c r="E825" s="194" t="n">
        <v>-19.7</v>
      </c>
      <c r="F825" s="194" t="n">
        <v>-22.2</v>
      </c>
      <c r="G825" s="194" t="n">
        <v>-26.9</v>
      </c>
      <c r="H825" s="194" t="n">
        <v>-19.7</v>
      </c>
      <c r="I825" s="194" t="n">
        <v>-22.2</v>
      </c>
      <c r="J825" s="194" t="n">
        <v>-26.9</v>
      </c>
      <c r="K825" s="195" t="inlineStr">
        <is>
          <t>2481 WISE LIVING TEC</t>
        </is>
      </c>
    </row>
    <row r="826">
      <c r="A826" s="32" t="inlineStr">
        <is>
          <t>4399 Net Limited</t>
        </is>
      </c>
      <c r="B826" s="191" t="n">
        <v>1</v>
      </c>
      <c r="C826" s="193" t="n">
        <v>0</v>
      </c>
      <c r="D826" s="194" t="n">
        <v>0</v>
      </c>
      <c r="E826" s="194" t="n">
        <v>-3.9</v>
      </c>
      <c r="F826" s="194" t="n">
        <v>-14.3</v>
      </c>
      <c r="G826" s="194" t="n">
        <v>240.4</v>
      </c>
      <c r="H826" s="194" t="n">
        <v>-3.9</v>
      </c>
      <c r="I826" s="194" t="n">
        <v>-14.3</v>
      </c>
      <c r="J826" s="194" t="n">
        <v>240.4</v>
      </c>
      <c r="K826" s="195" t="inlineStr">
        <is>
          <t>9890 ZX INC</t>
        </is>
      </c>
    </row>
    <row r="827">
      <c r="A827" s="32" t="inlineStr">
        <is>
          <t>Aofei Data International Company Limited</t>
        </is>
      </c>
      <c r="B827" s="191" t="n">
        <v>1</v>
      </c>
      <c r="C827" s="193" t="n">
        <v>0</v>
      </c>
      <c r="D827" s="194" t="n">
        <v>0</v>
      </c>
      <c r="E827" s="194" t="n">
        <v>-3.9</v>
      </c>
      <c r="F827" s="194" t="n">
        <v>-14.3</v>
      </c>
      <c r="G827" s="194" t="n">
        <v>240.4</v>
      </c>
      <c r="H827" s="194" t="n">
        <v>-3.9</v>
      </c>
      <c r="I827" s="194" t="n">
        <v>-14.3</v>
      </c>
      <c r="J827" s="194" t="n">
        <v>240.4</v>
      </c>
      <c r="K827" s="195" t="inlineStr">
        <is>
          <t>9890 ZX INC</t>
        </is>
      </c>
    </row>
    <row r="828">
      <c r="A828" s="32" t="inlineStr">
        <is>
          <t>Hong Kong Longsin Co., Limited</t>
        </is>
      </c>
      <c r="B828" s="191" t="n">
        <v>1</v>
      </c>
      <c r="C828" s="193" t="n">
        <v>0</v>
      </c>
      <c r="D828" s="194" t="n">
        <v>0</v>
      </c>
      <c r="E828" s="194" t="n">
        <v>-3.9</v>
      </c>
      <c r="F828" s="194" t="n">
        <v>-14.3</v>
      </c>
      <c r="G828" s="194" t="n">
        <v>240.4</v>
      </c>
      <c r="H828" s="194" t="n">
        <v>-3.9</v>
      </c>
      <c r="I828" s="194" t="n">
        <v>-14.3</v>
      </c>
      <c r="J828" s="194" t="n">
        <v>240.4</v>
      </c>
      <c r="K828" s="195" t="inlineStr">
        <is>
          <t>9890 ZX INC</t>
        </is>
      </c>
    </row>
    <row r="829">
      <c r="A829" s="32" t="inlineStr">
        <is>
          <t>Shangrao High-speed Industrial Investment</t>
        </is>
      </c>
      <c r="B829" s="191" t="n">
        <v>1</v>
      </c>
      <c r="C829" s="193" t="n">
        <v>0</v>
      </c>
      <c r="D829" s="194" t="n">
        <v>0</v>
      </c>
      <c r="E829" s="194" t="n">
        <v>-3.9</v>
      </c>
      <c r="F829" s="194" t="n">
        <v>-14.3</v>
      </c>
      <c r="G829" s="194" t="n">
        <v>240.4</v>
      </c>
      <c r="H829" s="194" t="n">
        <v>-3.9</v>
      </c>
      <c r="I829" s="194" t="n">
        <v>-14.3</v>
      </c>
      <c r="J829" s="194" t="n">
        <v>240.4</v>
      </c>
      <c r="K829" s="195" t="inlineStr">
        <is>
          <t>9890 ZX INC</t>
        </is>
      </c>
    </row>
    <row r="830">
      <c r="A830" s="32" t="inlineStr">
        <is>
          <t>CELESTIAL OCEAN INVESTMENTS LIMITED</t>
        </is>
      </c>
      <c r="B830" s="191" t="n">
        <v>1</v>
      </c>
      <c r="C830" s="193" t="n">
        <v>0</v>
      </c>
      <c r="D830" s="194" t="n">
        <v>0</v>
      </c>
      <c r="E830" s="194" t="n">
        <v>3.3</v>
      </c>
      <c r="F830" s="194" t="n">
        <v>-1.2</v>
      </c>
      <c r="G830" s="194" t="n">
        <v>34</v>
      </c>
      <c r="H830" s="194" t="n">
        <v>3.3</v>
      </c>
      <c r="I830" s="194" t="n">
        <v>-1.2</v>
      </c>
      <c r="J830" s="194" t="n">
        <v>34</v>
      </c>
      <c r="K830" s="195" t="inlineStr">
        <is>
          <t>1519 J&amp;T EXPRESS-W</t>
        </is>
      </c>
    </row>
    <row r="831">
      <c r="A831" s="32" t="inlineStr">
        <is>
          <t>D1 SPV Jupiter (Hong Kong) Limited</t>
        </is>
      </c>
      <c r="B831" s="191" t="n">
        <v>1</v>
      </c>
      <c r="C831" s="193" t="n">
        <v>0</v>
      </c>
      <c r="D831" s="194" t="n">
        <v>0</v>
      </c>
      <c r="E831" s="194" t="n">
        <v>3.3</v>
      </c>
      <c r="F831" s="194" t="n">
        <v>-1.2</v>
      </c>
      <c r="G831" s="194" t="n">
        <v>34</v>
      </c>
      <c r="H831" s="194" t="n">
        <v>3.3</v>
      </c>
      <c r="I831" s="194" t="n">
        <v>-1.2</v>
      </c>
      <c r="J831" s="194" t="n">
        <v>34</v>
      </c>
      <c r="K831" s="195" t="inlineStr">
        <is>
          <t>1519 J&amp;T EXPRESS-W</t>
        </is>
      </c>
    </row>
    <row r="832">
      <c r="A832" s="32" t="inlineStr">
        <is>
          <t>Dahlia Investments Pte. Ltd</t>
        </is>
      </c>
      <c r="B832" s="191" t="n">
        <v>1</v>
      </c>
      <c r="C832" s="193" t="n">
        <v>0</v>
      </c>
      <c r="D832" s="194" t="n">
        <v>0</v>
      </c>
      <c r="E832" s="194" t="n">
        <v>3.3</v>
      </c>
      <c r="F832" s="194" t="n">
        <v>-1.2</v>
      </c>
      <c r="G832" s="194" t="n">
        <v>34</v>
      </c>
      <c r="H832" s="194" t="n">
        <v>3.3</v>
      </c>
      <c r="I832" s="194" t="n">
        <v>-1.2</v>
      </c>
      <c r="J832" s="194" t="n">
        <v>34</v>
      </c>
      <c r="K832" s="195" t="inlineStr">
        <is>
          <t>1519 J&amp;T EXPRESS-W</t>
        </is>
      </c>
    </row>
    <row r="833">
      <c r="A833" s="32" t="inlineStr">
        <is>
          <t>Hidden Hill SPV VIII</t>
        </is>
      </c>
      <c r="B833" s="191" t="n">
        <v>1</v>
      </c>
      <c r="C833" s="193" t="n">
        <v>0</v>
      </c>
      <c r="D833" s="194" t="n">
        <v>0</v>
      </c>
      <c r="E833" s="194" t="n">
        <v>3.3</v>
      </c>
      <c r="F833" s="194" t="n">
        <v>-1.2</v>
      </c>
      <c r="G833" s="194" t="n">
        <v>34</v>
      </c>
      <c r="H833" s="194" t="n">
        <v>3.3</v>
      </c>
      <c r="I833" s="194" t="n">
        <v>-1.2</v>
      </c>
      <c r="J833" s="194" t="n">
        <v>34</v>
      </c>
      <c r="K833" s="195" t="inlineStr">
        <is>
          <t>1519 J&amp;T EXPRESS-W</t>
        </is>
      </c>
    </row>
    <row r="834">
      <c r="A834" s="32" t="inlineStr">
        <is>
          <t>Jallion Global Limited</t>
        </is>
      </c>
      <c r="B834" s="191" t="n">
        <v>1</v>
      </c>
      <c r="C834" s="193" t="n">
        <v>0</v>
      </c>
      <c r="D834" s="194" t="n">
        <v>0</v>
      </c>
      <c r="E834" s="194" t="n">
        <v>3.3</v>
      </c>
      <c r="F834" s="194" t="n">
        <v>-1.2</v>
      </c>
      <c r="G834" s="194" t="n">
        <v>34</v>
      </c>
      <c r="H834" s="194" t="n">
        <v>3.3</v>
      </c>
      <c r="I834" s="194" t="n">
        <v>-1.2</v>
      </c>
      <c r="J834" s="194" t="n">
        <v>34</v>
      </c>
      <c r="K834" s="195" t="inlineStr">
        <is>
          <t>1519 J&amp;T EXPRESS-W</t>
        </is>
      </c>
    </row>
    <row r="835">
      <c r="A835" s="32" t="inlineStr">
        <is>
          <t>JNRY III HOLDINGS LIMITED</t>
        </is>
      </c>
      <c r="B835" s="191" t="n">
        <v>1</v>
      </c>
      <c r="C835" s="193" t="n">
        <v>0</v>
      </c>
      <c r="D835" s="194" t="n">
        <v>0</v>
      </c>
      <c r="E835" s="194" t="n">
        <v>3.3</v>
      </c>
      <c r="F835" s="194" t="n">
        <v>-1.2</v>
      </c>
      <c r="G835" s="194" t="n">
        <v>34</v>
      </c>
      <c r="H835" s="194" t="n">
        <v>3.3</v>
      </c>
      <c r="I835" s="194" t="n">
        <v>-1.2</v>
      </c>
      <c r="J835" s="194" t="n">
        <v>34</v>
      </c>
      <c r="K835" s="195" t="inlineStr">
        <is>
          <t>1519 J&amp;T EXPRESS-W</t>
        </is>
      </c>
    </row>
    <row r="836">
      <c r="A836" s="32" t="inlineStr">
        <is>
          <t>Joyous Tempinis Limited</t>
        </is>
      </c>
      <c r="B836" s="191" t="n">
        <v>1</v>
      </c>
      <c r="C836" s="193" t="n">
        <v>0</v>
      </c>
      <c r="D836" s="194" t="n">
        <v>0</v>
      </c>
      <c r="E836" s="194" t="n">
        <v>3.3</v>
      </c>
      <c r="F836" s="194" t="n">
        <v>-1.2</v>
      </c>
      <c r="G836" s="194" t="n">
        <v>34</v>
      </c>
      <c r="H836" s="194" t="n">
        <v>3.3</v>
      </c>
      <c r="I836" s="194" t="n">
        <v>-1.2</v>
      </c>
      <c r="J836" s="194" t="n">
        <v>34</v>
      </c>
      <c r="K836" s="195" t="inlineStr">
        <is>
          <t>1519 J&amp;T EXPRESS-W</t>
        </is>
      </c>
    </row>
    <row r="837">
      <c r="A837" s="32" t="inlineStr">
        <is>
          <t>Parallel Cluster Investment Limited</t>
        </is>
      </c>
      <c r="B837" s="191" t="n">
        <v>1</v>
      </c>
      <c r="C837" s="193" t="n">
        <v>0</v>
      </c>
      <c r="D837" s="194" t="n">
        <v>0</v>
      </c>
      <c r="E837" s="194" t="n">
        <v>3.3</v>
      </c>
      <c r="F837" s="194" t="n">
        <v>-1.2</v>
      </c>
      <c r="G837" s="194" t="n">
        <v>34</v>
      </c>
      <c r="H837" s="194" t="n">
        <v>3.3</v>
      </c>
      <c r="I837" s="194" t="n">
        <v>-1.2</v>
      </c>
      <c r="J837" s="194" t="n">
        <v>34</v>
      </c>
      <c r="K837" s="195" t="inlineStr">
        <is>
          <t>1519 J&amp;T EXPRESS-W</t>
        </is>
      </c>
    </row>
    <row r="838">
      <c r="A838" s="32" t="inlineStr">
        <is>
          <t>SC GGF III Holdco, Ltd</t>
        </is>
      </c>
      <c r="B838" s="191" t="n">
        <v>1</v>
      </c>
      <c r="C838" s="193" t="n">
        <v>0</v>
      </c>
      <c r="D838" s="194" t="n">
        <v>0</v>
      </c>
      <c r="E838" s="194" t="n">
        <v>3.3</v>
      </c>
      <c r="F838" s="194" t="n">
        <v>-1.2</v>
      </c>
      <c r="G838" s="194" t="n">
        <v>34</v>
      </c>
      <c r="H838" s="194" t="n">
        <v>3.3</v>
      </c>
      <c r="I838" s="194" t="n">
        <v>-1.2</v>
      </c>
      <c r="J838" s="194" t="n">
        <v>34</v>
      </c>
      <c r="K838" s="195" t="inlineStr">
        <is>
          <t>1519 J&amp;T EXPRESS-W</t>
        </is>
      </c>
    </row>
    <row r="839">
      <c r="A839" s="32" t="inlineStr">
        <is>
          <t>COFCO Capital Special Opportunity Fund 2 SP</t>
        </is>
      </c>
      <c r="B839" s="191" t="n">
        <v>1</v>
      </c>
      <c r="C839" s="193" t="n">
        <v>0</v>
      </c>
      <c r="D839" s="194" t="n">
        <v>0</v>
      </c>
      <c r="E839" s="194" t="n">
        <v>6.5</v>
      </c>
      <c r="F839" s="194" t="n">
        <v>22.9</v>
      </c>
      <c r="G839" s="194" t="n">
        <v>42.1</v>
      </c>
      <c r="H839" s="194" t="n">
        <v>6.5</v>
      </c>
      <c r="I839" s="194" t="n">
        <v>22.9</v>
      </c>
      <c r="J839" s="194" t="n">
        <v>42.1</v>
      </c>
      <c r="K839" s="195" t="inlineStr">
        <is>
          <t>2517 GUOQUAN</t>
        </is>
      </c>
    </row>
    <row r="840">
      <c r="A840" s="32" t="inlineStr">
        <is>
          <t>Jinding Capital Management (Shenzhen) Co., Ltd</t>
        </is>
      </c>
      <c r="B840" s="191" t="n">
        <v>1</v>
      </c>
      <c r="C840" s="193" t="n">
        <v>0</v>
      </c>
      <c r="D840" s="194" t="n">
        <v>0</v>
      </c>
      <c r="E840" s="194" t="n">
        <v>6.5</v>
      </c>
      <c r="F840" s="194" t="n">
        <v>22.9</v>
      </c>
      <c r="G840" s="194" t="n">
        <v>42.1</v>
      </c>
      <c r="H840" s="194" t="n">
        <v>6.5</v>
      </c>
      <c r="I840" s="194" t="n">
        <v>22.9</v>
      </c>
      <c r="J840" s="194" t="n">
        <v>42.1</v>
      </c>
      <c r="K840" s="195" t="inlineStr">
        <is>
          <t>2517 GUOQUAN</t>
        </is>
      </c>
    </row>
    <row r="841">
      <c r="A841" s="32" t="inlineStr">
        <is>
          <t>Mingyang Smart Energy Group Co., Ltd</t>
        </is>
      </c>
      <c r="B841" s="191" t="n">
        <v>1</v>
      </c>
      <c r="C841" s="193" t="n">
        <v>0</v>
      </c>
      <c r="D841" s="194" t="n">
        <v>0</v>
      </c>
      <c r="E841" s="194" t="n">
        <v>-5.5</v>
      </c>
      <c r="F841" s="194" t="n">
        <v>-17.4</v>
      </c>
      <c r="G841" s="194" t="n">
        <v>-11.5</v>
      </c>
      <c r="H841" s="194" t="n">
        <v>-5.5</v>
      </c>
      <c r="I841" s="194" t="n">
        <v>-17.4</v>
      </c>
      <c r="J841" s="194" t="n">
        <v>-11.5</v>
      </c>
      <c r="K841" s="195" t="inlineStr">
        <is>
          <t>2520 SHANXI INSTALL</t>
        </is>
      </c>
    </row>
    <row r="842">
      <c r="A842" s="32" t="inlineStr">
        <is>
          <t>WU Chen</t>
        </is>
      </c>
      <c r="B842" s="191" t="n">
        <v>1</v>
      </c>
      <c r="C842" s="193" t="n">
        <v>0</v>
      </c>
      <c r="D842" s="194" t="n">
        <v>0</v>
      </c>
      <c r="E842" s="194" t="n">
        <v>-5.2</v>
      </c>
      <c r="F842" s="194" t="n">
        <v>1</v>
      </c>
      <c r="G842" s="194" t="n">
        <v>3.1</v>
      </c>
      <c r="H842" s="194" t="n">
        <v>-5.2</v>
      </c>
      <c r="I842" s="194" t="n">
        <v>1</v>
      </c>
      <c r="J842" s="194" t="n">
        <v>3.1</v>
      </c>
      <c r="K842" s="195" t="inlineStr">
        <is>
          <t>1497 YAN PALACE</t>
        </is>
      </c>
    </row>
    <row r="843">
      <c r="A843" s="32" t="inlineStr">
        <is>
          <t>Shenzhen Nanshan Strategic Emerging Industries Investment Co., Ltd</t>
        </is>
      </c>
      <c r="B843" s="191" t="n">
        <v>1</v>
      </c>
      <c r="C843" s="193" t="n">
        <v>0</v>
      </c>
      <c r="D843" s="194" t="n">
        <v>0</v>
      </c>
      <c r="E843" s="194" t="n">
        <v>0</v>
      </c>
      <c r="F843" s="194" t="n">
        <v>-9.300000000000001</v>
      </c>
      <c r="G843" s="194" t="n">
        <v>-1.2</v>
      </c>
      <c r="H843" s="194" t="n">
        <v>0</v>
      </c>
      <c r="I843" s="194" t="n">
        <v>-9.300000000000001</v>
      </c>
      <c r="J843" s="194" t="n">
        <v>-1.2</v>
      </c>
      <c r="K843" s="195" t="inlineStr">
        <is>
          <t>2498 ROBOSENSE</t>
        </is>
      </c>
    </row>
    <row r="844">
      <c r="A844" s="32" t="inlineStr">
        <is>
          <t>Changshu Southeast Industrial Investment Co., Ltd.*</t>
        </is>
      </c>
      <c r="B844" s="191" t="n">
        <v>1</v>
      </c>
      <c r="C844" s="193" t="n">
        <v>0</v>
      </c>
      <c r="D844" s="194" t="n">
        <v>0</v>
      </c>
      <c r="E844" s="194" t="n">
        <v>-10.4</v>
      </c>
      <c r="F844" s="194" t="n">
        <v>-9.6</v>
      </c>
      <c r="G844" s="194" t="n">
        <v>-30.2</v>
      </c>
      <c r="H844" s="194" t="n">
        <v>-10.4</v>
      </c>
      <c r="I844" s="194" t="n">
        <v>-9.6</v>
      </c>
      <c r="J844" s="194" t="n">
        <v>-30.2</v>
      </c>
      <c r="K844" s="195" t="inlineStr">
        <is>
          <t>2507 CIRRUS</t>
        </is>
      </c>
    </row>
    <row r="845">
      <c r="A845" s="32" t="inlineStr">
        <is>
          <t>Taicang High Tech Science and Innovation Development Co., Ltd.*</t>
        </is>
      </c>
      <c r="B845" s="191" t="n">
        <v>1</v>
      </c>
      <c r="C845" s="193" t="n">
        <v>0</v>
      </c>
      <c r="D845" s="194" t="n">
        <v>0</v>
      </c>
      <c r="E845" s="194" t="n">
        <v>-10.4</v>
      </c>
      <c r="F845" s="194" t="n">
        <v>-9.6</v>
      </c>
      <c r="G845" s="194" t="n">
        <v>-30.2</v>
      </c>
      <c r="H845" s="194" t="n">
        <v>-10.4</v>
      </c>
      <c r="I845" s="194" t="n">
        <v>-9.6</v>
      </c>
      <c r="J845" s="194" t="n">
        <v>-30.2</v>
      </c>
      <c r="K845" s="195" t="inlineStr">
        <is>
          <t>2507 CIRRUS</t>
        </is>
      </c>
    </row>
    <row r="846">
      <c r="A846" s="32" t="inlineStr">
        <is>
          <t>Wise Honest Limited</t>
        </is>
      </c>
      <c r="B846" s="191" t="n">
        <v>1</v>
      </c>
      <c r="C846" s="193" t="n">
        <v>0</v>
      </c>
      <c r="D846" s="194" t="n">
        <v>0</v>
      </c>
      <c r="E846" s="194" t="n">
        <v>-5</v>
      </c>
      <c r="F846" s="194" t="n">
        <v>-1.3</v>
      </c>
      <c r="G846" s="194" t="n">
        <v>10.9</v>
      </c>
      <c r="H846" s="194" t="n">
        <v>-5</v>
      </c>
      <c r="I846" s="194" t="n">
        <v>-1.3</v>
      </c>
      <c r="J846" s="194" t="n">
        <v>10.9</v>
      </c>
      <c r="K846" s="195" t="inlineStr">
        <is>
          <t>6936 SF HOLDING</t>
        </is>
      </c>
    </row>
    <row r="847">
      <c r="A847" s="32" t="inlineStr">
        <is>
          <t>China Pacific Insurance (Group) Co., Ltd</t>
        </is>
      </c>
      <c r="B847" s="191" t="n">
        <v>1</v>
      </c>
      <c r="C847" s="193" t="n">
        <v>0</v>
      </c>
      <c r="D847" s="194" t="n">
        <v>0</v>
      </c>
      <c r="E847" s="194" t="n">
        <v>-5</v>
      </c>
      <c r="F847" s="194" t="n">
        <v>-1.3</v>
      </c>
      <c r="G847" s="194" t="n">
        <v>10.9</v>
      </c>
      <c r="H847" s="194" t="n">
        <v>-5</v>
      </c>
      <c r="I847" s="194" t="n">
        <v>-1.3</v>
      </c>
      <c r="J847" s="194" t="n">
        <v>10.9</v>
      </c>
      <c r="K847" s="195" t="inlineStr">
        <is>
          <t>6936 SF HOLDING</t>
        </is>
      </c>
    </row>
    <row r="848">
      <c r="A848" s="32" t="inlineStr">
        <is>
          <t>Xu Shihe (許世和)</t>
        </is>
      </c>
      <c r="B848" s="191" t="n">
        <v>1</v>
      </c>
      <c r="C848" s="193" t="n">
        <v>0</v>
      </c>
      <c r="D848" s="194" t="n">
        <v>0</v>
      </c>
      <c r="E848" s="194" t="n">
        <v>-14.4</v>
      </c>
      <c r="F848" s="194" t="n">
        <v>33.6</v>
      </c>
      <c r="G848" s="194" t="n">
        <v>11.2</v>
      </c>
      <c r="H848" s="194" t="n">
        <v>-14.4</v>
      </c>
      <c r="I848" s="194" t="n">
        <v>33.6</v>
      </c>
      <c r="J848" s="194" t="n">
        <v>11.2</v>
      </c>
      <c r="K848" s="195" t="inlineStr">
        <is>
          <t>2625 JIANGSU HORIZON</t>
        </is>
      </c>
    </row>
    <row r="849">
      <c r="A849" s="32" t="inlineStr">
        <is>
          <t>Yin Qin (印勤)</t>
        </is>
      </c>
      <c r="B849" s="191" t="n">
        <v>1</v>
      </c>
      <c r="C849" s="193" t="n">
        <v>0</v>
      </c>
      <c r="D849" s="194" t="n">
        <v>0</v>
      </c>
      <c r="E849" s="194" t="n">
        <v>-14.4</v>
      </c>
      <c r="F849" s="194" t="n">
        <v>33.6</v>
      </c>
      <c r="G849" s="194" t="n">
        <v>11.2</v>
      </c>
      <c r="H849" s="194" t="n">
        <v>-14.4</v>
      </c>
      <c r="I849" s="194" t="n">
        <v>33.6</v>
      </c>
      <c r="J849" s="194" t="n">
        <v>11.2</v>
      </c>
      <c r="K849" s="195" t="inlineStr">
        <is>
          <t>2625 JIANGSU HORIZON</t>
        </is>
      </c>
    </row>
    <row r="850">
      <c r="A850" s="32" t="inlineStr">
        <is>
          <t>Hu Qinghua (胡慶華)</t>
        </is>
      </c>
      <c r="B850" s="191" t="n">
        <v>1</v>
      </c>
      <c r="C850" s="193" t="n">
        <v>0</v>
      </c>
      <c r="D850" s="194" t="n">
        <v>0</v>
      </c>
      <c r="E850" s="194" t="n">
        <v>-14.4</v>
      </c>
      <c r="F850" s="194" t="n">
        <v>33.6</v>
      </c>
      <c r="G850" s="194" t="n">
        <v>11.2</v>
      </c>
      <c r="H850" s="194" t="n">
        <v>-14.4</v>
      </c>
      <c r="I850" s="194" t="n">
        <v>33.6</v>
      </c>
      <c r="J850" s="194" t="n">
        <v>11.2</v>
      </c>
      <c r="K850" s="195" t="inlineStr">
        <is>
          <t>2625 JIANGSU HORIZON</t>
        </is>
      </c>
    </row>
    <row r="851">
      <c r="A851" s="32" t="inlineStr">
        <is>
          <t>Zhu Zheng (朱政)</t>
        </is>
      </c>
      <c r="B851" s="191" t="n">
        <v>1</v>
      </c>
      <c r="C851" s="193" t="n">
        <v>0</v>
      </c>
      <c r="D851" s="194" t="n">
        <v>0</v>
      </c>
      <c r="E851" s="194" t="n">
        <v>-14.4</v>
      </c>
      <c r="F851" s="194" t="n">
        <v>33.6</v>
      </c>
      <c r="G851" s="194" t="n">
        <v>11.2</v>
      </c>
      <c r="H851" s="194" t="n">
        <v>-14.4</v>
      </c>
      <c r="I851" s="194" t="n">
        <v>33.6</v>
      </c>
      <c r="J851" s="194" t="n">
        <v>11.2</v>
      </c>
      <c r="K851" s="195" t="inlineStr">
        <is>
          <t>2625 JIANGSU HORIZON</t>
        </is>
      </c>
    </row>
    <row r="852">
      <c r="A852" s="32" t="inlineStr">
        <is>
          <t>Zhan Mingyu (詹明玉)</t>
        </is>
      </c>
      <c r="B852" s="191" t="n">
        <v>1</v>
      </c>
      <c r="C852" s="193" t="n">
        <v>0</v>
      </c>
      <c r="D852" s="194" t="n">
        <v>0</v>
      </c>
      <c r="E852" s="194" t="n">
        <v>-14.4</v>
      </c>
      <c r="F852" s="194" t="n">
        <v>33.6</v>
      </c>
      <c r="G852" s="194" t="n">
        <v>11.2</v>
      </c>
      <c r="H852" s="194" t="n">
        <v>-14.4</v>
      </c>
      <c r="I852" s="194" t="n">
        <v>33.6</v>
      </c>
      <c r="J852" s="194" t="n">
        <v>11.2</v>
      </c>
      <c r="K852" s="195" t="inlineStr">
        <is>
          <t>2625 JIANGSU HORIZON</t>
        </is>
      </c>
    </row>
    <row r="853">
      <c r="A853" s="32" t="inlineStr">
        <is>
          <t>Jiang Xianyue (江顯月)</t>
        </is>
      </c>
      <c r="B853" s="191" t="n">
        <v>1</v>
      </c>
      <c r="C853" s="193" t="n">
        <v>0</v>
      </c>
      <c r="D853" s="194" t="n">
        <v>0</v>
      </c>
      <c r="E853" s="194" t="n">
        <v>-14.4</v>
      </c>
      <c r="F853" s="194" t="n">
        <v>33.6</v>
      </c>
      <c r="G853" s="194" t="n">
        <v>11.2</v>
      </c>
      <c r="H853" s="194" t="n">
        <v>-14.4</v>
      </c>
      <c r="I853" s="194" t="n">
        <v>33.6</v>
      </c>
      <c r="J853" s="194" t="n">
        <v>11.2</v>
      </c>
      <c r="K853" s="195" t="inlineStr">
        <is>
          <t>2625 JIANGSU HORIZON</t>
        </is>
      </c>
    </row>
    <row r="854">
      <c r="A854" s="32" t="inlineStr">
        <is>
          <t>Yao Xinhua (姚新華)</t>
        </is>
      </c>
      <c r="B854" s="191" t="n">
        <v>1</v>
      </c>
      <c r="C854" s="193" t="n">
        <v>0</v>
      </c>
      <c r="D854" s="194" t="n">
        <v>0</v>
      </c>
      <c r="E854" s="194" t="n">
        <v>-14.4</v>
      </c>
      <c r="F854" s="194" t="n">
        <v>33.6</v>
      </c>
      <c r="G854" s="194" t="n">
        <v>11.2</v>
      </c>
      <c r="H854" s="194" t="n">
        <v>-14.4</v>
      </c>
      <c r="I854" s="194" t="n">
        <v>33.6</v>
      </c>
      <c r="J854" s="194" t="n">
        <v>11.2</v>
      </c>
      <c r="K854" s="195" t="inlineStr">
        <is>
          <t>2625 JIANGSU HORIZON</t>
        </is>
      </c>
    </row>
    <row r="855">
      <c r="A855" s="32" t="inlineStr">
        <is>
          <t>Guo Xia (郭霞)</t>
        </is>
      </c>
      <c r="B855" s="191" t="n">
        <v>1</v>
      </c>
      <c r="C855" s="193" t="n">
        <v>0</v>
      </c>
      <c r="D855" s="194" t="n">
        <v>0</v>
      </c>
      <c r="E855" s="194" t="n">
        <v>-14.4</v>
      </c>
      <c r="F855" s="194" t="n">
        <v>33.6</v>
      </c>
      <c r="G855" s="194" t="n">
        <v>11.2</v>
      </c>
      <c r="H855" s="194" t="n">
        <v>-14.4</v>
      </c>
      <c r="I855" s="194" t="n">
        <v>33.6</v>
      </c>
      <c r="J855" s="194" t="n">
        <v>11.2</v>
      </c>
      <c r="K855" s="195" t="inlineStr">
        <is>
          <t>2625 JIANGSU HORIZON</t>
        </is>
      </c>
    </row>
    <row r="856">
      <c r="A856" s="32" t="inlineStr">
        <is>
          <t>Lu Shouping (陸壽萍)</t>
        </is>
      </c>
      <c r="B856" s="191" t="n">
        <v>1</v>
      </c>
      <c r="C856" s="193" t="n">
        <v>0</v>
      </c>
      <c r="D856" s="194" t="n">
        <v>0</v>
      </c>
      <c r="E856" s="194" t="n">
        <v>-14.4</v>
      </c>
      <c r="F856" s="194" t="n">
        <v>33.6</v>
      </c>
      <c r="G856" s="194" t="n">
        <v>11.2</v>
      </c>
      <c r="H856" s="194" t="n">
        <v>-14.4</v>
      </c>
      <c r="I856" s="194" t="n">
        <v>33.6</v>
      </c>
      <c r="J856" s="194" t="n">
        <v>11.2</v>
      </c>
      <c r="K856" s="195" t="inlineStr">
        <is>
          <t>2625 JIANGSU HORIZON</t>
        </is>
      </c>
    </row>
    <row r="857">
      <c r="A857" s="32" t="inlineStr">
        <is>
          <t>Kan Chuanling (闞傳玲)</t>
        </is>
      </c>
      <c r="B857" s="191" t="n">
        <v>1</v>
      </c>
      <c r="C857" s="193" t="n">
        <v>0</v>
      </c>
      <c r="D857" s="194" t="n">
        <v>0</v>
      </c>
      <c r="E857" s="194" t="n">
        <v>-14.4</v>
      </c>
      <c r="F857" s="194" t="n">
        <v>33.6</v>
      </c>
      <c r="G857" s="194" t="n">
        <v>11.2</v>
      </c>
      <c r="H857" s="194" t="n">
        <v>-14.4</v>
      </c>
      <c r="I857" s="194" t="n">
        <v>33.6</v>
      </c>
      <c r="J857" s="194" t="n">
        <v>11.2</v>
      </c>
      <c r="K857" s="195" t="inlineStr">
        <is>
          <t>2625 JIANGSU HORIZON</t>
        </is>
      </c>
    </row>
    <row r="858">
      <c r="A858" s="32" t="inlineStr">
        <is>
          <t>Huang Haiyan (黃海燕)</t>
        </is>
      </c>
      <c r="B858" s="191" t="n">
        <v>1</v>
      </c>
      <c r="C858" s="193" t="n">
        <v>0</v>
      </c>
      <c r="D858" s="194" t="n">
        <v>0</v>
      </c>
      <c r="E858" s="194" t="n">
        <v>-14.4</v>
      </c>
      <c r="F858" s="194" t="n">
        <v>33.6</v>
      </c>
      <c r="G858" s="194" t="n">
        <v>11.2</v>
      </c>
      <c r="H858" s="194" t="n">
        <v>-14.4</v>
      </c>
      <c r="I858" s="194" t="n">
        <v>33.6</v>
      </c>
      <c r="J858" s="194" t="n">
        <v>11.2</v>
      </c>
      <c r="K858" s="195" t="inlineStr">
        <is>
          <t>2625 JIANGSU HORIZON</t>
        </is>
      </c>
    </row>
    <row r="859">
      <c r="A859" s="32" t="inlineStr">
        <is>
          <t>Zhen Yizuo (殷義左)</t>
        </is>
      </c>
      <c r="B859" s="191" t="n">
        <v>1</v>
      </c>
      <c r="C859" s="193" t="n">
        <v>0</v>
      </c>
      <c r="D859" s="194" t="n">
        <v>0</v>
      </c>
      <c r="E859" s="194" t="n">
        <v>-14.4</v>
      </c>
      <c r="F859" s="194" t="n">
        <v>33.6</v>
      </c>
      <c r="G859" s="194" t="n">
        <v>11.2</v>
      </c>
      <c r="H859" s="194" t="n">
        <v>-14.4</v>
      </c>
      <c r="I859" s="194" t="n">
        <v>33.6</v>
      </c>
      <c r="J859" s="194" t="n">
        <v>11.2</v>
      </c>
      <c r="K859" s="195" t="inlineStr">
        <is>
          <t>2625 JIANGSU HORIZON</t>
        </is>
      </c>
    </row>
    <row r="860">
      <c r="A860" s="32" t="inlineStr">
        <is>
          <t>Shen Zhigen (沈志艮)</t>
        </is>
      </c>
      <c r="B860" s="191" t="n">
        <v>1</v>
      </c>
      <c r="C860" s="193" t="n">
        <v>0</v>
      </c>
      <c r="D860" s="194" t="n">
        <v>0</v>
      </c>
      <c r="E860" s="194" t="n">
        <v>-14.4</v>
      </c>
      <c r="F860" s="194" t="n">
        <v>33.6</v>
      </c>
      <c r="G860" s="194" t="n">
        <v>11.2</v>
      </c>
      <c r="H860" s="194" t="n">
        <v>-14.4</v>
      </c>
      <c r="I860" s="194" t="n">
        <v>33.6</v>
      </c>
      <c r="J860" s="194" t="n">
        <v>11.2</v>
      </c>
      <c r="K860" s="195" t="inlineStr">
        <is>
          <t>2625 JIANGSU HORIZON</t>
        </is>
      </c>
    </row>
    <row r="861">
      <c r="A861" s="32" t="inlineStr">
        <is>
          <t>Xia Zhonglin (夏忠林)</t>
        </is>
      </c>
      <c r="B861" s="191" t="n">
        <v>1</v>
      </c>
      <c r="C861" s="193" t="n">
        <v>0</v>
      </c>
      <c r="D861" s="194" t="n">
        <v>0</v>
      </c>
      <c r="E861" s="194" t="n">
        <v>-14.4</v>
      </c>
      <c r="F861" s="194" t="n">
        <v>33.6</v>
      </c>
      <c r="G861" s="194" t="n">
        <v>11.2</v>
      </c>
      <c r="H861" s="194" t="n">
        <v>-14.4</v>
      </c>
      <c r="I861" s="194" t="n">
        <v>33.6</v>
      </c>
      <c r="J861" s="194" t="n">
        <v>11.2</v>
      </c>
      <c r="K861" s="195" t="inlineStr">
        <is>
          <t>2625 JIANGSU HORIZON</t>
        </is>
      </c>
    </row>
    <row r="862">
      <c r="A862" s="32" t="inlineStr">
        <is>
          <t>Shenzhen Lin Yuan Investment Management Co., Ltd. and Huatai Capital Investment Limited (in connection with Huatai Back-to-back TRS and Linyuan TRS)</t>
        </is>
      </c>
      <c r="B862" s="191" t="n">
        <v>1</v>
      </c>
      <c r="C862" s="193" t="n">
        <v>0</v>
      </c>
      <c r="D862" s="194" t="n">
        <v>0</v>
      </c>
      <c r="E862" s="194" t="n">
        <v>-12.2</v>
      </c>
      <c r="F862" s="194" t="n">
        <v>-11.9</v>
      </c>
      <c r="G862" s="194" t="n">
        <v>-26.2</v>
      </c>
      <c r="H862" s="194" t="n">
        <v>-12.2</v>
      </c>
      <c r="I862" s="194" t="n">
        <v>-11.9</v>
      </c>
      <c r="J862" s="194" t="n">
        <v>-26.2</v>
      </c>
      <c r="K862" s="195" t="inlineStr">
        <is>
          <t>9927 SERES</t>
        </is>
      </c>
    </row>
    <row r="863">
      <c r="A863" s="32" t="inlineStr">
        <is>
          <t>BESS Broadway Limited</t>
        </is>
      </c>
      <c r="B863" s="191" t="n">
        <v>1</v>
      </c>
      <c r="C863" s="193" t="n">
        <v>0</v>
      </c>
      <c r="D863" s="194" t="n">
        <v>0</v>
      </c>
      <c r="E863" s="194" t="n">
        <v>-12.2</v>
      </c>
      <c r="F863" s="194" t="n">
        <v>-11.9</v>
      </c>
      <c r="G863" s="194" t="n">
        <v>-26.2</v>
      </c>
      <c r="H863" s="194" t="n">
        <v>-12.2</v>
      </c>
      <c r="I863" s="194" t="n">
        <v>-11.9</v>
      </c>
      <c r="J863" s="194" t="n">
        <v>-26.2</v>
      </c>
      <c r="K863" s="195" t="inlineStr">
        <is>
          <t>9927 SERES</t>
        </is>
      </c>
    </row>
    <row r="864">
      <c r="A864" s="32" t="inlineStr">
        <is>
          <t>Zhink International Pte. Ltd</t>
        </is>
      </c>
      <c r="B864" s="191" t="n">
        <v>1</v>
      </c>
      <c r="C864" s="193" t="n">
        <v>0</v>
      </c>
      <c r="D864" s="194" t="n">
        <v>0</v>
      </c>
      <c r="E864" s="194" t="n">
        <v>-12.2</v>
      </c>
      <c r="F864" s="194" t="n">
        <v>-11.9</v>
      </c>
      <c r="G864" s="194" t="n">
        <v>-26.2</v>
      </c>
      <c r="H864" s="194" t="n">
        <v>-12.2</v>
      </c>
      <c r="I864" s="194" t="n">
        <v>-11.9</v>
      </c>
      <c r="J864" s="194" t="n">
        <v>-26.2</v>
      </c>
      <c r="K864" s="195" t="inlineStr">
        <is>
          <t>9927 SERES</t>
        </is>
      </c>
    </row>
    <row r="865">
      <c r="A865" s="32" t="inlineStr">
        <is>
          <t>Hichain Logistics (Hong Kong) Limited</t>
        </is>
      </c>
      <c r="B865" s="191" t="n">
        <v>1</v>
      </c>
      <c r="C865" s="193" t="n">
        <v>0</v>
      </c>
      <c r="D865" s="194" t="n">
        <v>0</v>
      </c>
      <c r="E865" s="194" t="n">
        <v>-12.2</v>
      </c>
      <c r="F865" s="194" t="n">
        <v>-11.9</v>
      </c>
      <c r="G865" s="194" t="n">
        <v>-26.2</v>
      </c>
      <c r="H865" s="194" t="n">
        <v>-12.2</v>
      </c>
      <c r="I865" s="194" t="n">
        <v>-11.9</v>
      </c>
      <c r="J865" s="194" t="n">
        <v>-26.2</v>
      </c>
      <c r="K865" s="195" t="inlineStr">
        <is>
          <t>9927 SERES</t>
        </is>
      </c>
    </row>
    <row r="866">
      <c r="A866" s="32" t="inlineStr">
        <is>
          <t>Skyler International Co., Ltd</t>
        </is>
      </c>
      <c r="B866" s="191" t="n">
        <v>1</v>
      </c>
      <c r="C866" s="193" t="n">
        <v>0</v>
      </c>
      <c r="D866" s="194" t="n">
        <v>0</v>
      </c>
      <c r="E866" s="194" t="n">
        <v>-12.2</v>
      </c>
      <c r="F866" s="194" t="n">
        <v>-11.9</v>
      </c>
      <c r="G866" s="194" t="n">
        <v>-26.2</v>
      </c>
      <c r="H866" s="194" t="n">
        <v>-12.2</v>
      </c>
      <c r="I866" s="194" t="n">
        <v>-11.9</v>
      </c>
      <c r="J866" s="194" t="n">
        <v>-26.2</v>
      </c>
      <c r="K866" s="195" t="inlineStr">
        <is>
          <t>9927 SERES</t>
        </is>
      </c>
    </row>
    <row r="867">
      <c r="A867" s="32" t="inlineStr">
        <is>
          <t>China MeiDong Auto Holdings Limited</t>
        </is>
      </c>
      <c r="B867" s="191" t="n">
        <v>1</v>
      </c>
      <c r="C867" s="193" t="n">
        <v>0</v>
      </c>
      <c r="D867" s="194" t="n">
        <v>0</v>
      </c>
      <c r="E867" s="194" t="n">
        <v>-12.2</v>
      </c>
      <c r="F867" s="194" t="n">
        <v>-11.9</v>
      </c>
      <c r="G867" s="194" t="n">
        <v>-26.2</v>
      </c>
      <c r="H867" s="194" t="n">
        <v>-12.2</v>
      </c>
      <c r="I867" s="194" t="n">
        <v>-11.9</v>
      </c>
      <c r="J867" s="194" t="n">
        <v>-26.2</v>
      </c>
      <c r="K867" s="195" t="inlineStr">
        <is>
          <t>9927 SERES</t>
        </is>
      </c>
    </row>
    <row r="868">
      <c r="A868" s="32" t="inlineStr">
        <is>
          <t>M&amp;G Investors</t>
        </is>
      </c>
      <c r="B868" s="191" t="n">
        <v>1</v>
      </c>
      <c r="C868" s="193" t="n">
        <v>0</v>
      </c>
      <c r="D868" s="194" t="n">
        <v>0</v>
      </c>
      <c r="E868" s="194" t="n">
        <v>-1.3</v>
      </c>
      <c r="F868" s="194" t="n">
        <v>-3.4</v>
      </c>
      <c r="G868" s="194" t="n">
        <v>-8.4</v>
      </c>
      <c r="H868" s="194" t="n">
        <v>-1.3</v>
      </c>
      <c r="I868" s="194" t="n">
        <v>-3.4</v>
      </c>
      <c r="J868" s="194" t="n">
        <v>-8.4</v>
      </c>
      <c r="K868" s="195" t="inlineStr">
        <is>
          <t>7618 JD INDUSTRIALS</t>
        </is>
      </c>
    </row>
    <row r="869">
      <c r="A869" s="32" t="inlineStr">
        <is>
          <t>CoreView</t>
        </is>
      </c>
      <c r="B869" s="191" t="n">
        <v>1</v>
      </c>
      <c r="C869" s="193" t="n">
        <v>0</v>
      </c>
      <c r="D869" s="194" t="n">
        <v>0</v>
      </c>
      <c r="E869" s="194" t="n">
        <v>-1.3</v>
      </c>
      <c r="F869" s="194" t="n">
        <v>-3.4</v>
      </c>
      <c r="G869" s="194" t="n">
        <v>-8.4</v>
      </c>
      <c r="H869" s="194" t="n">
        <v>-1.3</v>
      </c>
      <c r="I869" s="194" t="n">
        <v>-3.4</v>
      </c>
      <c r="J869" s="194" t="n">
        <v>-8.4</v>
      </c>
      <c r="K869" s="195" t="inlineStr">
        <is>
          <t>7618 JD INDUSTRIALS</t>
        </is>
      </c>
    </row>
    <row r="870">
      <c r="A870" s="32" t="inlineStr">
        <is>
          <t>Xin Ma Apparel International Limited</t>
        </is>
      </c>
      <c r="B870" s="191" t="n">
        <v>1</v>
      </c>
      <c r="C870" s="193" t="n">
        <v>0</v>
      </c>
      <c r="D870" s="194" t="n">
        <v>0</v>
      </c>
      <c r="E870" s="194" t="n">
        <v>20.2</v>
      </c>
      <c r="F870" s="194" t="n">
        <v>-11.2</v>
      </c>
      <c r="G870" s="194" t="n">
        <v>-28</v>
      </c>
      <c r="H870" s="194" t="n">
        <v>20.2</v>
      </c>
      <c r="I870" s="194" t="n">
        <v>-11.2</v>
      </c>
      <c r="J870" s="194" t="n">
        <v>-28</v>
      </c>
      <c r="K870" s="195" t="inlineStr">
        <is>
          <t>0600 AXERA</t>
        </is>
      </c>
    </row>
    <row r="871">
      <c r="A871" s="32" t="inlineStr">
        <is>
          <t>Desay SV Automotive Singapore Pte. Ltd</t>
        </is>
      </c>
      <c r="B871" s="191" t="n">
        <v>1</v>
      </c>
      <c r="C871" s="193" t="n">
        <v>0</v>
      </c>
      <c r="D871" s="194" t="n">
        <v>0</v>
      </c>
      <c r="E871" s="194" t="n">
        <v>20.2</v>
      </c>
      <c r="F871" s="194" t="n">
        <v>-11.2</v>
      </c>
      <c r="G871" s="194" t="n">
        <v>-28</v>
      </c>
      <c r="H871" s="194" t="n">
        <v>20.2</v>
      </c>
      <c r="I871" s="194" t="n">
        <v>-11.2</v>
      </c>
      <c r="J871" s="194" t="n">
        <v>-28</v>
      </c>
      <c r="K871" s="195" t="inlineStr">
        <is>
          <t>0600 AXERA</t>
        </is>
      </c>
    </row>
    <row r="872">
      <c r="A872" s="32" t="inlineStr">
        <is>
          <t>Jupiter Global Master Fund Ltd</t>
        </is>
      </c>
      <c r="B872" s="191" t="n">
        <v>1</v>
      </c>
      <c r="C872" s="193" t="n">
        <v>0</v>
      </c>
      <c r="D872" s="194" t="n">
        <v>0</v>
      </c>
      <c r="E872" s="194" t="n">
        <v>20.2</v>
      </c>
      <c r="F872" s="194" t="n">
        <v>-11.2</v>
      </c>
      <c r="G872" s="194" t="n">
        <v>-28</v>
      </c>
      <c r="H872" s="194" t="n">
        <v>20.2</v>
      </c>
      <c r="I872" s="194" t="n">
        <v>-11.2</v>
      </c>
      <c r="J872" s="194" t="n">
        <v>-28</v>
      </c>
      <c r="K872" s="195" t="inlineStr">
        <is>
          <t>0600 AXERA</t>
        </is>
      </c>
    </row>
    <row r="873">
      <c r="A873" s="32" t="inlineStr">
        <is>
          <t>Longhorn Note 2 and CICC Financial Trading Limited (in connection with Longhorn OTC Swaps)</t>
        </is>
      </c>
      <c r="B873" s="191" t="n">
        <v>1</v>
      </c>
      <c r="C873" s="193" t="n">
        <v>0</v>
      </c>
      <c r="D873" s="194" t="n">
        <v>0</v>
      </c>
      <c r="E873" s="194" t="n">
        <v>20.2</v>
      </c>
      <c r="F873" s="194" t="n">
        <v>-11.2</v>
      </c>
      <c r="G873" s="194" t="n">
        <v>-28</v>
      </c>
      <c r="H873" s="194" t="n">
        <v>20.2</v>
      </c>
      <c r="I873" s="194" t="n">
        <v>-11.2</v>
      </c>
      <c r="J873" s="194" t="n">
        <v>-28</v>
      </c>
      <c r="K873" s="195" t="inlineStr">
        <is>
          <t>0600 AXERA</t>
        </is>
      </c>
    </row>
    <row r="874">
      <c r="A874" s="32" t="inlineStr">
        <is>
          <t>Rome Garden Holding Limited</t>
        </is>
      </c>
      <c r="B874" s="191" t="n">
        <v>1</v>
      </c>
      <c r="C874" s="193" t="n">
        <v>0</v>
      </c>
      <c r="D874" s="194" t="n">
        <v>0</v>
      </c>
      <c r="E874" s="194" t="n">
        <v>0.6</v>
      </c>
      <c r="F874" s="194" t="n">
        <v>-9</v>
      </c>
      <c r="G874" s="194" t="n">
        <v>15.5</v>
      </c>
      <c r="H874" s="194" t="n">
        <v>0.6</v>
      </c>
      <c r="I874" s="194" t="n">
        <v>-9</v>
      </c>
      <c r="J874" s="194" t="n">
        <v>15.5</v>
      </c>
      <c r="K874" s="195" t="inlineStr">
        <is>
          <t>0470 WUXI LEAD</t>
        </is>
      </c>
    </row>
    <row r="875">
      <c r="A875" s="32" t="inlineStr">
        <is>
          <t>Marshall Wace Asia Limited</t>
        </is>
      </c>
      <c r="B875" s="191" t="n">
        <v>1</v>
      </c>
      <c r="C875" s="193" t="n">
        <v>0</v>
      </c>
      <c r="D875" s="194" t="n">
        <v>0</v>
      </c>
      <c r="E875" s="194" t="n">
        <v>-3.7</v>
      </c>
      <c r="F875" s="194" t="n">
        <v>-30.7</v>
      </c>
      <c r="G875" s="194" t="n">
        <v>-57</v>
      </c>
      <c r="H875" s="194" t="n">
        <v>-3.7</v>
      </c>
      <c r="I875" s="194" t="n">
        <v>-30.7</v>
      </c>
      <c r="J875" s="194" t="n">
        <v>-57</v>
      </c>
      <c r="K875" s="195" t="inlineStr">
        <is>
          <t>1081 DAJIN</t>
        </is>
      </c>
    </row>
    <row r="876">
      <c r="A876" s="32" t="inlineStr">
        <is>
          <t>Gaoyi Entities</t>
        </is>
      </c>
      <c r="B876" s="191" t="n">
        <v>1</v>
      </c>
      <c r="C876" s="193" t="n">
        <v>0</v>
      </c>
      <c r="D876" s="194" t="n">
        <v>0</v>
      </c>
      <c r="E876" s="194" t="n">
        <v>0.3</v>
      </c>
      <c r="F876" s="194" t="n">
        <v>-10.1</v>
      </c>
      <c r="G876" s="196" t="n"/>
      <c r="H876" s="194" t="n">
        <v>0.3</v>
      </c>
      <c r="I876" s="194" t="n">
        <v>-10.1</v>
      </c>
      <c r="J876" s="196" t="n"/>
      <c r="K876" s="195" t="inlineStr">
        <is>
          <t>6880 MOMENTA-W</t>
        </is>
      </c>
    </row>
    <row r="877">
      <c r="A877" s="32" t="inlineStr">
        <is>
          <t>Puxin Technology Limited</t>
        </is>
      </c>
      <c r="B877" s="191" t="n">
        <v>1</v>
      </c>
      <c r="C877" s="193" t="n">
        <v>0</v>
      </c>
      <c r="D877" s="194" t="n">
        <v>0</v>
      </c>
      <c r="E877" s="194" t="n">
        <v>-9.699999999999999</v>
      </c>
      <c r="F877" s="194" t="n">
        <v>-0.1</v>
      </c>
      <c r="G877" s="196" t="n"/>
      <c r="H877" s="194" t="n">
        <v>-9.699999999999999</v>
      </c>
      <c r="I877" s="194" t="n">
        <v>-0.1</v>
      </c>
      <c r="J877" s="196" t="n"/>
      <c r="K877" s="195" t="inlineStr">
        <is>
          <t>2249 NEXCHIP</t>
        </is>
      </c>
    </row>
    <row r="878">
      <c r="A878" s="32" t="inlineStr">
        <is>
          <t>Smartsens Technology (HK) Co., Limited</t>
        </is>
      </c>
      <c r="B878" s="191" t="n">
        <v>1</v>
      </c>
      <c r="C878" s="193" t="n">
        <v>0</v>
      </c>
      <c r="D878" s="194" t="n">
        <v>0</v>
      </c>
      <c r="E878" s="194" t="n">
        <v>-9.699999999999999</v>
      </c>
      <c r="F878" s="194" t="n">
        <v>-0.1</v>
      </c>
      <c r="G878" s="196" t="n"/>
      <c r="H878" s="194" t="n">
        <v>-9.699999999999999</v>
      </c>
      <c r="I878" s="194" t="n">
        <v>-0.1</v>
      </c>
      <c r="J878" s="196" t="n"/>
      <c r="K878" s="195" t="inlineStr">
        <is>
          <t>2249 NEXCHIP</t>
        </is>
      </c>
    </row>
    <row r="879">
      <c r="A879" s="32" t="inlineStr">
        <is>
          <t>Goertek (HongKong) Co., Limited</t>
        </is>
      </c>
      <c r="B879" s="191" t="n">
        <v>1</v>
      </c>
      <c r="C879" s="193" t="n">
        <v>0</v>
      </c>
      <c r="D879" s="194" t="n">
        <v>0</v>
      </c>
      <c r="E879" s="194" t="n">
        <v>-9.699999999999999</v>
      </c>
      <c r="F879" s="194" t="n">
        <v>-0.1</v>
      </c>
      <c r="G879" s="196" t="n"/>
      <c r="H879" s="194" t="n">
        <v>-9.699999999999999</v>
      </c>
      <c r="I879" s="194" t="n">
        <v>-0.1</v>
      </c>
      <c r="J879" s="196" t="n"/>
      <c r="K879" s="195" t="inlineStr">
        <is>
          <t>2249 NEXCHIP</t>
        </is>
      </c>
    </row>
    <row r="880">
      <c r="A880" s="32" t="inlineStr">
        <is>
          <t>Arrow Target Investment L.P</t>
        </is>
      </c>
      <c r="B880" s="191" t="n">
        <v>1</v>
      </c>
      <c r="C880" s="193" t="n">
        <v>0</v>
      </c>
      <c r="D880" s="194" t="n">
        <v>0</v>
      </c>
      <c r="E880" s="194" t="n">
        <v>0</v>
      </c>
      <c r="F880" s="194" t="n">
        <v>1.5</v>
      </c>
      <c r="G880" s="196" t="n"/>
      <c r="H880" s="194" t="n">
        <v>0</v>
      </c>
      <c r="I880" s="194" t="n">
        <v>1.5</v>
      </c>
      <c r="J880" s="196" t="n"/>
      <c r="K880" s="195" t="inlineStr">
        <is>
          <t>3223 INGENIC</t>
        </is>
      </c>
    </row>
    <row r="881">
      <c r="A881" s="32" t="inlineStr">
        <is>
          <t>Emerald Prime Group Limited</t>
        </is>
      </c>
      <c r="B881" s="191" t="n">
        <v>1</v>
      </c>
      <c r="C881" s="193" t="n">
        <v>0</v>
      </c>
      <c r="D881" s="194" t="n">
        <v>0</v>
      </c>
      <c r="E881" s="194" t="n">
        <v>0</v>
      </c>
      <c r="F881" s="194" t="n">
        <v>1.5</v>
      </c>
      <c r="G881" s="196" t="n"/>
      <c r="H881" s="194" t="n">
        <v>0</v>
      </c>
      <c r="I881" s="194" t="n">
        <v>1.5</v>
      </c>
      <c r="J881" s="196" t="n"/>
      <c r="K881" s="195" t="inlineStr">
        <is>
          <t>3223 INGENIC</t>
        </is>
      </c>
    </row>
    <row r="882">
      <c r="A882" s="32" t="inlineStr">
        <is>
          <t>Heading Pioneer 10 Fund LPF</t>
        </is>
      </c>
      <c r="B882" s="191" t="n">
        <v>1</v>
      </c>
      <c r="C882" s="193" t="n">
        <v>0</v>
      </c>
      <c r="D882" s="194" t="n">
        <v>0</v>
      </c>
      <c r="E882" s="194" t="n">
        <v>0</v>
      </c>
      <c r="F882" s="194" t="n">
        <v>1.5</v>
      </c>
      <c r="G882" s="196" t="n"/>
      <c r="H882" s="194" t="n">
        <v>0</v>
      </c>
      <c r="I882" s="194" t="n">
        <v>1.5</v>
      </c>
      <c r="J882" s="196" t="n"/>
      <c r="K882" s="195" t="inlineStr">
        <is>
          <t>3223 INGENIC</t>
        </is>
      </c>
    </row>
    <row r="883">
      <c r="A883" s="32" t="inlineStr">
        <is>
          <t>Agora, Inc</t>
        </is>
      </c>
      <c r="B883" s="191" t="n">
        <v>1</v>
      </c>
      <c r="C883" s="193" t="n">
        <v>0</v>
      </c>
      <c r="D883" s="194" t="n">
        <v>-0.1</v>
      </c>
      <c r="E883" s="194" t="n">
        <v>2.7</v>
      </c>
      <c r="F883" s="194" t="n">
        <v>-19.1</v>
      </c>
      <c r="G883" s="194" t="n">
        <v>-22.3</v>
      </c>
      <c r="H883" s="194" t="n">
        <v>2.8</v>
      </c>
      <c r="I883" s="194" t="n">
        <v>-19</v>
      </c>
      <c r="J883" s="194" t="n">
        <v>-22.2</v>
      </c>
      <c r="K883" s="195" t="inlineStr">
        <is>
          <t>2167 TI CLOUD</t>
        </is>
      </c>
    </row>
    <row r="884">
      <c r="A884" s="32" t="inlineStr">
        <is>
          <t>Platinum Investment Management Limited</t>
        </is>
      </c>
      <c r="B884" s="191" t="n">
        <v>1</v>
      </c>
      <c r="C884" s="193" t="n">
        <v>0</v>
      </c>
      <c r="D884" s="194" t="n">
        <v>-0.1</v>
      </c>
      <c r="E884" s="194" t="n">
        <v>2.7</v>
      </c>
      <c r="F884" s="194" t="n">
        <v>-19.1</v>
      </c>
      <c r="G884" s="194" t="n">
        <v>-22.3</v>
      </c>
      <c r="H884" s="194" t="n">
        <v>2.8</v>
      </c>
      <c r="I884" s="194" t="n">
        <v>-19</v>
      </c>
      <c r="J884" s="194" t="n">
        <v>-22.2</v>
      </c>
      <c r="K884" s="195" t="inlineStr">
        <is>
          <t>2167 TI CLOUD</t>
        </is>
      </c>
    </row>
    <row r="885">
      <c r="A885" s="32" t="inlineStr">
        <is>
          <t>Chiyu International Capital Limited</t>
        </is>
      </c>
      <c r="B885" s="191" t="n">
        <v>1</v>
      </c>
      <c r="C885" s="193" t="n">
        <v>0</v>
      </c>
      <c r="D885" s="194" t="n">
        <v>-0.1</v>
      </c>
      <c r="E885" s="194" t="n">
        <v>-0.1</v>
      </c>
      <c r="F885" s="194" t="n">
        <v>-27.3</v>
      </c>
      <c r="G885" s="194" t="n">
        <v>-29.1</v>
      </c>
      <c r="H885" s="194" t="n">
        <v>0</v>
      </c>
      <c r="I885" s="194" t="n">
        <v>-27.2</v>
      </c>
      <c r="J885" s="194" t="n">
        <v>-29</v>
      </c>
      <c r="K885" s="195" t="inlineStr">
        <is>
          <t>2152 SUXIN SERVICES</t>
        </is>
      </c>
    </row>
    <row r="886">
      <c r="A886" s="32" t="inlineStr">
        <is>
          <t>6 (through GF SecuritiesA sset Manageme nt (Guangdong) Co., Ltd as the qualified domestic institutional investor) Taikang Life Insurance Co., Ltd</t>
        </is>
      </c>
      <c r="B886" s="191" t="n">
        <v>1</v>
      </c>
      <c r="C886" s="193" t="n">
        <v>0</v>
      </c>
      <c r="D886" s="194" t="n">
        <v>-0.1</v>
      </c>
      <c r="E886" s="194" t="n">
        <v>11.6</v>
      </c>
      <c r="F886" s="194" t="n">
        <v>26.5</v>
      </c>
      <c r="G886" s="194" t="n">
        <v>70.3</v>
      </c>
      <c r="H886" s="194" t="n">
        <v>11.8</v>
      </c>
      <c r="I886" s="194" t="n">
        <v>26.7</v>
      </c>
      <c r="J886" s="194" t="n">
        <v>70.59999999999999</v>
      </c>
      <c r="K886" s="195" t="inlineStr">
        <is>
          <t>2050 SANHUA</t>
        </is>
      </c>
    </row>
    <row r="887">
      <c r="A887" s="32" t="inlineStr">
        <is>
          <t>Dongsheng Pulead Technology and Guotai Junan Investments (Hong Kong) Limited (in connection with Dongsheng Pulead OTC Swaps)</t>
        </is>
      </c>
      <c r="B887" s="191" t="n">
        <v>1</v>
      </c>
      <c r="C887" s="193" t="n">
        <v>0</v>
      </c>
      <c r="D887" s="194" t="n">
        <v>-0.1</v>
      </c>
      <c r="E887" s="194" t="n">
        <v>-10.9</v>
      </c>
      <c r="F887" s="194" t="n">
        <v>-22.6</v>
      </c>
      <c r="G887" s="194" t="n">
        <v>2.5</v>
      </c>
      <c r="H887" s="194" t="n">
        <v>-10.8</v>
      </c>
      <c r="I887" s="194" t="n">
        <v>-22.6</v>
      </c>
      <c r="J887" s="194" t="n">
        <v>2.6</v>
      </c>
      <c r="K887" s="195" t="inlineStr">
        <is>
          <t>2579 CNGR</t>
        </is>
      </c>
    </row>
    <row r="888">
      <c r="A888" s="32" t="inlineStr">
        <is>
          <t>Shining Light Grace Limited</t>
        </is>
      </c>
      <c r="B888" s="191" t="n">
        <v>1</v>
      </c>
      <c r="C888" s="193" t="n">
        <v>0</v>
      </c>
      <c r="D888" s="194" t="n">
        <v>-0.1</v>
      </c>
      <c r="E888" s="194" t="n">
        <v>-14.2</v>
      </c>
      <c r="F888" s="194" t="n">
        <v>7.3</v>
      </c>
      <c r="G888" s="194" t="n">
        <v>-29.3</v>
      </c>
      <c r="H888" s="194" t="n">
        <v>-14.1</v>
      </c>
      <c r="I888" s="194" t="n">
        <v>7.5</v>
      </c>
      <c r="J888" s="194" t="n">
        <v>-29.2</v>
      </c>
      <c r="K888" s="195" t="inlineStr">
        <is>
          <t>3887 HASHKEY HLDGS</t>
        </is>
      </c>
    </row>
    <row r="889">
      <c r="A889" s="32" t="inlineStr">
        <is>
          <t>Exclusive Depot Limited</t>
        </is>
      </c>
      <c r="B889" s="191" t="n">
        <v>1</v>
      </c>
      <c r="C889" s="193" t="n">
        <v>0</v>
      </c>
      <c r="D889" s="194" t="n">
        <v>-0.1</v>
      </c>
      <c r="E889" s="194" t="n">
        <v>-16.7</v>
      </c>
      <c r="F889" s="194" t="n">
        <v>-36.5</v>
      </c>
      <c r="G889" s="196" t="n"/>
      <c r="H889" s="194" t="n">
        <v>-16.6</v>
      </c>
      <c r="I889" s="194" t="n">
        <v>-36.4</v>
      </c>
      <c r="J889" s="196" t="n"/>
      <c r="K889" s="195" t="inlineStr">
        <is>
          <t>0625 SHEIN-W</t>
        </is>
      </c>
    </row>
    <row r="890">
      <c r="A890" s="32" t="inlineStr">
        <is>
          <t>Glodon (Hongkong) Software Limited</t>
        </is>
      </c>
      <c r="B890" s="191" t="n">
        <v>1</v>
      </c>
      <c r="C890" s="193" t="n">
        <v>0</v>
      </c>
      <c r="D890" s="194" t="n">
        <v>-0.2</v>
      </c>
      <c r="E890" s="194" t="n">
        <v>-9.300000000000001</v>
      </c>
      <c r="F890" s="194" t="n">
        <v>-31.3</v>
      </c>
      <c r="G890" s="194" t="n">
        <v>-42.6</v>
      </c>
      <c r="H890" s="194" t="n">
        <v>-9.1</v>
      </c>
      <c r="I890" s="194" t="n">
        <v>-31.1</v>
      </c>
      <c r="J890" s="194" t="n">
        <v>-42.5</v>
      </c>
      <c r="K890" s="195" t="inlineStr">
        <is>
          <t>2210 BEIJING JIAYE</t>
        </is>
      </c>
    </row>
    <row r="891">
      <c r="A891" s="32" t="inlineStr">
        <is>
          <t>Xinhuanet Co., Ltd</t>
        </is>
      </c>
      <c r="B891" s="191" t="n">
        <v>1</v>
      </c>
      <c r="C891" s="193" t="n">
        <v>0</v>
      </c>
      <c r="D891" s="194" t="n">
        <v>-0.2</v>
      </c>
      <c r="E891" s="194" t="n">
        <v>-0.4</v>
      </c>
      <c r="F891" s="194" t="n">
        <v>-1</v>
      </c>
      <c r="G891" s="194" t="n">
        <v>-0.4</v>
      </c>
      <c r="H891" s="194" t="n">
        <v>-0.2</v>
      </c>
      <c r="I891" s="194" t="n">
        <v>-0.8</v>
      </c>
      <c r="J891" s="194" t="n">
        <v>-0.2</v>
      </c>
      <c r="K891" s="195" t="inlineStr">
        <is>
          <t>2172 MICROPORT NEURO</t>
        </is>
      </c>
    </row>
    <row r="892">
      <c r="A892" s="32" t="inlineStr">
        <is>
          <t>Epsomite Gem Investments Ltd</t>
        </is>
      </c>
      <c r="B892" s="191" t="n">
        <v>1</v>
      </c>
      <c r="C892" s="193" t="n">
        <v>0</v>
      </c>
      <c r="D892" s="194" t="n">
        <v>-0.5</v>
      </c>
      <c r="E892" s="194" t="n">
        <v>-6.9</v>
      </c>
      <c r="F892" s="194" t="n">
        <v>-13</v>
      </c>
      <c r="G892" s="194" t="n">
        <v>-31.9</v>
      </c>
      <c r="H892" s="194" t="n">
        <v>-6.5</v>
      </c>
      <c r="I892" s="194" t="n">
        <v>-12.6</v>
      </c>
      <c r="J892" s="194" t="n">
        <v>-31.6</v>
      </c>
      <c r="K892" s="195" t="inlineStr">
        <is>
          <t>2256 ABBISKO-B</t>
        </is>
      </c>
    </row>
    <row r="893">
      <c r="A893" s="32" t="inlineStr">
        <is>
          <t>Proterra Asia Food Fund 3 VCC</t>
        </is>
      </c>
      <c r="B893" s="191" t="n">
        <v>1</v>
      </c>
      <c r="C893" s="193" t="n">
        <v>0</v>
      </c>
      <c r="D893" s="194" t="n">
        <v>-0.5</v>
      </c>
      <c r="E893" s="194" t="n">
        <v>-5.8</v>
      </c>
      <c r="F893" s="194" t="n">
        <v>-23</v>
      </c>
      <c r="G893" s="194" t="n">
        <v>-47.8</v>
      </c>
      <c r="H893" s="194" t="n">
        <v>-5.3</v>
      </c>
      <c r="I893" s="194" t="n">
        <v>-22.6</v>
      </c>
      <c r="J893" s="194" t="n">
        <v>-47.6</v>
      </c>
      <c r="K893" s="195" t="inlineStr">
        <is>
          <t>2425 AUSTASIA GROUP</t>
        </is>
      </c>
    </row>
    <row r="894">
      <c r="A894" s="32" t="inlineStr">
        <is>
          <t>Well Alliance Investment Holdings Limited</t>
        </is>
      </c>
      <c r="B894" s="191" t="n">
        <v>1</v>
      </c>
      <c r="C894" s="193" t="n">
        <v>0</v>
      </c>
      <c r="D894" s="194" t="n">
        <v>-0.5</v>
      </c>
      <c r="E894" s="194" t="n">
        <v>-5.8</v>
      </c>
      <c r="F894" s="194" t="n">
        <v>-23</v>
      </c>
      <c r="G894" s="194" t="n">
        <v>-47.8</v>
      </c>
      <c r="H894" s="194" t="n">
        <v>-5.3</v>
      </c>
      <c r="I894" s="194" t="n">
        <v>-22.6</v>
      </c>
      <c r="J894" s="194" t="n">
        <v>-47.6</v>
      </c>
      <c r="K894" s="195" t="inlineStr">
        <is>
          <t>2425 AUSTASIA GROUP</t>
        </is>
      </c>
    </row>
    <row r="895">
      <c r="A895" s="32" t="inlineStr">
        <is>
          <t>Admiralty Harbour Growth Opportunities SPC SP1</t>
        </is>
      </c>
      <c r="B895" s="191" t="n">
        <v>1</v>
      </c>
      <c r="C895" s="193" t="n">
        <v>0</v>
      </c>
      <c r="D895" s="194" t="n">
        <v>-1</v>
      </c>
      <c r="E895" s="194" t="n">
        <v>-23.9</v>
      </c>
      <c r="F895" s="196" t="n"/>
      <c r="G895" s="196" t="n"/>
      <c r="H895" s="194" t="n">
        <v>-23.2</v>
      </c>
      <c r="I895" s="196" t="n"/>
      <c r="J895" s="196" t="n"/>
      <c r="K895" s="195" t="inlineStr">
        <is>
          <t>9976 LONGSYS</t>
        </is>
      </c>
    </row>
    <row r="896">
      <c r="A896" s="32" t="inlineStr">
        <is>
          <t>CQTech Limited</t>
        </is>
      </c>
      <c r="B896" s="191" t="n">
        <v>1</v>
      </c>
      <c r="C896" s="193" t="n">
        <v>0</v>
      </c>
      <c r="D896" s="194" t="n">
        <v>-1</v>
      </c>
      <c r="E896" s="194" t="n">
        <v>-23.9</v>
      </c>
      <c r="F896" s="196" t="n"/>
      <c r="G896" s="196" t="n"/>
      <c r="H896" s="194" t="n">
        <v>-23.2</v>
      </c>
      <c r="I896" s="196" t="n"/>
      <c r="J896" s="196" t="n"/>
      <c r="K896" s="195" t="inlineStr">
        <is>
          <t>9976 LONGSYS</t>
        </is>
      </c>
    </row>
    <row r="897">
      <c r="A897" s="32" t="inlineStr">
        <is>
          <t>HOSIN Global (HK) Electronics Co., Limited</t>
        </is>
      </c>
      <c r="B897" s="191" t="n">
        <v>1</v>
      </c>
      <c r="C897" s="193" t="n">
        <v>0</v>
      </c>
      <c r="D897" s="194" t="n">
        <v>-1</v>
      </c>
      <c r="E897" s="194" t="n">
        <v>-23.9</v>
      </c>
      <c r="F897" s="196" t="n"/>
      <c r="G897" s="196" t="n"/>
      <c r="H897" s="194" t="n">
        <v>-23.2</v>
      </c>
      <c r="I897" s="196" t="n"/>
      <c r="J897" s="196" t="n"/>
      <c r="K897" s="195" t="inlineStr">
        <is>
          <t>9976 LONGSYS</t>
        </is>
      </c>
    </row>
    <row r="898">
      <c r="A898" s="32" t="inlineStr">
        <is>
          <t>Ju Yuen (Hong Kong) International Limited</t>
        </is>
      </c>
      <c r="B898" s="191" t="n">
        <v>1</v>
      </c>
      <c r="C898" s="193" t="n">
        <v>0</v>
      </c>
      <c r="D898" s="194" t="n">
        <v>-1</v>
      </c>
      <c r="E898" s="194" t="n">
        <v>-23.9</v>
      </c>
      <c r="F898" s="196" t="n"/>
      <c r="G898" s="196" t="n"/>
      <c r="H898" s="194" t="n">
        <v>-23.2</v>
      </c>
      <c r="I898" s="196" t="n"/>
      <c r="J898" s="196" t="n"/>
      <c r="K898" s="195" t="inlineStr">
        <is>
          <t>9976 LONGSYS</t>
        </is>
      </c>
    </row>
    <row r="899">
      <c r="A899" s="32" t="inlineStr">
        <is>
          <t>SDMC Technology (Hong Kong) Limited</t>
        </is>
      </c>
      <c r="B899" s="191" t="n">
        <v>1</v>
      </c>
      <c r="C899" s="193" t="n">
        <v>0</v>
      </c>
      <c r="D899" s="194" t="n">
        <v>-1</v>
      </c>
      <c r="E899" s="194" t="n">
        <v>-23.9</v>
      </c>
      <c r="F899" s="196" t="n"/>
      <c r="G899" s="196" t="n"/>
      <c r="H899" s="194" t="n">
        <v>-23.2</v>
      </c>
      <c r="I899" s="196" t="n"/>
      <c r="J899" s="196" t="n"/>
      <c r="K899" s="195" t="inlineStr">
        <is>
          <t>9976 LONGSYS</t>
        </is>
      </c>
    </row>
    <row r="900">
      <c r="A900" s="32" t="inlineStr">
        <is>
          <t>Transsion International Limited</t>
        </is>
      </c>
      <c r="B900" s="191" t="n">
        <v>1</v>
      </c>
      <c r="C900" s="193" t="n">
        <v>0</v>
      </c>
      <c r="D900" s="194" t="n">
        <v>-1</v>
      </c>
      <c r="E900" s="194" t="n">
        <v>-23.9</v>
      </c>
      <c r="F900" s="196" t="n"/>
      <c r="G900" s="196" t="n"/>
      <c r="H900" s="194" t="n">
        <v>-23.2</v>
      </c>
      <c r="I900" s="196" t="n"/>
      <c r="J900" s="196" t="n"/>
      <c r="K900" s="195" t="inlineStr">
        <is>
          <t>9976 LONGSYS</t>
        </is>
      </c>
    </row>
    <row r="901">
      <c r="A901" s="32" t="inlineStr">
        <is>
          <t>YuFeng Financial Group Limited</t>
        </is>
      </c>
      <c r="B901" s="191" t="n">
        <v>1</v>
      </c>
      <c r="C901" s="193" t="n">
        <v>0</v>
      </c>
      <c r="D901" s="194" t="n">
        <v>-1</v>
      </c>
      <c r="E901" s="194" t="n">
        <v>-23.9</v>
      </c>
      <c r="F901" s="196" t="n"/>
      <c r="G901" s="196" t="n"/>
      <c r="H901" s="194" t="n">
        <v>-23.2</v>
      </c>
      <c r="I901" s="196" t="n"/>
      <c r="J901" s="196" t="n"/>
      <c r="K901" s="195" t="inlineStr">
        <is>
          <t>9976 LONGSYS</t>
        </is>
      </c>
    </row>
    <row r="902">
      <c r="A902" s="32" t="inlineStr">
        <is>
          <t>58.com Holdings Inc</t>
        </is>
      </c>
      <c r="B902" s="191" t="n">
        <v>1</v>
      </c>
      <c r="C902" s="193" t="n">
        <v>0</v>
      </c>
      <c r="D902" s="194" t="n">
        <v>-1.1</v>
      </c>
      <c r="E902" s="194" t="n">
        <v>-1.1</v>
      </c>
      <c r="F902" s="194" t="n">
        <v>-3</v>
      </c>
      <c r="G902" s="194" t="n">
        <v>-0.8</v>
      </c>
      <c r="H902" s="194" t="n">
        <v>0</v>
      </c>
      <c r="I902" s="194" t="n">
        <v>-1.9</v>
      </c>
      <c r="J902" s="194" t="n">
        <v>0.3</v>
      </c>
      <c r="K902" s="195" t="inlineStr">
        <is>
          <t>2205 KANGQIAO SER</t>
        </is>
      </c>
    </row>
    <row r="903">
      <c r="A903" s="32" t="inlineStr">
        <is>
          <t>Autobio Group Co., Ltd</t>
        </is>
      </c>
      <c r="B903" s="191" t="n">
        <v>1</v>
      </c>
      <c r="C903" s="193" t="n">
        <v>0</v>
      </c>
      <c r="D903" s="194" t="n">
        <v>-1.1</v>
      </c>
      <c r="E903" s="194" t="n">
        <v>-1.1</v>
      </c>
      <c r="F903" s="194" t="n">
        <v>-3</v>
      </c>
      <c r="G903" s="194" t="n">
        <v>-0.8</v>
      </c>
      <c r="H903" s="194" t="n">
        <v>0</v>
      </c>
      <c r="I903" s="194" t="n">
        <v>-1.9</v>
      </c>
      <c r="J903" s="194" t="n">
        <v>0.3</v>
      </c>
      <c r="K903" s="195" t="inlineStr">
        <is>
          <t>2205 KANGQIAO SER</t>
        </is>
      </c>
    </row>
    <row r="904">
      <c r="A904" s="32" t="inlineStr">
        <is>
          <t>Changsha Yufeng Technology Co., Ltd</t>
        </is>
      </c>
      <c r="B904" s="191" t="n">
        <v>1</v>
      </c>
      <c r="C904" s="193" t="n">
        <v>0</v>
      </c>
      <c r="D904" s="194" t="n">
        <v>-1.1</v>
      </c>
      <c r="E904" s="194" t="n">
        <v>-6.7</v>
      </c>
      <c r="F904" s="194" t="n">
        <v>-16.1</v>
      </c>
      <c r="G904" s="194" t="n">
        <v>-17.7</v>
      </c>
      <c r="H904" s="194" t="n">
        <v>-5.7</v>
      </c>
      <c r="I904" s="194" t="n">
        <v>-15.2</v>
      </c>
      <c r="J904" s="194" t="n">
        <v>-16.8</v>
      </c>
      <c r="K904" s="195" t="inlineStr">
        <is>
          <t>1187 COFOE MEDICAL</t>
        </is>
      </c>
    </row>
    <row r="905">
      <c r="A905" s="32" t="inlineStr">
        <is>
          <t>Mr. Dai Junan</t>
        </is>
      </c>
      <c r="B905" s="191" t="n">
        <v>1</v>
      </c>
      <c r="C905" s="193" t="n">
        <v>0</v>
      </c>
      <c r="D905" s="194" t="n">
        <v>-1.1</v>
      </c>
      <c r="E905" s="194" t="n">
        <v>-6.7</v>
      </c>
      <c r="F905" s="194" t="n">
        <v>-16.1</v>
      </c>
      <c r="G905" s="194" t="n">
        <v>-17.7</v>
      </c>
      <c r="H905" s="194" t="n">
        <v>-5.7</v>
      </c>
      <c r="I905" s="194" t="n">
        <v>-15.2</v>
      </c>
      <c r="J905" s="194" t="n">
        <v>-16.8</v>
      </c>
      <c r="K905" s="195" t="inlineStr">
        <is>
          <t>1187 COFOE MEDICAL</t>
        </is>
      </c>
    </row>
    <row r="906">
      <c r="A906" s="32" t="inlineStr">
        <is>
          <t>Mr. Huang Xuelin</t>
        </is>
      </c>
      <c r="B906" s="191" t="n">
        <v>1</v>
      </c>
      <c r="C906" s="193" t="n">
        <v>0</v>
      </c>
      <c r="D906" s="194" t="n">
        <v>-1.1</v>
      </c>
      <c r="E906" s="194" t="n">
        <v>-6.7</v>
      </c>
      <c r="F906" s="194" t="n">
        <v>-16.1</v>
      </c>
      <c r="G906" s="194" t="n">
        <v>-17.7</v>
      </c>
      <c r="H906" s="194" t="n">
        <v>-5.7</v>
      </c>
      <c r="I906" s="194" t="n">
        <v>-15.2</v>
      </c>
      <c r="J906" s="194" t="n">
        <v>-16.8</v>
      </c>
      <c r="K906" s="195" t="inlineStr">
        <is>
          <t>1187 COFOE MEDICAL</t>
        </is>
      </c>
    </row>
    <row r="907">
      <c r="A907" s="32" t="inlineStr">
        <is>
          <t>Ms. Lu Qinchao</t>
        </is>
      </c>
      <c r="B907" s="191" t="n">
        <v>1</v>
      </c>
      <c r="C907" s="193" t="n">
        <v>0</v>
      </c>
      <c r="D907" s="194" t="n">
        <v>-1.1</v>
      </c>
      <c r="E907" s="194" t="n">
        <v>-6.7</v>
      </c>
      <c r="F907" s="194" t="n">
        <v>-16.1</v>
      </c>
      <c r="G907" s="194" t="n">
        <v>-17.7</v>
      </c>
      <c r="H907" s="194" t="n">
        <v>-5.7</v>
      </c>
      <c r="I907" s="194" t="n">
        <v>-15.2</v>
      </c>
      <c r="J907" s="194" t="n">
        <v>-16.8</v>
      </c>
      <c r="K907" s="195" t="inlineStr">
        <is>
          <t>1187 COFOE MEDICAL</t>
        </is>
      </c>
    </row>
    <row r="908">
      <c r="A908" s="32" t="inlineStr">
        <is>
          <t>Sinohealth Technology Holdings Limited</t>
        </is>
      </c>
      <c r="B908" s="191" t="n">
        <v>1</v>
      </c>
      <c r="C908" s="193" t="n">
        <v>0</v>
      </c>
      <c r="D908" s="194" t="n">
        <v>-1.1</v>
      </c>
      <c r="E908" s="194" t="n">
        <v>-6.7</v>
      </c>
      <c r="F908" s="194" t="n">
        <v>-16.1</v>
      </c>
      <c r="G908" s="194" t="n">
        <v>-17.7</v>
      </c>
      <c r="H908" s="194" t="n">
        <v>-5.7</v>
      </c>
      <c r="I908" s="194" t="n">
        <v>-15.2</v>
      </c>
      <c r="J908" s="194" t="n">
        <v>-16.8</v>
      </c>
      <c r="K908" s="195" t="inlineStr">
        <is>
          <t>1187 COFOE MEDICAL</t>
        </is>
      </c>
    </row>
    <row r="909">
      <c r="A909" s="32" t="inlineStr">
        <is>
          <t>E FUND E FUND MANAGEMENT CO., LTD</t>
        </is>
      </c>
      <c r="B909" s="191" t="n">
        <v>1</v>
      </c>
      <c r="C909" s="193" t="n">
        <v>0</v>
      </c>
      <c r="D909" s="194" t="n">
        <v>-1.8</v>
      </c>
      <c r="E909" s="194" t="n">
        <v>9.9</v>
      </c>
      <c r="F909" s="194" t="n">
        <v>2.6</v>
      </c>
      <c r="G909" s="196" t="n"/>
      <c r="H909" s="194" t="n">
        <v>11.9</v>
      </c>
      <c r="I909" s="194" t="n">
        <v>4.5</v>
      </c>
      <c r="J909" s="196" t="n"/>
      <c r="K909" s="195" t="inlineStr">
        <is>
          <t>1377 DTECH</t>
        </is>
      </c>
    </row>
    <row r="910">
      <c r="A910" s="32" t="inlineStr">
        <is>
          <t>IFUND SPC — Vision IX SP</t>
        </is>
      </c>
      <c r="B910" s="191" t="n">
        <v>1</v>
      </c>
      <c r="C910" s="193" t="n">
        <v>0</v>
      </c>
      <c r="D910" s="194" t="n">
        <v>-1.8</v>
      </c>
      <c r="E910" s="194" t="n">
        <v>9.9</v>
      </c>
      <c r="F910" s="194" t="n">
        <v>2.6</v>
      </c>
      <c r="G910" s="196" t="n"/>
      <c r="H910" s="194" t="n">
        <v>11.9</v>
      </c>
      <c r="I910" s="194" t="n">
        <v>4.5</v>
      </c>
      <c r="J910" s="196" t="n"/>
      <c r="K910" s="195" t="inlineStr">
        <is>
          <t>1377 DTECH</t>
        </is>
      </c>
    </row>
    <row r="911">
      <c r="A911" s="32" t="inlineStr">
        <is>
          <t>DYNAMIC HOLDING CO., LTD</t>
        </is>
      </c>
      <c r="B911" s="191" t="n">
        <v>1</v>
      </c>
      <c r="C911" s="193" t="n">
        <v>0</v>
      </c>
      <c r="D911" s="194" t="n">
        <v>-1.8</v>
      </c>
      <c r="E911" s="194" t="n">
        <v>9.9</v>
      </c>
      <c r="F911" s="194" t="n">
        <v>2.6</v>
      </c>
      <c r="G911" s="196" t="n"/>
      <c r="H911" s="194" t="n">
        <v>11.9</v>
      </c>
      <c r="I911" s="194" t="n">
        <v>4.5</v>
      </c>
      <c r="J911" s="196" t="n"/>
      <c r="K911" s="195" t="inlineStr">
        <is>
          <t>1377 DTECH</t>
        </is>
      </c>
    </row>
    <row r="912">
      <c r="A912" s="32" t="inlineStr">
        <is>
          <t>Indigo Rainbow Limited</t>
        </is>
      </c>
      <c r="B912" s="191" t="n">
        <v>1</v>
      </c>
      <c r="C912" s="193" t="n">
        <v>0</v>
      </c>
      <c r="D912" s="194" t="n">
        <v>-1.9</v>
      </c>
      <c r="E912" s="194" t="n">
        <v>0</v>
      </c>
      <c r="F912" s="194" t="n">
        <v>7.7</v>
      </c>
      <c r="G912" s="194" t="n">
        <v>3.4</v>
      </c>
      <c r="H912" s="194" t="n">
        <v>1.9</v>
      </c>
      <c r="I912" s="194" t="n">
        <v>9.800000000000001</v>
      </c>
      <c r="J912" s="194" t="n">
        <v>5.4</v>
      </c>
      <c r="K912" s="195" t="inlineStr">
        <is>
          <t>2510 TS LINES</t>
        </is>
      </c>
    </row>
    <row r="913">
      <c r="A913" s="32" t="inlineStr">
        <is>
          <t>Hung Chi-Li</t>
        </is>
      </c>
      <c r="B913" s="191" t="n">
        <v>1</v>
      </c>
      <c r="C913" s="193" t="n">
        <v>0</v>
      </c>
      <c r="D913" s="194" t="n">
        <v>-1.9</v>
      </c>
      <c r="E913" s="194" t="n">
        <v>0</v>
      </c>
      <c r="F913" s="194" t="n">
        <v>7.7</v>
      </c>
      <c r="G913" s="194" t="n">
        <v>3.4</v>
      </c>
      <c r="H913" s="194" t="n">
        <v>1.9</v>
      </c>
      <c r="I913" s="194" t="n">
        <v>9.800000000000001</v>
      </c>
      <c r="J913" s="194" t="n">
        <v>5.4</v>
      </c>
      <c r="K913" s="195" t="inlineStr">
        <is>
          <t>2510 TS LINES</t>
        </is>
      </c>
    </row>
    <row r="914">
      <c r="A914" s="32" t="inlineStr">
        <is>
          <t>Worldwide Logistics Holding HK Limited</t>
        </is>
      </c>
      <c r="B914" s="191" t="n">
        <v>1</v>
      </c>
      <c r="C914" s="193" t="n">
        <v>0</v>
      </c>
      <c r="D914" s="194" t="n">
        <v>-1.9</v>
      </c>
      <c r="E914" s="194" t="n">
        <v>0</v>
      </c>
      <c r="F914" s="194" t="n">
        <v>7.7</v>
      </c>
      <c r="G914" s="194" t="n">
        <v>3.4</v>
      </c>
      <c r="H914" s="194" t="n">
        <v>1.9</v>
      </c>
      <c r="I914" s="194" t="n">
        <v>9.800000000000001</v>
      </c>
      <c r="J914" s="194" t="n">
        <v>5.4</v>
      </c>
      <c r="K914" s="195" t="inlineStr">
        <is>
          <t>2510 TS LINES</t>
        </is>
      </c>
    </row>
    <row r="915">
      <c r="A915" s="32" t="inlineStr">
        <is>
          <t>Metro Shine Group Limited</t>
        </is>
      </c>
      <c r="B915" s="191" t="n">
        <v>1</v>
      </c>
      <c r="C915" s="193" t="n">
        <v>0</v>
      </c>
      <c r="D915" s="194" t="n">
        <v>-1.9</v>
      </c>
      <c r="E915" s="194" t="n">
        <v>0</v>
      </c>
      <c r="F915" s="194" t="n">
        <v>7.7</v>
      </c>
      <c r="G915" s="194" t="n">
        <v>3.4</v>
      </c>
      <c r="H915" s="194" t="n">
        <v>1.9</v>
      </c>
      <c r="I915" s="194" t="n">
        <v>9.800000000000001</v>
      </c>
      <c r="J915" s="194" t="n">
        <v>5.4</v>
      </c>
      <c r="K915" s="195" t="inlineStr">
        <is>
          <t>2510 TS LINES</t>
        </is>
      </c>
    </row>
    <row r="916">
      <c r="A916" s="32" t="inlineStr">
        <is>
          <t>Wang Yi-Fen</t>
        </is>
      </c>
      <c r="B916" s="191" t="n">
        <v>1</v>
      </c>
      <c r="C916" s="193" t="n">
        <v>0</v>
      </c>
      <c r="D916" s="194" t="n">
        <v>-1.9</v>
      </c>
      <c r="E916" s="194" t="n">
        <v>0</v>
      </c>
      <c r="F916" s="194" t="n">
        <v>7.7</v>
      </c>
      <c r="G916" s="194" t="n">
        <v>3.4</v>
      </c>
      <c r="H916" s="194" t="n">
        <v>1.9</v>
      </c>
      <c r="I916" s="194" t="n">
        <v>9.800000000000001</v>
      </c>
      <c r="J916" s="194" t="n">
        <v>5.4</v>
      </c>
      <c r="K916" s="195" t="inlineStr">
        <is>
          <t>2510 TS LINES</t>
        </is>
      </c>
    </row>
    <row r="917">
      <c r="A917" s="32" t="inlineStr">
        <is>
          <t>Crane Movement Investment Limited</t>
        </is>
      </c>
      <c r="B917" s="191" t="n">
        <v>1</v>
      </c>
      <c r="C917" s="193" t="n">
        <v>0</v>
      </c>
      <c r="D917" s="194" t="n">
        <v>-1.9</v>
      </c>
      <c r="E917" s="194" t="n">
        <v>0</v>
      </c>
      <c r="F917" s="194" t="n">
        <v>7.7</v>
      </c>
      <c r="G917" s="194" t="n">
        <v>3.4</v>
      </c>
      <c r="H917" s="194" t="n">
        <v>1.9</v>
      </c>
      <c r="I917" s="194" t="n">
        <v>9.800000000000001</v>
      </c>
      <c r="J917" s="194" t="n">
        <v>5.4</v>
      </c>
      <c r="K917" s="195" t="inlineStr">
        <is>
          <t>2510 TS LINES</t>
        </is>
      </c>
    </row>
    <row r="918">
      <c r="A918" s="32" t="inlineStr">
        <is>
          <t>Invus</t>
        </is>
      </c>
      <c r="B918" s="191" t="n">
        <v>1</v>
      </c>
      <c r="C918" s="193" t="n">
        <v>0</v>
      </c>
      <c r="D918" s="194" t="n">
        <v>-1.9</v>
      </c>
      <c r="E918" s="194" t="n">
        <v>-21</v>
      </c>
      <c r="F918" s="194" t="n">
        <v>-20.9</v>
      </c>
      <c r="G918" s="196" t="n"/>
      <c r="H918" s="194" t="n">
        <v>-19.5</v>
      </c>
      <c r="I918" s="194" t="n">
        <v>-19.3</v>
      </c>
      <c r="J918" s="196" t="n"/>
      <c r="K918" s="195" t="inlineStr">
        <is>
          <t>9615 MECH-MIND ROBOT</t>
        </is>
      </c>
    </row>
    <row r="919">
      <c r="A919" s="32" t="inlineStr">
        <is>
          <t>JPMIMI</t>
        </is>
      </c>
      <c r="B919" s="191" t="n">
        <v>1</v>
      </c>
      <c r="C919" s="193" t="n">
        <v>0</v>
      </c>
      <c r="D919" s="194" t="n">
        <v>-2</v>
      </c>
      <c r="E919" s="194" t="n">
        <v>17.4</v>
      </c>
      <c r="F919" s="194" t="n">
        <v>6.1</v>
      </c>
      <c r="G919" s="196" t="n"/>
      <c r="H919" s="194" t="n">
        <v>19.9</v>
      </c>
      <c r="I919" s="194" t="n">
        <v>8.300000000000001</v>
      </c>
      <c r="J919" s="196" t="n"/>
      <c r="K919" s="195" t="inlineStr">
        <is>
          <t>3308 ZJ INNOLIGHT</t>
        </is>
      </c>
    </row>
    <row r="920">
      <c r="A920" s="32" t="inlineStr">
        <is>
          <t>YF Capital</t>
        </is>
      </c>
      <c r="B920" s="191" t="n">
        <v>1</v>
      </c>
      <c r="C920" s="193" t="n">
        <v>0</v>
      </c>
      <c r="D920" s="194" t="n">
        <v>-2</v>
      </c>
      <c r="E920" s="194" t="n">
        <v>17.4</v>
      </c>
      <c r="F920" s="194" t="n">
        <v>6.1</v>
      </c>
      <c r="G920" s="196" t="n"/>
      <c r="H920" s="194" t="n">
        <v>19.9</v>
      </c>
      <c r="I920" s="194" t="n">
        <v>8.300000000000001</v>
      </c>
      <c r="J920" s="196" t="n"/>
      <c r="K920" s="195" t="inlineStr">
        <is>
          <t>3308 ZJ INNOLIGHT</t>
        </is>
      </c>
    </row>
    <row r="921">
      <c r="A921" s="32" t="inlineStr">
        <is>
          <t>ADIA</t>
        </is>
      </c>
      <c r="B921" s="191" t="n">
        <v>1</v>
      </c>
      <c r="C921" s="193" t="n">
        <v>0</v>
      </c>
      <c r="D921" s="194" t="n">
        <v>-2</v>
      </c>
      <c r="E921" s="194" t="n">
        <v>17.4</v>
      </c>
      <c r="F921" s="194" t="n">
        <v>6.1</v>
      </c>
      <c r="G921" s="196" t="n"/>
      <c r="H921" s="194" t="n">
        <v>19.9</v>
      </c>
      <c r="I921" s="194" t="n">
        <v>8.300000000000001</v>
      </c>
      <c r="J921" s="196" t="n"/>
      <c r="K921" s="195" t="inlineStr">
        <is>
          <t>3308 ZJ INNOLIGHT</t>
        </is>
      </c>
    </row>
    <row r="922">
      <c r="A922" s="32" t="inlineStr">
        <is>
          <t>Wellington</t>
        </is>
      </c>
      <c r="B922" s="191" t="n">
        <v>1</v>
      </c>
      <c r="C922" s="193" t="n">
        <v>0</v>
      </c>
      <c r="D922" s="194" t="n">
        <v>-2</v>
      </c>
      <c r="E922" s="194" t="n">
        <v>17.4</v>
      </c>
      <c r="F922" s="194" t="n">
        <v>6.1</v>
      </c>
      <c r="G922" s="196" t="n"/>
      <c r="H922" s="194" t="n">
        <v>19.9</v>
      </c>
      <c r="I922" s="194" t="n">
        <v>8.300000000000001</v>
      </c>
      <c r="J922" s="196" t="n"/>
      <c r="K922" s="195" t="inlineStr">
        <is>
          <t>3308 ZJ INNOLIGHT</t>
        </is>
      </c>
    </row>
    <row r="923">
      <c r="A923" s="32" t="inlineStr">
        <is>
          <t>Bain Capital</t>
        </is>
      </c>
      <c r="B923" s="191" t="n">
        <v>1</v>
      </c>
      <c r="C923" s="193" t="n">
        <v>0</v>
      </c>
      <c r="D923" s="194" t="n">
        <v>-2</v>
      </c>
      <c r="E923" s="194" t="n">
        <v>17.4</v>
      </c>
      <c r="F923" s="194" t="n">
        <v>6.1</v>
      </c>
      <c r="G923" s="196" t="n"/>
      <c r="H923" s="194" t="n">
        <v>19.9</v>
      </c>
      <c r="I923" s="194" t="n">
        <v>8.300000000000001</v>
      </c>
      <c r="J923" s="196" t="n"/>
      <c r="K923" s="195" t="inlineStr">
        <is>
          <t>3308 ZJ INNOLIGHT</t>
        </is>
      </c>
    </row>
    <row r="924">
      <c r="A924" s="32" t="inlineStr">
        <is>
          <t>Tairen</t>
        </is>
      </c>
      <c r="B924" s="191" t="n">
        <v>1</v>
      </c>
      <c r="C924" s="193" t="n">
        <v>0</v>
      </c>
      <c r="D924" s="194" t="n">
        <v>-2</v>
      </c>
      <c r="E924" s="194" t="n">
        <v>17.4</v>
      </c>
      <c r="F924" s="194" t="n">
        <v>6.1</v>
      </c>
      <c r="G924" s="196" t="n"/>
      <c r="H924" s="194" t="n">
        <v>19.9</v>
      </c>
      <c r="I924" s="194" t="n">
        <v>8.300000000000001</v>
      </c>
      <c r="J924" s="196" t="n"/>
      <c r="K924" s="195" t="inlineStr">
        <is>
          <t>3308 ZJ INNOLIGHT</t>
        </is>
      </c>
    </row>
    <row r="925">
      <c r="A925" s="32" t="inlineStr">
        <is>
          <t>CP Black Dragon</t>
        </is>
      </c>
      <c r="B925" s="191" t="n">
        <v>1</v>
      </c>
      <c r="C925" s="193" t="n">
        <v>0</v>
      </c>
      <c r="D925" s="194" t="n">
        <v>-2</v>
      </c>
      <c r="E925" s="194" t="n">
        <v>17.4</v>
      </c>
      <c r="F925" s="194" t="n">
        <v>6.1</v>
      </c>
      <c r="G925" s="196" t="n"/>
      <c r="H925" s="194" t="n">
        <v>19.9</v>
      </c>
      <c r="I925" s="194" t="n">
        <v>8.300000000000001</v>
      </c>
      <c r="J925" s="196" t="n"/>
      <c r="K925" s="195" t="inlineStr">
        <is>
          <t>3308 ZJ INNOLIGHT</t>
        </is>
      </c>
    </row>
    <row r="926">
      <c r="A926" s="32" t="inlineStr">
        <is>
          <t>CTFE</t>
        </is>
      </c>
      <c r="B926" s="191" t="n">
        <v>1</v>
      </c>
      <c r="C926" s="193" t="n">
        <v>0</v>
      </c>
      <c r="D926" s="194" t="n">
        <v>-2</v>
      </c>
      <c r="E926" s="194" t="n">
        <v>17.4</v>
      </c>
      <c r="F926" s="194" t="n">
        <v>6.1</v>
      </c>
      <c r="G926" s="196" t="n"/>
      <c r="H926" s="194" t="n">
        <v>19.9</v>
      </c>
      <c r="I926" s="194" t="n">
        <v>8.300000000000001</v>
      </c>
      <c r="J926" s="196" t="n"/>
      <c r="K926" s="195" t="inlineStr">
        <is>
          <t>3308 ZJ INNOLIGHT</t>
        </is>
      </c>
    </row>
    <row r="927">
      <c r="A927" s="32" t="inlineStr">
        <is>
          <t>XINGTAI HOLDING COMPANY (HONG KONG) LIMITED</t>
        </is>
      </c>
      <c r="B927" s="191" t="n">
        <v>1</v>
      </c>
      <c r="C927" s="193" t="n">
        <v>0</v>
      </c>
      <c r="D927" s="194" t="n">
        <v>-2.1</v>
      </c>
      <c r="E927" s="194" t="n">
        <v>-1.4</v>
      </c>
      <c r="F927" s="194" t="n">
        <v>-4.5</v>
      </c>
      <c r="G927" s="194" t="n">
        <v>-6.9</v>
      </c>
      <c r="H927" s="194" t="n">
        <v>0.7</v>
      </c>
      <c r="I927" s="194" t="n">
        <v>-2.5</v>
      </c>
      <c r="J927" s="194" t="n">
        <v>-4.9</v>
      </c>
      <c r="K927" s="195" t="inlineStr">
        <is>
          <t>2482 LOGORY</t>
        </is>
      </c>
    </row>
    <row r="928">
      <c r="A928" s="32" t="inlineStr">
        <is>
          <t>NetEase, Inc</t>
        </is>
      </c>
      <c r="B928" s="191" t="n">
        <v>1</v>
      </c>
      <c r="C928" s="193" t="n">
        <v>0</v>
      </c>
      <c r="D928" s="194" t="n">
        <v>-2.5</v>
      </c>
      <c r="E928" s="194" t="n">
        <v>-2.7</v>
      </c>
      <c r="F928" s="194" t="n">
        <v>-27</v>
      </c>
      <c r="G928" s="194" t="n">
        <v>-55.1</v>
      </c>
      <c r="H928" s="194" t="n">
        <v>-0.2</v>
      </c>
      <c r="I928" s="194" t="n">
        <v>-25.2</v>
      </c>
      <c r="J928" s="194" t="n">
        <v>-54</v>
      </c>
      <c r="K928" s="195" t="inlineStr">
        <is>
          <t>9899 CLOUD VILLAGE</t>
        </is>
      </c>
    </row>
    <row r="929">
      <c r="A929" s="32" t="inlineStr">
        <is>
          <t>Orbis Investment Management Limited</t>
        </is>
      </c>
      <c r="B929" s="191" t="n">
        <v>1</v>
      </c>
      <c r="C929" s="193" t="n">
        <v>0</v>
      </c>
      <c r="D929" s="194" t="n">
        <v>-2.5</v>
      </c>
      <c r="E929" s="194" t="n">
        <v>-2.7</v>
      </c>
      <c r="F929" s="194" t="n">
        <v>-27</v>
      </c>
      <c r="G929" s="194" t="n">
        <v>-55.1</v>
      </c>
      <c r="H929" s="194" t="n">
        <v>-0.2</v>
      </c>
      <c r="I929" s="194" t="n">
        <v>-25.2</v>
      </c>
      <c r="J929" s="194" t="n">
        <v>-54</v>
      </c>
      <c r="K929" s="195" t="inlineStr">
        <is>
          <t>9899 CLOUD VILLAGE</t>
        </is>
      </c>
    </row>
    <row r="930">
      <c r="A930" s="32" t="inlineStr">
        <is>
          <t>Sony Music Entertainment</t>
        </is>
      </c>
      <c r="B930" s="191" t="n">
        <v>1</v>
      </c>
      <c r="C930" s="193" t="n">
        <v>0</v>
      </c>
      <c r="D930" s="194" t="n">
        <v>-2.5</v>
      </c>
      <c r="E930" s="194" t="n">
        <v>-2.7</v>
      </c>
      <c r="F930" s="194" t="n">
        <v>-27</v>
      </c>
      <c r="G930" s="194" t="n">
        <v>-55.1</v>
      </c>
      <c r="H930" s="194" t="n">
        <v>-0.2</v>
      </c>
      <c r="I930" s="194" t="n">
        <v>-25.2</v>
      </c>
      <c r="J930" s="194" t="n">
        <v>-54</v>
      </c>
      <c r="K930" s="195" t="inlineStr">
        <is>
          <t>9899 CLOUD VILLAGE</t>
        </is>
      </c>
    </row>
    <row r="931">
      <c r="A931" s="32" t="inlineStr">
        <is>
          <t>Oceanpine Capital Management Limited</t>
        </is>
      </c>
      <c r="B931" s="191" t="n">
        <v>1</v>
      </c>
      <c r="C931" s="193" t="n">
        <v>0</v>
      </c>
      <c r="D931" s="194" t="n">
        <v>-3</v>
      </c>
      <c r="E931" s="194" t="n">
        <v>-22.6</v>
      </c>
      <c r="F931" s="194" t="n">
        <v>-16.9</v>
      </c>
      <c r="G931" s="194" t="n">
        <v>-17.8</v>
      </c>
      <c r="H931" s="194" t="n">
        <v>-20.2</v>
      </c>
      <c r="I931" s="194" t="n">
        <v>-14.3</v>
      </c>
      <c r="J931" s="194" t="n">
        <v>-15.3</v>
      </c>
      <c r="K931" s="195" t="inlineStr">
        <is>
          <t>2197 CLOVER BIO-B</t>
        </is>
      </c>
    </row>
    <row r="932">
      <c r="A932" s="32" t="inlineStr">
        <is>
          <t>Rock Springs Capital Master Fund LP</t>
        </is>
      </c>
      <c r="B932" s="191" t="n">
        <v>1</v>
      </c>
      <c r="C932" s="193" t="n">
        <v>0</v>
      </c>
      <c r="D932" s="194" t="n">
        <v>-3</v>
      </c>
      <c r="E932" s="194" t="n">
        <v>-22.6</v>
      </c>
      <c r="F932" s="194" t="n">
        <v>-16.9</v>
      </c>
      <c r="G932" s="194" t="n">
        <v>-17.8</v>
      </c>
      <c r="H932" s="194" t="n">
        <v>-20.2</v>
      </c>
      <c r="I932" s="194" t="n">
        <v>-14.3</v>
      </c>
      <c r="J932" s="194" t="n">
        <v>-15.3</v>
      </c>
      <c r="K932" s="195" t="inlineStr">
        <is>
          <t>2197 CLOVER BIO-B</t>
        </is>
      </c>
    </row>
    <row r="933">
      <c r="A933" s="32" t="inlineStr">
        <is>
          <t>Toroa Master Fund</t>
        </is>
      </c>
      <c r="B933" s="191" t="n">
        <v>1</v>
      </c>
      <c r="C933" s="193" t="n">
        <v>0</v>
      </c>
      <c r="D933" s="194" t="n">
        <v>-3</v>
      </c>
      <c r="E933" s="194" t="n">
        <v>-22.6</v>
      </c>
      <c r="F933" s="194" t="n">
        <v>-16.9</v>
      </c>
      <c r="G933" s="194" t="n">
        <v>-17.8</v>
      </c>
      <c r="H933" s="194" t="n">
        <v>-20.2</v>
      </c>
      <c r="I933" s="194" t="n">
        <v>-14.3</v>
      </c>
      <c r="J933" s="194" t="n">
        <v>-15.3</v>
      </c>
      <c r="K933" s="195" t="inlineStr">
        <is>
          <t>2197 CLOVER BIO-B</t>
        </is>
      </c>
    </row>
    <row r="934">
      <c r="A934" s="32" t="inlineStr">
        <is>
          <t>GAIG</t>
        </is>
      </c>
      <c r="B934" s="191" t="n">
        <v>1</v>
      </c>
      <c r="C934" s="193" t="n">
        <v>0</v>
      </c>
      <c r="D934" s="194" t="n">
        <v>-3.1</v>
      </c>
      <c r="E934" s="194" t="n">
        <v>-20.6</v>
      </c>
      <c r="F934" s="194" t="n">
        <v>-16.6</v>
      </c>
      <c r="G934" s="194" t="n">
        <v>-34.6</v>
      </c>
      <c r="H934" s="194" t="n">
        <v>-18</v>
      </c>
      <c r="I934" s="194" t="n">
        <v>-13.9</v>
      </c>
      <c r="J934" s="194" t="n">
        <v>-32.5</v>
      </c>
      <c r="K934" s="195" t="inlineStr">
        <is>
          <t>9680 CHENQI TECH</t>
        </is>
      </c>
    </row>
    <row r="935">
      <c r="A935" s="32" t="inlineStr">
        <is>
          <t>An existing Shareholder Hongkong Pony AI Limited</t>
        </is>
      </c>
      <c r="B935" s="191" t="n">
        <v>1</v>
      </c>
      <c r="C935" s="193" t="n">
        <v>0</v>
      </c>
      <c r="D935" s="194" t="n">
        <v>-3.1</v>
      </c>
      <c r="E935" s="194" t="n">
        <v>-20.6</v>
      </c>
      <c r="F935" s="194" t="n">
        <v>-16.6</v>
      </c>
      <c r="G935" s="194" t="n">
        <v>-34.6</v>
      </c>
      <c r="H935" s="194" t="n">
        <v>-18</v>
      </c>
      <c r="I935" s="194" t="n">
        <v>-13.9</v>
      </c>
      <c r="J935" s="194" t="n">
        <v>-32.5</v>
      </c>
      <c r="K935" s="195" t="inlineStr">
        <is>
          <t>9680 CHENQI TECH</t>
        </is>
      </c>
    </row>
    <row r="936">
      <c r="A936" s="32" t="inlineStr">
        <is>
          <t>TradeGo FinTech Limited</t>
        </is>
      </c>
      <c r="B936" s="191" t="n">
        <v>1</v>
      </c>
      <c r="C936" s="193" t="n">
        <v>0</v>
      </c>
      <c r="D936" s="194" t="n">
        <v>-4.1</v>
      </c>
      <c r="E936" s="194" t="n">
        <v>3.6</v>
      </c>
      <c r="F936" s="194" t="n">
        <v>48</v>
      </c>
      <c r="G936" s="194" t="n">
        <v>89.59999999999999</v>
      </c>
      <c r="H936" s="194" t="n">
        <v>8</v>
      </c>
      <c r="I936" s="194" t="n">
        <v>54.2</v>
      </c>
      <c r="J936" s="194" t="n">
        <v>97.59999999999999</v>
      </c>
      <c r="K936" s="195" t="inlineStr">
        <is>
          <t>6610 FLOWING CLOUD</t>
        </is>
      </c>
    </row>
    <row r="937">
      <c r="A937" s="32" t="inlineStr">
        <is>
          <t>Oriza Naxin</t>
        </is>
      </c>
      <c r="B937" s="191" t="n">
        <v>1</v>
      </c>
      <c r="C937" s="193" t="n">
        <v>0</v>
      </c>
      <c r="D937" s="194" t="n">
        <v>-4.3</v>
      </c>
      <c r="E937" s="194" t="n">
        <v>-2.5</v>
      </c>
      <c r="F937" s="194" t="n">
        <v>20.8</v>
      </c>
      <c r="G937" s="194" t="n">
        <v>8.6</v>
      </c>
      <c r="H937" s="194" t="n">
        <v>1.9</v>
      </c>
      <c r="I937" s="194" t="n">
        <v>26.2</v>
      </c>
      <c r="J937" s="194" t="n">
        <v>13.5</v>
      </c>
      <c r="K937" s="195" t="inlineStr">
        <is>
          <t>2676 NOVOSENSE</t>
        </is>
      </c>
    </row>
    <row r="938">
      <c r="A938" s="32" t="inlineStr">
        <is>
          <t>Hield International</t>
        </is>
      </c>
      <c r="B938" s="191" t="n">
        <v>1</v>
      </c>
      <c r="C938" s="193" t="n">
        <v>0</v>
      </c>
      <c r="D938" s="194" t="n">
        <v>-4.3</v>
      </c>
      <c r="E938" s="194" t="n">
        <v>-2.5</v>
      </c>
      <c r="F938" s="194" t="n">
        <v>20.8</v>
      </c>
      <c r="G938" s="194" t="n">
        <v>8.6</v>
      </c>
      <c r="H938" s="194" t="n">
        <v>1.9</v>
      </c>
      <c r="I938" s="194" t="n">
        <v>26.2</v>
      </c>
      <c r="J938" s="194" t="n">
        <v>13.5</v>
      </c>
      <c r="K938" s="195" t="inlineStr">
        <is>
          <t>2676 NOVOSENSE</t>
        </is>
      </c>
    </row>
    <row r="939">
      <c r="A939" s="32" t="inlineStr">
        <is>
          <t>BYTEDANCE (HK) LIMITED</t>
        </is>
      </c>
      <c r="B939" s="191" t="n">
        <v>1</v>
      </c>
      <c r="C939" s="193" t="n">
        <v>0</v>
      </c>
      <c r="D939" s="194" t="n">
        <v>-4.5</v>
      </c>
      <c r="E939" s="194" t="n">
        <v>-1.9</v>
      </c>
      <c r="F939" s="194" t="n">
        <v>-19.4</v>
      </c>
      <c r="G939" s="194" t="n">
        <v>-13.6</v>
      </c>
      <c r="H939" s="194" t="n">
        <v>2.7</v>
      </c>
      <c r="I939" s="194" t="n">
        <v>-15.6</v>
      </c>
      <c r="J939" s="194" t="n">
        <v>-9.5</v>
      </c>
      <c r="K939" s="195" t="inlineStr">
        <is>
          <t>1948 UJU HOLDING</t>
        </is>
      </c>
    </row>
    <row r="940">
      <c r="A940" s="32" t="inlineStr">
        <is>
          <t>ABCI China Dynamic Growth SP</t>
        </is>
      </c>
      <c r="B940" s="191" t="n">
        <v>1</v>
      </c>
      <c r="C940" s="193" t="n">
        <v>0</v>
      </c>
      <c r="D940" s="194" t="n">
        <v>-4.6</v>
      </c>
      <c r="E940" s="194" t="n">
        <v>-4.5</v>
      </c>
      <c r="F940" s="194" t="n">
        <v>-21.3</v>
      </c>
      <c r="G940" s="194" t="n">
        <v>-61.9</v>
      </c>
      <c r="H940" s="194" t="n">
        <v>0.2</v>
      </c>
      <c r="I940" s="194" t="n">
        <v>-17.5</v>
      </c>
      <c r="J940" s="194" t="n">
        <v>-60</v>
      </c>
      <c r="K940" s="195" t="inlineStr">
        <is>
          <t>6633 QINGCI GAMES</t>
        </is>
      </c>
    </row>
    <row r="941">
      <c r="A941" s="32" t="inlineStr">
        <is>
          <t>I-China Holdings Limited</t>
        </is>
      </c>
      <c r="B941" s="191" t="n">
        <v>1</v>
      </c>
      <c r="C941" s="193" t="n">
        <v>0</v>
      </c>
      <c r="D941" s="194" t="n">
        <v>-4.6</v>
      </c>
      <c r="E941" s="194" t="n">
        <v>-4.5</v>
      </c>
      <c r="F941" s="194" t="n">
        <v>-21.3</v>
      </c>
      <c r="G941" s="194" t="n">
        <v>-61.9</v>
      </c>
      <c r="H941" s="194" t="n">
        <v>0.2</v>
      </c>
      <c r="I941" s="194" t="n">
        <v>-17.5</v>
      </c>
      <c r="J941" s="194" t="n">
        <v>-60</v>
      </c>
      <c r="K941" s="195" t="inlineStr">
        <is>
          <t>6633 QINGCI GAMES</t>
        </is>
      </c>
    </row>
    <row r="942">
      <c r="A942" s="32" t="inlineStr">
        <is>
          <t>Qookka Entertainment Limited</t>
        </is>
      </c>
      <c r="B942" s="191" t="n">
        <v>1</v>
      </c>
      <c r="C942" s="193" t="n">
        <v>0</v>
      </c>
      <c r="D942" s="194" t="n">
        <v>-4.6</v>
      </c>
      <c r="E942" s="194" t="n">
        <v>-4.5</v>
      </c>
      <c r="F942" s="194" t="n">
        <v>-21.3</v>
      </c>
      <c r="G942" s="194" t="n">
        <v>-61.9</v>
      </c>
      <c r="H942" s="194" t="n">
        <v>0.2</v>
      </c>
      <c r="I942" s="194" t="n">
        <v>-17.5</v>
      </c>
      <c r="J942" s="194" t="n">
        <v>-60</v>
      </c>
      <c r="K942" s="195" t="inlineStr">
        <is>
          <t>6633 QINGCI GAMES</t>
        </is>
      </c>
    </row>
    <row r="943">
      <c r="A943" s="32" t="inlineStr">
        <is>
          <t>Starwin International A LPF</t>
        </is>
      </c>
      <c r="B943" s="191" t="n">
        <v>1</v>
      </c>
      <c r="C943" s="193" t="n">
        <v>0</v>
      </c>
      <c r="D943" s="194" t="n">
        <v>-4.6</v>
      </c>
      <c r="E943" s="194" t="n">
        <v>22.3</v>
      </c>
      <c r="F943" s="194" t="n">
        <v>68.7</v>
      </c>
      <c r="G943" s="194" t="n">
        <v>-0.8</v>
      </c>
      <c r="H943" s="194" t="n">
        <v>28.3</v>
      </c>
      <c r="I943" s="194" t="n">
        <v>76.90000000000001</v>
      </c>
      <c r="J943" s="194" t="n">
        <v>4</v>
      </c>
      <c r="K943" s="195" t="inlineStr">
        <is>
          <t>1511 UISEE TECH</t>
        </is>
      </c>
    </row>
    <row r="944">
      <c r="A944" s="32" t="inlineStr">
        <is>
          <t>Kaide Global Investment Ltd</t>
        </is>
      </c>
      <c r="B944" s="191" t="n">
        <v>1</v>
      </c>
      <c r="C944" s="193" t="n">
        <v>0</v>
      </c>
      <c r="D944" s="194" t="n">
        <v>-4.6</v>
      </c>
      <c r="E944" s="194" t="n">
        <v>-5.1</v>
      </c>
      <c r="F944" s="194" t="n">
        <v>-37.2</v>
      </c>
      <c r="G944" s="194" t="n">
        <v>-42.9</v>
      </c>
      <c r="H944" s="194" t="n">
        <v>-0.5</v>
      </c>
      <c r="I944" s="194" t="n">
        <v>-34.2</v>
      </c>
      <c r="J944" s="194" t="n">
        <v>-40.1</v>
      </c>
      <c r="K944" s="195" t="inlineStr">
        <is>
          <t>1688 LINGYI ITECH</t>
        </is>
      </c>
    </row>
    <row r="945">
      <c r="A945" s="32" t="inlineStr">
        <is>
          <t>Ti-Capital (HK) Pioneer Fund III and Ti-Capital (HK) Pioneer Fund IV (collectively, Ti-Capital Funds )</t>
        </is>
      </c>
      <c r="B945" s="191" t="n">
        <v>1</v>
      </c>
      <c r="C945" s="193" t="n">
        <v>0</v>
      </c>
      <c r="D945" s="194" t="n">
        <v>-4.6</v>
      </c>
      <c r="E945" s="194" t="n">
        <v>-5.1</v>
      </c>
      <c r="F945" s="194" t="n">
        <v>-37.2</v>
      </c>
      <c r="G945" s="194" t="n">
        <v>-42.9</v>
      </c>
      <c r="H945" s="194" t="n">
        <v>-0.5</v>
      </c>
      <c r="I945" s="194" t="n">
        <v>-34.2</v>
      </c>
      <c r="J945" s="194" t="n">
        <v>-40.1</v>
      </c>
      <c r="K945" s="195" t="inlineStr">
        <is>
          <t>1688 LINGYI ITECH</t>
        </is>
      </c>
    </row>
    <row r="946">
      <c r="A946" s="32" t="inlineStr">
        <is>
          <t>Honor Information Technology Co., Limited ࢹڦ ʮ̡</t>
        </is>
      </c>
      <c r="B946" s="191" t="n">
        <v>1</v>
      </c>
      <c r="C946" s="193" t="n">
        <v>0</v>
      </c>
      <c r="D946" s="194" t="n">
        <v>-4.6</v>
      </c>
      <c r="E946" s="194" t="n">
        <v>-5.1</v>
      </c>
      <c r="F946" s="194" t="n">
        <v>-37.2</v>
      </c>
      <c r="G946" s="194" t="n">
        <v>-42.9</v>
      </c>
      <c r="H946" s="194" t="n">
        <v>-0.5</v>
      </c>
      <c r="I946" s="194" t="n">
        <v>-34.2</v>
      </c>
      <c r="J946" s="194" t="n">
        <v>-40.1</v>
      </c>
      <c r="K946" s="195" t="inlineStr">
        <is>
          <t>1688 LINGYI ITECH</t>
        </is>
      </c>
    </row>
    <row r="947">
      <c r="A947" s="32" t="inlineStr">
        <is>
          <t>HT Investment Limited</t>
        </is>
      </c>
      <c r="B947" s="191" t="n">
        <v>1</v>
      </c>
      <c r="C947" s="193" t="n">
        <v>0</v>
      </c>
      <c r="D947" s="194" t="n">
        <v>-5</v>
      </c>
      <c r="E947" s="194" t="n">
        <v>0.1</v>
      </c>
      <c r="F947" s="194" t="n">
        <v>0</v>
      </c>
      <c r="G947" s="194" t="n">
        <v>-2.6</v>
      </c>
      <c r="H947" s="194" t="n">
        <v>5.3</v>
      </c>
      <c r="I947" s="194" t="n">
        <v>5.3</v>
      </c>
      <c r="J947" s="194" t="n">
        <v>2.5</v>
      </c>
      <c r="K947" s="195" t="inlineStr">
        <is>
          <t>2648 ANJOY FOOD</t>
        </is>
      </c>
    </row>
    <row r="948">
      <c r="A948" s="32" t="inlineStr">
        <is>
          <t>4 FCP Domains Co., Ltd</t>
        </is>
      </c>
      <c r="B948" s="191" t="n">
        <v>1</v>
      </c>
      <c r="C948" s="193" t="n">
        <v>0</v>
      </c>
      <c r="D948" s="194" t="n">
        <v>-5</v>
      </c>
      <c r="E948" s="194" t="n">
        <v>0.1</v>
      </c>
      <c r="F948" s="194" t="n">
        <v>0</v>
      </c>
      <c r="G948" s="194" t="n">
        <v>-2.6</v>
      </c>
      <c r="H948" s="194" t="n">
        <v>5.3</v>
      </c>
      <c r="I948" s="194" t="n">
        <v>5.3</v>
      </c>
      <c r="J948" s="194" t="n">
        <v>2.5</v>
      </c>
      <c r="K948" s="195" t="inlineStr">
        <is>
          <t>2648 ANJOY FOOD</t>
        </is>
      </c>
    </row>
    <row r="949">
      <c r="A949" s="32" t="inlineStr">
        <is>
          <t>Sunpeak Asset</t>
        </is>
      </c>
      <c r="B949" s="191" t="n">
        <v>1</v>
      </c>
      <c r="C949" s="193" t="n">
        <v>0</v>
      </c>
      <c r="D949" s="194" t="n">
        <v>-5</v>
      </c>
      <c r="E949" s="196" t="n"/>
      <c r="F949" s="196" t="n"/>
      <c r="G949" s="196" t="n"/>
      <c r="H949" s="196" t="n"/>
      <c r="I949" s="196" t="n"/>
      <c r="J949" s="196" t="n"/>
      <c r="K949" s="195" t="inlineStr">
        <is>
          <t>3757 ROBOTECHNIK</t>
        </is>
      </c>
    </row>
    <row r="950">
      <c r="A950" s="32" t="inlineStr">
        <is>
          <t>Winner Global Fund</t>
        </is>
      </c>
      <c r="B950" s="191" t="n">
        <v>1</v>
      </c>
      <c r="C950" s="193" t="n">
        <v>0</v>
      </c>
      <c r="D950" s="194" t="n">
        <v>-5</v>
      </c>
      <c r="E950" s="196" t="n"/>
      <c r="F950" s="196" t="n"/>
      <c r="G950" s="196" t="n"/>
      <c r="H950" s="196" t="n"/>
      <c r="I950" s="196" t="n"/>
      <c r="J950" s="196" t="n"/>
      <c r="K950" s="195" t="inlineStr">
        <is>
          <t>3757 ROBOTECHNIK</t>
        </is>
      </c>
    </row>
    <row r="951">
      <c r="A951" s="32" t="inlineStr">
        <is>
          <t>Vestide Lumir</t>
        </is>
      </c>
      <c r="B951" s="191" t="n">
        <v>1</v>
      </c>
      <c r="C951" s="193" t="n">
        <v>0</v>
      </c>
      <c r="D951" s="194" t="n">
        <v>-5</v>
      </c>
      <c r="E951" s="196" t="n"/>
      <c r="F951" s="196" t="n"/>
      <c r="G951" s="196" t="n"/>
      <c r="H951" s="196" t="n"/>
      <c r="I951" s="196" t="n"/>
      <c r="J951" s="196" t="n"/>
      <c r="K951" s="195" t="inlineStr">
        <is>
          <t>3757 ROBOTECHNIK</t>
        </is>
      </c>
    </row>
    <row r="952">
      <c r="A952" s="32" t="inlineStr">
        <is>
          <t>Arrowpoint</t>
        </is>
      </c>
      <c r="B952" s="191" t="n">
        <v>1</v>
      </c>
      <c r="C952" s="193" t="n">
        <v>0</v>
      </c>
      <c r="D952" s="194" t="n">
        <v>-5</v>
      </c>
      <c r="E952" s="196" t="n"/>
      <c r="F952" s="196" t="n"/>
      <c r="G952" s="196" t="n"/>
      <c r="H952" s="196" t="n"/>
      <c r="I952" s="196" t="n"/>
      <c r="J952" s="196" t="n"/>
      <c r="K952" s="195" t="inlineStr">
        <is>
          <t>3757 ROBOTECHNIK</t>
        </is>
      </c>
    </row>
    <row r="953">
      <c r="A953" s="32" t="inlineStr">
        <is>
          <t>Sino Opulence Fund</t>
        </is>
      </c>
      <c r="B953" s="191" t="n">
        <v>1</v>
      </c>
      <c r="C953" s="193" t="n">
        <v>0</v>
      </c>
      <c r="D953" s="194" t="n">
        <v>-5</v>
      </c>
      <c r="E953" s="196" t="n"/>
      <c r="F953" s="196" t="n"/>
      <c r="G953" s="196" t="n"/>
      <c r="H953" s="196" t="n"/>
      <c r="I953" s="196" t="n"/>
      <c r="J953" s="196" t="n"/>
      <c r="K953" s="195" t="inlineStr">
        <is>
          <t>3757 ROBOTECHNIK</t>
        </is>
      </c>
    </row>
    <row r="954">
      <c r="A954" s="32" t="inlineStr">
        <is>
          <t>Roofer Asset Management</t>
        </is>
      </c>
      <c r="B954" s="191" t="n">
        <v>1</v>
      </c>
      <c r="C954" s="193" t="n">
        <v>0</v>
      </c>
      <c r="D954" s="194" t="n">
        <v>-5</v>
      </c>
      <c r="E954" s="196" t="n"/>
      <c r="F954" s="196" t="n"/>
      <c r="G954" s="196" t="n"/>
      <c r="H954" s="196" t="n"/>
      <c r="I954" s="196" t="n"/>
      <c r="J954" s="196" t="n"/>
      <c r="K954" s="195" t="inlineStr">
        <is>
          <t>3757 ROBOTECHNIK</t>
        </is>
      </c>
    </row>
    <row r="955">
      <c r="A955" s="32" t="inlineStr">
        <is>
          <t>Bloom Capital</t>
        </is>
      </c>
      <c r="B955" s="191" t="n">
        <v>1</v>
      </c>
      <c r="C955" s="193" t="n">
        <v>0</v>
      </c>
      <c r="D955" s="194" t="n">
        <v>-5</v>
      </c>
      <c r="E955" s="196" t="n"/>
      <c r="F955" s="196" t="n"/>
      <c r="G955" s="196" t="n"/>
      <c r="H955" s="196" t="n"/>
      <c r="I955" s="196" t="n"/>
      <c r="J955" s="196" t="n"/>
      <c r="K955" s="195" t="inlineStr">
        <is>
          <t>3757 ROBOTECHNIK</t>
        </is>
      </c>
    </row>
    <row r="956">
      <c r="A956" s="32" t="inlineStr">
        <is>
          <t>Mr. Lai Pak Lam</t>
        </is>
      </c>
      <c r="B956" s="191" t="n">
        <v>1</v>
      </c>
      <c r="C956" s="193" t="n">
        <v>0</v>
      </c>
      <c r="D956" s="194" t="n">
        <v>-5</v>
      </c>
      <c r="E956" s="196" t="n"/>
      <c r="F956" s="196" t="n"/>
      <c r="G956" s="196" t="n"/>
      <c r="H956" s="196" t="n"/>
      <c r="I956" s="196" t="n"/>
      <c r="J956" s="196" t="n"/>
      <c r="K956" s="195" t="inlineStr">
        <is>
          <t>3757 ROBOTECHNIK</t>
        </is>
      </c>
    </row>
    <row r="957">
      <c r="A957" s="32" t="inlineStr">
        <is>
          <t>Mr. Xia Shengli</t>
        </is>
      </c>
      <c r="B957" s="191" t="n">
        <v>1</v>
      </c>
      <c r="C957" s="193" t="n">
        <v>0</v>
      </c>
      <c r="D957" s="194" t="n">
        <v>-5</v>
      </c>
      <c r="E957" s="196" t="n"/>
      <c r="F957" s="196" t="n"/>
      <c r="G957" s="196" t="n"/>
      <c r="H957" s="196" t="n"/>
      <c r="I957" s="196" t="n"/>
      <c r="J957" s="196" t="n"/>
      <c r="K957" s="195" t="inlineStr">
        <is>
          <t>3757 ROBOTECHNIK</t>
        </is>
      </c>
    </row>
    <row r="958">
      <c r="A958" s="32" t="inlineStr">
        <is>
          <t>Mr. Zhu Guodong</t>
        </is>
      </c>
      <c r="B958" s="191" t="n">
        <v>1</v>
      </c>
      <c r="C958" s="193" t="n">
        <v>0</v>
      </c>
      <c r="D958" s="194" t="n">
        <v>-5</v>
      </c>
      <c r="E958" s="196" t="n"/>
      <c r="F958" s="196" t="n"/>
      <c r="G958" s="196" t="n"/>
      <c r="H958" s="196" t="n"/>
      <c r="I958" s="196" t="n"/>
      <c r="J958" s="196" t="n"/>
      <c r="K958" s="195" t="inlineStr">
        <is>
          <t>3757 ROBOTECHNIK</t>
        </is>
      </c>
    </row>
    <row r="959">
      <c r="A959" s="32" t="inlineStr">
        <is>
          <t>Mr. Zheng Xiaofeng</t>
        </is>
      </c>
      <c r="B959" s="191" t="n">
        <v>1</v>
      </c>
      <c r="C959" s="193" t="n">
        <v>0</v>
      </c>
      <c r="D959" s="194" t="n">
        <v>-5</v>
      </c>
      <c r="E959" s="196" t="n"/>
      <c r="F959" s="196" t="n"/>
      <c r="G959" s="196" t="n"/>
      <c r="H959" s="196" t="n"/>
      <c r="I959" s="196" t="n"/>
      <c r="J959" s="196" t="n"/>
      <c r="K959" s="195" t="inlineStr">
        <is>
          <t>3757 ROBOTECHNIK</t>
        </is>
      </c>
    </row>
    <row r="960">
      <c r="A960" s="32" t="inlineStr">
        <is>
          <t>Media Global Management Limited</t>
        </is>
      </c>
      <c r="B960" s="191" t="n">
        <v>1</v>
      </c>
      <c r="C960" s="193" t="n">
        <v>0</v>
      </c>
      <c r="D960" s="194" t="n">
        <v>-5.1</v>
      </c>
      <c r="E960" s="194" t="n">
        <v>-12.1</v>
      </c>
      <c r="F960" s="194" t="n">
        <v>-0.6</v>
      </c>
      <c r="G960" s="194" t="n">
        <v>8</v>
      </c>
      <c r="H960" s="194" t="n">
        <v>-7.4</v>
      </c>
      <c r="I960" s="194" t="n">
        <v>4.8</v>
      </c>
      <c r="J960" s="194" t="n">
        <v>13.8</v>
      </c>
      <c r="K960" s="195" t="inlineStr">
        <is>
          <t>9985 WEILONG</t>
        </is>
      </c>
    </row>
    <row r="961">
      <c r="A961" s="32" t="inlineStr">
        <is>
          <t>Prospect Bridge Value L.P</t>
        </is>
      </c>
      <c r="B961" s="191" t="n">
        <v>1</v>
      </c>
      <c r="C961" s="193" t="n">
        <v>0</v>
      </c>
      <c r="D961" s="194" t="n">
        <v>-5.1</v>
      </c>
      <c r="E961" s="194" t="n">
        <v>-12.1</v>
      </c>
      <c r="F961" s="194" t="n">
        <v>-0.6</v>
      </c>
      <c r="G961" s="194" t="n">
        <v>8</v>
      </c>
      <c r="H961" s="194" t="n">
        <v>-7.4</v>
      </c>
      <c r="I961" s="194" t="n">
        <v>4.8</v>
      </c>
      <c r="J961" s="194" t="n">
        <v>13.8</v>
      </c>
      <c r="K961" s="195" t="inlineStr">
        <is>
          <t>9985 WEILONG</t>
        </is>
      </c>
    </row>
    <row r="962">
      <c r="A962" s="32" t="inlineStr">
        <is>
          <t>Reijong International Industrial Equipment (HK) Limited</t>
        </is>
      </c>
      <c r="B962" s="191" t="n">
        <v>1</v>
      </c>
      <c r="C962" s="193" t="n">
        <v>0</v>
      </c>
      <c r="D962" s="194" t="n">
        <v>-5.1</v>
      </c>
      <c r="E962" s="194" t="n">
        <v>-8.800000000000001</v>
      </c>
      <c r="F962" s="194" t="n">
        <v>-8.699999999999999</v>
      </c>
      <c r="G962" s="194" t="n">
        <v>16.5</v>
      </c>
      <c r="H962" s="194" t="n">
        <v>-4</v>
      </c>
      <c r="I962" s="194" t="n">
        <v>-3.8</v>
      </c>
      <c r="J962" s="194" t="n">
        <v>22.8</v>
      </c>
      <c r="K962" s="195" t="inlineStr">
        <is>
          <t>2610 NANSHAN AL INTL</t>
        </is>
      </c>
    </row>
    <row r="963">
      <c r="A963" s="32" t="inlineStr">
        <is>
          <t>Eastland</t>
        </is>
      </c>
      <c r="B963" s="191" t="n">
        <v>1</v>
      </c>
      <c r="C963" s="193" t="n">
        <v>0</v>
      </c>
      <c r="D963" s="194" t="n">
        <v>-5.3</v>
      </c>
      <c r="E963" s="194" t="n">
        <v>-3</v>
      </c>
      <c r="F963" s="194" t="n">
        <v>-7.9</v>
      </c>
      <c r="G963" s="194" t="n">
        <v>-6.3</v>
      </c>
      <c r="H963" s="194" t="n">
        <v>2.4</v>
      </c>
      <c r="I963" s="194" t="n">
        <v>-2.8</v>
      </c>
      <c r="J963" s="194" t="n">
        <v>-1.1</v>
      </c>
      <c r="K963" s="195" t="inlineStr">
        <is>
          <t>2385 READBOY</t>
        </is>
      </c>
    </row>
    <row r="964">
      <c r="A964" s="32" t="inlineStr">
        <is>
          <t>Gui Chunfang</t>
        </is>
      </c>
      <c r="B964" s="191" t="n">
        <v>1</v>
      </c>
      <c r="C964" s="193" t="n">
        <v>0</v>
      </c>
      <c r="D964" s="194" t="n">
        <v>-5.3</v>
      </c>
      <c r="E964" s="194" t="n">
        <v>-3</v>
      </c>
      <c r="F964" s="194" t="n">
        <v>-7.9</v>
      </c>
      <c r="G964" s="194" t="n">
        <v>-6.3</v>
      </c>
      <c r="H964" s="194" t="n">
        <v>2.4</v>
      </c>
      <c r="I964" s="194" t="n">
        <v>-2.8</v>
      </c>
      <c r="J964" s="194" t="n">
        <v>-1.1</v>
      </c>
      <c r="K964" s="195" t="inlineStr">
        <is>
          <t>2385 READBOY</t>
        </is>
      </c>
    </row>
    <row r="965">
      <c r="A965" s="32" t="inlineStr">
        <is>
          <t>Jin Tao</t>
        </is>
      </c>
      <c r="B965" s="191" t="n">
        <v>1</v>
      </c>
      <c r="C965" s="193" t="n">
        <v>0</v>
      </c>
      <c r="D965" s="194" t="n">
        <v>-5.3</v>
      </c>
      <c r="E965" s="194" t="n">
        <v>-3</v>
      </c>
      <c r="F965" s="194" t="n">
        <v>-7.9</v>
      </c>
      <c r="G965" s="194" t="n">
        <v>-6.3</v>
      </c>
      <c r="H965" s="194" t="n">
        <v>2.4</v>
      </c>
      <c r="I965" s="194" t="n">
        <v>-2.8</v>
      </c>
      <c r="J965" s="194" t="n">
        <v>-1.1</v>
      </c>
      <c r="K965" s="195" t="inlineStr">
        <is>
          <t>2385 READBOY</t>
        </is>
      </c>
    </row>
    <row r="966">
      <c r="A966" s="32" t="inlineStr">
        <is>
          <t>Tower Lead</t>
        </is>
      </c>
      <c r="B966" s="191" t="n">
        <v>1</v>
      </c>
      <c r="C966" s="193" t="n">
        <v>0</v>
      </c>
      <c r="D966" s="194" t="n">
        <v>-5.3</v>
      </c>
      <c r="E966" s="194" t="n">
        <v>-3</v>
      </c>
      <c r="F966" s="194" t="n">
        <v>-7.9</v>
      </c>
      <c r="G966" s="194" t="n">
        <v>-6.3</v>
      </c>
      <c r="H966" s="194" t="n">
        <v>2.4</v>
      </c>
      <c r="I966" s="194" t="n">
        <v>-2.8</v>
      </c>
      <c r="J966" s="194" t="n">
        <v>-1.1</v>
      </c>
      <c r="K966" s="195" t="inlineStr">
        <is>
          <t>2385 READBOY</t>
        </is>
      </c>
    </row>
    <row r="967">
      <c r="A967" s="32" t="inlineStr">
        <is>
          <t>Yang Xiaojie</t>
        </is>
      </c>
      <c r="B967" s="191" t="n">
        <v>1</v>
      </c>
      <c r="C967" s="193" t="n">
        <v>0</v>
      </c>
      <c r="D967" s="194" t="n">
        <v>-5.3</v>
      </c>
      <c r="E967" s="194" t="n">
        <v>-3</v>
      </c>
      <c r="F967" s="194" t="n">
        <v>-7.9</v>
      </c>
      <c r="G967" s="194" t="n">
        <v>-6.3</v>
      </c>
      <c r="H967" s="194" t="n">
        <v>2.4</v>
      </c>
      <c r="I967" s="194" t="n">
        <v>-2.8</v>
      </c>
      <c r="J967" s="194" t="n">
        <v>-1.1</v>
      </c>
      <c r="K967" s="195" t="inlineStr">
        <is>
          <t>2385 READBOY</t>
        </is>
      </c>
    </row>
    <row r="968">
      <c r="A968" s="32" t="inlineStr">
        <is>
          <t>Zheng Changping</t>
        </is>
      </c>
      <c r="B968" s="191" t="n">
        <v>1</v>
      </c>
      <c r="C968" s="193" t="n">
        <v>0</v>
      </c>
      <c r="D968" s="194" t="n">
        <v>-5.3</v>
      </c>
      <c r="E968" s="194" t="n">
        <v>-3</v>
      </c>
      <c r="F968" s="194" t="n">
        <v>-7.9</v>
      </c>
      <c r="G968" s="194" t="n">
        <v>-6.3</v>
      </c>
      <c r="H968" s="194" t="n">
        <v>2.4</v>
      </c>
      <c r="I968" s="194" t="n">
        <v>-2.8</v>
      </c>
      <c r="J968" s="194" t="n">
        <v>-1.1</v>
      </c>
      <c r="K968" s="195" t="inlineStr">
        <is>
          <t>2385 READBOY</t>
        </is>
      </c>
    </row>
    <row r="969">
      <c r="A969" s="32" t="inlineStr">
        <is>
          <t>Valin Group Hongkong International Trade Co., Limited</t>
        </is>
      </c>
      <c r="B969" s="191" t="n">
        <v>1</v>
      </c>
      <c r="C969" s="193" t="n">
        <v>0</v>
      </c>
      <c r="D969" s="194" t="n">
        <v>-5.4</v>
      </c>
      <c r="E969" s="194" t="n">
        <v>-7.6</v>
      </c>
      <c r="F969" s="194" t="n">
        <v>-20.5</v>
      </c>
      <c r="G969" s="194" t="n">
        <v>-9.300000000000001</v>
      </c>
      <c r="H969" s="194" t="n">
        <v>-2.3</v>
      </c>
      <c r="I969" s="194" t="n">
        <v>-15.9</v>
      </c>
      <c r="J969" s="194" t="n">
        <v>-4.1</v>
      </c>
      <c r="K969" s="195" t="inlineStr">
        <is>
          <t>2580 AUX ELECTRIC</t>
        </is>
      </c>
    </row>
    <row r="970">
      <c r="A970" s="32" t="inlineStr">
        <is>
          <t>Shenzhen Yongxin Industrial Investment Partnership Enterprise (Limited Partnership) and Guotai Junan Investments (Hong Kong) Limited (in</t>
        </is>
      </c>
      <c r="B970" s="191" t="n">
        <v>1</v>
      </c>
      <c r="C970" s="193" t="n">
        <v>0</v>
      </c>
      <c r="D970" s="194" t="n">
        <v>-5.4</v>
      </c>
      <c r="E970" s="194" t="n">
        <v>-7.6</v>
      </c>
      <c r="F970" s="194" t="n">
        <v>-20.5</v>
      </c>
      <c r="G970" s="194" t="n">
        <v>-9.300000000000001</v>
      </c>
      <c r="H970" s="194" t="n">
        <v>-2.3</v>
      </c>
      <c r="I970" s="194" t="n">
        <v>-15.9</v>
      </c>
      <c r="J970" s="194" t="n">
        <v>-4.1</v>
      </c>
      <c r="K970" s="195" t="inlineStr">
        <is>
          <t>2580 AUX ELECTRIC</t>
        </is>
      </c>
    </row>
    <row r="971">
      <c r="A971" s="32" t="inlineStr">
        <is>
          <t>Abax Asian Structured Private Credit Fund III, LP</t>
        </is>
      </c>
      <c r="B971" s="191" t="n">
        <v>1</v>
      </c>
      <c r="C971" s="193" t="n">
        <v>0</v>
      </c>
      <c r="D971" s="194" t="n">
        <v>-5.6</v>
      </c>
      <c r="E971" s="194" t="n">
        <v>-1.5</v>
      </c>
      <c r="F971" s="194" t="n">
        <v>-20.5</v>
      </c>
      <c r="G971" s="194" t="n">
        <v>-19.6</v>
      </c>
      <c r="H971" s="194" t="n">
        <v>4.3</v>
      </c>
      <c r="I971" s="194" t="n">
        <v>-15.8</v>
      </c>
      <c r="J971" s="194" t="n">
        <v>-14.8</v>
      </c>
      <c r="K971" s="195" t="inlineStr">
        <is>
          <t>6639 ARRAIL GROUP</t>
        </is>
      </c>
    </row>
    <row r="972">
      <c r="A972" s="32" t="inlineStr">
        <is>
          <t>Hony Goldstream Special Opportunity Fund I</t>
        </is>
      </c>
      <c r="B972" s="191" t="n">
        <v>1</v>
      </c>
      <c r="C972" s="193" t="n">
        <v>0</v>
      </c>
      <c r="D972" s="194" t="n">
        <v>-6</v>
      </c>
      <c r="E972" s="194" t="n">
        <v>-11.2</v>
      </c>
      <c r="F972" s="194" t="n">
        <v>-28</v>
      </c>
      <c r="G972" s="194" t="n">
        <v>-50.2</v>
      </c>
      <c r="H972" s="194" t="n">
        <v>-5.6</v>
      </c>
      <c r="I972" s="194" t="n">
        <v>-23.4</v>
      </c>
      <c r="J972" s="194" t="n">
        <v>-47.1</v>
      </c>
      <c r="K972" s="195" t="inlineStr">
        <is>
          <t>9600 NEWLINK TECH</t>
        </is>
      </c>
    </row>
    <row r="973">
      <c r="A973" s="32" t="inlineStr">
        <is>
          <t>GM Charm Yield (BVI) Limited</t>
        </is>
      </c>
      <c r="B973" s="191" t="n">
        <v>1</v>
      </c>
      <c r="C973" s="193" t="n">
        <v>0</v>
      </c>
      <c r="D973" s="194" t="n">
        <v>-6.4</v>
      </c>
      <c r="E973" s="194" t="n">
        <v>-2.1</v>
      </c>
      <c r="F973" s="194" t="n">
        <v>45.1</v>
      </c>
      <c r="G973" s="194" t="n">
        <v>157</v>
      </c>
      <c r="H973" s="194" t="n">
        <v>4.6</v>
      </c>
      <c r="I973" s="194" t="n">
        <v>55.1</v>
      </c>
      <c r="J973" s="194" t="n">
        <v>174.7</v>
      </c>
      <c r="K973" s="195" t="inlineStr">
        <is>
          <t>1364 GUMING</t>
        </is>
      </c>
    </row>
    <row r="974">
      <c r="A974" s="32" t="inlineStr">
        <is>
          <t>Intera Mining Investment Limited</t>
        </is>
      </c>
      <c r="B974" s="191" t="n">
        <v>1</v>
      </c>
      <c r="C974" s="193" t="n">
        <v>0</v>
      </c>
      <c r="D974" s="194" t="n">
        <v>-6.5</v>
      </c>
      <c r="E974" s="194" t="n">
        <v>-2.3</v>
      </c>
      <c r="F974" s="194" t="n">
        <v>-0.4</v>
      </c>
      <c r="G974" s="194" t="n">
        <v>28.5</v>
      </c>
      <c r="H974" s="194" t="n">
        <v>4.6</v>
      </c>
      <c r="I974" s="194" t="n">
        <v>6.6</v>
      </c>
      <c r="J974" s="194" t="n">
        <v>37.5</v>
      </c>
      <c r="K974" s="195" t="inlineStr">
        <is>
          <t>6228 MERDEKAGOLD-DRS</t>
        </is>
      </c>
    </row>
    <row r="975">
      <c r="A975" s="32" t="inlineStr">
        <is>
          <t>Trafigura Group Pte. Ltd</t>
        </is>
      </c>
      <c r="B975" s="191" t="n">
        <v>1</v>
      </c>
      <c r="C975" s="193" t="n">
        <v>0</v>
      </c>
      <c r="D975" s="194" t="n">
        <v>-6.5</v>
      </c>
      <c r="E975" s="194" t="n">
        <v>-2.3</v>
      </c>
      <c r="F975" s="194" t="n">
        <v>-0.4</v>
      </c>
      <c r="G975" s="194" t="n">
        <v>28.5</v>
      </c>
      <c r="H975" s="194" t="n">
        <v>4.6</v>
      </c>
      <c r="I975" s="194" t="n">
        <v>6.6</v>
      </c>
      <c r="J975" s="194" t="n">
        <v>37.5</v>
      </c>
      <c r="K975" s="195" t="inlineStr">
        <is>
          <t>6228 MERDEKAGOLD-DRS</t>
        </is>
      </c>
    </row>
    <row r="976">
      <c r="A976" s="32" t="inlineStr">
        <is>
          <t>Wanguo Gold Group Limited</t>
        </is>
      </c>
      <c r="B976" s="191" t="n">
        <v>1</v>
      </c>
      <c r="C976" s="193" t="n">
        <v>0</v>
      </c>
      <c r="D976" s="194" t="n">
        <v>-6.5</v>
      </c>
      <c r="E976" s="194" t="n">
        <v>-2.3</v>
      </c>
      <c r="F976" s="194" t="n">
        <v>-0.4</v>
      </c>
      <c r="G976" s="194" t="n">
        <v>28.5</v>
      </c>
      <c r="H976" s="194" t="n">
        <v>4.6</v>
      </c>
      <c r="I976" s="194" t="n">
        <v>6.6</v>
      </c>
      <c r="J976" s="194" t="n">
        <v>37.5</v>
      </c>
      <c r="K976" s="195" t="inlineStr">
        <is>
          <t>6228 MERDEKAGOLD-DRS</t>
        </is>
      </c>
    </row>
    <row r="977">
      <c r="A977" s="32" t="inlineStr">
        <is>
          <t>Sanofi Foreign Participations B.V</t>
        </is>
      </c>
      <c r="B977" s="191" t="n">
        <v>1</v>
      </c>
      <c r="C977" s="193" t="n">
        <v>0</v>
      </c>
      <c r="D977" s="194" t="n">
        <v>-7.5</v>
      </c>
      <c r="E977" s="194" t="n">
        <v>-9.800000000000001</v>
      </c>
      <c r="F977" s="194" t="n">
        <v>-33.8</v>
      </c>
      <c r="G977" s="194" t="n">
        <v>-54.4</v>
      </c>
      <c r="H977" s="194" t="n">
        <v>-2.5</v>
      </c>
      <c r="I977" s="194" t="n">
        <v>-28.4</v>
      </c>
      <c r="J977" s="194" t="n">
        <v>-50.7</v>
      </c>
      <c r="K977" s="195" t="inlineStr">
        <is>
          <t>9955 CLOUDR</t>
        </is>
      </c>
    </row>
    <row r="978">
      <c r="A978" s="32" t="inlineStr">
        <is>
          <t>DNCA Finance</t>
        </is>
      </c>
      <c r="B978" s="191" t="n">
        <v>1</v>
      </c>
      <c r="C978" s="193" t="n">
        <v>0</v>
      </c>
      <c r="D978" s="194" t="n">
        <v>-7.6</v>
      </c>
      <c r="E978" s="194" t="n">
        <v>-18</v>
      </c>
      <c r="F978" s="194" t="n">
        <v>-20.8</v>
      </c>
      <c r="G978" s="194" t="n">
        <v>-45.3</v>
      </c>
      <c r="H978" s="194" t="n">
        <v>-11.3</v>
      </c>
      <c r="I978" s="194" t="n">
        <v>-14.3</v>
      </c>
      <c r="J978" s="194" t="n">
        <v>-40.8</v>
      </c>
      <c r="K978" s="195" t="inlineStr">
        <is>
          <t>9960 KINDSTAR GLOBAL</t>
        </is>
      </c>
    </row>
    <row r="979">
      <c r="A979" s="32" t="inlineStr">
        <is>
          <t>Hangzhou Urban Investment Industrial Development Investment Partnership (LP)</t>
        </is>
      </c>
      <c r="B979" s="191" t="n">
        <v>1</v>
      </c>
      <c r="C979" s="193" t="n">
        <v>0</v>
      </c>
      <c r="D979" s="194" t="n">
        <v>-7.6</v>
      </c>
      <c r="E979" s="194" t="n">
        <v>-4.8</v>
      </c>
      <c r="F979" s="194" t="n">
        <v>-5.5</v>
      </c>
      <c r="G979" s="194" t="n">
        <v>-7</v>
      </c>
      <c r="H979" s="194" t="n">
        <v>3.1</v>
      </c>
      <c r="I979" s="194" t="n">
        <v>2.3</v>
      </c>
      <c r="J979" s="194" t="n">
        <v>0.6</v>
      </c>
      <c r="K979" s="195" t="inlineStr">
        <is>
          <t>2598 LIANLIAN</t>
        </is>
      </c>
    </row>
    <row r="980">
      <c r="A980" s="32" t="inlineStr">
        <is>
          <t>Jun Sheng SP</t>
        </is>
      </c>
      <c r="B980" s="191" t="n">
        <v>1</v>
      </c>
      <c r="C980" s="193" t="n">
        <v>0</v>
      </c>
      <c r="D980" s="194" t="n">
        <v>-8</v>
      </c>
      <c r="E980" s="194" t="n">
        <v>-20.4</v>
      </c>
      <c r="F980" s="194" t="n">
        <v>-20.8</v>
      </c>
      <c r="G980" s="194" t="n">
        <v>-22.9</v>
      </c>
      <c r="H980" s="194" t="n">
        <v>-13.5</v>
      </c>
      <c r="I980" s="194" t="n">
        <v>-13.9</v>
      </c>
      <c r="J980" s="194" t="n">
        <v>-16.1</v>
      </c>
      <c r="K980" s="195" t="inlineStr">
        <is>
          <t>0699 JOYSON ELEC</t>
        </is>
      </c>
    </row>
    <row r="981">
      <c r="A981" s="32" t="inlineStr">
        <is>
          <t>Vandi Investments Limited</t>
        </is>
      </c>
      <c r="B981" s="191" t="n">
        <v>1</v>
      </c>
      <c r="C981" s="193" t="n">
        <v>0</v>
      </c>
      <c r="D981" s="194" t="n">
        <v>-8</v>
      </c>
      <c r="E981" s="194" t="n">
        <v>-20.4</v>
      </c>
      <c r="F981" s="194" t="n">
        <v>-20.8</v>
      </c>
      <c r="G981" s="194" t="n">
        <v>-22.9</v>
      </c>
      <c r="H981" s="194" t="n">
        <v>-13.5</v>
      </c>
      <c r="I981" s="194" t="n">
        <v>-13.9</v>
      </c>
      <c r="J981" s="194" t="n">
        <v>-16.1</v>
      </c>
      <c r="K981" s="195" t="inlineStr">
        <is>
          <t>0699 JOYSON ELEC</t>
        </is>
      </c>
    </row>
    <row r="982">
      <c r="A982" s="32" t="inlineStr">
        <is>
          <t>Fidelidade – Companhia de Seguros, S.A</t>
        </is>
      </c>
      <c r="B982" s="191" t="n">
        <v>1</v>
      </c>
      <c r="C982" s="193" t="n">
        <v>0</v>
      </c>
      <c r="D982" s="194" t="n">
        <v>-8</v>
      </c>
      <c r="E982" s="194" t="n">
        <v>-20.4</v>
      </c>
      <c r="F982" s="194" t="n">
        <v>-20.8</v>
      </c>
      <c r="G982" s="194" t="n">
        <v>-22.9</v>
      </c>
      <c r="H982" s="194" t="n">
        <v>-13.5</v>
      </c>
      <c r="I982" s="194" t="n">
        <v>-13.9</v>
      </c>
      <c r="J982" s="194" t="n">
        <v>-16.1</v>
      </c>
      <c r="K982" s="195" t="inlineStr">
        <is>
          <t>0699 JOYSON ELEC</t>
        </is>
      </c>
    </row>
    <row r="983">
      <c r="A983" s="32" t="inlineStr">
        <is>
          <t>Yanlord Investment Limited</t>
        </is>
      </c>
      <c r="B983" s="191" t="n">
        <v>1</v>
      </c>
      <c r="C983" s="193" t="n">
        <v>0</v>
      </c>
      <c r="D983" s="194" t="n">
        <v>-8.699999999999999</v>
      </c>
      <c r="E983" s="194" t="n">
        <v>5.8</v>
      </c>
      <c r="F983" s="194" t="n">
        <v>-13.9</v>
      </c>
      <c r="G983" s="194" t="n">
        <v>-13.3</v>
      </c>
      <c r="H983" s="194" t="n">
        <v>15.8</v>
      </c>
      <c r="I983" s="194" t="n">
        <v>-5.7</v>
      </c>
      <c r="J983" s="194" t="n">
        <v>-5.1</v>
      </c>
      <c r="K983" s="195" t="inlineStr">
        <is>
          <t>2153 TAT HONG EQUIP</t>
        </is>
      </c>
    </row>
    <row r="984">
      <c r="A984" s="32" t="inlineStr">
        <is>
          <t>Full Truck</t>
        </is>
      </c>
      <c r="B984" s="191" t="n">
        <v>1</v>
      </c>
      <c r="C984" s="193" t="n">
        <v>0</v>
      </c>
      <c r="D984" s="194" t="n">
        <v>-9.1</v>
      </c>
      <c r="E984" s="196" t="n"/>
      <c r="F984" s="196" t="n"/>
      <c r="G984" s="196" t="n"/>
      <c r="H984" s="196" t="n"/>
      <c r="I984" s="196" t="n"/>
      <c r="J984" s="196" t="n"/>
      <c r="K984" s="195" t="inlineStr">
        <is>
          <t>9607 RA MATERIALS</t>
        </is>
      </c>
    </row>
    <row r="985">
      <c r="A985" s="32" t="inlineStr">
        <is>
          <t>Goldshore</t>
        </is>
      </c>
      <c r="B985" s="191" t="n">
        <v>1</v>
      </c>
      <c r="C985" s="193" t="n">
        <v>0</v>
      </c>
      <c r="D985" s="194" t="n">
        <v>-9.1</v>
      </c>
      <c r="E985" s="196" t="n"/>
      <c r="F985" s="196" t="n"/>
      <c r="G985" s="196" t="n"/>
      <c r="H985" s="196" t="n"/>
      <c r="I985" s="196" t="n"/>
      <c r="J985" s="196" t="n"/>
      <c r="K985" s="195" t="inlineStr">
        <is>
          <t>9607 RA MATERIALS</t>
        </is>
      </c>
    </row>
    <row r="986">
      <c r="A986" s="32" t="inlineStr">
        <is>
          <t>Happy Wisdom</t>
        </is>
      </c>
      <c r="B986" s="191" t="n">
        <v>1</v>
      </c>
      <c r="C986" s="193" t="n">
        <v>0</v>
      </c>
      <c r="D986" s="194" t="n">
        <v>-9.1</v>
      </c>
      <c r="E986" s="196" t="n"/>
      <c r="F986" s="196" t="n"/>
      <c r="G986" s="196" t="n"/>
      <c r="H986" s="196" t="n"/>
      <c r="I986" s="196" t="n"/>
      <c r="J986" s="196" t="n"/>
      <c r="K986" s="195" t="inlineStr">
        <is>
          <t>9607 RA MATERIALS</t>
        </is>
      </c>
    </row>
    <row r="987">
      <c r="A987" s="32" t="inlineStr">
        <is>
          <t>Prinx Chengshan HK</t>
        </is>
      </c>
      <c r="B987" s="191" t="n">
        <v>1</v>
      </c>
      <c r="C987" s="193" t="n">
        <v>0</v>
      </c>
      <c r="D987" s="194" t="n">
        <v>-9.1</v>
      </c>
      <c r="E987" s="196" t="n"/>
      <c r="F987" s="196" t="n"/>
      <c r="G987" s="196" t="n"/>
      <c r="H987" s="196" t="n"/>
      <c r="I987" s="196" t="n"/>
      <c r="J987" s="196" t="n"/>
      <c r="K987" s="195" t="inlineStr">
        <is>
          <t>9607 RA MATERIALS</t>
        </is>
      </c>
    </row>
    <row r="988">
      <c r="A988" s="32" t="inlineStr">
        <is>
          <t>Yang Quanhai</t>
        </is>
      </c>
      <c r="B988" s="191" t="n">
        <v>1</v>
      </c>
      <c r="C988" s="193" t="n">
        <v>0</v>
      </c>
      <c r="D988" s="194" t="n">
        <v>-9.1</v>
      </c>
      <c r="E988" s="196" t="n"/>
      <c r="F988" s="196" t="n"/>
      <c r="G988" s="196" t="n"/>
      <c r="H988" s="196" t="n"/>
      <c r="I988" s="196" t="n"/>
      <c r="J988" s="196" t="n"/>
      <c r="K988" s="195" t="inlineStr">
        <is>
          <t>9607 RA MATERIALS</t>
        </is>
      </c>
    </row>
    <row r="989">
      <c r="A989" s="32" t="inlineStr">
        <is>
          <t>Zhou Bo</t>
        </is>
      </c>
      <c r="B989" s="191" t="n">
        <v>1</v>
      </c>
      <c r="C989" s="193" t="n">
        <v>0</v>
      </c>
      <c r="D989" s="194" t="n">
        <v>-9.1</v>
      </c>
      <c r="E989" s="196" t="n"/>
      <c r="F989" s="196" t="n"/>
      <c r="G989" s="196" t="n"/>
      <c r="H989" s="196" t="n"/>
      <c r="I989" s="196" t="n"/>
      <c r="J989" s="196" t="n"/>
      <c r="K989" s="195" t="inlineStr">
        <is>
          <t>9607 RA MATERIALS</t>
        </is>
      </c>
    </row>
    <row r="990">
      <c r="A990" s="32" t="inlineStr">
        <is>
          <t>Electronic Channel Limited</t>
        </is>
      </c>
      <c r="B990" s="191" t="n">
        <v>1</v>
      </c>
      <c r="C990" s="193" t="n">
        <v>0</v>
      </c>
      <c r="D990" s="194" t="n">
        <v>-9.199999999999999</v>
      </c>
      <c r="E990" s="194" t="n">
        <v>-31.8</v>
      </c>
      <c r="F990" s="196" t="n"/>
      <c r="G990" s="196" t="n"/>
      <c r="H990" s="194" t="n">
        <v>-24.9</v>
      </c>
      <c r="I990" s="196" t="n"/>
      <c r="J990" s="196" t="n"/>
      <c r="K990" s="195" t="inlineStr">
        <is>
          <t>6727 TRANSWARP</t>
        </is>
      </c>
    </row>
    <row r="991">
      <c r="A991" s="32" t="inlineStr">
        <is>
          <t>LUOYANG Sci-Tech Inv</t>
        </is>
      </c>
      <c r="B991" s="191" t="n">
        <v>1</v>
      </c>
      <c r="C991" s="193" t="n">
        <v>0</v>
      </c>
      <c r="D991" s="194" t="n">
        <v>-9.199999999999999</v>
      </c>
      <c r="E991" s="194" t="n">
        <v>-31.8</v>
      </c>
      <c r="F991" s="196" t="n"/>
      <c r="G991" s="196" t="n"/>
      <c r="H991" s="194" t="n">
        <v>-24.9</v>
      </c>
      <c r="I991" s="196" t="n"/>
      <c r="J991" s="196" t="n"/>
      <c r="K991" s="195" t="inlineStr">
        <is>
          <t>6727 TRANSWARP</t>
        </is>
      </c>
    </row>
    <row r="992">
      <c r="A992" s="32" t="inlineStr">
        <is>
          <t>Hello Inc</t>
        </is>
      </c>
      <c r="B992" s="191" t="n">
        <v>1</v>
      </c>
      <c r="C992" s="193" t="n">
        <v>0</v>
      </c>
      <c r="D992" s="194" t="n">
        <v>-9.300000000000001</v>
      </c>
      <c r="E992" s="194" t="n">
        <v>-6.9</v>
      </c>
      <c r="F992" s="194" t="n">
        <v>-19.9</v>
      </c>
      <c r="G992" s="194" t="n">
        <v>-52</v>
      </c>
      <c r="H992" s="194" t="n">
        <v>2.6</v>
      </c>
      <c r="I992" s="194" t="n">
        <v>-11.7</v>
      </c>
      <c r="J992" s="194" t="n">
        <v>-47.1</v>
      </c>
      <c r="K992" s="195" t="inlineStr">
        <is>
          <t>9699 SF INTRA-CITY</t>
        </is>
      </c>
    </row>
    <row r="993">
      <c r="A993" s="32" t="inlineStr">
        <is>
          <t>Taobao China Holding Limited</t>
        </is>
      </c>
      <c r="B993" s="191" t="n">
        <v>1</v>
      </c>
      <c r="C993" s="193" t="n">
        <v>0</v>
      </c>
      <c r="D993" s="194" t="n">
        <v>-9.300000000000001</v>
      </c>
      <c r="E993" s="194" t="n">
        <v>-6.9</v>
      </c>
      <c r="F993" s="194" t="n">
        <v>-19.9</v>
      </c>
      <c r="G993" s="194" t="n">
        <v>-52</v>
      </c>
      <c r="H993" s="194" t="n">
        <v>2.6</v>
      </c>
      <c r="I993" s="194" t="n">
        <v>-11.7</v>
      </c>
      <c r="J993" s="194" t="n">
        <v>-47.1</v>
      </c>
      <c r="K993" s="195" t="inlineStr">
        <is>
          <t>9699 SF INTRA-CITY</t>
        </is>
      </c>
    </row>
    <row r="994">
      <c r="A994" s="32" t="inlineStr">
        <is>
          <t>Ms. Wong, Ka Wai Vivian</t>
        </is>
      </c>
      <c r="B994" s="191" t="n">
        <v>1</v>
      </c>
      <c r="C994" s="193" t="n">
        <v>0</v>
      </c>
      <c r="D994" s="194" t="n">
        <v>-11.4</v>
      </c>
      <c r="E994" s="194" t="n">
        <v>-22.8</v>
      </c>
      <c r="F994" s="194" t="n">
        <v>-19.2</v>
      </c>
      <c r="G994" s="194" t="n">
        <v>-24</v>
      </c>
      <c r="H994" s="194" t="n">
        <v>-12.9</v>
      </c>
      <c r="I994" s="194" t="n">
        <v>-8.800000000000001</v>
      </c>
      <c r="J994" s="194" t="n">
        <v>-14.2</v>
      </c>
      <c r="K994" s="195" t="inlineStr">
        <is>
          <t>2519 AUGROUP</t>
        </is>
      </c>
    </row>
    <row r="995">
      <c r="A995" s="32" t="inlineStr">
        <is>
          <t>Hong Kong Xinghuang Holdings Limited</t>
        </is>
      </c>
      <c r="B995" s="191" t="n">
        <v>1</v>
      </c>
      <c r="C995" s="193" t="n">
        <v>0</v>
      </c>
      <c r="D995" s="194" t="n">
        <v>-11.9</v>
      </c>
      <c r="E995" s="194" t="n">
        <v>-18.5</v>
      </c>
      <c r="F995" s="194" t="n">
        <v>-16.1</v>
      </c>
      <c r="G995" s="194" t="n">
        <v>-31.8</v>
      </c>
      <c r="H995" s="194" t="n">
        <v>-7.5</v>
      </c>
      <c r="I995" s="194" t="n">
        <v>-4.8</v>
      </c>
      <c r="J995" s="194" t="n">
        <v>-22.6</v>
      </c>
      <c r="K995" s="195" t="inlineStr">
        <is>
          <t>2619 XJ ELECTRICS</t>
        </is>
      </c>
    </row>
    <row r="996">
      <c r="A996" s="32" t="inlineStr">
        <is>
          <t>Hong Kong Yunxing Technology Trade Management Co., Limited</t>
        </is>
      </c>
      <c r="B996" s="191" t="n">
        <v>1</v>
      </c>
      <c r="C996" s="193" t="n">
        <v>0</v>
      </c>
      <c r="D996" s="194" t="n">
        <v>-11.9</v>
      </c>
      <c r="E996" s="194" t="n">
        <v>-18.5</v>
      </c>
      <c r="F996" s="194" t="n">
        <v>-16.1</v>
      </c>
      <c r="G996" s="194" t="n">
        <v>-31.8</v>
      </c>
      <c r="H996" s="194" t="n">
        <v>-7.5</v>
      </c>
      <c r="I996" s="194" t="n">
        <v>-4.8</v>
      </c>
      <c r="J996" s="194" t="n">
        <v>-22.6</v>
      </c>
      <c r="K996" s="195" t="inlineStr">
        <is>
          <t>2619 XJ ELECTRICS</t>
        </is>
      </c>
    </row>
    <row r="997">
      <c r="A997" s="32" t="inlineStr">
        <is>
          <t>Lucky Advent Limited</t>
        </is>
      </c>
      <c r="B997" s="191" t="n">
        <v>1</v>
      </c>
      <c r="C997" s="193" t="n">
        <v>0</v>
      </c>
      <c r="D997" s="194" t="n">
        <v>-12</v>
      </c>
      <c r="E997" s="194" t="n">
        <v>-9</v>
      </c>
      <c r="F997" s="194" t="n">
        <v>-23.7</v>
      </c>
      <c r="G997" s="194" t="n">
        <v>-38.3</v>
      </c>
      <c r="H997" s="194" t="n">
        <v>3.4</v>
      </c>
      <c r="I997" s="194" t="n">
        <v>-13.3</v>
      </c>
      <c r="J997" s="194" t="n">
        <v>-29.9</v>
      </c>
      <c r="K997" s="195" t="inlineStr">
        <is>
          <t>9982 CENTRALCHINA MT</t>
        </is>
      </c>
    </row>
    <row r="998">
      <c r="A998" s="32" t="inlineStr">
        <is>
          <t>Action Chain International Limited</t>
        </is>
      </c>
      <c r="B998" s="191" t="n">
        <v>1</v>
      </c>
      <c r="C998" s="193" t="n">
        <v>0</v>
      </c>
      <c r="D998" s="194" t="n">
        <v>-12.5</v>
      </c>
      <c r="E998" s="194" t="n">
        <v>-19.6</v>
      </c>
      <c r="F998" s="194" t="n">
        <v>-11.3</v>
      </c>
      <c r="G998" s="194" t="n">
        <v>3.2</v>
      </c>
      <c r="H998" s="194" t="n">
        <v>-8.1</v>
      </c>
      <c r="I998" s="194" t="n">
        <v>1.4</v>
      </c>
      <c r="J998" s="194" t="n">
        <v>18</v>
      </c>
      <c r="K998" s="195" t="inlineStr">
        <is>
          <t>6831 GREEN TEA GROUP</t>
        </is>
      </c>
    </row>
    <row r="999">
      <c r="A999" s="32" t="inlineStr">
        <is>
          <t>Chia Tai Food Investment Company Limited</t>
        </is>
      </c>
      <c r="B999" s="191" t="n">
        <v>1</v>
      </c>
      <c r="C999" s="193" t="n">
        <v>0</v>
      </c>
      <c r="D999" s="194" t="n">
        <v>-12.5</v>
      </c>
      <c r="E999" s="194" t="n">
        <v>-19.6</v>
      </c>
      <c r="F999" s="194" t="n">
        <v>-11.3</v>
      </c>
      <c r="G999" s="194" t="n">
        <v>3.2</v>
      </c>
      <c r="H999" s="194" t="n">
        <v>-8.1</v>
      </c>
      <c r="I999" s="194" t="n">
        <v>1.4</v>
      </c>
      <c r="J999" s="194" t="n">
        <v>18</v>
      </c>
      <c r="K999" s="195" t="inlineStr">
        <is>
          <t>6831 GREEN TEA GROUP</t>
        </is>
      </c>
    </row>
    <row r="1000">
      <c r="A1000" s="32" t="inlineStr">
        <is>
          <t>Grand Rejuvenation Premium Selection Fund SPC</t>
        </is>
      </c>
      <c r="B1000" s="191" t="n">
        <v>1</v>
      </c>
      <c r="C1000" s="193" t="n">
        <v>0</v>
      </c>
      <c r="D1000" s="194" t="n">
        <v>-13.5</v>
      </c>
      <c r="E1000" s="194" t="n">
        <v>-19.1</v>
      </c>
      <c r="F1000" s="194" t="n">
        <v>-42.9</v>
      </c>
      <c r="G1000" s="194" t="n">
        <v>-39.2</v>
      </c>
      <c r="H1000" s="194" t="n">
        <v>-6.4</v>
      </c>
      <c r="I1000" s="194" t="n">
        <v>-34</v>
      </c>
      <c r="J1000" s="194" t="n">
        <v>-29.7</v>
      </c>
      <c r="K1000" s="195" t="inlineStr">
        <is>
          <t>2150 NAYUKI</t>
        </is>
      </c>
    </row>
    <row r="1001">
      <c r="A1001" s="32" t="inlineStr">
        <is>
          <t>Nanning Zhijia No. 1 Ruiyue Equity Investment Partnership (Limited Partnership)</t>
        </is>
      </c>
      <c r="B1001" s="191" t="n">
        <v>1</v>
      </c>
      <c r="C1001" s="193" t="n">
        <v>0</v>
      </c>
      <c r="D1001" s="194" t="n">
        <v>-13.7</v>
      </c>
      <c r="E1001" s="194" t="n">
        <v>-15.2</v>
      </c>
      <c r="F1001" s="194" t="n">
        <v>-7.8</v>
      </c>
      <c r="G1001" s="194" t="n">
        <v>-11.8</v>
      </c>
      <c r="H1001" s="194" t="n">
        <v>-1.8</v>
      </c>
      <c r="I1001" s="194" t="n">
        <v>6.8</v>
      </c>
      <c r="J1001" s="194" t="n">
        <v>2.2</v>
      </c>
      <c r="K1001" s="195" t="inlineStr">
        <is>
          <t>3881 CIDI</t>
        </is>
      </c>
    </row>
    <row r="1002">
      <c r="A1002" s="32" t="inlineStr">
        <is>
          <t>EVE Asia</t>
        </is>
      </c>
      <c r="B1002" s="191" t="n">
        <v>1</v>
      </c>
      <c r="C1002" s="193" t="n">
        <v>0</v>
      </c>
      <c r="D1002" s="194" t="n">
        <v>-14.2</v>
      </c>
      <c r="E1002" s="194" t="n">
        <v>-16.2</v>
      </c>
      <c r="F1002" s="194" t="n">
        <v>-3.5</v>
      </c>
      <c r="G1002" s="194" t="n">
        <v>25.2</v>
      </c>
      <c r="H1002" s="194" t="n">
        <v>-2.4</v>
      </c>
      <c r="I1002" s="194" t="n">
        <v>12.4</v>
      </c>
      <c r="J1002" s="194" t="n">
        <v>45.8</v>
      </c>
      <c r="K1002" s="195" t="inlineStr">
        <is>
          <t>2643 CAOCAO INC</t>
        </is>
      </c>
    </row>
    <row r="1003">
      <c r="A1003" s="32" t="inlineStr">
        <is>
          <t>RoboSense Hong Kong</t>
        </is>
      </c>
      <c r="B1003" s="191" t="n">
        <v>1</v>
      </c>
      <c r="C1003" s="193" t="n">
        <v>0</v>
      </c>
      <c r="D1003" s="194" t="n">
        <v>-14.2</v>
      </c>
      <c r="E1003" s="194" t="n">
        <v>-16.2</v>
      </c>
      <c r="F1003" s="194" t="n">
        <v>-3.5</v>
      </c>
      <c r="G1003" s="194" t="n">
        <v>25.2</v>
      </c>
      <c r="H1003" s="194" t="n">
        <v>-2.4</v>
      </c>
      <c r="I1003" s="194" t="n">
        <v>12.4</v>
      </c>
      <c r="J1003" s="194" t="n">
        <v>45.8</v>
      </c>
      <c r="K1003" s="195" t="inlineStr">
        <is>
          <t>2643 CAOCAO INC</t>
        </is>
      </c>
    </row>
    <row r="1004">
      <c r="A1004" s="32" t="inlineStr">
        <is>
          <t>Eurus Holdings SPC acting for and on behalf of OAAM Diversified Opportunities IV S.P</t>
        </is>
      </c>
      <c r="B1004" s="191" t="n">
        <v>1</v>
      </c>
      <c r="C1004" s="193" t="n">
        <v>0</v>
      </c>
      <c r="D1004" s="194" t="n">
        <v>-14.6</v>
      </c>
      <c r="E1004" s="194" t="n">
        <v>21.9</v>
      </c>
      <c r="F1004" s="194" t="n">
        <v>-42.2</v>
      </c>
      <c r="G1004" s="194" t="n">
        <v>-45.5</v>
      </c>
      <c r="H1004" s="194" t="n">
        <v>42.7</v>
      </c>
      <c r="I1004" s="194" t="n">
        <v>-32.3</v>
      </c>
      <c r="J1004" s="194" t="n">
        <v>-36.2</v>
      </c>
      <c r="K1004" s="195" t="inlineStr">
        <is>
          <t>3952 LAIFUAL</t>
        </is>
      </c>
    </row>
    <row r="1005">
      <c r="A1005" s="32" t="inlineStr">
        <is>
          <t>CaaS Capital Master Fund LP</t>
        </is>
      </c>
      <c r="B1005" s="191" t="n">
        <v>1</v>
      </c>
      <c r="C1005" s="193" t="n">
        <v>0</v>
      </c>
      <c r="D1005" s="194" t="n">
        <v>-14.8</v>
      </c>
      <c r="E1005" s="194" t="n">
        <v>-32.1</v>
      </c>
      <c r="F1005" s="194" t="n">
        <v>-20.9</v>
      </c>
      <c r="G1005" s="194" t="n">
        <v>-52.4</v>
      </c>
      <c r="H1005" s="194" t="n">
        <v>-20.4</v>
      </c>
      <c r="I1005" s="194" t="n">
        <v>-7.3</v>
      </c>
      <c r="J1005" s="194" t="n">
        <v>-44.1</v>
      </c>
      <c r="K1005" s="195" t="inlineStr">
        <is>
          <t>6622 ZHAOKE OPHTH-B</t>
        </is>
      </c>
    </row>
    <row r="1006">
      <c r="A1006" s="32" t="inlineStr">
        <is>
          <t>Jennison Associates LLC</t>
        </is>
      </c>
      <c r="B1006" s="191" t="n">
        <v>1</v>
      </c>
      <c r="C1006" s="193" t="n">
        <v>0</v>
      </c>
      <c r="D1006" s="194" t="n">
        <v>-14.8</v>
      </c>
      <c r="E1006" s="194" t="n">
        <v>-32.1</v>
      </c>
      <c r="F1006" s="194" t="n">
        <v>-20.9</v>
      </c>
      <c r="G1006" s="194" t="n">
        <v>-52.4</v>
      </c>
      <c r="H1006" s="194" t="n">
        <v>-20.4</v>
      </c>
      <c r="I1006" s="194" t="n">
        <v>-7.3</v>
      </c>
      <c r="J1006" s="194" t="n">
        <v>-44.1</v>
      </c>
      <c r="K1006" s="195" t="inlineStr">
        <is>
          <t>6622 ZHAOKE OPHTH-B</t>
        </is>
      </c>
    </row>
    <row r="1007">
      <c r="A1007" s="32" t="inlineStr">
        <is>
          <t>Mass Ave Global, Inc</t>
        </is>
      </c>
      <c r="B1007" s="191" t="n">
        <v>1</v>
      </c>
      <c r="C1007" s="193" t="n">
        <v>0</v>
      </c>
      <c r="D1007" s="194" t="n">
        <v>-14.8</v>
      </c>
      <c r="E1007" s="194" t="n">
        <v>-32.1</v>
      </c>
      <c r="F1007" s="194" t="n">
        <v>-20.9</v>
      </c>
      <c r="G1007" s="194" t="n">
        <v>-52.4</v>
      </c>
      <c r="H1007" s="194" t="n">
        <v>-20.4</v>
      </c>
      <c r="I1007" s="194" t="n">
        <v>-7.3</v>
      </c>
      <c r="J1007" s="194" t="n">
        <v>-44.1</v>
      </c>
      <c r="K1007" s="195" t="inlineStr">
        <is>
          <t>6622 ZHAOKE OPHTH-B</t>
        </is>
      </c>
    </row>
    <row r="1008">
      <c r="A1008" s="32" t="inlineStr">
        <is>
          <t>VMS Zhaoke Investment Fund SP</t>
        </is>
      </c>
      <c r="B1008" s="191" t="n">
        <v>1</v>
      </c>
      <c r="C1008" s="193" t="n">
        <v>0</v>
      </c>
      <c r="D1008" s="194" t="n">
        <v>-14.8</v>
      </c>
      <c r="E1008" s="194" t="n">
        <v>-32.1</v>
      </c>
      <c r="F1008" s="194" t="n">
        <v>-20.9</v>
      </c>
      <c r="G1008" s="194" t="n">
        <v>-52.4</v>
      </c>
      <c r="H1008" s="194" t="n">
        <v>-20.4</v>
      </c>
      <c r="I1008" s="194" t="n">
        <v>-7.3</v>
      </c>
      <c r="J1008" s="194" t="n">
        <v>-44.1</v>
      </c>
      <c r="K1008" s="195" t="inlineStr">
        <is>
          <t>6622 ZHAOKE OPHTH-B</t>
        </is>
      </c>
    </row>
    <row r="1009">
      <c r="A1009" s="32" t="inlineStr">
        <is>
          <t>Accel Group Holdings Limited 高 陞集團控股有限公司</t>
        </is>
      </c>
      <c r="B1009" s="191" t="n">
        <v>1</v>
      </c>
      <c r="C1009" s="193" t="n">
        <v>0</v>
      </c>
      <c r="D1009" s="194" t="n">
        <v>-15.1</v>
      </c>
      <c r="E1009" s="194" t="n">
        <v>-39.7</v>
      </c>
      <c r="F1009" s="194" t="n">
        <v>-37</v>
      </c>
      <c r="G1009" s="194" t="n">
        <v>-44.5</v>
      </c>
      <c r="H1009" s="194" t="n">
        <v>-29</v>
      </c>
      <c r="I1009" s="194" t="n">
        <v>-25.8</v>
      </c>
      <c r="J1009" s="194" t="n">
        <v>-34.7</v>
      </c>
      <c r="K1009" s="195" t="inlineStr">
        <is>
          <t>9639 WING LEE DEV</t>
        </is>
      </c>
    </row>
    <row r="1010">
      <c r="A1010" s="32" t="inlineStr">
        <is>
          <t>Cederberg Capital Limited</t>
        </is>
      </c>
      <c r="B1010" s="191" t="n">
        <v>1</v>
      </c>
      <c r="C1010" s="193" t="n">
        <v>0</v>
      </c>
      <c r="D1010" s="194" t="n">
        <v>-16</v>
      </c>
      <c r="E1010" s="194" t="n">
        <v>-23.1</v>
      </c>
      <c r="F1010" s="194" t="n">
        <v>-35.1</v>
      </c>
      <c r="G1010" s="194" t="n">
        <v>-40.6</v>
      </c>
      <c r="H1010" s="194" t="n">
        <v>-8.4</v>
      </c>
      <c r="I1010" s="194" t="n">
        <v>-22.6</v>
      </c>
      <c r="J1010" s="194" t="n">
        <v>-29.2</v>
      </c>
      <c r="K1010" s="195" t="inlineStr">
        <is>
          <t>6608 BAIRONG-W</t>
        </is>
      </c>
    </row>
    <row r="1011">
      <c r="A1011" s="32" t="inlineStr">
        <is>
          <t>Franchise Fund LP</t>
        </is>
      </c>
      <c r="B1011" s="191" t="n">
        <v>1</v>
      </c>
      <c r="C1011" s="193" t="n">
        <v>0</v>
      </c>
      <c r="D1011" s="194" t="n">
        <v>-16</v>
      </c>
      <c r="E1011" s="194" t="n">
        <v>-23.1</v>
      </c>
      <c r="F1011" s="194" t="n">
        <v>-35.1</v>
      </c>
      <c r="G1011" s="194" t="n">
        <v>-40.6</v>
      </c>
      <c r="H1011" s="194" t="n">
        <v>-8.4</v>
      </c>
      <c r="I1011" s="194" t="n">
        <v>-22.6</v>
      </c>
      <c r="J1011" s="194" t="n">
        <v>-29.2</v>
      </c>
      <c r="K1011" s="195" t="inlineStr">
        <is>
          <t>6608 BAIRONG-W</t>
        </is>
      </c>
    </row>
    <row r="1012">
      <c r="A1012" s="32" t="inlineStr">
        <is>
          <t>Hengtong Optic-electric International</t>
        </is>
      </c>
      <c r="B1012" s="191" t="n">
        <v>1</v>
      </c>
      <c r="C1012" s="193" t="n">
        <v>0</v>
      </c>
      <c r="D1012" s="194" t="n">
        <v>-16</v>
      </c>
      <c r="E1012" s="194" t="n">
        <v>-16.4</v>
      </c>
      <c r="F1012" s="194" t="n">
        <v>-16.7</v>
      </c>
      <c r="G1012" s="194" t="n">
        <v>8.300000000000001</v>
      </c>
      <c r="H1012" s="194" t="n">
        <v>-0.5</v>
      </c>
      <c r="I1012" s="194" t="n">
        <v>-0.8</v>
      </c>
      <c r="J1012" s="194" t="n">
        <v>28.9</v>
      </c>
      <c r="K1012" s="195" t="inlineStr">
        <is>
          <t>2715 ESTUN</t>
        </is>
      </c>
    </row>
    <row r="1013">
      <c r="A1013" s="32" t="inlineStr">
        <is>
          <t>Haitian Huayuan</t>
        </is>
      </c>
      <c r="B1013" s="191" t="n">
        <v>1</v>
      </c>
      <c r="C1013" s="193" t="n">
        <v>0</v>
      </c>
      <c r="D1013" s="194" t="n">
        <v>-16</v>
      </c>
      <c r="E1013" s="194" t="n">
        <v>-16.4</v>
      </c>
      <c r="F1013" s="194" t="n">
        <v>-16.7</v>
      </c>
      <c r="G1013" s="194" t="n">
        <v>8.300000000000001</v>
      </c>
      <c r="H1013" s="194" t="n">
        <v>-0.5</v>
      </c>
      <c r="I1013" s="194" t="n">
        <v>-0.8</v>
      </c>
      <c r="J1013" s="194" t="n">
        <v>28.9</v>
      </c>
      <c r="K1013" s="195" t="inlineStr">
        <is>
          <t>2715 ESTUN</t>
        </is>
      </c>
    </row>
    <row r="1014">
      <c r="A1014" s="32" t="inlineStr">
        <is>
          <t>New Fortune</t>
        </is>
      </c>
      <c r="B1014" s="191" t="n">
        <v>1</v>
      </c>
      <c r="C1014" s="193" t="n">
        <v>0</v>
      </c>
      <c r="D1014" s="194" t="n">
        <v>-16</v>
      </c>
      <c r="E1014" s="194" t="n">
        <v>-16.4</v>
      </c>
      <c r="F1014" s="194" t="n">
        <v>-16.7</v>
      </c>
      <c r="G1014" s="194" t="n">
        <v>8.300000000000001</v>
      </c>
      <c r="H1014" s="194" t="n">
        <v>-0.5</v>
      </c>
      <c r="I1014" s="194" t="n">
        <v>-0.8</v>
      </c>
      <c r="J1014" s="194" t="n">
        <v>28.9</v>
      </c>
      <c r="K1014" s="195" t="inlineStr">
        <is>
          <t>2715 ESTUN</t>
        </is>
      </c>
    </row>
    <row r="1015">
      <c r="A1015" s="32" t="inlineStr">
        <is>
          <t>CI Global Asset Management</t>
        </is>
      </c>
      <c r="B1015" s="191" t="n">
        <v>1</v>
      </c>
      <c r="C1015" s="193" t="n">
        <v>0</v>
      </c>
      <c r="D1015" s="194" t="n">
        <v>-16.5</v>
      </c>
      <c r="E1015" s="194" t="n">
        <v>-7.6</v>
      </c>
      <c r="F1015" s="194" t="n">
        <v>-9.6</v>
      </c>
      <c r="G1015" s="194" t="n">
        <v>-12.4</v>
      </c>
      <c r="H1015" s="194" t="n">
        <v>10.6</v>
      </c>
      <c r="I1015" s="194" t="n">
        <v>8.199999999999999</v>
      </c>
      <c r="J1015" s="194" t="n">
        <v>4.8</v>
      </c>
      <c r="K1015" s="195" t="inlineStr">
        <is>
          <t>2191 SF REIT</t>
        </is>
      </c>
    </row>
    <row r="1016">
      <c r="A1016" s="32" t="inlineStr">
        <is>
          <t>SINO-BLR Industrial Investment Fund, L.P</t>
        </is>
      </c>
      <c r="B1016" s="191" t="n">
        <v>1</v>
      </c>
      <c r="C1016" s="193" t="n">
        <v>0</v>
      </c>
      <c r="D1016" s="194" t="n">
        <v>-16.6</v>
      </c>
      <c r="E1016" s="194" t="n">
        <v>-19.2</v>
      </c>
      <c r="F1016" s="194" t="n">
        <v>-11.5</v>
      </c>
      <c r="G1016" s="194" t="n">
        <v>-35.1</v>
      </c>
      <c r="H1016" s="194" t="n">
        <v>-3.2</v>
      </c>
      <c r="I1016" s="194" t="n">
        <v>6</v>
      </c>
      <c r="J1016" s="194" t="n">
        <v>-22.2</v>
      </c>
      <c r="K1016" s="195" t="inlineStr">
        <is>
          <t>6680 JLMAG</t>
        </is>
      </c>
    </row>
    <row r="1017">
      <c r="A1017" s="32" t="inlineStr">
        <is>
          <t>HiTai (Hong Kong) Limited ʮ̡</t>
        </is>
      </c>
      <c r="B1017" s="191" t="n">
        <v>1</v>
      </c>
      <c r="C1017" s="193" t="n">
        <v>0</v>
      </c>
      <c r="D1017" s="194" t="n">
        <v>-18.2</v>
      </c>
      <c r="E1017" s="194" t="n">
        <v>-33</v>
      </c>
      <c r="F1017" s="194" t="n">
        <v>-39.5</v>
      </c>
      <c r="G1017" s="194" t="n">
        <v>-41.8</v>
      </c>
      <c r="H1017" s="194" t="n">
        <v>-18.1</v>
      </c>
      <c r="I1017" s="194" t="n">
        <v>-26</v>
      </c>
      <c r="J1017" s="194" t="n">
        <v>-28.9</v>
      </c>
      <c r="K1017" s="195" t="inlineStr">
        <is>
          <t>2621 SHOUHUI GROUP</t>
        </is>
      </c>
    </row>
    <row r="1018">
      <c r="A1018" s="32" t="inlineStr">
        <is>
          <t>Taller industrial Co., Limited</t>
        </is>
      </c>
      <c r="B1018" s="191" t="n">
        <v>1</v>
      </c>
      <c r="C1018" s="193" t="n">
        <v>0</v>
      </c>
      <c r="D1018" s="194" t="n">
        <v>-18.2</v>
      </c>
      <c r="E1018" s="194" t="n">
        <v>-33</v>
      </c>
      <c r="F1018" s="194" t="n">
        <v>-39.5</v>
      </c>
      <c r="G1018" s="194" t="n">
        <v>-41.8</v>
      </c>
      <c r="H1018" s="194" t="n">
        <v>-18.1</v>
      </c>
      <c r="I1018" s="194" t="n">
        <v>-26</v>
      </c>
      <c r="J1018" s="194" t="n">
        <v>-28.9</v>
      </c>
      <c r="K1018" s="195" t="inlineStr">
        <is>
          <t>2621 SHOUHUI GROUP</t>
        </is>
      </c>
    </row>
    <row r="1019">
      <c r="A1019" s="32" t="inlineStr">
        <is>
          <t>ROSY DAY INVESTMENTS LIMITED</t>
        </is>
      </c>
      <c r="B1019" s="191" t="n">
        <v>1</v>
      </c>
      <c r="C1019" s="193" t="n">
        <v>0</v>
      </c>
      <c r="D1019" s="194" t="n">
        <v>-18.7</v>
      </c>
      <c r="E1019" s="194" t="n">
        <v>0</v>
      </c>
      <c r="F1019" s="194" t="n">
        <v>-14.8</v>
      </c>
      <c r="G1019" s="194" t="n">
        <v>2.8</v>
      </c>
      <c r="H1019" s="194" t="n">
        <v>23</v>
      </c>
      <c r="I1019" s="194" t="n">
        <v>4.8</v>
      </c>
      <c r="J1019" s="194" t="n">
        <v>26.4</v>
      </c>
      <c r="K1019" s="195" t="inlineStr">
        <is>
          <t>6911 LANCANG TEA</t>
        </is>
      </c>
    </row>
    <row r="1020">
      <c r="A1020" s="32" t="inlineStr">
        <is>
          <t>Wang Chunyu</t>
        </is>
      </c>
      <c r="B1020" s="191" t="n">
        <v>1</v>
      </c>
      <c r="C1020" s="193" t="n">
        <v>0</v>
      </c>
      <c r="D1020" s="194" t="n">
        <v>-18.7</v>
      </c>
      <c r="E1020" s="194" t="n">
        <v>0</v>
      </c>
      <c r="F1020" s="194" t="n">
        <v>-14.8</v>
      </c>
      <c r="G1020" s="194" t="n">
        <v>2.8</v>
      </c>
      <c r="H1020" s="194" t="n">
        <v>23</v>
      </c>
      <c r="I1020" s="194" t="n">
        <v>4.8</v>
      </c>
      <c r="J1020" s="194" t="n">
        <v>26.4</v>
      </c>
      <c r="K1020" s="195" t="inlineStr">
        <is>
          <t>6911 LANCANG TEA</t>
        </is>
      </c>
    </row>
    <row r="1021">
      <c r="A1021" s="32" t="inlineStr">
        <is>
          <t>Lancang Green Resource Investment Co., Ltd</t>
        </is>
      </c>
      <c r="B1021" s="191" t="n">
        <v>1</v>
      </c>
      <c r="C1021" s="193" t="n">
        <v>0</v>
      </c>
      <c r="D1021" s="194" t="n">
        <v>-18.7</v>
      </c>
      <c r="E1021" s="194" t="n">
        <v>0</v>
      </c>
      <c r="F1021" s="194" t="n">
        <v>-14.8</v>
      </c>
      <c r="G1021" s="194" t="n">
        <v>2.8</v>
      </c>
      <c r="H1021" s="194" t="n">
        <v>23</v>
      </c>
      <c r="I1021" s="194" t="n">
        <v>4.8</v>
      </c>
      <c r="J1021" s="194" t="n">
        <v>26.4</v>
      </c>
      <c r="K1021" s="195" t="inlineStr">
        <is>
          <t>6911 LANCANG TEA</t>
        </is>
      </c>
    </row>
    <row r="1022">
      <c r="A1022" s="32" t="inlineStr">
        <is>
          <t>Beijing Yian and HTCI (in connection with the Beijing Yian OTC Swaps)</t>
        </is>
      </c>
      <c r="B1022" s="191" t="n">
        <v>1</v>
      </c>
      <c r="C1022" s="193" t="n">
        <v>0</v>
      </c>
      <c r="D1022" s="194" t="n">
        <v>-18.7</v>
      </c>
      <c r="E1022" s="194" t="n">
        <v>-13.2</v>
      </c>
      <c r="F1022" s="194" t="n">
        <v>-3.2</v>
      </c>
      <c r="G1022" s="196" t="n"/>
      <c r="H1022" s="194" t="n">
        <v>6.7</v>
      </c>
      <c r="I1022" s="194" t="n">
        <v>19.1</v>
      </c>
      <c r="J1022" s="196" t="n"/>
      <c r="K1022" s="195" t="inlineStr">
        <is>
          <t>6745 BEFAR GROUP</t>
        </is>
      </c>
    </row>
    <row r="1023">
      <c r="A1023" s="32" t="inlineStr">
        <is>
          <t>Luhua Daosheng and HTCI (in connection with the Luhua Daosheng OTC Swaps)</t>
        </is>
      </c>
      <c r="B1023" s="191" t="n">
        <v>1</v>
      </c>
      <c r="C1023" s="193" t="n">
        <v>0</v>
      </c>
      <c r="D1023" s="194" t="n">
        <v>-18.7</v>
      </c>
      <c r="E1023" s="194" t="n">
        <v>-13.2</v>
      </c>
      <c r="F1023" s="194" t="n">
        <v>-3.2</v>
      </c>
      <c r="G1023" s="196" t="n"/>
      <c r="H1023" s="194" t="n">
        <v>6.7</v>
      </c>
      <c r="I1023" s="194" t="n">
        <v>19.1</v>
      </c>
      <c r="J1023" s="196" t="n"/>
      <c r="K1023" s="195" t="inlineStr">
        <is>
          <t>6745 BEFAR GROUP</t>
        </is>
      </c>
    </row>
    <row r="1024">
      <c r="A1024" s="32" t="inlineStr">
        <is>
          <t>Hyperion Venture</t>
        </is>
      </c>
      <c r="B1024" s="191" t="n">
        <v>1</v>
      </c>
      <c r="C1024" s="193" t="n">
        <v>0</v>
      </c>
      <c r="D1024" s="194" t="n">
        <v>-18.7</v>
      </c>
      <c r="E1024" s="194" t="n">
        <v>-13.2</v>
      </c>
      <c r="F1024" s="194" t="n">
        <v>-3.2</v>
      </c>
      <c r="G1024" s="196" t="n"/>
      <c r="H1024" s="194" t="n">
        <v>6.7</v>
      </c>
      <c r="I1024" s="194" t="n">
        <v>19.1</v>
      </c>
      <c r="J1024" s="196" t="n"/>
      <c r="K1024" s="195" t="inlineStr">
        <is>
          <t>6745 BEFAR GROUP</t>
        </is>
      </c>
    </row>
    <row r="1025">
      <c r="A1025" s="32" t="inlineStr">
        <is>
          <t>Tianto</t>
        </is>
      </c>
      <c r="B1025" s="191" t="n">
        <v>1</v>
      </c>
      <c r="C1025" s="193" t="n">
        <v>0</v>
      </c>
      <c r="D1025" s="194" t="n">
        <v>-18.7</v>
      </c>
      <c r="E1025" s="194" t="n">
        <v>-13.2</v>
      </c>
      <c r="F1025" s="194" t="n">
        <v>-3.2</v>
      </c>
      <c r="G1025" s="196" t="n"/>
      <c r="H1025" s="194" t="n">
        <v>6.7</v>
      </c>
      <c r="I1025" s="194" t="n">
        <v>19.1</v>
      </c>
      <c r="J1025" s="196" t="n"/>
      <c r="K1025" s="195" t="inlineStr">
        <is>
          <t>6745 BEFAR GROUP</t>
        </is>
      </c>
    </row>
    <row r="1026">
      <c r="A1026" s="32" t="inlineStr">
        <is>
          <t>Safewell</t>
        </is>
      </c>
      <c r="B1026" s="191" t="n">
        <v>1</v>
      </c>
      <c r="C1026" s="193" t="n">
        <v>0</v>
      </c>
      <c r="D1026" s="194" t="n">
        <v>-18.7</v>
      </c>
      <c r="E1026" s="194" t="n">
        <v>-13.2</v>
      </c>
      <c r="F1026" s="194" t="n">
        <v>-3.2</v>
      </c>
      <c r="G1026" s="196" t="n"/>
      <c r="H1026" s="194" t="n">
        <v>6.7</v>
      </c>
      <c r="I1026" s="194" t="n">
        <v>19.1</v>
      </c>
      <c r="J1026" s="196" t="n"/>
      <c r="K1026" s="195" t="inlineStr">
        <is>
          <t>6745 BEFAR GROUP</t>
        </is>
      </c>
    </row>
    <row r="1027">
      <c r="A1027" s="32" t="inlineStr">
        <is>
          <t>Summer Healthcare Fund, L.P</t>
        </is>
      </c>
      <c r="B1027" s="191" t="n">
        <v>1</v>
      </c>
      <c r="C1027" s="193" t="n">
        <v>0</v>
      </c>
      <c r="D1027" s="194" t="n">
        <v>-19.8</v>
      </c>
      <c r="E1027" s="194" t="n">
        <v>-27.8</v>
      </c>
      <c r="F1027" s="194" t="n">
        <v>-39.6</v>
      </c>
      <c r="G1027" s="194" t="n">
        <v>-56.7</v>
      </c>
      <c r="H1027" s="194" t="n">
        <v>-10</v>
      </c>
      <c r="I1027" s="194" t="n">
        <v>-24.7</v>
      </c>
      <c r="J1027" s="194" t="n">
        <v>-46.1</v>
      </c>
      <c r="K1027" s="195" t="inlineStr">
        <is>
          <t>2216 BRONCUS-B</t>
        </is>
      </c>
    </row>
    <row r="1028">
      <c r="A1028" s="32" t="inlineStr">
        <is>
          <t>Danube Bridge Shipping Limited</t>
        </is>
      </c>
      <c r="B1028" s="191" t="n">
        <v>1</v>
      </c>
      <c r="C1028" s="193" t="n">
        <v>0</v>
      </c>
      <c r="D1028" s="194" t="n">
        <v>-21.1</v>
      </c>
      <c r="E1028" s="194" t="n">
        <v>-7.7</v>
      </c>
      <c r="F1028" s="194" t="n">
        <v>-13.8</v>
      </c>
      <c r="G1028" s="194" t="n">
        <v>-5.8</v>
      </c>
      <c r="H1028" s="194" t="n">
        <v>17.1</v>
      </c>
      <c r="I1028" s="194" t="n">
        <v>9.300000000000001</v>
      </c>
      <c r="J1028" s="194" t="n">
        <v>19.4</v>
      </c>
      <c r="K1028" s="195" t="inlineStr">
        <is>
          <t>2409 SEACON</t>
        </is>
      </c>
    </row>
    <row r="1029">
      <c r="A1029" s="32" t="inlineStr">
        <is>
          <t>Guodian Shipping (Hong Kong) Company Limited</t>
        </is>
      </c>
      <c r="B1029" s="191" t="n">
        <v>1</v>
      </c>
      <c r="C1029" s="193" t="n">
        <v>0</v>
      </c>
      <c r="D1029" s="194" t="n">
        <v>-21.1</v>
      </c>
      <c r="E1029" s="194" t="n">
        <v>-7.7</v>
      </c>
      <c r="F1029" s="194" t="n">
        <v>-13.8</v>
      </c>
      <c r="G1029" s="194" t="n">
        <v>-5.8</v>
      </c>
      <c r="H1029" s="194" t="n">
        <v>17.1</v>
      </c>
      <c r="I1029" s="194" t="n">
        <v>9.300000000000001</v>
      </c>
      <c r="J1029" s="194" t="n">
        <v>19.4</v>
      </c>
      <c r="K1029" s="195" t="inlineStr">
        <is>
          <t>2409 SEACON</t>
        </is>
      </c>
    </row>
    <row r="1030">
      <c r="A1030" s="32" t="inlineStr">
        <is>
          <t>Kobayashi Pharmaceutical Co., Ltd</t>
        </is>
      </c>
      <c r="B1030" s="191" t="n">
        <v>1</v>
      </c>
      <c r="C1030" s="193" t="n">
        <v>0</v>
      </c>
      <c r="D1030" s="194" t="n">
        <v>-23.8</v>
      </c>
      <c r="E1030" s="194" t="n">
        <v>-29.1</v>
      </c>
      <c r="F1030" s="194" t="n">
        <v>-50.4</v>
      </c>
      <c r="G1030" s="194" t="n">
        <v>-57</v>
      </c>
      <c r="H1030" s="194" t="n">
        <v>-7</v>
      </c>
      <c r="I1030" s="194" t="n">
        <v>-35</v>
      </c>
      <c r="J1030" s="194" t="n">
        <v>-43.6</v>
      </c>
      <c r="K1030" s="195" t="inlineStr">
        <is>
          <t>2177 UNQ HOLDINGS</t>
        </is>
      </c>
    </row>
    <row r="1031">
      <c r="A1031" s="32" t="inlineStr">
        <is>
          <t>Unicharm Corporation</t>
        </is>
      </c>
      <c r="B1031" s="191" t="n">
        <v>1</v>
      </c>
      <c r="C1031" s="193" t="n">
        <v>0</v>
      </c>
      <c r="D1031" s="194" t="n">
        <v>-23.8</v>
      </c>
      <c r="E1031" s="194" t="n">
        <v>-29.1</v>
      </c>
      <c r="F1031" s="194" t="n">
        <v>-50.4</v>
      </c>
      <c r="G1031" s="194" t="n">
        <v>-57</v>
      </c>
      <c r="H1031" s="194" t="n">
        <v>-7</v>
      </c>
      <c r="I1031" s="194" t="n">
        <v>-35</v>
      </c>
      <c r="J1031" s="194" t="n">
        <v>-43.6</v>
      </c>
      <c r="K1031" s="195" t="inlineStr">
        <is>
          <t>2177 UNQ HOLDINGS</t>
        </is>
      </c>
    </row>
    <row r="1032">
      <c r="A1032" s="32" t="inlineStr">
        <is>
          <t>Shenzhen Futian Guiding Fund Investment Co., Ltd</t>
        </is>
      </c>
      <c r="B1032" s="191" t="n">
        <v>1</v>
      </c>
      <c r="C1032" s="193" t="n">
        <v>0</v>
      </c>
      <c r="D1032" s="194" t="n">
        <v>-24.9</v>
      </c>
      <c r="E1032" s="194" t="n">
        <v>-38.5</v>
      </c>
      <c r="F1032" s="194" t="n">
        <v>-13.8</v>
      </c>
      <c r="G1032" s="194" t="n">
        <v>-20.1</v>
      </c>
      <c r="H1032" s="194" t="n">
        <v>-18</v>
      </c>
      <c r="I1032" s="194" t="n">
        <v>14.7</v>
      </c>
      <c r="J1032" s="194" t="n">
        <v>6.3</v>
      </c>
      <c r="K1032" s="195" t="inlineStr">
        <is>
          <t>1973 TIAN TU CAPITAL</t>
        </is>
      </c>
    </row>
    <row r="1033">
      <c r="A1033" s="32" t="inlineStr">
        <is>
          <t>SVF II Zeal</t>
        </is>
      </c>
      <c r="B1033" s="191" t="n">
        <v>1</v>
      </c>
      <c r="C1033" s="193" t="n">
        <v>0</v>
      </c>
      <c r="D1033" s="194" t="n">
        <v>-25.5</v>
      </c>
      <c r="E1033" s="194" t="n">
        <v>-34.4</v>
      </c>
      <c r="F1033" s="194" t="n">
        <v>-46.8</v>
      </c>
      <c r="G1033" s="194" t="n">
        <v>-24.1</v>
      </c>
      <c r="H1033" s="194" t="n">
        <v>-11.9</v>
      </c>
      <c r="I1033" s="194" t="n">
        <v>-28.6</v>
      </c>
      <c r="J1033" s="194" t="n">
        <v>1.8</v>
      </c>
      <c r="K1033" s="195" t="inlineStr">
        <is>
          <t>2121 AINNOVATION</t>
        </is>
      </c>
    </row>
    <row r="1034">
      <c r="A1034" s="32" t="inlineStr">
        <is>
          <t>Jinan Huaiyin Urban Construction Investment Group Co., Ltd</t>
        </is>
      </c>
      <c r="B1034" s="191" t="n">
        <v>1</v>
      </c>
      <c r="C1034" s="193" t="n">
        <v>0</v>
      </c>
      <c r="D1034" s="194" t="n">
        <v>-25.9</v>
      </c>
      <c r="E1034" s="194" t="n">
        <v>-23.5</v>
      </c>
      <c r="F1034" s="194" t="n">
        <v>-25.9</v>
      </c>
      <c r="G1034" s="194" t="n">
        <v>-20</v>
      </c>
      <c r="H1034" s="194" t="n">
        <v>3.2</v>
      </c>
      <c r="I1034" s="194" t="n">
        <v>0</v>
      </c>
      <c r="J1034" s="194" t="n">
        <v>7.9</v>
      </c>
      <c r="K1034" s="195" t="inlineStr">
        <is>
          <t>2455 RUNHUA SERVICE</t>
        </is>
      </c>
    </row>
    <row r="1035">
      <c r="A1035" s="32" t="inlineStr">
        <is>
          <t>Yizekangrui Medical (HK) Limited ʮ̡</t>
        </is>
      </c>
      <c r="B1035" s="191" t="n">
        <v>1</v>
      </c>
      <c r="C1035" s="193" t="n">
        <v>0</v>
      </c>
      <c r="D1035" s="194" t="n">
        <v>-25.9</v>
      </c>
      <c r="E1035" s="194" t="n">
        <v>-37.8</v>
      </c>
      <c r="F1035" s="194" t="n">
        <v>-42.3</v>
      </c>
      <c r="G1035" s="194" t="n">
        <v>118</v>
      </c>
      <c r="H1035" s="194" t="n">
        <v>-16.1</v>
      </c>
      <c r="I1035" s="194" t="n">
        <v>-22.1</v>
      </c>
      <c r="J1035" s="194" t="n">
        <v>194.1</v>
      </c>
      <c r="K1035" s="195" t="inlineStr">
        <is>
          <t>2565 PEGBIO CO-B</t>
        </is>
      </c>
    </row>
    <row r="1036">
      <c r="A1036" s="32" t="inlineStr">
        <is>
          <t>Daguan International Limited</t>
        </is>
      </c>
      <c r="B1036" s="191" t="n">
        <v>1</v>
      </c>
      <c r="C1036" s="193" t="n">
        <v>0</v>
      </c>
      <c r="D1036" s="194" t="n">
        <v>-26.1</v>
      </c>
      <c r="E1036" s="194" t="n">
        <v>-26.9</v>
      </c>
      <c r="F1036" s="194" t="n">
        <v>-37.9</v>
      </c>
      <c r="G1036" s="194" t="n">
        <v>-41</v>
      </c>
      <c r="H1036" s="194" t="n">
        <v>-1.1</v>
      </c>
      <c r="I1036" s="194" t="n">
        <v>-16</v>
      </c>
      <c r="J1036" s="194" t="n">
        <v>-20.2</v>
      </c>
      <c r="K1036" s="195" t="inlineStr">
        <is>
          <t>6669 ACOTEC-B</t>
        </is>
      </c>
    </row>
    <row r="1037">
      <c r="A1037" s="32" t="inlineStr">
        <is>
          <t>New Journey Hospital Group Ltd</t>
        </is>
      </c>
      <c r="B1037" s="191" t="n">
        <v>1</v>
      </c>
      <c r="C1037" s="193" t="n">
        <v>0</v>
      </c>
      <c r="D1037" s="194" t="n">
        <v>-26.1</v>
      </c>
      <c r="E1037" s="194" t="n">
        <v>-26.9</v>
      </c>
      <c r="F1037" s="194" t="n">
        <v>-37.9</v>
      </c>
      <c r="G1037" s="194" t="n">
        <v>-41</v>
      </c>
      <c r="H1037" s="194" t="n">
        <v>-1.1</v>
      </c>
      <c r="I1037" s="194" t="n">
        <v>-16</v>
      </c>
      <c r="J1037" s="194" t="n">
        <v>-20.2</v>
      </c>
      <c r="K1037" s="195" t="inlineStr">
        <is>
          <t>6669 ACOTEC-B</t>
        </is>
      </c>
    </row>
    <row r="1038">
      <c r="A1038" s="32" t="inlineStr">
        <is>
          <t>PRIMEONE LUCK LIMITED</t>
        </is>
      </c>
      <c r="B1038" s="191" t="n">
        <v>1</v>
      </c>
      <c r="C1038" s="193" t="n">
        <v>0</v>
      </c>
      <c r="D1038" s="194" t="n">
        <v>-26.1</v>
      </c>
      <c r="E1038" s="194" t="n">
        <v>-26.9</v>
      </c>
      <c r="F1038" s="194" t="n">
        <v>-37.9</v>
      </c>
      <c r="G1038" s="194" t="n">
        <v>-41</v>
      </c>
      <c r="H1038" s="194" t="n">
        <v>-1.1</v>
      </c>
      <c r="I1038" s="194" t="n">
        <v>-16</v>
      </c>
      <c r="J1038" s="194" t="n">
        <v>-20.2</v>
      </c>
      <c r="K1038" s="195" t="inlineStr">
        <is>
          <t>6669 ACOTEC-B</t>
        </is>
      </c>
    </row>
    <row r="1039">
      <c r="A1039" s="32" t="inlineStr">
        <is>
          <t>Belinda A. Termeer</t>
        </is>
      </c>
      <c r="B1039" s="191" t="n">
        <v>1</v>
      </c>
      <c r="C1039" s="193" t="n">
        <v>0</v>
      </c>
      <c r="D1039" s="194" t="n">
        <v>-26.9</v>
      </c>
      <c r="E1039" s="194" t="n">
        <v>-30.1</v>
      </c>
      <c r="F1039" s="194" t="n">
        <v>-32.8</v>
      </c>
      <c r="G1039" s="194" t="n">
        <v>-64.40000000000001</v>
      </c>
      <c r="H1039" s="194" t="n">
        <v>-4.4</v>
      </c>
      <c r="I1039" s="194" t="n">
        <v>-8.1</v>
      </c>
      <c r="J1039" s="194" t="n">
        <v>-51.2</v>
      </c>
      <c r="K1039" s="195" t="inlineStr">
        <is>
          <t>1228 CANBRIDGE-B</t>
        </is>
      </c>
    </row>
    <row r="1040">
      <c r="A1040" s="32" t="inlineStr">
        <is>
          <t>RA Capital Healthcare Fund, L.P</t>
        </is>
      </c>
      <c r="B1040" s="191" t="n">
        <v>1</v>
      </c>
      <c r="C1040" s="193" t="n">
        <v>0</v>
      </c>
      <c r="D1040" s="194" t="n">
        <v>-26.9</v>
      </c>
      <c r="E1040" s="194" t="n">
        <v>-30.1</v>
      </c>
      <c r="F1040" s="194" t="n">
        <v>-32.8</v>
      </c>
      <c r="G1040" s="194" t="n">
        <v>-64.40000000000001</v>
      </c>
      <c r="H1040" s="194" t="n">
        <v>-4.4</v>
      </c>
      <c r="I1040" s="194" t="n">
        <v>-8.1</v>
      </c>
      <c r="J1040" s="194" t="n">
        <v>-51.2</v>
      </c>
      <c r="K1040" s="195" t="inlineStr">
        <is>
          <t>1228 CANBRIDGE-B</t>
        </is>
      </c>
    </row>
    <row r="1041">
      <c r="A1041" s="32" t="inlineStr">
        <is>
          <t>Gardex Development Limited</t>
        </is>
      </c>
      <c r="B1041" s="191" t="n">
        <v>1</v>
      </c>
      <c r="C1041" s="193" t="n">
        <v>0</v>
      </c>
      <c r="D1041" s="194" t="n">
        <v>-27</v>
      </c>
      <c r="E1041" s="194" t="n">
        <v>-28</v>
      </c>
      <c r="F1041" s="194" t="n">
        <v>-23.6</v>
      </c>
      <c r="G1041" s="194" t="n">
        <v>-7.7</v>
      </c>
      <c r="H1041" s="194" t="n">
        <v>-1.5</v>
      </c>
      <c r="I1041" s="194" t="n">
        <v>4.6</v>
      </c>
      <c r="J1041" s="194" t="n">
        <v>26.4</v>
      </c>
      <c r="K1041" s="195" t="inlineStr">
        <is>
          <t>2533 BLACK SESAME</t>
        </is>
      </c>
    </row>
    <row r="1042">
      <c r="A1042" s="32" t="inlineStr">
        <is>
          <t>ATNT Group Management Limited</t>
        </is>
      </c>
      <c r="B1042" s="191" t="n">
        <v>1</v>
      </c>
      <c r="C1042" s="193" t="n">
        <v>0</v>
      </c>
      <c r="D1042" s="194" t="n">
        <v>-27.1</v>
      </c>
      <c r="E1042" s="194" t="n">
        <v>-34.1</v>
      </c>
      <c r="F1042" s="194" t="n">
        <v>-41.2</v>
      </c>
      <c r="G1042" s="194" t="n">
        <v>-54.1</v>
      </c>
      <c r="H1042" s="194" t="n">
        <v>-9.699999999999999</v>
      </c>
      <c r="I1042" s="194" t="n">
        <v>-19.4</v>
      </c>
      <c r="J1042" s="194" t="n">
        <v>-37.1</v>
      </c>
      <c r="K1042" s="195" t="inlineStr">
        <is>
          <t>2350 MTT GROUP</t>
        </is>
      </c>
    </row>
    <row r="1043">
      <c r="A1043" s="32" t="inlineStr">
        <is>
          <t>EC InfoTech Limited</t>
        </is>
      </c>
      <c r="B1043" s="191" t="n">
        <v>1</v>
      </c>
      <c r="C1043" s="193" t="n">
        <v>0</v>
      </c>
      <c r="D1043" s="194" t="n">
        <v>-27.1</v>
      </c>
      <c r="E1043" s="194" t="n">
        <v>-34.1</v>
      </c>
      <c r="F1043" s="194" t="n">
        <v>-41.2</v>
      </c>
      <c r="G1043" s="194" t="n">
        <v>-54.1</v>
      </c>
      <c r="H1043" s="194" t="n">
        <v>-9.699999999999999</v>
      </c>
      <c r="I1043" s="194" t="n">
        <v>-19.4</v>
      </c>
      <c r="J1043" s="194" t="n">
        <v>-37.1</v>
      </c>
      <c r="K1043" s="195" t="inlineStr">
        <is>
          <t>2350 MTT GROUP</t>
        </is>
      </c>
    </row>
    <row r="1044">
      <c r="A1044" s="32" t="inlineStr">
        <is>
          <t>Mr. Hung Kwong Yee</t>
        </is>
      </c>
      <c r="B1044" s="191" t="n">
        <v>1</v>
      </c>
      <c r="C1044" s="193" t="n">
        <v>0</v>
      </c>
      <c r="D1044" s="194" t="n">
        <v>-27.1</v>
      </c>
      <c r="E1044" s="194" t="n">
        <v>-34.1</v>
      </c>
      <c r="F1044" s="194" t="n">
        <v>-41.2</v>
      </c>
      <c r="G1044" s="194" t="n">
        <v>-54.1</v>
      </c>
      <c r="H1044" s="194" t="n">
        <v>-9.699999999999999</v>
      </c>
      <c r="I1044" s="194" t="n">
        <v>-19.4</v>
      </c>
      <c r="J1044" s="194" t="n">
        <v>-37.1</v>
      </c>
      <c r="K1044" s="195" t="inlineStr">
        <is>
          <t>2350 MTT GROUP</t>
        </is>
      </c>
    </row>
    <row r="1045">
      <c r="A1045" s="32" t="inlineStr">
        <is>
          <t>Genesis M Co., Limited</t>
        </is>
      </c>
      <c r="B1045" s="191" t="n">
        <v>1</v>
      </c>
      <c r="C1045" s="193" t="n">
        <v>0</v>
      </c>
      <c r="D1045" s="194" t="n">
        <v>-27.5</v>
      </c>
      <c r="E1045" s="194" t="n">
        <v>-20.8</v>
      </c>
      <c r="F1045" s="194" t="n">
        <v>-28.3</v>
      </c>
      <c r="G1045" s="194" t="n">
        <v>-37.5</v>
      </c>
      <c r="H1045" s="194" t="n">
        <v>9.199999999999999</v>
      </c>
      <c r="I1045" s="194" t="n">
        <v>-1.1</v>
      </c>
      <c r="J1045" s="194" t="n">
        <v>-13.8</v>
      </c>
      <c r="K1045" s="195" t="inlineStr">
        <is>
          <t>2502 JINYUAN HCHEM</t>
        </is>
      </c>
    </row>
    <row r="1046">
      <c r="A1046" s="32" t="inlineStr">
        <is>
          <t>Prosperity Steel United Singapore Pte. Ltd</t>
        </is>
      </c>
      <c r="B1046" s="191" t="n">
        <v>1</v>
      </c>
      <c r="C1046" s="193" t="n">
        <v>0</v>
      </c>
      <c r="D1046" s="194" t="n">
        <v>-27.5</v>
      </c>
      <c r="E1046" s="194" t="n">
        <v>-20.8</v>
      </c>
      <c r="F1046" s="194" t="n">
        <v>-28.3</v>
      </c>
      <c r="G1046" s="194" t="n">
        <v>-37.5</v>
      </c>
      <c r="H1046" s="194" t="n">
        <v>9.199999999999999</v>
      </c>
      <c r="I1046" s="194" t="n">
        <v>-1.1</v>
      </c>
      <c r="J1046" s="194" t="n">
        <v>-13.8</v>
      </c>
      <c r="K1046" s="195" t="inlineStr">
        <is>
          <t>2502 JINYUAN HCHEM</t>
        </is>
      </c>
    </row>
    <row r="1047">
      <c r="A1047" s="32" t="inlineStr">
        <is>
          <t>Max Success Group Holdings Limited</t>
        </is>
      </c>
      <c r="B1047" s="191" t="n">
        <v>1</v>
      </c>
      <c r="C1047" s="193" t="n">
        <v>0</v>
      </c>
      <c r="D1047" s="194" t="n">
        <v>-27.5</v>
      </c>
      <c r="E1047" s="194" t="n">
        <v>-20.8</v>
      </c>
      <c r="F1047" s="194" t="n">
        <v>-28.3</v>
      </c>
      <c r="G1047" s="194" t="n">
        <v>-37.5</v>
      </c>
      <c r="H1047" s="194" t="n">
        <v>9.199999999999999</v>
      </c>
      <c r="I1047" s="194" t="n">
        <v>-1.1</v>
      </c>
      <c r="J1047" s="194" t="n">
        <v>-13.8</v>
      </c>
      <c r="K1047" s="195" t="inlineStr">
        <is>
          <t>2502 JINYUAN HCHEM</t>
        </is>
      </c>
    </row>
    <row r="1048">
      <c r="A1048" s="32" t="inlineStr">
        <is>
          <t>Hong Kong Shengying Investment Limited</t>
        </is>
      </c>
      <c r="B1048" s="191" t="n">
        <v>1</v>
      </c>
      <c r="C1048" s="193" t="n">
        <v>0</v>
      </c>
      <c r="D1048" s="194" t="n">
        <v>-27.8</v>
      </c>
      <c r="E1048" s="194" t="n">
        <v>-28.7</v>
      </c>
      <c r="F1048" s="194" t="n">
        <v>-37.2</v>
      </c>
      <c r="G1048" s="194" t="n">
        <v>-33.7</v>
      </c>
      <c r="H1048" s="194" t="n">
        <v>-1.2</v>
      </c>
      <c r="I1048" s="194" t="n">
        <v>-13</v>
      </c>
      <c r="J1048" s="194" t="n">
        <v>-8.1</v>
      </c>
      <c r="K1048" s="195" t="inlineStr">
        <is>
          <t>2408 XIAO NOODLES</t>
        </is>
      </c>
    </row>
    <row r="1049">
      <c r="A1049" s="32" t="inlineStr">
        <is>
          <t>Zeta Wisdom OFC</t>
        </is>
      </c>
      <c r="B1049" s="191" t="n">
        <v>1</v>
      </c>
      <c r="C1049" s="193" t="n">
        <v>0</v>
      </c>
      <c r="D1049" s="194" t="n">
        <v>-27.8</v>
      </c>
      <c r="E1049" s="194" t="n">
        <v>-28.7</v>
      </c>
      <c r="F1049" s="194" t="n">
        <v>-37.2</v>
      </c>
      <c r="G1049" s="194" t="n">
        <v>-33.7</v>
      </c>
      <c r="H1049" s="194" t="n">
        <v>-1.2</v>
      </c>
      <c r="I1049" s="194" t="n">
        <v>-13</v>
      </c>
      <c r="J1049" s="194" t="n">
        <v>-8.1</v>
      </c>
      <c r="K1049" s="195" t="inlineStr">
        <is>
          <t>2408 XIAO NOODLES</t>
        </is>
      </c>
    </row>
    <row r="1050">
      <c r="A1050" s="32" t="inlineStr">
        <is>
          <t>Hai Di Lao Holdings Pte. Ltd</t>
        </is>
      </c>
      <c r="B1050" s="191" t="n">
        <v>1</v>
      </c>
      <c r="C1050" s="193" t="n">
        <v>0</v>
      </c>
      <c r="D1050" s="194" t="n">
        <v>-27.8</v>
      </c>
      <c r="E1050" s="194" t="n">
        <v>-28.7</v>
      </c>
      <c r="F1050" s="194" t="n">
        <v>-37.2</v>
      </c>
      <c r="G1050" s="194" t="n">
        <v>-33.7</v>
      </c>
      <c r="H1050" s="194" t="n">
        <v>-1.2</v>
      </c>
      <c r="I1050" s="194" t="n">
        <v>-13</v>
      </c>
      <c r="J1050" s="194" t="n">
        <v>-8.1</v>
      </c>
      <c r="K1050" s="195" t="inlineStr">
        <is>
          <t>2408 XIAO NOODLES</t>
        </is>
      </c>
    </row>
    <row r="1051">
      <c r="A1051" s="32" t="inlineStr">
        <is>
          <t>HK Dongbin Joint Victory Development Co. Limited</t>
        </is>
      </c>
      <c r="B1051" s="191" t="n">
        <v>1</v>
      </c>
      <c r="C1051" s="193" t="n">
        <v>0</v>
      </c>
      <c r="D1051" s="194" t="n">
        <v>-29</v>
      </c>
      <c r="E1051" s="194" t="n">
        <v>-41.4</v>
      </c>
      <c r="F1051" s="194" t="n">
        <v>-44.7</v>
      </c>
      <c r="G1051" s="194" t="n">
        <v>-37</v>
      </c>
      <c r="H1051" s="194" t="n">
        <v>-17.4</v>
      </c>
      <c r="I1051" s="194" t="n">
        <v>-22.1</v>
      </c>
      <c r="J1051" s="194" t="n">
        <v>-11.2</v>
      </c>
      <c r="K1051" s="195" t="inlineStr">
        <is>
          <t>9930 HORIZON CD</t>
        </is>
      </c>
    </row>
    <row r="1052">
      <c r="A1052" s="32" t="inlineStr">
        <is>
          <t>LGMG International Limited</t>
        </is>
      </c>
      <c r="B1052" s="191" t="n">
        <v>1</v>
      </c>
      <c r="C1052" s="193" t="n">
        <v>0</v>
      </c>
      <c r="D1052" s="194" t="n">
        <v>-29</v>
      </c>
      <c r="E1052" s="194" t="n">
        <v>-41.4</v>
      </c>
      <c r="F1052" s="194" t="n">
        <v>-44.7</v>
      </c>
      <c r="G1052" s="194" t="n">
        <v>-37</v>
      </c>
      <c r="H1052" s="194" t="n">
        <v>-17.4</v>
      </c>
      <c r="I1052" s="194" t="n">
        <v>-22.1</v>
      </c>
      <c r="J1052" s="194" t="n">
        <v>-11.2</v>
      </c>
      <c r="K1052" s="195" t="inlineStr">
        <is>
          <t>9930 HORIZON CD</t>
        </is>
      </c>
    </row>
    <row r="1053">
      <c r="A1053" s="32" t="inlineStr">
        <is>
          <t>Shanghai Gold Ring Enterprise Group Co., Ltd</t>
        </is>
      </c>
      <c r="B1053" s="191" t="n">
        <v>1</v>
      </c>
      <c r="C1053" s="193" t="n">
        <v>0</v>
      </c>
      <c r="D1053" s="194" t="n">
        <v>-29</v>
      </c>
      <c r="E1053" s="194" t="n">
        <v>-41.4</v>
      </c>
      <c r="F1053" s="194" t="n">
        <v>-44.7</v>
      </c>
      <c r="G1053" s="194" t="n">
        <v>-37</v>
      </c>
      <c r="H1053" s="194" t="n">
        <v>-17.4</v>
      </c>
      <c r="I1053" s="194" t="n">
        <v>-22.1</v>
      </c>
      <c r="J1053" s="194" t="n">
        <v>-11.2</v>
      </c>
      <c r="K1053" s="195" t="inlineStr">
        <is>
          <t>9930 HORIZON CD</t>
        </is>
      </c>
    </row>
    <row r="1054">
      <c r="A1054" s="32" t="inlineStr">
        <is>
          <t>Shanghai Putuo Science and Technology Investment Co., Ltd</t>
        </is>
      </c>
      <c r="B1054" s="191" t="n">
        <v>1</v>
      </c>
      <c r="C1054" s="193" t="n">
        <v>0</v>
      </c>
      <c r="D1054" s="194" t="n">
        <v>-29</v>
      </c>
      <c r="E1054" s="194" t="n">
        <v>-41.4</v>
      </c>
      <c r="F1054" s="194" t="n">
        <v>-44.7</v>
      </c>
      <c r="G1054" s="194" t="n">
        <v>-37</v>
      </c>
      <c r="H1054" s="194" t="n">
        <v>-17.4</v>
      </c>
      <c r="I1054" s="194" t="n">
        <v>-22.1</v>
      </c>
      <c r="J1054" s="194" t="n">
        <v>-11.2</v>
      </c>
      <c r="K1054" s="195" t="inlineStr">
        <is>
          <t>9930 HORIZON CD</t>
        </is>
      </c>
    </row>
    <row r="1055">
      <c r="A1055" s="32" t="inlineStr">
        <is>
          <t>Xinheng Holding Limited</t>
        </is>
      </c>
      <c r="B1055" s="191" t="n">
        <v>1</v>
      </c>
      <c r="C1055" s="193" t="n">
        <v>0</v>
      </c>
      <c r="D1055" s="194" t="n">
        <v>-29</v>
      </c>
      <c r="E1055" s="194" t="n">
        <v>-41.4</v>
      </c>
      <c r="F1055" s="194" t="n">
        <v>-44.7</v>
      </c>
      <c r="G1055" s="194" t="n">
        <v>-37</v>
      </c>
      <c r="H1055" s="194" t="n">
        <v>-17.4</v>
      </c>
      <c r="I1055" s="194" t="n">
        <v>-22.1</v>
      </c>
      <c r="J1055" s="194" t="n">
        <v>-11.2</v>
      </c>
      <c r="K1055" s="195" t="inlineStr">
        <is>
          <t>9930 HORIZON CD</t>
        </is>
      </c>
    </row>
    <row r="1056">
      <c r="A1056" s="32" t="inlineStr">
        <is>
          <t>Tenancy Co., Limited</t>
        </is>
      </c>
      <c r="B1056" s="191" t="n">
        <v>1</v>
      </c>
      <c r="C1056" s="193" t="n">
        <v>0</v>
      </c>
      <c r="D1056" s="194" t="n">
        <v>-29.3</v>
      </c>
      <c r="E1056" s="194" t="n">
        <v>-30</v>
      </c>
      <c r="F1056" s="194" t="n">
        <v>-23.3</v>
      </c>
      <c r="G1056" s="194" t="n">
        <v>-16</v>
      </c>
      <c r="H1056" s="194" t="n">
        <v>-0.9</v>
      </c>
      <c r="I1056" s="194" t="n">
        <v>8.5</v>
      </c>
      <c r="J1056" s="194" t="n">
        <v>18.9</v>
      </c>
      <c r="K1056" s="195" t="inlineStr">
        <is>
          <t>2187 ZHIXIN GP HLDG</t>
        </is>
      </c>
    </row>
    <row r="1057">
      <c r="A1057" s="32" t="inlineStr">
        <is>
          <t>Wang Miao</t>
        </is>
      </c>
      <c r="B1057" s="191" t="n">
        <v>1</v>
      </c>
      <c r="C1057" s="193" t="n">
        <v>0</v>
      </c>
      <c r="D1057" s="194" t="n">
        <v>-29.3</v>
      </c>
      <c r="E1057" s="194" t="n">
        <v>-30</v>
      </c>
      <c r="F1057" s="194" t="n">
        <v>-23.3</v>
      </c>
      <c r="G1057" s="194" t="n">
        <v>-16</v>
      </c>
      <c r="H1057" s="194" t="n">
        <v>-0.9</v>
      </c>
      <c r="I1057" s="194" t="n">
        <v>8.5</v>
      </c>
      <c r="J1057" s="194" t="n">
        <v>18.9</v>
      </c>
      <c r="K1057" s="195" t="inlineStr">
        <is>
          <t>2187 ZHIXIN GP HLDG</t>
        </is>
      </c>
    </row>
    <row r="1058">
      <c r="A1058" s="32" t="inlineStr">
        <is>
          <t>Glory Ocean Innovation Limited</t>
        </is>
      </c>
      <c r="B1058" s="191" t="n">
        <v>1</v>
      </c>
      <c r="C1058" s="193" t="n">
        <v>0</v>
      </c>
      <c r="D1058" s="194" t="n">
        <v>-30.2</v>
      </c>
      <c r="E1058" s="194" t="n">
        <v>-21.7</v>
      </c>
      <c r="F1058" s="194" t="n">
        <v>-17.8</v>
      </c>
      <c r="G1058" s="194" t="n">
        <v>-17.9</v>
      </c>
      <c r="H1058" s="194" t="n">
        <v>12.1</v>
      </c>
      <c r="I1058" s="194" t="n">
        <v>17.7</v>
      </c>
      <c r="J1058" s="194" t="n">
        <v>17.5</v>
      </c>
      <c r="K1058" s="195" t="inlineStr">
        <is>
          <t>2658 TIANYU SEMI</t>
        </is>
      </c>
    </row>
    <row r="1059">
      <c r="A1059" s="32" t="inlineStr">
        <is>
          <t>Kwok Tai East International Group Limited</t>
        </is>
      </c>
      <c r="B1059" s="191" t="n">
        <v>1</v>
      </c>
      <c r="C1059" s="193" t="n">
        <v>0</v>
      </c>
      <c r="D1059" s="194" t="n">
        <v>-33.5</v>
      </c>
      <c r="E1059" s="194" t="n">
        <v>-48.3</v>
      </c>
      <c r="F1059" s="194" t="n">
        <v>-62.2</v>
      </c>
      <c r="G1059" s="194" t="n">
        <v>-37.1</v>
      </c>
      <c r="H1059" s="194" t="n">
        <v>-22.2</v>
      </c>
      <c r="I1059" s="194" t="n">
        <v>-43.1</v>
      </c>
      <c r="J1059" s="194" t="n">
        <v>-5.3</v>
      </c>
      <c r="K1059" s="195" t="inlineStr">
        <is>
          <t>9863 LEAPMOTOR</t>
        </is>
      </c>
    </row>
    <row r="1060">
      <c r="A1060" s="32" t="inlineStr">
        <is>
          <t>ZhongBaoNew materials. Ltd</t>
        </is>
      </c>
      <c r="B1060" s="191" t="n">
        <v>1</v>
      </c>
      <c r="C1060" s="193" t="n">
        <v>0</v>
      </c>
      <c r="D1060" s="194" t="n">
        <v>-35.2</v>
      </c>
      <c r="E1060" s="194" t="n">
        <v>-36.2</v>
      </c>
      <c r="F1060" s="194" t="n">
        <v>-39</v>
      </c>
      <c r="G1060" s="194" t="n">
        <v>-50.5</v>
      </c>
      <c r="H1060" s="194" t="n">
        <v>-1.5</v>
      </c>
      <c r="I1060" s="194" t="n">
        <v>-5.9</v>
      </c>
      <c r="J1060" s="194" t="n">
        <v>-23.5</v>
      </c>
      <c r="K1060" s="195" t="inlineStr">
        <is>
          <t>2439 CH TREASURES NM</t>
        </is>
      </c>
    </row>
    <row r="1061">
      <c r="A1061" s="32" t="inlineStr">
        <is>
          <t>Jiu Rong Holdings Limited</t>
        </is>
      </c>
      <c r="B1061" s="191" t="n">
        <v>1</v>
      </c>
      <c r="C1061" s="193" t="n">
        <v>0</v>
      </c>
      <c r="D1061" s="194" t="n">
        <v>-36</v>
      </c>
      <c r="E1061" s="194" t="n">
        <v>-48</v>
      </c>
      <c r="F1061" s="194" t="n">
        <v>-50.4</v>
      </c>
      <c r="G1061" s="194" t="n">
        <v>-52.4</v>
      </c>
      <c r="H1061" s="194" t="n">
        <v>-18.8</v>
      </c>
      <c r="I1061" s="194" t="n">
        <v>-22.5</v>
      </c>
      <c r="J1061" s="194" t="n">
        <v>-25.6</v>
      </c>
      <c r="K1061" s="195" t="inlineStr">
        <is>
          <t>9608 SUNDY SERVICE</t>
        </is>
      </c>
    </row>
    <row r="1062">
      <c r="A1062" s="32" t="inlineStr">
        <is>
          <t>Yingke No. 1 (Hongkong) Limited ʮ̡</t>
        </is>
      </c>
      <c r="B1062" s="191" t="n">
        <v>1</v>
      </c>
      <c r="C1062" s="193" t="n">
        <v>0</v>
      </c>
      <c r="D1062" s="194" t="n">
        <v>-36.9</v>
      </c>
      <c r="E1062" s="194" t="n">
        <v>1.8</v>
      </c>
      <c r="F1062" s="194" t="n">
        <v>94.09999999999999</v>
      </c>
      <c r="G1062" s="194" t="n">
        <v>149.1</v>
      </c>
      <c r="H1062" s="194" t="n">
        <v>61.4</v>
      </c>
      <c r="I1062" s="194" t="n">
        <v>207.7</v>
      </c>
      <c r="J1062" s="194" t="n">
        <v>294.9</v>
      </c>
      <c r="K1062" s="195" t="inlineStr">
        <is>
          <t>2632 NEW VISION CO</t>
        </is>
      </c>
    </row>
    <row r="1063">
      <c r="A1063" s="32" t="inlineStr">
        <is>
          <t>Hua Yuan International Limited</t>
        </is>
      </c>
      <c r="B1063" s="191" t="n">
        <v>1</v>
      </c>
      <c r="C1063" s="193" t="n">
        <v>0</v>
      </c>
      <c r="D1063" s="194" t="n">
        <v>-37.4</v>
      </c>
      <c r="E1063" s="194" t="n">
        <v>-44.3</v>
      </c>
      <c r="F1063" s="194" t="n">
        <v>-45.1</v>
      </c>
      <c r="G1063" s="196" t="n"/>
      <c r="H1063" s="194" t="n">
        <v>-11.1</v>
      </c>
      <c r="I1063" s="194" t="n">
        <v>-12.3</v>
      </c>
      <c r="J1063" s="196" t="n"/>
      <c r="K1063" s="195" t="inlineStr">
        <is>
          <t>0537 RIGOL</t>
        </is>
      </c>
    </row>
    <row r="1064">
      <c r="A1064" s="32" t="inlineStr">
        <is>
          <t>Purple Diamond Ltd</t>
        </is>
      </c>
      <c r="B1064" s="191" t="n">
        <v>1</v>
      </c>
      <c r="C1064" s="193" t="n">
        <v>0</v>
      </c>
      <c r="D1064" s="194" t="n">
        <v>-37.4</v>
      </c>
      <c r="E1064" s="194" t="n">
        <v>-44.3</v>
      </c>
      <c r="F1064" s="194" t="n">
        <v>-45.1</v>
      </c>
      <c r="G1064" s="196" t="n"/>
      <c r="H1064" s="194" t="n">
        <v>-11.1</v>
      </c>
      <c r="I1064" s="194" t="n">
        <v>-12.3</v>
      </c>
      <c r="J1064" s="196" t="n"/>
      <c r="K1064" s="195" t="inlineStr">
        <is>
          <t>0537 RIGOL</t>
        </is>
      </c>
    </row>
    <row r="1065">
      <c r="A1065" s="32" t="inlineStr">
        <is>
          <t>Heda HK</t>
        </is>
      </c>
      <c r="B1065" s="191" t="n">
        <v>1</v>
      </c>
      <c r="C1065" s="193" t="n">
        <v>0</v>
      </c>
      <c r="D1065" s="194" t="n">
        <v>-38.4</v>
      </c>
      <c r="E1065" s="194" t="n">
        <v>-35.4</v>
      </c>
      <c r="F1065" s="194" t="n">
        <v>-46.9</v>
      </c>
      <c r="G1065" s="194" t="n">
        <v>-47.4</v>
      </c>
      <c r="H1065" s="194" t="n">
        <v>5</v>
      </c>
      <c r="I1065" s="194" t="n">
        <v>-13.7</v>
      </c>
      <c r="J1065" s="194" t="n">
        <v>-14.6</v>
      </c>
      <c r="K1065" s="195" t="inlineStr">
        <is>
          <t>2566 JIUYUAN GENE</t>
        </is>
      </c>
    </row>
    <row r="1066">
      <c r="A1066" s="32" t="inlineStr">
        <is>
          <t>Mr. Wu</t>
        </is>
      </c>
      <c r="B1066" s="191" t="n">
        <v>1</v>
      </c>
      <c r="C1066" s="193" t="n">
        <v>0</v>
      </c>
      <c r="D1066" s="194" t="n">
        <v>-38.4</v>
      </c>
      <c r="E1066" s="194" t="n">
        <v>-35.4</v>
      </c>
      <c r="F1066" s="194" t="n">
        <v>-46.9</v>
      </c>
      <c r="G1066" s="194" t="n">
        <v>-47.4</v>
      </c>
      <c r="H1066" s="194" t="n">
        <v>5</v>
      </c>
      <c r="I1066" s="194" t="n">
        <v>-13.7</v>
      </c>
      <c r="J1066" s="194" t="n">
        <v>-14.6</v>
      </c>
      <c r="K1066" s="195" t="inlineStr">
        <is>
          <t>2566 JIUYUAN GENE</t>
        </is>
      </c>
    </row>
    <row r="1067">
      <c r="A1067" s="32" t="inlineStr">
        <is>
          <t>Delta Capital Hong Kong Limited</t>
        </is>
      </c>
      <c r="B1067" s="191" t="n">
        <v>1</v>
      </c>
      <c r="C1067" s="193" t="n">
        <v>0</v>
      </c>
      <c r="D1067" s="194" t="n">
        <v>-38.4</v>
      </c>
      <c r="E1067" s="194" t="n">
        <v>-35.4</v>
      </c>
      <c r="F1067" s="194" t="n">
        <v>-46.9</v>
      </c>
      <c r="G1067" s="194" t="n">
        <v>-47.4</v>
      </c>
      <c r="H1067" s="194" t="n">
        <v>5</v>
      </c>
      <c r="I1067" s="194" t="n">
        <v>-13.7</v>
      </c>
      <c r="J1067" s="194" t="n">
        <v>-14.6</v>
      </c>
      <c r="K1067" s="195" t="inlineStr">
        <is>
          <t>2566 JIUYUAN GENE</t>
        </is>
      </c>
    </row>
    <row r="1068">
      <c r="A1068" s="32" t="inlineStr">
        <is>
          <t>Airport Technology Capital</t>
        </is>
      </c>
      <c r="B1068" s="191" t="n">
        <v>1</v>
      </c>
      <c r="C1068" s="193" t="n">
        <v>0</v>
      </c>
      <c r="D1068" s="194" t="n">
        <v>-39.1</v>
      </c>
      <c r="E1068" s="194" t="n">
        <v>-44.7</v>
      </c>
      <c r="F1068" s="194" t="n">
        <v>-49.1</v>
      </c>
      <c r="G1068" s="196" t="n"/>
      <c r="H1068" s="194" t="n">
        <v>-9.300000000000001</v>
      </c>
      <c r="I1068" s="194" t="n">
        <v>-16.4</v>
      </c>
      <c r="J1068" s="196" t="n"/>
      <c r="K1068" s="195" t="inlineStr">
        <is>
          <t>2667 TONGRENTANGCARE</t>
        </is>
      </c>
    </row>
    <row r="1069">
      <c r="A1069" s="32" t="inlineStr">
        <is>
          <t>CICCFT (in connection with OTC Swaps)</t>
        </is>
      </c>
      <c r="B1069" s="191" t="n">
        <v>1</v>
      </c>
      <c r="C1069" s="193" t="n">
        <v>0</v>
      </c>
      <c r="D1069" s="194" t="n">
        <v>-39.1</v>
      </c>
      <c r="E1069" s="194" t="n">
        <v>-44.7</v>
      </c>
      <c r="F1069" s="194" t="n">
        <v>-49.1</v>
      </c>
      <c r="G1069" s="196" t="n"/>
      <c r="H1069" s="194" t="n">
        <v>-9.300000000000001</v>
      </c>
      <c r="I1069" s="194" t="n">
        <v>-16.4</v>
      </c>
      <c r="J1069" s="196" t="n"/>
      <c r="K1069" s="195" t="inlineStr">
        <is>
          <t>2667 TONGRENTANGCARE</t>
        </is>
      </c>
    </row>
    <row r="1070">
      <c r="A1070" s="32" t="inlineStr">
        <is>
          <t>Arda (HK) Investment Co., Limited</t>
        </is>
      </c>
      <c r="B1070" s="191" t="n">
        <v>1</v>
      </c>
      <c r="C1070" s="193" t="n">
        <v>0</v>
      </c>
      <c r="D1070" s="194" t="n">
        <v>-40</v>
      </c>
      <c r="E1070" s="194" t="n">
        <v>-25</v>
      </c>
      <c r="F1070" s="194" t="n">
        <v>-15</v>
      </c>
      <c r="G1070" s="194" t="n">
        <v>-31</v>
      </c>
      <c r="H1070" s="194" t="n">
        <v>25</v>
      </c>
      <c r="I1070" s="194" t="n">
        <v>41.7</v>
      </c>
      <c r="J1070" s="194" t="n">
        <v>15</v>
      </c>
      <c r="K1070" s="195" t="inlineStr">
        <is>
          <t>2457 BUYANG INTL</t>
        </is>
      </c>
    </row>
    <row r="1071">
      <c r="A1071" s="32" t="inlineStr">
        <is>
          <t>INFO EXPERT SERVICES LIMITED</t>
        </is>
      </c>
      <c r="B1071" s="191" t="n">
        <v>1</v>
      </c>
      <c r="C1071" s="193" t="n">
        <v>0</v>
      </c>
      <c r="D1071" s="194" t="n">
        <v>-42.9</v>
      </c>
      <c r="E1071" s="194" t="n">
        <v>-51.3</v>
      </c>
      <c r="F1071" s="194" t="n">
        <v>-66.40000000000001</v>
      </c>
      <c r="G1071" s="194" t="n">
        <v>-70.2</v>
      </c>
      <c r="H1071" s="194" t="n">
        <v>-14.7</v>
      </c>
      <c r="I1071" s="194" t="n">
        <v>-41.2</v>
      </c>
      <c r="J1071" s="194" t="n">
        <v>-47.8</v>
      </c>
      <c r="K1071" s="195" t="inlineStr">
        <is>
          <t>9686 NEUSOFT XIKANG</t>
        </is>
      </c>
    </row>
    <row r="1072">
      <c r="A1072" s="32" t="inlineStr">
        <is>
          <t>Fund Resources Investment Holding Group Company Limited</t>
        </is>
      </c>
      <c r="B1072" s="191" t="n">
        <v>1</v>
      </c>
      <c r="C1072" s="193" t="n">
        <v>0</v>
      </c>
      <c r="D1072" s="194" t="n">
        <v>-46.2</v>
      </c>
      <c r="E1072" s="194" t="n">
        <v>-46.7</v>
      </c>
      <c r="F1072" s="194" t="n">
        <v>-47</v>
      </c>
      <c r="G1072" s="194" t="n">
        <v>-3.5</v>
      </c>
      <c r="H1072" s="194" t="n">
        <v>-0.8</v>
      </c>
      <c r="I1072" s="194" t="n">
        <v>-1.3</v>
      </c>
      <c r="J1072" s="194" t="n">
        <v>79.5</v>
      </c>
      <c r="K1072" s="195" t="inlineStr">
        <is>
          <t>3378 HANXBIO-B</t>
        </is>
      </c>
    </row>
    <row r="1073">
      <c r="A1073" s="32" t="inlineStr">
        <is>
          <t>TFI Investment Fund SPC (acting for and on behalf of its segregated portfolio, TFI Lakeside SP)</t>
        </is>
      </c>
      <c r="B1073" s="191" t="n">
        <v>1</v>
      </c>
      <c r="C1073" s="193" t="n">
        <v>0</v>
      </c>
      <c r="D1073" s="194" t="n">
        <v>-46.2</v>
      </c>
      <c r="E1073" s="194" t="n">
        <v>-46.7</v>
      </c>
      <c r="F1073" s="194" t="n">
        <v>-47</v>
      </c>
      <c r="G1073" s="194" t="n">
        <v>-3.5</v>
      </c>
      <c r="H1073" s="194" t="n">
        <v>-0.8</v>
      </c>
      <c r="I1073" s="194" t="n">
        <v>-1.3</v>
      </c>
      <c r="J1073" s="194" t="n">
        <v>79.5</v>
      </c>
      <c r="K1073" s="195" t="inlineStr">
        <is>
          <t>3378 HANXBIO-B</t>
        </is>
      </c>
    </row>
    <row r="1074">
      <c r="A1074" s="32" t="inlineStr">
        <is>
          <t>YStem Holding Limited</t>
        </is>
      </c>
      <c r="B1074" s="191" t="n">
        <v>1</v>
      </c>
      <c r="C1074" s="193" t="n">
        <v>0</v>
      </c>
      <c r="D1074" s="194" t="n">
        <v>-46.2</v>
      </c>
      <c r="E1074" s="194" t="n">
        <v>-46.7</v>
      </c>
      <c r="F1074" s="194" t="n">
        <v>-47</v>
      </c>
      <c r="G1074" s="194" t="n">
        <v>-3.5</v>
      </c>
      <c r="H1074" s="194" t="n">
        <v>-0.8</v>
      </c>
      <c r="I1074" s="194" t="n">
        <v>-1.3</v>
      </c>
      <c r="J1074" s="194" t="n">
        <v>79.5</v>
      </c>
      <c r="K1074" s="195" t="inlineStr">
        <is>
          <t>3378 HANXBIO-B</t>
        </is>
      </c>
    </row>
    <row r="1075">
      <c r="A1075" s="32" t="inlineStr">
        <is>
          <t>Awaken Thunder Capital Limited</t>
        </is>
      </c>
      <c r="B1075" s="191" t="n">
        <v>1</v>
      </c>
      <c r="C1075" s="193" t="n">
        <v>0</v>
      </c>
      <c r="D1075" s="194" t="n">
        <v>-46.2</v>
      </c>
      <c r="E1075" s="194" t="n">
        <v>-46.7</v>
      </c>
      <c r="F1075" s="194" t="n">
        <v>-47</v>
      </c>
      <c r="G1075" s="194" t="n">
        <v>-3.5</v>
      </c>
      <c r="H1075" s="194" t="n">
        <v>-0.8</v>
      </c>
      <c r="I1075" s="194" t="n">
        <v>-1.3</v>
      </c>
      <c r="J1075" s="194" t="n">
        <v>79.5</v>
      </c>
      <c r="K1075" s="195" t="inlineStr">
        <is>
          <t>3378 HANXBIO-B</t>
        </is>
      </c>
    </row>
    <row r="1076">
      <c r="A1076" s="32" t="inlineStr">
        <is>
          <t>Anhui Shengchang Chemical Co., Ltd.*</t>
        </is>
      </c>
      <c r="B1076" s="191" t="n">
        <v>1</v>
      </c>
      <c r="C1076" s="193" t="n">
        <v>0</v>
      </c>
      <c r="D1076" s="194" t="n">
        <v>-47.7</v>
      </c>
      <c r="E1076" s="194" t="n">
        <v>-51.7</v>
      </c>
      <c r="F1076" s="194" t="n">
        <v>-54.7</v>
      </c>
      <c r="G1076" s="194" t="n">
        <v>-41.3</v>
      </c>
      <c r="H1076" s="194" t="n">
        <v>-7.6</v>
      </c>
      <c r="I1076" s="194" t="n">
        <v>-13.4</v>
      </c>
      <c r="J1076" s="194" t="n">
        <v>12.1</v>
      </c>
      <c r="K1076" s="195" t="inlineStr">
        <is>
          <t>2560 CONCH MAT TECH</t>
        </is>
      </c>
    </row>
    <row r="1077">
      <c r="A1077" s="32" t="inlineStr">
        <is>
          <t>Shenzhen Gaodeng Computer Technology Co., Ltd.*</t>
        </is>
      </c>
      <c r="B1077" s="191" t="n">
        <v>1</v>
      </c>
      <c r="C1077" s="193" t="n">
        <v>0</v>
      </c>
      <c r="D1077" s="194" t="n">
        <v>-47.7</v>
      </c>
      <c r="E1077" s="194" t="n">
        <v>-51.7</v>
      </c>
      <c r="F1077" s="194" t="n">
        <v>-54.7</v>
      </c>
      <c r="G1077" s="194" t="n">
        <v>-41.3</v>
      </c>
      <c r="H1077" s="194" t="n">
        <v>-7.6</v>
      </c>
      <c r="I1077" s="194" t="n">
        <v>-13.4</v>
      </c>
      <c r="J1077" s="194" t="n">
        <v>12.1</v>
      </c>
      <c r="K1077" s="195" t="inlineStr">
        <is>
          <t>2560 CONCH MAT TECH</t>
        </is>
      </c>
    </row>
    <row r="1078">
      <c r="A1078" s="32" t="inlineStr">
        <is>
          <t>Jiantou International (Hong Kong) Co., Limited</t>
        </is>
      </c>
      <c r="B1078" s="191" t="n">
        <v>1</v>
      </c>
      <c r="C1078" s="193" t="n">
        <v>0</v>
      </c>
      <c r="D1078" s="194" t="n">
        <v>-49.2</v>
      </c>
      <c r="E1078" s="194" t="n">
        <v>-53.2</v>
      </c>
      <c r="F1078" s="194" t="n">
        <v>-62.3</v>
      </c>
      <c r="G1078" s="194" t="n">
        <v>-74.8</v>
      </c>
      <c r="H1078" s="194" t="n">
        <v>-7.9</v>
      </c>
      <c r="I1078" s="194" t="n">
        <v>-25.8</v>
      </c>
      <c r="J1078" s="194" t="n">
        <v>-50.5</v>
      </c>
      <c r="K1078" s="195" t="inlineStr">
        <is>
          <t>0664 TONGSHIFU</t>
        </is>
      </c>
    </row>
    <row r="1079">
      <c r="A1079" s="32" t="inlineStr">
        <is>
          <t>Heron Neutron Medical Corp</t>
        </is>
      </c>
      <c r="B1079" s="191" t="n">
        <v>1</v>
      </c>
      <c r="C1079" s="193" t="n">
        <v>0</v>
      </c>
      <c r="D1079" s="194" t="n">
        <v>-49.5</v>
      </c>
      <c r="E1079" s="194" t="n">
        <v>-56</v>
      </c>
      <c r="F1079" s="194" t="n">
        <v>-56.2</v>
      </c>
      <c r="G1079" s="194" t="n">
        <v>-63.1</v>
      </c>
      <c r="H1079" s="194" t="n">
        <v>-12.9</v>
      </c>
      <c r="I1079" s="194" t="n">
        <v>-13.4</v>
      </c>
      <c r="J1079" s="194" t="n">
        <v>-26.9</v>
      </c>
      <c r="K1079" s="195" t="inlineStr">
        <is>
          <t>2581 BENQ HOLDING</t>
        </is>
      </c>
    </row>
    <row r="1080">
      <c r="A1080" s="32" t="inlineStr">
        <is>
          <t>DFI Development Holdings Limited</t>
        </is>
      </c>
      <c r="B1080" s="191" t="n">
        <v>1</v>
      </c>
      <c r="C1080" s="193" t="n">
        <v>0</v>
      </c>
      <c r="D1080" s="194" t="n">
        <v>-54.3</v>
      </c>
      <c r="E1080" s="194" t="n">
        <v>-79.2</v>
      </c>
      <c r="F1080" s="194" t="n">
        <v>-80.2</v>
      </c>
      <c r="G1080" s="194" t="n">
        <v>-57</v>
      </c>
      <c r="H1080" s="194" t="n">
        <v>-54.4</v>
      </c>
      <c r="I1080" s="194" t="n">
        <v>-56.6</v>
      </c>
      <c r="J1080" s="194" t="n">
        <v>-5.8</v>
      </c>
      <c r="K1080" s="195" t="inlineStr">
        <is>
          <t>2586 DMALL</t>
        </is>
      </c>
    </row>
    <row r="1081">
      <c r="A1081" s="32" t="inlineStr">
        <is>
          <t>Woseon Limited Partnership</t>
        </is>
      </c>
      <c r="B1081" s="191" t="n">
        <v>1</v>
      </c>
      <c r="C1081" s="193" t="n">
        <v>0</v>
      </c>
      <c r="D1081" s="194" t="n">
        <v>-56.7</v>
      </c>
      <c r="E1081" s="194" t="n">
        <v>-56.7</v>
      </c>
      <c r="F1081" s="194" t="n">
        <v>-62.5</v>
      </c>
      <c r="G1081" s="194" t="n">
        <v>-75.3</v>
      </c>
      <c r="H1081" s="194" t="n">
        <v>0</v>
      </c>
      <c r="I1081" s="194" t="n">
        <v>-13.4</v>
      </c>
      <c r="J1081" s="194" t="n">
        <v>-42.9</v>
      </c>
      <c r="K1081" s="195" t="inlineStr">
        <is>
          <t>2567 QINIU</t>
        </is>
      </c>
    </row>
    <row r="1082">
      <c r="A1082" s="32" t="inlineStr">
        <is>
          <t>Key Broad Future Limited</t>
        </is>
      </c>
      <c r="B1082" s="191" t="n">
        <v>1</v>
      </c>
      <c r="C1082" s="193" t="n">
        <v>0</v>
      </c>
      <c r="D1082" s="194" t="n">
        <v>-56.9</v>
      </c>
      <c r="E1082" s="194" t="n">
        <v>-56.1</v>
      </c>
      <c r="F1082" s="194" t="n">
        <v>-42.5</v>
      </c>
      <c r="G1082" s="194" t="n">
        <v>-47.1</v>
      </c>
      <c r="H1082" s="194" t="n">
        <v>1.7</v>
      </c>
      <c r="I1082" s="194" t="n">
        <v>33.3</v>
      </c>
      <c r="J1082" s="194" t="n">
        <v>22.7</v>
      </c>
      <c r="K1082" s="195" t="inlineStr">
        <is>
          <t>6132 HJ SCIENCE-B</t>
        </is>
      </c>
    </row>
  </sheetData>
  <autoFilter ref="A4:K1082"/>
  <mergeCells count="1">
    <mergeCell ref="A2:K2"/>
  </mergeCells>
  <conditionalFormatting sqref="D5:D1082">
    <cfRule type="colorScale" priority="1">
      <colorScale>
        <cfvo type="num" val="-40"/>
        <cfvo type="num" val="0"/>
        <cfvo type="num" val="60"/>
        <color rgb="00E6E6E6"/>
        <color rgb="00FFFFFF"/>
        <color rgb="00D9D9D9"/>
      </colorScale>
    </cfRule>
  </conditionalFormatting>
  <conditionalFormatting sqref="E5:E1082">
    <cfRule type="colorScale" priority="2">
      <colorScale>
        <cfvo type="num" val="-40"/>
        <cfvo type="num" val="0"/>
        <cfvo type="num" val="60"/>
        <color rgb="00E6E6E6"/>
        <color rgb="00FFFFFF"/>
        <color rgb="00D9D9D9"/>
      </colorScale>
    </cfRule>
  </conditionalFormatting>
  <conditionalFormatting sqref="F5:F1082">
    <cfRule type="colorScale" priority="3">
      <colorScale>
        <cfvo type="num" val="-40"/>
        <cfvo type="num" val="0"/>
        <cfvo type="num" val="60"/>
        <color rgb="00E6E6E6"/>
        <color rgb="00FFFFFF"/>
        <color rgb="00D9D9D9"/>
      </colorScale>
    </cfRule>
  </conditionalFormatting>
  <conditionalFormatting sqref="G5:G1082">
    <cfRule type="colorScale" priority="4">
      <colorScale>
        <cfvo type="num" val="-40"/>
        <cfvo type="num" val="0"/>
        <cfvo type="num" val="60"/>
        <color rgb="00E6E6E6"/>
        <color rgb="00FFFFFF"/>
        <color rgb="00D9D9D9"/>
      </colorScale>
    </cfRule>
  </conditionalFormatting>
  <conditionalFormatting sqref="H5:H1082">
    <cfRule type="colorScale" priority="5">
      <colorScale>
        <cfvo type="num" val="-40"/>
        <cfvo type="num" val="0"/>
        <cfvo type="num" val="60"/>
        <color rgb="00E6E6E6"/>
        <color rgb="00FFFFFF"/>
        <color rgb="00D9D9D9"/>
      </colorScale>
    </cfRule>
  </conditionalFormatting>
  <conditionalFormatting sqref="I5:I1082">
    <cfRule type="colorScale" priority="6">
      <colorScale>
        <cfvo type="num" val="-40"/>
        <cfvo type="num" val="0"/>
        <cfvo type="num" val="60"/>
        <color rgb="00E6E6E6"/>
        <color rgb="00FFFFFF"/>
        <color rgb="00D9D9D9"/>
      </colorScale>
    </cfRule>
  </conditionalFormatting>
  <conditionalFormatting sqref="J5:J1082">
    <cfRule type="colorScale" priority="7">
      <colorScale>
        <cfvo type="num" val="-40"/>
        <cfvo type="num" val="0"/>
        <cfvo type="num" val="60"/>
        <color rgb="00E6E6E6"/>
        <color rgb="00FFFFFF"/>
        <color rgb="00D9D9D9"/>
      </colorScale>
    </cfRule>
  </conditionalFormatting>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R69"/>
  <sheetViews>
    <sheetView showGridLines="0" zoomScale="95" workbookViewId="0">
      <pane xSplit="3" ySplit="4" topLeftCell="D5" activePane="bottomRight" state="frozen"/>
      <selection pane="topRight"/>
      <selection pane="bottomLeft"/>
      <selection pane="bottomRight" activeCell="A1" sqref="A1"/>
    </sheetView>
  </sheetViews>
  <sheetFormatPr baseColWidth="8" defaultRowHeight="15"/>
  <cols>
    <col width="40" customWidth="1" min="1" max="1"/>
    <col width="7" customWidth="1" min="2" max="2"/>
    <col width="9" customWidth="1" min="3" max="3"/>
    <col width="19" customWidth="1" min="4" max="4"/>
    <col width="20" customWidth="1" min="5" max="5"/>
    <col width="17" customWidth="1" min="6" max="6"/>
    <col width="12" customWidth="1" min="7" max="7"/>
    <col width="11" customWidth="1" min="8" max="8"/>
    <col width="11" customWidth="1" min="9" max="9"/>
    <col width="11" customWidth="1" min="10" max="10"/>
    <col width="13" customWidth="1" min="11" max="11"/>
    <col width="13" customWidth="1" min="12" max="12"/>
    <col width="13" customWidth="1" min="13" max="13"/>
    <col width="11" customWidth="1" min="14" max="14"/>
    <col width="12" customWidth="1" min="15" max="15"/>
    <col width="13" customWidth="1" min="16" max="16"/>
    <col width="18" customWidth="1" min="17" max="17"/>
    <col width="70" customWidth="1" min="18" max="18"/>
  </cols>
  <sheetData>
    <row r="1" ht="30" customHeight="1">
      <c r="A1" s="16" t="inlineStr">
        <is>
          <t>STABILISING MANAGER LEAGUE</t>
        </is>
      </c>
    </row>
    <row r="2" ht="34" customHeight="1">
      <c r="A2" s="17" t="inlineStr">
        <is>
          <t>One row per stabilising manager, grouped by bank family. Day 1: open vs issue is the pop, close vs issue the day-1 return, open to close whether the open held. Shoe full / lapsed are shares of deals with a known outcome. Read as deal mix, not skill: the banks at the bottom lead the large institutional deals, the top sit on small retail-driven ones.</t>
        </is>
      </c>
    </row>
    <row r="3">
      <c r="D3" s="190" t="inlineStr">
        <is>
          <t>DAY 1</t>
        </is>
      </c>
      <c r="H3" s="190" t="inlineStr">
        <is>
          <t>VS OFFER (WITH POP)</t>
        </is>
      </c>
      <c r="K3" s="190" t="inlineStr">
        <is>
          <t>FROM DAY-1 CLOSE (EX-POP)</t>
        </is>
      </c>
      <c r="N3" s="190" t="inlineStr">
        <is>
          <t>SHOE OUTCOME</t>
        </is>
      </c>
    </row>
    <row r="4" ht="30" customHeight="1">
      <c r="A4" s="26" t="inlineStr">
        <is>
          <t>Stabilising manager</t>
        </is>
      </c>
      <c r="B4" s="26" t="inlineStr">
        <is>
          <t>Deals</t>
        </is>
      </c>
      <c r="C4" s="26" t="inlineStr">
        <is>
          <t>Day-1 hit</t>
        </is>
      </c>
      <c r="D4" s="26" t="inlineStr">
        <is>
          <t>Day-1 open vs issue</t>
        </is>
      </c>
      <c r="E4" s="26" t="inlineStr">
        <is>
          <t>Day-1 close vs issue</t>
        </is>
      </c>
      <c r="F4" s="26" t="inlineStr">
        <is>
          <t>Day-1 open to close</t>
        </is>
      </c>
      <c r="G4" s="26" t="inlineStr">
        <is>
          <t>Day-1 known</t>
        </is>
      </c>
      <c r="H4" s="26" t="inlineStr">
        <is>
          <t>Avg 1w</t>
        </is>
      </c>
      <c r="I4" s="26" t="inlineStr">
        <is>
          <t>Avg 1m</t>
        </is>
      </c>
      <c r="J4" s="26" t="inlineStr">
        <is>
          <t>Avg 3m</t>
        </is>
      </c>
      <c r="K4" s="26" t="inlineStr">
        <is>
          <t>Avg 1w ex-pop</t>
        </is>
      </c>
      <c r="L4" s="26" t="inlineStr">
        <is>
          <t>Avg 1m ex-pop</t>
        </is>
      </c>
      <c r="M4" s="26" t="inlineStr">
        <is>
          <t>Avg 3m ex-pop</t>
        </is>
      </c>
      <c r="N4" s="26" t="inlineStr">
        <is>
          <t>Shoe full %</t>
        </is>
      </c>
      <c r="O4" s="26" t="inlineStr">
        <is>
          <t>Shoe lapsed %</t>
        </is>
      </c>
      <c r="P4" s="26" t="inlineStr">
        <is>
          <t>Outcome known</t>
        </is>
      </c>
      <c r="Q4" s="26" t="inlineStr">
        <is>
          <t>Avg deal size (HK$m)</t>
        </is>
      </c>
      <c r="R4" s="26" t="inlineStr">
        <is>
          <t>Their deals</t>
        </is>
      </c>
    </row>
    <row r="5">
      <c r="A5" s="32" t="inlineStr">
        <is>
          <t>China International Capital Corporation Hong Kong Securities Limited</t>
        </is>
      </c>
      <c r="B5" s="191" t="n">
        <v>92</v>
      </c>
      <c r="C5" s="193" t="n">
        <v>61</v>
      </c>
      <c r="D5" s="194" t="n">
        <v>26.6</v>
      </c>
      <c r="E5" s="194" t="n">
        <v>31.7</v>
      </c>
      <c r="F5" s="194" t="n">
        <v>2.9</v>
      </c>
      <c r="G5" s="191" t="n">
        <v>92</v>
      </c>
      <c r="H5" s="194" t="n">
        <v>32.4</v>
      </c>
      <c r="I5" s="194" t="n">
        <v>35.9</v>
      </c>
      <c r="J5" s="194" t="n">
        <v>47.4</v>
      </c>
      <c r="K5" s="194" t="n">
        <v>2.5</v>
      </c>
      <c r="L5" s="194" t="n">
        <v>5.7</v>
      </c>
      <c r="M5" s="194" t="n">
        <v>13.3</v>
      </c>
      <c r="N5" s="193" t="n">
        <v>30</v>
      </c>
      <c r="O5" s="193" t="n">
        <v>35</v>
      </c>
      <c r="P5" s="191" t="n">
        <v>88</v>
      </c>
      <c r="Q5" s="166" t="n">
        <v>2589.8</v>
      </c>
      <c r="R5" s="195" t="inlineStr">
        <is>
          <t>2177 UNQ HOLDINGS; 9869 HELENS; 2210 BEIJING JIAYE; 9699 SF INTRA-CITY; 6633 QINGCI GAMES; 2257 SIRNAOMICS-B; 0020 SENSETIME-W; 9878 HUITONGDA NET; 2157 LEPU BIO-B; 2167 TI CLOUD; 2172 MICROPORT NEURO; 1880 CTG DUTY-FREE; 9886 DINGDANG HEALTH; 9877 JENSCARE-B; 2291 SCIENTECH; 2245 LYGEND RESOURCE; 2145 CHICMAX; 2425 AUSTASIA GROUP; 2469 FENBI; 9636 JF WEALTH; 2480 LUZHU BIOTECH-B; 2416 EDIANYUN; 2487 CUTIA-B; 9885 YSB; 3650 KEEP; 9890 ZX INC; 6682 FOURTH PARADIGM; 2517 GUOQUAN; 2149 BATELAB; 2598 LIANLIAN; 2555 CHABAIDAO; 2438 MOBVOI; 2559 DIDA INC; 2495 VOICECOMM; 2507 CIRRUS; 2533 BLACK SESAME; 0300 MIDEA GROUP; 2570 REFIRE; 1318 MAO GEPING; 2577 INNOSCIENCE; 6681 BRAINAURORA-B; 3677 ZENERGY; 1333 BRETON; 2621 SHOUHUI GROUP; 3288 HAITIAN FLAV; 2050 SANHUA; 9678 UNISOUND; 2631 SICC; 3858 JIAXIN INTL RES; 2580 AUX ELECTRIC; 2525 HESAI-W; 9973 CHERY AUTO; 2889 PATEO; 6687 JST GROUP; 2718 MININGLAMP-W; 9927 SERES; 0699 JOYSON ELEC; 2698 SOFTCARE; 2788 CHUANGXIN IND; 2685 QUANTGROUP; 9609 HAIWEI ELEC; 2676 NOVOSENSE; 3881 CIDI; 2635 NUOBIKAN; 2661 QINGSONG HEALTH; 6651 51WORLD; 6082 BIREN TECH; 2513 KNOWLEDGE ATLAS; 0100 MINIMAX-WP; 6938 RIBOLIFE-B; 0501 OMNIVISION; 3200 HANS CNC; 0600 AXERA; 3355 FS.COM; 1021 HUAYAN ROBOTICS; 3296 HUAQIN; 1879 XIZHI TECH-P; 3310 VIEWTRIX TECH; 3388 CREALITY; 6675 SENASIC; 6106 SEER TECH; 2272 KEYTOP PARKING; 1956 WENGE AI; 3661 SG MICRO; 9630 CFMEE; 2697 TH MEDICAL-B; 0668 ANKER; 2667 TONGRENTANGCARE; 6880 MOMENTA-W; 3752 ROKAE ROBOTICS; 2249 NEXCHIP; 6802 CAMSENSE</t>
        </is>
      </c>
    </row>
    <row r="6">
      <c r="A6" s="32" t="inlineStr">
        <is>
          <t>Morgan Stanley Asia Limited</t>
        </is>
      </c>
      <c r="B6" s="191" t="n">
        <v>39</v>
      </c>
      <c r="C6" s="193" t="n">
        <v>62</v>
      </c>
      <c r="D6" s="194" t="n">
        <v>20.3</v>
      </c>
      <c r="E6" s="194" t="n">
        <v>19.7</v>
      </c>
      <c r="F6" s="194" t="n">
        <v>-0.1</v>
      </c>
      <c r="G6" s="191" t="n">
        <v>39</v>
      </c>
      <c r="H6" s="194" t="n">
        <v>22.9</v>
      </c>
      <c r="I6" s="194" t="n">
        <v>19.2</v>
      </c>
      <c r="J6" s="194" t="n">
        <v>27.1</v>
      </c>
      <c r="K6" s="194" t="n">
        <v>0.3</v>
      </c>
      <c r="L6" s="194" t="n">
        <v>-1.6</v>
      </c>
      <c r="M6" s="194" t="n">
        <v>2.4</v>
      </c>
      <c r="N6" s="193" t="n">
        <v>34</v>
      </c>
      <c r="O6" s="193" t="n">
        <v>37</v>
      </c>
      <c r="P6" s="191" t="n">
        <v>38</v>
      </c>
      <c r="Q6" s="166" t="n">
        <v>4848.1</v>
      </c>
      <c r="R6" s="195" t="inlineStr">
        <is>
          <t>1024 KUAISHOU-W; 6601 CHEERWIN GP; 9626 BILIBILI-SW; 0013 HUTCHMED; 2190 ZYLOXTB-B; 2162 KEYMED BIO-B; 2137 BRII - B; 6669 ACOTEC-B; 2256 ABBISKO-B; 2279 YONGHE MEDICAL; 6639 ARRAIL GROUP; 2179 RECBIO-B; 2391 TUYA-W; 9955 CLOUDR; 9696 TIANQI LITHIUM; 9857 LINMON MEDIA; 9985 WEILONG; 0314 SIPAI HEALTH; 2411 PAGODA GP; 2373 BEAUTYFARM MED; 9669 BEISEN HOLDING; 9860 ADICON HOLDINGS; 1541 IMMUNEONCO-B; 1519 J&amp;T EXPRESS-W; 2268 WUXI XDC; 2576 TAIMEI TECH; 2561 VISEN PHARMA-B; 9606 DUALITYBIO-B; 1276 HENGRUI PHARMA; 1828 FWD; 2590 GEEKPLUS-W; 9887 LEADS BIOLABS-B; 2259 ZIJIN GOLD INTL; 2579 CNGR; 3696 INSILICO; 2675 EDGE MEDICAL-B; 9980 EASTROC; 2714 MUYUAN; 6809 MONTAGE TECH</t>
        </is>
      </c>
    </row>
    <row r="7">
      <c r="A7" s="32" t="inlineStr">
        <is>
          <t>Goldman Sachs</t>
        </is>
      </c>
      <c r="B7" s="191" t="n">
        <v>32</v>
      </c>
      <c r="C7" s="193" t="n">
        <v>41</v>
      </c>
      <c r="D7" s="194" t="n">
        <v>13.8</v>
      </c>
      <c r="E7" s="194" t="n">
        <v>12.2</v>
      </c>
      <c r="F7" s="194" t="n">
        <v>-1.4</v>
      </c>
      <c r="G7" s="191" t="n">
        <v>32</v>
      </c>
      <c r="H7" s="194" t="n">
        <v>11.7</v>
      </c>
      <c r="I7" s="194" t="n">
        <v>11.3</v>
      </c>
      <c r="J7" s="194" t="n">
        <v>10.1</v>
      </c>
      <c r="K7" s="194" t="n">
        <v>-0.5</v>
      </c>
      <c r="L7" s="194" t="n">
        <v>-1.3</v>
      </c>
      <c r="M7" s="194" t="n">
        <v>-0.2</v>
      </c>
      <c r="N7" s="193" t="n">
        <v>28</v>
      </c>
      <c r="O7" s="193" t="n">
        <v>31</v>
      </c>
      <c r="P7" s="191" t="n">
        <v>32</v>
      </c>
      <c r="Q7" s="166" t="n">
        <v>5695.1</v>
      </c>
      <c r="R7" s="195" t="inlineStr">
        <is>
          <t>2158 YIDU TECH; 9959 LINKLOGIS–W; 6622 ZHAOKE OPHTH-B; 6699 ANGELALIGN; 2171 CARSGEN-B; 2192 MEDLIVE; 9960 KINDSTAR GLOBAL; 2015 LI AUTO-W; 6609 HEARTCARE-B; 2216 BRONCUS-B; 6628 TRANSCENTA-B; 2235 MICROTECH MED-B; 9898 WB-SW; 6821 ASYMCHEM; 6686 NOAH HOLDINGS-S; 2315 BIOCYTOGEN-B; 2602 ONEWO; 6660 AIM VACCINE; 2367 GIANT BIOGENE; 6979 ZJLD; 6990 SKB BIO-B; 9690 TUHU-W; 9660 HORIZONROBOT-W; 0325 BLOKS; 1364 GUMING; 2648 ANJOY FOOD; 2026 PONY-W; 1768 BUSYMING; 7630 IMPACT THERAP-B; 2475 LUXSHARE ICT; 3308 ZJ INNOLIGHT; 0625 SHEIN-W</t>
        </is>
      </c>
    </row>
    <row r="8">
      <c r="A8" s="32" t="inlineStr">
        <is>
          <t>CLSA Limited</t>
        </is>
      </c>
      <c r="B8" s="191" t="n">
        <v>28</v>
      </c>
      <c r="C8" s="193" t="n">
        <v>71</v>
      </c>
      <c r="D8" s="194" t="n">
        <v>45.4</v>
      </c>
      <c r="E8" s="194" t="n">
        <v>38.4</v>
      </c>
      <c r="F8" s="194" t="n">
        <v>-3.9</v>
      </c>
      <c r="G8" s="191" t="n">
        <v>28</v>
      </c>
      <c r="H8" s="194" t="n">
        <v>31.7</v>
      </c>
      <c r="I8" s="194" t="n">
        <v>35.8</v>
      </c>
      <c r="J8" s="194" t="n">
        <v>85.2</v>
      </c>
      <c r="K8" s="194" t="n">
        <v>-4.5</v>
      </c>
      <c r="L8" s="194" t="n">
        <v>-2.4</v>
      </c>
      <c r="M8" s="194" t="n">
        <v>29.4</v>
      </c>
      <c r="N8" s="193" t="n">
        <v>40</v>
      </c>
      <c r="O8" s="193" t="n">
        <v>35</v>
      </c>
      <c r="P8" s="191" t="n">
        <v>20</v>
      </c>
      <c r="Q8" s="166" t="n">
        <v>2163.7</v>
      </c>
      <c r="R8" s="195" t="inlineStr">
        <is>
          <t>2170 BASECARE-B; 2228 QUANTUMPH-P; 2431 MINIEYE; 6693 CHIFENG GOLD; 2589 AUNTEA JENNY; 2617 TRANSTHERA-B; 6603 IFBH; 2591 INNOGEN-B; 2595 GENFLEET-B; 6090 BUTONG GROUP; 2670 YUNJI; 6031 SANY HEAVY IND; 2630 VIGONVITA-B; 2658 TIANYU SEMI; 2396 B&amp;K CORP-B; 2691 NANHUA FUTURES; 2657 FOREST CABIN; 6656 SIGENERGY; 3277 GPIXEL; 7666 METIS TECHBIO-P; 6872 TENNOR THERAP-B; 6132 HJ SCIENCE-B; 6228 MERDEKAGOLD-DRS; 1770 DKE; 9615 MECH-MIND ROBOT; 9976 LONGSYS; 9856 LIGENT; 6731 DIRECT DRIVE</t>
        </is>
      </c>
    </row>
    <row r="9">
      <c r="A9" s="32" t="inlineStr">
        <is>
          <t>Huatai Financial Holdings</t>
        </is>
      </c>
      <c r="B9" s="191" t="n">
        <v>19</v>
      </c>
      <c r="C9" s="193" t="n">
        <v>32</v>
      </c>
      <c r="D9" s="194" t="n">
        <v>1.8</v>
      </c>
      <c r="E9" s="194" t="n">
        <v>-1.2</v>
      </c>
      <c r="F9" s="194" t="n">
        <v>-2.2</v>
      </c>
      <c r="G9" s="191" t="n">
        <v>19</v>
      </c>
      <c r="H9" s="194" t="n">
        <v>-1.3</v>
      </c>
      <c r="I9" s="194" t="n">
        <v>-11.6</v>
      </c>
      <c r="J9" s="194" t="n">
        <v>-0.8</v>
      </c>
      <c r="K9" s="194" t="n">
        <v>-1.7</v>
      </c>
      <c r="L9" s="194" t="n">
        <v>-10.3</v>
      </c>
      <c r="M9" s="194" t="n">
        <v>-1.3</v>
      </c>
      <c r="N9" s="193" t="n">
        <v>18</v>
      </c>
      <c r="O9" s="193" t="n">
        <v>59</v>
      </c>
      <c r="P9" s="191" t="n">
        <v>17</v>
      </c>
      <c r="Q9" s="166" t="n">
        <v>2494.8</v>
      </c>
      <c r="R9" s="195" t="inlineStr">
        <is>
          <t>2146 ROISERV; 2185 BIOHEART-B; 2297 RAINMED-B; 3931 CALB; 6963 SUNSHINE INS; 9930 HORIZON CD; 2271 ZHONGAN SERVICE; 1973 TIAN TU CAPITAL; 2519 AUGROUP; 2566 JIUYUAN GENE; 2506 XUNFEIHEALTH; 2610 NANSHAN AL INTL; 2865 DRINDA; 3636 JINXUN RESOURCE; 3986 GIGADEVICE; 2715 ESTUN; 1081 DAJIN; 1191 CREALIGHTS; 3757 ROBOTECHNIK</t>
        </is>
      </c>
    </row>
    <row r="10">
      <c r="A10" s="32" t="inlineStr">
        <is>
          <t>Guotai Junan Securities</t>
        </is>
      </c>
      <c r="B10" s="191" t="n">
        <v>13</v>
      </c>
      <c r="C10" s="193" t="n">
        <v>54</v>
      </c>
      <c r="D10" s="194" t="n">
        <v>5.2</v>
      </c>
      <c r="E10" s="194" t="n">
        <v>8.9</v>
      </c>
      <c r="F10" s="194" t="n">
        <v>2.9</v>
      </c>
      <c r="G10" s="191" t="n">
        <v>13</v>
      </c>
      <c r="H10" s="194" t="n">
        <v>9.199999999999999</v>
      </c>
      <c r="I10" s="194" t="n">
        <v>13.1</v>
      </c>
      <c r="J10" s="194" t="n">
        <v>60.8</v>
      </c>
      <c r="K10" s="194" t="n">
        <v>1.2</v>
      </c>
      <c r="L10" s="194" t="n">
        <v>6.1</v>
      </c>
      <c r="M10" s="194" t="n">
        <v>54</v>
      </c>
      <c r="N10" s="193" t="n">
        <v>15</v>
      </c>
      <c r="O10" s="193" t="n">
        <v>38</v>
      </c>
      <c r="P10" s="191" t="n">
        <v>13</v>
      </c>
      <c r="Q10" s="166" t="n">
        <v>1262</v>
      </c>
      <c r="R10" s="195" t="inlineStr">
        <is>
          <t>2175 CH GENERAL EDU; 1948 UJU HOLDING; 2276 CONANT OPTICAL; 2352 DOWELL SERVICE; 2481 WISE LIVING TEC; 9880 UBTECH ROBOTICS; 2536 PALASINO; 2465 LOPAL TECH; 2432 DOBOT; 6166 CIG; 3317 XUNCE; 7688 TOPNC; 3223 INGENIC</t>
        </is>
      </c>
    </row>
    <row r="11">
      <c r="A11" s="32" t="inlineStr">
        <is>
          <t>China Securities</t>
        </is>
      </c>
      <c r="B11" s="191" t="n">
        <v>12</v>
      </c>
      <c r="C11" s="193" t="n">
        <v>50</v>
      </c>
      <c r="D11" s="194" t="n">
        <v>8.199999999999999</v>
      </c>
      <c r="E11" s="194" t="n">
        <v>18.3</v>
      </c>
      <c r="F11" s="194" t="n">
        <v>8.199999999999999</v>
      </c>
      <c r="G11" s="191" t="n">
        <v>12</v>
      </c>
      <c r="H11" s="194" t="n">
        <v>16.8</v>
      </c>
      <c r="I11" s="194" t="n">
        <v>31.5</v>
      </c>
      <c r="J11" s="194" t="n">
        <v>59.7</v>
      </c>
      <c r="K11" s="194" t="n">
        <v>-1.7</v>
      </c>
      <c r="L11" s="194" t="n">
        <v>2.4</v>
      </c>
      <c r="M11" s="194" t="n">
        <v>18.5</v>
      </c>
      <c r="N11" s="193" t="n">
        <v>20</v>
      </c>
      <c r="O11" s="193" t="n">
        <v>20</v>
      </c>
      <c r="P11" s="191" t="n">
        <v>10</v>
      </c>
      <c r="Q11" s="166" t="n">
        <v>485.5</v>
      </c>
      <c r="R11" s="195" t="inlineStr">
        <is>
          <t>2125 STRAWBEAR ENT; 6667 MEGA GENOMICS; 2385 READBOY; 2418 DEEWIN; 1244 3D MEDICINES-B; 6698 STAR CM; 2306 YH ENT; 2496 YZYBIO-B; 6181 LAOPU GOLD; 2560 CONCH MAT TECH; 2543 DAHON TECH; 2649 ALSCO POOLING</t>
        </is>
      </c>
    </row>
    <row r="12">
      <c r="A12" s="32" t="inlineStr">
        <is>
          <t>Haitong International Securities Company Limited</t>
        </is>
      </c>
      <c r="B12" s="191" t="n">
        <v>11</v>
      </c>
      <c r="C12" s="193" t="n">
        <v>82</v>
      </c>
      <c r="D12" s="194" t="n">
        <v>24</v>
      </c>
      <c r="E12" s="194" t="n">
        <v>24</v>
      </c>
      <c r="F12" s="194" t="n">
        <v>1.2</v>
      </c>
      <c r="G12" s="191" t="n">
        <v>11</v>
      </c>
      <c r="H12" s="194" t="n">
        <v>12.4</v>
      </c>
      <c r="I12" s="194" t="n">
        <v>8.5</v>
      </c>
      <c r="J12" s="194" t="n">
        <v>4.1</v>
      </c>
      <c r="K12" s="194" t="n">
        <v>-6.2</v>
      </c>
      <c r="L12" s="194" t="n">
        <v>-9.5</v>
      </c>
      <c r="M12" s="194" t="n">
        <v>-10</v>
      </c>
      <c r="N12" s="193" t="n">
        <v>10</v>
      </c>
      <c r="O12" s="193" t="n">
        <v>70</v>
      </c>
      <c r="P12" s="191" t="n">
        <v>10</v>
      </c>
      <c r="Q12" s="166" t="n">
        <v>677</v>
      </c>
      <c r="R12" s="195" t="inlineStr">
        <is>
          <t>2219 CHAOJU EYE CARE; 1965 LANDSEA LIFE; 2436 LX TECHNOLOGY; 2482 LOGORY; 2499 FOLANGSI; 2502 JINYUAN HCHEM; 6657 BAIWANG CO; 2651 DAZHONG DENTAL; 1236 LDROBOT; 7687 EACON; 2261 NASN TECH</t>
        </is>
      </c>
    </row>
    <row r="13">
      <c r="A13" s="32" t="inlineStr">
        <is>
          <t>J.P. Morgan Securities</t>
        </is>
      </c>
      <c r="B13" s="191" t="n">
        <v>10</v>
      </c>
      <c r="C13" s="193" t="n">
        <v>20</v>
      </c>
      <c r="D13" s="194" t="n">
        <v>21.3</v>
      </c>
      <c r="E13" s="194" t="n">
        <v>14.5</v>
      </c>
      <c r="F13" s="194" t="n">
        <v>-5.1</v>
      </c>
      <c r="G13" s="191" t="n">
        <v>10</v>
      </c>
      <c r="H13" s="194" t="n">
        <v>22.2</v>
      </c>
      <c r="I13" s="194" t="n">
        <v>9.800000000000001</v>
      </c>
      <c r="J13" s="194" t="n">
        <v>-6.9</v>
      </c>
      <c r="K13" s="194" t="n">
        <v>-0.5</v>
      </c>
      <c r="L13" s="194" t="n">
        <v>-7</v>
      </c>
      <c r="M13" s="194" t="n">
        <v>-13.1</v>
      </c>
      <c r="N13" s="193" t="n">
        <v>20</v>
      </c>
      <c r="O13" s="193" t="n">
        <v>30</v>
      </c>
      <c r="P13" s="191" t="n">
        <v>10</v>
      </c>
      <c r="Q13" s="166" t="n">
        <v>6089</v>
      </c>
      <c r="R13" s="195" t="inlineStr">
        <is>
          <t>2150 NAYUKI; 9868 XPENG-W; 9863 LEAPMOTOR; 2498 ROBOSENSE; 2510 TS LINES; 6936 SF HOLDING; 3887 HASHKEY HLDGS; 0470 WUXI LEAD; 0068 MANYCORE TECH; 2476 VGT</t>
        </is>
      </c>
    </row>
    <row r="14">
      <c r="A14" s="32" t="inlineStr">
        <is>
          <t>CMB International Global Markets Limited</t>
        </is>
      </c>
      <c r="B14" s="191" t="n">
        <v>8</v>
      </c>
      <c r="C14" s="193" t="n">
        <v>50</v>
      </c>
      <c r="D14" s="194" t="n">
        <v>4.1</v>
      </c>
      <c r="E14" s="194" t="n">
        <v>5.8</v>
      </c>
      <c r="F14" s="194" t="n">
        <v>-0.2</v>
      </c>
      <c r="G14" s="191" t="n">
        <v>8</v>
      </c>
      <c r="H14" s="194" t="n">
        <v>-2.3</v>
      </c>
      <c r="I14" s="194" t="n">
        <v>2.3</v>
      </c>
      <c r="J14" s="194" t="n">
        <v>1.3</v>
      </c>
      <c r="K14" s="194" t="n">
        <v>-3.4</v>
      </c>
      <c r="L14" s="194" t="n">
        <v>-3.7</v>
      </c>
      <c r="M14" s="194" t="n">
        <v>-4</v>
      </c>
      <c r="N14" s="193" t="n">
        <v>12</v>
      </c>
      <c r="O14" s="193" t="n">
        <v>62</v>
      </c>
      <c r="P14" s="191" t="n">
        <v>8</v>
      </c>
      <c r="Q14" s="166" t="n">
        <v>740.3</v>
      </c>
      <c r="R14" s="195" t="inlineStr">
        <is>
          <t>2325 YUNKANG GROUP; 2392 XUANWU CLOUD; 2505 EDA GROUP HLDGS; 2549 CAROTE LTD; 6831 GREEN TEA GROUP; 2408 XIAO NOODLES; 0664 TONGSHIFU; 3952 LAIFUAL</t>
        </is>
      </c>
    </row>
    <row r="15">
      <c r="A15" s="32" t="inlineStr">
        <is>
          <t>Merrill Lynch</t>
        </is>
      </c>
      <c r="B15" s="191" t="n">
        <v>8</v>
      </c>
      <c r="C15" s="193" t="n">
        <v>25</v>
      </c>
      <c r="D15" s="194" t="n">
        <v>5.9</v>
      </c>
      <c r="E15" s="194" t="n">
        <v>5.1</v>
      </c>
      <c r="F15" s="194" t="n">
        <v>-0.7</v>
      </c>
      <c r="G15" s="191" t="n">
        <v>8</v>
      </c>
      <c r="H15" s="194" t="n">
        <v>12</v>
      </c>
      <c r="I15" s="194" t="n">
        <v>14.6</v>
      </c>
      <c r="J15" s="194" t="n">
        <v>3.4</v>
      </c>
      <c r="K15" s="194" t="n">
        <v>4.9</v>
      </c>
      <c r="L15" s="194" t="n">
        <v>7</v>
      </c>
      <c r="M15" s="194" t="n">
        <v>-7</v>
      </c>
      <c r="N15" s="193" t="n">
        <v>29</v>
      </c>
      <c r="O15" s="193" t="n">
        <v>29</v>
      </c>
      <c r="P15" s="191" t="n">
        <v>7</v>
      </c>
      <c r="Q15" s="166" t="n">
        <v>7514</v>
      </c>
      <c r="R15" s="195" t="inlineStr">
        <is>
          <t>9888 BIDU-SW; 2618 JD LOGISTICS; 9899 CLOUD VILLAGE; 2273 GUSHENGTANG; 9896 MNSO; 1405 DPC DASH; 2097 MIXUE GROUP; 7618 JD INDUSTRIALS</t>
        </is>
      </c>
    </row>
    <row r="16">
      <c r="A16" s="32" t="inlineStr">
        <is>
          <t>UBS AG Hong Kong Branch</t>
        </is>
      </c>
      <c r="B16" s="191" t="n">
        <v>8</v>
      </c>
      <c r="C16" s="193" t="n">
        <v>50</v>
      </c>
      <c r="D16" s="194" t="n">
        <v>2.9</v>
      </c>
      <c r="E16" s="194" t="n">
        <v>-3.9</v>
      </c>
      <c r="F16" s="194" t="n">
        <v>-8.4</v>
      </c>
      <c r="G16" s="191" t="n">
        <v>8</v>
      </c>
      <c r="H16" s="194" t="n">
        <v>-19</v>
      </c>
      <c r="I16" s="194" t="n">
        <v>-25.2</v>
      </c>
      <c r="J16" s="194" t="n">
        <v>-18.2</v>
      </c>
      <c r="K16" s="194" t="n">
        <v>-18.8</v>
      </c>
      <c r="L16" s="194" t="n">
        <v>-26.5</v>
      </c>
      <c r="M16" s="194" t="n">
        <v>-15</v>
      </c>
      <c r="N16" s="193" t="n">
        <v>12</v>
      </c>
      <c r="O16" s="193" t="n">
        <v>62</v>
      </c>
      <c r="P16" s="191" t="n">
        <v>8</v>
      </c>
      <c r="Q16" s="166" t="n">
        <v>1406</v>
      </c>
      <c r="R16" s="195" t="inlineStr">
        <is>
          <t>0606 SCE CM; 2121 AINNOVATION; 2246 GOGOX; 6955 BOAN BIOTECH-B; 2460 CR BEVERAGE; 2586 DMALL; 0999 XIAOCAIYUAN; 2508 SAINT BELLA</t>
        </is>
      </c>
    </row>
    <row r="17">
      <c r="A17" s="32" t="inlineStr">
        <is>
          <t>CMBC Securities Company Limited</t>
        </is>
      </c>
      <c r="B17" s="191" t="n">
        <v>7</v>
      </c>
      <c r="C17" s="193" t="n">
        <v>86</v>
      </c>
      <c r="D17" s="194" t="n">
        <v>89.3</v>
      </c>
      <c r="E17" s="194" t="n">
        <v>90.5</v>
      </c>
      <c r="F17" s="194" t="n">
        <v>-3.4</v>
      </c>
      <c r="G17" s="191" t="n">
        <v>7</v>
      </c>
      <c r="H17" s="194" t="n">
        <v>83.09999999999999</v>
      </c>
      <c r="I17" s="194" t="n">
        <v>81.3</v>
      </c>
      <c r="J17" s="194" t="n">
        <v>69.3</v>
      </c>
      <c r="K17" s="194" t="n">
        <v>-2.6</v>
      </c>
      <c r="L17" s="194" t="n">
        <v>-5</v>
      </c>
      <c r="M17" s="194" t="n">
        <v>-9.199999999999999</v>
      </c>
      <c r="N17" s="193" t="n">
        <v>20</v>
      </c>
      <c r="O17" s="193" t="n">
        <v>60</v>
      </c>
      <c r="P17" s="191" t="n">
        <v>5</v>
      </c>
      <c r="Q17" s="166" t="n">
        <v>204.9</v>
      </c>
      <c r="R17" s="195" t="inlineStr">
        <is>
          <t>6939 MEGAIN; 2260 VANOV HOLDINGS; 2347 YOHO GROUP; 2422 REGO INTERACT; 2433 ZT HN GROUP; 2573 NEWTREND GROUP; 2672 BAIGE DIGITAL</t>
        </is>
      </c>
    </row>
    <row r="18">
      <c r="A18" s="32" t="inlineStr">
        <is>
          <t>CCB International Capital Limited</t>
        </is>
      </c>
      <c r="B18" s="191" t="n">
        <v>7</v>
      </c>
      <c r="C18" s="193" t="n">
        <v>43</v>
      </c>
      <c r="D18" s="194" t="n">
        <v>17.9</v>
      </c>
      <c r="E18" s="194" t="n">
        <v>15.2</v>
      </c>
      <c r="F18" s="194" t="n">
        <v>-2.9</v>
      </c>
      <c r="G18" s="191" t="n">
        <v>7</v>
      </c>
      <c r="H18" s="194" t="n">
        <v>14.3</v>
      </c>
      <c r="I18" s="194" t="n">
        <v>11.3</v>
      </c>
      <c r="J18" s="194" t="n">
        <v>6.5</v>
      </c>
      <c r="K18" s="194" t="n">
        <v>-0.5</v>
      </c>
      <c r="L18" s="194" t="n">
        <v>-2.7</v>
      </c>
      <c r="M18" s="194" t="n">
        <v>-2.8</v>
      </c>
      <c r="N18" s="193" t="n">
        <v>0</v>
      </c>
      <c r="O18" s="193" t="n">
        <v>33</v>
      </c>
      <c r="P18" s="191" t="n">
        <v>6</v>
      </c>
      <c r="Q18" s="166" t="n">
        <v>898.7</v>
      </c>
      <c r="R18" s="195" t="inlineStr">
        <is>
          <t>6668 E-STAR CM; 2165 LING YUE SER GP; 2215 DEXIN SER GROUP; 2205 KANGQIAO SER; 6611 SANXUN GROUP; 2596 YIBIN BANK; 2335 MICOT PHARMA-B</t>
        </is>
      </c>
    </row>
    <row r="19">
      <c r="A19" s="32" t="inlineStr">
        <is>
          <t>Shenwan Hongyuan Securities</t>
        </is>
      </c>
      <c r="B19" s="191" t="n">
        <v>5</v>
      </c>
      <c r="C19" s="193" t="n">
        <v>40</v>
      </c>
      <c r="D19" s="194" t="n">
        <v>59.7</v>
      </c>
      <c r="E19" s="194" t="n">
        <v>52.7</v>
      </c>
      <c r="F19" s="194" t="n">
        <v>-8.4</v>
      </c>
      <c r="G19" s="191" t="n">
        <v>5</v>
      </c>
      <c r="H19" s="194" t="n">
        <v>51.6</v>
      </c>
      <c r="I19" s="194" t="n">
        <v>77.5</v>
      </c>
      <c r="J19" s="194" t="n">
        <v>122</v>
      </c>
      <c r="K19" s="194" t="n">
        <v>1.5</v>
      </c>
      <c r="L19" s="194" t="n">
        <v>15.6</v>
      </c>
      <c r="M19" s="194" t="n">
        <v>33.4</v>
      </c>
      <c r="N19" s="193" t="n">
        <v>0</v>
      </c>
      <c r="O19" s="193" t="n">
        <v>75</v>
      </c>
      <c r="P19" s="191" t="n">
        <v>4</v>
      </c>
      <c r="Q19" s="166" t="n">
        <v>401.2</v>
      </c>
      <c r="R19" s="195" t="inlineStr">
        <is>
          <t>2270 DESUN SERVICES; 6610 FLOWING CLOUD; 2567 QINIU; 2656 160 HEALTH; 2650 ZHIDA TECH</t>
        </is>
      </c>
    </row>
    <row r="20">
      <c r="A20" s="32" t="inlineStr">
        <is>
          <t>Yue Xiu Securities Company Limited</t>
        </is>
      </c>
      <c r="B20" s="191" t="n">
        <v>5</v>
      </c>
      <c r="C20" s="193" t="n">
        <v>80</v>
      </c>
      <c r="D20" s="194" t="n">
        <v>31.4</v>
      </c>
      <c r="E20" s="194" t="n">
        <v>25.8</v>
      </c>
      <c r="F20" s="194" t="n">
        <v>1</v>
      </c>
      <c r="G20" s="191" t="n">
        <v>5</v>
      </c>
      <c r="H20" s="194" t="n">
        <v>31.4</v>
      </c>
      <c r="I20" s="194" t="n">
        <v>51.5</v>
      </c>
      <c r="J20" s="194" t="n">
        <v>43.2</v>
      </c>
      <c r="K20" s="194" t="n">
        <v>3.7</v>
      </c>
      <c r="L20" s="194" t="n">
        <v>18.5</v>
      </c>
      <c r="M20" s="194" t="n">
        <v>11.7</v>
      </c>
      <c r="N20" s="193" t="n">
        <v>0</v>
      </c>
      <c r="O20" s="193" t="n">
        <v>75</v>
      </c>
      <c r="P20" s="191" t="n">
        <v>4</v>
      </c>
      <c r="Q20" s="166" t="n">
        <v>595</v>
      </c>
      <c r="R20" s="195" t="inlineStr">
        <is>
          <t>6626 YUEXIU SERVICES; 2459 SANERGY GROUP; 2569 SOFT INTL; 9881 RONGTA TECH; 2553 SHOUGANG LANZA</t>
        </is>
      </c>
    </row>
    <row r="21">
      <c r="A21" s="32" t="inlineStr">
        <is>
          <t>Sinolink Securities</t>
        </is>
      </c>
      <c r="B21" s="191" t="n">
        <v>4</v>
      </c>
      <c r="C21" s="193" t="n">
        <v>75</v>
      </c>
      <c r="D21" s="194" t="n">
        <v>37.7</v>
      </c>
      <c r="E21" s="194" t="n">
        <v>72.3</v>
      </c>
      <c r="F21" s="194" t="n">
        <v>15.8</v>
      </c>
      <c r="G21" s="191" t="n">
        <v>4</v>
      </c>
      <c r="H21" s="194" t="n">
        <v>131.2</v>
      </c>
      <c r="I21" s="194" t="n">
        <v>90.2</v>
      </c>
      <c r="J21" s="194" t="n">
        <v>97.40000000000001</v>
      </c>
      <c r="K21" s="194" t="n">
        <v>21.2</v>
      </c>
      <c r="L21" s="194" t="n">
        <v>11.5</v>
      </c>
      <c r="M21" s="194" t="n">
        <v>-5.5</v>
      </c>
      <c r="N21" s="193" t="n">
        <v>67</v>
      </c>
      <c r="O21" s="193" t="n">
        <v>33</v>
      </c>
      <c r="P21" s="191" t="n">
        <v>3</v>
      </c>
      <c r="Q21" s="166" t="n">
        <v>761.1</v>
      </c>
      <c r="R21" s="195" t="inlineStr">
        <is>
          <t>2155 MORIMATSU INTL; 2619 XJ ELECTRICS; 1779 LONGBIO-B; 9971 BASICSEMI</t>
        </is>
      </c>
    </row>
    <row r="22">
      <c r="A22" s="32" t="inlineStr">
        <is>
          <t>ABCI Securities Company Limited</t>
        </is>
      </c>
      <c r="B22" s="191" t="n">
        <v>4</v>
      </c>
      <c r="C22" s="193" t="n">
        <v>75</v>
      </c>
      <c r="D22" s="194" t="n">
        <v>8.699999999999999</v>
      </c>
      <c r="E22" s="194" t="n">
        <v>6.8</v>
      </c>
      <c r="F22" s="194" t="n">
        <v>-1.6</v>
      </c>
      <c r="G22" s="191" t="n">
        <v>4</v>
      </c>
      <c r="H22" s="194" t="n">
        <v>16.9</v>
      </c>
      <c r="I22" s="194" t="n">
        <v>11.4</v>
      </c>
      <c r="J22" s="194" t="n">
        <v>31.1</v>
      </c>
      <c r="K22" s="194" t="n">
        <v>5.6</v>
      </c>
      <c r="L22" s="194" t="n">
        <v>-1.4</v>
      </c>
      <c r="M22" s="194" t="n">
        <v>14.1</v>
      </c>
      <c r="N22" s="193" t="n">
        <v>25</v>
      </c>
      <c r="O22" s="193" t="n">
        <v>75</v>
      </c>
      <c r="P22" s="191" t="n">
        <v>4</v>
      </c>
      <c r="Q22" s="166" t="n">
        <v>2383.8</v>
      </c>
      <c r="R22" s="195" t="inlineStr">
        <is>
          <t>1490 CHESHI; 9889 DRCB; 2370 REDCO HEALTHY; 2376 LUSHANGSERVICES</t>
        </is>
      </c>
    </row>
    <row r="23">
      <c r="A23" s="32" t="inlineStr">
        <is>
          <t>Zhongtai International Securities Limited</t>
        </is>
      </c>
      <c r="B23" s="191" t="n">
        <v>4</v>
      </c>
      <c r="C23" s="193" t="n">
        <v>25</v>
      </c>
      <c r="D23" s="194" t="n">
        <v>0.2</v>
      </c>
      <c r="E23" s="194" t="n">
        <v>-21.2</v>
      </c>
      <c r="F23" s="194" t="n">
        <v>-19.2</v>
      </c>
      <c r="G23" s="191" t="n">
        <v>4</v>
      </c>
      <c r="H23" s="194" t="n">
        <v>-18</v>
      </c>
      <c r="I23" s="194" t="n">
        <v>-29.7</v>
      </c>
      <c r="J23" s="194" t="n">
        <v>-31.9</v>
      </c>
      <c r="K23" s="194" t="n">
        <v>6.9</v>
      </c>
      <c r="L23" s="194" t="n">
        <v>-3.5</v>
      </c>
      <c r="M23" s="194" t="n">
        <v>-7.3</v>
      </c>
      <c r="N23" s="193" t="n">
        <v>0</v>
      </c>
      <c r="O23" s="193" t="n">
        <v>100</v>
      </c>
      <c r="P23" s="191" t="n">
        <v>4</v>
      </c>
      <c r="Q23" s="166" t="n">
        <v>243.7</v>
      </c>
      <c r="R23" s="195" t="inlineStr">
        <is>
          <t>6696 MANY IDEA CLOUD; 2457 BUYANG INTL; 2455 RUNHUA SERVICE; 2409 SEACON</t>
        </is>
      </c>
    </row>
    <row r="24">
      <c r="A24" s="32" t="inlineStr">
        <is>
          <t>China Tonghai Securities Limited</t>
        </is>
      </c>
      <c r="B24" s="191" t="n">
        <v>3</v>
      </c>
      <c r="C24" s="193" t="n">
        <v>100</v>
      </c>
      <c r="D24" s="194" t="n">
        <v>9.699999999999999</v>
      </c>
      <c r="E24" s="194" t="n">
        <v>8.5</v>
      </c>
      <c r="F24" s="194" t="n">
        <v>-0.4</v>
      </c>
      <c r="G24" s="191" t="n">
        <v>3</v>
      </c>
      <c r="H24" s="194" t="n">
        <v>3.3</v>
      </c>
      <c r="I24" s="194" t="n">
        <v>4.4</v>
      </c>
      <c r="J24" s="194" t="n">
        <v>-0.1</v>
      </c>
      <c r="K24" s="194" t="n">
        <v>-4.9</v>
      </c>
      <c r="L24" s="194" t="n">
        <v>-3.9</v>
      </c>
      <c r="M24" s="194" t="n">
        <v>-7.6</v>
      </c>
      <c r="N24" s="193" t="n">
        <v>0</v>
      </c>
      <c r="O24" s="193" t="n">
        <v>100</v>
      </c>
      <c r="P24" s="191" t="n">
        <v>2</v>
      </c>
      <c r="Q24" s="166" t="n">
        <v>132.5</v>
      </c>
      <c r="R24" s="195" t="inlineStr">
        <is>
          <t>1855 ZONBONG ENVIRO; 1204 BOARDWARE INTEL; 1489 GC CONSTRUCTION</t>
        </is>
      </c>
    </row>
    <row r="25">
      <c r="A25" s="32" t="inlineStr">
        <is>
          <t>BOCOM International Securities</t>
        </is>
      </c>
      <c r="B25" s="191" t="n">
        <v>3</v>
      </c>
      <c r="C25" s="193" t="n">
        <v>33</v>
      </c>
      <c r="D25" s="194" t="n">
        <v>24.4</v>
      </c>
      <c r="E25" s="194" t="n">
        <v>6.5</v>
      </c>
      <c r="F25" s="194" t="n">
        <v>-10.2</v>
      </c>
      <c r="G25" s="191" t="n">
        <v>3</v>
      </c>
      <c r="H25" s="194" t="n">
        <v>3.8</v>
      </c>
      <c r="I25" s="194" t="n">
        <v>-16.8</v>
      </c>
      <c r="J25" s="194" t="n">
        <v>-19.4</v>
      </c>
      <c r="K25" s="194" t="n">
        <v>-1.5</v>
      </c>
      <c r="L25" s="194" t="n">
        <v>-20.5</v>
      </c>
      <c r="M25" s="194" t="n">
        <v>-22.2</v>
      </c>
      <c r="N25" s="193" t="n">
        <v>0</v>
      </c>
      <c r="O25" s="193" t="n">
        <v>33</v>
      </c>
      <c r="P25" s="191" t="n">
        <v>3</v>
      </c>
      <c r="Q25" s="166" t="n">
        <v>206.6</v>
      </c>
      <c r="R25" s="195" t="inlineStr">
        <is>
          <t>6661 HUZHOU GAS; 2152 SUXIN SERVICES; 2881 WUHAN YOUJI</t>
        </is>
      </c>
    </row>
    <row r="26">
      <c r="A26" s="32" t="inlineStr">
        <is>
          <t>GF Securities</t>
        </is>
      </c>
      <c r="B26" s="191" t="n">
        <v>3</v>
      </c>
      <c r="C26" s="193" t="n">
        <v>33</v>
      </c>
      <c r="D26" s="194" t="n">
        <v>-0.9</v>
      </c>
      <c r="E26" s="194" t="n">
        <v>1.9</v>
      </c>
      <c r="F26" s="194" t="n">
        <v>3.1</v>
      </c>
      <c r="G26" s="191" t="n">
        <v>3</v>
      </c>
      <c r="H26" s="194" t="n">
        <v>9.6</v>
      </c>
      <c r="I26" s="194" t="n">
        <v>42</v>
      </c>
      <c r="J26" s="194" t="n">
        <v>138</v>
      </c>
      <c r="K26" s="194" t="n">
        <v>5.8</v>
      </c>
      <c r="L26" s="194" t="n">
        <v>34.6</v>
      </c>
      <c r="M26" s="194" t="n">
        <v>117.9</v>
      </c>
      <c r="N26" s="193" t="n">
        <v>0</v>
      </c>
      <c r="O26" s="193" t="n">
        <v>67</v>
      </c>
      <c r="P26" s="191" t="n">
        <v>3</v>
      </c>
      <c r="Q26" s="166" t="n">
        <v>767.8</v>
      </c>
      <c r="R26" s="195" t="inlineStr">
        <is>
          <t>2405 POWERWIN TECH; 1497 YAN PALACE; 2643 CAOCAO INC</t>
        </is>
      </c>
    </row>
    <row r="27">
      <c r="A27" s="32" t="inlineStr">
        <is>
          <t>China Everbright Securities</t>
        </is>
      </c>
      <c r="B27" s="191" t="n">
        <v>3</v>
      </c>
      <c r="C27" s="193" t="n">
        <v>33</v>
      </c>
      <c r="D27" s="194" t="n">
        <v>-3.5</v>
      </c>
      <c r="E27" s="194" t="n">
        <v>-10.6</v>
      </c>
      <c r="F27" s="194" t="n">
        <v>-7.9</v>
      </c>
      <c r="G27" s="191" t="n">
        <v>3</v>
      </c>
      <c r="H27" s="194" t="n">
        <v>-18.4</v>
      </c>
      <c r="I27" s="194" t="n">
        <v>-23.4</v>
      </c>
      <c r="J27" s="194" t="n">
        <v>-34.8</v>
      </c>
      <c r="K27" s="194" t="n">
        <v>-8.1</v>
      </c>
      <c r="L27" s="194" t="n">
        <v>-15.8</v>
      </c>
      <c r="M27" s="194" t="n">
        <v>-28.4</v>
      </c>
      <c r="N27" s="193" t="n">
        <v>0</v>
      </c>
      <c r="O27" s="193" t="n">
        <v>100</v>
      </c>
      <c r="P27" s="191" t="n">
        <v>3</v>
      </c>
      <c r="Q27" s="166" t="n">
        <v>196.6</v>
      </c>
      <c r="R27" s="195" t="inlineStr">
        <is>
          <t>2250 SEMK HOLDINGS; 1406 CLARITY MEDICAL; 2450 HUAIBEI GD CO</t>
        </is>
      </c>
    </row>
    <row r="28">
      <c r="A28" s="32" t="inlineStr">
        <is>
          <t>Citigroup Global Markets Asia Limited</t>
        </is>
      </c>
      <c r="B28" s="191" t="n">
        <v>3</v>
      </c>
      <c r="C28" s="193" t="n">
        <v>67</v>
      </c>
      <c r="D28" s="194" t="n">
        <v>-9.6</v>
      </c>
      <c r="E28" s="194" t="n">
        <v>-12.5</v>
      </c>
      <c r="F28" s="194" t="n">
        <v>-3.1</v>
      </c>
      <c r="G28" s="191" t="n">
        <v>3</v>
      </c>
      <c r="H28" s="194" t="n">
        <v>-3.9</v>
      </c>
      <c r="I28" s="194" t="n">
        <v>1.9</v>
      </c>
      <c r="J28" s="194" t="n">
        <v>7.8</v>
      </c>
      <c r="K28" s="194" t="n">
        <v>8.6</v>
      </c>
      <c r="L28" s="194" t="n">
        <v>13.1</v>
      </c>
      <c r="M28" s="194" t="n">
        <v>27.8</v>
      </c>
      <c r="N28" s="193" t="n">
        <v>0</v>
      </c>
      <c r="O28" s="193" t="n">
        <v>100</v>
      </c>
      <c r="P28" s="191" t="n">
        <v>2</v>
      </c>
      <c r="Q28" s="166" t="n">
        <v>697.3</v>
      </c>
      <c r="R28" s="195" t="inlineStr">
        <is>
          <t>3660 360 DIGITECH-S; 6086 FANGZHOU JIANKE; 9611 LONGCHEER</t>
        </is>
      </c>
    </row>
    <row r="29">
      <c r="A29" s="32" t="inlineStr">
        <is>
          <t>Credit Suisse</t>
        </is>
      </c>
      <c r="B29" s="191" t="n">
        <v>3</v>
      </c>
      <c r="C29" s="193" t="n">
        <v>0</v>
      </c>
      <c r="D29" s="194" t="n">
        <v>-14</v>
      </c>
      <c r="E29" s="194" t="n">
        <v>-17.3</v>
      </c>
      <c r="F29" s="194" t="n">
        <v>-3.7</v>
      </c>
      <c r="G29" s="191" t="n">
        <v>3</v>
      </c>
      <c r="H29" s="194" t="n">
        <v>-11.6</v>
      </c>
      <c r="I29" s="194" t="n">
        <v>-24.3</v>
      </c>
      <c r="J29" s="194" t="n">
        <v>-24.8</v>
      </c>
      <c r="K29" s="194" t="n">
        <v>7.1</v>
      </c>
      <c r="L29" s="194" t="n">
        <v>-8.5</v>
      </c>
      <c r="M29" s="194" t="n">
        <v>-9</v>
      </c>
      <c r="N29" s="193" t="n">
        <v>0</v>
      </c>
      <c r="O29" s="193" t="n">
        <v>100</v>
      </c>
      <c r="P29" s="191" t="n">
        <v>3</v>
      </c>
      <c r="Q29" s="166" t="n">
        <v>2775.1</v>
      </c>
      <c r="R29" s="195" t="inlineStr">
        <is>
          <t>2191 SF REIT; 9858 YOURAN DAIRY; 2390 ZHIHU-W</t>
        </is>
      </c>
    </row>
    <row r="30">
      <c r="A30" s="32" t="inlineStr">
        <is>
          <t>Jefferies Hong Kong Limited</t>
        </is>
      </c>
      <c r="B30" s="191" t="n">
        <v>2</v>
      </c>
      <c r="C30" s="193" t="n">
        <v>50</v>
      </c>
      <c r="D30" s="194" t="n">
        <v>42</v>
      </c>
      <c r="E30" s="194" t="n">
        <v>39.5</v>
      </c>
      <c r="F30" s="194" t="n">
        <v>-6.8</v>
      </c>
      <c r="G30" s="191" t="n">
        <v>2</v>
      </c>
      <c r="H30" s="194" t="n">
        <v>-0.1</v>
      </c>
      <c r="I30" s="194" t="n">
        <v>-12.1</v>
      </c>
      <c r="J30" s="194" t="n">
        <v>-20.2</v>
      </c>
      <c r="K30" s="194" t="n">
        <v>-21.4</v>
      </c>
      <c r="L30" s="194" t="n">
        <v>-33.3</v>
      </c>
      <c r="M30" s="194" t="n">
        <v>-39.9</v>
      </c>
      <c r="N30" s="193" t="n">
        <v>50</v>
      </c>
      <c r="O30" s="193" t="n">
        <v>50</v>
      </c>
      <c r="P30" s="191" t="n">
        <v>2</v>
      </c>
      <c r="Q30" s="166" t="n">
        <v>773.9</v>
      </c>
      <c r="R30" s="195" t="inlineStr">
        <is>
          <t>2486 PLUS GP HOLDING; 9637 ALEBUND-B</t>
        </is>
      </c>
    </row>
    <row r="31">
      <c r="A31" s="32" t="inlineStr">
        <is>
          <t>Elstone Securities Limited</t>
        </is>
      </c>
      <c r="B31" s="191" t="n">
        <v>2</v>
      </c>
      <c r="C31" s="193" t="n">
        <v>50</v>
      </c>
      <c r="D31" s="194" t="n">
        <v>16.4</v>
      </c>
      <c r="E31" s="194" t="n">
        <v>2.5</v>
      </c>
      <c r="F31" s="194" t="n">
        <v>-15.1</v>
      </c>
      <c r="G31" s="191" t="n">
        <v>2</v>
      </c>
      <c r="H31" s="194" t="n">
        <v>7.2</v>
      </c>
      <c r="I31" s="194" t="n">
        <v>23</v>
      </c>
      <c r="J31" s="194" t="n">
        <v>103.3</v>
      </c>
      <c r="K31" s="194" t="n">
        <v>-1.8</v>
      </c>
      <c r="L31" s="194" t="n">
        <v>8.4</v>
      </c>
      <c r="M31" s="194" t="n">
        <v>64.40000000000001</v>
      </c>
      <c r="N31" s="193" t="n">
        <v>50</v>
      </c>
      <c r="O31" s="193" t="n">
        <v>50</v>
      </c>
      <c r="P31" s="191" t="n">
        <v>2</v>
      </c>
      <c r="Q31" s="166" t="n">
        <v>167.5</v>
      </c>
      <c r="R31" s="195" t="inlineStr">
        <is>
          <t>9608 SUNDY SERVICE; 2321 SWANGCHAICHUAN</t>
        </is>
      </c>
    </row>
    <row r="32">
      <c r="A32" s="32" t="inlineStr">
        <is>
          <t>Grand Moore Capital</t>
        </is>
      </c>
      <c r="B32" s="191" t="n">
        <v>2</v>
      </c>
      <c r="C32" s="193" t="n">
        <v>50</v>
      </c>
      <c r="D32" s="194" t="n">
        <v>26.6</v>
      </c>
      <c r="E32" s="194" t="n">
        <v>-3.3</v>
      </c>
      <c r="F32" s="194" t="n">
        <v>-23.7</v>
      </c>
      <c r="G32" s="191" t="n">
        <v>2</v>
      </c>
      <c r="H32" s="194" t="n">
        <v>-11.4</v>
      </c>
      <c r="I32" s="194" t="n">
        <v>-19.3</v>
      </c>
      <c r="J32" s="194" t="n">
        <v>-19.1</v>
      </c>
      <c r="K32" s="194" t="n">
        <v>-9.1</v>
      </c>
      <c r="L32" s="194" t="n">
        <v>-16.5</v>
      </c>
      <c r="M32" s="194" t="n">
        <v>-11.7</v>
      </c>
      <c r="N32" s="193" t="n">
        <v>0</v>
      </c>
      <c r="O32" s="193" t="n">
        <v>100</v>
      </c>
      <c r="P32" s="191" t="n">
        <v>2</v>
      </c>
      <c r="Q32" s="166" t="n">
        <v>111.7</v>
      </c>
      <c r="R32" s="195" t="inlineStr">
        <is>
          <t>2147 ZHENGWEI GROUP; 2516 FAR INTL</t>
        </is>
      </c>
    </row>
    <row r="33">
      <c r="A33" s="32" t="inlineStr">
        <is>
          <t>CEB International Capital Corporation Limited</t>
        </is>
      </c>
      <c r="B33" s="191" t="n">
        <v>2</v>
      </c>
      <c r="C33" s="193" t="n">
        <v>50</v>
      </c>
      <c r="D33" s="194" t="n">
        <v>2.2</v>
      </c>
      <c r="E33" s="194" t="n">
        <v>-5</v>
      </c>
      <c r="F33" s="194" t="n">
        <v>-7.1</v>
      </c>
      <c r="G33" s="191" t="n">
        <v>2</v>
      </c>
      <c r="H33" s="194" t="n">
        <v>-11.8</v>
      </c>
      <c r="I33" s="194" t="n">
        <v>21.6</v>
      </c>
      <c r="J33" s="194" t="n">
        <v>81.7</v>
      </c>
      <c r="K33" s="194" t="n">
        <v>-7.6</v>
      </c>
      <c r="L33" s="194" t="n">
        <v>29</v>
      </c>
      <c r="M33" s="194" t="n">
        <v>98.40000000000001</v>
      </c>
      <c r="N33" s="193" t="n">
        <v>0</v>
      </c>
      <c r="O33" s="193" t="n">
        <v>100</v>
      </c>
      <c r="P33" s="191" t="n">
        <v>2</v>
      </c>
      <c r="Q33" s="166" t="n">
        <v>279</v>
      </c>
      <c r="R33" s="195" t="inlineStr">
        <is>
          <t>1354 KINGFARPROPERTY; 2571 SAIMO</t>
        </is>
      </c>
    </row>
    <row r="34">
      <c r="A34" s="32" t="inlineStr">
        <is>
          <t>Chin a International Capital Corporation Hong Kong Securities Limited</t>
        </is>
      </c>
      <c r="B34" s="191" t="n">
        <v>2</v>
      </c>
      <c r="C34" s="193" t="n">
        <v>50</v>
      </c>
      <c r="D34" s="194" t="n">
        <v>-18.3</v>
      </c>
      <c r="E34" s="194" t="n">
        <v>-5.8</v>
      </c>
      <c r="F34" s="194" t="n">
        <v>18.1</v>
      </c>
      <c r="G34" s="191" t="n">
        <v>2</v>
      </c>
      <c r="H34" s="194" t="n">
        <v>-33.9</v>
      </c>
      <c r="I34" s="194" t="n">
        <v>13.7</v>
      </c>
      <c r="J34" s="194" t="n">
        <v>-6.6</v>
      </c>
      <c r="K34" s="194" t="n">
        <v>-31.7</v>
      </c>
      <c r="L34" s="194" t="n">
        <v>22.2</v>
      </c>
      <c r="M34" s="194" t="n">
        <v>0.3</v>
      </c>
      <c r="N34" s="193" t="n">
        <v>0</v>
      </c>
      <c r="O34" s="193" t="n">
        <v>100</v>
      </c>
      <c r="P34" s="191" t="n">
        <v>1</v>
      </c>
      <c r="Q34" s="166" t="n">
        <v>506.8</v>
      </c>
      <c r="R34" s="195" t="inlineStr">
        <is>
          <t>2415 MEDSCI; 6915 JIANGXI BIO</t>
        </is>
      </c>
    </row>
    <row r="35">
      <c r="A35" s="32" t="inlineStr">
        <is>
          <t>BNP Paribas Securities</t>
        </is>
      </c>
      <c r="B35" s="191" t="n">
        <v>2</v>
      </c>
      <c r="C35" s="193" t="n">
        <v>0</v>
      </c>
      <c r="D35" s="194" t="n">
        <v>-10.2</v>
      </c>
      <c r="E35" s="194" t="n">
        <v>-8.5</v>
      </c>
      <c r="F35" s="194" t="n">
        <v>2.1</v>
      </c>
      <c r="G35" s="191" t="n">
        <v>2</v>
      </c>
      <c r="H35" s="194" t="n">
        <v>-10.7</v>
      </c>
      <c r="I35" s="194" t="n">
        <v>-6.7</v>
      </c>
      <c r="J35" s="194" t="n">
        <v>-31.3</v>
      </c>
      <c r="K35" s="194" t="n">
        <v>-3.9</v>
      </c>
      <c r="L35" s="194" t="n">
        <v>2.3</v>
      </c>
      <c r="M35" s="194" t="n">
        <v>-23.6</v>
      </c>
      <c r="N35" s="193" t="n">
        <v>0</v>
      </c>
      <c r="O35" s="193" t="n">
        <v>50</v>
      </c>
      <c r="P35" s="191" t="n">
        <v>2</v>
      </c>
      <c r="Q35" s="166" t="n">
        <v>466.6</v>
      </c>
      <c r="R35" s="195" t="inlineStr">
        <is>
          <t>6913 SCVE GROUP; 2361 SINOHEALTH HLDG</t>
        </is>
      </c>
    </row>
    <row r="36">
      <c r="A36" s="32" t="inlineStr">
        <is>
          <t>China PA Securities</t>
        </is>
      </c>
      <c r="B36" s="191" t="n">
        <v>2</v>
      </c>
      <c r="C36" s="193" t="n">
        <v>0</v>
      </c>
      <c r="D36" s="194" t="n">
        <v>-14.6</v>
      </c>
      <c r="E36" s="194" t="n">
        <v>-13.6</v>
      </c>
      <c r="F36" s="194" t="n">
        <v>0.6</v>
      </c>
      <c r="G36" s="191" t="n">
        <v>2</v>
      </c>
      <c r="H36" s="194" t="n">
        <v>-23.4</v>
      </c>
      <c r="I36" s="194" t="n">
        <v>-26.1</v>
      </c>
      <c r="J36" s="194" t="n">
        <v>-24.8</v>
      </c>
      <c r="K36" s="194" t="n">
        <v>-12.5</v>
      </c>
      <c r="L36" s="194" t="n">
        <v>-16.2</v>
      </c>
      <c r="M36" s="194" t="n">
        <v>-14.5</v>
      </c>
      <c r="N36" s="193" t="n">
        <v>0</v>
      </c>
      <c r="O36" s="193" t="n">
        <v>100</v>
      </c>
      <c r="P36" s="191" t="n">
        <v>1</v>
      </c>
      <c r="Q36" s="166" t="n">
        <v>161.7</v>
      </c>
      <c r="R36" s="195" t="inlineStr">
        <is>
          <t>2440 HOWKINGTECH; 2483 K CASH</t>
        </is>
      </c>
    </row>
    <row r="37">
      <c r="A37" s="32" t="inlineStr">
        <is>
          <t>Wealth Link Securities Limited</t>
        </is>
      </c>
      <c r="B37" s="191" t="n">
        <v>2</v>
      </c>
      <c r="C37" s="193" t="n">
        <v>50</v>
      </c>
      <c r="D37" s="194" t="n">
        <v>-19.5</v>
      </c>
      <c r="E37" s="194" t="n">
        <v>-14.2</v>
      </c>
      <c r="F37" s="194" t="n">
        <v>6.2</v>
      </c>
      <c r="G37" s="191" t="n">
        <v>2</v>
      </c>
      <c r="H37" s="194" t="n">
        <v>-24</v>
      </c>
      <c r="I37" s="194" t="n">
        <v>-30.1</v>
      </c>
      <c r="J37" s="194" t="n">
        <v>-39.6</v>
      </c>
      <c r="K37" s="194" t="n">
        <v>-9.5</v>
      </c>
      <c r="L37" s="194" t="n">
        <v>-16</v>
      </c>
      <c r="M37" s="194" t="n">
        <v>-28.4</v>
      </c>
      <c r="N37" s="193" t="n">
        <v>0</v>
      </c>
      <c r="O37" s="193" t="n">
        <v>100</v>
      </c>
      <c r="P37" s="191" t="n">
        <v>1</v>
      </c>
      <c r="Q37" s="166" t="n">
        <v>219.8</v>
      </c>
      <c r="R37" s="195" t="inlineStr">
        <is>
          <t>1643 MODERN CHI MED; 2439 CH TREASURES NM</t>
        </is>
      </c>
    </row>
    <row r="38">
      <c r="A38" s="32" t="inlineStr">
        <is>
          <t>China Industrial Securities International Capital Limited</t>
        </is>
      </c>
      <c r="B38" s="191" t="n">
        <v>2</v>
      </c>
      <c r="C38" s="193" t="n">
        <v>0</v>
      </c>
      <c r="D38" s="194" t="n">
        <v>-1.2</v>
      </c>
      <c r="E38" s="194" t="n">
        <v>-17.6</v>
      </c>
      <c r="F38" s="194" t="n">
        <v>-17.6</v>
      </c>
      <c r="G38" s="191" t="n">
        <v>2</v>
      </c>
      <c r="H38" s="194" t="n">
        <v>-23.4</v>
      </c>
      <c r="I38" s="194" t="n">
        <v>-30.5</v>
      </c>
      <c r="J38" s="194" t="n">
        <v>-49.1</v>
      </c>
      <c r="K38" s="194" t="n">
        <v>-7.3</v>
      </c>
      <c r="L38" s="194" t="n">
        <v>-12.9</v>
      </c>
      <c r="M38" s="194" t="n">
        <v>-35.5</v>
      </c>
      <c r="N38" s="193" t="n">
        <v>0</v>
      </c>
      <c r="O38" s="193" t="n">
        <v>100</v>
      </c>
      <c r="P38" s="191" t="n">
        <v>1</v>
      </c>
      <c r="Q38" s="166" t="n">
        <v>143.1</v>
      </c>
      <c r="R38" s="195" t="inlineStr">
        <is>
          <t>1407 JY GAS; 2695 IMPRESSION DHP</t>
        </is>
      </c>
    </row>
    <row r="39">
      <c r="A39" s="32" t="inlineStr">
        <is>
          <t>Innovax Securities</t>
        </is>
      </c>
      <c r="B39" s="191" t="n">
        <v>2</v>
      </c>
      <c r="C39" s="193" t="n">
        <v>0</v>
      </c>
      <c r="D39" s="194" t="n">
        <v>-1.8</v>
      </c>
      <c r="E39" s="194" t="n">
        <v>-20.7</v>
      </c>
      <c r="F39" s="194" t="n">
        <v>-18.2</v>
      </c>
      <c r="G39" s="191" t="n">
        <v>2</v>
      </c>
      <c r="H39" s="194" t="n">
        <v>-36.7</v>
      </c>
      <c r="I39" s="194" t="n">
        <v>-39</v>
      </c>
      <c r="J39" s="194" t="n">
        <v>-47.3</v>
      </c>
      <c r="K39" s="194" t="n">
        <v>-19.4</v>
      </c>
      <c r="L39" s="194" t="n">
        <v>-22.9</v>
      </c>
      <c r="M39" s="194" t="n">
        <v>-33.8</v>
      </c>
      <c r="N39" s="193" t="n">
        <v>0</v>
      </c>
      <c r="O39" s="193" t="n">
        <v>100</v>
      </c>
      <c r="P39" s="191" t="n">
        <v>2</v>
      </c>
      <c r="Q39" s="166" t="n">
        <v>122.8</v>
      </c>
      <c r="R39" s="195" t="inlineStr">
        <is>
          <t>2350 MTT GROUP; 1947 MEIHAO GROUP</t>
        </is>
      </c>
    </row>
    <row r="40">
      <c r="A40" s="32" t="inlineStr">
        <is>
          <t>Eddid Secu rities and Futures Limited</t>
        </is>
      </c>
      <c r="B40" s="191" t="n">
        <v>1</v>
      </c>
      <c r="C40" s="193" t="n">
        <v>100</v>
      </c>
      <c r="D40" s="194" t="n">
        <v>77</v>
      </c>
      <c r="E40" s="194" t="n">
        <v>164</v>
      </c>
      <c r="F40" s="194" t="n">
        <v>49.1</v>
      </c>
      <c r="G40" s="191" t="n">
        <v>1</v>
      </c>
      <c r="H40" s="194" t="n">
        <v>250</v>
      </c>
      <c r="I40" s="194" t="n">
        <v>230</v>
      </c>
      <c r="J40" s="194" t="n">
        <v>232</v>
      </c>
      <c r="K40" s="194" t="n">
        <v>32.6</v>
      </c>
      <c r="L40" s="194" t="n">
        <v>25</v>
      </c>
      <c r="M40" s="194" t="n">
        <v>25.8</v>
      </c>
      <c r="N40" s="193" t="n">
        <v>0</v>
      </c>
      <c r="O40" s="193" t="n">
        <v>100</v>
      </c>
      <c r="P40" s="191" t="n">
        <v>1</v>
      </c>
      <c r="Q40" s="166" t="n">
        <v>125</v>
      </c>
      <c r="R40" s="195" t="inlineStr">
        <is>
          <t>2477 WELLCELL HOLD</t>
        </is>
      </c>
    </row>
    <row r="41">
      <c r="A41" s="32" t="inlineStr">
        <is>
          <t>Zhongtai Intern ational Securities Limited</t>
        </is>
      </c>
      <c r="B41" s="191" t="n">
        <v>1</v>
      </c>
      <c r="C41" s="193" t="n">
        <v>100</v>
      </c>
      <c r="D41" s="194" t="n">
        <v>100</v>
      </c>
      <c r="E41" s="194" t="n">
        <v>162.5</v>
      </c>
      <c r="F41" s="194" t="n">
        <v>31.2</v>
      </c>
      <c r="G41" s="191" t="n">
        <v>1</v>
      </c>
      <c r="H41" s="194" t="n">
        <v>267.5</v>
      </c>
      <c r="I41" s="194" t="n">
        <v>1146.9</v>
      </c>
      <c r="J41" s="196" t="n"/>
      <c r="K41" s="194" t="n">
        <v>40</v>
      </c>
      <c r="L41" s="194" t="n">
        <v>375</v>
      </c>
      <c r="M41" s="196" t="n"/>
      <c r="N41" s="193" t="n">
        <v>0</v>
      </c>
      <c r="O41" s="193" t="n">
        <v>100</v>
      </c>
      <c r="P41" s="191" t="n">
        <v>1</v>
      </c>
      <c r="Q41" s="166" t="n">
        <v>200</v>
      </c>
      <c r="R41" s="195" t="inlineStr">
        <is>
          <t>2797 QIYUNSHAN FOOD</t>
        </is>
      </c>
    </row>
    <row r="42">
      <c r="A42" s="32" t="inlineStr">
        <is>
          <t>Lego Securities Lim ited</t>
        </is>
      </c>
      <c r="B42" s="191" t="n">
        <v>1</v>
      </c>
      <c r="C42" s="193" t="n">
        <v>100</v>
      </c>
      <c r="D42" s="194" t="n">
        <v>35.4</v>
      </c>
      <c r="E42" s="194" t="n">
        <v>143.1</v>
      </c>
      <c r="F42" s="194" t="n">
        <v>79.5</v>
      </c>
      <c r="G42" s="191" t="n">
        <v>1</v>
      </c>
      <c r="H42" s="194" t="n">
        <v>56.9</v>
      </c>
      <c r="I42" s="194" t="n">
        <v>176.9</v>
      </c>
      <c r="J42" s="194" t="n">
        <v>183.1</v>
      </c>
      <c r="K42" s="194" t="n">
        <v>-35.5</v>
      </c>
      <c r="L42" s="194" t="n">
        <v>13.9</v>
      </c>
      <c r="M42" s="194" t="n">
        <v>16.5</v>
      </c>
      <c r="N42" s="193" t="n">
        <v>0</v>
      </c>
      <c r="O42" s="193" t="n">
        <v>100</v>
      </c>
      <c r="P42" s="191" t="n">
        <v>1</v>
      </c>
      <c r="Q42" s="166" t="n">
        <v>130</v>
      </c>
      <c r="R42" s="195" t="inlineStr">
        <is>
          <t>2237 CHINA GRAPHITE</t>
        </is>
      </c>
    </row>
    <row r="43">
      <c r="A43" s="32" t="inlineStr">
        <is>
          <t>Yuen Meta</t>
        </is>
      </c>
      <c r="B43" s="191" t="n">
        <v>1</v>
      </c>
      <c r="C43" s="193" t="n">
        <v>100</v>
      </c>
      <c r="D43" s="194" t="n">
        <v>160</v>
      </c>
      <c r="E43" s="194" t="n">
        <v>136</v>
      </c>
      <c r="F43" s="194" t="n">
        <v>-9.199999999999999</v>
      </c>
      <c r="G43" s="191" t="n">
        <v>1</v>
      </c>
      <c r="H43" s="194" t="n">
        <v>156</v>
      </c>
      <c r="I43" s="194" t="n">
        <v>156</v>
      </c>
      <c r="J43" s="194" t="n">
        <v>132</v>
      </c>
      <c r="K43" s="194" t="n">
        <v>8.5</v>
      </c>
      <c r="L43" s="194" t="n">
        <v>8.5</v>
      </c>
      <c r="M43" s="194" t="n">
        <v>-1.7</v>
      </c>
      <c r="N43" s="193" t="n">
        <v>0</v>
      </c>
      <c r="O43" s="193" t="n">
        <v>100</v>
      </c>
      <c r="P43" s="191" t="n">
        <v>1</v>
      </c>
      <c r="Q43" s="166" t="n">
        <v>125</v>
      </c>
      <c r="R43" s="195" t="inlineStr">
        <is>
          <t>2535 WK GROUP</t>
        </is>
      </c>
    </row>
    <row r="44">
      <c r="A44" s="32" t="inlineStr">
        <is>
          <t>Livermore Holdings Limited</t>
        </is>
      </c>
      <c r="B44" s="191" t="n">
        <v>1</v>
      </c>
      <c r="C44" s="193" t="n">
        <v>100</v>
      </c>
      <c r="D44" s="194" t="n">
        <v>89</v>
      </c>
      <c r="E44" s="194" t="n">
        <v>117.9</v>
      </c>
      <c r="F44" s="194" t="n">
        <v>15.3</v>
      </c>
      <c r="G44" s="191" t="n">
        <v>1</v>
      </c>
      <c r="H44" s="194" t="n">
        <v>107.8</v>
      </c>
      <c r="I44" s="194" t="n">
        <v>222.4</v>
      </c>
      <c r="J44" s="194" t="n">
        <v>141.8</v>
      </c>
      <c r="K44" s="194" t="n">
        <v>-4.7</v>
      </c>
      <c r="L44" s="194" t="n">
        <v>48</v>
      </c>
      <c r="M44" s="194" t="n">
        <v>11</v>
      </c>
      <c r="N44" s="193" t="n">
        <v>100</v>
      </c>
      <c r="O44" s="193" t="n">
        <v>0</v>
      </c>
      <c r="P44" s="191" t="n">
        <v>1</v>
      </c>
      <c r="Q44" s="166" t="n">
        <v>782.5</v>
      </c>
      <c r="R44" s="195" t="inlineStr">
        <is>
          <t>2655 GUOXIA TECH</t>
        </is>
      </c>
    </row>
    <row r="45">
      <c r="A45" s="32" t="inlineStr">
        <is>
          <t>BOCI Asia Limited</t>
        </is>
      </c>
      <c r="B45" s="191" t="n">
        <v>1</v>
      </c>
      <c r="C45" s="193" t="n">
        <v>100</v>
      </c>
      <c r="D45" s="194" t="n">
        <v>46.5</v>
      </c>
      <c r="E45" s="194" t="n">
        <v>91.7</v>
      </c>
      <c r="F45" s="194" t="n">
        <v>30.8</v>
      </c>
      <c r="G45" s="191" t="n">
        <v>1</v>
      </c>
      <c r="H45" s="194" t="n">
        <v>191</v>
      </c>
      <c r="I45" s="194" t="n">
        <v>200</v>
      </c>
      <c r="J45" s="194" t="n">
        <v>223.8</v>
      </c>
      <c r="K45" s="194" t="n">
        <v>51.8</v>
      </c>
      <c r="L45" s="194" t="n">
        <v>56.5</v>
      </c>
      <c r="M45" s="194" t="n">
        <v>68.90000000000001</v>
      </c>
      <c r="N45" s="197" t="n"/>
      <c r="O45" s="197" t="n"/>
      <c r="P45" s="191" t="n">
        <v>0</v>
      </c>
      <c r="Q45" s="166" t="n">
        <v>85.90000000000001</v>
      </c>
      <c r="R45" s="195" t="inlineStr">
        <is>
          <t>2550 EASOU TECH</t>
        </is>
      </c>
    </row>
    <row r="46">
      <c r="A46" s="32" t="inlineStr">
        <is>
          <t>CL SA Limited</t>
        </is>
      </c>
      <c r="B46" s="191" t="n">
        <v>1</v>
      </c>
      <c r="C46" s="193" t="n">
        <v>100</v>
      </c>
      <c r="D46" s="194" t="n">
        <v>36.4</v>
      </c>
      <c r="E46" s="194" t="n">
        <v>51</v>
      </c>
      <c r="F46" s="194" t="n">
        <v>10.7</v>
      </c>
      <c r="G46" s="191" t="n">
        <v>1</v>
      </c>
      <c r="H46" s="194" t="n">
        <v>4</v>
      </c>
      <c r="I46" s="194" t="n">
        <v>-22.7</v>
      </c>
      <c r="J46" s="194" t="n">
        <v>-17.4</v>
      </c>
      <c r="K46" s="194" t="n">
        <v>-31.1</v>
      </c>
      <c r="L46" s="194" t="n">
        <v>-48.8</v>
      </c>
      <c r="M46" s="194" t="n">
        <v>-45.3</v>
      </c>
      <c r="N46" s="193" t="n">
        <v>0</v>
      </c>
      <c r="O46" s="193" t="n">
        <v>100</v>
      </c>
      <c r="P46" s="191" t="n">
        <v>1</v>
      </c>
      <c r="Q46" s="166" t="n">
        <v>1233.1</v>
      </c>
      <c r="R46" s="195" t="inlineStr">
        <is>
          <t>6715 XUNLONG SCITECH</t>
        </is>
      </c>
    </row>
    <row r="47">
      <c r="A47" s="32" t="inlineStr">
        <is>
          <t>Quam Securities Limited</t>
        </is>
      </c>
      <c r="B47" s="191" t="n">
        <v>1</v>
      </c>
      <c r="C47" s="193" t="n">
        <v>100</v>
      </c>
      <c r="D47" s="194" t="n">
        <v>4.2</v>
      </c>
      <c r="E47" s="194" t="n">
        <v>38.1</v>
      </c>
      <c r="F47" s="194" t="n">
        <v>32.5</v>
      </c>
      <c r="G47" s="191" t="n">
        <v>1</v>
      </c>
      <c r="H47" s="194" t="n">
        <v>14.4</v>
      </c>
      <c r="I47" s="194" t="n">
        <v>11.9</v>
      </c>
      <c r="J47" s="194" t="n">
        <v>-2.5</v>
      </c>
      <c r="K47" s="194" t="n">
        <v>-17.2</v>
      </c>
      <c r="L47" s="194" t="n">
        <v>-19</v>
      </c>
      <c r="M47" s="194" t="n">
        <v>-29.4</v>
      </c>
      <c r="N47" s="197" t="n"/>
      <c r="O47" s="197" t="n"/>
      <c r="P47" s="191" t="n">
        <v>0</v>
      </c>
      <c r="Q47" s="166" t="n">
        <v>147.5</v>
      </c>
      <c r="R47" s="195" t="inlineStr">
        <is>
          <t>2501 MAIYUE TECH</t>
        </is>
      </c>
    </row>
    <row r="48">
      <c r="A48" s="32" t="inlineStr">
        <is>
          <t>Stabilisin g Manager</t>
        </is>
      </c>
      <c r="B48" s="191" t="n">
        <v>1</v>
      </c>
      <c r="C48" s="193" t="n">
        <v>100</v>
      </c>
      <c r="D48" s="194" t="n">
        <v>19.6</v>
      </c>
      <c r="E48" s="194" t="n">
        <v>26.8</v>
      </c>
      <c r="F48" s="194" t="n">
        <v>6</v>
      </c>
      <c r="G48" s="191" t="n">
        <v>1</v>
      </c>
      <c r="H48" s="194" t="n">
        <v>1.8</v>
      </c>
      <c r="I48" s="194" t="n">
        <v>8.9</v>
      </c>
      <c r="J48" s="194" t="n">
        <v>16.1</v>
      </c>
      <c r="K48" s="194" t="n">
        <v>-19.7</v>
      </c>
      <c r="L48" s="194" t="n">
        <v>-14.1</v>
      </c>
      <c r="M48" s="194" t="n">
        <v>-8.4</v>
      </c>
      <c r="N48" s="197" t="n"/>
      <c r="O48" s="197" t="n"/>
      <c r="P48" s="191" t="n">
        <v>0</v>
      </c>
      <c r="Q48" s="166" t="n">
        <v>140</v>
      </c>
      <c r="R48" s="195" t="inlineStr">
        <is>
          <t>1473 PANGAEA CONNECT</t>
        </is>
      </c>
    </row>
    <row r="49">
      <c r="A49" s="32" t="inlineStr">
        <is>
          <t>Macquarie</t>
        </is>
      </c>
      <c r="B49" s="191" t="n">
        <v>1</v>
      </c>
      <c r="C49" s="193" t="n">
        <v>100</v>
      </c>
      <c r="D49" s="194" t="n">
        <v>34.1</v>
      </c>
      <c r="E49" s="194" t="n">
        <v>25</v>
      </c>
      <c r="F49" s="194" t="n">
        <v>-6.8</v>
      </c>
      <c r="G49" s="191" t="n">
        <v>1</v>
      </c>
      <c r="H49" s="194" t="n">
        <v>89.5</v>
      </c>
      <c r="I49" s="194" t="n">
        <v>63.4</v>
      </c>
      <c r="J49" s="194" t="n">
        <v>57.3</v>
      </c>
      <c r="K49" s="194" t="n">
        <v>51.6</v>
      </c>
      <c r="L49" s="194" t="n">
        <v>30.7</v>
      </c>
      <c r="M49" s="194" t="n">
        <v>25.8</v>
      </c>
      <c r="N49" s="193" t="n">
        <v>100</v>
      </c>
      <c r="O49" s="193" t="n">
        <v>0</v>
      </c>
      <c r="P49" s="191" t="n">
        <v>1</v>
      </c>
      <c r="Q49" s="166" t="n">
        <v>660</v>
      </c>
      <c r="R49" s="195" t="inlineStr">
        <is>
          <t>6909 BETTERLIFE HLDG</t>
        </is>
      </c>
    </row>
    <row r="50">
      <c r="A50" s="32" t="inlineStr">
        <is>
          <t>Bradbury Securities Limited</t>
        </is>
      </c>
      <c r="B50" s="191" t="n">
        <v>1</v>
      </c>
      <c r="C50" s="193" t="n">
        <v>100</v>
      </c>
      <c r="D50" s="194" t="n">
        <v>35.3</v>
      </c>
      <c r="E50" s="194" t="n">
        <v>23.8</v>
      </c>
      <c r="F50" s="194" t="n">
        <v>-8.5</v>
      </c>
      <c r="G50" s="191" t="n">
        <v>1</v>
      </c>
      <c r="H50" s="194" t="n">
        <v>67.09999999999999</v>
      </c>
      <c r="I50" s="194" t="n">
        <v>34.4</v>
      </c>
      <c r="J50" s="194" t="n">
        <v>102.3</v>
      </c>
      <c r="K50" s="194" t="n">
        <v>35</v>
      </c>
      <c r="L50" s="194" t="n">
        <v>8.6</v>
      </c>
      <c r="M50" s="194" t="n">
        <v>63.5</v>
      </c>
      <c r="N50" s="193" t="n">
        <v>0</v>
      </c>
      <c r="O50" s="193" t="n">
        <v>0</v>
      </c>
      <c r="P50" s="191" t="n">
        <v>1</v>
      </c>
      <c r="Q50" s="166" t="n">
        <v>245.2</v>
      </c>
      <c r="R50" s="195" t="inlineStr">
        <is>
          <t>6683 STARPLUS LEGEND</t>
        </is>
      </c>
    </row>
    <row r="51">
      <c r="A51" s="32" t="inlineStr">
        <is>
          <t>Essence International Securities</t>
        </is>
      </c>
      <c r="B51" s="191" t="n">
        <v>1</v>
      </c>
      <c r="C51" s="193" t="n">
        <v>100</v>
      </c>
      <c r="D51" s="194" t="n">
        <v>26.1</v>
      </c>
      <c r="E51" s="194" t="n">
        <v>13.8</v>
      </c>
      <c r="F51" s="194" t="n">
        <v>-9.800000000000001</v>
      </c>
      <c r="G51" s="191" t="n">
        <v>1</v>
      </c>
      <c r="H51" s="194" t="n">
        <v>26.5</v>
      </c>
      <c r="I51" s="194" t="n">
        <v>93.8</v>
      </c>
      <c r="J51" s="194" t="n">
        <v>61.5</v>
      </c>
      <c r="K51" s="194" t="n">
        <v>11.1</v>
      </c>
      <c r="L51" s="194" t="n">
        <v>70.3</v>
      </c>
      <c r="M51" s="194" t="n">
        <v>41.9</v>
      </c>
      <c r="N51" s="193" t="n">
        <v>0</v>
      </c>
      <c r="O51" s="193" t="n">
        <v>0</v>
      </c>
      <c r="P51" s="191" t="n">
        <v>1</v>
      </c>
      <c r="Q51" s="166" t="n">
        <v>944.7</v>
      </c>
      <c r="R51" s="195" t="inlineStr">
        <is>
          <t>6616 GLOBAL NEW MAT</t>
        </is>
      </c>
    </row>
    <row r="52">
      <c r="A52" s="32" t="inlineStr">
        <is>
          <t>C LSA Limited</t>
        </is>
      </c>
      <c r="B52" s="191" t="n">
        <v>1</v>
      </c>
      <c r="C52" s="193" t="n">
        <v>100</v>
      </c>
      <c r="D52" s="194" t="n">
        <v>3.9</v>
      </c>
      <c r="E52" s="194" t="n">
        <v>9.1</v>
      </c>
      <c r="F52" s="194" t="n">
        <v>5.1</v>
      </c>
      <c r="G52" s="191" t="n">
        <v>1</v>
      </c>
      <c r="H52" s="194" t="n">
        <v>6.4</v>
      </c>
      <c r="I52" s="194" t="n">
        <v>16.1</v>
      </c>
      <c r="J52" s="194" t="n">
        <v>76.8</v>
      </c>
      <c r="K52" s="194" t="n">
        <v>-2.5</v>
      </c>
      <c r="L52" s="194" t="n">
        <v>6.3</v>
      </c>
      <c r="M52" s="194" t="n">
        <v>62</v>
      </c>
      <c r="N52" s="193" t="n">
        <v>100</v>
      </c>
      <c r="O52" s="193" t="n">
        <v>0</v>
      </c>
      <c r="P52" s="191" t="n">
        <v>1</v>
      </c>
      <c r="Q52" s="166" t="n">
        <v>4767.8</v>
      </c>
      <c r="R52" s="195" t="inlineStr">
        <is>
          <t>6613 LENS</t>
        </is>
      </c>
    </row>
    <row r="53">
      <c r="A53" s="32" t="inlineStr">
        <is>
          <t>UOB Kay Hian</t>
        </is>
      </c>
      <c r="B53" s="191" t="n">
        <v>1</v>
      </c>
      <c r="C53" s="193" t="n">
        <v>100</v>
      </c>
      <c r="D53" s="194" t="n">
        <v>47.3</v>
      </c>
      <c r="E53" s="194" t="n">
        <v>5.5</v>
      </c>
      <c r="F53" s="194" t="n">
        <v>-28.4</v>
      </c>
      <c r="G53" s="191" t="n">
        <v>1</v>
      </c>
      <c r="H53" s="194" t="n">
        <v>-7.6</v>
      </c>
      <c r="I53" s="194" t="n">
        <v>-20.1</v>
      </c>
      <c r="J53" s="194" t="n">
        <v>-56.1</v>
      </c>
      <c r="K53" s="194" t="n">
        <v>-12.4</v>
      </c>
      <c r="L53" s="194" t="n">
        <v>-24.3</v>
      </c>
      <c r="M53" s="194" t="n">
        <v>-58.4</v>
      </c>
      <c r="N53" s="193" t="n">
        <v>0</v>
      </c>
      <c r="O53" s="193" t="n">
        <v>0</v>
      </c>
      <c r="P53" s="191" t="n">
        <v>1</v>
      </c>
      <c r="Q53" s="166" t="n">
        <v>91</v>
      </c>
      <c r="R53" s="195" t="inlineStr">
        <is>
          <t>2209 YESASIA HLDGS</t>
        </is>
      </c>
    </row>
    <row r="54">
      <c r="A54" s="32" t="inlineStr">
        <is>
          <t>China Galaxy International Securities</t>
        </is>
      </c>
      <c r="B54" s="191" t="n">
        <v>1</v>
      </c>
      <c r="C54" s="193" t="n">
        <v>100</v>
      </c>
      <c r="D54" s="194" t="n">
        <v>0</v>
      </c>
      <c r="E54" s="194" t="n">
        <v>4.7</v>
      </c>
      <c r="F54" s="194" t="n">
        <v>4.7</v>
      </c>
      <c r="G54" s="191" t="n">
        <v>1</v>
      </c>
      <c r="H54" s="194" t="n">
        <v>-2.3</v>
      </c>
      <c r="I54" s="194" t="n">
        <v>6.7</v>
      </c>
      <c r="J54" s="196" t="n"/>
      <c r="K54" s="194" t="n">
        <v>-6.7</v>
      </c>
      <c r="L54" s="194" t="n">
        <v>1.9</v>
      </c>
      <c r="M54" s="196" t="n"/>
      <c r="N54" s="193" t="n">
        <v>0</v>
      </c>
      <c r="O54" s="193" t="n">
        <v>0</v>
      </c>
      <c r="P54" s="191" t="n">
        <v>1</v>
      </c>
      <c r="Q54" s="166" t="n">
        <v>7157.8</v>
      </c>
      <c r="R54" s="195" t="inlineStr">
        <is>
          <t>6951 CCTC</t>
        </is>
      </c>
    </row>
    <row r="55">
      <c r="A55" s="32" t="inlineStr">
        <is>
          <t>Dakin Securities Limited</t>
        </is>
      </c>
      <c r="B55" s="191" t="n">
        <v>1</v>
      </c>
      <c r="C55" s="193" t="n">
        <v>100</v>
      </c>
      <c r="D55" s="194" t="n">
        <v>5</v>
      </c>
      <c r="E55" s="194" t="n">
        <v>3.8</v>
      </c>
      <c r="F55" s="194" t="n">
        <v>-1.2</v>
      </c>
      <c r="G55" s="191" t="n">
        <v>1</v>
      </c>
      <c r="H55" s="194" t="n">
        <v>25</v>
      </c>
      <c r="I55" s="194" t="n">
        <v>60</v>
      </c>
      <c r="J55" s="194" t="n">
        <v>22.5</v>
      </c>
      <c r="K55" s="194" t="n">
        <v>20.5</v>
      </c>
      <c r="L55" s="194" t="n">
        <v>54.2</v>
      </c>
      <c r="M55" s="194" t="n">
        <v>18.1</v>
      </c>
      <c r="N55" s="197" t="n"/>
      <c r="O55" s="197" t="n"/>
      <c r="P55" s="191" t="n">
        <v>0</v>
      </c>
      <c r="Q55" s="166" t="n">
        <v>126</v>
      </c>
      <c r="R55" s="195" t="inlineStr">
        <is>
          <t>1440 DEYUN HOLDING</t>
        </is>
      </c>
    </row>
    <row r="56">
      <c r="A56" s="32" t="inlineStr">
        <is>
          <t>Guoyuan Securities Brokerage</t>
        </is>
      </c>
      <c r="B56" s="191" t="n">
        <v>1</v>
      </c>
      <c r="C56" s="193" t="n">
        <v>100</v>
      </c>
      <c r="D56" s="194" t="n">
        <v>27.4</v>
      </c>
      <c r="E56" s="194" t="n">
        <v>2.2</v>
      </c>
      <c r="F56" s="194" t="n">
        <v>-19.8</v>
      </c>
      <c r="G56" s="191" t="n">
        <v>1</v>
      </c>
      <c r="H56" s="194" t="n">
        <v>-11.5</v>
      </c>
      <c r="I56" s="194" t="n">
        <v>-41.1</v>
      </c>
      <c r="J56" s="194" t="n">
        <v>-39</v>
      </c>
      <c r="K56" s="194" t="n">
        <v>-13.4</v>
      </c>
      <c r="L56" s="194" t="n">
        <v>-42.4</v>
      </c>
      <c r="M56" s="194" t="n">
        <v>-40.4</v>
      </c>
      <c r="N56" s="193" t="n">
        <v>0</v>
      </c>
      <c r="O56" s="193" t="n">
        <v>100</v>
      </c>
      <c r="P56" s="191" t="n">
        <v>1</v>
      </c>
      <c r="Q56" s="166" t="n">
        <v>177.4</v>
      </c>
      <c r="R56" s="195" t="inlineStr">
        <is>
          <t>2693 JINYAN KAOLIN</t>
        </is>
      </c>
    </row>
    <row r="57">
      <c r="A57" s="32" t="inlineStr">
        <is>
          <t>DBS Asia Capital Limited</t>
        </is>
      </c>
      <c r="B57" s="191" t="n">
        <v>1</v>
      </c>
      <c r="C57" s="193" t="n">
        <v>100</v>
      </c>
      <c r="D57" s="194" t="n">
        <v>7.2</v>
      </c>
      <c r="E57" s="194" t="n">
        <v>0.2</v>
      </c>
      <c r="F57" s="194" t="n">
        <v>-6.5</v>
      </c>
      <c r="G57" s="191" t="n">
        <v>1</v>
      </c>
      <c r="H57" s="194" t="n">
        <v>-0.4</v>
      </c>
      <c r="I57" s="194" t="n">
        <v>-0.4</v>
      </c>
      <c r="J57" s="194" t="n">
        <v>47.6</v>
      </c>
      <c r="K57" s="194" t="n">
        <v>-0.6</v>
      </c>
      <c r="L57" s="194" t="n">
        <v>-0.6</v>
      </c>
      <c r="M57" s="194" t="n">
        <v>47.3</v>
      </c>
      <c r="N57" s="193" t="n">
        <v>0</v>
      </c>
      <c r="O57" s="193" t="n">
        <v>100</v>
      </c>
      <c r="P57" s="191" t="n">
        <v>1</v>
      </c>
      <c r="Q57" s="166" t="n">
        <v>412.5</v>
      </c>
      <c r="R57" s="195" t="inlineStr">
        <is>
          <t>2597 XUNZHONG</t>
        </is>
      </c>
    </row>
    <row r="58">
      <c r="A58" s="32" t="inlineStr">
        <is>
          <t>Guotai Juna n Securities</t>
        </is>
      </c>
      <c r="B58" s="191" t="n">
        <v>1</v>
      </c>
      <c r="C58" s="193" t="n">
        <v>0</v>
      </c>
      <c r="D58" s="194" t="n">
        <v>0</v>
      </c>
      <c r="E58" s="194" t="n">
        <v>0</v>
      </c>
      <c r="F58" s="194" t="n">
        <v>0</v>
      </c>
      <c r="G58" s="191" t="n">
        <v>1</v>
      </c>
      <c r="H58" s="194" t="n">
        <v>0</v>
      </c>
      <c r="I58" s="194" t="n">
        <v>8.199999999999999</v>
      </c>
      <c r="J58" s="194" t="n">
        <v>-0.5</v>
      </c>
      <c r="K58" s="194" t="n">
        <v>0</v>
      </c>
      <c r="L58" s="194" t="n">
        <v>8.199999999999999</v>
      </c>
      <c r="M58" s="194" t="n">
        <v>-0.5</v>
      </c>
      <c r="N58" s="193" t="n">
        <v>0</v>
      </c>
      <c r="O58" s="193" t="n">
        <v>0</v>
      </c>
      <c r="P58" s="191" t="n">
        <v>1</v>
      </c>
      <c r="Q58" s="166" t="n">
        <v>1057.7</v>
      </c>
      <c r="R58" s="195" t="inlineStr">
        <is>
          <t>2402 SINOHYTEC</t>
        </is>
      </c>
    </row>
    <row r="59">
      <c r="A59" s="32" t="inlineStr">
        <is>
          <t>Shanxi Securities International Limited</t>
        </is>
      </c>
      <c r="B59" s="191" t="n">
        <v>1</v>
      </c>
      <c r="C59" s="193" t="n">
        <v>0</v>
      </c>
      <c r="D59" s="194" t="n">
        <v>0</v>
      </c>
      <c r="E59" s="194" t="n">
        <v>0</v>
      </c>
      <c r="F59" s="194" t="n">
        <v>0</v>
      </c>
      <c r="G59" s="191" t="n">
        <v>1</v>
      </c>
      <c r="H59" s="194" t="n">
        <v>-5.5</v>
      </c>
      <c r="I59" s="194" t="n">
        <v>-17.4</v>
      </c>
      <c r="J59" s="194" t="n">
        <v>-11.5</v>
      </c>
      <c r="K59" s="194" t="n">
        <v>-5.5</v>
      </c>
      <c r="L59" s="194" t="n">
        <v>-17.4</v>
      </c>
      <c r="M59" s="194" t="n">
        <v>-11.5</v>
      </c>
      <c r="N59" s="193" t="n">
        <v>0</v>
      </c>
      <c r="O59" s="193" t="n">
        <v>0</v>
      </c>
      <c r="P59" s="191" t="n">
        <v>1</v>
      </c>
      <c r="Q59" s="166" t="n">
        <v>726.7</v>
      </c>
      <c r="R59" s="195" t="inlineStr">
        <is>
          <t>2520 SHANXI INSTALL</t>
        </is>
      </c>
    </row>
    <row r="60">
      <c r="A60" s="32" t="inlineStr">
        <is>
          <t>Red Solar Capital Limited</t>
        </is>
      </c>
      <c r="B60" s="191" t="n">
        <v>1</v>
      </c>
      <c r="C60" s="193" t="n">
        <v>0</v>
      </c>
      <c r="D60" s="194" t="n">
        <v>37.6</v>
      </c>
      <c r="E60" s="194" t="n">
        <v>0</v>
      </c>
      <c r="F60" s="194" t="n">
        <v>-27.3</v>
      </c>
      <c r="G60" s="191" t="n">
        <v>1</v>
      </c>
      <c r="H60" s="194" t="n">
        <v>-14.4</v>
      </c>
      <c r="I60" s="194" t="n">
        <v>33.6</v>
      </c>
      <c r="J60" s="194" t="n">
        <v>11.2</v>
      </c>
      <c r="K60" s="194" t="n">
        <v>-14.4</v>
      </c>
      <c r="L60" s="194" t="n">
        <v>33.6</v>
      </c>
      <c r="M60" s="194" t="n">
        <v>11.2</v>
      </c>
      <c r="N60" s="197" t="n"/>
      <c r="O60" s="197" t="n"/>
      <c r="P60" s="191" t="n">
        <v>0</v>
      </c>
      <c r="Q60" s="166" t="n">
        <v>133.9</v>
      </c>
      <c r="R60" s="195" t="inlineStr">
        <is>
          <t>2625 JIANGSU HORIZON</t>
        </is>
      </c>
    </row>
    <row r="61">
      <c r="A61" s="32" t="inlineStr">
        <is>
          <t>Mont Avenir Capital Limited</t>
        </is>
      </c>
      <c r="B61" s="191" t="n">
        <v>1</v>
      </c>
      <c r="C61" s="193" t="n">
        <v>0</v>
      </c>
      <c r="D61" s="194" t="n">
        <v>-5.5</v>
      </c>
      <c r="E61" s="194" t="n">
        <v>-6</v>
      </c>
      <c r="F61" s="194" t="n">
        <v>-0.5</v>
      </c>
      <c r="G61" s="191" t="n">
        <v>1</v>
      </c>
      <c r="H61" s="194" t="n">
        <v>-11.2</v>
      </c>
      <c r="I61" s="194" t="n">
        <v>-28</v>
      </c>
      <c r="J61" s="194" t="n">
        <v>-50.2</v>
      </c>
      <c r="K61" s="194" t="n">
        <v>-5.6</v>
      </c>
      <c r="L61" s="194" t="n">
        <v>-23.4</v>
      </c>
      <c r="M61" s="194" t="n">
        <v>-47.1</v>
      </c>
      <c r="N61" s="193" t="n">
        <v>0</v>
      </c>
      <c r="O61" s="193" t="n">
        <v>100</v>
      </c>
      <c r="P61" s="191" t="n">
        <v>1</v>
      </c>
      <c r="Q61" s="166" t="n">
        <v>872</v>
      </c>
      <c r="R61" s="195" t="inlineStr">
        <is>
          <t>9600 NEWLINK TECH</t>
        </is>
      </c>
    </row>
    <row r="62">
      <c r="A62" s="32" t="inlineStr">
        <is>
          <t>Fortune</t>
        </is>
      </c>
      <c r="B62" s="191" t="n">
        <v>1</v>
      </c>
      <c r="C62" s="193" t="n">
        <v>0</v>
      </c>
      <c r="D62" s="194" t="n">
        <v>-19.1</v>
      </c>
      <c r="E62" s="194" t="n">
        <v>-8.699999999999999</v>
      </c>
      <c r="F62" s="194" t="n">
        <v>12.9</v>
      </c>
      <c r="G62" s="191" t="n">
        <v>1</v>
      </c>
      <c r="H62" s="194" t="n">
        <v>5.8</v>
      </c>
      <c r="I62" s="194" t="n">
        <v>-13.9</v>
      </c>
      <c r="J62" s="194" t="n">
        <v>-13.3</v>
      </c>
      <c r="K62" s="194" t="n">
        <v>15.8</v>
      </c>
      <c r="L62" s="194" t="n">
        <v>-5.7</v>
      </c>
      <c r="M62" s="194" t="n">
        <v>-5.1</v>
      </c>
      <c r="N62" s="193" t="n">
        <v>0</v>
      </c>
      <c r="O62" s="193" t="n">
        <v>100</v>
      </c>
      <c r="P62" s="191" t="n">
        <v>1</v>
      </c>
      <c r="Q62" s="166" t="n">
        <v>644.8</v>
      </c>
      <c r="R62" s="195" t="inlineStr">
        <is>
          <t>2153 TAT HONG EQUIP</t>
        </is>
      </c>
    </row>
    <row r="63">
      <c r="A63" s="32" t="inlineStr">
        <is>
          <t>First Shanghai Securities Limited</t>
        </is>
      </c>
      <c r="B63" s="191" t="n">
        <v>1</v>
      </c>
      <c r="C63" s="193" t="n">
        <v>0</v>
      </c>
      <c r="D63" s="194" t="n">
        <v>2</v>
      </c>
      <c r="E63" s="194" t="n">
        <v>-10.8</v>
      </c>
      <c r="F63" s="194" t="n">
        <v>-12.5</v>
      </c>
      <c r="G63" s="191" t="n">
        <v>1</v>
      </c>
      <c r="H63" s="194" t="n">
        <v>-3.9</v>
      </c>
      <c r="I63" s="194" t="n">
        <v>-10.8</v>
      </c>
      <c r="J63" s="194" t="n">
        <v>-17.6</v>
      </c>
      <c r="K63" s="194" t="n">
        <v>7.7</v>
      </c>
      <c r="L63" s="194" t="n">
        <v>0</v>
      </c>
      <c r="M63" s="194" t="n">
        <v>-7.7</v>
      </c>
      <c r="N63" s="193" t="n">
        <v>0</v>
      </c>
      <c r="O63" s="193" t="n">
        <v>100</v>
      </c>
      <c r="P63" s="191" t="n">
        <v>1</v>
      </c>
      <c r="Q63" s="166" t="n">
        <v>255</v>
      </c>
      <c r="R63" s="195" t="inlineStr">
        <is>
          <t>2265 HC ENV TECH</t>
        </is>
      </c>
    </row>
    <row r="64">
      <c r="A64" s="32" t="inlineStr">
        <is>
          <t>BN P Paribas Securities</t>
        </is>
      </c>
      <c r="B64" s="191" t="n">
        <v>1</v>
      </c>
      <c r="C64" s="193" t="n">
        <v>0</v>
      </c>
      <c r="D64" s="194" t="n">
        <v>-16.7</v>
      </c>
      <c r="E64" s="194" t="n">
        <v>-12</v>
      </c>
      <c r="F64" s="194" t="n">
        <v>5.6</v>
      </c>
      <c r="G64" s="191" t="n">
        <v>1</v>
      </c>
      <c r="H64" s="194" t="n">
        <v>-9</v>
      </c>
      <c r="I64" s="194" t="n">
        <v>-23.7</v>
      </c>
      <c r="J64" s="194" t="n">
        <v>-38.3</v>
      </c>
      <c r="K64" s="194" t="n">
        <v>3.4</v>
      </c>
      <c r="L64" s="194" t="n">
        <v>-13.3</v>
      </c>
      <c r="M64" s="194" t="n">
        <v>-29.9</v>
      </c>
      <c r="N64" s="193" t="n">
        <v>0</v>
      </c>
      <c r="O64" s="193" t="n">
        <v>100</v>
      </c>
      <c r="P64" s="191" t="n">
        <v>1</v>
      </c>
      <c r="Q64" s="166" t="n">
        <v>984.5</v>
      </c>
      <c r="R64" s="195" t="inlineStr">
        <is>
          <t>9982 CENTRALCHINA MT</t>
        </is>
      </c>
    </row>
    <row r="65">
      <c r="A65" s="32" t="inlineStr">
        <is>
          <t>Alpha Financial Group Limited</t>
        </is>
      </c>
      <c r="B65" s="191" t="n">
        <v>1</v>
      </c>
      <c r="C65" s="193" t="n">
        <v>0</v>
      </c>
      <c r="D65" s="194" t="n">
        <v>15</v>
      </c>
      <c r="E65" s="194" t="n">
        <v>-12.5</v>
      </c>
      <c r="F65" s="194" t="n">
        <v>-23.9</v>
      </c>
      <c r="G65" s="191" t="n">
        <v>1</v>
      </c>
      <c r="H65" s="194" t="n">
        <v>-31.2</v>
      </c>
      <c r="I65" s="194" t="n">
        <v>-42</v>
      </c>
      <c r="J65" s="194" t="n">
        <v>-55</v>
      </c>
      <c r="K65" s="194" t="n">
        <v>-21.4</v>
      </c>
      <c r="L65" s="194" t="n">
        <v>-33.7</v>
      </c>
      <c r="M65" s="194" t="n">
        <v>-48.6</v>
      </c>
      <c r="N65" s="197" t="n"/>
      <c r="O65" s="197" t="n"/>
      <c r="P65" s="191" t="n">
        <v>0</v>
      </c>
      <c r="Q65" s="166" t="n">
        <v>125</v>
      </c>
      <c r="R65" s="195" t="inlineStr">
        <is>
          <t>2129 LEGION CONSO</t>
        </is>
      </c>
    </row>
    <row r="66">
      <c r="A66" s="32" t="inlineStr">
        <is>
          <t>Space Securities Limited</t>
        </is>
      </c>
      <c r="B66" s="191" t="n">
        <v>1</v>
      </c>
      <c r="C66" s="193" t="n">
        <v>0</v>
      </c>
      <c r="D66" s="194" t="n">
        <v>-5.6</v>
      </c>
      <c r="E66" s="194" t="n">
        <v>-22.2</v>
      </c>
      <c r="F66" s="194" t="n">
        <v>-17.6</v>
      </c>
      <c r="G66" s="191" t="n">
        <v>1</v>
      </c>
      <c r="H66" s="194" t="n">
        <v>-29.6</v>
      </c>
      <c r="I66" s="194" t="n">
        <v>-38</v>
      </c>
      <c r="J66" s="194" t="n">
        <v>-40.7</v>
      </c>
      <c r="K66" s="194" t="n">
        <v>-9.5</v>
      </c>
      <c r="L66" s="194" t="n">
        <v>-20.2</v>
      </c>
      <c r="M66" s="194" t="n">
        <v>-23.8</v>
      </c>
      <c r="N66" s="197" t="n"/>
      <c r="O66" s="197" t="n"/>
      <c r="P66" s="191" t="n">
        <v>0</v>
      </c>
      <c r="Q66" s="166" t="n">
        <v>135</v>
      </c>
      <c r="R66" s="195" t="inlineStr">
        <is>
          <t>1413 KWONG LUEN ENG</t>
        </is>
      </c>
    </row>
    <row r="67">
      <c r="A67" s="32" t="inlineStr">
        <is>
          <t>Head &amp; Shoulders Securities Limited</t>
        </is>
      </c>
      <c r="B67" s="191" t="n">
        <v>1</v>
      </c>
      <c r="C67" s="193" t="n">
        <v>0</v>
      </c>
      <c r="D67" s="194" t="n">
        <v>-32</v>
      </c>
      <c r="E67" s="194" t="n">
        <v>-23.4</v>
      </c>
      <c r="F67" s="194" t="n">
        <v>12.6</v>
      </c>
      <c r="G67" s="191" t="n">
        <v>1</v>
      </c>
      <c r="H67" s="194" t="n">
        <v>20.3</v>
      </c>
      <c r="I67" s="194" t="n">
        <v>26.6</v>
      </c>
      <c r="J67" s="194" t="n">
        <v>-21.1</v>
      </c>
      <c r="K67" s="194" t="n">
        <v>57.1</v>
      </c>
      <c r="L67" s="194" t="n">
        <v>65.3</v>
      </c>
      <c r="M67" s="194" t="n">
        <v>3.1</v>
      </c>
      <c r="N67" s="193" t="n">
        <v>0</v>
      </c>
      <c r="O67" s="193" t="n">
        <v>100</v>
      </c>
      <c r="P67" s="191" t="n">
        <v>1</v>
      </c>
      <c r="Q67" s="166" t="n">
        <v>130.6</v>
      </c>
      <c r="R67" s="195" t="inlineStr">
        <is>
          <t>2442 EASY SMART GP</t>
        </is>
      </c>
    </row>
    <row r="68">
      <c r="A68" s="32" t="inlineStr">
        <is>
          <t>First Fidelity Capi tal</t>
        </is>
      </c>
      <c r="B68" s="191" t="n">
        <v>1</v>
      </c>
      <c r="C68" s="193" t="n">
        <v>0</v>
      </c>
      <c r="D68" s="194" t="n">
        <v>-8</v>
      </c>
      <c r="E68" s="194" t="n">
        <v>-26.7</v>
      </c>
      <c r="F68" s="194" t="n">
        <v>-20.3</v>
      </c>
      <c r="G68" s="191" t="n">
        <v>1</v>
      </c>
      <c r="H68" s="194" t="n">
        <v>-34.7</v>
      </c>
      <c r="I68" s="194" t="n">
        <v>-40</v>
      </c>
      <c r="J68" s="194" t="n">
        <v>-46.7</v>
      </c>
      <c r="K68" s="194" t="n">
        <v>-10.9</v>
      </c>
      <c r="L68" s="194" t="n">
        <v>-18.2</v>
      </c>
      <c r="M68" s="194" t="n">
        <v>-27.3</v>
      </c>
      <c r="N68" s="197" t="n"/>
      <c r="O68" s="197" t="n"/>
      <c r="P68" s="191" t="n">
        <v>0</v>
      </c>
      <c r="Q68" s="166" t="n">
        <v>148.5</v>
      </c>
      <c r="R68" s="195" t="inlineStr">
        <is>
          <t>1927 JIUJIUWANG</t>
        </is>
      </c>
    </row>
    <row r="69">
      <c r="A69" s="32" t="inlineStr">
        <is>
          <t>Zhongtai Internati onal Securities Limited</t>
        </is>
      </c>
      <c r="B69" s="191" t="n">
        <v>1</v>
      </c>
      <c r="C69" s="193" t="n">
        <v>0</v>
      </c>
      <c r="D69" s="194" t="n">
        <v>-39.2</v>
      </c>
      <c r="E69" s="194" t="n">
        <v>-46.4</v>
      </c>
      <c r="F69" s="194" t="n">
        <v>-11.8</v>
      </c>
      <c r="G69" s="191" t="n">
        <v>1</v>
      </c>
      <c r="H69" s="194" t="n">
        <v>-63.6</v>
      </c>
      <c r="I69" s="194" t="n">
        <v>-65.59999999999999</v>
      </c>
      <c r="J69" s="194" t="n">
        <v>-68.40000000000001</v>
      </c>
      <c r="K69" s="194" t="n">
        <v>-32.1</v>
      </c>
      <c r="L69" s="194" t="n">
        <v>-35.8</v>
      </c>
      <c r="M69" s="194" t="n">
        <v>-41</v>
      </c>
      <c r="N69" s="193" t="n">
        <v>0</v>
      </c>
      <c r="O69" s="193" t="n">
        <v>100</v>
      </c>
      <c r="P69" s="191" t="n">
        <v>1</v>
      </c>
      <c r="Q69" s="166" t="n">
        <v>200</v>
      </c>
      <c r="R69" s="195" t="inlineStr">
        <is>
          <t>2545 ZHONGGAN COMM</t>
        </is>
      </c>
    </row>
  </sheetData>
  <autoFilter ref="A4:R69"/>
  <mergeCells count="1">
    <mergeCell ref="A2:L2"/>
  </mergeCells>
  <conditionalFormatting sqref="D5:D69">
    <cfRule type="colorScale" priority="1">
      <colorScale>
        <cfvo type="num" val="-40"/>
        <cfvo type="num" val="0"/>
        <cfvo type="num" val="60"/>
        <color rgb="00E6E6E6"/>
        <color rgb="00FFFFFF"/>
        <color rgb="00D9D9D9"/>
      </colorScale>
    </cfRule>
  </conditionalFormatting>
  <conditionalFormatting sqref="E5:E69">
    <cfRule type="colorScale" priority="2">
      <colorScale>
        <cfvo type="num" val="-40"/>
        <cfvo type="num" val="0"/>
        <cfvo type="num" val="60"/>
        <color rgb="00E6E6E6"/>
        <color rgb="00FFFFFF"/>
        <color rgb="00D9D9D9"/>
      </colorScale>
    </cfRule>
  </conditionalFormatting>
  <conditionalFormatting sqref="F5:F69">
    <cfRule type="colorScale" priority="3">
      <colorScale>
        <cfvo type="num" val="-40"/>
        <cfvo type="num" val="0"/>
        <cfvo type="num" val="60"/>
        <color rgb="00E6E6E6"/>
        <color rgb="00FFFFFF"/>
        <color rgb="00D9D9D9"/>
      </colorScale>
    </cfRule>
  </conditionalFormatting>
  <conditionalFormatting sqref="H5:H69">
    <cfRule type="colorScale" priority="4">
      <colorScale>
        <cfvo type="num" val="-40"/>
        <cfvo type="num" val="0"/>
        <cfvo type="num" val="60"/>
        <color rgb="00E6E6E6"/>
        <color rgb="00FFFFFF"/>
        <color rgb="00D9D9D9"/>
      </colorScale>
    </cfRule>
  </conditionalFormatting>
  <conditionalFormatting sqref="I5:I69">
    <cfRule type="colorScale" priority="5">
      <colorScale>
        <cfvo type="num" val="-40"/>
        <cfvo type="num" val="0"/>
        <cfvo type="num" val="60"/>
        <color rgb="00E6E6E6"/>
        <color rgb="00FFFFFF"/>
        <color rgb="00D9D9D9"/>
      </colorScale>
    </cfRule>
  </conditionalFormatting>
  <conditionalFormatting sqref="J5:J69">
    <cfRule type="colorScale" priority="6">
      <colorScale>
        <cfvo type="num" val="-40"/>
        <cfvo type="num" val="0"/>
        <cfvo type="num" val="60"/>
        <color rgb="00E6E6E6"/>
        <color rgb="00FFFFFF"/>
        <color rgb="00D9D9D9"/>
      </colorScale>
    </cfRule>
  </conditionalFormatting>
  <conditionalFormatting sqref="K5:K69">
    <cfRule type="colorScale" priority="7">
      <colorScale>
        <cfvo type="num" val="-40"/>
        <cfvo type="num" val="0"/>
        <cfvo type="num" val="60"/>
        <color rgb="00E6E6E6"/>
        <color rgb="00FFFFFF"/>
        <color rgb="00D9D9D9"/>
      </colorScale>
    </cfRule>
  </conditionalFormatting>
  <conditionalFormatting sqref="L5:L69">
    <cfRule type="colorScale" priority="8">
      <colorScale>
        <cfvo type="num" val="-40"/>
        <cfvo type="num" val="0"/>
        <cfvo type="num" val="60"/>
        <color rgb="00E6E6E6"/>
        <color rgb="00FFFFFF"/>
        <color rgb="00D9D9D9"/>
      </colorScale>
    </cfRule>
  </conditionalFormatting>
  <conditionalFormatting sqref="M5:M69">
    <cfRule type="colorScale" priority="9">
      <colorScale>
        <cfvo type="num" val="-40"/>
        <cfvo type="num" val="0"/>
        <cfvo type="num" val="60"/>
        <color rgb="00E6E6E6"/>
        <color rgb="00FFFFFF"/>
        <color rgb="00D9D9D9"/>
      </colorScale>
    </cfRule>
  </conditionalFormatting>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H198"/>
  <sheetViews>
    <sheetView showGridLines="0" zoomScale="95"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ht="30" customHeight="1">
      <c r="A1" s="16" t="inlineStr">
        <is>
          <t>DAY-1 ANALOGS</t>
        </is>
      </c>
    </row>
    <row r="2" ht="34" customHeight="1">
      <c r="A2" s="17" t="inlineStr">
        <is>
          <t>524 deals with a listing-day price, 2021-2026. Hit-rate = share that closed above the offer. Check n before trusting a cell.</t>
        </is>
      </c>
    </row>
    <row r="3"/>
    <row r="4">
      <c r="A4" s="190" t="inlineStr">
        <is>
          <t>BY SUBSCRIPTION LEVEL (all deals)</t>
        </is>
      </c>
    </row>
    <row r="5" ht="30" customHeight="1">
      <c r="A5" s="26" t="inlineStr">
        <is>
          <t>Subscription</t>
        </is>
      </c>
      <c r="B5" s="26" t="inlineStr">
        <is>
          <t>n</t>
        </is>
      </c>
      <c r="C5" s="26" t="inlineStr">
        <is>
          <t>Median day-1</t>
        </is>
      </c>
      <c r="D5" s="26" t="inlineStr">
        <is>
          <t>Hit-rate</t>
        </is>
      </c>
      <c r="E5" s="26" t="inlineStr">
        <is>
          <t>P25</t>
        </is>
      </c>
      <c r="F5" s="26" t="inlineStr">
        <is>
          <t>P75</t>
        </is>
      </c>
    </row>
    <row r="6">
      <c r="A6" s="32" t="inlineStr">
        <is>
          <t>&lt;10x</t>
        </is>
      </c>
      <c r="B6" s="191" t="n">
        <v>169</v>
      </c>
      <c r="C6" s="198" t="n">
        <v>0</v>
      </c>
      <c r="D6" s="193" t="n">
        <v>40</v>
      </c>
      <c r="E6" s="198" t="n">
        <v>-5.4</v>
      </c>
      <c r="F6" s="198" t="n">
        <v>3.1</v>
      </c>
    </row>
    <row r="7">
      <c r="A7" s="32" t="inlineStr">
        <is>
          <t>10-100x</t>
        </is>
      </c>
      <c r="B7" s="191" t="n">
        <v>128</v>
      </c>
      <c r="C7" s="198" t="n">
        <v>0.8</v>
      </c>
      <c r="D7" s="193" t="n">
        <v>53</v>
      </c>
      <c r="E7" s="198" t="n">
        <v>-12.1</v>
      </c>
      <c r="F7" s="198" t="n">
        <v>14.3</v>
      </c>
    </row>
    <row r="8">
      <c r="A8" s="32" t="inlineStr">
        <is>
          <t>100-1000x</t>
        </is>
      </c>
      <c r="B8" s="191" t="n">
        <v>121</v>
      </c>
      <c r="C8" s="198" t="n">
        <v>3.3</v>
      </c>
      <c r="D8" s="193" t="n">
        <v>58</v>
      </c>
      <c r="E8" s="198" t="n">
        <v>-8.6</v>
      </c>
      <c r="F8" s="198" t="n">
        <v>26.9</v>
      </c>
    </row>
    <row r="9">
      <c r="A9" s="32" t="inlineStr">
        <is>
          <t>&gt;=1000x</t>
        </is>
      </c>
      <c r="B9" s="191" t="n">
        <v>106</v>
      </c>
      <c r="C9" s="198" t="n">
        <v>76</v>
      </c>
      <c r="D9" s="193" t="n">
        <v>92</v>
      </c>
      <c r="E9" s="198" t="n">
        <v>21.3</v>
      </c>
      <c r="F9" s="198" t="n">
        <v>127.1</v>
      </c>
    </row>
    <row r="10"/>
    <row r="11">
      <c r="A11" s="190" t="inlineStr">
        <is>
          <t>BY SUBSECTOR x SUBSCRIPTION</t>
        </is>
      </c>
    </row>
    <row r="12" ht="30" customHeight="1">
      <c r="A12" s="26" t="inlineStr">
        <is>
          <t>Subsector</t>
        </is>
      </c>
      <c r="B12" s="26" t="inlineStr">
        <is>
          <t>Subscription</t>
        </is>
      </c>
      <c r="C12" s="26" t="inlineStr">
        <is>
          <t>n</t>
        </is>
      </c>
      <c r="D12" s="26" t="inlineStr">
        <is>
          <t>Median day-1</t>
        </is>
      </c>
      <c r="E12" s="26" t="inlineStr">
        <is>
          <t>Hit-rate</t>
        </is>
      </c>
    </row>
    <row r="13">
      <c r="A13" s="32" t="inlineStr">
        <is>
          <t>Apparel / luxury</t>
        </is>
      </c>
      <c r="B13" s="32" t="inlineStr">
        <is>
          <t>10-100x</t>
        </is>
      </c>
      <c r="C13" s="191" t="n">
        <v>1</v>
      </c>
      <c r="D13" s="198" t="n">
        <v>7.5</v>
      </c>
      <c r="E13" s="193" t="n">
        <v>100</v>
      </c>
      <c r="G13" s="71" t="inlineStr">
        <is>
          <t>Apparel / luxury|10-100x</t>
        </is>
      </c>
    </row>
    <row r="14">
      <c r="A14" s="32" t="inlineStr">
        <is>
          <t>Apparel / luxury</t>
        </is>
      </c>
      <c r="B14" s="32" t="inlineStr">
        <is>
          <t>100-1000x</t>
        </is>
      </c>
      <c r="C14" s="191" t="n">
        <v>2</v>
      </c>
      <c r="D14" s="198" t="n">
        <v>48.9</v>
      </c>
      <c r="E14" s="193" t="n">
        <v>100</v>
      </c>
      <c r="G14" s="71" t="inlineStr">
        <is>
          <t>Apparel / luxury|100-1000x</t>
        </is>
      </c>
    </row>
    <row r="15">
      <c r="A15" s="32" t="inlineStr">
        <is>
          <t>Apparel / luxury</t>
        </is>
      </c>
      <c r="B15" s="32" t="inlineStr">
        <is>
          <t>&lt;10x</t>
        </is>
      </c>
      <c r="C15" s="191" t="n">
        <v>2</v>
      </c>
      <c r="D15" s="198" t="n">
        <v>-0.1</v>
      </c>
      <c r="E15" s="193" t="n">
        <v>0</v>
      </c>
      <c r="G15" s="71" t="inlineStr">
        <is>
          <t>Apparel / luxury|&lt;10x</t>
        </is>
      </c>
    </row>
    <row r="16">
      <c r="A16" s="32" t="inlineStr">
        <is>
          <t>Apparel / luxury</t>
        </is>
      </c>
      <c r="B16" s="32" t="inlineStr">
        <is>
          <t>&gt;=1000x</t>
        </is>
      </c>
      <c r="C16" s="191" t="n">
        <v>1</v>
      </c>
      <c r="D16" s="198" t="n">
        <v>258.1</v>
      </c>
      <c r="E16" s="193" t="n">
        <v>100</v>
      </c>
      <c r="G16" s="71" t="inlineStr">
        <is>
          <t>Apparel / luxury|&gt;=1000x</t>
        </is>
      </c>
    </row>
    <row r="17">
      <c r="A17" s="32" t="inlineStr">
        <is>
          <t>Auto parts / supply chain</t>
        </is>
      </c>
      <c r="B17" s="32" t="inlineStr">
        <is>
          <t>10-100x</t>
        </is>
      </c>
      <c r="C17" s="191" t="n">
        <v>3</v>
      </c>
      <c r="D17" s="198" t="n">
        <v>-36.9</v>
      </c>
      <c r="E17" s="193" t="n">
        <v>33</v>
      </c>
      <c r="G17" s="71" t="inlineStr">
        <is>
          <t>Auto parts / supply chain|10-100x</t>
        </is>
      </c>
    </row>
    <row r="18">
      <c r="A18" s="32" t="inlineStr">
        <is>
          <t>Auto parts / supply chain</t>
        </is>
      </c>
      <c r="B18" s="32" t="inlineStr">
        <is>
          <t>100-1000x</t>
        </is>
      </c>
      <c r="C18" s="191" t="n">
        <v>3</v>
      </c>
      <c r="D18" s="198" t="n">
        <v>-0.1</v>
      </c>
      <c r="E18" s="193" t="n">
        <v>33</v>
      </c>
      <c r="G18" s="71" t="inlineStr">
        <is>
          <t>Auto parts / supply chain|100-1000x</t>
        </is>
      </c>
    </row>
    <row r="19">
      <c r="A19" s="32" t="inlineStr">
        <is>
          <t>Auto parts / supply chain</t>
        </is>
      </c>
      <c r="B19" s="32" t="inlineStr">
        <is>
          <t>&lt;10x</t>
        </is>
      </c>
      <c r="C19" s="191" t="n">
        <v>1</v>
      </c>
      <c r="D19" s="198" t="n">
        <v>2.1</v>
      </c>
      <c r="E19" s="193" t="n">
        <v>100</v>
      </c>
      <c r="G19" s="71" t="inlineStr">
        <is>
          <t>Auto parts / supply chain|&lt;10x</t>
        </is>
      </c>
    </row>
    <row r="20">
      <c r="A20" s="32" t="inlineStr">
        <is>
          <t>Auto parts / supply chain</t>
        </is>
      </c>
      <c r="B20" s="32" t="inlineStr">
        <is>
          <t>&gt;=1000x</t>
        </is>
      </c>
      <c r="C20" s="191" t="n">
        <v>2</v>
      </c>
      <c r="D20" s="198" t="n">
        <v>128.1</v>
      </c>
      <c r="E20" s="193" t="n">
        <v>100</v>
      </c>
      <c r="G20" s="71" t="inlineStr">
        <is>
          <t>Auto parts / supply chain|&gt;=1000x</t>
        </is>
      </c>
    </row>
    <row r="21">
      <c r="A21" s="32" t="inlineStr">
        <is>
          <t>Autos (NEV OEM)</t>
        </is>
      </c>
      <c r="B21" s="32" t="inlineStr">
        <is>
          <t>10-100x</t>
        </is>
      </c>
      <c r="C21" s="191" t="n">
        <v>2</v>
      </c>
      <c r="D21" s="198" t="n">
        <v>0.5</v>
      </c>
      <c r="E21" s="193" t="n">
        <v>50</v>
      </c>
      <c r="G21" s="71" t="inlineStr">
        <is>
          <t>Autos (NEV OEM)|10-100x</t>
        </is>
      </c>
    </row>
    <row r="22">
      <c r="A22" s="32" t="inlineStr">
        <is>
          <t>Autos (NEV OEM)</t>
        </is>
      </c>
      <c r="B22" s="32" t="inlineStr">
        <is>
          <t>100-1000x</t>
        </is>
      </c>
      <c r="C22" s="191" t="n">
        <v>2</v>
      </c>
      <c r="D22" s="198" t="n">
        <v>1.9</v>
      </c>
      <c r="E22" s="193" t="n">
        <v>50</v>
      </c>
      <c r="G22" s="71" t="inlineStr">
        <is>
          <t>Autos (NEV OEM)|100-1000x</t>
        </is>
      </c>
    </row>
    <row r="23">
      <c r="A23" s="32" t="inlineStr">
        <is>
          <t>Autos (NEV OEM)</t>
        </is>
      </c>
      <c r="B23" s="32" t="inlineStr">
        <is>
          <t>&lt;10x</t>
        </is>
      </c>
      <c r="C23" s="191" t="n">
        <v>2</v>
      </c>
      <c r="D23" s="198" t="n">
        <v>-17.2</v>
      </c>
      <c r="E23" s="193" t="n">
        <v>0</v>
      </c>
      <c r="G23" s="71" t="inlineStr">
        <is>
          <t>Autos (NEV OEM)|&lt;10x</t>
        </is>
      </c>
    </row>
    <row r="24">
      <c r="A24" s="32" t="inlineStr">
        <is>
          <t>Banks</t>
        </is>
      </c>
      <c r="B24" s="32" t="inlineStr">
        <is>
          <t>&lt;10x</t>
        </is>
      </c>
      <c r="C24" s="191" t="n">
        <v>2</v>
      </c>
      <c r="D24" s="198" t="n">
        <v>2.5</v>
      </c>
      <c r="E24" s="193" t="n">
        <v>100</v>
      </c>
      <c r="G24" s="71" t="inlineStr">
        <is>
          <t>Banks|&lt;10x</t>
        </is>
      </c>
    </row>
    <row r="25">
      <c r="A25" s="32" t="inlineStr">
        <is>
          <t>Batteries / energy storage</t>
        </is>
      </c>
      <c r="B25" s="32" t="inlineStr">
        <is>
          <t>10-100x</t>
        </is>
      </c>
      <c r="C25" s="191" t="n">
        <v>2</v>
      </c>
      <c r="D25" s="198" t="n">
        <v>9.9</v>
      </c>
      <c r="E25" s="193" t="n">
        <v>50</v>
      </c>
      <c r="G25" s="71" t="inlineStr">
        <is>
          <t>Batteries / energy storage|10-100x</t>
        </is>
      </c>
    </row>
    <row r="26">
      <c r="A26" s="32" t="inlineStr">
        <is>
          <t>Batteries / energy storage</t>
        </is>
      </c>
      <c r="B26" s="32" t="inlineStr">
        <is>
          <t>100-1000x</t>
        </is>
      </c>
      <c r="C26" s="191" t="n">
        <v>1</v>
      </c>
      <c r="D26" s="198" t="n">
        <v>16.4</v>
      </c>
      <c r="E26" s="193" t="n">
        <v>100</v>
      </c>
      <c r="G26" s="71" t="inlineStr">
        <is>
          <t>Batteries / energy storage|100-1000x</t>
        </is>
      </c>
    </row>
    <row r="27">
      <c r="A27" s="32" t="inlineStr">
        <is>
          <t>Batteries / energy storage</t>
        </is>
      </c>
      <c r="B27" s="32" t="inlineStr">
        <is>
          <t>&lt;10x</t>
        </is>
      </c>
      <c r="C27" s="191" t="n">
        <v>7</v>
      </c>
      <c r="D27" s="198" t="n">
        <v>0.1</v>
      </c>
      <c r="E27" s="193" t="n">
        <v>57</v>
      </c>
      <c r="G27" s="71" t="inlineStr">
        <is>
          <t>Batteries / energy storage|&lt;10x</t>
        </is>
      </c>
    </row>
    <row r="28">
      <c r="A28" s="32" t="inlineStr">
        <is>
          <t>Batteries / energy storage</t>
        </is>
      </c>
      <c r="B28" s="32" t="inlineStr">
        <is>
          <t>&gt;=1000x</t>
        </is>
      </c>
      <c r="C28" s="191" t="n">
        <v>3</v>
      </c>
      <c r="D28" s="198" t="n">
        <v>31.3</v>
      </c>
      <c r="E28" s="193" t="n">
        <v>100</v>
      </c>
      <c r="G28" s="71" t="inlineStr">
        <is>
          <t>Batteries / energy storage|&gt;=1000x</t>
        </is>
      </c>
    </row>
    <row r="29">
      <c r="A29" s="32" t="inlineStr">
        <is>
          <t>Beauty / personal care</t>
        </is>
      </c>
      <c r="B29" s="32" t="inlineStr">
        <is>
          <t>10-100x</t>
        </is>
      </c>
      <c r="C29" s="191" t="n">
        <v>2</v>
      </c>
      <c r="D29" s="198" t="n">
        <v>18.4</v>
      </c>
      <c r="E29" s="193" t="n">
        <v>50</v>
      </c>
      <c r="G29" s="71" t="inlineStr">
        <is>
          <t>Beauty / personal care|10-100x</t>
        </is>
      </c>
    </row>
    <row r="30">
      <c r="A30" s="32" t="inlineStr">
        <is>
          <t>Beauty / personal care</t>
        </is>
      </c>
      <c r="B30" s="32" t="inlineStr">
        <is>
          <t>100-1000x</t>
        </is>
      </c>
      <c r="C30" s="191" t="n">
        <v>2</v>
      </c>
      <c r="D30" s="198" t="n">
        <v>31.7</v>
      </c>
      <c r="E30" s="193" t="n">
        <v>50</v>
      </c>
      <c r="G30" s="71" t="inlineStr">
        <is>
          <t>Beauty / personal care|100-1000x</t>
        </is>
      </c>
    </row>
    <row r="31">
      <c r="A31" s="32" t="inlineStr">
        <is>
          <t>Beauty / personal care</t>
        </is>
      </c>
      <c r="B31" s="32" t="inlineStr">
        <is>
          <t>&lt;10x</t>
        </is>
      </c>
      <c r="C31" s="191" t="n">
        <v>2</v>
      </c>
      <c r="D31" s="198" t="n">
        <v>4.9</v>
      </c>
      <c r="E31" s="193" t="n">
        <v>50</v>
      </c>
      <c r="G31" s="71" t="inlineStr">
        <is>
          <t>Beauty / personal care|&lt;10x</t>
        </is>
      </c>
    </row>
    <row r="32">
      <c r="A32" s="32" t="inlineStr">
        <is>
          <t>Beauty / personal care</t>
        </is>
      </c>
      <c r="B32" s="32" t="inlineStr">
        <is>
          <t>&gt;=1000x</t>
        </is>
      </c>
      <c r="C32" s="191" t="n">
        <v>1</v>
      </c>
      <c r="D32" s="198" t="n">
        <v>9.300000000000001</v>
      </c>
      <c r="E32" s="193" t="n">
        <v>100</v>
      </c>
      <c r="G32" s="71" t="inlineStr">
        <is>
          <t>Beauty / personal care|&gt;=1000x</t>
        </is>
      </c>
    </row>
    <row r="33">
      <c r="A33" s="32" t="inlineStr">
        <is>
          <t>Beverages / packaged food</t>
        </is>
      </c>
      <c r="B33" s="32" t="inlineStr">
        <is>
          <t>10-100x</t>
        </is>
      </c>
      <c r="C33" s="191" t="n">
        <v>8</v>
      </c>
      <c r="D33" s="198" t="n">
        <v>-9.4</v>
      </c>
      <c r="E33" s="193" t="n">
        <v>12</v>
      </c>
      <c r="G33" s="71" t="inlineStr">
        <is>
          <t>Beverages / packaged food|10-100x</t>
        </is>
      </c>
    </row>
    <row r="34">
      <c r="A34" s="32" t="inlineStr">
        <is>
          <t>Beverages / packaged food</t>
        </is>
      </c>
      <c r="B34" s="32" t="inlineStr">
        <is>
          <t>100-1000x</t>
        </is>
      </c>
      <c r="C34" s="191" t="n">
        <v>5</v>
      </c>
      <c r="D34" s="198" t="n">
        <v>15</v>
      </c>
      <c r="E34" s="193" t="n">
        <v>80</v>
      </c>
      <c r="G34" s="71" t="inlineStr">
        <is>
          <t>Beverages / packaged food|100-1000x</t>
        </is>
      </c>
    </row>
    <row r="35">
      <c r="A35" s="32" t="inlineStr">
        <is>
          <t>Beverages / packaged food</t>
        </is>
      </c>
      <c r="B35" s="32" t="inlineStr">
        <is>
          <t>&lt;10x</t>
        </is>
      </c>
      <c r="C35" s="191" t="n">
        <v>6</v>
      </c>
      <c r="D35" s="198" t="n">
        <v>0.5</v>
      </c>
      <c r="E35" s="193" t="n">
        <v>50</v>
      </c>
      <c r="G35" s="71" t="inlineStr">
        <is>
          <t>Beverages / packaged food|&lt;10x</t>
        </is>
      </c>
    </row>
    <row r="36">
      <c r="A36" s="32" t="inlineStr">
        <is>
          <t>Beverages / packaged food</t>
        </is>
      </c>
      <c r="B36" s="32" t="inlineStr">
        <is>
          <t>&gt;=1000x</t>
        </is>
      </c>
      <c r="C36" s="191" t="n">
        <v>6</v>
      </c>
      <c r="D36" s="198" t="n">
        <v>77.90000000000001</v>
      </c>
      <c r="E36" s="193" t="n">
        <v>100</v>
      </c>
      <c r="G36" s="71" t="inlineStr">
        <is>
          <t>Beverages / packaged food|&gt;=1000x</t>
        </is>
      </c>
    </row>
    <row r="37">
      <c r="A37" s="32" t="inlineStr">
        <is>
          <t>Biopharma commercial</t>
        </is>
      </c>
      <c r="B37" s="32" t="inlineStr">
        <is>
          <t>10-100x</t>
        </is>
      </c>
      <c r="C37" s="191" t="n">
        <v>2</v>
      </c>
      <c r="D37" s="198" t="n">
        <v>122</v>
      </c>
      <c r="E37" s="193" t="n">
        <v>100</v>
      </c>
      <c r="G37" s="71" t="inlineStr">
        <is>
          <t>Biopharma commercial|10-100x</t>
        </is>
      </c>
    </row>
    <row r="38">
      <c r="A38" s="32" t="inlineStr">
        <is>
          <t>Biopharma commercial</t>
        </is>
      </c>
      <c r="B38" s="32" t="inlineStr">
        <is>
          <t>100-1000x</t>
        </is>
      </c>
      <c r="C38" s="191" t="n">
        <v>3</v>
      </c>
      <c r="D38" s="198" t="n">
        <v>-12.7</v>
      </c>
      <c r="E38" s="193" t="n">
        <v>33</v>
      </c>
      <c r="G38" s="71" t="inlineStr">
        <is>
          <t>Biopharma commercial|100-1000x</t>
        </is>
      </c>
    </row>
    <row r="39">
      <c r="A39" s="32" t="inlineStr">
        <is>
          <t>Biopharma commercial</t>
        </is>
      </c>
      <c r="B39" s="32" t="inlineStr">
        <is>
          <t>&lt;10x</t>
        </is>
      </c>
      <c r="C39" s="191" t="n">
        <v>2</v>
      </c>
      <c r="D39" s="198" t="n">
        <v>26.7</v>
      </c>
      <c r="E39" s="193" t="n">
        <v>100</v>
      </c>
      <c r="G39" s="71" t="inlineStr">
        <is>
          <t>Biopharma commercial|&lt;10x</t>
        </is>
      </c>
    </row>
    <row r="40">
      <c r="A40" s="32" t="inlineStr">
        <is>
          <t>Biopharma commercial</t>
        </is>
      </c>
      <c r="B40" s="32" t="inlineStr">
        <is>
          <t>&gt;=1000x</t>
        </is>
      </c>
      <c r="C40" s="191" t="n">
        <v>2</v>
      </c>
      <c r="D40" s="198" t="n">
        <v>90.8</v>
      </c>
      <c r="E40" s="193" t="n">
        <v>100</v>
      </c>
      <c r="G40" s="71" t="inlineStr">
        <is>
          <t>Biopharma commercial|&gt;=1000x</t>
        </is>
      </c>
    </row>
    <row r="41">
      <c r="A41" s="32" t="inlineStr">
        <is>
          <t>Biotech pre-revenue (18A)</t>
        </is>
      </c>
      <c r="B41" s="32" t="inlineStr">
        <is>
          <t>10-100x</t>
        </is>
      </c>
      <c r="C41" s="191" t="n">
        <v>10</v>
      </c>
      <c r="D41" s="198" t="n">
        <v>0.9</v>
      </c>
      <c r="E41" s="193" t="n">
        <v>50</v>
      </c>
      <c r="G41" s="71" t="inlineStr">
        <is>
          <t>Biotech pre-revenue (18A)|10-100x</t>
        </is>
      </c>
    </row>
    <row r="42">
      <c r="A42" s="32" t="inlineStr">
        <is>
          <t>Biotech pre-revenue (18A)</t>
        </is>
      </c>
      <c r="B42" s="32" t="inlineStr">
        <is>
          <t>100-1000x</t>
        </is>
      </c>
      <c r="C42" s="191" t="n">
        <v>10</v>
      </c>
      <c r="D42" s="198" t="n">
        <v>13.4</v>
      </c>
      <c r="E42" s="193" t="n">
        <v>70</v>
      </c>
      <c r="G42" s="71" t="inlineStr">
        <is>
          <t>Biotech pre-revenue (18A)|100-1000x</t>
        </is>
      </c>
    </row>
    <row r="43">
      <c r="A43" s="32" t="inlineStr">
        <is>
          <t>Biotech pre-revenue (18A)</t>
        </is>
      </c>
      <c r="B43" s="32" t="inlineStr">
        <is>
          <t>&lt;10x</t>
        </is>
      </c>
      <c r="C43" s="191" t="n">
        <v>14</v>
      </c>
      <c r="D43" s="198" t="n">
        <v>1.8</v>
      </c>
      <c r="E43" s="193" t="n">
        <v>64</v>
      </c>
      <c r="G43" s="71" t="inlineStr">
        <is>
          <t>Biotech pre-revenue (18A)|&lt;10x</t>
        </is>
      </c>
    </row>
    <row r="44">
      <c r="A44" s="32" t="inlineStr">
        <is>
          <t>Biotech pre-revenue (18A)</t>
        </is>
      </c>
      <c r="B44" s="32" t="inlineStr">
        <is>
          <t>&gt;=1000x</t>
        </is>
      </c>
      <c r="C44" s="191" t="n">
        <v>15</v>
      </c>
      <c r="D44" s="198" t="n">
        <v>108.3</v>
      </c>
      <c r="E44" s="193" t="n">
        <v>87</v>
      </c>
      <c r="G44" s="71" t="inlineStr">
        <is>
          <t>Biotech pre-revenue (18A)|&gt;=1000x</t>
        </is>
      </c>
    </row>
    <row r="45">
      <c r="A45" s="32" t="inlineStr">
        <is>
          <t>Brokers / asset management</t>
        </is>
      </c>
      <c r="B45" s="32" t="inlineStr">
        <is>
          <t>&lt;10x</t>
        </is>
      </c>
      <c r="C45" s="191" t="n">
        <v>4</v>
      </c>
      <c r="D45" s="198" t="n">
        <v>-14.3</v>
      </c>
      <c r="E45" s="193" t="n">
        <v>25</v>
      </c>
      <c r="G45" s="71" t="inlineStr">
        <is>
          <t>Brokers / asset management|&lt;10x</t>
        </is>
      </c>
    </row>
    <row r="46">
      <c r="A46" s="32" t="inlineStr">
        <is>
          <t>CXO / pharma services</t>
        </is>
      </c>
      <c r="B46" s="32" t="inlineStr">
        <is>
          <t>10-100x</t>
        </is>
      </c>
      <c r="C46" s="191" t="n">
        <v>1</v>
      </c>
      <c r="D46" s="198" t="n">
        <v>35.9</v>
      </c>
      <c r="E46" s="193" t="n">
        <v>100</v>
      </c>
      <c r="G46" s="71" t="inlineStr">
        <is>
          <t>CXO / pharma services|10-100x</t>
        </is>
      </c>
    </row>
    <row r="47">
      <c r="A47" s="32" t="inlineStr">
        <is>
          <t>CXO / pharma services</t>
        </is>
      </c>
      <c r="B47" s="32" t="inlineStr">
        <is>
          <t>100-1000x</t>
        </is>
      </c>
      <c r="C47" s="191" t="n">
        <v>3</v>
      </c>
      <c r="D47" s="198" t="n">
        <v>-7.6</v>
      </c>
      <c r="E47" s="193" t="n">
        <v>33</v>
      </c>
      <c r="G47" s="71" t="inlineStr">
        <is>
          <t>CXO / pharma services|100-1000x</t>
        </is>
      </c>
    </row>
    <row r="48">
      <c r="A48" s="32" t="inlineStr">
        <is>
          <t>CXO / pharma services</t>
        </is>
      </c>
      <c r="B48" s="32" t="inlineStr">
        <is>
          <t>&lt;10x</t>
        </is>
      </c>
      <c r="C48" s="191" t="n">
        <v>5</v>
      </c>
      <c r="D48" s="198" t="n">
        <v>1.1</v>
      </c>
      <c r="E48" s="193" t="n">
        <v>60</v>
      </c>
      <c r="G48" s="71" t="inlineStr">
        <is>
          <t>CXO / pharma services|&lt;10x</t>
        </is>
      </c>
    </row>
    <row r="49">
      <c r="A49" s="32" t="inlineStr">
        <is>
          <t>Capital goods / machinery</t>
        </is>
      </c>
      <c r="B49" s="32" t="inlineStr">
        <is>
          <t>10-100x</t>
        </is>
      </c>
      <c r="C49" s="191" t="n">
        <v>7</v>
      </c>
      <c r="D49" s="198" t="n">
        <v>0.8</v>
      </c>
      <c r="E49" s="193" t="n">
        <v>57</v>
      </c>
      <c r="G49" s="71" t="inlineStr">
        <is>
          <t>Capital goods / machinery|10-100x</t>
        </is>
      </c>
    </row>
    <row r="50">
      <c r="A50" s="32" t="inlineStr">
        <is>
          <t>Capital goods / machinery</t>
        </is>
      </c>
      <c r="B50" s="32" t="inlineStr">
        <is>
          <t>100-1000x</t>
        </is>
      </c>
      <c r="C50" s="191" t="n">
        <v>3</v>
      </c>
      <c r="D50" s="198" t="n">
        <v>14.8</v>
      </c>
      <c r="E50" s="193" t="n">
        <v>67</v>
      </c>
      <c r="G50" s="71" t="inlineStr">
        <is>
          <t>Capital goods / machinery|100-1000x</t>
        </is>
      </c>
    </row>
    <row r="51">
      <c r="A51" s="32" t="inlineStr">
        <is>
          <t>Capital goods / machinery</t>
        </is>
      </c>
      <c r="B51" s="32" t="inlineStr">
        <is>
          <t>&lt;10x</t>
        </is>
      </c>
      <c r="C51" s="191" t="n">
        <v>5</v>
      </c>
      <c r="D51" s="198" t="n">
        <v>1.5</v>
      </c>
      <c r="E51" s="193" t="n">
        <v>60</v>
      </c>
      <c r="G51" s="71" t="inlineStr">
        <is>
          <t>Capital goods / machinery|&lt;10x</t>
        </is>
      </c>
    </row>
    <row r="52">
      <c r="A52" s="32" t="inlineStr">
        <is>
          <t>Capital goods / machinery</t>
        </is>
      </c>
      <c r="B52" s="32" t="inlineStr">
        <is>
          <t>&gt;=1000x</t>
        </is>
      </c>
      <c r="C52" s="191" t="n">
        <v>3</v>
      </c>
      <c r="D52" s="198" t="n">
        <v>2.4</v>
      </c>
      <c r="E52" s="193" t="n">
        <v>67</v>
      </c>
      <c r="G52" s="71" t="inlineStr">
        <is>
          <t>Capital goods / machinery|&gt;=1000x</t>
        </is>
      </c>
    </row>
    <row r="53">
      <c r="A53" s="32" t="inlineStr">
        <is>
          <t>Chemicals</t>
        </is>
      </c>
      <c r="B53" s="32" t="inlineStr">
        <is>
          <t>10-100x</t>
        </is>
      </c>
      <c r="C53" s="191" t="n">
        <v>5</v>
      </c>
      <c r="D53" s="198" t="n">
        <v>-27.5</v>
      </c>
      <c r="E53" s="193" t="n">
        <v>20</v>
      </c>
      <c r="G53" s="71" t="inlineStr">
        <is>
          <t>Chemicals|10-100x</t>
        </is>
      </c>
    </row>
    <row r="54">
      <c r="A54" s="32" t="inlineStr">
        <is>
          <t>Chemicals</t>
        </is>
      </c>
      <c r="B54" s="32" t="inlineStr">
        <is>
          <t>100-1000x</t>
        </is>
      </c>
      <c r="C54" s="191" t="n">
        <v>4</v>
      </c>
      <c r="D54" s="198" t="n">
        <v>15.3</v>
      </c>
      <c r="E54" s="193" t="n">
        <v>75</v>
      </c>
      <c r="G54" s="71" t="inlineStr">
        <is>
          <t>Chemicals|100-1000x</t>
        </is>
      </c>
    </row>
    <row r="55">
      <c r="A55" s="32" t="inlineStr">
        <is>
          <t>Chemicals</t>
        </is>
      </c>
      <c r="B55" s="32" t="inlineStr">
        <is>
          <t>&lt;10x</t>
        </is>
      </c>
      <c r="C55" s="191" t="n">
        <v>4</v>
      </c>
      <c r="D55" s="198" t="n">
        <v>-4.4</v>
      </c>
      <c r="E55" s="193" t="n">
        <v>50</v>
      </c>
      <c r="G55" s="71" t="inlineStr">
        <is>
          <t>Chemicals|&lt;10x</t>
        </is>
      </c>
    </row>
    <row r="56">
      <c r="A56" s="32" t="inlineStr">
        <is>
          <t>Chemicals</t>
        </is>
      </c>
      <c r="B56" s="32" t="inlineStr">
        <is>
          <t>&gt;=1000x</t>
        </is>
      </c>
      <c r="C56" s="191" t="n">
        <v>2</v>
      </c>
      <c r="D56" s="198" t="n">
        <v>10.6</v>
      </c>
      <c r="E56" s="193" t="n">
        <v>50</v>
      </c>
      <c r="G56" s="71" t="inlineStr">
        <is>
          <t>Chemicals|&gt;=1000x</t>
        </is>
      </c>
    </row>
    <row r="57">
      <c r="A57" s="32" t="inlineStr">
        <is>
          <t>Construction / engineering</t>
        </is>
      </c>
      <c r="B57" s="32" t="inlineStr">
        <is>
          <t>10-100x</t>
        </is>
      </c>
      <c r="C57" s="191" t="n">
        <v>10</v>
      </c>
      <c r="D57" s="198" t="n">
        <v>-9.9</v>
      </c>
      <c r="E57" s="193" t="n">
        <v>50</v>
      </c>
      <c r="G57" s="71" t="inlineStr">
        <is>
          <t>Construction / engineering|10-100x</t>
        </is>
      </c>
    </row>
    <row r="58">
      <c r="A58" s="32" t="inlineStr">
        <is>
          <t>Construction / engineering</t>
        </is>
      </c>
      <c r="B58" s="32" t="inlineStr">
        <is>
          <t>100-1000x</t>
        </is>
      </c>
      <c r="C58" s="191" t="n">
        <v>4</v>
      </c>
      <c r="D58" s="198" t="n">
        <v>-21.1</v>
      </c>
      <c r="E58" s="193" t="n">
        <v>25</v>
      </c>
      <c r="G58" s="71" t="inlineStr">
        <is>
          <t>Construction / engineering|100-1000x</t>
        </is>
      </c>
    </row>
    <row r="59">
      <c r="A59" s="32" t="inlineStr">
        <is>
          <t>Construction / engineering</t>
        </is>
      </c>
      <c r="B59" s="32" t="inlineStr">
        <is>
          <t>&lt;10x</t>
        </is>
      </c>
      <c r="C59" s="191" t="n">
        <v>2</v>
      </c>
      <c r="D59" s="198" t="n">
        <v>5</v>
      </c>
      <c r="E59" s="193" t="n">
        <v>50</v>
      </c>
      <c r="G59" s="71" t="inlineStr">
        <is>
          <t>Construction / engineering|&lt;10x</t>
        </is>
      </c>
    </row>
    <row r="60">
      <c r="A60" s="32" t="inlineStr">
        <is>
          <t>Consumer services / education</t>
        </is>
      </c>
      <c r="B60" s="32" t="inlineStr">
        <is>
          <t>10-100x</t>
        </is>
      </c>
      <c r="C60" s="191" t="n">
        <v>1</v>
      </c>
      <c r="D60" s="198" t="n">
        <v>12.1</v>
      </c>
      <c r="E60" s="193" t="n">
        <v>100</v>
      </c>
      <c r="G60" s="71" t="inlineStr">
        <is>
          <t>Consumer services / education|10-100x</t>
        </is>
      </c>
    </row>
    <row r="61">
      <c r="A61" s="32" t="inlineStr">
        <is>
          <t>Consumer services / education</t>
        </is>
      </c>
      <c r="B61" s="32" t="inlineStr">
        <is>
          <t>&lt;10x</t>
        </is>
      </c>
      <c r="C61" s="191" t="n">
        <v>3</v>
      </c>
      <c r="D61" s="198" t="n">
        <v>0</v>
      </c>
      <c r="E61" s="193" t="n">
        <v>33</v>
      </c>
      <c r="G61" s="71" t="inlineStr">
        <is>
          <t>Consumer services / education|&lt;10x</t>
        </is>
      </c>
    </row>
    <row r="62">
      <c r="A62" s="32" t="inlineStr">
        <is>
          <t>Data centres &amp; cloud</t>
        </is>
      </c>
      <c r="B62" s="32" t="inlineStr">
        <is>
          <t>10-100x</t>
        </is>
      </c>
      <c r="C62" s="191" t="n">
        <v>2</v>
      </c>
      <c r="D62" s="198" t="n">
        <v>-37.1</v>
      </c>
      <c r="E62" s="193" t="n">
        <v>0</v>
      </c>
      <c r="G62" s="71" t="inlineStr">
        <is>
          <t>Data centres &amp; cloud|10-100x</t>
        </is>
      </c>
    </row>
    <row r="63">
      <c r="A63" s="32" t="inlineStr">
        <is>
          <t>Developers</t>
        </is>
      </c>
      <c r="B63" s="32" t="inlineStr">
        <is>
          <t>&lt;10x</t>
        </is>
      </c>
      <c r="C63" s="191" t="n">
        <v>1</v>
      </c>
      <c r="D63" s="198" t="n">
        <v>0</v>
      </c>
      <c r="E63" s="193" t="n">
        <v>0</v>
      </c>
      <c r="G63" s="71" t="inlineStr">
        <is>
          <t>Developers|&lt;10x</t>
        </is>
      </c>
    </row>
    <row r="64">
      <c r="A64" s="32" t="inlineStr">
        <is>
          <t>Digital health</t>
        </is>
      </c>
      <c r="B64" s="32" t="inlineStr">
        <is>
          <t>10-100x</t>
        </is>
      </c>
      <c r="C64" s="191" t="n">
        <v>3</v>
      </c>
      <c r="D64" s="198" t="n">
        <v>36.7</v>
      </c>
      <c r="E64" s="193" t="n">
        <v>67</v>
      </c>
      <c r="G64" s="71" t="inlineStr">
        <is>
          <t>Digital health|10-100x</t>
        </is>
      </c>
    </row>
    <row r="65">
      <c r="A65" s="32" t="inlineStr">
        <is>
          <t>Digital health</t>
        </is>
      </c>
      <c r="B65" s="32" t="inlineStr">
        <is>
          <t>100-1000x</t>
        </is>
      </c>
      <c r="C65" s="191" t="n">
        <v>4</v>
      </c>
      <c r="D65" s="198" t="n">
        <v>20.1</v>
      </c>
      <c r="E65" s="193" t="n">
        <v>75</v>
      </c>
      <c r="G65" s="71" t="inlineStr">
        <is>
          <t>Digital health|100-1000x</t>
        </is>
      </c>
    </row>
    <row r="66">
      <c r="A66" s="32" t="inlineStr">
        <is>
          <t>Digital health</t>
        </is>
      </c>
      <c r="B66" s="32" t="inlineStr">
        <is>
          <t>&lt;10x</t>
        </is>
      </c>
      <c r="C66" s="191" t="n">
        <v>8</v>
      </c>
      <c r="D66" s="198" t="n">
        <v>0</v>
      </c>
      <c r="E66" s="193" t="n">
        <v>38</v>
      </c>
      <c r="G66" s="71" t="inlineStr">
        <is>
          <t>Digital health|&lt;10x</t>
        </is>
      </c>
    </row>
    <row r="67">
      <c r="A67" s="32" t="inlineStr">
        <is>
          <t>Digital health</t>
        </is>
      </c>
      <c r="B67" s="32" t="inlineStr">
        <is>
          <t>&gt;=1000x</t>
        </is>
      </c>
      <c r="C67" s="191" t="n">
        <v>2</v>
      </c>
      <c r="D67" s="198" t="n">
        <v>80.59999999999999</v>
      </c>
      <c r="E67" s="193" t="n">
        <v>100</v>
      </c>
      <c r="G67" s="71" t="inlineStr">
        <is>
          <t>Digital health|&gt;=1000x</t>
        </is>
      </c>
    </row>
    <row r="68">
      <c r="A68" s="32" t="inlineStr">
        <is>
          <t>F&amp;B chains / restaurants</t>
        </is>
      </c>
      <c r="B68" s="32" t="inlineStr">
        <is>
          <t>10-100x</t>
        </is>
      </c>
      <c r="C68" s="191" t="n">
        <v>1</v>
      </c>
      <c r="D68" s="198" t="n">
        <v>22.9</v>
      </c>
      <c r="E68" s="193" t="n">
        <v>100</v>
      </c>
      <c r="G68" s="71" t="inlineStr">
        <is>
          <t>F&amp;B chains / restaurants|10-100x</t>
        </is>
      </c>
    </row>
    <row r="69">
      <c r="A69" s="32" t="inlineStr">
        <is>
          <t>F&amp;B chains / restaurants</t>
        </is>
      </c>
      <c r="B69" s="32" t="inlineStr">
        <is>
          <t>100-1000x</t>
        </is>
      </c>
      <c r="C69" s="191" t="n">
        <v>4</v>
      </c>
      <c r="D69" s="198" t="n">
        <v>-13</v>
      </c>
      <c r="E69" s="193" t="n">
        <v>0</v>
      </c>
      <c r="G69" s="71" t="inlineStr">
        <is>
          <t>F&amp;B chains / restaurants|100-1000x</t>
        </is>
      </c>
    </row>
    <row r="70">
      <c r="A70" s="32" t="inlineStr">
        <is>
          <t>F&amp;B chains / restaurants</t>
        </is>
      </c>
      <c r="B70" s="32" t="inlineStr">
        <is>
          <t>&lt;10x</t>
        </is>
      </c>
      <c r="C70" s="191" t="n">
        <v>3</v>
      </c>
      <c r="D70" s="198" t="n">
        <v>-0.1</v>
      </c>
      <c r="E70" s="193" t="n">
        <v>33</v>
      </c>
      <c r="G70" s="71" t="inlineStr">
        <is>
          <t>F&amp;B chains / restaurants|&lt;10x</t>
        </is>
      </c>
    </row>
    <row r="71">
      <c r="A71" s="32" t="inlineStr">
        <is>
          <t>F&amp;B chains / restaurants</t>
        </is>
      </c>
      <c r="B71" s="32" t="inlineStr">
        <is>
          <t>&gt;=1000x</t>
        </is>
      </c>
      <c r="C71" s="191" t="n">
        <v>2</v>
      </c>
      <c r="D71" s="198" t="n">
        <v>41.6</v>
      </c>
      <c r="E71" s="193" t="n">
        <v>100</v>
      </c>
      <c r="G71" s="71" t="inlineStr">
        <is>
          <t>F&amp;B chains / restaurants|&gt;=1000x</t>
        </is>
      </c>
    </row>
    <row r="72">
      <c r="A72" s="32" t="inlineStr">
        <is>
          <t>Hardware &amp; electronics</t>
        </is>
      </c>
      <c r="B72" s="32" t="inlineStr">
        <is>
          <t>10-100x</t>
        </is>
      </c>
      <c r="C72" s="191" t="n">
        <v>6</v>
      </c>
      <c r="D72" s="198" t="n">
        <v>1.8</v>
      </c>
      <c r="E72" s="193" t="n">
        <v>50</v>
      </c>
      <c r="G72" s="71" t="inlineStr">
        <is>
          <t>Hardware &amp; electronics|10-100x</t>
        </is>
      </c>
    </row>
    <row r="73">
      <c r="A73" s="32" t="inlineStr">
        <is>
          <t>Hardware &amp; electronics</t>
        </is>
      </c>
      <c r="B73" s="32" t="inlineStr">
        <is>
          <t>100-1000x</t>
        </is>
      </c>
      <c r="C73" s="191" t="n">
        <v>11</v>
      </c>
      <c r="D73" s="198" t="n">
        <v>4.7</v>
      </c>
      <c r="E73" s="193" t="n">
        <v>64</v>
      </c>
      <c r="G73" s="71" t="inlineStr">
        <is>
          <t>Hardware &amp; electronics|100-1000x</t>
        </is>
      </c>
    </row>
    <row r="74">
      <c r="A74" s="32" t="inlineStr">
        <is>
          <t>Hardware &amp; electronics</t>
        </is>
      </c>
      <c r="B74" s="32" t="inlineStr">
        <is>
          <t>&lt;10x</t>
        </is>
      </c>
      <c r="C74" s="191" t="n">
        <v>4</v>
      </c>
      <c r="D74" s="198" t="n">
        <v>-3.4</v>
      </c>
      <c r="E74" s="193" t="n">
        <v>25</v>
      </c>
      <c r="G74" s="71" t="inlineStr">
        <is>
          <t>Hardware &amp; electronics|&lt;10x</t>
        </is>
      </c>
    </row>
    <row r="75">
      <c r="A75" s="32" t="inlineStr">
        <is>
          <t>Hardware &amp; electronics</t>
        </is>
      </c>
      <c r="B75" s="32" t="inlineStr">
        <is>
          <t>&gt;=1000x</t>
        </is>
      </c>
      <c r="C75" s="191" t="n">
        <v>10</v>
      </c>
      <c r="D75" s="198" t="n">
        <v>18.1</v>
      </c>
      <c r="E75" s="193" t="n">
        <v>100</v>
      </c>
      <c r="G75" s="71" t="inlineStr">
        <is>
          <t>Hardware &amp; electronics|&gt;=1000x</t>
        </is>
      </c>
    </row>
    <row r="76">
      <c r="A76" s="32" t="inlineStr">
        <is>
          <t>Hospitals / clinics</t>
        </is>
      </c>
      <c r="B76" s="32" t="inlineStr">
        <is>
          <t>10-100x</t>
        </is>
      </c>
      <c r="C76" s="191" t="n">
        <v>1</v>
      </c>
      <c r="D76" s="198" t="n">
        <v>-14.3</v>
      </c>
      <c r="E76" s="193" t="n">
        <v>0</v>
      </c>
      <c r="G76" s="71" t="inlineStr">
        <is>
          <t>Hospitals / clinics|10-100x</t>
        </is>
      </c>
    </row>
    <row r="77">
      <c r="A77" s="32" t="inlineStr">
        <is>
          <t>Hospitals / clinics</t>
        </is>
      </c>
      <c r="B77" s="32" t="inlineStr">
        <is>
          <t>100-1000x</t>
        </is>
      </c>
      <c r="C77" s="191" t="n">
        <v>5</v>
      </c>
      <c r="D77" s="198" t="n">
        <v>5.1</v>
      </c>
      <c r="E77" s="193" t="n">
        <v>100</v>
      </c>
      <c r="G77" s="71" t="inlineStr">
        <is>
          <t>Hospitals / clinics|100-1000x</t>
        </is>
      </c>
    </row>
    <row r="78">
      <c r="A78" s="32" t="inlineStr">
        <is>
          <t>Hospitals / clinics</t>
        </is>
      </c>
      <c r="B78" s="32" t="inlineStr">
        <is>
          <t>&lt;10x</t>
        </is>
      </c>
      <c r="C78" s="191" t="n">
        <v>3</v>
      </c>
      <c r="D78" s="198" t="n">
        <v>-5.6</v>
      </c>
      <c r="E78" s="193" t="n">
        <v>0</v>
      </c>
      <c r="G78" s="71" t="inlineStr">
        <is>
          <t>Hospitals / clinics|&lt;10x</t>
        </is>
      </c>
    </row>
    <row r="79">
      <c r="A79" s="32" t="inlineStr">
        <is>
          <t>Insurance</t>
        </is>
      </c>
      <c r="B79" s="32" t="inlineStr">
        <is>
          <t>10-100x</t>
        </is>
      </c>
      <c r="C79" s="191" t="n">
        <v>2</v>
      </c>
      <c r="D79" s="198" t="n">
        <v>3</v>
      </c>
      <c r="E79" s="193" t="n">
        <v>100</v>
      </c>
      <c r="G79" s="71" t="inlineStr">
        <is>
          <t>Insurance|10-100x</t>
        </is>
      </c>
    </row>
    <row r="80">
      <c r="A80" s="32" t="inlineStr">
        <is>
          <t>Insurance</t>
        </is>
      </c>
      <c r="B80" s="32" t="inlineStr">
        <is>
          <t>100-1000x</t>
        </is>
      </c>
      <c r="C80" s="191" t="n">
        <v>2</v>
      </c>
      <c r="D80" s="198" t="n">
        <v>174.9</v>
      </c>
      <c r="E80" s="193" t="n">
        <v>50</v>
      </c>
      <c r="G80" s="71" t="inlineStr">
        <is>
          <t>Insurance|100-1000x</t>
        </is>
      </c>
    </row>
    <row r="81">
      <c r="A81" s="32" t="inlineStr">
        <is>
          <t>Insurance</t>
        </is>
      </c>
      <c r="B81" s="32" t="inlineStr">
        <is>
          <t>&lt;10x</t>
        </is>
      </c>
      <c r="C81" s="191" t="n">
        <v>2</v>
      </c>
      <c r="D81" s="198" t="n">
        <v>2.4</v>
      </c>
      <c r="E81" s="193" t="n">
        <v>50</v>
      </c>
      <c r="G81" s="71" t="inlineStr">
        <is>
          <t>Insurance|&lt;10x</t>
        </is>
      </c>
    </row>
    <row r="82">
      <c r="A82" s="32" t="inlineStr">
        <is>
          <t>Insurance</t>
        </is>
      </c>
      <c r="B82" s="32" t="inlineStr">
        <is>
          <t>&gt;=1000x</t>
        </is>
      </c>
      <c r="C82" s="191" t="n">
        <v>1</v>
      </c>
      <c r="D82" s="198" t="n">
        <v>158.8</v>
      </c>
      <c r="E82" s="193" t="n">
        <v>100</v>
      </c>
      <c r="G82" s="71" t="inlineStr">
        <is>
          <t>Insurance|&gt;=1000x</t>
        </is>
      </c>
    </row>
    <row r="83">
      <c r="A83" s="32" t="inlineStr">
        <is>
          <t>Internet &amp; fintech</t>
        </is>
      </c>
      <c r="B83" s="32" t="inlineStr">
        <is>
          <t>10-100x</t>
        </is>
      </c>
      <c r="C83" s="191" t="n">
        <v>10</v>
      </c>
      <c r="D83" s="198" t="n">
        <v>0.4</v>
      </c>
      <c r="E83" s="193" t="n">
        <v>50</v>
      </c>
      <c r="G83" s="71" t="inlineStr">
        <is>
          <t>Internet &amp; fintech|10-100x</t>
        </is>
      </c>
    </row>
    <row r="84">
      <c r="A84" s="32" t="inlineStr">
        <is>
          <t>Internet &amp; fintech</t>
        </is>
      </c>
      <c r="B84" s="32" t="inlineStr">
        <is>
          <t>100-1000x</t>
        </is>
      </c>
      <c r="C84" s="191" t="n">
        <v>8</v>
      </c>
      <c r="D84" s="198" t="n">
        <v>-0.6</v>
      </c>
      <c r="E84" s="193" t="n">
        <v>25</v>
      </c>
      <c r="G84" s="71" t="inlineStr">
        <is>
          <t>Internet &amp; fintech|100-1000x</t>
        </is>
      </c>
    </row>
    <row r="85">
      <c r="A85" s="32" t="inlineStr">
        <is>
          <t>Internet &amp; fintech</t>
        </is>
      </c>
      <c r="B85" s="32" t="inlineStr">
        <is>
          <t>&lt;10x</t>
        </is>
      </c>
      <c r="C85" s="191" t="n">
        <v>10</v>
      </c>
      <c r="D85" s="198" t="n">
        <v>-1.1</v>
      </c>
      <c r="E85" s="193" t="n">
        <v>50</v>
      </c>
      <c r="G85" s="71" t="inlineStr">
        <is>
          <t>Internet &amp; fintech|&lt;10x</t>
        </is>
      </c>
    </row>
    <row r="86">
      <c r="A86" s="32" t="inlineStr">
        <is>
          <t>Internet &amp; fintech</t>
        </is>
      </c>
      <c r="B86" s="32" t="inlineStr">
        <is>
          <t>&gt;=1000x</t>
        </is>
      </c>
      <c r="C86" s="191" t="n">
        <v>2</v>
      </c>
      <c r="D86" s="198" t="n">
        <v>124.8</v>
      </c>
      <c r="E86" s="193" t="n">
        <v>100</v>
      </c>
      <c r="G86" s="71" t="inlineStr">
        <is>
          <t>Internet &amp; fintech|&gt;=1000x</t>
        </is>
      </c>
    </row>
    <row r="87">
      <c r="A87" s="32" t="inlineStr">
        <is>
          <t>Logistics</t>
        </is>
      </c>
      <c r="B87" s="32" t="inlineStr">
        <is>
          <t>10-100x</t>
        </is>
      </c>
      <c r="C87" s="191" t="n">
        <v>4</v>
      </c>
      <c r="D87" s="198" t="n">
        <v>-1</v>
      </c>
      <c r="E87" s="193" t="n">
        <v>25</v>
      </c>
      <c r="G87" s="71" t="inlineStr">
        <is>
          <t>Logistics|10-100x</t>
        </is>
      </c>
    </row>
    <row r="88">
      <c r="A88" s="32" t="inlineStr">
        <is>
          <t>Logistics</t>
        </is>
      </c>
      <c r="B88" s="32" t="inlineStr">
        <is>
          <t>100-1000x</t>
        </is>
      </c>
      <c r="C88" s="191" t="n">
        <v>3</v>
      </c>
      <c r="D88" s="198" t="n">
        <v>3.3</v>
      </c>
      <c r="E88" s="193" t="n">
        <v>67</v>
      </c>
      <c r="G88" s="71" t="inlineStr">
        <is>
          <t>Logistics|100-1000x</t>
        </is>
      </c>
    </row>
    <row r="89">
      <c r="A89" s="32" t="inlineStr">
        <is>
          <t>Logistics</t>
        </is>
      </c>
      <c r="B89" s="32" t="inlineStr">
        <is>
          <t>&lt;10x</t>
        </is>
      </c>
      <c r="C89" s="191" t="n">
        <v>6</v>
      </c>
      <c r="D89" s="198" t="n">
        <v>-4.9</v>
      </c>
      <c r="E89" s="193" t="n">
        <v>0</v>
      </c>
      <c r="G89" s="71" t="inlineStr">
        <is>
          <t>Logistics|&lt;10x</t>
        </is>
      </c>
    </row>
    <row r="90">
      <c r="A90" s="32" t="inlineStr">
        <is>
          <t>Logistics</t>
        </is>
      </c>
      <c r="B90" s="32" t="inlineStr">
        <is>
          <t>&gt;=1000x</t>
        </is>
      </c>
      <c r="C90" s="191" t="n">
        <v>2</v>
      </c>
      <c r="D90" s="198" t="n">
        <v>-21.7</v>
      </c>
      <c r="E90" s="193" t="n">
        <v>50</v>
      </c>
      <c r="G90" s="71" t="inlineStr">
        <is>
          <t>Logistics|&gt;=1000x</t>
        </is>
      </c>
    </row>
    <row r="91">
      <c r="A91" s="32" t="inlineStr">
        <is>
          <t>Media / advertising</t>
        </is>
      </c>
      <c r="B91" s="32" t="inlineStr">
        <is>
          <t>10-100x</t>
        </is>
      </c>
      <c r="C91" s="191" t="n">
        <v>6</v>
      </c>
      <c r="D91" s="198" t="n">
        <v>38.2</v>
      </c>
      <c r="E91" s="193" t="n">
        <v>100</v>
      </c>
      <c r="G91" s="71" t="inlineStr">
        <is>
          <t>Media / advertising|10-100x</t>
        </is>
      </c>
    </row>
    <row r="92">
      <c r="A92" s="32" t="inlineStr">
        <is>
          <t>Media / advertising</t>
        </is>
      </c>
      <c r="B92" s="32" t="inlineStr">
        <is>
          <t>100-1000x</t>
        </is>
      </c>
      <c r="C92" s="191" t="n">
        <v>2</v>
      </c>
      <c r="D92" s="198" t="n">
        <v>41.8</v>
      </c>
      <c r="E92" s="193" t="n">
        <v>50</v>
      </c>
      <c r="G92" s="71" t="inlineStr">
        <is>
          <t>Media / advertising|100-1000x</t>
        </is>
      </c>
    </row>
    <row r="93">
      <c r="A93" s="32" t="inlineStr">
        <is>
          <t>Media / advertising</t>
        </is>
      </c>
      <c r="B93" s="32" t="inlineStr">
        <is>
          <t>&lt;10x</t>
        </is>
      </c>
      <c r="C93" s="191" t="n">
        <v>9</v>
      </c>
      <c r="D93" s="198" t="n">
        <v>-2.7</v>
      </c>
      <c r="E93" s="193" t="n">
        <v>44</v>
      </c>
      <c r="G93" s="71" t="inlineStr">
        <is>
          <t>Media / advertising|&lt;10x</t>
        </is>
      </c>
    </row>
    <row r="94">
      <c r="A94" s="32" t="inlineStr">
        <is>
          <t>Media / advertising</t>
        </is>
      </c>
      <c r="B94" s="32" t="inlineStr">
        <is>
          <t>&gt;=1000x</t>
        </is>
      </c>
      <c r="C94" s="191" t="n">
        <v>2</v>
      </c>
      <c r="D94" s="198" t="n">
        <v>-6.7</v>
      </c>
      <c r="E94" s="193" t="n">
        <v>50</v>
      </c>
      <c r="G94" s="71" t="inlineStr">
        <is>
          <t>Media / advertising|&gt;=1000x</t>
        </is>
      </c>
    </row>
    <row r="95">
      <c r="A95" s="32" t="inlineStr">
        <is>
          <t>Medical devices</t>
        </is>
      </c>
      <c r="B95" s="32" t="inlineStr">
        <is>
          <t>10-100x</t>
        </is>
      </c>
      <c r="C95" s="191" t="n">
        <v>4</v>
      </c>
      <c r="D95" s="198" t="n">
        <v>1.6</v>
      </c>
      <c r="E95" s="193" t="n">
        <v>50</v>
      </c>
      <c r="G95" s="71" t="inlineStr">
        <is>
          <t>Medical devices|10-100x</t>
        </is>
      </c>
    </row>
    <row r="96">
      <c r="A96" s="32" t="inlineStr">
        <is>
          <t>Medical devices</t>
        </is>
      </c>
      <c r="B96" s="32" t="inlineStr">
        <is>
          <t>100-1000x</t>
        </is>
      </c>
      <c r="C96" s="191" t="n">
        <v>7</v>
      </c>
      <c r="D96" s="198" t="n">
        <v>-1.1</v>
      </c>
      <c r="E96" s="193" t="n">
        <v>43</v>
      </c>
      <c r="G96" s="71" t="inlineStr">
        <is>
          <t>Medical devices|100-1000x</t>
        </is>
      </c>
    </row>
    <row r="97">
      <c r="A97" s="32" t="inlineStr">
        <is>
          <t>Medical devices</t>
        </is>
      </c>
      <c r="B97" s="32" t="inlineStr">
        <is>
          <t>&lt;10x</t>
        </is>
      </c>
      <c r="C97" s="191" t="n">
        <v>9</v>
      </c>
      <c r="D97" s="198" t="n">
        <v>0</v>
      </c>
      <c r="E97" s="193" t="n">
        <v>33</v>
      </c>
      <c r="G97" s="71" t="inlineStr">
        <is>
          <t>Medical devices|&lt;10x</t>
        </is>
      </c>
    </row>
    <row r="98">
      <c r="A98" s="32" t="inlineStr">
        <is>
          <t>Medical devices</t>
        </is>
      </c>
      <c r="B98" s="32" t="inlineStr">
        <is>
          <t>&gt;=1000x</t>
        </is>
      </c>
      <c r="C98" s="191" t="n">
        <v>6</v>
      </c>
      <c r="D98" s="198" t="n">
        <v>115</v>
      </c>
      <c r="E98" s="193" t="n">
        <v>100</v>
      </c>
      <c r="G98" s="71" t="inlineStr">
        <is>
          <t>Medical devices|&gt;=1000x</t>
        </is>
      </c>
    </row>
    <row r="99">
      <c r="A99" s="32" t="inlineStr">
        <is>
          <t>Mining / metals</t>
        </is>
      </c>
      <c r="B99" s="32" t="inlineStr">
        <is>
          <t>10-100x</t>
        </is>
      </c>
      <c r="C99" s="191" t="n">
        <v>1</v>
      </c>
      <c r="D99" s="198" t="n">
        <v>143.1</v>
      </c>
      <c r="E99" s="193" t="n">
        <v>100</v>
      </c>
      <c r="G99" s="71" t="inlineStr">
        <is>
          <t>Mining / metals|10-100x</t>
        </is>
      </c>
    </row>
    <row r="100">
      <c r="A100" s="32" t="inlineStr">
        <is>
          <t>Mining / metals</t>
        </is>
      </c>
      <c r="B100" s="32" t="inlineStr">
        <is>
          <t>100-1000x</t>
        </is>
      </c>
      <c r="C100" s="191" t="n">
        <v>3</v>
      </c>
      <c r="D100" s="198" t="n">
        <v>32.8</v>
      </c>
      <c r="E100" s="193" t="n">
        <v>100</v>
      </c>
      <c r="G100" s="71" t="inlineStr">
        <is>
          <t>Mining / metals|100-1000x</t>
        </is>
      </c>
    </row>
    <row r="101">
      <c r="A101" s="32" t="inlineStr">
        <is>
          <t>Mining / metals</t>
        </is>
      </c>
      <c r="B101" s="32" t="inlineStr">
        <is>
          <t>&lt;10x</t>
        </is>
      </c>
      <c r="C101" s="191" t="n">
        <v>6</v>
      </c>
      <c r="D101" s="198" t="n">
        <v>0</v>
      </c>
      <c r="E101" s="193" t="n">
        <v>17</v>
      </c>
      <c r="G101" s="71" t="inlineStr">
        <is>
          <t>Mining / metals|&lt;10x</t>
        </is>
      </c>
    </row>
    <row r="102">
      <c r="A102" s="32" t="inlineStr">
        <is>
          <t>Mining / metals</t>
        </is>
      </c>
      <c r="B102" s="32" t="inlineStr">
        <is>
          <t>&gt;=1000x</t>
        </is>
      </c>
      <c r="C102" s="191" t="n">
        <v>3</v>
      </c>
      <c r="D102" s="198" t="n">
        <v>90.7</v>
      </c>
      <c r="E102" s="193" t="n">
        <v>100</v>
      </c>
      <c r="G102" s="71" t="inlineStr">
        <is>
          <t>Mining / metals|&gt;=1000x</t>
        </is>
      </c>
    </row>
    <row r="103">
      <c r="A103" s="32" t="inlineStr">
        <is>
          <t>Oil &amp; gas / utilities</t>
        </is>
      </c>
      <c r="B103" s="32" t="inlineStr">
        <is>
          <t>10-100x</t>
        </is>
      </c>
      <c r="C103" s="191" t="n">
        <v>2</v>
      </c>
      <c r="D103" s="198" t="n">
        <v>15.1</v>
      </c>
      <c r="E103" s="193" t="n">
        <v>50</v>
      </c>
      <c r="G103" s="71" t="inlineStr">
        <is>
          <t>Oil &amp; gas / utilities|10-100x</t>
        </is>
      </c>
    </row>
    <row r="104">
      <c r="A104" s="32" t="inlineStr">
        <is>
          <t>Oil &amp; gas / utilities</t>
        </is>
      </c>
      <c r="B104" s="32" t="inlineStr">
        <is>
          <t>&lt;10x</t>
        </is>
      </c>
      <c r="C104" s="191" t="n">
        <v>3</v>
      </c>
      <c r="D104" s="198" t="n">
        <v>0</v>
      </c>
      <c r="E104" s="193" t="n">
        <v>0</v>
      </c>
      <c r="G104" s="71" t="inlineStr">
        <is>
          <t>Oil &amp; gas / utilities|&lt;10x</t>
        </is>
      </c>
    </row>
    <row r="105">
      <c r="A105" s="32" t="inlineStr">
        <is>
          <t>Property management</t>
        </is>
      </c>
      <c r="B105" s="32" t="inlineStr">
        <is>
          <t>10-100x</t>
        </is>
      </c>
      <c r="C105" s="191" t="n">
        <v>4</v>
      </c>
      <c r="D105" s="198" t="n">
        <v>-0.4</v>
      </c>
      <c r="E105" s="193" t="n">
        <v>50</v>
      </c>
      <c r="G105" s="71" t="inlineStr">
        <is>
          <t>Property management|10-100x</t>
        </is>
      </c>
    </row>
    <row r="106">
      <c r="A106" s="32" t="inlineStr">
        <is>
          <t>Property management</t>
        </is>
      </c>
      <c r="B106" s="32" t="inlineStr">
        <is>
          <t>100-1000x</t>
        </is>
      </c>
      <c r="C106" s="191" t="n">
        <v>2</v>
      </c>
      <c r="D106" s="198" t="n">
        <v>-3.9</v>
      </c>
      <c r="E106" s="193" t="n">
        <v>50</v>
      </c>
      <c r="G106" s="71" t="inlineStr">
        <is>
          <t>Property management|100-1000x</t>
        </is>
      </c>
    </row>
    <row r="107">
      <c r="A107" s="32" t="inlineStr">
        <is>
          <t>Property management</t>
        </is>
      </c>
      <c r="B107" s="32" t="inlineStr">
        <is>
          <t>&lt;10x</t>
        </is>
      </c>
      <c r="C107" s="191" t="n">
        <v>17</v>
      </c>
      <c r="D107" s="198" t="n">
        <v>0</v>
      </c>
      <c r="E107" s="193" t="n">
        <v>29</v>
      </c>
      <c r="G107" s="71" t="inlineStr">
        <is>
          <t>Property management|&lt;10x</t>
        </is>
      </c>
    </row>
    <row r="108">
      <c r="A108" s="32" t="inlineStr">
        <is>
          <t>Property management</t>
        </is>
      </c>
      <c r="B108" s="32" t="inlineStr">
        <is>
          <t>&gt;=1000x</t>
        </is>
      </c>
      <c r="C108" s="191" t="n">
        <v>1</v>
      </c>
      <c r="D108" s="198" t="n">
        <v>36.2</v>
      </c>
      <c r="E108" s="193" t="n">
        <v>100</v>
      </c>
      <c r="G108" s="71" t="inlineStr">
        <is>
          <t>Property management|&gt;=1000x</t>
        </is>
      </c>
    </row>
    <row r="109">
      <c r="A109" s="32" t="inlineStr">
        <is>
          <t>REITs / asset-light</t>
        </is>
      </c>
      <c r="B109" s="32" t="inlineStr">
        <is>
          <t>&lt;10x</t>
        </is>
      </c>
      <c r="C109" s="191" t="n">
        <v>1</v>
      </c>
      <c r="D109" s="198" t="n">
        <v>-16.5</v>
      </c>
      <c r="E109" s="193" t="n">
        <v>0</v>
      </c>
      <c r="G109" s="71" t="inlineStr">
        <is>
          <t>REITs / asset-light|&lt;10x</t>
        </is>
      </c>
    </row>
    <row r="110">
      <c r="A110" s="32" t="inlineStr">
        <is>
          <t>Retail / distribution</t>
        </is>
      </c>
      <c r="B110" s="32" t="inlineStr">
        <is>
          <t>10-100x</t>
        </is>
      </c>
      <c r="C110" s="191" t="n">
        <v>6</v>
      </c>
      <c r="D110" s="198" t="n">
        <v>16.1</v>
      </c>
      <c r="E110" s="193" t="n">
        <v>67</v>
      </c>
      <c r="G110" s="71" t="inlineStr">
        <is>
          <t>Retail / distribution|10-100x</t>
        </is>
      </c>
    </row>
    <row r="111">
      <c r="A111" s="32" t="inlineStr">
        <is>
          <t>Retail / distribution</t>
        </is>
      </c>
      <c r="B111" s="32" t="inlineStr">
        <is>
          <t>100-1000x</t>
        </is>
      </c>
      <c r="C111" s="191" t="n">
        <v>2</v>
      </c>
      <c r="D111" s="198" t="n">
        <v>-9.4</v>
      </c>
      <c r="E111" s="193" t="n">
        <v>50</v>
      </c>
      <c r="G111" s="71" t="inlineStr">
        <is>
          <t>Retail / distribution|100-1000x</t>
        </is>
      </c>
    </row>
    <row r="112">
      <c r="A112" s="32" t="inlineStr">
        <is>
          <t>Retail / distribution</t>
        </is>
      </c>
      <c r="B112" s="32" t="inlineStr">
        <is>
          <t>&lt;10x</t>
        </is>
      </c>
      <c r="C112" s="191" t="n">
        <v>4</v>
      </c>
      <c r="D112" s="198" t="n">
        <v>0</v>
      </c>
      <c r="E112" s="193" t="n">
        <v>0</v>
      </c>
      <c r="G112" s="71" t="inlineStr">
        <is>
          <t>Retail / distribution|&lt;10x</t>
        </is>
      </c>
    </row>
    <row r="113">
      <c r="A113" s="32" t="inlineStr">
        <is>
          <t>Retail / distribution</t>
        </is>
      </c>
      <c r="B113" s="32" t="inlineStr">
        <is>
          <t>&gt;=1000x</t>
        </is>
      </c>
      <c r="C113" s="191" t="n">
        <v>5</v>
      </c>
      <c r="D113" s="198" t="n">
        <v>44</v>
      </c>
      <c r="E113" s="193" t="n">
        <v>100</v>
      </c>
      <c r="G113" s="71" t="inlineStr">
        <is>
          <t>Retail / distribution|&gt;=1000x</t>
        </is>
      </c>
    </row>
    <row r="114">
      <c r="A114" s="32" t="inlineStr">
        <is>
          <t>Robotics &amp; autonomous driving</t>
        </is>
      </c>
      <c r="B114" s="32" t="inlineStr">
        <is>
          <t>10-100x</t>
        </is>
      </c>
      <c r="C114" s="191" t="n">
        <v>4</v>
      </c>
      <c r="D114" s="198" t="n">
        <v>-11.5</v>
      </c>
      <c r="E114" s="193" t="n">
        <v>25</v>
      </c>
      <c r="G114" s="71" t="inlineStr">
        <is>
          <t>Robotics &amp; autonomous driving|10-100x</t>
        </is>
      </c>
    </row>
    <row r="115">
      <c r="A115" s="32" t="inlineStr">
        <is>
          <t>Robotics &amp; autonomous driving</t>
        </is>
      </c>
      <c r="B115" s="32" t="inlineStr">
        <is>
          <t>100-1000x</t>
        </is>
      </c>
      <c r="C115" s="191" t="n">
        <v>8</v>
      </c>
      <c r="D115" s="198" t="n">
        <v>8.699999999999999</v>
      </c>
      <c r="E115" s="193" t="n">
        <v>88</v>
      </c>
      <c r="G115" s="71" t="inlineStr">
        <is>
          <t>Robotics &amp; autonomous driving|100-1000x</t>
        </is>
      </c>
    </row>
    <row r="116">
      <c r="A116" s="32" t="inlineStr">
        <is>
          <t>Robotics &amp; autonomous driving</t>
        </is>
      </c>
      <c r="B116" s="32" t="inlineStr">
        <is>
          <t>&lt;10x</t>
        </is>
      </c>
      <c r="C116" s="191" t="n">
        <v>6</v>
      </c>
      <c r="D116" s="198" t="n">
        <v>0.4</v>
      </c>
      <c r="E116" s="193" t="n">
        <v>50</v>
      </c>
      <c r="G116" s="71" t="inlineStr">
        <is>
          <t>Robotics &amp; autonomous driving|&lt;10x</t>
        </is>
      </c>
    </row>
    <row r="117">
      <c r="A117" s="32" t="inlineStr">
        <is>
          <t>Robotics &amp; autonomous driving</t>
        </is>
      </c>
      <c r="B117" s="32" t="inlineStr">
        <is>
          <t>&gt;=1000x</t>
        </is>
      </c>
      <c r="C117" s="191" t="n">
        <v>8</v>
      </c>
      <c r="D117" s="198" t="n">
        <v>17.1</v>
      </c>
      <c r="E117" s="193" t="n">
        <v>75</v>
      </c>
      <c r="G117" s="71" t="inlineStr">
        <is>
          <t>Robotics &amp; autonomous driving|&gt;=1000x</t>
        </is>
      </c>
    </row>
    <row r="118">
      <c r="A118" s="32" t="inlineStr">
        <is>
          <t>Semiconductors</t>
        </is>
      </c>
      <c r="B118" s="32" t="inlineStr">
        <is>
          <t>10-100x</t>
        </is>
      </c>
      <c r="C118" s="191" t="n">
        <v>5</v>
      </c>
      <c r="D118" s="198" t="n">
        <v>2.8</v>
      </c>
      <c r="E118" s="193" t="n">
        <v>60</v>
      </c>
      <c r="G118" s="71" t="inlineStr">
        <is>
          <t>Semiconductors|10-100x</t>
        </is>
      </c>
    </row>
    <row r="119">
      <c r="A119" s="32" t="inlineStr">
        <is>
          <t>Semiconductors</t>
        </is>
      </c>
      <c r="B119" s="32" t="inlineStr">
        <is>
          <t>100-1000x</t>
        </is>
      </c>
      <c r="C119" s="191" t="n">
        <v>9</v>
      </c>
      <c r="D119" s="198" t="n">
        <v>8.4</v>
      </c>
      <c r="E119" s="193" t="n">
        <v>67</v>
      </c>
      <c r="G119" s="71" t="inlineStr">
        <is>
          <t>Semiconductors|100-1000x</t>
        </is>
      </c>
    </row>
    <row r="120">
      <c r="A120" s="32" t="inlineStr">
        <is>
          <t>Semiconductors</t>
        </is>
      </c>
      <c r="B120" s="32" t="inlineStr">
        <is>
          <t>&lt;10x</t>
        </is>
      </c>
      <c r="C120" s="191" t="n">
        <v>4</v>
      </c>
      <c r="D120" s="198" t="n">
        <v>-8.5</v>
      </c>
      <c r="E120" s="193" t="n">
        <v>50</v>
      </c>
      <c r="G120" s="71" t="inlineStr">
        <is>
          <t>Semiconductors|&lt;10x</t>
        </is>
      </c>
    </row>
    <row r="121">
      <c r="A121" s="32" t="inlineStr">
        <is>
          <t>Semiconductors</t>
        </is>
      </c>
      <c r="B121" s="32" t="inlineStr">
        <is>
          <t>&gt;=1000x</t>
        </is>
      </c>
      <c r="C121" s="191" t="n">
        <v>9</v>
      </c>
      <c r="D121" s="198" t="n">
        <v>75.8</v>
      </c>
      <c r="E121" s="193" t="n">
        <v>100</v>
      </c>
      <c r="G121" s="71" t="inlineStr">
        <is>
          <t>Semiconductors|&gt;=1000x</t>
        </is>
      </c>
    </row>
    <row r="122">
      <c r="A122" s="32" t="inlineStr">
        <is>
          <t>Software &amp; AI</t>
        </is>
      </c>
      <c r="B122" s="32" t="inlineStr">
        <is>
          <t>10-100x</t>
        </is>
      </c>
      <c r="C122" s="191" t="n">
        <v>12</v>
      </c>
      <c r="D122" s="198" t="n">
        <v>1.6</v>
      </c>
      <c r="E122" s="193" t="n">
        <v>67</v>
      </c>
      <c r="G122" s="71" t="inlineStr">
        <is>
          <t>Software &amp; AI|10-100x</t>
        </is>
      </c>
    </row>
    <row r="123">
      <c r="A123" s="32" t="inlineStr">
        <is>
          <t>Software &amp; AI</t>
        </is>
      </c>
      <c r="B123" s="32" t="inlineStr">
        <is>
          <t>100-1000x</t>
        </is>
      </c>
      <c r="C123" s="191" t="n">
        <v>6</v>
      </c>
      <c r="D123" s="198" t="n">
        <v>3.3</v>
      </c>
      <c r="E123" s="193" t="n">
        <v>50</v>
      </c>
      <c r="G123" s="71" t="inlineStr">
        <is>
          <t>Software &amp; AI|100-1000x</t>
        </is>
      </c>
    </row>
    <row r="124">
      <c r="A124" s="32" t="inlineStr">
        <is>
          <t>Software &amp; AI</t>
        </is>
      </c>
      <c r="B124" s="32" t="inlineStr">
        <is>
          <t>&lt;10x</t>
        </is>
      </c>
      <c r="C124" s="191" t="n">
        <v>9</v>
      </c>
      <c r="D124" s="198" t="n">
        <v>1</v>
      </c>
      <c r="E124" s="193" t="n">
        <v>56</v>
      </c>
      <c r="G124" s="71" t="inlineStr">
        <is>
          <t>Software &amp; AI|&lt;10x</t>
        </is>
      </c>
    </row>
    <row r="125">
      <c r="A125" s="32" t="inlineStr">
        <is>
          <t>Software &amp; AI</t>
        </is>
      </c>
      <c r="B125" s="32" t="inlineStr">
        <is>
          <t>&gt;=1000x</t>
        </is>
      </c>
      <c r="C125" s="191" t="n">
        <v>17</v>
      </c>
      <c r="D125" s="198" t="n">
        <v>117.9</v>
      </c>
      <c r="E125" s="193" t="n">
        <v>94</v>
      </c>
      <c r="G125" s="71" t="inlineStr">
        <is>
          <t>Software &amp; AI|&gt;=1000x</t>
        </is>
      </c>
    </row>
    <row r="126">
      <c r="A126" s="32" t="inlineStr">
        <is>
          <t>Solar / wind supply chain</t>
        </is>
      </c>
      <c r="B126" s="32" t="inlineStr">
        <is>
          <t>100-1000x</t>
        </is>
      </c>
      <c r="C126" s="191" t="n">
        <v>1</v>
      </c>
      <c r="D126" s="198" t="n">
        <v>0</v>
      </c>
      <c r="E126" s="193" t="n">
        <v>0</v>
      </c>
      <c r="G126" s="71" t="inlineStr">
        <is>
          <t>Solar / wind supply chain|100-1000x</t>
        </is>
      </c>
    </row>
    <row r="127">
      <c r="A127" s="32" t="inlineStr">
        <is>
          <t>Solar / wind supply chain</t>
        </is>
      </c>
      <c r="B127" s="32" t="inlineStr">
        <is>
          <t>&lt;10x</t>
        </is>
      </c>
      <c r="C127" s="191" t="n">
        <v>1</v>
      </c>
      <c r="D127" s="198" t="n">
        <v>20.1</v>
      </c>
      <c r="E127" s="193" t="n">
        <v>100</v>
      </c>
      <c r="G127" s="71" t="inlineStr">
        <is>
          <t>Solar / wind supply chain|&lt;10x</t>
        </is>
      </c>
    </row>
    <row r="128">
      <c r="A128" s="32" t="inlineStr">
        <is>
          <t>TCM</t>
        </is>
      </c>
      <c r="B128" s="32" t="inlineStr">
        <is>
          <t>10-100x</t>
        </is>
      </c>
      <c r="C128" s="191" t="n">
        <v>1</v>
      </c>
      <c r="D128" s="198" t="n">
        <v>6.8</v>
      </c>
      <c r="E128" s="193" t="n">
        <v>100</v>
      </c>
      <c r="G128" s="71" t="inlineStr">
        <is>
          <t>TCM|10-100x</t>
        </is>
      </c>
    </row>
    <row r="129">
      <c r="A129" s="32" t="inlineStr">
        <is>
          <t>TCM</t>
        </is>
      </c>
      <c r="B129" s="32" t="inlineStr">
        <is>
          <t>100-1000x</t>
        </is>
      </c>
      <c r="C129" s="191" t="n">
        <v>1</v>
      </c>
      <c r="D129" s="198" t="n">
        <v>-39.1</v>
      </c>
      <c r="E129" s="193" t="n">
        <v>0</v>
      </c>
      <c r="G129" s="71" t="inlineStr">
        <is>
          <t>TCM|100-1000x</t>
        </is>
      </c>
    </row>
    <row r="130">
      <c r="A130" s="32" t="inlineStr">
        <is>
          <t>TCM</t>
        </is>
      </c>
      <c r="B130" s="32" t="inlineStr">
        <is>
          <t>&lt;10x</t>
        </is>
      </c>
      <c r="C130" s="191" t="n">
        <v>1</v>
      </c>
      <c r="D130" s="198" t="n">
        <v>0</v>
      </c>
      <c r="E130" s="193" t="n">
        <v>0</v>
      </c>
      <c r="G130" s="71" t="inlineStr">
        <is>
          <t>TCM|&lt;10x</t>
        </is>
      </c>
    </row>
    <row r="131">
      <c r="A131" s="32" t="inlineStr">
        <is>
          <t>TCM</t>
        </is>
      </c>
      <c r="B131" s="32" t="inlineStr">
        <is>
          <t>&gt;=1000x</t>
        </is>
      </c>
      <c r="C131" s="191" t="n">
        <v>1</v>
      </c>
      <c r="D131" s="198" t="n">
        <v>10.4</v>
      </c>
      <c r="E131" s="193" t="n">
        <v>100</v>
      </c>
      <c r="G131" s="71" t="inlineStr">
        <is>
          <t>TCM|&gt;=1000x</t>
        </is>
      </c>
    </row>
    <row r="132">
      <c r="A132" s="32" t="inlineStr">
        <is>
          <t>Telecom</t>
        </is>
      </c>
      <c r="B132" s="32" t="inlineStr">
        <is>
          <t>100-1000x</t>
        </is>
      </c>
      <c r="C132" s="191" t="n">
        <v>1</v>
      </c>
      <c r="D132" s="198" t="n">
        <v>-46.4</v>
      </c>
      <c r="E132" s="193" t="n">
        <v>0</v>
      </c>
      <c r="G132" s="71" t="inlineStr">
        <is>
          <t>Telecom|100-1000x</t>
        </is>
      </c>
    </row>
    <row r="133">
      <c r="A133" s="32" t="inlineStr">
        <is>
          <t>Telecom</t>
        </is>
      </c>
      <c r="B133" s="32" t="inlineStr">
        <is>
          <t>&lt;10x</t>
        </is>
      </c>
      <c r="C133" s="191" t="n">
        <v>1</v>
      </c>
      <c r="D133" s="198" t="n">
        <v>-11.2</v>
      </c>
      <c r="E133" s="193" t="n">
        <v>0</v>
      </c>
      <c r="G133" s="71" t="inlineStr">
        <is>
          <t>Telecom|&lt;10x</t>
        </is>
      </c>
    </row>
    <row r="134"/>
    <row r="135">
      <c r="A135" s="190" t="inlineStr">
        <is>
          <t>BY SUBSECTOR (any subscription)</t>
        </is>
      </c>
    </row>
    <row r="136" ht="30" customHeight="1">
      <c r="A136" s="26" t="inlineStr">
        <is>
          <t>Subsector</t>
        </is>
      </c>
      <c r="B136" s="26" t="inlineStr">
        <is>
          <t>n</t>
        </is>
      </c>
      <c r="C136" s="26" t="inlineStr">
        <is>
          <t>Median day-1</t>
        </is>
      </c>
      <c r="D136" s="26" t="inlineStr">
        <is>
          <t>Hit-rate</t>
        </is>
      </c>
      <c r="E136" s="26" t="inlineStr">
        <is>
          <t>Median P/E</t>
        </is>
      </c>
      <c r="F136" s="26" t="inlineStr">
        <is>
          <t>Median P/S</t>
        </is>
      </c>
      <c r="G136" s="26" t="inlineStr">
        <is>
          <t>n P/E</t>
        </is>
      </c>
      <c r="H136" s="26" t="inlineStr">
        <is>
          <t>n P/S</t>
        </is>
      </c>
    </row>
    <row r="137">
      <c r="A137" s="32" t="inlineStr">
        <is>
          <t>Apparel / luxury</t>
        </is>
      </c>
      <c r="B137" s="191" t="n">
        <v>6</v>
      </c>
      <c r="C137" s="198" t="n">
        <v>16.2</v>
      </c>
      <c r="D137" s="193" t="n">
        <v>67</v>
      </c>
      <c r="E137" s="199" t="n">
        <v>16.2</v>
      </c>
      <c r="F137" s="199" t="n">
        <v>1.2</v>
      </c>
      <c r="G137" s="191" t="n">
        <v>6</v>
      </c>
      <c r="H137" s="191" t="n">
        <v>4</v>
      </c>
    </row>
    <row r="138">
      <c r="A138" s="32" t="inlineStr">
        <is>
          <t>Auto parts / supply chain</t>
        </is>
      </c>
      <c r="B138" s="191" t="n">
        <v>9</v>
      </c>
      <c r="C138" s="198" t="n">
        <v>2.1</v>
      </c>
      <c r="D138" s="193" t="n">
        <v>56</v>
      </c>
      <c r="E138" s="199" t="n">
        <v>18.3</v>
      </c>
      <c r="F138" s="199" t="n">
        <v>3</v>
      </c>
      <c r="G138" s="191" t="n">
        <v>5</v>
      </c>
      <c r="H138" s="191" t="n">
        <v>9</v>
      </c>
    </row>
    <row r="139">
      <c r="A139" s="32" t="inlineStr">
        <is>
          <t>Autos (NEV OEM)</t>
        </is>
      </c>
      <c r="B139" s="191" t="n">
        <v>6</v>
      </c>
      <c r="C139" s="198" t="n">
        <v>0</v>
      </c>
      <c r="D139" s="193" t="n">
        <v>33</v>
      </c>
      <c r="E139" s="199" t="n">
        <v>18.1</v>
      </c>
      <c r="F139" s="199" t="n">
        <v>1.4</v>
      </c>
      <c r="G139" s="191" t="n">
        <v>2</v>
      </c>
      <c r="H139" s="191" t="n">
        <v>5</v>
      </c>
    </row>
    <row r="140">
      <c r="A140" s="32" t="inlineStr">
        <is>
          <t>Banks</t>
        </is>
      </c>
      <c r="B140" s="191" t="n">
        <v>2</v>
      </c>
      <c r="C140" s="198" t="n">
        <v>2.5</v>
      </c>
      <c r="D140" s="193" t="n">
        <v>100</v>
      </c>
      <c r="E140" s="199" t="n">
        <v>20.1</v>
      </c>
      <c r="F140" s="199" t="n">
        <v>4.4</v>
      </c>
      <c r="G140" s="191" t="n">
        <v>1</v>
      </c>
      <c r="H140" s="191" t="n">
        <v>1</v>
      </c>
    </row>
    <row r="141">
      <c r="A141" s="32" t="inlineStr">
        <is>
          <t>Batteries / energy storage</t>
        </is>
      </c>
      <c r="B141" s="191" t="n">
        <v>13</v>
      </c>
      <c r="C141" s="198" t="n">
        <v>1.4</v>
      </c>
      <c r="D141" s="193" t="n">
        <v>69</v>
      </c>
      <c r="E141" s="199" t="n">
        <v>19.8</v>
      </c>
      <c r="F141" s="199" t="n">
        <v>4.5</v>
      </c>
      <c r="G141" s="191" t="n">
        <v>5</v>
      </c>
      <c r="H141" s="191" t="n">
        <v>13</v>
      </c>
    </row>
    <row r="142">
      <c r="A142" s="32" t="inlineStr">
        <is>
          <t>Beauty / personal care</t>
        </is>
      </c>
      <c r="B142" s="191" t="n">
        <v>7</v>
      </c>
      <c r="C142" s="198" t="n">
        <v>9.300000000000001</v>
      </c>
      <c r="D142" s="193" t="n">
        <v>57</v>
      </c>
      <c r="E142" s="199" t="n">
        <v>21.3</v>
      </c>
      <c r="F142" s="199" t="n">
        <v>4.4</v>
      </c>
      <c r="G142" s="191" t="n">
        <v>6</v>
      </c>
      <c r="H142" s="191" t="n">
        <v>7</v>
      </c>
    </row>
    <row r="143">
      <c r="A143" s="32" t="inlineStr">
        <is>
          <t>Beverages / packaged food</t>
        </is>
      </c>
      <c r="B143" s="191" t="n">
        <v>25</v>
      </c>
      <c r="C143" s="198" t="n">
        <v>1.5</v>
      </c>
      <c r="D143" s="193" t="n">
        <v>56</v>
      </c>
      <c r="E143" s="199" t="n">
        <v>18.1</v>
      </c>
      <c r="F143" s="199" t="n">
        <v>2.3</v>
      </c>
      <c r="G143" s="191" t="n">
        <v>24</v>
      </c>
      <c r="H143" s="191" t="n">
        <v>25</v>
      </c>
    </row>
    <row r="144">
      <c r="A144" s="32" t="inlineStr">
        <is>
          <t>Biopharma commercial</t>
        </is>
      </c>
      <c r="B144" s="191" t="n">
        <v>9</v>
      </c>
      <c r="C144" s="198" t="n">
        <v>25.2</v>
      </c>
      <c r="D144" s="193" t="n">
        <v>78</v>
      </c>
      <c r="E144" s="199" t="n">
        <v>28.6</v>
      </c>
      <c r="F144" s="199" t="n">
        <v>11.3</v>
      </c>
      <c r="G144" s="191" t="n">
        <v>6</v>
      </c>
      <c r="H144" s="191" t="n">
        <v>9</v>
      </c>
    </row>
    <row r="145">
      <c r="A145" s="32" t="inlineStr">
        <is>
          <t>Biotech pre-revenue (18A)</t>
        </is>
      </c>
      <c r="B145" s="191" t="n">
        <v>49</v>
      </c>
      <c r="C145" s="198" t="n">
        <v>7.7</v>
      </c>
      <c r="D145" s="193" t="n">
        <v>69</v>
      </c>
      <c r="E145" s="200" t="n"/>
      <c r="F145" s="199" t="n">
        <v>25.7</v>
      </c>
      <c r="G145" s="191" t="n">
        <v>0</v>
      </c>
      <c r="H145" s="191" t="n">
        <v>9</v>
      </c>
    </row>
    <row r="146">
      <c r="A146" s="32" t="inlineStr">
        <is>
          <t>Brokers / asset management</t>
        </is>
      </c>
      <c r="B146" s="191" t="n">
        <v>4</v>
      </c>
      <c r="C146" s="198" t="n">
        <v>-14.3</v>
      </c>
      <c r="D146" s="193" t="n">
        <v>25</v>
      </c>
      <c r="E146" s="199" t="n">
        <v>20.8</v>
      </c>
      <c r="F146" s="199" t="n">
        <v>5</v>
      </c>
      <c r="G146" s="191" t="n">
        <v>3</v>
      </c>
      <c r="H146" s="191" t="n">
        <v>3</v>
      </c>
    </row>
    <row r="147">
      <c r="A147" s="32" t="inlineStr">
        <is>
          <t>CXO / pharma services</t>
        </is>
      </c>
      <c r="B147" s="191" t="n">
        <v>9</v>
      </c>
      <c r="C147" s="198" t="n">
        <v>0.7</v>
      </c>
      <c r="D147" s="193" t="n">
        <v>56</v>
      </c>
      <c r="E147" s="199" t="n">
        <v>66.7</v>
      </c>
      <c r="F147" s="199" t="n">
        <v>12.4</v>
      </c>
      <c r="G147" s="191" t="n">
        <v>7</v>
      </c>
      <c r="H147" s="191" t="n">
        <v>8</v>
      </c>
    </row>
    <row r="148">
      <c r="A148" s="32" t="inlineStr">
        <is>
          <t>Capital goods / machinery</t>
        </is>
      </c>
      <c r="B148" s="191" t="n">
        <v>18</v>
      </c>
      <c r="C148" s="198" t="n">
        <v>1.9</v>
      </c>
      <c r="D148" s="193" t="n">
        <v>61</v>
      </c>
      <c r="E148" s="199" t="n">
        <v>27.5</v>
      </c>
      <c r="F148" s="199" t="n">
        <v>5.9</v>
      </c>
      <c r="G148" s="191" t="n">
        <v>13</v>
      </c>
      <c r="H148" s="191" t="n">
        <v>17</v>
      </c>
    </row>
    <row r="149">
      <c r="A149" s="32" t="inlineStr">
        <is>
          <t>Chemicals</t>
        </is>
      </c>
      <c r="B149" s="191" t="n">
        <v>15</v>
      </c>
      <c r="C149" s="198" t="n">
        <v>0</v>
      </c>
      <c r="D149" s="193" t="n">
        <v>47</v>
      </c>
      <c r="E149" s="199" t="n">
        <v>9.4</v>
      </c>
      <c r="F149" s="199" t="n">
        <v>1.3</v>
      </c>
      <c r="G149" s="191" t="n">
        <v>13</v>
      </c>
      <c r="H149" s="191" t="n">
        <v>15</v>
      </c>
    </row>
    <row r="150">
      <c r="A150" s="32" t="inlineStr">
        <is>
          <t>Construction / engineering</t>
        </is>
      </c>
      <c r="B150" s="191" t="n">
        <v>16</v>
      </c>
      <c r="C150" s="198" t="n">
        <v>-7.5</v>
      </c>
      <c r="D150" s="193" t="n">
        <v>44</v>
      </c>
      <c r="E150" s="199" t="n">
        <v>12.2</v>
      </c>
      <c r="F150" s="199" t="n">
        <v>1.4</v>
      </c>
      <c r="G150" s="191" t="n">
        <v>15</v>
      </c>
      <c r="H150" s="191" t="n">
        <v>14</v>
      </c>
    </row>
    <row r="151">
      <c r="A151" s="32" t="inlineStr">
        <is>
          <t>Consumer services / education</t>
        </is>
      </c>
      <c r="B151" s="191" t="n">
        <v>4</v>
      </c>
      <c r="C151" s="198" t="n">
        <v>6.1</v>
      </c>
      <c r="D151" s="193" t="n">
        <v>50</v>
      </c>
      <c r="E151" s="199" t="n">
        <v>13.7</v>
      </c>
      <c r="F151" s="199" t="n">
        <v>5.3</v>
      </c>
      <c r="G151" s="191" t="n">
        <v>3</v>
      </c>
      <c r="H151" s="191" t="n">
        <v>4</v>
      </c>
    </row>
    <row r="152">
      <c r="A152" s="32" t="inlineStr">
        <is>
          <t>Data centres &amp; cloud</t>
        </is>
      </c>
      <c r="B152" s="191" t="n">
        <v>2</v>
      </c>
      <c r="C152" s="198" t="n">
        <v>-37.1</v>
      </c>
      <c r="D152" s="193" t="n">
        <v>0</v>
      </c>
      <c r="E152" s="199" t="n">
        <v>135.6</v>
      </c>
      <c r="F152" s="199" t="n">
        <v>3.2</v>
      </c>
      <c r="G152" s="191" t="n">
        <v>1</v>
      </c>
      <c r="H152" s="191" t="n">
        <v>2</v>
      </c>
    </row>
    <row r="153">
      <c r="A153" s="32" t="inlineStr">
        <is>
          <t>Developers</t>
        </is>
      </c>
      <c r="B153" s="191" t="n">
        <v>1</v>
      </c>
      <c r="C153" s="198" t="n">
        <v>0</v>
      </c>
      <c r="D153" s="193" t="n">
        <v>0</v>
      </c>
      <c r="E153" s="199" t="n">
        <v>6.9</v>
      </c>
      <c r="F153" s="199" t="n">
        <v>0.6</v>
      </c>
      <c r="G153" s="191" t="n">
        <v>1</v>
      </c>
      <c r="H153" s="191" t="n">
        <v>1</v>
      </c>
    </row>
    <row r="154">
      <c r="A154" s="32" t="inlineStr">
        <is>
          <t>Digital health</t>
        </is>
      </c>
      <c r="B154" s="191" t="n">
        <v>17</v>
      </c>
      <c r="C154" s="198" t="n">
        <v>5.5</v>
      </c>
      <c r="D154" s="193" t="n">
        <v>59</v>
      </c>
      <c r="E154" s="199" t="n">
        <v>43.7</v>
      </c>
      <c r="F154" s="199" t="n">
        <v>5.9</v>
      </c>
      <c r="G154" s="191" t="n">
        <v>5</v>
      </c>
      <c r="H154" s="191" t="n">
        <v>13</v>
      </c>
    </row>
    <row r="155">
      <c r="A155" s="32" t="inlineStr">
        <is>
          <t>F&amp;B chains / restaurants</t>
        </is>
      </c>
      <c r="B155" s="191" t="n">
        <v>10</v>
      </c>
      <c r="C155" s="198" t="n">
        <v>-3.3</v>
      </c>
      <c r="D155" s="193" t="n">
        <v>40</v>
      </c>
      <c r="E155" s="199" t="n">
        <v>20.4</v>
      </c>
      <c r="F155" s="199" t="n">
        <v>3.1</v>
      </c>
      <c r="G155" s="191" t="n">
        <v>7</v>
      </c>
      <c r="H155" s="191" t="n">
        <v>10</v>
      </c>
    </row>
    <row r="156">
      <c r="A156" s="32" t="inlineStr">
        <is>
          <t>Hardware &amp; electronics</t>
        </is>
      </c>
      <c r="B156" s="191" t="n">
        <v>31</v>
      </c>
      <c r="C156" s="198" t="n">
        <v>7.8</v>
      </c>
      <c r="D156" s="193" t="n">
        <v>68</v>
      </c>
      <c r="E156" s="199" t="n">
        <v>29.9</v>
      </c>
      <c r="F156" s="199" t="n">
        <v>2.6</v>
      </c>
      <c r="G156" s="191" t="n">
        <v>27</v>
      </c>
      <c r="H156" s="191" t="n">
        <v>29</v>
      </c>
    </row>
    <row r="157">
      <c r="A157" s="32" t="inlineStr">
        <is>
          <t>Hospitals / clinics</t>
        </is>
      </c>
      <c r="B157" s="191" t="n">
        <v>9</v>
      </c>
      <c r="C157" s="198" t="n">
        <v>0.1</v>
      </c>
      <c r="D157" s="193" t="n">
        <v>56</v>
      </c>
      <c r="E157" s="199" t="n">
        <v>42.5</v>
      </c>
      <c r="F157" s="199" t="n">
        <v>4.8</v>
      </c>
      <c r="G157" s="191" t="n">
        <v>6</v>
      </c>
      <c r="H157" s="191" t="n">
        <v>9</v>
      </c>
    </row>
    <row r="158">
      <c r="A158" s="32" t="inlineStr">
        <is>
          <t>Insurance</t>
        </is>
      </c>
      <c r="B158" s="191" t="n">
        <v>7</v>
      </c>
      <c r="C158" s="198" t="n">
        <v>4.7</v>
      </c>
      <c r="D158" s="193" t="n">
        <v>71</v>
      </c>
      <c r="E158" s="199" t="n">
        <v>17.4</v>
      </c>
      <c r="F158" s="199" t="n">
        <v>3</v>
      </c>
      <c r="G158" s="191" t="n">
        <v>3</v>
      </c>
      <c r="H158" s="191" t="n">
        <v>6</v>
      </c>
    </row>
    <row r="159">
      <c r="A159" s="32" t="inlineStr">
        <is>
          <t>Internet &amp; fintech</t>
        </is>
      </c>
      <c r="B159" s="191" t="n">
        <v>30</v>
      </c>
      <c r="C159" s="198" t="n">
        <v>0</v>
      </c>
      <c r="D159" s="193" t="n">
        <v>47</v>
      </c>
      <c r="E159" s="199" t="n">
        <v>26.3</v>
      </c>
      <c r="F159" s="199" t="n">
        <v>3.8</v>
      </c>
      <c r="G159" s="191" t="n">
        <v>14</v>
      </c>
      <c r="H159" s="191" t="n">
        <v>26</v>
      </c>
    </row>
    <row r="160">
      <c r="A160" s="32" t="inlineStr">
        <is>
          <t>Logistics</t>
        </is>
      </c>
      <c r="B160" s="191" t="n">
        <v>15</v>
      </c>
      <c r="C160" s="198" t="n">
        <v>-0.6</v>
      </c>
      <c r="D160" s="193" t="n">
        <v>27</v>
      </c>
      <c r="E160" s="199" t="n">
        <v>14.3</v>
      </c>
      <c r="F160" s="199" t="n">
        <v>1.1</v>
      </c>
      <c r="G160" s="191" t="n">
        <v>10</v>
      </c>
      <c r="H160" s="191" t="n">
        <v>15</v>
      </c>
    </row>
    <row r="161">
      <c r="A161" s="32" t="inlineStr">
        <is>
          <t>Media / advertising</t>
        </is>
      </c>
      <c r="B161" s="191" t="n">
        <v>19</v>
      </c>
      <c r="C161" s="198" t="n">
        <v>16.6</v>
      </c>
      <c r="D161" s="193" t="n">
        <v>63</v>
      </c>
      <c r="E161" s="199" t="n">
        <v>27.8</v>
      </c>
      <c r="F161" s="199" t="n">
        <v>4.3</v>
      </c>
      <c r="G161" s="191" t="n">
        <v>17</v>
      </c>
      <c r="H161" s="191" t="n">
        <v>18</v>
      </c>
    </row>
    <row r="162">
      <c r="A162" s="32" t="inlineStr">
        <is>
          <t>Medical devices</t>
        </is>
      </c>
      <c r="B162" s="191" t="n">
        <v>26</v>
      </c>
      <c r="C162" s="198" t="n">
        <v>1.4</v>
      </c>
      <c r="D162" s="193" t="n">
        <v>54</v>
      </c>
      <c r="E162" s="199" t="n">
        <v>147.8</v>
      </c>
      <c r="F162" s="199" t="n">
        <v>10.1</v>
      </c>
      <c r="G162" s="191" t="n">
        <v>6</v>
      </c>
      <c r="H162" s="191" t="n">
        <v>10</v>
      </c>
    </row>
    <row r="163">
      <c r="A163" s="32" t="inlineStr">
        <is>
          <t>Mining / metals</t>
        </is>
      </c>
      <c r="B163" s="191" t="n">
        <v>13</v>
      </c>
      <c r="C163" s="198" t="n">
        <v>2.2</v>
      </c>
      <c r="D163" s="193" t="n">
        <v>62</v>
      </c>
      <c r="E163" s="199" t="n">
        <v>17.9</v>
      </c>
      <c r="F163" s="199" t="n">
        <v>2.7</v>
      </c>
      <c r="G163" s="191" t="n">
        <v>11</v>
      </c>
      <c r="H163" s="191" t="n">
        <v>12</v>
      </c>
    </row>
    <row r="164">
      <c r="A164" s="32" t="inlineStr">
        <is>
          <t>Oil &amp; gas / utilities</t>
        </is>
      </c>
      <c r="B164" s="191" t="n">
        <v>5</v>
      </c>
      <c r="C164" s="198" t="n">
        <v>0</v>
      </c>
      <c r="D164" s="193" t="n">
        <v>20</v>
      </c>
      <c r="E164" s="199" t="n">
        <v>9.300000000000001</v>
      </c>
      <c r="F164" s="199" t="n">
        <v>0.7</v>
      </c>
      <c r="G164" s="191" t="n">
        <v>5</v>
      </c>
      <c r="H164" s="191" t="n">
        <v>5</v>
      </c>
    </row>
    <row r="165">
      <c r="A165" s="32" t="inlineStr">
        <is>
          <t>Property management</t>
        </is>
      </c>
      <c r="B165" s="191" t="n">
        <v>24</v>
      </c>
      <c r="C165" s="198" t="n">
        <v>0</v>
      </c>
      <c r="D165" s="193" t="n">
        <v>38</v>
      </c>
      <c r="E165" s="199" t="n">
        <v>16.1</v>
      </c>
      <c r="F165" s="199" t="n">
        <v>2.6</v>
      </c>
      <c r="G165" s="191" t="n">
        <v>23</v>
      </c>
      <c r="H165" s="191" t="n">
        <v>24</v>
      </c>
    </row>
    <row r="166">
      <c r="A166" s="32" t="inlineStr">
        <is>
          <t>REITs / asset-light</t>
        </is>
      </c>
      <c r="B166" s="191" t="n">
        <v>1</v>
      </c>
      <c r="C166" s="198" t="n">
        <v>-16.5</v>
      </c>
      <c r="D166" s="193" t="n">
        <v>0</v>
      </c>
      <c r="E166" s="199" t="n">
        <v>153.5</v>
      </c>
      <c r="F166" s="199" t="n">
        <v>14.8</v>
      </c>
      <c r="G166" s="191" t="n">
        <v>1</v>
      </c>
      <c r="H166" s="191" t="n">
        <v>1</v>
      </c>
    </row>
    <row r="167">
      <c r="A167" s="32" t="inlineStr">
        <is>
          <t>Retail / distribution</t>
        </is>
      </c>
      <c r="B167" s="191" t="n">
        <v>17</v>
      </c>
      <c r="C167" s="198" t="n">
        <v>25</v>
      </c>
      <c r="D167" s="193" t="n">
        <v>59</v>
      </c>
      <c r="E167" s="199" t="n">
        <v>20.3</v>
      </c>
      <c r="F167" s="199" t="n">
        <v>1.8</v>
      </c>
      <c r="G167" s="191" t="n">
        <v>12</v>
      </c>
      <c r="H167" s="191" t="n">
        <v>17</v>
      </c>
    </row>
    <row r="168">
      <c r="A168" s="32" t="inlineStr">
        <is>
          <t>Robotics &amp; autonomous driving</t>
        </is>
      </c>
      <c r="B168" s="191" t="n">
        <v>26</v>
      </c>
      <c r="C168" s="198" t="n">
        <v>4.8</v>
      </c>
      <c r="D168" s="193" t="n">
        <v>65</v>
      </c>
      <c r="E168" s="200" t="n"/>
      <c r="F168" s="199" t="n">
        <v>21.1</v>
      </c>
      <c r="G168" s="191" t="n">
        <v>0</v>
      </c>
      <c r="H168" s="191" t="n">
        <v>21</v>
      </c>
    </row>
    <row r="169">
      <c r="A169" s="32" t="inlineStr">
        <is>
          <t>Semiconductors</t>
        </is>
      </c>
      <c r="B169" s="191" t="n">
        <v>27</v>
      </c>
      <c r="C169" s="198" t="n">
        <v>8.4</v>
      </c>
      <c r="D169" s="193" t="n">
        <v>74</v>
      </c>
      <c r="E169" s="199" t="n">
        <v>87.8</v>
      </c>
      <c r="F169" s="199" t="n">
        <v>12.3</v>
      </c>
      <c r="G169" s="191" t="n">
        <v>14</v>
      </c>
      <c r="H169" s="191" t="n">
        <v>25</v>
      </c>
    </row>
    <row r="170">
      <c r="A170" s="32" t="inlineStr">
        <is>
          <t>Software &amp; AI</t>
        </is>
      </c>
      <c r="B170" s="191" t="n">
        <v>44</v>
      </c>
      <c r="C170" s="198" t="n">
        <v>14.6</v>
      </c>
      <c r="D170" s="193" t="n">
        <v>73</v>
      </c>
      <c r="E170" s="199" t="n">
        <v>34</v>
      </c>
      <c r="F170" s="199" t="n">
        <v>10.2</v>
      </c>
      <c r="G170" s="191" t="n">
        <v>14</v>
      </c>
      <c r="H170" s="191" t="n">
        <v>39</v>
      </c>
    </row>
    <row r="171">
      <c r="A171" s="32" t="inlineStr">
        <is>
          <t>Solar / wind supply chain</t>
        </is>
      </c>
      <c r="B171" s="191" t="n">
        <v>2</v>
      </c>
      <c r="C171" s="198" t="n">
        <v>10</v>
      </c>
      <c r="D171" s="193" t="n">
        <v>50</v>
      </c>
      <c r="E171" s="199" t="n">
        <v>53.3</v>
      </c>
      <c r="F171" s="199" t="n">
        <v>6.3</v>
      </c>
      <c r="G171" s="191" t="n">
        <v>1</v>
      </c>
      <c r="H171" s="191" t="n">
        <v>2</v>
      </c>
    </row>
    <row r="172">
      <c r="A172" s="32" t="inlineStr">
        <is>
          <t>TCM</t>
        </is>
      </c>
      <c r="B172" s="191" t="n">
        <v>4</v>
      </c>
      <c r="C172" s="198" t="n">
        <v>3.4</v>
      </c>
      <c r="D172" s="193" t="n">
        <v>50</v>
      </c>
      <c r="E172" s="199" t="n">
        <v>16</v>
      </c>
      <c r="F172" s="199" t="n">
        <v>2.7</v>
      </c>
      <c r="G172" s="191" t="n">
        <v>3</v>
      </c>
      <c r="H172" s="191" t="n">
        <v>4</v>
      </c>
    </row>
    <row r="173">
      <c r="A173" s="32" t="inlineStr">
        <is>
          <t>Telecom</t>
        </is>
      </c>
      <c r="B173" s="191" t="n">
        <v>2</v>
      </c>
      <c r="C173" s="198" t="n">
        <v>-28.8</v>
      </c>
      <c r="D173" s="193" t="n">
        <v>0</v>
      </c>
      <c r="E173" s="199" t="n">
        <v>10.6</v>
      </c>
      <c r="F173" s="199" t="n">
        <v>5.1</v>
      </c>
      <c r="G173" s="191" t="n">
        <v>1</v>
      </c>
      <c r="H173" s="191" t="n">
        <v>2</v>
      </c>
    </row>
    <row r="174"/>
    <row r="175">
      <c r="A175" s="190" t="inlineStr">
        <is>
          <t>BY YEAR x SUBSCRIPTION</t>
        </is>
      </c>
    </row>
    <row r="176" ht="30" customHeight="1">
      <c r="A176" s="26" t="inlineStr">
        <is>
          <t>Year</t>
        </is>
      </c>
      <c r="B176" s="26" t="inlineStr">
        <is>
          <t>Subscription</t>
        </is>
      </c>
      <c r="C176" s="26" t="inlineStr">
        <is>
          <t>n</t>
        </is>
      </c>
      <c r="D176" s="26" t="inlineStr">
        <is>
          <t>Median day-1</t>
        </is>
      </c>
      <c r="E176" s="26" t="inlineStr">
        <is>
          <t>Hit-rate</t>
        </is>
      </c>
    </row>
    <row r="177">
      <c r="A177" s="32" t="inlineStr">
        <is>
          <t>2021</t>
        </is>
      </c>
      <c r="B177" s="32" t="inlineStr">
        <is>
          <t>10-100x</t>
        </is>
      </c>
      <c r="C177" s="191" t="n">
        <v>25</v>
      </c>
      <c r="D177" s="198" t="n">
        <v>2.1</v>
      </c>
      <c r="E177" s="193" t="n">
        <v>52</v>
      </c>
    </row>
    <row r="178">
      <c r="A178" s="32" t="inlineStr">
        <is>
          <t>2021</t>
        </is>
      </c>
      <c r="B178" s="32" t="inlineStr">
        <is>
          <t>100-1000x</t>
        </is>
      </c>
      <c r="C178" s="191" t="n">
        <v>26</v>
      </c>
      <c r="D178" s="198" t="n">
        <v>0.6</v>
      </c>
      <c r="E178" s="193" t="n">
        <v>50</v>
      </c>
    </row>
    <row r="179">
      <c r="A179" s="32" t="inlineStr">
        <is>
          <t>2021</t>
        </is>
      </c>
      <c r="B179" s="32" t="inlineStr">
        <is>
          <t>&lt;10x</t>
        </is>
      </c>
      <c r="C179" s="191" t="n">
        <v>36</v>
      </c>
      <c r="D179" s="198" t="n">
        <v>-0.4</v>
      </c>
      <c r="E179" s="193" t="n">
        <v>28</v>
      </c>
    </row>
    <row r="180">
      <c r="A180" s="32" t="inlineStr">
        <is>
          <t>2021</t>
        </is>
      </c>
      <c r="B180" s="32" t="inlineStr">
        <is>
          <t>&gt;=1000x</t>
        </is>
      </c>
      <c r="C180" s="191" t="n">
        <v>5</v>
      </c>
      <c r="D180" s="198" t="n">
        <v>131.8</v>
      </c>
      <c r="E180" s="193" t="n">
        <v>100</v>
      </c>
    </row>
    <row r="181">
      <c r="A181" s="32" t="inlineStr">
        <is>
          <t>2022</t>
        </is>
      </c>
      <c r="B181" s="32" t="inlineStr">
        <is>
          <t>10-100x</t>
        </is>
      </c>
      <c r="C181" s="191" t="n">
        <v>17</v>
      </c>
      <c r="D181" s="198" t="n">
        <v>0.6</v>
      </c>
      <c r="E181" s="193" t="n">
        <v>53</v>
      </c>
    </row>
    <row r="182">
      <c r="A182" s="32" t="inlineStr">
        <is>
          <t>2022</t>
        </is>
      </c>
      <c r="B182" s="32" t="inlineStr">
        <is>
          <t>100-1000x</t>
        </is>
      </c>
      <c r="C182" s="191" t="n">
        <v>1</v>
      </c>
      <c r="D182" s="198" t="n">
        <v>-27.1</v>
      </c>
      <c r="E182" s="193" t="n">
        <v>0</v>
      </c>
    </row>
    <row r="183">
      <c r="A183" s="32" t="inlineStr">
        <is>
          <t>2022</t>
        </is>
      </c>
      <c r="B183" s="32" t="inlineStr">
        <is>
          <t>&lt;10x</t>
        </is>
      </c>
      <c r="C183" s="191" t="n">
        <v>54</v>
      </c>
      <c r="D183" s="198" t="n">
        <v>0</v>
      </c>
      <c r="E183" s="193" t="n">
        <v>31</v>
      </c>
    </row>
    <row r="184">
      <c r="A184" s="32" t="inlineStr">
        <is>
          <t>2023</t>
        </is>
      </c>
      <c r="B184" s="32" t="inlineStr">
        <is>
          <t>10-100x</t>
        </is>
      </c>
      <c r="C184" s="191" t="n">
        <v>26</v>
      </c>
      <c r="D184" s="198" t="n">
        <v>6.2</v>
      </c>
      <c r="E184" s="193" t="n">
        <v>62</v>
      </c>
    </row>
    <row r="185">
      <c r="A185" s="32" t="inlineStr">
        <is>
          <t>2023</t>
        </is>
      </c>
      <c r="B185" s="32" t="inlineStr">
        <is>
          <t>100-1000x</t>
        </is>
      </c>
      <c r="C185" s="191" t="n">
        <v>1</v>
      </c>
      <c r="D185" s="198" t="n">
        <v>0</v>
      </c>
      <c r="E185" s="193" t="n">
        <v>0</v>
      </c>
    </row>
    <row r="186">
      <c r="A186" s="32" t="inlineStr">
        <is>
          <t>2023</t>
        </is>
      </c>
      <c r="B186" s="32" t="inlineStr">
        <is>
          <t>&lt;10x</t>
        </is>
      </c>
      <c r="C186" s="191" t="n">
        <v>41</v>
      </c>
      <c r="D186" s="198" t="n">
        <v>0.3</v>
      </c>
      <c r="E186" s="193" t="n">
        <v>51</v>
      </c>
    </row>
    <row r="187">
      <c r="A187" s="32" t="inlineStr">
        <is>
          <t>2024</t>
        </is>
      </c>
      <c r="B187" s="32" t="inlineStr">
        <is>
          <t>10-100x</t>
        </is>
      </c>
      <c r="C187" s="191" t="n">
        <v>23</v>
      </c>
      <c r="D187" s="198" t="n">
        <v>7.5</v>
      </c>
      <c r="E187" s="193" t="n">
        <v>65</v>
      </c>
    </row>
    <row r="188">
      <c r="A188" s="32" t="inlineStr">
        <is>
          <t>2024</t>
        </is>
      </c>
      <c r="B188" s="32" t="inlineStr">
        <is>
          <t>100-1000x</t>
        </is>
      </c>
      <c r="C188" s="191" t="n">
        <v>20</v>
      </c>
      <c r="D188" s="198" t="n">
        <v>5</v>
      </c>
      <c r="E188" s="193" t="n">
        <v>55</v>
      </c>
    </row>
    <row r="189">
      <c r="A189" s="32" t="inlineStr">
        <is>
          <t>2024</t>
        </is>
      </c>
      <c r="B189" s="32" t="inlineStr">
        <is>
          <t>&lt;10x</t>
        </is>
      </c>
      <c r="C189" s="191" t="n">
        <v>21</v>
      </c>
      <c r="D189" s="198" t="n">
        <v>0.2</v>
      </c>
      <c r="E189" s="193" t="n">
        <v>57</v>
      </c>
    </row>
    <row r="190">
      <c r="A190" s="32" t="inlineStr">
        <is>
          <t>2024</t>
        </is>
      </c>
      <c r="B190" s="32" t="inlineStr">
        <is>
          <t>&gt;=1000x</t>
        </is>
      </c>
      <c r="C190" s="191" t="n">
        <v>3</v>
      </c>
      <c r="D190" s="198" t="n">
        <v>47.6</v>
      </c>
      <c r="E190" s="193" t="n">
        <v>100</v>
      </c>
    </row>
    <row r="191">
      <c r="A191" s="32" t="inlineStr">
        <is>
          <t>2025</t>
        </is>
      </c>
      <c r="B191" s="32" t="inlineStr">
        <is>
          <t>10-100x</t>
        </is>
      </c>
      <c r="C191" s="191" t="n">
        <v>24</v>
      </c>
      <c r="D191" s="198" t="n">
        <v>0</v>
      </c>
      <c r="E191" s="193" t="n">
        <v>42</v>
      </c>
    </row>
    <row r="192">
      <c r="A192" s="32" t="inlineStr">
        <is>
          <t>2025</t>
        </is>
      </c>
      <c r="B192" s="32" t="inlineStr">
        <is>
          <t>100-1000x</t>
        </is>
      </c>
      <c r="C192" s="191" t="n">
        <v>40</v>
      </c>
      <c r="D192" s="198" t="n">
        <v>6.5</v>
      </c>
      <c r="E192" s="193" t="n">
        <v>65</v>
      </c>
    </row>
    <row r="193">
      <c r="A193" s="32" t="inlineStr">
        <is>
          <t>2025</t>
        </is>
      </c>
      <c r="B193" s="32" t="inlineStr">
        <is>
          <t>&lt;10x</t>
        </is>
      </c>
      <c r="C193" s="191" t="n">
        <v>9</v>
      </c>
      <c r="D193" s="198" t="n">
        <v>0.8</v>
      </c>
      <c r="E193" s="193" t="n">
        <v>56</v>
      </c>
    </row>
    <row r="194">
      <c r="A194" s="32" t="inlineStr">
        <is>
          <t>2025</t>
        </is>
      </c>
      <c r="B194" s="32" t="inlineStr">
        <is>
          <t>&gt;=1000x</t>
        </is>
      </c>
      <c r="C194" s="191" t="n">
        <v>39</v>
      </c>
      <c r="D194" s="198" t="n">
        <v>78.7</v>
      </c>
      <c r="E194" s="193" t="n">
        <v>92</v>
      </c>
    </row>
    <row r="195">
      <c r="A195" s="32" t="inlineStr">
        <is>
          <t>2026</t>
        </is>
      </c>
      <c r="B195" s="32" t="inlineStr">
        <is>
          <t>10-100x</t>
        </is>
      </c>
      <c r="C195" s="191" t="n">
        <v>13</v>
      </c>
      <c r="D195" s="198" t="n">
        <v>-1</v>
      </c>
      <c r="E195" s="193" t="n">
        <v>38</v>
      </c>
    </row>
    <row r="196">
      <c r="A196" s="32" t="inlineStr">
        <is>
          <t>2026</t>
        </is>
      </c>
      <c r="B196" s="32" t="inlineStr">
        <is>
          <t>100-1000x</t>
        </is>
      </c>
      <c r="C196" s="191" t="n">
        <v>33</v>
      </c>
      <c r="D196" s="198" t="n">
        <v>4.2</v>
      </c>
      <c r="E196" s="193" t="n">
        <v>61</v>
      </c>
    </row>
    <row r="197">
      <c r="A197" s="32" t="inlineStr">
        <is>
          <t>2026</t>
        </is>
      </c>
      <c r="B197" s="32" t="inlineStr">
        <is>
          <t>&lt;10x</t>
        </is>
      </c>
      <c r="C197" s="191" t="n">
        <v>8</v>
      </c>
      <c r="D197" s="198" t="n">
        <v>-0.8</v>
      </c>
      <c r="E197" s="193" t="n">
        <v>38</v>
      </c>
    </row>
    <row r="198">
      <c r="A198" s="32" t="inlineStr">
        <is>
          <t>2026</t>
        </is>
      </c>
      <c r="B198" s="32" t="inlineStr">
        <is>
          <t>&gt;=1000x</t>
        </is>
      </c>
      <c r="C198" s="191" t="n">
        <v>59</v>
      </c>
      <c r="D198" s="198" t="n">
        <v>76.2</v>
      </c>
      <c r="E198" s="193" t="n">
        <v>90</v>
      </c>
    </row>
  </sheetData>
  <mergeCells count="1">
    <mergeCell ref="A2:H2"/>
  </mergeCells>
  <printOptions horizontalCentered="1"/>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J41"/>
  <sheetViews>
    <sheetView showGridLines="0" zoomScale="95" workbookViewId="0">
      <pane xSplit="2" ySplit="3" topLeftCell="C4" activePane="bottomRight" state="frozen"/>
      <selection pane="topRight"/>
      <selection pane="bottomLeft"/>
      <selection pane="bottomRight" activeCell="A1" sqref="A1"/>
    </sheetView>
  </sheetViews>
  <sheetFormatPr baseColWidth="8" defaultRowHeight="15"/>
  <cols>
    <col width="18" customWidth="1" min="1" max="1"/>
    <col width="38" customWidth="1" min="2" max="2"/>
    <col width="68" customWidth="1" min="3" max="3"/>
    <col width="32" customWidth="1" min="4" max="4"/>
    <col width="12" customWidth="1" min="5" max="5"/>
    <col hidden="1" width="13" customWidth="1" min="10" max="10"/>
  </cols>
  <sheetData>
    <row r="1" ht="30" customHeight="1">
      <c r="A1" s="16" t="inlineStr">
        <is>
          <t>SECTOR / SUBSECTOR TAXONOMY</t>
        </is>
      </c>
    </row>
    <row r="2" ht="34" customHeight="1">
      <c r="A2" s="17" t="inlineStr">
        <is>
          <t>Product and business model define peers. Listing regime (18A/18C), A/H status and profitability are separate attributes; all classifications are analyst judgments.</t>
        </is>
      </c>
    </row>
    <row r="3" ht="38" customHeight="1">
      <c r="A3" s="26" t="inlineStr">
        <is>
          <t>Sector</t>
        </is>
      </c>
      <c r="B3" s="26" t="inlineStr">
        <is>
          <t>Subsector</t>
        </is>
      </c>
      <c r="C3" s="26" t="inlineStr">
        <is>
          <t>Peer boundary / what to compare</t>
        </is>
      </c>
      <c r="D3" s="26" t="inlineStr">
        <is>
          <t>Return benchmark</t>
        </is>
      </c>
      <c r="E3" s="26" t="inlineStr">
        <is>
          <t>IPO count</t>
        </is>
      </c>
    </row>
    <row r="4" ht="42" customHeight="1">
      <c r="A4" s="74" t="inlineStr">
        <is>
          <t>Technology</t>
        </is>
      </c>
      <c r="B4" s="74" t="inlineStr">
        <is>
          <t>Semiconductors</t>
        </is>
      </c>
      <c r="C4" s="201" t="inlineStr">
        <is>
          <t>Chip design, foundries, equipment and materials. Product mix remains relevant when comparing companies.</t>
        </is>
      </c>
      <c r="D4" s="201" t="inlineStr">
        <is>
          <t>HSTECH (Hang Seng TECH ETF)</t>
        </is>
      </c>
      <c r="E4" s="74">
        <f>COUNTIF(Database!$E$5:$E$528,B4)</f>
        <v/>
      </c>
      <c r="J4" s="71" t="inlineStr">
        <is>
          <t>Semiconductors</t>
        </is>
      </c>
    </row>
    <row r="5" ht="42" customHeight="1">
      <c r="A5" s="74" t="inlineStr">
        <is>
          <t>Technology</t>
        </is>
      </c>
      <c r="B5" s="74" t="inlineStr">
        <is>
          <t>Software &amp; AI</t>
        </is>
      </c>
      <c r="C5" s="201" t="inlineStr">
        <is>
          <t>Enterprise software, AI applications and foundation models. Compare revenue model and profitability.</t>
        </is>
      </c>
      <c r="D5" s="201" t="inlineStr">
        <is>
          <t>HSTECH (Hang Seng TECH ETF)</t>
        </is>
      </c>
      <c r="E5" s="74">
        <f>COUNTIF(Database!$E$5:$E$528,B5)</f>
        <v/>
      </c>
      <c r="J5" s="71" t="inlineStr">
        <is>
          <t>Software &amp; AI</t>
        </is>
      </c>
    </row>
    <row r="6" ht="42" customHeight="1">
      <c r="A6" s="74" t="inlineStr">
        <is>
          <t>Technology</t>
        </is>
      </c>
      <c r="B6" s="74" t="inlineStr">
        <is>
          <t>Internet &amp; fintech</t>
        </is>
      </c>
      <c r="C6" s="201" t="inlineStr">
        <is>
          <t>Internet platforms, e-commerce and technology-led financial platforms.</t>
        </is>
      </c>
      <c r="D6" s="201" t="inlineStr">
        <is>
          <t>HSTECH (Hang Seng TECH ETF)</t>
        </is>
      </c>
      <c r="E6" s="74">
        <f>COUNTIF(Database!$E$5:$E$528,B6)</f>
        <v/>
      </c>
      <c r="J6" s="71" t="inlineStr">
        <is>
          <t>Internet &amp; fintech</t>
        </is>
      </c>
    </row>
    <row r="7" ht="42" customHeight="1">
      <c r="A7" s="74" t="inlineStr">
        <is>
          <t>Technology</t>
        </is>
      </c>
      <c r="B7" s="74" t="inlineStr">
        <is>
          <t>Hardware &amp; electronics</t>
        </is>
      </c>
      <c r="C7" s="201" t="inlineStr">
        <is>
          <t>Electronic devices, components and communications hardware.</t>
        </is>
      </c>
      <c r="D7" s="201" t="inlineStr">
        <is>
          <t>HSTECH (Hang Seng TECH ETF)</t>
        </is>
      </c>
      <c r="E7" s="74">
        <f>COUNTIF(Database!$E$5:$E$528,B7)</f>
        <v/>
      </c>
      <c r="J7" s="71" t="inlineStr">
        <is>
          <t>Hardware &amp; electronics</t>
        </is>
      </c>
    </row>
    <row r="8" ht="42" customHeight="1">
      <c r="A8" s="74" t="inlineStr">
        <is>
          <t>Technology</t>
        </is>
      </c>
      <c r="B8" s="74" t="inlineStr">
        <is>
          <t>Robotics &amp; autonomous driving</t>
        </is>
      </c>
      <c r="C8" s="201" t="inlineStr">
        <is>
          <t>Robotics, LiDAR, autonomous driving and automation software.</t>
        </is>
      </c>
      <c r="D8" s="201" t="inlineStr">
        <is>
          <t>HSTECH (Hang Seng TECH ETF)</t>
        </is>
      </c>
      <c r="E8" s="74">
        <f>COUNTIF(Database!$E$5:$E$528,B8)</f>
        <v/>
      </c>
      <c r="J8" s="71" t="inlineStr">
        <is>
          <t>Robotics &amp; autonomous driving</t>
        </is>
      </c>
    </row>
    <row r="9" ht="42" customHeight="1">
      <c r="A9" s="74" t="inlineStr">
        <is>
          <t>Technology</t>
        </is>
      </c>
      <c r="B9" s="74" t="inlineStr">
        <is>
          <t>Data centres &amp; cloud</t>
        </is>
      </c>
      <c r="C9" s="201" t="inlineStr">
        <is>
          <t>Data centre operators and cloud infrastructure.</t>
        </is>
      </c>
      <c r="D9" s="201" t="inlineStr">
        <is>
          <t>HSTECH (Hang Seng TECH ETF)</t>
        </is>
      </c>
      <c r="E9" s="74">
        <f>COUNTIF(Database!$E$5:$E$528,B9)</f>
        <v/>
      </c>
      <c r="J9" s="71" t="inlineStr">
        <is>
          <t>Data centres &amp; cloud</t>
        </is>
      </c>
    </row>
    <row r="10" ht="42" customHeight="1">
      <c r="A10" s="74" t="inlineStr">
        <is>
          <t>Healthcare</t>
        </is>
      </c>
      <c r="B10" s="74" t="inlineStr">
        <is>
          <t>Biotech pre-revenue (18A)</t>
        </is>
      </c>
      <c r="C10" s="201" t="inlineStr">
        <is>
          <t>Loss-making 18A; comp on pipeline/P-S-if-any, never P/E.</t>
        </is>
      </c>
      <c r="D10" s="201" t="inlineStr">
        <is>
          <t>China Biotech ETF (HS biotech proxy)</t>
        </is>
      </c>
      <c r="E10" s="74">
        <f>COUNTIF(Database!$E$5:$E$528,B10)</f>
        <v/>
      </c>
      <c r="J10" s="71" t="inlineStr">
        <is>
          <t>Biotech pre-revenue (18A)</t>
        </is>
      </c>
    </row>
    <row r="11" ht="42" customHeight="1">
      <c r="A11" s="74" t="inlineStr">
        <is>
          <t>Healthcare</t>
        </is>
      </c>
      <c r="B11" s="74" t="inlineStr">
        <is>
          <t>Biopharma commercial</t>
        </is>
      </c>
      <c r="C11" s="201" t="inlineStr">
        <is>
          <t>Revenue-generating pharma/biotech.</t>
        </is>
      </c>
      <c r="D11" s="201" t="inlineStr">
        <is>
          <t>China Biotech ETF (HS biotech proxy)</t>
        </is>
      </c>
      <c r="E11" s="74">
        <f>COUNTIF(Database!$E$5:$E$528,B11)</f>
        <v/>
      </c>
      <c r="J11" s="71" t="inlineStr">
        <is>
          <t>Biopharma commercial</t>
        </is>
      </c>
    </row>
    <row r="12" ht="42" customHeight="1">
      <c r="A12" s="74" t="inlineStr">
        <is>
          <t>Healthcare</t>
        </is>
      </c>
      <c r="B12" s="74" t="inlineStr">
        <is>
          <t>Medical devices</t>
        </is>
      </c>
      <c r="C12" s="201" t="inlineStr">
        <is>
          <t>Devices incl. 18A device names.</t>
        </is>
      </c>
      <c r="D12" s="201" t="inlineStr">
        <is>
          <t>China Biotech ETF (HS biotech proxy)</t>
        </is>
      </c>
      <c r="E12" s="74">
        <f>COUNTIF(Database!$E$5:$E$528,B12)</f>
        <v/>
      </c>
      <c r="J12" s="71" t="inlineStr">
        <is>
          <t>Medical devices</t>
        </is>
      </c>
    </row>
    <row r="13" ht="42" customHeight="1">
      <c r="A13" s="74" t="inlineStr">
        <is>
          <t>Healthcare</t>
        </is>
      </c>
      <c r="B13" s="74" t="inlineStr">
        <is>
          <t>CXO / pharma services</t>
        </is>
      </c>
      <c r="C13" s="201" t="inlineStr">
        <is>
          <t>CRO/CDMO/CMO.</t>
        </is>
      </c>
      <c r="D13" s="201" t="inlineStr">
        <is>
          <t>China Biotech ETF (HS biotech proxy)</t>
        </is>
      </c>
      <c r="E13" s="74">
        <f>COUNTIF(Database!$E$5:$E$528,B13)</f>
        <v/>
      </c>
      <c r="J13" s="71" t="inlineStr">
        <is>
          <t>CXO / pharma services</t>
        </is>
      </c>
    </row>
    <row r="14" ht="42" customHeight="1">
      <c r="A14" s="74" t="inlineStr">
        <is>
          <t>Healthcare</t>
        </is>
      </c>
      <c r="B14" s="74" t="inlineStr">
        <is>
          <t>Digital health</t>
        </is>
      </c>
      <c r="C14" s="201" t="inlineStr">
        <is>
          <t>Online healthcare platforms.</t>
        </is>
      </c>
      <c r="D14" s="201" t="inlineStr">
        <is>
          <t>China Biotech ETF (HS biotech proxy)</t>
        </is>
      </c>
      <c r="E14" s="74">
        <f>COUNTIF(Database!$E$5:$E$528,B14)</f>
        <v/>
      </c>
      <c r="J14" s="71" t="inlineStr">
        <is>
          <t>Digital health</t>
        </is>
      </c>
    </row>
    <row r="15" ht="42" customHeight="1">
      <c r="A15" s="74" t="inlineStr">
        <is>
          <t>Healthcare</t>
        </is>
      </c>
      <c r="B15" s="74" t="inlineStr">
        <is>
          <t>Hospitals / clinics</t>
        </is>
      </c>
      <c r="C15" s="201" t="inlineStr">
        <is>
          <t>Service providers.</t>
        </is>
      </c>
      <c r="D15" s="201" t="inlineStr">
        <is>
          <t>China Biotech ETF (HS biotech proxy)</t>
        </is>
      </c>
      <c r="E15" s="74">
        <f>COUNTIF(Database!$E$5:$E$528,B15)</f>
        <v/>
      </c>
      <c r="J15" s="71" t="inlineStr">
        <is>
          <t>Hospitals / clinics</t>
        </is>
      </c>
    </row>
    <row r="16" ht="42" customHeight="1">
      <c r="A16" s="74" t="inlineStr">
        <is>
          <t>Healthcare</t>
        </is>
      </c>
      <c r="B16" s="74" t="inlineStr">
        <is>
          <t>TCM</t>
        </is>
      </c>
      <c r="C16" s="201" t="inlineStr">
        <is>
          <t>Traditional Chinese medicine.</t>
        </is>
      </c>
      <c r="D16" s="201" t="inlineStr">
        <is>
          <t>China Biotech ETF (HS biotech proxy)</t>
        </is>
      </c>
      <c r="E16" s="74">
        <f>COUNTIF(Database!$E$5:$E$528,B16)</f>
        <v/>
      </c>
      <c r="J16" s="71" t="inlineStr">
        <is>
          <t>TCM</t>
        </is>
      </c>
    </row>
    <row r="17" ht="42" customHeight="1">
      <c r="A17" s="74" t="inlineStr">
        <is>
          <t>Consumer</t>
        </is>
      </c>
      <c r="B17" s="74" t="inlineStr">
        <is>
          <t>F&amp;B chains / restaurants</t>
        </is>
      </c>
      <c r="C17" s="201" t="inlineStr">
        <is>
          <t>Mixue-type store-count stories.</t>
        </is>
      </c>
      <c r="D17" s="201" t="inlineStr">
        <is>
          <t>Hang Seng Commerce &amp; Industry sub-index</t>
        </is>
      </c>
      <c r="E17" s="74">
        <f>COUNTIF(Database!$E$5:$E$528,B17)</f>
        <v/>
      </c>
      <c r="J17" s="71" t="inlineStr">
        <is>
          <t>F&amp;B chains / restaurants</t>
        </is>
      </c>
    </row>
    <row r="18" ht="42" customHeight="1">
      <c r="A18" s="74" t="inlineStr">
        <is>
          <t>Consumer</t>
        </is>
      </c>
      <c r="B18" s="74" t="inlineStr">
        <is>
          <t>Beverages / packaged food</t>
        </is>
      </c>
      <c r="C18" s="201" t="inlineStr">
        <is>
          <t>Brands, not chains.</t>
        </is>
      </c>
      <c r="D18" s="201" t="inlineStr">
        <is>
          <t>Hang Seng Commerce &amp; Industry sub-index</t>
        </is>
      </c>
      <c r="E18" s="74">
        <f>COUNTIF(Database!$E$5:$E$528,B18)</f>
        <v/>
      </c>
      <c r="J18" s="71" t="inlineStr">
        <is>
          <t>Beverages / packaged food</t>
        </is>
      </c>
    </row>
    <row r="19" ht="42" customHeight="1">
      <c r="A19" s="74" t="inlineStr">
        <is>
          <t>Consumer</t>
        </is>
      </c>
      <c r="B19" s="74" t="inlineStr">
        <is>
          <t>Apparel / luxury</t>
        </is>
      </c>
      <c r="C19" s="201" t="inlineStr"/>
      <c r="D19" s="201" t="inlineStr">
        <is>
          <t>Hang Seng Commerce &amp; Industry sub-index</t>
        </is>
      </c>
      <c r="E19" s="74">
        <f>COUNTIF(Database!$E$5:$E$528,B19)</f>
        <v/>
      </c>
      <c r="J19" s="71" t="inlineStr">
        <is>
          <t>Apparel / luxury</t>
        </is>
      </c>
    </row>
    <row r="20" ht="42" customHeight="1">
      <c r="A20" s="74" t="inlineStr">
        <is>
          <t>Consumer</t>
        </is>
      </c>
      <c r="B20" s="74" t="inlineStr">
        <is>
          <t>Beauty / personal care</t>
        </is>
      </c>
      <c r="C20" s="201" t="inlineStr"/>
      <c r="D20" s="201" t="inlineStr">
        <is>
          <t>Hang Seng Commerce &amp; Industry sub-index</t>
        </is>
      </c>
      <c r="E20" s="74">
        <f>COUNTIF(Database!$E$5:$E$528,B20)</f>
        <v/>
      </c>
      <c r="J20" s="71" t="inlineStr">
        <is>
          <t>Beauty / personal care</t>
        </is>
      </c>
    </row>
    <row r="21" ht="42" customHeight="1">
      <c r="A21" s="74" t="inlineStr">
        <is>
          <t>Consumer</t>
        </is>
      </c>
      <c r="B21" s="74" t="inlineStr">
        <is>
          <t>Consumer services / education</t>
        </is>
      </c>
      <c r="C21" s="201" t="inlineStr"/>
      <c r="D21" s="201" t="inlineStr">
        <is>
          <t>Hang Seng Commerce &amp; Industry sub-index</t>
        </is>
      </c>
      <c r="E21" s="74">
        <f>COUNTIF(Database!$E$5:$E$528,B21)</f>
        <v/>
      </c>
      <c r="J21" s="71" t="inlineStr">
        <is>
          <t>Consumer services / education</t>
        </is>
      </c>
    </row>
    <row r="22" ht="42" customHeight="1">
      <c r="A22" s="74" t="inlineStr">
        <is>
          <t>Consumer</t>
        </is>
      </c>
      <c r="B22" s="74" t="inlineStr">
        <is>
          <t>Autos (NEV OEM)</t>
        </is>
      </c>
      <c r="C22" s="201" t="inlineStr">
        <is>
          <t>Vehicle OEMs; loss-making OEMs comp on P/S.</t>
        </is>
      </c>
      <c r="D22" s="201" t="inlineStr">
        <is>
          <t>Hang Seng Commerce &amp; Industry sub-index</t>
        </is>
      </c>
      <c r="E22" s="74">
        <f>COUNTIF(Database!$E$5:$E$528,B22)</f>
        <v/>
      </c>
      <c r="J22" s="71" t="inlineStr">
        <is>
          <t>Autos (NEV OEM)</t>
        </is>
      </c>
    </row>
    <row r="23" ht="42" customHeight="1">
      <c r="A23" s="74" t="inlineStr">
        <is>
          <t>Consumer</t>
        </is>
      </c>
      <c r="B23" s="74" t="inlineStr">
        <is>
          <t>Auto parts / supply chain</t>
        </is>
      </c>
      <c r="C23" s="201" t="inlineStr"/>
      <c r="D23" s="201" t="inlineStr">
        <is>
          <t>Hang Seng Commerce &amp; Industry sub-index</t>
        </is>
      </c>
      <c r="E23" s="74">
        <f>COUNTIF(Database!$E$5:$E$528,B23)</f>
        <v/>
      </c>
      <c r="J23" s="71" t="inlineStr">
        <is>
          <t>Auto parts / supply chain</t>
        </is>
      </c>
    </row>
    <row r="24" ht="42" customHeight="1">
      <c r="A24" s="74" t="inlineStr">
        <is>
          <t>Consumer</t>
        </is>
      </c>
      <c r="B24" s="74" t="inlineStr">
        <is>
          <t>Retail / distribution</t>
        </is>
      </c>
      <c r="C24" s="201" t="inlineStr"/>
      <c r="D24" s="201" t="inlineStr">
        <is>
          <t>Hang Seng Commerce &amp; Industry sub-index</t>
        </is>
      </c>
      <c r="E24" s="74">
        <f>COUNTIF(Database!$E$5:$E$528,B24)</f>
        <v/>
      </c>
      <c r="J24" s="71" t="inlineStr">
        <is>
          <t>Retail / distribution</t>
        </is>
      </c>
    </row>
    <row r="25" ht="42" customHeight="1">
      <c r="A25" s="74" t="inlineStr">
        <is>
          <t>Financials</t>
        </is>
      </c>
      <c r="B25" s="74" t="inlineStr">
        <is>
          <t>Banks</t>
        </is>
      </c>
      <c r="C25" s="201" t="inlineStr"/>
      <c r="D25" s="201" t="inlineStr">
        <is>
          <t>Hang Seng Finance sub-index</t>
        </is>
      </c>
      <c r="E25" s="74">
        <f>COUNTIF(Database!$E$5:$E$528,B25)</f>
        <v/>
      </c>
      <c r="J25" s="71" t="inlineStr">
        <is>
          <t>Banks</t>
        </is>
      </c>
    </row>
    <row r="26" ht="42" customHeight="1">
      <c r="A26" s="74" t="inlineStr">
        <is>
          <t>Financials</t>
        </is>
      </c>
      <c r="B26" s="74" t="inlineStr">
        <is>
          <t>Insurance</t>
        </is>
      </c>
      <c r="C26" s="201" t="inlineStr"/>
      <c r="D26" s="201" t="inlineStr">
        <is>
          <t>Hang Seng Finance sub-index</t>
        </is>
      </c>
      <c r="E26" s="74">
        <f>COUNTIF(Database!$E$5:$E$528,B26)</f>
        <v/>
      </c>
      <c r="J26" s="71" t="inlineStr">
        <is>
          <t>Insurance</t>
        </is>
      </c>
    </row>
    <row r="27" ht="42" customHeight="1">
      <c r="A27" s="74" t="inlineStr">
        <is>
          <t>Financials</t>
        </is>
      </c>
      <c r="B27" s="74" t="inlineStr">
        <is>
          <t>Brokers / asset management</t>
        </is>
      </c>
      <c r="C27" s="201" t="inlineStr"/>
      <c r="D27" s="201" t="inlineStr">
        <is>
          <t>Hang Seng Finance sub-index</t>
        </is>
      </c>
      <c r="E27" s="74">
        <f>COUNTIF(Database!$E$5:$E$528,B27)</f>
        <v/>
      </c>
      <c r="J27" s="71" t="inlineStr">
        <is>
          <t>Brokers / asset management</t>
        </is>
      </c>
    </row>
    <row r="28" ht="42" customHeight="1">
      <c r="A28" s="74" t="inlineStr">
        <is>
          <t>Industrials</t>
        </is>
      </c>
      <c r="B28" s="74" t="inlineStr">
        <is>
          <t>Capital goods / machinery</t>
        </is>
      </c>
      <c r="C28" s="201" t="inlineStr"/>
      <c r="D28" s="201" t="inlineStr">
        <is>
          <t>Hang Seng Commerce &amp; Industry sub-index</t>
        </is>
      </c>
      <c r="E28" s="74">
        <f>COUNTIF(Database!$E$5:$E$528,B28)</f>
        <v/>
      </c>
      <c r="J28" s="71" t="inlineStr">
        <is>
          <t>Capital goods / machinery</t>
        </is>
      </c>
    </row>
    <row r="29" ht="42" customHeight="1">
      <c r="A29" s="74" t="inlineStr">
        <is>
          <t>Industrials</t>
        </is>
      </c>
      <c r="B29" s="74" t="inlineStr">
        <is>
          <t>Batteries / energy storage</t>
        </is>
      </c>
      <c r="C29" s="201" t="inlineStr">
        <is>
          <t>CATL bucket: cells, materials, ESS.</t>
        </is>
      </c>
      <c r="D29" s="201" t="inlineStr">
        <is>
          <t>Hang Seng Commerce &amp; Industry sub-index</t>
        </is>
      </c>
      <c r="E29" s="74">
        <f>COUNTIF(Database!$E$5:$E$528,B29)</f>
        <v/>
      </c>
      <c r="J29" s="71" t="inlineStr">
        <is>
          <t>Batteries / energy storage</t>
        </is>
      </c>
    </row>
    <row r="30" ht="42" customHeight="1">
      <c r="A30" s="74" t="inlineStr">
        <is>
          <t>Industrials</t>
        </is>
      </c>
      <c r="B30" s="74" t="inlineStr">
        <is>
          <t>Solar / wind supply chain</t>
        </is>
      </c>
      <c r="C30" s="201" t="inlineStr"/>
      <c r="D30" s="201" t="inlineStr">
        <is>
          <t>Hang Seng Commerce &amp; Industry sub-index</t>
        </is>
      </c>
      <c r="E30" s="74">
        <f>COUNTIF(Database!$E$5:$E$528,B30)</f>
        <v/>
      </c>
      <c r="J30" s="71" t="inlineStr">
        <is>
          <t>Solar / wind supply chain</t>
        </is>
      </c>
    </row>
    <row r="31" ht="42" customHeight="1">
      <c r="A31" s="74" t="inlineStr">
        <is>
          <t>Industrials</t>
        </is>
      </c>
      <c r="B31" s="74" t="inlineStr">
        <is>
          <t>Logistics</t>
        </is>
      </c>
      <c r="C31" s="201" t="inlineStr"/>
      <c r="D31" s="201" t="inlineStr">
        <is>
          <t>Hang Seng Commerce &amp; Industry sub-index</t>
        </is>
      </c>
      <c r="E31" s="74">
        <f>COUNTIF(Database!$E$5:$E$528,B31)</f>
        <v/>
      </c>
      <c r="J31" s="71" t="inlineStr">
        <is>
          <t>Logistics</t>
        </is>
      </c>
    </row>
    <row r="32" ht="42" customHeight="1">
      <c r="A32" s="74" t="inlineStr">
        <is>
          <t>Industrials</t>
        </is>
      </c>
      <c r="B32" s="74" t="inlineStr">
        <is>
          <t>Construction / engineering</t>
        </is>
      </c>
      <c r="C32" s="201" t="inlineStr"/>
      <c r="D32" s="201" t="inlineStr">
        <is>
          <t>Hang Seng Commerce &amp; Industry sub-index</t>
        </is>
      </c>
      <c r="E32" s="74">
        <f>COUNTIF(Database!$E$5:$E$528,B32)</f>
        <v/>
      </c>
      <c r="J32" s="71" t="inlineStr">
        <is>
          <t>Construction / engineering</t>
        </is>
      </c>
    </row>
    <row r="33" ht="42" customHeight="1">
      <c r="A33" s="74" t="inlineStr">
        <is>
          <t>Materials/Energy</t>
        </is>
      </c>
      <c r="B33" s="74" t="inlineStr">
        <is>
          <t>Mining / metals</t>
        </is>
      </c>
      <c r="C33" s="201" t="inlineStr"/>
      <c r="D33" s="201" t="inlineStr">
        <is>
          <t>Hang Seng Commerce &amp; Industry sub-index</t>
        </is>
      </c>
      <c r="E33" s="74">
        <f>COUNTIF(Database!$E$5:$E$528,B33)</f>
        <v/>
      </c>
      <c r="J33" s="71" t="inlineStr">
        <is>
          <t>Mining / metals</t>
        </is>
      </c>
    </row>
    <row r="34" ht="42" customHeight="1">
      <c r="A34" s="74" t="inlineStr">
        <is>
          <t>Materials/Energy</t>
        </is>
      </c>
      <c r="B34" s="74" t="inlineStr">
        <is>
          <t>Chemicals</t>
        </is>
      </c>
      <c r="C34" s="201" t="inlineStr"/>
      <c r="D34" s="201" t="inlineStr">
        <is>
          <t>Hang Seng Commerce &amp; Industry sub-index</t>
        </is>
      </c>
      <c r="E34" s="74">
        <f>COUNTIF(Database!$E$5:$E$528,B34)</f>
        <v/>
      </c>
      <c r="J34" s="71" t="inlineStr">
        <is>
          <t>Chemicals</t>
        </is>
      </c>
    </row>
    <row r="35" ht="42" customHeight="1">
      <c r="A35" s="74" t="inlineStr">
        <is>
          <t>Materials/Energy</t>
        </is>
      </c>
      <c r="B35" s="74" t="inlineStr">
        <is>
          <t>Oil &amp; gas / utilities</t>
        </is>
      </c>
      <c r="C35" s="201" t="inlineStr"/>
      <c r="D35" s="201" t="inlineStr">
        <is>
          <t>Hang Seng Commerce &amp; Industry sub-index</t>
        </is>
      </c>
      <c r="E35" s="74">
        <f>COUNTIF(Database!$E$5:$E$528,B35)</f>
        <v/>
      </c>
      <c r="J35" s="71" t="inlineStr">
        <is>
          <t>Oil &amp; gas / utilities</t>
        </is>
      </c>
    </row>
    <row r="36" ht="42" customHeight="1">
      <c r="A36" s="74" t="inlineStr">
        <is>
          <t>Real Estate</t>
        </is>
      </c>
      <c r="B36" s="74" t="inlineStr">
        <is>
          <t>Developers</t>
        </is>
      </c>
      <c r="C36" s="201" t="inlineStr"/>
      <c r="D36" s="201" t="inlineStr">
        <is>
          <t>Hang Seng Properties sub-index</t>
        </is>
      </c>
      <c r="E36" s="74">
        <f>COUNTIF(Database!$E$5:$E$528,B36)</f>
        <v/>
      </c>
      <c r="J36" s="71" t="inlineStr">
        <is>
          <t>Developers</t>
        </is>
      </c>
    </row>
    <row r="37" ht="42" customHeight="1">
      <c r="A37" s="74" t="inlineStr">
        <is>
          <t>Real Estate</t>
        </is>
      </c>
      <c r="B37" s="74" t="inlineStr">
        <is>
          <t>Property management</t>
        </is>
      </c>
      <c r="C37" s="201" t="inlineStr"/>
      <c r="D37" s="201" t="inlineStr">
        <is>
          <t>Hang Seng Properties sub-index</t>
        </is>
      </c>
      <c r="E37" s="74">
        <f>COUNTIF(Database!$E$5:$E$528,B37)</f>
        <v/>
      </c>
      <c r="J37" s="71" t="inlineStr">
        <is>
          <t>Property management</t>
        </is>
      </c>
    </row>
    <row r="38" ht="42" customHeight="1">
      <c r="A38" s="74" t="inlineStr">
        <is>
          <t>Real Estate</t>
        </is>
      </c>
      <c r="B38" s="74" t="inlineStr">
        <is>
          <t>REITs / asset-light</t>
        </is>
      </c>
      <c r="C38" s="201" t="inlineStr"/>
      <c r="D38" s="201" t="inlineStr">
        <is>
          <t>Hang Seng Properties sub-index</t>
        </is>
      </c>
      <c r="E38" s="74">
        <f>COUNTIF(Database!$E$5:$E$528,B38)</f>
        <v/>
      </c>
      <c r="J38" s="71" t="inlineStr">
        <is>
          <t>REITs / asset-light</t>
        </is>
      </c>
    </row>
    <row r="39" ht="42" customHeight="1">
      <c r="A39" s="74" t="inlineStr">
        <is>
          <t>Media &amp; telecom</t>
        </is>
      </c>
      <c r="B39" s="74" t="inlineStr">
        <is>
          <t>Telecom</t>
        </is>
      </c>
      <c r="C39" s="201" t="inlineStr"/>
      <c r="D39" s="201" t="inlineStr">
        <is>
          <t>Hang Seng Index</t>
        </is>
      </c>
      <c r="E39" s="74">
        <f>COUNTIF(Database!$E$5:$E$528,B39)</f>
        <v/>
      </c>
      <c r="J39" s="71" t="inlineStr">
        <is>
          <t>Telecom</t>
        </is>
      </c>
    </row>
    <row r="40" ht="42" customHeight="1">
      <c r="A40" s="74" t="inlineStr">
        <is>
          <t>Media &amp; telecom</t>
        </is>
      </c>
      <c r="B40" s="74" t="inlineStr">
        <is>
          <t>Media / advertising</t>
        </is>
      </c>
      <c r="C40" s="201" t="inlineStr"/>
      <c r="D40" s="201" t="inlineStr">
        <is>
          <t>Hang Seng Index</t>
        </is>
      </c>
      <c r="E40" s="74">
        <f>COUNTIF(Database!$E$5:$E$528,B40)</f>
        <v/>
      </c>
      <c r="J40" s="71" t="inlineStr">
        <is>
          <t>Media / advertising</t>
        </is>
      </c>
    </row>
    <row r="41" ht="42" customHeight="1">
      <c r="A41" s="74" t="inlineStr">
        <is>
          <t>Other</t>
        </is>
      </c>
      <c r="B41" s="74" t="inlineStr">
        <is>
          <t>Other / unclassified</t>
        </is>
      </c>
      <c r="C41" s="201" t="inlineStr">
        <is>
          <t>Must stay &lt;5% of deals (checks.py enforces).</t>
        </is>
      </c>
      <c r="D41" s="201" t="inlineStr">
        <is>
          <t>Hang Seng Index</t>
        </is>
      </c>
      <c r="E41" s="74">
        <f>COUNTIF(Database!$E$5:$E$528,B41)</f>
        <v/>
      </c>
      <c r="J41" s="71" t="inlineStr">
        <is>
          <t>Other / unclassified</t>
        </is>
      </c>
    </row>
  </sheetData>
  <autoFilter ref="A3:E41"/>
  <mergeCells count="1">
    <mergeCell ref="A2:J2"/>
  </mergeCells>
  <printOptions horizontalCentered="1"/>
  <pageMargins left="0.75" right="0.75" top="1" bottom="1" header="0.5" footer="0.5"/>
  <pageSetup orientation="landscape" paperSize="8" fitToHeight="0" fitToWidth="1"/>
</worksheet>
</file>

<file path=xl/worksheets/sheet10.xml><?xml version="1.0" encoding="utf-8"?>
<ns0:worksheet xmlns:ns0="http://schemas.openxmlformats.org/spreadsheetml/2006/main">
  <ns0:sheetPr>
    <ns0:outlinePr summaryBelow="1" summaryRight="1"/>
    <ns0:pageSetUpPr fitToPage="1"/>
  </ns0:sheetPr>
  <ns0:dimension ref="A1:C68"/>
  <ns0:sheetViews>
    <ns0:sheetView showGridLines="0" zoomScale="95" workbookViewId="0">
      <ns0:selection activeCell="A1" sqref="A1"/>
    </ns0:sheetView>
  </ns0:sheetViews>
  <ns0:sheetFormatPr baseColWidth="8" defaultRowHeight="15"/>
  <ns0:cols>
    <ns0:col width="24" customWidth="1" min="1" max="1"/>
    <ns0:col width="96" customWidth="1" min="2" max="2"/>
    <ns0:col width="40" customWidth="1" min="3" max="3"/>
  </ns0:cols>
  <ns0:sheetData>
    <ns0:row r="1" ht="30" customHeight="1">
      <ns0:c r="A1" s="16" t="inlineStr">
        <ns0:is>
          <ns0:t>HK IPO DATABASE</ns0:t>
        </ns0:is>
      </ns0:c>
    </ns0:row>
    <ns0:row r="2" ht="34" customHeight="1">
      <ns0:c r="A2" s="17" t="inlineStr">
        <ns0:is>
          <ns0:t>524 Main Board IPOs 2021-2026 plus the pipeline. Built 2026-10-07; latest price snapshot 2026-10-02. Each name retains its actual quote date.</ns0:t>
        </ns0:is>
      </ns0:c>
    </ns0:row>
    <ns0:row r="3"/>
    <ns0:row r="4">
      <ns0:c r="A4" s="74" t="inlineStr"/>
      <ns0:c r="B4" s="74" t="inlineStr"/>
    </ns0:row>
    <ns0:row r="5" ht="40" customHeight="1">
      <ns0:c r="A5" s="190" t="inlineStr">
        <ns0:is>
          <ns0:t>Blue cells</ns0:t>
        </ns0:is>
      </ns0:c>
      <ns0:c r="B5" s="201" t="inlineStr">
        <ns0:is>
          <ns0:t>Inputs. Everything else calculates.</ns0:t>
        </ns0:is>
      </ns0:c>
    </ns0:row>
    <ns0:row r="6" ht="40" customHeight="1">
      <ns0:c r="A6" s="190" t="inlineStr">
        <ns0:is>
          <ns0:t>AH daily monitor</ns0:t>
        </ns0:is>
      </ns0:c>
      <ns0:c r="B6" s="201" t="inlineStr">
        <ns0:is>
          <ns0:t>Choose a pair and a sector view. Auto uses a complete Bloomberg pair quote or a complete dated snapshot. Bloomberg mode leaves missing quotes unavailable. History source is labelled separately. Day change is terminal-only; snapshot rows are dated closes.</ns0:t>
        </ns0:is>
      </ns0:c>
    </ns0:row>
    <ns0:row r="7" ht="40" customHeight="1">
      <ns0:c r="A7" s="190" t="inlineStr">
        <ns0:is>
          <ns0:t>A/H study</ns0:t>
        </ns0:is>
      </ns0:c>
      <ns0:c r="B7" s="201" t="inlineStr">
        <ns0:is>
          <ns0:t>The A/H analysis is in AH_Premium_Study.docx. It covers all 62 pairs and 60 first-month cases; it is separate from this live-price workbook.</ns0:t>
        </ns0:is>
      </ns0:c>
    </ns0:row>
    <ns0:row r="8" ht="40" customHeight="1">
      <ns0:c r="A8" s="190" t="inlineStr">
        <ns0:is>
          <ns0:t>Support tabs</ns0:t>
        </ns0:is>
      </ns0:c>
      <ns0:c r="B8" s="201" t="inlineStr">
        <ns0:is>
          <ns0:t>Bloomberg checks are at the back. SizeBench, Verification and calculation/history sheets are hidden by default; right-click a tab and choose Unhide. They remain available for auditing and inputs.</ns0:t>
        </ns0:is>
      </ns0:c>
    </ns0:row>
    <ns0:row r="9" ht="40" customHeight="1">
      <ns0:c r="A9" s="190" t="inlineStr">
        <ns0:is>
          <ns0:t>Screener</ns0:t>
        </ns0:is>
      </ns0:c>
      <ns0:c r="B9" s="201" t="inlineStr">
        <ns0:is>
          <ns0:t>Pick a deal, or type your own terms; comps rank same-subsector first.</ns0:t>
        </ns0:is>
      </ns0:c>
    </ns0:row>
    <ns0:row r="10" ht="40" customHeight="1">
      <ns0:c r="A10" s="190" t="inlineStr">
        <ns0:is>
          <ns0:t>Database</ns0:t>
        </ns0:is>
      </ns0:c>
      <ns0:c r="B10" s="201" t="inlineStr">
        <ns0:is>
          <ns0:t>One row per deal. The last column says why any cell is blank.</ns0:t>
        </ns0:is>
      </ns0:c>
    </ns0:row>
    <ns0:row r="11" ht="40" customHeight="1">
      <ns0:c r="A11" s="190" t="inlineStr">
        <ns0:is>
          <ns0:t>CS League, SM League</ns0:t>
        </ns0:is>
      </ns0:c>
      <ns0:c r="B11" s="201" t="inlineStr">
        <ns0:is>
          <ns0:t>One row per cornerstone investor or stabilising manager, with how their deals traded. Read together: who anchored the deal, who defended it.</ns0:t>
        </ns0:is>
      </ns0:c>
    </ns0:row>
    <ns0:row r="12" ht="40" customHeight="1">
      <ns0:c r="A12" s="190" t="inlineStr">
        <ns0:is>
          <ns0:t>Analogs</ns0:t>
        </ns0:is>
      </ns0:c>
      <ns0:c r="B12" s="201" t="inlineStr">
        <ns0:is>
          <ns0:t>Day-1 history by subscription bucket, subsector and year.</ns0:t>
        </ns0:is>
      </ns0:c>
    </ns0:row>
    <ns0:row r="13" ht="40" customHeight="1">
      <ns0:c r="A13" s="190" t="inlineStr">
        <ns0:is>
          <ns0:t>Eff. free float</ns0:t>
        </ns0:is>
      </ns0:c>
      <ns0:c r="B13" s="201" t="inlineStr">
        <ns0:is>
          <ns0:t>Deal size x (1 - cornerstone %) / market cap: what can trade on day 1 while cornerstones are locked up.</ns0:t>
        </ns0:is>
      </ns0:c>
    </ns0:row>
    <ns0:row r="14" ht="40" customHeight="1">
      <ns0:c r="A14" s="190" t="inlineStr">
        <ns0:is>
          <ns0:t>Money and signs</ns0:t>
        </ns0:is>
      </ns0:c>
      <ns0:c r="B14" s="201" t="inlineStr">
        <ns0:is>
          <ns0:t>HK$ millions. Day-1 + = closed above the offer. A premium + = A above H.</ns0:t>
        </ns0:is>
      </ns0:c>
    </ns0:row>
    <ns0:row r="15" ht="40" customHeight="1">
      <ns0:c r="A15" s="190" t="inlineStr">
        <ns0:is>
          <ns0:t>Subscription</ns0:t>
        </ns0:is>
      </ns0:c>
      <ns0:c r="B15" s="201" t="inlineStr">
        <ns0:is>
          <ns0:t>Filing basis: 10x = ten times the shares on offer. Bloomberg CP036/CP037 override the scrape where the desk paste has them.</ns0:t>
        </ns0:is>
      </ns0:c>
    </ns0:row>
    <ns0:row r="16" ht="40" customHeight="1">
      <ns0:c r="A16" s="190" t="inlineStr">
        <ns0:is>
          <ns0:t>Ex-pop columns</ns0:t>
        </ns0:is>
      </ns0:c>
      <ns0:c r="B16" s="201" t="inlineStr">
        <ns0:is>
          <ns0:t>Teal headers. 1w/1m/3m ex-pop run from the day-1 close; alpha 1m ex-pop nets the index over the same window.</ns0:t>
        </ns0:is>
      </ns0:c>
    </ns0:row>
    <ns0:row r="17" ht="40" customHeight="1">
      <ns0:c r="A17" s="190" t="inlineStr">
        <ns0:is>
          <ns0:t>P/E and P/S at IPO</ns0:t>
        </ns0:is>
      </ns0:c>
      <ns0:c r="B17" s="201" t="inlineStr">
        <ns0:is>
          <ns0:t>Trailing, never forward: market cap at the offer price over the last full pre-IPO fiscal year's net income or revenue. Loss-makers read n/m on P/E; use P/S.</ns0:t>
        </ns0:is>
      </ns0:c>
    </ns0:row>
    <ns0:row r="18" ht="40" customHeight="1">
      <ns0:c r="A18" s="190" t="inlineStr">
        <ns0:is>
          <ns0:t>Two at-IPO P/E columns</ns0:t>
        </ns0:is>
      </ns0:c>
      <ns0:c r="B18" s="201" t="inlineStr">
        <ns0:is>
          <ns0:t>'P/E at IPO' is the prospectus basis, computed the same way for every row: use it to compare deals. 'P/E at IPO (BBG)' is price over trailing-12m EPS at listing, Bloomberg's basis: use it when quoting a number someone will check on a terminal. They diverge most for 2021-23 deals.</ns0:t>
        </ns0:is>
      </ns0:c>
    </ns0:row>
    <ns0:row r="19" ht="40" customHeight="1">
      <ns0:c r="A19" s="190" t="inlineStr">
        <ns0:is>
          <ns0:t>P/E today, P/S today</ns0:t>
        </ns0:is>
      </ns0:c>
      <ns0:c r="B19" s="201" t="inlineStr">
        <ns0:is>
          <ns0:t>Bloomberg. P/E today is the desk paste; P/S today resolves on the terminal; unavailable external quotes remain pending elsewhere.</ns0:t>
        </ns0:is>
      </ns0:c>
    </ns0:row>
    <ns0:row r="20" ht="40" customHeight="1">
      <ns0:c r="A20" s="190" t="inlineStr">
        <ns0:is>
          <ns0:t>A-share mkt cap now</ns0:t>
        </ns0:is>
      </ns0:c>
      <ns0:c r="B20" s="201" t="inlineStr">
        <ns0:is>
          <ns0:t>From the A-share quote for A/H pairs, Bloomberg on the terminal where the quote had none. Non-A/H rows read N/A.</ns0:t>
        </ns0:is>
      </ns0:c>
    </ns0:row>
    <ns0:row r="21" ht="40" customHeight="1">
      <ns0:c r="A21" s="190" t="inlineStr">
        <ns0:is>
          <ns0:t>Force-include</ns0:t>
        </ns0:is>
      </ns0:c>
      <ns0:c r="B21" s="201" t="inlineStr">
        <ns0:is>
          <ns0:t>Type codes, comma-separated, on the Screener; those deals pin to the top.</ns0:t>
        </ns0:is>
      </ns0:c>
    </ns0:row>
    <ns0:row r="22" ht="40" customHeight="1">
      <ns0:c r="A22" s="190" t="inlineStr">
        <ns0:is>
          <ns0:t>Not captured</ns0:t>
        </ns0:is>
      </ns0:c>
      <ns0:c r="B22" s="201" t="inlineStr">
        <ns0:is>
          <ns0:t>Underwriting fee splits.</ns0:t>
        </ns0:is>
      </ns0:c>
    </ns0:row>
    <ns0:row r="23" ht="40" customHeight="1">
      <ns0:c r="A23" s="190" t="inlineStr">
        <ns0:is>
          <ns0:t>Judgment</ns0:t>
        </ns0:is>
      </ns0:c>
      <ns0:c r="B23" s="201" t="inlineStr">
        <ns0:is>
          <ns0:t>Sector and subsector are analyst-assigned.</ns0:t>
        </ns0:is>
      </ns0:c>
    </ns0:row>
    <ns0:row r="24"/>
    <ns0:row r="25">
      <ns0:c r="A25" s="190" t="inlineStr">
        <ns0:is>
          <ns0:t>SCREENER WEIGHTS (edit to re-tune)</ns0:t>
        </ns0:is>
      </ns0:c>
    </ns0:row>
    <ns0:row r="26" ht="40" customHeight="1">
      <ns0:c r="A26" s="190" t="inlineStr">
        <ns0:is>
          <ns0:t>W_SUB</ns0:t>
        </ns0:is>
      </ns0:c>
      <ns0:c r="B26" s="106" t="n">
        <ns0:v>1000</ns0:v>
      </ns0:c>
      <ns0:c r="C26" s="71" t="inlineStr">
        <ns0:is>
          <ns0:t>same subsector</ns0:t>
        </ns0:is>
      </ns0:c>
    </ns0:row>
    <ns0:row r="27" ht="40" customHeight="1">
      <ns0:c r="A27" s="190" t="inlineStr">
        <ns0:is>
          <ns0:t>W_SEC</ns0:t>
        </ns0:is>
      </ns0:c>
      <ns0:c r="B27" s="106" t="n">
        <ns0:v>300</ns0:v>
      </ns0:c>
      <ns0:c r="C27" s="71" t="inlineStr">
        <ns0:is>
          <ns0:t>same sector</ns0:t>
        </ns0:is>
      </ns0:c>
    </ns0:row>
    <ns0:row r="28" ht="40" customHeight="1">
      <ns0:c r="A28" s="190" t="inlineStr">
        <ns0:is>
          <ns0:t>W_SIZE</ns0:t>
        </ns0:is>
      </ns0:c>
      <ns0:c r="B28" s="106" t="n">
        <ns0:v>200</ns0:v>
      </ns0:c>
      <ns0:c r="C28" s="71" t="inlineStr">
        <ns0:is>
          <ns0:t>size proximity</ns0:t>
        </ns0:is>
      </ns0:c>
    </ns0:row>
    <ns0:row r="29" ht="40" customHeight="1">
      <ns0:c r="A29" s="190" t="inlineStr">
        <ns0:is>
          <ns0:t>W_PROF</ns0:t>
        </ns0:is>
      </ns0:c>
      <ns0:c r="B29" s="106" t="n">
        <ns0:v>80</ns0:v>
      </ns0:c>
      <ns0:c r="C29" s="71" t="inlineStr">
        <ns0:is>
          <ns0:t>profitability match</ns0:t>
        </ns0:is>
      </ns0:c>
    </ns0:row>
    <ns0:row r="30" ht="40" customHeight="1">
      <ns0:c r="A30" s="190" t="inlineStr">
        <ns0:is>
          <ns0:t>W_AH</ns0:t>
        </ns0:is>
      </ns0:c>
      <ns0:c r="B30" s="106" t="n">
        <ns0:v>50</ns0:v>
      </ns0:c>
      <ns0:c r="C30" s="71" t="inlineStr">
        <ns0:is>
          <ns0:t>H-share match</ns0:t>
        </ns0:is>
      </ns0:c>
    </ns0:row>
    <ns0:row r="31" ht="40" customHeight="1">
      <ns0:c r="A31" s="190" t="inlineStr">
        <ns0:is>
          <ns0:t>W_REC</ns0:t>
        </ns0:is>
      </ns0:c>
      <ns0:c r="B31" s="106" t="n">
        <ns0:v>80</ns0:v>
      </ns0:c>
      <ns0:c r="C31" s="71" t="inlineStr">
        <ns0:is>
          <ns0:t>recency</ns0:t>
        </ns0:is>
      </ns0:c>
    </ns0:row>
    <ns0:row r="32" ht="40" customHeight="1">
      <ns0:c r="A32" s="190" t="inlineStr">
        <ns0:is>
          <ns0:t>W_CS</ns0:t>
        </ns0:is>
      </ns0:c>
      <ns0:c r="B32" s="106" t="n">
        <ns0:v>12</ns0:v>
      </ns0:c>
      <ns0:c r="C32" s="71" t="inlineStr">
        <ns0:is>
          <ns0:t>shares a cornerstone investor with the target</ns0:t>
        </ns0:is>
      </ns0:c>
    </ns0:row>
    <ns0:row r="33" ht="40" customHeight="1">
      <ns0:c r="A33" s="190" t="inlineStr">
        <ns0:is>
          <ns0:t>W_PE</ns0:t>
        </ns0:is>
      </ns0:c>
      <ns0:c r="B33" s="106" t="n">
        <ns0:v>150</ns0:v>
      </ns0:c>
      <ns0:c r="C33" s="71" t="inlineStr">
        <ns0:is>
          <ns0:t>P/E proximity</ns0:t>
        </ns0:is>
      </ns0:c>
    </ns0:row>
    <ns0:row r="34" ht="40" customHeight="1">
      <ns0:c r="A34" s="190" t="inlineStr">
        <ns0:is>
          <ns0:t>W_PEHW</ns0:t>
        </ns0:is>
      </ns0:c>
      <ns0:c r="B34" s="106" t="n">
        <ns0:v>0.6</ns0:v>
      </ns0:c>
      <ns0:c r="C34" s="71" t="inlineStr">
        <ns0:is>
          <ns0:t>P/E log half-width</ns0:t>
        </ns0:is>
      </ns0:c>
    </ns0:row>
    <ns0:row r="35" ht="40" customHeight="1">
      <ns0:c r="A35" s="190" t="inlineStr">
        <ns0:is>
          <ns0:t>W_SIZEHW</ns0:t>
        </ns0:is>
      </ns0:c>
      <ns0:c r="B35" s="106" t="n">
        <ns0:v>1.5</ns0:v>
      </ns0:c>
      <ns0:c r="C35" s="71" t="inlineStr">
        <ns0:is>
          <ns0:t>size log half-width</ns0:t>
        </ns0:is>
      </ns0:c>
    </ns0:row>
    <ns0:row r="36" ht="40" customHeight="1">
      <ns0:c r="A36" s="190" t="inlineStr">
        <ns0:is>
          <ns0:t>W_RECD</ns0:t>
        </ns0:is>
      </ns0:c>
      <ns0:c r="B36" s="106" t="n">
        <ns0:v>1825</ns0:v>
      </ns0:c>
      <ns0:c r="C36" s="71" t="inlineStr">
        <ns0:is>
          <ns0:t>recency horizon (days)</ns0:t>
        </ns0:is>
      </ns0:c>
    </ns0:row>
    <ns0:row r="37"/>
    <ns0:row r="38">
      <ns0:c r="A38" s="190" t="inlineStr">
        <ns0:is>
          <ns0:t>WHY THESE WEIGHTS</ns0:t>
        </ns0:is>
      </ns0:c>
    </ns0:row>
    <ns0:row r="39">
      <ns0:c r="A39" s="71" t="inlineStr">
        <ns0:is>
          <ns0:t>Measured on 24,090 deal pairs. Median day-1 gap between two random deals: 27.5pp. Both A+H: 14.2pp. Subscription within 2x: 18.6pp. Same sector: 26.3pp. Same subsector: 29.2pp. Size, P/E, cornerstone: 29-33pp.</ns0:t>
        </ns0:is>
      </ns0:c>
    </ns0:row>
    <ns0:row r="40">
      <ns0:c r="A40" s="71" t="inlineStr">
        <ns0:is>
          <ns0:t>Subsector decides which companies are comparable; it does not predict the debut. For 'how will it trade', rank demand-similar first and read the Analogs tab.</ns0:t>
        </ns0:is>
      </ns0:c>
    </ns0:row>
    <ns0:row r="41"/>
    <ns0:row r="42">
      <ns0:c r="A42" s="190" t="inlineStr">
        <ns0:is>
          <ns0:t>WHERE EACH DATABASE COLUMN COMES FROM</ns0:t>
        </ns0:is>
      </ns0:c>
    </ns0:row>
    <ns0:row r="43" ht="40" customHeight="1">
      <ns0:c r="A43" s="26" t="inlineStr">
        <ns0:is>
          <ns0:t>Column</ns0:t>
        </ns0:is>
      </ns0:c>
      <ns0:c r="B43" s="202" t="inlineStr">
        <ns0:is>
          <ns0:t>Source and method</ns0:t>
        </ns0:is>
      </ns0:c>
    </ns0:row>
    <ns0:row r="44" ht="40" customHeight="1">
      <ns0:c r="A44" s="203" t="inlineStr">
        <ns0:is>
          <ns0:t>Code / Name / date</ns0:t>
        </ns0:is>
      </ns0:c>
      <ns0:c r="B44" s="165" t="inlineStr">
        <ns0:is>
          <ns0:t>HKEX Allotment Results announcement. Every IPO files one, so the roster comes from the filings themselves.</ns0:t>
        </ns0:is>
      </ns0:c>
    </ns0:row>
    <ns0:row r="45" ht="40" customHeight="1">
      <ns0:c r="A45" s="203" t="inlineStr">
        <ns0:is>
          <ns0:t>Name (CN)</ns0:t>
        </ns0:is>
      </ns0:c>
      <ns0:c r="B45" s="165" t="inlineStr">
        <ns0:is>
          <ns0:t>HKEX bilingual securities feed.</ns0:t>
        </ns0:is>
      </ns0:c>
    </ns0:row>
    <ns0:row r="46" ht="40" customHeight="1">
      <ns0:c r="A46" s="203" t="inlineStr">
        <ns0:is>
          <ns0:t>Sector / Subsector</ns0:t>
        </ns0:is>
      </ns0:c>
      <ns0:c r="B46" s="165" t="inlineStr">
        <ns0:is>
          <ns0:t>Analyst-assigned against data/taxonomy.json. New deals get a provisional keyword label until relabelled.</ns0:t>
        </ns0:is>
      </ns0:c>
    </ns0:row>
    <ns0:row r="47" ht="40" customHeight="1">
      <ns0:c r="A47" s="203" t="inlineStr">
        <ns0:is>
          <ns0:t>Deal size</ns0:t>
        </ns0:is>
      </ns0:c>
      <ns0:c r="B47" s="165" t="inlineStr">
        <ns0:is>
          <ns0:t>Stated gross proceeds, else final price x offer shares, else net proceeds; the basis is printed beside it. From the final-price announcement and the prospectus.</ns0:t>
        </ns0:is>
      </ns0:c>
    </ns0:row>
    <ns0:row r="48" ht="40" customHeight="1">
      <ns0:c r="A48" s="203" t="inlineStr">
        <ns0:is>
          <ns0:t>Range low / Max-cap</ns0:t>
        </ns0:is>
      </ns0:c>
      <ns0:c r="B48" s="165" t="inlineStr">
        <ns0:is>
          <ns0:t>Prospectus indicative range; the cap is the maximum offer price. A fixed-price offer has no range and is labelled as such.</ns0:t>
        </ns0:is>
      </ns0:c>
    </ns0:row>
    <ns0:row r="49" ht="40" customHeight="1">
      <ns0:c r="A49" s="203" t="inlineStr">
        <ns0:is>
          <ns0:t>Final px</ns0:t>
        </ns0:is>
      </ns0:c>
      <ns0:c r="B49" s="165" t="inlineStr">
        <ns0:is>
          <ns0:t>Allotment Results announcement (the struck price).</ns0:t>
        </ns0:is>
      </ns0:c>
    </ns0:row>
    <ns0:row r="50" ht="40" customHeight="1">
      <ns0:c r="A50" s="203" t="inlineStr">
        <ns0:is>
          <ns0:t>% of cap</ns0:t>
        </ns0:is>
      </ns0:c>
      <ns0:c r="B50" s="165" t="inlineStr">
        <ns0:is>
          <ns0:t>Final price / cap. Fixed-price offers are 100% by definition.</ns0:t>
        </ns0:is>
      </ns0:c>
    </ns0:row>
    <ns0:row r="51" ht="40" customHeight="1">
      <ns0:c r="A51" s="203" t="inlineStr">
        <ns0:is>
          <ns0:t>Mkt cap at IPO</ns0:t>
        </ns0:is>
      </ns0:c>
      <ns0:c r="B51" s="165" t="inlineStr">
        <ns0:is>
          <ns0:t>Final price x shares on listing, else deal size / offer % of enlarged capital, else the issuer's stated cap, else AAStocks scaled to the struck price; the basis is printed beside it. Cross-checked against AAStocks; a &gt;25% gap is flagged orange.</ns0:t>
        </ns0:is>
      </ns0:c>
    </ns0:row>
    <ns0:row r="52" ht="40" customHeight="1">
      <ns0:c r="A52" s="203" t="inlineStr">
        <ns0:is>
          <ns0:t>Public / Intl sub</ns0:t>
        </ns0:is>
      </ns0:c>
      <ns0:c r="B52" s="165" t="inlineStr">
        <ns0:is>
          <ns0:t>Allotment Results, subscription section, per tranche. Under-subscription is kept as data.</ns0:t>
        </ns0:is>
      </ns0:c>
    </ns0:row>
    <ns0:row r="53" ht="40" customHeight="1">
      <ns0:c r="A53" s="203" t="inlineStr">
        <ns0:is>
          <ns0:t>Cornerstone % / investors</ns0:t>
        </ns0:is>
      </ns0:c>
      <ns0:c r="B53" s="165" t="inlineStr">
        <ns0:is>
          <ns0:t>Prospectus cornerstone section, filled from AAStocks where the filing text did not survive extraction.</ns0:t>
        </ns0:is>
      </ns0:c>
    </ns0:row>
    <ns0:row r="54" ht="40" customHeight="1">
      <ns0:c r="A54" s="203" t="inlineStr">
        <ns0:is>
          <ns0:t>Greenshoe size</ns0:t>
        </ns0:is>
      </ns0:c>
      <ns0:c r="B54" s="165" t="inlineStr">
        <ns0:is>
          <ns0:t>Over-allocated shares / offer shares, from the prospectus.</ns0:t>
        </ns0:is>
      </ns0:c>
    </ns0:row>
    <ns0:row r="55" ht="40" customHeight="1">
      <ns0:c r="A55" s="203" t="inlineStr">
        <ns0:is>
          <ns0:t>Shoe outcome</ns0:t>
        </ns0:is>
      </ns0:c>
      <ns0:c r="B55" s="165" t="inlineStr">
        <ns0:is>
          <ns0:t>The end-of-stabilisation notice filed about 30 days after listing.</ns0:t>
        </ns0:is>
      </ns0:c>
    </ns0:row>
    <ns0:row r="56" ht="40" customHeight="1">
      <ns0:c r="A56" s="203" t="inlineStr">
        <ns0:is>
          <ns0:t>Day-1</ns0:t>
        </ns0:is>
      </ns0:c>
      <ns0:c r="B56" s="165" t="inlineStr">
        <ns0:is>
          <ns0:t>Listing-day close vs the offer price, from the local session list; AAStocks where the price feed has no listing-day bar.</ns0:t>
        </ns0:is>
      </ns0:c>
    </ns0:row>
    <ns0:row r="57" ht="40" customHeight="1">
      <ns0:c r="A57" s="203" t="inlineStr">
        <ns0:is>
          <ns0:t>1-week / 1-month / 3-month</ns0:t>
        </ns0:is>
      </ns0:c>
      <ns0:c r="B57" s="165" t="inlineStr">
        <ns0:is>
          <ns0:t>Close 5 / 21 / 63 traded sessions after the debut (debut = 0), vs offer; these are session counts, not calendar anniversaries. Price-only returns, split/consolidation scaled to the offer; dividends and entitlement value excluded. Unelapsed windows stay blank with a reason.</ns0:t>
        </ns0:is>
      </ns0:c>
    </ns0:row>
    <ns0:row r="58" ht="40" customHeight="1">
      <ns0:c r="A58" s="203" t="inlineStr">
        <ns0:is>
          <ns0:t>1m ex-pop</ns0:t>
        </ns0:is>
      </ns0:c>
      <ns0:c r="B58" s="165" t="inlineStr">
        <ns0:is>
          <ns0:t>Same horizon measured from the day-1 close, so the debut pop is stripped out.</ns0:t>
        </ns0:is>
      </ns0:c>
    </ns0:row>
    <ns0:row r="59" ht="40" customHeight="1">
      <ns0:c r="A59" s="203" t="inlineStr">
        <ns0:is>
          <ns0:t>Benchmark index Day-1</ns0:t>
        </ns0:is>
      </ns0:c>
      <ns0:c r="B59" s="165" t="inlineStr">
        <ns0:is>
          <ns0:t>Sector benchmark close on listing day / its previous trading close - 1, in %. Uses the same benchmark named per row and the exact listing date.</ns0:t>
        </ns0:is>
      </ns0:c>
    </ns0:row>
    <ns0:row r="60" ht="40" customHeight="1">
      <ns0:c r="A60" s="203" t="inlineStr">
        <ns0:is>
          <ns0:t>Alpha / Index</ns0:t>
        </ns0:is>
      </ns0:c>
      <ns0:c r="B60" s="165" t="inlineStr">
        <ns0:is>
          <ns0:t>The sector index over the same window, anchored at the close before the listing. Index named per row; map on the Taxonomy tab.</ns0:t>
        </ns0:is>
      </ns0:c>
    </ns0:row>
    <ns0:row r="61" ht="40" customHeight="1">
      <ns0:c r="A61" s="203" t="inlineStr">
        <ns0:is>
          <ns0:t>Since IPO</ns0:t>
        </ns0:is>
      </ns0:c>
      <ns0:c r="B61" s="165" t="inlineStr">
        <ns0:is>
          <ns0:t>Last available traded close vs offer; see Prices as of for each row. Suspended stocks retain their last trade, and their index leg ends on that same date.</ns0:t>
        </ns0:is>
      </ns0:c>
    </ns0:row>
    <ns0:row r="62" ht="40" customHeight="1">
      <ns0:c r="A62" s="203" t="inlineStr">
        <ns0:is>
          <ns0:t>Grey market</ns0:t>
        </ns0:is>
      </ns0:c>
      <ns0:c r="B62" s="165" t="inlineStr">
        <ns0:is>
          <ns0:t>Verified evening-session close / offer - 1, in %. Brokers can print different closes; hover the Database grey cell for venue, date and source. An open/intraday price is never a closing quote. Missing means unverified or no session, never a 0% return.</ns0:t>
        </ns0:is>
      </ns0:c>
    </ns0:row>
    <ns0:row r="63" ht="40" customHeight="1">
      <ns0:c r="A63" s="203" t="inlineStr">
        <ns0:is>
          <ns0:t>Revenue / NI</ns0:t>
        </ns0:is>
      </ns0:c>
      <ns0:c r="B63" s="165" t="inlineStr">
        <ns0:is>
          <ns0:t>Prospectus financial information, latest full year, converted to HK$ at a fixed rate.</ns0:t>
        </ns0:is>
      </ns0:c>
    </ns0:row>
    <ns0:row r="64" ht="40" customHeight="1">
      <ns0:c r="A64" s="203" t="inlineStr">
        <ns0:is>
          <ns0:t>P/E at IPO</ns0:t>
        </ns0:is>
      </ns0:c>
      <ns0:c r="B64" s="165" t="inlineStr">
        <ns0:is>
          <ns0:t>Market cap / latest FY net income. Loss-makers read n/m and carry P/S instead.</ns0:t>
        </ns0:is>
      </ns0:c>
    </ns0:row>
    <ns0:row r="65" ht="40" customHeight="1">
      <ns0:c r="A65" s="203" t="inlineStr">
        <ns0:is>
          <ns0:t>A prem vs H at IPO</ns0:t>
        </ns0:is>
      </ns0:c>
      <ns0:c r="B65" s="165" t="inlineStr">
        <ns0:is>
          <ns0:t>A-share close on the last session before the H listing, in HK$ at that day's rate, over the H offer price, minus 1. Checked by hand on CATL.</ns0:t>
        </ns0:is>
      </ns0:c>
    </ns0:row>
    <ns0:row r="66" ht="40" customHeight="1">
      <ns0:c r="A66" s="203" t="inlineStr">
        <ns0:is>
          <ns0:t>A premium (today)</ns0:t>
        </ns0:is>
      </ns0:c>
      <ns0:c r="B66" s="165" t="inlineStr">
        <ns0:is>
          <ns0:t>Latest A and H closes, same conversion.</ns0:t>
        </ns0:is>
      </ns0:c>
    </ns0:row>
    <ns0:row r="67" ht="40" customHeight="1">
      <ns0:c r="A67" s="203" t="inlineStr">
        <ns0:is>
          <ns0:t>Sponsors / Bookrunners</ns0:t>
        </ns0:is>
      </ns0:c>
      <ns0:c r="B67" s="165" t="inlineStr">
        <ns0:is>
          <ns0:t>Prospectus cover page. The AAStocks columns beside them are the same facts from the deal's AAStocks page.</ns0:t>
        </ns0:is>
      </ns0:c>
    </ns0:row>
    <ns0:row r="68" ht="40" customHeight="1">
      <ns0:c r="A68" s="203" t="inlineStr">
        <ns0:is>
          <ns0:t>Prospectus / Allotment / Stabilisation</ns0:t>
        </ns0:is>
      </ns0:c>
      <ns0:c r="B68" s="165" t="inlineStr">
        <ns0:is>
          <ns0:t>HKEX filing links, resolved per stock code.</ns0:t>
        </ns0:is>
      </ns0:c>
    </ns0:row>
  </ns0:sheetData>
  <ns0:mergeCells count="1">
    <ns0:mergeCell ref="A2:C2"/>
  </ns0:mergeCells>
  <ns0:printOptions horizontalCentered="1"/>
  <ns0:pageMargins left="0.75" right="0.75" top="1" bottom="1" header="0.5" footer="0.5"/>
  <ns0:pageSetup orientation="landscape" paperSize="8" fitToHeight="0" fitToWidth="1"/>
</ns0:worksheet>
</file>

<file path=xl/worksheets/sheet11.xml><?xml version="1.0" encoding="utf-8"?>
<worksheet xmlns="http://schemas.openxmlformats.org/spreadsheetml/2006/main">
  <sheetPr>
    <outlinePr summaryBelow="1" summaryRight="1"/>
    <pageSetUpPr fitToPage="1"/>
  </sheetPr>
  <dimension ref="A1:I28"/>
  <sheetViews>
    <sheetView showGridLines="0" zoomScale="95"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ht="30" customHeight="1">
      <c r="A1" s="16" t="inlineStr">
        <is>
          <t>SIZE BENCHMARKS</t>
        </is>
      </c>
    </row>
    <row r="2">
      <c r="A2" s="71" t="inlineStr">
        <is>
          <t>Blue thresholds are inputs; the counts recompute.</t>
        </is>
      </c>
    </row>
    <row r="3"/>
    <row r="4" ht="30" customHeight="1">
      <c r="A4" s="190" t="inlineStr">
        <is>
          <t>Bucket</t>
        </is>
      </c>
      <c r="B4" s="190" t="inlineStr">
        <is>
          <t>Min HK$m</t>
        </is>
      </c>
      <c r="D4" s="26" t="inlineStr">
        <is>
          <t>Year</t>
        </is>
      </c>
      <c r="E4" s="26" t="inlineStr">
        <is>
          <t>Mega</t>
        </is>
      </c>
      <c r="F4" s="26" t="inlineStr">
        <is>
          <t>Large</t>
        </is>
      </c>
      <c r="G4" s="26" t="inlineStr">
        <is>
          <t>Mid</t>
        </is>
      </c>
      <c r="H4" s="26" t="inlineStr">
        <is>
          <t>Small</t>
        </is>
      </c>
      <c r="I4" s="26" t="inlineStr">
        <is>
          <t>Sum HK$bn</t>
        </is>
      </c>
    </row>
    <row r="5">
      <c r="A5" s="32" t="inlineStr">
        <is>
          <t>Mega</t>
        </is>
      </c>
      <c r="B5" s="204" t="n">
        <v>20000</v>
      </c>
      <c r="D5" s="205" t="inlineStr">
        <is>
          <t>2021</t>
        </is>
      </c>
      <c r="E5" s="57">
        <f>COUNTIFS(Database!$H$5:$H$528,"&gt;="&amp;DATE(2021,1,1),Database!$H$5:$H$528,"&lt;="&amp;DATE(2021,12,31),Database!$I$5:$I$528,"&gt;="&amp;$B$5)</f>
        <v/>
      </c>
      <c r="F5" s="57">
        <f>COUNTIFS(Database!$H$5:$H$528,"&gt;="&amp;DATE(2021,1,1),Database!$H$5:$H$528,"&lt;="&amp;DATE(2021,12,31),Database!$I$5:$I$528,"&gt;="&amp;$B$6,Database!$I$5:$I$528,"&lt;"&amp;$B$5)</f>
        <v/>
      </c>
      <c r="G5" s="57">
        <f>COUNTIFS(Database!$H$5:$H$528,"&gt;="&amp;DATE(2021,1,1),Database!$H$5:$H$528,"&lt;="&amp;DATE(2021,12,31),Database!$I$5:$I$528,"&gt;="&amp;$B$7,Database!$I$5:$I$528,"&lt;"&amp;$B$6)</f>
        <v/>
      </c>
      <c r="H5" s="57">
        <f>COUNTIFS(Database!$H$5:$H$528,"&gt;="&amp;DATE(2021,1,1),Database!$H$5:$H$528,"&lt;="&amp;DATE(2021,12,31),Database!$I$5:$I$528,"&gt;="&amp;$B$8,Database!$I$5:$I$528,"&lt;"&amp;$B$7)</f>
        <v/>
      </c>
      <c r="I5" s="41">
        <f>SUMIFS(Database!$I$5:$I$528,Database!$H$5:$H$528,"&gt;="&amp;DATE(2021,1,1),Database!$H$5:$H$528,"&lt;="&amp;DATE(2021,12,31))/1000</f>
        <v/>
      </c>
    </row>
    <row r="6">
      <c r="A6" s="32" t="inlineStr">
        <is>
          <t>Large</t>
        </is>
      </c>
      <c r="B6" s="204" t="n">
        <v>5000</v>
      </c>
      <c r="D6" s="205" t="inlineStr">
        <is>
          <t>2022</t>
        </is>
      </c>
      <c r="E6" s="57">
        <f>COUNTIFS(Database!$H$5:$H$528,"&gt;="&amp;DATE(2022,1,1),Database!$H$5:$H$528,"&lt;="&amp;DATE(2022,12,31),Database!$I$5:$I$528,"&gt;="&amp;$B$5)</f>
        <v/>
      </c>
      <c r="F6" s="57">
        <f>COUNTIFS(Database!$H$5:$H$528,"&gt;="&amp;DATE(2022,1,1),Database!$H$5:$H$528,"&lt;="&amp;DATE(2022,12,31),Database!$I$5:$I$528,"&gt;="&amp;$B$6,Database!$I$5:$I$528,"&lt;"&amp;$B$5)</f>
        <v/>
      </c>
      <c r="G6" s="57">
        <f>COUNTIFS(Database!$H$5:$H$528,"&gt;="&amp;DATE(2022,1,1),Database!$H$5:$H$528,"&lt;="&amp;DATE(2022,12,31),Database!$I$5:$I$528,"&gt;="&amp;$B$7,Database!$I$5:$I$528,"&lt;"&amp;$B$6)</f>
        <v/>
      </c>
      <c r="H6" s="57">
        <f>COUNTIFS(Database!$H$5:$H$528,"&gt;="&amp;DATE(2022,1,1),Database!$H$5:$H$528,"&lt;="&amp;DATE(2022,12,31),Database!$I$5:$I$528,"&gt;="&amp;$B$8,Database!$I$5:$I$528,"&lt;"&amp;$B$7)</f>
        <v/>
      </c>
      <c r="I6" s="41">
        <f>SUMIFS(Database!$I$5:$I$528,Database!$H$5:$H$528,"&gt;="&amp;DATE(2022,1,1),Database!$H$5:$H$528,"&lt;="&amp;DATE(2022,12,31))/1000</f>
        <v/>
      </c>
    </row>
    <row r="7">
      <c r="A7" s="32" t="inlineStr">
        <is>
          <t>Mid</t>
        </is>
      </c>
      <c r="B7" s="204" t="n">
        <v>1000</v>
      </c>
      <c r="D7" s="205" t="inlineStr">
        <is>
          <t>2023</t>
        </is>
      </c>
      <c r="E7" s="57">
        <f>COUNTIFS(Database!$H$5:$H$528,"&gt;="&amp;DATE(2023,1,1),Database!$H$5:$H$528,"&lt;="&amp;DATE(2023,12,31),Database!$I$5:$I$528,"&gt;="&amp;$B$5)</f>
        <v/>
      </c>
      <c r="F7" s="57">
        <f>COUNTIFS(Database!$H$5:$H$528,"&gt;="&amp;DATE(2023,1,1),Database!$H$5:$H$528,"&lt;="&amp;DATE(2023,12,31),Database!$I$5:$I$528,"&gt;="&amp;$B$6,Database!$I$5:$I$528,"&lt;"&amp;$B$5)</f>
        <v/>
      </c>
      <c r="G7" s="57">
        <f>COUNTIFS(Database!$H$5:$H$528,"&gt;="&amp;DATE(2023,1,1),Database!$H$5:$H$528,"&lt;="&amp;DATE(2023,12,31),Database!$I$5:$I$528,"&gt;="&amp;$B$7,Database!$I$5:$I$528,"&lt;"&amp;$B$6)</f>
        <v/>
      </c>
      <c r="H7" s="57">
        <f>COUNTIFS(Database!$H$5:$H$528,"&gt;="&amp;DATE(2023,1,1),Database!$H$5:$H$528,"&lt;="&amp;DATE(2023,12,31),Database!$I$5:$I$528,"&gt;="&amp;$B$8,Database!$I$5:$I$528,"&lt;"&amp;$B$7)</f>
        <v/>
      </c>
      <c r="I7" s="41">
        <f>SUMIFS(Database!$I$5:$I$528,Database!$H$5:$H$528,"&gt;="&amp;DATE(2023,1,1),Database!$H$5:$H$528,"&lt;="&amp;DATE(2023,12,31))/1000</f>
        <v/>
      </c>
    </row>
    <row r="8">
      <c r="A8" s="32" t="inlineStr">
        <is>
          <t>Small</t>
        </is>
      </c>
      <c r="B8" s="204" t="n">
        <v>0</v>
      </c>
      <c r="D8" s="205" t="inlineStr">
        <is>
          <t>2024</t>
        </is>
      </c>
      <c r="E8" s="57">
        <f>COUNTIFS(Database!$H$5:$H$528,"&gt;="&amp;DATE(2024,1,1),Database!$H$5:$H$528,"&lt;="&amp;DATE(2024,12,31),Database!$I$5:$I$528,"&gt;="&amp;$B$5)</f>
        <v/>
      </c>
      <c r="F8" s="57">
        <f>COUNTIFS(Database!$H$5:$H$528,"&gt;="&amp;DATE(2024,1,1),Database!$H$5:$H$528,"&lt;="&amp;DATE(2024,12,31),Database!$I$5:$I$528,"&gt;="&amp;$B$6,Database!$I$5:$I$528,"&lt;"&amp;$B$5)</f>
        <v/>
      </c>
      <c r="G8" s="57">
        <f>COUNTIFS(Database!$H$5:$H$528,"&gt;="&amp;DATE(2024,1,1),Database!$H$5:$H$528,"&lt;="&amp;DATE(2024,12,31),Database!$I$5:$I$528,"&gt;="&amp;$B$7,Database!$I$5:$I$528,"&lt;"&amp;$B$6)</f>
        <v/>
      </c>
      <c r="H8" s="57">
        <f>COUNTIFS(Database!$H$5:$H$528,"&gt;="&amp;DATE(2024,1,1),Database!$H$5:$H$528,"&lt;="&amp;DATE(2024,12,31),Database!$I$5:$I$528,"&gt;="&amp;$B$8,Database!$I$5:$I$528,"&lt;"&amp;$B$7)</f>
        <v/>
      </c>
      <c r="I8" s="41">
        <f>SUMIFS(Database!$I$5:$I$528,Database!$H$5:$H$528,"&gt;="&amp;DATE(2024,1,1),Database!$H$5:$H$528,"&lt;="&amp;DATE(2024,12,31))/1000</f>
        <v/>
      </c>
    </row>
    <row r="9">
      <c r="D9" s="205" t="inlineStr">
        <is>
          <t>2025</t>
        </is>
      </c>
      <c r="E9" s="57">
        <f>COUNTIFS(Database!$H$5:$H$528,"&gt;="&amp;DATE(2025,1,1),Database!$H$5:$H$528,"&lt;="&amp;DATE(2025,12,31),Database!$I$5:$I$528,"&gt;="&amp;$B$5)</f>
        <v/>
      </c>
      <c r="F9" s="57">
        <f>COUNTIFS(Database!$H$5:$H$528,"&gt;="&amp;DATE(2025,1,1),Database!$H$5:$H$528,"&lt;="&amp;DATE(2025,12,31),Database!$I$5:$I$528,"&gt;="&amp;$B$6,Database!$I$5:$I$528,"&lt;"&amp;$B$5)</f>
        <v/>
      </c>
      <c r="G9" s="57">
        <f>COUNTIFS(Database!$H$5:$H$528,"&gt;="&amp;DATE(2025,1,1),Database!$H$5:$H$528,"&lt;="&amp;DATE(2025,12,31),Database!$I$5:$I$528,"&gt;="&amp;$B$7,Database!$I$5:$I$528,"&lt;"&amp;$B$6)</f>
        <v/>
      </c>
      <c r="H9" s="57">
        <f>COUNTIFS(Database!$H$5:$H$528,"&gt;="&amp;DATE(2025,1,1),Database!$H$5:$H$528,"&lt;="&amp;DATE(2025,12,31),Database!$I$5:$I$528,"&gt;="&amp;$B$8,Database!$I$5:$I$528,"&lt;"&amp;$B$7)</f>
        <v/>
      </c>
      <c r="I9" s="41">
        <f>SUMIFS(Database!$I$5:$I$528,Database!$H$5:$H$528,"&gt;="&amp;DATE(2025,1,1),Database!$H$5:$H$528,"&lt;="&amp;DATE(2025,12,31))/1000</f>
        <v/>
      </c>
    </row>
    <row r="10">
      <c r="D10" s="205" t="inlineStr">
        <is>
          <t>2026</t>
        </is>
      </c>
      <c r="E10" s="57">
        <f>COUNTIFS(Database!$H$5:$H$528,"&gt;="&amp;DATE(2026,1,1),Database!$H$5:$H$528,"&lt;="&amp;DATE(2026,12,31),Database!$I$5:$I$528,"&gt;="&amp;$B$5)</f>
        <v/>
      </c>
      <c r="F10" s="57">
        <f>COUNTIFS(Database!$H$5:$H$528,"&gt;="&amp;DATE(2026,1,1),Database!$H$5:$H$528,"&lt;="&amp;DATE(2026,12,31),Database!$I$5:$I$528,"&gt;="&amp;$B$6,Database!$I$5:$I$528,"&lt;"&amp;$B$5)</f>
        <v/>
      </c>
      <c r="G10" s="57">
        <f>COUNTIFS(Database!$H$5:$H$528,"&gt;="&amp;DATE(2026,1,1),Database!$H$5:$H$528,"&lt;="&amp;DATE(2026,12,31),Database!$I$5:$I$528,"&gt;="&amp;$B$7,Database!$I$5:$I$528,"&lt;"&amp;$B$6)</f>
        <v/>
      </c>
      <c r="H10" s="57">
        <f>COUNTIFS(Database!$H$5:$H$528,"&gt;="&amp;DATE(2026,1,1),Database!$H$5:$H$528,"&lt;="&amp;DATE(2026,12,31),Database!$I$5:$I$528,"&gt;="&amp;$B$8,Database!$I$5:$I$528,"&lt;"&amp;$B$7)</f>
        <v/>
      </c>
      <c r="I10" s="41">
        <f>SUMIFS(Database!$I$5:$I$528,Database!$H$5:$H$528,"&gt;="&amp;DATE(2026,1,1),Database!$H$5:$H$528,"&lt;="&amp;DATE(2026,12,31))/1000</f>
        <v/>
      </c>
    </row>
    <row r="11"/>
    <row r="12">
      <c r="A12" s="190" t="inlineStr">
        <is>
          <t>LARGEST DEALS (top 15 by proceeds)</t>
        </is>
      </c>
    </row>
    <row r="13" ht="30" customHeight="1">
      <c r="A13" s="26" t="inlineStr">
        <is>
          <t>Code</t>
        </is>
      </c>
      <c r="B13" s="26" t="inlineStr">
        <is>
          <t>Name</t>
        </is>
      </c>
      <c r="C13" s="26" t="inlineStr">
        <is>
          <t>IPO date</t>
        </is>
      </c>
      <c r="D13" s="26" t="inlineStr">
        <is>
          <t>HK$m</t>
        </is>
      </c>
      <c r="E13" s="26" t="inlineStr">
        <is>
          <t>Subsector</t>
        </is>
      </c>
    </row>
    <row r="14">
      <c r="A14" s="206" t="inlineStr">
        <is>
          <t>3308</t>
        </is>
      </c>
      <c r="B14" s="32" t="inlineStr">
        <is>
          <t>ZJ INNOLIGHT</t>
        </is>
      </c>
      <c r="C14" s="207" t="n">
        <v>46233</v>
      </c>
      <c r="D14" s="166" t="n">
        <v>53410</v>
      </c>
      <c r="E14" s="32" t="inlineStr">
        <is>
          <t>Hardware &amp; electronics</t>
        </is>
      </c>
    </row>
    <row r="15">
      <c r="A15" s="206" t="inlineStr">
        <is>
          <t>1024</t>
        </is>
      </c>
      <c r="B15" s="32" t="inlineStr">
        <is>
          <t>KUAISHOU-W</t>
        </is>
      </c>
      <c r="C15" s="207" t="n">
        <v>44232</v>
      </c>
      <c r="D15" s="166" t="n">
        <v>42000.1</v>
      </c>
      <c r="E15" s="32" t="inlineStr">
        <is>
          <t>Internet &amp; fintech</t>
        </is>
      </c>
    </row>
    <row r="16">
      <c r="A16" s="206" t="inlineStr">
        <is>
          <t>3750</t>
        </is>
      </c>
      <c r="B16" s="32" t="inlineStr">
        <is>
          <t>CATL</t>
        </is>
      </c>
      <c r="C16" s="207" t="n">
        <v>45797</v>
      </c>
      <c r="D16" s="166" t="n">
        <v>35657.2</v>
      </c>
      <c r="E16" s="32" t="inlineStr">
        <is>
          <t>Batteries / energy storage</t>
        </is>
      </c>
    </row>
    <row r="17">
      <c r="A17" s="206" t="inlineStr">
        <is>
          <t>0300</t>
        </is>
      </c>
      <c r="B17" s="32" t="inlineStr">
        <is>
          <t>MIDEA GROUP</t>
        </is>
      </c>
      <c r="C17" s="207" t="n">
        <v>45552</v>
      </c>
      <c r="D17" s="166" t="n">
        <v>31014</v>
      </c>
      <c r="E17" s="32" t="inlineStr">
        <is>
          <t>Hardware &amp; electronics</t>
        </is>
      </c>
    </row>
    <row r="18">
      <c r="A18" s="206" t="inlineStr">
        <is>
          <t>2259</t>
        </is>
      </c>
      <c r="B18" s="32" t="inlineStr">
        <is>
          <t>ZIJIN GOLD INTL</t>
        </is>
      </c>
      <c r="C18" s="207" t="n">
        <v>45930</v>
      </c>
      <c r="D18" s="166" t="n">
        <v>24984.2</v>
      </c>
      <c r="E18" s="32" t="inlineStr">
        <is>
          <t>Mining / metals</t>
        </is>
      </c>
    </row>
    <row r="19">
      <c r="A19" s="206" t="inlineStr">
        <is>
          <t>2618</t>
        </is>
      </c>
      <c r="B19" s="32" t="inlineStr">
        <is>
          <t>JD LOGISTICS</t>
        </is>
      </c>
      <c r="C19" s="207" t="n">
        <v>44344</v>
      </c>
      <c r="D19" s="166" t="n">
        <v>24585.7</v>
      </c>
      <c r="E19" s="32" t="inlineStr">
        <is>
          <t>Logistics</t>
        </is>
      </c>
    </row>
    <row r="20">
      <c r="A20" s="206" t="inlineStr">
        <is>
          <t>2475</t>
        </is>
      </c>
      <c r="B20" s="32" t="inlineStr">
        <is>
          <t>LUXSHARE ICT</t>
        </is>
      </c>
      <c r="C20" s="207" t="n">
        <v>46212</v>
      </c>
      <c r="D20" s="166" t="n">
        <v>24266.2</v>
      </c>
      <c r="E20" s="32" t="inlineStr">
        <is>
          <t>Hardware &amp; electronics</t>
        </is>
      </c>
    </row>
    <row r="21">
      <c r="A21" s="206" t="inlineStr">
        <is>
          <t>9888</t>
        </is>
      </c>
      <c r="B21" s="32" t="inlineStr">
        <is>
          <t>BIDU-SW</t>
        </is>
      </c>
      <c r="C21" s="207" t="n">
        <v>44278</v>
      </c>
      <c r="D21" s="166" t="n">
        <v>23940</v>
      </c>
      <c r="E21" s="32" t="inlineStr">
        <is>
          <t>Internet &amp; fintech</t>
        </is>
      </c>
    </row>
    <row r="22">
      <c r="A22" s="206" t="inlineStr">
        <is>
          <t>9626</t>
        </is>
      </c>
      <c r="B22" s="32" t="inlineStr">
        <is>
          <t>BILIBILI-SW</t>
        </is>
      </c>
      <c r="C22" s="207" t="n">
        <v>44284</v>
      </c>
      <c r="D22" s="166" t="n">
        <v>20200</v>
      </c>
      <c r="E22" s="32" t="inlineStr">
        <is>
          <t>Internet &amp; fintech</t>
        </is>
      </c>
    </row>
    <row r="23">
      <c r="A23" s="206" t="inlineStr">
        <is>
          <t>2476</t>
        </is>
      </c>
      <c r="B23" s="32" t="inlineStr">
        <is>
          <t>VGT</t>
        </is>
      </c>
      <c r="C23" s="207" t="n">
        <v>46133</v>
      </c>
      <c r="D23" s="166" t="n">
        <v>20117</v>
      </c>
      <c r="E23" s="32" t="inlineStr">
        <is>
          <t>Hardware &amp; electronics</t>
        </is>
      </c>
    </row>
    <row r="24">
      <c r="A24" s="206" t="inlineStr">
        <is>
          <t>2378</t>
        </is>
      </c>
      <c r="B24" s="32" t="inlineStr">
        <is>
          <t>PRU</t>
        </is>
      </c>
      <c r="C24" s="207" t="n">
        <v>44473</v>
      </c>
      <c r="D24" s="166" t="n">
        <v>18500</v>
      </c>
      <c r="E24" s="32" t="inlineStr">
        <is>
          <t>Insurance</t>
        </is>
      </c>
    </row>
    <row r="25">
      <c r="A25" s="206" t="inlineStr">
        <is>
          <t>1880</t>
        </is>
      </c>
      <c r="B25" s="32" t="inlineStr">
        <is>
          <t>CTG DUTY-FREE</t>
        </is>
      </c>
      <c r="C25" s="207" t="n">
        <v>44798</v>
      </c>
      <c r="D25" s="166" t="n">
        <v>16236.4</v>
      </c>
      <c r="E25" s="32" t="inlineStr">
        <is>
          <t>Retail / distribution</t>
        </is>
      </c>
    </row>
    <row r="26">
      <c r="A26" s="206" t="inlineStr">
        <is>
          <t>9927</t>
        </is>
      </c>
      <c r="B26" s="32" t="inlineStr">
        <is>
          <t>SERES</t>
        </is>
      </c>
      <c r="C26" s="207" t="n">
        <v>45966</v>
      </c>
      <c r="D26" s="166" t="n">
        <v>14283.4</v>
      </c>
      <c r="E26" s="32" t="inlineStr">
        <is>
          <t>Autos (NEV OEM)</t>
        </is>
      </c>
    </row>
    <row r="27">
      <c r="A27" s="206" t="inlineStr">
        <is>
          <t>9868</t>
        </is>
      </c>
      <c r="B27" s="32" t="inlineStr">
        <is>
          <t>XPENG-W</t>
        </is>
      </c>
      <c r="C27" s="207" t="n">
        <v>44384</v>
      </c>
      <c r="D27" s="166" t="n">
        <v>14025</v>
      </c>
      <c r="E27" s="32" t="inlineStr">
        <is>
          <t>Autos (NEV OEM)</t>
        </is>
      </c>
    </row>
    <row r="28">
      <c r="A28" s="206" t="inlineStr">
        <is>
          <t>0625</t>
        </is>
      </c>
      <c r="B28" s="32" t="inlineStr">
        <is>
          <t>SHEIN-W</t>
        </is>
      </c>
      <c r="C28" s="207" t="n">
        <v>46266</v>
      </c>
      <c r="D28" s="166" t="n">
        <v>13596.4</v>
      </c>
      <c r="E28" s="32" t="inlineStr">
        <is>
          <t>Apparel / luxury</t>
        </is>
      </c>
    </row>
  </sheetData>
  <printOptions horizontalCentered="1"/>
  <pageMargins left="0.75" right="0.75" top="1" bottom="1"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T530"/>
  <sheetViews>
    <sheetView showGridLines="0" zoomScale="95"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ht="30" customHeight="1">
      <c r="A1" s="16" t="inlineStr">
        <is>
          <t>BLOOMBERG CROSS-CHECK (terminal only)</t>
        </is>
      </c>
    </row>
    <row r="2" ht="34" customHeight="1">
      <c r="A2" s="17" t="inlineStr">
        <is>
          <t>Column B pulls each deal's Bloomberg IPO order ID; the columns after it feed off that ID and sit beside the scraped values. The BDS calls are heavy: let it run once, then paste values if you want it static.</t>
        </is>
      </c>
    </row>
    <row r="3"/>
    <row r="4" ht="56" customHeight="1">
      <c r="A4" s="26" t="inlineStr">
        <is>
          <t>Code / Name</t>
        </is>
      </c>
      <c r="B4" s="26" t="inlineStr">
        <is>
          <t>BBG IPO order ID</t>
        </is>
      </c>
      <c r="C4" s="26" t="inlineStr">
        <is>
          <t>Retail o/sub CP036</t>
        </is>
      </c>
      <c r="D4" s="26" t="inlineStr">
        <is>
          <t>Scraped public sub</t>
        </is>
      </c>
      <c r="E4" s="26" t="inlineStr">
        <is>
          <t>Instn o/sub CP037</t>
        </is>
      </c>
      <c r="F4" s="26" t="inlineStr">
        <is>
          <t>Scraped intl sub</t>
        </is>
      </c>
      <c r="G4" s="26" t="inlineStr">
        <is>
          <t>Greenshoe facility</t>
        </is>
      </c>
      <c r="H4" s="26" t="inlineStr">
        <is>
          <t>Shoe exercised (BBG)</t>
        </is>
      </c>
      <c r="I4" s="26" t="inlineStr">
        <is>
          <t>Shoe outcome (scraped)</t>
        </is>
      </c>
      <c r="J4" s="26" t="inlineStr">
        <is>
          <t>Current P/E (BBG)</t>
        </is>
      </c>
      <c r="K4" s="26" t="inlineStr">
        <is>
          <t>A/H conversion (BBG)</t>
        </is>
      </c>
      <c r="L4" s="26" t="inlineStr">
        <is>
          <t>A-share (scraped)</t>
        </is>
      </c>
      <c r="M4" s="26" t="inlineStr">
        <is>
          <t>Mkt cap at listing (BBG)</t>
        </is>
      </c>
      <c r="N4" s="26" t="inlineStr">
        <is>
          <t>Mkt cap (scraped)</t>
        </is>
      </c>
      <c r="O4" s="26" t="inlineStr">
        <is>
          <t>P/E at listing (BBG)</t>
        </is>
      </c>
      <c r="P4" s="26" t="inlineStr">
        <is>
          <t>P/E at IPO (scraped)</t>
        </is>
      </c>
      <c r="Q4" s="26" t="inlineStr">
        <is>
          <t>A-share P/E at H-IPO (BBG)</t>
        </is>
      </c>
      <c r="R4" s="26" t="inlineStr">
        <is>
          <t>HSAHP Index at IPO (BBG)</t>
        </is>
      </c>
      <c r="S4" s="26" t="inlineStr">
        <is>
          <t>P/S today (BBG)</t>
        </is>
      </c>
      <c r="T4" s="26" t="inlineStr">
        <is>
          <t>A security cap now (HK$m, BBG)</t>
        </is>
      </c>
    </row>
    <row r="5" ht="23" customHeight="1">
      <c r="A5" s="32">
        <f>Database!A5&amp;"  "&amp;Database!B5</f>
        <v/>
      </c>
      <c r="B5" s="24">
        <f>IFERROR(INDEX(BDS(TEXT(VALUE(Database!$A5),"0")&amp;" HK Equity","EQUITY_OFFERINGS","array=t","endcol=1"),MATCH("IPO",BDS(TEXT(VALUE(Database!$A5),"0")&amp;" HK Equity","EQUITY_OFFERINGS","array=t","startcol=2","endcol=2"),0)),"")</f>
        <v/>
      </c>
      <c r="C5" s="208">
        <f>IF($B5="","",IFERROR(BDP($B5&amp;" Action","CP036"),""))</f>
        <v/>
      </c>
      <c r="D5" s="209">
        <f>Database!S5</f>
        <v/>
      </c>
      <c r="E5" s="208">
        <f>IF($B5="","",IFERROR(BDP($B5&amp;" Action","CP037"),""))</f>
        <v/>
      </c>
      <c r="F5" s="209">
        <f>Database!T5</f>
        <v/>
      </c>
      <c r="G5" s="208">
        <f>IF($B5="","",IFERROR(BDP($B5&amp;" Action","GREENSHOE_FACILITY"),""))</f>
        <v/>
      </c>
      <c r="H5" s="208">
        <f>IF($B5="","",IFERROR(BDP($B5&amp;" Action","OFFERING_GREENSHOE_SHARES_EX"),""))</f>
        <v/>
      </c>
      <c r="I5" s="32">
        <f>Database!AE5</f>
        <v/>
      </c>
      <c r="J5" s="39">
        <f>IFERROR(BDP(TEXT(VALUE(Database!$A5),"0")&amp;" HK Equity","PE_RATIO"),"")</f>
        <v/>
      </c>
      <c r="K5" s="24">
        <f>IFERROR(BDP(TEXT(VALUE(Database!$A5),"0")&amp;" HK Equity","A/H_SHARE_CONVERSION"),"")</f>
        <v/>
      </c>
      <c r="L5" s="32">
        <f>IF(Database!BN5="","(none found)",Database!BN5)</f>
        <v/>
      </c>
      <c r="M5" s="34">
        <f>BDH(TEXT(VALUE(Database!$A5),"0")&amp;" HK Equity","CUR_MKT_CAP",Database!$H5,Database!$H5)</f>
        <v/>
      </c>
      <c r="N5" s="166">
        <f>Database!Q5</f>
        <v/>
      </c>
      <c r="O5" s="39">
        <f>BDH(TEXT(VALUE(Database!$A5),"0")&amp;" HK Equity","PE_RATIO",Database!$H5,Database!$H5)</f>
        <v/>
      </c>
      <c r="P5" s="199">
        <f>IF(Database!BH5="","(n/m or not derivable)",Database!BH5)</f>
        <v/>
      </c>
      <c r="Q5" s="39">
        <f>IF(Database!BN5="","",BDH(LEFT(Database!BN5,FIND(".",Database!BN5)-1)&amp;" CH Equity","PE_RATIO",Database!$H5,Database!$H5))</f>
        <v/>
      </c>
      <c r="R5" s="39">
        <f>IF(Database!BN5="","",BDH("HSAHP Index","PX_LAST",Database!$H5,Database!$H5))</f>
        <v/>
      </c>
      <c r="S5" s="39">
        <f>IFERROR(BDP(TEXT(VALUE(Database!$A5),"0")&amp;" HK Equity","PX_TO_SALES_RATIO"),"")</f>
        <v/>
      </c>
      <c r="T5" s="34">
        <f>IF(Database!BN5="","",IFERROR(BDP(LEFT(Database!BN5,FIND(".",Database!BN5)-1)&amp;" CH Equity","CUR_MKT_CAP")*BDP("CNYHKD Curncy","PX_LAST"),"Awaiting quote"))</f>
        <v/>
      </c>
    </row>
    <row r="6" ht="23" customHeight="1">
      <c r="A6" s="32">
        <f>Database!A6&amp;"  "&amp;Database!B6</f>
        <v/>
      </c>
      <c r="B6" s="24">
        <f>IFERROR(INDEX(BDS(TEXT(VALUE(Database!$A6),"0")&amp;" HK Equity","EQUITY_OFFERINGS","array=t","endcol=1"),MATCH("IPO",BDS(TEXT(VALUE(Database!$A6),"0")&amp;" HK Equity","EQUITY_OFFERINGS","array=t","startcol=2","endcol=2"),0)),"")</f>
        <v/>
      </c>
      <c r="C6" s="208">
        <f>IF($B6="","",IFERROR(BDP($B6&amp;" Action","CP036"),""))</f>
        <v/>
      </c>
      <c r="D6" s="209">
        <f>Database!S6</f>
        <v/>
      </c>
      <c r="E6" s="208">
        <f>IF($B6="","",IFERROR(BDP($B6&amp;" Action","CP037"),""))</f>
        <v/>
      </c>
      <c r="F6" s="209">
        <f>Database!T6</f>
        <v/>
      </c>
      <c r="G6" s="208">
        <f>IF($B6="","",IFERROR(BDP($B6&amp;" Action","GREENSHOE_FACILITY"),""))</f>
        <v/>
      </c>
      <c r="H6" s="208">
        <f>IF($B6="","",IFERROR(BDP($B6&amp;" Action","OFFERING_GREENSHOE_SHARES_EX"),""))</f>
        <v/>
      </c>
      <c r="I6" s="32">
        <f>Database!AE6</f>
        <v/>
      </c>
      <c r="J6" s="39">
        <f>IFERROR(BDP(TEXT(VALUE(Database!$A6),"0")&amp;" HK Equity","PE_RATIO"),"")</f>
        <v/>
      </c>
      <c r="K6" s="24">
        <f>IFERROR(BDP(TEXT(VALUE(Database!$A6),"0")&amp;" HK Equity","A/H_SHARE_CONVERSION"),"")</f>
        <v/>
      </c>
      <c r="L6" s="32">
        <f>IF(Database!BN6="","(none found)",Database!BN6)</f>
        <v/>
      </c>
      <c r="M6" s="34">
        <f>BDH(TEXT(VALUE(Database!$A6),"0")&amp;" HK Equity","CUR_MKT_CAP",Database!$H6,Database!$H6)</f>
        <v/>
      </c>
      <c r="N6" s="166">
        <f>Database!Q6</f>
        <v/>
      </c>
      <c r="O6" s="39">
        <f>BDH(TEXT(VALUE(Database!$A6),"0")&amp;" HK Equity","PE_RATIO",Database!$H6,Database!$H6)</f>
        <v/>
      </c>
      <c r="P6" s="199">
        <f>IF(Database!BH6="","(n/m or not derivable)",Database!BH6)</f>
        <v/>
      </c>
      <c r="Q6" s="39">
        <f>IF(Database!BN6="","",BDH(LEFT(Database!BN6,FIND(".",Database!BN6)-1)&amp;" CH Equity","PE_RATIO",Database!$H6,Database!$H6))</f>
        <v/>
      </c>
      <c r="R6" s="39">
        <f>IF(Database!BN6="","",BDH("HSAHP Index","PX_LAST",Database!$H6,Database!$H6))</f>
        <v/>
      </c>
      <c r="S6" s="39">
        <f>IFERROR(BDP(TEXT(VALUE(Database!$A6),"0")&amp;" HK Equity","PX_TO_SALES_RATIO"),"")</f>
        <v/>
      </c>
      <c r="T6" s="34">
        <f>IF(Database!BN6="","",IFERROR(BDP(LEFT(Database!BN6,FIND(".",Database!BN6)-1)&amp;" CH Equity","CUR_MKT_CAP")*BDP("CNYHKD Curncy","PX_LAST"),"Awaiting quote"))</f>
        <v/>
      </c>
    </row>
    <row r="7" ht="23" customHeight="1">
      <c r="A7" s="32">
        <f>Database!A7&amp;"  "&amp;Database!B7</f>
        <v/>
      </c>
      <c r="B7" s="24">
        <f>IFERROR(INDEX(BDS(TEXT(VALUE(Database!$A7),"0")&amp;" HK Equity","EQUITY_OFFERINGS","array=t","endcol=1"),MATCH("IPO",BDS(TEXT(VALUE(Database!$A7),"0")&amp;" HK Equity","EQUITY_OFFERINGS","array=t","startcol=2","endcol=2"),0)),"")</f>
        <v/>
      </c>
      <c r="C7" s="208">
        <f>IF($B7="","",IFERROR(BDP($B7&amp;" Action","CP036"),""))</f>
        <v/>
      </c>
      <c r="D7" s="209">
        <f>Database!S7</f>
        <v/>
      </c>
      <c r="E7" s="208">
        <f>IF($B7="","",IFERROR(BDP($B7&amp;" Action","CP037"),""))</f>
        <v/>
      </c>
      <c r="F7" s="209">
        <f>Database!T7</f>
        <v/>
      </c>
      <c r="G7" s="208">
        <f>IF($B7="","",IFERROR(BDP($B7&amp;" Action","GREENSHOE_FACILITY"),""))</f>
        <v/>
      </c>
      <c r="H7" s="208">
        <f>IF($B7="","",IFERROR(BDP($B7&amp;" Action","OFFERING_GREENSHOE_SHARES_EX"),""))</f>
        <v/>
      </c>
      <c r="I7" s="32">
        <f>Database!AE7</f>
        <v/>
      </c>
      <c r="J7" s="39">
        <f>IFERROR(BDP(TEXT(VALUE(Database!$A7),"0")&amp;" HK Equity","PE_RATIO"),"")</f>
        <v/>
      </c>
      <c r="K7" s="24">
        <f>IFERROR(BDP(TEXT(VALUE(Database!$A7),"0")&amp;" HK Equity","A/H_SHARE_CONVERSION"),"")</f>
        <v/>
      </c>
      <c r="L7" s="32">
        <f>IF(Database!BN7="","(none found)",Database!BN7)</f>
        <v/>
      </c>
      <c r="M7" s="34">
        <f>BDH(TEXT(VALUE(Database!$A7),"0")&amp;" HK Equity","CUR_MKT_CAP",Database!$H7,Database!$H7)</f>
        <v/>
      </c>
      <c r="N7" s="166">
        <f>Database!Q7</f>
        <v/>
      </c>
      <c r="O7" s="39">
        <f>BDH(TEXT(VALUE(Database!$A7),"0")&amp;" HK Equity","PE_RATIO",Database!$H7,Database!$H7)</f>
        <v/>
      </c>
      <c r="P7" s="199">
        <f>IF(Database!BH7="","(n/m or not derivable)",Database!BH7)</f>
        <v/>
      </c>
      <c r="Q7" s="39">
        <f>IF(Database!BN7="","",BDH(LEFT(Database!BN7,FIND(".",Database!BN7)-1)&amp;" CH Equity","PE_RATIO",Database!$H7,Database!$H7))</f>
        <v/>
      </c>
      <c r="R7" s="39">
        <f>IF(Database!BN7="","",BDH("HSAHP Index","PX_LAST",Database!$H7,Database!$H7))</f>
        <v/>
      </c>
      <c r="S7" s="39">
        <f>IFERROR(BDP(TEXT(VALUE(Database!$A7),"0")&amp;" HK Equity","PX_TO_SALES_RATIO"),"")</f>
        <v/>
      </c>
      <c r="T7" s="34">
        <f>IF(Database!BN7="","",IFERROR(BDP(LEFT(Database!BN7,FIND(".",Database!BN7)-1)&amp;" CH Equity","CUR_MKT_CAP")*BDP("CNYHKD Curncy","PX_LAST"),"Awaiting quote"))</f>
        <v/>
      </c>
    </row>
    <row r="8" ht="23" customHeight="1">
      <c r="A8" s="32">
        <f>Database!A8&amp;"  "&amp;Database!B8</f>
        <v/>
      </c>
      <c r="B8" s="24">
        <f>IFERROR(INDEX(BDS(TEXT(VALUE(Database!$A8),"0")&amp;" HK Equity","EQUITY_OFFERINGS","array=t","endcol=1"),MATCH("IPO",BDS(TEXT(VALUE(Database!$A8),"0")&amp;" HK Equity","EQUITY_OFFERINGS","array=t","startcol=2","endcol=2"),0)),"")</f>
        <v/>
      </c>
      <c r="C8" s="208">
        <f>IF($B8="","",IFERROR(BDP($B8&amp;" Action","CP036"),""))</f>
        <v/>
      </c>
      <c r="D8" s="209">
        <f>Database!S8</f>
        <v/>
      </c>
      <c r="E8" s="208">
        <f>IF($B8="","",IFERROR(BDP($B8&amp;" Action","CP037"),""))</f>
        <v/>
      </c>
      <c r="F8" s="209">
        <f>Database!T8</f>
        <v/>
      </c>
      <c r="G8" s="208">
        <f>IF($B8="","",IFERROR(BDP($B8&amp;" Action","GREENSHOE_FACILITY"),""))</f>
        <v/>
      </c>
      <c r="H8" s="208">
        <f>IF($B8="","",IFERROR(BDP($B8&amp;" Action","OFFERING_GREENSHOE_SHARES_EX"),""))</f>
        <v/>
      </c>
      <c r="I8" s="32">
        <f>Database!AE8</f>
        <v/>
      </c>
      <c r="J8" s="39">
        <f>IFERROR(BDP(TEXT(VALUE(Database!$A8),"0")&amp;" HK Equity","PE_RATIO"),"")</f>
        <v/>
      </c>
      <c r="K8" s="24">
        <f>IFERROR(BDP(TEXT(VALUE(Database!$A8),"0")&amp;" HK Equity","A/H_SHARE_CONVERSION"),"")</f>
        <v/>
      </c>
      <c r="L8" s="32">
        <f>IF(Database!BN8="","(none found)",Database!BN8)</f>
        <v/>
      </c>
      <c r="M8" s="34">
        <f>BDH(TEXT(VALUE(Database!$A8),"0")&amp;" HK Equity","CUR_MKT_CAP",Database!$H8,Database!$H8)</f>
        <v/>
      </c>
      <c r="N8" s="166">
        <f>Database!Q8</f>
        <v/>
      </c>
      <c r="O8" s="39">
        <f>BDH(TEXT(VALUE(Database!$A8),"0")&amp;" HK Equity","PE_RATIO",Database!$H8,Database!$H8)</f>
        <v/>
      </c>
      <c r="P8" s="199">
        <f>IF(Database!BH8="","(n/m or not derivable)",Database!BH8)</f>
        <v/>
      </c>
      <c r="Q8" s="39">
        <f>IF(Database!BN8="","",BDH(LEFT(Database!BN8,FIND(".",Database!BN8)-1)&amp;" CH Equity","PE_RATIO",Database!$H8,Database!$H8))</f>
        <v/>
      </c>
      <c r="R8" s="39">
        <f>IF(Database!BN8="","",BDH("HSAHP Index","PX_LAST",Database!$H8,Database!$H8))</f>
        <v/>
      </c>
      <c r="S8" s="39">
        <f>IFERROR(BDP(TEXT(VALUE(Database!$A8),"0")&amp;" HK Equity","PX_TO_SALES_RATIO"),"")</f>
        <v/>
      </c>
      <c r="T8" s="34">
        <f>IF(Database!BN8="","",IFERROR(BDP(LEFT(Database!BN8,FIND(".",Database!BN8)-1)&amp;" CH Equity","CUR_MKT_CAP")*BDP("CNYHKD Curncy","PX_LAST"),"Awaiting quote"))</f>
        <v/>
      </c>
    </row>
    <row r="9" ht="23" customHeight="1">
      <c r="A9" s="32">
        <f>Database!A9&amp;"  "&amp;Database!B9</f>
        <v/>
      </c>
      <c r="B9" s="24">
        <f>IFERROR(INDEX(BDS(TEXT(VALUE(Database!$A9),"0")&amp;" HK Equity","EQUITY_OFFERINGS","array=t","endcol=1"),MATCH("IPO",BDS(TEXT(VALUE(Database!$A9),"0")&amp;" HK Equity","EQUITY_OFFERINGS","array=t","startcol=2","endcol=2"),0)),"")</f>
        <v/>
      </c>
      <c r="C9" s="208">
        <f>IF($B9="","",IFERROR(BDP($B9&amp;" Action","CP036"),""))</f>
        <v/>
      </c>
      <c r="D9" s="209">
        <f>Database!S9</f>
        <v/>
      </c>
      <c r="E9" s="208">
        <f>IF($B9="","",IFERROR(BDP($B9&amp;" Action","CP037"),""))</f>
        <v/>
      </c>
      <c r="F9" s="209">
        <f>Database!T9</f>
        <v/>
      </c>
      <c r="G9" s="208">
        <f>IF($B9="","",IFERROR(BDP($B9&amp;" Action","GREENSHOE_FACILITY"),""))</f>
        <v/>
      </c>
      <c r="H9" s="208">
        <f>IF($B9="","",IFERROR(BDP($B9&amp;" Action","OFFERING_GREENSHOE_SHARES_EX"),""))</f>
        <v/>
      </c>
      <c r="I9" s="32">
        <f>Database!AE9</f>
        <v/>
      </c>
      <c r="J9" s="39">
        <f>IFERROR(BDP(TEXT(VALUE(Database!$A9),"0")&amp;" HK Equity","PE_RATIO"),"")</f>
        <v/>
      </c>
      <c r="K9" s="24">
        <f>IFERROR(BDP(TEXT(VALUE(Database!$A9),"0")&amp;" HK Equity","A/H_SHARE_CONVERSION"),"")</f>
        <v/>
      </c>
      <c r="L9" s="32">
        <f>IF(Database!BN9="","(none found)",Database!BN9)</f>
        <v/>
      </c>
      <c r="M9" s="34">
        <f>BDH(TEXT(VALUE(Database!$A9),"0")&amp;" HK Equity","CUR_MKT_CAP",Database!$H9,Database!$H9)</f>
        <v/>
      </c>
      <c r="N9" s="166">
        <f>Database!Q9</f>
        <v/>
      </c>
      <c r="O9" s="39">
        <f>BDH(TEXT(VALUE(Database!$A9),"0")&amp;" HK Equity","PE_RATIO",Database!$H9,Database!$H9)</f>
        <v/>
      </c>
      <c r="P9" s="199">
        <f>IF(Database!BH9="","(n/m or not derivable)",Database!BH9)</f>
        <v/>
      </c>
      <c r="Q9" s="39">
        <f>IF(Database!BN9="","",BDH(LEFT(Database!BN9,FIND(".",Database!BN9)-1)&amp;" CH Equity","PE_RATIO",Database!$H9,Database!$H9))</f>
        <v/>
      </c>
      <c r="R9" s="39">
        <f>IF(Database!BN9="","",BDH("HSAHP Index","PX_LAST",Database!$H9,Database!$H9))</f>
        <v/>
      </c>
      <c r="S9" s="39">
        <f>IFERROR(BDP(TEXT(VALUE(Database!$A9),"0")&amp;" HK Equity","PX_TO_SALES_RATIO"),"")</f>
        <v/>
      </c>
      <c r="T9" s="34">
        <f>IF(Database!BN9="","",IFERROR(BDP(LEFT(Database!BN9,FIND(".",Database!BN9)-1)&amp;" CH Equity","CUR_MKT_CAP")*BDP("CNYHKD Curncy","PX_LAST"),"Awaiting quote"))</f>
        <v/>
      </c>
    </row>
    <row r="10" ht="23" customHeight="1">
      <c r="A10" s="32">
        <f>Database!A10&amp;"  "&amp;Database!B10</f>
        <v/>
      </c>
      <c r="B10" s="24">
        <f>IFERROR(INDEX(BDS(TEXT(VALUE(Database!$A10),"0")&amp;" HK Equity","EQUITY_OFFERINGS","array=t","endcol=1"),MATCH("IPO",BDS(TEXT(VALUE(Database!$A10),"0")&amp;" HK Equity","EQUITY_OFFERINGS","array=t","startcol=2","endcol=2"),0)),"")</f>
        <v/>
      </c>
      <c r="C10" s="208">
        <f>IF($B10="","",IFERROR(BDP($B10&amp;" Action","CP036"),""))</f>
        <v/>
      </c>
      <c r="D10" s="209">
        <f>Database!S10</f>
        <v/>
      </c>
      <c r="E10" s="208">
        <f>IF($B10="","",IFERROR(BDP($B10&amp;" Action","CP037"),""))</f>
        <v/>
      </c>
      <c r="F10" s="209">
        <f>Database!T10</f>
        <v/>
      </c>
      <c r="G10" s="208">
        <f>IF($B10="","",IFERROR(BDP($B10&amp;" Action","GREENSHOE_FACILITY"),""))</f>
        <v/>
      </c>
      <c r="H10" s="208">
        <f>IF($B10="","",IFERROR(BDP($B10&amp;" Action","OFFERING_GREENSHOE_SHARES_EX"),""))</f>
        <v/>
      </c>
      <c r="I10" s="32">
        <f>Database!AE10</f>
        <v/>
      </c>
      <c r="J10" s="39">
        <f>IFERROR(BDP(TEXT(VALUE(Database!$A10),"0")&amp;" HK Equity","PE_RATIO"),"")</f>
        <v/>
      </c>
      <c r="K10" s="24">
        <f>IFERROR(BDP(TEXT(VALUE(Database!$A10),"0")&amp;" HK Equity","A/H_SHARE_CONVERSION"),"")</f>
        <v/>
      </c>
      <c r="L10" s="32">
        <f>IF(Database!BN10="","(none found)",Database!BN10)</f>
        <v/>
      </c>
      <c r="M10" s="34">
        <f>BDH(TEXT(VALUE(Database!$A10),"0")&amp;" HK Equity","CUR_MKT_CAP",Database!$H10,Database!$H10)</f>
        <v/>
      </c>
      <c r="N10" s="166">
        <f>Database!Q10</f>
        <v/>
      </c>
      <c r="O10" s="39">
        <f>BDH(TEXT(VALUE(Database!$A10),"0")&amp;" HK Equity","PE_RATIO",Database!$H10,Database!$H10)</f>
        <v/>
      </c>
      <c r="P10" s="199">
        <f>IF(Database!BH10="","(n/m or not derivable)",Database!BH10)</f>
        <v/>
      </c>
      <c r="Q10" s="39">
        <f>IF(Database!BN10="","",BDH(LEFT(Database!BN10,FIND(".",Database!BN10)-1)&amp;" CH Equity","PE_RATIO",Database!$H10,Database!$H10))</f>
        <v/>
      </c>
      <c r="R10" s="39">
        <f>IF(Database!BN10="","",BDH("HSAHP Index","PX_LAST",Database!$H10,Database!$H10))</f>
        <v/>
      </c>
      <c r="S10" s="39">
        <f>IFERROR(BDP(TEXT(VALUE(Database!$A10),"0")&amp;" HK Equity","PX_TO_SALES_RATIO"),"")</f>
        <v/>
      </c>
      <c r="T10" s="34">
        <f>IF(Database!BN10="","",IFERROR(BDP(LEFT(Database!BN10,FIND(".",Database!BN10)-1)&amp;" CH Equity","CUR_MKT_CAP")*BDP("CNYHKD Curncy","PX_LAST"),"Awaiting quote"))</f>
        <v/>
      </c>
    </row>
    <row r="11" ht="23" customHeight="1">
      <c r="A11" s="32">
        <f>Database!A11&amp;"  "&amp;Database!B11</f>
        <v/>
      </c>
      <c r="B11" s="24">
        <f>IFERROR(INDEX(BDS(TEXT(VALUE(Database!$A11),"0")&amp;" HK Equity","EQUITY_OFFERINGS","array=t","endcol=1"),MATCH("IPO",BDS(TEXT(VALUE(Database!$A11),"0")&amp;" HK Equity","EQUITY_OFFERINGS","array=t","startcol=2","endcol=2"),0)),"")</f>
        <v/>
      </c>
      <c r="C11" s="208">
        <f>IF($B11="","",IFERROR(BDP($B11&amp;" Action","CP036"),""))</f>
        <v/>
      </c>
      <c r="D11" s="209">
        <f>Database!S11</f>
        <v/>
      </c>
      <c r="E11" s="208">
        <f>IF($B11="","",IFERROR(BDP($B11&amp;" Action","CP037"),""))</f>
        <v/>
      </c>
      <c r="F11" s="209">
        <f>Database!T11</f>
        <v/>
      </c>
      <c r="G11" s="208">
        <f>IF($B11="","",IFERROR(BDP($B11&amp;" Action","GREENSHOE_FACILITY"),""))</f>
        <v/>
      </c>
      <c r="H11" s="208">
        <f>IF($B11="","",IFERROR(BDP($B11&amp;" Action","OFFERING_GREENSHOE_SHARES_EX"),""))</f>
        <v/>
      </c>
      <c r="I11" s="32">
        <f>Database!AE11</f>
        <v/>
      </c>
      <c r="J11" s="39">
        <f>IFERROR(BDP(TEXT(VALUE(Database!$A11),"0")&amp;" HK Equity","PE_RATIO"),"")</f>
        <v/>
      </c>
      <c r="K11" s="24">
        <f>IFERROR(BDP(TEXT(VALUE(Database!$A11),"0")&amp;" HK Equity","A/H_SHARE_CONVERSION"),"")</f>
        <v/>
      </c>
      <c r="L11" s="32">
        <f>IF(Database!BN11="","(none found)",Database!BN11)</f>
        <v/>
      </c>
      <c r="M11" s="34">
        <f>BDH(TEXT(VALUE(Database!$A11),"0")&amp;" HK Equity","CUR_MKT_CAP",Database!$H11,Database!$H11)</f>
        <v/>
      </c>
      <c r="N11" s="166">
        <f>Database!Q11</f>
        <v/>
      </c>
      <c r="O11" s="39">
        <f>BDH(TEXT(VALUE(Database!$A11),"0")&amp;" HK Equity","PE_RATIO",Database!$H11,Database!$H11)</f>
        <v/>
      </c>
      <c r="P11" s="199">
        <f>IF(Database!BH11="","(n/m or not derivable)",Database!BH11)</f>
        <v/>
      </c>
      <c r="Q11" s="39">
        <f>IF(Database!BN11="","",BDH(LEFT(Database!BN11,FIND(".",Database!BN11)-1)&amp;" CH Equity","PE_RATIO",Database!$H11,Database!$H11))</f>
        <v/>
      </c>
      <c r="R11" s="39">
        <f>IF(Database!BN11="","",BDH("HSAHP Index","PX_LAST",Database!$H11,Database!$H11))</f>
        <v/>
      </c>
      <c r="S11" s="39">
        <f>IFERROR(BDP(TEXT(VALUE(Database!$A11),"0")&amp;" HK Equity","PX_TO_SALES_RATIO"),"")</f>
        <v/>
      </c>
      <c r="T11" s="34">
        <f>IF(Database!BN11="","",IFERROR(BDP(LEFT(Database!BN11,FIND(".",Database!BN11)-1)&amp;" CH Equity","CUR_MKT_CAP")*BDP("CNYHKD Curncy","PX_LAST"),"Awaiting quote"))</f>
        <v/>
      </c>
    </row>
    <row r="12" ht="23" customHeight="1">
      <c r="A12" s="32">
        <f>Database!A12&amp;"  "&amp;Database!B12</f>
        <v/>
      </c>
      <c r="B12" s="24">
        <f>IFERROR(INDEX(BDS(TEXT(VALUE(Database!$A12),"0")&amp;" HK Equity","EQUITY_OFFERINGS","array=t","endcol=1"),MATCH("IPO",BDS(TEXT(VALUE(Database!$A12),"0")&amp;" HK Equity","EQUITY_OFFERINGS","array=t","startcol=2","endcol=2"),0)),"")</f>
        <v/>
      </c>
      <c r="C12" s="208">
        <f>IF($B12="","",IFERROR(BDP($B12&amp;" Action","CP036"),""))</f>
        <v/>
      </c>
      <c r="D12" s="209">
        <f>Database!S12</f>
        <v/>
      </c>
      <c r="E12" s="208">
        <f>IF($B12="","",IFERROR(BDP($B12&amp;" Action","CP037"),""))</f>
        <v/>
      </c>
      <c r="F12" s="209">
        <f>Database!T12</f>
        <v/>
      </c>
      <c r="G12" s="208">
        <f>IF($B12="","",IFERROR(BDP($B12&amp;" Action","GREENSHOE_FACILITY"),""))</f>
        <v/>
      </c>
      <c r="H12" s="208">
        <f>IF($B12="","",IFERROR(BDP($B12&amp;" Action","OFFERING_GREENSHOE_SHARES_EX"),""))</f>
        <v/>
      </c>
      <c r="I12" s="32">
        <f>Database!AE12</f>
        <v/>
      </c>
      <c r="J12" s="39">
        <f>IFERROR(BDP(TEXT(VALUE(Database!$A12),"0")&amp;" HK Equity","PE_RATIO"),"")</f>
        <v/>
      </c>
      <c r="K12" s="24">
        <f>IFERROR(BDP(TEXT(VALUE(Database!$A12),"0")&amp;" HK Equity","A/H_SHARE_CONVERSION"),"")</f>
        <v/>
      </c>
      <c r="L12" s="32">
        <f>IF(Database!BN12="","(none found)",Database!BN12)</f>
        <v/>
      </c>
      <c r="M12" s="34">
        <f>BDH(TEXT(VALUE(Database!$A12),"0")&amp;" HK Equity","CUR_MKT_CAP",Database!$H12,Database!$H12)</f>
        <v/>
      </c>
      <c r="N12" s="166">
        <f>Database!Q12</f>
        <v/>
      </c>
      <c r="O12" s="39">
        <f>BDH(TEXT(VALUE(Database!$A12),"0")&amp;" HK Equity","PE_RATIO",Database!$H12,Database!$H12)</f>
        <v/>
      </c>
      <c r="P12" s="199">
        <f>IF(Database!BH12="","(n/m or not derivable)",Database!BH12)</f>
        <v/>
      </c>
      <c r="Q12" s="39">
        <f>IF(Database!BN12="","",BDH(LEFT(Database!BN12,FIND(".",Database!BN12)-1)&amp;" CH Equity","PE_RATIO",Database!$H12,Database!$H12))</f>
        <v/>
      </c>
      <c r="R12" s="39">
        <f>IF(Database!BN12="","",BDH("HSAHP Index","PX_LAST",Database!$H12,Database!$H12))</f>
        <v/>
      </c>
      <c r="S12" s="39">
        <f>IFERROR(BDP(TEXT(VALUE(Database!$A12),"0")&amp;" HK Equity","PX_TO_SALES_RATIO"),"")</f>
        <v/>
      </c>
      <c r="T12" s="34">
        <f>IF(Database!BN12="","",IFERROR(BDP(LEFT(Database!BN12,FIND(".",Database!BN12)-1)&amp;" CH Equity","CUR_MKT_CAP")*BDP("CNYHKD Curncy","PX_LAST"),"Awaiting quote"))</f>
        <v/>
      </c>
    </row>
    <row r="13" ht="23" customHeight="1">
      <c r="A13" s="32">
        <f>Database!A13&amp;"  "&amp;Database!B13</f>
        <v/>
      </c>
      <c r="B13" s="24">
        <f>IFERROR(INDEX(BDS(TEXT(VALUE(Database!$A13),"0")&amp;" HK Equity","EQUITY_OFFERINGS","array=t","endcol=1"),MATCH("IPO",BDS(TEXT(VALUE(Database!$A13),"0")&amp;" HK Equity","EQUITY_OFFERINGS","array=t","startcol=2","endcol=2"),0)),"")</f>
        <v/>
      </c>
      <c r="C13" s="208">
        <f>IF($B13="","",IFERROR(BDP($B13&amp;" Action","CP036"),""))</f>
        <v/>
      </c>
      <c r="D13" s="209">
        <f>Database!S13</f>
        <v/>
      </c>
      <c r="E13" s="208">
        <f>IF($B13="","",IFERROR(BDP($B13&amp;" Action","CP037"),""))</f>
        <v/>
      </c>
      <c r="F13" s="209">
        <f>Database!T13</f>
        <v/>
      </c>
      <c r="G13" s="208">
        <f>IF($B13="","",IFERROR(BDP($B13&amp;" Action","GREENSHOE_FACILITY"),""))</f>
        <v/>
      </c>
      <c r="H13" s="208">
        <f>IF($B13="","",IFERROR(BDP($B13&amp;" Action","OFFERING_GREENSHOE_SHARES_EX"),""))</f>
        <v/>
      </c>
      <c r="I13" s="32">
        <f>Database!AE13</f>
        <v/>
      </c>
      <c r="J13" s="39">
        <f>IFERROR(BDP(TEXT(VALUE(Database!$A13),"0")&amp;" HK Equity","PE_RATIO"),"")</f>
        <v/>
      </c>
      <c r="K13" s="24">
        <f>IFERROR(BDP(TEXT(VALUE(Database!$A13),"0")&amp;" HK Equity","A/H_SHARE_CONVERSION"),"")</f>
        <v/>
      </c>
      <c r="L13" s="32">
        <f>IF(Database!BN13="","(none found)",Database!BN13)</f>
        <v/>
      </c>
      <c r="M13" s="34">
        <f>BDH(TEXT(VALUE(Database!$A13),"0")&amp;" HK Equity","CUR_MKT_CAP",Database!$H13,Database!$H13)</f>
        <v/>
      </c>
      <c r="N13" s="166">
        <f>Database!Q13</f>
        <v/>
      </c>
      <c r="O13" s="39">
        <f>BDH(TEXT(VALUE(Database!$A13),"0")&amp;" HK Equity","PE_RATIO",Database!$H13,Database!$H13)</f>
        <v/>
      </c>
      <c r="P13" s="199">
        <f>IF(Database!BH13="","(n/m or not derivable)",Database!BH13)</f>
        <v/>
      </c>
      <c r="Q13" s="39">
        <f>IF(Database!BN13="","",BDH(LEFT(Database!BN13,FIND(".",Database!BN13)-1)&amp;" CH Equity","PE_RATIO",Database!$H13,Database!$H13))</f>
        <v/>
      </c>
      <c r="R13" s="39">
        <f>IF(Database!BN13="","",BDH("HSAHP Index","PX_LAST",Database!$H13,Database!$H13))</f>
        <v/>
      </c>
      <c r="S13" s="39">
        <f>IFERROR(BDP(TEXT(VALUE(Database!$A13),"0")&amp;" HK Equity","PX_TO_SALES_RATIO"),"")</f>
        <v/>
      </c>
      <c r="T13" s="34">
        <f>IF(Database!BN13="","",IFERROR(BDP(LEFT(Database!BN13,FIND(".",Database!BN13)-1)&amp;" CH Equity","CUR_MKT_CAP")*BDP("CNYHKD Curncy","PX_LAST"),"Awaiting quote"))</f>
        <v/>
      </c>
    </row>
    <row r="14" ht="23" customHeight="1">
      <c r="A14" s="32">
        <f>Database!A14&amp;"  "&amp;Database!B14</f>
        <v/>
      </c>
      <c r="B14" s="24">
        <f>IFERROR(INDEX(BDS(TEXT(VALUE(Database!$A14),"0")&amp;" HK Equity","EQUITY_OFFERINGS","array=t","endcol=1"),MATCH("IPO",BDS(TEXT(VALUE(Database!$A14),"0")&amp;" HK Equity","EQUITY_OFFERINGS","array=t","startcol=2","endcol=2"),0)),"")</f>
        <v/>
      </c>
      <c r="C14" s="208">
        <f>IF($B14="","",IFERROR(BDP($B14&amp;" Action","CP036"),""))</f>
        <v/>
      </c>
      <c r="D14" s="209">
        <f>Database!S14</f>
        <v/>
      </c>
      <c r="E14" s="208">
        <f>IF($B14="","",IFERROR(BDP($B14&amp;" Action","CP037"),""))</f>
        <v/>
      </c>
      <c r="F14" s="209">
        <f>Database!T14</f>
        <v/>
      </c>
      <c r="G14" s="208">
        <f>IF($B14="","",IFERROR(BDP($B14&amp;" Action","GREENSHOE_FACILITY"),""))</f>
        <v/>
      </c>
      <c r="H14" s="208">
        <f>IF($B14="","",IFERROR(BDP($B14&amp;" Action","OFFERING_GREENSHOE_SHARES_EX"),""))</f>
        <v/>
      </c>
      <c r="I14" s="32">
        <f>Database!AE14</f>
        <v/>
      </c>
      <c r="J14" s="39">
        <f>IFERROR(BDP(TEXT(VALUE(Database!$A14),"0")&amp;" HK Equity","PE_RATIO"),"")</f>
        <v/>
      </c>
      <c r="K14" s="24">
        <f>IFERROR(BDP(TEXT(VALUE(Database!$A14),"0")&amp;" HK Equity","A/H_SHARE_CONVERSION"),"")</f>
        <v/>
      </c>
      <c r="L14" s="32">
        <f>IF(Database!BN14="","(none found)",Database!BN14)</f>
        <v/>
      </c>
      <c r="M14" s="34">
        <f>BDH(TEXT(VALUE(Database!$A14),"0")&amp;" HK Equity","CUR_MKT_CAP",Database!$H14,Database!$H14)</f>
        <v/>
      </c>
      <c r="N14" s="166">
        <f>Database!Q14</f>
        <v/>
      </c>
      <c r="O14" s="39">
        <f>BDH(TEXT(VALUE(Database!$A14),"0")&amp;" HK Equity","PE_RATIO",Database!$H14,Database!$H14)</f>
        <v/>
      </c>
      <c r="P14" s="199">
        <f>IF(Database!BH14="","(n/m or not derivable)",Database!BH14)</f>
        <v/>
      </c>
      <c r="Q14" s="39">
        <f>IF(Database!BN14="","",BDH(LEFT(Database!BN14,FIND(".",Database!BN14)-1)&amp;" CH Equity","PE_RATIO",Database!$H14,Database!$H14))</f>
        <v/>
      </c>
      <c r="R14" s="39">
        <f>IF(Database!BN14="","",BDH("HSAHP Index","PX_LAST",Database!$H14,Database!$H14))</f>
        <v/>
      </c>
      <c r="S14" s="39">
        <f>IFERROR(BDP(TEXT(VALUE(Database!$A14),"0")&amp;" HK Equity","PX_TO_SALES_RATIO"),"")</f>
        <v/>
      </c>
      <c r="T14" s="34">
        <f>IF(Database!BN14="","",IFERROR(BDP(LEFT(Database!BN14,FIND(".",Database!BN14)-1)&amp;" CH Equity","CUR_MKT_CAP")*BDP("CNYHKD Curncy","PX_LAST"),"Awaiting quote"))</f>
        <v/>
      </c>
    </row>
    <row r="15" ht="23" customHeight="1">
      <c r="A15" s="32">
        <f>Database!A15&amp;"  "&amp;Database!B15</f>
        <v/>
      </c>
      <c r="B15" s="24">
        <f>IFERROR(INDEX(BDS(TEXT(VALUE(Database!$A15),"0")&amp;" HK Equity","EQUITY_OFFERINGS","array=t","endcol=1"),MATCH("IPO",BDS(TEXT(VALUE(Database!$A15),"0")&amp;" HK Equity","EQUITY_OFFERINGS","array=t","startcol=2","endcol=2"),0)),"")</f>
        <v/>
      </c>
      <c r="C15" s="208">
        <f>IF($B15="","",IFERROR(BDP($B15&amp;" Action","CP036"),""))</f>
        <v/>
      </c>
      <c r="D15" s="209">
        <f>Database!S15</f>
        <v/>
      </c>
      <c r="E15" s="208">
        <f>IF($B15="","",IFERROR(BDP($B15&amp;" Action","CP037"),""))</f>
        <v/>
      </c>
      <c r="F15" s="209">
        <f>Database!T15</f>
        <v/>
      </c>
      <c r="G15" s="208">
        <f>IF($B15="","",IFERROR(BDP($B15&amp;" Action","GREENSHOE_FACILITY"),""))</f>
        <v/>
      </c>
      <c r="H15" s="208">
        <f>IF($B15="","",IFERROR(BDP($B15&amp;" Action","OFFERING_GREENSHOE_SHARES_EX"),""))</f>
        <v/>
      </c>
      <c r="I15" s="32">
        <f>Database!AE15</f>
        <v/>
      </c>
      <c r="J15" s="39">
        <f>IFERROR(BDP(TEXT(VALUE(Database!$A15),"0")&amp;" HK Equity","PE_RATIO"),"")</f>
        <v/>
      </c>
      <c r="K15" s="24">
        <f>IFERROR(BDP(TEXT(VALUE(Database!$A15),"0")&amp;" HK Equity","A/H_SHARE_CONVERSION"),"")</f>
        <v/>
      </c>
      <c r="L15" s="32">
        <f>IF(Database!BN15="","(none found)",Database!BN15)</f>
        <v/>
      </c>
      <c r="M15" s="34">
        <f>BDH(TEXT(VALUE(Database!$A15),"0")&amp;" HK Equity","CUR_MKT_CAP",Database!$H15,Database!$H15)</f>
        <v/>
      </c>
      <c r="N15" s="166">
        <f>Database!Q15</f>
        <v/>
      </c>
      <c r="O15" s="39">
        <f>BDH(TEXT(VALUE(Database!$A15),"0")&amp;" HK Equity","PE_RATIO",Database!$H15,Database!$H15)</f>
        <v/>
      </c>
      <c r="P15" s="199">
        <f>IF(Database!BH15="","(n/m or not derivable)",Database!BH15)</f>
        <v/>
      </c>
      <c r="Q15" s="39">
        <f>IF(Database!BN15="","",BDH(LEFT(Database!BN15,FIND(".",Database!BN15)-1)&amp;" CH Equity","PE_RATIO",Database!$H15,Database!$H15))</f>
        <v/>
      </c>
      <c r="R15" s="39">
        <f>IF(Database!BN15="","",BDH("HSAHP Index","PX_LAST",Database!$H15,Database!$H15))</f>
        <v/>
      </c>
      <c r="S15" s="39">
        <f>IFERROR(BDP(TEXT(VALUE(Database!$A15),"0")&amp;" HK Equity","PX_TO_SALES_RATIO"),"")</f>
        <v/>
      </c>
      <c r="T15" s="34">
        <f>IF(Database!BN15="","",IFERROR(BDP(LEFT(Database!BN15,FIND(".",Database!BN15)-1)&amp;" CH Equity","CUR_MKT_CAP")*BDP("CNYHKD Curncy","PX_LAST"),"Awaiting quote"))</f>
        <v/>
      </c>
    </row>
    <row r="16" ht="23" customHeight="1">
      <c r="A16" s="32">
        <f>Database!A16&amp;"  "&amp;Database!B16</f>
        <v/>
      </c>
      <c r="B16" s="24">
        <f>IFERROR(INDEX(BDS(TEXT(VALUE(Database!$A16),"0")&amp;" HK Equity","EQUITY_OFFERINGS","array=t","endcol=1"),MATCH("IPO",BDS(TEXT(VALUE(Database!$A16),"0")&amp;" HK Equity","EQUITY_OFFERINGS","array=t","startcol=2","endcol=2"),0)),"")</f>
        <v/>
      </c>
      <c r="C16" s="208">
        <f>IF($B16="","",IFERROR(BDP($B16&amp;" Action","CP036"),""))</f>
        <v/>
      </c>
      <c r="D16" s="209">
        <f>Database!S16</f>
        <v/>
      </c>
      <c r="E16" s="208">
        <f>IF($B16="","",IFERROR(BDP($B16&amp;" Action","CP037"),""))</f>
        <v/>
      </c>
      <c r="F16" s="209">
        <f>Database!T16</f>
        <v/>
      </c>
      <c r="G16" s="208">
        <f>IF($B16="","",IFERROR(BDP($B16&amp;" Action","GREENSHOE_FACILITY"),""))</f>
        <v/>
      </c>
      <c r="H16" s="208">
        <f>IF($B16="","",IFERROR(BDP($B16&amp;" Action","OFFERING_GREENSHOE_SHARES_EX"),""))</f>
        <v/>
      </c>
      <c r="I16" s="32">
        <f>Database!AE16</f>
        <v/>
      </c>
      <c r="J16" s="39">
        <f>IFERROR(BDP(TEXT(VALUE(Database!$A16),"0")&amp;" HK Equity","PE_RATIO"),"")</f>
        <v/>
      </c>
      <c r="K16" s="24">
        <f>IFERROR(BDP(TEXT(VALUE(Database!$A16),"0")&amp;" HK Equity","A/H_SHARE_CONVERSION"),"")</f>
        <v/>
      </c>
      <c r="L16" s="32">
        <f>IF(Database!BN16="","(none found)",Database!BN16)</f>
        <v/>
      </c>
      <c r="M16" s="34">
        <f>BDH(TEXT(VALUE(Database!$A16),"0")&amp;" HK Equity","CUR_MKT_CAP",Database!$H16,Database!$H16)</f>
        <v/>
      </c>
      <c r="N16" s="166">
        <f>Database!Q16</f>
        <v/>
      </c>
      <c r="O16" s="39">
        <f>BDH(TEXT(VALUE(Database!$A16),"0")&amp;" HK Equity","PE_RATIO",Database!$H16,Database!$H16)</f>
        <v/>
      </c>
      <c r="P16" s="199">
        <f>IF(Database!BH16="","(n/m or not derivable)",Database!BH16)</f>
        <v/>
      </c>
      <c r="Q16" s="39">
        <f>IF(Database!BN16="","",BDH(LEFT(Database!BN16,FIND(".",Database!BN16)-1)&amp;" CH Equity","PE_RATIO",Database!$H16,Database!$H16))</f>
        <v/>
      </c>
      <c r="R16" s="39">
        <f>IF(Database!BN16="","",BDH("HSAHP Index","PX_LAST",Database!$H16,Database!$H16))</f>
        <v/>
      </c>
      <c r="S16" s="39">
        <f>IFERROR(BDP(TEXT(VALUE(Database!$A16),"0")&amp;" HK Equity","PX_TO_SALES_RATIO"),"")</f>
        <v/>
      </c>
      <c r="T16" s="34">
        <f>IF(Database!BN16="","",IFERROR(BDP(LEFT(Database!BN16,FIND(".",Database!BN16)-1)&amp;" CH Equity","CUR_MKT_CAP")*BDP("CNYHKD Curncy","PX_LAST"),"Awaiting quote"))</f>
        <v/>
      </c>
    </row>
    <row r="17" ht="23" customHeight="1">
      <c r="A17" s="32">
        <f>Database!A17&amp;"  "&amp;Database!B17</f>
        <v/>
      </c>
      <c r="B17" s="24">
        <f>IFERROR(INDEX(BDS(TEXT(VALUE(Database!$A17),"0")&amp;" HK Equity","EQUITY_OFFERINGS","array=t","endcol=1"),MATCH("IPO",BDS(TEXT(VALUE(Database!$A17),"0")&amp;" HK Equity","EQUITY_OFFERINGS","array=t","startcol=2","endcol=2"),0)),"")</f>
        <v/>
      </c>
      <c r="C17" s="208">
        <f>IF($B17="","",IFERROR(BDP($B17&amp;" Action","CP036"),""))</f>
        <v/>
      </c>
      <c r="D17" s="209">
        <f>Database!S17</f>
        <v/>
      </c>
      <c r="E17" s="208">
        <f>IF($B17="","",IFERROR(BDP($B17&amp;" Action","CP037"),""))</f>
        <v/>
      </c>
      <c r="F17" s="209">
        <f>Database!T17</f>
        <v/>
      </c>
      <c r="G17" s="208">
        <f>IF($B17="","",IFERROR(BDP($B17&amp;" Action","GREENSHOE_FACILITY"),""))</f>
        <v/>
      </c>
      <c r="H17" s="208">
        <f>IF($B17="","",IFERROR(BDP($B17&amp;" Action","OFFERING_GREENSHOE_SHARES_EX"),""))</f>
        <v/>
      </c>
      <c r="I17" s="32">
        <f>Database!AE17</f>
        <v/>
      </c>
      <c r="J17" s="39">
        <f>IFERROR(BDP(TEXT(VALUE(Database!$A17),"0")&amp;" HK Equity","PE_RATIO"),"")</f>
        <v/>
      </c>
      <c r="K17" s="24">
        <f>IFERROR(BDP(TEXT(VALUE(Database!$A17),"0")&amp;" HK Equity","A/H_SHARE_CONVERSION"),"")</f>
        <v/>
      </c>
      <c r="L17" s="32">
        <f>IF(Database!BN17="","(none found)",Database!BN17)</f>
        <v/>
      </c>
      <c r="M17" s="34">
        <f>BDH(TEXT(VALUE(Database!$A17),"0")&amp;" HK Equity","CUR_MKT_CAP",Database!$H17,Database!$H17)</f>
        <v/>
      </c>
      <c r="N17" s="166">
        <f>Database!Q17</f>
        <v/>
      </c>
      <c r="O17" s="39">
        <f>BDH(TEXT(VALUE(Database!$A17),"0")&amp;" HK Equity","PE_RATIO",Database!$H17,Database!$H17)</f>
        <v/>
      </c>
      <c r="P17" s="199">
        <f>IF(Database!BH17="","(n/m or not derivable)",Database!BH17)</f>
        <v/>
      </c>
      <c r="Q17" s="39">
        <f>IF(Database!BN17="","",BDH(LEFT(Database!BN17,FIND(".",Database!BN17)-1)&amp;" CH Equity","PE_RATIO",Database!$H17,Database!$H17))</f>
        <v/>
      </c>
      <c r="R17" s="39">
        <f>IF(Database!BN17="","",BDH("HSAHP Index","PX_LAST",Database!$H17,Database!$H17))</f>
        <v/>
      </c>
      <c r="S17" s="39">
        <f>IFERROR(BDP(TEXT(VALUE(Database!$A17),"0")&amp;" HK Equity","PX_TO_SALES_RATIO"),"")</f>
        <v/>
      </c>
      <c r="T17" s="34">
        <f>IF(Database!BN17="","",IFERROR(BDP(LEFT(Database!BN17,FIND(".",Database!BN17)-1)&amp;" CH Equity","CUR_MKT_CAP")*BDP("CNYHKD Curncy","PX_LAST"),"Awaiting quote"))</f>
        <v/>
      </c>
    </row>
    <row r="18" ht="23" customHeight="1">
      <c r="A18" s="32">
        <f>Database!A18&amp;"  "&amp;Database!B18</f>
        <v/>
      </c>
      <c r="B18" s="24">
        <f>IFERROR(INDEX(BDS(TEXT(VALUE(Database!$A18),"0")&amp;" HK Equity","EQUITY_OFFERINGS","array=t","endcol=1"),MATCH("IPO",BDS(TEXT(VALUE(Database!$A18),"0")&amp;" HK Equity","EQUITY_OFFERINGS","array=t","startcol=2","endcol=2"),0)),"")</f>
        <v/>
      </c>
      <c r="C18" s="208">
        <f>IF($B18="","",IFERROR(BDP($B18&amp;" Action","CP036"),""))</f>
        <v/>
      </c>
      <c r="D18" s="209">
        <f>Database!S18</f>
        <v/>
      </c>
      <c r="E18" s="208">
        <f>IF($B18="","",IFERROR(BDP($B18&amp;" Action","CP037"),""))</f>
        <v/>
      </c>
      <c r="F18" s="209">
        <f>Database!T18</f>
        <v/>
      </c>
      <c r="G18" s="208">
        <f>IF($B18="","",IFERROR(BDP($B18&amp;" Action","GREENSHOE_FACILITY"),""))</f>
        <v/>
      </c>
      <c r="H18" s="208">
        <f>IF($B18="","",IFERROR(BDP($B18&amp;" Action","OFFERING_GREENSHOE_SHARES_EX"),""))</f>
        <v/>
      </c>
      <c r="I18" s="32">
        <f>Database!AE18</f>
        <v/>
      </c>
      <c r="J18" s="39">
        <f>IFERROR(BDP(TEXT(VALUE(Database!$A18),"0")&amp;" HK Equity","PE_RATIO"),"")</f>
        <v/>
      </c>
      <c r="K18" s="24">
        <f>IFERROR(BDP(TEXT(VALUE(Database!$A18),"0")&amp;" HK Equity","A/H_SHARE_CONVERSION"),"")</f>
        <v/>
      </c>
      <c r="L18" s="32">
        <f>IF(Database!BN18="","(none found)",Database!BN18)</f>
        <v/>
      </c>
      <c r="M18" s="34">
        <f>BDH(TEXT(VALUE(Database!$A18),"0")&amp;" HK Equity","CUR_MKT_CAP",Database!$H18,Database!$H18)</f>
        <v/>
      </c>
      <c r="N18" s="166">
        <f>Database!Q18</f>
        <v/>
      </c>
      <c r="O18" s="39">
        <f>BDH(TEXT(VALUE(Database!$A18),"0")&amp;" HK Equity","PE_RATIO",Database!$H18,Database!$H18)</f>
        <v/>
      </c>
      <c r="P18" s="199">
        <f>IF(Database!BH18="","(n/m or not derivable)",Database!BH18)</f>
        <v/>
      </c>
      <c r="Q18" s="39">
        <f>IF(Database!BN18="","",BDH(LEFT(Database!BN18,FIND(".",Database!BN18)-1)&amp;" CH Equity","PE_RATIO",Database!$H18,Database!$H18))</f>
        <v/>
      </c>
      <c r="R18" s="39">
        <f>IF(Database!BN18="","",BDH("HSAHP Index","PX_LAST",Database!$H18,Database!$H18))</f>
        <v/>
      </c>
      <c r="S18" s="39">
        <f>IFERROR(BDP(TEXT(VALUE(Database!$A18),"0")&amp;" HK Equity","PX_TO_SALES_RATIO"),"")</f>
        <v/>
      </c>
      <c r="T18" s="34">
        <f>IF(Database!BN18="","",IFERROR(BDP(LEFT(Database!BN18,FIND(".",Database!BN18)-1)&amp;" CH Equity","CUR_MKT_CAP")*BDP("CNYHKD Curncy","PX_LAST"),"Awaiting quote"))</f>
        <v/>
      </c>
    </row>
    <row r="19" ht="23" customHeight="1">
      <c r="A19" s="32">
        <f>Database!A19&amp;"  "&amp;Database!B19</f>
        <v/>
      </c>
      <c r="B19" s="24">
        <f>IFERROR(INDEX(BDS(TEXT(VALUE(Database!$A19),"0")&amp;" HK Equity","EQUITY_OFFERINGS","array=t","endcol=1"),MATCH("IPO",BDS(TEXT(VALUE(Database!$A19),"0")&amp;" HK Equity","EQUITY_OFFERINGS","array=t","startcol=2","endcol=2"),0)),"")</f>
        <v/>
      </c>
      <c r="C19" s="208">
        <f>IF($B19="","",IFERROR(BDP($B19&amp;" Action","CP036"),""))</f>
        <v/>
      </c>
      <c r="D19" s="209">
        <f>Database!S19</f>
        <v/>
      </c>
      <c r="E19" s="208">
        <f>IF($B19="","",IFERROR(BDP($B19&amp;" Action","CP037"),""))</f>
        <v/>
      </c>
      <c r="F19" s="209">
        <f>Database!T19</f>
        <v/>
      </c>
      <c r="G19" s="208">
        <f>IF($B19="","",IFERROR(BDP($B19&amp;" Action","GREENSHOE_FACILITY"),""))</f>
        <v/>
      </c>
      <c r="H19" s="208">
        <f>IF($B19="","",IFERROR(BDP($B19&amp;" Action","OFFERING_GREENSHOE_SHARES_EX"),""))</f>
        <v/>
      </c>
      <c r="I19" s="32">
        <f>Database!AE19</f>
        <v/>
      </c>
      <c r="J19" s="39">
        <f>IFERROR(BDP(TEXT(VALUE(Database!$A19),"0")&amp;" HK Equity","PE_RATIO"),"")</f>
        <v/>
      </c>
      <c r="K19" s="24">
        <f>IFERROR(BDP(TEXT(VALUE(Database!$A19),"0")&amp;" HK Equity","A/H_SHARE_CONVERSION"),"")</f>
        <v/>
      </c>
      <c r="L19" s="32">
        <f>IF(Database!BN19="","(none found)",Database!BN19)</f>
        <v/>
      </c>
      <c r="M19" s="34">
        <f>BDH(TEXT(VALUE(Database!$A19),"0")&amp;" HK Equity","CUR_MKT_CAP",Database!$H19,Database!$H19)</f>
        <v/>
      </c>
      <c r="N19" s="166">
        <f>Database!Q19</f>
        <v/>
      </c>
      <c r="O19" s="39">
        <f>BDH(TEXT(VALUE(Database!$A19),"0")&amp;" HK Equity","PE_RATIO",Database!$H19,Database!$H19)</f>
        <v/>
      </c>
      <c r="P19" s="199">
        <f>IF(Database!BH19="","(n/m or not derivable)",Database!BH19)</f>
        <v/>
      </c>
      <c r="Q19" s="39">
        <f>IF(Database!BN19="","",BDH(LEFT(Database!BN19,FIND(".",Database!BN19)-1)&amp;" CH Equity","PE_RATIO",Database!$H19,Database!$H19))</f>
        <v/>
      </c>
      <c r="R19" s="39">
        <f>IF(Database!BN19="","",BDH("HSAHP Index","PX_LAST",Database!$H19,Database!$H19))</f>
        <v/>
      </c>
      <c r="S19" s="39">
        <f>IFERROR(BDP(TEXT(VALUE(Database!$A19),"0")&amp;" HK Equity","PX_TO_SALES_RATIO"),"")</f>
        <v/>
      </c>
      <c r="T19" s="34">
        <f>IF(Database!BN19="","",IFERROR(BDP(LEFT(Database!BN19,FIND(".",Database!BN19)-1)&amp;" CH Equity","CUR_MKT_CAP")*BDP("CNYHKD Curncy","PX_LAST"),"Awaiting quote"))</f>
        <v/>
      </c>
    </row>
    <row r="20" ht="23" customHeight="1">
      <c r="A20" s="32">
        <f>Database!A20&amp;"  "&amp;Database!B20</f>
        <v/>
      </c>
      <c r="B20" s="24">
        <f>IFERROR(INDEX(BDS(TEXT(VALUE(Database!$A20),"0")&amp;" HK Equity","EQUITY_OFFERINGS","array=t","endcol=1"),MATCH("IPO",BDS(TEXT(VALUE(Database!$A20),"0")&amp;" HK Equity","EQUITY_OFFERINGS","array=t","startcol=2","endcol=2"),0)),"")</f>
        <v/>
      </c>
      <c r="C20" s="208">
        <f>IF($B20="","",IFERROR(BDP($B20&amp;" Action","CP036"),""))</f>
        <v/>
      </c>
      <c r="D20" s="209">
        <f>Database!S20</f>
        <v/>
      </c>
      <c r="E20" s="208">
        <f>IF($B20="","",IFERROR(BDP($B20&amp;" Action","CP037"),""))</f>
        <v/>
      </c>
      <c r="F20" s="209">
        <f>Database!T20</f>
        <v/>
      </c>
      <c r="G20" s="208">
        <f>IF($B20="","",IFERROR(BDP($B20&amp;" Action","GREENSHOE_FACILITY"),""))</f>
        <v/>
      </c>
      <c r="H20" s="208">
        <f>IF($B20="","",IFERROR(BDP($B20&amp;" Action","OFFERING_GREENSHOE_SHARES_EX"),""))</f>
        <v/>
      </c>
      <c r="I20" s="32">
        <f>Database!AE20</f>
        <v/>
      </c>
      <c r="J20" s="39">
        <f>IFERROR(BDP(TEXT(VALUE(Database!$A20),"0")&amp;" HK Equity","PE_RATIO"),"")</f>
        <v/>
      </c>
      <c r="K20" s="24">
        <f>IFERROR(BDP(TEXT(VALUE(Database!$A20),"0")&amp;" HK Equity","A/H_SHARE_CONVERSION"),"")</f>
        <v/>
      </c>
      <c r="L20" s="32">
        <f>IF(Database!BN20="","(none found)",Database!BN20)</f>
        <v/>
      </c>
      <c r="M20" s="34">
        <f>BDH(TEXT(VALUE(Database!$A20),"0")&amp;" HK Equity","CUR_MKT_CAP",Database!$H20,Database!$H20)</f>
        <v/>
      </c>
      <c r="N20" s="166">
        <f>Database!Q20</f>
        <v/>
      </c>
      <c r="O20" s="39">
        <f>BDH(TEXT(VALUE(Database!$A20),"0")&amp;" HK Equity","PE_RATIO",Database!$H20,Database!$H20)</f>
        <v/>
      </c>
      <c r="P20" s="199">
        <f>IF(Database!BH20="","(n/m or not derivable)",Database!BH20)</f>
        <v/>
      </c>
      <c r="Q20" s="39">
        <f>IF(Database!BN20="","",BDH(LEFT(Database!BN20,FIND(".",Database!BN20)-1)&amp;" CH Equity","PE_RATIO",Database!$H20,Database!$H20))</f>
        <v/>
      </c>
      <c r="R20" s="39">
        <f>IF(Database!BN20="","",BDH("HSAHP Index","PX_LAST",Database!$H20,Database!$H20))</f>
        <v/>
      </c>
      <c r="S20" s="39">
        <f>IFERROR(BDP(TEXT(VALUE(Database!$A20),"0")&amp;" HK Equity","PX_TO_SALES_RATIO"),"")</f>
        <v/>
      </c>
      <c r="T20" s="34">
        <f>IF(Database!BN20="","",IFERROR(BDP(LEFT(Database!BN20,FIND(".",Database!BN20)-1)&amp;" CH Equity","CUR_MKT_CAP")*BDP("CNYHKD Curncy","PX_LAST"),"Awaiting quote"))</f>
        <v/>
      </c>
    </row>
    <row r="21" ht="23" customHeight="1">
      <c r="A21" s="32">
        <f>Database!A21&amp;"  "&amp;Database!B21</f>
        <v/>
      </c>
      <c r="B21" s="24">
        <f>IFERROR(INDEX(BDS(TEXT(VALUE(Database!$A21),"0")&amp;" HK Equity","EQUITY_OFFERINGS","array=t","endcol=1"),MATCH("IPO",BDS(TEXT(VALUE(Database!$A21),"0")&amp;" HK Equity","EQUITY_OFFERINGS","array=t","startcol=2","endcol=2"),0)),"")</f>
        <v/>
      </c>
      <c r="C21" s="208">
        <f>IF($B21="","",IFERROR(BDP($B21&amp;" Action","CP036"),""))</f>
        <v/>
      </c>
      <c r="D21" s="209">
        <f>Database!S21</f>
        <v/>
      </c>
      <c r="E21" s="208">
        <f>IF($B21="","",IFERROR(BDP($B21&amp;" Action","CP037"),""))</f>
        <v/>
      </c>
      <c r="F21" s="209">
        <f>Database!T21</f>
        <v/>
      </c>
      <c r="G21" s="208">
        <f>IF($B21="","",IFERROR(BDP($B21&amp;" Action","GREENSHOE_FACILITY"),""))</f>
        <v/>
      </c>
      <c r="H21" s="208">
        <f>IF($B21="","",IFERROR(BDP($B21&amp;" Action","OFFERING_GREENSHOE_SHARES_EX"),""))</f>
        <v/>
      </c>
      <c r="I21" s="32">
        <f>Database!AE21</f>
        <v/>
      </c>
      <c r="J21" s="39">
        <f>IFERROR(BDP(TEXT(VALUE(Database!$A21),"0")&amp;" HK Equity","PE_RATIO"),"")</f>
        <v/>
      </c>
      <c r="K21" s="24">
        <f>IFERROR(BDP(TEXT(VALUE(Database!$A21),"0")&amp;" HK Equity","A/H_SHARE_CONVERSION"),"")</f>
        <v/>
      </c>
      <c r="L21" s="32">
        <f>IF(Database!BN21="","(none found)",Database!BN21)</f>
        <v/>
      </c>
      <c r="M21" s="34">
        <f>BDH(TEXT(VALUE(Database!$A21),"0")&amp;" HK Equity","CUR_MKT_CAP",Database!$H21,Database!$H21)</f>
        <v/>
      </c>
      <c r="N21" s="166">
        <f>Database!Q21</f>
        <v/>
      </c>
      <c r="O21" s="39">
        <f>BDH(TEXT(VALUE(Database!$A21),"0")&amp;" HK Equity","PE_RATIO",Database!$H21,Database!$H21)</f>
        <v/>
      </c>
      <c r="P21" s="199">
        <f>IF(Database!BH21="","(n/m or not derivable)",Database!BH21)</f>
        <v/>
      </c>
      <c r="Q21" s="39">
        <f>IF(Database!BN21="","",BDH(LEFT(Database!BN21,FIND(".",Database!BN21)-1)&amp;" CH Equity","PE_RATIO",Database!$H21,Database!$H21))</f>
        <v/>
      </c>
      <c r="R21" s="39">
        <f>IF(Database!BN21="","",BDH("HSAHP Index","PX_LAST",Database!$H21,Database!$H21))</f>
        <v/>
      </c>
      <c r="S21" s="39">
        <f>IFERROR(BDP(TEXT(VALUE(Database!$A21),"0")&amp;" HK Equity","PX_TO_SALES_RATIO"),"")</f>
        <v/>
      </c>
      <c r="T21" s="34">
        <f>IF(Database!BN21="","",IFERROR(BDP(LEFT(Database!BN21,FIND(".",Database!BN21)-1)&amp;" CH Equity","CUR_MKT_CAP")*BDP("CNYHKD Curncy","PX_LAST"),"Awaiting quote"))</f>
        <v/>
      </c>
    </row>
    <row r="22" ht="23" customHeight="1">
      <c r="A22" s="32">
        <f>Database!A22&amp;"  "&amp;Database!B22</f>
        <v/>
      </c>
      <c r="B22" s="24">
        <f>IFERROR(INDEX(BDS(TEXT(VALUE(Database!$A22),"0")&amp;" HK Equity","EQUITY_OFFERINGS","array=t","endcol=1"),MATCH("IPO",BDS(TEXT(VALUE(Database!$A22),"0")&amp;" HK Equity","EQUITY_OFFERINGS","array=t","startcol=2","endcol=2"),0)),"")</f>
        <v/>
      </c>
      <c r="C22" s="208">
        <f>IF($B22="","",IFERROR(BDP($B22&amp;" Action","CP036"),""))</f>
        <v/>
      </c>
      <c r="D22" s="209">
        <f>Database!S22</f>
        <v/>
      </c>
      <c r="E22" s="208">
        <f>IF($B22="","",IFERROR(BDP($B22&amp;" Action","CP037"),""))</f>
        <v/>
      </c>
      <c r="F22" s="209">
        <f>Database!T22</f>
        <v/>
      </c>
      <c r="G22" s="208">
        <f>IF($B22="","",IFERROR(BDP($B22&amp;" Action","GREENSHOE_FACILITY"),""))</f>
        <v/>
      </c>
      <c r="H22" s="208">
        <f>IF($B22="","",IFERROR(BDP($B22&amp;" Action","OFFERING_GREENSHOE_SHARES_EX"),""))</f>
        <v/>
      </c>
      <c r="I22" s="32">
        <f>Database!AE22</f>
        <v/>
      </c>
      <c r="J22" s="39">
        <f>IFERROR(BDP(TEXT(VALUE(Database!$A22),"0")&amp;" HK Equity","PE_RATIO"),"")</f>
        <v/>
      </c>
      <c r="K22" s="24">
        <f>IFERROR(BDP(TEXT(VALUE(Database!$A22),"0")&amp;" HK Equity","A/H_SHARE_CONVERSION"),"")</f>
        <v/>
      </c>
      <c r="L22" s="32">
        <f>IF(Database!BN22="","(none found)",Database!BN22)</f>
        <v/>
      </c>
      <c r="M22" s="34">
        <f>BDH(TEXT(VALUE(Database!$A22),"0")&amp;" HK Equity","CUR_MKT_CAP",Database!$H22,Database!$H22)</f>
        <v/>
      </c>
      <c r="N22" s="166">
        <f>Database!Q22</f>
        <v/>
      </c>
      <c r="O22" s="39">
        <f>BDH(TEXT(VALUE(Database!$A22),"0")&amp;" HK Equity","PE_RATIO",Database!$H22,Database!$H22)</f>
        <v/>
      </c>
      <c r="P22" s="199">
        <f>IF(Database!BH22="","(n/m or not derivable)",Database!BH22)</f>
        <v/>
      </c>
      <c r="Q22" s="39">
        <f>IF(Database!BN22="","",BDH(LEFT(Database!BN22,FIND(".",Database!BN22)-1)&amp;" CH Equity","PE_RATIO",Database!$H22,Database!$H22))</f>
        <v/>
      </c>
      <c r="R22" s="39">
        <f>IF(Database!BN22="","",BDH("HSAHP Index","PX_LAST",Database!$H22,Database!$H22))</f>
        <v/>
      </c>
      <c r="S22" s="39">
        <f>IFERROR(BDP(TEXT(VALUE(Database!$A22),"0")&amp;" HK Equity","PX_TO_SALES_RATIO"),"")</f>
        <v/>
      </c>
      <c r="T22" s="34">
        <f>IF(Database!BN22="","",IFERROR(BDP(LEFT(Database!BN22,FIND(".",Database!BN22)-1)&amp;" CH Equity","CUR_MKT_CAP")*BDP("CNYHKD Curncy","PX_LAST"),"Awaiting quote"))</f>
        <v/>
      </c>
    </row>
    <row r="23" ht="23" customHeight="1">
      <c r="A23" s="32">
        <f>Database!A23&amp;"  "&amp;Database!B23</f>
        <v/>
      </c>
      <c r="B23" s="24">
        <f>IFERROR(INDEX(BDS(TEXT(VALUE(Database!$A23),"0")&amp;" HK Equity","EQUITY_OFFERINGS","array=t","endcol=1"),MATCH("IPO",BDS(TEXT(VALUE(Database!$A23),"0")&amp;" HK Equity","EQUITY_OFFERINGS","array=t","startcol=2","endcol=2"),0)),"")</f>
        <v/>
      </c>
      <c r="C23" s="208">
        <f>IF($B23="","",IFERROR(BDP($B23&amp;" Action","CP036"),""))</f>
        <v/>
      </c>
      <c r="D23" s="209">
        <f>Database!S23</f>
        <v/>
      </c>
      <c r="E23" s="208">
        <f>IF($B23="","",IFERROR(BDP($B23&amp;" Action","CP037"),""))</f>
        <v/>
      </c>
      <c r="F23" s="209">
        <f>Database!T23</f>
        <v/>
      </c>
      <c r="G23" s="208">
        <f>IF($B23="","",IFERROR(BDP($B23&amp;" Action","GREENSHOE_FACILITY"),""))</f>
        <v/>
      </c>
      <c r="H23" s="208">
        <f>IF($B23="","",IFERROR(BDP($B23&amp;" Action","OFFERING_GREENSHOE_SHARES_EX"),""))</f>
        <v/>
      </c>
      <c r="I23" s="32">
        <f>Database!AE23</f>
        <v/>
      </c>
      <c r="J23" s="39">
        <f>IFERROR(BDP(TEXT(VALUE(Database!$A23),"0")&amp;" HK Equity","PE_RATIO"),"")</f>
        <v/>
      </c>
      <c r="K23" s="24">
        <f>IFERROR(BDP(TEXT(VALUE(Database!$A23),"0")&amp;" HK Equity","A/H_SHARE_CONVERSION"),"")</f>
        <v/>
      </c>
      <c r="L23" s="32">
        <f>IF(Database!BN23="","(none found)",Database!BN23)</f>
        <v/>
      </c>
      <c r="M23" s="34">
        <f>BDH(TEXT(VALUE(Database!$A23),"0")&amp;" HK Equity","CUR_MKT_CAP",Database!$H23,Database!$H23)</f>
        <v/>
      </c>
      <c r="N23" s="166">
        <f>Database!Q23</f>
        <v/>
      </c>
      <c r="O23" s="39">
        <f>BDH(TEXT(VALUE(Database!$A23),"0")&amp;" HK Equity","PE_RATIO",Database!$H23,Database!$H23)</f>
        <v/>
      </c>
      <c r="P23" s="199">
        <f>IF(Database!BH23="","(n/m or not derivable)",Database!BH23)</f>
        <v/>
      </c>
      <c r="Q23" s="39">
        <f>IF(Database!BN23="","",BDH(LEFT(Database!BN23,FIND(".",Database!BN23)-1)&amp;" CH Equity","PE_RATIO",Database!$H23,Database!$H23))</f>
        <v/>
      </c>
      <c r="R23" s="39">
        <f>IF(Database!BN23="","",BDH("HSAHP Index","PX_LAST",Database!$H23,Database!$H23))</f>
        <v/>
      </c>
      <c r="S23" s="39">
        <f>IFERROR(BDP(TEXT(VALUE(Database!$A23),"0")&amp;" HK Equity","PX_TO_SALES_RATIO"),"")</f>
        <v/>
      </c>
      <c r="T23" s="34">
        <f>IF(Database!BN23="","",IFERROR(BDP(LEFT(Database!BN23,FIND(".",Database!BN23)-1)&amp;" CH Equity","CUR_MKT_CAP")*BDP("CNYHKD Curncy","PX_LAST"),"Awaiting quote"))</f>
        <v/>
      </c>
    </row>
    <row r="24" ht="23" customHeight="1">
      <c r="A24" s="32">
        <f>Database!A24&amp;"  "&amp;Database!B24</f>
        <v/>
      </c>
      <c r="B24" s="24">
        <f>IFERROR(INDEX(BDS(TEXT(VALUE(Database!$A24),"0")&amp;" HK Equity","EQUITY_OFFERINGS","array=t","endcol=1"),MATCH("IPO",BDS(TEXT(VALUE(Database!$A24),"0")&amp;" HK Equity","EQUITY_OFFERINGS","array=t","startcol=2","endcol=2"),0)),"")</f>
        <v/>
      </c>
      <c r="C24" s="208">
        <f>IF($B24="","",IFERROR(BDP($B24&amp;" Action","CP036"),""))</f>
        <v/>
      </c>
      <c r="D24" s="209">
        <f>Database!S24</f>
        <v/>
      </c>
      <c r="E24" s="208">
        <f>IF($B24="","",IFERROR(BDP($B24&amp;" Action","CP037"),""))</f>
        <v/>
      </c>
      <c r="F24" s="209">
        <f>Database!T24</f>
        <v/>
      </c>
      <c r="G24" s="208">
        <f>IF($B24="","",IFERROR(BDP($B24&amp;" Action","GREENSHOE_FACILITY"),""))</f>
        <v/>
      </c>
      <c r="H24" s="208">
        <f>IF($B24="","",IFERROR(BDP($B24&amp;" Action","OFFERING_GREENSHOE_SHARES_EX"),""))</f>
        <v/>
      </c>
      <c r="I24" s="32">
        <f>Database!AE24</f>
        <v/>
      </c>
      <c r="J24" s="39">
        <f>IFERROR(BDP(TEXT(VALUE(Database!$A24),"0")&amp;" HK Equity","PE_RATIO"),"")</f>
        <v/>
      </c>
      <c r="K24" s="24">
        <f>IFERROR(BDP(TEXT(VALUE(Database!$A24),"0")&amp;" HK Equity","A/H_SHARE_CONVERSION"),"")</f>
        <v/>
      </c>
      <c r="L24" s="32">
        <f>IF(Database!BN24="","(none found)",Database!BN24)</f>
        <v/>
      </c>
      <c r="M24" s="34">
        <f>BDH(TEXT(VALUE(Database!$A24),"0")&amp;" HK Equity","CUR_MKT_CAP",Database!$H24,Database!$H24)</f>
        <v/>
      </c>
      <c r="N24" s="166">
        <f>Database!Q24</f>
        <v/>
      </c>
      <c r="O24" s="39">
        <f>BDH(TEXT(VALUE(Database!$A24),"0")&amp;" HK Equity","PE_RATIO",Database!$H24,Database!$H24)</f>
        <v/>
      </c>
      <c r="P24" s="199">
        <f>IF(Database!BH24="","(n/m or not derivable)",Database!BH24)</f>
        <v/>
      </c>
      <c r="Q24" s="39">
        <f>IF(Database!BN24="","",BDH(LEFT(Database!BN24,FIND(".",Database!BN24)-1)&amp;" CH Equity","PE_RATIO",Database!$H24,Database!$H24))</f>
        <v/>
      </c>
      <c r="R24" s="39">
        <f>IF(Database!BN24="","",BDH("HSAHP Index","PX_LAST",Database!$H24,Database!$H24))</f>
        <v/>
      </c>
      <c r="S24" s="39">
        <f>IFERROR(BDP(TEXT(VALUE(Database!$A24),"0")&amp;" HK Equity","PX_TO_SALES_RATIO"),"")</f>
        <v/>
      </c>
      <c r="T24" s="34">
        <f>IF(Database!BN24="","",IFERROR(BDP(LEFT(Database!BN24,FIND(".",Database!BN24)-1)&amp;" CH Equity","CUR_MKT_CAP")*BDP("CNYHKD Curncy","PX_LAST"),"Awaiting quote"))</f>
        <v/>
      </c>
    </row>
    <row r="25" ht="23" customHeight="1">
      <c r="A25" s="32">
        <f>Database!A25&amp;"  "&amp;Database!B25</f>
        <v/>
      </c>
      <c r="B25" s="24">
        <f>IFERROR(INDEX(BDS(TEXT(VALUE(Database!$A25),"0")&amp;" HK Equity","EQUITY_OFFERINGS","array=t","endcol=1"),MATCH("IPO",BDS(TEXT(VALUE(Database!$A25),"0")&amp;" HK Equity","EQUITY_OFFERINGS","array=t","startcol=2","endcol=2"),0)),"")</f>
        <v/>
      </c>
      <c r="C25" s="208">
        <f>IF($B25="","",IFERROR(BDP($B25&amp;" Action","CP036"),""))</f>
        <v/>
      </c>
      <c r="D25" s="209">
        <f>Database!S25</f>
        <v/>
      </c>
      <c r="E25" s="208">
        <f>IF($B25="","",IFERROR(BDP($B25&amp;" Action","CP037"),""))</f>
        <v/>
      </c>
      <c r="F25" s="209">
        <f>Database!T25</f>
        <v/>
      </c>
      <c r="G25" s="208">
        <f>IF($B25="","",IFERROR(BDP($B25&amp;" Action","GREENSHOE_FACILITY"),""))</f>
        <v/>
      </c>
      <c r="H25" s="208">
        <f>IF($B25="","",IFERROR(BDP($B25&amp;" Action","OFFERING_GREENSHOE_SHARES_EX"),""))</f>
        <v/>
      </c>
      <c r="I25" s="32">
        <f>Database!AE25</f>
        <v/>
      </c>
      <c r="J25" s="39">
        <f>IFERROR(BDP(TEXT(VALUE(Database!$A25),"0")&amp;" HK Equity","PE_RATIO"),"")</f>
        <v/>
      </c>
      <c r="K25" s="24">
        <f>IFERROR(BDP(TEXT(VALUE(Database!$A25),"0")&amp;" HK Equity","A/H_SHARE_CONVERSION"),"")</f>
        <v/>
      </c>
      <c r="L25" s="32">
        <f>IF(Database!BN25="","(none found)",Database!BN25)</f>
        <v/>
      </c>
      <c r="M25" s="34">
        <f>BDH(TEXT(VALUE(Database!$A25),"0")&amp;" HK Equity","CUR_MKT_CAP",Database!$H25,Database!$H25)</f>
        <v/>
      </c>
      <c r="N25" s="166">
        <f>Database!Q25</f>
        <v/>
      </c>
      <c r="O25" s="39">
        <f>BDH(TEXT(VALUE(Database!$A25),"0")&amp;" HK Equity","PE_RATIO",Database!$H25,Database!$H25)</f>
        <v/>
      </c>
      <c r="P25" s="199">
        <f>IF(Database!BH25="","(n/m or not derivable)",Database!BH25)</f>
        <v/>
      </c>
      <c r="Q25" s="39">
        <f>IF(Database!BN25="","",BDH(LEFT(Database!BN25,FIND(".",Database!BN25)-1)&amp;" CH Equity","PE_RATIO",Database!$H25,Database!$H25))</f>
        <v/>
      </c>
      <c r="R25" s="39">
        <f>IF(Database!BN25="","",BDH("HSAHP Index","PX_LAST",Database!$H25,Database!$H25))</f>
        <v/>
      </c>
      <c r="S25" s="39">
        <f>IFERROR(BDP(TEXT(VALUE(Database!$A25),"0")&amp;" HK Equity","PX_TO_SALES_RATIO"),"")</f>
        <v/>
      </c>
      <c r="T25" s="34">
        <f>IF(Database!BN25="","",IFERROR(BDP(LEFT(Database!BN25,FIND(".",Database!BN25)-1)&amp;" CH Equity","CUR_MKT_CAP")*BDP("CNYHKD Curncy","PX_LAST"),"Awaiting quote"))</f>
        <v/>
      </c>
    </row>
    <row r="26" ht="23" customHeight="1">
      <c r="A26" s="32">
        <f>Database!A26&amp;"  "&amp;Database!B26</f>
        <v/>
      </c>
      <c r="B26" s="24">
        <f>IFERROR(INDEX(BDS(TEXT(VALUE(Database!$A26),"0")&amp;" HK Equity","EQUITY_OFFERINGS","array=t","endcol=1"),MATCH("IPO",BDS(TEXT(VALUE(Database!$A26),"0")&amp;" HK Equity","EQUITY_OFFERINGS","array=t","startcol=2","endcol=2"),0)),"")</f>
        <v/>
      </c>
      <c r="C26" s="208">
        <f>IF($B26="","",IFERROR(BDP($B26&amp;" Action","CP036"),""))</f>
        <v/>
      </c>
      <c r="D26" s="209">
        <f>Database!S26</f>
        <v/>
      </c>
      <c r="E26" s="208">
        <f>IF($B26="","",IFERROR(BDP($B26&amp;" Action","CP037"),""))</f>
        <v/>
      </c>
      <c r="F26" s="209">
        <f>Database!T26</f>
        <v/>
      </c>
      <c r="G26" s="208">
        <f>IF($B26="","",IFERROR(BDP($B26&amp;" Action","GREENSHOE_FACILITY"),""))</f>
        <v/>
      </c>
      <c r="H26" s="208">
        <f>IF($B26="","",IFERROR(BDP($B26&amp;" Action","OFFERING_GREENSHOE_SHARES_EX"),""))</f>
        <v/>
      </c>
      <c r="I26" s="32">
        <f>Database!AE26</f>
        <v/>
      </c>
      <c r="J26" s="39">
        <f>IFERROR(BDP(TEXT(VALUE(Database!$A26),"0")&amp;" HK Equity","PE_RATIO"),"")</f>
        <v/>
      </c>
      <c r="K26" s="24">
        <f>IFERROR(BDP(TEXT(VALUE(Database!$A26),"0")&amp;" HK Equity","A/H_SHARE_CONVERSION"),"")</f>
        <v/>
      </c>
      <c r="L26" s="32">
        <f>IF(Database!BN26="","(none found)",Database!BN26)</f>
        <v/>
      </c>
      <c r="M26" s="34">
        <f>BDH(TEXT(VALUE(Database!$A26),"0")&amp;" HK Equity","CUR_MKT_CAP",Database!$H26,Database!$H26)</f>
        <v/>
      </c>
      <c r="N26" s="166">
        <f>Database!Q26</f>
        <v/>
      </c>
      <c r="O26" s="39">
        <f>BDH(TEXT(VALUE(Database!$A26),"0")&amp;" HK Equity","PE_RATIO",Database!$H26,Database!$H26)</f>
        <v/>
      </c>
      <c r="P26" s="199">
        <f>IF(Database!BH26="","(n/m or not derivable)",Database!BH26)</f>
        <v/>
      </c>
      <c r="Q26" s="39">
        <f>IF(Database!BN26="","",BDH(LEFT(Database!BN26,FIND(".",Database!BN26)-1)&amp;" CH Equity","PE_RATIO",Database!$H26,Database!$H26))</f>
        <v/>
      </c>
      <c r="R26" s="39">
        <f>IF(Database!BN26="","",BDH("HSAHP Index","PX_LAST",Database!$H26,Database!$H26))</f>
        <v/>
      </c>
      <c r="S26" s="39">
        <f>IFERROR(BDP(TEXT(VALUE(Database!$A26),"0")&amp;" HK Equity","PX_TO_SALES_RATIO"),"")</f>
        <v/>
      </c>
      <c r="T26" s="34">
        <f>IF(Database!BN26="","",IFERROR(BDP(LEFT(Database!BN26,FIND(".",Database!BN26)-1)&amp;" CH Equity","CUR_MKT_CAP")*BDP("CNYHKD Curncy","PX_LAST"),"Awaiting quote"))</f>
        <v/>
      </c>
    </row>
    <row r="27" ht="23" customHeight="1">
      <c r="A27" s="32">
        <f>Database!A27&amp;"  "&amp;Database!B27</f>
        <v/>
      </c>
      <c r="B27" s="24">
        <f>IFERROR(INDEX(BDS(TEXT(VALUE(Database!$A27),"0")&amp;" HK Equity","EQUITY_OFFERINGS","array=t","endcol=1"),MATCH("IPO",BDS(TEXT(VALUE(Database!$A27),"0")&amp;" HK Equity","EQUITY_OFFERINGS","array=t","startcol=2","endcol=2"),0)),"")</f>
        <v/>
      </c>
      <c r="C27" s="208">
        <f>IF($B27="","",IFERROR(BDP($B27&amp;" Action","CP036"),""))</f>
        <v/>
      </c>
      <c r="D27" s="209">
        <f>Database!S27</f>
        <v/>
      </c>
      <c r="E27" s="208">
        <f>IF($B27="","",IFERROR(BDP($B27&amp;" Action","CP037"),""))</f>
        <v/>
      </c>
      <c r="F27" s="209">
        <f>Database!T27</f>
        <v/>
      </c>
      <c r="G27" s="208">
        <f>IF($B27="","",IFERROR(BDP($B27&amp;" Action","GREENSHOE_FACILITY"),""))</f>
        <v/>
      </c>
      <c r="H27" s="208">
        <f>IF($B27="","",IFERROR(BDP($B27&amp;" Action","OFFERING_GREENSHOE_SHARES_EX"),""))</f>
        <v/>
      </c>
      <c r="I27" s="32">
        <f>Database!AE27</f>
        <v/>
      </c>
      <c r="J27" s="39">
        <f>IFERROR(BDP(TEXT(VALUE(Database!$A27),"0")&amp;" HK Equity","PE_RATIO"),"")</f>
        <v/>
      </c>
      <c r="K27" s="24">
        <f>IFERROR(BDP(TEXT(VALUE(Database!$A27),"0")&amp;" HK Equity","A/H_SHARE_CONVERSION"),"")</f>
        <v/>
      </c>
      <c r="L27" s="32">
        <f>IF(Database!BN27="","(none found)",Database!BN27)</f>
        <v/>
      </c>
      <c r="M27" s="34">
        <f>BDH(TEXT(VALUE(Database!$A27),"0")&amp;" HK Equity","CUR_MKT_CAP",Database!$H27,Database!$H27)</f>
        <v/>
      </c>
      <c r="N27" s="166">
        <f>Database!Q27</f>
        <v/>
      </c>
      <c r="O27" s="39">
        <f>BDH(TEXT(VALUE(Database!$A27),"0")&amp;" HK Equity","PE_RATIO",Database!$H27,Database!$H27)</f>
        <v/>
      </c>
      <c r="P27" s="199">
        <f>IF(Database!BH27="","(n/m or not derivable)",Database!BH27)</f>
        <v/>
      </c>
      <c r="Q27" s="39">
        <f>IF(Database!BN27="","",BDH(LEFT(Database!BN27,FIND(".",Database!BN27)-1)&amp;" CH Equity","PE_RATIO",Database!$H27,Database!$H27))</f>
        <v/>
      </c>
      <c r="R27" s="39">
        <f>IF(Database!BN27="","",BDH("HSAHP Index","PX_LAST",Database!$H27,Database!$H27))</f>
        <v/>
      </c>
      <c r="S27" s="39">
        <f>IFERROR(BDP(TEXT(VALUE(Database!$A27),"0")&amp;" HK Equity","PX_TO_SALES_RATIO"),"")</f>
        <v/>
      </c>
      <c r="T27" s="34">
        <f>IF(Database!BN27="","",IFERROR(BDP(LEFT(Database!BN27,FIND(".",Database!BN27)-1)&amp;" CH Equity","CUR_MKT_CAP")*BDP("CNYHKD Curncy","PX_LAST"),"Awaiting quote"))</f>
        <v/>
      </c>
    </row>
    <row r="28" ht="23" customHeight="1">
      <c r="A28" s="32">
        <f>Database!A28&amp;"  "&amp;Database!B28</f>
        <v/>
      </c>
      <c r="B28" s="24">
        <f>IFERROR(INDEX(BDS(TEXT(VALUE(Database!$A28),"0")&amp;" HK Equity","EQUITY_OFFERINGS","array=t","endcol=1"),MATCH("IPO",BDS(TEXT(VALUE(Database!$A28),"0")&amp;" HK Equity","EQUITY_OFFERINGS","array=t","startcol=2","endcol=2"),0)),"")</f>
        <v/>
      </c>
      <c r="C28" s="208">
        <f>IF($B28="","",IFERROR(BDP($B28&amp;" Action","CP036"),""))</f>
        <v/>
      </c>
      <c r="D28" s="209">
        <f>Database!S28</f>
        <v/>
      </c>
      <c r="E28" s="208">
        <f>IF($B28="","",IFERROR(BDP($B28&amp;" Action","CP037"),""))</f>
        <v/>
      </c>
      <c r="F28" s="209">
        <f>Database!T28</f>
        <v/>
      </c>
      <c r="G28" s="208">
        <f>IF($B28="","",IFERROR(BDP($B28&amp;" Action","GREENSHOE_FACILITY"),""))</f>
        <v/>
      </c>
      <c r="H28" s="208">
        <f>IF($B28="","",IFERROR(BDP($B28&amp;" Action","OFFERING_GREENSHOE_SHARES_EX"),""))</f>
        <v/>
      </c>
      <c r="I28" s="32">
        <f>Database!AE28</f>
        <v/>
      </c>
      <c r="J28" s="39">
        <f>IFERROR(BDP(TEXT(VALUE(Database!$A28),"0")&amp;" HK Equity","PE_RATIO"),"")</f>
        <v/>
      </c>
      <c r="K28" s="24">
        <f>IFERROR(BDP(TEXT(VALUE(Database!$A28),"0")&amp;" HK Equity","A/H_SHARE_CONVERSION"),"")</f>
        <v/>
      </c>
      <c r="L28" s="32">
        <f>IF(Database!BN28="","(none found)",Database!BN28)</f>
        <v/>
      </c>
      <c r="M28" s="34">
        <f>BDH(TEXT(VALUE(Database!$A28),"0")&amp;" HK Equity","CUR_MKT_CAP",Database!$H28,Database!$H28)</f>
        <v/>
      </c>
      <c r="N28" s="166">
        <f>Database!Q28</f>
        <v/>
      </c>
      <c r="O28" s="39">
        <f>BDH(TEXT(VALUE(Database!$A28),"0")&amp;" HK Equity","PE_RATIO",Database!$H28,Database!$H28)</f>
        <v/>
      </c>
      <c r="P28" s="199">
        <f>IF(Database!BH28="","(n/m or not derivable)",Database!BH28)</f>
        <v/>
      </c>
      <c r="Q28" s="39">
        <f>IF(Database!BN28="","",BDH(LEFT(Database!BN28,FIND(".",Database!BN28)-1)&amp;" CH Equity","PE_RATIO",Database!$H28,Database!$H28))</f>
        <v/>
      </c>
      <c r="R28" s="39">
        <f>IF(Database!BN28="","",BDH("HSAHP Index","PX_LAST",Database!$H28,Database!$H28))</f>
        <v/>
      </c>
      <c r="S28" s="39">
        <f>IFERROR(BDP(TEXT(VALUE(Database!$A28),"0")&amp;" HK Equity","PX_TO_SALES_RATIO"),"")</f>
        <v/>
      </c>
      <c r="T28" s="34">
        <f>IF(Database!BN28="","",IFERROR(BDP(LEFT(Database!BN28,FIND(".",Database!BN28)-1)&amp;" CH Equity","CUR_MKT_CAP")*BDP("CNYHKD Curncy","PX_LAST"),"Awaiting quote"))</f>
        <v/>
      </c>
    </row>
    <row r="29" ht="23" customHeight="1">
      <c r="A29" s="32">
        <f>Database!A29&amp;"  "&amp;Database!B29</f>
        <v/>
      </c>
      <c r="B29" s="24">
        <f>IFERROR(INDEX(BDS(TEXT(VALUE(Database!$A29),"0")&amp;" HK Equity","EQUITY_OFFERINGS","array=t","endcol=1"),MATCH("IPO",BDS(TEXT(VALUE(Database!$A29),"0")&amp;" HK Equity","EQUITY_OFFERINGS","array=t","startcol=2","endcol=2"),0)),"")</f>
        <v/>
      </c>
      <c r="C29" s="208">
        <f>IF($B29="","",IFERROR(BDP($B29&amp;" Action","CP036"),""))</f>
        <v/>
      </c>
      <c r="D29" s="209">
        <f>Database!S29</f>
        <v/>
      </c>
      <c r="E29" s="208">
        <f>IF($B29="","",IFERROR(BDP($B29&amp;" Action","CP037"),""))</f>
        <v/>
      </c>
      <c r="F29" s="209">
        <f>Database!T29</f>
        <v/>
      </c>
      <c r="G29" s="208">
        <f>IF($B29="","",IFERROR(BDP($B29&amp;" Action","GREENSHOE_FACILITY"),""))</f>
        <v/>
      </c>
      <c r="H29" s="208">
        <f>IF($B29="","",IFERROR(BDP($B29&amp;" Action","OFFERING_GREENSHOE_SHARES_EX"),""))</f>
        <v/>
      </c>
      <c r="I29" s="32">
        <f>Database!AE29</f>
        <v/>
      </c>
      <c r="J29" s="39">
        <f>IFERROR(BDP(TEXT(VALUE(Database!$A29),"0")&amp;" HK Equity","PE_RATIO"),"")</f>
        <v/>
      </c>
      <c r="K29" s="24">
        <f>IFERROR(BDP(TEXT(VALUE(Database!$A29),"0")&amp;" HK Equity","A/H_SHARE_CONVERSION"),"")</f>
        <v/>
      </c>
      <c r="L29" s="32">
        <f>IF(Database!BN29="","(none found)",Database!BN29)</f>
        <v/>
      </c>
      <c r="M29" s="34">
        <f>BDH(TEXT(VALUE(Database!$A29),"0")&amp;" HK Equity","CUR_MKT_CAP",Database!$H29,Database!$H29)</f>
        <v/>
      </c>
      <c r="N29" s="166">
        <f>Database!Q29</f>
        <v/>
      </c>
      <c r="O29" s="39">
        <f>BDH(TEXT(VALUE(Database!$A29),"0")&amp;" HK Equity","PE_RATIO",Database!$H29,Database!$H29)</f>
        <v/>
      </c>
      <c r="P29" s="199">
        <f>IF(Database!BH29="","(n/m or not derivable)",Database!BH29)</f>
        <v/>
      </c>
      <c r="Q29" s="39">
        <f>IF(Database!BN29="","",BDH(LEFT(Database!BN29,FIND(".",Database!BN29)-1)&amp;" CH Equity","PE_RATIO",Database!$H29,Database!$H29))</f>
        <v/>
      </c>
      <c r="R29" s="39">
        <f>IF(Database!BN29="","",BDH("HSAHP Index","PX_LAST",Database!$H29,Database!$H29))</f>
        <v/>
      </c>
      <c r="S29" s="39">
        <f>IFERROR(BDP(TEXT(VALUE(Database!$A29),"0")&amp;" HK Equity","PX_TO_SALES_RATIO"),"")</f>
        <v/>
      </c>
      <c r="T29" s="34">
        <f>IF(Database!BN29="","",IFERROR(BDP(LEFT(Database!BN29,FIND(".",Database!BN29)-1)&amp;" CH Equity","CUR_MKT_CAP")*BDP("CNYHKD Curncy","PX_LAST"),"Awaiting quote"))</f>
        <v/>
      </c>
    </row>
    <row r="30" ht="23" customHeight="1">
      <c r="A30" s="32">
        <f>Database!A30&amp;"  "&amp;Database!B30</f>
        <v/>
      </c>
      <c r="B30" s="24">
        <f>IFERROR(INDEX(BDS(TEXT(VALUE(Database!$A30),"0")&amp;" HK Equity","EQUITY_OFFERINGS","array=t","endcol=1"),MATCH("IPO",BDS(TEXT(VALUE(Database!$A30),"0")&amp;" HK Equity","EQUITY_OFFERINGS","array=t","startcol=2","endcol=2"),0)),"")</f>
        <v/>
      </c>
      <c r="C30" s="208">
        <f>IF($B30="","",IFERROR(BDP($B30&amp;" Action","CP036"),""))</f>
        <v/>
      </c>
      <c r="D30" s="209">
        <f>Database!S30</f>
        <v/>
      </c>
      <c r="E30" s="208">
        <f>IF($B30="","",IFERROR(BDP($B30&amp;" Action","CP037"),""))</f>
        <v/>
      </c>
      <c r="F30" s="209">
        <f>Database!T30</f>
        <v/>
      </c>
      <c r="G30" s="208">
        <f>IF($B30="","",IFERROR(BDP($B30&amp;" Action","GREENSHOE_FACILITY"),""))</f>
        <v/>
      </c>
      <c r="H30" s="208">
        <f>IF($B30="","",IFERROR(BDP($B30&amp;" Action","OFFERING_GREENSHOE_SHARES_EX"),""))</f>
        <v/>
      </c>
      <c r="I30" s="32">
        <f>Database!AE30</f>
        <v/>
      </c>
      <c r="J30" s="39">
        <f>IFERROR(BDP(TEXT(VALUE(Database!$A30),"0")&amp;" HK Equity","PE_RATIO"),"")</f>
        <v/>
      </c>
      <c r="K30" s="24">
        <f>IFERROR(BDP(TEXT(VALUE(Database!$A30),"0")&amp;" HK Equity","A/H_SHARE_CONVERSION"),"")</f>
        <v/>
      </c>
      <c r="L30" s="32">
        <f>IF(Database!BN30="","(none found)",Database!BN30)</f>
        <v/>
      </c>
      <c r="M30" s="34">
        <f>BDH(TEXT(VALUE(Database!$A30),"0")&amp;" HK Equity","CUR_MKT_CAP",Database!$H30,Database!$H30)</f>
        <v/>
      </c>
      <c r="N30" s="166">
        <f>Database!Q30</f>
        <v/>
      </c>
      <c r="O30" s="39">
        <f>BDH(TEXT(VALUE(Database!$A30),"0")&amp;" HK Equity","PE_RATIO",Database!$H30,Database!$H30)</f>
        <v/>
      </c>
      <c r="P30" s="199">
        <f>IF(Database!BH30="","(n/m or not derivable)",Database!BH30)</f>
        <v/>
      </c>
      <c r="Q30" s="39">
        <f>IF(Database!BN30="","",BDH(LEFT(Database!BN30,FIND(".",Database!BN30)-1)&amp;" CH Equity","PE_RATIO",Database!$H30,Database!$H30))</f>
        <v/>
      </c>
      <c r="R30" s="39">
        <f>IF(Database!BN30="","",BDH("HSAHP Index","PX_LAST",Database!$H30,Database!$H30))</f>
        <v/>
      </c>
      <c r="S30" s="39">
        <f>IFERROR(BDP(TEXT(VALUE(Database!$A30),"0")&amp;" HK Equity","PX_TO_SALES_RATIO"),"")</f>
        <v/>
      </c>
      <c r="T30" s="34">
        <f>IF(Database!BN30="","",IFERROR(BDP(LEFT(Database!BN30,FIND(".",Database!BN30)-1)&amp;" CH Equity","CUR_MKT_CAP")*BDP("CNYHKD Curncy","PX_LAST"),"Awaiting quote"))</f>
        <v/>
      </c>
    </row>
    <row r="31" ht="23" customHeight="1">
      <c r="A31" s="32">
        <f>Database!A31&amp;"  "&amp;Database!B31</f>
        <v/>
      </c>
      <c r="B31" s="24">
        <f>IFERROR(INDEX(BDS(TEXT(VALUE(Database!$A31),"0")&amp;" HK Equity","EQUITY_OFFERINGS","array=t","endcol=1"),MATCH("IPO",BDS(TEXT(VALUE(Database!$A31),"0")&amp;" HK Equity","EQUITY_OFFERINGS","array=t","startcol=2","endcol=2"),0)),"")</f>
        <v/>
      </c>
      <c r="C31" s="208">
        <f>IF($B31="","",IFERROR(BDP($B31&amp;" Action","CP036"),""))</f>
        <v/>
      </c>
      <c r="D31" s="209">
        <f>Database!S31</f>
        <v/>
      </c>
      <c r="E31" s="208">
        <f>IF($B31="","",IFERROR(BDP($B31&amp;" Action","CP037"),""))</f>
        <v/>
      </c>
      <c r="F31" s="209">
        <f>Database!T31</f>
        <v/>
      </c>
      <c r="G31" s="208">
        <f>IF($B31="","",IFERROR(BDP($B31&amp;" Action","GREENSHOE_FACILITY"),""))</f>
        <v/>
      </c>
      <c r="H31" s="208">
        <f>IF($B31="","",IFERROR(BDP($B31&amp;" Action","OFFERING_GREENSHOE_SHARES_EX"),""))</f>
        <v/>
      </c>
      <c r="I31" s="32">
        <f>Database!AE31</f>
        <v/>
      </c>
      <c r="J31" s="39">
        <f>IFERROR(BDP(TEXT(VALUE(Database!$A31),"0")&amp;" HK Equity","PE_RATIO"),"")</f>
        <v/>
      </c>
      <c r="K31" s="24">
        <f>IFERROR(BDP(TEXT(VALUE(Database!$A31),"0")&amp;" HK Equity","A/H_SHARE_CONVERSION"),"")</f>
        <v/>
      </c>
      <c r="L31" s="32">
        <f>IF(Database!BN31="","(none found)",Database!BN31)</f>
        <v/>
      </c>
      <c r="M31" s="34">
        <f>BDH(TEXT(VALUE(Database!$A31),"0")&amp;" HK Equity","CUR_MKT_CAP",Database!$H31,Database!$H31)</f>
        <v/>
      </c>
      <c r="N31" s="166">
        <f>Database!Q31</f>
        <v/>
      </c>
      <c r="O31" s="39">
        <f>BDH(TEXT(VALUE(Database!$A31),"0")&amp;" HK Equity","PE_RATIO",Database!$H31,Database!$H31)</f>
        <v/>
      </c>
      <c r="P31" s="199">
        <f>IF(Database!BH31="","(n/m or not derivable)",Database!BH31)</f>
        <v/>
      </c>
      <c r="Q31" s="39">
        <f>IF(Database!BN31="","",BDH(LEFT(Database!BN31,FIND(".",Database!BN31)-1)&amp;" CH Equity","PE_RATIO",Database!$H31,Database!$H31))</f>
        <v/>
      </c>
      <c r="R31" s="39">
        <f>IF(Database!BN31="","",BDH("HSAHP Index","PX_LAST",Database!$H31,Database!$H31))</f>
        <v/>
      </c>
      <c r="S31" s="39">
        <f>IFERROR(BDP(TEXT(VALUE(Database!$A31),"0")&amp;" HK Equity","PX_TO_SALES_RATIO"),"")</f>
        <v/>
      </c>
      <c r="T31" s="34">
        <f>IF(Database!BN31="","",IFERROR(BDP(LEFT(Database!BN31,FIND(".",Database!BN31)-1)&amp;" CH Equity","CUR_MKT_CAP")*BDP("CNYHKD Curncy","PX_LAST"),"Awaiting quote"))</f>
        <v/>
      </c>
    </row>
    <row r="32" ht="23" customHeight="1">
      <c r="A32" s="32">
        <f>Database!A32&amp;"  "&amp;Database!B32</f>
        <v/>
      </c>
      <c r="B32" s="24">
        <f>IFERROR(INDEX(BDS(TEXT(VALUE(Database!$A32),"0")&amp;" HK Equity","EQUITY_OFFERINGS","array=t","endcol=1"),MATCH("IPO",BDS(TEXT(VALUE(Database!$A32),"0")&amp;" HK Equity","EQUITY_OFFERINGS","array=t","startcol=2","endcol=2"),0)),"")</f>
        <v/>
      </c>
      <c r="C32" s="208">
        <f>IF($B32="","",IFERROR(BDP($B32&amp;" Action","CP036"),""))</f>
        <v/>
      </c>
      <c r="D32" s="209">
        <f>Database!S32</f>
        <v/>
      </c>
      <c r="E32" s="208">
        <f>IF($B32="","",IFERROR(BDP($B32&amp;" Action","CP037"),""))</f>
        <v/>
      </c>
      <c r="F32" s="209">
        <f>Database!T32</f>
        <v/>
      </c>
      <c r="G32" s="208">
        <f>IF($B32="","",IFERROR(BDP($B32&amp;" Action","GREENSHOE_FACILITY"),""))</f>
        <v/>
      </c>
      <c r="H32" s="208">
        <f>IF($B32="","",IFERROR(BDP($B32&amp;" Action","OFFERING_GREENSHOE_SHARES_EX"),""))</f>
        <v/>
      </c>
      <c r="I32" s="32">
        <f>Database!AE32</f>
        <v/>
      </c>
      <c r="J32" s="39">
        <f>IFERROR(BDP(TEXT(VALUE(Database!$A32),"0")&amp;" HK Equity","PE_RATIO"),"")</f>
        <v/>
      </c>
      <c r="K32" s="24">
        <f>IFERROR(BDP(TEXT(VALUE(Database!$A32),"0")&amp;" HK Equity","A/H_SHARE_CONVERSION"),"")</f>
        <v/>
      </c>
      <c r="L32" s="32">
        <f>IF(Database!BN32="","(none found)",Database!BN32)</f>
        <v/>
      </c>
      <c r="M32" s="34">
        <f>BDH(TEXT(VALUE(Database!$A32),"0")&amp;" HK Equity","CUR_MKT_CAP",Database!$H32,Database!$H32)</f>
        <v/>
      </c>
      <c r="N32" s="166">
        <f>Database!Q32</f>
        <v/>
      </c>
      <c r="O32" s="39">
        <f>BDH(TEXT(VALUE(Database!$A32),"0")&amp;" HK Equity","PE_RATIO",Database!$H32,Database!$H32)</f>
        <v/>
      </c>
      <c r="P32" s="199">
        <f>IF(Database!BH32="","(n/m or not derivable)",Database!BH32)</f>
        <v/>
      </c>
      <c r="Q32" s="39">
        <f>IF(Database!BN32="","",BDH(LEFT(Database!BN32,FIND(".",Database!BN32)-1)&amp;" CH Equity","PE_RATIO",Database!$H32,Database!$H32))</f>
        <v/>
      </c>
      <c r="R32" s="39">
        <f>IF(Database!BN32="","",BDH("HSAHP Index","PX_LAST",Database!$H32,Database!$H32))</f>
        <v/>
      </c>
      <c r="S32" s="39">
        <f>IFERROR(BDP(TEXT(VALUE(Database!$A32),"0")&amp;" HK Equity","PX_TO_SALES_RATIO"),"")</f>
        <v/>
      </c>
      <c r="T32" s="34">
        <f>IF(Database!BN32="","",IFERROR(BDP(LEFT(Database!BN32,FIND(".",Database!BN32)-1)&amp;" CH Equity","CUR_MKT_CAP")*BDP("CNYHKD Curncy","PX_LAST"),"Awaiting quote"))</f>
        <v/>
      </c>
    </row>
    <row r="33" ht="23" customHeight="1">
      <c r="A33" s="32">
        <f>Database!A33&amp;"  "&amp;Database!B33</f>
        <v/>
      </c>
      <c r="B33" s="24">
        <f>IFERROR(INDEX(BDS(TEXT(VALUE(Database!$A33),"0")&amp;" HK Equity","EQUITY_OFFERINGS","array=t","endcol=1"),MATCH("IPO",BDS(TEXT(VALUE(Database!$A33),"0")&amp;" HK Equity","EQUITY_OFFERINGS","array=t","startcol=2","endcol=2"),0)),"")</f>
        <v/>
      </c>
      <c r="C33" s="208">
        <f>IF($B33="","",IFERROR(BDP($B33&amp;" Action","CP036"),""))</f>
        <v/>
      </c>
      <c r="D33" s="209">
        <f>Database!S33</f>
        <v/>
      </c>
      <c r="E33" s="208">
        <f>IF($B33="","",IFERROR(BDP($B33&amp;" Action","CP037"),""))</f>
        <v/>
      </c>
      <c r="F33" s="209">
        <f>Database!T33</f>
        <v/>
      </c>
      <c r="G33" s="208">
        <f>IF($B33="","",IFERROR(BDP($B33&amp;" Action","GREENSHOE_FACILITY"),""))</f>
        <v/>
      </c>
      <c r="H33" s="208">
        <f>IF($B33="","",IFERROR(BDP($B33&amp;" Action","OFFERING_GREENSHOE_SHARES_EX"),""))</f>
        <v/>
      </c>
      <c r="I33" s="32">
        <f>Database!AE33</f>
        <v/>
      </c>
      <c r="J33" s="39">
        <f>IFERROR(BDP(TEXT(VALUE(Database!$A33),"0")&amp;" HK Equity","PE_RATIO"),"")</f>
        <v/>
      </c>
      <c r="K33" s="24">
        <f>IFERROR(BDP(TEXT(VALUE(Database!$A33),"0")&amp;" HK Equity","A/H_SHARE_CONVERSION"),"")</f>
        <v/>
      </c>
      <c r="L33" s="32">
        <f>IF(Database!BN33="","(none found)",Database!BN33)</f>
        <v/>
      </c>
      <c r="M33" s="34">
        <f>BDH(TEXT(VALUE(Database!$A33),"0")&amp;" HK Equity","CUR_MKT_CAP",Database!$H33,Database!$H33)</f>
        <v/>
      </c>
      <c r="N33" s="166">
        <f>Database!Q33</f>
        <v/>
      </c>
      <c r="O33" s="39">
        <f>BDH(TEXT(VALUE(Database!$A33),"0")&amp;" HK Equity","PE_RATIO",Database!$H33,Database!$H33)</f>
        <v/>
      </c>
      <c r="P33" s="199">
        <f>IF(Database!BH33="","(n/m or not derivable)",Database!BH33)</f>
        <v/>
      </c>
      <c r="Q33" s="39">
        <f>IF(Database!BN33="","",BDH(LEFT(Database!BN33,FIND(".",Database!BN33)-1)&amp;" CH Equity","PE_RATIO",Database!$H33,Database!$H33))</f>
        <v/>
      </c>
      <c r="R33" s="39">
        <f>IF(Database!BN33="","",BDH("HSAHP Index","PX_LAST",Database!$H33,Database!$H33))</f>
        <v/>
      </c>
      <c r="S33" s="39">
        <f>IFERROR(BDP(TEXT(VALUE(Database!$A33),"0")&amp;" HK Equity","PX_TO_SALES_RATIO"),"")</f>
        <v/>
      </c>
      <c r="T33" s="34">
        <f>IF(Database!BN33="","",IFERROR(BDP(LEFT(Database!BN33,FIND(".",Database!BN33)-1)&amp;" CH Equity","CUR_MKT_CAP")*BDP("CNYHKD Curncy","PX_LAST"),"Awaiting quote"))</f>
        <v/>
      </c>
    </row>
    <row r="34" ht="23" customHeight="1">
      <c r="A34" s="32">
        <f>Database!A34&amp;"  "&amp;Database!B34</f>
        <v/>
      </c>
      <c r="B34" s="24">
        <f>IFERROR(INDEX(BDS(TEXT(VALUE(Database!$A34),"0")&amp;" HK Equity","EQUITY_OFFERINGS","array=t","endcol=1"),MATCH("IPO",BDS(TEXT(VALUE(Database!$A34),"0")&amp;" HK Equity","EQUITY_OFFERINGS","array=t","startcol=2","endcol=2"),0)),"")</f>
        <v/>
      </c>
      <c r="C34" s="208">
        <f>IF($B34="","",IFERROR(BDP($B34&amp;" Action","CP036"),""))</f>
        <v/>
      </c>
      <c r="D34" s="209">
        <f>Database!S34</f>
        <v/>
      </c>
      <c r="E34" s="208">
        <f>IF($B34="","",IFERROR(BDP($B34&amp;" Action","CP037"),""))</f>
        <v/>
      </c>
      <c r="F34" s="209">
        <f>Database!T34</f>
        <v/>
      </c>
      <c r="G34" s="208">
        <f>IF($B34="","",IFERROR(BDP($B34&amp;" Action","GREENSHOE_FACILITY"),""))</f>
        <v/>
      </c>
      <c r="H34" s="208">
        <f>IF($B34="","",IFERROR(BDP($B34&amp;" Action","OFFERING_GREENSHOE_SHARES_EX"),""))</f>
        <v/>
      </c>
      <c r="I34" s="32">
        <f>Database!AE34</f>
        <v/>
      </c>
      <c r="J34" s="39">
        <f>IFERROR(BDP(TEXT(VALUE(Database!$A34),"0")&amp;" HK Equity","PE_RATIO"),"")</f>
        <v/>
      </c>
      <c r="K34" s="24">
        <f>IFERROR(BDP(TEXT(VALUE(Database!$A34),"0")&amp;" HK Equity","A/H_SHARE_CONVERSION"),"")</f>
        <v/>
      </c>
      <c r="L34" s="32">
        <f>IF(Database!BN34="","(none found)",Database!BN34)</f>
        <v/>
      </c>
      <c r="M34" s="34">
        <f>BDH(TEXT(VALUE(Database!$A34),"0")&amp;" HK Equity","CUR_MKT_CAP",Database!$H34,Database!$H34)</f>
        <v/>
      </c>
      <c r="N34" s="166">
        <f>Database!Q34</f>
        <v/>
      </c>
      <c r="O34" s="39">
        <f>BDH(TEXT(VALUE(Database!$A34),"0")&amp;" HK Equity","PE_RATIO",Database!$H34,Database!$H34)</f>
        <v/>
      </c>
      <c r="P34" s="199">
        <f>IF(Database!BH34="","(n/m or not derivable)",Database!BH34)</f>
        <v/>
      </c>
      <c r="Q34" s="39">
        <f>IF(Database!BN34="","",BDH(LEFT(Database!BN34,FIND(".",Database!BN34)-1)&amp;" CH Equity","PE_RATIO",Database!$H34,Database!$H34))</f>
        <v/>
      </c>
      <c r="R34" s="39">
        <f>IF(Database!BN34="","",BDH("HSAHP Index","PX_LAST",Database!$H34,Database!$H34))</f>
        <v/>
      </c>
      <c r="S34" s="39">
        <f>IFERROR(BDP(TEXT(VALUE(Database!$A34),"0")&amp;" HK Equity","PX_TO_SALES_RATIO"),"")</f>
        <v/>
      </c>
      <c r="T34" s="34">
        <f>IF(Database!BN34="","",IFERROR(BDP(LEFT(Database!BN34,FIND(".",Database!BN34)-1)&amp;" CH Equity","CUR_MKT_CAP")*BDP("CNYHKD Curncy","PX_LAST"),"Awaiting quote"))</f>
        <v/>
      </c>
    </row>
    <row r="35" ht="23" customHeight="1">
      <c r="A35" s="32">
        <f>Database!A35&amp;"  "&amp;Database!B35</f>
        <v/>
      </c>
      <c r="B35" s="24">
        <f>IFERROR(INDEX(BDS(TEXT(VALUE(Database!$A35),"0")&amp;" HK Equity","EQUITY_OFFERINGS","array=t","endcol=1"),MATCH("IPO",BDS(TEXT(VALUE(Database!$A35),"0")&amp;" HK Equity","EQUITY_OFFERINGS","array=t","startcol=2","endcol=2"),0)),"")</f>
        <v/>
      </c>
      <c r="C35" s="208">
        <f>IF($B35="","",IFERROR(BDP($B35&amp;" Action","CP036"),""))</f>
        <v/>
      </c>
      <c r="D35" s="209">
        <f>Database!S35</f>
        <v/>
      </c>
      <c r="E35" s="208">
        <f>IF($B35="","",IFERROR(BDP($B35&amp;" Action","CP037"),""))</f>
        <v/>
      </c>
      <c r="F35" s="209">
        <f>Database!T35</f>
        <v/>
      </c>
      <c r="G35" s="208">
        <f>IF($B35="","",IFERROR(BDP($B35&amp;" Action","GREENSHOE_FACILITY"),""))</f>
        <v/>
      </c>
      <c r="H35" s="208">
        <f>IF($B35="","",IFERROR(BDP($B35&amp;" Action","OFFERING_GREENSHOE_SHARES_EX"),""))</f>
        <v/>
      </c>
      <c r="I35" s="32">
        <f>Database!AE35</f>
        <v/>
      </c>
      <c r="J35" s="39">
        <f>IFERROR(BDP(TEXT(VALUE(Database!$A35),"0")&amp;" HK Equity","PE_RATIO"),"")</f>
        <v/>
      </c>
      <c r="K35" s="24">
        <f>IFERROR(BDP(TEXT(VALUE(Database!$A35),"0")&amp;" HK Equity","A/H_SHARE_CONVERSION"),"")</f>
        <v/>
      </c>
      <c r="L35" s="32">
        <f>IF(Database!BN35="","(none found)",Database!BN35)</f>
        <v/>
      </c>
      <c r="M35" s="34">
        <f>BDH(TEXT(VALUE(Database!$A35),"0")&amp;" HK Equity","CUR_MKT_CAP",Database!$H35,Database!$H35)</f>
        <v/>
      </c>
      <c r="N35" s="166">
        <f>Database!Q35</f>
        <v/>
      </c>
      <c r="O35" s="39">
        <f>BDH(TEXT(VALUE(Database!$A35),"0")&amp;" HK Equity","PE_RATIO",Database!$H35,Database!$H35)</f>
        <v/>
      </c>
      <c r="P35" s="199">
        <f>IF(Database!BH35="","(n/m or not derivable)",Database!BH35)</f>
        <v/>
      </c>
      <c r="Q35" s="39">
        <f>IF(Database!BN35="","",BDH(LEFT(Database!BN35,FIND(".",Database!BN35)-1)&amp;" CH Equity","PE_RATIO",Database!$H35,Database!$H35))</f>
        <v/>
      </c>
      <c r="R35" s="39">
        <f>IF(Database!BN35="","",BDH("HSAHP Index","PX_LAST",Database!$H35,Database!$H35))</f>
        <v/>
      </c>
      <c r="S35" s="39">
        <f>IFERROR(BDP(TEXT(VALUE(Database!$A35),"0")&amp;" HK Equity","PX_TO_SALES_RATIO"),"")</f>
        <v/>
      </c>
      <c r="T35" s="34">
        <f>IF(Database!BN35="","",IFERROR(BDP(LEFT(Database!BN35,FIND(".",Database!BN35)-1)&amp;" CH Equity","CUR_MKT_CAP")*BDP("CNYHKD Curncy","PX_LAST"),"Awaiting quote"))</f>
        <v/>
      </c>
    </row>
    <row r="36" ht="23" customHeight="1">
      <c r="A36" s="32">
        <f>Database!A36&amp;"  "&amp;Database!B36</f>
        <v/>
      </c>
      <c r="B36" s="24">
        <f>IFERROR(INDEX(BDS(TEXT(VALUE(Database!$A36),"0")&amp;" HK Equity","EQUITY_OFFERINGS","array=t","endcol=1"),MATCH("IPO",BDS(TEXT(VALUE(Database!$A36),"0")&amp;" HK Equity","EQUITY_OFFERINGS","array=t","startcol=2","endcol=2"),0)),"")</f>
        <v/>
      </c>
      <c r="C36" s="208">
        <f>IF($B36="","",IFERROR(BDP($B36&amp;" Action","CP036"),""))</f>
        <v/>
      </c>
      <c r="D36" s="209">
        <f>Database!S36</f>
        <v/>
      </c>
      <c r="E36" s="208">
        <f>IF($B36="","",IFERROR(BDP($B36&amp;" Action","CP037"),""))</f>
        <v/>
      </c>
      <c r="F36" s="209">
        <f>Database!T36</f>
        <v/>
      </c>
      <c r="G36" s="208">
        <f>IF($B36="","",IFERROR(BDP($B36&amp;" Action","GREENSHOE_FACILITY"),""))</f>
        <v/>
      </c>
      <c r="H36" s="208">
        <f>IF($B36="","",IFERROR(BDP($B36&amp;" Action","OFFERING_GREENSHOE_SHARES_EX"),""))</f>
        <v/>
      </c>
      <c r="I36" s="32">
        <f>Database!AE36</f>
        <v/>
      </c>
      <c r="J36" s="39">
        <f>IFERROR(BDP(TEXT(VALUE(Database!$A36),"0")&amp;" HK Equity","PE_RATIO"),"")</f>
        <v/>
      </c>
      <c r="K36" s="24">
        <f>IFERROR(BDP(TEXT(VALUE(Database!$A36),"0")&amp;" HK Equity","A/H_SHARE_CONVERSION"),"")</f>
        <v/>
      </c>
      <c r="L36" s="32">
        <f>IF(Database!BN36="","(none found)",Database!BN36)</f>
        <v/>
      </c>
      <c r="M36" s="34">
        <f>BDH(TEXT(VALUE(Database!$A36),"0")&amp;" HK Equity","CUR_MKT_CAP",Database!$H36,Database!$H36)</f>
        <v/>
      </c>
      <c r="N36" s="166">
        <f>Database!Q36</f>
        <v/>
      </c>
      <c r="O36" s="39">
        <f>BDH(TEXT(VALUE(Database!$A36),"0")&amp;" HK Equity","PE_RATIO",Database!$H36,Database!$H36)</f>
        <v/>
      </c>
      <c r="P36" s="199">
        <f>IF(Database!BH36="","(n/m or not derivable)",Database!BH36)</f>
        <v/>
      </c>
      <c r="Q36" s="39">
        <f>IF(Database!BN36="","",BDH(LEFT(Database!BN36,FIND(".",Database!BN36)-1)&amp;" CH Equity","PE_RATIO",Database!$H36,Database!$H36))</f>
        <v/>
      </c>
      <c r="R36" s="39">
        <f>IF(Database!BN36="","",BDH("HSAHP Index","PX_LAST",Database!$H36,Database!$H36))</f>
        <v/>
      </c>
      <c r="S36" s="39">
        <f>IFERROR(BDP(TEXT(VALUE(Database!$A36),"0")&amp;" HK Equity","PX_TO_SALES_RATIO"),"")</f>
        <v/>
      </c>
      <c r="T36" s="34">
        <f>IF(Database!BN36="","",IFERROR(BDP(LEFT(Database!BN36,FIND(".",Database!BN36)-1)&amp;" CH Equity","CUR_MKT_CAP")*BDP("CNYHKD Curncy","PX_LAST"),"Awaiting quote"))</f>
        <v/>
      </c>
    </row>
    <row r="37" ht="23" customHeight="1">
      <c r="A37" s="32">
        <f>Database!A37&amp;"  "&amp;Database!B37</f>
        <v/>
      </c>
      <c r="B37" s="24">
        <f>IFERROR(INDEX(BDS(TEXT(VALUE(Database!$A37),"0")&amp;" HK Equity","EQUITY_OFFERINGS","array=t","endcol=1"),MATCH("IPO",BDS(TEXT(VALUE(Database!$A37),"0")&amp;" HK Equity","EQUITY_OFFERINGS","array=t","startcol=2","endcol=2"),0)),"")</f>
        <v/>
      </c>
      <c r="C37" s="208">
        <f>IF($B37="","",IFERROR(BDP($B37&amp;" Action","CP036"),""))</f>
        <v/>
      </c>
      <c r="D37" s="209">
        <f>Database!S37</f>
        <v/>
      </c>
      <c r="E37" s="208">
        <f>IF($B37="","",IFERROR(BDP($B37&amp;" Action","CP037"),""))</f>
        <v/>
      </c>
      <c r="F37" s="209">
        <f>Database!T37</f>
        <v/>
      </c>
      <c r="G37" s="208">
        <f>IF($B37="","",IFERROR(BDP($B37&amp;" Action","GREENSHOE_FACILITY"),""))</f>
        <v/>
      </c>
      <c r="H37" s="208">
        <f>IF($B37="","",IFERROR(BDP($B37&amp;" Action","OFFERING_GREENSHOE_SHARES_EX"),""))</f>
        <v/>
      </c>
      <c r="I37" s="32">
        <f>Database!AE37</f>
        <v/>
      </c>
      <c r="J37" s="39">
        <f>IFERROR(BDP(TEXT(VALUE(Database!$A37),"0")&amp;" HK Equity","PE_RATIO"),"")</f>
        <v/>
      </c>
      <c r="K37" s="24">
        <f>IFERROR(BDP(TEXT(VALUE(Database!$A37),"0")&amp;" HK Equity","A/H_SHARE_CONVERSION"),"")</f>
        <v/>
      </c>
      <c r="L37" s="32">
        <f>IF(Database!BN37="","(none found)",Database!BN37)</f>
        <v/>
      </c>
      <c r="M37" s="34">
        <f>BDH(TEXT(VALUE(Database!$A37),"0")&amp;" HK Equity","CUR_MKT_CAP",Database!$H37,Database!$H37)</f>
        <v/>
      </c>
      <c r="N37" s="166">
        <f>Database!Q37</f>
        <v/>
      </c>
      <c r="O37" s="39">
        <f>BDH(TEXT(VALUE(Database!$A37),"0")&amp;" HK Equity","PE_RATIO",Database!$H37,Database!$H37)</f>
        <v/>
      </c>
      <c r="P37" s="199">
        <f>IF(Database!BH37="","(n/m or not derivable)",Database!BH37)</f>
        <v/>
      </c>
      <c r="Q37" s="39">
        <f>IF(Database!BN37="","",BDH(LEFT(Database!BN37,FIND(".",Database!BN37)-1)&amp;" CH Equity","PE_RATIO",Database!$H37,Database!$H37))</f>
        <v/>
      </c>
      <c r="R37" s="39">
        <f>IF(Database!BN37="","",BDH("HSAHP Index","PX_LAST",Database!$H37,Database!$H37))</f>
        <v/>
      </c>
      <c r="S37" s="39">
        <f>IFERROR(BDP(TEXT(VALUE(Database!$A37),"0")&amp;" HK Equity","PX_TO_SALES_RATIO"),"")</f>
        <v/>
      </c>
      <c r="T37" s="34">
        <f>IF(Database!BN37="","",IFERROR(BDP(LEFT(Database!BN37,FIND(".",Database!BN37)-1)&amp;" CH Equity","CUR_MKT_CAP")*BDP("CNYHKD Curncy","PX_LAST"),"Awaiting quote"))</f>
        <v/>
      </c>
    </row>
    <row r="38" ht="23" customHeight="1">
      <c r="A38" s="32">
        <f>Database!A38&amp;"  "&amp;Database!B38</f>
        <v/>
      </c>
      <c r="B38" s="24">
        <f>IFERROR(INDEX(BDS(TEXT(VALUE(Database!$A38),"0")&amp;" HK Equity","EQUITY_OFFERINGS","array=t","endcol=1"),MATCH("IPO",BDS(TEXT(VALUE(Database!$A38),"0")&amp;" HK Equity","EQUITY_OFFERINGS","array=t","startcol=2","endcol=2"),0)),"")</f>
        <v/>
      </c>
      <c r="C38" s="208">
        <f>IF($B38="","",IFERROR(BDP($B38&amp;" Action","CP036"),""))</f>
        <v/>
      </c>
      <c r="D38" s="209">
        <f>Database!S38</f>
        <v/>
      </c>
      <c r="E38" s="208">
        <f>IF($B38="","",IFERROR(BDP($B38&amp;" Action","CP037"),""))</f>
        <v/>
      </c>
      <c r="F38" s="209">
        <f>Database!T38</f>
        <v/>
      </c>
      <c r="G38" s="208">
        <f>IF($B38="","",IFERROR(BDP($B38&amp;" Action","GREENSHOE_FACILITY"),""))</f>
        <v/>
      </c>
      <c r="H38" s="208">
        <f>IF($B38="","",IFERROR(BDP($B38&amp;" Action","OFFERING_GREENSHOE_SHARES_EX"),""))</f>
        <v/>
      </c>
      <c r="I38" s="32">
        <f>Database!AE38</f>
        <v/>
      </c>
      <c r="J38" s="39">
        <f>IFERROR(BDP(TEXT(VALUE(Database!$A38),"0")&amp;" HK Equity","PE_RATIO"),"")</f>
        <v/>
      </c>
      <c r="K38" s="24">
        <f>IFERROR(BDP(TEXT(VALUE(Database!$A38),"0")&amp;" HK Equity","A/H_SHARE_CONVERSION"),"")</f>
        <v/>
      </c>
      <c r="L38" s="32">
        <f>IF(Database!BN38="","(none found)",Database!BN38)</f>
        <v/>
      </c>
      <c r="M38" s="34">
        <f>BDH(TEXT(VALUE(Database!$A38),"0")&amp;" HK Equity","CUR_MKT_CAP",Database!$H38,Database!$H38)</f>
        <v/>
      </c>
      <c r="N38" s="166">
        <f>Database!Q38</f>
        <v/>
      </c>
      <c r="O38" s="39">
        <f>BDH(TEXT(VALUE(Database!$A38),"0")&amp;" HK Equity","PE_RATIO",Database!$H38,Database!$H38)</f>
        <v/>
      </c>
      <c r="P38" s="199">
        <f>IF(Database!BH38="","(n/m or not derivable)",Database!BH38)</f>
        <v/>
      </c>
      <c r="Q38" s="39">
        <f>IF(Database!BN38="","",BDH(LEFT(Database!BN38,FIND(".",Database!BN38)-1)&amp;" CH Equity","PE_RATIO",Database!$H38,Database!$H38))</f>
        <v/>
      </c>
      <c r="R38" s="39">
        <f>IF(Database!BN38="","",BDH("HSAHP Index","PX_LAST",Database!$H38,Database!$H38))</f>
        <v/>
      </c>
      <c r="S38" s="39">
        <f>IFERROR(BDP(TEXT(VALUE(Database!$A38),"0")&amp;" HK Equity","PX_TO_SALES_RATIO"),"")</f>
        <v/>
      </c>
      <c r="T38" s="34">
        <f>IF(Database!BN38="","",IFERROR(BDP(LEFT(Database!BN38,FIND(".",Database!BN38)-1)&amp;" CH Equity","CUR_MKT_CAP")*BDP("CNYHKD Curncy","PX_LAST"),"Awaiting quote"))</f>
        <v/>
      </c>
    </row>
    <row r="39" ht="23" customHeight="1">
      <c r="A39" s="32">
        <f>Database!A39&amp;"  "&amp;Database!B39</f>
        <v/>
      </c>
      <c r="B39" s="24">
        <f>IFERROR(INDEX(BDS(TEXT(VALUE(Database!$A39),"0")&amp;" HK Equity","EQUITY_OFFERINGS","array=t","endcol=1"),MATCH("IPO",BDS(TEXT(VALUE(Database!$A39),"0")&amp;" HK Equity","EQUITY_OFFERINGS","array=t","startcol=2","endcol=2"),0)),"")</f>
        <v/>
      </c>
      <c r="C39" s="208">
        <f>IF($B39="","",IFERROR(BDP($B39&amp;" Action","CP036"),""))</f>
        <v/>
      </c>
      <c r="D39" s="209">
        <f>Database!S39</f>
        <v/>
      </c>
      <c r="E39" s="208">
        <f>IF($B39="","",IFERROR(BDP($B39&amp;" Action","CP037"),""))</f>
        <v/>
      </c>
      <c r="F39" s="209">
        <f>Database!T39</f>
        <v/>
      </c>
      <c r="G39" s="208">
        <f>IF($B39="","",IFERROR(BDP($B39&amp;" Action","GREENSHOE_FACILITY"),""))</f>
        <v/>
      </c>
      <c r="H39" s="208">
        <f>IF($B39="","",IFERROR(BDP($B39&amp;" Action","OFFERING_GREENSHOE_SHARES_EX"),""))</f>
        <v/>
      </c>
      <c r="I39" s="32">
        <f>Database!AE39</f>
        <v/>
      </c>
      <c r="J39" s="39">
        <f>IFERROR(BDP(TEXT(VALUE(Database!$A39),"0")&amp;" HK Equity","PE_RATIO"),"")</f>
        <v/>
      </c>
      <c r="K39" s="24">
        <f>IFERROR(BDP(TEXT(VALUE(Database!$A39),"0")&amp;" HK Equity","A/H_SHARE_CONVERSION"),"")</f>
        <v/>
      </c>
      <c r="L39" s="32">
        <f>IF(Database!BN39="","(none found)",Database!BN39)</f>
        <v/>
      </c>
      <c r="M39" s="34">
        <f>BDH(TEXT(VALUE(Database!$A39),"0")&amp;" HK Equity","CUR_MKT_CAP",Database!$H39,Database!$H39)</f>
        <v/>
      </c>
      <c r="N39" s="166">
        <f>Database!Q39</f>
        <v/>
      </c>
      <c r="O39" s="39">
        <f>BDH(TEXT(VALUE(Database!$A39),"0")&amp;" HK Equity","PE_RATIO",Database!$H39,Database!$H39)</f>
        <v/>
      </c>
      <c r="P39" s="199">
        <f>IF(Database!BH39="","(n/m or not derivable)",Database!BH39)</f>
        <v/>
      </c>
      <c r="Q39" s="39">
        <f>IF(Database!BN39="","",BDH(LEFT(Database!BN39,FIND(".",Database!BN39)-1)&amp;" CH Equity","PE_RATIO",Database!$H39,Database!$H39))</f>
        <v/>
      </c>
      <c r="R39" s="39">
        <f>IF(Database!BN39="","",BDH("HSAHP Index","PX_LAST",Database!$H39,Database!$H39))</f>
        <v/>
      </c>
      <c r="S39" s="39">
        <f>IFERROR(BDP(TEXT(VALUE(Database!$A39),"0")&amp;" HK Equity","PX_TO_SALES_RATIO"),"")</f>
        <v/>
      </c>
      <c r="T39" s="34">
        <f>IF(Database!BN39="","",IFERROR(BDP(LEFT(Database!BN39,FIND(".",Database!BN39)-1)&amp;" CH Equity","CUR_MKT_CAP")*BDP("CNYHKD Curncy","PX_LAST"),"Awaiting quote"))</f>
        <v/>
      </c>
    </row>
    <row r="40" ht="23" customHeight="1">
      <c r="A40" s="32">
        <f>Database!A40&amp;"  "&amp;Database!B40</f>
        <v/>
      </c>
      <c r="B40" s="24">
        <f>IFERROR(INDEX(BDS(TEXT(VALUE(Database!$A40),"0")&amp;" HK Equity","EQUITY_OFFERINGS","array=t","endcol=1"),MATCH("IPO",BDS(TEXT(VALUE(Database!$A40),"0")&amp;" HK Equity","EQUITY_OFFERINGS","array=t","startcol=2","endcol=2"),0)),"")</f>
        <v/>
      </c>
      <c r="C40" s="208">
        <f>IF($B40="","",IFERROR(BDP($B40&amp;" Action","CP036"),""))</f>
        <v/>
      </c>
      <c r="D40" s="209">
        <f>Database!S40</f>
        <v/>
      </c>
      <c r="E40" s="208">
        <f>IF($B40="","",IFERROR(BDP($B40&amp;" Action","CP037"),""))</f>
        <v/>
      </c>
      <c r="F40" s="209">
        <f>Database!T40</f>
        <v/>
      </c>
      <c r="G40" s="208">
        <f>IF($B40="","",IFERROR(BDP($B40&amp;" Action","GREENSHOE_FACILITY"),""))</f>
        <v/>
      </c>
      <c r="H40" s="208">
        <f>IF($B40="","",IFERROR(BDP($B40&amp;" Action","OFFERING_GREENSHOE_SHARES_EX"),""))</f>
        <v/>
      </c>
      <c r="I40" s="32">
        <f>Database!AE40</f>
        <v/>
      </c>
      <c r="J40" s="39">
        <f>IFERROR(BDP(TEXT(VALUE(Database!$A40),"0")&amp;" HK Equity","PE_RATIO"),"")</f>
        <v/>
      </c>
      <c r="K40" s="24">
        <f>IFERROR(BDP(TEXT(VALUE(Database!$A40),"0")&amp;" HK Equity","A/H_SHARE_CONVERSION"),"")</f>
        <v/>
      </c>
      <c r="L40" s="32">
        <f>IF(Database!BN40="","(none found)",Database!BN40)</f>
        <v/>
      </c>
      <c r="M40" s="34">
        <f>BDH(TEXT(VALUE(Database!$A40),"0")&amp;" HK Equity","CUR_MKT_CAP",Database!$H40,Database!$H40)</f>
        <v/>
      </c>
      <c r="N40" s="166">
        <f>Database!Q40</f>
        <v/>
      </c>
      <c r="O40" s="39">
        <f>BDH(TEXT(VALUE(Database!$A40),"0")&amp;" HK Equity","PE_RATIO",Database!$H40,Database!$H40)</f>
        <v/>
      </c>
      <c r="P40" s="199">
        <f>IF(Database!BH40="","(n/m or not derivable)",Database!BH40)</f>
        <v/>
      </c>
      <c r="Q40" s="39">
        <f>IF(Database!BN40="","",BDH(LEFT(Database!BN40,FIND(".",Database!BN40)-1)&amp;" CH Equity","PE_RATIO",Database!$H40,Database!$H40))</f>
        <v/>
      </c>
      <c r="R40" s="39">
        <f>IF(Database!BN40="","",BDH("HSAHP Index","PX_LAST",Database!$H40,Database!$H40))</f>
        <v/>
      </c>
      <c r="S40" s="39">
        <f>IFERROR(BDP(TEXT(VALUE(Database!$A40),"0")&amp;" HK Equity","PX_TO_SALES_RATIO"),"")</f>
        <v/>
      </c>
      <c r="T40" s="34">
        <f>IF(Database!BN40="","",IFERROR(BDP(LEFT(Database!BN40,FIND(".",Database!BN40)-1)&amp;" CH Equity","CUR_MKT_CAP")*BDP("CNYHKD Curncy","PX_LAST"),"Awaiting quote"))</f>
        <v/>
      </c>
    </row>
    <row r="41" ht="23" customHeight="1">
      <c r="A41" s="32">
        <f>Database!A41&amp;"  "&amp;Database!B41</f>
        <v/>
      </c>
      <c r="B41" s="24">
        <f>IFERROR(INDEX(BDS(TEXT(VALUE(Database!$A41),"0")&amp;" HK Equity","EQUITY_OFFERINGS","array=t","endcol=1"),MATCH("IPO",BDS(TEXT(VALUE(Database!$A41),"0")&amp;" HK Equity","EQUITY_OFFERINGS","array=t","startcol=2","endcol=2"),0)),"")</f>
        <v/>
      </c>
      <c r="C41" s="208">
        <f>IF($B41="","",IFERROR(BDP($B41&amp;" Action","CP036"),""))</f>
        <v/>
      </c>
      <c r="D41" s="209">
        <f>Database!S41</f>
        <v/>
      </c>
      <c r="E41" s="208">
        <f>IF($B41="","",IFERROR(BDP($B41&amp;" Action","CP037"),""))</f>
        <v/>
      </c>
      <c r="F41" s="209">
        <f>Database!T41</f>
        <v/>
      </c>
      <c r="G41" s="208">
        <f>IF($B41="","",IFERROR(BDP($B41&amp;" Action","GREENSHOE_FACILITY"),""))</f>
        <v/>
      </c>
      <c r="H41" s="208">
        <f>IF($B41="","",IFERROR(BDP($B41&amp;" Action","OFFERING_GREENSHOE_SHARES_EX"),""))</f>
        <v/>
      </c>
      <c r="I41" s="32">
        <f>Database!AE41</f>
        <v/>
      </c>
      <c r="J41" s="39">
        <f>IFERROR(BDP(TEXT(VALUE(Database!$A41),"0")&amp;" HK Equity","PE_RATIO"),"")</f>
        <v/>
      </c>
      <c r="K41" s="24">
        <f>IFERROR(BDP(TEXT(VALUE(Database!$A41),"0")&amp;" HK Equity","A/H_SHARE_CONVERSION"),"")</f>
        <v/>
      </c>
      <c r="L41" s="32">
        <f>IF(Database!BN41="","(none found)",Database!BN41)</f>
        <v/>
      </c>
      <c r="M41" s="34">
        <f>BDH(TEXT(VALUE(Database!$A41),"0")&amp;" HK Equity","CUR_MKT_CAP",Database!$H41,Database!$H41)</f>
        <v/>
      </c>
      <c r="N41" s="166">
        <f>Database!Q41</f>
        <v/>
      </c>
      <c r="O41" s="39">
        <f>BDH(TEXT(VALUE(Database!$A41),"0")&amp;" HK Equity","PE_RATIO",Database!$H41,Database!$H41)</f>
        <v/>
      </c>
      <c r="P41" s="199">
        <f>IF(Database!BH41="","(n/m or not derivable)",Database!BH41)</f>
        <v/>
      </c>
      <c r="Q41" s="39">
        <f>IF(Database!BN41="","",BDH(LEFT(Database!BN41,FIND(".",Database!BN41)-1)&amp;" CH Equity","PE_RATIO",Database!$H41,Database!$H41))</f>
        <v/>
      </c>
      <c r="R41" s="39">
        <f>IF(Database!BN41="","",BDH("HSAHP Index","PX_LAST",Database!$H41,Database!$H41))</f>
        <v/>
      </c>
      <c r="S41" s="39">
        <f>IFERROR(BDP(TEXT(VALUE(Database!$A41),"0")&amp;" HK Equity","PX_TO_SALES_RATIO"),"")</f>
        <v/>
      </c>
      <c r="T41" s="34">
        <f>IF(Database!BN41="","",IFERROR(BDP(LEFT(Database!BN41,FIND(".",Database!BN41)-1)&amp;" CH Equity","CUR_MKT_CAP")*BDP("CNYHKD Curncy","PX_LAST"),"Awaiting quote"))</f>
        <v/>
      </c>
    </row>
    <row r="42" ht="23" customHeight="1">
      <c r="A42" s="32">
        <f>Database!A42&amp;"  "&amp;Database!B42</f>
        <v/>
      </c>
      <c r="B42" s="24">
        <f>IFERROR(INDEX(BDS(TEXT(VALUE(Database!$A42),"0")&amp;" HK Equity","EQUITY_OFFERINGS","array=t","endcol=1"),MATCH("IPO",BDS(TEXT(VALUE(Database!$A42),"0")&amp;" HK Equity","EQUITY_OFFERINGS","array=t","startcol=2","endcol=2"),0)),"")</f>
        <v/>
      </c>
      <c r="C42" s="208">
        <f>IF($B42="","",IFERROR(BDP($B42&amp;" Action","CP036"),""))</f>
        <v/>
      </c>
      <c r="D42" s="209">
        <f>Database!S42</f>
        <v/>
      </c>
      <c r="E42" s="208">
        <f>IF($B42="","",IFERROR(BDP($B42&amp;" Action","CP037"),""))</f>
        <v/>
      </c>
      <c r="F42" s="209">
        <f>Database!T42</f>
        <v/>
      </c>
      <c r="G42" s="208">
        <f>IF($B42="","",IFERROR(BDP($B42&amp;" Action","GREENSHOE_FACILITY"),""))</f>
        <v/>
      </c>
      <c r="H42" s="208">
        <f>IF($B42="","",IFERROR(BDP($B42&amp;" Action","OFFERING_GREENSHOE_SHARES_EX"),""))</f>
        <v/>
      </c>
      <c r="I42" s="32">
        <f>Database!AE42</f>
        <v/>
      </c>
      <c r="J42" s="39">
        <f>IFERROR(BDP(TEXT(VALUE(Database!$A42),"0")&amp;" HK Equity","PE_RATIO"),"")</f>
        <v/>
      </c>
      <c r="K42" s="24">
        <f>IFERROR(BDP(TEXT(VALUE(Database!$A42),"0")&amp;" HK Equity","A/H_SHARE_CONVERSION"),"")</f>
        <v/>
      </c>
      <c r="L42" s="32">
        <f>IF(Database!BN42="","(none found)",Database!BN42)</f>
        <v/>
      </c>
      <c r="M42" s="34">
        <f>BDH(TEXT(VALUE(Database!$A42),"0")&amp;" HK Equity","CUR_MKT_CAP",Database!$H42,Database!$H42)</f>
        <v/>
      </c>
      <c r="N42" s="166">
        <f>Database!Q42</f>
        <v/>
      </c>
      <c r="O42" s="39">
        <f>BDH(TEXT(VALUE(Database!$A42),"0")&amp;" HK Equity","PE_RATIO",Database!$H42,Database!$H42)</f>
        <v/>
      </c>
      <c r="P42" s="199">
        <f>IF(Database!BH42="","(n/m or not derivable)",Database!BH42)</f>
        <v/>
      </c>
      <c r="Q42" s="39">
        <f>IF(Database!BN42="","",BDH(LEFT(Database!BN42,FIND(".",Database!BN42)-1)&amp;" CH Equity","PE_RATIO",Database!$H42,Database!$H42))</f>
        <v/>
      </c>
      <c r="R42" s="39">
        <f>IF(Database!BN42="","",BDH("HSAHP Index","PX_LAST",Database!$H42,Database!$H42))</f>
        <v/>
      </c>
      <c r="S42" s="39">
        <f>IFERROR(BDP(TEXT(VALUE(Database!$A42),"0")&amp;" HK Equity","PX_TO_SALES_RATIO"),"")</f>
        <v/>
      </c>
      <c r="T42" s="34">
        <f>IF(Database!BN42="","",IFERROR(BDP(LEFT(Database!BN42,FIND(".",Database!BN42)-1)&amp;" CH Equity","CUR_MKT_CAP")*BDP("CNYHKD Curncy","PX_LAST"),"Awaiting quote"))</f>
        <v/>
      </c>
    </row>
    <row r="43" ht="23" customHeight="1">
      <c r="A43" s="32">
        <f>Database!A43&amp;"  "&amp;Database!B43</f>
        <v/>
      </c>
      <c r="B43" s="24">
        <f>IFERROR(INDEX(BDS(TEXT(VALUE(Database!$A43),"0")&amp;" HK Equity","EQUITY_OFFERINGS","array=t","endcol=1"),MATCH("IPO",BDS(TEXT(VALUE(Database!$A43),"0")&amp;" HK Equity","EQUITY_OFFERINGS","array=t","startcol=2","endcol=2"),0)),"")</f>
        <v/>
      </c>
      <c r="C43" s="208">
        <f>IF($B43="","",IFERROR(BDP($B43&amp;" Action","CP036"),""))</f>
        <v/>
      </c>
      <c r="D43" s="209">
        <f>Database!S43</f>
        <v/>
      </c>
      <c r="E43" s="208">
        <f>IF($B43="","",IFERROR(BDP($B43&amp;" Action","CP037"),""))</f>
        <v/>
      </c>
      <c r="F43" s="209">
        <f>Database!T43</f>
        <v/>
      </c>
      <c r="G43" s="208">
        <f>IF($B43="","",IFERROR(BDP($B43&amp;" Action","GREENSHOE_FACILITY"),""))</f>
        <v/>
      </c>
      <c r="H43" s="208">
        <f>IF($B43="","",IFERROR(BDP($B43&amp;" Action","OFFERING_GREENSHOE_SHARES_EX"),""))</f>
        <v/>
      </c>
      <c r="I43" s="32">
        <f>Database!AE43</f>
        <v/>
      </c>
      <c r="J43" s="39">
        <f>IFERROR(BDP(TEXT(VALUE(Database!$A43),"0")&amp;" HK Equity","PE_RATIO"),"")</f>
        <v/>
      </c>
      <c r="K43" s="24">
        <f>IFERROR(BDP(TEXT(VALUE(Database!$A43),"0")&amp;" HK Equity","A/H_SHARE_CONVERSION"),"")</f>
        <v/>
      </c>
      <c r="L43" s="32">
        <f>IF(Database!BN43="","(none found)",Database!BN43)</f>
        <v/>
      </c>
      <c r="M43" s="34">
        <f>BDH(TEXT(VALUE(Database!$A43),"0")&amp;" HK Equity","CUR_MKT_CAP",Database!$H43,Database!$H43)</f>
        <v/>
      </c>
      <c r="N43" s="166">
        <f>Database!Q43</f>
        <v/>
      </c>
      <c r="O43" s="39">
        <f>BDH(TEXT(VALUE(Database!$A43),"0")&amp;" HK Equity","PE_RATIO",Database!$H43,Database!$H43)</f>
        <v/>
      </c>
      <c r="P43" s="199">
        <f>IF(Database!BH43="","(n/m or not derivable)",Database!BH43)</f>
        <v/>
      </c>
      <c r="Q43" s="39">
        <f>IF(Database!BN43="","",BDH(LEFT(Database!BN43,FIND(".",Database!BN43)-1)&amp;" CH Equity","PE_RATIO",Database!$H43,Database!$H43))</f>
        <v/>
      </c>
      <c r="R43" s="39">
        <f>IF(Database!BN43="","",BDH("HSAHP Index","PX_LAST",Database!$H43,Database!$H43))</f>
        <v/>
      </c>
      <c r="S43" s="39">
        <f>IFERROR(BDP(TEXT(VALUE(Database!$A43),"0")&amp;" HK Equity","PX_TO_SALES_RATIO"),"")</f>
        <v/>
      </c>
      <c r="T43" s="34">
        <f>IF(Database!BN43="","",IFERROR(BDP(LEFT(Database!BN43,FIND(".",Database!BN43)-1)&amp;" CH Equity","CUR_MKT_CAP")*BDP("CNYHKD Curncy","PX_LAST"),"Awaiting quote"))</f>
        <v/>
      </c>
    </row>
    <row r="44" ht="23" customHeight="1">
      <c r="A44" s="32">
        <f>Database!A44&amp;"  "&amp;Database!B44</f>
        <v/>
      </c>
      <c r="B44" s="24">
        <f>IFERROR(INDEX(BDS(TEXT(VALUE(Database!$A44),"0")&amp;" HK Equity","EQUITY_OFFERINGS","array=t","endcol=1"),MATCH("IPO",BDS(TEXT(VALUE(Database!$A44),"0")&amp;" HK Equity","EQUITY_OFFERINGS","array=t","startcol=2","endcol=2"),0)),"")</f>
        <v/>
      </c>
      <c r="C44" s="208">
        <f>IF($B44="","",IFERROR(BDP($B44&amp;" Action","CP036"),""))</f>
        <v/>
      </c>
      <c r="D44" s="209">
        <f>Database!S44</f>
        <v/>
      </c>
      <c r="E44" s="208">
        <f>IF($B44="","",IFERROR(BDP($B44&amp;" Action","CP037"),""))</f>
        <v/>
      </c>
      <c r="F44" s="209">
        <f>Database!T44</f>
        <v/>
      </c>
      <c r="G44" s="208">
        <f>IF($B44="","",IFERROR(BDP($B44&amp;" Action","GREENSHOE_FACILITY"),""))</f>
        <v/>
      </c>
      <c r="H44" s="208">
        <f>IF($B44="","",IFERROR(BDP($B44&amp;" Action","OFFERING_GREENSHOE_SHARES_EX"),""))</f>
        <v/>
      </c>
      <c r="I44" s="32">
        <f>Database!AE44</f>
        <v/>
      </c>
      <c r="J44" s="39">
        <f>IFERROR(BDP(TEXT(VALUE(Database!$A44),"0")&amp;" HK Equity","PE_RATIO"),"")</f>
        <v/>
      </c>
      <c r="K44" s="24">
        <f>IFERROR(BDP(TEXT(VALUE(Database!$A44),"0")&amp;" HK Equity","A/H_SHARE_CONVERSION"),"")</f>
        <v/>
      </c>
      <c r="L44" s="32">
        <f>IF(Database!BN44="","(none found)",Database!BN44)</f>
        <v/>
      </c>
      <c r="M44" s="34">
        <f>BDH(TEXT(VALUE(Database!$A44),"0")&amp;" HK Equity","CUR_MKT_CAP",Database!$H44,Database!$H44)</f>
        <v/>
      </c>
      <c r="N44" s="166">
        <f>Database!Q44</f>
        <v/>
      </c>
      <c r="O44" s="39">
        <f>BDH(TEXT(VALUE(Database!$A44),"0")&amp;" HK Equity","PE_RATIO",Database!$H44,Database!$H44)</f>
        <v/>
      </c>
      <c r="P44" s="199">
        <f>IF(Database!BH44="","(n/m or not derivable)",Database!BH44)</f>
        <v/>
      </c>
      <c r="Q44" s="39">
        <f>IF(Database!BN44="","",BDH(LEFT(Database!BN44,FIND(".",Database!BN44)-1)&amp;" CH Equity","PE_RATIO",Database!$H44,Database!$H44))</f>
        <v/>
      </c>
      <c r="R44" s="39">
        <f>IF(Database!BN44="","",BDH("HSAHP Index","PX_LAST",Database!$H44,Database!$H44))</f>
        <v/>
      </c>
      <c r="S44" s="39">
        <f>IFERROR(BDP(TEXT(VALUE(Database!$A44),"0")&amp;" HK Equity","PX_TO_SALES_RATIO"),"")</f>
        <v/>
      </c>
      <c r="T44" s="34">
        <f>IF(Database!BN44="","",IFERROR(BDP(LEFT(Database!BN44,FIND(".",Database!BN44)-1)&amp;" CH Equity","CUR_MKT_CAP")*BDP("CNYHKD Curncy","PX_LAST"),"Awaiting quote"))</f>
        <v/>
      </c>
    </row>
    <row r="45" ht="23" customHeight="1">
      <c r="A45" s="32">
        <f>Database!A45&amp;"  "&amp;Database!B45</f>
        <v/>
      </c>
      <c r="B45" s="24">
        <f>IFERROR(INDEX(BDS(TEXT(VALUE(Database!$A45),"0")&amp;" HK Equity","EQUITY_OFFERINGS","array=t","endcol=1"),MATCH("IPO",BDS(TEXT(VALUE(Database!$A45),"0")&amp;" HK Equity","EQUITY_OFFERINGS","array=t","startcol=2","endcol=2"),0)),"")</f>
        <v/>
      </c>
      <c r="C45" s="208">
        <f>IF($B45="","",IFERROR(BDP($B45&amp;" Action","CP036"),""))</f>
        <v/>
      </c>
      <c r="D45" s="209">
        <f>Database!S45</f>
        <v/>
      </c>
      <c r="E45" s="208">
        <f>IF($B45="","",IFERROR(BDP($B45&amp;" Action","CP037"),""))</f>
        <v/>
      </c>
      <c r="F45" s="209">
        <f>Database!T45</f>
        <v/>
      </c>
      <c r="G45" s="208">
        <f>IF($B45="","",IFERROR(BDP($B45&amp;" Action","GREENSHOE_FACILITY"),""))</f>
        <v/>
      </c>
      <c r="H45" s="208">
        <f>IF($B45="","",IFERROR(BDP($B45&amp;" Action","OFFERING_GREENSHOE_SHARES_EX"),""))</f>
        <v/>
      </c>
      <c r="I45" s="32">
        <f>Database!AE45</f>
        <v/>
      </c>
      <c r="J45" s="39">
        <f>IFERROR(BDP(TEXT(VALUE(Database!$A45),"0")&amp;" HK Equity","PE_RATIO"),"")</f>
        <v/>
      </c>
      <c r="K45" s="24">
        <f>IFERROR(BDP(TEXT(VALUE(Database!$A45),"0")&amp;" HK Equity","A/H_SHARE_CONVERSION"),"")</f>
        <v/>
      </c>
      <c r="L45" s="32">
        <f>IF(Database!BN45="","(none found)",Database!BN45)</f>
        <v/>
      </c>
      <c r="M45" s="34">
        <f>BDH(TEXT(VALUE(Database!$A45),"0")&amp;" HK Equity","CUR_MKT_CAP",Database!$H45,Database!$H45)</f>
        <v/>
      </c>
      <c r="N45" s="166">
        <f>Database!Q45</f>
        <v/>
      </c>
      <c r="O45" s="39">
        <f>BDH(TEXT(VALUE(Database!$A45),"0")&amp;" HK Equity","PE_RATIO",Database!$H45,Database!$H45)</f>
        <v/>
      </c>
      <c r="P45" s="199">
        <f>IF(Database!BH45="","(n/m or not derivable)",Database!BH45)</f>
        <v/>
      </c>
      <c r="Q45" s="39">
        <f>IF(Database!BN45="","",BDH(LEFT(Database!BN45,FIND(".",Database!BN45)-1)&amp;" CH Equity","PE_RATIO",Database!$H45,Database!$H45))</f>
        <v/>
      </c>
      <c r="R45" s="39">
        <f>IF(Database!BN45="","",BDH("HSAHP Index","PX_LAST",Database!$H45,Database!$H45))</f>
        <v/>
      </c>
      <c r="S45" s="39">
        <f>IFERROR(BDP(TEXT(VALUE(Database!$A45),"0")&amp;" HK Equity","PX_TO_SALES_RATIO"),"")</f>
        <v/>
      </c>
      <c r="T45" s="34">
        <f>IF(Database!BN45="","",IFERROR(BDP(LEFT(Database!BN45,FIND(".",Database!BN45)-1)&amp;" CH Equity","CUR_MKT_CAP")*BDP("CNYHKD Curncy","PX_LAST"),"Awaiting quote"))</f>
        <v/>
      </c>
    </row>
    <row r="46" ht="23" customHeight="1">
      <c r="A46" s="32">
        <f>Database!A46&amp;"  "&amp;Database!B46</f>
        <v/>
      </c>
      <c r="B46" s="24">
        <f>IFERROR(INDEX(BDS(TEXT(VALUE(Database!$A46),"0")&amp;" HK Equity","EQUITY_OFFERINGS","array=t","endcol=1"),MATCH("IPO",BDS(TEXT(VALUE(Database!$A46),"0")&amp;" HK Equity","EQUITY_OFFERINGS","array=t","startcol=2","endcol=2"),0)),"")</f>
        <v/>
      </c>
      <c r="C46" s="208">
        <f>IF($B46="","",IFERROR(BDP($B46&amp;" Action","CP036"),""))</f>
        <v/>
      </c>
      <c r="D46" s="209">
        <f>Database!S46</f>
        <v/>
      </c>
      <c r="E46" s="208">
        <f>IF($B46="","",IFERROR(BDP($B46&amp;" Action","CP037"),""))</f>
        <v/>
      </c>
      <c r="F46" s="209">
        <f>Database!T46</f>
        <v/>
      </c>
      <c r="G46" s="208">
        <f>IF($B46="","",IFERROR(BDP($B46&amp;" Action","GREENSHOE_FACILITY"),""))</f>
        <v/>
      </c>
      <c r="H46" s="208">
        <f>IF($B46="","",IFERROR(BDP($B46&amp;" Action","OFFERING_GREENSHOE_SHARES_EX"),""))</f>
        <v/>
      </c>
      <c r="I46" s="32">
        <f>Database!AE46</f>
        <v/>
      </c>
      <c r="J46" s="39">
        <f>IFERROR(BDP(TEXT(VALUE(Database!$A46),"0")&amp;" HK Equity","PE_RATIO"),"")</f>
        <v/>
      </c>
      <c r="K46" s="24">
        <f>IFERROR(BDP(TEXT(VALUE(Database!$A46),"0")&amp;" HK Equity","A/H_SHARE_CONVERSION"),"")</f>
        <v/>
      </c>
      <c r="L46" s="32">
        <f>IF(Database!BN46="","(none found)",Database!BN46)</f>
        <v/>
      </c>
      <c r="M46" s="34">
        <f>BDH(TEXT(VALUE(Database!$A46),"0")&amp;" HK Equity","CUR_MKT_CAP",Database!$H46,Database!$H46)</f>
        <v/>
      </c>
      <c r="N46" s="166">
        <f>Database!Q46</f>
        <v/>
      </c>
      <c r="O46" s="39">
        <f>BDH(TEXT(VALUE(Database!$A46),"0")&amp;" HK Equity","PE_RATIO",Database!$H46,Database!$H46)</f>
        <v/>
      </c>
      <c r="P46" s="199">
        <f>IF(Database!BH46="","(n/m or not derivable)",Database!BH46)</f>
        <v/>
      </c>
      <c r="Q46" s="39">
        <f>IF(Database!BN46="","",BDH(LEFT(Database!BN46,FIND(".",Database!BN46)-1)&amp;" CH Equity","PE_RATIO",Database!$H46,Database!$H46))</f>
        <v/>
      </c>
      <c r="R46" s="39">
        <f>IF(Database!BN46="","",BDH("HSAHP Index","PX_LAST",Database!$H46,Database!$H46))</f>
        <v/>
      </c>
      <c r="S46" s="39">
        <f>IFERROR(BDP(TEXT(VALUE(Database!$A46),"0")&amp;" HK Equity","PX_TO_SALES_RATIO"),"")</f>
        <v/>
      </c>
      <c r="T46" s="34">
        <f>IF(Database!BN46="","",IFERROR(BDP(LEFT(Database!BN46,FIND(".",Database!BN46)-1)&amp;" CH Equity","CUR_MKT_CAP")*BDP("CNYHKD Curncy","PX_LAST"),"Awaiting quote"))</f>
        <v/>
      </c>
    </row>
    <row r="47" ht="23" customHeight="1">
      <c r="A47" s="32">
        <f>Database!A47&amp;"  "&amp;Database!B47</f>
        <v/>
      </c>
      <c r="B47" s="24">
        <f>IFERROR(INDEX(BDS(TEXT(VALUE(Database!$A47),"0")&amp;" HK Equity","EQUITY_OFFERINGS","array=t","endcol=1"),MATCH("IPO",BDS(TEXT(VALUE(Database!$A47),"0")&amp;" HK Equity","EQUITY_OFFERINGS","array=t","startcol=2","endcol=2"),0)),"")</f>
        <v/>
      </c>
      <c r="C47" s="208">
        <f>IF($B47="","",IFERROR(BDP($B47&amp;" Action","CP036"),""))</f>
        <v/>
      </c>
      <c r="D47" s="209">
        <f>Database!S47</f>
        <v/>
      </c>
      <c r="E47" s="208">
        <f>IF($B47="","",IFERROR(BDP($B47&amp;" Action","CP037"),""))</f>
        <v/>
      </c>
      <c r="F47" s="209">
        <f>Database!T47</f>
        <v/>
      </c>
      <c r="G47" s="208">
        <f>IF($B47="","",IFERROR(BDP($B47&amp;" Action","GREENSHOE_FACILITY"),""))</f>
        <v/>
      </c>
      <c r="H47" s="208">
        <f>IF($B47="","",IFERROR(BDP($B47&amp;" Action","OFFERING_GREENSHOE_SHARES_EX"),""))</f>
        <v/>
      </c>
      <c r="I47" s="32">
        <f>Database!AE47</f>
        <v/>
      </c>
      <c r="J47" s="39">
        <f>IFERROR(BDP(TEXT(VALUE(Database!$A47),"0")&amp;" HK Equity","PE_RATIO"),"")</f>
        <v/>
      </c>
      <c r="K47" s="24">
        <f>IFERROR(BDP(TEXT(VALUE(Database!$A47),"0")&amp;" HK Equity","A/H_SHARE_CONVERSION"),"")</f>
        <v/>
      </c>
      <c r="L47" s="32">
        <f>IF(Database!BN47="","(none found)",Database!BN47)</f>
        <v/>
      </c>
      <c r="M47" s="34">
        <f>BDH(TEXT(VALUE(Database!$A47),"0")&amp;" HK Equity","CUR_MKT_CAP",Database!$H47,Database!$H47)</f>
        <v/>
      </c>
      <c r="N47" s="166">
        <f>Database!Q47</f>
        <v/>
      </c>
      <c r="O47" s="39">
        <f>BDH(TEXT(VALUE(Database!$A47),"0")&amp;" HK Equity","PE_RATIO",Database!$H47,Database!$H47)</f>
        <v/>
      </c>
      <c r="P47" s="199">
        <f>IF(Database!BH47="","(n/m or not derivable)",Database!BH47)</f>
        <v/>
      </c>
      <c r="Q47" s="39">
        <f>IF(Database!BN47="","",BDH(LEFT(Database!BN47,FIND(".",Database!BN47)-1)&amp;" CH Equity","PE_RATIO",Database!$H47,Database!$H47))</f>
        <v/>
      </c>
      <c r="R47" s="39">
        <f>IF(Database!BN47="","",BDH("HSAHP Index","PX_LAST",Database!$H47,Database!$H47))</f>
        <v/>
      </c>
      <c r="S47" s="39">
        <f>IFERROR(BDP(TEXT(VALUE(Database!$A47),"0")&amp;" HK Equity","PX_TO_SALES_RATIO"),"")</f>
        <v/>
      </c>
      <c r="T47" s="34">
        <f>IF(Database!BN47="","",IFERROR(BDP(LEFT(Database!BN47,FIND(".",Database!BN47)-1)&amp;" CH Equity","CUR_MKT_CAP")*BDP("CNYHKD Curncy","PX_LAST"),"Awaiting quote"))</f>
        <v/>
      </c>
    </row>
    <row r="48" ht="23" customHeight="1">
      <c r="A48" s="32">
        <f>Database!A48&amp;"  "&amp;Database!B48</f>
        <v/>
      </c>
      <c r="B48" s="24">
        <f>IFERROR(INDEX(BDS(TEXT(VALUE(Database!$A48),"0")&amp;" HK Equity","EQUITY_OFFERINGS","array=t","endcol=1"),MATCH("IPO",BDS(TEXT(VALUE(Database!$A48),"0")&amp;" HK Equity","EQUITY_OFFERINGS","array=t","startcol=2","endcol=2"),0)),"")</f>
        <v/>
      </c>
      <c r="C48" s="208">
        <f>IF($B48="","",IFERROR(BDP($B48&amp;" Action","CP036"),""))</f>
        <v/>
      </c>
      <c r="D48" s="209">
        <f>Database!S48</f>
        <v/>
      </c>
      <c r="E48" s="208">
        <f>IF($B48="","",IFERROR(BDP($B48&amp;" Action","CP037"),""))</f>
        <v/>
      </c>
      <c r="F48" s="209">
        <f>Database!T48</f>
        <v/>
      </c>
      <c r="G48" s="208">
        <f>IF($B48="","",IFERROR(BDP($B48&amp;" Action","GREENSHOE_FACILITY"),""))</f>
        <v/>
      </c>
      <c r="H48" s="208">
        <f>IF($B48="","",IFERROR(BDP($B48&amp;" Action","OFFERING_GREENSHOE_SHARES_EX"),""))</f>
        <v/>
      </c>
      <c r="I48" s="32">
        <f>Database!AE48</f>
        <v/>
      </c>
      <c r="J48" s="39">
        <f>IFERROR(BDP(TEXT(VALUE(Database!$A48),"0")&amp;" HK Equity","PE_RATIO"),"")</f>
        <v/>
      </c>
      <c r="K48" s="24">
        <f>IFERROR(BDP(TEXT(VALUE(Database!$A48),"0")&amp;" HK Equity","A/H_SHARE_CONVERSION"),"")</f>
        <v/>
      </c>
      <c r="L48" s="32">
        <f>IF(Database!BN48="","(none found)",Database!BN48)</f>
        <v/>
      </c>
      <c r="M48" s="34">
        <f>BDH(TEXT(VALUE(Database!$A48),"0")&amp;" HK Equity","CUR_MKT_CAP",Database!$H48,Database!$H48)</f>
        <v/>
      </c>
      <c r="N48" s="166">
        <f>Database!Q48</f>
        <v/>
      </c>
      <c r="O48" s="39">
        <f>BDH(TEXT(VALUE(Database!$A48),"0")&amp;" HK Equity","PE_RATIO",Database!$H48,Database!$H48)</f>
        <v/>
      </c>
      <c r="P48" s="199">
        <f>IF(Database!BH48="","(n/m or not derivable)",Database!BH48)</f>
        <v/>
      </c>
      <c r="Q48" s="39">
        <f>IF(Database!BN48="","",BDH(LEFT(Database!BN48,FIND(".",Database!BN48)-1)&amp;" CH Equity","PE_RATIO",Database!$H48,Database!$H48))</f>
        <v/>
      </c>
      <c r="R48" s="39">
        <f>IF(Database!BN48="","",BDH("HSAHP Index","PX_LAST",Database!$H48,Database!$H48))</f>
        <v/>
      </c>
      <c r="S48" s="39">
        <f>IFERROR(BDP(TEXT(VALUE(Database!$A48),"0")&amp;" HK Equity","PX_TO_SALES_RATIO"),"")</f>
        <v/>
      </c>
      <c r="T48" s="34">
        <f>IF(Database!BN48="","",IFERROR(BDP(LEFT(Database!BN48,FIND(".",Database!BN48)-1)&amp;" CH Equity","CUR_MKT_CAP")*BDP("CNYHKD Curncy","PX_LAST"),"Awaiting quote"))</f>
        <v/>
      </c>
    </row>
    <row r="49" ht="23" customHeight="1">
      <c r="A49" s="32">
        <f>Database!A49&amp;"  "&amp;Database!B49</f>
        <v/>
      </c>
      <c r="B49" s="24">
        <f>IFERROR(INDEX(BDS(TEXT(VALUE(Database!$A49),"0")&amp;" HK Equity","EQUITY_OFFERINGS","array=t","endcol=1"),MATCH("IPO",BDS(TEXT(VALUE(Database!$A49),"0")&amp;" HK Equity","EQUITY_OFFERINGS","array=t","startcol=2","endcol=2"),0)),"")</f>
        <v/>
      </c>
      <c r="C49" s="208">
        <f>IF($B49="","",IFERROR(BDP($B49&amp;" Action","CP036"),""))</f>
        <v/>
      </c>
      <c r="D49" s="209">
        <f>Database!S49</f>
        <v/>
      </c>
      <c r="E49" s="208">
        <f>IF($B49="","",IFERROR(BDP($B49&amp;" Action","CP037"),""))</f>
        <v/>
      </c>
      <c r="F49" s="209">
        <f>Database!T49</f>
        <v/>
      </c>
      <c r="G49" s="208">
        <f>IF($B49="","",IFERROR(BDP($B49&amp;" Action","GREENSHOE_FACILITY"),""))</f>
        <v/>
      </c>
      <c r="H49" s="208">
        <f>IF($B49="","",IFERROR(BDP($B49&amp;" Action","OFFERING_GREENSHOE_SHARES_EX"),""))</f>
        <v/>
      </c>
      <c r="I49" s="32">
        <f>Database!AE49</f>
        <v/>
      </c>
      <c r="J49" s="39">
        <f>IFERROR(BDP(TEXT(VALUE(Database!$A49),"0")&amp;" HK Equity","PE_RATIO"),"")</f>
        <v/>
      </c>
      <c r="K49" s="24">
        <f>IFERROR(BDP(TEXT(VALUE(Database!$A49),"0")&amp;" HK Equity","A/H_SHARE_CONVERSION"),"")</f>
        <v/>
      </c>
      <c r="L49" s="32">
        <f>IF(Database!BN49="","(none found)",Database!BN49)</f>
        <v/>
      </c>
      <c r="M49" s="34">
        <f>BDH(TEXT(VALUE(Database!$A49),"0")&amp;" HK Equity","CUR_MKT_CAP",Database!$H49,Database!$H49)</f>
        <v/>
      </c>
      <c r="N49" s="166">
        <f>Database!Q49</f>
        <v/>
      </c>
      <c r="O49" s="39">
        <f>BDH(TEXT(VALUE(Database!$A49),"0")&amp;" HK Equity","PE_RATIO",Database!$H49,Database!$H49)</f>
        <v/>
      </c>
      <c r="P49" s="199">
        <f>IF(Database!BH49="","(n/m or not derivable)",Database!BH49)</f>
        <v/>
      </c>
      <c r="Q49" s="39">
        <f>IF(Database!BN49="","",BDH(LEFT(Database!BN49,FIND(".",Database!BN49)-1)&amp;" CH Equity","PE_RATIO",Database!$H49,Database!$H49))</f>
        <v/>
      </c>
      <c r="R49" s="39">
        <f>IF(Database!BN49="","",BDH("HSAHP Index","PX_LAST",Database!$H49,Database!$H49))</f>
        <v/>
      </c>
      <c r="S49" s="39">
        <f>IFERROR(BDP(TEXT(VALUE(Database!$A49),"0")&amp;" HK Equity","PX_TO_SALES_RATIO"),"")</f>
        <v/>
      </c>
      <c r="T49" s="34">
        <f>IF(Database!BN49="","",IFERROR(BDP(LEFT(Database!BN49,FIND(".",Database!BN49)-1)&amp;" CH Equity","CUR_MKT_CAP")*BDP("CNYHKD Curncy","PX_LAST"),"Awaiting quote"))</f>
        <v/>
      </c>
    </row>
    <row r="50" ht="23" customHeight="1">
      <c r="A50" s="32">
        <f>Database!A50&amp;"  "&amp;Database!B50</f>
        <v/>
      </c>
      <c r="B50" s="24">
        <f>IFERROR(INDEX(BDS(TEXT(VALUE(Database!$A50),"0")&amp;" HK Equity","EQUITY_OFFERINGS","array=t","endcol=1"),MATCH("IPO",BDS(TEXT(VALUE(Database!$A50),"0")&amp;" HK Equity","EQUITY_OFFERINGS","array=t","startcol=2","endcol=2"),0)),"")</f>
        <v/>
      </c>
      <c r="C50" s="208">
        <f>IF($B50="","",IFERROR(BDP($B50&amp;" Action","CP036"),""))</f>
        <v/>
      </c>
      <c r="D50" s="209">
        <f>Database!S50</f>
        <v/>
      </c>
      <c r="E50" s="208">
        <f>IF($B50="","",IFERROR(BDP($B50&amp;" Action","CP037"),""))</f>
        <v/>
      </c>
      <c r="F50" s="209">
        <f>Database!T50</f>
        <v/>
      </c>
      <c r="G50" s="208">
        <f>IF($B50="","",IFERROR(BDP($B50&amp;" Action","GREENSHOE_FACILITY"),""))</f>
        <v/>
      </c>
      <c r="H50" s="208">
        <f>IF($B50="","",IFERROR(BDP($B50&amp;" Action","OFFERING_GREENSHOE_SHARES_EX"),""))</f>
        <v/>
      </c>
      <c r="I50" s="32">
        <f>Database!AE50</f>
        <v/>
      </c>
      <c r="J50" s="39">
        <f>IFERROR(BDP(TEXT(VALUE(Database!$A50),"0")&amp;" HK Equity","PE_RATIO"),"")</f>
        <v/>
      </c>
      <c r="K50" s="24">
        <f>IFERROR(BDP(TEXT(VALUE(Database!$A50),"0")&amp;" HK Equity","A/H_SHARE_CONVERSION"),"")</f>
        <v/>
      </c>
      <c r="L50" s="32">
        <f>IF(Database!BN50="","(none found)",Database!BN50)</f>
        <v/>
      </c>
      <c r="M50" s="34">
        <f>BDH(TEXT(VALUE(Database!$A50),"0")&amp;" HK Equity","CUR_MKT_CAP",Database!$H50,Database!$H50)</f>
        <v/>
      </c>
      <c r="N50" s="166">
        <f>Database!Q50</f>
        <v/>
      </c>
      <c r="O50" s="39">
        <f>BDH(TEXT(VALUE(Database!$A50),"0")&amp;" HK Equity","PE_RATIO",Database!$H50,Database!$H50)</f>
        <v/>
      </c>
      <c r="P50" s="199">
        <f>IF(Database!BH50="","(n/m or not derivable)",Database!BH50)</f>
        <v/>
      </c>
      <c r="Q50" s="39">
        <f>IF(Database!BN50="","",BDH(LEFT(Database!BN50,FIND(".",Database!BN50)-1)&amp;" CH Equity","PE_RATIO",Database!$H50,Database!$H50))</f>
        <v/>
      </c>
      <c r="R50" s="39">
        <f>IF(Database!BN50="","",BDH("HSAHP Index","PX_LAST",Database!$H50,Database!$H50))</f>
        <v/>
      </c>
      <c r="S50" s="39">
        <f>IFERROR(BDP(TEXT(VALUE(Database!$A50),"0")&amp;" HK Equity","PX_TO_SALES_RATIO"),"")</f>
        <v/>
      </c>
      <c r="T50" s="34">
        <f>IF(Database!BN50="","",IFERROR(BDP(LEFT(Database!BN50,FIND(".",Database!BN50)-1)&amp;" CH Equity","CUR_MKT_CAP")*BDP("CNYHKD Curncy","PX_LAST"),"Awaiting quote"))</f>
        <v/>
      </c>
    </row>
    <row r="51" ht="23" customHeight="1">
      <c r="A51" s="32">
        <f>Database!A51&amp;"  "&amp;Database!B51</f>
        <v/>
      </c>
      <c r="B51" s="24">
        <f>IFERROR(INDEX(BDS(TEXT(VALUE(Database!$A51),"0")&amp;" HK Equity","EQUITY_OFFERINGS","array=t","endcol=1"),MATCH("IPO",BDS(TEXT(VALUE(Database!$A51),"0")&amp;" HK Equity","EQUITY_OFFERINGS","array=t","startcol=2","endcol=2"),0)),"")</f>
        <v/>
      </c>
      <c r="C51" s="208">
        <f>IF($B51="","",IFERROR(BDP($B51&amp;" Action","CP036"),""))</f>
        <v/>
      </c>
      <c r="D51" s="209">
        <f>Database!S51</f>
        <v/>
      </c>
      <c r="E51" s="208">
        <f>IF($B51="","",IFERROR(BDP($B51&amp;" Action","CP037"),""))</f>
        <v/>
      </c>
      <c r="F51" s="209">
        <f>Database!T51</f>
        <v/>
      </c>
      <c r="G51" s="208">
        <f>IF($B51="","",IFERROR(BDP($B51&amp;" Action","GREENSHOE_FACILITY"),""))</f>
        <v/>
      </c>
      <c r="H51" s="208">
        <f>IF($B51="","",IFERROR(BDP($B51&amp;" Action","OFFERING_GREENSHOE_SHARES_EX"),""))</f>
        <v/>
      </c>
      <c r="I51" s="32">
        <f>Database!AE51</f>
        <v/>
      </c>
      <c r="J51" s="39">
        <f>IFERROR(BDP(TEXT(VALUE(Database!$A51),"0")&amp;" HK Equity","PE_RATIO"),"")</f>
        <v/>
      </c>
      <c r="K51" s="24">
        <f>IFERROR(BDP(TEXT(VALUE(Database!$A51),"0")&amp;" HK Equity","A/H_SHARE_CONVERSION"),"")</f>
        <v/>
      </c>
      <c r="L51" s="32">
        <f>IF(Database!BN51="","(none found)",Database!BN51)</f>
        <v/>
      </c>
      <c r="M51" s="34">
        <f>BDH(TEXT(VALUE(Database!$A51),"0")&amp;" HK Equity","CUR_MKT_CAP",Database!$H51,Database!$H51)</f>
        <v/>
      </c>
      <c r="N51" s="166">
        <f>Database!Q51</f>
        <v/>
      </c>
      <c r="O51" s="39">
        <f>BDH(TEXT(VALUE(Database!$A51),"0")&amp;" HK Equity","PE_RATIO",Database!$H51,Database!$H51)</f>
        <v/>
      </c>
      <c r="P51" s="199">
        <f>IF(Database!BH51="","(n/m or not derivable)",Database!BH51)</f>
        <v/>
      </c>
      <c r="Q51" s="39">
        <f>IF(Database!BN51="","",BDH(LEFT(Database!BN51,FIND(".",Database!BN51)-1)&amp;" CH Equity","PE_RATIO",Database!$H51,Database!$H51))</f>
        <v/>
      </c>
      <c r="R51" s="39">
        <f>IF(Database!BN51="","",BDH("HSAHP Index","PX_LAST",Database!$H51,Database!$H51))</f>
        <v/>
      </c>
      <c r="S51" s="39">
        <f>IFERROR(BDP(TEXT(VALUE(Database!$A51),"0")&amp;" HK Equity","PX_TO_SALES_RATIO"),"")</f>
        <v/>
      </c>
      <c r="T51" s="34">
        <f>IF(Database!BN51="","",IFERROR(BDP(LEFT(Database!BN51,FIND(".",Database!BN51)-1)&amp;" CH Equity","CUR_MKT_CAP")*BDP("CNYHKD Curncy","PX_LAST"),"Awaiting quote"))</f>
        <v/>
      </c>
    </row>
    <row r="52" ht="23" customHeight="1">
      <c r="A52" s="32">
        <f>Database!A52&amp;"  "&amp;Database!B52</f>
        <v/>
      </c>
      <c r="B52" s="24">
        <f>IFERROR(INDEX(BDS(TEXT(VALUE(Database!$A52),"0")&amp;" HK Equity","EQUITY_OFFERINGS","array=t","endcol=1"),MATCH("IPO",BDS(TEXT(VALUE(Database!$A52),"0")&amp;" HK Equity","EQUITY_OFFERINGS","array=t","startcol=2","endcol=2"),0)),"")</f>
        <v/>
      </c>
      <c r="C52" s="208">
        <f>IF($B52="","",IFERROR(BDP($B52&amp;" Action","CP036"),""))</f>
        <v/>
      </c>
      <c r="D52" s="209">
        <f>Database!S52</f>
        <v/>
      </c>
      <c r="E52" s="208">
        <f>IF($B52="","",IFERROR(BDP($B52&amp;" Action","CP037"),""))</f>
        <v/>
      </c>
      <c r="F52" s="209">
        <f>Database!T52</f>
        <v/>
      </c>
      <c r="G52" s="208">
        <f>IF($B52="","",IFERROR(BDP($B52&amp;" Action","GREENSHOE_FACILITY"),""))</f>
        <v/>
      </c>
      <c r="H52" s="208">
        <f>IF($B52="","",IFERROR(BDP($B52&amp;" Action","OFFERING_GREENSHOE_SHARES_EX"),""))</f>
        <v/>
      </c>
      <c r="I52" s="32">
        <f>Database!AE52</f>
        <v/>
      </c>
      <c r="J52" s="39">
        <f>IFERROR(BDP(TEXT(VALUE(Database!$A52),"0")&amp;" HK Equity","PE_RATIO"),"")</f>
        <v/>
      </c>
      <c r="K52" s="24">
        <f>IFERROR(BDP(TEXT(VALUE(Database!$A52),"0")&amp;" HK Equity","A/H_SHARE_CONVERSION"),"")</f>
        <v/>
      </c>
      <c r="L52" s="32">
        <f>IF(Database!BN52="","(none found)",Database!BN52)</f>
        <v/>
      </c>
      <c r="M52" s="34">
        <f>BDH(TEXT(VALUE(Database!$A52),"0")&amp;" HK Equity","CUR_MKT_CAP",Database!$H52,Database!$H52)</f>
        <v/>
      </c>
      <c r="N52" s="166">
        <f>Database!Q52</f>
        <v/>
      </c>
      <c r="O52" s="39">
        <f>BDH(TEXT(VALUE(Database!$A52),"0")&amp;" HK Equity","PE_RATIO",Database!$H52,Database!$H52)</f>
        <v/>
      </c>
      <c r="P52" s="199">
        <f>IF(Database!BH52="","(n/m or not derivable)",Database!BH52)</f>
        <v/>
      </c>
      <c r="Q52" s="39">
        <f>IF(Database!BN52="","",BDH(LEFT(Database!BN52,FIND(".",Database!BN52)-1)&amp;" CH Equity","PE_RATIO",Database!$H52,Database!$H52))</f>
        <v/>
      </c>
      <c r="R52" s="39">
        <f>IF(Database!BN52="","",BDH("HSAHP Index","PX_LAST",Database!$H52,Database!$H52))</f>
        <v/>
      </c>
      <c r="S52" s="39">
        <f>IFERROR(BDP(TEXT(VALUE(Database!$A52),"0")&amp;" HK Equity","PX_TO_SALES_RATIO"),"")</f>
        <v/>
      </c>
      <c r="T52" s="34">
        <f>IF(Database!BN52="","",IFERROR(BDP(LEFT(Database!BN52,FIND(".",Database!BN52)-1)&amp;" CH Equity","CUR_MKT_CAP")*BDP("CNYHKD Curncy","PX_LAST"),"Awaiting quote"))</f>
        <v/>
      </c>
    </row>
    <row r="53" ht="23" customHeight="1">
      <c r="A53" s="32">
        <f>Database!A53&amp;"  "&amp;Database!B53</f>
        <v/>
      </c>
      <c r="B53" s="24">
        <f>IFERROR(INDEX(BDS(TEXT(VALUE(Database!$A53),"0")&amp;" HK Equity","EQUITY_OFFERINGS","array=t","endcol=1"),MATCH("IPO",BDS(TEXT(VALUE(Database!$A53),"0")&amp;" HK Equity","EQUITY_OFFERINGS","array=t","startcol=2","endcol=2"),0)),"")</f>
        <v/>
      </c>
      <c r="C53" s="208">
        <f>IF($B53="","",IFERROR(BDP($B53&amp;" Action","CP036"),""))</f>
        <v/>
      </c>
      <c r="D53" s="209">
        <f>Database!S53</f>
        <v/>
      </c>
      <c r="E53" s="208">
        <f>IF($B53="","",IFERROR(BDP($B53&amp;" Action","CP037"),""))</f>
        <v/>
      </c>
      <c r="F53" s="209">
        <f>Database!T53</f>
        <v/>
      </c>
      <c r="G53" s="208">
        <f>IF($B53="","",IFERROR(BDP($B53&amp;" Action","GREENSHOE_FACILITY"),""))</f>
        <v/>
      </c>
      <c r="H53" s="208">
        <f>IF($B53="","",IFERROR(BDP($B53&amp;" Action","OFFERING_GREENSHOE_SHARES_EX"),""))</f>
        <v/>
      </c>
      <c r="I53" s="32">
        <f>Database!AE53</f>
        <v/>
      </c>
      <c r="J53" s="39">
        <f>IFERROR(BDP(TEXT(VALUE(Database!$A53),"0")&amp;" HK Equity","PE_RATIO"),"")</f>
        <v/>
      </c>
      <c r="K53" s="24">
        <f>IFERROR(BDP(TEXT(VALUE(Database!$A53),"0")&amp;" HK Equity","A/H_SHARE_CONVERSION"),"")</f>
        <v/>
      </c>
      <c r="L53" s="32">
        <f>IF(Database!BN53="","(none found)",Database!BN53)</f>
        <v/>
      </c>
      <c r="M53" s="34">
        <f>BDH(TEXT(VALUE(Database!$A53),"0")&amp;" HK Equity","CUR_MKT_CAP",Database!$H53,Database!$H53)</f>
        <v/>
      </c>
      <c r="N53" s="166">
        <f>Database!Q53</f>
        <v/>
      </c>
      <c r="O53" s="39">
        <f>BDH(TEXT(VALUE(Database!$A53),"0")&amp;" HK Equity","PE_RATIO",Database!$H53,Database!$H53)</f>
        <v/>
      </c>
      <c r="P53" s="199">
        <f>IF(Database!BH53="","(n/m or not derivable)",Database!BH53)</f>
        <v/>
      </c>
      <c r="Q53" s="39">
        <f>IF(Database!BN53="","",BDH(LEFT(Database!BN53,FIND(".",Database!BN53)-1)&amp;" CH Equity","PE_RATIO",Database!$H53,Database!$H53))</f>
        <v/>
      </c>
      <c r="R53" s="39">
        <f>IF(Database!BN53="","",BDH("HSAHP Index","PX_LAST",Database!$H53,Database!$H53))</f>
        <v/>
      </c>
      <c r="S53" s="39">
        <f>IFERROR(BDP(TEXT(VALUE(Database!$A53),"0")&amp;" HK Equity","PX_TO_SALES_RATIO"),"")</f>
        <v/>
      </c>
      <c r="T53" s="34">
        <f>IF(Database!BN53="","",IFERROR(BDP(LEFT(Database!BN53,FIND(".",Database!BN53)-1)&amp;" CH Equity","CUR_MKT_CAP")*BDP("CNYHKD Curncy","PX_LAST"),"Awaiting quote"))</f>
        <v/>
      </c>
    </row>
    <row r="54" ht="23" customHeight="1">
      <c r="A54" s="32">
        <f>Database!A54&amp;"  "&amp;Database!B54</f>
        <v/>
      </c>
      <c r="B54" s="24">
        <f>IFERROR(INDEX(BDS(TEXT(VALUE(Database!$A54),"0")&amp;" HK Equity","EQUITY_OFFERINGS","array=t","endcol=1"),MATCH("IPO",BDS(TEXT(VALUE(Database!$A54),"0")&amp;" HK Equity","EQUITY_OFFERINGS","array=t","startcol=2","endcol=2"),0)),"")</f>
        <v/>
      </c>
      <c r="C54" s="208">
        <f>IF($B54="","",IFERROR(BDP($B54&amp;" Action","CP036"),""))</f>
        <v/>
      </c>
      <c r="D54" s="209">
        <f>Database!S54</f>
        <v/>
      </c>
      <c r="E54" s="208">
        <f>IF($B54="","",IFERROR(BDP($B54&amp;" Action","CP037"),""))</f>
        <v/>
      </c>
      <c r="F54" s="209">
        <f>Database!T54</f>
        <v/>
      </c>
      <c r="G54" s="208">
        <f>IF($B54="","",IFERROR(BDP($B54&amp;" Action","GREENSHOE_FACILITY"),""))</f>
        <v/>
      </c>
      <c r="H54" s="208">
        <f>IF($B54="","",IFERROR(BDP($B54&amp;" Action","OFFERING_GREENSHOE_SHARES_EX"),""))</f>
        <v/>
      </c>
      <c r="I54" s="32">
        <f>Database!AE54</f>
        <v/>
      </c>
      <c r="J54" s="39">
        <f>IFERROR(BDP(TEXT(VALUE(Database!$A54),"0")&amp;" HK Equity","PE_RATIO"),"")</f>
        <v/>
      </c>
      <c r="K54" s="24">
        <f>IFERROR(BDP(TEXT(VALUE(Database!$A54),"0")&amp;" HK Equity","A/H_SHARE_CONVERSION"),"")</f>
        <v/>
      </c>
      <c r="L54" s="32">
        <f>IF(Database!BN54="","(none found)",Database!BN54)</f>
        <v/>
      </c>
      <c r="M54" s="34">
        <f>BDH(TEXT(VALUE(Database!$A54),"0")&amp;" HK Equity","CUR_MKT_CAP",Database!$H54,Database!$H54)</f>
        <v/>
      </c>
      <c r="N54" s="166">
        <f>Database!Q54</f>
        <v/>
      </c>
      <c r="O54" s="39">
        <f>BDH(TEXT(VALUE(Database!$A54),"0")&amp;" HK Equity","PE_RATIO",Database!$H54,Database!$H54)</f>
        <v/>
      </c>
      <c r="P54" s="199">
        <f>IF(Database!BH54="","(n/m or not derivable)",Database!BH54)</f>
        <v/>
      </c>
      <c r="Q54" s="39">
        <f>IF(Database!BN54="","",BDH(LEFT(Database!BN54,FIND(".",Database!BN54)-1)&amp;" CH Equity","PE_RATIO",Database!$H54,Database!$H54))</f>
        <v/>
      </c>
      <c r="R54" s="39">
        <f>IF(Database!BN54="","",BDH("HSAHP Index","PX_LAST",Database!$H54,Database!$H54))</f>
        <v/>
      </c>
      <c r="S54" s="39">
        <f>IFERROR(BDP(TEXT(VALUE(Database!$A54),"0")&amp;" HK Equity","PX_TO_SALES_RATIO"),"")</f>
        <v/>
      </c>
      <c r="T54" s="34">
        <f>IF(Database!BN54="","",IFERROR(BDP(LEFT(Database!BN54,FIND(".",Database!BN54)-1)&amp;" CH Equity","CUR_MKT_CAP")*BDP("CNYHKD Curncy","PX_LAST"),"Awaiting quote"))</f>
        <v/>
      </c>
    </row>
    <row r="55" ht="23" customHeight="1">
      <c r="A55" s="32">
        <f>Database!A55&amp;"  "&amp;Database!B55</f>
        <v/>
      </c>
      <c r="B55" s="24">
        <f>IFERROR(INDEX(BDS(TEXT(VALUE(Database!$A55),"0")&amp;" HK Equity","EQUITY_OFFERINGS","array=t","endcol=1"),MATCH("IPO",BDS(TEXT(VALUE(Database!$A55),"0")&amp;" HK Equity","EQUITY_OFFERINGS","array=t","startcol=2","endcol=2"),0)),"")</f>
        <v/>
      </c>
      <c r="C55" s="208">
        <f>IF($B55="","",IFERROR(BDP($B55&amp;" Action","CP036"),""))</f>
        <v/>
      </c>
      <c r="D55" s="209">
        <f>Database!S55</f>
        <v/>
      </c>
      <c r="E55" s="208">
        <f>IF($B55="","",IFERROR(BDP($B55&amp;" Action","CP037"),""))</f>
        <v/>
      </c>
      <c r="F55" s="209">
        <f>Database!T55</f>
        <v/>
      </c>
      <c r="G55" s="208">
        <f>IF($B55="","",IFERROR(BDP($B55&amp;" Action","GREENSHOE_FACILITY"),""))</f>
        <v/>
      </c>
      <c r="H55" s="208">
        <f>IF($B55="","",IFERROR(BDP($B55&amp;" Action","OFFERING_GREENSHOE_SHARES_EX"),""))</f>
        <v/>
      </c>
      <c r="I55" s="32">
        <f>Database!AE55</f>
        <v/>
      </c>
      <c r="J55" s="39">
        <f>IFERROR(BDP(TEXT(VALUE(Database!$A55),"0")&amp;" HK Equity","PE_RATIO"),"")</f>
        <v/>
      </c>
      <c r="K55" s="24">
        <f>IFERROR(BDP(TEXT(VALUE(Database!$A55),"0")&amp;" HK Equity","A/H_SHARE_CONVERSION"),"")</f>
        <v/>
      </c>
      <c r="L55" s="32">
        <f>IF(Database!BN55="","(none found)",Database!BN55)</f>
        <v/>
      </c>
      <c r="M55" s="34">
        <f>BDH(TEXT(VALUE(Database!$A55),"0")&amp;" HK Equity","CUR_MKT_CAP",Database!$H55,Database!$H55)</f>
        <v/>
      </c>
      <c r="N55" s="166">
        <f>Database!Q55</f>
        <v/>
      </c>
      <c r="O55" s="39">
        <f>BDH(TEXT(VALUE(Database!$A55),"0")&amp;" HK Equity","PE_RATIO",Database!$H55,Database!$H55)</f>
        <v/>
      </c>
      <c r="P55" s="199">
        <f>IF(Database!BH55="","(n/m or not derivable)",Database!BH55)</f>
        <v/>
      </c>
      <c r="Q55" s="39">
        <f>IF(Database!BN55="","",BDH(LEFT(Database!BN55,FIND(".",Database!BN55)-1)&amp;" CH Equity","PE_RATIO",Database!$H55,Database!$H55))</f>
        <v/>
      </c>
      <c r="R55" s="39">
        <f>IF(Database!BN55="","",BDH("HSAHP Index","PX_LAST",Database!$H55,Database!$H55))</f>
        <v/>
      </c>
      <c r="S55" s="39">
        <f>IFERROR(BDP(TEXT(VALUE(Database!$A55),"0")&amp;" HK Equity","PX_TO_SALES_RATIO"),"")</f>
        <v/>
      </c>
      <c r="T55" s="34">
        <f>IF(Database!BN55="","",IFERROR(BDP(LEFT(Database!BN55,FIND(".",Database!BN55)-1)&amp;" CH Equity","CUR_MKT_CAP")*BDP("CNYHKD Curncy","PX_LAST"),"Awaiting quote"))</f>
        <v/>
      </c>
    </row>
    <row r="56" ht="23" customHeight="1">
      <c r="A56" s="32">
        <f>Database!A56&amp;"  "&amp;Database!B56</f>
        <v/>
      </c>
      <c r="B56" s="24">
        <f>IFERROR(INDEX(BDS(TEXT(VALUE(Database!$A56),"0")&amp;" HK Equity","EQUITY_OFFERINGS","array=t","endcol=1"),MATCH("IPO",BDS(TEXT(VALUE(Database!$A56),"0")&amp;" HK Equity","EQUITY_OFFERINGS","array=t","startcol=2","endcol=2"),0)),"")</f>
        <v/>
      </c>
      <c r="C56" s="208">
        <f>IF($B56="","",IFERROR(BDP($B56&amp;" Action","CP036"),""))</f>
        <v/>
      </c>
      <c r="D56" s="209">
        <f>Database!S56</f>
        <v/>
      </c>
      <c r="E56" s="208">
        <f>IF($B56="","",IFERROR(BDP($B56&amp;" Action","CP037"),""))</f>
        <v/>
      </c>
      <c r="F56" s="209">
        <f>Database!T56</f>
        <v/>
      </c>
      <c r="G56" s="208">
        <f>IF($B56="","",IFERROR(BDP($B56&amp;" Action","GREENSHOE_FACILITY"),""))</f>
        <v/>
      </c>
      <c r="H56" s="208">
        <f>IF($B56="","",IFERROR(BDP($B56&amp;" Action","OFFERING_GREENSHOE_SHARES_EX"),""))</f>
        <v/>
      </c>
      <c r="I56" s="32">
        <f>Database!AE56</f>
        <v/>
      </c>
      <c r="J56" s="39">
        <f>IFERROR(BDP(TEXT(VALUE(Database!$A56),"0")&amp;" HK Equity","PE_RATIO"),"")</f>
        <v/>
      </c>
      <c r="K56" s="24">
        <f>IFERROR(BDP(TEXT(VALUE(Database!$A56),"0")&amp;" HK Equity","A/H_SHARE_CONVERSION"),"")</f>
        <v/>
      </c>
      <c r="L56" s="32">
        <f>IF(Database!BN56="","(none found)",Database!BN56)</f>
        <v/>
      </c>
      <c r="M56" s="34">
        <f>BDH(TEXT(VALUE(Database!$A56),"0")&amp;" HK Equity","CUR_MKT_CAP",Database!$H56,Database!$H56)</f>
        <v/>
      </c>
      <c r="N56" s="166">
        <f>Database!Q56</f>
        <v/>
      </c>
      <c r="O56" s="39">
        <f>BDH(TEXT(VALUE(Database!$A56),"0")&amp;" HK Equity","PE_RATIO",Database!$H56,Database!$H56)</f>
        <v/>
      </c>
      <c r="P56" s="199">
        <f>IF(Database!BH56="","(n/m or not derivable)",Database!BH56)</f>
        <v/>
      </c>
      <c r="Q56" s="39">
        <f>IF(Database!BN56="","",BDH(LEFT(Database!BN56,FIND(".",Database!BN56)-1)&amp;" CH Equity","PE_RATIO",Database!$H56,Database!$H56))</f>
        <v/>
      </c>
      <c r="R56" s="39">
        <f>IF(Database!BN56="","",BDH("HSAHP Index","PX_LAST",Database!$H56,Database!$H56))</f>
        <v/>
      </c>
      <c r="S56" s="39">
        <f>IFERROR(BDP(TEXT(VALUE(Database!$A56),"0")&amp;" HK Equity","PX_TO_SALES_RATIO"),"")</f>
        <v/>
      </c>
      <c r="T56" s="34">
        <f>IF(Database!BN56="","",IFERROR(BDP(LEFT(Database!BN56,FIND(".",Database!BN56)-1)&amp;" CH Equity","CUR_MKT_CAP")*BDP("CNYHKD Curncy","PX_LAST"),"Awaiting quote"))</f>
        <v/>
      </c>
    </row>
    <row r="57" ht="23" customHeight="1">
      <c r="A57" s="32">
        <f>Database!A57&amp;"  "&amp;Database!B57</f>
        <v/>
      </c>
      <c r="B57" s="24">
        <f>IFERROR(INDEX(BDS(TEXT(VALUE(Database!$A57),"0")&amp;" HK Equity","EQUITY_OFFERINGS","array=t","endcol=1"),MATCH("IPO",BDS(TEXT(VALUE(Database!$A57),"0")&amp;" HK Equity","EQUITY_OFFERINGS","array=t","startcol=2","endcol=2"),0)),"")</f>
        <v/>
      </c>
      <c r="C57" s="208">
        <f>IF($B57="","",IFERROR(BDP($B57&amp;" Action","CP036"),""))</f>
        <v/>
      </c>
      <c r="D57" s="209">
        <f>Database!S57</f>
        <v/>
      </c>
      <c r="E57" s="208">
        <f>IF($B57="","",IFERROR(BDP($B57&amp;" Action","CP037"),""))</f>
        <v/>
      </c>
      <c r="F57" s="209">
        <f>Database!T57</f>
        <v/>
      </c>
      <c r="G57" s="208">
        <f>IF($B57="","",IFERROR(BDP($B57&amp;" Action","GREENSHOE_FACILITY"),""))</f>
        <v/>
      </c>
      <c r="H57" s="208">
        <f>IF($B57="","",IFERROR(BDP($B57&amp;" Action","OFFERING_GREENSHOE_SHARES_EX"),""))</f>
        <v/>
      </c>
      <c r="I57" s="32">
        <f>Database!AE57</f>
        <v/>
      </c>
      <c r="J57" s="39">
        <f>IFERROR(BDP(TEXT(VALUE(Database!$A57),"0")&amp;" HK Equity","PE_RATIO"),"")</f>
        <v/>
      </c>
      <c r="K57" s="24">
        <f>IFERROR(BDP(TEXT(VALUE(Database!$A57),"0")&amp;" HK Equity","A/H_SHARE_CONVERSION"),"")</f>
        <v/>
      </c>
      <c r="L57" s="32">
        <f>IF(Database!BN57="","(none found)",Database!BN57)</f>
        <v/>
      </c>
      <c r="M57" s="34">
        <f>BDH(TEXT(VALUE(Database!$A57),"0")&amp;" HK Equity","CUR_MKT_CAP",Database!$H57,Database!$H57)</f>
        <v/>
      </c>
      <c r="N57" s="166">
        <f>Database!Q57</f>
        <v/>
      </c>
      <c r="O57" s="39">
        <f>BDH(TEXT(VALUE(Database!$A57),"0")&amp;" HK Equity","PE_RATIO",Database!$H57,Database!$H57)</f>
        <v/>
      </c>
      <c r="P57" s="199">
        <f>IF(Database!BH57="","(n/m or not derivable)",Database!BH57)</f>
        <v/>
      </c>
      <c r="Q57" s="39">
        <f>IF(Database!BN57="","",BDH(LEFT(Database!BN57,FIND(".",Database!BN57)-1)&amp;" CH Equity","PE_RATIO",Database!$H57,Database!$H57))</f>
        <v/>
      </c>
      <c r="R57" s="39">
        <f>IF(Database!BN57="","",BDH("HSAHP Index","PX_LAST",Database!$H57,Database!$H57))</f>
        <v/>
      </c>
      <c r="S57" s="39">
        <f>IFERROR(BDP(TEXT(VALUE(Database!$A57),"0")&amp;" HK Equity","PX_TO_SALES_RATIO"),"")</f>
        <v/>
      </c>
      <c r="T57" s="34">
        <f>IF(Database!BN57="","",IFERROR(BDP(LEFT(Database!BN57,FIND(".",Database!BN57)-1)&amp;" CH Equity","CUR_MKT_CAP")*BDP("CNYHKD Curncy","PX_LAST"),"Awaiting quote"))</f>
        <v/>
      </c>
    </row>
    <row r="58" ht="23" customHeight="1">
      <c r="A58" s="32">
        <f>Database!A58&amp;"  "&amp;Database!B58</f>
        <v/>
      </c>
      <c r="B58" s="24">
        <f>IFERROR(INDEX(BDS(TEXT(VALUE(Database!$A58),"0")&amp;" HK Equity","EQUITY_OFFERINGS","array=t","endcol=1"),MATCH("IPO",BDS(TEXT(VALUE(Database!$A58),"0")&amp;" HK Equity","EQUITY_OFFERINGS","array=t","startcol=2","endcol=2"),0)),"")</f>
        <v/>
      </c>
      <c r="C58" s="208">
        <f>IF($B58="","",IFERROR(BDP($B58&amp;" Action","CP036"),""))</f>
        <v/>
      </c>
      <c r="D58" s="209">
        <f>Database!S58</f>
        <v/>
      </c>
      <c r="E58" s="208">
        <f>IF($B58="","",IFERROR(BDP($B58&amp;" Action","CP037"),""))</f>
        <v/>
      </c>
      <c r="F58" s="209">
        <f>Database!T58</f>
        <v/>
      </c>
      <c r="G58" s="208">
        <f>IF($B58="","",IFERROR(BDP($B58&amp;" Action","GREENSHOE_FACILITY"),""))</f>
        <v/>
      </c>
      <c r="H58" s="208">
        <f>IF($B58="","",IFERROR(BDP($B58&amp;" Action","OFFERING_GREENSHOE_SHARES_EX"),""))</f>
        <v/>
      </c>
      <c r="I58" s="32">
        <f>Database!AE58</f>
        <v/>
      </c>
      <c r="J58" s="39">
        <f>IFERROR(BDP(TEXT(VALUE(Database!$A58),"0")&amp;" HK Equity","PE_RATIO"),"")</f>
        <v/>
      </c>
      <c r="K58" s="24">
        <f>IFERROR(BDP(TEXT(VALUE(Database!$A58),"0")&amp;" HK Equity","A/H_SHARE_CONVERSION"),"")</f>
        <v/>
      </c>
      <c r="L58" s="32">
        <f>IF(Database!BN58="","(none found)",Database!BN58)</f>
        <v/>
      </c>
      <c r="M58" s="34">
        <f>BDH(TEXT(VALUE(Database!$A58),"0")&amp;" HK Equity","CUR_MKT_CAP",Database!$H58,Database!$H58)</f>
        <v/>
      </c>
      <c r="N58" s="166">
        <f>Database!Q58</f>
        <v/>
      </c>
      <c r="O58" s="39">
        <f>BDH(TEXT(VALUE(Database!$A58),"0")&amp;" HK Equity","PE_RATIO",Database!$H58,Database!$H58)</f>
        <v/>
      </c>
      <c r="P58" s="199">
        <f>IF(Database!BH58="","(n/m or not derivable)",Database!BH58)</f>
        <v/>
      </c>
      <c r="Q58" s="39">
        <f>IF(Database!BN58="","",BDH(LEFT(Database!BN58,FIND(".",Database!BN58)-1)&amp;" CH Equity","PE_RATIO",Database!$H58,Database!$H58))</f>
        <v/>
      </c>
      <c r="R58" s="39">
        <f>IF(Database!BN58="","",BDH("HSAHP Index","PX_LAST",Database!$H58,Database!$H58))</f>
        <v/>
      </c>
      <c r="S58" s="39">
        <f>IFERROR(BDP(TEXT(VALUE(Database!$A58),"0")&amp;" HK Equity","PX_TO_SALES_RATIO"),"")</f>
        <v/>
      </c>
      <c r="T58" s="34">
        <f>IF(Database!BN58="","",IFERROR(BDP(LEFT(Database!BN58,FIND(".",Database!BN58)-1)&amp;" CH Equity","CUR_MKT_CAP")*BDP("CNYHKD Curncy","PX_LAST"),"Awaiting quote"))</f>
        <v/>
      </c>
    </row>
    <row r="59" ht="23" customHeight="1">
      <c r="A59" s="32">
        <f>Database!A59&amp;"  "&amp;Database!B59</f>
        <v/>
      </c>
      <c r="B59" s="24">
        <f>IFERROR(INDEX(BDS(TEXT(VALUE(Database!$A59),"0")&amp;" HK Equity","EQUITY_OFFERINGS","array=t","endcol=1"),MATCH("IPO",BDS(TEXT(VALUE(Database!$A59),"0")&amp;" HK Equity","EQUITY_OFFERINGS","array=t","startcol=2","endcol=2"),0)),"")</f>
        <v/>
      </c>
      <c r="C59" s="208">
        <f>IF($B59="","",IFERROR(BDP($B59&amp;" Action","CP036"),""))</f>
        <v/>
      </c>
      <c r="D59" s="209">
        <f>Database!S59</f>
        <v/>
      </c>
      <c r="E59" s="208">
        <f>IF($B59="","",IFERROR(BDP($B59&amp;" Action","CP037"),""))</f>
        <v/>
      </c>
      <c r="F59" s="209">
        <f>Database!T59</f>
        <v/>
      </c>
      <c r="G59" s="208">
        <f>IF($B59="","",IFERROR(BDP($B59&amp;" Action","GREENSHOE_FACILITY"),""))</f>
        <v/>
      </c>
      <c r="H59" s="208">
        <f>IF($B59="","",IFERROR(BDP($B59&amp;" Action","OFFERING_GREENSHOE_SHARES_EX"),""))</f>
        <v/>
      </c>
      <c r="I59" s="32">
        <f>Database!AE59</f>
        <v/>
      </c>
      <c r="J59" s="39">
        <f>IFERROR(BDP(TEXT(VALUE(Database!$A59),"0")&amp;" HK Equity","PE_RATIO"),"")</f>
        <v/>
      </c>
      <c r="K59" s="24">
        <f>IFERROR(BDP(TEXT(VALUE(Database!$A59),"0")&amp;" HK Equity","A/H_SHARE_CONVERSION"),"")</f>
        <v/>
      </c>
      <c r="L59" s="32">
        <f>IF(Database!BN59="","(none found)",Database!BN59)</f>
        <v/>
      </c>
      <c r="M59" s="34">
        <f>BDH(TEXT(VALUE(Database!$A59),"0")&amp;" HK Equity","CUR_MKT_CAP",Database!$H59,Database!$H59)</f>
        <v/>
      </c>
      <c r="N59" s="166">
        <f>Database!Q59</f>
        <v/>
      </c>
      <c r="O59" s="39">
        <f>BDH(TEXT(VALUE(Database!$A59),"0")&amp;" HK Equity","PE_RATIO",Database!$H59,Database!$H59)</f>
        <v/>
      </c>
      <c r="P59" s="199">
        <f>IF(Database!BH59="","(n/m or not derivable)",Database!BH59)</f>
        <v/>
      </c>
      <c r="Q59" s="39">
        <f>IF(Database!BN59="","",BDH(LEFT(Database!BN59,FIND(".",Database!BN59)-1)&amp;" CH Equity","PE_RATIO",Database!$H59,Database!$H59))</f>
        <v/>
      </c>
      <c r="R59" s="39">
        <f>IF(Database!BN59="","",BDH("HSAHP Index","PX_LAST",Database!$H59,Database!$H59))</f>
        <v/>
      </c>
      <c r="S59" s="39">
        <f>IFERROR(BDP(TEXT(VALUE(Database!$A59),"0")&amp;" HK Equity","PX_TO_SALES_RATIO"),"")</f>
        <v/>
      </c>
      <c r="T59" s="34">
        <f>IF(Database!BN59="","",IFERROR(BDP(LEFT(Database!BN59,FIND(".",Database!BN59)-1)&amp;" CH Equity","CUR_MKT_CAP")*BDP("CNYHKD Curncy","PX_LAST"),"Awaiting quote"))</f>
        <v/>
      </c>
    </row>
    <row r="60" ht="23" customHeight="1">
      <c r="A60" s="32">
        <f>Database!A60&amp;"  "&amp;Database!B60</f>
        <v/>
      </c>
      <c r="B60" s="24">
        <f>IFERROR(INDEX(BDS(TEXT(VALUE(Database!$A60),"0")&amp;" HK Equity","EQUITY_OFFERINGS","array=t","endcol=1"),MATCH("IPO",BDS(TEXT(VALUE(Database!$A60),"0")&amp;" HK Equity","EQUITY_OFFERINGS","array=t","startcol=2","endcol=2"),0)),"")</f>
        <v/>
      </c>
      <c r="C60" s="208">
        <f>IF($B60="","",IFERROR(BDP($B60&amp;" Action","CP036"),""))</f>
        <v/>
      </c>
      <c r="D60" s="209">
        <f>Database!S60</f>
        <v/>
      </c>
      <c r="E60" s="208">
        <f>IF($B60="","",IFERROR(BDP($B60&amp;" Action","CP037"),""))</f>
        <v/>
      </c>
      <c r="F60" s="209">
        <f>Database!T60</f>
        <v/>
      </c>
      <c r="G60" s="208">
        <f>IF($B60="","",IFERROR(BDP($B60&amp;" Action","GREENSHOE_FACILITY"),""))</f>
        <v/>
      </c>
      <c r="H60" s="208">
        <f>IF($B60="","",IFERROR(BDP($B60&amp;" Action","OFFERING_GREENSHOE_SHARES_EX"),""))</f>
        <v/>
      </c>
      <c r="I60" s="32">
        <f>Database!AE60</f>
        <v/>
      </c>
      <c r="J60" s="39">
        <f>IFERROR(BDP(TEXT(VALUE(Database!$A60),"0")&amp;" HK Equity","PE_RATIO"),"")</f>
        <v/>
      </c>
      <c r="K60" s="24">
        <f>IFERROR(BDP(TEXT(VALUE(Database!$A60),"0")&amp;" HK Equity","A/H_SHARE_CONVERSION"),"")</f>
        <v/>
      </c>
      <c r="L60" s="32">
        <f>IF(Database!BN60="","(none found)",Database!BN60)</f>
        <v/>
      </c>
      <c r="M60" s="34">
        <f>BDH(TEXT(VALUE(Database!$A60),"0")&amp;" HK Equity","CUR_MKT_CAP",Database!$H60,Database!$H60)</f>
        <v/>
      </c>
      <c r="N60" s="166">
        <f>Database!Q60</f>
        <v/>
      </c>
      <c r="O60" s="39">
        <f>BDH(TEXT(VALUE(Database!$A60),"0")&amp;" HK Equity","PE_RATIO",Database!$H60,Database!$H60)</f>
        <v/>
      </c>
      <c r="P60" s="199">
        <f>IF(Database!BH60="","(n/m or not derivable)",Database!BH60)</f>
        <v/>
      </c>
      <c r="Q60" s="39">
        <f>IF(Database!BN60="","",BDH(LEFT(Database!BN60,FIND(".",Database!BN60)-1)&amp;" CH Equity","PE_RATIO",Database!$H60,Database!$H60))</f>
        <v/>
      </c>
      <c r="R60" s="39">
        <f>IF(Database!BN60="","",BDH("HSAHP Index","PX_LAST",Database!$H60,Database!$H60))</f>
        <v/>
      </c>
      <c r="S60" s="39">
        <f>IFERROR(BDP(TEXT(VALUE(Database!$A60),"0")&amp;" HK Equity","PX_TO_SALES_RATIO"),"")</f>
        <v/>
      </c>
      <c r="T60" s="34">
        <f>IF(Database!BN60="","",IFERROR(BDP(LEFT(Database!BN60,FIND(".",Database!BN60)-1)&amp;" CH Equity","CUR_MKT_CAP")*BDP("CNYHKD Curncy","PX_LAST"),"Awaiting quote"))</f>
        <v/>
      </c>
    </row>
    <row r="61" ht="23" customHeight="1">
      <c r="A61" s="32">
        <f>Database!A61&amp;"  "&amp;Database!B61</f>
        <v/>
      </c>
      <c r="B61" s="24">
        <f>IFERROR(INDEX(BDS(TEXT(VALUE(Database!$A61),"0")&amp;" HK Equity","EQUITY_OFFERINGS","array=t","endcol=1"),MATCH("IPO",BDS(TEXT(VALUE(Database!$A61),"0")&amp;" HK Equity","EQUITY_OFFERINGS","array=t","startcol=2","endcol=2"),0)),"")</f>
        <v/>
      </c>
      <c r="C61" s="208">
        <f>IF($B61="","",IFERROR(BDP($B61&amp;" Action","CP036"),""))</f>
        <v/>
      </c>
      <c r="D61" s="209">
        <f>Database!S61</f>
        <v/>
      </c>
      <c r="E61" s="208">
        <f>IF($B61="","",IFERROR(BDP($B61&amp;" Action","CP037"),""))</f>
        <v/>
      </c>
      <c r="F61" s="209">
        <f>Database!T61</f>
        <v/>
      </c>
      <c r="G61" s="208">
        <f>IF($B61="","",IFERROR(BDP($B61&amp;" Action","GREENSHOE_FACILITY"),""))</f>
        <v/>
      </c>
      <c r="H61" s="208">
        <f>IF($B61="","",IFERROR(BDP($B61&amp;" Action","OFFERING_GREENSHOE_SHARES_EX"),""))</f>
        <v/>
      </c>
      <c r="I61" s="32">
        <f>Database!AE61</f>
        <v/>
      </c>
      <c r="J61" s="39">
        <f>IFERROR(BDP(TEXT(VALUE(Database!$A61),"0")&amp;" HK Equity","PE_RATIO"),"")</f>
        <v/>
      </c>
      <c r="K61" s="24">
        <f>IFERROR(BDP(TEXT(VALUE(Database!$A61),"0")&amp;" HK Equity","A/H_SHARE_CONVERSION"),"")</f>
        <v/>
      </c>
      <c r="L61" s="32">
        <f>IF(Database!BN61="","(none found)",Database!BN61)</f>
        <v/>
      </c>
      <c r="M61" s="34">
        <f>BDH(TEXT(VALUE(Database!$A61),"0")&amp;" HK Equity","CUR_MKT_CAP",Database!$H61,Database!$H61)</f>
        <v/>
      </c>
      <c r="N61" s="166">
        <f>Database!Q61</f>
        <v/>
      </c>
      <c r="O61" s="39">
        <f>BDH(TEXT(VALUE(Database!$A61),"0")&amp;" HK Equity","PE_RATIO",Database!$H61,Database!$H61)</f>
        <v/>
      </c>
      <c r="P61" s="199">
        <f>IF(Database!BH61="","(n/m or not derivable)",Database!BH61)</f>
        <v/>
      </c>
      <c r="Q61" s="39">
        <f>IF(Database!BN61="","",BDH(LEFT(Database!BN61,FIND(".",Database!BN61)-1)&amp;" CH Equity","PE_RATIO",Database!$H61,Database!$H61))</f>
        <v/>
      </c>
      <c r="R61" s="39">
        <f>IF(Database!BN61="","",BDH("HSAHP Index","PX_LAST",Database!$H61,Database!$H61))</f>
        <v/>
      </c>
      <c r="S61" s="39">
        <f>IFERROR(BDP(TEXT(VALUE(Database!$A61),"0")&amp;" HK Equity","PX_TO_SALES_RATIO"),"")</f>
        <v/>
      </c>
      <c r="T61" s="34">
        <f>IF(Database!BN61="","",IFERROR(BDP(LEFT(Database!BN61,FIND(".",Database!BN61)-1)&amp;" CH Equity","CUR_MKT_CAP")*BDP("CNYHKD Curncy","PX_LAST"),"Awaiting quote"))</f>
        <v/>
      </c>
    </row>
    <row r="62" ht="23" customHeight="1">
      <c r="A62" s="32">
        <f>Database!A62&amp;"  "&amp;Database!B62</f>
        <v/>
      </c>
      <c r="B62" s="24">
        <f>IFERROR(INDEX(BDS(TEXT(VALUE(Database!$A62),"0")&amp;" HK Equity","EQUITY_OFFERINGS","array=t","endcol=1"),MATCH("IPO",BDS(TEXT(VALUE(Database!$A62),"0")&amp;" HK Equity","EQUITY_OFFERINGS","array=t","startcol=2","endcol=2"),0)),"")</f>
        <v/>
      </c>
      <c r="C62" s="208">
        <f>IF($B62="","",IFERROR(BDP($B62&amp;" Action","CP036"),""))</f>
        <v/>
      </c>
      <c r="D62" s="209">
        <f>Database!S62</f>
        <v/>
      </c>
      <c r="E62" s="208">
        <f>IF($B62="","",IFERROR(BDP($B62&amp;" Action","CP037"),""))</f>
        <v/>
      </c>
      <c r="F62" s="209">
        <f>Database!T62</f>
        <v/>
      </c>
      <c r="G62" s="208">
        <f>IF($B62="","",IFERROR(BDP($B62&amp;" Action","GREENSHOE_FACILITY"),""))</f>
        <v/>
      </c>
      <c r="H62" s="208">
        <f>IF($B62="","",IFERROR(BDP($B62&amp;" Action","OFFERING_GREENSHOE_SHARES_EX"),""))</f>
        <v/>
      </c>
      <c r="I62" s="32">
        <f>Database!AE62</f>
        <v/>
      </c>
      <c r="J62" s="39">
        <f>IFERROR(BDP(TEXT(VALUE(Database!$A62),"0")&amp;" HK Equity","PE_RATIO"),"")</f>
        <v/>
      </c>
      <c r="K62" s="24">
        <f>IFERROR(BDP(TEXT(VALUE(Database!$A62),"0")&amp;" HK Equity","A/H_SHARE_CONVERSION"),"")</f>
        <v/>
      </c>
      <c r="L62" s="32">
        <f>IF(Database!BN62="","(none found)",Database!BN62)</f>
        <v/>
      </c>
      <c r="M62" s="34">
        <f>BDH(TEXT(VALUE(Database!$A62),"0")&amp;" HK Equity","CUR_MKT_CAP",Database!$H62,Database!$H62)</f>
        <v/>
      </c>
      <c r="N62" s="166">
        <f>Database!Q62</f>
        <v/>
      </c>
      <c r="O62" s="39">
        <f>BDH(TEXT(VALUE(Database!$A62),"0")&amp;" HK Equity","PE_RATIO",Database!$H62,Database!$H62)</f>
        <v/>
      </c>
      <c r="P62" s="199">
        <f>IF(Database!BH62="","(n/m or not derivable)",Database!BH62)</f>
        <v/>
      </c>
      <c r="Q62" s="39">
        <f>IF(Database!BN62="","",BDH(LEFT(Database!BN62,FIND(".",Database!BN62)-1)&amp;" CH Equity","PE_RATIO",Database!$H62,Database!$H62))</f>
        <v/>
      </c>
      <c r="R62" s="39">
        <f>IF(Database!BN62="","",BDH("HSAHP Index","PX_LAST",Database!$H62,Database!$H62))</f>
        <v/>
      </c>
      <c r="S62" s="39">
        <f>IFERROR(BDP(TEXT(VALUE(Database!$A62),"0")&amp;" HK Equity","PX_TO_SALES_RATIO"),"")</f>
        <v/>
      </c>
      <c r="T62" s="34">
        <f>IF(Database!BN62="","",IFERROR(BDP(LEFT(Database!BN62,FIND(".",Database!BN62)-1)&amp;" CH Equity","CUR_MKT_CAP")*BDP("CNYHKD Curncy","PX_LAST"),"Awaiting quote"))</f>
        <v/>
      </c>
    </row>
    <row r="63" ht="23" customHeight="1">
      <c r="A63" s="32">
        <f>Database!A63&amp;"  "&amp;Database!B63</f>
        <v/>
      </c>
      <c r="B63" s="24">
        <f>IFERROR(INDEX(BDS(TEXT(VALUE(Database!$A63),"0")&amp;" HK Equity","EQUITY_OFFERINGS","array=t","endcol=1"),MATCH("IPO",BDS(TEXT(VALUE(Database!$A63),"0")&amp;" HK Equity","EQUITY_OFFERINGS","array=t","startcol=2","endcol=2"),0)),"")</f>
        <v/>
      </c>
      <c r="C63" s="208">
        <f>IF($B63="","",IFERROR(BDP($B63&amp;" Action","CP036"),""))</f>
        <v/>
      </c>
      <c r="D63" s="209">
        <f>Database!S63</f>
        <v/>
      </c>
      <c r="E63" s="208">
        <f>IF($B63="","",IFERROR(BDP($B63&amp;" Action","CP037"),""))</f>
        <v/>
      </c>
      <c r="F63" s="209">
        <f>Database!T63</f>
        <v/>
      </c>
      <c r="G63" s="208">
        <f>IF($B63="","",IFERROR(BDP($B63&amp;" Action","GREENSHOE_FACILITY"),""))</f>
        <v/>
      </c>
      <c r="H63" s="208">
        <f>IF($B63="","",IFERROR(BDP($B63&amp;" Action","OFFERING_GREENSHOE_SHARES_EX"),""))</f>
        <v/>
      </c>
      <c r="I63" s="32">
        <f>Database!AE63</f>
        <v/>
      </c>
      <c r="J63" s="39">
        <f>IFERROR(BDP(TEXT(VALUE(Database!$A63),"0")&amp;" HK Equity","PE_RATIO"),"")</f>
        <v/>
      </c>
      <c r="K63" s="24">
        <f>IFERROR(BDP(TEXT(VALUE(Database!$A63),"0")&amp;" HK Equity","A/H_SHARE_CONVERSION"),"")</f>
        <v/>
      </c>
      <c r="L63" s="32">
        <f>IF(Database!BN63="","(none found)",Database!BN63)</f>
        <v/>
      </c>
      <c r="M63" s="34">
        <f>BDH(TEXT(VALUE(Database!$A63),"0")&amp;" HK Equity","CUR_MKT_CAP",Database!$H63,Database!$H63)</f>
        <v/>
      </c>
      <c r="N63" s="166">
        <f>Database!Q63</f>
        <v/>
      </c>
      <c r="O63" s="39">
        <f>BDH(TEXT(VALUE(Database!$A63),"0")&amp;" HK Equity","PE_RATIO",Database!$H63,Database!$H63)</f>
        <v/>
      </c>
      <c r="P63" s="199">
        <f>IF(Database!BH63="","(n/m or not derivable)",Database!BH63)</f>
        <v/>
      </c>
      <c r="Q63" s="39">
        <f>IF(Database!BN63="","",BDH(LEFT(Database!BN63,FIND(".",Database!BN63)-1)&amp;" CH Equity","PE_RATIO",Database!$H63,Database!$H63))</f>
        <v/>
      </c>
      <c r="R63" s="39">
        <f>IF(Database!BN63="","",BDH("HSAHP Index","PX_LAST",Database!$H63,Database!$H63))</f>
        <v/>
      </c>
      <c r="S63" s="39">
        <f>IFERROR(BDP(TEXT(VALUE(Database!$A63),"0")&amp;" HK Equity","PX_TO_SALES_RATIO"),"")</f>
        <v/>
      </c>
      <c r="T63" s="34">
        <f>IF(Database!BN63="","",IFERROR(BDP(LEFT(Database!BN63,FIND(".",Database!BN63)-1)&amp;" CH Equity","CUR_MKT_CAP")*BDP("CNYHKD Curncy","PX_LAST"),"Awaiting quote"))</f>
        <v/>
      </c>
    </row>
    <row r="64" ht="23" customHeight="1">
      <c r="A64" s="32">
        <f>Database!A64&amp;"  "&amp;Database!B64</f>
        <v/>
      </c>
      <c r="B64" s="24">
        <f>IFERROR(INDEX(BDS(TEXT(VALUE(Database!$A64),"0")&amp;" HK Equity","EQUITY_OFFERINGS","array=t","endcol=1"),MATCH("IPO",BDS(TEXT(VALUE(Database!$A64),"0")&amp;" HK Equity","EQUITY_OFFERINGS","array=t","startcol=2","endcol=2"),0)),"")</f>
        <v/>
      </c>
      <c r="C64" s="208">
        <f>IF($B64="","",IFERROR(BDP($B64&amp;" Action","CP036"),""))</f>
        <v/>
      </c>
      <c r="D64" s="209">
        <f>Database!S64</f>
        <v/>
      </c>
      <c r="E64" s="208">
        <f>IF($B64="","",IFERROR(BDP($B64&amp;" Action","CP037"),""))</f>
        <v/>
      </c>
      <c r="F64" s="209">
        <f>Database!T64</f>
        <v/>
      </c>
      <c r="G64" s="208">
        <f>IF($B64="","",IFERROR(BDP($B64&amp;" Action","GREENSHOE_FACILITY"),""))</f>
        <v/>
      </c>
      <c r="H64" s="208">
        <f>IF($B64="","",IFERROR(BDP($B64&amp;" Action","OFFERING_GREENSHOE_SHARES_EX"),""))</f>
        <v/>
      </c>
      <c r="I64" s="32">
        <f>Database!AE64</f>
        <v/>
      </c>
      <c r="J64" s="39">
        <f>IFERROR(BDP(TEXT(VALUE(Database!$A64),"0")&amp;" HK Equity","PE_RATIO"),"")</f>
        <v/>
      </c>
      <c r="K64" s="24">
        <f>IFERROR(BDP(TEXT(VALUE(Database!$A64),"0")&amp;" HK Equity","A/H_SHARE_CONVERSION"),"")</f>
        <v/>
      </c>
      <c r="L64" s="32">
        <f>IF(Database!BN64="","(none found)",Database!BN64)</f>
        <v/>
      </c>
      <c r="M64" s="34">
        <f>BDH(TEXT(VALUE(Database!$A64),"0")&amp;" HK Equity","CUR_MKT_CAP",Database!$H64,Database!$H64)</f>
        <v/>
      </c>
      <c r="N64" s="166">
        <f>Database!Q64</f>
        <v/>
      </c>
      <c r="O64" s="39">
        <f>BDH(TEXT(VALUE(Database!$A64),"0")&amp;" HK Equity","PE_RATIO",Database!$H64,Database!$H64)</f>
        <v/>
      </c>
      <c r="P64" s="199">
        <f>IF(Database!BH64="","(n/m or not derivable)",Database!BH64)</f>
        <v/>
      </c>
      <c r="Q64" s="39">
        <f>IF(Database!BN64="","",BDH(LEFT(Database!BN64,FIND(".",Database!BN64)-1)&amp;" CH Equity","PE_RATIO",Database!$H64,Database!$H64))</f>
        <v/>
      </c>
      <c r="R64" s="39">
        <f>IF(Database!BN64="","",BDH("HSAHP Index","PX_LAST",Database!$H64,Database!$H64))</f>
        <v/>
      </c>
      <c r="S64" s="39">
        <f>IFERROR(BDP(TEXT(VALUE(Database!$A64),"0")&amp;" HK Equity","PX_TO_SALES_RATIO"),"")</f>
        <v/>
      </c>
      <c r="T64" s="34">
        <f>IF(Database!BN64="","",IFERROR(BDP(LEFT(Database!BN64,FIND(".",Database!BN64)-1)&amp;" CH Equity","CUR_MKT_CAP")*BDP("CNYHKD Curncy","PX_LAST"),"Awaiting quote"))</f>
        <v/>
      </c>
    </row>
    <row r="65" ht="23" customHeight="1">
      <c r="A65" s="32">
        <f>Database!A65&amp;"  "&amp;Database!B65</f>
        <v/>
      </c>
      <c r="B65" s="24">
        <f>IFERROR(INDEX(BDS(TEXT(VALUE(Database!$A65),"0")&amp;" HK Equity","EQUITY_OFFERINGS","array=t","endcol=1"),MATCH("IPO",BDS(TEXT(VALUE(Database!$A65),"0")&amp;" HK Equity","EQUITY_OFFERINGS","array=t","startcol=2","endcol=2"),0)),"")</f>
        <v/>
      </c>
      <c r="C65" s="208">
        <f>IF($B65="","",IFERROR(BDP($B65&amp;" Action","CP036"),""))</f>
        <v/>
      </c>
      <c r="D65" s="209">
        <f>Database!S65</f>
        <v/>
      </c>
      <c r="E65" s="208">
        <f>IF($B65="","",IFERROR(BDP($B65&amp;" Action","CP037"),""))</f>
        <v/>
      </c>
      <c r="F65" s="209">
        <f>Database!T65</f>
        <v/>
      </c>
      <c r="G65" s="208">
        <f>IF($B65="","",IFERROR(BDP($B65&amp;" Action","GREENSHOE_FACILITY"),""))</f>
        <v/>
      </c>
      <c r="H65" s="208">
        <f>IF($B65="","",IFERROR(BDP($B65&amp;" Action","OFFERING_GREENSHOE_SHARES_EX"),""))</f>
        <v/>
      </c>
      <c r="I65" s="32">
        <f>Database!AE65</f>
        <v/>
      </c>
      <c r="J65" s="39">
        <f>IFERROR(BDP(TEXT(VALUE(Database!$A65),"0")&amp;" HK Equity","PE_RATIO"),"")</f>
        <v/>
      </c>
      <c r="K65" s="24">
        <f>IFERROR(BDP(TEXT(VALUE(Database!$A65),"0")&amp;" HK Equity","A/H_SHARE_CONVERSION"),"")</f>
        <v/>
      </c>
      <c r="L65" s="32">
        <f>IF(Database!BN65="","(none found)",Database!BN65)</f>
        <v/>
      </c>
      <c r="M65" s="34">
        <f>BDH(TEXT(VALUE(Database!$A65),"0")&amp;" HK Equity","CUR_MKT_CAP",Database!$H65,Database!$H65)</f>
        <v/>
      </c>
      <c r="N65" s="166">
        <f>Database!Q65</f>
        <v/>
      </c>
      <c r="O65" s="39">
        <f>BDH(TEXT(VALUE(Database!$A65),"0")&amp;" HK Equity","PE_RATIO",Database!$H65,Database!$H65)</f>
        <v/>
      </c>
      <c r="P65" s="199">
        <f>IF(Database!BH65="","(n/m or not derivable)",Database!BH65)</f>
        <v/>
      </c>
      <c r="Q65" s="39">
        <f>IF(Database!BN65="","",BDH(LEFT(Database!BN65,FIND(".",Database!BN65)-1)&amp;" CH Equity","PE_RATIO",Database!$H65,Database!$H65))</f>
        <v/>
      </c>
      <c r="R65" s="39">
        <f>IF(Database!BN65="","",BDH("HSAHP Index","PX_LAST",Database!$H65,Database!$H65))</f>
        <v/>
      </c>
      <c r="S65" s="39">
        <f>IFERROR(BDP(TEXT(VALUE(Database!$A65),"0")&amp;" HK Equity","PX_TO_SALES_RATIO"),"")</f>
        <v/>
      </c>
      <c r="T65" s="34">
        <f>IF(Database!BN65="","",IFERROR(BDP(LEFT(Database!BN65,FIND(".",Database!BN65)-1)&amp;" CH Equity","CUR_MKT_CAP")*BDP("CNYHKD Curncy","PX_LAST"),"Awaiting quote"))</f>
        <v/>
      </c>
    </row>
    <row r="66" ht="23" customHeight="1">
      <c r="A66" s="32">
        <f>Database!A66&amp;"  "&amp;Database!B66</f>
        <v/>
      </c>
      <c r="B66" s="24">
        <f>IFERROR(INDEX(BDS(TEXT(VALUE(Database!$A66),"0")&amp;" HK Equity","EQUITY_OFFERINGS","array=t","endcol=1"),MATCH("IPO",BDS(TEXT(VALUE(Database!$A66),"0")&amp;" HK Equity","EQUITY_OFFERINGS","array=t","startcol=2","endcol=2"),0)),"")</f>
        <v/>
      </c>
      <c r="C66" s="208">
        <f>IF($B66="","",IFERROR(BDP($B66&amp;" Action","CP036"),""))</f>
        <v/>
      </c>
      <c r="D66" s="209">
        <f>Database!S66</f>
        <v/>
      </c>
      <c r="E66" s="208">
        <f>IF($B66="","",IFERROR(BDP($B66&amp;" Action","CP037"),""))</f>
        <v/>
      </c>
      <c r="F66" s="209">
        <f>Database!T66</f>
        <v/>
      </c>
      <c r="G66" s="208">
        <f>IF($B66="","",IFERROR(BDP($B66&amp;" Action","GREENSHOE_FACILITY"),""))</f>
        <v/>
      </c>
      <c r="H66" s="208">
        <f>IF($B66="","",IFERROR(BDP($B66&amp;" Action","OFFERING_GREENSHOE_SHARES_EX"),""))</f>
        <v/>
      </c>
      <c r="I66" s="32">
        <f>Database!AE66</f>
        <v/>
      </c>
      <c r="J66" s="39">
        <f>IFERROR(BDP(TEXT(VALUE(Database!$A66),"0")&amp;" HK Equity","PE_RATIO"),"")</f>
        <v/>
      </c>
      <c r="K66" s="24">
        <f>IFERROR(BDP(TEXT(VALUE(Database!$A66),"0")&amp;" HK Equity","A/H_SHARE_CONVERSION"),"")</f>
        <v/>
      </c>
      <c r="L66" s="32">
        <f>IF(Database!BN66="","(none found)",Database!BN66)</f>
        <v/>
      </c>
      <c r="M66" s="34">
        <f>BDH(TEXT(VALUE(Database!$A66),"0")&amp;" HK Equity","CUR_MKT_CAP",Database!$H66,Database!$H66)</f>
        <v/>
      </c>
      <c r="N66" s="166">
        <f>Database!Q66</f>
        <v/>
      </c>
      <c r="O66" s="39">
        <f>BDH(TEXT(VALUE(Database!$A66),"0")&amp;" HK Equity","PE_RATIO",Database!$H66,Database!$H66)</f>
        <v/>
      </c>
      <c r="P66" s="199">
        <f>IF(Database!BH66="","(n/m or not derivable)",Database!BH66)</f>
        <v/>
      </c>
      <c r="Q66" s="39">
        <f>IF(Database!BN66="","",BDH(LEFT(Database!BN66,FIND(".",Database!BN66)-1)&amp;" CH Equity","PE_RATIO",Database!$H66,Database!$H66))</f>
        <v/>
      </c>
      <c r="R66" s="39">
        <f>IF(Database!BN66="","",BDH("HSAHP Index","PX_LAST",Database!$H66,Database!$H66))</f>
        <v/>
      </c>
      <c r="S66" s="39">
        <f>IFERROR(BDP(TEXT(VALUE(Database!$A66),"0")&amp;" HK Equity","PX_TO_SALES_RATIO"),"")</f>
        <v/>
      </c>
      <c r="T66" s="34">
        <f>IF(Database!BN66="","",IFERROR(BDP(LEFT(Database!BN66,FIND(".",Database!BN66)-1)&amp;" CH Equity","CUR_MKT_CAP")*BDP("CNYHKD Curncy","PX_LAST"),"Awaiting quote"))</f>
        <v/>
      </c>
    </row>
    <row r="67" ht="23" customHeight="1">
      <c r="A67" s="32">
        <f>Database!A67&amp;"  "&amp;Database!B67</f>
        <v/>
      </c>
      <c r="B67" s="24">
        <f>IFERROR(INDEX(BDS(TEXT(VALUE(Database!$A67),"0")&amp;" HK Equity","EQUITY_OFFERINGS","array=t","endcol=1"),MATCH("IPO",BDS(TEXT(VALUE(Database!$A67),"0")&amp;" HK Equity","EQUITY_OFFERINGS","array=t","startcol=2","endcol=2"),0)),"")</f>
        <v/>
      </c>
      <c r="C67" s="208">
        <f>IF($B67="","",IFERROR(BDP($B67&amp;" Action","CP036"),""))</f>
        <v/>
      </c>
      <c r="D67" s="209">
        <f>Database!S67</f>
        <v/>
      </c>
      <c r="E67" s="208">
        <f>IF($B67="","",IFERROR(BDP($B67&amp;" Action","CP037"),""))</f>
        <v/>
      </c>
      <c r="F67" s="209">
        <f>Database!T67</f>
        <v/>
      </c>
      <c r="G67" s="208">
        <f>IF($B67="","",IFERROR(BDP($B67&amp;" Action","GREENSHOE_FACILITY"),""))</f>
        <v/>
      </c>
      <c r="H67" s="208">
        <f>IF($B67="","",IFERROR(BDP($B67&amp;" Action","OFFERING_GREENSHOE_SHARES_EX"),""))</f>
        <v/>
      </c>
      <c r="I67" s="32">
        <f>Database!AE67</f>
        <v/>
      </c>
      <c r="J67" s="39">
        <f>IFERROR(BDP(TEXT(VALUE(Database!$A67),"0")&amp;" HK Equity","PE_RATIO"),"")</f>
        <v/>
      </c>
      <c r="K67" s="24">
        <f>IFERROR(BDP(TEXT(VALUE(Database!$A67),"0")&amp;" HK Equity","A/H_SHARE_CONVERSION"),"")</f>
        <v/>
      </c>
      <c r="L67" s="32">
        <f>IF(Database!BN67="","(none found)",Database!BN67)</f>
        <v/>
      </c>
      <c r="M67" s="34">
        <f>BDH(TEXT(VALUE(Database!$A67),"0")&amp;" HK Equity","CUR_MKT_CAP",Database!$H67,Database!$H67)</f>
        <v/>
      </c>
      <c r="N67" s="166">
        <f>Database!Q67</f>
        <v/>
      </c>
      <c r="O67" s="39">
        <f>BDH(TEXT(VALUE(Database!$A67),"0")&amp;" HK Equity","PE_RATIO",Database!$H67,Database!$H67)</f>
        <v/>
      </c>
      <c r="P67" s="199">
        <f>IF(Database!BH67="","(n/m or not derivable)",Database!BH67)</f>
        <v/>
      </c>
      <c r="Q67" s="39">
        <f>IF(Database!BN67="","",BDH(LEFT(Database!BN67,FIND(".",Database!BN67)-1)&amp;" CH Equity","PE_RATIO",Database!$H67,Database!$H67))</f>
        <v/>
      </c>
      <c r="R67" s="39">
        <f>IF(Database!BN67="","",BDH("HSAHP Index","PX_LAST",Database!$H67,Database!$H67))</f>
        <v/>
      </c>
      <c r="S67" s="39">
        <f>IFERROR(BDP(TEXT(VALUE(Database!$A67),"0")&amp;" HK Equity","PX_TO_SALES_RATIO"),"")</f>
        <v/>
      </c>
      <c r="T67" s="34">
        <f>IF(Database!BN67="","",IFERROR(BDP(LEFT(Database!BN67,FIND(".",Database!BN67)-1)&amp;" CH Equity","CUR_MKT_CAP")*BDP("CNYHKD Curncy","PX_LAST"),"Awaiting quote"))</f>
        <v/>
      </c>
    </row>
    <row r="68" ht="23" customHeight="1">
      <c r="A68" s="32">
        <f>Database!A68&amp;"  "&amp;Database!B68</f>
        <v/>
      </c>
      <c r="B68" s="24">
        <f>IFERROR(INDEX(BDS(TEXT(VALUE(Database!$A68),"0")&amp;" HK Equity","EQUITY_OFFERINGS","array=t","endcol=1"),MATCH("IPO",BDS(TEXT(VALUE(Database!$A68),"0")&amp;" HK Equity","EQUITY_OFFERINGS","array=t","startcol=2","endcol=2"),0)),"")</f>
        <v/>
      </c>
      <c r="C68" s="208">
        <f>IF($B68="","",IFERROR(BDP($B68&amp;" Action","CP036"),""))</f>
        <v/>
      </c>
      <c r="D68" s="209">
        <f>Database!S68</f>
        <v/>
      </c>
      <c r="E68" s="208">
        <f>IF($B68="","",IFERROR(BDP($B68&amp;" Action","CP037"),""))</f>
        <v/>
      </c>
      <c r="F68" s="209">
        <f>Database!T68</f>
        <v/>
      </c>
      <c r="G68" s="208">
        <f>IF($B68="","",IFERROR(BDP($B68&amp;" Action","GREENSHOE_FACILITY"),""))</f>
        <v/>
      </c>
      <c r="H68" s="208">
        <f>IF($B68="","",IFERROR(BDP($B68&amp;" Action","OFFERING_GREENSHOE_SHARES_EX"),""))</f>
        <v/>
      </c>
      <c r="I68" s="32">
        <f>Database!AE68</f>
        <v/>
      </c>
      <c r="J68" s="39">
        <f>IFERROR(BDP(TEXT(VALUE(Database!$A68),"0")&amp;" HK Equity","PE_RATIO"),"")</f>
        <v/>
      </c>
      <c r="K68" s="24">
        <f>IFERROR(BDP(TEXT(VALUE(Database!$A68),"0")&amp;" HK Equity","A/H_SHARE_CONVERSION"),"")</f>
        <v/>
      </c>
      <c r="L68" s="32">
        <f>IF(Database!BN68="","(none found)",Database!BN68)</f>
        <v/>
      </c>
      <c r="M68" s="34">
        <f>BDH(TEXT(VALUE(Database!$A68),"0")&amp;" HK Equity","CUR_MKT_CAP",Database!$H68,Database!$H68)</f>
        <v/>
      </c>
      <c r="N68" s="166">
        <f>Database!Q68</f>
        <v/>
      </c>
      <c r="O68" s="39">
        <f>BDH(TEXT(VALUE(Database!$A68),"0")&amp;" HK Equity","PE_RATIO",Database!$H68,Database!$H68)</f>
        <v/>
      </c>
      <c r="P68" s="199">
        <f>IF(Database!BH68="","(n/m or not derivable)",Database!BH68)</f>
        <v/>
      </c>
      <c r="Q68" s="39">
        <f>IF(Database!BN68="","",BDH(LEFT(Database!BN68,FIND(".",Database!BN68)-1)&amp;" CH Equity","PE_RATIO",Database!$H68,Database!$H68))</f>
        <v/>
      </c>
      <c r="R68" s="39">
        <f>IF(Database!BN68="","",BDH("HSAHP Index","PX_LAST",Database!$H68,Database!$H68))</f>
        <v/>
      </c>
      <c r="S68" s="39">
        <f>IFERROR(BDP(TEXT(VALUE(Database!$A68),"0")&amp;" HK Equity","PX_TO_SALES_RATIO"),"")</f>
        <v/>
      </c>
      <c r="T68" s="34">
        <f>IF(Database!BN68="","",IFERROR(BDP(LEFT(Database!BN68,FIND(".",Database!BN68)-1)&amp;" CH Equity","CUR_MKT_CAP")*BDP("CNYHKD Curncy","PX_LAST"),"Awaiting quote"))</f>
        <v/>
      </c>
    </row>
    <row r="69" ht="23" customHeight="1">
      <c r="A69" s="32">
        <f>Database!A69&amp;"  "&amp;Database!B69</f>
        <v/>
      </c>
      <c r="B69" s="24">
        <f>IFERROR(INDEX(BDS(TEXT(VALUE(Database!$A69),"0")&amp;" HK Equity","EQUITY_OFFERINGS","array=t","endcol=1"),MATCH("IPO",BDS(TEXT(VALUE(Database!$A69),"0")&amp;" HK Equity","EQUITY_OFFERINGS","array=t","startcol=2","endcol=2"),0)),"")</f>
        <v/>
      </c>
      <c r="C69" s="208">
        <f>IF($B69="","",IFERROR(BDP($B69&amp;" Action","CP036"),""))</f>
        <v/>
      </c>
      <c r="D69" s="209">
        <f>Database!S69</f>
        <v/>
      </c>
      <c r="E69" s="208">
        <f>IF($B69="","",IFERROR(BDP($B69&amp;" Action","CP037"),""))</f>
        <v/>
      </c>
      <c r="F69" s="209">
        <f>Database!T69</f>
        <v/>
      </c>
      <c r="G69" s="208">
        <f>IF($B69="","",IFERROR(BDP($B69&amp;" Action","GREENSHOE_FACILITY"),""))</f>
        <v/>
      </c>
      <c r="H69" s="208">
        <f>IF($B69="","",IFERROR(BDP($B69&amp;" Action","OFFERING_GREENSHOE_SHARES_EX"),""))</f>
        <v/>
      </c>
      <c r="I69" s="32">
        <f>Database!AE69</f>
        <v/>
      </c>
      <c r="J69" s="39">
        <f>IFERROR(BDP(TEXT(VALUE(Database!$A69),"0")&amp;" HK Equity","PE_RATIO"),"")</f>
        <v/>
      </c>
      <c r="K69" s="24">
        <f>IFERROR(BDP(TEXT(VALUE(Database!$A69),"0")&amp;" HK Equity","A/H_SHARE_CONVERSION"),"")</f>
        <v/>
      </c>
      <c r="L69" s="32">
        <f>IF(Database!BN69="","(none found)",Database!BN69)</f>
        <v/>
      </c>
      <c r="M69" s="34">
        <f>BDH(TEXT(VALUE(Database!$A69),"0")&amp;" HK Equity","CUR_MKT_CAP",Database!$H69,Database!$H69)</f>
        <v/>
      </c>
      <c r="N69" s="166">
        <f>Database!Q69</f>
        <v/>
      </c>
      <c r="O69" s="39">
        <f>BDH(TEXT(VALUE(Database!$A69),"0")&amp;" HK Equity","PE_RATIO",Database!$H69,Database!$H69)</f>
        <v/>
      </c>
      <c r="P69" s="199">
        <f>IF(Database!BH69="","(n/m or not derivable)",Database!BH69)</f>
        <v/>
      </c>
      <c r="Q69" s="39">
        <f>IF(Database!BN69="","",BDH(LEFT(Database!BN69,FIND(".",Database!BN69)-1)&amp;" CH Equity","PE_RATIO",Database!$H69,Database!$H69))</f>
        <v/>
      </c>
      <c r="R69" s="39">
        <f>IF(Database!BN69="","",BDH("HSAHP Index","PX_LAST",Database!$H69,Database!$H69))</f>
        <v/>
      </c>
      <c r="S69" s="39">
        <f>IFERROR(BDP(TEXT(VALUE(Database!$A69),"0")&amp;" HK Equity","PX_TO_SALES_RATIO"),"")</f>
        <v/>
      </c>
      <c r="T69" s="34">
        <f>IF(Database!BN69="","",IFERROR(BDP(LEFT(Database!BN69,FIND(".",Database!BN69)-1)&amp;" CH Equity","CUR_MKT_CAP")*BDP("CNYHKD Curncy","PX_LAST"),"Awaiting quote"))</f>
        <v/>
      </c>
    </row>
    <row r="70" ht="23" customHeight="1">
      <c r="A70" s="32">
        <f>Database!A70&amp;"  "&amp;Database!B70</f>
        <v/>
      </c>
      <c r="B70" s="24">
        <f>IFERROR(INDEX(BDS(TEXT(VALUE(Database!$A70),"0")&amp;" HK Equity","EQUITY_OFFERINGS","array=t","endcol=1"),MATCH("IPO",BDS(TEXT(VALUE(Database!$A70),"0")&amp;" HK Equity","EQUITY_OFFERINGS","array=t","startcol=2","endcol=2"),0)),"")</f>
        <v/>
      </c>
      <c r="C70" s="208">
        <f>IF($B70="","",IFERROR(BDP($B70&amp;" Action","CP036"),""))</f>
        <v/>
      </c>
      <c r="D70" s="209">
        <f>Database!S70</f>
        <v/>
      </c>
      <c r="E70" s="208">
        <f>IF($B70="","",IFERROR(BDP($B70&amp;" Action","CP037"),""))</f>
        <v/>
      </c>
      <c r="F70" s="209">
        <f>Database!T70</f>
        <v/>
      </c>
      <c r="G70" s="208">
        <f>IF($B70="","",IFERROR(BDP($B70&amp;" Action","GREENSHOE_FACILITY"),""))</f>
        <v/>
      </c>
      <c r="H70" s="208">
        <f>IF($B70="","",IFERROR(BDP($B70&amp;" Action","OFFERING_GREENSHOE_SHARES_EX"),""))</f>
        <v/>
      </c>
      <c r="I70" s="32">
        <f>Database!AE70</f>
        <v/>
      </c>
      <c r="J70" s="39">
        <f>IFERROR(BDP(TEXT(VALUE(Database!$A70),"0")&amp;" HK Equity","PE_RATIO"),"")</f>
        <v/>
      </c>
      <c r="K70" s="24">
        <f>IFERROR(BDP(TEXT(VALUE(Database!$A70),"0")&amp;" HK Equity","A/H_SHARE_CONVERSION"),"")</f>
        <v/>
      </c>
      <c r="L70" s="32">
        <f>IF(Database!BN70="","(none found)",Database!BN70)</f>
        <v/>
      </c>
      <c r="M70" s="34">
        <f>BDH(TEXT(VALUE(Database!$A70),"0")&amp;" HK Equity","CUR_MKT_CAP",Database!$H70,Database!$H70)</f>
        <v/>
      </c>
      <c r="N70" s="166">
        <f>Database!Q70</f>
        <v/>
      </c>
      <c r="O70" s="39">
        <f>BDH(TEXT(VALUE(Database!$A70),"0")&amp;" HK Equity","PE_RATIO",Database!$H70,Database!$H70)</f>
        <v/>
      </c>
      <c r="P70" s="199">
        <f>IF(Database!BH70="","(n/m or not derivable)",Database!BH70)</f>
        <v/>
      </c>
      <c r="Q70" s="39">
        <f>IF(Database!BN70="","",BDH(LEFT(Database!BN70,FIND(".",Database!BN70)-1)&amp;" CH Equity","PE_RATIO",Database!$H70,Database!$H70))</f>
        <v/>
      </c>
      <c r="R70" s="39">
        <f>IF(Database!BN70="","",BDH("HSAHP Index","PX_LAST",Database!$H70,Database!$H70))</f>
        <v/>
      </c>
      <c r="S70" s="39">
        <f>IFERROR(BDP(TEXT(VALUE(Database!$A70),"0")&amp;" HK Equity","PX_TO_SALES_RATIO"),"")</f>
        <v/>
      </c>
      <c r="T70" s="34">
        <f>IF(Database!BN70="","",IFERROR(BDP(LEFT(Database!BN70,FIND(".",Database!BN70)-1)&amp;" CH Equity","CUR_MKT_CAP")*BDP("CNYHKD Curncy","PX_LAST"),"Awaiting quote"))</f>
        <v/>
      </c>
    </row>
    <row r="71" ht="23" customHeight="1">
      <c r="A71" s="32">
        <f>Database!A71&amp;"  "&amp;Database!B71</f>
        <v/>
      </c>
      <c r="B71" s="24">
        <f>IFERROR(INDEX(BDS(TEXT(VALUE(Database!$A71),"0")&amp;" HK Equity","EQUITY_OFFERINGS","array=t","endcol=1"),MATCH("IPO",BDS(TEXT(VALUE(Database!$A71),"0")&amp;" HK Equity","EQUITY_OFFERINGS","array=t","startcol=2","endcol=2"),0)),"")</f>
        <v/>
      </c>
      <c r="C71" s="208">
        <f>IF($B71="","",IFERROR(BDP($B71&amp;" Action","CP036"),""))</f>
        <v/>
      </c>
      <c r="D71" s="209">
        <f>Database!S71</f>
        <v/>
      </c>
      <c r="E71" s="208">
        <f>IF($B71="","",IFERROR(BDP($B71&amp;" Action","CP037"),""))</f>
        <v/>
      </c>
      <c r="F71" s="209">
        <f>Database!T71</f>
        <v/>
      </c>
      <c r="G71" s="208">
        <f>IF($B71="","",IFERROR(BDP($B71&amp;" Action","GREENSHOE_FACILITY"),""))</f>
        <v/>
      </c>
      <c r="H71" s="208">
        <f>IF($B71="","",IFERROR(BDP($B71&amp;" Action","OFFERING_GREENSHOE_SHARES_EX"),""))</f>
        <v/>
      </c>
      <c r="I71" s="32">
        <f>Database!AE71</f>
        <v/>
      </c>
      <c r="J71" s="39">
        <f>IFERROR(BDP(TEXT(VALUE(Database!$A71),"0")&amp;" HK Equity","PE_RATIO"),"")</f>
        <v/>
      </c>
      <c r="K71" s="24">
        <f>IFERROR(BDP(TEXT(VALUE(Database!$A71),"0")&amp;" HK Equity","A/H_SHARE_CONVERSION"),"")</f>
        <v/>
      </c>
      <c r="L71" s="32">
        <f>IF(Database!BN71="","(none found)",Database!BN71)</f>
        <v/>
      </c>
      <c r="M71" s="34">
        <f>BDH(TEXT(VALUE(Database!$A71),"0")&amp;" HK Equity","CUR_MKT_CAP",Database!$H71,Database!$H71)</f>
        <v/>
      </c>
      <c r="N71" s="166">
        <f>Database!Q71</f>
        <v/>
      </c>
      <c r="O71" s="39">
        <f>BDH(TEXT(VALUE(Database!$A71),"0")&amp;" HK Equity","PE_RATIO",Database!$H71,Database!$H71)</f>
        <v/>
      </c>
      <c r="P71" s="199">
        <f>IF(Database!BH71="","(n/m or not derivable)",Database!BH71)</f>
        <v/>
      </c>
      <c r="Q71" s="39">
        <f>IF(Database!BN71="","",BDH(LEFT(Database!BN71,FIND(".",Database!BN71)-1)&amp;" CH Equity","PE_RATIO",Database!$H71,Database!$H71))</f>
        <v/>
      </c>
      <c r="R71" s="39">
        <f>IF(Database!BN71="","",BDH("HSAHP Index","PX_LAST",Database!$H71,Database!$H71))</f>
        <v/>
      </c>
      <c r="S71" s="39">
        <f>IFERROR(BDP(TEXT(VALUE(Database!$A71),"0")&amp;" HK Equity","PX_TO_SALES_RATIO"),"")</f>
        <v/>
      </c>
      <c r="T71" s="34">
        <f>IF(Database!BN71="","",IFERROR(BDP(LEFT(Database!BN71,FIND(".",Database!BN71)-1)&amp;" CH Equity","CUR_MKT_CAP")*BDP("CNYHKD Curncy","PX_LAST"),"Awaiting quote"))</f>
        <v/>
      </c>
    </row>
    <row r="72" ht="23" customHeight="1">
      <c r="A72" s="32">
        <f>Database!A72&amp;"  "&amp;Database!B72</f>
        <v/>
      </c>
      <c r="B72" s="24">
        <f>IFERROR(INDEX(BDS(TEXT(VALUE(Database!$A72),"0")&amp;" HK Equity","EQUITY_OFFERINGS","array=t","endcol=1"),MATCH("IPO",BDS(TEXT(VALUE(Database!$A72),"0")&amp;" HK Equity","EQUITY_OFFERINGS","array=t","startcol=2","endcol=2"),0)),"")</f>
        <v/>
      </c>
      <c r="C72" s="208">
        <f>IF($B72="","",IFERROR(BDP($B72&amp;" Action","CP036"),""))</f>
        <v/>
      </c>
      <c r="D72" s="209">
        <f>Database!S72</f>
        <v/>
      </c>
      <c r="E72" s="208">
        <f>IF($B72="","",IFERROR(BDP($B72&amp;" Action","CP037"),""))</f>
        <v/>
      </c>
      <c r="F72" s="209">
        <f>Database!T72</f>
        <v/>
      </c>
      <c r="G72" s="208">
        <f>IF($B72="","",IFERROR(BDP($B72&amp;" Action","GREENSHOE_FACILITY"),""))</f>
        <v/>
      </c>
      <c r="H72" s="208">
        <f>IF($B72="","",IFERROR(BDP($B72&amp;" Action","OFFERING_GREENSHOE_SHARES_EX"),""))</f>
        <v/>
      </c>
      <c r="I72" s="32">
        <f>Database!AE72</f>
        <v/>
      </c>
      <c r="J72" s="39">
        <f>IFERROR(BDP(TEXT(VALUE(Database!$A72),"0")&amp;" HK Equity","PE_RATIO"),"")</f>
        <v/>
      </c>
      <c r="K72" s="24">
        <f>IFERROR(BDP(TEXT(VALUE(Database!$A72),"0")&amp;" HK Equity","A/H_SHARE_CONVERSION"),"")</f>
        <v/>
      </c>
      <c r="L72" s="32">
        <f>IF(Database!BN72="","(none found)",Database!BN72)</f>
        <v/>
      </c>
      <c r="M72" s="34">
        <f>BDH(TEXT(VALUE(Database!$A72),"0")&amp;" HK Equity","CUR_MKT_CAP",Database!$H72,Database!$H72)</f>
        <v/>
      </c>
      <c r="N72" s="166">
        <f>Database!Q72</f>
        <v/>
      </c>
      <c r="O72" s="39">
        <f>BDH(TEXT(VALUE(Database!$A72),"0")&amp;" HK Equity","PE_RATIO",Database!$H72,Database!$H72)</f>
        <v/>
      </c>
      <c r="P72" s="199">
        <f>IF(Database!BH72="","(n/m or not derivable)",Database!BH72)</f>
        <v/>
      </c>
      <c r="Q72" s="39">
        <f>IF(Database!BN72="","",BDH(LEFT(Database!BN72,FIND(".",Database!BN72)-1)&amp;" CH Equity","PE_RATIO",Database!$H72,Database!$H72))</f>
        <v/>
      </c>
      <c r="R72" s="39">
        <f>IF(Database!BN72="","",BDH("HSAHP Index","PX_LAST",Database!$H72,Database!$H72))</f>
        <v/>
      </c>
      <c r="S72" s="39">
        <f>IFERROR(BDP(TEXT(VALUE(Database!$A72),"0")&amp;" HK Equity","PX_TO_SALES_RATIO"),"")</f>
        <v/>
      </c>
      <c r="T72" s="34">
        <f>IF(Database!BN72="","",IFERROR(BDP(LEFT(Database!BN72,FIND(".",Database!BN72)-1)&amp;" CH Equity","CUR_MKT_CAP")*BDP("CNYHKD Curncy","PX_LAST"),"Awaiting quote"))</f>
        <v/>
      </c>
    </row>
    <row r="73" ht="23" customHeight="1">
      <c r="A73" s="32">
        <f>Database!A73&amp;"  "&amp;Database!B73</f>
        <v/>
      </c>
      <c r="B73" s="24">
        <f>IFERROR(INDEX(BDS(TEXT(VALUE(Database!$A73),"0")&amp;" HK Equity","EQUITY_OFFERINGS","array=t","endcol=1"),MATCH("IPO",BDS(TEXT(VALUE(Database!$A73),"0")&amp;" HK Equity","EQUITY_OFFERINGS","array=t","startcol=2","endcol=2"),0)),"")</f>
        <v/>
      </c>
      <c r="C73" s="208">
        <f>IF($B73="","",IFERROR(BDP($B73&amp;" Action","CP036"),""))</f>
        <v/>
      </c>
      <c r="D73" s="209">
        <f>Database!S73</f>
        <v/>
      </c>
      <c r="E73" s="208">
        <f>IF($B73="","",IFERROR(BDP($B73&amp;" Action","CP037"),""))</f>
        <v/>
      </c>
      <c r="F73" s="209">
        <f>Database!T73</f>
        <v/>
      </c>
      <c r="G73" s="208">
        <f>IF($B73="","",IFERROR(BDP($B73&amp;" Action","GREENSHOE_FACILITY"),""))</f>
        <v/>
      </c>
      <c r="H73" s="208">
        <f>IF($B73="","",IFERROR(BDP($B73&amp;" Action","OFFERING_GREENSHOE_SHARES_EX"),""))</f>
        <v/>
      </c>
      <c r="I73" s="32">
        <f>Database!AE73</f>
        <v/>
      </c>
      <c r="J73" s="39">
        <f>IFERROR(BDP(TEXT(VALUE(Database!$A73),"0")&amp;" HK Equity","PE_RATIO"),"")</f>
        <v/>
      </c>
      <c r="K73" s="24">
        <f>IFERROR(BDP(TEXT(VALUE(Database!$A73),"0")&amp;" HK Equity","A/H_SHARE_CONVERSION"),"")</f>
        <v/>
      </c>
      <c r="L73" s="32">
        <f>IF(Database!BN73="","(none found)",Database!BN73)</f>
        <v/>
      </c>
      <c r="M73" s="34">
        <f>BDH(TEXT(VALUE(Database!$A73),"0")&amp;" HK Equity","CUR_MKT_CAP",Database!$H73,Database!$H73)</f>
        <v/>
      </c>
      <c r="N73" s="166">
        <f>Database!Q73</f>
        <v/>
      </c>
      <c r="O73" s="39">
        <f>BDH(TEXT(VALUE(Database!$A73),"0")&amp;" HK Equity","PE_RATIO",Database!$H73,Database!$H73)</f>
        <v/>
      </c>
      <c r="P73" s="199">
        <f>IF(Database!BH73="","(n/m or not derivable)",Database!BH73)</f>
        <v/>
      </c>
      <c r="Q73" s="39">
        <f>IF(Database!BN73="","",BDH(LEFT(Database!BN73,FIND(".",Database!BN73)-1)&amp;" CH Equity","PE_RATIO",Database!$H73,Database!$H73))</f>
        <v/>
      </c>
      <c r="R73" s="39">
        <f>IF(Database!BN73="","",BDH("HSAHP Index","PX_LAST",Database!$H73,Database!$H73))</f>
        <v/>
      </c>
      <c r="S73" s="39">
        <f>IFERROR(BDP(TEXT(VALUE(Database!$A73),"0")&amp;" HK Equity","PX_TO_SALES_RATIO"),"")</f>
        <v/>
      </c>
      <c r="T73" s="34">
        <f>IF(Database!BN73="","",IFERROR(BDP(LEFT(Database!BN73,FIND(".",Database!BN73)-1)&amp;" CH Equity","CUR_MKT_CAP")*BDP("CNYHKD Curncy","PX_LAST"),"Awaiting quote"))</f>
        <v/>
      </c>
    </row>
    <row r="74" ht="23" customHeight="1">
      <c r="A74" s="32">
        <f>Database!A74&amp;"  "&amp;Database!B74</f>
        <v/>
      </c>
      <c r="B74" s="24">
        <f>IFERROR(INDEX(BDS(TEXT(VALUE(Database!$A74),"0")&amp;" HK Equity","EQUITY_OFFERINGS","array=t","endcol=1"),MATCH("IPO",BDS(TEXT(VALUE(Database!$A74),"0")&amp;" HK Equity","EQUITY_OFFERINGS","array=t","startcol=2","endcol=2"),0)),"")</f>
        <v/>
      </c>
      <c r="C74" s="208">
        <f>IF($B74="","",IFERROR(BDP($B74&amp;" Action","CP036"),""))</f>
        <v/>
      </c>
      <c r="D74" s="209">
        <f>Database!S74</f>
        <v/>
      </c>
      <c r="E74" s="208">
        <f>IF($B74="","",IFERROR(BDP($B74&amp;" Action","CP037"),""))</f>
        <v/>
      </c>
      <c r="F74" s="209">
        <f>Database!T74</f>
        <v/>
      </c>
      <c r="G74" s="208">
        <f>IF($B74="","",IFERROR(BDP($B74&amp;" Action","GREENSHOE_FACILITY"),""))</f>
        <v/>
      </c>
      <c r="H74" s="208">
        <f>IF($B74="","",IFERROR(BDP($B74&amp;" Action","OFFERING_GREENSHOE_SHARES_EX"),""))</f>
        <v/>
      </c>
      <c r="I74" s="32">
        <f>Database!AE74</f>
        <v/>
      </c>
      <c r="J74" s="39">
        <f>IFERROR(BDP(TEXT(VALUE(Database!$A74),"0")&amp;" HK Equity","PE_RATIO"),"")</f>
        <v/>
      </c>
      <c r="K74" s="24">
        <f>IFERROR(BDP(TEXT(VALUE(Database!$A74),"0")&amp;" HK Equity","A/H_SHARE_CONVERSION"),"")</f>
        <v/>
      </c>
      <c r="L74" s="32">
        <f>IF(Database!BN74="","(none found)",Database!BN74)</f>
        <v/>
      </c>
      <c r="M74" s="34">
        <f>BDH(TEXT(VALUE(Database!$A74),"0")&amp;" HK Equity","CUR_MKT_CAP",Database!$H74,Database!$H74)</f>
        <v/>
      </c>
      <c r="N74" s="166">
        <f>Database!Q74</f>
        <v/>
      </c>
      <c r="O74" s="39">
        <f>BDH(TEXT(VALUE(Database!$A74),"0")&amp;" HK Equity","PE_RATIO",Database!$H74,Database!$H74)</f>
        <v/>
      </c>
      <c r="P74" s="199">
        <f>IF(Database!BH74="","(n/m or not derivable)",Database!BH74)</f>
        <v/>
      </c>
      <c r="Q74" s="39">
        <f>IF(Database!BN74="","",BDH(LEFT(Database!BN74,FIND(".",Database!BN74)-1)&amp;" CH Equity","PE_RATIO",Database!$H74,Database!$H74))</f>
        <v/>
      </c>
      <c r="R74" s="39">
        <f>IF(Database!BN74="","",BDH("HSAHP Index","PX_LAST",Database!$H74,Database!$H74))</f>
        <v/>
      </c>
      <c r="S74" s="39">
        <f>IFERROR(BDP(TEXT(VALUE(Database!$A74),"0")&amp;" HK Equity","PX_TO_SALES_RATIO"),"")</f>
        <v/>
      </c>
      <c r="T74" s="34">
        <f>IF(Database!BN74="","",IFERROR(BDP(LEFT(Database!BN74,FIND(".",Database!BN74)-1)&amp;" CH Equity","CUR_MKT_CAP")*BDP("CNYHKD Curncy","PX_LAST"),"Awaiting quote"))</f>
        <v/>
      </c>
    </row>
    <row r="75" ht="23" customHeight="1">
      <c r="A75" s="32">
        <f>Database!A75&amp;"  "&amp;Database!B75</f>
        <v/>
      </c>
      <c r="B75" s="24">
        <f>IFERROR(INDEX(BDS(TEXT(VALUE(Database!$A75),"0")&amp;" HK Equity","EQUITY_OFFERINGS","array=t","endcol=1"),MATCH("IPO",BDS(TEXT(VALUE(Database!$A75),"0")&amp;" HK Equity","EQUITY_OFFERINGS","array=t","startcol=2","endcol=2"),0)),"")</f>
        <v/>
      </c>
      <c r="C75" s="208">
        <f>IF($B75="","",IFERROR(BDP($B75&amp;" Action","CP036"),""))</f>
        <v/>
      </c>
      <c r="D75" s="209">
        <f>Database!S75</f>
        <v/>
      </c>
      <c r="E75" s="208">
        <f>IF($B75="","",IFERROR(BDP($B75&amp;" Action","CP037"),""))</f>
        <v/>
      </c>
      <c r="F75" s="209">
        <f>Database!T75</f>
        <v/>
      </c>
      <c r="G75" s="208">
        <f>IF($B75="","",IFERROR(BDP($B75&amp;" Action","GREENSHOE_FACILITY"),""))</f>
        <v/>
      </c>
      <c r="H75" s="208">
        <f>IF($B75="","",IFERROR(BDP($B75&amp;" Action","OFFERING_GREENSHOE_SHARES_EX"),""))</f>
        <v/>
      </c>
      <c r="I75" s="32">
        <f>Database!AE75</f>
        <v/>
      </c>
      <c r="J75" s="39">
        <f>IFERROR(BDP(TEXT(VALUE(Database!$A75),"0")&amp;" HK Equity","PE_RATIO"),"")</f>
        <v/>
      </c>
      <c r="K75" s="24">
        <f>IFERROR(BDP(TEXT(VALUE(Database!$A75),"0")&amp;" HK Equity","A/H_SHARE_CONVERSION"),"")</f>
        <v/>
      </c>
      <c r="L75" s="32">
        <f>IF(Database!BN75="","(none found)",Database!BN75)</f>
        <v/>
      </c>
      <c r="M75" s="34">
        <f>BDH(TEXT(VALUE(Database!$A75),"0")&amp;" HK Equity","CUR_MKT_CAP",Database!$H75,Database!$H75)</f>
        <v/>
      </c>
      <c r="N75" s="166">
        <f>Database!Q75</f>
        <v/>
      </c>
      <c r="O75" s="39">
        <f>BDH(TEXT(VALUE(Database!$A75),"0")&amp;" HK Equity","PE_RATIO",Database!$H75,Database!$H75)</f>
        <v/>
      </c>
      <c r="P75" s="199">
        <f>IF(Database!BH75="","(n/m or not derivable)",Database!BH75)</f>
        <v/>
      </c>
      <c r="Q75" s="39">
        <f>IF(Database!BN75="","",BDH(LEFT(Database!BN75,FIND(".",Database!BN75)-1)&amp;" CH Equity","PE_RATIO",Database!$H75,Database!$H75))</f>
        <v/>
      </c>
      <c r="R75" s="39">
        <f>IF(Database!BN75="","",BDH("HSAHP Index","PX_LAST",Database!$H75,Database!$H75))</f>
        <v/>
      </c>
      <c r="S75" s="39">
        <f>IFERROR(BDP(TEXT(VALUE(Database!$A75),"0")&amp;" HK Equity","PX_TO_SALES_RATIO"),"")</f>
        <v/>
      </c>
      <c r="T75" s="34">
        <f>IF(Database!BN75="","",IFERROR(BDP(LEFT(Database!BN75,FIND(".",Database!BN75)-1)&amp;" CH Equity","CUR_MKT_CAP")*BDP("CNYHKD Curncy","PX_LAST"),"Awaiting quote"))</f>
        <v/>
      </c>
    </row>
    <row r="76" ht="23" customHeight="1">
      <c r="A76" s="32">
        <f>Database!A76&amp;"  "&amp;Database!B76</f>
        <v/>
      </c>
      <c r="B76" s="24">
        <f>IFERROR(INDEX(BDS(TEXT(VALUE(Database!$A76),"0")&amp;" HK Equity","EQUITY_OFFERINGS","array=t","endcol=1"),MATCH("IPO",BDS(TEXT(VALUE(Database!$A76),"0")&amp;" HK Equity","EQUITY_OFFERINGS","array=t","startcol=2","endcol=2"),0)),"")</f>
        <v/>
      </c>
      <c r="C76" s="208">
        <f>IF($B76="","",IFERROR(BDP($B76&amp;" Action","CP036"),""))</f>
        <v/>
      </c>
      <c r="D76" s="209">
        <f>Database!S76</f>
        <v/>
      </c>
      <c r="E76" s="208">
        <f>IF($B76="","",IFERROR(BDP($B76&amp;" Action","CP037"),""))</f>
        <v/>
      </c>
      <c r="F76" s="209">
        <f>Database!T76</f>
        <v/>
      </c>
      <c r="G76" s="208">
        <f>IF($B76="","",IFERROR(BDP($B76&amp;" Action","GREENSHOE_FACILITY"),""))</f>
        <v/>
      </c>
      <c r="H76" s="208">
        <f>IF($B76="","",IFERROR(BDP($B76&amp;" Action","OFFERING_GREENSHOE_SHARES_EX"),""))</f>
        <v/>
      </c>
      <c r="I76" s="32">
        <f>Database!AE76</f>
        <v/>
      </c>
      <c r="J76" s="39">
        <f>IFERROR(BDP(TEXT(VALUE(Database!$A76),"0")&amp;" HK Equity","PE_RATIO"),"")</f>
        <v/>
      </c>
      <c r="K76" s="24">
        <f>IFERROR(BDP(TEXT(VALUE(Database!$A76),"0")&amp;" HK Equity","A/H_SHARE_CONVERSION"),"")</f>
        <v/>
      </c>
      <c r="L76" s="32">
        <f>IF(Database!BN76="","(none found)",Database!BN76)</f>
        <v/>
      </c>
      <c r="M76" s="34">
        <f>BDH(TEXT(VALUE(Database!$A76),"0")&amp;" HK Equity","CUR_MKT_CAP",Database!$H76,Database!$H76)</f>
        <v/>
      </c>
      <c r="N76" s="166">
        <f>Database!Q76</f>
        <v/>
      </c>
      <c r="O76" s="39">
        <f>BDH(TEXT(VALUE(Database!$A76),"0")&amp;" HK Equity","PE_RATIO",Database!$H76,Database!$H76)</f>
        <v/>
      </c>
      <c r="P76" s="199">
        <f>IF(Database!BH76="","(n/m or not derivable)",Database!BH76)</f>
        <v/>
      </c>
      <c r="Q76" s="39">
        <f>IF(Database!BN76="","",BDH(LEFT(Database!BN76,FIND(".",Database!BN76)-1)&amp;" CH Equity","PE_RATIO",Database!$H76,Database!$H76))</f>
        <v/>
      </c>
      <c r="R76" s="39">
        <f>IF(Database!BN76="","",BDH("HSAHP Index","PX_LAST",Database!$H76,Database!$H76))</f>
        <v/>
      </c>
      <c r="S76" s="39">
        <f>IFERROR(BDP(TEXT(VALUE(Database!$A76),"0")&amp;" HK Equity","PX_TO_SALES_RATIO"),"")</f>
        <v/>
      </c>
      <c r="T76" s="34">
        <f>IF(Database!BN76="","",IFERROR(BDP(LEFT(Database!BN76,FIND(".",Database!BN76)-1)&amp;" CH Equity","CUR_MKT_CAP")*BDP("CNYHKD Curncy","PX_LAST"),"Awaiting quote"))</f>
        <v/>
      </c>
    </row>
    <row r="77" ht="23" customHeight="1">
      <c r="A77" s="32">
        <f>Database!A77&amp;"  "&amp;Database!B77</f>
        <v/>
      </c>
      <c r="B77" s="24">
        <f>IFERROR(INDEX(BDS(TEXT(VALUE(Database!$A77),"0")&amp;" HK Equity","EQUITY_OFFERINGS","array=t","endcol=1"),MATCH("IPO",BDS(TEXT(VALUE(Database!$A77),"0")&amp;" HK Equity","EQUITY_OFFERINGS","array=t","startcol=2","endcol=2"),0)),"")</f>
        <v/>
      </c>
      <c r="C77" s="208">
        <f>IF($B77="","",IFERROR(BDP($B77&amp;" Action","CP036"),""))</f>
        <v/>
      </c>
      <c r="D77" s="209">
        <f>Database!S77</f>
        <v/>
      </c>
      <c r="E77" s="208">
        <f>IF($B77="","",IFERROR(BDP($B77&amp;" Action","CP037"),""))</f>
        <v/>
      </c>
      <c r="F77" s="209">
        <f>Database!T77</f>
        <v/>
      </c>
      <c r="G77" s="208">
        <f>IF($B77="","",IFERROR(BDP($B77&amp;" Action","GREENSHOE_FACILITY"),""))</f>
        <v/>
      </c>
      <c r="H77" s="208">
        <f>IF($B77="","",IFERROR(BDP($B77&amp;" Action","OFFERING_GREENSHOE_SHARES_EX"),""))</f>
        <v/>
      </c>
      <c r="I77" s="32">
        <f>Database!AE77</f>
        <v/>
      </c>
      <c r="J77" s="39">
        <f>IFERROR(BDP(TEXT(VALUE(Database!$A77),"0")&amp;" HK Equity","PE_RATIO"),"")</f>
        <v/>
      </c>
      <c r="K77" s="24">
        <f>IFERROR(BDP(TEXT(VALUE(Database!$A77),"0")&amp;" HK Equity","A/H_SHARE_CONVERSION"),"")</f>
        <v/>
      </c>
      <c r="L77" s="32">
        <f>IF(Database!BN77="","(none found)",Database!BN77)</f>
        <v/>
      </c>
      <c r="M77" s="34">
        <f>BDH(TEXT(VALUE(Database!$A77),"0")&amp;" HK Equity","CUR_MKT_CAP",Database!$H77,Database!$H77)</f>
        <v/>
      </c>
      <c r="N77" s="166">
        <f>Database!Q77</f>
        <v/>
      </c>
      <c r="O77" s="39">
        <f>BDH(TEXT(VALUE(Database!$A77),"0")&amp;" HK Equity","PE_RATIO",Database!$H77,Database!$H77)</f>
        <v/>
      </c>
      <c r="P77" s="199">
        <f>IF(Database!BH77="","(n/m or not derivable)",Database!BH77)</f>
        <v/>
      </c>
      <c r="Q77" s="39">
        <f>IF(Database!BN77="","",BDH(LEFT(Database!BN77,FIND(".",Database!BN77)-1)&amp;" CH Equity","PE_RATIO",Database!$H77,Database!$H77))</f>
        <v/>
      </c>
      <c r="R77" s="39">
        <f>IF(Database!BN77="","",BDH("HSAHP Index","PX_LAST",Database!$H77,Database!$H77))</f>
        <v/>
      </c>
      <c r="S77" s="39">
        <f>IFERROR(BDP(TEXT(VALUE(Database!$A77),"0")&amp;" HK Equity","PX_TO_SALES_RATIO"),"")</f>
        <v/>
      </c>
      <c r="T77" s="34">
        <f>IF(Database!BN77="","",IFERROR(BDP(LEFT(Database!BN77,FIND(".",Database!BN77)-1)&amp;" CH Equity","CUR_MKT_CAP")*BDP("CNYHKD Curncy","PX_LAST"),"Awaiting quote"))</f>
        <v/>
      </c>
    </row>
    <row r="78" ht="23" customHeight="1">
      <c r="A78" s="32">
        <f>Database!A78&amp;"  "&amp;Database!B78</f>
        <v/>
      </c>
      <c r="B78" s="24">
        <f>IFERROR(INDEX(BDS(TEXT(VALUE(Database!$A78),"0")&amp;" HK Equity","EQUITY_OFFERINGS","array=t","endcol=1"),MATCH("IPO",BDS(TEXT(VALUE(Database!$A78),"0")&amp;" HK Equity","EQUITY_OFFERINGS","array=t","startcol=2","endcol=2"),0)),"")</f>
        <v/>
      </c>
      <c r="C78" s="208">
        <f>IF($B78="","",IFERROR(BDP($B78&amp;" Action","CP036"),""))</f>
        <v/>
      </c>
      <c r="D78" s="209">
        <f>Database!S78</f>
        <v/>
      </c>
      <c r="E78" s="208">
        <f>IF($B78="","",IFERROR(BDP($B78&amp;" Action","CP037"),""))</f>
        <v/>
      </c>
      <c r="F78" s="209">
        <f>Database!T78</f>
        <v/>
      </c>
      <c r="G78" s="208">
        <f>IF($B78="","",IFERROR(BDP($B78&amp;" Action","GREENSHOE_FACILITY"),""))</f>
        <v/>
      </c>
      <c r="H78" s="208">
        <f>IF($B78="","",IFERROR(BDP($B78&amp;" Action","OFFERING_GREENSHOE_SHARES_EX"),""))</f>
        <v/>
      </c>
      <c r="I78" s="32">
        <f>Database!AE78</f>
        <v/>
      </c>
      <c r="J78" s="39">
        <f>IFERROR(BDP(TEXT(VALUE(Database!$A78),"0")&amp;" HK Equity","PE_RATIO"),"")</f>
        <v/>
      </c>
      <c r="K78" s="24">
        <f>IFERROR(BDP(TEXT(VALUE(Database!$A78),"0")&amp;" HK Equity","A/H_SHARE_CONVERSION"),"")</f>
        <v/>
      </c>
      <c r="L78" s="32">
        <f>IF(Database!BN78="","(none found)",Database!BN78)</f>
        <v/>
      </c>
      <c r="M78" s="34">
        <f>BDH(TEXT(VALUE(Database!$A78),"0")&amp;" HK Equity","CUR_MKT_CAP",Database!$H78,Database!$H78)</f>
        <v/>
      </c>
      <c r="N78" s="166">
        <f>Database!Q78</f>
        <v/>
      </c>
      <c r="O78" s="39">
        <f>BDH(TEXT(VALUE(Database!$A78),"0")&amp;" HK Equity","PE_RATIO",Database!$H78,Database!$H78)</f>
        <v/>
      </c>
      <c r="P78" s="199">
        <f>IF(Database!BH78="","(n/m or not derivable)",Database!BH78)</f>
        <v/>
      </c>
      <c r="Q78" s="39">
        <f>IF(Database!BN78="","",BDH(LEFT(Database!BN78,FIND(".",Database!BN78)-1)&amp;" CH Equity","PE_RATIO",Database!$H78,Database!$H78))</f>
        <v/>
      </c>
      <c r="R78" s="39">
        <f>IF(Database!BN78="","",BDH("HSAHP Index","PX_LAST",Database!$H78,Database!$H78))</f>
        <v/>
      </c>
      <c r="S78" s="39">
        <f>IFERROR(BDP(TEXT(VALUE(Database!$A78),"0")&amp;" HK Equity","PX_TO_SALES_RATIO"),"")</f>
        <v/>
      </c>
      <c r="T78" s="34">
        <f>IF(Database!BN78="","",IFERROR(BDP(LEFT(Database!BN78,FIND(".",Database!BN78)-1)&amp;" CH Equity","CUR_MKT_CAP")*BDP("CNYHKD Curncy","PX_LAST"),"Awaiting quote"))</f>
        <v/>
      </c>
    </row>
    <row r="79" ht="23" customHeight="1">
      <c r="A79" s="32">
        <f>Database!A79&amp;"  "&amp;Database!B79</f>
        <v/>
      </c>
      <c r="B79" s="24">
        <f>IFERROR(INDEX(BDS(TEXT(VALUE(Database!$A79),"0")&amp;" HK Equity","EQUITY_OFFERINGS","array=t","endcol=1"),MATCH("IPO",BDS(TEXT(VALUE(Database!$A79),"0")&amp;" HK Equity","EQUITY_OFFERINGS","array=t","startcol=2","endcol=2"),0)),"")</f>
        <v/>
      </c>
      <c r="C79" s="208">
        <f>IF($B79="","",IFERROR(BDP($B79&amp;" Action","CP036"),""))</f>
        <v/>
      </c>
      <c r="D79" s="209">
        <f>Database!S79</f>
        <v/>
      </c>
      <c r="E79" s="208">
        <f>IF($B79="","",IFERROR(BDP($B79&amp;" Action","CP037"),""))</f>
        <v/>
      </c>
      <c r="F79" s="209">
        <f>Database!T79</f>
        <v/>
      </c>
      <c r="G79" s="208">
        <f>IF($B79="","",IFERROR(BDP($B79&amp;" Action","GREENSHOE_FACILITY"),""))</f>
        <v/>
      </c>
      <c r="H79" s="208">
        <f>IF($B79="","",IFERROR(BDP($B79&amp;" Action","OFFERING_GREENSHOE_SHARES_EX"),""))</f>
        <v/>
      </c>
      <c r="I79" s="32">
        <f>Database!AE79</f>
        <v/>
      </c>
      <c r="J79" s="39">
        <f>IFERROR(BDP(TEXT(VALUE(Database!$A79),"0")&amp;" HK Equity","PE_RATIO"),"")</f>
        <v/>
      </c>
      <c r="K79" s="24">
        <f>IFERROR(BDP(TEXT(VALUE(Database!$A79),"0")&amp;" HK Equity","A/H_SHARE_CONVERSION"),"")</f>
        <v/>
      </c>
      <c r="L79" s="32">
        <f>IF(Database!BN79="","(none found)",Database!BN79)</f>
        <v/>
      </c>
      <c r="M79" s="34">
        <f>BDH(TEXT(VALUE(Database!$A79),"0")&amp;" HK Equity","CUR_MKT_CAP",Database!$H79,Database!$H79)</f>
        <v/>
      </c>
      <c r="N79" s="166">
        <f>Database!Q79</f>
        <v/>
      </c>
      <c r="O79" s="39">
        <f>BDH(TEXT(VALUE(Database!$A79),"0")&amp;" HK Equity","PE_RATIO",Database!$H79,Database!$H79)</f>
        <v/>
      </c>
      <c r="P79" s="199">
        <f>IF(Database!BH79="","(n/m or not derivable)",Database!BH79)</f>
        <v/>
      </c>
      <c r="Q79" s="39">
        <f>IF(Database!BN79="","",BDH(LEFT(Database!BN79,FIND(".",Database!BN79)-1)&amp;" CH Equity","PE_RATIO",Database!$H79,Database!$H79))</f>
        <v/>
      </c>
      <c r="R79" s="39">
        <f>IF(Database!BN79="","",BDH("HSAHP Index","PX_LAST",Database!$H79,Database!$H79))</f>
        <v/>
      </c>
      <c r="S79" s="39">
        <f>IFERROR(BDP(TEXT(VALUE(Database!$A79),"0")&amp;" HK Equity","PX_TO_SALES_RATIO"),"")</f>
        <v/>
      </c>
      <c r="T79" s="34">
        <f>IF(Database!BN79="","",IFERROR(BDP(LEFT(Database!BN79,FIND(".",Database!BN79)-1)&amp;" CH Equity","CUR_MKT_CAP")*BDP("CNYHKD Curncy","PX_LAST"),"Awaiting quote"))</f>
        <v/>
      </c>
    </row>
    <row r="80" ht="23" customHeight="1">
      <c r="A80" s="32">
        <f>Database!A80&amp;"  "&amp;Database!B80</f>
        <v/>
      </c>
      <c r="B80" s="24">
        <f>IFERROR(INDEX(BDS(TEXT(VALUE(Database!$A80),"0")&amp;" HK Equity","EQUITY_OFFERINGS","array=t","endcol=1"),MATCH("IPO",BDS(TEXT(VALUE(Database!$A80),"0")&amp;" HK Equity","EQUITY_OFFERINGS","array=t","startcol=2","endcol=2"),0)),"")</f>
        <v/>
      </c>
      <c r="C80" s="208">
        <f>IF($B80="","",IFERROR(BDP($B80&amp;" Action","CP036"),""))</f>
        <v/>
      </c>
      <c r="D80" s="209">
        <f>Database!S80</f>
        <v/>
      </c>
      <c r="E80" s="208">
        <f>IF($B80="","",IFERROR(BDP($B80&amp;" Action","CP037"),""))</f>
        <v/>
      </c>
      <c r="F80" s="209">
        <f>Database!T80</f>
        <v/>
      </c>
      <c r="G80" s="208">
        <f>IF($B80="","",IFERROR(BDP($B80&amp;" Action","GREENSHOE_FACILITY"),""))</f>
        <v/>
      </c>
      <c r="H80" s="208">
        <f>IF($B80="","",IFERROR(BDP($B80&amp;" Action","OFFERING_GREENSHOE_SHARES_EX"),""))</f>
        <v/>
      </c>
      <c r="I80" s="32">
        <f>Database!AE80</f>
        <v/>
      </c>
      <c r="J80" s="39">
        <f>IFERROR(BDP(TEXT(VALUE(Database!$A80),"0")&amp;" HK Equity","PE_RATIO"),"")</f>
        <v/>
      </c>
      <c r="K80" s="24">
        <f>IFERROR(BDP(TEXT(VALUE(Database!$A80),"0")&amp;" HK Equity","A/H_SHARE_CONVERSION"),"")</f>
        <v/>
      </c>
      <c r="L80" s="32">
        <f>IF(Database!BN80="","(none found)",Database!BN80)</f>
        <v/>
      </c>
      <c r="M80" s="34">
        <f>BDH(TEXT(VALUE(Database!$A80),"0")&amp;" HK Equity","CUR_MKT_CAP",Database!$H80,Database!$H80)</f>
        <v/>
      </c>
      <c r="N80" s="166">
        <f>Database!Q80</f>
        <v/>
      </c>
      <c r="O80" s="39">
        <f>BDH(TEXT(VALUE(Database!$A80),"0")&amp;" HK Equity","PE_RATIO",Database!$H80,Database!$H80)</f>
        <v/>
      </c>
      <c r="P80" s="199">
        <f>IF(Database!BH80="","(n/m or not derivable)",Database!BH80)</f>
        <v/>
      </c>
      <c r="Q80" s="39">
        <f>IF(Database!BN80="","",BDH(LEFT(Database!BN80,FIND(".",Database!BN80)-1)&amp;" CH Equity","PE_RATIO",Database!$H80,Database!$H80))</f>
        <v/>
      </c>
      <c r="R80" s="39">
        <f>IF(Database!BN80="","",BDH("HSAHP Index","PX_LAST",Database!$H80,Database!$H80))</f>
        <v/>
      </c>
      <c r="S80" s="39">
        <f>IFERROR(BDP(TEXT(VALUE(Database!$A80),"0")&amp;" HK Equity","PX_TO_SALES_RATIO"),"")</f>
        <v/>
      </c>
      <c r="T80" s="34">
        <f>IF(Database!BN80="","",IFERROR(BDP(LEFT(Database!BN80,FIND(".",Database!BN80)-1)&amp;" CH Equity","CUR_MKT_CAP")*BDP("CNYHKD Curncy","PX_LAST"),"Awaiting quote"))</f>
        <v/>
      </c>
    </row>
    <row r="81" ht="23" customHeight="1">
      <c r="A81" s="32">
        <f>Database!A81&amp;"  "&amp;Database!B81</f>
        <v/>
      </c>
      <c r="B81" s="24">
        <f>IFERROR(INDEX(BDS(TEXT(VALUE(Database!$A81),"0")&amp;" HK Equity","EQUITY_OFFERINGS","array=t","endcol=1"),MATCH("IPO",BDS(TEXT(VALUE(Database!$A81),"0")&amp;" HK Equity","EQUITY_OFFERINGS","array=t","startcol=2","endcol=2"),0)),"")</f>
        <v/>
      </c>
      <c r="C81" s="208">
        <f>IF($B81="","",IFERROR(BDP($B81&amp;" Action","CP036"),""))</f>
        <v/>
      </c>
      <c r="D81" s="209">
        <f>Database!S81</f>
        <v/>
      </c>
      <c r="E81" s="208">
        <f>IF($B81="","",IFERROR(BDP($B81&amp;" Action","CP037"),""))</f>
        <v/>
      </c>
      <c r="F81" s="209">
        <f>Database!T81</f>
        <v/>
      </c>
      <c r="G81" s="208">
        <f>IF($B81="","",IFERROR(BDP($B81&amp;" Action","GREENSHOE_FACILITY"),""))</f>
        <v/>
      </c>
      <c r="H81" s="208">
        <f>IF($B81="","",IFERROR(BDP($B81&amp;" Action","OFFERING_GREENSHOE_SHARES_EX"),""))</f>
        <v/>
      </c>
      <c r="I81" s="32">
        <f>Database!AE81</f>
        <v/>
      </c>
      <c r="J81" s="39">
        <f>IFERROR(BDP(TEXT(VALUE(Database!$A81),"0")&amp;" HK Equity","PE_RATIO"),"")</f>
        <v/>
      </c>
      <c r="K81" s="24">
        <f>IFERROR(BDP(TEXT(VALUE(Database!$A81),"0")&amp;" HK Equity","A/H_SHARE_CONVERSION"),"")</f>
        <v/>
      </c>
      <c r="L81" s="32">
        <f>IF(Database!BN81="","(none found)",Database!BN81)</f>
        <v/>
      </c>
      <c r="M81" s="34">
        <f>BDH(TEXT(VALUE(Database!$A81),"0")&amp;" HK Equity","CUR_MKT_CAP",Database!$H81,Database!$H81)</f>
        <v/>
      </c>
      <c r="N81" s="166">
        <f>Database!Q81</f>
        <v/>
      </c>
      <c r="O81" s="39">
        <f>BDH(TEXT(VALUE(Database!$A81),"0")&amp;" HK Equity","PE_RATIO",Database!$H81,Database!$H81)</f>
        <v/>
      </c>
      <c r="P81" s="199">
        <f>IF(Database!BH81="","(n/m or not derivable)",Database!BH81)</f>
        <v/>
      </c>
      <c r="Q81" s="39">
        <f>IF(Database!BN81="","",BDH(LEFT(Database!BN81,FIND(".",Database!BN81)-1)&amp;" CH Equity","PE_RATIO",Database!$H81,Database!$H81))</f>
        <v/>
      </c>
      <c r="R81" s="39">
        <f>IF(Database!BN81="","",BDH("HSAHP Index","PX_LAST",Database!$H81,Database!$H81))</f>
        <v/>
      </c>
      <c r="S81" s="39">
        <f>IFERROR(BDP(TEXT(VALUE(Database!$A81),"0")&amp;" HK Equity","PX_TO_SALES_RATIO"),"")</f>
        <v/>
      </c>
      <c r="T81" s="34">
        <f>IF(Database!BN81="","",IFERROR(BDP(LEFT(Database!BN81,FIND(".",Database!BN81)-1)&amp;" CH Equity","CUR_MKT_CAP")*BDP("CNYHKD Curncy","PX_LAST"),"Awaiting quote"))</f>
        <v/>
      </c>
    </row>
    <row r="82" ht="23" customHeight="1">
      <c r="A82" s="32">
        <f>Database!A82&amp;"  "&amp;Database!B82</f>
        <v/>
      </c>
      <c r="B82" s="24">
        <f>IFERROR(INDEX(BDS(TEXT(VALUE(Database!$A82),"0")&amp;" HK Equity","EQUITY_OFFERINGS","array=t","endcol=1"),MATCH("IPO",BDS(TEXT(VALUE(Database!$A82),"0")&amp;" HK Equity","EQUITY_OFFERINGS","array=t","startcol=2","endcol=2"),0)),"")</f>
        <v/>
      </c>
      <c r="C82" s="208">
        <f>IF($B82="","",IFERROR(BDP($B82&amp;" Action","CP036"),""))</f>
        <v/>
      </c>
      <c r="D82" s="209">
        <f>Database!S82</f>
        <v/>
      </c>
      <c r="E82" s="208">
        <f>IF($B82="","",IFERROR(BDP($B82&amp;" Action","CP037"),""))</f>
        <v/>
      </c>
      <c r="F82" s="209">
        <f>Database!T82</f>
        <v/>
      </c>
      <c r="G82" s="208">
        <f>IF($B82="","",IFERROR(BDP($B82&amp;" Action","GREENSHOE_FACILITY"),""))</f>
        <v/>
      </c>
      <c r="H82" s="208">
        <f>IF($B82="","",IFERROR(BDP($B82&amp;" Action","OFFERING_GREENSHOE_SHARES_EX"),""))</f>
        <v/>
      </c>
      <c r="I82" s="32">
        <f>Database!AE82</f>
        <v/>
      </c>
      <c r="J82" s="39">
        <f>IFERROR(BDP(TEXT(VALUE(Database!$A82),"0")&amp;" HK Equity","PE_RATIO"),"")</f>
        <v/>
      </c>
      <c r="K82" s="24">
        <f>IFERROR(BDP(TEXT(VALUE(Database!$A82),"0")&amp;" HK Equity","A/H_SHARE_CONVERSION"),"")</f>
        <v/>
      </c>
      <c r="L82" s="32">
        <f>IF(Database!BN82="","(none found)",Database!BN82)</f>
        <v/>
      </c>
      <c r="M82" s="34">
        <f>BDH(TEXT(VALUE(Database!$A82),"0")&amp;" HK Equity","CUR_MKT_CAP",Database!$H82,Database!$H82)</f>
        <v/>
      </c>
      <c r="N82" s="166">
        <f>Database!Q82</f>
        <v/>
      </c>
      <c r="O82" s="39">
        <f>BDH(TEXT(VALUE(Database!$A82),"0")&amp;" HK Equity","PE_RATIO",Database!$H82,Database!$H82)</f>
        <v/>
      </c>
      <c r="P82" s="199">
        <f>IF(Database!BH82="","(n/m or not derivable)",Database!BH82)</f>
        <v/>
      </c>
      <c r="Q82" s="39">
        <f>IF(Database!BN82="","",BDH(LEFT(Database!BN82,FIND(".",Database!BN82)-1)&amp;" CH Equity","PE_RATIO",Database!$H82,Database!$H82))</f>
        <v/>
      </c>
      <c r="R82" s="39">
        <f>IF(Database!BN82="","",BDH("HSAHP Index","PX_LAST",Database!$H82,Database!$H82))</f>
        <v/>
      </c>
      <c r="S82" s="39">
        <f>IFERROR(BDP(TEXT(VALUE(Database!$A82),"0")&amp;" HK Equity","PX_TO_SALES_RATIO"),"")</f>
        <v/>
      </c>
      <c r="T82" s="34">
        <f>IF(Database!BN82="","",IFERROR(BDP(LEFT(Database!BN82,FIND(".",Database!BN82)-1)&amp;" CH Equity","CUR_MKT_CAP")*BDP("CNYHKD Curncy","PX_LAST"),"Awaiting quote"))</f>
        <v/>
      </c>
    </row>
    <row r="83" ht="23" customHeight="1">
      <c r="A83" s="32">
        <f>Database!A83&amp;"  "&amp;Database!B83</f>
        <v/>
      </c>
      <c r="B83" s="24">
        <f>IFERROR(INDEX(BDS(TEXT(VALUE(Database!$A83),"0")&amp;" HK Equity","EQUITY_OFFERINGS","array=t","endcol=1"),MATCH("IPO",BDS(TEXT(VALUE(Database!$A83),"0")&amp;" HK Equity","EQUITY_OFFERINGS","array=t","startcol=2","endcol=2"),0)),"")</f>
        <v/>
      </c>
      <c r="C83" s="208">
        <f>IF($B83="","",IFERROR(BDP($B83&amp;" Action","CP036"),""))</f>
        <v/>
      </c>
      <c r="D83" s="209">
        <f>Database!S83</f>
        <v/>
      </c>
      <c r="E83" s="208">
        <f>IF($B83="","",IFERROR(BDP($B83&amp;" Action","CP037"),""))</f>
        <v/>
      </c>
      <c r="F83" s="209">
        <f>Database!T83</f>
        <v/>
      </c>
      <c r="G83" s="208">
        <f>IF($B83="","",IFERROR(BDP($B83&amp;" Action","GREENSHOE_FACILITY"),""))</f>
        <v/>
      </c>
      <c r="H83" s="208">
        <f>IF($B83="","",IFERROR(BDP($B83&amp;" Action","OFFERING_GREENSHOE_SHARES_EX"),""))</f>
        <v/>
      </c>
      <c r="I83" s="32">
        <f>Database!AE83</f>
        <v/>
      </c>
      <c r="J83" s="39">
        <f>IFERROR(BDP(TEXT(VALUE(Database!$A83),"0")&amp;" HK Equity","PE_RATIO"),"")</f>
        <v/>
      </c>
      <c r="K83" s="24">
        <f>IFERROR(BDP(TEXT(VALUE(Database!$A83),"0")&amp;" HK Equity","A/H_SHARE_CONVERSION"),"")</f>
        <v/>
      </c>
      <c r="L83" s="32">
        <f>IF(Database!BN83="","(none found)",Database!BN83)</f>
        <v/>
      </c>
      <c r="M83" s="34">
        <f>BDH(TEXT(VALUE(Database!$A83),"0")&amp;" HK Equity","CUR_MKT_CAP",Database!$H83,Database!$H83)</f>
        <v/>
      </c>
      <c r="N83" s="166">
        <f>Database!Q83</f>
        <v/>
      </c>
      <c r="O83" s="39">
        <f>BDH(TEXT(VALUE(Database!$A83),"0")&amp;" HK Equity","PE_RATIO",Database!$H83,Database!$H83)</f>
        <v/>
      </c>
      <c r="P83" s="199">
        <f>IF(Database!BH83="","(n/m or not derivable)",Database!BH83)</f>
        <v/>
      </c>
      <c r="Q83" s="39">
        <f>IF(Database!BN83="","",BDH(LEFT(Database!BN83,FIND(".",Database!BN83)-1)&amp;" CH Equity","PE_RATIO",Database!$H83,Database!$H83))</f>
        <v/>
      </c>
      <c r="R83" s="39">
        <f>IF(Database!BN83="","",BDH("HSAHP Index","PX_LAST",Database!$H83,Database!$H83))</f>
        <v/>
      </c>
      <c r="S83" s="39">
        <f>IFERROR(BDP(TEXT(VALUE(Database!$A83),"0")&amp;" HK Equity","PX_TO_SALES_RATIO"),"")</f>
        <v/>
      </c>
      <c r="T83" s="34">
        <f>IF(Database!BN83="","",IFERROR(BDP(LEFT(Database!BN83,FIND(".",Database!BN83)-1)&amp;" CH Equity","CUR_MKT_CAP")*BDP("CNYHKD Curncy","PX_LAST"),"Awaiting quote"))</f>
        <v/>
      </c>
    </row>
    <row r="84" ht="23" customHeight="1">
      <c r="A84" s="32">
        <f>Database!A84&amp;"  "&amp;Database!B84</f>
        <v/>
      </c>
      <c r="B84" s="24">
        <f>IFERROR(INDEX(BDS(TEXT(VALUE(Database!$A84),"0")&amp;" HK Equity","EQUITY_OFFERINGS","array=t","endcol=1"),MATCH("IPO",BDS(TEXT(VALUE(Database!$A84),"0")&amp;" HK Equity","EQUITY_OFFERINGS","array=t","startcol=2","endcol=2"),0)),"")</f>
        <v/>
      </c>
      <c r="C84" s="208">
        <f>IF($B84="","",IFERROR(BDP($B84&amp;" Action","CP036"),""))</f>
        <v/>
      </c>
      <c r="D84" s="209">
        <f>Database!S84</f>
        <v/>
      </c>
      <c r="E84" s="208">
        <f>IF($B84="","",IFERROR(BDP($B84&amp;" Action","CP037"),""))</f>
        <v/>
      </c>
      <c r="F84" s="209">
        <f>Database!T84</f>
        <v/>
      </c>
      <c r="G84" s="208">
        <f>IF($B84="","",IFERROR(BDP($B84&amp;" Action","GREENSHOE_FACILITY"),""))</f>
        <v/>
      </c>
      <c r="H84" s="208">
        <f>IF($B84="","",IFERROR(BDP($B84&amp;" Action","OFFERING_GREENSHOE_SHARES_EX"),""))</f>
        <v/>
      </c>
      <c r="I84" s="32">
        <f>Database!AE84</f>
        <v/>
      </c>
      <c r="J84" s="39">
        <f>IFERROR(BDP(TEXT(VALUE(Database!$A84),"0")&amp;" HK Equity","PE_RATIO"),"")</f>
        <v/>
      </c>
      <c r="K84" s="24">
        <f>IFERROR(BDP(TEXT(VALUE(Database!$A84),"0")&amp;" HK Equity","A/H_SHARE_CONVERSION"),"")</f>
        <v/>
      </c>
      <c r="L84" s="32">
        <f>IF(Database!BN84="","(none found)",Database!BN84)</f>
        <v/>
      </c>
      <c r="M84" s="34">
        <f>BDH(TEXT(VALUE(Database!$A84),"0")&amp;" HK Equity","CUR_MKT_CAP",Database!$H84,Database!$H84)</f>
        <v/>
      </c>
      <c r="N84" s="166">
        <f>Database!Q84</f>
        <v/>
      </c>
      <c r="O84" s="39">
        <f>BDH(TEXT(VALUE(Database!$A84),"0")&amp;" HK Equity","PE_RATIO",Database!$H84,Database!$H84)</f>
        <v/>
      </c>
      <c r="P84" s="199">
        <f>IF(Database!BH84="","(n/m or not derivable)",Database!BH84)</f>
        <v/>
      </c>
      <c r="Q84" s="39">
        <f>IF(Database!BN84="","",BDH(LEFT(Database!BN84,FIND(".",Database!BN84)-1)&amp;" CH Equity","PE_RATIO",Database!$H84,Database!$H84))</f>
        <v/>
      </c>
      <c r="R84" s="39">
        <f>IF(Database!BN84="","",BDH("HSAHP Index","PX_LAST",Database!$H84,Database!$H84))</f>
        <v/>
      </c>
      <c r="S84" s="39">
        <f>IFERROR(BDP(TEXT(VALUE(Database!$A84),"0")&amp;" HK Equity","PX_TO_SALES_RATIO"),"")</f>
        <v/>
      </c>
      <c r="T84" s="34">
        <f>IF(Database!BN84="","",IFERROR(BDP(LEFT(Database!BN84,FIND(".",Database!BN84)-1)&amp;" CH Equity","CUR_MKT_CAP")*BDP("CNYHKD Curncy","PX_LAST"),"Awaiting quote"))</f>
        <v/>
      </c>
    </row>
    <row r="85" ht="23" customHeight="1">
      <c r="A85" s="32">
        <f>Database!A85&amp;"  "&amp;Database!B85</f>
        <v/>
      </c>
      <c r="B85" s="24">
        <f>IFERROR(INDEX(BDS(TEXT(VALUE(Database!$A85),"0")&amp;" HK Equity","EQUITY_OFFERINGS","array=t","endcol=1"),MATCH("IPO",BDS(TEXT(VALUE(Database!$A85),"0")&amp;" HK Equity","EQUITY_OFFERINGS","array=t","startcol=2","endcol=2"),0)),"")</f>
        <v/>
      </c>
      <c r="C85" s="208">
        <f>IF($B85="","",IFERROR(BDP($B85&amp;" Action","CP036"),""))</f>
        <v/>
      </c>
      <c r="D85" s="209">
        <f>Database!S85</f>
        <v/>
      </c>
      <c r="E85" s="208">
        <f>IF($B85="","",IFERROR(BDP($B85&amp;" Action","CP037"),""))</f>
        <v/>
      </c>
      <c r="F85" s="209">
        <f>Database!T85</f>
        <v/>
      </c>
      <c r="G85" s="208">
        <f>IF($B85="","",IFERROR(BDP($B85&amp;" Action","GREENSHOE_FACILITY"),""))</f>
        <v/>
      </c>
      <c r="H85" s="208">
        <f>IF($B85="","",IFERROR(BDP($B85&amp;" Action","OFFERING_GREENSHOE_SHARES_EX"),""))</f>
        <v/>
      </c>
      <c r="I85" s="32">
        <f>Database!AE85</f>
        <v/>
      </c>
      <c r="J85" s="39">
        <f>IFERROR(BDP(TEXT(VALUE(Database!$A85),"0")&amp;" HK Equity","PE_RATIO"),"")</f>
        <v/>
      </c>
      <c r="K85" s="24">
        <f>IFERROR(BDP(TEXT(VALUE(Database!$A85),"0")&amp;" HK Equity","A/H_SHARE_CONVERSION"),"")</f>
        <v/>
      </c>
      <c r="L85" s="32">
        <f>IF(Database!BN85="","(none found)",Database!BN85)</f>
        <v/>
      </c>
      <c r="M85" s="34">
        <f>BDH(TEXT(VALUE(Database!$A85),"0")&amp;" HK Equity","CUR_MKT_CAP",Database!$H85,Database!$H85)</f>
        <v/>
      </c>
      <c r="N85" s="166">
        <f>Database!Q85</f>
        <v/>
      </c>
      <c r="O85" s="39">
        <f>BDH(TEXT(VALUE(Database!$A85),"0")&amp;" HK Equity","PE_RATIO",Database!$H85,Database!$H85)</f>
        <v/>
      </c>
      <c r="P85" s="199">
        <f>IF(Database!BH85="","(n/m or not derivable)",Database!BH85)</f>
        <v/>
      </c>
      <c r="Q85" s="39">
        <f>IF(Database!BN85="","",BDH(LEFT(Database!BN85,FIND(".",Database!BN85)-1)&amp;" CH Equity","PE_RATIO",Database!$H85,Database!$H85))</f>
        <v/>
      </c>
      <c r="R85" s="39">
        <f>IF(Database!BN85="","",BDH("HSAHP Index","PX_LAST",Database!$H85,Database!$H85))</f>
        <v/>
      </c>
      <c r="S85" s="39">
        <f>IFERROR(BDP(TEXT(VALUE(Database!$A85),"0")&amp;" HK Equity","PX_TO_SALES_RATIO"),"")</f>
        <v/>
      </c>
      <c r="T85" s="34">
        <f>IF(Database!BN85="","",IFERROR(BDP(LEFT(Database!BN85,FIND(".",Database!BN85)-1)&amp;" CH Equity","CUR_MKT_CAP")*BDP("CNYHKD Curncy","PX_LAST"),"Awaiting quote"))</f>
        <v/>
      </c>
    </row>
    <row r="86" ht="23" customHeight="1">
      <c r="A86" s="32">
        <f>Database!A86&amp;"  "&amp;Database!B86</f>
        <v/>
      </c>
      <c r="B86" s="24">
        <f>IFERROR(INDEX(BDS(TEXT(VALUE(Database!$A86),"0")&amp;" HK Equity","EQUITY_OFFERINGS","array=t","endcol=1"),MATCH("IPO",BDS(TEXT(VALUE(Database!$A86),"0")&amp;" HK Equity","EQUITY_OFFERINGS","array=t","startcol=2","endcol=2"),0)),"")</f>
        <v/>
      </c>
      <c r="C86" s="208">
        <f>IF($B86="","",IFERROR(BDP($B86&amp;" Action","CP036"),""))</f>
        <v/>
      </c>
      <c r="D86" s="209">
        <f>Database!S86</f>
        <v/>
      </c>
      <c r="E86" s="208">
        <f>IF($B86="","",IFERROR(BDP($B86&amp;" Action","CP037"),""))</f>
        <v/>
      </c>
      <c r="F86" s="209">
        <f>Database!T86</f>
        <v/>
      </c>
      <c r="G86" s="208">
        <f>IF($B86="","",IFERROR(BDP($B86&amp;" Action","GREENSHOE_FACILITY"),""))</f>
        <v/>
      </c>
      <c r="H86" s="208">
        <f>IF($B86="","",IFERROR(BDP($B86&amp;" Action","OFFERING_GREENSHOE_SHARES_EX"),""))</f>
        <v/>
      </c>
      <c r="I86" s="32">
        <f>Database!AE86</f>
        <v/>
      </c>
      <c r="J86" s="39">
        <f>IFERROR(BDP(TEXT(VALUE(Database!$A86),"0")&amp;" HK Equity","PE_RATIO"),"")</f>
        <v/>
      </c>
      <c r="K86" s="24">
        <f>IFERROR(BDP(TEXT(VALUE(Database!$A86),"0")&amp;" HK Equity","A/H_SHARE_CONVERSION"),"")</f>
        <v/>
      </c>
      <c r="L86" s="32">
        <f>IF(Database!BN86="","(none found)",Database!BN86)</f>
        <v/>
      </c>
      <c r="M86" s="34">
        <f>BDH(TEXT(VALUE(Database!$A86),"0")&amp;" HK Equity","CUR_MKT_CAP",Database!$H86,Database!$H86)</f>
        <v/>
      </c>
      <c r="N86" s="166">
        <f>Database!Q86</f>
        <v/>
      </c>
      <c r="O86" s="39">
        <f>BDH(TEXT(VALUE(Database!$A86),"0")&amp;" HK Equity","PE_RATIO",Database!$H86,Database!$H86)</f>
        <v/>
      </c>
      <c r="P86" s="199">
        <f>IF(Database!BH86="","(n/m or not derivable)",Database!BH86)</f>
        <v/>
      </c>
      <c r="Q86" s="39">
        <f>IF(Database!BN86="","",BDH(LEFT(Database!BN86,FIND(".",Database!BN86)-1)&amp;" CH Equity","PE_RATIO",Database!$H86,Database!$H86))</f>
        <v/>
      </c>
      <c r="R86" s="39">
        <f>IF(Database!BN86="","",BDH("HSAHP Index","PX_LAST",Database!$H86,Database!$H86))</f>
        <v/>
      </c>
      <c r="S86" s="39">
        <f>IFERROR(BDP(TEXT(VALUE(Database!$A86),"0")&amp;" HK Equity","PX_TO_SALES_RATIO"),"")</f>
        <v/>
      </c>
      <c r="T86" s="34">
        <f>IF(Database!BN86="","",IFERROR(BDP(LEFT(Database!BN86,FIND(".",Database!BN86)-1)&amp;" CH Equity","CUR_MKT_CAP")*BDP("CNYHKD Curncy","PX_LAST"),"Awaiting quote"))</f>
        <v/>
      </c>
    </row>
    <row r="87" ht="23" customHeight="1">
      <c r="A87" s="32">
        <f>Database!A87&amp;"  "&amp;Database!B87</f>
        <v/>
      </c>
      <c r="B87" s="24">
        <f>IFERROR(INDEX(BDS(TEXT(VALUE(Database!$A87),"0")&amp;" HK Equity","EQUITY_OFFERINGS","array=t","endcol=1"),MATCH("IPO",BDS(TEXT(VALUE(Database!$A87),"0")&amp;" HK Equity","EQUITY_OFFERINGS","array=t","startcol=2","endcol=2"),0)),"")</f>
        <v/>
      </c>
      <c r="C87" s="208">
        <f>IF($B87="","",IFERROR(BDP($B87&amp;" Action","CP036"),""))</f>
        <v/>
      </c>
      <c r="D87" s="209">
        <f>Database!S87</f>
        <v/>
      </c>
      <c r="E87" s="208">
        <f>IF($B87="","",IFERROR(BDP($B87&amp;" Action","CP037"),""))</f>
        <v/>
      </c>
      <c r="F87" s="209">
        <f>Database!T87</f>
        <v/>
      </c>
      <c r="G87" s="208">
        <f>IF($B87="","",IFERROR(BDP($B87&amp;" Action","GREENSHOE_FACILITY"),""))</f>
        <v/>
      </c>
      <c r="H87" s="208">
        <f>IF($B87="","",IFERROR(BDP($B87&amp;" Action","OFFERING_GREENSHOE_SHARES_EX"),""))</f>
        <v/>
      </c>
      <c r="I87" s="32">
        <f>Database!AE87</f>
        <v/>
      </c>
      <c r="J87" s="39">
        <f>IFERROR(BDP(TEXT(VALUE(Database!$A87),"0")&amp;" HK Equity","PE_RATIO"),"")</f>
        <v/>
      </c>
      <c r="K87" s="24">
        <f>IFERROR(BDP(TEXT(VALUE(Database!$A87),"0")&amp;" HK Equity","A/H_SHARE_CONVERSION"),"")</f>
        <v/>
      </c>
      <c r="L87" s="32">
        <f>IF(Database!BN87="","(none found)",Database!BN87)</f>
        <v/>
      </c>
      <c r="M87" s="34">
        <f>BDH(TEXT(VALUE(Database!$A87),"0")&amp;" HK Equity","CUR_MKT_CAP",Database!$H87,Database!$H87)</f>
        <v/>
      </c>
      <c r="N87" s="166">
        <f>Database!Q87</f>
        <v/>
      </c>
      <c r="O87" s="39">
        <f>BDH(TEXT(VALUE(Database!$A87),"0")&amp;" HK Equity","PE_RATIO",Database!$H87,Database!$H87)</f>
        <v/>
      </c>
      <c r="P87" s="199">
        <f>IF(Database!BH87="","(n/m or not derivable)",Database!BH87)</f>
        <v/>
      </c>
      <c r="Q87" s="39">
        <f>IF(Database!BN87="","",BDH(LEFT(Database!BN87,FIND(".",Database!BN87)-1)&amp;" CH Equity","PE_RATIO",Database!$H87,Database!$H87))</f>
        <v/>
      </c>
      <c r="R87" s="39">
        <f>IF(Database!BN87="","",BDH("HSAHP Index","PX_LAST",Database!$H87,Database!$H87))</f>
        <v/>
      </c>
      <c r="S87" s="39">
        <f>IFERROR(BDP(TEXT(VALUE(Database!$A87),"0")&amp;" HK Equity","PX_TO_SALES_RATIO"),"")</f>
        <v/>
      </c>
      <c r="T87" s="34">
        <f>IF(Database!BN87="","",IFERROR(BDP(LEFT(Database!BN87,FIND(".",Database!BN87)-1)&amp;" CH Equity","CUR_MKT_CAP")*BDP("CNYHKD Curncy","PX_LAST"),"Awaiting quote"))</f>
        <v/>
      </c>
    </row>
    <row r="88" ht="23" customHeight="1">
      <c r="A88" s="32">
        <f>Database!A88&amp;"  "&amp;Database!B88</f>
        <v/>
      </c>
      <c r="B88" s="24">
        <f>IFERROR(INDEX(BDS(TEXT(VALUE(Database!$A88),"0")&amp;" HK Equity","EQUITY_OFFERINGS","array=t","endcol=1"),MATCH("IPO",BDS(TEXT(VALUE(Database!$A88),"0")&amp;" HK Equity","EQUITY_OFFERINGS","array=t","startcol=2","endcol=2"),0)),"")</f>
        <v/>
      </c>
      <c r="C88" s="208">
        <f>IF($B88="","",IFERROR(BDP($B88&amp;" Action","CP036"),""))</f>
        <v/>
      </c>
      <c r="D88" s="209">
        <f>Database!S88</f>
        <v/>
      </c>
      <c r="E88" s="208">
        <f>IF($B88="","",IFERROR(BDP($B88&amp;" Action","CP037"),""))</f>
        <v/>
      </c>
      <c r="F88" s="209">
        <f>Database!T88</f>
        <v/>
      </c>
      <c r="G88" s="208">
        <f>IF($B88="","",IFERROR(BDP($B88&amp;" Action","GREENSHOE_FACILITY"),""))</f>
        <v/>
      </c>
      <c r="H88" s="208">
        <f>IF($B88="","",IFERROR(BDP($B88&amp;" Action","OFFERING_GREENSHOE_SHARES_EX"),""))</f>
        <v/>
      </c>
      <c r="I88" s="32">
        <f>Database!AE88</f>
        <v/>
      </c>
      <c r="J88" s="39">
        <f>IFERROR(BDP(TEXT(VALUE(Database!$A88),"0")&amp;" HK Equity","PE_RATIO"),"")</f>
        <v/>
      </c>
      <c r="K88" s="24">
        <f>IFERROR(BDP(TEXT(VALUE(Database!$A88),"0")&amp;" HK Equity","A/H_SHARE_CONVERSION"),"")</f>
        <v/>
      </c>
      <c r="L88" s="32">
        <f>IF(Database!BN88="","(none found)",Database!BN88)</f>
        <v/>
      </c>
      <c r="M88" s="34">
        <f>BDH(TEXT(VALUE(Database!$A88),"0")&amp;" HK Equity","CUR_MKT_CAP",Database!$H88,Database!$H88)</f>
        <v/>
      </c>
      <c r="N88" s="166">
        <f>Database!Q88</f>
        <v/>
      </c>
      <c r="O88" s="39">
        <f>BDH(TEXT(VALUE(Database!$A88),"0")&amp;" HK Equity","PE_RATIO",Database!$H88,Database!$H88)</f>
        <v/>
      </c>
      <c r="P88" s="199">
        <f>IF(Database!BH88="","(n/m or not derivable)",Database!BH88)</f>
        <v/>
      </c>
      <c r="Q88" s="39">
        <f>IF(Database!BN88="","",BDH(LEFT(Database!BN88,FIND(".",Database!BN88)-1)&amp;" CH Equity","PE_RATIO",Database!$H88,Database!$H88))</f>
        <v/>
      </c>
      <c r="R88" s="39">
        <f>IF(Database!BN88="","",BDH("HSAHP Index","PX_LAST",Database!$H88,Database!$H88))</f>
        <v/>
      </c>
      <c r="S88" s="39">
        <f>IFERROR(BDP(TEXT(VALUE(Database!$A88),"0")&amp;" HK Equity","PX_TO_SALES_RATIO"),"")</f>
        <v/>
      </c>
      <c r="T88" s="34">
        <f>IF(Database!BN88="","",IFERROR(BDP(LEFT(Database!BN88,FIND(".",Database!BN88)-1)&amp;" CH Equity","CUR_MKT_CAP")*BDP("CNYHKD Curncy","PX_LAST"),"Awaiting quote"))</f>
        <v/>
      </c>
    </row>
    <row r="89" ht="23" customHeight="1">
      <c r="A89" s="32">
        <f>Database!A89&amp;"  "&amp;Database!B89</f>
        <v/>
      </c>
      <c r="B89" s="24">
        <f>IFERROR(INDEX(BDS(TEXT(VALUE(Database!$A89),"0")&amp;" HK Equity","EQUITY_OFFERINGS","array=t","endcol=1"),MATCH("IPO",BDS(TEXT(VALUE(Database!$A89),"0")&amp;" HK Equity","EQUITY_OFFERINGS","array=t","startcol=2","endcol=2"),0)),"")</f>
        <v/>
      </c>
      <c r="C89" s="208">
        <f>IF($B89="","",IFERROR(BDP($B89&amp;" Action","CP036"),""))</f>
        <v/>
      </c>
      <c r="D89" s="209">
        <f>Database!S89</f>
        <v/>
      </c>
      <c r="E89" s="208">
        <f>IF($B89="","",IFERROR(BDP($B89&amp;" Action","CP037"),""))</f>
        <v/>
      </c>
      <c r="F89" s="209">
        <f>Database!T89</f>
        <v/>
      </c>
      <c r="G89" s="208">
        <f>IF($B89="","",IFERROR(BDP($B89&amp;" Action","GREENSHOE_FACILITY"),""))</f>
        <v/>
      </c>
      <c r="H89" s="208">
        <f>IF($B89="","",IFERROR(BDP($B89&amp;" Action","OFFERING_GREENSHOE_SHARES_EX"),""))</f>
        <v/>
      </c>
      <c r="I89" s="32">
        <f>Database!AE89</f>
        <v/>
      </c>
      <c r="J89" s="39">
        <f>IFERROR(BDP(TEXT(VALUE(Database!$A89),"0")&amp;" HK Equity","PE_RATIO"),"")</f>
        <v/>
      </c>
      <c r="K89" s="24">
        <f>IFERROR(BDP(TEXT(VALUE(Database!$A89),"0")&amp;" HK Equity","A/H_SHARE_CONVERSION"),"")</f>
        <v/>
      </c>
      <c r="L89" s="32">
        <f>IF(Database!BN89="","(none found)",Database!BN89)</f>
        <v/>
      </c>
      <c r="M89" s="34">
        <f>BDH(TEXT(VALUE(Database!$A89),"0")&amp;" HK Equity","CUR_MKT_CAP",Database!$H89,Database!$H89)</f>
        <v/>
      </c>
      <c r="N89" s="166">
        <f>Database!Q89</f>
        <v/>
      </c>
      <c r="O89" s="39">
        <f>BDH(TEXT(VALUE(Database!$A89),"0")&amp;" HK Equity","PE_RATIO",Database!$H89,Database!$H89)</f>
        <v/>
      </c>
      <c r="P89" s="199">
        <f>IF(Database!BH89="","(n/m or not derivable)",Database!BH89)</f>
        <v/>
      </c>
      <c r="Q89" s="39">
        <f>IF(Database!BN89="","",BDH(LEFT(Database!BN89,FIND(".",Database!BN89)-1)&amp;" CH Equity","PE_RATIO",Database!$H89,Database!$H89))</f>
        <v/>
      </c>
      <c r="R89" s="39">
        <f>IF(Database!BN89="","",BDH("HSAHP Index","PX_LAST",Database!$H89,Database!$H89))</f>
        <v/>
      </c>
      <c r="S89" s="39">
        <f>IFERROR(BDP(TEXT(VALUE(Database!$A89),"0")&amp;" HK Equity","PX_TO_SALES_RATIO"),"")</f>
        <v/>
      </c>
      <c r="T89" s="34">
        <f>IF(Database!BN89="","",IFERROR(BDP(LEFT(Database!BN89,FIND(".",Database!BN89)-1)&amp;" CH Equity","CUR_MKT_CAP")*BDP("CNYHKD Curncy","PX_LAST"),"Awaiting quote"))</f>
        <v/>
      </c>
    </row>
    <row r="90" ht="23" customHeight="1">
      <c r="A90" s="32">
        <f>Database!A90&amp;"  "&amp;Database!B90</f>
        <v/>
      </c>
      <c r="B90" s="24">
        <f>IFERROR(INDEX(BDS(TEXT(VALUE(Database!$A90),"0")&amp;" HK Equity","EQUITY_OFFERINGS","array=t","endcol=1"),MATCH("IPO",BDS(TEXT(VALUE(Database!$A90),"0")&amp;" HK Equity","EQUITY_OFFERINGS","array=t","startcol=2","endcol=2"),0)),"")</f>
        <v/>
      </c>
      <c r="C90" s="208">
        <f>IF($B90="","",IFERROR(BDP($B90&amp;" Action","CP036"),""))</f>
        <v/>
      </c>
      <c r="D90" s="209">
        <f>Database!S90</f>
        <v/>
      </c>
      <c r="E90" s="208">
        <f>IF($B90="","",IFERROR(BDP($B90&amp;" Action","CP037"),""))</f>
        <v/>
      </c>
      <c r="F90" s="209">
        <f>Database!T90</f>
        <v/>
      </c>
      <c r="G90" s="208">
        <f>IF($B90="","",IFERROR(BDP($B90&amp;" Action","GREENSHOE_FACILITY"),""))</f>
        <v/>
      </c>
      <c r="H90" s="208">
        <f>IF($B90="","",IFERROR(BDP($B90&amp;" Action","OFFERING_GREENSHOE_SHARES_EX"),""))</f>
        <v/>
      </c>
      <c r="I90" s="32">
        <f>Database!AE90</f>
        <v/>
      </c>
      <c r="J90" s="39">
        <f>IFERROR(BDP(TEXT(VALUE(Database!$A90),"0")&amp;" HK Equity","PE_RATIO"),"")</f>
        <v/>
      </c>
      <c r="K90" s="24">
        <f>IFERROR(BDP(TEXT(VALUE(Database!$A90),"0")&amp;" HK Equity","A/H_SHARE_CONVERSION"),"")</f>
        <v/>
      </c>
      <c r="L90" s="32">
        <f>IF(Database!BN90="","(none found)",Database!BN90)</f>
        <v/>
      </c>
      <c r="M90" s="34">
        <f>BDH(TEXT(VALUE(Database!$A90),"0")&amp;" HK Equity","CUR_MKT_CAP",Database!$H90,Database!$H90)</f>
        <v/>
      </c>
      <c r="N90" s="166">
        <f>Database!Q90</f>
        <v/>
      </c>
      <c r="O90" s="39">
        <f>BDH(TEXT(VALUE(Database!$A90),"0")&amp;" HK Equity","PE_RATIO",Database!$H90,Database!$H90)</f>
        <v/>
      </c>
      <c r="P90" s="199">
        <f>IF(Database!BH90="","(n/m or not derivable)",Database!BH90)</f>
        <v/>
      </c>
      <c r="Q90" s="39">
        <f>IF(Database!BN90="","",BDH(LEFT(Database!BN90,FIND(".",Database!BN90)-1)&amp;" CH Equity","PE_RATIO",Database!$H90,Database!$H90))</f>
        <v/>
      </c>
      <c r="R90" s="39">
        <f>IF(Database!BN90="","",BDH("HSAHP Index","PX_LAST",Database!$H90,Database!$H90))</f>
        <v/>
      </c>
      <c r="S90" s="39">
        <f>IFERROR(BDP(TEXT(VALUE(Database!$A90),"0")&amp;" HK Equity","PX_TO_SALES_RATIO"),"")</f>
        <v/>
      </c>
      <c r="T90" s="34">
        <f>IF(Database!BN90="","",IFERROR(BDP(LEFT(Database!BN90,FIND(".",Database!BN90)-1)&amp;" CH Equity","CUR_MKT_CAP")*BDP("CNYHKD Curncy","PX_LAST"),"Awaiting quote"))</f>
        <v/>
      </c>
    </row>
    <row r="91" ht="23" customHeight="1">
      <c r="A91" s="32">
        <f>Database!A91&amp;"  "&amp;Database!B91</f>
        <v/>
      </c>
      <c r="B91" s="24">
        <f>IFERROR(INDEX(BDS(TEXT(VALUE(Database!$A91),"0")&amp;" HK Equity","EQUITY_OFFERINGS","array=t","endcol=1"),MATCH("IPO",BDS(TEXT(VALUE(Database!$A91),"0")&amp;" HK Equity","EQUITY_OFFERINGS","array=t","startcol=2","endcol=2"),0)),"")</f>
        <v/>
      </c>
      <c r="C91" s="208">
        <f>IF($B91="","",IFERROR(BDP($B91&amp;" Action","CP036"),""))</f>
        <v/>
      </c>
      <c r="D91" s="209">
        <f>Database!S91</f>
        <v/>
      </c>
      <c r="E91" s="208">
        <f>IF($B91="","",IFERROR(BDP($B91&amp;" Action","CP037"),""))</f>
        <v/>
      </c>
      <c r="F91" s="209">
        <f>Database!T91</f>
        <v/>
      </c>
      <c r="G91" s="208">
        <f>IF($B91="","",IFERROR(BDP($B91&amp;" Action","GREENSHOE_FACILITY"),""))</f>
        <v/>
      </c>
      <c r="H91" s="208">
        <f>IF($B91="","",IFERROR(BDP($B91&amp;" Action","OFFERING_GREENSHOE_SHARES_EX"),""))</f>
        <v/>
      </c>
      <c r="I91" s="32">
        <f>Database!AE91</f>
        <v/>
      </c>
      <c r="J91" s="39">
        <f>IFERROR(BDP(TEXT(VALUE(Database!$A91),"0")&amp;" HK Equity","PE_RATIO"),"")</f>
        <v/>
      </c>
      <c r="K91" s="24">
        <f>IFERROR(BDP(TEXT(VALUE(Database!$A91),"0")&amp;" HK Equity","A/H_SHARE_CONVERSION"),"")</f>
        <v/>
      </c>
      <c r="L91" s="32">
        <f>IF(Database!BN91="","(none found)",Database!BN91)</f>
        <v/>
      </c>
      <c r="M91" s="34">
        <f>BDH(TEXT(VALUE(Database!$A91),"0")&amp;" HK Equity","CUR_MKT_CAP",Database!$H91,Database!$H91)</f>
        <v/>
      </c>
      <c r="N91" s="166">
        <f>Database!Q91</f>
        <v/>
      </c>
      <c r="O91" s="39">
        <f>BDH(TEXT(VALUE(Database!$A91),"0")&amp;" HK Equity","PE_RATIO",Database!$H91,Database!$H91)</f>
        <v/>
      </c>
      <c r="P91" s="199">
        <f>IF(Database!BH91="","(n/m or not derivable)",Database!BH91)</f>
        <v/>
      </c>
      <c r="Q91" s="39">
        <f>IF(Database!BN91="","",BDH(LEFT(Database!BN91,FIND(".",Database!BN91)-1)&amp;" CH Equity","PE_RATIO",Database!$H91,Database!$H91))</f>
        <v/>
      </c>
      <c r="R91" s="39">
        <f>IF(Database!BN91="","",BDH("HSAHP Index","PX_LAST",Database!$H91,Database!$H91))</f>
        <v/>
      </c>
      <c r="S91" s="39">
        <f>IFERROR(BDP(TEXT(VALUE(Database!$A91),"0")&amp;" HK Equity","PX_TO_SALES_RATIO"),"")</f>
        <v/>
      </c>
      <c r="T91" s="34">
        <f>IF(Database!BN91="","",IFERROR(BDP(LEFT(Database!BN91,FIND(".",Database!BN91)-1)&amp;" CH Equity","CUR_MKT_CAP")*BDP("CNYHKD Curncy","PX_LAST"),"Awaiting quote"))</f>
        <v/>
      </c>
    </row>
    <row r="92" ht="23" customHeight="1">
      <c r="A92" s="32">
        <f>Database!A92&amp;"  "&amp;Database!B92</f>
        <v/>
      </c>
      <c r="B92" s="24">
        <f>IFERROR(INDEX(BDS(TEXT(VALUE(Database!$A92),"0")&amp;" HK Equity","EQUITY_OFFERINGS","array=t","endcol=1"),MATCH("IPO",BDS(TEXT(VALUE(Database!$A92),"0")&amp;" HK Equity","EQUITY_OFFERINGS","array=t","startcol=2","endcol=2"),0)),"")</f>
        <v/>
      </c>
      <c r="C92" s="208">
        <f>IF($B92="","",IFERROR(BDP($B92&amp;" Action","CP036"),""))</f>
        <v/>
      </c>
      <c r="D92" s="209">
        <f>Database!S92</f>
        <v/>
      </c>
      <c r="E92" s="208">
        <f>IF($B92="","",IFERROR(BDP($B92&amp;" Action","CP037"),""))</f>
        <v/>
      </c>
      <c r="F92" s="209">
        <f>Database!T92</f>
        <v/>
      </c>
      <c r="G92" s="208">
        <f>IF($B92="","",IFERROR(BDP($B92&amp;" Action","GREENSHOE_FACILITY"),""))</f>
        <v/>
      </c>
      <c r="H92" s="208">
        <f>IF($B92="","",IFERROR(BDP($B92&amp;" Action","OFFERING_GREENSHOE_SHARES_EX"),""))</f>
        <v/>
      </c>
      <c r="I92" s="32">
        <f>Database!AE92</f>
        <v/>
      </c>
      <c r="J92" s="39">
        <f>IFERROR(BDP(TEXT(VALUE(Database!$A92),"0")&amp;" HK Equity","PE_RATIO"),"")</f>
        <v/>
      </c>
      <c r="K92" s="24">
        <f>IFERROR(BDP(TEXT(VALUE(Database!$A92),"0")&amp;" HK Equity","A/H_SHARE_CONVERSION"),"")</f>
        <v/>
      </c>
      <c r="L92" s="32">
        <f>IF(Database!BN92="","(none found)",Database!BN92)</f>
        <v/>
      </c>
      <c r="M92" s="34">
        <f>BDH(TEXT(VALUE(Database!$A92),"0")&amp;" HK Equity","CUR_MKT_CAP",Database!$H92,Database!$H92)</f>
        <v/>
      </c>
      <c r="N92" s="166">
        <f>Database!Q92</f>
        <v/>
      </c>
      <c r="O92" s="39">
        <f>BDH(TEXT(VALUE(Database!$A92),"0")&amp;" HK Equity","PE_RATIO",Database!$H92,Database!$H92)</f>
        <v/>
      </c>
      <c r="P92" s="199">
        <f>IF(Database!BH92="","(n/m or not derivable)",Database!BH92)</f>
        <v/>
      </c>
      <c r="Q92" s="39">
        <f>IF(Database!BN92="","",BDH(LEFT(Database!BN92,FIND(".",Database!BN92)-1)&amp;" CH Equity","PE_RATIO",Database!$H92,Database!$H92))</f>
        <v/>
      </c>
      <c r="R92" s="39">
        <f>IF(Database!BN92="","",BDH("HSAHP Index","PX_LAST",Database!$H92,Database!$H92))</f>
        <v/>
      </c>
      <c r="S92" s="39">
        <f>IFERROR(BDP(TEXT(VALUE(Database!$A92),"0")&amp;" HK Equity","PX_TO_SALES_RATIO"),"")</f>
        <v/>
      </c>
      <c r="T92" s="34">
        <f>IF(Database!BN92="","",IFERROR(BDP(LEFT(Database!BN92,FIND(".",Database!BN92)-1)&amp;" CH Equity","CUR_MKT_CAP")*BDP("CNYHKD Curncy","PX_LAST"),"Awaiting quote"))</f>
        <v/>
      </c>
    </row>
    <row r="93" ht="23" customHeight="1">
      <c r="A93" s="32">
        <f>Database!A93&amp;"  "&amp;Database!B93</f>
        <v/>
      </c>
      <c r="B93" s="24">
        <f>IFERROR(INDEX(BDS(TEXT(VALUE(Database!$A93),"0")&amp;" HK Equity","EQUITY_OFFERINGS","array=t","endcol=1"),MATCH("IPO",BDS(TEXT(VALUE(Database!$A93),"0")&amp;" HK Equity","EQUITY_OFFERINGS","array=t","startcol=2","endcol=2"),0)),"")</f>
        <v/>
      </c>
      <c r="C93" s="208">
        <f>IF($B93="","",IFERROR(BDP($B93&amp;" Action","CP036"),""))</f>
        <v/>
      </c>
      <c r="D93" s="209">
        <f>Database!S93</f>
        <v/>
      </c>
      <c r="E93" s="208">
        <f>IF($B93="","",IFERROR(BDP($B93&amp;" Action","CP037"),""))</f>
        <v/>
      </c>
      <c r="F93" s="209">
        <f>Database!T93</f>
        <v/>
      </c>
      <c r="G93" s="208">
        <f>IF($B93="","",IFERROR(BDP($B93&amp;" Action","GREENSHOE_FACILITY"),""))</f>
        <v/>
      </c>
      <c r="H93" s="208">
        <f>IF($B93="","",IFERROR(BDP($B93&amp;" Action","OFFERING_GREENSHOE_SHARES_EX"),""))</f>
        <v/>
      </c>
      <c r="I93" s="32">
        <f>Database!AE93</f>
        <v/>
      </c>
      <c r="J93" s="39">
        <f>IFERROR(BDP(TEXT(VALUE(Database!$A93),"0")&amp;" HK Equity","PE_RATIO"),"")</f>
        <v/>
      </c>
      <c r="K93" s="24">
        <f>IFERROR(BDP(TEXT(VALUE(Database!$A93),"0")&amp;" HK Equity","A/H_SHARE_CONVERSION"),"")</f>
        <v/>
      </c>
      <c r="L93" s="32">
        <f>IF(Database!BN93="","(none found)",Database!BN93)</f>
        <v/>
      </c>
      <c r="M93" s="34">
        <f>BDH(TEXT(VALUE(Database!$A93),"0")&amp;" HK Equity","CUR_MKT_CAP",Database!$H93,Database!$H93)</f>
        <v/>
      </c>
      <c r="N93" s="166">
        <f>Database!Q93</f>
        <v/>
      </c>
      <c r="O93" s="39">
        <f>BDH(TEXT(VALUE(Database!$A93),"0")&amp;" HK Equity","PE_RATIO",Database!$H93,Database!$H93)</f>
        <v/>
      </c>
      <c r="P93" s="199">
        <f>IF(Database!BH93="","(n/m or not derivable)",Database!BH93)</f>
        <v/>
      </c>
      <c r="Q93" s="39">
        <f>IF(Database!BN93="","",BDH(LEFT(Database!BN93,FIND(".",Database!BN93)-1)&amp;" CH Equity","PE_RATIO",Database!$H93,Database!$H93))</f>
        <v/>
      </c>
      <c r="R93" s="39">
        <f>IF(Database!BN93="","",BDH("HSAHP Index","PX_LAST",Database!$H93,Database!$H93))</f>
        <v/>
      </c>
      <c r="S93" s="39">
        <f>IFERROR(BDP(TEXT(VALUE(Database!$A93),"0")&amp;" HK Equity","PX_TO_SALES_RATIO"),"")</f>
        <v/>
      </c>
      <c r="T93" s="34">
        <f>IF(Database!BN93="","",IFERROR(BDP(LEFT(Database!BN93,FIND(".",Database!BN93)-1)&amp;" CH Equity","CUR_MKT_CAP")*BDP("CNYHKD Curncy","PX_LAST"),"Awaiting quote"))</f>
        <v/>
      </c>
    </row>
    <row r="94" ht="23" customHeight="1">
      <c r="A94" s="32">
        <f>Database!A94&amp;"  "&amp;Database!B94</f>
        <v/>
      </c>
      <c r="B94" s="24">
        <f>IFERROR(INDEX(BDS(TEXT(VALUE(Database!$A94),"0")&amp;" HK Equity","EQUITY_OFFERINGS","array=t","endcol=1"),MATCH("IPO",BDS(TEXT(VALUE(Database!$A94),"0")&amp;" HK Equity","EQUITY_OFFERINGS","array=t","startcol=2","endcol=2"),0)),"")</f>
        <v/>
      </c>
      <c r="C94" s="208">
        <f>IF($B94="","",IFERROR(BDP($B94&amp;" Action","CP036"),""))</f>
        <v/>
      </c>
      <c r="D94" s="209">
        <f>Database!S94</f>
        <v/>
      </c>
      <c r="E94" s="208">
        <f>IF($B94="","",IFERROR(BDP($B94&amp;" Action","CP037"),""))</f>
        <v/>
      </c>
      <c r="F94" s="209">
        <f>Database!T94</f>
        <v/>
      </c>
      <c r="G94" s="208">
        <f>IF($B94="","",IFERROR(BDP($B94&amp;" Action","GREENSHOE_FACILITY"),""))</f>
        <v/>
      </c>
      <c r="H94" s="208">
        <f>IF($B94="","",IFERROR(BDP($B94&amp;" Action","OFFERING_GREENSHOE_SHARES_EX"),""))</f>
        <v/>
      </c>
      <c r="I94" s="32">
        <f>Database!AE94</f>
        <v/>
      </c>
      <c r="J94" s="39">
        <f>IFERROR(BDP(TEXT(VALUE(Database!$A94),"0")&amp;" HK Equity","PE_RATIO"),"")</f>
        <v/>
      </c>
      <c r="K94" s="24">
        <f>IFERROR(BDP(TEXT(VALUE(Database!$A94),"0")&amp;" HK Equity","A/H_SHARE_CONVERSION"),"")</f>
        <v/>
      </c>
      <c r="L94" s="32">
        <f>IF(Database!BN94="","(none found)",Database!BN94)</f>
        <v/>
      </c>
      <c r="M94" s="34">
        <f>BDH(TEXT(VALUE(Database!$A94),"0")&amp;" HK Equity","CUR_MKT_CAP",Database!$H94,Database!$H94)</f>
        <v/>
      </c>
      <c r="N94" s="166">
        <f>Database!Q94</f>
        <v/>
      </c>
      <c r="O94" s="39">
        <f>BDH(TEXT(VALUE(Database!$A94),"0")&amp;" HK Equity","PE_RATIO",Database!$H94,Database!$H94)</f>
        <v/>
      </c>
      <c r="P94" s="199">
        <f>IF(Database!BH94="","(n/m or not derivable)",Database!BH94)</f>
        <v/>
      </c>
      <c r="Q94" s="39">
        <f>IF(Database!BN94="","",BDH(LEFT(Database!BN94,FIND(".",Database!BN94)-1)&amp;" CH Equity","PE_RATIO",Database!$H94,Database!$H94))</f>
        <v/>
      </c>
      <c r="R94" s="39">
        <f>IF(Database!BN94="","",BDH("HSAHP Index","PX_LAST",Database!$H94,Database!$H94))</f>
        <v/>
      </c>
      <c r="S94" s="39">
        <f>IFERROR(BDP(TEXT(VALUE(Database!$A94),"0")&amp;" HK Equity","PX_TO_SALES_RATIO"),"")</f>
        <v/>
      </c>
      <c r="T94" s="34">
        <f>IF(Database!BN94="","",IFERROR(BDP(LEFT(Database!BN94,FIND(".",Database!BN94)-1)&amp;" CH Equity","CUR_MKT_CAP")*BDP("CNYHKD Curncy","PX_LAST"),"Awaiting quote"))</f>
        <v/>
      </c>
    </row>
    <row r="95" ht="23" customHeight="1">
      <c r="A95" s="32">
        <f>Database!A95&amp;"  "&amp;Database!B95</f>
        <v/>
      </c>
      <c r="B95" s="24">
        <f>IFERROR(INDEX(BDS(TEXT(VALUE(Database!$A95),"0")&amp;" HK Equity","EQUITY_OFFERINGS","array=t","endcol=1"),MATCH("IPO",BDS(TEXT(VALUE(Database!$A95),"0")&amp;" HK Equity","EQUITY_OFFERINGS","array=t","startcol=2","endcol=2"),0)),"")</f>
        <v/>
      </c>
      <c r="C95" s="208">
        <f>IF($B95="","",IFERROR(BDP($B95&amp;" Action","CP036"),""))</f>
        <v/>
      </c>
      <c r="D95" s="209">
        <f>Database!S95</f>
        <v/>
      </c>
      <c r="E95" s="208">
        <f>IF($B95="","",IFERROR(BDP($B95&amp;" Action","CP037"),""))</f>
        <v/>
      </c>
      <c r="F95" s="209">
        <f>Database!T95</f>
        <v/>
      </c>
      <c r="G95" s="208">
        <f>IF($B95="","",IFERROR(BDP($B95&amp;" Action","GREENSHOE_FACILITY"),""))</f>
        <v/>
      </c>
      <c r="H95" s="208">
        <f>IF($B95="","",IFERROR(BDP($B95&amp;" Action","OFFERING_GREENSHOE_SHARES_EX"),""))</f>
        <v/>
      </c>
      <c r="I95" s="32">
        <f>Database!AE95</f>
        <v/>
      </c>
      <c r="J95" s="39">
        <f>IFERROR(BDP(TEXT(VALUE(Database!$A95),"0")&amp;" HK Equity","PE_RATIO"),"")</f>
        <v/>
      </c>
      <c r="K95" s="24">
        <f>IFERROR(BDP(TEXT(VALUE(Database!$A95),"0")&amp;" HK Equity","A/H_SHARE_CONVERSION"),"")</f>
        <v/>
      </c>
      <c r="L95" s="32">
        <f>IF(Database!BN95="","(none found)",Database!BN95)</f>
        <v/>
      </c>
      <c r="M95" s="34">
        <f>BDH(TEXT(VALUE(Database!$A95),"0")&amp;" HK Equity","CUR_MKT_CAP",Database!$H95,Database!$H95)</f>
        <v/>
      </c>
      <c r="N95" s="166">
        <f>Database!Q95</f>
        <v/>
      </c>
      <c r="O95" s="39">
        <f>BDH(TEXT(VALUE(Database!$A95),"0")&amp;" HK Equity","PE_RATIO",Database!$H95,Database!$H95)</f>
        <v/>
      </c>
      <c r="P95" s="199">
        <f>IF(Database!BH95="","(n/m or not derivable)",Database!BH95)</f>
        <v/>
      </c>
      <c r="Q95" s="39">
        <f>IF(Database!BN95="","",BDH(LEFT(Database!BN95,FIND(".",Database!BN95)-1)&amp;" CH Equity","PE_RATIO",Database!$H95,Database!$H95))</f>
        <v/>
      </c>
      <c r="R95" s="39">
        <f>IF(Database!BN95="","",BDH("HSAHP Index","PX_LAST",Database!$H95,Database!$H95))</f>
        <v/>
      </c>
      <c r="S95" s="39">
        <f>IFERROR(BDP(TEXT(VALUE(Database!$A95),"0")&amp;" HK Equity","PX_TO_SALES_RATIO"),"")</f>
        <v/>
      </c>
      <c r="T95" s="34">
        <f>IF(Database!BN95="","",IFERROR(BDP(LEFT(Database!BN95,FIND(".",Database!BN95)-1)&amp;" CH Equity","CUR_MKT_CAP")*BDP("CNYHKD Curncy","PX_LAST"),"Awaiting quote"))</f>
        <v/>
      </c>
    </row>
    <row r="96" ht="23" customHeight="1">
      <c r="A96" s="32">
        <f>Database!A96&amp;"  "&amp;Database!B96</f>
        <v/>
      </c>
      <c r="B96" s="24">
        <f>IFERROR(INDEX(BDS(TEXT(VALUE(Database!$A96),"0")&amp;" HK Equity","EQUITY_OFFERINGS","array=t","endcol=1"),MATCH("IPO",BDS(TEXT(VALUE(Database!$A96),"0")&amp;" HK Equity","EQUITY_OFFERINGS","array=t","startcol=2","endcol=2"),0)),"")</f>
        <v/>
      </c>
      <c r="C96" s="208">
        <f>IF($B96="","",IFERROR(BDP($B96&amp;" Action","CP036"),""))</f>
        <v/>
      </c>
      <c r="D96" s="209">
        <f>Database!S96</f>
        <v/>
      </c>
      <c r="E96" s="208">
        <f>IF($B96="","",IFERROR(BDP($B96&amp;" Action","CP037"),""))</f>
        <v/>
      </c>
      <c r="F96" s="209">
        <f>Database!T96</f>
        <v/>
      </c>
      <c r="G96" s="208">
        <f>IF($B96="","",IFERROR(BDP($B96&amp;" Action","GREENSHOE_FACILITY"),""))</f>
        <v/>
      </c>
      <c r="H96" s="208">
        <f>IF($B96="","",IFERROR(BDP($B96&amp;" Action","OFFERING_GREENSHOE_SHARES_EX"),""))</f>
        <v/>
      </c>
      <c r="I96" s="32">
        <f>Database!AE96</f>
        <v/>
      </c>
      <c r="J96" s="39">
        <f>IFERROR(BDP(TEXT(VALUE(Database!$A96),"0")&amp;" HK Equity","PE_RATIO"),"")</f>
        <v/>
      </c>
      <c r="K96" s="24">
        <f>IFERROR(BDP(TEXT(VALUE(Database!$A96),"0")&amp;" HK Equity","A/H_SHARE_CONVERSION"),"")</f>
        <v/>
      </c>
      <c r="L96" s="32">
        <f>IF(Database!BN96="","(none found)",Database!BN96)</f>
        <v/>
      </c>
      <c r="M96" s="34">
        <f>BDH(TEXT(VALUE(Database!$A96),"0")&amp;" HK Equity","CUR_MKT_CAP",Database!$H96,Database!$H96)</f>
        <v/>
      </c>
      <c r="N96" s="166">
        <f>Database!Q96</f>
        <v/>
      </c>
      <c r="O96" s="39">
        <f>BDH(TEXT(VALUE(Database!$A96),"0")&amp;" HK Equity","PE_RATIO",Database!$H96,Database!$H96)</f>
        <v/>
      </c>
      <c r="P96" s="199">
        <f>IF(Database!BH96="","(n/m or not derivable)",Database!BH96)</f>
        <v/>
      </c>
      <c r="Q96" s="39">
        <f>IF(Database!BN96="","",BDH(LEFT(Database!BN96,FIND(".",Database!BN96)-1)&amp;" CH Equity","PE_RATIO",Database!$H96,Database!$H96))</f>
        <v/>
      </c>
      <c r="R96" s="39">
        <f>IF(Database!BN96="","",BDH("HSAHP Index","PX_LAST",Database!$H96,Database!$H96))</f>
        <v/>
      </c>
      <c r="S96" s="39">
        <f>IFERROR(BDP(TEXT(VALUE(Database!$A96),"0")&amp;" HK Equity","PX_TO_SALES_RATIO"),"")</f>
        <v/>
      </c>
      <c r="T96" s="34">
        <f>IF(Database!BN96="","",IFERROR(BDP(LEFT(Database!BN96,FIND(".",Database!BN96)-1)&amp;" CH Equity","CUR_MKT_CAP")*BDP("CNYHKD Curncy","PX_LAST"),"Awaiting quote"))</f>
        <v/>
      </c>
    </row>
    <row r="97" ht="23" customHeight="1">
      <c r="A97" s="32">
        <f>Database!A97&amp;"  "&amp;Database!B97</f>
        <v/>
      </c>
      <c r="B97" s="24">
        <f>IFERROR(INDEX(BDS(TEXT(VALUE(Database!$A97),"0")&amp;" HK Equity","EQUITY_OFFERINGS","array=t","endcol=1"),MATCH("IPO",BDS(TEXT(VALUE(Database!$A97),"0")&amp;" HK Equity","EQUITY_OFFERINGS","array=t","startcol=2","endcol=2"),0)),"")</f>
        <v/>
      </c>
      <c r="C97" s="208">
        <f>IF($B97="","",IFERROR(BDP($B97&amp;" Action","CP036"),""))</f>
        <v/>
      </c>
      <c r="D97" s="209">
        <f>Database!S97</f>
        <v/>
      </c>
      <c r="E97" s="208">
        <f>IF($B97="","",IFERROR(BDP($B97&amp;" Action","CP037"),""))</f>
        <v/>
      </c>
      <c r="F97" s="209">
        <f>Database!T97</f>
        <v/>
      </c>
      <c r="G97" s="208">
        <f>IF($B97="","",IFERROR(BDP($B97&amp;" Action","GREENSHOE_FACILITY"),""))</f>
        <v/>
      </c>
      <c r="H97" s="208">
        <f>IF($B97="","",IFERROR(BDP($B97&amp;" Action","OFFERING_GREENSHOE_SHARES_EX"),""))</f>
        <v/>
      </c>
      <c r="I97" s="32">
        <f>Database!AE97</f>
        <v/>
      </c>
      <c r="J97" s="39">
        <f>IFERROR(BDP(TEXT(VALUE(Database!$A97),"0")&amp;" HK Equity","PE_RATIO"),"")</f>
        <v/>
      </c>
      <c r="K97" s="24">
        <f>IFERROR(BDP(TEXT(VALUE(Database!$A97),"0")&amp;" HK Equity","A/H_SHARE_CONVERSION"),"")</f>
        <v/>
      </c>
      <c r="L97" s="32">
        <f>IF(Database!BN97="","(none found)",Database!BN97)</f>
        <v/>
      </c>
      <c r="M97" s="34">
        <f>BDH(TEXT(VALUE(Database!$A97),"0")&amp;" HK Equity","CUR_MKT_CAP",Database!$H97,Database!$H97)</f>
        <v/>
      </c>
      <c r="N97" s="166">
        <f>Database!Q97</f>
        <v/>
      </c>
      <c r="O97" s="39">
        <f>BDH(TEXT(VALUE(Database!$A97),"0")&amp;" HK Equity","PE_RATIO",Database!$H97,Database!$H97)</f>
        <v/>
      </c>
      <c r="P97" s="199">
        <f>IF(Database!BH97="","(n/m or not derivable)",Database!BH97)</f>
        <v/>
      </c>
      <c r="Q97" s="39">
        <f>IF(Database!BN97="","",BDH(LEFT(Database!BN97,FIND(".",Database!BN97)-1)&amp;" CH Equity","PE_RATIO",Database!$H97,Database!$H97))</f>
        <v/>
      </c>
      <c r="R97" s="39">
        <f>IF(Database!BN97="","",BDH("HSAHP Index","PX_LAST",Database!$H97,Database!$H97))</f>
        <v/>
      </c>
      <c r="S97" s="39">
        <f>IFERROR(BDP(TEXT(VALUE(Database!$A97),"0")&amp;" HK Equity","PX_TO_SALES_RATIO"),"")</f>
        <v/>
      </c>
      <c r="T97" s="34">
        <f>IF(Database!BN97="","",IFERROR(BDP(LEFT(Database!BN97,FIND(".",Database!BN97)-1)&amp;" CH Equity","CUR_MKT_CAP")*BDP("CNYHKD Curncy","PX_LAST"),"Awaiting quote"))</f>
        <v/>
      </c>
    </row>
    <row r="98" ht="23" customHeight="1">
      <c r="A98" s="32">
        <f>Database!A98&amp;"  "&amp;Database!B98</f>
        <v/>
      </c>
      <c r="B98" s="24">
        <f>IFERROR(INDEX(BDS(TEXT(VALUE(Database!$A98),"0")&amp;" HK Equity","EQUITY_OFFERINGS","array=t","endcol=1"),MATCH("IPO",BDS(TEXT(VALUE(Database!$A98),"0")&amp;" HK Equity","EQUITY_OFFERINGS","array=t","startcol=2","endcol=2"),0)),"")</f>
        <v/>
      </c>
      <c r="C98" s="208">
        <f>IF($B98="","",IFERROR(BDP($B98&amp;" Action","CP036"),""))</f>
        <v/>
      </c>
      <c r="D98" s="209">
        <f>Database!S98</f>
        <v/>
      </c>
      <c r="E98" s="208">
        <f>IF($B98="","",IFERROR(BDP($B98&amp;" Action","CP037"),""))</f>
        <v/>
      </c>
      <c r="F98" s="209">
        <f>Database!T98</f>
        <v/>
      </c>
      <c r="G98" s="208">
        <f>IF($B98="","",IFERROR(BDP($B98&amp;" Action","GREENSHOE_FACILITY"),""))</f>
        <v/>
      </c>
      <c r="H98" s="208">
        <f>IF($B98="","",IFERROR(BDP($B98&amp;" Action","OFFERING_GREENSHOE_SHARES_EX"),""))</f>
        <v/>
      </c>
      <c r="I98" s="32">
        <f>Database!AE98</f>
        <v/>
      </c>
      <c r="J98" s="39">
        <f>IFERROR(BDP(TEXT(VALUE(Database!$A98),"0")&amp;" HK Equity","PE_RATIO"),"")</f>
        <v/>
      </c>
      <c r="K98" s="24">
        <f>IFERROR(BDP(TEXT(VALUE(Database!$A98),"0")&amp;" HK Equity","A/H_SHARE_CONVERSION"),"")</f>
        <v/>
      </c>
      <c r="L98" s="32">
        <f>IF(Database!BN98="","(none found)",Database!BN98)</f>
        <v/>
      </c>
      <c r="M98" s="34">
        <f>BDH(TEXT(VALUE(Database!$A98),"0")&amp;" HK Equity","CUR_MKT_CAP",Database!$H98,Database!$H98)</f>
        <v/>
      </c>
      <c r="N98" s="166">
        <f>Database!Q98</f>
        <v/>
      </c>
      <c r="O98" s="39">
        <f>BDH(TEXT(VALUE(Database!$A98),"0")&amp;" HK Equity","PE_RATIO",Database!$H98,Database!$H98)</f>
        <v/>
      </c>
      <c r="P98" s="199">
        <f>IF(Database!BH98="","(n/m or not derivable)",Database!BH98)</f>
        <v/>
      </c>
      <c r="Q98" s="39">
        <f>IF(Database!BN98="","",BDH(LEFT(Database!BN98,FIND(".",Database!BN98)-1)&amp;" CH Equity","PE_RATIO",Database!$H98,Database!$H98))</f>
        <v/>
      </c>
      <c r="R98" s="39">
        <f>IF(Database!BN98="","",BDH("HSAHP Index","PX_LAST",Database!$H98,Database!$H98))</f>
        <v/>
      </c>
      <c r="S98" s="39">
        <f>IFERROR(BDP(TEXT(VALUE(Database!$A98),"0")&amp;" HK Equity","PX_TO_SALES_RATIO"),"")</f>
        <v/>
      </c>
      <c r="T98" s="34">
        <f>IF(Database!BN98="","",IFERROR(BDP(LEFT(Database!BN98,FIND(".",Database!BN98)-1)&amp;" CH Equity","CUR_MKT_CAP")*BDP("CNYHKD Curncy","PX_LAST"),"Awaiting quote"))</f>
        <v/>
      </c>
    </row>
    <row r="99" ht="23" customHeight="1">
      <c r="A99" s="32">
        <f>Database!A99&amp;"  "&amp;Database!B99</f>
        <v/>
      </c>
      <c r="B99" s="24">
        <f>IFERROR(INDEX(BDS(TEXT(VALUE(Database!$A99),"0")&amp;" HK Equity","EQUITY_OFFERINGS","array=t","endcol=1"),MATCH("IPO",BDS(TEXT(VALUE(Database!$A99),"0")&amp;" HK Equity","EQUITY_OFFERINGS","array=t","startcol=2","endcol=2"),0)),"")</f>
        <v/>
      </c>
      <c r="C99" s="208">
        <f>IF($B99="","",IFERROR(BDP($B99&amp;" Action","CP036"),""))</f>
        <v/>
      </c>
      <c r="D99" s="209">
        <f>Database!S99</f>
        <v/>
      </c>
      <c r="E99" s="208">
        <f>IF($B99="","",IFERROR(BDP($B99&amp;" Action","CP037"),""))</f>
        <v/>
      </c>
      <c r="F99" s="209">
        <f>Database!T99</f>
        <v/>
      </c>
      <c r="G99" s="208">
        <f>IF($B99="","",IFERROR(BDP($B99&amp;" Action","GREENSHOE_FACILITY"),""))</f>
        <v/>
      </c>
      <c r="H99" s="208">
        <f>IF($B99="","",IFERROR(BDP($B99&amp;" Action","OFFERING_GREENSHOE_SHARES_EX"),""))</f>
        <v/>
      </c>
      <c r="I99" s="32">
        <f>Database!AE99</f>
        <v/>
      </c>
      <c r="J99" s="39">
        <f>IFERROR(BDP(TEXT(VALUE(Database!$A99),"0")&amp;" HK Equity","PE_RATIO"),"")</f>
        <v/>
      </c>
      <c r="K99" s="24">
        <f>IFERROR(BDP(TEXT(VALUE(Database!$A99),"0")&amp;" HK Equity","A/H_SHARE_CONVERSION"),"")</f>
        <v/>
      </c>
      <c r="L99" s="32">
        <f>IF(Database!BN99="","(none found)",Database!BN99)</f>
        <v/>
      </c>
      <c r="M99" s="34">
        <f>BDH(TEXT(VALUE(Database!$A99),"0")&amp;" HK Equity","CUR_MKT_CAP",Database!$H99,Database!$H99)</f>
        <v/>
      </c>
      <c r="N99" s="166">
        <f>Database!Q99</f>
        <v/>
      </c>
      <c r="O99" s="39">
        <f>BDH(TEXT(VALUE(Database!$A99),"0")&amp;" HK Equity","PE_RATIO",Database!$H99,Database!$H99)</f>
        <v/>
      </c>
      <c r="P99" s="199">
        <f>IF(Database!BH99="","(n/m or not derivable)",Database!BH99)</f>
        <v/>
      </c>
      <c r="Q99" s="39">
        <f>IF(Database!BN99="","",BDH(LEFT(Database!BN99,FIND(".",Database!BN99)-1)&amp;" CH Equity","PE_RATIO",Database!$H99,Database!$H99))</f>
        <v/>
      </c>
      <c r="R99" s="39">
        <f>IF(Database!BN99="","",BDH("HSAHP Index","PX_LAST",Database!$H99,Database!$H99))</f>
        <v/>
      </c>
      <c r="S99" s="39">
        <f>IFERROR(BDP(TEXT(VALUE(Database!$A99),"0")&amp;" HK Equity","PX_TO_SALES_RATIO"),"")</f>
        <v/>
      </c>
      <c r="T99" s="34">
        <f>IF(Database!BN99="","",IFERROR(BDP(LEFT(Database!BN99,FIND(".",Database!BN99)-1)&amp;" CH Equity","CUR_MKT_CAP")*BDP("CNYHKD Curncy","PX_LAST"),"Awaiting quote"))</f>
        <v/>
      </c>
    </row>
    <row r="100" ht="23" customHeight="1">
      <c r="A100" s="32">
        <f>Database!A100&amp;"  "&amp;Database!B100</f>
        <v/>
      </c>
      <c r="B100" s="24">
        <f>IFERROR(INDEX(BDS(TEXT(VALUE(Database!$A100),"0")&amp;" HK Equity","EQUITY_OFFERINGS","array=t","endcol=1"),MATCH("IPO",BDS(TEXT(VALUE(Database!$A100),"0")&amp;" HK Equity","EQUITY_OFFERINGS","array=t","startcol=2","endcol=2"),0)),"")</f>
        <v/>
      </c>
      <c r="C100" s="208">
        <f>IF($B100="","",IFERROR(BDP($B100&amp;" Action","CP036"),""))</f>
        <v/>
      </c>
      <c r="D100" s="209">
        <f>Database!S100</f>
        <v/>
      </c>
      <c r="E100" s="208">
        <f>IF($B100="","",IFERROR(BDP($B100&amp;" Action","CP037"),""))</f>
        <v/>
      </c>
      <c r="F100" s="209">
        <f>Database!T100</f>
        <v/>
      </c>
      <c r="G100" s="208">
        <f>IF($B100="","",IFERROR(BDP($B100&amp;" Action","GREENSHOE_FACILITY"),""))</f>
        <v/>
      </c>
      <c r="H100" s="208">
        <f>IF($B100="","",IFERROR(BDP($B100&amp;" Action","OFFERING_GREENSHOE_SHARES_EX"),""))</f>
        <v/>
      </c>
      <c r="I100" s="32">
        <f>Database!AE100</f>
        <v/>
      </c>
      <c r="J100" s="39">
        <f>IFERROR(BDP(TEXT(VALUE(Database!$A100),"0")&amp;" HK Equity","PE_RATIO"),"")</f>
        <v/>
      </c>
      <c r="K100" s="24">
        <f>IFERROR(BDP(TEXT(VALUE(Database!$A100),"0")&amp;" HK Equity","A/H_SHARE_CONVERSION"),"")</f>
        <v/>
      </c>
      <c r="L100" s="32">
        <f>IF(Database!BN100="","(none found)",Database!BN100)</f>
        <v/>
      </c>
      <c r="M100" s="34">
        <f>BDH(TEXT(VALUE(Database!$A100),"0")&amp;" HK Equity","CUR_MKT_CAP",Database!$H100,Database!$H100)</f>
        <v/>
      </c>
      <c r="N100" s="166">
        <f>Database!Q100</f>
        <v/>
      </c>
      <c r="O100" s="39">
        <f>BDH(TEXT(VALUE(Database!$A100),"0")&amp;" HK Equity","PE_RATIO",Database!$H100,Database!$H100)</f>
        <v/>
      </c>
      <c r="P100" s="199">
        <f>IF(Database!BH100="","(n/m or not derivable)",Database!BH100)</f>
        <v/>
      </c>
      <c r="Q100" s="39">
        <f>IF(Database!BN100="","",BDH(LEFT(Database!BN100,FIND(".",Database!BN100)-1)&amp;" CH Equity","PE_RATIO",Database!$H100,Database!$H100))</f>
        <v/>
      </c>
      <c r="R100" s="39">
        <f>IF(Database!BN100="","",BDH("HSAHP Index","PX_LAST",Database!$H100,Database!$H100))</f>
        <v/>
      </c>
      <c r="S100" s="39">
        <f>IFERROR(BDP(TEXT(VALUE(Database!$A100),"0")&amp;" HK Equity","PX_TO_SALES_RATIO"),"")</f>
        <v/>
      </c>
      <c r="T100" s="34">
        <f>IF(Database!BN100="","",IFERROR(BDP(LEFT(Database!BN100,FIND(".",Database!BN100)-1)&amp;" CH Equity","CUR_MKT_CAP")*BDP("CNYHKD Curncy","PX_LAST"),"Awaiting quote"))</f>
        <v/>
      </c>
    </row>
    <row r="101" ht="23" customHeight="1">
      <c r="A101" s="32">
        <f>Database!A101&amp;"  "&amp;Database!B101</f>
        <v/>
      </c>
      <c r="B101" s="24">
        <f>IFERROR(INDEX(BDS(TEXT(VALUE(Database!$A101),"0")&amp;" HK Equity","EQUITY_OFFERINGS","array=t","endcol=1"),MATCH("IPO",BDS(TEXT(VALUE(Database!$A101),"0")&amp;" HK Equity","EQUITY_OFFERINGS","array=t","startcol=2","endcol=2"),0)),"")</f>
        <v/>
      </c>
      <c r="C101" s="208">
        <f>IF($B101="","",IFERROR(BDP($B101&amp;" Action","CP036"),""))</f>
        <v/>
      </c>
      <c r="D101" s="209">
        <f>Database!S101</f>
        <v/>
      </c>
      <c r="E101" s="208">
        <f>IF($B101="","",IFERROR(BDP($B101&amp;" Action","CP037"),""))</f>
        <v/>
      </c>
      <c r="F101" s="209">
        <f>Database!T101</f>
        <v/>
      </c>
      <c r="G101" s="208">
        <f>IF($B101="","",IFERROR(BDP($B101&amp;" Action","GREENSHOE_FACILITY"),""))</f>
        <v/>
      </c>
      <c r="H101" s="208">
        <f>IF($B101="","",IFERROR(BDP($B101&amp;" Action","OFFERING_GREENSHOE_SHARES_EX"),""))</f>
        <v/>
      </c>
      <c r="I101" s="32">
        <f>Database!AE101</f>
        <v/>
      </c>
      <c r="J101" s="39">
        <f>IFERROR(BDP(TEXT(VALUE(Database!$A101),"0")&amp;" HK Equity","PE_RATIO"),"")</f>
        <v/>
      </c>
      <c r="K101" s="24">
        <f>IFERROR(BDP(TEXT(VALUE(Database!$A101),"0")&amp;" HK Equity","A/H_SHARE_CONVERSION"),"")</f>
        <v/>
      </c>
      <c r="L101" s="32">
        <f>IF(Database!BN101="","(none found)",Database!BN101)</f>
        <v/>
      </c>
      <c r="M101" s="34">
        <f>BDH(TEXT(VALUE(Database!$A101),"0")&amp;" HK Equity","CUR_MKT_CAP",Database!$H101,Database!$H101)</f>
        <v/>
      </c>
      <c r="N101" s="166">
        <f>Database!Q101</f>
        <v/>
      </c>
      <c r="O101" s="39">
        <f>BDH(TEXT(VALUE(Database!$A101),"0")&amp;" HK Equity","PE_RATIO",Database!$H101,Database!$H101)</f>
        <v/>
      </c>
      <c r="P101" s="199">
        <f>IF(Database!BH101="","(n/m or not derivable)",Database!BH101)</f>
        <v/>
      </c>
      <c r="Q101" s="39">
        <f>IF(Database!BN101="","",BDH(LEFT(Database!BN101,FIND(".",Database!BN101)-1)&amp;" CH Equity","PE_RATIO",Database!$H101,Database!$H101))</f>
        <v/>
      </c>
      <c r="R101" s="39">
        <f>IF(Database!BN101="","",BDH("HSAHP Index","PX_LAST",Database!$H101,Database!$H101))</f>
        <v/>
      </c>
      <c r="S101" s="39">
        <f>IFERROR(BDP(TEXT(VALUE(Database!$A101),"0")&amp;" HK Equity","PX_TO_SALES_RATIO"),"")</f>
        <v/>
      </c>
      <c r="T101" s="34">
        <f>IF(Database!BN101="","",IFERROR(BDP(LEFT(Database!BN101,FIND(".",Database!BN101)-1)&amp;" CH Equity","CUR_MKT_CAP")*BDP("CNYHKD Curncy","PX_LAST"),"Awaiting quote"))</f>
        <v/>
      </c>
    </row>
    <row r="102" ht="23" customHeight="1">
      <c r="A102" s="32">
        <f>Database!A102&amp;"  "&amp;Database!B102</f>
        <v/>
      </c>
      <c r="B102" s="24">
        <f>IFERROR(INDEX(BDS(TEXT(VALUE(Database!$A102),"0")&amp;" HK Equity","EQUITY_OFFERINGS","array=t","endcol=1"),MATCH("IPO",BDS(TEXT(VALUE(Database!$A102),"0")&amp;" HK Equity","EQUITY_OFFERINGS","array=t","startcol=2","endcol=2"),0)),"")</f>
        <v/>
      </c>
      <c r="C102" s="208">
        <f>IF($B102="","",IFERROR(BDP($B102&amp;" Action","CP036"),""))</f>
        <v/>
      </c>
      <c r="D102" s="209">
        <f>Database!S102</f>
        <v/>
      </c>
      <c r="E102" s="208">
        <f>IF($B102="","",IFERROR(BDP($B102&amp;" Action","CP037"),""))</f>
        <v/>
      </c>
      <c r="F102" s="209">
        <f>Database!T102</f>
        <v/>
      </c>
      <c r="G102" s="208">
        <f>IF($B102="","",IFERROR(BDP($B102&amp;" Action","GREENSHOE_FACILITY"),""))</f>
        <v/>
      </c>
      <c r="H102" s="208">
        <f>IF($B102="","",IFERROR(BDP($B102&amp;" Action","OFFERING_GREENSHOE_SHARES_EX"),""))</f>
        <v/>
      </c>
      <c r="I102" s="32">
        <f>Database!AE102</f>
        <v/>
      </c>
      <c r="J102" s="39">
        <f>IFERROR(BDP(TEXT(VALUE(Database!$A102),"0")&amp;" HK Equity","PE_RATIO"),"")</f>
        <v/>
      </c>
      <c r="K102" s="24">
        <f>IFERROR(BDP(TEXT(VALUE(Database!$A102),"0")&amp;" HK Equity","A/H_SHARE_CONVERSION"),"")</f>
        <v/>
      </c>
      <c r="L102" s="32">
        <f>IF(Database!BN102="","(none found)",Database!BN102)</f>
        <v/>
      </c>
      <c r="M102" s="34">
        <f>BDH(TEXT(VALUE(Database!$A102),"0")&amp;" HK Equity","CUR_MKT_CAP",Database!$H102,Database!$H102)</f>
        <v/>
      </c>
      <c r="N102" s="166">
        <f>Database!Q102</f>
        <v/>
      </c>
      <c r="O102" s="39">
        <f>BDH(TEXT(VALUE(Database!$A102),"0")&amp;" HK Equity","PE_RATIO",Database!$H102,Database!$H102)</f>
        <v/>
      </c>
      <c r="P102" s="199">
        <f>IF(Database!BH102="","(n/m or not derivable)",Database!BH102)</f>
        <v/>
      </c>
      <c r="Q102" s="39">
        <f>IF(Database!BN102="","",BDH(LEFT(Database!BN102,FIND(".",Database!BN102)-1)&amp;" CH Equity","PE_RATIO",Database!$H102,Database!$H102))</f>
        <v/>
      </c>
      <c r="R102" s="39">
        <f>IF(Database!BN102="","",BDH("HSAHP Index","PX_LAST",Database!$H102,Database!$H102))</f>
        <v/>
      </c>
      <c r="S102" s="39">
        <f>IFERROR(BDP(TEXT(VALUE(Database!$A102),"0")&amp;" HK Equity","PX_TO_SALES_RATIO"),"")</f>
        <v/>
      </c>
      <c r="T102" s="34">
        <f>IF(Database!BN102="","",IFERROR(BDP(LEFT(Database!BN102,FIND(".",Database!BN102)-1)&amp;" CH Equity","CUR_MKT_CAP")*BDP("CNYHKD Curncy","PX_LAST"),"Awaiting quote"))</f>
        <v/>
      </c>
    </row>
    <row r="103" ht="23" customHeight="1">
      <c r="A103" s="32">
        <f>Database!A103&amp;"  "&amp;Database!B103</f>
        <v/>
      </c>
      <c r="B103" s="24">
        <f>IFERROR(INDEX(BDS(TEXT(VALUE(Database!$A103),"0")&amp;" HK Equity","EQUITY_OFFERINGS","array=t","endcol=1"),MATCH("IPO",BDS(TEXT(VALUE(Database!$A103),"0")&amp;" HK Equity","EQUITY_OFFERINGS","array=t","startcol=2","endcol=2"),0)),"")</f>
        <v/>
      </c>
      <c r="C103" s="208">
        <f>IF($B103="","",IFERROR(BDP($B103&amp;" Action","CP036"),""))</f>
        <v/>
      </c>
      <c r="D103" s="209">
        <f>Database!S103</f>
        <v/>
      </c>
      <c r="E103" s="208">
        <f>IF($B103="","",IFERROR(BDP($B103&amp;" Action","CP037"),""))</f>
        <v/>
      </c>
      <c r="F103" s="209">
        <f>Database!T103</f>
        <v/>
      </c>
      <c r="G103" s="208">
        <f>IF($B103="","",IFERROR(BDP($B103&amp;" Action","GREENSHOE_FACILITY"),""))</f>
        <v/>
      </c>
      <c r="H103" s="208">
        <f>IF($B103="","",IFERROR(BDP($B103&amp;" Action","OFFERING_GREENSHOE_SHARES_EX"),""))</f>
        <v/>
      </c>
      <c r="I103" s="32">
        <f>Database!AE103</f>
        <v/>
      </c>
      <c r="J103" s="39">
        <f>IFERROR(BDP(TEXT(VALUE(Database!$A103),"0")&amp;" HK Equity","PE_RATIO"),"")</f>
        <v/>
      </c>
      <c r="K103" s="24">
        <f>IFERROR(BDP(TEXT(VALUE(Database!$A103),"0")&amp;" HK Equity","A/H_SHARE_CONVERSION"),"")</f>
        <v/>
      </c>
      <c r="L103" s="32">
        <f>IF(Database!BN103="","(none found)",Database!BN103)</f>
        <v/>
      </c>
      <c r="M103" s="34">
        <f>BDH(TEXT(VALUE(Database!$A103),"0")&amp;" HK Equity","CUR_MKT_CAP",Database!$H103,Database!$H103)</f>
        <v/>
      </c>
      <c r="N103" s="166">
        <f>Database!Q103</f>
        <v/>
      </c>
      <c r="O103" s="39">
        <f>BDH(TEXT(VALUE(Database!$A103),"0")&amp;" HK Equity","PE_RATIO",Database!$H103,Database!$H103)</f>
        <v/>
      </c>
      <c r="P103" s="199">
        <f>IF(Database!BH103="","(n/m or not derivable)",Database!BH103)</f>
        <v/>
      </c>
      <c r="Q103" s="39">
        <f>IF(Database!BN103="","",BDH(LEFT(Database!BN103,FIND(".",Database!BN103)-1)&amp;" CH Equity","PE_RATIO",Database!$H103,Database!$H103))</f>
        <v/>
      </c>
      <c r="R103" s="39">
        <f>IF(Database!BN103="","",BDH("HSAHP Index","PX_LAST",Database!$H103,Database!$H103))</f>
        <v/>
      </c>
      <c r="S103" s="39">
        <f>IFERROR(BDP(TEXT(VALUE(Database!$A103),"0")&amp;" HK Equity","PX_TO_SALES_RATIO"),"")</f>
        <v/>
      </c>
      <c r="T103" s="34">
        <f>IF(Database!BN103="","",IFERROR(BDP(LEFT(Database!BN103,FIND(".",Database!BN103)-1)&amp;" CH Equity","CUR_MKT_CAP")*BDP("CNYHKD Curncy","PX_LAST"),"Awaiting quote"))</f>
        <v/>
      </c>
    </row>
    <row r="104" ht="23" customHeight="1">
      <c r="A104" s="32">
        <f>Database!A104&amp;"  "&amp;Database!B104</f>
        <v/>
      </c>
      <c r="B104" s="24">
        <f>IFERROR(INDEX(BDS(TEXT(VALUE(Database!$A104),"0")&amp;" HK Equity","EQUITY_OFFERINGS","array=t","endcol=1"),MATCH("IPO",BDS(TEXT(VALUE(Database!$A104),"0")&amp;" HK Equity","EQUITY_OFFERINGS","array=t","startcol=2","endcol=2"),0)),"")</f>
        <v/>
      </c>
      <c r="C104" s="208">
        <f>IF($B104="","",IFERROR(BDP($B104&amp;" Action","CP036"),""))</f>
        <v/>
      </c>
      <c r="D104" s="209">
        <f>Database!S104</f>
        <v/>
      </c>
      <c r="E104" s="208">
        <f>IF($B104="","",IFERROR(BDP($B104&amp;" Action","CP037"),""))</f>
        <v/>
      </c>
      <c r="F104" s="209">
        <f>Database!T104</f>
        <v/>
      </c>
      <c r="G104" s="208">
        <f>IF($B104="","",IFERROR(BDP($B104&amp;" Action","GREENSHOE_FACILITY"),""))</f>
        <v/>
      </c>
      <c r="H104" s="208">
        <f>IF($B104="","",IFERROR(BDP($B104&amp;" Action","OFFERING_GREENSHOE_SHARES_EX"),""))</f>
        <v/>
      </c>
      <c r="I104" s="32">
        <f>Database!AE104</f>
        <v/>
      </c>
      <c r="J104" s="39">
        <f>IFERROR(BDP(TEXT(VALUE(Database!$A104),"0")&amp;" HK Equity","PE_RATIO"),"")</f>
        <v/>
      </c>
      <c r="K104" s="24">
        <f>IFERROR(BDP(TEXT(VALUE(Database!$A104),"0")&amp;" HK Equity","A/H_SHARE_CONVERSION"),"")</f>
        <v/>
      </c>
      <c r="L104" s="32">
        <f>IF(Database!BN104="","(none found)",Database!BN104)</f>
        <v/>
      </c>
      <c r="M104" s="34">
        <f>BDH(TEXT(VALUE(Database!$A104),"0")&amp;" HK Equity","CUR_MKT_CAP",Database!$H104,Database!$H104)</f>
        <v/>
      </c>
      <c r="N104" s="166">
        <f>Database!Q104</f>
        <v/>
      </c>
      <c r="O104" s="39">
        <f>BDH(TEXT(VALUE(Database!$A104),"0")&amp;" HK Equity","PE_RATIO",Database!$H104,Database!$H104)</f>
        <v/>
      </c>
      <c r="P104" s="199">
        <f>IF(Database!BH104="","(n/m or not derivable)",Database!BH104)</f>
        <v/>
      </c>
      <c r="Q104" s="39">
        <f>IF(Database!BN104="","",BDH(LEFT(Database!BN104,FIND(".",Database!BN104)-1)&amp;" CH Equity","PE_RATIO",Database!$H104,Database!$H104))</f>
        <v/>
      </c>
      <c r="R104" s="39">
        <f>IF(Database!BN104="","",BDH("HSAHP Index","PX_LAST",Database!$H104,Database!$H104))</f>
        <v/>
      </c>
      <c r="S104" s="39">
        <f>IFERROR(BDP(TEXT(VALUE(Database!$A104),"0")&amp;" HK Equity","PX_TO_SALES_RATIO"),"")</f>
        <v/>
      </c>
      <c r="T104" s="34">
        <f>IF(Database!BN104="","",IFERROR(BDP(LEFT(Database!BN104,FIND(".",Database!BN104)-1)&amp;" CH Equity","CUR_MKT_CAP")*BDP("CNYHKD Curncy","PX_LAST"),"Awaiting quote"))</f>
        <v/>
      </c>
    </row>
    <row r="105" ht="23" customHeight="1">
      <c r="A105" s="32">
        <f>Database!A105&amp;"  "&amp;Database!B105</f>
        <v/>
      </c>
      <c r="B105" s="24">
        <f>IFERROR(INDEX(BDS(TEXT(VALUE(Database!$A105),"0")&amp;" HK Equity","EQUITY_OFFERINGS","array=t","endcol=1"),MATCH("IPO",BDS(TEXT(VALUE(Database!$A105),"0")&amp;" HK Equity","EQUITY_OFFERINGS","array=t","startcol=2","endcol=2"),0)),"")</f>
        <v/>
      </c>
      <c r="C105" s="208">
        <f>IF($B105="","",IFERROR(BDP($B105&amp;" Action","CP036"),""))</f>
        <v/>
      </c>
      <c r="D105" s="209">
        <f>Database!S105</f>
        <v/>
      </c>
      <c r="E105" s="208">
        <f>IF($B105="","",IFERROR(BDP($B105&amp;" Action","CP037"),""))</f>
        <v/>
      </c>
      <c r="F105" s="209">
        <f>Database!T105</f>
        <v/>
      </c>
      <c r="G105" s="208">
        <f>IF($B105="","",IFERROR(BDP($B105&amp;" Action","GREENSHOE_FACILITY"),""))</f>
        <v/>
      </c>
      <c r="H105" s="208">
        <f>IF($B105="","",IFERROR(BDP($B105&amp;" Action","OFFERING_GREENSHOE_SHARES_EX"),""))</f>
        <v/>
      </c>
      <c r="I105" s="32">
        <f>Database!AE105</f>
        <v/>
      </c>
      <c r="J105" s="39">
        <f>IFERROR(BDP(TEXT(VALUE(Database!$A105),"0")&amp;" HK Equity","PE_RATIO"),"")</f>
        <v/>
      </c>
      <c r="K105" s="24">
        <f>IFERROR(BDP(TEXT(VALUE(Database!$A105),"0")&amp;" HK Equity","A/H_SHARE_CONVERSION"),"")</f>
        <v/>
      </c>
      <c r="L105" s="32">
        <f>IF(Database!BN105="","(none found)",Database!BN105)</f>
        <v/>
      </c>
      <c r="M105" s="34">
        <f>BDH(TEXT(VALUE(Database!$A105),"0")&amp;" HK Equity","CUR_MKT_CAP",Database!$H105,Database!$H105)</f>
        <v/>
      </c>
      <c r="N105" s="166">
        <f>Database!Q105</f>
        <v/>
      </c>
      <c r="O105" s="39">
        <f>BDH(TEXT(VALUE(Database!$A105),"0")&amp;" HK Equity","PE_RATIO",Database!$H105,Database!$H105)</f>
        <v/>
      </c>
      <c r="P105" s="199">
        <f>IF(Database!BH105="","(n/m or not derivable)",Database!BH105)</f>
        <v/>
      </c>
      <c r="Q105" s="39">
        <f>IF(Database!BN105="","",BDH(LEFT(Database!BN105,FIND(".",Database!BN105)-1)&amp;" CH Equity","PE_RATIO",Database!$H105,Database!$H105))</f>
        <v/>
      </c>
      <c r="R105" s="39">
        <f>IF(Database!BN105="","",BDH("HSAHP Index","PX_LAST",Database!$H105,Database!$H105))</f>
        <v/>
      </c>
      <c r="S105" s="39">
        <f>IFERROR(BDP(TEXT(VALUE(Database!$A105),"0")&amp;" HK Equity","PX_TO_SALES_RATIO"),"")</f>
        <v/>
      </c>
      <c r="T105" s="34">
        <f>IF(Database!BN105="","",IFERROR(BDP(LEFT(Database!BN105,FIND(".",Database!BN105)-1)&amp;" CH Equity","CUR_MKT_CAP")*BDP("CNYHKD Curncy","PX_LAST"),"Awaiting quote"))</f>
        <v/>
      </c>
    </row>
    <row r="106" ht="23" customHeight="1">
      <c r="A106" s="32">
        <f>Database!A106&amp;"  "&amp;Database!B106</f>
        <v/>
      </c>
      <c r="B106" s="24">
        <f>IFERROR(INDEX(BDS(TEXT(VALUE(Database!$A106),"0")&amp;" HK Equity","EQUITY_OFFERINGS","array=t","endcol=1"),MATCH("IPO",BDS(TEXT(VALUE(Database!$A106),"0")&amp;" HK Equity","EQUITY_OFFERINGS","array=t","startcol=2","endcol=2"),0)),"")</f>
        <v/>
      </c>
      <c r="C106" s="208">
        <f>IF($B106="","",IFERROR(BDP($B106&amp;" Action","CP036"),""))</f>
        <v/>
      </c>
      <c r="D106" s="209">
        <f>Database!S106</f>
        <v/>
      </c>
      <c r="E106" s="208">
        <f>IF($B106="","",IFERROR(BDP($B106&amp;" Action","CP037"),""))</f>
        <v/>
      </c>
      <c r="F106" s="209">
        <f>Database!T106</f>
        <v/>
      </c>
      <c r="G106" s="208">
        <f>IF($B106="","",IFERROR(BDP($B106&amp;" Action","GREENSHOE_FACILITY"),""))</f>
        <v/>
      </c>
      <c r="H106" s="208">
        <f>IF($B106="","",IFERROR(BDP($B106&amp;" Action","OFFERING_GREENSHOE_SHARES_EX"),""))</f>
        <v/>
      </c>
      <c r="I106" s="32">
        <f>Database!AE106</f>
        <v/>
      </c>
      <c r="J106" s="39">
        <f>IFERROR(BDP(TEXT(VALUE(Database!$A106),"0")&amp;" HK Equity","PE_RATIO"),"")</f>
        <v/>
      </c>
      <c r="K106" s="24">
        <f>IFERROR(BDP(TEXT(VALUE(Database!$A106),"0")&amp;" HK Equity","A/H_SHARE_CONVERSION"),"")</f>
        <v/>
      </c>
      <c r="L106" s="32">
        <f>IF(Database!BN106="","(none found)",Database!BN106)</f>
        <v/>
      </c>
      <c r="M106" s="34">
        <f>BDH(TEXT(VALUE(Database!$A106),"0")&amp;" HK Equity","CUR_MKT_CAP",Database!$H106,Database!$H106)</f>
        <v/>
      </c>
      <c r="N106" s="166">
        <f>Database!Q106</f>
        <v/>
      </c>
      <c r="O106" s="39">
        <f>BDH(TEXT(VALUE(Database!$A106),"0")&amp;" HK Equity","PE_RATIO",Database!$H106,Database!$H106)</f>
        <v/>
      </c>
      <c r="P106" s="199">
        <f>IF(Database!BH106="","(n/m or not derivable)",Database!BH106)</f>
        <v/>
      </c>
      <c r="Q106" s="39">
        <f>IF(Database!BN106="","",BDH(LEFT(Database!BN106,FIND(".",Database!BN106)-1)&amp;" CH Equity","PE_RATIO",Database!$H106,Database!$H106))</f>
        <v/>
      </c>
      <c r="R106" s="39">
        <f>IF(Database!BN106="","",BDH("HSAHP Index","PX_LAST",Database!$H106,Database!$H106))</f>
        <v/>
      </c>
      <c r="S106" s="39">
        <f>IFERROR(BDP(TEXT(VALUE(Database!$A106),"0")&amp;" HK Equity","PX_TO_SALES_RATIO"),"")</f>
        <v/>
      </c>
      <c r="T106" s="34">
        <f>IF(Database!BN106="","",IFERROR(BDP(LEFT(Database!BN106,FIND(".",Database!BN106)-1)&amp;" CH Equity","CUR_MKT_CAP")*BDP("CNYHKD Curncy","PX_LAST"),"Awaiting quote"))</f>
        <v/>
      </c>
    </row>
    <row r="107" ht="23" customHeight="1">
      <c r="A107" s="32">
        <f>Database!A107&amp;"  "&amp;Database!B107</f>
        <v/>
      </c>
      <c r="B107" s="24">
        <f>IFERROR(INDEX(BDS(TEXT(VALUE(Database!$A107),"0")&amp;" HK Equity","EQUITY_OFFERINGS","array=t","endcol=1"),MATCH("IPO",BDS(TEXT(VALUE(Database!$A107),"0")&amp;" HK Equity","EQUITY_OFFERINGS","array=t","startcol=2","endcol=2"),0)),"")</f>
        <v/>
      </c>
      <c r="C107" s="208">
        <f>IF($B107="","",IFERROR(BDP($B107&amp;" Action","CP036"),""))</f>
        <v/>
      </c>
      <c r="D107" s="209">
        <f>Database!S107</f>
        <v/>
      </c>
      <c r="E107" s="208">
        <f>IF($B107="","",IFERROR(BDP($B107&amp;" Action","CP037"),""))</f>
        <v/>
      </c>
      <c r="F107" s="209">
        <f>Database!T107</f>
        <v/>
      </c>
      <c r="G107" s="208">
        <f>IF($B107="","",IFERROR(BDP($B107&amp;" Action","GREENSHOE_FACILITY"),""))</f>
        <v/>
      </c>
      <c r="H107" s="208">
        <f>IF($B107="","",IFERROR(BDP($B107&amp;" Action","OFFERING_GREENSHOE_SHARES_EX"),""))</f>
        <v/>
      </c>
      <c r="I107" s="32">
        <f>Database!AE107</f>
        <v/>
      </c>
      <c r="J107" s="39">
        <f>IFERROR(BDP(TEXT(VALUE(Database!$A107),"0")&amp;" HK Equity","PE_RATIO"),"")</f>
        <v/>
      </c>
      <c r="K107" s="24">
        <f>IFERROR(BDP(TEXT(VALUE(Database!$A107),"0")&amp;" HK Equity","A/H_SHARE_CONVERSION"),"")</f>
        <v/>
      </c>
      <c r="L107" s="32">
        <f>IF(Database!BN107="","(none found)",Database!BN107)</f>
        <v/>
      </c>
      <c r="M107" s="34">
        <f>BDH(TEXT(VALUE(Database!$A107),"0")&amp;" HK Equity","CUR_MKT_CAP",Database!$H107,Database!$H107)</f>
        <v/>
      </c>
      <c r="N107" s="166">
        <f>Database!Q107</f>
        <v/>
      </c>
      <c r="O107" s="39">
        <f>BDH(TEXT(VALUE(Database!$A107),"0")&amp;" HK Equity","PE_RATIO",Database!$H107,Database!$H107)</f>
        <v/>
      </c>
      <c r="P107" s="199">
        <f>IF(Database!BH107="","(n/m or not derivable)",Database!BH107)</f>
        <v/>
      </c>
      <c r="Q107" s="39">
        <f>IF(Database!BN107="","",BDH(LEFT(Database!BN107,FIND(".",Database!BN107)-1)&amp;" CH Equity","PE_RATIO",Database!$H107,Database!$H107))</f>
        <v/>
      </c>
      <c r="R107" s="39">
        <f>IF(Database!BN107="","",BDH("HSAHP Index","PX_LAST",Database!$H107,Database!$H107))</f>
        <v/>
      </c>
      <c r="S107" s="39">
        <f>IFERROR(BDP(TEXT(VALUE(Database!$A107),"0")&amp;" HK Equity","PX_TO_SALES_RATIO"),"")</f>
        <v/>
      </c>
      <c r="T107" s="34">
        <f>IF(Database!BN107="","",IFERROR(BDP(LEFT(Database!BN107,FIND(".",Database!BN107)-1)&amp;" CH Equity","CUR_MKT_CAP")*BDP("CNYHKD Curncy","PX_LAST"),"Awaiting quote"))</f>
        <v/>
      </c>
    </row>
    <row r="108" ht="23" customHeight="1">
      <c r="A108" s="32">
        <f>Database!A108&amp;"  "&amp;Database!B108</f>
        <v/>
      </c>
      <c r="B108" s="24">
        <f>IFERROR(INDEX(BDS(TEXT(VALUE(Database!$A108),"0")&amp;" HK Equity","EQUITY_OFFERINGS","array=t","endcol=1"),MATCH("IPO",BDS(TEXT(VALUE(Database!$A108),"0")&amp;" HK Equity","EQUITY_OFFERINGS","array=t","startcol=2","endcol=2"),0)),"")</f>
        <v/>
      </c>
      <c r="C108" s="208">
        <f>IF($B108="","",IFERROR(BDP($B108&amp;" Action","CP036"),""))</f>
        <v/>
      </c>
      <c r="D108" s="209">
        <f>Database!S108</f>
        <v/>
      </c>
      <c r="E108" s="208">
        <f>IF($B108="","",IFERROR(BDP($B108&amp;" Action","CP037"),""))</f>
        <v/>
      </c>
      <c r="F108" s="209">
        <f>Database!T108</f>
        <v/>
      </c>
      <c r="G108" s="208">
        <f>IF($B108="","",IFERROR(BDP($B108&amp;" Action","GREENSHOE_FACILITY"),""))</f>
        <v/>
      </c>
      <c r="H108" s="208">
        <f>IF($B108="","",IFERROR(BDP($B108&amp;" Action","OFFERING_GREENSHOE_SHARES_EX"),""))</f>
        <v/>
      </c>
      <c r="I108" s="32">
        <f>Database!AE108</f>
        <v/>
      </c>
      <c r="J108" s="39">
        <f>IFERROR(BDP(TEXT(VALUE(Database!$A108),"0")&amp;" HK Equity","PE_RATIO"),"")</f>
        <v/>
      </c>
      <c r="K108" s="24">
        <f>IFERROR(BDP(TEXT(VALUE(Database!$A108),"0")&amp;" HK Equity","A/H_SHARE_CONVERSION"),"")</f>
        <v/>
      </c>
      <c r="L108" s="32">
        <f>IF(Database!BN108="","(none found)",Database!BN108)</f>
        <v/>
      </c>
      <c r="M108" s="34">
        <f>BDH(TEXT(VALUE(Database!$A108),"0")&amp;" HK Equity","CUR_MKT_CAP",Database!$H108,Database!$H108)</f>
        <v/>
      </c>
      <c r="N108" s="166">
        <f>Database!Q108</f>
        <v/>
      </c>
      <c r="O108" s="39">
        <f>BDH(TEXT(VALUE(Database!$A108),"0")&amp;" HK Equity","PE_RATIO",Database!$H108,Database!$H108)</f>
        <v/>
      </c>
      <c r="P108" s="199">
        <f>IF(Database!BH108="","(n/m or not derivable)",Database!BH108)</f>
        <v/>
      </c>
      <c r="Q108" s="39">
        <f>IF(Database!BN108="","",BDH(LEFT(Database!BN108,FIND(".",Database!BN108)-1)&amp;" CH Equity","PE_RATIO",Database!$H108,Database!$H108))</f>
        <v/>
      </c>
      <c r="R108" s="39">
        <f>IF(Database!BN108="","",BDH("HSAHP Index","PX_LAST",Database!$H108,Database!$H108))</f>
        <v/>
      </c>
      <c r="S108" s="39">
        <f>IFERROR(BDP(TEXT(VALUE(Database!$A108),"0")&amp;" HK Equity","PX_TO_SALES_RATIO"),"")</f>
        <v/>
      </c>
      <c r="T108" s="34">
        <f>IF(Database!BN108="","",IFERROR(BDP(LEFT(Database!BN108,FIND(".",Database!BN108)-1)&amp;" CH Equity","CUR_MKT_CAP")*BDP("CNYHKD Curncy","PX_LAST"),"Awaiting quote"))</f>
        <v/>
      </c>
    </row>
    <row r="109" ht="23" customHeight="1">
      <c r="A109" s="32">
        <f>Database!A109&amp;"  "&amp;Database!B109</f>
        <v/>
      </c>
      <c r="B109" s="24">
        <f>IFERROR(INDEX(BDS(TEXT(VALUE(Database!$A109),"0")&amp;" HK Equity","EQUITY_OFFERINGS","array=t","endcol=1"),MATCH("IPO",BDS(TEXT(VALUE(Database!$A109),"0")&amp;" HK Equity","EQUITY_OFFERINGS","array=t","startcol=2","endcol=2"),0)),"")</f>
        <v/>
      </c>
      <c r="C109" s="208">
        <f>IF($B109="","",IFERROR(BDP($B109&amp;" Action","CP036"),""))</f>
        <v/>
      </c>
      <c r="D109" s="209">
        <f>Database!S109</f>
        <v/>
      </c>
      <c r="E109" s="208">
        <f>IF($B109="","",IFERROR(BDP($B109&amp;" Action","CP037"),""))</f>
        <v/>
      </c>
      <c r="F109" s="209">
        <f>Database!T109</f>
        <v/>
      </c>
      <c r="G109" s="208">
        <f>IF($B109="","",IFERROR(BDP($B109&amp;" Action","GREENSHOE_FACILITY"),""))</f>
        <v/>
      </c>
      <c r="H109" s="208">
        <f>IF($B109="","",IFERROR(BDP($B109&amp;" Action","OFFERING_GREENSHOE_SHARES_EX"),""))</f>
        <v/>
      </c>
      <c r="I109" s="32">
        <f>Database!AE109</f>
        <v/>
      </c>
      <c r="J109" s="39">
        <f>IFERROR(BDP(TEXT(VALUE(Database!$A109),"0")&amp;" HK Equity","PE_RATIO"),"")</f>
        <v/>
      </c>
      <c r="K109" s="24">
        <f>IFERROR(BDP(TEXT(VALUE(Database!$A109),"0")&amp;" HK Equity","A/H_SHARE_CONVERSION"),"")</f>
        <v/>
      </c>
      <c r="L109" s="32">
        <f>IF(Database!BN109="","(none found)",Database!BN109)</f>
        <v/>
      </c>
      <c r="M109" s="34">
        <f>BDH(TEXT(VALUE(Database!$A109),"0")&amp;" HK Equity","CUR_MKT_CAP",Database!$H109,Database!$H109)</f>
        <v/>
      </c>
      <c r="N109" s="166">
        <f>Database!Q109</f>
        <v/>
      </c>
      <c r="O109" s="39">
        <f>BDH(TEXT(VALUE(Database!$A109),"0")&amp;" HK Equity","PE_RATIO",Database!$H109,Database!$H109)</f>
        <v/>
      </c>
      <c r="P109" s="199">
        <f>IF(Database!BH109="","(n/m or not derivable)",Database!BH109)</f>
        <v/>
      </c>
      <c r="Q109" s="39">
        <f>IF(Database!BN109="","",BDH(LEFT(Database!BN109,FIND(".",Database!BN109)-1)&amp;" CH Equity","PE_RATIO",Database!$H109,Database!$H109))</f>
        <v/>
      </c>
      <c r="R109" s="39">
        <f>IF(Database!BN109="","",BDH("HSAHP Index","PX_LAST",Database!$H109,Database!$H109))</f>
        <v/>
      </c>
      <c r="S109" s="39">
        <f>IFERROR(BDP(TEXT(VALUE(Database!$A109),"0")&amp;" HK Equity","PX_TO_SALES_RATIO"),"")</f>
        <v/>
      </c>
      <c r="T109" s="34">
        <f>IF(Database!BN109="","",IFERROR(BDP(LEFT(Database!BN109,FIND(".",Database!BN109)-1)&amp;" CH Equity","CUR_MKT_CAP")*BDP("CNYHKD Curncy","PX_LAST"),"Awaiting quote"))</f>
        <v/>
      </c>
    </row>
    <row r="110" ht="23" customHeight="1">
      <c r="A110" s="32">
        <f>Database!A110&amp;"  "&amp;Database!B110</f>
        <v/>
      </c>
      <c r="B110" s="24">
        <f>IFERROR(INDEX(BDS(TEXT(VALUE(Database!$A110),"0")&amp;" HK Equity","EQUITY_OFFERINGS","array=t","endcol=1"),MATCH("IPO",BDS(TEXT(VALUE(Database!$A110),"0")&amp;" HK Equity","EQUITY_OFFERINGS","array=t","startcol=2","endcol=2"),0)),"")</f>
        <v/>
      </c>
      <c r="C110" s="208">
        <f>IF($B110="","",IFERROR(BDP($B110&amp;" Action","CP036"),""))</f>
        <v/>
      </c>
      <c r="D110" s="209">
        <f>Database!S110</f>
        <v/>
      </c>
      <c r="E110" s="208">
        <f>IF($B110="","",IFERROR(BDP($B110&amp;" Action","CP037"),""))</f>
        <v/>
      </c>
      <c r="F110" s="209">
        <f>Database!T110</f>
        <v/>
      </c>
      <c r="G110" s="208">
        <f>IF($B110="","",IFERROR(BDP($B110&amp;" Action","GREENSHOE_FACILITY"),""))</f>
        <v/>
      </c>
      <c r="H110" s="208">
        <f>IF($B110="","",IFERROR(BDP($B110&amp;" Action","OFFERING_GREENSHOE_SHARES_EX"),""))</f>
        <v/>
      </c>
      <c r="I110" s="32">
        <f>Database!AE110</f>
        <v/>
      </c>
      <c r="J110" s="39">
        <f>IFERROR(BDP(TEXT(VALUE(Database!$A110),"0")&amp;" HK Equity","PE_RATIO"),"")</f>
        <v/>
      </c>
      <c r="K110" s="24">
        <f>IFERROR(BDP(TEXT(VALUE(Database!$A110),"0")&amp;" HK Equity","A/H_SHARE_CONVERSION"),"")</f>
        <v/>
      </c>
      <c r="L110" s="32">
        <f>IF(Database!BN110="","(none found)",Database!BN110)</f>
        <v/>
      </c>
      <c r="M110" s="34">
        <f>BDH(TEXT(VALUE(Database!$A110),"0")&amp;" HK Equity","CUR_MKT_CAP",Database!$H110,Database!$H110)</f>
        <v/>
      </c>
      <c r="N110" s="166">
        <f>Database!Q110</f>
        <v/>
      </c>
      <c r="O110" s="39">
        <f>BDH(TEXT(VALUE(Database!$A110),"0")&amp;" HK Equity","PE_RATIO",Database!$H110,Database!$H110)</f>
        <v/>
      </c>
      <c r="P110" s="199">
        <f>IF(Database!BH110="","(n/m or not derivable)",Database!BH110)</f>
        <v/>
      </c>
      <c r="Q110" s="39">
        <f>IF(Database!BN110="","",BDH(LEFT(Database!BN110,FIND(".",Database!BN110)-1)&amp;" CH Equity","PE_RATIO",Database!$H110,Database!$H110))</f>
        <v/>
      </c>
      <c r="R110" s="39">
        <f>IF(Database!BN110="","",BDH("HSAHP Index","PX_LAST",Database!$H110,Database!$H110))</f>
        <v/>
      </c>
      <c r="S110" s="39">
        <f>IFERROR(BDP(TEXT(VALUE(Database!$A110),"0")&amp;" HK Equity","PX_TO_SALES_RATIO"),"")</f>
        <v/>
      </c>
      <c r="T110" s="34">
        <f>IF(Database!BN110="","",IFERROR(BDP(LEFT(Database!BN110,FIND(".",Database!BN110)-1)&amp;" CH Equity","CUR_MKT_CAP")*BDP("CNYHKD Curncy","PX_LAST"),"Awaiting quote"))</f>
        <v/>
      </c>
    </row>
    <row r="111" ht="23" customHeight="1">
      <c r="A111" s="32">
        <f>Database!A111&amp;"  "&amp;Database!B111</f>
        <v/>
      </c>
      <c r="B111" s="24">
        <f>IFERROR(INDEX(BDS(TEXT(VALUE(Database!$A111),"0")&amp;" HK Equity","EQUITY_OFFERINGS","array=t","endcol=1"),MATCH("IPO",BDS(TEXT(VALUE(Database!$A111),"0")&amp;" HK Equity","EQUITY_OFFERINGS","array=t","startcol=2","endcol=2"),0)),"")</f>
        <v/>
      </c>
      <c r="C111" s="208">
        <f>IF($B111="","",IFERROR(BDP($B111&amp;" Action","CP036"),""))</f>
        <v/>
      </c>
      <c r="D111" s="209">
        <f>Database!S111</f>
        <v/>
      </c>
      <c r="E111" s="208">
        <f>IF($B111="","",IFERROR(BDP($B111&amp;" Action","CP037"),""))</f>
        <v/>
      </c>
      <c r="F111" s="209">
        <f>Database!T111</f>
        <v/>
      </c>
      <c r="G111" s="208">
        <f>IF($B111="","",IFERROR(BDP($B111&amp;" Action","GREENSHOE_FACILITY"),""))</f>
        <v/>
      </c>
      <c r="H111" s="208">
        <f>IF($B111="","",IFERROR(BDP($B111&amp;" Action","OFFERING_GREENSHOE_SHARES_EX"),""))</f>
        <v/>
      </c>
      <c r="I111" s="32">
        <f>Database!AE111</f>
        <v/>
      </c>
      <c r="J111" s="39">
        <f>IFERROR(BDP(TEXT(VALUE(Database!$A111),"0")&amp;" HK Equity","PE_RATIO"),"")</f>
        <v/>
      </c>
      <c r="K111" s="24">
        <f>IFERROR(BDP(TEXT(VALUE(Database!$A111),"0")&amp;" HK Equity","A/H_SHARE_CONVERSION"),"")</f>
        <v/>
      </c>
      <c r="L111" s="32">
        <f>IF(Database!BN111="","(none found)",Database!BN111)</f>
        <v/>
      </c>
      <c r="M111" s="34">
        <f>BDH(TEXT(VALUE(Database!$A111),"0")&amp;" HK Equity","CUR_MKT_CAP",Database!$H111,Database!$H111)</f>
        <v/>
      </c>
      <c r="N111" s="166">
        <f>Database!Q111</f>
        <v/>
      </c>
      <c r="O111" s="39">
        <f>BDH(TEXT(VALUE(Database!$A111),"0")&amp;" HK Equity","PE_RATIO",Database!$H111,Database!$H111)</f>
        <v/>
      </c>
      <c r="P111" s="199">
        <f>IF(Database!BH111="","(n/m or not derivable)",Database!BH111)</f>
        <v/>
      </c>
      <c r="Q111" s="39">
        <f>IF(Database!BN111="","",BDH(LEFT(Database!BN111,FIND(".",Database!BN111)-1)&amp;" CH Equity","PE_RATIO",Database!$H111,Database!$H111))</f>
        <v/>
      </c>
      <c r="R111" s="39">
        <f>IF(Database!BN111="","",BDH("HSAHP Index","PX_LAST",Database!$H111,Database!$H111))</f>
        <v/>
      </c>
      <c r="S111" s="39">
        <f>IFERROR(BDP(TEXT(VALUE(Database!$A111),"0")&amp;" HK Equity","PX_TO_SALES_RATIO"),"")</f>
        <v/>
      </c>
      <c r="T111" s="34">
        <f>IF(Database!BN111="","",IFERROR(BDP(LEFT(Database!BN111,FIND(".",Database!BN111)-1)&amp;" CH Equity","CUR_MKT_CAP")*BDP("CNYHKD Curncy","PX_LAST"),"Awaiting quote"))</f>
        <v/>
      </c>
    </row>
    <row r="112" ht="23" customHeight="1">
      <c r="A112" s="32">
        <f>Database!A112&amp;"  "&amp;Database!B112</f>
        <v/>
      </c>
      <c r="B112" s="24">
        <f>IFERROR(INDEX(BDS(TEXT(VALUE(Database!$A112),"0")&amp;" HK Equity","EQUITY_OFFERINGS","array=t","endcol=1"),MATCH("IPO",BDS(TEXT(VALUE(Database!$A112),"0")&amp;" HK Equity","EQUITY_OFFERINGS","array=t","startcol=2","endcol=2"),0)),"")</f>
        <v/>
      </c>
      <c r="C112" s="208">
        <f>IF($B112="","",IFERROR(BDP($B112&amp;" Action","CP036"),""))</f>
        <v/>
      </c>
      <c r="D112" s="209">
        <f>Database!S112</f>
        <v/>
      </c>
      <c r="E112" s="208">
        <f>IF($B112="","",IFERROR(BDP($B112&amp;" Action","CP037"),""))</f>
        <v/>
      </c>
      <c r="F112" s="209">
        <f>Database!T112</f>
        <v/>
      </c>
      <c r="G112" s="208">
        <f>IF($B112="","",IFERROR(BDP($B112&amp;" Action","GREENSHOE_FACILITY"),""))</f>
        <v/>
      </c>
      <c r="H112" s="208">
        <f>IF($B112="","",IFERROR(BDP($B112&amp;" Action","OFFERING_GREENSHOE_SHARES_EX"),""))</f>
        <v/>
      </c>
      <c r="I112" s="32">
        <f>Database!AE112</f>
        <v/>
      </c>
      <c r="J112" s="39">
        <f>IFERROR(BDP(TEXT(VALUE(Database!$A112),"0")&amp;" HK Equity","PE_RATIO"),"")</f>
        <v/>
      </c>
      <c r="K112" s="24">
        <f>IFERROR(BDP(TEXT(VALUE(Database!$A112),"0")&amp;" HK Equity","A/H_SHARE_CONVERSION"),"")</f>
        <v/>
      </c>
      <c r="L112" s="32">
        <f>IF(Database!BN112="","(none found)",Database!BN112)</f>
        <v/>
      </c>
      <c r="M112" s="34">
        <f>BDH(TEXT(VALUE(Database!$A112),"0")&amp;" HK Equity","CUR_MKT_CAP",Database!$H112,Database!$H112)</f>
        <v/>
      </c>
      <c r="N112" s="166">
        <f>Database!Q112</f>
        <v/>
      </c>
      <c r="O112" s="39">
        <f>BDH(TEXT(VALUE(Database!$A112),"0")&amp;" HK Equity","PE_RATIO",Database!$H112,Database!$H112)</f>
        <v/>
      </c>
      <c r="P112" s="199">
        <f>IF(Database!BH112="","(n/m or not derivable)",Database!BH112)</f>
        <v/>
      </c>
      <c r="Q112" s="39">
        <f>IF(Database!BN112="","",BDH(LEFT(Database!BN112,FIND(".",Database!BN112)-1)&amp;" CH Equity","PE_RATIO",Database!$H112,Database!$H112))</f>
        <v/>
      </c>
      <c r="R112" s="39">
        <f>IF(Database!BN112="","",BDH("HSAHP Index","PX_LAST",Database!$H112,Database!$H112))</f>
        <v/>
      </c>
      <c r="S112" s="39">
        <f>IFERROR(BDP(TEXT(VALUE(Database!$A112),"0")&amp;" HK Equity","PX_TO_SALES_RATIO"),"")</f>
        <v/>
      </c>
      <c r="T112" s="34">
        <f>IF(Database!BN112="","",IFERROR(BDP(LEFT(Database!BN112,FIND(".",Database!BN112)-1)&amp;" CH Equity","CUR_MKT_CAP")*BDP("CNYHKD Curncy","PX_LAST"),"Awaiting quote"))</f>
        <v/>
      </c>
    </row>
    <row r="113" ht="23" customHeight="1">
      <c r="A113" s="32">
        <f>Database!A113&amp;"  "&amp;Database!B113</f>
        <v/>
      </c>
      <c r="B113" s="24">
        <f>IFERROR(INDEX(BDS(TEXT(VALUE(Database!$A113),"0")&amp;" HK Equity","EQUITY_OFFERINGS","array=t","endcol=1"),MATCH("IPO",BDS(TEXT(VALUE(Database!$A113),"0")&amp;" HK Equity","EQUITY_OFFERINGS","array=t","startcol=2","endcol=2"),0)),"")</f>
        <v/>
      </c>
      <c r="C113" s="208">
        <f>IF($B113="","",IFERROR(BDP($B113&amp;" Action","CP036"),""))</f>
        <v/>
      </c>
      <c r="D113" s="209">
        <f>Database!S113</f>
        <v/>
      </c>
      <c r="E113" s="208">
        <f>IF($B113="","",IFERROR(BDP($B113&amp;" Action","CP037"),""))</f>
        <v/>
      </c>
      <c r="F113" s="209">
        <f>Database!T113</f>
        <v/>
      </c>
      <c r="G113" s="208">
        <f>IF($B113="","",IFERROR(BDP($B113&amp;" Action","GREENSHOE_FACILITY"),""))</f>
        <v/>
      </c>
      <c r="H113" s="208">
        <f>IF($B113="","",IFERROR(BDP($B113&amp;" Action","OFFERING_GREENSHOE_SHARES_EX"),""))</f>
        <v/>
      </c>
      <c r="I113" s="32">
        <f>Database!AE113</f>
        <v/>
      </c>
      <c r="J113" s="39">
        <f>IFERROR(BDP(TEXT(VALUE(Database!$A113),"0")&amp;" HK Equity","PE_RATIO"),"")</f>
        <v/>
      </c>
      <c r="K113" s="24">
        <f>IFERROR(BDP(TEXT(VALUE(Database!$A113),"0")&amp;" HK Equity","A/H_SHARE_CONVERSION"),"")</f>
        <v/>
      </c>
      <c r="L113" s="32">
        <f>IF(Database!BN113="","(none found)",Database!BN113)</f>
        <v/>
      </c>
      <c r="M113" s="34">
        <f>BDH(TEXT(VALUE(Database!$A113),"0")&amp;" HK Equity","CUR_MKT_CAP",Database!$H113,Database!$H113)</f>
        <v/>
      </c>
      <c r="N113" s="166">
        <f>Database!Q113</f>
        <v/>
      </c>
      <c r="O113" s="39">
        <f>BDH(TEXT(VALUE(Database!$A113),"0")&amp;" HK Equity","PE_RATIO",Database!$H113,Database!$H113)</f>
        <v/>
      </c>
      <c r="P113" s="199">
        <f>IF(Database!BH113="","(n/m or not derivable)",Database!BH113)</f>
        <v/>
      </c>
      <c r="Q113" s="39">
        <f>IF(Database!BN113="","",BDH(LEFT(Database!BN113,FIND(".",Database!BN113)-1)&amp;" CH Equity","PE_RATIO",Database!$H113,Database!$H113))</f>
        <v/>
      </c>
      <c r="R113" s="39">
        <f>IF(Database!BN113="","",BDH("HSAHP Index","PX_LAST",Database!$H113,Database!$H113))</f>
        <v/>
      </c>
      <c r="S113" s="39">
        <f>IFERROR(BDP(TEXT(VALUE(Database!$A113),"0")&amp;" HK Equity","PX_TO_SALES_RATIO"),"")</f>
        <v/>
      </c>
      <c r="T113" s="34">
        <f>IF(Database!BN113="","",IFERROR(BDP(LEFT(Database!BN113,FIND(".",Database!BN113)-1)&amp;" CH Equity","CUR_MKT_CAP")*BDP("CNYHKD Curncy","PX_LAST"),"Awaiting quote"))</f>
        <v/>
      </c>
    </row>
    <row r="114" ht="23" customHeight="1">
      <c r="A114" s="32">
        <f>Database!A114&amp;"  "&amp;Database!B114</f>
        <v/>
      </c>
      <c r="B114" s="24">
        <f>IFERROR(INDEX(BDS(TEXT(VALUE(Database!$A114),"0")&amp;" HK Equity","EQUITY_OFFERINGS","array=t","endcol=1"),MATCH("IPO",BDS(TEXT(VALUE(Database!$A114),"0")&amp;" HK Equity","EQUITY_OFFERINGS","array=t","startcol=2","endcol=2"),0)),"")</f>
        <v/>
      </c>
      <c r="C114" s="208">
        <f>IF($B114="","",IFERROR(BDP($B114&amp;" Action","CP036"),""))</f>
        <v/>
      </c>
      <c r="D114" s="209">
        <f>Database!S114</f>
        <v/>
      </c>
      <c r="E114" s="208">
        <f>IF($B114="","",IFERROR(BDP($B114&amp;" Action","CP037"),""))</f>
        <v/>
      </c>
      <c r="F114" s="209">
        <f>Database!T114</f>
        <v/>
      </c>
      <c r="G114" s="208">
        <f>IF($B114="","",IFERROR(BDP($B114&amp;" Action","GREENSHOE_FACILITY"),""))</f>
        <v/>
      </c>
      <c r="H114" s="208">
        <f>IF($B114="","",IFERROR(BDP($B114&amp;" Action","OFFERING_GREENSHOE_SHARES_EX"),""))</f>
        <v/>
      </c>
      <c r="I114" s="32">
        <f>Database!AE114</f>
        <v/>
      </c>
      <c r="J114" s="39">
        <f>IFERROR(BDP(TEXT(VALUE(Database!$A114),"0")&amp;" HK Equity","PE_RATIO"),"")</f>
        <v/>
      </c>
      <c r="K114" s="24">
        <f>IFERROR(BDP(TEXT(VALUE(Database!$A114),"0")&amp;" HK Equity","A/H_SHARE_CONVERSION"),"")</f>
        <v/>
      </c>
      <c r="L114" s="32">
        <f>IF(Database!BN114="","(none found)",Database!BN114)</f>
        <v/>
      </c>
      <c r="M114" s="34">
        <f>BDH(TEXT(VALUE(Database!$A114),"0")&amp;" HK Equity","CUR_MKT_CAP",Database!$H114,Database!$H114)</f>
        <v/>
      </c>
      <c r="N114" s="166">
        <f>Database!Q114</f>
        <v/>
      </c>
      <c r="O114" s="39">
        <f>BDH(TEXT(VALUE(Database!$A114),"0")&amp;" HK Equity","PE_RATIO",Database!$H114,Database!$H114)</f>
        <v/>
      </c>
      <c r="P114" s="199">
        <f>IF(Database!BH114="","(n/m or not derivable)",Database!BH114)</f>
        <v/>
      </c>
      <c r="Q114" s="39">
        <f>IF(Database!BN114="","",BDH(LEFT(Database!BN114,FIND(".",Database!BN114)-1)&amp;" CH Equity","PE_RATIO",Database!$H114,Database!$H114))</f>
        <v/>
      </c>
      <c r="R114" s="39">
        <f>IF(Database!BN114="","",BDH("HSAHP Index","PX_LAST",Database!$H114,Database!$H114))</f>
        <v/>
      </c>
      <c r="S114" s="39">
        <f>IFERROR(BDP(TEXT(VALUE(Database!$A114),"0")&amp;" HK Equity","PX_TO_SALES_RATIO"),"")</f>
        <v/>
      </c>
      <c r="T114" s="34">
        <f>IF(Database!BN114="","",IFERROR(BDP(LEFT(Database!BN114,FIND(".",Database!BN114)-1)&amp;" CH Equity","CUR_MKT_CAP")*BDP("CNYHKD Curncy","PX_LAST"),"Awaiting quote"))</f>
        <v/>
      </c>
    </row>
    <row r="115" ht="23" customHeight="1">
      <c r="A115" s="32">
        <f>Database!A115&amp;"  "&amp;Database!B115</f>
        <v/>
      </c>
      <c r="B115" s="24">
        <f>IFERROR(INDEX(BDS(TEXT(VALUE(Database!$A115),"0")&amp;" HK Equity","EQUITY_OFFERINGS","array=t","endcol=1"),MATCH("IPO",BDS(TEXT(VALUE(Database!$A115),"0")&amp;" HK Equity","EQUITY_OFFERINGS","array=t","startcol=2","endcol=2"),0)),"")</f>
        <v/>
      </c>
      <c r="C115" s="208">
        <f>IF($B115="","",IFERROR(BDP($B115&amp;" Action","CP036"),""))</f>
        <v/>
      </c>
      <c r="D115" s="209">
        <f>Database!S115</f>
        <v/>
      </c>
      <c r="E115" s="208">
        <f>IF($B115="","",IFERROR(BDP($B115&amp;" Action","CP037"),""))</f>
        <v/>
      </c>
      <c r="F115" s="209">
        <f>Database!T115</f>
        <v/>
      </c>
      <c r="G115" s="208">
        <f>IF($B115="","",IFERROR(BDP($B115&amp;" Action","GREENSHOE_FACILITY"),""))</f>
        <v/>
      </c>
      <c r="H115" s="208">
        <f>IF($B115="","",IFERROR(BDP($B115&amp;" Action","OFFERING_GREENSHOE_SHARES_EX"),""))</f>
        <v/>
      </c>
      <c r="I115" s="32">
        <f>Database!AE115</f>
        <v/>
      </c>
      <c r="J115" s="39">
        <f>IFERROR(BDP(TEXT(VALUE(Database!$A115),"0")&amp;" HK Equity","PE_RATIO"),"")</f>
        <v/>
      </c>
      <c r="K115" s="24">
        <f>IFERROR(BDP(TEXT(VALUE(Database!$A115),"0")&amp;" HK Equity","A/H_SHARE_CONVERSION"),"")</f>
        <v/>
      </c>
      <c r="L115" s="32">
        <f>IF(Database!BN115="","(none found)",Database!BN115)</f>
        <v/>
      </c>
      <c r="M115" s="34">
        <f>BDH(TEXT(VALUE(Database!$A115),"0")&amp;" HK Equity","CUR_MKT_CAP",Database!$H115,Database!$H115)</f>
        <v/>
      </c>
      <c r="N115" s="166">
        <f>Database!Q115</f>
        <v/>
      </c>
      <c r="O115" s="39">
        <f>BDH(TEXT(VALUE(Database!$A115),"0")&amp;" HK Equity","PE_RATIO",Database!$H115,Database!$H115)</f>
        <v/>
      </c>
      <c r="P115" s="199">
        <f>IF(Database!BH115="","(n/m or not derivable)",Database!BH115)</f>
        <v/>
      </c>
      <c r="Q115" s="39">
        <f>IF(Database!BN115="","",BDH(LEFT(Database!BN115,FIND(".",Database!BN115)-1)&amp;" CH Equity","PE_RATIO",Database!$H115,Database!$H115))</f>
        <v/>
      </c>
      <c r="R115" s="39">
        <f>IF(Database!BN115="","",BDH("HSAHP Index","PX_LAST",Database!$H115,Database!$H115))</f>
        <v/>
      </c>
      <c r="S115" s="39">
        <f>IFERROR(BDP(TEXT(VALUE(Database!$A115),"0")&amp;" HK Equity","PX_TO_SALES_RATIO"),"")</f>
        <v/>
      </c>
      <c r="T115" s="34">
        <f>IF(Database!BN115="","",IFERROR(BDP(LEFT(Database!BN115,FIND(".",Database!BN115)-1)&amp;" CH Equity","CUR_MKT_CAP")*BDP("CNYHKD Curncy","PX_LAST"),"Awaiting quote"))</f>
        <v/>
      </c>
    </row>
    <row r="116" ht="23" customHeight="1">
      <c r="A116" s="32">
        <f>Database!A116&amp;"  "&amp;Database!B116</f>
        <v/>
      </c>
      <c r="B116" s="24">
        <f>IFERROR(INDEX(BDS(TEXT(VALUE(Database!$A116),"0")&amp;" HK Equity","EQUITY_OFFERINGS","array=t","endcol=1"),MATCH("IPO",BDS(TEXT(VALUE(Database!$A116),"0")&amp;" HK Equity","EQUITY_OFFERINGS","array=t","startcol=2","endcol=2"),0)),"")</f>
        <v/>
      </c>
      <c r="C116" s="208">
        <f>IF($B116="","",IFERROR(BDP($B116&amp;" Action","CP036"),""))</f>
        <v/>
      </c>
      <c r="D116" s="209">
        <f>Database!S116</f>
        <v/>
      </c>
      <c r="E116" s="208">
        <f>IF($B116="","",IFERROR(BDP($B116&amp;" Action","CP037"),""))</f>
        <v/>
      </c>
      <c r="F116" s="209">
        <f>Database!T116</f>
        <v/>
      </c>
      <c r="G116" s="208">
        <f>IF($B116="","",IFERROR(BDP($B116&amp;" Action","GREENSHOE_FACILITY"),""))</f>
        <v/>
      </c>
      <c r="H116" s="208">
        <f>IF($B116="","",IFERROR(BDP($B116&amp;" Action","OFFERING_GREENSHOE_SHARES_EX"),""))</f>
        <v/>
      </c>
      <c r="I116" s="32">
        <f>Database!AE116</f>
        <v/>
      </c>
      <c r="J116" s="39">
        <f>IFERROR(BDP(TEXT(VALUE(Database!$A116),"0")&amp;" HK Equity","PE_RATIO"),"")</f>
        <v/>
      </c>
      <c r="K116" s="24">
        <f>IFERROR(BDP(TEXT(VALUE(Database!$A116),"0")&amp;" HK Equity","A/H_SHARE_CONVERSION"),"")</f>
        <v/>
      </c>
      <c r="L116" s="32">
        <f>IF(Database!BN116="","(none found)",Database!BN116)</f>
        <v/>
      </c>
      <c r="M116" s="34">
        <f>BDH(TEXT(VALUE(Database!$A116),"0")&amp;" HK Equity","CUR_MKT_CAP",Database!$H116,Database!$H116)</f>
        <v/>
      </c>
      <c r="N116" s="166">
        <f>Database!Q116</f>
        <v/>
      </c>
      <c r="O116" s="39">
        <f>BDH(TEXT(VALUE(Database!$A116),"0")&amp;" HK Equity","PE_RATIO",Database!$H116,Database!$H116)</f>
        <v/>
      </c>
      <c r="P116" s="199">
        <f>IF(Database!BH116="","(n/m or not derivable)",Database!BH116)</f>
        <v/>
      </c>
      <c r="Q116" s="39">
        <f>IF(Database!BN116="","",BDH(LEFT(Database!BN116,FIND(".",Database!BN116)-1)&amp;" CH Equity","PE_RATIO",Database!$H116,Database!$H116))</f>
        <v/>
      </c>
      <c r="R116" s="39">
        <f>IF(Database!BN116="","",BDH("HSAHP Index","PX_LAST",Database!$H116,Database!$H116))</f>
        <v/>
      </c>
      <c r="S116" s="39">
        <f>IFERROR(BDP(TEXT(VALUE(Database!$A116),"0")&amp;" HK Equity","PX_TO_SALES_RATIO"),"")</f>
        <v/>
      </c>
      <c r="T116" s="34">
        <f>IF(Database!BN116="","",IFERROR(BDP(LEFT(Database!BN116,FIND(".",Database!BN116)-1)&amp;" CH Equity","CUR_MKT_CAP")*BDP("CNYHKD Curncy","PX_LAST"),"Awaiting quote"))</f>
        <v/>
      </c>
    </row>
    <row r="117" ht="23" customHeight="1">
      <c r="A117" s="32">
        <f>Database!A117&amp;"  "&amp;Database!B117</f>
        <v/>
      </c>
      <c r="B117" s="24">
        <f>IFERROR(INDEX(BDS(TEXT(VALUE(Database!$A117),"0")&amp;" HK Equity","EQUITY_OFFERINGS","array=t","endcol=1"),MATCH("IPO",BDS(TEXT(VALUE(Database!$A117),"0")&amp;" HK Equity","EQUITY_OFFERINGS","array=t","startcol=2","endcol=2"),0)),"")</f>
        <v/>
      </c>
      <c r="C117" s="208">
        <f>IF($B117="","",IFERROR(BDP($B117&amp;" Action","CP036"),""))</f>
        <v/>
      </c>
      <c r="D117" s="209">
        <f>Database!S117</f>
        <v/>
      </c>
      <c r="E117" s="208">
        <f>IF($B117="","",IFERROR(BDP($B117&amp;" Action","CP037"),""))</f>
        <v/>
      </c>
      <c r="F117" s="209">
        <f>Database!T117</f>
        <v/>
      </c>
      <c r="G117" s="208">
        <f>IF($B117="","",IFERROR(BDP($B117&amp;" Action","GREENSHOE_FACILITY"),""))</f>
        <v/>
      </c>
      <c r="H117" s="208">
        <f>IF($B117="","",IFERROR(BDP($B117&amp;" Action","OFFERING_GREENSHOE_SHARES_EX"),""))</f>
        <v/>
      </c>
      <c r="I117" s="32">
        <f>Database!AE117</f>
        <v/>
      </c>
      <c r="J117" s="39">
        <f>IFERROR(BDP(TEXT(VALUE(Database!$A117),"0")&amp;" HK Equity","PE_RATIO"),"")</f>
        <v/>
      </c>
      <c r="K117" s="24">
        <f>IFERROR(BDP(TEXT(VALUE(Database!$A117),"0")&amp;" HK Equity","A/H_SHARE_CONVERSION"),"")</f>
        <v/>
      </c>
      <c r="L117" s="32">
        <f>IF(Database!BN117="","(none found)",Database!BN117)</f>
        <v/>
      </c>
      <c r="M117" s="34">
        <f>BDH(TEXT(VALUE(Database!$A117),"0")&amp;" HK Equity","CUR_MKT_CAP",Database!$H117,Database!$H117)</f>
        <v/>
      </c>
      <c r="N117" s="166">
        <f>Database!Q117</f>
        <v/>
      </c>
      <c r="O117" s="39">
        <f>BDH(TEXT(VALUE(Database!$A117),"0")&amp;" HK Equity","PE_RATIO",Database!$H117,Database!$H117)</f>
        <v/>
      </c>
      <c r="P117" s="199">
        <f>IF(Database!BH117="","(n/m or not derivable)",Database!BH117)</f>
        <v/>
      </c>
      <c r="Q117" s="39">
        <f>IF(Database!BN117="","",BDH(LEFT(Database!BN117,FIND(".",Database!BN117)-1)&amp;" CH Equity","PE_RATIO",Database!$H117,Database!$H117))</f>
        <v/>
      </c>
      <c r="R117" s="39">
        <f>IF(Database!BN117="","",BDH("HSAHP Index","PX_LAST",Database!$H117,Database!$H117))</f>
        <v/>
      </c>
      <c r="S117" s="39">
        <f>IFERROR(BDP(TEXT(VALUE(Database!$A117),"0")&amp;" HK Equity","PX_TO_SALES_RATIO"),"")</f>
        <v/>
      </c>
      <c r="T117" s="34">
        <f>IF(Database!BN117="","",IFERROR(BDP(LEFT(Database!BN117,FIND(".",Database!BN117)-1)&amp;" CH Equity","CUR_MKT_CAP")*BDP("CNYHKD Curncy","PX_LAST"),"Awaiting quote"))</f>
        <v/>
      </c>
    </row>
    <row r="118" ht="23" customHeight="1">
      <c r="A118" s="32">
        <f>Database!A118&amp;"  "&amp;Database!B118</f>
        <v/>
      </c>
      <c r="B118" s="24">
        <f>IFERROR(INDEX(BDS(TEXT(VALUE(Database!$A118),"0")&amp;" HK Equity","EQUITY_OFFERINGS","array=t","endcol=1"),MATCH("IPO",BDS(TEXT(VALUE(Database!$A118),"0")&amp;" HK Equity","EQUITY_OFFERINGS","array=t","startcol=2","endcol=2"),0)),"")</f>
        <v/>
      </c>
      <c r="C118" s="208">
        <f>IF($B118="","",IFERROR(BDP($B118&amp;" Action","CP036"),""))</f>
        <v/>
      </c>
      <c r="D118" s="209">
        <f>Database!S118</f>
        <v/>
      </c>
      <c r="E118" s="208">
        <f>IF($B118="","",IFERROR(BDP($B118&amp;" Action","CP037"),""))</f>
        <v/>
      </c>
      <c r="F118" s="209">
        <f>Database!T118</f>
        <v/>
      </c>
      <c r="G118" s="208">
        <f>IF($B118="","",IFERROR(BDP($B118&amp;" Action","GREENSHOE_FACILITY"),""))</f>
        <v/>
      </c>
      <c r="H118" s="208">
        <f>IF($B118="","",IFERROR(BDP($B118&amp;" Action","OFFERING_GREENSHOE_SHARES_EX"),""))</f>
        <v/>
      </c>
      <c r="I118" s="32">
        <f>Database!AE118</f>
        <v/>
      </c>
      <c r="J118" s="39">
        <f>IFERROR(BDP(TEXT(VALUE(Database!$A118),"0")&amp;" HK Equity","PE_RATIO"),"")</f>
        <v/>
      </c>
      <c r="K118" s="24">
        <f>IFERROR(BDP(TEXT(VALUE(Database!$A118),"0")&amp;" HK Equity","A/H_SHARE_CONVERSION"),"")</f>
        <v/>
      </c>
      <c r="L118" s="32">
        <f>IF(Database!BN118="","(none found)",Database!BN118)</f>
        <v/>
      </c>
      <c r="M118" s="34">
        <f>BDH(TEXT(VALUE(Database!$A118),"0")&amp;" HK Equity","CUR_MKT_CAP",Database!$H118,Database!$H118)</f>
        <v/>
      </c>
      <c r="N118" s="166">
        <f>Database!Q118</f>
        <v/>
      </c>
      <c r="O118" s="39">
        <f>BDH(TEXT(VALUE(Database!$A118),"0")&amp;" HK Equity","PE_RATIO",Database!$H118,Database!$H118)</f>
        <v/>
      </c>
      <c r="P118" s="199">
        <f>IF(Database!BH118="","(n/m or not derivable)",Database!BH118)</f>
        <v/>
      </c>
      <c r="Q118" s="39">
        <f>IF(Database!BN118="","",BDH(LEFT(Database!BN118,FIND(".",Database!BN118)-1)&amp;" CH Equity","PE_RATIO",Database!$H118,Database!$H118))</f>
        <v/>
      </c>
      <c r="R118" s="39">
        <f>IF(Database!BN118="","",BDH("HSAHP Index","PX_LAST",Database!$H118,Database!$H118))</f>
        <v/>
      </c>
      <c r="S118" s="39">
        <f>IFERROR(BDP(TEXT(VALUE(Database!$A118),"0")&amp;" HK Equity","PX_TO_SALES_RATIO"),"")</f>
        <v/>
      </c>
      <c r="T118" s="34">
        <f>IF(Database!BN118="","",IFERROR(BDP(LEFT(Database!BN118,FIND(".",Database!BN118)-1)&amp;" CH Equity","CUR_MKT_CAP")*BDP("CNYHKD Curncy","PX_LAST"),"Awaiting quote"))</f>
        <v/>
      </c>
    </row>
    <row r="119" ht="23" customHeight="1">
      <c r="A119" s="32">
        <f>Database!A119&amp;"  "&amp;Database!B119</f>
        <v/>
      </c>
      <c r="B119" s="24">
        <f>IFERROR(INDEX(BDS(TEXT(VALUE(Database!$A119),"0")&amp;" HK Equity","EQUITY_OFFERINGS","array=t","endcol=1"),MATCH("IPO",BDS(TEXT(VALUE(Database!$A119),"0")&amp;" HK Equity","EQUITY_OFFERINGS","array=t","startcol=2","endcol=2"),0)),"")</f>
        <v/>
      </c>
      <c r="C119" s="208">
        <f>IF($B119="","",IFERROR(BDP($B119&amp;" Action","CP036"),""))</f>
        <v/>
      </c>
      <c r="D119" s="209">
        <f>Database!S119</f>
        <v/>
      </c>
      <c r="E119" s="208">
        <f>IF($B119="","",IFERROR(BDP($B119&amp;" Action","CP037"),""))</f>
        <v/>
      </c>
      <c r="F119" s="209">
        <f>Database!T119</f>
        <v/>
      </c>
      <c r="G119" s="208">
        <f>IF($B119="","",IFERROR(BDP($B119&amp;" Action","GREENSHOE_FACILITY"),""))</f>
        <v/>
      </c>
      <c r="H119" s="208">
        <f>IF($B119="","",IFERROR(BDP($B119&amp;" Action","OFFERING_GREENSHOE_SHARES_EX"),""))</f>
        <v/>
      </c>
      <c r="I119" s="32">
        <f>Database!AE119</f>
        <v/>
      </c>
      <c r="J119" s="39">
        <f>IFERROR(BDP(TEXT(VALUE(Database!$A119),"0")&amp;" HK Equity","PE_RATIO"),"")</f>
        <v/>
      </c>
      <c r="K119" s="24">
        <f>IFERROR(BDP(TEXT(VALUE(Database!$A119),"0")&amp;" HK Equity","A/H_SHARE_CONVERSION"),"")</f>
        <v/>
      </c>
      <c r="L119" s="32">
        <f>IF(Database!BN119="","(none found)",Database!BN119)</f>
        <v/>
      </c>
      <c r="M119" s="34">
        <f>BDH(TEXT(VALUE(Database!$A119),"0")&amp;" HK Equity","CUR_MKT_CAP",Database!$H119,Database!$H119)</f>
        <v/>
      </c>
      <c r="N119" s="166">
        <f>Database!Q119</f>
        <v/>
      </c>
      <c r="O119" s="39">
        <f>BDH(TEXT(VALUE(Database!$A119),"0")&amp;" HK Equity","PE_RATIO",Database!$H119,Database!$H119)</f>
        <v/>
      </c>
      <c r="P119" s="199">
        <f>IF(Database!BH119="","(n/m or not derivable)",Database!BH119)</f>
        <v/>
      </c>
      <c r="Q119" s="39">
        <f>IF(Database!BN119="","",BDH(LEFT(Database!BN119,FIND(".",Database!BN119)-1)&amp;" CH Equity","PE_RATIO",Database!$H119,Database!$H119))</f>
        <v/>
      </c>
      <c r="R119" s="39">
        <f>IF(Database!BN119="","",BDH("HSAHP Index","PX_LAST",Database!$H119,Database!$H119))</f>
        <v/>
      </c>
      <c r="S119" s="39">
        <f>IFERROR(BDP(TEXT(VALUE(Database!$A119),"0")&amp;" HK Equity","PX_TO_SALES_RATIO"),"")</f>
        <v/>
      </c>
      <c r="T119" s="34">
        <f>IF(Database!BN119="","",IFERROR(BDP(LEFT(Database!BN119,FIND(".",Database!BN119)-1)&amp;" CH Equity","CUR_MKT_CAP")*BDP("CNYHKD Curncy","PX_LAST"),"Awaiting quote"))</f>
        <v/>
      </c>
    </row>
    <row r="120" ht="23" customHeight="1">
      <c r="A120" s="32">
        <f>Database!A120&amp;"  "&amp;Database!B120</f>
        <v/>
      </c>
      <c r="B120" s="24">
        <f>IFERROR(INDEX(BDS(TEXT(VALUE(Database!$A120),"0")&amp;" HK Equity","EQUITY_OFFERINGS","array=t","endcol=1"),MATCH("IPO",BDS(TEXT(VALUE(Database!$A120),"0")&amp;" HK Equity","EQUITY_OFFERINGS","array=t","startcol=2","endcol=2"),0)),"")</f>
        <v/>
      </c>
      <c r="C120" s="208">
        <f>IF($B120="","",IFERROR(BDP($B120&amp;" Action","CP036"),""))</f>
        <v/>
      </c>
      <c r="D120" s="209">
        <f>Database!S120</f>
        <v/>
      </c>
      <c r="E120" s="208">
        <f>IF($B120="","",IFERROR(BDP($B120&amp;" Action","CP037"),""))</f>
        <v/>
      </c>
      <c r="F120" s="209">
        <f>Database!T120</f>
        <v/>
      </c>
      <c r="G120" s="208">
        <f>IF($B120="","",IFERROR(BDP($B120&amp;" Action","GREENSHOE_FACILITY"),""))</f>
        <v/>
      </c>
      <c r="H120" s="208">
        <f>IF($B120="","",IFERROR(BDP($B120&amp;" Action","OFFERING_GREENSHOE_SHARES_EX"),""))</f>
        <v/>
      </c>
      <c r="I120" s="32">
        <f>Database!AE120</f>
        <v/>
      </c>
      <c r="J120" s="39">
        <f>IFERROR(BDP(TEXT(VALUE(Database!$A120),"0")&amp;" HK Equity","PE_RATIO"),"")</f>
        <v/>
      </c>
      <c r="K120" s="24">
        <f>IFERROR(BDP(TEXT(VALUE(Database!$A120),"0")&amp;" HK Equity","A/H_SHARE_CONVERSION"),"")</f>
        <v/>
      </c>
      <c r="L120" s="32">
        <f>IF(Database!BN120="","(none found)",Database!BN120)</f>
        <v/>
      </c>
      <c r="M120" s="34">
        <f>BDH(TEXT(VALUE(Database!$A120),"0")&amp;" HK Equity","CUR_MKT_CAP",Database!$H120,Database!$H120)</f>
        <v/>
      </c>
      <c r="N120" s="166">
        <f>Database!Q120</f>
        <v/>
      </c>
      <c r="O120" s="39">
        <f>BDH(TEXT(VALUE(Database!$A120),"0")&amp;" HK Equity","PE_RATIO",Database!$H120,Database!$H120)</f>
        <v/>
      </c>
      <c r="P120" s="199">
        <f>IF(Database!BH120="","(n/m or not derivable)",Database!BH120)</f>
        <v/>
      </c>
      <c r="Q120" s="39">
        <f>IF(Database!BN120="","",BDH(LEFT(Database!BN120,FIND(".",Database!BN120)-1)&amp;" CH Equity","PE_RATIO",Database!$H120,Database!$H120))</f>
        <v/>
      </c>
      <c r="R120" s="39">
        <f>IF(Database!BN120="","",BDH("HSAHP Index","PX_LAST",Database!$H120,Database!$H120))</f>
        <v/>
      </c>
      <c r="S120" s="39">
        <f>IFERROR(BDP(TEXT(VALUE(Database!$A120),"0")&amp;" HK Equity","PX_TO_SALES_RATIO"),"")</f>
        <v/>
      </c>
      <c r="T120" s="34">
        <f>IF(Database!BN120="","",IFERROR(BDP(LEFT(Database!BN120,FIND(".",Database!BN120)-1)&amp;" CH Equity","CUR_MKT_CAP")*BDP("CNYHKD Curncy","PX_LAST"),"Awaiting quote"))</f>
        <v/>
      </c>
    </row>
    <row r="121" ht="23" customHeight="1">
      <c r="A121" s="32">
        <f>Database!A121&amp;"  "&amp;Database!B121</f>
        <v/>
      </c>
      <c r="B121" s="24">
        <f>IFERROR(INDEX(BDS(TEXT(VALUE(Database!$A121),"0")&amp;" HK Equity","EQUITY_OFFERINGS","array=t","endcol=1"),MATCH("IPO",BDS(TEXT(VALUE(Database!$A121),"0")&amp;" HK Equity","EQUITY_OFFERINGS","array=t","startcol=2","endcol=2"),0)),"")</f>
        <v/>
      </c>
      <c r="C121" s="208">
        <f>IF($B121="","",IFERROR(BDP($B121&amp;" Action","CP036"),""))</f>
        <v/>
      </c>
      <c r="D121" s="209">
        <f>Database!S121</f>
        <v/>
      </c>
      <c r="E121" s="208">
        <f>IF($B121="","",IFERROR(BDP($B121&amp;" Action","CP037"),""))</f>
        <v/>
      </c>
      <c r="F121" s="209">
        <f>Database!T121</f>
        <v/>
      </c>
      <c r="G121" s="208">
        <f>IF($B121="","",IFERROR(BDP($B121&amp;" Action","GREENSHOE_FACILITY"),""))</f>
        <v/>
      </c>
      <c r="H121" s="208">
        <f>IF($B121="","",IFERROR(BDP($B121&amp;" Action","OFFERING_GREENSHOE_SHARES_EX"),""))</f>
        <v/>
      </c>
      <c r="I121" s="32">
        <f>Database!AE121</f>
        <v/>
      </c>
      <c r="J121" s="39">
        <f>IFERROR(BDP(TEXT(VALUE(Database!$A121),"0")&amp;" HK Equity","PE_RATIO"),"")</f>
        <v/>
      </c>
      <c r="K121" s="24">
        <f>IFERROR(BDP(TEXT(VALUE(Database!$A121),"0")&amp;" HK Equity","A/H_SHARE_CONVERSION"),"")</f>
        <v/>
      </c>
      <c r="L121" s="32">
        <f>IF(Database!BN121="","(none found)",Database!BN121)</f>
        <v/>
      </c>
      <c r="M121" s="34">
        <f>BDH(TEXT(VALUE(Database!$A121),"0")&amp;" HK Equity","CUR_MKT_CAP",Database!$H121,Database!$H121)</f>
        <v/>
      </c>
      <c r="N121" s="166">
        <f>Database!Q121</f>
        <v/>
      </c>
      <c r="O121" s="39">
        <f>BDH(TEXT(VALUE(Database!$A121),"0")&amp;" HK Equity","PE_RATIO",Database!$H121,Database!$H121)</f>
        <v/>
      </c>
      <c r="P121" s="199">
        <f>IF(Database!BH121="","(n/m or not derivable)",Database!BH121)</f>
        <v/>
      </c>
      <c r="Q121" s="39">
        <f>IF(Database!BN121="","",BDH(LEFT(Database!BN121,FIND(".",Database!BN121)-1)&amp;" CH Equity","PE_RATIO",Database!$H121,Database!$H121))</f>
        <v/>
      </c>
      <c r="R121" s="39">
        <f>IF(Database!BN121="","",BDH("HSAHP Index","PX_LAST",Database!$H121,Database!$H121))</f>
        <v/>
      </c>
      <c r="S121" s="39">
        <f>IFERROR(BDP(TEXT(VALUE(Database!$A121),"0")&amp;" HK Equity","PX_TO_SALES_RATIO"),"")</f>
        <v/>
      </c>
      <c r="T121" s="34">
        <f>IF(Database!BN121="","",IFERROR(BDP(LEFT(Database!BN121,FIND(".",Database!BN121)-1)&amp;" CH Equity","CUR_MKT_CAP")*BDP("CNYHKD Curncy","PX_LAST"),"Awaiting quote"))</f>
        <v/>
      </c>
    </row>
    <row r="122" ht="23" customHeight="1">
      <c r="A122" s="32">
        <f>Database!A122&amp;"  "&amp;Database!B122</f>
        <v/>
      </c>
      <c r="B122" s="24">
        <f>IFERROR(INDEX(BDS(TEXT(VALUE(Database!$A122),"0")&amp;" HK Equity","EQUITY_OFFERINGS","array=t","endcol=1"),MATCH("IPO",BDS(TEXT(VALUE(Database!$A122),"0")&amp;" HK Equity","EQUITY_OFFERINGS","array=t","startcol=2","endcol=2"),0)),"")</f>
        <v/>
      </c>
      <c r="C122" s="208">
        <f>IF($B122="","",IFERROR(BDP($B122&amp;" Action","CP036"),""))</f>
        <v/>
      </c>
      <c r="D122" s="209">
        <f>Database!S122</f>
        <v/>
      </c>
      <c r="E122" s="208">
        <f>IF($B122="","",IFERROR(BDP($B122&amp;" Action","CP037"),""))</f>
        <v/>
      </c>
      <c r="F122" s="209">
        <f>Database!T122</f>
        <v/>
      </c>
      <c r="G122" s="208">
        <f>IF($B122="","",IFERROR(BDP($B122&amp;" Action","GREENSHOE_FACILITY"),""))</f>
        <v/>
      </c>
      <c r="H122" s="208">
        <f>IF($B122="","",IFERROR(BDP($B122&amp;" Action","OFFERING_GREENSHOE_SHARES_EX"),""))</f>
        <v/>
      </c>
      <c r="I122" s="32">
        <f>Database!AE122</f>
        <v/>
      </c>
      <c r="J122" s="39">
        <f>IFERROR(BDP(TEXT(VALUE(Database!$A122),"0")&amp;" HK Equity","PE_RATIO"),"")</f>
        <v/>
      </c>
      <c r="K122" s="24">
        <f>IFERROR(BDP(TEXT(VALUE(Database!$A122),"0")&amp;" HK Equity","A/H_SHARE_CONVERSION"),"")</f>
        <v/>
      </c>
      <c r="L122" s="32">
        <f>IF(Database!BN122="","(none found)",Database!BN122)</f>
        <v/>
      </c>
      <c r="M122" s="34">
        <f>BDH(TEXT(VALUE(Database!$A122),"0")&amp;" HK Equity","CUR_MKT_CAP",Database!$H122,Database!$H122)</f>
        <v/>
      </c>
      <c r="N122" s="166">
        <f>Database!Q122</f>
        <v/>
      </c>
      <c r="O122" s="39">
        <f>BDH(TEXT(VALUE(Database!$A122),"0")&amp;" HK Equity","PE_RATIO",Database!$H122,Database!$H122)</f>
        <v/>
      </c>
      <c r="P122" s="199">
        <f>IF(Database!BH122="","(n/m or not derivable)",Database!BH122)</f>
        <v/>
      </c>
      <c r="Q122" s="39">
        <f>IF(Database!BN122="","",BDH(LEFT(Database!BN122,FIND(".",Database!BN122)-1)&amp;" CH Equity","PE_RATIO",Database!$H122,Database!$H122))</f>
        <v/>
      </c>
      <c r="R122" s="39">
        <f>IF(Database!BN122="","",BDH("HSAHP Index","PX_LAST",Database!$H122,Database!$H122))</f>
        <v/>
      </c>
      <c r="S122" s="39">
        <f>IFERROR(BDP(TEXT(VALUE(Database!$A122),"0")&amp;" HK Equity","PX_TO_SALES_RATIO"),"")</f>
        <v/>
      </c>
      <c r="T122" s="34">
        <f>IF(Database!BN122="","",IFERROR(BDP(LEFT(Database!BN122,FIND(".",Database!BN122)-1)&amp;" CH Equity","CUR_MKT_CAP")*BDP("CNYHKD Curncy","PX_LAST"),"Awaiting quote"))</f>
        <v/>
      </c>
    </row>
    <row r="123" ht="23" customHeight="1">
      <c r="A123" s="32">
        <f>Database!A123&amp;"  "&amp;Database!B123</f>
        <v/>
      </c>
      <c r="B123" s="24">
        <f>IFERROR(INDEX(BDS(TEXT(VALUE(Database!$A123),"0")&amp;" HK Equity","EQUITY_OFFERINGS","array=t","endcol=1"),MATCH("IPO",BDS(TEXT(VALUE(Database!$A123),"0")&amp;" HK Equity","EQUITY_OFFERINGS","array=t","startcol=2","endcol=2"),0)),"")</f>
        <v/>
      </c>
      <c r="C123" s="208">
        <f>IF($B123="","",IFERROR(BDP($B123&amp;" Action","CP036"),""))</f>
        <v/>
      </c>
      <c r="D123" s="209">
        <f>Database!S123</f>
        <v/>
      </c>
      <c r="E123" s="208">
        <f>IF($B123="","",IFERROR(BDP($B123&amp;" Action","CP037"),""))</f>
        <v/>
      </c>
      <c r="F123" s="209">
        <f>Database!T123</f>
        <v/>
      </c>
      <c r="G123" s="208">
        <f>IF($B123="","",IFERROR(BDP($B123&amp;" Action","GREENSHOE_FACILITY"),""))</f>
        <v/>
      </c>
      <c r="H123" s="208">
        <f>IF($B123="","",IFERROR(BDP($B123&amp;" Action","OFFERING_GREENSHOE_SHARES_EX"),""))</f>
        <v/>
      </c>
      <c r="I123" s="32">
        <f>Database!AE123</f>
        <v/>
      </c>
      <c r="J123" s="39">
        <f>IFERROR(BDP(TEXT(VALUE(Database!$A123),"0")&amp;" HK Equity","PE_RATIO"),"")</f>
        <v/>
      </c>
      <c r="K123" s="24">
        <f>IFERROR(BDP(TEXT(VALUE(Database!$A123),"0")&amp;" HK Equity","A/H_SHARE_CONVERSION"),"")</f>
        <v/>
      </c>
      <c r="L123" s="32">
        <f>IF(Database!BN123="","(none found)",Database!BN123)</f>
        <v/>
      </c>
      <c r="M123" s="34">
        <f>BDH(TEXT(VALUE(Database!$A123),"0")&amp;" HK Equity","CUR_MKT_CAP",Database!$H123,Database!$H123)</f>
        <v/>
      </c>
      <c r="N123" s="166">
        <f>Database!Q123</f>
        <v/>
      </c>
      <c r="O123" s="39">
        <f>BDH(TEXT(VALUE(Database!$A123),"0")&amp;" HK Equity","PE_RATIO",Database!$H123,Database!$H123)</f>
        <v/>
      </c>
      <c r="P123" s="199">
        <f>IF(Database!BH123="","(n/m or not derivable)",Database!BH123)</f>
        <v/>
      </c>
      <c r="Q123" s="39">
        <f>IF(Database!BN123="","",BDH(LEFT(Database!BN123,FIND(".",Database!BN123)-1)&amp;" CH Equity","PE_RATIO",Database!$H123,Database!$H123))</f>
        <v/>
      </c>
      <c r="R123" s="39">
        <f>IF(Database!BN123="","",BDH("HSAHP Index","PX_LAST",Database!$H123,Database!$H123))</f>
        <v/>
      </c>
      <c r="S123" s="39">
        <f>IFERROR(BDP(TEXT(VALUE(Database!$A123),"0")&amp;" HK Equity","PX_TO_SALES_RATIO"),"")</f>
        <v/>
      </c>
      <c r="T123" s="34">
        <f>IF(Database!BN123="","",IFERROR(BDP(LEFT(Database!BN123,FIND(".",Database!BN123)-1)&amp;" CH Equity","CUR_MKT_CAP")*BDP("CNYHKD Curncy","PX_LAST"),"Awaiting quote"))</f>
        <v/>
      </c>
    </row>
    <row r="124" ht="23" customHeight="1">
      <c r="A124" s="32">
        <f>Database!A124&amp;"  "&amp;Database!B124</f>
        <v/>
      </c>
      <c r="B124" s="24">
        <f>IFERROR(INDEX(BDS(TEXT(VALUE(Database!$A124),"0")&amp;" HK Equity","EQUITY_OFFERINGS","array=t","endcol=1"),MATCH("IPO",BDS(TEXT(VALUE(Database!$A124),"0")&amp;" HK Equity","EQUITY_OFFERINGS","array=t","startcol=2","endcol=2"),0)),"")</f>
        <v/>
      </c>
      <c r="C124" s="208">
        <f>IF($B124="","",IFERROR(BDP($B124&amp;" Action","CP036"),""))</f>
        <v/>
      </c>
      <c r="D124" s="209">
        <f>Database!S124</f>
        <v/>
      </c>
      <c r="E124" s="208">
        <f>IF($B124="","",IFERROR(BDP($B124&amp;" Action","CP037"),""))</f>
        <v/>
      </c>
      <c r="F124" s="209">
        <f>Database!T124</f>
        <v/>
      </c>
      <c r="G124" s="208">
        <f>IF($B124="","",IFERROR(BDP($B124&amp;" Action","GREENSHOE_FACILITY"),""))</f>
        <v/>
      </c>
      <c r="H124" s="208">
        <f>IF($B124="","",IFERROR(BDP($B124&amp;" Action","OFFERING_GREENSHOE_SHARES_EX"),""))</f>
        <v/>
      </c>
      <c r="I124" s="32">
        <f>Database!AE124</f>
        <v/>
      </c>
      <c r="J124" s="39">
        <f>IFERROR(BDP(TEXT(VALUE(Database!$A124),"0")&amp;" HK Equity","PE_RATIO"),"")</f>
        <v/>
      </c>
      <c r="K124" s="24">
        <f>IFERROR(BDP(TEXT(VALUE(Database!$A124),"0")&amp;" HK Equity","A/H_SHARE_CONVERSION"),"")</f>
        <v/>
      </c>
      <c r="L124" s="32">
        <f>IF(Database!BN124="","(none found)",Database!BN124)</f>
        <v/>
      </c>
      <c r="M124" s="34">
        <f>BDH(TEXT(VALUE(Database!$A124),"0")&amp;" HK Equity","CUR_MKT_CAP",Database!$H124,Database!$H124)</f>
        <v/>
      </c>
      <c r="N124" s="166">
        <f>Database!Q124</f>
        <v/>
      </c>
      <c r="O124" s="39">
        <f>BDH(TEXT(VALUE(Database!$A124),"0")&amp;" HK Equity","PE_RATIO",Database!$H124,Database!$H124)</f>
        <v/>
      </c>
      <c r="P124" s="199">
        <f>IF(Database!BH124="","(n/m or not derivable)",Database!BH124)</f>
        <v/>
      </c>
      <c r="Q124" s="39">
        <f>IF(Database!BN124="","",BDH(LEFT(Database!BN124,FIND(".",Database!BN124)-1)&amp;" CH Equity","PE_RATIO",Database!$H124,Database!$H124))</f>
        <v/>
      </c>
      <c r="R124" s="39">
        <f>IF(Database!BN124="","",BDH("HSAHP Index","PX_LAST",Database!$H124,Database!$H124))</f>
        <v/>
      </c>
      <c r="S124" s="39">
        <f>IFERROR(BDP(TEXT(VALUE(Database!$A124),"0")&amp;" HK Equity","PX_TO_SALES_RATIO"),"")</f>
        <v/>
      </c>
      <c r="T124" s="34">
        <f>IF(Database!BN124="","",IFERROR(BDP(LEFT(Database!BN124,FIND(".",Database!BN124)-1)&amp;" CH Equity","CUR_MKT_CAP")*BDP("CNYHKD Curncy","PX_LAST"),"Awaiting quote"))</f>
        <v/>
      </c>
    </row>
    <row r="125" ht="23" customHeight="1">
      <c r="A125" s="32">
        <f>Database!A125&amp;"  "&amp;Database!B125</f>
        <v/>
      </c>
      <c r="B125" s="24">
        <f>IFERROR(INDEX(BDS(TEXT(VALUE(Database!$A125),"0")&amp;" HK Equity","EQUITY_OFFERINGS","array=t","endcol=1"),MATCH("IPO",BDS(TEXT(VALUE(Database!$A125),"0")&amp;" HK Equity","EQUITY_OFFERINGS","array=t","startcol=2","endcol=2"),0)),"")</f>
        <v/>
      </c>
      <c r="C125" s="208">
        <f>IF($B125="","",IFERROR(BDP($B125&amp;" Action","CP036"),""))</f>
        <v/>
      </c>
      <c r="D125" s="209">
        <f>Database!S125</f>
        <v/>
      </c>
      <c r="E125" s="208">
        <f>IF($B125="","",IFERROR(BDP($B125&amp;" Action","CP037"),""))</f>
        <v/>
      </c>
      <c r="F125" s="209">
        <f>Database!T125</f>
        <v/>
      </c>
      <c r="G125" s="208">
        <f>IF($B125="","",IFERROR(BDP($B125&amp;" Action","GREENSHOE_FACILITY"),""))</f>
        <v/>
      </c>
      <c r="H125" s="208">
        <f>IF($B125="","",IFERROR(BDP($B125&amp;" Action","OFFERING_GREENSHOE_SHARES_EX"),""))</f>
        <v/>
      </c>
      <c r="I125" s="32">
        <f>Database!AE125</f>
        <v/>
      </c>
      <c r="J125" s="39">
        <f>IFERROR(BDP(TEXT(VALUE(Database!$A125),"0")&amp;" HK Equity","PE_RATIO"),"")</f>
        <v/>
      </c>
      <c r="K125" s="24">
        <f>IFERROR(BDP(TEXT(VALUE(Database!$A125),"0")&amp;" HK Equity","A/H_SHARE_CONVERSION"),"")</f>
        <v/>
      </c>
      <c r="L125" s="32">
        <f>IF(Database!BN125="","(none found)",Database!BN125)</f>
        <v/>
      </c>
      <c r="M125" s="34">
        <f>BDH(TEXT(VALUE(Database!$A125),"0")&amp;" HK Equity","CUR_MKT_CAP",Database!$H125,Database!$H125)</f>
        <v/>
      </c>
      <c r="N125" s="166">
        <f>Database!Q125</f>
        <v/>
      </c>
      <c r="O125" s="39">
        <f>BDH(TEXT(VALUE(Database!$A125),"0")&amp;" HK Equity","PE_RATIO",Database!$H125,Database!$H125)</f>
        <v/>
      </c>
      <c r="P125" s="199">
        <f>IF(Database!BH125="","(n/m or not derivable)",Database!BH125)</f>
        <v/>
      </c>
      <c r="Q125" s="39">
        <f>IF(Database!BN125="","",BDH(LEFT(Database!BN125,FIND(".",Database!BN125)-1)&amp;" CH Equity","PE_RATIO",Database!$H125,Database!$H125))</f>
        <v/>
      </c>
      <c r="R125" s="39">
        <f>IF(Database!BN125="","",BDH("HSAHP Index","PX_LAST",Database!$H125,Database!$H125))</f>
        <v/>
      </c>
      <c r="S125" s="39">
        <f>IFERROR(BDP(TEXT(VALUE(Database!$A125),"0")&amp;" HK Equity","PX_TO_SALES_RATIO"),"")</f>
        <v/>
      </c>
      <c r="T125" s="34">
        <f>IF(Database!BN125="","",IFERROR(BDP(LEFT(Database!BN125,FIND(".",Database!BN125)-1)&amp;" CH Equity","CUR_MKT_CAP")*BDP("CNYHKD Curncy","PX_LAST"),"Awaiting quote"))</f>
        <v/>
      </c>
    </row>
    <row r="126" ht="23" customHeight="1">
      <c r="A126" s="32">
        <f>Database!A126&amp;"  "&amp;Database!B126</f>
        <v/>
      </c>
      <c r="B126" s="24">
        <f>IFERROR(INDEX(BDS(TEXT(VALUE(Database!$A126),"0")&amp;" HK Equity","EQUITY_OFFERINGS","array=t","endcol=1"),MATCH("IPO",BDS(TEXT(VALUE(Database!$A126),"0")&amp;" HK Equity","EQUITY_OFFERINGS","array=t","startcol=2","endcol=2"),0)),"")</f>
        <v/>
      </c>
      <c r="C126" s="208">
        <f>IF($B126="","",IFERROR(BDP($B126&amp;" Action","CP036"),""))</f>
        <v/>
      </c>
      <c r="D126" s="209">
        <f>Database!S126</f>
        <v/>
      </c>
      <c r="E126" s="208">
        <f>IF($B126="","",IFERROR(BDP($B126&amp;" Action","CP037"),""))</f>
        <v/>
      </c>
      <c r="F126" s="209">
        <f>Database!T126</f>
        <v/>
      </c>
      <c r="G126" s="208">
        <f>IF($B126="","",IFERROR(BDP($B126&amp;" Action","GREENSHOE_FACILITY"),""))</f>
        <v/>
      </c>
      <c r="H126" s="208">
        <f>IF($B126="","",IFERROR(BDP($B126&amp;" Action","OFFERING_GREENSHOE_SHARES_EX"),""))</f>
        <v/>
      </c>
      <c r="I126" s="32">
        <f>Database!AE126</f>
        <v/>
      </c>
      <c r="J126" s="39">
        <f>IFERROR(BDP(TEXT(VALUE(Database!$A126),"0")&amp;" HK Equity","PE_RATIO"),"")</f>
        <v/>
      </c>
      <c r="K126" s="24">
        <f>IFERROR(BDP(TEXT(VALUE(Database!$A126),"0")&amp;" HK Equity","A/H_SHARE_CONVERSION"),"")</f>
        <v/>
      </c>
      <c r="L126" s="32">
        <f>IF(Database!BN126="","(none found)",Database!BN126)</f>
        <v/>
      </c>
      <c r="M126" s="34">
        <f>BDH(TEXT(VALUE(Database!$A126),"0")&amp;" HK Equity","CUR_MKT_CAP",Database!$H126,Database!$H126)</f>
        <v/>
      </c>
      <c r="N126" s="166">
        <f>Database!Q126</f>
        <v/>
      </c>
      <c r="O126" s="39">
        <f>BDH(TEXT(VALUE(Database!$A126),"0")&amp;" HK Equity","PE_RATIO",Database!$H126,Database!$H126)</f>
        <v/>
      </c>
      <c r="P126" s="199">
        <f>IF(Database!BH126="","(n/m or not derivable)",Database!BH126)</f>
        <v/>
      </c>
      <c r="Q126" s="39">
        <f>IF(Database!BN126="","",BDH(LEFT(Database!BN126,FIND(".",Database!BN126)-1)&amp;" CH Equity","PE_RATIO",Database!$H126,Database!$H126))</f>
        <v/>
      </c>
      <c r="R126" s="39">
        <f>IF(Database!BN126="","",BDH("HSAHP Index","PX_LAST",Database!$H126,Database!$H126))</f>
        <v/>
      </c>
      <c r="S126" s="39">
        <f>IFERROR(BDP(TEXT(VALUE(Database!$A126),"0")&amp;" HK Equity","PX_TO_SALES_RATIO"),"")</f>
        <v/>
      </c>
      <c r="T126" s="34">
        <f>IF(Database!BN126="","",IFERROR(BDP(LEFT(Database!BN126,FIND(".",Database!BN126)-1)&amp;" CH Equity","CUR_MKT_CAP")*BDP("CNYHKD Curncy","PX_LAST"),"Awaiting quote"))</f>
        <v/>
      </c>
    </row>
    <row r="127" ht="23" customHeight="1">
      <c r="A127" s="32">
        <f>Database!A127&amp;"  "&amp;Database!B127</f>
        <v/>
      </c>
      <c r="B127" s="24">
        <f>IFERROR(INDEX(BDS(TEXT(VALUE(Database!$A127),"0")&amp;" HK Equity","EQUITY_OFFERINGS","array=t","endcol=1"),MATCH("IPO",BDS(TEXT(VALUE(Database!$A127),"0")&amp;" HK Equity","EQUITY_OFFERINGS","array=t","startcol=2","endcol=2"),0)),"")</f>
        <v/>
      </c>
      <c r="C127" s="208">
        <f>IF($B127="","",IFERROR(BDP($B127&amp;" Action","CP036"),""))</f>
        <v/>
      </c>
      <c r="D127" s="209">
        <f>Database!S127</f>
        <v/>
      </c>
      <c r="E127" s="208">
        <f>IF($B127="","",IFERROR(BDP($B127&amp;" Action","CP037"),""))</f>
        <v/>
      </c>
      <c r="F127" s="209">
        <f>Database!T127</f>
        <v/>
      </c>
      <c r="G127" s="208">
        <f>IF($B127="","",IFERROR(BDP($B127&amp;" Action","GREENSHOE_FACILITY"),""))</f>
        <v/>
      </c>
      <c r="H127" s="208">
        <f>IF($B127="","",IFERROR(BDP($B127&amp;" Action","OFFERING_GREENSHOE_SHARES_EX"),""))</f>
        <v/>
      </c>
      <c r="I127" s="32">
        <f>Database!AE127</f>
        <v/>
      </c>
      <c r="J127" s="39">
        <f>IFERROR(BDP(TEXT(VALUE(Database!$A127),"0")&amp;" HK Equity","PE_RATIO"),"")</f>
        <v/>
      </c>
      <c r="K127" s="24">
        <f>IFERROR(BDP(TEXT(VALUE(Database!$A127),"0")&amp;" HK Equity","A/H_SHARE_CONVERSION"),"")</f>
        <v/>
      </c>
      <c r="L127" s="32">
        <f>IF(Database!BN127="","(none found)",Database!BN127)</f>
        <v/>
      </c>
      <c r="M127" s="34">
        <f>BDH(TEXT(VALUE(Database!$A127),"0")&amp;" HK Equity","CUR_MKT_CAP",Database!$H127,Database!$H127)</f>
        <v/>
      </c>
      <c r="N127" s="166">
        <f>Database!Q127</f>
        <v/>
      </c>
      <c r="O127" s="39">
        <f>BDH(TEXT(VALUE(Database!$A127),"0")&amp;" HK Equity","PE_RATIO",Database!$H127,Database!$H127)</f>
        <v/>
      </c>
      <c r="P127" s="199">
        <f>IF(Database!BH127="","(n/m or not derivable)",Database!BH127)</f>
        <v/>
      </c>
      <c r="Q127" s="39">
        <f>IF(Database!BN127="","",BDH(LEFT(Database!BN127,FIND(".",Database!BN127)-1)&amp;" CH Equity","PE_RATIO",Database!$H127,Database!$H127))</f>
        <v/>
      </c>
      <c r="R127" s="39">
        <f>IF(Database!BN127="","",BDH("HSAHP Index","PX_LAST",Database!$H127,Database!$H127))</f>
        <v/>
      </c>
      <c r="S127" s="39">
        <f>IFERROR(BDP(TEXT(VALUE(Database!$A127),"0")&amp;" HK Equity","PX_TO_SALES_RATIO"),"")</f>
        <v/>
      </c>
      <c r="T127" s="34">
        <f>IF(Database!BN127="","",IFERROR(BDP(LEFT(Database!BN127,FIND(".",Database!BN127)-1)&amp;" CH Equity","CUR_MKT_CAP")*BDP("CNYHKD Curncy","PX_LAST"),"Awaiting quote"))</f>
        <v/>
      </c>
    </row>
    <row r="128" ht="23" customHeight="1">
      <c r="A128" s="32">
        <f>Database!A128&amp;"  "&amp;Database!B128</f>
        <v/>
      </c>
      <c r="B128" s="24">
        <f>IFERROR(INDEX(BDS(TEXT(VALUE(Database!$A128),"0")&amp;" HK Equity","EQUITY_OFFERINGS","array=t","endcol=1"),MATCH("IPO",BDS(TEXT(VALUE(Database!$A128),"0")&amp;" HK Equity","EQUITY_OFFERINGS","array=t","startcol=2","endcol=2"),0)),"")</f>
        <v/>
      </c>
      <c r="C128" s="208">
        <f>IF($B128="","",IFERROR(BDP($B128&amp;" Action","CP036"),""))</f>
        <v/>
      </c>
      <c r="D128" s="209">
        <f>Database!S128</f>
        <v/>
      </c>
      <c r="E128" s="208">
        <f>IF($B128="","",IFERROR(BDP($B128&amp;" Action","CP037"),""))</f>
        <v/>
      </c>
      <c r="F128" s="209">
        <f>Database!T128</f>
        <v/>
      </c>
      <c r="G128" s="208">
        <f>IF($B128="","",IFERROR(BDP($B128&amp;" Action","GREENSHOE_FACILITY"),""))</f>
        <v/>
      </c>
      <c r="H128" s="208">
        <f>IF($B128="","",IFERROR(BDP($B128&amp;" Action","OFFERING_GREENSHOE_SHARES_EX"),""))</f>
        <v/>
      </c>
      <c r="I128" s="32">
        <f>Database!AE128</f>
        <v/>
      </c>
      <c r="J128" s="39">
        <f>IFERROR(BDP(TEXT(VALUE(Database!$A128),"0")&amp;" HK Equity","PE_RATIO"),"")</f>
        <v/>
      </c>
      <c r="K128" s="24">
        <f>IFERROR(BDP(TEXT(VALUE(Database!$A128),"0")&amp;" HK Equity","A/H_SHARE_CONVERSION"),"")</f>
        <v/>
      </c>
      <c r="L128" s="32">
        <f>IF(Database!BN128="","(none found)",Database!BN128)</f>
        <v/>
      </c>
      <c r="M128" s="34">
        <f>BDH(TEXT(VALUE(Database!$A128),"0")&amp;" HK Equity","CUR_MKT_CAP",Database!$H128,Database!$H128)</f>
        <v/>
      </c>
      <c r="N128" s="166">
        <f>Database!Q128</f>
        <v/>
      </c>
      <c r="O128" s="39">
        <f>BDH(TEXT(VALUE(Database!$A128),"0")&amp;" HK Equity","PE_RATIO",Database!$H128,Database!$H128)</f>
        <v/>
      </c>
      <c r="P128" s="199">
        <f>IF(Database!BH128="","(n/m or not derivable)",Database!BH128)</f>
        <v/>
      </c>
      <c r="Q128" s="39">
        <f>IF(Database!BN128="","",BDH(LEFT(Database!BN128,FIND(".",Database!BN128)-1)&amp;" CH Equity","PE_RATIO",Database!$H128,Database!$H128))</f>
        <v/>
      </c>
      <c r="R128" s="39">
        <f>IF(Database!BN128="","",BDH("HSAHP Index","PX_LAST",Database!$H128,Database!$H128))</f>
        <v/>
      </c>
      <c r="S128" s="39">
        <f>IFERROR(BDP(TEXT(VALUE(Database!$A128),"0")&amp;" HK Equity","PX_TO_SALES_RATIO"),"")</f>
        <v/>
      </c>
      <c r="T128" s="34">
        <f>IF(Database!BN128="","",IFERROR(BDP(LEFT(Database!BN128,FIND(".",Database!BN128)-1)&amp;" CH Equity","CUR_MKT_CAP")*BDP("CNYHKD Curncy","PX_LAST"),"Awaiting quote"))</f>
        <v/>
      </c>
    </row>
    <row r="129" ht="23" customHeight="1">
      <c r="A129" s="32">
        <f>Database!A129&amp;"  "&amp;Database!B129</f>
        <v/>
      </c>
      <c r="B129" s="24">
        <f>IFERROR(INDEX(BDS(TEXT(VALUE(Database!$A129),"0")&amp;" HK Equity","EQUITY_OFFERINGS","array=t","endcol=1"),MATCH("IPO",BDS(TEXT(VALUE(Database!$A129),"0")&amp;" HK Equity","EQUITY_OFFERINGS","array=t","startcol=2","endcol=2"),0)),"")</f>
        <v/>
      </c>
      <c r="C129" s="208">
        <f>IF($B129="","",IFERROR(BDP($B129&amp;" Action","CP036"),""))</f>
        <v/>
      </c>
      <c r="D129" s="209">
        <f>Database!S129</f>
        <v/>
      </c>
      <c r="E129" s="208">
        <f>IF($B129="","",IFERROR(BDP($B129&amp;" Action","CP037"),""))</f>
        <v/>
      </c>
      <c r="F129" s="209">
        <f>Database!T129</f>
        <v/>
      </c>
      <c r="G129" s="208">
        <f>IF($B129="","",IFERROR(BDP($B129&amp;" Action","GREENSHOE_FACILITY"),""))</f>
        <v/>
      </c>
      <c r="H129" s="208">
        <f>IF($B129="","",IFERROR(BDP($B129&amp;" Action","OFFERING_GREENSHOE_SHARES_EX"),""))</f>
        <v/>
      </c>
      <c r="I129" s="32">
        <f>Database!AE129</f>
        <v/>
      </c>
      <c r="J129" s="39">
        <f>IFERROR(BDP(TEXT(VALUE(Database!$A129),"0")&amp;" HK Equity","PE_RATIO"),"")</f>
        <v/>
      </c>
      <c r="K129" s="24">
        <f>IFERROR(BDP(TEXT(VALUE(Database!$A129),"0")&amp;" HK Equity","A/H_SHARE_CONVERSION"),"")</f>
        <v/>
      </c>
      <c r="L129" s="32">
        <f>IF(Database!BN129="","(none found)",Database!BN129)</f>
        <v/>
      </c>
      <c r="M129" s="34">
        <f>BDH(TEXT(VALUE(Database!$A129),"0")&amp;" HK Equity","CUR_MKT_CAP",Database!$H129,Database!$H129)</f>
        <v/>
      </c>
      <c r="N129" s="166">
        <f>Database!Q129</f>
        <v/>
      </c>
      <c r="O129" s="39">
        <f>BDH(TEXT(VALUE(Database!$A129),"0")&amp;" HK Equity","PE_RATIO",Database!$H129,Database!$H129)</f>
        <v/>
      </c>
      <c r="P129" s="199">
        <f>IF(Database!BH129="","(n/m or not derivable)",Database!BH129)</f>
        <v/>
      </c>
      <c r="Q129" s="39">
        <f>IF(Database!BN129="","",BDH(LEFT(Database!BN129,FIND(".",Database!BN129)-1)&amp;" CH Equity","PE_RATIO",Database!$H129,Database!$H129))</f>
        <v/>
      </c>
      <c r="R129" s="39">
        <f>IF(Database!BN129="","",BDH("HSAHP Index","PX_LAST",Database!$H129,Database!$H129))</f>
        <v/>
      </c>
      <c r="S129" s="39">
        <f>IFERROR(BDP(TEXT(VALUE(Database!$A129),"0")&amp;" HK Equity","PX_TO_SALES_RATIO"),"")</f>
        <v/>
      </c>
      <c r="T129" s="34">
        <f>IF(Database!BN129="","",IFERROR(BDP(LEFT(Database!BN129,FIND(".",Database!BN129)-1)&amp;" CH Equity","CUR_MKT_CAP")*BDP("CNYHKD Curncy","PX_LAST"),"Awaiting quote"))</f>
        <v/>
      </c>
    </row>
    <row r="130" ht="23" customHeight="1">
      <c r="A130" s="32">
        <f>Database!A130&amp;"  "&amp;Database!B130</f>
        <v/>
      </c>
      <c r="B130" s="24">
        <f>IFERROR(INDEX(BDS(TEXT(VALUE(Database!$A130),"0")&amp;" HK Equity","EQUITY_OFFERINGS","array=t","endcol=1"),MATCH("IPO",BDS(TEXT(VALUE(Database!$A130),"0")&amp;" HK Equity","EQUITY_OFFERINGS","array=t","startcol=2","endcol=2"),0)),"")</f>
        <v/>
      </c>
      <c r="C130" s="208">
        <f>IF($B130="","",IFERROR(BDP($B130&amp;" Action","CP036"),""))</f>
        <v/>
      </c>
      <c r="D130" s="209">
        <f>Database!S130</f>
        <v/>
      </c>
      <c r="E130" s="208">
        <f>IF($B130="","",IFERROR(BDP($B130&amp;" Action","CP037"),""))</f>
        <v/>
      </c>
      <c r="F130" s="209">
        <f>Database!T130</f>
        <v/>
      </c>
      <c r="G130" s="208">
        <f>IF($B130="","",IFERROR(BDP($B130&amp;" Action","GREENSHOE_FACILITY"),""))</f>
        <v/>
      </c>
      <c r="H130" s="208">
        <f>IF($B130="","",IFERROR(BDP($B130&amp;" Action","OFFERING_GREENSHOE_SHARES_EX"),""))</f>
        <v/>
      </c>
      <c r="I130" s="32">
        <f>Database!AE130</f>
        <v/>
      </c>
      <c r="J130" s="39">
        <f>IFERROR(BDP(TEXT(VALUE(Database!$A130),"0")&amp;" HK Equity","PE_RATIO"),"")</f>
        <v/>
      </c>
      <c r="K130" s="24">
        <f>IFERROR(BDP(TEXT(VALUE(Database!$A130),"0")&amp;" HK Equity","A/H_SHARE_CONVERSION"),"")</f>
        <v/>
      </c>
      <c r="L130" s="32">
        <f>IF(Database!BN130="","(none found)",Database!BN130)</f>
        <v/>
      </c>
      <c r="M130" s="34">
        <f>BDH(TEXT(VALUE(Database!$A130),"0")&amp;" HK Equity","CUR_MKT_CAP",Database!$H130,Database!$H130)</f>
        <v/>
      </c>
      <c r="N130" s="166">
        <f>Database!Q130</f>
        <v/>
      </c>
      <c r="O130" s="39">
        <f>BDH(TEXT(VALUE(Database!$A130),"0")&amp;" HK Equity","PE_RATIO",Database!$H130,Database!$H130)</f>
        <v/>
      </c>
      <c r="P130" s="199">
        <f>IF(Database!BH130="","(n/m or not derivable)",Database!BH130)</f>
        <v/>
      </c>
      <c r="Q130" s="39">
        <f>IF(Database!BN130="","",BDH(LEFT(Database!BN130,FIND(".",Database!BN130)-1)&amp;" CH Equity","PE_RATIO",Database!$H130,Database!$H130))</f>
        <v/>
      </c>
      <c r="R130" s="39">
        <f>IF(Database!BN130="","",BDH("HSAHP Index","PX_LAST",Database!$H130,Database!$H130))</f>
        <v/>
      </c>
      <c r="S130" s="39">
        <f>IFERROR(BDP(TEXT(VALUE(Database!$A130),"0")&amp;" HK Equity","PX_TO_SALES_RATIO"),"")</f>
        <v/>
      </c>
      <c r="T130" s="34">
        <f>IF(Database!BN130="","",IFERROR(BDP(LEFT(Database!BN130,FIND(".",Database!BN130)-1)&amp;" CH Equity","CUR_MKT_CAP")*BDP("CNYHKD Curncy","PX_LAST"),"Awaiting quote"))</f>
        <v/>
      </c>
    </row>
    <row r="131" ht="23" customHeight="1">
      <c r="A131" s="32">
        <f>Database!A131&amp;"  "&amp;Database!B131</f>
        <v/>
      </c>
      <c r="B131" s="24">
        <f>IFERROR(INDEX(BDS(TEXT(VALUE(Database!$A131),"0")&amp;" HK Equity","EQUITY_OFFERINGS","array=t","endcol=1"),MATCH("IPO",BDS(TEXT(VALUE(Database!$A131),"0")&amp;" HK Equity","EQUITY_OFFERINGS","array=t","startcol=2","endcol=2"),0)),"")</f>
        <v/>
      </c>
      <c r="C131" s="208">
        <f>IF($B131="","",IFERROR(BDP($B131&amp;" Action","CP036"),""))</f>
        <v/>
      </c>
      <c r="D131" s="209">
        <f>Database!S131</f>
        <v/>
      </c>
      <c r="E131" s="208">
        <f>IF($B131="","",IFERROR(BDP($B131&amp;" Action","CP037"),""))</f>
        <v/>
      </c>
      <c r="F131" s="209">
        <f>Database!T131</f>
        <v/>
      </c>
      <c r="G131" s="208">
        <f>IF($B131="","",IFERROR(BDP($B131&amp;" Action","GREENSHOE_FACILITY"),""))</f>
        <v/>
      </c>
      <c r="H131" s="208">
        <f>IF($B131="","",IFERROR(BDP($B131&amp;" Action","OFFERING_GREENSHOE_SHARES_EX"),""))</f>
        <v/>
      </c>
      <c r="I131" s="32">
        <f>Database!AE131</f>
        <v/>
      </c>
      <c r="J131" s="39">
        <f>IFERROR(BDP(TEXT(VALUE(Database!$A131),"0")&amp;" HK Equity","PE_RATIO"),"")</f>
        <v/>
      </c>
      <c r="K131" s="24">
        <f>IFERROR(BDP(TEXT(VALUE(Database!$A131),"0")&amp;" HK Equity","A/H_SHARE_CONVERSION"),"")</f>
        <v/>
      </c>
      <c r="L131" s="32">
        <f>IF(Database!BN131="","(none found)",Database!BN131)</f>
        <v/>
      </c>
      <c r="M131" s="34">
        <f>BDH(TEXT(VALUE(Database!$A131),"0")&amp;" HK Equity","CUR_MKT_CAP",Database!$H131,Database!$H131)</f>
        <v/>
      </c>
      <c r="N131" s="166">
        <f>Database!Q131</f>
        <v/>
      </c>
      <c r="O131" s="39">
        <f>BDH(TEXT(VALUE(Database!$A131),"0")&amp;" HK Equity","PE_RATIO",Database!$H131,Database!$H131)</f>
        <v/>
      </c>
      <c r="P131" s="199">
        <f>IF(Database!BH131="","(n/m or not derivable)",Database!BH131)</f>
        <v/>
      </c>
      <c r="Q131" s="39">
        <f>IF(Database!BN131="","",BDH(LEFT(Database!BN131,FIND(".",Database!BN131)-1)&amp;" CH Equity","PE_RATIO",Database!$H131,Database!$H131))</f>
        <v/>
      </c>
      <c r="R131" s="39">
        <f>IF(Database!BN131="","",BDH("HSAHP Index","PX_LAST",Database!$H131,Database!$H131))</f>
        <v/>
      </c>
      <c r="S131" s="39">
        <f>IFERROR(BDP(TEXT(VALUE(Database!$A131),"0")&amp;" HK Equity","PX_TO_SALES_RATIO"),"")</f>
        <v/>
      </c>
      <c r="T131" s="34">
        <f>IF(Database!BN131="","",IFERROR(BDP(LEFT(Database!BN131,FIND(".",Database!BN131)-1)&amp;" CH Equity","CUR_MKT_CAP")*BDP("CNYHKD Curncy","PX_LAST"),"Awaiting quote"))</f>
        <v/>
      </c>
    </row>
    <row r="132" ht="23" customHeight="1">
      <c r="A132" s="32">
        <f>Database!A132&amp;"  "&amp;Database!B132</f>
        <v/>
      </c>
      <c r="B132" s="24">
        <f>IFERROR(INDEX(BDS(TEXT(VALUE(Database!$A132),"0")&amp;" HK Equity","EQUITY_OFFERINGS","array=t","endcol=1"),MATCH("IPO",BDS(TEXT(VALUE(Database!$A132),"0")&amp;" HK Equity","EQUITY_OFFERINGS","array=t","startcol=2","endcol=2"),0)),"")</f>
        <v/>
      </c>
      <c r="C132" s="208">
        <f>IF($B132="","",IFERROR(BDP($B132&amp;" Action","CP036"),""))</f>
        <v/>
      </c>
      <c r="D132" s="209">
        <f>Database!S132</f>
        <v/>
      </c>
      <c r="E132" s="208">
        <f>IF($B132="","",IFERROR(BDP($B132&amp;" Action","CP037"),""))</f>
        <v/>
      </c>
      <c r="F132" s="209">
        <f>Database!T132</f>
        <v/>
      </c>
      <c r="G132" s="208">
        <f>IF($B132="","",IFERROR(BDP($B132&amp;" Action","GREENSHOE_FACILITY"),""))</f>
        <v/>
      </c>
      <c r="H132" s="208">
        <f>IF($B132="","",IFERROR(BDP($B132&amp;" Action","OFFERING_GREENSHOE_SHARES_EX"),""))</f>
        <v/>
      </c>
      <c r="I132" s="32">
        <f>Database!AE132</f>
        <v/>
      </c>
      <c r="J132" s="39">
        <f>IFERROR(BDP(TEXT(VALUE(Database!$A132),"0")&amp;" HK Equity","PE_RATIO"),"")</f>
        <v/>
      </c>
      <c r="K132" s="24">
        <f>IFERROR(BDP(TEXT(VALUE(Database!$A132),"0")&amp;" HK Equity","A/H_SHARE_CONVERSION"),"")</f>
        <v/>
      </c>
      <c r="L132" s="32">
        <f>IF(Database!BN132="","(none found)",Database!BN132)</f>
        <v/>
      </c>
      <c r="M132" s="34">
        <f>BDH(TEXT(VALUE(Database!$A132),"0")&amp;" HK Equity","CUR_MKT_CAP",Database!$H132,Database!$H132)</f>
        <v/>
      </c>
      <c r="N132" s="166">
        <f>Database!Q132</f>
        <v/>
      </c>
      <c r="O132" s="39">
        <f>BDH(TEXT(VALUE(Database!$A132),"0")&amp;" HK Equity","PE_RATIO",Database!$H132,Database!$H132)</f>
        <v/>
      </c>
      <c r="P132" s="199">
        <f>IF(Database!BH132="","(n/m or not derivable)",Database!BH132)</f>
        <v/>
      </c>
      <c r="Q132" s="39">
        <f>IF(Database!BN132="","",BDH(LEFT(Database!BN132,FIND(".",Database!BN132)-1)&amp;" CH Equity","PE_RATIO",Database!$H132,Database!$H132))</f>
        <v/>
      </c>
      <c r="R132" s="39">
        <f>IF(Database!BN132="","",BDH("HSAHP Index","PX_LAST",Database!$H132,Database!$H132))</f>
        <v/>
      </c>
      <c r="S132" s="39">
        <f>IFERROR(BDP(TEXT(VALUE(Database!$A132),"0")&amp;" HK Equity","PX_TO_SALES_RATIO"),"")</f>
        <v/>
      </c>
      <c r="T132" s="34">
        <f>IF(Database!BN132="","",IFERROR(BDP(LEFT(Database!BN132,FIND(".",Database!BN132)-1)&amp;" CH Equity","CUR_MKT_CAP")*BDP("CNYHKD Curncy","PX_LAST"),"Awaiting quote"))</f>
        <v/>
      </c>
    </row>
    <row r="133" ht="23" customHeight="1">
      <c r="A133" s="32">
        <f>Database!A133&amp;"  "&amp;Database!B133</f>
        <v/>
      </c>
      <c r="B133" s="24">
        <f>IFERROR(INDEX(BDS(TEXT(VALUE(Database!$A133),"0")&amp;" HK Equity","EQUITY_OFFERINGS","array=t","endcol=1"),MATCH("IPO",BDS(TEXT(VALUE(Database!$A133),"0")&amp;" HK Equity","EQUITY_OFFERINGS","array=t","startcol=2","endcol=2"),0)),"")</f>
        <v/>
      </c>
      <c r="C133" s="208">
        <f>IF($B133="","",IFERROR(BDP($B133&amp;" Action","CP036"),""))</f>
        <v/>
      </c>
      <c r="D133" s="209">
        <f>Database!S133</f>
        <v/>
      </c>
      <c r="E133" s="208">
        <f>IF($B133="","",IFERROR(BDP($B133&amp;" Action","CP037"),""))</f>
        <v/>
      </c>
      <c r="F133" s="209">
        <f>Database!T133</f>
        <v/>
      </c>
      <c r="G133" s="208">
        <f>IF($B133="","",IFERROR(BDP($B133&amp;" Action","GREENSHOE_FACILITY"),""))</f>
        <v/>
      </c>
      <c r="H133" s="208">
        <f>IF($B133="","",IFERROR(BDP($B133&amp;" Action","OFFERING_GREENSHOE_SHARES_EX"),""))</f>
        <v/>
      </c>
      <c r="I133" s="32">
        <f>Database!AE133</f>
        <v/>
      </c>
      <c r="J133" s="39">
        <f>IFERROR(BDP(TEXT(VALUE(Database!$A133),"0")&amp;" HK Equity","PE_RATIO"),"")</f>
        <v/>
      </c>
      <c r="K133" s="24">
        <f>IFERROR(BDP(TEXT(VALUE(Database!$A133),"0")&amp;" HK Equity","A/H_SHARE_CONVERSION"),"")</f>
        <v/>
      </c>
      <c r="L133" s="32">
        <f>IF(Database!BN133="","(none found)",Database!BN133)</f>
        <v/>
      </c>
      <c r="M133" s="34">
        <f>BDH(TEXT(VALUE(Database!$A133),"0")&amp;" HK Equity","CUR_MKT_CAP",Database!$H133,Database!$H133)</f>
        <v/>
      </c>
      <c r="N133" s="166">
        <f>Database!Q133</f>
        <v/>
      </c>
      <c r="O133" s="39">
        <f>BDH(TEXT(VALUE(Database!$A133),"0")&amp;" HK Equity","PE_RATIO",Database!$H133,Database!$H133)</f>
        <v/>
      </c>
      <c r="P133" s="199">
        <f>IF(Database!BH133="","(n/m or not derivable)",Database!BH133)</f>
        <v/>
      </c>
      <c r="Q133" s="39">
        <f>IF(Database!BN133="","",BDH(LEFT(Database!BN133,FIND(".",Database!BN133)-1)&amp;" CH Equity","PE_RATIO",Database!$H133,Database!$H133))</f>
        <v/>
      </c>
      <c r="R133" s="39">
        <f>IF(Database!BN133="","",BDH("HSAHP Index","PX_LAST",Database!$H133,Database!$H133))</f>
        <v/>
      </c>
      <c r="S133" s="39">
        <f>IFERROR(BDP(TEXT(VALUE(Database!$A133),"0")&amp;" HK Equity","PX_TO_SALES_RATIO"),"")</f>
        <v/>
      </c>
      <c r="T133" s="34">
        <f>IF(Database!BN133="","",IFERROR(BDP(LEFT(Database!BN133,FIND(".",Database!BN133)-1)&amp;" CH Equity","CUR_MKT_CAP")*BDP("CNYHKD Curncy","PX_LAST"),"Awaiting quote"))</f>
        <v/>
      </c>
    </row>
    <row r="134" ht="23" customHeight="1">
      <c r="A134" s="32">
        <f>Database!A134&amp;"  "&amp;Database!B134</f>
        <v/>
      </c>
      <c r="B134" s="24">
        <f>IFERROR(INDEX(BDS(TEXT(VALUE(Database!$A134),"0")&amp;" HK Equity","EQUITY_OFFERINGS","array=t","endcol=1"),MATCH("IPO",BDS(TEXT(VALUE(Database!$A134),"0")&amp;" HK Equity","EQUITY_OFFERINGS","array=t","startcol=2","endcol=2"),0)),"")</f>
        <v/>
      </c>
      <c r="C134" s="208">
        <f>IF($B134="","",IFERROR(BDP($B134&amp;" Action","CP036"),""))</f>
        <v/>
      </c>
      <c r="D134" s="209">
        <f>Database!S134</f>
        <v/>
      </c>
      <c r="E134" s="208">
        <f>IF($B134="","",IFERROR(BDP($B134&amp;" Action","CP037"),""))</f>
        <v/>
      </c>
      <c r="F134" s="209">
        <f>Database!T134</f>
        <v/>
      </c>
      <c r="G134" s="208">
        <f>IF($B134="","",IFERROR(BDP($B134&amp;" Action","GREENSHOE_FACILITY"),""))</f>
        <v/>
      </c>
      <c r="H134" s="208">
        <f>IF($B134="","",IFERROR(BDP($B134&amp;" Action","OFFERING_GREENSHOE_SHARES_EX"),""))</f>
        <v/>
      </c>
      <c r="I134" s="32">
        <f>Database!AE134</f>
        <v/>
      </c>
      <c r="J134" s="39">
        <f>IFERROR(BDP(TEXT(VALUE(Database!$A134),"0")&amp;" HK Equity","PE_RATIO"),"")</f>
        <v/>
      </c>
      <c r="K134" s="24">
        <f>IFERROR(BDP(TEXT(VALUE(Database!$A134),"0")&amp;" HK Equity","A/H_SHARE_CONVERSION"),"")</f>
        <v/>
      </c>
      <c r="L134" s="32">
        <f>IF(Database!BN134="","(none found)",Database!BN134)</f>
        <v/>
      </c>
      <c r="M134" s="34">
        <f>BDH(TEXT(VALUE(Database!$A134),"0")&amp;" HK Equity","CUR_MKT_CAP",Database!$H134,Database!$H134)</f>
        <v/>
      </c>
      <c r="N134" s="166">
        <f>Database!Q134</f>
        <v/>
      </c>
      <c r="O134" s="39">
        <f>BDH(TEXT(VALUE(Database!$A134),"0")&amp;" HK Equity","PE_RATIO",Database!$H134,Database!$H134)</f>
        <v/>
      </c>
      <c r="P134" s="199">
        <f>IF(Database!BH134="","(n/m or not derivable)",Database!BH134)</f>
        <v/>
      </c>
      <c r="Q134" s="39">
        <f>IF(Database!BN134="","",BDH(LEFT(Database!BN134,FIND(".",Database!BN134)-1)&amp;" CH Equity","PE_RATIO",Database!$H134,Database!$H134))</f>
        <v/>
      </c>
      <c r="R134" s="39">
        <f>IF(Database!BN134="","",BDH("HSAHP Index","PX_LAST",Database!$H134,Database!$H134))</f>
        <v/>
      </c>
      <c r="S134" s="39">
        <f>IFERROR(BDP(TEXT(VALUE(Database!$A134),"0")&amp;" HK Equity","PX_TO_SALES_RATIO"),"")</f>
        <v/>
      </c>
      <c r="T134" s="34">
        <f>IF(Database!BN134="","",IFERROR(BDP(LEFT(Database!BN134,FIND(".",Database!BN134)-1)&amp;" CH Equity","CUR_MKT_CAP")*BDP("CNYHKD Curncy","PX_LAST"),"Awaiting quote"))</f>
        <v/>
      </c>
    </row>
    <row r="135" ht="23" customHeight="1">
      <c r="A135" s="32">
        <f>Database!A135&amp;"  "&amp;Database!B135</f>
        <v/>
      </c>
      <c r="B135" s="24">
        <f>IFERROR(INDEX(BDS(TEXT(VALUE(Database!$A135),"0")&amp;" HK Equity","EQUITY_OFFERINGS","array=t","endcol=1"),MATCH("IPO",BDS(TEXT(VALUE(Database!$A135),"0")&amp;" HK Equity","EQUITY_OFFERINGS","array=t","startcol=2","endcol=2"),0)),"")</f>
        <v/>
      </c>
      <c r="C135" s="208">
        <f>IF($B135="","",IFERROR(BDP($B135&amp;" Action","CP036"),""))</f>
        <v/>
      </c>
      <c r="D135" s="209">
        <f>Database!S135</f>
        <v/>
      </c>
      <c r="E135" s="208">
        <f>IF($B135="","",IFERROR(BDP($B135&amp;" Action","CP037"),""))</f>
        <v/>
      </c>
      <c r="F135" s="209">
        <f>Database!T135</f>
        <v/>
      </c>
      <c r="G135" s="208">
        <f>IF($B135="","",IFERROR(BDP($B135&amp;" Action","GREENSHOE_FACILITY"),""))</f>
        <v/>
      </c>
      <c r="H135" s="208">
        <f>IF($B135="","",IFERROR(BDP($B135&amp;" Action","OFFERING_GREENSHOE_SHARES_EX"),""))</f>
        <v/>
      </c>
      <c r="I135" s="32">
        <f>Database!AE135</f>
        <v/>
      </c>
      <c r="J135" s="39">
        <f>IFERROR(BDP(TEXT(VALUE(Database!$A135),"0")&amp;" HK Equity","PE_RATIO"),"")</f>
        <v/>
      </c>
      <c r="K135" s="24">
        <f>IFERROR(BDP(TEXT(VALUE(Database!$A135),"0")&amp;" HK Equity","A/H_SHARE_CONVERSION"),"")</f>
        <v/>
      </c>
      <c r="L135" s="32">
        <f>IF(Database!BN135="","(none found)",Database!BN135)</f>
        <v/>
      </c>
      <c r="M135" s="34">
        <f>BDH(TEXT(VALUE(Database!$A135),"0")&amp;" HK Equity","CUR_MKT_CAP",Database!$H135,Database!$H135)</f>
        <v/>
      </c>
      <c r="N135" s="166">
        <f>Database!Q135</f>
        <v/>
      </c>
      <c r="O135" s="39">
        <f>BDH(TEXT(VALUE(Database!$A135),"0")&amp;" HK Equity","PE_RATIO",Database!$H135,Database!$H135)</f>
        <v/>
      </c>
      <c r="P135" s="199">
        <f>IF(Database!BH135="","(n/m or not derivable)",Database!BH135)</f>
        <v/>
      </c>
      <c r="Q135" s="39">
        <f>IF(Database!BN135="","",BDH(LEFT(Database!BN135,FIND(".",Database!BN135)-1)&amp;" CH Equity","PE_RATIO",Database!$H135,Database!$H135))</f>
        <v/>
      </c>
      <c r="R135" s="39">
        <f>IF(Database!BN135="","",BDH("HSAHP Index","PX_LAST",Database!$H135,Database!$H135))</f>
        <v/>
      </c>
      <c r="S135" s="39">
        <f>IFERROR(BDP(TEXT(VALUE(Database!$A135),"0")&amp;" HK Equity","PX_TO_SALES_RATIO"),"")</f>
        <v/>
      </c>
      <c r="T135" s="34">
        <f>IF(Database!BN135="","",IFERROR(BDP(LEFT(Database!BN135,FIND(".",Database!BN135)-1)&amp;" CH Equity","CUR_MKT_CAP")*BDP("CNYHKD Curncy","PX_LAST"),"Awaiting quote"))</f>
        <v/>
      </c>
    </row>
    <row r="136" ht="23" customHeight="1">
      <c r="A136" s="32">
        <f>Database!A136&amp;"  "&amp;Database!B136</f>
        <v/>
      </c>
      <c r="B136" s="24">
        <f>IFERROR(INDEX(BDS(TEXT(VALUE(Database!$A136),"0")&amp;" HK Equity","EQUITY_OFFERINGS","array=t","endcol=1"),MATCH("IPO",BDS(TEXT(VALUE(Database!$A136),"0")&amp;" HK Equity","EQUITY_OFFERINGS","array=t","startcol=2","endcol=2"),0)),"")</f>
        <v/>
      </c>
      <c r="C136" s="208">
        <f>IF($B136="","",IFERROR(BDP($B136&amp;" Action","CP036"),""))</f>
        <v/>
      </c>
      <c r="D136" s="209">
        <f>Database!S136</f>
        <v/>
      </c>
      <c r="E136" s="208">
        <f>IF($B136="","",IFERROR(BDP($B136&amp;" Action","CP037"),""))</f>
        <v/>
      </c>
      <c r="F136" s="209">
        <f>Database!T136</f>
        <v/>
      </c>
      <c r="G136" s="208">
        <f>IF($B136="","",IFERROR(BDP($B136&amp;" Action","GREENSHOE_FACILITY"),""))</f>
        <v/>
      </c>
      <c r="H136" s="208">
        <f>IF($B136="","",IFERROR(BDP($B136&amp;" Action","OFFERING_GREENSHOE_SHARES_EX"),""))</f>
        <v/>
      </c>
      <c r="I136" s="32">
        <f>Database!AE136</f>
        <v/>
      </c>
      <c r="J136" s="39">
        <f>IFERROR(BDP(TEXT(VALUE(Database!$A136),"0")&amp;" HK Equity","PE_RATIO"),"")</f>
        <v/>
      </c>
      <c r="K136" s="24">
        <f>IFERROR(BDP(TEXT(VALUE(Database!$A136),"0")&amp;" HK Equity","A/H_SHARE_CONVERSION"),"")</f>
        <v/>
      </c>
      <c r="L136" s="32">
        <f>IF(Database!BN136="","(none found)",Database!BN136)</f>
        <v/>
      </c>
      <c r="M136" s="34">
        <f>BDH(TEXT(VALUE(Database!$A136),"0")&amp;" HK Equity","CUR_MKT_CAP",Database!$H136,Database!$H136)</f>
        <v/>
      </c>
      <c r="N136" s="166">
        <f>Database!Q136</f>
        <v/>
      </c>
      <c r="O136" s="39">
        <f>BDH(TEXT(VALUE(Database!$A136),"0")&amp;" HK Equity","PE_RATIO",Database!$H136,Database!$H136)</f>
        <v/>
      </c>
      <c r="P136" s="199">
        <f>IF(Database!BH136="","(n/m or not derivable)",Database!BH136)</f>
        <v/>
      </c>
      <c r="Q136" s="39">
        <f>IF(Database!BN136="","",BDH(LEFT(Database!BN136,FIND(".",Database!BN136)-1)&amp;" CH Equity","PE_RATIO",Database!$H136,Database!$H136))</f>
        <v/>
      </c>
      <c r="R136" s="39">
        <f>IF(Database!BN136="","",BDH("HSAHP Index","PX_LAST",Database!$H136,Database!$H136))</f>
        <v/>
      </c>
      <c r="S136" s="39">
        <f>IFERROR(BDP(TEXT(VALUE(Database!$A136),"0")&amp;" HK Equity","PX_TO_SALES_RATIO"),"")</f>
        <v/>
      </c>
      <c r="T136" s="34">
        <f>IF(Database!BN136="","",IFERROR(BDP(LEFT(Database!BN136,FIND(".",Database!BN136)-1)&amp;" CH Equity","CUR_MKT_CAP")*BDP("CNYHKD Curncy","PX_LAST"),"Awaiting quote"))</f>
        <v/>
      </c>
    </row>
    <row r="137" ht="23" customHeight="1">
      <c r="A137" s="32">
        <f>Database!A137&amp;"  "&amp;Database!B137</f>
        <v/>
      </c>
      <c r="B137" s="24">
        <f>IFERROR(INDEX(BDS(TEXT(VALUE(Database!$A137),"0")&amp;" HK Equity","EQUITY_OFFERINGS","array=t","endcol=1"),MATCH("IPO",BDS(TEXT(VALUE(Database!$A137),"0")&amp;" HK Equity","EQUITY_OFFERINGS","array=t","startcol=2","endcol=2"),0)),"")</f>
        <v/>
      </c>
      <c r="C137" s="208">
        <f>IF($B137="","",IFERROR(BDP($B137&amp;" Action","CP036"),""))</f>
        <v/>
      </c>
      <c r="D137" s="209">
        <f>Database!S137</f>
        <v/>
      </c>
      <c r="E137" s="208">
        <f>IF($B137="","",IFERROR(BDP($B137&amp;" Action","CP037"),""))</f>
        <v/>
      </c>
      <c r="F137" s="209">
        <f>Database!T137</f>
        <v/>
      </c>
      <c r="G137" s="208">
        <f>IF($B137="","",IFERROR(BDP($B137&amp;" Action","GREENSHOE_FACILITY"),""))</f>
        <v/>
      </c>
      <c r="H137" s="208">
        <f>IF($B137="","",IFERROR(BDP($B137&amp;" Action","OFFERING_GREENSHOE_SHARES_EX"),""))</f>
        <v/>
      </c>
      <c r="I137" s="32">
        <f>Database!AE137</f>
        <v/>
      </c>
      <c r="J137" s="39">
        <f>IFERROR(BDP(TEXT(VALUE(Database!$A137),"0")&amp;" HK Equity","PE_RATIO"),"")</f>
        <v/>
      </c>
      <c r="K137" s="24">
        <f>IFERROR(BDP(TEXT(VALUE(Database!$A137),"0")&amp;" HK Equity","A/H_SHARE_CONVERSION"),"")</f>
        <v/>
      </c>
      <c r="L137" s="32">
        <f>IF(Database!BN137="","(none found)",Database!BN137)</f>
        <v/>
      </c>
      <c r="M137" s="34">
        <f>BDH(TEXT(VALUE(Database!$A137),"0")&amp;" HK Equity","CUR_MKT_CAP",Database!$H137,Database!$H137)</f>
        <v/>
      </c>
      <c r="N137" s="166">
        <f>Database!Q137</f>
        <v/>
      </c>
      <c r="O137" s="39">
        <f>BDH(TEXT(VALUE(Database!$A137),"0")&amp;" HK Equity","PE_RATIO",Database!$H137,Database!$H137)</f>
        <v/>
      </c>
      <c r="P137" s="199">
        <f>IF(Database!BH137="","(n/m or not derivable)",Database!BH137)</f>
        <v/>
      </c>
      <c r="Q137" s="39">
        <f>IF(Database!BN137="","",BDH(LEFT(Database!BN137,FIND(".",Database!BN137)-1)&amp;" CH Equity","PE_RATIO",Database!$H137,Database!$H137))</f>
        <v/>
      </c>
      <c r="R137" s="39">
        <f>IF(Database!BN137="","",BDH("HSAHP Index","PX_LAST",Database!$H137,Database!$H137))</f>
        <v/>
      </c>
      <c r="S137" s="39">
        <f>IFERROR(BDP(TEXT(VALUE(Database!$A137),"0")&amp;" HK Equity","PX_TO_SALES_RATIO"),"")</f>
        <v/>
      </c>
      <c r="T137" s="34">
        <f>IF(Database!BN137="","",IFERROR(BDP(LEFT(Database!BN137,FIND(".",Database!BN137)-1)&amp;" CH Equity","CUR_MKT_CAP")*BDP("CNYHKD Curncy","PX_LAST"),"Awaiting quote"))</f>
        <v/>
      </c>
    </row>
    <row r="138" ht="23" customHeight="1">
      <c r="A138" s="32">
        <f>Database!A138&amp;"  "&amp;Database!B138</f>
        <v/>
      </c>
      <c r="B138" s="24">
        <f>IFERROR(INDEX(BDS(TEXT(VALUE(Database!$A138),"0")&amp;" HK Equity","EQUITY_OFFERINGS","array=t","endcol=1"),MATCH("IPO",BDS(TEXT(VALUE(Database!$A138),"0")&amp;" HK Equity","EQUITY_OFFERINGS","array=t","startcol=2","endcol=2"),0)),"")</f>
        <v/>
      </c>
      <c r="C138" s="208">
        <f>IF($B138="","",IFERROR(BDP($B138&amp;" Action","CP036"),""))</f>
        <v/>
      </c>
      <c r="D138" s="209">
        <f>Database!S138</f>
        <v/>
      </c>
      <c r="E138" s="208">
        <f>IF($B138="","",IFERROR(BDP($B138&amp;" Action","CP037"),""))</f>
        <v/>
      </c>
      <c r="F138" s="209">
        <f>Database!T138</f>
        <v/>
      </c>
      <c r="G138" s="208">
        <f>IF($B138="","",IFERROR(BDP($B138&amp;" Action","GREENSHOE_FACILITY"),""))</f>
        <v/>
      </c>
      <c r="H138" s="208">
        <f>IF($B138="","",IFERROR(BDP($B138&amp;" Action","OFFERING_GREENSHOE_SHARES_EX"),""))</f>
        <v/>
      </c>
      <c r="I138" s="32">
        <f>Database!AE138</f>
        <v/>
      </c>
      <c r="J138" s="39">
        <f>IFERROR(BDP(TEXT(VALUE(Database!$A138),"0")&amp;" HK Equity","PE_RATIO"),"")</f>
        <v/>
      </c>
      <c r="K138" s="24">
        <f>IFERROR(BDP(TEXT(VALUE(Database!$A138),"0")&amp;" HK Equity","A/H_SHARE_CONVERSION"),"")</f>
        <v/>
      </c>
      <c r="L138" s="32">
        <f>IF(Database!BN138="","(none found)",Database!BN138)</f>
        <v/>
      </c>
      <c r="M138" s="34">
        <f>BDH(TEXT(VALUE(Database!$A138),"0")&amp;" HK Equity","CUR_MKT_CAP",Database!$H138,Database!$H138)</f>
        <v/>
      </c>
      <c r="N138" s="166">
        <f>Database!Q138</f>
        <v/>
      </c>
      <c r="O138" s="39">
        <f>BDH(TEXT(VALUE(Database!$A138),"0")&amp;" HK Equity","PE_RATIO",Database!$H138,Database!$H138)</f>
        <v/>
      </c>
      <c r="P138" s="199">
        <f>IF(Database!BH138="","(n/m or not derivable)",Database!BH138)</f>
        <v/>
      </c>
      <c r="Q138" s="39">
        <f>IF(Database!BN138="","",BDH(LEFT(Database!BN138,FIND(".",Database!BN138)-1)&amp;" CH Equity","PE_RATIO",Database!$H138,Database!$H138))</f>
        <v/>
      </c>
      <c r="R138" s="39">
        <f>IF(Database!BN138="","",BDH("HSAHP Index","PX_LAST",Database!$H138,Database!$H138))</f>
        <v/>
      </c>
      <c r="S138" s="39">
        <f>IFERROR(BDP(TEXT(VALUE(Database!$A138),"0")&amp;" HK Equity","PX_TO_SALES_RATIO"),"")</f>
        <v/>
      </c>
      <c r="T138" s="34">
        <f>IF(Database!BN138="","",IFERROR(BDP(LEFT(Database!BN138,FIND(".",Database!BN138)-1)&amp;" CH Equity","CUR_MKT_CAP")*BDP("CNYHKD Curncy","PX_LAST"),"Awaiting quote"))</f>
        <v/>
      </c>
    </row>
    <row r="139" ht="23" customHeight="1">
      <c r="A139" s="32">
        <f>Database!A139&amp;"  "&amp;Database!B139</f>
        <v/>
      </c>
      <c r="B139" s="24">
        <f>IFERROR(INDEX(BDS(TEXT(VALUE(Database!$A139),"0")&amp;" HK Equity","EQUITY_OFFERINGS","array=t","endcol=1"),MATCH("IPO",BDS(TEXT(VALUE(Database!$A139),"0")&amp;" HK Equity","EQUITY_OFFERINGS","array=t","startcol=2","endcol=2"),0)),"")</f>
        <v/>
      </c>
      <c r="C139" s="208">
        <f>IF($B139="","",IFERROR(BDP($B139&amp;" Action","CP036"),""))</f>
        <v/>
      </c>
      <c r="D139" s="209">
        <f>Database!S139</f>
        <v/>
      </c>
      <c r="E139" s="208">
        <f>IF($B139="","",IFERROR(BDP($B139&amp;" Action","CP037"),""))</f>
        <v/>
      </c>
      <c r="F139" s="209">
        <f>Database!T139</f>
        <v/>
      </c>
      <c r="G139" s="208">
        <f>IF($B139="","",IFERROR(BDP($B139&amp;" Action","GREENSHOE_FACILITY"),""))</f>
        <v/>
      </c>
      <c r="H139" s="208">
        <f>IF($B139="","",IFERROR(BDP($B139&amp;" Action","OFFERING_GREENSHOE_SHARES_EX"),""))</f>
        <v/>
      </c>
      <c r="I139" s="32">
        <f>Database!AE139</f>
        <v/>
      </c>
      <c r="J139" s="39">
        <f>IFERROR(BDP(TEXT(VALUE(Database!$A139),"0")&amp;" HK Equity","PE_RATIO"),"")</f>
        <v/>
      </c>
      <c r="K139" s="24">
        <f>IFERROR(BDP(TEXT(VALUE(Database!$A139),"0")&amp;" HK Equity","A/H_SHARE_CONVERSION"),"")</f>
        <v/>
      </c>
      <c r="L139" s="32">
        <f>IF(Database!BN139="","(none found)",Database!BN139)</f>
        <v/>
      </c>
      <c r="M139" s="34">
        <f>BDH(TEXT(VALUE(Database!$A139),"0")&amp;" HK Equity","CUR_MKT_CAP",Database!$H139,Database!$H139)</f>
        <v/>
      </c>
      <c r="N139" s="166">
        <f>Database!Q139</f>
        <v/>
      </c>
      <c r="O139" s="39">
        <f>BDH(TEXT(VALUE(Database!$A139),"0")&amp;" HK Equity","PE_RATIO",Database!$H139,Database!$H139)</f>
        <v/>
      </c>
      <c r="P139" s="199">
        <f>IF(Database!BH139="","(n/m or not derivable)",Database!BH139)</f>
        <v/>
      </c>
      <c r="Q139" s="39">
        <f>IF(Database!BN139="","",BDH(LEFT(Database!BN139,FIND(".",Database!BN139)-1)&amp;" CH Equity","PE_RATIO",Database!$H139,Database!$H139))</f>
        <v/>
      </c>
      <c r="R139" s="39">
        <f>IF(Database!BN139="","",BDH("HSAHP Index","PX_LAST",Database!$H139,Database!$H139))</f>
        <v/>
      </c>
      <c r="S139" s="39">
        <f>IFERROR(BDP(TEXT(VALUE(Database!$A139),"0")&amp;" HK Equity","PX_TO_SALES_RATIO"),"")</f>
        <v/>
      </c>
      <c r="T139" s="34">
        <f>IF(Database!BN139="","",IFERROR(BDP(LEFT(Database!BN139,FIND(".",Database!BN139)-1)&amp;" CH Equity","CUR_MKT_CAP")*BDP("CNYHKD Curncy","PX_LAST"),"Awaiting quote"))</f>
        <v/>
      </c>
    </row>
    <row r="140" ht="23" customHeight="1">
      <c r="A140" s="32">
        <f>Database!A140&amp;"  "&amp;Database!B140</f>
        <v/>
      </c>
      <c r="B140" s="24">
        <f>IFERROR(INDEX(BDS(TEXT(VALUE(Database!$A140),"0")&amp;" HK Equity","EQUITY_OFFERINGS","array=t","endcol=1"),MATCH("IPO",BDS(TEXT(VALUE(Database!$A140),"0")&amp;" HK Equity","EQUITY_OFFERINGS","array=t","startcol=2","endcol=2"),0)),"")</f>
        <v/>
      </c>
      <c r="C140" s="208">
        <f>IF($B140="","",IFERROR(BDP($B140&amp;" Action","CP036"),""))</f>
        <v/>
      </c>
      <c r="D140" s="209">
        <f>Database!S140</f>
        <v/>
      </c>
      <c r="E140" s="208">
        <f>IF($B140="","",IFERROR(BDP($B140&amp;" Action","CP037"),""))</f>
        <v/>
      </c>
      <c r="F140" s="209">
        <f>Database!T140</f>
        <v/>
      </c>
      <c r="G140" s="208">
        <f>IF($B140="","",IFERROR(BDP($B140&amp;" Action","GREENSHOE_FACILITY"),""))</f>
        <v/>
      </c>
      <c r="H140" s="208">
        <f>IF($B140="","",IFERROR(BDP($B140&amp;" Action","OFFERING_GREENSHOE_SHARES_EX"),""))</f>
        <v/>
      </c>
      <c r="I140" s="32">
        <f>Database!AE140</f>
        <v/>
      </c>
      <c r="J140" s="39">
        <f>IFERROR(BDP(TEXT(VALUE(Database!$A140),"0")&amp;" HK Equity","PE_RATIO"),"")</f>
        <v/>
      </c>
      <c r="K140" s="24">
        <f>IFERROR(BDP(TEXT(VALUE(Database!$A140),"0")&amp;" HK Equity","A/H_SHARE_CONVERSION"),"")</f>
        <v/>
      </c>
      <c r="L140" s="32">
        <f>IF(Database!BN140="","(none found)",Database!BN140)</f>
        <v/>
      </c>
      <c r="M140" s="34">
        <f>BDH(TEXT(VALUE(Database!$A140),"0")&amp;" HK Equity","CUR_MKT_CAP",Database!$H140,Database!$H140)</f>
        <v/>
      </c>
      <c r="N140" s="166">
        <f>Database!Q140</f>
        <v/>
      </c>
      <c r="O140" s="39">
        <f>BDH(TEXT(VALUE(Database!$A140),"0")&amp;" HK Equity","PE_RATIO",Database!$H140,Database!$H140)</f>
        <v/>
      </c>
      <c r="P140" s="199">
        <f>IF(Database!BH140="","(n/m or not derivable)",Database!BH140)</f>
        <v/>
      </c>
      <c r="Q140" s="39">
        <f>IF(Database!BN140="","",BDH(LEFT(Database!BN140,FIND(".",Database!BN140)-1)&amp;" CH Equity","PE_RATIO",Database!$H140,Database!$H140))</f>
        <v/>
      </c>
      <c r="R140" s="39">
        <f>IF(Database!BN140="","",BDH("HSAHP Index","PX_LAST",Database!$H140,Database!$H140))</f>
        <v/>
      </c>
      <c r="S140" s="39">
        <f>IFERROR(BDP(TEXT(VALUE(Database!$A140),"0")&amp;" HK Equity","PX_TO_SALES_RATIO"),"")</f>
        <v/>
      </c>
      <c r="T140" s="34">
        <f>IF(Database!BN140="","",IFERROR(BDP(LEFT(Database!BN140,FIND(".",Database!BN140)-1)&amp;" CH Equity","CUR_MKT_CAP")*BDP("CNYHKD Curncy","PX_LAST"),"Awaiting quote"))</f>
        <v/>
      </c>
    </row>
    <row r="141" ht="23" customHeight="1">
      <c r="A141" s="32">
        <f>Database!A141&amp;"  "&amp;Database!B141</f>
        <v/>
      </c>
      <c r="B141" s="24">
        <f>IFERROR(INDEX(BDS(TEXT(VALUE(Database!$A141),"0")&amp;" HK Equity","EQUITY_OFFERINGS","array=t","endcol=1"),MATCH("IPO",BDS(TEXT(VALUE(Database!$A141),"0")&amp;" HK Equity","EQUITY_OFFERINGS","array=t","startcol=2","endcol=2"),0)),"")</f>
        <v/>
      </c>
      <c r="C141" s="208">
        <f>IF($B141="","",IFERROR(BDP($B141&amp;" Action","CP036"),""))</f>
        <v/>
      </c>
      <c r="D141" s="209">
        <f>Database!S141</f>
        <v/>
      </c>
      <c r="E141" s="208">
        <f>IF($B141="","",IFERROR(BDP($B141&amp;" Action","CP037"),""))</f>
        <v/>
      </c>
      <c r="F141" s="209">
        <f>Database!T141</f>
        <v/>
      </c>
      <c r="G141" s="208">
        <f>IF($B141="","",IFERROR(BDP($B141&amp;" Action","GREENSHOE_FACILITY"),""))</f>
        <v/>
      </c>
      <c r="H141" s="208">
        <f>IF($B141="","",IFERROR(BDP($B141&amp;" Action","OFFERING_GREENSHOE_SHARES_EX"),""))</f>
        <v/>
      </c>
      <c r="I141" s="32">
        <f>Database!AE141</f>
        <v/>
      </c>
      <c r="J141" s="39">
        <f>IFERROR(BDP(TEXT(VALUE(Database!$A141),"0")&amp;" HK Equity","PE_RATIO"),"")</f>
        <v/>
      </c>
      <c r="K141" s="24">
        <f>IFERROR(BDP(TEXT(VALUE(Database!$A141),"0")&amp;" HK Equity","A/H_SHARE_CONVERSION"),"")</f>
        <v/>
      </c>
      <c r="L141" s="32">
        <f>IF(Database!BN141="","(none found)",Database!BN141)</f>
        <v/>
      </c>
      <c r="M141" s="34">
        <f>BDH(TEXT(VALUE(Database!$A141),"0")&amp;" HK Equity","CUR_MKT_CAP",Database!$H141,Database!$H141)</f>
        <v/>
      </c>
      <c r="N141" s="166">
        <f>Database!Q141</f>
        <v/>
      </c>
      <c r="O141" s="39">
        <f>BDH(TEXT(VALUE(Database!$A141),"0")&amp;" HK Equity","PE_RATIO",Database!$H141,Database!$H141)</f>
        <v/>
      </c>
      <c r="P141" s="199">
        <f>IF(Database!BH141="","(n/m or not derivable)",Database!BH141)</f>
        <v/>
      </c>
      <c r="Q141" s="39">
        <f>IF(Database!BN141="","",BDH(LEFT(Database!BN141,FIND(".",Database!BN141)-1)&amp;" CH Equity","PE_RATIO",Database!$H141,Database!$H141))</f>
        <v/>
      </c>
      <c r="R141" s="39">
        <f>IF(Database!BN141="","",BDH("HSAHP Index","PX_LAST",Database!$H141,Database!$H141))</f>
        <v/>
      </c>
      <c r="S141" s="39">
        <f>IFERROR(BDP(TEXT(VALUE(Database!$A141),"0")&amp;" HK Equity","PX_TO_SALES_RATIO"),"")</f>
        <v/>
      </c>
      <c r="T141" s="34">
        <f>IF(Database!BN141="","",IFERROR(BDP(LEFT(Database!BN141,FIND(".",Database!BN141)-1)&amp;" CH Equity","CUR_MKT_CAP")*BDP("CNYHKD Curncy","PX_LAST"),"Awaiting quote"))</f>
        <v/>
      </c>
    </row>
    <row r="142" ht="23" customHeight="1">
      <c r="A142" s="32">
        <f>Database!A142&amp;"  "&amp;Database!B142</f>
        <v/>
      </c>
      <c r="B142" s="24">
        <f>IFERROR(INDEX(BDS(TEXT(VALUE(Database!$A142),"0")&amp;" HK Equity","EQUITY_OFFERINGS","array=t","endcol=1"),MATCH("IPO",BDS(TEXT(VALUE(Database!$A142),"0")&amp;" HK Equity","EQUITY_OFFERINGS","array=t","startcol=2","endcol=2"),0)),"")</f>
        <v/>
      </c>
      <c r="C142" s="208">
        <f>IF($B142="","",IFERROR(BDP($B142&amp;" Action","CP036"),""))</f>
        <v/>
      </c>
      <c r="D142" s="209">
        <f>Database!S142</f>
        <v/>
      </c>
      <c r="E142" s="208">
        <f>IF($B142="","",IFERROR(BDP($B142&amp;" Action","CP037"),""))</f>
        <v/>
      </c>
      <c r="F142" s="209">
        <f>Database!T142</f>
        <v/>
      </c>
      <c r="G142" s="208">
        <f>IF($B142="","",IFERROR(BDP($B142&amp;" Action","GREENSHOE_FACILITY"),""))</f>
        <v/>
      </c>
      <c r="H142" s="208">
        <f>IF($B142="","",IFERROR(BDP($B142&amp;" Action","OFFERING_GREENSHOE_SHARES_EX"),""))</f>
        <v/>
      </c>
      <c r="I142" s="32">
        <f>Database!AE142</f>
        <v/>
      </c>
      <c r="J142" s="39">
        <f>IFERROR(BDP(TEXT(VALUE(Database!$A142),"0")&amp;" HK Equity","PE_RATIO"),"")</f>
        <v/>
      </c>
      <c r="K142" s="24">
        <f>IFERROR(BDP(TEXT(VALUE(Database!$A142),"0")&amp;" HK Equity","A/H_SHARE_CONVERSION"),"")</f>
        <v/>
      </c>
      <c r="L142" s="32">
        <f>IF(Database!BN142="","(none found)",Database!BN142)</f>
        <v/>
      </c>
      <c r="M142" s="34">
        <f>BDH(TEXT(VALUE(Database!$A142),"0")&amp;" HK Equity","CUR_MKT_CAP",Database!$H142,Database!$H142)</f>
        <v/>
      </c>
      <c r="N142" s="166">
        <f>Database!Q142</f>
        <v/>
      </c>
      <c r="O142" s="39">
        <f>BDH(TEXT(VALUE(Database!$A142),"0")&amp;" HK Equity","PE_RATIO",Database!$H142,Database!$H142)</f>
        <v/>
      </c>
      <c r="P142" s="199">
        <f>IF(Database!BH142="","(n/m or not derivable)",Database!BH142)</f>
        <v/>
      </c>
      <c r="Q142" s="39">
        <f>IF(Database!BN142="","",BDH(LEFT(Database!BN142,FIND(".",Database!BN142)-1)&amp;" CH Equity","PE_RATIO",Database!$H142,Database!$H142))</f>
        <v/>
      </c>
      <c r="R142" s="39">
        <f>IF(Database!BN142="","",BDH("HSAHP Index","PX_LAST",Database!$H142,Database!$H142))</f>
        <v/>
      </c>
      <c r="S142" s="39">
        <f>IFERROR(BDP(TEXT(VALUE(Database!$A142),"0")&amp;" HK Equity","PX_TO_SALES_RATIO"),"")</f>
        <v/>
      </c>
      <c r="T142" s="34">
        <f>IF(Database!BN142="","",IFERROR(BDP(LEFT(Database!BN142,FIND(".",Database!BN142)-1)&amp;" CH Equity","CUR_MKT_CAP")*BDP("CNYHKD Curncy","PX_LAST"),"Awaiting quote"))</f>
        <v/>
      </c>
    </row>
    <row r="143" ht="23" customHeight="1">
      <c r="A143" s="32">
        <f>Database!A143&amp;"  "&amp;Database!B143</f>
        <v/>
      </c>
      <c r="B143" s="24">
        <f>IFERROR(INDEX(BDS(TEXT(VALUE(Database!$A143),"0")&amp;" HK Equity","EQUITY_OFFERINGS","array=t","endcol=1"),MATCH("IPO",BDS(TEXT(VALUE(Database!$A143),"0")&amp;" HK Equity","EQUITY_OFFERINGS","array=t","startcol=2","endcol=2"),0)),"")</f>
        <v/>
      </c>
      <c r="C143" s="208">
        <f>IF($B143="","",IFERROR(BDP($B143&amp;" Action","CP036"),""))</f>
        <v/>
      </c>
      <c r="D143" s="209">
        <f>Database!S143</f>
        <v/>
      </c>
      <c r="E143" s="208">
        <f>IF($B143="","",IFERROR(BDP($B143&amp;" Action","CP037"),""))</f>
        <v/>
      </c>
      <c r="F143" s="209">
        <f>Database!T143</f>
        <v/>
      </c>
      <c r="G143" s="208">
        <f>IF($B143="","",IFERROR(BDP($B143&amp;" Action","GREENSHOE_FACILITY"),""))</f>
        <v/>
      </c>
      <c r="H143" s="208">
        <f>IF($B143="","",IFERROR(BDP($B143&amp;" Action","OFFERING_GREENSHOE_SHARES_EX"),""))</f>
        <v/>
      </c>
      <c r="I143" s="32">
        <f>Database!AE143</f>
        <v/>
      </c>
      <c r="J143" s="39">
        <f>IFERROR(BDP(TEXT(VALUE(Database!$A143),"0")&amp;" HK Equity","PE_RATIO"),"")</f>
        <v/>
      </c>
      <c r="K143" s="24">
        <f>IFERROR(BDP(TEXT(VALUE(Database!$A143),"0")&amp;" HK Equity","A/H_SHARE_CONVERSION"),"")</f>
        <v/>
      </c>
      <c r="L143" s="32">
        <f>IF(Database!BN143="","(none found)",Database!BN143)</f>
        <v/>
      </c>
      <c r="M143" s="34">
        <f>BDH(TEXT(VALUE(Database!$A143),"0")&amp;" HK Equity","CUR_MKT_CAP",Database!$H143,Database!$H143)</f>
        <v/>
      </c>
      <c r="N143" s="166">
        <f>Database!Q143</f>
        <v/>
      </c>
      <c r="O143" s="39">
        <f>BDH(TEXT(VALUE(Database!$A143),"0")&amp;" HK Equity","PE_RATIO",Database!$H143,Database!$H143)</f>
        <v/>
      </c>
      <c r="P143" s="199">
        <f>IF(Database!BH143="","(n/m or not derivable)",Database!BH143)</f>
        <v/>
      </c>
      <c r="Q143" s="39">
        <f>IF(Database!BN143="","",BDH(LEFT(Database!BN143,FIND(".",Database!BN143)-1)&amp;" CH Equity","PE_RATIO",Database!$H143,Database!$H143))</f>
        <v/>
      </c>
      <c r="R143" s="39">
        <f>IF(Database!BN143="","",BDH("HSAHP Index","PX_LAST",Database!$H143,Database!$H143))</f>
        <v/>
      </c>
      <c r="S143" s="39">
        <f>IFERROR(BDP(TEXT(VALUE(Database!$A143),"0")&amp;" HK Equity","PX_TO_SALES_RATIO"),"")</f>
        <v/>
      </c>
      <c r="T143" s="34">
        <f>IF(Database!BN143="","",IFERROR(BDP(LEFT(Database!BN143,FIND(".",Database!BN143)-1)&amp;" CH Equity","CUR_MKT_CAP")*BDP("CNYHKD Curncy","PX_LAST"),"Awaiting quote"))</f>
        <v/>
      </c>
    </row>
    <row r="144" ht="23" customHeight="1">
      <c r="A144" s="32">
        <f>Database!A144&amp;"  "&amp;Database!B144</f>
        <v/>
      </c>
      <c r="B144" s="24">
        <f>IFERROR(INDEX(BDS(TEXT(VALUE(Database!$A144),"0")&amp;" HK Equity","EQUITY_OFFERINGS","array=t","endcol=1"),MATCH("IPO",BDS(TEXT(VALUE(Database!$A144),"0")&amp;" HK Equity","EQUITY_OFFERINGS","array=t","startcol=2","endcol=2"),0)),"")</f>
        <v/>
      </c>
      <c r="C144" s="208">
        <f>IF($B144="","",IFERROR(BDP($B144&amp;" Action","CP036"),""))</f>
        <v/>
      </c>
      <c r="D144" s="209">
        <f>Database!S144</f>
        <v/>
      </c>
      <c r="E144" s="208">
        <f>IF($B144="","",IFERROR(BDP($B144&amp;" Action","CP037"),""))</f>
        <v/>
      </c>
      <c r="F144" s="209">
        <f>Database!T144</f>
        <v/>
      </c>
      <c r="G144" s="208">
        <f>IF($B144="","",IFERROR(BDP($B144&amp;" Action","GREENSHOE_FACILITY"),""))</f>
        <v/>
      </c>
      <c r="H144" s="208">
        <f>IF($B144="","",IFERROR(BDP($B144&amp;" Action","OFFERING_GREENSHOE_SHARES_EX"),""))</f>
        <v/>
      </c>
      <c r="I144" s="32">
        <f>Database!AE144</f>
        <v/>
      </c>
      <c r="J144" s="39">
        <f>IFERROR(BDP(TEXT(VALUE(Database!$A144),"0")&amp;" HK Equity","PE_RATIO"),"")</f>
        <v/>
      </c>
      <c r="K144" s="24">
        <f>IFERROR(BDP(TEXT(VALUE(Database!$A144),"0")&amp;" HK Equity","A/H_SHARE_CONVERSION"),"")</f>
        <v/>
      </c>
      <c r="L144" s="32">
        <f>IF(Database!BN144="","(none found)",Database!BN144)</f>
        <v/>
      </c>
      <c r="M144" s="34">
        <f>BDH(TEXT(VALUE(Database!$A144),"0")&amp;" HK Equity","CUR_MKT_CAP",Database!$H144,Database!$H144)</f>
        <v/>
      </c>
      <c r="N144" s="166">
        <f>Database!Q144</f>
        <v/>
      </c>
      <c r="O144" s="39">
        <f>BDH(TEXT(VALUE(Database!$A144),"0")&amp;" HK Equity","PE_RATIO",Database!$H144,Database!$H144)</f>
        <v/>
      </c>
      <c r="P144" s="199">
        <f>IF(Database!BH144="","(n/m or not derivable)",Database!BH144)</f>
        <v/>
      </c>
      <c r="Q144" s="39">
        <f>IF(Database!BN144="","",BDH(LEFT(Database!BN144,FIND(".",Database!BN144)-1)&amp;" CH Equity","PE_RATIO",Database!$H144,Database!$H144))</f>
        <v/>
      </c>
      <c r="R144" s="39">
        <f>IF(Database!BN144="","",BDH("HSAHP Index","PX_LAST",Database!$H144,Database!$H144))</f>
        <v/>
      </c>
      <c r="S144" s="39">
        <f>IFERROR(BDP(TEXT(VALUE(Database!$A144),"0")&amp;" HK Equity","PX_TO_SALES_RATIO"),"")</f>
        <v/>
      </c>
      <c r="T144" s="34">
        <f>IF(Database!BN144="","",IFERROR(BDP(LEFT(Database!BN144,FIND(".",Database!BN144)-1)&amp;" CH Equity","CUR_MKT_CAP")*BDP("CNYHKD Curncy","PX_LAST"),"Awaiting quote"))</f>
        <v/>
      </c>
    </row>
    <row r="145" ht="23" customHeight="1">
      <c r="A145" s="32">
        <f>Database!A145&amp;"  "&amp;Database!B145</f>
        <v/>
      </c>
      <c r="B145" s="24">
        <f>IFERROR(INDEX(BDS(TEXT(VALUE(Database!$A145),"0")&amp;" HK Equity","EQUITY_OFFERINGS","array=t","endcol=1"),MATCH("IPO",BDS(TEXT(VALUE(Database!$A145),"0")&amp;" HK Equity","EQUITY_OFFERINGS","array=t","startcol=2","endcol=2"),0)),"")</f>
        <v/>
      </c>
      <c r="C145" s="208">
        <f>IF($B145="","",IFERROR(BDP($B145&amp;" Action","CP036"),""))</f>
        <v/>
      </c>
      <c r="D145" s="209">
        <f>Database!S145</f>
        <v/>
      </c>
      <c r="E145" s="208">
        <f>IF($B145="","",IFERROR(BDP($B145&amp;" Action","CP037"),""))</f>
        <v/>
      </c>
      <c r="F145" s="209">
        <f>Database!T145</f>
        <v/>
      </c>
      <c r="G145" s="208">
        <f>IF($B145="","",IFERROR(BDP($B145&amp;" Action","GREENSHOE_FACILITY"),""))</f>
        <v/>
      </c>
      <c r="H145" s="208">
        <f>IF($B145="","",IFERROR(BDP($B145&amp;" Action","OFFERING_GREENSHOE_SHARES_EX"),""))</f>
        <v/>
      </c>
      <c r="I145" s="32">
        <f>Database!AE145</f>
        <v/>
      </c>
      <c r="J145" s="39">
        <f>IFERROR(BDP(TEXT(VALUE(Database!$A145),"0")&amp;" HK Equity","PE_RATIO"),"")</f>
        <v/>
      </c>
      <c r="K145" s="24">
        <f>IFERROR(BDP(TEXT(VALUE(Database!$A145),"0")&amp;" HK Equity","A/H_SHARE_CONVERSION"),"")</f>
        <v/>
      </c>
      <c r="L145" s="32">
        <f>IF(Database!BN145="","(none found)",Database!BN145)</f>
        <v/>
      </c>
      <c r="M145" s="34">
        <f>BDH(TEXT(VALUE(Database!$A145),"0")&amp;" HK Equity","CUR_MKT_CAP",Database!$H145,Database!$H145)</f>
        <v/>
      </c>
      <c r="N145" s="166">
        <f>Database!Q145</f>
        <v/>
      </c>
      <c r="O145" s="39">
        <f>BDH(TEXT(VALUE(Database!$A145),"0")&amp;" HK Equity","PE_RATIO",Database!$H145,Database!$H145)</f>
        <v/>
      </c>
      <c r="P145" s="199">
        <f>IF(Database!BH145="","(n/m or not derivable)",Database!BH145)</f>
        <v/>
      </c>
      <c r="Q145" s="39">
        <f>IF(Database!BN145="","",BDH(LEFT(Database!BN145,FIND(".",Database!BN145)-1)&amp;" CH Equity","PE_RATIO",Database!$H145,Database!$H145))</f>
        <v/>
      </c>
      <c r="R145" s="39">
        <f>IF(Database!BN145="","",BDH("HSAHP Index","PX_LAST",Database!$H145,Database!$H145))</f>
        <v/>
      </c>
      <c r="S145" s="39">
        <f>IFERROR(BDP(TEXT(VALUE(Database!$A145),"0")&amp;" HK Equity","PX_TO_SALES_RATIO"),"")</f>
        <v/>
      </c>
      <c r="T145" s="34">
        <f>IF(Database!BN145="","",IFERROR(BDP(LEFT(Database!BN145,FIND(".",Database!BN145)-1)&amp;" CH Equity","CUR_MKT_CAP")*BDP("CNYHKD Curncy","PX_LAST"),"Awaiting quote"))</f>
        <v/>
      </c>
    </row>
    <row r="146" ht="23" customHeight="1">
      <c r="A146" s="32">
        <f>Database!A146&amp;"  "&amp;Database!B146</f>
        <v/>
      </c>
      <c r="B146" s="24">
        <f>IFERROR(INDEX(BDS(TEXT(VALUE(Database!$A146),"0")&amp;" HK Equity","EQUITY_OFFERINGS","array=t","endcol=1"),MATCH("IPO",BDS(TEXT(VALUE(Database!$A146),"0")&amp;" HK Equity","EQUITY_OFFERINGS","array=t","startcol=2","endcol=2"),0)),"")</f>
        <v/>
      </c>
      <c r="C146" s="208">
        <f>IF($B146="","",IFERROR(BDP($B146&amp;" Action","CP036"),""))</f>
        <v/>
      </c>
      <c r="D146" s="209">
        <f>Database!S146</f>
        <v/>
      </c>
      <c r="E146" s="208">
        <f>IF($B146="","",IFERROR(BDP($B146&amp;" Action","CP037"),""))</f>
        <v/>
      </c>
      <c r="F146" s="209">
        <f>Database!T146</f>
        <v/>
      </c>
      <c r="G146" s="208">
        <f>IF($B146="","",IFERROR(BDP($B146&amp;" Action","GREENSHOE_FACILITY"),""))</f>
        <v/>
      </c>
      <c r="H146" s="208">
        <f>IF($B146="","",IFERROR(BDP($B146&amp;" Action","OFFERING_GREENSHOE_SHARES_EX"),""))</f>
        <v/>
      </c>
      <c r="I146" s="32">
        <f>Database!AE146</f>
        <v/>
      </c>
      <c r="J146" s="39">
        <f>IFERROR(BDP(TEXT(VALUE(Database!$A146),"0")&amp;" HK Equity","PE_RATIO"),"")</f>
        <v/>
      </c>
      <c r="K146" s="24">
        <f>IFERROR(BDP(TEXT(VALUE(Database!$A146),"0")&amp;" HK Equity","A/H_SHARE_CONVERSION"),"")</f>
        <v/>
      </c>
      <c r="L146" s="32">
        <f>IF(Database!BN146="","(none found)",Database!BN146)</f>
        <v/>
      </c>
      <c r="M146" s="34">
        <f>BDH(TEXT(VALUE(Database!$A146),"0")&amp;" HK Equity","CUR_MKT_CAP",Database!$H146,Database!$H146)</f>
        <v/>
      </c>
      <c r="N146" s="166">
        <f>Database!Q146</f>
        <v/>
      </c>
      <c r="O146" s="39">
        <f>BDH(TEXT(VALUE(Database!$A146),"0")&amp;" HK Equity","PE_RATIO",Database!$H146,Database!$H146)</f>
        <v/>
      </c>
      <c r="P146" s="199">
        <f>IF(Database!BH146="","(n/m or not derivable)",Database!BH146)</f>
        <v/>
      </c>
      <c r="Q146" s="39">
        <f>IF(Database!BN146="","",BDH(LEFT(Database!BN146,FIND(".",Database!BN146)-1)&amp;" CH Equity","PE_RATIO",Database!$H146,Database!$H146))</f>
        <v/>
      </c>
      <c r="R146" s="39">
        <f>IF(Database!BN146="","",BDH("HSAHP Index","PX_LAST",Database!$H146,Database!$H146))</f>
        <v/>
      </c>
      <c r="S146" s="39">
        <f>IFERROR(BDP(TEXT(VALUE(Database!$A146),"0")&amp;" HK Equity","PX_TO_SALES_RATIO"),"")</f>
        <v/>
      </c>
      <c r="T146" s="34">
        <f>IF(Database!BN146="","",IFERROR(BDP(LEFT(Database!BN146,FIND(".",Database!BN146)-1)&amp;" CH Equity","CUR_MKT_CAP")*BDP("CNYHKD Curncy","PX_LAST"),"Awaiting quote"))</f>
        <v/>
      </c>
    </row>
    <row r="147" ht="23" customHeight="1">
      <c r="A147" s="32">
        <f>Database!A147&amp;"  "&amp;Database!B147</f>
        <v/>
      </c>
      <c r="B147" s="24">
        <f>IFERROR(INDEX(BDS(TEXT(VALUE(Database!$A147),"0")&amp;" HK Equity","EQUITY_OFFERINGS","array=t","endcol=1"),MATCH("IPO",BDS(TEXT(VALUE(Database!$A147),"0")&amp;" HK Equity","EQUITY_OFFERINGS","array=t","startcol=2","endcol=2"),0)),"")</f>
        <v/>
      </c>
      <c r="C147" s="208">
        <f>IF($B147="","",IFERROR(BDP($B147&amp;" Action","CP036"),""))</f>
        <v/>
      </c>
      <c r="D147" s="209">
        <f>Database!S147</f>
        <v/>
      </c>
      <c r="E147" s="208">
        <f>IF($B147="","",IFERROR(BDP($B147&amp;" Action","CP037"),""))</f>
        <v/>
      </c>
      <c r="F147" s="209">
        <f>Database!T147</f>
        <v/>
      </c>
      <c r="G147" s="208">
        <f>IF($B147="","",IFERROR(BDP($B147&amp;" Action","GREENSHOE_FACILITY"),""))</f>
        <v/>
      </c>
      <c r="H147" s="208">
        <f>IF($B147="","",IFERROR(BDP($B147&amp;" Action","OFFERING_GREENSHOE_SHARES_EX"),""))</f>
        <v/>
      </c>
      <c r="I147" s="32">
        <f>Database!AE147</f>
        <v/>
      </c>
      <c r="J147" s="39">
        <f>IFERROR(BDP(TEXT(VALUE(Database!$A147),"0")&amp;" HK Equity","PE_RATIO"),"")</f>
        <v/>
      </c>
      <c r="K147" s="24">
        <f>IFERROR(BDP(TEXT(VALUE(Database!$A147),"0")&amp;" HK Equity","A/H_SHARE_CONVERSION"),"")</f>
        <v/>
      </c>
      <c r="L147" s="32">
        <f>IF(Database!BN147="","(none found)",Database!BN147)</f>
        <v/>
      </c>
      <c r="M147" s="34">
        <f>BDH(TEXT(VALUE(Database!$A147),"0")&amp;" HK Equity","CUR_MKT_CAP",Database!$H147,Database!$H147)</f>
        <v/>
      </c>
      <c r="N147" s="166">
        <f>Database!Q147</f>
        <v/>
      </c>
      <c r="O147" s="39">
        <f>BDH(TEXT(VALUE(Database!$A147),"0")&amp;" HK Equity","PE_RATIO",Database!$H147,Database!$H147)</f>
        <v/>
      </c>
      <c r="P147" s="199">
        <f>IF(Database!BH147="","(n/m or not derivable)",Database!BH147)</f>
        <v/>
      </c>
      <c r="Q147" s="39">
        <f>IF(Database!BN147="","",BDH(LEFT(Database!BN147,FIND(".",Database!BN147)-1)&amp;" CH Equity","PE_RATIO",Database!$H147,Database!$H147))</f>
        <v/>
      </c>
      <c r="R147" s="39">
        <f>IF(Database!BN147="","",BDH("HSAHP Index","PX_LAST",Database!$H147,Database!$H147))</f>
        <v/>
      </c>
      <c r="S147" s="39">
        <f>IFERROR(BDP(TEXT(VALUE(Database!$A147),"0")&amp;" HK Equity","PX_TO_SALES_RATIO"),"")</f>
        <v/>
      </c>
      <c r="T147" s="34">
        <f>IF(Database!BN147="","",IFERROR(BDP(LEFT(Database!BN147,FIND(".",Database!BN147)-1)&amp;" CH Equity","CUR_MKT_CAP")*BDP("CNYHKD Curncy","PX_LAST"),"Awaiting quote"))</f>
        <v/>
      </c>
    </row>
    <row r="148" ht="23" customHeight="1">
      <c r="A148" s="32">
        <f>Database!A148&amp;"  "&amp;Database!B148</f>
        <v/>
      </c>
      <c r="B148" s="24">
        <f>IFERROR(INDEX(BDS(TEXT(VALUE(Database!$A148),"0")&amp;" HK Equity","EQUITY_OFFERINGS","array=t","endcol=1"),MATCH("IPO",BDS(TEXT(VALUE(Database!$A148),"0")&amp;" HK Equity","EQUITY_OFFERINGS","array=t","startcol=2","endcol=2"),0)),"")</f>
        <v/>
      </c>
      <c r="C148" s="208">
        <f>IF($B148="","",IFERROR(BDP($B148&amp;" Action","CP036"),""))</f>
        <v/>
      </c>
      <c r="D148" s="209">
        <f>Database!S148</f>
        <v/>
      </c>
      <c r="E148" s="208">
        <f>IF($B148="","",IFERROR(BDP($B148&amp;" Action","CP037"),""))</f>
        <v/>
      </c>
      <c r="F148" s="209">
        <f>Database!T148</f>
        <v/>
      </c>
      <c r="G148" s="208">
        <f>IF($B148="","",IFERROR(BDP($B148&amp;" Action","GREENSHOE_FACILITY"),""))</f>
        <v/>
      </c>
      <c r="H148" s="208">
        <f>IF($B148="","",IFERROR(BDP($B148&amp;" Action","OFFERING_GREENSHOE_SHARES_EX"),""))</f>
        <v/>
      </c>
      <c r="I148" s="32">
        <f>Database!AE148</f>
        <v/>
      </c>
      <c r="J148" s="39">
        <f>IFERROR(BDP(TEXT(VALUE(Database!$A148),"0")&amp;" HK Equity","PE_RATIO"),"")</f>
        <v/>
      </c>
      <c r="K148" s="24">
        <f>IFERROR(BDP(TEXT(VALUE(Database!$A148),"0")&amp;" HK Equity","A/H_SHARE_CONVERSION"),"")</f>
        <v/>
      </c>
      <c r="L148" s="32">
        <f>IF(Database!BN148="","(none found)",Database!BN148)</f>
        <v/>
      </c>
      <c r="M148" s="34">
        <f>BDH(TEXT(VALUE(Database!$A148),"0")&amp;" HK Equity","CUR_MKT_CAP",Database!$H148,Database!$H148)</f>
        <v/>
      </c>
      <c r="N148" s="166">
        <f>Database!Q148</f>
        <v/>
      </c>
      <c r="O148" s="39">
        <f>BDH(TEXT(VALUE(Database!$A148),"0")&amp;" HK Equity","PE_RATIO",Database!$H148,Database!$H148)</f>
        <v/>
      </c>
      <c r="P148" s="199">
        <f>IF(Database!BH148="","(n/m or not derivable)",Database!BH148)</f>
        <v/>
      </c>
      <c r="Q148" s="39">
        <f>IF(Database!BN148="","",BDH(LEFT(Database!BN148,FIND(".",Database!BN148)-1)&amp;" CH Equity","PE_RATIO",Database!$H148,Database!$H148))</f>
        <v/>
      </c>
      <c r="R148" s="39">
        <f>IF(Database!BN148="","",BDH("HSAHP Index","PX_LAST",Database!$H148,Database!$H148))</f>
        <v/>
      </c>
      <c r="S148" s="39">
        <f>IFERROR(BDP(TEXT(VALUE(Database!$A148),"0")&amp;" HK Equity","PX_TO_SALES_RATIO"),"")</f>
        <v/>
      </c>
      <c r="T148" s="34">
        <f>IF(Database!BN148="","",IFERROR(BDP(LEFT(Database!BN148,FIND(".",Database!BN148)-1)&amp;" CH Equity","CUR_MKT_CAP")*BDP("CNYHKD Curncy","PX_LAST"),"Awaiting quote"))</f>
        <v/>
      </c>
    </row>
    <row r="149" ht="23" customHeight="1">
      <c r="A149" s="32">
        <f>Database!A149&amp;"  "&amp;Database!B149</f>
        <v/>
      </c>
      <c r="B149" s="24">
        <f>IFERROR(INDEX(BDS(TEXT(VALUE(Database!$A149),"0")&amp;" HK Equity","EQUITY_OFFERINGS","array=t","endcol=1"),MATCH("IPO",BDS(TEXT(VALUE(Database!$A149),"0")&amp;" HK Equity","EQUITY_OFFERINGS","array=t","startcol=2","endcol=2"),0)),"")</f>
        <v/>
      </c>
      <c r="C149" s="208">
        <f>IF($B149="","",IFERROR(BDP($B149&amp;" Action","CP036"),""))</f>
        <v/>
      </c>
      <c r="D149" s="209">
        <f>Database!S149</f>
        <v/>
      </c>
      <c r="E149" s="208">
        <f>IF($B149="","",IFERROR(BDP($B149&amp;" Action","CP037"),""))</f>
        <v/>
      </c>
      <c r="F149" s="209">
        <f>Database!T149</f>
        <v/>
      </c>
      <c r="G149" s="208">
        <f>IF($B149="","",IFERROR(BDP($B149&amp;" Action","GREENSHOE_FACILITY"),""))</f>
        <v/>
      </c>
      <c r="H149" s="208">
        <f>IF($B149="","",IFERROR(BDP($B149&amp;" Action","OFFERING_GREENSHOE_SHARES_EX"),""))</f>
        <v/>
      </c>
      <c r="I149" s="32">
        <f>Database!AE149</f>
        <v/>
      </c>
      <c r="J149" s="39">
        <f>IFERROR(BDP(TEXT(VALUE(Database!$A149),"0")&amp;" HK Equity","PE_RATIO"),"")</f>
        <v/>
      </c>
      <c r="K149" s="24">
        <f>IFERROR(BDP(TEXT(VALUE(Database!$A149),"0")&amp;" HK Equity","A/H_SHARE_CONVERSION"),"")</f>
        <v/>
      </c>
      <c r="L149" s="32">
        <f>IF(Database!BN149="","(none found)",Database!BN149)</f>
        <v/>
      </c>
      <c r="M149" s="34">
        <f>BDH(TEXT(VALUE(Database!$A149),"0")&amp;" HK Equity","CUR_MKT_CAP",Database!$H149,Database!$H149)</f>
        <v/>
      </c>
      <c r="N149" s="166">
        <f>Database!Q149</f>
        <v/>
      </c>
      <c r="O149" s="39">
        <f>BDH(TEXT(VALUE(Database!$A149),"0")&amp;" HK Equity","PE_RATIO",Database!$H149,Database!$H149)</f>
        <v/>
      </c>
      <c r="P149" s="199">
        <f>IF(Database!BH149="","(n/m or not derivable)",Database!BH149)</f>
        <v/>
      </c>
      <c r="Q149" s="39">
        <f>IF(Database!BN149="","",BDH(LEFT(Database!BN149,FIND(".",Database!BN149)-1)&amp;" CH Equity","PE_RATIO",Database!$H149,Database!$H149))</f>
        <v/>
      </c>
      <c r="R149" s="39">
        <f>IF(Database!BN149="","",BDH("HSAHP Index","PX_LAST",Database!$H149,Database!$H149))</f>
        <v/>
      </c>
      <c r="S149" s="39">
        <f>IFERROR(BDP(TEXT(VALUE(Database!$A149),"0")&amp;" HK Equity","PX_TO_SALES_RATIO"),"")</f>
        <v/>
      </c>
      <c r="T149" s="34">
        <f>IF(Database!BN149="","",IFERROR(BDP(LEFT(Database!BN149,FIND(".",Database!BN149)-1)&amp;" CH Equity","CUR_MKT_CAP")*BDP("CNYHKD Curncy","PX_LAST"),"Awaiting quote"))</f>
        <v/>
      </c>
    </row>
    <row r="150" ht="23" customHeight="1">
      <c r="A150" s="32">
        <f>Database!A150&amp;"  "&amp;Database!B150</f>
        <v/>
      </c>
      <c r="B150" s="24">
        <f>IFERROR(INDEX(BDS(TEXT(VALUE(Database!$A150),"0")&amp;" HK Equity","EQUITY_OFFERINGS","array=t","endcol=1"),MATCH("IPO",BDS(TEXT(VALUE(Database!$A150),"0")&amp;" HK Equity","EQUITY_OFFERINGS","array=t","startcol=2","endcol=2"),0)),"")</f>
        <v/>
      </c>
      <c r="C150" s="208">
        <f>IF($B150="","",IFERROR(BDP($B150&amp;" Action","CP036"),""))</f>
        <v/>
      </c>
      <c r="D150" s="209">
        <f>Database!S150</f>
        <v/>
      </c>
      <c r="E150" s="208">
        <f>IF($B150="","",IFERROR(BDP($B150&amp;" Action","CP037"),""))</f>
        <v/>
      </c>
      <c r="F150" s="209">
        <f>Database!T150</f>
        <v/>
      </c>
      <c r="G150" s="208">
        <f>IF($B150="","",IFERROR(BDP($B150&amp;" Action","GREENSHOE_FACILITY"),""))</f>
        <v/>
      </c>
      <c r="H150" s="208">
        <f>IF($B150="","",IFERROR(BDP($B150&amp;" Action","OFFERING_GREENSHOE_SHARES_EX"),""))</f>
        <v/>
      </c>
      <c r="I150" s="32">
        <f>Database!AE150</f>
        <v/>
      </c>
      <c r="J150" s="39">
        <f>IFERROR(BDP(TEXT(VALUE(Database!$A150),"0")&amp;" HK Equity","PE_RATIO"),"")</f>
        <v/>
      </c>
      <c r="K150" s="24">
        <f>IFERROR(BDP(TEXT(VALUE(Database!$A150),"0")&amp;" HK Equity","A/H_SHARE_CONVERSION"),"")</f>
        <v/>
      </c>
      <c r="L150" s="32">
        <f>IF(Database!BN150="","(none found)",Database!BN150)</f>
        <v/>
      </c>
      <c r="M150" s="34">
        <f>BDH(TEXT(VALUE(Database!$A150),"0")&amp;" HK Equity","CUR_MKT_CAP",Database!$H150,Database!$H150)</f>
        <v/>
      </c>
      <c r="N150" s="166">
        <f>Database!Q150</f>
        <v/>
      </c>
      <c r="O150" s="39">
        <f>BDH(TEXT(VALUE(Database!$A150),"0")&amp;" HK Equity","PE_RATIO",Database!$H150,Database!$H150)</f>
        <v/>
      </c>
      <c r="P150" s="199">
        <f>IF(Database!BH150="","(n/m or not derivable)",Database!BH150)</f>
        <v/>
      </c>
      <c r="Q150" s="39">
        <f>IF(Database!BN150="","",BDH(LEFT(Database!BN150,FIND(".",Database!BN150)-1)&amp;" CH Equity","PE_RATIO",Database!$H150,Database!$H150))</f>
        <v/>
      </c>
      <c r="R150" s="39">
        <f>IF(Database!BN150="","",BDH("HSAHP Index","PX_LAST",Database!$H150,Database!$H150))</f>
        <v/>
      </c>
      <c r="S150" s="39">
        <f>IFERROR(BDP(TEXT(VALUE(Database!$A150),"0")&amp;" HK Equity","PX_TO_SALES_RATIO"),"")</f>
        <v/>
      </c>
      <c r="T150" s="34">
        <f>IF(Database!BN150="","",IFERROR(BDP(LEFT(Database!BN150,FIND(".",Database!BN150)-1)&amp;" CH Equity","CUR_MKT_CAP")*BDP("CNYHKD Curncy","PX_LAST"),"Awaiting quote"))</f>
        <v/>
      </c>
    </row>
    <row r="151" ht="23" customHeight="1">
      <c r="A151" s="32">
        <f>Database!A151&amp;"  "&amp;Database!B151</f>
        <v/>
      </c>
      <c r="B151" s="24">
        <f>IFERROR(INDEX(BDS(TEXT(VALUE(Database!$A151),"0")&amp;" HK Equity","EQUITY_OFFERINGS","array=t","endcol=1"),MATCH("IPO",BDS(TEXT(VALUE(Database!$A151),"0")&amp;" HK Equity","EQUITY_OFFERINGS","array=t","startcol=2","endcol=2"),0)),"")</f>
        <v/>
      </c>
      <c r="C151" s="208">
        <f>IF($B151="","",IFERROR(BDP($B151&amp;" Action","CP036"),""))</f>
        <v/>
      </c>
      <c r="D151" s="209">
        <f>Database!S151</f>
        <v/>
      </c>
      <c r="E151" s="208">
        <f>IF($B151="","",IFERROR(BDP($B151&amp;" Action","CP037"),""))</f>
        <v/>
      </c>
      <c r="F151" s="209">
        <f>Database!T151</f>
        <v/>
      </c>
      <c r="G151" s="208">
        <f>IF($B151="","",IFERROR(BDP($B151&amp;" Action","GREENSHOE_FACILITY"),""))</f>
        <v/>
      </c>
      <c r="H151" s="208">
        <f>IF($B151="","",IFERROR(BDP($B151&amp;" Action","OFFERING_GREENSHOE_SHARES_EX"),""))</f>
        <v/>
      </c>
      <c r="I151" s="32">
        <f>Database!AE151</f>
        <v/>
      </c>
      <c r="J151" s="39">
        <f>IFERROR(BDP(TEXT(VALUE(Database!$A151),"0")&amp;" HK Equity","PE_RATIO"),"")</f>
        <v/>
      </c>
      <c r="K151" s="24">
        <f>IFERROR(BDP(TEXT(VALUE(Database!$A151),"0")&amp;" HK Equity","A/H_SHARE_CONVERSION"),"")</f>
        <v/>
      </c>
      <c r="L151" s="32">
        <f>IF(Database!BN151="","(none found)",Database!BN151)</f>
        <v/>
      </c>
      <c r="M151" s="34">
        <f>BDH(TEXT(VALUE(Database!$A151),"0")&amp;" HK Equity","CUR_MKT_CAP",Database!$H151,Database!$H151)</f>
        <v/>
      </c>
      <c r="N151" s="166">
        <f>Database!Q151</f>
        <v/>
      </c>
      <c r="O151" s="39">
        <f>BDH(TEXT(VALUE(Database!$A151),"0")&amp;" HK Equity","PE_RATIO",Database!$H151,Database!$H151)</f>
        <v/>
      </c>
      <c r="P151" s="199">
        <f>IF(Database!BH151="","(n/m or not derivable)",Database!BH151)</f>
        <v/>
      </c>
      <c r="Q151" s="39">
        <f>IF(Database!BN151="","",BDH(LEFT(Database!BN151,FIND(".",Database!BN151)-1)&amp;" CH Equity","PE_RATIO",Database!$H151,Database!$H151))</f>
        <v/>
      </c>
      <c r="R151" s="39">
        <f>IF(Database!BN151="","",BDH("HSAHP Index","PX_LAST",Database!$H151,Database!$H151))</f>
        <v/>
      </c>
      <c r="S151" s="39">
        <f>IFERROR(BDP(TEXT(VALUE(Database!$A151),"0")&amp;" HK Equity","PX_TO_SALES_RATIO"),"")</f>
        <v/>
      </c>
      <c r="T151" s="34">
        <f>IF(Database!BN151="","",IFERROR(BDP(LEFT(Database!BN151,FIND(".",Database!BN151)-1)&amp;" CH Equity","CUR_MKT_CAP")*BDP("CNYHKD Curncy","PX_LAST"),"Awaiting quote"))</f>
        <v/>
      </c>
    </row>
    <row r="152" ht="23" customHeight="1">
      <c r="A152" s="32">
        <f>Database!A152&amp;"  "&amp;Database!B152</f>
        <v/>
      </c>
      <c r="B152" s="24">
        <f>IFERROR(INDEX(BDS(TEXT(VALUE(Database!$A152),"0")&amp;" HK Equity","EQUITY_OFFERINGS","array=t","endcol=1"),MATCH("IPO",BDS(TEXT(VALUE(Database!$A152),"0")&amp;" HK Equity","EQUITY_OFFERINGS","array=t","startcol=2","endcol=2"),0)),"")</f>
        <v/>
      </c>
      <c r="C152" s="208">
        <f>IF($B152="","",IFERROR(BDP($B152&amp;" Action","CP036"),""))</f>
        <v/>
      </c>
      <c r="D152" s="209">
        <f>Database!S152</f>
        <v/>
      </c>
      <c r="E152" s="208">
        <f>IF($B152="","",IFERROR(BDP($B152&amp;" Action","CP037"),""))</f>
        <v/>
      </c>
      <c r="F152" s="209">
        <f>Database!T152</f>
        <v/>
      </c>
      <c r="G152" s="208">
        <f>IF($B152="","",IFERROR(BDP($B152&amp;" Action","GREENSHOE_FACILITY"),""))</f>
        <v/>
      </c>
      <c r="H152" s="208">
        <f>IF($B152="","",IFERROR(BDP($B152&amp;" Action","OFFERING_GREENSHOE_SHARES_EX"),""))</f>
        <v/>
      </c>
      <c r="I152" s="32">
        <f>Database!AE152</f>
        <v/>
      </c>
      <c r="J152" s="39">
        <f>IFERROR(BDP(TEXT(VALUE(Database!$A152),"0")&amp;" HK Equity","PE_RATIO"),"")</f>
        <v/>
      </c>
      <c r="K152" s="24">
        <f>IFERROR(BDP(TEXT(VALUE(Database!$A152),"0")&amp;" HK Equity","A/H_SHARE_CONVERSION"),"")</f>
        <v/>
      </c>
      <c r="L152" s="32">
        <f>IF(Database!BN152="","(none found)",Database!BN152)</f>
        <v/>
      </c>
      <c r="M152" s="34">
        <f>BDH(TEXT(VALUE(Database!$A152),"0")&amp;" HK Equity","CUR_MKT_CAP",Database!$H152,Database!$H152)</f>
        <v/>
      </c>
      <c r="N152" s="166">
        <f>Database!Q152</f>
        <v/>
      </c>
      <c r="O152" s="39">
        <f>BDH(TEXT(VALUE(Database!$A152),"0")&amp;" HK Equity","PE_RATIO",Database!$H152,Database!$H152)</f>
        <v/>
      </c>
      <c r="P152" s="199">
        <f>IF(Database!BH152="","(n/m or not derivable)",Database!BH152)</f>
        <v/>
      </c>
      <c r="Q152" s="39">
        <f>IF(Database!BN152="","",BDH(LEFT(Database!BN152,FIND(".",Database!BN152)-1)&amp;" CH Equity","PE_RATIO",Database!$H152,Database!$H152))</f>
        <v/>
      </c>
      <c r="R152" s="39">
        <f>IF(Database!BN152="","",BDH("HSAHP Index","PX_LAST",Database!$H152,Database!$H152))</f>
        <v/>
      </c>
      <c r="S152" s="39">
        <f>IFERROR(BDP(TEXT(VALUE(Database!$A152),"0")&amp;" HK Equity","PX_TO_SALES_RATIO"),"")</f>
        <v/>
      </c>
      <c r="T152" s="34">
        <f>IF(Database!BN152="","",IFERROR(BDP(LEFT(Database!BN152,FIND(".",Database!BN152)-1)&amp;" CH Equity","CUR_MKT_CAP")*BDP("CNYHKD Curncy","PX_LAST"),"Awaiting quote"))</f>
        <v/>
      </c>
    </row>
    <row r="153" ht="23" customHeight="1">
      <c r="A153" s="32">
        <f>Database!A153&amp;"  "&amp;Database!B153</f>
        <v/>
      </c>
      <c r="B153" s="24">
        <f>IFERROR(INDEX(BDS(TEXT(VALUE(Database!$A153),"0")&amp;" HK Equity","EQUITY_OFFERINGS","array=t","endcol=1"),MATCH("IPO",BDS(TEXT(VALUE(Database!$A153),"0")&amp;" HK Equity","EQUITY_OFFERINGS","array=t","startcol=2","endcol=2"),0)),"")</f>
        <v/>
      </c>
      <c r="C153" s="208">
        <f>IF($B153="","",IFERROR(BDP($B153&amp;" Action","CP036"),""))</f>
        <v/>
      </c>
      <c r="D153" s="209">
        <f>Database!S153</f>
        <v/>
      </c>
      <c r="E153" s="208">
        <f>IF($B153="","",IFERROR(BDP($B153&amp;" Action","CP037"),""))</f>
        <v/>
      </c>
      <c r="F153" s="209">
        <f>Database!T153</f>
        <v/>
      </c>
      <c r="G153" s="208">
        <f>IF($B153="","",IFERROR(BDP($B153&amp;" Action","GREENSHOE_FACILITY"),""))</f>
        <v/>
      </c>
      <c r="H153" s="208">
        <f>IF($B153="","",IFERROR(BDP($B153&amp;" Action","OFFERING_GREENSHOE_SHARES_EX"),""))</f>
        <v/>
      </c>
      <c r="I153" s="32">
        <f>Database!AE153</f>
        <v/>
      </c>
      <c r="J153" s="39">
        <f>IFERROR(BDP(TEXT(VALUE(Database!$A153),"0")&amp;" HK Equity","PE_RATIO"),"")</f>
        <v/>
      </c>
      <c r="K153" s="24">
        <f>IFERROR(BDP(TEXT(VALUE(Database!$A153),"0")&amp;" HK Equity","A/H_SHARE_CONVERSION"),"")</f>
        <v/>
      </c>
      <c r="L153" s="32">
        <f>IF(Database!BN153="","(none found)",Database!BN153)</f>
        <v/>
      </c>
      <c r="M153" s="34">
        <f>BDH(TEXT(VALUE(Database!$A153),"0")&amp;" HK Equity","CUR_MKT_CAP",Database!$H153,Database!$H153)</f>
        <v/>
      </c>
      <c r="N153" s="166">
        <f>Database!Q153</f>
        <v/>
      </c>
      <c r="O153" s="39">
        <f>BDH(TEXT(VALUE(Database!$A153),"0")&amp;" HK Equity","PE_RATIO",Database!$H153,Database!$H153)</f>
        <v/>
      </c>
      <c r="P153" s="199">
        <f>IF(Database!BH153="","(n/m or not derivable)",Database!BH153)</f>
        <v/>
      </c>
      <c r="Q153" s="39">
        <f>IF(Database!BN153="","",BDH(LEFT(Database!BN153,FIND(".",Database!BN153)-1)&amp;" CH Equity","PE_RATIO",Database!$H153,Database!$H153))</f>
        <v/>
      </c>
      <c r="R153" s="39">
        <f>IF(Database!BN153="","",BDH("HSAHP Index","PX_LAST",Database!$H153,Database!$H153))</f>
        <v/>
      </c>
      <c r="S153" s="39">
        <f>IFERROR(BDP(TEXT(VALUE(Database!$A153),"0")&amp;" HK Equity","PX_TO_SALES_RATIO"),"")</f>
        <v/>
      </c>
      <c r="T153" s="34">
        <f>IF(Database!BN153="","",IFERROR(BDP(LEFT(Database!BN153,FIND(".",Database!BN153)-1)&amp;" CH Equity","CUR_MKT_CAP")*BDP("CNYHKD Curncy","PX_LAST"),"Awaiting quote"))</f>
        <v/>
      </c>
    </row>
    <row r="154" ht="23" customHeight="1">
      <c r="A154" s="32">
        <f>Database!A154&amp;"  "&amp;Database!B154</f>
        <v/>
      </c>
      <c r="B154" s="24">
        <f>IFERROR(INDEX(BDS(TEXT(VALUE(Database!$A154),"0")&amp;" HK Equity","EQUITY_OFFERINGS","array=t","endcol=1"),MATCH("IPO",BDS(TEXT(VALUE(Database!$A154),"0")&amp;" HK Equity","EQUITY_OFFERINGS","array=t","startcol=2","endcol=2"),0)),"")</f>
        <v/>
      </c>
      <c r="C154" s="208">
        <f>IF($B154="","",IFERROR(BDP($B154&amp;" Action","CP036"),""))</f>
        <v/>
      </c>
      <c r="D154" s="209">
        <f>Database!S154</f>
        <v/>
      </c>
      <c r="E154" s="208">
        <f>IF($B154="","",IFERROR(BDP($B154&amp;" Action","CP037"),""))</f>
        <v/>
      </c>
      <c r="F154" s="209">
        <f>Database!T154</f>
        <v/>
      </c>
      <c r="G154" s="208">
        <f>IF($B154="","",IFERROR(BDP($B154&amp;" Action","GREENSHOE_FACILITY"),""))</f>
        <v/>
      </c>
      <c r="H154" s="208">
        <f>IF($B154="","",IFERROR(BDP($B154&amp;" Action","OFFERING_GREENSHOE_SHARES_EX"),""))</f>
        <v/>
      </c>
      <c r="I154" s="32">
        <f>Database!AE154</f>
        <v/>
      </c>
      <c r="J154" s="39">
        <f>IFERROR(BDP(TEXT(VALUE(Database!$A154),"0")&amp;" HK Equity","PE_RATIO"),"")</f>
        <v/>
      </c>
      <c r="K154" s="24">
        <f>IFERROR(BDP(TEXT(VALUE(Database!$A154),"0")&amp;" HK Equity","A/H_SHARE_CONVERSION"),"")</f>
        <v/>
      </c>
      <c r="L154" s="32">
        <f>IF(Database!BN154="","(none found)",Database!BN154)</f>
        <v/>
      </c>
      <c r="M154" s="34">
        <f>BDH(TEXT(VALUE(Database!$A154),"0")&amp;" HK Equity","CUR_MKT_CAP",Database!$H154,Database!$H154)</f>
        <v/>
      </c>
      <c r="N154" s="166">
        <f>Database!Q154</f>
        <v/>
      </c>
      <c r="O154" s="39">
        <f>BDH(TEXT(VALUE(Database!$A154),"0")&amp;" HK Equity","PE_RATIO",Database!$H154,Database!$H154)</f>
        <v/>
      </c>
      <c r="P154" s="199">
        <f>IF(Database!BH154="","(n/m or not derivable)",Database!BH154)</f>
        <v/>
      </c>
      <c r="Q154" s="39">
        <f>IF(Database!BN154="","",BDH(LEFT(Database!BN154,FIND(".",Database!BN154)-1)&amp;" CH Equity","PE_RATIO",Database!$H154,Database!$H154))</f>
        <v/>
      </c>
      <c r="R154" s="39">
        <f>IF(Database!BN154="","",BDH("HSAHP Index","PX_LAST",Database!$H154,Database!$H154))</f>
        <v/>
      </c>
      <c r="S154" s="39">
        <f>IFERROR(BDP(TEXT(VALUE(Database!$A154),"0")&amp;" HK Equity","PX_TO_SALES_RATIO"),"")</f>
        <v/>
      </c>
      <c r="T154" s="34">
        <f>IF(Database!BN154="","",IFERROR(BDP(LEFT(Database!BN154,FIND(".",Database!BN154)-1)&amp;" CH Equity","CUR_MKT_CAP")*BDP("CNYHKD Curncy","PX_LAST"),"Awaiting quote"))</f>
        <v/>
      </c>
    </row>
    <row r="155" ht="23" customHeight="1">
      <c r="A155" s="32">
        <f>Database!A155&amp;"  "&amp;Database!B155</f>
        <v/>
      </c>
      <c r="B155" s="24">
        <f>IFERROR(INDEX(BDS(TEXT(VALUE(Database!$A155),"0")&amp;" HK Equity","EQUITY_OFFERINGS","array=t","endcol=1"),MATCH("IPO",BDS(TEXT(VALUE(Database!$A155),"0")&amp;" HK Equity","EQUITY_OFFERINGS","array=t","startcol=2","endcol=2"),0)),"")</f>
        <v/>
      </c>
      <c r="C155" s="208">
        <f>IF($B155="","",IFERROR(BDP($B155&amp;" Action","CP036"),""))</f>
        <v/>
      </c>
      <c r="D155" s="209">
        <f>Database!S155</f>
        <v/>
      </c>
      <c r="E155" s="208">
        <f>IF($B155="","",IFERROR(BDP($B155&amp;" Action","CP037"),""))</f>
        <v/>
      </c>
      <c r="F155" s="209">
        <f>Database!T155</f>
        <v/>
      </c>
      <c r="G155" s="208">
        <f>IF($B155="","",IFERROR(BDP($B155&amp;" Action","GREENSHOE_FACILITY"),""))</f>
        <v/>
      </c>
      <c r="H155" s="208">
        <f>IF($B155="","",IFERROR(BDP($B155&amp;" Action","OFFERING_GREENSHOE_SHARES_EX"),""))</f>
        <v/>
      </c>
      <c r="I155" s="32">
        <f>Database!AE155</f>
        <v/>
      </c>
      <c r="J155" s="39">
        <f>IFERROR(BDP(TEXT(VALUE(Database!$A155),"0")&amp;" HK Equity","PE_RATIO"),"")</f>
        <v/>
      </c>
      <c r="K155" s="24">
        <f>IFERROR(BDP(TEXT(VALUE(Database!$A155),"0")&amp;" HK Equity","A/H_SHARE_CONVERSION"),"")</f>
        <v/>
      </c>
      <c r="L155" s="32">
        <f>IF(Database!BN155="","(none found)",Database!BN155)</f>
        <v/>
      </c>
      <c r="M155" s="34">
        <f>BDH(TEXT(VALUE(Database!$A155),"0")&amp;" HK Equity","CUR_MKT_CAP",Database!$H155,Database!$H155)</f>
        <v/>
      </c>
      <c r="N155" s="166">
        <f>Database!Q155</f>
        <v/>
      </c>
      <c r="O155" s="39">
        <f>BDH(TEXT(VALUE(Database!$A155),"0")&amp;" HK Equity","PE_RATIO",Database!$H155,Database!$H155)</f>
        <v/>
      </c>
      <c r="P155" s="199">
        <f>IF(Database!BH155="","(n/m or not derivable)",Database!BH155)</f>
        <v/>
      </c>
      <c r="Q155" s="39">
        <f>IF(Database!BN155="","",BDH(LEFT(Database!BN155,FIND(".",Database!BN155)-1)&amp;" CH Equity","PE_RATIO",Database!$H155,Database!$H155))</f>
        <v/>
      </c>
      <c r="R155" s="39">
        <f>IF(Database!BN155="","",BDH("HSAHP Index","PX_LAST",Database!$H155,Database!$H155))</f>
        <v/>
      </c>
      <c r="S155" s="39">
        <f>IFERROR(BDP(TEXT(VALUE(Database!$A155),"0")&amp;" HK Equity","PX_TO_SALES_RATIO"),"")</f>
        <v/>
      </c>
      <c r="T155" s="34">
        <f>IF(Database!BN155="","",IFERROR(BDP(LEFT(Database!BN155,FIND(".",Database!BN155)-1)&amp;" CH Equity","CUR_MKT_CAP")*BDP("CNYHKD Curncy","PX_LAST"),"Awaiting quote"))</f>
        <v/>
      </c>
    </row>
    <row r="156" ht="23" customHeight="1">
      <c r="A156" s="32">
        <f>Database!A156&amp;"  "&amp;Database!B156</f>
        <v/>
      </c>
      <c r="B156" s="24">
        <f>IFERROR(INDEX(BDS(TEXT(VALUE(Database!$A156),"0")&amp;" HK Equity","EQUITY_OFFERINGS","array=t","endcol=1"),MATCH("IPO",BDS(TEXT(VALUE(Database!$A156),"0")&amp;" HK Equity","EQUITY_OFFERINGS","array=t","startcol=2","endcol=2"),0)),"")</f>
        <v/>
      </c>
      <c r="C156" s="208">
        <f>IF($B156="","",IFERROR(BDP($B156&amp;" Action","CP036"),""))</f>
        <v/>
      </c>
      <c r="D156" s="209">
        <f>Database!S156</f>
        <v/>
      </c>
      <c r="E156" s="208">
        <f>IF($B156="","",IFERROR(BDP($B156&amp;" Action","CP037"),""))</f>
        <v/>
      </c>
      <c r="F156" s="209">
        <f>Database!T156</f>
        <v/>
      </c>
      <c r="G156" s="208">
        <f>IF($B156="","",IFERROR(BDP($B156&amp;" Action","GREENSHOE_FACILITY"),""))</f>
        <v/>
      </c>
      <c r="H156" s="208">
        <f>IF($B156="","",IFERROR(BDP($B156&amp;" Action","OFFERING_GREENSHOE_SHARES_EX"),""))</f>
        <v/>
      </c>
      <c r="I156" s="32">
        <f>Database!AE156</f>
        <v/>
      </c>
      <c r="J156" s="39">
        <f>IFERROR(BDP(TEXT(VALUE(Database!$A156),"0")&amp;" HK Equity","PE_RATIO"),"")</f>
        <v/>
      </c>
      <c r="K156" s="24">
        <f>IFERROR(BDP(TEXT(VALUE(Database!$A156),"0")&amp;" HK Equity","A/H_SHARE_CONVERSION"),"")</f>
        <v/>
      </c>
      <c r="L156" s="32">
        <f>IF(Database!BN156="","(none found)",Database!BN156)</f>
        <v/>
      </c>
      <c r="M156" s="34">
        <f>BDH(TEXT(VALUE(Database!$A156),"0")&amp;" HK Equity","CUR_MKT_CAP",Database!$H156,Database!$H156)</f>
        <v/>
      </c>
      <c r="N156" s="166">
        <f>Database!Q156</f>
        <v/>
      </c>
      <c r="O156" s="39">
        <f>BDH(TEXT(VALUE(Database!$A156),"0")&amp;" HK Equity","PE_RATIO",Database!$H156,Database!$H156)</f>
        <v/>
      </c>
      <c r="P156" s="199">
        <f>IF(Database!BH156="","(n/m or not derivable)",Database!BH156)</f>
        <v/>
      </c>
      <c r="Q156" s="39">
        <f>IF(Database!BN156="","",BDH(LEFT(Database!BN156,FIND(".",Database!BN156)-1)&amp;" CH Equity","PE_RATIO",Database!$H156,Database!$H156))</f>
        <v/>
      </c>
      <c r="R156" s="39">
        <f>IF(Database!BN156="","",BDH("HSAHP Index","PX_LAST",Database!$H156,Database!$H156))</f>
        <v/>
      </c>
      <c r="S156" s="39">
        <f>IFERROR(BDP(TEXT(VALUE(Database!$A156),"0")&amp;" HK Equity","PX_TO_SALES_RATIO"),"")</f>
        <v/>
      </c>
      <c r="T156" s="34">
        <f>IF(Database!BN156="","",IFERROR(BDP(LEFT(Database!BN156,FIND(".",Database!BN156)-1)&amp;" CH Equity","CUR_MKT_CAP")*BDP("CNYHKD Curncy","PX_LAST"),"Awaiting quote"))</f>
        <v/>
      </c>
    </row>
    <row r="157" ht="23" customHeight="1">
      <c r="A157" s="32">
        <f>Database!A157&amp;"  "&amp;Database!B157</f>
        <v/>
      </c>
      <c r="B157" s="24">
        <f>IFERROR(INDEX(BDS(TEXT(VALUE(Database!$A157),"0")&amp;" HK Equity","EQUITY_OFFERINGS","array=t","endcol=1"),MATCH("IPO",BDS(TEXT(VALUE(Database!$A157),"0")&amp;" HK Equity","EQUITY_OFFERINGS","array=t","startcol=2","endcol=2"),0)),"")</f>
        <v/>
      </c>
      <c r="C157" s="208">
        <f>IF($B157="","",IFERROR(BDP($B157&amp;" Action","CP036"),""))</f>
        <v/>
      </c>
      <c r="D157" s="209">
        <f>Database!S157</f>
        <v/>
      </c>
      <c r="E157" s="208">
        <f>IF($B157="","",IFERROR(BDP($B157&amp;" Action","CP037"),""))</f>
        <v/>
      </c>
      <c r="F157" s="209">
        <f>Database!T157</f>
        <v/>
      </c>
      <c r="G157" s="208">
        <f>IF($B157="","",IFERROR(BDP($B157&amp;" Action","GREENSHOE_FACILITY"),""))</f>
        <v/>
      </c>
      <c r="H157" s="208">
        <f>IF($B157="","",IFERROR(BDP($B157&amp;" Action","OFFERING_GREENSHOE_SHARES_EX"),""))</f>
        <v/>
      </c>
      <c r="I157" s="32">
        <f>Database!AE157</f>
        <v/>
      </c>
      <c r="J157" s="39">
        <f>IFERROR(BDP(TEXT(VALUE(Database!$A157),"0")&amp;" HK Equity","PE_RATIO"),"")</f>
        <v/>
      </c>
      <c r="K157" s="24">
        <f>IFERROR(BDP(TEXT(VALUE(Database!$A157),"0")&amp;" HK Equity","A/H_SHARE_CONVERSION"),"")</f>
        <v/>
      </c>
      <c r="L157" s="32">
        <f>IF(Database!BN157="","(none found)",Database!BN157)</f>
        <v/>
      </c>
      <c r="M157" s="34">
        <f>BDH(TEXT(VALUE(Database!$A157),"0")&amp;" HK Equity","CUR_MKT_CAP",Database!$H157,Database!$H157)</f>
        <v/>
      </c>
      <c r="N157" s="166">
        <f>Database!Q157</f>
        <v/>
      </c>
      <c r="O157" s="39">
        <f>BDH(TEXT(VALUE(Database!$A157),"0")&amp;" HK Equity","PE_RATIO",Database!$H157,Database!$H157)</f>
        <v/>
      </c>
      <c r="P157" s="199">
        <f>IF(Database!BH157="","(n/m or not derivable)",Database!BH157)</f>
        <v/>
      </c>
      <c r="Q157" s="39">
        <f>IF(Database!BN157="","",BDH(LEFT(Database!BN157,FIND(".",Database!BN157)-1)&amp;" CH Equity","PE_RATIO",Database!$H157,Database!$H157))</f>
        <v/>
      </c>
      <c r="R157" s="39">
        <f>IF(Database!BN157="","",BDH("HSAHP Index","PX_LAST",Database!$H157,Database!$H157))</f>
        <v/>
      </c>
      <c r="S157" s="39">
        <f>IFERROR(BDP(TEXT(VALUE(Database!$A157),"0")&amp;" HK Equity","PX_TO_SALES_RATIO"),"")</f>
        <v/>
      </c>
      <c r="T157" s="34">
        <f>IF(Database!BN157="","",IFERROR(BDP(LEFT(Database!BN157,FIND(".",Database!BN157)-1)&amp;" CH Equity","CUR_MKT_CAP")*BDP("CNYHKD Curncy","PX_LAST"),"Awaiting quote"))</f>
        <v/>
      </c>
    </row>
    <row r="158" ht="23" customHeight="1">
      <c r="A158" s="32">
        <f>Database!A158&amp;"  "&amp;Database!B158</f>
        <v/>
      </c>
      <c r="B158" s="24">
        <f>IFERROR(INDEX(BDS(TEXT(VALUE(Database!$A158),"0")&amp;" HK Equity","EQUITY_OFFERINGS","array=t","endcol=1"),MATCH("IPO",BDS(TEXT(VALUE(Database!$A158),"0")&amp;" HK Equity","EQUITY_OFFERINGS","array=t","startcol=2","endcol=2"),0)),"")</f>
        <v/>
      </c>
      <c r="C158" s="208">
        <f>IF($B158="","",IFERROR(BDP($B158&amp;" Action","CP036"),""))</f>
        <v/>
      </c>
      <c r="D158" s="209">
        <f>Database!S158</f>
        <v/>
      </c>
      <c r="E158" s="208">
        <f>IF($B158="","",IFERROR(BDP($B158&amp;" Action","CP037"),""))</f>
        <v/>
      </c>
      <c r="F158" s="209">
        <f>Database!T158</f>
        <v/>
      </c>
      <c r="G158" s="208">
        <f>IF($B158="","",IFERROR(BDP($B158&amp;" Action","GREENSHOE_FACILITY"),""))</f>
        <v/>
      </c>
      <c r="H158" s="208">
        <f>IF($B158="","",IFERROR(BDP($B158&amp;" Action","OFFERING_GREENSHOE_SHARES_EX"),""))</f>
        <v/>
      </c>
      <c r="I158" s="32">
        <f>Database!AE158</f>
        <v/>
      </c>
      <c r="J158" s="39">
        <f>IFERROR(BDP(TEXT(VALUE(Database!$A158),"0")&amp;" HK Equity","PE_RATIO"),"")</f>
        <v/>
      </c>
      <c r="K158" s="24">
        <f>IFERROR(BDP(TEXT(VALUE(Database!$A158),"0")&amp;" HK Equity","A/H_SHARE_CONVERSION"),"")</f>
        <v/>
      </c>
      <c r="L158" s="32">
        <f>IF(Database!BN158="","(none found)",Database!BN158)</f>
        <v/>
      </c>
      <c r="M158" s="34">
        <f>BDH(TEXT(VALUE(Database!$A158),"0")&amp;" HK Equity","CUR_MKT_CAP",Database!$H158,Database!$H158)</f>
        <v/>
      </c>
      <c r="N158" s="166">
        <f>Database!Q158</f>
        <v/>
      </c>
      <c r="O158" s="39">
        <f>BDH(TEXT(VALUE(Database!$A158),"0")&amp;" HK Equity","PE_RATIO",Database!$H158,Database!$H158)</f>
        <v/>
      </c>
      <c r="P158" s="199">
        <f>IF(Database!BH158="","(n/m or not derivable)",Database!BH158)</f>
        <v/>
      </c>
      <c r="Q158" s="39">
        <f>IF(Database!BN158="","",BDH(LEFT(Database!BN158,FIND(".",Database!BN158)-1)&amp;" CH Equity","PE_RATIO",Database!$H158,Database!$H158))</f>
        <v/>
      </c>
      <c r="R158" s="39">
        <f>IF(Database!BN158="","",BDH("HSAHP Index","PX_LAST",Database!$H158,Database!$H158))</f>
        <v/>
      </c>
      <c r="S158" s="39">
        <f>IFERROR(BDP(TEXT(VALUE(Database!$A158),"0")&amp;" HK Equity","PX_TO_SALES_RATIO"),"")</f>
        <v/>
      </c>
      <c r="T158" s="34">
        <f>IF(Database!BN158="","",IFERROR(BDP(LEFT(Database!BN158,FIND(".",Database!BN158)-1)&amp;" CH Equity","CUR_MKT_CAP")*BDP("CNYHKD Curncy","PX_LAST"),"Awaiting quote"))</f>
        <v/>
      </c>
    </row>
    <row r="159" ht="23" customHeight="1">
      <c r="A159" s="32">
        <f>Database!A159&amp;"  "&amp;Database!B159</f>
        <v/>
      </c>
      <c r="B159" s="24">
        <f>IFERROR(INDEX(BDS(TEXT(VALUE(Database!$A159),"0")&amp;" HK Equity","EQUITY_OFFERINGS","array=t","endcol=1"),MATCH("IPO",BDS(TEXT(VALUE(Database!$A159),"0")&amp;" HK Equity","EQUITY_OFFERINGS","array=t","startcol=2","endcol=2"),0)),"")</f>
        <v/>
      </c>
      <c r="C159" s="208">
        <f>IF($B159="","",IFERROR(BDP($B159&amp;" Action","CP036"),""))</f>
        <v/>
      </c>
      <c r="D159" s="209">
        <f>Database!S159</f>
        <v/>
      </c>
      <c r="E159" s="208">
        <f>IF($B159="","",IFERROR(BDP($B159&amp;" Action","CP037"),""))</f>
        <v/>
      </c>
      <c r="F159" s="209">
        <f>Database!T159</f>
        <v/>
      </c>
      <c r="G159" s="208">
        <f>IF($B159="","",IFERROR(BDP($B159&amp;" Action","GREENSHOE_FACILITY"),""))</f>
        <v/>
      </c>
      <c r="H159" s="208">
        <f>IF($B159="","",IFERROR(BDP($B159&amp;" Action","OFFERING_GREENSHOE_SHARES_EX"),""))</f>
        <v/>
      </c>
      <c r="I159" s="32">
        <f>Database!AE159</f>
        <v/>
      </c>
      <c r="J159" s="39">
        <f>IFERROR(BDP(TEXT(VALUE(Database!$A159),"0")&amp;" HK Equity","PE_RATIO"),"")</f>
        <v/>
      </c>
      <c r="K159" s="24">
        <f>IFERROR(BDP(TEXT(VALUE(Database!$A159),"0")&amp;" HK Equity","A/H_SHARE_CONVERSION"),"")</f>
        <v/>
      </c>
      <c r="L159" s="32">
        <f>IF(Database!BN159="","(none found)",Database!BN159)</f>
        <v/>
      </c>
      <c r="M159" s="34">
        <f>BDH(TEXT(VALUE(Database!$A159),"0")&amp;" HK Equity","CUR_MKT_CAP",Database!$H159,Database!$H159)</f>
        <v/>
      </c>
      <c r="N159" s="166">
        <f>Database!Q159</f>
        <v/>
      </c>
      <c r="O159" s="39">
        <f>BDH(TEXT(VALUE(Database!$A159),"0")&amp;" HK Equity","PE_RATIO",Database!$H159,Database!$H159)</f>
        <v/>
      </c>
      <c r="P159" s="199">
        <f>IF(Database!BH159="","(n/m or not derivable)",Database!BH159)</f>
        <v/>
      </c>
      <c r="Q159" s="39">
        <f>IF(Database!BN159="","",BDH(LEFT(Database!BN159,FIND(".",Database!BN159)-1)&amp;" CH Equity","PE_RATIO",Database!$H159,Database!$H159))</f>
        <v/>
      </c>
      <c r="R159" s="39">
        <f>IF(Database!BN159="","",BDH("HSAHP Index","PX_LAST",Database!$H159,Database!$H159))</f>
        <v/>
      </c>
      <c r="S159" s="39">
        <f>IFERROR(BDP(TEXT(VALUE(Database!$A159),"0")&amp;" HK Equity","PX_TO_SALES_RATIO"),"")</f>
        <v/>
      </c>
      <c r="T159" s="34">
        <f>IF(Database!BN159="","",IFERROR(BDP(LEFT(Database!BN159,FIND(".",Database!BN159)-1)&amp;" CH Equity","CUR_MKT_CAP")*BDP("CNYHKD Curncy","PX_LAST"),"Awaiting quote"))</f>
        <v/>
      </c>
    </row>
    <row r="160" ht="23" customHeight="1">
      <c r="A160" s="32">
        <f>Database!A160&amp;"  "&amp;Database!B160</f>
        <v/>
      </c>
      <c r="B160" s="24">
        <f>IFERROR(INDEX(BDS(TEXT(VALUE(Database!$A160),"0")&amp;" HK Equity","EQUITY_OFFERINGS","array=t","endcol=1"),MATCH("IPO",BDS(TEXT(VALUE(Database!$A160),"0")&amp;" HK Equity","EQUITY_OFFERINGS","array=t","startcol=2","endcol=2"),0)),"")</f>
        <v/>
      </c>
      <c r="C160" s="208">
        <f>IF($B160="","",IFERROR(BDP($B160&amp;" Action","CP036"),""))</f>
        <v/>
      </c>
      <c r="D160" s="209">
        <f>Database!S160</f>
        <v/>
      </c>
      <c r="E160" s="208">
        <f>IF($B160="","",IFERROR(BDP($B160&amp;" Action","CP037"),""))</f>
        <v/>
      </c>
      <c r="F160" s="209">
        <f>Database!T160</f>
        <v/>
      </c>
      <c r="G160" s="208">
        <f>IF($B160="","",IFERROR(BDP($B160&amp;" Action","GREENSHOE_FACILITY"),""))</f>
        <v/>
      </c>
      <c r="H160" s="208">
        <f>IF($B160="","",IFERROR(BDP($B160&amp;" Action","OFFERING_GREENSHOE_SHARES_EX"),""))</f>
        <v/>
      </c>
      <c r="I160" s="32">
        <f>Database!AE160</f>
        <v/>
      </c>
      <c r="J160" s="39">
        <f>IFERROR(BDP(TEXT(VALUE(Database!$A160),"0")&amp;" HK Equity","PE_RATIO"),"")</f>
        <v/>
      </c>
      <c r="K160" s="24">
        <f>IFERROR(BDP(TEXT(VALUE(Database!$A160),"0")&amp;" HK Equity","A/H_SHARE_CONVERSION"),"")</f>
        <v/>
      </c>
      <c r="L160" s="32">
        <f>IF(Database!BN160="","(none found)",Database!BN160)</f>
        <v/>
      </c>
      <c r="M160" s="34">
        <f>BDH(TEXT(VALUE(Database!$A160),"0")&amp;" HK Equity","CUR_MKT_CAP",Database!$H160,Database!$H160)</f>
        <v/>
      </c>
      <c r="N160" s="166">
        <f>Database!Q160</f>
        <v/>
      </c>
      <c r="O160" s="39">
        <f>BDH(TEXT(VALUE(Database!$A160),"0")&amp;" HK Equity","PE_RATIO",Database!$H160,Database!$H160)</f>
        <v/>
      </c>
      <c r="P160" s="199">
        <f>IF(Database!BH160="","(n/m or not derivable)",Database!BH160)</f>
        <v/>
      </c>
      <c r="Q160" s="39">
        <f>IF(Database!BN160="","",BDH(LEFT(Database!BN160,FIND(".",Database!BN160)-1)&amp;" CH Equity","PE_RATIO",Database!$H160,Database!$H160))</f>
        <v/>
      </c>
      <c r="R160" s="39">
        <f>IF(Database!BN160="","",BDH("HSAHP Index","PX_LAST",Database!$H160,Database!$H160))</f>
        <v/>
      </c>
      <c r="S160" s="39">
        <f>IFERROR(BDP(TEXT(VALUE(Database!$A160),"0")&amp;" HK Equity","PX_TO_SALES_RATIO"),"")</f>
        <v/>
      </c>
      <c r="T160" s="34">
        <f>IF(Database!BN160="","",IFERROR(BDP(LEFT(Database!BN160,FIND(".",Database!BN160)-1)&amp;" CH Equity","CUR_MKT_CAP")*BDP("CNYHKD Curncy","PX_LAST"),"Awaiting quote"))</f>
        <v/>
      </c>
    </row>
    <row r="161" ht="23" customHeight="1">
      <c r="A161" s="32">
        <f>Database!A161&amp;"  "&amp;Database!B161</f>
        <v/>
      </c>
      <c r="B161" s="24">
        <f>IFERROR(INDEX(BDS(TEXT(VALUE(Database!$A161),"0")&amp;" HK Equity","EQUITY_OFFERINGS","array=t","endcol=1"),MATCH("IPO",BDS(TEXT(VALUE(Database!$A161),"0")&amp;" HK Equity","EQUITY_OFFERINGS","array=t","startcol=2","endcol=2"),0)),"")</f>
        <v/>
      </c>
      <c r="C161" s="208">
        <f>IF($B161="","",IFERROR(BDP($B161&amp;" Action","CP036"),""))</f>
        <v/>
      </c>
      <c r="D161" s="209">
        <f>Database!S161</f>
        <v/>
      </c>
      <c r="E161" s="208">
        <f>IF($B161="","",IFERROR(BDP($B161&amp;" Action","CP037"),""))</f>
        <v/>
      </c>
      <c r="F161" s="209">
        <f>Database!T161</f>
        <v/>
      </c>
      <c r="G161" s="208">
        <f>IF($B161="","",IFERROR(BDP($B161&amp;" Action","GREENSHOE_FACILITY"),""))</f>
        <v/>
      </c>
      <c r="H161" s="208">
        <f>IF($B161="","",IFERROR(BDP($B161&amp;" Action","OFFERING_GREENSHOE_SHARES_EX"),""))</f>
        <v/>
      </c>
      <c r="I161" s="32">
        <f>Database!AE161</f>
        <v/>
      </c>
      <c r="J161" s="39">
        <f>IFERROR(BDP(TEXT(VALUE(Database!$A161),"0")&amp;" HK Equity","PE_RATIO"),"")</f>
        <v/>
      </c>
      <c r="K161" s="24">
        <f>IFERROR(BDP(TEXT(VALUE(Database!$A161),"0")&amp;" HK Equity","A/H_SHARE_CONVERSION"),"")</f>
        <v/>
      </c>
      <c r="L161" s="32">
        <f>IF(Database!BN161="","(none found)",Database!BN161)</f>
        <v/>
      </c>
      <c r="M161" s="34">
        <f>BDH(TEXT(VALUE(Database!$A161),"0")&amp;" HK Equity","CUR_MKT_CAP",Database!$H161,Database!$H161)</f>
        <v/>
      </c>
      <c r="N161" s="166">
        <f>Database!Q161</f>
        <v/>
      </c>
      <c r="O161" s="39">
        <f>BDH(TEXT(VALUE(Database!$A161),"0")&amp;" HK Equity","PE_RATIO",Database!$H161,Database!$H161)</f>
        <v/>
      </c>
      <c r="P161" s="199">
        <f>IF(Database!BH161="","(n/m or not derivable)",Database!BH161)</f>
        <v/>
      </c>
      <c r="Q161" s="39">
        <f>IF(Database!BN161="","",BDH(LEFT(Database!BN161,FIND(".",Database!BN161)-1)&amp;" CH Equity","PE_RATIO",Database!$H161,Database!$H161))</f>
        <v/>
      </c>
      <c r="R161" s="39">
        <f>IF(Database!BN161="","",BDH("HSAHP Index","PX_LAST",Database!$H161,Database!$H161))</f>
        <v/>
      </c>
      <c r="S161" s="39">
        <f>IFERROR(BDP(TEXT(VALUE(Database!$A161),"0")&amp;" HK Equity","PX_TO_SALES_RATIO"),"")</f>
        <v/>
      </c>
      <c r="T161" s="34">
        <f>IF(Database!BN161="","",IFERROR(BDP(LEFT(Database!BN161,FIND(".",Database!BN161)-1)&amp;" CH Equity","CUR_MKT_CAP")*BDP("CNYHKD Curncy","PX_LAST"),"Awaiting quote"))</f>
        <v/>
      </c>
    </row>
    <row r="162" ht="23" customHeight="1">
      <c r="A162" s="32">
        <f>Database!A162&amp;"  "&amp;Database!B162</f>
        <v/>
      </c>
      <c r="B162" s="24">
        <f>IFERROR(INDEX(BDS(TEXT(VALUE(Database!$A162),"0")&amp;" HK Equity","EQUITY_OFFERINGS","array=t","endcol=1"),MATCH("IPO",BDS(TEXT(VALUE(Database!$A162),"0")&amp;" HK Equity","EQUITY_OFFERINGS","array=t","startcol=2","endcol=2"),0)),"")</f>
        <v/>
      </c>
      <c r="C162" s="208">
        <f>IF($B162="","",IFERROR(BDP($B162&amp;" Action","CP036"),""))</f>
        <v/>
      </c>
      <c r="D162" s="209">
        <f>Database!S162</f>
        <v/>
      </c>
      <c r="E162" s="208">
        <f>IF($B162="","",IFERROR(BDP($B162&amp;" Action","CP037"),""))</f>
        <v/>
      </c>
      <c r="F162" s="209">
        <f>Database!T162</f>
        <v/>
      </c>
      <c r="G162" s="208">
        <f>IF($B162="","",IFERROR(BDP($B162&amp;" Action","GREENSHOE_FACILITY"),""))</f>
        <v/>
      </c>
      <c r="H162" s="208">
        <f>IF($B162="","",IFERROR(BDP($B162&amp;" Action","OFFERING_GREENSHOE_SHARES_EX"),""))</f>
        <v/>
      </c>
      <c r="I162" s="32">
        <f>Database!AE162</f>
        <v/>
      </c>
      <c r="J162" s="39">
        <f>IFERROR(BDP(TEXT(VALUE(Database!$A162),"0")&amp;" HK Equity","PE_RATIO"),"")</f>
        <v/>
      </c>
      <c r="K162" s="24">
        <f>IFERROR(BDP(TEXT(VALUE(Database!$A162),"0")&amp;" HK Equity","A/H_SHARE_CONVERSION"),"")</f>
        <v/>
      </c>
      <c r="L162" s="32">
        <f>IF(Database!BN162="","(none found)",Database!BN162)</f>
        <v/>
      </c>
      <c r="M162" s="34">
        <f>BDH(TEXT(VALUE(Database!$A162),"0")&amp;" HK Equity","CUR_MKT_CAP",Database!$H162,Database!$H162)</f>
        <v/>
      </c>
      <c r="N162" s="166">
        <f>Database!Q162</f>
        <v/>
      </c>
      <c r="O162" s="39">
        <f>BDH(TEXT(VALUE(Database!$A162),"0")&amp;" HK Equity","PE_RATIO",Database!$H162,Database!$H162)</f>
        <v/>
      </c>
      <c r="P162" s="199">
        <f>IF(Database!BH162="","(n/m or not derivable)",Database!BH162)</f>
        <v/>
      </c>
      <c r="Q162" s="39">
        <f>IF(Database!BN162="","",BDH(LEFT(Database!BN162,FIND(".",Database!BN162)-1)&amp;" CH Equity","PE_RATIO",Database!$H162,Database!$H162))</f>
        <v/>
      </c>
      <c r="R162" s="39">
        <f>IF(Database!BN162="","",BDH("HSAHP Index","PX_LAST",Database!$H162,Database!$H162))</f>
        <v/>
      </c>
      <c r="S162" s="39">
        <f>IFERROR(BDP(TEXT(VALUE(Database!$A162),"0")&amp;" HK Equity","PX_TO_SALES_RATIO"),"")</f>
        <v/>
      </c>
      <c r="T162" s="34">
        <f>IF(Database!BN162="","",IFERROR(BDP(LEFT(Database!BN162,FIND(".",Database!BN162)-1)&amp;" CH Equity","CUR_MKT_CAP")*BDP("CNYHKD Curncy","PX_LAST"),"Awaiting quote"))</f>
        <v/>
      </c>
    </row>
    <row r="163" ht="23" customHeight="1">
      <c r="A163" s="32">
        <f>Database!A163&amp;"  "&amp;Database!B163</f>
        <v/>
      </c>
      <c r="B163" s="24">
        <f>IFERROR(INDEX(BDS(TEXT(VALUE(Database!$A163),"0")&amp;" HK Equity","EQUITY_OFFERINGS","array=t","endcol=1"),MATCH("IPO",BDS(TEXT(VALUE(Database!$A163),"0")&amp;" HK Equity","EQUITY_OFFERINGS","array=t","startcol=2","endcol=2"),0)),"")</f>
        <v/>
      </c>
      <c r="C163" s="208">
        <f>IF($B163="","",IFERROR(BDP($B163&amp;" Action","CP036"),""))</f>
        <v/>
      </c>
      <c r="D163" s="209">
        <f>Database!S163</f>
        <v/>
      </c>
      <c r="E163" s="208">
        <f>IF($B163="","",IFERROR(BDP($B163&amp;" Action","CP037"),""))</f>
        <v/>
      </c>
      <c r="F163" s="209">
        <f>Database!T163</f>
        <v/>
      </c>
      <c r="G163" s="208">
        <f>IF($B163="","",IFERROR(BDP($B163&amp;" Action","GREENSHOE_FACILITY"),""))</f>
        <v/>
      </c>
      <c r="H163" s="208">
        <f>IF($B163="","",IFERROR(BDP($B163&amp;" Action","OFFERING_GREENSHOE_SHARES_EX"),""))</f>
        <v/>
      </c>
      <c r="I163" s="32">
        <f>Database!AE163</f>
        <v/>
      </c>
      <c r="J163" s="39">
        <f>IFERROR(BDP(TEXT(VALUE(Database!$A163),"0")&amp;" HK Equity","PE_RATIO"),"")</f>
        <v/>
      </c>
      <c r="K163" s="24">
        <f>IFERROR(BDP(TEXT(VALUE(Database!$A163),"0")&amp;" HK Equity","A/H_SHARE_CONVERSION"),"")</f>
        <v/>
      </c>
      <c r="L163" s="32">
        <f>IF(Database!BN163="","(none found)",Database!BN163)</f>
        <v/>
      </c>
      <c r="M163" s="34">
        <f>BDH(TEXT(VALUE(Database!$A163),"0")&amp;" HK Equity","CUR_MKT_CAP",Database!$H163,Database!$H163)</f>
        <v/>
      </c>
      <c r="N163" s="166">
        <f>Database!Q163</f>
        <v/>
      </c>
      <c r="O163" s="39">
        <f>BDH(TEXT(VALUE(Database!$A163),"0")&amp;" HK Equity","PE_RATIO",Database!$H163,Database!$H163)</f>
        <v/>
      </c>
      <c r="P163" s="199">
        <f>IF(Database!BH163="","(n/m or not derivable)",Database!BH163)</f>
        <v/>
      </c>
      <c r="Q163" s="39">
        <f>IF(Database!BN163="","",BDH(LEFT(Database!BN163,FIND(".",Database!BN163)-1)&amp;" CH Equity","PE_RATIO",Database!$H163,Database!$H163))</f>
        <v/>
      </c>
      <c r="R163" s="39">
        <f>IF(Database!BN163="","",BDH("HSAHP Index","PX_LAST",Database!$H163,Database!$H163))</f>
        <v/>
      </c>
      <c r="S163" s="39">
        <f>IFERROR(BDP(TEXT(VALUE(Database!$A163),"0")&amp;" HK Equity","PX_TO_SALES_RATIO"),"")</f>
        <v/>
      </c>
      <c r="T163" s="34">
        <f>IF(Database!BN163="","",IFERROR(BDP(LEFT(Database!BN163,FIND(".",Database!BN163)-1)&amp;" CH Equity","CUR_MKT_CAP")*BDP("CNYHKD Curncy","PX_LAST"),"Awaiting quote"))</f>
        <v/>
      </c>
    </row>
    <row r="164" ht="23" customHeight="1">
      <c r="A164" s="32">
        <f>Database!A164&amp;"  "&amp;Database!B164</f>
        <v/>
      </c>
      <c r="B164" s="24">
        <f>IFERROR(INDEX(BDS(TEXT(VALUE(Database!$A164),"0")&amp;" HK Equity","EQUITY_OFFERINGS","array=t","endcol=1"),MATCH("IPO",BDS(TEXT(VALUE(Database!$A164),"0")&amp;" HK Equity","EQUITY_OFFERINGS","array=t","startcol=2","endcol=2"),0)),"")</f>
        <v/>
      </c>
      <c r="C164" s="208">
        <f>IF($B164="","",IFERROR(BDP($B164&amp;" Action","CP036"),""))</f>
        <v/>
      </c>
      <c r="D164" s="209">
        <f>Database!S164</f>
        <v/>
      </c>
      <c r="E164" s="208">
        <f>IF($B164="","",IFERROR(BDP($B164&amp;" Action","CP037"),""))</f>
        <v/>
      </c>
      <c r="F164" s="209">
        <f>Database!T164</f>
        <v/>
      </c>
      <c r="G164" s="208">
        <f>IF($B164="","",IFERROR(BDP($B164&amp;" Action","GREENSHOE_FACILITY"),""))</f>
        <v/>
      </c>
      <c r="H164" s="208">
        <f>IF($B164="","",IFERROR(BDP($B164&amp;" Action","OFFERING_GREENSHOE_SHARES_EX"),""))</f>
        <v/>
      </c>
      <c r="I164" s="32">
        <f>Database!AE164</f>
        <v/>
      </c>
      <c r="J164" s="39">
        <f>IFERROR(BDP(TEXT(VALUE(Database!$A164),"0")&amp;" HK Equity","PE_RATIO"),"")</f>
        <v/>
      </c>
      <c r="K164" s="24">
        <f>IFERROR(BDP(TEXT(VALUE(Database!$A164),"0")&amp;" HK Equity","A/H_SHARE_CONVERSION"),"")</f>
        <v/>
      </c>
      <c r="L164" s="32">
        <f>IF(Database!BN164="","(none found)",Database!BN164)</f>
        <v/>
      </c>
      <c r="M164" s="34">
        <f>BDH(TEXT(VALUE(Database!$A164),"0")&amp;" HK Equity","CUR_MKT_CAP",Database!$H164,Database!$H164)</f>
        <v/>
      </c>
      <c r="N164" s="166">
        <f>Database!Q164</f>
        <v/>
      </c>
      <c r="O164" s="39">
        <f>BDH(TEXT(VALUE(Database!$A164),"0")&amp;" HK Equity","PE_RATIO",Database!$H164,Database!$H164)</f>
        <v/>
      </c>
      <c r="P164" s="199">
        <f>IF(Database!BH164="","(n/m or not derivable)",Database!BH164)</f>
        <v/>
      </c>
      <c r="Q164" s="39">
        <f>IF(Database!BN164="","",BDH(LEFT(Database!BN164,FIND(".",Database!BN164)-1)&amp;" CH Equity","PE_RATIO",Database!$H164,Database!$H164))</f>
        <v/>
      </c>
      <c r="R164" s="39">
        <f>IF(Database!BN164="","",BDH("HSAHP Index","PX_LAST",Database!$H164,Database!$H164))</f>
        <v/>
      </c>
      <c r="S164" s="39">
        <f>IFERROR(BDP(TEXT(VALUE(Database!$A164),"0")&amp;" HK Equity","PX_TO_SALES_RATIO"),"")</f>
        <v/>
      </c>
      <c r="T164" s="34">
        <f>IF(Database!BN164="","",IFERROR(BDP(LEFT(Database!BN164,FIND(".",Database!BN164)-1)&amp;" CH Equity","CUR_MKT_CAP")*BDP("CNYHKD Curncy","PX_LAST"),"Awaiting quote"))</f>
        <v/>
      </c>
    </row>
    <row r="165" ht="23" customHeight="1">
      <c r="A165" s="32">
        <f>Database!A165&amp;"  "&amp;Database!B165</f>
        <v/>
      </c>
      <c r="B165" s="24">
        <f>IFERROR(INDEX(BDS(TEXT(VALUE(Database!$A165),"0")&amp;" HK Equity","EQUITY_OFFERINGS","array=t","endcol=1"),MATCH("IPO",BDS(TEXT(VALUE(Database!$A165),"0")&amp;" HK Equity","EQUITY_OFFERINGS","array=t","startcol=2","endcol=2"),0)),"")</f>
        <v/>
      </c>
      <c r="C165" s="208">
        <f>IF($B165="","",IFERROR(BDP($B165&amp;" Action","CP036"),""))</f>
        <v/>
      </c>
      <c r="D165" s="209">
        <f>Database!S165</f>
        <v/>
      </c>
      <c r="E165" s="208">
        <f>IF($B165="","",IFERROR(BDP($B165&amp;" Action","CP037"),""))</f>
        <v/>
      </c>
      <c r="F165" s="209">
        <f>Database!T165</f>
        <v/>
      </c>
      <c r="G165" s="208">
        <f>IF($B165="","",IFERROR(BDP($B165&amp;" Action","GREENSHOE_FACILITY"),""))</f>
        <v/>
      </c>
      <c r="H165" s="208">
        <f>IF($B165="","",IFERROR(BDP($B165&amp;" Action","OFFERING_GREENSHOE_SHARES_EX"),""))</f>
        <v/>
      </c>
      <c r="I165" s="32">
        <f>Database!AE165</f>
        <v/>
      </c>
      <c r="J165" s="39">
        <f>IFERROR(BDP(TEXT(VALUE(Database!$A165),"0")&amp;" HK Equity","PE_RATIO"),"")</f>
        <v/>
      </c>
      <c r="K165" s="24">
        <f>IFERROR(BDP(TEXT(VALUE(Database!$A165),"0")&amp;" HK Equity","A/H_SHARE_CONVERSION"),"")</f>
        <v/>
      </c>
      <c r="L165" s="32">
        <f>IF(Database!BN165="","(none found)",Database!BN165)</f>
        <v/>
      </c>
      <c r="M165" s="34">
        <f>BDH(TEXT(VALUE(Database!$A165),"0")&amp;" HK Equity","CUR_MKT_CAP",Database!$H165,Database!$H165)</f>
        <v/>
      </c>
      <c r="N165" s="166">
        <f>Database!Q165</f>
        <v/>
      </c>
      <c r="O165" s="39">
        <f>BDH(TEXT(VALUE(Database!$A165),"0")&amp;" HK Equity","PE_RATIO",Database!$H165,Database!$H165)</f>
        <v/>
      </c>
      <c r="P165" s="199">
        <f>IF(Database!BH165="","(n/m or not derivable)",Database!BH165)</f>
        <v/>
      </c>
      <c r="Q165" s="39">
        <f>IF(Database!BN165="","",BDH(LEFT(Database!BN165,FIND(".",Database!BN165)-1)&amp;" CH Equity","PE_RATIO",Database!$H165,Database!$H165))</f>
        <v/>
      </c>
      <c r="R165" s="39">
        <f>IF(Database!BN165="","",BDH("HSAHP Index","PX_LAST",Database!$H165,Database!$H165))</f>
        <v/>
      </c>
      <c r="S165" s="39">
        <f>IFERROR(BDP(TEXT(VALUE(Database!$A165),"0")&amp;" HK Equity","PX_TO_SALES_RATIO"),"")</f>
        <v/>
      </c>
      <c r="T165" s="34">
        <f>IF(Database!BN165="","",IFERROR(BDP(LEFT(Database!BN165,FIND(".",Database!BN165)-1)&amp;" CH Equity","CUR_MKT_CAP")*BDP("CNYHKD Curncy","PX_LAST"),"Awaiting quote"))</f>
        <v/>
      </c>
    </row>
    <row r="166" ht="23" customHeight="1">
      <c r="A166" s="32">
        <f>Database!A166&amp;"  "&amp;Database!B166</f>
        <v/>
      </c>
      <c r="B166" s="24">
        <f>IFERROR(INDEX(BDS(TEXT(VALUE(Database!$A166),"0")&amp;" HK Equity","EQUITY_OFFERINGS","array=t","endcol=1"),MATCH("IPO",BDS(TEXT(VALUE(Database!$A166),"0")&amp;" HK Equity","EQUITY_OFFERINGS","array=t","startcol=2","endcol=2"),0)),"")</f>
        <v/>
      </c>
      <c r="C166" s="208">
        <f>IF($B166="","",IFERROR(BDP($B166&amp;" Action","CP036"),""))</f>
        <v/>
      </c>
      <c r="D166" s="209">
        <f>Database!S166</f>
        <v/>
      </c>
      <c r="E166" s="208">
        <f>IF($B166="","",IFERROR(BDP($B166&amp;" Action","CP037"),""))</f>
        <v/>
      </c>
      <c r="F166" s="209">
        <f>Database!T166</f>
        <v/>
      </c>
      <c r="G166" s="208">
        <f>IF($B166="","",IFERROR(BDP($B166&amp;" Action","GREENSHOE_FACILITY"),""))</f>
        <v/>
      </c>
      <c r="H166" s="208">
        <f>IF($B166="","",IFERROR(BDP($B166&amp;" Action","OFFERING_GREENSHOE_SHARES_EX"),""))</f>
        <v/>
      </c>
      <c r="I166" s="32">
        <f>Database!AE166</f>
        <v/>
      </c>
      <c r="J166" s="39">
        <f>IFERROR(BDP(TEXT(VALUE(Database!$A166),"0")&amp;" HK Equity","PE_RATIO"),"")</f>
        <v/>
      </c>
      <c r="K166" s="24">
        <f>IFERROR(BDP(TEXT(VALUE(Database!$A166),"0")&amp;" HK Equity","A/H_SHARE_CONVERSION"),"")</f>
        <v/>
      </c>
      <c r="L166" s="32">
        <f>IF(Database!BN166="","(none found)",Database!BN166)</f>
        <v/>
      </c>
      <c r="M166" s="34">
        <f>BDH(TEXT(VALUE(Database!$A166),"0")&amp;" HK Equity","CUR_MKT_CAP",Database!$H166,Database!$H166)</f>
        <v/>
      </c>
      <c r="N166" s="166">
        <f>Database!Q166</f>
        <v/>
      </c>
      <c r="O166" s="39">
        <f>BDH(TEXT(VALUE(Database!$A166),"0")&amp;" HK Equity","PE_RATIO",Database!$H166,Database!$H166)</f>
        <v/>
      </c>
      <c r="P166" s="199">
        <f>IF(Database!BH166="","(n/m or not derivable)",Database!BH166)</f>
        <v/>
      </c>
      <c r="Q166" s="39">
        <f>IF(Database!BN166="","",BDH(LEFT(Database!BN166,FIND(".",Database!BN166)-1)&amp;" CH Equity","PE_RATIO",Database!$H166,Database!$H166))</f>
        <v/>
      </c>
      <c r="R166" s="39">
        <f>IF(Database!BN166="","",BDH("HSAHP Index","PX_LAST",Database!$H166,Database!$H166))</f>
        <v/>
      </c>
      <c r="S166" s="39">
        <f>IFERROR(BDP(TEXT(VALUE(Database!$A166),"0")&amp;" HK Equity","PX_TO_SALES_RATIO"),"")</f>
        <v/>
      </c>
      <c r="T166" s="34">
        <f>IF(Database!BN166="","",IFERROR(BDP(LEFT(Database!BN166,FIND(".",Database!BN166)-1)&amp;" CH Equity","CUR_MKT_CAP")*BDP("CNYHKD Curncy","PX_LAST"),"Awaiting quote"))</f>
        <v/>
      </c>
    </row>
    <row r="167" ht="23" customHeight="1">
      <c r="A167" s="32">
        <f>Database!A167&amp;"  "&amp;Database!B167</f>
        <v/>
      </c>
      <c r="B167" s="24">
        <f>IFERROR(INDEX(BDS(TEXT(VALUE(Database!$A167),"0")&amp;" HK Equity","EQUITY_OFFERINGS","array=t","endcol=1"),MATCH("IPO",BDS(TEXT(VALUE(Database!$A167),"0")&amp;" HK Equity","EQUITY_OFFERINGS","array=t","startcol=2","endcol=2"),0)),"")</f>
        <v/>
      </c>
      <c r="C167" s="208">
        <f>IF($B167="","",IFERROR(BDP($B167&amp;" Action","CP036"),""))</f>
        <v/>
      </c>
      <c r="D167" s="209">
        <f>Database!S167</f>
        <v/>
      </c>
      <c r="E167" s="208">
        <f>IF($B167="","",IFERROR(BDP($B167&amp;" Action","CP037"),""))</f>
        <v/>
      </c>
      <c r="F167" s="209">
        <f>Database!T167</f>
        <v/>
      </c>
      <c r="G167" s="208">
        <f>IF($B167="","",IFERROR(BDP($B167&amp;" Action","GREENSHOE_FACILITY"),""))</f>
        <v/>
      </c>
      <c r="H167" s="208">
        <f>IF($B167="","",IFERROR(BDP($B167&amp;" Action","OFFERING_GREENSHOE_SHARES_EX"),""))</f>
        <v/>
      </c>
      <c r="I167" s="32">
        <f>Database!AE167</f>
        <v/>
      </c>
      <c r="J167" s="39">
        <f>IFERROR(BDP(TEXT(VALUE(Database!$A167),"0")&amp;" HK Equity","PE_RATIO"),"")</f>
        <v/>
      </c>
      <c r="K167" s="24">
        <f>IFERROR(BDP(TEXT(VALUE(Database!$A167),"0")&amp;" HK Equity","A/H_SHARE_CONVERSION"),"")</f>
        <v/>
      </c>
      <c r="L167" s="32">
        <f>IF(Database!BN167="","(none found)",Database!BN167)</f>
        <v/>
      </c>
      <c r="M167" s="34">
        <f>BDH(TEXT(VALUE(Database!$A167),"0")&amp;" HK Equity","CUR_MKT_CAP",Database!$H167,Database!$H167)</f>
        <v/>
      </c>
      <c r="N167" s="166">
        <f>Database!Q167</f>
        <v/>
      </c>
      <c r="O167" s="39">
        <f>BDH(TEXT(VALUE(Database!$A167),"0")&amp;" HK Equity","PE_RATIO",Database!$H167,Database!$H167)</f>
        <v/>
      </c>
      <c r="P167" s="199">
        <f>IF(Database!BH167="","(n/m or not derivable)",Database!BH167)</f>
        <v/>
      </c>
      <c r="Q167" s="39">
        <f>IF(Database!BN167="","",BDH(LEFT(Database!BN167,FIND(".",Database!BN167)-1)&amp;" CH Equity","PE_RATIO",Database!$H167,Database!$H167))</f>
        <v/>
      </c>
      <c r="R167" s="39">
        <f>IF(Database!BN167="","",BDH("HSAHP Index","PX_LAST",Database!$H167,Database!$H167))</f>
        <v/>
      </c>
      <c r="S167" s="39">
        <f>IFERROR(BDP(TEXT(VALUE(Database!$A167),"0")&amp;" HK Equity","PX_TO_SALES_RATIO"),"")</f>
        <v/>
      </c>
      <c r="T167" s="34">
        <f>IF(Database!BN167="","",IFERROR(BDP(LEFT(Database!BN167,FIND(".",Database!BN167)-1)&amp;" CH Equity","CUR_MKT_CAP")*BDP("CNYHKD Curncy","PX_LAST"),"Awaiting quote"))</f>
        <v/>
      </c>
    </row>
    <row r="168" ht="23" customHeight="1">
      <c r="A168" s="32">
        <f>Database!A168&amp;"  "&amp;Database!B168</f>
        <v/>
      </c>
      <c r="B168" s="24">
        <f>IFERROR(INDEX(BDS(TEXT(VALUE(Database!$A168),"0")&amp;" HK Equity","EQUITY_OFFERINGS","array=t","endcol=1"),MATCH("IPO",BDS(TEXT(VALUE(Database!$A168),"0")&amp;" HK Equity","EQUITY_OFFERINGS","array=t","startcol=2","endcol=2"),0)),"")</f>
        <v/>
      </c>
      <c r="C168" s="208">
        <f>IF($B168="","",IFERROR(BDP($B168&amp;" Action","CP036"),""))</f>
        <v/>
      </c>
      <c r="D168" s="209">
        <f>Database!S168</f>
        <v/>
      </c>
      <c r="E168" s="208">
        <f>IF($B168="","",IFERROR(BDP($B168&amp;" Action","CP037"),""))</f>
        <v/>
      </c>
      <c r="F168" s="209">
        <f>Database!T168</f>
        <v/>
      </c>
      <c r="G168" s="208">
        <f>IF($B168="","",IFERROR(BDP($B168&amp;" Action","GREENSHOE_FACILITY"),""))</f>
        <v/>
      </c>
      <c r="H168" s="208">
        <f>IF($B168="","",IFERROR(BDP($B168&amp;" Action","OFFERING_GREENSHOE_SHARES_EX"),""))</f>
        <v/>
      </c>
      <c r="I168" s="32">
        <f>Database!AE168</f>
        <v/>
      </c>
      <c r="J168" s="39">
        <f>IFERROR(BDP(TEXT(VALUE(Database!$A168),"0")&amp;" HK Equity","PE_RATIO"),"")</f>
        <v/>
      </c>
      <c r="K168" s="24">
        <f>IFERROR(BDP(TEXT(VALUE(Database!$A168),"0")&amp;" HK Equity","A/H_SHARE_CONVERSION"),"")</f>
        <v/>
      </c>
      <c r="L168" s="32">
        <f>IF(Database!BN168="","(none found)",Database!BN168)</f>
        <v/>
      </c>
      <c r="M168" s="34">
        <f>BDH(TEXT(VALUE(Database!$A168),"0")&amp;" HK Equity","CUR_MKT_CAP",Database!$H168,Database!$H168)</f>
        <v/>
      </c>
      <c r="N168" s="166">
        <f>Database!Q168</f>
        <v/>
      </c>
      <c r="O168" s="39">
        <f>BDH(TEXT(VALUE(Database!$A168),"0")&amp;" HK Equity","PE_RATIO",Database!$H168,Database!$H168)</f>
        <v/>
      </c>
      <c r="P168" s="199">
        <f>IF(Database!BH168="","(n/m or not derivable)",Database!BH168)</f>
        <v/>
      </c>
      <c r="Q168" s="39">
        <f>IF(Database!BN168="","",BDH(LEFT(Database!BN168,FIND(".",Database!BN168)-1)&amp;" CH Equity","PE_RATIO",Database!$H168,Database!$H168))</f>
        <v/>
      </c>
      <c r="R168" s="39">
        <f>IF(Database!BN168="","",BDH("HSAHP Index","PX_LAST",Database!$H168,Database!$H168))</f>
        <v/>
      </c>
      <c r="S168" s="39">
        <f>IFERROR(BDP(TEXT(VALUE(Database!$A168),"0")&amp;" HK Equity","PX_TO_SALES_RATIO"),"")</f>
        <v/>
      </c>
      <c r="T168" s="34">
        <f>IF(Database!BN168="","",IFERROR(BDP(LEFT(Database!BN168,FIND(".",Database!BN168)-1)&amp;" CH Equity","CUR_MKT_CAP")*BDP("CNYHKD Curncy","PX_LAST"),"Awaiting quote"))</f>
        <v/>
      </c>
    </row>
    <row r="169" ht="23" customHeight="1">
      <c r="A169" s="32">
        <f>Database!A169&amp;"  "&amp;Database!B169</f>
        <v/>
      </c>
      <c r="B169" s="24">
        <f>IFERROR(INDEX(BDS(TEXT(VALUE(Database!$A169),"0")&amp;" HK Equity","EQUITY_OFFERINGS","array=t","endcol=1"),MATCH("IPO",BDS(TEXT(VALUE(Database!$A169),"0")&amp;" HK Equity","EQUITY_OFFERINGS","array=t","startcol=2","endcol=2"),0)),"")</f>
        <v/>
      </c>
      <c r="C169" s="208">
        <f>IF($B169="","",IFERROR(BDP($B169&amp;" Action","CP036"),""))</f>
        <v/>
      </c>
      <c r="D169" s="209">
        <f>Database!S169</f>
        <v/>
      </c>
      <c r="E169" s="208">
        <f>IF($B169="","",IFERROR(BDP($B169&amp;" Action","CP037"),""))</f>
        <v/>
      </c>
      <c r="F169" s="209">
        <f>Database!T169</f>
        <v/>
      </c>
      <c r="G169" s="208">
        <f>IF($B169="","",IFERROR(BDP($B169&amp;" Action","GREENSHOE_FACILITY"),""))</f>
        <v/>
      </c>
      <c r="H169" s="208">
        <f>IF($B169="","",IFERROR(BDP($B169&amp;" Action","OFFERING_GREENSHOE_SHARES_EX"),""))</f>
        <v/>
      </c>
      <c r="I169" s="32">
        <f>Database!AE169</f>
        <v/>
      </c>
      <c r="J169" s="39">
        <f>IFERROR(BDP(TEXT(VALUE(Database!$A169),"0")&amp;" HK Equity","PE_RATIO"),"")</f>
        <v/>
      </c>
      <c r="K169" s="24">
        <f>IFERROR(BDP(TEXT(VALUE(Database!$A169),"0")&amp;" HK Equity","A/H_SHARE_CONVERSION"),"")</f>
        <v/>
      </c>
      <c r="L169" s="32">
        <f>IF(Database!BN169="","(none found)",Database!BN169)</f>
        <v/>
      </c>
      <c r="M169" s="34">
        <f>BDH(TEXT(VALUE(Database!$A169),"0")&amp;" HK Equity","CUR_MKT_CAP",Database!$H169,Database!$H169)</f>
        <v/>
      </c>
      <c r="N169" s="166">
        <f>Database!Q169</f>
        <v/>
      </c>
      <c r="O169" s="39">
        <f>BDH(TEXT(VALUE(Database!$A169),"0")&amp;" HK Equity","PE_RATIO",Database!$H169,Database!$H169)</f>
        <v/>
      </c>
      <c r="P169" s="199">
        <f>IF(Database!BH169="","(n/m or not derivable)",Database!BH169)</f>
        <v/>
      </c>
      <c r="Q169" s="39">
        <f>IF(Database!BN169="","",BDH(LEFT(Database!BN169,FIND(".",Database!BN169)-1)&amp;" CH Equity","PE_RATIO",Database!$H169,Database!$H169))</f>
        <v/>
      </c>
      <c r="R169" s="39">
        <f>IF(Database!BN169="","",BDH("HSAHP Index","PX_LAST",Database!$H169,Database!$H169))</f>
        <v/>
      </c>
      <c r="S169" s="39">
        <f>IFERROR(BDP(TEXT(VALUE(Database!$A169),"0")&amp;" HK Equity","PX_TO_SALES_RATIO"),"")</f>
        <v/>
      </c>
      <c r="T169" s="34">
        <f>IF(Database!BN169="","",IFERROR(BDP(LEFT(Database!BN169,FIND(".",Database!BN169)-1)&amp;" CH Equity","CUR_MKT_CAP")*BDP("CNYHKD Curncy","PX_LAST"),"Awaiting quote"))</f>
        <v/>
      </c>
    </row>
    <row r="170" ht="23" customHeight="1">
      <c r="A170" s="32">
        <f>Database!A170&amp;"  "&amp;Database!B170</f>
        <v/>
      </c>
      <c r="B170" s="24">
        <f>IFERROR(INDEX(BDS(TEXT(VALUE(Database!$A170),"0")&amp;" HK Equity","EQUITY_OFFERINGS","array=t","endcol=1"),MATCH("IPO",BDS(TEXT(VALUE(Database!$A170),"0")&amp;" HK Equity","EQUITY_OFFERINGS","array=t","startcol=2","endcol=2"),0)),"")</f>
        <v/>
      </c>
      <c r="C170" s="208">
        <f>IF($B170="","",IFERROR(BDP($B170&amp;" Action","CP036"),""))</f>
        <v/>
      </c>
      <c r="D170" s="209">
        <f>Database!S170</f>
        <v/>
      </c>
      <c r="E170" s="208">
        <f>IF($B170="","",IFERROR(BDP($B170&amp;" Action","CP037"),""))</f>
        <v/>
      </c>
      <c r="F170" s="209">
        <f>Database!T170</f>
        <v/>
      </c>
      <c r="G170" s="208">
        <f>IF($B170="","",IFERROR(BDP($B170&amp;" Action","GREENSHOE_FACILITY"),""))</f>
        <v/>
      </c>
      <c r="H170" s="208">
        <f>IF($B170="","",IFERROR(BDP($B170&amp;" Action","OFFERING_GREENSHOE_SHARES_EX"),""))</f>
        <v/>
      </c>
      <c r="I170" s="32">
        <f>Database!AE170</f>
        <v/>
      </c>
      <c r="J170" s="39">
        <f>IFERROR(BDP(TEXT(VALUE(Database!$A170),"0")&amp;" HK Equity","PE_RATIO"),"")</f>
        <v/>
      </c>
      <c r="K170" s="24">
        <f>IFERROR(BDP(TEXT(VALUE(Database!$A170),"0")&amp;" HK Equity","A/H_SHARE_CONVERSION"),"")</f>
        <v/>
      </c>
      <c r="L170" s="32">
        <f>IF(Database!BN170="","(none found)",Database!BN170)</f>
        <v/>
      </c>
      <c r="M170" s="34">
        <f>BDH(TEXT(VALUE(Database!$A170),"0")&amp;" HK Equity","CUR_MKT_CAP",Database!$H170,Database!$H170)</f>
        <v/>
      </c>
      <c r="N170" s="166">
        <f>Database!Q170</f>
        <v/>
      </c>
      <c r="O170" s="39">
        <f>BDH(TEXT(VALUE(Database!$A170),"0")&amp;" HK Equity","PE_RATIO",Database!$H170,Database!$H170)</f>
        <v/>
      </c>
      <c r="P170" s="199">
        <f>IF(Database!BH170="","(n/m or not derivable)",Database!BH170)</f>
        <v/>
      </c>
      <c r="Q170" s="39">
        <f>IF(Database!BN170="","",BDH(LEFT(Database!BN170,FIND(".",Database!BN170)-1)&amp;" CH Equity","PE_RATIO",Database!$H170,Database!$H170))</f>
        <v/>
      </c>
      <c r="R170" s="39">
        <f>IF(Database!BN170="","",BDH("HSAHP Index","PX_LAST",Database!$H170,Database!$H170))</f>
        <v/>
      </c>
      <c r="S170" s="39">
        <f>IFERROR(BDP(TEXT(VALUE(Database!$A170),"0")&amp;" HK Equity","PX_TO_SALES_RATIO"),"")</f>
        <v/>
      </c>
      <c r="T170" s="34">
        <f>IF(Database!BN170="","",IFERROR(BDP(LEFT(Database!BN170,FIND(".",Database!BN170)-1)&amp;" CH Equity","CUR_MKT_CAP")*BDP("CNYHKD Curncy","PX_LAST"),"Awaiting quote"))</f>
        <v/>
      </c>
    </row>
    <row r="171" ht="23" customHeight="1">
      <c r="A171" s="32">
        <f>Database!A171&amp;"  "&amp;Database!B171</f>
        <v/>
      </c>
      <c r="B171" s="24">
        <f>IFERROR(INDEX(BDS(TEXT(VALUE(Database!$A171),"0")&amp;" HK Equity","EQUITY_OFFERINGS","array=t","endcol=1"),MATCH("IPO",BDS(TEXT(VALUE(Database!$A171),"0")&amp;" HK Equity","EQUITY_OFFERINGS","array=t","startcol=2","endcol=2"),0)),"")</f>
        <v/>
      </c>
      <c r="C171" s="208">
        <f>IF($B171="","",IFERROR(BDP($B171&amp;" Action","CP036"),""))</f>
        <v/>
      </c>
      <c r="D171" s="209">
        <f>Database!S171</f>
        <v/>
      </c>
      <c r="E171" s="208">
        <f>IF($B171="","",IFERROR(BDP($B171&amp;" Action","CP037"),""))</f>
        <v/>
      </c>
      <c r="F171" s="209">
        <f>Database!T171</f>
        <v/>
      </c>
      <c r="G171" s="208">
        <f>IF($B171="","",IFERROR(BDP($B171&amp;" Action","GREENSHOE_FACILITY"),""))</f>
        <v/>
      </c>
      <c r="H171" s="208">
        <f>IF($B171="","",IFERROR(BDP($B171&amp;" Action","OFFERING_GREENSHOE_SHARES_EX"),""))</f>
        <v/>
      </c>
      <c r="I171" s="32">
        <f>Database!AE171</f>
        <v/>
      </c>
      <c r="J171" s="39">
        <f>IFERROR(BDP(TEXT(VALUE(Database!$A171),"0")&amp;" HK Equity","PE_RATIO"),"")</f>
        <v/>
      </c>
      <c r="K171" s="24">
        <f>IFERROR(BDP(TEXT(VALUE(Database!$A171),"0")&amp;" HK Equity","A/H_SHARE_CONVERSION"),"")</f>
        <v/>
      </c>
      <c r="L171" s="32">
        <f>IF(Database!BN171="","(none found)",Database!BN171)</f>
        <v/>
      </c>
      <c r="M171" s="34">
        <f>BDH(TEXT(VALUE(Database!$A171),"0")&amp;" HK Equity","CUR_MKT_CAP",Database!$H171,Database!$H171)</f>
        <v/>
      </c>
      <c r="N171" s="166">
        <f>Database!Q171</f>
        <v/>
      </c>
      <c r="O171" s="39">
        <f>BDH(TEXT(VALUE(Database!$A171),"0")&amp;" HK Equity","PE_RATIO",Database!$H171,Database!$H171)</f>
        <v/>
      </c>
      <c r="P171" s="199">
        <f>IF(Database!BH171="","(n/m or not derivable)",Database!BH171)</f>
        <v/>
      </c>
      <c r="Q171" s="39">
        <f>IF(Database!BN171="","",BDH(LEFT(Database!BN171,FIND(".",Database!BN171)-1)&amp;" CH Equity","PE_RATIO",Database!$H171,Database!$H171))</f>
        <v/>
      </c>
      <c r="R171" s="39">
        <f>IF(Database!BN171="","",BDH("HSAHP Index","PX_LAST",Database!$H171,Database!$H171))</f>
        <v/>
      </c>
      <c r="S171" s="39">
        <f>IFERROR(BDP(TEXT(VALUE(Database!$A171),"0")&amp;" HK Equity","PX_TO_SALES_RATIO"),"")</f>
        <v/>
      </c>
      <c r="T171" s="34">
        <f>IF(Database!BN171="","",IFERROR(BDP(LEFT(Database!BN171,FIND(".",Database!BN171)-1)&amp;" CH Equity","CUR_MKT_CAP")*BDP("CNYHKD Curncy","PX_LAST"),"Awaiting quote"))</f>
        <v/>
      </c>
    </row>
    <row r="172" ht="23" customHeight="1">
      <c r="A172" s="32">
        <f>Database!A172&amp;"  "&amp;Database!B172</f>
        <v/>
      </c>
      <c r="B172" s="24">
        <f>IFERROR(INDEX(BDS(TEXT(VALUE(Database!$A172),"0")&amp;" HK Equity","EQUITY_OFFERINGS","array=t","endcol=1"),MATCH("IPO",BDS(TEXT(VALUE(Database!$A172),"0")&amp;" HK Equity","EQUITY_OFFERINGS","array=t","startcol=2","endcol=2"),0)),"")</f>
        <v/>
      </c>
      <c r="C172" s="208">
        <f>IF($B172="","",IFERROR(BDP($B172&amp;" Action","CP036"),""))</f>
        <v/>
      </c>
      <c r="D172" s="209">
        <f>Database!S172</f>
        <v/>
      </c>
      <c r="E172" s="208">
        <f>IF($B172="","",IFERROR(BDP($B172&amp;" Action","CP037"),""))</f>
        <v/>
      </c>
      <c r="F172" s="209">
        <f>Database!T172</f>
        <v/>
      </c>
      <c r="G172" s="208">
        <f>IF($B172="","",IFERROR(BDP($B172&amp;" Action","GREENSHOE_FACILITY"),""))</f>
        <v/>
      </c>
      <c r="H172" s="208">
        <f>IF($B172="","",IFERROR(BDP($B172&amp;" Action","OFFERING_GREENSHOE_SHARES_EX"),""))</f>
        <v/>
      </c>
      <c r="I172" s="32">
        <f>Database!AE172</f>
        <v/>
      </c>
      <c r="J172" s="39">
        <f>IFERROR(BDP(TEXT(VALUE(Database!$A172),"0")&amp;" HK Equity","PE_RATIO"),"")</f>
        <v/>
      </c>
      <c r="K172" s="24">
        <f>IFERROR(BDP(TEXT(VALUE(Database!$A172),"0")&amp;" HK Equity","A/H_SHARE_CONVERSION"),"")</f>
        <v/>
      </c>
      <c r="L172" s="32">
        <f>IF(Database!BN172="","(none found)",Database!BN172)</f>
        <v/>
      </c>
      <c r="M172" s="34">
        <f>BDH(TEXT(VALUE(Database!$A172),"0")&amp;" HK Equity","CUR_MKT_CAP",Database!$H172,Database!$H172)</f>
        <v/>
      </c>
      <c r="N172" s="166">
        <f>Database!Q172</f>
        <v/>
      </c>
      <c r="O172" s="39">
        <f>BDH(TEXT(VALUE(Database!$A172),"0")&amp;" HK Equity","PE_RATIO",Database!$H172,Database!$H172)</f>
        <v/>
      </c>
      <c r="P172" s="199">
        <f>IF(Database!BH172="","(n/m or not derivable)",Database!BH172)</f>
        <v/>
      </c>
      <c r="Q172" s="39">
        <f>IF(Database!BN172="","",BDH(LEFT(Database!BN172,FIND(".",Database!BN172)-1)&amp;" CH Equity","PE_RATIO",Database!$H172,Database!$H172))</f>
        <v/>
      </c>
      <c r="R172" s="39">
        <f>IF(Database!BN172="","",BDH("HSAHP Index","PX_LAST",Database!$H172,Database!$H172))</f>
        <v/>
      </c>
      <c r="S172" s="39">
        <f>IFERROR(BDP(TEXT(VALUE(Database!$A172),"0")&amp;" HK Equity","PX_TO_SALES_RATIO"),"")</f>
        <v/>
      </c>
      <c r="T172" s="34">
        <f>IF(Database!BN172="","",IFERROR(BDP(LEFT(Database!BN172,FIND(".",Database!BN172)-1)&amp;" CH Equity","CUR_MKT_CAP")*BDP("CNYHKD Curncy","PX_LAST"),"Awaiting quote"))</f>
        <v/>
      </c>
    </row>
    <row r="173" ht="23" customHeight="1">
      <c r="A173" s="32">
        <f>Database!A173&amp;"  "&amp;Database!B173</f>
        <v/>
      </c>
      <c r="B173" s="24">
        <f>IFERROR(INDEX(BDS(TEXT(VALUE(Database!$A173),"0")&amp;" HK Equity","EQUITY_OFFERINGS","array=t","endcol=1"),MATCH("IPO",BDS(TEXT(VALUE(Database!$A173),"0")&amp;" HK Equity","EQUITY_OFFERINGS","array=t","startcol=2","endcol=2"),0)),"")</f>
        <v/>
      </c>
      <c r="C173" s="208">
        <f>IF($B173="","",IFERROR(BDP($B173&amp;" Action","CP036"),""))</f>
        <v/>
      </c>
      <c r="D173" s="209">
        <f>Database!S173</f>
        <v/>
      </c>
      <c r="E173" s="208">
        <f>IF($B173="","",IFERROR(BDP($B173&amp;" Action","CP037"),""))</f>
        <v/>
      </c>
      <c r="F173" s="209">
        <f>Database!T173</f>
        <v/>
      </c>
      <c r="G173" s="208">
        <f>IF($B173="","",IFERROR(BDP($B173&amp;" Action","GREENSHOE_FACILITY"),""))</f>
        <v/>
      </c>
      <c r="H173" s="208">
        <f>IF($B173="","",IFERROR(BDP($B173&amp;" Action","OFFERING_GREENSHOE_SHARES_EX"),""))</f>
        <v/>
      </c>
      <c r="I173" s="32">
        <f>Database!AE173</f>
        <v/>
      </c>
      <c r="J173" s="39">
        <f>IFERROR(BDP(TEXT(VALUE(Database!$A173),"0")&amp;" HK Equity","PE_RATIO"),"")</f>
        <v/>
      </c>
      <c r="K173" s="24">
        <f>IFERROR(BDP(TEXT(VALUE(Database!$A173),"0")&amp;" HK Equity","A/H_SHARE_CONVERSION"),"")</f>
        <v/>
      </c>
      <c r="L173" s="32">
        <f>IF(Database!BN173="","(none found)",Database!BN173)</f>
        <v/>
      </c>
      <c r="M173" s="34">
        <f>BDH(TEXT(VALUE(Database!$A173),"0")&amp;" HK Equity","CUR_MKT_CAP",Database!$H173,Database!$H173)</f>
        <v/>
      </c>
      <c r="N173" s="166">
        <f>Database!Q173</f>
        <v/>
      </c>
      <c r="O173" s="39">
        <f>BDH(TEXT(VALUE(Database!$A173),"0")&amp;" HK Equity","PE_RATIO",Database!$H173,Database!$H173)</f>
        <v/>
      </c>
      <c r="P173" s="199">
        <f>IF(Database!BH173="","(n/m or not derivable)",Database!BH173)</f>
        <v/>
      </c>
      <c r="Q173" s="39">
        <f>IF(Database!BN173="","",BDH(LEFT(Database!BN173,FIND(".",Database!BN173)-1)&amp;" CH Equity","PE_RATIO",Database!$H173,Database!$H173))</f>
        <v/>
      </c>
      <c r="R173" s="39">
        <f>IF(Database!BN173="","",BDH("HSAHP Index","PX_LAST",Database!$H173,Database!$H173))</f>
        <v/>
      </c>
      <c r="S173" s="39">
        <f>IFERROR(BDP(TEXT(VALUE(Database!$A173),"0")&amp;" HK Equity","PX_TO_SALES_RATIO"),"")</f>
        <v/>
      </c>
      <c r="T173" s="34">
        <f>IF(Database!BN173="","",IFERROR(BDP(LEFT(Database!BN173,FIND(".",Database!BN173)-1)&amp;" CH Equity","CUR_MKT_CAP")*BDP("CNYHKD Curncy","PX_LAST"),"Awaiting quote"))</f>
        <v/>
      </c>
    </row>
    <row r="174" ht="23" customHeight="1">
      <c r="A174" s="32">
        <f>Database!A174&amp;"  "&amp;Database!B174</f>
        <v/>
      </c>
      <c r="B174" s="24">
        <f>IFERROR(INDEX(BDS(TEXT(VALUE(Database!$A174),"0")&amp;" HK Equity","EQUITY_OFFERINGS","array=t","endcol=1"),MATCH("IPO",BDS(TEXT(VALUE(Database!$A174),"0")&amp;" HK Equity","EQUITY_OFFERINGS","array=t","startcol=2","endcol=2"),0)),"")</f>
        <v/>
      </c>
      <c r="C174" s="208">
        <f>IF($B174="","",IFERROR(BDP($B174&amp;" Action","CP036"),""))</f>
        <v/>
      </c>
      <c r="D174" s="209">
        <f>Database!S174</f>
        <v/>
      </c>
      <c r="E174" s="208">
        <f>IF($B174="","",IFERROR(BDP($B174&amp;" Action","CP037"),""))</f>
        <v/>
      </c>
      <c r="F174" s="209">
        <f>Database!T174</f>
        <v/>
      </c>
      <c r="G174" s="208">
        <f>IF($B174="","",IFERROR(BDP($B174&amp;" Action","GREENSHOE_FACILITY"),""))</f>
        <v/>
      </c>
      <c r="H174" s="208">
        <f>IF($B174="","",IFERROR(BDP($B174&amp;" Action","OFFERING_GREENSHOE_SHARES_EX"),""))</f>
        <v/>
      </c>
      <c r="I174" s="32">
        <f>Database!AE174</f>
        <v/>
      </c>
      <c r="J174" s="39">
        <f>IFERROR(BDP(TEXT(VALUE(Database!$A174),"0")&amp;" HK Equity","PE_RATIO"),"")</f>
        <v/>
      </c>
      <c r="K174" s="24">
        <f>IFERROR(BDP(TEXT(VALUE(Database!$A174),"0")&amp;" HK Equity","A/H_SHARE_CONVERSION"),"")</f>
        <v/>
      </c>
      <c r="L174" s="32">
        <f>IF(Database!BN174="","(none found)",Database!BN174)</f>
        <v/>
      </c>
      <c r="M174" s="34">
        <f>BDH(TEXT(VALUE(Database!$A174),"0")&amp;" HK Equity","CUR_MKT_CAP",Database!$H174,Database!$H174)</f>
        <v/>
      </c>
      <c r="N174" s="166">
        <f>Database!Q174</f>
        <v/>
      </c>
      <c r="O174" s="39">
        <f>BDH(TEXT(VALUE(Database!$A174),"0")&amp;" HK Equity","PE_RATIO",Database!$H174,Database!$H174)</f>
        <v/>
      </c>
      <c r="P174" s="199">
        <f>IF(Database!BH174="","(n/m or not derivable)",Database!BH174)</f>
        <v/>
      </c>
      <c r="Q174" s="39">
        <f>IF(Database!BN174="","",BDH(LEFT(Database!BN174,FIND(".",Database!BN174)-1)&amp;" CH Equity","PE_RATIO",Database!$H174,Database!$H174))</f>
        <v/>
      </c>
      <c r="R174" s="39">
        <f>IF(Database!BN174="","",BDH("HSAHP Index","PX_LAST",Database!$H174,Database!$H174))</f>
        <v/>
      </c>
      <c r="S174" s="39">
        <f>IFERROR(BDP(TEXT(VALUE(Database!$A174),"0")&amp;" HK Equity","PX_TO_SALES_RATIO"),"")</f>
        <v/>
      </c>
      <c r="T174" s="34">
        <f>IF(Database!BN174="","",IFERROR(BDP(LEFT(Database!BN174,FIND(".",Database!BN174)-1)&amp;" CH Equity","CUR_MKT_CAP")*BDP("CNYHKD Curncy","PX_LAST"),"Awaiting quote"))</f>
        <v/>
      </c>
    </row>
    <row r="175" ht="23" customHeight="1">
      <c r="A175" s="32">
        <f>Database!A175&amp;"  "&amp;Database!B175</f>
        <v/>
      </c>
      <c r="B175" s="24">
        <f>IFERROR(INDEX(BDS(TEXT(VALUE(Database!$A175),"0")&amp;" HK Equity","EQUITY_OFFERINGS","array=t","endcol=1"),MATCH("IPO",BDS(TEXT(VALUE(Database!$A175),"0")&amp;" HK Equity","EQUITY_OFFERINGS","array=t","startcol=2","endcol=2"),0)),"")</f>
        <v/>
      </c>
      <c r="C175" s="208">
        <f>IF($B175="","",IFERROR(BDP($B175&amp;" Action","CP036"),""))</f>
        <v/>
      </c>
      <c r="D175" s="209">
        <f>Database!S175</f>
        <v/>
      </c>
      <c r="E175" s="208">
        <f>IF($B175="","",IFERROR(BDP($B175&amp;" Action","CP037"),""))</f>
        <v/>
      </c>
      <c r="F175" s="209">
        <f>Database!T175</f>
        <v/>
      </c>
      <c r="G175" s="208">
        <f>IF($B175="","",IFERROR(BDP($B175&amp;" Action","GREENSHOE_FACILITY"),""))</f>
        <v/>
      </c>
      <c r="H175" s="208">
        <f>IF($B175="","",IFERROR(BDP($B175&amp;" Action","OFFERING_GREENSHOE_SHARES_EX"),""))</f>
        <v/>
      </c>
      <c r="I175" s="32">
        <f>Database!AE175</f>
        <v/>
      </c>
      <c r="J175" s="39">
        <f>IFERROR(BDP(TEXT(VALUE(Database!$A175),"0")&amp;" HK Equity","PE_RATIO"),"")</f>
        <v/>
      </c>
      <c r="K175" s="24">
        <f>IFERROR(BDP(TEXT(VALUE(Database!$A175),"0")&amp;" HK Equity","A/H_SHARE_CONVERSION"),"")</f>
        <v/>
      </c>
      <c r="L175" s="32">
        <f>IF(Database!BN175="","(none found)",Database!BN175)</f>
        <v/>
      </c>
      <c r="M175" s="34">
        <f>BDH(TEXT(VALUE(Database!$A175),"0")&amp;" HK Equity","CUR_MKT_CAP",Database!$H175,Database!$H175)</f>
        <v/>
      </c>
      <c r="N175" s="166">
        <f>Database!Q175</f>
        <v/>
      </c>
      <c r="O175" s="39">
        <f>BDH(TEXT(VALUE(Database!$A175),"0")&amp;" HK Equity","PE_RATIO",Database!$H175,Database!$H175)</f>
        <v/>
      </c>
      <c r="P175" s="199">
        <f>IF(Database!BH175="","(n/m or not derivable)",Database!BH175)</f>
        <v/>
      </c>
      <c r="Q175" s="39">
        <f>IF(Database!BN175="","",BDH(LEFT(Database!BN175,FIND(".",Database!BN175)-1)&amp;" CH Equity","PE_RATIO",Database!$H175,Database!$H175))</f>
        <v/>
      </c>
      <c r="R175" s="39">
        <f>IF(Database!BN175="","",BDH("HSAHP Index","PX_LAST",Database!$H175,Database!$H175))</f>
        <v/>
      </c>
      <c r="S175" s="39">
        <f>IFERROR(BDP(TEXT(VALUE(Database!$A175),"0")&amp;" HK Equity","PX_TO_SALES_RATIO"),"")</f>
        <v/>
      </c>
      <c r="T175" s="34">
        <f>IF(Database!BN175="","",IFERROR(BDP(LEFT(Database!BN175,FIND(".",Database!BN175)-1)&amp;" CH Equity","CUR_MKT_CAP")*BDP("CNYHKD Curncy","PX_LAST"),"Awaiting quote"))</f>
        <v/>
      </c>
    </row>
    <row r="176" ht="23" customHeight="1">
      <c r="A176" s="32">
        <f>Database!A176&amp;"  "&amp;Database!B176</f>
        <v/>
      </c>
      <c r="B176" s="24">
        <f>IFERROR(INDEX(BDS(TEXT(VALUE(Database!$A176),"0")&amp;" HK Equity","EQUITY_OFFERINGS","array=t","endcol=1"),MATCH("IPO",BDS(TEXT(VALUE(Database!$A176),"0")&amp;" HK Equity","EQUITY_OFFERINGS","array=t","startcol=2","endcol=2"),0)),"")</f>
        <v/>
      </c>
      <c r="C176" s="208">
        <f>IF($B176="","",IFERROR(BDP($B176&amp;" Action","CP036"),""))</f>
        <v/>
      </c>
      <c r="D176" s="209">
        <f>Database!S176</f>
        <v/>
      </c>
      <c r="E176" s="208">
        <f>IF($B176="","",IFERROR(BDP($B176&amp;" Action","CP037"),""))</f>
        <v/>
      </c>
      <c r="F176" s="209">
        <f>Database!T176</f>
        <v/>
      </c>
      <c r="G176" s="208">
        <f>IF($B176="","",IFERROR(BDP($B176&amp;" Action","GREENSHOE_FACILITY"),""))</f>
        <v/>
      </c>
      <c r="H176" s="208">
        <f>IF($B176="","",IFERROR(BDP($B176&amp;" Action","OFFERING_GREENSHOE_SHARES_EX"),""))</f>
        <v/>
      </c>
      <c r="I176" s="32">
        <f>Database!AE176</f>
        <v/>
      </c>
      <c r="J176" s="39">
        <f>IFERROR(BDP(TEXT(VALUE(Database!$A176),"0")&amp;" HK Equity","PE_RATIO"),"")</f>
        <v/>
      </c>
      <c r="K176" s="24">
        <f>IFERROR(BDP(TEXT(VALUE(Database!$A176),"0")&amp;" HK Equity","A/H_SHARE_CONVERSION"),"")</f>
        <v/>
      </c>
      <c r="L176" s="32">
        <f>IF(Database!BN176="","(none found)",Database!BN176)</f>
        <v/>
      </c>
      <c r="M176" s="34">
        <f>BDH(TEXT(VALUE(Database!$A176),"0")&amp;" HK Equity","CUR_MKT_CAP",Database!$H176,Database!$H176)</f>
        <v/>
      </c>
      <c r="N176" s="166">
        <f>Database!Q176</f>
        <v/>
      </c>
      <c r="O176" s="39">
        <f>BDH(TEXT(VALUE(Database!$A176),"0")&amp;" HK Equity","PE_RATIO",Database!$H176,Database!$H176)</f>
        <v/>
      </c>
      <c r="P176" s="199">
        <f>IF(Database!BH176="","(n/m or not derivable)",Database!BH176)</f>
        <v/>
      </c>
      <c r="Q176" s="39">
        <f>IF(Database!BN176="","",BDH(LEFT(Database!BN176,FIND(".",Database!BN176)-1)&amp;" CH Equity","PE_RATIO",Database!$H176,Database!$H176))</f>
        <v/>
      </c>
      <c r="R176" s="39">
        <f>IF(Database!BN176="","",BDH("HSAHP Index","PX_LAST",Database!$H176,Database!$H176))</f>
        <v/>
      </c>
      <c r="S176" s="39">
        <f>IFERROR(BDP(TEXT(VALUE(Database!$A176),"0")&amp;" HK Equity","PX_TO_SALES_RATIO"),"")</f>
        <v/>
      </c>
      <c r="T176" s="34">
        <f>IF(Database!BN176="","",IFERROR(BDP(LEFT(Database!BN176,FIND(".",Database!BN176)-1)&amp;" CH Equity","CUR_MKT_CAP")*BDP("CNYHKD Curncy","PX_LAST"),"Awaiting quote"))</f>
        <v/>
      </c>
    </row>
    <row r="177" ht="23" customHeight="1">
      <c r="A177" s="32">
        <f>Database!A177&amp;"  "&amp;Database!B177</f>
        <v/>
      </c>
      <c r="B177" s="24">
        <f>IFERROR(INDEX(BDS(TEXT(VALUE(Database!$A177),"0")&amp;" HK Equity","EQUITY_OFFERINGS","array=t","endcol=1"),MATCH("IPO",BDS(TEXT(VALUE(Database!$A177),"0")&amp;" HK Equity","EQUITY_OFFERINGS","array=t","startcol=2","endcol=2"),0)),"")</f>
        <v/>
      </c>
      <c r="C177" s="208">
        <f>IF($B177="","",IFERROR(BDP($B177&amp;" Action","CP036"),""))</f>
        <v/>
      </c>
      <c r="D177" s="209">
        <f>Database!S177</f>
        <v/>
      </c>
      <c r="E177" s="208">
        <f>IF($B177="","",IFERROR(BDP($B177&amp;" Action","CP037"),""))</f>
        <v/>
      </c>
      <c r="F177" s="209">
        <f>Database!T177</f>
        <v/>
      </c>
      <c r="G177" s="208">
        <f>IF($B177="","",IFERROR(BDP($B177&amp;" Action","GREENSHOE_FACILITY"),""))</f>
        <v/>
      </c>
      <c r="H177" s="208">
        <f>IF($B177="","",IFERROR(BDP($B177&amp;" Action","OFFERING_GREENSHOE_SHARES_EX"),""))</f>
        <v/>
      </c>
      <c r="I177" s="32">
        <f>Database!AE177</f>
        <v/>
      </c>
      <c r="J177" s="39">
        <f>IFERROR(BDP(TEXT(VALUE(Database!$A177),"0")&amp;" HK Equity","PE_RATIO"),"")</f>
        <v/>
      </c>
      <c r="K177" s="24">
        <f>IFERROR(BDP(TEXT(VALUE(Database!$A177),"0")&amp;" HK Equity","A/H_SHARE_CONVERSION"),"")</f>
        <v/>
      </c>
      <c r="L177" s="32">
        <f>IF(Database!BN177="","(none found)",Database!BN177)</f>
        <v/>
      </c>
      <c r="M177" s="34">
        <f>BDH(TEXT(VALUE(Database!$A177),"0")&amp;" HK Equity","CUR_MKT_CAP",Database!$H177,Database!$H177)</f>
        <v/>
      </c>
      <c r="N177" s="166">
        <f>Database!Q177</f>
        <v/>
      </c>
      <c r="O177" s="39">
        <f>BDH(TEXT(VALUE(Database!$A177),"0")&amp;" HK Equity","PE_RATIO",Database!$H177,Database!$H177)</f>
        <v/>
      </c>
      <c r="P177" s="199">
        <f>IF(Database!BH177="","(n/m or not derivable)",Database!BH177)</f>
        <v/>
      </c>
      <c r="Q177" s="39">
        <f>IF(Database!BN177="","",BDH(LEFT(Database!BN177,FIND(".",Database!BN177)-1)&amp;" CH Equity","PE_RATIO",Database!$H177,Database!$H177))</f>
        <v/>
      </c>
      <c r="R177" s="39">
        <f>IF(Database!BN177="","",BDH("HSAHP Index","PX_LAST",Database!$H177,Database!$H177))</f>
        <v/>
      </c>
      <c r="S177" s="39">
        <f>IFERROR(BDP(TEXT(VALUE(Database!$A177),"0")&amp;" HK Equity","PX_TO_SALES_RATIO"),"")</f>
        <v/>
      </c>
      <c r="T177" s="34">
        <f>IF(Database!BN177="","",IFERROR(BDP(LEFT(Database!BN177,FIND(".",Database!BN177)-1)&amp;" CH Equity","CUR_MKT_CAP")*BDP("CNYHKD Curncy","PX_LAST"),"Awaiting quote"))</f>
        <v/>
      </c>
    </row>
    <row r="178" ht="23" customHeight="1">
      <c r="A178" s="32">
        <f>Database!A178&amp;"  "&amp;Database!B178</f>
        <v/>
      </c>
      <c r="B178" s="24">
        <f>IFERROR(INDEX(BDS(TEXT(VALUE(Database!$A178),"0")&amp;" HK Equity","EQUITY_OFFERINGS","array=t","endcol=1"),MATCH("IPO",BDS(TEXT(VALUE(Database!$A178),"0")&amp;" HK Equity","EQUITY_OFFERINGS","array=t","startcol=2","endcol=2"),0)),"")</f>
        <v/>
      </c>
      <c r="C178" s="208">
        <f>IF($B178="","",IFERROR(BDP($B178&amp;" Action","CP036"),""))</f>
        <v/>
      </c>
      <c r="D178" s="209">
        <f>Database!S178</f>
        <v/>
      </c>
      <c r="E178" s="208">
        <f>IF($B178="","",IFERROR(BDP($B178&amp;" Action","CP037"),""))</f>
        <v/>
      </c>
      <c r="F178" s="209">
        <f>Database!T178</f>
        <v/>
      </c>
      <c r="G178" s="208">
        <f>IF($B178="","",IFERROR(BDP($B178&amp;" Action","GREENSHOE_FACILITY"),""))</f>
        <v/>
      </c>
      <c r="H178" s="208">
        <f>IF($B178="","",IFERROR(BDP($B178&amp;" Action","OFFERING_GREENSHOE_SHARES_EX"),""))</f>
        <v/>
      </c>
      <c r="I178" s="32">
        <f>Database!AE178</f>
        <v/>
      </c>
      <c r="J178" s="39">
        <f>IFERROR(BDP(TEXT(VALUE(Database!$A178),"0")&amp;" HK Equity","PE_RATIO"),"")</f>
        <v/>
      </c>
      <c r="K178" s="24">
        <f>IFERROR(BDP(TEXT(VALUE(Database!$A178),"0")&amp;" HK Equity","A/H_SHARE_CONVERSION"),"")</f>
        <v/>
      </c>
      <c r="L178" s="32">
        <f>IF(Database!BN178="","(none found)",Database!BN178)</f>
        <v/>
      </c>
      <c r="M178" s="34">
        <f>BDH(TEXT(VALUE(Database!$A178),"0")&amp;" HK Equity","CUR_MKT_CAP",Database!$H178,Database!$H178)</f>
        <v/>
      </c>
      <c r="N178" s="166">
        <f>Database!Q178</f>
        <v/>
      </c>
      <c r="O178" s="39">
        <f>BDH(TEXT(VALUE(Database!$A178),"0")&amp;" HK Equity","PE_RATIO",Database!$H178,Database!$H178)</f>
        <v/>
      </c>
      <c r="P178" s="199">
        <f>IF(Database!BH178="","(n/m or not derivable)",Database!BH178)</f>
        <v/>
      </c>
      <c r="Q178" s="39">
        <f>IF(Database!BN178="","",BDH(LEFT(Database!BN178,FIND(".",Database!BN178)-1)&amp;" CH Equity","PE_RATIO",Database!$H178,Database!$H178))</f>
        <v/>
      </c>
      <c r="R178" s="39">
        <f>IF(Database!BN178="","",BDH("HSAHP Index","PX_LAST",Database!$H178,Database!$H178))</f>
        <v/>
      </c>
      <c r="S178" s="39">
        <f>IFERROR(BDP(TEXT(VALUE(Database!$A178),"0")&amp;" HK Equity","PX_TO_SALES_RATIO"),"")</f>
        <v/>
      </c>
      <c r="T178" s="34">
        <f>IF(Database!BN178="","",IFERROR(BDP(LEFT(Database!BN178,FIND(".",Database!BN178)-1)&amp;" CH Equity","CUR_MKT_CAP")*BDP("CNYHKD Curncy","PX_LAST"),"Awaiting quote"))</f>
        <v/>
      </c>
    </row>
    <row r="179" ht="23" customHeight="1">
      <c r="A179" s="32">
        <f>Database!A179&amp;"  "&amp;Database!B179</f>
        <v/>
      </c>
      <c r="B179" s="24">
        <f>IFERROR(INDEX(BDS(TEXT(VALUE(Database!$A179),"0")&amp;" HK Equity","EQUITY_OFFERINGS","array=t","endcol=1"),MATCH("IPO",BDS(TEXT(VALUE(Database!$A179),"0")&amp;" HK Equity","EQUITY_OFFERINGS","array=t","startcol=2","endcol=2"),0)),"")</f>
        <v/>
      </c>
      <c r="C179" s="208">
        <f>IF($B179="","",IFERROR(BDP($B179&amp;" Action","CP036"),""))</f>
        <v/>
      </c>
      <c r="D179" s="209">
        <f>Database!S179</f>
        <v/>
      </c>
      <c r="E179" s="208">
        <f>IF($B179="","",IFERROR(BDP($B179&amp;" Action","CP037"),""))</f>
        <v/>
      </c>
      <c r="F179" s="209">
        <f>Database!T179</f>
        <v/>
      </c>
      <c r="G179" s="208">
        <f>IF($B179="","",IFERROR(BDP($B179&amp;" Action","GREENSHOE_FACILITY"),""))</f>
        <v/>
      </c>
      <c r="H179" s="208">
        <f>IF($B179="","",IFERROR(BDP($B179&amp;" Action","OFFERING_GREENSHOE_SHARES_EX"),""))</f>
        <v/>
      </c>
      <c r="I179" s="32">
        <f>Database!AE179</f>
        <v/>
      </c>
      <c r="J179" s="39">
        <f>IFERROR(BDP(TEXT(VALUE(Database!$A179),"0")&amp;" HK Equity","PE_RATIO"),"")</f>
        <v/>
      </c>
      <c r="K179" s="24">
        <f>IFERROR(BDP(TEXT(VALUE(Database!$A179),"0")&amp;" HK Equity","A/H_SHARE_CONVERSION"),"")</f>
        <v/>
      </c>
      <c r="L179" s="32">
        <f>IF(Database!BN179="","(none found)",Database!BN179)</f>
        <v/>
      </c>
      <c r="M179" s="34">
        <f>BDH(TEXT(VALUE(Database!$A179),"0")&amp;" HK Equity","CUR_MKT_CAP",Database!$H179,Database!$H179)</f>
        <v/>
      </c>
      <c r="N179" s="166">
        <f>Database!Q179</f>
        <v/>
      </c>
      <c r="O179" s="39">
        <f>BDH(TEXT(VALUE(Database!$A179),"0")&amp;" HK Equity","PE_RATIO",Database!$H179,Database!$H179)</f>
        <v/>
      </c>
      <c r="P179" s="199">
        <f>IF(Database!BH179="","(n/m or not derivable)",Database!BH179)</f>
        <v/>
      </c>
      <c r="Q179" s="39">
        <f>IF(Database!BN179="","",BDH(LEFT(Database!BN179,FIND(".",Database!BN179)-1)&amp;" CH Equity","PE_RATIO",Database!$H179,Database!$H179))</f>
        <v/>
      </c>
      <c r="R179" s="39">
        <f>IF(Database!BN179="","",BDH("HSAHP Index","PX_LAST",Database!$H179,Database!$H179))</f>
        <v/>
      </c>
      <c r="S179" s="39">
        <f>IFERROR(BDP(TEXT(VALUE(Database!$A179),"0")&amp;" HK Equity","PX_TO_SALES_RATIO"),"")</f>
        <v/>
      </c>
      <c r="T179" s="34">
        <f>IF(Database!BN179="","",IFERROR(BDP(LEFT(Database!BN179,FIND(".",Database!BN179)-1)&amp;" CH Equity","CUR_MKT_CAP")*BDP("CNYHKD Curncy","PX_LAST"),"Awaiting quote"))</f>
        <v/>
      </c>
    </row>
    <row r="180" ht="23" customHeight="1">
      <c r="A180" s="32">
        <f>Database!A180&amp;"  "&amp;Database!B180</f>
        <v/>
      </c>
      <c r="B180" s="24">
        <f>IFERROR(INDEX(BDS(TEXT(VALUE(Database!$A180),"0")&amp;" HK Equity","EQUITY_OFFERINGS","array=t","endcol=1"),MATCH("IPO",BDS(TEXT(VALUE(Database!$A180),"0")&amp;" HK Equity","EQUITY_OFFERINGS","array=t","startcol=2","endcol=2"),0)),"")</f>
        <v/>
      </c>
      <c r="C180" s="208">
        <f>IF($B180="","",IFERROR(BDP($B180&amp;" Action","CP036"),""))</f>
        <v/>
      </c>
      <c r="D180" s="209">
        <f>Database!S180</f>
        <v/>
      </c>
      <c r="E180" s="208">
        <f>IF($B180="","",IFERROR(BDP($B180&amp;" Action","CP037"),""))</f>
        <v/>
      </c>
      <c r="F180" s="209">
        <f>Database!T180</f>
        <v/>
      </c>
      <c r="G180" s="208">
        <f>IF($B180="","",IFERROR(BDP($B180&amp;" Action","GREENSHOE_FACILITY"),""))</f>
        <v/>
      </c>
      <c r="H180" s="208">
        <f>IF($B180="","",IFERROR(BDP($B180&amp;" Action","OFFERING_GREENSHOE_SHARES_EX"),""))</f>
        <v/>
      </c>
      <c r="I180" s="32">
        <f>Database!AE180</f>
        <v/>
      </c>
      <c r="J180" s="39">
        <f>IFERROR(BDP(TEXT(VALUE(Database!$A180),"0")&amp;" HK Equity","PE_RATIO"),"")</f>
        <v/>
      </c>
      <c r="K180" s="24">
        <f>IFERROR(BDP(TEXT(VALUE(Database!$A180),"0")&amp;" HK Equity","A/H_SHARE_CONVERSION"),"")</f>
        <v/>
      </c>
      <c r="L180" s="32">
        <f>IF(Database!BN180="","(none found)",Database!BN180)</f>
        <v/>
      </c>
      <c r="M180" s="34">
        <f>BDH(TEXT(VALUE(Database!$A180),"0")&amp;" HK Equity","CUR_MKT_CAP",Database!$H180,Database!$H180)</f>
        <v/>
      </c>
      <c r="N180" s="166">
        <f>Database!Q180</f>
        <v/>
      </c>
      <c r="O180" s="39">
        <f>BDH(TEXT(VALUE(Database!$A180),"0")&amp;" HK Equity","PE_RATIO",Database!$H180,Database!$H180)</f>
        <v/>
      </c>
      <c r="P180" s="199">
        <f>IF(Database!BH180="","(n/m or not derivable)",Database!BH180)</f>
        <v/>
      </c>
      <c r="Q180" s="39">
        <f>IF(Database!BN180="","",BDH(LEFT(Database!BN180,FIND(".",Database!BN180)-1)&amp;" CH Equity","PE_RATIO",Database!$H180,Database!$H180))</f>
        <v/>
      </c>
      <c r="R180" s="39">
        <f>IF(Database!BN180="","",BDH("HSAHP Index","PX_LAST",Database!$H180,Database!$H180))</f>
        <v/>
      </c>
      <c r="S180" s="39">
        <f>IFERROR(BDP(TEXT(VALUE(Database!$A180),"0")&amp;" HK Equity","PX_TO_SALES_RATIO"),"")</f>
        <v/>
      </c>
      <c r="T180" s="34">
        <f>IF(Database!BN180="","",IFERROR(BDP(LEFT(Database!BN180,FIND(".",Database!BN180)-1)&amp;" CH Equity","CUR_MKT_CAP")*BDP("CNYHKD Curncy","PX_LAST"),"Awaiting quote"))</f>
        <v/>
      </c>
    </row>
    <row r="181" ht="23" customHeight="1">
      <c r="A181" s="32">
        <f>Database!A181&amp;"  "&amp;Database!B181</f>
        <v/>
      </c>
      <c r="B181" s="24">
        <f>IFERROR(INDEX(BDS(TEXT(VALUE(Database!$A181),"0")&amp;" HK Equity","EQUITY_OFFERINGS","array=t","endcol=1"),MATCH("IPO",BDS(TEXT(VALUE(Database!$A181),"0")&amp;" HK Equity","EQUITY_OFFERINGS","array=t","startcol=2","endcol=2"),0)),"")</f>
        <v/>
      </c>
      <c r="C181" s="208">
        <f>IF($B181="","",IFERROR(BDP($B181&amp;" Action","CP036"),""))</f>
        <v/>
      </c>
      <c r="D181" s="209">
        <f>Database!S181</f>
        <v/>
      </c>
      <c r="E181" s="208">
        <f>IF($B181="","",IFERROR(BDP($B181&amp;" Action","CP037"),""))</f>
        <v/>
      </c>
      <c r="F181" s="209">
        <f>Database!T181</f>
        <v/>
      </c>
      <c r="G181" s="208">
        <f>IF($B181="","",IFERROR(BDP($B181&amp;" Action","GREENSHOE_FACILITY"),""))</f>
        <v/>
      </c>
      <c r="H181" s="208">
        <f>IF($B181="","",IFERROR(BDP($B181&amp;" Action","OFFERING_GREENSHOE_SHARES_EX"),""))</f>
        <v/>
      </c>
      <c r="I181" s="32">
        <f>Database!AE181</f>
        <v/>
      </c>
      <c r="J181" s="39">
        <f>IFERROR(BDP(TEXT(VALUE(Database!$A181),"0")&amp;" HK Equity","PE_RATIO"),"")</f>
        <v/>
      </c>
      <c r="K181" s="24">
        <f>IFERROR(BDP(TEXT(VALUE(Database!$A181),"0")&amp;" HK Equity","A/H_SHARE_CONVERSION"),"")</f>
        <v/>
      </c>
      <c r="L181" s="32">
        <f>IF(Database!BN181="","(none found)",Database!BN181)</f>
        <v/>
      </c>
      <c r="M181" s="34">
        <f>BDH(TEXT(VALUE(Database!$A181),"0")&amp;" HK Equity","CUR_MKT_CAP",Database!$H181,Database!$H181)</f>
        <v/>
      </c>
      <c r="N181" s="166">
        <f>Database!Q181</f>
        <v/>
      </c>
      <c r="O181" s="39">
        <f>BDH(TEXT(VALUE(Database!$A181),"0")&amp;" HK Equity","PE_RATIO",Database!$H181,Database!$H181)</f>
        <v/>
      </c>
      <c r="P181" s="199">
        <f>IF(Database!BH181="","(n/m or not derivable)",Database!BH181)</f>
        <v/>
      </c>
      <c r="Q181" s="39">
        <f>IF(Database!BN181="","",BDH(LEFT(Database!BN181,FIND(".",Database!BN181)-1)&amp;" CH Equity","PE_RATIO",Database!$H181,Database!$H181))</f>
        <v/>
      </c>
      <c r="R181" s="39">
        <f>IF(Database!BN181="","",BDH("HSAHP Index","PX_LAST",Database!$H181,Database!$H181))</f>
        <v/>
      </c>
      <c r="S181" s="39">
        <f>IFERROR(BDP(TEXT(VALUE(Database!$A181),"0")&amp;" HK Equity","PX_TO_SALES_RATIO"),"")</f>
        <v/>
      </c>
      <c r="T181" s="34">
        <f>IF(Database!BN181="","",IFERROR(BDP(LEFT(Database!BN181,FIND(".",Database!BN181)-1)&amp;" CH Equity","CUR_MKT_CAP")*BDP("CNYHKD Curncy","PX_LAST"),"Awaiting quote"))</f>
        <v/>
      </c>
    </row>
    <row r="182" ht="23" customHeight="1">
      <c r="A182" s="32">
        <f>Database!A182&amp;"  "&amp;Database!B182</f>
        <v/>
      </c>
      <c r="B182" s="24">
        <f>IFERROR(INDEX(BDS(TEXT(VALUE(Database!$A182),"0")&amp;" HK Equity","EQUITY_OFFERINGS","array=t","endcol=1"),MATCH("IPO",BDS(TEXT(VALUE(Database!$A182),"0")&amp;" HK Equity","EQUITY_OFFERINGS","array=t","startcol=2","endcol=2"),0)),"")</f>
        <v/>
      </c>
      <c r="C182" s="208">
        <f>IF($B182="","",IFERROR(BDP($B182&amp;" Action","CP036"),""))</f>
        <v/>
      </c>
      <c r="D182" s="209">
        <f>Database!S182</f>
        <v/>
      </c>
      <c r="E182" s="208">
        <f>IF($B182="","",IFERROR(BDP($B182&amp;" Action","CP037"),""))</f>
        <v/>
      </c>
      <c r="F182" s="209">
        <f>Database!T182</f>
        <v/>
      </c>
      <c r="G182" s="208">
        <f>IF($B182="","",IFERROR(BDP($B182&amp;" Action","GREENSHOE_FACILITY"),""))</f>
        <v/>
      </c>
      <c r="H182" s="208">
        <f>IF($B182="","",IFERROR(BDP($B182&amp;" Action","OFFERING_GREENSHOE_SHARES_EX"),""))</f>
        <v/>
      </c>
      <c r="I182" s="32">
        <f>Database!AE182</f>
        <v/>
      </c>
      <c r="J182" s="39">
        <f>IFERROR(BDP(TEXT(VALUE(Database!$A182),"0")&amp;" HK Equity","PE_RATIO"),"")</f>
        <v/>
      </c>
      <c r="K182" s="24">
        <f>IFERROR(BDP(TEXT(VALUE(Database!$A182),"0")&amp;" HK Equity","A/H_SHARE_CONVERSION"),"")</f>
        <v/>
      </c>
      <c r="L182" s="32">
        <f>IF(Database!BN182="","(none found)",Database!BN182)</f>
        <v/>
      </c>
      <c r="M182" s="34">
        <f>BDH(TEXT(VALUE(Database!$A182),"0")&amp;" HK Equity","CUR_MKT_CAP",Database!$H182,Database!$H182)</f>
        <v/>
      </c>
      <c r="N182" s="166">
        <f>Database!Q182</f>
        <v/>
      </c>
      <c r="O182" s="39">
        <f>BDH(TEXT(VALUE(Database!$A182),"0")&amp;" HK Equity","PE_RATIO",Database!$H182,Database!$H182)</f>
        <v/>
      </c>
      <c r="P182" s="199">
        <f>IF(Database!BH182="","(n/m or not derivable)",Database!BH182)</f>
        <v/>
      </c>
      <c r="Q182" s="39">
        <f>IF(Database!BN182="","",BDH(LEFT(Database!BN182,FIND(".",Database!BN182)-1)&amp;" CH Equity","PE_RATIO",Database!$H182,Database!$H182))</f>
        <v/>
      </c>
      <c r="R182" s="39">
        <f>IF(Database!BN182="","",BDH("HSAHP Index","PX_LAST",Database!$H182,Database!$H182))</f>
        <v/>
      </c>
      <c r="S182" s="39">
        <f>IFERROR(BDP(TEXT(VALUE(Database!$A182),"0")&amp;" HK Equity","PX_TO_SALES_RATIO"),"")</f>
        <v/>
      </c>
      <c r="T182" s="34">
        <f>IF(Database!BN182="","",IFERROR(BDP(LEFT(Database!BN182,FIND(".",Database!BN182)-1)&amp;" CH Equity","CUR_MKT_CAP")*BDP("CNYHKD Curncy","PX_LAST"),"Awaiting quote"))</f>
        <v/>
      </c>
    </row>
    <row r="183" ht="23" customHeight="1">
      <c r="A183" s="32">
        <f>Database!A183&amp;"  "&amp;Database!B183</f>
        <v/>
      </c>
      <c r="B183" s="24">
        <f>IFERROR(INDEX(BDS(TEXT(VALUE(Database!$A183),"0")&amp;" HK Equity","EQUITY_OFFERINGS","array=t","endcol=1"),MATCH("IPO",BDS(TEXT(VALUE(Database!$A183),"0")&amp;" HK Equity","EQUITY_OFFERINGS","array=t","startcol=2","endcol=2"),0)),"")</f>
        <v/>
      </c>
      <c r="C183" s="208">
        <f>IF($B183="","",IFERROR(BDP($B183&amp;" Action","CP036"),""))</f>
        <v/>
      </c>
      <c r="D183" s="209">
        <f>Database!S183</f>
        <v/>
      </c>
      <c r="E183" s="208">
        <f>IF($B183="","",IFERROR(BDP($B183&amp;" Action","CP037"),""))</f>
        <v/>
      </c>
      <c r="F183" s="209">
        <f>Database!T183</f>
        <v/>
      </c>
      <c r="G183" s="208">
        <f>IF($B183="","",IFERROR(BDP($B183&amp;" Action","GREENSHOE_FACILITY"),""))</f>
        <v/>
      </c>
      <c r="H183" s="208">
        <f>IF($B183="","",IFERROR(BDP($B183&amp;" Action","OFFERING_GREENSHOE_SHARES_EX"),""))</f>
        <v/>
      </c>
      <c r="I183" s="32">
        <f>Database!AE183</f>
        <v/>
      </c>
      <c r="J183" s="39">
        <f>IFERROR(BDP(TEXT(VALUE(Database!$A183),"0")&amp;" HK Equity","PE_RATIO"),"")</f>
        <v/>
      </c>
      <c r="K183" s="24">
        <f>IFERROR(BDP(TEXT(VALUE(Database!$A183),"0")&amp;" HK Equity","A/H_SHARE_CONVERSION"),"")</f>
        <v/>
      </c>
      <c r="L183" s="32">
        <f>IF(Database!BN183="","(none found)",Database!BN183)</f>
        <v/>
      </c>
      <c r="M183" s="34">
        <f>BDH(TEXT(VALUE(Database!$A183),"0")&amp;" HK Equity","CUR_MKT_CAP",Database!$H183,Database!$H183)</f>
        <v/>
      </c>
      <c r="N183" s="166">
        <f>Database!Q183</f>
        <v/>
      </c>
      <c r="O183" s="39">
        <f>BDH(TEXT(VALUE(Database!$A183),"0")&amp;" HK Equity","PE_RATIO",Database!$H183,Database!$H183)</f>
        <v/>
      </c>
      <c r="P183" s="199">
        <f>IF(Database!BH183="","(n/m or not derivable)",Database!BH183)</f>
        <v/>
      </c>
      <c r="Q183" s="39">
        <f>IF(Database!BN183="","",BDH(LEFT(Database!BN183,FIND(".",Database!BN183)-1)&amp;" CH Equity","PE_RATIO",Database!$H183,Database!$H183))</f>
        <v/>
      </c>
      <c r="R183" s="39">
        <f>IF(Database!BN183="","",BDH("HSAHP Index","PX_LAST",Database!$H183,Database!$H183))</f>
        <v/>
      </c>
      <c r="S183" s="39">
        <f>IFERROR(BDP(TEXT(VALUE(Database!$A183),"0")&amp;" HK Equity","PX_TO_SALES_RATIO"),"")</f>
        <v/>
      </c>
      <c r="T183" s="34">
        <f>IF(Database!BN183="","",IFERROR(BDP(LEFT(Database!BN183,FIND(".",Database!BN183)-1)&amp;" CH Equity","CUR_MKT_CAP")*BDP("CNYHKD Curncy","PX_LAST"),"Awaiting quote"))</f>
        <v/>
      </c>
    </row>
    <row r="184" ht="23" customHeight="1">
      <c r="A184" s="32">
        <f>Database!A184&amp;"  "&amp;Database!B184</f>
        <v/>
      </c>
      <c r="B184" s="24">
        <f>IFERROR(INDEX(BDS(TEXT(VALUE(Database!$A184),"0")&amp;" HK Equity","EQUITY_OFFERINGS","array=t","endcol=1"),MATCH("IPO",BDS(TEXT(VALUE(Database!$A184),"0")&amp;" HK Equity","EQUITY_OFFERINGS","array=t","startcol=2","endcol=2"),0)),"")</f>
        <v/>
      </c>
      <c r="C184" s="208">
        <f>IF($B184="","",IFERROR(BDP($B184&amp;" Action","CP036"),""))</f>
        <v/>
      </c>
      <c r="D184" s="209">
        <f>Database!S184</f>
        <v/>
      </c>
      <c r="E184" s="208">
        <f>IF($B184="","",IFERROR(BDP($B184&amp;" Action","CP037"),""))</f>
        <v/>
      </c>
      <c r="F184" s="209">
        <f>Database!T184</f>
        <v/>
      </c>
      <c r="G184" s="208">
        <f>IF($B184="","",IFERROR(BDP($B184&amp;" Action","GREENSHOE_FACILITY"),""))</f>
        <v/>
      </c>
      <c r="H184" s="208">
        <f>IF($B184="","",IFERROR(BDP($B184&amp;" Action","OFFERING_GREENSHOE_SHARES_EX"),""))</f>
        <v/>
      </c>
      <c r="I184" s="32">
        <f>Database!AE184</f>
        <v/>
      </c>
      <c r="J184" s="39">
        <f>IFERROR(BDP(TEXT(VALUE(Database!$A184),"0")&amp;" HK Equity","PE_RATIO"),"")</f>
        <v/>
      </c>
      <c r="K184" s="24">
        <f>IFERROR(BDP(TEXT(VALUE(Database!$A184),"0")&amp;" HK Equity","A/H_SHARE_CONVERSION"),"")</f>
        <v/>
      </c>
      <c r="L184" s="32">
        <f>IF(Database!BN184="","(none found)",Database!BN184)</f>
        <v/>
      </c>
      <c r="M184" s="34">
        <f>BDH(TEXT(VALUE(Database!$A184),"0")&amp;" HK Equity","CUR_MKT_CAP",Database!$H184,Database!$H184)</f>
        <v/>
      </c>
      <c r="N184" s="166">
        <f>Database!Q184</f>
        <v/>
      </c>
      <c r="O184" s="39">
        <f>BDH(TEXT(VALUE(Database!$A184),"0")&amp;" HK Equity","PE_RATIO",Database!$H184,Database!$H184)</f>
        <v/>
      </c>
      <c r="P184" s="199">
        <f>IF(Database!BH184="","(n/m or not derivable)",Database!BH184)</f>
        <v/>
      </c>
      <c r="Q184" s="39">
        <f>IF(Database!BN184="","",BDH(LEFT(Database!BN184,FIND(".",Database!BN184)-1)&amp;" CH Equity","PE_RATIO",Database!$H184,Database!$H184))</f>
        <v/>
      </c>
      <c r="R184" s="39">
        <f>IF(Database!BN184="","",BDH("HSAHP Index","PX_LAST",Database!$H184,Database!$H184))</f>
        <v/>
      </c>
      <c r="S184" s="39">
        <f>IFERROR(BDP(TEXT(VALUE(Database!$A184),"0")&amp;" HK Equity","PX_TO_SALES_RATIO"),"")</f>
        <v/>
      </c>
      <c r="T184" s="34">
        <f>IF(Database!BN184="","",IFERROR(BDP(LEFT(Database!BN184,FIND(".",Database!BN184)-1)&amp;" CH Equity","CUR_MKT_CAP")*BDP("CNYHKD Curncy","PX_LAST"),"Awaiting quote"))</f>
        <v/>
      </c>
    </row>
    <row r="185" ht="23" customHeight="1">
      <c r="A185" s="32">
        <f>Database!A185&amp;"  "&amp;Database!B185</f>
        <v/>
      </c>
      <c r="B185" s="24">
        <f>IFERROR(INDEX(BDS(TEXT(VALUE(Database!$A185),"0")&amp;" HK Equity","EQUITY_OFFERINGS","array=t","endcol=1"),MATCH("IPO",BDS(TEXT(VALUE(Database!$A185),"0")&amp;" HK Equity","EQUITY_OFFERINGS","array=t","startcol=2","endcol=2"),0)),"")</f>
        <v/>
      </c>
      <c r="C185" s="208">
        <f>IF($B185="","",IFERROR(BDP($B185&amp;" Action","CP036"),""))</f>
        <v/>
      </c>
      <c r="D185" s="209">
        <f>Database!S185</f>
        <v/>
      </c>
      <c r="E185" s="208">
        <f>IF($B185="","",IFERROR(BDP($B185&amp;" Action","CP037"),""))</f>
        <v/>
      </c>
      <c r="F185" s="209">
        <f>Database!T185</f>
        <v/>
      </c>
      <c r="G185" s="208">
        <f>IF($B185="","",IFERROR(BDP($B185&amp;" Action","GREENSHOE_FACILITY"),""))</f>
        <v/>
      </c>
      <c r="H185" s="208">
        <f>IF($B185="","",IFERROR(BDP($B185&amp;" Action","OFFERING_GREENSHOE_SHARES_EX"),""))</f>
        <v/>
      </c>
      <c r="I185" s="32">
        <f>Database!AE185</f>
        <v/>
      </c>
      <c r="J185" s="39">
        <f>IFERROR(BDP(TEXT(VALUE(Database!$A185),"0")&amp;" HK Equity","PE_RATIO"),"")</f>
        <v/>
      </c>
      <c r="K185" s="24">
        <f>IFERROR(BDP(TEXT(VALUE(Database!$A185),"0")&amp;" HK Equity","A/H_SHARE_CONVERSION"),"")</f>
        <v/>
      </c>
      <c r="L185" s="32">
        <f>IF(Database!BN185="","(none found)",Database!BN185)</f>
        <v/>
      </c>
      <c r="M185" s="34">
        <f>BDH(TEXT(VALUE(Database!$A185),"0")&amp;" HK Equity","CUR_MKT_CAP",Database!$H185,Database!$H185)</f>
        <v/>
      </c>
      <c r="N185" s="166">
        <f>Database!Q185</f>
        <v/>
      </c>
      <c r="O185" s="39">
        <f>BDH(TEXT(VALUE(Database!$A185),"0")&amp;" HK Equity","PE_RATIO",Database!$H185,Database!$H185)</f>
        <v/>
      </c>
      <c r="P185" s="199">
        <f>IF(Database!BH185="","(n/m or not derivable)",Database!BH185)</f>
        <v/>
      </c>
      <c r="Q185" s="39">
        <f>IF(Database!BN185="","",BDH(LEFT(Database!BN185,FIND(".",Database!BN185)-1)&amp;" CH Equity","PE_RATIO",Database!$H185,Database!$H185))</f>
        <v/>
      </c>
      <c r="R185" s="39">
        <f>IF(Database!BN185="","",BDH("HSAHP Index","PX_LAST",Database!$H185,Database!$H185))</f>
        <v/>
      </c>
      <c r="S185" s="39">
        <f>IFERROR(BDP(TEXT(VALUE(Database!$A185),"0")&amp;" HK Equity","PX_TO_SALES_RATIO"),"")</f>
        <v/>
      </c>
      <c r="T185" s="34">
        <f>IF(Database!BN185="","",IFERROR(BDP(LEFT(Database!BN185,FIND(".",Database!BN185)-1)&amp;" CH Equity","CUR_MKT_CAP")*BDP("CNYHKD Curncy","PX_LAST"),"Awaiting quote"))</f>
        <v/>
      </c>
    </row>
    <row r="186" ht="23" customHeight="1">
      <c r="A186" s="32">
        <f>Database!A186&amp;"  "&amp;Database!B186</f>
        <v/>
      </c>
      <c r="B186" s="24">
        <f>IFERROR(INDEX(BDS(TEXT(VALUE(Database!$A186),"0")&amp;" HK Equity","EQUITY_OFFERINGS","array=t","endcol=1"),MATCH("IPO",BDS(TEXT(VALUE(Database!$A186),"0")&amp;" HK Equity","EQUITY_OFFERINGS","array=t","startcol=2","endcol=2"),0)),"")</f>
        <v/>
      </c>
      <c r="C186" s="208">
        <f>IF($B186="","",IFERROR(BDP($B186&amp;" Action","CP036"),""))</f>
        <v/>
      </c>
      <c r="D186" s="209">
        <f>Database!S186</f>
        <v/>
      </c>
      <c r="E186" s="208">
        <f>IF($B186="","",IFERROR(BDP($B186&amp;" Action","CP037"),""))</f>
        <v/>
      </c>
      <c r="F186" s="209">
        <f>Database!T186</f>
        <v/>
      </c>
      <c r="G186" s="208">
        <f>IF($B186="","",IFERROR(BDP($B186&amp;" Action","GREENSHOE_FACILITY"),""))</f>
        <v/>
      </c>
      <c r="H186" s="208">
        <f>IF($B186="","",IFERROR(BDP($B186&amp;" Action","OFFERING_GREENSHOE_SHARES_EX"),""))</f>
        <v/>
      </c>
      <c r="I186" s="32">
        <f>Database!AE186</f>
        <v/>
      </c>
      <c r="J186" s="39">
        <f>IFERROR(BDP(TEXT(VALUE(Database!$A186),"0")&amp;" HK Equity","PE_RATIO"),"")</f>
        <v/>
      </c>
      <c r="K186" s="24">
        <f>IFERROR(BDP(TEXT(VALUE(Database!$A186),"0")&amp;" HK Equity","A/H_SHARE_CONVERSION"),"")</f>
        <v/>
      </c>
      <c r="L186" s="32">
        <f>IF(Database!BN186="","(none found)",Database!BN186)</f>
        <v/>
      </c>
      <c r="M186" s="34">
        <f>BDH(TEXT(VALUE(Database!$A186),"0")&amp;" HK Equity","CUR_MKT_CAP",Database!$H186,Database!$H186)</f>
        <v/>
      </c>
      <c r="N186" s="166">
        <f>Database!Q186</f>
        <v/>
      </c>
      <c r="O186" s="39">
        <f>BDH(TEXT(VALUE(Database!$A186),"0")&amp;" HK Equity","PE_RATIO",Database!$H186,Database!$H186)</f>
        <v/>
      </c>
      <c r="P186" s="199">
        <f>IF(Database!BH186="","(n/m or not derivable)",Database!BH186)</f>
        <v/>
      </c>
      <c r="Q186" s="39">
        <f>IF(Database!BN186="","",BDH(LEFT(Database!BN186,FIND(".",Database!BN186)-1)&amp;" CH Equity","PE_RATIO",Database!$H186,Database!$H186))</f>
        <v/>
      </c>
      <c r="R186" s="39">
        <f>IF(Database!BN186="","",BDH("HSAHP Index","PX_LAST",Database!$H186,Database!$H186))</f>
        <v/>
      </c>
      <c r="S186" s="39">
        <f>IFERROR(BDP(TEXT(VALUE(Database!$A186),"0")&amp;" HK Equity","PX_TO_SALES_RATIO"),"")</f>
        <v/>
      </c>
      <c r="T186" s="34">
        <f>IF(Database!BN186="","",IFERROR(BDP(LEFT(Database!BN186,FIND(".",Database!BN186)-1)&amp;" CH Equity","CUR_MKT_CAP")*BDP("CNYHKD Curncy","PX_LAST"),"Awaiting quote"))</f>
        <v/>
      </c>
    </row>
    <row r="187" ht="23" customHeight="1">
      <c r="A187" s="32">
        <f>Database!A187&amp;"  "&amp;Database!B187</f>
        <v/>
      </c>
      <c r="B187" s="24">
        <f>IFERROR(INDEX(BDS(TEXT(VALUE(Database!$A187),"0")&amp;" HK Equity","EQUITY_OFFERINGS","array=t","endcol=1"),MATCH("IPO",BDS(TEXT(VALUE(Database!$A187),"0")&amp;" HK Equity","EQUITY_OFFERINGS","array=t","startcol=2","endcol=2"),0)),"")</f>
        <v/>
      </c>
      <c r="C187" s="208">
        <f>IF($B187="","",IFERROR(BDP($B187&amp;" Action","CP036"),""))</f>
        <v/>
      </c>
      <c r="D187" s="209">
        <f>Database!S187</f>
        <v/>
      </c>
      <c r="E187" s="208">
        <f>IF($B187="","",IFERROR(BDP($B187&amp;" Action","CP037"),""))</f>
        <v/>
      </c>
      <c r="F187" s="209">
        <f>Database!T187</f>
        <v/>
      </c>
      <c r="G187" s="208">
        <f>IF($B187="","",IFERROR(BDP($B187&amp;" Action","GREENSHOE_FACILITY"),""))</f>
        <v/>
      </c>
      <c r="H187" s="208">
        <f>IF($B187="","",IFERROR(BDP($B187&amp;" Action","OFFERING_GREENSHOE_SHARES_EX"),""))</f>
        <v/>
      </c>
      <c r="I187" s="32">
        <f>Database!AE187</f>
        <v/>
      </c>
      <c r="J187" s="39">
        <f>IFERROR(BDP(TEXT(VALUE(Database!$A187),"0")&amp;" HK Equity","PE_RATIO"),"")</f>
        <v/>
      </c>
      <c r="K187" s="24">
        <f>IFERROR(BDP(TEXT(VALUE(Database!$A187),"0")&amp;" HK Equity","A/H_SHARE_CONVERSION"),"")</f>
        <v/>
      </c>
      <c r="L187" s="32">
        <f>IF(Database!BN187="","(none found)",Database!BN187)</f>
        <v/>
      </c>
      <c r="M187" s="34">
        <f>BDH(TEXT(VALUE(Database!$A187),"0")&amp;" HK Equity","CUR_MKT_CAP",Database!$H187,Database!$H187)</f>
        <v/>
      </c>
      <c r="N187" s="166">
        <f>Database!Q187</f>
        <v/>
      </c>
      <c r="O187" s="39">
        <f>BDH(TEXT(VALUE(Database!$A187),"0")&amp;" HK Equity","PE_RATIO",Database!$H187,Database!$H187)</f>
        <v/>
      </c>
      <c r="P187" s="199">
        <f>IF(Database!BH187="","(n/m or not derivable)",Database!BH187)</f>
        <v/>
      </c>
      <c r="Q187" s="39">
        <f>IF(Database!BN187="","",BDH(LEFT(Database!BN187,FIND(".",Database!BN187)-1)&amp;" CH Equity","PE_RATIO",Database!$H187,Database!$H187))</f>
        <v/>
      </c>
      <c r="R187" s="39">
        <f>IF(Database!BN187="","",BDH("HSAHP Index","PX_LAST",Database!$H187,Database!$H187))</f>
        <v/>
      </c>
      <c r="S187" s="39">
        <f>IFERROR(BDP(TEXT(VALUE(Database!$A187),"0")&amp;" HK Equity","PX_TO_SALES_RATIO"),"")</f>
        <v/>
      </c>
      <c r="T187" s="34">
        <f>IF(Database!BN187="","",IFERROR(BDP(LEFT(Database!BN187,FIND(".",Database!BN187)-1)&amp;" CH Equity","CUR_MKT_CAP")*BDP("CNYHKD Curncy","PX_LAST"),"Awaiting quote"))</f>
        <v/>
      </c>
    </row>
    <row r="188" ht="23" customHeight="1">
      <c r="A188" s="32">
        <f>Database!A188&amp;"  "&amp;Database!B188</f>
        <v/>
      </c>
      <c r="B188" s="24">
        <f>IFERROR(INDEX(BDS(TEXT(VALUE(Database!$A188),"0")&amp;" HK Equity","EQUITY_OFFERINGS","array=t","endcol=1"),MATCH("IPO",BDS(TEXT(VALUE(Database!$A188),"0")&amp;" HK Equity","EQUITY_OFFERINGS","array=t","startcol=2","endcol=2"),0)),"")</f>
        <v/>
      </c>
      <c r="C188" s="208">
        <f>IF($B188="","",IFERROR(BDP($B188&amp;" Action","CP036"),""))</f>
        <v/>
      </c>
      <c r="D188" s="209">
        <f>Database!S188</f>
        <v/>
      </c>
      <c r="E188" s="208">
        <f>IF($B188="","",IFERROR(BDP($B188&amp;" Action","CP037"),""))</f>
        <v/>
      </c>
      <c r="F188" s="209">
        <f>Database!T188</f>
        <v/>
      </c>
      <c r="G188" s="208">
        <f>IF($B188="","",IFERROR(BDP($B188&amp;" Action","GREENSHOE_FACILITY"),""))</f>
        <v/>
      </c>
      <c r="H188" s="208">
        <f>IF($B188="","",IFERROR(BDP($B188&amp;" Action","OFFERING_GREENSHOE_SHARES_EX"),""))</f>
        <v/>
      </c>
      <c r="I188" s="32">
        <f>Database!AE188</f>
        <v/>
      </c>
      <c r="J188" s="39">
        <f>IFERROR(BDP(TEXT(VALUE(Database!$A188),"0")&amp;" HK Equity","PE_RATIO"),"")</f>
        <v/>
      </c>
      <c r="K188" s="24">
        <f>IFERROR(BDP(TEXT(VALUE(Database!$A188),"0")&amp;" HK Equity","A/H_SHARE_CONVERSION"),"")</f>
        <v/>
      </c>
      <c r="L188" s="32">
        <f>IF(Database!BN188="","(none found)",Database!BN188)</f>
        <v/>
      </c>
      <c r="M188" s="34">
        <f>BDH(TEXT(VALUE(Database!$A188),"0")&amp;" HK Equity","CUR_MKT_CAP",Database!$H188,Database!$H188)</f>
        <v/>
      </c>
      <c r="N188" s="166">
        <f>Database!Q188</f>
        <v/>
      </c>
      <c r="O188" s="39">
        <f>BDH(TEXT(VALUE(Database!$A188),"0")&amp;" HK Equity","PE_RATIO",Database!$H188,Database!$H188)</f>
        <v/>
      </c>
      <c r="P188" s="199">
        <f>IF(Database!BH188="","(n/m or not derivable)",Database!BH188)</f>
        <v/>
      </c>
      <c r="Q188" s="39">
        <f>IF(Database!BN188="","",BDH(LEFT(Database!BN188,FIND(".",Database!BN188)-1)&amp;" CH Equity","PE_RATIO",Database!$H188,Database!$H188))</f>
        <v/>
      </c>
      <c r="R188" s="39">
        <f>IF(Database!BN188="","",BDH("HSAHP Index","PX_LAST",Database!$H188,Database!$H188))</f>
        <v/>
      </c>
      <c r="S188" s="39">
        <f>IFERROR(BDP(TEXT(VALUE(Database!$A188),"0")&amp;" HK Equity","PX_TO_SALES_RATIO"),"")</f>
        <v/>
      </c>
      <c r="T188" s="34">
        <f>IF(Database!BN188="","",IFERROR(BDP(LEFT(Database!BN188,FIND(".",Database!BN188)-1)&amp;" CH Equity","CUR_MKT_CAP")*BDP("CNYHKD Curncy","PX_LAST"),"Awaiting quote"))</f>
        <v/>
      </c>
    </row>
    <row r="189" ht="23" customHeight="1">
      <c r="A189" s="32">
        <f>Database!A189&amp;"  "&amp;Database!B189</f>
        <v/>
      </c>
      <c r="B189" s="24">
        <f>IFERROR(INDEX(BDS(TEXT(VALUE(Database!$A189),"0")&amp;" HK Equity","EQUITY_OFFERINGS","array=t","endcol=1"),MATCH("IPO",BDS(TEXT(VALUE(Database!$A189),"0")&amp;" HK Equity","EQUITY_OFFERINGS","array=t","startcol=2","endcol=2"),0)),"")</f>
        <v/>
      </c>
      <c r="C189" s="208">
        <f>IF($B189="","",IFERROR(BDP($B189&amp;" Action","CP036"),""))</f>
        <v/>
      </c>
      <c r="D189" s="209">
        <f>Database!S189</f>
        <v/>
      </c>
      <c r="E189" s="208">
        <f>IF($B189="","",IFERROR(BDP($B189&amp;" Action","CP037"),""))</f>
        <v/>
      </c>
      <c r="F189" s="209">
        <f>Database!T189</f>
        <v/>
      </c>
      <c r="G189" s="208">
        <f>IF($B189="","",IFERROR(BDP($B189&amp;" Action","GREENSHOE_FACILITY"),""))</f>
        <v/>
      </c>
      <c r="H189" s="208">
        <f>IF($B189="","",IFERROR(BDP($B189&amp;" Action","OFFERING_GREENSHOE_SHARES_EX"),""))</f>
        <v/>
      </c>
      <c r="I189" s="32">
        <f>Database!AE189</f>
        <v/>
      </c>
      <c r="J189" s="39">
        <f>IFERROR(BDP(TEXT(VALUE(Database!$A189),"0")&amp;" HK Equity","PE_RATIO"),"")</f>
        <v/>
      </c>
      <c r="K189" s="24">
        <f>IFERROR(BDP(TEXT(VALUE(Database!$A189),"0")&amp;" HK Equity","A/H_SHARE_CONVERSION"),"")</f>
        <v/>
      </c>
      <c r="L189" s="32">
        <f>IF(Database!BN189="","(none found)",Database!BN189)</f>
        <v/>
      </c>
      <c r="M189" s="34">
        <f>BDH(TEXT(VALUE(Database!$A189),"0")&amp;" HK Equity","CUR_MKT_CAP",Database!$H189,Database!$H189)</f>
        <v/>
      </c>
      <c r="N189" s="166">
        <f>Database!Q189</f>
        <v/>
      </c>
      <c r="O189" s="39">
        <f>BDH(TEXT(VALUE(Database!$A189),"0")&amp;" HK Equity","PE_RATIO",Database!$H189,Database!$H189)</f>
        <v/>
      </c>
      <c r="P189" s="199">
        <f>IF(Database!BH189="","(n/m or not derivable)",Database!BH189)</f>
        <v/>
      </c>
      <c r="Q189" s="39">
        <f>IF(Database!BN189="","",BDH(LEFT(Database!BN189,FIND(".",Database!BN189)-1)&amp;" CH Equity","PE_RATIO",Database!$H189,Database!$H189))</f>
        <v/>
      </c>
      <c r="R189" s="39">
        <f>IF(Database!BN189="","",BDH("HSAHP Index","PX_LAST",Database!$H189,Database!$H189))</f>
        <v/>
      </c>
      <c r="S189" s="39">
        <f>IFERROR(BDP(TEXT(VALUE(Database!$A189),"0")&amp;" HK Equity","PX_TO_SALES_RATIO"),"")</f>
        <v/>
      </c>
      <c r="T189" s="34">
        <f>IF(Database!BN189="","",IFERROR(BDP(LEFT(Database!BN189,FIND(".",Database!BN189)-1)&amp;" CH Equity","CUR_MKT_CAP")*BDP("CNYHKD Curncy","PX_LAST"),"Awaiting quote"))</f>
        <v/>
      </c>
    </row>
    <row r="190" ht="23" customHeight="1">
      <c r="A190" s="32">
        <f>Database!A190&amp;"  "&amp;Database!B190</f>
        <v/>
      </c>
      <c r="B190" s="24">
        <f>IFERROR(INDEX(BDS(TEXT(VALUE(Database!$A190),"0")&amp;" HK Equity","EQUITY_OFFERINGS","array=t","endcol=1"),MATCH("IPO",BDS(TEXT(VALUE(Database!$A190),"0")&amp;" HK Equity","EQUITY_OFFERINGS","array=t","startcol=2","endcol=2"),0)),"")</f>
        <v/>
      </c>
      <c r="C190" s="208">
        <f>IF($B190="","",IFERROR(BDP($B190&amp;" Action","CP036"),""))</f>
        <v/>
      </c>
      <c r="D190" s="209">
        <f>Database!S190</f>
        <v/>
      </c>
      <c r="E190" s="208">
        <f>IF($B190="","",IFERROR(BDP($B190&amp;" Action","CP037"),""))</f>
        <v/>
      </c>
      <c r="F190" s="209">
        <f>Database!T190</f>
        <v/>
      </c>
      <c r="G190" s="208">
        <f>IF($B190="","",IFERROR(BDP($B190&amp;" Action","GREENSHOE_FACILITY"),""))</f>
        <v/>
      </c>
      <c r="H190" s="208">
        <f>IF($B190="","",IFERROR(BDP($B190&amp;" Action","OFFERING_GREENSHOE_SHARES_EX"),""))</f>
        <v/>
      </c>
      <c r="I190" s="32">
        <f>Database!AE190</f>
        <v/>
      </c>
      <c r="J190" s="39">
        <f>IFERROR(BDP(TEXT(VALUE(Database!$A190),"0")&amp;" HK Equity","PE_RATIO"),"")</f>
        <v/>
      </c>
      <c r="K190" s="24">
        <f>IFERROR(BDP(TEXT(VALUE(Database!$A190),"0")&amp;" HK Equity","A/H_SHARE_CONVERSION"),"")</f>
        <v/>
      </c>
      <c r="L190" s="32">
        <f>IF(Database!BN190="","(none found)",Database!BN190)</f>
        <v/>
      </c>
      <c r="M190" s="34">
        <f>BDH(TEXT(VALUE(Database!$A190),"0")&amp;" HK Equity","CUR_MKT_CAP",Database!$H190,Database!$H190)</f>
        <v/>
      </c>
      <c r="N190" s="166">
        <f>Database!Q190</f>
        <v/>
      </c>
      <c r="O190" s="39">
        <f>BDH(TEXT(VALUE(Database!$A190),"0")&amp;" HK Equity","PE_RATIO",Database!$H190,Database!$H190)</f>
        <v/>
      </c>
      <c r="P190" s="199">
        <f>IF(Database!BH190="","(n/m or not derivable)",Database!BH190)</f>
        <v/>
      </c>
      <c r="Q190" s="39">
        <f>IF(Database!BN190="","",BDH(LEFT(Database!BN190,FIND(".",Database!BN190)-1)&amp;" CH Equity","PE_RATIO",Database!$H190,Database!$H190))</f>
        <v/>
      </c>
      <c r="R190" s="39">
        <f>IF(Database!BN190="","",BDH("HSAHP Index","PX_LAST",Database!$H190,Database!$H190))</f>
        <v/>
      </c>
      <c r="S190" s="39">
        <f>IFERROR(BDP(TEXT(VALUE(Database!$A190),"0")&amp;" HK Equity","PX_TO_SALES_RATIO"),"")</f>
        <v/>
      </c>
      <c r="T190" s="34">
        <f>IF(Database!BN190="","",IFERROR(BDP(LEFT(Database!BN190,FIND(".",Database!BN190)-1)&amp;" CH Equity","CUR_MKT_CAP")*BDP("CNYHKD Curncy","PX_LAST"),"Awaiting quote"))</f>
        <v/>
      </c>
    </row>
    <row r="191" ht="23" customHeight="1">
      <c r="A191" s="32">
        <f>Database!A191&amp;"  "&amp;Database!B191</f>
        <v/>
      </c>
      <c r="B191" s="24">
        <f>IFERROR(INDEX(BDS(TEXT(VALUE(Database!$A191),"0")&amp;" HK Equity","EQUITY_OFFERINGS","array=t","endcol=1"),MATCH("IPO",BDS(TEXT(VALUE(Database!$A191),"0")&amp;" HK Equity","EQUITY_OFFERINGS","array=t","startcol=2","endcol=2"),0)),"")</f>
        <v/>
      </c>
      <c r="C191" s="208">
        <f>IF($B191="","",IFERROR(BDP($B191&amp;" Action","CP036"),""))</f>
        <v/>
      </c>
      <c r="D191" s="209">
        <f>Database!S191</f>
        <v/>
      </c>
      <c r="E191" s="208">
        <f>IF($B191="","",IFERROR(BDP($B191&amp;" Action","CP037"),""))</f>
        <v/>
      </c>
      <c r="F191" s="209">
        <f>Database!T191</f>
        <v/>
      </c>
      <c r="G191" s="208">
        <f>IF($B191="","",IFERROR(BDP($B191&amp;" Action","GREENSHOE_FACILITY"),""))</f>
        <v/>
      </c>
      <c r="H191" s="208">
        <f>IF($B191="","",IFERROR(BDP($B191&amp;" Action","OFFERING_GREENSHOE_SHARES_EX"),""))</f>
        <v/>
      </c>
      <c r="I191" s="32">
        <f>Database!AE191</f>
        <v/>
      </c>
      <c r="J191" s="39">
        <f>IFERROR(BDP(TEXT(VALUE(Database!$A191),"0")&amp;" HK Equity","PE_RATIO"),"")</f>
        <v/>
      </c>
      <c r="K191" s="24">
        <f>IFERROR(BDP(TEXT(VALUE(Database!$A191),"0")&amp;" HK Equity","A/H_SHARE_CONVERSION"),"")</f>
        <v/>
      </c>
      <c r="L191" s="32">
        <f>IF(Database!BN191="","(none found)",Database!BN191)</f>
        <v/>
      </c>
      <c r="M191" s="34">
        <f>BDH(TEXT(VALUE(Database!$A191),"0")&amp;" HK Equity","CUR_MKT_CAP",Database!$H191,Database!$H191)</f>
        <v/>
      </c>
      <c r="N191" s="166">
        <f>Database!Q191</f>
        <v/>
      </c>
      <c r="O191" s="39">
        <f>BDH(TEXT(VALUE(Database!$A191),"0")&amp;" HK Equity","PE_RATIO",Database!$H191,Database!$H191)</f>
        <v/>
      </c>
      <c r="P191" s="199">
        <f>IF(Database!BH191="","(n/m or not derivable)",Database!BH191)</f>
        <v/>
      </c>
      <c r="Q191" s="39">
        <f>IF(Database!BN191="","",BDH(LEFT(Database!BN191,FIND(".",Database!BN191)-1)&amp;" CH Equity","PE_RATIO",Database!$H191,Database!$H191))</f>
        <v/>
      </c>
      <c r="R191" s="39">
        <f>IF(Database!BN191="","",BDH("HSAHP Index","PX_LAST",Database!$H191,Database!$H191))</f>
        <v/>
      </c>
      <c r="S191" s="39">
        <f>IFERROR(BDP(TEXT(VALUE(Database!$A191),"0")&amp;" HK Equity","PX_TO_SALES_RATIO"),"")</f>
        <v/>
      </c>
      <c r="T191" s="34">
        <f>IF(Database!BN191="","",IFERROR(BDP(LEFT(Database!BN191,FIND(".",Database!BN191)-1)&amp;" CH Equity","CUR_MKT_CAP")*BDP("CNYHKD Curncy","PX_LAST"),"Awaiting quote"))</f>
        <v/>
      </c>
    </row>
    <row r="192" ht="23" customHeight="1">
      <c r="A192" s="32">
        <f>Database!A192&amp;"  "&amp;Database!B192</f>
        <v/>
      </c>
      <c r="B192" s="24">
        <f>IFERROR(INDEX(BDS(TEXT(VALUE(Database!$A192),"0")&amp;" HK Equity","EQUITY_OFFERINGS","array=t","endcol=1"),MATCH("IPO",BDS(TEXT(VALUE(Database!$A192),"0")&amp;" HK Equity","EQUITY_OFFERINGS","array=t","startcol=2","endcol=2"),0)),"")</f>
        <v/>
      </c>
      <c r="C192" s="208">
        <f>IF($B192="","",IFERROR(BDP($B192&amp;" Action","CP036"),""))</f>
        <v/>
      </c>
      <c r="D192" s="209">
        <f>Database!S192</f>
        <v/>
      </c>
      <c r="E192" s="208">
        <f>IF($B192="","",IFERROR(BDP($B192&amp;" Action","CP037"),""))</f>
        <v/>
      </c>
      <c r="F192" s="209">
        <f>Database!T192</f>
        <v/>
      </c>
      <c r="G192" s="208">
        <f>IF($B192="","",IFERROR(BDP($B192&amp;" Action","GREENSHOE_FACILITY"),""))</f>
        <v/>
      </c>
      <c r="H192" s="208">
        <f>IF($B192="","",IFERROR(BDP($B192&amp;" Action","OFFERING_GREENSHOE_SHARES_EX"),""))</f>
        <v/>
      </c>
      <c r="I192" s="32">
        <f>Database!AE192</f>
        <v/>
      </c>
      <c r="J192" s="39">
        <f>IFERROR(BDP(TEXT(VALUE(Database!$A192),"0")&amp;" HK Equity","PE_RATIO"),"")</f>
        <v/>
      </c>
      <c r="K192" s="24">
        <f>IFERROR(BDP(TEXT(VALUE(Database!$A192),"0")&amp;" HK Equity","A/H_SHARE_CONVERSION"),"")</f>
        <v/>
      </c>
      <c r="L192" s="32">
        <f>IF(Database!BN192="","(none found)",Database!BN192)</f>
        <v/>
      </c>
      <c r="M192" s="34">
        <f>BDH(TEXT(VALUE(Database!$A192),"0")&amp;" HK Equity","CUR_MKT_CAP",Database!$H192,Database!$H192)</f>
        <v/>
      </c>
      <c r="N192" s="166">
        <f>Database!Q192</f>
        <v/>
      </c>
      <c r="O192" s="39">
        <f>BDH(TEXT(VALUE(Database!$A192),"0")&amp;" HK Equity","PE_RATIO",Database!$H192,Database!$H192)</f>
        <v/>
      </c>
      <c r="P192" s="199">
        <f>IF(Database!BH192="","(n/m or not derivable)",Database!BH192)</f>
        <v/>
      </c>
      <c r="Q192" s="39">
        <f>IF(Database!BN192="","",BDH(LEFT(Database!BN192,FIND(".",Database!BN192)-1)&amp;" CH Equity","PE_RATIO",Database!$H192,Database!$H192))</f>
        <v/>
      </c>
      <c r="R192" s="39">
        <f>IF(Database!BN192="","",BDH("HSAHP Index","PX_LAST",Database!$H192,Database!$H192))</f>
        <v/>
      </c>
      <c r="S192" s="39">
        <f>IFERROR(BDP(TEXT(VALUE(Database!$A192),"0")&amp;" HK Equity","PX_TO_SALES_RATIO"),"")</f>
        <v/>
      </c>
      <c r="T192" s="34">
        <f>IF(Database!BN192="","",IFERROR(BDP(LEFT(Database!BN192,FIND(".",Database!BN192)-1)&amp;" CH Equity","CUR_MKT_CAP")*BDP("CNYHKD Curncy","PX_LAST"),"Awaiting quote"))</f>
        <v/>
      </c>
    </row>
    <row r="193" ht="23" customHeight="1">
      <c r="A193" s="32">
        <f>Database!A193&amp;"  "&amp;Database!B193</f>
        <v/>
      </c>
      <c r="B193" s="24">
        <f>IFERROR(INDEX(BDS(TEXT(VALUE(Database!$A193),"0")&amp;" HK Equity","EQUITY_OFFERINGS","array=t","endcol=1"),MATCH("IPO",BDS(TEXT(VALUE(Database!$A193),"0")&amp;" HK Equity","EQUITY_OFFERINGS","array=t","startcol=2","endcol=2"),0)),"")</f>
        <v/>
      </c>
      <c r="C193" s="208">
        <f>IF($B193="","",IFERROR(BDP($B193&amp;" Action","CP036"),""))</f>
        <v/>
      </c>
      <c r="D193" s="209">
        <f>Database!S193</f>
        <v/>
      </c>
      <c r="E193" s="208">
        <f>IF($B193="","",IFERROR(BDP($B193&amp;" Action","CP037"),""))</f>
        <v/>
      </c>
      <c r="F193" s="209">
        <f>Database!T193</f>
        <v/>
      </c>
      <c r="G193" s="208">
        <f>IF($B193="","",IFERROR(BDP($B193&amp;" Action","GREENSHOE_FACILITY"),""))</f>
        <v/>
      </c>
      <c r="H193" s="208">
        <f>IF($B193="","",IFERROR(BDP($B193&amp;" Action","OFFERING_GREENSHOE_SHARES_EX"),""))</f>
        <v/>
      </c>
      <c r="I193" s="32">
        <f>Database!AE193</f>
        <v/>
      </c>
      <c r="J193" s="39">
        <f>IFERROR(BDP(TEXT(VALUE(Database!$A193),"0")&amp;" HK Equity","PE_RATIO"),"")</f>
        <v/>
      </c>
      <c r="K193" s="24">
        <f>IFERROR(BDP(TEXT(VALUE(Database!$A193),"0")&amp;" HK Equity","A/H_SHARE_CONVERSION"),"")</f>
        <v/>
      </c>
      <c r="L193" s="32">
        <f>IF(Database!BN193="","(none found)",Database!BN193)</f>
        <v/>
      </c>
      <c r="M193" s="34">
        <f>BDH(TEXT(VALUE(Database!$A193),"0")&amp;" HK Equity","CUR_MKT_CAP",Database!$H193,Database!$H193)</f>
        <v/>
      </c>
      <c r="N193" s="166">
        <f>Database!Q193</f>
        <v/>
      </c>
      <c r="O193" s="39">
        <f>BDH(TEXT(VALUE(Database!$A193),"0")&amp;" HK Equity","PE_RATIO",Database!$H193,Database!$H193)</f>
        <v/>
      </c>
      <c r="P193" s="199">
        <f>IF(Database!BH193="","(n/m or not derivable)",Database!BH193)</f>
        <v/>
      </c>
      <c r="Q193" s="39">
        <f>IF(Database!BN193="","",BDH(LEFT(Database!BN193,FIND(".",Database!BN193)-1)&amp;" CH Equity","PE_RATIO",Database!$H193,Database!$H193))</f>
        <v/>
      </c>
      <c r="R193" s="39">
        <f>IF(Database!BN193="","",BDH("HSAHP Index","PX_LAST",Database!$H193,Database!$H193))</f>
        <v/>
      </c>
      <c r="S193" s="39">
        <f>IFERROR(BDP(TEXT(VALUE(Database!$A193),"0")&amp;" HK Equity","PX_TO_SALES_RATIO"),"")</f>
        <v/>
      </c>
      <c r="T193" s="34">
        <f>IF(Database!BN193="","",IFERROR(BDP(LEFT(Database!BN193,FIND(".",Database!BN193)-1)&amp;" CH Equity","CUR_MKT_CAP")*BDP("CNYHKD Curncy","PX_LAST"),"Awaiting quote"))</f>
        <v/>
      </c>
    </row>
    <row r="194" ht="23" customHeight="1">
      <c r="A194" s="32">
        <f>Database!A194&amp;"  "&amp;Database!B194</f>
        <v/>
      </c>
      <c r="B194" s="24">
        <f>IFERROR(INDEX(BDS(TEXT(VALUE(Database!$A194),"0")&amp;" HK Equity","EQUITY_OFFERINGS","array=t","endcol=1"),MATCH("IPO",BDS(TEXT(VALUE(Database!$A194),"0")&amp;" HK Equity","EQUITY_OFFERINGS","array=t","startcol=2","endcol=2"),0)),"")</f>
        <v/>
      </c>
      <c r="C194" s="208">
        <f>IF($B194="","",IFERROR(BDP($B194&amp;" Action","CP036"),""))</f>
        <v/>
      </c>
      <c r="D194" s="209">
        <f>Database!S194</f>
        <v/>
      </c>
      <c r="E194" s="208">
        <f>IF($B194="","",IFERROR(BDP($B194&amp;" Action","CP037"),""))</f>
        <v/>
      </c>
      <c r="F194" s="209">
        <f>Database!T194</f>
        <v/>
      </c>
      <c r="G194" s="208">
        <f>IF($B194="","",IFERROR(BDP($B194&amp;" Action","GREENSHOE_FACILITY"),""))</f>
        <v/>
      </c>
      <c r="H194" s="208">
        <f>IF($B194="","",IFERROR(BDP($B194&amp;" Action","OFFERING_GREENSHOE_SHARES_EX"),""))</f>
        <v/>
      </c>
      <c r="I194" s="32">
        <f>Database!AE194</f>
        <v/>
      </c>
      <c r="J194" s="39">
        <f>IFERROR(BDP(TEXT(VALUE(Database!$A194),"0")&amp;" HK Equity","PE_RATIO"),"")</f>
        <v/>
      </c>
      <c r="K194" s="24">
        <f>IFERROR(BDP(TEXT(VALUE(Database!$A194),"0")&amp;" HK Equity","A/H_SHARE_CONVERSION"),"")</f>
        <v/>
      </c>
      <c r="L194" s="32">
        <f>IF(Database!BN194="","(none found)",Database!BN194)</f>
        <v/>
      </c>
      <c r="M194" s="34">
        <f>BDH(TEXT(VALUE(Database!$A194),"0")&amp;" HK Equity","CUR_MKT_CAP",Database!$H194,Database!$H194)</f>
        <v/>
      </c>
      <c r="N194" s="166">
        <f>Database!Q194</f>
        <v/>
      </c>
      <c r="O194" s="39">
        <f>BDH(TEXT(VALUE(Database!$A194),"0")&amp;" HK Equity","PE_RATIO",Database!$H194,Database!$H194)</f>
        <v/>
      </c>
      <c r="P194" s="199">
        <f>IF(Database!BH194="","(n/m or not derivable)",Database!BH194)</f>
        <v/>
      </c>
      <c r="Q194" s="39">
        <f>IF(Database!BN194="","",BDH(LEFT(Database!BN194,FIND(".",Database!BN194)-1)&amp;" CH Equity","PE_RATIO",Database!$H194,Database!$H194))</f>
        <v/>
      </c>
      <c r="R194" s="39">
        <f>IF(Database!BN194="","",BDH("HSAHP Index","PX_LAST",Database!$H194,Database!$H194))</f>
        <v/>
      </c>
      <c r="S194" s="39">
        <f>IFERROR(BDP(TEXT(VALUE(Database!$A194),"0")&amp;" HK Equity","PX_TO_SALES_RATIO"),"")</f>
        <v/>
      </c>
      <c r="T194" s="34">
        <f>IF(Database!BN194="","",IFERROR(BDP(LEFT(Database!BN194,FIND(".",Database!BN194)-1)&amp;" CH Equity","CUR_MKT_CAP")*BDP("CNYHKD Curncy","PX_LAST"),"Awaiting quote"))</f>
        <v/>
      </c>
    </row>
    <row r="195" ht="23" customHeight="1">
      <c r="A195" s="32">
        <f>Database!A195&amp;"  "&amp;Database!B195</f>
        <v/>
      </c>
      <c r="B195" s="24">
        <f>IFERROR(INDEX(BDS(TEXT(VALUE(Database!$A195),"0")&amp;" HK Equity","EQUITY_OFFERINGS","array=t","endcol=1"),MATCH("IPO",BDS(TEXT(VALUE(Database!$A195),"0")&amp;" HK Equity","EQUITY_OFFERINGS","array=t","startcol=2","endcol=2"),0)),"")</f>
        <v/>
      </c>
      <c r="C195" s="208">
        <f>IF($B195="","",IFERROR(BDP($B195&amp;" Action","CP036"),""))</f>
        <v/>
      </c>
      <c r="D195" s="209">
        <f>Database!S195</f>
        <v/>
      </c>
      <c r="E195" s="208">
        <f>IF($B195="","",IFERROR(BDP($B195&amp;" Action","CP037"),""))</f>
        <v/>
      </c>
      <c r="F195" s="209">
        <f>Database!T195</f>
        <v/>
      </c>
      <c r="G195" s="208">
        <f>IF($B195="","",IFERROR(BDP($B195&amp;" Action","GREENSHOE_FACILITY"),""))</f>
        <v/>
      </c>
      <c r="H195" s="208">
        <f>IF($B195="","",IFERROR(BDP($B195&amp;" Action","OFFERING_GREENSHOE_SHARES_EX"),""))</f>
        <v/>
      </c>
      <c r="I195" s="32">
        <f>Database!AE195</f>
        <v/>
      </c>
      <c r="J195" s="39">
        <f>IFERROR(BDP(TEXT(VALUE(Database!$A195),"0")&amp;" HK Equity","PE_RATIO"),"")</f>
        <v/>
      </c>
      <c r="K195" s="24">
        <f>IFERROR(BDP(TEXT(VALUE(Database!$A195),"0")&amp;" HK Equity","A/H_SHARE_CONVERSION"),"")</f>
        <v/>
      </c>
      <c r="L195" s="32">
        <f>IF(Database!BN195="","(none found)",Database!BN195)</f>
        <v/>
      </c>
      <c r="M195" s="34">
        <f>BDH(TEXT(VALUE(Database!$A195),"0")&amp;" HK Equity","CUR_MKT_CAP",Database!$H195,Database!$H195)</f>
        <v/>
      </c>
      <c r="N195" s="166">
        <f>Database!Q195</f>
        <v/>
      </c>
      <c r="O195" s="39">
        <f>BDH(TEXT(VALUE(Database!$A195),"0")&amp;" HK Equity","PE_RATIO",Database!$H195,Database!$H195)</f>
        <v/>
      </c>
      <c r="P195" s="199">
        <f>IF(Database!BH195="","(n/m or not derivable)",Database!BH195)</f>
        <v/>
      </c>
      <c r="Q195" s="39">
        <f>IF(Database!BN195="","",BDH(LEFT(Database!BN195,FIND(".",Database!BN195)-1)&amp;" CH Equity","PE_RATIO",Database!$H195,Database!$H195))</f>
        <v/>
      </c>
      <c r="R195" s="39">
        <f>IF(Database!BN195="","",BDH("HSAHP Index","PX_LAST",Database!$H195,Database!$H195))</f>
        <v/>
      </c>
      <c r="S195" s="39">
        <f>IFERROR(BDP(TEXT(VALUE(Database!$A195),"0")&amp;" HK Equity","PX_TO_SALES_RATIO"),"")</f>
        <v/>
      </c>
      <c r="T195" s="34">
        <f>IF(Database!BN195="","",IFERROR(BDP(LEFT(Database!BN195,FIND(".",Database!BN195)-1)&amp;" CH Equity","CUR_MKT_CAP")*BDP("CNYHKD Curncy","PX_LAST"),"Awaiting quote"))</f>
        <v/>
      </c>
    </row>
    <row r="196" ht="23" customHeight="1">
      <c r="A196" s="32">
        <f>Database!A196&amp;"  "&amp;Database!B196</f>
        <v/>
      </c>
      <c r="B196" s="24">
        <f>IFERROR(INDEX(BDS(TEXT(VALUE(Database!$A196),"0")&amp;" HK Equity","EQUITY_OFFERINGS","array=t","endcol=1"),MATCH("IPO",BDS(TEXT(VALUE(Database!$A196),"0")&amp;" HK Equity","EQUITY_OFFERINGS","array=t","startcol=2","endcol=2"),0)),"")</f>
        <v/>
      </c>
      <c r="C196" s="208">
        <f>IF($B196="","",IFERROR(BDP($B196&amp;" Action","CP036"),""))</f>
        <v/>
      </c>
      <c r="D196" s="209">
        <f>Database!S196</f>
        <v/>
      </c>
      <c r="E196" s="208">
        <f>IF($B196="","",IFERROR(BDP($B196&amp;" Action","CP037"),""))</f>
        <v/>
      </c>
      <c r="F196" s="209">
        <f>Database!T196</f>
        <v/>
      </c>
      <c r="G196" s="208">
        <f>IF($B196="","",IFERROR(BDP($B196&amp;" Action","GREENSHOE_FACILITY"),""))</f>
        <v/>
      </c>
      <c r="H196" s="208">
        <f>IF($B196="","",IFERROR(BDP($B196&amp;" Action","OFFERING_GREENSHOE_SHARES_EX"),""))</f>
        <v/>
      </c>
      <c r="I196" s="32">
        <f>Database!AE196</f>
        <v/>
      </c>
      <c r="J196" s="39">
        <f>IFERROR(BDP(TEXT(VALUE(Database!$A196),"0")&amp;" HK Equity","PE_RATIO"),"")</f>
        <v/>
      </c>
      <c r="K196" s="24">
        <f>IFERROR(BDP(TEXT(VALUE(Database!$A196),"0")&amp;" HK Equity","A/H_SHARE_CONVERSION"),"")</f>
        <v/>
      </c>
      <c r="L196" s="32">
        <f>IF(Database!BN196="","(none found)",Database!BN196)</f>
        <v/>
      </c>
      <c r="M196" s="34">
        <f>BDH(TEXT(VALUE(Database!$A196),"0")&amp;" HK Equity","CUR_MKT_CAP",Database!$H196,Database!$H196)</f>
        <v/>
      </c>
      <c r="N196" s="166">
        <f>Database!Q196</f>
        <v/>
      </c>
      <c r="O196" s="39">
        <f>BDH(TEXT(VALUE(Database!$A196),"0")&amp;" HK Equity","PE_RATIO",Database!$H196,Database!$H196)</f>
        <v/>
      </c>
      <c r="P196" s="199">
        <f>IF(Database!BH196="","(n/m or not derivable)",Database!BH196)</f>
        <v/>
      </c>
      <c r="Q196" s="39">
        <f>IF(Database!BN196="","",BDH(LEFT(Database!BN196,FIND(".",Database!BN196)-1)&amp;" CH Equity","PE_RATIO",Database!$H196,Database!$H196))</f>
        <v/>
      </c>
      <c r="R196" s="39">
        <f>IF(Database!BN196="","",BDH("HSAHP Index","PX_LAST",Database!$H196,Database!$H196))</f>
        <v/>
      </c>
      <c r="S196" s="39">
        <f>IFERROR(BDP(TEXT(VALUE(Database!$A196),"0")&amp;" HK Equity","PX_TO_SALES_RATIO"),"")</f>
        <v/>
      </c>
      <c r="T196" s="34">
        <f>IF(Database!BN196="","",IFERROR(BDP(LEFT(Database!BN196,FIND(".",Database!BN196)-1)&amp;" CH Equity","CUR_MKT_CAP")*BDP("CNYHKD Curncy","PX_LAST"),"Awaiting quote"))</f>
        <v/>
      </c>
    </row>
    <row r="197" ht="23" customHeight="1">
      <c r="A197" s="32">
        <f>Database!A197&amp;"  "&amp;Database!B197</f>
        <v/>
      </c>
      <c r="B197" s="24">
        <f>IFERROR(INDEX(BDS(TEXT(VALUE(Database!$A197),"0")&amp;" HK Equity","EQUITY_OFFERINGS","array=t","endcol=1"),MATCH("IPO",BDS(TEXT(VALUE(Database!$A197),"0")&amp;" HK Equity","EQUITY_OFFERINGS","array=t","startcol=2","endcol=2"),0)),"")</f>
        <v/>
      </c>
      <c r="C197" s="208">
        <f>IF($B197="","",IFERROR(BDP($B197&amp;" Action","CP036"),""))</f>
        <v/>
      </c>
      <c r="D197" s="209">
        <f>Database!S197</f>
        <v/>
      </c>
      <c r="E197" s="208">
        <f>IF($B197="","",IFERROR(BDP($B197&amp;" Action","CP037"),""))</f>
        <v/>
      </c>
      <c r="F197" s="209">
        <f>Database!T197</f>
        <v/>
      </c>
      <c r="G197" s="208">
        <f>IF($B197="","",IFERROR(BDP($B197&amp;" Action","GREENSHOE_FACILITY"),""))</f>
        <v/>
      </c>
      <c r="H197" s="208">
        <f>IF($B197="","",IFERROR(BDP($B197&amp;" Action","OFFERING_GREENSHOE_SHARES_EX"),""))</f>
        <v/>
      </c>
      <c r="I197" s="32">
        <f>Database!AE197</f>
        <v/>
      </c>
      <c r="J197" s="39">
        <f>IFERROR(BDP(TEXT(VALUE(Database!$A197),"0")&amp;" HK Equity","PE_RATIO"),"")</f>
        <v/>
      </c>
      <c r="K197" s="24">
        <f>IFERROR(BDP(TEXT(VALUE(Database!$A197),"0")&amp;" HK Equity","A/H_SHARE_CONVERSION"),"")</f>
        <v/>
      </c>
      <c r="L197" s="32">
        <f>IF(Database!BN197="","(none found)",Database!BN197)</f>
        <v/>
      </c>
      <c r="M197" s="34">
        <f>BDH(TEXT(VALUE(Database!$A197),"0")&amp;" HK Equity","CUR_MKT_CAP",Database!$H197,Database!$H197)</f>
        <v/>
      </c>
      <c r="N197" s="166">
        <f>Database!Q197</f>
        <v/>
      </c>
      <c r="O197" s="39">
        <f>BDH(TEXT(VALUE(Database!$A197),"0")&amp;" HK Equity","PE_RATIO",Database!$H197,Database!$H197)</f>
        <v/>
      </c>
      <c r="P197" s="199">
        <f>IF(Database!BH197="","(n/m or not derivable)",Database!BH197)</f>
        <v/>
      </c>
      <c r="Q197" s="39">
        <f>IF(Database!BN197="","",BDH(LEFT(Database!BN197,FIND(".",Database!BN197)-1)&amp;" CH Equity","PE_RATIO",Database!$H197,Database!$H197))</f>
        <v/>
      </c>
      <c r="R197" s="39">
        <f>IF(Database!BN197="","",BDH("HSAHP Index","PX_LAST",Database!$H197,Database!$H197))</f>
        <v/>
      </c>
      <c r="S197" s="39">
        <f>IFERROR(BDP(TEXT(VALUE(Database!$A197),"0")&amp;" HK Equity","PX_TO_SALES_RATIO"),"")</f>
        <v/>
      </c>
      <c r="T197" s="34">
        <f>IF(Database!BN197="","",IFERROR(BDP(LEFT(Database!BN197,FIND(".",Database!BN197)-1)&amp;" CH Equity","CUR_MKT_CAP")*BDP("CNYHKD Curncy","PX_LAST"),"Awaiting quote"))</f>
        <v/>
      </c>
    </row>
    <row r="198" ht="23" customHeight="1">
      <c r="A198" s="32">
        <f>Database!A198&amp;"  "&amp;Database!B198</f>
        <v/>
      </c>
      <c r="B198" s="24">
        <f>IFERROR(INDEX(BDS(TEXT(VALUE(Database!$A198),"0")&amp;" HK Equity","EQUITY_OFFERINGS","array=t","endcol=1"),MATCH("IPO",BDS(TEXT(VALUE(Database!$A198),"0")&amp;" HK Equity","EQUITY_OFFERINGS","array=t","startcol=2","endcol=2"),0)),"")</f>
        <v/>
      </c>
      <c r="C198" s="208">
        <f>IF($B198="","",IFERROR(BDP($B198&amp;" Action","CP036"),""))</f>
        <v/>
      </c>
      <c r="D198" s="209">
        <f>Database!S198</f>
        <v/>
      </c>
      <c r="E198" s="208">
        <f>IF($B198="","",IFERROR(BDP($B198&amp;" Action","CP037"),""))</f>
        <v/>
      </c>
      <c r="F198" s="209">
        <f>Database!T198</f>
        <v/>
      </c>
      <c r="G198" s="208">
        <f>IF($B198="","",IFERROR(BDP($B198&amp;" Action","GREENSHOE_FACILITY"),""))</f>
        <v/>
      </c>
      <c r="H198" s="208">
        <f>IF($B198="","",IFERROR(BDP($B198&amp;" Action","OFFERING_GREENSHOE_SHARES_EX"),""))</f>
        <v/>
      </c>
      <c r="I198" s="32">
        <f>Database!AE198</f>
        <v/>
      </c>
      <c r="J198" s="39">
        <f>IFERROR(BDP(TEXT(VALUE(Database!$A198),"0")&amp;" HK Equity","PE_RATIO"),"")</f>
        <v/>
      </c>
      <c r="K198" s="24">
        <f>IFERROR(BDP(TEXT(VALUE(Database!$A198),"0")&amp;" HK Equity","A/H_SHARE_CONVERSION"),"")</f>
        <v/>
      </c>
      <c r="L198" s="32">
        <f>IF(Database!BN198="","(none found)",Database!BN198)</f>
        <v/>
      </c>
      <c r="M198" s="34">
        <f>BDH(TEXT(VALUE(Database!$A198),"0")&amp;" HK Equity","CUR_MKT_CAP",Database!$H198,Database!$H198)</f>
        <v/>
      </c>
      <c r="N198" s="166">
        <f>Database!Q198</f>
        <v/>
      </c>
      <c r="O198" s="39">
        <f>BDH(TEXT(VALUE(Database!$A198),"0")&amp;" HK Equity","PE_RATIO",Database!$H198,Database!$H198)</f>
        <v/>
      </c>
      <c r="P198" s="199">
        <f>IF(Database!BH198="","(n/m or not derivable)",Database!BH198)</f>
        <v/>
      </c>
      <c r="Q198" s="39">
        <f>IF(Database!BN198="","",BDH(LEFT(Database!BN198,FIND(".",Database!BN198)-1)&amp;" CH Equity","PE_RATIO",Database!$H198,Database!$H198))</f>
        <v/>
      </c>
      <c r="R198" s="39">
        <f>IF(Database!BN198="","",BDH("HSAHP Index","PX_LAST",Database!$H198,Database!$H198))</f>
        <v/>
      </c>
      <c r="S198" s="39">
        <f>IFERROR(BDP(TEXT(VALUE(Database!$A198),"0")&amp;" HK Equity","PX_TO_SALES_RATIO"),"")</f>
        <v/>
      </c>
      <c r="T198" s="34">
        <f>IF(Database!BN198="","",IFERROR(BDP(LEFT(Database!BN198,FIND(".",Database!BN198)-1)&amp;" CH Equity","CUR_MKT_CAP")*BDP("CNYHKD Curncy","PX_LAST"),"Awaiting quote"))</f>
        <v/>
      </c>
    </row>
    <row r="199" ht="23" customHeight="1">
      <c r="A199" s="32">
        <f>Database!A199&amp;"  "&amp;Database!B199</f>
        <v/>
      </c>
      <c r="B199" s="24">
        <f>IFERROR(INDEX(BDS(TEXT(VALUE(Database!$A199),"0")&amp;" HK Equity","EQUITY_OFFERINGS","array=t","endcol=1"),MATCH("IPO",BDS(TEXT(VALUE(Database!$A199),"0")&amp;" HK Equity","EQUITY_OFFERINGS","array=t","startcol=2","endcol=2"),0)),"")</f>
        <v/>
      </c>
      <c r="C199" s="208">
        <f>IF($B199="","",IFERROR(BDP($B199&amp;" Action","CP036"),""))</f>
        <v/>
      </c>
      <c r="D199" s="209">
        <f>Database!S199</f>
        <v/>
      </c>
      <c r="E199" s="208">
        <f>IF($B199="","",IFERROR(BDP($B199&amp;" Action","CP037"),""))</f>
        <v/>
      </c>
      <c r="F199" s="209">
        <f>Database!T199</f>
        <v/>
      </c>
      <c r="G199" s="208">
        <f>IF($B199="","",IFERROR(BDP($B199&amp;" Action","GREENSHOE_FACILITY"),""))</f>
        <v/>
      </c>
      <c r="H199" s="208">
        <f>IF($B199="","",IFERROR(BDP($B199&amp;" Action","OFFERING_GREENSHOE_SHARES_EX"),""))</f>
        <v/>
      </c>
      <c r="I199" s="32">
        <f>Database!AE199</f>
        <v/>
      </c>
      <c r="J199" s="39">
        <f>IFERROR(BDP(TEXT(VALUE(Database!$A199),"0")&amp;" HK Equity","PE_RATIO"),"")</f>
        <v/>
      </c>
      <c r="K199" s="24">
        <f>IFERROR(BDP(TEXT(VALUE(Database!$A199),"0")&amp;" HK Equity","A/H_SHARE_CONVERSION"),"")</f>
        <v/>
      </c>
      <c r="L199" s="32">
        <f>IF(Database!BN199="","(none found)",Database!BN199)</f>
        <v/>
      </c>
      <c r="M199" s="34">
        <f>BDH(TEXT(VALUE(Database!$A199),"0")&amp;" HK Equity","CUR_MKT_CAP",Database!$H199,Database!$H199)</f>
        <v/>
      </c>
      <c r="N199" s="166">
        <f>Database!Q199</f>
        <v/>
      </c>
      <c r="O199" s="39">
        <f>BDH(TEXT(VALUE(Database!$A199),"0")&amp;" HK Equity","PE_RATIO",Database!$H199,Database!$H199)</f>
        <v/>
      </c>
      <c r="P199" s="199">
        <f>IF(Database!BH199="","(n/m or not derivable)",Database!BH199)</f>
        <v/>
      </c>
      <c r="Q199" s="39">
        <f>IF(Database!BN199="","",BDH(LEFT(Database!BN199,FIND(".",Database!BN199)-1)&amp;" CH Equity","PE_RATIO",Database!$H199,Database!$H199))</f>
        <v/>
      </c>
      <c r="R199" s="39">
        <f>IF(Database!BN199="","",BDH("HSAHP Index","PX_LAST",Database!$H199,Database!$H199))</f>
        <v/>
      </c>
      <c r="S199" s="39">
        <f>IFERROR(BDP(TEXT(VALUE(Database!$A199),"0")&amp;" HK Equity","PX_TO_SALES_RATIO"),"")</f>
        <v/>
      </c>
      <c r="T199" s="34">
        <f>IF(Database!BN199="","",IFERROR(BDP(LEFT(Database!BN199,FIND(".",Database!BN199)-1)&amp;" CH Equity","CUR_MKT_CAP")*BDP("CNYHKD Curncy","PX_LAST"),"Awaiting quote"))</f>
        <v/>
      </c>
    </row>
    <row r="200" ht="23" customHeight="1">
      <c r="A200" s="32">
        <f>Database!A200&amp;"  "&amp;Database!B200</f>
        <v/>
      </c>
      <c r="B200" s="24">
        <f>IFERROR(INDEX(BDS(TEXT(VALUE(Database!$A200),"0")&amp;" HK Equity","EQUITY_OFFERINGS","array=t","endcol=1"),MATCH("IPO",BDS(TEXT(VALUE(Database!$A200),"0")&amp;" HK Equity","EQUITY_OFFERINGS","array=t","startcol=2","endcol=2"),0)),"")</f>
        <v/>
      </c>
      <c r="C200" s="208">
        <f>IF($B200="","",IFERROR(BDP($B200&amp;" Action","CP036"),""))</f>
        <v/>
      </c>
      <c r="D200" s="209">
        <f>Database!S200</f>
        <v/>
      </c>
      <c r="E200" s="208">
        <f>IF($B200="","",IFERROR(BDP($B200&amp;" Action","CP037"),""))</f>
        <v/>
      </c>
      <c r="F200" s="209">
        <f>Database!T200</f>
        <v/>
      </c>
      <c r="G200" s="208">
        <f>IF($B200="","",IFERROR(BDP($B200&amp;" Action","GREENSHOE_FACILITY"),""))</f>
        <v/>
      </c>
      <c r="H200" s="208">
        <f>IF($B200="","",IFERROR(BDP($B200&amp;" Action","OFFERING_GREENSHOE_SHARES_EX"),""))</f>
        <v/>
      </c>
      <c r="I200" s="32">
        <f>Database!AE200</f>
        <v/>
      </c>
      <c r="J200" s="39">
        <f>IFERROR(BDP(TEXT(VALUE(Database!$A200),"0")&amp;" HK Equity","PE_RATIO"),"")</f>
        <v/>
      </c>
      <c r="K200" s="24">
        <f>IFERROR(BDP(TEXT(VALUE(Database!$A200),"0")&amp;" HK Equity","A/H_SHARE_CONVERSION"),"")</f>
        <v/>
      </c>
      <c r="L200" s="32">
        <f>IF(Database!BN200="","(none found)",Database!BN200)</f>
        <v/>
      </c>
      <c r="M200" s="34">
        <f>BDH(TEXT(VALUE(Database!$A200),"0")&amp;" HK Equity","CUR_MKT_CAP",Database!$H200,Database!$H200)</f>
        <v/>
      </c>
      <c r="N200" s="166">
        <f>Database!Q200</f>
        <v/>
      </c>
      <c r="O200" s="39">
        <f>BDH(TEXT(VALUE(Database!$A200),"0")&amp;" HK Equity","PE_RATIO",Database!$H200,Database!$H200)</f>
        <v/>
      </c>
      <c r="P200" s="199">
        <f>IF(Database!BH200="","(n/m or not derivable)",Database!BH200)</f>
        <v/>
      </c>
      <c r="Q200" s="39">
        <f>IF(Database!BN200="","",BDH(LEFT(Database!BN200,FIND(".",Database!BN200)-1)&amp;" CH Equity","PE_RATIO",Database!$H200,Database!$H200))</f>
        <v/>
      </c>
      <c r="R200" s="39">
        <f>IF(Database!BN200="","",BDH("HSAHP Index","PX_LAST",Database!$H200,Database!$H200))</f>
        <v/>
      </c>
      <c r="S200" s="39">
        <f>IFERROR(BDP(TEXT(VALUE(Database!$A200),"0")&amp;" HK Equity","PX_TO_SALES_RATIO"),"")</f>
        <v/>
      </c>
      <c r="T200" s="34">
        <f>IF(Database!BN200="","",IFERROR(BDP(LEFT(Database!BN200,FIND(".",Database!BN200)-1)&amp;" CH Equity","CUR_MKT_CAP")*BDP("CNYHKD Curncy","PX_LAST"),"Awaiting quote"))</f>
        <v/>
      </c>
    </row>
    <row r="201" ht="23" customHeight="1">
      <c r="A201" s="32">
        <f>Database!A201&amp;"  "&amp;Database!B201</f>
        <v/>
      </c>
      <c r="B201" s="24">
        <f>IFERROR(INDEX(BDS(TEXT(VALUE(Database!$A201),"0")&amp;" HK Equity","EQUITY_OFFERINGS","array=t","endcol=1"),MATCH("IPO",BDS(TEXT(VALUE(Database!$A201),"0")&amp;" HK Equity","EQUITY_OFFERINGS","array=t","startcol=2","endcol=2"),0)),"")</f>
        <v/>
      </c>
      <c r="C201" s="208">
        <f>IF($B201="","",IFERROR(BDP($B201&amp;" Action","CP036"),""))</f>
        <v/>
      </c>
      <c r="D201" s="209">
        <f>Database!S201</f>
        <v/>
      </c>
      <c r="E201" s="208">
        <f>IF($B201="","",IFERROR(BDP($B201&amp;" Action","CP037"),""))</f>
        <v/>
      </c>
      <c r="F201" s="209">
        <f>Database!T201</f>
        <v/>
      </c>
      <c r="G201" s="208">
        <f>IF($B201="","",IFERROR(BDP($B201&amp;" Action","GREENSHOE_FACILITY"),""))</f>
        <v/>
      </c>
      <c r="H201" s="208">
        <f>IF($B201="","",IFERROR(BDP($B201&amp;" Action","OFFERING_GREENSHOE_SHARES_EX"),""))</f>
        <v/>
      </c>
      <c r="I201" s="32">
        <f>Database!AE201</f>
        <v/>
      </c>
      <c r="J201" s="39">
        <f>IFERROR(BDP(TEXT(VALUE(Database!$A201),"0")&amp;" HK Equity","PE_RATIO"),"")</f>
        <v/>
      </c>
      <c r="K201" s="24">
        <f>IFERROR(BDP(TEXT(VALUE(Database!$A201),"0")&amp;" HK Equity","A/H_SHARE_CONVERSION"),"")</f>
        <v/>
      </c>
      <c r="L201" s="32">
        <f>IF(Database!BN201="","(none found)",Database!BN201)</f>
        <v/>
      </c>
      <c r="M201" s="34">
        <f>BDH(TEXT(VALUE(Database!$A201),"0")&amp;" HK Equity","CUR_MKT_CAP",Database!$H201,Database!$H201)</f>
        <v/>
      </c>
      <c r="N201" s="166">
        <f>Database!Q201</f>
        <v/>
      </c>
      <c r="O201" s="39">
        <f>BDH(TEXT(VALUE(Database!$A201),"0")&amp;" HK Equity","PE_RATIO",Database!$H201,Database!$H201)</f>
        <v/>
      </c>
      <c r="P201" s="199">
        <f>IF(Database!BH201="","(n/m or not derivable)",Database!BH201)</f>
        <v/>
      </c>
      <c r="Q201" s="39">
        <f>IF(Database!BN201="","",BDH(LEFT(Database!BN201,FIND(".",Database!BN201)-1)&amp;" CH Equity","PE_RATIO",Database!$H201,Database!$H201))</f>
        <v/>
      </c>
      <c r="R201" s="39">
        <f>IF(Database!BN201="","",BDH("HSAHP Index","PX_LAST",Database!$H201,Database!$H201))</f>
        <v/>
      </c>
      <c r="S201" s="39">
        <f>IFERROR(BDP(TEXT(VALUE(Database!$A201),"0")&amp;" HK Equity","PX_TO_SALES_RATIO"),"")</f>
        <v/>
      </c>
      <c r="T201" s="34">
        <f>IF(Database!BN201="","",IFERROR(BDP(LEFT(Database!BN201,FIND(".",Database!BN201)-1)&amp;" CH Equity","CUR_MKT_CAP")*BDP("CNYHKD Curncy","PX_LAST"),"Awaiting quote"))</f>
        <v/>
      </c>
    </row>
    <row r="202" ht="23" customHeight="1">
      <c r="A202" s="32">
        <f>Database!A202&amp;"  "&amp;Database!B202</f>
        <v/>
      </c>
      <c r="B202" s="24">
        <f>IFERROR(INDEX(BDS(TEXT(VALUE(Database!$A202),"0")&amp;" HK Equity","EQUITY_OFFERINGS","array=t","endcol=1"),MATCH("IPO",BDS(TEXT(VALUE(Database!$A202),"0")&amp;" HK Equity","EQUITY_OFFERINGS","array=t","startcol=2","endcol=2"),0)),"")</f>
        <v/>
      </c>
      <c r="C202" s="208">
        <f>IF($B202="","",IFERROR(BDP($B202&amp;" Action","CP036"),""))</f>
        <v/>
      </c>
      <c r="D202" s="209">
        <f>Database!S202</f>
        <v/>
      </c>
      <c r="E202" s="208">
        <f>IF($B202="","",IFERROR(BDP($B202&amp;" Action","CP037"),""))</f>
        <v/>
      </c>
      <c r="F202" s="209">
        <f>Database!T202</f>
        <v/>
      </c>
      <c r="G202" s="208">
        <f>IF($B202="","",IFERROR(BDP($B202&amp;" Action","GREENSHOE_FACILITY"),""))</f>
        <v/>
      </c>
      <c r="H202" s="208">
        <f>IF($B202="","",IFERROR(BDP($B202&amp;" Action","OFFERING_GREENSHOE_SHARES_EX"),""))</f>
        <v/>
      </c>
      <c r="I202" s="32">
        <f>Database!AE202</f>
        <v/>
      </c>
      <c r="J202" s="39">
        <f>IFERROR(BDP(TEXT(VALUE(Database!$A202),"0")&amp;" HK Equity","PE_RATIO"),"")</f>
        <v/>
      </c>
      <c r="K202" s="24">
        <f>IFERROR(BDP(TEXT(VALUE(Database!$A202),"0")&amp;" HK Equity","A/H_SHARE_CONVERSION"),"")</f>
        <v/>
      </c>
      <c r="L202" s="32">
        <f>IF(Database!BN202="","(none found)",Database!BN202)</f>
        <v/>
      </c>
      <c r="M202" s="34">
        <f>BDH(TEXT(VALUE(Database!$A202),"0")&amp;" HK Equity","CUR_MKT_CAP",Database!$H202,Database!$H202)</f>
        <v/>
      </c>
      <c r="N202" s="166">
        <f>Database!Q202</f>
        <v/>
      </c>
      <c r="O202" s="39">
        <f>BDH(TEXT(VALUE(Database!$A202),"0")&amp;" HK Equity","PE_RATIO",Database!$H202,Database!$H202)</f>
        <v/>
      </c>
      <c r="P202" s="199">
        <f>IF(Database!BH202="","(n/m or not derivable)",Database!BH202)</f>
        <v/>
      </c>
      <c r="Q202" s="39">
        <f>IF(Database!BN202="","",BDH(LEFT(Database!BN202,FIND(".",Database!BN202)-1)&amp;" CH Equity","PE_RATIO",Database!$H202,Database!$H202))</f>
        <v/>
      </c>
      <c r="R202" s="39">
        <f>IF(Database!BN202="","",BDH("HSAHP Index","PX_LAST",Database!$H202,Database!$H202))</f>
        <v/>
      </c>
      <c r="S202" s="39">
        <f>IFERROR(BDP(TEXT(VALUE(Database!$A202),"0")&amp;" HK Equity","PX_TO_SALES_RATIO"),"")</f>
        <v/>
      </c>
      <c r="T202" s="34">
        <f>IF(Database!BN202="","",IFERROR(BDP(LEFT(Database!BN202,FIND(".",Database!BN202)-1)&amp;" CH Equity","CUR_MKT_CAP")*BDP("CNYHKD Curncy","PX_LAST"),"Awaiting quote"))</f>
        <v/>
      </c>
    </row>
    <row r="203" ht="23" customHeight="1">
      <c r="A203" s="32">
        <f>Database!A203&amp;"  "&amp;Database!B203</f>
        <v/>
      </c>
      <c r="B203" s="24">
        <f>IFERROR(INDEX(BDS(TEXT(VALUE(Database!$A203),"0")&amp;" HK Equity","EQUITY_OFFERINGS","array=t","endcol=1"),MATCH("IPO",BDS(TEXT(VALUE(Database!$A203),"0")&amp;" HK Equity","EQUITY_OFFERINGS","array=t","startcol=2","endcol=2"),0)),"")</f>
        <v/>
      </c>
      <c r="C203" s="208">
        <f>IF($B203="","",IFERROR(BDP($B203&amp;" Action","CP036"),""))</f>
        <v/>
      </c>
      <c r="D203" s="209">
        <f>Database!S203</f>
        <v/>
      </c>
      <c r="E203" s="208">
        <f>IF($B203="","",IFERROR(BDP($B203&amp;" Action","CP037"),""))</f>
        <v/>
      </c>
      <c r="F203" s="209">
        <f>Database!T203</f>
        <v/>
      </c>
      <c r="G203" s="208">
        <f>IF($B203="","",IFERROR(BDP($B203&amp;" Action","GREENSHOE_FACILITY"),""))</f>
        <v/>
      </c>
      <c r="H203" s="208">
        <f>IF($B203="","",IFERROR(BDP($B203&amp;" Action","OFFERING_GREENSHOE_SHARES_EX"),""))</f>
        <v/>
      </c>
      <c r="I203" s="32">
        <f>Database!AE203</f>
        <v/>
      </c>
      <c r="J203" s="39">
        <f>IFERROR(BDP(TEXT(VALUE(Database!$A203),"0")&amp;" HK Equity","PE_RATIO"),"")</f>
        <v/>
      </c>
      <c r="K203" s="24">
        <f>IFERROR(BDP(TEXT(VALUE(Database!$A203),"0")&amp;" HK Equity","A/H_SHARE_CONVERSION"),"")</f>
        <v/>
      </c>
      <c r="L203" s="32">
        <f>IF(Database!BN203="","(none found)",Database!BN203)</f>
        <v/>
      </c>
      <c r="M203" s="34">
        <f>BDH(TEXT(VALUE(Database!$A203),"0")&amp;" HK Equity","CUR_MKT_CAP",Database!$H203,Database!$H203)</f>
        <v/>
      </c>
      <c r="N203" s="166">
        <f>Database!Q203</f>
        <v/>
      </c>
      <c r="O203" s="39">
        <f>BDH(TEXT(VALUE(Database!$A203),"0")&amp;" HK Equity","PE_RATIO",Database!$H203,Database!$H203)</f>
        <v/>
      </c>
      <c r="P203" s="199">
        <f>IF(Database!BH203="","(n/m or not derivable)",Database!BH203)</f>
        <v/>
      </c>
      <c r="Q203" s="39">
        <f>IF(Database!BN203="","",BDH(LEFT(Database!BN203,FIND(".",Database!BN203)-1)&amp;" CH Equity","PE_RATIO",Database!$H203,Database!$H203))</f>
        <v/>
      </c>
      <c r="R203" s="39">
        <f>IF(Database!BN203="","",BDH("HSAHP Index","PX_LAST",Database!$H203,Database!$H203))</f>
        <v/>
      </c>
      <c r="S203" s="39">
        <f>IFERROR(BDP(TEXT(VALUE(Database!$A203),"0")&amp;" HK Equity","PX_TO_SALES_RATIO"),"")</f>
        <v/>
      </c>
      <c r="T203" s="34">
        <f>IF(Database!BN203="","",IFERROR(BDP(LEFT(Database!BN203,FIND(".",Database!BN203)-1)&amp;" CH Equity","CUR_MKT_CAP")*BDP("CNYHKD Curncy","PX_LAST"),"Awaiting quote"))</f>
        <v/>
      </c>
    </row>
    <row r="204" ht="23" customHeight="1">
      <c r="A204" s="32">
        <f>Database!A204&amp;"  "&amp;Database!B204</f>
        <v/>
      </c>
      <c r="B204" s="24">
        <f>IFERROR(INDEX(BDS(TEXT(VALUE(Database!$A204),"0")&amp;" HK Equity","EQUITY_OFFERINGS","array=t","endcol=1"),MATCH("IPO",BDS(TEXT(VALUE(Database!$A204),"0")&amp;" HK Equity","EQUITY_OFFERINGS","array=t","startcol=2","endcol=2"),0)),"")</f>
        <v/>
      </c>
      <c r="C204" s="208">
        <f>IF($B204="","",IFERROR(BDP($B204&amp;" Action","CP036"),""))</f>
        <v/>
      </c>
      <c r="D204" s="209">
        <f>Database!S204</f>
        <v/>
      </c>
      <c r="E204" s="208">
        <f>IF($B204="","",IFERROR(BDP($B204&amp;" Action","CP037"),""))</f>
        <v/>
      </c>
      <c r="F204" s="209">
        <f>Database!T204</f>
        <v/>
      </c>
      <c r="G204" s="208">
        <f>IF($B204="","",IFERROR(BDP($B204&amp;" Action","GREENSHOE_FACILITY"),""))</f>
        <v/>
      </c>
      <c r="H204" s="208">
        <f>IF($B204="","",IFERROR(BDP($B204&amp;" Action","OFFERING_GREENSHOE_SHARES_EX"),""))</f>
        <v/>
      </c>
      <c r="I204" s="32">
        <f>Database!AE204</f>
        <v/>
      </c>
      <c r="J204" s="39">
        <f>IFERROR(BDP(TEXT(VALUE(Database!$A204),"0")&amp;" HK Equity","PE_RATIO"),"")</f>
        <v/>
      </c>
      <c r="K204" s="24">
        <f>IFERROR(BDP(TEXT(VALUE(Database!$A204),"0")&amp;" HK Equity","A/H_SHARE_CONVERSION"),"")</f>
        <v/>
      </c>
      <c r="L204" s="32">
        <f>IF(Database!BN204="","(none found)",Database!BN204)</f>
        <v/>
      </c>
      <c r="M204" s="34">
        <f>BDH(TEXT(VALUE(Database!$A204),"0")&amp;" HK Equity","CUR_MKT_CAP",Database!$H204,Database!$H204)</f>
        <v/>
      </c>
      <c r="N204" s="166">
        <f>Database!Q204</f>
        <v/>
      </c>
      <c r="O204" s="39">
        <f>BDH(TEXT(VALUE(Database!$A204),"0")&amp;" HK Equity","PE_RATIO",Database!$H204,Database!$H204)</f>
        <v/>
      </c>
      <c r="P204" s="199">
        <f>IF(Database!BH204="","(n/m or not derivable)",Database!BH204)</f>
        <v/>
      </c>
      <c r="Q204" s="39">
        <f>IF(Database!BN204="","",BDH(LEFT(Database!BN204,FIND(".",Database!BN204)-1)&amp;" CH Equity","PE_RATIO",Database!$H204,Database!$H204))</f>
        <v/>
      </c>
      <c r="R204" s="39">
        <f>IF(Database!BN204="","",BDH("HSAHP Index","PX_LAST",Database!$H204,Database!$H204))</f>
        <v/>
      </c>
      <c r="S204" s="39">
        <f>IFERROR(BDP(TEXT(VALUE(Database!$A204),"0")&amp;" HK Equity","PX_TO_SALES_RATIO"),"")</f>
        <v/>
      </c>
      <c r="T204" s="34">
        <f>IF(Database!BN204="","",IFERROR(BDP(LEFT(Database!BN204,FIND(".",Database!BN204)-1)&amp;" CH Equity","CUR_MKT_CAP")*BDP("CNYHKD Curncy","PX_LAST"),"Awaiting quote"))</f>
        <v/>
      </c>
    </row>
    <row r="205" ht="23" customHeight="1">
      <c r="A205" s="32">
        <f>Database!A205&amp;"  "&amp;Database!B205</f>
        <v/>
      </c>
      <c r="B205" s="24">
        <f>IFERROR(INDEX(BDS(TEXT(VALUE(Database!$A205),"0")&amp;" HK Equity","EQUITY_OFFERINGS","array=t","endcol=1"),MATCH("IPO",BDS(TEXT(VALUE(Database!$A205),"0")&amp;" HK Equity","EQUITY_OFFERINGS","array=t","startcol=2","endcol=2"),0)),"")</f>
        <v/>
      </c>
      <c r="C205" s="208">
        <f>IF($B205="","",IFERROR(BDP($B205&amp;" Action","CP036"),""))</f>
        <v/>
      </c>
      <c r="D205" s="209">
        <f>Database!S205</f>
        <v/>
      </c>
      <c r="E205" s="208">
        <f>IF($B205="","",IFERROR(BDP($B205&amp;" Action","CP037"),""))</f>
        <v/>
      </c>
      <c r="F205" s="209">
        <f>Database!T205</f>
        <v/>
      </c>
      <c r="G205" s="208">
        <f>IF($B205="","",IFERROR(BDP($B205&amp;" Action","GREENSHOE_FACILITY"),""))</f>
        <v/>
      </c>
      <c r="H205" s="208">
        <f>IF($B205="","",IFERROR(BDP($B205&amp;" Action","OFFERING_GREENSHOE_SHARES_EX"),""))</f>
        <v/>
      </c>
      <c r="I205" s="32">
        <f>Database!AE205</f>
        <v/>
      </c>
      <c r="J205" s="39">
        <f>IFERROR(BDP(TEXT(VALUE(Database!$A205),"0")&amp;" HK Equity","PE_RATIO"),"")</f>
        <v/>
      </c>
      <c r="K205" s="24">
        <f>IFERROR(BDP(TEXT(VALUE(Database!$A205),"0")&amp;" HK Equity","A/H_SHARE_CONVERSION"),"")</f>
        <v/>
      </c>
      <c r="L205" s="32">
        <f>IF(Database!BN205="","(none found)",Database!BN205)</f>
        <v/>
      </c>
      <c r="M205" s="34">
        <f>BDH(TEXT(VALUE(Database!$A205),"0")&amp;" HK Equity","CUR_MKT_CAP",Database!$H205,Database!$H205)</f>
        <v/>
      </c>
      <c r="N205" s="166">
        <f>Database!Q205</f>
        <v/>
      </c>
      <c r="O205" s="39">
        <f>BDH(TEXT(VALUE(Database!$A205),"0")&amp;" HK Equity","PE_RATIO",Database!$H205,Database!$H205)</f>
        <v/>
      </c>
      <c r="P205" s="199">
        <f>IF(Database!BH205="","(n/m or not derivable)",Database!BH205)</f>
        <v/>
      </c>
      <c r="Q205" s="39">
        <f>IF(Database!BN205="","",BDH(LEFT(Database!BN205,FIND(".",Database!BN205)-1)&amp;" CH Equity","PE_RATIO",Database!$H205,Database!$H205))</f>
        <v/>
      </c>
      <c r="R205" s="39">
        <f>IF(Database!BN205="","",BDH("HSAHP Index","PX_LAST",Database!$H205,Database!$H205))</f>
        <v/>
      </c>
      <c r="S205" s="39">
        <f>IFERROR(BDP(TEXT(VALUE(Database!$A205),"0")&amp;" HK Equity","PX_TO_SALES_RATIO"),"")</f>
        <v/>
      </c>
      <c r="T205" s="34">
        <f>IF(Database!BN205="","",IFERROR(BDP(LEFT(Database!BN205,FIND(".",Database!BN205)-1)&amp;" CH Equity","CUR_MKT_CAP")*BDP("CNYHKD Curncy","PX_LAST"),"Awaiting quote"))</f>
        <v/>
      </c>
    </row>
    <row r="206" ht="23" customHeight="1">
      <c r="A206" s="32">
        <f>Database!A206&amp;"  "&amp;Database!B206</f>
        <v/>
      </c>
      <c r="B206" s="24">
        <f>IFERROR(INDEX(BDS(TEXT(VALUE(Database!$A206),"0")&amp;" HK Equity","EQUITY_OFFERINGS","array=t","endcol=1"),MATCH("IPO",BDS(TEXT(VALUE(Database!$A206),"0")&amp;" HK Equity","EQUITY_OFFERINGS","array=t","startcol=2","endcol=2"),0)),"")</f>
        <v/>
      </c>
      <c r="C206" s="208">
        <f>IF($B206="","",IFERROR(BDP($B206&amp;" Action","CP036"),""))</f>
        <v/>
      </c>
      <c r="D206" s="209">
        <f>Database!S206</f>
        <v/>
      </c>
      <c r="E206" s="208">
        <f>IF($B206="","",IFERROR(BDP($B206&amp;" Action","CP037"),""))</f>
        <v/>
      </c>
      <c r="F206" s="209">
        <f>Database!T206</f>
        <v/>
      </c>
      <c r="G206" s="208">
        <f>IF($B206="","",IFERROR(BDP($B206&amp;" Action","GREENSHOE_FACILITY"),""))</f>
        <v/>
      </c>
      <c r="H206" s="208">
        <f>IF($B206="","",IFERROR(BDP($B206&amp;" Action","OFFERING_GREENSHOE_SHARES_EX"),""))</f>
        <v/>
      </c>
      <c r="I206" s="32">
        <f>Database!AE206</f>
        <v/>
      </c>
      <c r="J206" s="39">
        <f>IFERROR(BDP(TEXT(VALUE(Database!$A206),"0")&amp;" HK Equity","PE_RATIO"),"")</f>
        <v/>
      </c>
      <c r="K206" s="24">
        <f>IFERROR(BDP(TEXT(VALUE(Database!$A206),"0")&amp;" HK Equity","A/H_SHARE_CONVERSION"),"")</f>
        <v/>
      </c>
      <c r="L206" s="32">
        <f>IF(Database!BN206="","(none found)",Database!BN206)</f>
        <v/>
      </c>
      <c r="M206" s="34">
        <f>BDH(TEXT(VALUE(Database!$A206),"0")&amp;" HK Equity","CUR_MKT_CAP",Database!$H206,Database!$H206)</f>
        <v/>
      </c>
      <c r="N206" s="166">
        <f>Database!Q206</f>
        <v/>
      </c>
      <c r="O206" s="39">
        <f>BDH(TEXT(VALUE(Database!$A206),"0")&amp;" HK Equity","PE_RATIO",Database!$H206,Database!$H206)</f>
        <v/>
      </c>
      <c r="P206" s="199">
        <f>IF(Database!BH206="","(n/m or not derivable)",Database!BH206)</f>
        <v/>
      </c>
      <c r="Q206" s="39">
        <f>IF(Database!BN206="","",BDH(LEFT(Database!BN206,FIND(".",Database!BN206)-1)&amp;" CH Equity","PE_RATIO",Database!$H206,Database!$H206))</f>
        <v/>
      </c>
      <c r="R206" s="39">
        <f>IF(Database!BN206="","",BDH("HSAHP Index","PX_LAST",Database!$H206,Database!$H206))</f>
        <v/>
      </c>
      <c r="S206" s="39">
        <f>IFERROR(BDP(TEXT(VALUE(Database!$A206),"0")&amp;" HK Equity","PX_TO_SALES_RATIO"),"")</f>
        <v/>
      </c>
      <c r="T206" s="34">
        <f>IF(Database!BN206="","",IFERROR(BDP(LEFT(Database!BN206,FIND(".",Database!BN206)-1)&amp;" CH Equity","CUR_MKT_CAP")*BDP("CNYHKD Curncy","PX_LAST"),"Awaiting quote"))</f>
        <v/>
      </c>
    </row>
    <row r="207" ht="23" customHeight="1">
      <c r="A207" s="32">
        <f>Database!A207&amp;"  "&amp;Database!B207</f>
        <v/>
      </c>
      <c r="B207" s="24">
        <f>IFERROR(INDEX(BDS(TEXT(VALUE(Database!$A207),"0")&amp;" HK Equity","EQUITY_OFFERINGS","array=t","endcol=1"),MATCH("IPO",BDS(TEXT(VALUE(Database!$A207),"0")&amp;" HK Equity","EQUITY_OFFERINGS","array=t","startcol=2","endcol=2"),0)),"")</f>
        <v/>
      </c>
      <c r="C207" s="208">
        <f>IF($B207="","",IFERROR(BDP($B207&amp;" Action","CP036"),""))</f>
        <v/>
      </c>
      <c r="D207" s="209">
        <f>Database!S207</f>
        <v/>
      </c>
      <c r="E207" s="208">
        <f>IF($B207="","",IFERROR(BDP($B207&amp;" Action","CP037"),""))</f>
        <v/>
      </c>
      <c r="F207" s="209">
        <f>Database!T207</f>
        <v/>
      </c>
      <c r="G207" s="208">
        <f>IF($B207="","",IFERROR(BDP($B207&amp;" Action","GREENSHOE_FACILITY"),""))</f>
        <v/>
      </c>
      <c r="H207" s="208">
        <f>IF($B207="","",IFERROR(BDP($B207&amp;" Action","OFFERING_GREENSHOE_SHARES_EX"),""))</f>
        <v/>
      </c>
      <c r="I207" s="32">
        <f>Database!AE207</f>
        <v/>
      </c>
      <c r="J207" s="39">
        <f>IFERROR(BDP(TEXT(VALUE(Database!$A207),"0")&amp;" HK Equity","PE_RATIO"),"")</f>
        <v/>
      </c>
      <c r="K207" s="24">
        <f>IFERROR(BDP(TEXT(VALUE(Database!$A207),"0")&amp;" HK Equity","A/H_SHARE_CONVERSION"),"")</f>
        <v/>
      </c>
      <c r="L207" s="32">
        <f>IF(Database!BN207="","(none found)",Database!BN207)</f>
        <v/>
      </c>
      <c r="M207" s="34">
        <f>BDH(TEXT(VALUE(Database!$A207),"0")&amp;" HK Equity","CUR_MKT_CAP",Database!$H207,Database!$H207)</f>
        <v/>
      </c>
      <c r="N207" s="166">
        <f>Database!Q207</f>
        <v/>
      </c>
      <c r="O207" s="39">
        <f>BDH(TEXT(VALUE(Database!$A207),"0")&amp;" HK Equity","PE_RATIO",Database!$H207,Database!$H207)</f>
        <v/>
      </c>
      <c r="P207" s="199">
        <f>IF(Database!BH207="","(n/m or not derivable)",Database!BH207)</f>
        <v/>
      </c>
      <c r="Q207" s="39">
        <f>IF(Database!BN207="","",BDH(LEFT(Database!BN207,FIND(".",Database!BN207)-1)&amp;" CH Equity","PE_RATIO",Database!$H207,Database!$H207))</f>
        <v/>
      </c>
      <c r="R207" s="39">
        <f>IF(Database!BN207="","",BDH("HSAHP Index","PX_LAST",Database!$H207,Database!$H207))</f>
        <v/>
      </c>
      <c r="S207" s="39">
        <f>IFERROR(BDP(TEXT(VALUE(Database!$A207),"0")&amp;" HK Equity","PX_TO_SALES_RATIO"),"")</f>
        <v/>
      </c>
      <c r="T207" s="34">
        <f>IF(Database!BN207="","",IFERROR(BDP(LEFT(Database!BN207,FIND(".",Database!BN207)-1)&amp;" CH Equity","CUR_MKT_CAP")*BDP("CNYHKD Curncy","PX_LAST"),"Awaiting quote"))</f>
        <v/>
      </c>
    </row>
    <row r="208" ht="23" customHeight="1">
      <c r="A208" s="32">
        <f>Database!A208&amp;"  "&amp;Database!B208</f>
        <v/>
      </c>
      <c r="B208" s="24">
        <f>IFERROR(INDEX(BDS(TEXT(VALUE(Database!$A208),"0")&amp;" HK Equity","EQUITY_OFFERINGS","array=t","endcol=1"),MATCH("IPO",BDS(TEXT(VALUE(Database!$A208),"0")&amp;" HK Equity","EQUITY_OFFERINGS","array=t","startcol=2","endcol=2"),0)),"")</f>
        <v/>
      </c>
      <c r="C208" s="208">
        <f>IF($B208="","",IFERROR(BDP($B208&amp;" Action","CP036"),""))</f>
        <v/>
      </c>
      <c r="D208" s="209">
        <f>Database!S208</f>
        <v/>
      </c>
      <c r="E208" s="208">
        <f>IF($B208="","",IFERROR(BDP($B208&amp;" Action","CP037"),""))</f>
        <v/>
      </c>
      <c r="F208" s="209">
        <f>Database!T208</f>
        <v/>
      </c>
      <c r="G208" s="208">
        <f>IF($B208="","",IFERROR(BDP($B208&amp;" Action","GREENSHOE_FACILITY"),""))</f>
        <v/>
      </c>
      <c r="H208" s="208">
        <f>IF($B208="","",IFERROR(BDP($B208&amp;" Action","OFFERING_GREENSHOE_SHARES_EX"),""))</f>
        <v/>
      </c>
      <c r="I208" s="32">
        <f>Database!AE208</f>
        <v/>
      </c>
      <c r="J208" s="39">
        <f>IFERROR(BDP(TEXT(VALUE(Database!$A208),"0")&amp;" HK Equity","PE_RATIO"),"")</f>
        <v/>
      </c>
      <c r="K208" s="24">
        <f>IFERROR(BDP(TEXT(VALUE(Database!$A208),"0")&amp;" HK Equity","A/H_SHARE_CONVERSION"),"")</f>
        <v/>
      </c>
      <c r="L208" s="32">
        <f>IF(Database!BN208="","(none found)",Database!BN208)</f>
        <v/>
      </c>
      <c r="M208" s="34">
        <f>BDH(TEXT(VALUE(Database!$A208),"0")&amp;" HK Equity","CUR_MKT_CAP",Database!$H208,Database!$H208)</f>
        <v/>
      </c>
      <c r="N208" s="166">
        <f>Database!Q208</f>
        <v/>
      </c>
      <c r="O208" s="39">
        <f>BDH(TEXT(VALUE(Database!$A208),"0")&amp;" HK Equity","PE_RATIO",Database!$H208,Database!$H208)</f>
        <v/>
      </c>
      <c r="P208" s="199">
        <f>IF(Database!BH208="","(n/m or not derivable)",Database!BH208)</f>
        <v/>
      </c>
      <c r="Q208" s="39">
        <f>IF(Database!BN208="","",BDH(LEFT(Database!BN208,FIND(".",Database!BN208)-1)&amp;" CH Equity","PE_RATIO",Database!$H208,Database!$H208))</f>
        <v/>
      </c>
      <c r="R208" s="39">
        <f>IF(Database!BN208="","",BDH("HSAHP Index","PX_LAST",Database!$H208,Database!$H208))</f>
        <v/>
      </c>
      <c r="S208" s="39">
        <f>IFERROR(BDP(TEXT(VALUE(Database!$A208),"0")&amp;" HK Equity","PX_TO_SALES_RATIO"),"")</f>
        <v/>
      </c>
      <c r="T208" s="34">
        <f>IF(Database!BN208="","",IFERROR(BDP(LEFT(Database!BN208,FIND(".",Database!BN208)-1)&amp;" CH Equity","CUR_MKT_CAP")*BDP("CNYHKD Curncy","PX_LAST"),"Awaiting quote"))</f>
        <v/>
      </c>
    </row>
    <row r="209" ht="23" customHeight="1">
      <c r="A209" s="32">
        <f>Database!A209&amp;"  "&amp;Database!B209</f>
        <v/>
      </c>
      <c r="B209" s="24">
        <f>IFERROR(INDEX(BDS(TEXT(VALUE(Database!$A209),"0")&amp;" HK Equity","EQUITY_OFFERINGS","array=t","endcol=1"),MATCH("IPO",BDS(TEXT(VALUE(Database!$A209),"0")&amp;" HK Equity","EQUITY_OFFERINGS","array=t","startcol=2","endcol=2"),0)),"")</f>
        <v/>
      </c>
      <c r="C209" s="208">
        <f>IF($B209="","",IFERROR(BDP($B209&amp;" Action","CP036"),""))</f>
        <v/>
      </c>
      <c r="D209" s="209">
        <f>Database!S209</f>
        <v/>
      </c>
      <c r="E209" s="208">
        <f>IF($B209="","",IFERROR(BDP($B209&amp;" Action","CP037"),""))</f>
        <v/>
      </c>
      <c r="F209" s="209">
        <f>Database!T209</f>
        <v/>
      </c>
      <c r="G209" s="208">
        <f>IF($B209="","",IFERROR(BDP($B209&amp;" Action","GREENSHOE_FACILITY"),""))</f>
        <v/>
      </c>
      <c r="H209" s="208">
        <f>IF($B209="","",IFERROR(BDP($B209&amp;" Action","OFFERING_GREENSHOE_SHARES_EX"),""))</f>
        <v/>
      </c>
      <c r="I209" s="32">
        <f>Database!AE209</f>
        <v/>
      </c>
      <c r="J209" s="39">
        <f>IFERROR(BDP(TEXT(VALUE(Database!$A209),"0")&amp;" HK Equity","PE_RATIO"),"")</f>
        <v/>
      </c>
      <c r="K209" s="24">
        <f>IFERROR(BDP(TEXT(VALUE(Database!$A209),"0")&amp;" HK Equity","A/H_SHARE_CONVERSION"),"")</f>
        <v/>
      </c>
      <c r="L209" s="32">
        <f>IF(Database!BN209="","(none found)",Database!BN209)</f>
        <v/>
      </c>
      <c r="M209" s="34">
        <f>BDH(TEXT(VALUE(Database!$A209),"0")&amp;" HK Equity","CUR_MKT_CAP",Database!$H209,Database!$H209)</f>
        <v/>
      </c>
      <c r="N209" s="166">
        <f>Database!Q209</f>
        <v/>
      </c>
      <c r="O209" s="39">
        <f>BDH(TEXT(VALUE(Database!$A209),"0")&amp;" HK Equity","PE_RATIO",Database!$H209,Database!$H209)</f>
        <v/>
      </c>
      <c r="P209" s="199">
        <f>IF(Database!BH209="","(n/m or not derivable)",Database!BH209)</f>
        <v/>
      </c>
      <c r="Q209" s="39">
        <f>IF(Database!BN209="","",BDH(LEFT(Database!BN209,FIND(".",Database!BN209)-1)&amp;" CH Equity","PE_RATIO",Database!$H209,Database!$H209))</f>
        <v/>
      </c>
      <c r="R209" s="39">
        <f>IF(Database!BN209="","",BDH("HSAHP Index","PX_LAST",Database!$H209,Database!$H209))</f>
        <v/>
      </c>
      <c r="S209" s="39">
        <f>IFERROR(BDP(TEXT(VALUE(Database!$A209),"0")&amp;" HK Equity","PX_TO_SALES_RATIO"),"")</f>
        <v/>
      </c>
      <c r="T209" s="34">
        <f>IF(Database!BN209="","",IFERROR(BDP(LEFT(Database!BN209,FIND(".",Database!BN209)-1)&amp;" CH Equity","CUR_MKT_CAP")*BDP("CNYHKD Curncy","PX_LAST"),"Awaiting quote"))</f>
        <v/>
      </c>
    </row>
    <row r="210" ht="23" customHeight="1">
      <c r="A210" s="32">
        <f>Database!A210&amp;"  "&amp;Database!B210</f>
        <v/>
      </c>
      <c r="B210" s="24">
        <f>IFERROR(INDEX(BDS(TEXT(VALUE(Database!$A210),"0")&amp;" HK Equity","EQUITY_OFFERINGS","array=t","endcol=1"),MATCH("IPO",BDS(TEXT(VALUE(Database!$A210),"0")&amp;" HK Equity","EQUITY_OFFERINGS","array=t","startcol=2","endcol=2"),0)),"")</f>
        <v/>
      </c>
      <c r="C210" s="208">
        <f>IF($B210="","",IFERROR(BDP($B210&amp;" Action","CP036"),""))</f>
        <v/>
      </c>
      <c r="D210" s="209">
        <f>Database!S210</f>
        <v/>
      </c>
      <c r="E210" s="208">
        <f>IF($B210="","",IFERROR(BDP($B210&amp;" Action","CP037"),""))</f>
        <v/>
      </c>
      <c r="F210" s="209">
        <f>Database!T210</f>
        <v/>
      </c>
      <c r="G210" s="208">
        <f>IF($B210="","",IFERROR(BDP($B210&amp;" Action","GREENSHOE_FACILITY"),""))</f>
        <v/>
      </c>
      <c r="H210" s="208">
        <f>IF($B210="","",IFERROR(BDP($B210&amp;" Action","OFFERING_GREENSHOE_SHARES_EX"),""))</f>
        <v/>
      </c>
      <c r="I210" s="32">
        <f>Database!AE210</f>
        <v/>
      </c>
      <c r="J210" s="39">
        <f>IFERROR(BDP(TEXT(VALUE(Database!$A210),"0")&amp;" HK Equity","PE_RATIO"),"")</f>
        <v/>
      </c>
      <c r="K210" s="24">
        <f>IFERROR(BDP(TEXT(VALUE(Database!$A210),"0")&amp;" HK Equity","A/H_SHARE_CONVERSION"),"")</f>
        <v/>
      </c>
      <c r="L210" s="32">
        <f>IF(Database!BN210="","(none found)",Database!BN210)</f>
        <v/>
      </c>
      <c r="M210" s="34">
        <f>BDH(TEXT(VALUE(Database!$A210),"0")&amp;" HK Equity","CUR_MKT_CAP",Database!$H210,Database!$H210)</f>
        <v/>
      </c>
      <c r="N210" s="166">
        <f>Database!Q210</f>
        <v/>
      </c>
      <c r="O210" s="39">
        <f>BDH(TEXT(VALUE(Database!$A210),"0")&amp;" HK Equity","PE_RATIO",Database!$H210,Database!$H210)</f>
        <v/>
      </c>
      <c r="P210" s="199">
        <f>IF(Database!BH210="","(n/m or not derivable)",Database!BH210)</f>
        <v/>
      </c>
      <c r="Q210" s="39">
        <f>IF(Database!BN210="","",BDH(LEFT(Database!BN210,FIND(".",Database!BN210)-1)&amp;" CH Equity","PE_RATIO",Database!$H210,Database!$H210))</f>
        <v/>
      </c>
      <c r="R210" s="39">
        <f>IF(Database!BN210="","",BDH("HSAHP Index","PX_LAST",Database!$H210,Database!$H210))</f>
        <v/>
      </c>
      <c r="S210" s="39">
        <f>IFERROR(BDP(TEXT(VALUE(Database!$A210),"0")&amp;" HK Equity","PX_TO_SALES_RATIO"),"")</f>
        <v/>
      </c>
      <c r="T210" s="34">
        <f>IF(Database!BN210="","",IFERROR(BDP(LEFT(Database!BN210,FIND(".",Database!BN210)-1)&amp;" CH Equity","CUR_MKT_CAP")*BDP("CNYHKD Curncy","PX_LAST"),"Awaiting quote"))</f>
        <v/>
      </c>
    </row>
    <row r="211" ht="23" customHeight="1">
      <c r="A211" s="32">
        <f>Database!A211&amp;"  "&amp;Database!B211</f>
        <v/>
      </c>
      <c r="B211" s="24">
        <f>IFERROR(INDEX(BDS(TEXT(VALUE(Database!$A211),"0")&amp;" HK Equity","EQUITY_OFFERINGS","array=t","endcol=1"),MATCH("IPO",BDS(TEXT(VALUE(Database!$A211),"0")&amp;" HK Equity","EQUITY_OFFERINGS","array=t","startcol=2","endcol=2"),0)),"")</f>
        <v/>
      </c>
      <c r="C211" s="208">
        <f>IF($B211="","",IFERROR(BDP($B211&amp;" Action","CP036"),""))</f>
        <v/>
      </c>
      <c r="D211" s="209">
        <f>Database!S211</f>
        <v/>
      </c>
      <c r="E211" s="208">
        <f>IF($B211="","",IFERROR(BDP($B211&amp;" Action","CP037"),""))</f>
        <v/>
      </c>
      <c r="F211" s="209">
        <f>Database!T211</f>
        <v/>
      </c>
      <c r="G211" s="208">
        <f>IF($B211="","",IFERROR(BDP($B211&amp;" Action","GREENSHOE_FACILITY"),""))</f>
        <v/>
      </c>
      <c r="H211" s="208">
        <f>IF($B211="","",IFERROR(BDP($B211&amp;" Action","OFFERING_GREENSHOE_SHARES_EX"),""))</f>
        <v/>
      </c>
      <c r="I211" s="32">
        <f>Database!AE211</f>
        <v/>
      </c>
      <c r="J211" s="39">
        <f>IFERROR(BDP(TEXT(VALUE(Database!$A211),"0")&amp;" HK Equity","PE_RATIO"),"")</f>
        <v/>
      </c>
      <c r="K211" s="24">
        <f>IFERROR(BDP(TEXT(VALUE(Database!$A211),"0")&amp;" HK Equity","A/H_SHARE_CONVERSION"),"")</f>
        <v/>
      </c>
      <c r="L211" s="32">
        <f>IF(Database!BN211="","(none found)",Database!BN211)</f>
        <v/>
      </c>
      <c r="M211" s="34">
        <f>BDH(TEXT(VALUE(Database!$A211),"0")&amp;" HK Equity","CUR_MKT_CAP",Database!$H211,Database!$H211)</f>
        <v/>
      </c>
      <c r="N211" s="166">
        <f>Database!Q211</f>
        <v/>
      </c>
      <c r="O211" s="39">
        <f>BDH(TEXT(VALUE(Database!$A211),"0")&amp;" HK Equity","PE_RATIO",Database!$H211,Database!$H211)</f>
        <v/>
      </c>
      <c r="P211" s="199">
        <f>IF(Database!BH211="","(n/m or not derivable)",Database!BH211)</f>
        <v/>
      </c>
      <c r="Q211" s="39">
        <f>IF(Database!BN211="","",BDH(LEFT(Database!BN211,FIND(".",Database!BN211)-1)&amp;" CH Equity","PE_RATIO",Database!$H211,Database!$H211))</f>
        <v/>
      </c>
      <c r="R211" s="39">
        <f>IF(Database!BN211="","",BDH("HSAHP Index","PX_LAST",Database!$H211,Database!$H211))</f>
        <v/>
      </c>
      <c r="S211" s="39">
        <f>IFERROR(BDP(TEXT(VALUE(Database!$A211),"0")&amp;" HK Equity","PX_TO_SALES_RATIO"),"")</f>
        <v/>
      </c>
      <c r="T211" s="34">
        <f>IF(Database!BN211="","",IFERROR(BDP(LEFT(Database!BN211,FIND(".",Database!BN211)-1)&amp;" CH Equity","CUR_MKT_CAP")*BDP("CNYHKD Curncy","PX_LAST"),"Awaiting quote"))</f>
        <v/>
      </c>
    </row>
    <row r="212" ht="23" customHeight="1">
      <c r="A212" s="32">
        <f>Database!A212&amp;"  "&amp;Database!B212</f>
        <v/>
      </c>
      <c r="B212" s="24">
        <f>IFERROR(INDEX(BDS(TEXT(VALUE(Database!$A212),"0")&amp;" HK Equity","EQUITY_OFFERINGS","array=t","endcol=1"),MATCH("IPO",BDS(TEXT(VALUE(Database!$A212),"0")&amp;" HK Equity","EQUITY_OFFERINGS","array=t","startcol=2","endcol=2"),0)),"")</f>
        <v/>
      </c>
      <c r="C212" s="208">
        <f>IF($B212="","",IFERROR(BDP($B212&amp;" Action","CP036"),""))</f>
        <v/>
      </c>
      <c r="D212" s="209">
        <f>Database!S212</f>
        <v/>
      </c>
      <c r="E212" s="208">
        <f>IF($B212="","",IFERROR(BDP($B212&amp;" Action","CP037"),""))</f>
        <v/>
      </c>
      <c r="F212" s="209">
        <f>Database!T212</f>
        <v/>
      </c>
      <c r="G212" s="208">
        <f>IF($B212="","",IFERROR(BDP($B212&amp;" Action","GREENSHOE_FACILITY"),""))</f>
        <v/>
      </c>
      <c r="H212" s="208">
        <f>IF($B212="","",IFERROR(BDP($B212&amp;" Action","OFFERING_GREENSHOE_SHARES_EX"),""))</f>
        <v/>
      </c>
      <c r="I212" s="32">
        <f>Database!AE212</f>
        <v/>
      </c>
      <c r="J212" s="39">
        <f>IFERROR(BDP(TEXT(VALUE(Database!$A212),"0")&amp;" HK Equity","PE_RATIO"),"")</f>
        <v/>
      </c>
      <c r="K212" s="24">
        <f>IFERROR(BDP(TEXT(VALUE(Database!$A212),"0")&amp;" HK Equity","A/H_SHARE_CONVERSION"),"")</f>
        <v/>
      </c>
      <c r="L212" s="32">
        <f>IF(Database!BN212="","(none found)",Database!BN212)</f>
        <v/>
      </c>
      <c r="M212" s="34">
        <f>BDH(TEXT(VALUE(Database!$A212),"0")&amp;" HK Equity","CUR_MKT_CAP",Database!$H212,Database!$H212)</f>
        <v/>
      </c>
      <c r="N212" s="166">
        <f>Database!Q212</f>
        <v/>
      </c>
      <c r="O212" s="39">
        <f>BDH(TEXT(VALUE(Database!$A212),"0")&amp;" HK Equity","PE_RATIO",Database!$H212,Database!$H212)</f>
        <v/>
      </c>
      <c r="P212" s="199">
        <f>IF(Database!BH212="","(n/m or not derivable)",Database!BH212)</f>
        <v/>
      </c>
      <c r="Q212" s="39">
        <f>IF(Database!BN212="","",BDH(LEFT(Database!BN212,FIND(".",Database!BN212)-1)&amp;" CH Equity","PE_RATIO",Database!$H212,Database!$H212))</f>
        <v/>
      </c>
      <c r="R212" s="39">
        <f>IF(Database!BN212="","",BDH("HSAHP Index","PX_LAST",Database!$H212,Database!$H212))</f>
        <v/>
      </c>
      <c r="S212" s="39">
        <f>IFERROR(BDP(TEXT(VALUE(Database!$A212),"0")&amp;" HK Equity","PX_TO_SALES_RATIO"),"")</f>
        <v/>
      </c>
      <c r="T212" s="34">
        <f>IF(Database!BN212="","",IFERROR(BDP(LEFT(Database!BN212,FIND(".",Database!BN212)-1)&amp;" CH Equity","CUR_MKT_CAP")*BDP("CNYHKD Curncy","PX_LAST"),"Awaiting quote"))</f>
        <v/>
      </c>
    </row>
    <row r="213" ht="23" customHeight="1">
      <c r="A213" s="32">
        <f>Database!A213&amp;"  "&amp;Database!B213</f>
        <v/>
      </c>
      <c r="B213" s="24">
        <f>IFERROR(INDEX(BDS(TEXT(VALUE(Database!$A213),"0")&amp;" HK Equity","EQUITY_OFFERINGS","array=t","endcol=1"),MATCH("IPO",BDS(TEXT(VALUE(Database!$A213),"0")&amp;" HK Equity","EQUITY_OFFERINGS","array=t","startcol=2","endcol=2"),0)),"")</f>
        <v/>
      </c>
      <c r="C213" s="208">
        <f>IF($B213="","",IFERROR(BDP($B213&amp;" Action","CP036"),""))</f>
        <v/>
      </c>
      <c r="D213" s="209">
        <f>Database!S213</f>
        <v/>
      </c>
      <c r="E213" s="208">
        <f>IF($B213="","",IFERROR(BDP($B213&amp;" Action","CP037"),""))</f>
        <v/>
      </c>
      <c r="F213" s="209">
        <f>Database!T213</f>
        <v/>
      </c>
      <c r="G213" s="208">
        <f>IF($B213="","",IFERROR(BDP($B213&amp;" Action","GREENSHOE_FACILITY"),""))</f>
        <v/>
      </c>
      <c r="H213" s="208">
        <f>IF($B213="","",IFERROR(BDP($B213&amp;" Action","OFFERING_GREENSHOE_SHARES_EX"),""))</f>
        <v/>
      </c>
      <c r="I213" s="32">
        <f>Database!AE213</f>
        <v/>
      </c>
      <c r="J213" s="39">
        <f>IFERROR(BDP(TEXT(VALUE(Database!$A213),"0")&amp;" HK Equity","PE_RATIO"),"")</f>
        <v/>
      </c>
      <c r="K213" s="24">
        <f>IFERROR(BDP(TEXT(VALUE(Database!$A213),"0")&amp;" HK Equity","A/H_SHARE_CONVERSION"),"")</f>
        <v/>
      </c>
      <c r="L213" s="32">
        <f>IF(Database!BN213="","(none found)",Database!BN213)</f>
        <v/>
      </c>
      <c r="M213" s="34">
        <f>BDH(TEXT(VALUE(Database!$A213),"0")&amp;" HK Equity","CUR_MKT_CAP",Database!$H213,Database!$H213)</f>
        <v/>
      </c>
      <c r="N213" s="166">
        <f>Database!Q213</f>
        <v/>
      </c>
      <c r="O213" s="39">
        <f>BDH(TEXT(VALUE(Database!$A213),"0")&amp;" HK Equity","PE_RATIO",Database!$H213,Database!$H213)</f>
        <v/>
      </c>
      <c r="P213" s="199">
        <f>IF(Database!BH213="","(n/m or not derivable)",Database!BH213)</f>
        <v/>
      </c>
      <c r="Q213" s="39">
        <f>IF(Database!BN213="","",BDH(LEFT(Database!BN213,FIND(".",Database!BN213)-1)&amp;" CH Equity","PE_RATIO",Database!$H213,Database!$H213))</f>
        <v/>
      </c>
      <c r="R213" s="39">
        <f>IF(Database!BN213="","",BDH("HSAHP Index","PX_LAST",Database!$H213,Database!$H213))</f>
        <v/>
      </c>
      <c r="S213" s="39">
        <f>IFERROR(BDP(TEXT(VALUE(Database!$A213),"0")&amp;" HK Equity","PX_TO_SALES_RATIO"),"")</f>
        <v/>
      </c>
      <c r="T213" s="34">
        <f>IF(Database!BN213="","",IFERROR(BDP(LEFT(Database!BN213,FIND(".",Database!BN213)-1)&amp;" CH Equity","CUR_MKT_CAP")*BDP("CNYHKD Curncy","PX_LAST"),"Awaiting quote"))</f>
        <v/>
      </c>
    </row>
    <row r="214" ht="23" customHeight="1">
      <c r="A214" s="32">
        <f>Database!A214&amp;"  "&amp;Database!B214</f>
        <v/>
      </c>
      <c r="B214" s="24">
        <f>IFERROR(INDEX(BDS(TEXT(VALUE(Database!$A214),"0")&amp;" HK Equity","EQUITY_OFFERINGS","array=t","endcol=1"),MATCH("IPO",BDS(TEXT(VALUE(Database!$A214),"0")&amp;" HK Equity","EQUITY_OFFERINGS","array=t","startcol=2","endcol=2"),0)),"")</f>
        <v/>
      </c>
      <c r="C214" s="208">
        <f>IF($B214="","",IFERROR(BDP($B214&amp;" Action","CP036"),""))</f>
        <v/>
      </c>
      <c r="D214" s="209">
        <f>Database!S214</f>
        <v/>
      </c>
      <c r="E214" s="208">
        <f>IF($B214="","",IFERROR(BDP($B214&amp;" Action","CP037"),""))</f>
        <v/>
      </c>
      <c r="F214" s="209">
        <f>Database!T214</f>
        <v/>
      </c>
      <c r="G214" s="208">
        <f>IF($B214="","",IFERROR(BDP($B214&amp;" Action","GREENSHOE_FACILITY"),""))</f>
        <v/>
      </c>
      <c r="H214" s="208">
        <f>IF($B214="","",IFERROR(BDP($B214&amp;" Action","OFFERING_GREENSHOE_SHARES_EX"),""))</f>
        <v/>
      </c>
      <c r="I214" s="32">
        <f>Database!AE214</f>
        <v/>
      </c>
      <c r="J214" s="39">
        <f>IFERROR(BDP(TEXT(VALUE(Database!$A214),"0")&amp;" HK Equity","PE_RATIO"),"")</f>
        <v/>
      </c>
      <c r="K214" s="24">
        <f>IFERROR(BDP(TEXT(VALUE(Database!$A214),"0")&amp;" HK Equity","A/H_SHARE_CONVERSION"),"")</f>
        <v/>
      </c>
      <c r="L214" s="32">
        <f>IF(Database!BN214="","(none found)",Database!BN214)</f>
        <v/>
      </c>
      <c r="M214" s="34">
        <f>BDH(TEXT(VALUE(Database!$A214),"0")&amp;" HK Equity","CUR_MKT_CAP",Database!$H214,Database!$H214)</f>
        <v/>
      </c>
      <c r="N214" s="166">
        <f>Database!Q214</f>
        <v/>
      </c>
      <c r="O214" s="39">
        <f>BDH(TEXT(VALUE(Database!$A214),"0")&amp;" HK Equity","PE_RATIO",Database!$H214,Database!$H214)</f>
        <v/>
      </c>
      <c r="P214" s="199">
        <f>IF(Database!BH214="","(n/m or not derivable)",Database!BH214)</f>
        <v/>
      </c>
      <c r="Q214" s="39">
        <f>IF(Database!BN214="","",BDH(LEFT(Database!BN214,FIND(".",Database!BN214)-1)&amp;" CH Equity","PE_RATIO",Database!$H214,Database!$H214))</f>
        <v/>
      </c>
      <c r="R214" s="39">
        <f>IF(Database!BN214="","",BDH("HSAHP Index","PX_LAST",Database!$H214,Database!$H214))</f>
        <v/>
      </c>
      <c r="S214" s="39">
        <f>IFERROR(BDP(TEXT(VALUE(Database!$A214),"0")&amp;" HK Equity","PX_TO_SALES_RATIO"),"")</f>
        <v/>
      </c>
      <c r="T214" s="34">
        <f>IF(Database!BN214="","",IFERROR(BDP(LEFT(Database!BN214,FIND(".",Database!BN214)-1)&amp;" CH Equity","CUR_MKT_CAP")*BDP("CNYHKD Curncy","PX_LAST"),"Awaiting quote"))</f>
        <v/>
      </c>
    </row>
    <row r="215" ht="23" customHeight="1">
      <c r="A215" s="32">
        <f>Database!A215&amp;"  "&amp;Database!B215</f>
        <v/>
      </c>
      <c r="B215" s="24">
        <f>IFERROR(INDEX(BDS(TEXT(VALUE(Database!$A215),"0")&amp;" HK Equity","EQUITY_OFFERINGS","array=t","endcol=1"),MATCH("IPO",BDS(TEXT(VALUE(Database!$A215),"0")&amp;" HK Equity","EQUITY_OFFERINGS","array=t","startcol=2","endcol=2"),0)),"")</f>
        <v/>
      </c>
      <c r="C215" s="208">
        <f>IF($B215="","",IFERROR(BDP($B215&amp;" Action","CP036"),""))</f>
        <v/>
      </c>
      <c r="D215" s="209">
        <f>Database!S215</f>
        <v/>
      </c>
      <c r="E215" s="208">
        <f>IF($B215="","",IFERROR(BDP($B215&amp;" Action","CP037"),""))</f>
        <v/>
      </c>
      <c r="F215" s="209">
        <f>Database!T215</f>
        <v/>
      </c>
      <c r="G215" s="208">
        <f>IF($B215="","",IFERROR(BDP($B215&amp;" Action","GREENSHOE_FACILITY"),""))</f>
        <v/>
      </c>
      <c r="H215" s="208">
        <f>IF($B215="","",IFERROR(BDP($B215&amp;" Action","OFFERING_GREENSHOE_SHARES_EX"),""))</f>
        <v/>
      </c>
      <c r="I215" s="32">
        <f>Database!AE215</f>
        <v/>
      </c>
      <c r="J215" s="39">
        <f>IFERROR(BDP(TEXT(VALUE(Database!$A215),"0")&amp;" HK Equity","PE_RATIO"),"")</f>
        <v/>
      </c>
      <c r="K215" s="24">
        <f>IFERROR(BDP(TEXT(VALUE(Database!$A215),"0")&amp;" HK Equity","A/H_SHARE_CONVERSION"),"")</f>
        <v/>
      </c>
      <c r="L215" s="32">
        <f>IF(Database!BN215="","(none found)",Database!BN215)</f>
        <v/>
      </c>
      <c r="M215" s="34">
        <f>BDH(TEXT(VALUE(Database!$A215),"0")&amp;" HK Equity","CUR_MKT_CAP",Database!$H215,Database!$H215)</f>
        <v/>
      </c>
      <c r="N215" s="166">
        <f>Database!Q215</f>
        <v/>
      </c>
      <c r="O215" s="39">
        <f>BDH(TEXT(VALUE(Database!$A215),"0")&amp;" HK Equity","PE_RATIO",Database!$H215,Database!$H215)</f>
        <v/>
      </c>
      <c r="P215" s="199">
        <f>IF(Database!BH215="","(n/m or not derivable)",Database!BH215)</f>
        <v/>
      </c>
      <c r="Q215" s="39">
        <f>IF(Database!BN215="","",BDH(LEFT(Database!BN215,FIND(".",Database!BN215)-1)&amp;" CH Equity","PE_RATIO",Database!$H215,Database!$H215))</f>
        <v/>
      </c>
      <c r="R215" s="39">
        <f>IF(Database!BN215="","",BDH("HSAHP Index","PX_LAST",Database!$H215,Database!$H215))</f>
        <v/>
      </c>
      <c r="S215" s="39">
        <f>IFERROR(BDP(TEXT(VALUE(Database!$A215),"0")&amp;" HK Equity","PX_TO_SALES_RATIO"),"")</f>
        <v/>
      </c>
      <c r="T215" s="34">
        <f>IF(Database!BN215="","",IFERROR(BDP(LEFT(Database!BN215,FIND(".",Database!BN215)-1)&amp;" CH Equity","CUR_MKT_CAP")*BDP("CNYHKD Curncy","PX_LAST"),"Awaiting quote"))</f>
        <v/>
      </c>
    </row>
    <row r="216" ht="23" customHeight="1">
      <c r="A216" s="32">
        <f>Database!A216&amp;"  "&amp;Database!B216</f>
        <v/>
      </c>
      <c r="B216" s="24">
        <f>IFERROR(INDEX(BDS(TEXT(VALUE(Database!$A216),"0")&amp;" HK Equity","EQUITY_OFFERINGS","array=t","endcol=1"),MATCH("IPO",BDS(TEXT(VALUE(Database!$A216),"0")&amp;" HK Equity","EQUITY_OFFERINGS","array=t","startcol=2","endcol=2"),0)),"")</f>
        <v/>
      </c>
      <c r="C216" s="208">
        <f>IF($B216="","",IFERROR(BDP($B216&amp;" Action","CP036"),""))</f>
        <v/>
      </c>
      <c r="D216" s="209">
        <f>Database!S216</f>
        <v/>
      </c>
      <c r="E216" s="208">
        <f>IF($B216="","",IFERROR(BDP($B216&amp;" Action","CP037"),""))</f>
        <v/>
      </c>
      <c r="F216" s="209">
        <f>Database!T216</f>
        <v/>
      </c>
      <c r="G216" s="208">
        <f>IF($B216="","",IFERROR(BDP($B216&amp;" Action","GREENSHOE_FACILITY"),""))</f>
        <v/>
      </c>
      <c r="H216" s="208">
        <f>IF($B216="","",IFERROR(BDP($B216&amp;" Action","OFFERING_GREENSHOE_SHARES_EX"),""))</f>
        <v/>
      </c>
      <c r="I216" s="32">
        <f>Database!AE216</f>
        <v/>
      </c>
      <c r="J216" s="39">
        <f>IFERROR(BDP(TEXT(VALUE(Database!$A216),"0")&amp;" HK Equity","PE_RATIO"),"")</f>
        <v/>
      </c>
      <c r="K216" s="24">
        <f>IFERROR(BDP(TEXT(VALUE(Database!$A216),"0")&amp;" HK Equity","A/H_SHARE_CONVERSION"),"")</f>
        <v/>
      </c>
      <c r="L216" s="32">
        <f>IF(Database!BN216="","(none found)",Database!BN216)</f>
        <v/>
      </c>
      <c r="M216" s="34">
        <f>BDH(TEXT(VALUE(Database!$A216),"0")&amp;" HK Equity","CUR_MKT_CAP",Database!$H216,Database!$H216)</f>
        <v/>
      </c>
      <c r="N216" s="166">
        <f>Database!Q216</f>
        <v/>
      </c>
      <c r="O216" s="39">
        <f>BDH(TEXT(VALUE(Database!$A216),"0")&amp;" HK Equity","PE_RATIO",Database!$H216,Database!$H216)</f>
        <v/>
      </c>
      <c r="P216" s="199">
        <f>IF(Database!BH216="","(n/m or not derivable)",Database!BH216)</f>
        <v/>
      </c>
      <c r="Q216" s="39">
        <f>IF(Database!BN216="","",BDH(LEFT(Database!BN216,FIND(".",Database!BN216)-1)&amp;" CH Equity","PE_RATIO",Database!$H216,Database!$H216))</f>
        <v/>
      </c>
      <c r="R216" s="39">
        <f>IF(Database!BN216="","",BDH("HSAHP Index","PX_LAST",Database!$H216,Database!$H216))</f>
        <v/>
      </c>
      <c r="S216" s="39">
        <f>IFERROR(BDP(TEXT(VALUE(Database!$A216),"0")&amp;" HK Equity","PX_TO_SALES_RATIO"),"")</f>
        <v/>
      </c>
      <c r="T216" s="34">
        <f>IF(Database!BN216="","",IFERROR(BDP(LEFT(Database!BN216,FIND(".",Database!BN216)-1)&amp;" CH Equity","CUR_MKT_CAP")*BDP("CNYHKD Curncy","PX_LAST"),"Awaiting quote"))</f>
        <v/>
      </c>
    </row>
    <row r="217" ht="23" customHeight="1">
      <c r="A217" s="32">
        <f>Database!A217&amp;"  "&amp;Database!B217</f>
        <v/>
      </c>
      <c r="B217" s="24">
        <f>IFERROR(INDEX(BDS(TEXT(VALUE(Database!$A217),"0")&amp;" HK Equity","EQUITY_OFFERINGS","array=t","endcol=1"),MATCH("IPO",BDS(TEXT(VALUE(Database!$A217),"0")&amp;" HK Equity","EQUITY_OFFERINGS","array=t","startcol=2","endcol=2"),0)),"")</f>
        <v/>
      </c>
      <c r="C217" s="208">
        <f>IF($B217="","",IFERROR(BDP($B217&amp;" Action","CP036"),""))</f>
        <v/>
      </c>
      <c r="D217" s="209">
        <f>Database!S217</f>
        <v/>
      </c>
      <c r="E217" s="208">
        <f>IF($B217="","",IFERROR(BDP($B217&amp;" Action","CP037"),""))</f>
        <v/>
      </c>
      <c r="F217" s="209">
        <f>Database!T217</f>
        <v/>
      </c>
      <c r="G217" s="208">
        <f>IF($B217="","",IFERROR(BDP($B217&amp;" Action","GREENSHOE_FACILITY"),""))</f>
        <v/>
      </c>
      <c r="H217" s="208">
        <f>IF($B217="","",IFERROR(BDP($B217&amp;" Action","OFFERING_GREENSHOE_SHARES_EX"),""))</f>
        <v/>
      </c>
      <c r="I217" s="32">
        <f>Database!AE217</f>
        <v/>
      </c>
      <c r="J217" s="39">
        <f>IFERROR(BDP(TEXT(VALUE(Database!$A217),"0")&amp;" HK Equity","PE_RATIO"),"")</f>
        <v/>
      </c>
      <c r="K217" s="24">
        <f>IFERROR(BDP(TEXT(VALUE(Database!$A217),"0")&amp;" HK Equity","A/H_SHARE_CONVERSION"),"")</f>
        <v/>
      </c>
      <c r="L217" s="32">
        <f>IF(Database!BN217="","(none found)",Database!BN217)</f>
        <v/>
      </c>
      <c r="M217" s="34">
        <f>BDH(TEXT(VALUE(Database!$A217),"0")&amp;" HK Equity","CUR_MKT_CAP",Database!$H217,Database!$H217)</f>
        <v/>
      </c>
      <c r="N217" s="166">
        <f>Database!Q217</f>
        <v/>
      </c>
      <c r="O217" s="39">
        <f>BDH(TEXT(VALUE(Database!$A217),"0")&amp;" HK Equity","PE_RATIO",Database!$H217,Database!$H217)</f>
        <v/>
      </c>
      <c r="P217" s="199">
        <f>IF(Database!BH217="","(n/m or not derivable)",Database!BH217)</f>
        <v/>
      </c>
      <c r="Q217" s="39">
        <f>IF(Database!BN217="","",BDH(LEFT(Database!BN217,FIND(".",Database!BN217)-1)&amp;" CH Equity","PE_RATIO",Database!$H217,Database!$H217))</f>
        <v/>
      </c>
      <c r="R217" s="39">
        <f>IF(Database!BN217="","",BDH("HSAHP Index","PX_LAST",Database!$H217,Database!$H217))</f>
        <v/>
      </c>
      <c r="S217" s="39">
        <f>IFERROR(BDP(TEXT(VALUE(Database!$A217),"0")&amp;" HK Equity","PX_TO_SALES_RATIO"),"")</f>
        <v/>
      </c>
      <c r="T217" s="34">
        <f>IF(Database!BN217="","",IFERROR(BDP(LEFT(Database!BN217,FIND(".",Database!BN217)-1)&amp;" CH Equity","CUR_MKT_CAP")*BDP("CNYHKD Curncy","PX_LAST"),"Awaiting quote"))</f>
        <v/>
      </c>
    </row>
    <row r="218" ht="23" customHeight="1">
      <c r="A218" s="32">
        <f>Database!A218&amp;"  "&amp;Database!B218</f>
        <v/>
      </c>
      <c r="B218" s="24">
        <f>IFERROR(INDEX(BDS(TEXT(VALUE(Database!$A218),"0")&amp;" HK Equity","EQUITY_OFFERINGS","array=t","endcol=1"),MATCH("IPO",BDS(TEXT(VALUE(Database!$A218),"0")&amp;" HK Equity","EQUITY_OFFERINGS","array=t","startcol=2","endcol=2"),0)),"")</f>
        <v/>
      </c>
      <c r="C218" s="208">
        <f>IF($B218="","",IFERROR(BDP($B218&amp;" Action","CP036"),""))</f>
        <v/>
      </c>
      <c r="D218" s="209">
        <f>Database!S218</f>
        <v/>
      </c>
      <c r="E218" s="208">
        <f>IF($B218="","",IFERROR(BDP($B218&amp;" Action","CP037"),""))</f>
        <v/>
      </c>
      <c r="F218" s="209">
        <f>Database!T218</f>
        <v/>
      </c>
      <c r="G218" s="208">
        <f>IF($B218="","",IFERROR(BDP($B218&amp;" Action","GREENSHOE_FACILITY"),""))</f>
        <v/>
      </c>
      <c r="H218" s="208">
        <f>IF($B218="","",IFERROR(BDP($B218&amp;" Action","OFFERING_GREENSHOE_SHARES_EX"),""))</f>
        <v/>
      </c>
      <c r="I218" s="32">
        <f>Database!AE218</f>
        <v/>
      </c>
      <c r="J218" s="39">
        <f>IFERROR(BDP(TEXT(VALUE(Database!$A218),"0")&amp;" HK Equity","PE_RATIO"),"")</f>
        <v/>
      </c>
      <c r="K218" s="24">
        <f>IFERROR(BDP(TEXT(VALUE(Database!$A218),"0")&amp;" HK Equity","A/H_SHARE_CONVERSION"),"")</f>
        <v/>
      </c>
      <c r="L218" s="32">
        <f>IF(Database!BN218="","(none found)",Database!BN218)</f>
        <v/>
      </c>
      <c r="M218" s="34">
        <f>BDH(TEXT(VALUE(Database!$A218),"0")&amp;" HK Equity","CUR_MKT_CAP",Database!$H218,Database!$H218)</f>
        <v/>
      </c>
      <c r="N218" s="166">
        <f>Database!Q218</f>
        <v/>
      </c>
      <c r="O218" s="39">
        <f>BDH(TEXT(VALUE(Database!$A218),"0")&amp;" HK Equity","PE_RATIO",Database!$H218,Database!$H218)</f>
        <v/>
      </c>
      <c r="P218" s="199">
        <f>IF(Database!BH218="","(n/m or not derivable)",Database!BH218)</f>
        <v/>
      </c>
      <c r="Q218" s="39">
        <f>IF(Database!BN218="","",BDH(LEFT(Database!BN218,FIND(".",Database!BN218)-1)&amp;" CH Equity","PE_RATIO",Database!$H218,Database!$H218))</f>
        <v/>
      </c>
      <c r="R218" s="39">
        <f>IF(Database!BN218="","",BDH("HSAHP Index","PX_LAST",Database!$H218,Database!$H218))</f>
        <v/>
      </c>
      <c r="S218" s="39">
        <f>IFERROR(BDP(TEXT(VALUE(Database!$A218),"0")&amp;" HK Equity","PX_TO_SALES_RATIO"),"")</f>
        <v/>
      </c>
      <c r="T218" s="34">
        <f>IF(Database!BN218="","",IFERROR(BDP(LEFT(Database!BN218,FIND(".",Database!BN218)-1)&amp;" CH Equity","CUR_MKT_CAP")*BDP("CNYHKD Curncy","PX_LAST"),"Awaiting quote"))</f>
        <v/>
      </c>
    </row>
    <row r="219" ht="23" customHeight="1">
      <c r="A219" s="32">
        <f>Database!A219&amp;"  "&amp;Database!B219</f>
        <v/>
      </c>
      <c r="B219" s="24">
        <f>IFERROR(INDEX(BDS(TEXT(VALUE(Database!$A219),"0")&amp;" HK Equity","EQUITY_OFFERINGS","array=t","endcol=1"),MATCH("IPO",BDS(TEXT(VALUE(Database!$A219),"0")&amp;" HK Equity","EQUITY_OFFERINGS","array=t","startcol=2","endcol=2"),0)),"")</f>
        <v/>
      </c>
      <c r="C219" s="208">
        <f>IF($B219="","",IFERROR(BDP($B219&amp;" Action","CP036"),""))</f>
        <v/>
      </c>
      <c r="D219" s="209">
        <f>Database!S219</f>
        <v/>
      </c>
      <c r="E219" s="208">
        <f>IF($B219="","",IFERROR(BDP($B219&amp;" Action","CP037"),""))</f>
        <v/>
      </c>
      <c r="F219" s="209">
        <f>Database!T219</f>
        <v/>
      </c>
      <c r="G219" s="208">
        <f>IF($B219="","",IFERROR(BDP($B219&amp;" Action","GREENSHOE_FACILITY"),""))</f>
        <v/>
      </c>
      <c r="H219" s="208">
        <f>IF($B219="","",IFERROR(BDP($B219&amp;" Action","OFFERING_GREENSHOE_SHARES_EX"),""))</f>
        <v/>
      </c>
      <c r="I219" s="32">
        <f>Database!AE219</f>
        <v/>
      </c>
      <c r="J219" s="39">
        <f>IFERROR(BDP(TEXT(VALUE(Database!$A219),"0")&amp;" HK Equity","PE_RATIO"),"")</f>
        <v/>
      </c>
      <c r="K219" s="24">
        <f>IFERROR(BDP(TEXT(VALUE(Database!$A219),"0")&amp;" HK Equity","A/H_SHARE_CONVERSION"),"")</f>
        <v/>
      </c>
      <c r="L219" s="32">
        <f>IF(Database!BN219="","(none found)",Database!BN219)</f>
        <v/>
      </c>
      <c r="M219" s="34">
        <f>BDH(TEXT(VALUE(Database!$A219),"0")&amp;" HK Equity","CUR_MKT_CAP",Database!$H219,Database!$H219)</f>
        <v/>
      </c>
      <c r="N219" s="166">
        <f>Database!Q219</f>
        <v/>
      </c>
      <c r="O219" s="39">
        <f>BDH(TEXT(VALUE(Database!$A219),"0")&amp;" HK Equity","PE_RATIO",Database!$H219,Database!$H219)</f>
        <v/>
      </c>
      <c r="P219" s="199">
        <f>IF(Database!BH219="","(n/m or not derivable)",Database!BH219)</f>
        <v/>
      </c>
      <c r="Q219" s="39">
        <f>IF(Database!BN219="","",BDH(LEFT(Database!BN219,FIND(".",Database!BN219)-1)&amp;" CH Equity","PE_RATIO",Database!$H219,Database!$H219))</f>
        <v/>
      </c>
      <c r="R219" s="39">
        <f>IF(Database!BN219="","",BDH("HSAHP Index","PX_LAST",Database!$H219,Database!$H219))</f>
        <v/>
      </c>
      <c r="S219" s="39">
        <f>IFERROR(BDP(TEXT(VALUE(Database!$A219),"0")&amp;" HK Equity","PX_TO_SALES_RATIO"),"")</f>
        <v/>
      </c>
      <c r="T219" s="34">
        <f>IF(Database!BN219="","",IFERROR(BDP(LEFT(Database!BN219,FIND(".",Database!BN219)-1)&amp;" CH Equity","CUR_MKT_CAP")*BDP("CNYHKD Curncy","PX_LAST"),"Awaiting quote"))</f>
        <v/>
      </c>
    </row>
    <row r="220" ht="23" customHeight="1">
      <c r="A220" s="32">
        <f>Database!A220&amp;"  "&amp;Database!B220</f>
        <v/>
      </c>
      <c r="B220" s="24">
        <f>IFERROR(INDEX(BDS(TEXT(VALUE(Database!$A220),"0")&amp;" HK Equity","EQUITY_OFFERINGS","array=t","endcol=1"),MATCH("IPO",BDS(TEXT(VALUE(Database!$A220),"0")&amp;" HK Equity","EQUITY_OFFERINGS","array=t","startcol=2","endcol=2"),0)),"")</f>
        <v/>
      </c>
      <c r="C220" s="208">
        <f>IF($B220="","",IFERROR(BDP($B220&amp;" Action","CP036"),""))</f>
        <v/>
      </c>
      <c r="D220" s="209">
        <f>Database!S220</f>
        <v/>
      </c>
      <c r="E220" s="208">
        <f>IF($B220="","",IFERROR(BDP($B220&amp;" Action","CP037"),""))</f>
        <v/>
      </c>
      <c r="F220" s="209">
        <f>Database!T220</f>
        <v/>
      </c>
      <c r="G220" s="208">
        <f>IF($B220="","",IFERROR(BDP($B220&amp;" Action","GREENSHOE_FACILITY"),""))</f>
        <v/>
      </c>
      <c r="H220" s="208">
        <f>IF($B220="","",IFERROR(BDP($B220&amp;" Action","OFFERING_GREENSHOE_SHARES_EX"),""))</f>
        <v/>
      </c>
      <c r="I220" s="32">
        <f>Database!AE220</f>
        <v/>
      </c>
      <c r="J220" s="39">
        <f>IFERROR(BDP(TEXT(VALUE(Database!$A220),"0")&amp;" HK Equity","PE_RATIO"),"")</f>
        <v/>
      </c>
      <c r="K220" s="24">
        <f>IFERROR(BDP(TEXT(VALUE(Database!$A220),"0")&amp;" HK Equity","A/H_SHARE_CONVERSION"),"")</f>
        <v/>
      </c>
      <c r="L220" s="32">
        <f>IF(Database!BN220="","(none found)",Database!BN220)</f>
        <v/>
      </c>
      <c r="M220" s="34">
        <f>BDH(TEXT(VALUE(Database!$A220),"0")&amp;" HK Equity","CUR_MKT_CAP",Database!$H220,Database!$H220)</f>
        <v/>
      </c>
      <c r="N220" s="166">
        <f>Database!Q220</f>
        <v/>
      </c>
      <c r="O220" s="39">
        <f>BDH(TEXT(VALUE(Database!$A220),"0")&amp;" HK Equity","PE_RATIO",Database!$H220,Database!$H220)</f>
        <v/>
      </c>
      <c r="P220" s="199">
        <f>IF(Database!BH220="","(n/m or not derivable)",Database!BH220)</f>
        <v/>
      </c>
      <c r="Q220" s="39">
        <f>IF(Database!BN220="","",BDH(LEFT(Database!BN220,FIND(".",Database!BN220)-1)&amp;" CH Equity","PE_RATIO",Database!$H220,Database!$H220))</f>
        <v/>
      </c>
      <c r="R220" s="39">
        <f>IF(Database!BN220="","",BDH("HSAHP Index","PX_LAST",Database!$H220,Database!$H220))</f>
        <v/>
      </c>
      <c r="S220" s="39">
        <f>IFERROR(BDP(TEXT(VALUE(Database!$A220),"0")&amp;" HK Equity","PX_TO_SALES_RATIO"),"")</f>
        <v/>
      </c>
      <c r="T220" s="34">
        <f>IF(Database!BN220="","",IFERROR(BDP(LEFT(Database!BN220,FIND(".",Database!BN220)-1)&amp;" CH Equity","CUR_MKT_CAP")*BDP("CNYHKD Curncy","PX_LAST"),"Awaiting quote"))</f>
        <v/>
      </c>
    </row>
    <row r="221" ht="23" customHeight="1">
      <c r="A221" s="32">
        <f>Database!A221&amp;"  "&amp;Database!B221</f>
        <v/>
      </c>
      <c r="B221" s="24">
        <f>IFERROR(INDEX(BDS(TEXT(VALUE(Database!$A221),"0")&amp;" HK Equity","EQUITY_OFFERINGS","array=t","endcol=1"),MATCH("IPO",BDS(TEXT(VALUE(Database!$A221),"0")&amp;" HK Equity","EQUITY_OFFERINGS","array=t","startcol=2","endcol=2"),0)),"")</f>
        <v/>
      </c>
      <c r="C221" s="208">
        <f>IF($B221="","",IFERROR(BDP($B221&amp;" Action","CP036"),""))</f>
        <v/>
      </c>
      <c r="D221" s="209">
        <f>Database!S221</f>
        <v/>
      </c>
      <c r="E221" s="208">
        <f>IF($B221="","",IFERROR(BDP($B221&amp;" Action","CP037"),""))</f>
        <v/>
      </c>
      <c r="F221" s="209">
        <f>Database!T221</f>
        <v/>
      </c>
      <c r="G221" s="208">
        <f>IF($B221="","",IFERROR(BDP($B221&amp;" Action","GREENSHOE_FACILITY"),""))</f>
        <v/>
      </c>
      <c r="H221" s="208">
        <f>IF($B221="","",IFERROR(BDP($B221&amp;" Action","OFFERING_GREENSHOE_SHARES_EX"),""))</f>
        <v/>
      </c>
      <c r="I221" s="32">
        <f>Database!AE221</f>
        <v/>
      </c>
      <c r="J221" s="39">
        <f>IFERROR(BDP(TEXT(VALUE(Database!$A221),"0")&amp;" HK Equity","PE_RATIO"),"")</f>
        <v/>
      </c>
      <c r="K221" s="24">
        <f>IFERROR(BDP(TEXT(VALUE(Database!$A221),"0")&amp;" HK Equity","A/H_SHARE_CONVERSION"),"")</f>
        <v/>
      </c>
      <c r="L221" s="32">
        <f>IF(Database!BN221="","(none found)",Database!BN221)</f>
        <v/>
      </c>
      <c r="M221" s="34">
        <f>BDH(TEXT(VALUE(Database!$A221),"0")&amp;" HK Equity","CUR_MKT_CAP",Database!$H221,Database!$H221)</f>
        <v/>
      </c>
      <c r="N221" s="166">
        <f>Database!Q221</f>
        <v/>
      </c>
      <c r="O221" s="39">
        <f>BDH(TEXT(VALUE(Database!$A221),"0")&amp;" HK Equity","PE_RATIO",Database!$H221,Database!$H221)</f>
        <v/>
      </c>
      <c r="P221" s="199">
        <f>IF(Database!BH221="","(n/m or not derivable)",Database!BH221)</f>
        <v/>
      </c>
      <c r="Q221" s="39">
        <f>IF(Database!BN221="","",BDH(LEFT(Database!BN221,FIND(".",Database!BN221)-1)&amp;" CH Equity","PE_RATIO",Database!$H221,Database!$H221))</f>
        <v/>
      </c>
      <c r="R221" s="39">
        <f>IF(Database!BN221="","",BDH("HSAHP Index","PX_LAST",Database!$H221,Database!$H221))</f>
        <v/>
      </c>
      <c r="S221" s="39">
        <f>IFERROR(BDP(TEXT(VALUE(Database!$A221),"0")&amp;" HK Equity","PX_TO_SALES_RATIO"),"")</f>
        <v/>
      </c>
      <c r="T221" s="34">
        <f>IF(Database!BN221="","",IFERROR(BDP(LEFT(Database!BN221,FIND(".",Database!BN221)-1)&amp;" CH Equity","CUR_MKT_CAP")*BDP("CNYHKD Curncy","PX_LAST"),"Awaiting quote"))</f>
        <v/>
      </c>
    </row>
    <row r="222" ht="23" customHeight="1">
      <c r="A222" s="32">
        <f>Database!A222&amp;"  "&amp;Database!B222</f>
        <v/>
      </c>
      <c r="B222" s="24">
        <f>IFERROR(INDEX(BDS(TEXT(VALUE(Database!$A222),"0")&amp;" HK Equity","EQUITY_OFFERINGS","array=t","endcol=1"),MATCH("IPO",BDS(TEXT(VALUE(Database!$A222),"0")&amp;" HK Equity","EQUITY_OFFERINGS","array=t","startcol=2","endcol=2"),0)),"")</f>
        <v/>
      </c>
      <c r="C222" s="208">
        <f>IF($B222="","",IFERROR(BDP($B222&amp;" Action","CP036"),""))</f>
        <v/>
      </c>
      <c r="D222" s="209">
        <f>Database!S222</f>
        <v/>
      </c>
      <c r="E222" s="208">
        <f>IF($B222="","",IFERROR(BDP($B222&amp;" Action","CP037"),""))</f>
        <v/>
      </c>
      <c r="F222" s="209">
        <f>Database!T222</f>
        <v/>
      </c>
      <c r="G222" s="208">
        <f>IF($B222="","",IFERROR(BDP($B222&amp;" Action","GREENSHOE_FACILITY"),""))</f>
        <v/>
      </c>
      <c r="H222" s="208">
        <f>IF($B222="","",IFERROR(BDP($B222&amp;" Action","OFFERING_GREENSHOE_SHARES_EX"),""))</f>
        <v/>
      </c>
      <c r="I222" s="32">
        <f>Database!AE222</f>
        <v/>
      </c>
      <c r="J222" s="39">
        <f>IFERROR(BDP(TEXT(VALUE(Database!$A222),"0")&amp;" HK Equity","PE_RATIO"),"")</f>
        <v/>
      </c>
      <c r="K222" s="24">
        <f>IFERROR(BDP(TEXT(VALUE(Database!$A222),"0")&amp;" HK Equity","A/H_SHARE_CONVERSION"),"")</f>
        <v/>
      </c>
      <c r="L222" s="32">
        <f>IF(Database!BN222="","(none found)",Database!BN222)</f>
        <v/>
      </c>
      <c r="M222" s="34">
        <f>BDH(TEXT(VALUE(Database!$A222),"0")&amp;" HK Equity","CUR_MKT_CAP",Database!$H222,Database!$H222)</f>
        <v/>
      </c>
      <c r="N222" s="166">
        <f>Database!Q222</f>
        <v/>
      </c>
      <c r="O222" s="39">
        <f>BDH(TEXT(VALUE(Database!$A222),"0")&amp;" HK Equity","PE_RATIO",Database!$H222,Database!$H222)</f>
        <v/>
      </c>
      <c r="P222" s="199">
        <f>IF(Database!BH222="","(n/m or not derivable)",Database!BH222)</f>
        <v/>
      </c>
      <c r="Q222" s="39">
        <f>IF(Database!BN222="","",BDH(LEFT(Database!BN222,FIND(".",Database!BN222)-1)&amp;" CH Equity","PE_RATIO",Database!$H222,Database!$H222))</f>
        <v/>
      </c>
      <c r="R222" s="39">
        <f>IF(Database!BN222="","",BDH("HSAHP Index","PX_LAST",Database!$H222,Database!$H222))</f>
        <v/>
      </c>
      <c r="S222" s="39">
        <f>IFERROR(BDP(TEXT(VALUE(Database!$A222),"0")&amp;" HK Equity","PX_TO_SALES_RATIO"),"")</f>
        <v/>
      </c>
      <c r="T222" s="34">
        <f>IF(Database!BN222="","",IFERROR(BDP(LEFT(Database!BN222,FIND(".",Database!BN222)-1)&amp;" CH Equity","CUR_MKT_CAP")*BDP("CNYHKD Curncy","PX_LAST"),"Awaiting quote"))</f>
        <v/>
      </c>
    </row>
    <row r="223" ht="23" customHeight="1">
      <c r="A223" s="32">
        <f>Database!A223&amp;"  "&amp;Database!B223</f>
        <v/>
      </c>
      <c r="B223" s="24">
        <f>IFERROR(INDEX(BDS(TEXT(VALUE(Database!$A223),"0")&amp;" HK Equity","EQUITY_OFFERINGS","array=t","endcol=1"),MATCH("IPO",BDS(TEXT(VALUE(Database!$A223),"0")&amp;" HK Equity","EQUITY_OFFERINGS","array=t","startcol=2","endcol=2"),0)),"")</f>
        <v/>
      </c>
      <c r="C223" s="208">
        <f>IF($B223="","",IFERROR(BDP($B223&amp;" Action","CP036"),""))</f>
        <v/>
      </c>
      <c r="D223" s="209">
        <f>Database!S223</f>
        <v/>
      </c>
      <c r="E223" s="208">
        <f>IF($B223="","",IFERROR(BDP($B223&amp;" Action","CP037"),""))</f>
        <v/>
      </c>
      <c r="F223" s="209">
        <f>Database!T223</f>
        <v/>
      </c>
      <c r="G223" s="208">
        <f>IF($B223="","",IFERROR(BDP($B223&amp;" Action","GREENSHOE_FACILITY"),""))</f>
        <v/>
      </c>
      <c r="H223" s="208">
        <f>IF($B223="","",IFERROR(BDP($B223&amp;" Action","OFFERING_GREENSHOE_SHARES_EX"),""))</f>
        <v/>
      </c>
      <c r="I223" s="32">
        <f>Database!AE223</f>
        <v/>
      </c>
      <c r="J223" s="39">
        <f>IFERROR(BDP(TEXT(VALUE(Database!$A223),"0")&amp;" HK Equity","PE_RATIO"),"")</f>
        <v/>
      </c>
      <c r="K223" s="24">
        <f>IFERROR(BDP(TEXT(VALUE(Database!$A223),"0")&amp;" HK Equity","A/H_SHARE_CONVERSION"),"")</f>
        <v/>
      </c>
      <c r="L223" s="32">
        <f>IF(Database!BN223="","(none found)",Database!BN223)</f>
        <v/>
      </c>
      <c r="M223" s="34">
        <f>BDH(TEXT(VALUE(Database!$A223),"0")&amp;" HK Equity","CUR_MKT_CAP",Database!$H223,Database!$H223)</f>
        <v/>
      </c>
      <c r="N223" s="166">
        <f>Database!Q223</f>
        <v/>
      </c>
      <c r="O223" s="39">
        <f>BDH(TEXT(VALUE(Database!$A223),"0")&amp;" HK Equity","PE_RATIO",Database!$H223,Database!$H223)</f>
        <v/>
      </c>
      <c r="P223" s="199">
        <f>IF(Database!BH223="","(n/m or not derivable)",Database!BH223)</f>
        <v/>
      </c>
      <c r="Q223" s="39">
        <f>IF(Database!BN223="","",BDH(LEFT(Database!BN223,FIND(".",Database!BN223)-1)&amp;" CH Equity","PE_RATIO",Database!$H223,Database!$H223))</f>
        <v/>
      </c>
      <c r="R223" s="39">
        <f>IF(Database!BN223="","",BDH("HSAHP Index","PX_LAST",Database!$H223,Database!$H223))</f>
        <v/>
      </c>
      <c r="S223" s="39">
        <f>IFERROR(BDP(TEXT(VALUE(Database!$A223),"0")&amp;" HK Equity","PX_TO_SALES_RATIO"),"")</f>
        <v/>
      </c>
      <c r="T223" s="34">
        <f>IF(Database!BN223="","",IFERROR(BDP(LEFT(Database!BN223,FIND(".",Database!BN223)-1)&amp;" CH Equity","CUR_MKT_CAP")*BDP("CNYHKD Curncy","PX_LAST"),"Awaiting quote"))</f>
        <v/>
      </c>
    </row>
    <row r="224" ht="23" customHeight="1">
      <c r="A224" s="32">
        <f>Database!A224&amp;"  "&amp;Database!B224</f>
        <v/>
      </c>
      <c r="B224" s="24">
        <f>IFERROR(INDEX(BDS(TEXT(VALUE(Database!$A224),"0")&amp;" HK Equity","EQUITY_OFFERINGS","array=t","endcol=1"),MATCH("IPO",BDS(TEXT(VALUE(Database!$A224),"0")&amp;" HK Equity","EQUITY_OFFERINGS","array=t","startcol=2","endcol=2"),0)),"")</f>
        <v/>
      </c>
      <c r="C224" s="208">
        <f>IF($B224="","",IFERROR(BDP($B224&amp;" Action","CP036"),""))</f>
        <v/>
      </c>
      <c r="D224" s="209">
        <f>Database!S224</f>
        <v/>
      </c>
      <c r="E224" s="208">
        <f>IF($B224="","",IFERROR(BDP($B224&amp;" Action","CP037"),""))</f>
        <v/>
      </c>
      <c r="F224" s="209">
        <f>Database!T224</f>
        <v/>
      </c>
      <c r="G224" s="208">
        <f>IF($B224="","",IFERROR(BDP($B224&amp;" Action","GREENSHOE_FACILITY"),""))</f>
        <v/>
      </c>
      <c r="H224" s="208">
        <f>IF($B224="","",IFERROR(BDP($B224&amp;" Action","OFFERING_GREENSHOE_SHARES_EX"),""))</f>
        <v/>
      </c>
      <c r="I224" s="32">
        <f>Database!AE224</f>
        <v/>
      </c>
      <c r="J224" s="39">
        <f>IFERROR(BDP(TEXT(VALUE(Database!$A224),"0")&amp;" HK Equity","PE_RATIO"),"")</f>
        <v/>
      </c>
      <c r="K224" s="24">
        <f>IFERROR(BDP(TEXT(VALUE(Database!$A224),"0")&amp;" HK Equity","A/H_SHARE_CONVERSION"),"")</f>
        <v/>
      </c>
      <c r="L224" s="32">
        <f>IF(Database!BN224="","(none found)",Database!BN224)</f>
        <v/>
      </c>
      <c r="M224" s="34">
        <f>BDH(TEXT(VALUE(Database!$A224),"0")&amp;" HK Equity","CUR_MKT_CAP",Database!$H224,Database!$H224)</f>
        <v/>
      </c>
      <c r="N224" s="166">
        <f>Database!Q224</f>
        <v/>
      </c>
      <c r="O224" s="39">
        <f>BDH(TEXT(VALUE(Database!$A224),"0")&amp;" HK Equity","PE_RATIO",Database!$H224,Database!$H224)</f>
        <v/>
      </c>
      <c r="P224" s="199">
        <f>IF(Database!BH224="","(n/m or not derivable)",Database!BH224)</f>
        <v/>
      </c>
      <c r="Q224" s="39">
        <f>IF(Database!BN224="","",BDH(LEFT(Database!BN224,FIND(".",Database!BN224)-1)&amp;" CH Equity","PE_RATIO",Database!$H224,Database!$H224))</f>
        <v/>
      </c>
      <c r="R224" s="39">
        <f>IF(Database!BN224="","",BDH("HSAHP Index","PX_LAST",Database!$H224,Database!$H224))</f>
        <v/>
      </c>
      <c r="S224" s="39">
        <f>IFERROR(BDP(TEXT(VALUE(Database!$A224),"0")&amp;" HK Equity","PX_TO_SALES_RATIO"),"")</f>
        <v/>
      </c>
      <c r="T224" s="34">
        <f>IF(Database!BN224="","",IFERROR(BDP(LEFT(Database!BN224,FIND(".",Database!BN224)-1)&amp;" CH Equity","CUR_MKT_CAP")*BDP("CNYHKD Curncy","PX_LAST"),"Awaiting quote"))</f>
        <v/>
      </c>
    </row>
    <row r="225" ht="23" customHeight="1">
      <c r="A225" s="32">
        <f>Database!A225&amp;"  "&amp;Database!B225</f>
        <v/>
      </c>
      <c r="B225" s="24">
        <f>IFERROR(INDEX(BDS(TEXT(VALUE(Database!$A225),"0")&amp;" HK Equity","EQUITY_OFFERINGS","array=t","endcol=1"),MATCH("IPO",BDS(TEXT(VALUE(Database!$A225),"0")&amp;" HK Equity","EQUITY_OFFERINGS","array=t","startcol=2","endcol=2"),0)),"")</f>
        <v/>
      </c>
      <c r="C225" s="208">
        <f>IF($B225="","",IFERROR(BDP($B225&amp;" Action","CP036"),""))</f>
        <v/>
      </c>
      <c r="D225" s="209">
        <f>Database!S225</f>
        <v/>
      </c>
      <c r="E225" s="208">
        <f>IF($B225="","",IFERROR(BDP($B225&amp;" Action","CP037"),""))</f>
        <v/>
      </c>
      <c r="F225" s="209">
        <f>Database!T225</f>
        <v/>
      </c>
      <c r="G225" s="208">
        <f>IF($B225="","",IFERROR(BDP($B225&amp;" Action","GREENSHOE_FACILITY"),""))</f>
        <v/>
      </c>
      <c r="H225" s="208">
        <f>IF($B225="","",IFERROR(BDP($B225&amp;" Action","OFFERING_GREENSHOE_SHARES_EX"),""))</f>
        <v/>
      </c>
      <c r="I225" s="32">
        <f>Database!AE225</f>
        <v/>
      </c>
      <c r="J225" s="39">
        <f>IFERROR(BDP(TEXT(VALUE(Database!$A225),"0")&amp;" HK Equity","PE_RATIO"),"")</f>
        <v/>
      </c>
      <c r="K225" s="24">
        <f>IFERROR(BDP(TEXT(VALUE(Database!$A225),"0")&amp;" HK Equity","A/H_SHARE_CONVERSION"),"")</f>
        <v/>
      </c>
      <c r="L225" s="32">
        <f>IF(Database!BN225="","(none found)",Database!BN225)</f>
        <v/>
      </c>
      <c r="M225" s="34">
        <f>BDH(TEXT(VALUE(Database!$A225),"0")&amp;" HK Equity","CUR_MKT_CAP",Database!$H225,Database!$H225)</f>
        <v/>
      </c>
      <c r="N225" s="166">
        <f>Database!Q225</f>
        <v/>
      </c>
      <c r="O225" s="39">
        <f>BDH(TEXT(VALUE(Database!$A225),"0")&amp;" HK Equity","PE_RATIO",Database!$H225,Database!$H225)</f>
        <v/>
      </c>
      <c r="P225" s="199">
        <f>IF(Database!BH225="","(n/m or not derivable)",Database!BH225)</f>
        <v/>
      </c>
      <c r="Q225" s="39">
        <f>IF(Database!BN225="","",BDH(LEFT(Database!BN225,FIND(".",Database!BN225)-1)&amp;" CH Equity","PE_RATIO",Database!$H225,Database!$H225))</f>
        <v/>
      </c>
      <c r="R225" s="39">
        <f>IF(Database!BN225="","",BDH("HSAHP Index","PX_LAST",Database!$H225,Database!$H225))</f>
        <v/>
      </c>
      <c r="S225" s="39">
        <f>IFERROR(BDP(TEXT(VALUE(Database!$A225),"0")&amp;" HK Equity","PX_TO_SALES_RATIO"),"")</f>
        <v/>
      </c>
      <c r="T225" s="34">
        <f>IF(Database!BN225="","",IFERROR(BDP(LEFT(Database!BN225,FIND(".",Database!BN225)-1)&amp;" CH Equity","CUR_MKT_CAP")*BDP("CNYHKD Curncy","PX_LAST"),"Awaiting quote"))</f>
        <v/>
      </c>
    </row>
    <row r="226" ht="23" customHeight="1">
      <c r="A226" s="32">
        <f>Database!A226&amp;"  "&amp;Database!B226</f>
        <v/>
      </c>
      <c r="B226" s="24">
        <f>IFERROR(INDEX(BDS(TEXT(VALUE(Database!$A226),"0")&amp;" HK Equity","EQUITY_OFFERINGS","array=t","endcol=1"),MATCH("IPO",BDS(TEXT(VALUE(Database!$A226),"0")&amp;" HK Equity","EQUITY_OFFERINGS","array=t","startcol=2","endcol=2"),0)),"")</f>
        <v/>
      </c>
      <c r="C226" s="208">
        <f>IF($B226="","",IFERROR(BDP($B226&amp;" Action","CP036"),""))</f>
        <v/>
      </c>
      <c r="D226" s="209">
        <f>Database!S226</f>
        <v/>
      </c>
      <c r="E226" s="208">
        <f>IF($B226="","",IFERROR(BDP($B226&amp;" Action","CP037"),""))</f>
        <v/>
      </c>
      <c r="F226" s="209">
        <f>Database!T226</f>
        <v/>
      </c>
      <c r="G226" s="208">
        <f>IF($B226="","",IFERROR(BDP($B226&amp;" Action","GREENSHOE_FACILITY"),""))</f>
        <v/>
      </c>
      <c r="H226" s="208">
        <f>IF($B226="","",IFERROR(BDP($B226&amp;" Action","OFFERING_GREENSHOE_SHARES_EX"),""))</f>
        <v/>
      </c>
      <c r="I226" s="32">
        <f>Database!AE226</f>
        <v/>
      </c>
      <c r="J226" s="39">
        <f>IFERROR(BDP(TEXT(VALUE(Database!$A226),"0")&amp;" HK Equity","PE_RATIO"),"")</f>
        <v/>
      </c>
      <c r="K226" s="24">
        <f>IFERROR(BDP(TEXT(VALUE(Database!$A226),"0")&amp;" HK Equity","A/H_SHARE_CONVERSION"),"")</f>
        <v/>
      </c>
      <c r="L226" s="32">
        <f>IF(Database!BN226="","(none found)",Database!BN226)</f>
        <v/>
      </c>
      <c r="M226" s="34">
        <f>BDH(TEXT(VALUE(Database!$A226),"0")&amp;" HK Equity","CUR_MKT_CAP",Database!$H226,Database!$H226)</f>
        <v/>
      </c>
      <c r="N226" s="166">
        <f>Database!Q226</f>
        <v/>
      </c>
      <c r="O226" s="39">
        <f>BDH(TEXT(VALUE(Database!$A226),"0")&amp;" HK Equity","PE_RATIO",Database!$H226,Database!$H226)</f>
        <v/>
      </c>
      <c r="P226" s="199">
        <f>IF(Database!BH226="","(n/m or not derivable)",Database!BH226)</f>
        <v/>
      </c>
      <c r="Q226" s="39">
        <f>IF(Database!BN226="","",BDH(LEFT(Database!BN226,FIND(".",Database!BN226)-1)&amp;" CH Equity","PE_RATIO",Database!$H226,Database!$H226))</f>
        <v/>
      </c>
      <c r="R226" s="39">
        <f>IF(Database!BN226="","",BDH("HSAHP Index","PX_LAST",Database!$H226,Database!$H226))</f>
        <v/>
      </c>
      <c r="S226" s="39">
        <f>IFERROR(BDP(TEXT(VALUE(Database!$A226),"0")&amp;" HK Equity","PX_TO_SALES_RATIO"),"")</f>
        <v/>
      </c>
      <c r="T226" s="34">
        <f>IF(Database!BN226="","",IFERROR(BDP(LEFT(Database!BN226,FIND(".",Database!BN226)-1)&amp;" CH Equity","CUR_MKT_CAP")*BDP("CNYHKD Curncy","PX_LAST"),"Awaiting quote"))</f>
        <v/>
      </c>
    </row>
    <row r="227" ht="23" customHeight="1">
      <c r="A227" s="32">
        <f>Database!A227&amp;"  "&amp;Database!B227</f>
        <v/>
      </c>
      <c r="B227" s="24">
        <f>IFERROR(INDEX(BDS(TEXT(VALUE(Database!$A227),"0")&amp;" HK Equity","EQUITY_OFFERINGS","array=t","endcol=1"),MATCH("IPO",BDS(TEXT(VALUE(Database!$A227),"0")&amp;" HK Equity","EQUITY_OFFERINGS","array=t","startcol=2","endcol=2"),0)),"")</f>
        <v/>
      </c>
      <c r="C227" s="208">
        <f>IF($B227="","",IFERROR(BDP($B227&amp;" Action","CP036"),""))</f>
        <v/>
      </c>
      <c r="D227" s="209">
        <f>Database!S227</f>
        <v/>
      </c>
      <c r="E227" s="208">
        <f>IF($B227="","",IFERROR(BDP($B227&amp;" Action","CP037"),""))</f>
        <v/>
      </c>
      <c r="F227" s="209">
        <f>Database!T227</f>
        <v/>
      </c>
      <c r="G227" s="208">
        <f>IF($B227="","",IFERROR(BDP($B227&amp;" Action","GREENSHOE_FACILITY"),""))</f>
        <v/>
      </c>
      <c r="H227" s="208">
        <f>IF($B227="","",IFERROR(BDP($B227&amp;" Action","OFFERING_GREENSHOE_SHARES_EX"),""))</f>
        <v/>
      </c>
      <c r="I227" s="32">
        <f>Database!AE227</f>
        <v/>
      </c>
      <c r="J227" s="39">
        <f>IFERROR(BDP(TEXT(VALUE(Database!$A227),"0")&amp;" HK Equity","PE_RATIO"),"")</f>
        <v/>
      </c>
      <c r="K227" s="24">
        <f>IFERROR(BDP(TEXT(VALUE(Database!$A227),"0")&amp;" HK Equity","A/H_SHARE_CONVERSION"),"")</f>
        <v/>
      </c>
      <c r="L227" s="32">
        <f>IF(Database!BN227="","(none found)",Database!BN227)</f>
        <v/>
      </c>
      <c r="M227" s="34">
        <f>BDH(TEXT(VALUE(Database!$A227),"0")&amp;" HK Equity","CUR_MKT_CAP",Database!$H227,Database!$H227)</f>
        <v/>
      </c>
      <c r="N227" s="166">
        <f>Database!Q227</f>
        <v/>
      </c>
      <c r="O227" s="39">
        <f>BDH(TEXT(VALUE(Database!$A227),"0")&amp;" HK Equity","PE_RATIO",Database!$H227,Database!$H227)</f>
        <v/>
      </c>
      <c r="P227" s="199">
        <f>IF(Database!BH227="","(n/m or not derivable)",Database!BH227)</f>
        <v/>
      </c>
      <c r="Q227" s="39">
        <f>IF(Database!BN227="","",BDH(LEFT(Database!BN227,FIND(".",Database!BN227)-1)&amp;" CH Equity","PE_RATIO",Database!$H227,Database!$H227))</f>
        <v/>
      </c>
      <c r="R227" s="39">
        <f>IF(Database!BN227="","",BDH("HSAHP Index","PX_LAST",Database!$H227,Database!$H227))</f>
        <v/>
      </c>
      <c r="S227" s="39">
        <f>IFERROR(BDP(TEXT(VALUE(Database!$A227),"0")&amp;" HK Equity","PX_TO_SALES_RATIO"),"")</f>
        <v/>
      </c>
      <c r="T227" s="34">
        <f>IF(Database!BN227="","",IFERROR(BDP(LEFT(Database!BN227,FIND(".",Database!BN227)-1)&amp;" CH Equity","CUR_MKT_CAP")*BDP("CNYHKD Curncy","PX_LAST"),"Awaiting quote"))</f>
        <v/>
      </c>
    </row>
    <row r="228" ht="23" customHeight="1">
      <c r="A228" s="32">
        <f>Database!A228&amp;"  "&amp;Database!B228</f>
        <v/>
      </c>
      <c r="B228" s="24">
        <f>IFERROR(INDEX(BDS(TEXT(VALUE(Database!$A228),"0")&amp;" HK Equity","EQUITY_OFFERINGS","array=t","endcol=1"),MATCH("IPO",BDS(TEXT(VALUE(Database!$A228),"0")&amp;" HK Equity","EQUITY_OFFERINGS","array=t","startcol=2","endcol=2"),0)),"")</f>
        <v/>
      </c>
      <c r="C228" s="208">
        <f>IF($B228="","",IFERROR(BDP($B228&amp;" Action","CP036"),""))</f>
        <v/>
      </c>
      <c r="D228" s="209">
        <f>Database!S228</f>
        <v/>
      </c>
      <c r="E228" s="208">
        <f>IF($B228="","",IFERROR(BDP($B228&amp;" Action","CP037"),""))</f>
        <v/>
      </c>
      <c r="F228" s="209">
        <f>Database!T228</f>
        <v/>
      </c>
      <c r="G228" s="208">
        <f>IF($B228="","",IFERROR(BDP($B228&amp;" Action","GREENSHOE_FACILITY"),""))</f>
        <v/>
      </c>
      <c r="H228" s="208">
        <f>IF($B228="","",IFERROR(BDP($B228&amp;" Action","OFFERING_GREENSHOE_SHARES_EX"),""))</f>
        <v/>
      </c>
      <c r="I228" s="32">
        <f>Database!AE228</f>
        <v/>
      </c>
      <c r="J228" s="39">
        <f>IFERROR(BDP(TEXT(VALUE(Database!$A228),"0")&amp;" HK Equity","PE_RATIO"),"")</f>
        <v/>
      </c>
      <c r="K228" s="24">
        <f>IFERROR(BDP(TEXT(VALUE(Database!$A228),"0")&amp;" HK Equity","A/H_SHARE_CONVERSION"),"")</f>
        <v/>
      </c>
      <c r="L228" s="32">
        <f>IF(Database!BN228="","(none found)",Database!BN228)</f>
        <v/>
      </c>
      <c r="M228" s="34">
        <f>BDH(TEXT(VALUE(Database!$A228),"0")&amp;" HK Equity","CUR_MKT_CAP",Database!$H228,Database!$H228)</f>
        <v/>
      </c>
      <c r="N228" s="166">
        <f>Database!Q228</f>
        <v/>
      </c>
      <c r="O228" s="39">
        <f>BDH(TEXT(VALUE(Database!$A228),"0")&amp;" HK Equity","PE_RATIO",Database!$H228,Database!$H228)</f>
        <v/>
      </c>
      <c r="P228" s="199">
        <f>IF(Database!BH228="","(n/m or not derivable)",Database!BH228)</f>
        <v/>
      </c>
      <c r="Q228" s="39">
        <f>IF(Database!BN228="","",BDH(LEFT(Database!BN228,FIND(".",Database!BN228)-1)&amp;" CH Equity","PE_RATIO",Database!$H228,Database!$H228))</f>
        <v/>
      </c>
      <c r="R228" s="39">
        <f>IF(Database!BN228="","",BDH("HSAHP Index","PX_LAST",Database!$H228,Database!$H228))</f>
        <v/>
      </c>
      <c r="S228" s="39">
        <f>IFERROR(BDP(TEXT(VALUE(Database!$A228),"0")&amp;" HK Equity","PX_TO_SALES_RATIO"),"")</f>
        <v/>
      </c>
      <c r="T228" s="34">
        <f>IF(Database!BN228="","",IFERROR(BDP(LEFT(Database!BN228,FIND(".",Database!BN228)-1)&amp;" CH Equity","CUR_MKT_CAP")*BDP("CNYHKD Curncy","PX_LAST"),"Awaiting quote"))</f>
        <v/>
      </c>
    </row>
    <row r="229" ht="23" customHeight="1">
      <c r="A229" s="32">
        <f>Database!A229&amp;"  "&amp;Database!B229</f>
        <v/>
      </c>
      <c r="B229" s="24">
        <f>IFERROR(INDEX(BDS(TEXT(VALUE(Database!$A229),"0")&amp;" HK Equity","EQUITY_OFFERINGS","array=t","endcol=1"),MATCH("IPO",BDS(TEXT(VALUE(Database!$A229),"0")&amp;" HK Equity","EQUITY_OFFERINGS","array=t","startcol=2","endcol=2"),0)),"")</f>
        <v/>
      </c>
      <c r="C229" s="208">
        <f>IF($B229="","",IFERROR(BDP($B229&amp;" Action","CP036"),""))</f>
        <v/>
      </c>
      <c r="D229" s="209">
        <f>Database!S229</f>
        <v/>
      </c>
      <c r="E229" s="208">
        <f>IF($B229="","",IFERROR(BDP($B229&amp;" Action","CP037"),""))</f>
        <v/>
      </c>
      <c r="F229" s="209">
        <f>Database!T229</f>
        <v/>
      </c>
      <c r="G229" s="208">
        <f>IF($B229="","",IFERROR(BDP($B229&amp;" Action","GREENSHOE_FACILITY"),""))</f>
        <v/>
      </c>
      <c r="H229" s="208">
        <f>IF($B229="","",IFERROR(BDP($B229&amp;" Action","OFFERING_GREENSHOE_SHARES_EX"),""))</f>
        <v/>
      </c>
      <c r="I229" s="32">
        <f>Database!AE229</f>
        <v/>
      </c>
      <c r="J229" s="39">
        <f>IFERROR(BDP(TEXT(VALUE(Database!$A229),"0")&amp;" HK Equity","PE_RATIO"),"")</f>
        <v/>
      </c>
      <c r="K229" s="24">
        <f>IFERROR(BDP(TEXT(VALUE(Database!$A229),"0")&amp;" HK Equity","A/H_SHARE_CONVERSION"),"")</f>
        <v/>
      </c>
      <c r="L229" s="32">
        <f>IF(Database!BN229="","(none found)",Database!BN229)</f>
        <v/>
      </c>
      <c r="M229" s="34">
        <f>BDH(TEXT(VALUE(Database!$A229),"0")&amp;" HK Equity","CUR_MKT_CAP",Database!$H229,Database!$H229)</f>
        <v/>
      </c>
      <c r="N229" s="166">
        <f>Database!Q229</f>
        <v/>
      </c>
      <c r="O229" s="39">
        <f>BDH(TEXT(VALUE(Database!$A229),"0")&amp;" HK Equity","PE_RATIO",Database!$H229,Database!$H229)</f>
        <v/>
      </c>
      <c r="P229" s="199">
        <f>IF(Database!BH229="","(n/m or not derivable)",Database!BH229)</f>
        <v/>
      </c>
      <c r="Q229" s="39">
        <f>IF(Database!BN229="","",BDH(LEFT(Database!BN229,FIND(".",Database!BN229)-1)&amp;" CH Equity","PE_RATIO",Database!$H229,Database!$H229))</f>
        <v/>
      </c>
      <c r="R229" s="39">
        <f>IF(Database!BN229="","",BDH("HSAHP Index","PX_LAST",Database!$H229,Database!$H229))</f>
        <v/>
      </c>
      <c r="S229" s="39">
        <f>IFERROR(BDP(TEXT(VALUE(Database!$A229),"0")&amp;" HK Equity","PX_TO_SALES_RATIO"),"")</f>
        <v/>
      </c>
      <c r="T229" s="34">
        <f>IF(Database!BN229="","",IFERROR(BDP(LEFT(Database!BN229,FIND(".",Database!BN229)-1)&amp;" CH Equity","CUR_MKT_CAP")*BDP("CNYHKD Curncy","PX_LAST"),"Awaiting quote"))</f>
        <v/>
      </c>
    </row>
    <row r="230" ht="23" customHeight="1">
      <c r="A230" s="32">
        <f>Database!A230&amp;"  "&amp;Database!B230</f>
        <v/>
      </c>
      <c r="B230" s="24">
        <f>IFERROR(INDEX(BDS(TEXT(VALUE(Database!$A230),"0")&amp;" HK Equity","EQUITY_OFFERINGS","array=t","endcol=1"),MATCH("IPO",BDS(TEXT(VALUE(Database!$A230),"0")&amp;" HK Equity","EQUITY_OFFERINGS","array=t","startcol=2","endcol=2"),0)),"")</f>
        <v/>
      </c>
      <c r="C230" s="208">
        <f>IF($B230="","",IFERROR(BDP($B230&amp;" Action","CP036"),""))</f>
        <v/>
      </c>
      <c r="D230" s="209">
        <f>Database!S230</f>
        <v/>
      </c>
      <c r="E230" s="208">
        <f>IF($B230="","",IFERROR(BDP($B230&amp;" Action","CP037"),""))</f>
        <v/>
      </c>
      <c r="F230" s="209">
        <f>Database!T230</f>
        <v/>
      </c>
      <c r="G230" s="208">
        <f>IF($B230="","",IFERROR(BDP($B230&amp;" Action","GREENSHOE_FACILITY"),""))</f>
        <v/>
      </c>
      <c r="H230" s="208">
        <f>IF($B230="","",IFERROR(BDP($B230&amp;" Action","OFFERING_GREENSHOE_SHARES_EX"),""))</f>
        <v/>
      </c>
      <c r="I230" s="32">
        <f>Database!AE230</f>
        <v/>
      </c>
      <c r="J230" s="39">
        <f>IFERROR(BDP(TEXT(VALUE(Database!$A230),"0")&amp;" HK Equity","PE_RATIO"),"")</f>
        <v/>
      </c>
      <c r="K230" s="24">
        <f>IFERROR(BDP(TEXT(VALUE(Database!$A230),"0")&amp;" HK Equity","A/H_SHARE_CONVERSION"),"")</f>
        <v/>
      </c>
      <c r="L230" s="32">
        <f>IF(Database!BN230="","(none found)",Database!BN230)</f>
        <v/>
      </c>
      <c r="M230" s="34">
        <f>BDH(TEXT(VALUE(Database!$A230),"0")&amp;" HK Equity","CUR_MKT_CAP",Database!$H230,Database!$H230)</f>
        <v/>
      </c>
      <c r="N230" s="166">
        <f>Database!Q230</f>
        <v/>
      </c>
      <c r="O230" s="39">
        <f>BDH(TEXT(VALUE(Database!$A230),"0")&amp;" HK Equity","PE_RATIO",Database!$H230,Database!$H230)</f>
        <v/>
      </c>
      <c r="P230" s="199">
        <f>IF(Database!BH230="","(n/m or not derivable)",Database!BH230)</f>
        <v/>
      </c>
      <c r="Q230" s="39">
        <f>IF(Database!BN230="","",BDH(LEFT(Database!BN230,FIND(".",Database!BN230)-1)&amp;" CH Equity","PE_RATIO",Database!$H230,Database!$H230))</f>
        <v/>
      </c>
      <c r="R230" s="39">
        <f>IF(Database!BN230="","",BDH("HSAHP Index","PX_LAST",Database!$H230,Database!$H230))</f>
        <v/>
      </c>
      <c r="S230" s="39">
        <f>IFERROR(BDP(TEXT(VALUE(Database!$A230),"0")&amp;" HK Equity","PX_TO_SALES_RATIO"),"")</f>
        <v/>
      </c>
      <c r="T230" s="34">
        <f>IF(Database!BN230="","",IFERROR(BDP(LEFT(Database!BN230,FIND(".",Database!BN230)-1)&amp;" CH Equity","CUR_MKT_CAP")*BDP("CNYHKD Curncy","PX_LAST"),"Awaiting quote"))</f>
        <v/>
      </c>
    </row>
    <row r="231" ht="23" customHeight="1">
      <c r="A231" s="32">
        <f>Database!A231&amp;"  "&amp;Database!B231</f>
        <v/>
      </c>
      <c r="B231" s="24">
        <f>IFERROR(INDEX(BDS(TEXT(VALUE(Database!$A231),"0")&amp;" HK Equity","EQUITY_OFFERINGS","array=t","endcol=1"),MATCH("IPO",BDS(TEXT(VALUE(Database!$A231),"0")&amp;" HK Equity","EQUITY_OFFERINGS","array=t","startcol=2","endcol=2"),0)),"")</f>
        <v/>
      </c>
      <c r="C231" s="208">
        <f>IF($B231="","",IFERROR(BDP($B231&amp;" Action","CP036"),""))</f>
        <v/>
      </c>
      <c r="D231" s="209">
        <f>Database!S231</f>
        <v/>
      </c>
      <c r="E231" s="208">
        <f>IF($B231="","",IFERROR(BDP($B231&amp;" Action","CP037"),""))</f>
        <v/>
      </c>
      <c r="F231" s="209">
        <f>Database!T231</f>
        <v/>
      </c>
      <c r="G231" s="208">
        <f>IF($B231="","",IFERROR(BDP($B231&amp;" Action","GREENSHOE_FACILITY"),""))</f>
        <v/>
      </c>
      <c r="H231" s="208">
        <f>IF($B231="","",IFERROR(BDP($B231&amp;" Action","OFFERING_GREENSHOE_SHARES_EX"),""))</f>
        <v/>
      </c>
      <c r="I231" s="32">
        <f>Database!AE231</f>
        <v/>
      </c>
      <c r="J231" s="39">
        <f>IFERROR(BDP(TEXT(VALUE(Database!$A231),"0")&amp;" HK Equity","PE_RATIO"),"")</f>
        <v/>
      </c>
      <c r="K231" s="24">
        <f>IFERROR(BDP(TEXT(VALUE(Database!$A231),"0")&amp;" HK Equity","A/H_SHARE_CONVERSION"),"")</f>
        <v/>
      </c>
      <c r="L231" s="32">
        <f>IF(Database!BN231="","(none found)",Database!BN231)</f>
        <v/>
      </c>
      <c r="M231" s="34">
        <f>BDH(TEXT(VALUE(Database!$A231),"0")&amp;" HK Equity","CUR_MKT_CAP",Database!$H231,Database!$H231)</f>
        <v/>
      </c>
      <c r="N231" s="166">
        <f>Database!Q231</f>
        <v/>
      </c>
      <c r="O231" s="39">
        <f>BDH(TEXT(VALUE(Database!$A231),"0")&amp;" HK Equity","PE_RATIO",Database!$H231,Database!$H231)</f>
        <v/>
      </c>
      <c r="P231" s="199">
        <f>IF(Database!BH231="","(n/m or not derivable)",Database!BH231)</f>
        <v/>
      </c>
      <c r="Q231" s="39">
        <f>IF(Database!BN231="","",BDH(LEFT(Database!BN231,FIND(".",Database!BN231)-1)&amp;" CH Equity","PE_RATIO",Database!$H231,Database!$H231))</f>
        <v/>
      </c>
      <c r="R231" s="39">
        <f>IF(Database!BN231="","",BDH("HSAHP Index","PX_LAST",Database!$H231,Database!$H231))</f>
        <v/>
      </c>
      <c r="S231" s="39">
        <f>IFERROR(BDP(TEXT(VALUE(Database!$A231),"0")&amp;" HK Equity","PX_TO_SALES_RATIO"),"")</f>
        <v/>
      </c>
      <c r="T231" s="34">
        <f>IF(Database!BN231="","",IFERROR(BDP(LEFT(Database!BN231,FIND(".",Database!BN231)-1)&amp;" CH Equity","CUR_MKT_CAP")*BDP("CNYHKD Curncy","PX_LAST"),"Awaiting quote"))</f>
        <v/>
      </c>
    </row>
    <row r="232" ht="23" customHeight="1">
      <c r="A232" s="32">
        <f>Database!A232&amp;"  "&amp;Database!B232</f>
        <v/>
      </c>
      <c r="B232" s="24">
        <f>IFERROR(INDEX(BDS(TEXT(VALUE(Database!$A232),"0")&amp;" HK Equity","EQUITY_OFFERINGS","array=t","endcol=1"),MATCH("IPO",BDS(TEXT(VALUE(Database!$A232),"0")&amp;" HK Equity","EQUITY_OFFERINGS","array=t","startcol=2","endcol=2"),0)),"")</f>
        <v/>
      </c>
      <c r="C232" s="208">
        <f>IF($B232="","",IFERROR(BDP($B232&amp;" Action","CP036"),""))</f>
        <v/>
      </c>
      <c r="D232" s="209">
        <f>Database!S232</f>
        <v/>
      </c>
      <c r="E232" s="208">
        <f>IF($B232="","",IFERROR(BDP($B232&amp;" Action","CP037"),""))</f>
        <v/>
      </c>
      <c r="F232" s="209">
        <f>Database!T232</f>
        <v/>
      </c>
      <c r="G232" s="208">
        <f>IF($B232="","",IFERROR(BDP($B232&amp;" Action","GREENSHOE_FACILITY"),""))</f>
        <v/>
      </c>
      <c r="H232" s="208">
        <f>IF($B232="","",IFERROR(BDP($B232&amp;" Action","OFFERING_GREENSHOE_SHARES_EX"),""))</f>
        <v/>
      </c>
      <c r="I232" s="32">
        <f>Database!AE232</f>
        <v/>
      </c>
      <c r="J232" s="39">
        <f>IFERROR(BDP(TEXT(VALUE(Database!$A232),"0")&amp;" HK Equity","PE_RATIO"),"")</f>
        <v/>
      </c>
      <c r="K232" s="24">
        <f>IFERROR(BDP(TEXT(VALUE(Database!$A232),"0")&amp;" HK Equity","A/H_SHARE_CONVERSION"),"")</f>
        <v/>
      </c>
      <c r="L232" s="32">
        <f>IF(Database!BN232="","(none found)",Database!BN232)</f>
        <v/>
      </c>
      <c r="M232" s="34">
        <f>BDH(TEXT(VALUE(Database!$A232),"0")&amp;" HK Equity","CUR_MKT_CAP",Database!$H232,Database!$H232)</f>
        <v/>
      </c>
      <c r="N232" s="166">
        <f>Database!Q232</f>
        <v/>
      </c>
      <c r="O232" s="39">
        <f>BDH(TEXT(VALUE(Database!$A232),"0")&amp;" HK Equity","PE_RATIO",Database!$H232,Database!$H232)</f>
        <v/>
      </c>
      <c r="P232" s="199">
        <f>IF(Database!BH232="","(n/m or not derivable)",Database!BH232)</f>
        <v/>
      </c>
      <c r="Q232" s="39">
        <f>IF(Database!BN232="","",BDH(LEFT(Database!BN232,FIND(".",Database!BN232)-1)&amp;" CH Equity","PE_RATIO",Database!$H232,Database!$H232))</f>
        <v/>
      </c>
      <c r="R232" s="39">
        <f>IF(Database!BN232="","",BDH("HSAHP Index","PX_LAST",Database!$H232,Database!$H232))</f>
        <v/>
      </c>
      <c r="S232" s="39">
        <f>IFERROR(BDP(TEXT(VALUE(Database!$A232),"0")&amp;" HK Equity","PX_TO_SALES_RATIO"),"")</f>
        <v/>
      </c>
      <c r="T232" s="34">
        <f>IF(Database!BN232="","",IFERROR(BDP(LEFT(Database!BN232,FIND(".",Database!BN232)-1)&amp;" CH Equity","CUR_MKT_CAP")*BDP("CNYHKD Curncy","PX_LAST"),"Awaiting quote"))</f>
        <v/>
      </c>
    </row>
    <row r="233" ht="23" customHeight="1">
      <c r="A233" s="32">
        <f>Database!A233&amp;"  "&amp;Database!B233</f>
        <v/>
      </c>
      <c r="B233" s="24">
        <f>IFERROR(INDEX(BDS(TEXT(VALUE(Database!$A233),"0")&amp;" HK Equity","EQUITY_OFFERINGS","array=t","endcol=1"),MATCH("IPO",BDS(TEXT(VALUE(Database!$A233),"0")&amp;" HK Equity","EQUITY_OFFERINGS","array=t","startcol=2","endcol=2"),0)),"")</f>
        <v/>
      </c>
      <c r="C233" s="208">
        <f>IF($B233="","",IFERROR(BDP($B233&amp;" Action","CP036"),""))</f>
        <v/>
      </c>
      <c r="D233" s="209">
        <f>Database!S233</f>
        <v/>
      </c>
      <c r="E233" s="208">
        <f>IF($B233="","",IFERROR(BDP($B233&amp;" Action","CP037"),""))</f>
        <v/>
      </c>
      <c r="F233" s="209">
        <f>Database!T233</f>
        <v/>
      </c>
      <c r="G233" s="208">
        <f>IF($B233="","",IFERROR(BDP($B233&amp;" Action","GREENSHOE_FACILITY"),""))</f>
        <v/>
      </c>
      <c r="H233" s="208">
        <f>IF($B233="","",IFERROR(BDP($B233&amp;" Action","OFFERING_GREENSHOE_SHARES_EX"),""))</f>
        <v/>
      </c>
      <c r="I233" s="32">
        <f>Database!AE233</f>
        <v/>
      </c>
      <c r="J233" s="39">
        <f>IFERROR(BDP(TEXT(VALUE(Database!$A233),"0")&amp;" HK Equity","PE_RATIO"),"")</f>
        <v/>
      </c>
      <c r="K233" s="24">
        <f>IFERROR(BDP(TEXT(VALUE(Database!$A233),"0")&amp;" HK Equity","A/H_SHARE_CONVERSION"),"")</f>
        <v/>
      </c>
      <c r="L233" s="32">
        <f>IF(Database!BN233="","(none found)",Database!BN233)</f>
        <v/>
      </c>
      <c r="M233" s="34">
        <f>BDH(TEXT(VALUE(Database!$A233),"0")&amp;" HK Equity","CUR_MKT_CAP",Database!$H233,Database!$H233)</f>
        <v/>
      </c>
      <c r="N233" s="166">
        <f>Database!Q233</f>
        <v/>
      </c>
      <c r="O233" s="39">
        <f>BDH(TEXT(VALUE(Database!$A233),"0")&amp;" HK Equity","PE_RATIO",Database!$H233,Database!$H233)</f>
        <v/>
      </c>
      <c r="P233" s="199">
        <f>IF(Database!BH233="","(n/m or not derivable)",Database!BH233)</f>
        <v/>
      </c>
      <c r="Q233" s="39">
        <f>IF(Database!BN233="","",BDH(LEFT(Database!BN233,FIND(".",Database!BN233)-1)&amp;" CH Equity","PE_RATIO",Database!$H233,Database!$H233))</f>
        <v/>
      </c>
      <c r="R233" s="39">
        <f>IF(Database!BN233="","",BDH("HSAHP Index","PX_LAST",Database!$H233,Database!$H233))</f>
        <v/>
      </c>
      <c r="S233" s="39">
        <f>IFERROR(BDP(TEXT(VALUE(Database!$A233),"0")&amp;" HK Equity","PX_TO_SALES_RATIO"),"")</f>
        <v/>
      </c>
      <c r="T233" s="34">
        <f>IF(Database!BN233="","",IFERROR(BDP(LEFT(Database!BN233,FIND(".",Database!BN233)-1)&amp;" CH Equity","CUR_MKT_CAP")*BDP("CNYHKD Curncy","PX_LAST"),"Awaiting quote"))</f>
        <v/>
      </c>
    </row>
    <row r="234" ht="23" customHeight="1">
      <c r="A234" s="32">
        <f>Database!A234&amp;"  "&amp;Database!B234</f>
        <v/>
      </c>
      <c r="B234" s="24">
        <f>IFERROR(INDEX(BDS(TEXT(VALUE(Database!$A234),"0")&amp;" HK Equity","EQUITY_OFFERINGS","array=t","endcol=1"),MATCH("IPO",BDS(TEXT(VALUE(Database!$A234),"0")&amp;" HK Equity","EQUITY_OFFERINGS","array=t","startcol=2","endcol=2"),0)),"")</f>
        <v/>
      </c>
      <c r="C234" s="208">
        <f>IF($B234="","",IFERROR(BDP($B234&amp;" Action","CP036"),""))</f>
        <v/>
      </c>
      <c r="D234" s="209">
        <f>Database!S234</f>
        <v/>
      </c>
      <c r="E234" s="208">
        <f>IF($B234="","",IFERROR(BDP($B234&amp;" Action","CP037"),""))</f>
        <v/>
      </c>
      <c r="F234" s="209">
        <f>Database!T234</f>
        <v/>
      </c>
      <c r="G234" s="208">
        <f>IF($B234="","",IFERROR(BDP($B234&amp;" Action","GREENSHOE_FACILITY"),""))</f>
        <v/>
      </c>
      <c r="H234" s="208">
        <f>IF($B234="","",IFERROR(BDP($B234&amp;" Action","OFFERING_GREENSHOE_SHARES_EX"),""))</f>
        <v/>
      </c>
      <c r="I234" s="32">
        <f>Database!AE234</f>
        <v/>
      </c>
      <c r="J234" s="39">
        <f>IFERROR(BDP(TEXT(VALUE(Database!$A234),"0")&amp;" HK Equity","PE_RATIO"),"")</f>
        <v/>
      </c>
      <c r="K234" s="24">
        <f>IFERROR(BDP(TEXT(VALUE(Database!$A234),"0")&amp;" HK Equity","A/H_SHARE_CONVERSION"),"")</f>
        <v/>
      </c>
      <c r="L234" s="32">
        <f>IF(Database!BN234="","(none found)",Database!BN234)</f>
        <v/>
      </c>
      <c r="M234" s="34">
        <f>BDH(TEXT(VALUE(Database!$A234),"0")&amp;" HK Equity","CUR_MKT_CAP",Database!$H234,Database!$H234)</f>
        <v/>
      </c>
      <c r="N234" s="166">
        <f>Database!Q234</f>
        <v/>
      </c>
      <c r="O234" s="39">
        <f>BDH(TEXT(VALUE(Database!$A234),"0")&amp;" HK Equity","PE_RATIO",Database!$H234,Database!$H234)</f>
        <v/>
      </c>
      <c r="P234" s="199">
        <f>IF(Database!BH234="","(n/m or not derivable)",Database!BH234)</f>
        <v/>
      </c>
      <c r="Q234" s="39">
        <f>IF(Database!BN234="","",BDH(LEFT(Database!BN234,FIND(".",Database!BN234)-1)&amp;" CH Equity","PE_RATIO",Database!$H234,Database!$H234))</f>
        <v/>
      </c>
      <c r="R234" s="39">
        <f>IF(Database!BN234="","",BDH("HSAHP Index","PX_LAST",Database!$H234,Database!$H234))</f>
        <v/>
      </c>
      <c r="S234" s="39">
        <f>IFERROR(BDP(TEXT(VALUE(Database!$A234),"0")&amp;" HK Equity","PX_TO_SALES_RATIO"),"")</f>
        <v/>
      </c>
      <c r="T234" s="34">
        <f>IF(Database!BN234="","",IFERROR(BDP(LEFT(Database!BN234,FIND(".",Database!BN234)-1)&amp;" CH Equity","CUR_MKT_CAP")*BDP("CNYHKD Curncy","PX_LAST"),"Awaiting quote"))</f>
        <v/>
      </c>
    </row>
    <row r="235" ht="23" customHeight="1">
      <c r="A235" s="32">
        <f>Database!A235&amp;"  "&amp;Database!B235</f>
        <v/>
      </c>
      <c r="B235" s="24">
        <f>IFERROR(INDEX(BDS(TEXT(VALUE(Database!$A235),"0")&amp;" HK Equity","EQUITY_OFFERINGS","array=t","endcol=1"),MATCH("IPO",BDS(TEXT(VALUE(Database!$A235),"0")&amp;" HK Equity","EQUITY_OFFERINGS","array=t","startcol=2","endcol=2"),0)),"")</f>
        <v/>
      </c>
      <c r="C235" s="208">
        <f>IF($B235="","",IFERROR(BDP($B235&amp;" Action","CP036"),""))</f>
        <v/>
      </c>
      <c r="D235" s="209">
        <f>Database!S235</f>
        <v/>
      </c>
      <c r="E235" s="208">
        <f>IF($B235="","",IFERROR(BDP($B235&amp;" Action","CP037"),""))</f>
        <v/>
      </c>
      <c r="F235" s="209">
        <f>Database!T235</f>
        <v/>
      </c>
      <c r="G235" s="208">
        <f>IF($B235="","",IFERROR(BDP($B235&amp;" Action","GREENSHOE_FACILITY"),""))</f>
        <v/>
      </c>
      <c r="H235" s="208">
        <f>IF($B235="","",IFERROR(BDP($B235&amp;" Action","OFFERING_GREENSHOE_SHARES_EX"),""))</f>
        <v/>
      </c>
      <c r="I235" s="32">
        <f>Database!AE235</f>
        <v/>
      </c>
      <c r="J235" s="39">
        <f>IFERROR(BDP(TEXT(VALUE(Database!$A235),"0")&amp;" HK Equity","PE_RATIO"),"")</f>
        <v/>
      </c>
      <c r="K235" s="24">
        <f>IFERROR(BDP(TEXT(VALUE(Database!$A235),"0")&amp;" HK Equity","A/H_SHARE_CONVERSION"),"")</f>
        <v/>
      </c>
      <c r="L235" s="32">
        <f>IF(Database!BN235="","(none found)",Database!BN235)</f>
        <v/>
      </c>
      <c r="M235" s="34">
        <f>BDH(TEXT(VALUE(Database!$A235),"0")&amp;" HK Equity","CUR_MKT_CAP",Database!$H235,Database!$H235)</f>
        <v/>
      </c>
      <c r="N235" s="166">
        <f>Database!Q235</f>
        <v/>
      </c>
      <c r="O235" s="39">
        <f>BDH(TEXT(VALUE(Database!$A235),"0")&amp;" HK Equity","PE_RATIO",Database!$H235,Database!$H235)</f>
        <v/>
      </c>
      <c r="P235" s="199">
        <f>IF(Database!BH235="","(n/m or not derivable)",Database!BH235)</f>
        <v/>
      </c>
      <c r="Q235" s="39">
        <f>IF(Database!BN235="","",BDH(LEFT(Database!BN235,FIND(".",Database!BN235)-1)&amp;" CH Equity","PE_RATIO",Database!$H235,Database!$H235))</f>
        <v/>
      </c>
      <c r="R235" s="39">
        <f>IF(Database!BN235="","",BDH("HSAHP Index","PX_LAST",Database!$H235,Database!$H235))</f>
        <v/>
      </c>
      <c r="S235" s="39">
        <f>IFERROR(BDP(TEXT(VALUE(Database!$A235),"0")&amp;" HK Equity","PX_TO_SALES_RATIO"),"")</f>
        <v/>
      </c>
      <c r="T235" s="34">
        <f>IF(Database!BN235="","",IFERROR(BDP(LEFT(Database!BN235,FIND(".",Database!BN235)-1)&amp;" CH Equity","CUR_MKT_CAP")*BDP("CNYHKD Curncy","PX_LAST"),"Awaiting quote"))</f>
        <v/>
      </c>
    </row>
    <row r="236" ht="23" customHeight="1">
      <c r="A236" s="32">
        <f>Database!A236&amp;"  "&amp;Database!B236</f>
        <v/>
      </c>
      <c r="B236" s="24">
        <f>IFERROR(INDEX(BDS(TEXT(VALUE(Database!$A236),"0")&amp;" HK Equity","EQUITY_OFFERINGS","array=t","endcol=1"),MATCH("IPO",BDS(TEXT(VALUE(Database!$A236),"0")&amp;" HK Equity","EQUITY_OFFERINGS","array=t","startcol=2","endcol=2"),0)),"")</f>
        <v/>
      </c>
      <c r="C236" s="208">
        <f>IF($B236="","",IFERROR(BDP($B236&amp;" Action","CP036"),""))</f>
        <v/>
      </c>
      <c r="D236" s="209">
        <f>Database!S236</f>
        <v/>
      </c>
      <c r="E236" s="208">
        <f>IF($B236="","",IFERROR(BDP($B236&amp;" Action","CP037"),""))</f>
        <v/>
      </c>
      <c r="F236" s="209">
        <f>Database!T236</f>
        <v/>
      </c>
      <c r="G236" s="208">
        <f>IF($B236="","",IFERROR(BDP($B236&amp;" Action","GREENSHOE_FACILITY"),""))</f>
        <v/>
      </c>
      <c r="H236" s="208">
        <f>IF($B236="","",IFERROR(BDP($B236&amp;" Action","OFFERING_GREENSHOE_SHARES_EX"),""))</f>
        <v/>
      </c>
      <c r="I236" s="32">
        <f>Database!AE236</f>
        <v/>
      </c>
      <c r="J236" s="39">
        <f>IFERROR(BDP(TEXT(VALUE(Database!$A236),"0")&amp;" HK Equity","PE_RATIO"),"")</f>
        <v/>
      </c>
      <c r="K236" s="24">
        <f>IFERROR(BDP(TEXT(VALUE(Database!$A236),"0")&amp;" HK Equity","A/H_SHARE_CONVERSION"),"")</f>
        <v/>
      </c>
      <c r="L236" s="32">
        <f>IF(Database!BN236="","(none found)",Database!BN236)</f>
        <v/>
      </c>
      <c r="M236" s="34">
        <f>BDH(TEXT(VALUE(Database!$A236),"0")&amp;" HK Equity","CUR_MKT_CAP",Database!$H236,Database!$H236)</f>
        <v/>
      </c>
      <c r="N236" s="166">
        <f>Database!Q236</f>
        <v/>
      </c>
      <c r="O236" s="39">
        <f>BDH(TEXT(VALUE(Database!$A236),"0")&amp;" HK Equity","PE_RATIO",Database!$H236,Database!$H236)</f>
        <v/>
      </c>
      <c r="P236" s="199">
        <f>IF(Database!BH236="","(n/m or not derivable)",Database!BH236)</f>
        <v/>
      </c>
      <c r="Q236" s="39">
        <f>IF(Database!BN236="","",BDH(LEFT(Database!BN236,FIND(".",Database!BN236)-1)&amp;" CH Equity","PE_RATIO",Database!$H236,Database!$H236))</f>
        <v/>
      </c>
      <c r="R236" s="39">
        <f>IF(Database!BN236="","",BDH("HSAHP Index","PX_LAST",Database!$H236,Database!$H236))</f>
        <v/>
      </c>
      <c r="S236" s="39">
        <f>IFERROR(BDP(TEXT(VALUE(Database!$A236),"0")&amp;" HK Equity","PX_TO_SALES_RATIO"),"")</f>
        <v/>
      </c>
      <c r="T236" s="34">
        <f>IF(Database!BN236="","",IFERROR(BDP(LEFT(Database!BN236,FIND(".",Database!BN236)-1)&amp;" CH Equity","CUR_MKT_CAP")*BDP("CNYHKD Curncy","PX_LAST"),"Awaiting quote"))</f>
        <v/>
      </c>
    </row>
    <row r="237" ht="23" customHeight="1">
      <c r="A237" s="32">
        <f>Database!A237&amp;"  "&amp;Database!B237</f>
        <v/>
      </c>
      <c r="B237" s="24">
        <f>IFERROR(INDEX(BDS(TEXT(VALUE(Database!$A237),"0")&amp;" HK Equity","EQUITY_OFFERINGS","array=t","endcol=1"),MATCH("IPO",BDS(TEXT(VALUE(Database!$A237),"0")&amp;" HK Equity","EQUITY_OFFERINGS","array=t","startcol=2","endcol=2"),0)),"")</f>
        <v/>
      </c>
      <c r="C237" s="208">
        <f>IF($B237="","",IFERROR(BDP($B237&amp;" Action","CP036"),""))</f>
        <v/>
      </c>
      <c r="D237" s="209">
        <f>Database!S237</f>
        <v/>
      </c>
      <c r="E237" s="208">
        <f>IF($B237="","",IFERROR(BDP($B237&amp;" Action","CP037"),""))</f>
        <v/>
      </c>
      <c r="F237" s="209">
        <f>Database!T237</f>
        <v/>
      </c>
      <c r="G237" s="208">
        <f>IF($B237="","",IFERROR(BDP($B237&amp;" Action","GREENSHOE_FACILITY"),""))</f>
        <v/>
      </c>
      <c r="H237" s="208">
        <f>IF($B237="","",IFERROR(BDP($B237&amp;" Action","OFFERING_GREENSHOE_SHARES_EX"),""))</f>
        <v/>
      </c>
      <c r="I237" s="32">
        <f>Database!AE237</f>
        <v/>
      </c>
      <c r="J237" s="39">
        <f>IFERROR(BDP(TEXT(VALUE(Database!$A237),"0")&amp;" HK Equity","PE_RATIO"),"")</f>
        <v/>
      </c>
      <c r="K237" s="24">
        <f>IFERROR(BDP(TEXT(VALUE(Database!$A237),"0")&amp;" HK Equity","A/H_SHARE_CONVERSION"),"")</f>
        <v/>
      </c>
      <c r="L237" s="32">
        <f>IF(Database!BN237="","(none found)",Database!BN237)</f>
        <v/>
      </c>
      <c r="M237" s="34">
        <f>BDH(TEXT(VALUE(Database!$A237),"0")&amp;" HK Equity","CUR_MKT_CAP",Database!$H237,Database!$H237)</f>
        <v/>
      </c>
      <c r="N237" s="166">
        <f>Database!Q237</f>
        <v/>
      </c>
      <c r="O237" s="39">
        <f>BDH(TEXT(VALUE(Database!$A237),"0")&amp;" HK Equity","PE_RATIO",Database!$H237,Database!$H237)</f>
        <v/>
      </c>
      <c r="P237" s="199">
        <f>IF(Database!BH237="","(n/m or not derivable)",Database!BH237)</f>
        <v/>
      </c>
      <c r="Q237" s="39">
        <f>IF(Database!BN237="","",BDH(LEFT(Database!BN237,FIND(".",Database!BN237)-1)&amp;" CH Equity","PE_RATIO",Database!$H237,Database!$H237))</f>
        <v/>
      </c>
      <c r="R237" s="39">
        <f>IF(Database!BN237="","",BDH("HSAHP Index","PX_LAST",Database!$H237,Database!$H237))</f>
        <v/>
      </c>
      <c r="S237" s="39">
        <f>IFERROR(BDP(TEXT(VALUE(Database!$A237),"0")&amp;" HK Equity","PX_TO_SALES_RATIO"),"")</f>
        <v/>
      </c>
      <c r="T237" s="34">
        <f>IF(Database!BN237="","",IFERROR(BDP(LEFT(Database!BN237,FIND(".",Database!BN237)-1)&amp;" CH Equity","CUR_MKT_CAP")*BDP("CNYHKD Curncy","PX_LAST"),"Awaiting quote"))</f>
        <v/>
      </c>
    </row>
    <row r="238" ht="23" customHeight="1">
      <c r="A238" s="32">
        <f>Database!A238&amp;"  "&amp;Database!B238</f>
        <v/>
      </c>
      <c r="B238" s="24">
        <f>IFERROR(INDEX(BDS(TEXT(VALUE(Database!$A238),"0")&amp;" HK Equity","EQUITY_OFFERINGS","array=t","endcol=1"),MATCH("IPO",BDS(TEXT(VALUE(Database!$A238),"0")&amp;" HK Equity","EQUITY_OFFERINGS","array=t","startcol=2","endcol=2"),0)),"")</f>
        <v/>
      </c>
      <c r="C238" s="208">
        <f>IF($B238="","",IFERROR(BDP($B238&amp;" Action","CP036"),""))</f>
        <v/>
      </c>
      <c r="D238" s="209">
        <f>Database!S238</f>
        <v/>
      </c>
      <c r="E238" s="208">
        <f>IF($B238="","",IFERROR(BDP($B238&amp;" Action","CP037"),""))</f>
        <v/>
      </c>
      <c r="F238" s="209">
        <f>Database!T238</f>
        <v/>
      </c>
      <c r="G238" s="208">
        <f>IF($B238="","",IFERROR(BDP($B238&amp;" Action","GREENSHOE_FACILITY"),""))</f>
        <v/>
      </c>
      <c r="H238" s="208">
        <f>IF($B238="","",IFERROR(BDP($B238&amp;" Action","OFFERING_GREENSHOE_SHARES_EX"),""))</f>
        <v/>
      </c>
      <c r="I238" s="32">
        <f>Database!AE238</f>
        <v/>
      </c>
      <c r="J238" s="39">
        <f>IFERROR(BDP(TEXT(VALUE(Database!$A238),"0")&amp;" HK Equity","PE_RATIO"),"")</f>
        <v/>
      </c>
      <c r="K238" s="24">
        <f>IFERROR(BDP(TEXT(VALUE(Database!$A238),"0")&amp;" HK Equity","A/H_SHARE_CONVERSION"),"")</f>
        <v/>
      </c>
      <c r="L238" s="32">
        <f>IF(Database!BN238="","(none found)",Database!BN238)</f>
        <v/>
      </c>
      <c r="M238" s="34">
        <f>BDH(TEXT(VALUE(Database!$A238),"0")&amp;" HK Equity","CUR_MKT_CAP",Database!$H238,Database!$H238)</f>
        <v/>
      </c>
      <c r="N238" s="166">
        <f>Database!Q238</f>
        <v/>
      </c>
      <c r="O238" s="39">
        <f>BDH(TEXT(VALUE(Database!$A238),"0")&amp;" HK Equity","PE_RATIO",Database!$H238,Database!$H238)</f>
        <v/>
      </c>
      <c r="P238" s="199">
        <f>IF(Database!BH238="","(n/m or not derivable)",Database!BH238)</f>
        <v/>
      </c>
      <c r="Q238" s="39">
        <f>IF(Database!BN238="","",BDH(LEFT(Database!BN238,FIND(".",Database!BN238)-1)&amp;" CH Equity","PE_RATIO",Database!$H238,Database!$H238))</f>
        <v/>
      </c>
      <c r="R238" s="39">
        <f>IF(Database!BN238="","",BDH("HSAHP Index","PX_LAST",Database!$H238,Database!$H238))</f>
        <v/>
      </c>
      <c r="S238" s="39">
        <f>IFERROR(BDP(TEXT(VALUE(Database!$A238),"0")&amp;" HK Equity","PX_TO_SALES_RATIO"),"")</f>
        <v/>
      </c>
      <c r="T238" s="34">
        <f>IF(Database!BN238="","",IFERROR(BDP(LEFT(Database!BN238,FIND(".",Database!BN238)-1)&amp;" CH Equity","CUR_MKT_CAP")*BDP("CNYHKD Curncy","PX_LAST"),"Awaiting quote"))</f>
        <v/>
      </c>
    </row>
    <row r="239" ht="23" customHeight="1">
      <c r="A239" s="32">
        <f>Database!A239&amp;"  "&amp;Database!B239</f>
        <v/>
      </c>
      <c r="B239" s="24">
        <f>IFERROR(INDEX(BDS(TEXT(VALUE(Database!$A239),"0")&amp;" HK Equity","EQUITY_OFFERINGS","array=t","endcol=1"),MATCH("IPO",BDS(TEXT(VALUE(Database!$A239),"0")&amp;" HK Equity","EQUITY_OFFERINGS","array=t","startcol=2","endcol=2"),0)),"")</f>
        <v/>
      </c>
      <c r="C239" s="208">
        <f>IF($B239="","",IFERROR(BDP($B239&amp;" Action","CP036"),""))</f>
        <v/>
      </c>
      <c r="D239" s="209">
        <f>Database!S239</f>
        <v/>
      </c>
      <c r="E239" s="208">
        <f>IF($B239="","",IFERROR(BDP($B239&amp;" Action","CP037"),""))</f>
        <v/>
      </c>
      <c r="F239" s="209">
        <f>Database!T239</f>
        <v/>
      </c>
      <c r="G239" s="208">
        <f>IF($B239="","",IFERROR(BDP($B239&amp;" Action","GREENSHOE_FACILITY"),""))</f>
        <v/>
      </c>
      <c r="H239" s="208">
        <f>IF($B239="","",IFERROR(BDP($B239&amp;" Action","OFFERING_GREENSHOE_SHARES_EX"),""))</f>
        <v/>
      </c>
      <c r="I239" s="32">
        <f>Database!AE239</f>
        <v/>
      </c>
      <c r="J239" s="39">
        <f>IFERROR(BDP(TEXT(VALUE(Database!$A239),"0")&amp;" HK Equity","PE_RATIO"),"")</f>
        <v/>
      </c>
      <c r="K239" s="24">
        <f>IFERROR(BDP(TEXT(VALUE(Database!$A239),"0")&amp;" HK Equity","A/H_SHARE_CONVERSION"),"")</f>
        <v/>
      </c>
      <c r="L239" s="32">
        <f>IF(Database!BN239="","(none found)",Database!BN239)</f>
        <v/>
      </c>
      <c r="M239" s="34">
        <f>BDH(TEXT(VALUE(Database!$A239),"0")&amp;" HK Equity","CUR_MKT_CAP",Database!$H239,Database!$H239)</f>
        <v/>
      </c>
      <c r="N239" s="166">
        <f>Database!Q239</f>
        <v/>
      </c>
      <c r="O239" s="39">
        <f>BDH(TEXT(VALUE(Database!$A239),"0")&amp;" HK Equity","PE_RATIO",Database!$H239,Database!$H239)</f>
        <v/>
      </c>
      <c r="P239" s="199">
        <f>IF(Database!BH239="","(n/m or not derivable)",Database!BH239)</f>
        <v/>
      </c>
      <c r="Q239" s="39">
        <f>IF(Database!BN239="","",BDH(LEFT(Database!BN239,FIND(".",Database!BN239)-1)&amp;" CH Equity","PE_RATIO",Database!$H239,Database!$H239))</f>
        <v/>
      </c>
      <c r="R239" s="39">
        <f>IF(Database!BN239="","",BDH("HSAHP Index","PX_LAST",Database!$H239,Database!$H239))</f>
        <v/>
      </c>
      <c r="S239" s="39">
        <f>IFERROR(BDP(TEXT(VALUE(Database!$A239),"0")&amp;" HK Equity","PX_TO_SALES_RATIO"),"")</f>
        <v/>
      </c>
      <c r="T239" s="34">
        <f>IF(Database!BN239="","",IFERROR(BDP(LEFT(Database!BN239,FIND(".",Database!BN239)-1)&amp;" CH Equity","CUR_MKT_CAP")*BDP("CNYHKD Curncy","PX_LAST"),"Awaiting quote"))</f>
        <v/>
      </c>
    </row>
    <row r="240" ht="23" customHeight="1">
      <c r="A240" s="32">
        <f>Database!A240&amp;"  "&amp;Database!B240</f>
        <v/>
      </c>
      <c r="B240" s="24">
        <f>IFERROR(INDEX(BDS(TEXT(VALUE(Database!$A240),"0")&amp;" HK Equity","EQUITY_OFFERINGS","array=t","endcol=1"),MATCH("IPO",BDS(TEXT(VALUE(Database!$A240),"0")&amp;" HK Equity","EQUITY_OFFERINGS","array=t","startcol=2","endcol=2"),0)),"")</f>
        <v/>
      </c>
      <c r="C240" s="208">
        <f>IF($B240="","",IFERROR(BDP($B240&amp;" Action","CP036"),""))</f>
        <v/>
      </c>
      <c r="D240" s="209">
        <f>Database!S240</f>
        <v/>
      </c>
      <c r="E240" s="208">
        <f>IF($B240="","",IFERROR(BDP($B240&amp;" Action","CP037"),""))</f>
        <v/>
      </c>
      <c r="F240" s="209">
        <f>Database!T240</f>
        <v/>
      </c>
      <c r="G240" s="208">
        <f>IF($B240="","",IFERROR(BDP($B240&amp;" Action","GREENSHOE_FACILITY"),""))</f>
        <v/>
      </c>
      <c r="H240" s="208">
        <f>IF($B240="","",IFERROR(BDP($B240&amp;" Action","OFFERING_GREENSHOE_SHARES_EX"),""))</f>
        <v/>
      </c>
      <c r="I240" s="32">
        <f>Database!AE240</f>
        <v/>
      </c>
      <c r="J240" s="39">
        <f>IFERROR(BDP(TEXT(VALUE(Database!$A240),"0")&amp;" HK Equity","PE_RATIO"),"")</f>
        <v/>
      </c>
      <c r="K240" s="24">
        <f>IFERROR(BDP(TEXT(VALUE(Database!$A240),"0")&amp;" HK Equity","A/H_SHARE_CONVERSION"),"")</f>
        <v/>
      </c>
      <c r="L240" s="32">
        <f>IF(Database!BN240="","(none found)",Database!BN240)</f>
        <v/>
      </c>
      <c r="M240" s="34">
        <f>BDH(TEXT(VALUE(Database!$A240),"0")&amp;" HK Equity","CUR_MKT_CAP",Database!$H240,Database!$H240)</f>
        <v/>
      </c>
      <c r="N240" s="166">
        <f>Database!Q240</f>
        <v/>
      </c>
      <c r="O240" s="39">
        <f>BDH(TEXT(VALUE(Database!$A240),"0")&amp;" HK Equity","PE_RATIO",Database!$H240,Database!$H240)</f>
        <v/>
      </c>
      <c r="P240" s="199">
        <f>IF(Database!BH240="","(n/m or not derivable)",Database!BH240)</f>
        <v/>
      </c>
      <c r="Q240" s="39">
        <f>IF(Database!BN240="","",BDH(LEFT(Database!BN240,FIND(".",Database!BN240)-1)&amp;" CH Equity","PE_RATIO",Database!$H240,Database!$H240))</f>
        <v/>
      </c>
      <c r="R240" s="39">
        <f>IF(Database!BN240="","",BDH("HSAHP Index","PX_LAST",Database!$H240,Database!$H240))</f>
        <v/>
      </c>
      <c r="S240" s="39">
        <f>IFERROR(BDP(TEXT(VALUE(Database!$A240),"0")&amp;" HK Equity","PX_TO_SALES_RATIO"),"")</f>
        <v/>
      </c>
      <c r="T240" s="34">
        <f>IF(Database!BN240="","",IFERROR(BDP(LEFT(Database!BN240,FIND(".",Database!BN240)-1)&amp;" CH Equity","CUR_MKT_CAP")*BDP("CNYHKD Curncy","PX_LAST"),"Awaiting quote"))</f>
        <v/>
      </c>
    </row>
    <row r="241" ht="23" customHeight="1">
      <c r="A241" s="32">
        <f>Database!A241&amp;"  "&amp;Database!B241</f>
        <v/>
      </c>
      <c r="B241" s="24">
        <f>IFERROR(INDEX(BDS(TEXT(VALUE(Database!$A241),"0")&amp;" HK Equity","EQUITY_OFFERINGS","array=t","endcol=1"),MATCH("IPO",BDS(TEXT(VALUE(Database!$A241),"0")&amp;" HK Equity","EQUITY_OFFERINGS","array=t","startcol=2","endcol=2"),0)),"")</f>
        <v/>
      </c>
      <c r="C241" s="208">
        <f>IF($B241="","",IFERROR(BDP($B241&amp;" Action","CP036"),""))</f>
        <v/>
      </c>
      <c r="D241" s="209">
        <f>Database!S241</f>
        <v/>
      </c>
      <c r="E241" s="208">
        <f>IF($B241="","",IFERROR(BDP($B241&amp;" Action","CP037"),""))</f>
        <v/>
      </c>
      <c r="F241" s="209">
        <f>Database!T241</f>
        <v/>
      </c>
      <c r="G241" s="208">
        <f>IF($B241="","",IFERROR(BDP($B241&amp;" Action","GREENSHOE_FACILITY"),""))</f>
        <v/>
      </c>
      <c r="H241" s="208">
        <f>IF($B241="","",IFERROR(BDP($B241&amp;" Action","OFFERING_GREENSHOE_SHARES_EX"),""))</f>
        <v/>
      </c>
      <c r="I241" s="32">
        <f>Database!AE241</f>
        <v/>
      </c>
      <c r="J241" s="39">
        <f>IFERROR(BDP(TEXT(VALUE(Database!$A241),"0")&amp;" HK Equity","PE_RATIO"),"")</f>
        <v/>
      </c>
      <c r="K241" s="24">
        <f>IFERROR(BDP(TEXT(VALUE(Database!$A241),"0")&amp;" HK Equity","A/H_SHARE_CONVERSION"),"")</f>
        <v/>
      </c>
      <c r="L241" s="32">
        <f>IF(Database!BN241="","(none found)",Database!BN241)</f>
        <v/>
      </c>
      <c r="M241" s="34">
        <f>BDH(TEXT(VALUE(Database!$A241),"0")&amp;" HK Equity","CUR_MKT_CAP",Database!$H241,Database!$H241)</f>
        <v/>
      </c>
      <c r="N241" s="166">
        <f>Database!Q241</f>
        <v/>
      </c>
      <c r="O241" s="39">
        <f>BDH(TEXT(VALUE(Database!$A241),"0")&amp;" HK Equity","PE_RATIO",Database!$H241,Database!$H241)</f>
        <v/>
      </c>
      <c r="P241" s="199">
        <f>IF(Database!BH241="","(n/m or not derivable)",Database!BH241)</f>
        <v/>
      </c>
      <c r="Q241" s="39">
        <f>IF(Database!BN241="","",BDH(LEFT(Database!BN241,FIND(".",Database!BN241)-1)&amp;" CH Equity","PE_RATIO",Database!$H241,Database!$H241))</f>
        <v/>
      </c>
      <c r="R241" s="39">
        <f>IF(Database!BN241="","",BDH("HSAHP Index","PX_LAST",Database!$H241,Database!$H241))</f>
        <v/>
      </c>
      <c r="S241" s="39">
        <f>IFERROR(BDP(TEXT(VALUE(Database!$A241),"0")&amp;" HK Equity","PX_TO_SALES_RATIO"),"")</f>
        <v/>
      </c>
      <c r="T241" s="34">
        <f>IF(Database!BN241="","",IFERROR(BDP(LEFT(Database!BN241,FIND(".",Database!BN241)-1)&amp;" CH Equity","CUR_MKT_CAP")*BDP("CNYHKD Curncy","PX_LAST"),"Awaiting quote"))</f>
        <v/>
      </c>
    </row>
    <row r="242" ht="23" customHeight="1">
      <c r="A242" s="32">
        <f>Database!A242&amp;"  "&amp;Database!B242</f>
        <v/>
      </c>
      <c r="B242" s="24">
        <f>IFERROR(INDEX(BDS(TEXT(VALUE(Database!$A242),"0")&amp;" HK Equity","EQUITY_OFFERINGS","array=t","endcol=1"),MATCH("IPO",BDS(TEXT(VALUE(Database!$A242),"0")&amp;" HK Equity","EQUITY_OFFERINGS","array=t","startcol=2","endcol=2"),0)),"")</f>
        <v/>
      </c>
      <c r="C242" s="208">
        <f>IF($B242="","",IFERROR(BDP($B242&amp;" Action","CP036"),""))</f>
        <v/>
      </c>
      <c r="D242" s="209">
        <f>Database!S242</f>
        <v/>
      </c>
      <c r="E242" s="208">
        <f>IF($B242="","",IFERROR(BDP($B242&amp;" Action","CP037"),""))</f>
        <v/>
      </c>
      <c r="F242" s="209">
        <f>Database!T242</f>
        <v/>
      </c>
      <c r="G242" s="208">
        <f>IF($B242="","",IFERROR(BDP($B242&amp;" Action","GREENSHOE_FACILITY"),""))</f>
        <v/>
      </c>
      <c r="H242" s="208">
        <f>IF($B242="","",IFERROR(BDP($B242&amp;" Action","OFFERING_GREENSHOE_SHARES_EX"),""))</f>
        <v/>
      </c>
      <c r="I242" s="32">
        <f>Database!AE242</f>
        <v/>
      </c>
      <c r="J242" s="39">
        <f>IFERROR(BDP(TEXT(VALUE(Database!$A242),"0")&amp;" HK Equity","PE_RATIO"),"")</f>
        <v/>
      </c>
      <c r="K242" s="24">
        <f>IFERROR(BDP(TEXT(VALUE(Database!$A242),"0")&amp;" HK Equity","A/H_SHARE_CONVERSION"),"")</f>
        <v/>
      </c>
      <c r="L242" s="32">
        <f>IF(Database!BN242="","(none found)",Database!BN242)</f>
        <v/>
      </c>
      <c r="M242" s="34">
        <f>BDH(TEXT(VALUE(Database!$A242),"0")&amp;" HK Equity","CUR_MKT_CAP",Database!$H242,Database!$H242)</f>
        <v/>
      </c>
      <c r="N242" s="166">
        <f>Database!Q242</f>
        <v/>
      </c>
      <c r="O242" s="39">
        <f>BDH(TEXT(VALUE(Database!$A242),"0")&amp;" HK Equity","PE_RATIO",Database!$H242,Database!$H242)</f>
        <v/>
      </c>
      <c r="P242" s="199">
        <f>IF(Database!BH242="","(n/m or not derivable)",Database!BH242)</f>
        <v/>
      </c>
      <c r="Q242" s="39">
        <f>IF(Database!BN242="","",BDH(LEFT(Database!BN242,FIND(".",Database!BN242)-1)&amp;" CH Equity","PE_RATIO",Database!$H242,Database!$H242))</f>
        <v/>
      </c>
      <c r="R242" s="39">
        <f>IF(Database!BN242="","",BDH("HSAHP Index","PX_LAST",Database!$H242,Database!$H242))</f>
        <v/>
      </c>
      <c r="S242" s="39">
        <f>IFERROR(BDP(TEXT(VALUE(Database!$A242),"0")&amp;" HK Equity","PX_TO_SALES_RATIO"),"")</f>
        <v/>
      </c>
      <c r="T242" s="34">
        <f>IF(Database!BN242="","",IFERROR(BDP(LEFT(Database!BN242,FIND(".",Database!BN242)-1)&amp;" CH Equity","CUR_MKT_CAP")*BDP("CNYHKD Curncy","PX_LAST"),"Awaiting quote"))</f>
        <v/>
      </c>
    </row>
    <row r="243" ht="23" customHeight="1">
      <c r="A243" s="32">
        <f>Database!A243&amp;"  "&amp;Database!B243</f>
        <v/>
      </c>
      <c r="B243" s="24">
        <f>IFERROR(INDEX(BDS(TEXT(VALUE(Database!$A243),"0")&amp;" HK Equity","EQUITY_OFFERINGS","array=t","endcol=1"),MATCH("IPO",BDS(TEXT(VALUE(Database!$A243),"0")&amp;" HK Equity","EQUITY_OFFERINGS","array=t","startcol=2","endcol=2"),0)),"")</f>
        <v/>
      </c>
      <c r="C243" s="208">
        <f>IF($B243="","",IFERROR(BDP($B243&amp;" Action","CP036"),""))</f>
        <v/>
      </c>
      <c r="D243" s="209">
        <f>Database!S243</f>
        <v/>
      </c>
      <c r="E243" s="208">
        <f>IF($B243="","",IFERROR(BDP($B243&amp;" Action","CP037"),""))</f>
        <v/>
      </c>
      <c r="F243" s="209">
        <f>Database!T243</f>
        <v/>
      </c>
      <c r="G243" s="208">
        <f>IF($B243="","",IFERROR(BDP($B243&amp;" Action","GREENSHOE_FACILITY"),""))</f>
        <v/>
      </c>
      <c r="H243" s="208">
        <f>IF($B243="","",IFERROR(BDP($B243&amp;" Action","OFFERING_GREENSHOE_SHARES_EX"),""))</f>
        <v/>
      </c>
      <c r="I243" s="32">
        <f>Database!AE243</f>
        <v/>
      </c>
      <c r="J243" s="39">
        <f>IFERROR(BDP(TEXT(VALUE(Database!$A243),"0")&amp;" HK Equity","PE_RATIO"),"")</f>
        <v/>
      </c>
      <c r="K243" s="24">
        <f>IFERROR(BDP(TEXT(VALUE(Database!$A243),"0")&amp;" HK Equity","A/H_SHARE_CONVERSION"),"")</f>
        <v/>
      </c>
      <c r="L243" s="32">
        <f>IF(Database!BN243="","(none found)",Database!BN243)</f>
        <v/>
      </c>
      <c r="M243" s="34">
        <f>BDH(TEXT(VALUE(Database!$A243),"0")&amp;" HK Equity","CUR_MKT_CAP",Database!$H243,Database!$H243)</f>
        <v/>
      </c>
      <c r="N243" s="166">
        <f>Database!Q243</f>
        <v/>
      </c>
      <c r="O243" s="39">
        <f>BDH(TEXT(VALUE(Database!$A243),"0")&amp;" HK Equity","PE_RATIO",Database!$H243,Database!$H243)</f>
        <v/>
      </c>
      <c r="P243" s="199">
        <f>IF(Database!BH243="","(n/m or not derivable)",Database!BH243)</f>
        <v/>
      </c>
      <c r="Q243" s="39">
        <f>IF(Database!BN243="","",BDH(LEFT(Database!BN243,FIND(".",Database!BN243)-1)&amp;" CH Equity","PE_RATIO",Database!$H243,Database!$H243))</f>
        <v/>
      </c>
      <c r="R243" s="39">
        <f>IF(Database!BN243="","",BDH("HSAHP Index","PX_LAST",Database!$H243,Database!$H243))</f>
        <v/>
      </c>
      <c r="S243" s="39">
        <f>IFERROR(BDP(TEXT(VALUE(Database!$A243),"0")&amp;" HK Equity","PX_TO_SALES_RATIO"),"")</f>
        <v/>
      </c>
      <c r="T243" s="34">
        <f>IF(Database!BN243="","",IFERROR(BDP(LEFT(Database!BN243,FIND(".",Database!BN243)-1)&amp;" CH Equity","CUR_MKT_CAP")*BDP("CNYHKD Curncy","PX_LAST"),"Awaiting quote"))</f>
        <v/>
      </c>
    </row>
    <row r="244" ht="23" customHeight="1">
      <c r="A244" s="32">
        <f>Database!A244&amp;"  "&amp;Database!B244</f>
        <v/>
      </c>
      <c r="B244" s="24">
        <f>IFERROR(INDEX(BDS(TEXT(VALUE(Database!$A244),"0")&amp;" HK Equity","EQUITY_OFFERINGS","array=t","endcol=1"),MATCH("IPO",BDS(TEXT(VALUE(Database!$A244),"0")&amp;" HK Equity","EQUITY_OFFERINGS","array=t","startcol=2","endcol=2"),0)),"")</f>
        <v/>
      </c>
      <c r="C244" s="208">
        <f>IF($B244="","",IFERROR(BDP($B244&amp;" Action","CP036"),""))</f>
        <v/>
      </c>
      <c r="D244" s="209">
        <f>Database!S244</f>
        <v/>
      </c>
      <c r="E244" s="208">
        <f>IF($B244="","",IFERROR(BDP($B244&amp;" Action","CP037"),""))</f>
        <v/>
      </c>
      <c r="F244" s="209">
        <f>Database!T244</f>
        <v/>
      </c>
      <c r="G244" s="208">
        <f>IF($B244="","",IFERROR(BDP($B244&amp;" Action","GREENSHOE_FACILITY"),""))</f>
        <v/>
      </c>
      <c r="H244" s="208">
        <f>IF($B244="","",IFERROR(BDP($B244&amp;" Action","OFFERING_GREENSHOE_SHARES_EX"),""))</f>
        <v/>
      </c>
      <c r="I244" s="32">
        <f>Database!AE244</f>
        <v/>
      </c>
      <c r="J244" s="39">
        <f>IFERROR(BDP(TEXT(VALUE(Database!$A244),"0")&amp;" HK Equity","PE_RATIO"),"")</f>
        <v/>
      </c>
      <c r="K244" s="24">
        <f>IFERROR(BDP(TEXT(VALUE(Database!$A244),"0")&amp;" HK Equity","A/H_SHARE_CONVERSION"),"")</f>
        <v/>
      </c>
      <c r="L244" s="32">
        <f>IF(Database!BN244="","(none found)",Database!BN244)</f>
        <v/>
      </c>
      <c r="M244" s="34">
        <f>BDH(TEXT(VALUE(Database!$A244),"0")&amp;" HK Equity","CUR_MKT_CAP",Database!$H244,Database!$H244)</f>
        <v/>
      </c>
      <c r="N244" s="166">
        <f>Database!Q244</f>
        <v/>
      </c>
      <c r="O244" s="39">
        <f>BDH(TEXT(VALUE(Database!$A244),"0")&amp;" HK Equity","PE_RATIO",Database!$H244,Database!$H244)</f>
        <v/>
      </c>
      <c r="P244" s="199">
        <f>IF(Database!BH244="","(n/m or not derivable)",Database!BH244)</f>
        <v/>
      </c>
      <c r="Q244" s="39">
        <f>IF(Database!BN244="","",BDH(LEFT(Database!BN244,FIND(".",Database!BN244)-1)&amp;" CH Equity","PE_RATIO",Database!$H244,Database!$H244))</f>
        <v/>
      </c>
      <c r="R244" s="39">
        <f>IF(Database!BN244="","",BDH("HSAHP Index","PX_LAST",Database!$H244,Database!$H244))</f>
        <v/>
      </c>
      <c r="S244" s="39">
        <f>IFERROR(BDP(TEXT(VALUE(Database!$A244),"0")&amp;" HK Equity","PX_TO_SALES_RATIO"),"")</f>
        <v/>
      </c>
      <c r="T244" s="34">
        <f>IF(Database!BN244="","",IFERROR(BDP(LEFT(Database!BN244,FIND(".",Database!BN244)-1)&amp;" CH Equity","CUR_MKT_CAP")*BDP("CNYHKD Curncy","PX_LAST"),"Awaiting quote"))</f>
        <v/>
      </c>
    </row>
    <row r="245" ht="23" customHeight="1">
      <c r="A245" s="32">
        <f>Database!A245&amp;"  "&amp;Database!B245</f>
        <v/>
      </c>
      <c r="B245" s="24">
        <f>IFERROR(INDEX(BDS(TEXT(VALUE(Database!$A245),"0")&amp;" HK Equity","EQUITY_OFFERINGS","array=t","endcol=1"),MATCH("IPO",BDS(TEXT(VALUE(Database!$A245),"0")&amp;" HK Equity","EQUITY_OFFERINGS","array=t","startcol=2","endcol=2"),0)),"")</f>
        <v/>
      </c>
      <c r="C245" s="208">
        <f>IF($B245="","",IFERROR(BDP($B245&amp;" Action","CP036"),""))</f>
        <v/>
      </c>
      <c r="D245" s="209">
        <f>Database!S245</f>
        <v/>
      </c>
      <c r="E245" s="208">
        <f>IF($B245="","",IFERROR(BDP($B245&amp;" Action","CP037"),""))</f>
        <v/>
      </c>
      <c r="F245" s="209">
        <f>Database!T245</f>
        <v/>
      </c>
      <c r="G245" s="208">
        <f>IF($B245="","",IFERROR(BDP($B245&amp;" Action","GREENSHOE_FACILITY"),""))</f>
        <v/>
      </c>
      <c r="H245" s="208">
        <f>IF($B245="","",IFERROR(BDP($B245&amp;" Action","OFFERING_GREENSHOE_SHARES_EX"),""))</f>
        <v/>
      </c>
      <c r="I245" s="32">
        <f>Database!AE245</f>
        <v/>
      </c>
      <c r="J245" s="39">
        <f>IFERROR(BDP(TEXT(VALUE(Database!$A245),"0")&amp;" HK Equity","PE_RATIO"),"")</f>
        <v/>
      </c>
      <c r="K245" s="24">
        <f>IFERROR(BDP(TEXT(VALUE(Database!$A245),"0")&amp;" HK Equity","A/H_SHARE_CONVERSION"),"")</f>
        <v/>
      </c>
      <c r="L245" s="32">
        <f>IF(Database!BN245="","(none found)",Database!BN245)</f>
        <v/>
      </c>
      <c r="M245" s="34">
        <f>BDH(TEXT(VALUE(Database!$A245),"0")&amp;" HK Equity","CUR_MKT_CAP",Database!$H245,Database!$H245)</f>
        <v/>
      </c>
      <c r="N245" s="166">
        <f>Database!Q245</f>
        <v/>
      </c>
      <c r="O245" s="39">
        <f>BDH(TEXT(VALUE(Database!$A245),"0")&amp;" HK Equity","PE_RATIO",Database!$H245,Database!$H245)</f>
        <v/>
      </c>
      <c r="P245" s="199">
        <f>IF(Database!BH245="","(n/m or not derivable)",Database!BH245)</f>
        <v/>
      </c>
      <c r="Q245" s="39">
        <f>IF(Database!BN245="","",BDH(LEFT(Database!BN245,FIND(".",Database!BN245)-1)&amp;" CH Equity","PE_RATIO",Database!$H245,Database!$H245))</f>
        <v/>
      </c>
      <c r="R245" s="39">
        <f>IF(Database!BN245="","",BDH("HSAHP Index","PX_LAST",Database!$H245,Database!$H245))</f>
        <v/>
      </c>
      <c r="S245" s="39">
        <f>IFERROR(BDP(TEXT(VALUE(Database!$A245),"0")&amp;" HK Equity","PX_TO_SALES_RATIO"),"")</f>
        <v/>
      </c>
      <c r="T245" s="34">
        <f>IF(Database!BN245="","",IFERROR(BDP(LEFT(Database!BN245,FIND(".",Database!BN245)-1)&amp;" CH Equity","CUR_MKT_CAP")*BDP("CNYHKD Curncy","PX_LAST"),"Awaiting quote"))</f>
        <v/>
      </c>
    </row>
    <row r="246" ht="23" customHeight="1">
      <c r="A246" s="32">
        <f>Database!A246&amp;"  "&amp;Database!B246</f>
        <v/>
      </c>
      <c r="B246" s="24">
        <f>IFERROR(INDEX(BDS(TEXT(VALUE(Database!$A246),"0")&amp;" HK Equity","EQUITY_OFFERINGS","array=t","endcol=1"),MATCH("IPO",BDS(TEXT(VALUE(Database!$A246),"0")&amp;" HK Equity","EQUITY_OFFERINGS","array=t","startcol=2","endcol=2"),0)),"")</f>
        <v/>
      </c>
      <c r="C246" s="208">
        <f>IF($B246="","",IFERROR(BDP($B246&amp;" Action","CP036"),""))</f>
        <v/>
      </c>
      <c r="D246" s="209">
        <f>Database!S246</f>
        <v/>
      </c>
      <c r="E246" s="208">
        <f>IF($B246="","",IFERROR(BDP($B246&amp;" Action","CP037"),""))</f>
        <v/>
      </c>
      <c r="F246" s="209">
        <f>Database!T246</f>
        <v/>
      </c>
      <c r="G246" s="208">
        <f>IF($B246="","",IFERROR(BDP($B246&amp;" Action","GREENSHOE_FACILITY"),""))</f>
        <v/>
      </c>
      <c r="H246" s="208">
        <f>IF($B246="","",IFERROR(BDP($B246&amp;" Action","OFFERING_GREENSHOE_SHARES_EX"),""))</f>
        <v/>
      </c>
      <c r="I246" s="32">
        <f>Database!AE246</f>
        <v/>
      </c>
      <c r="J246" s="39">
        <f>IFERROR(BDP(TEXT(VALUE(Database!$A246),"0")&amp;" HK Equity","PE_RATIO"),"")</f>
        <v/>
      </c>
      <c r="K246" s="24">
        <f>IFERROR(BDP(TEXT(VALUE(Database!$A246),"0")&amp;" HK Equity","A/H_SHARE_CONVERSION"),"")</f>
        <v/>
      </c>
      <c r="L246" s="32">
        <f>IF(Database!BN246="","(none found)",Database!BN246)</f>
        <v/>
      </c>
      <c r="M246" s="34">
        <f>BDH(TEXT(VALUE(Database!$A246),"0")&amp;" HK Equity","CUR_MKT_CAP",Database!$H246,Database!$H246)</f>
        <v/>
      </c>
      <c r="N246" s="166">
        <f>Database!Q246</f>
        <v/>
      </c>
      <c r="O246" s="39">
        <f>BDH(TEXT(VALUE(Database!$A246),"0")&amp;" HK Equity","PE_RATIO",Database!$H246,Database!$H246)</f>
        <v/>
      </c>
      <c r="P246" s="199">
        <f>IF(Database!BH246="","(n/m or not derivable)",Database!BH246)</f>
        <v/>
      </c>
      <c r="Q246" s="39">
        <f>IF(Database!BN246="","",BDH(LEFT(Database!BN246,FIND(".",Database!BN246)-1)&amp;" CH Equity","PE_RATIO",Database!$H246,Database!$H246))</f>
        <v/>
      </c>
      <c r="R246" s="39">
        <f>IF(Database!BN246="","",BDH("HSAHP Index","PX_LAST",Database!$H246,Database!$H246))</f>
        <v/>
      </c>
      <c r="S246" s="39">
        <f>IFERROR(BDP(TEXT(VALUE(Database!$A246),"0")&amp;" HK Equity","PX_TO_SALES_RATIO"),"")</f>
        <v/>
      </c>
      <c r="T246" s="34">
        <f>IF(Database!BN246="","",IFERROR(BDP(LEFT(Database!BN246,FIND(".",Database!BN246)-1)&amp;" CH Equity","CUR_MKT_CAP")*BDP("CNYHKD Curncy","PX_LAST"),"Awaiting quote"))</f>
        <v/>
      </c>
    </row>
    <row r="247" ht="23" customHeight="1">
      <c r="A247" s="32">
        <f>Database!A247&amp;"  "&amp;Database!B247</f>
        <v/>
      </c>
      <c r="B247" s="24">
        <f>IFERROR(INDEX(BDS(TEXT(VALUE(Database!$A247),"0")&amp;" HK Equity","EQUITY_OFFERINGS","array=t","endcol=1"),MATCH("IPO",BDS(TEXT(VALUE(Database!$A247),"0")&amp;" HK Equity","EQUITY_OFFERINGS","array=t","startcol=2","endcol=2"),0)),"")</f>
        <v/>
      </c>
      <c r="C247" s="208">
        <f>IF($B247="","",IFERROR(BDP($B247&amp;" Action","CP036"),""))</f>
        <v/>
      </c>
      <c r="D247" s="209">
        <f>Database!S247</f>
        <v/>
      </c>
      <c r="E247" s="208">
        <f>IF($B247="","",IFERROR(BDP($B247&amp;" Action","CP037"),""))</f>
        <v/>
      </c>
      <c r="F247" s="209">
        <f>Database!T247</f>
        <v/>
      </c>
      <c r="G247" s="208">
        <f>IF($B247="","",IFERROR(BDP($B247&amp;" Action","GREENSHOE_FACILITY"),""))</f>
        <v/>
      </c>
      <c r="H247" s="208">
        <f>IF($B247="","",IFERROR(BDP($B247&amp;" Action","OFFERING_GREENSHOE_SHARES_EX"),""))</f>
        <v/>
      </c>
      <c r="I247" s="32">
        <f>Database!AE247</f>
        <v/>
      </c>
      <c r="J247" s="39">
        <f>IFERROR(BDP(TEXT(VALUE(Database!$A247),"0")&amp;" HK Equity","PE_RATIO"),"")</f>
        <v/>
      </c>
      <c r="K247" s="24">
        <f>IFERROR(BDP(TEXT(VALUE(Database!$A247),"0")&amp;" HK Equity","A/H_SHARE_CONVERSION"),"")</f>
        <v/>
      </c>
      <c r="L247" s="32">
        <f>IF(Database!BN247="","(none found)",Database!BN247)</f>
        <v/>
      </c>
      <c r="M247" s="34">
        <f>BDH(TEXT(VALUE(Database!$A247),"0")&amp;" HK Equity","CUR_MKT_CAP",Database!$H247,Database!$H247)</f>
        <v/>
      </c>
      <c r="N247" s="166">
        <f>Database!Q247</f>
        <v/>
      </c>
      <c r="O247" s="39">
        <f>BDH(TEXT(VALUE(Database!$A247),"0")&amp;" HK Equity","PE_RATIO",Database!$H247,Database!$H247)</f>
        <v/>
      </c>
      <c r="P247" s="199">
        <f>IF(Database!BH247="","(n/m or not derivable)",Database!BH247)</f>
        <v/>
      </c>
      <c r="Q247" s="39">
        <f>IF(Database!BN247="","",BDH(LEFT(Database!BN247,FIND(".",Database!BN247)-1)&amp;" CH Equity","PE_RATIO",Database!$H247,Database!$H247))</f>
        <v/>
      </c>
      <c r="R247" s="39">
        <f>IF(Database!BN247="","",BDH("HSAHP Index","PX_LAST",Database!$H247,Database!$H247))</f>
        <v/>
      </c>
      <c r="S247" s="39">
        <f>IFERROR(BDP(TEXT(VALUE(Database!$A247),"0")&amp;" HK Equity","PX_TO_SALES_RATIO"),"")</f>
        <v/>
      </c>
      <c r="T247" s="34">
        <f>IF(Database!BN247="","",IFERROR(BDP(LEFT(Database!BN247,FIND(".",Database!BN247)-1)&amp;" CH Equity","CUR_MKT_CAP")*BDP("CNYHKD Curncy","PX_LAST"),"Awaiting quote"))</f>
        <v/>
      </c>
    </row>
    <row r="248" ht="23" customHeight="1">
      <c r="A248" s="32">
        <f>Database!A248&amp;"  "&amp;Database!B248</f>
        <v/>
      </c>
      <c r="B248" s="24">
        <f>IFERROR(INDEX(BDS(TEXT(VALUE(Database!$A248),"0")&amp;" HK Equity","EQUITY_OFFERINGS","array=t","endcol=1"),MATCH("IPO",BDS(TEXT(VALUE(Database!$A248),"0")&amp;" HK Equity","EQUITY_OFFERINGS","array=t","startcol=2","endcol=2"),0)),"")</f>
        <v/>
      </c>
      <c r="C248" s="208">
        <f>IF($B248="","",IFERROR(BDP($B248&amp;" Action","CP036"),""))</f>
        <v/>
      </c>
      <c r="D248" s="209">
        <f>Database!S248</f>
        <v/>
      </c>
      <c r="E248" s="208">
        <f>IF($B248="","",IFERROR(BDP($B248&amp;" Action","CP037"),""))</f>
        <v/>
      </c>
      <c r="F248" s="209">
        <f>Database!T248</f>
        <v/>
      </c>
      <c r="G248" s="208">
        <f>IF($B248="","",IFERROR(BDP($B248&amp;" Action","GREENSHOE_FACILITY"),""))</f>
        <v/>
      </c>
      <c r="H248" s="208">
        <f>IF($B248="","",IFERROR(BDP($B248&amp;" Action","OFFERING_GREENSHOE_SHARES_EX"),""))</f>
        <v/>
      </c>
      <c r="I248" s="32">
        <f>Database!AE248</f>
        <v/>
      </c>
      <c r="J248" s="39">
        <f>IFERROR(BDP(TEXT(VALUE(Database!$A248),"0")&amp;" HK Equity","PE_RATIO"),"")</f>
        <v/>
      </c>
      <c r="K248" s="24">
        <f>IFERROR(BDP(TEXT(VALUE(Database!$A248),"0")&amp;" HK Equity","A/H_SHARE_CONVERSION"),"")</f>
        <v/>
      </c>
      <c r="L248" s="32">
        <f>IF(Database!BN248="","(none found)",Database!BN248)</f>
        <v/>
      </c>
      <c r="M248" s="34">
        <f>BDH(TEXT(VALUE(Database!$A248),"0")&amp;" HK Equity","CUR_MKT_CAP",Database!$H248,Database!$H248)</f>
        <v/>
      </c>
      <c r="N248" s="166">
        <f>Database!Q248</f>
        <v/>
      </c>
      <c r="O248" s="39">
        <f>BDH(TEXT(VALUE(Database!$A248),"0")&amp;" HK Equity","PE_RATIO",Database!$H248,Database!$H248)</f>
        <v/>
      </c>
      <c r="P248" s="199">
        <f>IF(Database!BH248="","(n/m or not derivable)",Database!BH248)</f>
        <v/>
      </c>
      <c r="Q248" s="39">
        <f>IF(Database!BN248="","",BDH(LEFT(Database!BN248,FIND(".",Database!BN248)-1)&amp;" CH Equity","PE_RATIO",Database!$H248,Database!$H248))</f>
        <v/>
      </c>
      <c r="R248" s="39">
        <f>IF(Database!BN248="","",BDH("HSAHP Index","PX_LAST",Database!$H248,Database!$H248))</f>
        <v/>
      </c>
      <c r="S248" s="39">
        <f>IFERROR(BDP(TEXT(VALUE(Database!$A248),"0")&amp;" HK Equity","PX_TO_SALES_RATIO"),"")</f>
        <v/>
      </c>
      <c r="T248" s="34">
        <f>IF(Database!BN248="","",IFERROR(BDP(LEFT(Database!BN248,FIND(".",Database!BN248)-1)&amp;" CH Equity","CUR_MKT_CAP")*BDP("CNYHKD Curncy","PX_LAST"),"Awaiting quote"))</f>
        <v/>
      </c>
    </row>
    <row r="249" ht="23" customHeight="1">
      <c r="A249" s="32">
        <f>Database!A249&amp;"  "&amp;Database!B249</f>
        <v/>
      </c>
      <c r="B249" s="24">
        <f>IFERROR(INDEX(BDS(TEXT(VALUE(Database!$A249),"0")&amp;" HK Equity","EQUITY_OFFERINGS","array=t","endcol=1"),MATCH("IPO",BDS(TEXT(VALUE(Database!$A249),"0")&amp;" HK Equity","EQUITY_OFFERINGS","array=t","startcol=2","endcol=2"),0)),"")</f>
        <v/>
      </c>
      <c r="C249" s="208">
        <f>IF($B249="","",IFERROR(BDP($B249&amp;" Action","CP036"),""))</f>
        <v/>
      </c>
      <c r="D249" s="209">
        <f>Database!S249</f>
        <v/>
      </c>
      <c r="E249" s="208">
        <f>IF($B249="","",IFERROR(BDP($B249&amp;" Action","CP037"),""))</f>
        <v/>
      </c>
      <c r="F249" s="209">
        <f>Database!T249</f>
        <v/>
      </c>
      <c r="G249" s="208">
        <f>IF($B249="","",IFERROR(BDP($B249&amp;" Action","GREENSHOE_FACILITY"),""))</f>
        <v/>
      </c>
      <c r="H249" s="208">
        <f>IF($B249="","",IFERROR(BDP($B249&amp;" Action","OFFERING_GREENSHOE_SHARES_EX"),""))</f>
        <v/>
      </c>
      <c r="I249" s="32">
        <f>Database!AE249</f>
        <v/>
      </c>
      <c r="J249" s="39">
        <f>IFERROR(BDP(TEXT(VALUE(Database!$A249),"0")&amp;" HK Equity","PE_RATIO"),"")</f>
        <v/>
      </c>
      <c r="K249" s="24">
        <f>IFERROR(BDP(TEXT(VALUE(Database!$A249),"0")&amp;" HK Equity","A/H_SHARE_CONVERSION"),"")</f>
        <v/>
      </c>
      <c r="L249" s="32">
        <f>IF(Database!BN249="","(none found)",Database!BN249)</f>
        <v/>
      </c>
      <c r="M249" s="34">
        <f>BDH(TEXT(VALUE(Database!$A249),"0")&amp;" HK Equity","CUR_MKT_CAP",Database!$H249,Database!$H249)</f>
        <v/>
      </c>
      <c r="N249" s="166">
        <f>Database!Q249</f>
        <v/>
      </c>
      <c r="O249" s="39">
        <f>BDH(TEXT(VALUE(Database!$A249),"0")&amp;" HK Equity","PE_RATIO",Database!$H249,Database!$H249)</f>
        <v/>
      </c>
      <c r="P249" s="199">
        <f>IF(Database!BH249="","(n/m or not derivable)",Database!BH249)</f>
        <v/>
      </c>
      <c r="Q249" s="39">
        <f>IF(Database!BN249="","",BDH(LEFT(Database!BN249,FIND(".",Database!BN249)-1)&amp;" CH Equity","PE_RATIO",Database!$H249,Database!$H249))</f>
        <v/>
      </c>
      <c r="R249" s="39">
        <f>IF(Database!BN249="","",BDH("HSAHP Index","PX_LAST",Database!$H249,Database!$H249))</f>
        <v/>
      </c>
      <c r="S249" s="39">
        <f>IFERROR(BDP(TEXT(VALUE(Database!$A249),"0")&amp;" HK Equity","PX_TO_SALES_RATIO"),"")</f>
        <v/>
      </c>
      <c r="T249" s="34">
        <f>IF(Database!BN249="","",IFERROR(BDP(LEFT(Database!BN249,FIND(".",Database!BN249)-1)&amp;" CH Equity","CUR_MKT_CAP")*BDP("CNYHKD Curncy","PX_LAST"),"Awaiting quote"))</f>
        <v/>
      </c>
    </row>
    <row r="250" ht="23" customHeight="1">
      <c r="A250" s="32">
        <f>Database!A250&amp;"  "&amp;Database!B250</f>
        <v/>
      </c>
      <c r="B250" s="24">
        <f>IFERROR(INDEX(BDS(TEXT(VALUE(Database!$A250),"0")&amp;" HK Equity","EQUITY_OFFERINGS","array=t","endcol=1"),MATCH("IPO",BDS(TEXT(VALUE(Database!$A250),"0")&amp;" HK Equity","EQUITY_OFFERINGS","array=t","startcol=2","endcol=2"),0)),"")</f>
        <v/>
      </c>
      <c r="C250" s="208">
        <f>IF($B250="","",IFERROR(BDP($B250&amp;" Action","CP036"),""))</f>
        <v/>
      </c>
      <c r="D250" s="209">
        <f>Database!S250</f>
        <v/>
      </c>
      <c r="E250" s="208">
        <f>IF($B250="","",IFERROR(BDP($B250&amp;" Action","CP037"),""))</f>
        <v/>
      </c>
      <c r="F250" s="209">
        <f>Database!T250</f>
        <v/>
      </c>
      <c r="G250" s="208">
        <f>IF($B250="","",IFERROR(BDP($B250&amp;" Action","GREENSHOE_FACILITY"),""))</f>
        <v/>
      </c>
      <c r="H250" s="208">
        <f>IF($B250="","",IFERROR(BDP($B250&amp;" Action","OFFERING_GREENSHOE_SHARES_EX"),""))</f>
        <v/>
      </c>
      <c r="I250" s="32">
        <f>Database!AE250</f>
        <v/>
      </c>
      <c r="J250" s="39">
        <f>IFERROR(BDP(TEXT(VALUE(Database!$A250),"0")&amp;" HK Equity","PE_RATIO"),"")</f>
        <v/>
      </c>
      <c r="K250" s="24">
        <f>IFERROR(BDP(TEXT(VALUE(Database!$A250),"0")&amp;" HK Equity","A/H_SHARE_CONVERSION"),"")</f>
        <v/>
      </c>
      <c r="L250" s="32">
        <f>IF(Database!BN250="","(none found)",Database!BN250)</f>
        <v/>
      </c>
      <c r="M250" s="34">
        <f>BDH(TEXT(VALUE(Database!$A250),"0")&amp;" HK Equity","CUR_MKT_CAP",Database!$H250,Database!$H250)</f>
        <v/>
      </c>
      <c r="N250" s="166">
        <f>Database!Q250</f>
        <v/>
      </c>
      <c r="O250" s="39">
        <f>BDH(TEXT(VALUE(Database!$A250),"0")&amp;" HK Equity","PE_RATIO",Database!$H250,Database!$H250)</f>
        <v/>
      </c>
      <c r="P250" s="199">
        <f>IF(Database!BH250="","(n/m or not derivable)",Database!BH250)</f>
        <v/>
      </c>
      <c r="Q250" s="39">
        <f>IF(Database!BN250="","",BDH(LEFT(Database!BN250,FIND(".",Database!BN250)-1)&amp;" CH Equity","PE_RATIO",Database!$H250,Database!$H250))</f>
        <v/>
      </c>
      <c r="R250" s="39">
        <f>IF(Database!BN250="","",BDH("HSAHP Index","PX_LAST",Database!$H250,Database!$H250))</f>
        <v/>
      </c>
      <c r="S250" s="39">
        <f>IFERROR(BDP(TEXT(VALUE(Database!$A250),"0")&amp;" HK Equity","PX_TO_SALES_RATIO"),"")</f>
        <v/>
      </c>
      <c r="T250" s="34">
        <f>IF(Database!BN250="","",IFERROR(BDP(LEFT(Database!BN250,FIND(".",Database!BN250)-1)&amp;" CH Equity","CUR_MKT_CAP")*BDP("CNYHKD Curncy","PX_LAST"),"Awaiting quote"))</f>
        <v/>
      </c>
    </row>
    <row r="251" ht="23" customHeight="1">
      <c r="A251" s="32">
        <f>Database!A251&amp;"  "&amp;Database!B251</f>
        <v/>
      </c>
      <c r="B251" s="24">
        <f>IFERROR(INDEX(BDS(TEXT(VALUE(Database!$A251),"0")&amp;" HK Equity","EQUITY_OFFERINGS","array=t","endcol=1"),MATCH("IPO",BDS(TEXT(VALUE(Database!$A251),"0")&amp;" HK Equity","EQUITY_OFFERINGS","array=t","startcol=2","endcol=2"),0)),"")</f>
        <v/>
      </c>
      <c r="C251" s="208">
        <f>IF($B251="","",IFERROR(BDP($B251&amp;" Action","CP036"),""))</f>
        <v/>
      </c>
      <c r="D251" s="209">
        <f>Database!S251</f>
        <v/>
      </c>
      <c r="E251" s="208">
        <f>IF($B251="","",IFERROR(BDP($B251&amp;" Action","CP037"),""))</f>
        <v/>
      </c>
      <c r="F251" s="209">
        <f>Database!T251</f>
        <v/>
      </c>
      <c r="G251" s="208">
        <f>IF($B251="","",IFERROR(BDP($B251&amp;" Action","GREENSHOE_FACILITY"),""))</f>
        <v/>
      </c>
      <c r="H251" s="208">
        <f>IF($B251="","",IFERROR(BDP($B251&amp;" Action","OFFERING_GREENSHOE_SHARES_EX"),""))</f>
        <v/>
      </c>
      <c r="I251" s="32">
        <f>Database!AE251</f>
        <v/>
      </c>
      <c r="J251" s="39">
        <f>IFERROR(BDP(TEXT(VALUE(Database!$A251),"0")&amp;" HK Equity","PE_RATIO"),"")</f>
        <v/>
      </c>
      <c r="K251" s="24">
        <f>IFERROR(BDP(TEXT(VALUE(Database!$A251),"0")&amp;" HK Equity","A/H_SHARE_CONVERSION"),"")</f>
        <v/>
      </c>
      <c r="L251" s="32">
        <f>IF(Database!BN251="","(none found)",Database!BN251)</f>
        <v/>
      </c>
      <c r="M251" s="34">
        <f>BDH(TEXT(VALUE(Database!$A251),"0")&amp;" HK Equity","CUR_MKT_CAP",Database!$H251,Database!$H251)</f>
        <v/>
      </c>
      <c r="N251" s="166">
        <f>Database!Q251</f>
        <v/>
      </c>
      <c r="O251" s="39">
        <f>BDH(TEXT(VALUE(Database!$A251),"0")&amp;" HK Equity","PE_RATIO",Database!$H251,Database!$H251)</f>
        <v/>
      </c>
      <c r="P251" s="199">
        <f>IF(Database!BH251="","(n/m or not derivable)",Database!BH251)</f>
        <v/>
      </c>
      <c r="Q251" s="39">
        <f>IF(Database!BN251="","",BDH(LEFT(Database!BN251,FIND(".",Database!BN251)-1)&amp;" CH Equity","PE_RATIO",Database!$H251,Database!$H251))</f>
        <v/>
      </c>
      <c r="R251" s="39">
        <f>IF(Database!BN251="","",BDH("HSAHP Index","PX_LAST",Database!$H251,Database!$H251))</f>
        <v/>
      </c>
      <c r="S251" s="39">
        <f>IFERROR(BDP(TEXT(VALUE(Database!$A251),"0")&amp;" HK Equity","PX_TO_SALES_RATIO"),"")</f>
        <v/>
      </c>
      <c r="T251" s="34">
        <f>IF(Database!BN251="","",IFERROR(BDP(LEFT(Database!BN251,FIND(".",Database!BN251)-1)&amp;" CH Equity","CUR_MKT_CAP")*BDP("CNYHKD Curncy","PX_LAST"),"Awaiting quote"))</f>
        <v/>
      </c>
    </row>
    <row r="252" ht="23" customHeight="1">
      <c r="A252" s="32">
        <f>Database!A252&amp;"  "&amp;Database!B252</f>
        <v/>
      </c>
      <c r="B252" s="24">
        <f>IFERROR(INDEX(BDS(TEXT(VALUE(Database!$A252),"0")&amp;" HK Equity","EQUITY_OFFERINGS","array=t","endcol=1"),MATCH("IPO",BDS(TEXT(VALUE(Database!$A252),"0")&amp;" HK Equity","EQUITY_OFFERINGS","array=t","startcol=2","endcol=2"),0)),"")</f>
        <v/>
      </c>
      <c r="C252" s="208">
        <f>IF($B252="","",IFERROR(BDP($B252&amp;" Action","CP036"),""))</f>
        <v/>
      </c>
      <c r="D252" s="209">
        <f>Database!S252</f>
        <v/>
      </c>
      <c r="E252" s="208">
        <f>IF($B252="","",IFERROR(BDP($B252&amp;" Action","CP037"),""))</f>
        <v/>
      </c>
      <c r="F252" s="209">
        <f>Database!T252</f>
        <v/>
      </c>
      <c r="G252" s="208">
        <f>IF($B252="","",IFERROR(BDP($B252&amp;" Action","GREENSHOE_FACILITY"),""))</f>
        <v/>
      </c>
      <c r="H252" s="208">
        <f>IF($B252="","",IFERROR(BDP($B252&amp;" Action","OFFERING_GREENSHOE_SHARES_EX"),""))</f>
        <v/>
      </c>
      <c r="I252" s="32">
        <f>Database!AE252</f>
        <v/>
      </c>
      <c r="J252" s="39">
        <f>IFERROR(BDP(TEXT(VALUE(Database!$A252),"0")&amp;" HK Equity","PE_RATIO"),"")</f>
        <v/>
      </c>
      <c r="K252" s="24">
        <f>IFERROR(BDP(TEXT(VALUE(Database!$A252),"0")&amp;" HK Equity","A/H_SHARE_CONVERSION"),"")</f>
        <v/>
      </c>
      <c r="L252" s="32">
        <f>IF(Database!BN252="","(none found)",Database!BN252)</f>
        <v/>
      </c>
      <c r="M252" s="34">
        <f>BDH(TEXT(VALUE(Database!$A252),"0")&amp;" HK Equity","CUR_MKT_CAP",Database!$H252,Database!$H252)</f>
        <v/>
      </c>
      <c r="N252" s="166">
        <f>Database!Q252</f>
        <v/>
      </c>
      <c r="O252" s="39">
        <f>BDH(TEXT(VALUE(Database!$A252),"0")&amp;" HK Equity","PE_RATIO",Database!$H252,Database!$H252)</f>
        <v/>
      </c>
      <c r="P252" s="199">
        <f>IF(Database!BH252="","(n/m or not derivable)",Database!BH252)</f>
        <v/>
      </c>
      <c r="Q252" s="39">
        <f>IF(Database!BN252="","",BDH(LEFT(Database!BN252,FIND(".",Database!BN252)-1)&amp;" CH Equity","PE_RATIO",Database!$H252,Database!$H252))</f>
        <v/>
      </c>
      <c r="R252" s="39">
        <f>IF(Database!BN252="","",BDH("HSAHP Index","PX_LAST",Database!$H252,Database!$H252))</f>
        <v/>
      </c>
      <c r="S252" s="39">
        <f>IFERROR(BDP(TEXT(VALUE(Database!$A252),"0")&amp;" HK Equity","PX_TO_SALES_RATIO"),"")</f>
        <v/>
      </c>
      <c r="T252" s="34">
        <f>IF(Database!BN252="","",IFERROR(BDP(LEFT(Database!BN252,FIND(".",Database!BN252)-1)&amp;" CH Equity","CUR_MKT_CAP")*BDP("CNYHKD Curncy","PX_LAST"),"Awaiting quote"))</f>
        <v/>
      </c>
    </row>
    <row r="253" ht="23" customHeight="1">
      <c r="A253" s="32">
        <f>Database!A253&amp;"  "&amp;Database!B253</f>
        <v/>
      </c>
      <c r="B253" s="24">
        <f>IFERROR(INDEX(BDS(TEXT(VALUE(Database!$A253),"0")&amp;" HK Equity","EQUITY_OFFERINGS","array=t","endcol=1"),MATCH("IPO",BDS(TEXT(VALUE(Database!$A253),"0")&amp;" HK Equity","EQUITY_OFFERINGS","array=t","startcol=2","endcol=2"),0)),"")</f>
        <v/>
      </c>
      <c r="C253" s="208">
        <f>IF($B253="","",IFERROR(BDP($B253&amp;" Action","CP036"),""))</f>
        <v/>
      </c>
      <c r="D253" s="209">
        <f>Database!S253</f>
        <v/>
      </c>
      <c r="E253" s="208">
        <f>IF($B253="","",IFERROR(BDP($B253&amp;" Action","CP037"),""))</f>
        <v/>
      </c>
      <c r="F253" s="209">
        <f>Database!T253</f>
        <v/>
      </c>
      <c r="G253" s="208">
        <f>IF($B253="","",IFERROR(BDP($B253&amp;" Action","GREENSHOE_FACILITY"),""))</f>
        <v/>
      </c>
      <c r="H253" s="208">
        <f>IF($B253="","",IFERROR(BDP($B253&amp;" Action","OFFERING_GREENSHOE_SHARES_EX"),""))</f>
        <v/>
      </c>
      <c r="I253" s="32">
        <f>Database!AE253</f>
        <v/>
      </c>
      <c r="J253" s="39">
        <f>IFERROR(BDP(TEXT(VALUE(Database!$A253),"0")&amp;" HK Equity","PE_RATIO"),"")</f>
        <v/>
      </c>
      <c r="K253" s="24">
        <f>IFERROR(BDP(TEXT(VALUE(Database!$A253),"0")&amp;" HK Equity","A/H_SHARE_CONVERSION"),"")</f>
        <v/>
      </c>
      <c r="L253" s="32">
        <f>IF(Database!BN253="","(none found)",Database!BN253)</f>
        <v/>
      </c>
      <c r="M253" s="34">
        <f>BDH(TEXT(VALUE(Database!$A253),"0")&amp;" HK Equity","CUR_MKT_CAP",Database!$H253,Database!$H253)</f>
        <v/>
      </c>
      <c r="N253" s="166">
        <f>Database!Q253</f>
        <v/>
      </c>
      <c r="O253" s="39">
        <f>BDH(TEXT(VALUE(Database!$A253),"0")&amp;" HK Equity","PE_RATIO",Database!$H253,Database!$H253)</f>
        <v/>
      </c>
      <c r="P253" s="199">
        <f>IF(Database!BH253="","(n/m or not derivable)",Database!BH253)</f>
        <v/>
      </c>
      <c r="Q253" s="39">
        <f>IF(Database!BN253="","",BDH(LEFT(Database!BN253,FIND(".",Database!BN253)-1)&amp;" CH Equity","PE_RATIO",Database!$H253,Database!$H253))</f>
        <v/>
      </c>
      <c r="R253" s="39">
        <f>IF(Database!BN253="","",BDH("HSAHP Index","PX_LAST",Database!$H253,Database!$H253))</f>
        <v/>
      </c>
      <c r="S253" s="39">
        <f>IFERROR(BDP(TEXT(VALUE(Database!$A253),"0")&amp;" HK Equity","PX_TO_SALES_RATIO"),"")</f>
        <v/>
      </c>
      <c r="T253" s="34">
        <f>IF(Database!BN253="","",IFERROR(BDP(LEFT(Database!BN253,FIND(".",Database!BN253)-1)&amp;" CH Equity","CUR_MKT_CAP")*BDP("CNYHKD Curncy","PX_LAST"),"Awaiting quote"))</f>
        <v/>
      </c>
    </row>
    <row r="254" ht="23" customHeight="1">
      <c r="A254" s="32">
        <f>Database!A254&amp;"  "&amp;Database!B254</f>
        <v/>
      </c>
      <c r="B254" s="24">
        <f>IFERROR(INDEX(BDS(TEXT(VALUE(Database!$A254),"0")&amp;" HK Equity","EQUITY_OFFERINGS","array=t","endcol=1"),MATCH("IPO",BDS(TEXT(VALUE(Database!$A254),"0")&amp;" HK Equity","EQUITY_OFFERINGS","array=t","startcol=2","endcol=2"),0)),"")</f>
        <v/>
      </c>
      <c r="C254" s="208">
        <f>IF($B254="","",IFERROR(BDP($B254&amp;" Action","CP036"),""))</f>
        <v/>
      </c>
      <c r="D254" s="209">
        <f>Database!S254</f>
        <v/>
      </c>
      <c r="E254" s="208">
        <f>IF($B254="","",IFERROR(BDP($B254&amp;" Action","CP037"),""))</f>
        <v/>
      </c>
      <c r="F254" s="209">
        <f>Database!T254</f>
        <v/>
      </c>
      <c r="G254" s="208">
        <f>IF($B254="","",IFERROR(BDP($B254&amp;" Action","GREENSHOE_FACILITY"),""))</f>
        <v/>
      </c>
      <c r="H254" s="208">
        <f>IF($B254="","",IFERROR(BDP($B254&amp;" Action","OFFERING_GREENSHOE_SHARES_EX"),""))</f>
        <v/>
      </c>
      <c r="I254" s="32">
        <f>Database!AE254</f>
        <v/>
      </c>
      <c r="J254" s="39">
        <f>IFERROR(BDP(TEXT(VALUE(Database!$A254),"0")&amp;" HK Equity","PE_RATIO"),"")</f>
        <v/>
      </c>
      <c r="K254" s="24">
        <f>IFERROR(BDP(TEXT(VALUE(Database!$A254),"0")&amp;" HK Equity","A/H_SHARE_CONVERSION"),"")</f>
        <v/>
      </c>
      <c r="L254" s="32">
        <f>IF(Database!BN254="","(none found)",Database!BN254)</f>
        <v/>
      </c>
      <c r="M254" s="34">
        <f>BDH(TEXT(VALUE(Database!$A254),"0")&amp;" HK Equity","CUR_MKT_CAP",Database!$H254,Database!$H254)</f>
        <v/>
      </c>
      <c r="N254" s="166">
        <f>Database!Q254</f>
        <v/>
      </c>
      <c r="O254" s="39">
        <f>BDH(TEXT(VALUE(Database!$A254),"0")&amp;" HK Equity","PE_RATIO",Database!$H254,Database!$H254)</f>
        <v/>
      </c>
      <c r="P254" s="199">
        <f>IF(Database!BH254="","(n/m or not derivable)",Database!BH254)</f>
        <v/>
      </c>
      <c r="Q254" s="39">
        <f>IF(Database!BN254="","",BDH(LEFT(Database!BN254,FIND(".",Database!BN254)-1)&amp;" CH Equity","PE_RATIO",Database!$H254,Database!$H254))</f>
        <v/>
      </c>
      <c r="R254" s="39">
        <f>IF(Database!BN254="","",BDH("HSAHP Index","PX_LAST",Database!$H254,Database!$H254))</f>
        <v/>
      </c>
      <c r="S254" s="39">
        <f>IFERROR(BDP(TEXT(VALUE(Database!$A254),"0")&amp;" HK Equity","PX_TO_SALES_RATIO"),"")</f>
        <v/>
      </c>
      <c r="T254" s="34">
        <f>IF(Database!BN254="","",IFERROR(BDP(LEFT(Database!BN254,FIND(".",Database!BN254)-1)&amp;" CH Equity","CUR_MKT_CAP")*BDP("CNYHKD Curncy","PX_LAST"),"Awaiting quote"))</f>
        <v/>
      </c>
    </row>
    <row r="255" ht="23" customHeight="1">
      <c r="A255" s="32">
        <f>Database!A255&amp;"  "&amp;Database!B255</f>
        <v/>
      </c>
      <c r="B255" s="24">
        <f>IFERROR(INDEX(BDS(TEXT(VALUE(Database!$A255),"0")&amp;" HK Equity","EQUITY_OFFERINGS","array=t","endcol=1"),MATCH("IPO",BDS(TEXT(VALUE(Database!$A255),"0")&amp;" HK Equity","EQUITY_OFFERINGS","array=t","startcol=2","endcol=2"),0)),"")</f>
        <v/>
      </c>
      <c r="C255" s="208">
        <f>IF($B255="","",IFERROR(BDP($B255&amp;" Action","CP036"),""))</f>
        <v/>
      </c>
      <c r="D255" s="209">
        <f>Database!S255</f>
        <v/>
      </c>
      <c r="E255" s="208">
        <f>IF($B255="","",IFERROR(BDP($B255&amp;" Action","CP037"),""))</f>
        <v/>
      </c>
      <c r="F255" s="209">
        <f>Database!T255</f>
        <v/>
      </c>
      <c r="G255" s="208">
        <f>IF($B255="","",IFERROR(BDP($B255&amp;" Action","GREENSHOE_FACILITY"),""))</f>
        <v/>
      </c>
      <c r="H255" s="208">
        <f>IF($B255="","",IFERROR(BDP($B255&amp;" Action","OFFERING_GREENSHOE_SHARES_EX"),""))</f>
        <v/>
      </c>
      <c r="I255" s="32">
        <f>Database!AE255</f>
        <v/>
      </c>
      <c r="J255" s="39">
        <f>IFERROR(BDP(TEXT(VALUE(Database!$A255),"0")&amp;" HK Equity","PE_RATIO"),"")</f>
        <v/>
      </c>
      <c r="K255" s="24">
        <f>IFERROR(BDP(TEXT(VALUE(Database!$A255),"0")&amp;" HK Equity","A/H_SHARE_CONVERSION"),"")</f>
        <v/>
      </c>
      <c r="L255" s="32">
        <f>IF(Database!BN255="","(none found)",Database!BN255)</f>
        <v/>
      </c>
      <c r="M255" s="34">
        <f>BDH(TEXT(VALUE(Database!$A255),"0")&amp;" HK Equity","CUR_MKT_CAP",Database!$H255,Database!$H255)</f>
        <v/>
      </c>
      <c r="N255" s="166">
        <f>Database!Q255</f>
        <v/>
      </c>
      <c r="O255" s="39">
        <f>BDH(TEXT(VALUE(Database!$A255),"0")&amp;" HK Equity","PE_RATIO",Database!$H255,Database!$H255)</f>
        <v/>
      </c>
      <c r="P255" s="199">
        <f>IF(Database!BH255="","(n/m or not derivable)",Database!BH255)</f>
        <v/>
      </c>
      <c r="Q255" s="39">
        <f>IF(Database!BN255="","",BDH(LEFT(Database!BN255,FIND(".",Database!BN255)-1)&amp;" CH Equity","PE_RATIO",Database!$H255,Database!$H255))</f>
        <v/>
      </c>
      <c r="R255" s="39">
        <f>IF(Database!BN255="","",BDH("HSAHP Index","PX_LAST",Database!$H255,Database!$H255))</f>
        <v/>
      </c>
      <c r="S255" s="39">
        <f>IFERROR(BDP(TEXT(VALUE(Database!$A255),"0")&amp;" HK Equity","PX_TO_SALES_RATIO"),"")</f>
        <v/>
      </c>
      <c r="T255" s="34">
        <f>IF(Database!BN255="","",IFERROR(BDP(LEFT(Database!BN255,FIND(".",Database!BN255)-1)&amp;" CH Equity","CUR_MKT_CAP")*BDP("CNYHKD Curncy","PX_LAST"),"Awaiting quote"))</f>
        <v/>
      </c>
    </row>
    <row r="256" ht="23" customHeight="1">
      <c r="A256" s="32">
        <f>Database!A256&amp;"  "&amp;Database!B256</f>
        <v/>
      </c>
      <c r="B256" s="24">
        <f>IFERROR(INDEX(BDS(TEXT(VALUE(Database!$A256),"0")&amp;" HK Equity","EQUITY_OFFERINGS","array=t","endcol=1"),MATCH("IPO",BDS(TEXT(VALUE(Database!$A256),"0")&amp;" HK Equity","EQUITY_OFFERINGS","array=t","startcol=2","endcol=2"),0)),"")</f>
        <v/>
      </c>
      <c r="C256" s="208">
        <f>IF($B256="","",IFERROR(BDP($B256&amp;" Action","CP036"),""))</f>
        <v/>
      </c>
      <c r="D256" s="209">
        <f>Database!S256</f>
        <v/>
      </c>
      <c r="E256" s="208">
        <f>IF($B256="","",IFERROR(BDP($B256&amp;" Action","CP037"),""))</f>
        <v/>
      </c>
      <c r="F256" s="209">
        <f>Database!T256</f>
        <v/>
      </c>
      <c r="G256" s="208">
        <f>IF($B256="","",IFERROR(BDP($B256&amp;" Action","GREENSHOE_FACILITY"),""))</f>
        <v/>
      </c>
      <c r="H256" s="208">
        <f>IF($B256="","",IFERROR(BDP($B256&amp;" Action","OFFERING_GREENSHOE_SHARES_EX"),""))</f>
        <v/>
      </c>
      <c r="I256" s="32">
        <f>Database!AE256</f>
        <v/>
      </c>
      <c r="J256" s="39">
        <f>IFERROR(BDP(TEXT(VALUE(Database!$A256),"0")&amp;" HK Equity","PE_RATIO"),"")</f>
        <v/>
      </c>
      <c r="K256" s="24">
        <f>IFERROR(BDP(TEXT(VALUE(Database!$A256),"0")&amp;" HK Equity","A/H_SHARE_CONVERSION"),"")</f>
        <v/>
      </c>
      <c r="L256" s="32">
        <f>IF(Database!BN256="","(none found)",Database!BN256)</f>
        <v/>
      </c>
      <c r="M256" s="34">
        <f>BDH(TEXT(VALUE(Database!$A256),"0")&amp;" HK Equity","CUR_MKT_CAP",Database!$H256,Database!$H256)</f>
        <v/>
      </c>
      <c r="N256" s="166">
        <f>Database!Q256</f>
        <v/>
      </c>
      <c r="O256" s="39">
        <f>BDH(TEXT(VALUE(Database!$A256),"0")&amp;" HK Equity","PE_RATIO",Database!$H256,Database!$H256)</f>
        <v/>
      </c>
      <c r="P256" s="199">
        <f>IF(Database!BH256="","(n/m or not derivable)",Database!BH256)</f>
        <v/>
      </c>
      <c r="Q256" s="39">
        <f>IF(Database!BN256="","",BDH(LEFT(Database!BN256,FIND(".",Database!BN256)-1)&amp;" CH Equity","PE_RATIO",Database!$H256,Database!$H256))</f>
        <v/>
      </c>
      <c r="R256" s="39">
        <f>IF(Database!BN256="","",BDH("HSAHP Index","PX_LAST",Database!$H256,Database!$H256))</f>
        <v/>
      </c>
      <c r="S256" s="39">
        <f>IFERROR(BDP(TEXT(VALUE(Database!$A256),"0")&amp;" HK Equity","PX_TO_SALES_RATIO"),"")</f>
        <v/>
      </c>
      <c r="T256" s="34">
        <f>IF(Database!BN256="","",IFERROR(BDP(LEFT(Database!BN256,FIND(".",Database!BN256)-1)&amp;" CH Equity","CUR_MKT_CAP")*BDP("CNYHKD Curncy","PX_LAST"),"Awaiting quote"))</f>
        <v/>
      </c>
    </row>
    <row r="257" ht="23" customHeight="1">
      <c r="A257" s="32">
        <f>Database!A257&amp;"  "&amp;Database!B257</f>
        <v/>
      </c>
      <c r="B257" s="24">
        <f>IFERROR(INDEX(BDS(TEXT(VALUE(Database!$A257),"0")&amp;" HK Equity","EQUITY_OFFERINGS","array=t","endcol=1"),MATCH("IPO",BDS(TEXT(VALUE(Database!$A257),"0")&amp;" HK Equity","EQUITY_OFFERINGS","array=t","startcol=2","endcol=2"),0)),"")</f>
        <v/>
      </c>
      <c r="C257" s="208">
        <f>IF($B257="","",IFERROR(BDP($B257&amp;" Action","CP036"),""))</f>
        <v/>
      </c>
      <c r="D257" s="209">
        <f>Database!S257</f>
        <v/>
      </c>
      <c r="E257" s="208">
        <f>IF($B257="","",IFERROR(BDP($B257&amp;" Action","CP037"),""))</f>
        <v/>
      </c>
      <c r="F257" s="209">
        <f>Database!T257</f>
        <v/>
      </c>
      <c r="G257" s="208">
        <f>IF($B257="","",IFERROR(BDP($B257&amp;" Action","GREENSHOE_FACILITY"),""))</f>
        <v/>
      </c>
      <c r="H257" s="208">
        <f>IF($B257="","",IFERROR(BDP($B257&amp;" Action","OFFERING_GREENSHOE_SHARES_EX"),""))</f>
        <v/>
      </c>
      <c r="I257" s="32">
        <f>Database!AE257</f>
        <v/>
      </c>
      <c r="J257" s="39">
        <f>IFERROR(BDP(TEXT(VALUE(Database!$A257),"0")&amp;" HK Equity","PE_RATIO"),"")</f>
        <v/>
      </c>
      <c r="K257" s="24">
        <f>IFERROR(BDP(TEXT(VALUE(Database!$A257),"0")&amp;" HK Equity","A/H_SHARE_CONVERSION"),"")</f>
        <v/>
      </c>
      <c r="L257" s="32">
        <f>IF(Database!BN257="","(none found)",Database!BN257)</f>
        <v/>
      </c>
      <c r="M257" s="34">
        <f>BDH(TEXT(VALUE(Database!$A257),"0")&amp;" HK Equity","CUR_MKT_CAP",Database!$H257,Database!$H257)</f>
        <v/>
      </c>
      <c r="N257" s="166">
        <f>Database!Q257</f>
        <v/>
      </c>
      <c r="O257" s="39">
        <f>BDH(TEXT(VALUE(Database!$A257),"0")&amp;" HK Equity","PE_RATIO",Database!$H257,Database!$H257)</f>
        <v/>
      </c>
      <c r="P257" s="199">
        <f>IF(Database!BH257="","(n/m or not derivable)",Database!BH257)</f>
        <v/>
      </c>
      <c r="Q257" s="39">
        <f>IF(Database!BN257="","",BDH(LEFT(Database!BN257,FIND(".",Database!BN257)-1)&amp;" CH Equity","PE_RATIO",Database!$H257,Database!$H257))</f>
        <v/>
      </c>
      <c r="R257" s="39">
        <f>IF(Database!BN257="","",BDH("HSAHP Index","PX_LAST",Database!$H257,Database!$H257))</f>
        <v/>
      </c>
      <c r="S257" s="39">
        <f>IFERROR(BDP(TEXT(VALUE(Database!$A257),"0")&amp;" HK Equity","PX_TO_SALES_RATIO"),"")</f>
        <v/>
      </c>
      <c r="T257" s="34">
        <f>IF(Database!BN257="","",IFERROR(BDP(LEFT(Database!BN257,FIND(".",Database!BN257)-1)&amp;" CH Equity","CUR_MKT_CAP")*BDP("CNYHKD Curncy","PX_LAST"),"Awaiting quote"))</f>
        <v/>
      </c>
    </row>
    <row r="258" ht="23" customHeight="1">
      <c r="A258" s="32">
        <f>Database!A258&amp;"  "&amp;Database!B258</f>
        <v/>
      </c>
      <c r="B258" s="24">
        <f>IFERROR(INDEX(BDS(TEXT(VALUE(Database!$A258),"0")&amp;" HK Equity","EQUITY_OFFERINGS","array=t","endcol=1"),MATCH("IPO",BDS(TEXT(VALUE(Database!$A258),"0")&amp;" HK Equity","EQUITY_OFFERINGS","array=t","startcol=2","endcol=2"),0)),"")</f>
        <v/>
      </c>
      <c r="C258" s="208">
        <f>IF($B258="","",IFERROR(BDP($B258&amp;" Action","CP036"),""))</f>
        <v/>
      </c>
      <c r="D258" s="209">
        <f>Database!S258</f>
        <v/>
      </c>
      <c r="E258" s="208">
        <f>IF($B258="","",IFERROR(BDP($B258&amp;" Action","CP037"),""))</f>
        <v/>
      </c>
      <c r="F258" s="209">
        <f>Database!T258</f>
        <v/>
      </c>
      <c r="G258" s="208">
        <f>IF($B258="","",IFERROR(BDP($B258&amp;" Action","GREENSHOE_FACILITY"),""))</f>
        <v/>
      </c>
      <c r="H258" s="208">
        <f>IF($B258="","",IFERROR(BDP($B258&amp;" Action","OFFERING_GREENSHOE_SHARES_EX"),""))</f>
        <v/>
      </c>
      <c r="I258" s="32">
        <f>Database!AE258</f>
        <v/>
      </c>
      <c r="J258" s="39">
        <f>IFERROR(BDP(TEXT(VALUE(Database!$A258),"0")&amp;" HK Equity","PE_RATIO"),"")</f>
        <v/>
      </c>
      <c r="K258" s="24">
        <f>IFERROR(BDP(TEXT(VALUE(Database!$A258),"0")&amp;" HK Equity","A/H_SHARE_CONVERSION"),"")</f>
        <v/>
      </c>
      <c r="L258" s="32">
        <f>IF(Database!BN258="","(none found)",Database!BN258)</f>
        <v/>
      </c>
      <c r="M258" s="34">
        <f>BDH(TEXT(VALUE(Database!$A258),"0")&amp;" HK Equity","CUR_MKT_CAP",Database!$H258,Database!$H258)</f>
        <v/>
      </c>
      <c r="N258" s="166">
        <f>Database!Q258</f>
        <v/>
      </c>
      <c r="O258" s="39">
        <f>BDH(TEXT(VALUE(Database!$A258),"0")&amp;" HK Equity","PE_RATIO",Database!$H258,Database!$H258)</f>
        <v/>
      </c>
      <c r="P258" s="199">
        <f>IF(Database!BH258="","(n/m or not derivable)",Database!BH258)</f>
        <v/>
      </c>
      <c r="Q258" s="39">
        <f>IF(Database!BN258="","",BDH(LEFT(Database!BN258,FIND(".",Database!BN258)-1)&amp;" CH Equity","PE_RATIO",Database!$H258,Database!$H258))</f>
        <v/>
      </c>
      <c r="R258" s="39">
        <f>IF(Database!BN258="","",BDH("HSAHP Index","PX_LAST",Database!$H258,Database!$H258))</f>
        <v/>
      </c>
      <c r="S258" s="39">
        <f>IFERROR(BDP(TEXT(VALUE(Database!$A258),"0")&amp;" HK Equity","PX_TO_SALES_RATIO"),"")</f>
        <v/>
      </c>
      <c r="T258" s="34">
        <f>IF(Database!BN258="","",IFERROR(BDP(LEFT(Database!BN258,FIND(".",Database!BN258)-1)&amp;" CH Equity","CUR_MKT_CAP")*BDP("CNYHKD Curncy","PX_LAST"),"Awaiting quote"))</f>
        <v/>
      </c>
    </row>
    <row r="259" ht="23" customHeight="1">
      <c r="A259" s="32">
        <f>Database!A259&amp;"  "&amp;Database!B259</f>
        <v/>
      </c>
      <c r="B259" s="24">
        <f>IFERROR(INDEX(BDS(TEXT(VALUE(Database!$A259),"0")&amp;" HK Equity","EQUITY_OFFERINGS","array=t","endcol=1"),MATCH("IPO",BDS(TEXT(VALUE(Database!$A259),"0")&amp;" HK Equity","EQUITY_OFFERINGS","array=t","startcol=2","endcol=2"),0)),"")</f>
        <v/>
      </c>
      <c r="C259" s="208">
        <f>IF($B259="","",IFERROR(BDP($B259&amp;" Action","CP036"),""))</f>
        <v/>
      </c>
      <c r="D259" s="209">
        <f>Database!S259</f>
        <v/>
      </c>
      <c r="E259" s="208">
        <f>IF($B259="","",IFERROR(BDP($B259&amp;" Action","CP037"),""))</f>
        <v/>
      </c>
      <c r="F259" s="209">
        <f>Database!T259</f>
        <v/>
      </c>
      <c r="G259" s="208">
        <f>IF($B259="","",IFERROR(BDP($B259&amp;" Action","GREENSHOE_FACILITY"),""))</f>
        <v/>
      </c>
      <c r="H259" s="208">
        <f>IF($B259="","",IFERROR(BDP($B259&amp;" Action","OFFERING_GREENSHOE_SHARES_EX"),""))</f>
        <v/>
      </c>
      <c r="I259" s="32">
        <f>Database!AE259</f>
        <v/>
      </c>
      <c r="J259" s="39">
        <f>IFERROR(BDP(TEXT(VALUE(Database!$A259),"0")&amp;" HK Equity","PE_RATIO"),"")</f>
        <v/>
      </c>
      <c r="K259" s="24">
        <f>IFERROR(BDP(TEXT(VALUE(Database!$A259),"0")&amp;" HK Equity","A/H_SHARE_CONVERSION"),"")</f>
        <v/>
      </c>
      <c r="L259" s="32">
        <f>IF(Database!BN259="","(none found)",Database!BN259)</f>
        <v/>
      </c>
      <c r="M259" s="34">
        <f>BDH(TEXT(VALUE(Database!$A259),"0")&amp;" HK Equity","CUR_MKT_CAP",Database!$H259,Database!$H259)</f>
        <v/>
      </c>
      <c r="N259" s="166">
        <f>Database!Q259</f>
        <v/>
      </c>
      <c r="O259" s="39">
        <f>BDH(TEXT(VALUE(Database!$A259),"0")&amp;" HK Equity","PE_RATIO",Database!$H259,Database!$H259)</f>
        <v/>
      </c>
      <c r="P259" s="199">
        <f>IF(Database!BH259="","(n/m or not derivable)",Database!BH259)</f>
        <v/>
      </c>
      <c r="Q259" s="39">
        <f>IF(Database!BN259="","",BDH(LEFT(Database!BN259,FIND(".",Database!BN259)-1)&amp;" CH Equity","PE_RATIO",Database!$H259,Database!$H259))</f>
        <v/>
      </c>
      <c r="R259" s="39">
        <f>IF(Database!BN259="","",BDH("HSAHP Index","PX_LAST",Database!$H259,Database!$H259))</f>
        <v/>
      </c>
      <c r="S259" s="39">
        <f>IFERROR(BDP(TEXT(VALUE(Database!$A259),"0")&amp;" HK Equity","PX_TO_SALES_RATIO"),"")</f>
        <v/>
      </c>
      <c r="T259" s="34">
        <f>IF(Database!BN259="","",IFERROR(BDP(LEFT(Database!BN259,FIND(".",Database!BN259)-1)&amp;" CH Equity","CUR_MKT_CAP")*BDP("CNYHKD Curncy","PX_LAST"),"Awaiting quote"))</f>
        <v/>
      </c>
    </row>
    <row r="260" ht="23" customHeight="1">
      <c r="A260" s="32">
        <f>Database!A260&amp;"  "&amp;Database!B260</f>
        <v/>
      </c>
      <c r="B260" s="24">
        <f>IFERROR(INDEX(BDS(TEXT(VALUE(Database!$A260),"0")&amp;" HK Equity","EQUITY_OFFERINGS","array=t","endcol=1"),MATCH("IPO",BDS(TEXT(VALUE(Database!$A260),"0")&amp;" HK Equity","EQUITY_OFFERINGS","array=t","startcol=2","endcol=2"),0)),"")</f>
        <v/>
      </c>
      <c r="C260" s="208">
        <f>IF($B260="","",IFERROR(BDP($B260&amp;" Action","CP036"),""))</f>
        <v/>
      </c>
      <c r="D260" s="209">
        <f>Database!S260</f>
        <v/>
      </c>
      <c r="E260" s="208">
        <f>IF($B260="","",IFERROR(BDP($B260&amp;" Action","CP037"),""))</f>
        <v/>
      </c>
      <c r="F260" s="209">
        <f>Database!T260</f>
        <v/>
      </c>
      <c r="G260" s="208">
        <f>IF($B260="","",IFERROR(BDP($B260&amp;" Action","GREENSHOE_FACILITY"),""))</f>
        <v/>
      </c>
      <c r="H260" s="208">
        <f>IF($B260="","",IFERROR(BDP($B260&amp;" Action","OFFERING_GREENSHOE_SHARES_EX"),""))</f>
        <v/>
      </c>
      <c r="I260" s="32">
        <f>Database!AE260</f>
        <v/>
      </c>
      <c r="J260" s="39">
        <f>IFERROR(BDP(TEXT(VALUE(Database!$A260),"0")&amp;" HK Equity","PE_RATIO"),"")</f>
        <v/>
      </c>
      <c r="K260" s="24">
        <f>IFERROR(BDP(TEXT(VALUE(Database!$A260),"0")&amp;" HK Equity","A/H_SHARE_CONVERSION"),"")</f>
        <v/>
      </c>
      <c r="L260" s="32">
        <f>IF(Database!BN260="","(none found)",Database!BN260)</f>
        <v/>
      </c>
      <c r="M260" s="34">
        <f>BDH(TEXT(VALUE(Database!$A260),"0")&amp;" HK Equity","CUR_MKT_CAP",Database!$H260,Database!$H260)</f>
        <v/>
      </c>
      <c r="N260" s="166">
        <f>Database!Q260</f>
        <v/>
      </c>
      <c r="O260" s="39">
        <f>BDH(TEXT(VALUE(Database!$A260),"0")&amp;" HK Equity","PE_RATIO",Database!$H260,Database!$H260)</f>
        <v/>
      </c>
      <c r="P260" s="199">
        <f>IF(Database!BH260="","(n/m or not derivable)",Database!BH260)</f>
        <v/>
      </c>
      <c r="Q260" s="39">
        <f>IF(Database!BN260="","",BDH(LEFT(Database!BN260,FIND(".",Database!BN260)-1)&amp;" CH Equity","PE_RATIO",Database!$H260,Database!$H260))</f>
        <v/>
      </c>
      <c r="R260" s="39">
        <f>IF(Database!BN260="","",BDH("HSAHP Index","PX_LAST",Database!$H260,Database!$H260))</f>
        <v/>
      </c>
      <c r="S260" s="39">
        <f>IFERROR(BDP(TEXT(VALUE(Database!$A260),"0")&amp;" HK Equity","PX_TO_SALES_RATIO"),"")</f>
        <v/>
      </c>
      <c r="T260" s="34">
        <f>IF(Database!BN260="","",IFERROR(BDP(LEFT(Database!BN260,FIND(".",Database!BN260)-1)&amp;" CH Equity","CUR_MKT_CAP")*BDP("CNYHKD Curncy","PX_LAST"),"Awaiting quote"))</f>
        <v/>
      </c>
    </row>
    <row r="261" ht="23" customHeight="1">
      <c r="A261" s="32">
        <f>Database!A261&amp;"  "&amp;Database!B261</f>
        <v/>
      </c>
      <c r="B261" s="24">
        <f>IFERROR(INDEX(BDS(TEXT(VALUE(Database!$A261),"0")&amp;" HK Equity","EQUITY_OFFERINGS","array=t","endcol=1"),MATCH("IPO",BDS(TEXT(VALUE(Database!$A261),"0")&amp;" HK Equity","EQUITY_OFFERINGS","array=t","startcol=2","endcol=2"),0)),"")</f>
        <v/>
      </c>
      <c r="C261" s="208">
        <f>IF($B261="","",IFERROR(BDP($B261&amp;" Action","CP036"),""))</f>
        <v/>
      </c>
      <c r="D261" s="209">
        <f>Database!S261</f>
        <v/>
      </c>
      <c r="E261" s="208">
        <f>IF($B261="","",IFERROR(BDP($B261&amp;" Action","CP037"),""))</f>
        <v/>
      </c>
      <c r="F261" s="209">
        <f>Database!T261</f>
        <v/>
      </c>
      <c r="G261" s="208">
        <f>IF($B261="","",IFERROR(BDP($B261&amp;" Action","GREENSHOE_FACILITY"),""))</f>
        <v/>
      </c>
      <c r="H261" s="208">
        <f>IF($B261="","",IFERROR(BDP($B261&amp;" Action","OFFERING_GREENSHOE_SHARES_EX"),""))</f>
        <v/>
      </c>
      <c r="I261" s="32">
        <f>Database!AE261</f>
        <v/>
      </c>
      <c r="J261" s="39">
        <f>IFERROR(BDP(TEXT(VALUE(Database!$A261),"0")&amp;" HK Equity","PE_RATIO"),"")</f>
        <v/>
      </c>
      <c r="K261" s="24">
        <f>IFERROR(BDP(TEXT(VALUE(Database!$A261),"0")&amp;" HK Equity","A/H_SHARE_CONVERSION"),"")</f>
        <v/>
      </c>
      <c r="L261" s="32">
        <f>IF(Database!BN261="","(none found)",Database!BN261)</f>
        <v/>
      </c>
      <c r="M261" s="34">
        <f>BDH(TEXT(VALUE(Database!$A261),"0")&amp;" HK Equity","CUR_MKT_CAP",Database!$H261,Database!$H261)</f>
        <v/>
      </c>
      <c r="N261" s="166">
        <f>Database!Q261</f>
        <v/>
      </c>
      <c r="O261" s="39">
        <f>BDH(TEXT(VALUE(Database!$A261),"0")&amp;" HK Equity","PE_RATIO",Database!$H261,Database!$H261)</f>
        <v/>
      </c>
      <c r="P261" s="199">
        <f>IF(Database!BH261="","(n/m or not derivable)",Database!BH261)</f>
        <v/>
      </c>
      <c r="Q261" s="39">
        <f>IF(Database!BN261="","",BDH(LEFT(Database!BN261,FIND(".",Database!BN261)-1)&amp;" CH Equity","PE_RATIO",Database!$H261,Database!$H261))</f>
        <v/>
      </c>
      <c r="R261" s="39">
        <f>IF(Database!BN261="","",BDH("HSAHP Index","PX_LAST",Database!$H261,Database!$H261))</f>
        <v/>
      </c>
      <c r="S261" s="39">
        <f>IFERROR(BDP(TEXT(VALUE(Database!$A261),"0")&amp;" HK Equity","PX_TO_SALES_RATIO"),"")</f>
        <v/>
      </c>
      <c r="T261" s="34">
        <f>IF(Database!BN261="","",IFERROR(BDP(LEFT(Database!BN261,FIND(".",Database!BN261)-1)&amp;" CH Equity","CUR_MKT_CAP")*BDP("CNYHKD Curncy","PX_LAST"),"Awaiting quote"))</f>
        <v/>
      </c>
    </row>
    <row r="262" ht="23" customHeight="1">
      <c r="A262" s="32">
        <f>Database!A262&amp;"  "&amp;Database!B262</f>
        <v/>
      </c>
      <c r="B262" s="24">
        <f>IFERROR(INDEX(BDS(TEXT(VALUE(Database!$A262),"0")&amp;" HK Equity","EQUITY_OFFERINGS","array=t","endcol=1"),MATCH("IPO",BDS(TEXT(VALUE(Database!$A262),"0")&amp;" HK Equity","EQUITY_OFFERINGS","array=t","startcol=2","endcol=2"),0)),"")</f>
        <v/>
      </c>
      <c r="C262" s="208">
        <f>IF($B262="","",IFERROR(BDP($B262&amp;" Action","CP036"),""))</f>
        <v/>
      </c>
      <c r="D262" s="209">
        <f>Database!S262</f>
        <v/>
      </c>
      <c r="E262" s="208">
        <f>IF($B262="","",IFERROR(BDP($B262&amp;" Action","CP037"),""))</f>
        <v/>
      </c>
      <c r="F262" s="209">
        <f>Database!T262</f>
        <v/>
      </c>
      <c r="G262" s="208">
        <f>IF($B262="","",IFERROR(BDP($B262&amp;" Action","GREENSHOE_FACILITY"),""))</f>
        <v/>
      </c>
      <c r="H262" s="208">
        <f>IF($B262="","",IFERROR(BDP($B262&amp;" Action","OFFERING_GREENSHOE_SHARES_EX"),""))</f>
        <v/>
      </c>
      <c r="I262" s="32">
        <f>Database!AE262</f>
        <v/>
      </c>
      <c r="J262" s="39">
        <f>IFERROR(BDP(TEXT(VALUE(Database!$A262),"0")&amp;" HK Equity","PE_RATIO"),"")</f>
        <v/>
      </c>
      <c r="K262" s="24">
        <f>IFERROR(BDP(TEXT(VALUE(Database!$A262),"0")&amp;" HK Equity","A/H_SHARE_CONVERSION"),"")</f>
        <v/>
      </c>
      <c r="L262" s="32">
        <f>IF(Database!BN262="","(none found)",Database!BN262)</f>
        <v/>
      </c>
      <c r="M262" s="34">
        <f>BDH(TEXT(VALUE(Database!$A262),"0")&amp;" HK Equity","CUR_MKT_CAP",Database!$H262,Database!$H262)</f>
        <v/>
      </c>
      <c r="N262" s="166">
        <f>Database!Q262</f>
        <v/>
      </c>
      <c r="O262" s="39">
        <f>BDH(TEXT(VALUE(Database!$A262),"0")&amp;" HK Equity","PE_RATIO",Database!$H262,Database!$H262)</f>
        <v/>
      </c>
      <c r="P262" s="199">
        <f>IF(Database!BH262="","(n/m or not derivable)",Database!BH262)</f>
        <v/>
      </c>
      <c r="Q262" s="39">
        <f>IF(Database!BN262="","",BDH(LEFT(Database!BN262,FIND(".",Database!BN262)-1)&amp;" CH Equity","PE_RATIO",Database!$H262,Database!$H262))</f>
        <v/>
      </c>
      <c r="R262" s="39">
        <f>IF(Database!BN262="","",BDH("HSAHP Index","PX_LAST",Database!$H262,Database!$H262))</f>
        <v/>
      </c>
      <c r="S262" s="39">
        <f>IFERROR(BDP(TEXT(VALUE(Database!$A262),"0")&amp;" HK Equity","PX_TO_SALES_RATIO"),"")</f>
        <v/>
      </c>
      <c r="T262" s="34">
        <f>IF(Database!BN262="","",IFERROR(BDP(LEFT(Database!BN262,FIND(".",Database!BN262)-1)&amp;" CH Equity","CUR_MKT_CAP")*BDP("CNYHKD Curncy","PX_LAST"),"Awaiting quote"))</f>
        <v/>
      </c>
    </row>
    <row r="263" ht="23" customHeight="1">
      <c r="A263" s="32">
        <f>Database!A263&amp;"  "&amp;Database!B263</f>
        <v/>
      </c>
      <c r="B263" s="24">
        <f>IFERROR(INDEX(BDS(TEXT(VALUE(Database!$A263),"0")&amp;" HK Equity","EQUITY_OFFERINGS","array=t","endcol=1"),MATCH("IPO",BDS(TEXT(VALUE(Database!$A263),"0")&amp;" HK Equity","EQUITY_OFFERINGS","array=t","startcol=2","endcol=2"),0)),"")</f>
        <v/>
      </c>
      <c r="C263" s="208">
        <f>IF($B263="","",IFERROR(BDP($B263&amp;" Action","CP036"),""))</f>
        <v/>
      </c>
      <c r="D263" s="209">
        <f>Database!S263</f>
        <v/>
      </c>
      <c r="E263" s="208">
        <f>IF($B263="","",IFERROR(BDP($B263&amp;" Action","CP037"),""))</f>
        <v/>
      </c>
      <c r="F263" s="209">
        <f>Database!T263</f>
        <v/>
      </c>
      <c r="G263" s="208">
        <f>IF($B263="","",IFERROR(BDP($B263&amp;" Action","GREENSHOE_FACILITY"),""))</f>
        <v/>
      </c>
      <c r="H263" s="208">
        <f>IF($B263="","",IFERROR(BDP($B263&amp;" Action","OFFERING_GREENSHOE_SHARES_EX"),""))</f>
        <v/>
      </c>
      <c r="I263" s="32">
        <f>Database!AE263</f>
        <v/>
      </c>
      <c r="J263" s="39">
        <f>IFERROR(BDP(TEXT(VALUE(Database!$A263),"0")&amp;" HK Equity","PE_RATIO"),"")</f>
        <v/>
      </c>
      <c r="K263" s="24">
        <f>IFERROR(BDP(TEXT(VALUE(Database!$A263),"0")&amp;" HK Equity","A/H_SHARE_CONVERSION"),"")</f>
        <v/>
      </c>
      <c r="L263" s="32">
        <f>IF(Database!BN263="","(none found)",Database!BN263)</f>
        <v/>
      </c>
      <c r="M263" s="34">
        <f>BDH(TEXT(VALUE(Database!$A263),"0")&amp;" HK Equity","CUR_MKT_CAP",Database!$H263,Database!$H263)</f>
        <v/>
      </c>
      <c r="N263" s="166">
        <f>Database!Q263</f>
        <v/>
      </c>
      <c r="O263" s="39">
        <f>BDH(TEXT(VALUE(Database!$A263),"0")&amp;" HK Equity","PE_RATIO",Database!$H263,Database!$H263)</f>
        <v/>
      </c>
      <c r="P263" s="199">
        <f>IF(Database!BH263="","(n/m or not derivable)",Database!BH263)</f>
        <v/>
      </c>
      <c r="Q263" s="39">
        <f>IF(Database!BN263="","",BDH(LEFT(Database!BN263,FIND(".",Database!BN263)-1)&amp;" CH Equity","PE_RATIO",Database!$H263,Database!$H263))</f>
        <v/>
      </c>
      <c r="R263" s="39">
        <f>IF(Database!BN263="","",BDH("HSAHP Index","PX_LAST",Database!$H263,Database!$H263))</f>
        <v/>
      </c>
      <c r="S263" s="39">
        <f>IFERROR(BDP(TEXT(VALUE(Database!$A263),"0")&amp;" HK Equity","PX_TO_SALES_RATIO"),"")</f>
        <v/>
      </c>
      <c r="T263" s="34">
        <f>IF(Database!BN263="","",IFERROR(BDP(LEFT(Database!BN263,FIND(".",Database!BN263)-1)&amp;" CH Equity","CUR_MKT_CAP")*BDP("CNYHKD Curncy","PX_LAST"),"Awaiting quote"))</f>
        <v/>
      </c>
    </row>
    <row r="264" ht="23" customHeight="1">
      <c r="A264" s="32">
        <f>Database!A264&amp;"  "&amp;Database!B264</f>
        <v/>
      </c>
      <c r="B264" s="24">
        <f>IFERROR(INDEX(BDS(TEXT(VALUE(Database!$A264),"0")&amp;" HK Equity","EQUITY_OFFERINGS","array=t","endcol=1"),MATCH("IPO",BDS(TEXT(VALUE(Database!$A264),"0")&amp;" HK Equity","EQUITY_OFFERINGS","array=t","startcol=2","endcol=2"),0)),"")</f>
        <v/>
      </c>
      <c r="C264" s="208">
        <f>IF($B264="","",IFERROR(BDP($B264&amp;" Action","CP036"),""))</f>
        <v/>
      </c>
      <c r="D264" s="209">
        <f>Database!S264</f>
        <v/>
      </c>
      <c r="E264" s="208">
        <f>IF($B264="","",IFERROR(BDP($B264&amp;" Action","CP037"),""))</f>
        <v/>
      </c>
      <c r="F264" s="209">
        <f>Database!T264</f>
        <v/>
      </c>
      <c r="G264" s="208">
        <f>IF($B264="","",IFERROR(BDP($B264&amp;" Action","GREENSHOE_FACILITY"),""))</f>
        <v/>
      </c>
      <c r="H264" s="208">
        <f>IF($B264="","",IFERROR(BDP($B264&amp;" Action","OFFERING_GREENSHOE_SHARES_EX"),""))</f>
        <v/>
      </c>
      <c r="I264" s="32">
        <f>Database!AE264</f>
        <v/>
      </c>
      <c r="J264" s="39">
        <f>IFERROR(BDP(TEXT(VALUE(Database!$A264),"0")&amp;" HK Equity","PE_RATIO"),"")</f>
        <v/>
      </c>
      <c r="K264" s="24">
        <f>IFERROR(BDP(TEXT(VALUE(Database!$A264),"0")&amp;" HK Equity","A/H_SHARE_CONVERSION"),"")</f>
        <v/>
      </c>
      <c r="L264" s="32">
        <f>IF(Database!BN264="","(none found)",Database!BN264)</f>
        <v/>
      </c>
      <c r="M264" s="34">
        <f>BDH(TEXT(VALUE(Database!$A264),"0")&amp;" HK Equity","CUR_MKT_CAP",Database!$H264,Database!$H264)</f>
        <v/>
      </c>
      <c r="N264" s="166">
        <f>Database!Q264</f>
        <v/>
      </c>
      <c r="O264" s="39">
        <f>BDH(TEXT(VALUE(Database!$A264),"0")&amp;" HK Equity","PE_RATIO",Database!$H264,Database!$H264)</f>
        <v/>
      </c>
      <c r="P264" s="199">
        <f>IF(Database!BH264="","(n/m or not derivable)",Database!BH264)</f>
        <v/>
      </c>
      <c r="Q264" s="39">
        <f>IF(Database!BN264="","",BDH(LEFT(Database!BN264,FIND(".",Database!BN264)-1)&amp;" CH Equity","PE_RATIO",Database!$H264,Database!$H264))</f>
        <v/>
      </c>
      <c r="R264" s="39">
        <f>IF(Database!BN264="","",BDH("HSAHP Index","PX_LAST",Database!$H264,Database!$H264))</f>
        <v/>
      </c>
      <c r="S264" s="39">
        <f>IFERROR(BDP(TEXT(VALUE(Database!$A264),"0")&amp;" HK Equity","PX_TO_SALES_RATIO"),"")</f>
        <v/>
      </c>
      <c r="T264" s="34">
        <f>IF(Database!BN264="","",IFERROR(BDP(LEFT(Database!BN264,FIND(".",Database!BN264)-1)&amp;" CH Equity","CUR_MKT_CAP")*BDP("CNYHKD Curncy","PX_LAST"),"Awaiting quote"))</f>
        <v/>
      </c>
    </row>
    <row r="265" ht="23" customHeight="1">
      <c r="A265" s="32">
        <f>Database!A265&amp;"  "&amp;Database!B265</f>
        <v/>
      </c>
      <c r="B265" s="24">
        <f>IFERROR(INDEX(BDS(TEXT(VALUE(Database!$A265),"0")&amp;" HK Equity","EQUITY_OFFERINGS","array=t","endcol=1"),MATCH("IPO",BDS(TEXT(VALUE(Database!$A265),"0")&amp;" HK Equity","EQUITY_OFFERINGS","array=t","startcol=2","endcol=2"),0)),"")</f>
        <v/>
      </c>
      <c r="C265" s="208">
        <f>IF($B265="","",IFERROR(BDP($B265&amp;" Action","CP036"),""))</f>
        <v/>
      </c>
      <c r="D265" s="209">
        <f>Database!S265</f>
        <v/>
      </c>
      <c r="E265" s="208">
        <f>IF($B265="","",IFERROR(BDP($B265&amp;" Action","CP037"),""))</f>
        <v/>
      </c>
      <c r="F265" s="209">
        <f>Database!T265</f>
        <v/>
      </c>
      <c r="G265" s="208">
        <f>IF($B265="","",IFERROR(BDP($B265&amp;" Action","GREENSHOE_FACILITY"),""))</f>
        <v/>
      </c>
      <c r="H265" s="208">
        <f>IF($B265="","",IFERROR(BDP($B265&amp;" Action","OFFERING_GREENSHOE_SHARES_EX"),""))</f>
        <v/>
      </c>
      <c r="I265" s="32">
        <f>Database!AE265</f>
        <v/>
      </c>
      <c r="J265" s="39">
        <f>IFERROR(BDP(TEXT(VALUE(Database!$A265),"0")&amp;" HK Equity","PE_RATIO"),"")</f>
        <v/>
      </c>
      <c r="K265" s="24">
        <f>IFERROR(BDP(TEXT(VALUE(Database!$A265),"0")&amp;" HK Equity","A/H_SHARE_CONVERSION"),"")</f>
        <v/>
      </c>
      <c r="L265" s="32">
        <f>IF(Database!BN265="","(none found)",Database!BN265)</f>
        <v/>
      </c>
      <c r="M265" s="34">
        <f>BDH(TEXT(VALUE(Database!$A265),"0")&amp;" HK Equity","CUR_MKT_CAP",Database!$H265,Database!$H265)</f>
        <v/>
      </c>
      <c r="N265" s="166">
        <f>Database!Q265</f>
        <v/>
      </c>
      <c r="O265" s="39">
        <f>BDH(TEXT(VALUE(Database!$A265),"0")&amp;" HK Equity","PE_RATIO",Database!$H265,Database!$H265)</f>
        <v/>
      </c>
      <c r="P265" s="199">
        <f>IF(Database!BH265="","(n/m or not derivable)",Database!BH265)</f>
        <v/>
      </c>
      <c r="Q265" s="39">
        <f>IF(Database!BN265="","",BDH(LEFT(Database!BN265,FIND(".",Database!BN265)-1)&amp;" CH Equity","PE_RATIO",Database!$H265,Database!$H265))</f>
        <v/>
      </c>
      <c r="R265" s="39">
        <f>IF(Database!BN265="","",BDH("HSAHP Index","PX_LAST",Database!$H265,Database!$H265))</f>
        <v/>
      </c>
      <c r="S265" s="39">
        <f>IFERROR(BDP(TEXT(VALUE(Database!$A265),"0")&amp;" HK Equity","PX_TO_SALES_RATIO"),"")</f>
        <v/>
      </c>
      <c r="T265" s="34">
        <f>IF(Database!BN265="","",IFERROR(BDP(LEFT(Database!BN265,FIND(".",Database!BN265)-1)&amp;" CH Equity","CUR_MKT_CAP")*BDP("CNYHKD Curncy","PX_LAST"),"Awaiting quote"))</f>
        <v/>
      </c>
    </row>
    <row r="266" ht="23" customHeight="1">
      <c r="A266" s="32">
        <f>Database!A266&amp;"  "&amp;Database!B266</f>
        <v/>
      </c>
      <c r="B266" s="24">
        <f>IFERROR(INDEX(BDS(TEXT(VALUE(Database!$A266),"0")&amp;" HK Equity","EQUITY_OFFERINGS","array=t","endcol=1"),MATCH("IPO",BDS(TEXT(VALUE(Database!$A266),"0")&amp;" HK Equity","EQUITY_OFFERINGS","array=t","startcol=2","endcol=2"),0)),"")</f>
        <v/>
      </c>
      <c r="C266" s="208">
        <f>IF($B266="","",IFERROR(BDP($B266&amp;" Action","CP036"),""))</f>
        <v/>
      </c>
      <c r="D266" s="209">
        <f>Database!S266</f>
        <v/>
      </c>
      <c r="E266" s="208">
        <f>IF($B266="","",IFERROR(BDP($B266&amp;" Action","CP037"),""))</f>
        <v/>
      </c>
      <c r="F266" s="209">
        <f>Database!T266</f>
        <v/>
      </c>
      <c r="G266" s="208">
        <f>IF($B266="","",IFERROR(BDP($B266&amp;" Action","GREENSHOE_FACILITY"),""))</f>
        <v/>
      </c>
      <c r="H266" s="208">
        <f>IF($B266="","",IFERROR(BDP($B266&amp;" Action","OFFERING_GREENSHOE_SHARES_EX"),""))</f>
        <v/>
      </c>
      <c r="I266" s="32">
        <f>Database!AE266</f>
        <v/>
      </c>
      <c r="J266" s="39">
        <f>IFERROR(BDP(TEXT(VALUE(Database!$A266),"0")&amp;" HK Equity","PE_RATIO"),"")</f>
        <v/>
      </c>
      <c r="K266" s="24">
        <f>IFERROR(BDP(TEXT(VALUE(Database!$A266),"0")&amp;" HK Equity","A/H_SHARE_CONVERSION"),"")</f>
        <v/>
      </c>
      <c r="L266" s="32">
        <f>IF(Database!BN266="","(none found)",Database!BN266)</f>
        <v/>
      </c>
      <c r="M266" s="34">
        <f>BDH(TEXT(VALUE(Database!$A266),"0")&amp;" HK Equity","CUR_MKT_CAP",Database!$H266,Database!$H266)</f>
        <v/>
      </c>
      <c r="N266" s="166">
        <f>Database!Q266</f>
        <v/>
      </c>
      <c r="O266" s="39">
        <f>BDH(TEXT(VALUE(Database!$A266),"0")&amp;" HK Equity","PE_RATIO",Database!$H266,Database!$H266)</f>
        <v/>
      </c>
      <c r="P266" s="199">
        <f>IF(Database!BH266="","(n/m or not derivable)",Database!BH266)</f>
        <v/>
      </c>
      <c r="Q266" s="39">
        <f>IF(Database!BN266="","",BDH(LEFT(Database!BN266,FIND(".",Database!BN266)-1)&amp;" CH Equity","PE_RATIO",Database!$H266,Database!$H266))</f>
        <v/>
      </c>
      <c r="R266" s="39">
        <f>IF(Database!BN266="","",BDH("HSAHP Index","PX_LAST",Database!$H266,Database!$H266))</f>
        <v/>
      </c>
      <c r="S266" s="39">
        <f>IFERROR(BDP(TEXT(VALUE(Database!$A266),"0")&amp;" HK Equity","PX_TO_SALES_RATIO"),"")</f>
        <v/>
      </c>
      <c r="T266" s="34">
        <f>IF(Database!BN266="","",IFERROR(BDP(LEFT(Database!BN266,FIND(".",Database!BN266)-1)&amp;" CH Equity","CUR_MKT_CAP")*BDP("CNYHKD Curncy","PX_LAST"),"Awaiting quote"))</f>
        <v/>
      </c>
    </row>
    <row r="267" ht="23" customHeight="1">
      <c r="A267" s="32">
        <f>Database!A267&amp;"  "&amp;Database!B267</f>
        <v/>
      </c>
      <c r="B267" s="24">
        <f>IFERROR(INDEX(BDS(TEXT(VALUE(Database!$A267),"0")&amp;" HK Equity","EQUITY_OFFERINGS","array=t","endcol=1"),MATCH("IPO",BDS(TEXT(VALUE(Database!$A267),"0")&amp;" HK Equity","EQUITY_OFFERINGS","array=t","startcol=2","endcol=2"),0)),"")</f>
        <v/>
      </c>
      <c r="C267" s="208">
        <f>IF($B267="","",IFERROR(BDP($B267&amp;" Action","CP036"),""))</f>
        <v/>
      </c>
      <c r="D267" s="209">
        <f>Database!S267</f>
        <v/>
      </c>
      <c r="E267" s="208">
        <f>IF($B267="","",IFERROR(BDP($B267&amp;" Action","CP037"),""))</f>
        <v/>
      </c>
      <c r="F267" s="209">
        <f>Database!T267</f>
        <v/>
      </c>
      <c r="G267" s="208">
        <f>IF($B267="","",IFERROR(BDP($B267&amp;" Action","GREENSHOE_FACILITY"),""))</f>
        <v/>
      </c>
      <c r="H267" s="208">
        <f>IF($B267="","",IFERROR(BDP($B267&amp;" Action","OFFERING_GREENSHOE_SHARES_EX"),""))</f>
        <v/>
      </c>
      <c r="I267" s="32">
        <f>Database!AE267</f>
        <v/>
      </c>
      <c r="J267" s="39">
        <f>IFERROR(BDP(TEXT(VALUE(Database!$A267),"0")&amp;" HK Equity","PE_RATIO"),"")</f>
        <v/>
      </c>
      <c r="K267" s="24">
        <f>IFERROR(BDP(TEXT(VALUE(Database!$A267),"0")&amp;" HK Equity","A/H_SHARE_CONVERSION"),"")</f>
        <v/>
      </c>
      <c r="L267" s="32">
        <f>IF(Database!BN267="","(none found)",Database!BN267)</f>
        <v/>
      </c>
      <c r="M267" s="34">
        <f>BDH(TEXT(VALUE(Database!$A267),"0")&amp;" HK Equity","CUR_MKT_CAP",Database!$H267,Database!$H267)</f>
        <v/>
      </c>
      <c r="N267" s="166">
        <f>Database!Q267</f>
        <v/>
      </c>
      <c r="O267" s="39">
        <f>BDH(TEXT(VALUE(Database!$A267),"0")&amp;" HK Equity","PE_RATIO",Database!$H267,Database!$H267)</f>
        <v/>
      </c>
      <c r="P267" s="199">
        <f>IF(Database!BH267="","(n/m or not derivable)",Database!BH267)</f>
        <v/>
      </c>
      <c r="Q267" s="39">
        <f>IF(Database!BN267="","",BDH(LEFT(Database!BN267,FIND(".",Database!BN267)-1)&amp;" CH Equity","PE_RATIO",Database!$H267,Database!$H267))</f>
        <v/>
      </c>
      <c r="R267" s="39">
        <f>IF(Database!BN267="","",BDH("HSAHP Index","PX_LAST",Database!$H267,Database!$H267))</f>
        <v/>
      </c>
      <c r="S267" s="39">
        <f>IFERROR(BDP(TEXT(VALUE(Database!$A267),"0")&amp;" HK Equity","PX_TO_SALES_RATIO"),"")</f>
        <v/>
      </c>
      <c r="T267" s="34">
        <f>IF(Database!BN267="","",IFERROR(BDP(LEFT(Database!BN267,FIND(".",Database!BN267)-1)&amp;" CH Equity","CUR_MKT_CAP")*BDP("CNYHKD Curncy","PX_LAST"),"Awaiting quote"))</f>
        <v/>
      </c>
    </row>
    <row r="268" ht="23" customHeight="1">
      <c r="A268" s="32">
        <f>Database!A268&amp;"  "&amp;Database!B268</f>
        <v/>
      </c>
      <c r="B268" s="24">
        <f>IFERROR(INDEX(BDS(TEXT(VALUE(Database!$A268),"0")&amp;" HK Equity","EQUITY_OFFERINGS","array=t","endcol=1"),MATCH("IPO",BDS(TEXT(VALUE(Database!$A268),"0")&amp;" HK Equity","EQUITY_OFFERINGS","array=t","startcol=2","endcol=2"),0)),"")</f>
        <v/>
      </c>
      <c r="C268" s="208">
        <f>IF($B268="","",IFERROR(BDP($B268&amp;" Action","CP036"),""))</f>
        <v/>
      </c>
      <c r="D268" s="209">
        <f>Database!S268</f>
        <v/>
      </c>
      <c r="E268" s="208">
        <f>IF($B268="","",IFERROR(BDP($B268&amp;" Action","CP037"),""))</f>
        <v/>
      </c>
      <c r="F268" s="209">
        <f>Database!T268</f>
        <v/>
      </c>
      <c r="G268" s="208">
        <f>IF($B268="","",IFERROR(BDP($B268&amp;" Action","GREENSHOE_FACILITY"),""))</f>
        <v/>
      </c>
      <c r="H268" s="208">
        <f>IF($B268="","",IFERROR(BDP($B268&amp;" Action","OFFERING_GREENSHOE_SHARES_EX"),""))</f>
        <v/>
      </c>
      <c r="I268" s="32">
        <f>Database!AE268</f>
        <v/>
      </c>
      <c r="J268" s="39">
        <f>IFERROR(BDP(TEXT(VALUE(Database!$A268),"0")&amp;" HK Equity","PE_RATIO"),"")</f>
        <v/>
      </c>
      <c r="K268" s="24">
        <f>IFERROR(BDP(TEXT(VALUE(Database!$A268),"0")&amp;" HK Equity","A/H_SHARE_CONVERSION"),"")</f>
        <v/>
      </c>
      <c r="L268" s="32">
        <f>IF(Database!BN268="","(none found)",Database!BN268)</f>
        <v/>
      </c>
      <c r="M268" s="34">
        <f>BDH(TEXT(VALUE(Database!$A268),"0")&amp;" HK Equity","CUR_MKT_CAP",Database!$H268,Database!$H268)</f>
        <v/>
      </c>
      <c r="N268" s="166">
        <f>Database!Q268</f>
        <v/>
      </c>
      <c r="O268" s="39">
        <f>BDH(TEXT(VALUE(Database!$A268),"0")&amp;" HK Equity","PE_RATIO",Database!$H268,Database!$H268)</f>
        <v/>
      </c>
      <c r="P268" s="199">
        <f>IF(Database!BH268="","(n/m or not derivable)",Database!BH268)</f>
        <v/>
      </c>
      <c r="Q268" s="39">
        <f>IF(Database!BN268="","",BDH(LEFT(Database!BN268,FIND(".",Database!BN268)-1)&amp;" CH Equity","PE_RATIO",Database!$H268,Database!$H268))</f>
        <v/>
      </c>
      <c r="R268" s="39">
        <f>IF(Database!BN268="","",BDH("HSAHP Index","PX_LAST",Database!$H268,Database!$H268))</f>
        <v/>
      </c>
      <c r="S268" s="39">
        <f>IFERROR(BDP(TEXT(VALUE(Database!$A268),"0")&amp;" HK Equity","PX_TO_SALES_RATIO"),"")</f>
        <v/>
      </c>
      <c r="T268" s="34">
        <f>IF(Database!BN268="","",IFERROR(BDP(LEFT(Database!BN268,FIND(".",Database!BN268)-1)&amp;" CH Equity","CUR_MKT_CAP")*BDP("CNYHKD Curncy","PX_LAST"),"Awaiting quote"))</f>
        <v/>
      </c>
    </row>
    <row r="269" ht="23" customHeight="1">
      <c r="A269" s="32">
        <f>Database!A269&amp;"  "&amp;Database!B269</f>
        <v/>
      </c>
      <c r="B269" s="24">
        <f>IFERROR(INDEX(BDS(TEXT(VALUE(Database!$A269),"0")&amp;" HK Equity","EQUITY_OFFERINGS","array=t","endcol=1"),MATCH("IPO",BDS(TEXT(VALUE(Database!$A269),"0")&amp;" HK Equity","EQUITY_OFFERINGS","array=t","startcol=2","endcol=2"),0)),"")</f>
        <v/>
      </c>
      <c r="C269" s="208">
        <f>IF($B269="","",IFERROR(BDP($B269&amp;" Action","CP036"),""))</f>
        <v/>
      </c>
      <c r="D269" s="209">
        <f>Database!S269</f>
        <v/>
      </c>
      <c r="E269" s="208">
        <f>IF($B269="","",IFERROR(BDP($B269&amp;" Action","CP037"),""))</f>
        <v/>
      </c>
      <c r="F269" s="209">
        <f>Database!T269</f>
        <v/>
      </c>
      <c r="G269" s="208">
        <f>IF($B269="","",IFERROR(BDP($B269&amp;" Action","GREENSHOE_FACILITY"),""))</f>
        <v/>
      </c>
      <c r="H269" s="208">
        <f>IF($B269="","",IFERROR(BDP($B269&amp;" Action","OFFERING_GREENSHOE_SHARES_EX"),""))</f>
        <v/>
      </c>
      <c r="I269" s="32">
        <f>Database!AE269</f>
        <v/>
      </c>
      <c r="J269" s="39">
        <f>IFERROR(BDP(TEXT(VALUE(Database!$A269),"0")&amp;" HK Equity","PE_RATIO"),"")</f>
        <v/>
      </c>
      <c r="K269" s="24">
        <f>IFERROR(BDP(TEXT(VALUE(Database!$A269),"0")&amp;" HK Equity","A/H_SHARE_CONVERSION"),"")</f>
        <v/>
      </c>
      <c r="L269" s="32">
        <f>IF(Database!BN269="","(none found)",Database!BN269)</f>
        <v/>
      </c>
      <c r="M269" s="34">
        <f>BDH(TEXT(VALUE(Database!$A269),"0")&amp;" HK Equity","CUR_MKT_CAP",Database!$H269,Database!$H269)</f>
        <v/>
      </c>
      <c r="N269" s="166">
        <f>Database!Q269</f>
        <v/>
      </c>
      <c r="O269" s="39">
        <f>BDH(TEXT(VALUE(Database!$A269),"0")&amp;" HK Equity","PE_RATIO",Database!$H269,Database!$H269)</f>
        <v/>
      </c>
      <c r="P269" s="199">
        <f>IF(Database!BH269="","(n/m or not derivable)",Database!BH269)</f>
        <v/>
      </c>
      <c r="Q269" s="39">
        <f>IF(Database!BN269="","",BDH(LEFT(Database!BN269,FIND(".",Database!BN269)-1)&amp;" CH Equity","PE_RATIO",Database!$H269,Database!$H269))</f>
        <v/>
      </c>
      <c r="R269" s="39">
        <f>IF(Database!BN269="","",BDH("HSAHP Index","PX_LAST",Database!$H269,Database!$H269))</f>
        <v/>
      </c>
      <c r="S269" s="39">
        <f>IFERROR(BDP(TEXT(VALUE(Database!$A269),"0")&amp;" HK Equity","PX_TO_SALES_RATIO"),"")</f>
        <v/>
      </c>
      <c r="T269" s="34">
        <f>IF(Database!BN269="","",IFERROR(BDP(LEFT(Database!BN269,FIND(".",Database!BN269)-1)&amp;" CH Equity","CUR_MKT_CAP")*BDP("CNYHKD Curncy","PX_LAST"),"Awaiting quote"))</f>
        <v/>
      </c>
    </row>
    <row r="270" ht="23" customHeight="1">
      <c r="A270" s="32">
        <f>Database!A270&amp;"  "&amp;Database!B270</f>
        <v/>
      </c>
      <c r="B270" s="24">
        <f>IFERROR(INDEX(BDS(TEXT(VALUE(Database!$A270),"0")&amp;" HK Equity","EQUITY_OFFERINGS","array=t","endcol=1"),MATCH("IPO",BDS(TEXT(VALUE(Database!$A270),"0")&amp;" HK Equity","EQUITY_OFFERINGS","array=t","startcol=2","endcol=2"),0)),"")</f>
        <v/>
      </c>
      <c r="C270" s="208">
        <f>IF($B270="","",IFERROR(BDP($B270&amp;" Action","CP036"),""))</f>
        <v/>
      </c>
      <c r="D270" s="209">
        <f>Database!S270</f>
        <v/>
      </c>
      <c r="E270" s="208">
        <f>IF($B270="","",IFERROR(BDP($B270&amp;" Action","CP037"),""))</f>
        <v/>
      </c>
      <c r="F270" s="209">
        <f>Database!T270</f>
        <v/>
      </c>
      <c r="G270" s="208">
        <f>IF($B270="","",IFERROR(BDP($B270&amp;" Action","GREENSHOE_FACILITY"),""))</f>
        <v/>
      </c>
      <c r="H270" s="208">
        <f>IF($B270="","",IFERROR(BDP($B270&amp;" Action","OFFERING_GREENSHOE_SHARES_EX"),""))</f>
        <v/>
      </c>
      <c r="I270" s="32">
        <f>Database!AE270</f>
        <v/>
      </c>
      <c r="J270" s="39">
        <f>IFERROR(BDP(TEXT(VALUE(Database!$A270),"0")&amp;" HK Equity","PE_RATIO"),"")</f>
        <v/>
      </c>
      <c r="K270" s="24">
        <f>IFERROR(BDP(TEXT(VALUE(Database!$A270),"0")&amp;" HK Equity","A/H_SHARE_CONVERSION"),"")</f>
        <v/>
      </c>
      <c r="L270" s="32">
        <f>IF(Database!BN270="","(none found)",Database!BN270)</f>
        <v/>
      </c>
      <c r="M270" s="34">
        <f>BDH(TEXT(VALUE(Database!$A270),"0")&amp;" HK Equity","CUR_MKT_CAP",Database!$H270,Database!$H270)</f>
        <v/>
      </c>
      <c r="N270" s="166">
        <f>Database!Q270</f>
        <v/>
      </c>
      <c r="O270" s="39">
        <f>BDH(TEXT(VALUE(Database!$A270),"0")&amp;" HK Equity","PE_RATIO",Database!$H270,Database!$H270)</f>
        <v/>
      </c>
      <c r="P270" s="199">
        <f>IF(Database!BH270="","(n/m or not derivable)",Database!BH270)</f>
        <v/>
      </c>
      <c r="Q270" s="39">
        <f>IF(Database!BN270="","",BDH(LEFT(Database!BN270,FIND(".",Database!BN270)-1)&amp;" CH Equity","PE_RATIO",Database!$H270,Database!$H270))</f>
        <v/>
      </c>
      <c r="R270" s="39">
        <f>IF(Database!BN270="","",BDH("HSAHP Index","PX_LAST",Database!$H270,Database!$H270))</f>
        <v/>
      </c>
      <c r="S270" s="39">
        <f>IFERROR(BDP(TEXT(VALUE(Database!$A270),"0")&amp;" HK Equity","PX_TO_SALES_RATIO"),"")</f>
        <v/>
      </c>
      <c r="T270" s="34">
        <f>IF(Database!BN270="","",IFERROR(BDP(LEFT(Database!BN270,FIND(".",Database!BN270)-1)&amp;" CH Equity","CUR_MKT_CAP")*BDP("CNYHKD Curncy","PX_LAST"),"Awaiting quote"))</f>
        <v/>
      </c>
    </row>
    <row r="271" ht="23" customHeight="1">
      <c r="A271" s="32">
        <f>Database!A271&amp;"  "&amp;Database!B271</f>
        <v/>
      </c>
      <c r="B271" s="24">
        <f>IFERROR(INDEX(BDS(TEXT(VALUE(Database!$A271),"0")&amp;" HK Equity","EQUITY_OFFERINGS","array=t","endcol=1"),MATCH("IPO",BDS(TEXT(VALUE(Database!$A271),"0")&amp;" HK Equity","EQUITY_OFFERINGS","array=t","startcol=2","endcol=2"),0)),"")</f>
        <v/>
      </c>
      <c r="C271" s="208">
        <f>IF($B271="","",IFERROR(BDP($B271&amp;" Action","CP036"),""))</f>
        <v/>
      </c>
      <c r="D271" s="209">
        <f>Database!S271</f>
        <v/>
      </c>
      <c r="E271" s="208">
        <f>IF($B271="","",IFERROR(BDP($B271&amp;" Action","CP037"),""))</f>
        <v/>
      </c>
      <c r="F271" s="209">
        <f>Database!T271</f>
        <v/>
      </c>
      <c r="G271" s="208">
        <f>IF($B271="","",IFERROR(BDP($B271&amp;" Action","GREENSHOE_FACILITY"),""))</f>
        <v/>
      </c>
      <c r="H271" s="208">
        <f>IF($B271="","",IFERROR(BDP($B271&amp;" Action","OFFERING_GREENSHOE_SHARES_EX"),""))</f>
        <v/>
      </c>
      <c r="I271" s="32">
        <f>Database!AE271</f>
        <v/>
      </c>
      <c r="J271" s="39">
        <f>IFERROR(BDP(TEXT(VALUE(Database!$A271),"0")&amp;" HK Equity","PE_RATIO"),"")</f>
        <v/>
      </c>
      <c r="K271" s="24">
        <f>IFERROR(BDP(TEXT(VALUE(Database!$A271),"0")&amp;" HK Equity","A/H_SHARE_CONVERSION"),"")</f>
        <v/>
      </c>
      <c r="L271" s="32">
        <f>IF(Database!BN271="","(none found)",Database!BN271)</f>
        <v/>
      </c>
      <c r="M271" s="34">
        <f>BDH(TEXT(VALUE(Database!$A271),"0")&amp;" HK Equity","CUR_MKT_CAP",Database!$H271,Database!$H271)</f>
        <v/>
      </c>
      <c r="N271" s="166">
        <f>Database!Q271</f>
        <v/>
      </c>
      <c r="O271" s="39">
        <f>BDH(TEXT(VALUE(Database!$A271),"0")&amp;" HK Equity","PE_RATIO",Database!$H271,Database!$H271)</f>
        <v/>
      </c>
      <c r="P271" s="199">
        <f>IF(Database!BH271="","(n/m or not derivable)",Database!BH271)</f>
        <v/>
      </c>
      <c r="Q271" s="39">
        <f>IF(Database!BN271="","",BDH(LEFT(Database!BN271,FIND(".",Database!BN271)-1)&amp;" CH Equity","PE_RATIO",Database!$H271,Database!$H271))</f>
        <v/>
      </c>
      <c r="R271" s="39">
        <f>IF(Database!BN271="","",BDH("HSAHP Index","PX_LAST",Database!$H271,Database!$H271))</f>
        <v/>
      </c>
      <c r="S271" s="39">
        <f>IFERROR(BDP(TEXT(VALUE(Database!$A271),"0")&amp;" HK Equity","PX_TO_SALES_RATIO"),"")</f>
        <v/>
      </c>
      <c r="T271" s="34">
        <f>IF(Database!BN271="","",IFERROR(BDP(LEFT(Database!BN271,FIND(".",Database!BN271)-1)&amp;" CH Equity","CUR_MKT_CAP")*BDP("CNYHKD Curncy","PX_LAST"),"Awaiting quote"))</f>
        <v/>
      </c>
    </row>
    <row r="272" ht="23" customHeight="1">
      <c r="A272" s="32">
        <f>Database!A272&amp;"  "&amp;Database!B272</f>
        <v/>
      </c>
      <c r="B272" s="24">
        <f>IFERROR(INDEX(BDS(TEXT(VALUE(Database!$A272),"0")&amp;" HK Equity","EQUITY_OFFERINGS","array=t","endcol=1"),MATCH("IPO",BDS(TEXT(VALUE(Database!$A272),"0")&amp;" HK Equity","EQUITY_OFFERINGS","array=t","startcol=2","endcol=2"),0)),"")</f>
        <v/>
      </c>
      <c r="C272" s="208">
        <f>IF($B272="","",IFERROR(BDP($B272&amp;" Action","CP036"),""))</f>
        <v/>
      </c>
      <c r="D272" s="209">
        <f>Database!S272</f>
        <v/>
      </c>
      <c r="E272" s="208">
        <f>IF($B272="","",IFERROR(BDP($B272&amp;" Action","CP037"),""))</f>
        <v/>
      </c>
      <c r="F272" s="209">
        <f>Database!T272</f>
        <v/>
      </c>
      <c r="G272" s="208">
        <f>IF($B272="","",IFERROR(BDP($B272&amp;" Action","GREENSHOE_FACILITY"),""))</f>
        <v/>
      </c>
      <c r="H272" s="208">
        <f>IF($B272="","",IFERROR(BDP($B272&amp;" Action","OFFERING_GREENSHOE_SHARES_EX"),""))</f>
        <v/>
      </c>
      <c r="I272" s="32">
        <f>Database!AE272</f>
        <v/>
      </c>
      <c r="J272" s="39">
        <f>IFERROR(BDP(TEXT(VALUE(Database!$A272),"0")&amp;" HK Equity","PE_RATIO"),"")</f>
        <v/>
      </c>
      <c r="K272" s="24">
        <f>IFERROR(BDP(TEXT(VALUE(Database!$A272),"0")&amp;" HK Equity","A/H_SHARE_CONVERSION"),"")</f>
        <v/>
      </c>
      <c r="L272" s="32">
        <f>IF(Database!BN272="","(none found)",Database!BN272)</f>
        <v/>
      </c>
      <c r="M272" s="34">
        <f>BDH(TEXT(VALUE(Database!$A272),"0")&amp;" HK Equity","CUR_MKT_CAP",Database!$H272,Database!$H272)</f>
        <v/>
      </c>
      <c r="N272" s="166">
        <f>Database!Q272</f>
        <v/>
      </c>
      <c r="O272" s="39">
        <f>BDH(TEXT(VALUE(Database!$A272),"0")&amp;" HK Equity","PE_RATIO",Database!$H272,Database!$H272)</f>
        <v/>
      </c>
      <c r="P272" s="199">
        <f>IF(Database!BH272="","(n/m or not derivable)",Database!BH272)</f>
        <v/>
      </c>
      <c r="Q272" s="39">
        <f>IF(Database!BN272="","",BDH(LEFT(Database!BN272,FIND(".",Database!BN272)-1)&amp;" CH Equity","PE_RATIO",Database!$H272,Database!$H272))</f>
        <v/>
      </c>
      <c r="R272" s="39">
        <f>IF(Database!BN272="","",BDH("HSAHP Index","PX_LAST",Database!$H272,Database!$H272))</f>
        <v/>
      </c>
      <c r="S272" s="39">
        <f>IFERROR(BDP(TEXT(VALUE(Database!$A272),"0")&amp;" HK Equity","PX_TO_SALES_RATIO"),"")</f>
        <v/>
      </c>
      <c r="T272" s="34">
        <f>IF(Database!BN272="","",IFERROR(BDP(LEFT(Database!BN272,FIND(".",Database!BN272)-1)&amp;" CH Equity","CUR_MKT_CAP")*BDP("CNYHKD Curncy","PX_LAST"),"Awaiting quote"))</f>
        <v/>
      </c>
    </row>
    <row r="273" ht="23" customHeight="1">
      <c r="A273" s="32">
        <f>Database!A273&amp;"  "&amp;Database!B273</f>
        <v/>
      </c>
      <c r="B273" s="24">
        <f>IFERROR(INDEX(BDS(TEXT(VALUE(Database!$A273),"0")&amp;" HK Equity","EQUITY_OFFERINGS","array=t","endcol=1"),MATCH("IPO",BDS(TEXT(VALUE(Database!$A273),"0")&amp;" HK Equity","EQUITY_OFFERINGS","array=t","startcol=2","endcol=2"),0)),"")</f>
        <v/>
      </c>
      <c r="C273" s="208">
        <f>IF($B273="","",IFERROR(BDP($B273&amp;" Action","CP036"),""))</f>
        <v/>
      </c>
      <c r="D273" s="209">
        <f>Database!S273</f>
        <v/>
      </c>
      <c r="E273" s="208">
        <f>IF($B273="","",IFERROR(BDP($B273&amp;" Action","CP037"),""))</f>
        <v/>
      </c>
      <c r="F273" s="209">
        <f>Database!T273</f>
        <v/>
      </c>
      <c r="G273" s="208">
        <f>IF($B273="","",IFERROR(BDP($B273&amp;" Action","GREENSHOE_FACILITY"),""))</f>
        <v/>
      </c>
      <c r="H273" s="208">
        <f>IF($B273="","",IFERROR(BDP($B273&amp;" Action","OFFERING_GREENSHOE_SHARES_EX"),""))</f>
        <v/>
      </c>
      <c r="I273" s="32">
        <f>Database!AE273</f>
        <v/>
      </c>
      <c r="J273" s="39">
        <f>IFERROR(BDP(TEXT(VALUE(Database!$A273),"0")&amp;" HK Equity","PE_RATIO"),"")</f>
        <v/>
      </c>
      <c r="K273" s="24">
        <f>IFERROR(BDP(TEXT(VALUE(Database!$A273),"0")&amp;" HK Equity","A/H_SHARE_CONVERSION"),"")</f>
        <v/>
      </c>
      <c r="L273" s="32">
        <f>IF(Database!BN273="","(none found)",Database!BN273)</f>
        <v/>
      </c>
      <c r="M273" s="34">
        <f>BDH(TEXT(VALUE(Database!$A273),"0")&amp;" HK Equity","CUR_MKT_CAP",Database!$H273,Database!$H273)</f>
        <v/>
      </c>
      <c r="N273" s="166">
        <f>Database!Q273</f>
        <v/>
      </c>
      <c r="O273" s="39">
        <f>BDH(TEXT(VALUE(Database!$A273),"0")&amp;" HK Equity","PE_RATIO",Database!$H273,Database!$H273)</f>
        <v/>
      </c>
      <c r="P273" s="199">
        <f>IF(Database!BH273="","(n/m or not derivable)",Database!BH273)</f>
        <v/>
      </c>
      <c r="Q273" s="39">
        <f>IF(Database!BN273="","",BDH(LEFT(Database!BN273,FIND(".",Database!BN273)-1)&amp;" CH Equity","PE_RATIO",Database!$H273,Database!$H273))</f>
        <v/>
      </c>
      <c r="R273" s="39">
        <f>IF(Database!BN273="","",BDH("HSAHP Index","PX_LAST",Database!$H273,Database!$H273))</f>
        <v/>
      </c>
      <c r="S273" s="39">
        <f>IFERROR(BDP(TEXT(VALUE(Database!$A273),"0")&amp;" HK Equity","PX_TO_SALES_RATIO"),"")</f>
        <v/>
      </c>
      <c r="T273" s="34">
        <f>IF(Database!BN273="","",IFERROR(BDP(LEFT(Database!BN273,FIND(".",Database!BN273)-1)&amp;" CH Equity","CUR_MKT_CAP")*BDP("CNYHKD Curncy","PX_LAST"),"Awaiting quote"))</f>
        <v/>
      </c>
    </row>
    <row r="274" ht="23" customHeight="1">
      <c r="A274" s="32">
        <f>Database!A274&amp;"  "&amp;Database!B274</f>
        <v/>
      </c>
      <c r="B274" s="24">
        <f>IFERROR(INDEX(BDS(TEXT(VALUE(Database!$A274),"0")&amp;" HK Equity","EQUITY_OFFERINGS","array=t","endcol=1"),MATCH("IPO",BDS(TEXT(VALUE(Database!$A274),"0")&amp;" HK Equity","EQUITY_OFFERINGS","array=t","startcol=2","endcol=2"),0)),"")</f>
        <v/>
      </c>
      <c r="C274" s="208">
        <f>IF($B274="","",IFERROR(BDP($B274&amp;" Action","CP036"),""))</f>
        <v/>
      </c>
      <c r="D274" s="209">
        <f>Database!S274</f>
        <v/>
      </c>
      <c r="E274" s="208">
        <f>IF($B274="","",IFERROR(BDP($B274&amp;" Action","CP037"),""))</f>
        <v/>
      </c>
      <c r="F274" s="209">
        <f>Database!T274</f>
        <v/>
      </c>
      <c r="G274" s="208">
        <f>IF($B274="","",IFERROR(BDP($B274&amp;" Action","GREENSHOE_FACILITY"),""))</f>
        <v/>
      </c>
      <c r="H274" s="208">
        <f>IF($B274="","",IFERROR(BDP($B274&amp;" Action","OFFERING_GREENSHOE_SHARES_EX"),""))</f>
        <v/>
      </c>
      <c r="I274" s="32">
        <f>Database!AE274</f>
        <v/>
      </c>
      <c r="J274" s="39">
        <f>IFERROR(BDP(TEXT(VALUE(Database!$A274),"0")&amp;" HK Equity","PE_RATIO"),"")</f>
        <v/>
      </c>
      <c r="K274" s="24">
        <f>IFERROR(BDP(TEXT(VALUE(Database!$A274),"0")&amp;" HK Equity","A/H_SHARE_CONVERSION"),"")</f>
        <v/>
      </c>
      <c r="L274" s="32">
        <f>IF(Database!BN274="","(none found)",Database!BN274)</f>
        <v/>
      </c>
      <c r="M274" s="34">
        <f>BDH(TEXT(VALUE(Database!$A274),"0")&amp;" HK Equity","CUR_MKT_CAP",Database!$H274,Database!$H274)</f>
        <v/>
      </c>
      <c r="N274" s="166">
        <f>Database!Q274</f>
        <v/>
      </c>
      <c r="O274" s="39">
        <f>BDH(TEXT(VALUE(Database!$A274),"0")&amp;" HK Equity","PE_RATIO",Database!$H274,Database!$H274)</f>
        <v/>
      </c>
      <c r="P274" s="199">
        <f>IF(Database!BH274="","(n/m or not derivable)",Database!BH274)</f>
        <v/>
      </c>
      <c r="Q274" s="39">
        <f>IF(Database!BN274="","",BDH(LEFT(Database!BN274,FIND(".",Database!BN274)-1)&amp;" CH Equity","PE_RATIO",Database!$H274,Database!$H274))</f>
        <v/>
      </c>
      <c r="R274" s="39">
        <f>IF(Database!BN274="","",BDH("HSAHP Index","PX_LAST",Database!$H274,Database!$H274))</f>
        <v/>
      </c>
      <c r="S274" s="39">
        <f>IFERROR(BDP(TEXT(VALUE(Database!$A274),"0")&amp;" HK Equity","PX_TO_SALES_RATIO"),"")</f>
        <v/>
      </c>
      <c r="T274" s="34">
        <f>IF(Database!BN274="","",IFERROR(BDP(LEFT(Database!BN274,FIND(".",Database!BN274)-1)&amp;" CH Equity","CUR_MKT_CAP")*BDP("CNYHKD Curncy","PX_LAST"),"Awaiting quote"))</f>
        <v/>
      </c>
    </row>
    <row r="275" ht="23" customHeight="1">
      <c r="A275" s="32">
        <f>Database!A275&amp;"  "&amp;Database!B275</f>
        <v/>
      </c>
      <c r="B275" s="24">
        <f>IFERROR(INDEX(BDS(TEXT(VALUE(Database!$A275),"0")&amp;" HK Equity","EQUITY_OFFERINGS","array=t","endcol=1"),MATCH("IPO",BDS(TEXT(VALUE(Database!$A275),"0")&amp;" HK Equity","EQUITY_OFFERINGS","array=t","startcol=2","endcol=2"),0)),"")</f>
        <v/>
      </c>
      <c r="C275" s="208">
        <f>IF($B275="","",IFERROR(BDP($B275&amp;" Action","CP036"),""))</f>
        <v/>
      </c>
      <c r="D275" s="209">
        <f>Database!S275</f>
        <v/>
      </c>
      <c r="E275" s="208">
        <f>IF($B275="","",IFERROR(BDP($B275&amp;" Action","CP037"),""))</f>
        <v/>
      </c>
      <c r="F275" s="209">
        <f>Database!T275</f>
        <v/>
      </c>
      <c r="G275" s="208">
        <f>IF($B275="","",IFERROR(BDP($B275&amp;" Action","GREENSHOE_FACILITY"),""))</f>
        <v/>
      </c>
      <c r="H275" s="208">
        <f>IF($B275="","",IFERROR(BDP($B275&amp;" Action","OFFERING_GREENSHOE_SHARES_EX"),""))</f>
        <v/>
      </c>
      <c r="I275" s="32">
        <f>Database!AE275</f>
        <v/>
      </c>
      <c r="J275" s="39">
        <f>IFERROR(BDP(TEXT(VALUE(Database!$A275),"0")&amp;" HK Equity","PE_RATIO"),"")</f>
        <v/>
      </c>
      <c r="K275" s="24">
        <f>IFERROR(BDP(TEXT(VALUE(Database!$A275),"0")&amp;" HK Equity","A/H_SHARE_CONVERSION"),"")</f>
        <v/>
      </c>
      <c r="L275" s="32">
        <f>IF(Database!BN275="","(none found)",Database!BN275)</f>
        <v/>
      </c>
      <c r="M275" s="34">
        <f>BDH(TEXT(VALUE(Database!$A275),"0")&amp;" HK Equity","CUR_MKT_CAP",Database!$H275,Database!$H275)</f>
        <v/>
      </c>
      <c r="N275" s="166">
        <f>Database!Q275</f>
        <v/>
      </c>
      <c r="O275" s="39">
        <f>BDH(TEXT(VALUE(Database!$A275),"0")&amp;" HK Equity","PE_RATIO",Database!$H275,Database!$H275)</f>
        <v/>
      </c>
      <c r="P275" s="199">
        <f>IF(Database!BH275="","(n/m or not derivable)",Database!BH275)</f>
        <v/>
      </c>
      <c r="Q275" s="39">
        <f>IF(Database!BN275="","",BDH(LEFT(Database!BN275,FIND(".",Database!BN275)-1)&amp;" CH Equity","PE_RATIO",Database!$H275,Database!$H275))</f>
        <v/>
      </c>
      <c r="R275" s="39">
        <f>IF(Database!BN275="","",BDH("HSAHP Index","PX_LAST",Database!$H275,Database!$H275))</f>
        <v/>
      </c>
      <c r="S275" s="39">
        <f>IFERROR(BDP(TEXT(VALUE(Database!$A275),"0")&amp;" HK Equity","PX_TO_SALES_RATIO"),"")</f>
        <v/>
      </c>
      <c r="T275" s="34">
        <f>IF(Database!BN275="","",IFERROR(BDP(LEFT(Database!BN275,FIND(".",Database!BN275)-1)&amp;" CH Equity","CUR_MKT_CAP")*BDP("CNYHKD Curncy","PX_LAST"),"Awaiting quote"))</f>
        <v/>
      </c>
    </row>
    <row r="276" ht="23" customHeight="1">
      <c r="A276" s="32">
        <f>Database!A276&amp;"  "&amp;Database!B276</f>
        <v/>
      </c>
      <c r="B276" s="24">
        <f>IFERROR(INDEX(BDS(TEXT(VALUE(Database!$A276),"0")&amp;" HK Equity","EQUITY_OFFERINGS","array=t","endcol=1"),MATCH("IPO",BDS(TEXT(VALUE(Database!$A276),"0")&amp;" HK Equity","EQUITY_OFFERINGS","array=t","startcol=2","endcol=2"),0)),"")</f>
        <v/>
      </c>
      <c r="C276" s="208">
        <f>IF($B276="","",IFERROR(BDP($B276&amp;" Action","CP036"),""))</f>
        <v/>
      </c>
      <c r="D276" s="209">
        <f>Database!S276</f>
        <v/>
      </c>
      <c r="E276" s="208">
        <f>IF($B276="","",IFERROR(BDP($B276&amp;" Action","CP037"),""))</f>
        <v/>
      </c>
      <c r="F276" s="209">
        <f>Database!T276</f>
        <v/>
      </c>
      <c r="G276" s="208">
        <f>IF($B276="","",IFERROR(BDP($B276&amp;" Action","GREENSHOE_FACILITY"),""))</f>
        <v/>
      </c>
      <c r="H276" s="208">
        <f>IF($B276="","",IFERROR(BDP($B276&amp;" Action","OFFERING_GREENSHOE_SHARES_EX"),""))</f>
        <v/>
      </c>
      <c r="I276" s="32">
        <f>Database!AE276</f>
        <v/>
      </c>
      <c r="J276" s="39">
        <f>IFERROR(BDP(TEXT(VALUE(Database!$A276),"0")&amp;" HK Equity","PE_RATIO"),"")</f>
        <v/>
      </c>
      <c r="K276" s="24">
        <f>IFERROR(BDP(TEXT(VALUE(Database!$A276),"0")&amp;" HK Equity","A/H_SHARE_CONVERSION"),"")</f>
        <v/>
      </c>
      <c r="L276" s="32">
        <f>IF(Database!BN276="","(none found)",Database!BN276)</f>
        <v/>
      </c>
      <c r="M276" s="34">
        <f>BDH(TEXT(VALUE(Database!$A276),"0")&amp;" HK Equity","CUR_MKT_CAP",Database!$H276,Database!$H276)</f>
        <v/>
      </c>
      <c r="N276" s="166">
        <f>Database!Q276</f>
        <v/>
      </c>
      <c r="O276" s="39">
        <f>BDH(TEXT(VALUE(Database!$A276),"0")&amp;" HK Equity","PE_RATIO",Database!$H276,Database!$H276)</f>
        <v/>
      </c>
      <c r="P276" s="199">
        <f>IF(Database!BH276="","(n/m or not derivable)",Database!BH276)</f>
        <v/>
      </c>
      <c r="Q276" s="39">
        <f>IF(Database!BN276="","",BDH(LEFT(Database!BN276,FIND(".",Database!BN276)-1)&amp;" CH Equity","PE_RATIO",Database!$H276,Database!$H276))</f>
        <v/>
      </c>
      <c r="R276" s="39">
        <f>IF(Database!BN276="","",BDH("HSAHP Index","PX_LAST",Database!$H276,Database!$H276))</f>
        <v/>
      </c>
      <c r="S276" s="39">
        <f>IFERROR(BDP(TEXT(VALUE(Database!$A276),"0")&amp;" HK Equity","PX_TO_SALES_RATIO"),"")</f>
        <v/>
      </c>
      <c r="T276" s="34">
        <f>IF(Database!BN276="","",IFERROR(BDP(LEFT(Database!BN276,FIND(".",Database!BN276)-1)&amp;" CH Equity","CUR_MKT_CAP")*BDP("CNYHKD Curncy","PX_LAST"),"Awaiting quote"))</f>
        <v/>
      </c>
    </row>
    <row r="277" ht="23" customHeight="1">
      <c r="A277" s="32">
        <f>Database!A277&amp;"  "&amp;Database!B277</f>
        <v/>
      </c>
      <c r="B277" s="24">
        <f>IFERROR(INDEX(BDS(TEXT(VALUE(Database!$A277),"0")&amp;" HK Equity","EQUITY_OFFERINGS","array=t","endcol=1"),MATCH("IPO",BDS(TEXT(VALUE(Database!$A277),"0")&amp;" HK Equity","EQUITY_OFFERINGS","array=t","startcol=2","endcol=2"),0)),"")</f>
        <v/>
      </c>
      <c r="C277" s="208">
        <f>IF($B277="","",IFERROR(BDP($B277&amp;" Action","CP036"),""))</f>
        <v/>
      </c>
      <c r="D277" s="209">
        <f>Database!S277</f>
        <v/>
      </c>
      <c r="E277" s="208">
        <f>IF($B277="","",IFERROR(BDP($B277&amp;" Action","CP037"),""))</f>
        <v/>
      </c>
      <c r="F277" s="209">
        <f>Database!T277</f>
        <v/>
      </c>
      <c r="G277" s="208">
        <f>IF($B277="","",IFERROR(BDP($B277&amp;" Action","GREENSHOE_FACILITY"),""))</f>
        <v/>
      </c>
      <c r="H277" s="208">
        <f>IF($B277="","",IFERROR(BDP($B277&amp;" Action","OFFERING_GREENSHOE_SHARES_EX"),""))</f>
        <v/>
      </c>
      <c r="I277" s="32">
        <f>Database!AE277</f>
        <v/>
      </c>
      <c r="J277" s="39">
        <f>IFERROR(BDP(TEXT(VALUE(Database!$A277),"0")&amp;" HK Equity","PE_RATIO"),"")</f>
        <v/>
      </c>
      <c r="K277" s="24">
        <f>IFERROR(BDP(TEXT(VALUE(Database!$A277),"0")&amp;" HK Equity","A/H_SHARE_CONVERSION"),"")</f>
        <v/>
      </c>
      <c r="L277" s="32">
        <f>IF(Database!BN277="","(none found)",Database!BN277)</f>
        <v/>
      </c>
      <c r="M277" s="34">
        <f>BDH(TEXT(VALUE(Database!$A277),"0")&amp;" HK Equity","CUR_MKT_CAP",Database!$H277,Database!$H277)</f>
        <v/>
      </c>
      <c r="N277" s="166">
        <f>Database!Q277</f>
        <v/>
      </c>
      <c r="O277" s="39">
        <f>BDH(TEXT(VALUE(Database!$A277),"0")&amp;" HK Equity","PE_RATIO",Database!$H277,Database!$H277)</f>
        <v/>
      </c>
      <c r="P277" s="199">
        <f>IF(Database!BH277="","(n/m or not derivable)",Database!BH277)</f>
        <v/>
      </c>
      <c r="Q277" s="39">
        <f>IF(Database!BN277="","",BDH(LEFT(Database!BN277,FIND(".",Database!BN277)-1)&amp;" CH Equity","PE_RATIO",Database!$H277,Database!$H277))</f>
        <v/>
      </c>
      <c r="R277" s="39">
        <f>IF(Database!BN277="","",BDH("HSAHP Index","PX_LAST",Database!$H277,Database!$H277))</f>
        <v/>
      </c>
      <c r="S277" s="39">
        <f>IFERROR(BDP(TEXT(VALUE(Database!$A277),"0")&amp;" HK Equity","PX_TO_SALES_RATIO"),"")</f>
        <v/>
      </c>
      <c r="T277" s="34">
        <f>IF(Database!BN277="","",IFERROR(BDP(LEFT(Database!BN277,FIND(".",Database!BN277)-1)&amp;" CH Equity","CUR_MKT_CAP")*BDP("CNYHKD Curncy","PX_LAST"),"Awaiting quote"))</f>
        <v/>
      </c>
    </row>
    <row r="278" ht="23" customHeight="1">
      <c r="A278" s="32">
        <f>Database!A278&amp;"  "&amp;Database!B278</f>
        <v/>
      </c>
      <c r="B278" s="24">
        <f>IFERROR(INDEX(BDS(TEXT(VALUE(Database!$A278),"0")&amp;" HK Equity","EQUITY_OFFERINGS","array=t","endcol=1"),MATCH("IPO",BDS(TEXT(VALUE(Database!$A278),"0")&amp;" HK Equity","EQUITY_OFFERINGS","array=t","startcol=2","endcol=2"),0)),"")</f>
        <v/>
      </c>
      <c r="C278" s="208">
        <f>IF($B278="","",IFERROR(BDP($B278&amp;" Action","CP036"),""))</f>
        <v/>
      </c>
      <c r="D278" s="209">
        <f>Database!S278</f>
        <v/>
      </c>
      <c r="E278" s="208">
        <f>IF($B278="","",IFERROR(BDP($B278&amp;" Action","CP037"),""))</f>
        <v/>
      </c>
      <c r="F278" s="209">
        <f>Database!T278</f>
        <v/>
      </c>
      <c r="G278" s="208">
        <f>IF($B278="","",IFERROR(BDP($B278&amp;" Action","GREENSHOE_FACILITY"),""))</f>
        <v/>
      </c>
      <c r="H278" s="208">
        <f>IF($B278="","",IFERROR(BDP($B278&amp;" Action","OFFERING_GREENSHOE_SHARES_EX"),""))</f>
        <v/>
      </c>
      <c r="I278" s="32">
        <f>Database!AE278</f>
        <v/>
      </c>
      <c r="J278" s="39">
        <f>IFERROR(BDP(TEXT(VALUE(Database!$A278),"0")&amp;" HK Equity","PE_RATIO"),"")</f>
        <v/>
      </c>
      <c r="K278" s="24">
        <f>IFERROR(BDP(TEXT(VALUE(Database!$A278),"0")&amp;" HK Equity","A/H_SHARE_CONVERSION"),"")</f>
        <v/>
      </c>
      <c r="L278" s="32">
        <f>IF(Database!BN278="","(none found)",Database!BN278)</f>
        <v/>
      </c>
      <c r="M278" s="34">
        <f>BDH(TEXT(VALUE(Database!$A278),"0")&amp;" HK Equity","CUR_MKT_CAP",Database!$H278,Database!$H278)</f>
        <v/>
      </c>
      <c r="N278" s="166">
        <f>Database!Q278</f>
        <v/>
      </c>
      <c r="O278" s="39">
        <f>BDH(TEXT(VALUE(Database!$A278),"0")&amp;" HK Equity","PE_RATIO",Database!$H278,Database!$H278)</f>
        <v/>
      </c>
      <c r="P278" s="199">
        <f>IF(Database!BH278="","(n/m or not derivable)",Database!BH278)</f>
        <v/>
      </c>
      <c r="Q278" s="39">
        <f>IF(Database!BN278="","",BDH(LEFT(Database!BN278,FIND(".",Database!BN278)-1)&amp;" CH Equity","PE_RATIO",Database!$H278,Database!$H278))</f>
        <v/>
      </c>
      <c r="R278" s="39">
        <f>IF(Database!BN278="","",BDH("HSAHP Index","PX_LAST",Database!$H278,Database!$H278))</f>
        <v/>
      </c>
      <c r="S278" s="39">
        <f>IFERROR(BDP(TEXT(VALUE(Database!$A278),"0")&amp;" HK Equity","PX_TO_SALES_RATIO"),"")</f>
        <v/>
      </c>
      <c r="T278" s="34">
        <f>IF(Database!BN278="","",IFERROR(BDP(LEFT(Database!BN278,FIND(".",Database!BN278)-1)&amp;" CH Equity","CUR_MKT_CAP")*BDP("CNYHKD Curncy","PX_LAST"),"Awaiting quote"))</f>
        <v/>
      </c>
    </row>
    <row r="279" ht="23" customHeight="1">
      <c r="A279" s="32">
        <f>Database!A279&amp;"  "&amp;Database!B279</f>
        <v/>
      </c>
      <c r="B279" s="24">
        <f>IFERROR(INDEX(BDS(TEXT(VALUE(Database!$A279),"0")&amp;" HK Equity","EQUITY_OFFERINGS","array=t","endcol=1"),MATCH("IPO",BDS(TEXT(VALUE(Database!$A279),"0")&amp;" HK Equity","EQUITY_OFFERINGS","array=t","startcol=2","endcol=2"),0)),"")</f>
        <v/>
      </c>
      <c r="C279" s="208">
        <f>IF($B279="","",IFERROR(BDP($B279&amp;" Action","CP036"),""))</f>
        <v/>
      </c>
      <c r="D279" s="209">
        <f>Database!S279</f>
        <v/>
      </c>
      <c r="E279" s="208">
        <f>IF($B279="","",IFERROR(BDP($B279&amp;" Action","CP037"),""))</f>
        <v/>
      </c>
      <c r="F279" s="209">
        <f>Database!T279</f>
        <v/>
      </c>
      <c r="G279" s="208">
        <f>IF($B279="","",IFERROR(BDP($B279&amp;" Action","GREENSHOE_FACILITY"),""))</f>
        <v/>
      </c>
      <c r="H279" s="208">
        <f>IF($B279="","",IFERROR(BDP($B279&amp;" Action","OFFERING_GREENSHOE_SHARES_EX"),""))</f>
        <v/>
      </c>
      <c r="I279" s="32">
        <f>Database!AE279</f>
        <v/>
      </c>
      <c r="J279" s="39">
        <f>IFERROR(BDP(TEXT(VALUE(Database!$A279),"0")&amp;" HK Equity","PE_RATIO"),"")</f>
        <v/>
      </c>
      <c r="K279" s="24">
        <f>IFERROR(BDP(TEXT(VALUE(Database!$A279),"0")&amp;" HK Equity","A/H_SHARE_CONVERSION"),"")</f>
        <v/>
      </c>
      <c r="L279" s="32">
        <f>IF(Database!BN279="","(none found)",Database!BN279)</f>
        <v/>
      </c>
      <c r="M279" s="34">
        <f>BDH(TEXT(VALUE(Database!$A279),"0")&amp;" HK Equity","CUR_MKT_CAP",Database!$H279,Database!$H279)</f>
        <v/>
      </c>
      <c r="N279" s="166">
        <f>Database!Q279</f>
        <v/>
      </c>
      <c r="O279" s="39">
        <f>BDH(TEXT(VALUE(Database!$A279),"0")&amp;" HK Equity","PE_RATIO",Database!$H279,Database!$H279)</f>
        <v/>
      </c>
      <c r="P279" s="199">
        <f>IF(Database!BH279="","(n/m or not derivable)",Database!BH279)</f>
        <v/>
      </c>
      <c r="Q279" s="39">
        <f>IF(Database!BN279="","",BDH(LEFT(Database!BN279,FIND(".",Database!BN279)-1)&amp;" CH Equity","PE_RATIO",Database!$H279,Database!$H279))</f>
        <v/>
      </c>
      <c r="R279" s="39">
        <f>IF(Database!BN279="","",BDH("HSAHP Index","PX_LAST",Database!$H279,Database!$H279))</f>
        <v/>
      </c>
      <c r="S279" s="39">
        <f>IFERROR(BDP(TEXT(VALUE(Database!$A279),"0")&amp;" HK Equity","PX_TO_SALES_RATIO"),"")</f>
        <v/>
      </c>
      <c r="T279" s="34">
        <f>IF(Database!BN279="","",IFERROR(BDP(LEFT(Database!BN279,FIND(".",Database!BN279)-1)&amp;" CH Equity","CUR_MKT_CAP")*BDP("CNYHKD Curncy","PX_LAST"),"Awaiting quote"))</f>
        <v/>
      </c>
    </row>
    <row r="280" ht="23" customHeight="1">
      <c r="A280" s="32">
        <f>Database!A280&amp;"  "&amp;Database!B280</f>
        <v/>
      </c>
      <c r="B280" s="24">
        <f>IFERROR(INDEX(BDS(TEXT(VALUE(Database!$A280),"0")&amp;" HK Equity","EQUITY_OFFERINGS","array=t","endcol=1"),MATCH("IPO",BDS(TEXT(VALUE(Database!$A280),"0")&amp;" HK Equity","EQUITY_OFFERINGS","array=t","startcol=2","endcol=2"),0)),"")</f>
        <v/>
      </c>
      <c r="C280" s="208">
        <f>IF($B280="","",IFERROR(BDP($B280&amp;" Action","CP036"),""))</f>
        <v/>
      </c>
      <c r="D280" s="209">
        <f>Database!S280</f>
        <v/>
      </c>
      <c r="E280" s="208">
        <f>IF($B280="","",IFERROR(BDP($B280&amp;" Action","CP037"),""))</f>
        <v/>
      </c>
      <c r="F280" s="209">
        <f>Database!T280</f>
        <v/>
      </c>
      <c r="G280" s="208">
        <f>IF($B280="","",IFERROR(BDP($B280&amp;" Action","GREENSHOE_FACILITY"),""))</f>
        <v/>
      </c>
      <c r="H280" s="208">
        <f>IF($B280="","",IFERROR(BDP($B280&amp;" Action","OFFERING_GREENSHOE_SHARES_EX"),""))</f>
        <v/>
      </c>
      <c r="I280" s="32">
        <f>Database!AE280</f>
        <v/>
      </c>
      <c r="J280" s="39">
        <f>IFERROR(BDP(TEXT(VALUE(Database!$A280),"0")&amp;" HK Equity","PE_RATIO"),"")</f>
        <v/>
      </c>
      <c r="K280" s="24">
        <f>IFERROR(BDP(TEXT(VALUE(Database!$A280),"0")&amp;" HK Equity","A/H_SHARE_CONVERSION"),"")</f>
        <v/>
      </c>
      <c r="L280" s="32">
        <f>IF(Database!BN280="","(none found)",Database!BN280)</f>
        <v/>
      </c>
      <c r="M280" s="34">
        <f>BDH(TEXT(VALUE(Database!$A280),"0")&amp;" HK Equity","CUR_MKT_CAP",Database!$H280,Database!$H280)</f>
        <v/>
      </c>
      <c r="N280" s="166">
        <f>Database!Q280</f>
        <v/>
      </c>
      <c r="O280" s="39">
        <f>BDH(TEXT(VALUE(Database!$A280),"0")&amp;" HK Equity","PE_RATIO",Database!$H280,Database!$H280)</f>
        <v/>
      </c>
      <c r="P280" s="199">
        <f>IF(Database!BH280="","(n/m or not derivable)",Database!BH280)</f>
        <v/>
      </c>
      <c r="Q280" s="39">
        <f>IF(Database!BN280="","",BDH(LEFT(Database!BN280,FIND(".",Database!BN280)-1)&amp;" CH Equity","PE_RATIO",Database!$H280,Database!$H280))</f>
        <v/>
      </c>
      <c r="R280" s="39">
        <f>IF(Database!BN280="","",BDH("HSAHP Index","PX_LAST",Database!$H280,Database!$H280))</f>
        <v/>
      </c>
      <c r="S280" s="39">
        <f>IFERROR(BDP(TEXT(VALUE(Database!$A280),"0")&amp;" HK Equity","PX_TO_SALES_RATIO"),"")</f>
        <v/>
      </c>
      <c r="T280" s="34">
        <f>IF(Database!BN280="","",IFERROR(BDP(LEFT(Database!BN280,FIND(".",Database!BN280)-1)&amp;" CH Equity","CUR_MKT_CAP")*BDP("CNYHKD Curncy","PX_LAST"),"Awaiting quote"))</f>
        <v/>
      </c>
    </row>
    <row r="281" ht="23" customHeight="1">
      <c r="A281" s="32">
        <f>Database!A281&amp;"  "&amp;Database!B281</f>
        <v/>
      </c>
      <c r="B281" s="24">
        <f>IFERROR(INDEX(BDS(TEXT(VALUE(Database!$A281),"0")&amp;" HK Equity","EQUITY_OFFERINGS","array=t","endcol=1"),MATCH("IPO",BDS(TEXT(VALUE(Database!$A281),"0")&amp;" HK Equity","EQUITY_OFFERINGS","array=t","startcol=2","endcol=2"),0)),"")</f>
        <v/>
      </c>
      <c r="C281" s="208">
        <f>IF($B281="","",IFERROR(BDP($B281&amp;" Action","CP036"),""))</f>
        <v/>
      </c>
      <c r="D281" s="209">
        <f>Database!S281</f>
        <v/>
      </c>
      <c r="E281" s="208">
        <f>IF($B281="","",IFERROR(BDP($B281&amp;" Action","CP037"),""))</f>
        <v/>
      </c>
      <c r="F281" s="209">
        <f>Database!T281</f>
        <v/>
      </c>
      <c r="G281" s="208">
        <f>IF($B281="","",IFERROR(BDP($B281&amp;" Action","GREENSHOE_FACILITY"),""))</f>
        <v/>
      </c>
      <c r="H281" s="208">
        <f>IF($B281="","",IFERROR(BDP($B281&amp;" Action","OFFERING_GREENSHOE_SHARES_EX"),""))</f>
        <v/>
      </c>
      <c r="I281" s="32">
        <f>Database!AE281</f>
        <v/>
      </c>
      <c r="J281" s="39">
        <f>IFERROR(BDP(TEXT(VALUE(Database!$A281),"0")&amp;" HK Equity","PE_RATIO"),"")</f>
        <v/>
      </c>
      <c r="K281" s="24">
        <f>IFERROR(BDP(TEXT(VALUE(Database!$A281),"0")&amp;" HK Equity","A/H_SHARE_CONVERSION"),"")</f>
        <v/>
      </c>
      <c r="L281" s="32">
        <f>IF(Database!BN281="","(none found)",Database!BN281)</f>
        <v/>
      </c>
      <c r="M281" s="34">
        <f>BDH(TEXT(VALUE(Database!$A281),"0")&amp;" HK Equity","CUR_MKT_CAP",Database!$H281,Database!$H281)</f>
        <v/>
      </c>
      <c r="N281" s="166">
        <f>Database!Q281</f>
        <v/>
      </c>
      <c r="O281" s="39">
        <f>BDH(TEXT(VALUE(Database!$A281),"0")&amp;" HK Equity","PE_RATIO",Database!$H281,Database!$H281)</f>
        <v/>
      </c>
      <c r="P281" s="199">
        <f>IF(Database!BH281="","(n/m or not derivable)",Database!BH281)</f>
        <v/>
      </c>
      <c r="Q281" s="39">
        <f>IF(Database!BN281="","",BDH(LEFT(Database!BN281,FIND(".",Database!BN281)-1)&amp;" CH Equity","PE_RATIO",Database!$H281,Database!$H281))</f>
        <v/>
      </c>
      <c r="R281" s="39">
        <f>IF(Database!BN281="","",BDH("HSAHP Index","PX_LAST",Database!$H281,Database!$H281))</f>
        <v/>
      </c>
      <c r="S281" s="39">
        <f>IFERROR(BDP(TEXT(VALUE(Database!$A281),"0")&amp;" HK Equity","PX_TO_SALES_RATIO"),"")</f>
        <v/>
      </c>
      <c r="T281" s="34">
        <f>IF(Database!BN281="","",IFERROR(BDP(LEFT(Database!BN281,FIND(".",Database!BN281)-1)&amp;" CH Equity","CUR_MKT_CAP")*BDP("CNYHKD Curncy","PX_LAST"),"Awaiting quote"))</f>
        <v/>
      </c>
    </row>
    <row r="282" ht="23" customHeight="1">
      <c r="A282" s="32">
        <f>Database!A282&amp;"  "&amp;Database!B282</f>
        <v/>
      </c>
      <c r="B282" s="24">
        <f>IFERROR(INDEX(BDS(TEXT(VALUE(Database!$A282),"0")&amp;" HK Equity","EQUITY_OFFERINGS","array=t","endcol=1"),MATCH("IPO",BDS(TEXT(VALUE(Database!$A282),"0")&amp;" HK Equity","EQUITY_OFFERINGS","array=t","startcol=2","endcol=2"),0)),"")</f>
        <v/>
      </c>
      <c r="C282" s="208">
        <f>IF($B282="","",IFERROR(BDP($B282&amp;" Action","CP036"),""))</f>
        <v/>
      </c>
      <c r="D282" s="209">
        <f>Database!S282</f>
        <v/>
      </c>
      <c r="E282" s="208">
        <f>IF($B282="","",IFERROR(BDP($B282&amp;" Action","CP037"),""))</f>
        <v/>
      </c>
      <c r="F282" s="209">
        <f>Database!T282</f>
        <v/>
      </c>
      <c r="G282" s="208">
        <f>IF($B282="","",IFERROR(BDP($B282&amp;" Action","GREENSHOE_FACILITY"),""))</f>
        <v/>
      </c>
      <c r="H282" s="208">
        <f>IF($B282="","",IFERROR(BDP($B282&amp;" Action","OFFERING_GREENSHOE_SHARES_EX"),""))</f>
        <v/>
      </c>
      <c r="I282" s="32">
        <f>Database!AE282</f>
        <v/>
      </c>
      <c r="J282" s="39">
        <f>IFERROR(BDP(TEXT(VALUE(Database!$A282),"0")&amp;" HK Equity","PE_RATIO"),"")</f>
        <v/>
      </c>
      <c r="K282" s="24">
        <f>IFERROR(BDP(TEXT(VALUE(Database!$A282),"0")&amp;" HK Equity","A/H_SHARE_CONVERSION"),"")</f>
        <v/>
      </c>
      <c r="L282" s="32">
        <f>IF(Database!BN282="","(none found)",Database!BN282)</f>
        <v/>
      </c>
      <c r="M282" s="34">
        <f>BDH(TEXT(VALUE(Database!$A282),"0")&amp;" HK Equity","CUR_MKT_CAP",Database!$H282,Database!$H282)</f>
        <v/>
      </c>
      <c r="N282" s="166">
        <f>Database!Q282</f>
        <v/>
      </c>
      <c r="O282" s="39">
        <f>BDH(TEXT(VALUE(Database!$A282),"0")&amp;" HK Equity","PE_RATIO",Database!$H282,Database!$H282)</f>
        <v/>
      </c>
      <c r="P282" s="199">
        <f>IF(Database!BH282="","(n/m or not derivable)",Database!BH282)</f>
        <v/>
      </c>
      <c r="Q282" s="39">
        <f>IF(Database!BN282="","",BDH(LEFT(Database!BN282,FIND(".",Database!BN282)-1)&amp;" CH Equity","PE_RATIO",Database!$H282,Database!$H282))</f>
        <v/>
      </c>
      <c r="R282" s="39">
        <f>IF(Database!BN282="","",BDH("HSAHP Index","PX_LAST",Database!$H282,Database!$H282))</f>
        <v/>
      </c>
      <c r="S282" s="39">
        <f>IFERROR(BDP(TEXT(VALUE(Database!$A282),"0")&amp;" HK Equity","PX_TO_SALES_RATIO"),"")</f>
        <v/>
      </c>
      <c r="T282" s="34">
        <f>IF(Database!BN282="","",IFERROR(BDP(LEFT(Database!BN282,FIND(".",Database!BN282)-1)&amp;" CH Equity","CUR_MKT_CAP")*BDP("CNYHKD Curncy","PX_LAST"),"Awaiting quote"))</f>
        <v/>
      </c>
    </row>
    <row r="283" ht="23" customHeight="1">
      <c r="A283" s="32">
        <f>Database!A283&amp;"  "&amp;Database!B283</f>
        <v/>
      </c>
      <c r="B283" s="24">
        <f>IFERROR(INDEX(BDS(TEXT(VALUE(Database!$A283),"0")&amp;" HK Equity","EQUITY_OFFERINGS","array=t","endcol=1"),MATCH("IPO",BDS(TEXT(VALUE(Database!$A283),"0")&amp;" HK Equity","EQUITY_OFFERINGS","array=t","startcol=2","endcol=2"),0)),"")</f>
        <v/>
      </c>
      <c r="C283" s="208">
        <f>IF($B283="","",IFERROR(BDP($B283&amp;" Action","CP036"),""))</f>
        <v/>
      </c>
      <c r="D283" s="209">
        <f>Database!S283</f>
        <v/>
      </c>
      <c r="E283" s="208">
        <f>IF($B283="","",IFERROR(BDP($B283&amp;" Action","CP037"),""))</f>
        <v/>
      </c>
      <c r="F283" s="209">
        <f>Database!T283</f>
        <v/>
      </c>
      <c r="G283" s="208">
        <f>IF($B283="","",IFERROR(BDP($B283&amp;" Action","GREENSHOE_FACILITY"),""))</f>
        <v/>
      </c>
      <c r="H283" s="208">
        <f>IF($B283="","",IFERROR(BDP($B283&amp;" Action","OFFERING_GREENSHOE_SHARES_EX"),""))</f>
        <v/>
      </c>
      <c r="I283" s="32">
        <f>Database!AE283</f>
        <v/>
      </c>
      <c r="J283" s="39">
        <f>IFERROR(BDP(TEXT(VALUE(Database!$A283),"0")&amp;" HK Equity","PE_RATIO"),"")</f>
        <v/>
      </c>
      <c r="K283" s="24">
        <f>IFERROR(BDP(TEXT(VALUE(Database!$A283),"0")&amp;" HK Equity","A/H_SHARE_CONVERSION"),"")</f>
        <v/>
      </c>
      <c r="L283" s="32">
        <f>IF(Database!BN283="","(none found)",Database!BN283)</f>
        <v/>
      </c>
      <c r="M283" s="34">
        <f>BDH(TEXT(VALUE(Database!$A283),"0")&amp;" HK Equity","CUR_MKT_CAP",Database!$H283,Database!$H283)</f>
        <v/>
      </c>
      <c r="N283" s="166">
        <f>Database!Q283</f>
        <v/>
      </c>
      <c r="O283" s="39">
        <f>BDH(TEXT(VALUE(Database!$A283),"0")&amp;" HK Equity","PE_RATIO",Database!$H283,Database!$H283)</f>
        <v/>
      </c>
      <c r="P283" s="199">
        <f>IF(Database!BH283="","(n/m or not derivable)",Database!BH283)</f>
        <v/>
      </c>
      <c r="Q283" s="39">
        <f>IF(Database!BN283="","",BDH(LEFT(Database!BN283,FIND(".",Database!BN283)-1)&amp;" CH Equity","PE_RATIO",Database!$H283,Database!$H283))</f>
        <v/>
      </c>
      <c r="R283" s="39">
        <f>IF(Database!BN283="","",BDH("HSAHP Index","PX_LAST",Database!$H283,Database!$H283))</f>
        <v/>
      </c>
      <c r="S283" s="39">
        <f>IFERROR(BDP(TEXT(VALUE(Database!$A283),"0")&amp;" HK Equity","PX_TO_SALES_RATIO"),"")</f>
        <v/>
      </c>
      <c r="T283" s="34">
        <f>IF(Database!BN283="","",IFERROR(BDP(LEFT(Database!BN283,FIND(".",Database!BN283)-1)&amp;" CH Equity","CUR_MKT_CAP")*BDP("CNYHKD Curncy","PX_LAST"),"Awaiting quote"))</f>
        <v/>
      </c>
    </row>
    <row r="284" ht="23" customHeight="1">
      <c r="A284" s="32">
        <f>Database!A284&amp;"  "&amp;Database!B284</f>
        <v/>
      </c>
      <c r="B284" s="24">
        <f>IFERROR(INDEX(BDS(TEXT(VALUE(Database!$A284),"0")&amp;" HK Equity","EQUITY_OFFERINGS","array=t","endcol=1"),MATCH("IPO",BDS(TEXT(VALUE(Database!$A284),"0")&amp;" HK Equity","EQUITY_OFFERINGS","array=t","startcol=2","endcol=2"),0)),"")</f>
        <v/>
      </c>
      <c r="C284" s="208">
        <f>IF($B284="","",IFERROR(BDP($B284&amp;" Action","CP036"),""))</f>
        <v/>
      </c>
      <c r="D284" s="209">
        <f>Database!S284</f>
        <v/>
      </c>
      <c r="E284" s="208">
        <f>IF($B284="","",IFERROR(BDP($B284&amp;" Action","CP037"),""))</f>
        <v/>
      </c>
      <c r="F284" s="209">
        <f>Database!T284</f>
        <v/>
      </c>
      <c r="G284" s="208">
        <f>IF($B284="","",IFERROR(BDP($B284&amp;" Action","GREENSHOE_FACILITY"),""))</f>
        <v/>
      </c>
      <c r="H284" s="208">
        <f>IF($B284="","",IFERROR(BDP($B284&amp;" Action","OFFERING_GREENSHOE_SHARES_EX"),""))</f>
        <v/>
      </c>
      <c r="I284" s="32">
        <f>Database!AE284</f>
        <v/>
      </c>
      <c r="J284" s="39">
        <f>IFERROR(BDP(TEXT(VALUE(Database!$A284),"0")&amp;" HK Equity","PE_RATIO"),"")</f>
        <v/>
      </c>
      <c r="K284" s="24">
        <f>IFERROR(BDP(TEXT(VALUE(Database!$A284),"0")&amp;" HK Equity","A/H_SHARE_CONVERSION"),"")</f>
        <v/>
      </c>
      <c r="L284" s="32">
        <f>IF(Database!BN284="","(none found)",Database!BN284)</f>
        <v/>
      </c>
      <c r="M284" s="34">
        <f>BDH(TEXT(VALUE(Database!$A284),"0")&amp;" HK Equity","CUR_MKT_CAP",Database!$H284,Database!$H284)</f>
        <v/>
      </c>
      <c r="N284" s="166">
        <f>Database!Q284</f>
        <v/>
      </c>
      <c r="O284" s="39">
        <f>BDH(TEXT(VALUE(Database!$A284),"0")&amp;" HK Equity","PE_RATIO",Database!$H284,Database!$H284)</f>
        <v/>
      </c>
      <c r="P284" s="199">
        <f>IF(Database!BH284="","(n/m or not derivable)",Database!BH284)</f>
        <v/>
      </c>
      <c r="Q284" s="39">
        <f>IF(Database!BN284="","",BDH(LEFT(Database!BN284,FIND(".",Database!BN284)-1)&amp;" CH Equity","PE_RATIO",Database!$H284,Database!$H284))</f>
        <v/>
      </c>
      <c r="R284" s="39">
        <f>IF(Database!BN284="","",BDH("HSAHP Index","PX_LAST",Database!$H284,Database!$H284))</f>
        <v/>
      </c>
      <c r="S284" s="39">
        <f>IFERROR(BDP(TEXT(VALUE(Database!$A284),"0")&amp;" HK Equity","PX_TO_SALES_RATIO"),"")</f>
        <v/>
      </c>
      <c r="T284" s="34">
        <f>IF(Database!BN284="","",IFERROR(BDP(LEFT(Database!BN284,FIND(".",Database!BN284)-1)&amp;" CH Equity","CUR_MKT_CAP")*BDP("CNYHKD Curncy","PX_LAST"),"Awaiting quote"))</f>
        <v/>
      </c>
    </row>
    <row r="285" ht="23" customHeight="1">
      <c r="A285" s="32">
        <f>Database!A285&amp;"  "&amp;Database!B285</f>
        <v/>
      </c>
      <c r="B285" s="24">
        <f>IFERROR(INDEX(BDS(TEXT(VALUE(Database!$A285),"0")&amp;" HK Equity","EQUITY_OFFERINGS","array=t","endcol=1"),MATCH("IPO",BDS(TEXT(VALUE(Database!$A285),"0")&amp;" HK Equity","EQUITY_OFFERINGS","array=t","startcol=2","endcol=2"),0)),"")</f>
        <v/>
      </c>
      <c r="C285" s="208">
        <f>IF($B285="","",IFERROR(BDP($B285&amp;" Action","CP036"),""))</f>
        <v/>
      </c>
      <c r="D285" s="209">
        <f>Database!S285</f>
        <v/>
      </c>
      <c r="E285" s="208">
        <f>IF($B285="","",IFERROR(BDP($B285&amp;" Action","CP037"),""))</f>
        <v/>
      </c>
      <c r="F285" s="209">
        <f>Database!T285</f>
        <v/>
      </c>
      <c r="G285" s="208">
        <f>IF($B285="","",IFERROR(BDP($B285&amp;" Action","GREENSHOE_FACILITY"),""))</f>
        <v/>
      </c>
      <c r="H285" s="208">
        <f>IF($B285="","",IFERROR(BDP($B285&amp;" Action","OFFERING_GREENSHOE_SHARES_EX"),""))</f>
        <v/>
      </c>
      <c r="I285" s="32">
        <f>Database!AE285</f>
        <v/>
      </c>
      <c r="J285" s="39">
        <f>IFERROR(BDP(TEXT(VALUE(Database!$A285),"0")&amp;" HK Equity","PE_RATIO"),"")</f>
        <v/>
      </c>
      <c r="K285" s="24">
        <f>IFERROR(BDP(TEXT(VALUE(Database!$A285),"0")&amp;" HK Equity","A/H_SHARE_CONVERSION"),"")</f>
        <v/>
      </c>
      <c r="L285" s="32">
        <f>IF(Database!BN285="","(none found)",Database!BN285)</f>
        <v/>
      </c>
      <c r="M285" s="34">
        <f>BDH(TEXT(VALUE(Database!$A285),"0")&amp;" HK Equity","CUR_MKT_CAP",Database!$H285,Database!$H285)</f>
        <v/>
      </c>
      <c r="N285" s="166">
        <f>Database!Q285</f>
        <v/>
      </c>
      <c r="O285" s="39">
        <f>BDH(TEXT(VALUE(Database!$A285),"0")&amp;" HK Equity","PE_RATIO",Database!$H285,Database!$H285)</f>
        <v/>
      </c>
      <c r="P285" s="199">
        <f>IF(Database!BH285="","(n/m or not derivable)",Database!BH285)</f>
        <v/>
      </c>
      <c r="Q285" s="39">
        <f>IF(Database!BN285="","",BDH(LEFT(Database!BN285,FIND(".",Database!BN285)-1)&amp;" CH Equity","PE_RATIO",Database!$H285,Database!$H285))</f>
        <v/>
      </c>
      <c r="R285" s="39">
        <f>IF(Database!BN285="","",BDH("HSAHP Index","PX_LAST",Database!$H285,Database!$H285))</f>
        <v/>
      </c>
      <c r="S285" s="39">
        <f>IFERROR(BDP(TEXT(VALUE(Database!$A285),"0")&amp;" HK Equity","PX_TO_SALES_RATIO"),"")</f>
        <v/>
      </c>
      <c r="T285" s="34">
        <f>IF(Database!BN285="","",IFERROR(BDP(LEFT(Database!BN285,FIND(".",Database!BN285)-1)&amp;" CH Equity","CUR_MKT_CAP")*BDP("CNYHKD Curncy","PX_LAST"),"Awaiting quote"))</f>
        <v/>
      </c>
    </row>
    <row r="286" ht="23" customHeight="1">
      <c r="A286" s="32">
        <f>Database!A286&amp;"  "&amp;Database!B286</f>
        <v/>
      </c>
      <c r="B286" s="24">
        <f>IFERROR(INDEX(BDS(TEXT(VALUE(Database!$A286),"0")&amp;" HK Equity","EQUITY_OFFERINGS","array=t","endcol=1"),MATCH("IPO",BDS(TEXT(VALUE(Database!$A286),"0")&amp;" HK Equity","EQUITY_OFFERINGS","array=t","startcol=2","endcol=2"),0)),"")</f>
        <v/>
      </c>
      <c r="C286" s="208">
        <f>IF($B286="","",IFERROR(BDP($B286&amp;" Action","CP036"),""))</f>
        <v/>
      </c>
      <c r="D286" s="209">
        <f>Database!S286</f>
        <v/>
      </c>
      <c r="E286" s="208">
        <f>IF($B286="","",IFERROR(BDP($B286&amp;" Action","CP037"),""))</f>
        <v/>
      </c>
      <c r="F286" s="209">
        <f>Database!T286</f>
        <v/>
      </c>
      <c r="G286" s="208">
        <f>IF($B286="","",IFERROR(BDP($B286&amp;" Action","GREENSHOE_FACILITY"),""))</f>
        <v/>
      </c>
      <c r="H286" s="208">
        <f>IF($B286="","",IFERROR(BDP($B286&amp;" Action","OFFERING_GREENSHOE_SHARES_EX"),""))</f>
        <v/>
      </c>
      <c r="I286" s="32">
        <f>Database!AE286</f>
        <v/>
      </c>
      <c r="J286" s="39">
        <f>IFERROR(BDP(TEXT(VALUE(Database!$A286),"0")&amp;" HK Equity","PE_RATIO"),"")</f>
        <v/>
      </c>
      <c r="K286" s="24">
        <f>IFERROR(BDP(TEXT(VALUE(Database!$A286),"0")&amp;" HK Equity","A/H_SHARE_CONVERSION"),"")</f>
        <v/>
      </c>
      <c r="L286" s="32">
        <f>IF(Database!BN286="","(none found)",Database!BN286)</f>
        <v/>
      </c>
      <c r="M286" s="34">
        <f>BDH(TEXT(VALUE(Database!$A286),"0")&amp;" HK Equity","CUR_MKT_CAP",Database!$H286,Database!$H286)</f>
        <v/>
      </c>
      <c r="N286" s="166">
        <f>Database!Q286</f>
        <v/>
      </c>
      <c r="O286" s="39">
        <f>BDH(TEXT(VALUE(Database!$A286),"0")&amp;" HK Equity","PE_RATIO",Database!$H286,Database!$H286)</f>
        <v/>
      </c>
      <c r="P286" s="199">
        <f>IF(Database!BH286="","(n/m or not derivable)",Database!BH286)</f>
        <v/>
      </c>
      <c r="Q286" s="39">
        <f>IF(Database!BN286="","",BDH(LEFT(Database!BN286,FIND(".",Database!BN286)-1)&amp;" CH Equity","PE_RATIO",Database!$H286,Database!$H286))</f>
        <v/>
      </c>
      <c r="R286" s="39">
        <f>IF(Database!BN286="","",BDH("HSAHP Index","PX_LAST",Database!$H286,Database!$H286))</f>
        <v/>
      </c>
      <c r="S286" s="39">
        <f>IFERROR(BDP(TEXT(VALUE(Database!$A286),"0")&amp;" HK Equity","PX_TO_SALES_RATIO"),"")</f>
        <v/>
      </c>
      <c r="T286" s="34">
        <f>IF(Database!BN286="","",IFERROR(BDP(LEFT(Database!BN286,FIND(".",Database!BN286)-1)&amp;" CH Equity","CUR_MKT_CAP")*BDP("CNYHKD Curncy","PX_LAST"),"Awaiting quote"))</f>
        <v/>
      </c>
    </row>
    <row r="287" ht="23" customHeight="1">
      <c r="A287" s="32">
        <f>Database!A287&amp;"  "&amp;Database!B287</f>
        <v/>
      </c>
      <c r="B287" s="24">
        <f>IFERROR(INDEX(BDS(TEXT(VALUE(Database!$A287),"0")&amp;" HK Equity","EQUITY_OFFERINGS","array=t","endcol=1"),MATCH("IPO",BDS(TEXT(VALUE(Database!$A287),"0")&amp;" HK Equity","EQUITY_OFFERINGS","array=t","startcol=2","endcol=2"),0)),"")</f>
        <v/>
      </c>
      <c r="C287" s="208">
        <f>IF($B287="","",IFERROR(BDP($B287&amp;" Action","CP036"),""))</f>
        <v/>
      </c>
      <c r="D287" s="209">
        <f>Database!S287</f>
        <v/>
      </c>
      <c r="E287" s="208">
        <f>IF($B287="","",IFERROR(BDP($B287&amp;" Action","CP037"),""))</f>
        <v/>
      </c>
      <c r="F287" s="209">
        <f>Database!T287</f>
        <v/>
      </c>
      <c r="G287" s="208">
        <f>IF($B287="","",IFERROR(BDP($B287&amp;" Action","GREENSHOE_FACILITY"),""))</f>
        <v/>
      </c>
      <c r="H287" s="208">
        <f>IF($B287="","",IFERROR(BDP($B287&amp;" Action","OFFERING_GREENSHOE_SHARES_EX"),""))</f>
        <v/>
      </c>
      <c r="I287" s="32">
        <f>Database!AE287</f>
        <v/>
      </c>
      <c r="J287" s="39">
        <f>IFERROR(BDP(TEXT(VALUE(Database!$A287),"0")&amp;" HK Equity","PE_RATIO"),"")</f>
        <v/>
      </c>
      <c r="K287" s="24">
        <f>IFERROR(BDP(TEXT(VALUE(Database!$A287),"0")&amp;" HK Equity","A/H_SHARE_CONVERSION"),"")</f>
        <v/>
      </c>
      <c r="L287" s="32">
        <f>IF(Database!BN287="","(none found)",Database!BN287)</f>
        <v/>
      </c>
      <c r="M287" s="34">
        <f>BDH(TEXT(VALUE(Database!$A287),"0")&amp;" HK Equity","CUR_MKT_CAP",Database!$H287,Database!$H287)</f>
        <v/>
      </c>
      <c r="N287" s="166">
        <f>Database!Q287</f>
        <v/>
      </c>
      <c r="O287" s="39">
        <f>BDH(TEXT(VALUE(Database!$A287),"0")&amp;" HK Equity","PE_RATIO",Database!$H287,Database!$H287)</f>
        <v/>
      </c>
      <c r="P287" s="199">
        <f>IF(Database!BH287="","(n/m or not derivable)",Database!BH287)</f>
        <v/>
      </c>
      <c r="Q287" s="39">
        <f>IF(Database!BN287="","",BDH(LEFT(Database!BN287,FIND(".",Database!BN287)-1)&amp;" CH Equity","PE_RATIO",Database!$H287,Database!$H287))</f>
        <v/>
      </c>
      <c r="R287" s="39">
        <f>IF(Database!BN287="","",BDH("HSAHP Index","PX_LAST",Database!$H287,Database!$H287))</f>
        <v/>
      </c>
      <c r="S287" s="39">
        <f>IFERROR(BDP(TEXT(VALUE(Database!$A287),"0")&amp;" HK Equity","PX_TO_SALES_RATIO"),"")</f>
        <v/>
      </c>
      <c r="T287" s="34">
        <f>IF(Database!BN287="","",IFERROR(BDP(LEFT(Database!BN287,FIND(".",Database!BN287)-1)&amp;" CH Equity","CUR_MKT_CAP")*BDP("CNYHKD Curncy","PX_LAST"),"Awaiting quote"))</f>
        <v/>
      </c>
    </row>
    <row r="288" ht="23" customHeight="1">
      <c r="A288" s="32">
        <f>Database!A288&amp;"  "&amp;Database!B288</f>
        <v/>
      </c>
      <c r="B288" s="24">
        <f>IFERROR(INDEX(BDS(TEXT(VALUE(Database!$A288),"0")&amp;" HK Equity","EQUITY_OFFERINGS","array=t","endcol=1"),MATCH("IPO",BDS(TEXT(VALUE(Database!$A288),"0")&amp;" HK Equity","EQUITY_OFFERINGS","array=t","startcol=2","endcol=2"),0)),"")</f>
        <v/>
      </c>
      <c r="C288" s="208">
        <f>IF($B288="","",IFERROR(BDP($B288&amp;" Action","CP036"),""))</f>
        <v/>
      </c>
      <c r="D288" s="209">
        <f>Database!S288</f>
        <v/>
      </c>
      <c r="E288" s="208">
        <f>IF($B288="","",IFERROR(BDP($B288&amp;" Action","CP037"),""))</f>
        <v/>
      </c>
      <c r="F288" s="209">
        <f>Database!T288</f>
        <v/>
      </c>
      <c r="G288" s="208">
        <f>IF($B288="","",IFERROR(BDP($B288&amp;" Action","GREENSHOE_FACILITY"),""))</f>
        <v/>
      </c>
      <c r="H288" s="208">
        <f>IF($B288="","",IFERROR(BDP($B288&amp;" Action","OFFERING_GREENSHOE_SHARES_EX"),""))</f>
        <v/>
      </c>
      <c r="I288" s="32">
        <f>Database!AE288</f>
        <v/>
      </c>
      <c r="J288" s="39">
        <f>IFERROR(BDP(TEXT(VALUE(Database!$A288),"0")&amp;" HK Equity","PE_RATIO"),"")</f>
        <v/>
      </c>
      <c r="K288" s="24">
        <f>IFERROR(BDP(TEXT(VALUE(Database!$A288),"0")&amp;" HK Equity","A/H_SHARE_CONVERSION"),"")</f>
        <v/>
      </c>
      <c r="L288" s="32">
        <f>IF(Database!BN288="","(none found)",Database!BN288)</f>
        <v/>
      </c>
      <c r="M288" s="34">
        <f>BDH(TEXT(VALUE(Database!$A288),"0")&amp;" HK Equity","CUR_MKT_CAP",Database!$H288,Database!$H288)</f>
        <v/>
      </c>
      <c r="N288" s="166">
        <f>Database!Q288</f>
        <v/>
      </c>
      <c r="O288" s="39">
        <f>BDH(TEXT(VALUE(Database!$A288),"0")&amp;" HK Equity","PE_RATIO",Database!$H288,Database!$H288)</f>
        <v/>
      </c>
      <c r="P288" s="199">
        <f>IF(Database!BH288="","(n/m or not derivable)",Database!BH288)</f>
        <v/>
      </c>
      <c r="Q288" s="39">
        <f>IF(Database!BN288="","",BDH(LEFT(Database!BN288,FIND(".",Database!BN288)-1)&amp;" CH Equity","PE_RATIO",Database!$H288,Database!$H288))</f>
        <v/>
      </c>
      <c r="R288" s="39">
        <f>IF(Database!BN288="","",BDH("HSAHP Index","PX_LAST",Database!$H288,Database!$H288))</f>
        <v/>
      </c>
      <c r="S288" s="39">
        <f>IFERROR(BDP(TEXT(VALUE(Database!$A288),"0")&amp;" HK Equity","PX_TO_SALES_RATIO"),"")</f>
        <v/>
      </c>
      <c r="T288" s="34">
        <f>IF(Database!BN288="","",IFERROR(BDP(LEFT(Database!BN288,FIND(".",Database!BN288)-1)&amp;" CH Equity","CUR_MKT_CAP")*BDP("CNYHKD Curncy","PX_LAST"),"Awaiting quote"))</f>
        <v/>
      </c>
    </row>
    <row r="289" ht="23" customHeight="1">
      <c r="A289" s="32">
        <f>Database!A289&amp;"  "&amp;Database!B289</f>
        <v/>
      </c>
      <c r="B289" s="24">
        <f>IFERROR(INDEX(BDS(TEXT(VALUE(Database!$A289),"0")&amp;" HK Equity","EQUITY_OFFERINGS","array=t","endcol=1"),MATCH("IPO",BDS(TEXT(VALUE(Database!$A289),"0")&amp;" HK Equity","EQUITY_OFFERINGS","array=t","startcol=2","endcol=2"),0)),"")</f>
        <v/>
      </c>
      <c r="C289" s="208">
        <f>IF($B289="","",IFERROR(BDP($B289&amp;" Action","CP036"),""))</f>
        <v/>
      </c>
      <c r="D289" s="209">
        <f>Database!S289</f>
        <v/>
      </c>
      <c r="E289" s="208">
        <f>IF($B289="","",IFERROR(BDP($B289&amp;" Action","CP037"),""))</f>
        <v/>
      </c>
      <c r="F289" s="209">
        <f>Database!T289</f>
        <v/>
      </c>
      <c r="G289" s="208">
        <f>IF($B289="","",IFERROR(BDP($B289&amp;" Action","GREENSHOE_FACILITY"),""))</f>
        <v/>
      </c>
      <c r="H289" s="208">
        <f>IF($B289="","",IFERROR(BDP($B289&amp;" Action","OFFERING_GREENSHOE_SHARES_EX"),""))</f>
        <v/>
      </c>
      <c r="I289" s="32">
        <f>Database!AE289</f>
        <v/>
      </c>
      <c r="J289" s="39">
        <f>IFERROR(BDP(TEXT(VALUE(Database!$A289),"0")&amp;" HK Equity","PE_RATIO"),"")</f>
        <v/>
      </c>
      <c r="K289" s="24">
        <f>IFERROR(BDP(TEXT(VALUE(Database!$A289),"0")&amp;" HK Equity","A/H_SHARE_CONVERSION"),"")</f>
        <v/>
      </c>
      <c r="L289" s="32">
        <f>IF(Database!BN289="","(none found)",Database!BN289)</f>
        <v/>
      </c>
      <c r="M289" s="34">
        <f>BDH(TEXT(VALUE(Database!$A289),"0")&amp;" HK Equity","CUR_MKT_CAP",Database!$H289,Database!$H289)</f>
        <v/>
      </c>
      <c r="N289" s="166">
        <f>Database!Q289</f>
        <v/>
      </c>
      <c r="O289" s="39">
        <f>BDH(TEXT(VALUE(Database!$A289),"0")&amp;" HK Equity","PE_RATIO",Database!$H289,Database!$H289)</f>
        <v/>
      </c>
      <c r="P289" s="199">
        <f>IF(Database!BH289="","(n/m or not derivable)",Database!BH289)</f>
        <v/>
      </c>
      <c r="Q289" s="39">
        <f>IF(Database!BN289="","",BDH(LEFT(Database!BN289,FIND(".",Database!BN289)-1)&amp;" CH Equity","PE_RATIO",Database!$H289,Database!$H289))</f>
        <v/>
      </c>
      <c r="R289" s="39">
        <f>IF(Database!BN289="","",BDH("HSAHP Index","PX_LAST",Database!$H289,Database!$H289))</f>
        <v/>
      </c>
      <c r="S289" s="39">
        <f>IFERROR(BDP(TEXT(VALUE(Database!$A289),"0")&amp;" HK Equity","PX_TO_SALES_RATIO"),"")</f>
        <v/>
      </c>
      <c r="T289" s="34">
        <f>IF(Database!BN289="","",IFERROR(BDP(LEFT(Database!BN289,FIND(".",Database!BN289)-1)&amp;" CH Equity","CUR_MKT_CAP")*BDP("CNYHKD Curncy","PX_LAST"),"Awaiting quote"))</f>
        <v/>
      </c>
    </row>
    <row r="290" ht="23" customHeight="1">
      <c r="A290" s="32">
        <f>Database!A290&amp;"  "&amp;Database!B290</f>
        <v/>
      </c>
      <c r="B290" s="24">
        <f>IFERROR(INDEX(BDS(TEXT(VALUE(Database!$A290),"0")&amp;" HK Equity","EQUITY_OFFERINGS","array=t","endcol=1"),MATCH("IPO",BDS(TEXT(VALUE(Database!$A290),"0")&amp;" HK Equity","EQUITY_OFFERINGS","array=t","startcol=2","endcol=2"),0)),"")</f>
        <v/>
      </c>
      <c r="C290" s="208">
        <f>IF($B290="","",IFERROR(BDP($B290&amp;" Action","CP036"),""))</f>
        <v/>
      </c>
      <c r="D290" s="209">
        <f>Database!S290</f>
        <v/>
      </c>
      <c r="E290" s="208">
        <f>IF($B290="","",IFERROR(BDP($B290&amp;" Action","CP037"),""))</f>
        <v/>
      </c>
      <c r="F290" s="209">
        <f>Database!T290</f>
        <v/>
      </c>
      <c r="G290" s="208">
        <f>IF($B290="","",IFERROR(BDP($B290&amp;" Action","GREENSHOE_FACILITY"),""))</f>
        <v/>
      </c>
      <c r="H290" s="208">
        <f>IF($B290="","",IFERROR(BDP($B290&amp;" Action","OFFERING_GREENSHOE_SHARES_EX"),""))</f>
        <v/>
      </c>
      <c r="I290" s="32">
        <f>Database!AE290</f>
        <v/>
      </c>
      <c r="J290" s="39">
        <f>IFERROR(BDP(TEXT(VALUE(Database!$A290),"0")&amp;" HK Equity","PE_RATIO"),"")</f>
        <v/>
      </c>
      <c r="K290" s="24">
        <f>IFERROR(BDP(TEXT(VALUE(Database!$A290),"0")&amp;" HK Equity","A/H_SHARE_CONVERSION"),"")</f>
        <v/>
      </c>
      <c r="L290" s="32">
        <f>IF(Database!BN290="","(none found)",Database!BN290)</f>
        <v/>
      </c>
      <c r="M290" s="34">
        <f>BDH(TEXT(VALUE(Database!$A290),"0")&amp;" HK Equity","CUR_MKT_CAP",Database!$H290,Database!$H290)</f>
        <v/>
      </c>
      <c r="N290" s="166">
        <f>Database!Q290</f>
        <v/>
      </c>
      <c r="O290" s="39">
        <f>BDH(TEXT(VALUE(Database!$A290),"0")&amp;" HK Equity","PE_RATIO",Database!$H290,Database!$H290)</f>
        <v/>
      </c>
      <c r="P290" s="199">
        <f>IF(Database!BH290="","(n/m or not derivable)",Database!BH290)</f>
        <v/>
      </c>
      <c r="Q290" s="39">
        <f>IF(Database!BN290="","",BDH(LEFT(Database!BN290,FIND(".",Database!BN290)-1)&amp;" CH Equity","PE_RATIO",Database!$H290,Database!$H290))</f>
        <v/>
      </c>
      <c r="R290" s="39">
        <f>IF(Database!BN290="","",BDH("HSAHP Index","PX_LAST",Database!$H290,Database!$H290))</f>
        <v/>
      </c>
      <c r="S290" s="39">
        <f>IFERROR(BDP(TEXT(VALUE(Database!$A290),"0")&amp;" HK Equity","PX_TO_SALES_RATIO"),"")</f>
        <v/>
      </c>
      <c r="T290" s="34">
        <f>IF(Database!BN290="","",IFERROR(BDP(LEFT(Database!BN290,FIND(".",Database!BN290)-1)&amp;" CH Equity","CUR_MKT_CAP")*BDP("CNYHKD Curncy","PX_LAST"),"Awaiting quote"))</f>
        <v/>
      </c>
    </row>
    <row r="291" ht="23" customHeight="1">
      <c r="A291" s="32">
        <f>Database!A291&amp;"  "&amp;Database!B291</f>
        <v/>
      </c>
      <c r="B291" s="24">
        <f>IFERROR(INDEX(BDS(TEXT(VALUE(Database!$A291),"0")&amp;" HK Equity","EQUITY_OFFERINGS","array=t","endcol=1"),MATCH("IPO",BDS(TEXT(VALUE(Database!$A291),"0")&amp;" HK Equity","EQUITY_OFFERINGS","array=t","startcol=2","endcol=2"),0)),"")</f>
        <v/>
      </c>
      <c r="C291" s="208">
        <f>IF($B291="","",IFERROR(BDP($B291&amp;" Action","CP036"),""))</f>
        <v/>
      </c>
      <c r="D291" s="209">
        <f>Database!S291</f>
        <v/>
      </c>
      <c r="E291" s="208">
        <f>IF($B291="","",IFERROR(BDP($B291&amp;" Action","CP037"),""))</f>
        <v/>
      </c>
      <c r="F291" s="209">
        <f>Database!T291</f>
        <v/>
      </c>
      <c r="G291" s="208">
        <f>IF($B291="","",IFERROR(BDP($B291&amp;" Action","GREENSHOE_FACILITY"),""))</f>
        <v/>
      </c>
      <c r="H291" s="208">
        <f>IF($B291="","",IFERROR(BDP($B291&amp;" Action","OFFERING_GREENSHOE_SHARES_EX"),""))</f>
        <v/>
      </c>
      <c r="I291" s="32">
        <f>Database!AE291</f>
        <v/>
      </c>
      <c r="J291" s="39">
        <f>IFERROR(BDP(TEXT(VALUE(Database!$A291),"0")&amp;" HK Equity","PE_RATIO"),"")</f>
        <v/>
      </c>
      <c r="K291" s="24">
        <f>IFERROR(BDP(TEXT(VALUE(Database!$A291),"0")&amp;" HK Equity","A/H_SHARE_CONVERSION"),"")</f>
        <v/>
      </c>
      <c r="L291" s="32">
        <f>IF(Database!BN291="","(none found)",Database!BN291)</f>
        <v/>
      </c>
      <c r="M291" s="34">
        <f>BDH(TEXT(VALUE(Database!$A291),"0")&amp;" HK Equity","CUR_MKT_CAP",Database!$H291,Database!$H291)</f>
        <v/>
      </c>
      <c r="N291" s="166">
        <f>Database!Q291</f>
        <v/>
      </c>
      <c r="O291" s="39">
        <f>BDH(TEXT(VALUE(Database!$A291),"0")&amp;" HK Equity","PE_RATIO",Database!$H291,Database!$H291)</f>
        <v/>
      </c>
      <c r="P291" s="199">
        <f>IF(Database!BH291="","(n/m or not derivable)",Database!BH291)</f>
        <v/>
      </c>
      <c r="Q291" s="39">
        <f>IF(Database!BN291="","",BDH(LEFT(Database!BN291,FIND(".",Database!BN291)-1)&amp;" CH Equity","PE_RATIO",Database!$H291,Database!$H291))</f>
        <v/>
      </c>
      <c r="R291" s="39">
        <f>IF(Database!BN291="","",BDH("HSAHP Index","PX_LAST",Database!$H291,Database!$H291))</f>
        <v/>
      </c>
      <c r="S291" s="39">
        <f>IFERROR(BDP(TEXT(VALUE(Database!$A291),"0")&amp;" HK Equity","PX_TO_SALES_RATIO"),"")</f>
        <v/>
      </c>
      <c r="T291" s="34">
        <f>IF(Database!BN291="","",IFERROR(BDP(LEFT(Database!BN291,FIND(".",Database!BN291)-1)&amp;" CH Equity","CUR_MKT_CAP")*BDP("CNYHKD Curncy","PX_LAST"),"Awaiting quote"))</f>
        <v/>
      </c>
    </row>
    <row r="292" ht="23" customHeight="1">
      <c r="A292" s="32">
        <f>Database!A292&amp;"  "&amp;Database!B292</f>
        <v/>
      </c>
      <c r="B292" s="24">
        <f>IFERROR(INDEX(BDS(TEXT(VALUE(Database!$A292),"0")&amp;" HK Equity","EQUITY_OFFERINGS","array=t","endcol=1"),MATCH("IPO",BDS(TEXT(VALUE(Database!$A292),"0")&amp;" HK Equity","EQUITY_OFFERINGS","array=t","startcol=2","endcol=2"),0)),"")</f>
        <v/>
      </c>
      <c r="C292" s="208">
        <f>IF($B292="","",IFERROR(BDP($B292&amp;" Action","CP036"),""))</f>
        <v/>
      </c>
      <c r="D292" s="209">
        <f>Database!S292</f>
        <v/>
      </c>
      <c r="E292" s="208">
        <f>IF($B292="","",IFERROR(BDP($B292&amp;" Action","CP037"),""))</f>
        <v/>
      </c>
      <c r="F292" s="209">
        <f>Database!T292</f>
        <v/>
      </c>
      <c r="G292" s="208">
        <f>IF($B292="","",IFERROR(BDP($B292&amp;" Action","GREENSHOE_FACILITY"),""))</f>
        <v/>
      </c>
      <c r="H292" s="208">
        <f>IF($B292="","",IFERROR(BDP($B292&amp;" Action","OFFERING_GREENSHOE_SHARES_EX"),""))</f>
        <v/>
      </c>
      <c r="I292" s="32">
        <f>Database!AE292</f>
        <v/>
      </c>
      <c r="J292" s="39">
        <f>IFERROR(BDP(TEXT(VALUE(Database!$A292),"0")&amp;" HK Equity","PE_RATIO"),"")</f>
        <v/>
      </c>
      <c r="K292" s="24">
        <f>IFERROR(BDP(TEXT(VALUE(Database!$A292),"0")&amp;" HK Equity","A/H_SHARE_CONVERSION"),"")</f>
        <v/>
      </c>
      <c r="L292" s="32">
        <f>IF(Database!BN292="","(none found)",Database!BN292)</f>
        <v/>
      </c>
      <c r="M292" s="34">
        <f>BDH(TEXT(VALUE(Database!$A292),"0")&amp;" HK Equity","CUR_MKT_CAP",Database!$H292,Database!$H292)</f>
        <v/>
      </c>
      <c r="N292" s="166">
        <f>Database!Q292</f>
        <v/>
      </c>
      <c r="O292" s="39">
        <f>BDH(TEXT(VALUE(Database!$A292),"0")&amp;" HK Equity","PE_RATIO",Database!$H292,Database!$H292)</f>
        <v/>
      </c>
      <c r="P292" s="199">
        <f>IF(Database!BH292="","(n/m or not derivable)",Database!BH292)</f>
        <v/>
      </c>
      <c r="Q292" s="39">
        <f>IF(Database!BN292="","",BDH(LEFT(Database!BN292,FIND(".",Database!BN292)-1)&amp;" CH Equity","PE_RATIO",Database!$H292,Database!$H292))</f>
        <v/>
      </c>
      <c r="R292" s="39">
        <f>IF(Database!BN292="","",BDH("HSAHP Index","PX_LAST",Database!$H292,Database!$H292))</f>
        <v/>
      </c>
      <c r="S292" s="39">
        <f>IFERROR(BDP(TEXT(VALUE(Database!$A292),"0")&amp;" HK Equity","PX_TO_SALES_RATIO"),"")</f>
        <v/>
      </c>
      <c r="T292" s="34">
        <f>IF(Database!BN292="","",IFERROR(BDP(LEFT(Database!BN292,FIND(".",Database!BN292)-1)&amp;" CH Equity","CUR_MKT_CAP")*BDP("CNYHKD Curncy","PX_LAST"),"Awaiting quote"))</f>
        <v/>
      </c>
    </row>
    <row r="293" ht="23" customHeight="1">
      <c r="A293" s="32">
        <f>Database!A293&amp;"  "&amp;Database!B293</f>
        <v/>
      </c>
      <c r="B293" s="24">
        <f>IFERROR(INDEX(BDS(TEXT(VALUE(Database!$A293),"0")&amp;" HK Equity","EQUITY_OFFERINGS","array=t","endcol=1"),MATCH("IPO",BDS(TEXT(VALUE(Database!$A293),"0")&amp;" HK Equity","EQUITY_OFFERINGS","array=t","startcol=2","endcol=2"),0)),"")</f>
        <v/>
      </c>
      <c r="C293" s="208">
        <f>IF($B293="","",IFERROR(BDP($B293&amp;" Action","CP036"),""))</f>
        <v/>
      </c>
      <c r="D293" s="209">
        <f>Database!S293</f>
        <v/>
      </c>
      <c r="E293" s="208">
        <f>IF($B293="","",IFERROR(BDP($B293&amp;" Action","CP037"),""))</f>
        <v/>
      </c>
      <c r="F293" s="209">
        <f>Database!T293</f>
        <v/>
      </c>
      <c r="G293" s="208">
        <f>IF($B293="","",IFERROR(BDP($B293&amp;" Action","GREENSHOE_FACILITY"),""))</f>
        <v/>
      </c>
      <c r="H293" s="208">
        <f>IF($B293="","",IFERROR(BDP($B293&amp;" Action","OFFERING_GREENSHOE_SHARES_EX"),""))</f>
        <v/>
      </c>
      <c r="I293" s="32">
        <f>Database!AE293</f>
        <v/>
      </c>
      <c r="J293" s="39">
        <f>IFERROR(BDP(TEXT(VALUE(Database!$A293),"0")&amp;" HK Equity","PE_RATIO"),"")</f>
        <v/>
      </c>
      <c r="K293" s="24">
        <f>IFERROR(BDP(TEXT(VALUE(Database!$A293),"0")&amp;" HK Equity","A/H_SHARE_CONVERSION"),"")</f>
        <v/>
      </c>
      <c r="L293" s="32">
        <f>IF(Database!BN293="","(none found)",Database!BN293)</f>
        <v/>
      </c>
      <c r="M293" s="34">
        <f>BDH(TEXT(VALUE(Database!$A293),"0")&amp;" HK Equity","CUR_MKT_CAP",Database!$H293,Database!$H293)</f>
        <v/>
      </c>
      <c r="N293" s="166">
        <f>Database!Q293</f>
        <v/>
      </c>
      <c r="O293" s="39">
        <f>BDH(TEXT(VALUE(Database!$A293),"0")&amp;" HK Equity","PE_RATIO",Database!$H293,Database!$H293)</f>
        <v/>
      </c>
      <c r="P293" s="199">
        <f>IF(Database!BH293="","(n/m or not derivable)",Database!BH293)</f>
        <v/>
      </c>
      <c r="Q293" s="39">
        <f>IF(Database!BN293="","",BDH(LEFT(Database!BN293,FIND(".",Database!BN293)-1)&amp;" CH Equity","PE_RATIO",Database!$H293,Database!$H293))</f>
        <v/>
      </c>
      <c r="R293" s="39">
        <f>IF(Database!BN293="","",BDH("HSAHP Index","PX_LAST",Database!$H293,Database!$H293))</f>
        <v/>
      </c>
      <c r="S293" s="39">
        <f>IFERROR(BDP(TEXT(VALUE(Database!$A293),"0")&amp;" HK Equity","PX_TO_SALES_RATIO"),"")</f>
        <v/>
      </c>
      <c r="T293" s="34">
        <f>IF(Database!BN293="","",IFERROR(BDP(LEFT(Database!BN293,FIND(".",Database!BN293)-1)&amp;" CH Equity","CUR_MKT_CAP")*BDP("CNYHKD Curncy","PX_LAST"),"Awaiting quote"))</f>
        <v/>
      </c>
    </row>
    <row r="294" ht="23" customHeight="1">
      <c r="A294" s="32">
        <f>Database!A294&amp;"  "&amp;Database!B294</f>
        <v/>
      </c>
      <c r="B294" s="24">
        <f>IFERROR(INDEX(BDS(TEXT(VALUE(Database!$A294),"0")&amp;" HK Equity","EQUITY_OFFERINGS","array=t","endcol=1"),MATCH("IPO",BDS(TEXT(VALUE(Database!$A294),"0")&amp;" HK Equity","EQUITY_OFFERINGS","array=t","startcol=2","endcol=2"),0)),"")</f>
        <v/>
      </c>
      <c r="C294" s="208">
        <f>IF($B294="","",IFERROR(BDP($B294&amp;" Action","CP036"),""))</f>
        <v/>
      </c>
      <c r="D294" s="209">
        <f>Database!S294</f>
        <v/>
      </c>
      <c r="E294" s="208">
        <f>IF($B294="","",IFERROR(BDP($B294&amp;" Action","CP037"),""))</f>
        <v/>
      </c>
      <c r="F294" s="209">
        <f>Database!T294</f>
        <v/>
      </c>
      <c r="G294" s="208">
        <f>IF($B294="","",IFERROR(BDP($B294&amp;" Action","GREENSHOE_FACILITY"),""))</f>
        <v/>
      </c>
      <c r="H294" s="208">
        <f>IF($B294="","",IFERROR(BDP($B294&amp;" Action","OFFERING_GREENSHOE_SHARES_EX"),""))</f>
        <v/>
      </c>
      <c r="I294" s="32">
        <f>Database!AE294</f>
        <v/>
      </c>
      <c r="J294" s="39">
        <f>IFERROR(BDP(TEXT(VALUE(Database!$A294),"0")&amp;" HK Equity","PE_RATIO"),"")</f>
        <v/>
      </c>
      <c r="K294" s="24">
        <f>IFERROR(BDP(TEXT(VALUE(Database!$A294),"0")&amp;" HK Equity","A/H_SHARE_CONVERSION"),"")</f>
        <v/>
      </c>
      <c r="L294" s="32">
        <f>IF(Database!BN294="","(none found)",Database!BN294)</f>
        <v/>
      </c>
      <c r="M294" s="34">
        <f>BDH(TEXT(VALUE(Database!$A294),"0")&amp;" HK Equity","CUR_MKT_CAP",Database!$H294,Database!$H294)</f>
        <v/>
      </c>
      <c r="N294" s="166">
        <f>Database!Q294</f>
        <v/>
      </c>
      <c r="O294" s="39">
        <f>BDH(TEXT(VALUE(Database!$A294),"0")&amp;" HK Equity","PE_RATIO",Database!$H294,Database!$H294)</f>
        <v/>
      </c>
      <c r="P294" s="199">
        <f>IF(Database!BH294="","(n/m or not derivable)",Database!BH294)</f>
        <v/>
      </c>
      <c r="Q294" s="39">
        <f>IF(Database!BN294="","",BDH(LEFT(Database!BN294,FIND(".",Database!BN294)-1)&amp;" CH Equity","PE_RATIO",Database!$H294,Database!$H294))</f>
        <v/>
      </c>
      <c r="R294" s="39">
        <f>IF(Database!BN294="","",BDH("HSAHP Index","PX_LAST",Database!$H294,Database!$H294))</f>
        <v/>
      </c>
      <c r="S294" s="39">
        <f>IFERROR(BDP(TEXT(VALUE(Database!$A294),"0")&amp;" HK Equity","PX_TO_SALES_RATIO"),"")</f>
        <v/>
      </c>
      <c r="T294" s="34">
        <f>IF(Database!BN294="","",IFERROR(BDP(LEFT(Database!BN294,FIND(".",Database!BN294)-1)&amp;" CH Equity","CUR_MKT_CAP")*BDP("CNYHKD Curncy","PX_LAST"),"Awaiting quote"))</f>
        <v/>
      </c>
    </row>
    <row r="295" ht="23" customHeight="1">
      <c r="A295" s="32">
        <f>Database!A295&amp;"  "&amp;Database!B295</f>
        <v/>
      </c>
      <c r="B295" s="24">
        <f>IFERROR(INDEX(BDS(TEXT(VALUE(Database!$A295),"0")&amp;" HK Equity","EQUITY_OFFERINGS","array=t","endcol=1"),MATCH("IPO",BDS(TEXT(VALUE(Database!$A295),"0")&amp;" HK Equity","EQUITY_OFFERINGS","array=t","startcol=2","endcol=2"),0)),"")</f>
        <v/>
      </c>
      <c r="C295" s="208">
        <f>IF($B295="","",IFERROR(BDP($B295&amp;" Action","CP036"),""))</f>
        <v/>
      </c>
      <c r="D295" s="209">
        <f>Database!S295</f>
        <v/>
      </c>
      <c r="E295" s="208">
        <f>IF($B295="","",IFERROR(BDP($B295&amp;" Action","CP037"),""))</f>
        <v/>
      </c>
      <c r="F295" s="209">
        <f>Database!T295</f>
        <v/>
      </c>
      <c r="G295" s="208">
        <f>IF($B295="","",IFERROR(BDP($B295&amp;" Action","GREENSHOE_FACILITY"),""))</f>
        <v/>
      </c>
      <c r="H295" s="208">
        <f>IF($B295="","",IFERROR(BDP($B295&amp;" Action","OFFERING_GREENSHOE_SHARES_EX"),""))</f>
        <v/>
      </c>
      <c r="I295" s="32">
        <f>Database!AE295</f>
        <v/>
      </c>
      <c r="J295" s="39">
        <f>IFERROR(BDP(TEXT(VALUE(Database!$A295),"0")&amp;" HK Equity","PE_RATIO"),"")</f>
        <v/>
      </c>
      <c r="K295" s="24">
        <f>IFERROR(BDP(TEXT(VALUE(Database!$A295),"0")&amp;" HK Equity","A/H_SHARE_CONVERSION"),"")</f>
        <v/>
      </c>
      <c r="L295" s="32">
        <f>IF(Database!BN295="","(none found)",Database!BN295)</f>
        <v/>
      </c>
      <c r="M295" s="34">
        <f>BDH(TEXT(VALUE(Database!$A295),"0")&amp;" HK Equity","CUR_MKT_CAP",Database!$H295,Database!$H295)</f>
        <v/>
      </c>
      <c r="N295" s="166">
        <f>Database!Q295</f>
        <v/>
      </c>
      <c r="O295" s="39">
        <f>BDH(TEXT(VALUE(Database!$A295),"0")&amp;" HK Equity","PE_RATIO",Database!$H295,Database!$H295)</f>
        <v/>
      </c>
      <c r="P295" s="199">
        <f>IF(Database!BH295="","(n/m or not derivable)",Database!BH295)</f>
        <v/>
      </c>
      <c r="Q295" s="39">
        <f>IF(Database!BN295="","",BDH(LEFT(Database!BN295,FIND(".",Database!BN295)-1)&amp;" CH Equity","PE_RATIO",Database!$H295,Database!$H295))</f>
        <v/>
      </c>
      <c r="R295" s="39">
        <f>IF(Database!BN295="","",BDH("HSAHP Index","PX_LAST",Database!$H295,Database!$H295))</f>
        <v/>
      </c>
      <c r="S295" s="39">
        <f>IFERROR(BDP(TEXT(VALUE(Database!$A295),"0")&amp;" HK Equity","PX_TO_SALES_RATIO"),"")</f>
        <v/>
      </c>
      <c r="T295" s="34">
        <f>IF(Database!BN295="","",IFERROR(BDP(LEFT(Database!BN295,FIND(".",Database!BN295)-1)&amp;" CH Equity","CUR_MKT_CAP")*BDP("CNYHKD Curncy","PX_LAST"),"Awaiting quote"))</f>
        <v/>
      </c>
    </row>
    <row r="296" ht="23" customHeight="1">
      <c r="A296" s="32">
        <f>Database!A296&amp;"  "&amp;Database!B296</f>
        <v/>
      </c>
      <c r="B296" s="24">
        <f>IFERROR(INDEX(BDS(TEXT(VALUE(Database!$A296),"0")&amp;" HK Equity","EQUITY_OFFERINGS","array=t","endcol=1"),MATCH("IPO",BDS(TEXT(VALUE(Database!$A296),"0")&amp;" HK Equity","EQUITY_OFFERINGS","array=t","startcol=2","endcol=2"),0)),"")</f>
        <v/>
      </c>
      <c r="C296" s="208">
        <f>IF($B296="","",IFERROR(BDP($B296&amp;" Action","CP036"),""))</f>
        <v/>
      </c>
      <c r="D296" s="209">
        <f>Database!S296</f>
        <v/>
      </c>
      <c r="E296" s="208">
        <f>IF($B296="","",IFERROR(BDP($B296&amp;" Action","CP037"),""))</f>
        <v/>
      </c>
      <c r="F296" s="209">
        <f>Database!T296</f>
        <v/>
      </c>
      <c r="G296" s="208">
        <f>IF($B296="","",IFERROR(BDP($B296&amp;" Action","GREENSHOE_FACILITY"),""))</f>
        <v/>
      </c>
      <c r="H296" s="208">
        <f>IF($B296="","",IFERROR(BDP($B296&amp;" Action","OFFERING_GREENSHOE_SHARES_EX"),""))</f>
        <v/>
      </c>
      <c r="I296" s="32">
        <f>Database!AE296</f>
        <v/>
      </c>
      <c r="J296" s="39">
        <f>IFERROR(BDP(TEXT(VALUE(Database!$A296),"0")&amp;" HK Equity","PE_RATIO"),"")</f>
        <v/>
      </c>
      <c r="K296" s="24">
        <f>IFERROR(BDP(TEXT(VALUE(Database!$A296),"0")&amp;" HK Equity","A/H_SHARE_CONVERSION"),"")</f>
        <v/>
      </c>
      <c r="L296" s="32">
        <f>IF(Database!BN296="","(none found)",Database!BN296)</f>
        <v/>
      </c>
      <c r="M296" s="34">
        <f>BDH(TEXT(VALUE(Database!$A296),"0")&amp;" HK Equity","CUR_MKT_CAP",Database!$H296,Database!$H296)</f>
        <v/>
      </c>
      <c r="N296" s="166">
        <f>Database!Q296</f>
        <v/>
      </c>
      <c r="O296" s="39">
        <f>BDH(TEXT(VALUE(Database!$A296),"0")&amp;" HK Equity","PE_RATIO",Database!$H296,Database!$H296)</f>
        <v/>
      </c>
      <c r="P296" s="199">
        <f>IF(Database!BH296="","(n/m or not derivable)",Database!BH296)</f>
        <v/>
      </c>
      <c r="Q296" s="39">
        <f>IF(Database!BN296="","",BDH(LEFT(Database!BN296,FIND(".",Database!BN296)-1)&amp;" CH Equity","PE_RATIO",Database!$H296,Database!$H296))</f>
        <v/>
      </c>
      <c r="R296" s="39">
        <f>IF(Database!BN296="","",BDH("HSAHP Index","PX_LAST",Database!$H296,Database!$H296))</f>
        <v/>
      </c>
      <c r="S296" s="39">
        <f>IFERROR(BDP(TEXT(VALUE(Database!$A296),"0")&amp;" HK Equity","PX_TO_SALES_RATIO"),"")</f>
        <v/>
      </c>
      <c r="T296" s="34">
        <f>IF(Database!BN296="","",IFERROR(BDP(LEFT(Database!BN296,FIND(".",Database!BN296)-1)&amp;" CH Equity","CUR_MKT_CAP")*BDP("CNYHKD Curncy","PX_LAST"),"Awaiting quote"))</f>
        <v/>
      </c>
    </row>
    <row r="297" ht="23" customHeight="1">
      <c r="A297" s="32">
        <f>Database!A297&amp;"  "&amp;Database!B297</f>
        <v/>
      </c>
      <c r="B297" s="24">
        <f>IFERROR(INDEX(BDS(TEXT(VALUE(Database!$A297),"0")&amp;" HK Equity","EQUITY_OFFERINGS","array=t","endcol=1"),MATCH("IPO",BDS(TEXT(VALUE(Database!$A297),"0")&amp;" HK Equity","EQUITY_OFFERINGS","array=t","startcol=2","endcol=2"),0)),"")</f>
        <v/>
      </c>
      <c r="C297" s="208">
        <f>IF($B297="","",IFERROR(BDP($B297&amp;" Action","CP036"),""))</f>
        <v/>
      </c>
      <c r="D297" s="209">
        <f>Database!S297</f>
        <v/>
      </c>
      <c r="E297" s="208">
        <f>IF($B297="","",IFERROR(BDP($B297&amp;" Action","CP037"),""))</f>
        <v/>
      </c>
      <c r="F297" s="209">
        <f>Database!T297</f>
        <v/>
      </c>
      <c r="G297" s="208">
        <f>IF($B297="","",IFERROR(BDP($B297&amp;" Action","GREENSHOE_FACILITY"),""))</f>
        <v/>
      </c>
      <c r="H297" s="208">
        <f>IF($B297="","",IFERROR(BDP($B297&amp;" Action","OFFERING_GREENSHOE_SHARES_EX"),""))</f>
        <v/>
      </c>
      <c r="I297" s="32">
        <f>Database!AE297</f>
        <v/>
      </c>
      <c r="J297" s="39">
        <f>IFERROR(BDP(TEXT(VALUE(Database!$A297),"0")&amp;" HK Equity","PE_RATIO"),"")</f>
        <v/>
      </c>
      <c r="K297" s="24">
        <f>IFERROR(BDP(TEXT(VALUE(Database!$A297),"0")&amp;" HK Equity","A/H_SHARE_CONVERSION"),"")</f>
        <v/>
      </c>
      <c r="L297" s="32">
        <f>IF(Database!BN297="","(none found)",Database!BN297)</f>
        <v/>
      </c>
      <c r="M297" s="34">
        <f>BDH(TEXT(VALUE(Database!$A297),"0")&amp;" HK Equity","CUR_MKT_CAP",Database!$H297,Database!$H297)</f>
        <v/>
      </c>
      <c r="N297" s="166">
        <f>Database!Q297</f>
        <v/>
      </c>
      <c r="O297" s="39">
        <f>BDH(TEXT(VALUE(Database!$A297),"0")&amp;" HK Equity","PE_RATIO",Database!$H297,Database!$H297)</f>
        <v/>
      </c>
      <c r="P297" s="199">
        <f>IF(Database!BH297="","(n/m or not derivable)",Database!BH297)</f>
        <v/>
      </c>
      <c r="Q297" s="39">
        <f>IF(Database!BN297="","",BDH(LEFT(Database!BN297,FIND(".",Database!BN297)-1)&amp;" CH Equity","PE_RATIO",Database!$H297,Database!$H297))</f>
        <v/>
      </c>
      <c r="R297" s="39">
        <f>IF(Database!BN297="","",BDH("HSAHP Index","PX_LAST",Database!$H297,Database!$H297))</f>
        <v/>
      </c>
      <c r="S297" s="39">
        <f>IFERROR(BDP(TEXT(VALUE(Database!$A297),"0")&amp;" HK Equity","PX_TO_SALES_RATIO"),"")</f>
        <v/>
      </c>
      <c r="T297" s="34">
        <f>IF(Database!BN297="","",IFERROR(BDP(LEFT(Database!BN297,FIND(".",Database!BN297)-1)&amp;" CH Equity","CUR_MKT_CAP")*BDP("CNYHKD Curncy","PX_LAST"),"Awaiting quote"))</f>
        <v/>
      </c>
    </row>
    <row r="298" ht="23" customHeight="1">
      <c r="A298" s="32">
        <f>Database!A298&amp;"  "&amp;Database!B298</f>
        <v/>
      </c>
      <c r="B298" s="24">
        <f>IFERROR(INDEX(BDS(TEXT(VALUE(Database!$A298),"0")&amp;" HK Equity","EQUITY_OFFERINGS","array=t","endcol=1"),MATCH("IPO",BDS(TEXT(VALUE(Database!$A298),"0")&amp;" HK Equity","EQUITY_OFFERINGS","array=t","startcol=2","endcol=2"),0)),"")</f>
        <v/>
      </c>
      <c r="C298" s="208">
        <f>IF($B298="","",IFERROR(BDP($B298&amp;" Action","CP036"),""))</f>
        <v/>
      </c>
      <c r="D298" s="209">
        <f>Database!S298</f>
        <v/>
      </c>
      <c r="E298" s="208">
        <f>IF($B298="","",IFERROR(BDP($B298&amp;" Action","CP037"),""))</f>
        <v/>
      </c>
      <c r="F298" s="209">
        <f>Database!T298</f>
        <v/>
      </c>
      <c r="G298" s="208">
        <f>IF($B298="","",IFERROR(BDP($B298&amp;" Action","GREENSHOE_FACILITY"),""))</f>
        <v/>
      </c>
      <c r="H298" s="208">
        <f>IF($B298="","",IFERROR(BDP($B298&amp;" Action","OFFERING_GREENSHOE_SHARES_EX"),""))</f>
        <v/>
      </c>
      <c r="I298" s="32">
        <f>Database!AE298</f>
        <v/>
      </c>
      <c r="J298" s="39">
        <f>IFERROR(BDP(TEXT(VALUE(Database!$A298),"0")&amp;" HK Equity","PE_RATIO"),"")</f>
        <v/>
      </c>
      <c r="K298" s="24">
        <f>IFERROR(BDP(TEXT(VALUE(Database!$A298),"0")&amp;" HK Equity","A/H_SHARE_CONVERSION"),"")</f>
        <v/>
      </c>
      <c r="L298" s="32">
        <f>IF(Database!BN298="","(none found)",Database!BN298)</f>
        <v/>
      </c>
      <c r="M298" s="34">
        <f>BDH(TEXT(VALUE(Database!$A298),"0")&amp;" HK Equity","CUR_MKT_CAP",Database!$H298,Database!$H298)</f>
        <v/>
      </c>
      <c r="N298" s="166">
        <f>Database!Q298</f>
        <v/>
      </c>
      <c r="O298" s="39">
        <f>BDH(TEXT(VALUE(Database!$A298),"0")&amp;" HK Equity","PE_RATIO",Database!$H298,Database!$H298)</f>
        <v/>
      </c>
      <c r="P298" s="199">
        <f>IF(Database!BH298="","(n/m or not derivable)",Database!BH298)</f>
        <v/>
      </c>
      <c r="Q298" s="39">
        <f>IF(Database!BN298="","",BDH(LEFT(Database!BN298,FIND(".",Database!BN298)-1)&amp;" CH Equity","PE_RATIO",Database!$H298,Database!$H298))</f>
        <v/>
      </c>
      <c r="R298" s="39">
        <f>IF(Database!BN298="","",BDH("HSAHP Index","PX_LAST",Database!$H298,Database!$H298))</f>
        <v/>
      </c>
      <c r="S298" s="39">
        <f>IFERROR(BDP(TEXT(VALUE(Database!$A298),"0")&amp;" HK Equity","PX_TO_SALES_RATIO"),"")</f>
        <v/>
      </c>
      <c r="T298" s="34">
        <f>IF(Database!BN298="","",IFERROR(BDP(LEFT(Database!BN298,FIND(".",Database!BN298)-1)&amp;" CH Equity","CUR_MKT_CAP")*BDP("CNYHKD Curncy","PX_LAST"),"Awaiting quote"))</f>
        <v/>
      </c>
    </row>
    <row r="299" ht="23" customHeight="1">
      <c r="A299" s="32">
        <f>Database!A299&amp;"  "&amp;Database!B299</f>
        <v/>
      </c>
      <c r="B299" s="24">
        <f>IFERROR(INDEX(BDS(TEXT(VALUE(Database!$A299),"0")&amp;" HK Equity","EQUITY_OFFERINGS","array=t","endcol=1"),MATCH("IPO",BDS(TEXT(VALUE(Database!$A299),"0")&amp;" HK Equity","EQUITY_OFFERINGS","array=t","startcol=2","endcol=2"),0)),"")</f>
        <v/>
      </c>
      <c r="C299" s="208">
        <f>IF($B299="","",IFERROR(BDP($B299&amp;" Action","CP036"),""))</f>
        <v/>
      </c>
      <c r="D299" s="209">
        <f>Database!S299</f>
        <v/>
      </c>
      <c r="E299" s="208">
        <f>IF($B299="","",IFERROR(BDP($B299&amp;" Action","CP037"),""))</f>
        <v/>
      </c>
      <c r="F299" s="209">
        <f>Database!T299</f>
        <v/>
      </c>
      <c r="G299" s="208">
        <f>IF($B299="","",IFERROR(BDP($B299&amp;" Action","GREENSHOE_FACILITY"),""))</f>
        <v/>
      </c>
      <c r="H299" s="208">
        <f>IF($B299="","",IFERROR(BDP($B299&amp;" Action","OFFERING_GREENSHOE_SHARES_EX"),""))</f>
        <v/>
      </c>
      <c r="I299" s="32">
        <f>Database!AE299</f>
        <v/>
      </c>
      <c r="J299" s="39">
        <f>IFERROR(BDP(TEXT(VALUE(Database!$A299),"0")&amp;" HK Equity","PE_RATIO"),"")</f>
        <v/>
      </c>
      <c r="K299" s="24">
        <f>IFERROR(BDP(TEXT(VALUE(Database!$A299),"0")&amp;" HK Equity","A/H_SHARE_CONVERSION"),"")</f>
        <v/>
      </c>
      <c r="L299" s="32">
        <f>IF(Database!BN299="","(none found)",Database!BN299)</f>
        <v/>
      </c>
      <c r="M299" s="34">
        <f>BDH(TEXT(VALUE(Database!$A299),"0")&amp;" HK Equity","CUR_MKT_CAP",Database!$H299,Database!$H299)</f>
        <v/>
      </c>
      <c r="N299" s="166">
        <f>Database!Q299</f>
        <v/>
      </c>
      <c r="O299" s="39">
        <f>BDH(TEXT(VALUE(Database!$A299),"0")&amp;" HK Equity","PE_RATIO",Database!$H299,Database!$H299)</f>
        <v/>
      </c>
      <c r="P299" s="199">
        <f>IF(Database!BH299="","(n/m or not derivable)",Database!BH299)</f>
        <v/>
      </c>
      <c r="Q299" s="39">
        <f>IF(Database!BN299="","",BDH(LEFT(Database!BN299,FIND(".",Database!BN299)-1)&amp;" CH Equity","PE_RATIO",Database!$H299,Database!$H299))</f>
        <v/>
      </c>
      <c r="R299" s="39">
        <f>IF(Database!BN299="","",BDH("HSAHP Index","PX_LAST",Database!$H299,Database!$H299))</f>
        <v/>
      </c>
      <c r="S299" s="39">
        <f>IFERROR(BDP(TEXT(VALUE(Database!$A299),"0")&amp;" HK Equity","PX_TO_SALES_RATIO"),"")</f>
        <v/>
      </c>
      <c r="T299" s="34">
        <f>IF(Database!BN299="","",IFERROR(BDP(LEFT(Database!BN299,FIND(".",Database!BN299)-1)&amp;" CH Equity","CUR_MKT_CAP")*BDP("CNYHKD Curncy","PX_LAST"),"Awaiting quote"))</f>
        <v/>
      </c>
    </row>
    <row r="300" ht="23" customHeight="1">
      <c r="A300" s="32">
        <f>Database!A300&amp;"  "&amp;Database!B300</f>
        <v/>
      </c>
      <c r="B300" s="24">
        <f>IFERROR(INDEX(BDS(TEXT(VALUE(Database!$A300),"0")&amp;" HK Equity","EQUITY_OFFERINGS","array=t","endcol=1"),MATCH("IPO",BDS(TEXT(VALUE(Database!$A300),"0")&amp;" HK Equity","EQUITY_OFFERINGS","array=t","startcol=2","endcol=2"),0)),"")</f>
        <v/>
      </c>
      <c r="C300" s="208">
        <f>IF($B300="","",IFERROR(BDP($B300&amp;" Action","CP036"),""))</f>
        <v/>
      </c>
      <c r="D300" s="209">
        <f>Database!S300</f>
        <v/>
      </c>
      <c r="E300" s="208">
        <f>IF($B300="","",IFERROR(BDP($B300&amp;" Action","CP037"),""))</f>
        <v/>
      </c>
      <c r="F300" s="209">
        <f>Database!T300</f>
        <v/>
      </c>
      <c r="G300" s="208">
        <f>IF($B300="","",IFERROR(BDP($B300&amp;" Action","GREENSHOE_FACILITY"),""))</f>
        <v/>
      </c>
      <c r="H300" s="208">
        <f>IF($B300="","",IFERROR(BDP($B300&amp;" Action","OFFERING_GREENSHOE_SHARES_EX"),""))</f>
        <v/>
      </c>
      <c r="I300" s="32">
        <f>Database!AE300</f>
        <v/>
      </c>
      <c r="J300" s="39">
        <f>IFERROR(BDP(TEXT(VALUE(Database!$A300),"0")&amp;" HK Equity","PE_RATIO"),"")</f>
        <v/>
      </c>
      <c r="K300" s="24">
        <f>IFERROR(BDP(TEXT(VALUE(Database!$A300),"0")&amp;" HK Equity","A/H_SHARE_CONVERSION"),"")</f>
        <v/>
      </c>
      <c r="L300" s="32">
        <f>IF(Database!BN300="","(none found)",Database!BN300)</f>
        <v/>
      </c>
      <c r="M300" s="34">
        <f>BDH(TEXT(VALUE(Database!$A300),"0")&amp;" HK Equity","CUR_MKT_CAP",Database!$H300,Database!$H300)</f>
        <v/>
      </c>
      <c r="N300" s="166">
        <f>Database!Q300</f>
        <v/>
      </c>
      <c r="O300" s="39">
        <f>BDH(TEXT(VALUE(Database!$A300),"0")&amp;" HK Equity","PE_RATIO",Database!$H300,Database!$H300)</f>
        <v/>
      </c>
      <c r="P300" s="199">
        <f>IF(Database!BH300="","(n/m or not derivable)",Database!BH300)</f>
        <v/>
      </c>
      <c r="Q300" s="39">
        <f>IF(Database!BN300="","",BDH(LEFT(Database!BN300,FIND(".",Database!BN300)-1)&amp;" CH Equity","PE_RATIO",Database!$H300,Database!$H300))</f>
        <v/>
      </c>
      <c r="R300" s="39">
        <f>IF(Database!BN300="","",BDH("HSAHP Index","PX_LAST",Database!$H300,Database!$H300))</f>
        <v/>
      </c>
      <c r="S300" s="39">
        <f>IFERROR(BDP(TEXT(VALUE(Database!$A300),"0")&amp;" HK Equity","PX_TO_SALES_RATIO"),"")</f>
        <v/>
      </c>
      <c r="T300" s="34">
        <f>IF(Database!BN300="","",IFERROR(BDP(LEFT(Database!BN300,FIND(".",Database!BN300)-1)&amp;" CH Equity","CUR_MKT_CAP")*BDP("CNYHKD Curncy","PX_LAST"),"Awaiting quote"))</f>
        <v/>
      </c>
    </row>
    <row r="301" ht="23" customHeight="1">
      <c r="A301" s="32">
        <f>Database!A301&amp;"  "&amp;Database!B301</f>
        <v/>
      </c>
      <c r="B301" s="24">
        <f>IFERROR(INDEX(BDS(TEXT(VALUE(Database!$A301),"0")&amp;" HK Equity","EQUITY_OFFERINGS","array=t","endcol=1"),MATCH("IPO",BDS(TEXT(VALUE(Database!$A301),"0")&amp;" HK Equity","EQUITY_OFFERINGS","array=t","startcol=2","endcol=2"),0)),"")</f>
        <v/>
      </c>
      <c r="C301" s="208">
        <f>IF($B301="","",IFERROR(BDP($B301&amp;" Action","CP036"),""))</f>
        <v/>
      </c>
      <c r="D301" s="209">
        <f>Database!S301</f>
        <v/>
      </c>
      <c r="E301" s="208">
        <f>IF($B301="","",IFERROR(BDP($B301&amp;" Action","CP037"),""))</f>
        <v/>
      </c>
      <c r="F301" s="209">
        <f>Database!T301</f>
        <v/>
      </c>
      <c r="G301" s="208">
        <f>IF($B301="","",IFERROR(BDP($B301&amp;" Action","GREENSHOE_FACILITY"),""))</f>
        <v/>
      </c>
      <c r="H301" s="208">
        <f>IF($B301="","",IFERROR(BDP($B301&amp;" Action","OFFERING_GREENSHOE_SHARES_EX"),""))</f>
        <v/>
      </c>
      <c r="I301" s="32">
        <f>Database!AE301</f>
        <v/>
      </c>
      <c r="J301" s="39">
        <f>IFERROR(BDP(TEXT(VALUE(Database!$A301),"0")&amp;" HK Equity","PE_RATIO"),"")</f>
        <v/>
      </c>
      <c r="K301" s="24">
        <f>IFERROR(BDP(TEXT(VALUE(Database!$A301),"0")&amp;" HK Equity","A/H_SHARE_CONVERSION"),"")</f>
        <v/>
      </c>
      <c r="L301" s="32">
        <f>IF(Database!BN301="","(none found)",Database!BN301)</f>
        <v/>
      </c>
      <c r="M301" s="34">
        <f>BDH(TEXT(VALUE(Database!$A301),"0")&amp;" HK Equity","CUR_MKT_CAP",Database!$H301,Database!$H301)</f>
        <v/>
      </c>
      <c r="N301" s="166">
        <f>Database!Q301</f>
        <v/>
      </c>
      <c r="O301" s="39">
        <f>BDH(TEXT(VALUE(Database!$A301),"0")&amp;" HK Equity","PE_RATIO",Database!$H301,Database!$H301)</f>
        <v/>
      </c>
      <c r="P301" s="199">
        <f>IF(Database!BH301="","(n/m or not derivable)",Database!BH301)</f>
        <v/>
      </c>
      <c r="Q301" s="39">
        <f>IF(Database!BN301="","",BDH(LEFT(Database!BN301,FIND(".",Database!BN301)-1)&amp;" CH Equity","PE_RATIO",Database!$H301,Database!$H301))</f>
        <v/>
      </c>
      <c r="R301" s="39">
        <f>IF(Database!BN301="","",BDH("HSAHP Index","PX_LAST",Database!$H301,Database!$H301))</f>
        <v/>
      </c>
      <c r="S301" s="39">
        <f>IFERROR(BDP(TEXT(VALUE(Database!$A301),"0")&amp;" HK Equity","PX_TO_SALES_RATIO"),"")</f>
        <v/>
      </c>
      <c r="T301" s="34">
        <f>IF(Database!BN301="","",IFERROR(BDP(LEFT(Database!BN301,FIND(".",Database!BN301)-1)&amp;" CH Equity","CUR_MKT_CAP")*BDP("CNYHKD Curncy","PX_LAST"),"Awaiting quote"))</f>
        <v/>
      </c>
    </row>
    <row r="302" ht="23" customHeight="1">
      <c r="A302" s="32">
        <f>Database!A302&amp;"  "&amp;Database!B302</f>
        <v/>
      </c>
      <c r="B302" s="24">
        <f>IFERROR(INDEX(BDS(TEXT(VALUE(Database!$A302),"0")&amp;" HK Equity","EQUITY_OFFERINGS","array=t","endcol=1"),MATCH("IPO",BDS(TEXT(VALUE(Database!$A302),"0")&amp;" HK Equity","EQUITY_OFFERINGS","array=t","startcol=2","endcol=2"),0)),"")</f>
        <v/>
      </c>
      <c r="C302" s="208">
        <f>IF($B302="","",IFERROR(BDP($B302&amp;" Action","CP036"),""))</f>
        <v/>
      </c>
      <c r="D302" s="209">
        <f>Database!S302</f>
        <v/>
      </c>
      <c r="E302" s="208">
        <f>IF($B302="","",IFERROR(BDP($B302&amp;" Action","CP037"),""))</f>
        <v/>
      </c>
      <c r="F302" s="209">
        <f>Database!T302</f>
        <v/>
      </c>
      <c r="G302" s="208">
        <f>IF($B302="","",IFERROR(BDP($B302&amp;" Action","GREENSHOE_FACILITY"),""))</f>
        <v/>
      </c>
      <c r="H302" s="208">
        <f>IF($B302="","",IFERROR(BDP($B302&amp;" Action","OFFERING_GREENSHOE_SHARES_EX"),""))</f>
        <v/>
      </c>
      <c r="I302" s="32">
        <f>Database!AE302</f>
        <v/>
      </c>
      <c r="J302" s="39">
        <f>IFERROR(BDP(TEXT(VALUE(Database!$A302),"0")&amp;" HK Equity","PE_RATIO"),"")</f>
        <v/>
      </c>
      <c r="K302" s="24">
        <f>IFERROR(BDP(TEXT(VALUE(Database!$A302),"0")&amp;" HK Equity","A/H_SHARE_CONVERSION"),"")</f>
        <v/>
      </c>
      <c r="L302" s="32">
        <f>IF(Database!BN302="","(none found)",Database!BN302)</f>
        <v/>
      </c>
      <c r="M302" s="34">
        <f>BDH(TEXT(VALUE(Database!$A302),"0")&amp;" HK Equity","CUR_MKT_CAP",Database!$H302,Database!$H302)</f>
        <v/>
      </c>
      <c r="N302" s="166">
        <f>Database!Q302</f>
        <v/>
      </c>
      <c r="O302" s="39">
        <f>BDH(TEXT(VALUE(Database!$A302),"0")&amp;" HK Equity","PE_RATIO",Database!$H302,Database!$H302)</f>
        <v/>
      </c>
      <c r="P302" s="199">
        <f>IF(Database!BH302="","(n/m or not derivable)",Database!BH302)</f>
        <v/>
      </c>
      <c r="Q302" s="39">
        <f>IF(Database!BN302="","",BDH(LEFT(Database!BN302,FIND(".",Database!BN302)-1)&amp;" CH Equity","PE_RATIO",Database!$H302,Database!$H302))</f>
        <v/>
      </c>
      <c r="R302" s="39">
        <f>IF(Database!BN302="","",BDH("HSAHP Index","PX_LAST",Database!$H302,Database!$H302))</f>
        <v/>
      </c>
      <c r="S302" s="39">
        <f>IFERROR(BDP(TEXT(VALUE(Database!$A302),"0")&amp;" HK Equity","PX_TO_SALES_RATIO"),"")</f>
        <v/>
      </c>
      <c r="T302" s="34">
        <f>IF(Database!BN302="","",IFERROR(BDP(LEFT(Database!BN302,FIND(".",Database!BN302)-1)&amp;" CH Equity","CUR_MKT_CAP")*BDP("CNYHKD Curncy","PX_LAST"),"Awaiting quote"))</f>
        <v/>
      </c>
    </row>
    <row r="303" ht="23" customHeight="1">
      <c r="A303" s="32">
        <f>Database!A303&amp;"  "&amp;Database!B303</f>
        <v/>
      </c>
      <c r="B303" s="24">
        <f>IFERROR(INDEX(BDS(TEXT(VALUE(Database!$A303),"0")&amp;" HK Equity","EQUITY_OFFERINGS","array=t","endcol=1"),MATCH("IPO",BDS(TEXT(VALUE(Database!$A303),"0")&amp;" HK Equity","EQUITY_OFFERINGS","array=t","startcol=2","endcol=2"),0)),"")</f>
        <v/>
      </c>
      <c r="C303" s="208">
        <f>IF($B303="","",IFERROR(BDP($B303&amp;" Action","CP036"),""))</f>
        <v/>
      </c>
      <c r="D303" s="209">
        <f>Database!S303</f>
        <v/>
      </c>
      <c r="E303" s="208">
        <f>IF($B303="","",IFERROR(BDP($B303&amp;" Action","CP037"),""))</f>
        <v/>
      </c>
      <c r="F303" s="209">
        <f>Database!T303</f>
        <v/>
      </c>
      <c r="G303" s="208">
        <f>IF($B303="","",IFERROR(BDP($B303&amp;" Action","GREENSHOE_FACILITY"),""))</f>
        <v/>
      </c>
      <c r="H303" s="208">
        <f>IF($B303="","",IFERROR(BDP($B303&amp;" Action","OFFERING_GREENSHOE_SHARES_EX"),""))</f>
        <v/>
      </c>
      <c r="I303" s="32">
        <f>Database!AE303</f>
        <v/>
      </c>
      <c r="J303" s="39">
        <f>IFERROR(BDP(TEXT(VALUE(Database!$A303),"0")&amp;" HK Equity","PE_RATIO"),"")</f>
        <v/>
      </c>
      <c r="K303" s="24">
        <f>IFERROR(BDP(TEXT(VALUE(Database!$A303),"0")&amp;" HK Equity","A/H_SHARE_CONVERSION"),"")</f>
        <v/>
      </c>
      <c r="L303" s="32">
        <f>IF(Database!BN303="","(none found)",Database!BN303)</f>
        <v/>
      </c>
      <c r="M303" s="34">
        <f>BDH(TEXT(VALUE(Database!$A303),"0")&amp;" HK Equity","CUR_MKT_CAP",Database!$H303,Database!$H303)</f>
        <v/>
      </c>
      <c r="N303" s="166">
        <f>Database!Q303</f>
        <v/>
      </c>
      <c r="O303" s="39">
        <f>BDH(TEXT(VALUE(Database!$A303),"0")&amp;" HK Equity","PE_RATIO",Database!$H303,Database!$H303)</f>
        <v/>
      </c>
      <c r="P303" s="199">
        <f>IF(Database!BH303="","(n/m or not derivable)",Database!BH303)</f>
        <v/>
      </c>
      <c r="Q303" s="39">
        <f>IF(Database!BN303="","",BDH(LEFT(Database!BN303,FIND(".",Database!BN303)-1)&amp;" CH Equity","PE_RATIO",Database!$H303,Database!$H303))</f>
        <v/>
      </c>
      <c r="R303" s="39">
        <f>IF(Database!BN303="","",BDH("HSAHP Index","PX_LAST",Database!$H303,Database!$H303))</f>
        <v/>
      </c>
      <c r="S303" s="39">
        <f>IFERROR(BDP(TEXT(VALUE(Database!$A303),"0")&amp;" HK Equity","PX_TO_SALES_RATIO"),"")</f>
        <v/>
      </c>
      <c r="T303" s="34">
        <f>IF(Database!BN303="","",IFERROR(BDP(LEFT(Database!BN303,FIND(".",Database!BN303)-1)&amp;" CH Equity","CUR_MKT_CAP")*BDP("CNYHKD Curncy","PX_LAST"),"Awaiting quote"))</f>
        <v/>
      </c>
    </row>
    <row r="304" ht="23" customHeight="1">
      <c r="A304" s="32">
        <f>Database!A304&amp;"  "&amp;Database!B304</f>
        <v/>
      </c>
      <c r="B304" s="24">
        <f>IFERROR(INDEX(BDS(TEXT(VALUE(Database!$A304),"0")&amp;" HK Equity","EQUITY_OFFERINGS","array=t","endcol=1"),MATCH("IPO",BDS(TEXT(VALUE(Database!$A304),"0")&amp;" HK Equity","EQUITY_OFFERINGS","array=t","startcol=2","endcol=2"),0)),"")</f>
        <v/>
      </c>
      <c r="C304" s="208">
        <f>IF($B304="","",IFERROR(BDP($B304&amp;" Action","CP036"),""))</f>
        <v/>
      </c>
      <c r="D304" s="209">
        <f>Database!S304</f>
        <v/>
      </c>
      <c r="E304" s="208">
        <f>IF($B304="","",IFERROR(BDP($B304&amp;" Action","CP037"),""))</f>
        <v/>
      </c>
      <c r="F304" s="209">
        <f>Database!T304</f>
        <v/>
      </c>
      <c r="G304" s="208">
        <f>IF($B304="","",IFERROR(BDP($B304&amp;" Action","GREENSHOE_FACILITY"),""))</f>
        <v/>
      </c>
      <c r="H304" s="208">
        <f>IF($B304="","",IFERROR(BDP($B304&amp;" Action","OFFERING_GREENSHOE_SHARES_EX"),""))</f>
        <v/>
      </c>
      <c r="I304" s="32">
        <f>Database!AE304</f>
        <v/>
      </c>
      <c r="J304" s="39">
        <f>IFERROR(BDP(TEXT(VALUE(Database!$A304),"0")&amp;" HK Equity","PE_RATIO"),"")</f>
        <v/>
      </c>
      <c r="K304" s="24">
        <f>IFERROR(BDP(TEXT(VALUE(Database!$A304),"0")&amp;" HK Equity","A/H_SHARE_CONVERSION"),"")</f>
        <v/>
      </c>
      <c r="L304" s="32">
        <f>IF(Database!BN304="","(none found)",Database!BN304)</f>
        <v/>
      </c>
      <c r="M304" s="34">
        <f>BDH(TEXT(VALUE(Database!$A304),"0")&amp;" HK Equity","CUR_MKT_CAP",Database!$H304,Database!$H304)</f>
        <v/>
      </c>
      <c r="N304" s="166">
        <f>Database!Q304</f>
        <v/>
      </c>
      <c r="O304" s="39">
        <f>BDH(TEXT(VALUE(Database!$A304),"0")&amp;" HK Equity","PE_RATIO",Database!$H304,Database!$H304)</f>
        <v/>
      </c>
      <c r="P304" s="199">
        <f>IF(Database!BH304="","(n/m or not derivable)",Database!BH304)</f>
        <v/>
      </c>
      <c r="Q304" s="39">
        <f>IF(Database!BN304="","",BDH(LEFT(Database!BN304,FIND(".",Database!BN304)-1)&amp;" CH Equity","PE_RATIO",Database!$H304,Database!$H304))</f>
        <v/>
      </c>
      <c r="R304" s="39">
        <f>IF(Database!BN304="","",BDH("HSAHP Index","PX_LAST",Database!$H304,Database!$H304))</f>
        <v/>
      </c>
      <c r="S304" s="39">
        <f>IFERROR(BDP(TEXT(VALUE(Database!$A304),"0")&amp;" HK Equity","PX_TO_SALES_RATIO"),"")</f>
        <v/>
      </c>
      <c r="T304" s="34">
        <f>IF(Database!BN304="","",IFERROR(BDP(LEFT(Database!BN304,FIND(".",Database!BN304)-1)&amp;" CH Equity","CUR_MKT_CAP")*BDP("CNYHKD Curncy","PX_LAST"),"Awaiting quote"))</f>
        <v/>
      </c>
    </row>
    <row r="305" ht="23" customHeight="1">
      <c r="A305" s="32">
        <f>Database!A305&amp;"  "&amp;Database!B305</f>
        <v/>
      </c>
      <c r="B305" s="24">
        <f>IFERROR(INDEX(BDS(TEXT(VALUE(Database!$A305),"0")&amp;" HK Equity","EQUITY_OFFERINGS","array=t","endcol=1"),MATCH("IPO",BDS(TEXT(VALUE(Database!$A305),"0")&amp;" HK Equity","EQUITY_OFFERINGS","array=t","startcol=2","endcol=2"),0)),"")</f>
        <v/>
      </c>
      <c r="C305" s="208">
        <f>IF($B305="","",IFERROR(BDP($B305&amp;" Action","CP036"),""))</f>
        <v/>
      </c>
      <c r="D305" s="209">
        <f>Database!S305</f>
        <v/>
      </c>
      <c r="E305" s="208">
        <f>IF($B305="","",IFERROR(BDP($B305&amp;" Action","CP037"),""))</f>
        <v/>
      </c>
      <c r="F305" s="209">
        <f>Database!T305</f>
        <v/>
      </c>
      <c r="G305" s="208">
        <f>IF($B305="","",IFERROR(BDP($B305&amp;" Action","GREENSHOE_FACILITY"),""))</f>
        <v/>
      </c>
      <c r="H305" s="208">
        <f>IF($B305="","",IFERROR(BDP($B305&amp;" Action","OFFERING_GREENSHOE_SHARES_EX"),""))</f>
        <v/>
      </c>
      <c r="I305" s="32">
        <f>Database!AE305</f>
        <v/>
      </c>
      <c r="J305" s="39">
        <f>IFERROR(BDP(TEXT(VALUE(Database!$A305),"0")&amp;" HK Equity","PE_RATIO"),"")</f>
        <v/>
      </c>
      <c r="K305" s="24">
        <f>IFERROR(BDP(TEXT(VALUE(Database!$A305),"0")&amp;" HK Equity","A/H_SHARE_CONVERSION"),"")</f>
        <v/>
      </c>
      <c r="L305" s="32">
        <f>IF(Database!BN305="","(none found)",Database!BN305)</f>
        <v/>
      </c>
      <c r="M305" s="34">
        <f>BDH(TEXT(VALUE(Database!$A305),"0")&amp;" HK Equity","CUR_MKT_CAP",Database!$H305,Database!$H305)</f>
        <v/>
      </c>
      <c r="N305" s="166">
        <f>Database!Q305</f>
        <v/>
      </c>
      <c r="O305" s="39">
        <f>BDH(TEXT(VALUE(Database!$A305),"0")&amp;" HK Equity","PE_RATIO",Database!$H305,Database!$H305)</f>
        <v/>
      </c>
      <c r="P305" s="199">
        <f>IF(Database!BH305="","(n/m or not derivable)",Database!BH305)</f>
        <v/>
      </c>
      <c r="Q305" s="39">
        <f>IF(Database!BN305="","",BDH(LEFT(Database!BN305,FIND(".",Database!BN305)-1)&amp;" CH Equity","PE_RATIO",Database!$H305,Database!$H305))</f>
        <v/>
      </c>
      <c r="R305" s="39">
        <f>IF(Database!BN305="","",BDH("HSAHP Index","PX_LAST",Database!$H305,Database!$H305))</f>
        <v/>
      </c>
      <c r="S305" s="39">
        <f>IFERROR(BDP(TEXT(VALUE(Database!$A305),"0")&amp;" HK Equity","PX_TO_SALES_RATIO"),"")</f>
        <v/>
      </c>
      <c r="T305" s="34">
        <f>IF(Database!BN305="","",IFERROR(BDP(LEFT(Database!BN305,FIND(".",Database!BN305)-1)&amp;" CH Equity","CUR_MKT_CAP")*BDP("CNYHKD Curncy","PX_LAST"),"Awaiting quote"))</f>
        <v/>
      </c>
    </row>
    <row r="306" ht="23" customHeight="1">
      <c r="A306" s="32">
        <f>Database!A306&amp;"  "&amp;Database!B306</f>
        <v/>
      </c>
      <c r="B306" s="24">
        <f>IFERROR(INDEX(BDS(TEXT(VALUE(Database!$A306),"0")&amp;" HK Equity","EQUITY_OFFERINGS","array=t","endcol=1"),MATCH("IPO",BDS(TEXT(VALUE(Database!$A306),"0")&amp;" HK Equity","EQUITY_OFFERINGS","array=t","startcol=2","endcol=2"),0)),"")</f>
        <v/>
      </c>
      <c r="C306" s="208">
        <f>IF($B306="","",IFERROR(BDP($B306&amp;" Action","CP036"),""))</f>
        <v/>
      </c>
      <c r="D306" s="209">
        <f>Database!S306</f>
        <v/>
      </c>
      <c r="E306" s="208">
        <f>IF($B306="","",IFERROR(BDP($B306&amp;" Action","CP037"),""))</f>
        <v/>
      </c>
      <c r="F306" s="209">
        <f>Database!T306</f>
        <v/>
      </c>
      <c r="G306" s="208">
        <f>IF($B306="","",IFERROR(BDP($B306&amp;" Action","GREENSHOE_FACILITY"),""))</f>
        <v/>
      </c>
      <c r="H306" s="208">
        <f>IF($B306="","",IFERROR(BDP($B306&amp;" Action","OFFERING_GREENSHOE_SHARES_EX"),""))</f>
        <v/>
      </c>
      <c r="I306" s="32">
        <f>Database!AE306</f>
        <v/>
      </c>
      <c r="J306" s="39">
        <f>IFERROR(BDP(TEXT(VALUE(Database!$A306),"0")&amp;" HK Equity","PE_RATIO"),"")</f>
        <v/>
      </c>
      <c r="K306" s="24">
        <f>IFERROR(BDP(TEXT(VALUE(Database!$A306),"0")&amp;" HK Equity","A/H_SHARE_CONVERSION"),"")</f>
        <v/>
      </c>
      <c r="L306" s="32">
        <f>IF(Database!BN306="","(none found)",Database!BN306)</f>
        <v/>
      </c>
      <c r="M306" s="34">
        <f>BDH(TEXT(VALUE(Database!$A306),"0")&amp;" HK Equity","CUR_MKT_CAP",Database!$H306,Database!$H306)</f>
        <v/>
      </c>
      <c r="N306" s="166">
        <f>Database!Q306</f>
        <v/>
      </c>
      <c r="O306" s="39">
        <f>BDH(TEXT(VALUE(Database!$A306),"0")&amp;" HK Equity","PE_RATIO",Database!$H306,Database!$H306)</f>
        <v/>
      </c>
      <c r="P306" s="199">
        <f>IF(Database!BH306="","(n/m or not derivable)",Database!BH306)</f>
        <v/>
      </c>
      <c r="Q306" s="39">
        <f>IF(Database!BN306="","",BDH(LEFT(Database!BN306,FIND(".",Database!BN306)-1)&amp;" CH Equity","PE_RATIO",Database!$H306,Database!$H306))</f>
        <v/>
      </c>
      <c r="R306" s="39">
        <f>IF(Database!BN306="","",BDH("HSAHP Index","PX_LAST",Database!$H306,Database!$H306))</f>
        <v/>
      </c>
      <c r="S306" s="39">
        <f>IFERROR(BDP(TEXT(VALUE(Database!$A306),"0")&amp;" HK Equity","PX_TO_SALES_RATIO"),"")</f>
        <v/>
      </c>
      <c r="T306" s="34">
        <f>IF(Database!BN306="","",IFERROR(BDP(LEFT(Database!BN306,FIND(".",Database!BN306)-1)&amp;" CH Equity","CUR_MKT_CAP")*BDP("CNYHKD Curncy","PX_LAST"),"Awaiting quote"))</f>
        <v/>
      </c>
    </row>
    <row r="307" ht="23" customHeight="1">
      <c r="A307" s="32">
        <f>Database!A307&amp;"  "&amp;Database!B307</f>
        <v/>
      </c>
      <c r="B307" s="24">
        <f>IFERROR(INDEX(BDS(TEXT(VALUE(Database!$A307),"0")&amp;" HK Equity","EQUITY_OFFERINGS","array=t","endcol=1"),MATCH("IPO",BDS(TEXT(VALUE(Database!$A307),"0")&amp;" HK Equity","EQUITY_OFFERINGS","array=t","startcol=2","endcol=2"),0)),"")</f>
        <v/>
      </c>
      <c r="C307" s="208">
        <f>IF($B307="","",IFERROR(BDP($B307&amp;" Action","CP036"),""))</f>
        <v/>
      </c>
      <c r="D307" s="209">
        <f>Database!S307</f>
        <v/>
      </c>
      <c r="E307" s="208">
        <f>IF($B307="","",IFERROR(BDP($B307&amp;" Action","CP037"),""))</f>
        <v/>
      </c>
      <c r="F307" s="209">
        <f>Database!T307</f>
        <v/>
      </c>
      <c r="G307" s="208">
        <f>IF($B307="","",IFERROR(BDP($B307&amp;" Action","GREENSHOE_FACILITY"),""))</f>
        <v/>
      </c>
      <c r="H307" s="208">
        <f>IF($B307="","",IFERROR(BDP($B307&amp;" Action","OFFERING_GREENSHOE_SHARES_EX"),""))</f>
        <v/>
      </c>
      <c r="I307" s="32">
        <f>Database!AE307</f>
        <v/>
      </c>
      <c r="J307" s="39">
        <f>IFERROR(BDP(TEXT(VALUE(Database!$A307),"0")&amp;" HK Equity","PE_RATIO"),"")</f>
        <v/>
      </c>
      <c r="K307" s="24">
        <f>IFERROR(BDP(TEXT(VALUE(Database!$A307),"0")&amp;" HK Equity","A/H_SHARE_CONVERSION"),"")</f>
        <v/>
      </c>
      <c r="L307" s="32">
        <f>IF(Database!BN307="","(none found)",Database!BN307)</f>
        <v/>
      </c>
      <c r="M307" s="34">
        <f>BDH(TEXT(VALUE(Database!$A307),"0")&amp;" HK Equity","CUR_MKT_CAP",Database!$H307,Database!$H307)</f>
        <v/>
      </c>
      <c r="N307" s="166">
        <f>Database!Q307</f>
        <v/>
      </c>
      <c r="O307" s="39">
        <f>BDH(TEXT(VALUE(Database!$A307),"0")&amp;" HK Equity","PE_RATIO",Database!$H307,Database!$H307)</f>
        <v/>
      </c>
      <c r="P307" s="199">
        <f>IF(Database!BH307="","(n/m or not derivable)",Database!BH307)</f>
        <v/>
      </c>
      <c r="Q307" s="39">
        <f>IF(Database!BN307="","",BDH(LEFT(Database!BN307,FIND(".",Database!BN307)-1)&amp;" CH Equity","PE_RATIO",Database!$H307,Database!$H307))</f>
        <v/>
      </c>
      <c r="R307" s="39">
        <f>IF(Database!BN307="","",BDH("HSAHP Index","PX_LAST",Database!$H307,Database!$H307))</f>
        <v/>
      </c>
      <c r="S307" s="39">
        <f>IFERROR(BDP(TEXT(VALUE(Database!$A307),"0")&amp;" HK Equity","PX_TO_SALES_RATIO"),"")</f>
        <v/>
      </c>
      <c r="T307" s="34">
        <f>IF(Database!BN307="","",IFERROR(BDP(LEFT(Database!BN307,FIND(".",Database!BN307)-1)&amp;" CH Equity","CUR_MKT_CAP")*BDP("CNYHKD Curncy","PX_LAST"),"Awaiting quote"))</f>
        <v/>
      </c>
    </row>
    <row r="308" ht="23" customHeight="1">
      <c r="A308" s="32">
        <f>Database!A308&amp;"  "&amp;Database!B308</f>
        <v/>
      </c>
      <c r="B308" s="24">
        <f>IFERROR(INDEX(BDS(TEXT(VALUE(Database!$A308),"0")&amp;" HK Equity","EQUITY_OFFERINGS","array=t","endcol=1"),MATCH("IPO",BDS(TEXT(VALUE(Database!$A308),"0")&amp;" HK Equity","EQUITY_OFFERINGS","array=t","startcol=2","endcol=2"),0)),"")</f>
        <v/>
      </c>
      <c r="C308" s="208">
        <f>IF($B308="","",IFERROR(BDP($B308&amp;" Action","CP036"),""))</f>
        <v/>
      </c>
      <c r="D308" s="209">
        <f>Database!S308</f>
        <v/>
      </c>
      <c r="E308" s="208">
        <f>IF($B308="","",IFERROR(BDP($B308&amp;" Action","CP037"),""))</f>
        <v/>
      </c>
      <c r="F308" s="209">
        <f>Database!T308</f>
        <v/>
      </c>
      <c r="G308" s="208">
        <f>IF($B308="","",IFERROR(BDP($B308&amp;" Action","GREENSHOE_FACILITY"),""))</f>
        <v/>
      </c>
      <c r="H308" s="208">
        <f>IF($B308="","",IFERROR(BDP($B308&amp;" Action","OFFERING_GREENSHOE_SHARES_EX"),""))</f>
        <v/>
      </c>
      <c r="I308" s="32">
        <f>Database!AE308</f>
        <v/>
      </c>
      <c r="J308" s="39">
        <f>IFERROR(BDP(TEXT(VALUE(Database!$A308),"0")&amp;" HK Equity","PE_RATIO"),"")</f>
        <v/>
      </c>
      <c r="K308" s="24">
        <f>IFERROR(BDP(TEXT(VALUE(Database!$A308),"0")&amp;" HK Equity","A/H_SHARE_CONVERSION"),"")</f>
        <v/>
      </c>
      <c r="L308" s="32">
        <f>IF(Database!BN308="","(none found)",Database!BN308)</f>
        <v/>
      </c>
      <c r="M308" s="34">
        <f>BDH(TEXT(VALUE(Database!$A308),"0")&amp;" HK Equity","CUR_MKT_CAP",Database!$H308,Database!$H308)</f>
        <v/>
      </c>
      <c r="N308" s="166">
        <f>Database!Q308</f>
        <v/>
      </c>
      <c r="O308" s="39">
        <f>BDH(TEXT(VALUE(Database!$A308),"0")&amp;" HK Equity","PE_RATIO",Database!$H308,Database!$H308)</f>
        <v/>
      </c>
      <c r="P308" s="199">
        <f>IF(Database!BH308="","(n/m or not derivable)",Database!BH308)</f>
        <v/>
      </c>
      <c r="Q308" s="39">
        <f>IF(Database!BN308="","",BDH(LEFT(Database!BN308,FIND(".",Database!BN308)-1)&amp;" CH Equity","PE_RATIO",Database!$H308,Database!$H308))</f>
        <v/>
      </c>
      <c r="R308" s="39">
        <f>IF(Database!BN308="","",BDH("HSAHP Index","PX_LAST",Database!$H308,Database!$H308))</f>
        <v/>
      </c>
      <c r="S308" s="39">
        <f>IFERROR(BDP(TEXT(VALUE(Database!$A308),"0")&amp;" HK Equity","PX_TO_SALES_RATIO"),"")</f>
        <v/>
      </c>
      <c r="T308" s="34">
        <f>IF(Database!BN308="","",IFERROR(BDP(LEFT(Database!BN308,FIND(".",Database!BN308)-1)&amp;" CH Equity","CUR_MKT_CAP")*BDP("CNYHKD Curncy","PX_LAST"),"Awaiting quote"))</f>
        <v/>
      </c>
    </row>
    <row r="309" ht="23" customHeight="1">
      <c r="A309" s="32">
        <f>Database!A309&amp;"  "&amp;Database!B309</f>
        <v/>
      </c>
      <c r="B309" s="24">
        <f>IFERROR(INDEX(BDS(TEXT(VALUE(Database!$A309),"0")&amp;" HK Equity","EQUITY_OFFERINGS","array=t","endcol=1"),MATCH("IPO",BDS(TEXT(VALUE(Database!$A309),"0")&amp;" HK Equity","EQUITY_OFFERINGS","array=t","startcol=2","endcol=2"),0)),"")</f>
        <v/>
      </c>
      <c r="C309" s="208">
        <f>IF($B309="","",IFERROR(BDP($B309&amp;" Action","CP036"),""))</f>
        <v/>
      </c>
      <c r="D309" s="209">
        <f>Database!S309</f>
        <v/>
      </c>
      <c r="E309" s="208">
        <f>IF($B309="","",IFERROR(BDP($B309&amp;" Action","CP037"),""))</f>
        <v/>
      </c>
      <c r="F309" s="209">
        <f>Database!T309</f>
        <v/>
      </c>
      <c r="G309" s="208">
        <f>IF($B309="","",IFERROR(BDP($B309&amp;" Action","GREENSHOE_FACILITY"),""))</f>
        <v/>
      </c>
      <c r="H309" s="208">
        <f>IF($B309="","",IFERROR(BDP($B309&amp;" Action","OFFERING_GREENSHOE_SHARES_EX"),""))</f>
        <v/>
      </c>
      <c r="I309" s="32">
        <f>Database!AE309</f>
        <v/>
      </c>
      <c r="J309" s="39">
        <f>IFERROR(BDP(TEXT(VALUE(Database!$A309),"0")&amp;" HK Equity","PE_RATIO"),"")</f>
        <v/>
      </c>
      <c r="K309" s="24">
        <f>IFERROR(BDP(TEXT(VALUE(Database!$A309),"0")&amp;" HK Equity","A/H_SHARE_CONVERSION"),"")</f>
        <v/>
      </c>
      <c r="L309" s="32">
        <f>IF(Database!BN309="","(none found)",Database!BN309)</f>
        <v/>
      </c>
      <c r="M309" s="34">
        <f>BDH(TEXT(VALUE(Database!$A309),"0")&amp;" HK Equity","CUR_MKT_CAP",Database!$H309,Database!$H309)</f>
        <v/>
      </c>
      <c r="N309" s="166">
        <f>Database!Q309</f>
        <v/>
      </c>
      <c r="O309" s="39">
        <f>BDH(TEXT(VALUE(Database!$A309),"0")&amp;" HK Equity","PE_RATIO",Database!$H309,Database!$H309)</f>
        <v/>
      </c>
      <c r="P309" s="199">
        <f>IF(Database!BH309="","(n/m or not derivable)",Database!BH309)</f>
        <v/>
      </c>
      <c r="Q309" s="39">
        <f>IF(Database!BN309="","",BDH(LEFT(Database!BN309,FIND(".",Database!BN309)-1)&amp;" CH Equity","PE_RATIO",Database!$H309,Database!$H309))</f>
        <v/>
      </c>
      <c r="R309" s="39">
        <f>IF(Database!BN309="","",BDH("HSAHP Index","PX_LAST",Database!$H309,Database!$H309))</f>
        <v/>
      </c>
      <c r="S309" s="39">
        <f>IFERROR(BDP(TEXT(VALUE(Database!$A309),"0")&amp;" HK Equity","PX_TO_SALES_RATIO"),"")</f>
        <v/>
      </c>
      <c r="T309" s="34">
        <f>IF(Database!BN309="","",IFERROR(BDP(LEFT(Database!BN309,FIND(".",Database!BN309)-1)&amp;" CH Equity","CUR_MKT_CAP")*BDP("CNYHKD Curncy","PX_LAST"),"Awaiting quote"))</f>
        <v/>
      </c>
    </row>
    <row r="310" ht="23" customHeight="1">
      <c r="A310" s="32">
        <f>Database!A310&amp;"  "&amp;Database!B310</f>
        <v/>
      </c>
      <c r="B310" s="24">
        <f>IFERROR(INDEX(BDS(TEXT(VALUE(Database!$A310),"0")&amp;" HK Equity","EQUITY_OFFERINGS","array=t","endcol=1"),MATCH("IPO",BDS(TEXT(VALUE(Database!$A310),"0")&amp;" HK Equity","EQUITY_OFFERINGS","array=t","startcol=2","endcol=2"),0)),"")</f>
        <v/>
      </c>
      <c r="C310" s="208">
        <f>IF($B310="","",IFERROR(BDP($B310&amp;" Action","CP036"),""))</f>
        <v/>
      </c>
      <c r="D310" s="209">
        <f>Database!S310</f>
        <v/>
      </c>
      <c r="E310" s="208">
        <f>IF($B310="","",IFERROR(BDP($B310&amp;" Action","CP037"),""))</f>
        <v/>
      </c>
      <c r="F310" s="209">
        <f>Database!T310</f>
        <v/>
      </c>
      <c r="G310" s="208">
        <f>IF($B310="","",IFERROR(BDP($B310&amp;" Action","GREENSHOE_FACILITY"),""))</f>
        <v/>
      </c>
      <c r="H310" s="208">
        <f>IF($B310="","",IFERROR(BDP($B310&amp;" Action","OFFERING_GREENSHOE_SHARES_EX"),""))</f>
        <v/>
      </c>
      <c r="I310" s="32">
        <f>Database!AE310</f>
        <v/>
      </c>
      <c r="J310" s="39">
        <f>IFERROR(BDP(TEXT(VALUE(Database!$A310),"0")&amp;" HK Equity","PE_RATIO"),"")</f>
        <v/>
      </c>
      <c r="K310" s="24">
        <f>IFERROR(BDP(TEXT(VALUE(Database!$A310),"0")&amp;" HK Equity","A/H_SHARE_CONVERSION"),"")</f>
        <v/>
      </c>
      <c r="L310" s="32">
        <f>IF(Database!BN310="","(none found)",Database!BN310)</f>
        <v/>
      </c>
      <c r="M310" s="34">
        <f>BDH(TEXT(VALUE(Database!$A310),"0")&amp;" HK Equity","CUR_MKT_CAP",Database!$H310,Database!$H310)</f>
        <v/>
      </c>
      <c r="N310" s="166">
        <f>Database!Q310</f>
        <v/>
      </c>
      <c r="O310" s="39">
        <f>BDH(TEXT(VALUE(Database!$A310),"0")&amp;" HK Equity","PE_RATIO",Database!$H310,Database!$H310)</f>
        <v/>
      </c>
      <c r="P310" s="199">
        <f>IF(Database!BH310="","(n/m or not derivable)",Database!BH310)</f>
        <v/>
      </c>
      <c r="Q310" s="39">
        <f>IF(Database!BN310="","",BDH(LEFT(Database!BN310,FIND(".",Database!BN310)-1)&amp;" CH Equity","PE_RATIO",Database!$H310,Database!$H310))</f>
        <v/>
      </c>
      <c r="R310" s="39">
        <f>IF(Database!BN310="","",BDH("HSAHP Index","PX_LAST",Database!$H310,Database!$H310))</f>
        <v/>
      </c>
      <c r="S310" s="39">
        <f>IFERROR(BDP(TEXT(VALUE(Database!$A310),"0")&amp;" HK Equity","PX_TO_SALES_RATIO"),"")</f>
        <v/>
      </c>
      <c r="T310" s="34">
        <f>IF(Database!BN310="","",IFERROR(BDP(LEFT(Database!BN310,FIND(".",Database!BN310)-1)&amp;" CH Equity","CUR_MKT_CAP")*BDP("CNYHKD Curncy","PX_LAST"),"Awaiting quote"))</f>
        <v/>
      </c>
    </row>
    <row r="311" ht="23" customHeight="1">
      <c r="A311" s="32">
        <f>Database!A311&amp;"  "&amp;Database!B311</f>
        <v/>
      </c>
      <c r="B311" s="24">
        <f>IFERROR(INDEX(BDS(TEXT(VALUE(Database!$A311),"0")&amp;" HK Equity","EQUITY_OFFERINGS","array=t","endcol=1"),MATCH("IPO",BDS(TEXT(VALUE(Database!$A311),"0")&amp;" HK Equity","EQUITY_OFFERINGS","array=t","startcol=2","endcol=2"),0)),"")</f>
        <v/>
      </c>
      <c r="C311" s="208">
        <f>IF($B311="","",IFERROR(BDP($B311&amp;" Action","CP036"),""))</f>
        <v/>
      </c>
      <c r="D311" s="209">
        <f>Database!S311</f>
        <v/>
      </c>
      <c r="E311" s="208">
        <f>IF($B311="","",IFERROR(BDP($B311&amp;" Action","CP037"),""))</f>
        <v/>
      </c>
      <c r="F311" s="209">
        <f>Database!T311</f>
        <v/>
      </c>
      <c r="G311" s="208">
        <f>IF($B311="","",IFERROR(BDP($B311&amp;" Action","GREENSHOE_FACILITY"),""))</f>
        <v/>
      </c>
      <c r="H311" s="208">
        <f>IF($B311="","",IFERROR(BDP($B311&amp;" Action","OFFERING_GREENSHOE_SHARES_EX"),""))</f>
        <v/>
      </c>
      <c r="I311" s="32">
        <f>Database!AE311</f>
        <v/>
      </c>
      <c r="J311" s="39">
        <f>IFERROR(BDP(TEXT(VALUE(Database!$A311),"0")&amp;" HK Equity","PE_RATIO"),"")</f>
        <v/>
      </c>
      <c r="K311" s="24">
        <f>IFERROR(BDP(TEXT(VALUE(Database!$A311),"0")&amp;" HK Equity","A/H_SHARE_CONVERSION"),"")</f>
        <v/>
      </c>
      <c r="L311" s="32">
        <f>IF(Database!BN311="","(none found)",Database!BN311)</f>
        <v/>
      </c>
      <c r="M311" s="34">
        <f>BDH(TEXT(VALUE(Database!$A311),"0")&amp;" HK Equity","CUR_MKT_CAP",Database!$H311,Database!$H311)</f>
        <v/>
      </c>
      <c r="N311" s="166">
        <f>Database!Q311</f>
        <v/>
      </c>
      <c r="O311" s="39">
        <f>BDH(TEXT(VALUE(Database!$A311),"0")&amp;" HK Equity","PE_RATIO",Database!$H311,Database!$H311)</f>
        <v/>
      </c>
      <c r="P311" s="199">
        <f>IF(Database!BH311="","(n/m or not derivable)",Database!BH311)</f>
        <v/>
      </c>
      <c r="Q311" s="39">
        <f>IF(Database!BN311="","",BDH(LEFT(Database!BN311,FIND(".",Database!BN311)-1)&amp;" CH Equity","PE_RATIO",Database!$H311,Database!$H311))</f>
        <v/>
      </c>
      <c r="R311" s="39">
        <f>IF(Database!BN311="","",BDH("HSAHP Index","PX_LAST",Database!$H311,Database!$H311))</f>
        <v/>
      </c>
      <c r="S311" s="39">
        <f>IFERROR(BDP(TEXT(VALUE(Database!$A311),"0")&amp;" HK Equity","PX_TO_SALES_RATIO"),"")</f>
        <v/>
      </c>
      <c r="T311" s="34">
        <f>IF(Database!BN311="","",IFERROR(BDP(LEFT(Database!BN311,FIND(".",Database!BN311)-1)&amp;" CH Equity","CUR_MKT_CAP")*BDP("CNYHKD Curncy","PX_LAST"),"Awaiting quote"))</f>
        <v/>
      </c>
    </row>
    <row r="312" ht="23" customHeight="1">
      <c r="A312" s="32">
        <f>Database!A312&amp;"  "&amp;Database!B312</f>
        <v/>
      </c>
      <c r="B312" s="24">
        <f>IFERROR(INDEX(BDS(TEXT(VALUE(Database!$A312),"0")&amp;" HK Equity","EQUITY_OFFERINGS","array=t","endcol=1"),MATCH("IPO",BDS(TEXT(VALUE(Database!$A312),"0")&amp;" HK Equity","EQUITY_OFFERINGS","array=t","startcol=2","endcol=2"),0)),"")</f>
        <v/>
      </c>
      <c r="C312" s="208">
        <f>IF($B312="","",IFERROR(BDP($B312&amp;" Action","CP036"),""))</f>
        <v/>
      </c>
      <c r="D312" s="209">
        <f>Database!S312</f>
        <v/>
      </c>
      <c r="E312" s="208">
        <f>IF($B312="","",IFERROR(BDP($B312&amp;" Action","CP037"),""))</f>
        <v/>
      </c>
      <c r="F312" s="209">
        <f>Database!T312</f>
        <v/>
      </c>
      <c r="G312" s="208">
        <f>IF($B312="","",IFERROR(BDP($B312&amp;" Action","GREENSHOE_FACILITY"),""))</f>
        <v/>
      </c>
      <c r="H312" s="208">
        <f>IF($B312="","",IFERROR(BDP($B312&amp;" Action","OFFERING_GREENSHOE_SHARES_EX"),""))</f>
        <v/>
      </c>
      <c r="I312" s="32">
        <f>Database!AE312</f>
        <v/>
      </c>
      <c r="J312" s="39">
        <f>IFERROR(BDP(TEXT(VALUE(Database!$A312),"0")&amp;" HK Equity","PE_RATIO"),"")</f>
        <v/>
      </c>
      <c r="K312" s="24">
        <f>IFERROR(BDP(TEXT(VALUE(Database!$A312),"0")&amp;" HK Equity","A/H_SHARE_CONVERSION"),"")</f>
        <v/>
      </c>
      <c r="L312" s="32">
        <f>IF(Database!BN312="","(none found)",Database!BN312)</f>
        <v/>
      </c>
      <c r="M312" s="34">
        <f>BDH(TEXT(VALUE(Database!$A312),"0")&amp;" HK Equity","CUR_MKT_CAP",Database!$H312,Database!$H312)</f>
        <v/>
      </c>
      <c r="N312" s="166">
        <f>Database!Q312</f>
        <v/>
      </c>
      <c r="O312" s="39">
        <f>BDH(TEXT(VALUE(Database!$A312),"0")&amp;" HK Equity","PE_RATIO",Database!$H312,Database!$H312)</f>
        <v/>
      </c>
      <c r="P312" s="199">
        <f>IF(Database!BH312="","(n/m or not derivable)",Database!BH312)</f>
        <v/>
      </c>
      <c r="Q312" s="39">
        <f>IF(Database!BN312="","",BDH(LEFT(Database!BN312,FIND(".",Database!BN312)-1)&amp;" CH Equity","PE_RATIO",Database!$H312,Database!$H312))</f>
        <v/>
      </c>
      <c r="R312" s="39">
        <f>IF(Database!BN312="","",BDH("HSAHP Index","PX_LAST",Database!$H312,Database!$H312))</f>
        <v/>
      </c>
      <c r="S312" s="39">
        <f>IFERROR(BDP(TEXT(VALUE(Database!$A312),"0")&amp;" HK Equity","PX_TO_SALES_RATIO"),"")</f>
        <v/>
      </c>
      <c r="T312" s="34">
        <f>IF(Database!BN312="","",IFERROR(BDP(LEFT(Database!BN312,FIND(".",Database!BN312)-1)&amp;" CH Equity","CUR_MKT_CAP")*BDP("CNYHKD Curncy","PX_LAST"),"Awaiting quote"))</f>
        <v/>
      </c>
    </row>
    <row r="313" ht="23" customHeight="1">
      <c r="A313" s="32">
        <f>Database!A313&amp;"  "&amp;Database!B313</f>
        <v/>
      </c>
      <c r="B313" s="24">
        <f>IFERROR(INDEX(BDS(TEXT(VALUE(Database!$A313),"0")&amp;" HK Equity","EQUITY_OFFERINGS","array=t","endcol=1"),MATCH("IPO",BDS(TEXT(VALUE(Database!$A313),"0")&amp;" HK Equity","EQUITY_OFFERINGS","array=t","startcol=2","endcol=2"),0)),"")</f>
        <v/>
      </c>
      <c r="C313" s="208">
        <f>IF($B313="","",IFERROR(BDP($B313&amp;" Action","CP036"),""))</f>
        <v/>
      </c>
      <c r="D313" s="209">
        <f>Database!S313</f>
        <v/>
      </c>
      <c r="E313" s="208">
        <f>IF($B313="","",IFERROR(BDP($B313&amp;" Action","CP037"),""))</f>
        <v/>
      </c>
      <c r="F313" s="209">
        <f>Database!T313</f>
        <v/>
      </c>
      <c r="G313" s="208">
        <f>IF($B313="","",IFERROR(BDP($B313&amp;" Action","GREENSHOE_FACILITY"),""))</f>
        <v/>
      </c>
      <c r="H313" s="208">
        <f>IF($B313="","",IFERROR(BDP($B313&amp;" Action","OFFERING_GREENSHOE_SHARES_EX"),""))</f>
        <v/>
      </c>
      <c r="I313" s="32">
        <f>Database!AE313</f>
        <v/>
      </c>
      <c r="J313" s="39">
        <f>IFERROR(BDP(TEXT(VALUE(Database!$A313),"0")&amp;" HK Equity","PE_RATIO"),"")</f>
        <v/>
      </c>
      <c r="K313" s="24">
        <f>IFERROR(BDP(TEXT(VALUE(Database!$A313),"0")&amp;" HK Equity","A/H_SHARE_CONVERSION"),"")</f>
        <v/>
      </c>
      <c r="L313" s="32">
        <f>IF(Database!BN313="","(none found)",Database!BN313)</f>
        <v/>
      </c>
      <c r="M313" s="34">
        <f>BDH(TEXT(VALUE(Database!$A313),"0")&amp;" HK Equity","CUR_MKT_CAP",Database!$H313,Database!$H313)</f>
        <v/>
      </c>
      <c r="N313" s="166">
        <f>Database!Q313</f>
        <v/>
      </c>
      <c r="O313" s="39">
        <f>BDH(TEXT(VALUE(Database!$A313),"0")&amp;" HK Equity","PE_RATIO",Database!$H313,Database!$H313)</f>
        <v/>
      </c>
      <c r="P313" s="199">
        <f>IF(Database!BH313="","(n/m or not derivable)",Database!BH313)</f>
        <v/>
      </c>
      <c r="Q313" s="39">
        <f>IF(Database!BN313="","",BDH(LEFT(Database!BN313,FIND(".",Database!BN313)-1)&amp;" CH Equity","PE_RATIO",Database!$H313,Database!$H313))</f>
        <v/>
      </c>
      <c r="R313" s="39">
        <f>IF(Database!BN313="","",BDH("HSAHP Index","PX_LAST",Database!$H313,Database!$H313))</f>
        <v/>
      </c>
      <c r="S313" s="39">
        <f>IFERROR(BDP(TEXT(VALUE(Database!$A313),"0")&amp;" HK Equity","PX_TO_SALES_RATIO"),"")</f>
        <v/>
      </c>
      <c r="T313" s="34">
        <f>IF(Database!BN313="","",IFERROR(BDP(LEFT(Database!BN313,FIND(".",Database!BN313)-1)&amp;" CH Equity","CUR_MKT_CAP")*BDP("CNYHKD Curncy","PX_LAST"),"Awaiting quote"))</f>
        <v/>
      </c>
    </row>
    <row r="314" ht="23" customHeight="1">
      <c r="A314" s="32">
        <f>Database!A314&amp;"  "&amp;Database!B314</f>
        <v/>
      </c>
      <c r="B314" s="24">
        <f>IFERROR(INDEX(BDS(TEXT(VALUE(Database!$A314),"0")&amp;" HK Equity","EQUITY_OFFERINGS","array=t","endcol=1"),MATCH("IPO",BDS(TEXT(VALUE(Database!$A314),"0")&amp;" HK Equity","EQUITY_OFFERINGS","array=t","startcol=2","endcol=2"),0)),"")</f>
        <v/>
      </c>
      <c r="C314" s="208">
        <f>IF($B314="","",IFERROR(BDP($B314&amp;" Action","CP036"),""))</f>
        <v/>
      </c>
      <c r="D314" s="209">
        <f>Database!S314</f>
        <v/>
      </c>
      <c r="E314" s="208">
        <f>IF($B314="","",IFERROR(BDP($B314&amp;" Action","CP037"),""))</f>
        <v/>
      </c>
      <c r="F314" s="209">
        <f>Database!T314</f>
        <v/>
      </c>
      <c r="G314" s="208">
        <f>IF($B314="","",IFERROR(BDP($B314&amp;" Action","GREENSHOE_FACILITY"),""))</f>
        <v/>
      </c>
      <c r="H314" s="208">
        <f>IF($B314="","",IFERROR(BDP($B314&amp;" Action","OFFERING_GREENSHOE_SHARES_EX"),""))</f>
        <v/>
      </c>
      <c r="I314" s="32">
        <f>Database!AE314</f>
        <v/>
      </c>
      <c r="J314" s="39">
        <f>IFERROR(BDP(TEXT(VALUE(Database!$A314),"0")&amp;" HK Equity","PE_RATIO"),"")</f>
        <v/>
      </c>
      <c r="K314" s="24">
        <f>IFERROR(BDP(TEXT(VALUE(Database!$A314),"0")&amp;" HK Equity","A/H_SHARE_CONVERSION"),"")</f>
        <v/>
      </c>
      <c r="L314" s="32">
        <f>IF(Database!BN314="","(none found)",Database!BN314)</f>
        <v/>
      </c>
      <c r="M314" s="34">
        <f>BDH(TEXT(VALUE(Database!$A314),"0")&amp;" HK Equity","CUR_MKT_CAP",Database!$H314,Database!$H314)</f>
        <v/>
      </c>
      <c r="N314" s="166">
        <f>Database!Q314</f>
        <v/>
      </c>
      <c r="O314" s="39">
        <f>BDH(TEXT(VALUE(Database!$A314),"0")&amp;" HK Equity","PE_RATIO",Database!$H314,Database!$H314)</f>
        <v/>
      </c>
      <c r="P314" s="199">
        <f>IF(Database!BH314="","(n/m or not derivable)",Database!BH314)</f>
        <v/>
      </c>
      <c r="Q314" s="39">
        <f>IF(Database!BN314="","",BDH(LEFT(Database!BN314,FIND(".",Database!BN314)-1)&amp;" CH Equity","PE_RATIO",Database!$H314,Database!$H314))</f>
        <v/>
      </c>
      <c r="R314" s="39">
        <f>IF(Database!BN314="","",BDH("HSAHP Index","PX_LAST",Database!$H314,Database!$H314))</f>
        <v/>
      </c>
      <c r="S314" s="39">
        <f>IFERROR(BDP(TEXT(VALUE(Database!$A314),"0")&amp;" HK Equity","PX_TO_SALES_RATIO"),"")</f>
        <v/>
      </c>
      <c r="T314" s="34">
        <f>IF(Database!BN314="","",IFERROR(BDP(LEFT(Database!BN314,FIND(".",Database!BN314)-1)&amp;" CH Equity","CUR_MKT_CAP")*BDP("CNYHKD Curncy","PX_LAST"),"Awaiting quote"))</f>
        <v/>
      </c>
    </row>
    <row r="315" ht="23" customHeight="1">
      <c r="A315" s="32">
        <f>Database!A315&amp;"  "&amp;Database!B315</f>
        <v/>
      </c>
      <c r="B315" s="24">
        <f>IFERROR(INDEX(BDS(TEXT(VALUE(Database!$A315),"0")&amp;" HK Equity","EQUITY_OFFERINGS","array=t","endcol=1"),MATCH("IPO",BDS(TEXT(VALUE(Database!$A315),"0")&amp;" HK Equity","EQUITY_OFFERINGS","array=t","startcol=2","endcol=2"),0)),"")</f>
        <v/>
      </c>
      <c r="C315" s="208">
        <f>IF($B315="","",IFERROR(BDP($B315&amp;" Action","CP036"),""))</f>
        <v/>
      </c>
      <c r="D315" s="209">
        <f>Database!S315</f>
        <v/>
      </c>
      <c r="E315" s="208">
        <f>IF($B315="","",IFERROR(BDP($B315&amp;" Action","CP037"),""))</f>
        <v/>
      </c>
      <c r="F315" s="209">
        <f>Database!T315</f>
        <v/>
      </c>
      <c r="G315" s="208">
        <f>IF($B315="","",IFERROR(BDP($B315&amp;" Action","GREENSHOE_FACILITY"),""))</f>
        <v/>
      </c>
      <c r="H315" s="208">
        <f>IF($B315="","",IFERROR(BDP($B315&amp;" Action","OFFERING_GREENSHOE_SHARES_EX"),""))</f>
        <v/>
      </c>
      <c r="I315" s="32">
        <f>Database!AE315</f>
        <v/>
      </c>
      <c r="J315" s="39">
        <f>IFERROR(BDP(TEXT(VALUE(Database!$A315),"0")&amp;" HK Equity","PE_RATIO"),"")</f>
        <v/>
      </c>
      <c r="K315" s="24">
        <f>IFERROR(BDP(TEXT(VALUE(Database!$A315),"0")&amp;" HK Equity","A/H_SHARE_CONVERSION"),"")</f>
        <v/>
      </c>
      <c r="L315" s="32">
        <f>IF(Database!BN315="","(none found)",Database!BN315)</f>
        <v/>
      </c>
      <c r="M315" s="34">
        <f>BDH(TEXT(VALUE(Database!$A315),"0")&amp;" HK Equity","CUR_MKT_CAP",Database!$H315,Database!$H315)</f>
        <v/>
      </c>
      <c r="N315" s="166">
        <f>Database!Q315</f>
        <v/>
      </c>
      <c r="O315" s="39">
        <f>BDH(TEXT(VALUE(Database!$A315),"0")&amp;" HK Equity","PE_RATIO",Database!$H315,Database!$H315)</f>
        <v/>
      </c>
      <c r="P315" s="199">
        <f>IF(Database!BH315="","(n/m or not derivable)",Database!BH315)</f>
        <v/>
      </c>
      <c r="Q315" s="39">
        <f>IF(Database!BN315="","",BDH(LEFT(Database!BN315,FIND(".",Database!BN315)-1)&amp;" CH Equity","PE_RATIO",Database!$H315,Database!$H315))</f>
        <v/>
      </c>
      <c r="R315" s="39">
        <f>IF(Database!BN315="","",BDH("HSAHP Index","PX_LAST",Database!$H315,Database!$H315))</f>
        <v/>
      </c>
      <c r="S315" s="39">
        <f>IFERROR(BDP(TEXT(VALUE(Database!$A315),"0")&amp;" HK Equity","PX_TO_SALES_RATIO"),"")</f>
        <v/>
      </c>
      <c r="T315" s="34">
        <f>IF(Database!BN315="","",IFERROR(BDP(LEFT(Database!BN315,FIND(".",Database!BN315)-1)&amp;" CH Equity","CUR_MKT_CAP")*BDP("CNYHKD Curncy","PX_LAST"),"Awaiting quote"))</f>
        <v/>
      </c>
    </row>
    <row r="316" ht="23" customHeight="1">
      <c r="A316" s="32">
        <f>Database!A316&amp;"  "&amp;Database!B316</f>
        <v/>
      </c>
      <c r="B316" s="24">
        <f>IFERROR(INDEX(BDS(TEXT(VALUE(Database!$A316),"0")&amp;" HK Equity","EQUITY_OFFERINGS","array=t","endcol=1"),MATCH("IPO",BDS(TEXT(VALUE(Database!$A316),"0")&amp;" HK Equity","EQUITY_OFFERINGS","array=t","startcol=2","endcol=2"),0)),"")</f>
        <v/>
      </c>
      <c r="C316" s="208">
        <f>IF($B316="","",IFERROR(BDP($B316&amp;" Action","CP036"),""))</f>
        <v/>
      </c>
      <c r="D316" s="209">
        <f>Database!S316</f>
        <v/>
      </c>
      <c r="E316" s="208">
        <f>IF($B316="","",IFERROR(BDP($B316&amp;" Action","CP037"),""))</f>
        <v/>
      </c>
      <c r="F316" s="209">
        <f>Database!T316</f>
        <v/>
      </c>
      <c r="G316" s="208">
        <f>IF($B316="","",IFERROR(BDP($B316&amp;" Action","GREENSHOE_FACILITY"),""))</f>
        <v/>
      </c>
      <c r="H316" s="208">
        <f>IF($B316="","",IFERROR(BDP($B316&amp;" Action","OFFERING_GREENSHOE_SHARES_EX"),""))</f>
        <v/>
      </c>
      <c r="I316" s="32">
        <f>Database!AE316</f>
        <v/>
      </c>
      <c r="J316" s="39">
        <f>IFERROR(BDP(TEXT(VALUE(Database!$A316),"0")&amp;" HK Equity","PE_RATIO"),"")</f>
        <v/>
      </c>
      <c r="K316" s="24">
        <f>IFERROR(BDP(TEXT(VALUE(Database!$A316),"0")&amp;" HK Equity","A/H_SHARE_CONVERSION"),"")</f>
        <v/>
      </c>
      <c r="L316" s="32">
        <f>IF(Database!BN316="","(none found)",Database!BN316)</f>
        <v/>
      </c>
      <c r="M316" s="34">
        <f>BDH(TEXT(VALUE(Database!$A316),"0")&amp;" HK Equity","CUR_MKT_CAP",Database!$H316,Database!$H316)</f>
        <v/>
      </c>
      <c r="N316" s="166">
        <f>Database!Q316</f>
        <v/>
      </c>
      <c r="O316" s="39">
        <f>BDH(TEXT(VALUE(Database!$A316),"0")&amp;" HK Equity","PE_RATIO",Database!$H316,Database!$H316)</f>
        <v/>
      </c>
      <c r="P316" s="199">
        <f>IF(Database!BH316="","(n/m or not derivable)",Database!BH316)</f>
        <v/>
      </c>
      <c r="Q316" s="39">
        <f>IF(Database!BN316="","",BDH(LEFT(Database!BN316,FIND(".",Database!BN316)-1)&amp;" CH Equity","PE_RATIO",Database!$H316,Database!$H316))</f>
        <v/>
      </c>
      <c r="R316" s="39">
        <f>IF(Database!BN316="","",BDH("HSAHP Index","PX_LAST",Database!$H316,Database!$H316))</f>
        <v/>
      </c>
      <c r="S316" s="39">
        <f>IFERROR(BDP(TEXT(VALUE(Database!$A316),"0")&amp;" HK Equity","PX_TO_SALES_RATIO"),"")</f>
        <v/>
      </c>
      <c r="T316" s="34">
        <f>IF(Database!BN316="","",IFERROR(BDP(LEFT(Database!BN316,FIND(".",Database!BN316)-1)&amp;" CH Equity","CUR_MKT_CAP")*BDP("CNYHKD Curncy","PX_LAST"),"Awaiting quote"))</f>
        <v/>
      </c>
    </row>
    <row r="317" ht="23" customHeight="1">
      <c r="A317" s="32">
        <f>Database!A317&amp;"  "&amp;Database!B317</f>
        <v/>
      </c>
      <c r="B317" s="24">
        <f>IFERROR(INDEX(BDS(TEXT(VALUE(Database!$A317),"0")&amp;" HK Equity","EQUITY_OFFERINGS","array=t","endcol=1"),MATCH("IPO",BDS(TEXT(VALUE(Database!$A317),"0")&amp;" HK Equity","EQUITY_OFFERINGS","array=t","startcol=2","endcol=2"),0)),"")</f>
        <v/>
      </c>
      <c r="C317" s="208">
        <f>IF($B317="","",IFERROR(BDP($B317&amp;" Action","CP036"),""))</f>
        <v/>
      </c>
      <c r="D317" s="209">
        <f>Database!S317</f>
        <v/>
      </c>
      <c r="E317" s="208">
        <f>IF($B317="","",IFERROR(BDP($B317&amp;" Action","CP037"),""))</f>
        <v/>
      </c>
      <c r="F317" s="209">
        <f>Database!T317</f>
        <v/>
      </c>
      <c r="G317" s="208">
        <f>IF($B317="","",IFERROR(BDP($B317&amp;" Action","GREENSHOE_FACILITY"),""))</f>
        <v/>
      </c>
      <c r="H317" s="208">
        <f>IF($B317="","",IFERROR(BDP($B317&amp;" Action","OFFERING_GREENSHOE_SHARES_EX"),""))</f>
        <v/>
      </c>
      <c r="I317" s="32">
        <f>Database!AE317</f>
        <v/>
      </c>
      <c r="J317" s="39">
        <f>IFERROR(BDP(TEXT(VALUE(Database!$A317),"0")&amp;" HK Equity","PE_RATIO"),"")</f>
        <v/>
      </c>
      <c r="K317" s="24">
        <f>IFERROR(BDP(TEXT(VALUE(Database!$A317),"0")&amp;" HK Equity","A/H_SHARE_CONVERSION"),"")</f>
        <v/>
      </c>
      <c r="L317" s="32">
        <f>IF(Database!BN317="","(none found)",Database!BN317)</f>
        <v/>
      </c>
      <c r="M317" s="34">
        <f>BDH(TEXT(VALUE(Database!$A317),"0")&amp;" HK Equity","CUR_MKT_CAP",Database!$H317,Database!$H317)</f>
        <v/>
      </c>
      <c r="N317" s="166">
        <f>Database!Q317</f>
        <v/>
      </c>
      <c r="O317" s="39">
        <f>BDH(TEXT(VALUE(Database!$A317),"0")&amp;" HK Equity","PE_RATIO",Database!$H317,Database!$H317)</f>
        <v/>
      </c>
      <c r="P317" s="199">
        <f>IF(Database!BH317="","(n/m or not derivable)",Database!BH317)</f>
        <v/>
      </c>
      <c r="Q317" s="39">
        <f>IF(Database!BN317="","",BDH(LEFT(Database!BN317,FIND(".",Database!BN317)-1)&amp;" CH Equity","PE_RATIO",Database!$H317,Database!$H317))</f>
        <v/>
      </c>
      <c r="R317" s="39">
        <f>IF(Database!BN317="","",BDH("HSAHP Index","PX_LAST",Database!$H317,Database!$H317))</f>
        <v/>
      </c>
      <c r="S317" s="39">
        <f>IFERROR(BDP(TEXT(VALUE(Database!$A317),"0")&amp;" HK Equity","PX_TO_SALES_RATIO"),"")</f>
        <v/>
      </c>
      <c r="T317" s="34">
        <f>IF(Database!BN317="","",IFERROR(BDP(LEFT(Database!BN317,FIND(".",Database!BN317)-1)&amp;" CH Equity","CUR_MKT_CAP")*BDP("CNYHKD Curncy","PX_LAST"),"Awaiting quote"))</f>
        <v/>
      </c>
    </row>
    <row r="318" ht="23" customHeight="1">
      <c r="A318" s="32">
        <f>Database!A318&amp;"  "&amp;Database!B318</f>
        <v/>
      </c>
      <c r="B318" s="24">
        <f>IFERROR(INDEX(BDS(TEXT(VALUE(Database!$A318),"0")&amp;" HK Equity","EQUITY_OFFERINGS","array=t","endcol=1"),MATCH("IPO",BDS(TEXT(VALUE(Database!$A318),"0")&amp;" HK Equity","EQUITY_OFFERINGS","array=t","startcol=2","endcol=2"),0)),"")</f>
        <v/>
      </c>
      <c r="C318" s="208">
        <f>IF($B318="","",IFERROR(BDP($B318&amp;" Action","CP036"),""))</f>
        <v/>
      </c>
      <c r="D318" s="209">
        <f>Database!S318</f>
        <v/>
      </c>
      <c r="E318" s="208">
        <f>IF($B318="","",IFERROR(BDP($B318&amp;" Action","CP037"),""))</f>
        <v/>
      </c>
      <c r="F318" s="209">
        <f>Database!T318</f>
        <v/>
      </c>
      <c r="G318" s="208">
        <f>IF($B318="","",IFERROR(BDP($B318&amp;" Action","GREENSHOE_FACILITY"),""))</f>
        <v/>
      </c>
      <c r="H318" s="208">
        <f>IF($B318="","",IFERROR(BDP($B318&amp;" Action","OFFERING_GREENSHOE_SHARES_EX"),""))</f>
        <v/>
      </c>
      <c r="I318" s="32">
        <f>Database!AE318</f>
        <v/>
      </c>
      <c r="J318" s="39">
        <f>IFERROR(BDP(TEXT(VALUE(Database!$A318),"0")&amp;" HK Equity","PE_RATIO"),"")</f>
        <v/>
      </c>
      <c r="K318" s="24">
        <f>IFERROR(BDP(TEXT(VALUE(Database!$A318),"0")&amp;" HK Equity","A/H_SHARE_CONVERSION"),"")</f>
        <v/>
      </c>
      <c r="L318" s="32">
        <f>IF(Database!BN318="","(none found)",Database!BN318)</f>
        <v/>
      </c>
      <c r="M318" s="34">
        <f>BDH(TEXT(VALUE(Database!$A318),"0")&amp;" HK Equity","CUR_MKT_CAP",Database!$H318,Database!$H318)</f>
        <v/>
      </c>
      <c r="N318" s="166">
        <f>Database!Q318</f>
        <v/>
      </c>
      <c r="O318" s="39">
        <f>BDH(TEXT(VALUE(Database!$A318),"0")&amp;" HK Equity","PE_RATIO",Database!$H318,Database!$H318)</f>
        <v/>
      </c>
      <c r="P318" s="199">
        <f>IF(Database!BH318="","(n/m or not derivable)",Database!BH318)</f>
        <v/>
      </c>
      <c r="Q318" s="39">
        <f>IF(Database!BN318="","",BDH(LEFT(Database!BN318,FIND(".",Database!BN318)-1)&amp;" CH Equity","PE_RATIO",Database!$H318,Database!$H318))</f>
        <v/>
      </c>
      <c r="R318" s="39">
        <f>IF(Database!BN318="","",BDH("HSAHP Index","PX_LAST",Database!$H318,Database!$H318))</f>
        <v/>
      </c>
      <c r="S318" s="39">
        <f>IFERROR(BDP(TEXT(VALUE(Database!$A318),"0")&amp;" HK Equity","PX_TO_SALES_RATIO"),"")</f>
        <v/>
      </c>
      <c r="T318" s="34">
        <f>IF(Database!BN318="","",IFERROR(BDP(LEFT(Database!BN318,FIND(".",Database!BN318)-1)&amp;" CH Equity","CUR_MKT_CAP")*BDP("CNYHKD Curncy","PX_LAST"),"Awaiting quote"))</f>
        <v/>
      </c>
    </row>
    <row r="319" ht="23" customHeight="1">
      <c r="A319" s="32">
        <f>Database!A319&amp;"  "&amp;Database!B319</f>
        <v/>
      </c>
      <c r="B319" s="24">
        <f>IFERROR(INDEX(BDS(TEXT(VALUE(Database!$A319),"0")&amp;" HK Equity","EQUITY_OFFERINGS","array=t","endcol=1"),MATCH("IPO",BDS(TEXT(VALUE(Database!$A319),"0")&amp;" HK Equity","EQUITY_OFFERINGS","array=t","startcol=2","endcol=2"),0)),"")</f>
        <v/>
      </c>
      <c r="C319" s="208">
        <f>IF($B319="","",IFERROR(BDP($B319&amp;" Action","CP036"),""))</f>
        <v/>
      </c>
      <c r="D319" s="209">
        <f>Database!S319</f>
        <v/>
      </c>
      <c r="E319" s="208">
        <f>IF($B319="","",IFERROR(BDP($B319&amp;" Action","CP037"),""))</f>
        <v/>
      </c>
      <c r="F319" s="209">
        <f>Database!T319</f>
        <v/>
      </c>
      <c r="G319" s="208">
        <f>IF($B319="","",IFERROR(BDP($B319&amp;" Action","GREENSHOE_FACILITY"),""))</f>
        <v/>
      </c>
      <c r="H319" s="208">
        <f>IF($B319="","",IFERROR(BDP($B319&amp;" Action","OFFERING_GREENSHOE_SHARES_EX"),""))</f>
        <v/>
      </c>
      <c r="I319" s="32">
        <f>Database!AE319</f>
        <v/>
      </c>
      <c r="J319" s="39">
        <f>IFERROR(BDP(TEXT(VALUE(Database!$A319),"0")&amp;" HK Equity","PE_RATIO"),"")</f>
        <v/>
      </c>
      <c r="K319" s="24">
        <f>IFERROR(BDP(TEXT(VALUE(Database!$A319),"0")&amp;" HK Equity","A/H_SHARE_CONVERSION"),"")</f>
        <v/>
      </c>
      <c r="L319" s="32">
        <f>IF(Database!BN319="","(none found)",Database!BN319)</f>
        <v/>
      </c>
      <c r="M319" s="34">
        <f>BDH(TEXT(VALUE(Database!$A319),"0")&amp;" HK Equity","CUR_MKT_CAP",Database!$H319,Database!$H319)</f>
        <v/>
      </c>
      <c r="N319" s="166">
        <f>Database!Q319</f>
        <v/>
      </c>
      <c r="O319" s="39">
        <f>BDH(TEXT(VALUE(Database!$A319),"0")&amp;" HK Equity","PE_RATIO",Database!$H319,Database!$H319)</f>
        <v/>
      </c>
      <c r="P319" s="199">
        <f>IF(Database!BH319="","(n/m or not derivable)",Database!BH319)</f>
        <v/>
      </c>
      <c r="Q319" s="39">
        <f>IF(Database!BN319="","",BDH(LEFT(Database!BN319,FIND(".",Database!BN319)-1)&amp;" CH Equity","PE_RATIO",Database!$H319,Database!$H319))</f>
        <v/>
      </c>
      <c r="R319" s="39">
        <f>IF(Database!BN319="","",BDH("HSAHP Index","PX_LAST",Database!$H319,Database!$H319))</f>
        <v/>
      </c>
      <c r="S319" s="39">
        <f>IFERROR(BDP(TEXT(VALUE(Database!$A319),"0")&amp;" HK Equity","PX_TO_SALES_RATIO"),"")</f>
        <v/>
      </c>
      <c r="T319" s="34">
        <f>IF(Database!BN319="","",IFERROR(BDP(LEFT(Database!BN319,FIND(".",Database!BN319)-1)&amp;" CH Equity","CUR_MKT_CAP")*BDP("CNYHKD Curncy","PX_LAST"),"Awaiting quote"))</f>
        <v/>
      </c>
    </row>
    <row r="320" ht="23" customHeight="1">
      <c r="A320" s="32">
        <f>Database!A320&amp;"  "&amp;Database!B320</f>
        <v/>
      </c>
      <c r="B320" s="24">
        <f>IFERROR(INDEX(BDS(TEXT(VALUE(Database!$A320),"0")&amp;" HK Equity","EQUITY_OFFERINGS","array=t","endcol=1"),MATCH("IPO",BDS(TEXT(VALUE(Database!$A320),"0")&amp;" HK Equity","EQUITY_OFFERINGS","array=t","startcol=2","endcol=2"),0)),"")</f>
        <v/>
      </c>
      <c r="C320" s="208">
        <f>IF($B320="","",IFERROR(BDP($B320&amp;" Action","CP036"),""))</f>
        <v/>
      </c>
      <c r="D320" s="209">
        <f>Database!S320</f>
        <v/>
      </c>
      <c r="E320" s="208">
        <f>IF($B320="","",IFERROR(BDP($B320&amp;" Action","CP037"),""))</f>
        <v/>
      </c>
      <c r="F320" s="209">
        <f>Database!T320</f>
        <v/>
      </c>
      <c r="G320" s="208">
        <f>IF($B320="","",IFERROR(BDP($B320&amp;" Action","GREENSHOE_FACILITY"),""))</f>
        <v/>
      </c>
      <c r="H320" s="208">
        <f>IF($B320="","",IFERROR(BDP($B320&amp;" Action","OFFERING_GREENSHOE_SHARES_EX"),""))</f>
        <v/>
      </c>
      <c r="I320" s="32">
        <f>Database!AE320</f>
        <v/>
      </c>
      <c r="J320" s="39">
        <f>IFERROR(BDP(TEXT(VALUE(Database!$A320),"0")&amp;" HK Equity","PE_RATIO"),"")</f>
        <v/>
      </c>
      <c r="K320" s="24">
        <f>IFERROR(BDP(TEXT(VALUE(Database!$A320),"0")&amp;" HK Equity","A/H_SHARE_CONVERSION"),"")</f>
        <v/>
      </c>
      <c r="L320" s="32">
        <f>IF(Database!BN320="","(none found)",Database!BN320)</f>
        <v/>
      </c>
      <c r="M320" s="34">
        <f>BDH(TEXT(VALUE(Database!$A320),"0")&amp;" HK Equity","CUR_MKT_CAP",Database!$H320,Database!$H320)</f>
        <v/>
      </c>
      <c r="N320" s="166">
        <f>Database!Q320</f>
        <v/>
      </c>
      <c r="O320" s="39">
        <f>BDH(TEXT(VALUE(Database!$A320),"0")&amp;" HK Equity","PE_RATIO",Database!$H320,Database!$H320)</f>
        <v/>
      </c>
      <c r="P320" s="199">
        <f>IF(Database!BH320="","(n/m or not derivable)",Database!BH320)</f>
        <v/>
      </c>
      <c r="Q320" s="39">
        <f>IF(Database!BN320="","",BDH(LEFT(Database!BN320,FIND(".",Database!BN320)-1)&amp;" CH Equity","PE_RATIO",Database!$H320,Database!$H320))</f>
        <v/>
      </c>
      <c r="R320" s="39">
        <f>IF(Database!BN320="","",BDH("HSAHP Index","PX_LAST",Database!$H320,Database!$H320))</f>
        <v/>
      </c>
      <c r="S320" s="39">
        <f>IFERROR(BDP(TEXT(VALUE(Database!$A320),"0")&amp;" HK Equity","PX_TO_SALES_RATIO"),"")</f>
        <v/>
      </c>
      <c r="T320" s="34">
        <f>IF(Database!BN320="","",IFERROR(BDP(LEFT(Database!BN320,FIND(".",Database!BN320)-1)&amp;" CH Equity","CUR_MKT_CAP")*BDP("CNYHKD Curncy","PX_LAST"),"Awaiting quote"))</f>
        <v/>
      </c>
    </row>
    <row r="321" ht="23" customHeight="1">
      <c r="A321" s="32">
        <f>Database!A321&amp;"  "&amp;Database!B321</f>
        <v/>
      </c>
      <c r="B321" s="24">
        <f>IFERROR(INDEX(BDS(TEXT(VALUE(Database!$A321),"0")&amp;" HK Equity","EQUITY_OFFERINGS","array=t","endcol=1"),MATCH("IPO",BDS(TEXT(VALUE(Database!$A321),"0")&amp;" HK Equity","EQUITY_OFFERINGS","array=t","startcol=2","endcol=2"),0)),"")</f>
        <v/>
      </c>
      <c r="C321" s="208">
        <f>IF($B321="","",IFERROR(BDP($B321&amp;" Action","CP036"),""))</f>
        <v/>
      </c>
      <c r="D321" s="209">
        <f>Database!S321</f>
        <v/>
      </c>
      <c r="E321" s="208">
        <f>IF($B321="","",IFERROR(BDP($B321&amp;" Action","CP037"),""))</f>
        <v/>
      </c>
      <c r="F321" s="209">
        <f>Database!T321</f>
        <v/>
      </c>
      <c r="G321" s="208">
        <f>IF($B321="","",IFERROR(BDP($B321&amp;" Action","GREENSHOE_FACILITY"),""))</f>
        <v/>
      </c>
      <c r="H321" s="208">
        <f>IF($B321="","",IFERROR(BDP($B321&amp;" Action","OFFERING_GREENSHOE_SHARES_EX"),""))</f>
        <v/>
      </c>
      <c r="I321" s="32">
        <f>Database!AE321</f>
        <v/>
      </c>
      <c r="J321" s="39">
        <f>IFERROR(BDP(TEXT(VALUE(Database!$A321),"0")&amp;" HK Equity","PE_RATIO"),"")</f>
        <v/>
      </c>
      <c r="K321" s="24">
        <f>IFERROR(BDP(TEXT(VALUE(Database!$A321),"0")&amp;" HK Equity","A/H_SHARE_CONVERSION"),"")</f>
        <v/>
      </c>
      <c r="L321" s="32">
        <f>IF(Database!BN321="","(none found)",Database!BN321)</f>
        <v/>
      </c>
      <c r="M321" s="34">
        <f>BDH(TEXT(VALUE(Database!$A321),"0")&amp;" HK Equity","CUR_MKT_CAP",Database!$H321,Database!$H321)</f>
        <v/>
      </c>
      <c r="N321" s="166">
        <f>Database!Q321</f>
        <v/>
      </c>
      <c r="O321" s="39">
        <f>BDH(TEXT(VALUE(Database!$A321),"0")&amp;" HK Equity","PE_RATIO",Database!$H321,Database!$H321)</f>
        <v/>
      </c>
      <c r="P321" s="199">
        <f>IF(Database!BH321="","(n/m or not derivable)",Database!BH321)</f>
        <v/>
      </c>
      <c r="Q321" s="39">
        <f>IF(Database!BN321="","",BDH(LEFT(Database!BN321,FIND(".",Database!BN321)-1)&amp;" CH Equity","PE_RATIO",Database!$H321,Database!$H321))</f>
        <v/>
      </c>
      <c r="R321" s="39">
        <f>IF(Database!BN321="","",BDH("HSAHP Index","PX_LAST",Database!$H321,Database!$H321))</f>
        <v/>
      </c>
      <c r="S321" s="39">
        <f>IFERROR(BDP(TEXT(VALUE(Database!$A321),"0")&amp;" HK Equity","PX_TO_SALES_RATIO"),"")</f>
        <v/>
      </c>
      <c r="T321" s="34">
        <f>IF(Database!BN321="","",IFERROR(BDP(LEFT(Database!BN321,FIND(".",Database!BN321)-1)&amp;" CH Equity","CUR_MKT_CAP")*BDP("CNYHKD Curncy","PX_LAST"),"Awaiting quote"))</f>
        <v/>
      </c>
    </row>
    <row r="322" ht="23" customHeight="1">
      <c r="A322" s="32">
        <f>Database!A322&amp;"  "&amp;Database!B322</f>
        <v/>
      </c>
      <c r="B322" s="24">
        <f>IFERROR(INDEX(BDS(TEXT(VALUE(Database!$A322),"0")&amp;" HK Equity","EQUITY_OFFERINGS","array=t","endcol=1"),MATCH("IPO",BDS(TEXT(VALUE(Database!$A322),"0")&amp;" HK Equity","EQUITY_OFFERINGS","array=t","startcol=2","endcol=2"),0)),"")</f>
        <v/>
      </c>
      <c r="C322" s="208">
        <f>IF($B322="","",IFERROR(BDP($B322&amp;" Action","CP036"),""))</f>
        <v/>
      </c>
      <c r="D322" s="209">
        <f>Database!S322</f>
        <v/>
      </c>
      <c r="E322" s="208">
        <f>IF($B322="","",IFERROR(BDP($B322&amp;" Action","CP037"),""))</f>
        <v/>
      </c>
      <c r="F322" s="209">
        <f>Database!T322</f>
        <v/>
      </c>
      <c r="G322" s="208">
        <f>IF($B322="","",IFERROR(BDP($B322&amp;" Action","GREENSHOE_FACILITY"),""))</f>
        <v/>
      </c>
      <c r="H322" s="208">
        <f>IF($B322="","",IFERROR(BDP($B322&amp;" Action","OFFERING_GREENSHOE_SHARES_EX"),""))</f>
        <v/>
      </c>
      <c r="I322" s="32">
        <f>Database!AE322</f>
        <v/>
      </c>
      <c r="J322" s="39">
        <f>IFERROR(BDP(TEXT(VALUE(Database!$A322),"0")&amp;" HK Equity","PE_RATIO"),"")</f>
        <v/>
      </c>
      <c r="K322" s="24">
        <f>IFERROR(BDP(TEXT(VALUE(Database!$A322),"0")&amp;" HK Equity","A/H_SHARE_CONVERSION"),"")</f>
        <v/>
      </c>
      <c r="L322" s="32">
        <f>IF(Database!BN322="","(none found)",Database!BN322)</f>
        <v/>
      </c>
      <c r="M322" s="34">
        <f>BDH(TEXT(VALUE(Database!$A322),"0")&amp;" HK Equity","CUR_MKT_CAP",Database!$H322,Database!$H322)</f>
        <v/>
      </c>
      <c r="N322" s="166">
        <f>Database!Q322</f>
        <v/>
      </c>
      <c r="O322" s="39">
        <f>BDH(TEXT(VALUE(Database!$A322),"0")&amp;" HK Equity","PE_RATIO",Database!$H322,Database!$H322)</f>
        <v/>
      </c>
      <c r="P322" s="199">
        <f>IF(Database!BH322="","(n/m or not derivable)",Database!BH322)</f>
        <v/>
      </c>
      <c r="Q322" s="39">
        <f>IF(Database!BN322="","",BDH(LEFT(Database!BN322,FIND(".",Database!BN322)-1)&amp;" CH Equity","PE_RATIO",Database!$H322,Database!$H322))</f>
        <v/>
      </c>
      <c r="R322" s="39">
        <f>IF(Database!BN322="","",BDH("HSAHP Index","PX_LAST",Database!$H322,Database!$H322))</f>
        <v/>
      </c>
      <c r="S322" s="39">
        <f>IFERROR(BDP(TEXT(VALUE(Database!$A322),"0")&amp;" HK Equity","PX_TO_SALES_RATIO"),"")</f>
        <v/>
      </c>
      <c r="T322" s="34">
        <f>IF(Database!BN322="","",IFERROR(BDP(LEFT(Database!BN322,FIND(".",Database!BN322)-1)&amp;" CH Equity","CUR_MKT_CAP")*BDP("CNYHKD Curncy","PX_LAST"),"Awaiting quote"))</f>
        <v/>
      </c>
    </row>
    <row r="323" ht="23" customHeight="1">
      <c r="A323" s="32">
        <f>Database!A323&amp;"  "&amp;Database!B323</f>
        <v/>
      </c>
      <c r="B323" s="24">
        <f>IFERROR(INDEX(BDS(TEXT(VALUE(Database!$A323),"0")&amp;" HK Equity","EQUITY_OFFERINGS","array=t","endcol=1"),MATCH("IPO",BDS(TEXT(VALUE(Database!$A323),"0")&amp;" HK Equity","EQUITY_OFFERINGS","array=t","startcol=2","endcol=2"),0)),"")</f>
        <v/>
      </c>
      <c r="C323" s="208">
        <f>IF($B323="","",IFERROR(BDP($B323&amp;" Action","CP036"),""))</f>
        <v/>
      </c>
      <c r="D323" s="209">
        <f>Database!S323</f>
        <v/>
      </c>
      <c r="E323" s="208">
        <f>IF($B323="","",IFERROR(BDP($B323&amp;" Action","CP037"),""))</f>
        <v/>
      </c>
      <c r="F323" s="209">
        <f>Database!T323</f>
        <v/>
      </c>
      <c r="G323" s="208">
        <f>IF($B323="","",IFERROR(BDP($B323&amp;" Action","GREENSHOE_FACILITY"),""))</f>
        <v/>
      </c>
      <c r="H323" s="208">
        <f>IF($B323="","",IFERROR(BDP($B323&amp;" Action","OFFERING_GREENSHOE_SHARES_EX"),""))</f>
        <v/>
      </c>
      <c r="I323" s="32">
        <f>Database!AE323</f>
        <v/>
      </c>
      <c r="J323" s="39">
        <f>IFERROR(BDP(TEXT(VALUE(Database!$A323),"0")&amp;" HK Equity","PE_RATIO"),"")</f>
        <v/>
      </c>
      <c r="K323" s="24">
        <f>IFERROR(BDP(TEXT(VALUE(Database!$A323),"0")&amp;" HK Equity","A/H_SHARE_CONVERSION"),"")</f>
        <v/>
      </c>
      <c r="L323" s="32">
        <f>IF(Database!BN323="","(none found)",Database!BN323)</f>
        <v/>
      </c>
      <c r="M323" s="34">
        <f>BDH(TEXT(VALUE(Database!$A323),"0")&amp;" HK Equity","CUR_MKT_CAP",Database!$H323,Database!$H323)</f>
        <v/>
      </c>
      <c r="N323" s="166">
        <f>Database!Q323</f>
        <v/>
      </c>
      <c r="O323" s="39">
        <f>BDH(TEXT(VALUE(Database!$A323),"0")&amp;" HK Equity","PE_RATIO",Database!$H323,Database!$H323)</f>
        <v/>
      </c>
      <c r="P323" s="199">
        <f>IF(Database!BH323="","(n/m or not derivable)",Database!BH323)</f>
        <v/>
      </c>
      <c r="Q323" s="39">
        <f>IF(Database!BN323="","",BDH(LEFT(Database!BN323,FIND(".",Database!BN323)-1)&amp;" CH Equity","PE_RATIO",Database!$H323,Database!$H323))</f>
        <v/>
      </c>
      <c r="R323" s="39">
        <f>IF(Database!BN323="","",BDH("HSAHP Index","PX_LAST",Database!$H323,Database!$H323))</f>
        <v/>
      </c>
      <c r="S323" s="39">
        <f>IFERROR(BDP(TEXT(VALUE(Database!$A323),"0")&amp;" HK Equity","PX_TO_SALES_RATIO"),"")</f>
        <v/>
      </c>
      <c r="T323" s="34">
        <f>IF(Database!BN323="","",IFERROR(BDP(LEFT(Database!BN323,FIND(".",Database!BN323)-1)&amp;" CH Equity","CUR_MKT_CAP")*BDP("CNYHKD Curncy","PX_LAST"),"Awaiting quote"))</f>
        <v/>
      </c>
    </row>
    <row r="324" ht="23" customHeight="1">
      <c r="A324" s="32">
        <f>Database!A324&amp;"  "&amp;Database!B324</f>
        <v/>
      </c>
      <c r="B324" s="24">
        <f>IFERROR(INDEX(BDS(TEXT(VALUE(Database!$A324),"0")&amp;" HK Equity","EQUITY_OFFERINGS","array=t","endcol=1"),MATCH("IPO",BDS(TEXT(VALUE(Database!$A324),"0")&amp;" HK Equity","EQUITY_OFFERINGS","array=t","startcol=2","endcol=2"),0)),"")</f>
        <v/>
      </c>
      <c r="C324" s="208">
        <f>IF($B324="","",IFERROR(BDP($B324&amp;" Action","CP036"),""))</f>
        <v/>
      </c>
      <c r="D324" s="209">
        <f>Database!S324</f>
        <v/>
      </c>
      <c r="E324" s="208">
        <f>IF($B324="","",IFERROR(BDP($B324&amp;" Action","CP037"),""))</f>
        <v/>
      </c>
      <c r="F324" s="209">
        <f>Database!T324</f>
        <v/>
      </c>
      <c r="G324" s="208">
        <f>IF($B324="","",IFERROR(BDP($B324&amp;" Action","GREENSHOE_FACILITY"),""))</f>
        <v/>
      </c>
      <c r="H324" s="208">
        <f>IF($B324="","",IFERROR(BDP($B324&amp;" Action","OFFERING_GREENSHOE_SHARES_EX"),""))</f>
        <v/>
      </c>
      <c r="I324" s="32">
        <f>Database!AE324</f>
        <v/>
      </c>
      <c r="J324" s="39">
        <f>IFERROR(BDP(TEXT(VALUE(Database!$A324),"0")&amp;" HK Equity","PE_RATIO"),"")</f>
        <v/>
      </c>
      <c r="K324" s="24">
        <f>IFERROR(BDP(TEXT(VALUE(Database!$A324),"0")&amp;" HK Equity","A/H_SHARE_CONVERSION"),"")</f>
        <v/>
      </c>
      <c r="L324" s="32">
        <f>IF(Database!BN324="","(none found)",Database!BN324)</f>
        <v/>
      </c>
      <c r="M324" s="34">
        <f>BDH(TEXT(VALUE(Database!$A324),"0")&amp;" HK Equity","CUR_MKT_CAP",Database!$H324,Database!$H324)</f>
        <v/>
      </c>
      <c r="N324" s="166">
        <f>Database!Q324</f>
        <v/>
      </c>
      <c r="O324" s="39">
        <f>BDH(TEXT(VALUE(Database!$A324),"0")&amp;" HK Equity","PE_RATIO",Database!$H324,Database!$H324)</f>
        <v/>
      </c>
      <c r="P324" s="199">
        <f>IF(Database!BH324="","(n/m or not derivable)",Database!BH324)</f>
        <v/>
      </c>
      <c r="Q324" s="39">
        <f>IF(Database!BN324="","",BDH(LEFT(Database!BN324,FIND(".",Database!BN324)-1)&amp;" CH Equity","PE_RATIO",Database!$H324,Database!$H324))</f>
        <v/>
      </c>
      <c r="R324" s="39">
        <f>IF(Database!BN324="","",BDH("HSAHP Index","PX_LAST",Database!$H324,Database!$H324))</f>
        <v/>
      </c>
      <c r="S324" s="39">
        <f>IFERROR(BDP(TEXT(VALUE(Database!$A324),"0")&amp;" HK Equity","PX_TO_SALES_RATIO"),"")</f>
        <v/>
      </c>
      <c r="T324" s="34">
        <f>IF(Database!BN324="","",IFERROR(BDP(LEFT(Database!BN324,FIND(".",Database!BN324)-1)&amp;" CH Equity","CUR_MKT_CAP")*BDP("CNYHKD Curncy","PX_LAST"),"Awaiting quote"))</f>
        <v/>
      </c>
    </row>
    <row r="325" ht="23" customHeight="1">
      <c r="A325" s="32">
        <f>Database!A325&amp;"  "&amp;Database!B325</f>
        <v/>
      </c>
      <c r="B325" s="24">
        <f>IFERROR(INDEX(BDS(TEXT(VALUE(Database!$A325),"0")&amp;" HK Equity","EQUITY_OFFERINGS","array=t","endcol=1"),MATCH("IPO",BDS(TEXT(VALUE(Database!$A325),"0")&amp;" HK Equity","EQUITY_OFFERINGS","array=t","startcol=2","endcol=2"),0)),"")</f>
        <v/>
      </c>
      <c r="C325" s="208">
        <f>IF($B325="","",IFERROR(BDP($B325&amp;" Action","CP036"),""))</f>
        <v/>
      </c>
      <c r="D325" s="209">
        <f>Database!S325</f>
        <v/>
      </c>
      <c r="E325" s="208">
        <f>IF($B325="","",IFERROR(BDP($B325&amp;" Action","CP037"),""))</f>
        <v/>
      </c>
      <c r="F325" s="209">
        <f>Database!T325</f>
        <v/>
      </c>
      <c r="G325" s="208">
        <f>IF($B325="","",IFERROR(BDP($B325&amp;" Action","GREENSHOE_FACILITY"),""))</f>
        <v/>
      </c>
      <c r="H325" s="208">
        <f>IF($B325="","",IFERROR(BDP($B325&amp;" Action","OFFERING_GREENSHOE_SHARES_EX"),""))</f>
        <v/>
      </c>
      <c r="I325" s="32">
        <f>Database!AE325</f>
        <v/>
      </c>
      <c r="J325" s="39">
        <f>IFERROR(BDP(TEXT(VALUE(Database!$A325),"0")&amp;" HK Equity","PE_RATIO"),"")</f>
        <v/>
      </c>
      <c r="K325" s="24">
        <f>IFERROR(BDP(TEXT(VALUE(Database!$A325),"0")&amp;" HK Equity","A/H_SHARE_CONVERSION"),"")</f>
        <v/>
      </c>
      <c r="L325" s="32">
        <f>IF(Database!BN325="","(none found)",Database!BN325)</f>
        <v/>
      </c>
      <c r="M325" s="34">
        <f>BDH(TEXT(VALUE(Database!$A325),"0")&amp;" HK Equity","CUR_MKT_CAP",Database!$H325,Database!$H325)</f>
        <v/>
      </c>
      <c r="N325" s="166">
        <f>Database!Q325</f>
        <v/>
      </c>
      <c r="O325" s="39">
        <f>BDH(TEXT(VALUE(Database!$A325),"0")&amp;" HK Equity","PE_RATIO",Database!$H325,Database!$H325)</f>
        <v/>
      </c>
      <c r="P325" s="199">
        <f>IF(Database!BH325="","(n/m or not derivable)",Database!BH325)</f>
        <v/>
      </c>
      <c r="Q325" s="39">
        <f>IF(Database!BN325="","",BDH(LEFT(Database!BN325,FIND(".",Database!BN325)-1)&amp;" CH Equity","PE_RATIO",Database!$H325,Database!$H325))</f>
        <v/>
      </c>
      <c r="R325" s="39">
        <f>IF(Database!BN325="","",BDH("HSAHP Index","PX_LAST",Database!$H325,Database!$H325))</f>
        <v/>
      </c>
      <c r="S325" s="39">
        <f>IFERROR(BDP(TEXT(VALUE(Database!$A325),"0")&amp;" HK Equity","PX_TO_SALES_RATIO"),"")</f>
        <v/>
      </c>
      <c r="T325" s="34">
        <f>IF(Database!BN325="","",IFERROR(BDP(LEFT(Database!BN325,FIND(".",Database!BN325)-1)&amp;" CH Equity","CUR_MKT_CAP")*BDP("CNYHKD Curncy","PX_LAST"),"Awaiting quote"))</f>
        <v/>
      </c>
    </row>
    <row r="326" ht="23" customHeight="1">
      <c r="A326" s="32">
        <f>Database!A326&amp;"  "&amp;Database!B326</f>
        <v/>
      </c>
      <c r="B326" s="24">
        <f>IFERROR(INDEX(BDS(TEXT(VALUE(Database!$A326),"0")&amp;" HK Equity","EQUITY_OFFERINGS","array=t","endcol=1"),MATCH("IPO",BDS(TEXT(VALUE(Database!$A326),"0")&amp;" HK Equity","EQUITY_OFFERINGS","array=t","startcol=2","endcol=2"),0)),"")</f>
        <v/>
      </c>
      <c r="C326" s="208">
        <f>IF($B326="","",IFERROR(BDP($B326&amp;" Action","CP036"),""))</f>
        <v/>
      </c>
      <c r="D326" s="209">
        <f>Database!S326</f>
        <v/>
      </c>
      <c r="E326" s="208">
        <f>IF($B326="","",IFERROR(BDP($B326&amp;" Action","CP037"),""))</f>
        <v/>
      </c>
      <c r="F326" s="209">
        <f>Database!T326</f>
        <v/>
      </c>
      <c r="G326" s="208">
        <f>IF($B326="","",IFERROR(BDP($B326&amp;" Action","GREENSHOE_FACILITY"),""))</f>
        <v/>
      </c>
      <c r="H326" s="208">
        <f>IF($B326="","",IFERROR(BDP($B326&amp;" Action","OFFERING_GREENSHOE_SHARES_EX"),""))</f>
        <v/>
      </c>
      <c r="I326" s="32">
        <f>Database!AE326</f>
        <v/>
      </c>
      <c r="J326" s="39">
        <f>IFERROR(BDP(TEXT(VALUE(Database!$A326),"0")&amp;" HK Equity","PE_RATIO"),"")</f>
        <v/>
      </c>
      <c r="K326" s="24">
        <f>IFERROR(BDP(TEXT(VALUE(Database!$A326),"0")&amp;" HK Equity","A/H_SHARE_CONVERSION"),"")</f>
        <v/>
      </c>
      <c r="L326" s="32">
        <f>IF(Database!BN326="","(none found)",Database!BN326)</f>
        <v/>
      </c>
      <c r="M326" s="34">
        <f>BDH(TEXT(VALUE(Database!$A326),"0")&amp;" HK Equity","CUR_MKT_CAP",Database!$H326,Database!$H326)</f>
        <v/>
      </c>
      <c r="N326" s="166">
        <f>Database!Q326</f>
        <v/>
      </c>
      <c r="O326" s="39">
        <f>BDH(TEXT(VALUE(Database!$A326),"0")&amp;" HK Equity","PE_RATIO",Database!$H326,Database!$H326)</f>
        <v/>
      </c>
      <c r="P326" s="199">
        <f>IF(Database!BH326="","(n/m or not derivable)",Database!BH326)</f>
        <v/>
      </c>
      <c r="Q326" s="39">
        <f>IF(Database!BN326="","",BDH(LEFT(Database!BN326,FIND(".",Database!BN326)-1)&amp;" CH Equity","PE_RATIO",Database!$H326,Database!$H326))</f>
        <v/>
      </c>
      <c r="R326" s="39">
        <f>IF(Database!BN326="","",BDH("HSAHP Index","PX_LAST",Database!$H326,Database!$H326))</f>
        <v/>
      </c>
      <c r="S326" s="39">
        <f>IFERROR(BDP(TEXT(VALUE(Database!$A326),"0")&amp;" HK Equity","PX_TO_SALES_RATIO"),"")</f>
        <v/>
      </c>
      <c r="T326" s="34">
        <f>IF(Database!BN326="","",IFERROR(BDP(LEFT(Database!BN326,FIND(".",Database!BN326)-1)&amp;" CH Equity","CUR_MKT_CAP")*BDP("CNYHKD Curncy","PX_LAST"),"Awaiting quote"))</f>
        <v/>
      </c>
    </row>
    <row r="327" ht="23" customHeight="1">
      <c r="A327" s="32">
        <f>Database!A327&amp;"  "&amp;Database!B327</f>
        <v/>
      </c>
      <c r="B327" s="24">
        <f>IFERROR(INDEX(BDS(TEXT(VALUE(Database!$A327),"0")&amp;" HK Equity","EQUITY_OFFERINGS","array=t","endcol=1"),MATCH("IPO",BDS(TEXT(VALUE(Database!$A327),"0")&amp;" HK Equity","EQUITY_OFFERINGS","array=t","startcol=2","endcol=2"),0)),"")</f>
        <v/>
      </c>
      <c r="C327" s="208">
        <f>IF($B327="","",IFERROR(BDP($B327&amp;" Action","CP036"),""))</f>
        <v/>
      </c>
      <c r="D327" s="209">
        <f>Database!S327</f>
        <v/>
      </c>
      <c r="E327" s="208">
        <f>IF($B327="","",IFERROR(BDP($B327&amp;" Action","CP037"),""))</f>
        <v/>
      </c>
      <c r="F327" s="209">
        <f>Database!T327</f>
        <v/>
      </c>
      <c r="G327" s="208">
        <f>IF($B327="","",IFERROR(BDP($B327&amp;" Action","GREENSHOE_FACILITY"),""))</f>
        <v/>
      </c>
      <c r="H327" s="208">
        <f>IF($B327="","",IFERROR(BDP($B327&amp;" Action","OFFERING_GREENSHOE_SHARES_EX"),""))</f>
        <v/>
      </c>
      <c r="I327" s="32">
        <f>Database!AE327</f>
        <v/>
      </c>
      <c r="J327" s="39">
        <f>IFERROR(BDP(TEXT(VALUE(Database!$A327),"0")&amp;" HK Equity","PE_RATIO"),"")</f>
        <v/>
      </c>
      <c r="K327" s="24">
        <f>IFERROR(BDP(TEXT(VALUE(Database!$A327),"0")&amp;" HK Equity","A/H_SHARE_CONVERSION"),"")</f>
        <v/>
      </c>
      <c r="L327" s="32">
        <f>IF(Database!BN327="","(none found)",Database!BN327)</f>
        <v/>
      </c>
      <c r="M327" s="34">
        <f>BDH(TEXT(VALUE(Database!$A327),"0")&amp;" HK Equity","CUR_MKT_CAP",Database!$H327,Database!$H327)</f>
        <v/>
      </c>
      <c r="N327" s="166">
        <f>Database!Q327</f>
        <v/>
      </c>
      <c r="O327" s="39">
        <f>BDH(TEXT(VALUE(Database!$A327),"0")&amp;" HK Equity","PE_RATIO",Database!$H327,Database!$H327)</f>
        <v/>
      </c>
      <c r="P327" s="199">
        <f>IF(Database!BH327="","(n/m or not derivable)",Database!BH327)</f>
        <v/>
      </c>
      <c r="Q327" s="39">
        <f>IF(Database!BN327="","",BDH(LEFT(Database!BN327,FIND(".",Database!BN327)-1)&amp;" CH Equity","PE_RATIO",Database!$H327,Database!$H327))</f>
        <v/>
      </c>
      <c r="R327" s="39">
        <f>IF(Database!BN327="","",BDH("HSAHP Index","PX_LAST",Database!$H327,Database!$H327))</f>
        <v/>
      </c>
      <c r="S327" s="39">
        <f>IFERROR(BDP(TEXT(VALUE(Database!$A327),"0")&amp;" HK Equity","PX_TO_SALES_RATIO"),"")</f>
        <v/>
      </c>
      <c r="T327" s="34">
        <f>IF(Database!BN327="","",IFERROR(BDP(LEFT(Database!BN327,FIND(".",Database!BN327)-1)&amp;" CH Equity","CUR_MKT_CAP")*BDP("CNYHKD Curncy","PX_LAST"),"Awaiting quote"))</f>
        <v/>
      </c>
    </row>
    <row r="328" ht="23" customHeight="1">
      <c r="A328" s="32">
        <f>Database!A328&amp;"  "&amp;Database!B328</f>
        <v/>
      </c>
      <c r="B328" s="24">
        <f>IFERROR(INDEX(BDS(TEXT(VALUE(Database!$A328),"0")&amp;" HK Equity","EQUITY_OFFERINGS","array=t","endcol=1"),MATCH("IPO",BDS(TEXT(VALUE(Database!$A328),"0")&amp;" HK Equity","EQUITY_OFFERINGS","array=t","startcol=2","endcol=2"),0)),"")</f>
        <v/>
      </c>
      <c r="C328" s="208">
        <f>IF($B328="","",IFERROR(BDP($B328&amp;" Action","CP036"),""))</f>
        <v/>
      </c>
      <c r="D328" s="209">
        <f>Database!S328</f>
        <v/>
      </c>
      <c r="E328" s="208">
        <f>IF($B328="","",IFERROR(BDP($B328&amp;" Action","CP037"),""))</f>
        <v/>
      </c>
      <c r="F328" s="209">
        <f>Database!T328</f>
        <v/>
      </c>
      <c r="G328" s="208">
        <f>IF($B328="","",IFERROR(BDP($B328&amp;" Action","GREENSHOE_FACILITY"),""))</f>
        <v/>
      </c>
      <c r="H328" s="208">
        <f>IF($B328="","",IFERROR(BDP($B328&amp;" Action","OFFERING_GREENSHOE_SHARES_EX"),""))</f>
        <v/>
      </c>
      <c r="I328" s="32">
        <f>Database!AE328</f>
        <v/>
      </c>
      <c r="J328" s="39">
        <f>IFERROR(BDP(TEXT(VALUE(Database!$A328),"0")&amp;" HK Equity","PE_RATIO"),"")</f>
        <v/>
      </c>
      <c r="K328" s="24">
        <f>IFERROR(BDP(TEXT(VALUE(Database!$A328),"0")&amp;" HK Equity","A/H_SHARE_CONVERSION"),"")</f>
        <v/>
      </c>
      <c r="L328" s="32">
        <f>IF(Database!BN328="","(none found)",Database!BN328)</f>
        <v/>
      </c>
      <c r="M328" s="34">
        <f>BDH(TEXT(VALUE(Database!$A328),"0")&amp;" HK Equity","CUR_MKT_CAP",Database!$H328,Database!$H328)</f>
        <v/>
      </c>
      <c r="N328" s="166">
        <f>Database!Q328</f>
        <v/>
      </c>
      <c r="O328" s="39">
        <f>BDH(TEXT(VALUE(Database!$A328),"0")&amp;" HK Equity","PE_RATIO",Database!$H328,Database!$H328)</f>
        <v/>
      </c>
      <c r="P328" s="199">
        <f>IF(Database!BH328="","(n/m or not derivable)",Database!BH328)</f>
        <v/>
      </c>
      <c r="Q328" s="39">
        <f>IF(Database!BN328="","",BDH(LEFT(Database!BN328,FIND(".",Database!BN328)-1)&amp;" CH Equity","PE_RATIO",Database!$H328,Database!$H328))</f>
        <v/>
      </c>
      <c r="R328" s="39">
        <f>IF(Database!BN328="","",BDH("HSAHP Index","PX_LAST",Database!$H328,Database!$H328))</f>
        <v/>
      </c>
      <c r="S328" s="39">
        <f>IFERROR(BDP(TEXT(VALUE(Database!$A328),"0")&amp;" HK Equity","PX_TO_SALES_RATIO"),"")</f>
        <v/>
      </c>
      <c r="T328" s="34">
        <f>IF(Database!BN328="","",IFERROR(BDP(LEFT(Database!BN328,FIND(".",Database!BN328)-1)&amp;" CH Equity","CUR_MKT_CAP")*BDP("CNYHKD Curncy","PX_LAST"),"Awaiting quote"))</f>
        <v/>
      </c>
    </row>
    <row r="329" ht="23" customHeight="1">
      <c r="A329" s="32">
        <f>Database!A329&amp;"  "&amp;Database!B329</f>
        <v/>
      </c>
      <c r="B329" s="24">
        <f>IFERROR(INDEX(BDS(TEXT(VALUE(Database!$A329),"0")&amp;" HK Equity","EQUITY_OFFERINGS","array=t","endcol=1"),MATCH("IPO",BDS(TEXT(VALUE(Database!$A329),"0")&amp;" HK Equity","EQUITY_OFFERINGS","array=t","startcol=2","endcol=2"),0)),"")</f>
        <v/>
      </c>
      <c r="C329" s="208">
        <f>IF($B329="","",IFERROR(BDP($B329&amp;" Action","CP036"),""))</f>
        <v/>
      </c>
      <c r="D329" s="209">
        <f>Database!S329</f>
        <v/>
      </c>
      <c r="E329" s="208">
        <f>IF($B329="","",IFERROR(BDP($B329&amp;" Action","CP037"),""))</f>
        <v/>
      </c>
      <c r="F329" s="209">
        <f>Database!T329</f>
        <v/>
      </c>
      <c r="G329" s="208">
        <f>IF($B329="","",IFERROR(BDP($B329&amp;" Action","GREENSHOE_FACILITY"),""))</f>
        <v/>
      </c>
      <c r="H329" s="208">
        <f>IF($B329="","",IFERROR(BDP($B329&amp;" Action","OFFERING_GREENSHOE_SHARES_EX"),""))</f>
        <v/>
      </c>
      <c r="I329" s="32">
        <f>Database!AE329</f>
        <v/>
      </c>
      <c r="J329" s="39">
        <f>IFERROR(BDP(TEXT(VALUE(Database!$A329),"0")&amp;" HK Equity","PE_RATIO"),"")</f>
        <v/>
      </c>
      <c r="K329" s="24">
        <f>IFERROR(BDP(TEXT(VALUE(Database!$A329),"0")&amp;" HK Equity","A/H_SHARE_CONVERSION"),"")</f>
        <v/>
      </c>
      <c r="L329" s="32">
        <f>IF(Database!BN329="","(none found)",Database!BN329)</f>
        <v/>
      </c>
      <c r="M329" s="34">
        <f>BDH(TEXT(VALUE(Database!$A329),"0")&amp;" HK Equity","CUR_MKT_CAP",Database!$H329,Database!$H329)</f>
        <v/>
      </c>
      <c r="N329" s="166">
        <f>Database!Q329</f>
        <v/>
      </c>
      <c r="O329" s="39">
        <f>BDH(TEXT(VALUE(Database!$A329),"0")&amp;" HK Equity","PE_RATIO",Database!$H329,Database!$H329)</f>
        <v/>
      </c>
      <c r="P329" s="199">
        <f>IF(Database!BH329="","(n/m or not derivable)",Database!BH329)</f>
        <v/>
      </c>
      <c r="Q329" s="39">
        <f>IF(Database!BN329="","",BDH(LEFT(Database!BN329,FIND(".",Database!BN329)-1)&amp;" CH Equity","PE_RATIO",Database!$H329,Database!$H329))</f>
        <v/>
      </c>
      <c r="R329" s="39">
        <f>IF(Database!BN329="","",BDH("HSAHP Index","PX_LAST",Database!$H329,Database!$H329))</f>
        <v/>
      </c>
      <c r="S329" s="39">
        <f>IFERROR(BDP(TEXT(VALUE(Database!$A329),"0")&amp;" HK Equity","PX_TO_SALES_RATIO"),"")</f>
        <v/>
      </c>
      <c r="T329" s="34">
        <f>IF(Database!BN329="","",IFERROR(BDP(LEFT(Database!BN329,FIND(".",Database!BN329)-1)&amp;" CH Equity","CUR_MKT_CAP")*BDP("CNYHKD Curncy","PX_LAST"),"Awaiting quote"))</f>
        <v/>
      </c>
    </row>
    <row r="330" ht="23" customHeight="1">
      <c r="A330" s="32">
        <f>Database!A330&amp;"  "&amp;Database!B330</f>
        <v/>
      </c>
      <c r="B330" s="24">
        <f>IFERROR(INDEX(BDS(TEXT(VALUE(Database!$A330),"0")&amp;" HK Equity","EQUITY_OFFERINGS","array=t","endcol=1"),MATCH("IPO",BDS(TEXT(VALUE(Database!$A330),"0")&amp;" HK Equity","EQUITY_OFFERINGS","array=t","startcol=2","endcol=2"),0)),"")</f>
        <v/>
      </c>
      <c r="C330" s="208">
        <f>IF($B330="","",IFERROR(BDP($B330&amp;" Action","CP036"),""))</f>
        <v/>
      </c>
      <c r="D330" s="209">
        <f>Database!S330</f>
        <v/>
      </c>
      <c r="E330" s="208">
        <f>IF($B330="","",IFERROR(BDP($B330&amp;" Action","CP037"),""))</f>
        <v/>
      </c>
      <c r="F330" s="209">
        <f>Database!T330</f>
        <v/>
      </c>
      <c r="G330" s="208">
        <f>IF($B330="","",IFERROR(BDP($B330&amp;" Action","GREENSHOE_FACILITY"),""))</f>
        <v/>
      </c>
      <c r="H330" s="208">
        <f>IF($B330="","",IFERROR(BDP($B330&amp;" Action","OFFERING_GREENSHOE_SHARES_EX"),""))</f>
        <v/>
      </c>
      <c r="I330" s="32">
        <f>Database!AE330</f>
        <v/>
      </c>
      <c r="J330" s="39">
        <f>IFERROR(BDP(TEXT(VALUE(Database!$A330),"0")&amp;" HK Equity","PE_RATIO"),"")</f>
        <v/>
      </c>
      <c r="K330" s="24">
        <f>IFERROR(BDP(TEXT(VALUE(Database!$A330),"0")&amp;" HK Equity","A/H_SHARE_CONVERSION"),"")</f>
        <v/>
      </c>
      <c r="L330" s="32">
        <f>IF(Database!BN330="","(none found)",Database!BN330)</f>
        <v/>
      </c>
      <c r="M330" s="34">
        <f>BDH(TEXT(VALUE(Database!$A330),"0")&amp;" HK Equity","CUR_MKT_CAP",Database!$H330,Database!$H330)</f>
        <v/>
      </c>
      <c r="N330" s="166">
        <f>Database!Q330</f>
        <v/>
      </c>
      <c r="O330" s="39">
        <f>BDH(TEXT(VALUE(Database!$A330),"0")&amp;" HK Equity","PE_RATIO",Database!$H330,Database!$H330)</f>
        <v/>
      </c>
      <c r="P330" s="199">
        <f>IF(Database!BH330="","(n/m or not derivable)",Database!BH330)</f>
        <v/>
      </c>
      <c r="Q330" s="39">
        <f>IF(Database!BN330="","",BDH(LEFT(Database!BN330,FIND(".",Database!BN330)-1)&amp;" CH Equity","PE_RATIO",Database!$H330,Database!$H330))</f>
        <v/>
      </c>
      <c r="R330" s="39">
        <f>IF(Database!BN330="","",BDH("HSAHP Index","PX_LAST",Database!$H330,Database!$H330))</f>
        <v/>
      </c>
      <c r="S330" s="39">
        <f>IFERROR(BDP(TEXT(VALUE(Database!$A330),"0")&amp;" HK Equity","PX_TO_SALES_RATIO"),"")</f>
        <v/>
      </c>
      <c r="T330" s="34">
        <f>IF(Database!BN330="","",IFERROR(BDP(LEFT(Database!BN330,FIND(".",Database!BN330)-1)&amp;" CH Equity","CUR_MKT_CAP")*BDP("CNYHKD Curncy","PX_LAST"),"Awaiting quote"))</f>
        <v/>
      </c>
    </row>
    <row r="331" ht="23" customHeight="1">
      <c r="A331" s="32">
        <f>Database!A331&amp;"  "&amp;Database!B331</f>
        <v/>
      </c>
      <c r="B331" s="24">
        <f>IFERROR(INDEX(BDS(TEXT(VALUE(Database!$A331),"0")&amp;" HK Equity","EQUITY_OFFERINGS","array=t","endcol=1"),MATCH("IPO",BDS(TEXT(VALUE(Database!$A331),"0")&amp;" HK Equity","EQUITY_OFFERINGS","array=t","startcol=2","endcol=2"),0)),"")</f>
        <v/>
      </c>
      <c r="C331" s="208">
        <f>IF($B331="","",IFERROR(BDP($B331&amp;" Action","CP036"),""))</f>
        <v/>
      </c>
      <c r="D331" s="209">
        <f>Database!S331</f>
        <v/>
      </c>
      <c r="E331" s="208">
        <f>IF($B331="","",IFERROR(BDP($B331&amp;" Action","CP037"),""))</f>
        <v/>
      </c>
      <c r="F331" s="209">
        <f>Database!T331</f>
        <v/>
      </c>
      <c r="G331" s="208">
        <f>IF($B331="","",IFERROR(BDP($B331&amp;" Action","GREENSHOE_FACILITY"),""))</f>
        <v/>
      </c>
      <c r="H331" s="208">
        <f>IF($B331="","",IFERROR(BDP($B331&amp;" Action","OFFERING_GREENSHOE_SHARES_EX"),""))</f>
        <v/>
      </c>
      <c r="I331" s="32">
        <f>Database!AE331</f>
        <v/>
      </c>
      <c r="J331" s="39">
        <f>IFERROR(BDP(TEXT(VALUE(Database!$A331),"0")&amp;" HK Equity","PE_RATIO"),"")</f>
        <v/>
      </c>
      <c r="K331" s="24">
        <f>IFERROR(BDP(TEXT(VALUE(Database!$A331),"0")&amp;" HK Equity","A/H_SHARE_CONVERSION"),"")</f>
        <v/>
      </c>
      <c r="L331" s="32">
        <f>IF(Database!BN331="","(none found)",Database!BN331)</f>
        <v/>
      </c>
      <c r="M331" s="34">
        <f>BDH(TEXT(VALUE(Database!$A331),"0")&amp;" HK Equity","CUR_MKT_CAP",Database!$H331,Database!$H331)</f>
        <v/>
      </c>
      <c r="N331" s="166">
        <f>Database!Q331</f>
        <v/>
      </c>
      <c r="O331" s="39">
        <f>BDH(TEXT(VALUE(Database!$A331),"0")&amp;" HK Equity","PE_RATIO",Database!$H331,Database!$H331)</f>
        <v/>
      </c>
      <c r="P331" s="199">
        <f>IF(Database!BH331="","(n/m or not derivable)",Database!BH331)</f>
        <v/>
      </c>
      <c r="Q331" s="39">
        <f>IF(Database!BN331="","",BDH(LEFT(Database!BN331,FIND(".",Database!BN331)-1)&amp;" CH Equity","PE_RATIO",Database!$H331,Database!$H331))</f>
        <v/>
      </c>
      <c r="R331" s="39">
        <f>IF(Database!BN331="","",BDH("HSAHP Index","PX_LAST",Database!$H331,Database!$H331))</f>
        <v/>
      </c>
      <c r="S331" s="39">
        <f>IFERROR(BDP(TEXT(VALUE(Database!$A331),"0")&amp;" HK Equity","PX_TO_SALES_RATIO"),"")</f>
        <v/>
      </c>
      <c r="T331" s="34">
        <f>IF(Database!BN331="","",IFERROR(BDP(LEFT(Database!BN331,FIND(".",Database!BN331)-1)&amp;" CH Equity","CUR_MKT_CAP")*BDP("CNYHKD Curncy","PX_LAST"),"Awaiting quote"))</f>
        <v/>
      </c>
    </row>
    <row r="332" ht="23" customHeight="1">
      <c r="A332" s="32">
        <f>Database!A332&amp;"  "&amp;Database!B332</f>
        <v/>
      </c>
      <c r="B332" s="24">
        <f>IFERROR(INDEX(BDS(TEXT(VALUE(Database!$A332),"0")&amp;" HK Equity","EQUITY_OFFERINGS","array=t","endcol=1"),MATCH("IPO",BDS(TEXT(VALUE(Database!$A332),"0")&amp;" HK Equity","EQUITY_OFFERINGS","array=t","startcol=2","endcol=2"),0)),"")</f>
        <v/>
      </c>
      <c r="C332" s="208">
        <f>IF($B332="","",IFERROR(BDP($B332&amp;" Action","CP036"),""))</f>
        <v/>
      </c>
      <c r="D332" s="209">
        <f>Database!S332</f>
        <v/>
      </c>
      <c r="E332" s="208">
        <f>IF($B332="","",IFERROR(BDP($B332&amp;" Action","CP037"),""))</f>
        <v/>
      </c>
      <c r="F332" s="209">
        <f>Database!T332</f>
        <v/>
      </c>
      <c r="G332" s="208">
        <f>IF($B332="","",IFERROR(BDP($B332&amp;" Action","GREENSHOE_FACILITY"),""))</f>
        <v/>
      </c>
      <c r="H332" s="208">
        <f>IF($B332="","",IFERROR(BDP($B332&amp;" Action","OFFERING_GREENSHOE_SHARES_EX"),""))</f>
        <v/>
      </c>
      <c r="I332" s="32">
        <f>Database!AE332</f>
        <v/>
      </c>
      <c r="J332" s="39">
        <f>IFERROR(BDP(TEXT(VALUE(Database!$A332),"0")&amp;" HK Equity","PE_RATIO"),"")</f>
        <v/>
      </c>
      <c r="K332" s="24">
        <f>IFERROR(BDP(TEXT(VALUE(Database!$A332),"0")&amp;" HK Equity","A/H_SHARE_CONVERSION"),"")</f>
        <v/>
      </c>
      <c r="L332" s="32">
        <f>IF(Database!BN332="","(none found)",Database!BN332)</f>
        <v/>
      </c>
      <c r="M332" s="34">
        <f>BDH(TEXT(VALUE(Database!$A332),"0")&amp;" HK Equity","CUR_MKT_CAP",Database!$H332,Database!$H332)</f>
        <v/>
      </c>
      <c r="N332" s="166">
        <f>Database!Q332</f>
        <v/>
      </c>
      <c r="O332" s="39">
        <f>BDH(TEXT(VALUE(Database!$A332),"0")&amp;" HK Equity","PE_RATIO",Database!$H332,Database!$H332)</f>
        <v/>
      </c>
      <c r="P332" s="199">
        <f>IF(Database!BH332="","(n/m or not derivable)",Database!BH332)</f>
        <v/>
      </c>
      <c r="Q332" s="39">
        <f>IF(Database!BN332="","",BDH(LEFT(Database!BN332,FIND(".",Database!BN332)-1)&amp;" CH Equity","PE_RATIO",Database!$H332,Database!$H332))</f>
        <v/>
      </c>
      <c r="R332" s="39">
        <f>IF(Database!BN332="","",BDH("HSAHP Index","PX_LAST",Database!$H332,Database!$H332))</f>
        <v/>
      </c>
      <c r="S332" s="39">
        <f>IFERROR(BDP(TEXT(VALUE(Database!$A332),"0")&amp;" HK Equity","PX_TO_SALES_RATIO"),"")</f>
        <v/>
      </c>
      <c r="T332" s="34">
        <f>IF(Database!BN332="","",IFERROR(BDP(LEFT(Database!BN332,FIND(".",Database!BN332)-1)&amp;" CH Equity","CUR_MKT_CAP")*BDP("CNYHKD Curncy","PX_LAST"),"Awaiting quote"))</f>
        <v/>
      </c>
    </row>
    <row r="333" ht="23" customHeight="1">
      <c r="A333" s="32">
        <f>Database!A333&amp;"  "&amp;Database!B333</f>
        <v/>
      </c>
      <c r="B333" s="24">
        <f>IFERROR(INDEX(BDS(TEXT(VALUE(Database!$A333),"0")&amp;" HK Equity","EQUITY_OFFERINGS","array=t","endcol=1"),MATCH("IPO",BDS(TEXT(VALUE(Database!$A333),"0")&amp;" HK Equity","EQUITY_OFFERINGS","array=t","startcol=2","endcol=2"),0)),"")</f>
        <v/>
      </c>
      <c r="C333" s="208">
        <f>IF($B333="","",IFERROR(BDP($B333&amp;" Action","CP036"),""))</f>
        <v/>
      </c>
      <c r="D333" s="209">
        <f>Database!S333</f>
        <v/>
      </c>
      <c r="E333" s="208">
        <f>IF($B333="","",IFERROR(BDP($B333&amp;" Action","CP037"),""))</f>
        <v/>
      </c>
      <c r="F333" s="209">
        <f>Database!T333</f>
        <v/>
      </c>
      <c r="G333" s="208">
        <f>IF($B333="","",IFERROR(BDP($B333&amp;" Action","GREENSHOE_FACILITY"),""))</f>
        <v/>
      </c>
      <c r="H333" s="208">
        <f>IF($B333="","",IFERROR(BDP($B333&amp;" Action","OFFERING_GREENSHOE_SHARES_EX"),""))</f>
        <v/>
      </c>
      <c r="I333" s="32">
        <f>Database!AE333</f>
        <v/>
      </c>
      <c r="J333" s="39">
        <f>IFERROR(BDP(TEXT(VALUE(Database!$A333),"0")&amp;" HK Equity","PE_RATIO"),"")</f>
        <v/>
      </c>
      <c r="K333" s="24">
        <f>IFERROR(BDP(TEXT(VALUE(Database!$A333),"0")&amp;" HK Equity","A/H_SHARE_CONVERSION"),"")</f>
        <v/>
      </c>
      <c r="L333" s="32">
        <f>IF(Database!BN333="","(none found)",Database!BN333)</f>
        <v/>
      </c>
      <c r="M333" s="34">
        <f>BDH(TEXT(VALUE(Database!$A333),"0")&amp;" HK Equity","CUR_MKT_CAP",Database!$H333,Database!$H333)</f>
        <v/>
      </c>
      <c r="N333" s="166">
        <f>Database!Q333</f>
        <v/>
      </c>
      <c r="O333" s="39">
        <f>BDH(TEXT(VALUE(Database!$A333),"0")&amp;" HK Equity","PE_RATIO",Database!$H333,Database!$H333)</f>
        <v/>
      </c>
      <c r="P333" s="199">
        <f>IF(Database!BH333="","(n/m or not derivable)",Database!BH333)</f>
        <v/>
      </c>
      <c r="Q333" s="39">
        <f>IF(Database!BN333="","",BDH(LEFT(Database!BN333,FIND(".",Database!BN333)-1)&amp;" CH Equity","PE_RATIO",Database!$H333,Database!$H333))</f>
        <v/>
      </c>
      <c r="R333" s="39">
        <f>IF(Database!BN333="","",BDH("HSAHP Index","PX_LAST",Database!$H333,Database!$H333))</f>
        <v/>
      </c>
      <c r="S333" s="39">
        <f>IFERROR(BDP(TEXT(VALUE(Database!$A333),"0")&amp;" HK Equity","PX_TO_SALES_RATIO"),"")</f>
        <v/>
      </c>
      <c r="T333" s="34">
        <f>IF(Database!BN333="","",IFERROR(BDP(LEFT(Database!BN333,FIND(".",Database!BN333)-1)&amp;" CH Equity","CUR_MKT_CAP")*BDP("CNYHKD Curncy","PX_LAST"),"Awaiting quote"))</f>
        <v/>
      </c>
    </row>
    <row r="334" ht="23" customHeight="1">
      <c r="A334" s="32">
        <f>Database!A334&amp;"  "&amp;Database!B334</f>
        <v/>
      </c>
      <c r="B334" s="24">
        <f>IFERROR(INDEX(BDS(TEXT(VALUE(Database!$A334),"0")&amp;" HK Equity","EQUITY_OFFERINGS","array=t","endcol=1"),MATCH("IPO",BDS(TEXT(VALUE(Database!$A334),"0")&amp;" HK Equity","EQUITY_OFFERINGS","array=t","startcol=2","endcol=2"),0)),"")</f>
        <v/>
      </c>
      <c r="C334" s="208">
        <f>IF($B334="","",IFERROR(BDP($B334&amp;" Action","CP036"),""))</f>
        <v/>
      </c>
      <c r="D334" s="209">
        <f>Database!S334</f>
        <v/>
      </c>
      <c r="E334" s="208">
        <f>IF($B334="","",IFERROR(BDP($B334&amp;" Action","CP037"),""))</f>
        <v/>
      </c>
      <c r="F334" s="209">
        <f>Database!T334</f>
        <v/>
      </c>
      <c r="G334" s="208">
        <f>IF($B334="","",IFERROR(BDP($B334&amp;" Action","GREENSHOE_FACILITY"),""))</f>
        <v/>
      </c>
      <c r="H334" s="208">
        <f>IF($B334="","",IFERROR(BDP($B334&amp;" Action","OFFERING_GREENSHOE_SHARES_EX"),""))</f>
        <v/>
      </c>
      <c r="I334" s="32">
        <f>Database!AE334</f>
        <v/>
      </c>
      <c r="J334" s="39">
        <f>IFERROR(BDP(TEXT(VALUE(Database!$A334),"0")&amp;" HK Equity","PE_RATIO"),"")</f>
        <v/>
      </c>
      <c r="K334" s="24">
        <f>IFERROR(BDP(TEXT(VALUE(Database!$A334),"0")&amp;" HK Equity","A/H_SHARE_CONVERSION"),"")</f>
        <v/>
      </c>
      <c r="L334" s="32">
        <f>IF(Database!BN334="","(none found)",Database!BN334)</f>
        <v/>
      </c>
      <c r="M334" s="34">
        <f>BDH(TEXT(VALUE(Database!$A334),"0")&amp;" HK Equity","CUR_MKT_CAP",Database!$H334,Database!$H334)</f>
        <v/>
      </c>
      <c r="N334" s="166">
        <f>Database!Q334</f>
        <v/>
      </c>
      <c r="O334" s="39">
        <f>BDH(TEXT(VALUE(Database!$A334),"0")&amp;" HK Equity","PE_RATIO",Database!$H334,Database!$H334)</f>
        <v/>
      </c>
      <c r="P334" s="199">
        <f>IF(Database!BH334="","(n/m or not derivable)",Database!BH334)</f>
        <v/>
      </c>
      <c r="Q334" s="39">
        <f>IF(Database!BN334="","",BDH(LEFT(Database!BN334,FIND(".",Database!BN334)-1)&amp;" CH Equity","PE_RATIO",Database!$H334,Database!$H334))</f>
        <v/>
      </c>
      <c r="R334" s="39">
        <f>IF(Database!BN334="","",BDH("HSAHP Index","PX_LAST",Database!$H334,Database!$H334))</f>
        <v/>
      </c>
      <c r="S334" s="39">
        <f>IFERROR(BDP(TEXT(VALUE(Database!$A334),"0")&amp;" HK Equity","PX_TO_SALES_RATIO"),"")</f>
        <v/>
      </c>
      <c r="T334" s="34">
        <f>IF(Database!BN334="","",IFERROR(BDP(LEFT(Database!BN334,FIND(".",Database!BN334)-1)&amp;" CH Equity","CUR_MKT_CAP")*BDP("CNYHKD Curncy","PX_LAST"),"Awaiting quote"))</f>
        <v/>
      </c>
    </row>
    <row r="335" ht="23" customHeight="1">
      <c r="A335" s="32">
        <f>Database!A335&amp;"  "&amp;Database!B335</f>
        <v/>
      </c>
      <c r="B335" s="24">
        <f>IFERROR(INDEX(BDS(TEXT(VALUE(Database!$A335),"0")&amp;" HK Equity","EQUITY_OFFERINGS","array=t","endcol=1"),MATCH("IPO",BDS(TEXT(VALUE(Database!$A335),"0")&amp;" HK Equity","EQUITY_OFFERINGS","array=t","startcol=2","endcol=2"),0)),"")</f>
        <v/>
      </c>
      <c r="C335" s="208">
        <f>IF($B335="","",IFERROR(BDP($B335&amp;" Action","CP036"),""))</f>
        <v/>
      </c>
      <c r="D335" s="209">
        <f>Database!S335</f>
        <v/>
      </c>
      <c r="E335" s="208">
        <f>IF($B335="","",IFERROR(BDP($B335&amp;" Action","CP037"),""))</f>
        <v/>
      </c>
      <c r="F335" s="209">
        <f>Database!T335</f>
        <v/>
      </c>
      <c r="G335" s="208">
        <f>IF($B335="","",IFERROR(BDP($B335&amp;" Action","GREENSHOE_FACILITY"),""))</f>
        <v/>
      </c>
      <c r="H335" s="208">
        <f>IF($B335="","",IFERROR(BDP($B335&amp;" Action","OFFERING_GREENSHOE_SHARES_EX"),""))</f>
        <v/>
      </c>
      <c r="I335" s="32">
        <f>Database!AE335</f>
        <v/>
      </c>
      <c r="J335" s="39">
        <f>IFERROR(BDP(TEXT(VALUE(Database!$A335),"0")&amp;" HK Equity","PE_RATIO"),"")</f>
        <v/>
      </c>
      <c r="K335" s="24">
        <f>IFERROR(BDP(TEXT(VALUE(Database!$A335),"0")&amp;" HK Equity","A/H_SHARE_CONVERSION"),"")</f>
        <v/>
      </c>
      <c r="L335" s="32">
        <f>IF(Database!BN335="","(none found)",Database!BN335)</f>
        <v/>
      </c>
      <c r="M335" s="34">
        <f>BDH(TEXT(VALUE(Database!$A335),"0")&amp;" HK Equity","CUR_MKT_CAP",Database!$H335,Database!$H335)</f>
        <v/>
      </c>
      <c r="N335" s="166">
        <f>Database!Q335</f>
        <v/>
      </c>
      <c r="O335" s="39">
        <f>BDH(TEXT(VALUE(Database!$A335),"0")&amp;" HK Equity","PE_RATIO",Database!$H335,Database!$H335)</f>
        <v/>
      </c>
      <c r="P335" s="199">
        <f>IF(Database!BH335="","(n/m or not derivable)",Database!BH335)</f>
        <v/>
      </c>
      <c r="Q335" s="39">
        <f>IF(Database!BN335="","",BDH(LEFT(Database!BN335,FIND(".",Database!BN335)-1)&amp;" CH Equity","PE_RATIO",Database!$H335,Database!$H335))</f>
        <v/>
      </c>
      <c r="R335" s="39">
        <f>IF(Database!BN335="","",BDH("HSAHP Index","PX_LAST",Database!$H335,Database!$H335))</f>
        <v/>
      </c>
      <c r="S335" s="39">
        <f>IFERROR(BDP(TEXT(VALUE(Database!$A335),"0")&amp;" HK Equity","PX_TO_SALES_RATIO"),"")</f>
        <v/>
      </c>
      <c r="T335" s="34">
        <f>IF(Database!BN335="","",IFERROR(BDP(LEFT(Database!BN335,FIND(".",Database!BN335)-1)&amp;" CH Equity","CUR_MKT_CAP")*BDP("CNYHKD Curncy","PX_LAST"),"Awaiting quote"))</f>
        <v/>
      </c>
    </row>
    <row r="336" ht="23" customHeight="1">
      <c r="A336" s="32">
        <f>Database!A336&amp;"  "&amp;Database!B336</f>
        <v/>
      </c>
      <c r="B336" s="24">
        <f>IFERROR(INDEX(BDS(TEXT(VALUE(Database!$A336),"0")&amp;" HK Equity","EQUITY_OFFERINGS","array=t","endcol=1"),MATCH("IPO",BDS(TEXT(VALUE(Database!$A336),"0")&amp;" HK Equity","EQUITY_OFFERINGS","array=t","startcol=2","endcol=2"),0)),"")</f>
        <v/>
      </c>
      <c r="C336" s="208">
        <f>IF($B336="","",IFERROR(BDP($B336&amp;" Action","CP036"),""))</f>
        <v/>
      </c>
      <c r="D336" s="209">
        <f>Database!S336</f>
        <v/>
      </c>
      <c r="E336" s="208">
        <f>IF($B336="","",IFERROR(BDP($B336&amp;" Action","CP037"),""))</f>
        <v/>
      </c>
      <c r="F336" s="209">
        <f>Database!T336</f>
        <v/>
      </c>
      <c r="G336" s="208">
        <f>IF($B336="","",IFERROR(BDP($B336&amp;" Action","GREENSHOE_FACILITY"),""))</f>
        <v/>
      </c>
      <c r="H336" s="208">
        <f>IF($B336="","",IFERROR(BDP($B336&amp;" Action","OFFERING_GREENSHOE_SHARES_EX"),""))</f>
        <v/>
      </c>
      <c r="I336" s="32">
        <f>Database!AE336</f>
        <v/>
      </c>
      <c r="J336" s="39">
        <f>IFERROR(BDP(TEXT(VALUE(Database!$A336),"0")&amp;" HK Equity","PE_RATIO"),"")</f>
        <v/>
      </c>
      <c r="K336" s="24">
        <f>IFERROR(BDP(TEXT(VALUE(Database!$A336),"0")&amp;" HK Equity","A/H_SHARE_CONVERSION"),"")</f>
        <v/>
      </c>
      <c r="L336" s="32">
        <f>IF(Database!BN336="","(none found)",Database!BN336)</f>
        <v/>
      </c>
      <c r="M336" s="34">
        <f>BDH(TEXT(VALUE(Database!$A336),"0")&amp;" HK Equity","CUR_MKT_CAP",Database!$H336,Database!$H336)</f>
        <v/>
      </c>
      <c r="N336" s="166">
        <f>Database!Q336</f>
        <v/>
      </c>
      <c r="O336" s="39">
        <f>BDH(TEXT(VALUE(Database!$A336),"0")&amp;" HK Equity","PE_RATIO",Database!$H336,Database!$H336)</f>
        <v/>
      </c>
      <c r="P336" s="199">
        <f>IF(Database!BH336="","(n/m or not derivable)",Database!BH336)</f>
        <v/>
      </c>
      <c r="Q336" s="39">
        <f>IF(Database!BN336="","",BDH(LEFT(Database!BN336,FIND(".",Database!BN336)-1)&amp;" CH Equity","PE_RATIO",Database!$H336,Database!$H336))</f>
        <v/>
      </c>
      <c r="R336" s="39">
        <f>IF(Database!BN336="","",BDH("HSAHP Index","PX_LAST",Database!$H336,Database!$H336))</f>
        <v/>
      </c>
      <c r="S336" s="39">
        <f>IFERROR(BDP(TEXT(VALUE(Database!$A336),"0")&amp;" HK Equity","PX_TO_SALES_RATIO"),"")</f>
        <v/>
      </c>
      <c r="T336" s="34">
        <f>IF(Database!BN336="","",IFERROR(BDP(LEFT(Database!BN336,FIND(".",Database!BN336)-1)&amp;" CH Equity","CUR_MKT_CAP")*BDP("CNYHKD Curncy","PX_LAST"),"Awaiting quote"))</f>
        <v/>
      </c>
    </row>
    <row r="337" ht="23" customHeight="1">
      <c r="A337" s="32">
        <f>Database!A337&amp;"  "&amp;Database!B337</f>
        <v/>
      </c>
      <c r="B337" s="24">
        <f>IFERROR(INDEX(BDS(TEXT(VALUE(Database!$A337),"0")&amp;" HK Equity","EQUITY_OFFERINGS","array=t","endcol=1"),MATCH("IPO",BDS(TEXT(VALUE(Database!$A337),"0")&amp;" HK Equity","EQUITY_OFFERINGS","array=t","startcol=2","endcol=2"),0)),"")</f>
        <v/>
      </c>
      <c r="C337" s="208">
        <f>IF($B337="","",IFERROR(BDP($B337&amp;" Action","CP036"),""))</f>
        <v/>
      </c>
      <c r="D337" s="209">
        <f>Database!S337</f>
        <v/>
      </c>
      <c r="E337" s="208">
        <f>IF($B337="","",IFERROR(BDP($B337&amp;" Action","CP037"),""))</f>
        <v/>
      </c>
      <c r="F337" s="209">
        <f>Database!T337</f>
        <v/>
      </c>
      <c r="G337" s="208">
        <f>IF($B337="","",IFERROR(BDP($B337&amp;" Action","GREENSHOE_FACILITY"),""))</f>
        <v/>
      </c>
      <c r="H337" s="208">
        <f>IF($B337="","",IFERROR(BDP($B337&amp;" Action","OFFERING_GREENSHOE_SHARES_EX"),""))</f>
        <v/>
      </c>
      <c r="I337" s="32">
        <f>Database!AE337</f>
        <v/>
      </c>
      <c r="J337" s="39">
        <f>IFERROR(BDP(TEXT(VALUE(Database!$A337),"0")&amp;" HK Equity","PE_RATIO"),"")</f>
        <v/>
      </c>
      <c r="K337" s="24">
        <f>IFERROR(BDP(TEXT(VALUE(Database!$A337),"0")&amp;" HK Equity","A/H_SHARE_CONVERSION"),"")</f>
        <v/>
      </c>
      <c r="L337" s="32">
        <f>IF(Database!BN337="","(none found)",Database!BN337)</f>
        <v/>
      </c>
      <c r="M337" s="34">
        <f>BDH(TEXT(VALUE(Database!$A337),"0")&amp;" HK Equity","CUR_MKT_CAP",Database!$H337,Database!$H337)</f>
        <v/>
      </c>
      <c r="N337" s="166">
        <f>Database!Q337</f>
        <v/>
      </c>
      <c r="O337" s="39">
        <f>BDH(TEXT(VALUE(Database!$A337),"0")&amp;" HK Equity","PE_RATIO",Database!$H337,Database!$H337)</f>
        <v/>
      </c>
      <c r="P337" s="199">
        <f>IF(Database!BH337="","(n/m or not derivable)",Database!BH337)</f>
        <v/>
      </c>
      <c r="Q337" s="39">
        <f>IF(Database!BN337="","",BDH(LEFT(Database!BN337,FIND(".",Database!BN337)-1)&amp;" CH Equity","PE_RATIO",Database!$H337,Database!$H337))</f>
        <v/>
      </c>
      <c r="R337" s="39">
        <f>IF(Database!BN337="","",BDH("HSAHP Index","PX_LAST",Database!$H337,Database!$H337))</f>
        <v/>
      </c>
      <c r="S337" s="39">
        <f>IFERROR(BDP(TEXT(VALUE(Database!$A337),"0")&amp;" HK Equity","PX_TO_SALES_RATIO"),"")</f>
        <v/>
      </c>
      <c r="T337" s="34">
        <f>IF(Database!BN337="","",IFERROR(BDP(LEFT(Database!BN337,FIND(".",Database!BN337)-1)&amp;" CH Equity","CUR_MKT_CAP")*BDP("CNYHKD Curncy","PX_LAST"),"Awaiting quote"))</f>
        <v/>
      </c>
    </row>
    <row r="338" ht="23" customHeight="1">
      <c r="A338" s="32">
        <f>Database!A338&amp;"  "&amp;Database!B338</f>
        <v/>
      </c>
      <c r="B338" s="24">
        <f>IFERROR(INDEX(BDS(TEXT(VALUE(Database!$A338),"0")&amp;" HK Equity","EQUITY_OFFERINGS","array=t","endcol=1"),MATCH("IPO",BDS(TEXT(VALUE(Database!$A338),"0")&amp;" HK Equity","EQUITY_OFFERINGS","array=t","startcol=2","endcol=2"),0)),"")</f>
        <v/>
      </c>
      <c r="C338" s="208">
        <f>IF($B338="","",IFERROR(BDP($B338&amp;" Action","CP036"),""))</f>
        <v/>
      </c>
      <c r="D338" s="209">
        <f>Database!S338</f>
        <v/>
      </c>
      <c r="E338" s="208">
        <f>IF($B338="","",IFERROR(BDP($B338&amp;" Action","CP037"),""))</f>
        <v/>
      </c>
      <c r="F338" s="209">
        <f>Database!T338</f>
        <v/>
      </c>
      <c r="G338" s="208">
        <f>IF($B338="","",IFERROR(BDP($B338&amp;" Action","GREENSHOE_FACILITY"),""))</f>
        <v/>
      </c>
      <c r="H338" s="208">
        <f>IF($B338="","",IFERROR(BDP($B338&amp;" Action","OFFERING_GREENSHOE_SHARES_EX"),""))</f>
        <v/>
      </c>
      <c r="I338" s="32">
        <f>Database!AE338</f>
        <v/>
      </c>
      <c r="J338" s="39">
        <f>IFERROR(BDP(TEXT(VALUE(Database!$A338),"0")&amp;" HK Equity","PE_RATIO"),"")</f>
        <v/>
      </c>
      <c r="K338" s="24">
        <f>IFERROR(BDP(TEXT(VALUE(Database!$A338),"0")&amp;" HK Equity","A/H_SHARE_CONVERSION"),"")</f>
        <v/>
      </c>
      <c r="L338" s="32">
        <f>IF(Database!BN338="","(none found)",Database!BN338)</f>
        <v/>
      </c>
      <c r="M338" s="34">
        <f>BDH(TEXT(VALUE(Database!$A338),"0")&amp;" HK Equity","CUR_MKT_CAP",Database!$H338,Database!$H338)</f>
        <v/>
      </c>
      <c r="N338" s="166">
        <f>Database!Q338</f>
        <v/>
      </c>
      <c r="O338" s="39">
        <f>BDH(TEXT(VALUE(Database!$A338),"0")&amp;" HK Equity","PE_RATIO",Database!$H338,Database!$H338)</f>
        <v/>
      </c>
      <c r="P338" s="199">
        <f>IF(Database!BH338="","(n/m or not derivable)",Database!BH338)</f>
        <v/>
      </c>
      <c r="Q338" s="39">
        <f>IF(Database!BN338="","",BDH(LEFT(Database!BN338,FIND(".",Database!BN338)-1)&amp;" CH Equity","PE_RATIO",Database!$H338,Database!$H338))</f>
        <v/>
      </c>
      <c r="R338" s="39">
        <f>IF(Database!BN338="","",BDH("HSAHP Index","PX_LAST",Database!$H338,Database!$H338))</f>
        <v/>
      </c>
      <c r="S338" s="39">
        <f>IFERROR(BDP(TEXT(VALUE(Database!$A338),"0")&amp;" HK Equity","PX_TO_SALES_RATIO"),"")</f>
        <v/>
      </c>
      <c r="T338" s="34">
        <f>IF(Database!BN338="","",IFERROR(BDP(LEFT(Database!BN338,FIND(".",Database!BN338)-1)&amp;" CH Equity","CUR_MKT_CAP")*BDP("CNYHKD Curncy","PX_LAST"),"Awaiting quote"))</f>
        <v/>
      </c>
    </row>
    <row r="339" ht="23" customHeight="1">
      <c r="A339" s="32">
        <f>Database!A339&amp;"  "&amp;Database!B339</f>
        <v/>
      </c>
      <c r="B339" s="24">
        <f>IFERROR(INDEX(BDS(TEXT(VALUE(Database!$A339),"0")&amp;" HK Equity","EQUITY_OFFERINGS","array=t","endcol=1"),MATCH("IPO",BDS(TEXT(VALUE(Database!$A339),"0")&amp;" HK Equity","EQUITY_OFFERINGS","array=t","startcol=2","endcol=2"),0)),"")</f>
        <v/>
      </c>
      <c r="C339" s="208">
        <f>IF($B339="","",IFERROR(BDP($B339&amp;" Action","CP036"),""))</f>
        <v/>
      </c>
      <c r="D339" s="209">
        <f>Database!S339</f>
        <v/>
      </c>
      <c r="E339" s="208">
        <f>IF($B339="","",IFERROR(BDP($B339&amp;" Action","CP037"),""))</f>
        <v/>
      </c>
      <c r="F339" s="209">
        <f>Database!T339</f>
        <v/>
      </c>
      <c r="G339" s="208">
        <f>IF($B339="","",IFERROR(BDP($B339&amp;" Action","GREENSHOE_FACILITY"),""))</f>
        <v/>
      </c>
      <c r="H339" s="208">
        <f>IF($B339="","",IFERROR(BDP($B339&amp;" Action","OFFERING_GREENSHOE_SHARES_EX"),""))</f>
        <v/>
      </c>
      <c r="I339" s="32">
        <f>Database!AE339</f>
        <v/>
      </c>
      <c r="J339" s="39">
        <f>IFERROR(BDP(TEXT(VALUE(Database!$A339),"0")&amp;" HK Equity","PE_RATIO"),"")</f>
        <v/>
      </c>
      <c r="K339" s="24">
        <f>IFERROR(BDP(TEXT(VALUE(Database!$A339),"0")&amp;" HK Equity","A/H_SHARE_CONVERSION"),"")</f>
        <v/>
      </c>
      <c r="L339" s="32">
        <f>IF(Database!BN339="","(none found)",Database!BN339)</f>
        <v/>
      </c>
      <c r="M339" s="34">
        <f>BDH(TEXT(VALUE(Database!$A339),"0")&amp;" HK Equity","CUR_MKT_CAP",Database!$H339,Database!$H339)</f>
        <v/>
      </c>
      <c r="N339" s="166">
        <f>Database!Q339</f>
        <v/>
      </c>
      <c r="O339" s="39">
        <f>BDH(TEXT(VALUE(Database!$A339),"0")&amp;" HK Equity","PE_RATIO",Database!$H339,Database!$H339)</f>
        <v/>
      </c>
      <c r="P339" s="199">
        <f>IF(Database!BH339="","(n/m or not derivable)",Database!BH339)</f>
        <v/>
      </c>
      <c r="Q339" s="39">
        <f>IF(Database!BN339="","",BDH(LEFT(Database!BN339,FIND(".",Database!BN339)-1)&amp;" CH Equity","PE_RATIO",Database!$H339,Database!$H339))</f>
        <v/>
      </c>
      <c r="R339" s="39">
        <f>IF(Database!BN339="","",BDH("HSAHP Index","PX_LAST",Database!$H339,Database!$H339))</f>
        <v/>
      </c>
      <c r="S339" s="39">
        <f>IFERROR(BDP(TEXT(VALUE(Database!$A339),"0")&amp;" HK Equity","PX_TO_SALES_RATIO"),"")</f>
        <v/>
      </c>
      <c r="T339" s="34">
        <f>IF(Database!BN339="","",IFERROR(BDP(LEFT(Database!BN339,FIND(".",Database!BN339)-1)&amp;" CH Equity","CUR_MKT_CAP")*BDP("CNYHKD Curncy","PX_LAST"),"Awaiting quote"))</f>
        <v/>
      </c>
    </row>
    <row r="340" ht="23" customHeight="1">
      <c r="A340" s="32">
        <f>Database!A340&amp;"  "&amp;Database!B340</f>
        <v/>
      </c>
      <c r="B340" s="24">
        <f>IFERROR(INDEX(BDS(TEXT(VALUE(Database!$A340),"0")&amp;" HK Equity","EQUITY_OFFERINGS","array=t","endcol=1"),MATCH("IPO",BDS(TEXT(VALUE(Database!$A340),"0")&amp;" HK Equity","EQUITY_OFFERINGS","array=t","startcol=2","endcol=2"),0)),"")</f>
        <v/>
      </c>
      <c r="C340" s="208">
        <f>IF($B340="","",IFERROR(BDP($B340&amp;" Action","CP036"),""))</f>
        <v/>
      </c>
      <c r="D340" s="209">
        <f>Database!S340</f>
        <v/>
      </c>
      <c r="E340" s="208">
        <f>IF($B340="","",IFERROR(BDP($B340&amp;" Action","CP037"),""))</f>
        <v/>
      </c>
      <c r="F340" s="209">
        <f>Database!T340</f>
        <v/>
      </c>
      <c r="G340" s="208">
        <f>IF($B340="","",IFERROR(BDP($B340&amp;" Action","GREENSHOE_FACILITY"),""))</f>
        <v/>
      </c>
      <c r="H340" s="208">
        <f>IF($B340="","",IFERROR(BDP($B340&amp;" Action","OFFERING_GREENSHOE_SHARES_EX"),""))</f>
        <v/>
      </c>
      <c r="I340" s="32">
        <f>Database!AE340</f>
        <v/>
      </c>
      <c r="J340" s="39">
        <f>IFERROR(BDP(TEXT(VALUE(Database!$A340),"0")&amp;" HK Equity","PE_RATIO"),"")</f>
        <v/>
      </c>
      <c r="K340" s="24">
        <f>IFERROR(BDP(TEXT(VALUE(Database!$A340),"0")&amp;" HK Equity","A/H_SHARE_CONVERSION"),"")</f>
        <v/>
      </c>
      <c r="L340" s="32">
        <f>IF(Database!BN340="","(none found)",Database!BN340)</f>
        <v/>
      </c>
      <c r="M340" s="34">
        <f>BDH(TEXT(VALUE(Database!$A340),"0")&amp;" HK Equity","CUR_MKT_CAP",Database!$H340,Database!$H340)</f>
        <v/>
      </c>
      <c r="N340" s="166">
        <f>Database!Q340</f>
        <v/>
      </c>
      <c r="O340" s="39">
        <f>BDH(TEXT(VALUE(Database!$A340),"0")&amp;" HK Equity","PE_RATIO",Database!$H340,Database!$H340)</f>
        <v/>
      </c>
      <c r="P340" s="199">
        <f>IF(Database!BH340="","(n/m or not derivable)",Database!BH340)</f>
        <v/>
      </c>
      <c r="Q340" s="39">
        <f>IF(Database!BN340="","",BDH(LEFT(Database!BN340,FIND(".",Database!BN340)-1)&amp;" CH Equity","PE_RATIO",Database!$H340,Database!$H340))</f>
        <v/>
      </c>
      <c r="R340" s="39">
        <f>IF(Database!BN340="","",BDH("HSAHP Index","PX_LAST",Database!$H340,Database!$H340))</f>
        <v/>
      </c>
      <c r="S340" s="39">
        <f>IFERROR(BDP(TEXT(VALUE(Database!$A340),"0")&amp;" HK Equity","PX_TO_SALES_RATIO"),"")</f>
        <v/>
      </c>
      <c r="T340" s="34">
        <f>IF(Database!BN340="","",IFERROR(BDP(LEFT(Database!BN340,FIND(".",Database!BN340)-1)&amp;" CH Equity","CUR_MKT_CAP")*BDP("CNYHKD Curncy","PX_LAST"),"Awaiting quote"))</f>
        <v/>
      </c>
    </row>
    <row r="341" ht="23" customHeight="1">
      <c r="A341" s="32">
        <f>Database!A341&amp;"  "&amp;Database!B341</f>
        <v/>
      </c>
      <c r="B341" s="24">
        <f>IFERROR(INDEX(BDS(TEXT(VALUE(Database!$A341),"0")&amp;" HK Equity","EQUITY_OFFERINGS","array=t","endcol=1"),MATCH("IPO",BDS(TEXT(VALUE(Database!$A341),"0")&amp;" HK Equity","EQUITY_OFFERINGS","array=t","startcol=2","endcol=2"),0)),"")</f>
        <v/>
      </c>
      <c r="C341" s="208">
        <f>IF($B341="","",IFERROR(BDP($B341&amp;" Action","CP036"),""))</f>
        <v/>
      </c>
      <c r="D341" s="209">
        <f>Database!S341</f>
        <v/>
      </c>
      <c r="E341" s="208">
        <f>IF($B341="","",IFERROR(BDP($B341&amp;" Action","CP037"),""))</f>
        <v/>
      </c>
      <c r="F341" s="209">
        <f>Database!T341</f>
        <v/>
      </c>
      <c r="G341" s="208">
        <f>IF($B341="","",IFERROR(BDP($B341&amp;" Action","GREENSHOE_FACILITY"),""))</f>
        <v/>
      </c>
      <c r="H341" s="208">
        <f>IF($B341="","",IFERROR(BDP($B341&amp;" Action","OFFERING_GREENSHOE_SHARES_EX"),""))</f>
        <v/>
      </c>
      <c r="I341" s="32">
        <f>Database!AE341</f>
        <v/>
      </c>
      <c r="J341" s="39">
        <f>IFERROR(BDP(TEXT(VALUE(Database!$A341),"0")&amp;" HK Equity","PE_RATIO"),"")</f>
        <v/>
      </c>
      <c r="K341" s="24">
        <f>IFERROR(BDP(TEXT(VALUE(Database!$A341),"0")&amp;" HK Equity","A/H_SHARE_CONVERSION"),"")</f>
        <v/>
      </c>
      <c r="L341" s="32">
        <f>IF(Database!BN341="","(none found)",Database!BN341)</f>
        <v/>
      </c>
      <c r="M341" s="34">
        <f>BDH(TEXT(VALUE(Database!$A341),"0")&amp;" HK Equity","CUR_MKT_CAP",Database!$H341,Database!$H341)</f>
        <v/>
      </c>
      <c r="N341" s="166">
        <f>Database!Q341</f>
        <v/>
      </c>
      <c r="O341" s="39">
        <f>BDH(TEXT(VALUE(Database!$A341),"0")&amp;" HK Equity","PE_RATIO",Database!$H341,Database!$H341)</f>
        <v/>
      </c>
      <c r="P341" s="199">
        <f>IF(Database!BH341="","(n/m or not derivable)",Database!BH341)</f>
        <v/>
      </c>
      <c r="Q341" s="39">
        <f>IF(Database!BN341="","",BDH(LEFT(Database!BN341,FIND(".",Database!BN341)-1)&amp;" CH Equity","PE_RATIO",Database!$H341,Database!$H341))</f>
        <v/>
      </c>
      <c r="R341" s="39">
        <f>IF(Database!BN341="","",BDH("HSAHP Index","PX_LAST",Database!$H341,Database!$H341))</f>
        <v/>
      </c>
      <c r="S341" s="39">
        <f>IFERROR(BDP(TEXT(VALUE(Database!$A341),"0")&amp;" HK Equity","PX_TO_SALES_RATIO"),"")</f>
        <v/>
      </c>
      <c r="T341" s="34">
        <f>IF(Database!BN341="","",IFERROR(BDP(LEFT(Database!BN341,FIND(".",Database!BN341)-1)&amp;" CH Equity","CUR_MKT_CAP")*BDP("CNYHKD Curncy","PX_LAST"),"Awaiting quote"))</f>
        <v/>
      </c>
    </row>
    <row r="342" ht="23" customHeight="1">
      <c r="A342" s="32">
        <f>Database!A342&amp;"  "&amp;Database!B342</f>
        <v/>
      </c>
      <c r="B342" s="24">
        <f>IFERROR(INDEX(BDS(TEXT(VALUE(Database!$A342),"0")&amp;" HK Equity","EQUITY_OFFERINGS","array=t","endcol=1"),MATCH("IPO",BDS(TEXT(VALUE(Database!$A342),"0")&amp;" HK Equity","EQUITY_OFFERINGS","array=t","startcol=2","endcol=2"),0)),"")</f>
        <v/>
      </c>
      <c r="C342" s="208">
        <f>IF($B342="","",IFERROR(BDP($B342&amp;" Action","CP036"),""))</f>
        <v/>
      </c>
      <c r="D342" s="209">
        <f>Database!S342</f>
        <v/>
      </c>
      <c r="E342" s="208">
        <f>IF($B342="","",IFERROR(BDP($B342&amp;" Action","CP037"),""))</f>
        <v/>
      </c>
      <c r="F342" s="209">
        <f>Database!T342</f>
        <v/>
      </c>
      <c r="G342" s="208">
        <f>IF($B342="","",IFERROR(BDP($B342&amp;" Action","GREENSHOE_FACILITY"),""))</f>
        <v/>
      </c>
      <c r="H342" s="208">
        <f>IF($B342="","",IFERROR(BDP($B342&amp;" Action","OFFERING_GREENSHOE_SHARES_EX"),""))</f>
        <v/>
      </c>
      <c r="I342" s="32">
        <f>Database!AE342</f>
        <v/>
      </c>
      <c r="J342" s="39">
        <f>IFERROR(BDP(TEXT(VALUE(Database!$A342),"0")&amp;" HK Equity","PE_RATIO"),"")</f>
        <v/>
      </c>
      <c r="K342" s="24">
        <f>IFERROR(BDP(TEXT(VALUE(Database!$A342),"0")&amp;" HK Equity","A/H_SHARE_CONVERSION"),"")</f>
        <v/>
      </c>
      <c r="L342" s="32">
        <f>IF(Database!BN342="","(none found)",Database!BN342)</f>
        <v/>
      </c>
      <c r="M342" s="34">
        <f>BDH(TEXT(VALUE(Database!$A342),"0")&amp;" HK Equity","CUR_MKT_CAP",Database!$H342,Database!$H342)</f>
        <v/>
      </c>
      <c r="N342" s="166">
        <f>Database!Q342</f>
        <v/>
      </c>
      <c r="O342" s="39">
        <f>BDH(TEXT(VALUE(Database!$A342),"0")&amp;" HK Equity","PE_RATIO",Database!$H342,Database!$H342)</f>
        <v/>
      </c>
      <c r="P342" s="199">
        <f>IF(Database!BH342="","(n/m or not derivable)",Database!BH342)</f>
        <v/>
      </c>
      <c r="Q342" s="39">
        <f>IF(Database!BN342="","",BDH(LEFT(Database!BN342,FIND(".",Database!BN342)-1)&amp;" CH Equity","PE_RATIO",Database!$H342,Database!$H342))</f>
        <v/>
      </c>
      <c r="R342" s="39">
        <f>IF(Database!BN342="","",BDH("HSAHP Index","PX_LAST",Database!$H342,Database!$H342))</f>
        <v/>
      </c>
      <c r="S342" s="39">
        <f>IFERROR(BDP(TEXT(VALUE(Database!$A342),"0")&amp;" HK Equity","PX_TO_SALES_RATIO"),"")</f>
        <v/>
      </c>
      <c r="T342" s="34">
        <f>IF(Database!BN342="","",IFERROR(BDP(LEFT(Database!BN342,FIND(".",Database!BN342)-1)&amp;" CH Equity","CUR_MKT_CAP")*BDP("CNYHKD Curncy","PX_LAST"),"Awaiting quote"))</f>
        <v/>
      </c>
    </row>
    <row r="343" ht="23" customHeight="1">
      <c r="A343" s="32">
        <f>Database!A343&amp;"  "&amp;Database!B343</f>
        <v/>
      </c>
      <c r="B343" s="24">
        <f>IFERROR(INDEX(BDS(TEXT(VALUE(Database!$A343),"0")&amp;" HK Equity","EQUITY_OFFERINGS","array=t","endcol=1"),MATCH("IPO",BDS(TEXT(VALUE(Database!$A343),"0")&amp;" HK Equity","EQUITY_OFFERINGS","array=t","startcol=2","endcol=2"),0)),"")</f>
        <v/>
      </c>
      <c r="C343" s="208">
        <f>IF($B343="","",IFERROR(BDP($B343&amp;" Action","CP036"),""))</f>
        <v/>
      </c>
      <c r="D343" s="209">
        <f>Database!S343</f>
        <v/>
      </c>
      <c r="E343" s="208">
        <f>IF($B343="","",IFERROR(BDP($B343&amp;" Action","CP037"),""))</f>
        <v/>
      </c>
      <c r="F343" s="209">
        <f>Database!T343</f>
        <v/>
      </c>
      <c r="G343" s="208">
        <f>IF($B343="","",IFERROR(BDP($B343&amp;" Action","GREENSHOE_FACILITY"),""))</f>
        <v/>
      </c>
      <c r="H343" s="208">
        <f>IF($B343="","",IFERROR(BDP($B343&amp;" Action","OFFERING_GREENSHOE_SHARES_EX"),""))</f>
        <v/>
      </c>
      <c r="I343" s="32">
        <f>Database!AE343</f>
        <v/>
      </c>
      <c r="J343" s="39">
        <f>IFERROR(BDP(TEXT(VALUE(Database!$A343),"0")&amp;" HK Equity","PE_RATIO"),"")</f>
        <v/>
      </c>
      <c r="K343" s="24">
        <f>IFERROR(BDP(TEXT(VALUE(Database!$A343),"0")&amp;" HK Equity","A/H_SHARE_CONVERSION"),"")</f>
        <v/>
      </c>
      <c r="L343" s="32">
        <f>IF(Database!BN343="","(none found)",Database!BN343)</f>
        <v/>
      </c>
      <c r="M343" s="34">
        <f>BDH(TEXT(VALUE(Database!$A343),"0")&amp;" HK Equity","CUR_MKT_CAP",Database!$H343,Database!$H343)</f>
        <v/>
      </c>
      <c r="N343" s="166">
        <f>Database!Q343</f>
        <v/>
      </c>
      <c r="O343" s="39">
        <f>BDH(TEXT(VALUE(Database!$A343),"0")&amp;" HK Equity","PE_RATIO",Database!$H343,Database!$H343)</f>
        <v/>
      </c>
      <c r="P343" s="199">
        <f>IF(Database!BH343="","(n/m or not derivable)",Database!BH343)</f>
        <v/>
      </c>
      <c r="Q343" s="39">
        <f>IF(Database!BN343="","",BDH(LEFT(Database!BN343,FIND(".",Database!BN343)-1)&amp;" CH Equity","PE_RATIO",Database!$H343,Database!$H343))</f>
        <v/>
      </c>
      <c r="R343" s="39">
        <f>IF(Database!BN343="","",BDH("HSAHP Index","PX_LAST",Database!$H343,Database!$H343))</f>
        <v/>
      </c>
      <c r="S343" s="39">
        <f>IFERROR(BDP(TEXT(VALUE(Database!$A343),"0")&amp;" HK Equity","PX_TO_SALES_RATIO"),"")</f>
        <v/>
      </c>
      <c r="T343" s="34">
        <f>IF(Database!BN343="","",IFERROR(BDP(LEFT(Database!BN343,FIND(".",Database!BN343)-1)&amp;" CH Equity","CUR_MKT_CAP")*BDP("CNYHKD Curncy","PX_LAST"),"Awaiting quote"))</f>
        <v/>
      </c>
    </row>
    <row r="344" ht="23" customHeight="1">
      <c r="A344" s="32">
        <f>Database!A344&amp;"  "&amp;Database!B344</f>
        <v/>
      </c>
      <c r="B344" s="24">
        <f>IFERROR(INDEX(BDS(TEXT(VALUE(Database!$A344),"0")&amp;" HK Equity","EQUITY_OFFERINGS","array=t","endcol=1"),MATCH("IPO",BDS(TEXT(VALUE(Database!$A344),"0")&amp;" HK Equity","EQUITY_OFFERINGS","array=t","startcol=2","endcol=2"),0)),"")</f>
        <v/>
      </c>
      <c r="C344" s="208">
        <f>IF($B344="","",IFERROR(BDP($B344&amp;" Action","CP036"),""))</f>
        <v/>
      </c>
      <c r="D344" s="209">
        <f>Database!S344</f>
        <v/>
      </c>
      <c r="E344" s="208">
        <f>IF($B344="","",IFERROR(BDP($B344&amp;" Action","CP037"),""))</f>
        <v/>
      </c>
      <c r="F344" s="209">
        <f>Database!T344</f>
        <v/>
      </c>
      <c r="G344" s="208">
        <f>IF($B344="","",IFERROR(BDP($B344&amp;" Action","GREENSHOE_FACILITY"),""))</f>
        <v/>
      </c>
      <c r="H344" s="208">
        <f>IF($B344="","",IFERROR(BDP($B344&amp;" Action","OFFERING_GREENSHOE_SHARES_EX"),""))</f>
        <v/>
      </c>
      <c r="I344" s="32">
        <f>Database!AE344</f>
        <v/>
      </c>
      <c r="J344" s="39">
        <f>IFERROR(BDP(TEXT(VALUE(Database!$A344),"0")&amp;" HK Equity","PE_RATIO"),"")</f>
        <v/>
      </c>
      <c r="K344" s="24">
        <f>IFERROR(BDP(TEXT(VALUE(Database!$A344),"0")&amp;" HK Equity","A/H_SHARE_CONVERSION"),"")</f>
        <v/>
      </c>
      <c r="L344" s="32">
        <f>IF(Database!BN344="","(none found)",Database!BN344)</f>
        <v/>
      </c>
      <c r="M344" s="34">
        <f>BDH(TEXT(VALUE(Database!$A344),"0")&amp;" HK Equity","CUR_MKT_CAP",Database!$H344,Database!$H344)</f>
        <v/>
      </c>
      <c r="N344" s="166">
        <f>Database!Q344</f>
        <v/>
      </c>
      <c r="O344" s="39">
        <f>BDH(TEXT(VALUE(Database!$A344),"0")&amp;" HK Equity","PE_RATIO",Database!$H344,Database!$H344)</f>
        <v/>
      </c>
      <c r="P344" s="199">
        <f>IF(Database!BH344="","(n/m or not derivable)",Database!BH344)</f>
        <v/>
      </c>
      <c r="Q344" s="39">
        <f>IF(Database!BN344="","",BDH(LEFT(Database!BN344,FIND(".",Database!BN344)-1)&amp;" CH Equity","PE_RATIO",Database!$H344,Database!$H344))</f>
        <v/>
      </c>
      <c r="R344" s="39">
        <f>IF(Database!BN344="","",BDH("HSAHP Index","PX_LAST",Database!$H344,Database!$H344))</f>
        <v/>
      </c>
      <c r="S344" s="39">
        <f>IFERROR(BDP(TEXT(VALUE(Database!$A344),"0")&amp;" HK Equity","PX_TO_SALES_RATIO"),"")</f>
        <v/>
      </c>
      <c r="T344" s="34">
        <f>IF(Database!BN344="","",IFERROR(BDP(LEFT(Database!BN344,FIND(".",Database!BN344)-1)&amp;" CH Equity","CUR_MKT_CAP")*BDP("CNYHKD Curncy","PX_LAST"),"Awaiting quote"))</f>
        <v/>
      </c>
    </row>
    <row r="345" ht="23" customHeight="1">
      <c r="A345" s="32">
        <f>Database!A345&amp;"  "&amp;Database!B345</f>
        <v/>
      </c>
      <c r="B345" s="24">
        <f>IFERROR(INDEX(BDS(TEXT(VALUE(Database!$A345),"0")&amp;" HK Equity","EQUITY_OFFERINGS","array=t","endcol=1"),MATCH("IPO",BDS(TEXT(VALUE(Database!$A345),"0")&amp;" HK Equity","EQUITY_OFFERINGS","array=t","startcol=2","endcol=2"),0)),"")</f>
        <v/>
      </c>
      <c r="C345" s="208">
        <f>IF($B345="","",IFERROR(BDP($B345&amp;" Action","CP036"),""))</f>
        <v/>
      </c>
      <c r="D345" s="209">
        <f>Database!S345</f>
        <v/>
      </c>
      <c r="E345" s="208">
        <f>IF($B345="","",IFERROR(BDP($B345&amp;" Action","CP037"),""))</f>
        <v/>
      </c>
      <c r="F345" s="209">
        <f>Database!T345</f>
        <v/>
      </c>
      <c r="G345" s="208">
        <f>IF($B345="","",IFERROR(BDP($B345&amp;" Action","GREENSHOE_FACILITY"),""))</f>
        <v/>
      </c>
      <c r="H345" s="208">
        <f>IF($B345="","",IFERROR(BDP($B345&amp;" Action","OFFERING_GREENSHOE_SHARES_EX"),""))</f>
        <v/>
      </c>
      <c r="I345" s="32">
        <f>Database!AE345</f>
        <v/>
      </c>
      <c r="J345" s="39">
        <f>IFERROR(BDP(TEXT(VALUE(Database!$A345),"0")&amp;" HK Equity","PE_RATIO"),"")</f>
        <v/>
      </c>
      <c r="K345" s="24">
        <f>IFERROR(BDP(TEXT(VALUE(Database!$A345),"0")&amp;" HK Equity","A/H_SHARE_CONVERSION"),"")</f>
        <v/>
      </c>
      <c r="L345" s="32">
        <f>IF(Database!BN345="","(none found)",Database!BN345)</f>
        <v/>
      </c>
      <c r="M345" s="34">
        <f>BDH(TEXT(VALUE(Database!$A345),"0")&amp;" HK Equity","CUR_MKT_CAP",Database!$H345,Database!$H345)</f>
        <v/>
      </c>
      <c r="N345" s="166">
        <f>Database!Q345</f>
        <v/>
      </c>
      <c r="O345" s="39">
        <f>BDH(TEXT(VALUE(Database!$A345),"0")&amp;" HK Equity","PE_RATIO",Database!$H345,Database!$H345)</f>
        <v/>
      </c>
      <c r="P345" s="199">
        <f>IF(Database!BH345="","(n/m or not derivable)",Database!BH345)</f>
        <v/>
      </c>
      <c r="Q345" s="39">
        <f>IF(Database!BN345="","",BDH(LEFT(Database!BN345,FIND(".",Database!BN345)-1)&amp;" CH Equity","PE_RATIO",Database!$H345,Database!$H345))</f>
        <v/>
      </c>
      <c r="R345" s="39">
        <f>IF(Database!BN345="","",BDH("HSAHP Index","PX_LAST",Database!$H345,Database!$H345))</f>
        <v/>
      </c>
      <c r="S345" s="39">
        <f>IFERROR(BDP(TEXT(VALUE(Database!$A345),"0")&amp;" HK Equity","PX_TO_SALES_RATIO"),"")</f>
        <v/>
      </c>
      <c r="T345" s="34">
        <f>IF(Database!BN345="","",IFERROR(BDP(LEFT(Database!BN345,FIND(".",Database!BN345)-1)&amp;" CH Equity","CUR_MKT_CAP")*BDP("CNYHKD Curncy","PX_LAST"),"Awaiting quote"))</f>
        <v/>
      </c>
    </row>
    <row r="346" ht="23" customHeight="1">
      <c r="A346" s="32">
        <f>Database!A346&amp;"  "&amp;Database!B346</f>
        <v/>
      </c>
      <c r="B346" s="24">
        <f>IFERROR(INDEX(BDS(TEXT(VALUE(Database!$A346),"0")&amp;" HK Equity","EQUITY_OFFERINGS","array=t","endcol=1"),MATCH("IPO",BDS(TEXT(VALUE(Database!$A346),"0")&amp;" HK Equity","EQUITY_OFFERINGS","array=t","startcol=2","endcol=2"),0)),"")</f>
        <v/>
      </c>
      <c r="C346" s="208">
        <f>IF($B346="","",IFERROR(BDP($B346&amp;" Action","CP036"),""))</f>
        <v/>
      </c>
      <c r="D346" s="209">
        <f>Database!S346</f>
        <v/>
      </c>
      <c r="E346" s="208">
        <f>IF($B346="","",IFERROR(BDP($B346&amp;" Action","CP037"),""))</f>
        <v/>
      </c>
      <c r="F346" s="209">
        <f>Database!T346</f>
        <v/>
      </c>
      <c r="G346" s="208">
        <f>IF($B346="","",IFERROR(BDP($B346&amp;" Action","GREENSHOE_FACILITY"),""))</f>
        <v/>
      </c>
      <c r="H346" s="208">
        <f>IF($B346="","",IFERROR(BDP($B346&amp;" Action","OFFERING_GREENSHOE_SHARES_EX"),""))</f>
        <v/>
      </c>
      <c r="I346" s="32">
        <f>Database!AE346</f>
        <v/>
      </c>
      <c r="J346" s="39">
        <f>IFERROR(BDP(TEXT(VALUE(Database!$A346),"0")&amp;" HK Equity","PE_RATIO"),"")</f>
        <v/>
      </c>
      <c r="K346" s="24">
        <f>IFERROR(BDP(TEXT(VALUE(Database!$A346),"0")&amp;" HK Equity","A/H_SHARE_CONVERSION"),"")</f>
        <v/>
      </c>
      <c r="L346" s="32">
        <f>IF(Database!BN346="","(none found)",Database!BN346)</f>
        <v/>
      </c>
      <c r="M346" s="34">
        <f>BDH(TEXT(VALUE(Database!$A346),"0")&amp;" HK Equity","CUR_MKT_CAP",Database!$H346,Database!$H346)</f>
        <v/>
      </c>
      <c r="N346" s="166">
        <f>Database!Q346</f>
        <v/>
      </c>
      <c r="O346" s="39">
        <f>BDH(TEXT(VALUE(Database!$A346),"0")&amp;" HK Equity","PE_RATIO",Database!$H346,Database!$H346)</f>
        <v/>
      </c>
      <c r="P346" s="199">
        <f>IF(Database!BH346="","(n/m or not derivable)",Database!BH346)</f>
        <v/>
      </c>
      <c r="Q346" s="39">
        <f>IF(Database!BN346="","",BDH(LEFT(Database!BN346,FIND(".",Database!BN346)-1)&amp;" CH Equity","PE_RATIO",Database!$H346,Database!$H346))</f>
        <v/>
      </c>
      <c r="R346" s="39">
        <f>IF(Database!BN346="","",BDH("HSAHP Index","PX_LAST",Database!$H346,Database!$H346))</f>
        <v/>
      </c>
      <c r="S346" s="39">
        <f>IFERROR(BDP(TEXT(VALUE(Database!$A346),"0")&amp;" HK Equity","PX_TO_SALES_RATIO"),"")</f>
        <v/>
      </c>
      <c r="T346" s="34">
        <f>IF(Database!BN346="","",IFERROR(BDP(LEFT(Database!BN346,FIND(".",Database!BN346)-1)&amp;" CH Equity","CUR_MKT_CAP")*BDP("CNYHKD Curncy","PX_LAST"),"Awaiting quote"))</f>
        <v/>
      </c>
    </row>
    <row r="347" ht="23" customHeight="1">
      <c r="A347" s="32">
        <f>Database!A347&amp;"  "&amp;Database!B347</f>
        <v/>
      </c>
      <c r="B347" s="24">
        <f>IFERROR(INDEX(BDS(TEXT(VALUE(Database!$A347),"0")&amp;" HK Equity","EQUITY_OFFERINGS","array=t","endcol=1"),MATCH("IPO",BDS(TEXT(VALUE(Database!$A347),"0")&amp;" HK Equity","EQUITY_OFFERINGS","array=t","startcol=2","endcol=2"),0)),"")</f>
        <v/>
      </c>
      <c r="C347" s="208">
        <f>IF($B347="","",IFERROR(BDP($B347&amp;" Action","CP036"),""))</f>
        <v/>
      </c>
      <c r="D347" s="209">
        <f>Database!S347</f>
        <v/>
      </c>
      <c r="E347" s="208">
        <f>IF($B347="","",IFERROR(BDP($B347&amp;" Action","CP037"),""))</f>
        <v/>
      </c>
      <c r="F347" s="209">
        <f>Database!T347</f>
        <v/>
      </c>
      <c r="G347" s="208">
        <f>IF($B347="","",IFERROR(BDP($B347&amp;" Action","GREENSHOE_FACILITY"),""))</f>
        <v/>
      </c>
      <c r="H347" s="208">
        <f>IF($B347="","",IFERROR(BDP($B347&amp;" Action","OFFERING_GREENSHOE_SHARES_EX"),""))</f>
        <v/>
      </c>
      <c r="I347" s="32">
        <f>Database!AE347</f>
        <v/>
      </c>
      <c r="J347" s="39">
        <f>IFERROR(BDP(TEXT(VALUE(Database!$A347),"0")&amp;" HK Equity","PE_RATIO"),"")</f>
        <v/>
      </c>
      <c r="K347" s="24">
        <f>IFERROR(BDP(TEXT(VALUE(Database!$A347),"0")&amp;" HK Equity","A/H_SHARE_CONVERSION"),"")</f>
        <v/>
      </c>
      <c r="L347" s="32">
        <f>IF(Database!BN347="","(none found)",Database!BN347)</f>
        <v/>
      </c>
      <c r="M347" s="34">
        <f>BDH(TEXT(VALUE(Database!$A347),"0")&amp;" HK Equity","CUR_MKT_CAP",Database!$H347,Database!$H347)</f>
        <v/>
      </c>
      <c r="N347" s="166">
        <f>Database!Q347</f>
        <v/>
      </c>
      <c r="O347" s="39">
        <f>BDH(TEXT(VALUE(Database!$A347),"0")&amp;" HK Equity","PE_RATIO",Database!$H347,Database!$H347)</f>
        <v/>
      </c>
      <c r="P347" s="199">
        <f>IF(Database!BH347="","(n/m or not derivable)",Database!BH347)</f>
        <v/>
      </c>
      <c r="Q347" s="39">
        <f>IF(Database!BN347="","",BDH(LEFT(Database!BN347,FIND(".",Database!BN347)-1)&amp;" CH Equity","PE_RATIO",Database!$H347,Database!$H347))</f>
        <v/>
      </c>
      <c r="R347" s="39">
        <f>IF(Database!BN347="","",BDH("HSAHP Index","PX_LAST",Database!$H347,Database!$H347))</f>
        <v/>
      </c>
      <c r="S347" s="39">
        <f>IFERROR(BDP(TEXT(VALUE(Database!$A347),"0")&amp;" HK Equity","PX_TO_SALES_RATIO"),"")</f>
        <v/>
      </c>
      <c r="T347" s="34">
        <f>IF(Database!BN347="","",IFERROR(BDP(LEFT(Database!BN347,FIND(".",Database!BN347)-1)&amp;" CH Equity","CUR_MKT_CAP")*BDP("CNYHKD Curncy","PX_LAST"),"Awaiting quote"))</f>
        <v/>
      </c>
    </row>
    <row r="348" ht="23" customHeight="1">
      <c r="A348" s="32">
        <f>Database!A348&amp;"  "&amp;Database!B348</f>
        <v/>
      </c>
      <c r="B348" s="24">
        <f>IFERROR(INDEX(BDS(TEXT(VALUE(Database!$A348),"0")&amp;" HK Equity","EQUITY_OFFERINGS","array=t","endcol=1"),MATCH("IPO",BDS(TEXT(VALUE(Database!$A348),"0")&amp;" HK Equity","EQUITY_OFFERINGS","array=t","startcol=2","endcol=2"),0)),"")</f>
        <v/>
      </c>
      <c r="C348" s="208">
        <f>IF($B348="","",IFERROR(BDP($B348&amp;" Action","CP036"),""))</f>
        <v/>
      </c>
      <c r="D348" s="209">
        <f>Database!S348</f>
        <v/>
      </c>
      <c r="E348" s="208">
        <f>IF($B348="","",IFERROR(BDP($B348&amp;" Action","CP037"),""))</f>
        <v/>
      </c>
      <c r="F348" s="209">
        <f>Database!T348</f>
        <v/>
      </c>
      <c r="G348" s="208">
        <f>IF($B348="","",IFERROR(BDP($B348&amp;" Action","GREENSHOE_FACILITY"),""))</f>
        <v/>
      </c>
      <c r="H348" s="208">
        <f>IF($B348="","",IFERROR(BDP($B348&amp;" Action","OFFERING_GREENSHOE_SHARES_EX"),""))</f>
        <v/>
      </c>
      <c r="I348" s="32">
        <f>Database!AE348</f>
        <v/>
      </c>
      <c r="J348" s="39">
        <f>IFERROR(BDP(TEXT(VALUE(Database!$A348),"0")&amp;" HK Equity","PE_RATIO"),"")</f>
        <v/>
      </c>
      <c r="K348" s="24">
        <f>IFERROR(BDP(TEXT(VALUE(Database!$A348),"0")&amp;" HK Equity","A/H_SHARE_CONVERSION"),"")</f>
        <v/>
      </c>
      <c r="L348" s="32">
        <f>IF(Database!BN348="","(none found)",Database!BN348)</f>
        <v/>
      </c>
      <c r="M348" s="34">
        <f>BDH(TEXT(VALUE(Database!$A348),"0")&amp;" HK Equity","CUR_MKT_CAP",Database!$H348,Database!$H348)</f>
        <v/>
      </c>
      <c r="N348" s="166">
        <f>Database!Q348</f>
        <v/>
      </c>
      <c r="O348" s="39">
        <f>BDH(TEXT(VALUE(Database!$A348),"0")&amp;" HK Equity","PE_RATIO",Database!$H348,Database!$H348)</f>
        <v/>
      </c>
      <c r="P348" s="199">
        <f>IF(Database!BH348="","(n/m or not derivable)",Database!BH348)</f>
        <v/>
      </c>
      <c r="Q348" s="39">
        <f>IF(Database!BN348="","",BDH(LEFT(Database!BN348,FIND(".",Database!BN348)-1)&amp;" CH Equity","PE_RATIO",Database!$H348,Database!$H348))</f>
        <v/>
      </c>
      <c r="R348" s="39">
        <f>IF(Database!BN348="","",BDH("HSAHP Index","PX_LAST",Database!$H348,Database!$H348))</f>
        <v/>
      </c>
      <c r="S348" s="39">
        <f>IFERROR(BDP(TEXT(VALUE(Database!$A348),"0")&amp;" HK Equity","PX_TO_SALES_RATIO"),"")</f>
        <v/>
      </c>
      <c r="T348" s="34">
        <f>IF(Database!BN348="","",IFERROR(BDP(LEFT(Database!BN348,FIND(".",Database!BN348)-1)&amp;" CH Equity","CUR_MKT_CAP")*BDP("CNYHKD Curncy","PX_LAST"),"Awaiting quote"))</f>
        <v/>
      </c>
    </row>
    <row r="349" ht="23" customHeight="1">
      <c r="A349" s="32">
        <f>Database!A349&amp;"  "&amp;Database!B349</f>
        <v/>
      </c>
      <c r="B349" s="24">
        <f>IFERROR(INDEX(BDS(TEXT(VALUE(Database!$A349),"0")&amp;" HK Equity","EQUITY_OFFERINGS","array=t","endcol=1"),MATCH("IPO",BDS(TEXT(VALUE(Database!$A349),"0")&amp;" HK Equity","EQUITY_OFFERINGS","array=t","startcol=2","endcol=2"),0)),"")</f>
        <v/>
      </c>
      <c r="C349" s="208">
        <f>IF($B349="","",IFERROR(BDP($B349&amp;" Action","CP036"),""))</f>
        <v/>
      </c>
      <c r="D349" s="209">
        <f>Database!S349</f>
        <v/>
      </c>
      <c r="E349" s="208">
        <f>IF($B349="","",IFERROR(BDP($B349&amp;" Action","CP037"),""))</f>
        <v/>
      </c>
      <c r="F349" s="209">
        <f>Database!T349</f>
        <v/>
      </c>
      <c r="G349" s="208">
        <f>IF($B349="","",IFERROR(BDP($B349&amp;" Action","GREENSHOE_FACILITY"),""))</f>
        <v/>
      </c>
      <c r="H349" s="208">
        <f>IF($B349="","",IFERROR(BDP($B349&amp;" Action","OFFERING_GREENSHOE_SHARES_EX"),""))</f>
        <v/>
      </c>
      <c r="I349" s="32">
        <f>Database!AE349</f>
        <v/>
      </c>
      <c r="J349" s="39">
        <f>IFERROR(BDP(TEXT(VALUE(Database!$A349),"0")&amp;" HK Equity","PE_RATIO"),"")</f>
        <v/>
      </c>
      <c r="K349" s="24">
        <f>IFERROR(BDP(TEXT(VALUE(Database!$A349),"0")&amp;" HK Equity","A/H_SHARE_CONVERSION"),"")</f>
        <v/>
      </c>
      <c r="L349" s="32">
        <f>IF(Database!BN349="","(none found)",Database!BN349)</f>
        <v/>
      </c>
      <c r="M349" s="34">
        <f>BDH(TEXT(VALUE(Database!$A349),"0")&amp;" HK Equity","CUR_MKT_CAP",Database!$H349,Database!$H349)</f>
        <v/>
      </c>
      <c r="N349" s="166">
        <f>Database!Q349</f>
        <v/>
      </c>
      <c r="O349" s="39">
        <f>BDH(TEXT(VALUE(Database!$A349),"0")&amp;" HK Equity","PE_RATIO",Database!$H349,Database!$H349)</f>
        <v/>
      </c>
      <c r="P349" s="199">
        <f>IF(Database!BH349="","(n/m or not derivable)",Database!BH349)</f>
        <v/>
      </c>
      <c r="Q349" s="39">
        <f>IF(Database!BN349="","",BDH(LEFT(Database!BN349,FIND(".",Database!BN349)-1)&amp;" CH Equity","PE_RATIO",Database!$H349,Database!$H349))</f>
        <v/>
      </c>
      <c r="R349" s="39">
        <f>IF(Database!BN349="","",BDH("HSAHP Index","PX_LAST",Database!$H349,Database!$H349))</f>
        <v/>
      </c>
      <c r="S349" s="39">
        <f>IFERROR(BDP(TEXT(VALUE(Database!$A349),"0")&amp;" HK Equity","PX_TO_SALES_RATIO"),"")</f>
        <v/>
      </c>
      <c r="T349" s="34">
        <f>IF(Database!BN349="","",IFERROR(BDP(LEFT(Database!BN349,FIND(".",Database!BN349)-1)&amp;" CH Equity","CUR_MKT_CAP")*BDP("CNYHKD Curncy","PX_LAST"),"Awaiting quote"))</f>
        <v/>
      </c>
    </row>
    <row r="350" ht="23" customHeight="1">
      <c r="A350" s="32">
        <f>Database!A350&amp;"  "&amp;Database!B350</f>
        <v/>
      </c>
      <c r="B350" s="24">
        <f>IFERROR(INDEX(BDS(TEXT(VALUE(Database!$A350),"0")&amp;" HK Equity","EQUITY_OFFERINGS","array=t","endcol=1"),MATCH("IPO",BDS(TEXT(VALUE(Database!$A350),"0")&amp;" HK Equity","EQUITY_OFFERINGS","array=t","startcol=2","endcol=2"),0)),"")</f>
        <v/>
      </c>
      <c r="C350" s="208">
        <f>IF($B350="","",IFERROR(BDP($B350&amp;" Action","CP036"),""))</f>
        <v/>
      </c>
      <c r="D350" s="209">
        <f>Database!S350</f>
        <v/>
      </c>
      <c r="E350" s="208">
        <f>IF($B350="","",IFERROR(BDP($B350&amp;" Action","CP037"),""))</f>
        <v/>
      </c>
      <c r="F350" s="209">
        <f>Database!T350</f>
        <v/>
      </c>
      <c r="G350" s="208">
        <f>IF($B350="","",IFERROR(BDP($B350&amp;" Action","GREENSHOE_FACILITY"),""))</f>
        <v/>
      </c>
      <c r="H350" s="208">
        <f>IF($B350="","",IFERROR(BDP($B350&amp;" Action","OFFERING_GREENSHOE_SHARES_EX"),""))</f>
        <v/>
      </c>
      <c r="I350" s="32">
        <f>Database!AE350</f>
        <v/>
      </c>
      <c r="J350" s="39">
        <f>IFERROR(BDP(TEXT(VALUE(Database!$A350),"0")&amp;" HK Equity","PE_RATIO"),"")</f>
        <v/>
      </c>
      <c r="K350" s="24">
        <f>IFERROR(BDP(TEXT(VALUE(Database!$A350),"0")&amp;" HK Equity","A/H_SHARE_CONVERSION"),"")</f>
        <v/>
      </c>
      <c r="L350" s="32">
        <f>IF(Database!BN350="","(none found)",Database!BN350)</f>
        <v/>
      </c>
      <c r="M350" s="34">
        <f>BDH(TEXT(VALUE(Database!$A350),"0")&amp;" HK Equity","CUR_MKT_CAP",Database!$H350,Database!$H350)</f>
        <v/>
      </c>
      <c r="N350" s="166">
        <f>Database!Q350</f>
        <v/>
      </c>
      <c r="O350" s="39">
        <f>BDH(TEXT(VALUE(Database!$A350),"0")&amp;" HK Equity","PE_RATIO",Database!$H350,Database!$H350)</f>
        <v/>
      </c>
      <c r="P350" s="199">
        <f>IF(Database!BH350="","(n/m or not derivable)",Database!BH350)</f>
        <v/>
      </c>
      <c r="Q350" s="39">
        <f>IF(Database!BN350="","",BDH(LEFT(Database!BN350,FIND(".",Database!BN350)-1)&amp;" CH Equity","PE_RATIO",Database!$H350,Database!$H350))</f>
        <v/>
      </c>
      <c r="R350" s="39">
        <f>IF(Database!BN350="","",BDH("HSAHP Index","PX_LAST",Database!$H350,Database!$H350))</f>
        <v/>
      </c>
      <c r="S350" s="39">
        <f>IFERROR(BDP(TEXT(VALUE(Database!$A350),"0")&amp;" HK Equity","PX_TO_SALES_RATIO"),"")</f>
        <v/>
      </c>
      <c r="T350" s="34">
        <f>IF(Database!BN350="","",IFERROR(BDP(LEFT(Database!BN350,FIND(".",Database!BN350)-1)&amp;" CH Equity","CUR_MKT_CAP")*BDP("CNYHKD Curncy","PX_LAST"),"Awaiting quote"))</f>
        <v/>
      </c>
    </row>
    <row r="351" ht="23" customHeight="1">
      <c r="A351" s="32">
        <f>Database!A351&amp;"  "&amp;Database!B351</f>
        <v/>
      </c>
      <c r="B351" s="24">
        <f>IFERROR(INDEX(BDS(TEXT(VALUE(Database!$A351),"0")&amp;" HK Equity","EQUITY_OFFERINGS","array=t","endcol=1"),MATCH("IPO",BDS(TEXT(VALUE(Database!$A351),"0")&amp;" HK Equity","EQUITY_OFFERINGS","array=t","startcol=2","endcol=2"),0)),"")</f>
        <v/>
      </c>
      <c r="C351" s="208">
        <f>IF($B351="","",IFERROR(BDP($B351&amp;" Action","CP036"),""))</f>
        <v/>
      </c>
      <c r="D351" s="209">
        <f>Database!S351</f>
        <v/>
      </c>
      <c r="E351" s="208">
        <f>IF($B351="","",IFERROR(BDP($B351&amp;" Action","CP037"),""))</f>
        <v/>
      </c>
      <c r="F351" s="209">
        <f>Database!T351</f>
        <v/>
      </c>
      <c r="G351" s="208">
        <f>IF($B351="","",IFERROR(BDP($B351&amp;" Action","GREENSHOE_FACILITY"),""))</f>
        <v/>
      </c>
      <c r="H351" s="208">
        <f>IF($B351="","",IFERROR(BDP($B351&amp;" Action","OFFERING_GREENSHOE_SHARES_EX"),""))</f>
        <v/>
      </c>
      <c r="I351" s="32">
        <f>Database!AE351</f>
        <v/>
      </c>
      <c r="J351" s="39">
        <f>IFERROR(BDP(TEXT(VALUE(Database!$A351),"0")&amp;" HK Equity","PE_RATIO"),"")</f>
        <v/>
      </c>
      <c r="K351" s="24">
        <f>IFERROR(BDP(TEXT(VALUE(Database!$A351),"0")&amp;" HK Equity","A/H_SHARE_CONVERSION"),"")</f>
        <v/>
      </c>
      <c r="L351" s="32">
        <f>IF(Database!BN351="","(none found)",Database!BN351)</f>
        <v/>
      </c>
      <c r="M351" s="34">
        <f>BDH(TEXT(VALUE(Database!$A351),"0")&amp;" HK Equity","CUR_MKT_CAP",Database!$H351,Database!$H351)</f>
        <v/>
      </c>
      <c r="N351" s="166">
        <f>Database!Q351</f>
        <v/>
      </c>
      <c r="O351" s="39">
        <f>BDH(TEXT(VALUE(Database!$A351),"0")&amp;" HK Equity","PE_RATIO",Database!$H351,Database!$H351)</f>
        <v/>
      </c>
      <c r="P351" s="199">
        <f>IF(Database!BH351="","(n/m or not derivable)",Database!BH351)</f>
        <v/>
      </c>
      <c r="Q351" s="39">
        <f>IF(Database!BN351="","",BDH(LEFT(Database!BN351,FIND(".",Database!BN351)-1)&amp;" CH Equity","PE_RATIO",Database!$H351,Database!$H351))</f>
        <v/>
      </c>
      <c r="R351" s="39">
        <f>IF(Database!BN351="","",BDH("HSAHP Index","PX_LAST",Database!$H351,Database!$H351))</f>
        <v/>
      </c>
      <c r="S351" s="39">
        <f>IFERROR(BDP(TEXT(VALUE(Database!$A351),"0")&amp;" HK Equity","PX_TO_SALES_RATIO"),"")</f>
        <v/>
      </c>
      <c r="T351" s="34">
        <f>IF(Database!BN351="","",IFERROR(BDP(LEFT(Database!BN351,FIND(".",Database!BN351)-1)&amp;" CH Equity","CUR_MKT_CAP")*BDP("CNYHKD Curncy","PX_LAST"),"Awaiting quote"))</f>
        <v/>
      </c>
    </row>
    <row r="352" ht="23" customHeight="1">
      <c r="A352" s="32">
        <f>Database!A352&amp;"  "&amp;Database!B352</f>
        <v/>
      </c>
      <c r="B352" s="24">
        <f>IFERROR(INDEX(BDS(TEXT(VALUE(Database!$A352),"0")&amp;" HK Equity","EQUITY_OFFERINGS","array=t","endcol=1"),MATCH("IPO",BDS(TEXT(VALUE(Database!$A352),"0")&amp;" HK Equity","EQUITY_OFFERINGS","array=t","startcol=2","endcol=2"),0)),"")</f>
        <v/>
      </c>
      <c r="C352" s="208">
        <f>IF($B352="","",IFERROR(BDP($B352&amp;" Action","CP036"),""))</f>
        <v/>
      </c>
      <c r="D352" s="209">
        <f>Database!S352</f>
        <v/>
      </c>
      <c r="E352" s="208">
        <f>IF($B352="","",IFERROR(BDP($B352&amp;" Action","CP037"),""))</f>
        <v/>
      </c>
      <c r="F352" s="209">
        <f>Database!T352</f>
        <v/>
      </c>
      <c r="G352" s="208">
        <f>IF($B352="","",IFERROR(BDP($B352&amp;" Action","GREENSHOE_FACILITY"),""))</f>
        <v/>
      </c>
      <c r="H352" s="208">
        <f>IF($B352="","",IFERROR(BDP($B352&amp;" Action","OFFERING_GREENSHOE_SHARES_EX"),""))</f>
        <v/>
      </c>
      <c r="I352" s="32">
        <f>Database!AE352</f>
        <v/>
      </c>
      <c r="J352" s="39">
        <f>IFERROR(BDP(TEXT(VALUE(Database!$A352),"0")&amp;" HK Equity","PE_RATIO"),"")</f>
        <v/>
      </c>
      <c r="K352" s="24">
        <f>IFERROR(BDP(TEXT(VALUE(Database!$A352),"0")&amp;" HK Equity","A/H_SHARE_CONVERSION"),"")</f>
        <v/>
      </c>
      <c r="L352" s="32">
        <f>IF(Database!BN352="","(none found)",Database!BN352)</f>
        <v/>
      </c>
      <c r="M352" s="34">
        <f>BDH(TEXT(VALUE(Database!$A352),"0")&amp;" HK Equity","CUR_MKT_CAP",Database!$H352,Database!$H352)</f>
        <v/>
      </c>
      <c r="N352" s="166">
        <f>Database!Q352</f>
        <v/>
      </c>
      <c r="O352" s="39">
        <f>BDH(TEXT(VALUE(Database!$A352),"0")&amp;" HK Equity","PE_RATIO",Database!$H352,Database!$H352)</f>
        <v/>
      </c>
      <c r="P352" s="199">
        <f>IF(Database!BH352="","(n/m or not derivable)",Database!BH352)</f>
        <v/>
      </c>
      <c r="Q352" s="39">
        <f>IF(Database!BN352="","",BDH(LEFT(Database!BN352,FIND(".",Database!BN352)-1)&amp;" CH Equity","PE_RATIO",Database!$H352,Database!$H352))</f>
        <v/>
      </c>
      <c r="R352" s="39">
        <f>IF(Database!BN352="","",BDH("HSAHP Index","PX_LAST",Database!$H352,Database!$H352))</f>
        <v/>
      </c>
      <c r="S352" s="39">
        <f>IFERROR(BDP(TEXT(VALUE(Database!$A352),"0")&amp;" HK Equity","PX_TO_SALES_RATIO"),"")</f>
        <v/>
      </c>
      <c r="T352" s="34">
        <f>IF(Database!BN352="","",IFERROR(BDP(LEFT(Database!BN352,FIND(".",Database!BN352)-1)&amp;" CH Equity","CUR_MKT_CAP")*BDP("CNYHKD Curncy","PX_LAST"),"Awaiting quote"))</f>
        <v/>
      </c>
    </row>
    <row r="353" ht="23" customHeight="1">
      <c r="A353" s="32">
        <f>Database!A353&amp;"  "&amp;Database!B353</f>
        <v/>
      </c>
      <c r="B353" s="24">
        <f>IFERROR(INDEX(BDS(TEXT(VALUE(Database!$A353),"0")&amp;" HK Equity","EQUITY_OFFERINGS","array=t","endcol=1"),MATCH("IPO",BDS(TEXT(VALUE(Database!$A353),"0")&amp;" HK Equity","EQUITY_OFFERINGS","array=t","startcol=2","endcol=2"),0)),"")</f>
        <v/>
      </c>
      <c r="C353" s="208">
        <f>IF($B353="","",IFERROR(BDP($B353&amp;" Action","CP036"),""))</f>
        <v/>
      </c>
      <c r="D353" s="209">
        <f>Database!S353</f>
        <v/>
      </c>
      <c r="E353" s="208">
        <f>IF($B353="","",IFERROR(BDP($B353&amp;" Action","CP037"),""))</f>
        <v/>
      </c>
      <c r="F353" s="209">
        <f>Database!T353</f>
        <v/>
      </c>
      <c r="G353" s="208">
        <f>IF($B353="","",IFERROR(BDP($B353&amp;" Action","GREENSHOE_FACILITY"),""))</f>
        <v/>
      </c>
      <c r="H353" s="208">
        <f>IF($B353="","",IFERROR(BDP($B353&amp;" Action","OFFERING_GREENSHOE_SHARES_EX"),""))</f>
        <v/>
      </c>
      <c r="I353" s="32">
        <f>Database!AE353</f>
        <v/>
      </c>
      <c r="J353" s="39">
        <f>IFERROR(BDP(TEXT(VALUE(Database!$A353),"0")&amp;" HK Equity","PE_RATIO"),"")</f>
        <v/>
      </c>
      <c r="K353" s="24">
        <f>IFERROR(BDP(TEXT(VALUE(Database!$A353),"0")&amp;" HK Equity","A/H_SHARE_CONVERSION"),"")</f>
        <v/>
      </c>
      <c r="L353" s="32">
        <f>IF(Database!BN353="","(none found)",Database!BN353)</f>
        <v/>
      </c>
      <c r="M353" s="34">
        <f>BDH(TEXT(VALUE(Database!$A353),"0")&amp;" HK Equity","CUR_MKT_CAP",Database!$H353,Database!$H353)</f>
        <v/>
      </c>
      <c r="N353" s="166">
        <f>Database!Q353</f>
        <v/>
      </c>
      <c r="O353" s="39">
        <f>BDH(TEXT(VALUE(Database!$A353),"0")&amp;" HK Equity","PE_RATIO",Database!$H353,Database!$H353)</f>
        <v/>
      </c>
      <c r="P353" s="199">
        <f>IF(Database!BH353="","(n/m or not derivable)",Database!BH353)</f>
        <v/>
      </c>
      <c r="Q353" s="39">
        <f>IF(Database!BN353="","",BDH(LEFT(Database!BN353,FIND(".",Database!BN353)-1)&amp;" CH Equity","PE_RATIO",Database!$H353,Database!$H353))</f>
        <v/>
      </c>
      <c r="R353" s="39">
        <f>IF(Database!BN353="","",BDH("HSAHP Index","PX_LAST",Database!$H353,Database!$H353))</f>
        <v/>
      </c>
      <c r="S353" s="39">
        <f>IFERROR(BDP(TEXT(VALUE(Database!$A353),"0")&amp;" HK Equity","PX_TO_SALES_RATIO"),"")</f>
        <v/>
      </c>
      <c r="T353" s="34">
        <f>IF(Database!BN353="","",IFERROR(BDP(LEFT(Database!BN353,FIND(".",Database!BN353)-1)&amp;" CH Equity","CUR_MKT_CAP")*BDP("CNYHKD Curncy","PX_LAST"),"Awaiting quote"))</f>
        <v/>
      </c>
    </row>
    <row r="354" ht="23" customHeight="1">
      <c r="A354" s="32">
        <f>Database!A354&amp;"  "&amp;Database!B354</f>
        <v/>
      </c>
      <c r="B354" s="24">
        <f>IFERROR(INDEX(BDS(TEXT(VALUE(Database!$A354),"0")&amp;" HK Equity","EQUITY_OFFERINGS","array=t","endcol=1"),MATCH("IPO",BDS(TEXT(VALUE(Database!$A354),"0")&amp;" HK Equity","EQUITY_OFFERINGS","array=t","startcol=2","endcol=2"),0)),"")</f>
        <v/>
      </c>
      <c r="C354" s="208">
        <f>IF($B354="","",IFERROR(BDP($B354&amp;" Action","CP036"),""))</f>
        <v/>
      </c>
      <c r="D354" s="209">
        <f>Database!S354</f>
        <v/>
      </c>
      <c r="E354" s="208">
        <f>IF($B354="","",IFERROR(BDP($B354&amp;" Action","CP037"),""))</f>
        <v/>
      </c>
      <c r="F354" s="209">
        <f>Database!T354</f>
        <v/>
      </c>
      <c r="G354" s="208">
        <f>IF($B354="","",IFERROR(BDP($B354&amp;" Action","GREENSHOE_FACILITY"),""))</f>
        <v/>
      </c>
      <c r="H354" s="208">
        <f>IF($B354="","",IFERROR(BDP($B354&amp;" Action","OFFERING_GREENSHOE_SHARES_EX"),""))</f>
        <v/>
      </c>
      <c r="I354" s="32">
        <f>Database!AE354</f>
        <v/>
      </c>
      <c r="J354" s="39">
        <f>IFERROR(BDP(TEXT(VALUE(Database!$A354),"0")&amp;" HK Equity","PE_RATIO"),"")</f>
        <v/>
      </c>
      <c r="K354" s="24">
        <f>IFERROR(BDP(TEXT(VALUE(Database!$A354),"0")&amp;" HK Equity","A/H_SHARE_CONVERSION"),"")</f>
        <v/>
      </c>
      <c r="L354" s="32">
        <f>IF(Database!BN354="","(none found)",Database!BN354)</f>
        <v/>
      </c>
      <c r="M354" s="34">
        <f>BDH(TEXT(VALUE(Database!$A354),"0")&amp;" HK Equity","CUR_MKT_CAP",Database!$H354,Database!$H354)</f>
        <v/>
      </c>
      <c r="N354" s="166">
        <f>Database!Q354</f>
        <v/>
      </c>
      <c r="O354" s="39">
        <f>BDH(TEXT(VALUE(Database!$A354),"0")&amp;" HK Equity","PE_RATIO",Database!$H354,Database!$H354)</f>
        <v/>
      </c>
      <c r="P354" s="199">
        <f>IF(Database!BH354="","(n/m or not derivable)",Database!BH354)</f>
        <v/>
      </c>
      <c r="Q354" s="39">
        <f>IF(Database!BN354="","",BDH(LEFT(Database!BN354,FIND(".",Database!BN354)-1)&amp;" CH Equity","PE_RATIO",Database!$H354,Database!$H354))</f>
        <v/>
      </c>
      <c r="R354" s="39">
        <f>IF(Database!BN354="","",BDH("HSAHP Index","PX_LAST",Database!$H354,Database!$H354))</f>
        <v/>
      </c>
      <c r="S354" s="39">
        <f>IFERROR(BDP(TEXT(VALUE(Database!$A354),"0")&amp;" HK Equity","PX_TO_SALES_RATIO"),"")</f>
        <v/>
      </c>
      <c r="T354" s="34">
        <f>IF(Database!BN354="","",IFERROR(BDP(LEFT(Database!BN354,FIND(".",Database!BN354)-1)&amp;" CH Equity","CUR_MKT_CAP")*BDP("CNYHKD Curncy","PX_LAST"),"Awaiting quote"))</f>
        <v/>
      </c>
    </row>
    <row r="355" ht="23" customHeight="1">
      <c r="A355" s="32">
        <f>Database!A355&amp;"  "&amp;Database!B355</f>
        <v/>
      </c>
      <c r="B355" s="24">
        <f>IFERROR(INDEX(BDS(TEXT(VALUE(Database!$A355),"0")&amp;" HK Equity","EQUITY_OFFERINGS","array=t","endcol=1"),MATCH("IPO",BDS(TEXT(VALUE(Database!$A355),"0")&amp;" HK Equity","EQUITY_OFFERINGS","array=t","startcol=2","endcol=2"),0)),"")</f>
        <v/>
      </c>
      <c r="C355" s="208">
        <f>IF($B355="","",IFERROR(BDP($B355&amp;" Action","CP036"),""))</f>
        <v/>
      </c>
      <c r="D355" s="209">
        <f>Database!S355</f>
        <v/>
      </c>
      <c r="E355" s="208">
        <f>IF($B355="","",IFERROR(BDP($B355&amp;" Action","CP037"),""))</f>
        <v/>
      </c>
      <c r="F355" s="209">
        <f>Database!T355</f>
        <v/>
      </c>
      <c r="G355" s="208">
        <f>IF($B355="","",IFERROR(BDP($B355&amp;" Action","GREENSHOE_FACILITY"),""))</f>
        <v/>
      </c>
      <c r="H355" s="208">
        <f>IF($B355="","",IFERROR(BDP($B355&amp;" Action","OFFERING_GREENSHOE_SHARES_EX"),""))</f>
        <v/>
      </c>
      <c r="I355" s="32">
        <f>Database!AE355</f>
        <v/>
      </c>
      <c r="J355" s="39">
        <f>IFERROR(BDP(TEXT(VALUE(Database!$A355),"0")&amp;" HK Equity","PE_RATIO"),"")</f>
        <v/>
      </c>
      <c r="K355" s="24">
        <f>IFERROR(BDP(TEXT(VALUE(Database!$A355),"0")&amp;" HK Equity","A/H_SHARE_CONVERSION"),"")</f>
        <v/>
      </c>
      <c r="L355" s="32">
        <f>IF(Database!BN355="","(none found)",Database!BN355)</f>
        <v/>
      </c>
      <c r="M355" s="34">
        <f>BDH(TEXT(VALUE(Database!$A355),"0")&amp;" HK Equity","CUR_MKT_CAP",Database!$H355,Database!$H355)</f>
        <v/>
      </c>
      <c r="N355" s="166">
        <f>Database!Q355</f>
        <v/>
      </c>
      <c r="O355" s="39">
        <f>BDH(TEXT(VALUE(Database!$A355),"0")&amp;" HK Equity","PE_RATIO",Database!$H355,Database!$H355)</f>
        <v/>
      </c>
      <c r="P355" s="199">
        <f>IF(Database!BH355="","(n/m or not derivable)",Database!BH355)</f>
        <v/>
      </c>
      <c r="Q355" s="39">
        <f>IF(Database!BN355="","",BDH(LEFT(Database!BN355,FIND(".",Database!BN355)-1)&amp;" CH Equity","PE_RATIO",Database!$H355,Database!$H355))</f>
        <v/>
      </c>
      <c r="R355" s="39">
        <f>IF(Database!BN355="","",BDH("HSAHP Index","PX_LAST",Database!$H355,Database!$H355))</f>
        <v/>
      </c>
      <c r="S355" s="39">
        <f>IFERROR(BDP(TEXT(VALUE(Database!$A355),"0")&amp;" HK Equity","PX_TO_SALES_RATIO"),"")</f>
        <v/>
      </c>
      <c r="T355" s="34">
        <f>IF(Database!BN355="","",IFERROR(BDP(LEFT(Database!BN355,FIND(".",Database!BN355)-1)&amp;" CH Equity","CUR_MKT_CAP")*BDP("CNYHKD Curncy","PX_LAST"),"Awaiting quote"))</f>
        <v/>
      </c>
    </row>
    <row r="356" ht="23" customHeight="1">
      <c r="A356" s="32">
        <f>Database!A356&amp;"  "&amp;Database!B356</f>
        <v/>
      </c>
      <c r="B356" s="24">
        <f>IFERROR(INDEX(BDS(TEXT(VALUE(Database!$A356),"0")&amp;" HK Equity","EQUITY_OFFERINGS","array=t","endcol=1"),MATCH("IPO",BDS(TEXT(VALUE(Database!$A356),"0")&amp;" HK Equity","EQUITY_OFFERINGS","array=t","startcol=2","endcol=2"),0)),"")</f>
        <v/>
      </c>
      <c r="C356" s="208">
        <f>IF($B356="","",IFERROR(BDP($B356&amp;" Action","CP036"),""))</f>
        <v/>
      </c>
      <c r="D356" s="209">
        <f>Database!S356</f>
        <v/>
      </c>
      <c r="E356" s="208">
        <f>IF($B356="","",IFERROR(BDP($B356&amp;" Action","CP037"),""))</f>
        <v/>
      </c>
      <c r="F356" s="209">
        <f>Database!T356</f>
        <v/>
      </c>
      <c r="G356" s="208">
        <f>IF($B356="","",IFERROR(BDP($B356&amp;" Action","GREENSHOE_FACILITY"),""))</f>
        <v/>
      </c>
      <c r="H356" s="208">
        <f>IF($B356="","",IFERROR(BDP($B356&amp;" Action","OFFERING_GREENSHOE_SHARES_EX"),""))</f>
        <v/>
      </c>
      <c r="I356" s="32">
        <f>Database!AE356</f>
        <v/>
      </c>
      <c r="J356" s="39">
        <f>IFERROR(BDP(TEXT(VALUE(Database!$A356),"0")&amp;" HK Equity","PE_RATIO"),"")</f>
        <v/>
      </c>
      <c r="K356" s="24">
        <f>IFERROR(BDP(TEXT(VALUE(Database!$A356),"0")&amp;" HK Equity","A/H_SHARE_CONVERSION"),"")</f>
        <v/>
      </c>
      <c r="L356" s="32">
        <f>IF(Database!BN356="","(none found)",Database!BN356)</f>
        <v/>
      </c>
      <c r="M356" s="34">
        <f>BDH(TEXT(VALUE(Database!$A356),"0")&amp;" HK Equity","CUR_MKT_CAP",Database!$H356,Database!$H356)</f>
        <v/>
      </c>
      <c r="N356" s="166">
        <f>Database!Q356</f>
        <v/>
      </c>
      <c r="O356" s="39">
        <f>BDH(TEXT(VALUE(Database!$A356),"0")&amp;" HK Equity","PE_RATIO",Database!$H356,Database!$H356)</f>
        <v/>
      </c>
      <c r="P356" s="199">
        <f>IF(Database!BH356="","(n/m or not derivable)",Database!BH356)</f>
        <v/>
      </c>
      <c r="Q356" s="39">
        <f>IF(Database!BN356="","",BDH(LEFT(Database!BN356,FIND(".",Database!BN356)-1)&amp;" CH Equity","PE_RATIO",Database!$H356,Database!$H356))</f>
        <v/>
      </c>
      <c r="R356" s="39">
        <f>IF(Database!BN356="","",BDH("HSAHP Index","PX_LAST",Database!$H356,Database!$H356))</f>
        <v/>
      </c>
      <c r="S356" s="39">
        <f>IFERROR(BDP(TEXT(VALUE(Database!$A356),"0")&amp;" HK Equity","PX_TO_SALES_RATIO"),"")</f>
        <v/>
      </c>
      <c r="T356" s="34">
        <f>IF(Database!BN356="","",IFERROR(BDP(LEFT(Database!BN356,FIND(".",Database!BN356)-1)&amp;" CH Equity","CUR_MKT_CAP")*BDP("CNYHKD Curncy","PX_LAST"),"Awaiting quote"))</f>
        <v/>
      </c>
    </row>
    <row r="357" ht="23" customHeight="1">
      <c r="A357" s="32">
        <f>Database!A357&amp;"  "&amp;Database!B357</f>
        <v/>
      </c>
      <c r="B357" s="24">
        <f>IFERROR(INDEX(BDS(TEXT(VALUE(Database!$A357),"0")&amp;" HK Equity","EQUITY_OFFERINGS","array=t","endcol=1"),MATCH("IPO",BDS(TEXT(VALUE(Database!$A357),"0")&amp;" HK Equity","EQUITY_OFFERINGS","array=t","startcol=2","endcol=2"),0)),"")</f>
        <v/>
      </c>
      <c r="C357" s="208">
        <f>IF($B357="","",IFERROR(BDP($B357&amp;" Action","CP036"),""))</f>
        <v/>
      </c>
      <c r="D357" s="209">
        <f>Database!S357</f>
        <v/>
      </c>
      <c r="E357" s="208">
        <f>IF($B357="","",IFERROR(BDP($B357&amp;" Action","CP037"),""))</f>
        <v/>
      </c>
      <c r="F357" s="209">
        <f>Database!T357</f>
        <v/>
      </c>
      <c r="G357" s="208">
        <f>IF($B357="","",IFERROR(BDP($B357&amp;" Action","GREENSHOE_FACILITY"),""))</f>
        <v/>
      </c>
      <c r="H357" s="208">
        <f>IF($B357="","",IFERROR(BDP($B357&amp;" Action","OFFERING_GREENSHOE_SHARES_EX"),""))</f>
        <v/>
      </c>
      <c r="I357" s="32">
        <f>Database!AE357</f>
        <v/>
      </c>
      <c r="J357" s="39">
        <f>IFERROR(BDP(TEXT(VALUE(Database!$A357),"0")&amp;" HK Equity","PE_RATIO"),"")</f>
        <v/>
      </c>
      <c r="K357" s="24">
        <f>IFERROR(BDP(TEXT(VALUE(Database!$A357),"0")&amp;" HK Equity","A/H_SHARE_CONVERSION"),"")</f>
        <v/>
      </c>
      <c r="L357" s="32">
        <f>IF(Database!BN357="","(none found)",Database!BN357)</f>
        <v/>
      </c>
      <c r="M357" s="34">
        <f>BDH(TEXT(VALUE(Database!$A357),"0")&amp;" HK Equity","CUR_MKT_CAP",Database!$H357,Database!$H357)</f>
        <v/>
      </c>
      <c r="N357" s="166">
        <f>Database!Q357</f>
        <v/>
      </c>
      <c r="O357" s="39">
        <f>BDH(TEXT(VALUE(Database!$A357),"0")&amp;" HK Equity","PE_RATIO",Database!$H357,Database!$H357)</f>
        <v/>
      </c>
      <c r="P357" s="199">
        <f>IF(Database!BH357="","(n/m or not derivable)",Database!BH357)</f>
        <v/>
      </c>
      <c r="Q357" s="39">
        <f>IF(Database!BN357="","",BDH(LEFT(Database!BN357,FIND(".",Database!BN357)-1)&amp;" CH Equity","PE_RATIO",Database!$H357,Database!$H357))</f>
        <v/>
      </c>
      <c r="R357" s="39">
        <f>IF(Database!BN357="","",BDH("HSAHP Index","PX_LAST",Database!$H357,Database!$H357))</f>
        <v/>
      </c>
      <c r="S357" s="39">
        <f>IFERROR(BDP(TEXT(VALUE(Database!$A357),"0")&amp;" HK Equity","PX_TO_SALES_RATIO"),"")</f>
        <v/>
      </c>
      <c r="T357" s="34">
        <f>IF(Database!BN357="","",IFERROR(BDP(LEFT(Database!BN357,FIND(".",Database!BN357)-1)&amp;" CH Equity","CUR_MKT_CAP")*BDP("CNYHKD Curncy","PX_LAST"),"Awaiting quote"))</f>
        <v/>
      </c>
    </row>
    <row r="358" ht="23" customHeight="1">
      <c r="A358" s="32">
        <f>Database!A358&amp;"  "&amp;Database!B358</f>
        <v/>
      </c>
      <c r="B358" s="24">
        <f>IFERROR(INDEX(BDS(TEXT(VALUE(Database!$A358),"0")&amp;" HK Equity","EQUITY_OFFERINGS","array=t","endcol=1"),MATCH("IPO",BDS(TEXT(VALUE(Database!$A358),"0")&amp;" HK Equity","EQUITY_OFFERINGS","array=t","startcol=2","endcol=2"),0)),"")</f>
        <v/>
      </c>
      <c r="C358" s="208">
        <f>IF($B358="","",IFERROR(BDP($B358&amp;" Action","CP036"),""))</f>
        <v/>
      </c>
      <c r="D358" s="209">
        <f>Database!S358</f>
        <v/>
      </c>
      <c r="E358" s="208">
        <f>IF($B358="","",IFERROR(BDP($B358&amp;" Action","CP037"),""))</f>
        <v/>
      </c>
      <c r="F358" s="209">
        <f>Database!T358</f>
        <v/>
      </c>
      <c r="G358" s="208">
        <f>IF($B358="","",IFERROR(BDP($B358&amp;" Action","GREENSHOE_FACILITY"),""))</f>
        <v/>
      </c>
      <c r="H358" s="208">
        <f>IF($B358="","",IFERROR(BDP($B358&amp;" Action","OFFERING_GREENSHOE_SHARES_EX"),""))</f>
        <v/>
      </c>
      <c r="I358" s="32">
        <f>Database!AE358</f>
        <v/>
      </c>
      <c r="J358" s="39">
        <f>IFERROR(BDP(TEXT(VALUE(Database!$A358),"0")&amp;" HK Equity","PE_RATIO"),"")</f>
        <v/>
      </c>
      <c r="K358" s="24">
        <f>IFERROR(BDP(TEXT(VALUE(Database!$A358),"0")&amp;" HK Equity","A/H_SHARE_CONVERSION"),"")</f>
        <v/>
      </c>
      <c r="L358" s="32">
        <f>IF(Database!BN358="","(none found)",Database!BN358)</f>
        <v/>
      </c>
      <c r="M358" s="34">
        <f>BDH(TEXT(VALUE(Database!$A358),"0")&amp;" HK Equity","CUR_MKT_CAP",Database!$H358,Database!$H358)</f>
        <v/>
      </c>
      <c r="N358" s="166">
        <f>Database!Q358</f>
        <v/>
      </c>
      <c r="O358" s="39">
        <f>BDH(TEXT(VALUE(Database!$A358),"0")&amp;" HK Equity","PE_RATIO",Database!$H358,Database!$H358)</f>
        <v/>
      </c>
      <c r="P358" s="199">
        <f>IF(Database!BH358="","(n/m or not derivable)",Database!BH358)</f>
        <v/>
      </c>
      <c r="Q358" s="39">
        <f>IF(Database!BN358="","",BDH(LEFT(Database!BN358,FIND(".",Database!BN358)-1)&amp;" CH Equity","PE_RATIO",Database!$H358,Database!$H358))</f>
        <v/>
      </c>
      <c r="R358" s="39">
        <f>IF(Database!BN358="","",BDH("HSAHP Index","PX_LAST",Database!$H358,Database!$H358))</f>
        <v/>
      </c>
      <c r="S358" s="39">
        <f>IFERROR(BDP(TEXT(VALUE(Database!$A358),"0")&amp;" HK Equity","PX_TO_SALES_RATIO"),"")</f>
        <v/>
      </c>
      <c r="T358" s="34">
        <f>IF(Database!BN358="","",IFERROR(BDP(LEFT(Database!BN358,FIND(".",Database!BN358)-1)&amp;" CH Equity","CUR_MKT_CAP")*BDP("CNYHKD Curncy","PX_LAST"),"Awaiting quote"))</f>
        <v/>
      </c>
    </row>
    <row r="359" ht="23" customHeight="1">
      <c r="A359" s="32">
        <f>Database!A359&amp;"  "&amp;Database!B359</f>
        <v/>
      </c>
      <c r="B359" s="24">
        <f>IFERROR(INDEX(BDS(TEXT(VALUE(Database!$A359),"0")&amp;" HK Equity","EQUITY_OFFERINGS","array=t","endcol=1"),MATCH("IPO",BDS(TEXT(VALUE(Database!$A359),"0")&amp;" HK Equity","EQUITY_OFFERINGS","array=t","startcol=2","endcol=2"),0)),"")</f>
        <v/>
      </c>
      <c r="C359" s="208">
        <f>IF($B359="","",IFERROR(BDP($B359&amp;" Action","CP036"),""))</f>
        <v/>
      </c>
      <c r="D359" s="209">
        <f>Database!S359</f>
        <v/>
      </c>
      <c r="E359" s="208">
        <f>IF($B359="","",IFERROR(BDP($B359&amp;" Action","CP037"),""))</f>
        <v/>
      </c>
      <c r="F359" s="209">
        <f>Database!T359</f>
        <v/>
      </c>
      <c r="G359" s="208">
        <f>IF($B359="","",IFERROR(BDP($B359&amp;" Action","GREENSHOE_FACILITY"),""))</f>
        <v/>
      </c>
      <c r="H359" s="208">
        <f>IF($B359="","",IFERROR(BDP($B359&amp;" Action","OFFERING_GREENSHOE_SHARES_EX"),""))</f>
        <v/>
      </c>
      <c r="I359" s="32">
        <f>Database!AE359</f>
        <v/>
      </c>
      <c r="J359" s="39">
        <f>IFERROR(BDP(TEXT(VALUE(Database!$A359),"0")&amp;" HK Equity","PE_RATIO"),"")</f>
        <v/>
      </c>
      <c r="K359" s="24">
        <f>IFERROR(BDP(TEXT(VALUE(Database!$A359),"0")&amp;" HK Equity","A/H_SHARE_CONVERSION"),"")</f>
        <v/>
      </c>
      <c r="L359" s="32">
        <f>IF(Database!BN359="","(none found)",Database!BN359)</f>
        <v/>
      </c>
      <c r="M359" s="34">
        <f>BDH(TEXT(VALUE(Database!$A359),"0")&amp;" HK Equity","CUR_MKT_CAP",Database!$H359,Database!$H359)</f>
        <v/>
      </c>
      <c r="N359" s="166">
        <f>Database!Q359</f>
        <v/>
      </c>
      <c r="O359" s="39">
        <f>BDH(TEXT(VALUE(Database!$A359),"0")&amp;" HK Equity","PE_RATIO",Database!$H359,Database!$H359)</f>
        <v/>
      </c>
      <c r="P359" s="199">
        <f>IF(Database!BH359="","(n/m or not derivable)",Database!BH359)</f>
        <v/>
      </c>
      <c r="Q359" s="39">
        <f>IF(Database!BN359="","",BDH(LEFT(Database!BN359,FIND(".",Database!BN359)-1)&amp;" CH Equity","PE_RATIO",Database!$H359,Database!$H359))</f>
        <v/>
      </c>
      <c r="R359" s="39">
        <f>IF(Database!BN359="","",BDH("HSAHP Index","PX_LAST",Database!$H359,Database!$H359))</f>
        <v/>
      </c>
      <c r="S359" s="39">
        <f>IFERROR(BDP(TEXT(VALUE(Database!$A359),"0")&amp;" HK Equity","PX_TO_SALES_RATIO"),"")</f>
        <v/>
      </c>
      <c r="T359" s="34">
        <f>IF(Database!BN359="","",IFERROR(BDP(LEFT(Database!BN359,FIND(".",Database!BN359)-1)&amp;" CH Equity","CUR_MKT_CAP")*BDP("CNYHKD Curncy","PX_LAST"),"Awaiting quote"))</f>
        <v/>
      </c>
    </row>
    <row r="360" ht="23" customHeight="1">
      <c r="A360" s="32">
        <f>Database!A360&amp;"  "&amp;Database!B360</f>
        <v/>
      </c>
      <c r="B360" s="24">
        <f>IFERROR(INDEX(BDS(TEXT(VALUE(Database!$A360),"0")&amp;" HK Equity","EQUITY_OFFERINGS","array=t","endcol=1"),MATCH("IPO",BDS(TEXT(VALUE(Database!$A360),"0")&amp;" HK Equity","EQUITY_OFFERINGS","array=t","startcol=2","endcol=2"),0)),"")</f>
        <v/>
      </c>
      <c r="C360" s="208">
        <f>IF($B360="","",IFERROR(BDP($B360&amp;" Action","CP036"),""))</f>
        <v/>
      </c>
      <c r="D360" s="209">
        <f>Database!S360</f>
        <v/>
      </c>
      <c r="E360" s="208">
        <f>IF($B360="","",IFERROR(BDP($B360&amp;" Action","CP037"),""))</f>
        <v/>
      </c>
      <c r="F360" s="209">
        <f>Database!T360</f>
        <v/>
      </c>
      <c r="G360" s="208">
        <f>IF($B360="","",IFERROR(BDP($B360&amp;" Action","GREENSHOE_FACILITY"),""))</f>
        <v/>
      </c>
      <c r="H360" s="208">
        <f>IF($B360="","",IFERROR(BDP($B360&amp;" Action","OFFERING_GREENSHOE_SHARES_EX"),""))</f>
        <v/>
      </c>
      <c r="I360" s="32">
        <f>Database!AE360</f>
        <v/>
      </c>
      <c r="J360" s="39">
        <f>IFERROR(BDP(TEXT(VALUE(Database!$A360),"0")&amp;" HK Equity","PE_RATIO"),"")</f>
        <v/>
      </c>
      <c r="K360" s="24">
        <f>IFERROR(BDP(TEXT(VALUE(Database!$A360),"0")&amp;" HK Equity","A/H_SHARE_CONVERSION"),"")</f>
        <v/>
      </c>
      <c r="L360" s="32">
        <f>IF(Database!BN360="","(none found)",Database!BN360)</f>
        <v/>
      </c>
      <c r="M360" s="34">
        <f>BDH(TEXT(VALUE(Database!$A360),"0")&amp;" HK Equity","CUR_MKT_CAP",Database!$H360,Database!$H360)</f>
        <v/>
      </c>
      <c r="N360" s="166">
        <f>Database!Q360</f>
        <v/>
      </c>
      <c r="O360" s="39">
        <f>BDH(TEXT(VALUE(Database!$A360),"0")&amp;" HK Equity","PE_RATIO",Database!$H360,Database!$H360)</f>
        <v/>
      </c>
      <c r="P360" s="199">
        <f>IF(Database!BH360="","(n/m or not derivable)",Database!BH360)</f>
        <v/>
      </c>
      <c r="Q360" s="39">
        <f>IF(Database!BN360="","",BDH(LEFT(Database!BN360,FIND(".",Database!BN360)-1)&amp;" CH Equity","PE_RATIO",Database!$H360,Database!$H360))</f>
        <v/>
      </c>
      <c r="R360" s="39">
        <f>IF(Database!BN360="","",BDH("HSAHP Index","PX_LAST",Database!$H360,Database!$H360))</f>
        <v/>
      </c>
      <c r="S360" s="39">
        <f>IFERROR(BDP(TEXT(VALUE(Database!$A360),"0")&amp;" HK Equity","PX_TO_SALES_RATIO"),"")</f>
        <v/>
      </c>
      <c r="T360" s="34">
        <f>IF(Database!BN360="","",IFERROR(BDP(LEFT(Database!BN360,FIND(".",Database!BN360)-1)&amp;" CH Equity","CUR_MKT_CAP")*BDP("CNYHKD Curncy","PX_LAST"),"Awaiting quote"))</f>
        <v/>
      </c>
    </row>
    <row r="361" ht="23" customHeight="1">
      <c r="A361" s="32">
        <f>Database!A361&amp;"  "&amp;Database!B361</f>
        <v/>
      </c>
      <c r="B361" s="24">
        <f>IFERROR(INDEX(BDS(TEXT(VALUE(Database!$A361),"0")&amp;" HK Equity","EQUITY_OFFERINGS","array=t","endcol=1"),MATCH("IPO",BDS(TEXT(VALUE(Database!$A361),"0")&amp;" HK Equity","EQUITY_OFFERINGS","array=t","startcol=2","endcol=2"),0)),"")</f>
        <v/>
      </c>
      <c r="C361" s="208">
        <f>IF($B361="","",IFERROR(BDP($B361&amp;" Action","CP036"),""))</f>
        <v/>
      </c>
      <c r="D361" s="209">
        <f>Database!S361</f>
        <v/>
      </c>
      <c r="E361" s="208">
        <f>IF($B361="","",IFERROR(BDP($B361&amp;" Action","CP037"),""))</f>
        <v/>
      </c>
      <c r="F361" s="209">
        <f>Database!T361</f>
        <v/>
      </c>
      <c r="G361" s="208">
        <f>IF($B361="","",IFERROR(BDP($B361&amp;" Action","GREENSHOE_FACILITY"),""))</f>
        <v/>
      </c>
      <c r="H361" s="208">
        <f>IF($B361="","",IFERROR(BDP($B361&amp;" Action","OFFERING_GREENSHOE_SHARES_EX"),""))</f>
        <v/>
      </c>
      <c r="I361" s="32">
        <f>Database!AE361</f>
        <v/>
      </c>
      <c r="J361" s="39">
        <f>IFERROR(BDP(TEXT(VALUE(Database!$A361),"0")&amp;" HK Equity","PE_RATIO"),"")</f>
        <v/>
      </c>
      <c r="K361" s="24">
        <f>IFERROR(BDP(TEXT(VALUE(Database!$A361),"0")&amp;" HK Equity","A/H_SHARE_CONVERSION"),"")</f>
        <v/>
      </c>
      <c r="L361" s="32">
        <f>IF(Database!BN361="","(none found)",Database!BN361)</f>
        <v/>
      </c>
      <c r="M361" s="34">
        <f>BDH(TEXT(VALUE(Database!$A361),"0")&amp;" HK Equity","CUR_MKT_CAP",Database!$H361,Database!$H361)</f>
        <v/>
      </c>
      <c r="N361" s="166">
        <f>Database!Q361</f>
        <v/>
      </c>
      <c r="O361" s="39">
        <f>BDH(TEXT(VALUE(Database!$A361),"0")&amp;" HK Equity","PE_RATIO",Database!$H361,Database!$H361)</f>
        <v/>
      </c>
      <c r="P361" s="199">
        <f>IF(Database!BH361="","(n/m or not derivable)",Database!BH361)</f>
        <v/>
      </c>
      <c r="Q361" s="39">
        <f>IF(Database!BN361="","",BDH(LEFT(Database!BN361,FIND(".",Database!BN361)-1)&amp;" CH Equity","PE_RATIO",Database!$H361,Database!$H361))</f>
        <v/>
      </c>
      <c r="R361" s="39">
        <f>IF(Database!BN361="","",BDH("HSAHP Index","PX_LAST",Database!$H361,Database!$H361))</f>
        <v/>
      </c>
      <c r="S361" s="39">
        <f>IFERROR(BDP(TEXT(VALUE(Database!$A361),"0")&amp;" HK Equity","PX_TO_SALES_RATIO"),"")</f>
        <v/>
      </c>
      <c r="T361" s="34">
        <f>IF(Database!BN361="","",IFERROR(BDP(LEFT(Database!BN361,FIND(".",Database!BN361)-1)&amp;" CH Equity","CUR_MKT_CAP")*BDP("CNYHKD Curncy","PX_LAST"),"Awaiting quote"))</f>
        <v/>
      </c>
    </row>
    <row r="362" ht="23" customHeight="1">
      <c r="A362" s="32">
        <f>Database!A362&amp;"  "&amp;Database!B362</f>
        <v/>
      </c>
      <c r="B362" s="24">
        <f>IFERROR(INDEX(BDS(TEXT(VALUE(Database!$A362),"0")&amp;" HK Equity","EQUITY_OFFERINGS","array=t","endcol=1"),MATCH("IPO",BDS(TEXT(VALUE(Database!$A362),"0")&amp;" HK Equity","EQUITY_OFFERINGS","array=t","startcol=2","endcol=2"),0)),"")</f>
        <v/>
      </c>
      <c r="C362" s="208">
        <f>IF($B362="","",IFERROR(BDP($B362&amp;" Action","CP036"),""))</f>
        <v/>
      </c>
      <c r="D362" s="209">
        <f>Database!S362</f>
        <v/>
      </c>
      <c r="E362" s="208">
        <f>IF($B362="","",IFERROR(BDP($B362&amp;" Action","CP037"),""))</f>
        <v/>
      </c>
      <c r="F362" s="209">
        <f>Database!T362</f>
        <v/>
      </c>
      <c r="G362" s="208">
        <f>IF($B362="","",IFERROR(BDP($B362&amp;" Action","GREENSHOE_FACILITY"),""))</f>
        <v/>
      </c>
      <c r="H362" s="208">
        <f>IF($B362="","",IFERROR(BDP($B362&amp;" Action","OFFERING_GREENSHOE_SHARES_EX"),""))</f>
        <v/>
      </c>
      <c r="I362" s="32">
        <f>Database!AE362</f>
        <v/>
      </c>
      <c r="J362" s="39">
        <f>IFERROR(BDP(TEXT(VALUE(Database!$A362),"0")&amp;" HK Equity","PE_RATIO"),"")</f>
        <v/>
      </c>
      <c r="K362" s="24">
        <f>IFERROR(BDP(TEXT(VALUE(Database!$A362),"0")&amp;" HK Equity","A/H_SHARE_CONVERSION"),"")</f>
        <v/>
      </c>
      <c r="L362" s="32">
        <f>IF(Database!BN362="","(none found)",Database!BN362)</f>
        <v/>
      </c>
      <c r="M362" s="34">
        <f>BDH(TEXT(VALUE(Database!$A362),"0")&amp;" HK Equity","CUR_MKT_CAP",Database!$H362,Database!$H362)</f>
        <v/>
      </c>
      <c r="N362" s="166">
        <f>Database!Q362</f>
        <v/>
      </c>
      <c r="O362" s="39">
        <f>BDH(TEXT(VALUE(Database!$A362),"0")&amp;" HK Equity","PE_RATIO",Database!$H362,Database!$H362)</f>
        <v/>
      </c>
      <c r="P362" s="199">
        <f>IF(Database!BH362="","(n/m or not derivable)",Database!BH362)</f>
        <v/>
      </c>
      <c r="Q362" s="39">
        <f>IF(Database!BN362="","",BDH(LEFT(Database!BN362,FIND(".",Database!BN362)-1)&amp;" CH Equity","PE_RATIO",Database!$H362,Database!$H362))</f>
        <v/>
      </c>
      <c r="R362" s="39">
        <f>IF(Database!BN362="","",BDH("HSAHP Index","PX_LAST",Database!$H362,Database!$H362))</f>
        <v/>
      </c>
      <c r="S362" s="39">
        <f>IFERROR(BDP(TEXT(VALUE(Database!$A362),"0")&amp;" HK Equity","PX_TO_SALES_RATIO"),"")</f>
        <v/>
      </c>
      <c r="T362" s="34">
        <f>IF(Database!BN362="","",IFERROR(BDP(LEFT(Database!BN362,FIND(".",Database!BN362)-1)&amp;" CH Equity","CUR_MKT_CAP")*BDP("CNYHKD Curncy","PX_LAST"),"Awaiting quote"))</f>
        <v/>
      </c>
    </row>
    <row r="363" ht="23" customHeight="1">
      <c r="A363" s="32">
        <f>Database!A363&amp;"  "&amp;Database!B363</f>
        <v/>
      </c>
      <c r="B363" s="24">
        <f>IFERROR(INDEX(BDS(TEXT(VALUE(Database!$A363),"0")&amp;" HK Equity","EQUITY_OFFERINGS","array=t","endcol=1"),MATCH("IPO",BDS(TEXT(VALUE(Database!$A363),"0")&amp;" HK Equity","EQUITY_OFFERINGS","array=t","startcol=2","endcol=2"),0)),"")</f>
        <v/>
      </c>
      <c r="C363" s="208">
        <f>IF($B363="","",IFERROR(BDP($B363&amp;" Action","CP036"),""))</f>
        <v/>
      </c>
      <c r="D363" s="209">
        <f>Database!S363</f>
        <v/>
      </c>
      <c r="E363" s="208">
        <f>IF($B363="","",IFERROR(BDP($B363&amp;" Action","CP037"),""))</f>
        <v/>
      </c>
      <c r="F363" s="209">
        <f>Database!T363</f>
        <v/>
      </c>
      <c r="G363" s="208">
        <f>IF($B363="","",IFERROR(BDP($B363&amp;" Action","GREENSHOE_FACILITY"),""))</f>
        <v/>
      </c>
      <c r="H363" s="208">
        <f>IF($B363="","",IFERROR(BDP($B363&amp;" Action","OFFERING_GREENSHOE_SHARES_EX"),""))</f>
        <v/>
      </c>
      <c r="I363" s="32">
        <f>Database!AE363</f>
        <v/>
      </c>
      <c r="J363" s="39">
        <f>IFERROR(BDP(TEXT(VALUE(Database!$A363),"0")&amp;" HK Equity","PE_RATIO"),"")</f>
        <v/>
      </c>
      <c r="K363" s="24">
        <f>IFERROR(BDP(TEXT(VALUE(Database!$A363),"0")&amp;" HK Equity","A/H_SHARE_CONVERSION"),"")</f>
        <v/>
      </c>
      <c r="L363" s="32">
        <f>IF(Database!BN363="","(none found)",Database!BN363)</f>
        <v/>
      </c>
      <c r="M363" s="34">
        <f>BDH(TEXT(VALUE(Database!$A363),"0")&amp;" HK Equity","CUR_MKT_CAP",Database!$H363,Database!$H363)</f>
        <v/>
      </c>
      <c r="N363" s="166">
        <f>Database!Q363</f>
        <v/>
      </c>
      <c r="O363" s="39">
        <f>BDH(TEXT(VALUE(Database!$A363),"0")&amp;" HK Equity","PE_RATIO",Database!$H363,Database!$H363)</f>
        <v/>
      </c>
      <c r="P363" s="199">
        <f>IF(Database!BH363="","(n/m or not derivable)",Database!BH363)</f>
        <v/>
      </c>
      <c r="Q363" s="39">
        <f>IF(Database!BN363="","",BDH(LEFT(Database!BN363,FIND(".",Database!BN363)-1)&amp;" CH Equity","PE_RATIO",Database!$H363,Database!$H363))</f>
        <v/>
      </c>
      <c r="R363" s="39">
        <f>IF(Database!BN363="","",BDH("HSAHP Index","PX_LAST",Database!$H363,Database!$H363))</f>
        <v/>
      </c>
      <c r="S363" s="39">
        <f>IFERROR(BDP(TEXT(VALUE(Database!$A363),"0")&amp;" HK Equity","PX_TO_SALES_RATIO"),"")</f>
        <v/>
      </c>
      <c r="T363" s="34">
        <f>IF(Database!BN363="","",IFERROR(BDP(LEFT(Database!BN363,FIND(".",Database!BN363)-1)&amp;" CH Equity","CUR_MKT_CAP")*BDP("CNYHKD Curncy","PX_LAST"),"Awaiting quote"))</f>
        <v/>
      </c>
    </row>
    <row r="364" ht="23" customHeight="1">
      <c r="A364" s="32">
        <f>Database!A364&amp;"  "&amp;Database!B364</f>
        <v/>
      </c>
      <c r="B364" s="24">
        <f>IFERROR(INDEX(BDS(TEXT(VALUE(Database!$A364),"0")&amp;" HK Equity","EQUITY_OFFERINGS","array=t","endcol=1"),MATCH("IPO",BDS(TEXT(VALUE(Database!$A364),"0")&amp;" HK Equity","EQUITY_OFFERINGS","array=t","startcol=2","endcol=2"),0)),"")</f>
        <v/>
      </c>
      <c r="C364" s="208">
        <f>IF($B364="","",IFERROR(BDP($B364&amp;" Action","CP036"),""))</f>
        <v/>
      </c>
      <c r="D364" s="209">
        <f>Database!S364</f>
        <v/>
      </c>
      <c r="E364" s="208">
        <f>IF($B364="","",IFERROR(BDP($B364&amp;" Action","CP037"),""))</f>
        <v/>
      </c>
      <c r="F364" s="209">
        <f>Database!T364</f>
        <v/>
      </c>
      <c r="G364" s="208">
        <f>IF($B364="","",IFERROR(BDP($B364&amp;" Action","GREENSHOE_FACILITY"),""))</f>
        <v/>
      </c>
      <c r="H364" s="208">
        <f>IF($B364="","",IFERROR(BDP($B364&amp;" Action","OFFERING_GREENSHOE_SHARES_EX"),""))</f>
        <v/>
      </c>
      <c r="I364" s="32">
        <f>Database!AE364</f>
        <v/>
      </c>
      <c r="J364" s="39">
        <f>IFERROR(BDP(TEXT(VALUE(Database!$A364),"0")&amp;" HK Equity","PE_RATIO"),"")</f>
        <v/>
      </c>
      <c r="K364" s="24">
        <f>IFERROR(BDP(TEXT(VALUE(Database!$A364),"0")&amp;" HK Equity","A/H_SHARE_CONVERSION"),"")</f>
        <v/>
      </c>
      <c r="L364" s="32">
        <f>IF(Database!BN364="","(none found)",Database!BN364)</f>
        <v/>
      </c>
      <c r="M364" s="34">
        <f>BDH(TEXT(VALUE(Database!$A364),"0")&amp;" HK Equity","CUR_MKT_CAP",Database!$H364,Database!$H364)</f>
        <v/>
      </c>
      <c r="N364" s="166">
        <f>Database!Q364</f>
        <v/>
      </c>
      <c r="O364" s="39">
        <f>BDH(TEXT(VALUE(Database!$A364),"0")&amp;" HK Equity","PE_RATIO",Database!$H364,Database!$H364)</f>
        <v/>
      </c>
      <c r="P364" s="199">
        <f>IF(Database!BH364="","(n/m or not derivable)",Database!BH364)</f>
        <v/>
      </c>
      <c r="Q364" s="39">
        <f>IF(Database!BN364="","",BDH(LEFT(Database!BN364,FIND(".",Database!BN364)-1)&amp;" CH Equity","PE_RATIO",Database!$H364,Database!$H364))</f>
        <v/>
      </c>
      <c r="R364" s="39">
        <f>IF(Database!BN364="","",BDH("HSAHP Index","PX_LAST",Database!$H364,Database!$H364))</f>
        <v/>
      </c>
      <c r="S364" s="39">
        <f>IFERROR(BDP(TEXT(VALUE(Database!$A364),"0")&amp;" HK Equity","PX_TO_SALES_RATIO"),"")</f>
        <v/>
      </c>
      <c r="T364" s="34">
        <f>IF(Database!BN364="","",IFERROR(BDP(LEFT(Database!BN364,FIND(".",Database!BN364)-1)&amp;" CH Equity","CUR_MKT_CAP")*BDP("CNYHKD Curncy","PX_LAST"),"Awaiting quote"))</f>
        <v/>
      </c>
    </row>
    <row r="365" ht="23" customHeight="1">
      <c r="A365" s="32">
        <f>Database!A365&amp;"  "&amp;Database!B365</f>
        <v/>
      </c>
      <c r="B365" s="24">
        <f>IFERROR(INDEX(BDS(TEXT(VALUE(Database!$A365),"0")&amp;" HK Equity","EQUITY_OFFERINGS","array=t","endcol=1"),MATCH("IPO",BDS(TEXT(VALUE(Database!$A365),"0")&amp;" HK Equity","EQUITY_OFFERINGS","array=t","startcol=2","endcol=2"),0)),"")</f>
        <v/>
      </c>
      <c r="C365" s="208">
        <f>IF($B365="","",IFERROR(BDP($B365&amp;" Action","CP036"),""))</f>
        <v/>
      </c>
      <c r="D365" s="209">
        <f>Database!S365</f>
        <v/>
      </c>
      <c r="E365" s="208">
        <f>IF($B365="","",IFERROR(BDP($B365&amp;" Action","CP037"),""))</f>
        <v/>
      </c>
      <c r="F365" s="209">
        <f>Database!T365</f>
        <v/>
      </c>
      <c r="G365" s="208">
        <f>IF($B365="","",IFERROR(BDP($B365&amp;" Action","GREENSHOE_FACILITY"),""))</f>
        <v/>
      </c>
      <c r="H365" s="208">
        <f>IF($B365="","",IFERROR(BDP($B365&amp;" Action","OFFERING_GREENSHOE_SHARES_EX"),""))</f>
        <v/>
      </c>
      <c r="I365" s="32">
        <f>Database!AE365</f>
        <v/>
      </c>
      <c r="J365" s="39">
        <f>IFERROR(BDP(TEXT(VALUE(Database!$A365),"0")&amp;" HK Equity","PE_RATIO"),"")</f>
        <v/>
      </c>
      <c r="K365" s="24">
        <f>IFERROR(BDP(TEXT(VALUE(Database!$A365),"0")&amp;" HK Equity","A/H_SHARE_CONVERSION"),"")</f>
        <v/>
      </c>
      <c r="L365" s="32">
        <f>IF(Database!BN365="","(none found)",Database!BN365)</f>
        <v/>
      </c>
      <c r="M365" s="34">
        <f>BDH(TEXT(VALUE(Database!$A365),"0")&amp;" HK Equity","CUR_MKT_CAP",Database!$H365,Database!$H365)</f>
        <v/>
      </c>
      <c r="N365" s="166">
        <f>Database!Q365</f>
        <v/>
      </c>
      <c r="O365" s="39">
        <f>BDH(TEXT(VALUE(Database!$A365),"0")&amp;" HK Equity","PE_RATIO",Database!$H365,Database!$H365)</f>
        <v/>
      </c>
      <c r="P365" s="199">
        <f>IF(Database!BH365="","(n/m or not derivable)",Database!BH365)</f>
        <v/>
      </c>
      <c r="Q365" s="39">
        <f>IF(Database!BN365="","",BDH(LEFT(Database!BN365,FIND(".",Database!BN365)-1)&amp;" CH Equity","PE_RATIO",Database!$H365,Database!$H365))</f>
        <v/>
      </c>
      <c r="R365" s="39">
        <f>IF(Database!BN365="","",BDH("HSAHP Index","PX_LAST",Database!$H365,Database!$H365))</f>
        <v/>
      </c>
      <c r="S365" s="39">
        <f>IFERROR(BDP(TEXT(VALUE(Database!$A365),"0")&amp;" HK Equity","PX_TO_SALES_RATIO"),"")</f>
        <v/>
      </c>
      <c r="T365" s="34">
        <f>IF(Database!BN365="","",IFERROR(BDP(LEFT(Database!BN365,FIND(".",Database!BN365)-1)&amp;" CH Equity","CUR_MKT_CAP")*BDP("CNYHKD Curncy","PX_LAST"),"Awaiting quote"))</f>
        <v/>
      </c>
    </row>
    <row r="366" ht="23" customHeight="1">
      <c r="A366" s="32">
        <f>Database!A366&amp;"  "&amp;Database!B366</f>
        <v/>
      </c>
      <c r="B366" s="24">
        <f>IFERROR(INDEX(BDS(TEXT(VALUE(Database!$A366),"0")&amp;" HK Equity","EQUITY_OFFERINGS","array=t","endcol=1"),MATCH("IPO",BDS(TEXT(VALUE(Database!$A366),"0")&amp;" HK Equity","EQUITY_OFFERINGS","array=t","startcol=2","endcol=2"),0)),"")</f>
        <v/>
      </c>
      <c r="C366" s="208">
        <f>IF($B366="","",IFERROR(BDP($B366&amp;" Action","CP036"),""))</f>
        <v/>
      </c>
      <c r="D366" s="209">
        <f>Database!S366</f>
        <v/>
      </c>
      <c r="E366" s="208">
        <f>IF($B366="","",IFERROR(BDP($B366&amp;" Action","CP037"),""))</f>
        <v/>
      </c>
      <c r="F366" s="209">
        <f>Database!T366</f>
        <v/>
      </c>
      <c r="G366" s="208">
        <f>IF($B366="","",IFERROR(BDP($B366&amp;" Action","GREENSHOE_FACILITY"),""))</f>
        <v/>
      </c>
      <c r="H366" s="208">
        <f>IF($B366="","",IFERROR(BDP($B366&amp;" Action","OFFERING_GREENSHOE_SHARES_EX"),""))</f>
        <v/>
      </c>
      <c r="I366" s="32">
        <f>Database!AE366</f>
        <v/>
      </c>
      <c r="J366" s="39">
        <f>IFERROR(BDP(TEXT(VALUE(Database!$A366),"0")&amp;" HK Equity","PE_RATIO"),"")</f>
        <v/>
      </c>
      <c r="K366" s="24">
        <f>IFERROR(BDP(TEXT(VALUE(Database!$A366),"0")&amp;" HK Equity","A/H_SHARE_CONVERSION"),"")</f>
        <v/>
      </c>
      <c r="L366" s="32">
        <f>IF(Database!BN366="","(none found)",Database!BN366)</f>
        <v/>
      </c>
      <c r="M366" s="34">
        <f>BDH(TEXT(VALUE(Database!$A366),"0")&amp;" HK Equity","CUR_MKT_CAP",Database!$H366,Database!$H366)</f>
        <v/>
      </c>
      <c r="N366" s="166">
        <f>Database!Q366</f>
        <v/>
      </c>
      <c r="O366" s="39">
        <f>BDH(TEXT(VALUE(Database!$A366),"0")&amp;" HK Equity","PE_RATIO",Database!$H366,Database!$H366)</f>
        <v/>
      </c>
      <c r="P366" s="199">
        <f>IF(Database!BH366="","(n/m or not derivable)",Database!BH366)</f>
        <v/>
      </c>
      <c r="Q366" s="39">
        <f>IF(Database!BN366="","",BDH(LEFT(Database!BN366,FIND(".",Database!BN366)-1)&amp;" CH Equity","PE_RATIO",Database!$H366,Database!$H366))</f>
        <v/>
      </c>
      <c r="R366" s="39">
        <f>IF(Database!BN366="","",BDH("HSAHP Index","PX_LAST",Database!$H366,Database!$H366))</f>
        <v/>
      </c>
      <c r="S366" s="39">
        <f>IFERROR(BDP(TEXT(VALUE(Database!$A366),"0")&amp;" HK Equity","PX_TO_SALES_RATIO"),"")</f>
        <v/>
      </c>
      <c r="T366" s="34">
        <f>IF(Database!BN366="","",IFERROR(BDP(LEFT(Database!BN366,FIND(".",Database!BN366)-1)&amp;" CH Equity","CUR_MKT_CAP")*BDP("CNYHKD Curncy","PX_LAST"),"Awaiting quote"))</f>
        <v/>
      </c>
    </row>
    <row r="367" ht="23" customHeight="1">
      <c r="A367" s="32">
        <f>Database!A367&amp;"  "&amp;Database!B367</f>
        <v/>
      </c>
      <c r="B367" s="24">
        <f>IFERROR(INDEX(BDS(TEXT(VALUE(Database!$A367),"0")&amp;" HK Equity","EQUITY_OFFERINGS","array=t","endcol=1"),MATCH("IPO",BDS(TEXT(VALUE(Database!$A367),"0")&amp;" HK Equity","EQUITY_OFFERINGS","array=t","startcol=2","endcol=2"),0)),"")</f>
        <v/>
      </c>
      <c r="C367" s="208">
        <f>IF($B367="","",IFERROR(BDP($B367&amp;" Action","CP036"),""))</f>
        <v/>
      </c>
      <c r="D367" s="209">
        <f>Database!S367</f>
        <v/>
      </c>
      <c r="E367" s="208">
        <f>IF($B367="","",IFERROR(BDP($B367&amp;" Action","CP037"),""))</f>
        <v/>
      </c>
      <c r="F367" s="209">
        <f>Database!T367</f>
        <v/>
      </c>
      <c r="G367" s="208">
        <f>IF($B367="","",IFERROR(BDP($B367&amp;" Action","GREENSHOE_FACILITY"),""))</f>
        <v/>
      </c>
      <c r="H367" s="208">
        <f>IF($B367="","",IFERROR(BDP($B367&amp;" Action","OFFERING_GREENSHOE_SHARES_EX"),""))</f>
        <v/>
      </c>
      <c r="I367" s="32">
        <f>Database!AE367</f>
        <v/>
      </c>
      <c r="J367" s="39">
        <f>IFERROR(BDP(TEXT(VALUE(Database!$A367),"0")&amp;" HK Equity","PE_RATIO"),"")</f>
        <v/>
      </c>
      <c r="K367" s="24">
        <f>IFERROR(BDP(TEXT(VALUE(Database!$A367),"0")&amp;" HK Equity","A/H_SHARE_CONVERSION"),"")</f>
        <v/>
      </c>
      <c r="L367" s="32">
        <f>IF(Database!BN367="","(none found)",Database!BN367)</f>
        <v/>
      </c>
      <c r="M367" s="34">
        <f>BDH(TEXT(VALUE(Database!$A367),"0")&amp;" HK Equity","CUR_MKT_CAP",Database!$H367,Database!$H367)</f>
        <v/>
      </c>
      <c r="N367" s="166">
        <f>Database!Q367</f>
        <v/>
      </c>
      <c r="O367" s="39">
        <f>BDH(TEXT(VALUE(Database!$A367),"0")&amp;" HK Equity","PE_RATIO",Database!$H367,Database!$H367)</f>
        <v/>
      </c>
      <c r="P367" s="199">
        <f>IF(Database!BH367="","(n/m or not derivable)",Database!BH367)</f>
        <v/>
      </c>
      <c r="Q367" s="39">
        <f>IF(Database!BN367="","",BDH(LEFT(Database!BN367,FIND(".",Database!BN367)-1)&amp;" CH Equity","PE_RATIO",Database!$H367,Database!$H367))</f>
        <v/>
      </c>
      <c r="R367" s="39">
        <f>IF(Database!BN367="","",BDH("HSAHP Index","PX_LAST",Database!$H367,Database!$H367))</f>
        <v/>
      </c>
      <c r="S367" s="39">
        <f>IFERROR(BDP(TEXT(VALUE(Database!$A367),"0")&amp;" HK Equity","PX_TO_SALES_RATIO"),"")</f>
        <v/>
      </c>
      <c r="T367" s="34">
        <f>IF(Database!BN367="","",IFERROR(BDP(LEFT(Database!BN367,FIND(".",Database!BN367)-1)&amp;" CH Equity","CUR_MKT_CAP")*BDP("CNYHKD Curncy","PX_LAST"),"Awaiting quote"))</f>
        <v/>
      </c>
    </row>
    <row r="368" ht="23" customHeight="1">
      <c r="A368" s="32">
        <f>Database!A368&amp;"  "&amp;Database!B368</f>
        <v/>
      </c>
      <c r="B368" s="24">
        <f>IFERROR(INDEX(BDS(TEXT(VALUE(Database!$A368),"0")&amp;" HK Equity","EQUITY_OFFERINGS","array=t","endcol=1"),MATCH("IPO",BDS(TEXT(VALUE(Database!$A368),"0")&amp;" HK Equity","EQUITY_OFFERINGS","array=t","startcol=2","endcol=2"),0)),"")</f>
        <v/>
      </c>
      <c r="C368" s="208">
        <f>IF($B368="","",IFERROR(BDP($B368&amp;" Action","CP036"),""))</f>
        <v/>
      </c>
      <c r="D368" s="209">
        <f>Database!S368</f>
        <v/>
      </c>
      <c r="E368" s="208">
        <f>IF($B368="","",IFERROR(BDP($B368&amp;" Action","CP037"),""))</f>
        <v/>
      </c>
      <c r="F368" s="209">
        <f>Database!T368</f>
        <v/>
      </c>
      <c r="G368" s="208">
        <f>IF($B368="","",IFERROR(BDP($B368&amp;" Action","GREENSHOE_FACILITY"),""))</f>
        <v/>
      </c>
      <c r="H368" s="208">
        <f>IF($B368="","",IFERROR(BDP($B368&amp;" Action","OFFERING_GREENSHOE_SHARES_EX"),""))</f>
        <v/>
      </c>
      <c r="I368" s="32">
        <f>Database!AE368</f>
        <v/>
      </c>
      <c r="J368" s="39">
        <f>IFERROR(BDP(TEXT(VALUE(Database!$A368),"0")&amp;" HK Equity","PE_RATIO"),"")</f>
        <v/>
      </c>
      <c r="K368" s="24">
        <f>IFERROR(BDP(TEXT(VALUE(Database!$A368),"0")&amp;" HK Equity","A/H_SHARE_CONVERSION"),"")</f>
        <v/>
      </c>
      <c r="L368" s="32">
        <f>IF(Database!BN368="","(none found)",Database!BN368)</f>
        <v/>
      </c>
      <c r="M368" s="34">
        <f>BDH(TEXT(VALUE(Database!$A368),"0")&amp;" HK Equity","CUR_MKT_CAP",Database!$H368,Database!$H368)</f>
        <v/>
      </c>
      <c r="N368" s="166">
        <f>Database!Q368</f>
        <v/>
      </c>
      <c r="O368" s="39">
        <f>BDH(TEXT(VALUE(Database!$A368),"0")&amp;" HK Equity","PE_RATIO",Database!$H368,Database!$H368)</f>
        <v/>
      </c>
      <c r="P368" s="199">
        <f>IF(Database!BH368="","(n/m or not derivable)",Database!BH368)</f>
        <v/>
      </c>
      <c r="Q368" s="39">
        <f>IF(Database!BN368="","",BDH(LEFT(Database!BN368,FIND(".",Database!BN368)-1)&amp;" CH Equity","PE_RATIO",Database!$H368,Database!$H368))</f>
        <v/>
      </c>
      <c r="R368" s="39">
        <f>IF(Database!BN368="","",BDH("HSAHP Index","PX_LAST",Database!$H368,Database!$H368))</f>
        <v/>
      </c>
      <c r="S368" s="39">
        <f>IFERROR(BDP(TEXT(VALUE(Database!$A368),"0")&amp;" HK Equity","PX_TO_SALES_RATIO"),"")</f>
        <v/>
      </c>
      <c r="T368" s="34">
        <f>IF(Database!BN368="","",IFERROR(BDP(LEFT(Database!BN368,FIND(".",Database!BN368)-1)&amp;" CH Equity","CUR_MKT_CAP")*BDP("CNYHKD Curncy","PX_LAST"),"Awaiting quote"))</f>
        <v/>
      </c>
    </row>
    <row r="369" ht="23" customHeight="1">
      <c r="A369" s="32">
        <f>Database!A369&amp;"  "&amp;Database!B369</f>
        <v/>
      </c>
      <c r="B369" s="24">
        <f>IFERROR(INDEX(BDS(TEXT(VALUE(Database!$A369),"0")&amp;" HK Equity","EQUITY_OFFERINGS","array=t","endcol=1"),MATCH("IPO",BDS(TEXT(VALUE(Database!$A369),"0")&amp;" HK Equity","EQUITY_OFFERINGS","array=t","startcol=2","endcol=2"),0)),"")</f>
        <v/>
      </c>
      <c r="C369" s="208">
        <f>IF($B369="","",IFERROR(BDP($B369&amp;" Action","CP036"),""))</f>
        <v/>
      </c>
      <c r="D369" s="209">
        <f>Database!S369</f>
        <v/>
      </c>
      <c r="E369" s="208">
        <f>IF($B369="","",IFERROR(BDP($B369&amp;" Action","CP037"),""))</f>
        <v/>
      </c>
      <c r="F369" s="209">
        <f>Database!T369</f>
        <v/>
      </c>
      <c r="G369" s="208">
        <f>IF($B369="","",IFERROR(BDP($B369&amp;" Action","GREENSHOE_FACILITY"),""))</f>
        <v/>
      </c>
      <c r="H369" s="208">
        <f>IF($B369="","",IFERROR(BDP($B369&amp;" Action","OFFERING_GREENSHOE_SHARES_EX"),""))</f>
        <v/>
      </c>
      <c r="I369" s="32">
        <f>Database!AE369</f>
        <v/>
      </c>
      <c r="J369" s="39">
        <f>IFERROR(BDP(TEXT(VALUE(Database!$A369),"0")&amp;" HK Equity","PE_RATIO"),"")</f>
        <v/>
      </c>
      <c r="K369" s="24">
        <f>IFERROR(BDP(TEXT(VALUE(Database!$A369),"0")&amp;" HK Equity","A/H_SHARE_CONVERSION"),"")</f>
        <v/>
      </c>
      <c r="L369" s="32">
        <f>IF(Database!BN369="","(none found)",Database!BN369)</f>
        <v/>
      </c>
      <c r="M369" s="34">
        <f>BDH(TEXT(VALUE(Database!$A369),"0")&amp;" HK Equity","CUR_MKT_CAP",Database!$H369,Database!$H369)</f>
        <v/>
      </c>
      <c r="N369" s="166">
        <f>Database!Q369</f>
        <v/>
      </c>
      <c r="O369" s="39">
        <f>BDH(TEXT(VALUE(Database!$A369),"0")&amp;" HK Equity","PE_RATIO",Database!$H369,Database!$H369)</f>
        <v/>
      </c>
      <c r="P369" s="199">
        <f>IF(Database!BH369="","(n/m or not derivable)",Database!BH369)</f>
        <v/>
      </c>
      <c r="Q369" s="39">
        <f>IF(Database!BN369="","",BDH(LEFT(Database!BN369,FIND(".",Database!BN369)-1)&amp;" CH Equity","PE_RATIO",Database!$H369,Database!$H369))</f>
        <v/>
      </c>
      <c r="R369" s="39">
        <f>IF(Database!BN369="","",BDH("HSAHP Index","PX_LAST",Database!$H369,Database!$H369))</f>
        <v/>
      </c>
      <c r="S369" s="39">
        <f>IFERROR(BDP(TEXT(VALUE(Database!$A369),"0")&amp;" HK Equity","PX_TO_SALES_RATIO"),"")</f>
        <v/>
      </c>
      <c r="T369" s="34">
        <f>IF(Database!BN369="","",IFERROR(BDP(LEFT(Database!BN369,FIND(".",Database!BN369)-1)&amp;" CH Equity","CUR_MKT_CAP")*BDP("CNYHKD Curncy","PX_LAST"),"Awaiting quote"))</f>
        <v/>
      </c>
    </row>
    <row r="370" ht="23" customHeight="1">
      <c r="A370" s="32">
        <f>Database!A370&amp;"  "&amp;Database!B370</f>
        <v/>
      </c>
      <c r="B370" s="24">
        <f>IFERROR(INDEX(BDS(TEXT(VALUE(Database!$A370),"0")&amp;" HK Equity","EQUITY_OFFERINGS","array=t","endcol=1"),MATCH("IPO",BDS(TEXT(VALUE(Database!$A370),"0")&amp;" HK Equity","EQUITY_OFFERINGS","array=t","startcol=2","endcol=2"),0)),"")</f>
        <v/>
      </c>
      <c r="C370" s="208">
        <f>IF($B370="","",IFERROR(BDP($B370&amp;" Action","CP036"),""))</f>
        <v/>
      </c>
      <c r="D370" s="209">
        <f>Database!S370</f>
        <v/>
      </c>
      <c r="E370" s="208">
        <f>IF($B370="","",IFERROR(BDP($B370&amp;" Action","CP037"),""))</f>
        <v/>
      </c>
      <c r="F370" s="209">
        <f>Database!T370</f>
        <v/>
      </c>
      <c r="G370" s="208">
        <f>IF($B370="","",IFERROR(BDP($B370&amp;" Action","GREENSHOE_FACILITY"),""))</f>
        <v/>
      </c>
      <c r="H370" s="208">
        <f>IF($B370="","",IFERROR(BDP($B370&amp;" Action","OFFERING_GREENSHOE_SHARES_EX"),""))</f>
        <v/>
      </c>
      <c r="I370" s="32">
        <f>Database!AE370</f>
        <v/>
      </c>
      <c r="J370" s="39">
        <f>IFERROR(BDP(TEXT(VALUE(Database!$A370),"0")&amp;" HK Equity","PE_RATIO"),"")</f>
        <v/>
      </c>
      <c r="K370" s="24">
        <f>IFERROR(BDP(TEXT(VALUE(Database!$A370),"0")&amp;" HK Equity","A/H_SHARE_CONVERSION"),"")</f>
        <v/>
      </c>
      <c r="L370" s="32">
        <f>IF(Database!BN370="","(none found)",Database!BN370)</f>
        <v/>
      </c>
      <c r="M370" s="34">
        <f>BDH(TEXT(VALUE(Database!$A370),"0")&amp;" HK Equity","CUR_MKT_CAP",Database!$H370,Database!$H370)</f>
        <v/>
      </c>
      <c r="N370" s="166">
        <f>Database!Q370</f>
        <v/>
      </c>
      <c r="O370" s="39">
        <f>BDH(TEXT(VALUE(Database!$A370),"0")&amp;" HK Equity","PE_RATIO",Database!$H370,Database!$H370)</f>
        <v/>
      </c>
      <c r="P370" s="199">
        <f>IF(Database!BH370="","(n/m or not derivable)",Database!BH370)</f>
        <v/>
      </c>
      <c r="Q370" s="39">
        <f>IF(Database!BN370="","",BDH(LEFT(Database!BN370,FIND(".",Database!BN370)-1)&amp;" CH Equity","PE_RATIO",Database!$H370,Database!$H370))</f>
        <v/>
      </c>
      <c r="R370" s="39">
        <f>IF(Database!BN370="","",BDH("HSAHP Index","PX_LAST",Database!$H370,Database!$H370))</f>
        <v/>
      </c>
      <c r="S370" s="39">
        <f>IFERROR(BDP(TEXT(VALUE(Database!$A370),"0")&amp;" HK Equity","PX_TO_SALES_RATIO"),"")</f>
        <v/>
      </c>
      <c r="T370" s="34">
        <f>IF(Database!BN370="","",IFERROR(BDP(LEFT(Database!BN370,FIND(".",Database!BN370)-1)&amp;" CH Equity","CUR_MKT_CAP")*BDP("CNYHKD Curncy","PX_LAST"),"Awaiting quote"))</f>
        <v/>
      </c>
    </row>
    <row r="371" ht="23" customHeight="1">
      <c r="A371" s="32">
        <f>Database!A371&amp;"  "&amp;Database!B371</f>
        <v/>
      </c>
      <c r="B371" s="24">
        <f>IFERROR(INDEX(BDS(TEXT(VALUE(Database!$A371),"0")&amp;" HK Equity","EQUITY_OFFERINGS","array=t","endcol=1"),MATCH("IPO",BDS(TEXT(VALUE(Database!$A371),"0")&amp;" HK Equity","EQUITY_OFFERINGS","array=t","startcol=2","endcol=2"),0)),"")</f>
        <v/>
      </c>
      <c r="C371" s="208">
        <f>IF($B371="","",IFERROR(BDP($B371&amp;" Action","CP036"),""))</f>
        <v/>
      </c>
      <c r="D371" s="209">
        <f>Database!S371</f>
        <v/>
      </c>
      <c r="E371" s="208">
        <f>IF($B371="","",IFERROR(BDP($B371&amp;" Action","CP037"),""))</f>
        <v/>
      </c>
      <c r="F371" s="209">
        <f>Database!T371</f>
        <v/>
      </c>
      <c r="G371" s="208">
        <f>IF($B371="","",IFERROR(BDP($B371&amp;" Action","GREENSHOE_FACILITY"),""))</f>
        <v/>
      </c>
      <c r="H371" s="208">
        <f>IF($B371="","",IFERROR(BDP($B371&amp;" Action","OFFERING_GREENSHOE_SHARES_EX"),""))</f>
        <v/>
      </c>
      <c r="I371" s="32">
        <f>Database!AE371</f>
        <v/>
      </c>
      <c r="J371" s="39">
        <f>IFERROR(BDP(TEXT(VALUE(Database!$A371),"0")&amp;" HK Equity","PE_RATIO"),"")</f>
        <v/>
      </c>
      <c r="K371" s="24">
        <f>IFERROR(BDP(TEXT(VALUE(Database!$A371),"0")&amp;" HK Equity","A/H_SHARE_CONVERSION"),"")</f>
        <v/>
      </c>
      <c r="L371" s="32">
        <f>IF(Database!BN371="","(none found)",Database!BN371)</f>
        <v/>
      </c>
      <c r="M371" s="34">
        <f>BDH(TEXT(VALUE(Database!$A371),"0")&amp;" HK Equity","CUR_MKT_CAP",Database!$H371,Database!$H371)</f>
        <v/>
      </c>
      <c r="N371" s="166">
        <f>Database!Q371</f>
        <v/>
      </c>
      <c r="O371" s="39">
        <f>BDH(TEXT(VALUE(Database!$A371),"0")&amp;" HK Equity","PE_RATIO",Database!$H371,Database!$H371)</f>
        <v/>
      </c>
      <c r="P371" s="199">
        <f>IF(Database!BH371="","(n/m or not derivable)",Database!BH371)</f>
        <v/>
      </c>
      <c r="Q371" s="39">
        <f>IF(Database!BN371="","",BDH(LEFT(Database!BN371,FIND(".",Database!BN371)-1)&amp;" CH Equity","PE_RATIO",Database!$H371,Database!$H371))</f>
        <v/>
      </c>
      <c r="R371" s="39">
        <f>IF(Database!BN371="","",BDH("HSAHP Index","PX_LAST",Database!$H371,Database!$H371))</f>
        <v/>
      </c>
      <c r="S371" s="39">
        <f>IFERROR(BDP(TEXT(VALUE(Database!$A371),"0")&amp;" HK Equity","PX_TO_SALES_RATIO"),"")</f>
        <v/>
      </c>
      <c r="T371" s="34">
        <f>IF(Database!BN371="","",IFERROR(BDP(LEFT(Database!BN371,FIND(".",Database!BN371)-1)&amp;" CH Equity","CUR_MKT_CAP")*BDP("CNYHKD Curncy","PX_LAST"),"Awaiting quote"))</f>
        <v/>
      </c>
    </row>
    <row r="372" ht="23" customHeight="1">
      <c r="A372" s="32">
        <f>Database!A372&amp;"  "&amp;Database!B372</f>
        <v/>
      </c>
      <c r="B372" s="24">
        <f>IFERROR(INDEX(BDS(TEXT(VALUE(Database!$A372),"0")&amp;" HK Equity","EQUITY_OFFERINGS","array=t","endcol=1"),MATCH("IPO",BDS(TEXT(VALUE(Database!$A372),"0")&amp;" HK Equity","EQUITY_OFFERINGS","array=t","startcol=2","endcol=2"),0)),"")</f>
        <v/>
      </c>
      <c r="C372" s="208">
        <f>IF($B372="","",IFERROR(BDP($B372&amp;" Action","CP036"),""))</f>
        <v/>
      </c>
      <c r="D372" s="209">
        <f>Database!S372</f>
        <v/>
      </c>
      <c r="E372" s="208">
        <f>IF($B372="","",IFERROR(BDP($B372&amp;" Action","CP037"),""))</f>
        <v/>
      </c>
      <c r="F372" s="209">
        <f>Database!T372</f>
        <v/>
      </c>
      <c r="G372" s="208">
        <f>IF($B372="","",IFERROR(BDP($B372&amp;" Action","GREENSHOE_FACILITY"),""))</f>
        <v/>
      </c>
      <c r="H372" s="208">
        <f>IF($B372="","",IFERROR(BDP($B372&amp;" Action","OFFERING_GREENSHOE_SHARES_EX"),""))</f>
        <v/>
      </c>
      <c r="I372" s="32">
        <f>Database!AE372</f>
        <v/>
      </c>
      <c r="J372" s="39">
        <f>IFERROR(BDP(TEXT(VALUE(Database!$A372),"0")&amp;" HK Equity","PE_RATIO"),"")</f>
        <v/>
      </c>
      <c r="K372" s="24">
        <f>IFERROR(BDP(TEXT(VALUE(Database!$A372),"0")&amp;" HK Equity","A/H_SHARE_CONVERSION"),"")</f>
        <v/>
      </c>
      <c r="L372" s="32">
        <f>IF(Database!BN372="","(none found)",Database!BN372)</f>
        <v/>
      </c>
      <c r="M372" s="34">
        <f>BDH(TEXT(VALUE(Database!$A372),"0")&amp;" HK Equity","CUR_MKT_CAP",Database!$H372,Database!$H372)</f>
        <v/>
      </c>
      <c r="N372" s="166">
        <f>Database!Q372</f>
        <v/>
      </c>
      <c r="O372" s="39">
        <f>BDH(TEXT(VALUE(Database!$A372),"0")&amp;" HK Equity","PE_RATIO",Database!$H372,Database!$H372)</f>
        <v/>
      </c>
      <c r="P372" s="199">
        <f>IF(Database!BH372="","(n/m or not derivable)",Database!BH372)</f>
        <v/>
      </c>
      <c r="Q372" s="39">
        <f>IF(Database!BN372="","",BDH(LEFT(Database!BN372,FIND(".",Database!BN372)-1)&amp;" CH Equity","PE_RATIO",Database!$H372,Database!$H372))</f>
        <v/>
      </c>
      <c r="R372" s="39">
        <f>IF(Database!BN372="","",BDH("HSAHP Index","PX_LAST",Database!$H372,Database!$H372))</f>
        <v/>
      </c>
      <c r="S372" s="39">
        <f>IFERROR(BDP(TEXT(VALUE(Database!$A372),"0")&amp;" HK Equity","PX_TO_SALES_RATIO"),"")</f>
        <v/>
      </c>
      <c r="T372" s="34">
        <f>IF(Database!BN372="","",IFERROR(BDP(LEFT(Database!BN372,FIND(".",Database!BN372)-1)&amp;" CH Equity","CUR_MKT_CAP")*BDP("CNYHKD Curncy","PX_LAST"),"Awaiting quote"))</f>
        <v/>
      </c>
    </row>
    <row r="373" ht="23" customHeight="1">
      <c r="A373" s="32">
        <f>Database!A373&amp;"  "&amp;Database!B373</f>
        <v/>
      </c>
      <c r="B373" s="24">
        <f>IFERROR(INDEX(BDS(TEXT(VALUE(Database!$A373),"0")&amp;" HK Equity","EQUITY_OFFERINGS","array=t","endcol=1"),MATCH("IPO",BDS(TEXT(VALUE(Database!$A373),"0")&amp;" HK Equity","EQUITY_OFFERINGS","array=t","startcol=2","endcol=2"),0)),"")</f>
        <v/>
      </c>
      <c r="C373" s="208">
        <f>IF($B373="","",IFERROR(BDP($B373&amp;" Action","CP036"),""))</f>
        <v/>
      </c>
      <c r="D373" s="209">
        <f>Database!S373</f>
        <v/>
      </c>
      <c r="E373" s="208">
        <f>IF($B373="","",IFERROR(BDP($B373&amp;" Action","CP037"),""))</f>
        <v/>
      </c>
      <c r="F373" s="209">
        <f>Database!T373</f>
        <v/>
      </c>
      <c r="G373" s="208">
        <f>IF($B373="","",IFERROR(BDP($B373&amp;" Action","GREENSHOE_FACILITY"),""))</f>
        <v/>
      </c>
      <c r="H373" s="208">
        <f>IF($B373="","",IFERROR(BDP($B373&amp;" Action","OFFERING_GREENSHOE_SHARES_EX"),""))</f>
        <v/>
      </c>
      <c r="I373" s="32">
        <f>Database!AE373</f>
        <v/>
      </c>
      <c r="J373" s="39">
        <f>IFERROR(BDP(TEXT(VALUE(Database!$A373),"0")&amp;" HK Equity","PE_RATIO"),"")</f>
        <v/>
      </c>
      <c r="K373" s="24">
        <f>IFERROR(BDP(TEXT(VALUE(Database!$A373),"0")&amp;" HK Equity","A/H_SHARE_CONVERSION"),"")</f>
        <v/>
      </c>
      <c r="L373" s="32">
        <f>IF(Database!BN373="","(none found)",Database!BN373)</f>
        <v/>
      </c>
      <c r="M373" s="34">
        <f>BDH(TEXT(VALUE(Database!$A373),"0")&amp;" HK Equity","CUR_MKT_CAP",Database!$H373,Database!$H373)</f>
        <v/>
      </c>
      <c r="N373" s="166">
        <f>Database!Q373</f>
        <v/>
      </c>
      <c r="O373" s="39">
        <f>BDH(TEXT(VALUE(Database!$A373),"0")&amp;" HK Equity","PE_RATIO",Database!$H373,Database!$H373)</f>
        <v/>
      </c>
      <c r="P373" s="199">
        <f>IF(Database!BH373="","(n/m or not derivable)",Database!BH373)</f>
        <v/>
      </c>
      <c r="Q373" s="39">
        <f>IF(Database!BN373="","",BDH(LEFT(Database!BN373,FIND(".",Database!BN373)-1)&amp;" CH Equity","PE_RATIO",Database!$H373,Database!$H373))</f>
        <v/>
      </c>
      <c r="R373" s="39">
        <f>IF(Database!BN373="","",BDH("HSAHP Index","PX_LAST",Database!$H373,Database!$H373))</f>
        <v/>
      </c>
      <c r="S373" s="39">
        <f>IFERROR(BDP(TEXT(VALUE(Database!$A373),"0")&amp;" HK Equity","PX_TO_SALES_RATIO"),"")</f>
        <v/>
      </c>
      <c r="T373" s="34">
        <f>IF(Database!BN373="","",IFERROR(BDP(LEFT(Database!BN373,FIND(".",Database!BN373)-1)&amp;" CH Equity","CUR_MKT_CAP")*BDP("CNYHKD Curncy","PX_LAST"),"Awaiting quote"))</f>
        <v/>
      </c>
    </row>
    <row r="374" ht="23" customHeight="1">
      <c r="A374" s="32">
        <f>Database!A374&amp;"  "&amp;Database!B374</f>
        <v/>
      </c>
      <c r="B374" s="24">
        <f>IFERROR(INDEX(BDS(TEXT(VALUE(Database!$A374),"0")&amp;" HK Equity","EQUITY_OFFERINGS","array=t","endcol=1"),MATCH("IPO",BDS(TEXT(VALUE(Database!$A374),"0")&amp;" HK Equity","EQUITY_OFFERINGS","array=t","startcol=2","endcol=2"),0)),"")</f>
        <v/>
      </c>
      <c r="C374" s="208">
        <f>IF($B374="","",IFERROR(BDP($B374&amp;" Action","CP036"),""))</f>
        <v/>
      </c>
      <c r="D374" s="209">
        <f>Database!S374</f>
        <v/>
      </c>
      <c r="E374" s="208">
        <f>IF($B374="","",IFERROR(BDP($B374&amp;" Action","CP037"),""))</f>
        <v/>
      </c>
      <c r="F374" s="209">
        <f>Database!T374</f>
        <v/>
      </c>
      <c r="G374" s="208">
        <f>IF($B374="","",IFERROR(BDP($B374&amp;" Action","GREENSHOE_FACILITY"),""))</f>
        <v/>
      </c>
      <c r="H374" s="208">
        <f>IF($B374="","",IFERROR(BDP($B374&amp;" Action","OFFERING_GREENSHOE_SHARES_EX"),""))</f>
        <v/>
      </c>
      <c r="I374" s="32">
        <f>Database!AE374</f>
        <v/>
      </c>
      <c r="J374" s="39">
        <f>IFERROR(BDP(TEXT(VALUE(Database!$A374),"0")&amp;" HK Equity","PE_RATIO"),"")</f>
        <v/>
      </c>
      <c r="K374" s="24">
        <f>IFERROR(BDP(TEXT(VALUE(Database!$A374),"0")&amp;" HK Equity","A/H_SHARE_CONVERSION"),"")</f>
        <v/>
      </c>
      <c r="L374" s="32">
        <f>IF(Database!BN374="","(none found)",Database!BN374)</f>
        <v/>
      </c>
      <c r="M374" s="34">
        <f>BDH(TEXT(VALUE(Database!$A374),"0")&amp;" HK Equity","CUR_MKT_CAP",Database!$H374,Database!$H374)</f>
        <v/>
      </c>
      <c r="N374" s="166">
        <f>Database!Q374</f>
        <v/>
      </c>
      <c r="O374" s="39">
        <f>BDH(TEXT(VALUE(Database!$A374),"0")&amp;" HK Equity","PE_RATIO",Database!$H374,Database!$H374)</f>
        <v/>
      </c>
      <c r="P374" s="199">
        <f>IF(Database!BH374="","(n/m or not derivable)",Database!BH374)</f>
        <v/>
      </c>
      <c r="Q374" s="39">
        <f>IF(Database!BN374="","",BDH(LEFT(Database!BN374,FIND(".",Database!BN374)-1)&amp;" CH Equity","PE_RATIO",Database!$H374,Database!$H374))</f>
        <v/>
      </c>
      <c r="R374" s="39">
        <f>IF(Database!BN374="","",BDH("HSAHP Index","PX_LAST",Database!$H374,Database!$H374))</f>
        <v/>
      </c>
      <c r="S374" s="39">
        <f>IFERROR(BDP(TEXT(VALUE(Database!$A374),"0")&amp;" HK Equity","PX_TO_SALES_RATIO"),"")</f>
        <v/>
      </c>
      <c r="T374" s="34">
        <f>IF(Database!BN374="","",IFERROR(BDP(LEFT(Database!BN374,FIND(".",Database!BN374)-1)&amp;" CH Equity","CUR_MKT_CAP")*BDP("CNYHKD Curncy","PX_LAST"),"Awaiting quote"))</f>
        <v/>
      </c>
    </row>
    <row r="375" ht="23" customHeight="1">
      <c r="A375" s="32">
        <f>Database!A375&amp;"  "&amp;Database!B375</f>
        <v/>
      </c>
      <c r="B375" s="24">
        <f>IFERROR(INDEX(BDS(TEXT(VALUE(Database!$A375),"0")&amp;" HK Equity","EQUITY_OFFERINGS","array=t","endcol=1"),MATCH("IPO",BDS(TEXT(VALUE(Database!$A375),"0")&amp;" HK Equity","EQUITY_OFFERINGS","array=t","startcol=2","endcol=2"),0)),"")</f>
        <v/>
      </c>
      <c r="C375" s="208">
        <f>IF($B375="","",IFERROR(BDP($B375&amp;" Action","CP036"),""))</f>
        <v/>
      </c>
      <c r="D375" s="209">
        <f>Database!S375</f>
        <v/>
      </c>
      <c r="E375" s="208">
        <f>IF($B375="","",IFERROR(BDP($B375&amp;" Action","CP037"),""))</f>
        <v/>
      </c>
      <c r="F375" s="209">
        <f>Database!T375</f>
        <v/>
      </c>
      <c r="G375" s="208">
        <f>IF($B375="","",IFERROR(BDP($B375&amp;" Action","GREENSHOE_FACILITY"),""))</f>
        <v/>
      </c>
      <c r="H375" s="208">
        <f>IF($B375="","",IFERROR(BDP($B375&amp;" Action","OFFERING_GREENSHOE_SHARES_EX"),""))</f>
        <v/>
      </c>
      <c r="I375" s="32">
        <f>Database!AE375</f>
        <v/>
      </c>
      <c r="J375" s="39">
        <f>IFERROR(BDP(TEXT(VALUE(Database!$A375),"0")&amp;" HK Equity","PE_RATIO"),"")</f>
        <v/>
      </c>
      <c r="K375" s="24">
        <f>IFERROR(BDP(TEXT(VALUE(Database!$A375),"0")&amp;" HK Equity","A/H_SHARE_CONVERSION"),"")</f>
        <v/>
      </c>
      <c r="L375" s="32">
        <f>IF(Database!BN375="","(none found)",Database!BN375)</f>
        <v/>
      </c>
      <c r="M375" s="34">
        <f>BDH(TEXT(VALUE(Database!$A375),"0")&amp;" HK Equity","CUR_MKT_CAP",Database!$H375,Database!$H375)</f>
        <v/>
      </c>
      <c r="N375" s="166">
        <f>Database!Q375</f>
        <v/>
      </c>
      <c r="O375" s="39">
        <f>BDH(TEXT(VALUE(Database!$A375),"0")&amp;" HK Equity","PE_RATIO",Database!$H375,Database!$H375)</f>
        <v/>
      </c>
      <c r="P375" s="199">
        <f>IF(Database!BH375="","(n/m or not derivable)",Database!BH375)</f>
        <v/>
      </c>
      <c r="Q375" s="39">
        <f>IF(Database!BN375="","",BDH(LEFT(Database!BN375,FIND(".",Database!BN375)-1)&amp;" CH Equity","PE_RATIO",Database!$H375,Database!$H375))</f>
        <v/>
      </c>
      <c r="R375" s="39">
        <f>IF(Database!BN375="","",BDH("HSAHP Index","PX_LAST",Database!$H375,Database!$H375))</f>
        <v/>
      </c>
      <c r="S375" s="39">
        <f>IFERROR(BDP(TEXT(VALUE(Database!$A375),"0")&amp;" HK Equity","PX_TO_SALES_RATIO"),"")</f>
        <v/>
      </c>
      <c r="T375" s="34">
        <f>IF(Database!BN375="","",IFERROR(BDP(LEFT(Database!BN375,FIND(".",Database!BN375)-1)&amp;" CH Equity","CUR_MKT_CAP")*BDP("CNYHKD Curncy","PX_LAST"),"Awaiting quote"))</f>
        <v/>
      </c>
    </row>
    <row r="376" ht="23" customHeight="1">
      <c r="A376" s="32">
        <f>Database!A376&amp;"  "&amp;Database!B376</f>
        <v/>
      </c>
      <c r="B376" s="24">
        <f>IFERROR(INDEX(BDS(TEXT(VALUE(Database!$A376),"0")&amp;" HK Equity","EQUITY_OFFERINGS","array=t","endcol=1"),MATCH("IPO",BDS(TEXT(VALUE(Database!$A376),"0")&amp;" HK Equity","EQUITY_OFFERINGS","array=t","startcol=2","endcol=2"),0)),"")</f>
        <v/>
      </c>
      <c r="C376" s="208">
        <f>IF($B376="","",IFERROR(BDP($B376&amp;" Action","CP036"),""))</f>
        <v/>
      </c>
      <c r="D376" s="209">
        <f>Database!S376</f>
        <v/>
      </c>
      <c r="E376" s="208">
        <f>IF($B376="","",IFERROR(BDP($B376&amp;" Action","CP037"),""))</f>
        <v/>
      </c>
      <c r="F376" s="209">
        <f>Database!T376</f>
        <v/>
      </c>
      <c r="G376" s="208">
        <f>IF($B376="","",IFERROR(BDP($B376&amp;" Action","GREENSHOE_FACILITY"),""))</f>
        <v/>
      </c>
      <c r="H376" s="208">
        <f>IF($B376="","",IFERROR(BDP($B376&amp;" Action","OFFERING_GREENSHOE_SHARES_EX"),""))</f>
        <v/>
      </c>
      <c r="I376" s="32">
        <f>Database!AE376</f>
        <v/>
      </c>
      <c r="J376" s="39">
        <f>IFERROR(BDP(TEXT(VALUE(Database!$A376),"0")&amp;" HK Equity","PE_RATIO"),"")</f>
        <v/>
      </c>
      <c r="K376" s="24">
        <f>IFERROR(BDP(TEXT(VALUE(Database!$A376),"0")&amp;" HK Equity","A/H_SHARE_CONVERSION"),"")</f>
        <v/>
      </c>
      <c r="L376" s="32">
        <f>IF(Database!BN376="","(none found)",Database!BN376)</f>
        <v/>
      </c>
      <c r="M376" s="34">
        <f>BDH(TEXT(VALUE(Database!$A376),"0")&amp;" HK Equity","CUR_MKT_CAP",Database!$H376,Database!$H376)</f>
        <v/>
      </c>
      <c r="N376" s="166">
        <f>Database!Q376</f>
        <v/>
      </c>
      <c r="O376" s="39">
        <f>BDH(TEXT(VALUE(Database!$A376),"0")&amp;" HK Equity","PE_RATIO",Database!$H376,Database!$H376)</f>
        <v/>
      </c>
      <c r="P376" s="199">
        <f>IF(Database!BH376="","(n/m or not derivable)",Database!BH376)</f>
        <v/>
      </c>
      <c r="Q376" s="39">
        <f>IF(Database!BN376="","",BDH(LEFT(Database!BN376,FIND(".",Database!BN376)-1)&amp;" CH Equity","PE_RATIO",Database!$H376,Database!$H376))</f>
        <v/>
      </c>
      <c r="R376" s="39">
        <f>IF(Database!BN376="","",BDH("HSAHP Index","PX_LAST",Database!$H376,Database!$H376))</f>
        <v/>
      </c>
      <c r="S376" s="39">
        <f>IFERROR(BDP(TEXT(VALUE(Database!$A376),"0")&amp;" HK Equity","PX_TO_SALES_RATIO"),"")</f>
        <v/>
      </c>
      <c r="T376" s="34">
        <f>IF(Database!BN376="","",IFERROR(BDP(LEFT(Database!BN376,FIND(".",Database!BN376)-1)&amp;" CH Equity","CUR_MKT_CAP")*BDP("CNYHKD Curncy","PX_LAST"),"Awaiting quote"))</f>
        <v/>
      </c>
    </row>
    <row r="377" ht="23" customHeight="1">
      <c r="A377" s="32">
        <f>Database!A377&amp;"  "&amp;Database!B377</f>
        <v/>
      </c>
      <c r="B377" s="24">
        <f>IFERROR(INDEX(BDS(TEXT(VALUE(Database!$A377),"0")&amp;" HK Equity","EQUITY_OFFERINGS","array=t","endcol=1"),MATCH("IPO",BDS(TEXT(VALUE(Database!$A377),"0")&amp;" HK Equity","EQUITY_OFFERINGS","array=t","startcol=2","endcol=2"),0)),"")</f>
        <v/>
      </c>
      <c r="C377" s="208">
        <f>IF($B377="","",IFERROR(BDP($B377&amp;" Action","CP036"),""))</f>
        <v/>
      </c>
      <c r="D377" s="209">
        <f>Database!S377</f>
        <v/>
      </c>
      <c r="E377" s="208">
        <f>IF($B377="","",IFERROR(BDP($B377&amp;" Action","CP037"),""))</f>
        <v/>
      </c>
      <c r="F377" s="209">
        <f>Database!T377</f>
        <v/>
      </c>
      <c r="G377" s="208">
        <f>IF($B377="","",IFERROR(BDP($B377&amp;" Action","GREENSHOE_FACILITY"),""))</f>
        <v/>
      </c>
      <c r="H377" s="208">
        <f>IF($B377="","",IFERROR(BDP($B377&amp;" Action","OFFERING_GREENSHOE_SHARES_EX"),""))</f>
        <v/>
      </c>
      <c r="I377" s="32">
        <f>Database!AE377</f>
        <v/>
      </c>
      <c r="J377" s="39">
        <f>IFERROR(BDP(TEXT(VALUE(Database!$A377),"0")&amp;" HK Equity","PE_RATIO"),"")</f>
        <v/>
      </c>
      <c r="K377" s="24">
        <f>IFERROR(BDP(TEXT(VALUE(Database!$A377),"0")&amp;" HK Equity","A/H_SHARE_CONVERSION"),"")</f>
        <v/>
      </c>
      <c r="L377" s="32">
        <f>IF(Database!BN377="","(none found)",Database!BN377)</f>
        <v/>
      </c>
      <c r="M377" s="34">
        <f>BDH(TEXT(VALUE(Database!$A377),"0")&amp;" HK Equity","CUR_MKT_CAP",Database!$H377,Database!$H377)</f>
        <v/>
      </c>
      <c r="N377" s="166">
        <f>Database!Q377</f>
        <v/>
      </c>
      <c r="O377" s="39">
        <f>BDH(TEXT(VALUE(Database!$A377),"0")&amp;" HK Equity","PE_RATIO",Database!$H377,Database!$H377)</f>
        <v/>
      </c>
      <c r="P377" s="199">
        <f>IF(Database!BH377="","(n/m or not derivable)",Database!BH377)</f>
        <v/>
      </c>
      <c r="Q377" s="39">
        <f>IF(Database!BN377="","",BDH(LEFT(Database!BN377,FIND(".",Database!BN377)-1)&amp;" CH Equity","PE_RATIO",Database!$H377,Database!$H377))</f>
        <v/>
      </c>
      <c r="R377" s="39">
        <f>IF(Database!BN377="","",BDH("HSAHP Index","PX_LAST",Database!$H377,Database!$H377))</f>
        <v/>
      </c>
      <c r="S377" s="39">
        <f>IFERROR(BDP(TEXT(VALUE(Database!$A377),"0")&amp;" HK Equity","PX_TO_SALES_RATIO"),"")</f>
        <v/>
      </c>
      <c r="T377" s="34">
        <f>IF(Database!BN377="","",IFERROR(BDP(LEFT(Database!BN377,FIND(".",Database!BN377)-1)&amp;" CH Equity","CUR_MKT_CAP")*BDP("CNYHKD Curncy","PX_LAST"),"Awaiting quote"))</f>
        <v/>
      </c>
    </row>
    <row r="378" ht="23" customHeight="1">
      <c r="A378" s="32">
        <f>Database!A378&amp;"  "&amp;Database!B378</f>
        <v/>
      </c>
      <c r="B378" s="24">
        <f>IFERROR(INDEX(BDS(TEXT(VALUE(Database!$A378),"0")&amp;" HK Equity","EQUITY_OFFERINGS","array=t","endcol=1"),MATCH("IPO",BDS(TEXT(VALUE(Database!$A378),"0")&amp;" HK Equity","EQUITY_OFFERINGS","array=t","startcol=2","endcol=2"),0)),"")</f>
        <v/>
      </c>
      <c r="C378" s="208">
        <f>IF($B378="","",IFERROR(BDP($B378&amp;" Action","CP036"),""))</f>
        <v/>
      </c>
      <c r="D378" s="209">
        <f>Database!S378</f>
        <v/>
      </c>
      <c r="E378" s="208">
        <f>IF($B378="","",IFERROR(BDP($B378&amp;" Action","CP037"),""))</f>
        <v/>
      </c>
      <c r="F378" s="209">
        <f>Database!T378</f>
        <v/>
      </c>
      <c r="G378" s="208">
        <f>IF($B378="","",IFERROR(BDP($B378&amp;" Action","GREENSHOE_FACILITY"),""))</f>
        <v/>
      </c>
      <c r="H378" s="208">
        <f>IF($B378="","",IFERROR(BDP($B378&amp;" Action","OFFERING_GREENSHOE_SHARES_EX"),""))</f>
        <v/>
      </c>
      <c r="I378" s="32">
        <f>Database!AE378</f>
        <v/>
      </c>
      <c r="J378" s="39">
        <f>IFERROR(BDP(TEXT(VALUE(Database!$A378),"0")&amp;" HK Equity","PE_RATIO"),"")</f>
        <v/>
      </c>
      <c r="K378" s="24">
        <f>IFERROR(BDP(TEXT(VALUE(Database!$A378),"0")&amp;" HK Equity","A/H_SHARE_CONVERSION"),"")</f>
        <v/>
      </c>
      <c r="L378" s="32">
        <f>IF(Database!BN378="","(none found)",Database!BN378)</f>
        <v/>
      </c>
      <c r="M378" s="34">
        <f>BDH(TEXT(VALUE(Database!$A378),"0")&amp;" HK Equity","CUR_MKT_CAP",Database!$H378,Database!$H378)</f>
        <v/>
      </c>
      <c r="N378" s="166">
        <f>Database!Q378</f>
        <v/>
      </c>
      <c r="O378" s="39">
        <f>BDH(TEXT(VALUE(Database!$A378),"0")&amp;" HK Equity","PE_RATIO",Database!$H378,Database!$H378)</f>
        <v/>
      </c>
      <c r="P378" s="199">
        <f>IF(Database!BH378="","(n/m or not derivable)",Database!BH378)</f>
        <v/>
      </c>
      <c r="Q378" s="39">
        <f>IF(Database!BN378="","",BDH(LEFT(Database!BN378,FIND(".",Database!BN378)-1)&amp;" CH Equity","PE_RATIO",Database!$H378,Database!$H378))</f>
        <v/>
      </c>
      <c r="R378" s="39">
        <f>IF(Database!BN378="","",BDH("HSAHP Index","PX_LAST",Database!$H378,Database!$H378))</f>
        <v/>
      </c>
      <c r="S378" s="39">
        <f>IFERROR(BDP(TEXT(VALUE(Database!$A378),"0")&amp;" HK Equity","PX_TO_SALES_RATIO"),"")</f>
        <v/>
      </c>
      <c r="T378" s="34">
        <f>IF(Database!BN378="","",IFERROR(BDP(LEFT(Database!BN378,FIND(".",Database!BN378)-1)&amp;" CH Equity","CUR_MKT_CAP")*BDP("CNYHKD Curncy","PX_LAST"),"Awaiting quote"))</f>
        <v/>
      </c>
    </row>
    <row r="379" ht="23" customHeight="1">
      <c r="A379" s="32">
        <f>Database!A379&amp;"  "&amp;Database!B379</f>
        <v/>
      </c>
      <c r="B379" s="24">
        <f>IFERROR(INDEX(BDS(TEXT(VALUE(Database!$A379),"0")&amp;" HK Equity","EQUITY_OFFERINGS","array=t","endcol=1"),MATCH("IPO",BDS(TEXT(VALUE(Database!$A379),"0")&amp;" HK Equity","EQUITY_OFFERINGS","array=t","startcol=2","endcol=2"),0)),"")</f>
        <v/>
      </c>
      <c r="C379" s="208">
        <f>IF($B379="","",IFERROR(BDP($B379&amp;" Action","CP036"),""))</f>
        <v/>
      </c>
      <c r="D379" s="209">
        <f>Database!S379</f>
        <v/>
      </c>
      <c r="E379" s="208">
        <f>IF($B379="","",IFERROR(BDP($B379&amp;" Action","CP037"),""))</f>
        <v/>
      </c>
      <c r="F379" s="209">
        <f>Database!T379</f>
        <v/>
      </c>
      <c r="G379" s="208">
        <f>IF($B379="","",IFERROR(BDP($B379&amp;" Action","GREENSHOE_FACILITY"),""))</f>
        <v/>
      </c>
      <c r="H379" s="208">
        <f>IF($B379="","",IFERROR(BDP($B379&amp;" Action","OFFERING_GREENSHOE_SHARES_EX"),""))</f>
        <v/>
      </c>
      <c r="I379" s="32">
        <f>Database!AE379</f>
        <v/>
      </c>
      <c r="J379" s="39">
        <f>IFERROR(BDP(TEXT(VALUE(Database!$A379),"0")&amp;" HK Equity","PE_RATIO"),"")</f>
        <v/>
      </c>
      <c r="K379" s="24">
        <f>IFERROR(BDP(TEXT(VALUE(Database!$A379),"0")&amp;" HK Equity","A/H_SHARE_CONVERSION"),"")</f>
        <v/>
      </c>
      <c r="L379" s="32">
        <f>IF(Database!BN379="","(none found)",Database!BN379)</f>
        <v/>
      </c>
      <c r="M379" s="34">
        <f>BDH(TEXT(VALUE(Database!$A379),"0")&amp;" HK Equity","CUR_MKT_CAP",Database!$H379,Database!$H379)</f>
        <v/>
      </c>
      <c r="N379" s="166">
        <f>Database!Q379</f>
        <v/>
      </c>
      <c r="O379" s="39">
        <f>BDH(TEXT(VALUE(Database!$A379),"0")&amp;" HK Equity","PE_RATIO",Database!$H379,Database!$H379)</f>
        <v/>
      </c>
      <c r="P379" s="199">
        <f>IF(Database!BH379="","(n/m or not derivable)",Database!BH379)</f>
        <v/>
      </c>
      <c r="Q379" s="39">
        <f>IF(Database!BN379="","",BDH(LEFT(Database!BN379,FIND(".",Database!BN379)-1)&amp;" CH Equity","PE_RATIO",Database!$H379,Database!$H379))</f>
        <v/>
      </c>
      <c r="R379" s="39">
        <f>IF(Database!BN379="","",BDH("HSAHP Index","PX_LAST",Database!$H379,Database!$H379))</f>
        <v/>
      </c>
      <c r="S379" s="39">
        <f>IFERROR(BDP(TEXT(VALUE(Database!$A379),"0")&amp;" HK Equity","PX_TO_SALES_RATIO"),"")</f>
        <v/>
      </c>
      <c r="T379" s="34">
        <f>IF(Database!BN379="","",IFERROR(BDP(LEFT(Database!BN379,FIND(".",Database!BN379)-1)&amp;" CH Equity","CUR_MKT_CAP")*BDP("CNYHKD Curncy","PX_LAST"),"Awaiting quote"))</f>
        <v/>
      </c>
    </row>
    <row r="380" ht="23" customHeight="1">
      <c r="A380" s="32">
        <f>Database!A380&amp;"  "&amp;Database!B380</f>
        <v/>
      </c>
      <c r="B380" s="24">
        <f>IFERROR(INDEX(BDS(TEXT(VALUE(Database!$A380),"0")&amp;" HK Equity","EQUITY_OFFERINGS","array=t","endcol=1"),MATCH("IPO",BDS(TEXT(VALUE(Database!$A380),"0")&amp;" HK Equity","EQUITY_OFFERINGS","array=t","startcol=2","endcol=2"),0)),"")</f>
        <v/>
      </c>
      <c r="C380" s="208">
        <f>IF($B380="","",IFERROR(BDP($B380&amp;" Action","CP036"),""))</f>
        <v/>
      </c>
      <c r="D380" s="209">
        <f>Database!S380</f>
        <v/>
      </c>
      <c r="E380" s="208">
        <f>IF($B380="","",IFERROR(BDP($B380&amp;" Action","CP037"),""))</f>
        <v/>
      </c>
      <c r="F380" s="209">
        <f>Database!T380</f>
        <v/>
      </c>
      <c r="G380" s="208">
        <f>IF($B380="","",IFERROR(BDP($B380&amp;" Action","GREENSHOE_FACILITY"),""))</f>
        <v/>
      </c>
      <c r="H380" s="208">
        <f>IF($B380="","",IFERROR(BDP($B380&amp;" Action","OFFERING_GREENSHOE_SHARES_EX"),""))</f>
        <v/>
      </c>
      <c r="I380" s="32">
        <f>Database!AE380</f>
        <v/>
      </c>
      <c r="J380" s="39">
        <f>IFERROR(BDP(TEXT(VALUE(Database!$A380),"0")&amp;" HK Equity","PE_RATIO"),"")</f>
        <v/>
      </c>
      <c r="K380" s="24">
        <f>IFERROR(BDP(TEXT(VALUE(Database!$A380),"0")&amp;" HK Equity","A/H_SHARE_CONVERSION"),"")</f>
        <v/>
      </c>
      <c r="L380" s="32">
        <f>IF(Database!BN380="","(none found)",Database!BN380)</f>
        <v/>
      </c>
      <c r="M380" s="34">
        <f>BDH(TEXT(VALUE(Database!$A380),"0")&amp;" HK Equity","CUR_MKT_CAP",Database!$H380,Database!$H380)</f>
        <v/>
      </c>
      <c r="N380" s="166">
        <f>Database!Q380</f>
        <v/>
      </c>
      <c r="O380" s="39">
        <f>BDH(TEXT(VALUE(Database!$A380),"0")&amp;" HK Equity","PE_RATIO",Database!$H380,Database!$H380)</f>
        <v/>
      </c>
      <c r="P380" s="199">
        <f>IF(Database!BH380="","(n/m or not derivable)",Database!BH380)</f>
        <v/>
      </c>
      <c r="Q380" s="39">
        <f>IF(Database!BN380="","",BDH(LEFT(Database!BN380,FIND(".",Database!BN380)-1)&amp;" CH Equity","PE_RATIO",Database!$H380,Database!$H380))</f>
        <v/>
      </c>
      <c r="R380" s="39">
        <f>IF(Database!BN380="","",BDH("HSAHP Index","PX_LAST",Database!$H380,Database!$H380))</f>
        <v/>
      </c>
      <c r="S380" s="39">
        <f>IFERROR(BDP(TEXT(VALUE(Database!$A380),"0")&amp;" HK Equity","PX_TO_SALES_RATIO"),"")</f>
        <v/>
      </c>
      <c r="T380" s="34">
        <f>IF(Database!BN380="","",IFERROR(BDP(LEFT(Database!BN380,FIND(".",Database!BN380)-1)&amp;" CH Equity","CUR_MKT_CAP")*BDP("CNYHKD Curncy","PX_LAST"),"Awaiting quote"))</f>
        <v/>
      </c>
    </row>
    <row r="381" ht="23" customHeight="1">
      <c r="A381" s="32">
        <f>Database!A381&amp;"  "&amp;Database!B381</f>
        <v/>
      </c>
      <c r="B381" s="24">
        <f>IFERROR(INDEX(BDS(TEXT(VALUE(Database!$A381),"0")&amp;" HK Equity","EQUITY_OFFERINGS","array=t","endcol=1"),MATCH("IPO",BDS(TEXT(VALUE(Database!$A381),"0")&amp;" HK Equity","EQUITY_OFFERINGS","array=t","startcol=2","endcol=2"),0)),"")</f>
        <v/>
      </c>
      <c r="C381" s="208">
        <f>IF($B381="","",IFERROR(BDP($B381&amp;" Action","CP036"),""))</f>
        <v/>
      </c>
      <c r="D381" s="209">
        <f>Database!S381</f>
        <v/>
      </c>
      <c r="E381" s="208">
        <f>IF($B381="","",IFERROR(BDP($B381&amp;" Action","CP037"),""))</f>
        <v/>
      </c>
      <c r="F381" s="209">
        <f>Database!T381</f>
        <v/>
      </c>
      <c r="G381" s="208">
        <f>IF($B381="","",IFERROR(BDP($B381&amp;" Action","GREENSHOE_FACILITY"),""))</f>
        <v/>
      </c>
      <c r="H381" s="208">
        <f>IF($B381="","",IFERROR(BDP($B381&amp;" Action","OFFERING_GREENSHOE_SHARES_EX"),""))</f>
        <v/>
      </c>
      <c r="I381" s="32">
        <f>Database!AE381</f>
        <v/>
      </c>
      <c r="J381" s="39">
        <f>IFERROR(BDP(TEXT(VALUE(Database!$A381),"0")&amp;" HK Equity","PE_RATIO"),"")</f>
        <v/>
      </c>
      <c r="K381" s="24">
        <f>IFERROR(BDP(TEXT(VALUE(Database!$A381),"0")&amp;" HK Equity","A/H_SHARE_CONVERSION"),"")</f>
        <v/>
      </c>
      <c r="L381" s="32">
        <f>IF(Database!BN381="","(none found)",Database!BN381)</f>
        <v/>
      </c>
      <c r="M381" s="34">
        <f>BDH(TEXT(VALUE(Database!$A381),"0")&amp;" HK Equity","CUR_MKT_CAP",Database!$H381,Database!$H381)</f>
        <v/>
      </c>
      <c r="N381" s="166">
        <f>Database!Q381</f>
        <v/>
      </c>
      <c r="O381" s="39">
        <f>BDH(TEXT(VALUE(Database!$A381),"0")&amp;" HK Equity","PE_RATIO",Database!$H381,Database!$H381)</f>
        <v/>
      </c>
      <c r="P381" s="199">
        <f>IF(Database!BH381="","(n/m or not derivable)",Database!BH381)</f>
        <v/>
      </c>
      <c r="Q381" s="39">
        <f>IF(Database!BN381="","",BDH(LEFT(Database!BN381,FIND(".",Database!BN381)-1)&amp;" CH Equity","PE_RATIO",Database!$H381,Database!$H381))</f>
        <v/>
      </c>
      <c r="R381" s="39">
        <f>IF(Database!BN381="","",BDH("HSAHP Index","PX_LAST",Database!$H381,Database!$H381))</f>
        <v/>
      </c>
      <c r="S381" s="39">
        <f>IFERROR(BDP(TEXT(VALUE(Database!$A381),"0")&amp;" HK Equity","PX_TO_SALES_RATIO"),"")</f>
        <v/>
      </c>
      <c r="T381" s="34">
        <f>IF(Database!BN381="","",IFERROR(BDP(LEFT(Database!BN381,FIND(".",Database!BN381)-1)&amp;" CH Equity","CUR_MKT_CAP")*BDP("CNYHKD Curncy","PX_LAST"),"Awaiting quote"))</f>
        <v/>
      </c>
    </row>
    <row r="382" ht="23" customHeight="1">
      <c r="A382" s="32">
        <f>Database!A382&amp;"  "&amp;Database!B382</f>
        <v/>
      </c>
      <c r="B382" s="24">
        <f>IFERROR(INDEX(BDS(TEXT(VALUE(Database!$A382),"0")&amp;" HK Equity","EQUITY_OFFERINGS","array=t","endcol=1"),MATCH("IPO",BDS(TEXT(VALUE(Database!$A382),"0")&amp;" HK Equity","EQUITY_OFFERINGS","array=t","startcol=2","endcol=2"),0)),"")</f>
        <v/>
      </c>
      <c r="C382" s="208">
        <f>IF($B382="","",IFERROR(BDP($B382&amp;" Action","CP036"),""))</f>
        <v/>
      </c>
      <c r="D382" s="209">
        <f>Database!S382</f>
        <v/>
      </c>
      <c r="E382" s="208">
        <f>IF($B382="","",IFERROR(BDP($B382&amp;" Action","CP037"),""))</f>
        <v/>
      </c>
      <c r="F382" s="209">
        <f>Database!T382</f>
        <v/>
      </c>
      <c r="G382" s="208">
        <f>IF($B382="","",IFERROR(BDP($B382&amp;" Action","GREENSHOE_FACILITY"),""))</f>
        <v/>
      </c>
      <c r="H382" s="208">
        <f>IF($B382="","",IFERROR(BDP($B382&amp;" Action","OFFERING_GREENSHOE_SHARES_EX"),""))</f>
        <v/>
      </c>
      <c r="I382" s="32">
        <f>Database!AE382</f>
        <v/>
      </c>
      <c r="J382" s="39">
        <f>IFERROR(BDP(TEXT(VALUE(Database!$A382),"0")&amp;" HK Equity","PE_RATIO"),"")</f>
        <v/>
      </c>
      <c r="K382" s="24">
        <f>IFERROR(BDP(TEXT(VALUE(Database!$A382),"0")&amp;" HK Equity","A/H_SHARE_CONVERSION"),"")</f>
        <v/>
      </c>
      <c r="L382" s="32">
        <f>IF(Database!BN382="","(none found)",Database!BN382)</f>
        <v/>
      </c>
      <c r="M382" s="34">
        <f>BDH(TEXT(VALUE(Database!$A382),"0")&amp;" HK Equity","CUR_MKT_CAP",Database!$H382,Database!$H382)</f>
        <v/>
      </c>
      <c r="N382" s="166">
        <f>Database!Q382</f>
        <v/>
      </c>
      <c r="O382" s="39">
        <f>BDH(TEXT(VALUE(Database!$A382),"0")&amp;" HK Equity","PE_RATIO",Database!$H382,Database!$H382)</f>
        <v/>
      </c>
      <c r="P382" s="199">
        <f>IF(Database!BH382="","(n/m or not derivable)",Database!BH382)</f>
        <v/>
      </c>
      <c r="Q382" s="39">
        <f>IF(Database!BN382="","",BDH(LEFT(Database!BN382,FIND(".",Database!BN382)-1)&amp;" CH Equity","PE_RATIO",Database!$H382,Database!$H382))</f>
        <v/>
      </c>
      <c r="R382" s="39">
        <f>IF(Database!BN382="","",BDH("HSAHP Index","PX_LAST",Database!$H382,Database!$H382))</f>
        <v/>
      </c>
      <c r="S382" s="39">
        <f>IFERROR(BDP(TEXT(VALUE(Database!$A382),"0")&amp;" HK Equity","PX_TO_SALES_RATIO"),"")</f>
        <v/>
      </c>
      <c r="T382" s="34">
        <f>IF(Database!BN382="","",IFERROR(BDP(LEFT(Database!BN382,FIND(".",Database!BN382)-1)&amp;" CH Equity","CUR_MKT_CAP")*BDP("CNYHKD Curncy","PX_LAST"),"Awaiting quote"))</f>
        <v/>
      </c>
    </row>
    <row r="383" ht="23" customHeight="1">
      <c r="A383" s="32">
        <f>Database!A383&amp;"  "&amp;Database!B383</f>
        <v/>
      </c>
      <c r="B383" s="24">
        <f>IFERROR(INDEX(BDS(TEXT(VALUE(Database!$A383),"0")&amp;" HK Equity","EQUITY_OFFERINGS","array=t","endcol=1"),MATCH("IPO",BDS(TEXT(VALUE(Database!$A383),"0")&amp;" HK Equity","EQUITY_OFFERINGS","array=t","startcol=2","endcol=2"),0)),"")</f>
        <v/>
      </c>
      <c r="C383" s="208">
        <f>IF($B383="","",IFERROR(BDP($B383&amp;" Action","CP036"),""))</f>
        <v/>
      </c>
      <c r="D383" s="209">
        <f>Database!S383</f>
        <v/>
      </c>
      <c r="E383" s="208">
        <f>IF($B383="","",IFERROR(BDP($B383&amp;" Action","CP037"),""))</f>
        <v/>
      </c>
      <c r="F383" s="209">
        <f>Database!T383</f>
        <v/>
      </c>
      <c r="G383" s="208">
        <f>IF($B383="","",IFERROR(BDP($B383&amp;" Action","GREENSHOE_FACILITY"),""))</f>
        <v/>
      </c>
      <c r="H383" s="208">
        <f>IF($B383="","",IFERROR(BDP($B383&amp;" Action","OFFERING_GREENSHOE_SHARES_EX"),""))</f>
        <v/>
      </c>
      <c r="I383" s="32">
        <f>Database!AE383</f>
        <v/>
      </c>
      <c r="J383" s="39">
        <f>IFERROR(BDP(TEXT(VALUE(Database!$A383),"0")&amp;" HK Equity","PE_RATIO"),"")</f>
        <v/>
      </c>
      <c r="K383" s="24">
        <f>IFERROR(BDP(TEXT(VALUE(Database!$A383),"0")&amp;" HK Equity","A/H_SHARE_CONVERSION"),"")</f>
        <v/>
      </c>
      <c r="L383" s="32">
        <f>IF(Database!BN383="","(none found)",Database!BN383)</f>
        <v/>
      </c>
      <c r="M383" s="34">
        <f>BDH(TEXT(VALUE(Database!$A383),"0")&amp;" HK Equity","CUR_MKT_CAP",Database!$H383,Database!$H383)</f>
        <v/>
      </c>
      <c r="N383" s="166">
        <f>Database!Q383</f>
        <v/>
      </c>
      <c r="O383" s="39">
        <f>BDH(TEXT(VALUE(Database!$A383),"0")&amp;" HK Equity","PE_RATIO",Database!$H383,Database!$H383)</f>
        <v/>
      </c>
      <c r="P383" s="199">
        <f>IF(Database!BH383="","(n/m or not derivable)",Database!BH383)</f>
        <v/>
      </c>
      <c r="Q383" s="39">
        <f>IF(Database!BN383="","",BDH(LEFT(Database!BN383,FIND(".",Database!BN383)-1)&amp;" CH Equity","PE_RATIO",Database!$H383,Database!$H383))</f>
        <v/>
      </c>
      <c r="R383" s="39">
        <f>IF(Database!BN383="","",BDH("HSAHP Index","PX_LAST",Database!$H383,Database!$H383))</f>
        <v/>
      </c>
      <c r="S383" s="39">
        <f>IFERROR(BDP(TEXT(VALUE(Database!$A383),"0")&amp;" HK Equity","PX_TO_SALES_RATIO"),"")</f>
        <v/>
      </c>
      <c r="T383" s="34">
        <f>IF(Database!BN383="","",IFERROR(BDP(LEFT(Database!BN383,FIND(".",Database!BN383)-1)&amp;" CH Equity","CUR_MKT_CAP")*BDP("CNYHKD Curncy","PX_LAST"),"Awaiting quote"))</f>
        <v/>
      </c>
    </row>
    <row r="384" ht="23" customHeight="1">
      <c r="A384" s="32">
        <f>Database!A384&amp;"  "&amp;Database!B384</f>
        <v/>
      </c>
      <c r="B384" s="24">
        <f>IFERROR(INDEX(BDS(TEXT(VALUE(Database!$A384),"0")&amp;" HK Equity","EQUITY_OFFERINGS","array=t","endcol=1"),MATCH("IPO",BDS(TEXT(VALUE(Database!$A384),"0")&amp;" HK Equity","EQUITY_OFFERINGS","array=t","startcol=2","endcol=2"),0)),"")</f>
        <v/>
      </c>
      <c r="C384" s="208">
        <f>IF($B384="","",IFERROR(BDP($B384&amp;" Action","CP036"),""))</f>
        <v/>
      </c>
      <c r="D384" s="209">
        <f>Database!S384</f>
        <v/>
      </c>
      <c r="E384" s="208">
        <f>IF($B384="","",IFERROR(BDP($B384&amp;" Action","CP037"),""))</f>
        <v/>
      </c>
      <c r="F384" s="209">
        <f>Database!T384</f>
        <v/>
      </c>
      <c r="G384" s="208">
        <f>IF($B384="","",IFERROR(BDP($B384&amp;" Action","GREENSHOE_FACILITY"),""))</f>
        <v/>
      </c>
      <c r="H384" s="208">
        <f>IF($B384="","",IFERROR(BDP($B384&amp;" Action","OFFERING_GREENSHOE_SHARES_EX"),""))</f>
        <v/>
      </c>
      <c r="I384" s="32">
        <f>Database!AE384</f>
        <v/>
      </c>
      <c r="J384" s="39">
        <f>IFERROR(BDP(TEXT(VALUE(Database!$A384),"0")&amp;" HK Equity","PE_RATIO"),"")</f>
        <v/>
      </c>
      <c r="K384" s="24">
        <f>IFERROR(BDP(TEXT(VALUE(Database!$A384),"0")&amp;" HK Equity","A/H_SHARE_CONVERSION"),"")</f>
        <v/>
      </c>
      <c r="L384" s="32">
        <f>IF(Database!BN384="","(none found)",Database!BN384)</f>
        <v/>
      </c>
      <c r="M384" s="34">
        <f>BDH(TEXT(VALUE(Database!$A384),"0")&amp;" HK Equity","CUR_MKT_CAP",Database!$H384,Database!$H384)</f>
        <v/>
      </c>
      <c r="N384" s="166">
        <f>Database!Q384</f>
        <v/>
      </c>
      <c r="O384" s="39">
        <f>BDH(TEXT(VALUE(Database!$A384),"0")&amp;" HK Equity","PE_RATIO",Database!$H384,Database!$H384)</f>
        <v/>
      </c>
      <c r="P384" s="199">
        <f>IF(Database!BH384="","(n/m or not derivable)",Database!BH384)</f>
        <v/>
      </c>
      <c r="Q384" s="39">
        <f>IF(Database!BN384="","",BDH(LEFT(Database!BN384,FIND(".",Database!BN384)-1)&amp;" CH Equity","PE_RATIO",Database!$H384,Database!$H384))</f>
        <v/>
      </c>
      <c r="R384" s="39">
        <f>IF(Database!BN384="","",BDH("HSAHP Index","PX_LAST",Database!$H384,Database!$H384))</f>
        <v/>
      </c>
      <c r="S384" s="39">
        <f>IFERROR(BDP(TEXT(VALUE(Database!$A384),"0")&amp;" HK Equity","PX_TO_SALES_RATIO"),"")</f>
        <v/>
      </c>
      <c r="T384" s="34">
        <f>IF(Database!BN384="","",IFERROR(BDP(LEFT(Database!BN384,FIND(".",Database!BN384)-1)&amp;" CH Equity","CUR_MKT_CAP")*BDP("CNYHKD Curncy","PX_LAST"),"Awaiting quote"))</f>
        <v/>
      </c>
    </row>
    <row r="385" ht="23" customHeight="1">
      <c r="A385" s="32">
        <f>Database!A385&amp;"  "&amp;Database!B385</f>
        <v/>
      </c>
      <c r="B385" s="24">
        <f>IFERROR(INDEX(BDS(TEXT(VALUE(Database!$A385),"0")&amp;" HK Equity","EQUITY_OFFERINGS","array=t","endcol=1"),MATCH("IPO",BDS(TEXT(VALUE(Database!$A385),"0")&amp;" HK Equity","EQUITY_OFFERINGS","array=t","startcol=2","endcol=2"),0)),"")</f>
        <v/>
      </c>
      <c r="C385" s="208">
        <f>IF($B385="","",IFERROR(BDP($B385&amp;" Action","CP036"),""))</f>
        <v/>
      </c>
      <c r="D385" s="209">
        <f>Database!S385</f>
        <v/>
      </c>
      <c r="E385" s="208">
        <f>IF($B385="","",IFERROR(BDP($B385&amp;" Action","CP037"),""))</f>
        <v/>
      </c>
      <c r="F385" s="209">
        <f>Database!T385</f>
        <v/>
      </c>
      <c r="G385" s="208">
        <f>IF($B385="","",IFERROR(BDP($B385&amp;" Action","GREENSHOE_FACILITY"),""))</f>
        <v/>
      </c>
      <c r="H385" s="208">
        <f>IF($B385="","",IFERROR(BDP($B385&amp;" Action","OFFERING_GREENSHOE_SHARES_EX"),""))</f>
        <v/>
      </c>
      <c r="I385" s="32">
        <f>Database!AE385</f>
        <v/>
      </c>
      <c r="J385" s="39">
        <f>IFERROR(BDP(TEXT(VALUE(Database!$A385),"0")&amp;" HK Equity","PE_RATIO"),"")</f>
        <v/>
      </c>
      <c r="K385" s="24">
        <f>IFERROR(BDP(TEXT(VALUE(Database!$A385),"0")&amp;" HK Equity","A/H_SHARE_CONVERSION"),"")</f>
        <v/>
      </c>
      <c r="L385" s="32">
        <f>IF(Database!BN385="","(none found)",Database!BN385)</f>
        <v/>
      </c>
      <c r="M385" s="34">
        <f>BDH(TEXT(VALUE(Database!$A385),"0")&amp;" HK Equity","CUR_MKT_CAP",Database!$H385,Database!$H385)</f>
        <v/>
      </c>
      <c r="N385" s="166">
        <f>Database!Q385</f>
        <v/>
      </c>
      <c r="O385" s="39">
        <f>BDH(TEXT(VALUE(Database!$A385),"0")&amp;" HK Equity","PE_RATIO",Database!$H385,Database!$H385)</f>
        <v/>
      </c>
      <c r="P385" s="199">
        <f>IF(Database!BH385="","(n/m or not derivable)",Database!BH385)</f>
        <v/>
      </c>
      <c r="Q385" s="39">
        <f>IF(Database!BN385="","",BDH(LEFT(Database!BN385,FIND(".",Database!BN385)-1)&amp;" CH Equity","PE_RATIO",Database!$H385,Database!$H385))</f>
        <v/>
      </c>
      <c r="R385" s="39">
        <f>IF(Database!BN385="","",BDH("HSAHP Index","PX_LAST",Database!$H385,Database!$H385))</f>
        <v/>
      </c>
      <c r="S385" s="39">
        <f>IFERROR(BDP(TEXT(VALUE(Database!$A385),"0")&amp;" HK Equity","PX_TO_SALES_RATIO"),"")</f>
        <v/>
      </c>
      <c r="T385" s="34">
        <f>IF(Database!BN385="","",IFERROR(BDP(LEFT(Database!BN385,FIND(".",Database!BN385)-1)&amp;" CH Equity","CUR_MKT_CAP")*BDP("CNYHKD Curncy","PX_LAST"),"Awaiting quote"))</f>
        <v/>
      </c>
    </row>
    <row r="386" ht="23" customHeight="1">
      <c r="A386" s="32">
        <f>Database!A386&amp;"  "&amp;Database!B386</f>
        <v/>
      </c>
      <c r="B386" s="24">
        <f>IFERROR(INDEX(BDS(TEXT(VALUE(Database!$A386),"0")&amp;" HK Equity","EQUITY_OFFERINGS","array=t","endcol=1"),MATCH("IPO",BDS(TEXT(VALUE(Database!$A386),"0")&amp;" HK Equity","EQUITY_OFFERINGS","array=t","startcol=2","endcol=2"),0)),"")</f>
        <v/>
      </c>
      <c r="C386" s="208">
        <f>IF($B386="","",IFERROR(BDP($B386&amp;" Action","CP036"),""))</f>
        <v/>
      </c>
      <c r="D386" s="209">
        <f>Database!S386</f>
        <v/>
      </c>
      <c r="E386" s="208">
        <f>IF($B386="","",IFERROR(BDP($B386&amp;" Action","CP037"),""))</f>
        <v/>
      </c>
      <c r="F386" s="209">
        <f>Database!T386</f>
        <v/>
      </c>
      <c r="G386" s="208">
        <f>IF($B386="","",IFERROR(BDP($B386&amp;" Action","GREENSHOE_FACILITY"),""))</f>
        <v/>
      </c>
      <c r="H386" s="208">
        <f>IF($B386="","",IFERROR(BDP($B386&amp;" Action","OFFERING_GREENSHOE_SHARES_EX"),""))</f>
        <v/>
      </c>
      <c r="I386" s="32">
        <f>Database!AE386</f>
        <v/>
      </c>
      <c r="J386" s="39">
        <f>IFERROR(BDP(TEXT(VALUE(Database!$A386),"0")&amp;" HK Equity","PE_RATIO"),"")</f>
        <v/>
      </c>
      <c r="K386" s="24">
        <f>IFERROR(BDP(TEXT(VALUE(Database!$A386),"0")&amp;" HK Equity","A/H_SHARE_CONVERSION"),"")</f>
        <v/>
      </c>
      <c r="L386" s="32">
        <f>IF(Database!BN386="","(none found)",Database!BN386)</f>
        <v/>
      </c>
      <c r="M386" s="34">
        <f>BDH(TEXT(VALUE(Database!$A386),"0")&amp;" HK Equity","CUR_MKT_CAP",Database!$H386,Database!$H386)</f>
        <v/>
      </c>
      <c r="N386" s="166">
        <f>Database!Q386</f>
        <v/>
      </c>
      <c r="O386" s="39">
        <f>BDH(TEXT(VALUE(Database!$A386),"0")&amp;" HK Equity","PE_RATIO",Database!$H386,Database!$H386)</f>
        <v/>
      </c>
      <c r="P386" s="199">
        <f>IF(Database!BH386="","(n/m or not derivable)",Database!BH386)</f>
        <v/>
      </c>
      <c r="Q386" s="39">
        <f>IF(Database!BN386="","",BDH(LEFT(Database!BN386,FIND(".",Database!BN386)-1)&amp;" CH Equity","PE_RATIO",Database!$H386,Database!$H386))</f>
        <v/>
      </c>
      <c r="R386" s="39">
        <f>IF(Database!BN386="","",BDH("HSAHP Index","PX_LAST",Database!$H386,Database!$H386))</f>
        <v/>
      </c>
      <c r="S386" s="39">
        <f>IFERROR(BDP(TEXT(VALUE(Database!$A386),"0")&amp;" HK Equity","PX_TO_SALES_RATIO"),"")</f>
        <v/>
      </c>
      <c r="T386" s="34">
        <f>IF(Database!BN386="","",IFERROR(BDP(LEFT(Database!BN386,FIND(".",Database!BN386)-1)&amp;" CH Equity","CUR_MKT_CAP")*BDP("CNYHKD Curncy","PX_LAST"),"Awaiting quote"))</f>
        <v/>
      </c>
    </row>
    <row r="387" ht="23" customHeight="1">
      <c r="A387" s="32">
        <f>Database!A387&amp;"  "&amp;Database!B387</f>
        <v/>
      </c>
      <c r="B387" s="24">
        <f>IFERROR(INDEX(BDS(TEXT(VALUE(Database!$A387),"0")&amp;" HK Equity","EQUITY_OFFERINGS","array=t","endcol=1"),MATCH("IPO",BDS(TEXT(VALUE(Database!$A387),"0")&amp;" HK Equity","EQUITY_OFFERINGS","array=t","startcol=2","endcol=2"),0)),"")</f>
        <v/>
      </c>
      <c r="C387" s="208">
        <f>IF($B387="","",IFERROR(BDP($B387&amp;" Action","CP036"),""))</f>
        <v/>
      </c>
      <c r="D387" s="209">
        <f>Database!S387</f>
        <v/>
      </c>
      <c r="E387" s="208">
        <f>IF($B387="","",IFERROR(BDP($B387&amp;" Action","CP037"),""))</f>
        <v/>
      </c>
      <c r="F387" s="209">
        <f>Database!T387</f>
        <v/>
      </c>
      <c r="G387" s="208">
        <f>IF($B387="","",IFERROR(BDP($B387&amp;" Action","GREENSHOE_FACILITY"),""))</f>
        <v/>
      </c>
      <c r="H387" s="208">
        <f>IF($B387="","",IFERROR(BDP($B387&amp;" Action","OFFERING_GREENSHOE_SHARES_EX"),""))</f>
        <v/>
      </c>
      <c r="I387" s="32">
        <f>Database!AE387</f>
        <v/>
      </c>
      <c r="J387" s="39">
        <f>IFERROR(BDP(TEXT(VALUE(Database!$A387),"0")&amp;" HK Equity","PE_RATIO"),"")</f>
        <v/>
      </c>
      <c r="K387" s="24">
        <f>IFERROR(BDP(TEXT(VALUE(Database!$A387),"0")&amp;" HK Equity","A/H_SHARE_CONVERSION"),"")</f>
        <v/>
      </c>
      <c r="L387" s="32">
        <f>IF(Database!BN387="","(none found)",Database!BN387)</f>
        <v/>
      </c>
      <c r="M387" s="34">
        <f>BDH(TEXT(VALUE(Database!$A387),"0")&amp;" HK Equity","CUR_MKT_CAP",Database!$H387,Database!$H387)</f>
        <v/>
      </c>
      <c r="N387" s="166">
        <f>Database!Q387</f>
        <v/>
      </c>
      <c r="O387" s="39">
        <f>BDH(TEXT(VALUE(Database!$A387),"0")&amp;" HK Equity","PE_RATIO",Database!$H387,Database!$H387)</f>
        <v/>
      </c>
      <c r="P387" s="199">
        <f>IF(Database!BH387="","(n/m or not derivable)",Database!BH387)</f>
        <v/>
      </c>
      <c r="Q387" s="39">
        <f>IF(Database!BN387="","",BDH(LEFT(Database!BN387,FIND(".",Database!BN387)-1)&amp;" CH Equity","PE_RATIO",Database!$H387,Database!$H387))</f>
        <v/>
      </c>
      <c r="R387" s="39">
        <f>IF(Database!BN387="","",BDH("HSAHP Index","PX_LAST",Database!$H387,Database!$H387))</f>
        <v/>
      </c>
      <c r="S387" s="39">
        <f>IFERROR(BDP(TEXT(VALUE(Database!$A387),"0")&amp;" HK Equity","PX_TO_SALES_RATIO"),"")</f>
        <v/>
      </c>
      <c r="T387" s="34">
        <f>IF(Database!BN387="","",IFERROR(BDP(LEFT(Database!BN387,FIND(".",Database!BN387)-1)&amp;" CH Equity","CUR_MKT_CAP")*BDP("CNYHKD Curncy","PX_LAST"),"Awaiting quote"))</f>
        <v/>
      </c>
    </row>
    <row r="388" ht="23" customHeight="1">
      <c r="A388" s="32">
        <f>Database!A388&amp;"  "&amp;Database!B388</f>
        <v/>
      </c>
      <c r="B388" s="24">
        <f>IFERROR(INDEX(BDS(TEXT(VALUE(Database!$A388),"0")&amp;" HK Equity","EQUITY_OFFERINGS","array=t","endcol=1"),MATCH("IPO",BDS(TEXT(VALUE(Database!$A388),"0")&amp;" HK Equity","EQUITY_OFFERINGS","array=t","startcol=2","endcol=2"),0)),"")</f>
        <v/>
      </c>
      <c r="C388" s="208">
        <f>IF($B388="","",IFERROR(BDP($B388&amp;" Action","CP036"),""))</f>
        <v/>
      </c>
      <c r="D388" s="209">
        <f>Database!S388</f>
        <v/>
      </c>
      <c r="E388" s="208">
        <f>IF($B388="","",IFERROR(BDP($B388&amp;" Action","CP037"),""))</f>
        <v/>
      </c>
      <c r="F388" s="209">
        <f>Database!T388</f>
        <v/>
      </c>
      <c r="G388" s="208">
        <f>IF($B388="","",IFERROR(BDP($B388&amp;" Action","GREENSHOE_FACILITY"),""))</f>
        <v/>
      </c>
      <c r="H388" s="208">
        <f>IF($B388="","",IFERROR(BDP($B388&amp;" Action","OFFERING_GREENSHOE_SHARES_EX"),""))</f>
        <v/>
      </c>
      <c r="I388" s="32">
        <f>Database!AE388</f>
        <v/>
      </c>
      <c r="J388" s="39">
        <f>IFERROR(BDP(TEXT(VALUE(Database!$A388),"0")&amp;" HK Equity","PE_RATIO"),"")</f>
        <v/>
      </c>
      <c r="K388" s="24">
        <f>IFERROR(BDP(TEXT(VALUE(Database!$A388),"0")&amp;" HK Equity","A/H_SHARE_CONVERSION"),"")</f>
        <v/>
      </c>
      <c r="L388" s="32">
        <f>IF(Database!BN388="","(none found)",Database!BN388)</f>
        <v/>
      </c>
      <c r="M388" s="34">
        <f>BDH(TEXT(VALUE(Database!$A388),"0")&amp;" HK Equity","CUR_MKT_CAP",Database!$H388,Database!$H388)</f>
        <v/>
      </c>
      <c r="N388" s="166">
        <f>Database!Q388</f>
        <v/>
      </c>
      <c r="O388" s="39">
        <f>BDH(TEXT(VALUE(Database!$A388),"0")&amp;" HK Equity","PE_RATIO",Database!$H388,Database!$H388)</f>
        <v/>
      </c>
      <c r="P388" s="199">
        <f>IF(Database!BH388="","(n/m or not derivable)",Database!BH388)</f>
        <v/>
      </c>
      <c r="Q388" s="39">
        <f>IF(Database!BN388="","",BDH(LEFT(Database!BN388,FIND(".",Database!BN388)-1)&amp;" CH Equity","PE_RATIO",Database!$H388,Database!$H388))</f>
        <v/>
      </c>
      <c r="R388" s="39">
        <f>IF(Database!BN388="","",BDH("HSAHP Index","PX_LAST",Database!$H388,Database!$H388))</f>
        <v/>
      </c>
      <c r="S388" s="39">
        <f>IFERROR(BDP(TEXT(VALUE(Database!$A388),"0")&amp;" HK Equity","PX_TO_SALES_RATIO"),"")</f>
        <v/>
      </c>
      <c r="T388" s="34">
        <f>IF(Database!BN388="","",IFERROR(BDP(LEFT(Database!BN388,FIND(".",Database!BN388)-1)&amp;" CH Equity","CUR_MKT_CAP")*BDP("CNYHKD Curncy","PX_LAST"),"Awaiting quote"))</f>
        <v/>
      </c>
    </row>
    <row r="389" ht="23" customHeight="1">
      <c r="A389" s="32">
        <f>Database!A389&amp;"  "&amp;Database!B389</f>
        <v/>
      </c>
      <c r="B389" s="24">
        <f>IFERROR(INDEX(BDS(TEXT(VALUE(Database!$A389),"0")&amp;" HK Equity","EQUITY_OFFERINGS","array=t","endcol=1"),MATCH("IPO",BDS(TEXT(VALUE(Database!$A389),"0")&amp;" HK Equity","EQUITY_OFFERINGS","array=t","startcol=2","endcol=2"),0)),"")</f>
        <v/>
      </c>
      <c r="C389" s="208">
        <f>IF($B389="","",IFERROR(BDP($B389&amp;" Action","CP036"),""))</f>
        <v/>
      </c>
      <c r="D389" s="209">
        <f>Database!S389</f>
        <v/>
      </c>
      <c r="E389" s="208">
        <f>IF($B389="","",IFERROR(BDP($B389&amp;" Action","CP037"),""))</f>
        <v/>
      </c>
      <c r="F389" s="209">
        <f>Database!T389</f>
        <v/>
      </c>
      <c r="G389" s="208">
        <f>IF($B389="","",IFERROR(BDP($B389&amp;" Action","GREENSHOE_FACILITY"),""))</f>
        <v/>
      </c>
      <c r="H389" s="208">
        <f>IF($B389="","",IFERROR(BDP($B389&amp;" Action","OFFERING_GREENSHOE_SHARES_EX"),""))</f>
        <v/>
      </c>
      <c r="I389" s="32">
        <f>Database!AE389</f>
        <v/>
      </c>
      <c r="J389" s="39">
        <f>IFERROR(BDP(TEXT(VALUE(Database!$A389),"0")&amp;" HK Equity","PE_RATIO"),"")</f>
        <v/>
      </c>
      <c r="K389" s="24">
        <f>IFERROR(BDP(TEXT(VALUE(Database!$A389),"0")&amp;" HK Equity","A/H_SHARE_CONVERSION"),"")</f>
        <v/>
      </c>
      <c r="L389" s="32">
        <f>IF(Database!BN389="","(none found)",Database!BN389)</f>
        <v/>
      </c>
      <c r="M389" s="34">
        <f>BDH(TEXT(VALUE(Database!$A389),"0")&amp;" HK Equity","CUR_MKT_CAP",Database!$H389,Database!$H389)</f>
        <v/>
      </c>
      <c r="N389" s="166">
        <f>Database!Q389</f>
        <v/>
      </c>
      <c r="O389" s="39">
        <f>BDH(TEXT(VALUE(Database!$A389),"0")&amp;" HK Equity","PE_RATIO",Database!$H389,Database!$H389)</f>
        <v/>
      </c>
      <c r="P389" s="199">
        <f>IF(Database!BH389="","(n/m or not derivable)",Database!BH389)</f>
        <v/>
      </c>
      <c r="Q389" s="39">
        <f>IF(Database!BN389="","",BDH(LEFT(Database!BN389,FIND(".",Database!BN389)-1)&amp;" CH Equity","PE_RATIO",Database!$H389,Database!$H389))</f>
        <v/>
      </c>
      <c r="R389" s="39">
        <f>IF(Database!BN389="","",BDH("HSAHP Index","PX_LAST",Database!$H389,Database!$H389))</f>
        <v/>
      </c>
      <c r="S389" s="39">
        <f>IFERROR(BDP(TEXT(VALUE(Database!$A389),"0")&amp;" HK Equity","PX_TO_SALES_RATIO"),"")</f>
        <v/>
      </c>
      <c r="T389" s="34">
        <f>IF(Database!BN389="","",IFERROR(BDP(LEFT(Database!BN389,FIND(".",Database!BN389)-1)&amp;" CH Equity","CUR_MKT_CAP")*BDP("CNYHKD Curncy","PX_LAST"),"Awaiting quote"))</f>
        <v/>
      </c>
    </row>
    <row r="390" ht="23" customHeight="1">
      <c r="A390" s="32">
        <f>Database!A390&amp;"  "&amp;Database!B390</f>
        <v/>
      </c>
      <c r="B390" s="24">
        <f>IFERROR(INDEX(BDS(TEXT(VALUE(Database!$A390),"0")&amp;" HK Equity","EQUITY_OFFERINGS","array=t","endcol=1"),MATCH("IPO",BDS(TEXT(VALUE(Database!$A390),"0")&amp;" HK Equity","EQUITY_OFFERINGS","array=t","startcol=2","endcol=2"),0)),"")</f>
        <v/>
      </c>
      <c r="C390" s="208">
        <f>IF($B390="","",IFERROR(BDP($B390&amp;" Action","CP036"),""))</f>
        <v/>
      </c>
      <c r="D390" s="209">
        <f>Database!S390</f>
        <v/>
      </c>
      <c r="E390" s="208">
        <f>IF($B390="","",IFERROR(BDP($B390&amp;" Action","CP037"),""))</f>
        <v/>
      </c>
      <c r="F390" s="209">
        <f>Database!T390</f>
        <v/>
      </c>
      <c r="G390" s="208">
        <f>IF($B390="","",IFERROR(BDP($B390&amp;" Action","GREENSHOE_FACILITY"),""))</f>
        <v/>
      </c>
      <c r="H390" s="208">
        <f>IF($B390="","",IFERROR(BDP($B390&amp;" Action","OFFERING_GREENSHOE_SHARES_EX"),""))</f>
        <v/>
      </c>
      <c r="I390" s="32">
        <f>Database!AE390</f>
        <v/>
      </c>
      <c r="J390" s="39">
        <f>IFERROR(BDP(TEXT(VALUE(Database!$A390),"0")&amp;" HK Equity","PE_RATIO"),"")</f>
        <v/>
      </c>
      <c r="K390" s="24">
        <f>IFERROR(BDP(TEXT(VALUE(Database!$A390),"0")&amp;" HK Equity","A/H_SHARE_CONVERSION"),"")</f>
        <v/>
      </c>
      <c r="L390" s="32">
        <f>IF(Database!BN390="","(none found)",Database!BN390)</f>
        <v/>
      </c>
      <c r="M390" s="34">
        <f>BDH(TEXT(VALUE(Database!$A390),"0")&amp;" HK Equity","CUR_MKT_CAP",Database!$H390,Database!$H390)</f>
        <v/>
      </c>
      <c r="N390" s="166">
        <f>Database!Q390</f>
        <v/>
      </c>
      <c r="O390" s="39">
        <f>BDH(TEXT(VALUE(Database!$A390),"0")&amp;" HK Equity","PE_RATIO",Database!$H390,Database!$H390)</f>
        <v/>
      </c>
      <c r="P390" s="199">
        <f>IF(Database!BH390="","(n/m or not derivable)",Database!BH390)</f>
        <v/>
      </c>
      <c r="Q390" s="39">
        <f>IF(Database!BN390="","",BDH(LEFT(Database!BN390,FIND(".",Database!BN390)-1)&amp;" CH Equity","PE_RATIO",Database!$H390,Database!$H390))</f>
        <v/>
      </c>
      <c r="R390" s="39">
        <f>IF(Database!BN390="","",BDH("HSAHP Index","PX_LAST",Database!$H390,Database!$H390))</f>
        <v/>
      </c>
      <c r="S390" s="39">
        <f>IFERROR(BDP(TEXT(VALUE(Database!$A390),"0")&amp;" HK Equity","PX_TO_SALES_RATIO"),"")</f>
        <v/>
      </c>
      <c r="T390" s="34">
        <f>IF(Database!BN390="","",IFERROR(BDP(LEFT(Database!BN390,FIND(".",Database!BN390)-1)&amp;" CH Equity","CUR_MKT_CAP")*BDP("CNYHKD Curncy","PX_LAST"),"Awaiting quote"))</f>
        <v/>
      </c>
    </row>
    <row r="391" ht="23" customHeight="1">
      <c r="A391" s="32">
        <f>Database!A391&amp;"  "&amp;Database!B391</f>
        <v/>
      </c>
      <c r="B391" s="24">
        <f>IFERROR(INDEX(BDS(TEXT(VALUE(Database!$A391),"0")&amp;" HK Equity","EQUITY_OFFERINGS","array=t","endcol=1"),MATCH("IPO",BDS(TEXT(VALUE(Database!$A391),"0")&amp;" HK Equity","EQUITY_OFFERINGS","array=t","startcol=2","endcol=2"),0)),"")</f>
        <v/>
      </c>
      <c r="C391" s="208">
        <f>IF($B391="","",IFERROR(BDP($B391&amp;" Action","CP036"),""))</f>
        <v/>
      </c>
      <c r="D391" s="209">
        <f>Database!S391</f>
        <v/>
      </c>
      <c r="E391" s="208">
        <f>IF($B391="","",IFERROR(BDP($B391&amp;" Action","CP037"),""))</f>
        <v/>
      </c>
      <c r="F391" s="209">
        <f>Database!T391</f>
        <v/>
      </c>
      <c r="G391" s="208">
        <f>IF($B391="","",IFERROR(BDP($B391&amp;" Action","GREENSHOE_FACILITY"),""))</f>
        <v/>
      </c>
      <c r="H391" s="208">
        <f>IF($B391="","",IFERROR(BDP($B391&amp;" Action","OFFERING_GREENSHOE_SHARES_EX"),""))</f>
        <v/>
      </c>
      <c r="I391" s="32">
        <f>Database!AE391</f>
        <v/>
      </c>
      <c r="J391" s="39">
        <f>IFERROR(BDP(TEXT(VALUE(Database!$A391),"0")&amp;" HK Equity","PE_RATIO"),"")</f>
        <v/>
      </c>
      <c r="K391" s="24">
        <f>IFERROR(BDP(TEXT(VALUE(Database!$A391),"0")&amp;" HK Equity","A/H_SHARE_CONVERSION"),"")</f>
        <v/>
      </c>
      <c r="L391" s="32">
        <f>IF(Database!BN391="","(none found)",Database!BN391)</f>
        <v/>
      </c>
      <c r="M391" s="34">
        <f>BDH(TEXT(VALUE(Database!$A391),"0")&amp;" HK Equity","CUR_MKT_CAP",Database!$H391,Database!$H391)</f>
        <v/>
      </c>
      <c r="N391" s="166">
        <f>Database!Q391</f>
        <v/>
      </c>
      <c r="O391" s="39">
        <f>BDH(TEXT(VALUE(Database!$A391),"0")&amp;" HK Equity","PE_RATIO",Database!$H391,Database!$H391)</f>
        <v/>
      </c>
      <c r="P391" s="199">
        <f>IF(Database!BH391="","(n/m or not derivable)",Database!BH391)</f>
        <v/>
      </c>
      <c r="Q391" s="39">
        <f>IF(Database!BN391="","",BDH(LEFT(Database!BN391,FIND(".",Database!BN391)-1)&amp;" CH Equity","PE_RATIO",Database!$H391,Database!$H391))</f>
        <v/>
      </c>
      <c r="R391" s="39">
        <f>IF(Database!BN391="","",BDH("HSAHP Index","PX_LAST",Database!$H391,Database!$H391))</f>
        <v/>
      </c>
      <c r="S391" s="39">
        <f>IFERROR(BDP(TEXT(VALUE(Database!$A391),"0")&amp;" HK Equity","PX_TO_SALES_RATIO"),"")</f>
        <v/>
      </c>
      <c r="T391" s="34">
        <f>IF(Database!BN391="","",IFERROR(BDP(LEFT(Database!BN391,FIND(".",Database!BN391)-1)&amp;" CH Equity","CUR_MKT_CAP")*BDP("CNYHKD Curncy","PX_LAST"),"Awaiting quote"))</f>
        <v/>
      </c>
    </row>
    <row r="392" ht="23" customHeight="1">
      <c r="A392" s="32">
        <f>Database!A392&amp;"  "&amp;Database!B392</f>
        <v/>
      </c>
      <c r="B392" s="24">
        <f>IFERROR(INDEX(BDS(TEXT(VALUE(Database!$A392),"0")&amp;" HK Equity","EQUITY_OFFERINGS","array=t","endcol=1"),MATCH("IPO",BDS(TEXT(VALUE(Database!$A392),"0")&amp;" HK Equity","EQUITY_OFFERINGS","array=t","startcol=2","endcol=2"),0)),"")</f>
        <v/>
      </c>
      <c r="C392" s="208">
        <f>IF($B392="","",IFERROR(BDP($B392&amp;" Action","CP036"),""))</f>
        <v/>
      </c>
      <c r="D392" s="209">
        <f>Database!S392</f>
        <v/>
      </c>
      <c r="E392" s="208">
        <f>IF($B392="","",IFERROR(BDP($B392&amp;" Action","CP037"),""))</f>
        <v/>
      </c>
      <c r="F392" s="209">
        <f>Database!T392</f>
        <v/>
      </c>
      <c r="G392" s="208">
        <f>IF($B392="","",IFERROR(BDP($B392&amp;" Action","GREENSHOE_FACILITY"),""))</f>
        <v/>
      </c>
      <c r="H392" s="208">
        <f>IF($B392="","",IFERROR(BDP($B392&amp;" Action","OFFERING_GREENSHOE_SHARES_EX"),""))</f>
        <v/>
      </c>
      <c r="I392" s="32">
        <f>Database!AE392</f>
        <v/>
      </c>
      <c r="J392" s="39">
        <f>IFERROR(BDP(TEXT(VALUE(Database!$A392),"0")&amp;" HK Equity","PE_RATIO"),"")</f>
        <v/>
      </c>
      <c r="K392" s="24">
        <f>IFERROR(BDP(TEXT(VALUE(Database!$A392),"0")&amp;" HK Equity","A/H_SHARE_CONVERSION"),"")</f>
        <v/>
      </c>
      <c r="L392" s="32">
        <f>IF(Database!BN392="","(none found)",Database!BN392)</f>
        <v/>
      </c>
      <c r="M392" s="34">
        <f>BDH(TEXT(VALUE(Database!$A392),"0")&amp;" HK Equity","CUR_MKT_CAP",Database!$H392,Database!$H392)</f>
        <v/>
      </c>
      <c r="N392" s="166">
        <f>Database!Q392</f>
        <v/>
      </c>
      <c r="O392" s="39">
        <f>BDH(TEXT(VALUE(Database!$A392),"0")&amp;" HK Equity","PE_RATIO",Database!$H392,Database!$H392)</f>
        <v/>
      </c>
      <c r="P392" s="199">
        <f>IF(Database!BH392="","(n/m or not derivable)",Database!BH392)</f>
        <v/>
      </c>
      <c r="Q392" s="39">
        <f>IF(Database!BN392="","",BDH(LEFT(Database!BN392,FIND(".",Database!BN392)-1)&amp;" CH Equity","PE_RATIO",Database!$H392,Database!$H392))</f>
        <v/>
      </c>
      <c r="R392" s="39">
        <f>IF(Database!BN392="","",BDH("HSAHP Index","PX_LAST",Database!$H392,Database!$H392))</f>
        <v/>
      </c>
      <c r="S392" s="39">
        <f>IFERROR(BDP(TEXT(VALUE(Database!$A392),"0")&amp;" HK Equity","PX_TO_SALES_RATIO"),"")</f>
        <v/>
      </c>
      <c r="T392" s="34">
        <f>IF(Database!BN392="","",IFERROR(BDP(LEFT(Database!BN392,FIND(".",Database!BN392)-1)&amp;" CH Equity","CUR_MKT_CAP")*BDP("CNYHKD Curncy","PX_LAST"),"Awaiting quote"))</f>
        <v/>
      </c>
    </row>
    <row r="393" ht="23" customHeight="1">
      <c r="A393" s="32">
        <f>Database!A393&amp;"  "&amp;Database!B393</f>
        <v/>
      </c>
      <c r="B393" s="24">
        <f>IFERROR(INDEX(BDS(TEXT(VALUE(Database!$A393),"0")&amp;" HK Equity","EQUITY_OFFERINGS","array=t","endcol=1"),MATCH("IPO",BDS(TEXT(VALUE(Database!$A393),"0")&amp;" HK Equity","EQUITY_OFFERINGS","array=t","startcol=2","endcol=2"),0)),"")</f>
        <v/>
      </c>
      <c r="C393" s="208">
        <f>IF($B393="","",IFERROR(BDP($B393&amp;" Action","CP036"),""))</f>
        <v/>
      </c>
      <c r="D393" s="209">
        <f>Database!S393</f>
        <v/>
      </c>
      <c r="E393" s="208">
        <f>IF($B393="","",IFERROR(BDP($B393&amp;" Action","CP037"),""))</f>
        <v/>
      </c>
      <c r="F393" s="209">
        <f>Database!T393</f>
        <v/>
      </c>
      <c r="G393" s="208">
        <f>IF($B393="","",IFERROR(BDP($B393&amp;" Action","GREENSHOE_FACILITY"),""))</f>
        <v/>
      </c>
      <c r="H393" s="208">
        <f>IF($B393="","",IFERROR(BDP($B393&amp;" Action","OFFERING_GREENSHOE_SHARES_EX"),""))</f>
        <v/>
      </c>
      <c r="I393" s="32">
        <f>Database!AE393</f>
        <v/>
      </c>
      <c r="J393" s="39">
        <f>IFERROR(BDP(TEXT(VALUE(Database!$A393),"0")&amp;" HK Equity","PE_RATIO"),"")</f>
        <v/>
      </c>
      <c r="K393" s="24">
        <f>IFERROR(BDP(TEXT(VALUE(Database!$A393),"0")&amp;" HK Equity","A/H_SHARE_CONVERSION"),"")</f>
        <v/>
      </c>
      <c r="L393" s="32">
        <f>IF(Database!BN393="","(none found)",Database!BN393)</f>
        <v/>
      </c>
      <c r="M393" s="34">
        <f>BDH(TEXT(VALUE(Database!$A393),"0")&amp;" HK Equity","CUR_MKT_CAP",Database!$H393,Database!$H393)</f>
        <v/>
      </c>
      <c r="N393" s="166">
        <f>Database!Q393</f>
        <v/>
      </c>
      <c r="O393" s="39">
        <f>BDH(TEXT(VALUE(Database!$A393),"0")&amp;" HK Equity","PE_RATIO",Database!$H393,Database!$H393)</f>
        <v/>
      </c>
      <c r="P393" s="199">
        <f>IF(Database!BH393="","(n/m or not derivable)",Database!BH393)</f>
        <v/>
      </c>
      <c r="Q393" s="39">
        <f>IF(Database!BN393="","",BDH(LEFT(Database!BN393,FIND(".",Database!BN393)-1)&amp;" CH Equity","PE_RATIO",Database!$H393,Database!$H393))</f>
        <v/>
      </c>
      <c r="R393" s="39">
        <f>IF(Database!BN393="","",BDH("HSAHP Index","PX_LAST",Database!$H393,Database!$H393))</f>
        <v/>
      </c>
      <c r="S393" s="39">
        <f>IFERROR(BDP(TEXT(VALUE(Database!$A393),"0")&amp;" HK Equity","PX_TO_SALES_RATIO"),"")</f>
        <v/>
      </c>
      <c r="T393" s="34">
        <f>IF(Database!BN393="","",IFERROR(BDP(LEFT(Database!BN393,FIND(".",Database!BN393)-1)&amp;" CH Equity","CUR_MKT_CAP")*BDP("CNYHKD Curncy","PX_LAST"),"Awaiting quote"))</f>
        <v/>
      </c>
    </row>
    <row r="394" ht="23" customHeight="1">
      <c r="A394" s="32">
        <f>Database!A394&amp;"  "&amp;Database!B394</f>
        <v/>
      </c>
      <c r="B394" s="24">
        <f>IFERROR(INDEX(BDS(TEXT(VALUE(Database!$A394),"0")&amp;" HK Equity","EQUITY_OFFERINGS","array=t","endcol=1"),MATCH("IPO",BDS(TEXT(VALUE(Database!$A394),"0")&amp;" HK Equity","EQUITY_OFFERINGS","array=t","startcol=2","endcol=2"),0)),"")</f>
        <v/>
      </c>
      <c r="C394" s="208">
        <f>IF($B394="","",IFERROR(BDP($B394&amp;" Action","CP036"),""))</f>
        <v/>
      </c>
      <c r="D394" s="209">
        <f>Database!S394</f>
        <v/>
      </c>
      <c r="E394" s="208">
        <f>IF($B394="","",IFERROR(BDP($B394&amp;" Action","CP037"),""))</f>
        <v/>
      </c>
      <c r="F394" s="209">
        <f>Database!T394</f>
        <v/>
      </c>
      <c r="G394" s="208">
        <f>IF($B394="","",IFERROR(BDP($B394&amp;" Action","GREENSHOE_FACILITY"),""))</f>
        <v/>
      </c>
      <c r="H394" s="208">
        <f>IF($B394="","",IFERROR(BDP($B394&amp;" Action","OFFERING_GREENSHOE_SHARES_EX"),""))</f>
        <v/>
      </c>
      <c r="I394" s="32">
        <f>Database!AE394</f>
        <v/>
      </c>
      <c r="J394" s="39">
        <f>IFERROR(BDP(TEXT(VALUE(Database!$A394),"0")&amp;" HK Equity","PE_RATIO"),"")</f>
        <v/>
      </c>
      <c r="K394" s="24">
        <f>IFERROR(BDP(TEXT(VALUE(Database!$A394),"0")&amp;" HK Equity","A/H_SHARE_CONVERSION"),"")</f>
        <v/>
      </c>
      <c r="L394" s="32">
        <f>IF(Database!BN394="","(none found)",Database!BN394)</f>
        <v/>
      </c>
      <c r="M394" s="34">
        <f>BDH(TEXT(VALUE(Database!$A394),"0")&amp;" HK Equity","CUR_MKT_CAP",Database!$H394,Database!$H394)</f>
        <v/>
      </c>
      <c r="N394" s="166">
        <f>Database!Q394</f>
        <v/>
      </c>
      <c r="O394" s="39">
        <f>BDH(TEXT(VALUE(Database!$A394),"0")&amp;" HK Equity","PE_RATIO",Database!$H394,Database!$H394)</f>
        <v/>
      </c>
      <c r="P394" s="199">
        <f>IF(Database!BH394="","(n/m or not derivable)",Database!BH394)</f>
        <v/>
      </c>
      <c r="Q394" s="39">
        <f>IF(Database!BN394="","",BDH(LEFT(Database!BN394,FIND(".",Database!BN394)-1)&amp;" CH Equity","PE_RATIO",Database!$H394,Database!$H394))</f>
        <v/>
      </c>
      <c r="R394" s="39">
        <f>IF(Database!BN394="","",BDH("HSAHP Index","PX_LAST",Database!$H394,Database!$H394))</f>
        <v/>
      </c>
      <c r="S394" s="39">
        <f>IFERROR(BDP(TEXT(VALUE(Database!$A394),"0")&amp;" HK Equity","PX_TO_SALES_RATIO"),"")</f>
        <v/>
      </c>
      <c r="T394" s="34">
        <f>IF(Database!BN394="","",IFERROR(BDP(LEFT(Database!BN394,FIND(".",Database!BN394)-1)&amp;" CH Equity","CUR_MKT_CAP")*BDP("CNYHKD Curncy","PX_LAST"),"Awaiting quote"))</f>
        <v/>
      </c>
    </row>
    <row r="395" ht="23" customHeight="1">
      <c r="A395" s="32">
        <f>Database!A395&amp;"  "&amp;Database!B395</f>
        <v/>
      </c>
      <c r="B395" s="24">
        <f>IFERROR(INDEX(BDS(TEXT(VALUE(Database!$A395),"0")&amp;" HK Equity","EQUITY_OFFERINGS","array=t","endcol=1"),MATCH("IPO",BDS(TEXT(VALUE(Database!$A395),"0")&amp;" HK Equity","EQUITY_OFFERINGS","array=t","startcol=2","endcol=2"),0)),"")</f>
        <v/>
      </c>
      <c r="C395" s="208">
        <f>IF($B395="","",IFERROR(BDP($B395&amp;" Action","CP036"),""))</f>
        <v/>
      </c>
      <c r="D395" s="209">
        <f>Database!S395</f>
        <v/>
      </c>
      <c r="E395" s="208">
        <f>IF($B395="","",IFERROR(BDP($B395&amp;" Action","CP037"),""))</f>
        <v/>
      </c>
      <c r="F395" s="209">
        <f>Database!T395</f>
        <v/>
      </c>
      <c r="G395" s="208">
        <f>IF($B395="","",IFERROR(BDP($B395&amp;" Action","GREENSHOE_FACILITY"),""))</f>
        <v/>
      </c>
      <c r="H395" s="208">
        <f>IF($B395="","",IFERROR(BDP($B395&amp;" Action","OFFERING_GREENSHOE_SHARES_EX"),""))</f>
        <v/>
      </c>
      <c r="I395" s="32">
        <f>Database!AE395</f>
        <v/>
      </c>
      <c r="J395" s="39">
        <f>IFERROR(BDP(TEXT(VALUE(Database!$A395),"0")&amp;" HK Equity","PE_RATIO"),"")</f>
        <v/>
      </c>
      <c r="K395" s="24">
        <f>IFERROR(BDP(TEXT(VALUE(Database!$A395),"0")&amp;" HK Equity","A/H_SHARE_CONVERSION"),"")</f>
        <v/>
      </c>
      <c r="L395" s="32">
        <f>IF(Database!BN395="","(none found)",Database!BN395)</f>
        <v/>
      </c>
      <c r="M395" s="34">
        <f>BDH(TEXT(VALUE(Database!$A395),"0")&amp;" HK Equity","CUR_MKT_CAP",Database!$H395,Database!$H395)</f>
        <v/>
      </c>
      <c r="N395" s="166">
        <f>Database!Q395</f>
        <v/>
      </c>
      <c r="O395" s="39">
        <f>BDH(TEXT(VALUE(Database!$A395),"0")&amp;" HK Equity","PE_RATIO",Database!$H395,Database!$H395)</f>
        <v/>
      </c>
      <c r="P395" s="199">
        <f>IF(Database!BH395="","(n/m or not derivable)",Database!BH395)</f>
        <v/>
      </c>
      <c r="Q395" s="39">
        <f>IF(Database!BN395="","",BDH(LEFT(Database!BN395,FIND(".",Database!BN395)-1)&amp;" CH Equity","PE_RATIO",Database!$H395,Database!$H395))</f>
        <v/>
      </c>
      <c r="R395" s="39">
        <f>IF(Database!BN395="","",BDH("HSAHP Index","PX_LAST",Database!$H395,Database!$H395))</f>
        <v/>
      </c>
      <c r="S395" s="39">
        <f>IFERROR(BDP(TEXT(VALUE(Database!$A395),"0")&amp;" HK Equity","PX_TO_SALES_RATIO"),"")</f>
        <v/>
      </c>
      <c r="T395" s="34">
        <f>IF(Database!BN395="","",IFERROR(BDP(LEFT(Database!BN395,FIND(".",Database!BN395)-1)&amp;" CH Equity","CUR_MKT_CAP")*BDP("CNYHKD Curncy","PX_LAST"),"Awaiting quote"))</f>
        <v/>
      </c>
    </row>
    <row r="396" ht="23" customHeight="1">
      <c r="A396" s="32">
        <f>Database!A396&amp;"  "&amp;Database!B396</f>
        <v/>
      </c>
      <c r="B396" s="24">
        <f>IFERROR(INDEX(BDS(TEXT(VALUE(Database!$A396),"0")&amp;" HK Equity","EQUITY_OFFERINGS","array=t","endcol=1"),MATCH("IPO",BDS(TEXT(VALUE(Database!$A396),"0")&amp;" HK Equity","EQUITY_OFFERINGS","array=t","startcol=2","endcol=2"),0)),"")</f>
        <v/>
      </c>
      <c r="C396" s="208">
        <f>IF($B396="","",IFERROR(BDP($B396&amp;" Action","CP036"),""))</f>
        <v/>
      </c>
      <c r="D396" s="209">
        <f>Database!S396</f>
        <v/>
      </c>
      <c r="E396" s="208">
        <f>IF($B396="","",IFERROR(BDP($B396&amp;" Action","CP037"),""))</f>
        <v/>
      </c>
      <c r="F396" s="209">
        <f>Database!T396</f>
        <v/>
      </c>
      <c r="G396" s="208">
        <f>IF($B396="","",IFERROR(BDP($B396&amp;" Action","GREENSHOE_FACILITY"),""))</f>
        <v/>
      </c>
      <c r="H396" s="208">
        <f>IF($B396="","",IFERROR(BDP($B396&amp;" Action","OFFERING_GREENSHOE_SHARES_EX"),""))</f>
        <v/>
      </c>
      <c r="I396" s="32">
        <f>Database!AE396</f>
        <v/>
      </c>
      <c r="J396" s="39">
        <f>IFERROR(BDP(TEXT(VALUE(Database!$A396),"0")&amp;" HK Equity","PE_RATIO"),"")</f>
        <v/>
      </c>
      <c r="K396" s="24">
        <f>IFERROR(BDP(TEXT(VALUE(Database!$A396),"0")&amp;" HK Equity","A/H_SHARE_CONVERSION"),"")</f>
        <v/>
      </c>
      <c r="L396" s="32">
        <f>IF(Database!BN396="","(none found)",Database!BN396)</f>
        <v/>
      </c>
      <c r="M396" s="34">
        <f>BDH(TEXT(VALUE(Database!$A396),"0")&amp;" HK Equity","CUR_MKT_CAP",Database!$H396,Database!$H396)</f>
        <v/>
      </c>
      <c r="N396" s="166">
        <f>Database!Q396</f>
        <v/>
      </c>
      <c r="O396" s="39">
        <f>BDH(TEXT(VALUE(Database!$A396),"0")&amp;" HK Equity","PE_RATIO",Database!$H396,Database!$H396)</f>
        <v/>
      </c>
      <c r="P396" s="199">
        <f>IF(Database!BH396="","(n/m or not derivable)",Database!BH396)</f>
        <v/>
      </c>
      <c r="Q396" s="39">
        <f>IF(Database!BN396="","",BDH(LEFT(Database!BN396,FIND(".",Database!BN396)-1)&amp;" CH Equity","PE_RATIO",Database!$H396,Database!$H396))</f>
        <v/>
      </c>
      <c r="R396" s="39">
        <f>IF(Database!BN396="","",BDH("HSAHP Index","PX_LAST",Database!$H396,Database!$H396))</f>
        <v/>
      </c>
      <c r="S396" s="39">
        <f>IFERROR(BDP(TEXT(VALUE(Database!$A396),"0")&amp;" HK Equity","PX_TO_SALES_RATIO"),"")</f>
        <v/>
      </c>
      <c r="T396" s="34">
        <f>IF(Database!BN396="","",IFERROR(BDP(LEFT(Database!BN396,FIND(".",Database!BN396)-1)&amp;" CH Equity","CUR_MKT_CAP")*BDP("CNYHKD Curncy","PX_LAST"),"Awaiting quote"))</f>
        <v/>
      </c>
    </row>
    <row r="397" ht="23" customHeight="1">
      <c r="A397" s="32">
        <f>Database!A397&amp;"  "&amp;Database!B397</f>
        <v/>
      </c>
      <c r="B397" s="24">
        <f>IFERROR(INDEX(BDS(TEXT(VALUE(Database!$A397),"0")&amp;" HK Equity","EQUITY_OFFERINGS","array=t","endcol=1"),MATCH("IPO",BDS(TEXT(VALUE(Database!$A397),"0")&amp;" HK Equity","EQUITY_OFFERINGS","array=t","startcol=2","endcol=2"),0)),"")</f>
        <v/>
      </c>
      <c r="C397" s="208">
        <f>IF($B397="","",IFERROR(BDP($B397&amp;" Action","CP036"),""))</f>
        <v/>
      </c>
      <c r="D397" s="209">
        <f>Database!S397</f>
        <v/>
      </c>
      <c r="E397" s="208">
        <f>IF($B397="","",IFERROR(BDP($B397&amp;" Action","CP037"),""))</f>
        <v/>
      </c>
      <c r="F397" s="209">
        <f>Database!T397</f>
        <v/>
      </c>
      <c r="G397" s="208">
        <f>IF($B397="","",IFERROR(BDP($B397&amp;" Action","GREENSHOE_FACILITY"),""))</f>
        <v/>
      </c>
      <c r="H397" s="208">
        <f>IF($B397="","",IFERROR(BDP($B397&amp;" Action","OFFERING_GREENSHOE_SHARES_EX"),""))</f>
        <v/>
      </c>
      <c r="I397" s="32">
        <f>Database!AE397</f>
        <v/>
      </c>
      <c r="J397" s="39">
        <f>IFERROR(BDP(TEXT(VALUE(Database!$A397),"0")&amp;" HK Equity","PE_RATIO"),"")</f>
        <v/>
      </c>
      <c r="K397" s="24">
        <f>IFERROR(BDP(TEXT(VALUE(Database!$A397),"0")&amp;" HK Equity","A/H_SHARE_CONVERSION"),"")</f>
        <v/>
      </c>
      <c r="L397" s="32">
        <f>IF(Database!BN397="","(none found)",Database!BN397)</f>
        <v/>
      </c>
      <c r="M397" s="34">
        <f>BDH(TEXT(VALUE(Database!$A397),"0")&amp;" HK Equity","CUR_MKT_CAP",Database!$H397,Database!$H397)</f>
        <v/>
      </c>
      <c r="N397" s="166">
        <f>Database!Q397</f>
        <v/>
      </c>
      <c r="O397" s="39">
        <f>BDH(TEXT(VALUE(Database!$A397),"0")&amp;" HK Equity","PE_RATIO",Database!$H397,Database!$H397)</f>
        <v/>
      </c>
      <c r="P397" s="199">
        <f>IF(Database!BH397="","(n/m or not derivable)",Database!BH397)</f>
        <v/>
      </c>
      <c r="Q397" s="39">
        <f>IF(Database!BN397="","",BDH(LEFT(Database!BN397,FIND(".",Database!BN397)-1)&amp;" CH Equity","PE_RATIO",Database!$H397,Database!$H397))</f>
        <v/>
      </c>
      <c r="R397" s="39">
        <f>IF(Database!BN397="","",BDH("HSAHP Index","PX_LAST",Database!$H397,Database!$H397))</f>
        <v/>
      </c>
      <c r="S397" s="39">
        <f>IFERROR(BDP(TEXT(VALUE(Database!$A397),"0")&amp;" HK Equity","PX_TO_SALES_RATIO"),"")</f>
        <v/>
      </c>
      <c r="T397" s="34">
        <f>IF(Database!BN397="","",IFERROR(BDP(LEFT(Database!BN397,FIND(".",Database!BN397)-1)&amp;" CH Equity","CUR_MKT_CAP")*BDP("CNYHKD Curncy","PX_LAST"),"Awaiting quote"))</f>
        <v/>
      </c>
    </row>
    <row r="398" ht="23" customHeight="1">
      <c r="A398" s="32">
        <f>Database!A398&amp;"  "&amp;Database!B398</f>
        <v/>
      </c>
      <c r="B398" s="24">
        <f>IFERROR(INDEX(BDS(TEXT(VALUE(Database!$A398),"0")&amp;" HK Equity","EQUITY_OFFERINGS","array=t","endcol=1"),MATCH("IPO",BDS(TEXT(VALUE(Database!$A398),"0")&amp;" HK Equity","EQUITY_OFFERINGS","array=t","startcol=2","endcol=2"),0)),"")</f>
        <v/>
      </c>
      <c r="C398" s="208">
        <f>IF($B398="","",IFERROR(BDP($B398&amp;" Action","CP036"),""))</f>
        <v/>
      </c>
      <c r="D398" s="209">
        <f>Database!S398</f>
        <v/>
      </c>
      <c r="E398" s="208">
        <f>IF($B398="","",IFERROR(BDP($B398&amp;" Action","CP037"),""))</f>
        <v/>
      </c>
      <c r="F398" s="209">
        <f>Database!T398</f>
        <v/>
      </c>
      <c r="G398" s="208">
        <f>IF($B398="","",IFERROR(BDP($B398&amp;" Action","GREENSHOE_FACILITY"),""))</f>
        <v/>
      </c>
      <c r="H398" s="208">
        <f>IF($B398="","",IFERROR(BDP($B398&amp;" Action","OFFERING_GREENSHOE_SHARES_EX"),""))</f>
        <v/>
      </c>
      <c r="I398" s="32">
        <f>Database!AE398</f>
        <v/>
      </c>
      <c r="J398" s="39">
        <f>IFERROR(BDP(TEXT(VALUE(Database!$A398),"0")&amp;" HK Equity","PE_RATIO"),"")</f>
        <v/>
      </c>
      <c r="K398" s="24">
        <f>IFERROR(BDP(TEXT(VALUE(Database!$A398),"0")&amp;" HK Equity","A/H_SHARE_CONVERSION"),"")</f>
        <v/>
      </c>
      <c r="L398" s="32">
        <f>IF(Database!BN398="","(none found)",Database!BN398)</f>
        <v/>
      </c>
      <c r="M398" s="34">
        <f>BDH(TEXT(VALUE(Database!$A398),"0")&amp;" HK Equity","CUR_MKT_CAP",Database!$H398,Database!$H398)</f>
        <v/>
      </c>
      <c r="N398" s="166">
        <f>Database!Q398</f>
        <v/>
      </c>
      <c r="O398" s="39">
        <f>BDH(TEXT(VALUE(Database!$A398),"0")&amp;" HK Equity","PE_RATIO",Database!$H398,Database!$H398)</f>
        <v/>
      </c>
      <c r="P398" s="199">
        <f>IF(Database!BH398="","(n/m or not derivable)",Database!BH398)</f>
        <v/>
      </c>
      <c r="Q398" s="39">
        <f>IF(Database!BN398="","",BDH(LEFT(Database!BN398,FIND(".",Database!BN398)-1)&amp;" CH Equity","PE_RATIO",Database!$H398,Database!$H398))</f>
        <v/>
      </c>
      <c r="R398" s="39">
        <f>IF(Database!BN398="","",BDH("HSAHP Index","PX_LAST",Database!$H398,Database!$H398))</f>
        <v/>
      </c>
      <c r="S398" s="39">
        <f>IFERROR(BDP(TEXT(VALUE(Database!$A398),"0")&amp;" HK Equity","PX_TO_SALES_RATIO"),"")</f>
        <v/>
      </c>
      <c r="T398" s="34">
        <f>IF(Database!BN398="","",IFERROR(BDP(LEFT(Database!BN398,FIND(".",Database!BN398)-1)&amp;" CH Equity","CUR_MKT_CAP")*BDP("CNYHKD Curncy","PX_LAST"),"Awaiting quote"))</f>
        <v/>
      </c>
    </row>
    <row r="399" ht="23" customHeight="1">
      <c r="A399" s="32">
        <f>Database!A399&amp;"  "&amp;Database!B399</f>
        <v/>
      </c>
      <c r="B399" s="24">
        <f>IFERROR(INDEX(BDS(TEXT(VALUE(Database!$A399),"0")&amp;" HK Equity","EQUITY_OFFERINGS","array=t","endcol=1"),MATCH("IPO",BDS(TEXT(VALUE(Database!$A399),"0")&amp;" HK Equity","EQUITY_OFFERINGS","array=t","startcol=2","endcol=2"),0)),"")</f>
        <v/>
      </c>
      <c r="C399" s="208">
        <f>IF($B399="","",IFERROR(BDP($B399&amp;" Action","CP036"),""))</f>
        <v/>
      </c>
      <c r="D399" s="209">
        <f>Database!S399</f>
        <v/>
      </c>
      <c r="E399" s="208">
        <f>IF($B399="","",IFERROR(BDP($B399&amp;" Action","CP037"),""))</f>
        <v/>
      </c>
      <c r="F399" s="209">
        <f>Database!T399</f>
        <v/>
      </c>
      <c r="G399" s="208">
        <f>IF($B399="","",IFERROR(BDP($B399&amp;" Action","GREENSHOE_FACILITY"),""))</f>
        <v/>
      </c>
      <c r="H399" s="208">
        <f>IF($B399="","",IFERROR(BDP($B399&amp;" Action","OFFERING_GREENSHOE_SHARES_EX"),""))</f>
        <v/>
      </c>
      <c r="I399" s="32">
        <f>Database!AE399</f>
        <v/>
      </c>
      <c r="J399" s="39">
        <f>IFERROR(BDP(TEXT(VALUE(Database!$A399),"0")&amp;" HK Equity","PE_RATIO"),"")</f>
        <v/>
      </c>
      <c r="K399" s="24">
        <f>IFERROR(BDP(TEXT(VALUE(Database!$A399),"0")&amp;" HK Equity","A/H_SHARE_CONVERSION"),"")</f>
        <v/>
      </c>
      <c r="L399" s="32">
        <f>IF(Database!BN399="","(none found)",Database!BN399)</f>
        <v/>
      </c>
      <c r="M399" s="34">
        <f>BDH(TEXT(VALUE(Database!$A399),"0")&amp;" HK Equity","CUR_MKT_CAP",Database!$H399,Database!$H399)</f>
        <v/>
      </c>
      <c r="N399" s="166">
        <f>Database!Q399</f>
        <v/>
      </c>
      <c r="O399" s="39">
        <f>BDH(TEXT(VALUE(Database!$A399),"0")&amp;" HK Equity","PE_RATIO",Database!$H399,Database!$H399)</f>
        <v/>
      </c>
      <c r="P399" s="199">
        <f>IF(Database!BH399="","(n/m or not derivable)",Database!BH399)</f>
        <v/>
      </c>
      <c r="Q399" s="39">
        <f>IF(Database!BN399="","",BDH(LEFT(Database!BN399,FIND(".",Database!BN399)-1)&amp;" CH Equity","PE_RATIO",Database!$H399,Database!$H399))</f>
        <v/>
      </c>
      <c r="R399" s="39">
        <f>IF(Database!BN399="","",BDH("HSAHP Index","PX_LAST",Database!$H399,Database!$H399))</f>
        <v/>
      </c>
      <c r="S399" s="39">
        <f>IFERROR(BDP(TEXT(VALUE(Database!$A399),"0")&amp;" HK Equity","PX_TO_SALES_RATIO"),"")</f>
        <v/>
      </c>
      <c r="T399" s="34">
        <f>IF(Database!BN399="","",IFERROR(BDP(LEFT(Database!BN399,FIND(".",Database!BN399)-1)&amp;" CH Equity","CUR_MKT_CAP")*BDP("CNYHKD Curncy","PX_LAST"),"Awaiting quote"))</f>
        <v/>
      </c>
    </row>
    <row r="400" ht="23" customHeight="1">
      <c r="A400" s="32">
        <f>Database!A400&amp;"  "&amp;Database!B400</f>
        <v/>
      </c>
      <c r="B400" s="24">
        <f>IFERROR(INDEX(BDS(TEXT(VALUE(Database!$A400),"0")&amp;" HK Equity","EQUITY_OFFERINGS","array=t","endcol=1"),MATCH("IPO",BDS(TEXT(VALUE(Database!$A400),"0")&amp;" HK Equity","EQUITY_OFFERINGS","array=t","startcol=2","endcol=2"),0)),"")</f>
        <v/>
      </c>
      <c r="C400" s="208">
        <f>IF($B400="","",IFERROR(BDP($B400&amp;" Action","CP036"),""))</f>
        <v/>
      </c>
      <c r="D400" s="209">
        <f>Database!S400</f>
        <v/>
      </c>
      <c r="E400" s="208">
        <f>IF($B400="","",IFERROR(BDP($B400&amp;" Action","CP037"),""))</f>
        <v/>
      </c>
      <c r="F400" s="209">
        <f>Database!T400</f>
        <v/>
      </c>
      <c r="G400" s="208">
        <f>IF($B400="","",IFERROR(BDP($B400&amp;" Action","GREENSHOE_FACILITY"),""))</f>
        <v/>
      </c>
      <c r="H400" s="208">
        <f>IF($B400="","",IFERROR(BDP($B400&amp;" Action","OFFERING_GREENSHOE_SHARES_EX"),""))</f>
        <v/>
      </c>
      <c r="I400" s="32">
        <f>Database!AE400</f>
        <v/>
      </c>
      <c r="J400" s="39">
        <f>IFERROR(BDP(TEXT(VALUE(Database!$A400),"0")&amp;" HK Equity","PE_RATIO"),"")</f>
        <v/>
      </c>
      <c r="K400" s="24">
        <f>IFERROR(BDP(TEXT(VALUE(Database!$A400),"0")&amp;" HK Equity","A/H_SHARE_CONVERSION"),"")</f>
        <v/>
      </c>
      <c r="L400" s="32">
        <f>IF(Database!BN400="","(none found)",Database!BN400)</f>
        <v/>
      </c>
      <c r="M400" s="34">
        <f>BDH(TEXT(VALUE(Database!$A400),"0")&amp;" HK Equity","CUR_MKT_CAP",Database!$H400,Database!$H400)</f>
        <v/>
      </c>
      <c r="N400" s="166">
        <f>Database!Q400</f>
        <v/>
      </c>
      <c r="O400" s="39">
        <f>BDH(TEXT(VALUE(Database!$A400),"0")&amp;" HK Equity","PE_RATIO",Database!$H400,Database!$H400)</f>
        <v/>
      </c>
      <c r="P400" s="199">
        <f>IF(Database!BH400="","(n/m or not derivable)",Database!BH400)</f>
        <v/>
      </c>
      <c r="Q400" s="39">
        <f>IF(Database!BN400="","",BDH(LEFT(Database!BN400,FIND(".",Database!BN400)-1)&amp;" CH Equity","PE_RATIO",Database!$H400,Database!$H400))</f>
        <v/>
      </c>
      <c r="R400" s="39">
        <f>IF(Database!BN400="","",BDH("HSAHP Index","PX_LAST",Database!$H400,Database!$H400))</f>
        <v/>
      </c>
      <c r="S400" s="39">
        <f>IFERROR(BDP(TEXT(VALUE(Database!$A400),"0")&amp;" HK Equity","PX_TO_SALES_RATIO"),"")</f>
        <v/>
      </c>
      <c r="T400" s="34">
        <f>IF(Database!BN400="","",IFERROR(BDP(LEFT(Database!BN400,FIND(".",Database!BN400)-1)&amp;" CH Equity","CUR_MKT_CAP")*BDP("CNYHKD Curncy","PX_LAST"),"Awaiting quote"))</f>
        <v/>
      </c>
    </row>
    <row r="401" ht="23" customHeight="1">
      <c r="A401" s="32">
        <f>Database!A401&amp;"  "&amp;Database!B401</f>
        <v/>
      </c>
      <c r="B401" s="24">
        <f>IFERROR(INDEX(BDS(TEXT(VALUE(Database!$A401),"0")&amp;" HK Equity","EQUITY_OFFERINGS","array=t","endcol=1"),MATCH("IPO",BDS(TEXT(VALUE(Database!$A401),"0")&amp;" HK Equity","EQUITY_OFFERINGS","array=t","startcol=2","endcol=2"),0)),"")</f>
        <v/>
      </c>
      <c r="C401" s="208">
        <f>IF($B401="","",IFERROR(BDP($B401&amp;" Action","CP036"),""))</f>
        <v/>
      </c>
      <c r="D401" s="209">
        <f>Database!S401</f>
        <v/>
      </c>
      <c r="E401" s="208">
        <f>IF($B401="","",IFERROR(BDP($B401&amp;" Action","CP037"),""))</f>
        <v/>
      </c>
      <c r="F401" s="209">
        <f>Database!T401</f>
        <v/>
      </c>
      <c r="G401" s="208">
        <f>IF($B401="","",IFERROR(BDP($B401&amp;" Action","GREENSHOE_FACILITY"),""))</f>
        <v/>
      </c>
      <c r="H401" s="208">
        <f>IF($B401="","",IFERROR(BDP($B401&amp;" Action","OFFERING_GREENSHOE_SHARES_EX"),""))</f>
        <v/>
      </c>
      <c r="I401" s="32">
        <f>Database!AE401</f>
        <v/>
      </c>
      <c r="J401" s="39">
        <f>IFERROR(BDP(TEXT(VALUE(Database!$A401),"0")&amp;" HK Equity","PE_RATIO"),"")</f>
        <v/>
      </c>
      <c r="K401" s="24">
        <f>IFERROR(BDP(TEXT(VALUE(Database!$A401),"0")&amp;" HK Equity","A/H_SHARE_CONVERSION"),"")</f>
        <v/>
      </c>
      <c r="L401" s="32">
        <f>IF(Database!BN401="","(none found)",Database!BN401)</f>
        <v/>
      </c>
      <c r="M401" s="34">
        <f>BDH(TEXT(VALUE(Database!$A401),"0")&amp;" HK Equity","CUR_MKT_CAP",Database!$H401,Database!$H401)</f>
        <v/>
      </c>
      <c r="N401" s="166">
        <f>Database!Q401</f>
        <v/>
      </c>
      <c r="O401" s="39">
        <f>BDH(TEXT(VALUE(Database!$A401),"0")&amp;" HK Equity","PE_RATIO",Database!$H401,Database!$H401)</f>
        <v/>
      </c>
      <c r="P401" s="199">
        <f>IF(Database!BH401="","(n/m or not derivable)",Database!BH401)</f>
        <v/>
      </c>
      <c r="Q401" s="39">
        <f>IF(Database!BN401="","",BDH(LEFT(Database!BN401,FIND(".",Database!BN401)-1)&amp;" CH Equity","PE_RATIO",Database!$H401,Database!$H401))</f>
        <v/>
      </c>
      <c r="R401" s="39">
        <f>IF(Database!BN401="","",BDH("HSAHP Index","PX_LAST",Database!$H401,Database!$H401))</f>
        <v/>
      </c>
      <c r="S401" s="39">
        <f>IFERROR(BDP(TEXT(VALUE(Database!$A401),"0")&amp;" HK Equity","PX_TO_SALES_RATIO"),"")</f>
        <v/>
      </c>
      <c r="T401" s="34">
        <f>IF(Database!BN401="","",IFERROR(BDP(LEFT(Database!BN401,FIND(".",Database!BN401)-1)&amp;" CH Equity","CUR_MKT_CAP")*BDP("CNYHKD Curncy","PX_LAST"),"Awaiting quote"))</f>
        <v/>
      </c>
    </row>
    <row r="402" ht="23" customHeight="1">
      <c r="A402" s="32">
        <f>Database!A402&amp;"  "&amp;Database!B402</f>
        <v/>
      </c>
      <c r="B402" s="24">
        <f>IFERROR(INDEX(BDS(TEXT(VALUE(Database!$A402),"0")&amp;" HK Equity","EQUITY_OFFERINGS","array=t","endcol=1"),MATCH("IPO",BDS(TEXT(VALUE(Database!$A402),"0")&amp;" HK Equity","EQUITY_OFFERINGS","array=t","startcol=2","endcol=2"),0)),"")</f>
        <v/>
      </c>
      <c r="C402" s="208">
        <f>IF($B402="","",IFERROR(BDP($B402&amp;" Action","CP036"),""))</f>
        <v/>
      </c>
      <c r="D402" s="209">
        <f>Database!S402</f>
        <v/>
      </c>
      <c r="E402" s="208">
        <f>IF($B402="","",IFERROR(BDP($B402&amp;" Action","CP037"),""))</f>
        <v/>
      </c>
      <c r="F402" s="209">
        <f>Database!T402</f>
        <v/>
      </c>
      <c r="G402" s="208">
        <f>IF($B402="","",IFERROR(BDP($B402&amp;" Action","GREENSHOE_FACILITY"),""))</f>
        <v/>
      </c>
      <c r="H402" s="208">
        <f>IF($B402="","",IFERROR(BDP($B402&amp;" Action","OFFERING_GREENSHOE_SHARES_EX"),""))</f>
        <v/>
      </c>
      <c r="I402" s="32">
        <f>Database!AE402</f>
        <v/>
      </c>
      <c r="J402" s="39">
        <f>IFERROR(BDP(TEXT(VALUE(Database!$A402),"0")&amp;" HK Equity","PE_RATIO"),"")</f>
        <v/>
      </c>
      <c r="K402" s="24">
        <f>IFERROR(BDP(TEXT(VALUE(Database!$A402),"0")&amp;" HK Equity","A/H_SHARE_CONVERSION"),"")</f>
        <v/>
      </c>
      <c r="L402" s="32">
        <f>IF(Database!BN402="","(none found)",Database!BN402)</f>
        <v/>
      </c>
      <c r="M402" s="34">
        <f>BDH(TEXT(VALUE(Database!$A402),"0")&amp;" HK Equity","CUR_MKT_CAP",Database!$H402,Database!$H402)</f>
        <v/>
      </c>
      <c r="N402" s="166">
        <f>Database!Q402</f>
        <v/>
      </c>
      <c r="O402" s="39">
        <f>BDH(TEXT(VALUE(Database!$A402),"0")&amp;" HK Equity","PE_RATIO",Database!$H402,Database!$H402)</f>
        <v/>
      </c>
      <c r="P402" s="199">
        <f>IF(Database!BH402="","(n/m or not derivable)",Database!BH402)</f>
        <v/>
      </c>
      <c r="Q402" s="39">
        <f>IF(Database!BN402="","",BDH(LEFT(Database!BN402,FIND(".",Database!BN402)-1)&amp;" CH Equity","PE_RATIO",Database!$H402,Database!$H402))</f>
        <v/>
      </c>
      <c r="R402" s="39">
        <f>IF(Database!BN402="","",BDH("HSAHP Index","PX_LAST",Database!$H402,Database!$H402))</f>
        <v/>
      </c>
      <c r="S402" s="39">
        <f>IFERROR(BDP(TEXT(VALUE(Database!$A402),"0")&amp;" HK Equity","PX_TO_SALES_RATIO"),"")</f>
        <v/>
      </c>
      <c r="T402" s="34">
        <f>IF(Database!BN402="","",IFERROR(BDP(LEFT(Database!BN402,FIND(".",Database!BN402)-1)&amp;" CH Equity","CUR_MKT_CAP")*BDP("CNYHKD Curncy","PX_LAST"),"Awaiting quote"))</f>
        <v/>
      </c>
    </row>
    <row r="403" ht="23" customHeight="1">
      <c r="A403" s="32">
        <f>Database!A403&amp;"  "&amp;Database!B403</f>
        <v/>
      </c>
      <c r="B403" s="24">
        <f>IFERROR(INDEX(BDS(TEXT(VALUE(Database!$A403),"0")&amp;" HK Equity","EQUITY_OFFERINGS","array=t","endcol=1"),MATCH("IPO",BDS(TEXT(VALUE(Database!$A403),"0")&amp;" HK Equity","EQUITY_OFFERINGS","array=t","startcol=2","endcol=2"),0)),"")</f>
        <v/>
      </c>
      <c r="C403" s="208">
        <f>IF($B403="","",IFERROR(BDP($B403&amp;" Action","CP036"),""))</f>
        <v/>
      </c>
      <c r="D403" s="209">
        <f>Database!S403</f>
        <v/>
      </c>
      <c r="E403" s="208">
        <f>IF($B403="","",IFERROR(BDP($B403&amp;" Action","CP037"),""))</f>
        <v/>
      </c>
      <c r="F403" s="209">
        <f>Database!T403</f>
        <v/>
      </c>
      <c r="G403" s="208">
        <f>IF($B403="","",IFERROR(BDP($B403&amp;" Action","GREENSHOE_FACILITY"),""))</f>
        <v/>
      </c>
      <c r="H403" s="208">
        <f>IF($B403="","",IFERROR(BDP($B403&amp;" Action","OFFERING_GREENSHOE_SHARES_EX"),""))</f>
        <v/>
      </c>
      <c r="I403" s="32">
        <f>Database!AE403</f>
        <v/>
      </c>
      <c r="J403" s="39">
        <f>IFERROR(BDP(TEXT(VALUE(Database!$A403),"0")&amp;" HK Equity","PE_RATIO"),"")</f>
        <v/>
      </c>
      <c r="K403" s="24">
        <f>IFERROR(BDP(TEXT(VALUE(Database!$A403),"0")&amp;" HK Equity","A/H_SHARE_CONVERSION"),"")</f>
        <v/>
      </c>
      <c r="L403" s="32">
        <f>IF(Database!BN403="","(none found)",Database!BN403)</f>
        <v/>
      </c>
      <c r="M403" s="34">
        <f>BDH(TEXT(VALUE(Database!$A403),"0")&amp;" HK Equity","CUR_MKT_CAP",Database!$H403,Database!$H403)</f>
        <v/>
      </c>
      <c r="N403" s="166">
        <f>Database!Q403</f>
        <v/>
      </c>
      <c r="O403" s="39">
        <f>BDH(TEXT(VALUE(Database!$A403),"0")&amp;" HK Equity","PE_RATIO",Database!$H403,Database!$H403)</f>
        <v/>
      </c>
      <c r="P403" s="199">
        <f>IF(Database!BH403="","(n/m or not derivable)",Database!BH403)</f>
        <v/>
      </c>
      <c r="Q403" s="39">
        <f>IF(Database!BN403="","",BDH(LEFT(Database!BN403,FIND(".",Database!BN403)-1)&amp;" CH Equity","PE_RATIO",Database!$H403,Database!$H403))</f>
        <v/>
      </c>
      <c r="R403" s="39">
        <f>IF(Database!BN403="","",BDH("HSAHP Index","PX_LAST",Database!$H403,Database!$H403))</f>
        <v/>
      </c>
      <c r="S403" s="39">
        <f>IFERROR(BDP(TEXT(VALUE(Database!$A403),"0")&amp;" HK Equity","PX_TO_SALES_RATIO"),"")</f>
        <v/>
      </c>
      <c r="T403" s="34">
        <f>IF(Database!BN403="","",IFERROR(BDP(LEFT(Database!BN403,FIND(".",Database!BN403)-1)&amp;" CH Equity","CUR_MKT_CAP")*BDP("CNYHKD Curncy","PX_LAST"),"Awaiting quote"))</f>
        <v/>
      </c>
    </row>
    <row r="404" ht="23" customHeight="1">
      <c r="A404" s="32">
        <f>Database!A404&amp;"  "&amp;Database!B404</f>
        <v/>
      </c>
      <c r="B404" s="24">
        <f>IFERROR(INDEX(BDS(TEXT(VALUE(Database!$A404),"0")&amp;" HK Equity","EQUITY_OFFERINGS","array=t","endcol=1"),MATCH("IPO",BDS(TEXT(VALUE(Database!$A404),"0")&amp;" HK Equity","EQUITY_OFFERINGS","array=t","startcol=2","endcol=2"),0)),"")</f>
        <v/>
      </c>
      <c r="C404" s="208">
        <f>IF($B404="","",IFERROR(BDP($B404&amp;" Action","CP036"),""))</f>
        <v/>
      </c>
      <c r="D404" s="209">
        <f>Database!S404</f>
        <v/>
      </c>
      <c r="E404" s="208">
        <f>IF($B404="","",IFERROR(BDP($B404&amp;" Action","CP037"),""))</f>
        <v/>
      </c>
      <c r="F404" s="209">
        <f>Database!T404</f>
        <v/>
      </c>
      <c r="G404" s="208">
        <f>IF($B404="","",IFERROR(BDP($B404&amp;" Action","GREENSHOE_FACILITY"),""))</f>
        <v/>
      </c>
      <c r="H404" s="208">
        <f>IF($B404="","",IFERROR(BDP($B404&amp;" Action","OFFERING_GREENSHOE_SHARES_EX"),""))</f>
        <v/>
      </c>
      <c r="I404" s="32">
        <f>Database!AE404</f>
        <v/>
      </c>
      <c r="J404" s="39">
        <f>IFERROR(BDP(TEXT(VALUE(Database!$A404),"0")&amp;" HK Equity","PE_RATIO"),"")</f>
        <v/>
      </c>
      <c r="K404" s="24">
        <f>IFERROR(BDP(TEXT(VALUE(Database!$A404),"0")&amp;" HK Equity","A/H_SHARE_CONVERSION"),"")</f>
        <v/>
      </c>
      <c r="L404" s="32">
        <f>IF(Database!BN404="","(none found)",Database!BN404)</f>
        <v/>
      </c>
      <c r="M404" s="34">
        <f>BDH(TEXT(VALUE(Database!$A404),"0")&amp;" HK Equity","CUR_MKT_CAP",Database!$H404,Database!$H404)</f>
        <v/>
      </c>
      <c r="N404" s="166">
        <f>Database!Q404</f>
        <v/>
      </c>
      <c r="O404" s="39">
        <f>BDH(TEXT(VALUE(Database!$A404),"0")&amp;" HK Equity","PE_RATIO",Database!$H404,Database!$H404)</f>
        <v/>
      </c>
      <c r="P404" s="199">
        <f>IF(Database!BH404="","(n/m or not derivable)",Database!BH404)</f>
        <v/>
      </c>
      <c r="Q404" s="39">
        <f>IF(Database!BN404="","",BDH(LEFT(Database!BN404,FIND(".",Database!BN404)-1)&amp;" CH Equity","PE_RATIO",Database!$H404,Database!$H404))</f>
        <v/>
      </c>
      <c r="R404" s="39">
        <f>IF(Database!BN404="","",BDH("HSAHP Index","PX_LAST",Database!$H404,Database!$H404))</f>
        <v/>
      </c>
      <c r="S404" s="39">
        <f>IFERROR(BDP(TEXT(VALUE(Database!$A404),"0")&amp;" HK Equity","PX_TO_SALES_RATIO"),"")</f>
        <v/>
      </c>
      <c r="T404" s="34">
        <f>IF(Database!BN404="","",IFERROR(BDP(LEFT(Database!BN404,FIND(".",Database!BN404)-1)&amp;" CH Equity","CUR_MKT_CAP")*BDP("CNYHKD Curncy","PX_LAST"),"Awaiting quote"))</f>
        <v/>
      </c>
    </row>
    <row r="405" ht="23" customHeight="1">
      <c r="A405" s="32">
        <f>Database!A405&amp;"  "&amp;Database!B405</f>
        <v/>
      </c>
      <c r="B405" s="24">
        <f>IFERROR(INDEX(BDS(TEXT(VALUE(Database!$A405),"0")&amp;" HK Equity","EQUITY_OFFERINGS","array=t","endcol=1"),MATCH("IPO",BDS(TEXT(VALUE(Database!$A405),"0")&amp;" HK Equity","EQUITY_OFFERINGS","array=t","startcol=2","endcol=2"),0)),"")</f>
        <v/>
      </c>
      <c r="C405" s="208">
        <f>IF($B405="","",IFERROR(BDP($B405&amp;" Action","CP036"),""))</f>
        <v/>
      </c>
      <c r="D405" s="209">
        <f>Database!S405</f>
        <v/>
      </c>
      <c r="E405" s="208">
        <f>IF($B405="","",IFERROR(BDP($B405&amp;" Action","CP037"),""))</f>
        <v/>
      </c>
      <c r="F405" s="209">
        <f>Database!T405</f>
        <v/>
      </c>
      <c r="G405" s="208">
        <f>IF($B405="","",IFERROR(BDP($B405&amp;" Action","GREENSHOE_FACILITY"),""))</f>
        <v/>
      </c>
      <c r="H405" s="208">
        <f>IF($B405="","",IFERROR(BDP($B405&amp;" Action","OFFERING_GREENSHOE_SHARES_EX"),""))</f>
        <v/>
      </c>
      <c r="I405" s="32">
        <f>Database!AE405</f>
        <v/>
      </c>
      <c r="J405" s="39">
        <f>IFERROR(BDP(TEXT(VALUE(Database!$A405),"0")&amp;" HK Equity","PE_RATIO"),"")</f>
        <v/>
      </c>
      <c r="K405" s="24">
        <f>IFERROR(BDP(TEXT(VALUE(Database!$A405),"0")&amp;" HK Equity","A/H_SHARE_CONVERSION"),"")</f>
        <v/>
      </c>
      <c r="L405" s="32">
        <f>IF(Database!BN405="","(none found)",Database!BN405)</f>
        <v/>
      </c>
      <c r="M405" s="34">
        <f>BDH(TEXT(VALUE(Database!$A405),"0")&amp;" HK Equity","CUR_MKT_CAP",Database!$H405,Database!$H405)</f>
        <v/>
      </c>
      <c r="N405" s="166">
        <f>Database!Q405</f>
        <v/>
      </c>
      <c r="O405" s="39">
        <f>BDH(TEXT(VALUE(Database!$A405),"0")&amp;" HK Equity","PE_RATIO",Database!$H405,Database!$H405)</f>
        <v/>
      </c>
      <c r="P405" s="199">
        <f>IF(Database!BH405="","(n/m or not derivable)",Database!BH405)</f>
        <v/>
      </c>
      <c r="Q405" s="39">
        <f>IF(Database!BN405="","",BDH(LEFT(Database!BN405,FIND(".",Database!BN405)-1)&amp;" CH Equity","PE_RATIO",Database!$H405,Database!$H405))</f>
        <v/>
      </c>
      <c r="R405" s="39">
        <f>IF(Database!BN405="","",BDH("HSAHP Index","PX_LAST",Database!$H405,Database!$H405))</f>
        <v/>
      </c>
      <c r="S405" s="39">
        <f>IFERROR(BDP(TEXT(VALUE(Database!$A405),"0")&amp;" HK Equity","PX_TO_SALES_RATIO"),"")</f>
        <v/>
      </c>
      <c r="T405" s="34">
        <f>IF(Database!BN405="","",IFERROR(BDP(LEFT(Database!BN405,FIND(".",Database!BN405)-1)&amp;" CH Equity","CUR_MKT_CAP")*BDP("CNYHKD Curncy","PX_LAST"),"Awaiting quote"))</f>
        <v/>
      </c>
    </row>
    <row r="406" ht="23" customHeight="1">
      <c r="A406" s="32">
        <f>Database!A406&amp;"  "&amp;Database!B406</f>
        <v/>
      </c>
      <c r="B406" s="24">
        <f>IFERROR(INDEX(BDS(TEXT(VALUE(Database!$A406),"0")&amp;" HK Equity","EQUITY_OFFERINGS","array=t","endcol=1"),MATCH("IPO",BDS(TEXT(VALUE(Database!$A406),"0")&amp;" HK Equity","EQUITY_OFFERINGS","array=t","startcol=2","endcol=2"),0)),"")</f>
        <v/>
      </c>
      <c r="C406" s="208">
        <f>IF($B406="","",IFERROR(BDP($B406&amp;" Action","CP036"),""))</f>
        <v/>
      </c>
      <c r="D406" s="209">
        <f>Database!S406</f>
        <v/>
      </c>
      <c r="E406" s="208">
        <f>IF($B406="","",IFERROR(BDP($B406&amp;" Action","CP037"),""))</f>
        <v/>
      </c>
      <c r="F406" s="209">
        <f>Database!T406</f>
        <v/>
      </c>
      <c r="G406" s="208">
        <f>IF($B406="","",IFERROR(BDP($B406&amp;" Action","GREENSHOE_FACILITY"),""))</f>
        <v/>
      </c>
      <c r="H406" s="208">
        <f>IF($B406="","",IFERROR(BDP($B406&amp;" Action","OFFERING_GREENSHOE_SHARES_EX"),""))</f>
        <v/>
      </c>
      <c r="I406" s="32">
        <f>Database!AE406</f>
        <v/>
      </c>
      <c r="J406" s="39">
        <f>IFERROR(BDP(TEXT(VALUE(Database!$A406),"0")&amp;" HK Equity","PE_RATIO"),"")</f>
        <v/>
      </c>
      <c r="K406" s="24">
        <f>IFERROR(BDP(TEXT(VALUE(Database!$A406),"0")&amp;" HK Equity","A/H_SHARE_CONVERSION"),"")</f>
        <v/>
      </c>
      <c r="L406" s="32">
        <f>IF(Database!BN406="","(none found)",Database!BN406)</f>
        <v/>
      </c>
      <c r="M406" s="34">
        <f>BDH(TEXT(VALUE(Database!$A406),"0")&amp;" HK Equity","CUR_MKT_CAP",Database!$H406,Database!$H406)</f>
        <v/>
      </c>
      <c r="N406" s="166">
        <f>Database!Q406</f>
        <v/>
      </c>
      <c r="O406" s="39">
        <f>BDH(TEXT(VALUE(Database!$A406),"0")&amp;" HK Equity","PE_RATIO",Database!$H406,Database!$H406)</f>
        <v/>
      </c>
      <c r="P406" s="199">
        <f>IF(Database!BH406="","(n/m or not derivable)",Database!BH406)</f>
        <v/>
      </c>
      <c r="Q406" s="39">
        <f>IF(Database!BN406="","",BDH(LEFT(Database!BN406,FIND(".",Database!BN406)-1)&amp;" CH Equity","PE_RATIO",Database!$H406,Database!$H406))</f>
        <v/>
      </c>
      <c r="R406" s="39">
        <f>IF(Database!BN406="","",BDH("HSAHP Index","PX_LAST",Database!$H406,Database!$H406))</f>
        <v/>
      </c>
      <c r="S406" s="39">
        <f>IFERROR(BDP(TEXT(VALUE(Database!$A406),"0")&amp;" HK Equity","PX_TO_SALES_RATIO"),"")</f>
        <v/>
      </c>
      <c r="T406" s="34">
        <f>IF(Database!BN406="","",IFERROR(BDP(LEFT(Database!BN406,FIND(".",Database!BN406)-1)&amp;" CH Equity","CUR_MKT_CAP")*BDP("CNYHKD Curncy","PX_LAST"),"Awaiting quote"))</f>
        <v/>
      </c>
    </row>
    <row r="407" ht="23" customHeight="1">
      <c r="A407" s="32">
        <f>Database!A407&amp;"  "&amp;Database!B407</f>
        <v/>
      </c>
      <c r="B407" s="24">
        <f>IFERROR(INDEX(BDS(TEXT(VALUE(Database!$A407),"0")&amp;" HK Equity","EQUITY_OFFERINGS","array=t","endcol=1"),MATCH("IPO",BDS(TEXT(VALUE(Database!$A407),"0")&amp;" HK Equity","EQUITY_OFFERINGS","array=t","startcol=2","endcol=2"),0)),"")</f>
        <v/>
      </c>
      <c r="C407" s="208">
        <f>IF($B407="","",IFERROR(BDP($B407&amp;" Action","CP036"),""))</f>
        <v/>
      </c>
      <c r="D407" s="209">
        <f>Database!S407</f>
        <v/>
      </c>
      <c r="E407" s="208">
        <f>IF($B407="","",IFERROR(BDP($B407&amp;" Action","CP037"),""))</f>
        <v/>
      </c>
      <c r="F407" s="209">
        <f>Database!T407</f>
        <v/>
      </c>
      <c r="G407" s="208">
        <f>IF($B407="","",IFERROR(BDP($B407&amp;" Action","GREENSHOE_FACILITY"),""))</f>
        <v/>
      </c>
      <c r="H407" s="208">
        <f>IF($B407="","",IFERROR(BDP($B407&amp;" Action","OFFERING_GREENSHOE_SHARES_EX"),""))</f>
        <v/>
      </c>
      <c r="I407" s="32">
        <f>Database!AE407</f>
        <v/>
      </c>
      <c r="J407" s="39">
        <f>IFERROR(BDP(TEXT(VALUE(Database!$A407),"0")&amp;" HK Equity","PE_RATIO"),"")</f>
        <v/>
      </c>
      <c r="K407" s="24">
        <f>IFERROR(BDP(TEXT(VALUE(Database!$A407),"0")&amp;" HK Equity","A/H_SHARE_CONVERSION"),"")</f>
        <v/>
      </c>
      <c r="L407" s="32">
        <f>IF(Database!BN407="","(none found)",Database!BN407)</f>
        <v/>
      </c>
      <c r="M407" s="34">
        <f>BDH(TEXT(VALUE(Database!$A407),"0")&amp;" HK Equity","CUR_MKT_CAP",Database!$H407,Database!$H407)</f>
        <v/>
      </c>
      <c r="N407" s="166">
        <f>Database!Q407</f>
        <v/>
      </c>
      <c r="O407" s="39">
        <f>BDH(TEXT(VALUE(Database!$A407),"0")&amp;" HK Equity","PE_RATIO",Database!$H407,Database!$H407)</f>
        <v/>
      </c>
      <c r="P407" s="199">
        <f>IF(Database!BH407="","(n/m or not derivable)",Database!BH407)</f>
        <v/>
      </c>
      <c r="Q407" s="39">
        <f>IF(Database!BN407="","",BDH(LEFT(Database!BN407,FIND(".",Database!BN407)-1)&amp;" CH Equity","PE_RATIO",Database!$H407,Database!$H407))</f>
        <v/>
      </c>
      <c r="R407" s="39">
        <f>IF(Database!BN407="","",BDH("HSAHP Index","PX_LAST",Database!$H407,Database!$H407))</f>
        <v/>
      </c>
      <c r="S407" s="39">
        <f>IFERROR(BDP(TEXT(VALUE(Database!$A407),"0")&amp;" HK Equity","PX_TO_SALES_RATIO"),"")</f>
        <v/>
      </c>
      <c r="T407" s="34">
        <f>IF(Database!BN407="","",IFERROR(BDP(LEFT(Database!BN407,FIND(".",Database!BN407)-1)&amp;" CH Equity","CUR_MKT_CAP")*BDP("CNYHKD Curncy","PX_LAST"),"Awaiting quote"))</f>
        <v/>
      </c>
    </row>
    <row r="408" ht="23" customHeight="1">
      <c r="A408" s="32">
        <f>Database!A408&amp;"  "&amp;Database!B408</f>
        <v/>
      </c>
      <c r="B408" s="24">
        <f>IFERROR(INDEX(BDS(TEXT(VALUE(Database!$A408),"0")&amp;" HK Equity","EQUITY_OFFERINGS","array=t","endcol=1"),MATCH("IPO",BDS(TEXT(VALUE(Database!$A408),"0")&amp;" HK Equity","EQUITY_OFFERINGS","array=t","startcol=2","endcol=2"),0)),"")</f>
        <v/>
      </c>
      <c r="C408" s="208">
        <f>IF($B408="","",IFERROR(BDP($B408&amp;" Action","CP036"),""))</f>
        <v/>
      </c>
      <c r="D408" s="209">
        <f>Database!S408</f>
        <v/>
      </c>
      <c r="E408" s="208">
        <f>IF($B408="","",IFERROR(BDP($B408&amp;" Action","CP037"),""))</f>
        <v/>
      </c>
      <c r="F408" s="209">
        <f>Database!T408</f>
        <v/>
      </c>
      <c r="G408" s="208">
        <f>IF($B408="","",IFERROR(BDP($B408&amp;" Action","GREENSHOE_FACILITY"),""))</f>
        <v/>
      </c>
      <c r="H408" s="208">
        <f>IF($B408="","",IFERROR(BDP($B408&amp;" Action","OFFERING_GREENSHOE_SHARES_EX"),""))</f>
        <v/>
      </c>
      <c r="I408" s="32">
        <f>Database!AE408</f>
        <v/>
      </c>
      <c r="J408" s="39">
        <f>IFERROR(BDP(TEXT(VALUE(Database!$A408),"0")&amp;" HK Equity","PE_RATIO"),"")</f>
        <v/>
      </c>
      <c r="K408" s="24">
        <f>IFERROR(BDP(TEXT(VALUE(Database!$A408),"0")&amp;" HK Equity","A/H_SHARE_CONVERSION"),"")</f>
        <v/>
      </c>
      <c r="L408" s="32">
        <f>IF(Database!BN408="","(none found)",Database!BN408)</f>
        <v/>
      </c>
      <c r="M408" s="34">
        <f>BDH(TEXT(VALUE(Database!$A408),"0")&amp;" HK Equity","CUR_MKT_CAP",Database!$H408,Database!$H408)</f>
        <v/>
      </c>
      <c r="N408" s="166">
        <f>Database!Q408</f>
        <v/>
      </c>
      <c r="O408" s="39">
        <f>BDH(TEXT(VALUE(Database!$A408),"0")&amp;" HK Equity","PE_RATIO",Database!$H408,Database!$H408)</f>
        <v/>
      </c>
      <c r="P408" s="199">
        <f>IF(Database!BH408="","(n/m or not derivable)",Database!BH408)</f>
        <v/>
      </c>
      <c r="Q408" s="39">
        <f>IF(Database!BN408="","",BDH(LEFT(Database!BN408,FIND(".",Database!BN408)-1)&amp;" CH Equity","PE_RATIO",Database!$H408,Database!$H408))</f>
        <v/>
      </c>
      <c r="R408" s="39">
        <f>IF(Database!BN408="","",BDH("HSAHP Index","PX_LAST",Database!$H408,Database!$H408))</f>
        <v/>
      </c>
      <c r="S408" s="39">
        <f>IFERROR(BDP(TEXT(VALUE(Database!$A408),"0")&amp;" HK Equity","PX_TO_SALES_RATIO"),"")</f>
        <v/>
      </c>
      <c r="T408" s="34">
        <f>IF(Database!BN408="","",IFERROR(BDP(LEFT(Database!BN408,FIND(".",Database!BN408)-1)&amp;" CH Equity","CUR_MKT_CAP")*BDP("CNYHKD Curncy","PX_LAST"),"Awaiting quote"))</f>
        <v/>
      </c>
    </row>
    <row r="409" ht="23" customHeight="1">
      <c r="A409" s="32">
        <f>Database!A409&amp;"  "&amp;Database!B409</f>
        <v/>
      </c>
      <c r="B409" s="24">
        <f>IFERROR(INDEX(BDS(TEXT(VALUE(Database!$A409),"0")&amp;" HK Equity","EQUITY_OFFERINGS","array=t","endcol=1"),MATCH("IPO",BDS(TEXT(VALUE(Database!$A409),"0")&amp;" HK Equity","EQUITY_OFFERINGS","array=t","startcol=2","endcol=2"),0)),"")</f>
        <v/>
      </c>
      <c r="C409" s="208">
        <f>IF($B409="","",IFERROR(BDP($B409&amp;" Action","CP036"),""))</f>
        <v/>
      </c>
      <c r="D409" s="209">
        <f>Database!S409</f>
        <v/>
      </c>
      <c r="E409" s="208">
        <f>IF($B409="","",IFERROR(BDP($B409&amp;" Action","CP037"),""))</f>
        <v/>
      </c>
      <c r="F409" s="209">
        <f>Database!T409</f>
        <v/>
      </c>
      <c r="G409" s="208">
        <f>IF($B409="","",IFERROR(BDP($B409&amp;" Action","GREENSHOE_FACILITY"),""))</f>
        <v/>
      </c>
      <c r="H409" s="208">
        <f>IF($B409="","",IFERROR(BDP($B409&amp;" Action","OFFERING_GREENSHOE_SHARES_EX"),""))</f>
        <v/>
      </c>
      <c r="I409" s="32">
        <f>Database!AE409</f>
        <v/>
      </c>
      <c r="J409" s="39">
        <f>IFERROR(BDP(TEXT(VALUE(Database!$A409),"0")&amp;" HK Equity","PE_RATIO"),"")</f>
        <v/>
      </c>
      <c r="K409" s="24">
        <f>IFERROR(BDP(TEXT(VALUE(Database!$A409),"0")&amp;" HK Equity","A/H_SHARE_CONVERSION"),"")</f>
        <v/>
      </c>
      <c r="L409" s="32">
        <f>IF(Database!BN409="","(none found)",Database!BN409)</f>
        <v/>
      </c>
      <c r="M409" s="34">
        <f>BDH(TEXT(VALUE(Database!$A409),"0")&amp;" HK Equity","CUR_MKT_CAP",Database!$H409,Database!$H409)</f>
        <v/>
      </c>
      <c r="N409" s="166">
        <f>Database!Q409</f>
        <v/>
      </c>
      <c r="O409" s="39">
        <f>BDH(TEXT(VALUE(Database!$A409),"0")&amp;" HK Equity","PE_RATIO",Database!$H409,Database!$H409)</f>
        <v/>
      </c>
      <c r="P409" s="199">
        <f>IF(Database!BH409="","(n/m or not derivable)",Database!BH409)</f>
        <v/>
      </c>
      <c r="Q409" s="39">
        <f>IF(Database!BN409="","",BDH(LEFT(Database!BN409,FIND(".",Database!BN409)-1)&amp;" CH Equity","PE_RATIO",Database!$H409,Database!$H409))</f>
        <v/>
      </c>
      <c r="R409" s="39">
        <f>IF(Database!BN409="","",BDH("HSAHP Index","PX_LAST",Database!$H409,Database!$H409))</f>
        <v/>
      </c>
      <c r="S409" s="39">
        <f>IFERROR(BDP(TEXT(VALUE(Database!$A409),"0")&amp;" HK Equity","PX_TO_SALES_RATIO"),"")</f>
        <v/>
      </c>
      <c r="T409" s="34">
        <f>IF(Database!BN409="","",IFERROR(BDP(LEFT(Database!BN409,FIND(".",Database!BN409)-1)&amp;" CH Equity","CUR_MKT_CAP")*BDP("CNYHKD Curncy","PX_LAST"),"Awaiting quote"))</f>
        <v/>
      </c>
    </row>
    <row r="410" ht="23" customHeight="1">
      <c r="A410" s="32">
        <f>Database!A410&amp;"  "&amp;Database!B410</f>
        <v/>
      </c>
      <c r="B410" s="24">
        <f>IFERROR(INDEX(BDS(TEXT(VALUE(Database!$A410),"0")&amp;" HK Equity","EQUITY_OFFERINGS","array=t","endcol=1"),MATCH("IPO",BDS(TEXT(VALUE(Database!$A410),"0")&amp;" HK Equity","EQUITY_OFFERINGS","array=t","startcol=2","endcol=2"),0)),"")</f>
        <v/>
      </c>
      <c r="C410" s="208">
        <f>IF($B410="","",IFERROR(BDP($B410&amp;" Action","CP036"),""))</f>
        <v/>
      </c>
      <c r="D410" s="209">
        <f>Database!S410</f>
        <v/>
      </c>
      <c r="E410" s="208">
        <f>IF($B410="","",IFERROR(BDP($B410&amp;" Action","CP037"),""))</f>
        <v/>
      </c>
      <c r="F410" s="209">
        <f>Database!T410</f>
        <v/>
      </c>
      <c r="G410" s="208">
        <f>IF($B410="","",IFERROR(BDP($B410&amp;" Action","GREENSHOE_FACILITY"),""))</f>
        <v/>
      </c>
      <c r="H410" s="208">
        <f>IF($B410="","",IFERROR(BDP($B410&amp;" Action","OFFERING_GREENSHOE_SHARES_EX"),""))</f>
        <v/>
      </c>
      <c r="I410" s="32">
        <f>Database!AE410</f>
        <v/>
      </c>
      <c r="J410" s="39">
        <f>IFERROR(BDP(TEXT(VALUE(Database!$A410),"0")&amp;" HK Equity","PE_RATIO"),"")</f>
        <v/>
      </c>
      <c r="K410" s="24">
        <f>IFERROR(BDP(TEXT(VALUE(Database!$A410),"0")&amp;" HK Equity","A/H_SHARE_CONVERSION"),"")</f>
        <v/>
      </c>
      <c r="L410" s="32">
        <f>IF(Database!BN410="","(none found)",Database!BN410)</f>
        <v/>
      </c>
      <c r="M410" s="34">
        <f>BDH(TEXT(VALUE(Database!$A410),"0")&amp;" HK Equity","CUR_MKT_CAP",Database!$H410,Database!$H410)</f>
        <v/>
      </c>
      <c r="N410" s="166">
        <f>Database!Q410</f>
        <v/>
      </c>
      <c r="O410" s="39">
        <f>BDH(TEXT(VALUE(Database!$A410),"0")&amp;" HK Equity","PE_RATIO",Database!$H410,Database!$H410)</f>
        <v/>
      </c>
      <c r="P410" s="199">
        <f>IF(Database!BH410="","(n/m or not derivable)",Database!BH410)</f>
        <v/>
      </c>
      <c r="Q410" s="39">
        <f>IF(Database!BN410="","",BDH(LEFT(Database!BN410,FIND(".",Database!BN410)-1)&amp;" CH Equity","PE_RATIO",Database!$H410,Database!$H410))</f>
        <v/>
      </c>
      <c r="R410" s="39">
        <f>IF(Database!BN410="","",BDH("HSAHP Index","PX_LAST",Database!$H410,Database!$H410))</f>
        <v/>
      </c>
      <c r="S410" s="39">
        <f>IFERROR(BDP(TEXT(VALUE(Database!$A410),"0")&amp;" HK Equity","PX_TO_SALES_RATIO"),"")</f>
        <v/>
      </c>
      <c r="T410" s="34">
        <f>IF(Database!BN410="","",IFERROR(BDP(LEFT(Database!BN410,FIND(".",Database!BN410)-1)&amp;" CH Equity","CUR_MKT_CAP")*BDP("CNYHKD Curncy","PX_LAST"),"Awaiting quote"))</f>
        <v/>
      </c>
    </row>
    <row r="411" ht="23" customHeight="1">
      <c r="A411" s="32">
        <f>Database!A411&amp;"  "&amp;Database!B411</f>
        <v/>
      </c>
      <c r="B411" s="24">
        <f>IFERROR(INDEX(BDS(TEXT(VALUE(Database!$A411),"0")&amp;" HK Equity","EQUITY_OFFERINGS","array=t","endcol=1"),MATCH("IPO",BDS(TEXT(VALUE(Database!$A411),"0")&amp;" HK Equity","EQUITY_OFFERINGS","array=t","startcol=2","endcol=2"),0)),"")</f>
        <v/>
      </c>
      <c r="C411" s="208">
        <f>IF($B411="","",IFERROR(BDP($B411&amp;" Action","CP036"),""))</f>
        <v/>
      </c>
      <c r="D411" s="209">
        <f>Database!S411</f>
        <v/>
      </c>
      <c r="E411" s="208">
        <f>IF($B411="","",IFERROR(BDP($B411&amp;" Action","CP037"),""))</f>
        <v/>
      </c>
      <c r="F411" s="209">
        <f>Database!T411</f>
        <v/>
      </c>
      <c r="G411" s="208">
        <f>IF($B411="","",IFERROR(BDP($B411&amp;" Action","GREENSHOE_FACILITY"),""))</f>
        <v/>
      </c>
      <c r="H411" s="208">
        <f>IF($B411="","",IFERROR(BDP($B411&amp;" Action","OFFERING_GREENSHOE_SHARES_EX"),""))</f>
        <v/>
      </c>
      <c r="I411" s="32">
        <f>Database!AE411</f>
        <v/>
      </c>
      <c r="J411" s="39">
        <f>IFERROR(BDP(TEXT(VALUE(Database!$A411),"0")&amp;" HK Equity","PE_RATIO"),"")</f>
        <v/>
      </c>
      <c r="K411" s="24">
        <f>IFERROR(BDP(TEXT(VALUE(Database!$A411),"0")&amp;" HK Equity","A/H_SHARE_CONVERSION"),"")</f>
        <v/>
      </c>
      <c r="L411" s="32">
        <f>IF(Database!BN411="","(none found)",Database!BN411)</f>
        <v/>
      </c>
      <c r="M411" s="34">
        <f>BDH(TEXT(VALUE(Database!$A411),"0")&amp;" HK Equity","CUR_MKT_CAP",Database!$H411,Database!$H411)</f>
        <v/>
      </c>
      <c r="N411" s="166">
        <f>Database!Q411</f>
        <v/>
      </c>
      <c r="O411" s="39">
        <f>BDH(TEXT(VALUE(Database!$A411),"0")&amp;" HK Equity","PE_RATIO",Database!$H411,Database!$H411)</f>
        <v/>
      </c>
      <c r="P411" s="199">
        <f>IF(Database!BH411="","(n/m or not derivable)",Database!BH411)</f>
        <v/>
      </c>
      <c r="Q411" s="39">
        <f>IF(Database!BN411="","",BDH(LEFT(Database!BN411,FIND(".",Database!BN411)-1)&amp;" CH Equity","PE_RATIO",Database!$H411,Database!$H411))</f>
        <v/>
      </c>
      <c r="R411" s="39">
        <f>IF(Database!BN411="","",BDH("HSAHP Index","PX_LAST",Database!$H411,Database!$H411))</f>
        <v/>
      </c>
      <c r="S411" s="39">
        <f>IFERROR(BDP(TEXT(VALUE(Database!$A411),"0")&amp;" HK Equity","PX_TO_SALES_RATIO"),"")</f>
        <v/>
      </c>
      <c r="T411" s="34">
        <f>IF(Database!BN411="","",IFERROR(BDP(LEFT(Database!BN411,FIND(".",Database!BN411)-1)&amp;" CH Equity","CUR_MKT_CAP")*BDP("CNYHKD Curncy","PX_LAST"),"Awaiting quote"))</f>
        <v/>
      </c>
    </row>
    <row r="412" ht="23" customHeight="1">
      <c r="A412" s="32">
        <f>Database!A412&amp;"  "&amp;Database!B412</f>
        <v/>
      </c>
      <c r="B412" s="24">
        <f>IFERROR(INDEX(BDS(TEXT(VALUE(Database!$A412),"0")&amp;" HK Equity","EQUITY_OFFERINGS","array=t","endcol=1"),MATCH("IPO",BDS(TEXT(VALUE(Database!$A412),"0")&amp;" HK Equity","EQUITY_OFFERINGS","array=t","startcol=2","endcol=2"),0)),"")</f>
        <v/>
      </c>
      <c r="C412" s="208">
        <f>IF($B412="","",IFERROR(BDP($B412&amp;" Action","CP036"),""))</f>
        <v/>
      </c>
      <c r="D412" s="209">
        <f>Database!S412</f>
        <v/>
      </c>
      <c r="E412" s="208">
        <f>IF($B412="","",IFERROR(BDP($B412&amp;" Action","CP037"),""))</f>
        <v/>
      </c>
      <c r="F412" s="209">
        <f>Database!T412</f>
        <v/>
      </c>
      <c r="G412" s="208">
        <f>IF($B412="","",IFERROR(BDP($B412&amp;" Action","GREENSHOE_FACILITY"),""))</f>
        <v/>
      </c>
      <c r="H412" s="208">
        <f>IF($B412="","",IFERROR(BDP($B412&amp;" Action","OFFERING_GREENSHOE_SHARES_EX"),""))</f>
        <v/>
      </c>
      <c r="I412" s="32">
        <f>Database!AE412</f>
        <v/>
      </c>
      <c r="J412" s="39">
        <f>IFERROR(BDP(TEXT(VALUE(Database!$A412),"0")&amp;" HK Equity","PE_RATIO"),"")</f>
        <v/>
      </c>
      <c r="K412" s="24">
        <f>IFERROR(BDP(TEXT(VALUE(Database!$A412),"0")&amp;" HK Equity","A/H_SHARE_CONVERSION"),"")</f>
        <v/>
      </c>
      <c r="L412" s="32">
        <f>IF(Database!BN412="","(none found)",Database!BN412)</f>
        <v/>
      </c>
      <c r="M412" s="34">
        <f>BDH(TEXT(VALUE(Database!$A412),"0")&amp;" HK Equity","CUR_MKT_CAP",Database!$H412,Database!$H412)</f>
        <v/>
      </c>
      <c r="N412" s="166">
        <f>Database!Q412</f>
        <v/>
      </c>
      <c r="O412" s="39">
        <f>BDH(TEXT(VALUE(Database!$A412),"0")&amp;" HK Equity","PE_RATIO",Database!$H412,Database!$H412)</f>
        <v/>
      </c>
      <c r="P412" s="199">
        <f>IF(Database!BH412="","(n/m or not derivable)",Database!BH412)</f>
        <v/>
      </c>
      <c r="Q412" s="39">
        <f>IF(Database!BN412="","",BDH(LEFT(Database!BN412,FIND(".",Database!BN412)-1)&amp;" CH Equity","PE_RATIO",Database!$H412,Database!$H412))</f>
        <v/>
      </c>
      <c r="R412" s="39">
        <f>IF(Database!BN412="","",BDH("HSAHP Index","PX_LAST",Database!$H412,Database!$H412))</f>
        <v/>
      </c>
      <c r="S412" s="39">
        <f>IFERROR(BDP(TEXT(VALUE(Database!$A412),"0")&amp;" HK Equity","PX_TO_SALES_RATIO"),"")</f>
        <v/>
      </c>
      <c r="T412" s="34">
        <f>IF(Database!BN412="","",IFERROR(BDP(LEFT(Database!BN412,FIND(".",Database!BN412)-1)&amp;" CH Equity","CUR_MKT_CAP")*BDP("CNYHKD Curncy","PX_LAST"),"Awaiting quote"))</f>
        <v/>
      </c>
    </row>
    <row r="413" ht="23" customHeight="1">
      <c r="A413" s="32">
        <f>Database!A413&amp;"  "&amp;Database!B413</f>
        <v/>
      </c>
      <c r="B413" s="24">
        <f>IFERROR(INDEX(BDS(TEXT(VALUE(Database!$A413),"0")&amp;" HK Equity","EQUITY_OFFERINGS","array=t","endcol=1"),MATCH("IPO",BDS(TEXT(VALUE(Database!$A413),"0")&amp;" HK Equity","EQUITY_OFFERINGS","array=t","startcol=2","endcol=2"),0)),"")</f>
        <v/>
      </c>
      <c r="C413" s="208">
        <f>IF($B413="","",IFERROR(BDP($B413&amp;" Action","CP036"),""))</f>
        <v/>
      </c>
      <c r="D413" s="209">
        <f>Database!S413</f>
        <v/>
      </c>
      <c r="E413" s="208">
        <f>IF($B413="","",IFERROR(BDP($B413&amp;" Action","CP037"),""))</f>
        <v/>
      </c>
      <c r="F413" s="209">
        <f>Database!T413</f>
        <v/>
      </c>
      <c r="G413" s="208">
        <f>IF($B413="","",IFERROR(BDP($B413&amp;" Action","GREENSHOE_FACILITY"),""))</f>
        <v/>
      </c>
      <c r="H413" s="208">
        <f>IF($B413="","",IFERROR(BDP($B413&amp;" Action","OFFERING_GREENSHOE_SHARES_EX"),""))</f>
        <v/>
      </c>
      <c r="I413" s="32">
        <f>Database!AE413</f>
        <v/>
      </c>
      <c r="J413" s="39">
        <f>IFERROR(BDP(TEXT(VALUE(Database!$A413),"0")&amp;" HK Equity","PE_RATIO"),"")</f>
        <v/>
      </c>
      <c r="K413" s="24">
        <f>IFERROR(BDP(TEXT(VALUE(Database!$A413),"0")&amp;" HK Equity","A/H_SHARE_CONVERSION"),"")</f>
        <v/>
      </c>
      <c r="L413" s="32">
        <f>IF(Database!BN413="","(none found)",Database!BN413)</f>
        <v/>
      </c>
      <c r="M413" s="34">
        <f>BDH(TEXT(VALUE(Database!$A413),"0")&amp;" HK Equity","CUR_MKT_CAP",Database!$H413,Database!$H413)</f>
        <v/>
      </c>
      <c r="N413" s="166">
        <f>Database!Q413</f>
        <v/>
      </c>
      <c r="O413" s="39">
        <f>BDH(TEXT(VALUE(Database!$A413),"0")&amp;" HK Equity","PE_RATIO",Database!$H413,Database!$H413)</f>
        <v/>
      </c>
      <c r="P413" s="199">
        <f>IF(Database!BH413="","(n/m or not derivable)",Database!BH413)</f>
        <v/>
      </c>
      <c r="Q413" s="39">
        <f>IF(Database!BN413="","",BDH(LEFT(Database!BN413,FIND(".",Database!BN413)-1)&amp;" CH Equity","PE_RATIO",Database!$H413,Database!$H413))</f>
        <v/>
      </c>
      <c r="R413" s="39">
        <f>IF(Database!BN413="","",BDH("HSAHP Index","PX_LAST",Database!$H413,Database!$H413))</f>
        <v/>
      </c>
      <c r="S413" s="39">
        <f>IFERROR(BDP(TEXT(VALUE(Database!$A413),"0")&amp;" HK Equity","PX_TO_SALES_RATIO"),"")</f>
        <v/>
      </c>
      <c r="T413" s="34">
        <f>IF(Database!BN413="","",IFERROR(BDP(LEFT(Database!BN413,FIND(".",Database!BN413)-1)&amp;" CH Equity","CUR_MKT_CAP")*BDP("CNYHKD Curncy","PX_LAST"),"Awaiting quote"))</f>
        <v/>
      </c>
    </row>
    <row r="414" ht="23" customHeight="1">
      <c r="A414" s="32">
        <f>Database!A414&amp;"  "&amp;Database!B414</f>
        <v/>
      </c>
      <c r="B414" s="24">
        <f>IFERROR(INDEX(BDS(TEXT(VALUE(Database!$A414),"0")&amp;" HK Equity","EQUITY_OFFERINGS","array=t","endcol=1"),MATCH("IPO",BDS(TEXT(VALUE(Database!$A414),"0")&amp;" HK Equity","EQUITY_OFFERINGS","array=t","startcol=2","endcol=2"),0)),"")</f>
        <v/>
      </c>
      <c r="C414" s="208">
        <f>IF($B414="","",IFERROR(BDP($B414&amp;" Action","CP036"),""))</f>
        <v/>
      </c>
      <c r="D414" s="209">
        <f>Database!S414</f>
        <v/>
      </c>
      <c r="E414" s="208">
        <f>IF($B414="","",IFERROR(BDP($B414&amp;" Action","CP037"),""))</f>
        <v/>
      </c>
      <c r="F414" s="209">
        <f>Database!T414</f>
        <v/>
      </c>
      <c r="G414" s="208">
        <f>IF($B414="","",IFERROR(BDP($B414&amp;" Action","GREENSHOE_FACILITY"),""))</f>
        <v/>
      </c>
      <c r="H414" s="208">
        <f>IF($B414="","",IFERROR(BDP($B414&amp;" Action","OFFERING_GREENSHOE_SHARES_EX"),""))</f>
        <v/>
      </c>
      <c r="I414" s="32">
        <f>Database!AE414</f>
        <v/>
      </c>
      <c r="J414" s="39">
        <f>IFERROR(BDP(TEXT(VALUE(Database!$A414),"0")&amp;" HK Equity","PE_RATIO"),"")</f>
        <v/>
      </c>
      <c r="K414" s="24">
        <f>IFERROR(BDP(TEXT(VALUE(Database!$A414),"0")&amp;" HK Equity","A/H_SHARE_CONVERSION"),"")</f>
        <v/>
      </c>
      <c r="L414" s="32">
        <f>IF(Database!BN414="","(none found)",Database!BN414)</f>
        <v/>
      </c>
      <c r="M414" s="34">
        <f>BDH(TEXT(VALUE(Database!$A414),"0")&amp;" HK Equity","CUR_MKT_CAP",Database!$H414,Database!$H414)</f>
        <v/>
      </c>
      <c r="N414" s="166">
        <f>Database!Q414</f>
        <v/>
      </c>
      <c r="O414" s="39">
        <f>BDH(TEXT(VALUE(Database!$A414),"0")&amp;" HK Equity","PE_RATIO",Database!$H414,Database!$H414)</f>
        <v/>
      </c>
      <c r="P414" s="199">
        <f>IF(Database!BH414="","(n/m or not derivable)",Database!BH414)</f>
        <v/>
      </c>
      <c r="Q414" s="39">
        <f>IF(Database!BN414="","",BDH(LEFT(Database!BN414,FIND(".",Database!BN414)-1)&amp;" CH Equity","PE_RATIO",Database!$H414,Database!$H414))</f>
        <v/>
      </c>
      <c r="R414" s="39">
        <f>IF(Database!BN414="","",BDH("HSAHP Index","PX_LAST",Database!$H414,Database!$H414))</f>
        <v/>
      </c>
      <c r="S414" s="39">
        <f>IFERROR(BDP(TEXT(VALUE(Database!$A414),"0")&amp;" HK Equity","PX_TO_SALES_RATIO"),"")</f>
        <v/>
      </c>
      <c r="T414" s="34">
        <f>IF(Database!BN414="","",IFERROR(BDP(LEFT(Database!BN414,FIND(".",Database!BN414)-1)&amp;" CH Equity","CUR_MKT_CAP")*BDP("CNYHKD Curncy","PX_LAST"),"Awaiting quote"))</f>
        <v/>
      </c>
    </row>
    <row r="415" ht="23" customHeight="1">
      <c r="A415" s="32">
        <f>Database!A415&amp;"  "&amp;Database!B415</f>
        <v/>
      </c>
      <c r="B415" s="24">
        <f>IFERROR(INDEX(BDS(TEXT(VALUE(Database!$A415),"0")&amp;" HK Equity","EQUITY_OFFERINGS","array=t","endcol=1"),MATCH("IPO",BDS(TEXT(VALUE(Database!$A415),"0")&amp;" HK Equity","EQUITY_OFFERINGS","array=t","startcol=2","endcol=2"),0)),"")</f>
        <v/>
      </c>
      <c r="C415" s="208">
        <f>IF($B415="","",IFERROR(BDP($B415&amp;" Action","CP036"),""))</f>
        <v/>
      </c>
      <c r="D415" s="209">
        <f>Database!S415</f>
        <v/>
      </c>
      <c r="E415" s="208">
        <f>IF($B415="","",IFERROR(BDP($B415&amp;" Action","CP037"),""))</f>
        <v/>
      </c>
      <c r="F415" s="209">
        <f>Database!T415</f>
        <v/>
      </c>
      <c r="G415" s="208">
        <f>IF($B415="","",IFERROR(BDP($B415&amp;" Action","GREENSHOE_FACILITY"),""))</f>
        <v/>
      </c>
      <c r="H415" s="208">
        <f>IF($B415="","",IFERROR(BDP($B415&amp;" Action","OFFERING_GREENSHOE_SHARES_EX"),""))</f>
        <v/>
      </c>
      <c r="I415" s="32">
        <f>Database!AE415</f>
        <v/>
      </c>
      <c r="J415" s="39">
        <f>IFERROR(BDP(TEXT(VALUE(Database!$A415),"0")&amp;" HK Equity","PE_RATIO"),"")</f>
        <v/>
      </c>
      <c r="K415" s="24">
        <f>IFERROR(BDP(TEXT(VALUE(Database!$A415),"0")&amp;" HK Equity","A/H_SHARE_CONVERSION"),"")</f>
        <v/>
      </c>
      <c r="L415" s="32">
        <f>IF(Database!BN415="","(none found)",Database!BN415)</f>
        <v/>
      </c>
      <c r="M415" s="34">
        <f>BDH(TEXT(VALUE(Database!$A415),"0")&amp;" HK Equity","CUR_MKT_CAP",Database!$H415,Database!$H415)</f>
        <v/>
      </c>
      <c r="N415" s="166">
        <f>Database!Q415</f>
        <v/>
      </c>
      <c r="O415" s="39">
        <f>BDH(TEXT(VALUE(Database!$A415),"0")&amp;" HK Equity","PE_RATIO",Database!$H415,Database!$H415)</f>
        <v/>
      </c>
      <c r="P415" s="199">
        <f>IF(Database!BH415="","(n/m or not derivable)",Database!BH415)</f>
        <v/>
      </c>
      <c r="Q415" s="39">
        <f>IF(Database!BN415="","",BDH(LEFT(Database!BN415,FIND(".",Database!BN415)-1)&amp;" CH Equity","PE_RATIO",Database!$H415,Database!$H415))</f>
        <v/>
      </c>
      <c r="R415" s="39">
        <f>IF(Database!BN415="","",BDH("HSAHP Index","PX_LAST",Database!$H415,Database!$H415))</f>
        <v/>
      </c>
      <c r="S415" s="39">
        <f>IFERROR(BDP(TEXT(VALUE(Database!$A415),"0")&amp;" HK Equity","PX_TO_SALES_RATIO"),"")</f>
        <v/>
      </c>
      <c r="T415" s="34">
        <f>IF(Database!BN415="","",IFERROR(BDP(LEFT(Database!BN415,FIND(".",Database!BN415)-1)&amp;" CH Equity","CUR_MKT_CAP")*BDP("CNYHKD Curncy","PX_LAST"),"Awaiting quote"))</f>
        <v/>
      </c>
    </row>
    <row r="416" ht="23" customHeight="1">
      <c r="A416" s="32">
        <f>Database!A416&amp;"  "&amp;Database!B416</f>
        <v/>
      </c>
      <c r="B416" s="24">
        <f>IFERROR(INDEX(BDS(TEXT(VALUE(Database!$A416),"0")&amp;" HK Equity","EQUITY_OFFERINGS","array=t","endcol=1"),MATCH("IPO",BDS(TEXT(VALUE(Database!$A416),"0")&amp;" HK Equity","EQUITY_OFFERINGS","array=t","startcol=2","endcol=2"),0)),"")</f>
        <v/>
      </c>
      <c r="C416" s="208">
        <f>IF($B416="","",IFERROR(BDP($B416&amp;" Action","CP036"),""))</f>
        <v/>
      </c>
      <c r="D416" s="209">
        <f>Database!S416</f>
        <v/>
      </c>
      <c r="E416" s="208">
        <f>IF($B416="","",IFERROR(BDP($B416&amp;" Action","CP037"),""))</f>
        <v/>
      </c>
      <c r="F416" s="209">
        <f>Database!T416</f>
        <v/>
      </c>
      <c r="G416" s="208">
        <f>IF($B416="","",IFERROR(BDP($B416&amp;" Action","GREENSHOE_FACILITY"),""))</f>
        <v/>
      </c>
      <c r="H416" s="208">
        <f>IF($B416="","",IFERROR(BDP($B416&amp;" Action","OFFERING_GREENSHOE_SHARES_EX"),""))</f>
        <v/>
      </c>
      <c r="I416" s="32">
        <f>Database!AE416</f>
        <v/>
      </c>
      <c r="J416" s="39">
        <f>IFERROR(BDP(TEXT(VALUE(Database!$A416),"0")&amp;" HK Equity","PE_RATIO"),"")</f>
        <v/>
      </c>
      <c r="K416" s="24">
        <f>IFERROR(BDP(TEXT(VALUE(Database!$A416),"0")&amp;" HK Equity","A/H_SHARE_CONVERSION"),"")</f>
        <v/>
      </c>
      <c r="L416" s="32">
        <f>IF(Database!BN416="","(none found)",Database!BN416)</f>
        <v/>
      </c>
      <c r="M416" s="34">
        <f>BDH(TEXT(VALUE(Database!$A416),"0")&amp;" HK Equity","CUR_MKT_CAP",Database!$H416,Database!$H416)</f>
        <v/>
      </c>
      <c r="N416" s="166">
        <f>Database!Q416</f>
        <v/>
      </c>
      <c r="O416" s="39">
        <f>BDH(TEXT(VALUE(Database!$A416),"0")&amp;" HK Equity","PE_RATIO",Database!$H416,Database!$H416)</f>
        <v/>
      </c>
      <c r="P416" s="199">
        <f>IF(Database!BH416="","(n/m or not derivable)",Database!BH416)</f>
        <v/>
      </c>
      <c r="Q416" s="39">
        <f>IF(Database!BN416="","",BDH(LEFT(Database!BN416,FIND(".",Database!BN416)-1)&amp;" CH Equity","PE_RATIO",Database!$H416,Database!$H416))</f>
        <v/>
      </c>
      <c r="R416" s="39">
        <f>IF(Database!BN416="","",BDH("HSAHP Index","PX_LAST",Database!$H416,Database!$H416))</f>
        <v/>
      </c>
      <c r="S416" s="39">
        <f>IFERROR(BDP(TEXT(VALUE(Database!$A416),"0")&amp;" HK Equity","PX_TO_SALES_RATIO"),"")</f>
        <v/>
      </c>
      <c r="T416" s="34">
        <f>IF(Database!BN416="","",IFERROR(BDP(LEFT(Database!BN416,FIND(".",Database!BN416)-1)&amp;" CH Equity","CUR_MKT_CAP")*BDP("CNYHKD Curncy","PX_LAST"),"Awaiting quote"))</f>
        <v/>
      </c>
    </row>
    <row r="417" ht="23" customHeight="1">
      <c r="A417" s="32">
        <f>Database!A417&amp;"  "&amp;Database!B417</f>
        <v/>
      </c>
      <c r="B417" s="24">
        <f>IFERROR(INDEX(BDS(TEXT(VALUE(Database!$A417),"0")&amp;" HK Equity","EQUITY_OFFERINGS","array=t","endcol=1"),MATCH("IPO",BDS(TEXT(VALUE(Database!$A417),"0")&amp;" HK Equity","EQUITY_OFFERINGS","array=t","startcol=2","endcol=2"),0)),"")</f>
        <v/>
      </c>
      <c r="C417" s="208">
        <f>IF($B417="","",IFERROR(BDP($B417&amp;" Action","CP036"),""))</f>
        <v/>
      </c>
      <c r="D417" s="209">
        <f>Database!S417</f>
        <v/>
      </c>
      <c r="E417" s="208">
        <f>IF($B417="","",IFERROR(BDP($B417&amp;" Action","CP037"),""))</f>
        <v/>
      </c>
      <c r="F417" s="209">
        <f>Database!T417</f>
        <v/>
      </c>
      <c r="G417" s="208">
        <f>IF($B417="","",IFERROR(BDP($B417&amp;" Action","GREENSHOE_FACILITY"),""))</f>
        <v/>
      </c>
      <c r="H417" s="208">
        <f>IF($B417="","",IFERROR(BDP($B417&amp;" Action","OFFERING_GREENSHOE_SHARES_EX"),""))</f>
        <v/>
      </c>
      <c r="I417" s="32">
        <f>Database!AE417</f>
        <v/>
      </c>
      <c r="J417" s="39">
        <f>IFERROR(BDP(TEXT(VALUE(Database!$A417),"0")&amp;" HK Equity","PE_RATIO"),"")</f>
        <v/>
      </c>
      <c r="K417" s="24">
        <f>IFERROR(BDP(TEXT(VALUE(Database!$A417),"0")&amp;" HK Equity","A/H_SHARE_CONVERSION"),"")</f>
        <v/>
      </c>
      <c r="L417" s="32">
        <f>IF(Database!BN417="","(none found)",Database!BN417)</f>
        <v/>
      </c>
      <c r="M417" s="34">
        <f>BDH(TEXT(VALUE(Database!$A417),"0")&amp;" HK Equity","CUR_MKT_CAP",Database!$H417,Database!$H417)</f>
        <v/>
      </c>
      <c r="N417" s="166">
        <f>Database!Q417</f>
        <v/>
      </c>
      <c r="O417" s="39">
        <f>BDH(TEXT(VALUE(Database!$A417),"0")&amp;" HK Equity","PE_RATIO",Database!$H417,Database!$H417)</f>
        <v/>
      </c>
      <c r="P417" s="199">
        <f>IF(Database!BH417="","(n/m or not derivable)",Database!BH417)</f>
        <v/>
      </c>
      <c r="Q417" s="39">
        <f>IF(Database!BN417="","",BDH(LEFT(Database!BN417,FIND(".",Database!BN417)-1)&amp;" CH Equity","PE_RATIO",Database!$H417,Database!$H417))</f>
        <v/>
      </c>
      <c r="R417" s="39">
        <f>IF(Database!BN417="","",BDH("HSAHP Index","PX_LAST",Database!$H417,Database!$H417))</f>
        <v/>
      </c>
      <c r="S417" s="39">
        <f>IFERROR(BDP(TEXT(VALUE(Database!$A417),"0")&amp;" HK Equity","PX_TO_SALES_RATIO"),"")</f>
        <v/>
      </c>
      <c r="T417" s="34">
        <f>IF(Database!BN417="","",IFERROR(BDP(LEFT(Database!BN417,FIND(".",Database!BN417)-1)&amp;" CH Equity","CUR_MKT_CAP")*BDP("CNYHKD Curncy","PX_LAST"),"Awaiting quote"))</f>
        <v/>
      </c>
    </row>
    <row r="418" ht="23" customHeight="1">
      <c r="A418" s="32">
        <f>Database!A418&amp;"  "&amp;Database!B418</f>
        <v/>
      </c>
      <c r="B418" s="24">
        <f>IFERROR(INDEX(BDS(TEXT(VALUE(Database!$A418),"0")&amp;" HK Equity","EQUITY_OFFERINGS","array=t","endcol=1"),MATCH("IPO",BDS(TEXT(VALUE(Database!$A418),"0")&amp;" HK Equity","EQUITY_OFFERINGS","array=t","startcol=2","endcol=2"),0)),"")</f>
        <v/>
      </c>
      <c r="C418" s="208">
        <f>IF($B418="","",IFERROR(BDP($B418&amp;" Action","CP036"),""))</f>
        <v/>
      </c>
      <c r="D418" s="209">
        <f>Database!S418</f>
        <v/>
      </c>
      <c r="E418" s="208">
        <f>IF($B418="","",IFERROR(BDP($B418&amp;" Action","CP037"),""))</f>
        <v/>
      </c>
      <c r="F418" s="209">
        <f>Database!T418</f>
        <v/>
      </c>
      <c r="G418" s="208">
        <f>IF($B418="","",IFERROR(BDP($B418&amp;" Action","GREENSHOE_FACILITY"),""))</f>
        <v/>
      </c>
      <c r="H418" s="208">
        <f>IF($B418="","",IFERROR(BDP($B418&amp;" Action","OFFERING_GREENSHOE_SHARES_EX"),""))</f>
        <v/>
      </c>
      <c r="I418" s="32">
        <f>Database!AE418</f>
        <v/>
      </c>
      <c r="J418" s="39">
        <f>IFERROR(BDP(TEXT(VALUE(Database!$A418),"0")&amp;" HK Equity","PE_RATIO"),"")</f>
        <v/>
      </c>
      <c r="K418" s="24">
        <f>IFERROR(BDP(TEXT(VALUE(Database!$A418),"0")&amp;" HK Equity","A/H_SHARE_CONVERSION"),"")</f>
        <v/>
      </c>
      <c r="L418" s="32">
        <f>IF(Database!BN418="","(none found)",Database!BN418)</f>
        <v/>
      </c>
      <c r="M418" s="34">
        <f>BDH(TEXT(VALUE(Database!$A418),"0")&amp;" HK Equity","CUR_MKT_CAP",Database!$H418,Database!$H418)</f>
        <v/>
      </c>
      <c r="N418" s="166">
        <f>Database!Q418</f>
        <v/>
      </c>
      <c r="O418" s="39">
        <f>BDH(TEXT(VALUE(Database!$A418),"0")&amp;" HK Equity","PE_RATIO",Database!$H418,Database!$H418)</f>
        <v/>
      </c>
      <c r="P418" s="199">
        <f>IF(Database!BH418="","(n/m or not derivable)",Database!BH418)</f>
        <v/>
      </c>
      <c r="Q418" s="39">
        <f>IF(Database!BN418="","",BDH(LEFT(Database!BN418,FIND(".",Database!BN418)-1)&amp;" CH Equity","PE_RATIO",Database!$H418,Database!$H418))</f>
        <v/>
      </c>
      <c r="R418" s="39">
        <f>IF(Database!BN418="","",BDH("HSAHP Index","PX_LAST",Database!$H418,Database!$H418))</f>
        <v/>
      </c>
      <c r="S418" s="39">
        <f>IFERROR(BDP(TEXT(VALUE(Database!$A418),"0")&amp;" HK Equity","PX_TO_SALES_RATIO"),"")</f>
        <v/>
      </c>
      <c r="T418" s="34">
        <f>IF(Database!BN418="","",IFERROR(BDP(LEFT(Database!BN418,FIND(".",Database!BN418)-1)&amp;" CH Equity","CUR_MKT_CAP")*BDP("CNYHKD Curncy","PX_LAST"),"Awaiting quote"))</f>
        <v/>
      </c>
    </row>
    <row r="419" ht="23" customHeight="1">
      <c r="A419" s="32">
        <f>Database!A419&amp;"  "&amp;Database!B419</f>
        <v/>
      </c>
      <c r="B419" s="24">
        <f>IFERROR(INDEX(BDS(TEXT(VALUE(Database!$A419),"0")&amp;" HK Equity","EQUITY_OFFERINGS","array=t","endcol=1"),MATCH("IPO",BDS(TEXT(VALUE(Database!$A419),"0")&amp;" HK Equity","EQUITY_OFFERINGS","array=t","startcol=2","endcol=2"),0)),"")</f>
        <v/>
      </c>
      <c r="C419" s="208">
        <f>IF($B419="","",IFERROR(BDP($B419&amp;" Action","CP036"),""))</f>
        <v/>
      </c>
      <c r="D419" s="209">
        <f>Database!S419</f>
        <v/>
      </c>
      <c r="E419" s="208">
        <f>IF($B419="","",IFERROR(BDP($B419&amp;" Action","CP037"),""))</f>
        <v/>
      </c>
      <c r="F419" s="209">
        <f>Database!T419</f>
        <v/>
      </c>
      <c r="G419" s="208">
        <f>IF($B419="","",IFERROR(BDP($B419&amp;" Action","GREENSHOE_FACILITY"),""))</f>
        <v/>
      </c>
      <c r="H419" s="208">
        <f>IF($B419="","",IFERROR(BDP($B419&amp;" Action","OFFERING_GREENSHOE_SHARES_EX"),""))</f>
        <v/>
      </c>
      <c r="I419" s="32">
        <f>Database!AE419</f>
        <v/>
      </c>
      <c r="J419" s="39">
        <f>IFERROR(BDP(TEXT(VALUE(Database!$A419),"0")&amp;" HK Equity","PE_RATIO"),"")</f>
        <v/>
      </c>
      <c r="K419" s="24">
        <f>IFERROR(BDP(TEXT(VALUE(Database!$A419),"0")&amp;" HK Equity","A/H_SHARE_CONVERSION"),"")</f>
        <v/>
      </c>
      <c r="L419" s="32">
        <f>IF(Database!BN419="","(none found)",Database!BN419)</f>
        <v/>
      </c>
      <c r="M419" s="34">
        <f>BDH(TEXT(VALUE(Database!$A419),"0")&amp;" HK Equity","CUR_MKT_CAP",Database!$H419,Database!$H419)</f>
        <v/>
      </c>
      <c r="N419" s="166">
        <f>Database!Q419</f>
        <v/>
      </c>
      <c r="O419" s="39">
        <f>BDH(TEXT(VALUE(Database!$A419),"0")&amp;" HK Equity","PE_RATIO",Database!$H419,Database!$H419)</f>
        <v/>
      </c>
      <c r="P419" s="199">
        <f>IF(Database!BH419="","(n/m or not derivable)",Database!BH419)</f>
        <v/>
      </c>
      <c r="Q419" s="39">
        <f>IF(Database!BN419="","",BDH(LEFT(Database!BN419,FIND(".",Database!BN419)-1)&amp;" CH Equity","PE_RATIO",Database!$H419,Database!$H419))</f>
        <v/>
      </c>
      <c r="R419" s="39">
        <f>IF(Database!BN419="","",BDH("HSAHP Index","PX_LAST",Database!$H419,Database!$H419))</f>
        <v/>
      </c>
      <c r="S419" s="39">
        <f>IFERROR(BDP(TEXT(VALUE(Database!$A419),"0")&amp;" HK Equity","PX_TO_SALES_RATIO"),"")</f>
        <v/>
      </c>
      <c r="T419" s="34">
        <f>IF(Database!BN419="","",IFERROR(BDP(LEFT(Database!BN419,FIND(".",Database!BN419)-1)&amp;" CH Equity","CUR_MKT_CAP")*BDP("CNYHKD Curncy","PX_LAST"),"Awaiting quote"))</f>
        <v/>
      </c>
    </row>
    <row r="420" ht="23" customHeight="1">
      <c r="A420" s="32">
        <f>Database!A420&amp;"  "&amp;Database!B420</f>
        <v/>
      </c>
      <c r="B420" s="24">
        <f>IFERROR(INDEX(BDS(TEXT(VALUE(Database!$A420),"0")&amp;" HK Equity","EQUITY_OFFERINGS","array=t","endcol=1"),MATCH("IPO",BDS(TEXT(VALUE(Database!$A420),"0")&amp;" HK Equity","EQUITY_OFFERINGS","array=t","startcol=2","endcol=2"),0)),"")</f>
        <v/>
      </c>
      <c r="C420" s="208">
        <f>IF($B420="","",IFERROR(BDP($B420&amp;" Action","CP036"),""))</f>
        <v/>
      </c>
      <c r="D420" s="209">
        <f>Database!S420</f>
        <v/>
      </c>
      <c r="E420" s="208">
        <f>IF($B420="","",IFERROR(BDP($B420&amp;" Action","CP037"),""))</f>
        <v/>
      </c>
      <c r="F420" s="209">
        <f>Database!T420</f>
        <v/>
      </c>
      <c r="G420" s="208">
        <f>IF($B420="","",IFERROR(BDP($B420&amp;" Action","GREENSHOE_FACILITY"),""))</f>
        <v/>
      </c>
      <c r="H420" s="208">
        <f>IF($B420="","",IFERROR(BDP($B420&amp;" Action","OFFERING_GREENSHOE_SHARES_EX"),""))</f>
        <v/>
      </c>
      <c r="I420" s="32">
        <f>Database!AE420</f>
        <v/>
      </c>
      <c r="J420" s="39">
        <f>IFERROR(BDP(TEXT(VALUE(Database!$A420),"0")&amp;" HK Equity","PE_RATIO"),"")</f>
        <v/>
      </c>
      <c r="K420" s="24">
        <f>IFERROR(BDP(TEXT(VALUE(Database!$A420),"0")&amp;" HK Equity","A/H_SHARE_CONVERSION"),"")</f>
        <v/>
      </c>
      <c r="L420" s="32">
        <f>IF(Database!BN420="","(none found)",Database!BN420)</f>
        <v/>
      </c>
      <c r="M420" s="34">
        <f>BDH(TEXT(VALUE(Database!$A420),"0")&amp;" HK Equity","CUR_MKT_CAP",Database!$H420,Database!$H420)</f>
        <v/>
      </c>
      <c r="N420" s="166">
        <f>Database!Q420</f>
        <v/>
      </c>
      <c r="O420" s="39">
        <f>BDH(TEXT(VALUE(Database!$A420),"0")&amp;" HK Equity","PE_RATIO",Database!$H420,Database!$H420)</f>
        <v/>
      </c>
      <c r="P420" s="199">
        <f>IF(Database!BH420="","(n/m or not derivable)",Database!BH420)</f>
        <v/>
      </c>
      <c r="Q420" s="39">
        <f>IF(Database!BN420="","",BDH(LEFT(Database!BN420,FIND(".",Database!BN420)-1)&amp;" CH Equity","PE_RATIO",Database!$H420,Database!$H420))</f>
        <v/>
      </c>
      <c r="R420" s="39">
        <f>IF(Database!BN420="","",BDH("HSAHP Index","PX_LAST",Database!$H420,Database!$H420))</f>
        <v/>
      </c>
      <c r="S420" s="39">
        <f>IFERROR(BDP(TEXT(VALUE(Database!$A420),"0")&amp;" HK Equity","PX_TO_SALES_RATIO"),"")</f>
        <v/>
      </c>
      <c r="T420" s="34">
        <f>IF(Database!BN420="","",IFERROR(BDP(LEFT(Database!BN420,FIND(".",Database!BN420)-1)&amp;" CH Equity","CUR_MKT_CAP")*BDP("CNYHKD Curncy","PX_LAST"),"Awaiting quote"))</f>
        <v/>
      </c>
    </row>
    <row r="421" ht="23" customHeight="1">
      <c r="A421" s="32">
        <f>Database!A421&amp;"  "&amp;Database!B421</f>
        <v/>
      </c>
      <c r="B421" s="24">
        <f>IFERROR(INDEX(BDS(TEXT(VALUE(Database!$A421),"0")&amp;" HK Equity","EQUITY_OFFERINGS","array=t","endcol=1"),MATCH("IPO",BDS(TEXT(VALUE(Database!$A421),"0")&amp;" HK Equity","EQUITY_OFFERINGS","array=t","startcol=2","endcol=2"),0)),"")</f>
        <v/>
      </c>
      <c r="C421" s="208">
        <f>IF($B421="","",IFERROR(BDP($B421&amp;" Action","CP036"),""))</f>
        <v/>
      </c>
      <c r="D421" s="209">
        <f>Database!S421</f>
        <v/>
      </c>
      <c r="E421" s="208">
        <f>IF($B421="","",IFERROR(BDP($B421&amp;" Action","CP037"),""))</f>
        <v/>
      </c>
      <c r="F421" s="209">
        <f>Database!T421</f>
        <v/>
      </c>
      <c r="G421" s="208">
        <f>IF($B421="","",IFERROR(BDP($B421&amp;" Action","GREENSHOE_FACILITY"),""))</f>
        <v/>
      </c>
      <c r="H421" s="208">
        <f>IF($B421="","",IFERROR(BDP($B421&amp;" Action","OFFERING_GREENSHOE_SHARES_EX"),""))</f>
        <v/>
      </c>
      <c r="I421" s="32">
        <f>Database!AE421</f>
        <v/>
      </c>
      <c r="J421" s="39">
        <f>IFERROR(BDP(TEXT(VALUE(Database!$A421),"0")&amp;" HK Equity","PE_RATIO"),"")</f>
        <v/>
      </c>
      <c r="K421" s="24">
        <f>IFERROR(BDP(TEXT(VALUE(Database!$A421),"0")&amp;" HK Equity","A/H_SHARE_CONVERSION"),"")</f>
        <v/>
      </c>
      <c r="L421" s="32">
        <f>IF(Database!BN421="","(none found)",Database!BN421)</f>
        <v/>
      </c>
      <c r="M421" s="34">
        <f>BDH(TEXT(VALUE(Database!$A421),"0")&amp;" HK Equity","CUR_MKT_CAP",Database!$H421,Database!$H421)</f>
        <v/>
      </c>
      <c r="N421" s="166">
        <f>Database!Q421</f>
        <v/>
      </c>
      <c r="O421" s="39">
        <f>BDH(TEXT(VALUE(Database!$A421),"0")&amp;" HK Equity","PE_RATIO",Database!$H421,Database!$H421)</f>
        <v/>
      </c>
      <c r="P421" s="199">
        <f>IF(Database!BH421="","(n/m or not derivable)",Database!BH421)</f>
        <v/>
      </c>
      <c r="Q421" s="39">
        <f>IF(Database!BN421="","",BDH(LEFT(Database!BN421,FIND(".",Database!BN421)-1)&amp;" CH Equity","PE_RATIO",Database!$H421,Database!$H421))</f>
        <v/>
      </c>
      <c r="R421" s="39">
        <f>IF(Database!BN421="","",BDH("HSAHP Index","PX_LAST",Database!$H421,Database!$H421))</f>
        <v/>
      </c>
      <c r="S421" s="39">
        <f>IFERROR(BDP(TEXT(VALUE(Database!$A421),"0")&amp;" HK Equity","PX_TO_SALES_RATIO"),"")</f>
        <v/>
      </c>
      <c r="T421" s="34">
        <f>IF(Database!BN421="","",IFERROR(BDP(LEFT(Database!BN421,FIND(".",Database!BN421)-1)&amp;" CH Equity","CUR_MKT_CAP")*BDP("CNYHKD Curncy","PX_LAST"),"Awaiting quote"))</f>
        <v/>
      </c>
    </row>
    <row r="422" ht="23" customHeight="1">
      <c r="A422" s="32">
        <f>Database!A422&amp;"  "&amp;Database!B422</f>
        <v/>
      </c>
      <c r="B422" s="24">
        <f>IFERROR(INDEX(BDS(TEXT(VALUE(Database!$A422),"0")&amp;" HK Equity","EQUITY_OFFERINGS","array=t","endcol=1"),MATCH("IPO",BDS(TEXT(VALUE(Database!$A422),"0")&amp;" HK Equity","EQUITY_OFFERINGS","array=t","startcol=2","endcol=2"),0)),"")</f>
        <v/>
      </c>
      <c r="C422" s="208">
        <f>IF($B422="","",IFERROR(BDP($B422&amp;" Action","CP036"),""))</f>
        <v/>
      </c>
      <c r="D422" s="209">
        <f>Database!S422</f>
        <v/>
      </c>
      <c r="E422" s="208">
        <f>IF($B422="","",IFERROR(BDP($B422&amp;" Action","CP037"),""))</f>
        <v/>
      </c>
      <c r="F422" s="209">
        <f>Database!T422</f>
        <v/>
      </c>
      <c r="G422" s="208">
        <f>IF($B422="","",IFERROR(BDP($B422&amp;" Action","GREENSHOE_FACILITY"),""))</f>
        <v/>
      </c>
      <c r="H422" s="208">
        <f>IF($B422="","",IFERROR(BDP($B422&amp;" Action","OFFERING_GREENSHOE_SHARES_EX"),""))</f>
        <v/>
      </c>
      <c r="I422" s="32">
        <f>Database!AE422</f>
        <v/>
      </c>
      <c r="J422" s="39">
        <f>IFERROR(BDP(TEXT(VALUE(Database!$A422),"0")&amp;" HK Equity","PE_RATIO"),"")</f>
        <v/>
      </c>
      <c r="K422" s="24">
        <f>IFERROR(BDP(TEXT(VALUE(Database!$A422),"0")&amp;" HK Equity","A/H_SHARE_CONVERSION"),"")</f>
        <v/>
      </c>
      <c r="L422" s="32">
        <f>IF(Database!BN422="","(none found)",Database!BN422)</f>
        <v/>
      </c>
      <c r="M422" s="34">
        <f>BDH(TEXT(VALUE(Database!$A422),"0")&amp;" HK Equity","CUR_MKT_CAP",Database!$H422,Database!$H422)</f>
        <v/>
      </c>
      <c r="N422" s="166">
        <f>Database!Q422</f>
        <v/>
      </c>
      <c r="O422" s="39">
        <f>BDH(TEXT(VALUE(Database!$A422),"0")&amp;" HK Equity","PE_RATIO",Database!$H422,Database!$H422)</f>
        <v/>
      </c>
      <c r="P422" s="199">
        <f>IF(Database!BH422="","(n/m or not derivable)",Database!BH422)</f>
        <v/>
      </c>
      <c r="Q422" s="39">
        <f>IF(Database!BN422="","",BDH(LEFT(Database!BN422,FIND(".",Database!BN422)-1)&amp;" CH Equity","PE_RATIO",Database!$H422,Database!$H422))</f>
        <v/>
      </c>
      <c r="R422" s="39">
        <f>IF(Database!BN422="","",BDH("HSAHP Index","PX_LAST",Database!$H422,Database!$H422))</f>
        <v/>
      </c>
      <c r="S422" s="39">
        <f>IFERROR(BDP(TEXT(VALUE(Database!$A422),"0")&amp;" HK Equity","PX_TO_SALES_RATIO"),"")</f>
        <v/>
      </c>
      <c r="T422" s="34">
        <f>IF(Database!BN422="","",IFERROR(BDP(LEFT(Database!BN422,FIND(".",Database!BN422)-1)&amp;" CH Equity","CUR_MKT_CAP")*BDP("CNYHKD Curncy","PX_LAST"),"Awaiting quote"))</f>
        <v/>
      </c>
    </row>
    <row r="423" ht="23" customHeight="1">
      <c r="A423" s="32">
        <f>Database!A423&amp;"  "&amp;Database!B423</f>
        <v/>
      </c>
      <c r="B423" s="24">
        <f>IFERROR(INDEX(BDS(TEXT(VALUE(Database!$A423),"0")&amp;" HK Equity","EQUITY_OFFERINGS","array=t","endcol=1"),MATCH("IPO",BDS(TEXT(VALUE(Database!$A423),"0")&amp;" HK Equity","EQUITY_OFFERINGS","array=t","startcol=2","endcol=2"),0)),"")</f>
        <v/>
      </c>
      <c r="C423" s="208">
        <f>IF($B423="","",IFERROR(BDP($B423&amp;" Action","CP036"),""))</f>
        <v/>
      </c>
      <c r="D423" s="209">
        <f>Database!S423</f>
        <v/>
      </c>
      <c r="E423" s="208">
        <f>IF($B423="","",IFERROR(BDP($B423&amp;" Action","CP037"),""))</f>
        <v/>
      </c>
      <c r="F423" s="209">
        <f>Database!T423</f>
        <v/>
      </c>
      <c r="G423" s="208">
        <f>IF($B423="","",IFERROR(BDP($B423&amp;" Action","GREENSHOE_FACILITY"),""))</f>
        <v/>
      </c>
      <c r="H423" s="208">
        <f>IF($B423="","",IFERROR(BDP($B423&amp;" Action","OFFERING_GREENSHOE_SHARES_EX"),""))</f>
        <v/>
      </c>
      <c r="I423" s="32">
        <f>Database!AE423</f>
        <v/>
      </c>
      <c r="J423" s="39">
        <f>IFERROR(BDP(TEXT(VALUE(Database!$A423),"0")&amp;" HK Equity","PE_RATIO"),"")</f>
        <v/>
      </c>
      <c r="K423" s="24">
        <f>IFERROR(BDP(TEXT(VALUE(Database!$A423),"0")&amp;" HK Equity","A/H_SHARE_CONVERSION"),"")</f>
        <v/>
      </c>
      <c r="L423" s="32">
        <f>IF(Database!BN423="","(none found)",Database!BN423)</f>
        <v/>
      </c>
      <c r="M423" s="34">
        <f>BDH(TEXT(VALUE(Database!$A423),"0")&amp;" HK Equity","CUR_MKT_CAP",Database!$H423,Database!$H423)</f>
        <v/>
      </c>
      <c r="N423" s="166">
        <f>Database!Q423</f>
        <v/>
      </c>
      <c r="O423" s="39">
        <f>BDH(TEXT(VALUE(Database!$A423),"0")&amp;" HK Equity","PE_RATIO",Database!$H423,Database!$H423)</f>
        <v/>
      </c>
      <c r="P423" s="199">
        <f>IF(Database!BH423="","(n/m or not derivable)",Database!BH423)</f>
        <v/>
      </c>
      <c r="Q423" s="39">
        <f>IF(Database!BN423="","",BDH(LEFT(Database!BN423,FIND(".",Database!BN423)-1)&amp;" CH Equity","PE_RATIO",Database!$H423,Database!$H423))</f>
        <v/>
      </c>
      <c r="R423" s="39">
        <f>IF(Database!BN423="","",BDH("HSAHP Index","PX_LAST",Database!$H423,Database!$H423))</f>
        <v/>
      </c>
      <c r="S423" s="39">
        <f>IFERROR(BDP(TEXT(VALUE(Database!$A423),"0")&amp;" HK Equity","PX_TO_SALES_RATIO"),"")</f>
        <v/>
      </c>
      <c r="T423" s="34">
        <f>IF(Database!BN423="","",IFERROR(BDP(LEFT(Database!BN423,FIND(".",Database!BN423)-1)&amp;" CH Equity","CUR_MKT_CAP")*BDP("CNYHKD Curncy","PX_LAST"),"Awaiting quote"))</f>
        <v/>
      </c>
    </row>
    <row r="424" ht="23" customHeight="1">
      <c r="A424" s="32">
        <f>Database!A424&amp;"  "&amp;Database!B424</f>
        <v/>
      </c>
      <c r="B424" s="24">
        <f>IFERROR(INDEX(BDS(TEXT(VALUE(Database!$A424),"0")&amp;" HK Equity","EQUITY_OFFERINGS","array=t","endcol=1"),MATCH("IPO",BDS(TEXT(VALUE(Database!$A424),"0")&amp;" HK Equity","EQUITY_OFFERINGS","array=t","startcol=2","endcol=2"),0)),"")</f>
        <v/>
      </c>
      <c r="C424" s="208">
        <f>IF($B424="","",IFERROR(BDP($B424&amp;" Action","CP036"),""))</f>
        <v/>
      </c>
      <c r="D424" s="209">
        <f>Database!S424</f>
        <v/>
      </c>
      <c r="E424" s="208">
        <f>IF($B424="","",IFERROR(BDP($B424&amp;" Action","CP037"),""))</f>
        <v/>
      </c>
      <c r="F424" s="209">
        <f>Database!T424</f>
        <v/>
      </c>
      <c r="G424" s="208">
        <f>IF($B424="","",IFERROR(BDP($B424&amp;" Action","GREENSHOE_FACILITY"),""))</f>
        <v/>
      </c>
      <c r="H424" s="208">
        <f>IF($B424="","",IFERROR(BDP($B424&amp;" Action","OFFERING_GREENSHOE_SHARES_EX"),""))</f>
        <v/>
      </c>
      <c r="I424" s="32">
        <f>Database!AE424</f>
        <v/>
      </c>
      <c r="J424" s="39">
        <f>IFERROR(BDP(TEXT(VALUE(Database!$A424),"0")&amp;" HK Equity","PE_RATIO"),"")</f>
        <v/>
      </c>
      <c r="K424" s="24">
        <f>IFERROR(BDP(TEXT(VALUE(Database!$A424),"0")&amp;" HK Equity","A/H_SHARE_CONVERSION"),"")</f>
        <v/>
      </c>
      <c r="L424" s="32">
        <f>IF(Database!BN424="","(none found)",Database!BN424)</f>
        <v/>
      </c>
      <c r="M424" s="34">
        <f>BDH(TEXT(VALUE(Database!$A424),"0")&amp;" HK Equity","CUR_MKT_CAP",Database!$H424,Database!$H424)</f>
        <v/>
      </c>
      <c r="N424" s="166">
        <f>Database!Q424</f>
        <v/>
      </c>
      <c r="O424" s="39">
        <f>BDH(TEXT(VALUE(Database!$A424),"0")&amp;" HK Equity","PE_RATIO",Database!$H424,Database!$H424)</f>
        <v/>
      </c>
      <c r="P424" s="199">
        <f>IF(Database!BH424="","(n/m or not derivable)",Database!BH424)</f>
        <v/>
      </c>
      <c r="Q424" s="39">
        <f>IF(Database!BN424="","",BDH(LEFT(Database!BN424,FIND(".",Database!BN424)-1)&amp;" CH Equity","PE_RATIO",Database!$H424,Database!$H424))</f>
        <v/>
      </c>
      <c r="R424" s="39">
        <f>IF(Database!BN424="","",BDH("HSAHP Index","PX_LAST",Database!$H424,Database!$H424))</f>
        <v/>
      </c>
      <c r="S424" s="39">
        <f>IFERROR(BDP(TEXT(VALUE(Database!$A424),"0")&amp;" HK Equity","PX_TO_SALES_RATIO"),"")</f>
        <v/>
      </c>
      <c r="T424" s="34">
        <f>IF(Database!BN424="","",IFERROR(BDP(LEFT(Database!BN424,FIND(".",Database!BN424)-1)&amp;" CH Equity","CUR_MKT_CAP")*BDP("CNYHKD Curncy","PX_LAST"),"Awaiting quote"))</f>
        <v/>
      </c>
    </row>
    <row r="425" ht="23" customHeight="1">
      <c r="A425" s="32">
        <f>Database!A425&amp;"  "&amp;Database!B425</f>
        <v/>
      </c>
      <c r="B425" s="24">
        <f>IFERROR(INDEX(BDS(TEXT(VALUE(Database!$A425),"0")&amp;" HK Equity","EQUITY_OFFERINGS","array=t","endcol=1"),MATCH("IPO",BDS(TEXT(VALUE(Database!$A425),"0")&amp;" HK Equity","EQUITY_OFFERINGS","array=t","startcol=2","endcol=2"),0)),"")</f>
        <v/>
      </c>
      <c r="C425" s="208">
        <f>IF($B425="","",IFERROR(BDP($B425&amp;" Action","CP036"),""))</f>
        <v/>
      </c>
      <c r="D425" s="209">
        <f>Database!S425</f>
        <v/>
      </c>
      <c r="E425" s="208">
        <f>IF($B425="","",IFERROR(BDP($B425&amp;" Action","CP037"),""))</f>
        <v/>
      </c>
      <c r="F425" s="209">
        <f>Database!T425</f>
        <v/>
      </c>
      <c r="G425" s="208">
        <f>IF($B425="","",IFERROR(BDP($B425&amp;" Action","GREENSHOE_FACILITY"),""))</f>
        <v/>
      </c>
      <c r="H425" s="208">
        <f>IF($B425="","",IFERROR(BDP($B425&amp;" Action","OFFERING_GREENSHOE_SHARES_EX"),""))</f>
        <v/>
      </c>
      <c r="I425" s="32">
        <f>Database!AE425</f>
        <v/>
      </c>
      <c r="J425" s="39">
        <f>IFERROR(BDP(TEXT(VALUE(Database!$A425),"0")&amp;" HK Equity","PE_RATIO"),"")</f>
        <v/>
      </c>
      <c r="K425" s="24">
        <f>IFERROR(BDP(TEXT(VALUE(Database!$A425),"0")&amp;" HK Equity","A/H_SHARE_CONVERSION"),"")</f>
        <v/>
      </c>
      <c r="L425" s="32">
        <f>IF(Database!BN425="","(none found)",Database!BN425)</f>
        <v/>
      </c>
      <c r="M425" s="34">
        <f>BDH(TEXT(VALUE(Database!$A425),"0")&amp;" HK Equity","CUR_MKT_CAP",Database!$H425,Database!$H425)</f>
        <v/>
      </c>
      <c r="N425" s="166">
        <f>Database!Q425</f>
        <v/>
      </c>
      <c r="O425" s="39">
        <f>BDH(TEXT(VALUE(Database!$A425),"0")&amp;" HK Equity","PE_RATIO",Database!$H425,Database!$H425)</f>
        <v/>
      </c>
      <c r="P425" s="199">
        <f>IF(Database!BH425="","(n/m or not derivable)",Database!BH425)</f>
        <v/>
      </c>
      <c r="Q425" s="39">
        <f>IF(Database!BN425="","",BDH(LEFT(Database!BN425,FIND(".",Database!BN425)-1)&amp;" CH Equity","PE_RATIO",Database!$H425,Database!$H425))</f>
        <v/>
      </c>
      <c r="R425" s="39">
        <f>IF(Database!BN425="","",BDH("HSAHP Index","PX_LAST",Database!$H425,Database!$H425))</f>
        <v/>
      </c>
      <c r="S425" s="39">
        <f>IFERROR(BDP(TEXT(VALUE(Database!$A425),"0")&amp;" HK Equity","PX_TO_SALES_RATIO"),"")</f>
        <v/>
      </c>
      <c r="T425" s="34">
        <f>IF(Database!BN425="","",IFERROR(BDP(LEFT(Database!BN425,FIND(".",Database!BN425)-1)&amp;" CH Equity","CUR_MKT_CAP")*BDP("CNYHKD Curncy","PX_LAST"),"Awaiting quote"))</f>
        <v/>
      </c>
    </row>
    <row r="426" ht="23" customHeight="1">
      <c r="A426" s="32">
        <f>Database!A426&amp;"  "&amp;Database!B426</f>
        <v/>
      </c>
      <c r="B426" s="24">
        <f>IFERROR(INDEX(BDS(TEXT(VALUE(Database!$A426),"0")&amp;" HK Equity","EQUITY_OFFERINGS","array=t","endcol=1"),MATCH("IPO",BDS(TEXT(VALUE(Database!$A426),"0")&amp;" HK Equity","EQUITY_OFFERINGS","array=t","startcol=2","endcol=2"),0)),"")</f>
        <v/>
      </c>
      <c r="C426" s="208">
        <f>IF($B426="","",IFERROR(BDP($B426&amp;" Action","CP036"),""))</f>
        <v/>
      </c>
      <c r="D426" s="209">
        <f>Database!S426</f>
        <v/>
      </c>
      <c r="E426" s="208">
        <f>IF($B426="","",IFERROR(BDP($B426&amp;" Action","CP037"),""))</f>
        <v/>
      </c>
      <c r="F426" s="209">
        <f>Database!T426</f>
        <v/>
      </c>
      <c r="G426" s="208">
        <f>IF($B426="","",IFERROR(BDP($B426&amp;" Action","GREENSHOE_FACILITY"),""))</f>
        <v/>
      </c>
      <c r="H426" s="208">
        <f>IF($B426="","",IFERROR(BDP($B426&amp;" Action","OFFERING_GREENSHOE_SHARES_EX"),""))</f>
        <v/>
      </c>
      <c r="I426" s="32">
        <f>Database!AE426</f>
        <v/>
      </c>
      <c r="J426" s="39">
        <f>IFERROR(BDP(TEXT(VALUE(Database!$A426),"0")&amp;" HK Equity","PE_RATIO"),"")</f>
        <v/>
      </c>
      <c r="K426" s="24">
        <f>IFERROR(BDP(TEXT(VALUE(Database!$A426),"0")&amp;" HK Equity","A/H_SHARE_CONVERSION"),"")</f>
        <v/>
      </c>
      <c r="L426" s="32">
        <f>IF(Database!BN426="","(none found)",Database!BN426)</f>
        <v/>
      </c>
      <c r="M426" s="34">
        <f>BDH(TEXT(VALUE(Database!$A426),"0")&amp;" HK Equity","CUR_MKT_CAP",Database!$H426,Database!$H426)</f>
        <v/>
      </c>
      <c r="N426" s="166">
        <f>Database!Q426</f>
        <v/>
      </c>
      <c r="O426" s="39">
        <f>BDH(TEXT(VALUE(Database!$A426),"0")&amp;" HK Equity","PE_RATIO",Database!$H426,Database!$H426)</f>
        <v/>
      </c>
      <c r="P426" s="199">
        <f>IF(Database!BH426="","(n/m or not derivable)",Database!BH426)</f>
        <v/>
      </c>
      <c r="Q426" s="39">
        <f>IF(Database!BN426="","",BDH(LEFT(Database!BN426,FIND(".",Database!BN426)-1)&amp;" CH Equity","PE_RATIO",Database!$H426,Database!$H426))</f>
        <v/>
      </c>
      <c r="R426" s="39">
        <f>IF(Database!BN426="","",BDH("HSAHP Index","PX_LAST",Database!$H426,Database!$H426))</f>
        <v/>
      </c>
      <c r="S426" s="39">
        <f>IFERROR(BDP(TEXT(VALUE(Database!$A426),"0")&amp;" HK Equity","PX_TO_SALES_RATIO"),"")</f>
        <v/>
      </c>
      <c r="T426" s="34">
        <f>IF(Database!BN426="","",IFERROR(BDP(LEFT(Database!BN426,FIND(".",Database!BN426)-1)&amp;" CH Equity","CUR_MKT_CAP")*BDP("CNYHKD Curncy","PX_LAST"),"Awaiting quote"))</f>
        <v/>
      </c>
    </row>
    <row r="427" ht="23" customHeight="1">
      <c r="A427" s="32">
        <f>Database!A427&amp;"  "&amp;Database!B427</f>
        <v/>
      </c>
      <c r="B427" s="24">
        <f>IFERROR(INDEX(BDS(TEXT(VALUE(Database!$A427),"0")&amp;" HK Equity","EQUITY_OFFERINGS","array=t","endcol=1"),MATCH("IPO",BDS(TEXT(VALUE(Database!$A427),"0")&amp;" HK Equity","EQUITY_OFFERINGS","array=t","startcol=2","endcol=2"),0)),"")</f>
        <v/>
      </c>
      <c r="C427" s="208">
        <f>IF($B427="","",IFERROR(BDP($B427&amp;" Action","CP036"),""))</f>
        <v/>
      </c>
      <c r="D427" s="209">
        <f>Database!S427</f>
        <v/>
      </c>
      <c r="E427" s="208">
        <f>IF($B427="","",IFERROR(BDP($B427&amp;" Action","CP037"),""))</f>
        <v/>
      </c>
      <c r="F427" s="209">
        <f>Database!T427</f>
        <v/>
      </c>
      <c r="G427" s="208">
        <f>IF($B427="","",IFERROR(BDP($B427&amp;" Action","GREENSHOE_FACILITY"),""))</f>
        <v/>
      </c>
      <c r="H427" s="208">
        <f>IF($B427="","",IFERROR(BDP($B427&amp;" Action","OFFERING_GREENSHOE_SHARES_EX"),""))</f>
        <v/>
      </c>
      <c r="I427" s="32">
        <f>Database!AE427</f>
        <v/>
      </c>
      <c r="J427" s="39">
        <f>IFERROR(BDP(TEXT(VALUE(Database!$A427),"0")&amp;" HK Equity","PE_RATIO"),"")</f>
        <v/>
      </c>
      <c r="K427" s="24">
        <f>IFERROR(BDP(TEXT(VALUE(Database!$A427),"0")&amp;" HK Equity","A/H_SHARE_CONVERSION"),"")</f>
        <v/>
      </c>
      <c r="L427" s="32">
        <f>IF(Database!BN427="","(none found)",Database!BN427)</f>
        <v/>
      </c>
      <c r="M427" s="34">
        <f>BDH(TEXT(VALUE(Database!$A427),"0")&amp;" HK Equity","CUR_MKT_CAP",Database!$H427,Database!$H427)</f>
        <v/>
      </c>
      <c r="N427" s="166">
        <f>Database!Q427</f>
        <v/>
      </c>
      <c r="O427" s="39">
        <f>BDH(TEXT(VALUE(Database!$A427),"0")&amp;" HK Equity","PE_RATIO",Database!$H427,Database!$H427)</f>
        <v/>
      </c>
      <c r="P427" s="199">
        <f>IF(Database!BH427="","(n/m or not derivable)",Database!BH427)</f>
        <v/>
      </c>
      <c r="Q427" s="39">
        <f>IF(Database!BN427="","",BDH(LEFT(Database!BN427,FIND(".",Database!BN427)-1)&amp;" CH Equity","PE_RATIO",Database!$H427,Database!$H427))</f>
        <v/>
      </c>
      <c r="R427" s="39">
        <f>IF(Database!BN427="","",BDH("HSAHP Index","PX_LAST",Database!$H427,Database!$H427))</f>
        <v/>
      </c>
      <c r="S427" s="39">
        <f>IFERROR(BDP(TEXT(VALUE(Database!$A427),"0")&amp;" HK Equity","PX_TO_SALES_RATIO"),"")</f>
        <v/>
      </c>
      <c r="T427" s="34">
        <f>IF(Database!BN427="","",IFERROR(BDP(LEFT(Database!BN427,FIND(".",Database!BN427)-1)&amp;" CH Equity","CUR_MKT_CAP")*BDP("CNYHKD Curncy","PX_LAST"),"Awaiting quote"))</f>
        <v/>
      </c>
    </row>
    <row r="428" ht="23" customHeight="1">
      <c r="A428" s="32">
        <f>Database!A428&amp;"  "&amp;Database!B428</f>
        <v/>
      </c>
      <c r="B428" s="24">
        <f>IFERROR(INDEX(BDS(TEXT(VALUE(Database!$A428),"0")&amp;" HK Equity","EQUITY_OFFERINGS","array=t","endcol=1"),MATCH("IPO",BDS(TEXT(VALUE(Database!$A428),"0")&amp;" HK Equity","EQUITY_OFFERINGS","array=t","startcol=2","endcol=2"),0)),"")</f>
        <v/>
      </c>
      <c r="C428" s="208">
        <f>IF($B428="","",IFERROR(BDP($B428&amp;" Action","CP036"),""))</f>
        <v/>
      </c>
      <c r="D428" s="209">
        <f>Database!S428</f>
        <v/>
      </c>
      <c r="E428" s="208">
        <f>IF($B428="","",IFERROR(BDP($B428&amp;" Action","CP037"),""))</f>
        <v/>
      </c>
      <c r="F428" s="209">
        <f>Database!T428</f>
        <v/>
      </c>
      <c r="G428" s="208">
        <f>IF($B428="","",IFERROR(BDP($B428&amp;" Action","GREENSHOE_FACILITY"),""))</f>
        <v/>
      </c>
      <c r="H428" s="208">
        <f>IF($B428="","",IFERROR(BDP($B428&amp;" Action","OFFERING_GREENSHOE_SHARES_EX"),""))</f>
        <v/>
      </c>
      <c r="I428" s="32">
        <f>Database!AE428</f>
        <v/>
      </c>
      <c r="J428" s="39">
        <f>IFERROR(BDP(TEXT(VALUE(Database!$A428),"0")&amp;" HK Equity","PE_RATIO"),"")</f>
        <v/>
      </c>
      <c r="K428" s="24">
        <f>IFERROR(BDP(TEXT(VALUE(Database!$A428),"0")&amp;" HK Equity","A/H_SHARE_CONVERSION"),"")</f>
        <v/>
      </c>
      <c r="L428" s="32">
        <f>IF(Database!BN428="","(none found)",Database!BN428)</f>
        <v/>
      </c>
      <c r="M428" s="34">
        <f>BDH(TEXT(VALUE(Database!$A428),"0")&amp;" HK Equity","CUR_MKT_CAP",Database!$H428,Database!$H428)</f>
        <v/>
      </c>
      <c r="N428" s="166">
        <f>Database!Q428</f>
        <v/>
      </c>
      <c r="O428" s="39">
        <f>BDH(TEXT(VALUE(Database!$A428),"0")&amp;" HK Equity","PE_RATIO",Database!$H428,Database!$H428)</f>
        <v/>
      </c>
      <c r="P428" s="199">
        <f>IF(Database!BH428="","(n/m or not derivable)",Database!BH428)</f>
        <v/>
      </c>
      <c r="Q428" s="39">
        <f>IF(Database!BN428="","",BDH(LEFT(Database!BN428,FIND(".",Database!BN428)-1)&amp;" CH Equity","PE_RATIO",Database!$H428,Database!$H428))</f>
        <v/>
      </c>
      <c r="R428" s="39">
        <f>IF(Database!BN428="","",BDH("HSAHP Index","PX_LAST",Database!$H428,Database!$H428))</f>
        <v/>
      </c>
      <c r="S428" s="39">
        <f>IFERROR(BDP(TEXT(VALUE(Database!$A428),"0")&amp;" HK Equity","PX_TO_SALES_RATIO"),"")</f>
        <v/>
      </c>
      <c r="T428" s="34">
        <f>IF(Database!BN428="","",IFERROR(BDP(LEFT(Database!BN428,FIND(".",Database!BN428)-1)&amp;" CH Equity","CUR_MKT_CAP")*BDP("CNYHKD Curncy","PX_LAST"),"Awaiting quote"))</f>
        <v/>
      </c>
    </row>
    <row r="429" ht="23" customHeight="1">
      <c r="A429" s="32">
        <f>Database!A429&amp;"  "&amp;Database!B429</f>
        <v/>
      </c>
      <c r="B429" s="24">
        <f>IFERROR(INDEX(BDS(TEXT(VALUE(Database!$A429),"0")&amp;" HK Equity","EQUITY_OFFERINGS","array=t","endcol=1"),MATCH("IPO",BDS(TEXT(VALUE(Database!$A429),"0")&amp;" HK Equity","EQUITY_OFFERINGS","array=t","startcol=2","endcol=2"),0)),"")</f>
        <v/>
      </c>
      <c r="C429" s="208">
        <f>IF($B429="","",IFERROR(BDP($B429&amp;" Action","CP036"),""))</f>
        <v/>
      </c>
      <c r="D429" s="209">
        <f>Database!S429</f>
        <v/>
      </c>
      <c r="E429" s="208">
        <f>IF($B429="","",IFERROR(BDP($B429&amp;" Action","CP037"),""))</f>
        <v/>
      </c>
      <c r="F429" s="209">
        <f>Database!T429</f>
        <v/>
      </c>
      <c r="G429" s="208">
        <f>IF($B429="","",IFERROR(BDP($B429&amp;" Action","GREENSHOE_FACILITY"),""))</f>
        <v/>
      </c>
      <c r="H429" s="208">
        <f>IF($B429="","",IFERROR(BDP($B429&amp;" Action","OFFERING_GREENSHOE_SHARES_EX"),""))</f>
        <v/>
      </c>
      <c r="I429" s="32">
        <f>Database!AE429</f>
        <v/>
      </c>
      <c r="J429" s="39">
        <f>IFERROR(BDP(TEXT(VALUE(Database!$A429),"0")&amp;" HK Equity","PE_RATIO"),"")</f>
        <v/>
      </c>
      <c r="K429" s="24">
        <f>IFERROR(BDP(TEXT(VALUE(Database!$A429),"0")&amp;" HK Equity","A/H_SHARE_CONVERSION"),"")</f>
        <v/>
      </c>
      <c r="L429" s="32">
        <f>IF(Database!BN429="","(none found)",Database!BN429)</f>
        <v/>
      </c>
      <c r="M429" s="34">
        <f>BDH(TEXT(VALUE(Database!$A429),"0")&amp;" HK Equity","CUR_MKT_CAP",Database!$H429,Database!$H429)</f>
        <v/>
      </c>
      <c r="N429" s="166">
        <f>Database!Q429</f>
        <v/>
      </c>
      <c r="O429" s="39">
        <f>BDH(TEXT(VALUE(Database!$A429),"0")&amp;" HK Equity","PE_RATIO",Database!$H429,Database!$H429)</f>
        <v/>
      </c>
      <c r="P429" s="199">
        <f>IF(Database!BH429="","(n/m or not derivable)",Database!BH429)</f>
        <v/>
      </c>
      <c r="Q429" s="39">
        <f>IF(Database!BN429="","",BDH(LEFT(Database!BN429,FIND(".",Database!BN429)-1)&amp;" CH Equity","PE_RATIO",Database!$H429,Database!$H429))</f>
        <v/>
      </c>
      <c r="R429" s="39">
        <f>IF(Database!BN429="","",BDH("HSAHP Index","PX_LAST",Database!$H429,Database!$H429))</f>
        <v/>
      </c>
      <c r="S429" s="39">
        <f>IFERROR(BDP(TEXT(VALUE(Database!$A429),"0")&amp;" HK Equity","PX_TO_SALES_RATIO"),"")</f>
        <v/>
      </c>
      <c r="T429" s="34">
        <f>IF(Database!BN429="","",IFERROR(BDP(LEFT(Database!BN429,FIND(".",Database!BN429)-1)&amp;" CH Equity","CUR_MKT_CAP")*BDP("CNYHKD Curncy","PX_LAST"),"Awaiting quote"))</f>
        <v/>
      </c>
    </row>
    <row r="430" ht="23" customHeight="1">
      <c r="A430" s="32">
        <f>Database!A430&amp;"  "&amp;Database!B430</f>
        <v/>
      </c>
      <c r="B430" s="24">
        <f>IFERROR(INDEX(BDS(TEXT(VALUE(Database!$A430),"0")&amp;" HK Equity","EQUITY_OFFERINGS","array=t","endcol=1"),MATCH("IPO",BDS(TEXT(VALUE(Database!$A430),"0")&amp;" HK Equity","EQUITY_OFFERINGS","array=t","startcol=2","endcol=2"),0)),"")</f>
        <v/>
      </c>
      <c r="C430" s="208">
        <f>IF($B430="","",IFERROR(BDP($B430&amp;" Action","CP036"),""))</f>
        <v/>
      </c>
      <c r="D430" s="209">
        <f>Database!S430</f>
        <v/>
      </c>
      <c r="E430" s="208">
        <f>IF($B430="","",IFERROR(BDP($B430&amp;" Action","CP037"),""))</f>
        <v/>
      </c>
      <c r="F430" s="209">
        <f>Database!T430</f>
        <v/>
      </c>
      <c r="G430" s="208">
        <f>IF($B430="","",IFERROR(BDP($B430&amp;" Action","GREENSHOE_FACILITY"),""))</f>
        <v/>
      </c>
      <c r="H430" s="208">
        <f>IF($B430="","",IFERROR(BDP($B430&amp;" Action","OFFERING_GREENSHOE_SHARES_EX"),""))</f>
        <v/>
      </c>
      <c r="I430" s="32">
        <f>Database!AE430</f>
        <v/>
      </c>
      <c r="J430" s="39">
        <f>IFERROR(BDP(TEXT(VALUE(Database!$A430),"0")&amp;" HK Equity","PE_RATIO"),"")</f>
        <v/>
      </c>
      <c r="K430" s="24">
        <f>IFERROR(BDP(TEXT(VALUE(Database!$A430),"0")&amp;" HK Equity","A/H_SHARE_CONVERSION"),"")</f>
        <v/>
      </c>
      <c r="L430" s="32">
        <f>IF(Database!BN430="","(none found)",Database!BN430)</f>
        <v/>
      </c>
      <c r="M430" s="34">
        <f>BDH(TEXT(VALUE(Database!$A430),"0")&amp;" HK Equity","CUR_MKT_CAP",Database!$H430,Database!$H430)</f>
        <v/>
      </c>
      <c r="N430" s="166">
        <f>Database!Q430</f>
        <v/>
      </c>
      <c r="O430" s="39">
        <f>BDH(TEXT(VALUE(Database!$A430),"0")&amp;" HK Equity","PE_RATIO",Database!$H430,Database!$H430)</f>
        <v/>
      </c>
      <c r="P430" s="199">
        <f>IF(Database!BH430="","(n/m or not derivable)",Database!BH430)</f>
        <v/>
      </c>
      <c r="Q430" s="39">
        <f>IF(Database!BN430="","",BDH(LEFT(Database!BN430,FIND(".",Database!BN430)-1)&amp;" CH Equity","PE_RATIO",Database!$H430,Database!$H430))</f>
        <v/>
      </c>
      <c r="R430" s="39">
        <f>IF(Database!BN430="","",BDH("HSAHP Index","PX_LAST",Database!$H430,Database!$H430))</f>
        <v/>
      </c>
      <c r="S430" s="39">
        <f>IFERROR(BDP(TEXT(VALUE(Database!$A430),"0")&amp;" HK Equity","PX_TO_SALES_RATIO"),"")</f>
        <v/>
      </c>
      <c r="T430" s="34">
        <f>IF(Database!BN430="","",IFERROR(BDP(LEFT(Database!BN430,FIND(".",Database!BN430)-1)&amp;" CH Equity","CUR_MKT_CAP")*BDP("CNYHKD Curncy","PX_LAST"),"Awaiting quote"))</f>
        <v/>
      </c>
    </row>
    <row r="431" ht="23" customHeight="1">
      <c r="A431" s="32">
        <f>Database!A431&amp;"  "&amp;Database!B431</f>
        <v/>
      </c>
      <c r="B431" s="24">
        <f>IFERROR(INDEX(BDS(TEXT(VALUE(Database!$A431),"0")&amp;" HK Equity","EQUITY_OFFERINGS","array=t","endcol=1"),MATCH("IPO",BDS(TEXT(VALUE(Database!$A431),"0")&amp;" HK Equity","EQUITY_OFFERINGS","array=t","startcol=2","endcol=2"),0)),"")</f>
        <v/>
      </c>
      <c r="C431" s="208">
        <f>IF($B431="","",IFERROR(BDP($B431&amp;" Action","CP036"),""))</f>
        <v/>
      </c>
      <c r="D431" s="209">
        <f>Database!S431</f>
        <v/>
      </c>
      <c r="E431" s="208">
        <f>IF($B431="","",IFERROR(BDP($B431&amp;" Action","CP037"),""))</f>
        <v/>
      </c>
      <c r="F431" s="209">
        <f>Database!T431</f>
        <v/>
      </c>
      <c r="G431" s="208">
        <f>IF($B431="","",IFERROR(BDP($B431&amp;" Action","GREENSHOE_FACILITY"),""))</f>
        <v/>
      </c>
      <c r="H431" s="208">
        <f>IF($B431="","",IFERROR(BDP($B431&amp;" Action","OFFERING_GREENSHOE_SHARES_EX"),""))</f>
        <v/>
      </c>
      <c r="I431" s="32">
        <f>Database!AE431</f>
        <v/>
      </c>
      <c r="J431" s="39">
        <f>IFERROR(BDP(TEXT(VALUE(Database!$A431),"0")&amp;" HK Equity","PE_RATIO"),"")</f>
        <v/>
      </c>
      <c r="K431" s="24">
        <f>IFERROR(BDP(TEXT(VALUE(Database!$A431),"0")&amp;" HK Equity","A/H_SHARE_CONVERSION"),"")</f>
        <v/>
      </c>
      <c r="L431" s="32">
        <f>IF(Database!BN431="","(none found)",Database!BN431)</f>
        <v/>
      </c>
      <c r="M431" s="34">
        <f>BDH(TEXT(VALUE(Database!$A431),"0")&amp;" HK Equity","CUR_MKT_CAP",Database!$H431,Database!$H431)</f>
        <v/>
      </c>
      <c r="N431" s="166">
        <f>Database!Q431</f>
        <v/>
      </c>
      <c r="O431" s="39">
        <f>BDH(TEXT(VALUE(Database!$A431),"0")&amp;" HK Equity","PE_RATIO",Database!$H431,Database!$H431)</f>
        <v/>
      </c>
      <c r="P431" s="199">
        <f>IF(Database!BH431="","(n/m or not derivable)",Database!BH431)</f>
        <v/>
      </c>
      <c r="Q431" s="39">
        <f>IF(Database!BN431="","",BDH(LEFT(Database!BN431,FIND(".",Database!BN431)-1)&amp;" CH Equity","PE_RATIO",Database!$H431,Database!$H431))</f>
        <v/>
      </c>
      <c r="R431" s="39">
        <f>IF(Database!BN431="","",BDH("HSAHP Index","PX_LAST",Database!$H431,Database!$H431))</f>
        <v/>
      </c>
      <c r="S431" s="39">
        <f>IFERROR(BDP(TEXT(VALUE(Database!$A431),"0")&amp;" HK Equity","PX_TO_SALES_RATIO"),"")</f>
        <v/>
      </c>
      <c r="T431" s="34">
        <f>IF(Database!BN431="","",IFERROR(BDP(LEFT(Database!BN431,FIND(".",Database!BN431)-1)&amp;" CH Equity","CUR_MKT_CAP")*BDP("CNYHKD Curncy","PX_LAST"),"Awaiting quote"))</f>
        <v/>
      </c>
    </row>
    <row r="432" ht="23" customHeight="1">
      <c r="A432" s="32">
        <f>Database!A432&amp;"  "&amp;Database!B432</f>
        <v/>
      </c>
      <c r="B432" s="24">
        <f>IFERROR(INDEX(BDS(TEXT(VALUE(Database!$A432),"0")&amp;" HK Equity","EQUITY_OFFERINGS","array=t","endcol=1"),MATCH("IPO",BDS(TEXT(VALUE(Database!$A432),"0")&amp;" HK Equity","EQUITY_OFFERINGS","array=t","startcol=2","endcol=2"),0)),"")</f>
        <v/>
      </c>
      <c r="C432" s="208">
        <f>IF($B432="","",IFERROR(BDP($B432&amp;" Action","CP036"),""))</f>
        <v/>
      </c>
      <c r="D432" s="209">
        <f>Database!S432</f>
        <v/>
      </c>
      <c r="E432" s="208">
        <f>IF($B432="","",IFERROR(BDP($B432&amp;" Action","CP037"),""))</f>
        <v/>
      </c>
      <c r="F432" s="209">
        <f>Database!T432</f>
        <v/>
      </c>
      <c r="G432" s="208">
        <f>IF($B432="","",IFERROR(BDP($B432&amp;" Action","GREENSHOE_FACILITY"),""))</f>
        <v/>
      </c>
      <c r="H432" s="208">
        <f>IF($B432="","",IFERROR(BDP($B432&amp;" Action","OFFERING_GREENSHOE_SHARES_EX"),""))</f>
        <v/>
      </c>
      <c r="I432" s="32">
        <f>Database!AE432</f>
        <v/>
      </c>
      <c r="J432" s="39">
        <f>IFERROR(BDP(TEXT(VALUE(Database!$A432),"0")&amp;" HK Equity","PE_RATIO"),"")</f>
        <v/>
      </c>
      <c r="K432" s="24">
        <f>IFERROR(BDP(TEXT(VALUE(Database!$A432),"0")&amp;" HK Equity","A/H_SHARE_CONVERSION"),"")</f>
        <v/>
      </c>
      <c r="L432" s="32">
        <f>IF(Database!BN432="","(none found)",Database!BN432)</f>
        <v/>
      </c>
      <c r="M432" s="34">
        <f>BDH(TEXT(VALUE(Database!$A432),"0")&amp;" HK Equity","CUR_MKT_CAP",Database!$H432,Database!$H432)</f>
        <v/>
      </c>
      <c r="N432" s="166">
        <f>Database!Q432</f>
        <v/>
      </c>
      <c r="O432" s="39">
        <f>BDH(TEXT(VALUE(Database!$A432),"0")&amp;" HK Equity","PE_RATIO",Database!$H432,Database!$H432)</f>
        <v/>
      </c>
      <c r="P432" s="199">
        <f>IF(Database!BH432="","(n/m or not derivable)",Database!BH432)</f>
        <v/>
      </c>
      <c r="Q432" s="39">
        <f>IF(Database!BN432="","",BDH(LEFT(Database!BN432,FIND(".",Database!BN432)-1)&amp;" CH Equity","PE_RATIO",Database!$H432,Database!$H432))</f>
        <v/>
      </c>
      <c r="R432" s="39">
        <f>IF(Database!BN432="","",BDH("HSAHP Index","PX_LAST",Database!$H432,Database!$H432))</f>
        <v/>
      </c>
      <c r="S432" s="39">
        <f>IFERROR(BDP(TEXT(VALUE(Database!$A432),"0")&amp;" HK Equity","PX_TO_SALES_RATIO"),"")</f>
        <v/>
      </c>
      <c r="T432" s="34">
        <f>IF(Database!BN432="","",IFERROR(BDP(LEFT(Database!BN432,FIND(".",Database!BN432)-1)&amp;" CH Equity","CUR_MKT_CAP")*BDP("CNYHKD Curncy","PX_LAST"),"Awaiting quote"))</f>
        <v/>
      </c>
    </row>
    <row r="433" ht="23" customHeight="1">
      <c r="A433" s="32">
        <f>Database!A433&amp;"  "&amp;Database!B433</f>
        <v/>
      </c>
      <c r="B433" s="24">
        <f>IFERROR(INDEX(BDS(TEXT(VALUE(Database!$A433),"0")&amp;" HK Equity","EQUITY_OFFERINGS","array=t","endcol=1"),MATCH("IPO",BDS(TEXT(VALUE(Database!$A433),"0")&amp;" HK Equity","EQUITY_OFFERINGS","array=t","startcol=2","endcol=2"),0)),"")</f>
        <v/>
      </c>
      <c r="C433" s="208">
        <f>IF($B433="","",IFERROR(BDP($B433&amp;" Action","CP036"),""))</f>
        <v/>
      </c>
      <c r="D433" s="209">
        <f>Database!S433</f>
        <v/>
      </c>
      <c r="E433" s="208">
        <f>IF($B433="","",IFERROR(BDP($B433&amp;" Action","CP037"),""))</f>
        <v/>
      </c>
      <c r="F433" s="209">
        <f>Database!T433</f>
        <v/>
      </c>
      <c r="G433" s="208">
        <f>IF($B433="","",IFERROR(BDP($B433&amp;" Action","GREENSHOE_FACILITY"),""))</f>
        <v/>
      </c>
      <c r="H433" s="208">
        <f>IF($B433="","",IFERROR(BDP($B433&amp;" Action","OFFERING_GREENSHOE_SHARES_EX"),""))</f>
        <v/>
      </c>
      <c r="I433" s="32">
        <f>Database!AE433</f>
        <v/>
      </c>
      <c r="J433" s="39">
        <f>IFERROR(BDP(TEXT(VALUE(Database!$A433),"0")&amp;" HK Equity","PE_RATIO"),"")</f>
        <v/>
      </c>
      <c r="K433" s="24">
        <f>IFERROR(BDP(TEXT(VALUE(Database!$A433),"0")&amp;" HK Equity","A/H_SHARE_CONVERSION"),"")</f>
        <v/>
      </c>
      <c r="L433" s="32">
        <f>IF(Database!BN433="","(none found)",Database!BN433)</f>
        <v/>
      </c>
      <c r="M433" s="34">
        <f>BDH(TEXT(VALUE(Database!$A433),"0")&amp;" HK Equity","CUR_MKT_CAP",Database!$H433,Database!$H433)</f>
        <v/>
      </c>
      <c r="N433" s="166">
        <f>Database!Q433</f>
        <v/>
      </c>
      <c r="O433" s="39">
        <f>BDH(TEXT(VALUE(Database!$A433),"0")&amp;" HK Equity","PE_RATIO",Database!$H433,Database!$H433)</f>
        <v/>
      </c>
      <c r="P433" s="199">
        <f>IF(Database!BH433="","(n/m or not derivable)",Database!BH433)</f>
        <v/>
      </c>
      <c r="Q433" s="39">
        <f>IF(Database!BN433="","",BDH(LEFT(Database!BN433,FIND(".",Database!BN433)-1)&amp;" CH Equity","PE_RATIO",Database!$H433,Database!$H433))</f>
        <v/>
      </c>
      <c r="R433" s="39">
        <f>IF(Database!BN433="","",BDH("HSAHP Index","PX_LAST",Database!$H433,Database!$H433))</f>
        <v/>
      </c>
      <c r="S433" s="39">
        <f>IFERROR(BDP(TEXT(VALUE(Database!$A433),"0")&amp;" HK Equity","PX_TO_SALES_RATIO"),"")</f>
        <v/>
      </c>
      <c r="T433" s="34">
        <f>IF(Database!BN433="","",IFERROR(BDP(LEFT(Database!BN433,FIND(".",Database!BN433)-1)&amp;" CH Equity","CUR_MKT_CAP")*BDP("CNYHKD Curncy","PX_LAST"),"Awaiting quote"))</f>
        <v/>
      </c>
    </row>
    <row r="434" ht="23" customHeight="1">
      <c r="A434" s="32">
        <f>Database!A434&amp;"  "&amp;Database!B434</f>
        <v/>
      </c>
      <c r="B434" s="24">
        <f>IFERROR(INDEX(BDS(TEXT(VALUE(Database!$A434),"0")&amp;" HK Equity","EQUITY_OFFERINGS","array=t","endcol=1"),MATCH("IPO",BDS(TEXT(VALUE(Database!$A434),"0")&amp;" HK Equity","EQUITY_OFFERINGS","array=t","startcol=2","endcol=2"),0)),"")</f>
        <v/>
      </c>
      <c r="C434" s="208">
        <f>IF($B434="","",IFERROR(BDP($B434&amp;" Action","CP036"),""))</f>
        <v/>
      </c>
      <c r="D434" s="209">
        <f>Database!S434</f>
        <v/>
      </c>
      <c r="E434" s="208">
        <f>IF($B434="","",IFERROR(BDP($B434&amp;" Action","CP037"),""))</f>
        <v/>
      </c>
      <c r="F434" s="209">
        <f>Database!T434</f>
        <v/>
      </c>
      <c r="G434" s="208">
        <f>IF($B434="","",IFERROR(BDP($B434&amp;" Action","GREENSHOE_FACILITY"),""))</f>
        <v/>
      </c>
      <c r="H434" s="208">
        <f>IF($B434="","",IFERROR(BDP($B434&amp;" Action","OFFERING_GREENSHOE_SHARES_EX"),""))</f>
        <v/>
      </c>
      <c r="I434" s="32">
        <f>Database!AE434</f>
        <v/>
      </c>
      <c r="J434" s="39">
        <f>IFERROR(BDP(TEXT(VALUE(Database!$A434),"0")&amp;" HK Equity","PE_RATIO"),"")</f>
        <v/>
      </c>
      <c r="K434" s="24">
        <f>IFERROR(BDP(TEXT(VALUE(Database!$A434),"0")&amp;" HK Equity","A/H_SHARE_CONVERSION"),"")</f>
        <v/>
      </c>
      <c r="L434" s="32">
        <f>IF(Database!BN434="","(none found)",Database!BN434)</f>
        <v/>
      </c>
      <c r="M434" s="34">
        <f>BDH(TEXT(VALUE(Database!$A434),"0")&amp;" HK Equity","CUR_MKT_CAP",Database!$H434,Database!$H434)</f>
        <v/>
      </c>
      <c r="N434" s="166">
        <f>Database!Q434</f>
        <v/>
      </c>
      <c r="O434" s="39">
        <f>BDH(TEXT(VALUE(Database!$A434),"0")&amp;" HK Equity","PE_RATIO",Database!$H434,Database!$H434)</f>
        <v/>
      </c>
      <c r="P434" s="199">
        <f>IF(Database!BH434="","(n/m or not derivable)",Database!BH434)</f>
        <v/>
      </c>
      <c r="Q434" s="39">
        <f>IF(Database!BN434="","",BDH(LEFT(Database!BN434,FIND(".",Database!BN434)-1)&amp;" CH Equity","PE_RATIO",Database!$H434,Database!$H434))</f>
        <v/>
      </c>
      <c r="R434" s="39">
        <f>IF(Database!BN434="","",BDH("HSAHP Index","PX_LAST",Database!$H434,Database!$H434))</f>
        <v/>
      </c>
      <c r="S434" s="39">
        <f>IFERROR(BDP(TEXT(VALUE(Database!$A434),"0")&amp;" HK Equity","PX_TO_SALES_RATIO"),"")</f>
        <v/>
      </c>
      <c r="T434" s="34">
        <f>IF(Database!BN434="","",IFERROR(BDP(LEFT(Database!BN434,FIND(".",Database!BN434)-1)&amp;" CH Equity","CUR_MKT_CAP")*BDP("CNYHKD Curncy","PX_LAST"),"Awaiting quote"))</f>
        <v/>
      </c>
    </row>
    <row r="435" ht="23" customHeight="1">
      <c r="A435" s="32">
        <f>Database!A435&amp;"  "&amp;Database!B435</f>
        <v/>
      </c>
      <c r="B435" s="24">
        <f>IFERROR(INDEX(BDS(TEXT(VALUE(Database!$A435),"0")&amp;" HK Equity","EQUITY_OFFERINGS","array=t","endcol=1"),MATCH("IPO",BDS(TEXT(VALUE(Database!$A435),"0")&amp;" HK Equity","EQUITY_OFFERINGS","array=t","startcol=2","endcol=2"),0)),"")</f>
        <v/>
      </c>
      <c r="C435" s="208">
        <f>IF($B435="","",IFERROR(BDP($B435&amp;" Action","CP036"),""))</f>
        <v/>
      </c>
      <c r="D435" s="209">
        <f>Database!S435</f>
        <v/>
      </c>
      <c r="E435" s="208">
        <f>IF($B435="","",IFERROR(BDP($B435&amp;" Action","CP037"),""))</f>
        <v/>
      </c>
      <c r="F435" s="209">
        <f>Database!T435</f>
        <v/>
      </c>
      <c r="G435" s="208">
        <f>IF($B435="","",IFERROR(BDP($B435&amp;" Action","GREENSHOE_FACILITY"),""))</f>
        <v/>
      </c>
      <c r="H435" s="208">
        <f>IF($B435="","",IFERROR(BDP($B435&amp;" Action","OFFERING_GREENSHOE_SHARES_EX"),""))</f>
        <v/>
      </c>
      <c r="I435" s="32">
        <f>Database!AE435</f>
        <v/>
      </c>
      <c r="J435" s="39">
        <f>IFERROR(BDP(TEXT(VALUE(Database!$A435),"0")&amp;" HK Equity","PE_RATIO"),"")</f>
        <v/>
      </c>
      <c r="K435" s="24">
        <f>IFERROR(BDP(TEXT(VALUE(Database!$A435),"0")&amp;" HK Equity","A/H_SHARE_CONVERSION"),"")</f>
        <v/>
      </c>
      <c r="L435" s="32">
        <f>IF(Database!BN435="","(none found)",Database!BN435)</f>
        <v/>
      </c>
      <c r="M435" s="34">
        <f>BDH(TEXT(VALUE(Database!$A435),"0")&amp;" HK Equity","CUR_MKT_CAP",Database!$H435,Database!$H435)</f>
        <v/>
      </c>
      <c r="N435" s="166">
        <f>Database!Q435</f>
        <v/>
      </c>
      <c r="O435" s="39">
        <f>BDH(TEXT(VALUE(Database!$A435),"0")&amp;" HK Equity","PE_RATIO",Database!$H435,Database!$H435)</f>
        <v/>
      </c>
      <c r="P435" s="199">
        <f>IF(Database!BH435="","(n/m or not derivable)",Database!BH435)</f>
        <v/>
      </c>
      <c r="Q435" s="39">
        <f>IF(Database!BN435="","",BDH(LEFT(Database!BN435,FIND(".",Database!BN435)-1)&amp;" CH Equity","PE_RATIO",Database!$H435,Database!$H435))</f>
        <v/>
      </c>
      <c r="R435" s="39">
        <f>IF(Database!BN435="","",BDH("HSAHP Index","PX_LAST",Database!$H435,Database!$H435))</f>
        <v/>
      </c>
      <c r="S435" s="39">
        <f>IFERROR(BDP(TEXT(VALUE(Database!$A435),"0")&amp;" HK Equity","PX_TO_SALES_RATIO"),"")</f>
        <v/>
      </c>
      <c r="T435" s="34">
        <f>IF(Database!BN435="","",IFERROR(BDP(LEFT(Database!BN435,FIND(".",Database!BN435)-1)&amp;" CH Equity","CUR_MKT_CAP")*BDP("CNYHKD Curncy","PX_LAST"),"Awaiting quote"))</f>
        <v/>
      </c>
    </row>
    <row r="436" ht="23" customHeight="1">
      <c r="A436" s="32">
        <f>Database!A436&amp;"  "&amp;Database!B436</f>
        <v/>
      </c>
      <c r="B436" s="24">
        <f>IFERROR(INDEX(BDS(TEXT(VALUE(Database!$A436),"0")&amp;" HK Equity","EQUITY_OFFERINGS","array=t","endcol=1"),MATCH("IPO",BDS(TEXT(VALUE(Database!$A436),"0")&amp;" HK Equity","EQUITY_OFFERINGS","array=t","startcol=2","endcol=2"),0)),"")</f>
        <v/>
      </c>
      <c r="C436" s="208">
        <f>IF($B436="","",IFERROR(BDP($B436&amp;" Action","CP036"),""))</f>
        <v/>
      </c>
      <c r="D436" s="209">
        <f>Database!S436</f>
        <v/>
      </c>
      <c r="E436" s="208">
        <f>IF($B436="","",IFERROR(BDP($B436&amp;" Action","CP037"),""))</f>
        <v/>
      </c>
      <c r="F436" s="209">
        <f>Database!T436</f>
        <v/>
      </c>
      <c r="G436" s="208">
        <f>IF($B436="","",IFERROR(BDP($B436&amp;" Action","GREENSHOE_FACILITY"),""))</f>
        <v/>
      </c>
      <c r="H436" s="208">
        <f>IF($B436="","",IFERROR(BDP($B436&amp;" Action","OFFERING_GREENSHOE_SHARES_EX"),""))</f>
        <v/>
      </c>
      <c r="I436" s="32">
        <f>Database!AE436</f>
        <v/>
      </c>
      <c r="J436" s="39">
        <f>IFERROR(BDP(TEXT(VALUE(Database!$A436),"0")&amp;" HK Equity","PE_RATIO"),"")</f>
        <v/>
      </c>
      <c r="K436" s="24">
        <f>IFERROR(BDP(TEXT(VALUE(Database!$A436),"0")&amp;" HK Equity","A/H_SHARE_CONVERSION"),"")</f>
        <v/>
      </c>
      <c r="L436" s="32">
        <f>IF(Database!BN436="","(none found)",Database!BN436)</f>
        <v/>
      </c>
      <c r="M436" s="34">
        <f>BDH(TEXT(VALUE(Database!$A436),"0")&amp;" HK Equity","CUR_MKT_CAP",Database!$H436,Database!$H436)</f>
        <v/>
      </c>
      <c r="N436" s="166">
        <f>Database!Q436</f>
        <v/>
      </c>
      <c r="O436" s="39">
        <f>BDH(TEXT(VALUE(Database!$A436),"0")&amp;" HK Equity","PE_RATIO",Database!$H436,Database!$H436)</f>
        <v/>
      </c>
      <c r="P436" s="199">
        <f>IF(Database!BH436="","(n/m or not derivable)",Database!BH436)</f>
        <v/>
      </c>
      <c r="Q436" s="39">
        <f>IF(Database!BN436="","",BDH(LEFT(Database!BN436,FIND(".",Database!BN436)-1)&amp;" CH Equity","PE_RATIO",Database!$H436,Database!$H436))</f>
        <v/>
      </c>
      <c r="R436" s="39">
        <f>IF(Database!BN436="","",BDH("HSAHP Index","PX_LAST",Database!$H436,Database!$H436))</f>
        <v/>
      </c>
      <c r="S436" s="39">
        <f>IFERROR(BDP(TEXT(VALUE(Database!$A436),"0")&amp;" HK Equity","PX_TO_SALES_RATIO"),"")</f>
        <v/>
      </c>
      <c r="T436" s="34">
        <f>IF(Database!BN436="","",IFERROR(BDP(LEFT(Database!BN436,FIND(".",Database!BN436)-1)&amp;" CH Equity","CUR_MKT_CAP")*BDP("CNYHKD Curncy","PX_LAST"),"Awaiting quote"))</f>
        <v/>
      </c>
    </row>
    <row r="437" ht="23" customHeight="1">
      <c r="A437" s="32">
        <f>Database!A437&amp;"  "&amp;Database!B437</f>
        <v/>
      </c>
      <c r="B437" s="24">
        <f>IFERROR(INDEX(BDS(TEXT(VALUE(Database!$A437),"0")&amp;" HK Equity","EQUITY_OFFERINGS","array=t","endcol=1"),MATCH("IPO",BDS(TEXT(VALUE(Database!$A437),"0")&amp;" HK Equity","EQUITY_OFFERINGS","array=t","startcol=2","endcol=2"),0)),"")</f>
        <v/>
      </c>
      <c r="C437" s="208">
        <f>IF($B437="","",IFERROR(BDP($B437&amp;" Action","CP036"),""))</f>
        <v/>
      </c>
      <c r="D437" s="209">
        <f>Database!S437</f>
        <v/>
      </c>
      <c r="E437" s="208">
        <f>IF($B437="","",IFERROR(BDP($B437&amp;" Action","CP037"),""))</f>
        <v/>
      </c>
      <c r="F437" s="209">
        <f>Database!T437</f>
        <v/>
      </c>
      <c r="G437" s="208">
        <f>IF($B437="","",IFERROR(BDP($B437&amp;" Action","GREENSHOE_FACILITY"),""))</f>
        <v/>
      </c>
      <c r="H437" s="208">
        <f>IF($B437="","",IFERROR(BDP($B437&amp;" Action","OFFERING_GREENSHOE_SHARES_EX"),""))</f>
        <v/>
      </c>
      <c r="I437" s="32">
        <f>Database!AE437</f>
        <v/>
      </c>
      <c r="J437" s="39">
        <f>IFERROR(BDP(TEXT(VALUE(Database!$A437),"0")&amp;" HK Equity","PE_RATIO"),"")</f>
        <v/>
      </c>
      <c r="K437" s="24">
        <f>IFERROR(BDP(TEXT(VALUE(Database!$A437),"0")&amp;" HK Equity","A/H_SHARE_CONVERSION"),"")</f>
        <v/>
      </c>
      <c r="L437" s="32">
        <f>IF(Database!BN437="","(none found)",Database!BN437)</f>
        <v/>
      </c>
      <c r="M437" s="34">
        <f>BDH(TEXT(VALUE(Database!$A437),"0")&amp;" HK Equity","CUR_MKT_CAP",Database!$H437,Database!$H437)</f>
        <v/>
      </c>
      <c r="N437" s="166">
        <f>Database!Q437</f>
        <v/>
      </c>
      <c r="O437" s="39">
        <f>BDH(TEXT(VALUE(Database!$A437),"0")&amp;" HK Equity","PE_RATIO",Database!$H437,Database!$H437)</f>
        <v/>
      </c>
      <c r="P437" s="199">
        <f>IF(Database!BH437="","(n/m or not derivable)",Database!BH437)</f>
        <v/>
      </c>
      <c r="Q437" s="39">
        <f>IF(Database!BN437="","",BDH(LEFT(Database!BN437,FIND(".",Database!BN437)-1)&amp;" CH Equity","PE_RATIO",Database!$H437,Database!$H437))</f>
        <v/>
      </c>
      <c r="R437" s="39">
        <f>IF(Database!BN437="","",BDH("HSAHP Index","PX_LAST",Database!$H437,Database!$H437))</f>
        <v/>
      </c>
      <c r="S437" s="39">
        <f>IFERROR(BDP(TEXT(VALUE(Database!$A437),"0")&amp;" HK Equity","PX_TO_SALES_RATIO"),"")</f>
        <v/>
      </c>
      <c r="T437" s="34">
        <f>IF(Database!BN437="","",IFERROR(BDP(LEFT(Database!BN437,FIND(".",Database!BN437)-1)&amp;" CH Equity","CUR_MKT_CAP")*BDP("CNYHKD Curncy","PX_LAST"),"Awaiting quote"))</f>
        <v/>
      </c>
    </row>
    <row r="438" ht="23" customHeight="1">
      <c r="A438" s="32">
        <f>Database!A438&amp;"  "&amp;Database!B438</f>
        <v/>
      </c>
      <c r="B438" s="24">
        <f>IFERROR(INDEX(BDS(TEXT(VALUE(Database!$A438),"0")&amp;" HK Equity","EQUITY_OFFERINGS","array=t","endcol=1"),MATCH("IPO",BDS(TEXT(VALUE(Database!$A438),"0")&amp;" HK Equity","EQUITY_OFFERINGS","array=t","startcol=2","endcol=2"),0)),"")</f>
        <v/>
      </c>
      <c r="C438" s="208">
        <f>IF($B438="","",IFERROR(BDP($B438&amp;" Action","CP036"),""))</f>
        <v/>
      </c>
      <c r="D438" s="209">
        <f>Database!S438</f>
        <v/>
      </c>
      <c r="E438" s="208">
        <f>IF($B438="","",IFERROR(BDP($B438&amp;" Action","CP037"),""))</f>
        <v/>
      </c>
      <c r="F438" s="209">
        <f>Database!T438</f>
        <v/>
      </c>
      <c r="G438" s="208">
        <f>IF($B438="","",IFERROR(BDP($B438&amp;" Action","GREENSHOE_FACILITY"),""))</f>
        <v/>
      </c>
      <c r="H438" s="208">
        <f>IF($B438="","",IFERROR(BDP($B438&amp;" Action","OFFERING_GREENSHOE_SHARES_EX"),""))</f>
        <v/>
      </c>
      <c r="I438" s="32">
        <f>Database!AE438</f>
        <v/>
      </c>
      <c r="J438" s="39">
        <f>IFERROR(BDP(TEXT(VALUE(Database!$A438),"0")&amp;" HK Equity","PE_RATIO"),"")</f>
        <v/>
      </c>
      <c r="K438" s="24">
        <f>IFERROR(BDP(TEXT(VALUE(Database!$A438),"0")&amp;" HK Equity","A/H_SHARE_CONVERSION"),"")</f>
        <v/>
      </c>
      <c r="L438" s="32">
        <f>IF(Database!BN438="","(none found)",Database!BN438)</f>
        <v/>
      </c>
      <c r="M438" s="34">
        <f>BDH(TEXT(VALUE(Database!$A438),"0")&amp;" HK Equity","CUR_MKT_CAP",Database!$H438,Database!$H438)</f>
        <v/>
      </c>
      <c r="N438" s="166">
        <f>Database!Q438</f>
        <v/>
      </c>
      <c r="O438" s="39">
        <f>BDH(TEXT(VALUE(Database!$A438),"0")&amp;" HK Equity","PE_RATIO",Database!$H438,Database!$H438)</f>
        <v/>
      </c>
      <c r="P438" s="199">
        <f>IF(Database!BH438="","(n/m or not derivable)",Database!BH438)</f>
        <v/>
      </c>
      <c r="Q438" s="39">
        <f>IF(Database!BN438="","",BDH(LEFT(Database!BN438,FIND(".",Database!BN438)-1)&amp;" CH Equity","PE_RATIO",Database!$H438,Database!$H438))</f>
        <v/>
      </c>
      <c r="R438" s="39">
        <f>IF(Database!BN438="","",BDH("HSAHP Index","PX_LAST",Database!$H438,Database!$H438))</f>
        <v/>
      </c>
      <c r="S438" s="39">
        <f>IFERROR(BDP(TEXT(VALUE(Database!$A438),"0")&amp;" HK Equity","PX_TO_SALES_RATIO"),"")</f>
        <v/>
      </c>
      <c r="T438" s="34">
        <f>IF(Database!BN438="","",IFERROR(BDP(LEFT(Database!BN438,FIND(".",Database!BN438)-1)&amp;" CH Equity","CUR_MKT_CAP")*BDP("CNYHKD Curncy","PX_LAST"),"Awaiting quote"))</f>
        <v/>
      </c>
    </row>
    <row r="439" ht="23" customHeight="1">
      <c r="A439" s="32">
        <f>Database!A439&amp;"  "&amp;Database!B439</f>
        <v/>
      </c>
      <c r="B439" s="24">
        <f>IFERROR(INDEX(BDS(TEXT(VALUE(Database!$A439),"0")&amp;" HK Equity","EQUITY_OFFERINGS","array=t","endcol=1"),MATCH("IPO",BDS(TEXT(VALUE(Database!$A439),"0")&amp;" HK Equity","EQUITY_OFFERINGS","array=t","startcol=2","endcol=2"),0)),"")</f>
        <v/>
      </c>
      <c r="C439" s="208">
        <f>IF($B439="","",IFERROR(BDP($B439&amp;" Action","CP036"),""))</f>
        <v/>
      </c>
      <c r="D439" s="209">
        <f>Database!S439</f>
        <v/>
      </c>
      <c r="E439" s="208">
        <f>IF($B439="","",IFERROR(BDP($B439&amp;" Action","CP037"),""))</f>
        <v/>
      </c>
      <c r="F439" s="209">
        <f>Database!T439</f>
        <v/>
      </c>
      <c r="G439" s="208">
        <f>IF($B439="","",IFERROR(BDP($B439&amp;" Action","GREENSHOE_FACILITY"),""))</f>
        <v/>
      </c>
      <c r="H439" s="208">
        <f>IF($B439="","",IFERROR(BDP($B439&amp;" Action","OFFERING_GREENSHOE_SHARES_EX"),""))</f>
        <v/>
      </c>
      <c r="I439" s="32">
        <f>Database!AE439</f>
        <v/>
      </c>
      <c r="J439" s="39">
        <f>IFERROR(BDP(TEXT(VALUE(Database!$A439),"0")&amp;" HK Equity","PE_RATIO"),"")</f>
        <v/>
      </c>
      <c r="K439" s="24">
        <f>IFERROR(BDP(TEXT(VALUE(Database!$A439),"0")&amp;" HK Equity","A/H_SHARE_CONVERSION"),"")</f>
        <v/>
      </c>
      <c r="L439" s="32">
        <f>IF(Database!BN439="","(none found)",Database!BN439)</f>
        <v/>
      </c>
      <c r="M439" s="34">
        <f>BDH(TEXT(VALUE(Database!$A439),"0")&amp;" HK Equity","CUR_MKT_CAP",Database!$H439,Database!$H439)</f>
        <v/>
      </c>
      <c r="N439" s="166">
        <f>Database!Q439</f>
        <v/>
      </c>
      <c r="O439" s="39">
        <f>BDH(TEXT(VALUE(Database!$A439),"0")&amp;" HK Equity","PE_RATIO",Database!$H439,Database!$H439)</f>
        <v/>
      </c>
      <c r="P439" s="199">
        <f>IF(Database!BH439="","(n/m or not derivable)",Database!BH439)</f>
        <v/>
      </c>
      <c r="Q439" s="39">
        <f>IF(Database!BN439="","",BDH(LEFT(Database!BN439,FIND(".",Database!BN439)-1)&amp;" CH Equity","PE_RATIO",Database!$H439,Database!$H439))</f>
        <v/>
      </c>
      <c r="R439" s="39">
        <f>IF(Database!BN439="","",BDH("HSAHP Index","PX_LAST",Database!$H439,Database!$H439))</f>
        <v/>
      </c>
      <c r="S439" s="39">
        <f>IFERROR(BDP(TEXT(VALUE(Database!$A439),"0")&amp;" HK Equity","PX_TO_SALES_RATIO"),"")</f>
        <v/>
      </c>
      <c r="T439" s="34">
        <f>IF(Database!BN439="","",IFERROR(BDP(LEFT(Database!BN439,FIND(".",Database!BN439)-1)&amp;" CH Equity","CUR_MKT_CAP")*BDP("CNYHKD Curncy","PX_LAST"),"Awaiting quote"))</f>
        <v/>
      </c>
    </row>
    <row r="440" ht="23" customHeight="1">
      <c r="A440" s="32">
        <f>Database!A440&amp;"  "&amp;Database!B440</f>
        <v/>
      </c>
      <c r="B440" s="24">
        <f>IFERROR(INDEX(BDS(TEXT(VALUE(Database!$A440),"0")&amp;" HK Equity","EQUITY_OFFERINGS","array=t","endcol=1"),MATCH("IPO",BDS(TEXT(VALUE(Database!$A440),"0")&amp;" HK Equity","EQUITY_OFFERINGS","array=t","startcol=2","endcol=2"),0)),"")</f>
        <v/>
      </c>
      <c r="C440" s="208">
        <f>IF($B440="","",IFERROR(BDP($B440&amp;" Action","CP036"),""))</f>
        <v/>
      </c>
      <c r="D440" s="209">
        <f>Database!S440</f>
        <v/>
      </c>
      <c r="E440" s="208">
        <f>IF($B440="","",IFERROR(BDP($B440&amp;" Action","CP037"),""))</f>
        <v/>
      </c>
      <c r="F440" s="209">
        <f>Database!T440</f>
        <v/>
      </c>
      <c r="G440" s="208">
        <f>IF($B440="","",IFERROR(BDP($B440&amp;" Action","GREENSHOE_FACILITY"),""))</f>
        <v/>
      </c>
      <c r="H440" s="208">
        <f>IF($B440="","",IFERROR(BDP($B440&amp;" Action","OFFERING_GREENSHOE_SHARES_EX"),""))</f>
        <v/>
      </c>
      <c r="I440" s="32">
        <f>Database!AE440</f>
        <v/>
      </c>
      <c r="J440" s="39">
        <f>IFERROR(BDP(TEXT(VALUE(Database!$A440),"0")&amp;" HK Equity","PE_RATIO"),"")</f>
        <v/>
      </c>
      <c r="K440" s="24">
        <f>IFERROR(BDP(TEXT(VALUE(Database!$A440),"0")&amp;" HK Equity","A/H_SHARE_CONVERSION"),"")</f>
        <v/>
      </c>
      <c r="L440" s="32">
        <f>IF(Database!BN440="","(none found)",Database!BN440)</f>
        <v/>
      </c>
      <c r="M440" s="34">
        <f>BDH(TEXT(VALUE(Database!$A440),"0")&amp;" HK Equity","CUR_MKT_CAP",Database!$H440,Database!$H440)</f>
        <v/>
      </c>
      <c r="N440" s="166">
        <f>Database!Q440</f>
        <v/>
      </c>
      <c r="O440" s="39">
        <f>BDH(TEXT(VALUE(Database!$A440),"0")&amp;" HK Equity","PE_RATIO",Database!$H440,Database!$H440)</f>
        <v/>
      </c>
      <c r="P440" s="199">
        <f>IF(Database!BH440="","(n/m or not derivable)",Database!BH440)</f>
        <v/>
      </c>
      <c r="Q440" s="39">
        <f>IF(Database!BN440="","",BDH(LEFT(Database!BN440,FIND(".",Database!BN440)-1)&amp;" CH Equity","PE_RATIO",Database!$H440,Database!$H440))</f>
        <v/>
      </c>
      <c r="R440" s="39">
        <f>IF(Database!BN440="","",BDH("HSAHP Index","PX_LAST",Database!$H440,Database!$H440))</f>
        <v/>
      </c>
      <c r="S440" s="39">
        <f>IFERROR(BDP(TEXT(VALUE(Database!$A440),"0")&amp;" HK Equity","PX_TO_SALES_RATIO"),"")</f>
        <v/>
      </c>
      <c r="T440" s="34">
        <f>IF(Database!BN440="","",IFERROR(BDP(LEFT(Database!BN440,FIND(".",Database!BN440)-1)&amp;" CH Equity","CUR_MKT_CAP")*BDP("CNYHKD Curncy","PX_LAST"),"Awaiting quote"))</f>
        <v/>
      </c>
    </row>
    <row r="441" ht="23" customHeight="1">
      <c r="A441" s="32">
        <f>Database!A441&amp;"  "&amp;Database!B441</f>
        <v/>
      </c>
      <c r="B441" s="24">
        <f>IFERROR(INDEX(BDS(TEXT(VALUE(Database!$A441),"0")&amp;" HK Equity","EQUITY_OFFERINGS","array=t","endcol=1"),MATCH("IPO",BDS(TEXT(VALUE(Database!$A441),"0")&amp;" HK Equity","EQUITY_OFFERINGS","array=t","startcol=2","endcol=2"),0)),"")</f>
        <v/>
      </c>
      <c r="C441" s="208">
        <f>IF($B441="","",IFERROR(BDP($B441&amp;" Action","CP036"),""))</f>
        <v/>
      </c>
      <c r="D441" s="209">
        <f>Database!S441</f>
        <v/>
      </c>
      <c r="E441" s="208">
        <f>IF($B441="","",IFERROR(BDP($B441&amp;" Action","CP037"),""))</f>
        <v/>
      </c>
      <c r="F441" s="209">
        <f>Database!T441</f>
        <v/>
      </c>
      <c r="G441" s="208">
        <f>IF($B441="","",IFERROR(BDP($B441&amp;" Action","GREENSHOE_FACILITY"),""))</f>
        <v/>
      </c>
      <c r="H441" s="208">
        <f>IF($B441="","",IFERROR(BDP($B441&amp;" Action","OFFERING_GREENSHOE_SHARES_EX"),""))</f>
        <v/>
      </c>
      <c r="I441" s="32">
        <f>Database!AE441</f>
        <v/>
      </c>
      <c r="J441" s="39">
        <f>IFERROR(BDP(TEXT(VALUE(Database!$A441),"0")&amp;" HK Equity","PE_RATIO"),"")</f>
        <v/>
      </c>
      <c r="K441" s="24">
        <f>IFERROR(BDP(TEXT(VALUE(Database!$A441),"0")&amp;" HK Equity","A/H_SHARE_CONVERSION"),"")</f>
        <v/>
      </c>
      <c r="L441" s="32">
        <f>IF(Database!BN441="","(none found)",Database!BN441)</f>
        <v/>
      </c>
      <c r="M441" s="34">
        <f>BDH(TEXT(VALUE(Database!$A441),"0")&amp;" HK Equity","CUR_MKT_CAP",Database!$H441,Database!$H441)</f>
        <v/>
      </c>
      <c r="N441" s="166">
        <f>Database!Q441</f>
        <v/>
      </c>
      <c r="O441" s="39">
        <f>BDH(TEXT(VALUE(Database!$A441),"0")&amp;" HK Equity","PE_RATIO",Database!$H441,Database!$H441)</f>
        <v/>
      </c>
      <c r="P441" s="199">
        <f>IF(Database!BH441="","(n/m or not derivable)",Database!BH441)</f>
        <v/>
      </c>
      <c r="Q441" s="39">
        <f>IF(Database!BN441="","",BDH(LEFT(Database!BN441,FIND(".",Database!BN441)-1)&amp;" CH Equity","PE_RATIO",Database!$H441,Database!$H441))</f>
        <v/>
      </c>
      <c r="R441" s="39">
        <f>IF(Database!BN441="","",BDH("HSAHP Index","PX_LAST",Database!$H441,Database!$H441))</f>
        <v/>
      </c>
      <c r="S441" s="39">
        <f>IFERROR(BDP(TEXT(VALUE(Database!$A441),"0")&amp;" HK Equity","PX_TO_SALES_RATIO"),"")</f>
        <v/>
      </c>
      <c r="T441" s="34">
        <f>IF(Database!BN441="","",IFERROR(BDP(LEFT(Database!BN441,FIND(".",Database!BN441)-1)&amp;" CH Equity","CUR_MKT_CAP")*BDP("CNYHKD Curncy","PX_LAST"),"Awaiting quote"))</f>
        <v/>
      </c>
    </row>
    <row r="442" ht="23" customHeight="1">
      <c r="A442" s="32">
        <f>Database!A442&amp;"  "&amp;Database!B442</f>
        <v/>
      </c>
      <c r="B442" s="24">
        <f>IFERROR(INDEX(BDS(TEXT(VALUE(Database!$A442),"0")&amp;" HK Equity","EQUITY_OFFERINGS","array=t","endcol=1"),MATCH("IPO",BDS(TEXT(VALUE(Database!$A442),"0")&amp;" HK Equity","EQUITY_OFFERINGS","array=t","startcol=2","endcol=2"),0)),"")</f>
        <v/>
      </c>
      <c r="C442" s="208">
        <f>IF($B442="","",IFERROR(BDP($B442&amp;" Action","CP036"),""))</f>
        <v/>
      </c>
      <c r="D442" s="209">
        <f>Database!S442</f>
        <v/>
      </c>
      <c r="E442" s="208">
        <f>IF($B442="","",IFERROR(BDP($B442&amp;" Action","CP037"),""))</f>
        <v/>
      </c>
      <c r="F442" s="209">
        <f>Database!T442</f>
        <v/>
      </c>
      <c r="G442" s="208">
        <f>IF($B442="","",IFERROR(BDP($B442&amp;" Action","GREENSHOE_FACILITY"),""))</f>
        <v/>
      </c>
      <c r="H442" s="208">
        <f>IF($B442="","",IFERROR(BDP($B442&amp;" Action","OFFERING_GREENSHOE_SHARES_EX"),""))</f>
        <v/>
      </c>
      <c r="I442" s="32">
        <f>Database!AE442</f>
        <v/>
      </c>
      <c r="J442" s="39">
        <f>IFERROR(BDP(TEXT(VALUE(Database!$A442),"0")&amp;" HK Equity","PE_RATIO"),"")</f>
        <v/>
      </c>
      <c r="K442" s="24">
        <f>IFERROR(BDP(TEXT(VALUE(Database!$A442),"0")&amp;" HK Equity","A/H_SHARE_CONVERSION"),"")</f>
        <v/>
      </c>
      <c r="L442" s="32">
        <f>IF(Database!BN442="","(none found)",Database!BN442)</f>
        <v/>
      </c>
      <c r="M442" s="34">
        <f>BDH(TEXT(VALUE(Database!$A442),"0")&amp;" HK Equity","CUR_MKT_CAP",Database!$H442,Database!$H442)</f>
        <v/>
      </c>
      <c r="N442" s="166">
        <f>Database!Q442</f>
        <v/>
      </c>
      <c r="O442" s="39">
        <f>BDH(TEXT(VALUE(Database!$A442),"0")&amp;" HK Equity","PE_RATIO",Database!$H442,Database!$H442)</f>
        <v/>
      </c>
      <c r="P442" s="199">
        <f>IF(Database!BH442="","(n/m or not derivable)",Database!BH442)</f>
        <v/>
      </c>
      <c r="Q442" s="39">
        <f>IF(Database!BN442="","",BDH(LEFT(Database!BN442,FIND(".",Database!BN442)-1)&amp;" CH Equity","PE_RATIO",Database!$H442,Database!$H442))</f>
        <v/>
      </c>
      <c r="R442" s="39">
        <f>IF(Database!BN442="","",BDH("HSAHP Index","PX_LAST",Database!$H442,Database!$H442))</f>
        <v/>
      </c>
      <c r="S442" s="39">
        <f>IFERROR(BDP(TEXT(VALUE(Database!$A442),"0")&amp;" HK Equity","PX_TO_SALES_RATIO"),"")</f>
        <v/>
      </c>
      <c r="T442" s="34">
        <f>IF(Database!BN442="","",IFERROR(BDP(LEFT(Database!BN442,FIND(".",Database!BN442)-1)&amp;" CH Equity","CUR_MKT_CAP")*BDP("CNYHKD Curncy","PX_LAST"),"Awaiting quote"))</f>
        <v/>
      </c>
    </row>
    <row r="443" ht="23" customHeight="1">
      <c r="A443" s="32">
        <f>Database!A443&amp;"  "&amp;Database!B443</f>
        <v/>
      </c>
      <c r="B443" s="24">
        <f>IFERROR(INDEX(BDS(TEXT(VALUE(Database!$A443),"0")&amp;" HK Equity","EQUITY_OFFERINGS","array=t","endcol=1"),MATCH("IPO",BDS(TEXT(VALUE(Database!$A443),"0")&amp;" HK Equity","EQUITY_OFFERINGS","array=t","startcol=2","endcol=2"),0)),"")</f>
        <v/>
      </c>
      <c r="C443" s="208">
        <f>IF($B443="","",IFERROR(BDP($B443&amp;" Action","CP036"),""))</f>
        <v/>
      </c>
      <c r="D443" s="209">
        <f>Database!S443</f>
        <v/>
      </c>
      <c r="E443" s="208">
        <f>IF($B443="","",IFERROR(BDP($B443&amp;" Action","CP037"),""))</f>
        <v/>
      </c>
      <c r="F443" s="209">
        <f>Database!T443</f>
        <v/>
      </c>
      <c r="G443" s="208">
        <f>IF($B443="","",IFERROR(BDP($B443&amp;" Action","GREENSHOE_FACILITY"),""))</f>
        <v/>
      </c>
      <c r="H443" s="208">
        <f>IF($B443="","",IFERROR(BDP($B443&amp;" Action","OFFERING_GREENSHOE_SHARES_EX"),""))</f>
        <v/>
      </c>
      <c r="I443" s="32">
        <f>Database!AE443</f>
        <v/>
      </c>
      <c r="J443" s="39">
        <f>IFERROR(BDP(TEXT(VALUE(Database!$A443),"0")&amp;" HK Equity","PE_RATIO"),"")</f>
        <v/>
      </c>
      <c r="K443" s="24">
        <f>IFERROR(BDP(TEXT(VALUE(Database!$A443),"0")&amp;" HK Equity","A/H_SHARE_CONVERSION"),"")</f>
        <v/>
      </c>
      <c r="L443" s="32">
        <f>IF(Database!BN443="","(none found)",Database!BN443)</f>
        <v/>
      </c>
      <c r="M443" s="34">
        <f>BDH(TEXT(VALUE(Database!$A443),"0")&amp;" HK Equity","CUR_MKT_CAP",Database!$H443,Database!$H443)</f>
        <v/>
      </c>
      <c r="N443" s="166">
        <f>Database!Q443</f>
        <v/>
      </c>
      <c r="O443" s="39">
        <f>BDH(TEXT(VALUE(Database!$A443),"0")&amp;" HK Equity","PE_RATIO",Database!$H443,Database!$H443)</f>
        <v/>
      </c>
      <c r="P443" s="199">
        <f>IF(Database!BH443="","(n/m or not derivable)",Database!BH443)</f>
        <v/>
      </c>
      <c r="Q443" s="39">
        <f>IF(Database!BN443="","",BDH(LEFT(Database!BN443,FIND(".",Database!BN443)-1)&amp;" CH Equity","PE_RATIO",Database!$H443,Database!$H443))</f>
        <v/>
      </c>
      <c r="R443" s="39">
        <f>IF(Database!BN443="","",BDH("HSAHP Index","PX_LAST",Database!$H443,Database!$H443))</f>
        <v/>
      </c>
      <c r="S443" s="39">
        <f>IFERROR(BDP(TEXT(VALUE(Database!$A443),"0")&amp;" HK Equity","PX_TO_SALES_RATIO"),"")</f>
        <v/>
      </c>
      <c r="T443" s="34">
        <f>IF(Database!BN443="","",IFERROR(BDP(LEFT(Database!BN443,FIND(".",Database!BN443)-1)&amp;" CH Equity","CUR_MKT_CAP")*BDP("CNYHKD Curncy","PX_LAST"),"Awaiting quote"))</f>
        <v/>
      </c>
    </row>
    <row r="444" ht="23" customHeight="1">
      <c r="A444" s="32">
        <f>Database!A444&amp;"  "&amp;Database!B444</f>
        <v/>
      </c>
      <c r="B444" s="24">
        <f>IFERROR(INDEX(BDS(TEXT(VALUE(Database!$A444),"0")&amp;" HK Equity","EQUITY_OFFERINGS","array=t","endcol=1"),MATCH("IPO",BDS(TEXT(VALUE(Database!$A444),"0")&amp;" HK Equity","EQUITY_OFFERINGS","array=t","startcol=2","endcol=2"),0)),"")</f>
        <v/>
      </c>
      <c r="C444" s="208">
        <f>IF($B444="","",IFERROR(BDP($B444&amp;" Action","CP036"),""))</f>
        <v/>
      </c>
      <c r="D444" s="209">
        <f>Database!S444</f>
        <v/>
      </c>
      <c r="E444" s="208">
        <f>IF($B444="","",IFERROR(BDP($B444&amp;" Action","CP037"),""))</f>
        <v/>
      </c>
      <c r="F444" s="209">
        <f>Database!T444</f>
        <v/>
      </c>
      <c r="G444" s="208">
        <f>IF($B444="","",IFERROR(BDP($B444&amp;" Action","GREENSHOE_FACILITY"),""))</f>
        <v/>
      </c>
      <c r="H444" s="208">
        <f>IF($B444="","",IFERROR(BDP($B444&amp;" Action","OFFERING_GREENSHOE_SHARES_EX"),""))</f>
        <v/>
      </c>
      <c r="I444" s="32">
        <f>Database!AE444</f>
        <v/>
      </c>
      <c r="J444" s="39">
        <f>IFERROR(BDP(TEXT(VALUE(Database!$A444),"0")&amp;" HK Equity","PE_RATIO"),"")</f>
        <v/>
      </c>
      <c r="K444" s="24">
        <f>IFERROR(BDP(TEXT(VALUE(Database!$A444),"0")&amp;" HK Equity","A/H_SHARE_CONVERSION"),"")</f>
        <v/>
      </c>
      <c r="L444" s="32">
        <f>IF(Database!BN444="","(none found)",Database!BN444)</f>
        <v/>
      </c>
      <c r="M444" s="34">
        <f>BDH(TEXT(VALUE(Database!$A444),"0")&amp;" HK Equity","CUR_MKT_CAP",Database!$H444,Database!$H444)</f>
        <v/>
      </c>
      <c r="N444" s="166">
        <f>Database!Q444</f>
        <v/>
      </c>
      <c r="O444" s="39">
        <f>BDH(TEXT(VALUE(Database!$A444),"0")&amp;" HK Equity","PE_RATIO",Database!$H444,Database!$H444)</f>
        <v/>
      </c>
      <c r="P444" s="199">
        <f>IF(Database!BH444="","(n/m or not derivable)",Database!BH444)</f>
        <v/>
      </c>
      <c r="Q444" s="39">
        <f>IF(Database!BN444="","",BDH(LEFT(Database!BN444,FIND(".",Database!BN444)-1)&amp;" CH Equity","PE_RATIO",Database!$H444,Database!$H444))</f>
        <v/>
      </c>
      <c r="R444" s="39">
        <f>IF(Database!BN444="","",BDH("HSAHP Index","PX_LAST",Database!$H444,Database!$H444))</f>
        <v/>
      </c>
      <c r="S444" s="39">
        <f>IFERROR(BDP(TEXT(VALUE(Database!$A444),"0")&amp;" HK Equity","PX_TO_SALES_RATIO"),"")</f>
        <v/>
      </c>
      <c r="T444" s="34">
        <f>IF(Database!BN444="","",IFERROR(BDP(LEFT(Database!BN444,FIND(".",Database!BN444)-1)&amp;" CH Equity","CUR_MKT_CAP")*BDP("CNYHKD Curncy","PX_LAST"),"Awaiting quote"))</f>
        <v/>
      </c>
    </row>
    <row r="445" ht="23" customHeight="1">
      <c r="A445" s="32">
        <f>Database!A445&amp;"  "&amp;Database!B445</f>
        <v/>
      </c>
      <c r="B445" s="24">
        <f>IFERROR(INDEX(BDS(TEXT(VALUE(Database!$A445),"0")&amp;" HK Equity","EQUITY_OFFERINGS","array=t","endcol=1"),MATCH("IPO",BDS(TEXT(VALUE(Database!$A445),"0")&amp;" HK Equity","EQUITY_OFFERINGS","array=t","startcol=2","endcol=2"),0)),"")</f>
        <v/>
      </c>
      <c r="C445" s="208">
        <f>IF($B445="","",IFERROR(BDP($B445&amp;" Action","CP036"),""))</f>
        <v/>
      </c>
      <c r="D445" s="209">
        <f>Database!S445</f>
        <v/>
      </c>
      <c r="E445" s="208">
        <f>IF($B445="","",IFERROR(BDP($B445&amp;" Action","CP037"),""))</f>
        <v/>
      </c>
      <c r="F445" s="209">
        <f>Database!T445</f>
        <v/>
      </c>
      <c r="G445" s="208">
        <f>IF($B445="","",IFERROR(BDP($B445&amp;" Action","GREENSHOE_FACILITY"),""))</f>
        <v/>
      </c>
      <c r="H445" s="208">
        <f>IF($B445="","",IFERROR(BDP($B445&amp;" Action","OFFERING_GREENSHOE_SHARES_EX"),""))</f>
        <v/>
      </c>
      <c r="I445" s="32">
        <f>Database!AE445</f>
        <v/>
      </c>
      <c r="J445" s="39">
        <f>IFERROR(BDP(TEXT(VALUE(Database!$A445),"0")&amp;" HK Equity","PE_RATIO"),"")</f>
        <v/>
      </c>
      <c r="K445" s="24">
        <f>IFERROR(BDP(TEXT(VALUE(Database!$A445),"0")&amp;" HK Equity","A/H_SHARE_CONVERSION"),"")</f>
        <v/>
      </c>
      <c r="L445" s="32">
        <f>IF(Database!BN445="","(none found)",Database!BN445)</f>
        <v/>
      </c>
      <c r="M445" s="34">
        <f>BDH(TEXT(VALUE(Database!$A445),"0")&amp;" HK Equity","CUR_MKT_CAP",Database!$H445,Database!$H445)</f>
        <v/>
      </c>
      <c r="N445" s="166">
        <f>Database!Q445</f>
        <v/>
      </c>
      <c r="O445" s="39">
        <f>BDH(TEXT(VALUE(Database!$A445),"0")&amp;" HK Equity","PE_RATIO",Database!$H445,Database!$H445)</f>
        <v/>
      </c>
      <c r="P445" s="199">
        <f>IF(Database!BH445="","(n/m or not derivable)",Database!BH445)</f>
        <v/>
      </c>
      <c r="Q445" s="39">
        <f>IF(Database!BN445="","",BDH(LEFT(Database!BN445,FIND(".",Database!BN445)-1)&amp;" CH Equity","PE_RATIO",Database!$H445,Database!$H445))</f>
        <v/>
      </c>
      <c r="R445" s="39">
        <f>IF(Database!BN445="","",BDH("HSAHP Index","PX_LAST",Database!$H445,Database!$H445))</f>
        <v/>
      </c>
      <c r="S445" s="39">
        <f>IFERROR(BDP(TEXT(VALUE(Database!$A445),"0")&amp;" HK Equity","PX_TO_SALES_RATIO"),"")</f>
        <v/>
      </c>
      <c r="T445" s="34">
        <f>IF(Database!BN445="","",IFERROR(BDP(LEFT(Database!BN445,FIND(".",Database!BN445)-1)&amp;" CH Equity","CUR_MKT_CAP")*BDP("CNYHKD Curncy","PX_LAST"),"Awaiting quote"))</f>
        <v/>
      </c>
    </row>
    <row r="446" ht="23" customHeight="1">
      <c r="A446" s="32">
        <f>Database!A446&amp;"  "&amp;Database!B446</f>
        <v/>
      </c>
      <c r="B446" s="24">
        <f>IFERROR(INDEX(BDS(TEXT(VALUE(Database!$A446),"0")&amp;" HK Equity","EQUITY_OFFERINGS","array=t","endcol=1"),MATCH("IPO",BDS(TEXT(VALUE(Database!$A446),"0")&amp;" HK Equity","EQUITY_OFFERINGS","array=t","startcol=2","endcol=2"),0)),"")</f>
        <v/>
      </c>
      <c r="C446" s="208">
        <f>IF($B446="","",IFERROR(BDP($B446&amp;" Action","CP036"),""))</f>
        <v/>
      </c>
      <c r="D446" s="209">
        <f>Database!S446</f>
        <v/>
      </c>
      <c r="E446" s="208">
        <f>IF($B446="","",IFERROR(BDP($B446&amp;" Action","CP037"),""))</f>
        <v/>
      </c>
      <c r="F446" s="209">
        <f>Database!T446</f>
        <v/>
      </c>
      <c r="G446" s="208">
        <f>IF($B446="","",IFERROR(BDP($B446&amp;" Action","GREENSHOE_FACILITY"),""))</f>
        <v/>
      </c>
      <c r="H446" s="208">
        <f>IF($B446="","",IFERROR(BDP($B446&amp;" Action","OFFERING_GREENSHOE_SHARES_EX"),""))</f>
        <v/>
      </c>
      <c r="I446" s="32">
        <f>Database!AE446</f>
        <v/>
      </c>
      <c r="J446" s="39">
        <f>IFERROR(BDP(TEXT(VALUE(Database!$A446),"0")&amp;" HK Equity","PE_RATIO"),"")</f>
        <v/>
      </c>
      <c r="K446" s="24">
        <f>IFERROR(BDP(TEXT(VALUE(Database!$A446),"0")&amp;" HK Equity","A/H_SHARE_CONVERSION"),"")</f>
        <v/>
      </c>
      <c r="L446" s="32">
        <f>IF(Database!BN446="","(none found)",Database!BN446)</f>
        <v/>
      </c>
      <c r="M446" s="34">
        <f>BDH(TEXT(VALUE(Database!$A446),"0")&amp;" HK Equity","CUR_MKT_CAP",Database!$H446,Database!$H446)</f>
        <v/>
      </c>
      <c r="N446" s="166">
        <f>Database!Q446</f>
        <v/>
      </c>
      <c r="O446" s="39">
        <f>BDH(TEXT(VALUE(Database!$A446),"0")&amp;" HK Equity","PE_RATIO",Database!$H446,Database!$H446)</f>
        <v/>
      </c>
      <c r="P446" s="199">
        <f>IF(Database!BH446="","(n/m or not derivable)",Database!BH446)</f>
        <v/>
      </c>
      <c r="Q446" s="39">
        <f>IF(Database!BN446="","",BDH(LEFT(Database!BN446,FIND(".",Database!BN446)-1)&amp;" CH Equity","PE_RATIO",Database!$H446,Database!$H446))</f>
        <v/>
      </c>
      <c r="R446" s="39">
        <f>IF(Database!BN446="","",BDH("HSAHP Index","PX_LAST",Database!$H446,Database!$H446))</f>
        <v/>
      </c>
      <c r="S446" s="39">
        <f>IFERROR(BDP(TEXT(VALUE(Database!$A446),"0")&amp;" HK Equity","PX_TO_SALES_RATIO"),"")</f>
        <v/>
      </c>
      <c r="T446" s="34">
        <f>IF(Database!BN446="","",IFERROR(BDP(LEFT(Database!BN446,FIND(".",Database!BN446)-1)&amp;" CH Equity","CUR_MKT_CAP")*BDP("CNYHKD Curncy","PX_LAST"),"Awaiting quote"))</f>
        <v/>
      </c>
    </row>
    <row r="447" ht="23" customHeight="1">
      <c r="A447" s="32">
        <f>Database!A447&amp;"  "&amp;Database!B447</f>
        <v/>
      </c>
      <c r="B447" s="24">
        <f>IFERROR(INDEX(BDS(TEXT(VALUE(Database!$A447),"0")&amp;" HK Equity","EQUITY_OFFERINGS","array=t","endcol=1"),MATCH("IPO",BDS(TEXT(VALUE(Database!$A447),"0")&amp;" HK Equity","EQUITY_OFFERINGS","array=t","startcol=2","endcol=2"),0)),"")</f>
        <v/>
      </c>
      <c r="C447" s="208">
        <f>IF($B447="","",IFERROR(BDP($B447&amp;" Action","CP036"),""))</f>
        <v/>
      </c>
      <c r="D447" s="209">
        <f>Database!S447</f>
        <v/>
      </c>
      <c r="E447" s="208">
        <f>IF($B447="","",IFERROR(BDP($B447&amp;" Action","CP037"),""))</f>
        <v/>
      </c>
      <c r="F447" s="209">
        <f>Database!T447</f>
        <v/>
      </c>
      <c r="G447" s="208">
        <f>IF($B447="","",IFERROR(BDP($B447&amp;" Action","GREENSHOE_FACILITY"),""))</f>
        <v/>
      </c>
      <c r="H447" s="208">
        <f>IF($B447="","",IFERROR(BDP($B447&amp;" Action","OFFERING_GREENSHOE_SHARES_EX"),""))</f>
        <v/>
      </c>
      <c r="I447" s="32">
        <f>Database!AE447</f>
        <v/>
      </c>
      <c r="J447" s="39">
        <f>IFERROR(BDP(TEXT(VALUE(Database!$A447),"0")&amp;" HK Equity","PE_RATIO"),"")</f>
        <v/>
      </c>
      <c r="K447" s="24">
        <f>IFERROR(BDP(TEXT(VALUE(Database!$A447),"0")&amp;" HK Equity","A/H_SHARE_CONVERSION"),"")</f>
        <v/>
      </c>
      <c r="L447" s="32">
        <f>IF(Database!BN447="","(none found)",Database!BN447)</f>
        <v/>
      </c>
      <c r="M447" s="34">
        <f>BDH(TEXT(VALUE(Database!$A447),"0")&amp;" HK Equity","CUR_MKT_CAP",Database!$H447,Database!$H447)</f>
        <v/>
      </c>
      <c r="N447" s="166">
        <f>Database!Q447</f>
        <v/>
      </c>
      <c r="O447" s="39">
        <f>BDH(TEXT(VALUE(Database!$A447),"0")&amp;" HK Equity","PE_RATIO",Database!$H447,Database!$H447)</f>
        <v/>
      </c>
      <c r="P447" s="199">
        <f>IF(Database!BH447="","(n/m or not derivable)",Database!BH447)</f>
        <v/>
      </c>
      <c r="Q447" s="39">
        <f>IF(Database!BN447="","",BDH(LEFT(Database!BN447,FIND(".",Database!BN447)-1)&amp;" CH Equity","PE_RATIO",Database!$H447,Database!$H447))</f>
        <v/>
      </c>
      <c r="R447" s="39">
        <f>IF(Database!BN447="","",BDH("HSAHP Index","PX_LAST",Database!$H447,Database!$H447))</f>
        <v/>
      </c>
      <c r="S447" s="39">
        <f>IFERROR(BDP(TEXT(VALUE(Database!$A447),"0")&amp;" HK Equity","PX_TO_SALES_RATIO"),"")</f>
        <v/>
      </c>
      <c r="T447" s="34">
        <f>IF(Database!BN447="","",IFERROR(BDP(LEFT(Database!BN447,FIND(".",Database!BN447)-1)&amp;" CH Equity","CUR_MKT_CAP")*BDP("CNYHKD Curncy","PX_LAST"),"Awaiting quote"))</f>
        <v/>
      </c>
    </row>
    <row r="448" ht="23" customHeight="1">
      <c r="A448" s="32">
        <f>Database!A448&amp;"  "&amp;Database!B448</f>
        <v/>
      </c>
      <c r="B448" s="24">
        <f>IFERROR(INDEX(BDS(TEXT(VALUE(Database!$A448),"0")&amp;" HK Equity","EQUITY_OFFERINGS","array=t","endcol=1"),MATCH("IPO",BDS(TEXT(VALUE(Database!$A448),"0")&amp;" HK Equity","EQUITY_OFFERINGS","array=t","startcol=2","endcol=2"),0)),"")</f>
        <v/>
      </c>
      <c r="C448" s="208">
        <f>IF($B448="","",IFERROR(BDP($B448&amp;" Action","CP036"),""))</f>
        <v/>
      </c>
      <c r="D448" s="209">
        <f>Database!S448</f>
        <v/>
      </c>
      <c r="E448" s="208">
        <f>IF($B448="","",IFERROR(BDP($B448&amp;" Action","CP037"),""))</f>
        <v/>
      </c>
      <c r="F448" s="209">
        <f>Database!T448</f>
        <v/>
      </c>
      <c r="G448" s="208">
        <f>IF($B448="","",IFERROR(BDP($B448&amp;" Action","GREENSHOE_FACILITY"),""))</f>
        <v/>
      </c>
      <c r="H448" s="208">
        <f>IF($B448="","",IFERROR(BDP($B448&amp;" Action","OFFERING_GREENSHOE_SHARES_EX"),""))</f>
        <v/>
      </c>
      <c r="I448" s="32">
        <f>Database!AE448</f>
        <v/>
      </c>
      <c r="J448" s="39">
        <f>IFERROR(BDP(TEXT(VALUE(Database!$A448),"0")&amp;" HK Equity","PE_RATIO"),"")</f>
        <v/>
      </c>
      <c r="K448" s="24">
        <f>IFERROR(BDP(TEXT(VALUE(Database!$A448),"0")&amp;" HK Equity","A/H_SHARE_CONVERSION"),"")</f>
        <v/>
      </c>
      <c r="L448" s="32">
        <f>IF(Database!BN448="","(none found)",Database!BN448)</f>
        <v/>
      </c>
      <c r="M448" s="34">
        <f>BDH(TEXT(VALUE(Database!$A448),"0")&amp;" HK Equity","CUR_MKT_CAP",Database!$H448,Database!$H448)</f>
        <v/>
      </c>
      <c r="N448" s="166">
        <f>Database!Q448</f>
        <v/>
      </c>
      <c r="O448" s="39">
        <f>BDH(TEXT(VALUE(Database!$A448),"0")&amp;" HK Equity","PE_RATIO",Database!$H448,Database!$H448)</f>
        <v/>
      </c>
      <c r="P448" s="199">
        <f>IF(Database!BH448="","(n/m or not derivable)",Database!BH448)</f>
        <v/>
      </c>
      <c r="Q448" s="39">
        <f>IF(Database!BN448="","",BDH(LEFT(Database!BN448,FIND(".",Database!BN448)-1)&amp;" CH Equity","PE_RATIO",Database!$H448,Database!$H448))</f>
        <v/>
      </c>
      <c r="R448" s="39">
        <f>IF(Database!BN448="","",BDH("HSAHP Index","PX_LAST",Database!$H448,Database!$H448))</f>
        <v/>
      </c>
      <c r="S448" s="39">
        <f>IFERROR(BDP(TEXT(VALUE(Database!$A448),"0")&amp;" HK Equity","PX_TO_SALES_RATIO"),"")</f>
        <v/>
      </c>
      <c r="T448" s="34">
        <f>IF(Database!BN448="","",IFERROR(BDP(LEFT(Database!BN448,FIND(".",Database!BN448)-1)&amp;" CH Equity","CUR_MKT_CAP")*BDP("CNYHKD Curncy","PX_LAST"),"Awaiting quote"))</f>
        <v/>
      </c>
    </row>
    <row r="449" ht="23" customHeight="1">
      <c r="A449" s="32">
        <f>Database!A449&amp;"  "&amp;Database!B449</f>
        <v/>
      </c>
      <c r="B449" s="24">
        <f>IFERROR(INDEX(BDS(TEXT(VALUE(Database!$A449),"0")&amp;" HK Equity","EQUITY_OFFERINGS","array=t","endcol=1"),MATCH("IPO",BDS(TEXT(VALUE(Database!$A449),"0")&amp;" HK Equity","EQUITY_OFFERINGS","array=t","startcol=2","endcol=2"),0)),"")</f>
        <v/>
      </c>
      <c r="C449" s="208">
        <f>IF($B449="","",IFERROR(BDP($B449&amp;" Action","CP036"),""))</f>
        <v/>
      </c>
      <c r="D449" s="209">
        <f>Database!S449</f>
        <v/>
      </c>
      <c r="E449" s="208">
        <f>IF($B449="","",IFERROR(BDP($B449&amp;" Action","CP037"),""))</f>
        <v/>
      </c>
      <c r="F449" s="209">
        <f>Database!T449</f>
        <v/>
      </c>
      <c r="G449" s="208">
        <f>IF($B449="","",IFERROR(BDP($B449&amp;" Action","GREENSHOE_FACILITY"),""))</f>
        <v/>
      </c>
      <c r="H449" s="208">
        <f>IF($B449="","",IFERROR(BDP($B449&amp;" Action","OFFERING_GREENSHOE_SHARES_EX"),""))</f>
        <v/>
      </c>
      <c r="I449" s="32">
        <f>Database!AE449</f>
        <v/>
      </c>
      <c r="J449" s="39">
        <f>IFERROR(BDP(TEXT(VALUE(Database!$A449),"0")&amp;" HK Equity","PE_RATIO"),"")</f>
        <v/>
      </c>
      <c r="K449" s="24">
        <f>IFERROR(BDP(TEXT(VALUE(Database!$A449),"0")&amp;" HK Equity","A/H_SHARE_CONVERSION"),"")</f>
        <v/>
      </c>
      <c r="L449" s="32">
        <f>IF(Database!BN449="","(none found)",Database!BN449)</f>
        <v/>
      </c>
      <c r="M449" s="34">
        <f>BDH(TEXT(VALUE(Database!$A449),"0")&amp;" HK Equity","CUR_MKT_CAP",Database!$H449,Database!$H449)</f>
        <v/>
      </c>
      <c r="N449" s="166">
        <f>Database!Q449</f>
        <v/>
      </c>
      <c r="O449" s="39">
        <f>BDH(TEXT(VALUE(Database!$A449),"0")&amp;" HK Equity","PE_RATIO",Database!$H449,Database!$H449)</f>
        <v/>
      </c>
      <c r="P449" s="199">
        <f>IF(Database!BH449="","(n/m or not derivable)",Database!BH449)</f>
        <v/>
      </c>
      <c r="Q449" s="39">
        <f>IF(Database!BN449="","",BDH(LEFT(Database!BN449,FIND(".",Database!BN449)-1)&amp;" CH Equity","PE_RATIO",Database!$H449,Database!$H449))</f>
        <v/>
      </c>
      <c r="R449" s="39">
        <f>IF(Database!BN449="","",BDH("HSAHP Index","PX_LAST",Database!$H449,Database!$H449))</f>
        <v/>
      </c>
      <c r="S449" s="39">
        <f>IFERROR(BDP(TEXT(VALUE(Database!$A449),"0")&amp;" HK Equity","PX_TO_SALES_RATIO"),"")</f>
        <v/>
      </c>
      <c r="T449" s="34">
        <f>IF(Database!BN449="","",IFERROR(BDP(LEFT(Database!BN449,FIND(".",Database!BN449)-1)&amp;" CH Equity","CUR_MKT_CAP")*BDP("CNYHKD Curncy","PX_LAST"),"Awaiting quote"))</f>
        <v/>
      </c>
    </row>
    <row r="450" ht="23" customHeight="1">
      <c r="A450" s="32">
        <f>Database!A450&amp;"  "&amp;Database!B450</f>
        <v/>
      </c>
      <c r="B450" s="24">
        <f>IFERROR(INDEX(BDS(TEXT(VALUE(Database!$A450),"0")&amp;" HK Equity","EQUITY_OFFERINGS","array=t","endcol=1"),MATCH("IPO",BDS(TEXT(VALUE(Database!$A450),"0")&amp;" HK Equity","EQUITY_OFFERINGS","array=t","startcol=2","endcol=2"),0)),"")</f>
        <v/>
      </c>
      <c r="C450" s="208">
        <f>IF($B450="","",IFERROR(BDP($B450&amp;" Action","CP036"),""))</f>
        <v/>
      </c>
      <c r="D450" s="209">
        <f>Database!S450</f>
        <v/>
      </c>
      <c r="E450" s="208">
        <f>IF($B450="","",IFERROR(BDP($B450&amp;" Action","CP037"),""))</f>
        <v/>
      </c>
      <c r="F450" s="209">
        <f>Database!T450</f>
        <v/>
      </c>
      <c r="G450" s="208">
        <f>IF($B450="","",IFERROR(BDP($B450&amp;" Action","GREENSHOE_FACILITY"),""))</f>
        <v/>
      </c>
      <c r="H450" s="208">
        <f>IF($B450="","",IFERROR(BDP($B450&amp;" Action","OFFERING_GREENSHOE_SHARES_EX"),""))</f>
        <v/>
      </c>
      <c r="I450" s="32">
        <f>Database!AE450</f>
        <v/>
      </c>
      <c r="J450" s="39">
        <f>IFERROR(BDP(TEXT(VALUE(Database!$A450),"0")&amp;" HK Equity","PE_RATIO"),"")</f>
        <v/>
      </c>
      <c r="K450" s="24">
        <f>IFERROR(BDP(TEXT(VALUE(Database!$A450),"0")&amp;" HK Equity","A/H_SHARE_CONVERSION"),"")</f>
        <v/>
      </c>
      <c r="L450" s="32">
        <f>IF(Database!BN450="","(none found)",Database!BN450)</f>
        <v/>
      </c>
      <c r="M450" s="34">
        <f>BDH(TEXT(VALUE(Database!$A450),"0")&amp;" HK Equity","CUR_MKT_CAP",Database!$H450,Database!$H450)</f>
        <v/>
      </c>
      <c r="N450" s="166">
        <f>Database!Q450</f>
        <v/>
      </c>
      <c r="O450" s="39">
        <f>BDH(TEXT(VALUE(Database!$A450),"0")&amp;" HK Equity","PE_RATIO",Database!$H450,Database!$H450)</f>
        <v/>
      </c>
      <c r="P450" s="199">
        <f>IF(Database!BH450="","(n/m or not derivable)",Database!BH450)</f>
        <v/>
      </c>
      <c r="Q450" s="39">
        <f>IF(Database!BN450="","",BDH(LEFT(Database!BN450,FIND(".",Database!BN450)-1)&amp;" CH Equity","PE_RATIO",Database!$H450,Database!$H450))</f>
        <v/>
      </c>
      <c r="R450" s="39">
        <f>IF(Database!BN450="","",BDH("HSAHP Index","PX_LAST",Database!$H450,Database!$H450))</f>
        <v/>
      </c>
      <c r="S450" s="39">
        <f>IFERROR(BDP(TEXT(VALUE(Database!$A450),"0")&amp;" HK Equity","PX_TO_SALES_RATIO"),"")</f>
        <v/>
      </c>
      <c r="T450" s="34">
        <f>IF(Database!BN450="","",IFERROR(BDP(LEFT(Database!BN450,FIND(".",Database!BN450)-1)&amp;" CH Equity","CUR_MKT_CAP")*BDP("CNYHKD Curncy","PX_LAST"),"Awaiting quote"))</f>
        <v/>
      </c>
    </row>
    <row r="451" ht="23" customHeight="1">
      <c r="A451" s="32">
        <f>Database!A451&amp;"  "&amp;Database!B451</f>
        <v/>
      </c>
      <c r="B451" s="24">
        <f>IFERROR(INDEX(BDS(TEXT(VALUE(Database!$A451),"0")&amp;" HK Equity","EQUITY_OFFERINGS","array=t","endcol=1"),MATCH("IPO",BDS(TEXT(VALUE(Database!$A451),"0")&amp;" HK Equity","EQUITY_OFFERINGS","array=t","startcol=2","endcol=2"),0)),"")</f>
        <v/>
      </c>
      <c r="C451" s="208">
        <f>IF($B451="","",IFERROR(BDP($B451&amp;" Action","CP036"),""))</f>
        <v/>
      </c>
      <c r="D451" s="209">
        <f>Database!S451</f>
        <v/>
      </c>
      <c r="E451" s="208">
        <f>IF($B451="","",IFERROR(BDP($B451&amp;" Action","CP037"),""))</f>
        <v/>
      </c>
      <c r="F451" s="209">
        <f>Database!T451</f>
        <v/>
      </c>
      <c r="G451" s="208">
        <f>IF($B451="","",IFERROR(BDP($B451&amp;" Action","GREENSHOE_FACILITY"),""))</f>
        <v/>
      </c>
      <c r="H451" s="208">
        <f>IF($B451="","",IFERROR(BDP($B451&amp;" Action","OFFERING_GREENSHOE_SHARES_EX"),""))</f>
        <v/>
      </c>
      <c r="I451" s="32">
        <f>Database!AE451</f>
        <v/>
      </c>
      <c r="J451" s="39">
        <f>IFERROR(BDP(TEXT(VALUE(Database!$A451),"0")&amp;" HK Equity","PE_RATIO"),"")</f>
        <v/>
      </c>
      <c r="K451" s="24">
        <f>IFERROR(BDP(TEXT(VALUE(Database!$A451),"0")&amp;" HK Equity","A/H_SHARE_CONVERSION"),"")</f>
        <v/>
      </c>
      <c r="L451" s="32">
        <f>IF(Database!BN451="","(none found)",Database!BN451)</f>
        <v/>
      </c>
      <c r="M451" s="34">
        <f>BDH(TEXT(VALUE(Database!$A451),"0")&amp;" HK Equity","CUR_MKT_CAP",Database!$H451,Database!$H451)</f>
        <v/>
      </c>
      <c r="N451" s="166">
        <f>Database!Q451</f>
        <v/>
      </c>
      <c r="O451" s="39">
        <f>BDH(TEXT(VALUE(Database!$A451),"0")&amp;" HK Equity","PE_RATIO",Database!$H451,Database!$H451)</f>
        <v/>
      </c>
      <c r="P451" s="199">
        <f>IF(Database!BH451="","(n/m or not derivable)",Database!BH451)</f>
        <v/>
      </c>
      <c r="Q451" s="39">
        <f>IF(Database!BN451="","",BDH(LEFT(Database!BN451,FIND(".",Database!BN451)-1)&amp;" CH Equity","PE_RATIO",Database!$H451,Database!$H451))</f>
        <v/>
      </c>
      <c r="R451" s="39">
        <f>IF(Database!BN451="","",BDH("HSAHP Index","PX_LAST",Database!$H451,Database!$H451))</f>
        <v/>
      </c>
      <c r="S451" s="39">
        <f>IFERROR(BDP(TEXT(VALUE(Database!$A451),"0")&amp;" HK Equity","PX_TO_SALES_RATIO"),"")</f>
        <v/>
      </c>
      <c r="T451" s="34">
        <f>IF(Database!BN451="","",IFERROR(BDP(LEFT(Database!BN451,FIND(".",Database!BN451)-1)&amp;" CH Equity","CUR_MKT_CAP")*BDP("CNYHKD Curncy","PX_LAST"),"Awaiting quote"))</f>
        <v/>
      </c>
    </row>
    <row r="452" ht="23" customHeight="1">
      <c r="A452" s="32">
        <f>Database!A452&amp;"  "&amp;Database!B452</f>
        <v/>
      </c>
      <c r="B452" s="24">
        <f>IFERROR(INDEX(BDS(TEXT(VALUE(Database!$A452),"0")&amp;" HK Equity","EQUITY_OFFERINGS","array=t","endcol=1"),MATCH("IPO",BDS(TEXT(VALUE(Database!$A452),"0")&amp;" HK Equity","EQUITY_OFFERINGS","array=t","startcol=2","endcol=2"),0)),"")</f>
        <v/>
      </c>
      <c r="C452" s="208">
        <f>IF($B452="","",IFERROR(BDP($B452&amp;" Action","CP036"),""))</f>
        <v/>
      </c>
      <c r="D452" s="209">
        <f>Database!S452</f>
        <v/>
      </c>
      <c r="E452" s="208">
        <f>IF($B452="","",IFERROR(BDP($B452&amp;" Action","CP037"),""))</f>
        <v/>
      </c>
      <c r="F452" s="209">
        <f>Database!T452</f>
        <v/>
      </c>
      <c r="G452" s="208">
        <f>IF($B452="","",IFERROR(BDP($B452&amp;" Action","GREENSHOE_FACILITY"),""))</f>
        <v/>
      </c>
      <c r="H452" s="208">
        <f>IF($B452="","",IFERROR(BDP($B452&amp;" Action","OFFERING_GREENSHOE_SHARES_EX"),""))</f>
        <v/>
      </c>
      <c r="I452" s="32">
        <f>Database!AE452</f>
        <v/>
      </c>
      <c r="J452" s="39">
        <f>IFERROR(BDP(TEXT(VALUE(Database!$A452),"0")&amp;" HK Equity","PE_RATIO"),"")</f>
        <v/>
      </c>
      <c r="K452" s="24">
        <f>IFERROR(BDP(TEXT(VALUE(Database!$A452),"0")&amp;" HK Equity","A/H_SHARE_CONVERSION"),"")</f>
        <v/>
      </c>
      <c r="L452" s="32">
        <f>IF(Database!BN452="","(none found)",Database!BN452)</f>
        <v/>
      </c>
      <c r="M452" s="34">
        <f>BDH(TEXT(VALUE(Database!$A452),"0")&amp;" HK Equity","CUR_MKT_CAP",Database!$H452,Database!$H452)</f>
        <v/>
      </c>
      <c r="N452" s="166">
        <f>Database!Q452</f>
        <v/>
      </c>
      <c r="O452" s="39">
        <f>BDH(TEXT(VALUE(Database!$A452),"0")&amp;" HK Equity","PE_RATIO",Database!$H452,Database!$H452)</f>
        <v/>
      </c>
      <c r="P452" s="199">
        <f>IF(Database!BH452="","(n/m or not derivable)",Database!BH452)</f>
        <v/>
      </c>
      <c r="Q452" s="39">
        <f>IF(Database!BN452="","",BDH(LEFT(Database!BN452,FIND(".",Database!BN452)-1)&amp;" CH Equity","PE_RATIO",Database!$H452,Database!$H452))</f>
        <v/>
      </c>
      <c r="R452" s="39">
        <f>IF(Database!BN452="","",BDH("HSAHP Index","PX_LAST",Database!$H452,Database!$H452))</f>
        <v/>
      </c>
      <c r="S452" s="39">
        <f>IFERROR(BDP(TEXT(VALUE(Database!$A452),"0")&amp;" HK Equity","PX_TO_SALES_RATIO"),"")</f>
        <v/>
      </c>
      <c r="T452" s="34">
        <f>IF(Database!BN452="","",IFERROR(BDP(LEFT(Database!BN452,FIND(".",Database!BN452)-1)&amp;" CH Equity","CUR_MKT_CAP")*BDP("CNYHKD Curncy","PX_LAST"),"Awaiting quote"))</f>
        <v/>
      </c>
    </row>
    <row r="453" ht="23" customHeight="1">
      <c r="A453" s="32">
        <f>Database!A453&amp;"  "&amp;Database!B453</f>
        <v/>
      </c>
      <c r="B453" s="24">
        <f>IFERROR(INDEX(BDS(TEXT(VALUE(Database!$A453),"0")&amp;" HK Equity","EQUITY_OFFERINGS","array=t","endcol=1"),MATCH("IPO",BDS(TEXT(VALUE(Database!$A453),"0")&amp;" HK Equity","EQUITY_OFFERINGS","array=t","startcol=2","endcol=2"),0)),"")</f>
        <v/>
      </c>
      <c r="C453" s="208">
        <f>IF($B453="","",IFERROR(BDP($B453&amp;" Action","CP036"),""))</f>
        <v/>
      </c>
      <c r="D453" s="209">
        <f>Database!S453</f>
        <v/>
      </c>
      <c r="E453" s="208">
        <f>IF($B453="","",IFERROR(BDP($B453&amp;" Action","CP037"),""))</f>
        <v/>
      </c>
      <c r="F453" s="209">
        <f>Database!T453</f>
        <v/>
      </c>
      <c r="G453" s="208">
        <f>IF($B453="","",IFERROR(BDP($B453&amp;" Action","GREENSHOE_FACILITY"),""))</f>
        <v/>
      </c>
      <c r="H453" s="208">
        <f>IF($B453="","",IFERROR(BDP($B453&amp;" Action","OFFERING_GREENSHOE_SHARES_EX"),""))</f>
        <v/>
      </c>
      <c r="I453" s="32">
        <f>Database!AE453</f>
        <v/>
      </c>
      <c r="J453" s="39">
        <f>IFERROR(BDP(TEXT(VALUE(Database!$A453),"0")&amp;" HK Equity","PE_RATIO"),"")</f>
        <v/>
      </c>
      <c r="K453" s="24">
        <f>IFERROR(BDP(TEXT(VALUE(Database!$A453),"0")&amp;" HK Equity","A/H_SHARE_CONVERSION"),"")</f>
        <v/>
      </c>
      <c r="L453" s="32">
        <f>IF(Database!BN453="","(none found)",Database!BN453)</f>
        <v/>
      </c>
      <c r="M453" s="34">
        <f>BDH(TEXT(VALUE(Database!$A453),"0")&amp;" HK Equity","CUR_MKT_CAP",Database!$H453,Database!$H453)</f>
        <v/>
      </c>
      <c r="N453" s="166">
        <f>Database!Q453</f>
        <v/>
      </c>
      <c r="O453" s="39">
        <f>BDH(TEXT(VALUE(Database!$A453),"0")&amp;" HK Equity","PE_RATIO",Database!$H453,Database!$H453)</f>
        <v/>
      </c>
      <c r="P453" s="199">
        <f>IF(Database!BH453="","(n/m or not derivable)",Database!BH453)</f>
        <v/>
      </c>
      <c r="Q453" s="39">
        <f>IF(Database!BN453="","",BDH(LEFT(Database!BN453,FIND(".",Database!BN453)-1)&amp;" CH Equity","PE_RATIO",Database!$H453,Database!$H453))</f>
        <v/>
      </c>
      <c r="R453" s="39">
        <f>IF(Database!BN453="","",BDH("HSAHP Index","PX_LAST",Database!$H453,Database!$H453))</f>
        <v/>
      </c>
      <c r="S453" s="39">
        <f>IFERROR(BDP(TEXT(VALUE(Database!$A453),"0")&amp;" HK Equity","PX_TO_SALES_RATIO"),"")</f>
        <v/>
      </c>
      <c r="T453" s="34">
        <f>IF(Database!BN453="","",IFERROR(BDP(LEFT(Database!BN453,FIND(".",Database!BN453)-1)&amp;" CH Equity","CUR_MKT_CAP")*BDP("CNYHKD Curncy","PX_LAST"),"Awaiting quote"))</f>
        <v/>
      </c>
    </row>
    <row r="454" ht="23" customHeight="1">
      <c r="A454" s="32">
        <f>Database!A454&amp;"  "&amp;Database!B454</f>
        <v/>
      </c>
      <c r="B454" s="24">
        <f>IFERROR(INDEX(BDS(TEXT(VALUE(Database!$A454),"0")&amp;" HK Equity","EQUITY_OFFERINGS","array=t","endcol=1"),MATCH("IPO",BDS(TEXT(VALUE(Database!$A454),"0")&amp;" HK Equity","EQUITY_OFFERINGS","array=t","startcol=2","endcol=2"),0)),"")</f>
        <v/>
      </c>
      <c r="C454" s="208">
        <f>IF($B454="","",IFERROR(BDP($B454&amp;" Action","CP036"),""))</f>
        <v/>
      </c>
      <c r="D454" s="209">
        <f>Database!S454</f>
        <v/>
      </c>
      <c r="E454" s="208">
        <f>IF($B454="","",IFERROR(BDP($B454&amp;" Action","CP037"),""))</f>
        <v/>
      </c>
      <c r="F454" s="209">
        <f>Database!T454</f>
        <v/>
      </c>
      <c r="G454" s="208">
        <f>IF($B454="","",IFERROR(BDP($B454&amp;" Action","GREENSHOE_FACILITY"),""))</f>
        <v/>
      </c>
      <c r="H454" s="208">
        <f>IF($B454="","",IFERROR(BDP($B454&amp;" Action","OFFERING_GREENSHOE_SHARES_EX"),""))</f>
        <v/>
      </c>
      <c r="I454" s="32">
        <f>Database!AE454</f>
        <v/>
      </c>
      <c r="J454" s="39">
        <f>IFERROR(BDP(TEXT(VALUE(Database!$A454),"0")&amp;" HK Equity","PE_RATIO"),"")</f>
        <v/>
      </c>
      <c r="K454" s="24">
        <f>IFERROR(BDP(TEXT(VALUE(Database!$A454),"0")&amp;" HK Equity","A/H_SHARE_CONVERSION"),"")</f>
        <v/>
      </c>
      <c r="L454" s="32">
        <f>IF(Database!BN454="","(none found)",Database!BN454)</f>
        <v/>
      </c>
      <c r="M454" s="34">
        <f>BDH(TEXT(VALUE(Database!$A454),"0")&amp;" HK Equity","CUR_MKT_CAP",Database!$H454,Database!$H454)</f>
        <v/>
      </c>
      <c r="N454" s="166">
        <f>Database!Q454</f>
        <v/>
      </c>
      <c r="O454" s="39">
        <f>BDH(TEXT(VALUE(Database!$A454),"0")&amp;" HK Equity","PE_RATIO",Database!$H454,Database!$H454)</f>
        <v/>
      </c>
      <c r="P454" s="199">
        <f>IF(Database!BH454="","(n/m or not derivable)",Database!BH454)</f>
        <v/>
      </c>
      <c r="Q454" s="39">
        <f>IF(Database!BN454="","",BDH(LEFT(Database!BN454,FIND(".",Database!BN454)-1)&amp;" CH Equity","PE_RATIO",Database!$H454,Database!$H454))</f>
        <v/>
      </c>
      <c r="R454" s="39">
        <f>IF(Database!BN454="","",BDH("HSAHP Index","PX_LAST",Database!$H454,Database!$H454))</f>
        <v/>
      </c>
      <c r="S454" s="39">
        <f>IFERROR(BDP(TEXT(VALUE(Database!$A454),"0")&amp;" HK Equity","PX_TO_SALES_RATIO"),"")</f>
        <v/>
      </c>
      <c r="T454" s="34">
        <f>IF(Database!BN454="","",IFERROR(BDP(LEFT(Database!BN454,FIND(".",Database!BN454)-1)&amp;" CH Equity","CUR_MKT_CAP")*BDP("CNYHKD Curncy","PX_LAST"),"Awaiting quote"))</f>
        <v/>
      </c>
    </row>
    <row r="455" ht="23" customHeight="1">
      <c r="A455" s="32">
        <f>Database!A455&amp;"  "&amp;Database!B455</f>
        <v/>
      </c>
      <c r="B455" s="24">
        <f>IFERROR(INDEX(BDS(TEXT(VALUE(Database!$A455),"0")&amp;" HK Equity","EQUITY_OFFERINGS","array=t","endcol=1"),MATCH("IPO",BDS(TEXT(VALUE(Database!$A455),"0")&amp;" HK Equity","EQUITY_OFFERINGS","array=t","startcol=2","endcol=2"),0)),"")</f>
        <v/>
      </c>
      <c r="C455" s="208">
        <f>IF($B455="","",IFERROR(BDP($B455&amp;" Action","CP036"),""))</f>
        <v/>
      </c>
      <c r="D455" s="209">
        <f>Database!S455</f>
        <v/>
      </c>
      <c r="E455" s="208">
        <f>IF($B455="","",IFERROR(BDP($B455&amp;" Action","CP037"),""))</f>
        <v/>
      </c>
      <c r="F455" s="209">
        <f>Database!T455</f>
        <v/>
      </c>
      <c r="G455" s="208">
        <f>IF($B455="","",IFERROR(BDP($B455&amp;" Action","GREENSHOE_FACILITY"),""))</f>
        <v/>
      </c>
      <c r="H455" s="208">
        <f>IF($B455="","",IFERROR(BDP($B455&amp;" Action","OFFERING_GREENSHOE_SHARES_EX"),""))</f>
        <v/>
      </c>
      <c r="I455" s="32">
        <f>Database!AE455</f>
        <v/>
      </c>
      <c r="J455" s="39">
        <f>IFERROR(BDP(TEXT(VALUE(Database!$A455),"0")&amp;" HK Equity","PE_RATIO"),"")</f>
        <v/>
      </c>
      <c r="K455" s="24">
        <f>IFERROR(BDP(TEXT(VALUE(Database!$A455),"0")&amp;" HK Equity","A/H_SHARE_CONVERSION"),"")</f>
        <v/>
      </c>
      <c r="L455" s="32">
        <f>IF(Database!BN455="","(none found)",Database!BN455)</f>
        <v/>
      </c>
      <c r="M455" s="34">
        <f>BDH(TEXT(VALUE(Database!$A455),"0")&amp;" HK Equity","CUR_MKT_CAP",Database!$H455,Database!$H455)</f>
        <v/>
      </c>
      <c r="N455" s="166">
        <f>Database!Q455</f>
        <v/>
      </c>
      <c r="O455" s="39">
        <f>BDH(TEXT(VALUE(Database!$A455),"0")&amp;" HK Equity","PE_RATIO",Database!$H455,Database!$H455)</f>
        <v/>
      </c>
      <c r="P455" s="199">
        <f>IF(Database!BH455="","(n/m or not derivable)",Database!BH455)</f>
        <v/>
      </c>
      <c r="Q455" s="39">
        <f>IF(Database!BN455="","",BDH(LEFT(Database!BN455,FIND(".",Database!BN455)-1)&amp;" CH Equity","PE_RATIO",Database!$H455,Database!$H455))</f>
        <v/>
      </c>
      <c r="R455" s="39">
        <f>IF(Database!BN455="","",BDH("HSAHP Index","PX_LAST",Database!$H455,Database!$H455))</f>
        <v/>
      </c>
      <c r="S455" s="39">
        <f>IFERROR(BDP(TEXT(VALUE(Database!$A455),"0")&amp;" HK Equity","PX_TO_SALES_RATIO"),"")</f>
        <v/>
      </c>
      <c r="T455" s="34">
        <f>IF(Database!BN455="","",IFERROR(BDP(LEFT(Database!BN455,FIND(".",Database!BN455)-1)&amp;" CH Equity","CUR_MKT_CAP")*BDP("CNYHKD Curncy","PX_LAST"),"Awaiting quote"))</f>
        <v/>
      </c>
    </row>
    <row r="456" ht="23" customHeight="1">
      <c r="A456" s="32">
        <f>Database!A456&amp;"  "&amp;Database!B456</f>
        <v/>
      </c>
      <c r="B456" s="24">
        <f>IFERROR(INDEX(BDS(TEXT(VALUE(Database!$A456),"0")&amp;" HK Equity","EQUITY_OFFERINGS","array=t","endcol=1"),MATCH("IPO",BDS(TEXT(VALUE(Database!$A456),"0")&amp;" HK Equity","EQUITY_OFFERINGS","array=t","startcol=2","endcol=2"),0)),"")</f>
        <v/>
      </c>
      <c r="C456" s="208">
        <f>IF($B456="","",IFERROR(BDP($B456&amp;" Action","CP036"),""))</f>
        <v/>
      </c>
      <c r="D456" s="209">
        <f>Database!S456</f>
        <v/>
      </c>
      <c r="E456" s="208">
        <f>IF($B456="","",IFERROR(BDP($B456&amp;" Action","CP037"),""))</f>
        <v/>
      </c>
      <c r="F456" s="209">
        <f>Database!T456</f>
        <v/>
      </c>
      <c r="G456" s="208">
        <f>IF($B456="","",IFERROR(BDP($B456&amp;" Action","GREENSHOE_FACILITY"),""))</f>
        <v/>
      </c>
      <c r="H456" s="208">
        <f>IF($B456="","",IFERROR(BDP($B456&amp;" Action","OFFERING_GREENSHOE_SHARES_EX"),""))</f>
        <v/>
      </c>
      <c r="I456" s="32">
        <f>Database!AE456</f>
        <v/>
      </c>
      <c r="J456" s="39">
        <f>IFERROR(BDP(TEXT(VALUE(Database!$A456),"0")&amp;" HK Equity","PE_RATIO"),"")</f>
        <v/>
      </c>
      <c r="K456" s="24">
        <f>IFERROR(BDP(TEXT(VALUE(Database!$A456),"0")&amp;" HK Equity","A/H_SHARE_CONVERSION"),"")</f>
        <v/>
      </c>
      <c r="L456" s="32">
        <f>IF(Database!BN456="","(none found)",Database!BN456)</f>
        <v/>
      </c>
      <c r="M456" s="34">
        <f>BDH(TEXT(VALUE(Database!$A456),"0")&amp;" HK Equity","CUR_MKT_CAP",Database!$H456,Database!$H456)</f>
        <v/>
      </c>
      <c r="N456" s="166">
        <f>Database!Q456</f>
        <v/>
      </c>
      <c r="O456" s="39">
        <f>BDH(TEXT(VALUE(Database!$A456),"0")&amp;" HK Equity","PE_RATIO",Database!$H456,Database!$H456)</f>
        <v/>
      </c>
      <c r="P456" s="199">
        <f>IF(Database!BH456="","(n/m or not derivable)",Database!BH456)</f>
        <v/>
      </c>
      <c r="Q456" s="39">
        <f>IF(Database!BN456="","",BDH(LEFT(Database!BN456,FIND(".",Database!BN456)-1)&amp;" CH Equity","PE_RATIO",Database!$H456,Database!$H456))</f>
        <v/>
      </c>
      <c r="R456" s="39">
        <f>IF(Database!BN456="","",BDH("HSAHP Index","PX_LAST",Database!$H456,Database!$H456))</f>
        <v/>
      </c>
      <c r="S456" s="39">
        <f>IFERROR(BDP(TEXT(VALUE(Database!$A456),"0")&amp;" HK Equity","PX_TO_SALES_RATIO"),"")</f>
        <v/>
      </c>
      <c r="T456" s="34">
        <f>IF(Database!BN456="","",IFERROR(BDP(LEFT(Database!BN456,FIND(".",Database!BN456)-1)&amp;" CH Equity","CUR_MKT_CAP")*BDP("CNYHKD Curncy","PX_LAST"),"Awaiting quote"))</f>
        <v/>
      </c>
    </row>
    <row r="457" ht="23" customHeight="1">
      <c r="A457" s="32">
        <f>Database!A457&amp;"  "&amp;Database!B457</f>
        <v/>
      </c>
      <c r="B457" s="24">
        <f>IFERROR(INDEX(BDS(TEXT(VALUE(Database!$A457),"0")&amp;" HK Equity","EQUITY_OFFERINGS","array=t","endcol=1"),MATCH("IPO",BDS(TEXT(VALUE(Database!$A457),"0")&amp;" HK Equity","EQUITY_OFFERINGS","array=t","startcol=2","endcol=2"),0)),"")</f>
        <v/>
      </c>
      <c r="C457" s="208">
        <f>IF($B457="","",IFERROR(BDP($B457&amp;" Action","CP036"),""))</f>
        <v/>
      </c>
      <c r="D457" s="209">
        <f>Database!S457</f>
        <v/>
      </c>
      <c r="E457" s="208">
        <f>IF($B457="","",IFERROR(BDP($B457&amp;" Action","CP037"),""))</f>
        <v/>
      </c>
      <c r="F457" s="209">
        <f>Database!T457</f>
        <v/>
      </c>
      <c r="G457" s="208">
        <f>IF($B457="","",IFERROR(BDP($B457&amp;" Action","GREENSHOE_FACILITY"),""))</f>
        <v/>
      </c>
      <c r="H457" s="208">
        <f>IF($B457="","",IFERROR(BDP($B457&amp;" Action","OFFERING_GREENSHOE_SHARES_EX"),""))</f>
        <v/>
      </c>
      <c r="I457" s="32">
        <f>Database!AE457</f>
        <v/>
      </c>
      <c r="J457" s="39">
        <f>IFERROR(BDP(TEXT(VALUE(Database!$A457),"0")&amp;" HK Equity","PE_RATIO"),"")</f>
        <v/>
      </c>
      <c r="K457" s="24">
        <f>IFERROR(BDP(TEXT(VALUE(Database!$A457),"0")&amp;" HK Equity","A/H_SHARE_CONVERSION"),"")</f>
        <v/>
      </c>
      <c r="L457" s="32">
        <f>IF(Database!BN457="","(none found)",Database!BN457)</f>
        <v/>
      </c>
      <c r="M457" s="34">
        <f>BDH(TEXT(VALUE(Database!$A457),"0")&amp;" HK Equity","CUR_MKT_CAP",Database!$H457,Database!$H457)</f>
        <v/>
      </c>
      <c r="N457" s="166">
        <f>Database!Q457</f>
        <v/>
      </c>
      <c r="O457" s="39">
        <f>BDH(TEXT(VALUE(Database!$A457),"0")&amp;" HK Equity","PE_RATIO",Database!$H457,Database!$H457)</f>
        <v/>
      </c>
      <c r="P457" s="199">
        <f>IF(Database!BH457="","(n/m or not derivable)",Database!BH457)</f>
        <v/>
      </c>
      <c r="Q457" s="39">
        <f>IF(Database!BN457="","",BDH(LEFT(Database!BN457,FIND(".",Database!BN457)-1)&amp;" CH Equity","PE_RATIO",Database!$H457,Database!$H457))</f>
        <v/>
      </c>
      <c r="R457" s="39">
        <f>IF(Database!BN457="","",BDH("HSAHP Index","PX_LAST",Database!$H457,Database!$H457))</f>
        <v/>
      </c>
      <c r="S457" s="39">
        <f>IFERROR(BDP(TEXT(VALUE(Database!$A457),"0")&amp;" HK Equity","PX_TO_SALES_RATIO"),"")</f>
        <v/>
      </c>
      <c r="T457" s="34">
        <f>IF(Database!BN457="","",IFERROR(BDP(LEFT(Database!BN457,FIND(".",Database!BN457)-1)&amp;" CH Equity","CUR_MKT_CAP")*BDP("CNYHKD Curncy","PX_LAST"),"Awaiting quote"))</f>
        <v/>
      </c>
    </row>
    <row r="458" ht="23" customHeight="1">
      <c r="A458" s="32">
        <f>Database!A458&amp;"  "&amp;Database!B458</f>
        <v/>
      </c>
      <c r="B458" s="24">
        <f>IFERROR(INDEX(BDS(TEXT(VALUE(Database!$A458),"0")&amp;" HK Equity","EQUITY_OFFERINGS","array=t","endcol=1"),MATCH("IPO",BDS(TEXT(VALUE(Database!$A458),"0")&amp;" HK Equity","EQUITY_OFFERINGS","array=t","startcol=2","endcol=2"),0)),"")</f>
        <v/>
      </c>
      <c r="C458" s="208">
        <f>IF($B458="","",IFERROR(BDP($B458&amp;" Action","CP036"),""))</f>
        <v/>
      </c>
      <c r="D458" s="209">
        <f>Database!S458</f>
        <v/>
      </c>
      <c r="E458" s="208">
        <f>IF($B458="","",IFERROR(BDP($B458&amp;" Action","CP037"),""))</f>
        <v/>
      </c>
      <c r="F458" s="209">
        <f>Database!T458</f>
        <v/>
      </c>
      <c r="G458" s="208">
        <f>IF($B458="","",IFERROR(BDP($B458&amp;" Action","GREENSHOE_FACILITY"),""))</f>
        <v/>
      </c>
      <c r="H458" s="208">
        <f>IF($B458="","",IFERROR(BDP($B458&amp;" Action","OFFERING_GREENSHOE_SHARES_EX"),""))</f>
        <v/>
      </c>
      <c r="I458" s="32">
        <f>Database!AE458</f>
        <v/>
      </c>
      <c r="J458" s="39">
        <f>IFERROR(BDP(TEXT(VALUE(Database!$A458),"0")&amp;" HK Equity","PE_RATIO"),"")</f>
        <v/>
      </c>
      <c r="K458" s="24">
        <f>IFERROR(BDP(TEXT(VALUE(Database!$A458),"0")&amp;" HK Equity","A/H_SHARE_CONVERSION"),"")</f>
        <v/>
      </c>
      <c r="L458" s="32">
        <f>IF(Database!BN458="","(none found)",Database!BN458)</f>
        <v/>
      </c>
      <c r="M458" s="34">
        <f>BDH(TEXT(VALUE(Database!$A458),"0")&amp;" HK Equity","CUR_MKT_CAP",Database!$H458,Database!$H458)</f>
        <v/>
      </c>
      <c r="N458" s="166">
        <f>Database!Q458</f>
        <v/>
      </c>
      <c r="O458" s="39">
        <f>BDH(TEXT(VALUE(Database!$A458),"0")&amp;" HK Equity","PE_RATIO",Database!$H458,Database!$H458)</f>
        <v/>
      </c>
      <c r="P458" s="199">
        <f>IF(Database!BH458="","(n/m or not derivable)",Database!BH458)</f>
        <v/>
      </c>
      <c r="Q458" s="39">
        <f>IF(Database!BN458="","",BDH(LEFT(Database!BN458,FIND(".",Database!BN458)-1)&amp;" CH Equity","PE_RATIO",Database!$H458,Database!$H458))</f>
        <v/>
      </c>
      <c r="R458" s="39">
        <f>IF(Database!BN458="","",BDH("HSAHP Index","PX_LAST",Database!$H458,Database!$H458))</f>
        <v/>
      </c>
      <c r="S458" s="39">
        <f>IFERROR(BDP(TEXT(VALUE(Database!$A458),"0")&amp;" HK Equity","PX_TO_SALES_RATIO"),"")</f>
        <v/>
      </c>
      <c r="T458" s="34">
        <f>IF(Database!BN458="","",IFERROR(BDP(LEFT(Database!BN458,FIND(".",Database!BN458)-1)&amp;" CH Equity","CUR_MKT_CAP")*BDP("CNYHKD Curncy","PX_LAST"),"Awaiting quote"))</f>
        <v/>
      </c>
    </row>
    <row r="459" ht="23" customHeight="1">
      <c r="A459" s="32">
        <f>Database!A459&amp;"  "&amp;Database!B459</f>
        <v/>
      </c>
      <c r="B459" s="24">
        <f>IFERROR(INDEX(BDS(TEXT(VALUE(Database!$A459),"0")&amp;" HK Equity","EQUITY_OFFERINGS","array=t","endcol=1"),MATCH("IPO",BDS(TEXT(VALUE(Database!$A459),"0")&amp;" HK Equity","EQUITY_OFFERINGS","array=t","startcol=2","endcol=2"),0)),"")</f>
        <v/>
      </c>
      <c r="C459" s="208">
        <f>IF($B459="","",IFERROR(BDP($B459&amp;" Action","CP036"),""))</f>
        <v/>
      </c>
      <c r="D459" s="209">
        <f>Database!S459</f>
        <v/>
      </c>
      <c r="E459" s="208">
        <f>IF($B459="","",IFERROR(BDP($B459&amp;" Action","CP037"),""))</f>
        <v/>
      </c>
      <c r="F459" s="209">
        <f>Database!T459</f>
        <v/>
      </c>
      <c r="G459" s="208">
        <f>IF($B459="","",IFERROR(BDP($B459&amp;" Action","GREENSHOE_FACILITY"),""))</f>
        <v/>
      </c>
      <c r="H459" s="208">
        <f>IF($B459="","",IFERROR(BDP($B459&amp;" Action","OFFERING_GREENSHOE_SHARES_EX"),""))</f>
        <v/>
      </c>
      <c r="I459" s="32">
        <f>Database!AE459</f>
        <v/>
      </c>
      <c r="J459" s="39">
        <f>IFERROR(BDP(TEXT(VALUE(Database!$A459),"0")&amp;" HK Equity","PE_RATIO"),"")</f>
        <v/>
      </c>
      <c r="K459" s="24">
        <f>IFERROR(BDP(TEXT(VALUE(Database!$A459),"0")&amp;" HK Equity","A/H_SHARE_CONVERSION"),"")</f>
        <v/>
      </c>
      <c r="L459" s="32">
        <f>IF(Database!BN459="","(none found)",Database!BN459)</f>
        <v/>
      </c>
      <c r="M459" s="34">
        <f>BDH(TEXT(VALUE(Database!$A459),"0")&amp;" HK Equity","CUR_MKT_CAP",Database!$H459,Database!$H459)</f>
        <v/>
      </c>
      <c r="N459" s="166">
        <f>Database!Q459</f>
        <v/>
      </c>
      <c r="O459" s="39">
        <f>BDH(TEXT(VALUE(Database!$A459),"0")&amp;" HK Equity","PE_RATIO",Database!$H459,Database!$H459)</f>
        <v/>
      </c>
      <c r="P459" s="199">
        <f>IF(Database!BH459="","(n/m or not derivable)",Database!BH459)</f>
        <v/>
      </c>
      <c r="Q459" s="39">
        <f>IF(Database!BN459="","",BDH(LEFT(Database!BN459,FIND(".",Database!BN459)-1)&amp;" CH Equity","PE_RATIO",Database!$H459,Database!$H459))</f>
        <v/>
      </c>
      <c r="R459" s="39">
        <f>IF(Database!BN459="","",BDH("HSAHP Index","PX_LAST",Database!$H459,Database!$H459))</f>
        <v/>
      </c>
      <c r="S459" s="39">
        <f>IFERROR(BDP(TEXT(VALUE(Database!$A459),"0")&amp;" HK Equity","PX_TO_SALES_RATIO"),"")</f>
        <v/>
      </c>
      <c r="T459" s="34">
        <f>IF(Database!BN459="","",IFERROR(BDP(LEFT(Database!BN459,FIND(".",Database!BN459)-1)&amp;" CH Equity","CUR_MKT_CAP")*BDP("CNYHKD Curncy","PX_LAST"),"Awaiting quote"))</f>
        <v/>
      </c>
    </row>
    <row r="460" ht="23" customHeight="1">
      <c r="A460" s="32">
        <f>Database!A460&amp;"  "&amp;Database!B460</f>
        <v/>
      </c>
      <c r="B460" s="24">
        <f>IFERROR(INDEX(BDS(TEXT(VALUE(Database!$A460),"0")&amp;" HK Equity","EQUITY_OFFERINGS","array=t","endcol=1"),MATCH("IPO",BDS(TEXT(VALUE(Database!$A460),"0")&amp;" HK Equity","EQUITY_OFFERINGS","array=t","startcol=2","endcol=2"),0)),"")</f>
        <v/>
      </c>
      <c r="C460" s="208">
        <f>IF($B460="","",IFERROR(BDP($B460&amp;" Action","CP036"),""))</f>
        <v/>
      </c>
      <c r="D460" s="209">
        <f>Database!S460</f>
        <v/>
      </c>
      <c r="E460" s="208">
        <f>IF($B460="","",IFERROR(BDP($B460&amp;" Action","CP037"),""))</f>
        <v/>
      </c>
      <c r="F460" s="209">
        <f>Database!T460</f>
        <v/>
      </c>
      <c r="G460" s="208">
        <f>IF($B460="","",IFERROR(BDP($B460&amp;" Action","GREENSHOE_FACILITY"),""))</f>
        <v/>
      </c>
      <c r="H460" s="208">
        <f>IF($B460="","",IFERROR(BDP($B460&amp;" Action","OFFERING_GREENSHOE_SHARES_EX"),""))</f>
        <v/>
      </c>
      <c r="I460" s="32">
        <f>Database!AE460</f>
        <v/>
      </c>
      <c r="J460" s="39">
        <f>IFERROR(BDP(TEXT(VALUE(Database!$A460),"0")&amp;" HK Equity","PE_RATIO"),"")</f>
        <v/>
      </c>
      <c r="K460" s="24">
        <f>IFERROR(BDP(TEXT(VALUE(Database!$A460),"0")&amp;" HK Equity","A/H_SHARE_CONVERSION"),"")</f>
        <v/>
      </c>
      <c r="L460" s="32">
        <f>IF(Database!BN460="","(none found)",Database!BN460)</f>
        <v/>
      </c>
      <c r="M460" s="34">
        <f>BDH(TEXT(VALUE(Database!$A460),"0")&amp;" HK Equity","CUR_MKT_CAP",Database!$H460,Database!$H460)</f>
        <v/>
      </c>
      <c r="N460" s="166">
        <f>Database!Q460</f>
        <v/>
      </c>
      <c r="O460" s="39">
        <f>BDH(TEXT(VALUE(Database!$A460),"0")&amp;" HK Equity","PE_RATIO",Database!$H460,Database!$H460)</f>
        <v/>
      </c>
      <c r="P460" s="199">
        <f>IF(Database!BH460="","(n/m or not derivable)",Database!BH460)</f>
        <v/>
      </c>
      <c r="Q460" s="39">
        <f>IF(Database!BN460="","",BDH(LEFT(Database!BN460,FIND(".",Database!BN460)-1)&amp;" CH Equity","PE_RATIO",Database!$H460,Database!$H460))</f>
        <v/>
      </c>
      <c r="R460" s="39">
        <f>IF(Database!BN460="","",BDH("HSAHP Index","PX_LAST",Database!$H460,Database!$H460))</f>
        <v/>
      </c>
      <c r="S460" s="39">
        <f>IFERROR(BDP(TEXT(VALUE(Database!$A460),"0")&amp;" HK Equity","PX_TO_SALES_RATIO"),"")</f>
        <v/>
      </c>
      <c r="T460" s="34">
        <f>IF(Database!BN460="","",IFERROR(BDP(LEFT(Database!BN460,FIND(".",Database!BN460)-1)&amp;" CH Equity","CUR_MKT_CAP")*BDP("CNYHKD Curncy","PX_LAST"),"Awaiting quote"))</f>
        <v/>
      </c>
    </row>
    <row r="461" ht="23" customHeight="1">
      <c r="A461" s="32">
        <f>Database!A461&amp;"  "&amp;Database!B461</f>
        <v/>
      </c>
      <c r="B461" s="24">
        <f>IFERROR(INDEX(BDS(TEXT(VALUE(Database!$A461),"0")&amp;" HK Equity","EQUITY_OFFERINGS","array=t","endcol=1"),MATCH("IPO",BDS(TEXT(VALUE(Database!$A461),"0")&amp;" HK Equity","EQUITY_OFFERINGS","array=t","startcol=2","endcol=2"),0)),"")</f>
        <v/>
      </c>
      <c r="C461" s="208">
        <f>IF($B461="","",IFERROR(BDP($B461&amp;" Action","CP036"),""))</f>
        <v/>
      </c>
      <c r="D461" s="209">
        <f>Database!S461</f>
        <v/>
      </c>
      <c r="E461" s="208">
        <f>IF($B461="","",IFERROR(BDP($B461&amp;" Action","CP037"),""))</f>
        <v/>
      </c>
      <c r="F461" s="209">
        <f>Database!T461</f>
        <v/>
      </c>
      <c r="G461" s="208">
        <f>IF($B461="","",IFERROR(BDP($B461&amp;" Action","GREENSHOE_FACILITY"),""))</f>
        <v/>
      </c>
      <c r="H461" s="208">
        <f>IF($B461="","",IFERROR(BDP($B461&amp;" Action","OFFERING_GREENSHOE_SHARES_EX"),""))</f>
        <v/>
      </c>
      <c r="I461" s="32">
        <f>Database!AE461</f>
        <v/>
      </c>
      <c r="J461" s="39">
        <f>IFERROR(BDP(TEXT(VALUE(Database!$A461),"0")&amp;" HK Equity","PE_RATIO"),"")</f>
        <v/>
      </c>
      <c r="K461" s="24">
        <f>IFERROR(BDP(TEXT(VALUE(Database!$A461),"0")&amp;" HK Equity","A/H_SHARE_CONVERSION"),"")</f>
        <v/>
      </c>
      <c r="L461" s="32">
        <f>IF(Database!BN461="","(none found)",Database!BN461)</f>
        <v/>
      </c>
      <c r="M461" s="34">
        <f>BDH(TEXT(VALUE(Database!$A461),"0")&amp;" HK Equity","CUR_MKT_CAP",Database!$H461,Database!$H461)</f>
        <v/>
      </c>
      <c r="N461" s="166">
        <f>Database!Q461</f>
        <v/>
      </c>
      <c r="O461" s="39">
        <f>BDH(TEXT(VALUE(Database!$A461),"0")&amp;" HK Equity","PE_RATIO",Database!$H461,Database!$H461)</f>
        <v/>
      </c>
      <c r="P461" s="199">
        <f>IF(Database!BH461="","(n/m or not derivable)",Database!BH461)</f>
        <v/>
      </c>
      <c r="Q461" s="39">
        <f>IF(Database!BN461="","",BDH(LEFT(Database!BN461,FIND(".",Database!BN461)-1)&amp;" CH Equity","PE_RATIO",Database!$H461,Database!$H461))</f>
        <v/>
      </c>
      <c r="R461" s="39">
        <f>IF(Database!BN461="","",BDH("HSAHP Index","PX_LAST",Database!$H461,Database!$H461))</f>
        <v/>
      </c>
      <c r="S461" s="39">
        <f>IFERROR(BDP(TEXT(VALUE(Database!$A461),"0")&amp;" HK Equity","PX_TO_SALES_RATIO"),"")</f>
        <v/>
      </c>
      <c r="T461" s="34">
        <f>IF(Database!BN461="","",IFERROR(BDP(LEFT(Database!BN461,FIND(".",Database!BN461)-1)&amp;" CH Equity","CUR_MKT_CAP")*BDP("CNYHKD Curncy","PX_LAST"),"Awaiting quote"))</f>
        <v/>
      </c>
    </row>
    <row r="462" ht="23" customHeight="1">
      <c r="A462" s="32">
        <f>Database!A462&amp;"  "&amp;Database!B462</f>
        <v/>
      </c>
      <c r="B462" s="24">
        <f>IFERROR(INDEX(BDS(TEXT(VALUE(Database!$A462),"0")&amp;" HK Equity","EQUITY_OFFERINGS","array=t","endcol=1"),MATCH("IPO",BDS(TEXT(VALUE(Database!$A462),"0")&amp;" HK Equity","EQUITY_OFFERINGS","array=t","startcol=2","endcol=2"),0)),"")</f>
        <v/>
      </c>
      <c r="C462" s="208">
        <f>IF($B462="","",IFERROR(BDP($B462&amp;" Action","CP036"),""))</f>
        <v/>
      </c>
      <c r="D462" s="209">
        <f>Database!S462</f>
        <v/>
      </c>
      <c r="E462" s="208">
        <f>IF($B462="","",IFERROR(BDP($B462&amp;" Action","CP037"),""))</f>
        <v/>
      </c>
      <c r="F462" s="209">
        <f>Database!T462</f>
        <v/>
      </c>
      <c r="G462" s="208">
        <f>IF($B462="","",IFERROR(BDP($B462&amp;" Action","GREENSHOE_FACILITY"),""))</f>
        <v/>
      </c>
      <c r="H462" s="208">
        <f>IF($B462="","",IFERROR(BDP($B462&amp;" Action","OFFERING_GREENSHOE_SHARES_EX"),""))</f>
        <v/>
      </c>
      <c r="I462" s="32">
        <f>Database!AE462</f>
        <v/>
      </c>
      <c r="J462" s="39">
        <f>IFERROR(BDP(TEXT(VALUE(Database!$A462),"0")&amp;" HK Equity","PE_RATIO"),"")</f>
        <v/>
      </c>
      <c r="K462" s="24">
        <f>IFERROR(BDP(TEXT(VALUE(Database!$A462),"0")&amp;" HK Equity","A/H_SHARE_CONVERSION"),"")</f>
        <v/>
      </c>
      <c r="L462" s="32">
        <f>IF(Database!BN462="","(none found)",Database!BN462)</f>
        <v/>
      </c>
      <c r="M462" s="34">
        <f>BDH(TEXT(VALUE(Database!$A462),"0")&amp;" HK Equity","CUR_MKT_CAP",Database!$H462,Database!$H462)</f>
        <v/>
      </c>
      <c r="N462" s="166">
        <f>Database!Q462</f>
        <v/>
      </c>
      <c r="O462" s="39">
        <f>BDH(TEXT(VALUE(Database!$A462),"0")&amp;" HK Equity","PE_RATIO",Database!$H462,Database!$H462)</f>
        <v/>
      </c>
      <c r="P462" s="199">
        <f>IF(Database!BH462="","(n/m or not derivable)",Database!BH462)</f>
        <v/>
      </c>
      <c r="Q462" s="39">
        <f>IF(Database!BN462="","",BDH(LEFT(Database!BN462,FIND(".",Database!BN462)-1)&amp;" CH Equity","PE_RATIO",Database!$H462,Database!$H462))</f>
        <v/>
      </c>
      <c r="R462" s="39">
        <f>IF(Database!BN462="","",BDH("HSAHP Index","PX_LAST",Database!$H462,Database!$H462))</f>
        <v/>
      </c>
      <c r="S462" s="39">
        <f>IFERROR(BDP(TEXT(VALUE(Database!$A462),"0")&amp;" HK Equity","PX_TO_SALES_RATIO"),"")</f>
        <v/>
      </c>
      <c r="T462" s="34">
        <f>IF(Database!BN462="","",IFERROR(BDP(LEFT(Database!BN462,FIND(".",Database!BN462)-1)&amp;" CH Equity","CUR_MKT_CAP")*BDP("CNYHKD Curncy","PX_LAST"),"Awaiting quote"))</f>
        <v/>
      </c>
    </row>
    <row r="463" ht="23" customHeight="1">
      <c r="A463" s="32">
        <f>Database!A463&amp;"  "&amp;Database!B463</f>
        <v/>
      </c>
      <c r="B463" s="24">
        <f>IFERROR(INDEX(BDS(TEXT(VALUE(Database!$A463),"0")&amp;" HK Equity","EQUITY_OFFERINGS","array=t","endcol=1"),MATCH("IPO",BDS(TEXT(VALUE(Database!$A463),"0")&amp;" HK Equity","EQUITY_OFFERINGS","array=t","startcol=2","endcol=2"),0)),"")</f>
        <v/>
      </c>
      <c r="C463" s="208">
        <f>IF($B463="","",IFERROR(BDP($B463&amp;" Action","CP036"),""))</f>
        <v/>
      </c>
      <c r="D463" s="209">
        <f>Database!S463</f>
        <v/>
      </c>
      <c r="E463" s="208">
        <f>IF($B463="","",IFERROR(BDP($B463&amp;" Action","CP037"),""))</f>
        <v/>
      </c>
      <c r="F463" s="209">
        <f>Database!T463</f>
        <v/>
      </c>
      <c r="G463" s="208">
        <f>IF($B463="","",IFERROR(BDP($B463&amp;" Action","GREENSHOE_FACILITY"),""))</f>
        <v/>
      </c>
      <c r="H463" s="208">
        <f>IF($B463="","",IFERROR(BDP($B463&amp;" Action","OFFERING_GREENSHOE_SHARES_EX"),""))</f>
        <v/>
      </c>
      <c r="I463" s="32">
        <f>Database!AE463</f>
        <v/>
      </c>
      <c r="J463" s="39">
        <f>IFERROR(BDP(TEXT(VALUE(Database!$A463),"0")&amp;" HK Equity","PE_RATIO"),"")</f>
        <v/>
      </c>
      <c r="K463" s="24">
        <f>IFERROR(BDP(TEXT(VALUE(Database!$A463),"0")&amp;" HK Equity","A/H_SHARE_CONVERSION"),"")</f>
        <v/>
      </c>
      <c r="L463" s="32">
        <f>IF(Database!BN463="","(none found)",Database!BN463)</f>
        <v/>
      </c>
      <c r="M463" s="34">
        <f>BDH(TEXT(VALUE(Database!$A463),"0")&amp;" HK Equity","CUR_MKT_CAP",Database!$H463,Database!$H463)</f>
        <v/>
      </c>
      <c r="N463" s="166">
        <f>Database!Q463</f>
        <v/>
      </c>
      <c r="O463" s="39">
        <f>BDH(TEXT(VALUE(Database!$A463),"0")&amp;" HK Equity","PE_RATIO",Database!$H463,Database!$H463)</f>
        <v/>
      </c>
      <c r="P463" s="199">
        <f>IF(Database!BH463="","(n/m or not derivable)",Database!BH463)</f>
        <v/>
      </c>
      <c r="Q463" s="39">
        <f>IF(Database!BN463="","",BDH(LEFT(Database!BN463,FIND(".",Database!BN463)-1)&amp;" CH Equity","PE_RATIO",Database!$H463,Database!$H463))</f>
        <v/>
      </c>
      <c r="R463" s="39">
        <f>IF(Database!BN463="","",BDH("HSAHP Index","PX_LAST",Database!$H463,Database!$H463))</f>
        <v/>
      </c>
      <c r="S463" s="39">
        <f>IFERROR(BDP(TEXT(VALUE(Database!$A463),"0")&amp;" HK Equity","PX_TO_SALES_RATIO"),"")</f>
        <v/>
      </c>
      <c r="T463" s="34">
        <f>IF(Database!BN463="","",IFERROR(BDP(LEFT(Database!BN463,FIND(".",Database!BN463)-1)&amp;" CH Equity","CUR_MKT_CAP")*BDP("CNYHKD Curncy","PX_LAST"),"Awaiting quote"))</f>
        <v/>
      </c>
    </row>
    <row r="464" ht="23" customHeight="1">
      <c r="A464" s="32">
        <f>Database!A464&amp;"  "&amp;Database!B464</f>
        <v/>
      </c>
      <c r="B464" s="24">
        <f>IFERROR(INDEX(BDS(TEXT(VALUE(Database!$A464),"0")&amp;" HK Equity","EQUITY_OFFERINGS","array=t","endcol=1"),MATCH("IPO",BDS(TEXT(VALUE(Database!$A464),"0")&amp;" HK Equity","EQUITY_OFFERINGS","array=t","startcol=2","endcol=2"),0)),"")</f>
        <v/>
      </c>
      <c r="C464" s="208">
        <f>IF($B464="","",IFERROR(BDP($B464&amp;" Action","CP036"),""))</f>
        <v/>
      </c>
      <c r="D464" s="209">
        <f>Database!S464</f>
        <v/>
      </c>
      <c r="E464" s="208">
        <f>IF($B464="","",IFERROR(BDP($B464&amp;" Action","CP037"),""))</f>
        <v/>
      </c>
      <c r="F464" s="209">
        <f>Database!T464</f>
        <v/>
      </c>
      <c r="G464" s="208">
        <f>IF($B464="","",IFERROR(BDP($B464&amp;" Action","GREENSHOE_FACILITY"),""))</f>
        <v/>
      </c>
      <c r="H464" s="208">
        <f>IF($B464="","",IFERROR(BDP($B464&amp;" Action","OFFERING_GREENSHOE_SHARES_EX"),""))</f>
        <v/>
      </c>
      <c r="I464" s="32">
        <f>Database!AE464</f>
        <v/>
      </c>
      <c r="J464" s="39">
        <f>IFERROR(BDP(TEXT(VALUE(Database!$A464),"0")&amp;" HK Equity","PE_RATIO"),"")</f>
        <v/>
      </c>
      <c r="K464" s="24">
        <f>IFERROR(BDP(TEXT(VALUE(Database!$A464),"0")&amp;" HK Equity","A/H_SHARE_CONVERSION"),"")</f>
        <v/>
      </c>
      <c r="L464" s="32">
        <f>IF(Database!BN464="","(none found)",Database!BN464)</f>
        <v/>
      </c>
      <c r="M464" s="34">
        <f>BDH(TEXT(VALUE(Database!$A464),"0")&amp;" HK Equity","CUR_MKT_CAP",Database!$H464,Database!$H464)</f>
        <v/>
      </c>
      <c r="N464" s="166">
        <f>Database!Q464</f>
        <v/>
      </c>
      <c r="O464" s="39">
        <f>BDH(TEXT(VALUE(Database!$A464),"0")&amp;" HK Equity","PE_RATIO",Database!$H464,Database!$H464)</f>
        <v/>
      </c>
      <c r="P464" s="199">
        <f>IF(Database!BH464="","(n/m or not derivable)",Database!BH464)</f>
        <v/>
      </c>
      <c r="Q464" s="39">
        <f>IF(Database!BN464="","",BDH(LEFT(Database!BN464,FIND(".",Database!BN464)-1)&amp;" CH Equity","PE_RATIO",Database!$H464,Database!$H464))</f>
        <v/>
      </c>
      <c r="R464" s="39">
        <f>IF(Database!BN464="","",BDH("HSAHP Index","PX_LAST",Database!$H464,Database!$H464))</f>
        <v/>
      </c>
      <c r="S464" s="39">
        <f>IFERROR(BDP(TEXT(VALUE(Database!$A464),"0")&amp;" HK Equity","PX_TO_SALES_RATIO"),"")</f>
        <v/>
      </c>
      <c r="T464" s="34">
        <f>IF(Database!BN464="","",IFERROR(BDP(LEFT(Database!BN464,FIND(".",Database!BN464)-1)&amp;" CH Equity","CUR_MKT_CAP")*BDP("CNYHKD Curncy","PX_LAST"),"Awaiting quote"))</f>
        <v/>
      </c>
    </row>
    <row r="465" ht="23" customHeight="1">
      <c r="A465" s="32">
        <f>Database!A465&amp;"  "&amp;Database!B465</f>
        <v/>
      </c>
      <c r="B465" s="24">
        <f>IFERROR(INDEX(BDS(TEXT(VALUE(Database!$A465),"0")&amp;" HK Equity","EQUITY_OFFERINGS","array=t","endcol=1"),MATCH("IPO",BDS(TEXT(VALUE(Database!$A465),"0")&amp;" HK Equity","EQUITY_OFFERINGS","array=t","startcol=2","endcol=2"),0)),"")</f>
        <v/>
      </c>
      <c r="C465" s="208">
        <f>IF($B465="","",IFERROR(BDP($B465&amp;" Action","CP036"),""))</f>
        <v/>
      </c>
      <c r="D465" s="209">
        <f>Database!S465</f>
        <v/>
      </c>
      <c r="E465" s="208">
        <f>IF($B465="","",IFERROR(BDP($B465&amp;" Action","CP037"),""))</f>
        <v/>
      </c>
      <c r="F465" s="209">
        <f>Database!T465</f>
        <v/>
      </c>
      <c r="G465" s="208">
        <f>IF($B465="","",IFERROR(BDP($B465&amp;" Action","GREENSHOE_FACILITY"),""))</f>
        <v/>
      </c>
      <c r="H465" s="208">
        <f>IF($B465="","",IFERROR(BDP($B465&amp;" Action","OFFERING_GREENSHOE_SHARES_EX"),""))</f>
        <v/>
      </c>
      <c r="I465" s="32">
        <f>Database!AE465</f>
        <v/>
      </c>
      <c r="J465" s="39">
        <f>IFERROR(BDP(TEXT(VALUE(Database!$A465),"0")&amp;" HK Equity","PE_RATIO"),"")</f>
        <v/>
      </c>
      <c r="K465" s="24">
        <f>IFERROR(BDP(TEXT(VALUE(Database!$A465),"0")&amp;" HK Equity","A/H_SHARE_CONVERSION"),"")</f>
        <v/>
      </c>
      <c r="L465" s="32">
        <f>IF(Database!BN465="","(none found)",Database!BN465)</f>
        <v/>
      </c>
      <c r="M465" s="34">
        <f>BDH(TEXT(VALUE(Database!$A465),"0")&amp;" HK Equity","CUR_MKT_CAP",Database!$H465,Database!$H465)</f>
        <v/>
      </c>
      <c r="N465" s="166">
        <f>Database!Q465</f>
        <v/>
      </c>
      <c r="O465" s="39">
        <f>BDH(TEXT(VALUE(Database!$A465),"0")&amp;" HK Equity","PE_RATIO",Database!$H465,Database!$H465)</f>
        <v/>
      </c>
      <c r="P465" s="199">
        <f>IF(Database!BH465="","(n/m or not derivable)",Database!BH465)</f>
        <v/>
      </c>
      <c r="Q465" s="39">
        <f>IF(Database!BN465="","",BDH(LEFT(Database!BN465,FIND(".",Database!BN465)-1)&amp;" CH Equity","PE_RATIO",Database!$H465,Database!$H465))</f>
        <v/>
      </c>
      <c r="R465" s="39">
        <f>IF(Database!BN465="","",BDH("HSAHP Index","PX_LAST",Database!$H465,Database!$H465))</f>
        <v/>
      </c>
      <c r="S465" s="39">
        <f>IFERROR(BDP(TEXT(VALUE(Database!$A465),"0")&amp;" HK Equity","PX_TO_SALES_RATIO"),"")</f>
        <v/>
      </c>
      <c r="T465" s="34">
        <f>IF(Database!BN465="","",IFERROR(BDP(LEFT(Database!BN465,FIND(".",Database!BN465)-1)&amp;" CH Equity","CUR_MKT_CAP")*BDP("CNYHKD Curncy","PX_LAST"),"Awaiting quote"))</f>
        <v/>
      </c>
    </row>
    <row r="466" ht="23" customHeight="1">
      <c r="A466" s="32">
        <f>Database!A466&amp;"  "&amp;Database!B466</f>
        <v/>
      </c>
      <c r="B466" s="24">
        <f>IFERROR(INDEX(BDS(TEXT(VALUE(Database!$A466),"0")&amp;" HK Equity","EQUITY_OFFERINGS","array=t","endcol=1"),MATCH("IPO",BDS(TEXT(VALUE(Database!$A466),"0")&amp;" HK Equity","EQUITY_OFFERINGS","array=t","startcol=2","endcol=2"),0)),"")</f>
        <v/>
      </c>
      <c r="C466" s="208">
        <f>IF($B466="","",IFERROR(BDP($B466&amp;" Action","CP036"),""))</f>
        <v/>
      </c>
      <c r="D466" s="209">
        <f>Database!S466</f>
        <v/>
      </c>
      <c r="E466" s="208">
        <f>IF($B466="","",IFERROR(BDP($B466&amp;" Action","CP037"),""))</f>
        <v/>
      </c>
      <c r="F466" s="209">
        <f>Database!T466</f>
        <v/>
      </c>
      <c r="G466" s="208">
        <f>IF($B466="","",IFERROR(BDP($B466&amp;" Action","GREENSHOE_FACILITY"),""))</f>
        <v/>
      </c>
      <c r="H466" s="208">
        <f>IF($B466="","",IFERROR(BDP($B466&amp;" Action","OFFERING_GREENSHOE_SHARES_EX"),""))</f>
        <v/>
      </c>
      <c r="I466" s="32">
        <f>Database!AE466</f>
        <v/>
      </c>
      <c r="J466" s="39">
        <f>IFERROR(BDP(TEXT(VALUE(Database!$A466),"0")&amp;" HK Equity","PE_RATIO"),"")</f>
        <v/>
      </c>
      <c r="K466" s="24">
        <f>IFERROR(BDP(TEXT(VALUE(Database!$A466),"0")&amp;" HK Equity","A/H_SHARE_CONVERSION"),"")</f>
        <v/>
      </c>
      <c r="L466" s="32">
        <f>IF(Database!BN466="","(none found)",Database!BN466)</f>
        <v/>
      </c>
      <c r="M466" s="34">
        <f>BDH(TEXT(VALUE(Database!$A466),"0")&amp;" HK Equity","CUR_MKT_CAP",Database!$H466,Database!$H466)</f>
        <v/>
      </c>
      <c r="N466" s="166">
        <f>Database!Q466</f>
        <v/>
      </c>
      <c r="O466" s="39">
        <f>BDH(TEXT(VALUE(Database!$A466),"0")&amp;" HK Equity","PE_RATIO",Database!$H466,Database!$H466)</f>
        <v/>
      </c>
      <c r="P466" s="199">
        <f>IF(Database!BH466="","(n/m or not derivable)",Database!BH466)</f>
        <v/>
      </c>
      <c r="Q466" s="39">
        <f>IF(Database!BN466="","",BDH(LEFT(Database!BN466,FIND(".",Database!BN466)-1)&amp;" CH Equity","PE_RATIO",Database!$H466,Database!$H466))</f>
        <v/>
      </c>
      <c r="R466" s="39">
        <f>IF(Database!BN466="","",BDH("HSAHP Index","PX_LAST",Database!$H466,Database!$H466))</f>
        <v/>
      </c>
      <c r="S466" s="39">
        <f>IFERROR(BDP(TEXT(VALUE(Database!$A466),"0")&amp;" HK Equity","PX_TO_SALES_RATIO"),"")</f>
        <v/>
      </c>
      <c r="T466" s="34">
        <f>IF(Database!BN466="","",IFERROR(BDP(LEFT(Database!BN466,FIND(".",Database!BN466)-1)&amp;" CH Equity","CUR_MKT_CAP")*BDP("CNYHKD Curncy","PX_LAST"),"Awaiting quote"))</f>
        <v/>
      </c>
    </row>
    <row r="467" ht="23" customHeight="1">
      <c r="A467" s="32">
        <f>Database!A467&amp;"  "&amp;Database!B467</f>
        <v/>
      </c>
      <c r="B467" s="24">
        <f>IFERROR(INDEX(BDS(TEXT(VALUE(Database!$A467),"0")&amp;" HK Equity","EQUITY_OFFERINGS","array=t","endcol=1"),MATCH("IPO",BDS(TEXT(VALUE(Database!$A467),"0")&amp;" HK Equity","EQUITY_OFFERINGS","array=t","startcol=2","endcol=2"),0)),"")</f>
        <v/>
      </c>
      <c r="C467" s="208">
        <f>IF($B467="","",IFERROR(BDP($B467&amp;" Action","CP036"),""))</f>
        <v/>
      </c>
      <c r="D467" s="209">
        <f>Database!S467</f>
        <v/>
      </c>
      <c r="E467" s="208">
        <f>IF($B467="","",IFERROR(BDP($B467&amp;" Action","CP037"),""))</f>
        <v/>
      </c>
      <c r="F467" s="209">
        <f>Database!T467</f>
        <v/>
      </c>
      <c r="G467" s="208">
        <f>IF($B467="","",IFERROR(BDP($B467&amp;" Action","GREENSHOE_FACILITY"),""))</f>
        <v/>
      </c>
      <c r="H467" s="208">
        <f>IF($B467="","",IFERROR(BDP($B467&amp;" Action","OFFERING_GREENSHOE_SHARES_EX"),""))</f>
        <v/>
      </c>
      <c r="I467" s="32">
        <f>Database!AE467</f>
        <v/>
      </c>
      <c r="J467" s="39">
        <f>IFERROR(BDP(TEXT(VALUE(Database!$A467),"0")&amp;" HK Equity","PE_RATIO"),"")</f>
        <v/>
      </c>
      <c r="K467" s="24">
        <f>IFERROR(BDP(TEXT(VALUE(Database!$A467),"0")&amp;" HK Equity","A/H_SHARE_CONVERSION"),"")</f>
        <v/>
      </c>
      <c r="L467" s="32">
        <f>IF(Database!BN467="","(none found)",Database!BN467)</f>
        <v/>
      </c>
      <c r="M467" s="34">
        <f>BDH(TEXT(VALUE(Database!$A467),"0")&amp;" HK Equity","CUR_MKT_CAP",Database!$H467,Database!$H467)</f>
        <v/>
      </c>
      <c r="N467" s="166">
        <f>Database!Q467</f>
        <v/>
      </c>
      <c r="O467" s="39">
        <f>BDH(TEXT(VALUE(Database!$A467),"0")&amp;" HK Equity","PE_RATIO",Database!$H467,Database!$H467)</f>
        <v/>
      </c>
      <c r="P467" s="199">
        <f>IF(Database!BH467="","(n/m or not derivable)",Database!BH467)</f>
        <v/>
      </c>
      <c r="Q467" s="39">
        <f>IF(Database!BN467="","",BDH(LEFT(Database!BN467,FIND(".",Database!BN467)-1)&amp;" CH Equity","PE_RATIO",Database!$H467,Database!$H467))</f>
        <v/>
      </c>
      <c r="R467" s="39">
        <f>IF(Database!BN467="","",BDH("HSAHP Index","PX_LAST",Database!$H467,Database!$H467))</f>
        <v/>
      </c>
      <c r="S467" s="39">
        <f>IFERROR(BDP(TEXT(VALUE(Database!$A467),"0")&amp;" HK Equity","PX_TO_SALES_RATIO"),"")</f>
        <v/>
      </c>
      <c r="T467" s="34">
        <f>IF(Database!BN467="","",IFERROR(BDP(LEFT(Database!BN467,FIND(".",Database!BN467)-1)&amp;" CH Equity","CUR_MKT_CAP")*BDP("CNYHKD Curncy","PX_LAST"),"Awaiting quote"))</f>
        <v/>
      </c>
    </row>
    <row r="468" ht="23" customHeight="1">
      <c r="A468" s="32">
        <f>Database!A468&amp;"  "&amp;Database!B468</f>
        <v/>
      </c>
      <c r="B468" s="24">
        <f>IFERROR(INDEX(BDS(TEXT(VALUE(Database!$A468),"0")&amp;" HK Equity","EQUITY_OFFERINGS","array=t","endcol=1"),MATCH("IPO",BDS(TEXT(VALUE(Database!$A468),"0")&amp;" HK Equity","EQUITY_OFFERINGS","array=t","startcol=2","endcol=2"),0)),"")</f>
        <v/>
      </c>
      <c r="C468" s="208">
        <f>IF($B468="","",IFERROR(BDP($B468&amp;" Action","CP036"),""))</f>
        <v/>
      </c>
      <c r="D468" s="209">
        <f>Database!S468</f>
        <v/>
      </c>
      <c r="E468" s="208">
        <f>IF($B468="","",IFERROR(BDP($B468&amp;" Action","CP037"),""))</f>
        <v/>
      </c>
      <c r="F468" s="209">
        <f>Database!T468</f>
        <v/>
      </c>
      <c r="G468" s="208">
        <f>IF($B468="","",IFERROR(BDP($B468&amp;" Action","GREENSHOE_FACILITY"),""))</f>
        <v/>
      </c>
      <c r="H468" s="208">
        <f>IF($B468="","",IFERROR(BDP($B468&amp;" Action","OFFERING_GREENSHOE_SHARES_EX"),""))</f>
        <v/>
      </c>
      <c r="I468" s="32">
        <f>Database!AE468</f>
        <v/>
      </c>
      <c r="J468" s="39">
        <f>IFERROR(BDP(TEXT(VALUE(Database!$A468),"0")&amp;" HK Equity","PE_RATIO"),"")</f>
        <v/>
      </c>
      <c r="K468" s="24">
        <f>IFERROR(BDP(TEXT(VALUE(Database!$A468),"0")&amp;" HK Equity","A/H_SHARE_CONVERSION"),"")</f>
        <v/>
      </c>
      <c r="L468" s="32">
        <f>IF(Database!BN468="","(none found)",Database!BN468)</f>
        <v/>
      </c>
      <c r="M468" s="34">
        <f>BDH(TEXT(VALUE(Database!$A468),"0")&amp;" HK Equity","CUR_MKT_CAP",Database!$H468,Database!$H468)</f>
        <v/>
      </c>
      <c r="N468" s="166">
        <f>Database!Q468</f>
        <v/>
      </c>
      <c r="O468" s="39">
        <f>BDH(TEXT(VALUE(Database!$A468),"0")&amp;" HK Equity","PE_RATIO",Database!$H468,Database!$H468)</f>
        <v/>
      </c>
      <c r="P468" s="199">
        <f>IF(Database!BH468="","(n/m or not derivable)",Database!BH468)</f>
        <v/>
      </c>
      <c r="Q468" s="39">
        <f>IF(Database!BN468="","",BDH(LEFT(Database!BN468,FIND(".",Database!BN468)-1)&amp;" CH Equity","PE_RATIO",Database!$H468,Database!$H468))</f>
        <v/>
      </c>
      <c r="R468" s="39">
        <f>IF(Database!BN468="","",BDH("HSAHP Index","PX_LAST",Database!$H468,Database!$H468))</f>
        <v/>
      </c>
      <c r="S468" s="39">
        <f>IFERROR(BDP(TEXT(VALUE(Database!$A468),"0")&amp;" HK Equity","PX_TO_SALES_RATIO"),"")</f>
        <v/>
      </c>
      <c r="T468" s="34">
        <f>IF(Database!BN468="","",IFERROR(BDP(LEFT(Database!BN468,FIND(".",Database!BN468)-1)&amp;" CH Equity","CUR_MKT_CAP")*BDP("CNYHKD Curncy","PX_LAST"),"Awaiting quote"))</f>
        <v/>
      </c>
    </row>
    <row r="469" ht="23" customHeight="1">
      <c r="A469" s="32">
        <f>Database!A469&amp;"  "&amp;Database!B469</f>
        <v/>
      </c>
      <c r="B469" s="24">
        <f>IFERROR(INDEX(BDS(TEXT(VALUE(Database!$A469),"0")&amp;" HK Equity","EQUITY_OFFERINGS","array=t","endcol=1"),MATCH("IPO",BDS(TEXT(VALUE(Database!$A469),"0")&amp;" HK Equity","EQUITY_OFFERINGS","array=t","startcol=2","endcol=2"),0)),"")</f>
        <v/>
      </c>
      <c r="C469" s="208">
        <f>IF($B469="","",IFERROR(BDP($B469&amp;" Action","CP036"),""))</f>
        <v/>
      </c>
      <c r="D469" s="209">
        <f>Database!S469</f>
        <v/>
      </c>
      <c r="E469" s="208">
        <f>IF($B469="","",IFERROR(BDP($B469&amp;" Action","CP037"),""))</f>
        <v/>
      </c>
      <c r="F469" s="209">
        <f>Database!T469</f>
        <v/>
      </c>
      <c r="G469" s="208">
        <f>IF($B469="","",IFERROR(BDP($B469&amp;" Action","GREENSHOE_FACILITY"),""))</f>
        <v/>
      </c>
      <c r="H469" s="208">
        <f>IF($B469="","",IFERROR(BDP($B469&amp;" Action","OFFERING_GREENSHOE_SHARES_EX"),""))</f>
        <v/>
      </c>
      <c r="I469" s="32">
        <f>Database!AE469</f>
        <v/>
      </c>
      <c r="J469" s="39">
        <f>IFERROR(BDP(TEXT(VALUE(Database!$A469),"0")&amp;" HK Equity","PE_RATIO"),"")</f>
        <v/>
      </c>
      <c r="K469" s="24">
        <f>IFERROR(BDP(TEXT(VALUE(Database!$A469),"0")&amp;" HK Equity","A/H_SHARE_CONVERSION"),"")</f>
        <v/>
      </c>
      <c r="L469" s="32">
        <f>IF(Database!BN469="","(none found)",Database!BN469)</f>
        <v/>
      </c>
      <c r="M469" s="34">
        <f>BDH(TEXT(VALUE(Database!$A469),"0")&amp;" HK Equity","CUR_MKT_CAP",Database!$H469,Database!$H469)</f>
        <v/>
      </c>
      <c r="N469" s="166">
        <f>Database!Q469</f>
        <v/>
      </c>
      <c r="O469" s="39">
        <f>BDH(TEXT(VALUE(Database!$A469),"0")&amp;" HK Equity","PE_RATIO",Database!$H469,Database!$H469)</f>
        <v/>
      </c>
      <c r="P469" s="199">
        <f>IF(Database!BH469="","(n/m or not derivable)",Database!BH469)</f>
        <v/>
      </c>
      <c r="Q469" s="39">
        <f>IF(Database!BN469="","",BDH(LEFT(Database!BN469,FIND(".",Database!BN469)-1)&amp;" CH Equity","PE_RATIO",Database!$H469,Database!$H469))</f>
        <v/>
      </c>
      <c r="R469" s="39">
        <f>IF(Database!BN469="","",BDH("HSAHP Index","PX_LAST",Database!$H469,Database!$H469))</f>
        <v/>
      </c>
      <c r="S469" s="39">
        <f>IFERROR(BDP(TEXT(VALUE(Database!$A469),"0")&amp;" HK Equity","PX_TO_SALES_RATIO"),"")</f>
        <v/>
      </c>
      <c r="T469" s="34">
        <f>IF(Database!BN469="","",IFERROR(BDP(LEFT(Database!BN469,FIND(".",Database!BN469)-1)&amp;" CH Equity","CUR_MKT_CAP")*BDP("CNYHKD Curncy","PX_LAST"),"Awaiting quote"))</f>
        <v/>
      </c>
    </row>
    <row r="470" ht="23" customHeight="1">
      <c r="A470" s="32">
        <f>Database!A470&amp;"  "&amp;Database!B470</f>
        <v/>
      </c>
      <c r="B470" s="24">
        <f>IFERROR(INDEX(BDS(TEXT(VALUE(Database!$A470),"0")&amp;" HK Equity","EQUITY_OFFERINGS","array=t","endcol=1"),MATCH("IPO",BDS(TEXT(VALUE(Database!$A470),"0")&amp;" HK Equity","EQUITY_OFFERINGS","array=t","startcol=2","endcol=2"),0)),"")</f>
        <v/>
      </c>
      <c r="C470" s="208">
        <f>IF($B470="","",IFERROR(BDP($B470&amp;" Action","CP036"),""))</f>
        <v/>
      </c>
      <c r="D470" s="209">
        <f>Database!S470</f>
        <v/>
      </c>
      <c r="E470" s="208">
        <f>IF($B470="","",IFERROR(BDP($B470&amp;" Action","CP037"),""))</f>
        <v/>
      </c>
      <c r="F470" s="209">
        <f>Database!T470</f>
        <v/>
      </c>
      <c r="G470" s="208">
        <f>IF($B470="","",IFERROR(BDP($B470&amp;" Action","GREENSHOE_FACILITY"),""))</f>
        <v/>
      </c>
      <c r="H470" s="208">
        <f>IF($B470="","",IFERROR(BDP($B470&amp;" Action","OFFERING_GREENSHOE_SHARES_EX"),""))</f>
        <v/>
      </c>
      <c r="I470" s="32">
        <f>Database!AE470</f>
        <v/>
      </c>
      <c r="J470" s="39">
        <f>IFERROR(BDP(TEXT(VALUE(Database!$A470),"0")&amp;" HK Equity","PE_RATIO"),"")</f>
        <v/>
      </c>
      <c r="K470" s="24">
        <f>IFERROR(BDP(TEXT(VALUE(Database!$A470),"0")&amp;" HK Equity","A/H_SHARE_CONVERSION"),"")</f>
        <v/>
      </c>
      <c r="L470" s="32">
        <f>IF(Database!BN470="","(none found)",Database!BN470)</f>
        <v/>
      </c>
      <c r="M470" s="34">
        <f>BDH(TEXT(VALUE(Database!$A470),"0")&amp;" HK Equity","CUR_MKT_CAP",Database!$H470,Database!$H470)</f>
        <v/>
      </c>
      <c r="N470" s="166">
        <f>Database!Q470</f>
        <v/>
      </c>
      <c r="O470" s="39">
        <f>BDH(TEXT(VALUE(Database!$A470),"0")&amp;" HK Equity","PE_RATIO",Database!$H470,Database!$H470)</f>
        <v/>
      </c>
      <c r="P470" s="199">
        <f>IF(Database!BH470="","(n/m or not derivable)",Database!BH470)</f>
        <v/>
      </c>
      <c r="Q470" s="39">
        <f>IF(Database!BN470="","",BDH(LEFT(Database!BN470,FIND(".",Database!BN470)-1)&amp;" CH Equity","PE_RATIO",Database!$H470,Database!$H470))</f>
        <v/>
      </c>
      <c r="R470" s="39">
        <f>IF(Database!BN470="","",BDH("HSAHP Index","PX_LAST",Database!$H470,Database!$H470))</f>
        <v/>
      </c>
      <c r="S470" s="39">
        <f>IFERROR(BDP(TEXT(VALUE(Database!$A470),"0")&amp;" HK Equity","PX_TO_SALES_RATIO"),"")</f>
        <v/>
      </c>
      <c r="T470" s="34">
        <f>IF(Database!BN470="","",IFERROR(BDP(LEFT(Database!BN470,FIND(".",Database!BN470)-1)&amp;" CH Equity","CUR_MKT_CAP")*BDP("CNYHKD Curncy","PX_LAST"),"Awaiting quote"))</f>
        <v/>
      </c>
    </row>
    <row r="471" ht="23" customHeight="1">
      <c r="A471" s="32">
        <f>Database!A471&amp;"  "&amp;Database!B471</f>
        <v/>
      </c>
      <c r="B471" s="24">
        <f>IFERROR(INDEX(BDS(TEXT(VALUE(Database!$A471),"0")&amp;" HK Equity","EQUITY_OFFERINGS","array=t","endcol=1"),MATCH("IPO",BDS(TEXT(VALUE(Database!$A471),"0")&amp;" HK Equity","EQUITY_OFFERINGS","array=t","startcol=2","endcol=2"),0)),"")</f>
        <v/>
      </c>
      <c r="C471" s="208">
        <f>IF($B471="","",IFERROR(BDP($B471&amp;" Action","CP036"),""))</f>
        <v/>
      </c>
      <c r="D471" s="209">
        <f>Database!S471</f>
        <v/>
      </c>
      <c r="E471" s="208">
        <f>IF($B471="","",IFERROR(BDP($B471&amp;" Action","CP037"),""))</f>
        <v/>
      </c>
      <c r="F471" s="209">
        <f>Database!T471</f>
        <v/>
      </c>
      <c r="G471" s="208">
        <f>IF($B471="","",IFERROR(BDP($B471&amp;" Action","GREENSHOE_FACILITY"),""))</f>
        <v/>
      </c>
      <c r="H471" s="208">
        <f>IF($B471="","",IFERROR(BDP($B471&amp;" Action","OFFERING_GREENSHOE_SHARES_EX"),""))</f>
        <v/>
      </c>
      <c r="I471" s="32">
        <f>Database!AE471</f>
        <v/>
      </c>
      <c r="J471" s="39">
        <f>IFERROR(BDP(TEXT(VALUE(Database!$A471),"0")&amp;" HK Equity","PE_RATIO"),"")</f>
        <v/>
      </c>
      <c r="K471" s="24">
        <f>IFERROR(BDP(TEXT(VALUE(Database!$A471),"0")&amp;" HK Equity","A/H_SHARE_CONVERSION"),"")</f>
        <v/>
      </c>
      <c r="L471" s="32">
        <f>IF(Database!BN471="","(none found)",Database!BN471)</f>
        <v/>
      </c>
      <c r="M471" s="34">
        <f>BDH(TEXT(VALUE(Database!$A471),"0")&amp;" HK Equity","CUR_MKT_CAP",Database!$H471,Database!$H471)</f>
        <v/>
      </c>
      <c r="N471" s="166">
        <f>Database!Q471</f>
        <v/>
      </c>
      <c r="O471" s="39">
        <f>BDH(TEXT(VALUE(Database!$A471),"0")&amp;" HK Equity","PE_RATIO",Database!$H471,Database!$H471)</f>
        <v/>
      </c>
      <c r="P471" s="199">
        <f>IF(Database!BH471="","(n/m or not derivable)",Database!BH471)</f>
        <v/>
      </c>
      <c r="Q471" s="39">
        <f>IF(Database!BN471="","",BDH(LEFT(Database!BN471,FIND(".",Database!BN471)-1)&amp;" CH Equity","PE_RATIO",Database!$H471,Database!$H471))</f>
        <v/>
      </c>
      <c r="R471" s="39">
        <f>IF(Database!BN471="","",BDH("HSAHP Index","PX_LAST",Database!$H471,Database!$H471))</f>
        <v/>
      </c>
      <c r="S471" s="39">
        <f>IFERROR(BDP(TEXT(VALUE(Database!$A471),"0")&amp;" HK Equity","PX_TO_SALES_RATIO"),"")</f>
        <v/>
      </c>
      <c r="T471" s="34">
        <f>IF(Database!BN471="","",IFERROR(BDP(LEFT(Database!BN471,FIND(".",Database!BN471)-1)&amp;" CH Equity","CUR_MKT_CAP")*BDP("CNYHKD Curncy","PX_LAST"),"Awaiting quote"))</f>
        <v/>
      </c>
    </row>
    <row r="472" ht="23" customHeight="1">
      <c r="A472" s="32">
        <f>Database!A472&amp;"  "&amp;Database!B472</f>
        <v/>
      </c>
      <c r="B472" s="24">
        <f>IFERROR(INDEX(BDS(TEXT(VALUE(Database!$A472),"0")&amp;" HK Equity","EQUITY_OFFERINGS","array=t","endcol=1"),MATCH("IPO",BDS(TEXT(VALUE(Database!$A472),"0")&amp;" HK Equity","EQUITY_OFFERINGS","array=t","startcol=2","endcol=2"),0)),"")</f>
        <v/>
      </c>
      <c r="C472" s="208">
        <f>IF($B472="","",IFERROR(BDP($B472&amp;" Action","CP036"),""))</f>
        <v/>
      </c>
      <c r="D472" s="209">
        <f>Database!S472</f>
        <v/>
      </c>
      <c r="E472" s="208">
        <f>IF($B472="","",IFERROR(BDP($B472&amp;" Action","CP037"),""))</f>
        <v/>
      </c>
      <c r="F472" s="209">
        <f>Database!T472</f>
        <v/>
      </c>
      <c r="G472" s="208">
        <f>IF($B472="","",IFERROR(BDP($B472&amp;" Action","GREENSHOE_FACILITY"),""))</f>
        <v/>
      </c>
      <c r="H472" s="208">
        <f>IF($B472="","",IFERROR(BDP($B472&amp;" Action","OFFERING_GREENSHOE_SHARES_EX"),""))</f>
        <v/>
      </c>
      <c r="I472" s="32">
        <f>Database!AE472</f>
        <v/>
      </c>
      <c r="J472" s="39">
        <f>IFERROR(BDP(TEXT(VALUE(Database!$A472),"0")&amp;" HK Equity","PE_RATIO"),"")</f>
        <v/>
      </c>
      <c r="K472" s="24">
        <f>IFERROR(BDP(TEXT(VALUE(Database!$A472),"0")&amp;" HK Equity","A/H_SHARE_CONVERSION"),"")</f>
        <v/>
      </c>
      <c r="L472" s="32">
        <f>IF(Database!BN472="","(none found)",Database!BN472)</f>
        <v/>
      </c>
      <c r="M472" s="34">
        <f>BDH(TEXT(VALUE(Database!$A472),"0")&amp;" HK Equity","CUR_MKT_CAP",Database!$H472,Database!$H472)</f>
        <v/>
      </c>
      <c r="N472" s="166">
        <f>Database!Q472</f>
        <v/>
      </c>
      <c r="O472" s="39">
        <f>BDH(TEXT(VALUE(Database!$A472),"0")&amp;" HK Equity","PE_RATIO",Database!$H472,Database!$H472)</f>
        <v/>
      </c>
      <c r="P472" s="199">
        <f>IF(Database!BH472="","(n/m or not derivable)",Database!BH472)</f>
        <v/>
      </c>
      <c r="Q472" s="39">
        <f>IF(Database!BN472="","",BDH(LEFT(Database!BN472,FIND(".",Database!BN472)-1)&amp;" CH Equity","PE_RATIO",Database!$H472,Database!$H472))</f>
        <v/>
      </c>
      <c r="R472" s="39">
        <f>IF(Database!BN472="","",BDH("HSAHP Index","PX_LAST",Database!$H472,Database!$H472))</f>
        <v/>
      </c>
      <c r="S472" s="39">
        <f>IFERROR(BDP(TEXT(VALUE(Database!$A472),"0")&amp;" HK Equity","PX_TO_SALES_RATIO"),"")</f>
        <v/>
      </c>
      <c r="T472" s="34">
        <f>IF(Database!BN472="","",IFERROR(BDP(LEFT(Database!BN472,FIND(".",Database!BN472)-1)&amp;" CH Equity","CUR_MKT_CAP")*BDP("CNYHKD Curncy","PX_LAST"),"Awaiting quote"))</f>
        <v/>
      </c>
    </row>
    <row r="473" ht="23" customHeight="1">
      <c r="A473" s="32">
        <f>Database!A473&amp;"  "&amp;Database!B473</f>
        <v/>
      </c>
      <c r="B473" s="24">
        <f>IFERROR(INDEX(BDS(TEXT(VALUE(Database!$A473),"0")&amp;" HK Equity","EQUITY_OFFERINGS","array=t","endcol=1"),MATCH("IPO",BDS(TEXT(VALUE(Database!$A473),"0")&amp;" HK Equity","EQUITY_OFFERINGS","array=t","startcol=2","endcol=2"),0)),"")</f>
        <v/>
      </c>
      <c r="C473" s="208">
        <f>IF($B473="","",IFERROR(BDP($B473&amp;" Action","CP036"),""))</f>
        <v/>
      </c>
      <c r="D473" s="209">
        <f>Database!S473</f>
        <v/>
      </c>
      <c r="E473" s="208">
        <f>IF($B473="","",IFERROR(BDP($B473&amp;" Action","CP037"),""))</f>
        <v/>
      </c>
      <c r="F473" s="209">
        <f>Database!T473</f>
        <v/>
      </c>
      <c r="G473" s="208">
        <f>IF($B473="","",IFERROR(BDP($B473&amp;" Action","GREENSHOE_FACILITY"),""))</f>
        <v/>
      </c>
      <c r="H473" s="208">
        <f>IF($B473="","",IFERROR(BDP($B473&amp;" Action","OFFERING_GREENSHOE_SHARES_EX"),""))</f>
        <v/>
      </c>
      <c r="I473" s="32">
        <f>Database!AE473</f>
        <v/>
      </c>
      <c r="J473" s="39">
        <f>IFERROR(BDP(TEXT(VALUE(Database!$A473),"0")&amp;" HK Equity","PE_RATIO"),"")</f>
        <v/>
      </c>
      <c r="K473" s="24">
        <f>IFERROR(BDP(TEXT(VALUE(Database!$A473),"0")&amp;" HK Equity","A/H_SHARE_CONVERSION"),"")</f>
        <v/>
      </c>
      <c r="L473" s="32">
        <f>IF(Database!BN473="","(none found)",Database!BN473)</f>
        <v/>
      </c>
      <c r="M473" s="34">
        <f>BDH(TEXT(VALUE(Database!$A473),"0")&amp;" HK Equity","CUR_MKT_CAP",Database!$H473,Database!$H473)</f>
        <v/>
      </c>
      <c r="N473" s="166">
        <f>Database!Q473</f>
        <v/>
      </c>
      <c r="O473" s="39">
        <f>BDH(TEXT(VALUE(Database!$A473),"0")&amp;" HK Equity","PE_RATIO",Database!$H473,Database!$H473)</f>
        <v/>
      </c>
      <c r="P473" s="199">
        <f>IF(Database!BH473="","(n/m or not derivable)",Database!BH473)</f>
        <v/>
      </c>
      <c r="Q473" s="39">
        <f>IF(Database!BN473="","",BDH(LEFT(Database!BN473,FIND(".",Database!BN473)-1)&amp;" CH Equity","PE_RATIO",Database!$H473,Database!$H473))</f>
        <v/>
      </c>
      <c r="R473" s="39">
        <f>IF(Database!BN473="","",BDH("HSAHP Index","PX_LAST",Database!$H473,Database!$H473))</f>
        <v/>
      </c>
      <c r="S473" s="39">
        <f>IFERROR(BDP(TEXT(VALUE(Database!$A473),"0")&amp;" HK Equity","PX_TO_SALES_RATIO"),"")</f>
        <v/>
      </c>
      <c r="T473" s="34">
        <f>IF(Database!BN473="","",IFERROR(BDP(LEFT(Database!BN473,FIND(".",Database!BN473)-1)&amp;" CH Equity","CUR_MKT_CAP")*BDP("CNYHKD Curncy","PX_LAST"),"Awaiting quote"))</f>
        <v/>
      </c>
    </row>
    <row r="474" ht="23" customHeight="1">
      <c r="A474" s="32">
        <f>Database!A474&amp;"  "&amp;Database!B474</f>
        <v/>
      </c>
      <c r="B474" s="24">
        <f>IFERROR(INDEX(BDS(TEXT(VALUE(Database!$A474),"0")&amp;" HK Equity","EQUITY_OFFERINGS","array=t","endcol=1"),MATCH("IPO",BDS(TEXT(VALUE(Database!$A474),"0")&amp;" HK Equity","EQUITY_OFFERINGS","array=t","startcol=2","endcol=2"),0)),"")</f>
        <v/>
      </c>
      <c r="C474" s="208">
        <f>IF($B474="","",IFERROR(BDP($B474&amp;" Action","CP036"),""))</f>
        <v/>
      </c>
      <c r="D474" s="209">
        <f>Database!S474</f>
        <v/>
      </c>
      <c r="E474" s="208">
        <f>IF($B474="","",IFERROR(BDP($B474&amp;" Action","CP037"),""))</f>
        <v/>
      </c>
      <c r="F474" s="209">
        <f>Database!T474</f>
        <v/>
      </c>
      <c r="G474" s="208">
        <f>IF($B474="","",IFERROR(BDP($B474&amp;" Action","GREENSHOE_FACILITY"),""))</f>
        <v/>
      </c>
      <c r="H474" s="208">
        <f>IF($B474="","",IFERROR(BDP($B474&amp;" Action","OFFERING_GREENSHOE_SHARES_EX"),""))</f>
        <v/>
      </c>
      <c r="I474" s="32">
        <f>Database!AE474</f>
        <v/>
      </c>
      <c r="J474" s="39">
        <f>IFERROR(BDP(TEXT(VALUE(Database!$A474),"0")&amp;" HK Equity","PE_RATIO"),"")</f>
        <v/>
      </c>
      <c r="K474" s="24">
        <f>IFERROR(BDP(TEXT(VALUE(Database!$A474),"0")&amp;" HK Equity","A/H_SHARE_CONVERSION"),"")</f>
        <v/>
      </c>
      <c r="L474" s="32">
        <f>IF(Database!BN474="","(none found)",Database!BN474)</f>
        <v/>
      </c>
      <c r="M474" s="34">
        <f>BDH(TEXT(VALUE(Database!$A474),"0")&amp;" HK Equity","CUR_MKT_CAP",Database!$H474,Database!$H474)</f>
        <v/>
      </c>
      <c r="N474" s="166">
        <f>Database!Q474</f>
        <v/>
      </c>
      <c r="O474" s="39">
        <f>BDH(TEXT(VALUE(Database!$A474),"0")&amp;" HK Equity","PE_RATIO",Database!$H474,Database!$H474)</f>
        <v/>
      </c>
      <c r="P474" s="199">
        <f>IF(Database!BH474="","(n/m or not derivable)",Database!BH474)</f>
        <v/>
      </c>
      <c r="Q474" s="39">
        <f>IF(Database!BN474="","",BDH(LEFT(Database!BN474,FIND(".",Database!BN474)-1)&amp;" CH Equity","PE_RATIO",Database!$H474,Database!$H474))</f>
        <v/>
      </c>
      <c r="R474" s="39">
        <f>IF(Database!BN474="","",BDH("HSAHP Index","PX_LAST",Database!$H474,Database!$H474))</f>
        <v/>
      </c>
      <c r="S474" s="39">
        <f>IFERROR(BDP(TEXT(VALUE(Database!$A474),"0")&amp;" HK Equity","PX_TO_SALES_RATIO"),"")</f>
        <v/>
      </c>
      <c r="T474" s="34">
        <f>IF(Database!BN474="","",IFERROR(BDP(LEFT(Database!BN474,FIND(".",Database!BN474)-1)&amp;" CH Equity","CUR_MKT_CAP")*BDP("CNYHKD Curncy","PX_LAST"),"Awaiting quote"))</f>
        <v/>
      </c>
    </row>
    <row r="475" ht="23" customHeight="1">
      <c r="A475" s="32">
        <f>Database!A475&amp;"  "&amp;Database!B475</f>
        <v/>
      </c>
      <c r="B475" s="24">
        <f>IFERROR(INDEX(BDS(TEXT(VALUE(Database!$A475),"0")&amp;" HK Equity","EQUITY_OFFERINGS","array=t","endcol=1"),MATCH("IPO",BDS(TEXT(VALUE(Database!$A475),"0")&amp;" HK Equity","EQUITY_OFFERINGS","array=t","startcol=2","endcol=2"),0)),"")</f>
        <v/>
      </c>
      <c r="C475" s="208">
        <f>IF($B475="","",IFERROR(BDP($B475&amp;" Action","CP036"),""))</f>
        <v/>
      </c>
      <c r="D475" s="209">
        <f>Database!S475</f>
        <v/>
      </c>
      <c r="E475" s="208">
        <f>IF($B475="","",IFERROR(BDP($B475&amp;" Action","CP037"),""))</f>
        <v/>
      </c>
      <c r="F475" s="209">
        <f>Database!T475</f>
        <v/>
      </c>
      <c r="G475" s="208">
        <f>IF($B475="","",IFERROR(BDP($B475&amp;" Action","GREENSHOE_FACILITY"),""))</f>
        <v/>
      </c>
      <c r="H475" s="208">
        <f>IF($B475="","",IFERROR(BDP($B475&amp;" Action","OFFERING_GREENSHOE_SHARES_EX"),""))</f>
        <v/>
      </c>
      <c r="I475" s="32">
        <f>Database!AE475</f>
        <v/>
      </c>
      <c r="J475" s="39">
        <f>IFERROR(BDP(TEXT(VALUE(Database!$A475),"0")&amp;" HK Equity","PE_RATIO"),"")</f>
        <v/>
      </c>
      <c r="K475" s="24">
        <f>IFERROR(BDP(TEXT(VALUE(Database!$A475),"0")&amp;" HK Equity","A/H_SHARE_CONVERSION"),"")</f>
        <v/>
      </c>
      <c r="L475" s="32">
        <f>IF(Database!BN475="","(none found)",Database!BN475)</f>
        <v/>
      </c>
      <c r="M475" s="34">
        <f>BDH(TEXT(VALUE(Database!$A475),"0")&amp;" HK Equity","CUR_MKT_CAP",Database!$H475,Database!$H475)</f>
        <v/>
      </c>
      <c r="N475" s="166">
        <f>Database!Q475</f>
        <v/>
      </c>
      <c r="O475" s="39">
        <f>BDH(TEXT(VALUE(Database!$A475),"0")&amp;" HK Equity","PE_RATIO",Database!$H475,Database!$H475)</f>
        <v/>
      </c>
      <c r="P475" s="199">
        <f>IF(Database!BH475="","(n/m or not derivable)",Database!BH475)</f>
        <v/>
      </c>
      <c r="Q475" s="39">
        <f>IF(Database!BN475="","",BDH(LEFT(Database!BN475,FIND(".",Database!BN475)-1)&amp;" CH Equity","PE_RATIO",Database!$H475,Database!$H475))</f>
        <v/>
      </c>
      <c r="R475" s="39">
        <f>IF(Database!BN475="","",BDH("HSAHP Index","PX_LAST",Database!$H475,Database!$H475))</f>
        <v/>
      </c>
      <c r="S475" s="39">
        <f>IFERROR(BDP(TEXT(VALUE(Database!$A475),"0")&amp;" HK Equity","PX_TO_SALES_RATIO"),"")</f>
        <v/>
      </c>
      <c r="T475" s="34">
        <f>IF(Database!BN475="","",IFERROR(BDP(LEFT(Database!BN475,FIND(".",Database!BN475)-1)&amp;" CH Equity","CUR_MKT_CAP")*BDP("CNYHKD Curncy","PX_LAST"),"Awaiting quote"))</f>
        <v/>
      </c>
    </row>
    <row r="476" ht="23" customHeight="1">
      <c r="A476" s="32">
        <f>Database!A476&amp;"  "&amp;Database!B476</f>
        <v/>
      </c>
      <c r="B476" s="24">
        <f>IFERROR(INDEX(BDS(TEXT(VALUE(Database!$A476),"0")&amp;" HK Equity","EQUITY_OFFERINGS","array=t","endcol=1"),MATCH("IPO",BDS(TEXT(VALUE(Database!$A476),"0")&amp;" HK Equity","EQUITY_OFFERINGS","array=t","startcol=2","endcol=2"),0)),"")</f>
        <v/>
      </c>
      <c r="C476" s="208">
        <f>IF($B476="","",IFERROR(BDP($B476&amp;" Action","CP036"),""))</f>
        <v/>
      </c>
      <c r="D476" s="209">
        <f>Database!S476</f>
        <v/>
      </c>
      <c r="E476" s="208">
        <f>IF($B476="","",IFERROR(BDP($B476&amp;" Action","CP037"),""))</f>
        <v/>
      </c>
      <c r="F476" s="209">
        <f>Database!T476</f>
        <v/>
      </c>
      <c r="G476" s="208">
        <f>IF($B476="","",IFERROR(BDP($B476&amp;" Action","GREENSHOE_FACILITY"),""))</f>
        <v/>
      </c>
      <c r="H476" s="208">
        <f>IF($B476="","",IFERROR(BDP($B476&amp;" Action","OFFERING_GREENSHOE_SHARES_EX"),""))</f>
        <v/>
      </c>
      <c r="I476" s="32">
        <f>Database!AE476</f>
        <v/>
      </c>
      <c r="J476" s="39">
        <f>IFERROR(BDP(TEXT(VALUE(Database!$A476),"0")&amp;" HK Equity","PE_RATIO"),"")</f>
        <v/>
      </c>
      <c r="K476" s="24">
        <f>IFERROR(BDP(TEXT(VALUE(Database!$A476),"0")&amp;" HK Equity","A/H_SHARE_CONVERSION"),"")</f>
        <v/>
      </c>
      <c r="L476" s="32">
        <f>IF(Database!BN476="","(none found)",Database!BN476)</f>
        <v/>
      </c>
      <c r="M476" s="34">
        <f>BDH(TEXT(VALUE(Database!$A476),"0")&amp;" HK Equity","CUR_MKT_CAP",Database!$H476,Database!$H476)</f>
        <v/>
      </c>
      <c r="N476" s="166">
        <f>Database!Q476</f>
        <v/>
      </c>
      <c r="O476" s="39">
        <f>BDH(TEXT(VALUE(Database!$A476),"0")&amp;" HK Equity","PE_RATIO",Database!$H476,Database!$H476)</f>
        <v/>
      </c>
      <c r="P476" s="199">
        <f>IF(Database!BH476="","(n/m or not derivable)",Database!BH476)</f>
        <v/>
      </c>
      <c r="Q476" s="39">
        <f>IF(Database!BN476="","",BDH(LEFT(Database!BN476,FIND(".",Database!BN476)-1)&amp;" CH Equity","PE_RATIO",Database!$H476,Database!$H476))</f>
        <v/>
      </c>
      <c r="R476" s="39">
        <f>IF(Database!BN476="","",BDH("HSAHP Index","PX_LAST",Database!$H476,Database!$H476))</f>
        <v/>
      </c>
      <c r="S476" s="39">
        <f>IFERROR(BDP(TEXT(VALUE(Database!$A476),"0")&amp;" HK Equity","PX_TO_SALES_RATIO"),"")</f>
        <v/>
      </c>
      <c r="T476" s="34">
        <f>IF(Database!BN476="","",IFERROR(BDP(LEFT(Database!BN476,FIND(".",Database!BN476)-1)&amp;" CH Equity","CUR_MKT_CAP")*BDP("CNYHKD Curncy","PX_LAST"),"Awaiting quote"))</f>
        <v/>
      </c>
    </row>
    <row r="477" ht="23" customHeight="1">
      <c r="A477" s="32">
        <f>Database!A477&amp;"  "&amp;Database!B477</f>
        <v/>
      </c>
      <c r="B477" s="24">
        <f>IFERROR(INDEX(BDS(TEXT(VALUE(Database!$A477),"0")&amp;" HK Equity","EQUITY_OFFERINGS","array=t","endcol=1"),MATCH("IPO",BDS(TEXT(VALUE(Database!$A477),"0")&amp;" HK Equity","EQUITY_OFFERINGS","array=t","startcol=2","endcol=2"),0)),"")</f>
        <v/>
      </c>
      <c r="C477" s="208">
        <f>IF($B477="","",IFERROR(BDP($B477&amp;" Action","CP036"),""))</f>
        <v/>
      </c>
      <c r="D477" s="209">
        <f>Database!S477</f>
        <v/>
      </c>
      <c r="E477" s="208">
        <f>IF($B477="","",IFERROR(BDP($B477&amp;" Action","CP037"),""))</f>
        <v/>
      </c>
      <c r="F477" s="209">
        <f>Database!T477</f>
        <v/>
      </c>
      <c r="G477" s="208">
        <f>IF($B477="","",IFERROR(BDP($B477&amp;" Action","GREENSHOE_FACILITY"),""))</f>
        <v/>
      </c>
      <c r="H477" s="208">
        <f>IF($B477="","",IFERROR(BDP($B477&amp;" Action","OFFERING_GREENSHOE_SHARES_EX"),""))</f>
        <v/>
      </c>
      <c r="I477" s="32">
        <f>Database!AE477</f>
        <v/>
      </c>
      <c r="J477" s="39">
        <f>IFERROR(BDP(TEXT(VALUE(Database!$A477),"0")&amp;" HK Equity","PE_RATIO"),"")</f>
        <v/>
      </c>
      <c r="K477" s="24">
        <f>IFERROR(BDP(TEXT(VALUE(Database!$A477),"0")&amp;" HK Equity","A/H_SHARE_CONVERSION"),"")</f>
        <v/>
      </c>
      <c r="L477" s="32">
        <f>IF(Database!BN477="","(none found)",Database!BN477)</f>
        <v/>
      </c>
      <c r="M477" s="34">
        <f>BDH(TEXT(VALUE(Database!$A477),"0")&amp;" HK Equity","CUR_MKT_CAP",Database!$H477,Database!$H477)</f>
        <v/>
      </c>
      <c r="N477" s="166">
        <f>Database!Q477</f>
        <v/>
      </c>
      <c r="O477" s="39">
        <f>BDH(TEXT(VALUE(Database!$A477),"0")&amp;" HK Equity","PE_RATIO",Database!$H477,Database!$H477)</f>
        <v/>
      </c>
      <c r="P477" s="199">
        <f>IF(Database!BH477="","(n/m or not derivable)",Database!BH477)</f>
        <v/>
      </c>
      <c r="Q477" s="39">
        <f>IF(Database!BN477="","",BDH(LEFT(Database!BN477,FIND(".",Database!BN477)-1)&amp;" CH Equity","PE_RATIO",Database!$H477,Database!$H477))</f>
        <v/>
      </c>
      <c r="R477" s="39">
        <f>IF(Database!BN477="","",BDH("HSAHP Index","PX_LAST",Database!$H477,Database!$H477))</f>
        <v/>
      </c>
      <c r="S477" s="39">
        <f>IFERROR(BDP(TEXT(VALUE(Database!$A477),"0")&amp;" HK Equity","PX_TO_SALES_RATIO"),"")</f>
        <v/>
      </c>
      <c r="T477" s="34">
        <f>IF(Database!BN477="","",IFERROR(BDP(LEFT(Database!BN477,FIND(".",Database!BN477)-1)&amp;" CH Equity","CUR_MKT_CAP")*BDP("CNYHKD Curncy","PX_LAST"),"Awaiting quote"))</f>
        <v/>
      </c>
    </row>
    <row r="478" ht="23" customHeight="1">
      <c r="A478" s="32">
        <f>Database!A478&amp;"  "&amp;Database!B478</f>
        <v/>
      </c>
      <c r="B478" s="24">
        <f>IFERROR(INDEX(BDS(TEXT(VALUE(Database!$A478),"0")&amp;" HK Equity","EQUITY_OFFERINGS","array=t","endcol=1"),MATCH("IPO",BDS(TEXT(VALUE(Database!$A478),"0")&amp;" HK Equity","EQUITY_OFFERINGS","array=t","startcol=2","endcol=2"),0)),"")</f>
        <v/>
      </c>
      <c r="C478" s="208">
        <f>IF($B478="","",IFERROR(BDP($B478&amp;" Action","CP036"),""))</f>
        <v/>
      </c>
      <c r="D478" s="209">
        <f>Database!S478</f>
        <v/>
      </c>
      <c r="E478" s="208">
        <f>IF($B478="","",IFERROR(BDP($B478&amp;" Action","CP037"),""))</f>
        <v/>
      </c>
      <c r="F478" s="209">
        <f>Database!T478</f>
        <v/>
      </c>
      <c r="G478" s="208">
        <f>IF($B478="","",IFERROR(BDP($B478&amp;" Action","GREENSHOE_FACILITY"),""))</f>
        <v/>
      </c>
      <c r="H478" s="208">
        <f>IF($B478="","",IFERROR(BDP($B478&amp;" Action","OFFERING_GREENSHOE_SHARES_EX"),""))</f>
        <v/>
      </c>
      <c r="I478" s="32">
        <f>Database!AE478</f>
        <v/>
      </c>
      <c r="J478" s="39">
        <f>IFERROR(BDP(TEXT(VALUE(Database!$A478),"0")&amp;" HK Equity","PE_RATIO"),"")</f>
        <v/>
      </c>
      <c r="K478" s="24">
        <f>IFERROR(BDP(TEXT(VALUE(Database!$A478),"0")&amp;" HK Equity","A/H_SHARE_CONVERSION"),"")</f>
        <v/>
      </c>
      <c r="L478" s="32">
        <f>IF(Database!BN478="","(none found)",Database!BN478)</f>
        <v/>
      </c>
      <c r="M478" s="34">
        <f>BDH(TEXT(VALUE(Database!$A478),"0")&amp;" HK Equity","CUR_MKT_CAP",Database!$H478,Database!$H478)</f>
        <v/>
      </c>
      <c r="N478" s="166">
        <f>Database!Q478</f>
        <v/>
      </c>
      <c r="O478" s="39">
        <f>BDH(TEXT(VALUE(Database!$A478),"0")&amp;" HK Equity","PE_RATIO",Database!$H478,Database!$H478)</f>
        <v/>
      </c>
      <c r="P478" s="199">
        <f>IF(Database!BH478="","(n/m or not derivable)",Database!BH478)</f>
        <v/>
      </c>
      <c r="Q478" s="39">
        <f>IF(Database!BN478="","",BDH(LEFT(Database!BN478,FIND(".",Database!BN478)-1)&amp;" CH Equity","PE_RATIO",Database!$H478,Database!$H478))</f>
        <v/>
      </c>
      <c r="R478" s="39">
        <f>IF(Database!BN478="","",BDH("HSAHP Index","PX_LAST",Database!$H478,Database!$H478))</f>
        <v/>
      </c>
      <c r="S478" s="39">
        <f>IFERROR(BDP(TEXT(VALUE(Database!$A478),"0")&amp;" HK Equity","PX_TO_SALES_RATIO"),"")</f>
        <v/>
      </c>
      <c r="T478" s="34">
        <f>IF(Database!BN478="","",IFERROR(BDP(LEFT(Database!BN478,FIND(".",Database!BN478)-1)&amp;" CH Equity","CUR_MKT_CAP")*BDP("CNYHKD Curncy","PX_LAST"),"Awaiting quote"))</f>
        <v/>
      </c>
    </row>
    <row r="479" ht="23" customHeight="1">
      <c r="A479" s="32">
        <f>Database!A479&amp;"  "&amp;Database!B479</f>
        <v/>
      </c>
      <c r="B479" s="24">
        <f>IFERROR(INDEX(BDS(TEXT(VALUE(Database!$A479),"0")&amp;" HK Equity","EQUITY_OFFERINGS","array=t","endcol=1"),MATCH("IPO",BDS(TEXT(VALUE(Database!$A479),"0")&amp;" HK Equity","EQUITY_OFFERINGS","array=t","startcol=2","endcol=2"),0)),"")</f>
        <v/>
      </c>
      <c r="C479" s="208">
        <f>IF($B479="","",IFERROR(BDP($B479&amp;" Action","CP036"),""))</f>
        <v/>
      </c>
      <c r="D479" s="209">
        <f>Database!S479</f>
        <v/>
      </c>
      <c r="E479" s="208">
        <f>IF($B479="","",IFERROR(BDP($B479&amp;" Action","CP037"),""))</f>
        <v/>
      </c>
      <c r="F479" s="209">
        <f>Database!T479</f>
        <v/>
      </c>
      <c r="G479" s="208">
        <f>IF($B479="","",IFERROR(BDP($B479&amp;" Action","GREENSHOE_FACILITY"),""))</f>
        <v/>
      </c>
      <c r="H479" s="208">
        <f>IF($B479="","",IFERROR(BDP($B479&amp;" Action","OFFERING_GREENSHOE_SHARES_EX"),""))</f>
        <v/>
      </c>
      <c r="I479" s="32">
        <f>Database!AE479</f>
        <v/>
      </c>
      <c r="J479" s="39">
        <f>IFERROR(BDP(TEXT(VALUE(Database!$A479),"0")&amp;" HK Equity","PE_RATIO"),"")</f>
        <v/>
      </c>
      <c r="K479" s="24">
        <f>IFERROR(BDP(TEXT(VALUE(Database!$A479),"0")&amp;" HK Equity","A/H_SHARE_CONVERSION"),"")</f>
        <v/>
      </c>
      <c r="L479" s="32">
        <f>IF(Database!BN479="","(none found)",Database!BN479)</f>
        <v/>
      </c>
      <c r="M479" s="34">
        <f>BDH(TEXT(VALUE(Database!$A479),"0")&amp;" HK Equity","CUR_MKT_CAP",Database!$H479,Database!$H479)</f>
        <v/>
      </c>
      <c r="N479" s="166">
        <f>Database!Q479</f>
        <v/>
      </c>
      <c r="O479" s="39">
        <f>BDH(TEXT(VALUE(Database!$A479),"0")&amp;" HK Equity","PE_RATIO",Database!$H479,Database!$H479)</f>
        <v/>
      </c>
      <c r="P479" s="199">
        <f>IF(Database!BH479="","(n/m or not derivable)",Database!BH479)</f>
        <v/>
      </c>
      <c r="Q479" s="39">
        <f>IF(Database!BN479="","",BDH(LEFT(Database!BN479,FIND(".",Database!BN479)-1)&amp;" CH Equity","PE_RATIO",Database!$H479,Database!$H479))</f>
        <v/>
      </c>
      <c r="R479" s="39">
        <f>IF(Database!BN479="","",BDH("HSAHP Index","PX_LAST",Database!$H479,Database!$H479))</f>
        <v/>
      </c>
      <c r="S479" s="39">
        <f>IFERROR(BDP(TEXT(VALUE(Database!$A479),"0")&amp;" HK Equity","PX_TO_SALES_RATIO"),"")</f>
        <v/>
      </c>
      <c r="T479" s="34">
        <f>IF(Database!BN479="","",IFERROR(BDP(LEFT(Database!BN479,FIND(".",Database!BN479)-1)&amp;" CH Equity","CUR_MKT_CAP")*BDP("CNYHKD Curncy","PX_LAST"),"Awaiting quote"))</f>
        <v/>
      </c>
    </row>
    <row r="480" ht="23" customHeight="1">
      <c r="A480" s="32">
        <f>Database!A480&amp;"  "&amp;Database!B480</f>
        <v/>
      </c>
      <c r="B480" s="24">
        <f>IFERROR(INDEX(BDS(TEXT(VALUE(Database!$A480),"0")&amp;" HK Equity","EQUITY_OFFERINGS","array=t","endcol=1"),MATCH("IPO",BDS(TEXT(VALUE(Database!$A480),"0")&amp;" HK Equity","EQUITY_OFFERINGS","array=t","startcol=2","endcol=2"),0)),"")</f>
        <v/>
      </c>
      <c r="C480" s="208">
        <f>IF($B480="","",IFERROR(BDP($B480&amp;" Action","CP036"),""))</f>
        <v/>
      </c>
      <c r="D480" s="209">
        <f>Database!S480</f>
        <v/>
      </c>
      <c r="E480" s="208">
        <f>IF($B480="","",IFERROR(BDP($B480&amp;" Action","CP037"),""))</f>
        <v/>
      </c>
      <c r="F480" s="209">
        <f>Database!T480</f>
        <v/>
      </c>
      <c r="G480" s="208">
        <f>IF($B480="","",IFERROR(BDP($B480&amp;" Action","GREENSHOE_FACILITY"),""))</f>
        <v/>
      </c>
      <c r="H480" s="208">
        <f>IF($B480="","",IFERROR(BDP($B480&amp;" Action","OFFERING_GREENSHOE_SHARES_EX"),""))</f>
        <v/>
      </c>
      <c r="I480" s="32">
        <f>Database!AE480</f>
        <v/>
      </c>
      <c r="J480" s="39">
        <f>IFERROR(BDP(TEXT(VALUE(Database!$A480),"0")&amp;" HK Equity","PE_RATIO"),"")</f>
        <v/>
      </c>
      <c r="K480" s="24">
        <f>IFERROR(BDP(TEXT(VALUE(Database!$A480),"0")&amp;" HK Equity","A/H_SHARE_CONVERSION"),"")</f>
        <v/>
      </c>
      <c r="L480" s="32">
        <f>IF(Database!BN480="","(none found)",Database!BN480)</f>
        <v/>
      </c>
      <c r="M480" s="34">
        <f>BDH(TEXT(VALUE(Database!$A480),"0")&amp;" HK Equity","CUR_MKT_CAP",Database!$H480,Database!$H480)</f>
        <v/>
      </c>
      <c r="N480" s="166">
        <f>Database!Q480</f>
        <v/>
      </c>
      <c r="O480" s="39">
        <f>BDH(TEXT(VALUE(Database!$A480),"0")&amp;" HK Equity","PE_RATIO",Database!$H480,Database!$H480)</f>
        <v/>
      </c>
      <c r="P480" s="199">
        <f>IF(Database!BH480="","(n/m or not derivable)",Database!BH480)</f>
        <v/>
      </c>
      <c r="Q480" s="39">
        <f>IF(Database!BN480="","",BDH(LEFT(Database!BN480,FIND(".",Database!BN480)-1)&amp;" CH Equity","PE_RATIO",Database!$H480,Database!$H480))</f>
        <v/>
      </c>
      <c r="R480" s="39">
        <f>IF(Database!BN480="","",BDH("HSAHP Index","PX_LAST",Database!$H480,Database!$H480))</f>
        <v/>
      </c>
      <c r="S480" s="39">
        <f>IFERROR(BDP(TEXT(VALUE(Database!$A480),"0")&amp;" HK Equity","PX_TO_SALES_RATIO"),"")</f>
        <v/>
      </c>
      <c r="T480" s="34">
        <f>IF(Database!BN480="","",IFERROR(BDP(LEFT(Database!BN480,FIND(".",Database!BN480)-1)&amp;" CH Equity","CUR_MKT_CAP")*BDP("CNYHKD Curncy","PX_LAST"),"Awaiting quote"))</f>
        <v/>
      </c>
    </row>
    <row r="481" ht="23" customHeight="1">
      <c r="A481" s="32">
        <f>Database!A481&amp;"  "&amp;Database!B481</f>
        <v/>
      </c>
      <c r="B481" s="24">
        <f>IFERROR(INDEX(BDS(TEXT(VALUE(Database!$A481),"0")&amp;" HK Equity","EQUITY_OFFERINGS","array=t","endcol=1"),MATCH("IPO",BDS(TEXT(VALUE(Database!$A481),"0")&amp;" HK Equity","EQUITY_OFFERINGS","array=t","startcol=2","endcol=2"),0)),"")</f>
        <v/>
      </c>
      <c r="C481" s="208">
        <f>IF($B481="","",IFERROR(BDP($B481&amp;" Action","CP036"),""))</f>
        <v/>
      </c>
      <c r="D481" s="209">
        <f>Database!S481</f>
        <v/>
      </c>
      <c r="E481" s="208">
        <f>IF($B481="","",IFERROR(BDP($B481&amp;" Action","CP037"),""))</f>
        <v/>
      </c>
      <c r="F481" s="209">
        <f>Database!T481</f>
        <v/>
      </c>
      <c r="G481" s="208">
        <f>IF($B481="","",IFERROR(BDP($B481&amp;" Action","GREENSHOE_FACILITY"),""))</f>
        <v/>
      </c>
      <c r="H481" s="208">
        <f>IF($B481="","",IFERROR(BDP($B481&amp;" Action","OFFERING_GREENSHOE_SHARES_EX"),""))</f>
        <v/>
      </c>
      <c r="I481" s="32">
        <f>Database!AE481</f>
        <v/>
      </c>
      <c r="J481" s="39">
        <f>IFERROR(BDP(TEXT(VALUE(Database!$A481),"0")&amp;" HK Equity","PE_RATIO"),"")</f>
        <v/>
      </c>
      <c r="K481" s="24">
        <f>IFERROR(BDP(TEXT(VALUE(Database!$A481),"0")&amp;" HK Equity","A/H_SHARE_CONVERSION"),"")</f>
        <v/>
      </c>
      <c r="L481" s="32">
        <f>IF(Database!BN481="","(none found)",Database!BN481)</f>
        <v/>
      </c>
      <c r="M481" s="34">
        <f>BDH(TEXT(VALUE(Database!$A481),"0")&amp;" HK Equity","CUR_MKT_CAP",Database!$H481,Database!$H481)</f>
        <v/>
      </c>
      <c r="N481" s="166">
        <f>Database!Q481</f>
        <v/>
      </c>
      <c r="O481" s="39">
        <f>BDH(TEXT(VALUE(Database!$A481),"0")&amp;" HK Equity","PE_RATIO",Database!$H481,Database!$H481)</f>
        <v/>
      </c>
      <c r="P481" s="199">
        <f>IF(Database!BH481="","(n/m or not derivable)",Database!BH481)</f>
        <v/>
      </c>
      <c r="Q481" s="39">
        <f>IF(Database!BN481="","",BDH(LEFT(Database!BN481,FIND(".",Database!BN481)-1)&amp;" CH Equity","PE_RATIO",Database!$H481,Database!$H481))</f>
        <v/>
      </c>
      <c r="R481" s="39">
        <f>IF(Database!BN481="","",BDH("HSAHP Index","PX_LAST",Database!$H481,Database!$H481))</f>
        <v/>
      </c>
      <c r="S481" s="39">
        <f>IFERROR(BDP(TEXT(VALUE(Database!$A481),"0")&amp;" HK Equity","PX_TO_SALES_RATIO"),"")</f>
        <v/>
      </c>
      <c r="T481" s="34">
        <f>IF(Database!BN481="","",IFERROR(BDP(LEFT(Database!BN481,FIND(".",Database!BN481)-1)&amp;" CH Equity","CUR_MKT_CAP")*BDP("CNYHKD Curncy","PX_LAST"),"Awaiting quote"))</f>
        <v/>
      </c>
    </row>
    <row r="482" ht="23" customHeight="1">
      <c r="A482" s="32">
        <f>Database!A482&amp;"  "&amp;Database!B482</f>
        <v/>
      </c>
      <c r="B482" s="24">
        <f>IFERROR(INDEX(BDS(TEXT(VALUE(Database!$A482),"0")&amp;" HK Equity","EQUITY_OFFERINGS","array=t","endcol=1"),MATCH("IPO",BDS(TEXT(VALUE(Database!$A482),"0")&amp;" HK Equity","EQUITY_OFFERINGS","array=t","startcol=2","endcol=2"),0)),"")</f>
        <v/>
      </c>
      <c r="C482" s="208">
        <f>IF($B482="","",IFERROR(BDP($B482&amp;" Action","CP036"),""))</f>
        <v/>
      </c>
      <c r="D482" s="209">
        <f>Database!S482</f>
        <v/>
      </c>
      <c r="E482" s="208">
        <f>IF($B482="","",IFERROR(BDP($B482&amp;" Action","CP037"),""))</f>
        <v/>
      </c>
      <c r="F482" s="209">
        <f>Database!T482</f>
        <v/>
      </c>
      <c r="G482" s="208">
        <f>IF($B482="","",IFERROR(BDP($B482&amp;" Action","GREENSHOE_FACILITY"),""))</f>
        <v/>
      </c>
      <c r="H482" s="208">
        <f>IF($B482="","",IFERROR(BDP($B482&amp;" Action","OFFERING_GREENSHOE_SHARES_EX"),""))</f>
        <v/>
      </c>
      <c r="I482" s="32">
        <f>Database!AE482</f>
        <v/>
      </c>
      <c r="J482" s="39">
        <f>IFERROR(BDP(TEXT(VALUE(Database!$A482),"0")&amp;" HK Equity","PE_RATIO"),"")</f>
        <v/>
      </c>
      <c r="K482" s="24">
        <f>IFERROR(BDP(TEXT(VALUE(Database!$A482),"0")&amp;" HK Equity","A/H_SHARE_CONVERSION"),"")</f>
        <v/>
      </c>
      <c r="L482" s="32">
        <f>IF(Database!BN482="","(none found)",Database!BN482)</f>
        <v/>
      </c>
      <c r="M482" s="34">
        <f>BDH(TEXT(VALUE(Database!$A482),"0")&amp;" HK Equity","CUR_MKT_CAP",Database!$H482,Database!$H482)</f>
        <v/>
      </c>
      <c r="N482" s="166">
        <f>Database!Q482</f>
        <v/>
      </c>
      <c r="O482" s="39">
        <f>BDH(TEXT(VALUE(Database!$A482),"0")&amp;" HK Equity","PE_RATIO",Database!$H482,Database!$H482)</f>
        <v/>
      </c>
      <c r="P482" s="199">
        <f>IF(Database!BH482="","(n/m or not derivable)",Database!BH482)</f>
        <v/>
      </c>
      <c r="Q482" s="39">
        <f>IF(Database!BN482="","",BDH(LEFT(Database!BN482,FIND(".",Database!BN482)-1)&amp;" CH Equity","PE_RATIO",Database!$H482,Database!$H482))</f>
        <v/>
      </c>
      <c r="R482" s="39">
        <f>IF(Database!BN482="","",BDH("HSAHP Index","PX_LAST",Database!$H482,Database!$H482))</f>
        <v/>
      </c>
      <c r="S482" s="39">
        <f>IFERROR(BDP(TEXT(VALUE(Database!$A482),"0")&amp;" HK Equity","PX_TO_SALES_RATIO"),"")</f>
        <v/>
      </c>
      <c r="T482" s="34">
        <f>IF(Database!BN482="","",IFERROR(BDP(LEFT(Database!BN482,FIND(".",Database!BN482)-1)&amp;" CH Equity","CUR_MKT_CAP")*BDP("CNYHKD Curncy","PX_LAST"),"Awaiting quote"))</f>
        <v/>
      </c>
    </row>
    <row r="483" ht="23" customHeight="1">
      <c r="A483" s="32">
        <f>Database!A483&amp;"  "&amp;Database!B483</f>
        <v/>
      </c>
      <c r="B483" s="24">
        <f>IFERROR(INDEX(BDS(TEXT(VALUE(Database!$A483),"0")&amp;" HK Equity","EQUITY_OFFERINGS","array=t","endcol=1"),MATCH("IPO",BDS(TEXT(VALUE(Database!$A483),"0")&amp;" HK Equity","EQUITY_OFFERINGS","array=t","startcol=2","endcol=2"),0)),"")</f>
        <v/>
      </c>
      <c r="C483" s="208">
        <f>IF($B483="","",IFERROR(BDP($B483&amp;" Action","CP036"),""))</f>
        <v/>
      </c>
      <c r="D483" s="209">
        <f>Database!S483</f>
        <v/>
      </c>
      <c r="E483" s="208">
        <f>IF($B483="","",IFERROR(BDP($B483&amp;" Action","CP037"),""))</f>
        <v/>
      </c>
      <c r="F483" s="209">
        <f>Database!T483</f>
        <v/>
      </c>
      <c r="G483" s="208">
        <f>IF($B483="","",IFERROR(BDP($B483&amp;" Action","GREENSHOE_FACILITY"),""))</f>
        <v/>
      </c>
      <c r="H483" s="208">
        <f>IF($B483="","",IFERROR(BDP($B483&amp;" Action","OFFERING_GREENSHOE_SHARES_EX"),""))</f>
        <v/>
      </c>
      <c r="I483" s="32">
        <f>Database!AE483</f>
        <v/>
      </c>
      <c r="J483" s="39">
        <f>IFERROR(BDP(TEXT(VALUE(Database!$A483),"0")&amp;" HK Equity","PE_RATIO"),"")</f>
        <v/>
      </c>
      <c r="K483" s="24">
        <f>IFERROR(BDP(TEXT(VALUE(Database!$A483),"0")&amp;" HK Equity","A/H_SHARE_CONVERSION"),"")</f>
        <v/>
      </c>
      <c r="L483" s="32">
        <f>IF(Database!BN483="","(none found)",Database!BN483)</f>
        <v/>
      </c>
      <c r="M483" s="34">
        <f>BDH(TEXT(VALUE(Database!$A483),"0")&amp;" HK Equity","CUR_MKT_CAP",Database!$H483,Database!$H483)</f>
        <v/>
      </c>
      <c r="N483" s="166">
        <f>Database!Q483</f>
        <v/>
      </c>
      <c r="O483" s="39">
        <f>BDH(TEXT(VALUE(Database!$A483),"0")&amp;" HK Equity","PE_RATIO",Database!$H483,Database!$H483)</f>
        <v/>
      </c>
      <c r="P483" s="199">
        <f>IF(Database!BH483="","(n/m or not derivable)",Database!BH483)</f>
        <v/>
      </c>
      <c r="Q483" s="39">
        <f>IF(Database!BN483="","",BDH(LEFT(Database!BN483,FIND(".",Database!BN483)-1)&amp;" CH Equity","PE_RATIO",Database!$H483,Database!$H483))</f>
        <v/>
      </c>
      <c r="R483" s="39">
        <f>IF(Database!BN483="","",BDH("HSAHP Index","PX_LAST",Database!$H483,Database!$H483))</f>
        <v/>
      </c>
      <c r="S483" s="39">
        <f>IFERROR(BDP(TEXT(VALUE(Database!$A483),"0")&amp;" HK Equity","PX_TO_SALES_RATIO"),"")</f>
        <v/>
      </c>
      <c r="T483" s="34">
        <f>IF(Database!BN483="","",IFERROR(BDP(LEFT(Database!BN483,FIND(".",Database!BN483)-1)&amp;" CH Equity","CUR_MKT_CAP")*BDP("CNYHKD Curncy","PX_LAST"),"Awaiting quote"))</f>
        <v/>
      </c>
    </row>
    <row r="484" ht="23" customHeight="1">
      <c r="A484" s="32">
        <f>Database!A484&amp;"  "&amp;Database!B484</f>
        <v/>
      </c>
      <c r="B484" s="24">
        <f>IFERROR(INDEX(BDS(TEXT(VALUE(Database!$A484),"0")&amp;" HK Equity","EQUITY_OFFERINGS","array=t","endcol=1"),MATCH("IPO",BDS(TEXT(VALUE(Database!$A484),"0")&amp;" HK Equity","EQUITY_OFFERINGS","array=t","startcol=2","endcol=2"),0)),"")</f>
        <v/>
      </c>
      <c r="C484" s="208">
        <f>IF($B484="","",IFERROR(BDP($B484&amp;" Action","CP036"),""))</f>
        <v/>
      </c>
      <c r="D484" s="209">
        <f>Database!S484</f>
        <v/>
      </c>
      <c r="E484" s="208">
        <f>IF($B484="","",IFERROR(BDP($B484&amp;" Action","CP037"),""))</f>
        <v/>
      </c>
      <c r="F484" s="209">
        <f>Database!T484</f>
        <v/>
      </c>
      <c r="G484" s="208">
        <f>IF($B484="","",IFERROR(BDP($B484&amp;" Action","GREENSHOE_FACILITY"),""))</f>
        <v/>
      </c>
      <c r="H484" s="208">
        <f>IF($B484="","",IFERROR(BDP($B484&amp;" Action","OFFERING_GREENSHOE_SHARES_EX"),""))</f>
        <v/>
      </c>
      <c r="I484" s="32">
        <f>Database!AE484</f>
        <v/>
      </c>
      <c r="J484" s="39">
        <f>IFERROR(BDP(TEXT(VALUE(Database!$A484),"0")&amp;" HK Equity","PE_RATIO"),"")</f>
        <v/>
      </c>
      <c r="K484" s="24">
        <f>IFERROR(BDP(TEXT(VALUE(Database!$A484),"0")&amp;" HK Equity","A/H_SHARE_CONVERSION"),"")</f>
        <v/>
      </c>
      <c r="L484" s="32">
        <f>IF(Database!BN484="","(none found)",Database!BN484)</f>
        <v/>
      </c>
      <c r="M484" s="34">
        <f>BDH(TEXT(VALUE(Database!$A484),"0")&amp;" HK Equity","CUR_MKT_CAP",Database!$H484,Database!$H484)</f>
        <v/>
      </c>
      <c r="N484" s="166">
        <f>Database!Q484</f>
        <v/>
      </c>
      <c r="O484" s="39">
        <f>BDH(TEXT(VALUE(Database!$A484),"0")&amp;" HK Equity","PE_RATIO",Database!$H484,Database!$H484)</f>
        <v/>
      </c>
      <c r="P484" s="199">
        <f>IF(Database!BH484="","(n/m or not derivable)",Database!BH484)</f>
        <v/>
      </c>
      <c r="Q484" s="39">
        <f>IF(Database!BN484="","",BDH(LEFT(Database!BN484,FIND(".",Database!BN484)-1)&amp;" CH Equity","PE_RATIO",Database!$H484,Database!$H484))</f>
        <v/>
      </c>
      <c r="R484" s="39">
        <f>IF(Database!BN484="","",BDH("HSAHP Index","PX_LAST",Database!$H484,Database!$H484))</f>
        <v/>
      </c>
      <c r="S484" s="39">
        <f>IFERROR(BDP(TEXT(VALUE(Database!$A484),"0")&amp;" HK Equity","PX_TO_SALES_RATIO"),"")</f>
        <v/>
      </c>
      <c r="T484" s="34">
        <f>IF(Database!BN484="","",IFERROR(BDP(LEFT(Database!BN484,FIND(".",Database!BN484)-1)&amp;" CH Equity","CUR_MKT_CAP")*BDP("CNYHKD Curncy","PX_LAST"),"Awaiting quote"))</f>
        <v/>
      </c>
    </row>
    <row r="485" ht="23" customHeight="1">
      <c r="A485" s="32">
        <f>Database!A485&amp;"  "&amp;Database!B485</f>
        <v/>
      </c>
      <c r="B485" s="24">
        <f>IFERROR(INDEX(BDS(TEXT(VALUE(Database!$A485),"0")&amp;" HK Equity","EQUITY_OFFERINGS","array=t","endcol=1"),MATCH("IPO",BDS(TEXT(VALUE(Database!$A485),"0")&amp;" HK Equity","EQUITY_OFFERINGS","array=t","startcol=2","endcol=2"),0)),"")</f>
        <v/>
      </c>
      <c r="C485" s="208">
        <f>IF($B485="","",IFERROR(BDP($B485&amp;" Action","CP036"),""))</f>
        <v/>
      </c>
      <c r="D485" s="209">
        <f>Database!S485</f>
        <v/>
      </c>
      <c r="E485" s="208">
        <f>IF($B485="","",IFERROR(BDP($B485&amp;" Action","CP037"),""))</f>
        <v/>
      </c>
      <c r="F485" s="209">
        <f>Database!T485</f>
        <v/>
      </c>
      <c r="G485" s="208">
        <f>IF($B485="","",IFERROR(BDP($B485&amp;" Action","GREENSHOE_FACILITY"),""))</f>
        <v/>
      </c>
      <c r="H485" s="208">
        <f>IF($B485="","",IFERROR(BDP($B485&amp;" Action","OFFERING_GREENSHOE_SHARES_EX"),""))</f>
        <v/>
      </c>
      <c r="I485" s="32">
        <f>Database!AE485</f>
        <v/>
      </c>
      <c r="J485" s="39">
        <f>IFERROR(BDP(TEXT(VALUE(Database!$A485),"0")&amp;" HK Equity","PE_RATIO"),"")</f>
        <v/>
      </c>
      <c r="K485" s="24">
        <f>IFERROR(BDP(TEXT(VALUE(Database!$A485),"0")&amp;" HK Equity","A/H_SHARE_CONVERSION"),"")</f>
        <v/>
      </c>
      <c r="L485" s="32">
        <f>IF(Database!BN485="","(none found)",Database!BN485)</f>
        <v/>
      </c>
      <c r="M485" s="34">
        <f>BDH(TEXT(VALUE(Database!$A485),"0")&amp;" HK Equity","CUR_MKT_CAP",Database!$H485,Database!$H485)</f>
        <v/>
      </c>
      <c r="N485" s="166">
        <f>Database!Q485</f>
        <v/>
      </c>
      <c r="O485" s="39">
        <f>BDH(TEXT(VALUE(Database!$A485),"0")&amp;" HK Equity","PE_RATIO",Database!$H485,Database!$H485)</f>
        <v/>
      </c>
      <c r="P485" s="199">
        <f>IF(Database!BH485="","(n/m or not derivable)",Database!BH485)</f>
        <v/>
      </c>
      <c r="Q485" s="39">
        <f>IF(Database!BN485="","",BDH(LEFT(Database!BN485,FIND(".",Database!BN485)-1)&amp;" CH Equity","PE_RATIO",Database!$H485,Database!$H485))</f>
        <v/>
      </c>
      <c r="R485" s="39">
        <f>IF(Database!BN485="","",BDH("HSAHP Index","PX_LAST",Database!$H485,Database!$H485))</f>
        <v/>
      </c>
      <c r="S485" s="39">
        <f>IFERROR(BDP(TEXT(VALUE(Database!$A485),"0")&amp;" HK Equity","PX_TO_SALES_RATIO"),"")</f>
        <v/>
      </c>
      <c r="T485" s="34">
        <f>IF(Database!BN485="","",IFERROR(BDP(LEFT(Database!BN485,FIND(".",Database!BN485)-1)&amp;" CH Equity","CUR_MKT_CAP")*BDP("CNYHKD Curncy","PX_LAST"),"Awaiting quote"))</f>
        <v/>
      </c>
    </row>
    <row r="486" ht="23" customHeight="1">
      <c r="A486" s="32">
        <f>Database!A486&amp;"  "&amp;Database!B486</f>
        <v/>
      </c>
      <c r="B486" s="24">
        <f>IFERROR(INDEX(BDS(TEXT(VALUE(Database!$A486),"0")&amp;" HK Equity","EQUITY_OFFERINGS","array=t","endcol=1"),MATCH("IPO",BDS(TEXT(VALUE(Database!$A486),"0")&amp;" HK Equity","EQUITY_OFFERINGS","array=t","startcol=2","endcol=2"),0)),"")</f>
        <v/>
      </c>
      <c r="C486" s="208">
        <f>IF($B486="","",IFERROR(BDP($B486&amp;" Action","CP036"),""))</f>
        <v/>
      </c>
      <c r="D486" s="209">
        <f>Database!S486</f>
        <v/>
      </c>
      <c r="E486" s="208">
        <f>IF($B486="","",IFERROR(BDP($B486&amp;" Action","CP037"),""))</f>
        <v/>
      </c>
      <c r="F486" s="209">
        <f>Database!T486</f>
        <v/>
      </c>
      <c r="G486" s="208">
        <f>IF($B486="","",IFERROR(BDP($B486&amp;" Action","GREENSHOE_FACILITY"),""))</f>
        <v/>
      </c>
      <c r="H486" s="208">
        <f>IF($B486="","",IFERROR(BDP($B486&amp;" Action","OFFERING_GREENSHOE_SHARES_EX"),""))</f>
        <v/>
      </c>
      <c r="I486" s="32">
        <f>Database!AE486</f>
        <v/>
      </c>
      <c r="J486" s="39">
        <f>IFERROR(BDP(TEXT(VALUE(Database!$A486),"0")&amp;" HK Equity","PE_RATIO"),"")</f>
        <v/>
      </c>
      <c r="K486" s="24">
        <f>IFERROR(BDP(TEXT(VALUE(Database!$A486),"0")&amp;" HK Equity","A/H_SHARE_CONVERSION"),"")</f>
        <v/>
      </c>
      <c r="L486" s="32">
        <f>IF(Database!BN486="","(none found)",Database!BN486)</f>
        <v/>
      </c>
      <c r="M486" s="34">
        <f>BDH(TEXT(VALUE(Database!$A486),"0")&amp;" HK Equity","CUR_MKT_CAP",Database!$H486,Database!$H486)</f>
        <v/>
      </c>
      <c r="N486" s="166">
        <f>Database!Q486</f>
        <v/>
      </c>
      <c r="O486" s="39">
        <f>BDH(TEXT(VALUE(Database!$A486),"0")&amp;" HK Equity","PE_RATIO",Database!$H486,Database!$H486)</f>
        <v/>
      </c>
      <c r="P486" s="199">
        <f>IF(Database!BH486="","(n/m or not derivable)",Database!BH486)</f>
        <v/>
      </c>
      <c r="Q486" s="39">
        <f>IF(Database!BN486="","",BDH(LEFT(Database!BN486,FIND(".",Database!BN486)-1)&amp;" CH Equity","PE_RATIO",Database!$H486,Database!$H486))</f>
        <v/>
      </c>
      <c r="R486" s="39">
        <f>IF(Database!BN486="","",BDH("HSAHP Index","PX_LAST",Database!$H486,Database!$H486))</f>
        <v/>
      </c>
      <c r="S486" s="39">
        <f>IFERROR(BDP(TEXT(VALUE(Database!$A486),"0")&amp;" HK Equity","PX_TO_SALES_RATIO"),"")</f>
        <v/>
      </c>
      <c r="T486" s="34">
        <f>IF(Database!BN486="","",IFERROR(BDP(LEFT(Database!BN486,FIND(".",Database!BN486)-1)&amp;" CH Equity","CUR_MKT_CAP")*BDP("CNYHKD Curncy","PX_LAST"),"Awaiting quote"))</f>
        <v/>
      </c>
    </row>
    <row r="487" ht="23" customHeight="1">
      <c r="A487" s="32">
        <f>Database!A487&amp;"  "&amp;Database!B487</f>
        <v/>
      </c>
      <c r="B487" s="24">
        <f>IFERROR(INDEX(BDS(TEXT(VALUE(Database!$A487),"0")&amp;" HK Equity","EQUITY_OFFERINGS","array=t","endcol=1"),MATCH("IPO",BDS(TEXT(VALUE(Database!$A487),"0")&amp;" HK Equity","EQUITY_OFFERINGS","array=t","startcol=2","endcol=2"),0)),"")</f>
        <v/>
      </c>
      <c r="C487" s="208">
        <f>IF($B487="","",IFERROR(BDP($B487&amp;" Action","CP036"),""))</f>
        <v/>
      </c>
      <c r="D487" s="209">
        <f>Database!S487</f>
        <v/>
      </c>
      <c r="E487" s="208">
        <f>IF($B487="","",IFERROR(BDP($B487&amp;" Action","CP037"),""))</f>
        <v/>
      </c>
      <c r="F487" s="209">
        <f>Database!T487</f>
        <v/>
      </c>
      <c r="G487" s="208">
        <f>IF($B487="","",IFERROR(BDP($B487&amp;" Action","GREENSHOE_FACILITY"),""))</f>
        <v/>
      </c>
      <c r="H487" s="208">
        <f>IF($B487="","",IFERROR(BDP($B487&amp;" Action","OFFERING_GREENSHOE_SHARES_EX"),""))</f>
        <v/>
      </c>
      <c r="I487" s="32">
        <f>Database!AE487</f>
        <v/>
      </c>
      <c r="J487" s="39">
        <f>IFERROR(BDP(TEXT(VALUE(Database!$A487),"0")&amp;" HK Equity","PE_RATIO"),"")</f>
        <v/>
      </c>
      <c r="K487" s="24">
        <f>IFERROR(BDP(TEXT(VALUE(Database!$A487),"0")&amp;" HK Equity","A/H_SHARE_CONVERSION"),"")</f>
        <v/>
      </c>
      <c r="L487" s="32">
        <f>IF(Database!BN487="","(none found)",Database!BN487)</f>
        <v/>
      </c>
      <c r="M487" s="34">
        <f>BDH(TEXT(VALUE(Database!$A487),"0")&amp;" HK Equity","CUR_MKT_CAP",Database!$H487,Database!$H487)</f>
        <v/>
      </c>
      <c r="N487" s="166">
        <f>Database!Q487</f>
        <v/>
      </c>
      <c r="O487" s="39">
        <f>BDH(TEXT(VALUE(Database!$A487),"0")&amp;" HK Equity","PE_RATIO",Database!$H487,Database!$H487)</f>
        <v/>
      </c>
      <c r="P487" s="199">
        <f>IF(Database!BH487="","(n/m or not derivable)",Database!BH487)</f>
        <v/>
      </c>
      <c r="Q487" s="39">
        <f>IF(Database!BN487="","",BDH(LEFT(Database!BN487,FIND(".",Database!BN487)-1)&amp;" CH Equity","PE_RATIO",Database!$H487,Database!$H487))</f>
        <v/>
      </c>
      <c r="R487" s="39">
        <f>IF(Database!BN487="","",BDH("HSAHP Index","PX_LAST",Database!$H487,Database!$H487))</f>
        <v/>
      </c>
      <c r="S487" s="39">
        <f>IFERROR(BDP(TEXT(VALUE(Database!$A487),"0")&amp;" HK Equity","PX_TO_SALES_RATIO"),"")</f>
        <v/>
      </c>
      <c r="T487" s="34">
        <f>IF(Database!BN487="","",IFERROR(BDP(LEFT(Database!BN487,FIND(".",Database!BN487)-1)&amp;" CH Equity","CUR_MKT_CAP")*BDP("CNYHKD Curncy","PX_LAST"),"Awaiting quote"))</f>
        <v/>
      </c>
    </row>
    <row r="488" ht="23" customHeight="1">
      <c r="A488" s="32">
        <f>Database!A488&amp;"  "&amp;Database!B488</f>
        <v/>
      </c>
      <c r="B488" s="24">
        <f>IFERROR(INDEX(BDS(TEXT(VALUE(Database!$A488),"0")&amp;" HK Equity","EQUITY_OFFERINGS","array=t","endcol=1"),MATCH("IPO",BDS(TEXT(VALUE(Database!$A488),"0")&amp;" HK Equity","EQUITY_OFFERINGS","array=t","startcol=2","endcol=2"),0)),"")</f>
        <v/>
      </c>
      <c r="C488" s="208">
        <f>IF($B488="","",IFERROR(BDP($B488&amp;" Action","CP036"),""))</f>
        <v/>
      </c>
      <c r="D488" s="209">
        <f>Database!S488</f>
        <v/>
      </c>
      <c r="E488" s="208">
        <f>IF($B488="","",IFERROR(BDP($B488&amp;" Action","CP037"),""))</f>
        <v/>
      </c>
      <c r="F488" s="209">
        <f>Database!T488</f>
        <v/>
      </c>
      <c r="G488" s="208">
        <f>IF($B488="","",IFERROR(BDP($B488&amp;" Action","GREENSHOE_FACILITY"),""))</f>
        <v/>
      </c>
      <c r="H488" s="208">
        <f>IF($B488="","",IFERROR(BDP($B488&amp;" Action","OFFERING_GREENSHOE_SHARES_EX"),""))</f>
        <v/>
      </c>
      <c r="I488" s="32">
        <f>Database!AE488</f>
        <v/>
      </c>
      <c r="J488" s="39">
        <f>IFERROR(BDP(TEXT(VALUE(Database!$A488),"0")&amp;" HK Equity","PE_RATIO"),"")</f>
        <v/>
      </c>
      <c r="K488" s="24">
        <f>IFERROR(BDP(TEXT(VALUE(Database!$A488),"0")&amp;" HK Equity","A/H_SHARE_CONVERSION"),"")</f>
        <v/>
      </c>
      <c r="L488" s="32">
        <f>IF(Database!BN488="","(none found)",Database!BN488)</f>
        <v/>
      </c>
      <c r="M488" s="34">
        <f>BDH(TEXT(VALUE(Database!$A488),"0")&amp;" HK Equity","CUR_MKT_CAP",Database!$H488,Database!$H488)</f>
        <v/>
      </c>
      <c r="N488" s="166">
        <f>Database!Q488</f>
        <v/>
      </c>
      <c r="O488" s="39">
        <f>BDH(TEXT(VALUE(Database!$A488),"0")&amp;" HK Equity","PE_RATIO",Database!$H488,Database!$H488)</f>
        <v/>
      </c>
      <c r="P488" s="199">
        <f>IF(Database!BH488="","(n/m or not derivable)",Database!BH488)</f>
        <v/>
      </c>
      <c r="Q488" s="39">
        <f>IF(Database!BN488="","",BDH(LEFT(Database!BN488,FIND(".",Database!BN488)-1)&amp;" CH Equity","PE_RATIO",Database!$H488,Database!$H488))</f>
        <v/>
      </c>
      <c r="R488" s="39">
        <f>IF(Database!BN488="","",BDH("HSAHP Index","PX_LAST",Database!$H488,Database!$H488))</f>
        <v/>
      </c>
      <c r="S488" s="39">
        <f>IFERROR(BDP(TEXT(VALUE(Database!$A488),"0")&amp;" HK Equity","PX_TO_SALES_RATIO"),"")</f>
        <v/>
      </c>
      <c r="T488" s="34">
        <f>IF(Database!BN488="","",IFERROR(BDP(LEFT(Database!BN488,FIND(".",Database!BN488)-1)&amp;" CH Equity","CUR_MKT_CAP")*BDP("CNYHKD Curncy","PX_LAST"),"Awaiting quote"))</f>
        <v/>
      </c>
    </row>
    <row r="489" ht="23" customHeight="1">
      <c r="A489" s="32">
        <f>Database!A489&amp;"  "&amp;Database!B489</f>
        <v/>
      </c>
      <c r="B489" s="24">
        <f>IFERROR(INDEX(BDS(TEXT(VALUE(Database!$A489),"0")&amp;" HK Equity","EQUITY_OFFERINGS","array=t","endcol=1"),MATCH("IPO",BDS(TEXT(VALUE(Database!$A489),"0")&amp;" HK Equity","EQUITY_OFFERINGS","array=t","startcol=2","endcol=2"),0)),"")</f>
        <v/>
      </c>
      <c r="C489" s="208">
        <f>IF($B489="","",IFERROR(BDP($B489&amp;" Action","CP036"),""))</f>
        <v/>
      </c>
      <c r="D489" s="209">
        <f>Database!S489</f>
        <v/>
      </c>
      <c r="E489" s="208">
        <f>IF($B489="","",IFERROR(BDP($B489&amp;" Action","CP037"),""))</f>
        <v/>
      </c>
      <c r="F489" s="209">
        <f>Database!T489</f>
        <v/>
      </c>
      <c r="G489" s="208">
        <f>IF($B489="","",IFERROR(BDP($B489&amp;" Action","GREENSHOE_FACILITY"),""))</f>
        <v/>
      </c>
      <c r="H489" s="208">
        <f>IF($B489="","",IFERROR(BDP($B489&amp;" Action","OFFERING_GREENSHOE_SHARES_EX"),""))</f>
        <v/>
      </c>
      <c r="I489" s="32">
        <f>Database!AE489</f>
        <v/>
      </c>
      <c r="J489" s="39">
        <f>IFERROR(BDP(TEXT(VALUE(Database!$A489),"0")&amp;" HK Equity","PE_RATIO"),"")</f>
        <v/>
      </c>
      <c r="K489" s="24">
        <f>IFERROR(BDP(TEXT(VALUE(Database!$A489),"0")&amp;" HK Equity","A/H_SHARE_CONVERSION"),"")</f>
        <v/>
      </c>
      <c r="L489" s="32">
        <f>IF(Database!BN489="","(none found)",Database!BN489)</f>
        <v/>
      </c>
      <c r="M489" s="34">
        <f>BDH(TEXT(VALUE(Database!$A489),"0")&amp;" HK Equity","CUR_MKT_CAP",Database!$H489,Database!$H489)</f>
        <v/>
      </c>
      <c r="N489" s="166">
        <f>Database!Q489</f>
        <v/>
      </c>
      <c r="O489" s="39">
        <f>BDH(TEXT(VALUE(Database!$A489),"0")&amp;" HK Equity","PE_RATIO",Database!$H489,Database!$H489)</f>
        <v/>
      </c>
      <c r="P489" s="199">
        <f>IF(Database!BH489="","(n/m or not derivable)",Database!BH489)</f>
        <v/>
      </c>
      <c r="Q489" s="39">
        <f>IF(Database!BN489="","",BDH(LEFT(Database!BN489,FIND(".",Database!BN489)-1)&amp;" CH Equity","PE_RATIO",Database!$H489,Database!$H489))</f>
        <v/>
      </c>
      <c r="R489" s="39">
        <f>IF(Database!BN489="","",BDH("HSAHP Index","PX_LAST",Database!$H489,Database!$H489))</f>
        <v/>
      </c>
      <c r="S489" s="39">
        <f>IFERROR(BDP(TEXT(VALUE(Database!$A489),"0")&amp;" HK Equity","PX_TO_SALES_RATIO"),"")</f>
        <v/>
      </c>
      <c r="T489" s="34">
        <f>IF(Database!BN489="","",IFERROR(BDP(LEFT(Database!BN489,FIND(".",Database!BN489)-1)&amp;" CH Equity","CUR_MKT_CAP")*BDP("CNYHKD Curncy","PX_LAST"),"Awaiting quote"))</f>
        <v/>
      </c>
    </row>
    <row r="490" ht="23" customHeight="1">
      <c r="A490" s="32">
        <f>Database!A490&amp;"  "&amp;Database!B490</f>
        <v/>
      </c>
      <c r="B490" s="24">
        <f>IFERROR(INDEX(BDS(TEXT(VALUE(Database!$A490),"0")&amp;" HK Equity","EQUITY_OFFERINGS","array=t","endcol=1"),MATCH("IPO",BDS(TEXT(VALUE(Database!$A490),"0")&amp;" HK Equity","EQUITY_OFFERINGS","array=t","startcol=2","endcol=2"),0)),"")</f>
        <v/>
      </c>
      <c r="C490" s="208">
        <f>IF($B490="","",IFERROR(BDP($B490&amp;" Action","CP036"),""))</f>
        <v/>
      </c>
      <c r="D490" s="209">
        <f>Database!S490</f>
        <v/>
      </c>
      <c r="E490" s="208">
        <f>IF($B490="","",IFERROR(BDP($B490&amp;" Action","CP037"),""))</f>
        <v/>
      </c>
      <c r="F490" s="209">
        <f>Database!T490</f>
        <v/>
      </c>
      <c r="G490" s="208">
        <f>IF($B490="","",IFERROR(BDP($B490&amp;" Action","GREENSHOE_FACILITY"),""))</f>
        <v/>
      </c>
      <c r="H490" s="208">
        <f>IF($B490="","",IFERROR(BDP($B490&amp;" Action","OFFERING_GREENSHOE_SHARES_EX"),""))</f>
        <v/>
      </c>
      <c r="I490" s="32">
        <f>Database!AE490</f>
        <v/>
      </c>
      <c r="J490" s="39">
        <f>IFERROR(BDP(TEXT(VALUE(Database!$A490),"0")&amp;" HK Equity","PE_RATIO"),"")</f>
        <v/>
      </c>
      <c r="K490" s="24">
        <f>IFERROR(BDP(TEXT(VALUE(Database!$A490),"0")&amp;" HK Equity","A/H_SHARE_CONVERSION"),"")</f>
        <v/>
      </c>
      <c r="L490" s="32">
        <f>IF(Database!BN490="","(none found)",Database!BN490)</f>
        <v/>
      </c>
      <c r="M490" s="34">
        <f>BDH(TEXT(VALUE(Database!$A490),"0")&amp;" HK Equity","CUR_MKT_CAP",Database!$H490,Database!$H490)</f>
        <v/>
      </c>
      <c r="N490" s="166">
        <f>Database!Q490</f>
        <v/>
      </c>
      <c r="O490" s="39">
        <f>BDH(TEXT(VALUE(Database!$A490),"0")&amp;" HK Equity","PE_RATIO",Database!$H490,Database!$H490)</f>
        <v/>
      </c>
      <c r="P490" s="199">
        <f>IF(Database!BH490="","(n/m or not derivable)",Database!BH490)</f>
        <v/>
      </c>
      <c r="Q490" s="39">
        <f>IF(Database!BN490="","",BDH(LEFT(Database!BN490,FIND(".",Database!BN490)-1)&amp;" CH Equity","PE_RATIO",Database!$H490,Database!$H490))</f>
        <v/>
      </c>
      <c r="R490" s="39">
        <f>IF(Database!BN490="","",BDH("HSAHP Index","PX_LAST",Database!$H490,Database!$H490))</f>
        <v/>
      </c>
      <c r="S490" s="39">
        <f>IFERROR(BDP(TEXT(VALUE(Database!$A490),"0")&amp;" HK Equity","PX_TO_SALES_RATIO"),"")</f>
        <v/>
      </c>
      <c r="T490" s="34">
        <f>IF(Database!BN490="","",IFERROR(BDP(LEFT(Database!BN490,FIND(".",Database!BN490)-1)&amp;" CH Equity","CUR_MKT_CAP")*BDP("CNYHKD Curncy","PX_LAST"),"Awaiting quote"))</f>
        <v/>
      </c>
    </row>
    <row r="491" ht="23" customHeight="1">
      <c r="A491" s="32">
        <f>Database!A491&amp;"  "&amp;Database!B491</f>
        <v/>
      </c>
      <c r="B491" s="24">
        <f>IFERROR(INDEX(BDS(TEXT(VALUE(Database!$A491),"0")&amp;" HK Equity","EQUITY_OFFERINGS","array=t","endcol=1"),MATCH("IPO",BDS(TEXT(VALUE(Database!$A491),"0")&amp;" HK Equity","EQUITY_OFFERINGS","array=t","startcol=2","endcol=2"),0)),"")</f>
        <v/>
      </c>
      <c r="C491" s="208">
        <f>IF($B491="","",IFERROR(BDP($B491&amp;" Action","CP036"),""))</f>
        <v/>
      </c>
      <c r="D491" s="209">
        <f>Database!S491</f>
        <v/>
      </c>
      <c r="E491" s="208">
        <f>IF($B491="","",IFERROR(BDP($B491&amp;" Action","CP037"),""))</f>
        <v/>
      </c>
      <c r="F491" s="209">
        <f>Database!T491</f>
        <v/>
      </c>
      <c r="G491" s="208">
        <f>IF($B491="","",IFERROR(BDP($B491&amp;" Action","GREENSHOE_FACILITY"),""))</f>
        <v/>
      </c>
      <c r="H491" s="208">
        <f>IF($B491="","",IFERROR(BDP($B491&amp;" Action","OFFERING_GREENSHOE_SHARES_EX"),""))</f>
        <v/>
      </c>
      <c r="I491" s="32">
        <f>Database!AE491</f>
        <v/>
      </c>
      <c r="J491" s="39">
        <f>IFERROR(BDP(TEXT(VALUE(Database!$A491),"0")&amp;" HK Equity","PE_RATIO"),"")</f>
        <v/>
      </c>
      <c r="K491" s="24">
        <f>IFERROR(BDP(TEXT(VALUE(Database!$A491),"0")&amp;" HK Equity","A/H_SHARE_CONVERSION"),"")</f>
        <v/>
      </c>
      <c r="L491" s="32">
        <f>IF(Database!BN491="","(none found)",Database!BN491)</f>
        <v/>
      </c>
      <c r="M491" s="34">
        <f>BDH(TEXT(VALUE(Database!$A491),"0")&amp;" HK Equity","CUR_MKT_CAP",Database!$H491,Database!$H491)</f>
        <v/>
      </c>
      <c r="N491" s="166">
        <f>Database!Q491</f>
        <v/>
      </c>
      <c r="O491" s="39">
        <f>BDH(TEXT(VALUE(Database!$A491),"0")&amp;" HK Equity","PE_RATIO",Database!$H491,Database!$H491)</f>
        <v/>
      </c>
      <c r="P491" s="199">
        <f>IF(Database!BH491="","(n/m or not derivable)",Database!BH491)</f>
        <v/>
      </c>
      <c r="Q491" s="39">
        <f>IF(Database!BN491="","",BDH(LEFT(Database!BN491,FIND(".",Database!BN491)-1)&amp;" CH Equity","PE_RATIO",Database!$H491,Database!$H491))</f>
        <v/>
      </c>
      <c r="R491" s="39">
        <f>IF(Database!BN491="","",BDH("HSAHP Index","PX_LAST",Database!$H491,Database!$H491))</f>
        <v/>
      </c>
      <c r="S491" s="39">
        <f>IFERROR(BDP(TEXT(VALUE(Database!$A491),"0")&amp;" HK Equity","PX_TO_SALES_RATIO"),"")</f>
        <v/>
      </c>
      <c r="T491" s="34">
        <f>IF(Database!BN491="","",IFERROR(BDP(LEFT(Database!BN491,FIND(".",Database!BN491)-1)&amp;" CH Equity","CUR_MKT_CAP")*BDP("CNYHKD Curncy","PX_LAST"),"Awaiting quote"))</f>
        <v/>
      </c>
    </row>
    <row r="492" ht="23" customHeight="1">
      <c r="A492" s="32">
        <f>Database!A492&amp;"  "&amp;Database!B492</f>
        <v/>
      </c>
      <c r="B492" s="24">
        <f>IFERROR(INDEX(BDS(TEXT(VALUE(Database!$A492),"0")&amp;" HK Equity","EQUITY_OFFERINGS","array=t","endcol=1"),MATCH("IPO",BDS(TEXT(VALUE(Database!$A492),"0")&amp;" HK Equity","EQUITY_OFFERINGS","array=t","startcol=2","endcol=2"),0)),"")</f>
        <v/>
      </c>
      <c r="C492" s="208">
        <f>IF($B492="","",IFERROR(BDP($B492&amp;" Action","CP036"),""))</f>
        <v/>
      </c>
      <c r="D492" s="209">
        <f>Database!S492</f>
        <v/>
      </c>
      <c r="E492" s="208">
        <f>IF($B492="","",IFERROR(BDP($B492&amp;" Action","CP037"),""))</f>
        <v/>
      </c>
      <c r="F492" s="209">
        <f>Database!T492</f>
        <v/>
      </c>
      <c r="G492" s="208">
        <f>IF($B492="","",IFERROR(BDP($B492&amp;" Action","GREENSHOE_FACILITY"),""))</f>
        <v/>
      </c>
      <c r="H492" s="208">
        <f>IF($B492="","",IFERROR(BDP($B492&amp;" Action","OFFERING_GREENSHOE_SHARES_EX"),""))</f>
        <v/>
      </c>
      <c r="I492" s="32">
        <f>Database!AE492</f>
        <v/>
      </c>
      <c r="J492" s="39">
        <f>IFERROR(BDP(TEXT(VALUE(Database!$A492),"0")&amp;" HK Equity","PE_RATIO"),"")</f>
        <v/>
      </c>
      <c r="K492" s="24">
        <f>IFERROR(BDP(TEXT(VALUE(Database!$A492),"0")&amp;" HK Equity","A/H_SHARE_CONVERSION"),"")</f>
        <v/>
      </c>
      <c r="L492" s="32">
        <f>IF(Database!BN492="","(none found)",Database!BN492)</f>
        <v/>
      </c>
      <c r="M492" s="34">
        <f>BDH(TEXT(VALUE(Database!$A492),"0")&amp;" HK Equity","CUR_MKT_CAP",Database!$H492,Database!$H492)</f>
        <v/>
      </c>
      <c r="N492" s="166">
        <f>Database!Q492</f>
        <v/>
      </c>
      <c r="O492" s="39">
        <f>BDH(TEXT(VALUE(Database!$A492),"0")&amp;" HK Equity","PE_RATIO",Database!$H492,Database!$H492)</f>
        <v/>
      </c>
      <c r="P492" s="199">
        <f>IF(Database!BH492="","(n/m or not derivable)",Database!BH492)</f>
        <v/>
      </c>
      <c r="Q492" s="39">
        <f>IF(Database!BN492="","",BDH(LEFT(Database!BN492,FIND(".",Database!BN492)-1)&amp;" CH Equity","PE_RATIO",Database!$H492,Database!$H492))</f>
        <v/>
      </c>
      <c r="R492" s="39">
        <f>IF(Database!BN492="","",BDH("HSAHP Index","PX_LAST",Database!$H492,Database!$H492))</f>
        <v/>
      </c>
      <c r="S492" s="39">
        <f>IFERROR(BDP(TEXT(VALUE(Database!$A492),"0")&amp;" HK Equity","PX_TO_SALES_RATIO"),"")</f>
        <v/>
      </c>
      <c r="T492" s="34">
        <f>IF(Database!BN492="","",IFERROR(BDP(LEFT(Database!BN492,FIND(".",Database!BN492)-1)&amp;" CH Equity","CUR_MKT_CAP")*BDP("CNYHKD Curncy","PX_LAST"),"Awaiting quote"))</f>
        <v/>
      </c>
    </row>
    <row r="493" ht="23" customHeight="1">
      <c r="A493" s="32">
        <f>Database!A493&amp;"  "&amp;Database!B493</f>
        <v/>
      </c>
      <c r="B493" s="24">
        <f>IFERROR(INDEX(BDS(TEXT(VALUE(Database!$A493),"0")&amp;" HK Equity","EQUITY_OFFERINGS","array=t","endcol=1"),MATCH("IPO",BDS(TEXT(VALUE(Database!$A493),"0")&amp;" HK Equity","EQUITY_OFFERINGS","array=t","startcol=2","endcol=2"),0)),"")</f>
        <v/>
      </c>
      <c r="C493" s="208">
        <f>IF($B493="","",IFERROR(BDP($B493&amp;" Action","CP036"),""))</f>
        <v/>
      </c>
      <c r="D493" s="209">
        <f>Database!S493</f>
        <v/>
      </c>
      <c r="E493" s="208">
        <f>IF($B493="","",IFERROR(BDP($B493&amp;" Action","CP037"),""))</f>
        <v/>
      </c>
      <c r="F493" s="209">
        <f>Database!T493</f>
        <v/>
      </c>
      <c r="G493" s="208">
        <f>IF($B493="","",IFERROR(BDP($B493&amp;" Action","GREENSHOE_FACILITY"),""))</f>
        <v/>
      </c>
      <c r="H493" s="208">
        <f>IF($B493="","",IFERROR(BDP($B493&amp;" Action","OFFERING_GREENSHOE_SHARES_EX"),""))</f>
        <v/>
      </c>
      <c r="I493" s="32">
        <f>Database!AE493</f>
        <v/>
      </c>
      <c r="J493" s="39">
        <f>IFERROR(BDP(TEXT(VALUE(Database!$A493),"0")&amp;" HK Equity","PE_RATIO"),"")</f>
        <v/>
      </c>
      <c r="K493" s="24">
        <f>IFERROR(BDP(TEXT(VALUE(Database!$A493),"0")&amp;" HK Equity","A/H_SHARE_CONVERSION"),"")</f>
        <v/>
      </c>
      <c r="L493" s="32">
        <f>IF(Database!BN493="","(none found)",Database!BN493)</f>
        <v/>
      </c>
      <c r="M493" s="34">
        <f>BDH(TEXT(VALUE(Database!$A493),"0")&amp;" HK Equity","CUR_MKT_CAP",Database!$H493,Database!$H493)</f>
        <v/>
      </c>
      <c r="N493" s="166">
        <f>Database!Q493</f>
        <v/>
      </c>
      <c r="O493" s="39">
        <f>BDH(TEXT(VALUE(Database!$A493),"0")&amp;" HK Equity","PE_RATIO",Database!$H493,Database!$H493)</f>
        <v/>
      </c>
      <c r="P493" s="199">
        <f>IF(Database!BH493="","(n/m or not derivable)",Database!BH493)</f>
        <v/>
      </c>
      <c r="Q493" s="39">
        <f>IF(Database!BN493="","",BDH(LEFT(Database!BN493,FIND(".",Database!BN493)-1)&amp;" CH Equity","PE_RATIO",Database!$H493,Database!$H493))</f>
        <v/>
      </c>
      <c r="R493" s="39">
        <f>IF(Database!BN493="","",BDH("HSAHP Index","PX_LAST",Database!$H493,Database!$H493))</f>
        <v/>
      </c>
      <c r="S493" s="39">
        <f>IFERROR(BDP(TEXT(VALUE(Database!$A493),"0")&amp;" HK Equity","PX_TO_SALES_RATIO"),"")</f>
        <v/>
      </c>
      <c r="T493" s="34">
        <f>IF(Database!BN493="","",IFERROR(BDP(LEFT(Database!BN493,FIND(".",Database!BN493)-1)&amp;" CH Equity","CUR_MKT_CAP")*BDP("CNYHKD Curncy","PX_LAST"),"Awaiting quote"))</f>
        <v/>
      </c>
    </row>
    <row r="494" ht="23" customHeight="1">
      <c r="A494" s="32">
        <f>Database!A494&amp;"  "&amp;Database!B494</f>
        <v/>
      </c>
      <c r="B494" s="24">
        <f>IFERROR(INDEX(BDS(TEXT(VALUE(Database!$A494),"0")&amp;" HK Equity","EQUITY_OFFERINGS","array=t","endcol=1"),MATCH("IPO",BDS(TEXT(VALUE(Database!$A494),"0")&amp;" HK Equity","EQUITY_OFFERINGS","array=t","startcol=2","endcol=2"),0)),"")</f>
        <v/>
      </c>
      <c r="C494" s="208">
        <f>IF($B494="","",IFERROR(BDP($B494&amp;" Action","CP036"),""))</f>
        <v/>
      </c>
      <c r="D494" s="209">
        <f>Database!S494</f>
        <v/>
      </c>
      <c r="E494" s="208">
        <f>IF($B494="","",IFERROR(BDP($B494&amp;" Action","CP037"),""))</f>
        <v/>
      </c>
      <c r="F494" s="209">
        <f>Database!T494</f>
        <v/>
      </c>
      <c r="G494" s="208">
        <f>IF($B494="","",IFERROR(BDP($B494&amp;" Action","GREENSHOE_FACILITY"),""))</f>
        <v/>
      </c>
      <c r="H494" s="208">
        <f>IF($B494="","",IFERROR(BDP($B494&amp;" Action","OFFERING_GREENSHOE_SHARES_EX"),""))</f>
        <v/>
      </c>
      <c r="I494" s="32">
        <f>Database!AE494</f>
        <v/>
      </c>
      <c r="J494" s="39">
        <f>IFERROR(BDP(TEXT(VALUE(Database!$A494),"0")&amp;" HK Equity","PE_RATIO"),"")</f>
        <v/>
      </c>
      <c r="K494" s="24">
        <f>IFERROR(BDP(TEXT(VALUE(Database!$A494),"0")&amp;" HK Equity","A/H_SHARE_CONVERSION"),"")</f>
        <v/>
      </c>
      <c r="L494" s="32">
        <f>IF(Database!BN494="","(none found)",Database!BN494)</f>
        <v/>
      </c>
      <c r="M494" s="34">
        <f>BDH(TEXT(VALUE(Database!$A494),"0")&amp;" HK Equity","CUR_MKT_CAP",Database!$H494,Database!$H494)</f>
        <v/>
      </c>
      <c r="N494" s="166">
        <f>Database!Q494</f>
        <v/>
      </c>
      <c r="O494" s="39">
        <f>BDH(TEXT(VALUE(Database!$A494),"0")&amp;" HK Equity","PE_RATIO",Database!$H494,Database!$H494)</f>
        <v/>
      </c>
      <c r="P494" s="199">
        <f>IF(Database!BH494="","(n/m or not derivable)",Database!BH494)</f>
        <v/>
      </c>
      <c r="Q494" s="39">
        <f>IF(Database!BN494="","",BDH(LEFT(Database!BN494,FIND(".",Database!BN494)-1)&amp;" CH Equity","PE_RATIO",Database!$H494,Database!$H494))</f>
        <v/>
      </c>
      <c r="R494" s="39">
        <f>IF(Database!BN494="","",BDH("HSAHP Index","PX_LAST",Database!$H494,Database!$H494))</f>
        <v/>
      </c>
      <c r="S494" s="39">
        <f>IFERROR(BDP(TEXT(VALUE(Database!$A494),"0")&amp;" HK Equity","PX_TO_SALES_RATIO"),"")</f>
        <v/>
      </c>
      <c r="T494" s="34">
        <f>IF(Database!BN494="","",IFERROR(BDP(LEFT(Database!BN494,FIND(".",Database!BN494)-1)&amp;" CH Equity","CUR_MKT_CAP")*BDP("CNYHKD Curncy","PX_LAST"),"Awaiting quote"))</f>
        <v/>
      </c>
    </row>
    <row r="495" ht="23" customHeight="1">
      <c r="A495" s="32">
        <f>Database!A495&amp;"  "&amp;Database!B495</f>
        <v/>
      </c>
      <c r="B495" s="24">
        <f>IFERROR(INDEX(BDS(TEXT(VALUE(Database!$A495),"0")&amp;" HK Equity","EQUITY_OFFERINGS","array=t","endcol=1"),MATCH("IPO",BDS(TEXT(VALUE(Database!$A495),"0")&amp;" HK Equity","EQUITY_OFFERINGS","array=t","startcol=2","endcol=2"),0)),"")</f>
        <v/>
      </c>
      <c r="C495" s="208">
        <f>IF($B495="","",IFERROR(BDP($B495&amp;" Action","CP036"),""))</f>
        <v/>
      </c>
      <c r="D495" s="209">
        <f>Database!S495</f>
        <v/>
      </c>
      <c r="E495" s="208">
        <f>IF($B495="","",IFERROR(BDP($B495&amp;" Action","CP037"),""))</f>
        <v/>
      </c>
      <c r="F495" s="209">
        <f>Database!T495</f>
        <v/>
      </c>
      <c r="G495" s="208">
        <f>IF($B495="","",IFERROR(BDP($B495&amp;" Action","GREENSHOE_FACILITY"),""))</f>
        <v/>
      </c>
      <c r="H495" s="208">
        <f>IF($B495="","",IFERROR(BDP($B495&amp;" Action","OFFERING_GREENSHOE_SHARES_EX"),""))</f>
        <v/>
      </c>
      <c r="I495" s="32">
        <f>Database!AE495</f>
        <v/>
      </c>
      <c r="J495" s="39">
        <f>IFERROR(BDP(TEXT(VALUE(Database!$A495),"0")&amp;" HK Equity","PE_RATIO"),"")</f>
        <v/>
      </c>
      <c r="K495" s="24">
        <f>IFERROR(BDP(TEXT(VALUE(Database!$A495),"0")&amp;" HK Equity","A/H_SHARE_CONVERSION"),"")</f>
        <v/>
      </c>
      <c r="L495" s="32">
        <f>IF(Database!BN495="","(none found)",Database!BN495)</f>
        <v/>
      </c>
      <c r="M495" s="34">
        <f>BDH(TEXT(VALUE(Database!$A495),"0")&amp;" HK Equity","CUR_MKT_CAP",Database!$H495,Database!$H495)</f>
        <v/>
      </c>
      <c r="N495" s="166">
        <f>Database!Q495</f>
        <v/>
      </c>
      <c r="O495" s="39">
        <f>BDH(TEXT(VALUE(Database!$A495),"0")&amp;" HK Equity","PE_RATIO",Database!$H495,Database!$H495)</f>
        <v/>
      </c>
      <c r="P495" s="199">
        <f>IF(Database!BH495="","(n/m or not derivable)",Database!BH495)</f>
        <v/>
      </c>
      <c r="Q495" s="39">
        <f>IF(Database!BN495="","",BDH(LEFT(Database!BN495,FIND(".",Database!BN495)-1)&amp;" CH Equity","PE_RATIO",Database!$H495,Database!$H495))</f>
        <v/>
      </c>
      <c r="R495" s="39">
        <f>IF(Database!BN495="","",BDH("HSAHP Index","PX_LAST",Database!$H495,Database!$H495))</f>
        <v/>
      </c>
      <c r="S495" s="39">
        <f>IFERROR(BDP(TEXT(VALUE(Database!$A495),"0")&amp;" HK Equity","PX_TO_SALES_RATIO"),"")</f>
        <v/>
      </c>
      <c r="T495" s="34">
        <f>IF(Database!BN495="","",IFERROR(BDP(LEFT(Database!BN495,FIND(".",Database!BN495)-1)&amp;" CH Equity","CUR_MKT_CAP")*BDP("CNYHKD Curncy","PX_LAST"),"Awaiting quote"))</f>
        <v/>
      </c>
    </row>
    <row r="496" ht="23" customHeight="1">
      <c r="A496" s="32">
        <f>Database!A496&amp;"  "&amp;Database!B496</f>
        <v/>
      </c>
      <c r="B496" s="24">
        <f>IFERROR(INDEX(BDS(TEXT(VALUE(Database!$A496),"0")&amp;" HK Equity","EQUITY_OFFERINGS","array=t","endcol=1"),MATCH("IPO",BDS(TEXT(VALUE(Database!$A496),"0")&amp;" HK Equity","EQUITY_OFFERINGS","array=t","startcol=2","endcol=2"),0)),"")</f>
        <v/>
      </c>
      <c r="C496" s="208">
        <f>IF($B496="","",IFERROR(BDP($B496&amp;" Action","CP036"),""))</f>
        <v/>
      </c>
      <c r="D496" s="209">
        <f>Database!S496</f>
        <v/>
      </c>
      <c r="E496" s="208">
        <f>IF($B496="","",IFERROR(BDP($B496&amp;" Action","CP037"),""))</f>
        <v/>
      </c>
      <c r="F496" s="209">
        <f>Database!T496</f>
        <v/>
      </c>
      <c r="G496" s="208">
        <f>IF($B496="","",IFERROR(BDP($B496&amp;" Action","GREENSHOE_FACILITY"),""))</f>
        <v/>
      </c>
      <c r="H496" s="208">
        <f>IF($B496="","",IFERROR(BDP($B496&amp;" Action","OFFERING_GREENSHOE_SHARES_EX"),""))</f>
        <v/>
      </c>
      <c r="I496" s="32">
        <f>Database!AE496</f>
        <v/>
      </c>
      <c r="J496" s="39">
        <f>IFERROR(BDP(TEXT(VALUE(Database!$A496),"0")&amp;" HK Equity","PE_RATIO"),"")</f>
        <v/>
      </c>
      <c r="K496" s="24">
        <f>IFERROR(BDP(TEXT(VALUE(Database!$A496),"0")&amp;" HK Equity","A/H_SHARE_CONVERSION"),"")</f>
        <v/>
      </c>
      <c r="L496" s="32">
        <f>IF(Database!BN496="","(none found)",Database!BN496)</f>
        <v/>
      </c>
      <c r="M496" s="34">
        <f>BDH(TEXT(VALUE(Database!$A496),"0")&amp;" HK Equity","CUR_MKT_CAP",Database!$H496,Database!$H496)</f>
        <v/>
      </c>
      <c r="N496" s="166">
        <f>Database!Q496</f>
        <v/>
      </c>
      <c r="O496" s="39">
        <f>BDH(TEXT(VALUE(Database!$A496),"0")&amp;" HK Equity","PE_RATIO",Database!$H496,Database!$H496)</f>
        <v/>
      </c>
      <c r="P496" s="199">
        <f>IF(Database!BH496="","(n/m or not derivable)",Database!BH496)</f>
        <v/>
      </c>
      <c r="Q496" s="39">
        <f>IF(Database!BN496="","",BDH(LEFT(Database!BN496,FIND(".",Database!BN496)-1)&amp;" CH Equity","PE_RATIO",Database!$H496,Database!$H496))</f>
        <v/>
      </c>
      <c r="R496" s="39">
        <f>IF(Database!BN496="","",BDH("HSAHP Index","PX_LAST",Database!$H496,Database!$H496))</f>
        <v/>
      </c>
      <c r="S496" s="39">
        <f>IFERROR(BDP(TEXT(VALUE(Database!$A496),"0")&amp;" HK Equity","PX_TO_SALES_RATIO"),"")</f>
        <v/>
      </c>
      <c r="T496" s="34">
        <f>IF(Database!BN496="","",IFERROR(BDP(LEFT(Database!BN496,FIND(".",Database!BN496)-1)&amp;" CH Equity","CUR_MKT_CAP")*BDP("CNYHKD Curncy","PX_LAST"),"Awaiting quote"))</f>
        <v/>
      </c>
    </row>
    <row r="497" ht="23" customHeight="1">
      <c r="A497" s="32">
        <f>Database!A497&amp;"  "&amp;Database!B497</f>
        <v/>
      </c>
      <c r="B497" s="24">
        <f>IFERROR(INDEX(BDS(TEXT(VALUE(Database!$A497),"0")&amp;" HK Equity","EQUITY_OFFERINGS","array=t","endcol=1"),MATCH("IPO",BDS(TEXT(VALUE(Database!$A497),"0")&amp;" HK Equity","EQUITY_OFFERINGS","array=t","startcol=2","endcol=2"),0)),"")</f>
        <v/>
      </c>
      <c r="C497" s="208">
        <f>IF($B497="","",IFERROR(BDP($B497&amp;" Action","CP036"),""))</f>
        <v/>
      </c>
      <c r="D497" s="209">
        <f>Database!S497</f>
        <v/>
      </c>
      <c r="E497" s="208">
        <f>IF($B497="","",IFERROR(BDP($B497&amp;" Action","CP037"),""))</f>
        <v/>
      </c>
      <c r="F497" s="209">
        <f>Database!T497</f>
        <v/>
      </c>
      <c r="G497" s="208">
        <f>IF($B497="","",IFERROR(BDP($B497&amp;" Action","GREENSHOE_FACILITY"),""))</f>
        <v/>
      </c>
      <c r="H497" s="208">
        <f>IF($B497="","",IFERROR(BDP($B497&amp;" Action","OFFERING_GREENSHOE_SHARES_EX"),""))</f>
        <v/>
      </c>
      <c r="I497" s="32">
        <f>Database!AE497</f>
        <v/>
      </c>
      <c r="J497" s="39">
        <f>IFERROR(BDP(TEXT(VALUE(Database!$A497),"0")&amp;" HK Equity","PE_RATIO"),"")</f>
        <v/>
      </c>
      <c r="K497" s="24">
        <f>IFERROR(BDP(TEXT(VALUE(Database!$A497),"0")&amp;" HK Equity","A/H_SHARE_CONVERSION"),"")</f>
        <v/>
      </c>
      <c r="L497" s="32">
        <f>IF(Database!BN497="","(none found)",Database!BN497)</f>
        <v/>
      </c>
      <c r="M497" s="34">
        <f>BDH(TEXT(VALUE(Database!$A497),"0")&amp;" HK Equity","CUR_MKT_CAP",Database!$H497,Database!$H497)</f>
        <v/>
      </c>
      <c r="N497" s="166">
        <f>Database!Q497</f>
        <v/>
      </c>
      <c r="O497" s="39">
        <f>BDH(TEXT(VALUE(Database!$A497),"0")&amp;" HK Equity","PE_RATIO",Database!$H497,Database!$H497)</f>
        <v/>
      </c>
      <c r="P497" s="199">
        <f>IF(Database!BH497="","(n/m or not derivable)",Database!BH497)</f>
        <v/>
      </c>
      <c r="Q497" s="39">
        <f>IF(Database!BN497="","",BDH(LEFT(Database!BN497,FIND(".",Database!BN497)-1)&amp;" CH Equity","PE_RATIO",Database!$H497,Database!$H497))</f>
        <v/>
      </c>
      <c r="R497" s="39">
        <f>IF(Database!BN497="","",BDH("HSAHP Index","PX_LAST",Database!$H497,Database!$H497))</f>
        <v/>
      </c>
      <c r="S497" s="39">
        <f>IFERROR(BDP(TEXT(VALUE(Database!$A497),"0")&amp;" HK Equity","PX_TO_SALES_RATIO"),"")</f>
        <v/>
      </c>
      <c r="T497" s="34">
        <f>IF(Database!BN497="","",IFERROR(BDP(LEFT(Database!BN497,FIND(".",Database!BN497)-1)&amp;" CH Equity","CUR_MKT_CAP")*BDP("CNYHKD Curncy","PX_LAST"),"Awaiting quote"))</f>
        <v/>
      </c>
    </row>
    <row r="498" ht="23" customHeight="1">
      <c r="A498" s="32">
        <f>Database!A498&amp;"  "&amp;Database!B498</f>
        <v/>
      </c>
      <c r="B498" s="24">
        <f>IFERROR(INDEX(BDS(TEXT(VALUE(Database!$A498),"0")&amp;" HK Equity","EQUITY_OFFERINGS","array=t","endcol=1"),MATCH("IPO",BDS(TEXT(VALUE(Database!$A498),"0")&amp;" HK Equity","EQUITY_OFFERINGS","array=t","startcol=2","endcol=2"),0)),"")</f>
        <v/>
      </c>
      <c r="C498" s="208">
        <f>IF($B498="","",IFERROR(BDP($B498&amp;" Action","CP036"),""))</f>
        <v/>
      </c>
      <c r="D498" s="209">
        <f>Database!S498</f>
        <v/>
      </c>
      <c r="E498" s="208">
        <f>IF($B498="","",IFERROR(BDP($B498&amp;" Action","CP037"),""))</f>
        <v/>
      </c>
      <c r="F498" s="209">
        <f>Database!T498</f>
        <v/>
      </c>
      <c r="G498" s="208">
        <f>IF($B498="","",IFERROR(BDP($B498&amp;" Action","GREENSHOE_FACILITY"),""))</f>
        <v/>
      </c>
      <c r="H498" s="208">
        <f>IF($B498="","",IFERROR(BDP($B498&amp;" Action","OFFERING_GREENSHOE_SHARES_EX"),""))</f>
        <v/>
      </c>
      <c r="I498" s="32">
        <f>Database!AE498</f>
        <v/>
      </c>
      <c r="J498" s="39">
        <f>IFERROR(BDP(TEXT(VALUE(Database!$A498),"0")&amp;" HK Equity","PE_RATIO"),"")</f>
        <v/>
      </c>
      <c r="K498" s="24">
        <f>IFERROR(BDP(TEXT(VALUE(Database!$A498),"0")&amp;" HK Equity","A/H_SHARE_CONVERSION"),"")</f>
        <v/>
      </c>
      <c r="L498" s="32">
        <f>IF(Database!BN498="","(none found)",Database!BN498)</f>
        <v/>
      </c>
      <c r="M498" s="34">
        <f>BDH(TEXT(VALUE(Database!$A498),"0")&amp;" HK Equity","CUR_MKT_CAP",Database!$H498,Database!$H498)</f>
        <v/>
      </c>
      <c r="N498" s="166">
        <f>Database!Q498</f>
        <v/>
      </c>
      <c r="O498" s="39">
        <f>BDH(TEXT(VALUE(Database!$A498),"0")&amp;" HK Equity","PE_RATIO",Database!$H498,Database!$H498)</f>
        <v/>
      </c>
      <c r="P498" s="199">
        <f>IF(Database!BH498="","(n/m or not derivable)",Database!BH498)</f>
        <v/>
      </c>
      <c r="Q498" s="39">
        <f>IF(Database!BN498="","",BDH(LEFT(Database!BN498,FIND(".",Database!BN498)-1)&amp;" CH Equity","PE_RATIO",Database!$H498,Database!$H498))</f>
        <v/>
      </c>
      <c r="R498" s="39">
        <f>IF(Database!BN498="","",BDH("HSAHP Index","PX_LAST",Database!$H498,Database!$H498))</f>
        <v/>
      </c>
      <c r="S498" s="39">
        <f>IFERROR(BDP(TEXT(VALUE(Database!$A498),"0")&amp;" HK Equity","PX_TO_SALES_RATIO"),"")</f>
        <v/>
      </c>
      <c r="T498" s="34">
        <f>IF(Database!BN498="","",IFERROR(BDP(LEFT(Database!BN498,FIND(".",Database!BN498)-1)&amp;" CH Equity","CUR_MKT_CAP")*BDP("CNYHKD Curncy","PX_LAST"),"Awaiting quote"))</f>
        <v/>
      </c>
    </row>
    <row r="499" ht="23" customHeight="1">
      <c r="A499" s="32">
        <f>Database!A499&amp;"  "&amp;Database!B499</f>
        <v/>
      </c>
      <c r="B499" s="24">
        <f>IFERROR(INDEX(BDS(TEXT(VALUE(Database!$A499),"0")&amp;" HK Equity","EQUITY_OFFERINGS","array=t","endcol=1"),MATCH("IPO",BDS(TEXT(VALUE(Database!$A499),"0")&amp;" HK Equity","EQUITY_OFFERINGS","array=t","startcol=2","endcol=2"),0)),"")</f>
        <v/>
      </c>
      <c r="C499" s="208">
        <f>IF($B499="","",IFERROR(BDP($B499&amp;" Action","CP036"),""))</f>
        <v/>
      </c>
      <c r="D499" s="209">
        <f>Database!S499</f>
        <v/>
      </c>
      <c r="E499" s="208">
        <f>IF($B499="","",IFERROR(BDP($B499&amp;" Action","CP037"),""))</f>
        <v/>
      </c>
      <c r="F499" s="209">
        <f>Database!T499</f>
        <v/>
      </c>
      <c r="G499" s="208">
        <f>IF($B499="","",IFERROR(BDP($B499&amp;" Action","GREENSHOE_FACILITY"),""))</f>
        <v/>
      </c>
      <c r="H499" s="208">
        <f>IF($B499="","",IFERROR(BDP($B499&amp;" Action","OFFERING_GREENSHOE_SHARES_EX"),""))</f>
        <v/>
      </c>
      <c r="I499" s="32">
        <f>Database!AE499</f>
        <v/>
      </c>
      <c r="J499" s="39">
        <f>IFERROR(BDP(TEXT(VALUE(Database!$A499),"0")&amp;" HK Equity","PE_RATIO"),"")</f>
        <v/>
      </c>
      <c r="K499" s="24">
        <f>IFERROR(BDP(TEXT(VALUE(Database!$A499),"0")&amp;" HK Equity","A/H_SHARE_CONVERSION"),"")</f>
        <v/>
      </c>
      <c r="L499" s="32">
        <f>IF(Database!BN499="","(none found)",Database!BN499)</f>
        <v/>
      </c>
      <c r="M499" s="34">
        <f>BDH(TEXT(VALUE(Database!$A499),"0")&amp;" HK Equity","CUR_MKT_CAP",Database!$H499,Database!$H499)</f>
        <v/>
      </c>
      <c r="N499" s="166">
        <f>Database!Q499</f>
        <v/>
      </c>
      <c r="O499" s="39">
        <f>BDH(TEXT(VALUE(Database!$A499),"0")&amp;" HK Equity","PE_RATIO",Database!$H499,Database!$H499)</f>
        <v/>
      </c>
      <c r="P499" s="199">
        <f>IF(Database!BH499="","(n/m or not derivable)",Database!BH499)</f>
        <v/>
      </c>
      <c r="Q499" s="39">
        <f>IF(Database!BN499="","",BDH(LEFT(Database!BN499,FIND(".",Database!BN499)-1)&amp;" CH Equity","PE_RATIO",Database!$H499,Database!$H499))</f>
        <v/>
      </c>
      <c r="R499" s="39">
        <f>IF(Database!BN499="","",BDH("HSAHP Index","PX_LAST",Database!$H499,Database!$H499))</f>
        <v/>
      </c>
      <c r="S499" s="39">
        <f>IFERROR(BDP(TEXT(VALUE(Database!$A499),"0")&amp;" HK Equity","PX_TO_SALES_RATIO"),"")</f>
        <v/>
      </c>
      <c r="T499" s="34">
        <f>IF(Database!BN499="","",IFERROR(BDP(LEFT(Database!BN499,FIND(".",Database!BN499)-1)&amp;" CH Equity","CUR_MKT_CAP")*BDP("CNYHKD Curncy","PX_LAST"),"Awaiting quote"))</f>
        <v/>
      </c>
    </row>
    <row r="500" ht="23" customHeight="1">
      <c r="A500" s="32">
        <f>Database!A500&amp;"  "&amp;Database!B500</f>
        <v/>
      </c>
      <c r="B500" s="24">
        <f>IFERROR(INDEX(BDS(TEXT(VALUE(Database!$A500),"0")&amp;" HK Equity","EQUITY_OFFERINGS","array=t","endcol=1"),MATCH("IPO",BDS(TEXT(VALUE(Database!$A500),"0")&amp;" HK Equity","EQUITY_OFFERINGS","array=t","startcol=2","endcol=2"),0)),"")</f>
        <v/>
      </c>
      <c r="C500" s="208">
        <f>IF($B500="","",IFERROR(BDP($B500&amp;" Action","CP036"),""))</f>
        <v/>
      </c>
      <c r="D500" s="209">
        <f>Database!S500</f>
        <v/>
      </c>
      <c r="E500" s="208">
        <f>IF($B500="","",IFERROR(BDP($B500&amp;" Action","CP037"),""))</f>
        <v/>
      </c>
      <c r="F500" s="209">
        <f>Database!T500</f>
        <v/>
      </c>
      <c r="G500" s="208">
        <f>IF($B500="","",IFERROR(BDP($B500&amp;" Action","GREENSHOE_FACILITY"),""))</f>
        <v/>
      </c>
      <c r="H500" s="208">
        <f>IF($B500="","",IFERROR(BDP($B500&amp;" Action","OFFERING_GREENSHOE_SHARES_EX"),""))</f>
        <v/>
      </c>
      <c r="I500" s="32">
        <f>Database!AE500</f>
        <v/>
      </c>
      <c r="J500" s="39">
        <f>IFERROR(BDP(TEXT(VALUE(Database!$A500),"0")&amp;" HK Equity","PE_RATIO"),"")</f>
        <v/>
      </c>
      <c r="K500" s="24">
        <f>IFERROR(BDP(TEXT(VALUE(Database!$A500),"0")&amp;" HK Equity","A/H_SHARE_CONVERSION"),"")</f>
        <v/>
      </c>
      <c r="L500" s="32">
        <f>IF(Database!BN500="","(none found)",Database!BN500)</f>
        <v/>
      </c>
      <c r="M500" s="34">
        <f>BDH(TEXT(VALUE(Database!$A500),"0")&amp;" HK Equity","CUR_MKT_CAP",Database!$H500,Database!$H500)</f>
        <v/>
      </c>
      <c r="N500" s="166">
        <f>Database!Q500</f>
        <v/>
      </c>
      <c r="O500" s="39">
        <f>BDH(TEXT(VALUE(Database!$A500),"0")&amp;" HK Equity","PE_RATIO",Database!$H500,Database!$H500)</f>
        <v/>
      </c>
      <c r="P500" s="199">
        <f>IF(Database!BH500="","(n/m or not derivable)",Database!BH500)</f>
        <v/>
      </c>
      <c r="Q500" s="39">
        <f>IF(Database!BN500="","",BDH(LEFT(Database!BN500,FIND(".",Database!BN500)-1)&amp;" CH Equity","PE_RATIO",Database!$H500,Database!$H500))</f>
        <v/>
      </c>
      <c r="R500" s="39">
        <f>IF(Database!BN500="","",BDH("HSAHP Index","PX_LAST",Database!$H500,Database!$H500))</f>
        <v/>
      </c>
      <c r="S500" s="39">
        <f>IFERROR(BDP(TEXT(VALUE(Database!$A500),"0")&amp;" HK Equity","PX_TO_SALES_RATIO"),"")</f>
        <v/>
      </c>
      <c r="T500" s="34">
        <f>IF(Database!BN500="","",IFERROR(BDP(LEFT(Database!BN500,FIND(".",Database!BN500)-1)&amp;" CH Equity","CUR_MKT_CAP")*BDP("CNYHKD Curncy","PX_LAST"),"Awaiting quote"))</f>
        <v/>
      </c>
    </row>
    <row r="501" ht="23" customHeight="1">
      <c r="A501" s="32">
        <f>Database!A501&amp;"  "&amp;Database!B501</f>
        <v/>
      </c>
      <c r="B501" s="24">
        <f>IFERROR(INDEX(BDS(TEXT(VALUE(Database!$A501),"0")&amp;" HK Equity","EQUITY_OFFERINGS","array=t","endcol=1"),MATCH("IPO",BDS(TEXT(VALUE(Database!$A501),"0")&amp;" HK Equity","EQUITY_OFFERINGS","array=t","startcol=2","endcol=2"),0)),"")</f>
        <v/>
      </c>
      <c r="C501" s="208">
        <f>IF($B501="","",IFERROR(BDP($B501&amp;" Action","CP036"),""))</f>
        <v/>
      </c>
      <c r="D501" s="209">
        <f>Database!S501</f>
        <v/>
      </c>
      <c r="E501" s="208">
        <f>IF($B501="","",IFERROR(BDP($B501&amp;" Action","CP037"),""))</f>
        <v/>
      </c>
      <c r="F501" s="209">
        <f>Database!T501</f>
        <v/>
      </c>
      <c r="G501" s="208">
        <f>IF($B501="","",IFERROR(BDP($B501&amp;" Action","GREENSHOE_FACILITY"),""))</f>
        <v/>
      </c>
      <c r="H501" s="208">
        <f>IF($B501="","",IFERROR(BDP($B501&amp;" Action","OFFERING_GREENSHOE_SHARES_EX"),""))</f>
        <v/>
      </c>
      <c r="I501" s="32">
        <f>Database!AE501</f>
        <v/>
      </c>
      <c r="J501" s="39">
        <f>IFERROR(BDP(TEXT(VALUE(Database!$A501),"0")&amp;" HK Equity","PE_RATIO"),"")</f>
        <v/>
      </c>
      <c r="K501" s="24">
        <f>IFERROR(BDP(TEXT(VALUE(Database!$A501),"0")&amp;" HK Equity","A/H_SHARE_CONVERSION"),"")</f>
        <v/>
      </c>
      <c r="L501" s="32">
        <f>IF(Database!BN501="","(none found)",Database!BN501)</f>
        <v/>
      </c>
      <c r="M501" s="34">
        <f>BDH(TEXT(VALUE(Database!$A501),"0")&amp;" HK Equity","CUR_MKT_CAP",Database!$H501,Database!$H501)</f>
        <v/>
      </c>
      <c r="N501" s="166">
        <f>Database!Q501</f>
        <v/>
      </c>
      <c r="O501" s="39">
        <f>BDH(TEXT(VALUE(Database!$A501),"0")&amp;" HK Equity","PE_RATIO",Database!$H501,Database!$H501)</f>
        <v/>
      </c>
      <c r="P501" s="199">
        <f>IF(Database!BH501="","(n/m or not derivable)",Database!BH501)</f>
        <v/>
      </c>
      <c r="Q501" s="39">
        <f>IF(Database!BN501="","",BDH(LEFT(Database!BN501,FIND(".",Database!BN501)-1)&amp;" CH Equity","PE_RATIO",Database!$H501,Database!$H501))</f>
        <v/>
      </c>
      <c r="R501" s="39">
        <f>IF(Database!BN501="","",BDH("HSAHP Index","PX_LAST",Database!$H501,Database!$H501))</f>
        <v/>
      </c>
      <c r="S501" s="39">
        <f>IFERROR(BDP(TEXT(VALUE(Database!$A501),"0")&amp;" HK Equity","PX_TO_SALES_RATIO"),"")</f>
        <v/>
      </c>
      <c r="T501" s="34">
        <f>IF(Database!BN501="","",IFERROR(BDP(LEFT(Database!BN501,FIND(".",Database!BN501)-1)&amp;" CH Equity","CUR_MKT_CAP")*BDP("CNYHKD Curncy","PX_LAST"),"Awaiting quote"))</f>
        <v/>
      </c>
    </row>
    <row r="502" ht="23" customHeight="1">
      <c r="A502" s="32">
        <f>Database!A502&amp;"  "&amp;Database!B502</f>
        <v/>
      </c>
      <c r="B502" s="24">
        <f>IFERROR(INDEX(BDS(TEXT(VALUE(Database!$A502),"0")&amp;" HK Equity","EQUITY_OFFERINGS","array=t","endcol=1"),MATCH("IPO",BDS(TEXT(VALUE(Database!$A502),"0")&amp;" HK Equity","EQUITY_OFFERINGS","array=t","startcol=2","endcol=2"),0)),"")</f>
        <v/>
      </c>
      <c r="C502" s="208">
        <f>IF($B502="","",IFERROR(BDP($B502&amp;" Action","CP036"),""))</f>
        <v/>
      </c>
      <c r="D502" s="209">
        <f>Database!S502</f>
        <v/>
      </c>
      <c r="E502" s="208">
        <f>IF($B502="","",IFERROR(BDP($B502&amp;" Action","CP037"),""))</f>
        <v/>
      </c>
      <c r="F502" s="209">
        <f>Database!T502</f>
        <v/>
      </c>
      <c r="G502" s="208">
        <f>IF($B502="","",IFERROR(BDP($B502&amp;" Action","GREENSHOE_FACILITY"),""))</f>
        <v/>
      </c>
      <c r="H502" s="208">
        <f>IF($B502="","",IFERROR(BDP($B502&amp;" Action","OFFERING_GREENSHOE_SHARES_EX"),""))</f>
        <v/>
      </c>
      <c r="I502" s="32">
        <f>Database!AE502</f>
        <v/>
      </c>
      <c r="J502" s="39">
        <f>IFERROR(BDP(TEXT(VALUE(Database!$A502),"0")&amp;" HK Equity","PE_RATIO"),"")</f>
        <v/>
      </c>
      <c r="K502" s="24">
        <f>IFERROR(BDP(TEXT(VALUE(Database!$A502),"0")&amp;" HK Equity","A/H_SHARE_CONVERSION"),"")</f>
        <v/>
      </c>
      <c r="L502" s="32">
        <f>IF(Database!BN502="","(none found)",Database!BN502)</f>
        <v/>
      </c>
      <c r="M502" s="34">
        <f>BDH(TEXT(VALUE(Database!$A502),"0")&amp;" HK Equity","CUR_MKT_CAP",Database!$H502,Database!$H502)</f>
        <v/>
      </c>
      <c r="N502" s="166">
        <f>Database!Q502</f>
        <v/>
      </c>
      <c r="O502" s="39">
        <f>BDH(TEXT(VALUE(Database!$A502),"0")&amp;" HK Equity","PE_RATIO",Database!$H502,Database!$H502)</f>
        <v/>
      </c>
      <c r="P502" s="199">
        <f>IF(Database!BH502="","(n/m or not derivable)",Database!BH502)</f>
        <v/>
      </c>
      <c r="Q502" s="39">
        <f>IF(Database!BN502="","",BDH(LEFT(Database!BN502,FIND(".",Database!BN502)-1)&amp;" CH Equity","PE_RATIO",Database!$H502,Database!$H502))</f>
        <v/>
      </c>
      <c r="R502" s="39">
        <f>IF(Database!BN502="","",BDH("HSAHP Index","PX_LAST",Database!$H502,Database!$H502))</f>
        <v/>
      </c>
      <c r="S502" s="39">
        <f>IFERROR(BDP(TEXT(VALUE(Database!$A502),"0")&amp;" HK Equity","PX_TO_SALES_RATIO"),"")</f>
        <v/>
      </c>
      <c r="T502" s="34">
        <f>IF(Database!BN502="","",IFERROR(BDP(LEFT(Database!BN502,FIND(".",Database!BN502)-1)&amp;" CH Equity","CUR_MKT_CAP")*BDP("CNYHKD Curncy","PX_LAST"),"Awaiting quote"))</f>
        <v/>
      </c>
    </row>
    <row r="503" ht="23" customHeight="1">
      <c r="A503" s="32">
        <f>Database!A503&amp;"  "&amp;Database!B503</f>
        <v/>
      </c>
      <c r="B503" s="24">
        <f>IFERROR(INDEX(BDS(TEXT(VALUE(Database!$A503),"0")&amp;" HK Equity","EQUITY_OFFERINGS","array=t","endcol=1"),MATCH("IPO",BDS(TEXT(VALUE(Database!$A503),"0")&amp;" HK Equity","EQUITY_OFFERINGS","array=t","startcol=2","endcol=2"),0)),"")</f>
        <v/>
      </c>
      <c r="C503" s="208">
        <f>IF($B503="","",IFERROR(BDP($B503&amp;" Action","CP036"),""))</f>
        <v/>
      </c>
      <c r="D503" s="209">
        <f>Database!S503</f>
        <v/>
      </c>
      <c r="E503" s="208">
        <f>IF($B503="","",IFERROR(BDP($B503&amp;" Action","CP037"),""))</f>
        <v/>
      </c>
      <c r="F503" s="209">
        <f>Database!T503</f>
        <v/>
      </c>
      <c r="G503" s="208">
        <f>IF($B503="","",IFERROR(BDP($B503&amp;" Action","GREENSHOE_FACILITY"),""))</f>
        <v/>
      </c>
      <c r="H503" s="208">
        <f>IF($B503="","",IFERROR(BDP($B503&amp;" Action","OFFERING_GREENSHOE_SHARES_EX"),""))</f>
        <v/>
      </c>
      <c r="I503" s="32">
        <f>Database!AE503</f>
        <v/>
      </c>
      <c r="J503" s="39">
        <f>IFERROR(BDP(TEXT(VALUE(Database!$A503),"0")&amp;" HK Equity","PE_RATIO"),"")</f>
        <v/>
      </c>
      <c r="K503" s="24">
        <f>IFERROR(BDP(TEXT(VALUE(Database!$A503),"0")&amp;" HK Equity","A/H_SHARE_CONVERSION"),"")</f>
        <v/>
      </c>
      <c r="L503" s="32">
        <f>IF(Database!BN503="","(none found)",Database!BN503)</f>
        <v/>
      </c>
      <c r="M503" s="34">
        <f>BDH(TEXT(VALUE(Database!$A503),"0")&amp;" HK Equity","CUR_MKT_CAP",Database!$H503,Database!$H503)</f>
        <v/>
      </c>
      <c r="N503" s="166">
        <f>Database!Q503</f>
        <v/>
      </c>
      <c r="O503" s="39">
        <f>BDH(TEXT(VALUE(Database!$A503),"0")&amp;" HK Equity","PE_RATIO",Database!$H503,Database!$H503)</f>
        <v/>
      </c>
      <c r="P503" s="199">
        <f>IF(Database!BH503="","(n/m or not derivable)",Database!BH503)</f>
        <v/>
      </c>
      <c r="Q503" s="39">
        <f>IF(Database!BN503="","",BDH(LEFT(Database!BN503,FIND(".",Database!BN503)-1)&amp;" CH Equity","PE_RATIO",Database!$H503,Database!$H503))</f>
        <v/>
      </c>
      <c r="R503" s="39">
        <f>IF(Database!BN503="","",BDH("HSAHP Index","PX_LAST",Database!$H503,Database!$H503))</f>
        <v/>
      </c>
      <c r="S503" s="39">
        <f>IFERROR(BDP(TEXT(VALUE(Database!$A503),"0")&amp;" HK Equity","PX_TO_SALES_RATIO"),"")</f>
        <v/>
      </c>
      <c r="T503" s="34">
        <f>IF(Database!BN503="","",IFERROR(BDP(LEFT(Database!BN503,FIND(".",Database!BN503)-1)&amp;" CH Equity","CUR_MKT_CAP")*BDP("CNYHKD Curncy","PX_LAST"),"Awaiting quote"))</f>
        <v/>
      </c>
    </row>
    <row r="504" ht="23" customHeight="1">
      <c r="A504" s="32">
        <f>Database!A504&amp;"  "&amp;Database!B504</f>
        <v/>
      </c>
      <c r="B504" s="24">
        <f>IFERROR(INDEX(BDS(TEXT(VALUE(Database!$A504),"0")&amp;" HK Equity","EQUITY_OFFERINGS","array=t","endcol=1"),MATCH("IPO",BDS(TEXT(VALUE(Database!$A504),"0")&amp;" HK Equity","EQUITY_OFFERINGS","array=t","startcol=2","endcol=2"),0)),"")</f>
        <v/>
      </c>
      <c r="C504" s="208">
        <f>IF($B504="","",IFERROR(BDP($B504&amp;" Action","CP036"),""))</f>
        <v/>
      </c>
      <c r="D504" s="209">
        <f>Database!S504</f>
        <v/>
      </c>
      <c r="E504" s="208">
        <f>IF($B504="","",IFERROR(BDP($B504&amp;" Action","CP037"),""))</f>
        <v/>
      </c>
      <c r="F504" s="209">
        <f>Database!T504</f>
        <v/>
      </c>
      <c r="G504" s="208">
        <f>IF($B504="","",IFERROR(BDP($B504&amp;" Action","GREENSHOE_FACILITY"),""))</f>
        <v/>
      </c>
      <c r="H504" s="208">
        <f>IF($B504="","",IFERROR(BDP($B504&amp;" Action","OFFERING_GREENSHOE_SHARES_EX"),""))</f>
        <v/>
      </c>
      <c r="I504" s="32">
        <f>Database!AE504</f>
        <v/>
      </c>
      <c r="J504" s="39">
        <f>IFERROR(BDP(TEXT(VALUE(Database!$A504),"0")&amp;" HK Equity","PE_RATIO"),"")</f>
        <v/>
      </c>
      <c r="K504" s="24">
        <f>IFERROR(BDP(TEXT(VALUE(Database!$A504),"0")&amp;" HK Equity","A/H_SHARE_CONVERSION"),"")</f>
        <v/>
      </c>
      <c r="L504" s="32">
        <f>IF(Database!BN504="","(none found)",Database!BN504)</f>
        <v/>
      </c>
      <c r="M504" s="34">
        <f>BDH(TEXT(VALUE(Database!$A504),"0")&amp;" HK Equity","CUR_MKT_CAP",Database!$H504,Database!$H504)</f>
        <v/>
      </c>
      <c r="N504" s="166">
        <f>Database!Q504</f>
        <v/>
      </c>
      <c r="O504" s="39">
        <f>BDH(TEXT(VALUE(Database!$A504),"0")&amp;" HK Equity","PE_RATIO",Database!$H504,Database!$H504)</f>
        <v/>
      </c>
      <c r="P504" s="199">
        <f>IF(Database!BH504="","(n/m or not derivable)",Database!BH504)</f>
        <v/>
      </c>
      <c r="Q504" s="39">
        <f>IF(Database!BN504="","",BDH(LEFT(Database!BN504,FIND(".",Database!BN504)-1)&amp;" CH Equity","PE_RATIO",Database!$H504,Database!$H504))</f>
        <v/>
      </c>
      <c r="R504" s="39">
        <f>IF(Database!BN504="","",BDH("HSAHP Index","PX_LAST",Database!$H504,Database!$H504))</f>
        <v/>
      </c>
      <c r="S504" s="39">
        <f>IFERROR(BDP(TEXT(VALUE(Database!$A504),"0")&amp;" HK Equity","PX_TO_SALES_RATIO"),"")</f>
        <v/>
      </c>
      <c r="T504" s="34">
        <f>IF(Database!BN504="","",IFERROR(BDP(LEFT(Database!BN504,FIND(".",Database!BN504)-1)&amp;" CH Equity","CUR_MKT_CAP")*BDP("CNYHKD Curncy","PX_LAST"),"Awaiting quote"))</f>
        <v/>
      </c>
    </row>
    <row r="505" ht="23" customHeight="1">
      <c r="A505" s="32">
        <f>Database!A505&amp;"  "&amp;Database!B505</f>
        <v/>
      </c>
      <c r="B505" s="24">
        <f>IFERROR(INDEX(BDS(TEXT(VALUE(Database!$A505),"0")&amp;" HK Equity","EQUITY_OFFERINGS","array=t","endcol=1"),MATCH("IPO",BDS(TEXT(VALUE(Database!$A505),"0")&amp;" HK Equity","EQUITY_OFFERINGS","array=t","startcol=2","endcol=2"),0)),"")</f>
        <v/>
      </c>
      <c r="C505" s="208">
        <f>IF($B505="","",IFERROR(BDP($B505&amp;" Action","CP036"),""))</f>
        <v/>
      </c>
      <c r="D505" s="209">
        <f>Database!S505</f>
        <v/>
      </c>
      <c r="E505" s="208">
        <f>IF($B505="","",IFERROR(BDP($B505&amp;" Action","CP037"),""))</f>
        <v/>
      </c>
      <c r="F505" s="209">
        <f>Database!T505</f>
        <v/>
      </c>
      <c r="G505" s="208">
        <f>IF($B505="","",IFERROR(BDP($B505&amp;" Action","GREENSHOE_FACILITY"),""))</f>
        <v/>
      </c>
      <c r="H505" s="208">
        <f>IF($B505="","",IFERROR(BDP($B505&amp;" Action","OFFERING_GREENSHOE_SHARES_EX"),""))</f>
        <v/>
      </c>
      <c r="I505" s="32">
        <f>Database!AE505</f>
        <v/>
      </c>
      <c r="J505" s="39">
        <f>IFERROR(BDP(TEXT(VALUE(Database!$A505),"0")&amp;" HK Equity","PE_RATIO"),"")</f>
        <v/>
      </c>
      <c r="K505" s="24">
        <f>IFERROR(BDP(TEXT(VALUE(Database!$A505),"0")&amp;" HK Equity","A/H_SHARE_CONVERSION"),"")</f>
        <v/>
      </c>
      <c r="L505" s="32">
        <f>IF(Database!BN505="","(none found)",Database!BN505)</f>
        <v/>
      </c>
      <c r="M505" s="34">
        <f>BDH(TEXT(VALUE(Database!$A505),"0")&amp;" HK Equity","CUR_MKT_CAP",Database!$H505,Database!$H505)</f>
        <v/>
      </c>
      <c r="N505" s="166">
        <f>Database!Q505</f>
        <v/>
      </c>
      <c r="O505" s="39">
        <f>BDH(TEXT(VALUE(Database!$A505),"0")&amp;" HK Equity","PE_RATIO",Database!$H505,Database!$H505)</f>
        <v/>
      </c>
      <c r="P505" s="199">
        <f>IF(Database!BH505="","(n/m or not derivable)",Database!BH505)</f>
        <v/>
      </c>
      <c r="Q505" s="39">
        <f>IF(Database!BN505="","",BDH(LEFT(Database!BN505,FIND(".",Database!BN505)-1)&amp;" CH Equity","PE_RATIO",Database!$H505,Database!$H505))</f>
        <v/>
      </c>
      <c r="R505" s="39">
        <f>IF(Database!BN505="","",BDH("HSAHP Index","PX_LAST",Database!$H505,Database!$H505))</f>
        <v/>
      </c>
      <c r="S505" s="39">
        <f>IFERROR(BDP(TEXT(VALUE(Database!$A505),"0")&amp;" HK Equity","PX_TO_SALES_RATIO"),"")</f>
        <v/>
      </c>
      <c r="T505" s="34">
        <f>IF(Database!BN505="","",IFERROR(BDP(LEFT(Database!BN505,FIND(".",Database!BN505)-1)&amp;" CH Equity","CUR_MKT_CAP")*BDP("CNYHKD Curncy","PX_LAST"),"Awaiting quote"))</f>
        <v/>
      </c>
    </row>
    <row r="506" ht="23" customHeight="1">
      <c r="A506" s="32">
        <f>Database!A506&amp;"  "&amp;Database!B506</f>
        <v/>
      </c>
      <c r="B506" s="24">
        <f>IFERROR(INDEX(BDS(TEXT(VALUE(Database!$A506),"0")&amp;" HK Equity","EQUITY_OFFERINGS","array=t","endcol=1"),MATCH("IPO",BDS(TEXT(VALUE(Database!$A506),"0")&amp;" HK Equity","EQUITY_OFFERINGS","array=t","startcol=2","endcol=2"),0)),"")</f>
        <v/>
      </c>
      <c r="C506" s="208">
        <f>IF($B506="","",IFERROR(BDP($B506&amp;" Action","CP036"),""))</f>
        <v/>
      </c>
      <c r="D506" s="209">
        <f>Database!S506</f>
        <v/>
      </c>
      <c r="E506" s="208">
        <f>IF($B506="","",IFERROR(BDP($B506&amp;" Action","CP037"),""))</f>
        <v/>
      </c>
      <c r="F506" s="209">
        <f>Database!T506</f>
        <v/>
      </c>
      <c r="G506" s="208">
        <f>IF($B506="","",IFERROR(BDP($B506&amp;" Action","GREENSHOE_FACILITY"),""))</f>
        <v/>
      </c>
      <c r="H506" s="208">
        <f>IF($B506="","",IFERROR(BDP($B506&amp;" Action","OFFERING_GREENSHOE_SHARES_EX"),""))</f>
        <v/>
      </c>
      <c r="I506" s="32">
        <f>Database!AE506</f>
        <v/>
      </c>
      <c r="J506" s="39">
        <f>IFERROR(BDP(TEXT(VALUE(Database!$A506),"0")&amp;" HK Equity","PE_RATIO"),"")</f>
        <v/>
      </c>
      <c r="K506" s="24">
        <f>IFERROR(BDP(TEXT(VALUE(Database!$A506),"0")&amp;" HK Equity","A/H_SHARE_CONVERSION"),"")</f>
        <v/>
      </c>
      <c r="L506" s="32">
        <f>IF(Database!BN506="","(none found)",Database!BN506)</f>
        <v/>
      </c>
      <c r="M506" s="34">
        <f>BDH(TEXT(VALUE(Database!$A506),"0")&amp;" HK Equity","CUR_MKT_CAP",Database!$H506,Database!$H506)</f>
        <v/>
      </c>
      <c r="N506" s="166">
        <f>Database!Q506</f>
        <v/>
      </c>
      <c r="O506" s="39">
        <f>BDH(TEXT(VALUE(Database!$A506),"0")&amp;" HK Equity","PE_RATIO",Database!$H506,Database!$H506)</f>
        <v/>
      </c>
      <c r="P506" s="199">
        <f>IF(Database!BH506="","(n/m or not derivable)",Database!BH506)</f>
        <v/>
      </c>
      <c r="Q506" s="39">
        <f>IF(Database!BN506="","",BDH(LEFT(Database!BN506,FIND(".",Database!BN506)-1)&amp;" CH Equity","PE_RATIO",Database!$H506,Database!$H506))</f>
        <v/>
      </c>
      <c r="R506" s="39">
        <f>IF(Database!BN506="","",BDH("HSAHP Index","PX_LAST",Database!$H506,Database!$H506))</f>
        <v/>
      </c>
      <c r="S506" s="39">
        <f>IFERROR(BDP(TEXT(VALUE(Database!$A506),"0")&amp;" HK Equity","PX_TO_SALES_RATIO"),"")</f>
        <v/>
      </c>
      <c r="T506" s="34">
        <f>IF(Database!BN506="","",IFERROR(BDP(LEFT(Database!BN506,FIND(".",Database!BN506)-1)&amp;" CH Equity","CUR_MKT_CAP")*BDP("CNYHKD Curncy","PX_LAST"),"Awaiting quote"))</f>
        <v/>
      </c>
    </row>
    <row r="507" ht="23" customHeight="1">
      <c r="A507" s="32">
        <f>Database!A507&amp;"  "&amp;Database!B507</f>
        <v/>
      </c>
      <c r="B507" s="24">
        <f>IFERROR(INDEX(BDS(TEXT(VALUE(Database!$A507),"0")&amp;" HK Equity","EQUITY_OFFERINGS","array=t","endcol=1"),MATCH("IPO",BDS(TEXT(VALUE(Database!$A507),"0")&amp;" HK Equity","EQUITY_OFFERINGS","array=t","startcol=2","endcol=2"),0)),"")</f>
        <v/>
      </c>
      <c r="C507" s="208">
        <f>IF($B507="","",IFERROR(BDP($B507&amp;" Action","CP036"),""))</f>
        <v/>
      </c>
      <c r="D507" s="209">
        <f>Database!S507</f>
        <v/>
      </c>
      <c r="E507" s="208">
        <f>IF($B507="","",IFERROR(BDP($B507&amp;" Action","CP037"),""))</f>
        <v/>
      </c>
      <c r="F507" s="209">
        <f>Database!T507</f>
        <v/>
      </c>
      <c r="G507" s="208">
        <f>IF($B507="","",IFERROR(BDP($B507&amp;" Action","GREENSHOE_FACILITY"),""))</f>
        <v/>
      </c>
      <c r="H507" s="208">
        <f>IF($B507="","",IFERROR(BDP($B507&amp;" Action","OFFERING_GREENSHOE_SHARES_EX"),""))</f>
        <v/>
      </c>
      <c r="I507" s="32">
        <f>Database!AE507</f>
        <v/>
      </c>
      <c r="J507" s="39">
        <f>IFERROR(BDP(TEXT(VALUE(Database!$A507),"0")&amp;" HK Equity","PE_RATIO"),"")</f>
        <v/>
      </c>
      <c r="K507" s="24">
        <f>IFERROR(BDP(TEXT(VALUE(Database!$A507),"0")&amp;" HK Equity","A/H_SHARE_CONVERSION"),"")</f>
        <v/>
      </c>
      <c r="L507" s="32">
        <f>IF(Database!BN507="","(none found)",Database!BN507)</f>
        <v/>
      </c>
      <c r="M507" s="34">
        <f>BDH(TEXT(VALUE(Database!$A507),"0")&amp;" HK Equity","CUR_MKT_CAP",Database!$H507,Database!$H507)</f>
        <v/>
      </c>
      <c r="N507" s="166">
        <f>Database!Q507</f>
        <v/>
      </c>
      <c r="O507" s="39">
        <f>BDH(TEXT(VALUE(Database!$A507),"0")&amp;" HK Equity","PE_RATIO",Database!$H507,Database!$H507)</f>
        <v/>
      </c>
      <c r="P507" s="199">
        <f>IF(Database!BH507="","(n/m or not derivable)",Database!BH507)</f>
        <v/>
      </c>
      <c r="Q507" s="39">
        <f>IF(Database!BN507="","",BDH(LEFT(Database!BN507,FIND(".",Database!BN507)-1)&amp;" CH Equity","PE_RATIO",Database!$H507,Database!$H507))</f>
        <v/>
      </c>
      <c r="R507" s="39">
        <f>IF(Database!BN507="","",BDH("HSAHP Index","PX_LAST",Database!$H507,Database!$H507))</f>
        <v/>
      </c>
      <c r="S507" s="39">
        <f>IFERROR(BDP(TEXT(VALUE(Database!$A507),"0")&amp;" HK Equity","PX_TO_SALES_RATIO"),"")</f>
        <v/>
      </c>
      <c r="T507" s="34">
        <f>IF(Database!BN507="","",IFERROR(BDP(LEFT(Database!BN507,FIND(".",Database!BN507)-1)&amp;" CH Equity","CUR_MKT_CAP")*BDP("CNYHKD Curncy","PX_LAST"),"Awaiting quote"))</f>
        <v/>
      </c>
    </row>
    <row r="508" ht="23" customHeight="1">
      <c r="A508" s="32">
        <f>Database!A508&amp;"  "&amp;Database!B508</f>
        <v/>
      </c>
      <c r="B508" s="24">
        <f>IFERROR(INDEX(BDS(TEXT(VALUE(Database!$A508),"0")&amp;" HK Equity","EQUITY_OFFERINGS","array=t","endcol=1"),MATCH("IPO",BDS(TEXT(VALUE(Database!$A508),"0")&amp;" HK Equity","EQUITY_OFFERINGS","array=t","startcol=2","endcol=2"),0)),"")</f>
        <v/>
      </c>
      <c r="C508" s="208">
        <f>IF($B508="","",IFERROR(BDP($B508&amp;" Action","CP036"),""))</f>
        <v/>
      </c>
      <c r="D508" s="209">
        <f>Database!S508</f>
        <v/>
      </c>
      <c r="E508" s="208">
        <f>IF($B508="","",IFERROR(BDP($B508&amp;" Action","CP037"),""))</f>
        <v/>
      </c>
      <c r="F508" s="209">
        <f>Database!T508</f>
        <v/>
      </c>
      <c r="G508" s="208">
        <f>IF($B508="","",IFERROR(BDP($B508&amp;" Action","GREENSHOE_FACILITY"),""))</f>
        <v/>
      </c>
      <c r="H508" s="208">
        <f>IF($B508="","",IFERROR(BDP($B508&amp;" Action","OFFERING_GREENSHOE_SHARES_EX"),""))</f>
        <v/>
      </c>
      <c r="I508" s="32">
        <f>Database!AE508</f>
        <v/>
      </c>
      <c r="J508" s="39">
        <f>IFERROR(BDP(TEXT(VALUE(Database!$A508),"0")&amp;" HK Equity","PE_RATIO"),"")</f>
        <v/>
      </c>
      <c r="K508" s="24">
        <f>IFERROR(BDP(TEXT(VALUE(Database!$A508),"0")&amp;" HK Equity","A/H_SHARE_CONVERSION"),"")</f>
        <v/>
      </c>
      <c r="L508" s="32">
        <f>IF(Database!BN508="","(none found)",Database!BN508)</f>
        <v/>
      </c>
      <c r="M508" s="34">
        <f>BDH(TEXT(VALUE(Database!$A508),"0")&amp;" HK Equity","CUR_MKT_CAP",Database!$H508,Database!$H508)</f>
        <v/>
      </c>
      <c r="N508" s="166">
        <f>Database!Q508</f>
        <v/>
      </c>
      <c r="O508" s="39">
        <f>BDH(TEXT(VALUE(Database!$A508),"0")&amp;" HK Equity","PE_RATIO",Database!$H508,Database!$H508)</f>
        <v/>
      </c>
      <c r="P508" s="199">
        <f>IF(Database!BH508="","(n/m or not derivable)",Database!BH508)</f>
        <v/>
      </c>
      <c r="Q508" s="39">
        <f>IF(Database!BN508="","",BDH(LEFT(Database!BN508,FIND(".",Database!BN508)-1)&amp;" CH Equity","PE_RATIO",Database!$H508,Database!$H508))</f>
        <v/>
      </c>
      <c r="R508" s="39">
        <f>IF(Database!BN508="","",BDH("HSAHP Index","PX_LAST",Database!$H508,Database!$H508))</f>
        <v/>
      </c>
      <c r="S508" s="39">
        <f>IFERROR(BDP(TEXT(VALUE(Database!$A508),"0")&amp;" HK Equity","PX_TO_SALES_RATIO"),"")</f>
        <v/>
      </c>
      <c r="T508" s="34">
        <f>IF(Database!BN508="","",IFERROR(BDP(LEFT(Database!BN508,FIND(".",Database!BN508)-1)&amp;" CH Equity","CUR_MKT_CAP")*BDP("CNYHKD Curncy","PX_LAST"),"Awaiting quote"))</f>
        <v/>
      </c>
    </row>
    <row r="509" ht="23" customHeight="1">
      <c r="A509" s="32">
        <f>Database!A509&amp;"  "&amp;Database!B509</f>
        <v/>
      </c>
      <c r="B509" s="24">
        <f>IFERROR(INDEX(BDS(TEXT(VALUE(Database!$A509),"0")&amp;" HK Equity","EQUITY_OFFERINGS","array=t","endcol=1"),MATCH("IPO",BDS(TEXT(VALUE(Database!$A509),"0")&amp;" HK Equity","EQUITY_OFFERINGS","array=t","startcol=2","endcol=2"),0)),"")</f>
        <v/>
      </c>
      <c r="C509" s="208">
        <f>IF($B509="","",IFERROR(BDP($B509&amp;" Action","CP036"),""))</f>
        <v/>
      </c>
      <c r="D509" s="209">
        <f>Database!S509</f>
        <v/>
      </c>
      <c r="E509" s="208">
        <f>IF($B509="","",IFERROR(BDP($B509&amp;" Action","CP037"),""))</f>
        <v/>
      </c>
      <c r="F509" s="209">
        <f>Database!T509</f>
        <v/>
      </c>
      <c r="G509" s="208">
        <f>IF($B509="","",IFERROR(BDP($B509&amp;" Action","GREENSHOE_FACILITY"),""))</f>
        <v/>
      </c>
      <c r="H509" s="208">
        <f>IF($B509="","",IFERROR(BDP($B509&amp;" Action","OFFERING_GREENSHOE_SHARES_EX"),""))</f>
        <v/>
      </c>
      <c r="I509" s="32">
        <f>Database!AE509</f>
        <v/>
      </c>
      <c r="J509" s="39">
        <f>IFERROR(BDP(TEXT(VALUE(Database!$A509),"0")&amp;" HK Equity","PE_RATIO"),"")</f>
        <v/>
      </c>
      <c r="K509" s="24">
        <f>IFERROR(BDP(TEXT(VALUE(Database!$A509),"0")&amp;" HK Equity","A/H_SHARE_CONVERSION"),"")</f>
        <v/>
      </c>
      <c r="L509" s="32">
        <f>IF(Database!BN509="","(none found)",Database!BN509)</f>
        <v/>
      </c>
      <c r="M509" s="34">
        <f>BDH(TEXT(VALUE(Database!$A509),"0")&amp;" HK Equity","CUR_MKT_CAP",Database!$H509,Database!$H509)</f>
        <v/>
      </c>
      <c r="N509" s="166">
        <f>Database!Q509</f>
        <v/>
      </c>
      <c r="O509" s="39">
        <f>BDH(TEXT(VALUE(Database!$A509),"0")&amp;" HK Equity","PE_RATIO",Database!$H509,Database!$H509)</f>
        <v/>
      </c>
      <c r="P509" s="199">
        <f>IF(Database!BH509="","(n/m or not derivable)",Database!BH509)</f>
        <v/>
      </c>
      <c r="Q509" s="39">
        <f>IF(Database!BN509="","",BDH(LEFT(Database!BN509,FIND(".",Database!BN509)-1)&amp;" CH Equity","PE_RATIO",Database!$H509,Database!$H509))</f>
        <v/>
      </c>
      <c r="R509" s="39">
        <f>IF(Database!BN509="","",BDH("HSAHP Index","PX_LAST",Database!$H509,Database!$H509))</f>
        <v/>
      </c>
      <c r="S509" s="39">
        <f>IFERROR(BDP(TEXT(VALUE(Database!$A509),"0")&amp;" HK Equity","PX_TO_SALES_RATIO"),"")</f>
        <v/>
      </c>
      <c r="T509" s="34">
        <f>IF(Database!BN509="","",IFERROR(BDP(LEFT(Database!BN509,FIND(".",Database!BN509)-1)&amp;" CH Equity","CUR_MKT_CAP")*BDP("CNYHKD Curncy","PX_LAST"),"Awaiting quote"))</f>
        <v/>
      </c>
    </row>
    <row r="510" ht="23" customHeight="1">
      <c r="A510" s="32">
        <f>Database!A510&amp;"  "&amp;Database!B510</f>
        <v/>
      </c>
      <c r="B510" s="24">
        <f>IFERROR(INDEX(BDS(TEXT(VALUE(Database!$A510),"0")&amp;" HK Equity","EQUITY_OFFERINGS","array=t","endcol=1"),MATCH("IPO",BDS(TEXT(VALUE(Database!$A510),"0")&amp;" HK Equity","EQUITY_OFFERINGS","array=t","startcol=2","endcol=2"),0)),"")</f>
        <v/>
      </c>
      <c r="C510" s="208">
        <f>IF($B510="","",IFERROR(BDP($B510&amp;" Action","CP036"),""))</f>
        <v/>
      </c>
      <c r="D510" s="209">
        <f>Database!S510</f>
        <v/>
      </c>
      <c r="E510" s="208">
        <f>IF($B510="","",IFERROR(BDP($B510&amp;" Action","CP037"),""))</f>
        <v/>
      </c>
      <c r="F510" s="209">
        <f>Database!T510</f>
        <v/>
      </c>
      <c r="G510" s="208">
        <f>IF($B510="","",IFERROR(BDP($B510&amp;" Action","GREENSHOE_FACILITY"),""))</f>
        <v/>
      </c>
      <c r="H510" s="208">
        <f>IF($B510="","",IFERROR(BDP($B510&amp;" Action","OFFERING_GREENSHOE_SHARES_EX"),""))</f>
        <v/>
      </c>
      <c r="I510" s="32">
        <f>Database!AE510</f>
        <v/>
      </c>
      <c r="J510" s="39">
        <f>IFERROR(BDP(TEXT(VALUE(Database!$A510),"0")&amp;" HK Equity","PE_RATIO"),"")</f>
        <v/>
      </c>
      <c r="K510" s="24">
        <f>IFERROR(BDP(TEXT(VALUE(Database!$A510),"0")&amp;" HK Equity","A/H_SHARE_CONVERSION"),"")</f>
        <v/>
      </c>
      <c r="L510" s="32">
        <f>IF(Database!BN510="","(none found)",Database!BN510)</f>
        <v/>
      </c>
      <c r="M510" s="34">
        <f>BDH(TEXT(VALUE(Database!$A510),"0")&amp;" HK Equity","CUR_MKT_CAP",Database!$H510,Database!$H510)</f>
        <v/>
      </c>
      <c r="N510" s="166">
        <f>Database!Q510</f>
        <v/>
      </c>
      <c r="O510" s="39">
        <f>BDH(TEXT(VALUE(Database!$A510),"0")&amp;" HK Equity","PE_RATIO",Database!$H510,Database!$H510)</f>
        <v/>
      </c>
      <c r="P510" s="199">
        <f>IF(Database!BH510="","(n/m or not derivable)",Database!BH510)</f>
        <v/>
      </c>
      <c r="Q510" s="39">
        <f>IF(Database!BN510="","",BDH(LEFT(Database!BN510,FIND(".",Database!BN510)-1)&amp;" CH Equity","PE_RATIO",Database!$H510,Database!$H510))</f>
        <v/>
      </c>
      <c r="R510" s="39">
        <f>IF(Database!BN510="","",BDH("HSAHP Index","PX_LAST",Database!$H510,Database!$H510))</f>
        <v/>
      </c>
      <c r="S510" s="39">
        <f>IFERROR(BDP(TEXT(VALUE(Database!$A510),"0")&amp;" HK Equity","PX_TO_SALES_RATIO"),"")</f>
        <v/>
      </c>
      <c r="T510" s="34">
        <f>IF(Database!BN510="","",IFERROR(BDP(LEFT(Database!BN510,FIND(".",Database!BN510)-1)&amp;" CH Equity","CUR_MKT_CAP")*BDP("CNYHKD Curncy","PX_LAST"),"Awaiting quote"))</f>
        <v/>
      </c>
    </row>
    <row r="511" ht="23" customHeight="1">
      <c r="A511" s="32">
        <f>Database!A511&amp;"  "&amp;Database!B511</f>
        <v/>
      </c>
      <c r="B511" s="24">
        <f>IFERROR(INDEX(BDS(TEXT(VALUE(Database!$A511),"0")&amp;" HK Equity","EQUITY_OFFERINGS","array=t","endcol=1"),MATCH("IPO",BDS(TEXT(VALUE(Database!$A511),"0")&amp;" HK Equity","EQUITY_OFFERINGS","array=t","startcol=2","endcol=2"),0)),"")</f>
        <v/>
      </c>
      <c r="C511" s="208">
        <f>IF($B511="","",IFERROR(BDP($B511&amp;" Action","CP036"),""))</f>
        <v/>
      </c>
      <c r="D511" s="209">
        <f>Database!S511</f>
        <v/>
      </c>
      <c r="E511" s="208">
        <f>IF($B511="","",IFERROR(BDP($B511&amp;" Action","CP037"),""))</f>
        <v/>
      </c>
      <c r="F511" s="209">
        <f>Database!T511</f>
        <v/>
      </c>
      <c r="G511" s="208">
        <f>IF($B511="","",IFERROR(BDP($B511&amp;" Action","GREENSHOE_FACILITY"),""))</f>
        <v/>
      </c>
      <c r="H511" s="208">
        <f>IF($B511="","",IFERROR(BDP($B511&amp;" Action","OFFERING_GREENSHOE_SHARES_EX"),""))</f>
        <v/>
      </c>
      <c r="I511" s="32">
        <f>Database!AE511</f>
        <v/>
      </c>
      <c r="J511" s="39">
        <f>IFERROR(BDP(TEXT(VALUE(Database!$A511),"0")&amp;" HK Equity","PE_RATIO"),"")</f>
        <v/>
      </c>
      <c r="K511" s="24">
        <f>IFERROR(BDP(TEXT(VALUE(Database!$A511),"0")&amp;" HK Equity","A/H_SHARE_CONVERSION"),"")</f>
        <v/>
      </c>
      <c r="L511" s="32">
        <f>IF(Database!BN511="","(none found)",Database!BN511)</f>
        <v/>
      </c>
      <c r="M511" s="34">
        <f>BDH(TEXT(VALUE(Database!$A511),"0")&amp;" HK Equity","CUR_MKT_CAP",Database!$H511,Database!$H511)</f>
        <v/>
      </c>
      <c r="N511" s="166">
        <f>Database!Q511</f>
        <v/>
      </c>
      <c r="O511" s="39">
        <f>BDH(TEXT(VALUE(Database!$A511),"0")&amp;" HK Equity","PE_RATIO",Database!$H511,Database!$H511)</f>
        <v/>
      </c>
      <c r="P511" s="199">
        <f>IF(Database!BH511="","(n/m or not derivable)",Database!BH511)</f>
        <v/>
      </c>
      <c r="Q511" s="39">
        <f>IF(Database!BN511="","",BDH(LEFT(Database!BN511,FIND(".",Database!BN511)-1)&amp;" CH Equity","PE_RATIO",Database!$H511,Database!$H511))</f>
        <v/>
      </c>
      <c r="R511" s="39">
        <f>IF(Database!BN511="","",BDH("HSAHP Index","PX_LAST",Database!$H511,Database!$H511))</f>
        <v/>
      </c>
      <c r="S511" s="39">
        <f>IFERROR(BDP(TEXT(VALUE(Database!$A511),"0")&amp;" HK Equity","PX_TO_SALES_RATIO"),"")</f>
        <v/>
      </c>
      <c r="T511" s="34">
        <f>IF(Database!BN511="","",IFERROR(BDP(LEFT(Database!BN511,FIND(".",Database!BN511)-1)&amp;" CH Equity","CUR_MKT_CAP")*BDP("CNYHKD Curncy","PX_LAST"),"Awaiting quote"))</f>
        <v/>
      </c>
    </row>
    <row r="512" ht="23" customHeight="1">
      <c r="A512" s="32">
        <f>Database!A512&amp;"  "&amp;Database!B512</f>
        <v/>
      </c>
      <c r="B512" s="24">
        <f>IFERROR(INDEX(BDS(TEXT(VALUE(Database!$A512),"0")&amp;" HK Equity","EQUITY_OFFERINGS","array=t","endcol=1"),MATCH("IPO",BDS(TEXT(VALUE(Database!$A512),"0")&amp;" HK Equity","EQUITY_OFFERINGS","array=t","startcol=2","endcol=2"),0)),"")</f>
        <v/>
      </c>
      <c r="C512" s="208">
        <f>IF($B512="","",IFERROR(BDP($B512&amp;" Action","CP036"),""))</f>
        <v/>
      </c>
      <c r="D512" s="209">
        <f>Database!S512</f>
        <v/>
      </c>
      <c r="E512" s="208">
        <f>IF($B512="","",IFERROR(BDP($B512&amp;" Action","CP037"),""))</f>
        <v/>
      </c>
      <c r="F512" s="209">
        <f>Database!T512</f>
        <v/>
      </c>
      <c r="G512" s="208">
        <f>IF($B512="","",IFERROR(BDP($B512&amp;" Action","GREENSHOE_FACILITY"),""))</f>
        <v/>
      </c>
      <c r="H512" s="208">
        <f>IF($B512="","",IFERROR(BDP($B512&amp;" Action","OFFERING_GREENSHOE_SHARES_EX"),""))</f>
        <v/>
      </c>
      <c r="I512" s="32">
        <f>Database!AE512</f>
        <v/>
      </c>
      <c r="J512" s="39">
        <f>IFERROR(BDP(TEXT(VALUE(Database!$A512),"0")&amp;" HK Equity","PE_RATIO"),"")</f>
        <v/>
      </c>
      <c r="K512" s="24">
        <f>IFERROR(BDP(TEXT(VALUE(Database!$A512),"0")&amp;" HK Equity","A/H_SHARE_CONVERSION"),"")</f>
        <v/>
      </c>
      <c r="L512" s="32">
        <f>IF(Database!BN512="","(none found)",Database!BN512)</f>
        <v/>
      </c>
      <c r="M512" s="34">
        <f>BDH(TEXT(VALUE(Database!$A512),"0")&amp;" HK Equity","CUR_MKT_CAP",Database!$H512,Database!$H512)</f>
        <v/>
      </c>
      <c r="N512" s="166">
        <f>Database!Q512</f>
        <v/>
      </c>
      <c r="O512" s="39">
        <f>BDH(TEXT(VALUE(Database!$A512),"0")&amp;" HK Equity","PE_RATIO",Database!$H512,Database!$H512)</f>
        <v/>
      </c>
      <c r="P512" s="199">
        <f>IF(Database!BH512="","(n/m or not derivable)",Database!BH512)</f>
        <v/>
      </c>
      <c r="Q512" s="39">
        <f>IF(Database!BN512="","",BDH(LEFT(Database!BN512,FIND(".",Database!BN512)-1)&amp;" CH Equity","PE_RATIO",Database!$H512,Database!$H512))</f>
        <v/>
      </c>
      <c r="R512" s="39">
        <f>IF(Database!BN512="","",BDH("HSAHP Index","PX_LAST",Database!$H512,Database!$H512))</f>
        <v/>
      </c>
      <c r="S512" s="39">
        <f>IFERROR(BDP(TEXT(VALUE(Database!$A512),"0")&amp;" HK Equity","PX_TO_SALES_RATIO"),"")</f>
        <v/>
      </c>
      <c r="T512" s="34">
        <f>IF(Database!BN512="","",IFERROR(BDP(LEFT(Database!BN512,FIND(".",Database!BN512)-1)&amp;" CH Equity","CUR_MKT_CAP")*BDP("CNYHKD Curncy","PX_LAST"),"Awaiting quote"))</f>
        <v/>
      </c>
    </row>
    <row r="513" ht="23" customHeight="1">
      <c r="A513" s="32">
        <f>Database!A513&amp;"  "&amp;Database!B513</f>
        <v/>
      </c>
      <c r="B513" s="24">
        <f>IFERROR(INDEX(BDS(TEXT(VALUE(Database!$A513),"0")&amp;" HK Equity","EQUITY_OFFERINGS","array=t","endcol=1"),MATCH("IPO",BDS(TEXT(VALUE(Database!$A513),"0")&amp;" HK Equity","EQUITY_OFFERINGS","array=t","startcol=2","endcol=2"),0)),"")</f>
        <v/>
      </c>
      <c r="C513" s="208">
        <f>IF($B513="","",IFERROR(BDP($B513&amp;" Action","CP036"),""))</f>
        <v/>
      </c>
      <c r="D513" s="209">
        <f>Database!S513</f>
        <v/>
      </c>
      <c r="E513" s="208">
        <f>IF($B513="","",IFERROR(BDP($B513&amp;" Action","CP037"),""))</f>
        <v/>
      </c>
      <c r="F513" s="209">
        <f>Database!T513</f>
        <v/>
      </c>
      <c r="G513" s="208">
        <f>IF($B513="","",IFERROR(BDP($B513&amp;" Action","GREENSHOE_FACILITY"),""))</f>
        <v/>
      </c>
      <c r="H513" s="208">
        <f>IF($B513="","",IFERROR(BDP($B513&amp;" Action","OFFERING_GREENSHOE_SHARES_EX"),""))</f>
        <v/>
      </c>
      <c r="I513" s="32">
        <f>Database!AE513</f>
        <v/>
      </c>
      <c r="J513" s="39">
        <f>IFERROR(BDP(TEXT(VALUE(Database!$A513),"0")&amp;" HK Equity","PE_RATIO"),"")</f>
        <v/>
      </c>
      <c r="K513" s="24">
        <f>IFERROR(BDP(TEXT(VALUE(Database!$A513),"0")&amp;" HK Equity","A/H_SHARE_CONVERSION"),"")</f>
        <v/>
      </c>
      <c r="L513" s="32">
        <f>IF(Database!BN513="","(none found)",Database!BN513)</f>
        <v/>
      </c>
      <c r="M513" s="34">
        <f>BDH(TEXT(VALUE(Database!$A513),"0")&amp;" HK Equity","CUR_MKT_CAP",Database!$H513,Database!$H513)</f>
        <v/>
      </c>
      <c r="N513" s="166">
        <f>Database!Q513</f>
        <v/>
      </c>
      <c r="O513" s="39">
        <f>BDH(TEXT(VALUE(Database!$A513),"0")&amp;" HK Equity","PE_RATIO",Database!$H513,Database!$H513)</f>
        <v/>
      </c>
      <c r="P513" s="199">
        <f>IF(Database!BH513="","(n/m or not derivable)",Database!BH513)</f>
        <v/>
      </c>
      <c r="Q513" s="39">
        <f>IF(Database!BN513="","",BDH(LEFT(Database!BN513,FIND(".",Database!BN513)-1)&amp;" CH Equity","PE_RATIO",Database!$H513,Database!$H513))</f>
        <v/>
      </c>
      <c r="R513" s="39">
        <f>IF(Database!BN513="","",BDH("HSAHP Index","PX_LAST",Database!$H513,Database!$H513))</f>
        <v/>
      </c>
      <c r="S513" s="39">
        <f>IFERROR(BDP(TEXT(VALUE(Database!$A513),"0")&amp;" HK Equity","PX_TO_SALES_RATIO"),"")</f>
        <v/>
      </c>
      <c r="T513" s="34">
        <f>IF(Database!BN513="","",IFERROR(BDP(LEFT(Database!BN513,FIND(".",Database!BN513)-1)&amp;" CH Equity","CUR_MKT_CAP")*BDP("CNYHKD Curncy","PX_LAST"),"Awaiting quote"))</f>
        <v/>
      </c>
    </row>
    <row r="514" ht="23" customHeight="1">
      <c r="A514" s="32">
        <f>Database!A514&amp;"  "&amp;Database!B514</f>
        <v/>
      </c>
      <c r="B514" s="24">
        <f>IFERROR(INDEX(BDS(TEXT(VALUE(Database!$A514),"0")&amp;" HK Equity","EQUITY_OFFERINGS","array=t","endcol=1"),MATCH("IPO",BDS(TEXT(VALUE(Database!$A514),"0")&amp;" HK Equity","EQUITY_OFFERINGS","array=t","startcol=2","endcol=2"),0)),"")</f>
        <v/>
      </c>
      <c r="C514" s="208">
        <f>IF($B514="","",IFERROR(BDP($B514&amp;" Action","CP036"),""))</f>
        <v/>
      </c>
      <c r="D514" s="209">
        <f>Database!S514</f>
        <v/>
      </c>
      <c r="E514" s="208">
        <f>IF($B514="","",IFERROR(BDP($B514&amp;" Action","CP037"),""))</f>
        <v/>
      </c>
      <c r="F514" s="209">
        <f>Database!T514</f>
        <v/>
      </c>
      <c r="G514" s="208">
        <f>IF($B514="","",IFERROR(BDP($B514&amp;" Action","GREENSHOE_FACILITY"),""))</f>
        <v/>
      </c>
      <c r="H514" s="208">
        <f>IF($B514="","",IFERROR(BDP($B514&amp;" Action","OFFERING_GREENSHOE_SHARES_EX"),""))</f>
        <v/>
      </c>
      <c r="I514" s="32">
        <f>Database!AE514</f>
        <v/>
      </c>
      <c r="J514" s="39">
        <f>IFERROR(BDP(TEXT(VALUE(Database!$A514),"0")&amp;" HK Equity","PE_RATIO"),"")</f>
        <v/>
      </c>
      <c r="K514" s="24">
        <f>IFERROR(BDP(TEXT(VALUE(Database!$A514),"0")&amp;" HK Equity","A/H_SHARE_CONVERSION"),"")</f>
        <v/>
      </c>
      <c r="L514" s="32">
        <f>IF(Database!BN514="","(none found)",Database!BN514)</f>
        <v/>
      </c>
      <c r="M514" s="34">
        <f>BDH(TEXT(VALUE(Database!$A514),"0")&amp;" HK Equity","CUR_MKT_CAP",Database!$H514,Database!$H514)</f>
        <v/>
      </c>
      <c r="N514" s="166">
        <f>Database!Q514</f>
        <v/>
      </c>
      <c r="O514" s="39">
        <f>BDH(TEXT(VALUE(Database!$A514),"0")&amp;" HK Equity","PE_RATIO",Database!$H514,Database!$H514)</f>
        <v/>
      </c>
      <c r="P514" s="199">
        <f>IF(Database!BH514="","(n/m or not derivable)",Database!BH514)</f>
        <v/>
      </c>
      <c r="Q514" s="39">
        <f>IF(Database!BN514="","",BDH(LEFT(Database!BN514,FIND(".",Database!BN514)-1)&amp;" CH Equity","PE_RATIO",Database!$H514,Database!$H514))</f>
        <v/>
      </c>
      <c r="R514" s="39">
        <f>IF(Database!BN514="","",BDH("HSAHP Index","PX_LAST",Database!$H514,Database!$H514))</f>
        <v/>
      </c>
      <c r="S514" s="39">
        <f>IFERROR(BDP(TEXT(VALUE(Database!$A514),"0")&amp;" HK Equity","PX_TO_SALES_RATIO"),"")</f>
        <v/>
      </c>
      <c r="T514" s="34">
        <f>IF(Database!BN514="","",IFERROR(BDP(LEFT(Database!BN514,FIND(".",Database!BN514)-1)&amp;" CH Equity","CUR_MKT_CAP")*BDP("CNYHKD Curncy","PX_LAST"),"Awaiting quote"))</f>
        <v/>
      </c>
    </row>
    <row r="515" ht="23" customHeight="1">
      <c r="A515" s="32">
        <f>Database!A515&amp;"  "&amp;Database!B515</f>
        <v/>
      </c>
      <c r="B515" s="24">
        <f>IFERROR(INDEX(BDS(TEXT(VALUE(Database!$A515),"0")&amp;" HK Equity","EQUITY_OFFERINGS","array=t","endcol=1"),MATCH("IPO",BDS(TEXT(VALUE(Database!$A515),"0")&amp;" HK Equity","EQUITY_OFFERINGS","array=t","startcol=2","endcol=2"),0)),"")</f>
        <v/>
      </c>
      <c r="C515" s="208">
        <f>IF($B515="","",IFERROR(BDP($B515&amp;" Action","CP036"),""))</f>
        <v/>
      </c>
      <c r="D515" s="209">
        <f>Database!S515</f>
        <v/>
      </c>
      <c r="E515" s="208">
        <f>IF($B515="","",IFERROR(BDP($B515&amp;" Action","CP037"),""))</f>
        <v/>
      </c>
      <c r="F515" s="209">
        <f>Database!T515</f>
        <v/>
      </c>
      <c r="G515" s="208">
        <f>IF($B515="","",IFERROR(BDP($B515&amp;" Action","GREENSHOE_FACILITY"),""))</f>
        <v/>
      </c>
      <c r="H515" s="208">
        <f>IF($B515="","",IFERROR(BDP($B515&amp;" Action","OFFERING_GREENSHOE_SHARES_EX"),""))</f>
        <v/>
      </c>
      <c r="I515" s="32">
        <f>Database!AE515</f>
        <v/>
      </c>
      <c r="J515" s="39">
        <f>IFERROR(BDP(TEXT(VALUE(Database!$A515),"0")&amp;" HK Equity","PE_RATIO"),"")</f>
        <v/>
      </c>
      <c r="K515" s="24">
        <f>IFERROR(BDP(TEXT(VALUE(Database!$A515),"0")&amp;" HK Equity","A/H_SHARE_CONVERSION"),"")</f>
        <v/>
      </c>
      <c r="L515" s="32">
        <f>IF(Database!BN515="","(none found)",Database!BN515)</f>
        <v/>
      </c>
      <c r="M515" s="34">
        <f>BDH(TEXT(VALUE(Database!$A515),"0")&amp;" HK Equity","CUR_MKT_CAP",Database!$H515,Database!$H515)</f>
        <v/>
      </c>
      <c r="N515" s="166">
        <f>Database!Q515</f>
        <v/>
      </c>
      <c r="O515" s="39">
        <f>BDH(TEXT(VALUE(Database!$A515),"0")&amp;" HK Equity","PE_RATIO",Database!$H515,Database!$H515)</f>
        <v/>
      </c>
      <c r="P515" s="199">
        <f>IF(Database!BH515="","(n/m or not derivable)",Database!BH515)</f>
        <v/>
      </c>
      <c r="Q515" s="39">
        <f>IF(Database!BN515="","",BDH(LEFT(Database!BN515,FIND(".",Database!BN515)-1)&amp;" CH Equity","PE_RATIO",Database!$H515,Database!$H515))</f>
        <v/>
      </c>
      <c r="R515" s="39">
        <f>IF(Database!BN515="","",BDH("HSAHP Index","PX_LAST",Database!$H515,Database!$H515))</f>
        <v/>
      </c>
      <c r="S515" s="39">
        <f>IFERROR(BDP(TEXT(VALUE(Database!$A515),"0")&amp;" HK Equity","PX_TO_SALES_RATIO"),"")</f>
        <v/>
      </c>
      <c r="T515" s="34">
        <f>IF(Database!BN515="","",IFERROR(BDP(LEFT(Database!BN515,FIND(".",Database!BN515)-1)&amp;" CH Equity","CUR_MKT_CAP")*BDP("CNYHKD Curncy","PX_LAST"),"Awaiting quote"))</f>
        <v/>
      </c>
    </row>
    <row r="516" ht="23" customHeight="1">
      <c r="A516" s="32">
        <f>Database!A516&amp;"  "&amp;Database!B516</f>
        <v/>
      </c>
      <c r="B516" s="24">
        <f>IFERROR(INDEX(BDS(TEXT(VALUE(Database!$A516),"0")&amp;" HK Equity","EQUITY_OFFERINGS","array=t","endcol=1"),MATCH("IPO",BDS(TEXT(VALUE(Database!$A516),"0")&amp;" HK Equity","EQUITY_OFFERINGS","array=t","startcol=2","endcol=2"),0)),"")</f>
        <v/>
      </c>
      <c r="C516" s="208">
        <f>IF($B516="","",IFERROR(BDP($B516&amp;" Action","CP036"),""))</f>
        <v/>
      </c>
      <c r="D516" s="209">
        <f>Database!S516</f>
        <v/>
      </c>
      <c r="E516" s="208">
        <f>IF($B516="","",IFERROR(BDP($B516&amp;" Action","CP037"),""))</f>
        <v/>
      </c>
      <c r="F516" s="209">
        <f>Database!T516</f>
        <v/>
      </c>
      <c r="G516" s="208">
        <f>IF($B516="","",IFERROR(BDP($B516&amp;" Action","GREENSHOE_FACILITY"),""))</f>
        <v/>
      </c>
      <c r="H516" s="208">
        <f>IF($B516="","",IFERROR(BDP($B516&amp;" Action","OFFERING_GREENSHOE_SHARES_EX"),""))</f>
        <v/>
      </c>
      <c r="I516" s="32">
        <f>Database!AE516</f>
        <v/>
      </c>
      <c r="J516" s="39">
        <f>IFERROR(BDP(TEXT(VALUE(Database!$A516),"0")&amp;" HK Equity","PE_RATIO"),"")</f>
        <v/>
      </c>
      <c r="K516" s="24">
        <f>IFERROR(BDP(TEXT(VALUE(Database!$A516),"0")&amp;" HK Equity","A/H_SHARE_CONVERSION"),"")</f>
        <v/>
      </c>
      <c r="L516" s="32">
        <f>IF(Database!BN516="","(none found)",Database!BN516)</f>
        <v/>
      </c>
      <c r="M516" s="34">
        <f>BDH(TEXT(VALUE(Database!$A516),"0")&amp;" HK Equity","CUR_MKT_CAP",Database!$H516,Database!$H516)</f>
        <v/>
      </c>
      <c r="N516" s="166">
        <f>Database!Q516</f>
        <v/>
      </c>
      <c r="O516" s="39">
        <f>BDH(TEXT(VALUE(Database!$A516),"0")&amp;" HK Equity","PE_RATIO",Database!$H516,Database!$H516)</f>
        <v/>
      </c>
      <c r="P516" s="199">
        <f>IF(Database!BH516="","(n/m or not derivable)",Database!BH516)</f>
        <v/>
      </c>
      <c r="Q516" s="39">
        <f>IF(Database!BN516="","",BDH(LEFT(Database!BN516,FIND(".",Database!BN516)-1)&amp;" CH Equity","PE_RATIO",Database!$H516,Database!$H516))</f>
        <v/>
      </c>
      <c r="R516" s="39">
        <f>IF(Database!BN516="","",BDH("HSAHP Index","PX_LAST",Database!$H516,Database!$H516))</f>
        <v/>
      </c>
      <c r="S516" s="39">
        <f>IFERROR(BDP(TEXT(VALUE(Database!$A516),"0")&amp;" HK Equity","PX_TO_SALES_RATIO"),"")</f>
        <v/>
      </c>
      <c r="T516" s="34">
        <f>IF(Database!BN516="","",IFERROR(BDP(LEFT(Database!BN516,FIND(".",Database!BN516)-1)&amp;" CH Equity","CUR_MKT_CAP")*BDP("CNYHKD Curncy","PX_LAST"),"Awaiting quote"))</f>
        <v/>
      </c>
    </row>
    <row r="517" ht="23" customHeight="1">
      <c r="A517" s="32">
        <f>Database!A517&amp;"  "&amp;Database!B517</f>
        <v/>
      </c>
      <c r="B517" s="24">
        <f>IFERROR(INDEX(BDS(TEXT(VALUE(Database!$A517),"0")&amp;" HK Equity","EQUITY_OFFERINGS","array=t","endcol=1"),MATCH("IPO",BDS(TEXT(VALUE(Database!$A517),"0")&amp;" HK Equity","EQUITY_OFFERINGS","array=t","startcol=2","endcol=2"),0)),"")</f>
        <v/>
      </c>
      <c r="C517" s="208">
        <f>IF($B517="","",IFERROR(BDP($B517&amp;" Action","CP036"),""))</f>
        <v/>
      </c>
      <c r="D517" s="209">
        <f>Database!S517</f>
        <v/>
      </c>
      <c r="E517" s="208">
        <f>IF($B517="","",IFERROR(BDP($B517&amp;" Action","CP037"),""))</f>
        <v/>
      </c>
      <c r="F517" s="209">
        <f>Database!T517</f>
        <v/>
      </c>
      <c r="G517" s="208">
        <f>IF($B517="","",IFERROR(BDP($B517&amp;" Action","GREENSHOE_FACILITY"),""))</f>
        <v/>
      </c>
      <c r="H517" s="208">
        <f>IF($B517="","",IFERROR(BDP($B517&amp;" Action","OFFERING_GREENSHOE_SHARES_EX"),""))</f>
        <v/>
      </c>
      <c r="I517" s="32">
        <f>Database!AE517</f>
        <v/>
      </c>
      <c r="J517" s="39">
        <f>IFERROR(BDP(TEXT(VALUE(Database!$A517),"0")&amp;" HK Equity","PE_RATIO"),"")</f>
        <v/>
      </c>
      <c r="K517" s="24">
        <f>IFERROR(BDP(TEXT(VALUE(Database!$A517),"0")&amp;" HK Equity","A/H_SHARE_CONVERSION"),"")</f>
        <v/>
      </c>
      <c r="L517" s="32">
        <f>IF(Database!BN517="","(none found)",Database!BN517)</f>
        <v/>
      </c>
      <c r="M517" s="34">
        <f>BDH(TEXT(VALUE(Database!$A517),"0")&amp;" HK Equity","CUR_MKT_CAP",Database!$H517,Database!$H517)</f>
        <v/>
      </c>
      <c r="N517" s="166">
        <f>Database!Q517</f>
        <v/>
      </c>
      <c r="O517" s="39">
        <f>BDH(TEXT(VALUE(Database!$A517),"0")&amp;" HK Equity","PE_RATIO",Database!$H517,Database!$H517)</f>
        <v/>
      </c>
      <c r="P517" s="199">
        <f>IF(Database!BH517="","(n/m or not derivable)",Database!BH517)</f>
        <v/>
      </c>
      <c r="Q517" s="39">
        <f>IF(Database!BN517="","",BDH(LEFT(Database!BN517,FIND(".",Database!BN517)-1)&amp;" CH Equity","PE_RATIO",Database!$H517,Database!$H517))</f>
        <v/>
      </c>
      <c r="R517" s="39">
        <f>IF(Database!BN517="","",BDH("HSAHP Index","PX_LAST",Database!$H517,Database!$H517))</f>
        <v/>
      </c>
      <c r="S517" s="39">
        <f>IFERROR(BDP(TEXT(VALUE(Database!$A517),"0")&amp;" HK Equity","PX_TO_SALES_RATIO"),"")</f>
        <v/>
      </c>
      <c r="T517" s="34">
        <f>IF(Database!BN517="","",IFERROR(BDP(LEFT(Database!BN517,FIND(".",Database!BN517)-1)&amp;" CH Equity","CUR_MKT_CAP")*BDP("CNYHKD Curncy","PX_LAST"),"Awaiting quote"))</f>
        <v/>
      </c>
    </row>
    <row r="518" ht="23" customHeight="1">
      <c r="A518" s="32">
        <f>Database!A518&amp;"  "&amp;Database!B518</f>
        <v/>
      </c>
      <c r="B518" s="24">
        <f>IFERROR(INDEX(BDS(TEXT(VALUE(Database!$A518),"0")&amp;" HK Equity","EQUITY_OFFERINGS","array=t","endcol=1"),MATCH("IPO",BDS(TEXT(VALUE(Database!$A518),"0")&amp;" HK Equity","EQUITY_OFFERINGS","array=t","startcol=2","endcol=2"),0)),"")</f>
        <v/>
      </c>
      <c r="C518" s="208">
        <f>IF($B518="","",IFERROR(BDP($B518&amp;" Action","CP036"),""))</f>
        <v/>
      </c>
      <c r="D518" s="209">
        <f>Database!S518</f>
        <v/>
      </c>
      <c r="E518" s="208">
        <f>IF($B518="","",IFERROR(BDP($B518&amp;" Action","CP037"),""))</f>
        <v/>
      </c>
      <c r="F518" s="209">
        <f>Database!T518</f>
        <v/>
      </c>
      <c r="G518" s="208">
        <f>IF($B518="","",IFERROR(BDP($B518&amp;" Action","GREENSHOE_FACILITY"),""))</f>
        <v/>
      </c>
      <c r="H518" s="208">
        <f>IF($B518="","",IFERROR(BDP($B518&amp;" Action","OFFERING_GREENSHOE_SHARES_EX"),""))</f>
        <v/>
      </c>
      <c r="I518" s="32">
        <f>Database!AE518</f>
        <v/>
      </c>
      <c r="J518" s="39">
        <f>IFERROR(BDP(TEXT(VALUE(Database!$A518),"0")&amp;" HK Equity","PE_RATIO"),"")</f>
        <v/>
      </c>
      <c r="K518" s="24">
        <f>IFERROR(BDP(TEXT(VALUE(Database!$A518),"0")&amp;" HK Equity","A/H_SHARE_CONVERSION"),"")</f>
        <v/>
      </c>
      <c r="L518" s="32">
        <f>IF(Database!BN518="","(none found)",Database!BN518)</f>
        <v/>
      </c>
      <c r="M518" s="34">
        <f>BDH(TEXT(VALUE(Database!$A518),"0")&amp;" HK Equity","CUR_MKT_CAP",Database!$H518,Database!$H518)</f>
        <v/>
      </c>
      <c r="N518" s="166">
        <f>Database!Q518</f>
        <v/>
      </c>
      <c r="O518" s="39">
        <f>BDH(TEXT(VALUE(Database!$A518),"0")&amp;" HK Equity","PE_RATIO",Database!$H518,Database!$H518)</f>
        <v/>
      </c>
      <c r="P518" s="199">
        <f>IF(Database!BH518="","(n/m or not derivable)",Database!BH518)</f>
        <v/>
      </c>
      <c r="Q518" s="39">
        <f>IF(Database!BN518="","",BDH(LEFT(Database!BN518,FIND(".",Database!BN518)-1)&amp;" CH Equity","PE_RATIO",Database!$H518,Database!$H518))</f>
        <v/>
      </c>
      <c r="R518" s="39">
        <f>IF(Database!BN518="","",BDH("HSAHP Index","PX_LAST",Database!$H518,Database!$H518))</f>
        <v/>
      </c>
      <c r="S518" s="39">
        <f>IFERROR(BDP(TEXT(VALUE(Database!$A518),"0")&amp;" HK Equity","PX_TO_SALES_RATIO"),"")</f>
        <v/>
      </c>
      <c r="T518" s="34">
        <f>IF(Database!BN518="","",IFERROR(BDP(LEFT(Database!BN518,FIND(".",Database!BN518)-1)&amp;" CH Equity","CUR_MKT_CAP")*BDP("CNYHKD Curncy","PX_LAST"),"Awaiting quote"))</f>
        <v/>
      </c>
    </row>
    <row r="519" ht="23" customHeight="1">
      <c r="A519" s="32">
        <f>Database!A519&amp;"  "&amp;Database!B519</f>
        <v/>
      </c>
      <c r="B519" s="24">
        <f>IFERROR(INDEX(BDS(TEXT(VALUE(Database!$A519),"0")&amp;" HK Equity","EQUITY_OFFERINGS","array=t","endcol=1"),MATCH("IPO",BDS(TEXT(VALUE(Database!$A519),"0")&amp;" HK Equity","EQUITY_OFFERINGS","array=t","startcol=2","endcol=2"),0)),"")</f>
        <v/>
      </c>
      <c r="C519" s="208">
        <f>IF($B519="","",IFERROR(BDP($B519&amp;" Action","CP036"),""))</f>
        <v/>
      </c>
      <c r="D519" s="209">
        <f>Database!S519</f>
        <v/>
      </c>
      <c r="E519" s="208">
        <f>IF($B519="","",IFERROR(BDP($B519&amp;" Action","CP037"),""))</f>
        <v/>
      </c>
      <c r="F519" s="209">
        <f>Database!T519</f>
        <v/>
      </c>
      <c r="G519" s="208">
        <f>IF($B519="","",IFERROR(BDP($B519&amp;" Action","GREENSHOE_FACILITY"),""))</f>
        <v/>
      </c>
      <c r="H519" s="208">
        <f>IF($B519="","",IFERROR(BDP($B519&amp;" Action","OFFERING_GREENSHOE_SHARES_EX"),""))</f>
        <v/>
      </c>
      <c r="I519" s="32">
        <f>Database!AE519</f>
        <v/>
      </c>
      <c r="J519" s="39">
        <f>IFERROR(BDP(TEXT(VALUE(Database!$A519),"0")&amp;" HK Equity","PE_RATIO"),"")</f>
        <v/>
      </c>
      <c r="K519" s="24">
        <f>IFERROR(BDP(TEXT(VALUE(Database!$A519),"0")&amp;" HK Equity","A/H_SHARE_CONVERSION"),"")</f>
        <v/>
      </c>
      <c r="L519" s="32">
        <f>IF(Database!BN519="","(none found)",Database!BN519)</f>
        <v/>
      </c>
      <c r="M519" s="34">
        <f>BDH(TEXT(VALUE(Database!$A519),"0")&amp;" HK Equity","CUR_MKT_CAP",Database!$H519,Database!$H519)</f>
        <v/>
      </c>
      <c r="N519" s="166">
        <f>Database!Q519</f>
        <v/>
      </c>
      <c r="O519" s="39">
        <f>BDH(TEXT(VALUE(Database!$A519),"0")&amp;" HK Equity","PE_RATIO",Database!$H519,Database!$H519)</f>
        <v/>
      </c>
      <c r="P519" s="199">
        <f>IF(Database!BH519="","(n/m or not derivable)",Database!BH519)</f>
        <v/>
      </c>
      <c r="Q519" s="39">
        <f>IF(Database!BN519="","",BDH(LEFT(Database!BN519,FIND(".",Database!BN519)-1)&amp;" CH Equity","PE_RATIO",Database!$H519,Database!$H519))</f>
        <v/>
      </c>
      <c r="R519" s="39">
        <f>IF(Database!BN519="","",BDH("HSAHP Index","PX_LAST",Database!$H519,Database!$H519))</f>
        <v/>
      </c>
      <c r="S519" s="39">
        <f>IFERROR(BDP(TEXT(VALUE(Database!$A519),"0")&amp;" HK Equity","PX_TO_SALES_RATIO"),"")</f>
        <v/>
      </c>
      <c r="T519" s="34">
        <f>IF(Database!BN519="","",IFERROR(BDP(LEFT(Database!BN519,FIND(".",Database!BN519)-1)&amp;" CH Equity","CUR_MKT_CAP")*BDP("CNYHKD Curncy","PX_LAST"),"Awaiting quote"))</f>
        <v/>
      </c>
    </row>
    <row r="520" ht="23" customHeight="1">
      <c r="A520" s="32">
        <f>Database!A520&amp;"  "&amp;Database!B520</f>
        <v/>
      </c>
      <c r="B520" s="24">
        <f>IFERROR(INDEX(BDS(TEXT(VALUE(Database!$A520),"0")&amp;" HK Equity","EQUITY_OFFERINGS","array=t","endcol=1"),MATCH("IPO",BDS(TEXT(VALUE(Database!$A520),"0")&amp;" HK Equity","EQUITY_OFFERINGS","array=t","startcol=2","endcol=2"),0)),"")</f>
        <v/>
      </c>
      <c r="C520" s="208">
        <f>IF($B520="","",IFERROR(BDP($B520&amp;" Action","CP036"),""))</f>
        <v/>
      </c>
      <c r="D520" s="209">
        <f>Database!S520</f>
        <v/>
      </c>
      <c r="E520" s="208">
        <f>IF($B520="","",IFERROR(BDP($B520&amp;" Action","CP037"),""))</f>
        <v/>
      </c>
      <c r="F520" s="209">
        <f>Database!T520</f>
        <v/>
      </c>
      <c r="G520" s="208">
        <f>IF($B520="","",IFERROR(BDP($B520&amp;" Action","GREENSHOE_FACILITY"),""))</f>
        <v/>
      </c>
      <c r="H520" s="208">
        <f>IF($B520="","",IFERROR(BDP($B520&amp;" Action","OFFERING_GREENSHOE_SHARES_EX"),""))</f>
        <v/>
      </c>
      <c r="I520" s="32">
        <f>Database!AE520</f>
        <v/>
      </c>
      <c r="J520" s="39">
        <f>IFERROR(BDP(TEXT(VALUE(Database!$A520),"0")&amp;" HK Equity","PE_RATIO"),"")</f>
        <v/>
      </c>
      <c r="K520" s="24">
        <f>IFERROR(BDP(TEXT(VALUE(Database!$A520),"0")&amp;" HK Equity","A/H_SHARE_CONVERSION"),"")</f>
        <v/>
      </c>
      <c r="L520" s="32">
        <f>IF(Database!BN520="","(none found)",Database!BN520)</f>
        <v/>
      </c>
      <c r="M520" s="34">
        <f>BDH(TEXT(VALUE(Database!$A520),"0")&amp;" HK Equity","CUR_MKT_CAP",Database!$H520,Database!$H520)</f>
        <v/>
      </c>
      <c r="N520" s="166">
        <f>Database!Q520</f>
        <v/>
      </c>
      <c r="O520" s="39">
        <f>BDH(TEXT(VALUE(Database!$A520),"0")&amp;" HK Equity","PE_RATIO",Database!$H520,Database!$H520)</f>
        <v/>
      </c>
      <c r="P520" s="199">
        <f>IF(Database!BH520="","(n/m or not derivable)",Database!BH520)</f>
        <v/>
      </c>
      <c r="Q520" s="39">
        <f>IF(Database!BN520="","",BDH(LEFT(Database!BN520,FIND(".",Database!BN520)-1)&amp;" CH Equity","PE_RATIO",Database!$H520,Database!$H520))</f>
        <v/>
      </c>
      <c r="R520" s="39">
        <f>IF(Database!BN520="","",BDH("HSAHP Index","PX_LAST",Database!$H520,Database!$H520))</f>
        <v/>
      </c>
      <c r="S520" s="39">
        <f>IFERROR(BDP(TEXT(VALUE(Database!$A520),"0")&amp;" HK Equity","PX_TO_SALES_RATIO"),"")</f>
        <v/>
      </c>
      <c r="T520" s="34">
        <f>IF(Database!BN520="","",IFERROR(BDP(LEFT(Database!BN520,FIND(".",Database!BN520)-1)&amp;" CH Equity","CUR_MKT_CAP")*BDP("CNYHKD Curncy","PX_LAST"),"Awaiting quote"))</f>
        <v/>
      </c>
    </row>
    <row r="521" ht="23" customHeight="1">
      <c r="A521" s="32">
        <f>Database!A521&amp;"  "&amp;Database!B521</f>
        <v/>
      </c>
      <c r="B521" s="24">
        <f>IFERROR(INDEX(BDS(TEXT(VALUE(Database!$A521),"0")&amp;" HK Equity","EQUITY_OFFERINGS","array=t","endcol=1"),MATCH("IPO",BDS(TEXT(VALUE(Database!$A521),"0")&amp;" HK Equity","EQUITY_OFFERINGS","array=t","startcol=2","endcol=2"),0)),"")</f>
        <v/>
      </c>
      <c r="C521" s="208">
        <f>IF($B521="","",IFERROR(BDP($B521&amp;" Action","CP036"),""))</f>
        <v/>
      </c>
      <c r="D521" s="209">
        <f>Database!S521</f>
        <v/>
      </c>
      <c r="E521" s="208">
        <f>IF($B521="","",IFERROR(BDP($B521&amp;" Action","CP037"),""))</f>
        <v/>
      </c>
      <c r="F521" s="209">
        <f>Database!T521</f>
        <v/>
      </c>
      <c r="G521" s="208">
        <f>IF($B521="","",IFERROR(BDP($B521&amp;" Action","GREENSHOE_FACILITY"),""))</f>
        <v/>
      </c>
      <c r="H521" s="208">
        <f>IF($B521="","",IFERROR(BDP($B521&amp;" Action","OFFERING_GREENSHOE_SHARES_EX"),""))</f>
        <v/>
      </c>
      <c r="I521" s="32">
        <f>Database!AE521</f>
        <v/>
      </c>
      <c r="J521" s="39">
        <f>IFERROR(BDP(TEXT(VALUE(Database!$A521),"0")&amp;" HK Equity","PE_RATIO"),"")</f>
        <v/>
      </c>
      <c r="K521" s="24">
        <f>IFERROR(BDP(TEXT(VALUE(Database!$A521),"0")&amp;" HK Equity","A/H_SHARE_CONVERSION"),"")</f>
        <v/>
      </c>
      <c r="L521" s="32">
        <f>IF(Database!BN521="","(none found)",Database!BN521)</f>
        <v/>
      </c>
      <c r="M521" s="34">
        <f>BDH(TEXT(VALUE(Database!$A521),"0")&amp;" HK Equity","CUR_MKT_CAP",Database!$H521,Database!$H521)</f>
        <v/>
      </c>
      <c r="N521" s="166">
        <f>Database!Q521</f>
        <v/>
      </c>
      <c r="O521" s="39">
        <f>BDH(TEXT(VALUE(Database!$A521),"0")&amp;" HK Equity","PE_RATIO",Database!$H521,Database!$H521)</f>
        <v/>
      </c>
      <c r="P521" s="199">
        <f>IF(Database!BH521="","(n/m or not derivable)",Database!BH521)</f>
        <v/>
      </c>
      <c r="Q521" s="39">
        <f>IF(Database!BN521="","",BDH(LEFT(Database!BN521,FIND(".",Database!BN521)-1)&amp;" CH Equity","PE_RATIO",Database!$H521,Database!$H521))</f>
        <v/>
      </c>
      <c r="R521" s="39">
        <f>IF(Database!BN521="","",BDH("HSAHP Index","PX_LAST",Database!$H521,Database!$H521))</f>
        <v/>
      </c>
      <c r="S521" s="39">
        <f>IFERROR(BDP(TEXT(VALUE(Database!$A521),"0")&amp;" HK Equity","PX_TO_SALES_RATIO"),"")</f>
        <v/>
      </c>
      <c r="T521" s="34">
        <f>IF(Database!BN521="","",IFERROR(BDP(LEFT(Database!BN521,FIND(".",Database!BN521)-1)&amp;" CH Equity","CUR_MKT_CAP")*BDP("CNYHKD Curncy","PX_LAST"),"Awaiting quote"))</f>
        <v/>
      </c>
    </row>
    <row r="522" ht="23" customHeight="1">
      <c r="A522" s="32">
        <f>Database!A522&amp;"  "&amp;Database!B522</f>
        <v/>
      </c>
      <c r="B522" s="24">
        <f>IFERROR(INDEX(BDS(TEXT(VALUE(Database!$A522),"0")&amp;" HK Equity","EQUITY_OFFERINGS","array=t","endcol=1"),MATCH("IPO",BDS(TEXT(VALUE(Database!$A522),"0")&amp;" HK Equity","EQUITY_OFFERINGS","array=t","startcol=2","endcol=2"),0)),"")</f>
        <v/>
      </c>
      <c r="C522" s="208">
        <f>IF($B522="","",IFERROR(BDP($B522&amp;" Action","CP036"),""))</f>
        <v/>
      </c>
      <c r="D522" s="209">
        <f>Database!S522</f>
        <v/>
      </c>
      <c r="E522" s="208">
        <f>IF($B522="","",IFERROR(BDP($B522&amp;" Action","CP037"),""))</f>
        <v/>
      </c>
      <c r="F522" s="209">
        <f>Database!T522</f>
        <v/>
      </c>
      <c r="G522" s="208">
        <f>IF($B522="","",IFERROR(BDP($B522&amp;" Action","GREENSHOE_FACILITY"),""))</f>
        <v/>
      </c>
      <c r="H522" s="208">
        <f>IF($B522="","",IFERROR(BDP($B522&amp;" Action","OFFERING_GREENSHOE_SHARES_EX"),""))</f>
        <v/>
      </c>
      <c r="I522" s="32">
        <f>Database!AE522</f>
        <v/>
      </c>
      <c r="J522" s="39">
        <f>IFERROR(BDP(TEXT(VALUE(Database!$A522),"0")&amp;" HK Equity","PE_RATIO"),"")</f>
        <v/>
      </c>
      <c r="K522" s="24">
        <f>IFERROR(BDP(TEXT(VALUE(Database!$A522),"0")&amp;" HK Equity","A/H_SHARE_CONVERSION"),"")</f>
        <v/>
      </c>
      <c r="L522" s="32">
        <f>IF(Database!BN522="","(none found)",Database!BN522)</f>
        <v/>
      </c>
      <c r="M522" s="34">
        <f>BDH(TEXT(VALUE(Database!$A522),"0")&amp;" HK Equity","CUR_MKT_CAP",Database!$H522,Database!$H522)</f>
        <v/>
      </c>
      <c r="N522" s="166">
        <f>Database!Q522</f>
        <v/>
      </c>
      <c r="O522" s="39">
        <f>BDH(TEXT(VALUE(Database!$A522),"0")&amp;" HK Equity","PE_RATIO",Database!$H522,Database!$H522)</f>
        <v/>
      </c>
      <c r="P522" s="199">
        <f>IF(Database!BH522="","(n/m or not derivable)",Database!BH522)</f>
        <v/>
      </c>
      <c r="Q522" s="39">
        <f>IF(Database!BN522="","",BDH(LEFT(Database!BN522,FIND(".",Database!BN522)-1)&amp;" CH Equity","PE_RATIO",Database!$H522,Database!$H522))</f>
        <v/>
      </c>
      <c r="R522" s="39">
        <f>IF(Database!BN522="","",BDH("HSAHP Index","PX_LAST",Database!$H522,Database!$H522))</f>
        <v/>
      </c>
      <c r="S522" s="39">
        <f>IFERROR(BDP(TEXT(VALUE(Database!$A522),"0")&amp;" HK Equity","PX_TO_SALES_RATIO"),"")</f>
        <v/>
      </c>
      <c r="T522" s="34">
        <f>IF(Database!BN522="","",IFERROR(BDP(LEFT(Database!BN522,FIND(".",Database!BN522)-1)&amp;" CH Equity","CUR_MKT_CAP")*BDP("CNYHKD Curncy","PX_LAST"),"Awaiting quote"))</f>
        <v/>
      </c>
    </row>
    <row r="523" ht="23" customHeight="1">
      <c r="A523" s="32">
        <f>Database!A523&amp;"  "&amp;Database!B523</f>
        <v/>
      </c>
      <c r="B523" s="24">
        <f>IFERROR(INDEX(BDS(TEXT(VALUE(Database!$A523),"0")&amp;" HK Equity","EQUITY_OFFERINGS","array=t","endcol=1"),MATCH("IPO",BDS(TEXT(VALUE(Database!$A523),"0")&amp;" HK Equity","EQUITY_OFFERINGS","array=t","startcol=2","endcol=2"),0)),"")</f>
        <v/>
      </c>
      <c r="C523" s="208">
        <f>IF($B523="","",IFERROR(BDP($B523&amp;" Action","CP036"),""))</f>
        <v/>
      </c>
      <c r="D523" s="209">
        <f>Database!S523</f>
        <v/>
      </c>
      <c r="E523" s="208">
        <f>IF($B523="","",IFERROR(BDP($B523&amp;" Action","CP037"),""))</f>
        <v/>
      </c>
      <c r="F523" s="209">
        <f>Database!T523</f>
        <v/>
      </c>
      <c r="G523" s="208">
        <f>IF($B523="","",IFERROR(BDP($B523&amp;" Action","GREENSHOE_FACILITY"),""))</f>
        <v/>
      </c>
      <c r="H523" s="208">
        <f>IF($B523="","",IFERROR(BDP($B523&amp;" Action","OFFERING_GREENSHOE_SHARES_EX"),""))</f>
        <v/>
      </c>
      <c r="I523" s="32">
        <f>Database!AE523</f>
        <v/>
      </c>
      <c r="J523" s="39">
        <f>IFERROR(BDP(TEXT(VALUE(Database!$A523),"0")&amp;" HK Equity","PE_RATIO"),"")</f>
        <v/>
      </c>
      <c r="K523" s="24">
        <f>IFERROR(BDP(TEXT(VALUE(Database!$A523),"0")&amp;" HK Equity","A/H_SHARE_CONVERSION"),"")</f>
        <v/>
      </c>
      <c r="L523" s="32">
        <f>IF(Database!BN523="","(none found)",Database!BN523)</f>
        <v/>
      </c>
      <c r="M523" s="34">
        <f>BDH(TEXT(VALUE(Database!$A523),"0")&amp;" HK Equity","CUR_MKT_CAP",Database!$H523,Database!$H523)</f>
        <v/>
      </c>
      <c r="N523" s="166">
        <f>Database!Q523</f>
        <v/>
      </c>
      <c r="O523" s="39">
        <f>BDH(TEXT(VALUE(Database!$A523),"0")&amp;" HK Equity","PE_RATIO",Database!$H523,Database!$H523)</f>
        <v/>
      </c>
      <c r="P523" s="199">
        <f>IF(Database!BH523="","(n/m or not derivable)",Database!BH523)</f>
        <v/>
      </c>
      <c r="Q523" s="39">
        <f>IF(Database!BN523="","",BDH(LEFT(Database!BN523,FIND(".",Database!BN523)-1)&amp;" CH Equity","PE_RATIO",Database!$H523,Database!$H523))</f>
        <v/>
      </c>
      <c r="R523" s="39">
        <f>IF(Database!BN523="","",BDH("HSAHP Index","PX_LAST",Database!$H523,Database!$H523))</f>
        <v/>
      </c>
      <c r="S523" s="39">
        <f>IFERROR(BDP(TEXT(VALUE(Database!$A523),"0")&amp;" HK Equity","PX_TO_SALES_RATIO"),"")</f>
        <v/>
      </c>
      <c r="T523" s="34">
        <f>IF(Database!BN523="","",IFERROR(BDP(LEFT(Database!BN523,FIND(".",Database!BN523)-1)&amp;" CH Equity","CUR_MKT_CAP")*BDP("CNYHKD Curncy","PX_LAST"),"Awaiting quote"))</f>
        <v/>
      </c>
    </row>
    <row r="524" ht="23" customHeight="1">
      <c r="A524" s="32">
        <f>Database!A524&amp;"  "&amp;Database!B524</f>
        <v/>
      </c>
      <c r="B524" s="24">
        <f>IFERROR(INDEX(BDS(TEXT(VALUE(Database!$A524),"0")&amp;" HK Equity","EQUITY_OFFERINGS","array=t","endcol=1"),MATCH("IPO",BDS(TEXT(VALUE(Database!$A524),"0")&amp;" HK Equity","EQUITY_OFFERINGS","array=t","startcol=2","endcol=2"),0)),"")</f>
        <v/>
      </c>
      <c r="C524" s="208">
        <f>IF($B524="","",IFERROR(BDP($B524&amp;" Action","CP036"),""))</f>
        <v/>
      </c>
      <c r="D524" s="209">
        <f>Database!S524</f>
        <v/>
      </c>
      <c r="E524" s="208">
        <f>IF($B524="","",IFERROR(BDP($B524&amp;" Action","CP037"),""))</f>
        <v/>
      </c>
      <c r="F524" s="209">
        <f>Database!T524</f>
        <v/>
      </c>
      <c r="G524" s="208">
        <f>IF($B524="","",IFERROR(BDP($B524&amp;" Action","GREENSHOE_FACILITY"),""))</f>
        <v/>
      </c>
      <c r="H524" s="208">
        <f>IF($B524="","",IFERROR(BDP($B524&amp;" Action","OFFERING_GREENSHOE_SHARES_EX"),""))</f>
        <v/>
      </c>
      <c r="I524" s="32">
        <f>Database!AE524</f>
        <v/>
      </c>
      <c r="J524" s="39">
        <f>IFERROR(BDP(TEXT(VALUE(Database!$A524),"0")&amp;" HK Equity","PE_RATIO"),"")</f>
        <v/>
      </c>
      <c r="K524" s="24">
        <f>IFERROR(BDP(TEXT(VALUE(Database!$A524),"0")&amp;" HK Equity","A/H_SHARE_CONVERSION"),"")</f>
        <v/>
      </c>
      <c r="L524" s="32">
        <f>IF(Database!BN524="","(none found)",Database!BN524)</f>
        <v/>
      </c>
      <c r="M524" s="34">
        <f>BDH(TEXT(VALUE(Database!$A524),"0")&amp;" HK Equity","CUR_MKT_CAP",Database!$H524,Database!$H524)</f>
        <v/>
      </c>
      <c r="N524" s="166">
        <f>Database!Q524</f>
        <v/>
      </c>
      <c r="O524" s="39">
        <f>BDH(TEXT(VALUE(Database!$A524),"0")&amp;" HK Equity","PE_RATIO",Database!$H524,Database!$H524)</f>
        <v/>
      </c>
      <c r="P524" s="199">
        <f>IF(Database!BH524="","(n/m or not derivable)",Database!BH524)</f>
        <v/>
      </c>
      <c r="Q524" s="39">
        <f>IF(Database!BN524="","",BDH(LEFT(Database!BN524,FIND(".",Database!BN524)-1)&amp;" CH Equity","PE_RATIO",Database!$H524,Database!$H524))</f>
        <v/>
      </c>
      <c r="R524" s="39">
        <f>IF(Database!BN524="","",BDH("HSAHP Index","PX_LAST",Database!$H524,Database!$H524))</f>
        <v/>
      </c>
      <c r="S524" s="39">
        <f>IFERROR(BDP(TEXT(VALUE(Database!$A524),"0")&amp;" HK Equity","PX_TO_SALES_RATIO"),"")</f>
        <v/>
      </c>
      <c r="T524" s="34">
        <f>IF(Database!BN524="","",IFERROR(BDP(LEFT(Database!BN524,FIND(".",Database!BN524)-1)&amp;" CH Equity","CUR_MKT_CAP")*BDP("CNYHKD Curncy","PX_LAST"),"Awaiting quote"))</f>
        <v/>
      </c>
    </row>
    <row r="525" ht="23" customHeight="1">
      <c r="A525" s="32">
        <f>Database!A525&amp;"  "&amp;Database!B525</f>
        <v/>
      </c>
      <c r="B525" s="24">
        <f>IFERROR(INDEX(BDS(TEXT(VALUE(Database!$A525),"0")&amp;" HK Equity","EQUITY_OFFERINGS","array=t","endcol=1"),MATCH("IPO",BDS(TEXT(VALUE(Database!$A525),"0")&amp;" HK Equity","EQUITY_OFFERINGS","array=t","startcol=2","endcol=2"),0)),"")</f>
        <v/>
      </c>
      <c r="C525" s="208">
        <f>IF($B525="","",IFERROR(BDP($B525&amp;" Action","CP036"),""))</f>
        <v/>
      </c>
      <c r="D525" s="209">
        <f>Database!S525</f>
        <v/>
      </c>
      <c r="E525" s="208">
        <f>IF($B525="","",IFERROR(BDP($B525&amp;" Action","CP037"),""))</f>
        <v/>
      </c>
      <c r="F525" s="209">
        <f>Database!T525</f>
        <v/>
      </c>
      <c r="G525" s="208">
        <f>IF($B525="","",IFERROR(BDP($B525&amp;" Action","GREENSHOE_FACILITY"),""))</f>
        <v/>
      </c>
      <c r="H525" s="208">
        <f>IF($B525="","",IFERROR(BDP($B525&amp;" Action","OFFERING_GREENSHOE_SHARES_EX"),""))</f>
        <v/>
      </c>
      <c r="I525" s="32">
        <f>Database!AE525</f>
        <v/>
      </c>
      <c r="J525" s="39">
        <f>IFERROR(BDP(TEXT(VALUE(Database!$A525),"0")&amp;" HK Equity","PE_RATIO"),"")</f>
        <v/>
      </c>
      <c r="K525" s="24">
        <f>IFERROR(BDP(TEXT(VALUE(Database!$A525),"0")&amp;" HK Equity","A/H_SHARE_CONVERSION"),"")</f>
        <v/>
      </c>
      <c r="L525" s="32">
        <f>IF(Database!BN525="","(none found)",Database!BN525)</f>
        <v/>
      </c>
      <c r="M525" s="34">
        <f>BDH(TEXT(VALUE(Database!$A525),"0")&amp;" HK Equity","CUR_MKT_CAP",Database!$H525,Database!$H525)</f>
        <v/>
      </c>
      <c r="N525" s="166">
        <f>Database!Q525</f>
        <v/>
      </c>
      <c r="O525" s="39">
        <f>BDH(TEXT(VALUE(Database!$A525),"0")&amp;" HK Equity","PE_RATIO",Database!$H525,Database!$H525)</f>
        <v/>
      </c>
      <c r="P525" s="199">
        <f>IF(Database!BH525="","(n/m or not derivable)",Database!BH525)</f>
        <v/>
      </c>
      <c r="Q525" s="39">
        <f>IF(Database!BN525="","",BDH(LEFT(Database!BN525,FIND(".",Database!BN525)-1)&amp;" CH Equity","PE_RATIO",Database!$H525,Database!$H525))</f>
        <v/>
      </c>
      <c r="R525" s="39">
        <f>IF(Database!BN525="","",BDH("HSAHP Index","PX_LAST",Database!$H525,Database!$H525))</f>
        <v/>
      </c>
      <c r="S525" s="39">
        <f>IFERROR(BDP(TEXT(VALUE(Database!$A525),"0")&amp;" HK Equity","PX_TO_SALES_RATIO"),"")</f>
        <v/>
      </c>
      <c r="T525" s="34">
        <f>IF(Database!BN525="","",IFERROR(BDP(LEFT(Database!BN525,FIND(".",Database!BN525)-1)&amp;" CH Equity","CUR_MKT_CAP")*BDP("CNYHKD Curncy","PX_LAST"),"Awaiting quote"))</f>
        <v/>
      </c>
    </row>
    <row r="526" ht="23" customHeight="1">
      <c r="A526" s="32">
        <f>Database!A526&amp;"  "&amp;Database!B526</f>
        <v/>
      </c>
      <c r="B526" s="24">
        <f>IFERROR(INDEX(BDS(TEXT(VALUE(Database!$A526),"0")&amp;" HK Equity","EQUITY_OFFERINGS","array=t","endcol=1"),MATCH("IPO",BDS(TEXT(VALUE(Database!$A526),"0")&amp;" HK Equity","EQUITY_OFFERINGS","array=t","startcol=2","endcol=2"),0)),"")</f>
        <v/>
      </c>
      <c r="C526" s="208">
        <f>IF($B526="","",IFERROR(BDP($B526&amp;" Action","CP036"),""))</f>
        <v/>
      </c>
      <c r="D526" s="209">
        <f>Database!S526</f>
        <v/>
      </c>
      <c r="E526" s="208">
        <f>IF($B526="","",IFERROR(BDP($B526&amp;" Action","CP037"),""))</f>
        <v/>
      </c>
      <c r="F526" s="209">
        <f>Database!T526</f>
        <v/>
      </c>
      <c r="G526" s="208">
        <f>IF($B526="","",IFERROR(BDP($B526&amp;" Action","GREENSHOE_FACILITY"),""))</f>
        <v/>
      </c>
      <c r="H526" s="208">
        <f>IF($B526="","",IFERROR(BDP($B526&amp;" Action","OFFERING_GREENSHOE_SHARES_EX"),""))</f>
        <v/>
      </c>
      <c r="I526" s="32">
        <f>Database!AE526</f>
        <v/>
      </c>
      <c r="J526" s="39">
        <f>IFERROR(BDP(TEXT(VALUE(Database!$A526),"0")&amp;" HK Equity","PE_RATIO"),"")</f>
        <v/>
      </c>
      <c r="K526" s="24">
        <f>IFERROR(BDP(TEXT(VALUE(Database!$A526),"0")&amp;" HK Equity","A/H_SHARE_CONVERSION"),"")</f>
        <v/>
      </c>
      <c r="L526" s="32">
        <f>IF(Database!BN526="","(none found)",Database!BN526)</f>
        <v/>
      </c>
      <c r="M526" s="34">
        <f>BDH(TEXT(VALUE(Database!$A526),"0")&amp;" HK Equity","CUR_MKT_CAP",Database!$H526,Database!$H526)</f>
        <v/>
      </c>
      <c r="N526" s="166">
        <f>Database!Q526</f>
        <v/>
      </c>
      <c r="O526" s="39">
        <f>BDH(TEXT(VALUE(Database!$A526),"0")&amp;" HK Equity","PE_RATIO",Database!$H526,Database!$H526)</f>
        <v/>
      </c>
      <c r="P526" s="199">
        <f>IF(Database!BH526="","(n/m or not derivable)",Database!BH526)</f>
        <v/>
      </c>
      <c r="Q526" s="39">
        <f>IF(Database!BN526="","",BDH(LEFT(Database!BN526,FIND(".",Database!BN526)-1)&amp;" CH Equity","PE_RATIO",Database!$H526,Database!$H526))</f>
        <v/>
      </c>
      <c r="R526" s="39">
        <f>IF(Database!BN526="","",BDH("HSAHP Index","PX_LAST",Database!$H526,Database!$H526))</f>
        <v/>
      </c>
      <c r="S526" s="39">
        <f>IFERROR(BDP(TEXT(VALUE(Database!$A526),"0")&amp;" HK Equity","PX_TO_SALES_RATIO"),"")</f>
        <v/>
      </c>
      <c r="T526" s="34">
        <f>IF(Database!BN526="","",IFERROR(BDP(LEFT(Database!BN526,FIND(".",Database!BN526)-1)&amp;" CH Equity","CUR_MKT_CAP")*BDP("CNYHKD Curncy","PX_LAST"),"Awaiting quote"))</f>
        <v/>
      </c>
    </row>
    <row r="527" ht="23" customHeight="1">
      <c r="A527" s="32">
        <f>Database!A527&amp;"  "&amp;Database!B527</f>
        <v/>
      </c>
      <c r="B527" s="24">
        <f>IFERROR(INDEX(BDS(TEXT(VALUE(Database!$A527),"0")&amp;" HK Equity","EQUITY_OFFERINGS","array=t","endcol=1"),MATCH("IPO",BDS(TEXT(VALUE(Database!$A527),"0")&amp;" HK Equity","EQUITY_OFFERINGS","array=t","startcol=2","endcol=2"),0)),"")</f>
        <v/>
      </c>
      <c r="C527" s="208">
        <f>IF($B527="","",IFERROR(BDP($B527&amp;" Action","CP036"),""))</f>
        <v/>
      </c>
      <c r="D527" s="209">
        <f>Database!S527</f>
        <v/>
      </c>
      <c r="E527" s="208">
        <f>IF($B527="","",IFERROR(BDP($B527&amp;" Action","CP037"),""))</f>
        <v/>
      </c>
      <c r="F527" s="209">
        <f>Database!T527</f>
        <v/>
      </c>
      <c r="G527" s="208">
        <f>IF($B527="","",IFERROR(BDP($B527&amp;" Action","GREENSHOE_FACILITY"),""))</f>
        <v/>
      </c>
      <c r="H527" s="208">
        <f>IF($B527="","",IFERROR(BDP($B527&amp;" Action","OFFERING_GREENSHOE_SHARES_EX"),""))</f>
        <v/>
      </c>
      <c r="I527" s="32">
        <f>Database!AE527</f>
        <v/>
      </c>
      <c r="J527" s="39">
        <f>IFERROR(BDP(TEXT(VALUE(Database!$A527),"0")&amp;" HK Equity","PE_RATIO"),"")</f>
        <v/>
      </c>
      <c r="K527" s="24">
        <f>IFERROR(BDP(TEXT(VALUE(Database!$A527),"0")&amp;" HK Equity","A/H_SHARE_CONVERSION"),"")</f>
        <v/>
      </c>
      <c r="L527" s="32">
        <f>IF(Database!BN527="","(none found)",Database!BN527)</f>
        <v/>
      </c>
      <c r="M527" s="34">
        <f>BDH(TEXT(VALUE(Database!$A527),"0")&amp;" HK Equity","CUR_MKT_CAP",Database!$H527,Database!$H527)</f>
        <v/>
      </c>
      <c r="N527" s="166">
        <f>Database!Q527</f>
        <v/>
      </c>
      <c r="O527" s="39">
        <f>BDH(TEXT(VALUE(Database!$A527),"0")&amp;" HK Equity","PE_RATIO",Database!$H527,Database!$H527)</f>
        <v/>
      </c>
      <c r="P527" s="199">
        <f>IF(Database!BH527="","(n/m or not derivable)",Database!BH527)</f>
        <v/>
      </c>
      <c r="Q527" s="39">
        <f>IF(Database!BN527="","",BDH(LEFT(Database!BN527,FIND(".",Database!BN527)-1)&amp;" CH Equity","PE_RATIO",Database!$H527,Database!$H527))</f>
        <v/>
      </c>
      <c r="R527" s="39">
        <f>IF(Database!BN527="","",BDH("HSAHP Index","PX_LAST",Database!$H527,Database!$H527))</f>
        <v/>
      </c>
      <c r="S527" s="39">
        <f>IFERROR(BDP(TEXT(VALUE(Database!$A527),"0")&amp;" HK Equity","PX_TO_SALES_RATIO"),"")</f>
        <v/>
      </c>
      <c r="T527" s="34">
        <f>IF(Database!BN527="","",IFERROR(BDP(LEFT(Database!BN527,FIND(".",Database!BN527)-1)&amp;" CH Equity","CUR_MKT_CAP")*BDP("CNYHKD Curncy","PX_LAST"),"Awaiting quote"))</f>
        <v/>
      </c>
    </row>
    <row r="528" ht="23" customHeight="1">
      <c r="A528" s="32">
        <f>Database!A528&amp;"  "&amp;Database!B528</f>
        <v/>
      </c>
      <c r="B528" s="24">
        <f>IFERROR(INDEX(BDS(TEXT(VALUE(Database!$A528),"0")&amp;" HK Equity","EQUITY_OFFERINGS","array=t","endcol=1"),MATCH("IPO",BDS(TEXT(VALUE(Database!$A528),"0")&amp;" HK Equity","EQUITY_OFFERINGS","array=t","startcol=2","endcol=2"),0)),"")</f>
        <v/>
      </c>
      <c r="C528" s="208">
        <f>IF($B528="","",IFERROR(BDP($B528&amp;" Action","CP036"),""))</f>
        <v/>
      </c>
      <c r="D528" s="209">
        <f>Database!S528</f>
        <v/>
      </c>
      <c r="E528" s="208">
        <f>IF($B528="","",IFERROR(BDP($B528&amp;" Action","CP037"),""))</f>
        <v/>
      </c>
      <c r="F528" s="209">
        <f>Database!T528</f>
        <v/>
      </c>
      <c r="G528" s="208">
        <f>IF($B528="","",IFERROR(BDP($B528&amp;" Action","GREENSHOE_FACILITY"),""))</f>
        <v/>
      </c>
      <c r="H528" s="208">
        <f>IF($B528="","",IFERROR(BDP($B528&amp;" Action","OFFERING_GREENSHOE_SHARES_EX"),""))</f>
        <v/>
      </c>
      <c r="I528" s="32">
        <f>Database!AE528</f>
        <v/>
      </c>
      <c r="J528" s="39">
        <f>IFERROR(BDP(TEXT(VALUE(Database!$A528),"0")&amp;" HK Equity","PE_RATIO"),"")</f>
        <v/>
      </c>
      <c r="K528" s="24">
        <f>IFERROR(BDP(TEXT(VALUE(Database!$A528),"0")&amp;" HK Equity","A/H_SHARE_CONVERSION"),"")</f>
        <v/>
      </c>
      <c r="L528" s="32">
        <f>IF(Database!BN528="","(none found)",Database!BN528)</f>
        <v/>
      </c>
      <c r="M528" s="34">
        <f>BDH(TEXT(VALUE(Database!$A528),"0")&amp;" HK Equity","CUR_MKT_CAP",Database!$H528,Database!$H528)</f>
        <v/>
      </c>
      <c r="N528" s="166">
        <f>Database!Q528</f>
        <v/>
      </c>
      <c r="O528" s="39">
        <f>BDH(TEXT(VALUE(Database!$A528),"0")&amp;" HK Equity","PE_RATIO",Database!$H528,Database!$H528)</f>
        <v/>
      </c>
      <c r="P528" s="199">
        <f>IF(Database!BH528="","(n/m or not derivable)",Database!BH528)</f>
        <v/>
      </c>
      <c r="Q528" s="39">
        <f>IF(Database!BN528="","",BDH(LEFT(Database!BN528,FIND(".",Database!BN528)-1)&amp;" CH Equity","PE_RATIO",Database!$H528,Database!$H528))</f>
        <v/>
      </c>
      <c r="R528" s="39">
        <f>IF(Database!BN528="","",BDH("HSAHP Index","PX_LAST",Database!$H528,Database!$H528))</f>
        <v/>
      </c>
      <c r="S528" s="39">
        <f>IFERROR(BDP(TEXT(VALUE(Database!$A528),"0")&amp;" HK Equity","PX_TO_SALES_RATIO"),"")</f>
        <v/>
      </c>
      <c r="T528" s="34">
        <f>IF(Database!BN528="","",IFERROR(BDP(LEFT(Database!BN528,FIND(".",Database!BN528)-1)&amp;" CH Equity","CUR_MKT_CAP")*BDP("CNYHKD Curncy","PX_LAST"),"Awaiting quote"))</f>
        <v/>
      </c>
    </row>
    <row r="529" ht="23" customHeight="1"/>
    <row r="530" ht="23" customHeight="1">
      <c r="A530" s="71" t="inlineStr">
        <is>
          <t>Orange = Bloomberg and the scraped value differ by more than 25%.</t>
        </is>
      </c>
    </row>
  </sheetData>
  <mergeCells count="1">
    <mergeCell ref="A2:L2"/>
  </mergeCells>
  <conditionalFormatting sqref="C5:C528">
    <cfRule type="expression" priority="1" dxfId="0">
      <formula>AND(ISNUMBER(C5),ISNUMBER(D5),ABS(C5-D5)&gt;0.25*ABS(D5))</formula>
    </cfRule>
  </conditionalFormatting>
  <conditionalFormatting sqref="E5:E528">
    <cfRule type="expression" priority="2" dxfId="0">
      <formula>AND(ISNUMBER(E5),ISNUMBER(F5),ABS(E5-F5)&gt;0.25*ABS(F5))</formula>
    </cfRule>
  </conditionalFormatting>
  <conditionalFormatting sqref="M5:M528">
    <cfRule type="expression" priority="3" dxfId="0">
      <formula>AND(ISNUMBER(M5),ISNUMBER(N5),ABS(M5-N5)&gt;0.25*ABS(N5))</formula>
    </cfRule>
  </conditionalFormatting>
  <conditionalFormatting sqref="O5:O528">
    <cfRule type="expression" priority="4" dxfId="0">
      <formula>AND(ISNUMBER(O5),ISNUMBER(P5),ABS(O5-P5)&gt;0.25*ABS(P5))</formula>
    </cfRule>
  </conditionalFormatting>
  <printOptions horizontalCentered="1"/>
  <pageMargins left="0.75" right="0.75" top="1" bottom="1" header="0.5" footer="0.5"/>
  <pageSetup orientation="landscape" paperSize="8" fitToHeight="0" fitToWidth="1"/>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fitToPage="1"/>
  </sheetPr>
  <dimension ref="A1:H166"/>
  <sheetViews>
    <sheetView showGridLines="0" zoomScale="95"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ht="30" customHeight="1">
      <c r="A1" s="16" t="inlineStr">
        <is>
          <t>VERIFY ON THE TERMINAL</t>
        </is>
      </c>
    </row>
    <row r="2" ht="34" customHeight="1">
      <c r="A2" s="17" t="inlineStr">
        <is>
          <t>Values the audits changed, each with a Bloomberg call beside it. Open on Bloomberg and Verdict reads MATCH or CHECK; off the terminal the cells read 'run on terminal'.</t>
        </is>
      </c>
    </row>
    <row r="3"/>
    <row r="4">
      <c r="A4" s="190" t="inlineStr">
        <is>
          <t>A. LISTING DATE AND DAY-1 CLOSE (93 deals whose stored date was the allotment day)</t>
        </is>
      </c>
    </row>
    <row r="5" ht="30" customHeight="1">
      <c r="A5" s="26" t="inlineStr">
        <is>
          <t>Code</t>
        </is>
      </c>
      <c r="B5" s="26" t="inlineStr">
        <is>
          <t>Name</t>
        </is>
      </c>
      <c r="C5" s="26" t="inlineStr">
        <is>
          <t>Our listing date</t>
        </is>
      </c>
      <c r="D5" s="26" t="inlineStr">
        <is>
          <t>Our day-1 close</t>
        </is>
      </c>
      <c r="E5" s="26" t="inlineStr">
        <is>
          <t>Our day-1 %</t>
        </is>
      </c>
      <c r="F5" s="26" t="inlineStr">
        <is>
          <t>BBG close that day</t>
        </is>
      </c>
      <c r="G5" s="26" t="inlineStr">
        <is>
          <t>VERDICT</t>
        </is>
      </c>
      <c r="H5" s="26" t="inlineStr">
        <is>
          <t>What we relied on</t>
        </is>
      </c>
    </row>
    <row r="6" ht="23" customHeight="1">
      <c r="A6" s="206" t="inlineStr">
        <is>
          <t>9608</t>
        </is>
      </c>
      <c r="B6" s="32" t="inlineStr">
        <is>
          <t>SUNDY SERVICE</t>
        </is>
      </c>
      <c r="C6" s="207" t="n">
        <v>44214</v>
      </c>
      <c r="D6" s="210" t="n">
        <v>0.16</v>
      </c>
      <c r="E6" s="194" t="n">
        <v>-36</v>
      </c>
      <c r="F6" s="54">
        <f>BDH("9608 HK Equity","PX_LAST",$C6,$C6)</f>
        <v/>
      </c>
      <c r="G6" s="24">
        <f>IF(NOT(ISNUMBER($F6)),"Awaiting quote",IF(ABS($F6/($D6)-1)&lt;0.005,"MATCH","CHECK: BBG "&amp;TEXT($F6,"0.000")))</f>
        <v/>
      </c>
      <c r="H6" s="195" t="inlineStr">
        <is>
          <t>AAStocks listing date (was 2021-01-16); close from the local session list</t>
        </is>
      </c>
    </row>
    <row r="7" ht="23" customHeight="1">
      <c r="A7" s="206" t="inlineStr">
        <is>
          <t>2170</t>
        </is>
      </c>
      <c r="B7" s="32" t="inlineStr">
        <is>
          <t>BASECARE-B</t>
        </is>
      </c>
      <c r="C7" s="207" t="n">
        <v>44235</v>
      </c>
      <c r="D7" s="210" t="n">
        <v>27.699</v>
      </c>
      <c r="E7" s="194" t="n">
        <v>1.24</v>
      </c>
      <c r="F7" s="54">
        <f>BDH("2170 HK Equity","PX_LAST",$C7,$C7)</f>
        <v/>
      </c>
      <c r="G7" s="24">
        <f>IF(NOT(ISNUMBER($F7)),"Awaiting quote",IF(ABS($F7/($D7)-1)&lt;0.005,"MATCH","CHECK: BBG "&amp;TEXT($F7,"0.000")))</f>
        <v/>
      </c>
      <c r="H7" s="195" t="inlineStr">
        <is>
          <t>AAStocks listing date (was 2021-02-06); close from the local session list</t>
        </is>
      </c>
    </row>
    <row r="8" ht="23" customHeight="1">
      <c r="A8" s="206" t="inlineStr">
        <is>
          <t>2518</t>
        </is>
      </c>
      <c r="B8" s="32" t="inlineStr">
        <is>
          <t>AUTOHOME-S</t>
        </is>
      </c>
      <c r="C8" s="207" t="n">
        <v>44270</v>
      </c>
      <c r="D8" s="210" t="n">
        <v>180.002</v>
      </c>
      <c r="E8" s="194" t="n">
        <v>2.1</v>
      </c>
      <c r="F8" s="54">
        <f>BDH("2518 HK Equity","PX_LAST",$C8,$C8)</f>
        <v/>
      </c>
      <c r="G8" s="24">
        <f>IF(NOT(ISNUMBER($F8)),"Awaiting quote",IF(ABS($F8/($D8)-1)&lt;0.005,"MATCH","CHECK: BBG "&amp;TEXT($F8,"0.000")))</f>
        <v/>
      </c>
      <c r="H8" s="195" t="inlineStr">
        <is>
          <t>AAStocks listing date (was 2021-03-13); close from the local session list</t>
        </is>
      </c>
    </row>
    <row r="9" ht="23" customHeight="1">
      <c r="A9" s="206" t="inlineStr">
        <is>
          <t>9626</t>
        </is>
      </c>
      <c r="B9" s="32" t="inlineStr">
        <is>
          <t>BILIBILI-SW</t>
        </is>
      </c>
      <c r="C9" s="207" t="n">
        <v>44284</v>
      </c>
      <c r="D9" s="210" t="n">
        <v>800.001</v>
      </c>
      <c r="E9" s="194" t="n">
        <v>-0.99</v>
      </c>
      <c r="F9" s="54">
        <f>BDH("9626 HK Equity","PX_LAST",$C9,$C9)</f>
        <v/>
      </c>
      <c r="G9" s="24">
        <f>IF(NOT(ISNUMBER($F9)),"Awaiting quote",IF(ABS($F9/($D9)-1)&lt;0.005,"MATCH","CHECK: BBG "&amp;TEXT($F9,"0.000")))</f>
        <v/>
      </c>
      <c r="H9" s="195" t="inlineStr">
        <is>
          <t>AAStocks listing date (was 2021-03-27); close from the local session list</t>
        </is>
      </c>
    </row>
    <row r="10" ht="23" customHeight="1">
      <c r="A10" s="206" t="inlineStr">
        <is>
          <t>9961</t>
        </is>
      </c>
      <c r="B10" s="32" t="inlineStr">
        <is>
          <t>TRIP.COM-S</t>
        </is>
      </c>
      <c r="C10" s="207" t="n">
        <v>44305</v>
      </c>
      <c r="D10" s="210" t="n">
        <v>280.194</v>
      </c>
      <c r="E10" s="194" t="n">
        <v>4.55</v>
      </c>
      <c r="F10" s="54">
        <f>BDH("9961 HK Equity","PX_LAST",$C10,$C10)</f>
        <v/>
      </c>
      <c r="G10" s="24">
        <f>IF(NOT(ISNUMBER($F10)),"Awaiting quote",IF(ABS($F10/($D10)-1)&lt;0.005,"MATCH","CHECK: BBG "&amp;TEXT($F10,"0.000")))</f>
        <v/>
      </c>
      <c r="H10" s="195" t="inlineStr">
        <is>
          <t>AAStocks listing date (was 2021-04-17); close from the local session list</t>
        </is>
      </c>
    </row>
    <row r="11" ht="23" customHeight="1">
      <c r="A11" s="206" t="inlineStr">
        <is>
          <t>2191</t>
        </is>
      </c>
      <c r="B11" s="32" t="inlineStr">
        <is>
          <t>SF REIT</t>
        </is>
      </c>
      <c r="C11" s="207" t="n">
        <v>44333</v>
      </c>
      <c r="D11" s="210" t="n">
        <v>4.16</v>
      </c>
      <c r="E11" s="194" t="n">
        <v>-16.47</v>
      </c>
      <c r="F11" s="54">
        <f>BDH("2191 HK Equity","PX_LAST",$C11,$C11)</f>
        <v/>
      </c>
      <c r="G11" s="24">
        <f>IF(NOT(ISNUMBER($F11)),"Awaiting quote",IF(ABS($F11/($D11)-1)&lt;0.005,"MATCH","CHECK: BBG "&amp;TEXT($F11,"0.000")))</f>
        <v/>
      </c>
      <c r="H11" s="195" t="inlineStr">
        <is>
          <t>AAStocks listing date (was 2021-05-15); close from the local session list</t>
        </is>
      </c>
    </row>
    <row r="12" ht="23" customHeight="1">
      <c r="A12" s="206" t="inlineStr">
        <is>
          <t>9982</t>
        </is>
      </c>
      <c r="B12" s="32" t="inlineStr">
        <is>
          <t>CENTRALCHINA MT</t>
        </is>
      </c>
      <c r="C12" s="207" t="n">
        <v>44347</v>
      </c>
      <c r="D12" s="210" t="n">
        <v>2.64</v>
      </c>
      <c r="E12" s="194" t="n">
        <v>-12</v>
      </c>
      <c r="F12" s="54">
        <f>BDH("9982 HK Equity","PX_LAST",$C12,$C12)</f>
        <v/>
      </c>
      <c r="G12" s="24">
        <f>IF(NOT(ISNUMBER($F12)),"Awaiting quote",IF(ABS($F12/($D12)-1)&lt;0.005,"MATCH","CHECK: BBG "&amp;TEXT($F12,"0.000")))</f>
        <v/>
      </c>
      <c r="H12" s="195" t="inlineStr">
        <is>
          <t>AAStocks listing date (was 2021-05-29); close from the local session list</t>
        </is>
      </c>
    </row>
    <row r="13" ht="23" customHeight="1">
      <c r="A13" s="206" t="inlineStr">
        <is>
          <t>2155</t>
        </is>
      </c>
      <c r="B13" s="32" t="inlineStr">
        <is>
          <t>MORIMATSU INTL</t>
        </is>
      </c>
      <c r="C13" s="207" t="n">
        <v>44375</v>
      </c>
      <c r="D13" s="210" t="n">
        <v>8.9</v>
      </c>
      <c r="E13" s="194" t="n">
        <v>258.87</v>
      </c>
      <c r="F13" s="54">
        <f>BDH("2155 HK Equity","PX_LAST",$C13,$C13)</f>
        <v/>
      </c>
      <c r="G13" s="24">
        <f>IF(NOT(ISNUMBER($F13)),"Awaiting quote",IF(ABS($F13/($D13)-1)&lt;0.005,"MATCH","CHECK: BBG "&amp;TEXT($F13,"0.000")))</f>
        <v/>
      </c>
      <c r="H13" s="195" t="inlineStr">
        <is>
          <t>AAStocks listing date (was 2021-06-26); close from the local session list</t>
        </is>
      </c>
    </row>
    <row r="14" ht="23" customHeight="1">
      <c r="A14" s="206" t="inlineStr">
        <is>
          <t>6626</t>
        </is>
      </c>
      <c r="B14" s="32" t="inlineStr">
        <is>
          <t>YUEXIU SERVICES</t>
        </is>
      </c>
      <c r="C14" s="207" t="n">
        <v>44375</v>
      </c>
      <c r="D14" s="210" t="n">
        <v>4.88</v>
      </c>
      <c r="E14" s="194" t="n">
        <v>0</v>
      </c>
      <c r="F14" s="54">
        <f>BDH("6626 HK Equity","PX_LAST",$C14,$C14)</f>
        <v/>
      </c>
      <c r="G14" s="24">
        <f>IF(NOT(ISNUMBER($F14)),"Awaiting quote",IF(ABS($F14/($D14)-1)&lt;0.005,"MATCH","CHECK: BBG "&amp;TEXT($F14,"0.000")))</f>
        <v/>
      </c>
      <c r="H14" s="195" t="inlineStr">
        <is>
          <t>AAStocks listing date (was 2021-06-26); close from the local session list</t>
        </is>
      </c>
    </row>
    <row r="15" ht="23" customHeight="1">
      <c r="A15" s="206" t="inlineStr">
        <is>
          <t>0606</t>
        </is>
      </c>
      <c r="B15" s="32" t="inlineStr">
        <is>
          <t>SCE CM</t>
        </is>
      </c>
      <c r="C15" s="207" t="n">
        <v>44379</v>
      </c>
      <c r="D15" s="210" t="n">
        <v>4</v>
      </c>
      <c r="E15" s="194" t="n">
        <v>8.109999999999999</v>
      </c>
      <c r="F15" s="54">
        <f>BDH("606 HK Equity","PX_LAST",$C15,$C15)</f>
        <v/>
      </c>
      <c r="G15" s="24">
        <f>IF(NOT(ISNUMBER($F15)),"Awaiting quote",IF(ABS($F15/($D15)-1)&lt;0.005,"MATCH","CHECK: BBG "&amp;TEXT($F15,"0.000")))</f>
        <v/>
      </c>
      <c r="H15" s="195" t="inlineStr">
        <is>
          <t>AAStocks listing date (was 2021-07-01); close from the local session list</t>
        </is>
      </c>
    </row>
    <row r="16" ht="23" customHeight="1">
      <c r="A16" s="206" t="inlineStr">
        <is>
          <t>2190</t>
        </is>
      </c>
      <c r="B16" s="32" t="inlineStr">
        <is>
          <t>ZYLOXTB-B</t>
        </is>
      </c>
      <c r="C16" s="207" t="n">
        <v>44382</v>
      </c>
      <c r="D16" s="210" t="n">
        <v>60.002</v>
      </c>
      <c r="E16" s="194" t="n">
        <v>40.52</v>
      </c>
      <c r="F16" s="54">
        <f>BDH("2190 HK Equity","PX_LAST",$C16,$C16)</f>
        <v/>
      </c>
      <c r="G16" s="24">
        <f>IF(NOT(ISNUMBER($F16)),"Awaiting quote",IF(ABS($F16/($D16)-1)&lt;0.005,"MATCH","CHECK: BBG "&amp;TEXT($F16,"0.000")))</f>
        <v/>
      </c>
      <c r="H16" s="195" t="inlineStr">
        <is>
          <t>AAStocks listing date (was 2021-07-03); close from the local session list</t>
        </is>
      </c>
    </row>
    <row r="17" ht="23" customHeight="1">
      <c r="A17" s="206" t="inlineStr">
        <is>
          <t>2165</t>
        </is>
      </c>
      <c r="B17" s="32" t="inlineStr">
        <is>
          <t>LING YUE SER GP</t>
        </is>
      </c>
      <c r="C17" s="207" t="n">
        <v>44389</v>
      </c>
      <c r="D17" s="210" t="n">
        <v>4.19</v>
      </c>
      <c r="E17" s="194" t="n">
        <v>0</v>
      </c>
      <c r="F17" s="54">
        <f>BDH("2165 HK Equity","PX_LAST",$C17,$C17)</f>
        <v/>
      </c>
      <c r="G17" s="24">
        <f>IF(NOT(ISNUMBER($F17)),"Awaiting quote",IF(ABS($F17/($D17)-1)&lt;0.005,"MATCH","CHECK: BBG "&amp;TEXT($F17,"0.000")))</f>
        <v/>
      </c>
      <c r="H17" s="195" t="inlineStr">
        <is>
          <t>AAStocks listing date (was 2021-07-10); close from the local session list</t>
        </is>
      </c>
    </row>
    <row r="18" ht="23" customHeight="1">
      <c r="A18" s="206" t="inlineStr">
        <is>
          <t>2177</t>
        </is>
      </c>
      <c r="B18" s="32" t="inlineStr">
        <is>
          <t>UNQ HOLDINGS</t>
        </is>
      </c>
      <c r="C18" s="207" t="n">
        <v>44389</v>
      </c>
      <c r="D18" s="210" t="n">
        <v>9.039999999999999</v>
      </c>
      <c r="E18" s="194" t="n">
        <v>-23.78</v>
      </c>
      <c r="F18" s="54">
        <f>BDH("2177 HK Equity","PX_LAST",$C18,$C18)</f>
        <v/>
      </c>
      <c r="G18" s="24">
        <f>IF(NOT(ISNUMBER($F18)),"Awaiting quote",IF(ABS($F18/($D18)-1)&lt;0.005,"MATCH","CHECK: BBG "&amp;TEXT($F18,"0.000")))</f>
        <v/>
      </c>
      <c r="H18" s="195" t="inlineStr">
        <is>
          <t>AAStocks listing date (was 2021-07-10); close from the local session list</t>
        </is>
      </c>
    </row>
    <row r="19" ht="23" customHeight="1">
      <c r="A19" s="206" t="inlineStr">
        <is>
          <t>6611</t>
        </is>
      </c>
      <c r="B19" s="32" t="inlineStr">
        <is>
          <t>SANXUN GROUP</t>
        </is>
      </c>
      <c r="C19" s="207" t="n">
        <v>44396</v>
      </c>
      <c r="D19" s="210" t="n">
        <v>4.75</v>
      </c>
      <c r="E19" s="194" t="n">
        <v>0</v>
      </c>
      <c r="F19" s="54">
        <f>BDH("6611 HK Equity","PX_LAST",$C19,$C19)</f>
        <v/>
      </c>
      <c r="G19" s="24">
        <f>IF(NOT(ISNUMBER($F19)),"Awaiting quote",IF(ABS($F19/($D19)-1)&lt;0.005,"MATCH","CHECK: BBG "&amp;TEXT($F19,"0.000")))</f>
        <v/>
      </c>
      <c r="H19" s="195" t="inlineStr">
        <is>
          <t>AAStocks listing date (was 2021-07-17); close from the local session list</t>
        </is>
      </c>
    </row>
    <row r="20" ht="23" customHeight="1">
      <c r="A20" s="206" t="inlineStr">
        <is>
          <t>2378</t>
        </is>
      </c>
      <c r="B20" s="32" t="inlineStr">
        <is>
          <t>PRU</t>
        </is>
      </c>
      <c r="C20" s="207" t="n">
        <v>44473</v>
      </c>
      <c r="D20" s="210" t="n">
        <v>150.602</v>
      </c>
      <c r="E20" s="194" t="n">
        <v>4.73</v>
      </c>
      <c r="F20" s="54">
        <f>BDH("2378 HK Equity","PX_LAST",$C20,$C20)</f>
        <v/>
      </c>
      <c r="G20" s="24">
        <f>IF(NOT(ISNUMBER($F20)),"Awaiting quote",IF(ABS($F20/($D20)-1)&lt;0.005,"MATCH","CHECK: BBG "&amp;TEXT($F20,"0.000")))</f>
        <v/>
      </c>
      <c r="H20" s="195" t="inlineStr">
        <is>
          <t>AAStocks listing date (was 2021-10-01); close from the local session list</t>
        </is>
      </c>
    </row>
    <row r="21" ht="23" customHeight="1">
      <c r="A21" s="206" t="inlineStr">
        <is>
          <t>2256</t>
        </is>
      </c>
      <c r="B21" s="32" t="inlineStr">
        <is>
          <t>ABBISKO-B</t>
        </is>
      </c>
      <c r="C21" s="207" t="n">
        <v>44484</v>
      </c>
      <c r="D21" s="210" t="n">
        <v>12.4</v>
      </c>
      <c r="E21" s="194" t="n">
        <v>-0.48</v>
      </c>
      <c r="F21" s="54">
        <f>BDH("2256 HK Equity","PX_LAST",$C21,$C21)</f>
        <v/>
      </c>
      <c r="G21" s="24">
        <f>IF(NOT(ISNUMBER($F21)),"Awaiting quote",IF(ABS($F21/($D21)-1)&lt;0.005,"MATCH","CHECK: BBG "&amp;TEXT($F21,"0.000")))</f>
        <v/>
      </c>
      <c r="H21" s="195" t="inlineStr">
        <is>
          <t>AAStocks listing date (was 2021-10-13); close from the local session list</t>
        </is>
      </c>
    </row>
    <row r="22" ht="23" customHeight="1">
      <c r="A22" s="206" t="inlineStr">
        <is>
          <t>1948</t>
        </is>
      </c>
      <c r="B22" s="32" t="inlineStr">
        <is>
          <t>UJU HOLDING</t>
        </is>
      </c>
      <c r="C22" s="207" t="n">
        <v>44508</v>
      </c>
      <c r="D22" s="210" t="n">
        <v>6.4</v>
      </c>
      <c r="E22" s="194" t="n">
        <v>-4.48</v>
      </c>
      <c r="F22" s="54">
        <f>BDH("1948 HK Equity","PX_LAST",$C22,$C22)</f>
        <v/>
      </c>
      <c r="G22" s="24">
        <f>IF(NOT(ISNUMBER($F22)),"Awaiting quote",IF(ABS($F22/($D22)-1)&lt;0.005,"MATCH","CHECK: BBG "&amp;TEXT($F22,"0.000")))</f>
        <v/>
      </c>
      <c r="H22" s="195" t="inlineStr">
        <is>
          <t>AAStocks listing date (was 2021-11-06); close from the local session list</t>
        </is>
      </c>
    </row>
    <row r="23" ht="23" customHeight="1">
      <c r="A23" s="206" t="inlineStr">
        <is>
          <t>2279</t>
        </is>
      </c>
      <c r="B23" s="32" t="inlineStr">
        <is>
          <t>YONGHE MEDICAL</t>
        </is>
      </c>
      <c r="C23" s="207" t="n">
        <v>44543</v>
      </c>
      <c r="D23" s="210" t="n">
        <v>16.599</v>
      </c>
      <c r="E23" s="194" t="n">
        <v>5.06</v>
      </c>
      <c r="F23" s="54">
        <f>BDH("2279 HK Equity","PX_LAST",$C23,$C23)</f>
        <v/>
      </c>
      <c r="G23" s="24">
        <f>IF(NOT(ISNUMBER($F23)),"Awaiting quote",IF(ABS($F23/($D23)-1)&lt;0.005,"MATCH","CHECK: BBG "&amp;TEXT($F23,"0.000")))</f>
        <v/>
      </c>
      <c r="H23" s="195" t="inlineStr">
        <is>
          <t>AAStocks listing date (was 2021-12-11); close from the local session list</t>
        </is>
      </c>
    </row>
    <row r="24" ht="23" customHeight="1">
      <c r="A24" s="206" t="inlineStr">
        <is>
          <t>2250</t>
        </is>
      </c>
      <c r="B24" s="32" t="inlineStr">
        <is>
          <t>SEMK HOLDINGS</t>
        </is>
      </c>
      <c r="C24" s="207" t="n">
        <v>44578</v>
      </c>
      <c r="D24" s="210" t="n">
        <v>2.39</v>
      </c>
      <c r="E24" s="194" t="n">
        <v>16.59</v>
      </c>
      <c r="F24" s="54">
        <f>BDH("2250 HK Equity","PX_LAST",$C24,$C24)</f>
        <v/>
      </c>
      <c r="G24" s="24">
        <f>IF(NOT(ISNUMBER($F24)),"Awaiting quote",IF(ABS($F24/($D24)-1)&lt;0.005,"MATCH","CHECK: BBG "&amp;TEXT($F24,"0.000")))</f>
        <v/>
      </c>
      <c r="H24" s="195" t="inlineStr">
        <is>
          <t>AAStocks listing date (was 2022-01-15); close from the local session list</t>
        </is>
      </c>
    </row>
    <row r="25" ht="23" customHeight="1">
      <c r="A25" s="206" t="inlineStr">
        <is>
          <t>2237</t>
        </is>
      </c>
      <c r="B25" s="32" t="inlineStr">
        <is>
          <t>CHINA GRAPHITE</t>
        </is>
      </c>
      <c r="C25" s="207" t="n">
        <v>44760</v>
      </c>
      <c r="D25" s="210" t="n">
        <v>0.79</v>
      </c>
      <c r="E25" s="194" t="n">
        <v>143.08</v>
      </c>
      <c r="F25" s="54">
        <f>BDH("2237 HK Equity","PX_LAST",$C25,$C25)</f>
        <v/>
      </c>
      <c r="G25" s="24">
        <f>IF(NOT(ISNUMBER($F25)),"Awaiting quote",IF(ABS($F25/($D25)-1)&lt;0.005,"MATCH","CHECK: BBG "&amp;TEXT($F25,"0.000")))</f>
        <v/>
      </c>
      <c r="H25" s="195" t="inlineStr">
        <is>
          <t>AAStocks listing date (was 2022-07-16); close from the local session list</t>
        </is>
      </c>
    </row>
    <row r="26" ht="23" customHeight="1">
      <c r="A26" s="206" t="inlineStr">
        <is>
          <t>2350</t>
        </is>
      </c>
      <c r="B26" s="32" t="inlineStr">
        <is>
          <t>MTT GROUP</t>
        </is>
      </c>
      <c r="C26" s="207" t="n">
        <v>44830</v>
      </c>
      <c r="D26" s="210" t="n">
        <v>0.62</v>
      </c>
      <c r="E26" s="194" t="n">
        <v>-27.06</v>
      </c>
      <c r="F26" s="54">
        <f>BDH("2350 HK Equity","PX_LAST",$C26,$C26)</f>
        <v/>
      </c>
      <c r="G26" s="24">
        <f>IF(NOT(ISNUMBER($F26)),"Awaiting quote",IF(ABS($F26/($D26/1.246)-1)&lt;0.005,"MATCH","CHECK: BBG "&amp;TEXT($F26,"0.000")))</f>
        <v/>
      </c>
      <c r="H26" s="195" t="inlineStr">
        <is>
          <t>AAStocks listing date (was 2022-09-24); close from the local session list; Bloomberg basis = raw / 1.246</t>
        </is>
      </c>
    </row>
    <row r="27" ht="23" customHeight="1">
      <c r="A27" s="206" t="inlineStr">
        <is>
          <t>9877</t>
        </is>
      </c>
      <c r="B27" s="32" t="inlineStr">
        <is>
          <t>JENSCARE-B</t>
        </is>
      </c>
      <c r="C27" s="207" t="n">
        <v>44844</v>
      </c>
      <c r="D27" s="210" t="n">
        <v>28.25</v>
      </c>
      <c r="E27" s="194" t="n">
        <v>1.62</v>
      </c>
      <c r="F27" s="54">
        <f>BDH("9877 HK Equity","PX_LAST",$C27,$C27)</f>
        <v/>
      </c>
      <c r="G27" s="24">
        <f>IF(NOT(ISNUMBER($F27)),"Awaiting quote",IF(ABS($F27/($D27)-1)&lt;0.005,"MATCH","CHECK: BBG "&amp;TEXT($F27,"0.000")))</f>
        <v/>
      </c>
      <c r="H27" s="195" t="inlineStr">
        <is>
          <t>AAStocks listing date (was 2022-10-08); close from the local session list</t>
        </is>
      </c>
    </row>
    <row r="28" ht="23" customHeight="1">
      <c r="A28" s="206" t="inlineStr">
        <is>
          <t>1489</t>
        </is>
      </c>
      <c r="B28" s="32" t="inlineStr">
        <is>
          <t>GC CONSTRUCTION</t>
        </is>
      </c>
      <c r="C28" s="207" t="n">
        <v>44844</v>
      </c>
      <c r="D28" s="210" t="n">
        <v>0.55</v>
      </c>
      <c r="E28" s="194" t="n">
        <v>10</v>
      </c>
      <c r="F28" s="54">
        <f>BDH("1489 HK Equity","PX_LAST",$C28,$C28)</f>
        <v/>
      </c>
      <c r="G28" s="24">
        <f>IF(NOT(ISNUMBER($F28)),"Awaiting quote",IF(ABS($F28/($D28)-1)&lt;0.005,"MATCH","CHECK: BBG "&amp;TEXT($F28,"0.000")))</f>
        <v/>
      </c>
      <c r="H28" s="195" t="inlineStr">
        <is>
          <t>AAStocks listing date (was 2022-10-08); close from the local session list</t>
        </is>
      </c>
    </row>
    <row r="29" ht="23" customHeight="1">
      <c r="A29" s="206" t="inlineStr">
        <is>
          <t>2422</t>
        </is>
      </c>
      <c r="B29" s="32" t="inlineStr">
        <is>
          <t>REGO INTERACT</t>
        </is>
      </c>
      <c r="C29" s="207" t="n">
        <v>44851</v>
      </c>
      <c r="D29" s="210" t="n">
        <v>1.35</v>
      </c>
      <c r="E29" s="194" t="n">
        <v>110.94</v>
      </c>
      <c r="F29" s="54">
        <f>BDH("2422 HK Equity","PX_LAST",$C29,$C29)</f>
        <v/>
      </c>
      <c r="G29" s="24">
        <f>IF(NOT(ISNUMBER($F29)),"Awaiting quote",IF(ABS($F29/($D29/1.1936)-1)&lt;0.005,"MATCH","CHECK: BBG "&amp;TEXT($F29,"0.000")))</f>
        <v/>
      </c>
      <c r="H29" s="195" t="inlineStr">
        <is>
          <t>AAStocks listing date (was 2022-10-15); close from the local session list; Bloomberg basis = raw / 1.1936</t>
        </is>
      </c>
    </row>
    <row r="30" ht="23" customHeight="1">
      <c r="A30" s="206" t="inlineStr">
        <is>
          <t>2407</t>
        </is>
      </c>
      <c r="B30" s="32" t="inlineStr">
        <is>
          <t>GAUSH MEDITECH</t>
        </is>
      </c>
      <c r="C30" s="207" t="n">
        <v>44907</v>
      </c>
      <c r="D30" s="210" t="n">
        <v>51.4</v>
      </c>
      <c r="E30" s="194" t="n">
        <v>0</v>
      </c>
      <c r="F30" s="54">
        <f>BDH("2407 HK Equity","PX_LAST",$C30,$C30)</f>
        <v/>
      </c>
      <c r="G30" s="24">
        <f>IF(NOT(ISNUMBER($F30)),"Awaiting quote",IF(ABS($F30/($D30)-1)&lt;0.005,"MATCH","CHECK: BBG "&amp;TEXT($F30,"0.000")))</f>
        <v/>
      </c>
      <c r="H30" s="195" t="inlineStr">
        <is>
          <t>AAStocks listing date (was 2022-12-10); close from the local session list</t>
        </is>
      </c>
    </row>
    <row r="31" ht="23" customHeight="1">
      <c r="A31" s="206" t="inlineStr">
        <is>
          <t>2440</t>
        </is>
      </c>
      <c r="B31" s="32" t="inlineStr">
        <is>
          <t>HOWKINGTECH</t>
        </is>
      </c>
      <c r="C31" s="207" t="n">
        <v>44907</v>
      </c>
      <c r="D31" s="210" t="n">
        <v>2</v>
      </c>
      <c r="E31" s="194" t="n">
        <v>-26.74</v>
      </c>
      <c r="F31" s="54">
        <f>BDH("2440 HK Equity","PX_LAST",$C31,$C31)</f>
        <v/>
      </c>
      <c r="G31" s="24">
        <f>IF(NOT(ISNUMBER($F31)),"Awaiting quote",IF(ABS($F31/($D31/1.22414)-1)&lt;0.005,"MATCH","CHECK: BBG "&amp;TEXT($F31,"0.000")))</f>
        <v/>
      </c>
      <c r="H31" s="195" t="inlineStr">
        <is>
          <t>AAStocks listing date (was 2022-12-10); close from the local session list; Bloomberg basis = raw / 1.22414</t>
        </is>
      </c>
    </row>
    <row r="32" ht="23" customHeight="1">
      <c r="A32" s="206" t="inlineStr">
        <is>
          <t>2469</t>
        </is>
      </c>
      <c r="B32" s="32" t="inlineStr">
        <is>
          <t>FENBI</t>
        </is>
      </c>
      <c r="C32" s="207" t="n">
        <v>44935</v>
      </c>
      <c r="D32" s="210" t="n">
        <v>11.1</v>
      </c>
      <c r="E32" s="194" t="n">
        <v>12.12</v>
      </c>
      <c r="F32" s="54">
        <f>BDH("2469 HK Equity","PX_LAST",$C32,$C32)</f>
        <v/>
      </c>
      <c r="G32" s="24">
        <f>IF(NOT(ISNUMBER($F32)),"Awaiting quote",IF(ABS($F32/($D32)-1)&lt;0.005,"MATCH","CHECK: BBG "&amp;TEXT($F32,"0.000")))</f>
        <v/>
      </c>
      <c r="H32" s="195" t="inlineStr">
        <is>
          <t>AAStocks listing date (was 2023-01-07); close from the local session list</t>
        </is>
      </c>
    </row>
    <row r="33" ht="23" customHeight="1">
      <c r="A33" s="206" t="inlineStr">
        <is>
          <t>2411</t>
        </is>
      </c>
      <c r="B33" s="32" t="inlineStr">
        <is>
          <t>PAGODA GP</t>
        </is>
      </c>
      <c r="C33" s="207" t="n">
        <v>44942</v>
      </c>
      <c r="D33" s="210" t="n">
        <v>6</v>
      </c>
      <c r="E33" s="194" t="n">
        <v>7.14</v>
      </c>
      <c r="F33" s="54">
        <f>BDH("2411 HK Equity","PX_LAST",$C33,$C33)</f>
        <v/>
      </c>
      <c r="G33" s="24">
        <f>IF(NOT(ISNUMBER($F33)),"Awaiting quote",IF(ABS($F33/($D33)-1)&lt;0.005,"MATCH","CHECK: BBG "&amp;TEXT($F33,"0.000")))</f>
        <v/>
      </c>
      <c r="H33" s="195" t="inlineStr">
        <is>
          <t>AAStocks listing date (was 2023-01-14); close from the local session list</t>
        </is>
      </c>
    </row>
    <row r="34" ht="23" customHeight="1">
      <c r="A34" s="206" t="inlineStr">
        <is>
          <t>2373</t>
        </is>
      </c>
      <c r="B34" s="32" t="inlineStr">
        <is>
          <t>BEAUTYFARM MED</t>
        </is>
      </c>
      <c r="C34" s="207" t="n">
        <v>44942</v>
      </c>
      <c r="D34" s="210" t="n">
        <v>29.65</v>
      </c>
      <c r="E34" s="194" t="n">
        <v>53.47</v>
      </c>
      <c r="F34" s="54">
        <f>BDH("2373 HK Equity","PX_LAST",$C34,$C34)</f>
        <v/>
      </c>
      <c r="G34" s="24">
        <f>IF(NOT(ISNUMBER($F34)),"Awaiting quote",IF(ABS($F34/($D34)-1)&lt;0.005,"MATCH","CHECK: BBG "&amp;TEXT($F34,"0.000")))</f>
        <v/>
      </c>
      <c r="H34" s="195" t="inlineStr">
        <is>
          <t>AAStocks listing date (was 2023-01-14); close from the local session list</t>
        </is>
      </c>
    </row>
    <row r="35" ht="23" customHeight="1">
      <c r="A35" s="206" t="inlineStr">
        <is>
          <t>2458</t>
        </is>
      </c>
      <c r="B35" s="32" t="inlineStr">
        <is>
          <t>GALA TECH HOLD</t>
        </is>
      </c>
      <c r="C35" s="207" t="n">
        <v>44942</v>
      </c>
      <c r="D35" s="210" t="n">
        <v>5.75</v>
      </c>
      <c r="E35" s="194" t="n">
        <v>-11.54</v>
      </c>
      <c r="F35" s="54">
        <f>BDH("2458 HK Equity","PX_LAST",$C35,$C35)</f>
        <v/>
      </c>
      <c r="G35" s="24">
        <f>IF(NOT(ISNUMBER($F35)),"Awaiting quote",IF(ABS($F35/($D35)-1)&lt;0.005,"MATCH","CHECK: BBG "&amp;TEXT($F35,"0.000")))</f>
        <v/>
      </c>
      <c r="H35" s="195" t="inlineStr">
        <is>
          <t>AAStocks listing date (was 2023-01-14); close from the local session list</t>
        </is>
      </c>
    </row>
    <row r="36" ht="23" customHeight="1">
      <c r="A36" s="206" t="inlineStr">
        <is>
          <t>2480</t>
        </is>
      </c>
      <c r="B36" s="32" t="inlineStr">
        <is>
          <t>LUZHU BIOTECH-B</t>
        </is>
      </c>
      <c r="C36" s="207" t="n">
        <v>45054</v>
      </c>
      <c r="D36" s="210" t="n">
        <v>21.999</v>
      </c>
      <c r="E36" s="194" t="n">
        <v>-32.93</v>
      </c>
      <c r="F36" s="54">
        <f>BDH("2480 HK Equity","PX_LAST",$C36,$C36)</f>
        <v/>
      </c>
      <c r="G36" s="24">
        <f>IF(NOT(ISNUMBER($F36)),"Awaiting quote",IF(ABS($F36/($D36)-1)&lt;0.005,"MATCH","CHECK: BBG "&amp;TEXT($F36,"0.000")))</f>
        <v/>
      </c>
      <c r="H36" s="195" t="inlineStr">
        <is>
          <t>AAStocks listing date (was 2023-05-06); close from the local session list</t>
        </is>
      </c>
    </row>
    <row r="37" ht="23" customHeight="1">
      <c r="A37" s="206" t="inlineStr">
        <is>
          <t>2487</t>
        </is>
      </c>
      <c r="B37" s="32" t="inlineStr">
        <is>
          <t>CUTIA-B</t>
        </is>
      </c>
      <c r="C37" s="207" t="n">
        <v>45089</v>
      </c>
      <c r="D37" s="210" t="n">
        <v>21.951</v>
      </c>
      <c r="E37" s="194" t="n">
        <v>0.46</v>
      </c>
      <c r="F37" s="54">
        <f>BDH("2487 HK Equity","PX_LAST",$C37,$C37)</f>
        <v/>
      </c>
      <c r="G37" s="24">
        <f>IF(NOT(ISNUMBER($F37)),"Awaiting quote",IF(ABS($F37/($D37)-1)&lt;0.005,"MATCH","CHECK: BBG "&amp;TEXT($F37,"0.000")))</f>
        <v/>
      </c>
      <c r="H37" s="195" t="inlineStr">
        <is>
          <t>AAStocks listing date (was 2023-06-10); close from the local session list</t>
        </is>
      </c>
    </row>
    <row r="38" ht="23" customHeight="1">
      <c r="A38" s="206" t="inlineStr">
        <is>
          <t>2481</t>
        </is>
      </c>
      <c r="B38" s="32" t="inlineStr">
        <is>
          <t>WISE LIVING TEC</t>
        </is>
      </c>
      <c r="C38" s="207" t="n">
        <v>45117</v>
      </c>
      <c r="D38" s="210" t="n">
        <v>3.6</v>
      </c>
      <c r="E38" s="194" t="n">
        <v>0</v>
      </c>
      <c r="F38" s="54">
        <f>BDH("2481 HK Equity","PX_LAST",$C38,$C38)</f>
        <v/>
      </c>
      <c r="G38" s="24">
        <f>IF(NOT(ISNUMBER($F38)),"Awaiting quote",IF(ABS($F38/($D38)-1)&lt;0.005,"MATCH","CHECK: BBG "&amp;TEXT($F38,"0.000")))</f>
        <v/>
      </c>
      <c r="H38" s="195" t="inlineStr">
        <is>
          <t>AAStocks listing date (was 2023-07-08); close from the local session list</t>
        </is>
      </c>
    </row>
    <row r="39" ht="23" customHeight="1">
      <c r="A39" s="206" t="inlineStr">
        <is>
          <t>1284</t>
        </is>
      </c>
      <c r="B39" s="32" t="inlineStr">
        <is>
          <t>NEW MEDIA LAB</t>
        </is>
      </c>
      <c r="C39" s="207" t="n">
        <v>45125</v>
      </c>
      <c r="D39" s="210" t="n">
        <v>0.93</v>
      </c>
      <c r="E39" s="194" t="n">
        <v>1.09</v>
      </c>
      <c r="F39" s="54">
        <f>BDH("1284 HK Equity","PX_LAST",$C39,$C39)</f>
        <v/>
      </c>
      <c r="G39" s="24">
        <f>IF(NOT(ISNUMBER($F39)),"Awaiting quote",IF(ABS($F39/($D39)-1)&lt;0.005,"MATCH","CHECK: BBG "&amp;TEXT($F39,"0.000")))</f>
        <v/>
      </c>
      <c r="H39" s="195" t="inlineStr">
        <is>
          <t>AAStocks listing date (was 2023-07-15); close from the local session list</t>
        </is>
      </c>
    </row>
    <row r="40" ht="23" customHeight="1">
      <c r="A40" s="206" t="inlineStr">
        <is>
          <t>2496</t>
        </is>
      </c>
      <c r="B40" s="32" t="inlineStr">
        <is>
          <t>YZYBIO-B</t>
        </is>
      </c>
      <c r="C40" s="207" t="n">
        <v>45194</v>
      </c>
      <c r="D40" s="210" t="n">
        <v>16</v>
      </c>
      <c r="E40" s="194" t="n">
        <v>0</v>
      </c>
      <c r="F40" s="54">
        <f>BDH("2496 HK Equity","PX_LAST",$C40,$C40)</f>
        <v/>
      </c>
      <c r="G40" s="24">
        <f>IF(NOT(ISNUMBER($F40)),"Awaiting quote",IF(ABS($F40/($D40)-1)&lt;0.005,"MATCH","CHECK: BBG "&amp;TEXT($F40,"0.000")))</f>
        <v/>
      </c>
      <c r="H40" s="195" t="inlineStr">
        <is>
          <t>AAStocks listing date (was 2023-09-23); close from the local session list</t>
        </is>
      </c>
    </row>
    <row r="41" ht="23" customHeight="1">
      <c r="A41" s="206" t="inlineStr">
        <is>
          <t>2490</t>
        </is>
      </c>
      <c r="B41" s="32" t="inlineStr">
        <is>
          <t>LC LOGISTICS</t>
        </is>
      </c>
      <c r="C41" s="207" t="n">
        <v>45194</v>
      </c>
      <c r="D41" s="210" t="n">
        <v>5.1</v>
      </c>
      <c r="E41" s="194" t="n">
        <v>-0.58</v>
      </c>
      <c r="F41" s="54">
        <f>BDH("2490 HK Equity","PX_LAST",$C41,$C41)</f>
        <v/>
      </c>
      <c r="G41" s="24">
        <f>IF(NOT(ISNUMBER($F41)),"Awaiting quote",IF(ABS($F41/($D41/2.0)-1)&lt;0.005,"MATCH","CHECK: BBG "&amp;TEXT($F41,"0.000")))</f>
        <v/>
      </c>
      <c r="H41" s="195" t="inlineStr">
        <is>
          <t>AAStocks listing date (was 2023-09-23); close from the local session list; Bloomberg basis = raw / 2</t>
        </is>
      </c>
    </row>
    <row r="42" ht="23" customHeight="1">
      <c r="A42" s="206" t="inlineStr">
        <is>
          <t>0666</t>
        </is>
      </c>
      <c r="B42" s="32" t="inlineStr">
        <is>
          <t>REPT BATTERO</t>
        </is>
      </c>
      <c r="C42" s="207" t="n">
        <v>45278</v>
      </c>
      <c r="D42" s="210" t="n">
        <v>18.779</v>
      </c>
      <c r="E42" s="194" t="n">
        <v>2.62</v>
      </c>
      <c r="F42" s="54">
        <f>BDH("666 HK Equity","PX_LAST",$C42,$C42)</f>
        <v/>
      </c>
      <c r="G42" s="24">
        <f>IF(NOT(ISNUMBER($F42)),"Awaiting quote",IF(ABS($F42/($D42)-1)&lt;0.005,"MATCH","CHECK: BBG "&amp;TEXT($F42,"0.000")))</f>
        <v/>
      </c>
      <c r="H42" s="195" t="inlineStr">
        <is>
          <t>AAStocks listing date (was 2023-12-16); close from the local session list</t>
        </is>
      </c>
    </row>
    <row r="43" ht="23" customHeight="1">
      <c r="A43" s="206" t="inlineStr">
        <is>
          <t>2556</t>
        </is>
      </c>
      <c r="B43" s="32" t="inlineStr">
        <is>
          <t>MARKETINGFORCE</t>
        </is>
      </c>
      <c r="C43" s="207" t="n">
        <v>45428</v>
      </c>
      <c r="D43" s="210" t="n">
        <v>51.649</v>
      </c>
      <c r="E43" s="194" t="n">
        <v>18.46</v>
      </c>
      <c r="F43" s="54">
        <f>BDH("2556 HK Equity","PX_LAST",$C43,$C43)</f>
        <v/>
      </c>
      <c r="G43" s="24">
        <f>IF(NOT(ISNUMBER($F43)),"Awaiting quote",IF(ABS($F43/($D43)-1)&lt;0.005,"MATCH","CHECK: BBG "&amp;TEXT($F43,"0.000")))</f>
        <v/>
      </c>
      <c r="H43" s="195" t="inlineStr">
        <is>
          <t>AAStocks listing date (was 2024-05-15); close from the local session list</t>
        </is>
      </c>
    </row>
    <row r="44" ht="23" customHeight="1">
      <c r="A44" s="206" t="inlineStr">
        <is>
          <t>0917</t>
        </is>
      </c>
      <c r="B44" s="32" t="inlineStr">
        <is>
          <t>QUNABOX GROUP</t>
        </is>
      </c>
      <c r="C44" s="207" t="n">
        <v>45439</v>
      </c>
      <c r="D44" s="210" t="n">
        <v>35</v>
      </c>
      <c r="E44" s="194" t="n">
        <v>40</v>
      </c>
      <c r="F44" s="54">
        <f>BDH("917 HK Equity","PX_LAST",$C44,$C44)</f>
        <v/>
      </c>
      <c r="G44" s="24">
        <f>IF(NOT(ISNUMBER($F44)),"Awaiting quote",IF(ABS($F44/($D44)-1)&lt;0.005,"MATCH","CHECK: BBG "&amp;TEXT($F44,"0.000")))</f>
        <v/>
      </c>
      <c r="H44" s="195" t="inlineStr">
        <is>
          <t>AAStocks listing date (was 2024-05-25); close from the local session list</t>
        </is>
      </c>
    </row>
    <row r="45" ht="23" customHeight="1">
      <c r="A45" s="206" t="inlineStr">
        <is>
          <t>2531</t>
        </is>
      </c>
      <c r="B45" s="32" t="inlineStr">
        <is>
          <t>CARLINK TECH</t>
        </is>
      </c>
      <c r="C45" s="207" t="n">
        <v>45488</v>
      </c>
      <c r="D45" s="210" t="n">
        <v>4.8</v>
      </c>
      <c r="E45" s="194" t="n">
        <v>2.13</v>
      </c>
      <c r="F45" s="54">
        <f>BDH("2531 HK Equity","PX_LAST",$C45,$C45)</f>
        <v/>
      </c>
      <c r="G45" s="24">
        <f>IF(NOT(ISNUMBER($F45)),"Awaiting quote",IF(ABS($F45/($D45)-1)&lt;0.005,"MATCH","CHECK: BBG "&amp;TEXT($F45,"0.000")))</f>
        <v/>
      </c>
      <c r="H45" s="195" t="inlineStr">
        <is>
          <t>AAStocks listing date (was 2024-07-13); close from the local session list</t>
        </is>
      </c>
    </row>
    <row r="46" ht="23" customHeight="1">
      <c r="A46" s="206" t="inlineStr">
        <is>
          <t>2549</t>
        </is>
      </c>
      <c r="B46" s="32" t="inlineStr">
        <is>
          <t>CAROTE LTD</t>
        </is>
      </c>
      <c r="C46" s="207" t="n">
        <v>45567</v>
      </c>
      <c r="D46" s="210" t="n">
        <v>9.15</v>
      </c>
      <c r="E46" s="194" t="n">
        <v>58.3</v>
      </c>
      <c r="F46" s="54">
        <f>BDH("2549 HK Equity","PX_LAST",$C46,$C46)</f>
        <v/>
      </c>
      <c r="G46" s="24">
        <f>IF(NOT(ISNUMBER($F46)),"Awaiting quote",IF(ABS($F46/($D46)-1)&lt;0.005,"MATCH","CHECK: BBG "&amp;TEXT($F46,"0.000")))</f>
        <v/>
      </c>
      <c r="H46" s="195" t="inlineStr">
        <is>
          <t>AAStocks listing date (was 2024-10-01); close from the local session list</t>
        </is>
      </c>
    </row>
    <row r="47" ht="23" customHeight="1">
      <c r="A47" s="206" t="inlineStr">
        <is>
          <t>2432</t>
        </is>
      </c>
      <c r="B47" s="32" t="inlineStr">
        <is>
          <t>DOBOT</t>
        </is>
      </c>
      <c r="C47" s="207" t="n">
        <v>45649</v>
      </c>
      <c r="D47" s="210" t="n">
        <v>18.939</v>
      </c>
      <c r="E47" s="194" t="n">
        <v>0.74</v>
      </c>
      <c r="F47" s="54">
        <f>BDH("2432 HK Equity","PX_LAST",$C47,$C47)</f>
        <v/>
      </c>
      <c r="G47" s="24">
        <f>IF(NOT(ISNUMBER($F47)),"Awaiting quote",IF(ABS($F47/($D47)-1)&lt;0.005,"MATCH","CHECK: BBG "&amp;TEXT($F47,"0.000")))</f>
        <v/>
      </c>
      <c r="H47" s="195" t="inlineStr">
        <is>
          <t>AAStocks listing date (was 2024-12-21); close from the local session list</t>
        </is>
      </c>
    </row>
    <row r="48" ht="23" customHeight="1">
      <c r="A48" s="206" t="inlineStr">
        <is>
          <t>2431</t>
        </is>
      </c>
      <c r="B48" s="32" t="inlineStr">
        <is>
          <t>MINIEYE</t>
        </is>
      </c>
      <c r="C48" s="207" t="n">
        <v>45653</v>
      </c>
      <c r="D48" s="210" t="n">
        <v>19.4</v>
      </c>
      <c r="E48" s="194" t="n">
        <v>14.12</v>
      </c>
      <c r="F48" s="54">
        <f>BDH("2431 HK Equity","PX_LAST",$C48,$C48)</f>
        <v/>
      </c>
      <c r="G48" s="24">
        <f>IF(NOT(ISNUMBER($F48)),"Awaiting quote",IF(ABS($F48/($D48)-1)&lt;0.005,"MATCH","CHECK: BBG "&amp;TEXT($F48,"0.000")))</f>
        <v/>
      </c>
      <c r="H48" s="195" t="inlineStr">
        <is>
          <t>AAStocks listing date (was 2024-12-25); close from the local session list</t>
        </is>
      </c>
    </row>
    <row r="49" ht="23" customHeight="1">
      <c r="A49" s="206" t="inlineStr">
        <is>
          <t>2587</t>
        </is>
      </c>
      <c r="B49" s="32" t="inlineStr">
        <is>
          <t>HEALTHYWAY INC</t>
        </is>
      </c>
      <c r="C49" s="207" t="n">
        <v>45656</v>
      </c>
      <c r="D49" s="210" t="n">
        <v>10.66</v>
      </c>
      <c r="E49" s="194" t="n">
        <v>36.67</v>
      </c>
      <c r="F49" s="54">
        <f>BDH("2587 HK Equity","PX_LAST",$C49,$C49)</f>
        <v/>
      </c>
      <c r="G49" s="24">
        <f>IF(NOT(ISNUMBER($F49)),"Awaiting quote",IF(ABS($F49/($D49)-1)&lt;0.005,"MATCH","CHECK: BBG "&amp;TEXT($F49,"0.000")))</f>
        <v/>
      </c>
      <c r="H49" s="195" t="inlineStr">
        <is>
          <t>AAStocks listing date (was 2024-12-28); close from the local session list</t>
        </is>
      </c>
    </row>
    <row r="50" ht="23" customHeight="1">
      <c r="A50" s="206" t="inlineStr">
        <is>
          <t>2577</t>
        </is>
      </c>
      <c r="B50" s="32" t="inlineStr">
        <is>
          <t>INNOSCIENCE</t>
        </is>
      </c>
      <c r="C50" s="207" t="n">
        <v>45656</v>
      </c>
      <c r="D50" s="210" t="n">
        <v>30.999</v>
      </c>
      <c r="E50" s="194" t="n">
        <v>0.45</v>
      </c>
      <c r="F50" s="54">
        <f>BDH("2577 HK Equity","PX_LAST",$C50,$C50)</f>
        <v/>
      </c>
      <c r="G50" s="24">
        <f>IF(NOT(ISNUMBER($F50)),"Awaiting quote",IF(ABS($F50/($D50)-1)&lt;0.005,"MATCH","CHECK: BBG "&amp;TEXT($F50,"0.000")))</f>
        <v/>
      </c>
      <c r="H50" s="195" t="inlineStr">
        <is>
          <t>AAStocks listing date (was 2024-12-28); close from the local session list</t>
        </is>
      </c>
    </row>
    <row r="51" ht="23" customHeight="1">
      <c r="A51" s="206" t="inlineStr">
        <is>
          <t>2506</t>
        </is>
      </c>
      <c r="B51" s="32" t="inlineStr">
        <is>
          <t>XUNFEIHEALTH</t>
        </is>
      </c>
      <c r="C51" s="207" t="n">
        <v>45656</v>
      </c>
      <c r="D51" s="210" t="n">
        <v>86.998</v>
      </c>
      <c r="E51" s="194" t="n">
        <v>5.07</v>
      </c>
      <c r="F51" s="54">
        <f>BDH("2506 HK Equity","PX_LAST",$C51,$C51)</f>
        <v/>
      </c>
      <c r="G51" s="24">
        <f>IF(NOT(ISNUMBER($F51)),"Awaiting quote",IF(ABS($F51/($D51)-1)&lt;0.005,"MATCH","CHECK: BBG "&amp;TEXT($F51,"0.000")))</f>
        <v/>
      </c>
      <c r="H51" s="195" t="inlineStr">
        <is>
          <t>AAStocks listing date (was 2024-12-28); close from the local session list</t>
        </is>
      </c>
    </row>
    <row r="52" ht="23" customHeight="1">
      <c r="A52" s="206" t="inlineStr">
        <is>
          <t>2596</t>
        </is>
      </c>
      <c r="B52" s="32" t="inlineStr">
        <is>
          <t>YIBIN BANK</t>
        </is>
      </c>
      <c r="C52" s="207" t="n">
        <v>45670</v>
      </c>
      <c r="D52" s="210" t="n">
        <v>2.61</v>
      </c>
      <c r="E52" s="194" t="n">
        <v>0.77</v>
      </c>
      <c r="F52" s="54">
        <f>BDH("2596 HK Equity","PX_LAST",$C52,$C52)</f>
        <v/>
      </c>
      <c r="G52" s="24">
        <f>IF(NOT(ISNUMBER($F52)),"Awaiting quote",IF(ABS($F52/($D52)-1)&lt;0.005,"MATCH","CHECK: BBG "&amp;TEXT($F52,"0.000")))</f>
        <v/>
      </c>
      <c r="H52" s="195" t="inlineStr">
        <is>
          <t>AAStocks listing date (was 2025-01-11); close from the local session list</t>
        </is>
      </c>
    </row>
    <row r="53" ht="23" customHeight="1">
      <c r="A53" s="206" t="inlineStr">
        <is>
          <t>2097</t>
        </is>
      </c>
      <c r="B53" s="32" t="inlineStr">
        <is>
          <t>MIXUE GROUP</t>
        </is>
      </c>
      <c r="C53" s="207" t="n">
        <v>45719</v>
      </c>
      <c r="D53" s="210" t="n">
        <v>290</v>
      </c>
      <c r="E53" s="194" t="n">
        <v>43.21</v>
      </c>
      <c r="F53" s="54">
        <f>BDH("2097 HK Equity","PX_LAST",$C53,$C53)</f>
        <v/>
      </c>
      <c r="G53" s="24">
        <f>IF(NOT(ISNUMBER($F53)),"Awaiting quote",IF(ABS($F53/($D53)-1)&lt;0.005,"MATCH","CHECK: BBG "&amp;TEXT($F53,"0.000")))</f>
        <v/>
      </c>
      <c r="H53" s="195" t="inlineStr">
        <is>
          <t>AAStocks listing date (was 2025-03-01); close from the local session list</t>
        </is>
      </c>
    </row>
    <row r="54" ht="23" customHeight="1">
      <c r="A54" s="206" t="inlineStr">
        <is>
          <t>6693</t>
        </is>
      </c>
      <c r="B54" s="32" t="inlineStr">
        <is>
          <t>CHIFENG GOLD</t>
        </is>
      </c>
      <c r="C54" s="207" t="n">
        <v>45726</v>
      </c>
      <c r="D54" s="210" t="n">
        <v>13.72</v>
      </c>
      <c r="E54" s="194" t="n">
        <v>0</v>
      </c>
      <c r="F54" s="54">
        <f>BDH("6693 HK Equity","PX_LAST",$C54,$C54)</f>
        <v/>
      </c>
      <c r="G54" s="24">
        <f>IF(NOT(ISNUMBER($F54)),"Awaiting quote",IF(ABS($F54/($D54)-1)&lt;0.005,"MATCH","CHECK: BBG "&amp;TEXT($F54,"0.000")))</f>
        <v/>
      </c>
      <c r="H54" s="195" t="inlineStr">
        <is>
          <t>AAStocks listing date (was 2025-03-08); close from the local session list</t>
        </is>
      </c>
    </row>
    <row r="55" ht="23" customHeight="1">
      <c r="A55" s="206" t="inlineStr">
        <is>
          <t>2625</t>
        </is>
      </c>
      <c r="B55" s="32" t="inlineStr">
        <is>
          <t>JIANGSU HORIZON</t>
        </is>
      </c>
      <c r="C55" s="207" t="n">
        <v>45747</v>
      </c>
      <c r="D55" s="210" t="n">
        <v>2.5</v>
      </c>
      <c r="E55" s="194" t="n">
        <v>0</v>
      </c>
      <c r="F55" s="54">
        <f>BDH("2625 HK Equity","PX_LAST",$C55,$C55)</f>
        <v/>
      </c>
      <c r="G55" s="24">
        <f>IF(NOT(ISNUMBER($F55)),"Awaiting quote",IF(ABS($F55/($D55)-1)&lt;0.005,"MATCH","CHECK: BBG "&amp;TEXT($F55,"0.000")))</f>
        <v/>
      </c>
      <c r="H55" s="195" t="inlineStr">
        <is>
          <t>AAStocks listing date (was 2025-03-29); close from the local session list</t>
        </is>
      </c>
    </row>
    <row r="56" ht="23" customHeight="1">
      <c r="A56" s="206" t="inlineStr">
        <is>
          <t>3677</t>
        </is>
      </c>
      <c r="B56" s="32" t="inlineStr">
        <is>
          <t>ZENERGY</t>
        </is>
      </c>
      <c r="C56" s="207" t="n">
        <v>45761</v>
      </c>
      <c r="D56" s="210" t="n">
        <v>8.390000000000001</v>
      </c>
      <c r="E56" s="194" t="n">
        <v>1.45</v>
      </c>
      <c r="F56" s="54">
        <f>BDH("3677 HK Equity","PX_LAST",$C56,$C56)</f>
        <v/>
      </c>
      <c r="G56" s="24">
        <f>IF(NOT(ISNUMBER($F56)),"Awaiting quote",IF(ABS($F56/($D56)-1)&lt;0.005,"MATCH","CHECK: BBG "&amp;TEXT($F56,"0.000")))</f>
        <v/>
      </c>
      <c r="H56" s="195" t="inlineStr">
        <is>
          <t>AAStocks listing date (was 2025-04-12); close from the local session list</t>
        </is>
      </c>
    </row>
    <row r="57" ht="23" customHeight="1">
      <c r="A57" s="206" t="inlineStr">
        <is>
          <t>2609</t>
        </is>
      </c>
      <c r="B57" s="32" t="inlineStr">
        <is>
          <t>BAYZED HEALTH</t>
        </is>
      </c>
      <c r="C57" s="207" t="n">
        <v>45831</v>
      </c>
      <c r="D57" s="210" t="n">
        <v>6</v>
      </c>
      <c r="E57" s="194" t="n">
        <v>42.18</v>
      </c>
      <c r="F57" s="54">
        <f>BDH("2609 HK Equity","PX_LAST",$C57,$C57)</f>
        <v/>
      </c>
      <c r="G57" s="24">
        <f>IF(NOT(ISNUMBER($F57)),"Awaiting quote",IF(ABS($F57/($D57)-1)&lt;0.005,"MATCH","CHECK: BBG "&amp;TEXT($F57,"0.000")))</f>
        <v/>
      </c>
      <c r="H57" s="195" t="inlineStr">
        <is>
          <t>AAStocks listing date (was 2025-06-21); close from the local session list</t>
        </is>
      </c>
    </row>
    <row r="58" ht="23" customHeight="1">
      <c r="A58" s="206" t="inlineStr">
        <is>
          <t>2050</t>
        </is>
      </c>
      <c r="B58" s="32" t="inlineStr">
        <is>
          <t>SANHUA</t>
        </is>
      </c>
      <c r="C58" s="207" t="n">
        <v>45831</v>
      </c>
      <c r="D58" s="210" t="n">
        <v>22.501</v>
      </c>
      <c r="E58" s="194" t="n">
        <v>-0.13</v>
      </c>
      <c r="F58" s="54">
        <f>BDH("2050 HK Equity","PX_LAST",$C58,$C58)</f>
        <v/>
      </c>
      <c r="G58" s="24">
        <f>IF(NOT(ISNUMBER($F58)),"Awaiting quote",IF(ABS($F58/($D58)-1)&lt;0.005,"MATCH","CHECK: BBG "&amp;TEXT($F58,"0.000")))</f>
        <v/>
      </c>
      <c r="H58" s="195" t="inlineStr">
        <is>
          <t>AAStocks listing date (was 2025-06-21); close from the local session list</t>
        </is>
      </c>
    </row>
    <row r="59" ht="23" customHeight="1">
      <c r="A59" s="206" t="inlineStr">
        <is>
          <t>2617</t>
        </is>
      </c>
      <c r="B59" s="32" t="inlineStr">
        <is>
          <t>TRANSTHERA-B</t>
        </is>
      </c>
      <c r="C59" s="207" t="n">
        <v>45831</v>
      </c>
      <c r="D59" s="210" t="n">
        <v>23.5</v>
      </c>
      <c r="E59" s="194" t="n">
        <v>78.70999999999999</v>
      </c>
      <c r="F59" s="54">
        <f>BDH("2617 HK Equity","PX_LAST",$C59,$C59)</f>
        <v/>
      </c>
      <c r="G59" s="24">
        <f>IF(NOT(ISNUMBER($F59)),"Awaiting quote",IF(ABS($F59/($D59)-1)&lt;0.005,"MATCH","CHECK: BBG "&amp;TEXT($F59,"0.000")))</f>
        <v/>
      </c>
      <c r="H59" s="195" t="inlineStr">
        <is>
          <t>AAStocks listing date (was 2025-06-21); close from the local session list</t>
        </is>
      </c>
    </row>
    <row r="60" ht="23" customHeight="1">
      <c r="A60" s="206" t="inlineStr">
        <is>
          <t>6883</t>
        </is>
      </c>
      <c r="B60" s="32" t="inlineStr">
        <is>
          <t>ETERNAL BEAUTY</t>
        </is>
      </c>
      <c r="C60" s="207" t="n">
        <v>45834</v>
      </c>
      <c r="D60" s="210" t="n">
        <v>2.4</v>
      </c>
      <c r="E60" s="194" t="n">
        <v>-16.67</v>
      </c>
      <c r="F60" s="54">
        <f>BDH("6883 HK Equity","PX_LAST",$C60,$C60)</f>
        <v/>
      </c>
      <c r="G60" s="24">
        <f>IF(NOT(ISNUMBER($F60)),"Awaiting quote",IF(ABS($F60/($D60)-1)&lt;0.005,"MATCH","CHECK: BBG "&amp;TEXT($F60,"0.000")))</f>
        <v/>
      </c>
      <c r="H60" s="195" t="inlineStr">
        <is>
          <t>AAStocks listing date (was 2025-06-27); close from the local session list</t>
        </is>
      </c>
    </row>
    <row r="61" ht="23" customHeight="1">
      <c r="A61" s="206" t="inlineStr">
        <is>
          <t>9678</t>
        </is>
      </c>
      <c r="B61" s="32" t="inlineStr">
        <is>
          <t>UNISOUND</t>
        </is>
      </c>
      <c r="C61" s="207" t="n">
        <v>45838</v>
      </c>
      <c r="D61" s="210" t="n">
        <v>296.409</v>
      </c>
      <c r="E61" s="194" t="n">
        <v>44.59</v>
      </c>
      <c r="F61" s="54">
        <f>BDH("9678 HK Equity","PX_LAST",$C61,$C61)</f>
        <v/>
      </c>
      <c r="G61" s="24">
        <f>IF(NOT(ISNUMBER($F61)),"Awaiting quote",IF(ABS($F61/($D61)-1)&lt;0.005,"MATCH","CHECK: BBG "&amp;TEXT($F61,"0.000")))</f>
        <v/>
      </c>
      <c r="H61" s="195" t="inlineStr">
        <is>
          <t>AAStocks listing date (was 2025-06-28); close from the local session list</t>
        </is>
      </c>
    </row>
    <row r="62" ht="23" customHeight="1">
      <c r="A62" s="206" t="inlineStr">
        <is>
          <t>3880</t>
        </is>
      </c>
      <c r="B62" s="32" t="inlineStr">
        <is>
          <t>MEDTIDE</t>
        </is>
      </c>
      <c r="C62" s="207" t="n">
        <v>45838</v>
      </c>
      <c r="D62" s="210" t="n">
        <v>30.799</v>
      </c>
      <c r="E62" s="194" t="n">
        <v>0.65</v>
      </c>
      <c r="F62" s="54">
        <f>BDH("3880 HK Equity","PX_LAST",$C62,$C62)</f>
        <v/>
      </c>
      <c r="G62" s="24">
        <f>IF(NOT(ISNUMBER($F62)),"Awaiting quote",IF(ABS($F62/($D62)-1)&lt;0.005,"MATCH","CHECK: BBG "&amp;TEXT($F62,"0.000")))</f>
        <v/>
      </c>
      <c r="H62" s="195" t="inlineStr">
        <is>
          <t>AAStocks listing date (was 2025-06-28); close from the local session list</t>
        </is>
      </c>
    </row>
    <row r="63" ht="23" customHeight="1">
      <c r="A63" s="206" t="inlineStr">
        <is>
          <t>6603</t>
        </is>
      </c>
      <c r="B63" s="32" t="inlineStr">
        <is>
          <t>IFBH</t>
        </is>
      </c>
      <c r="C63" s="207" t="n">
        <v>45838</v>
      </c>
      <c r="D63" s="210" t="n">
        <v>39.501</v>
      </c>
      <c r="E63" s="194" t="n">
        <v>42.09</v>
      </c>
      <c r="F63" s="54">
        <f>BDH("6603 HK Equity","PX_LAST",$C63,$C63)</f>
        <v/>
      </c>
      <c r="G63" s="24">
        <f>IF(NOT(ISNUMBER($F63)),"Awaiting quote",IF(ABS($F63/($D63)-1)&lt;0.005,"MATCH","CHECK: BBG "&amp;TEXT($F63,"0.000")))</f>
        <v/>
      </c>
      <c r="H63" s="195" t="inlineStr">
        <is>
          <t>AAStocks listing date (was 2025-06-28); close from the local session list</t>
        </is>
      </c>
    </row>
    <row r="64" ht="23" customHeight="1">
      <c r="A64" s="206" t="inlineStr">
        <is>
          <t>1828</t>
        </is>
      </c>
      <c r="B64" s="32" t="inlineStr">
        <is>
          <t>FWD</t>
        </is>
      </c>
      <c r="C64" s="207" t="n">
        <v>45845</v>
      </c>
      <c r="D64" s="210" t="n">
        <v>38.399</v>
      </c>
      <c r="E64" s="194" t="n">
        <v>1.05</v>
      </c>
      <c r="F64" s="54">
        <f>BDH("1828 HK Equity","PX_LAST",$C64,$C64)</f>
        <v/>
      </c>
      <c r="G64" s="24">
        <f>IF(NOT(ISNUMBER($F64)),"Awaiting quote",IF(ABS($F64/($D64)-1)&lt;0.005,"MATCH","CHECK: BBG "&amp;TEXT($F64,"0.000")))</f>
        <v/>
      </c>
      <c r="H64" s="195" t="inlineStr">
        <is>
          <t>AAStocks listing date (was 2025-07-05); close from the local session list</t>
        </is>
      </c>
    </row>
    <row r="65" ht="23" customHeight="1">
      <c r="A65" s="206" t="inlineStr">
        <is>
          <t>2627</t>
        </is>
      </c>
      <c r="B65" s="32" t="inlineStr">
        <is>
          <t>AB&amp;B BIO-TECH-B</t>
        </is>
      </c>
      <c r="C65" s="207" t="n">
        <v>45880</v>
      </c>
      <c r="D65" s="210" t="n">
        <v>33.279</v>
      </c>
      <c r="E65" s="194" t="n">
        <v>157.98</v>
      </c>
      <c r="F65" s="54">
        <f>BDH("2627 HK Equity","PX_LAST",$C65,$C65)</f>
        <v/>
      </c>
      <c r="G65" s="24">
        <f>IF(NOT(ISNUMBER($F65)),"Awaiting quote",IF(ABS($F65/($D65)-1)&lt;0.005,"MATCH","CHECK: BBG "&amp;TEXT($F65,"0.000")))</f>
        <v/>
      </c>
      <c r="H65" s="195" t="inlineStr">
        <is>
          <t>AAStocks listing date (was 2025-08-09); close from the local session list</t>
        </is>
      </c>
    </row>
    <row r="66" ht="23" customHeight="1">
      <c r="A66" s="206" t="inlineStr">
        <is>
          <t>2652</t>
        </is>
      </c>
      <c r="B66" s="32" t="inlineStr">
        <is>
          <t>CF PHARMTECH</t>
        </is>
      </c>
      <c r="C66" s="207" t="n">
        <v>45938</v>
      </c>
      <c r="D66" s="210" t="n">
        <v>38.5</v>
      </c>
      <c r="E66" s="194" t="n">
        <v>161.02</v>
      </c>
      <c r="F66" s="54">
        <f>BDH("2652 HK Equity","PX_LAST",$C66,$C66)</f>
        <v/>
      </c>
      <c r="G66" s="24">
        <f>IF(NOT(ISNUMBER($F66)),"Awaiting quote",IF(ABS($F66/($D66)-1)&lt;0.005,"MATCH","CHECK: BBG "&amp;TEXT($F66,"0.000")))</f>
        <v/>
      </c>
      <c r="H66" s="195" t="inlineStr">
        <is>
          <t>AAStocks listing date (was 2025-10-07); close from the local session list</t>
        </is>
      </c>
    </row>
    <row r="67" ht="23" customHeight="1">
      <c r="A67" s="206" t="inlineStr">
        <is>
          <t>2637</t>
        </is>
      </c>
      <c r="B67" s="32" t="inlineStr">
        <is>
          <t>HAIXI PHARMA</t>
        </is>
      </c>
      <c r="C67" s="207" t="n">
        <v>45950</v>
      </c>
      <c r="D67" s="210" t="n">
        <v>104.198</v>
      </c>
      <c r="E67" s="194" t="n">
        <v>20.6</v>
      </c>
      <c r="F67" s="54">
        <f>BDH("2637 HK Equity","PX_LAST",$C67,$C67)</f>
        <v/>
      </c>
      <c r="G67" s="24">
        <f>IF(NOT(ISNUMBER($F67)),"Awaiting quote",IF(ABS($F67/($D67)-1)&lt;0.005,"MATCH","CHECK: BBG "&amp;TEXT($F67,"0.000")))</f>
        <v/>
      </c>
      <c r="H67" s="195" t="inlineStr">
        <is>
          <t>AAStocks listing date (was 2025-10-18); close from the local session list</t>
        </is>
      </c>
    </row>
    <row r="68" ht="23" customHeight="1">
      <c r="A68" s="206" t="inlineStr">
        <is>
          <t>2718</t>
        </is>
      </c>
      <c r="B68" s="32" t="inlineStr">
        <is>
          <t>MININGLAMP-W</t>
        </is>
      </c>
      <c r="C68" s="207" t="n">
        <v>45964</v>
      </c>
      <c r="D68" s="210" t="n">
        <v>290.601</v>
      </c>
      <c r="E68" s="194" t="n">
        <v>106.1</v>
      </c>
      <c r="F68" s="54">
        <f>BDH("2718 HK Equity","PX_LAST",$C68,$C68)</f>
        <v/>
      </c>
      <c r="G68" s="24">
        <f>IF(NOT(ISNUMBER($F68)),"Awaiting quote",IF(ABS($F68/($D68)-1)&lt;0.005,"MATCH","CHECK: BBG "&amp;TEXT($F68,"0.000")))</f>
        <v/>
      </c>
      <c r="H68" s="195" t="inlineStr">
        <is>
          <t>AAStocks listing date (was 2025-11-01); close from the local session list</t>
        </is>
      </c>
    </row>
    <row r="69" ht="23" customHeight="1">
      <c r="A69" s="206" t="inlineStr">
        <is>
          <t>2698</t>
        </is>
      </c>
      <c r="B69" s="32" t="inlineStr">
        <is>
          <t>SOFTCARE</t>
        </is>
      </c>
      <c r="C69" s="207" t="n">
        <v>45971</v>
      </c>
      <c r="D69" s="210" t="n">
        <v>32.999</v>
      </c>
      <c r="E69" s="194" t="n">
        <v>25.95</v>
      </c>
      <c r="F69" s="54">
        <f>BDH("2698 HK Equity","PX_LAST",$C69,$C69)</f>
        <v/>
      </c>
      <c r="G69" s="24">
        <f>IF(NOT(ISNUMBER($F69)),"Awaiting quote",IF(ABS($F69/($D69)-1)&lt;0.005,"MATCH","CHECK: BBG "&amp;TEXT($F69,"0.000")))</f>
        <v/>
      </c>
      <c r="H69" s="195" t="inlineStr">
        <is>
          <t>AAStocks listing date (was 2025-11-08); close from the local session list</t>
        </is>
      </c>
    </row>
    <row r="70" ht="23" customHeight="1">
      <c r="A70" s="206" t="inlineStr">
        <is>
          <t>2788</t>
        </is>
      </c>
      <c r="B70" s="32" t="inlineStr">
        <is>
          <t>CHUANGXIN IND</t>
        </is>
      </c>
      <c r="C70" s="207" t="n">
        <v>45985</v>
      </c>
      <c r="D70" s="210" t="n">
        <v>14.59</v>
      </c>
      <c r="E70" s="194" t="n">
        <v>32.76</v>
      </c>
      <c r="F70" s="54">
        <f>BDH("2788 HK Equity","PX_LAST",$C70,$C70)</f>
        <v/>
      </c>
      <c r="G70" s="24">
        <f>IF(NOT(ISNUMBER($F70)),"Awaiting quote",IF(ABS($F70/($D70)-1)&lt;0.005,"MATCH","CHECK: BBG "&amp;TEXT($F70,"0.000")))</f>
        <v/>
      </c>
      <c r="H70" s="195" t="inlineStr">
        <is>
          <t>AAStocks listing date (was 2025-11-22); close from the local session list</t>
        </is>
      </c>
    </row>
    <row r="71" ht="23" customHeight="1">
      <c r="A71" s="206" t="inlineStr">
        <is>
          <t>2676</t>
        </is>
      </c>
      <c r="B71" s="32" t="inlineStr">
        <is>
          <t>NOVOSENSE</t>
        </is>
      </c>
      <c r="C71" s="207" t="n">
        <v>45999</v>
      </c>
      <c r="D71" s="210" t="n">
        <v>111</v>
      </c>
      <c r="E71" s="194" t="n">
        <v>-4.31</v>
      </c>
      <c r="F71" s="54">
        <f>BDH("2676 HK Equity","PX_LAST",$C71,$C71)</f>
        <v/>
      </c>
      <c r="G71" s="24">
        <f>IF(NOT(ISNUMBER($F71)),"Awaiting quote",IF(ABS($F71/($D71)-1)&lt;0.005,"MATCH","CHECK: BBG "&amp;TEXT($F71,"0.000")))</f>
        <v/>
      </c>
      <c r="H71" s="195" t="inlineStr">
        <is>
          <t>AAStocks listing date (was 2025-12-06); close from the local session list</t>
        </is>
      </c>
    </row>
    <row r="72" ht="23" customHeight="1">
      <c r="A72" s="206" t="inlineStr">
        <is>
          <t>2687</t>
        </is>
      </c>
      <c r="B72" s="32" t="inlineStr">
        <is>
          <t>ABLE DIGITAL</t>
        </is>
      </c>
      <c r="C72" s="207" t="n">
        <v>45999</v>
      </c>
      <c r="D72" s="210" t="n">
        <v>126.401</v>
      </c>
      <c r="E72" s="194" t="n">
        <v>87.26000000000001</v>
      </c>
      <c r="F72" s="54">
        <f>BDH("2687 HK Equity","PX_LAST",$C72,$C72)</f>
        <v/>
      </c>
      <c r="G72" s="24">
        <f>IF(NOT(ISNUMBER($F72)),"Awaiting quote",IF(ABS($F72/($D72)-1)&lt;0.005,"MATCH","CHECK: BBG "&amp;TEXT($F72,"0.000")))</f>
        <v/>
      </c>
      <c r="H72" s="195" t="inlineStr">
        <is>
          <t>AAStocks listing date (was 2025-12-06); close from the local session list</t>
        </is>
      </c>
    </row>
    <row r="73" ht="23" customHeight="1">
      <c r="A73" s="206" t="inlineStr">
        <is>
          <t>2695</t>
        </is>
      </c>
      <c r="B73" s="32" t="inlineStr">
        <is>
          <t>IMPRESSION DHP</t>
        </is>
      </c>
      <c r="C73" s="207" t="n">
        <v>46013</v>
      </c>
      <c r="D73" s="210" t="n">
        <v>2.33</v>
      </c>
      <c r="E73" s="194" t="n">
        <v>-35.28</v>
      </c>
      <c r="F73" s="54">
        <f>BDH("2695 HK Equity","PX_LAST",$C73,$C73)</f>
        <v/>
      </c>
      <c r="G73" s="24">
        <f>IF(NOT(ISNUMBER($F73)),"Awaiting quote",IF(ABS($F73/($D73)-1)&lt;0.005,"MATCH","CHECK: BBG "&amp;TEXT($F73,"0.000")))</f>
        <v/>
      </c>
      <c r="H73" s="195" t="inlineStr">
        <is>
          <t>AAStocks listing date (was 2025-12-20); close from the local session list</t>
        </is>
      </c>
    </row>
    <row r="74" ht="23" customHeight="1">
      <c r="A74" s="206" t="inlineStr">
        <is>
          <t>2396</t>
        </is>
      </c>
      <c r="B74" s="32" t="inlineStr">
        <is>
          <t>B&amp;K CORP-B</t>
        </is>
      </c>
      <c r="C74" s="207" t="n">
        <v>46013</v>
      </c>
      <c r="D74" s="210" t="n">
        <v>27</v>
      </c>
      <c r="E74" s="194" t="n">
        <v>-29.32</v>
      </c>
      <c r="F74" s="54">
        <f>BDH("2396 HK Equity","PX_LAST",$C74,$C74)</f>
        <v/>
      </c>
      <c r="G74" s="24">
        <f>IF(NOT(ISNUMBER($F74)),"Awaiting quote",IF(ABS($F74/($D74)-1)&lt;0.005,"MATCH","CHECK: BBG "&amp;TEXT($F74,"0.000")))</f>
        <v/>
      </c>
      <c r="H74" s="195" t="inlineStr">
        <is>
          <t>AAStocks listing date (was 2025-12-20); close from the local session list</t>
        </is>
      </c>
    </row>
    <row r="75" ht="23" customHeight="1">
      <c r="A75" s="206" t="inlineStr">
        <is>
          <t>2581</t>
        </is>
      </c>
      <c r="B75" s="32" t="inlineStr">
        <is>
          <t>BENQ HOLDING</t>
        </is>
      </c>
      <c r="C75" s="207" t="n">
        <v>46013</v>
      </c>
      <c r="D75" s="210" t="n">
        <v>4.72</v>
      </c>
      <c r="E75" s="194" t="n">
        <v>-49.46</v>
      </c>
      <c r="F75" s="54">
        <f>BDH("2581 HK Equity","PX_LAST",$C75,$C75)</f>
        <v/>
      </c>
      <c r="G75" s="24">
        <f>IF(NOT(ISNUMBER($F75)),"Awaiting quote",IF(ABS($F75/($D75)-1)&lt;0.005,"MATCH","CHECK: BBG "&amp;TEXT($F75,"0.000")))</f>
        <v/>
      </c>
      <c r="H75" s="195" t="inlineStr">
        <is>
          <t>AAStocks listing date (was 2025-12-20); close from the local session list</t>
        </is>
      </c>
    </row>
    <row r="76" ht="23" customHeight="1">
      <c r="A76" s="206" t="inlineStr">
        <is>
          <t>2691</t>
        </is>
      </c>
      <c r="B76" s="32" t="inlineStr">
        <is>
          <t>NANHUA FUTURES</t>
        </is>
      </c>
      <c r="C76" s="207" t="n">
        <v>46013</v>
      </c>
      <c r="D76" s="210" t="n">
        <v>9.1</v>
      </c>
      <c r="E76" s="194" t="n">
        <v>-24.17</v>
      </c>
      <c r="F76" s="54">
        <f>BDH("2691 HK Equity","PX_LAST",$C76,$C76)</f>
        <v/>
      </c>
      <c r="G76" s="24">
        <f>IF(NOT(ISNUMBER($F76)),"Awaiting quote",IF(ABS($F76/($D76/1.45)-1)&lt;0.005,"MATCH","CHECK: BBG "&amp;TEXT($F76,"0.000")))</f>
        <v/>
      </c>
      <c r="H76" s="195" t="inlineStr">
        <is>
          <t>AAStocks listing date (was 2025-12-20); close from the local session list; Bloomberg basis = raw / 1.45</t>
        </is>
      </c>
    </row>
    <row r="77" ht="23" customHeight="1">
      <c r="A77" s="206" t="inlineStr">
        <is>
          <t>6082</t>
        </is>
      </c>
      <c r="B77" s="32" t="inlineStr">
        <is>
          <t>BIREN TECH</t>
        </is>
      </c>
      <c r="C77" s="207" t="n">
        <v>46024</v>
      </c>
      <c r="D77" s="210" t="n">
        <v>34.461</v>
      </c>
      <c r="E77" s="194" t="n">
        <v>75.81999999999999</v>
      </c>
      <c r="F77" s="54">
        <f>BDH("6082 HK Equity","PX_LAST",$C77,$C77)</f>
        <v/>
      </c>
      <c r="G77" s="24">
        <f>IF(NOT(ISNUMBER($F77)),"Awaiting quote",IF(ABS($F77/($D77)-1)&lt;0.005,"MATCH","CHECK: BBG "&amp;TEXT($F77,"0.000")))</f>
        <v/>
      </c>
      <c r="H77" s="195" t="inlineStr">
        <is>
          <t>AAStocks listing date (was 2026-01-01); close from the local session list</t>
        </is>
      </c>
    </row>
    <row r="78" ht="23" customHeight="1">
      <c r="A78" s="206" t="inlineStr">
        <is>
          <t>0501</t>
        </is>
      </c>
      <c r="B78" s="32" t="inlineStr">
        <is>
          <t>OMNIVISION</t>
        </is>
      </c>
      <c r="C78" s="207" t="n">
        <v>46034</v>
      </c>
      <c r="D78" s="210" t="n">
        <v>121.799</v>
      </c>
      <c r="E78" s="194" t="n">
        <v>16.22</v>
      </c>
      <c r="F78" s="54">
        <f>BDH("501 HK Equity","PX_LAST",$C78,$C78)</f>
        <v/>
      </c>
      <c r="G78" s="24">
        <f>IF(NOT(ISNUMBER($F78)),"Awaiting quote",IF(ABS($F78/($D78)-1)&lt;0.005,"MATCH","CHECK: BBG "&amp;TEXT($F78,"0.000")))</f>
        <v/>
      </c>
      <c r="H78" s="195" t="inlineStr">
        <is>
          <t>AAStocks listing date (was 2026-01-10); close from the local session list</t>
        </is>
      </c>
    </row>
    <row r="79" ht="23" customHeight="1">
      <c r="A79" s="206" t="inlineStr">
        <is>
          <t>6809</t>
        </is>
      </c>
      <c r="B79" s="32" t="inlineStr">
        <is>
          <t>MONTAGE TECH</t>
        </is>
      </c>
      <c r="C79" s="207" t="n">
        <v>46062</v>
      </c>
      <c r="D79" s="210" t="n">
        <v>175</v>
      </c>
      <c r="E79" s="194" t="n">
        <v>63.72</v>
      </c>
      <c r="F79" s="54">
        <f>BDH("6809 HK Equity","PX_LAST",$C79,$C79)</f>
        <v/>
      </c>
      <c r="G79" s="24">
        <f>IF(NOT(ISNUMBER($F79)),"Awaiting quote",IF(ABS($F79/($D79)-1)&lt;0.005,"MATCH","CHECK: BBG "&amp;TEXT($F79,"0.000")))</f>
        <v/>
      </c>
      <c r="H79" s="195" t="inlineStr">
        <is>
          <t>AAStocks listing date (was 2026-02-07); close from the local session list</t>
        </is>
      </c>
    </row>
    <row r="80" ht="23" customHeight="1">
      <c r="A80" s="206" t="inlineStr">
        <is>
          <t>2715</t>
        </is>
      </c>
      <c r="B80" s="32" t="inlineStr">
        <is>
          <t>ESTUN</t>
        </is>
      </c>
      <c r="C80" s="207" t="n">
        <v>46090</v>
      </c>
      <c r="D80" s="210" t="n">
        <v>12.899</v>
      </c>
      <c r="E80" s="194" t="n">
        <v>-16.02</v>
      </c>
      <c r="F80" s="54">
        <f>BDH("2715 HK Equity","PX_LAST",$C80,$C80)</f>
        <v/>
      </c>
      <c r="G80" s="24">
        <f>IF(NOT(ISNUMBER($F80)),"Awaiting quote",IF(ABS($F80/($D80)-1)&lt;0.005,"MATCH","CHECK: BBG "&amp;TEXT($F80,"0.000")))</f>
        <v/>
      </c>
      <c r="H80" s="195" t="inlineStr">
        <is>
          <t>AAStocks listing date (was 2026-03-07); close from the local session list</t>
        </is>
      </c>
    </row>
    <row r="81" ht="23" customHeight="1">
      <c r="A81" s="206" t="inlineStr">
        <is>
          <t>2649</t>
        </is>
      </c>
      <c r="B81" s="32" t="inlineStr">
        <is>
          <t>ALSCO POOLING</t>
        </is>
      </c>
      <c r="C81" s="207" t="n">
        <v>46090</v>
      </c>
      <c r="D81" s="210" t="n">
        <v>6.2</v>
      </c>
      <c r="E81" s="194" t="n">
        <v>-43.64</v>
      </c>
      <c r="F81" s="54">
        <f>BDH("2649 HK Equity","PX_LAST",$C81,$C81)</f>
        <v/>
      </c>
      <c r="G81" s="24">
        <f>IF(NOT(ISNUMBER($F81)),"Awaiting quote",IF(ABS($F81/($D81)-1)&lt;0.005,"MATCH","CHECK: BBG "&amp;TEXT($F81,"0.000")))</f>
        <v/>
      </c>
      <c r="H81" s="195" t="inlineStr">
        <is>
          <t>AAStocks listing date (was 2026-03-07); close from the local session list</t>
        </is>
      </c>
    </row>
    <row r="82" ht="23" customHeight="1">
      <c r="A82" s="206" t="inlineStr">
        <is>
          <t>2692</t>
        </is>
      </c>
      <c r="B82" s="32" t="inlineStr">
        <is>
          <t>ZHAOWEI</t>
        </is>
      </c>
      <c r="C82" s="207" t="n">
        <v>46090</v>
      </c>
      <c r="D82" s="210" t="n">
        <v>72.998</v>
      </c>
      <c r="E82" s="194" t="n">
        <v>2.41</v>
      </c>
      <c r="F82" s="54">
        <f>BDH("2692 HK Equity","PX_LAST",$C82,$C82)</f>
        <v/>
      </c>
      <c r="G82" s="24">
        <f>IF(NOT(ISNUMBER($F82)),"Awaiting quote",IF(ABS($F82/($D82)-1)&lt;0.005,"MATCH","CHECK: BBG "&amp;TEXT($F82,"0.000")))</f>
        <v/>
      </c>
      <c r="H82" s="195" t="inlineStr">
        <is>
          <t>AAStocks listing date (was 2026-03-07); close from the local session list</t>
        </is>
      </c>
    </row>
    <row r="83" ht="23" customHeight="1">
      <c r="A83" s="206" t="inlineStr">
        <is>
          <t>2701</t>
        </is>
      </c>
      <c r="B83" s="32" t="inlineStr">
        <is>
          <t>NSING TECH</t>
        </is>
      </c>
      <c r="C83" s="207" t="n">
        <v>46104</v>
      </c>
      <c r="D83" s="210" t="n">
        <v>11.25</v>
      </c>
      <c r="E83" s="194" t="n">
        <v>4.17</v>
      </c>
      <c r="F83" s="54">
        <f>BDH("2701 HK Equity","PX_LAST",$C83,$C83)</f>
        <v/>
      </c>
      <c r="G83" s="24">
        <f>IF(NOT(ISNUMBER($F83)),"Awaiting quote",IF(ABS($F83/($D83)-1)&lt;0.005,"MATCH","CHECK: BBG "&amp;TEXT($F83,"0.000")))</f>
        <v/>
      </c>
      <c r="H83" s="195" t="inlineStr">
        <is>
          <t>AAStocks listing date (was 2026-03-21); close from the local session list</t>
        </is>
      </c>
    </row>
    <row r="84" ht="23" customHeight="1">
      <c r="A84" s="206" t="inlineStr">
        <is>
          <t>3355</t>
        </is>
      </c>
      <c r="B84" s="32" t="inlineStr">
        <is>
          <t>FS.COM</t>
        </is>
      </c>
      <c r="C84" s="207" t="n">
        <v>46104</v>
      </c>
      <c r="D84" s="210" t="n">
        <v>47.199</v>
      </c>
      <c r="E84" s="194" t="n">
        <v>13.46</v>
      </c>
      <c r="F84" s="54">
        <f>BDH("3355 HK Equity","PX_LAST",$C84,$C84)</f>
        <v/>
      </c>
      <c r="G84" s="24">
        <f>IF(NOT(ISNUMBER($F84)),"Awaiting quote",IF(ABS($F84/($D84)-1)&lt;0.005,"MATCH","CHECK: BBG "&amp;TEXT($F84,"0.000")))</f>
        <v/>
      </c>
      <c r="H84" s="195" t="inlineStr">
        <is>
          <t>AAStocks listing date (was 2026-03-21); close from the local session list</t>
        </is>
      </c>
    </row>
    <row r="85" ht="23" customHeight="1">
      <c r="A85" s="206" t="inlineStr">
        <is>
          <t>2726</t>
        </is>
      </c>
      <c r="B85" s="32" t="inlineStr">
        <is>
          <t>EPIWORLD</t>
        </is>
      </c>
      <c r="C85" s="207" t="n">
        <v>46111</v>
      </c>
      <c r="D85" s="210" t="n">
        <v>102.997</v>
      </c>
      <c r="E85" s="194" t="n">
        <v>35.06</v>
      </c>
      <c r="F85" s="54">
        <f>BDH("2726 HK Equity","PX_LAST",$C85,$C85)</f>
        <v/>
      </c>
      <c r="G85" s="24">
        <f>IF(NOT(ISNUMBER($F85)),"Awaiting quote",IF(ABS($F85/($D85)-1)&lt;0.005,"MATCH","CHECK: BBG "&amp;TEXT($F85,"0.000")))</f>
        <v/>
      </c>
      <c r="H85" s="195" t="inlineStr">
        <is>
          <t>AAStocks listing date (was 2026-03-28); close from the local session list</t>
        </is>
      </c>
    </row>
    <row r="86" ht="23" customHeight="1">
      <c r="A86" s="206" t="inlineStr">
        <is>
          <t>2526</t>
        </is>
      </c>
      <c r="B86" s="32" t="inlineStr">
        <is>
          <t>DIAGENS-B</t>
        </is>
      </c>
      <c r="C86" s="207" t="n">
        <v>46111</v>
      </c>
      <c r="D86" s="210" t="n">
        <v>209.603</v>
      </c>
      <c r="E86" s="194" t="n">
        <v>111.72</v>
      </c>
      <c r="F86" s="54">
        <f>BDH("2526 HK Equity","PX_LAST",$C86,$C86)</f>
        <v/>
      </c>
      <c r="G86" s="24">
        <f>IF(NOT(ISNUMBER($F86)),"Awaiting quote",IF(ABS($F86/($D86)-1)&lt;0.005,"MATCH","CHECK: BBG "&amp;TEXT($F86,"0.000")))</f>
        <v/>
      </c>
      <c r="H86" s="195" t="inlineStr">
        <is>
          <t>AAStocks listing date (was 2026-03-28); close from the local session list</t>
        </is>
      </c>
    </row>
    <row r="87" ht="23" customHeight="1">
      <c r="A87" s="206" t="inlineStr">
        <is>
          <t>6636</t>
        </is>
      </c>
      <c r="B87" s="32" t="inlineStr">
        <is>
          <t>EXTREME VISION</t>
        </is>
      </c>
      <c r="C87" s="207" t="n">
        <v>46111</v>
      </c>
      <c r="D87" s="210" t="n">
        <v>100</v>
      </c>
      <c r="E87" s="194" t="n">
        <v>150</v>
      </c>
      <c r="F87" s="54">
        <f>BDH("6636 HK Equity","PX_LAST",$C87,$C87)</f>
        <v/>
      </c>
      <c r="G87" s="24">
        <f>IF(NOT(ISNUMBER($F87)),"Awaiting quote",IF(ABS($F87/($D87)-1)&lt;0.005,"MATCH","CHECK: BBG "&amp;TEXT($F87,"0.000")))</f>
        <v/>
      </c>
      <c r="H87" s="195" t="inlineStr">
        <is>
          <t>AAStocks listing date (was 2026-03-28); close from the local session list</t>
        </is>
      </c>
    </row>
    <row r="88" ht="23" customHeight="1">
      <c r="A88" s="206" t="inlineStr">
        <is>
          <t>1021</t>
        </is>
      </c>
      <c r="B88" s="32" t="inlineStr">
        <is>
          <t>HUAYAN ROBOTICS</t>
        </is>
      </c>
      <c r="C88" s="207" t="n">
        <v>46111</v>
      </c>
      <c r="D88" s="210" t="n">
        <v>18.401</v>
      </c>
      <c r="E88" s="194" t="n">
        <v>8.24</v>
      </c>
      <c r="F88" s="54">
        <f>BDH("1021 HK Equity","PX_LAST",$C88,$C88)</f>
        <v/>
      </c>
      <c r="G88" s="24">
        <f>IF(NOT(ISNUMBER($F88)),"Awaiting quote",IF(ABS($F88/($D88)-1)&lt;0.005,"MATCH","CHECK: BBG "&amp;TEXT($F88,"0.000")))</f>
        <v/>
      </c>
      <c r="H88" s="195" t="inlineStr">
        <is>
          <t>AAStocks listing date (was 2026-03-28); close from the local session list</t>
        </is>
      </c>
    </row>
    <row r="89" ht="23" customHeight="1">
      <c r="A89" s="206" t="inlineStr">
        <is>
          <t>1236</t>
        </is>
      </c>
      <c r="B89" s="32" t="inlineStr">
        <is>
          <t>LDROBOT</t>
        </is>
      </c>
      <c r="C89" s="207" t="n">
        <v>46153</v>
      </c>
      <c r="D89" s="210" t="n">
        <v>60.001</v>
      </c>
      <c r="E89" s="194" t="n">
        <v>127.62</v>
      </c>
      <c r="F89" s="54">
        <f>BDH("1236 HK Equity","PX_LAST",$C89,$C89)</f>
        <v/>
      </c>
      <c r="G89" s="24">
        <f>IF(NOT(ISNUMBER($F89)),"Awaiting quote",IF(ABS($F89/($D89)-1)&lt;0.005,"MATCH","CHECK: BBG "&amp;TEXT($F89,"0.000")))</f>
        <v/>
      </c>
      <c r="H89" s="195" t="inlineStr">
        <is>
          <t>AAStocks listing date (was 2026-05-09); close from the local session list</t>
        </is>
      </c>
    </row>
    <row r="90" ht="23" customHeight="1">
      <c r="A90" s="206" t="inlineStr">
        <is>
          <t>6871</t>
        </is>
      </c>
      <c r="B90" s="32" t="inlineStr">
        <is>
          <t>ROBOTPHOENIX</t>
        </is>
      </c>
      <c r="C90" s="207" t="n">
        <v>46160</v>
      </c>
      <c r="D90" s="210" t="n">
        <v>53.75</v>
      </c>
      <c r="E90" s="194" t="n">
        <v>76.23</v>
      </c>
      <c r="F90" s="54">
        <f>BDH("6871 HK Equity","PX_LAST",$C90,$C90)</f>
        <v/>
      </c>
      <c r="G90" s="24">
        <f>IF(NOT(ISNUMBER($F90)),"Awaiting quote",IF(ABS($F90/($D90)-1)&lt;0.005,"MATCH","CHECK: BBG "&amp;TEXT($F90,"0.000")))</f>
        <v/>
      </c>
      <c r="H90" s="195" t="inlineStr">
        <is>
          <t>AAStocks listing date (was 2026-05-16); close from the local session list</t>
        </is>
      </c>
    </row>
    <row r="91" ht="23" customHeight="1">
      <c r="A91" s="206" t="inlineStr">
        <is>
          <t>6658</t>
        </is>
      </c>
      <c r="B91" s="32" t="inlineStr">
        <is>
          <t>LIULIUMEI</t>
        </is>
      </c>
      <c r="C91" s="207" t="n">
        <v>46188</v>
      </c>
      <c r="D91" s="210" t="n">
        <v>127.999</v>
      </c>
      <c r="E91" s="194" t="n">
        <v>193.71</v>
      </c>
      <c r="F91" s="54">
        <f>BDH("6658 HK Equity","PX_LAST",$C91,$C91)</f>
        <v/>
      </c>
      <c r="G91" s="24">
        <f>IF(NOT(ISNUMBER($F91)),"Awaiting quote",IF(ABS($F91/($D91)-1)&lt;0.005,"MATCH","CHECK: BBG "&amp;TEXT($F91,"0.000")))</f>
        <v/>
      </c>
      <c r="H91" s="195" t="inlineStr">
        <is>
          <t>AAStocks listing date (was 2026-06-13); close from the local session list</t>
        </is>
      </c>
    </row>
    <row r="92" ht="23" customHeight="1">
      <c r="A92" s="206" t="inlineStr">
        <is>
          <t>1392</t>
        </is>
      </c>
      <c r="B92" s="32" t="inlineStr">
        <is>
          <t>HQVT</t>
        </is>
      </c>
      <c r="C92" s="207" t="n">
        <v>46195</v>
      </c>
      <c r="D92" s="210" t="n">
        <v>26.7</v>
      </c>
      <c r="E92" s="194" t="n">
        <v>270.83</v>
      </c>
      <c r="F92" s="54">
        <f>BDH("1392 HK Equity","PX_LAST",$C92,$C92)</f>
        <v/>
      </c>
      <c r="G92" s="24">
        <f>IF(NOT(ISNUMBER($F92)),"Awaiting quote",IF(ABS($F92/($D92)-1)&lt;0.005,"MATCH","CHECK: BBG "&amp;TEXT($F92,"0.000")))</f>
        <v/>
      </c>
      <c r="H92" s="195" t="inlineStr">
        <is>
          <t>AAStocks listing date (was 2026-06-19); close from the local session list</t>
        </is>
      </c>
    </row>
    <row r="93" ht="23" customHeight="1">
      <c r="A93" s="206" t="inlineStr">
        <is>
          <t>2672</t>
        </is>
      </c>
      <c r="B93" s="32" t="inlineStr">
        <is>
          <t>BAIGE DIGITAL</t>
        </is>
      </c>
      <c r="C93" s="207" t="n">
        <v>46202</v>
      </c>
      <c r="D93" s="210" t="n">
        <v>73</v>
      </c>
      <c r="E93" s="194" t="n">
        <v>367.95</v>
      </c>
      <c r="F93" s="54">
        <f>BDH("2672 HK Equity","PX_LAST",$C93,$C93)</f>
        <v/>
      </c>
      <c r="G93" s="24">
        <f>IF(NOT(ISNUMBER($F93)),"Awaiting quote",IF(ABS($F93/($D93)-1)&lt;0.005,"MATCH","CHECK: BBG "&amp;TEXT($F93,"0.000")))</f>
        <v/>
      </c>
      <c r="H93" s="195" t="inlineStr">
        <is>
          <t>AAStocks listing date (was 2026-06-27); close from the local session list</t>
        </is>
      </c>
    </row>
    <row r="94" ht="23" customHeight="1">
      <c r="A94" s="206" t="inlineStr">
        <is>
          <t>1191</t>
        </is>
      </c>
      <c r="B94" s="32" t="inlineStr">
        <is>
          <t>CREALIGHTS</t>
        </is>
      </c>
      <c r="C94" s="207" t="n">
        <v>46202</v>
      </c>
      <c r="D94" s="210" t="n">
        <v>165.004</v>
      </c>
      <c r="E94" s="194" t="n">
        <v>44.74</v>
      </c>
      <c r="F94" s="54">
        <f>BDH("1191 HK Equity","PX_LAST",$C94,$C94)</f>
        <v/>
      </c>
      <c r="G94" s="24">
        <f>IF(NOT(ISNUMBER($F94)),"Awaiting quote",IF(ABS($F94/($D94)-1)&lt;0.005,"MATCH","CHECK: BBG "&amp;TEXT($F94,"0.000")))</f>
        <v/>
      </c>
      <c r="H94" s="195" t="inlineStr">
        <is>
          <t>AAStocks listing date (was 2026-06-27); close from the local session list</t>
        </is>
      </c>
    </row>
    <row r="95" ht="23" customHeight="1">
      <c r="A95" s="206" t="inlineStr">
        <is>
          <t>9637</t>
        </is>
      </c>
      <c r="B95" s="32" t="inlineStr">
        <is>
          <t>ALEBUND-B</t>
        </is>
      </c>
      <c r="C95" s="207" t="n">
        <v>46202</v>
      </c>
      <c r="D95" s="210" t="n">
        <v>46</v>
      </c>
      <c r="E95" s="194" t="n">
        <v>103.54</v>
      </c>
      <c r="F95" s="54">
        <f>BDH("9637 HK Equity","PX_LAST",$C95,$C95)</f>
        <v/>
      </c>
      <c r="G95" s="24">
        <f>IF(NOT(ISNUMBER($F95)),"Awaiting quote",IF(ABS($F95/($D95)-1)&lt;0.005,"MATCH","CHECK: BBG "&amp;TEXT($F95,"0.000")))</f>
        <v/>
      </c>
      <c r="H95" s="195" t="inlineStr">
        <is>
          <t>AAStocks listing date (was 2026-06-27); close from the local session list</t>
        </is>
      </c>
    </row>
    <row r="96" ht="23" customHeight="1">
      <c r="A96" s="206" t="inlineStr">
        <is>
          <t>0668</t>
        </is>
      </c>
      <c r="B96" s="32" t="inlineStr">
        <is>
          <t>ANKER</t>
        </is>
      </c>
      <c r="C96" s="207" t="n">
        <v>46205</v>
      </c>
      <c r="D96" s="210" t="n">
        <v>114.903</v>
      </c>
      <c r="E96" s="194" t="n">
        <v>15.69</v>
      </c>
      <c r="F96" s="54">
        <f>BDH("668 HK Equity","PX_LAST",$C96,$C96)</f>
        <v/>
      </c>
      <c r="G96" s="24">
        <f>IF(NOT(ISNUMBER($F96)),"Awaiting quote",IF(ABS($F96/($D96)-1)&lt;0.005,"MATCH","CHECK: BBG "&amp;TEXT($F96,"0.000")))</f>
        <v/>
      </c>
      <c r="H96" s="195" t="inlineStr">
        <is>
          <t>AAStocks listing date (was 2026-07-01); close from the local session list</t>
        </is>
      </c>
    </row>
    <row r="97" ht="23" customHeight="1">
      <c r="A97" s="206" t="inlineStr">
        <is>
          <t>2041</t>
        </is>
      </c>
      <c r="B97" s="32" t="inlineStr">
        <is>
          <t>MEDCAPTAIN</t>
        </is>
      </c>
      <c r="C97" s="207" t="n">
        <v>46272</v>
      </c>
      <c r="D97" s="210" t="n">
        <v>8.800000000000001</v>
      </c>
      <c r="E97" s="194" t="n">
        <v>-42.93</v>
      </c>
      <c r="F97" s="54">
        <f>BDH("2041 HK Equity","PX_LAST",$C97,$C97)</f>
        <v/>
      </c>
      <c r="G97" s="24">
        <f>IF(NOT(ISNUMBER($F97)),"Awaiting quote",IF(ABS($F97/($D97)-1)&lt;0.005,"MATCH","CHECK: BBG "&amp;TEXT($F97,"0.000")))</f>
        <v/>
      </c>
      <c r="H97" s="195" t="inlineStr">
        <is>
          <t>AAStocks listing date (was 2026-09-05); close from the local session list</t>
        </is>
      </c>
    </row>
    <row r="98" ht="23" customHeight="1">
      <c r="A98" s="206" t="inlineStr">
        <is>
          <t>6727</t>
        </is>
      </c>
      <c r="B98" s="32" t="inlineStr">
        <is>
          <t>TRANSWARP</t>
        </is>
      </c>
      <c r="C98" s="207" t="n">
        <v>46286</v>
      </c>
      <c r="D98" s="210" t="n">
        <v>44.502</v>
      </c>
      <c r="E98" s="194" t="n">
        <v>-9.18</v>
      </c>
      <c r="F98" s="54">
        <f>BDH("6727 HK Equity","PX_LAST",$C98,$C98)</f>
        <v/>
      </c>
      <c r="G98" s="24">
        <f>IF(NOT(ISNUMBER($F98)),"Awaiting quote",IF(ABS($F98/($D98)-1)&lt;0.005,"MATCH","CHECK: BBG "&amp;TEXT($F98,"0.000")))</f>
        <v/>
      </c>
      <c r="H98" s="195" t="inlineStr">
        <is>
          <t>AAStocks listing date (was 2026-09-19); close from the local session list</t>
        </is>
      </c>
    </row>
    <row r="99" ht="23" customHeight="1"/>
    <row r="100" ht="23" customHeight="1">
      <c r="A100" s="190" t="inlineStr">
        <is>
          <t>B. OFFER PRICE (11 deals ruled against the filing parse)</t>
        </is>
      </c>
    </row>
    <row r="101" ht="30" customHeight="1">
      <c r="A101" s="26" t="inlineStr">
        <is>
          <t>Code</t>
        </is>
      </c>
      <c r="B101" s="26" t="inlineStr">
        <is>
          <t>Name</t>
        </is>
      </c>
      <c r="C101" s="26" t="inlineStr">
        <is>
          <t>Our offer price</t>
        </is>
      </c>
      <c r="D101" s="26" t="inlineStr"/>
      <c r="E101" s="26" t="inlineStr"/>
      <c r="F101" s="26" t="inlineStr">
        <is>
          <t>BBG offer price</t>
        </is>
      </c>
      <c r="G101" s="26" t="inlineStr">
        <is>
          <t>VERDICT</t>
        </is>
      </c>
      <c r="H101" s="26" t="inlineStr">
        <is>
          <t>What we relied on</t>
        </is>
      </c>
    </row>
    <row r="102" ht="23" customHeight="1">
      <c r="A102" s="206" t="inlineStr">
        <is>
          <t>2672</t>
        </is>
      </c>
      <c r="B102" s="32" t="inlineStr">
        <is>
          <t>BAIGE DIGITAL</t>
        </is>
      </c>
      <c r="C102" s="210" t="n">
        <v>15.6</v>
      </c>
      <c r="F102" s="195" t="inlineStr">
        <is>
          <t>no BDP field; check the DES IPO screen</t>
        </is>
      </c>
      <c r="G102" s="24">
        <f>IF(ISNUMBER($F102),IF(ABS($F102/$C102-1)&lt;0.005,"MATCH","CHECK"),"see section A: day-1 close matches Bloomberg at this price")</f>
        <v/>
      </c>
      <c r="H102" s="195" t="inlineStr">
        <is>
          <t xml:space="preserve">OFFER PRICE: 10jqka 2026-06-29 + ifeng: 发行价15.6港元, 收报73港元 首日+367.95%, 全球发售3334.44万股, 募资总额5.2亿港元. The parse's 54,382,183 was the LISTING EXPENSES line </t>
        </is>
      </c>
    </row>
    <row r="103" ht="23" customHeight="1">
      <c r="A103" s="206" t="inlineStr">
        <is>
          <t>2525</t>
        </is>
      </c>
      <c r="B103" s="32" t="inlineStr">
        <is>
          <t>HESAI-W</t>
        </is>
      </c>
      <c r="C103" s="210" t="n">
        <v>212.8</v>
      </c>
      <c r="F103" s="195" t="inlineStr">
        <is>
          <t>no BDP field; check the DES IPO screen</t>
        </is>
      </c>
      <c r="G103" s="24">
        <f>IF(ISNUMBER($F103),IF(ABS($F103/$C103-1)&lt;0.005,"MATCH","CHECK"),"see section A: day-1 close matches Bloomberg at this price")</f>
        <v/>
      </c>
      <c r="H103" s="195" t="inlineStr">
        <is>
          <t>OFFER PRICE: STCN + HKEX allotment 2025-09-15 (2025091501458.pdf): 发行价212.80港元, 收报234港元 +9.96%, 19,550,000 offer shares incl. fully-exercised offer-si</t>
        </is>
      </c>
    </row>
    <row r="104" ht="23" customHeight="1">
      <c r="A104" s="206" t="inlineStr">
        <is>
          <t>2026</t>
        </is>
      </c>
      <c r="B104" s="32" t="inlineStr">
        <is>
          <t>PONY-W</t>
        </is>
      </c>
      <c r="C104" s="210" t="n">
        <v>139</v>
      </c>
      <c r="F104" s="195" t="inlineStr">
        <is>
          <t>no BDP field; check the DES IPO screen</t>
        </is>
      </c>
      <c r="G104" s="24">
        <f>IF(ISNUMBER($F104),IF(ABS($F104/$C104-1)&lt;0.005,"MATCH","CHECK"),"see section A: day-1 close matches Bloomberg at this price")</f>
        <v/>
      </c>
      <c r="H104" s="195" t="inlineStr">
        <is>
          <t>OFFER PRICE: Sina 2025-11-04 pricing + 2025-11-06 debut: 每股139.00港元 (22.8% below the HK$180 max), 收报126.10港元 -9.28%, 48,249,000 shares incl. full offe</t>
        </is>
      </c>
    </row>
    <row r="105" ht="23" customHeight="1">
      <c r="A105" s="206" t="inlineStr">
        <is>
          <t>6656</t>
        </is>
      </c>
      <c r="B105" s="32" t="inlineStr">
        <is>
          <t>SIGENERGY</t>
        </is>
      </c>
      <c r="C105" s="210" t="n">
        <v>324.2</v>
      </c>
      <c r="F105" s="195" t="inlineStr">
        <is>
          <t>no BDP field; check the DES IPO screen</t>
        </is>
      </c>
      <c r="G105" s="24">
        <f>IF(ISNUMBER($F105),IF(ABS($F105/$C105-1)&lt;0.005,"MATCH","CHECK"),"see section A: day-1 close matches Bloomberg at this price")</f>
        <v/>
      </c>
      <c r="H105" s="195" t="inlineStr">
        <is>
          <t>OFFER PRICE: AAStocks debut report: opened HK$581 (+79.2%) from listing price HK$324.20, closed HK$659.5 +103.4%; 13,573,900 H shares, gross ≈HK$4.4bn</t>
        </is>
      </c>
    </row>
    <row r="106" ht="23" customHeight="1">
      <c r="A106" s="206" t="inlineStr">
        <is>
          <t>9630</t>
        </is>
      </c>
      <c r="B106" s="32" t="inlineStr">
        <is>
          <t>CFMEE</t>
        </is>
      </c>
      <c r="C106" s="210" t="n">
        <v>252.73</v>
      </c>
      <c r="F106" s="195" t="inlineStr">
        <is>
          <t>no BDP field; check the DES IPO screen</t>
        </is>
      </c>
      <c r="G106" s="24">
        <f>IF(ISNUMBER($F106),IF(ABS($F106/$C106-1)&lt;0.005,"MATCH","CHECK"),"see section A: day-1 close matches Bloomberg at this price")</f>
        <v/>
      </c>
      <c r="H106" s="195" t="inlineStr">
        <is>
          <t>OFFER PRICE: Sina 2026-06-26: 发行价252.73港元 (top of range), 收报515.00港元 +103.77%, 发行1283.865万股, 募资总额32.45亿港元. NOT the midday 445.8 snapshot.</t>
        </is>
      </c>
    </row>
    <row r="107" ht="23" customHeight="1">
      <c r="A107" s="206" t="inlineStr">
        <is>
          <t>6090</t>
        </is>
      </c>
      <c r="B107" s="32" t="inlineStr">
        <is>
          <t>BUTONG GROUP</t>
        </is>
      </c>
      <c r="C107" s="210" t="n">
        <v>71.2</v>
      </c>
      <c r="F107" s="195" t="inlineStr">
        <is>
          <t>no BDP field; check the DES IPO screen</t>
        </is>
      </c>
      <c r="G107" s="24">
        <f>IF(ISNUMBER($F107),IF(ABS($F107/$C107-1)&lt;0.005,"MATCH","CHECK"),"see section A: day-1 close matches Bloomberg at this price")</f>
        <v/>
      </c>
      <c r="H107" s="195" t="inlineStr">
        <is>
          <t>OFFER PRICE: Sina 2025-09-23: 发售价每股71.20港元 (top of the 62.01-71.20 range), 收报102.50港元 +43.96%, 全球发售1098.09万股.</t>
        </is>
      </c>
    </row>
    <row r="108" ht="23" customHeight="1">
      <c r="A108" s="206" t="inlineStr">
        <is>
          <t>3223</t>
        </is>
      </c>
      <c r="B108" s="32" t="inlineStr">
        <is>
          <t>INGENIC</t>
        </is>
      </c>
      <c r="C108" s="210" t="n">
        <v>100</v>
      </c>
      <c r="F108" s="195" t="inlineStr">
        <is>
          <t>no BDP field; check the DES IPO screen</t>
        </is>
      </c>
      <c r="G108" s="24">
        <f>IF(ISNUMBER($F108),IF(ABS($F108/$C108-1)&lt;0.005,"MATCH","CHECK"),"see section A: day-1 close matches Bloomberg at this price")</f>
        <v/>
      </c>
      <c r="H108" s="195" t="inlineStr">
        <is>
          <t>Ingenic FY2025 A-share AR (300223.SZ, 2026-03-28): revenue RMB4,741m, attributable NI RMB376m; x1.10 to HKD. Listed 2026-08-25; trailing basis for th</t>
        </is>
      </c>
    </row>
    <row r="109" ht="23" customHeight="1">
      <c r="A109" s="206" t="inlineStr">
        <is>
          <t>9615</t>
        </is>
      </c>
      <c r="B109" s="32" t="inlineStr">
        <is>
          <t>MECH-MIND ROBOT</t>
        </is>
      </c>
      <c r="C109" s="210" t="n">
        <v>101.7</v>
      </c>
      <c r="F109" s="195" t="inlineStr">
        <is>
          <t>no BDP field; check the DES IPO screen</t>
        </is>
      </c>
      <c r="G109" s="24">
        <f>IF(ISNUMBER($F109),IF(ABS($F109/$C109-1)&lt;0.005,"MATCH","CHECK"),"see section A: day-1 close matches Bloomberg at this price")</f>
        <v/>
      </c>
      <c r="H109" s="195" t="inlineStr">
        <is>
          <t>HKEX allotment results 2026-08-31 (2026083102433.pdf): final offer price HK$101.70 = the CAP (range HK$95.30-101.70, 'Offer Price adjustment exercised</t>
        </is>
      </c>
    </row>
    <row r="110" ht="23" customHeight="1">
      <c r="A110" s="206" t="inlineStr">
        <is>
          <t>0625</t>
        </is>
      </c>
      <c r="B110" s="32" t="inlineStr">
        <is>
          <t>SHEIN-W</t>
        </is>
      </c>
      <c r="C110" s="210" t="n">
        <v>48.56</v>
      </c>
      <c r="F110" s="195" t="inlineStr">
        <is>
          <t>no BDP field; check the DES IPO screen</t>
        </is>
      </c>
      <c r="G110" s="24">
        <f>IF(ISNUMBER($F110),IF(ABS($F110/$C110-1)&lt;0.005,"MATCH","CHECK"),"see section A: day-1 close matches Bloomberg at this price")</f>
        <v/>
      </c>
      <c r="H110" s="195" t="inlineStr">
        <is>
          <t>HKEX allotment results 2026-08-31 (2026083102409.pdf): final offer price HK$48.56 against a HK$47.60-49.50 range (max HK$49.50); priced 1.9% below th</t>
        </is>
      </c>
    </row>
    <row r="111" ht="23" customHeight="1">
      <c r="A111" s="206" t="inlineStr">
        <is>
          <t>2392</t>
        </is>
      </c>
      <c r="B111" s="32" t="inlineStr">
        <is>
          <t>XUANWU CLOUD</t>
        </is>
      </c>
      <c r="C111" s="210" t="n">
        <v>6.24</v>
      </c>
      <c r="F111" s="195" t="inlineStr">
        <is>
          <t>no BDP field; check the DES IPO screen</t>
        </is>
      </c>
      <c r="G111" s="24">
        <f>IF(ISNUMBER($F111),IF(ABS($F111/$C111-1)&lt;0.005,"MATCH","CHECK"),"see section A: day-1 close matches Bloomberg at this price")</f>
        <v/>
      </c>
      <c r="H111" s="195" t="inlineStr">
        <is>
          <t xml:space="preserve">filing parse returned 6.91 = EXACTLY the stated Maximum Offer Price (the known bad-anchor line, wrong 6/6 in the v20 price research). AAStocks prints </t>
        </is>
      </c>
    </row>
    <row r="112" ht="23" customHeight="1">
      <c r="A112" s="206" t="inlineStr">
        <is>
          <t>9877</t>
        </is>
      </c>
      <c r="B112" s="32" t="inlineStr">
        <is>
          <t>JENSCARE-B</t>
        </is>
      </c>
      <c r="C112" s="210" t="n">
        <v>27.8</v>
      </c>
      <c r="F112" s="195" t="inlineStr">
        <is>
          <t>no BDP field; check the DES IPO screen</t>
        </is>
      </c>
      <c r="G112" s="24">
        <f>IF(ISNUMBER($F112),IF(ABS($F112/$C112-1)&lt;0.005,"MATCH","CHECK"),"see section A: day-1 close matches Bloomberg at this price")</f>
        <v/>
      </c>
      <c r="H112" s="195" t="inlineStr">
        <is>
          <t>filing parse returned 28.80 = EXACTLY the stated Maximum Offer Price. AAStocks prints 27.80, and the ingested day-1 (+1.62%) matches 28.25/27.80-1 exa</t>
        </is>
      </c>
    </row>
    <row r="113" ht="23" customHeight="1"/>
    <row r="114" ht="23" customHeight="1">
      <c r="A114" s="190" t="inlineStr">
        <is>
          <t>C. CORPORATE ACTIONS (32 deals; our day-1 close / cumulative factor should equal Bloomberg's adjusted print)</t>
        </is>
      </c>
    </row>
    <row r="115" ht="30" customHeight="1">
      <c r="A115" s="26" t="inlineStr">
        <is>
          <t>Code</t>
        </is>
      </c>
      <c r="B115" s="26" t="inlineStr">
        <is>
          <t>Name</t>
        </is>
      </c>
      <c r="C115" s="26" t="inlineStr">
        <is>
          <t>Listing date</t>
        </is>
      </c>
      <c r="D115" s="26" t="inlineStr">
        <is>
          <t>Our day-1 close</t>
        </is>
      </c>
      <c r="E115" s="26" t="inlineStr">
        <is>
          <t>÷ factor = expected</t>
        </is>
      </c>
      <c r="F115" s="26" t="inlineStr">
        <is>
          <t>BBG close that day</t>
        </is>
      </c>
      <c r="G115" s="26" t="inlineStr">
        <is>
          <t>VERDICT</t>
        </is>
      </c>
      <c r="H115" s="26" t="inlineStr">
        <is>
          <t>Action applied</t>
        </is>
      </c>
    </row>
    <row r="116" ht="23" customHeight="1">
      <c r="A116" s="206" t="inlineStr">
        <is>
          <t>1413</t>
        </is>
      </c>
      <c r="B116" s="32" t="inlineStr">
        <is>
          <t>KWONG LUEN ENG</t>
        </is>
      </c>
      <c r="C116" s="207" t="n">
        <v>44266</v>
      </c>
      <c r="D116" s="210" t="n">
        <v>0.42</v>
      </c>
      <c r="E116" s="54">
        <f>IFERROR($D116/0.2,"")</f>
        <v/>
      </c>
      <c r="F116" s="54">
        <f>BDH("1413 HK Equity","PX_LAST",$C116,$C116)</f>
        <v/>
      </c>
      <c r="G116" s="24">
        <f>IF(NOT(ISNUMBER($F116)),"Awaiting quote",IF(ABS($F116/$E116-1)&lt;0.02,"MATCH","CHECK: BBG "&amp;TEXT($F116,"0.000")))</f>
        <v/>
      </c>
      <c r="H116" s="195" t="inlineStr">
        <is>
          <t>2025-12-16 x0.2 (Bloomberg basis x0.2)</t>
        </is>
      </c>
    </row>
    <row r="117" ht="23" customHeight="1">
      <c r="A117" s="206" t="inlineStr">
        <is>
          <t>1855</t>
        </is>
      </c>
      <c r="B117" s="32" t="inlineStr">
        <is>
          <t>ZONBONG ENVIRO</t>
        </is>
      </c>
      <c r="C117" s="207" t="n">
        <v>44202</v>
      </c>
      <c r="D117" s="210" t="n">
        <v>2.05</v>
      </c>
      <c r="E117" s="54">
        <f>IFERROR($D117/3.0,"")</f>
        <v/>
      </c>
      <c r="F117" s="54">
        <f>BDH("1855 HK Equity","PX_LAST",$C117,$C117)</f>
        <v/>
      </c>
      <c r="G117" s="24">
        <f>IF(NOT(ISNUMBER($F117)),"Awaiting quote",IF(ABS($F117/$E117-1)&lt;0.02,"MATCH","CHECK: BBG "&amp;TEXT($F117,"0.000")))</f>
        <v/>
      </c>
      <c r="H117" s="195" t="inlineStr">
        <is>
          <t>2024-08-01 x3 (Bloomberg basis x3)</t>
        </is>
      </c>
    </row>
    <row r="118" ht="23" customHeight="1">
      <c r="A118" s="206" t="inlineStr">
        <is>
          <t>2147</t>
        </is>
      </c>
      <c r="B118" s="32" t="inlineStr">
        <is>
          <t>ZHENGWEI GROUP</t>
        </is>
      </c>
      <c r="C118" s="207" t="n">
        <v>44939</v>
      </c>
      <c r="D118" s="210" t="n">
        <v>0.5600000000000001</v>
      </c>
      <c r="E118" s="54">
        <f>IFERROR($D118/0.05,"")</f>
        <v/>
      </c>
      <c r="F118" s="54">
        <f>BDH("2147 HK Equity","PX_LAST",$C118,$C118)</f>
        <v/>
      </c>
      <c r="G118" s="24">
        <f>IF(NOT(ISNUMBER($F118)),"Awaiting quote",IF(ABS($F118/$E118-1)&lt;0.02,"MATCH","CHECK: BBG "&amp;TEXT($F118,"0.000")))</f>
        <v/>
      </c>
      <c r="H118" s="195" t="inlineStr">
        <is>
          <t>2025-12-30 x0.05 (Bloomberg basis x0.05)</t>
        </is>
      </c>
    </row>
    <row r="119" ht="23" customHeight="1">
      <c r="A119" s="206" t="inlineStr">
        <is>
          <t>2160</t>
        </is>
      </c>
      <c r="B119" s="32" t="inlineStr">
        <is>
          <t>CARDIOFLOW-B</t>
        </is>
      </c>
      <c r="C119" s="207" t="n">
        <v>44231</v>
      </c>
      <c r="D119" s="210" t="n">
        <v>18.82</v>
      </c>
      <c r="E119" s="54">
        <f>IFERROR($D119/0.2,"")</f>
        <v/>
      </c>
      <c r="F119" s="54">
        <f>BDH("2160 HK Equity","PX_LAST",$C119,$C119)</f>
        <v/>
      </c>
      <c r="G119" s="24">
        <f>IF(NOT(ISNUMBER($F119)),"Awaiting quote",IF(ABS($F119/$E119-1)&lt;0.02,"MATCH","CHECK: BBG "&amp;TEXT($F119,"0.000")))</f>
        <v/>
      </c>
      <c r="H119" s="195" t="inlineStr">
        <is>
          <t>2026-02-24 x0.2 (Bloomberg basis x0.2)</t>
        </is>
      </c>
    </row>
    <row r="120" ht="23" customHeight="1">
      <c r="A120" s="206" t="inlineStr">
        <is>
          <t>2195</t>
        </is>
      </c>
      <c r="B120" s="32" t="inlineStr">
        <is>
          <t>UNITY ENT</t>
        </is>
      </c>
      <c r="C120" s="207" t="n">
        <v>44286</v>
      </c>
      <c r="D120" s="210" t="n">
        <v>0.33</v>
      </c>
      <c r="E120" s="54">
        <f>IFERROR($D120/0.1,"")</f>
        <v/>
      </c>
      <c r="F120" s="54">
        <f>BDH("2195 HK Equity","PX_LAST",$C120,$C120)</f>
        <v/>
      </c>
      <c r="G120" s="24">
        <f>IF(NOT(ISNUMBER($F120)),"Awaiting quote",IF(ABS($F120/$E120-1)&lt;0.02,"MATCH","CHECK: BBG "&amp;TEXT($F120,"0.000")))</f>
        <v/>
      </c>
      <c r="H120" s="195" t="inlineStr">
        <is>
          <t>2025-10-30 x0.1 (Bloomberg basis x0.1)</t>
        </is>
      </c>
    </row>
    <row r="121" ht="23" customHeight="1">
      <c r="A121" s="206" t="inlineStr">
        <is>
          <t>2246</t>
        </is>
      </c>
      <c r="B121" s="32" t="inlineStr">
        <is>
          <t>GOGOX</t>
        </is>
      </c>
      <c r="C121" s="207" t="n">
        <v>44736</v>
      </c>
      <c r="D121" s="210" t="n">
        <v>16.721</v>
      </c>
      <c r="E121" s="54">
        <f>IFERROR($D121/0.1,"")</f>
        <v/>
      </c>
      <c r="F121" s="54">
        <f>BDH("2246 HK Equity","PX_LAST",$C121,$C121)</f>
        <v/>
      </c>
      <c r="G121" s="24">
        <f>IF(NOT(ISNUMBER($F121)),"Awaiting quote",IF(ABS($F121/$E121-1)&lt;0.02,"MATCH","CHECK: BBG "&amp;TEXT($F121,"0.000")))</f>
        <v/>
      </c>
      <c r="H121" s="195" t="inlineStr">
        <is>
          <t>2025-04-25 x0.1 (Bloomberg basis x0.1)</t>
        </is>
      </c>
    </row>
    <row r="122" ht="23" customHeight="1">
      <c r="A122" s="206" t="inlineStr">
        <is>
          <t>2350</t>
        </is>
      </c>
      <c r="B122" s="32" t="inlineStr">
        <is>
          <t>MTT GROUP</t>
        </is>
      </c>
      <c r="C122" s="207" t="n">
        <v>44830</v>
      </c>
      <c r="D122" s="210" t="n">
        <v>0.62</v>
      </c>
      <c r="E122" s="54">
        <f>IFERROR($D122/1.246,"")</f>
        <v/>
      </c>
      <c r="F122" s="54">
        <f>BDH("2350 HK Equity","PX_LAST",$C122,$C122)</f>
        <v/>
      </c>
      <c r="G122" s="24">
        <f>IF(NOT(ISNUMBER($F122)),"Awaiting quote",IF(ABS($F122/$E122-1)&lt;0.02,"MATCH","CHECK: BBG "&amp;TEXT($F122,"0.000")))</f>
        <v/>
      </c>
      <c r="H122" s="195" t="inlineStr">
        <is>
          <t>2026-06-15 rights 2-for-5 @ HK$0.275 (BBG-only x1.246) (Bloomberg basis x1.246)</t>
        </is>
      </c>
    </row>
    <row r="123" ht="23" customHeight="1">
      <c r="A123" s="206" t="inlineStr">
        <is>
          <t>2402</t>
        </is>
      </c>
      <c r="B123" s="32" t="inlineStr">
        <is>
          <t>SINOHYTEC</t>
        </is>
      </c>
      <c r="C123" s="207" t="n">
        <v>44938</v>
      </c>
      <c r="D123" s="210" t="n">
        <v>60</v>
      </c>
      <c r="E123" s="54">
        <f>IFERROR($D123/1.9599999999999997,"")</f>
        <v/>
      </c>
      <c r="F123" s="54">
        <f>BDH("2402 HK Equity","PX_LAST",$C123,$C123)</f>
        <v/>
      </c>
      <c r="G123" s="24">
        <f>IF(NOT(ISNUMBER($F123)),"Awaiting quote",IF(ABS($F123/$E123-1)&lt;0.02,"MATCH","CHECK: BBG "&amp;TEXT($F123,"0.000")))</f>
        <v/>
      </c>
      <c r="H123" s="195" t="inlineStr">
        <is>
          <t>2023-06-21 x1.4; 2024-07-04 x1.4 (Bloomberg basis x1.96)</t>
        </is>
      </c>
    </row>
    <row r="124" ht="23" customHeight="1">
      <c r="A124" s="206" t="inlineStr">
        <is>
          <t>2422</t>
        </is>
      </c>
      <c r="B124" s="32" t="inlineStr">
        <is>
          <t>REGO INTERACT</t>
        </is>
      </c>
      <c r="C124" s="207" t="n">
        <v>44851</v>
      </c>
      <c r="D124" s="210" t="n">
        <v>1.35</v>
      </c>
      <c r="E124" s="54">
        <f>IFERROR($D124/1.1936,"")</f>
        <v/>
      </c>
      <c r="F124" s="54">
        <f>BDH("2422 HK Equity","PX_LAST",$C124,$C124)</f>
        <v/>
      </c>
      <c r="G124" s="24">
        <f>IF(NOT(ISNUMBER($F124)),"Awaiting quote",IF(ABS($F124/$E124-1)&lt;0.02,"MATCH","CHECK: BBG "&amp;TEXT($F124,"0.000")))</f>
        <v/>
      </c>
      <c r="H124" s="195" t="inlineStr">
        <is>
          <t>2022-11 UNVERIFIED entitlement-class adjustment (BBG-only x1.1936) (Bloomberg basis x1.1936)</t>
        </is>
      </c>
    </row>
    <row r="125" ht="23" customHeight="1">
      <c r="A125" s="206" t="inlineStr">
        <is>
          <t>2440</t>
        </is>
      </c>
      <c r="B125" s="32" t="inlineStr">
        <is>
          <t>HOWKINGTECH</t>
        </is>
      </c>
      <c r="C125" s="207" t="n">
        <v>44907</v>
      </c>
      <c r="D125" s="210" t="n">
        <v>2</v>
      </c>
      <c r="E125" s="54">
        <f>IFERROR($D125/1.22414,"")</f>
        <v/>
      </c>
      <c r="F125" s="54">
        <f>BDH("2440 HK Equity","PX_LAST",$C125,$C125)</f>
        <v/>
      </c>
      <c r="G125" s="24">
        <f>IF(NOT(ISNUMBER($F125)),"Awaiting quote",IF(ABS($F125/$E125-1)&lt;0.02,"MATCH","CHECK: BBG "&amp;TEXT($F125,"0.000")))</f>
        <v/>
      </c>
      <c r="H125" s="195" t="inlineStr">
        <is>
          <t>2025-06-24 rights 1-for-2 @ HK$1.262 (now MemeStrategy) (BBG-only x1.22414) (Bloomberg basis x1.22414)</t>
        </is>
      </c>
    </row>
    <row r="126" ht="23" customHeight="1">
      <c r="A126" s="206" t="inlineStr">
        <is>
          <t>2459</t>
        </is>
      </c>
      <c r="B126" s="32" t="inlineStr">
        <is>
          <t>SANERGY GROUP</t>
        </is>
      </c>
      <c r="C126" s="207" t="n">
        <v>44943</v>
      </c>
      <c r="D126" s="210" t="n">
        <v>1.78</v>
      </c>
      <c r="E126" s="54">
        <f>IFERROR($D126/0.1195431,"")</f>
        <v/>
      </c>
      <c r="F126" s="54">
        <f>BDH("2459 HK Equity","PX_LAST",$C126,$C126)</f>
        <v/>
      </c>
      <c r="G126" s="24">
        <f>IF(NOT(ISNUMBER($F126)),"Awaiting quote",IF(ABS($F126/$E126-1)&lt;0.02,"MATCH","CHECK: BBG "&amp;TEXT($F126,"0.000")))</f>
        <v/>
      </c>
      <c r="H126" s="195" t="inlineStr">
        <is>
          <t>2026-05-14 x0.1; 2025-07-16 rights 1-for-2 @ HK$0.08 (pre-consolidation) (BBG-only x1.19543) (Bloomberg basis x0.119543)</t>
        </is>
      </c>
    </row>
    <row r="127" ht="23" customHeight="1">
      <c r="A127" s="206" t="inlineStr">
        <is>
          <t>2473</t>
        </is>
      </c>
      <c r="B127" s="32" t="inlineStr">
        <is>
          <t>XXF</t>
        </is>
      </c>
      <c r="C127" s="207" t="n">
        <v>45239</v>
      </c>
      <c r="D127" s="210" t="n">
        <v>1.64</v>
      </c>
      <c r="E127" s="54">
        <f>IFERROR($D127/3.0,"")</f>
        <v/>
      </c>
      <c r="F127" s="54">
        <f>BDH("2473 HK Equity","PX_LAST",$C127,$C127)</f>
        <v/>
      </c>
      <c r="G127" s="24">
        <f>IF(NOT(ISNUMBER($F127)),"Awaiting quote",IF(ABS($F127/$E127-1)&lt;0.02,"MATCH","CHECK: BBG "&amp;TEXT($F127,"0.000")))</f>
        <v/>
      </c>
      <c r="H127" s="195" t="inlineStr">
        <is>
          <t>2024-12-06 x3 (Bloomberg basis x3)</t>
        </is>
      </c>
    </row>
    <row r="128" ht="23" customHeight="1">
      <c r="A128" s="206" t="inlineStr">
        <is>
          <t>2477</t>
        </is>
      </c>
      <c r="B128" s="32" t="inlineStr">
        <is>
          <t>WELLCELL HOLD</t>
        </is>
      </c>
      <c r="C128" s="207" t="n">
        <v>45303</v>
      </c>
      <c r="D128" s="210" t="n">
        <v>2.64</v>
      </c>
      <c r="E128" s="54">
        <f>IFERROR($D128/8.0,"")</f>
        <v/>
      </c>
      <c r="F128" s="54">
        <f>BDH("2477 HK Equity","PX_LAST",$C128,$C128)</f>
        <v/>
      </c>
      <c r="G128" s="24">
        <f>IF(NOT(ISNUMBER($F128)),"Awaiting quote",IF(ABS($F128/$E128-1)&lt;0.02,"MATCH","CHECK: BBG "&amp;TEXT($F128,"0.000")))</f>
        <v/>
      </c>
      <c r="H128" s="195" t="inlineStr">
        <is>
          <t>2025-03-31 x2; 2026-04-21 x4 (Bloomberg basis x8)</t>
        </is>
      </c>
    </row>
    <row r="129" ht="23" customHeight="1">
      <c r="A129" s="206" t="inlineStr">
        <is>
          <t>2490</t>
        </is>
      </c>
      <c r="B129" s="32" t="inlineStr">
        <is>
          <t>LC LOGISTICS</t>
        </is>
      </c>
      <c r="C129" s="207" t="n">
        <v>45194</v>
      </c>
      <c r="D129" s="210" t="n">
        <v>5.1</v>
      </c>
      <c r="E129" s="54">
        <f>IFERROR($D129/2.0,"")</f>
        <v/>
      </c>
      <c r="F129" s="54">
        <f>BDH("2490 HK Equity","PX_LAST",$C129,$C129)</f>
        <v/>
      </c>
      <c r="G129" s="24">
        <f>IF(NOT(ISNUMBER($F129)),"Awaiting quote",IF(ABS($F129/$E129-1)&lt;0.02,"MATCH","CHECK: BBG "&amp;TEXT($F129,"0.000")))</f>
        <v/>
      </c>
      <c r="H129" s="195" t="inlineStr">
        <is>
          <t>2025-07-28 x2 (Bloomberg basis x2)</t>
        </is>
      </c>
    </row>
    <row r="130" ht="23" customHeight="1">
      <c r="A130" s="206" t="inlineStr">
        <is>
          <t>2525</t>
        </is>
      </c>
      <c r="B130" s="32" t="inlineStr">
        <is>
          <t>HESAI-W</t>
        </is>
      </c>
      <c r="C130" s="207" t="n">
        <v>45916</v>
      </c>
      <c r="D130" s="210" t="n">
        <v>233.995</v>
      </c>
      <c r="E130" s="54">
        <f>IFERROR($D130/8.0,"")</f>
        <v/>
      </c>
      <c r="F130" s="54">
        <f>BDH("2525 HK Equity","PX_LAST",$C130,$C130)</f>
        <v/>
      </c>
      <c r="G130" s="24">
        <f>IF(NOT(ISNUMBER($F130)),"Awaiting quote",IF(ABS($F130/$E130-1)&lt;0.02,"MATCH","CHECK: BBG "&amp;TEXT($F130,"0.000")))</f>
        <v/>
      </c>
      <c r="H130" s="195" t="inlineStr">
        <is>
          <t>2026-07-10 x8 (Bloomberg basis x8)</t>
        </is>
      </c>
    </row>
    <row r="131" ht="23" customHeight="1">
      <c r="A131" s="206" t="inlineStr">
        <is>
          <t>2635</t>
        </is>
      </c>
      <c r="B131" s="32" t="inlineStr">
        <is>
          <t>NUOBIKAN</t>
        </is>
      </c>
      <c r="C131" s="207" t="n">
        <v>46014</v>
      </c>
      <c r="D131" s="210" t="n">
        <v>371</v>
      </c>
      <c r="E131" s="54">
        <f>IFERROR($D131/10.0,"")</f>
        <v/>
      </c>
      <c r="F131" s="54">
        <f>BDH("2635 HK Equity","PX_LAST",$C131,$C131)</f>
        <v/>
      </c>
      <c r="G131" s="24">
        <f>IF(NOT(ISNUMBER($F131)),"Awaiting quote",IF(ABS($F131/$E131-1)&lt;0.02,"MATCH","CHECK: BBG "&amp;TEXT($F131,"0.000")))</f>
        <v/>
      </c>
      <c r="H131" s="195" t="inlineStr">
        <is>
          <t>2026-03-11 x10 (Bloomberg basis x10)</t>
        </is>
      </c>
    </row>
    <row r="132" ht="23" customHeight="1">
      <c r="A132" s="206" t="inlineStr">
        <is>
          <t>2650</t>
        </is>
      </c>
      <c r="B132" s="32" t="inlineStr">
        <is>
          <t>ZHIDA TECH</t>
        </is>
      </c>
      <c r="C132" s="207" t="n">
        <v>45940</v>
      </c>
      <c r="D132" s="210" t="n">
        <v>195.5</v>
      </c>
      <c r="E132" s="54">
        <f>IFERROR($D132/5.0,"")</f>
        <v/>
      </c>
      <c r="F132" s="54">
        <f>BDH("2650 HK Equity","PX_LAST",$C132,$C132)</f>
        <v/>
      </c>
      <c r="G132" s="24">
        <f>IF(NOT(ISNUMBER($F132)),"Awaiting quote",IF(ABS($F132/$E132-1)&lt;0.02,"MATCH","CHECK: BBG "&amp;TEXT($F132,"0.000")))</f>
        <v/>
      </c>
      <c r="H132" s="195" t="inlineStr">
        <is>
          <t>2026-03-03 x5 (Bloomberg basis x5)</t>
        </is>
      </c>
    </row>
    <row r="133" ht="23" customHeight="1">
      <c r="A133" s="206" t="inlineStr">
        <is>
          <t>2651</t>
        </is>
      </c>
      <c r="B133" s="32" t="inlineStr">
        <is>
          <t>DAZHONG DENTAL</t>
        </is>
      </c>
      <c r="C133" s="207" t="n">
        <v>45847</v>
      </c>
      <c r="D133" s="210" t="n">
        <v>20.7</v>
      </c>
      <c r="E133" s="54">
        <f>IFERROR($D133/1.2,"")</f>
        <v/>
      </c>
      <c r="F133" s="54">
        <f>BDH("2651 HK Equity","PX_LAST",$C133,$C133)</f>
        <v/>
      </c>
      <c r="G133" s="24">
        <f>IF(NOT(ISNUMBER($F133)),"Awaiting quote",IF(ABS($F133/$E133-1)&lt;0.02,"MATCH","CHECK: BBG "&amp;TEXT($F133,"0.000")))</f>
        <v/>
      </c>
      <c r="H133" s="195" t="inlineStr">
        <is>
          <t>2026-09-18 x1.2 (Bloomberg basis x1.2)</t>
        </is>
      </c>
    </row>
    <row r="134" ht="23" customHeight="1">
      <c r="A134" s="206" t="inlineStr">
        <is>
          <t>2670</t>
        </is>
      </c>
      <c r="B134" s="32" t="inlineStr">
        <is>
          <t>YUNJI</t>
        </is>
      </c>
      <c r="C134" s="207" t="n">
        <v>45946</v>
      </c>
      <c r="D134" s="210" t="n">
        <v>120.504</v>
      </c>
      <c r="E134" s="54">
        <f>IFERROR($D134/10.0,"")</f>
        <v/>
      </c>
      <c r="F134" s="54">
        <f>BDH("2670 HK Equity","PX_LAST",$C134,$C134)</f>
        <v/>
      </c>
      <c r="G134" s="24">
        <f>IF(NOT(ISNUMBER($F134)),"Awaiting quote",IF(ABS($F134/$E134-1)&lt;0.02,"MATCH","CHECK: BBG "&amp;TEXT($F134,"0.000")))</f>
        <v/>
      </c>
      <c r="H134" s="195" t="inlineStr">
        <is>
          <t>2026-09-23 x10 (Bloomberg basis x10)</t>
        </is>
      </c>
    </row>
    <row r="135" ht="23" customHeight="1">
      <c r="A135" s="206" t="inlineStr">
        <is>
          <t>2691</t>
        </is>
      </c>
      <c r="B135" s="32" t="inlineStr">
        <is>
          <t>NANHUA FUTURES</t>
        </is>
      </c>
      <c r="C135" s="207" t="n">
        <v>46013</v>
      </c>
      <c r="D135" s="210" t="n">
        <v>9.1</v>
      </c>
      <c r="E135" s="54">
        <f>IFERROR($D135/1.45,"")</f>
        <v/>
      </c>
      <c r="F135" s="54">
        <f>BDH("2691 HK Equity","PX_LAST",$C135,$C135)</f>
        <v/>
      </c>
      <c r="G135" s="24">
        <f>IF(NOT(ISNUMBER($F135)),"Awaiting quote",IF(ABS($F135/$E135-1)&lt;0.02,"MATCH","CHECK: BBG "&amp;TEXT($F135,"0.000")))</f>
        <v/>
      </c>
      <c r="H135" s="195" t="inlineStr">
        <is>
          <t>2026-06-17 x1.45 (Bloomberg basis x1.45)</t>
        </is>
      </c>
    </row>
    <row r="136" ht="23" customHeight="1">
      <c r="A136" s="206" t="inlineStr">
        <is>
          <t>2768</t>
        </is>
      </c>
      <c r="B136" s="32" t="inlineStr">
        <is>
          <t>GON TECHNOLOGY</t>
        </is>
      </c>
      <c r="C136" s="207" t="n">
        <v>46057</v>
      </c>
      <c r="D136" s="210" t="n">
        <v>40.162</v>
      </c>
      <c r="E136" s="54">
        <f>IFERROR($D136/1.48,"")</f>
        <v/>
      </c>
      <c r="F136" s="54">
        <f>BDH("2768 HK Equity","PX_LAST",$C136,$C136)</f>
        <v/>
      </c>
      <c r="G136" s="24">
        <f>IF(NOT(ISNUMBER($F136)),"Awaiting quote",IF(ABS($F136/$E136-1)&lt;0.02,"MATCH","CHECK: BBG "&amp;TEXT($F136,"0.000")))</f>
        <v/>
      </c>
      <c r="H136" s="195" t="inlineStr">
        <is>
          <t>2026-06-17 x1.48 (Bloomberg basis x1.48)</t>
        </is>
      </c>
    </row>
    <row r="137" ht="23" customHeight="1">
      <c r="A137" s="206" t="inlineStr">
        <is>
          <t>3296</t>
        </is>
      </c>
      <c r="B137" s="32" t="inlineStr">
        <is>
          <t>HUAQIN</t>
        </is>
      </c>
      <c r="C137" s="207" t="n">
        <v>46135</v>
      </c>
      <c r="D137" s="210" t="n">
        <v>88.003</v>
      </c>
      <c r="E137" s="54">
        <f>IFERROR($D137/1.4,"")</f>
        <v/>
      </c>
      <c r="F137" s="54">
        <f>BDH("3296 HK Equity","PX_LAST",$C137,$C137)</f>
        <v/>
      </c>
      <c r="G137" s="24">
        <f>IF(NOT(ISNUMBER($F137)),"Awaiting quote",IF(ABS($F137/$E137-1)&lt;0.02,"MATCH","CHECK: BBG "&amp;TEXT($F137,"0.000")))</f>
        <v/>
      </c>
      <c r="H137" s="195" t="inlineStr">
        <is>
          <t>2026-05-22 x1.4 (Bloomberg basis x1.4)</t>
        </is>
      </c>
    </row>
    <row r="138" ht="23" customHeight="1">
      <c r="A138" s="206" t="inlineStr">
        <is>
          <t>3881</t>
        </is>
      </c>
      <c r="B138" s="32" t="inlineStr">
        <is>
          <t>CIDI</t>
        </is>
      </c>
      <c r="C138" s="207" t="n">
        <v>46010</v>
      </c>
      <c r="D138" s="210" t="n">
        <v>226.995</v>
      </c>
      <c r="E138" s="54">
        <f>IFERROR($D138/10.0,"")</f>
        <v/>
      </c>
      <c r="F138" s="54">
        <f>BDH("3881 HK Equity","PX_LAST",$C138,$C138)</f>
        <v/>
      </c>
      <c r="G138" s="24">
        <f>IF(NOT(ISNUMBER($F138)),"Awaiting quote",IF(ABS($F138/$E138-1)&lt;0.02,"MATCH","CHECK: BBG "&amp;TEXT($F138,"0.000")))</f>
        <v/>
      </c>
      <c r="H138" s="195" t="inlineStr">
        <is>
          <t>2026-03-02 x10 (Bloomberg basis x10)</t>
        </is>
      </c>
    </row>
    <row r="139" ht="23" customHeight="1">
      <c r="A139" s="206" t="inlineStr">
        <is>
          <t>6127</t>
        </is>
      </c>
      <c r="B139" s="32" t="inlineStr">
        <is>
          <t>JOINN</t>
        </is>
      </c>
      <c r="C139" s="207" t="n">
        <v>44253</v>
      </c>
      <c r="D139" s="210" t="n">
        <v>137.999</v>
      </c>
      <c r="E139" s="54">
        <f>IFERROR($D139/2.7439999999999993,"")</f>
        <v/>
      </c>
      <c r="F139" s="54">
        <f>BDH("6127 HK Equity","PX_LAST",$C139,$C139)</f>
        <v/>
      </c>
      <c r="G139" s="24">
        <f>IF(NOT(ISNUMBER($F139)),"Awaiting quote",IF(ABS($F139/$E139-1)&lt;0.02,"MATCH","CHECK: BBG "&amp;TEXT($F139,"0.000")))</f>
        <v/>
      </c>
      <c r="H139" s="195" t="inlineStr">
        <is>
          <t>2021-06-23 x1.4; 2022-07-28 x1.4; 2023-06-20 x1.4 (Bloomberg basis x2.744)</t>
        </is>
      </c>
    </row>
    <row r="140" ht="23" customHeight="1">
      <c r="A140" s="206" t="inlineStr">
        <is>
          <t>6610</t>
        </is>
      </c>
      <c r="B140" s="32" t="inlineStr">
        <is>
          <t>FLOWING CLOUD</t>
        </is>
      </c>
      <c r="C140" s="207" t="n">
        <v>44852</v>
      </c>
      <c r="D140" s="210" t="n">
        <v>2.12</v>
      </c>
      <c r="E140" s="54">
        <f>IFERROR($D140/0.05,"")</f>
        <v/>
      </c>
      <c r="F140" s="54">
        <f>BDH("6610 HK Equity","PX_LAST",$C140,$C140)</f>
        <v/>
      </c>
      <c r="G140" s="24">
        <f>IF(NOT(ISNUMBER($F140)),"Awaiting quote",IF(ABS($F140/$E140-1)&lt;0.02,"MATCH","CHECK: BBG "&amp;TEXT($F140,"0.000")))</f>
        <v/>
      </c>
      <c r="H140" s="195" t="inlineStr">
        <is>
          <t>2025-12-05 x0.05 (Bloomberg basis x0.05)</t>
        </is>
      </c>
    </row>
    <row r="141" ht="23" customHeight="1">
      <c r="A141" s="206" t="inlineStr">
        <is>
          <t>6680</t>
        </is>
      </c>
      <c r="B141" s="32" t="inlineStr">
        <is>
          <t>JLMAG</t>
        </is>
      </c>
      <c r="C141" s="207" t="n">
        <v>44575</v>
      </c>
      <c r="D141" s="210" t="n">
        <v>28.199</v>
      </c>
      <c r="E141" s="54">
        <f>IFERROR($D141/1.6,"")</f>
        <v/>
      </c>
      <c r="F141" s="54">
        <f>BDH("6680 HK Equity","PX_LAST",$C141,$C141)</f>
        <v/>
      </c>
      <c r="G141" s="24">
        <f>IF(NOT(ISNUMBER($F141)),"Awaiting quote",IF(ABS($F141/$E141-1)&lt;0.02,"MATCH","CHECK: BBG "&amp;TEXT($F141,"0.000")))</f>
        <v/>
      </c>
      <c r="H141" s="195" t="inlineStr">
        <is>
          <t>2023-06-26 x1.6 (Bloomberg basis x1.6)</t>
        </is>
      </c>
    </row>
    <row r="142" ht="23" customHeight="1">
      <c r="A142" s="206" t="inlineStr">
        <is>
          <t>6686</t>
        </is>
      </c>
      <c r="B142" s="32" t="inlineStr">
        <is>
          <t>NOAH HOLDINGS-S</t>
        </is>
      </c>
      <c r="C142" s="207" t="n">
        <v>44755</v>
      </c>
      <c r="D142" s="210" t="n">
        <v>279.006</v>
      </c>
      <c r="E142" s="54">
        <f>IFERROR($D142/10.0,"")</f>
        <v/>
      </c>
      <c r="F142" s="54">
        <f>BDH("6686 HK Equity","PX_LAST",$C142,$C142)</f>
        <v/>
      </c>
      <c r="G142" s="24">
        <f>IF(NOT(ISNUMBER($F142)),"Awaiting quote",IF(ABS($F142/$E142-1)&lt;0.02,"MATCH","CHECK: BBG "&amp;TEXT($F142,"0.000")))</f>
        <v/>
      </c>
      <c r="H142" s="195" t="inlineStr">
        <is>
          <t>2023-10-30 x10 (Bloomberg basis x10)</t>
        </is>
      </c>
    </row>
    <row r="143" ht="23" customHeight="1">
      <c r="A143" s="206" t="inlineStr">
        <is>
          <t>6696</t>
        </is>
      </c>
      <c r="B143" s="32" t="inlineStr">
        <is>
          <t>MANY IDEA CLOUD</t>
        </is>
      </c>
      <c r="C143" s="207" t="n">
        <v>44874</v>
      </c>
      <c r="D143" s="210" t="n">
        <v>2</v>
      </c>
      <c r="E143" s="54">
        <f>IFERROR($D143/0.06211222837500001,"")</f>
        <v/>
      </c>
      <c r="F143" s="54">
        <f>BDH("6696 HK Equity","PX_LAST",$C143,$C143)</f>
        <v/>
      </c>
      <c r="G143" s="24">
        <f>IF(NOT(ISNUMBER($F143)),"Awaiting quote",IF(ABS($F143/$E143-1)&lt;0.02,"MATCH","CHECK: BBG "&amp;TEXT($F143,"0.000")))</f>
        <v/>
      </c>
      <c r="H143" s="195" t="inlineStr">
        <is>
          <t>2025-02-12 x0.05; 2024-03-12 open offer 1-for-2 @ HK$0.15 (BBG-only x1.13235); 2025-11-26 rights 6-for-1 @ HK$0.4753 (post-consolidation) (BBG-only x1.09705) (Bloomberg basis x0.0621122)</t>
        </is>
      </c>
    </row>
    <row r="144" ht="23" customHeight="1">
      <c r="A144" s="206" t="inlineStr">
        <is>
          <t>6821</t>
        </is>
      </c>
      <c r="B144" s="32" t="inlineStr">
        <is>
          <t>ASYMCHEM</t>
        </is>
      </c>
      <c r="C144" s="207" t="n">
        <v>44540</v>
      </c>
      <c r="D144" s="210" t="n">
        <v>369.997</v>
      </c>
      <c r="E144" s="54">
        <f>IFERROR($D144/1.4,"")</f>
        <v/>
      </c>
      <c r="F144" s="54">
        <f>BDH("6821 HK Equity","PX_LAST",$C144,$C144)</f>
        <v/>
      </c>
      <c r="G144" s="24">
        <f>IF(NOT(ISNUMBER($F144)),"Awaiting quote",IF(ABS($F144/$E144-1)&lt;0.02,"MATCH","CHECK: BBG "&amp;TEXT($F144,"0.000")))</f>
        <v/>
      </c>
      <c r="H144" s="195" t="inlineStr">
        <is>
          <t>2022-07-11 x1.4 (Bloomberg basis x1.4)</t>
        </is>
      </c>
    </row>
    <row r="145" ht="23" customHeight="1">
      <c r="A145" s="206" t="inlineStr">
        <is>
          <t>6911</t>
        </is>
      </c>
      <c r="B145" s="32" t="inlineStr">
        <is>
          <t>LANCANG TEA</t>
        </is>
      </c>
      <c r="C145" s="207" t="n">
        <v>45282</v>
      </c>
      <c r="D145" s="210" t="n">
        <v>8.699999999999999</v>
      </c>
      <c r="E145" s="54">
        <f>IFERROR($D145/1.5,"")</f>
        <v/>
      </c>
      <c r="F145" s="54">
        <f>BDH("6911 HK Equity","PX_LAST",$C145,$C145)</f>
        <v/>
      </c>
      <c r="G145" s="24">
        <f>IF(NOT(ISNUMBER($F145)),"Awaiting quote",IF(ABS($F145/$E145-1)&lt;0.02,"MATCH","CHECK: BBG "&amp;TEXT($F145,"0.000")))</f>
        <v/>
      </c>
      <c r="H145" s="195" t="inlineStr">
        <is>
          <t>2024-06-11 x1.5 (Bloomberg basis x1.5)</t>
        </is>
      </c>
    </row>
    <row r="146" ht="23" customHeight="1">
      <c r="A146" s="206" t="inlineStr">
        <is>
          <t>9903</t>
        </is>
      </c>
      <c r="B146" s="32" t="inlineStr">
        <is>
          <t>ILUVATAR COREX</t>
        </is>
      </c>
      <c r="C146" s="207" t="n">
        <v>46030</v>
      </c>
      <c r="D146" s="210" t="n">
        <v>156.804</v>
      </c>
      <c r="E146" s="54">
        <f>IFERROR($D146/3.0,"")</f>
        <v/>
      </c>
      <c r="F146" s="54">
        <f>BDH("9903 HK Equity","PX_LAST",$C146,$C146)</f>
        <v/>
      </c>
      <c r="G146" s="24">
        <f>IF(NOT(ISNUMBER($F146)),"Awaiting quote",IF(ABS($F146/$E146-1)&lt;0.02,"MATCH","CHECK: BBG "&amp;TEXT($F146,"0.000")))</f>
        <v/>
      </c>
      <c r="H146" s="195" t="inlineStr">
        <is>
          <t>2026-09-15 x3 (Bloomberg basis x3)</t>
        </is>
      </c>
    </row>
    <row r="147" ht="23" customHeight="1">
      <c r="A147" s="206" t="inlineStr">
        <is>
          <t>9980</t>
        </is>
      </c>
      <c r="B147" s="32" t="inlineStr">
        <is>
          <t>EASTROC</t>
        </is>
      </c>
      <c r="C147" s="207" t="n">
        <v>46056</v>
      </c>
      <c r="D147" s="210" t="n">
        <v>251.794</v>
      </c>
      <c r="E147" s="54">
        <f>IFERROR($D147/1.3,"")</f>
        <v/>
      </c>
      <c r="F147" s="54">
        <f>BDH("9980 HK Equity","PX_LAST",$C147,$C147)</f>
        <v/>
      </c>
      <c r="G147" s="24">
        <f>IF(NOT(ISNUMBER($F147)),"Awaiting quote",IF(ABS($F147/$E147-1)&lt;0.02,"MATCH","CHECK: BBG "&amp;TEXT($F147,"0.000")))</f>
        <v/>
      </c>
      <c r="H147" s="195" t="inlineStr">
        <is>
          <t>2026-05-05 x1.3 (Bloomberg basis x1.3)</t>
        </is>
      </c>
    </row>
    <row r="148" ht="23" customHeight="1"/>
    <row r="149" ht="23" customHeight="1">
      <c r="A149" s="190" t="inlineStr">
        <is>
          <t>D. DEAL SIZE (16 deals whose stated gross was below net proceeds)</t>
        </is>
      </c>
    </row>
    <row r="150" ht="30" customHeight="1">
      <c r="A150" s="26" t="inlineStr">
        <is>
          <t>Code</t>
        </is>
      </c>
      <c r="B150" s="26" t="inlineStr">
        <is>
          <t>Name</t>
        </is>
      </c>
      <c r="C150" s="26" t="inlineStr">
        <is>
          <t>Our deal size (HK$m)</t>
        </is>
      </c>
      <c r="D150" s="26" t="inlineStr">
        <is>
          <t>Basis</t>
        </is>
      </c>
      <c r="E150" s="26" t="inlineStr"/>
      <c r="F150" s="26" t="inlineStr">
        <is>
          <t>BBG offering size</t>
        </is>
      </c>
      <c r="G150" s="26" t="inlineStr">
        <is>
          <t>VERDICT</t>
        </is>
      </c>
      <c r="H150" s="26" t="inlineStr">
        <is>
          <t>What we relied on</t>
        </is>
      </c>
    </row>
    <row r="151" ht="23" customHeight="1">
      <c r="A151" s="206" t="inlineStr">
        <is>
          <t>2209</t>
        </is>
      </c>
      <c r="B151" s="32" t="inlineStr">
        <is>
          <t>YESASIA HLDGS</t>
        </is>
      </c>
      <c r="C151" s="166" t="n">
        <v>91</v>
      </c>
      <c r="D151" s="195" t="inlineStr">
        <is>
          <t>net proceeds</t>
        </is>
      </c>
      <c r="F151" s="195" t="inlineStr">
        <is>
          <t>no BDP field; check CACS</t>
        </is>
      </c>
      <c r="G151" s="24" t="inlineStr">
        <is>
          <t>"check on CACS; rebuilt as shares x price or net proceeds"</t>
        </is>
      </c>
      <c r="H151" s="195" t="inlineStr">
        <is>
          <t>stated gross HK$4.5m rejected, below the net proceeds of HK$91.0m</t>
        </is>
      </c>
    </row>
    <row r="152" ht="23" customHeight="1">
      <c r="A152" s="206" t="inlineStr">
        <is>
          <t>2235</t>
        </is>
      </c>
      <c r="B152" s="32" t="inlineStr">
        <is>
          <t>MICROTECH MED-B</t>
        </is>
      </c>
      <c r="C152" s="166" t="n">
        <v>1937.6</v>
      </c>
      <c r="D152" s="195" t="inlineStr">
        <is>
          <t>gross (price x shares)</t>
        </is>
      </c>
      <c r="F152" s="195" t="inlineStr">
        <is>
          <t>no BDP field; check CACS</t>
        </is>
      </c>
      <c r="G152" s="24" t="inlineStr">
        <is>
          <t>"check on CACS; rebuilt as shares x price or net proceeds"</t>
        </is>
      </c>
      <c r="H152" s="195" t="inlineStr">
        <is>
          <t>stated gross HK$75.7m rejected, below the net proceeds of HK$1,815.1m</t>
        </is>
      </c>
    </row>
    <row r="153" ht="23" customHeight="1">
      <c r="A153" s="206" t="inlineStr">
        <is>
          <t>2185</t>
        </is>
      </c>
      <c r="B153" s="32" t="inlineStr">
        <is>
          <t>BIOHEART-B</t>
        </is>
      </c>
      <c r="C153" s="166" t="n">
        <v>508.7</v>
      </c>
      <c r="D153" s="195" t="inlineStr">
        <is>
          <t>gross (price x shares)</t>
        </is>
      </c>
      <c r="F153" s="195" t="inlineStr">
        <is>
          <t>no BDP field; check CACS</t>
        </is>
      </c>
      <c r="G153" s="24" t="inlineStr">
        <is>
          <t>"check on CACS; rebuilt as shares x price or net proceeds"</t>
        </is>
      </c>
      <c r="H153" s="195" t="inlineStr">
        <is>
          <t>stated gross HK$26.5m rejected, below the net proceeds of HK$441.7m</t>
        </is>
      </c>
    </row>
    <row r="154" ht="23" customHeight="1">
      <c r="A154" s="206" t="inlineStr">
        <is>
          <t>2157</t>
        </is>
      </c>
      <c r="B154" s="32" t="inlineStr">
        <is>
          <t>LEPU BIO-B</t>
        </is>
      </c>
      <c r="C154" s="166" t="n">
        <v>904.6</v>
      </c>
      <c r="D154" s="195" t="inlineStr">
        <is>
          <t>gross (price x shares)</t>
        </is>
      </c>
      <c r="F154" s="195" t="inlineStr">
        <is>
          <t>no BDP field; check CACS</t>
        </is>
      </c>
      <c r="G154" s="24" t="inlineStr">
        <is>
          <t>"check on CACS; rebuilt as shares x price or net proceeds"</t>
        </is>
      </c>
      <c r="H154" s="195" t="inlineStr">
        <is>
          <t>stated gross HK$36.2m rejected, below the net proceeds of HK$804.2m</t>
        </is>
      </c>
    </row>
    <row r="155" ht="23" customHeight="1">
      <c r="A155" s="206" t="inlineStr">
        <is>
          <t>2179</t>
        </is>
      </c>
      <c r="B155" s="32" t="inlineStr">
        <is>
          <t>RECBIO-B</t>
        </is>
      </c>
      <c r="C155" s="166" t="n">
        <v>672.4</v>
      </c>
      <c r="D155" s="195" t="inlineStr">
        <is>
          <t>net proceeds</t>
        </is>
      </c>
      <c r="F155" s="195" t="inlineStr">
        <is>
          <t>no BDP field; check CACS</t>
        </is>
      </c>
      <c r="G155" s="24" t="inlineStr">
        <is>
          <t>"check on CACS; rebuilt as shares x price or net proceeds"</t>
        </is>
      </c>
      <c r="H155" s="195" t="inlineStr">
        <is>
          <t>stated gross HK$32.5m rejected, below the net proceeds of HK$672.4m</t>
        </is>
      </c>
    </row>
    <row r="156" ht="23" customHeight="1">
      <c r="A156" s="206" t="inlineStr">
        <is>
          <t>2315</t>
        </is>
      </c>
      <c r="B156" s="32" t="inlineStr">
        <is>
          <t>BIOCYTOGEN-B</t>
        </is>
      </c>
      <c r="C156" s="166" t="n">
        <v>548.7</v>
      </c>
      <c r="D156" s="195" t="inlineStr">
        <is>
          <t>gross (price x shares)</t>
        </is>
      </c>
      <c r="F156" s="195" t="inlineStr">
        <is>
          <t>no BDP field; check CACS</t>
        </is>
      </c>
      <c r="G156" s="24" t="inlineStr">
        <is>
          <t>"check on CACS; rebuilt as shares x price or net proceeds"</t>
        </is>
      </c>
      <c r="H156" s="195" t="inlineStr">
        <is>
          <t>stated gross HK$16.9m rejected, below the net proceeds of HK$471.1m</t>
        </is>
      </c>
    </row>
    <row r="157" ht="23" customHeight="1">
      <c r="A157" s="206" t="inlineStr">
        <is>
          <t>6979</t>
        </is>
      </c>
      <c r="B157" s="32" t="inlineStr">
        <is>
          <t>ZJLD</t>
        </is>
      </c>
      <c r="C157" s="166" t="n">
        <v>5309.4</v>
      </c>
      <c r="D157" s="195" t="inlineStr">
        <is>
          <t>gross (price x shares)</t>
        </is>
      </c>
      <c r="F157" s="195" t="inlineStr">
        <is>
          <t>no BDP field; check CACS</t>
        </is>
      </c>
      <c r="G157" s="24" t="inlineStr">
        <is>
          <t>"check on CACS; rebuilt as shares x price or net proceeds"</t>
        </is>
      </c>
      <c r="H157" s="195" t="inlineStr">
        <is>
          <t>stated gross HK$795.0m rejected, below the net proceeds of HK$4,990.0m</t>
        </is>
      </c>
    </row>
    <row r="158" ht="23" customHeight="1">
      <c r="A158" s="206" t="inlineStr">
        <is>
          <t>2415</t>
        </is>
      </c>
      <c r="B158" s="32" t="inlineStr">
        <is>
          <t>MEDSCI</t>
        </is>
      </c>
      <c r="C158" s="166" t="n">
        <v>607.8</v>
      </c>
      <c r="D158" s="195" t="inlineStr">
        <is>
          <t>gross (price x shares)</t>
        </is>
      </c>
      <c r="F158" s="195" t="inlineStr">
        <is>
          <t>no BDP field; check CACS</t>
        </is>
      </c>
      <c r="G158" s="24" t="inlineStr">
        <is>
          <t>"check on CACS; rebuilt as shares x price or net proceeds"</t>
        </is>
      </c>
      <c r="H158" s="195" t="inlineStr">
        <is>
          <t>stated gross HK$18.2m rejected, below the net proceeds of HK$538.2m</t>
        </is>
      </c>
    </row>
    <row r="159" ht="23" customHeight="1">
      <c r="A159" s="206" t="inlineStr">
        <is>
          <t>2487</t>
        </is>
      </c>
      <c r="B159" s="32" t="inlineStr">
        <is>
          <t>CUTIA-B</t>
        </is>
      </c>
      <c r="C159" s="166" t="n">
        <v>465</v>
      </c>
      <c r="D159" s="195" t="inlineStr">
        <is>
          <t>gross (price x shares)</t>
        </is>
      </c>
      <c r="F159" s="195" t="inlineStr">
        <is>
          <t>no BDP field; check CACS</t>
        </is>
      </c>
      <c r="G159" s="24" t="inlineStr">
        <is>
          <t>"check on CACS; rebuilt as shares x price or net proceeds"</t>
        </is>
      </c>
      <c r="H159" s="195" t="inlineStr">
        <is>
          <t>stated gross HK$23.9m rejected, below the net proceeds of HK$392.7m</t>
        </is>
      </c>
    </row>
    <row r="160" ht="23" customHeight="1">
      <c r="A160" s="206" t="inlineStr">
        <is>
          <t>6990</t>
        </is>
      </c>
      <c r="B160" s="32" t="inlineStr">
        <is>
          <t>SKB BIO-B</t>
        </is>
      </c>
      <c r="C160" s="166" t="n">
        <v>1360.2</v>
      </c>
      <c r="D160" s="195" t="inlineStr">
        <is>
          <t>gross (price x shares)</t>
        </is>
      </c>
      <c r="F160" s="195" t="inlineStr">
        <is>
          <t>no BDP field; check CACS</t>
        </is>
      </c>
      <c r="G160" s="24" t="inlineStr">
        <is>
          <t>"check on CACS; rebuilt as shares x price or net proceeds"</t>
        </is>
      </c>
      <c r="H160" s="195" t="inlineStr">
        <is>
          <t>stated gross HK$54.5m rejected, below the net proceeds of HK$1,258.9m</t>
        </is>
      </c>
    </row>
    <row r="161" ht="23" customHeight="1">
      <c r="A161" s="206" t="inlineStr">
        <is>
          <t>2490</t>
        </is>
      </c>
      <c r="B161" s="32" t="inlineStr">
        <is>
          <t>LC LOGISTICS</t>
        </is>
      </c>
      <c r="C161" s="166" t="n">
        <v>145.6</v>
      </c>
      <c r="D161" s="195" t="inlineStr">
        <is>
          <t>gross (price x shares)</t>
        </is>
      </c>
      <c r="F161" s="195" t="inlineStr">
        <is>
          <t>no BDP field; check CACS</t>
        </is>
      </c>
      <c r="G161" s="24" t="inlineStr">
        <is>
          <t>"check on CACS; rebuilt as shares x price or net proceeds"</t>
        </is>
      </c>
      <c r="H161" s="195" t="inlineStr">
        <is>
          <t>stated gross HK$5.9m rejected, below the net proceeds of HK$83.5m</t>
        </is>
      </c>
    </row>
    <row r="162" ht="23" customHeight="1">
      <c r="A162" s="206" t="inlineStr">
        <is>
          <t>9686</t>
        </is>
      </c>
      <c r="B162" s="32" t="inlineStr">
        <is>
          <t>NEUSOFT XIKANG</t>
        </is>
      </c>
      <c r="C162" s="166" t="n">
        <v>636.9</v>
      </c>
      <c r="D162" s="195" t="inlineStr">
        <is>
          <t>gross (price x shares)</t>
        </is>
      </c>
      <c r="F162" s="195" t="inlineStr">
        <is>
          <t>no BDP field; check CACS</t>
        </is>
      </c>
      <c r="G162" s="24" t="inlineStr">
        <is>
          <t>"check on CACS; rebuilt as shares x price or net proceeds"</t>
        </is>
      </c>
      <c r="H162" s="195" t="inlineStr">
        <is>
          <t>stated gross HK$21.6m rejected, below the net proceeds of HK$554.5m</t>
        </is>
      </c>
    </row>
    <row r="163" ht="23" customHeight="1">
      <c r="A163" s="206" t="inlineStr">
        <is>
          <t>9890</t>
        </is>
      </c>
      <c r="B163" s="32" t="inlineStr">
        <is>
          <t>ZX INC</t>
        </is>
      </c>
      <c r="C163" s="166" t="n">
        <v>265.7</v>
      </c>
      <c r="D163" s="195" t="inlineStr">
        <is>
          <t>gross (price x shares)</t>
        </is>
      </c>
      <c r="F163" s="195" t="inlineStr">
        <is>
          <t>no BDP field; check CACS</t>
        </is>
      </c>
      <c r="G163" s="24" t="inlineStr">
        <is>
          <t>"check on CACS; rebuilt as shares x price or net proceeds"</t>
        </is>
      </c>
      <c r="H163" s="195" t="inlineStr">
        <is>
          <t>stated gross HK$29.5m rejected, below the net proceeds of HK$138.1m</t>
        </is>
      </c>
    </row>
    <row r="164" ht="23" customHeight="1">
      <c r="A164" s="206" t="inlineStr">
        <is>
          <t>2451</t>
        </is>
      </c>
      <c r="B164" s="32" t="inlineStr">
        <is>
          <t>LUYUAN GP HLDG</t>
        </is>
      </c>
      <c r="C164" s="166" t="n">
        <v>786.1</v>
      </c>
      <c r="D164" s="195" t="inlineStr">
        <is>
          <t>gross (price x shares)</t>
        </is>
      </c>
      <c r="F164" s="195" t="inlineStr">
        <is>
          <t>no BDP field; check CACS</t>
        </is>
      </c>
      <c r="G164" s="24" t="inlineStr">
        <is>
          <t>"check on CACS; rebuilt as shares x price or net proceeds"</t>
        </is>
      </c>
      <c r="H164" s="195" t="inlineStr">
        <is>
          <t>stated gross HK$31.5m rejected, below the net proceeds of HK$706.4m</t>
        </is>
      </c>
    </row>
    <row r="165" ht="23" customHeight="1">
      <c r="A165" s="206" t="inlineStr">
        <is>
          <t>2517</t>
        </is>
      </c>
      <c r="B165" s="32" t="inlineStr">
        <is>
          <t>GUOQUAN</t>
        </is>
      </c>
      <c r="C165" s="166" t="n">
        <v>411.4</v>
      </c>
      <c r="D165" s="195" t="inlineStr">
        <is>
          <t>gross (price x shares)</t>
        </is>
      </c>
      <c r="F165" s="195" t="inlineStr">
        <is>
          <t>no BDP field; check CACS</t>
        </is>
      </c>
      <c r="G165" s="24" t="inlineStr">
        <is>
          <t>"check on CACS; rebuilt as shares x price or net proceeds"</t>
        </is>
      </c>
      <c r="H165" s="195" t="inlineStr">
        <is>
          <t>stated gross HK$16.5m rejected, below the net proceeds of HK$356.5m</t>
        </is>
      </c>
    </row>
    <row r="166" ht="23" customHeight="1">
      <c r="A166" s="206" t="inlineStr">
        <is>
          <t>1111</t>
        </is>
      </c>
      <c r="B166" s="32" t="inlineStr">
        <is>
          <t>HUASHI GROUP</t>
        </is>
      </c>
      <c r="C166" s="166" t="n">
        <v>130</v>
      </c>
      <c r="D166" s="195" t="inlineStr">
        <is>
          <t>gross (price x shares)</t>
        </is>
      </c>
      <c r="F166" s="195" t="inlineStr">
        <is>
          <t>no BDP field; check CACS</t>
        </is>
      </c>
      <c r="G166" s="24" t="inlineStr">
        <is>
          <t>"check on CACS; rebuilt as shares x price or net proceeds"</t>
        </is>
      </c>
      <c r="H166" s="195" t="inlineStr">
        <is>
          <t>stated gross HK$7.8m rejected, below the net proceeds of HK$72.1m</t>
        </is>
      </c>
    </row>
  </sheetData>
  <mergeCells count="1">
    <mergeCell ref="A2:H2"/>
  </mergeCells>
  <printOptions horizontalCentered="1"/>
  <pageMargins left="0.75" right="0.75" top="1" bottom="1" header="0.5" footer="0.5"/>
  <pageSetup orientation="landscape" paperSize="8" fitToHeight="0" fitToWidth="1"/>
</worksheet>
</file>

<file path=xl/worksheets/sheet14.xml><?xml version="1.0" encoding="utf-8"?>
<worksheet xmlns="http://schemas.openxmlformats.org/spreadsheetml/2006/main">
  <sheetPr>
    <outlinePr summaryBelow="1" summaryRight="1"/>
    <pageSetUpPr fitToPage="1"/>
  </sheetPr>
  <dimension ref="A1:G19"/>
  <sheetViews>
    <sheetView showGridLines="0" zoomScale="95"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ht="30" customHeight="1">
      <c r="A1" s="16" t="inlineStr">
        <is>
          <t>BOOK VS HKEX OFFICIAL STATISTICS</t>
        </is>
      </c>
    </row>
    <row r="2" ht="34" customHeight="1">
      <c r="A2" s="17" t="inlineStr">
        <is>
          <t>Book counts are IPOs with a public offer; official totals also include listings by introduction and transfers, so Delta should be small and positive.</t>
        </is>
      </c>
    </row>
    <row r="3"/>
    <row r="4" ht="30" customHeight="1">
      <c r="A4" s="26" t="inlineStr">
        <is>
          <t>Year</t>
        </is>
      </c>
      <c r="B4" s="26" t="inlineStr">
        <is>
          <t>Deals in book</t>
        </is>
      </c>
      <c r="C4" s="26" t="inlineStr">
        <is>
          <t>Official new listings</t>
        </is>
      </c>
      <c r="D4" s="26" t="inlineStr">
        <is>
          <t>Delta</t>
        </is>
      </c>
      <c r="E4" s="26" t="inlineStr">
        <is>
          <t>Book proceeds HK$bn</t>
        </is>
      </c>
      <c r="F4" s="26" t="inlineStr">
        <is>
          <t>Official IPO funds HK$bn</t>
        </is>
      </c>
      <c r="G4" s="26" t="inlineStr">
        <is>
          <t>Diff %</t>
        </is>
      </c>
    </row>
    <row r="5">
      <c r="A5" s="205" t="inlineStr">
        <is>
          <t>2021</t>
        </is>
      </c>
      <c r="B5" s="57">
        <f>COUNTIFS(Database!$H$5:$H$528,"&gt;="&amp;DATE(2021,1,1),Database!$H$5:$H$528,"&lt;="&amp;DATE(2021,12,31))</f>
        <v/>
      </c>
      <c r="C5" s="211" t="n"/>
      <c r="D5" s="57">
        <f>IF(C5="","n/a",C5-B5)</f>
        <v/>
      </c>
      <c r="E5" s="41">
        <f>SUMIFS(Database!$I$5:$I$528,Database!$H$5:$H$528,"&gt;="&amp;DATE(2021,1,1),Database!$H$5:$H$528,"&lt;="&amp;DATE(2021,12,31))/1000</f>
        <v/>
      </c>
      <c r="F5" s="212" t="n">
        <v>331.3</v>
      </c>
      <c r="G5" s="58">
        <f>IF(OR(F5="",E5=0),"n/a",F5/E5-1)</f>
        <v/>
      </c>
    </row>
    <row r="6">
      <c r="A6" s="205" t="inlineStr">
        <is>
          <t>2022</t>
        </is>
      </c>
      <c r="B6" s="57">
        <f>COUNTIFS(Database!$H$5:$H$528,"&gt;="&amp;DATE(2022,1,1),Database!$H$5:$H$528,"&lt;="&amp;DATE(2022,12,31))</f>
        <v/>
      </c>
      <c r="C6" s="191" t="n">
        <v>90</v>
      </c>
      <c r="D6" s="57">
        <f>IF(C6="","n/a",C6-B6)</f>
        <v/>
      </c>
      <c r="E6" s="41">
        <f>SUMIFS(Database!$I$5:$I$528,Database!$H$5:$H$528,"&gt;="&amp;DATE(2022,1,1),Database!$H$5:$H$528,"&lt;="&amp;DATE(2022,12,31))/1000</f>
        <v/>
      </c>
      <c r="F6" s="212" t="n">
        <v>104.6</v>
      </c>
      <c r="G6" s="58">
        <f>IF(OR(F6="",E6=0),"n/a",F6/E6-1)</f>
        <v/>
      </c>
    </row>
    <row r="7">
      <c r="A7" s="205" t="inlineStr">
        <is>
          <t>2023</t>
        </is>
      </c>
      <c r="B7" s="57">
        <f>COUNTIFS(Database!$H$5:$H$528,"&gt;="&amp;DATE(2023,1,1),Database!$H$5:$H$528,"&lt;="&amp;DATE(2023,12,31))</f>
        <v/>
      </c>
      <c r="C7" s="191" t="n">
        <v>73</v>
      </c>
      <c r="D7" s="57">
        <f>IF(C7="","n/a",C7-B7)</f>
        <v/>
      </c>
      <c r="E7" s="41">
        <f>SUMIFS(Database!$I$5:$I$528,Database!$H$5:$H$528,"&gt;="&amp;DATE(2023,1,1),Database!$H$5:$H$528,"&lt;="&amp;DATE(2023,12,31))/1000</f>
        <v/>
      </c>
      <c r="F7" s="212" t="n">
        <v>46.3</v>
      </c>
      <c r="G7" s="58">
        <f>IF(OR(F7="",E7=0),"n/a",F7/E7-1)</f>
        <v/>
      </c>
    </row>
    <row r="8">
      <c r="A8" s="205" t="inlineStr">
        <is>
          <t>2024</t>
        </is>
      </c>
      <c r="B8" s="57">
        <f>COUNTIFS(Database!$H$5:$H$528,"&gt;="&amp;DATE(2024,1,1),Database!$H$5:$H$528,"&lt;="&amp;DATE(2024,12,31))</f>
        <v/>
      </c>
      <c r="C8" s="191" t="n">
        <v>71</v>
      </c>
      <c r="D8" s="57">
        <f>IF(C8="","n/a",C8-B8)</f>
        <v/>
      </c>
      <c r="E8" s="41">
        <f>SUMIFS(Database!$I$5:$I$528,Database!$H$5:$H$528,"&gt;="&amp;DATE(2024,1,1),Database!$H$5:$H$528,"&lt;="&amp;DATE(2024,12,31))/1000</f>
        <v/>
      </c>
      <c r="F8" s="212" t="n">
        <v>87.5</v>
      </c>
      <c r="G8" s="58">
        <f>IF(OR(F8="",E8=0),"n/a",F8/E8-1)</f>
        <v/>
      </c>
    </row>
    <row r="9">
      <c r="A9" s="205" t="inlineStr">
        <is>
          <t>2025</t>
        </is>
      </c>
      <c r="B9" s="57">
        <f>COUNTIFS(Database!$H$5:$H$528,"&gt;="&amp;DATE(2025,1,1),Database!$H$5:$H$528,"&lt;="&amp;DATE(2025,12,31))</f>
        <v/>
      </c>
      <c r="C9" s="211" t="n"/>
      <c r="D9" s="57">
        <f>IF(C9="","n/a",C9-B9)</f>
        <v/>
      </c>
      <c r="E9" s="41">
        <f>SUMIFS(Database!$I$5:$I$528,Database!$H$5:$H$528,"&gt;="&amp;DATE(2025,1,1),Database!$H$5:$H$528,"&lt;="&amp;DATE(2025,12,31))/1000</f>
        <v/>
      </c>
      <c r="F9" s="213" t="n"/>
      <c r="G9" s="58">
        <f>IF(OR(F9="",E9=0),"n/a",F9/E9-1)</f>
        <v/>
      </c>
    </row>
    <row r="10">
      <c r="A10" s="205" t="inlineStr">
        <is>
          <t>2026</t>
        </is>
      </c>
      <c r="B10" s="57">
        <f>COUNTIFS(Database!$H$5:$H$528,"&gt;="&amp;DATE(2026,1,1),Database!$H$5:$H$528,"&lt;="&amp;DATE(2026,12,31))</f>
        <v/>
      </c>
      <c r="C10" s="211" t="n"/>
      <c r="D10" s="57">
        <f>IF(C10="","n/a",C10-B10)</f>
        <v/>
      </c>
      <c r="E10" s="41">
        <f>SUMIFS(Database!$I$5:$I$528,Database!$H$5:$H$528,"&gt;="&amp;DATE(2026,1,1),Database!$H$5:$H$528,"&lt;="&amp;DATE(2026,12,31))/1000</f>
        <v/>
      </c>
      <c r="F10" s="213" t="n"/>
      <c r="G10" s="58">
        <f>IF(OR(F10="",E10=0),"n/a",F10/E10-1)</f>
        <v/>
      </c>
    </row>
    <row r="11"/>
    <row r="12">
      <c r="A12" s="190" t="inlineStr">
        <is>
          <t>LANDMARK SPOT-CHECKS</t>
        </is>
      </c>
    </row>
    <row r="13" ht="30" customHeight="1">
      <c r="A13" s="26" t="inlineStr">
        <is>
          <t>Code</t>
        </is>
      </c>
      <c r="B13" s="26" t="inlineStr">
        <is>
          <t>Name</t>
        </is>
      </c>
      <c r="C13" s="26" t="inlineStr">
        <is>
          <t>Field</t>
        </is>
      </c>
      <c r="D13" s="26" t="inlineStr">
        <is>
          <t>Official</t>
        </is>
      </c>
      <c r="E13" s="26" t="inlineStr">
        <is>
          <t>In book</t>
        </is>
      </c>
      <c r="F13" s="26" t="inlineStr">
        <is>
          <t>Check</t>
        </is>
      </c>
    </row>
    <row r="14">
      <c r="A14" s="206" t="inlineStr">
        <is>
          <t>1024</t>
        </is>
      </c>
      <c r="B14" s="32" t="inlineStr">
        <is>
          <t>Kuaishou</t>
        </is>
      </c>
      <c r="C14" s="32" t="inlineStr">
        <is>
          <t>final_price</t>
        </is>
      </c>
      <c r="D14" s="210" t="n">
        <v>115</v>
      </c>
      <c r="E14" s="54">
        <f>INDEX(Database!$M$5:$M$528,MATCH("1024",Database!$A$5:$A$528,0))</f>
        <v/>
      </c>
      <c r="F14" s="24">
        <f>IF(E14="","MISSING",IF(ABS(E14-D14)/D14&lt;0.02,"OK","CHECK"))</f>
        <v/>
      </c>
    </row>
    <row r="15">
      <c r="A15" s="206" t="inlineStr">
        <is>
          <t>3750</t>
        </is>
      </c>
      <c r="B15" s="32" t="inlineStr">
        <is>
          <t>CATL (H)</t>
        </is>
      </c>
      <c r="C15" s="32" t="inlineStr">
        <is>
          <t>final_price</t>
        </is>
      </c>
      <c r="D15" s="210" t="n">
        <v>263</v>
      </c>
      <c r="E15" s="54">
        <f>INDEX(Database!$M$5:$M$528,MATCH("3750",Database!$A$5:$A$528,0))</f>
        <v/>
      </c>
      <c r="F15" s="24">
        <f>IF(E15="","MISSING",IF(ABS(E15-D15)/D15&lt;0.02,"OK","CHECK"))</f>
        <v/>
      </c>
    </row>
    <row r="16">
      <c r="A16" s="206" t="inlineStr">
        <is>
          <t>0300</t>
        </is>
      </c>
      <c r="B16" s="32" t="inlineStr">
        <is>
          <t>Midea Group (H)</t>
        </is>
      </c>
      <c r="C16" s="32" t="inlineStr">
        <is>
          <t>final_price</t>
        </is>
      </c>
      <c r="D16" s="210" t="n">
        <v>54.8</v>
      </c>
      <c r="E16" s="54">
        <f>INDEX(Database!$M$5:$M$528,MATCH("0300",Database!$A$5:$A$528,0))</f>
        <v/>
      </c>
      <c r="F16" s="24">
        <f>IF(E16="","MISSING",IF(ABS(E16-D16)/D16&lt;0.02,"OK","CHECK"))</f>
        <v/>
      </c>
    </row>
    <row r="17">
      <c r="A17" s="206" t="inlineStr">
        <is>
          <t>9660</t>
        </is>
      </c>
      <c r="B17" s="32" t="inlineStr">
        <is>
          <t>Horizon Robotics</t>
        </is>
      </c>
      <c r="C17" s="32" t="inlineStr">
        <is>
          <t>final_price</t>
        </is>
      </c>
      <c r="D17" s="210" t="n">
        <v>3.99</v>
      </c>
      <c r="E17" s="54">
        <f>INDEX(Database!$M$5:$M$528,MATCH("9660",Database!$A$5:$A$528,0))</f>
        <v/>
      </c>
      <c r="F17" s="24">
        <f>IF(E17="","MISSING",IF(ABS(E17-D17)/D17&lt;0.02,"OK","CHECK"))</f>
        <v/>
      </c>
    </row>
    <row r="18">
      <c r="A18" s="206" t="inlineStr">
        <is>
          <t>2097</t>
        </is>
      </c>
      <c r="B18" s="32" t="inlineStr">
        <is>
          <t>Mixue Group</t>
        </is>
      </c>
      <c r="C18" s="32" t="inlineStr">
        <is>
          <t>final_price</t>
        </is>
      </c>
      <c r="D18" s="210" t="n">
        <v>202.5</v>
      </c>
      <c r="E18" s="54">
        <f>INDEX(Database!$M$5:$M$528,MATCH("2097",Database!$A$5:$A$528,0))</f>
        <v/>
      </c>
      <c r="F18" s="24">
        <f>IF(E18="","MISSING",IF(ABS(E18-D18)/D18&lt;0.02,"OK","CHECK"))</f>
        <v/>
      </c>
    </row>
    <row r="19">
      <c r="A19" s="206" t="inlineStr">
        <is>
          <t>9696</t>
        </is>
      </c>
      <c r="B19" s="32" t="inlineStr">
        <is>
          <t>Tianqi Lithium (H)</t>
        </is>
      </c>
      <c r="C19" s="32" t="inlineStr">
        <is>
          <t>final_price</t>
        </is>
      </c>
      <c r="D19" s="210" t="n">
        <v>82</v>
      </c>
      <c r="E19" s="54">
        <f>INDEX(Database!$M$5:$M$528,MATCH("9696",Database!$A$5:$A$528,0))</f>
        <v/>
      </c>
      <c r="F19" s="24">
        <f>IF(E19="","MISSING",IF(ABS(E19-D19)/D19&lt;0.02,"OK","CHECK"))</f>
        <v/>
      </c>
    </row>
  </sheetData>
  <mergeCells count="1">
    <mergeCell ref="A2:G2"/>
  </mergeCells>
  <conditionalFormatting sqref="F14">
    <cfRule type="expression" priority="1" dxfId="0">
      <formula>$F14="CHECK"</formula>
    </cfRule>
  </conditionalFormatting>
  <conditionalFormatting sqref="F15">
    <cfRule type="expression" priority="2" dxfId="0">
      <formula>$F15="CHECK"</formula>
    </cfRule>
  </conditionalFormatting>
  <conditionalFormatting sqref="F16">
    <cfRule type="expression" priority="3" dxfId="0">
      <formula>$F16="CHECK"</formula>
    </cfRule>
  </conditionalFormatting>
  <conditionalFormatting sqref="F17">
    <cfRule type="expression" priority="4" dxfId="0">
      <formula>$F17="CHECK"</formula>
    </cfRule>
  </conditionalFormatting>
  <conditionalFormatting sqref="F18">
    <cfRule type="expression" priority="5" dxfId="0">
      <formula>$F18="CHECK"</formula>
    </cfRule>
  </conditionalFormatting>
  <conditionalFormatting sqref="F19">
    <cfRule type="expression" priority="6" dxfId="0">
      <formula>$F19="CHECK"</formula>
    </cfRule>
  </conditionalFormatting>
  <printOptions horizontalCentered="1"/>
  <pageMargins left="0.75" right="0.75" top="1" bottom="1" header="0.5" footer="0.5"/>
  <pageSetup orientation="landscape" paperSize="8" fitToHeight="0" fitToWidth="1"/>
</worksheet>
</file>

<file path=xl/worksheets/sheet15.xml><?xml version="1.0" encoding="utf-8"?>
<ns0:worksheet xmlns:ns0="http://schemas.openxmlformats.org/spreadsheetml/2006/main">
  <ns0:sheetPr>
    <ns0:outlinePr summaryBelow="1" summaryRight="1"/>
    <ns0:pageSetUpPr fitToPage="1"/>
  </ns0:sheetPr>
  <ns0:dimension ref="A1:AK531"/>
  <ns0:sheetViews>
    <ns0:sheetView showGridLines="0" zoomScale="95" workbookViewId="0">
      <ns0:selection activeCell="A1" sqref="A1"/>
    </ns0:sheetView>
  </ns0:sheetViews>
  <ns0:sheetFormatPr baseColWidth="8" defaultRowHeight="15"/>
  <ns0:sheetData>
    <ns0:row r="1"/>
    <ns0:row r="2">
      <ns0:c r="D2" t="inlineStr">
        <ns0:is>
          <ns0:t>Live CNYHKD</ns0:t>
        </ns0:is>
      </ns0:c>
      <ns0:c r="E2" t="str">
        <ns0:f>IF(AH!$E$4="Bloomberg",BDP("CNYHKD Curncy","LAST_PRICE"),"")</ns0:f>
        <ns0:v/>
      </ns0:c>
      <ns0:c r="P2" t="inlineStr">
        <ns0:is>
          <ns0:t>H code</ns0:t>
        </ns0:is>
      </ns0:c>
      <ns0:c r="Q2" t="inlineStr">
        <ns0:is>
          <ns0:t>H ticker</ns0:t>
        </ns0:is>
      </ns0:c>
      <ns0:c r="R2" t="inlineStr">
        <ns0:is>
          <ns0:t>A ticker</ns0:t>
        </ns0:is>
      </ns0:c>
      <ns0:c r="S2" t="inlineStr">
        <ns0:is>
          <ns0:t>Company</ns0:t>
        </ns0:is>
      </ns0:c>
      <ns0:c r="T2" t="inlineStr">
        <ns0:is>
          <ns0:t>Sector</ns0:t>
        </ns0:is>
      </ns0:c>
      <ns0:c r="U2" t="inlineStr">
        <ns0:is>
          <ns0:t>Subsector</ns0:t>
        </ns0:is>
      </ns0:c>
      <ns0:c r="V2" t="inlineStr">
        <ns0:is>
          <ns0:t>H listing</ns0:t>
        </ns0:is>
      </ns0:c>
      <ns0:c r="W2" t="inlineStr">
        <ns0:is>
          <ns0:t>IPO premium</ns0:t>
        </ns0:is>
      </ns0:c>
      <ns0:c r="X2" t="inlineStr">
        <ns0:is>
          <ns0:t>Cache start</ns0:t>
        </ns0:is>
      </ns0:c>
      <ns0:c r="Y2" t="inlineStr">
        <ns0:is>
          <ns0:t>Cache rows</ns0:t>
        </ns0:is>
      </ns0:c>
      <ns0:c r="Z2" t="inlineStr">
        <ns0:is>
          <ns0:t>Class review</ns0:t>
        </ns0:is>
      </ns0:c>
      <ns0:c r="AA2" t="inlineStr">
        <ns0:is>
          <ns0:t>Raw debut H</ns0:t>
        </ns0:is>
      </ns0:c>
      <ns0:c r="AB2" t="inlineStr">
        <ns0:is>
          <ns0:t>Cache through</ns0:t>
        </ns0:is>
      </ns0:c>
      <ns0:c r="AC2" t="inlineStr">
        <ns0:is>
          <ns0:t>A last CNY</ns0:t>
        </ns0:is>
      </ns0:c>
      <ns0:c r="AD2" t="inlineStr">
        <ns0:is>
          <ns0:t>H last HKD</ns0:t>
        </ns0:is>
      </ns0:c>
      <ns0:c r="AE2" t="inlineStr">
        <ns0:is>
          <ns0:t>Latest premium</ns0:t>
        </ns0:is>
      </ns0:c>
      <ns0:c r="AF2" t="inlineStr">
        <ns0:is>
          <ns0:t>Stored A CNY</ns0:t>
        </ns0:is>
      </ns0:c>
      <ns0:c r="AG2" t="inlineStr">
        <ns0:is>
          <ns0:t>Stored H HKD</ns0:t>
        </ns0:is>
      </ns0:c>
      <ns0:c r="AH2" t="inlineStr">
        <ns0:is>
          <ns0:t>Stored CNYHKD</ns0:t>
        </ns0:is>
      </ns0:c>
      <ns0:c r="AI2" t="inlineStr">
        <ns0:is>
          <ns0:t>Stored A date</ns0:t>
        </ns0:is>
      </ns0:c>
      <ns0:c r="AJ2" t="inlineStr">
        <ns0:is>
          <ns0:t>Stored FX date</ns0:t>
        </ns0:is>
      </ns0:c>
      <ns0:c r="AK2" t="inlineStr">
        <ns0:is>
          <ns0:t>Selected CNYHKD</ns0:t>
        </ns0:is>
      </ns0:c>
    </ns0:row>
    <ns0:row r="3">
      <ns0:c r="P3" t="inlineStr">
        <ns0:is>
          <ns0:t>0668</ns0:t>
        </ns0:is>
      </ns0:c>
      <ns0:c r="Q3" t="inlineStr">
        <ns0:is>
          <ns0:t>668 HK Equity</ns0:t>
        </ns0:is>
      </ns0:c>
      <ns0:c r="R3" t="inlineStr">
        <ns0:is>
          <ns0:t>300866 CH Equity</ns0:t>
        </ns0:is>
      </ns0:c>
      <ns0:c r="S3" t="inlineStr">
        <ns0:is>
          <ns0:t>ANKER</ns0:t>
        </ns0:is>
      </ns0:c>
      <ns0:c r="T3" t="inlineStr">
        <ns0:is>
          <ns0:t>Technology</ns0:t>
        </ns0:is>
      </ns0:c>
      <ns0:c r="U3" t="inlineStr">
        <ns0:is>
          <ns0:t>Hardware &amp; electronics</ns0:t>
        </ns0:is>
      </ns0:c>
      <ns0:c r="V3" s="214" t="n">
        <ns0:v>46205</ns0:v>
      </ns0:c>
      <ns0:c r="W3" t="n">
        <ns0:v>0.2520261144162763</ns0:v>
      </ns0:c>
      <ns0:c r="X3" t="n">
        <ns0:v>2</ns0:v>
      </ns0:c>
      <ns0:c r="Y3" t="n">
        <ns0:v>66</ns0:v>
      </ns0:c>
      <ns0:c r="Z3" t="n">
        <ns0:v>0</ns0:v>
      </ns0:c>
      <ns0:c r="AA3" t="n">
        <ns0:v>114.9</ns0:v>
      </ns0:c>
      <ns0:c r="AB3" s="214" t="n">
        <ns0:v>46297</ns0:v>
      </ns0:c>
      <ns0:c r="AC3">
        <ns0:f>IF(AH!$E$4="Bloomberg",BDP($R3,"LAST_PRICE"),IF(AH!$E$4="Stored",IF(ISNUMBER(AF3),AF3,""),""))</ns0:f>
        <ns0:v>124.63</ns0:v>
      </ns0:c>
      <ns0:c r="AD3">
        <ns0:f>IF(AH!$E$4="Bloomberg",'IPO Live'!D12,IF(AH!$E$4="Stored",AG3,""))</ns0:f>
        <ns0:v>114.0</ns0:v>
      </ns0:c>
      <ns0:c r="AE3">
        <ns0:f>IFERROR(IF($Z3=1,"Class ratio review",IF(AND(ISNUMBER(AC3),AC3&gt;0,ISNUMBER(AD3),AD3&gt;0,ISNUMBER(AK3),AK3&gt;0,OR(AH!$E$4="Bloomberg",AND(ISNUMBER(AI3),ISNUMBER(AJ3),AI3&lt;=AB3,AJ3&lt;=AB3,AB3-AI3&lt;=10,AB3-AJ3&lt;=5))),AC3*AK3/AD3-1,"")),"")</ns0:f>
        <ns0:v>0.2793389441151368</ns0:v>
      </ns0:c>
      <ns0:c r="AF3" t="n">
        <ns0:v>124.63</ns0:v>
      </ns0:c>
      <ns0:c r="AG3" t="n">
        <ns0:v>114</ns0:v>
      </ns0:c>
      <ns0:c r="AH3" t="n">
        <ns0:v>1.170220971107483</ns0:v>
      </ns0:c>
      <ns0:c r="AI3" s="214" t="n">
        <ns0:v>46295</ns0:v>
      </ns0:c>
      <ns0:c r="AJ3" s="214" t="n">
        <ns0:v>46297</ns0:v>
      </ns0:c>
      <ns0:c r="AK3">
        <ns0:f>IF(AH!$E$4="Stored",IF(ISNUMBER(AH3),AH3,""),IF(AH!$E$4="Bloomberg",$E$2,""))</ns0:f>
        <ns0:v>1.170220971107483</ns0:v>
      </ns0:c>
    </ns0:row>
    <ns0:row r="4">
      <ns0:c r="P4" t="inlineStr">
        <ns0:is>
          <ns0:t>6951</ns0:t>
        </ns0:is>
      </ns0:c>
      <ns0:c r="Q4" t="inlineStr">
        <ns0:is>
          <ns0:t>6951 HK Equity</ns0:t>
        </ns0:is>
      </ns0:c>
      <ns0:c r="R4" t="inlineStr">
        <ns0:is>
          <ns0:t>300408 CH Equity</ns0:t>
        </ns0:is>
      </ns0:c>
      <ns0:c r="S4" t="inlineStr">
        <ns0:is>
          <ns0:t>CCTC</ns0:t>
        </ns0:is>
      </ns0:c>
      <ns0:c r="T4" t="inlineStr">
        <ns0:is>
          <ns0:t>Technology</ns0:t>
        </ns0:is>
      </ns0:c>
      <ns0:c r="U4" t="inlineStr">
        <ns0:is>
          <ns0:t>Hardware &amp; electronics</ns0:t>
        </ns0:is>
      </ns0:c>
      <ns0:c r="V4" s="214" t="n">
        <ns0:v>46212</ns0:v>
      </ns0:c>
      <ns0:c r="W4" t="n">
        <ns0:v>0.500860406715397</ns0:v>
      </ns0:c>
      <ns0:c r="X4" t="n">
        <ns0:v>68</ns0:v>
      </ns0:c>
      <ns0:c r="Y4" t="n">
        <ns0:v>61</ns0:v>
      </ns0:c>
      <ns0:c r="Z4" t="n">
        <ns0:v>0</ns0:v>
      </ns0:c>
      <ns0:c r="AA4" t="n">
        <ns0:v>105</ns0:v>
      </ns0:c>
      <ns0:c r="AB4" s="214" t="n">
        <ns0:v>46297</ns0:v>
      </ns0:c>
      <ns0:c r="AC4">
        <ns0:f>IF(AH!$E$4="Bloomberg",BDP($R4,"LAST_PRICE"),IF(AH!$E$4="Stored",IF(ISNUMBER(AF4),AF4,""),""))</ns0:f>
        <ns0:v>117.33</ns0:v>
      </ns0:c>
      <ns0:c r="AD4">
        <ns0:f>IF(AH!$E$4="Bloomberg",'IPO Live'!D31,IF(AH!$E$4="Stored",AG4,""))</ns0:f>
        <ns0:v>124.1</ns0:v>
      </ns0:c>
      <ns0:c r="AE4">
        <ns0:f>IFERROR(IF($Z4=1,"Class ratio review",IF(AND(ISNUMBER(AC4),AC4&gt;0,ISNUMBER(AD4),AD4&gt;0,ISNUMBER(AK4),AK4&gt;0,OR(AH!$E$4="Bloomberg",AND(ISNUMBER(AI4),ISNUMBER(AJ4),AI4&lt;=AB4,AJ4&lt;=AB4,AB4-AI4&lt;=10,AB4-AJ4&lt;=5))),AC4*AK4/AD4-1,"")),"")</ns0:f>
        <ns0:v>0.10638216390041078</ns0:v>
      </ns0:c>
      <ns0:c r="AF4" t="n">
        <ns0:v>117.33</ns0:v>
      </ns0:c>
      <ns0:c r="AG4" t="n">
        <ns0:v>124.1</ns0:v>
      </ns0:c>
      <ns0:c r="AH4" t="n">
        <ns0:v>1.170220971107483</ns0:v>
      </ns0:c>
      <ns0:c r="AI4" s="214" t="n">
        <ns0:v>46295</ns0:v>
      </ns0:c>
      <ns0:c r="AJ4" s="214" t="n">
        <ns0:v>46297</ns0:v>
      </ns0:c>
      <ns0:c r="AK4">
        <ns0:f>IF(AH!$E$4="Stored",IF(ISNUMBER(AH4),AH4,""),IF(AH!$E$4="Bloomberg",$E$2,""))</ns0:f>
        <ns0:v>1.170220971107483</ns0:v>
      </ns0:c>
    </ns0:row>
    <ns0:row r="5">
      <ns0:c r="P5" t="inlineStr">
        <ns0:is>
          <ns0:t>9630</ns0:t>
        </ns0:is>
      </ns0:c>
      <ns0:c r="Q5" t="inlineStr">
        <ns0:is>
          <ns0:t>9630 HK Equity</ns0:t>
        </ns0:is>
      </ns0:c>
      <ns0:c r="R5" t="inlineStr">
        <ns0:is>
          <ns0:t>688630 CH Equity</ns0:t>
        </ns0:is>
      </ns0:c>
      <ns0:c r="S5" t="inlineStr">
        <ns0:is>
          <ns0:t>CFMEE</ns0:t>
        </ns0:is>
      </ns0:c>
      <ns0:c r="T5" t="inlineStr">
        <ns0:is>
          <ns0:t>Technology</ns0:t>
        </ns0:is>
      </ns0:c>
      <ns0:c r="U5" t="inlineStr">
        <ns0:is>
          <ns0:t>Semiconductors</ns0:t>
        </ns0:is>
      </ns0:c>
      <ns0:c r="V5" s="214" t="n">
        <ns0:v>46199</ns0:v>
      </ns0:c>
      <ns0:c r="W5" t="n">
        <ns0:v>1.536823708458356</ns0:v>
      </ns0:c>
      <ns0:c r="X5" t="n">
        <ns0:v>129</ns0:v>
      </ns0:c>
      <ns0:c r="Y5" t="n">
        <ns0:v>69</ns0:v>
      </ns0:c>
      <ns0:c r="Z5" t="n">
        <ns0:v>0</ns0:v>
      </ns0:c>
      <ns0:c r="AA5" t="n">
        <ns0:v>515</ns0:v>
      </ns0:c>
      <ns0:c r="AB5" s="214" t="n">
        <ns0:v>46297</ns0:v>
      </ns0:c>
      <ns0:c r="AC5">
        <ns0:f>IF(AH!$E$4="Bloomberg",BDP($R5,"LAST_PRICE"),IF(AH!$E$4="Stored",IF(ISNUMBER(AF5),AF5,""),""))</ns0:f>
        <ns0:v>388.68</ns0:v>
      </ns0:c>
      <ns0:c r="AD5">
        <ns0:f>IF(AH!$E$4="Bloomberg",'IPO Live'!D32,IF(AH!$E$4="Stored",AG5,""))</ns0:f>
        <ns0:v>320.0</ns0:v>
      </ns0:c>
      <ns0:c r="AE5">
        <ns0:f>IFERROR(IF($Z5=1,"Class ratio review",IF(AND(ISNUMBER(AC5),AC5&gt;0,ISNUMBER(AD5),AD5&gt;0,ISNUMBER(AK5),AK5&gt;0,OR(AH!$E$4="Bloomberg",AND(ISNUMBER(AI5),ISNUMBER(AJ5),AI5&lt;=AB5,AJ5&lt;=AB5,AB5-AI5&lt;=10,AB5-AJ5&lt;=5))),AC5*AK5/AD5-1,"")),"")</ns0:f>
        <ns0:v>0.4213796470314264</ns0:v>
      </ns0:c>
      <ns0:c r="AF5" t="n">
        <ns0:v>388.68</ns0:v>
      </ns0:c>
      <ns0:c r="AG5" t="n">
        <ns0:v>320</ns0:v>
      </ns0:c>
      <ns0:c r="AH5" t="n">
        <ns0:v>1.170220971107483</ns0:v>
      </ns0:c>
      <ns0:c r="AI5" s="214" t="n">
        <ns0:v>46295</ns0:v>
      </ns0:c>
      <ns0:c r="AJ5" s="214" t="n">
        <ns0:v>46297</ns0:v>
      </ns0:c>
      <ns0:c r="AK5">
        <ns0:f>IF(AH!$E$4="Stored",IF(ISNUMBER(AH5),AH5,""),IF(AH!$E$4="Bloomberg",$E$2,""))</ns0:f>
        <ns0:v>1.170220971107483</ns0:v>
      </ns0:c>
    </ns0:row>
    <ns0:row r="6">
      <ns0:c r="P6" t="inlineStr">
        <ns0:is>
          <ns0:t>6166</ns0:t>
        </ns0:is>
      </ns0:c>
      <ns0:c r="Q6" t="inlineStr">
        <ns0:is>
          <ns0:t>6166 HK Equity</ns0:t>
        </ns0:is>
      </ns0:c>
      <ns0:c r="R6" t="inlineStr">
        <ns0:is>
          <ns0:t>603083 CH Equity</ns0:t>
        </ns0:is>
      </ns0:c>
      <ns0:c r="S6" t="inlineStr">
        <ns0:is>
          <ns0:t>CIG</ns0:t>
        </ns0:is>
      </ns0:c>
      <ns0:c r="T6" t="inlineStr">
        <ns0:is>
          <ns0:t>Technology</ns0:t>
        </ns0:is>
      </ns0:c>
      <ns0:c r="U6" t="inlineStr">
        <ns0:is>
          <ns0:t>Hardware &amp; electronics</ns0:t>
        </ns0:is>
      </ns0:c>
      <ns0:c r="V6" s="214" t="n">
        <ns0:v>45958</ns0:v>
      </ns0:c>
      <ns0:c r="W6" t="n">
        <ns0:v>0.8847835136622919</ns0:v>
      </ns0:c>
      <ns0:c r="X6" t="n">
        <ns0:v>198</ns0:v>
      </ns0:c>
      <ns0:c r="Y6" t="n">
        <ns0:v>229</ns0:v>
      </ns0:c>
      <ns0:c r="Z6" t="n">
        <ns0:v>0</ns0:v>
      </ns0:c>
      <ns0:c r="AA6" t="n">
        <ns0:v>92.2</ns0:v>
      </ns0:c>
      <ns0:c r="AB6" s="214" t="n">
        <ns0:v>46297</ns0:v>
      </ns0:c>
      <ns0:c r="AC6">
        <ns0:f>IF(AH!$E$4="Bloomberg",BDP($R6,"LAST_PRICE"),IF(AH!$E$4="Stored",IF(ISNUMBER(AF6),AF6,""),""))</ns0:f>
        <ns0:v>205.45</ns0:v>
      </ns0:c>
      <ns0:c r="AD6">
        <ns0:f>IF(AH!$E$4="Bloomberg",'IPO Live'!D36,IF(AH!$E$4="Stored",AG6,""))</ns0:f>
        <ns0:v>112.8</ns0:v>
      </ns0:c>
      <ns0:c r="AE6">
        <ns0:f>IFERROR(IF($Z6=1,"Class ratio review",IF(AND(ISNUMBER(AC6),AC6&gt;0,ISNUMBER(AD6),AD6&gt;0,ISNUMBER(AK6),AK6&gt;0,OR(AH!$E$4="Bloomberg",AND(ISNUMBER(AI6),ISNUMBER(AJ6),AI6&lt;=AB6,AJ6&lt;=AB6,AB6-AI6&lt;=10,AB6-AJ6&lt;=5))),AC6*AK6/AD6-1,"")),"")</ns0:f>
        <ns0:v>1.1313998095215636</ns0:v>
      </ns0:c>
      <ns0:c r="AF6" t="n">
        <ns0:v>205.45</ns0:v>
      </ns0:c>
      <ns0:c r="AG6" t="n">
        <ns0:v>112.8</ns0:v>
      </ns0:c>
      <ns0:c r="AH6" t="n">
        <ns0:v>1.170220971107483</ns0:v>
      </ns0:c>
      <ns0:c r="AI6" s="214" t="n">
        <ns0:v>46295</ns0:v>
      </ns0:c>
      <ns0:c r="AJ6" s="214" t="n">
        <ns0:v>46297</ns0:v>
      </ns0:c>
      <ns0:c r="AK6">
        <ns0:f>IF(AH!$E$4="Stored",IF(ISNUMBER(AH6),AH6,""),IF(AH!$E$4="Bloomberg",$E$2,""))</ns0:f>
        <ns0:v>1.170220971107483</ns0:v>
      </ns0:c>
    </ns0:row>
    <ns0:row r="7">
      <ns0:c r="A7" t="inlineStr">
        <ns0:is>
          <ns0:t>Bloomberg H ticker</ns0:t>
        </ns0:is>
      </ns0:c>
      <ns0:c r="B7" t="inlineStr">
        <ns0:is>
          <ns0:t>Previous trading-day close</ns0:t>
        </ns0:is>
      </ns0:c>
      <ns0:c r="P7" t="inlineStr">
        <ns0:is>
          <ns0:t>1989</ns0:t>
        </ns0:is>
      </ns0:c>
      <ns0:c r="Q7" t="inlineStr">
        <ns0:is>
          <ns0:t>1989 HK Equity</ns0:t>
        </ns0:is>
      </ns0:c>
      <ns0:c r="R7" t="inlineStr">
        <ns0:is>
          <ns0:t>001389 CH Equity</ns0:t>
        </ns0:is>
      </ns0:c>
      <ns0:c r="S7" t="inlineStr">
        <ns0:is>
          <ns0:t>DELTON</ns0:t>
        </ns0:is>
      </ns0:c>
      <ns0:c r="T7" t="inlineStr">
        <ns0:is>
          <ns0:t>Technology</ns0:t>
        </ns0:is>
      </ns0:c>
      <ns0:c r="U7" t="inlineStr">
        <ns0:is>
          <ns0:t>Hardware &amp; electronics</ns0:t>
        </ns0:is>
      </ns0:c>
      <ns0:c r="V7" s="214" t="n">
        <ns0:v>46101</ns0:v>
      </ns0:c>
      <ns0:c r="W7" t="n">
        <ns0:v>0.8355779793107252</ns0:v>
      </ns0:c>
      <ns0:c r="X7" t="n">
        <ns0:v>427</ns0:v>
      </ns0:c>
      <ns0:c r="Y7" t="n">
        <ns0:v>133</ns0:v>
      </ns0:c>
      <ns0:c r="Z7" t="n">
        <ns0:v>0</ns0:v>
      </ns0:c>
      <ns0:c r="AA7" t="n">
        <ns0:v>96</ns0:v>
      </ns0:c>
      <ns0:c r="AB7" s="214" t="n">
        <ns0:v>46297</ns0:v>
      </ns0:c>
      <ns0:c r="AC7">
        <ns0:f>IF(AH!$E$4="Bloomberg",BDP($R7,"LAST_PRICE"),IF(AH!$E$4="Stored",IF(ISNUMBER(AF7),AF7,""),""))</ns0:f>
        <ns0:v>176.66</ns0:v>
      </ns0:c>
      <ns0:c r="AD7">
        <ns0:f>IF(AH!$E$4="Bloomberg",'IPO Live'!D44,IF(AH!$E$4="Stored",AG7,""))</ns0:f>
        <ns0:v>118.1</ns0:v>
      </ns0:c>
      <ns0:c r="AE7">
        <ns0:f>IFERROR(IF($Z7=1,"Class ratio review",IF(AND(ISNUMBER(AC7),AC7&gt;0,ISNUMBER(AD7),AD7&gt;0,ISNUMBER(AK7),AK7&gt;0,OR(AH!$E$4="Bloomberg",AND(ISNUMBER(AI7),ISNUMBER(AJ7),AI7&lt;=AB7,AJ7&lt;=AB7,AB7-AI7&lt;=10,AB7-AJ7&lt;=5))),AC7*AK7/AD7-1,"")),"")</ns0:f>
        <ns0:v>0.7504761791350376</ns0:v>
      </ns0:c>
      <ns0:c r="AF7" t="n">
        <ns0:v>176.66</ns0:v>
      </ns0:c>
      <ns0:c r="AG7" t="n">
        <ns0:v>118.1</ns0:v>
      </ns0:c>
      <ns0:c r="AH7" t="n">
        <ns0:v>1.170220971107483</ns0:v>
      </ns0:c>
      <ns0:c r="AI7" s="214" t="n">
        <ns0:v>46295</ns0:v>
      </ns0:c>
      <ns0:c r="AJ7" s="214" t="n">
        <ns0:v>46297</ns0:v>
      </ns0:c>
      <ns0:c r="AK7">
        <ns0:f>IF(AH!$E$4="Stored",IF(ISNUMBER(AH7),AH7,""),IF(AH!$E$4="Bloomberg",$E$2,""))</ns0:f>
        <ns0:v>1.170220971107483</ns0:v>
      </ns0:c>
    </ns0:row>
    <ns0:row r="8">
      <ns0:c r="A8" t="inlineStr">
        <ns0:is>
          <ns0:t>3660 HK Equity</ns0:t>
        </ns0:is>
      </ns0:c>
      <ns0:c r="B8">
        <ns0:f>IF('IPO Live'!$A8="","",BDP('IPO Live'!$A8,"PX_YEST_CLOSE"))</ns0:f>
        <ns0:v/>
      </ns0:c>
      <ns0:c r="P8" t="inlineStr">
        <ns0:is>
          <ns0:t>1377</ns0:t>
        </ns0:is>
      </ns0:c>
      <ns0:c r="Q8" t="inlineStr">
        <ns0:is>
          <ns0:t>1377 HK Equity</ns0:t>
        </ns0:is>
      </ns0:c>
      <ns0:c r="R8" t="inlineStr">
        <ns0:is>
          <ns0:t>301377 CH Equity</ns0:t>
        </ns0:is>
      </ns0:c>
      <ns0:c r="S8" t="inlineStr">
        <ns0:is>
          <ns0:t>DTECH</ns0:t>
        </ns0:is>
      </ns0:c>
      <ns0:c r="T8" t="inlineStr">
        <ns0:is>
          <ns0:t>Technology</ns0:t>
        </ns0:is>
      </ns0:c>
      <ns0:c r="U8" t="inlineStr">
        <ns0:is>
          <ns0:t>Hardware &amp; electronics</ns0:t>
        </ns0:is>
      </ns0:c>
      <ns0:c r="V8" s="214" t="n">
        <ns0:v>46212</ns0:v>
      </ns0:c>
      <ns0:c r="W8" t="n">
        <ns0:v>0.4368609141676048</ns0:v>
      </ns0:c>
      <ns0:c r="X8" t="n">
        <ns0:v>560</ns0:v>
      </ns0:c>
      <ns0:c r="Y8" t="n">
        <ns0:v>61</ns0:v>
      </ns0:c>
      <ns0:c r="Z8" t="n">
        <ns0:v>0</ns0:v>
      </ns0:c>
      <ns0:c r="AA8" t="n">
        <ns0:v>373.2</ns0:v>
      </ns0:c>
      <ns0:c r="AB8" s="214" t="n">
        <ns0:v>46297</ns0:v>
      </ns0:c>
      <ns0:c r="AC8">
        <ns0:f>IF(AH!$E$4="Bloomberg",BDP($R8,"LAST_PRICE"),IF(AH!$E$4="Stored",IF(ISNUMBER(AF8),AF8,""),""))</ns0:f>
        <ns0:v>341.0</ns0:v>
      </ns0:c>
      <ns0:c r="AD8">
        <ns0:f>IF(AH!$E$4="Bloomberg",'IPO Live'!D50,IF(AH!$E$4="Stored",AG8,""))</ns0:f>
        <ns0:v>260.6</ns0:v>
      </ns0:c>
      <ns0:c r="AE8">
        <ns0:f>IFERROR(IF($Z8=1,"Class ratio review",IF(AND(ISNUMBER(AC8),AC8&gt;0,ISNUMBER(AD8),AD8&gt;0,ISNUMBER(AK8),AK8&gt;0,OR(AH!$E$4="Bloomberg",AND(ISNUMBER(AI8),ISNUMBER(AJ8),AI8&lt;=AB8,AJ8&lt;=AB8,AB8-AI8&lt;=10,AB8-AJ8&lt;=5))),AC8*AK8/AD8-1,"")),"")</ns0:f>
        <ns0:v>0.5312561440815489</ns0:v>
      </ns0:c>
      <ns0:c r="AF8" t="n">
        <ns0:v>341</ns0:v>
      </ns0:c>
      <ns0:c r="AG8" t="n">
        <ns0:v>260.6</ns0:v>
      </ns0:c>
      <ns0:c r="AH8" t="n">
        <ns0:v>1.170220971107483</ns0:v>
      </ns0:c>
      <ns0:c r="AI8" s="214" t="n">
        <ns0:v>46295</ns0:v>
      </ns0:c>
      <ns0:c r="AJ8" s="214" t="n">
        <ns0:v>46297</ns0:v>
      </ns0:c>
      <ns0:c r="AK8">
        <ns0:f>IF(AH!$E$4="Stored",IF(ISNUMBER(AH8),AH8,""),IF(AH!$E$4="Bloomberg",$E$2,""))</ns0:f>
        <ns0:v>1.170220971107483</ns0:v>
      </ns0:c>
    </ns0:row>
    <ns0:row r="9">
      <ns0:c r="A9" t="inlineStr">
        <ns0:is>
          <ns0:t>6651 HK Equity</ns0:t>
        </ns0:is>
      </ns0:c>
      <ns0:c r="B9">
        <ns0:f>IF('IPO Live'!$A9="","",BDP('IPO Live'!$A9,"PX_YEST_CLOSE"))</ns0:f>
        <ns0:v/>
      </ns0:c>
      <ns0:c r="P9" t="inlineStr">
        <ns0:is>
          <ns0:t>2715</ns0:t>
        </ns0:is>
      </ns0:c>
      <ns0:c r="Q9" t="inlineStr">
        <ns0:is>
          <ns0:t>2715 HK Equity</ns0:t>
        </ns0:is>
      </ns0:c>
      <ns0:c r="R9" t="inlineStr">
        <ns0:is>
          <ns0:t>002747 CH Equity</ns0:t>
        </ns0:is>
      </ns0:c>
      <ns0:c r="S9" t="inlineStr">
        <ns0:is>
          <ns0:t>ESTUN</ns0:t>
        </ns0:is>
      </ns0:c>
      <ns0:c r="T9" t="inlineStr">
        <ns0:is>
          <ns0:t>Technology</ns0:t>
        </ns0:is>
      </ns0:c>
      <ns0:c r="U9" t="inlineStr">
        <ns0:is>
          <ns0:t>Robotics &amp; autonomous driving</ns0:t>
        </ns0:is>
      </ns0:c>
      <ns0:c r="V9" s="214" t="n">
        <ns0:v>46090</ns0:v>
      </ns0:c>
      <ns0:c r="W9" t="n">
        <ns0:v>0.6403917085845023</ns0:v>
      </ns0:c>
      <ns0:c r="X9" t="n">
        <ns0:v>621</ns0:v>
      </ns0:c>
      <ns0:c r="Y9" t="n">
        <ns0:v>142</ns0:v>
      </ns0:c>
      <ns0:c r="Z9" t="n">
        <ns0:v>0</ns0:v>
      </ns0:c>
      <ns0:c r="AA9" t="n">
        <ns0:v>12.9</ns0:v>
      </ns0:c>
      <ns0:c r="AB9" s="214" t="n">
        <ns0:v>46297</ns0:v>
      </ns0:c>
      <ns0:c r="AC9">
        <ns0:f>IF(AH!$E$4="Bloomberg",BDP($R9,"LAST_PRICE"),IF(AH!$E$4="Stored",IF(ISNUMBER(AF9),AF9,""),""))</ns0:f>
        <ns0:v>28.22</ns0:v>
      </ns0:c>
      <ns0:c r="AD9">
        <ns0:f>IF(AH!$E$4="Bloomberg",'IPO Live'!D55,IF(AH!$E$4="Stored",AG9,""))</ns0:f>
        <ns0:v>14.09</ns0:v>
      </ns0:c>
      <ns0:c r="AE9">
        <ns0:f>IFERROR(IF($Z9=1,"Class ratio review",IF(AND(ISNUMBER(AC9),AC9&gt;0,ISNUMBER(AD9),AD9&gt;0,ISNUMBER(AK9),AK9&gt;0,OR(AH!$E$4="Bloomberg",AND(ISNUMBER(AI9),ISNUMBER(AJ9),AI9&lt;=AB9,AJ9&lt;=AB9,AB9-AI9&lt;=10,AB9-AJ9&lt;=5))),AC9*AK9/AD9-1,"")),"")</ns0:f>
        <ns0:v>1.3437640741414598</ns0:v>
      </ns0:c>
      <ns0:c r="AF9" t="n">
        <ns0:v>28.22</ns0:v>
      </ns0:c>
      <ns0:c r="AG9" t="n">
        <ns0:v>14.09</ns0:v>
      </ns0:c>
      <ns0:c r="AH9" t="n">
        <ns0:v>1.170220971107483</ns0:v>
      </ns0:c>
      <ns0:c r="AI9" s="214" t="n">
        <ns0:v>46295</ns0:v>
      </ns0:c>
      <ns0:c r="AJ9" s="214" t="n">
        <ns0:v>46297</ns0:v>
      </ns0:c>
      <ns0:c r="AK9">
        <ns0:f>IF(AH!$E$4="Stored",IF(ISNUMBER(AH9),AH9,""),IF(AH!$E$4="Bloomberg",$E$2,""))</ns0:f>
        <ns0:v>1.170220971107483</ns0:v>
      </ns0:c>
    </ns0:row>
    <ns0:row r="10">
      <ns0:c r="A10" t="inlineStr">
        <ns0:is>
          <ns0:t>2687 HK Equity</ns0:t>
        </ns0:is>
      </ns0:c>
      <ns0:c r="B10">
        <ns0:f>IF('IPO Live'!$A10="","",BDP('IPO Live'!$A10,"PX_YEST_CLOSE"))</ns0:f>
        <ns0:v/>
      </ns0:c>
      <ns0:c r="P10" t="inlineStr">
        <ns0:is>
          <ns0:t>0638</ns0:t>
        </ns0:is>
      </ns0:c>
      <ns0:c r="Q10" t="inlineStr">
        <ns0:is>
          <ns0:t>638 HK Equity</ns0:t>
        </ns0:is>
      </ns0:c>
      <ns0:c r="R10" t="inlineStr">
        <ns0:is>
          <ns0:t>300638 CH Equity</ns0:t>
        </ns0:is>
      </ns0:c>
      <ns0:c r="S10" t="inlineStr">
        <ns0:is>
          <ns0:t>FIBOCOM</ns0:t>
        </ns0:is>
      </ns0:c>
      <ns0:c r="T10" t="inlineStr">
        <ns0:is>
          <ns0:t>Technology</ns0:t>
        </ns0:is>
      </ns0:c>
      <ns0:c r="U10" t="inlineStr">
        <ns0:is>
          <ns0:t>Hardware &amp; electronics</ns0:t>
        </ns0:is>
      </ns0:c>
      <ns0:c r="V10" s="214" t="n">
        <ns0:v>45952</ns0:v>
      </ns0:c>
      <ns0:c r="W10" t="n">
        <ns0:v>0.5188276997277903</ns0:v>
      </ns0:c>
      <ns0:c r="X10" t="n">
        <ns0:v>763</ns0:v>
      </ns0:c>
      <ns0:c r="Y10" t="n">
        <ns0:v>233</ns0:v>
      </ns0:c>
      <ns0:c r="Z10" t="n">
        <ns0:v>0</ns0:v>
      </ns0:c>
      <ns0:c r="AA10" t="n">
        <ns0:v>18.98</ns0:v>
      </ns0:c>
      <ns0:c r="AB10" s="214" t="n">
        <ns0:v>46297</ns0:v>
      </ns0:c>
      <ns0:c r="AC10">
        <ns0:f>IF(AH!$E$4="Bloomberg",BDP($R10,"LAST_PRICE"),IF(AH!$E$4="Stored",IF(ISNUMBER(AF10),AF10,""),""))</ns0:f>
        <ns0:v>19.72</ns0:v>
      </ns0:c>
      <ns0:c r="AD10">
        <ns0:f>IF(AH!$E$4="Bloomberg",'IPO Live'!D58,IF(AH!$E$4="Stored",AG10,""))</ns0:f>
        <ns0:v>6.81</ns0:v>
      </ns0:c>
      <ns0:c r="AE10">
        <ns0:f>IFERROR(IF($Z10=1,"Class ratio review",IF(AND(ISNUMBER(AC10),AC10&gt;0,ISNUMBER(AD10),AD10&gt;0,ISNUMBER(AK10),AK10&gt;0,OR(AH!$E$4="Bloomberg",AND(ISNUMBER(AI10),ISNUMBER(AJ10),AI10&lt;=AB10,AJ10&lt;=AB10,AB10-AI10&lt;=10,AB10-AJ10&lt;=5))),AC10*AK10/AD10-1,"")),"")</ns0:f>
        <ns0:v>2.3886574963641065</ns0:v>
      </ns0:c>
      <ns0:c r="AF10" t="n">
        <ns0:v>19.72</ns0:v>
      </ns0:c>
      <ns0:c r="AG10" t="n">
        <ns0:v>6.81</ns0:v>
      </ns0:c>
      <ns0:c r="AH10" t="n">
        <ns0:v>1.170220971107483</ns0:v>
      </ns0:c>
      <ns0:c r="AI10" s="214" t="n">
        <ns0:v>46295</ns0:v>
      </ns0:c>
      <ns0:c r="AJ10" s="214" t="n">
        <ns0:v>46297</ns0:v>
      </ns0:c>
      <ns0:c r="AK10">
        <ns0:f>IF(AH!$E$4="Stored",IF(ISNUMBER(AH10),AH10,""),IF(AH!$E$4="Bloomberg",$E$2,""))</ns0:f>
        <ns0:v>1.170220971107483</ns0:v>
      </ns0:c>
    </ns0:row>
    <ns0:row r="11">
      <ns0:c r="A11" t="inlineStr">
        <ns0:is>
          <ns0:t>2121 HK Equity</ns0:t>
        </ns0:is>
      </ns0:c>
      <ns0:c r="B11">
        <ns0:f>IF('IPO Live'!$A11="","",BDP('IPO Live'!$A11,"PX_YEST_CLOSE"))</ns0:f>
        <ns0:v/>
      </ns0:c>
      <ns0:c r="P11" t="inlineStr">
        <ns0:is>
          <ns0:t>1304</ns0:t>
        </ns0:is>
      </ns0:c>
      <ns0:c r="Q11" t="inlineStr">
        <ns0:is>
          <ns0:t>1304 HK Equity</ns0:t>
        </ns0:is>
      </ns0:c>
      <ns0:c r="R11" t="inlineStr">
        <ns0:is>
          <ns0:t>688279 CH Equity</ns0:t>
        </ns0:is>
      </ns0:c>
      <ns0:c r="S11" t="inlineStr">
        <ns0:is>
          <ns0:t>FORTIOR</ns0:t>
        </ns0:is>
      </ns0:c>
      <ns0:c r="T11" t="inlineStr">
        <ns0:is>
          <ns0:t>Technology</ns0:t>
        </ns0:is>
      </ns0:c>
      <ns0:c r="U11" t="inlineStr">
        <ns0:is>
          <ns0:t>Semiconductors</ns0:t>
        </ns0:is>
      </ns0:c>
      <ns0:c r="V11" s="214" t="n">
        <ns0:v>45847</ns0:v>
      </ns0:c>
      <ns0:c r="W11" t="n">
        <ns0:v>0.6632199096283972</ns0:v>
      </ns0:c>
      <ns0:c r="X11" t="n">
        <ns0:v>996</ns0:v>
      </ns0:c>
      <ns0:c r="Y11" t="n">
        <ns0:v>306</ns0:v>
      </ns0:c>
      <ns0:c r="Z11" t="n">
        <ns0:v>0</ns0:v>
      </ns0:c>
      <ns0:c r="AA11" t="n">
        <ns0:v>139.8</ns0:v>
      </ns0:c>
      <ns0:c r="AB11" s="214" t="n">
        <ns0:v>46297</ns0:v>
      </ns0:c>
      <ns0:c r="AC11">
        <ns0:f>IF(AH!$E$4="Bloomberg",BDP($R11,"LAST_PRICE"),IF(AH!$E$4="Stored",IF(ISNUMBER(AF11),AF11,""),""))</ns0:f>
        <ns0:v>199.31</ns0:v>
      </ns0:c>
      <ns0:c r="AD11">
        <ns0:f>IF(AH!$E$4="Bloomberg",'IPO Live'!D59,IF(AH!$E$4="Stored",AG11,""))</ns0:f>
        <ns0:v>118.9</ns0:v>
      </ns0:c>
      <ns0:c r="AE11">
        <ns0:f>IFERROR(IF($Z11=1,"Class ratio review",IF(AND(ISNUMBER(AC11),AC11&gt;0,ISNUMBER(AD11),AD11&gt;0,ISNUMBER(AK11),AK11&gt;0,OR(AH!$E$4="Bloomberg",AND(ISNUMBER(AI11),ISNUMBER(AJ11),AI11&lt;=AB11,AJ11&lt;=AB11,AB11-AI11&lt;=10,AB11-AJ11&lt;=5))),AC11*AK11/AD11-1,"")),"")</ns0:f>
        <ns0:v>0.9616210408026276</ns0:v>
      </ns0:c>
      <ns0:c r="AF11" t="n">
        <ns0:v>199.31</ns0:v>
      </ns0:c>
      <ns0:c r="AG11" t="n">
        <ns0:v>118.9</ns0:v>
      </ns0:c>
      <ns0:c r="AH11" t="n">
        <ns0:v>1.170220971107483</ns0:v>
      </ns0:c>
      <ns0:c r="AI11" s="214" t="n">
        <ns0:v>46295</ns0:v>
      </ns0:c>
      <ns0:c r="AJ11" s="214" t="n">
        <ns0:v>46297</ns0:v>
      </ns0:c>
      <ns0:c r="AK11">
        <ns0:f>IF(AH!$E$4="Stored",IF(ISNUMBER(AH11),AH11,""),IF(AH!$E$4="Bloomberg",$E$2,""))</ns0:f>
        <ns0:v>1.170220971107483</ns0:v>
      </ns0:c>
    </ns0:row>
    <ns0:row r="12">
      <ns0:c r="A12" t="inlineStr">
        <ns0:is>
          <ns0:t>668 HK Equity</ns0:t>
        </ns0:is>
      </ns0:c>
      <ns0:c r="B12">
        <ns0:f>IF('IPO Live'!$A12="","",BDP('IPO Live'!$A12,"PX_YEST_CLOSE"))</ns0:f>
        <ns0:v/>
      </ns0:c>
      <ns0:c r="P12" t="inlineStr">
        <ns0:is>
          <ns0:t>3986</ns0:t>
        </ns0:is>
      </ns0:c>
      <ns0:c r="Q12" t="inlineStr">
        <ns0:is>
          <ns0:t>3986 HK Equity</ns0:t>
        </ns0:is>
      </ns0:c>
      <ns0:c r="R12" t="inlineStr">
        <ns0:is>
          <ns0:t>603986 CH Equity</ns0:t>
        </ns0:is>
      </ns0:c>
      <ns0:c r="S12" t="inlineStr">
        <ns0:is>
          <ns0:t>GIGADEVICE</ns0:t>
        </ns0:is>
      </ns0:c>
      <ns0:c r="T12" t="inlineStr">
        <ns0:is>
          <ns0:t>Technology</ns0:t>
        </ns0:is>
      </ns0:c>
      <ns0:c r="U12" t="inlineStr">
        <ns0:is>
          <ns0:t>Semiconductors</ns0:t>
        </ns0:is>
      </ns0:c>
      <ns0:c r="V12" s="214" t="n">
        <ns0:v>46035</ns0:v>
      </ns0:c>
      <ns0:c r="W12" t="n">
        <ns0:v>0.8053598039459299</ns0:v>
      </ns0:c>
      <ns0:c r="X12" t="n">
        <ns0:v>1302</ns0:v>
      </ns0:c>
      <ns0:c r="Y12" t="n">
        <ns0:v>178</ns0:v>
      </ns0:c>
      <ns0:c r="Z12" t="n">
        <ns0:v>0</ns0:v>
      </ns0:c>
      <ns0:c r="AA12" t="n">
        <ns0:v>222.8</ns0:v>
      </ns0:c>
      <ns0:c r="AB12" s="214" t="n">
        <ns0:v>46297</ns0:v>
      </ns0:c>
      <ns0:c r="AC12">
        <ns0:f>IF(AH!$E$4="Bloomberg",BDP($R12,"LAST_PRICE"),IF(AH!$E$4="Stored",IF(ISNUMBER(AF12),AF12,""),""))</ns0:f>
        <ns0:v>353.9</ns0:v>
      </ns0:c>
      <ns0:c r="AD12">
        <ns0:f>IF(AH!$E$4="Bloomberg",'IPO Live'!D66,IF(AH!$E$4="Stored",AG12,""))</ns0:f>
        <ns0:v>454.8</ns0:v>
      </ns0:c>
      <ns0:c r="AE12">
        <ns0:f>IFERROR(IF($Z12=1,"Class ratio review",IF(AND(ISNUMBER(AC12),AC12&gt;0,ISNUMBER(AD12),AD12&gt;0,ISNUMBER(AK12),AK12&gt;0,OR(AH!$E$4="Bloomberg",AND(ISNUMBER(AI12),ISNUMBER(AJ12),AI12&lt;=AB12,AJ12&lt;=AB12,AB12-AI12&lt;=10,AB12-AJ12&lt;=5))),AC12*AK12/AD12-1,"")),"")</ns0:f>
        <ns0:v>-0.08939929271121771</ns0:v>
      </ns0:c>
      <ns0:c r="AF12" t="n">
        <ns0:v>353.9</ns0:v>
      </ns0:c>
      <ns0:c r="AG12" t="n">
        <ns0:v>454.8</ns0:v>
      </ns0:c>
      <ns0:c r="AH12" t="n">
        <ns0:v>1.170220971107483</ns0:v>
      </ns0:c>
      <ns0:c r="AI12" s="214" t="n">
        <ns0:v>46295</ns0:v>
      </ns0:c>
      <ns0:c r="AJ12" s="214" t="n">
        <ns0:v>46297</ns0:v>
      </ns0:c>
      <ns0:c r="AK12">
        <ns0:f>IF(AH!$E$4="Stored",IF(ISNUMBER(AH12),AH12,""),IF(AH!$E$4="Bloomberg",$E$2,""))</ns0:f>
        <ns0:v>1.170220971107483</ns0:v>
      </ns0:c>
    </ns0:row>
    <ns0:row r="13">
      <ns0:c r="A13" t="inlineStr">
        <ns0:is>
          <ns0:t>2551 HK Equity</ns0:t>
        </ns0:is>
      </ns0:c>
      <ns0:c r="B13">
        <ns0:f>IF('IPO Live'!$A13="","",BDP('IPO Live'!$A13,"PX_YEST_CLOSE"))</ns0:f>
        <ns0:v/>
      </ns0:c>
      <ns0:c r="P13" t="inlineStr">
        <ns0:is>
          <ns0:t>2768</ns0:t>
        </ns0:is>
      </ns0:c>
      <ns0:c r="Q13" t="inlineStr">
        <ns0:is>
          <ns0:t>2768 HK Equity</ns0:t>
        </ns0:is>
      </ns0:c>
      <ns0:c r="R13" t="inlineStr">
        <ns0:is>
          <ns0:t>002768 CH Equity</ns0:t>
        </ns0:is>
      </ns0:c>
      <ns0:c r="S13" t="inlineStr">
        <ns0:is>
          <ns0:t>GON TECHNOLOGY</ns0:t>
        </ns0:is>
      </ns0:c>
      <ns0:c r="T13" t="inlineStr">
        <ns0:is>
          <ns0:t>Technology</ns0:t>
        </ns0:is>
      </ns0:c>
      <ns0:c r="U13" t="inlineStr">
        <ns0:is>
          <ns0:t>Hardware &amp; electronics</ns0:t>
        </ns0:is>
      </ns0:c>
      <ns0:c r="V13" s="214" t="n">
        <ns0:v>46057</ns0:v>
      </ns0:c>
      <ns0:c r="W13" t="n">
        <ns0:v>0.7410647090938356</ns0:v>
      </ns0:c>
      <ns0:c r="X13" t="n">
        <ns0:v>1480</ns0:v>
      </ns0:c>
      <ns0:c r="Y13" t="n">
        <ns0:v>162</ns0:v>
      </ns0:c>
      <ns0:c r="Z13" t="n">
        <ns0:v>0</ns0:v>
      </ns0:c>
      <ns0:c r="AA13" t="n">
        <ns0:v>40.16</ns0:v>
      </ns0:c>
      <ns0:c r="AB13" s="214" t="n">
        <ns0:v>46297</ns0:v>
      </ns0:c>
      <ns0:c r="AC13">
        <ns0:f>IF(AH!$E$4="Bloomberg",BDP($R13,"LAST_PRICE"),IF(AH!$E$4="Stored",IF(ISNUMBER(AF13),AF13,""),""))</ns0:f>
        <ns0:v>69.81</ns0:v>
      </ns0:c>
      <ns0:c r="AD13">
        <ns0:f>IF(AH!$E$4="Bloomberg",'IPO Live'!D67,IF(AH!$E$4="Stored",AG13,""))</ns0:f>
        <ns0:v>37.66</ns0:v>
      </ns0:c>
      <ns0:c r="AE13">
        <ns0:f>IFERROR(IF($Z13=1,"Class ratio review",IF(AND(ISNUMBER(AC13),AC13&gt;0,ISNUMBER(AD13),AD13&gt;0,ISNUMBER(AK13),AK13&gt;0,OR(AH!$E$4="Bloomberg",AND(ISNUMBER(AI13),ISNUMBER(AJ13),AI13&lt;=AB13,AJ13&lt;=AB13,AB13-AI13&lt;=10,AB13-AJ13&lt;=5))),AC13*AK13/AD13-1,"")),"")</ns0:f>
        <ns0:v>1.1692279870688633</ns0:v>
      </ns0:c>
      <ns0:c r="AF13" t="n">
        <ns0:v>69.81</ns0:v>
      </ns0:c>
      <ns0:c r="AG13" t="n">
        <ns0:v>37.66</ns0:v>
      </ns0:c>
      <ns0:c r="AH13" t="n">
        <ns0:v>1.170220971107483</ns0:v>
      </ns0:c>
      <ns0:c r="AI13" s="214" t="n">
        <ns0:v>46295</ns0:v>
      </ns0:c>
      <ns0:c r="AJ13" s="214" t="n">
        <ns0:v>46297</ns0:v>
      </ns0:c>
      <ns0:c r="AK13">
        <ns0:f>IF(AH!$E$4="Stored",IF(ISNUMBER(AH13),AH13,""),IF(AH!$E$4="Bloomberg",$E$2,""))</ns0:f>
        <ns0:v>1.170220971107483</ns0:v>
      </ns0:c>
    </ns0:row>
    <ns0:row r="14">
      <ns0:c r="A14" t="inlineStr">
        <ns0:is>
          <ns0:t>2518 HK Equity</ns0:t>
        </ns0:is>
      </ns0:c>
      <ns0:c r="B14">
        <ns0:f>IF('IPO Live'!$A14="","",BDP('IPO Live'!$A14,"PX_YEST_CLOSE"))</ns0:f>
        <ns0:v/>
      </ns0:c>
      <ns0:c r="P14" t="inlineStr">
        <ns0:is>
          <ns0:t>3296</ns0:t>
        </ns0:is>
      </ns0:c>
      <ns0:c r="Q14" t="inlineStr">
        <ns0:is>
          <ns0:t>3296 HK Equity</ns0:t>
        </ns0:is>
      </ns0:c>
      <ns0:c r="R14" t="inlineStr">
        <ns0:is>
          <ns0:t>603296 CH Equity</ns0:t>
        </ns0:is>
      </ns0:c>
      <ns0:c r="S14" t="inlineStr">
        <ns0:is>
          <ns0:t>HUAQIN</ns0:t>
        </ns0:is>
      </ns0:c>
      <ns0:c r="T14" t="inlineStr">
        <ns0:is>
          <ns0:t>Technology</ns0:t>
        </ns0:is>
      </ns0:c>
      <ns0:c r="U14" t="inlineStr">
        <ns0:is>
          <ns0:t>Hardware &amp; electronics</ns0:t>
        </ns0:is>
      </ns0:c>
      <ns0:c r="V14" s="214" t="n">
        <ns0:v>46135</ns0:v>
      </ns0:c>
      <ns0:c r="W14" t="n">
        <ns0:v>0.5523155325934999</ns0:v>
      </ns0:c>
      <ns0:c r="X14" t="n">
        <ns0:v>1642</ns0:v>
      </ns0:c>
      <ns0:c r="Y14" t="n">
        <ns0:v>112</ns0:v>
      </ns0:c>
      <ns0:c r="Z14" t="n">
        <ns0:v>1</ns0:v>
      </ns0:c>
      <ns0:c r="AA14" t="n">
        <ns0:v>88</ns0:v>
      </ns0:c>
      <ns0:c r="AB14" s="214" t="n">
        <ns0:v>46297</ns0:v>
      </ns0:c>
      <ns0:c r="AC14">
        <ns0:f>IF(AH!$E$4="Bloomberg",BDP($R14,"LAST_PRICE"),IF(AH!$E$4="Stored",IF(ISNUMBER(AF14),AF14,""),""))</ns0:f>
        <ns0:v>74.49</ns0:v>
      </ns0:c>
      <ns0:c r="AD14">
        <ns0:f>IF(AH!$E$4="Bloomberg",'IPO Live'!D76,IF(AH!$E$4="Stored",AG14,""))</ns0:f>
        <ns0:v>66.05</ns0:v>
      </ns0:c>
      <ns0:c r="AE14" t="str">
        <ns0:f>IFERROR(IF($Z14=1,"Class ratio review",IF(AND(ISNUMBER(AC14),AC14&gt;0,ISNUMBER(AD14),AD14&gt;0,ISNUMBER(AK14),AK14&gt;0,OR(AH!$E$4="Bloomberg",AND(ISNUMBER(AI14),ISNUMBER(AJ14),AI14&lt;=AB14,AJ14&lt;=AB14,AB14-AI14&lt;=10,AB14-AJ14&lt;=5))),AC14*AK14/AD14-1,"")),"")</ns0:f>
        <ns0:v>Class ratio review</ns0:v>
      </ns0:c>
      <ns0:c r="AF14" t="n">
        <ns0:v>74.48999999999999</ns0:v>
      </ns0:c>
      <ns0:c r="AG14" t="n">
        <ns0:v>66.05</ns0:v>
      </ns0:c>
      <ns0:c r="AH14" t="n">
        <ns0:v>1.170220971107483</ns0:v>
      </ns0:c>
      <ns0:c r="AI14" s="214" t="n">
        <ns0:v>46295</ns0:v>
      </ns0:c>
      <ns0:c r="AJ14" s="214" t="n">
        <ns0:v>46297</ns0:v>
      </ns0:c>
      <ns0:c r="AK14">
        <ns0:f>IF(AH!$E$4="Stored",IF(ISNUMBER(AH14),AH14,""),IF(AH!$E$4="Bloomberg",$E$2,""))</ns0:f>
        <ns0:v>1.170220971107483</ns0:v>
      </ns0:c>
    </ns0:row>
    <ns0:row r="15">
      <ns0:c r="A15" t="inlineStr">
        <ns0:is>
          <ns0:t>2580 HK Equity</ns0:t>
        </ns0:is>
      </ns0:c>
      <ns0:c r="B15">
        <ns0:f>IF('IPO Live'!$A15="","",BDP('IPO Live'!$A15,"PX_YEST_CLOSE"))</ns0:f>
        <ns0:v/>
      </ns0:c>
      <ns0:c r="P15" t="inlineStr">
        <ns0:is>
          <ns0:t>3223</ns0:t>
        </ns0:is>
      </ns0:c>
      <ns0:c r="Q15" t="inlineStr">
        <ns0:is>
          <ns0:t>3223 HK Equity</ns0:t>
        </ns0:is>
      </ns0:c>
      <ns0:c r="R15" t="inlineStr">
        <ns0:is>
          <ns0:t>300223 CH Equity</ns0:t>
        </ns0:is>
      </ns0:c>
      <ns0:c r="S15" t="inlineStr">
        <ns0:is>
          <ns0:t>INGENIC</ns0:t>
        </ns0:is>
      </ns0:c>
      <ns0:c r="T15" t="inlineStr">
        <ns0:is>
          <ns0:t>Technology</ns0:t>
        </ns0:is>
      </ns0:c>
      <ns0:c r="U15" t="inlineStr">
        <ns0:is>
          <ns0:t>Semiconductors</ns0:t>
        </ns0:is>
      </ns0:c>
      <ns0:c r="V15" s="214" t="n">
        <ns0:v>46259</ns0:v>
      </ns0:c>
      <ns0:c r="W15" t="n">
        <ns0:v>0.5588992835998536</ns0:v>
      </ns0:c>
      <ns0:c r="X15" t="n">
        <ns0:v>1754</ns0:v>
      </ns0:c>
      <ns0:c r="Y15" t="n">
        <ns0:v>28</ns0:v>
      </ns0:c>
      <ns0:c r="Z15" t="n">
        <ns0:v>0</ns0:v>
      </ns0:c>
      <ns0:c r="AA15" t="n">
        <ns0:v>100</ns0:v>
      </ns0:c>
      <ns0:c r="AB15" s="214" t="n">
        <ns0:v>46297</ns0:v>
      </ns0:c>
      <ns0:c r="AC15">
        <ns0:f>IF(AH!$E$4="Bloomberg",BDP($R15,"LAST_PRICE"),IF(AH!$E$4="Stored",IF(ISNUMBER(AF15),AF15,""),""))</ns0:f>
        <ns0:v>129.15</ns0:v>
      </ns0:c>
      <ns0:c r="AD15">
        <ns0:f>IF(AH!$E$4="Bloomberg",'IPO Live'!D81,IF(AH!$E$4="Stored",AG15,""))</ns0:f>
        <ns0:v>89.0</ns0:v>
      </ns0:c>
      <ns0:c r="AE15">
        <ns0:f>IFERROR(IF($Z15=1,"Class ratio review",IF(AND(ISNUMBER(AC15),AC15&gt;0,ISNUMBER(AD15),AD15&gt;0,ISNUMBER(AK15),AK15&gt;0,OR(AH!$E$4="Bloomberg",AND(ISNUMBER(AI15),ISNUMBER(AJ15),AI15&lt;=AB15,AJ15&lt;=AB15,AB15-AI15&lt;=10,AB15-AJ15&lt;=5))),AC15*AK15/AD15-1,"")),"")</ns0:f>
        <ns0:v>0.6981352631295665</ns0:v>
      </ns0:c>
      <ns0:c r="AF15" t="n">
        <ns0:v>129.15</ns0:v>
      </ns0:c>
      <ns0:c r="AG15" t="n">
        <ns0:v>89</ns0:v>
      </ns0:c>
      <ns0:c r="AH15" t="n">
        <ns0:v>1.170220971107483</ns0:v>
      </ns0:c>
      <ns0:c r="AI15" s="214" t="n">
        <ns0:v>46295</ns0:v>
      </ns0:c>
      <ns0:c r="AJ15" s="214" t="n">
        <ns0:v>46297</ns0:v>
      </ns0:c>
      <ns0:c r="AK15">
        <ns0:f>IF(AH!$E$4="Stored",IF(ISNUMBER(AH15),AH15,""),IF(AH!$E$4="Bloomberg",$E$2,""))</ns0:f>
        <ns0:v>1.170220971107483</ns0:v>
      </ns0:c>
    </ns0:row>
    <ns0:row r="16">
      <ns0:c r="A16" t="inlineStr">
        <ns0:is>
          <ns0:t>600 HK Equity</ns0:t>
        </ns0:is>
      </ns0:c>
      <ns0:c r="B16">
        <ns0:f>IF('IPO Live'!$A16="","",BDP('IPO Live'!$A16,"PX_YEST_CLOSE"))</ns0:f>
        <ns0:v/>
      </ns0:c>
      <ns0:c r="P16" t="inlineStr">
        <ns0:is>
          <ns0:t>2603</ns0:t>
        </ns0:is>
      </ns0:c>
      <ns0:c r="Q16" t="inlineStr">
        <ns0:is>
          <ns0:t>2603 HK Equity</ns0:t>
        </ns0:is>
      </ns0:c>
      <ns0:c r="R16" t="inlineStr">
        <ns0:is>
          <ns0:t>002803 CH Equity</ns0:t>
        </ns0:is>
      </ns0:c>
      <ns0:c r="S16" t="inlineStr">
        <ns0:is>
          <ns0:t>JIHONG CO</ns0:t>
        </ns0:is>
      </ns0:c>
      <ns0:c r="T16" t="inlineStr">
        <ns0:is>
          <ns0:t>Technology</ns0:t>
        </ns0:is>
      </ns0:c>
      <ns0:c r="U16" t="inlineStr">
        <ns0:is>
          <ns0:t>Internet &amp; fintech</ns0:t>
        </ns0:is>
      </ns0:c>
      <ns0:c r="V16" s="214" t="n">
        <ns0:v>45804</ns0:v>
      </ns0:c>
      <ns0:c r="W16" t="n">
        <ns0:v>1.051770687103271</ns0:v>
      </ns0:c>
      <ns0:c r="X16" t="n">
        <ns0:v>1782</ns0:v>
      </ns0:c>
      <ns0:c r="Y16" t="n">
        <ns0:v>336</ns0:v>
      </ns0:c>
      <ns0:c r="Z16" t="n">
        <ns0:v>0</ns0:v>
      </ns0:c>
      <ns0:c r="AA16" t="n">
        <ns0:v>10.68</ns0:v>
      </ns0:c>
      <ns0:c r="AB16" s="214" t="n">
        <ns0:v>46297</ns0:v>
      </ns0:c>
      <ns0:c r="AC16">
        <ns0:f>IF(AH!$E$4="Bloomberg",BDP($R16,"LAST_PRICE"),IF(AH!$E$4="Stored",IF(ISNUMBER(AF16),AF16,""),""))</ns0:f>
        <ns0:v>20.24</ns0:v>
      </ns0:c>
      <ns0:c r="AD16">
        <ns0:f>IF(AH!$E$4="Bloomberg",'IPO Live'!D85,IF(AH!$E$4="Stored",AG16,""))</ns0:f>
        <ns0:v>11.93</ns0:v>
      </ns0:c>
      <ns0:c r="AE16">
        <ns0:f>IFERROR(IF($Z16=1,"Class ratio review",IF(AND(ISNUMBER(AC16),AC16&gt;0,ISNUMBER(AD16),AD16&gt;0,ISNUMBER(AK16),AK16&gt;0,OR(AH!$E$4="Bloomberg",AND(ISNUMBER(AI16),ISNUMBER(AJ16),AI16&lt;=AB16,AJ16&lt;=AB16,AB16-AI16&lt;=10,AB16-AJ16&lt;=5))),AC16*AK16/AD16-1,"")),"")</ns0:f>
        <ns0:v>0.9853539358940027</ns0:v>
      </ns0:c>
      <ns0:c r="AF16" t="n">
        <ns0:v>20.24</ns0:v>
      </ns0:c>
      <ns0:c r="AG16" t="n">
        <ns0:v>11.93</ns0:v>
      </ns0:c>
      <ns0:c r="AH16" t="n">
        <ns0:v>1.170220971107483</ns0:v>
      </ns0:c>
      <ns0:c r="AI16" s="214" t="n">
        <ns0:v>46295</ns0:v>
      </ns0:c>
      <ns0:c r="AJ16" s="214" t="n">
        <ns0:v>46297</ns0:v>
      </ns0:c>
      <ns0:c r="AK16">
        <ns0:f>IF(AH!$E$4="Stored",IF(ISNUMBER(AH16),AH16,""),IF(AH!$E$4="Bloomberg",$E$2,""))</ns0:f>
        <ns0:v>1.170220971107483</ns0:v>
      </ns0:c>
    </ns0:row>
    <ns0:row r="17">
      <ns0:c r="A17" t="inlineStr">
        <ns0:is>
          <ns0:t>6608 HK Equity</ns0:t>
        </ns0:is>
      </ns0:c>
      <ns0:c r="B17">
        <ns0:f>IF('IPO Live'!$A17="","",BDP('IPO Live'!$A17,"PX_YEST_CLOSE"))</ns0:f>
        <ns0:v/>
      </ns0:c>
      <ns0:c r="P17" t="inlineStr">
        <ns0:is>
          <ns0:t>6613</ns0:t>
        </ns0:is>
      </ns0:c>
      <ns0:c r="Q17" t="inlineStr">
        <ns0:is>
          <ns0:t>6613 HK Equity</ns0:t>
        </ns0:is>
      </ns0:c>
      <ns0:c r="R17" t="inlineStr">
        <ns0:is>
          <ns0:t>300433 CH Equity</ns0:t>
        </ns0:is>
      </ns0:c>
      <ns0:c r="S17" t="inlineStr">
        <ns0:is>
          <ns0:t>LENS</ns0:t>
        </ns0:is>
      </ns0:c>
      <ns0:c r="T17" t="inlineStr">
        <ns0:is>
          <ns0:t>Technology</ns0:t>
        </ns0:is>
      </ns0:c>
      <ns0:c r="U17" t="inlineStr">
        <ns0:is>
          <ns0:t>Hardware &amp; electronics</ns0:t>
        </ns0:is>
      </ns0:c>
      <ns0:c r="V17" s="214" t="n">
        <ns0:v>45847</ns0:v>
      </ns0:c>
      <ns0:c r="W17" t="n">
        <ns0:v>0.4038102437954136</ns0:v>
      </ns0:c>
      <ns0:c r="X17" t="n">
        <ns0:v>2118</ns0:v>
      </ns0:c>
      <ns0:c r="Y17" t="n">
        <ns0:v>306</ns0:v>
      </ns0:c>
      <ns0:c r="Z17" t="n">
        <ns0:v>0</ns0:v>
      </ns0:c>
      <ns0:c r="AA17" t="n">
        <ns0:v>19.84</ns0:v>
      </ns0:c>
      <ns0:c r="AB17" s="214" t="n">
        <ns0:v>46297</ns0:v>
      </ns0:c>
      <ns0:c r="AC17">
        <ns0:f>IF(AH!$E$4="Bloomberg",BDP($R17,"LAST_PRICE"),IF(AH!$E$4="Stored",IF(ISNUMBER(AF17),AF17,""),""))</ns0:f>
        <ns0:v>32.31</ns0:v>
      </ns0:c>
      <ns0:c r="AD17">
        <ns0:f>IF(AH!$E$4="Bloomberg",'IPO Live'!D94,IF(AH!$E$4="Stored",AG17,""))</ns0:f>
        <ns0:v>21.36</ns0:v>
      </ns0:c>
      <ns0:c r="AE17">
        <ns0:f>IFERROR(IF($Z17=1,"Class ratio review",IF(AND(ISNUMBER(AC17),AC17&gt;0,ISNUMBER(AD17),AD17&gt;0,ISNUMBER(AK17),AK17&gt;0,OR(AH!$E$4="Bloomberg",AND(ISNUMBER(AI17),ISNUMBER(AJ17),AI17&lt;=AB17,AJ17&lt;=AB17,AB17-AI17&lt;=10,AB17-AJ17&lt;=5))),AC17*AK17/AD17-1,"")),"")</ns0:f>
        <ns0:v>0.7701235756780325</ns0:v>
      </ns0:c>
      <ns0:c r="AF17" t="n">
        <ns0:v>32.31</ns0:v>
      </ns0:c>
      <ns0:c r="AG17" t="n">
        <ns0:v>21.36</ns0:v>
      </ns0:c>
      <ns0:c r="AH17" t="n">
        <ns0:v>1.170220971107483</ns0:v>
      </ns0:c>
      <ns0:c r="AI17" s="214" t="n">
        <ns0:v>46295</ns0:v>
      </ns0:c>
      <ns0:c r="AJ17" s="214" t="n">
        <ns0:v>46297</ns0:v>
      </ns0:c>
      <ns0:c r="AK17">
        <ns0:f>IF(AH!$E$4="Stored",IF(ISNUMBER(AH17),AH17,""),IF(AH!$E$4="Bloomberg",$E$2,""))</ns0:f>
        <ns0:v>1.170220971107483</ns0:v>
      </ns0:c>
    </ns0:row>
    <ns0:row r="18">
      <ns0:c r="A18" t="inlineStr">
        <ns0:is>
          <ns0:t>6657 HK Equity</ns0:t>
        </ns0:is>
      </ns0:c>
      <ns0:c r="B18">
        <ns0:f>IF('IPO Live'!$A18="","",BDP('IPO Live'!$A18,"PX_YEST_CLOSE"))</ns0:f>
        <ns0:v/>
      </ns0:c>
      <ns0:c r="P18" t="inlineStr">
        <ns0:is>
          <ns0:t>1688</ns0:t>
        </ns0:is>
      </ns0:c>
      <ns0:c r="Q18" t="inlineStr">
        <ns0:is>
          <ns0:t>1688 HK Equity</ns0:t>
        </ns0:is>
      </ns0:c>
      <ns0:c r="R18" t="inlineStr">
        <ns0:is>
          <ns0:t>002600 CH Equity</ns0:t>
        </ns0:is>
      </ns0:c>
      <ns0:c r="S18" t="inlineStr">
        <ns0:is>
          <ns0:t>LINGYI ITECH</ns0:t>
        </ns0:is>
      </ns0:c>
      <ns0:c r="T18" t="inlineStr">
        <ns0:is>
          <ns0:t>Technology</ns0:t>
        </ns0:is>
      </ns0:c>
      <ns0:c r="U18" t="inlineStr">
        <ns0:is>
          <ns0:t>Hardware &amp; electronics</ns0:t>
        </ns0:is>
      </ns0:c>
      <ns0:c r="V18" s="214" t="n">
        <ns0:v>46199</ns0:v>
      </ns0:c>
      <ns0:c r="W18" t="n">
        <ns0:v>1.027135402608245</ns0:v>
      </ns0:c>
      <ns0:c r="X18" t="n">
        <ns0:v>2424</ns0:v>
      </ns0:c>
      <ns0:c r="Y18" t="n">
        <ns0:v>69</ns0:v>
      </ns0:c>
      <ns0:c r="Z18" t="n">
        <ns0:v>0</ns0:v>
      </ns0:c>
      <ns0:c r="AA18" t="n">
        <ns0:v>9.710000000000001</ns0:v>
      </ns0:c>
      <ns0:c r="AB18" s="214" t="n">
        <ns0:v>46297</ns0:v>
      </ns0:c>
      <ns0:c r="AC18">
        <ns0:f>IF(AH!$E$4="Bloomberg",BDP($R18,"LAST_PRICE"),IF(AH!$E$4="Stored",IF(ISNUMBER(AF18),AF18,""),""))</ns0:f>
        <ns0:v>11.88</ns0:v>
      </ns0:c>
      <ns0:c r="AD18">
        <ns0:f>IF(AH!$E$4="Bloomberg",'IPO Live'!D97,IF(AH!$E$4="Stored",AG18,""))</ns0:f>
        <ns0:v>5.47</ns0:v>
      </ns0:c>
      <ns0:c r="AE18">
        <ns0:f>IFERROR(IF($Z18=1,"Class ratio review",IF(AND(ISNUMBER(AC18),AC18&gt;0,ISNUMBER(AD18),AD18&gt;0,ISNUMBER(AK18),AK18&gt;0,OR(AH!$E$4="Bloomberg",AND(ISNUMBER(AI18),ISNUMBER(AJ18),AI18&lt;=AB18,AJ18&lt;=AB18,AB18-AI18&lt;=10,AB18-AJ18&lt;=5))),AC18*AK18/AD18-1,"")),"")</ns0:f>
        <ns0:v>1.5415402443796893</ns0:v>
      </ns0:c>
      <ns0:c r="AF18" t="n">
        <ns0:v>11.88</ns0:v>
      </ns0:c>
      <ns0:c r="AG18" t="n">
        <ns0:v>5.47</ns0:v>
      </ns0:c>
      <ns0:c r="AH18" t="n">
        <ns0:v>1.170220971107483</ns0:v>
      </ns0:c>
      <ns0:c r="AI18" s="214" t="n">
        <ns0:v>46295</ns0:v>
      </ns0:c>
      <ns0:c r="AJ18" s="214" t="n">
        <ns0:v>46297</ns0:v>
      </ns0:c>
      <ns0:c r="AK18">
        <ns0:f>IF(AH!$E$4="Stored",IF(ISNUMBER(AH18),AH18,""),IF(AH!$E$4="Bloomberg",$E$2,""))</ns0:f>
        <ns0:v>1.170220971107483</ns0:v>
      </ns0:c>
    </ns0:row>
    <ns0:row r="19">
      <ns0:c r="A19" t="inlineStr">
        <ns0:is>
          <ns0:t>9971 HK Equity</ns0:t>
        </ns0:is>
      </ns0:c>
      <ns0:c r="B19">
        <ns0:f>IF('IPO Live'!$A19="","",BDP('IPO Live'!$A19,"PX_YEST_CLOSE"))</ns0:f>
        <ns0:v/>
      </ns0:c>
      <ns0:c r="P19" t="inlineStr">
        <ns0:is>
          <ns0:t>9611</ns0:t>
        </ns0:is>
      </ns0:c>
      <ns0:c r="Q19" t="inlineStr">
        <ns0:is>
          <ns0:t>9611 HK Equity</ns0:t>
        </ns0:is>
      </ns0:c>
      <ns0:c r="R19" t="inlineStr">
        <ns0:is>
          <ns0:t>603341 CH Equity</ns0:t>
        </ns0:is>
      </ns0:c>
      <ns0:c r="S19" t="inlineStr">
        <ns0:is>
          <ns0:t>LONGCHEER</ns0:t>
        </ns0:is>
      </ns0:c>
      <ns0:c r="T19" t="inlineStr">
        <ns0:is>
          <ns0:t>Technology</ns0:t>
        </ns0:is>
      </ns0:c>
      <ns0:c r="U19" t="inlineStr">
        <ns0:is>
          <ns0:t>Hardware &amp; electronics</ns0:t>
        </ns0:is>
      </ns0:c>
      <ns0:c r="V19" s="214" t="n">
        <ns0:v>46044</ns0:v>
      </ns0:c>
      <ns0:c r="W19" t="n">
        <ns0:v>0.7562628822941935</ns0:v>
      </ns0:c>
      <ns0:c r="X19" t="n">
        <ns0:v>2493</ns0:v>
      </ns0:c>
      <ns0:c r="Y19" t="n">
        <ns0:v>170</ns0:v>
      </ns0:c>
      <ns0:c r="Z19" t="n">
        <ns0:v>0</ns0:v>
      </ns0:c>
      <ns0:c r="AA19" t="n">
        <ns0:v>32.1</ns0:v>
      </ns0:c>
      <ns0:c r="AB19" s="214" t="n">
        <ns0:v>46297</ns0:v>
      </ns0:c>
      <ns0:c r="AC19">
        <ns0:f>IF(AH!$E$4="Bloomberg",BDP($R19,"LAST_PRICE"),IF(AH!$E$4="Stored",IF(ISNUMBER(AF19),AF19,""),""))</ns0:f>
        <ns0:v>35.21</ns0:v>
      </ns0:c>
      <ns0:c r="AD19">
        <ns0:f>IF(AH!$E$4="Bloomberg",'IPO Live'!D99,IF(AH!$E$4="Stored",AG19,""))</ns0:f>
        <ns0:v>20.16</ns0:v>
      </ns0:c>
      <ns0:c r="AE19">
        <ns0:f>IFERROR(IF($Z19=1,"Class ratio review",IF(AND(ISNUMBER(AC19),AC19&gt;0,ISNUMBER(AD19),AD19&gt;0,ISNUMBER(AK19),AK19&gt;0,OR(AH!$E$4="Bloomberg",AND(ISNUMBER(AI19),ISNUMBER(AJ19),AI19&lt;=AB19,AJ19&lt;=AB19,AB19-AI19&lt;=10,AB19-AJ19&lt;=5))),AC19*AK19/AD19-1,"")),"")</ns0:f>
        <ns0:v>1.0438234321773052</ns0:v>
      </ns0:c>
      <ns0:c r="AF19" t="n">
        <ns0:v>35.21</ns0:v>
      </ns0:c>
      <ns0:c r="AG19" t="n">
        <ns0:v>20.16</ns0:v>
      </ns0:c>
      <ns0:c r="AH19" t="n">
        <ns0:v>1.170220971107483</ns0:v>
      </ns0:c>
      <ns0:c r="AI19" s="214" t="n">
        <ns0:v>46295</ns0:v>
      </ns0:c>
      <ns0:c r="AJ19" s="214" t="n">
        <ns0:v>46297</ns0:v>
      </ns0:c>
      <ns0:c r="AK19">
        <ns0:f>IF(AH!$E$4="Stored",IF(ISNUMBER(AH19),AH19,""),IF(AH!$E$4="Bloomberg",$E$2,""))</ns0:f>
        <ns0:v>1.170220971107483</ns0:v>
      </ns0:c>
    </ns0:row>
    <ns0:row r="20">
      <ns0:c r="A20" t="inlineStr">
        <ns0:is>
          <ns0:t>2149 HK Equity</ns0:t>
        </ns0:is>
      </ns0:c>
      <ns0:c r="B20">
        <ns0:f>IF('IPO Live'!$A20="","",BDP('IPO Live'!$A20,"PX_YEST_CLOSE"))</ns0:f>
        <ns0:v/>
      </ns0:c>
      <ns0:c r="P20" t="inlineStr">
        <ns0:is>
          <ns0:t>2475</ns0:t>
        </ns0:is>
      </ns0:c>
      <ns0:c r="Q20" t="inlineStr">
        <ns0:is>
          <ns0:t>2475 HK Equity</ns0:t>
        </ns0:is>
      </ns0:c>
      <ns0:c r="R20" t="inlineStr">
        <ns0:is>
          <ns0:t>002475 CH Equity</ns0:t>
        </ns0:is>
      </ns0:c>
      <ns0:c r="S20" t="inlineStr">
        <ns0:is>
          <ns0:t>LUXSHARE ICT</ns0:t>
        </ns0:is>
      </ns0:c>
      <ns0:c r="T20" t="inlineStr">
        <ns0:is>
          <ns0:t>Technology</ns0:t>
        </ns0:is>
      </ns0:c>
      <ns0:c r="U20" t="inlineStr">
        <ns0:is>
          <ns0:t>Hardware &amp; electronics</ns0:t>
        </ns0:is>
      </ns0:c>
      <ns0:c r="V20" s="214" t="n">
        <ns0:v>46212</ns0:v>
      </ns0:c>
      <ns0:c r="W20" t="n">
        <ns0:v>0.1393804807691597</ns0:v>
      </ns0:c>
      <ns0:c r="X20" t="n">
        <ns0:v>2663</ns0:v>
      </ns0:c>
      <ns0:c r="Y20" t="n">
        <ns0:v>61</ns0:v>
      </ns0:c>
      <ns0:c r="Z20" t="n">
        <ns0:v>0</ns0:v>
      </ns0:c>
      <ns0:c r="AA20" t="n">
        <ns0:v>62.3</ns0:v>
      </ns0:c>
      <ns0:c r="AB20" s="214" t="n">
        <ns0:v>46297</ns0:v>
      </ns0:c>
      <ns0:c r="AC20">
        <ns0:f>IF(AH!$E$4="Bloomberg",BDP($R20,"LAST_PRICE"),IF(AH!$E$4="Stored",IF(ISNUMBER(AF20),AF20,""),""))</ns0:f>
        <ns0:v>49.43</ns0:v>
      </ns0:c>
      <ns0:c r="AD20">
        <ns0:f>IF(AH!$E$4="Bloomberg",'IPO Live'!D101,IF(AH!$E$4="Stored",AG20,""))</ns0:f>
        <ns0:v>52.95</ns0:v>
      </ns0:c>
      <ns0:c r="AE20">
        <ns0:f>IFERROR(IF($Z20=1,"Class ratio review",IF(AND(ISNUMBER(AC20),AC20&gt;0,ISNUMBER(AD20),AD20&gt;0,ISNUMBER(AK20),AK20&gt;0,OR(AH!$E$4="Bloomberg",AND(ISNUMBER(AI20),ISNUMBER(AJ20),AI20&lt;=AB20,AJ20&lt;=AB20,AB20-AI20&lt;=10,AB20-AJ20&lt;=5))),AC20*AK20/AD20-1,"")),"")</ns0:f>
        <ns0:v>0.0924272446051535</ns0:v>
      </ns0:c>
      <ns0:c r="AF20" t="n">
        <ns0:v>49.43</ns0:v>
      </ns0:c>
      <ns0:c r="AG20" t="n">
        <ns0:v>52.95</ns0:v>
      </ns0:c>
      <ns0:c r="AH20" t="n">
        <ns0:v>1.170220971107483</ns0:v>
      </ns0:c>
      <ns0:c r="AI20" s="214" t="n">
        <ns0:v>46295</ns0:v>
      </ns0:c>
      <ns0:c r="AJ20" s="214" t="n">
        <ns0:v>46297</ns0:v>
      </ns0:c>
      <ns0:c r="AK20">
        <ns0:f>IF(AH!$E$4="Stored",IF(ISNUMBER(AH20),AH20,""),IF(AH!$E$4="Bloomberg",$E$2,""))</ns0:f>
        <ns0:v>1.170220971107483</ns0:v>
      </ns0:c>
    </ns0:row>
    <ns0:row r="21">
      <ns0:c r="A21" t="inlineStr">
        <ns0:is>
          <ns0:t>9669 HK Equity</ns0:t>
        </ns0:is>
      </ns0:c>
      <ns0:c r="B21">
        <ns0:f>IF('IPO Live'!$A21="","",BDP('IPO Live'!$A21,"PX_YEST_CLOSE"))</ns0:f>
        <ns0:v/>
      </ns0:c>
      <ns0:c r="P21" t="inlineStr">
        <ns0:is>
          <ns0:t>3268</ns0:t>
        </ns0:is>
      </ns0:c>
      <ns0:c r="Q21" t="inlineStr">
        <ns0:is>
          <ns0:t>3268 HK Equity</ns0:t>
        </ns0:is>
      </ns0:c>
      <ns0:c r="R21" t="inlineStr">
        <ns0:is>
          <ns0:t>002881 CH Equity</ns0:t>
        </ns0:is>
      </ns0:c>
      <ns0:c r="S21" t="inlineStr">
        <ns0:is>
          <ns0:t>MEIG</ns0:t>
        </ns0:is>
      </ns0:c>
      <ns0:c r="T21" t="inlineStr">
        <ns0:is>
          <ns0:t>Technology</ns0:t>
        </ns0:is>
      </ns0:c>
      <ns0:c r="U21" t="inlineStr">
        <ns0:is>
          <ns0:t>Hardware &amp; electronics</ns0:t>
        </ns0:is>
      </ns0:c>
      <ns0:c r="V21" s="214" t="n">
        <ns0:v>46091</ns0:v>
      </ns0:c>
      <ns0:c r="W21" t="n">
        <ns0:v>0.92405825180059</ns0:v>
      </ns0:c>
      <ns0:c r="X21" t="n">
        <ns0:v>2724</ns0:v>
      </ns0:c>
      <ns0:c r="Y21" t="n">
        <ns0:v>141</ns0:v>
      </ns0:c>
      <ns0:c r="Z21" t="n">
        <ns0:v>0</ns0:v>
      </ns0:c>
      <ns0:c r="AA21" t="n">
        <ns0:v>29.3</ns0:v>
      </ns0:c>
      <ns0:c r="AB21" s="214" t="n">
        <ns0:v>46297</ns0:v>
      </ns0:c>
      <ns0:c r="AC21">
        <ns0:f>IF(AH!$E$4="Bloomberg",BDP($R21,"LAST_PRICE"),IF(AH!$E$4="Stored",IF(ISNUMBER(AF21),AF21,""),""))</ns0:f>
        <ns0:v>42.41</ns0:v>
      </ns0:c>
      <ns0:c r="AD21">
        <ns0:f>IF(AH!$E$4="Bloomberg",'IPO Live'!D108,IF(AH!$E$4="Stored",AG21,""))</ns0:f>
        <ns0:v>17.5</ns0:v>
      </ns0:c>
      <ns0:c r="AE21">
        <ns0:f>IFERROR(IF($Z21=1,"Class ratio review",IF(AND(ISNUMBER(AC21),AC21&gt;0,ISNUMBER(AD21),AD21&gt;0,ISNUMBER(AK21),AK21&gt;0,OR(AH!$E$4="Bloomberg",AND(ISNUMBER(AI21),ISNUMBER(AJ21),AI21&lt;=AB21,AJ21&lt;=AB21,AB21-AI21&lt;=10,AB21-AJ21&lt;=5))),AC21*AK21/AD21-1,"")),"")</ns0:f>
        <ns0:v>1.8359469362667626</ns0:v>
      </ns0:c>
      <ns0:c r="AF21" t="n">
        <ns0:v>42.41</ns0:v>
      </ns0:c>
      <ns0:c r="AG21" t="n">
        <ns0:v>17.5</ns0:v>
      </ns0:c>
      <ns0:c r="AH21" t="n">
        <ns0:v>1.170220971107483</ns0:v>
      </ns0:c>
      <ns0:c r="AI21" s="214" t="n">
        <ns0:v>46295</ns0:v>
      </ns0:c>
      <ns0:c r="AJ21" s="214" t="n">
        <ns0:v>46297</ns0:v>
      </ns0:c>
      <ns0:c r="AK21">
        <ns0:f>IF(AH!$E$4="Stored",IF(ISNUMBER(AH21),AH21,""),IF(AH!$E$4="Bloomberg",$E$2,""))</ns0:f>
        <ns0:v>1.170220971107483</ns0:v>
      </ns0:c>
    </ns0:row>
    <ns0:row r="22">
      <ns0:c r="A22" t="inlineStr">
        <ns0:is>
          <ns0:t>2581 HK Equity</ns0:t>
        </ns0:is>
      </ns0:c>
      <ns0:c r="B22">
        <ns0:f>IF('IPO Live'!$A22="","",BDP('IPO Live'!$A22,"PX_YEST_CLOSE"))</ns0:f>
        <ns0:v/>
      </ns0:c>
      <ns0:c r="P22" t="inlineStr">
        <ns0:is>
          <ns0:t>0300</ns0:t>
        </ns0:is>
      </ns0:c>
      <ns0:c r="Q22" t="inlineStr">
        <ns0:is>
          <ns0:t>300 HK Equity</ns0:t>
        </ns0:is>
      </ns0:c>
      <ns0:c r="R22" t="inlineStr">
        <ns0:is>
          <ns0:t>000333 CH Equity</ns0:t>
        </ns0:is>
      </ns0:c>
      <ns0:c r="S22" t="inlineStr">
        <ns0:is>
          <ns0:t>MIDEA GROUP</ns0:t>
        </ns0:is>
      </ns0:c>
      <ns0:c r="T22" t="inlineStr">
        <ns0:is>
          <ns0:t>Technology</ns0:t>
        </ns0:is>
      </ns0:c>
      <ns0:c r="U22" t="inlineStr">
        <ns0:is>
          <ns0:t>Hardware &amp; electronics</ns0:t>
        </ns0:is>
      </ns0:c>
      <ns0:c r="V22" s="214" t="n">
        <ns0:v>45552</ns0:v>
      </ns0:c>
      <ns0:c r="W22" t="n">
        <ns0:v>0.2738505993011224</ns0:v>
      </ns0:c>
      <ns0:c r="X22" t="n">
        <ns0:v>2865</ns0:v>
      </ns0:c>
      <ns0:c r="Y22" t="n">
        <ns0:v>502</ns0:v>
      </ns0:c>
      <ns0:c r="Z22" t="n">
        <ns0:v>0</ns0:v>
      </ns0:c>
      <ns0:c r="AA22" t="n">
        <ns0:v>59.1</ns0:v>
      </ns0:c>
      <ns0:c r="AB22" s="214" t="n">
        <ns0:v>46297</ns0:v>
      </ns0:c>
      <ns0:c r="AC22">
        <ns0:f>IF(AH!$E$4="Bloomberg",BDP($R22,"LAST_PRICE"),IF(AH!$E$4="Stored",IF(ISNUMBER(AF22),AF22,""),""))</ns0:f>
        <ns0:v>80.1</ns0:v>
      </ns0:c>
      <ns0:c r="AD22">
        <ns0:f>IF(AH!$E$4="Bloomberg",'IPO Live'!D110,IF(AH!$E$4="Stored",AG22,""))</ns0:f>
        <ns0:v>91.15</ns0:v>
      </ns0:c>
      <ns0:c r="AE22">
        <ns0:f>IFERROR(IF($Z22=1,"Class ratio review",IF(AND(ISNUMBER(AC22),AC22&gt;0,ISNUMBER(AD22),AD22&gt;0,ISNUMBER(AK22),AK22&gt;0,OR(AH!$E$4="Bloomberg",AND(ISNUMBER(AI22),ISNUMBER(AJ22),AI22&lt;=AB22,AJ22&lt;=AB22,AB22-AI22&lt;=10,AB22-AJ22&lt;=5))),AC22*AK22/AD22-1,"")),"")</ns0:f>
        <ns0:v>0.02835655277794169</ns0:v>
      </ns0:c>
      <ns0:c r="AF22" t="n">
        <ns0:v>80.09999999999999</ns0:v>
      </ns0:c>
      <ns0:c r="AG22" t="n">
        <ns0:v>91.15000000000001</ns0:v>
      </ns0:c>
      <ns0:c r="AH22" t="n">
        <ns0:v>1.170220971107483</ns0:v>
      </ns0:c>
      <ns0:c r="AI22" s="214" t="n">
        <ns0:v>46295</ns0:v>
      </ns0:c>
      <ns0:c r="AJ22" s="214" t="n">
        <ns0:v>46297</ns0:v>
      </ns0:c>
      <ns0:c r="AK22">
        <ns0:f>IF(AH!$E$4="Stored",IF(ISNUMBER(AH22),AH22,""),IF(AH!$E$4="Bloomberg",$E$2,""))</ns0:f>
        <ns0:v>1.170220971107483</ns0:v>
      </ns0:c>
    </ns0:row>
    <ns0:row r="23">
      <ns0:c r="A23" t="inlineStr">
        <ns0:is>
          <ns0:t>9888 HK Equity</ns0:t>
        </ns0:is>
      </ns0:c>
      <ns0:c r="B23">
        <ns0:f>IF('IPO Live'!$A23="","",BDP('IPO Live'!$A23,"PX_YEST_CLOSE"))</ns0:f>
        <ns0:v/>
      </ns0:c>
      <ns0:c r="P23" t="inlineStr">
        <ns0:is>
          <ns0:t>6809</ns0:t>
        </ns0:is>
      </ns0:c>
      <ns0:c r="Q23" t="inlineStr">
        <ns0:is>
          <ns0:t>6809 HK Equity</ns0:t>
        </ns0:is>
      </ns0:c>
      <ns0:c r="R23" t="inlineStr">
        <ns0:is>
          <ns0:t>688008 CH Equity</ns0:t>
        </ns0:is>
      </ns0:c>
      <ns0:c r="S23" t="inlineStr">
        <ns0:is>
          <ns0:t>MONTAGE TECH</ns0:t>
        </ns0:is>
      </ns0:c>
      <ns0:c r="T23" t="inlineStr">
        <ns0:is>
          <ns0:t>Technology</ns0:t>
        </ns0:is>
      </ns0:c>
      <ns0:c r="U23" t="inlineStr">
        <ns0:is>
          <ns0:t>Semiconductors</ns0:t>
        </ns0:is>
      </ns0:c>
      <ns0:c r="V23" s="214" t="n">
        <ns0:v>46062</ns0:v>
      </ns0:c>
      <ns0:c r="W23" t="n">
        <ns0:v>0.7228570052912511</ns0:v>
      </ns0:c>
      <ns0:c r="X23" t="n">
        <ns0:v>3367</ns0:v>
      </ns0:c>
      <ns0:c r="Y23" t="n">
        <ns0:v>159</ns0:v>
      </ns0:c>
      <ns0:c r="Z23" t="n">
        <ns0:v>0</ns0:v>
      </ns0:c>
      <ns0:c r="AA23" t="n">
        <ns0:v>175</ns0:v>
      </ns0:c>
      <ns0:c r="AB23" s="214" t="n">
        <ns0:v>46297</ns0:v>
      </ns0:c>
      <ns0:c r="AC23">
        <ns0:f>IF(AH!$E$4="Bloomberg",BDP($R23,"LAST_PRICE"),IF(AH!$E$4="Stored",IF(ISNUMBER(AF23),AF23,""),""))</ns0:f>
        <ns0:v>202.31</ns0:v>
      </ns0:c>
      <ns0:c r="AD23">
        <ns0:f>IF(AH!$E$4="Bloomberg",'IPO Live'!D116,IF(AH!$E$4="Stored",AG23,""))</ns0:f>
        <ns0:v>289.6</ns0:v>
      </ns0:c>
      <ns0:c r="AE23">
        <ns0:f>IFERROR(IF($Z23=1,"Class ratio review",IF(AND(ISNUMBER(AC23),AC23&gt;0,ISNUMBER(AD23),AD23&gt;0,ISNUMBER(AK23),AK23&gt;0,OR(AH!$E$4="Bloomberg",AND(ISNUMBER(AI23),ISNUMBER(AJ23),AI23&lt;=AB23,AJ23&lt;=AB23,AB23-AI23&lt;=10,AB23-AJ23&lt;=5))),AC23*AK23/AD23-1,"")),"")</ns0:f>
        <ns0:v>-0.1825020557156255</ns0:v>
      </ns0:c>
      <ns0:c r="AF23" t="n">
        <ns0:v>202.31</ns0:v>
      </ns0:c>
      <ns0:c r="AG23" t="n">
        <ns0:v>289.6</ns0:v>
      </ns0:c>
      <ns0:c r="AH23" t="n">
        <ns0:v>1.170220971107483</ns0:v>
      </ns0:c>
      <ns0:c r="AI23" s="214" t="n">
        <ns0:v>46295</ns0:v>
      </ns0:c>
      <ns0:c r="AJ23" s="214" t="n">
        <ns0:v>46297</ns0:v>
      </ns0:c>
      <ns0:c r="AK23">
        <ns0:f>IF(AH!$E$4="Stored",IF(ISNUMBER(AH23),AH23,""),IF(AH!$E$4="Bloomberg",$E$2,""))</ns0:f>
        <ns0:v>1.170220971107483</ns0:v>
      </ns0:c>
    </ns0:row>
    <ns0:row r="24">
      <ns0:c r="A24" t="inlineStr">
        <ns0:is>
          <ns0:t>9626 HK Equity</ns0:t>
        </ns0:is>
      </ns0:c>
      <ns0:c r="B24">
        <ns0:f>IF('IPO Live'!$A24="","",BDP('IPO Live'!$A24,"PX_YEST_CLOSE"))</ns0:f>
        <ns0:v/>
      </ns0:c>
      <ns0:c r="P24" t="inlineStr">
        <ns0:is>
          <ns0:t>2249</ns0:t>
        </ns0:is>
      </ns0:c>
      <ns0:c r="Q24" t="inlineStr">
        <ns0:is>
          <ns0:t>2249 HK Equity</ns0:t>
        </ns0:is>
      </ns0:c>
      <ns0:c r="R24" t="inlineStr">
        <ns0:is>
          <ns0:t>688249 CH Equity</ns0:t>
        </ns0:is>
      </ns0:c>
      <ns0:c r="S24" t="inlineStr">
        <ns0:is>
          <ns0:t>NEXCHIP</ns0:t>
        </ns0:is>
      </ns0:c>
      <ns0:c r="T24" t="inlineStr">
        <ns0:is>
          <ns0:t>Technology</ns0:t>
        </ns0:is>
      </ns0:c>
      <ns0:c r="U24" t="inlineStr">
        <ns0:is>
          <ns0:t>Semiconductors</ns0:t>
        </ns0:is>
      </ns0:c>
      <ns0:c r="V24" s="214" t="n">
        <ns0:v>46213</ns0:v>
      </ns0:c>
      <ns0:c r="W24" t="n">
        <ns0:v>1.325998291622374</ns0:v>
      </ns0:c>
      <ns0:c r="X24" t="n">
        <ns0:v>3526</ns0:v>
      </ns0:c>
      <ns0:c r="Y24" t="n">
        <ns0:v>60</ns0:v>
      </ns0:c>
      <ns0:c r="Z24" t="n">
        <ns0:v>0</ns0:v>
      </ns0:c>
      <ns0:c r="AA24" t="n">
        <ns0:v>32.3</ns0:v>
      </ns0:c>
      <ns0:c r="AB24" s="214" t="n">
        <ns0:v>46297</ns0:v>
      </ns0:c>
      <ns0:c r="AC24">
        <ns0:f>IF(AH!$E$4="Bloomberg",BDP($R24,"LAST_PRICE"),IF(AH!$E$4="Stored",IF(ISNUMBER(AF24),AF24,""),""))</ns0:f>
        <ns0:v>32.81</ns0:v>
      </ns0:c>
      <ns0:c r="AD24">
        <ns0:f>IF(AH!$E$4="Bloomberg",'IPO Live'!D117,IF(AH!$E$4="Stored",AG24,""))</ns0:f>
        <ns0:v>25.74</ns0:v>
      </ns0:c>
      <ns0:c r="AE24">
        <ns0:f>IFERROR(IF($Z24=1,"Class ratio review",IF(AND(ISNUMBER(AC24),AC24&gt;0,ISNUMBER(AD24),AD24&gt;0,ISNUMBER(AK24),AK24&gt;0,OR(AH!$E$4="Bloomberg",AND(ISNUMBER(AI24),ISNUMBER(AJ24),AI24&lt;=AB24,AJ24&lt;=AB24,AB24-AI24&lt;=10,AB24-AJ24&lt;=5))),AC24*AK24/AD24-1,"")),"")</ns0:f>
        <ns0:v>0.4916453015554203</ns0:v>
      </ns0:c>
      <ns0:c r="AF24" t="n">
        <ns0:v>32.81</ns0:v>
      </ns0:c>
      <ns0:c r="AG24" t="n">
        <ns0:v>25.74</ns0:v>
      </ns0:c>
      <ns0:c r="AH24" t="n">
        <ns0:v>1.170220971107483</ns0:v>
      </ns0:c>
      <ns0:c r="AI24" s="214" t="n">
        <ns0:v>46295</ns0:v>
      </ns0:c>
      <ns0:c r="AJ24" s="214" t="n">
        <ns0:v>46297</ns0:v>
      </ns0:c>
      <ns0:c r="AK24">
        <ns0:f>IF(AH!$E$4="Stored",IF(ISNUMBER(AH24),AH24,""),IF(AH!$E$4="Bloomberg",$E$2,""))</ns0:f>
        <ns0:v>1.170220971107483</ns0:v>
      </ns0:c>
    </ns0:row>
    <ns0:row r="25">
      <ns0:c r="A25" t="inlineStr">
        <ns0:is>
          <ns0:t>6082 HK Equity</ns0:t>
        </ns0:is>
      </ns0:c>
      <ns0:c r="B25">
        <ns0:f>IF('IPO Live'!$A25="","",BDP('IPO Live'!$A25,"PX_YEST_CLOSE"))</ns0:f>
        <ns0:v/>
      </ns0:c>
      <ns0:c r="P25" t="inlineStr">
        <ns0:is>
          <ns0:t>2676</ns0:t>
        </ns0:is>
      </ns0:c>
      <ns0:c r="Q25" t="inlineStr">
        <ns0:is>
          <ns0:t>2676 HK Equity</ns0:t>
        </ns0:is>
      </ns0:c>
      <ns0:c r="R25" t="inlineStr">
        <ns0:is>
          <ns0:t>688052 CH Equity</ns0:t>
        </ns0:is>
      </ns0:c>
      <ns0:c r="S25" t="inlineStr">
        <ns0:is>
          <ns0:t>NOVOSENSE</ns0:t>
        </ns0:is>
      </ns0:c>
      <ns0:c r="T25" t="inlineStr">
        <ns0:is>
          <ns0:t>Technology</ns0:t>
        </ns0:is>
      </ns0:c>
      <ns0:c r="U25" t="inlineStr">
        <ns0:is>
          <ns0:t>Semiconductors</ns0:t>
        </ns0:is>
      </ns0:c>
      <ns0:c r="V25" s="214" t="n">
        <ns0:v>45999</ns0:v>
      </ns0:c>
      <ns0:c r="W25" t="n">
        <ns0:v>0.5014413283611168</ns0:v>
      </ns0:c>
      <ns0:c r="X25" t="n">
        <ns0:v>3586</ns0:v>
      </ns0:c>
      <ns0:c r="Y25" t="n">
        <ns0:v>200</ns0:v>
      </ns0:c>
      <ns0:c r="Z25" t="n">
        <ns0:v>0</ns0:v>
      </ns0:c>
      <ns0:c r="AA25" t="n">
        <ns0:v>111</ns0:v>
      </ns0:c>
      <ns0:c r="AB25" s="214" t="n">
        <ns0:v>46297</ns0:v>
      </ns0:c>
      <ns0:c r="AC25">
        <ns0:f>IF(AH!$E$4="Bloomberg",BDP($R25,"LAST_PRICE"),IF(AH!$E$4="Stored",IF(ISNUMBER(AF25),AF25,""),""))</ns0:f>
        <ns0:v>236.32</ns0:v>
      </ns0:c>
      <ns0:c r="AD25">
        <ns0:f>IF(AH!$E$4="Bloomberg",'IPO Live'!D118,IF(AH!$E$4="Stored",AG25,""))</ns0:f>
        <ns0:v>170.0</ns0:v>
      </ns0:c>
      <ns0:c r="AE25">
        <ns0:f>IFERROR(IF($Z25=1,"Class ratio review",IF(AND(ISNUMBER(AC25),AC25&gt;0,ISNUMBER(AD25),AD25&gt;0,ISNUMBER(AK25),AK25&gt;0,OR(AH!$E$4="Bloomberg",AND(ISNUMBER(AI25),ISNUMBER(AJ25),AI25&lt;=AB25,AJ25&lt;=AB25,AB25-AI25&lt;=10,AB25-AJ25&lt;=5))),AC25*AK25/AD25-1,"")),"")</ns0:f>
        <ns0:v>0.6267448228948256</ns0:v>
      </ns0:c>
      <ns0:c r="AF25" t="n">
        <ns0:v>236.32</ns0:v>
      </ns0:c>
      <ns0:c r="AG25" t="n">
        <ns0:v>170</ns0:v>
      </ns0:c>
      <ns0:c r="AH25" t="n">
        <ns0:v>1.170220971107483</ns0:v>
      </ns0:c>
      <ns0:c r="AI25" s="214" t="n">
        <ns0:v>46295</ns0:v>
      </ns0:c>
      <ns0:c r="AJ25" s="214" t="n">
        <ns0:v>46297</ns0:v>
      </ns0:c>
      <ns0:c r="AK25">
        <ns0:f>IF(AH!$E$4="Stored",IF(ISNUMBER(AH25),AH25,""),IF(AH!$E$4="Bloomberg",$E$2,""))</ns0:f>
        <ns0:v>1.170220971107483</ns0:v>
      </ns0:c>
    </ns0:row>
    <ns0:row r="26">
      <ns0:c r="A26" t="inlineStr">
        <ns0:is>
          <ns0:t>2533 HK Equity</ns0:t>
        </ns0:is>
      </ns0:c>
      <ns0:c r="B26">
        <ns0:f>IF('IPO Live'!$A26="","",BDP('IPO Live'!$A26,"PX_YEST_CLOSE"))</ns0:f>
        <ns0:v/>
      </ns0:c>
      <ns0:c r="P26" t="inlineStr">
        <ns0:is>
          <ns0:t>2701</ns0:t>
        </ns0:is>
      </ns0:c>
      <ns0:c r="Q26" t="inlineStr">
        <ns0:is>
          <ns0:t>2701 HK Equity</ns0:t>
        </ns0:is>
      </ns0:c>
      <ns0:c r="R26" t="inlineStr">
        <ns0:is>
          <ns0:t>300077 CH Equity</ns0:t>
        </ns0:is>
      </ns0:c>
      <ns0:c r="S26" t="inlineStr">
        <ns0:is>
          <ns0:t>NSING TECH</ns0:t>
        </ns0:is>
      </ns0:c>
      <ns0:c r="T26" t="inlineStr">
        <ns0:is>
          <ns0:t>Technology</ns0:t>
        </ns0:is>
      </ns0:c>
      <ns0:c r="U26" t="inlineStr">
        <ns0:is>
          <ns0:t>Semiconductors</ns0:t>
        </ns0:is>
      </ns0:c>
      <ns0:c r="V26" s="214" t="n">
        <ns0:v>46104</ns0:v>
      </ns0:c>
      <ns0:c r="W26" t="n">
        <ns0:v>1.289784059811521</ns0:v>
      </ns0:c>
      <ns0:c r="X26" t="n">
        <ns0:v>3786</ns0:v>
      </ns0:c>
      <ns0:c r="Y26" t="n">
        <ns0:v>132</ns0:v>
      </ns0:c>
      <ns0:c r="Z26" t="n">
        <ns0:v>0</ns0:v>
      </ns0:c>
      <ns0:c r="AA26" t="n">
        <ns0:v>11.25</ns0:v>
      </ns0:c>
      <ns0:c r="AB26" s="214" t="n">
        <ns0:v>46297</ns0:v>
      </ns0:c>
      <ns0:c r="AC26">
        <ns0:f>IF(AH!$E$4="Bloomberg",BDP($R26,"LAST_PRICE"),IF(AH!$E$4="Stored",IF(ISNUMBER(AF26),AF26,""),""))</ns0:f>
        <ns0:v>20.86</ns0:v>
      </ns0:c>
      <ns0:c r="AD26">
        <ns0:f>IF(AH!$E$4="Bloomberg",'IPO Live'!D119,IF(AH!$E$4="Stored",AG26,""))</ns0:f>
        <ns0:v>7.765</ns0:v>
      </ns0:c>
      <ns0:c r="AE26">
        <ns0:f>IFERROR(IF($Z26=1,"Class ratio review",IF(AND(ISNUMBER(AC26),AC26&gt;0,ISNUMBER(AD26),AD26&gt;0,ISNUMBER(AK26),AK26&gt;0,OR(AH!$E$4="Bloomberg",AND(ISNUMBER(AI26),ISNUMBER(AJ26),AI26&lt;=AB26,AJ26&lt;=AB26,AB26-AI26&lt;=10,AB26-AJ26&lt;=5))),AC26*AK26/AD26-1,"")),"")</ns0:f>
        <ns0:v>2.1436972900582223</ns0:v>
      </ns0:c>
      <ns0:c r="AF26" t="n">
        <ns0:v>20.86</ns0:v>
      </ns0:c>
      <ns0:c r="AG26" t="n">
        <ns0:v>7.765</ns0:v>
      </ns0:c>
      <ns0:c r="AH26" t="n">
        <ns0:v>1.170220971107483</ns0:v>
      </ns0:c>
      <ns0:c r="AI26" s="214" t="n">
        <ns0:v>46295</ns0:v>
      </ns0:c>
      <ns0:c r="AJ26" s="214" t="n">
        <ns0:v>46297</ns0:v>
      </ns0:c>
      <ns0:c r="AK26">
        <ns0:f>IF(AH!$E$4="Stored",IF(ISNUMBER(AH26),AH26,""),IF(AH!$E$4="Bloomberg",$E$2,""))</ns0:f>
        <ns0:v>1.170220971107483</ns0:v>
      </ns0:c>
    </ns0:row>
    <ns0:row r="27">
      <ns0:c r="A27" t="inlineStr">
        <ns0:is>
          <ns0:t>1204 HK Equity</ns0:t>
        </ns0:is>
      </ns0:c>
      <ns0:c r="B27">
        <ns0:f>IF('IPO Live'!$A27="","",BDP('IPO Live'!$A27,"PX_YEST_CLOSE"))</ns0:f>
        <ns0:v/>
      </ns0:c>
      <ns0:c r="P27" t="inlineStr">
        <ns0:is>
          <ns0:t>0501</ns0:t>
        </ns0:is>
      </ns0:c>
      <ns0:c r="Q27" t="inlineStr">
        <ns0:is>
          <ns0:t>501 HK Equity</ns0:t>
        </ns0:is>
      </ns0:c>
      <ns0:c r="R27" t="inlineStr">
        <ns0:is>
          <ns0:t>603501 CH Equity</ns0:t>
        </ns0:is>
      </ns0:c>
      <ns0:c r="S27" t="inlineStr">
        <ns0:is>
          <ns0:t>OMNIVISION</ns0:t>
        </ns0:is>
      </ns0:c>
      <ns0:c r="T27" t="inlineStr">
        <ns0:is>
          <ns0:t>Technology</ns0:t>
        </ns0:is>
      </ns0:c>
      <ns0:c r="U27" t="inlineStr">
        <ns0:is>
          <ns0:t>Semiconductors</ns0:t>
        </ns0:is>
      </ns0:c>
      <ns0:c r="V27" s="214" t="n">
        <ns0:v>46034</ns0:v>
      </ns0:c>
      <ns0:c r="W27" t="n">
        <ns0:v>0.3999864869445338</ns0:v>
      </ns0:c>
      <ns0:c r="X27" t="n">
        <ns0:v>3918</ns0:v>
      </ns0:c>
      <ns0:c r="Y27" t="n">
        <ns0:v>179</ns0:v>
      </ns0:c>
      <ns0:c r="Z27" t="n">
        <ns0:v>0</ns0:v>
      </ns0:c>
      <ns0:c r="AA27" t="n">
        <ns0:v>121.8</ns0:v>
      </ns0:c>
      <ns0:c r="AB27" s="214" t="n">
        <ns0:v>46297</ns0:v>
      </ns0:c>
      <ns0:c r="AC27">
        <ns0:f>IF(AH!$E$4="Bloomberg",BDP($R27,"LAST_PRICE"),IF(AH!$E$4="Stored",IF(ISNUMBER(AF27),AF27,""),""))</ns0:f>
        <ns0:v>82.21</ns0:v>
      </ns0:c>
      <ns0:c r="AD27">
        <ns0:f>IF(AH!$E$4="Bloomberg",'IPO Live'!D121,IF(AH!$E$4="Stored",AG27,""))</ns0:f>
        <ns0:v>70.15</ns0:v>
      </ns0:c>
      <ns0:c r="AE27">
        <ns0:f>IFERROR(IF($Z27=1,"Class ratio review",IF(AND(ISNUMBER(AC27),AC27&gt;0,ISNUMBER(AD27),AD27&gt;0,ISNUMBER(AK27),AK27&gt;0,OR(AH!$E$4="Bloomberg",AND(ISNUMBER(AI27),ISNUMBER(AJ27),AI27&lt;=AB27,AJ27&lt;=AB27,AB27-AI27&lt;=10,AB27-AJ27&lt;=5))),AC27*AK27/AD27-1,"")),"")</ns0:f>
        <ns0:v>0.3714022243014419</ns0:v>
      </ns0:c>
      <ns0:c r="AF27" t="n">
        <ns0:v>82.20999999999999</ns0:v>
      </ns0:c>
      <ns0:c r="AG27" t="n">
        <ns0:v>70.15000000000001</ns0:v>
      </ns0:c>
      <ns0:c r="AH27" t="n">
        <ns0:v>1.170220971107483</ns0:v>
      </ns0:c>
      <ns0:c r="AI27" s="214" t="n">
        <ns0:v>46295</ns0:v>
      </ns0:c>
      <ns0:c r="AJ27" s="214" t="n">
        <ns0:v>46297</ns0:v>
      </ns0:c>
      <ns0:c r="AK27">
        <ns0:f>IF(AH!$E$4="Stored",IF(ISNUMBER(AH27),AH27,""),IF(AH!$E$4="Bloomberg",$E$2,""))</ns0:f>
        <ns0:v>1.170220971107483</ns0:v>
      </ns0:c>
    </ns0:row>
    <ns0:row r="28">
      <ns0:c r="A28" t="inlineStr">
        <ns0:is>
          <ns0:t>2076 HK Equity</ns0:t>
        </ns0:is>
      </ns0:c>
      <ns0:c r="B28">
        <ns0:f>IF('IPO Live'!$A28="","",BDP('IPO Live'!$A28,"PX_YEST_CLOSE"))</ns0:f>
        <ns0:v/>
      </ns0:c>
      <ns0:c r="P28" t="inlineStr">
        <ns0:is>
          <ns0:t>3661</ns0:t>
        </ns0:is>
      </ns0:c>
      <ns0:c r="Q28" t="inlineStr">
        <ns0:is>
          <ns0:t>3661 HK Equity</ns0:t>
        </ns0:is>
      </ns0:c>
      <ns0:c r="R28" t="inlineStr">
        <ns0:is>
          <ns0:t>300661 CH Equity</ns0:t>
        </ns0:is>
      </ns0:c>
      <ns0:c r="S28" t="inlineStr">
        <ns0:is>
          <ns0:t>SG MICRO</ns0:t>
        </ns0:is>
      </ns0:c>
      <ns0:c r="T28" t="inlineStr">
        <ns0:is>
          <ns0:t>Technology</ns0:t>
        </ns0:is>
      </ns0:c>
      <ns0:c r="U28" t="inlineStr">
        <ns0:is>
          <ns0:t>Semiconductors</ns0:t>
        </ns0:is>
      </ns0:c>
      <ns0:c r="V28" s="214" t="n">
        <ns0:v>46199</ns0:v>
      </ns0:c>
      <ns0:c r="W28" t="n">
        <ns0:v>0.8731941725166752</ns0:v>
      </ns0:c>
      <ns0:c r="X28" t="n">
        <ns0:v>4097</ns0:v>
      </ns0:c>
      <ns0:c r="Y28" t="n">
        <ns0:v>69</ns0:v>
      </ns0:c>
      <ns0:c r="Z28" t="n">
        <ns0:v>0</ns0:v>
      </ns0:c>
      <ns0:c r="AA28" t="n">
        <ns0:v>125.3</ns0:v>
      </ns0:c>
      <ns0:c r="AB28" s="214" t="n">
        <ns0:v>46297</ns0:v>
      </ns0:c>
      <ns0:c r="AC28">
        <ns0:f>IF(AH!$E$4="Bloomberg",BDP($R28,"LAST_PRICE"),IF(AH!$E$4="Stored",IF(ISNUMBER(AF28),AF28,""),""))</ns0:f>
        <ns0:v>110.21</ns0:v>
      </ns0:c>
      <ns0:c r="AD28">
        <ns0:f>IF(AH!$E$4="Bloomberg",'IPO Live'!D139,IF(AH!$E$4="Stored",AG28,""))</ns0:f>
        <ns0:v>83.85</ns0:v>
      </ns0:c>
      <ns0:c r="AE28">
        <ns0:f>IFERROR(IF($Z28=1,"Class ratio review",IF(AND(ISNUMBER(AC28),AC28&gt;0,ISNUMBER(AD28),AD28&gt;0,ISNUMBER(AK28),AK28&gt;0,OR(AH!$E$4="Bloomberg",AND(ISNUMBER(AI28),ISNUMBER(AJ28),AI28&lt;=AB28,AJ28&lt;=AB28,AB28-AI28&lt;=10,AB28-AJ28&lt;=5))),AC28*AK28/AD28-1,"")),"")</ns0:f>
        <ns0:v>0.5381043914818808</ns0:v>
      </ns0:c>
      <ns0:c r="AF28" t="n">
        <ns0:v>110.21</ns0:v>
      </ns0:c>
      <ns0:c r="AG28" t="n">
        <ns0:v>83.84999999999999</ns0:v>
      </ns0:c>
      <ns0:c r="AH28" t="n">
        <ns0:v>1.170220971107483</ns0:v>
      </ns0:c>
      <ns0:c r="AI28" s="214" t="n">
        <ns0:v>46295</ns0:v>
      </ns0:c>
      <ns0:c r="AJ28" s="214" t="n">
        <ns0:v>46297</ns0:v>
      </ns0:c>
      <ns0:c r="AK28">
        <ns0:f>IF(AH!$E$4="Stored",IF(ISNUMBER(AH28),AH28,""),IF(AH!$E$4="Bloomberg",$E$2,""))</ns0:f>
        <ns0:v>1.170220971107483</ns0:v>
      </ns0:c>
    </ns0:row>
    <ns0:row r="29">
      <ns0:c r="A29" t="inlineStr">
        <ns0:is>
          <ns0:t>6802 HK Equity</ns0:t>
        </ns0:is>
      </ns0:c>
      <ns0:c r="B29">
        <ns0:f>IF('IPO Live'!$A29="","",BDP('IPO Live'!$A29,"PX_YEST_CLOSE"))</ns0:f>
        <ns0:v/>
      </ns0:c>
      <ns0:c r="P29" t="inlineStr">
        <ns0:is>
          <ns0:t>2631</ns0:t>
        </ns0:is>
      </ns0:c>
      <ns0:c r="Q29" t="inlineStr">
        <ns0:is>
          <ns0:t>2631 HK Equity</ns0:t>
        </ns0:is>
      </ns0:c>
      <ns0:c r="R29" t="inlineStr">
        <ns0:is>
          <ns0:t>688234 CH Equity</ns0:t>
        </ns0:is>
      </ns0:c>
      <ns0:c r="S29" t="inlineStr">
        <ns0:is>
          <ns0:t>SICC</ns0:t>
        </ns0:is>
      </ns0:c>
      <ns0:c r="T29" t="inlineStr">
        <ns0:is>
          <ns0:t>Technology</ns0:t>
        </ns0:is>
      </ns0:c>
      <ns0:c r="U29" t="inlineStr">
        <ns0:is>
          <ns0:t>Semiconductors</ns0:t>
        </ns0:is>
      </ns0:c>
      <ns0:c r="V29" s="214" t="n">
        <ns0:v>45889</ns0:v>
      </ns0:c>
      <ns0:c r="W29" t="n">
        <ns0:v>0.7004447788835688</ns0:v>
      </ns0:c>
      <ns0:c r="X29" t="n">
        <ns0:v>4166</ns0:v>
      </ns0:c>
      <ns0:c r="Y29" t="n">
        <ns0:v>276</ns0:v>
      </ns0:c>
      <ns0:c r="Z29" t="n">
        <ns0:v>0</ns0:v>
      </ns0:c>
      <ns0:c r="AA29" t="n">
        <ns0:v>45.54</ns0:v>
      </ns0:c>
      <ns0:c r="AB29" s="214" t="n">
        <ns0:v>46297</ns0:v>
      </ns0:c>
      <ns0:c r="AC29">
        <ns0:f>IF(AH!$E$4="Bloomberg",BDP($R29,"LAST_PRICE"),IF(AH!$E$4="Stored",IF(ISNUMBER(AF29),AF29,""),""))</ns0:f>
        <ns0:v>104.39</ns0:v>
      </ns0:c>
      <ns0:c r="AD29">
        <ns0:f>IF(AH!$E$4="Bloomberg",'IPO Live'!D140,IF(AH!$E$4="Stored",AG29,""))</ns0:f>
        <ns0:v>68.6</ns0:v>
      </ns0:c>
      <ns0:c r="AE29">
        <ns0:f>IFERROR(IF($Z29=1,"Class ratio review",IF(AND(ISNUMBER(AC29),AC29&gt;0,ISNUMBER(AD29),AD29&gt;0,ISNUMBER(AK29),AK29&gt;0,OR(AH!$E$4="Bloomberg",AND(ISNUMBER(AI29),ISNUMBER(AJ29),AI29&lt;=AB29,AJ29&lt;=AB29,AB29-AI29&lt;=10,AB29-AJ29&lt;=5))),AC29*AK29/AD29-1,"")),"")</ns0:f>
        <ns0:v>0.7807487926225969</ns0:v>
      </ns0:c>
      <ns0:c r="AF29" t="n">
        <ns0:v>104.39</ns0:v>
      </ns0:c>
      <ns0:c r="AG29" t="n">
        <ns0:v>68.59999999999999</ns0:v>
      </ns0:c>
      <ns0:c r="AH29" t="n">
        <ns0:v>1.170220971107483</ns0:v>
      </ns0:c>
      <ns0:c r="AI29" s="214" t="n">
        <ns0:v>46295</ns0:v>
      </ns0:c>
      <ns0:c r="AJ29" s="214" t="n">
        <ns0:v>46297</ns0:v>
      </ns0:c>
      <ns0:c r="AK29">
        <ns0:f>IF(AH!$E$4="Stored",IF(ISNUMBER(AH29),AH29,""),IF(AH!$E$4="Bloomberg",$E$2,""))</ns0:f>
        <ns0:v>1.170220971107483</ns0:v>
      </ns0:c>
    </ns0:row>
    <ns0:row r="30">
      <ns0:c r="A30" t="inlineStr">
        <ns0:is>
          <ns0:t>2643 HK Equity</ns0:t>
        </ns0:is>
      </ns0:c>
      <ns0:c r="B30">
        <ns0:f>IF('IPO Live'!$A30="","",BDP('IPO Live'!$A30,"PX_YEST_CLOSE"))</ns0:f>
        <ns0:v/>
      </ns0:c>
      <ns0:c r="P30" t="inlineStr">
        <ns0:is>
          <ns0:t>2476</ns0:t>
        </ns0:is>
      </ns0:c>
      <ns0:c r="Q30" t="inlineStr">
        <ns0:is>
          <ns0:t>2476 HK Equity</ns0:t>
        </ns0:is>
      </ns0:c>
      <ns0:c r="R30" t="inlineStr">
        <ns0:is>
          <ns0:t>300476 CH Equity</ns0:t>
        </ns0:is>
      </ns0:c>
      <ns0:c r="S30" t="inlineStr">
        <ns0:is>
          <ns0:t>VGT</ns0:t>
        </ns0:is>
      </ns0:c>
      <ns0:c r="T30" t="inlineStr">
        <ns0:is>
          <ns0:t>Technology</ns0:t>
        </ns0:is>
      </ns0:c>
      <ns0:c r="U30" t="inlineStr">
        <ns0:is>
          <ns0:t>Hardware &amp; electronics</ns0:t>
        </ns0:is>
      </ns0:c>
      <ns0:c r="V30" s="214" t="n">
        <ns0:v>46133</ns0:v>
      </ns0:c>
      <ns0:c r="W30" t="n">
        <ns0:v>0.8767286635181304</ns0:v>
      </ns0:c>
      <ns0:c r="X30" t="n">
        <ns0:v>4442</ns0:v>
      </ns0:c>
      <ns0:c r="Y30" t="n">
        <ns0:v>114</ns0:v>
      </ns0:c>
      <ns0:c r="Z30" t="n">
        <ns0:v>0</ns0:v>
      </ns0:c>
      <ns0:c r="AA30" t="n">
        <ns0:v>315</ns0:v>
      </ns0:c>
      <ns0:c r="AB30" s="214" t="n">
        <ns0:v>46297</ns0:v>
      </ns0:c>
      <ns0:c r="AC30">
        <ns0:f>IF(AH!$E$4="Bloomberg",BDP($R30,"LAST_PRICE"),IF(AH!$E$4="Stored",IF(ISNUMBER(AF30),AF30,""),""))</ns0:f>
        <ns0:v>210.3</ns0:v>
      </ns0:c>
      <ns0:c r="AD30">
        <ns0:f>IF(AH!$E$4="Bloomberg",'IPO Live'!D154,IF(AH!$E$4="Stored",AG30,""))</ns0:f>
        <ns0:v>195.1</ns0:v>
      </ns0:c>
      <ns0:c r="AE30">
        <ns0:f>IFERROR(IF($Z30=1,"Class ratio review",IF(AND(ISNUMBER(AC30),AC30&gt;0,ISNUMBER(AD30),AD30&gt;0,ISNUMBER(AK30),AK30&gt;0,OR(AH!$E$4="Bloomberg",AND(ISNUMBER(AI30),ISNUMBER(AJ30),AI30&lt;=AB30,AJ30&lt;=AB30,AB30-AI30&lt;=10,AB30-AJ30&lt;=5))),AC30*AK30/AD30-1,"")),"")</ns0:f>
        <ns0:v>0.26139144143466764</ns0:v>
      </ns0:c>
      <ns0:c r="AF30" t="n">
        <ns0:v>210.3</ns0:v>
      </ns0:c>
      <ns0:c r="AG30" t="n">
        <ns0:v>195.1</ns0:v>
      </ns0:c>
      <ns0:c r="AH30" t="n">
        <ns0:v>1.170220971107483</ns0:v>
      </ns0:c>
      <ns0:c r="AI30" s="214" t="n">
        <ns0:v>46295</ns0:v>
      </ns0:c>
      <ns0:c r="AJ30" s="214" t="n">
        <ns0:v>46297</ns0:v>
      </ns0:c>
      <ns0:c r="AK30">
        <ns0:f>IF(AH!$E$4="Stored",IF(ISNUMBER(AH30),AH30,""),IF(AH!$E$4="Bloomberg",$E$2,""))</ns0:f>
        <ns0:v>1.170220971107483</ns0:v>
      </ns0:c>
    </ns0:row>
    <ns0:row r="31">
      <ns0:c r="A31" t="inlineStr">
        <ns0:is>
          <ns0:t>6951 HK Equity</ns0:t>
        </ns0:is>
      </ns0:c>
      <ns0:c r="B31">
        <ns0:f>IF('IPO Live'!$A31="","",BDP('IPO Live'!$A31,"PX_YEST_CLOSE"))</ns0:f>
        <ns0:v/>
      </ns0:c>
      <ns0:c r="P31" t="inlineStr">
        <ns0:is>
          <ns0:t>3308</ns0:t>
        </ns0:is>
      </ns0:c>
      <ns0:c r="Q31" t="inlineStr">
        <ns0:is>
          <ns0:t>3308 HK Equity</ns0:t>
        </ns0:is>
      </ns0:c>
      <ns0:c r="R31" t="inlineStr">
        <ns0:is>
          <ns0:t>300308 CH Equity</ns0:t>
        </ns0:is>
      </ns0:c>
      <ns0:c r="S31" t="inlineStr">
        <ns0:is>
          <ns0:t>ZJ INNOLIGHT</ns0:t>
        </ns0:is>
      </ns0:c>
      <ns0:c r="T31" t="inlineStr">
        <ns0:is>
          <ns0:t>Technology</ns0:t>
        </ns0:is>
      </ns0:c>
      <ns0:c r="U31" t="inlineStr">
        <ns0:is>
          <ns0:t>Hardware &amp; electronics</ns0:t>
        </ns0:is>
      </ns0:c>
      <ns0:c r="V31" s="214" t="n">
        <ns0:v>46233</ns0:v>
      </ns0:c>
      <ns0:c r="W31" t="n">
        <ns0:v>0.1236453059984712</ns0:v>
      </ns0:c>
      <ns0:c r="X31" t="n">
        <ns0:v>4556</ns0:v>
      </ns0:c>
      <ns0:c r="Y31" t="n">
        <ns0:v>46</ns0:v>
      </ns0:c>
      <ns0:c r="Z31" t="n">
        <ns0:v>0</ns0:v>
      </ns0:c>
      <ns0:c r="AA31" t="n">
        <ns0:v>960</ns0:v>
      </ns0:c>
      <ns0:c r="AB31" s="214" t="n">
        <ns0:v>46297</ns0:v>
      </ns0:c>
      <ns0:c r="AC31">
        <ns0:f>IF(AH!$E$4="Bloomberg",BDP($R31,"LAST_PRICE"),IF(AH!$E$4="Stored",IF(ISNUMBER(AF31),AF31,""),""))</ns0:f>
        <ns0:v>808.44</ns0:v>
      </ns0:c>
      <ns0:c r="AD31">
        <ns0:f>IF(AH!$E$4="Bloomberg",'IPO Live'!D167,IF(AH!$E$4="Stored",AG31,""))</ns0:f>
        <ns0:v>1072.0</ns0:v>
      </ns0:c>
      <ns0:c r="AE31">
        <ns0:f>IFERROR(IF($Z31=1,"Class ratio review",IF(AND(ISNUMBER(AC31),AC31&gt;0,ISNUMBER(AD31),AD31&gt;0,ISNUMBER(AK31),AK31&gt;0,OR(AH!$E$4="Bloomberg",AND(ISNUMBER(AI31),ISNUMBER(AJ31),AI31&lt;=AB31,AJ31&lt;=AB31,AB31-AI31&lt;=10,AB31-AJ31&lt;=5))),AC31*AK31/AD31-1,"")),"")</ns0:f>
        <ns0:v>-0.1174874609308455</ns0:v>
      </ns0:c>
      <ns0:c r="AF31" t="n">
        <ns0:v>808.4400000000001</ns0:v>
      </ns0:c>
      <ns0:c r="AG31" t="n">
        <ns0:v>1072</ns0:v>
      </ns0:c>
      <ns0:c r="AH31" t="n">
        <ns0:v>1.170220971107483</ns0:v>
      </ns0:c>
      <ns0:c r="AI31" s="214" t="n">
        <ns0:v>46295</ns0:v>
      </ns0:c>
      <ns0:c r="AJ31" s="214" t="n">
        <ns0:v>46297</ns0:v>
      </ns0:c>
      <ns0:c r="AK31">
        <ns0:f>IF(AH!$E$4="Stored",IF(ISNUMBER(AH31),AH31,""),IF(AH!$E$4="Bloomberg",$E$2,""))</ns0:f>
        <ns0:v>1.170220971107483</ns0:v>
      </ns0:c>
    </ns0:row>
    <ns0:row r="32">
      <ns0:c r="A32" t="inlineStr">
        <ns0:is>
          <ns0:t>9630 HK Equity</ns0:t>
        </ns0:is>
      </ns0:c>
      <ns0:c r="B32">
        <ns0:f>IF('IPO Live'!$A32="","",BDP('IPO Live'!$A32,"PX_YEST_CLOSE"))</ns0:f>
        <ns0:v/>
      </ns0:c>
      <ns0:c r="P32" t="inlineStr">
        <ns0:is>
          <ns0:t>6821</ns0:t>
        </ns0:is>
      </ns0:c>
      <ns0:c r="Q32" t="inlineStr">
        <ns0:is>
          <ns0:t>6821 HK Equity</ns0:t>
        </ns0:is>
      </ns0:c>
      <ns0:c r="R32" t="inlineStr">
        <ns0:is>
          <ns0:t>002821 CH Equity</ns0:t>
        </ns0:is>
      </ns0:c>
      <ns0:c r="S32" t="inlineStr">
        <ns0:is>
          <ns0:t>ASYMCHEM</ns0:t>
        </ns0:is>
      </ns0:c>
      <ns0:c r="T32" t="inlineStr">
        <ns0:is>
          <ns0:t>Healthcare</ns0:t>
        </ns0:is>
      </ns0:c>
      <ns0:c r="U32" t="inlineStr">
        <ns0:is>
          <ns0:t>CXO / pharma services</ns0:t>
        </ns0:is>
      </ns0:c>
      <ns0:c r="V32" s="214" t="n">
        <ns0:v>44540</ns0:v>
      </ns0:c>
      <ns0:c r="W32" t="n">
        <ns0:v>0.5063530555213849</ns0:v>
      </ns0:c>
      <ns0:c r="X32" t="n">
        <ns0:v>4602</ns0:v>
      </ns0:c>
      <ns0:c r="Y32" t="n">
        <ns0:v>1181</ns0:v>
      </ns0:c>
      <ns0:c r="Z32" t="n">
        <ns0:v>0</ns0:v>
      </ns0:c>
      <ns0:c r="AA32" t="n">
        <ns0:v>370</ns0:v>
      </ns0:c>
      <ns0:c r="AB32" s="214" t="n">
        <ns0:v>46297</ns0:v>
      </ns0:c>
      <ns0:c r="AC32">
        <ns0:f>IF(AH!$E$4="Bloomberg",BDP($R32,"LAST_PRICE"),IF(AH!$E$4="Stored",IF(ISNUMBER(AF32),AF32,""),""))</ns0:f>
        <ns0:v>188.62</ns0:v>
      </ns0:c>
      <ns0:c r="AD32">
        <ns0:f>IF(AH!$E$4="Bloomberg",'IPO Live'!D179,IF(AH!$E$4="Stored",AG32,""))</ns0:f>
        <ns0:v>166.6</ns0:v>
      </ns0:c>
      <ns0:c r="AE32">
        <ns0:f>IFERROR(IF($Z32=1,"Class ratio review",IF(AND(ISNUMBER(AC32),AC32&gt;0,ISNUMBER(AD32),AD32&gt;0,ISNUMBER(AK32),AK32&gt;0,OR(AH!$E$4="Bloomberg",AND(ISNUMBER(AI32),ISNUMBER(AJ32),AI32&lt;=AB32,AJ32&lt;=AB32,AB32-AI32&lt;=10,AB32-AJ32&lt;=5))),AC32*AK32/AD32-1,"")),"")</ns0:f>
        <ns0:v>0.32489243439551885</ns0:v>
      </ns0:c>
      <ns0:c r="AF32" t="n">
        <ns0:v>188.62</ns0:v>
      </ns0:c>
      <ns0:c r="AG32" t="n">
        <ns0:v>166.6</ns0:v>
      </ns0:c>
      <ns0:c r="AH32" t="n">
        <ns0:v>1.170220971107483</ns0:v>
      </ns0:c>
      <ns0:c r="AI32" s="214" t="n">
        <ns0:v>46295</ns0:v>
      </ns0:c>
      <ns0:c r="AJ32" s="214" t="n">
        <ns0:v>46297</ns0:v>
      </ns0:c>
      <ns0:c r="AK32">
        <ns0:f>IF(AH!$E$4="Stored",IF(ISNUMBER(AH32),AH32,""),IF(AH!$E$4="Bloomberg",$E$2,""))</ns0:f>
        <ns0:v>1.170220971107483</ns0:v>
      </ns0:c>
    </ns0:row>
    <ns0:row r="33">
      <ns0:c r="A33" t="inlineStr">
        <ns0:is>
          <ns0:t>6959 HK Equity</ns0:t>
        </ns0:is>
      </ns0:c>
      <ns0:c r="B33">
        <ns0:f>IF('IPO Live'!$A33="","",BDP('IPO Live'!$A33,"PX_YEST_CLOSE"))</ns0:f>
        <ns0:v/>
      </ns0:c>
      <ns0:c r="P33" t="inlineStr">
        <ns0:is>
          <ns0:t>2315</ns0:t>
        </ns0:is>
      </ns0:c>
      <ns0:c r="Q33" t="inlineStr">
        <ns0:is>
          <ns0:t>2315 HK Equity</ns0:t>
        </ns0:is>
      </ns0:c>
      <ns0:c r="R33" t="inlineStr">
        <ns0:is>
          <ns0:t>688796 CH Equity</ns0:t>
        </ns0:is>
      </ns0:c>
      <ns0:c r="S33" t="inlineStr">
        <ns0:is>
          <ns0:t>BIOCYTOGEN-B</ns0:t>
        </ns0:is>
      </ns0:c>
      <ns0:c r="T33" t="inlineStr">
        <ns0:is>
          <ns0:t>Healthcare</ns0:t>
        </ns0:is>
      </ns0:c>
      <ns0:c r="U33" t="inlineStr">
        <ns0:is>
          <ns0:t>Biotech pre-revenue (18A)</ns0:t>
        </ns0:is>
      </ns0:c>
      <ns0:c r="V33" s="214" t="n">
        <ns0:v>44805</ns0:v>
      </ns0:c>
      <ns0:c r="X33" t="n">
        <ns0:v>5783</ns0:v>
      </ns0:c>
      <ns0:c r="Y33" t="n">
        <ns0:v>1003</ns0:v>
      </ns0:c>
      <ns0:c r="Z33" t="n">
        <ns0:v>0</ns0:v>
      </ns0:c>
      <ns0:c r="AA33" t="n">
        <ns0:v>26</ns0:v>
      </ns0:c>
      <ns0:c r="AB33" s="214" t="n">
        <ns0:v>46297</ns0:v>
      </ns0:c>
      <ns0:c r="AC33">
        <ns0:f>IF(AH!$E$4="Bloomberg",BDP($R33,"LAST_PRICE"),IF(AH!$E$4="Stored",IF(ISNUMBER(AF33),AF33,""),""))</ns0:f>
        <ns0:v>126.77</ns0:v>
      </ns0:c>
      <ns0:c r="AD33">
        <ns0:f>IF(AH!$E$4="Bloomberg",'IPO Live'!D184,IF(AH!$E$4="Stored",AG33,""))</ns0:f>
        <ns0:v>67.45</ns0:v>
      </ns0:c>
      <ns0:c r="AE33">
        <ns0:f>IFERROR(IF($Z33=1,"Class ratio review",IF(AND(ISNUMBER(AC33),AC33&gt;0,ISNUMBER(AD33),AD33&gt;0,ISNUMBER(AK33),AK33&gt;0,OR(AH!$E$4="Bloomberg",AND(ISNUMBER(AI33),ISNUMBER(AJ33),AI33&lt;=AB33,AJ33&lt;=AB33,AB33-AI33&lt;=10,AB33-AJ33&lt;=5))),AC33*AK33/AD33-1,"")),"")</ns0:f>
        <ns0:v>1.1993908451785855</ns0:v>
      </ns0:c>
      <ns0:c r="AF33" t="n">
        <ns0:v>126.77</ns0:v>
      </ns0:c>
      <ns0:c r="AG33" t="n">
        <ns0:v>67.45</ns0:v>
      </ns0:c>
      <ns0:c r="AH33" t="n">
        <ns0:v>1.170220971107483</ns0:v>
      </ns0:c>
      <ns0:c r="AI33" s="214" t="n">
        <ns0:v>46295</ns0:v>
      </ns0:c>
      <ns0:c r="AJ33" s="214" t="n">
        <ns0:v>46297</ns0:v>
      </ns0:c>
      <ns0:c r="AK33">
        <ns0:f>IF(AH!$E$4="Stored",IF(ISNUMBER(AH33),AH33,""),IF(AH!$E$4="Bloomberg",$E$2,""))</ns0:f>
        <ns0:v>1.170220971107483</ns0:v>
      </ns0:c>
    </ns0:row>
    <ns0:row r="34">
      <ns0:c r="A34" t="inlineStr">
        <ns0:is>
          <ns0:t>9680 HK Equity</ns0:t>
        </ns0:is>
      </ns0:c>
      <ns0:c r="B34">
        <ns0:f>IF('IPO Live'!$A34="","",BDP('IPO Live'!$A34,"PX_YEST_CLOSE"))</ns0:f>
        <ns0:v/>
      </ns0:c>
      <ns0:c r="P34" t="inlineStr">
        <ns0:is>
          <ns0:t>1187</ns0:t>
        </ns0:is>
      </ns0:c>
      <ns0:c r="Q34" t="inlineStr">
        <ns0:is>
          <ns0:t>1187 HK Equity</ns0:t>
        </ns0:is>
      </ns0:c>
      <ns0:c r="R34" t="inlineStr">
        <ns0:is>
          <ns0:t>301087 CH Equity</ns0:t>
        </ns0:is>
      </ns0:c>
      <ns0:c r="S34" t="inlineStr">
        <ns0:is>
          <ns0:t>COFOE MEDICAL</ns0:t>
        </ns0:is>
      </ns0:c>
      <ns0:c r="T34" t="inlineStr">
        <ns0:is>
          <ns0:t>Healthcare</ns0:t>
        </ns0:is>
      </ns0:c>
      <ns0:c r="U34" t="inlineStr">
        <ns0:is>
          <ns0:t>Medical devices</ns0:t>
        </ns0:is>
      </ns0:c>
      <ns0:c r="V34" s="214" t="n">
        <ns0:v>46148</ns0:v>
      </ns0:c>
      <ns0:c r="W34" t="n">
        <ns0:v>0.5459973984264159</ns0:v>
      </ns0:c>
      <ns0:c r="X34" t="n">
        <ns0:v>6786</ns0:v>
      </ns0:c>
      <ns0:c r="Y34" t="n">
        <ns0:v>104</ns0:v>
      </ns0:c>
      <ns0:c r="Z34" t="n">
        <ns0:v>0</ns0:v>
      </ns0:c>
      <ns0:c r="AA34" t="n">
        <ns0:v>38.9</ns0:v>
      </ns0:c>
      <ns0:c r="AB34" s="214" t="n">
        <ns0:v>46297</ns0:v>
      </ns0:c>
      <ns0:c r="AC34">
        <ns0:f>IF(AH!$E$4="Bloomberg",BDP($R34,"LAST_PRICE"),IF(AH!$E$4="Stored",IF(ISNUMBER(AF34),AF34,""),""))</ns0:f>
        <ns0:v>52.1</ns0:v>
      </ns0:c>
      <ns0:c r="AD34">
        <ns0:f>IF(AH!$E$4="Bloomberg",'IPO Live'!D200,IF(AH!$E$4="Stored",AG34,""))</ns0:f>
        <ns0:v>28.12</ns0:v>
      </ns0:c>
      <ns0:c r="AE34">
        <ns0:f>IFERROR(IF($Z34=1,"Class ratio review",IF(AND(ISNUMBER(AC34),AC34&gt;0,ISNUMBER(AD34),AD34&gt;0,ISNUMBER(AK34),AK34&gt;0,OR(AH!$E$4="Bloomberg",AND(ISNUMBER(AI34),ISNUMBER(AJ34),AI34&lt;=AB34,AJ34&lt;=AB34,AB34-AI34&lt;=10,AB34-AJ34&lt;=5))),AC34*AK34/AD34-1,"")),"")</ns0:f>
        <ns0:v>1.168154786440251</ns0:v>
      </ns0:c>
      <ns0:c r="AF34" t="n">
        <ns0:v>52.1</ns0:v>
      </ns0:c>
      <ns0:c r="AG34" t="n">
        <ns0:v>28.12</ns0:v>
      </ns0:c>
      <ns0:c r="AH34" t="n">
        <ns0:v>1.170220971107483</ns0:v>
      </ns0:c>
      <ns0:c r="AI34" s="214" t="n">
        <ns0:v>46295</ns0:v>
      </ns0:c>
      <ns0:c r="AJ34" s="214" t="n">
        <ns0:v>46297</ns0:v>
      </ns0:c>
      <ns0:c r="AK34">
        <ns0:f>IF(AH!$E$4="Stored",IF(ISNUMBER(AH34),AH34,""),IF(AH!$E$4="Bloomberg",$E$2,""))</ns0:f>
        <ns0:v>1.170220971107483</ns0:v>
      </ns0:c>
    </ns0:row>
    <ns0:row r="35">
      <ns0:c r="A35" t="inlineStr">
        <ns0:is>
          <ns0:t>3881 HK Equity</ns0:t>
        </ns0:is>
      </ns0:c>
      <ns0:c r="B35">
        <ns0:f>IF('IPO Live'!$A35="","",BDP('IPO Live'!$A35,"PX_YEST_CLOSE"))</ns0:f>
        <ns0:v/>
      </ns0:c>
      <ns0:c r="P35" t="inlineStr">
        <ns0:is>
          <ns0:t>1276</ns0:t>
        </ns0:is>
      </ns0:c>
      <ns0:c r="Q35" t="inlineStr">
        <ns0:is>
          <ns0:t>1276 HK Equity</ns0:t>
        </ns0:is>
      </ns0:c>
      <ns0:c r="R35" t="inlineStr">
        <ns0:is>
          <ns0:t>600276 CH Equity</ns0:t>
        </ns0:is>
      </ns0:c>
      <ns0:c r="S35" t="inlineStr">
        <ns0:is>
          <ns0:t>HENGRUI PHARMA</ns0:t>
        </ns0:is>
      </ns0:c>
      <ns0:c r="T35" t="inlineStr">
        <ns0:is>
          <ns0:t>Healthcare</ns0:t>
        </ns0:is>
      </ns0:c>
      <ns0:c r="U35" t="inlineStr">
        <ns0:is>
          <ns0:t>Biopharma commercial</ns0:t>
        </ns0:is>
      </ns0:c>
      <ns0:c r="V35" s="214" t="n">
        <ns0:v>45800</ns0:v>
      </ns0:c>
      <ns0:c r="W35" t="n">
        <ns0:v>0.3717927521392789</ns0:v>
      </ns0:c>
      <ns0:c r="X35" t="n">
        <ns0:v>6890</ns0:v>
      </ns0:c>
      <ns0:c r="Y35" t="n">
        <ns0:v>338</ns0:v>
      </ns0:c>
      <ns0:c r="Z35" t="n">
        <ns0:v>0</ns0:v>
      </ns0:c>
      <ns0:c r="AA35" t="n">
        <ns0:v>55.15</ns0:v>
      </ns0:c>
      <ns0:c r="AB35" s="214" t="n">
        <ns0:v>46297</ns0:v>
      </ns0:c>
      <ns0:c r="AC35">
        <ns0:f>IF(AH!$E$4="Bloomberg",BDP($R35,"LAST_PRICE"),IF(AH!$E$4="Stored",IF(ISNUMBER(AF35),AF35,""),""))</ns0:f>
        <ns0:v>47.2</ns0:v>
      </ns0:c>
      <ns0:c r="AD35">
        <ns0:f>IF(AH!$E$4="Bloomberg",'IPO Live'!D220,IF(AH!$E$4="Stored",AG35,""))</ns0:f>
        <ns0:v>49.66</ns0:v>
      </ns0:c>
      <ns0:c r="AE35">
        <ns0:f>IFERROR(IF($Z35=1,"Class ratio review",IF(AND(ISNUMBER(AC35),AC35&gt;0,ISNUMBER(AD35),AD35&gt;0,ISNUMBER(AK35),AK35&gt;0,OR(AH!$E$4="Bloomberg",AND(ISNUMBER(AI35),ISNUMBER(AJ35),AI35&lt;=AB35,AJ35&lt;=AB35,AB35-AI35&lt;=10,AB35-AJ35&lt;=5))),AC35*AK35/AD35-1,"")),"")</ns0:f>
        <ns0:v>0.11225190971150223</ns0:v>
      </ns0:c>
      <ns0:c r="AF35" t="n">
        <ns0:v>47.2</ns0:v>
      </ns0:c>
      <ns0:c r="AG35" t="n">
        <ns0:v>49.66</ns0:v>
      </ns0:c>
      <ns0:c r="AH35" t="n">
        <ns0:v>1.170220971107483</ns0:v>
      </ns0:c>
      <ns0:c r="AI35" s="214" t="n">
        <ns0:v>46295</ns0:v>
      </ns0:c>
      <ns0:c r="AJ35" s="214" t="n">
        <ns0:v>46297</ns0:v>
      </ns0:c>
      <ns0:c r="AK35">
        <ns0:f>IF(AH!$E$4="Stored",IF(ISNUMBER(AH35),AH35,""),IF(AH!$E$4="Bloomberg",$E$2,""))</ns0:f>
        <ns0:v>1.170220971107483</ns0:v>
      </ns0:c>
    </ns0:row>
    <ns0:row r="36">
      <ns0:c r="A36" t="inlineStr">
        <ns0:is>
          <ns0:t>6166 HK Equity</ns0:t>
        </ns0:is>
      </ns0:c>
      <ns0:c r="B36">
        <ns0:f>IF('IPO Live'!$A36="","",BDP('IPO Live'!$A36,"PX_YEST_CLOSE"))</ns0:f>
        <ns0:v/>
      </ns0:c>
      <ns0:c r="P36" t="inlineStr">
        <ns0:is>
          <ns0:t>6127</ns0:t>
        </ns0:is>
      </ns0:c>
      <ns0:c r="Q36" t="inlineStr">
        <ns0:is>
          <ns0:t>6127 HK Equity</ns0:t>
        </ns0:is>
      </ns0:c>
      <ns0:c r="R36" t="inlineStr">
        <ns0:is>
          <ns0:t>603127 CH Equity</ns0:t>
        </ns0:is>
      </ns0:c>
      <ns0:c r="S36" t="inlineStr">
        <ns0:is>
          <ns0:t>JOINN</ns0:t>
        </ns0:is>
      </ns0:c>
      <ns0:c r="T36" t="inlineStr">
        <ns0:is>
          <ns0:t>Healthcare</ns0:t>
        </ns0:is>
      </ns0:c>
      <ns0:c r="U36" t="inlineStr">
        <ns0:is>
          <ns0:t>CXO / pharma services</ns0:t>
        </ns0:is>
      </ns0:c>
      <ns0:c r="V36" s="214" t="n">
        <ns0:v>44253</ns0:v>
      </ns0:c>
      <ns0:c r="W36" t="n">
        <ns0:v>0.1228036468155336</ns0:v>
      </ns0:c>
      <ns0:c r="X36" t="n">
        <ns0:v>7228</ns0:v>
      </ns0:c>
      <ns0:c r="Y36" t="n">
        <ns0:v>1376</ns0:v>
      </ns0:c>
      <ns0:c r="Z36" t="n">
        <ns0:v>0</ns0:v>
      </ns0:c>
      <ns0:c r="AA36" t="n">
        <ns0:v>138</ns0:v>
      </ns0:c>
      <ns0:c r="AB36" s="214" t="n">
        <ns0:v>46297</ns0:v>
      </ns0:c>
      <ns0:c r="AC36">
        <ns0:f>IF(AH!$E$4="Bloomberg",BDP($R36,"LAST_PRICE"),IF(AH!$E$4="Stored",IF(ISNUMBER(AF36),AF36,""),""))</ns0:f>
        <ns0:v>49.3</ns0:v>
      </ns0:c>
      <ns0:c r="AD36">
        <ns0:f>IF(AH!$E$4="Bloomberg",'IPO Live'!D232,IF(AH!$E$4="Stored",AG36,""))</ns0:f>
        <ns0:v>30.42</ns0:v>
      </ns0:c>
      <ns0:c r="AE36">
        <ns0:f>IFERROR(IF($Z36=1,"Class ratio review",IF(AND(ISNUMBER(AC36),AC36&gt;0,ISNUMBER(AD36),AD36&gt;0,ISNUMBER(AK36),AK36&gt;0,OR(AH!$E$4="Bloomberg",AND(ISNUMBER(AI36),ISNUMBER(AJ36),AI36&lt;=AB36,AJ36&lt;=AB36,AB36-AI36&lt;=10,AB36-AJ36&lt;=5))),AC36*AK36/AD36-1,"")),"")</ns0:f>
        <ns0:v>0.896511961722515</ns0:v>
      </ns0:c>
      <ns0:c r="AF36" t="n">
        <ns0:v>49.3</ns0:v>
      </ns0:c>
      <ns0:c r="AG36" t="n">
        <ns0:v>30.42</ns0:v>
      </ns0:c>
      <ns0:c r="AH36" t="n">
        <ns0:v>1.170220971107483</ns0:v>
      </ns0:c>
      <ns0:c r="AI36" s="214" t="n">
        <ns0:v>46295</ns0:v>
      </ns0:c>
      <ns0:c r="AJ36" s="214" t="n">
        <ns0:v>46297</ns0:v>
      </ns0:c>
      <ns0:c r="AK36">
        <ns0:f>IF(AH!$E$4="Stored",IF(ISNUMBER(AH36),AH36,""),IF(AH!$E$4="Bloomberg",$E$2,""))</ns0:f>
        <ns0:v>1.170220971107483</ns0:v>
      </ns0:c>
    </ns0:row>
    <ns0:row r="37">
      <ns0:c r="A37" t="inlineStr">
        <ns0:is>
          <ns0:t>2512 HK Equity</ns0:t>
        </ns0:is>
      </ns0:c>
      <ns0:c r="B37">
        <ns0:f>IF('IPO Live'!$A37="","",BDP('IPO Live'!$A37,"PX_YEST_CLOSE"))</ns0:f>
        <ns0:v/>
      </ns0:c>
      <ns0:c r="P37" t="inlineStr">
        <ns0:is>
          <ns0:t>2493</ns0:t>
        </ns0:is>
      </ns0:c>
      <ns0:c r="Q37" t="inlineStr">
        <ns0:is>
          <ns0:t>2493 HK Equity</ns0:t>
        </ns0:is>
      </ns0:c>
      <ns0:c r="R37" t="inlineStr">
        <ns0:is>
          <ns0:t>688062 CH Equity</ns0:t>
        </ns0:is>
      </ns0:c>
      <ns0:c r="S37" t="inlineStr">
        <ns0:is>
          <ns0:t>MABWELL-B</ns0:t>
        </ns0:is>
      </ns0:c>
      <ns0:c r="T37" t="inlineStr">
        <ns0:is>
          <ns0:t>Healthcare</ns0:t>
        </ns0:is>
      </ns0:c>
      <ns0:c r="U37" t="inlineStr">
        <ns0:is>
          <ns0:t>Biotech pre-revenue (18A)</ns0:t>
        </ns0:is>
      </ns0:c>
      <ns0:c r="V37" s="214" t="n">
        <ns0:v>46140</ns0:v>
      </ns0:c>
      <ns0:c r="W37" t="n">
        <ns0:v>0.5353276435442151</ns0:v>
      </ns0:c>
      <ns0:c r="X37" t="n">
        <ns0:v>8604</ns0:v>
      </ns0:c>
      <ns0:c r="Y37" t="n">
        <ns0:v>109</ns0:v>
      </ns0:c>
      <ns0:c r="Z37" t="n">
        <ns0:v>0</ns0:v>
      </ns0:c>
      <ns0:c r="AA37" t="n">
        <ns0:v>27.8</ns0:v>
      </ns0:c>
      <ns0:c r="AB37" s="214" t="n">
        <ns0:v>46297</ns0:v>
      </ns0:c>
      <ns0:c r="AC37">
        <ns0:f>IF(AH!$E$4="Bloomberg",BDP($R37,"LAST_PRICE"),IF(AH!$E$4="Stored",IF(ISNUMBER(AF37),AF37,""),""))</ns0:f>
        <ns0:v>27.04</ns0:v>
      </ns0:c>
      <ns0:c r="AD37">
        <ns0:f>IF(AH!$E$4="Bloomberg",'IPO Live'!D240,IF(AH!$E$4="Stored",AG37,""))</ns0:f>
        <ns0:v>20.88</ns0:v>
      </ns0:c>
      <ns0:c r="AE37">
        <ns0:f>IFERROR(IF($Z37=1,"Class ratio review",IF(AND(ISNUMBER(AC37),AC37&gt;0,ISNUMBER(AD37),AD37&gt;0,ISNUMBER(AK37),AK37&gt;0,OR(AH!$E$4="Bloomberg",AND(ISNUMBER(AI37),ISNUMBER(AJ37),AI37&lt;=AB37,AJ37&lt;=AB37,AB37-AI37&lt;=10,AB37-AJ37&lt;=5))),AC37*AK37/AD37-1,"")),"")</ns0:f>
        <ns0:v>0.5154585756104568</ns0:v>
      </ns0:c>
      <ns0:c r="AF37" t="n">
        <ns0:v>27.04</ns0:v>
      </ns0:c>
      <ns0:c r="AG37" t="n">
        <ns0:v>20.88</ns0:v>
      </ns0:c>
      <ns0:c r="AH37" t="n">
        <ns0:v>1.170220971107483</ns0:v>
      </ns0:c>
      <ns0:c r="AI37" s="214" t="n">
        <ns0:v>46295</ns0:v>
      </ns0:c>
      <ns0:c r="AJ37" s="214" t="n">
        <ns0:v>46297</ns0:v>
      </ns0:c>
      <ns0:c r="AK37">
        <ns0:f>IF(AH!$E$4="Stored",IF(ISNUMBER(AH37),AH37,""),IF(AH!$E$4="Bloomberg",$E$2,""))</ns0:f>
        <ns0:v>1.170220971107483</ns0:v>
      </ns0:c>
    </ns0:row>
    <ns0:row r="38">
      <ns0:c r="A38" t="inlineStr">
        <ns0:is>
          <ns0:t>9899 HK Equity</ns0:t>
        </ns0:is>
      </ns0:c>
      <ns0:c r="B38">
        <ns0:f>IF('IPO Live'!$A38="","",BDP('IPO Live'!$A38,"PX_YEST_CLOSE"))</ns0:f>
        <ns0:v/>
      </ns0:c>
      <ns0:c r="P38" t="inlineStr">
        <ns0:is>
          <ns0:t>2648</ns0:t>
        </ns0:is>
      </ns0:c>
      <ns0:c r="Q38" t="inlineStr">
        <ns0:is>
          <ns0:t>2648 HK Equity</ns0:t>
        </ns0:is>
      </ns0:c>
      <ns0:c r="R38" t="inlineStr">
        <ns0:is>
          <ns0:t>603345 CH Equity</ns0:t>
        </ns0:is>
      </ns0:c>
      <ns0:c r="S38" t="inlineStr">
        <ns0:is>
          <ns0:t>ANJOY FOOD</ns0:t>
        </ns0:is>
      </ns0:c>
      <ns0:c r="T38" t="inlineStr">
        <ns0:is>
          <ns0:t>Consumer</ns0:t>
        </ns0:is>
      </ns0:c>
      <ns0:c r="U38" t="inlineStr">
        <ns0:is>
          <ns0:t>Beverages / packaged food</ns0:t>
        </ns0:is>
      </ns0:c>
      <ns0:c r="V38" s="214" t="n">
        <ns0:v>45842</ns0:v>
      </ns0:c>
      <ns0:c r="W38" t="n">
        <ns0:v>0.4180238171815873</ns0:v>
      </ns0:c>
      <ns0:c r="X38" t="n">
        <ns0:v>8713</ns0:v>
      </ns0:c>
      <ns0:c r="Y38" t="n">
        <ns0:v>309</ns0:v>
      </ns0:c>
      <ns0:c r="Z38" t="n">
        <ns0:v>0</ns0:v>
      </ns0:c>
      <ns0:c r="AA38" t="n">
        <ns0:v>57</ns0:v>
      </ns0:c>
      <ns0:c r="AB38" s="214" t="n">
        <ns0:v>46297</ns0:v>
      </ns0:c>
      <ns0:c r="AC38">
        <ns0:f>IF(AH!$E$4="Bloomberg",BDP($R38,"LAST_PRICE"),IF(AH!$E$4="Stored",IF(ISNUMBER(AF38),AF38,""),""))</ns0:f>
        <ns0:v>79.4</ns0:v>
      </ns0:c>
      <ns0:c r="AD38">
        <ns0:f>IF(AH!$E$4="Bloomberg",'IPO Live'!D291,IF(AH!$E$4="Stored",AG38,""))</ns0:f>
        <ns0:v>60.65</ns0:v>
      </ns0:c>
      <ns0:c r="AE38">
        <ns0:f>IFERROR(IF($Z38=1,"Class ratio review",IF(AND(ISNUMBER(AC38),AC38&gt;0,ISNUMBER(AD38),AD38&gt;0,ISNUMBER(AK38),AK38&gt;0,OR(AH!$E$4="Bloomberg",AND(ISNUMBER(AI38),ISNUMBER(AJ38),AI38&lt;=AB38,AJ38&lt;=AB38,AB38-AI38&lt;=10,AB38-AJ38&lt;=5))),AC38*AK38/AD38-1,"")),"")</ns0:f>
        <ns0:v>0.5319957972948746</ns0:v>
      </ns0:c>
      <ns0:c r="AF38" t="n">
        <ns0:v>79.40000000000001</ns0:v>
      </ns0:c>
      <ns0:c r="AG38" t="n">
        <ns0:v>60.65</ns0:v>
      </ns0:c>
      <ns0:c r="AH38" t="n">
        <ns0:v>1.170220971107483</ns0:v>
      </ns0:c>
      <ns0:c r="AI38" s="214" t="n">
        <ns0:v>46295</ns0:v>
      </ns0:c>
      <ns0:c r="AJ38" s="214" t="n">
        <ns0:v>46297</ns0:v>
      </ns0:c>
      <ns0:c r="AK38">
        <ns0:f>IF(AH!$E$4="Stored",IF(ISNUMBER(AH38),AH38,""),IF(AH!$E$4="Bloomberg",$E$2,""))</ns0:f>
        <ns0:v>1.170220971107483</ns0:v>
      </ns0:c>
    </ns0:row>
    <ns0:row r="39">
      <ns0:c r="A39" t="inlineStr">
        <ns0:is>
          <ns0:t>1191 HK Equity</ns0:t>
        </ns0:is>
      </ns0:c>
      <ns0:c r="B39">
        <ns0:f>IF('IPO Live'!$A39="","",BDP('IPO Live'!$A39,"PX_YEST_CLOSE"))</ns0:f>
        <ns0:v/>
      </ns0:c>
      <ns0:c r="P39" t="inlineStr">
        <ns0:is>
          <ns0:t>1880</ns0:t>
        </ns0:is>
      </ns0:c>
      <ns0:c r="Q39" t="inlineStr">
        <ns0:is>
          <ns0:t>1880 HK Equity</ns0:t>
        </ns0:is>
      </ns0:c>
      <ns0:c r="R39" t="inlineStr">
        <ns0:is>
          <ns0:t>601888 CH Equity</ns0:t>
        </ns0:is>
      </ns0:c>
      <ns0:c r="S39" t="inlineStr">
        <ns0:is>
          <ns0:t>CTG DUTY-FREE</ns0:t>
        </ns0:is>
      </ns0:c>
      <ns0:c r="T39" t="inlineStr">
        <ns0:is>
          <ns0:t>Consumer</ns0:t>
        </ns0:is>
      </ns0:c>
      <ns0:c r="U39" t="inlineStr">
        <ns0:is>
          <ns0:t>Retail / distribution</ns0:t>
        </ns0:is>
      </ns0:c>
      <ns0:c r="V39" s="214" t="n">
        <ns0:v>44798</ns0:v>
      </ns0:c>
      <ns0:c r="W39" t="n">
        <ns0:v>0.3793294035935706</ns0:v>
      </ns0:c>
      <ns0:c r="X39" t="n">
        <ns0:v>9022</ns0:v>
      </ns0:c>
      <ns0:c r="Y39" t="n">
        <ns0:v>1008</ns0:v>
      </ns0:c>
      <ns0:c r="Z39" t="n">
        <ns0:v>0</ns0:v>
      </ns0:c>
      <ns0:c r="AA39" t="n">
        <ns0:v>158</ns0:v>
      </ns0:c>
      <ns0:c r="AB39" s="214" t="n">
        <ns0:v>46297</ns0:v>
      </ns0:c>
      <ns0:c r="AC39">
        <ns0:f>IF(AH!$E$4="Bloomberg",BDP($R39,"LAST_PRICE"),IF(AH!$E$4="Stored",IF(ISNUMBER(AF39),AF39,""),""))</ns0:f>
        <ns0:v>51.44</ns0:v>
      </ns0:c>
      <ns0:c r="AD39">
        <ns0:f>IF(AH!$E$4="Bloomberg",'IPO Live'!D311,IF(AH!$E$4="Stored",AG39,""))</ns0:f>
        <ns0:v>45.86</ns0:v>
      </ns0:c>
      <ns0:c r="AE39">
        <ns0:f>IFERROR(IF($Z39=1,"Class ratio review",IF(AND(ISNUMBER(AC39),AC39&gt;0,ISNUMBER(AD39),AD39&gt;0,ISNUMBER(AK39),AK39&gt;0,OR(AH!$E$4="Bloomberg",AND(ISNUMBER(AI39),ISNUMBER(AJ39),AI39&lt;=AB39,AJ39&lt;=AB39,AB39-AI39&lt;=10,AB39-AJ39&lt;=5))),AC39*AK39/AD39-1,"")),"")</ns0:f>
        <ns0:v>0.3126072122496495</ns0:v>
      </ns0:c>
      <ns0:c r="AF39" t="n">
        <ns0:v>51.44</ns0:v>
      </ns0:c>
      <ns0:c r="AG39" t="n">
        <ns0:v>45.86</ns0:v>
      </ns0:c>
      <ns0:c r="AH39" t="n">
        <ns0:v>1.170220971107483</ns0:v>
      </ns0:c>
      <ns0:c r="AI39" s="214" t="n">
        <ns0:v>46295</ns0:v>
      </ns0:c>
      <ns0:c r="AJ39" s="214" t="n">
        <ns0:v>46297</ns0:v>
      </ns0:c>
      <ns0:c r="AK39">
        <ns0:f>IF(AH!$E$4="Stored",IF(ISNUMBER(AH39),AH39,""),IF(AH!$E$4="Bloomberg",$E$2,""))</ns0:f>
        <ns0:v>1.170220971107483</ns0:v>
      </ns0:c>
    </ns0:row>
    <ns0:row r="40">
      <ns0:c r="A40" t="inlineStr">
        <ns0:is>
          <ns0:t>3388 HK Equity</ns0:t>
        </ns0:is>
      </ns0:c>
      <ns0:c r="B40">
        <ns0:f>IF('IPO Live'!$A40="","",BDP('IPO Live'!$A40,"PX_YEST_CLOSE"))</ns0:f>
        <ns0:v/>
      </ns0:c>
      <ns0:c r="P40" t="inlineStr">
        <ns0:is>
          <ns0:t>9980</ns0:t>
        </ns0:is>
      </ns0:c>
      <ns0:c r="Q40" t="inlineStr">
        <ns0:is>
          <ns0:t>9980 HK Equity</ns0:t>
        </ns0:is>
      </ns0:c>
      <ns0:c r="R40" t="inlineStr">
        <ns0:is>
          <ns0:t>605499 CH Equity</ns0:t>
        </ns0:is>
      </ns0:c>
      <ns0:c r="S40" t="inlineStr">
        <ns0:is>
          <ns0:t>EASTROC</ns0:t>
        </ns0:is>
      </ns0:c>
      <ns0:c r="T40" t="inlineStr">
        <ns0:is>
          <ns0:t>Consumer</ns0:t>
        </ns0:is>
      </ns0:c>
      <ns0:c r="U40" t="inlineStr">
        <ns0:is>
          <ns0:t>Beverages / packaged food</ns0:t>
        </ns0:is>
      </ns0:c>
      <ns0:c r="V40" s="214" t="n">
        <ns0:v>46056</ns0:v>
      </ns0:c>
      <ns0:c r="W40" t="n">
        <ns0:v>0.164347770233308</ns0:v>
      </ns0:c>
      <ns0:c r="X40" t="n">
        <ns0:v>10030</ns0:v>
      </ns0:c>
      <ns0:c r="Y40" t="n">
        <ns0:v>163</ns0:v>
      </ns0:c>
      <ns0:c r="Z40" t="n">
        <ns0:v>0</ns0:v>
      </ns0:c>
      <ns0:c r="AA40" t="n">
        <ns0:v>251.8</ns0:v>
      </ns0:c>
      <ns0:c r="AB40" s="214" t="n">
        <ns0:v>46297</ns0:v>
      </ns0:c>
      <ns0:c r="AC40">
        <ns0:f>IF(AH!$E$4="Bloomberg",BDP($R40,"LAST_PRICE"),IF(AH!$E$4="Stored",IF(ISNUMBER(AF40),AF40,""),""))</ns0:f>
        <ns0:v>112.25</ns0:v>
      </ns0:c>
      <ns0:c r="AD40">
        <ns0:f>IF(AH!$E$4="Bloomberg",'IPO Live'!D314,IF(AH!$E$4="Stored",AG40,""))</ns0:f>
        <ns0:v>94.0</ns0:v>
      </ns0:c>
      <ns0:c r="AE40">
        <ns0:f>IFERROR(IF($Z40=1,"Class ratio review",IF(AND(ISNUMBER(AC40),AC40&gt;0,ISNUMBER(AD40),AD40&gt;0,ISNUMBER(AK40),AK40&gt;0,OR(AH!$E$4="Bloomberg",AND(ISNUMBER(AI40),ISNUMBER(AJ40),AI40&lt;=AB40,AJ40&lt;=AB40,AB40-AI40&lt;=10,AB40-AJ40&lt;=5))),AC40*AK40/AD40-1,"")),"")</ns0:f>
        <ns0:v>0.3974181277320741</ns0:v>
      </ns0:c>
      <ns0:c r="AF40" t="n">
        <ns0:v>112.25</ns0:v>
      </ns0:c>
      <ns0:c r="AG40" t="n">
        <ns0:v>94</ns0:v>
      </ns0:c>
      <ns0:c r="AH40" t="n">
        <ns0:v>1.170220971107483</ns0:v>
      </ns0:c>
      <ns0:c r="AI40" s="214" t="n">
        <ns0:v>46295</ns0:v>
      </ns0:c>
      <ns0:c r="AJ40" s="214" t="n">
        <ns0:v>46297</ns0:v>
      </ns0:c>
      <ns0:c r="AK40">
        <ns0:f>IF(AH!$E$4="Stored",IF(ISNUMBER(AH40),AH40,""),IF(AH!$E$4="Bloomberg",$E$2,""))</ns0:f>
        <ns0:v>1.170220971107483</ns0:v>
      </ns0:c>
    </ns0:row>
    <ns0:row r="41">
      <ns0:c r="A41" t="inlineStr">
        <ns0:is>
          <ns0:t>2543 HK Equity</ns0:t>
        </ns0:is>
      </ns0:c>
      <ns0:c r="B41">
        <ns0:f>IF('IPO Live'!$A41="","",BDP('IPO Live'!$A41,"PX_YEST_CLOSE"))</ns0:f>
        <ns0:v/>
      </ns0:c>
      <ns0:c r="P41" t="inlineStr">
        <ns0:is>
          <ns0:t>3288</ns0:t>
        </ns0:is>
      </ns0:c>
      <ns0:c r="Q41" t="inlineStr">
        <ns0:is>
          <ns0:t>3288 HK Equity</ns0:t>
        </ns0:is>
      </ns0:c>
      <ns0:c r="R41" t="inlineStr">
        <ns0:is>
          <ns0:t>603288 CH Equity</ns0:t>
        </ns0:is>
      </ns0:c>
      <ns0:c r="S41" t="inlineStr">
        <ns0:is>
          <ns0:t>HAITIAN FLAV</ns0:t>
        </ns0:is>
      </ns0:c>
      <ns0:c r="T41" t="inlineStr">
        <ns0:is>
          <ns0:t>Consumer</ns0:t>
        </ns0:is>
      </ns0:c>
      <ns0:c r="U41" t="inlineStr">
        <ns0:is>
          <ns0:t>Beverages / packaged food</ns0:t>
        </ns0:is>
      </ns0:c>
      <ns0:c r="V41" s="214" t="n">
        <ns0:v>45827</ns0:v>
      </ns0:c>
      <ns0:c r="W41" t="n">
        <ns0:v>0.2106914335045933</ns0:v>
      </ns0:c>
      <ns0:c r="X41" t="n">
        <ns0:v>10193</ns0:v>
      </ns0:c>
      <ns0:c r="Y41" t="n">
        <ns0:v>319</ns0:v>
      </ns0:c>
      <ns0:c r="Z41" t="n">
        <ns0:v>0</ns0:v>
      </ns0:c>
      <ns0:c r="AA41" t="n">
        <ns0:v>36.5</ns0:v>
      </ns0:c>
      <ns0:c r="AB41" s="214" t="n">
        <ns0:v>46297</ns0:v>
      </ns0:c>
      <ns0:c r="AC41">
        <ns0:f>IF(AH!$E$4="Bloomberg",BDP($R41,"LAST_PRICE"),IF(AH!$E$4="Stored",IF(ISNUMBER(AF41),AF41,""),""))</ns0:f>
        <ns0:v>33.17</ns0:v>
      </ns0:c>
      <ns0:c r="AD41">
        <ns0:f>IF(AH!$E$4="Bloomberg",'IPO Live'!D324,IF(AH!$E$4="Stored",AG41,""))</ns0:f>
        <ns0:v>25.28</ns0:v>
      </ns0:c>
      <ns0:c r="AE41">
        <ns0:f>IFERROR(IF($Z41=1,"Class ratio review",IF(AND(ISNUMBER(AC41),AC41&gt;0,ISNUMBER(AD41),AD41&gt;0,ISNUMBER(AK41),AK41&gt;0,OR(AH!$E$4="Bloomberg",AND(ISNUMBER(AI41),ISNUMBER(AJ41),AI41&lt;=AB41,AJ41&lt;=AB41,AB41-AI41&lt;=10,AB41-AJ41&lt;=5))),AC41*AK41/AD41-1,"")),"")</ns0:f>
        <ns0:v>0.535452120713418</ns0:v>
      </ns0:c>
      <ns0:c r="AF41" t="n">
        <ns0:v>33.17</ns0:v>
      </ns0:c>
      <ns0:c r="AG41" t="n">
        <ns0:v>25.28</ns0:v>
      </ns0:c>
      <ns0:c r="AH41" t="n">
        <ns0:v>1.170220971107483</ns0:v>
      </ns0:c>
      <ns0:c r="AI41" s="214" t="n">
        <ns0:v>46295</ns0:v>
      </ns0:c>
      <ns0:c r="AJ41" s="214" t="n">
        <ns0:v>46297</ns0:v>
      </ns0:c>
      <ns0:c r="AK41">
        <ns0:f>IF(AH!$E$4="Stored",IF(ISNUMBER(AH41),AH41,""),IF(AH!$E$4="Bloomberg",$E$2,""))</ns0:f>
        <ns0:v>1.170220971107483</ns0:v>
      </ns0:c>
    </ns0:row>
    <ns0:row r="42">
      <ns0:c r="A42" t="inlineStr">
        <ns0:is>
          <ns0:t>1384 HK Equity</ns0:t>
        </ns0:is>
      </ns0:c>
      <ns0:c r="B42">
        <ns0:f>IF('IPO Live'!$A42="","",BDP('IPO Live'!$A42,"PX_YEST_CLOSE"))</ns0:f>
        <ns0:v/>
      </ns0:c>
      <ns0:c r="P42" t="inlineStr">
        <ns0:is>
          <ns0:t>0699</ns0:t>
        </ns0:is>
      </ns0:c>
      <ns0:c r="Q42" t="inlineStr">
        <ns0:is>
          <ns0:t>699 HK Equity</ns0:t>
        </ns0:is>
      </ns0:c>
      <ns0:c r="R42" t="inlineStr">
        <ns0:is>
          <ns0:t>600699 CH Equity</ns0:t>
        </ns0:is>
      </ns0:c>
      <ns0:c r="S42" t="inlineStr">
        <ns0:is>
          <ns0:t>JOYSON ELEC</ns0:t>
        </ns0:is>
      </ns0:c>
      <ns0:c r="T42" t="inlineStr">
        <ns0:is>
          <ns0:t>Consumer</ns0:t>
        </ns0:is>
      </ns0:c>
      <ns0:c r="U42" t="inlineStr">
        <ns0:is>
          <ns0:t>Auto parts / supply chain</ns0:t>
        </ns0:is>
      </ns0:c>
      <ns0:c r="V42" s="214" t="n">
        <ns0:v>45967</ns0:v>
      </ns0:c>
      <ns0:c r="W42" t="n">
        <ns0:v>0.4817814496430481</ns0:v>
      </ns0:c>
      <ns0:c r="X42" t="n">
        <ns0:v>10512</ns0:v>
      </ns0:c>
      <ns0:c r="Y42" t="n">
        <ns0:v>223</ns0:v>
      </ns0:c>
      <ns0:c r="Z42" t="n">
        <ns0:v>0</ns0:v>
      </ns0:c>
      <ns0:c r="AA42" t="n">
        <ns0:v>20.24</ns0:v>
      </ns0:c>
      <ns0:c r="AB42" s="214" t="n">
        <ns0:v>46297</ns0:v>
      </ns0:c>
      <ns0:c r="AC42">
        <ns0:f>IF(AH!$E$4="Bloomberg",BDP($R42,"LAST_PRICE"),IF(AH!$E$4="Stored",IF(ISNUMBER(AF42),AF42,""),""))</ns0:f>
        <ns0:v>23.46</ns0:v>
      </ns0:c>
      <ns0:c r="AD42">
        <ns0:f>IF(AH!$E$4="Bloomberg",'IPO Live'!D330,IF(AH!$E$4="Stored",AG42,""))</ns0:f>
        <ns0:v>12.19</ns0:v>
      </ns0:c>
      <ns0:c r="AE42">
        <ns0:f>IFERROR(IF($Z42=1,"Class ratio review",IF(AND(ISNUMBER(AC42),AC42&gt;0,ISNUMBER(AD42),AD42&gt;0,ISNUMBER(AK42),AK42&gt;0,OR(AH!$E$4="Bloomberg",AND(ISNUMBER(AI42),ISNUMBER(AJ42),AI42&lt;=AB42,AJ42&lt;=AB42,AB42-AI42&lt;=10,AB42-AJ42&lt;=5))),AC42*AK42/AD42-1,"")),"")</ns0:f>
        <ns0:v>1.2521233783577972</ns0:v>
      </ns0:c>
      <ns0:c r="AF42" t="n">
        <ns0:v>23.46</ns0:v>
      </ns0:c>
      <ns0:c r="AG42" t="n">
        <ns0:v>12.19</ns0:v>
      </ns0:c>
      <ns0:c r="AH42" t="n">
        <ns0:v>1.170220971107483</ns0:v>
      </ns0:c>
      <ns0:c r="AI42" s="214" t="n">
        <ns0:v>46295</ns0:v>
      </ns0:c>
      <ns0:c r="AJ42" s="214" t="n">
        <ns0:v>46297</ns0:v>
      </ns0:c>
      <ns0:c r="AK42">
        <ns0:f>IF(AH!$E$4="Stored",IF(ISNUMBER(AH42),AH42,""),IF(AH!$E$4="Bloomberg",$E$2,""))</ns0:f>
        <ns0:v>1.170220971107483</ns0:v>
      </ns0:c>
    </ns0:row>
    <ns0:row r="43">
      <ns0:c r="A43" t="inlineStr">
        <ns0:is>
          <ns0:t>2723 HK Equity</ns0:t>
        </ns0:is>
      </ns0:c>
      <ns0:c r="B43">
        <ns0:f>IF('IPO Live'!$A43="","",BDP('IPO Live'!$A43,"PX_YEST_CLOSE"))</ns0:f>
        <ns0:v/>
      </ns0:c>
      <ns0:c r="P43" t="inlineStr">
        <ns0:is>
          <ns0:t>2714</ns0:t>
        </ns0:is>
      </ns0:c>
      <ns0:c r="Q43" t="inlineStr">
        <ns0:is>
          <ns0:t>2714 HK Equity</ns0:t>
        </ns0:is>
      </ns0:c>
      <ns0:c r="R43" t="inlineStr">
        <ns0:is>
          <ns0:t>002714 CH Equity</ns0:t>
        </ns0:is>
      </ns0:c>
      <ns0:c r="S43" t="inlineStr">
        <ns0:is>
          <ns0:t>MUYUAN</ns0:t>
        </ns0:is>
      </ns0:c>
      <ns0:c r="T43" t="inlineStr">
        <ns0:is>
          <ns0:t>Consumer</ns0:t>
        </ns0:is>
      </ns0:c>
      <ns0:c r="U43" t="inlineStr">
        <ns0:is>
          <ns0:t>Beverages / packaged food</ns0:t>
        </ns0:is>
      </ns0:c>
      <ns0:c r="V43" s="214" t="n">
        <ns0:v>46059</ns0:v>
      </ns0:c>
      <ns0:c r="W43" t="n">
        <ns0:v>0.3490507625616515</ns0:v>
      </ns0:c>
      <ns0:c r="X43" t="n">
        <ns0:v>10735</ns0:v>
      </ns0:c>
      <ns0:c r="Y43" t="n">
        <ns0:v>160</ns0:v>
      </ns0:c>
      <ns0:c r="Z43" t="n">
        <ns0:v>0</ns0:v>
      </ns0:c>
      <ns0:c r="AA43" t="n">
        <ns0:v>40.52</ns0:v>
      </ns0:c>
      <ns0:c r="AB43" s="214" t="n">
        <ns0:v>46297</ns0:v>
      </ns0:c>
      <ns0:c r="AC43">
        <ns0:f>IF(AH!$E$4="Bloomberg",BDP($R43,"LAST_PRICE"),IF(AH!$E$4="Stored",IF(ISNUMBER(AF43),AF43,""),""))</ns0:f>
        <ns0:v>42.45</ns0:v>
      </ns0:c>
      <ns0:c r="AD43">
        <ns0:f>IF(AH!$E$4="Bloomberg",'IPO Live'!D342,IF(AH!$E$4="Stored",AG43,""))</ns0:f>
        <ns0:v>36.78</ns0:v>
      </ns0:c>
      <ns0:c r="AE43">
        <ns0:f>IFERROR(IF($Z43=1,"Class ratio review",IF(AND(ISNUMBER(AC43),AC43&gt;0,ISNUMBER(AD43),AD43&gt;0,ISNUMBER(AK43),AK43&gt;0,OR(AH!$E$4="Bloomberg",AND(ISNUMBER(AI43),ISNUMBER(AJ43),AI43&lt;=AB43,AJ43&lt;=AB43,AB43-AI43&lt;=10,AB43-AJ43&lt;=5))),AC43*AK43/AD43-1,"")),"")</ns0:f>
        <ns0:v>0.3506220832928941</ns0:v>
      </ns0:c>
      <ns0:c r="AF43" t="n">
        <ns0:v>42.45</ns0:v>
      </ns0:c>
      <ns0:c r="AG43" t="n">
        <ns0:v>36.78</ns0:v>
      </ns0:c>
      <ns0:c r="AH43" t="n">
        <ns0:v>1.170220971107483</ns0:v>
      </ns0:c>
      <ns0:c r="AI43" s="214" t="n">
        <ns0:v>46295</ns0:v>
      </ns0:c>
      <ns0:c r="AJ43" s="214" t="n">
        <ns0:v>46297</ns0:v>
      </ns0:c>
      <ns0:c r="AK43">
        <ns0:f>IF(AH!$E$4="Stored",IF(ISNUMBER(AH43),AH43,""),IF(AH!$E$4="Bloomberg",$E$2,""))</ns0:f>
        <ns0:v>1.170220971107483</ns0:v>
      </ns0:c>
    </ns0:row>
    <ns0:row r="44">
      <ns0:c r="A44" t="inlineStr">
        <ns0:is>
          <ns0:t>1989 HK Equity</ns0:t>
        </ns0:is>
      </ns0:c>
      <ns0:c r="B44">
        <ns0:f>IF('IPO Live'!$A44="","",BDP('IPO Live'!$A44,"PX_YEST_CLOSE"))</ns0:f>
        <ns0:v/>
      </ns0:c>
      <ns0:c r="P44" t="inlineStr">
        <ns0:is>
          <ns0:t>2050</ns0:t>
        </ns0:is>
      </ns0:c>
      <ns0:c r="Q44" t="inlineStr">
        <ns0:is>
          <ns0:t>2050 HK Equity</ns0:t>
        </ns0:is>
      </ns0:c>
      <ns0:c r="R44" t="inlineStr">
        <ns0:is>
          <ns0:t>002050 CH Equity</ns0:t>
        </ns0:is>
      </ns0:c>
      <ns0:c r="S44" t="inlineStr">
        <ns0:is>
          <ns0:t>SANHUA</ns0:t>
        </ns0:is>
      </ns0:c>
      <ns0:c r="T44" t="inlineStr">
        <ns0:is>
          <ns0:t>Consumer</ns0:t>
        </ns0:is>
      </ns0:c>
      <ns0:c r="U44" t="inlineStr">
        <ns0:is>
          <ns0:t>Auto parts / supply chain</ns0:t>
        </ns0:is>
      </ns0:c>
      <ns0:c r="V44" s="214" t="n">
        <ns0:v>45831</ns0:v>
      </ns0:c>
      <ns0:c r="W44" t="n">
        <ns0:v>0.2090361956961675</ns0:v>
      </ns0:c>
      <ns0:c r="X44" t="n">
        <ns0:v>10895</ns0:v>
      </ns0:c>
      <ns0:c r="Y44" t="n">
        <ns0:v>317</ns0:v>
      </ns0:c>
      <ns0:c r="Z44" t="n">
        <ns0:v>0</ns0:v>
      </ns0:c>
      <ns0:c r="AA44" t="n">
        <ns0:v>22.5</ns0:v>
      </ns0:c>
      <ns0:c r="AB44" s="214" t="n">
        <ns0:v>46297</ns0:v>
      </ns0:c>
      <ns0:c r="AC44">
        <ns0:f>IF(AH!$E$4="Bloomberg",BDP($R44,"LAST_PRICE"),IF(AH!$E$4="Stored",IF(ISNUMBER(AF44),AF44,""),""))</ns0:f>
        <ns0:v>35.71</ns0:v>
      </ns0:c>
      <ns0:c r="AD44">
        <ns0:f>IF(AH!$E$4="Bloomberg",'IPO Live'!D354,IF(AH!$E$4="Stored",AG44,""))</ns0:f>
        <ns0:v>24.16</ns0:v>
      </ns0:c>
      <ns0:c r="AE44">
        <ns0:f>IFERROR(IF($Z44=1,"Class ratio review",IF(AND(ISNUMBER(AC44),AC44&gt;0,ISNUMBER(AD44),AD44&gt;0,ISNUMBER(AK44),AK44&gt;0,OR(AH!$E$4="Bloomberg",AND(ISNUMBER(AI44),ISNUMBER(AJ44),AI44&lt;=AB44,AJ44&lt;=AB44,AB44-AI44&lt;=10,AB44-AJ44&lt;=5))),AC44*AK44/AD44-1,"")),"")</ns0:f>
        <ns0:v>0.7296602184705387</ns0:v>
      </ns0:c>
      <ns0:c r="AF44" t="n">
        <ns0:v>35.71</ns0:v>
      </ns0:c>
      <ns0:c r="AG44" t="n">
        <ns0:v>24.16</ns0:v>
      </ns0:c>
      <ns0:c r="AH44" t="n">
        <ns0:v>1.170220971107483</ns0:v>
      </ns0:c>
      <ns0:c r="AI44" s="214" t="n">
        <ns0:v>46295</ns0:v>
      </ns0:c>
      <ns0:c r="AJ44" s="214" t="n">
        <ns0:v>46297</ns0:v>
      </ns0:c>
      <ns0:c r="AK44">
        <ns0:f>IF(AH!$E$4="Stored",IF(ISNUMBER(AH44),AH44,""),IF(AH!$E$4="Bloomberg",$E$2,""))</ns0:f>
        <ns0:v>1.170220971107483</ns0:v>
      </ns0:c>
    </ns0:row>
    <ns0:row r="45">
      <ns0:c r="A45" t="inlineStr">
        <ns0:is>
          <ns0:t>2559 HK Equity</ns0:t>
        </ns0:is>
      </ns0:c>
      <ns0:c r="B45">
        <ns0:f>IF('IPO Live'!$A45="","",BDP('IPO Live'!$A45,"PX_YEST_CLOSE"))</ns0:f>
        <ns0:v/>
      </ns0:c>
      <ns0:c r="P45" t="inlineStr">
        <ns0:is>
          <ns0:t>9927</ns0:t>
        </ns0:is>
      </ns0:c>
      <ns0:c r="Q45" t="inlineStr">
        <ns0:is>
          <ns0:t>9927 HK Equity</ns0:t>
        </ns0:is>
      </ns0:c>
      <ns0:c r="R45" t="inlineStr">
        <ns0:is>
          <ns0:t>601127 CH Equity</ns0:t>
        </ns0:is>
      </ns0:c>
      <ns0:c r="S45" t="inlineStr">
        <ns0:is>
          <ns0:t>SERES</ns0:t>
        </ns0:is>
      </ns0:c>
      <ns0:c r="T45" t="inlineStr">
        <ns0:is>
          <ns0:t>Consumer</ns0:t>
        </ns0:is>
      </ns0:c>
      <ns0:c r="U45" t="inlineStr">
        <ns0:is>
          <ns0:t>Autos (NEV OEM)</ns0:t>
        </ns0:is>
      </ns0:c>
      <ns0:c r="V45" s="214" t="n">
        <ns0:v>45966</ns0:v>
      </ns0:c>
      <ns0:c r="W45" t="n">
        <ns0:v>0.2741195080579462</ns0:v>
      </ns0:c>
      <ns0:c r="X45" t="n">
        <ns0:v>11212</ns0:v>
      </ns0:c>
      <ns0:c r="Y45" t="n">
        <ns0:v>224</ns0:v>
      </ns0:c>
      <ns0:c r="Z45" t="n">
        <ns0:v>0</ns0:v>
      </ns0:c>
      <ns0:c r="AA45" t="n">
        <ns0:v>131.5</ns0:v>
      </ns0:c>
      <ns0:c r="AB45" s="214" t="n">
        <ns0:v>46297</ns0:v>
      </ns0:c>
      <ns0:c r="AC45">
        <ns0:f>IF(AH!$E$4="Bloomberg",BDP($R45,"LAST_PRICE"),IF(AH!$E$4="Stored",IF(ISNUMBER(AF45),AF45,""),""))</ns0:f>
        <ns0:v>46.94</ns0:v>
      </ns0:c>
      <ns0:c r="AD45">
        <ns0:f>IF(AH!$E$4="Bloomberg",'IPO Live'!D356,IF(AH!$E$4="Stored",AG45,""))</ns0:f>
        <ns0:v>37.34</ns0:v>
      </ns0:c>
      <ns0:c r="AE45">
        <ns0:f>IFERROR(IF($Z45=1,"Class ratio review",IF(AND(ISNUMBER(AC45),AC45&gt;0,ISNUMBER(AD45),AD45&gt;0,ISNUMBER(AK45),AK45&gt;0,OR(AH!$E$4="Bloomberg",AND(ISNUMBER(AI45),ISNUMBER(AJ45),AI45&lt;=AB45,AJ45&lt;=AB45,AB45-AI45&lt;=10,AB45-AJ45&lt;=5))),AC45*AK45/AD45-1,"")),"")</ns0:f>
        <ns0:v>0.47108121006387904</ns0:v>
      </ns0:c>
      <ns0:c r="AF45" t="n">
        <ns0:v>46.94</ns0:v>
      </ns0:c>
      <ns0:c r="AG45" t="n">
        <ns0:v>37.34</ns0:v>
      </ns0:c>
      <ns0:c r="AH45" t="n">
        <ns0:v>1.170220971107483</ns0:v>
      </ns0:c>
      <ns0:c r="AI45" s="214" t="n">
        <ns0:v>46295</ns0:v>
      </ns0:c>
      <ns0:c r="AJ45" s="214" t="n">
        <ns0:v>46297</ns0:v>
      </ns0:c>
      <ns0:c r="AK45">
        <ns0:f>IF(AH!$E$4="Stored",IF(ISNUMBER(AH45),AH45,""),IF(AH!$E$4="Bloomberg",$E$2,""))</ns0:f>
        <ns0:v>1.170220971107483</ns0:v>
      </ns0:c>
    </ns0:row>
    <ns0:row r="46">
      <ns0:c r="A46" t="inlineStr">
        <ns0:is>
          <ns0:t>6731 HK Equity</ns0:t>
        </ns0:is>
      </ns0:c>
      <ns0:c r="B46">
        <ns0:f>IF('IPO Live'!$A46="","",BDP('IPO Live'!$A46,"PX_YEST_CLOSE"))</ns0:f>
        <ns0:v/>
      </ns0:c>
      <ns0:c r="P46" t="inlineStr">
        <ns0:is>
          <ns0:t>2691</ns0:t>
        </ns0:is>
      </ns0:c>
      <ns0:c r="Q46" t="inlineStr">
        <ns0:is>
          <ns0:t>2691 HK Equity</ns0:t>
        </ns0:is>
      </ns0:c>
      <ns0:c r="R46" t="inlineStr">
        <ns0:is>
          <ns0:t>603093 CH Equity</ns0:t>
        </ns0:is>
      </ns0:c>
      <ns0:c r="S46" t="inlineStr">
        <ns0:is>
          <ns0:t>NANHUA FUTURES</ns0:t>
        </ns0:is>
      </ns0:c>
      <ns0:c r="T46" t="inlineStr">
        <ns0:is>
          <ns0:t>Financials</ns0:t>
        </ns0:is>
      </ns0:c>
      <ns0:c r="U46" t="inlineStr">
        <ns0:is>
          <ns0:t>Brokers / asset management</ns0:t>
        </ns0:is>
      </ns0:c>
      <ns0:c r="V46" s="214" t="n">
        <ns0:v>46013</ns0:v>
      </ns0:c>
      <ns0:c r="W46" t="n">
        <ns0:v>0.7734655267000201</ns0:v>
      </ns0:c>
      <ns0:c r="X46" t="n">
        <ns0:v>11436</ns0:v>
      </ns0:c>
      <ns0:c r="Y46" t="n">
        <ns0:v>191</ns0:v>
      </ns0:c>
      <ns0:c r="Z46" t="n">
        <ns0:v>0</ns0:v>
      </ns0:c>
      <ns0:c r="AA46" t="n">
        <ns0:v>9.1</ns0:v>
      </ns0:c>
      <ns0:c r="AB46" s="214" t="n">
        <ns0:v>46297</ns0:v>
      </ns0:c>
      <ns0:c r="AC46">
        <ns0:f>IF(AH!$E$4="Bloomberg",BDP($R46,"LAST_PRICE"),IF(AH!$E$4="Stored",IF(ISNUMBER(AF46),AF46,""),""))</ns0:f>
        <ns0:v>13.16</ns0:v>
      </ns0:c>
      <ns0:c r="AD46">
        <ns0:f>IF(AH!$E$4="Bloomberg",'IPO Live'!D379,IF(AH!$E$4="Stored",AG46,""))</ns0:f>
        <ns0:v>5.88</ns0:v>
      </ns0:c>
      <ns0:c r="AE46">
        <ns0:f>IFERROR(IF($Z46=1,"Class ratio review",IF(AND(ISNUMBER(AC46),AC46&gt;0,ISNUMBER(AD46),AD46&gt;0,ISNUMBER(AK46),AK46&gt;0,OR(AH!$E$4="Bloomberg",AND(ISNUMBER(AI46),ISNUMBER(AJ46),AI46&lt;=AB46,AJ46&lt;=AB46,AB46-AI46&lt;=10,AB46-AJ46&lt;=5))),AC46*AK46/AD46-1,"")),"")</ns0:f>
        <ns0:v>1.6190659829548428</ns0:v>
      </ns0:c>
      <ns0:c r="AF46" t="n">
        <ns0:v>13.16</ns0:v>
      </ns0:c>
      <ns0:c r="AG46" t="n">
        <ns0:v>5.88</ns0:v>
      </ns0:c>
      <ns0:c r="AH46" t="n">
        <ns0:v>1.170220971107483</ns0:v>
      </ns0:c>
      <ns0:c r="AI46" s="214" t="n">
        <ns0:v>46295</ns0:v>
      </ns0:c>
      <ns0:c r="AJ46" s="214" t="n">
        <ns0:v>46297</ns0:v>
      </ns0:c>
      <ns0:c r="AK46">
        <ns0:f>IF(AH!$E$4="Stored",IF(ISNUMBER(AH46),AH46,""),IF(AH!$E$4="Bloomberg",$E$2,""))</ns0:f>
        <ns0:v>1.170220971107483</ns0:v>
      </ns0:c>
    </ns0:row>
    <ns0:row r="47">
      <ns0:c r="A47" t="inlineStr">
        <ns0:is>
          <ns0:t>1770 HK Equity</ns0:t>
        </ns0:is>
      </ns0:c>
      <ns0:c r="B47">
        <ns0:f>IF('IPO Live'!$A47="","",BDP('IPO Live'!$A47,"PX_YEST_CLOSE"))</ns0:f>
        <ns0:v/>
      </ns0:c>
      <ns0:c r="P47" t="inlineStr">
        <ns0:is>
          <ns0:t>3750</ns0:t>
        </ns0:is>
      </ns0:c>
      <ns0:c r="Q47" t="inlineStr">
        <ns0:is>
          <ns0:t>3750 HK Equity</ns0:t>
        </ns0:is>
      </ns0:c>
      <ns0:c r="R47" t="inlineStr">
        <ns0:is>
          <ns0:t>300750 CH Equity</ns0:t>
        </ns0:is>
      </ns0:c>
      <ns0:c r="S47" t="inlineStr">
        <ns0:is>
          <ns0:t>CATL</ns0:t>
        </ns0:is>
      </ns0:c>
      <ns0:c r="T47" t="inlineStr">
        <ns0:is>
          <ns0:t>Industrials</ns0:t>
        </ns0:is>
      </ns0:c>
      <ns0:c r="U47" t="inlineStr">
        <ns0:is>
          <ns0:t>Batteries / energy storage</ns0:t>
        </ns0:is>
      </ns0:c>
      <ns0:c r="V47" s="214" t="n">
        <ns0:v>45797</ns0:v>
      </ns0:c>
      <ns0:c r="W47" t="n">
        <ns0:v>0.07147976472803852</ns0:v>
      </ns0:c>
      <ns0:c r="X47" t="n">
        <ns0:v>11627</ns0:v>
      </ns0:c>
      <ns0:c r="Y47" t="n">
        <ns0:v>341</ns0:v>
      </ns0:c>
      <ns0:c r="Z47" t="n">
        <ns0:v>0</ns0:v>
      </ns0:c>
      <ns0:c r="AA47" t="n">
        <ns0:v>306.2</ns0:v>
      </ns0:c>
      <ns0:c r="AB47" s="214" t="n">
        <ns0:v>46297</ns0:v>
      </ns0:c>
      <ns0:c r="AC47">
        <ns0:f>IF(AH!$E$4="Bloomberg",BDP($R47,"LAST_PRICE"),IF(AH!$E$4="Stored",IF(ISNUMBER(AF47),AF47,""),""))</ns0:f>
        <ns0:v>291.11</ns0:v>
      </ns0:c>
      <ns0:c r="AD47">
        <ns0:f>IF(AH!$E$4="Bloomberg",'IPO Live'!D391,IF(AH!$E$4="Stored",AG47,""))</ns0:f>
        <ns0:v>476.8</ns0:v>
      </ns0:c>
      <ns0:c r="AE47">
        <ns0:f>IFERROR(IF($Z47=1,"Class ratio review",IF(AND(ISNUMBER(AC47),AC47&gt;0,ISNUMBER(AD47),AD47&gt;0,ISNUMBER(AK47),AK47&gt;0,OR(AH!$E$4="Bloomberg",AND(ISNUMBER(AI47),ISNUMBER(AJ47),AI47&lt;=AB47,AJ47&lt;=AB47,AB47-AI47&lt;=10,AB47-AJ47&lt;=5))),AC47*AK47/AD47-1,"")),"")</ns0:f>
        <ns0:v>-0.28552217512772793</ns0:v>
      </ns0:c>
      <ns0:c r="AF47" t="n">
        <ns0:v>291.11</ns0:v>
      </ns0:c>
      <ns0:c r="AG47" t="n">
        <ns0:v>476.8</ns0:v>
      </ns0:c>
      <ns0:c r="AH47" t="n">
        <ns0:v>1.170220971107483</ns0:v>
      </ns0:c>
      <ns0:c r="AI47" s="214" t="n">
        <ns0:v>46295</ns0:v>
      </ns0:c>
      <ns0:c r="AJ47" s="214" t="n">
        <ns0:v>46297</ns0:v>
      </ns0:c>
      <ns0:c r="AK47">
        <ns0:f>IF(AH!$E$4="Stored",IF(ISNUMBER(AH47),AH47,""),IF(AH!$E$4="Bloomberg",$E$2,""))</ns0:f>
        <ns0:v>1.170220971107483</ns0:v>
      </ns0:c>
    </ns0:row>
    <ns0:row r="48">
      <ns0:c r="A48" t="inlineStr">
        <ns0:is>
          <ns0:t>2586 HK Equity</ns0:t>
        </ns0:is>
      </ns0:c>
      <ns0:c r="B48">
        <ns0:f>IF('IPO Live'!$A48="","",BDP('IPO Live'!$A48,"PX_YEST_CLOSE"))</ns0:f>
        <ns0:v/>
      </ns0:c>
      <ns0:c r="P48" t="inlineStr">
        <ns0:is>
          <ns0:t>2579</ns0:t>
        </ns0:is>
      </ns0:c>
      <ns0:c r="Q48" t="inlineStr">
        <ns0:is>
          <ns0:t>2579 HK Equity</ns0:t>
        </ns0:is>
      </ns0:c>
      <ns0:c r="R48" t="inlineStr">
        <ns0:is>
          <ns0:t>300919 CH Equity</ns0:t>
        </ns0:is>
      </ns0:c>
      <ns0:c r="S48" t="inlineStr">
        <ns0:is>
          <ns0:t>CNGR</ns0:t>
        </ns0:is>
      </ns0:c>
      <ns0:c r="T48" t="inlineStr">
        <ns0:is>
          <ns0:t>Industrials</ns0:t>
        </ns0:is>
      </ns0:c>
      <ns0:c r="U48" t="inlineStr">
        <ns0:is>
          <ns0:t>Batteries / energy storage</ns0:t>
        </ns0:is>
      </ns0:c>
      <ns0:c r="V48" s="214" t="n">
        <ns0:v>45978</ns0:v>
      </ns0:c>
      <ns0:c r="W48" t="n">
        <ns0:v>0.5933150243759158</ns0:v>
      </ns0:c>
      <ns0:c r="X48" t="n">
        <ns0:v>11968</ns0:v>
      </ns0:c>
      <ns0:c r="Y48" t="n">
        <ns0:v>216</ns0:v>
      </ns0:c>
      <ns0:c r="Z48" t="n">
        <ns0:v>0</ns0:v>
      </ns0:c>
      <ns0:c r="AA48" t="n">
        <ns0:v>33.96</ns0:v>
      </ns0:c>
      <ns0:c r="AB48" s="214" t="n">
        <ns0:v>46297</ns0:v>
      </ns0:c>
      <ns0:c r="AC48">
        <ns0:f>IF(AH!$E$4="Bloomberg",BDP($R48,"LAST_PRICE"),IF(AH!$E$4="Stored",IF(ISNUMBER(AF48),AF48,""),""))</ns0:f>
        <ns0:v>37.24</ns0:v>
      </ns0:c>
      <ns0:c r="AD48">
        <ns0:f>IF(AH!$E$4="Bloomberg",'IPO Live'!D394,IF(AH!$E$4="Stored",AG48,""))</ns0:f>
        <ns0:v>20.7</ns0:v>
      </ns0:c>
      <ns0:c r="AE48">
        <ns0:f>IFERROR(IF($Z48=1,"Class ratio review",IF(AND(ISNUMBER(AC48),AC48&gt;0,ISNUMBER(AD48),AD48&gt;0,ISNUMBER(AK48),AK48&gt;0,OR(AH!$E$4="Bloomberg",AND(ISNUMBER(AI48),ISNUMBER(AJ48),AI48&lt;=AB48,AJ48&lt;=AB48,AB48-AI48&lt;=10,AB48-AJ48&lt;=5))),AC48*AK48/AD48-1,"")),"")</ns0:f>
        <ns0:v>1.105267099712206</ns0:v>
      </ns0:c>
      <ns0:c r="AF48" t="n">
        <ns0:v>37.24</ns0:v>
      </ns0:c>
      <ns0:c r="AG48" t="n">
        <ns0:v>20.7</ns0:v>
      </ns0:c>
      <ns0:c r="AH48" t="n">
        <ns0:v>1.170220971107483</ns0:v>
      </ns0:c>
      <ns0:c r="AI48" s="214" t="n">
        <ns0:v>46295</ns0:v>
      </ns0:c>
      <ns0:c r="AJ48" s="214" t="n">
        <ns0:v>46297</ns0:v>
      </ns0:c>
      <ns0:c r="AK48">
        <ns0:f>IF(AH!$E$4="Stored",IF(ISNUMBER(AH48),AH48,""),IF(AH!$E$4="Bloomberg",$E$2,""))</ns0:f>
        <ns0:v>1.170220971107483</ns0:v>
      </ns0:c>
    </ns0:row>
    <ns0:row r="49">
      <ns0:c r="A49" t="inlineStr">
        <ns0:is>
          <ns0:t>2432 HK Equity</ns0:t>
        </ns0:is>
      </ns0:c>
      <ns0:c r="B49">
        <ns0:f>IF('IPO Live'!$A49="","",BDP('IPO Live'!$A49,"PX_YEST_CLOSE"))</ns0:f>
        <ns0:v/>
      </ns0:c>
      <ns0:c r="P49" t="inlineStr">
        <ns0:is>
          <ns0:t>1081</ns0:t>
        </ns0:is>
      </ns0:c>
      <ns0:c r="Q49" t="inlineStr">
        <ns0:is>
          <ns0:t>1081 HK Equity</ns0:t>
        </ns0:is>
      </ns0:c>
      <ns0:c r="R49" t="inlineStr">
        <ns0:is>
          <ns0:t>002487 CH Equity</ns0:t>
        </ns0:is>
      </ns0:c>
      <ns0:c r="S49" t="inlineStr">
        <ns0:is>
          <ns0:t>DAJIN</ns0:t>
        </ns0:is>
      </ns0:c>
      <ns0:c r="T49" t="inlineStr">
        <ns0:is>
          <ns0:t>Industrials</ns0:t>
        </ns0:is>
      </ns0:c>
      <ns0:c r="U49" t="inlineStr">
        <ns0:is>
          <ns0:t>Solar / wind supply chain</ns0:t>
        </ns0:is>
      </ns0:c>
      <ns0:c r="V49" s="214" t="n">
        <ns0:v>46178</ns0:v>
      </ns0:c>
      <ns0:c r="W49" t="n">
        <ns0:v>0.1779886483068924</ns0:v>
      </ns0:c>
      <ns0:c r="X49" t="n">
        <ns0:v>12184</ns0:v>
      </ns0:c>
      <ns0:c r="Y49" t="n">
        <ns0:v>83</ns0:v>
      </ns0:c>
      <ns0:c r="Z49" t="n">
        <ns0:v>0</ns0:v>
      </ns0:c>
      <ns0:c r="AA49" t="n">
        <ns0:v>66.40000000000001</ns0:v>
      </ns0:c>
      <ns0:c r="AB49" s="214" t="n">
        <ns0:v>46297</ns0:v>
      </ns0:c>
      <ns0:c r="AC49">
        <ns0:f>IF(AH!$E$4="Bloomberg",BDP($R49,"LAST_PRICE"),IF(AH!$E$4="Stored",IF(ISNUMBER(AF49),AF49,""),""))</ns0:f>
        <ns0:v>46.29</ns0:v>
      </ns0:c>
      <ns0:c r="AD49">
        <ns0:f>IF(AH!$E$4="Bloomberg",'IPO Live'!D396,IF(AH!$E$4="Stored",AG49,""))</ns0:f>
        <ns0:v>31.86</ns0:v>
      </ns0:c>
      <ns0:c r="AE49">
        <ns0:f>IFERROR(IF($Z49=1,"Class ratio review",IF(AND(ISNUMBER(AC49),AC49&gt;0,ISNUMBER(AD49),AD49&gt;0,ISNUMBER(AK49),AK49&gt;0,OR(AH!$E$4="Bloomberg",AND(ISNUMBER(AI49),ISNUMBER(AJ49),AI49&lt;=AB49,AJ49&lt;=AB49,AB49-AI49&lt;=10,AB49-AJ49&lt;=5))),AC49*AK49/AD49-1,"")),"")</ns0:f>
        <ns0:v>0.7002363073623787</ns0:v>
      </ns0:c>
      <ns0:c r="AF49" t="n">
        <ns0:v>46.29</ns0:v>
      </ns0:c>
      <ns0:c r="AG49" t="n">
        <ns0:v>31.86</ns0:v>
      </ns0:c>
      <ns0:c r="AH49" t="n">
        <ns0:v>1.170220971107483</ns0:v>
      </ns0:c>
      <ns0:c r="AI49" s="214" t="n">
        <ns0:v>46295</ns0:v>
      </ns0:c>
      <ns0:c r="AJ49" s="214" t="n">
        <ns0:v>46297</ns0:v>
      </ns0:c>
      <ns0:c r="AK49">
        <ns0:f>IF(AH!$E$4="Stored",IF(ISNUMBER(AH49),AH49,""),IF(AH!$E$4="Bloomberg",$E$2,""))</ns0:f>
        <ns0:v>1.170220971107483</ns0:v>
      </ns0:c>
    </ns0:row>
    <ns0:row r="50">
      <ns0:c r="A50" t="inlineStr">
        <ns0:is>
          <ns0:t>1377 HK Equity</ns0:t>
        </ns0:is>
      </ns0:c>
      <ns0:c r="B50">
        <ns0:f>IF('IPO Live'!$A50="","",BDP('IPO Live'!$A50,"PX_YEST_CLOSE"))</ns0:f>
        <ns0:v/>
      </ns0:c>
      <ns0:c r="P50" t="inlineStr">
        <ns0:is>
          <ns0:t>2865</ns0:t>
        </ns0:is>
      </ns0:c>
      <ns0:c r="Q50" t="inlineStr">
        <ns0:is>
          <ns0:t>2865 HK Equity</ns0:t>
        </ns0:is>
      </ns0:c>
      <ns0:c r="R50" t="inlineStr">
        <ns0:is>
          <ns0:t>002865 CH Equity</ns0:t>
        </ns0:is>
      </ns0:c>
      <ns0:c r="S50" t="inlineStr">
        <ns0:is>
          <ns0:t>DRINDA</ns0:t>
        </ns0:is>
      </ns0:c>
      <ns0:c r="T50" t="inlineStr">
        <ns0:is>
          <ns0:t>Industrials</ns0:t>
        </ns0:is>
      </ns0:c>
      <ns0:c r="U50" t="inlineStr">
        <ns0:is>
          <ns0:t>Solar / wind supply chain</ns0:t>
        </ns0:is>
      </ns0:c>
      <ns0:c r="V50" s="214" t="n">
        <ns0:v>45785</ns0:v>
      </ns0:c>
      <ns0:c r="W50" t="n">
        <ns0:v>0.9925577053905341</ns0:v>
      </ns0:c>
      <ns0:c r="X50" t="n">
        <ns0:v>12267</ns0:v>
      </ns0:c>
      <ns0:c r="Y50" t="n">
        <ns0:v>349</ns0:v>
      </ns0:c>
      <ns0:c r="Z50" t="n">
        <ns0:v>0</ns0:v>
      </ns0:c>
      <ns0:c r="AA50" t="n">
        <ns0:v>26.6</ns0:v>
      </ns0:c>
      <ns0:c r="AB50" s="214" t="n">
        <ns0:v>46297</ns0:v>
      </ns0:c>
      <ns0:c r="AC50">
        <ns0:f>IF(AH!$E$4="Bloomberg",BDP($R50,"LAST_PRICE"),IF(AH!$E$4="Stored",IF(ISNUMBER(AF50),AF50,""),""))</ns0:f>
        <ns0:v>36.44</ns0:v>
      </ns0:c>
      <ns0:c r="AD50">
        <ns0:f>IF(AH!$E$4="Bloomberg",'IPO Live'!D399,IF(AH!$E$4="Stored",AG50,""))</ns0:f>
        <ns0:v>11.39</ns0:v>
      </ns0:c>
      <ns0:c r="AE50">
        <ns0:f>IFERROR(IF($Z50=1,"Class ratio review",IF(AND(ISNUMBER(AC50),AC50&gt;0,ISNUMBER(AD50),AD50&gt;0,ISNUMBER(AK50),AK50&gt;0,OR(AH!$E$4="Bloomberg",AND(ISNUMBER(AI50),ISNUMBER(AJ50),AI50&lt;=AB50,AJ50&lt;=AB50,AB50-AI50&lt;=10,AB50-AJ50&lt;=5))),AC50*AK50/AD50-1,"")),"")</ns0:f>
        <ns0:v>2.743885178854844</ns0:v>
      </ns0:c>
      <ns0:c r="AF50" t="n">
        <ns0:v>36.44</ns0:v>
      </ns0:c>
      <ns0:c r="AG50" t="n">
        <ns0:v>11.39</ns0:v>
      </ns0:c>
      <ns0:c r="AH50" t="n">
        <ns0:v>1.170220971107483</ns0:v>
      </ns0:c>
      <ns0:c r="AI50" s="214" t="n">
        <ns0:v>46295</ns0:v>
      </ns0:c>
      <ns0:c r="AJ50" s="214" t="n">
        <ns0:v>46297</ns0:v>
      </ns0:c>
      <ns0:c r="AK50">
        <ns0:f>IF(AH!$E$4="Stored",IF(ISNUMBER(AH50),AH50,""),IF(AH!$E$4="Bloomberg",$E$2,""))</ns0:f>
        <ns0:v>1.170220971107483</ns0:v>
      </ns0:c>
    </ns0:row>
    <ns0:row r="51">
      <ns0:c r="A51" t="inlineStr">
        <ns0:is>
          <ns0:t>7687 HK Equity</ns0:t>
        </ns0:is>
      </ns0:c>
      <ns0:c r="B51">
        <ns0:f>IF('IPO Live'!$A51="","",BDP('IPO Live'!$A51,"PX_YEST_CLOSE"))</ns0:f>
        <ns0:v/>
      </ns0:c>
      <ns0:c r="P51" t="inlineStr">
        <ns0:is>
          <ns0:t>3200</ns0:t>
        </ns0:is>
      </ns0:c>
      <ns0:c r="Q51" t="inlineStr">
        <ns0:is>
          <ns0:t>3200 HK Equity</ns0:t>
        </ns0:is>
      </ns0:c>
      <ns0:c r="R51" t="inlineStr">
        <ns0:is>
          <ns0:t>301200 CH Equity</ns0:t>
        </ns0:is>
      </ns0:c>
      <ns0:c r="S51" t="inlineStr">
        <ns0:is>
          <ns0:t>HANS CNC</ns0:t>
        </ns0:is>
      </ns0:c>
      <ns0:c r="T51" t="inlineStr">
        <ns0:is>
          <ns0:t>Industrials</ns0:t>
        </ns0:is>
      </ns0:c>
      <ns0:c r="U51" t="inlineStr">
        <ns0:is>
          <ns0:t>Capital goods / machinery</ns0:t>
        </ns0:is>
      </ns0:c>
      <ns0:c r="V51" s="214" t="n">
        <ns0:v>46059</ns0:v>
      </ns0:c>
      <ns0:c r="W51" t="n">
        <ns0:v>0.8404472160438905</ns0:v>
      </ns0:c>
      <ns0:c r="X51" t="n">
        <ns0:v>12616</ns0:v>
      </ns0:c>
      <ns0:c r="Y51" t="n">
        <ns0:v>160</ns0:v>
      </ns0:c>
      <ns0:c r="Z51" t="n">
        <ns0:v>0</ns0:v>
      </ns0:c>
      <ns0:c r="AA51" t="n">
        <ns0:v>110</ns0:v>
      </ns0:c>
      <ns0:c r="AB51" s="214" t="n">
        <ns0:v>46297</ns0:v>
      </ns0:c>
      <ns0:c r="AC51">
        <ns0:f>IF(AH!$E$4="Bloomberg",BDP($R51,"LAST_PRICE"),IF(AH!$E$4="Stored",IF(ISNUMBER(AF51),AF51,""),""))</ns0:f>
        <ns0:v>224.79</ns0:v>
      </ns0:c>
      <ns0:c r="AD51">
        <ns0:f>IF(AH!$E$4="Bloomberg",'IPO Live'!D407,IF(AH!$E$4="Stored",AG51,""))</ns0:f>
        <ns0:v>94.0</ns0:v>
      </ns0:c>
      <ns0:c r="AE51">
        <ns0:f>IFERROR(IF($Z51=1,"Class ratio review",IF(AND(ISNUMBER(AC51),AC51&gt;0,ISNUMBER(AD51),AD51&gt;0,ISNUMBER(AK51),AK51&gt;0,OR(AH!$E$4="Bloomberg",AND(ISNUMBER(AI51),ISNUMBER(AJ51),AI51&lt;=AB51,AJ51&lt;=AB51,AB51-AI51&lt;=10,AB51-AJ51&lt;=5))),AC51*AK51/AD51-1,"")),"")</ns0:f>
        <ns0:v>1.798446511651607</ns0:v>
      </ns0:c>
      <ns0:c r="AF51" t="n">
        <ns0:v>224.79</ns0:v>
      </ns0:c>
      <ns0:c r="AG51" t="n">
        <ns0:v>94</ns0:v>
      </ns0:c>
      <ns0:c r="AH51" t="n">
        <ns0:v>1.170220971107483</ns0:v>
      </ns0:c>
      <ns0:c r="AI51" s="214" t="n">
        <ns0:v>46295</ns0:v>
      </ns0:c>
      <ns0:c r="AJ51" s="214" t="n">
        <ns0:v>46297</ns0:v>
      </ns0:c>
      <ns0:c r="AK51">
        <ns0:f>IF(AH!$E$4="Stored",IF(ISNUMBER(AH51),AH51,""),IF(AH!$E$4="Bloomberg",$E$2,""))</ns0:f>
        <ns0:v>1.170220971107483</ns0:v>
      </ns0:c>
    </ns0:row>
    <ns0:row r="52">
      <ns0:c r="A52" t="inlineStr">
        <ns0:is>
          <ns0:t>2550 HK Equity</ns0:t>
        </ns0:is>
      </ns0:c>
      <ns0:c r="B52">
        <ns0:f>IF('IPO Live'!$A52="","",BDP('IPO Live'!$A52,"PX_YEST_CLOSE"))</ns0:f>
        <ns0:v/>
      </ns0:c>
      <ns0:c r="P52" t="inlineStr">
        <ns0:is>
          <ns0:t>6680</ns0:t>
        </ns0:is>
      </ns0:c>
      <ns0:c r="Q52" t="inlineStr">
        <ns0:is>
          <ns0:t>6680 HK Equity</ns0:t>
        </ns0:is>
      </ns0:c>
      <ns0:c r="R52" t="inlineStr">
        <ns0:is>
          <ns0:t>300748 CH Equity</ns0:t>
        </ns0:is>
      </ns0:c>
      <ns0:c r="S52" t="inlineStr">
        <ns0:is>
          <ns0:t>JLMAG</ns0:t>
        </ns0:is>
      </ns0:c>
      <ns0:c r="T52" t="inlineStr">
        <ns0:is>
          <ns0:t>Industrials</ns0:t>
        </ns0:is>
      </ns0:c>
      <ns0:c r="U52" t="inlineStr">
        <ns0:is>
          <ns0:t>Capital goods / machinery</ns0:t>
        </ns0:is>
      </ns0:c>
      <ns0:c r="V52" s="214" t="n">
        <ns0:v>44575</ns0:v>
      </ns0:c>
      <ns0:c r="W52" t="n">
        <ns0:v>0.3851392241624685</ns0:v>
      </ns0:c>
      <ns0:c r="X52" t="n">
        <ns0:v>12776</ns0:v>
      </ns0:c>
      <ns0:c r="Y52" t="n">
        <ns0:v>1157</ns0:v>
      </ns0:c>
      <ns0:c r="Z52" t="n">
        <ns0:v>0</ns0:v>
      </ns0:c>
      <ns0:c r="AA52" t="n">
        <ns0:v>28.2</ns0:v>
      </ns0:c>
      <ns0:c r="AB52" s="214" t="n">
        <ns0:v>46297</ns0:v>
      </ns0:c>
      <ns0:c r="AC52">
        <ns0:f>IF(AH!$E$4="Bloomberg",BDP($R52,"LAST_PRICE"),IF(AH!$E$4="Stored",IF(ISNUMBER(AF52),AF52,""),""))</ns0:f>
        <ns0:v>24.11</ns0:v>
      </ns0:c>
      <ns0:c r="AD52">
        <ns0:f>IF(AH!$E$4="Bloomberg",'IPO Live'!D413,IF(AH!$E$4="Stored",AG52,""))</ns0:f>
        <ns0:v>14.8</ns0:v>
      </ns0:c>
      <ns0:c r="AE52">
        <ns0:f>IFERROR(IF($Z52=1,"Class ratio review",IF(AND(ISNUMBER(AC52),AC52&gt;0,ISNUMBER(AD52),AD52&gt;0,ISNUMBER(AK52),AK52&gt;0,OR(AH!$E$4="Bloomberg",AND(ISNUMBER(AI52),ISNUMBER(AJ52),AI52&lt;=AB52,AJ52&lt;=AB52,AB52-AI52&lt;=10,AB52-AJ52&lt;=5))),AC52*AK52/AD52-1,"")),"")</ns0:f>
        <ns0:v>0.906353217121717</ns0:v>
      </ns0:c>
      <ns0:c r="AF52" t="n">
        <ns0:v>24.11</ns0:v>
      </ns0:c>
      <ns0:c r="AG52" t="n">
        <ns0:v>14.8</ns0:v>
      </ns0:c>
      <ns0:c r="AH52" t="n">
        <ns0:v>1.170220971107483</ns0:v>
      </ns0:c>
      <ns0:c r="AI52" s="214" t="n">
        <ns0:v>46295</ns0:v>
      </ns0:c>
      <ns0:c r="AJ52" s="214" t="n">
        <ns0:v>46297</ns0:v>
      </ns0:c>
      <ns0:c r="AK52">
        <ns0:f>IF(AH!$E$4="Stored",IF(ISNUMBER(AH52),AH52,""),IF(AH!$E$4="Bloomberg",$E$2,""))</ns0:f>
        <ns0:v>1.170220971107483</ns0:v>
      </ns0:c>
    </ns0:row>
    <ns0:row r="53">
      <ns0:c r="A53" t="inlineStr">
        <ns0:is>
          <ns0:t>2416 HK Equity</ns0:t>
        </ns0:is>
      </ns0:c>
      <ns0:c r="B53">
        <ns0:f>IF('IPO Live'!$A53="","",BDP('IPO Live'!$A53,"PX_YEST_CLOSE"))</ns0:f>
        <ns0:v/>
      </ns0:c>
      <ns0:c r="P53" t="inlineStr">
        <ns0:is>
          <ns0:t>2465</ns0:t>
        </ns0:is>
      </ns0:c>
      <ns0:c r="Q53" t="inlineStr">
        <ns0:is>
          <ns0:t>2465 HK Equity</ns0:t>
        </ns0:is>
      </ns0:c>
      <ns0:c r="R53" t="inlineStr">
        <ns0:is>
          <ns0:t>603906 CH Equity</ns0:t>
        </ns0:is>
      </ns0:c>
      <ns0:c r="S53" t="inlineStr">
        <ns0:is>
          <ns0:t>LOPAL TECH</ns0:t>
        </ns0:is>
      </ns0:c>
      <ns0:c r="T53" t="inlineStr">
        <ns0:is>
          <ns0:t>Industrials</ns0:t>
        </ns0:is>
      </ns0:c>
      <ns0:c r="U53" t="inlineStr">
        <ns0:is>
          <ns0:t>Batteries / energy storage</ns0:t>
        </ns0:is>
      </ns0:c>
      <ns0:c r="V53" s="214" t="n">
        <ns0:v>45595</ns0:v>
      </ns0:c>
      <ns0:c r="W53" t="n">
        <ns0:v>1.031689833511006</ns0:v>
      </ns0:c>
      <ns0:c r="X53" t="n">
        <ns0:v>13933</ns0:v>
      </ns0:c>
      <ns0:c r="Y53" t="n">
        <ns0:v>474</ns0:v>
      </ns0:c>
      <ns0:c r="Z53" t="n">
        <ns0:v>0</ns0:v>
      </ns0:c>
      <ns0:c r="AA53" t="n">
        <ns0:v>4.75</ns0:v>
      </ns0:c>
      <ns0:c r="AB53" s="214" t="n">
        <ns0:v>46297</ns0:v>
      </ns0:c>
      <ns0:c r="AC53">
        <ns0:f>IF(AH!$E$4="Bloomberg",BDP($R53,"LAST_PRICE"),IF(AH!$E$4="Stored",IF(ISNUMBER(AF53),AF53,""),""))</ns0:f>
        <ns0:v>19.04</ns0:v>
      </ns0:c>
      <ns0:c r="AD53">
        <ns0:f>IF(AH!$E$4="Bloomberg",'IPO Live'!D419,IF(AH!$E$4="Stored",AG53,""))</ns0:f>
        <ns0:v>9.03</ns0:v>
      </ns0:c>
      <ns0:c r="AE53">
        <ns0:f>IFERROR(IF($Z53=1,"Class ratio review",IF(AND(ISNUMBER(AC53),AC53&gt;0,ISNUMBER(AD53),AD53&gt;0,ISNUMBER(AK53),AK53&gt;0,OR(AH!$E$4="Bloomberg",AND(ISNUMBER(AI53),ISNUMBER(AJ53),AI53&lt;=AB53,AJ53&lt;=AB53,AB53-AI53&lt;=10,AB53-AJ53&lt;=5))),AC53*AK53/AD53-1,"")),"")</ns0:f>
        <ns0:v>1.4674426677615147</ns0:v>
      </ns0:c>
      <ns0:c r="AF53" t="n">
        <ns0:v>19.04</ns0:v>
      </ns0:c>
      <ns0:c r="AG53" t="n">
        <ns0:v>9.029999999999999</ns0:v>
      </ns0:c>
      <ns0:c r="AH53" t="n">
        <ns0:v>1.170220971107483</ns0:v>
      </ns0:c>
      <ns0:c r="AI53" s="214" t="n">
        <ns0:v>46295</ns0:v>
      </ns0:c>
      <ns0:c r="AJ53" s="214" t="n">
        <ns0:v>46297</ns0:v>
      </ns0:c>
      <ns0:c r="AK53">
        <ns0:f>IF(AH!$E$4="Stored",IF(ISNUMBER(AH53),AH53,""),IF(AH!$E$4="Bloomberg",$E$2,""))</ns0:f>
        <ns0:v>1.170220971107483</ns0:v>
      </ns0:c>
    </ns0:row>
    <ns0:row r="54">
      <ns0:c r="A54" t="inlineStr">
        <ns0:is>
          <ns0:t>2726 HK Equity</ns0:t>
        </ns0:is>
      </ns0:c>
      <ns0:c r="B54">
        <ns0:f>IF('IPO Live'!$A54="","",BDP('IPO Live'!$A54,"PX_YEST_CLOSE"))</ns0:f>
        <ns0:v/>
      </ns0:c>
      <ns0:c r="P54" t="inlineStr">
        <ns0:is>
          <ns0:t>0537</ns0:t>
        </ns0:is>
      </ns0:c>
      <ns0:c r="Q54" t="inlineStr">
        <ns0:is>
          <ns0:t>537 HK Equity</ns0:t>
        </ns0:is>
      </ns0:c>
      <ns0:c r="R54" t="inlineStr">
        <ns0:is>
          <ns0:t>688337 CH Equity</ns0:t>
        </ns0:is>
      </ns0:c>
      <ns0:c r="S54" t="inlineStr">
        <ns0:is>
          <ns0:t>RIGOL</ns0:t>
        </ns0:is>
      </ns0:c>
      <ns0:c r="T54" t="inlineStr">
        <ns0:is>
          <ns0:t>Industrials</ns0:t>
        </ns0:is>
      </ns0:c>
      <ns0:c r="U54" t="inlineStr">
        <ns0:is>
          <ns0:t>Capital goods / machinery</ns0:t>
        </ns0:is>
      </ns0:c>
      <ns0:c r="V54" s="214" t="n">
        <ns0:v>46212</ns0:v>
      </ns0:c>
      <ns0:c r="W54" t="n">
        <ns0:v>0.4357895942395955</ns0:v>
      </ns0:c>
      <ns0:c r="X54" t="n">
        <ns0:v>14407</ns0:v>
      </ns0:c>
      <ns0:c r="Y54" t="n">
        <ns0:v>61</ns0:v>
      </ns0:c>
      <ns0:c r="Z54" t="n">
        <ns0:v>0</ns0:v>
      </ns0:c>
      <ns0:c r="AA54" t="n">
        <ns0:v>28.8</ns0:v>
      </ns0:c>
      <ns0:c r="AB54" s="214" t="n">
        <ns0:v>46297</ns0:v>
      </ns0:c>
      <ns0:c r="AC54">
        <ns0:f>IF(AH!$E$4="Bloomberg",BDP($R54,"LAST_PRICE"),IF(AH!$E$4="Stored",IF(ISNUMBER(AF54),AF54,""),""))</ns0:f>
        <ns0:v>47.8</ns0:v>
      </ns0:c>
      <ns0:c r="AD54">
        <ns0:f>IF(AH!$E$4="Bloomberg",'IPO Live'!D424,IF(AH!$E$4="Stored",AG54,""))</ns0:f>
        <ns0:v>23.82</ns0:v>
      </ns0:c>
      <ns0:c r="AE54">
        <ns0:f>IFERROR(IF($Z54=1,"Class ratio review",IF(AND(ISNUMBER(AC54),AC54&gt;0,ISNUMBER(AD54),AD54&gt;0,ISNUMBER(AK54),AK54&gt;0,OR(AH!$E$4="Bloomberg",AND(ISNUMBER(AI54),ISNUMBER(AJ54),AI54&lt;=AB54,AJ54&lt;=AB54,AB54-AI54&lt;=10,AB54-AJ54&lt;=5))),AC54*AK54/AD54-1,"")),"")</ns0:f>
        <ns0:v>1.3483023685532194</ns0:v>
      </ns0:c>
      <ns0:c r="AF54" t="n">
        <ns0:v>47.8</ns0:v>
      </ns0:c>
      <ns0:c r="AG54" t="n">
        <ns0:v>23.82</ns0:v>
      </ns0:c>
      <ns0:c r="AH54" t="n">
        <ns0:v>1.170220971107483</ns0:v>
      </ns0:c>
      <ns0:c r="AI54" s="214" t="n">
        <ns0:v>46295</ns0:v>
      </ns0:c>
      <ns0:c r="AJ54" s="214" t="n">
        <ns0:v>46297</ns0:v>
      </ns0:c>
      <ns0:c r="AK54">
        <ns0:f>IF(AH!$E$4="Stored",IF(ISNUMBER(AH54),AH54,""),IF(AH!$E$4="Bloomberg",$E$2,""))</ns0:f>
        <ns0:v>1.170220971107483</ns0:v>
      </ns0:c>
    </ns0:row>
    <ns0:row r="55">
      <ns0:c r="A55" t="inlineStr">
        <ns0:is>
          <ns0:t>2715 HK Equity</ns0:t>
        </ns0:is>
      </ns0:c>
      <ns0:c r="B55">
        <ns0:f>IF('IPO Live'!$A55="","",BDP('IPO Live'!$A55,"PX_YEST_CLOSE"))</ns0:f>
        <ns0:v/>
      </ns0:c>
      <ns0:c r="P55" t="inlineStr">
        <ns0:is>
          <ns0:t>6031</ns0:t>
        </ns0:is>
      </ns0:c>
      <ns0:c r="Q55" t="inlineStr">
        <ns0:is>
          <ns0:t>6031 HK Equity</ns0:t>
        </ns0:is>
      </ns0:c>
      <ns0:c r="R55" t="inlineStr">
        <ns0:is>
          <ns0:t>600031 CH Equity</ns0:t>
        </ns0:is>
      </ns0:c>
      <ns0:c r="S55" t="inlineStr">
        <ns0:is>
          <ns0:t>SANY HEAVY IND</ns0:t>
        </ns0:is>
      </ns0:c>
      <ns0:c r="T55" t="inlineStr">
        <ns0:is>
          <ns0:t>Industrials</ns0:t>
        </ns0:is>
      </ns0:c>
      <ns0:c r="U55" t="inlineStr">
        <ns0:is>
          <ns0:t>Capital goods / machinery</ns0:t>
        </ns0:is>
      </ns0:c>
      <ns0:c r="V55" s="214" t="n">
        <ns0:v>45958</ns0:v>
      </ns0:c>
      <ns0:c r="W55" t="n">
        <ns0:v>0.1539559735378748</ns0:v>
      </ns0:c>
      <ns0:c r="X55" t="n">
        <ns0:v>14468</ns0:v>
      </ns0:c>
      <ns0:c r="Y55" t="n">
        <ns0:v>229</ns0:v>
      </ns0:c>
      <ns0:c r="Z55" t="n">
        <ns0:v>0</ns0:v>
      </ns0:c>
      <ns0:c r="AA55" t="n">
        <ns0:v>21.9</ns0:v>
      </ns0:c>
      <ns0:c r="AB55" s="214" t="n">
        <ns0:v>46297</ns0:v>
      </ns0:c>
      <ns0:c r="AC55">
        <ns0:f>IF(AH!$E$4="Bloomberg",BDP($R55,"LAST_PRICE"),IF(AH!$E$4="Stored",IF(ISNUMBER(AF55),AF55,""),""))</ns0:f>
        <ns0:v>17.49</ns0:v>
      </ns0:c>
      <ns0:c r="AD55">
        <ns0:f>IF(AH!$E$4="Bloomberg",'IPO Live'!D426,IF(AH!$E$4="Stored",AG55,""))</ns0:f>
        <ns0:v>16.98</ns0:v>
      </ns0:c>
      <ns0:c r="AE55">
        <ns0:f>IFERROR(IF($Z55=1,"Class ratio review",IF(AND(ISNUMBER(AC55),AC55&gt;0,ISNUMBER(AD55),AD55&gt;0,ISNUMBER(AK55),AK55&gt;0,OR(AH!$E$4="Bloomberg",AND(ISNUMBER(AI55),ISNUMBER(AJ55),AI55&lt;=AB55,AJ55&lt;=AB55,AB55-AI55&lt;=10,AB55-AJ55&lt;=5))),AC55*AK55/AD55-1,"")),"")</ns0:f>
        <ns0:v>0.20536895080505735</ns0:v>
      </ns0:c>
      <ns0:c r="AF55" t="n">
        <ns0:v>17.49</ns0:v>
      </ns0:c>
      <ns0:c r="AG55" t="n">
        <ns0:v>16.98</ns0:v>
      </ns0:c>
      <ns0:c r="AH55" t="n">
        <ns0:v>1.170220971107483</ns0:v>
      </ns0:c>
      <ns0:c r="AI55" s="214" t="n">
        <ns0:v>46295</ns0:v>
      </ns0:c>
      <ns0:c r="AJ55" s="214" t="n">
        <ns0:v>46297</ns0:v>
      </ns0:c>
      <ns0:c r="AK55">
        <ns0:f>IF(AH!$E$4="Stored",IF(ISNUMBER(AH55),AH55,""),IF(AH!$E$4="Bloomberg",$E$2,""))</ns0:f>
        <ns0:v>1.170220971107483</ns0:v>
      </ns0:c>
    </ns0:row>
    <ns0:row r="56">
      <ns0:c r="A56" t="inlineStr">
        <ns0:is>
          <ns0:t>3231 HK Equity</ns0:t>
        </ns0:is>
      </ns0:c>
      <ns0:c r="B56">
        <ns0:f>IF('IPO Live'!$A56="","",BDP('IPO Live'!$A56,"PX_YEST_CLOSE"))</ns0:f>
        <ns0:v/>
      </ns0:c>
      <ns0:c r="P56" t="inlineStr">
        <ns0:is>
          <ns0:t>6067</ns0:t>
        </ns0:is>
      </ns0:c>
      <ns0:c r="Q56" t="inlineStr">
        <ns0:is>
          <ns0:t>6067 HK Equity</ns0:t>
        </ns0:is>
      </ns0:c>
      <ns0:c r="R56" t="inlineStr">
        <ns0:is>
          <ns0:t>300568 CH Equity</ns0:t>
        </ns0:is>
      </ns0:c>
      <ns0:c r="S56" t="inlineStr">
        <ns0:is>
          <ns0:t>SENIOR MATERIAL</ns0:t>
        </ns0:is>
      </ns0:c>
      <ns0:c r="T56" t="inlineStr">
        <ns0:is>
          <ns0:t>Industrials</ns0:t>
        </ns0:is>
      </ns0:c>
      <ns0:c r="U56" t="inlineStr">
        <ns0:is>
          <ns0:t>Batteries / energy storage</ns0:t>
        </ns0:is>
      </ns0:c>
      <ns0:c r="V56" s="214" t="n">
        <ns0:v>46196</ns0:v>
      </ns0:c>
      <ns0:c r="W56" t="n">
        <ns0:v>1.620473494641234</ns0:v>
      </ns0:c>
      <ns0:c r="X56" t="n">
        <ns0:v>14697</ns0:v>
      </ns0:c>
      <ns0:c r="Y56" t="n">
        <ns0:v>72</ns0:v>
      </ns0:c>
      <ns0:c r="Z56" t="n">
        <ns0:v>0</ns0:v>
      </ns0:c>
      <ns0:c r="AA56" t="n">
        <ns0:v>11</ns0:v>
      </ns0:c>
      <ns0:c r="AB56" s="214" t="n">
        <ns0:v>46297</ns0:v>
      </ns0:c>
      <ns0:c r="AC56">
        <ns0:f>IF(AH!$E$4="Bloomberg",BDP($R56,"LAST_PRICE"),IF(AH!$E$4="Stored",IF(ISNUMBER(AF56),AF56,""),""))</ns0:f>
        <ns0:v>15.74</ns0:v>
      </ns0:c>
      <ns0:c r="AD56">
        <ns0:f>IF(AH!$E$4="Bloomberg",'IPO Live'!D428,IF(AH!$E$4="Stored",AG56,""))</ns0:f>
        <ns0:v>6.965</ns0:v>
      </ns0:c>
      <ns0:c r="AE56">
        <ns0:f>IFERROR(IF($Z56=1,"Class ratio review",IF(AND(ISNUMBER(AC56),AC56&gt;0,ISNUMBER(AD56),AD56&gt;0,ISNUMBER(AK56),AK56&gt;0,OR(AH!$E$4="Bloomberg",AND(ISNUMBER(AI56),ISNUMBER(AJ56),AI56&lt;=AB56,AJ56&lt;=AB56,AB56-AI56&lt;=10,AB56-AJ56&lt;=5))),AC56*AK56/AD56-1,"")),"")</ns0:f>
        <ns0:v>1.6445481816556757</ns0:v>
      </ns0:c>
      <ns0:c r="AF56" t="n">
        <ns0:v>15.74</ns0:v>
      </ns0:c>
      <ns0:c r="AG56" t="n">
        <ns0:v>6.965</ns0:v>
      </ns0:c>
      <ns0:c r="AH56" t="n">
        <ns0:v>1.170220971107483</ns0:v>
      </ns0:c>
      <ns0:c r="AI56" s="214" t="n">
        <ns0:v>46295</ns0:v>
      </ns0:c>
      <ns0:c r="AJ56" s="214" t="n">
        <ns0:v>46297</ns0:v>
      </ns0:c>
      <ns0:c r="AK56">
        <ns0:f>IF(AH!$E$4="Stored",IF(ISNUMBER(AH56),AH56,""),IF(AH!$E$4="Bloomberg",$E$2,""))</ns0:f>
        <ns0:v>1.170220971107483</ns0:v>
      </ns0:c>
    </ns0:row>
    <ns0:row r="57">
      <ns0:c r="A57" t="inlineStr">
        <ns0:is>
          <ns0:t>6636 HK Equity</ns0:t>
        </ns0:is>
      </ns0:c>
      <ns0:c r="B57">
        <ns0:f>IF('IPO Live'!$A57="","",BDP('IPO Live'!$A57,"PX_YEST_CLOSE"))</ns0:f>
        <ns0:v/>
      </ns0:c>
      <ns0:c r="P57" t="inlineStr">
        <ns0:is>
          <ns0:t>6936</ns0:t>
        </ns0:is>
      </ns0:c>
      <ns0:c r="Q57" t="inlineStr">
        <ns0:is>
          <ns0:t>6936 HK Equity</ns0:t>
        </ns0:is>
      </ns0:c>
      <ns0:c r="R57" t="inlineStr">
        <ns0:is>
          <ns0:t>002352 CH Equity</ns0:t>
        </ns0:is>
      </ns0:c>
      <ns0:c r="S57" t="inlineStr">
        <ns0:is>
          <ns0:t>SF HOLDING</ns0:t>
        </ns0:is>
      </ns0:c>
      <ns0:c r="T57" t="inlineStr">
        <ns0:is>
          <ns0:t>Industrials</ns0:t>
        </ns0:is>
      </ns0:c>
      <ns0:c r="U57" t="inlineStr">
        <ns0:is>
          <ns0:t>Logistics</ns0:t>
        </ns0:is>
      </ns0:c>
      <ns0:c r="V57" s="214" t="n">
        <ns0:v>45623</ns0:v>
      </ns0:c>
      <ns0:c r="W57" t="n">
        <ns0:v>0.3172424114480312</ns0:v>
      </ns0:c>
      <ns0:c r="X57" t="n">
        <ns0:v>14769</ns0:v>
      </ns0:c>
      <ns0:c r="Y57" t="n">
        <ns0:v>454</ns0:v>
      </ns0:c>
      <ns0:c r="Z57" t="n">
        <ns0:v>0</ns0:v>
      </ns0:c>
      <ns0:c r="AA57" t="n">
        <ns0:v>34.3</ns0:v>
      </ns0:c>
      <ns0:c r="AB57" s="214" t="n">
        <ns0:v>46297</ns0:v>
      </ns0:c>
      <ns0:c r="AC57">
        <ns0:f>IF(AH!$E$4="Bloomberg",BDP($R57,"LAST_PRICE"),IF(AH!$E$4="Stored",IF(ISNUMBER(AF57),AF57,""),""))</ns0:f>
        <ns0:v>30.67</ns0:v>
      </ns0:c>
      <ns0:c r="AD57">
        <ns0:f>IF(AH!$E$4="Bloomberg",'IPO Live'!D429,IF(AH!$E$4="Stored",AG57,""))</ns0:f>
        <ns0:v>28.56</ns0:v>
      </ns0:c>
      <ns0:c r="AE57">
        <ns0:f>IFERROR(IF($Z57=1,"Class ratio review",IF(AND(ISNUMBER(AC57),AC57&gt;0,ISNUMBER(AD57),AD57&gt;0,ISNUMBER(AK57),AK57&gt;0,OR(AH!$E$4="Bloomberg",AND(ISNUMBER(AI57),ISNUMBER(AJ57),AI57&lt;=AB57,AJ57&lt;=AB57,AB57-AI57&lt;=10,AB57-AJ57&lt;=5))),AC57*AK57/AD57-1,"")),"")</ns0:f>
        <ns0:v>0.2566763719841212</ns0:v>
      </ns0:c>
      <ns0:c r="AF57" t="n">
        <ns0:v>30.67</ns0:v>
      </ns0:c>
      <ns0:c r="AG57" t="n">
        <ns0:v>28.56</ns0:v>
      </ns0:c>
      <ns0:c r="AH57" t="n">
        <ns0:v>1.170220971107483</ns0:v>
      </ns0:c>
      <ns0:c r="AI57" s="214" t="n">
        <ns0:v>46295</ns0:v>
      </ns0:c>
      <ns0:c r="AJ57" s="214" t="n">
        <ns0:v>46297</ns0:v>
      </ns0:c>
      <ns0:c r="AK57">
        <ns0:f>IF(AH!$E$4="Stored",IF(ISNUMBER(AH57),AH57,""),IF(AH!$E$4="Bloomberg",$E$2,""))</ns0:f>
        <ns0:v>1.170220971107483</ns0:v>
      </ns0:c>
    </ns0:row>
    <ns0:row r="58">
      <ns0:c r="A58" t="inlineStr">
        <ns0:is>
          <ns0:t>638 HK Equity</ns0:t>
        </ns0:is>
      </ns0:c>
      <ns0:c r="B58">
        <ns0:f>IF('IPO Live'!$A58="","",BDP('IPO Live'!$A58,"PX_YEST_CLOSE"))</ns0:f>
        <ns0:v/>
      </ns0:c>
      <ns0:c r="P58" t="inlineStr">
        <ns0:is>
          <ns0:t>2402</ns0:t>
        </ns0:is>
      </ns0:c>
      <ns0:c r="Q58" t="inlineStr">
        <ns0:is>
          <ns0:t>2402 HK Equity</ns0:t>
        </ns0:is>
      </ns0:c>
      <ns0:c r="R58" t="inlineStr">
        <ns0:is>
          <ns0:t>688339 CH Equity</ns0:t>
        </ns0:is>
      </ns0:c>
      <ns0:c r="S58" t="inlineStr">
        <ns0:is>
          <ns0:t>SINOHYTEC</ns0:t>
        </ns0:is>
      </ns0:c>
      <ns0:c r="T58" t="inlineStr">
        <ns0:is>
          <ns0:t>Industrials</ns0:t>
        </ns0:is>
      </ns0:c>
      <ns0:c r="U58" t="inlineStr">
        <ns0:is>
          <ns0:t>Batteries / energy storage</ns0:t>
        </ns0:is>
      </ns0:c>
      <ns0:c r="V58" s="214" t="n">
        <ns0:v>44938</ns0:v>
      </ns0:c>
      <ns0:c r="W58" t="n">
        <ns0:v>0.5414695676167804</ns0:v>
      </ns0:c>
      <ns0:c r="X58" t="n">
        <ns0:v>15223</ns0:v>
      </ns0:c>
      <ns0:c r="Y58" t="n">
        <ns0:v>887</ns0:v>
      </ns0:c>
      <ns0:c r="Z58" t="n">
        <ns0:v>0</ns0:v>
      </ns0:c>
      <ns0:c r="AA58" t="n">
        <ns0:v>60</ns0:v>
      </ns0:c>
      <ns0:c r="AB58" s="214" t="n">
        <ns0:v>46297</ns0:v>
      </ns0:c>
      <ns0:c r="AC58">
        <ns0:f>IF(AH!$E$4="Bloomberg",BDP($R58,"LAST_PRICE"),IF(AH!$E$4="Stored",IF(ISNUMBER(AF58),AF58,""),""))</ns0:f>
        <ns0:v>20.42</ns0:v>
      </ns0:c>
      <ns0:c r="AD58">
        <ns0:f>IF(AH!$E$4="Bloomberg",'IPO Live'!D434,IF(AH!$E$4="Stored",AG58,""))</ns0:f>
        <ns0:v>9.995</ns0:v>
      </ns0:c>
      <ns0:c r="AE58">
        <ns0:f>IFERROR(IF($Z58=1,"Class ratio review",IF(AND(ISNUMBER(AC58),AC58&gt;0,ISNUMBER(AD58),AD58&gt;0,ISNUMBER(AK58),AK58&gt;0,OR(AH!$E$4="Bloomberg",AND(ISNUMBER(AI58),ISNUMBER(AJ58),AI58&lt;=AB58,AJ58&lt;=AB58,AB58-AI58&lt;=10,AB58-AJ58&lt;=5))),AC58*AK58/AD58-1,"")),"")</ns0:f>
        <ns0:v>1.3907866163096356</ns0:v>
      </ns0:c>
      <ns0:c r="AF58" t="n">
        <ns0:v>20.42</ns0:v>
      </ns0:c>
      <ns0:c r="AG58" t="n">
        <ns0:v>9.994999999999999</ns0:v>
      </ns0:c>
      <ns0:c r="AH58" t="n">
        <ns0:v>1.170220971107483</ns0:v>
      </ns0:c>
      <ns0:c r="AI58" s="214" t="n">
        <ns0:v>46295</ns0:v>
      </ns0:c>
      <ns0:c r="AJ58" s="214" t="n">
        <ns0:v>46297</ns0:v>
      </ns0:c>
      <ns0:c r="AK58">
        <ns0:f>IF(AH!$E$4="Stored",IF(ISNUMBER(AH58),AH58,""),IF(AH!$E$4="Bloomberg",$E$2,""))</ns0:f>
        <ns0:v>1.170220971107483</ns0:v>
      </ns0:c>
    </ns0:row>
    <ns0:row r="59">
      <ns0:c r="A59" t="inlineStr">
        <ns0:is>
          <ns0:t>1304 HK Equity</ns0:t>
        </ns0:is>
      </ns0:c>
      <ns0:c r="B59">
        <ns0:f>IF('IPO Live'!$A59="","",BDP('IPO Live'!$A59,"PX_YEST_CLOSE"))</ns0:f>
        <ns0:v/>
      </ns0:c>
      <ns0:c r="P59" t="inlineStr">
        <ns0:is>
          <ns0:t>0470</ns0:t>
        </ns0:is>
      </ns0:c>
      <ns0:c r="Q59" t="inlineStr">
        <ns0:is>
          <ns0:t>470 HK Equity</ns0:t>
        </ns0:is>
      </ns0:c>
      <ns0:c r="R59" t="inlineStr">
        <ns0:is>
          <ns0:t>300450 CH Equity</ns0:t>
        </ns0:is>
      </ns0:c>
      <ns0:c r="S59" t="inlineStr">
        <ns0:is>
          <ns0:t>WUXI LEAD</ns0:t>
        </ns0:is>
      </ns0:c>
      <ns0:c r="T59" t="inlineStr">
        <ns0:is>
          <ns0:t>Industrials</ns0:t>
        </ns0:is>
      </ns0:c>
      <ns0:c r="U59" t="inlineStr">
        <ns0:is>
          <ns0:t>Capital goods / machinery</ns0:t>
        </ns0:is>
      </ns0:c>
      <ns0:c r="V59" s="214" t="n">
        <ns0:v>46064</ns0:v>
      </ns0:c>
      <ns0:c r="W59" t="n">
        <ns0:v>0.4181560119687209</ns0:v>
      </ns0:c>
      <ns0:c r="X59" t="n">
        <ns0:v>16110</ns0:v>
      </ns0:c>
      <ns0:c r="Y59" t="n">
        <ns0:v>157</ns0:v>
      </ns0:c>
      <ns0:c r="Z59" t="n">
        <ns0:v>0</ns0:v>
      </ns0:c>
      <ns0:c r="AA59" t="n">
        <ns0:v>45.8</ns0:v>
      </ns0:c>
      <ns0:c r="AB59" s="214" t="n">
        <ns0:v>46297</ns0:v>
      </ns0:c>
      <ns0:c r="AC59">
        <ns0:f>IF(AH!$E$4="Bloomberg",BDP($R59,"LAST_PRICE"),IF(AH!$E$4="Stored",IF(ISNUMBER(AF59),AF59,""),""))</ns0:f>
        <ns0:v>34.94</ns0:v>
      </ns0:c>
      <ns0:c r="AD59">
        <ns0:f>IF(AH!$E$4="Bloomberg",'IPO Live'!D445,IF(AH!$E$4="Stored",AG59,""))</ns0:f>
        <ns0:v>27.4</ns0:v>
      </ns0:c>
      <ns0:c r="AE59">
        <ns0:f>IFERROR(IF($Z59=1,"Class ratio review",IF(AND(ISNUMBER(AC59),AC59&gt;0,ISNUMBER(AD59),AD59&gt;0,ISNUMBER(AK59),AK59&gt;0,OR(AH!$E$4="Bloomberg",AND(ISNUMBER(AI59),ISNUMBER(AJ59),AI59&lt;=AB59,AJ59&lt;=AB59,AB59-AI59&lt;=10,AB59-AJ59&lt;=5))),AC59*AK59/AD59-1,"")),"")</ns0:f>
        <ns0:v>0.4922452821348706</ns0:v>
      </ns0:c>
      <ns0:c r="AF59" t="n">
        <ns0:v>34.94</ns0:v>
      </ns0:c>
      <ns0:c r="AG59" t="n">
        <ns0:v>27.4</ns0:v>
      </ns0:c>
      <ns0:c r="AH59" t="n">
        <ns0:v>1.170220971107483</ns0:v>
      </ns0:c>
      <ns0:c r="AI59" s="214" t="n">
        <ns0:v>46295</ns0:v>
      </ns0:c>
      <ns0:c r="AJ59" s="214" t="n">
        <ns0:v>46297</ns0:v>
      </ns0:c>
      <ns0:c r="AK59">
        <ns0:f>IF(AH!$E$4="Stored",IF(ISNUMBER(AH59),AH59,""),IF(AH!$E$4="Bloomberg",$E$2,""))</ns0:f>
        <ns0:v>1.170220971107483</ns0:v>
      </ns0:c>
    </ns0:row>
    <ns0:row r="60">
      <ns0:c r="A60" t="inlineStr">
        <ns0:is>
          <ns0:t>3625 HK Equity</ns0:t>
        </ns0:is>
      </ns0:c>
      <ns0:c r="B60">
        <ns0:f>IF('IPO Live'!$A60="","",BDP('IPO Live'!$A60,"PX_YEST_CLOSE"))</ns0:f>
        <ns0:v/>
      </ns0:c>
      <ns0:c r="P60" t="inlineStr">
        <ns0:is>
          <ns0:t>2692</ns0:t>
        </ns0:is>
      </ns0:c>
      <ns0:c r="Q60" t="inlineStr">
        <ns0:is>
          <ns0:t>2692 HK Equity</ns0:t>
        </ns0:is>
      </ns0:c>
      <ns0:c r="R60" t="inlineStr">
        <ns0:is>
          <ns0:t>003021 CH Equity</ns0:t>
        </ns0:is>
      </ns0:c>
      <ns0:c r="S60" t="inlineStr">
        <ns0:is>
          <ns0:t>ZHAOWEI</ns0:t>
        </ns0:is>
      </ns0:c>
      <ns0:c r="T60" t="inlineStr">
        <ns0:is>
          <ns0:t>Industrials</ns0:t>
        </ns0:is>
      </ns0:c>
      <ns0:c r="U60" t="inlineStr">
        <ns0:is>
          <ns0:t>Capital goods / machinery</ns0:t>
        </ns0:is>
      </ns0:c>
      <ns0:c r="V60" s="214" t="n">
        <ns0:v>46090</ns0:v>
      </ns0:c>
      <ns0:c r="W60" t="n">
        <ns0:v>0.8718967094565884</ns0:v>
      </ns0:c>
      <ns0:c r="X60" t="n">
        <ns0:v>16267</ns0:v>
      </ns0:c>
      <ns0:c r="Y60" t="n">
        <ns0:v>142</ns0:v>
      </ns0:c>
      <ns0:c r="Z60" t="n">
        <ns0:v>0</ns0:v>
      </ns0:c>
      <ns0:c r="AA60" t="n">
        <ns0:v>73</ns0:v>
      </ns0:c>
      <ns0:c r="AB60" s="214" t="n">
        <ns0:v>46297</ns0:v>
      </ns0:c>
      <ns0:c r="AC60">
        <ns0:f>IF(AH!$E$4="Bloomberg",BDP($R60,"LAST_PRICE"),IF(AH!$E$4="Stored",IF(ISNUMBER(AF60),AF60,""),""))</ns0:f>
        <ns0:v>70.25</ns0:v>
      </ns0:c>
      <ns0:c r="AD60">
        <ns0:f>IF(AH!$E$4="Bloomberg",'IPO Live'!D447,IF(AH!$E$4="Stored",AG60,""))</ns0:f>
        <ns0:v>37.54</ns0:v>
      </ns0:c>
      <ns0:c r="AE60">
        <ns0:f>IFERROR(IF($Z60=1,"Class ratio review",IF(AND(ISNUMBER(AC60),AC60&gt;0,ISNUMBER(AD60),AD60&gt;0,ISNUMBER(AK60),AK60&gt;0,OR(AH!$E$4="Bloomberg",AND(ISNUMBER(AI60),ISNUMBER(AJ60),AI60&lt;=AB60,AJ60&lt;=AB60,AB60-AI60&lt;=10,AB60-AJ60&lt;=5))),AC60*AK60/AD60-1,"")),"")</ns0:f>
        <ns0:v>1.1898780825865924</ns0:v>
      </ns0:c>
      <ns0:c r="AF60" t="n">
        <ns0:v>70.25</ns0:v>
      </ns0:c>
      <ns0:c r="AG60" t="n">
        <ns0:v>37.54</ns0:v>
      </ns0:c>
      <ns0:c r="AH60" t="n">
        <ns0:v>1.170220971107483</ns0:v>
      </ns0:c>
      <ns0:c r="AI60" s="214" t="n">
        <ns0:v>46295</ns0:v>
      </ns0:c>
      <ns0:c r="AJ60" s="214" t="n">
        <ns0:v>46297</ns0:v>
      </ns0:c>
      <ns0:c r="AK60">
        <ns0:f>IF(AH!$E$4="Stored",IF(ISNUMBER(AH60),AH60,""),IF(AH!$E$4="Bloomberg",$E$2,""))</ns0:f>
        <ns0:v>1.170220971107483</ns0:v>
      </ns0:c>
    </ns0:row>
    <ns0:row r="61">
      <ns0:c r="A61" t="inlineStr">
        <ns0:is>
          <ns0:t>6682 HK Equity</ns0:t>
        </ns0:is>
      </ns0:c>
      <ns0:c r="B61">
        <ns0:f>IF('IPO Live'!$A61="","",BDP('IPO Live'!$A61,"PX_YEST_CLOSE"))</ns0:f>
        <ns0:v/>
      </ns0:c>
      <ns0:c r="P61" t="inlineStr">
        <ns0:is>
          <ns0:t>6745</ns0:t>
        </ns0:is>
      </ns0:c>
      <ns0:c r="Q61" t="inlineStr">
        <ns0:is>
          <ns0:t>6745 HK Equity</ns0:t>
        </ns0:is>
      </ns0:c>
      <ns0:c r="R61" t="inlineStr">
        <ns0:is>
          <ns0:t>601678 CH Equity</ns0:t>
        </ns0:is>
      </ns0:c>
      <ns0:c r="S61" t="inlineStr">
        <ns0:is>
          <ns0:t>BEFAR GROUP</ns0:t>
        </ns0:is>
      </ns0:c>
      <ns0:c r="T61" t="inlineStr">
        <ns0:is>
          <ns0:t>Materials/Energy</ns0:t>
        </ns0:is>
      </ns0:c>
      <ns0:c r="U61" t="inlineStr">
        <ns0:is>
          <ns0:t>Chemicals</ns0:t>
        </ns0:is>
      </ns0:c>
      <ns0:c r="V61" s="214" t="n">
        <ns0:v>46213</ns0:v>
      </ns0:c>
      <ns0:c r="W61" t="n">
        <ns0:v>0.9003358524421166</ns0:v>
      </ns0:c>
      <ns0:c r="X61" t="n">
        <ns0:v>16409</ns0:v>
      </ns0:c>
      <ns0:c r="Y61" t="n">
        <ns0:v>60</ns0:v>
      </ns0:c>
      <ns0:c r="Z61" t="n">
        <ns0:v>0</ns0:v>
      </ns0:c>
      <ns0:c r="AA61" t="n">
        <ns0:v>2.83</ns0:v>
      </ns0:c>
      <ns0:c r="AB61" s="214" t="n">
        <ns0:v>46297</ns0:v>
      </ns0:c>
      <ns0:c r="AC61">
        <ns0:f>IF(AH!$E$4="Bloomberg",BDP($R61,"LAST_PRICE"),IF(AH!$E$4="Stored",IF(ISNUMBER(AF61),AF61,""),""))</ns0:f>
        <ns0:v>5.68</ns0:v>
      </ns0:c>
      <ns0:c r="AD61">
        <ns0:f>IF(AH!$E$4="Bloomberg",'IPO Live'!D452,IF(AH!$E$4="Stored",AG61,""))</ns0:f>
        <ns0:v>2.8</ns0:v>
      </ns0:c>
      <ns0:c r="AE61">
        <ns0:f>IFERROR(IF($Z61=1,"Class ratio review",IF(AND(ISNUMBER(AC61),AC61&gt;0,ISNUMBER(AD61),AD61&gt;0,ISNUMBER(AK61),AK61&gt;0,OR(AH!$E$4="Bloomberg",AND(ISNUMBER(AI61),ISNUMBER(AJ61),AI61&lt;=AB61,AJ61&lt;=AB61,AB61-AI61&lt;=10,AB61-AJ61&lt;=5))),AC61*AK61/AD61-1,"")),"")</ns0:f>
        <ns0:v>1.3738768271037514</ns0:v>
      </ns0:c>
      <ns0:c r="AF61" t="n">
        <ns0:v>5.68</ns0:v>
      </ns0:c>
      <ns0:c r="AG61" t="n">
        <ns0:v>2.8</ns0:v>
      </ns0:c>
      <ns0:c r="AH61" t="n">
        <ns0:v>1.170220971107483</ns0:v>
      </ns0:c>
      <ns0:c r="AI61" s="214" t="n">
        <ns0:v>46295</ns0:v>
      </ns0:c>
      <ns0:c r="AJ61" s="214" t="n">
        <ns0:v>46297</ns0:v>
      </ns0:c>
      <ns0:c r="AK61">
        <ns0:f>IF(AH!$E$4="Stored",IF(ISNUMBER(AH61),AH61,""),IF(AH!$E$4="Bloomberg",$E$2,""))</ns0:f>
        <ns0:v>1.170220971107483</ns0:v>
      </ns0:c>
    </ns0:row>
    <ns0:row r="62">
      <ns0:c r="A62" t="inlineStr">
        <ns0:is>
          <ns0:t>3355 HK Equity</ns0:t>
        </ns0:is>
      </ns0:c>
      <ns0:c r="B62">
        <ns0:f>IF('IPO Live'!$A62="","",BDP('IPO Live'!$A62,"PX_YEST_CLOSE"))</ns0:f>
        <ns0:v/>
      </ns0:c>
      <ns0:c r="P62" t="inlineStr">
        <ns0:is>
          <ns0:t>6693</ns0:t>
        </ns0:is>
      </ns0:c>
      <ns0:c r="Q62" t="inlineStr">
        <ns0:is>
          <ns0:t>6693 HK Equity</ns0:t>
        </ns0:is>
      </ns0:c>
      <ns0:c r="R62" t="inlineStr">
        <ns0:is>
          <ns0:t>600988 CH Equity</ns0:t>
        </ns0:is>
      </ns0:c>
      <ns0:c r="S62" t="inlineStr">
        <ns0:is>
          <ns0:t>CHIFENG GOLD</ns0:t>
        </ns0:is>
      </ns0:c>
      <ns0:c r="T62" t="inlineStr">
        <ns0:is>
          <ns0:t>Materials/Energy</ns0:t>
        </ns0:is>
      </ns0:c>
      <ns0:c r="U62" t="inlineStr">
        <ns0:is>
          <ns0:t>Mining / metals</ns0:t>
        </ns0:is>
      </ns0:c>
      <ns0:c r="V62" s="214" t="n">
        <ns0:v>45726</ns0:v>
      </ns0:c>
      <ns0:c r="W62" t="n">
        <ns0:v>0.5060884785721669</ns0:v>
      </ns0:c>
      <ns0:c r="X62" t="n">
        <ns0:v>16469</ns0:v>
      </ns0:c>
      <ns0:c r="Y62" t="n">
        <ns0:v>385</ns0:v>
      </ns0:c>
      <ns0:c r="Z62" t="n">
        <ns0:v>0</ns0:v>
      </ns0:c>
      <ns0:c r="AA62" t="n">
        <ns0:v>13.72</ns0:v>
      </ns0:c>
      <ns0:c r="AB62" s="214" t="n">
        <ns0:v>46297</ns0:v>
      </ns0:c>
      <ns0:c r="AC62">
        <ns0:f>IF(AH!$E$4="Bloomberg",BDP($R62,"LAST_PRICE"),IF(AH!$E$4="Stored",IF(ISNUMBER(AF62),AF62,""),""))</ns0:f>
        <ns0:v>39.56</ns0:v>
      </ns0:c>
      <ns0:c r="AD62">
        <ns0:f>IF(AH!$E$4="Bloomberg",'IPO Live'!D454,IF(AH!$E$4="Stored",AG62,""))</ns0:f>
        <ns0:v>35.38</ns0:v>
      </ns0:c>
      <ns0:c r="AE62">
        <ns0:f>IFERROR(IF($Z62=1,"Class ratio review",IF(AND(ISNUMBER(AC62),AC62&gt;0,ISNUMBER(AD62),AD62&gt;0,ISNUMBER(AK62),AK62&gt;0,OR(AH!$E$4="Bloomberg",AND(ISNUMBER(AI62),ISNUMBER(AJ62),AI62&lt;=AB62,AJ62&lt;=AB62,AB62-AI62&lt;=10,AB62-AJ62&lt;=5))),AC62*AK62/AD62-1,"")),"")</ns0:f>
        <ns0:v>0.3084777167046926</ns0:v>
      </ns0:c>
      <ns0:c r="AF62" t="n">
        <ns0:v>39.56</ns0:v>
      </ns0:c>
      <ns0:c r="AG62" t="n">
        <ns0:v>35.38</ns0:v>
      </ns0:c>
      <ns0:c r="AH62" t="n">
        <ns0:v>1.170220971107483</ns0:v>
      </ns0:c>
      <ns0:c r="AI62" s="214" t="n">
        <ns0:v>46295</ns0:v>
      </ns0:c>
      <ns0:c r="AJ62" s="214" t="n">
        <ns0:v>46297</ns0:v>
      </ns0:c>
      <ns0:c r="AK62">
        <ns0:f>IF(AH!$E$4="Stored",IF(ISNUMBER(AH62),AH62,""),IF(AH!$E$4="Bloomberg",$E$2,""))</ns0:f>
        <ns0:v>1.170220971107483</ns0:v>
      </ns0:c>
    </ns0:row>
    <ns0:row r="63">
      <ns0:c r="A63" t="inlineStr">
        <ns0:is>
          <ns0:t>2458 HK Equity</ns0:t>
        </ns0:is>
      </ns0:c>
      <ns0:c r="B63">
        <ns0:f>IF('IPO Live'!$A63="","",BDP('IPO Live'!$A63,"PX_YEST_CLOSE"))</ns0:f>
        <ns0:v/>
      </ns0:c>
      <ns0:c r="P63" t="inlineStr">
        <ns0:is>
          <ns0:t>9696</ns0:t>
        </ns0:is>
      </ns0:c>
      <ns0:c r="Q63" t="inlineStr">
        <ns0:is>
          <ns0:t>9696 HK Equity</ns0:t>
        </ns0:is>
      </ns0:c>
      <ns0:c r="R63" t="inlineStr">
        <ns0:is>
          <ns0:t>002466 CH Equity</ns0:t>
        </ns0:is>
      </ns0:c>
      <ns0:c r="S63" t="inlineStr">
        <ns0:is>
          <ns0:t>TIANQI LITHIUM</ns0:t>
        </ns0:is>
      </ns0:c>
      <ns0:c r="T63" t="inlineStr">
        <ns0:is>
          <ns0:t>Materials/Energy</ns0:t>
        </ns0:is>
      </ns0:c>
      <ns0:c r="U63" t="inlineStr">
        <ns0:is>
          <ns0:t>Mining / metals</ns0:t>
        </ns0:is>
      </ns0:c>
      <ns0:c r="V63" s="214" t="n">
        <ns0:v>44755</ns0:v>
      </ns0:c>
      <ns0:c r="W63" t="n">
        <ns0:v>0.821056463369509</ns0:v>
      </ns0:c>
      <ns0:c r="X63" t="n">
        <ns0:v>16854</ns0:v>
      </ns0:c>
      <ns0:c r="Y63" t="n">
        <ns0:v>1038</ns0:v>
      </ns0:c>
      <ns0:c r="Z63" t="n">
        <ns0:v>0</ns0:v>
      </ns0:c>
      <ns0:c r="AA63" t="n">
        <ns0:v>82</ns0:v>
      </ns0:c>
      <ns0:c r="AB63" s="214" t="n">
        <ns0:v>46297</ns0:v>
      </ns0:c>
      <ns0:c r="AC63">
        <ns0:f>IF(AH!$E$4="Bloomberg",BDP($R63,"LAST_PRICE"),IF(AH!$E$4="Stored",IF(ISNUMBER(AF63),AF63,""),""))</ns0:f>
        <ns0:v>40.25</ns0:v>
      </ns0:c>
      <ns0:c r="AD63">
        <ns0:f>IF(AH!$E$4="Bloomberg",'IPO Live'!D478,IF(AH!$E$4="Stored",AG63,""))</ns0:f>
        <ns0:v>28.2</ns0:v>
      </ns0:c>
      <ns0:c r="AE63">
        <ns0:f>IFERROR(IF($Z63=1,"Class ratio review",IF(AND(ISNUMBER(AC63),AC63&gt;0,ISNUMBER(AD63),AD63&gt;0,ISNUMBER(AK63),AK63&gt;0,OR(AH!$E$4="Bloomberg",AND(ISNUMBER(AI63),ISNUMBER(AJ63),AI63&lt;=AB63,AJ63&lt;=AB63,AB63-AI63&lt;=10,AB63-AJ63&lt;=5))),AC63*AK63/AD63-1,"")),"")</ns0:f>
        <ns0:v>0.6702622016693685</ns0:v>
      </ns0:c>
      <ns0:c r="AF63" t="n">
        <ns0:v>40.25</ns0:v>
      </ns0:c>
      <ns0:c r="AG63" t="n">
        <ns0:v>28.2</ns0:v>
      </ns0:c>
      <ns0:c r="AH63" t="n">
        <ns0:v>1.170220971107483</ns0:v>
      </ns0:c>
      <ns0:c r="AI63" s="214" t="n">
        <ns0:v>46295</ns0:v>
      </ns0:c>
      <ns0:c r="AJ63" s="214" t="n">
        <ns0:v>46297</ns0:v>
      </ns0:c>
      <ns0:c r="AK63">
        <ns0:f>IF(AH!$E$4="Stored",IF(ISNUMBER(AH63),AH63,""),IF(AH!$E$4="Bloomberg",$E$2,""))</ns0:f>
        <ns0:v>1.170220971107483</ns0:v>
      </ns0:c>
    </ns0:row>
    <ns0:row r="64">
      <ns0:c r="A64" t="inlineStr">
        <ns0:is>
          <ns0:t>2729 HK Equity</ns0:t>
        </ns0:is>
      </ns0:c>
      <ns0:c r="B64">
        <ns0:f>IF('IPO Live'!$A64="","",BDP('IPO Live'!$A64,"PX_YEST_CLOSE"))</ns0:f>
        <ns0:v/>
      </ns0:c>
      <ns0:c r="P64" t="inlineStr">
        <ns0:is>
          <ns0:t>9981</ns0:t>
        </ns0:is>
      </ns0:c>
      <ns0:c r="Q64" t="inlineStr">
        <ns0:is>
          <ns0:t>9981 HK Equity</ns0:t>
        </ns0:is>
      </ns0:c>
      <ns0:c r="R64" t="inlineStr">
        <ns0:is>
          <ns0:t>002130 CH Equity</ns0:t>
        </ns0:is>
      </ns0:c>
      <ns0:c r="S64" t="inlineStr">
        <ns0:is>
          <ns0:t>WOER</ns0:t>
        </ns0:is>
      </ns0:c>
      <ns0:c r="T64" t="inlineStr">
        <ns0:is>
          <ns0:t>Materials/Energy</ns0:t>
        </ns0:is>
      </ns0:c>
      <ns0:c r="U64" t="inlineStr">
        <ns0:is>
          <ns0:t>Chemicals</ns0:t>
        </ns0:is>
      </ns0:c>
      <ns0:c r="V64" s="214" t="n">
        <ns0:v>46066</ns0:v>
      </ns0:c>
      <ns0:c r="W64" t="n">
        <ns0:v>0.5859799074141645</ns0:v>
      </ns0:c>
      <ns0:c r="X64" t="n">
        <ns0:v>17892</ns0:v>
      </ns0:c>
      <ns0:c r="Y64" t="n">
        <ns0:v>155</ns0:v>
      </ns0:c>
      <ns0:c r="Z64" t="n">
        <ns0:v>0</ns0:v>
      </ns0:c>
      <ns0:c r="AA64" t="n">
        <ns0:v>20.68</ns0:v>
      </ns0:c>
      <ns0:c r="AB64" s="214" t="n">
        <ns0:v>46297</ns0:v>
      </ns0:c>
      <ns0:c r="AC64">
        <ns0:f>IF(AH!$E$4="Bloomberg",BDP($R64,"LAST_PRICE"),IF(AH!$E$4="Stored",IF(ISNUMBER(AF64),AF64,""),""))</ns0:f>
        <ns0:v>15.71</ns0:v>
      </ns0:c>
      <ns0:c r="AD64">
        <ns0:f>IF(AH!$E$4="Bloomberg",'IPO Live'!D481,IF(AH!$E$4="Stored",AG64,""))</ns0:f>
        <ns0:v>8.1</ns0:v>
      </ns0:c>
      <ns0:c r="AE64">
        <ns0:f>IFERROR(IF($Z64=1,"Class ratio review",IF(AND(ISNUMBER(AC64),AC64&gt;0,ISNUMBER(AD64),AD64&gt;0,ISNUMBER(AK64),AK64&gt;0,OR(AH!$E$4="Bloomberg",AND(ISNUMBER(AI64),ISNUMBER(AJ64),AI64&lt;=AB64,AJ64&lt;=AB64,AB64-AI64&lt;=10,AB64-AJ64&lt;=5))),AC64*AK64/AD64-1,"")),"")</ns0:f>
        <ns0:v>1.2696507970492048</ns0:v>
      </ns0:c>
      <ns0:c r="AF64" t="n">
        <ns0:v>15.71</ns0:v>
      </ns0:c>
      <ns0:c r="AG64" t="n">
        <ns0:v>8.1</ns0:v>
      </ns0:c>
      <ns0:c r="AH64" t="n">
        <ns0:v>1.170220971107483</ns0:v>
      </ns0:c>
      <ns0:c r="AI64" s="214" t="n">
        <ns0:v>46295</ns0:v>
      </ns0:c>
      <ns0:c r="AJ64" s="214" t="n">
        <ns0:v>46297</ns0:v>
      </ns0:c>
      <ns0:c r="AK64">
        <ns0:f>IF(AH!$E$4="Stored",IF(ISNUMBER(AH64),AH64,""),IF(AH!$E$4="Bloomberg",$E$2,""))</ns0:f>
        <ns0:v>1.170220971107483</ns0:v>
      </ns0:c>
    </ns0:row>
    <ns0:row r="65">
      <ns0:c r="A65" t="inlineStr">
        <ns0:is>
          <ns0:t>2590 HK Equity</ns0:t>
        </ns0:is>
      </ns0:c>
      <ns0:c r="B65">
        <ns0:f>IF('IPO Live'!$A65="","",BDP('IPO Live'!$A65,"PX_YEST_CLOSE"))</ns0:f>
        <ns0:v/>
      </ns0:c>
    </ns0:row>
    <ns0:row r="66">
      <ns0:c r="A66" t="inlineStr">
        <ns0:is>
          <ns0:t>3986 HK Equity</ns0:t>
        </ns0:is>
      </ns0:c>
      <ns0:c r="B66">
        <ns0:f>IF('IPO Live'!$A66="","",BDP('IPO Live'!$A66,"PX_YEST_CLOSE"))</ns0:f>
        <ns0:v/>
      </ns0:c>
    </ns0:row>
    <ns0:row r="67">
      <ns0:c r="A67" t="inlineStr">
        <ns0:is>
          <ns0:t>2768 HK Equity</ns0:t>
        </ns0:is>
      </ns0:c>
      <ns0:c r="B67">
        <ns0:f>IF('IPO Live'!$A67="","",BDP('IPO Live'!$A67,"PX_YEST_CLOSE"))</ns0:f>
        <ns0:v/>
      </ns0:c>
    </ns0:row>
    <ns0:row r="68">
      <ns0:c r="A68" t="inlineStr">
        <ns0:is>
          <ns0:t>3277 HK Equity</ns0:t>
        </ns0:is>
      </ns0:c>
      <ns0:c r="B68">
        <ns0:f>IF('IPO Live'!$A68="","",BDP('IPO Live'!$A68,"PX_YEST_CLOSE"))</ns0:f>
        <ns0:v/>
      </ns0:c>
    </ns0:row>
    <ns0:row r="69">
      <ns0:c r="A69" t="inlineStr">
        <ns0:is>
          <ns0:t>2655 HK Equity</ns0:t>
        </ns0:is>
      </ns0:c>
      <ns0:c r="B69">
        <ns0:f>IF('IPO Live'!$A69="","",BDP('IPO Live'!$A69,"PX_YEST_CLOSE"))</ns0:f>
        <ns0:v/>
      </ns0:c>
    </ns0:row>
    <ns0:row r="70">
      <ns0:c r="A70" t="inlineStr">
        <ns0:is>
          <ns0:t>2706 HK Equity</ns0:t>
        </ns0:is>
      </ns0:c>
      <ns0:c r="B70">
        <ns0:f>IF('IPO Live'!$A70="","",BDP('IPO Live'!$A70,"PX_YEST_CLOSE"))</ns0:f>
        <ns0:v/>
      </ns0:c>
    </ns0:row>
    <ns0:row r="71">
      <ns0:c r="A71" t="inlineStr">
        <ns0:is>
          <ns0:t>3887 HK Equity</ns0:t>
        </ns0:is>
      </ns0:c>
      <ns0:c r="B71">
        <ns0:f>IF('IPO Live'!$A71="","",BDP('IPO Live'!$A71,"PX_YEST_CLOSE"))</ns0:f>
        <ns0:v/>
      </ns0:c>
    </ns0:row>
    <ns0:row r="72">
      <ns0:c r="A72" t="inlineStr">
        <ns0:is>
          <ns0:t>2525 HK Equity</ns0:t>
        </ns0:is>
      </ns0:c>
      <ns0:c r="B72">
        <ns0:f>IF('IPO Live'!$A72="","",BDP('IPO Live'!$A72,"PX_YEST_CLOSE"))</ns0:f>
        <ns0:v/>
      </ns0:c>
    </ns0:row>
    <ns0:row r="73">
      <ns0:c r="A73" t="inlineStr">
        <ns0:is>
          <ns0:t>9660 HK Equity</ns0:t>
        </ns0:is>
      </ns0:c>
      <ns0:c r="B73">
        <ns0:f>IF('IPO Live'!$A73="","",BDP('IPO Live'!$A73,"PX_YEST_CLOSE"))</ns0:f>
        <ns0:v/>
      </ns0:c>
    </ns0:row>
    <ns0:row r="74">
      <ns0:c r="A74" t="inlineStr">
        <ns0:is>
          <ns0:t>2440 HK Equity</ns0:t>
        </ns0:is>
      </ns0:c>
      <ns0:c r="B74">
        <ns0:f>IF('IPO Live'!$A74="","",BDP('IPO Live'!$A74,"PX_YEST_CLOSE"))</ns0:f>
        <ns0:v/>
      </ns0:c>
    </ns0:row>
    <ns0:row r="75">
      <ns0:c r="A75" t="inlineStr">
        <ns0:is>
          <ns0:t>1392 HK Equity</ns0:t>
        </ns0:is>
      </ns0:c>
      <ns0:c r="B75">
        <ns0:f>IF('IPO Live'!$A75="","",BDP('IPO Live'!$A75,"PX_YEST_CLOSE"))</ns0:f>
        <ns0:v/>
      </ns0:c>
    </ns0:row>
    <ns0:row r="76">
      <ns0:c r="A76" t="inlineStr">
        <ns0:is>
          <ns0:t>3296 HK Equity</ns0:t>
        </ns0:is>
      </ns0:c>
      <ns0:c r="B76">
        <ns0:f>IF('IPO Live'!$A76="","",BDP('IPO Live'!$A76,"PX_YEST_CLOSE"))</ns0:f>
        <ns0:v/>
      </ns0:c>
    </ns0:row>
    <ns0:row r="77">
      <ns0:c r="A77" t="inlineStr">
        <ns0:is>
          <ns0:t>1021 HK Equity</ns0:t>
        </ns0:is>
      </ns0:c>
      <ns0:c r="B77">
        <ns0:f>IF('IPO Live'!$A77="","",BDP('IPO Live'!$A77,"PX_YEST_CLOSE"))</ns0:f>
        <ns0:v/>
      </ns0:c>
    </ns0:row>
    <ns0:row r="78">
      <ns0:c r="A78" t="inlineStr">
        <ns0:is>
          <ns0:t>9878 HK Equity</ns0:t>
        </ns0:is>
      </ns0:c>
      <ns0:c r="B78">
        <ns0:f>IF('IPO Live'!$A78="","",BDP('IPO Live'!$A78,"PX_YEST_CLOSE"))</ns0:f>
        <ns0:v/>
      </ns0:c>
    </ns0:row>
    <ns0:row r="79">
      <ns0:c r="A79" t="inlineStr">
        <ns0:is>
          <ns0:t>9903 HK Equity</ns0:t>
        </ns0:is>
      </ns0:c>
      <ns0:c r="B79">
        <ns0:f>IF('IPO Live'!$A79="","",BDP('IPO Live'!$A79,"PX_YEST_CLOSE"))</ns0:f>
        <ns0:v/>
      </ns0:c>
    </ns0:row>
    <ns0:row r="80">
      <ns0:c r="A80" t="inlineStr">
        <ns0:is>
          <ns0:t>1274 HK Equity</ns0:t>
        </ns0:is>
      </ns0:c>
      <ns0:c r="B80">
        <ns0:f>IF('IPO Live'!$A80="","",BDP('IPO Live'!$A80,"PX_YEST_CLOSE"))</ns0:f>
        <ns0:v/>
      </ns0:c>
    </ns0:row>
    <ns0:row r="81">
      <ns0:c r="A81" t="inlineStr">
        <ns0:is>
          <ns0:t>3223 HK Equity</ns0:t>
        </ns0:is>
      </ns0:c>
      <ns0:c r="B81">
        <ns0:f>IF('IPO Live'!$A81="","",BDP('IPO Live'!$A81,"PX_YEST_CLOSE"))</ns0:f>
        <ns0:v/>
      </ns0:c>
    </ns0:row>
    <ns0:row r="82">
      <ns0:c r="A82" t="inlineStr">
        <ns0:is>
          <ns0:t>2577 HK Equity</ns0:t>
        </ns0:is>
      </ns0:c>
      <ns0:c r="B82">
        <ns0:f>IF('IPO Live'!$A82="","",BDP('IPO Live'!$A82,"PX_YEST_CLOSE"))</ns0:f>
        <ns0:v/>
      </ns0:c>
    </ns0:row>
    <ns0:row r="83">
      <ns0:c r="A83" t="inlineStr">
        <ns0:is>
          <ns0:t>3696 HK Equity</ns0:t>
        </ns0:is>
      </ns0:c>
      <ns0:c r="B83">
        <ns0:f>IF('IPO Live'!$A83="","",BDP('IPO Live'!$A83,"PX_YEST_CLOSE"))</ns0:f>
        <ns0:v/>
      </ns0:c>
    </ns0:row>
    <ns0:row r="84">
      <ns0:c r="A84" t="inlineStr">
        <ns0:is>
          <ns0:t>7618 HK Equity</ns0:t>
        </ns0:is>
      </ns0:c>
      <ns0:c r="B84">
        <ns0:f>IF('IPO Live'!$A84="","",BDP('IPO Live'!$A84,"PX_YEST_CLOSE"))</ns0:f>
        <ns0:v/>
      </ns0:c>
    </ns0:row>
    <ns0:row r="85">
      <ns0:c r="A85" t="inlineStr">
        <ns0:is>
          <ns0:t>2603 HK Equity</ns0:t>
        </ns0:is>
      </ns0:c>
      <ns0:c r="B85">
        <ns0:f>IF('IPO Live'!$A85="","",BDP('IPO Live'!$A85,"PX_YEST_CLOSE"))</ns0:f>
        <ns0:v/>
      </ns0:c>
    </ns0:row>
    <ns0:row r="86">
      <ns0:c r="A86" t="inlineStr">
        <ns0:is>
          <ns0:t>6687 HK Equity</ns0:t>
        </ns0:is>
      </ns0:c>
      <ns0:c r="B86">
        <ns0:f>IF('IPO Live'!$A86="","",BDP('IPO Live'!$A86,"PX_YEST_CLOSE"))</ns0:f>
        <ns0:v/>
      </ns0:c>
    </ns0:row>
    <ns0:row r="87">
      <ns0:c r="A87" t="inlineStr">
        <ns0:is>
          <ns0:t>2483 HK Equity</ns0:t>
        </ns0:is>
      </ns0:c>
      <ns0:c r="B87">
        <ns0:f>IF('IPO Live'!$A87="","",BDP('IPO Live'!$A87,"PX_YEST_CLOSE"))</ns0:f>
        <ns0:v/>
      </ns0:c>
    </ns0:row>
    <ns0:row r="88">
      <ns0:c r="A88" t="inlineStr">
        <ns0:is>
          <ns0:t>3650 HK Equity</ns0:t>
        </ns0:is>
      </ns0:c>
      <ns0:c r="B88">
        <ns0:f>IF('IPO Live'!$A88="","",BDP('IPO Live'!$A88,"PX_YEST_CLOSE"))</ns0:f>
        <ns0:v/>
      </ns0:c>
    </ns0:row>
    <ns0:row r="89">
      <ns0:c r="A89" t="inlineStr">
        <ns0:is>
          <ns0:t>2272 HK Equity</ns0:t>
        </ns0:is>
      </ns0:c>
      <ns0:c r="B89">
        <ns0:f>IF('IPO Live'!$A89="","",BDP('IPO Live'!$A89,"PX_YEST_CLOSE"))</ns0:f>
        <ns0:v/>
      </ns0:c>
    </ns0:row>
    <ns0:row r="90">
      <ns0:c r="A90" t="inlineStr">
        <ns0:is>
          <ns0:t>3228 HK Equity</ns0:t>
        </ns0:is>
      </ns0:c>
      <ns0:c r="B90">
        <ns0:f>IF('IPO Live'!$A90="","",BDP('IPO Live'!$A90,"PX_YEST_CLOSE"))</ns0:f>
        <ns0:v/>
      </ns0:c>
    </ns0:row>
    <ns0:row r="91">
      <ns0:c r="A91" t="inlineStr">
        <ns0:is>
          <ns0:t>2513 HK Equity</ns0:t>
        </ns0:is>
      </ns0:c>
      <ns0:c r="B91">
        <ns0:f>IF('IPO Live'!$A91="","",BDP('IPO Live'!$A91,"PX_YEST_CLOSE"))</ns0:f>
        <ns0:v/>
      </ns0:c>
    </ns0:row>
    <ns0:row r="92">
      <ns0:c r="A92" t="inlineStr">
        <ns0:is>
          <ns0:t>1024 HK Equity</ns0:t>
        </ns0:is>
      </ns0:c>
      <ns0:c r="B92">
        <ns0:f>IF('IPO Live'!$A92="","",BDP('IPO Live'!$A92,"PX_YEST_CLOSE"))</ns0:f>
        <ns0:v/>
      </ns0:c>
    </ns0:row>
    <ns0:row r="93">
      <ns0:c r="A93" t="inlineStr">
        <ns0:is>
          <ns0:t>1236 HK Equity</ns0:t>
        </ns0:is>
      </ns0:c>
      <ns0:c r="B93">
        <ns0:f>IF('IPO Live'!$A93="","",BDP('IPO Live'!$A93,"PX_YEST_CLOSE"))</ns0:f>
        <ns0:v/>
      </ns0:c>
    </ns0:row>
    <ns0:row r="94">
      <ns0:c r="A94" t="inlineStr">
        <ns0:is>
          <ns0:t>6613 HK Equity</ns0:t>
        </ns0:is>
      </ns0:c>
      <ns0:c r="B94">
        <ns0:f>IF('IPO Live'!$A94="","",BDP('IPO Live'!$A94,"PX_YEST_CLOSE"))</ns0:f>
        <ns0:v/>
      </ns0:c>
    </ns0:row>
    <ns0:row r="95">
      <ns0:c r="A95" t="inlineStr">
        <ns0:is>
          <ns0:t>2598 HK Equity</ns0:t>
        </ns0:is>
      </ns0:c>
      <ns0:c r="B95">
        <ns0:f>IF('IPO Live'!$A95="","",BDP('IPO Live'!$A95,"PX_YEST_CLOSE"))</ns0:f>
        <ns0:v/>
      </ns0:c>
    </ns0:row>
    <ns0:row r="96">
      <ns0:c r="A96" t="inlineStr">
        <ns0:is>
          <ns0:t>9856 HK Equity</ns0:t>
        </ns0:is>
      </ns0:c>
      <ns0:c r="B96">
        <ns0:f>IF('IPO Live'!$A96="","",BDP('IPO Live'!$A96,"PX_YEST_CLOSE"))</ns0:f>
        <ns0:v/>
      </ns0:c>
    </ns0:row>
    <ns0:row r="97">
      <ns0:c r="A97" t="inlineStr">
        <ns0:is>
          <ns0:t>1688 HK Equity</ns0:t>
        </ns0:is>
      </ns0:c>
      <ns0:c r="B97">
        <ns0:f>IF('IPO Live'!$A97="","",BDP('IPO Live'!$A97,"PX_YEST_CLOSE"))</ns0:f>
        <ns0:v/>
      </ns0:c>
    </ns0:row>
    <ns0:row r="98">
      <ns0:c r="A98" t="inlineStr">
        <ns0:is>
          <ns0:t>9959 HK Equity</ns0:t>
        </ns0:is>
      </ns0:c>
      <ns0:c r="B98">
        <ns0:f>IF('IPO Live'!$A98="","",BDP('IPO Live'!$A98,"PX_YEST_CLOSE"))</ns0:f>
        <ns0:v/>
      </ns0:c>
    </ns0:row>
    <ns0:row r="99">
      <ns0:c r="A99" t="inlineStr">
        <ns0:is>
          <ns0:t>9611 HK Equity</ns0:t>
        </ns0:is>
      </ns0:c>
      <ns0:c r="B99">
        <ns0:f>IF('IPO Live'!$A99="","",BDP('IPO Live'!$A99,"PX_YEST_CLOSE"))</ns0:f>
        <ns0:v/>
      </ns0:c>
    </ns0:row>
    <ns0:row r="100">
      <ns0:c r="A100" t="inlineStr">
        <ns0:is>
          <ns0:t>9976 HK Equity</ns0:t>
        </ns0:is>
      </ns0:c>
      <ns0:c r="B100">
        <ns0:f>IF('IPO Live'!$A100="","",BDP('IPO Live'!$A100,"PX_YEST_CLOSE"))</ns0:f>
        <ns0:v/>
      </ns0:c>
    </ns0:row>
    <ns0:row r="101">
      <ns0:c r="A101" t="inlineStr">
        <ns0:is>
          <ns0:t>2475 HK Equity</ns0:t>
        </ns0:is>
      </ns0:c>
      <ns0:c r="B101">
        <ns0:f>IF('IPO Live'!$A101="","",BDP('IPO Live'!$A101,"PX_YEST_CLOSE"))</ns0:f>
        <ns0:v/>
      </ns0:c>
    </ns0:row>
    <ns0:row r="102">
      <ns0:c r="A102" t="inlineStr">
        <ns0:is>
          <ns0:t>2436 HK Equity</ns0:t>
        </ns0:is>
      </ns0:c>
      <ns0:c r="B102">
        <ns0:f>IF('IPO Live'!$A102="","",BDP('IPO Live'!$A102,"PX_YEST_CLOSE"))</ns0:f>
        <ns0:v/>
      </ns0:c>
    </ns0:row>
    <ns0:row r="103">
      <ns0:c r="A103" t="inlineStr">
        <ns0:is>
          <ns0:t>2501 HK Equity</ns0:t>
        </ns0:is>
      </ns0:c>
      <ns0:c r="B103">
        <ns0:f>IF('IPO Live'!$A103="","",BDP('IPO Live'!$A103,"PX_YEST_CLOSE"))</ns0:f>
        <ns0:v/>
      </ns0:c>
    </ns0:row>
    <ns0:row r="104">
      <ns0:c r="A104" t="inlineStr">
        <ns0:is>
          <ns0:t>68 HK Equity</ns0:t>
        </ns0:is>
      </ns0:c>
      <ns0:c r="B104">
        <ns0:f>IF('IPO Live'!$A104="","",BDP('IPO Live'!$A104,"PX_YEST_CLOSE"))</ns0:f>
        <ns0:v/>
      </ns0:c>
    </ns0:row>
    <ns0:row r="105">
      <ns0:c r="A105" t="inlineStr">
        <ns0:is>
          <ns0:t>2556 HK Equity</ns0:t>
        </ns0:is>
      </ns0:c>
      <ns0:c r="B105">
        <ns0:f>IF('IPO Live'!$A105="","",BDP('IPO Live'!$A105,"PX_YEST_CLOSE"))</ns0:f>
        <ns0:v/>
      </ns0:c>
    </ns0:row>
    <ns0:row r="106">
      <ns0:c r="A106" t="inlineStr">
        <ns0:is>
          <ns0:t>9615 HK Equity</ns0:t>
        </ns0:is>
      </ns0:c>
      <ns0:c r="B106">
        <ns0:f>IF('IPO Live'!$A106="","",BDP('IPO Live'!$A106,"PX_YEST_CLOSE"))</ns0:f>
        <ns0:v/>
      </ns0:c>
    </ns0:row>
    <ns0:row r="107">
      <ns0:c r="A107" t="inlineStr">
        <ns0:is>
          <ns0:t>6939 HK Equity</ns0:t>
        </ns0:is>
      </ns0:c>
      <ns0:c r="B107">
        <ns0:f>IF('IPO Live'!$A107="","",BDP('IPO Live'!$A107,"PX_YEST_CLOSE"))</ns0:f>
        <ns0:v/>
      </ns0:c>
    </ns0:row>
    <ns0:row r="108">
      <ns0:c r="A108" t="inlineStr">
        <ns0:is>
          <ns0:t>3268 HK Equity</ns0:t>
        </ns0:is>
      </ns0:c>
      <ns0:c r="B108">
        <ns0:f>IF('IPO Live'!$A108="","",BDP('IPO Live'!$A108,"PX_YEST_CLOSE"))</ns0:f>
        <ns0:v/>
      </ns0:c>
    </ns0:row>
    <ns0:row r="109">
      <ns0:c r="A109" t="inlineStr">
        <ns0:is>
          <ns0:t>2605 HK Equity</ns0:t>
        </ns0:is>
      </ns0:c>
      <ns0:c r="B109">
        <ns0:f>IF('IPO Live'!$A109="","",BDP('IPO Live'!$A109,"PX_YEST_CLOSE"))</ns0:f>
        <ns0:v/>
      </ns0:c>
    </ns0:row>
    <ns0:row r="110">
      <ns0:c r="A110" t="inlineStr">
        <ns0:is>
          <ns0:t>300 HK Equity</ns0:t>
        </ns0:is>
      </ns0:c>
      <ns0:c r="B110">
        <ns0:f>IF('IPO Live'!$A110="","",BDP('IPO Live'!$A110,"PX_YEST_CLOSE"))</ns0:f>
        <ns0:v/>
      </ns0:c>
    </ns0:row>
    <ns0:row r="111">
      <ns0:c r="A111" t="inlineStr">
        <ns0:is>
          <ns0:t>2431 HK Equity</ns0:t>
        </ns0:is>
      </ns0:c>
      <ns0:c r="B111">
        <ns0:f>IF('IPO Live'!$A111="","",BDP('IPO Live'!$A111,"PX_YEST_CLOSE"))</ns0:f>
        <ns0:v/>
      </ns0:c>
    </ns0:row>
    <ns0:row r="112">
      <ns0:c r="A112" t="inlineStr">
        <ns0:is>
          <ns0:t>100 HK Equity</ns0:t>
        </ns0:is>
      </ns0:c>
      <ns0:c r="B112">
        <ns0:f>IF('IPO Live'!$A112="","",BDP('IPO Live'!$A112,"PX_YEST_CLOSE"))</ns0:f>
        <ns0:v/>
      </ns0:c>
    </ns0:row>
    <ns0:row r="113">
      <ns0:c r="A113" t="inlineStr">
        <ns0:is>
          <ns0:t>2718 HK Equity</ns0:t>
        </ns0:is>
      </ns0:c>
      <ns0:c r="B113">
        <ns0:f>IF('IPO Live'!$A113="","",BDP('IPO Live'!$A113,"PX_YEST_CLOSE"))</ns0:f>
        <ns0:v/>
      </ns0:c>
    </ns0:row>
    <ns0:row r="114">
      <ns0:c r="A114" t="inlineStr">
        <ns0:is>
          <ns0:t>2438 HK Equity</ns0:t>
        </ns0:is>
      </ns0:c>
      <ns0:c r="B114">
        <ns0:f>IF('IPO Live'!$A114="","",BDP('IPO Live'!$A114,"PX_YEST_CLOSE"))</ns0:f>
        <ns0:v/>
      </ns0:c>
    </ns0:row>
    <ns0:row r="115">
      <ns0:c r="A115" t="inlineStr">
        <ns0:is>
          <ns0:t>6880 HK Equity</ns0:t>
        </ns0:is>
      </ns0:c>
      <ns0:c r="B115">
        <ns0:f>IF('IPO Live'!$A115="","",BDP('IPO Live'!$A115,"PX_YEST_CLOSE"))</ns0:f>
        <ns0:v/>
      </ns0:c>
    </ns0:row>
    <ns0:row r="116">
      <ns0:c r="A116" t="inlineStr">
        <ns0:is>
          <ns0:t>6809 HK Equity</ns0:t>
        </ns0:is>
      </ns0:c>
      <ns0:c r="B116">
        <ns0:f>IF('IPO Live'!$A116="","",BDP('IPO Live'!$A116,"PX_YEST_CLOSE"))</ns0:f>
        <ns0:v/>
      </ns0:c>
    </ns0:row>
    <ns0:row r="117">
      <ns0:c r="A117" t="inlineStr">
        <ns0:is>
          <ns0:t>2249 HK Equity</ns0:t>
        </ns0:is>
      </ns0:c>
      <ns0:c r="B117">
        <ns0:f>IF('IPO Live'!$A117="","",BDP('IPO Live'!$A117,"PX_YEST_CLOSE"))</ns0:f>
        <ns0:v/>
      </ns0:c>
    </ns0:row>
    <ns0:row r="118">
      <ns0:c r="A118" t="inlineStr">
        <ns0:is>
          <ns0:t>2676 HK Equity</ns0:t>
        </ns0:is>
      </ns0:c>
      <ns0:c r="B118">
        <ns0:f>IF('IPO Live'!$A118="","",BDP('IPO Live'!$A118,"PX_YEST_CLOSE"))</ns0:f>
        <ns0:v/>
      </ns0:c>
    </ns0:row>
    <ns0:row r="119">
      <ns0:c r="A119" t="inlineStr">
        <ns0:is>
          <ns0:t>2701 HK Equity</ns0:t>
        </ns0:is>
      </ns0:c>
      <ns0:c r="B119">
        <ns0:f>IF('IPO Live'!$A119="","",BDP('IPO Live'!$A119,"PX_YEST_CLOSE"))</ns0:f>
        <ns0:v/>
      </ns0:c>
    </ns0:row>
    <ns0:row r="120">
      <ns0:c r="A120" t="inlineStr">
        <ns0:is>
          <ns0:t>2635 HK Equity</ns0:t>
        </ns0:is>
      </ns0:c>
      <ns0:c r="B120">
        <ns0:f>IF('IPO Live'!$A120="","",BDP('IPO Live'!$A120,"PX_YEST_CLOSE"))</ns0:f>
        <ns0:v/>
      </ns0:c>
    </ns0:row>
    <ns0:row r="121">
      <ns0:c r="A121" t="inlineStr">
        <ns0:is>
          <ns0:t>501 HK Equity</ns0:t>
        </ns0:is>
      </ns0:c>
      <ns0:c r="B121">
        <ns0:f>IF('IPO Live'!$A121="","",BDP('IPO Live'!$A121,"PX_YEST_CLOSE"))</ns0:f>
        <ns0:v/>
      </ns0:c>
    </ns0:row>
    <ns0:row r="122">
      <ns0:c r="A122" t="inlineStr">
        <ns0:is>
          <ns0:t>6600 HK Equity</ns0:t>
        </ns0:is>
      </ns0:c>
      <ns0:c r="B122">
        <ns0:f>IF('IPO Live'!$A122="","",BDP('IPO Live'!$A122,"PX_YEST_CLOSE"))</ns0:f>
        <ns0:v/>
      </ns0:c>
    </ns0:row>
    <ns0:row r="123">
      <ns0:c r="A123" t="inlineStr">
        <ns0:is>
          <ns0:t>1473 HK Equity</ns0:t>
        </ns0:is>
      </ns0:c>
      <ns0:c r="B123">
        <ns0:f>IF('IPO Live'!$A123="","",BDP('IPO Live'!$A123,"PX_YEST_CLOSE"))</ns0:f>
        <ns0:v/>
      </ns0:c>
    </ns0:row>
    <ns0:row r="124">
      <ns0:c r="A124" t="inlineStr">
        <ns0:is>
          <ns0:t>2026 HK Equity</ns0:t>
        </ns0:is>
      </ns0:c>
      <ns0:c r="B124">
        <ns0:f>IF('IPO Live'!$A124="","",BDP('IPO Live'!$A124,"PX_YEST_CLOSE"))</ns0:f>
        <ns0:v/>
      </ns0:c>
    </ns0:row>
    <ns0:row r="125">
      <ns0:c r="A125" t="inlineStr">
        <ns0:is>
          <ns0:t>2567 HK Equity</ns0:t>
        </ns0:is>
      </ns0:c>
      <ns0:c r="B125">
        <ns0:f>IF('IPO Live'!$A125="","",BDP('IPO Live'!$A125,"PX_YEST_CLOSE"))</ns0:f>
        <ns0:v/>
      </ns0:c>
    </ns0:row>
    <ns0:row r="126">
      <ns0:c r="A126" t="inlineStr">
        <ns0:is>
          <ns0:t>2685 HK Equity</ns0:t>
        </ns0:is>
      </ns0:c>
      <ns0:c r="B126">
        <ns0:f>IF('IPO Live'!$A126="","",BDP('IPO Live'!$A126,"PX_YEST_CLOSE"))</ns0:f>
        <ns0:v/>
      </ns0:c>
    </ns0:row>
    <ns0:row r="127">
      <ns0:c r="A127" t="inlineStr">
        <ns0:is>
          <ns0:t>2228 HK Equity</ns0:t>
        </ns0:is>
      </ns0:c>
      <ns0:c r="B127">
        <ns0:f>IF('IPO Live'!$A127="","",BDP('IPO Live'!$A127,"PX_YEST_CLOSE"))</ns0:f>
        <ns0:v/>
      </ns0:c>
    </ns0:row>
    <ns0:row r="128">
      <ns0:c r="A128" t="inlineStr">
        <ns0:is>
          <ns0:t>2385 HK Equity</ns0:t>
        </ns0:is>
      </ns0:c>
      <ns0:c r="B128">
        <ns0:f>IF('IPO Live'!$A128="","",BDP('IPO Live'!$A128,"PX_YEST_CLOSE"))</ns0:f>
        <ns0:v/>
      </ns0:c>
    </ns0:row>
    <ns0:row r="129">
      <ns0:c r="A129" t="inlineStr">
        <ns0:is>
          <ns0:t>7656 HK Equity</ns0:t>
        </ns0:is>
      </ns0:c>
      <ns0:c r="B129">
        <ns0:f>IF('IPO Live'!$A129="","",BDP('IPO Live'!$A129,"PX_YEST_CLOSE"))</ns0:f>
        <ns0:v/>
      </ns0:c>
    </ns0:row>
    <ns0:row r="130">
      <ns0:c r="A130" t="inlineStr">
        <ns0:is>
          <ns0:t>2498 HK Equity</ns0:t>
        </ns0:is>
      </ns0:c>
      <ns0:c r="B130">
        <ns0:f>IF('IPO Live'!$A130="","",BDP('IPO Live'!$A130,"PX_YEST_CLOSE"))</ns0:f>
        <ns0:v/>
      </ns0:c>
    </ns0:row>
    <ns0:row r="131">
      <ns0:c r="A131" t="inlineStr">
        <ns0:is>
          <ns0:t>3757 HK Equity</ns0:t>
        </ns0:is>
      </ns0:c>
      <ns0:c r="B131">
        <ns0:f>IF('IPO Live'!$A131="","",BDP('IPO Live'!$A131,"PX_YEST_CLOSE"))</ns0:f>
        <ns0:v/>
      </ns0:c>
    </ns0:row>
    <ns0:row r="132">
      <ns0:c r="A132" t="inlineStr">
        <ns0:is>
          <ns0:t>6871 HK Equity</ns0:t>
        </ns0:is>
      </ns0:c>
      <ns0:c r="B132">
        <ns0:f>IF('IPO Live'!$A132="","",BDP('IPO Live'!$A132,"PX_YEST_CLOSE"))</ns0:f>
        <ns0:v/>
      </ns0:c>
    </ns0:row>
    <ns0:row r="133">
      <ns0:c r="A133" t="inlineStr">
        <ns0:is>
          <ns0:t>3752 HK Equity</ns0:t>
        </ns0:is>
      </ns0:c>
      <ns0:c r="B133">
        <ns0:f>IF('IPO Live'!$A133="","",BDP('IPO Live'!$A133,"PX_YEST_CLOSE"))</ns0:f>
        <ns0:v/>
      </ns0:c>
    </ns0:row>
    <ns0:row r="134">
      <ns0:c r="A134" t="inlineStr">
        <ns0:is>
          <ns0:t>9881 HK Equity</ns0:t>
        </ns0:is>
      </ns0:c>
      <ns0:c r="B134">
        <ns0:f>IF('IPO Live'!$A134="","",BDP('IPO Live'!$A134,"PX_YEST_CLOSE"))</ns0:f>
        <ns0:v/>
      </ns0:c>
    </ns0:row>
    <ns0:row r="135">
      <ns0:c r="A135" t="inlineStr">
        <ns0:is>
          <ns0:t>901 HK Equity</ns0:t>
        </ns0:is>
      </ns0:c>
      <ns0:c r="B135">
        <ns0:f>IF('IPO Live'!$A135="","",BDP('IPO Live'!$A135,"PX_YEST_CLOSE"))</ns0:f>
        <ns0:v/>
      </ns0:c>
    </ns0:row>
    <ns0:row r="136">
      <ns0:c r="A136" t="inlineStr">
        <ns0:is>
          <ns0:t>6106 HK Equity</ns0:t>
        </ns0:is>
      </ns0:c>
      <ns0:c r="B136">
        <ns0:f>IF('IPO Live'!$A136="","",BDP('IPO Live'!$A136,"PX_YEST_CLOSE"))</ns0:f>
        <ns0:v/>
      </ns0:c>
    </ns0:row>
    <ns0:row r="137">
      <ns0:c r="A137" t="inlineStr">
        <ns0:is>
          <ns0:t>6675 HK Equity</ns0:t>
        </ns0:is>
      </ns0:c>
      <ns0:c r="B137">
        <ns0:f>IF('IPO Live'!$A137="","",BDP('IPO Live'!$A137,"PX_YEST_CLOSE"))</ns0:f>
        <ns0:v/>
      </ns0:c>
    </ns0:row>
    <ns0:row r="138">
      <ns0:c r="A138" t="inlineStr">
        <ns0:is>
          <ns0:t>20 HK Equity</ns0:t>
        </ns0:is>
      </ns0:c>
      <ns0:c r="B138">
        <ns0:f>IF('IPO Live'!$A138="","",BDP('IPO Live'!$A138,"PX_YEST_CLOSE"))</ns0:f>
        <ns0:v/>
      </ns0:c>
    </ns0:row>
    <ns0:row r="139">
      <ns0:c r="A139" t="inlineStr">
        <ns0:is>
          <ns0:t>3661 HK Equity</ns0:t>
        </ns0:is>
      </ns0:c>
      <ns0:c r="B139">
        <ns0:f>IF('IPO Live'!$A139="","",BDP('IPO Live'!$A139,"PX_YEST_CLOSE"))</ns0:f>
        <ns0:v/>
      </ns0:c>
    </ns0:row>
    <ns0:row r="140">
      <ns0:c r="A140" t="inlineStr">
        <ns0:is>
          <ns0:t>2631 HK Equity</ns0:t>
        </ns0:is>
      </ns0:c>
      <ns0:c r="B140">
        <ns0:f>IF('IPO Live'!$A140="","",BDP('IPO Live'!$A140,"PX_YEST_CLOSE"))</ns0:f>
        <ns0:v/>
      </ns0:c>
    </ns0:row>
    <ns0:row r="141">
      <ns0:c r="A141" t="inlineStr">
        <ns0:is>
          <ns0:t>6810 HK Equity</ns0:t>
        </ns0:is>
      </ns0:c>
      <ns0:c r="B141">
        <ns0:f>IF('IPO Live'!$A141="","",BDP('IPO Live'!$A141,"PX_YEST_CLOSE"))</ns0:f>
        <ns0:v/>
      </ns0:c>
    </ns0:row>
    <ns0:row r="142">
      <ns0:c r="A142" t="inlineStr">
        <ns0:is>
          <ns0:t>2576 HK Equity</ns0:t>
        </ns0:is>
      </ns0:c>
      <ns0:c r="B142">
        <ns0:f>IF('IPO Live'!$A142="","",BDP('IPO Live'!$A142,"PX_YEST_CLOSE"))</ns0:f>
        <ns0:v/>
      </ns0:c>
    </ns0:row>
    <ns0:row r="143">
      <ns0:c r="A143" t="inlineStr">
        <ns0:is>
          <ns0:t>2167 HK Equity</ns0:t>
        </ns0:is>
      </ns0:c>
      <ns0:c r="B143">
        <ns0:f>IF('IPO Live'!$A143="","",BDP('IPO Live'!$A143,"PX_YEST_CLOSE"))</ns0:f>
        <ns0:v/>
      </ns0:c>
    </ns0:row>
    <ns0:row r="144">
      <ns0:c r="A144" t="inlineStr">
        <ns0:is>
          <ns0:t>2479 HK Equity</ns0:t>
        </ns0:is>
      </ns0:c>
      <ns0:c r="B144">
        <ns0:f>IF('IPO Live'!$A144="","",BDP('IPO Live'!$A144,"PX_YEST_CLOSE"))</ns0:f>
        <ns0:v/>
      </ns0:c>
    </ns0:row>
    <ns0:row r="145">
      <ns0:c r="A145" t="inlineStr">
        <ns0:is>
          <ns0:t>2658 HK Equity</ns0:t>
        </ns0:is>
      </ns0:c>
      <ns0:c r="B145">
        <ns0:f>IF('IPO Live'!$A145="","",BDP('IPO Live'!$A145,"PX_YEST_CLOSE"))</ns0:f>
        <ns0:v/>
      </ns0:c>
    </ns0:row>
    <ns0:row r="146">
      <ns0:c r="A146" t="inlineStr">
        <ns0:is>
          <ns0:t>6727 HK Equity</ns0:t>
        </ns0:is>
      </ns0:c>
      <ns0:c r="B146">
        <ns0:f>IF('IPO Live'!$A146="","",BDP('IPO Live'!$A146,"PX_YEST_CLOSE"))</ns0:f>
        <ns0:v/>
      </ns0:c>
    </ns0:row>
    <ns0:row r="147">
      <ns0:c r="A147" t="inlineStr">
        <ns0:is>
          <ns0:t>9961 HK Equity</ns0:t>
        </ns0:is>
      </ns0:c>
      <ns0:c r="B147">
        <ns0:f>IF('IPO Live'!$A147="","",BDP('IPO Live'!$A147,"PX_YEST_CLOSE"))</ns0:f>
        <ns0:v/>
      </ns0:c>
    </ns0:row>
    <ns0:row r="148">
      <ns0:c r="A148" t="inlineStr">
        <ns0:is>
          <ns0:t>9690 HK Equity</ns0:t>
        </ns0:is>
      </ns0:c>
      <ns0:c r="B148">
        <ns0:f>IF('IPO Live'!$A148="","",BDP('IPO Live'!$A148,"PX_YEST_CLOSE"))</ns0:f>
        <ns0:v/>
      </ns0:c>
    </ns0:row>
    <ns0:row r="149">
      <ns0:c r="A149" t="inlineStr">
        <ns0:is>
          <ns0:t>2391 HK Equity</ns0:t>
        </ns0:is>
      </ns0:c>
      <ns0:c r="B149">
        <ns0:f>IF('IPO Live'!$A149="","",BDP('IPO Live'!$A149,"PX_YEST_CLOSE"))</ns0:f>
        <ns0:v/>
      </ns0:c>
    </ns0:row>
    <ns0:row r="150">
      <ns0:c r="A150" t="inlineStr">
        <ns0:is>
          <ns0:t>9880 HK Equity</ns0:t>
        </ns0:is>
      </ns0:c>
      <ns0:c r="B150">
        <ns0:f>IF('IPO Live'!$A150="","",BDP('IPO Live'!$A150,"PX_YEST_CLOSE"))</ns0:f>
        <ns0:v/>
      </ns0:c>
    </ns0:row>
    <ns0:row r="151">
      <ns0:c r="A151" t="inlineStr">
        <ns0:is>
          <ns0:t>1511 HK Equity</ns0:t>
        </ns0:is>
      </ns0:c>
      <ns0:c r="B151">
        <ns0:f>IF('IPO Live'!$A151="","",BDP('IPO Live'!$A151,"PX_YEST_CLOSE"))</ns0:f>
        <ns0:v/>
      </ns0:c>
    </ns0:row>
    <ns0:row r="152">
      <ns0:c r="A152" t="inlineStr">
        <ns0:is>
          <ns0:t>9678 HK Equity</ns0:t>
        </ns0:is>
      </ns0:c>
      <ns0:c r="B152">
        <ns0:f>IF('IPO Live'!$A152="","",BDP('IPO Live'!$A152,"PX_YEST_CLOSE"))</ns0:f>
        <ns0:v/>
      </ns0:c>
    </ns0:row>
    <ns0:row r="153">
      <ns0:c r="A153" t="inlineStr">
        <ns0:is>
          <ns0:t>2177 HK Equity</ns0:t>
        </ns0:is>
      </ns0:c>
      <ns0:c r="B153">
        <ns0:f>IF('IPO Live'!$A153="","",BDP('IPO Live'!$A153,"PX_YEST_CLOSE"))</ns0:f>
        <ns0:v/>
      </ns0:c>
    </ns0:row>
    <ns0:row r="154">
      <ns0:c r="A154" t="inlineStr">
        <ns0:is>
          <ns0:t>2476 HK Equity</ns0:t>
        </ns0:is>
      </ns0:c>
      <ns0:c r="B154">
        <ns0:f>IF('IPO Live'!$A154="","",BDP('IPO Live'!$A154,"PX_YEST_CLOSE"))</ns0:f>
        <ns0:v/>
      </ns0:c>
    </ns0:row>
    <ns0:row r="155">
      <ns0:c r="A155" t="inlineStr">
        <ns0:is>
          <ns0:t>3310 HK Equity</ns0:t>
        </ns0:is>
      </ns0:c>
      <ns0:c r="B155">
        <ns0:f>IF('IPO Live'!$A155="","",BDP('IPO Live'!$A155,"PX_YEST_CLOSE"))</ns0:f>
        <ns0:v/>
      </ns0:c>
    </ns0:row>
    <ns0:row r="156">
      <ns0:c r="A156" t="inlineStr">
        <ns0:is>
          <ns0:t>9898 HK Equity</ns0:t>
        </ns0:is>
      </ns0:c>
      <ns0:c r="B156">
        <ns0:f>IF('IPO Live'!$A156="","",BDP('IPO Live'!$A156,"PX_YEST_CLOSE"))</ns0:f>
        <ns0:v/>
      </ns0:c>
    </ns0:row>
    <ns0:row r="157">
      <ns0:c r="A157" t="inlineStr">
        <ns0:is>
          <ns0:t>1956 HK Equity</ns0:t>
        </ns0:is>
      </ns0:c>
      <ns0:c r="B157">
        <ns0:f>IF('IPO Live'!$A157="","",BDP('IPO Live'!$A157,"PX_YEST_CLOSE"))</ns0:f>
        <ns0:v/>
      </ns0:c>
    </ns0:row>
    <ns0:row r="158">
      <ns0:c r="A158" t="inlineStr">
        <ns0:is>
          <ns0:t>1879 HK Equity</ns0:t>
        </ns0:is>
      </ns0:c>
      <ns0:c r="B158">
        <ns0:f>IF('IPO Live'!$A158="","",BDP('IPO Live'!$A158,"PX_YEST_CLOSE"))</ns0:f>
        <ns0:v/>
      </ns0:c>
    </ns0:row>
    <ns0:row r="159">
      <ns0:c r="A159" t="inlineStr">
        <ns0:is>
          <ns0:t>2619 HK Equity</ns0:t>
        </ns0:is>
      </ns0:c>
      <ns0:c r="B159">
        <ns0:f>IF('IPO Live'!$A159="","",BDP('IPO Live'!$A159,"PX_YEST_CLOSE"))</ns0:f>
        <ns0:v/>
      </ns0:c>
    </ns0:row>
    <ns0:row r="160">
      <ns0:c r="A160" t="inlineStr">
        <ns0:is>
          <ns0:t>2392 HK Equity</ns0:t>
        </ns0:is>
      </ns0:c>
      <ns0:c r="B160">
        <ns0:f>IF('IPO Live'!$A160="","",BDP('IPO Live'!$A160,"PX_YEST_CLOSE"))</ns0:f>
        <ns0:v/>
      </ns0:c>
    </ns0:row>
    <ns0:row r="161">
      <ns0:c r="A161" t="inlineStr">
        <ns0:is>
          <ns0:t>3317 HK Equity</ns0:t>
        </ns0:is>
      </ns0:c>
      <ns0:c r="B161">
        <ns0:f>IF('IPO Live'!$A161="","",BDP('IPO Live'!$A161,"PX_YEST_CLOSE"))</ns0:f>
        <ns0:v/>
      </ns0:c>
    </ns0:row>
    <ns0:row r="162">
      <ns0:c r="A162" t="inlineStr">
        <ns0:is>
          <ns0:t>2597 HK Equity</ns0:t>
        </ns0:is>
      </ns0:c>
      <ns0:c r="B162">
        <ns0:f>IF('IPO Live'!$A162="","",BDP('IPO Live'!$A162,"PX_YEST_CLOSE"))</ns0:f>
        <ns0:v/>
      </ns0:c>
    </ns0:row>
    <ns0:row r="163">
      <ns0:c r="A163" t="inlineStr">
        <ns0:is>
          <ns0:t>2209 HK Equity</ns0:t>
        </ns0:is>
      </ns0:c>
      <ns0:c r="B163">
        <ns0:f>IF('IPO Live'!$A163="","",BDP('IPO Live'!$A163,"PX_YEST_CLOSE"))</ns0:f>
        <ns0:v/>
      </ns0:c>
    </ns0:row>
    <ns0:row r="164">
      <ns0:c r="A164" t="inlineStr">
        <ns0:is>
          <ns0:t>2670 HK Equity</ns0:t>
        </ns0:is>
      </ns0:c>
      <ns0:c r="B164">
        <ns0:f>IF('IPO Live'!$A164="","",BDP('IPO Live'!$A164,"PX_YEST_CLOSE"))</ns0:f>
        <ns0:v/>
      </ns0:c>
    </ns0:row>
    <ns0:row r="165">
      <ns0:c r="A165" t="inlineStr">
        <ns0:is>
          <ns0:t>2390 HK Equity</ns0:t>
        </ns0:is>
      </ns0:c>
      <ns0:c r="B165">
        <ns0:f>IF('IPO Live'!$A165="","",BDP('IPO Live'!$A165,"PX_YEST_CLOSE"))</ns0:f>
        <ns0:v/>
      </ns0:c>
    </ns0:row>
    <ns0:row r="166">
      <ns0:c r="A166" t="inlineStr">
        <ns0:is>
          <ns0:t>2420 HK Equity</ns0:t>
        </ns0:is>
      </ns0:c>
      <ns0:c r="B166">
        <ns0:f>IF('IPO Live'!$A166="","",BDP('IPO Live'!$A166,"PX_YEST_CLOSE"))</ns0:f>
        <ns0:v/>
      </ns0:c>
    </ns0:row>
    <ns0:row r="167">
      <ns0:c r="A167" t="inlineStr">
        <ns0:is>
          <ns0:t>3308 HK Equity</ns0:t>
        </ns0:is>
      </ns0:c>
      <ns0:c r="B167">
        <ns0:f>IF('IPO Live'!$A167="","",BDP('IPO Live'!$A167,"PX_YEST_CLOSE"))</ns0:f>
        <ns0:v/>
      </ns0:c>
    </ns0:row>
    <ns0:row r="168">
      <ns0:c r="A168" t="inlineStr">
        <ns0:is>
          <ns0:t>2656 HK Equity</ns0:t>
        </ns0:is>
      </ns0:c>
      <ns0:c r="B168">
        <ns0:f>IF('IPO Live'!$A168="","",BDP('IPO Live'!$A168,"PX_YEST_CLOSE"))</ns0:f>
        <ns0:v/>
      </ns0:c>
    </ns0:row>
    <ns0:row r="169">
      <ns0:c r="A169" t="inlineStr">
        <ns0:is>
          <ns0:t>1244 HK Equity</ns0:t>
        </ns0:is>
      </ns0:c>
      <ns0:c r="B169">
        <ns0:f>IF('IPO Live'!$A169="","",BDP('IPO Live'!$A169,"PX_YEST_CLOSE"))</ns0:f>
        <ns0:v/>
      </ns0:c>
    </ns0:row>
    <ns0:row r="170">
      <ns0:c r="A170" t="inlineStr">
        <ns0:is>
          <ns0:t>2627 HK Equity</ns0:t>
        </ns0:is>
      </ns0:c>
      <ns0:c r="B170">
        <ns0:f>IF('IPO Live'!$A170="","",BDP('IPO Live'!$A170,"PX_YEST_CLOSE"))</ns0:f>
        <ns0:v/>
      </ns0:c>
    </ns0:row>
    <ns0:row r="171">
      <ns0:c r="A171" t="inlineStr">
        <ns0:is>
          <ns0:t>2256 HK Equity</ns0:t>
        </ns0:is>
      </ns0:c>
      <ns0:c r="B171">
        <ns0:f>IF('IPO Live'!$A171="","",BDP('IPO Live'!$A171,"PX_YEST_CLOSE"))</ns0:f>
        <ns0:v/>
      </ns0:c>
    </ns0:row>
    <ns0:row r="172">
      <ns0:c r="A172" t="inlineStr">
        <ns0:is>
          <ns0:t>6669 HK Equity</ns0:t>
        </ns0:is>
      </ns0:c>
      <ns0:c r="B172">
        <ns0:f>IF('IPO Live'!$A172="","",BDP('IPO Live'!$A172,"PX_YEST_CLOSE"))</ns0:f>
        <ns0:v/>
      </ns0:c>
    </ns0:row>
    <ns0:row r="173">
      <ns0:c r="A173" t="inlineStr">
        <ns0:is>
          <ns0:t>9860 HK Equity</ns0:t>
        </ns0:is>
      </ns0:c>
      <ns0:c r="B173">
        <ns0:f>IF('IPO Live'!$A173="","",BDP('IPO Live'!$A173,"PX_YEST_CLOSE"))</ns0:f>
        <ns0:v/>
      </ns0:c>
    </ns0:row>
    <ns0:row r="174">
      <ns0:c r="A174" t="inlineStr">
        <ns0:is>
          <ns0:t>6660 HK Equity</ns0:t>
        </ns0:is>
      </ns0:c>
      <ns0:c r="B174">
        <ns0:f>IF('IPO Live'!$A174="","",BDP('IPO Live'!$A174,"PX_YEST_CLOSE"))</ns0:f>
        <ns0:v/>
      </ns0:c>
    </ns0:row>
    <ns0:row r="175">
      <ns0:c r="A175" t="inlineStr">
        <ns0:is>
          <ns0:t>2251 HK Equity</ns0:t>
        </ns0:is>
      </ns0:c>
      <ns0:c r="B175">
        <ns0:f>IF('IPO Live'!$A175="","",BDP('IPO Live'!$A175,"PX_YEST_CLOSE"))</ns0:f>
        <ns0:v/>
      </ns0:c>
    </ns0:row>
    <ns0:row r="176">
      <ns0:c r="A176" t="inlineStr">
        <ns0:is>
          <ns0:t>9637 HK Equity</ns0:t>
        </ns0:is>
      </ns0:c>
      <ns0:c r="B176">
        <ns0:f>IF('IPO Live'!$A176="","",BDP('IPO Live'!$A176,"PX_YEST_CLOSE"))</ns0:f>
        <ns0:v/>
      </ns0:c>
    </ns0:row>
    <ns0:row r="177">
      <ns0:c r="A177" t="inlineStr">
        <ns0:is>
          <ns0:t>6699 HK Equity</ns0:t>
        </ns0:is>
      </ns0:c>
      <ns0:c r="B177">
        <ns0:f>IF('IPO Live'!$A177="","",BDP('IPO Live'!$A177,"PX_YEST_CLOSE"))</ns0:f>
        <ns0:v/>
      </ns0:c>
    </ns0:row>
    <ns0:row r="178">
      <ns0:c r="A178" t="inlineStr">
        <ns0:is>
          <ns0:t>6639 HK Equity</ns0:t>
        </ns0:is>
      </ns0:c>
      <ns0:c r="B178">
        <ns0:f>IF('IPO Live'!$A178="","",BDP('IPO Live'!$A178,"PX_YEST_CLOSE"))</ns0:f>
        <ns0:v/>
      </ns0:c>
    </ns0:row>
    <ns0:row r="179">
      <ns0:c r="A179" t="inlineStr">
        <ns0:is>
          <ns0:t>6821 HK Equity</ns0:t>
        </ns0:is>
      </ns0:c>
      <ns0:c r="B179">
        <ns0:f>IF('IPO Live'!$A179="","",BDP('IPO Live'!$A179,"PX_YEST_CLOSE"))</ns0:f>
        <ns0:v/>
      </ns0:c>
    </ns0:row>
    <ns0:row r="180">
      <ns0:c r="A180" t="inlineStr">
        <ns0:is>
          <ns0:t>2396 HK Equity</ns0:t>
        </ns0:is>
      </ns0:c>
      <ns0:c r="B180">
        <ns0:f>IF('IPO Live'!$A180="","",BDP('IPO Live'!$A180,"PX_YEST_CLOSE"))</ns0:f>
        <ns0:v/>
      </ns0:c>
    </ns0:row>
    <ns0:row r="181">
      <ns0:c r="A181" t="inlineStr">
        <ns0:is>
          <ns0:t>2659 HK Equity</ns0:t>
        </ns0:is>
      </ns0:c>
      <ns0:c r="B181">
        <ns0:f>IF('IPO Live'!$A181="","",BDP('IPO Live'!$A181,"PX_YEST_CLOSE"))</ns0:f>
        <ns0:v/>
      </ns0:c>
    </ns0:row>
    <ns0:row r="182">
      <ns0:c r="A182" t="inlineStr">
        <ns0:is>
          <ns0:t>2170 HK Equity</ns0:t>
        </ns0:is>
      </ns0:c>
      <ns0:c r="B182">
        <ns0:f>IF('IPO Live'!$A182="","",BDP('IPO Live'!$A182,"PX_YEST_CLOSE"))</ns0:f>
        <ns0:v/>
      </ns0:c>
    </ns0:row>
    <ns0:row r="183">
      <ns0:c r="A183" t="inlineStr">
        <ns0:is>
          <ns0:t>2609 HK Equity</ns0:t>
        </ns0:is>
      </ns0:c>
      <ns0:c r="B183">
        <ns0:f>IF('IPO Live'!$A183="","",BDP('IPO Live'!$A183,"PX_YEST_CLOSE"))</ns0:f>
        <ns0:v/>
      </ns0:c>
    </ns0:row>
    <ns0:row r="184">
      <ns0:c r="A184" t="inlineStr">
        <ns0:is>
          <ns0:t>2315 HK Equity</ns0:t>
        </ns0:is>
      </ns0:c>
      <ns0:c r="B184">
        <ns0:f>IF('IPO Live'!$A184="","",BDP('IPO Live'!$A184,"PX_YEST_CLOSE"))</ns0:f>
        <ns0:v/>
      </ns0:c>
    </ns0:row>
    <ns0:row r="185">
      <ns0:c r="A185" t="inlineStr">
        <ns0:is>
          <ns0:t>2185 HK Equity</ns0:t>
        </ns0:is>
      </ns0:c>
      <ns0:c r="B185">
        <ns0:f>IF('IPO Live'!$A185="","",BDP('IPO Live'!$A185,"PX_YEST_CLOSE"))</ns0:f>
        <ns0:v/>
      </ns0:c>
    </ns0:row>
    <ns0:row r="186">
      <ns0:c r="A186" t="inlineStr">
        <ns0:is>
          <ns0:t>2563 HK Equity</ns0:t>
        </ns0:is>
      </ns0:c>
      <ns0:c r="B186">
        <ns0:f>IF('IPO Live'!$A186="","",BDP('IPO Live'!$A186,"PX_YEST_CLOSE"))</ns0:f>
        <ns0:v/>
      </ns0:c>
    </ns0:row>
    <ns0:row r="187">
      <ns0:c r="A187" t="inlineStr">
        <ns0:is>
          <ns0:t>6955 HK Equity</ns0:t>
        </ns0:is>
      </ns0:c>
      <ns0:c r="B187">
        <ns0:f>IF('IPO Live'!$A187="","",BDP('IPO Live'!$A187,"PX_YEST_CLOSE"))</ns0:f>
        <ns0:v/>
      </ns0:c>
    </ns0:row>
    <ns0:row r="188">
      <ns0:c r="A188" t="inlineStr">
        <ns0:is>
          <ns0:t>6681 HK Equity</ns0:t>
        </ns0:is>
      </ns0:c>
      <ns0:c r="B188">
        <ns0:f>IF('IPO Live'!$A188="","",BDP('IPO Live'!$A188,"PX_YEST_CLOSE"))</ns0:f>
        <ns0:v/>
      </ns0:c>
    </ns0:row>
    <ns0:row r="189">
      <ns0:c r="A189" t="inlineStr">
        <ns0:is>
          <ns0:t>2137 HK Equity</ns0:t>
        </ns0:is>
      </ns0:c>
      <ns0:c r="B189">
        <ns0:f>IF('IPO Live'!$A189="","",BDP('IPO Live'!$A189,"PX_YEST_CLOSE"))</ns0:f>
        <ns0:v/>
      </ns0:c>
    </ns0:row>
    <ns0:row r="190">
      <ns0:c r="A190" t="inlineStr">
        <ns0:is>
          <ns0:t>2216 HK Equity</ns0:t>
        </ns0:is>
      </ns0:c>
      <ns0:c r="B190">
        <ns0:f>IF('IPO Live'!$A190="","",BDP('IPO Live'!$A190,"PX_YEST_CLOSE"))</ns0:f>
        <ns0:v/>
      </ns0:c>
    </ns0:row>
    <ns0:row r="191">
      <ns0:c r="A191" t="inlineStr">
        <ns0:is>
          <ns0:t>1228 HK Equity</ns0:t>
        </ns0:is>
      </ns0:c>
      <ns0:c r="B191">
        <ns0:f>IF('IPO Live'!$A191="","",BDP('IPO Live'!$A191,"PX_YEST_CLOSE"))</ns0:f>
        <ns0:v/>
      </ns0:c>
    </ns0:row>
    <ns0:row r="192">
      <ns0:c r="A192" t="inlineStr">
        <ns0:is>
          <ns0:t>2160 HK Equity</ns0:t>
        </ns0:is>
      </ns0:c>
      <ns0:c r="B192">
        <ns0:f>IF('IPO Live'!$A192="","",BDP('IPO Live'!$A192,"PX_YEST_CLOSE"))</ns0:f>
        <ns0:v/>
      </ns0:c>
    </ns0:row>
    <ns0:row r="193">
      <ns0:c r="A193" t="inlineStr">
        <ns0:is>
          <ns0:t>2171 HK Equity</ns0:t>
        </ns0:is>
      </ns0:c>
      <ns0:c r="B193">
        <ns0:f>IF('IPO Live'!$A193="","",BDP('IPO Live'!$A193,"PX_YEST_CLOSE"))</ns0:f>
        <ns0:v/>
      </ns0:c>
    </ns0:row>
    <ns0:row r="194">
      <ns0:c r="A194" t="inlineStr">
        <ns0:is>
          <ns0:t>2652 HK Equity</ns0:t>
        </ns0:is>
      </ns0:c>
      <ns0:c r="B194">
        <ns0:f>IF('IPO Live'!$A194="","",BDP('IPO Live'!$A194,"PX_YEST_CLOSE"))</ns0:f>
        <ns0:v/>
      </ns0:c>
    </ns0:row>
    <ns0:row r="195">
      <ns0:c r="A195" t="inlineStr">
        <ns0:is>
          <ns0:t>2219 HK Equity</ns0:t>
        </ns0:is>
      </ns0:c>
      <ns0:c r="B195">
        <ns0:f>IF('IPO Live'!$A195="","",BDP('IPO Live'!$A195,"PX_YEST_CLOSE"))</ns0:f>
        <ns0:v/>
      </ns0:c>
    </ns0:row>
    <ns0:row r="196">
      <ns0:c r="A196" t="inlineStr">
        <ns0:is>
          <ns0:t>1406 HK Equity</ns0:t>
        </ns0:is>
      </ns0:c>
      <ns0:c r="B196">
        <ns0:f>IF('IPO Live'!$A196="","",BDP('IPO Live'!$A196,"PX_YEST_CLOSE"))</ns0:f>
        <ns0:v/>
      </ns0:c>
    </ns0:row>
    <ns0:row r="197">
      <ns0:c r="A197" t="inlineStr">
        <ns0:is>
          <ns0:t>2592 HK Equity</ns0:t>
        </ns0:is>
      </ns0:c>
      <ns0:c r="B197">
        <ns0:f>IF('IPO Live'!$A197="","",BDP('IPO Live'!$A197,"PX_YEST_CLOSE"))</ns0:f>
        <ns0:v/>
      </ns0:c>
    </ns0:row>
    <ns0:row r="198">
      <ns0:c r="A198" t="inlineStr">
        <ns0:is>
          <ns0:t>9955 HK Equity</ns0:t>
        </ns0:is>
      </ns0:c>
      <ns0:c r="B198">
        <ns0:f>IF('IPO Live'!$A198="","",BDP('IPO Live'!$A198,"PX_YEST_CLOSE"))</ns0:f>
        <ns0:v/>
      </ns0:c>
    </ns0:row>
    <ns0:row r="199">
      <ns0:c r="A199" t="inlineStr">
        <ns0:is>
          <ns0:t>2197 HK Equity</ns0:t>
        </ns0:is>
      </ns0:c>
      <ns0:c r="B199">
        <ns0:f>IF('IPO Live'!$A199="","",BDP('IPO Live'!$A199,"PX_YEST_CLOSE"))</ns0:f>
        <ns0:v/>
      </ns0:c>
    </ns0:row>
    <ns0:row r="200">
      <ns0:c r="A200" t="inlineStr">
        <ns0:is>
          <ns0:t>1187 HK Equity</ns0:t>
        </ns0:is>
      </ns0:c>
      <ns0:c r="B200">
        <ns0:f>IF('IPO Live'!$A200="","",BDP('IPO Live'!$A200,"PX_YEST_CLOSE"))</ns0:f>
        <ns0:v/>
      </ns0:c>
    </ns0:row>
    <ns0:row r="201">
      <ns0:c r="A201" t="inlineStr">
        <ns0:is>
          <ns0:t>2276 HK Equity</ns0:t>
        </ns0:is>
      </ns0:c>
      <ns0:c r="B201">
        <ns0:f>IF('IPO Live'!$A201="","",BDP('IPO Live'!$A201,"PX_YEST_CLOSE"))</ns0:f>
        <ns0:v/>
      </ns0:c>
    </ns0:row>
    <ns0:row r="202">
      <ns0:c r="A202" t="inlineStr">
        <ns0:is>
          <ns0:t>2453 HK Equity</ns0:t>
        </ns0:is>
      </ns0:c>
      <ns0:c r="B202">
        <ns0:f>IF('IPO Live'!$A202="","",BDP('IPO Live'!$A202,"PX_YEST_CLOSE"))</ns0:f>
        <ns0:v/>
      </ns0:c>
    </ns0:row>
    <ns0:row r="203">
      <ns0:c r="A203" t="inlineStr">
        <ns0:is>
          <ns0:t>6922 HK Equity</ns0:t>
        </ns0:is>
      </ns0:c>
      <ns0:c r="B203">
        <ns0:f>IF('IPO Live'!$A203="","",BDP('IPO Live'!$A203,"PX_YEST_CLOSE"))</ns0:f>
        <ns0:v/>
      </ns0:c>
    </ns0:row>
    <ns0:row r="204">
      <ns0:c r="A204" t="inlineStr">
        <ns0:is>
          <ns0:t>2487 HK Equity</ns0:t>
        </ns0:is>
      </ns0:c>
      <ns0:c r="B204">
        <ns0:f>IF('IPO Live'!$A204="","",BDP('IPO Live'!$A204,"PX_YEST_CLOSE"))</ns0:f>
        <ns0:v/>
      </ns0:c>
    </ns0:row>
    <ns0:row r="205">
      <ns0:c r="A205" t="inlineStr">
        <ns0:is>
          <ns0:t>2651 HK Equity</ns0:t>
        </ns0:is>
      </ns0:c>
      <ns0:c r="B205">
        <ns0:f>IF('IPO Live'!$A205="","",BDP('IPO Live'!$A205,"PX_YEST_CLOSE"))</ns0:f>
        <ns0:v/>
      </ns0:c>
    </ns0:row>
    <ns0:row r="206">
      <ns0:c r="A206" t="inlineStr">
        <ns0:is>
          <ns0:t>2526 HK Equity</ns0:t>
        </ns0:is>
      </ns0:c>
      <ns0:c r="B206">
        <ns0:f>IF('IPO Live'!$A206="","",BDP('IPO Live'!$A206,"PX_YEST_CLOSE"))</ns0:f>
        <ns0:v/>
      </ns0:c>
    </ns0:row>
    <ns0:row r="207">
      <ns0:c r="A207" t="inlineStr">
        <ns0:is>
          <ns0:t>9886 HK Equity</ns0:t>
        </ns0:is>
      </ns0:c>
      <ns0:c r="B207">
        <ns0:f>IF('IPO Live'!$A207="","",BDP('IPO Live'!$A207,"PX_YEST_CLOSE"))</ns0:f>
        <ns0:v/>
      </ns0:c>
    </ns0:row>
    <ns0:row r="208">
      <ns0:c r="A208" t="inlineStr">
        <ns0:is>
          <ns0:t>2677 HK Equity</ns0:t>
        </ns0:is>
      </ns0:c>
      <ns0:c r="B208">
        <ns0:f>IF('IPO Live'!$A208="","",BDP('IPO Live'!$A208,"PX_YEST_CLOSE"))</ns0:f>
        <ns0:v/>
      </ns0:c>
    </ns0:row>
    <ns0:row r="209">
      <ns0:c r="A209" t="inlineStr">
        <ns0:is>
          <ns0:t>9606 HK Equity</ns0:t>
        </ns0:is>
      </ns0:c>
      <ns0:c r="B209">
        <ns0:f>IF('IPO Live'!$A209="","",BDP('IPO Live'!$A209,"PX_YEST_CLOSE"))</ns0:f>
        <ns0:v/>
      </ns0:c>
    </ns0:row>
    <ns0:row r="210">
      <ns0:c r="A210" t="inlineStr">
        <ns0:is>
          <ns0:t>2675 HK Equity</ns0:t>
        </ns0:is>
      </ns0:c>
      <ns0:c r="B210">
        <ns0:f>IF('IPO Live'!$A210="","",BDP('IPO Live'!$A210,"PX_YEST_CLOSE"))</ns0:f>
        <ns0:v/>
      </ns0:c>
    </ns0:row>
    <ns0:row r="211">
      <ns0:c r="A211" t="inlineStr">
        <ns0:is>
          <ns0:t>6086 HK Equity</ns0:t>
        </ns0:is>
      </ns0:c>
      <ns0:c r="B211">
        <ns0:f>IF('IPO Live'!$A211="","",BDP('IPO Live'!$A211,"PX_YEST_CLOSE"))</ns0:f>
        <ns0:v/>
      </ns0:c>
    </ns0:row>
    <ns0:row r="212">
      <ns0:c r="A212" t="inlineStr">
        <ns0:is>
          <ns0:t>2407 HK Equity</ns0:t>
        </ns0:is>
      </ns0:c>
      <ns0:c r="B212">
        <ns0:f>IF('IPO Live'!$A212="","",BDP('IPO Live'!$A212,"PX_YEST_CLOSE"))</ns0:f>
        <ns0:v/>
      </ns0:c>
    </ns0:row>
    <ns0:row r="213">
      <ns0:c r="A213" t="inlineStr">
        <ns0:is>
          <ns0:t>2595 HK Equity</ns0:t>
        </ns0:is>
      </ns0:c>
      <ns0:c r="B213">
        <ns0:f>IF('IPO Live'!$A213="","",BDP('IPO Live'!$A213,"PX_YEST_CLOSE"))</ns0:f>
        <ns0:v/>
      </ns0:c>
    </ns0:row>
    <ns0:row r="214">
      <ns0:c r="A214" t="inlineStr">
        <ns0:is>
          <ns0:t>2427 HK Equity</ns0:t>
        </ns0:is>
      </ns0:c>
      <ns0:c r="B214">
        <ns0:f>IF('IPO Live'!$A214="","",BDP('IPO Live'!$A214,"PX_YEST_CLOSE"))</ns0:f>
        <ns0:v/>
      </ns0:c>
    </ns0:row>
    <ns0:row r="215">
      <ns0:c r="A215" t="inlineStr">
        <ns0:is>
          <ns0:t>2273 HK Equity</ns0:t>
        </ns0:is>
      </ns0:c>
      <ns0:c r="B215">
        <ns0:f>IF('IPO Live'!$A215="","",BDP('IPO Live'!$A215,"PX_YEST_CLOSE"))</ns0:f>
        <ns0:v/>
      </ns0:c>
    </ns0:row>
    <ns0:row r="216">
      <ns0:c r="A216" t="inlineStr">
        <ns0:is>
          <ns0:t>2637 HK Equity</ns0:t>
        </ns0:is>
      </ns0:c>
      <ns0:c r="B216">
        <ns0:f>IF('IPO Live'!$A216="","",BDP('IPO Live'!$A216,"PX_YEST_CLOSE"))</ns0:f>
        <ns0:v/>
      </ns0:c>
    </ns0:row>
    <ns0:row r="217">
      <ns0:c r="A217" t="inlineStr">
        <ns0:is>
          <ns0:t>3378 HK Equity</ns0:t>
        </ns0:is>
      </ns0:c>
      <ns0:c r="B217">
        <ns0:f>IF('IPO Live'!$A217="","",BDP('IPO Live'!$A217,"PX_YEST_CLOSE"))</ns0:f>
        <ns0:v/>
      </ns0:c>
    </ns0:row>
    <ns0:row r="218">
      <ns0:c r="A218" t="inlineStr">
        <ns0:is>
          <ns0:t>2587 HK Equity</ns0:t>
        </ns0:is>
      </ns0:c>
      <ns0:c r="B218">
        <ns0:f>IF('IPO Live'!$A218="","",BDP('IPO Live'!$A218,"PX_YEST_CLOSE"))</ns0:f>
        <ns0:v/>
      </ns0:c>
    </ns0:row>
    <ns0:row r="219">
      <ns0:c r="A219" t="inlineStr">
        <ns0:is>
          <ns0:t>6609 HK Equity</ns0:t>
        </ns0:is>
      </ns0:c>
      <ns0:c r="B219">
        <ns0:f>IF('IPO Live'!$A219="","",BDP('IPO Live'!$A219,"PX_YEST_CLOSE"))</ns0:f>
        <ns0:v/>
      </ns0:c>
    </ns0:row>
    <ns0:row r="220">
      <ns0:c r="A220" t="inlineStr">
        <ns0:is>
          <ns0:t>1276 HK Equity</ns0:t>
        </ns0:is>
      </ns0:c>
      <ns0:c r="B220">
        <ns0:f>IF('IPO Live'!$A220="","",BDP('IPO Live'!$A220,"PX_YEST_CLOSE"))</ns0:f>
        <ns0:v/>
      </ns0:c>
    </ns0:row>
    <ns0:row r="221">
      <ns0:c r="A221" t="inlineStr">
        <ns0:is>
          <ns0:t>2593 HK Equity</ns0:t>
        </ns0:is>
      </ns0:c>
      <ns0:c r="B221">
        <ns0:f>IF('IPO Live'!$A221="","",BDP('IPO Live'!$A221,"PX_YEST_CLOSE"))</ns0:f>
        <ns0:v/>
      </ns0:c>
    </ns0:row>
    <ns0:row r="222">
      <ns0:c r="A222" t="inlineStr">
        <ns0:is>
          <ns0:t>2511 HK Equity</ns0:t>
        </ns0:is>
      </ns0:c>
      <ns0:c r="B222">
        <ns0:f>IF('IPO Live'!$A222="","",BDP('IPO Live'!$A222,"PX_YEST_CLOSE"))</ns0:f>
        <ns0:v/>
      </ns0:c>
    </ns0:row>
    <ns0:row r="223">
      <ns0:c r="A223" t="inlineStr">
        <ns0:is>
          <ns0:t>6132 HK Equity</ns0:t>
        </ns0:is>
      </ns0:c>
      <ns0:c r="B223">
        <ns0:f>IF('IPO Live'!$A223="","",BDP('IPO Live'!$A223,"PX_YEST_CLOSE"))</ns0:f>
        <ns0:v/>
      </ns0:c>
    </ns0:row>
    <ns0:row r="224">
      <ns0:c r="A224" t="inlineStr">
        <ns0:is>
          <ns0:t>13 HK Equity</ns0:t>
        </ns0:is>
      </ns0:c>
      <ns0:c r="B224">
        <ns0:f>IF('IPO Live'!$A224="","",BDP('IPO Live'!$A224,"PX_YEST_CLOSE"))</ns0:f>
        <ns0:v/>
      </ns0:c>
    </ns0:row>
    <ns0:row r="225">
      <ns0:c r="A225" t="inlineStr">
        <ns0:is>
          <ns0:t>1541 HK Equity</ns0:t>
        </ns0:is>
      </ns0:c>
      <ns0:c r="B225">
        <ns0:f>IF('IPO Live'!$A225="","",BDP('IPO Live'!$A225,"PX_YEST_CLOSE"))</ns0:f>
        <ns0:v/>
      </ns0:c>
    </ns0:row>
    <ns0:row r="226">
      <ns0:c r="A226" t="inlineStr">
        <ns0:is>
          <ns0:t>7630 HK Equity</ns0:t>
        </ns0:is>
      </ns0:c>
      <ns0:c r="B226">
        <ns0:f>IF('IPO Live'!$A226="","",BDP('IPO Live'!$A226,"PX_YEST_CLOSE"))</ns0:f>
        <ns0:v/>
      </ns0:c>
    </ns0:row>
    <ns0:row r="227">
      <ns0:c r="A227" t="inlineStr">
        <ns0:is>
          <ns0:t>2591 HK Equity</ns0:t>
        </ns0:is>
      </ns0:c>
      <ns0:c r="B227">
        <ns0:f>IF('IPO Live'!$A227="","",BDP('IPO Live'!$A227,"PX_YEST_CLOSE"))</ns0:f>
        <ns0:v/>
      </ns0:c>
    </ns0:row>
    <ns0:row r="228">
      <ns0:c r="A228" t="inlineStr">
        <ns0:is>
          <ns0:t>2161 HK Equity</ns0:t>
        </ns0:is>
      </ns0:c>
      <ns0:c r="B228">
        <ns0:f>IF('IPO Live'!$A228="","",BDP('IPO Live'!$A228,"PX_YEST_CLOSE"))</ns0:f>
        <ns0:v/>
      </ns0:c>
    </ns0:row>
    <ns0:row r="229">
      <ns0:c r="A229" t="inlineStr">
        <ns0:is>
          <ns0:t>9877 HK Equity</ns0:t>
        </ns0:is>
      </ns0:c>
      <ns0:c r="B229">
        <ns0:f>IF('IPO Live'!$A229="","",BDP('IPO Live'!$A229,"PX_YEST_CLOSE"))</ns0:f>
        <ns0:v/>
      </ns0:c>
    </ns0:row>
    <ns0:row r="230">
      <ns0:c r="A230" t="inlineStr">
        <ns0:is>
          <ns0:t>6915 HK Equity</ns0:t>
        </ns0:is>
      </ns0:c>
      <ns0:c r="B230">
        <ns0:f>IF('IPO Live'!$A230="","",BDP('IPO Live'!$A230,"PX_YEST_CLOSE"))</ns0:f>
        <ns0:v/>
      </ns0:c>
    </ns0:row>
    <ns0:row r="231">
      <ns0:c r="A231" t="inlineStr">
        <ns0:is>
          <ns0:t>2566 HK Equity</ns0:t>
        </ns0:is>
      </ns0:c>
      <ns0:c r="B231">
        <ns0:f>IF('IPO Live'!$A231="","",BDP('IPO Live'!$A231,"PX_YEST_CLOSE"))</ns0:f>
        <ns0:v/>
      </ns0:c>
    </ns0:row>
    <ns0:row r="232">
      <ns0:c r="A232" t="inlineStr">
        <ns0:is>
          <ns0:t>6127 HK Equity</ns0:t>
        </ns0:is>
      </ns0:c>
      <ns0:c r="B232">
        <ns0:f>IF('IPO Live'!$A232="","",BDP('IPO Live'!$A232,"PX_YEST_CLOSE"))</ns0:f>
        <ns0:v/>
      </ns0:c>
    </ns0:row>
    <ns0:row r="233">
      <ns0:c r="A233" t="inlineStr">
        <ns0:is>
          <ns0:t>2162 HK Equity</ns0:t>
        </ns0:is>
      </ns0:c>
      <ns0:c r="B233">
        <ns0:f>IF('IPO Live'!$A233="","",BDP('IPO Live'!$A233,"PX_YEST_CLOSE"))</ns0:f>
        <ns0:v/>
      </ns0:c>
    </ns0:row>
    <ns0:row r="234">
      <ns0:c r="A234" t="inlineStr">
        <ns0:is>
          <ns0:t>9960 HK Equity</ns0:t>
        </ns0:is>
      </ns0:c>
      <ns0:c r="B234">
        <ns0:f>IF('IPO Live'!$A234="","",BDP('IPO Live'!$A234,"PX_YEST_CLOSE"))</ns0:f>
        <ns0:v/>
      </ns0:c>
    </ns0:row>
    <ns0:row r="235">
      <ns0:c r="A235" t="inlineStr">
        <ns0:is>
          <ns0:t>2105 HK Equity</ns0:t>
        </ns0:is>
      </ns0:c>
      <ns0:c r="B235">
        <ns0:f>IF('IPO Live'!$A235="","",BDP('IPO Live'!$A235,"PX_YEST_CLOSE"))</ns0:f>
        <ns0:v/>
      </ns0:c>
    </ns0:row>
    <ns0:row r="236">
      <ns0:c r="A236" t="inlineStr">
        <ns0:is>
          <ns0:t>9887 HK Equity</ns0:t>
        </ns0:is>
      </ns0:c>
      <ns0:c r="B236">
        <ns0:f>IF('IPO Live'!$A236="","",BDP('IPO Live'!$A236,"PX_YEST_CLOSE"))</ns0:f>
        <ns0:v/>
      </ns0:c>
    </ns0:row>
    <ns0:row r="237">
      <ns0:c r="A237" t="inlineStr">
        <ns0:is>
          <ns0:t>2157 HK Equity</ns0:t>
        </ns0:is>
      </ns0:c>
      <ns0:c r="B237">
        <ns0:f>IF('IPO Live'!$A237="","",BDP('IPO Live'!$A237,"PX_YEST_CLOSE"))</ns0:f>
        <ns0:v/>
      </ns0:c>
    </ns0:row>
    <ns0:row r="238">
      <ns0:c r="A238" t="inlineStr">
        <ns0:is>
          <ns0:t>1779 HK Equity</ns0:t>
        </ns0:is>
      </ns0:c>
      <ns0:c r="B238">
        <ns0:f>IF('IPO Live'!$A238="","",BDP('IPO Live'!$A238,"PX_YEST_CLOSE"))</ns0:f>
        <ns0:v/>
      </ns0:c>
    </ns0:row>
    <ns0:row r="239">
      <ns0:c r="A239" t="inlineStr">
        <ns0:is>
          <ns0:t>2480 HK Equity</ns0:t>
        </ns0:is>
      </ns0:c>
      <ns0:c r="B239">
        <ns0:f>IF('IPO Live'!$A239="","",BDP('IPO Live'!$A239,"PX_YEST_CLOSE"))</ns0:f>
        <ns0:v/>
      </ns0:c>
    </ns0:row>
    <ns0:row r="240">
      <ns0:c r="A240" t="inlineStr">
        <ns0:is>
          <ns0:t>2493 HK Equity</ns0:t>
        </ns0:is>
      </ns0:c>
      <ns0:c r="B240">
        <ns0:f>IF('IPO Live'!$A240="","",BDP('IPO Live'!$A240,"PX_YEST_CLOSE"))</ns0:f>
        <ns0:v/>
      </ns0:c>
    </ns0:row>
    <ns0:row r="241">
      <ns0:c r="A241" t="inlineStr">
        <ns0:is>
          <ns0:t>2252 HK Equity</ns0:t>
        </ns0:is>
      </ns0:c>
      <ns0:c r="B241">
        <ns0:f>IF('IPO Live'!$A241="","",BDP('IPO Live'!$A241,"PX_YEST_CLOSE"))</ns0:f>
        <ns0:v/>
      </ns0:c>
    </ns0:row>
    <ns0:row r="242">
      <ns0:c r="A242" t="inlineStr">
        <ns0:is>
          <ns0:t>2041 HK Equity</ns0:t>
        </ns0:is>
      </ns0:c>
      <ns0:c r="B242">
        <ns0:f>IF('IPO Live'!$A242="","",BDP('IPO Live'!$A242,"PX_YEST_CLOSE"))</ns0:f>
        <ns0:v/>
      </ns0:c>
    </ns0:row>
    <ns0:row r="243">
      <ns0:c r="A243" t="inlineStr">
        <ns0:is>
          <ns0:t>2159 HK Equity</ns0:t>
        </ns0:is>
      </ns0:c>
      <ns0:c r="B243">
        <ns0:f>IF('IPO Live'!$A243="","",BDP('IPO Live'!$A243,"PX_YEST_CLOSE"))</ns0:f>
        <ns0:v/>
      </ns0:c>
    </ns0:row>
    <ns0:row r="244">
      <ns0:c r="A244" t="inlineStr">
        <ns0:is>
          <ns0:t>2192 HK Equity</ns0:t>
        </ns0:is>
      </ns0:c>
      <ns0:c r="B244">
        <ns0:f>IF('IPO Live'!$A244="","",BDP('IPO Live'!$A244,"PX_YEST_CLOSE"))</ns0:f>
        <ns0:v/>
      </ns0:c>
    </ns0:row>
    <ns0:row r="245">
      <ns0:c r="A245" t="inlineStr">
        <ns0:is>
          <ns0:t>2415 HK Equity</ns0:t>
        </ns0:is>
      </ns0:c>
      <ns0:c r="B245">
        <ns0:f>IF('IPO Live'!$A245="","",BDP('IPO Live'!$A245,"PX_YEST_CLOSE"))</ns0:f>
        <ns0:v/>
      </ns0:c>
    </ns0:row>
    <ns0:row r="246">
      <ns0:c r="A246" t="inlineStr">
        <ns0:is>
          <ns0:t>3880 HK Equity</ns0:t>
        </ns0:is>
      </ns0:c>
      <ns0:c r="B246">
        <ns0:f>IF('IPO Live'!$A246="","",BDP('IPO Live'!$A246,"PX_YEST_CLOSE"))</ns0:f>
        <ns0:v/>
      </ns0:c>
    </ns0:row>
    <ns0:row r="247">
      <ns0:c r="A247" t="inlineStr">
        <ns0:is>
          <ns0:t>6667 HK Equity</ns0:t>
        </ns0:is>
      </ns0:c>
      <ns0:c r="B247">
        <ns0:f>IF('IPO Live'!$A247="","",BDP('IPO Live'!$A247,"PX_YEST_CLOSE"))</ns0:f>
        <ns0:v/>
      </ns0:c>
    </ns0:row>
    <ns0:row r="248">
      <ns0:c r="A248" t="inlineStr">
        <ns0:is>
          <ns0:t>1947 HK Equity</ns0:t>
        </ns0:is>
      </ns0:c>
      <ns0:c r="B248">
        <ns0:f>IF('IPO Live'!$A248="","",BDP('IPO Live'!$A248,"PX_YEST_CLOSE"))</ns0:f>
        <ns0:v/>
      </ns0:c>
    </ns0:row>
    <ns0:row r="249">
      <ns0:c r="A249" t="inlineStr">
        <ns0:is>
          <ns0:t>7666 HK Equity</ns0:t>
        </ns0:is>
      </ns0:c>
      <ns0:c r="B249">
        <ns0:f>IF('IPO Live'!$A249="","",BDP('IPO Live'!$A249,"PX_YEST_CLOSE"))</ns0:f>
        <ns0:v/>
      </ns0:c>
    </ns0:row>
    <ns0:row r="250">
      <ns0:c r="A250" t="inlineStr">
        <ns0:is>
          <ns0:t>2335 HK Equity</ns0:t>
        </ns0:is>
      </ns0:c>
      <ns0:c r="B250">
        <ns0:f>IF('IPO Live'!$A250="","",BDP('IPO Live'!$A250,"PX_YEST_CLOSE"))</ns0:f>
        <ns0:v/>
      </ns0:c>
    </ns0:row>
    <ns0:row r="251">
      <ns0:c r="A251" t="inlineStr">
        <ns0:is>
          <ns0:t>2172 HK Equity</ns0:t>
        </ns0:is>
      </ns0:c>
      <ns0:c r="B251">
        <ns0:f>IF('IPO Live'!$A251="","",BDP('IPO Live'!$A251,"PX_YEST_CLOSE"))</ns0:f>
        <ns0:v/>
      </ns0:c>
    </ns0:row>
    <ns0:row r="252">
      <ns0:c r="A252" t="inlineStr">
        <ns0:is>
          <ns0:t>2235 HK Equity</ns0:t>
        </ns0:is>
      </ns0:c>
      <ns0:c r="B252">
        <ns0:f>IF('IPO Live'!$A252="","",BDP('IPO Live'!$A252,"PX_YEST_CLOSE"))</ns0:f>
        <ns0:v/>
      </ns0:c>
    </ns0:row>
    <ns0:row r="253">
      <ns0:c r="A253" t="inlineStr">
        <ns0:is>
          <ns0:t>2629 HK Equity</ns0:t>
        </ns0:is>
      </ns0:c>
      <ns0:c r="B253">
        <ns0:f>IF('IPO Live'!$A253="","",BDP('IPO Live'!$A253,"PX_YEST_CLOSE"))</ns0:f>
        <ns0:v/>
      </ns0:c>
    </ns0:row>
    <ns0:row r="254">
      <ns0:c r="A254" t="inlineStr">
        <ns0:is>
          <ns0:t>1643 HK Equity</ns0:t>
        </ns0:is>
      </ns0:c>
      <ns0:c r="B254">
        <ns0:f>IF('IPO Live'!$A254="","",BDP('IPO Live'!$A254,"PX_YEST_CLOSE"))</ns0:f>
        <ns0:v/>
      </ns0:c>
    </ns0:row>
    <ns0:row r="255">
      <ns0:c r="A255" t="inlineStr">
        <ns0:is>
          <ns0:t>9686 HK Equity</ns0:t>
        </ns0:is>
      </ns0:c>
      <ns0:c r="B255">
        <ns0:f>IF('IPO Live'!$A255="","",BDP('IPO Live'!$A255,"PX_YEST_CLOSE"))</ns0:f>
        <ns0:v/>
      </ns0:c>
    </ns0:row>
    <ns0:row r="256">
      <ns0:c r="A256" t="inlineStr">
        <ns0:is>
          <ns0:t>9600 HK Equity</ns0:t>
        </ns0:is>
      </ns0:c>
      <ns0:c r="B256">
        <ns0:f>IF('IPO Live'!$A256="","",BDP('IPO Live'!$A256,"PX_YEST_CLOSE"))</ns0:f>
        <ns0:v/>
      </ns0:c>
    </ns0:row>
    <ns0:row r="257">
      <ns0:c r="A257" t="inlineStr">
        <ns0:is>
          <ns0:t>6929 HK Equity</ns0:t>
        </ns0:is>
      </ns0:c>
      <ns0:c r="B257">
        <ns0:f>IF('IPO Live'!$A257="","",BDP('IPO Live'!$A257,"PX_YEST_CLOSE"))</ns0:f>
        <ns0:v/>
      </ns0:c>
    </ns0:row>
    <ns0:row r="258">
      <ns0:c r="A258" t="inlineStr">
        <ns0:is>
          <ns0:t>2565 HK Equity</ns0:t>
        </ns0:is>
      </ns0:c>
      <ns0:c r="B258">
        <ns0:f>IF('IPO Live'!$A258="","",BDP('IPO Live'!$A258,"PX_YEST_CLOSE"))</ns0:f>
        <ns0:v/>
      </ns0:c>
    </ns0:row>
    <ns0:row r="259">
      <ns0:c r="A259" t="inlineStr">
        <ns0:is>
          <ns0:t>2509 HK Equity</ns0:t>
        </ns0:is>
      </ns0:c>
      <ns0:c r="B259">
        <ns0:f>IF('IPO Live'!$A259="","",BDP('IPO Live'!$A259,"PX_YEST_CLOSE"))</ns0:f>
        <ns0:v/>
      </ns0:c>
    </ns0:row>
    <ns0:row r="260">
      <ns0:c r="A260" t="inlineStr">
        <ns0:is>
          <ns0:t>2297 HK Equity</ns0:t>
        </ns0:is>
      </ns0:c>
      <ns0:c r="B260">
        <ns0:f>IF('IPO Live'!$A260="","",BDP('IPO Live'!$A260,"PX_YEST_CLOSE"))</ns0:f>
        <ns0:v/>
      </ns0:c>
    </ns0:row>
    <ns0:row r="261">
      <ns0:c r="A261" t="inlineStr">
        <ns0:is>
          <ns0:t>2179 HK Equity</ns0:t>
        </ns0:is>
      </ns0:c>
      <ns0:c r="B261">
        <ns0:f>IF('IPO Live'!$A261="","",BDP('IPO Live'!$A261,"PX_YEST_CLOSE"))</ns0:f>
        <ns0:v/>
      </ns0:c>
    </ns0:row>
    <ns0:row r="262">
      <ns0:c r="A262" t="inlineStr">
        <ns0:is>
          <ns0:t>6938 HK Equity</ns0:t>
        </ns0:is>
      </ns0:c>
      <ns0:c r="B262">
        <ns0:f>IF('IPO Live'!$A262="","",BDP('IPO Live'!$A262,"PX_YEST_CLOSE"))</ns0:f>
        <ns0:v/>
      </ns0:c>
    </ns0:row>
    <ns0:row r="263">
      <ns0:c r="A263" t="inlineStr">
        <ns0:is>
          <ns0:t>2522 HK Equity</ns0:t>
        </ns0:is>
      </ns0:c>
      <ns0:c r="B263">
        <ns0:f>IF('IPO Live'!$A263="","",BDP('IPO Live'!$A263,"PX_YEST_CLOSE"))</ns0:f>
        <ns0:v/>
      </ns0:c>
    </ns0:row>
    <ns0:row r="264">
      <ns0:c r="A264" t="inlineStr">
        <ns0:is>
          <ns0:t>2508 HK Equity</ns0:t>
        </ns0:is>
      </ns0:c>
      <ns0:c r="B264">
        <ns0:f>IF('IPO Live'!$A264="","",BDP('IPO Live'!$A264,"PX_YEST_CLOSE"))</ns0:f>
        <ns0:v/>
      </ns0:c>
    </ns0:row>
    <ns0:row r="265">
      <ns0:c r="A265" t="inlineStr">
        <ns0:is>
          <ns0:t>2291 HK Equity</ns0:t>
        </ns0:is>
      </ns0:c>
      <ns0:c r="B265">
        <ns0:f>IF('IPO Live'!$A265="","",BDP('IPO Live'!$A265,"PX_YEST_CLOSE"))</ns0:f>
        <ns0:v/>
      </ns0:c>
    </ns0:row>
    <ns0:row r="266">
      <ns0:c r="A266" t="inlineStr">
        <ns0:is>
          <ns0:t>2361 HK Equity</ns0:t>
        </ns0:is>
      </ns0:c>
      <ns0:c r="B266">
        <ns0:f>IF('IPO Live'!$A266="","",BDP('IPO Live'!$A266,"PX_YEST_CLOSE"))</ns0:f>
        <ns0:v/>
      </ns0:c>
    </ns0:row>
    <ns0:row r="267">
      <ns0:c r="A267" t="inlineStr">
        <ns0:is>
          <ns0:t>314 HK Equity</ns0:t>
        </ns0:is>
      </ns0:c>
      <ns0:c r="B267">
        <ns0:f>IF('IPO Live'!$A267="","",BDP('IPO Live'!$A267,"PX_YEST_CLOSE"))</ns0:f>
        <ns0:v/>
      </ns0:c>
    </ns0:row>
    <ns0:row r="268">
      <ns0:c r="A268" t="inlineStr">
        <ns0:is>
          <ns0:t>2257 HK Equity</ns0:t>
        </ns0:is>
      </ns0:c>
      <ns0:c r="B268">
        <ns0:f>IF('IPO Live'!$A268="","",BDP('IPO Live'!$A268,"PX_YEST_CLOSE"))</ns0:f>
        <ns0:v/>
      </ns0:c>
    </ns0:row>
    <ns0:row r="269">
      <ns0:c r="A269" t="inlineStr">
        <ns0:is>
          <ns0:t>6990 HK Equity</ns0:t>
        </ns0:is>
      </ns0:c>
      <ns0:c r="B269">
        <ns0:f>IF('IPO Live'!$A269="","",BDP('IPO Live'!$A269,"PX_YEST_CLOSE"))</ns0:f>
        <ns0:v/>
      </ns0:c>
    </ns0:row>
    <ns0:row r="270">
      <ns0:c r="A270" t="inlineStr">
        <ns0:is>
          <ns0:t>1609 HK Equity</ns0:t>
        </ns0:is>
      </ns0:c>
      <ns0:c r="B270">
        <ns0:f>IF('IPO Live'!$A270="","",BDP('IPO Live'!$A270,"PX_YEST_CLOSE"))</ns0:f>
        <ns0:v/>
      </ns0:c>
    </ns0:row>
    <ns0:row r="271">
      <ns0:c r="A271" t="inlineStr">
        <ns0:is>
          <ns0:t>2898 HK Equity</ns0:t>
        </ns0:is>
      </ns0:c>
      <ns0:c r="B271">
        <ns0:f>IF('IPO Live'!$A271="","",BDP('IPO Live'!$A271,"PX_YEST_CLOSE"))</ns0:f>
        <ns0:v/>
      </ns0:c>
    </ns0:row>
    <ns0:row r="272">
      <ns0:c r="A272" t="inlineStr">
        <ns0:is>
          <ns0:t>6872 HK Equity</ns0:t>
        </ns0:is>
      </ns0:c>
      <ns0:c r="B272">
        <ns0:f>IF('IPO Live'!$A272="","",BDP('IPO Live'!$A272,"PX_YEST_CLOSE"))</ns0:f>
        <ns0:v/>
      </ns0:c>
    </ns0:row>
    <ns0:row r="273">
      <ns0:c r="A273" t="inlineStr">
        <ns0:is>
          <ns0:t>2697 HK Equity</ns0:t>
        </ns0:is>
      </ns0:c>
      <ns0:c r="B273">
        <ns0:f>IF('IPO Live'!$A273="","",BDP('IPO Live'!$A273,"PX_YEST_CLOSE"))</ns0:f>
        <ns0:v/>
      </ns0:c>
    </ns0:row>
    <ns0:row r="274">
      <ns0:c r="A274" t="inlineStr">
        <ns0:is>
          <ns0:t>2667 HK Equity</ns0:t>
        </ns0:is>
      </ns0:c>
      <ns0:c r="B274">
        <ns0:f>IF('IPO Live'!$A274="","",BDP('IPO Live'!$A274,"PX_YEST_CLOSE"))</ns0:f>
        <ns0:v/>
      </ns0:c>
    </ns0:row>
    <ns0:row r="275">
      <ns0:c r="A275" t="inlineStr">
        <ns0:is>
          <ns0:t>6628 HK Equity</ns0:t>
        </ns0:is>
      </ns0:c>
      <ns0:c r="B275">
        <ns0:f>IF('IPO Live'!$A275="","",BDP('IPO Live'!$A275,"PX_YEST_CLOSE"))</ns0:f>
        <ns0:v/>
      </ns0:c>
    </ns0:row>
    <ns0:row r="276">
      <ns0:c r="A276" t="inlineStr">
        <ns0:is>
          <ns0:t>2617 HK Equity</ns0:t>
        </ns0:is>
      </ns0:c>
      <ns0:c r="B276">
        <ns0:f>IF('IPO Live'!$A276="","",BDP('IPO Live'!$A276,"PX_YEST_CLOSE"))</ns0:f>
        <ns0:v/>
      </ns0:c>
    </ns0:row>
    <ns0:row r="277">
      <ns0:c r="A277" t="inlineStr">
        <ns0:is>
          <ns0:t>2410 HK Equity</ns0:t>
        </ns0:is>
      </ns0:c>
      <ns0:c r="B277">
        <ns0:f>IF('IPO Live'!$A277="","",BDP('IPO Live'!$A277,"PX_YEST_CLOSE"))</ns0:f>
        <ns0:v/>
      </ns0:c>
    </ns0:row>
    <ns0:row r="278">
      <ns0:c r="A278" t="inlineStr">
        <ns0:is>
          <ns0:t>2630 HK Equity</ns0:t>
        </ns0:is>
      </ns0:c>
      <ns0:c r="B278">
        <ns0:f>IF('IPO Live'!$A278="","",BDP('IPO Live'!$A278,"PX_YEST_CLOSE"))</ns0:f>
        <ns0:v/>
      </ns0:c>
    </ns0:row>
    <ns0:row r="279">
      <ns0:c r="A279" t="inlineStr">
        <ns0:is>
          <ns0:t>2561 HK Equity</ns0:t>
        </ns0:is>
      </ns0:c>
      <ns0:c r="B279">
        <ns0:f>IF('IPO Live'!$A279="","",BDP('IPO Live'!$A279,"PX_YEST_CLOSE"))</ns0:f>
        <ns0:v/>
      </ns0:c>
    </ns0:row>
    <ns0:row r="280">
      <ns0:c r="A280" t="inlineStr">
        <ns0:is>
          <ns0:t>2477 HK Equity</ns0:t>
        </ns0:is>
      </ns0:c>
      <ns0:c r="B280">
        <ns0:f>IF('IPO Live'!$A280="","",BDP('IPO Live'!$A280,"PX_YEST_CLOSE"))</ns0:f>
        <ns0:v/>
      </ns0:c>
    </ns0:row>
    <ns0:row r="281">
      <ns0:c r="A281" t="inlineStr">
        <ns0:is>
          <ns0:t>2268 HK Equity</ns0:t>
        </ns0:is>
      </ns0:c>
      <ns0:c r="B281">
        <ns0:f>IF('IPO Live'!$A281="","",BDP('IPO Live'!$A281,"PX_YEST_CLOSE"))</ns0:f>
        <ns0:v/>
      </ns0:c>
    </ns0:row>
    <ns0:row r="282">
      <ns0:c r="A282" t="inlineStr">
        <ns0:is>
          <ns0:t>2575 HK Equity</ns0:t>
        </ns0:is>
      </ns0:c>
      <ns0:c r="B282">
        <ns0:f>IF('IPO Live'!$A282="","",BDP('IPO Live'!$A282,"PX_YEST_CLOSE"))</ns0:f>
        <ns0:v/>
      </ns0:c>
    </ns0:row>
    <ns0:row r="283">
      <ns0:c r="A283" t="inlineStr">
        <ns0:is>
          <ns0:t>2506 HK Equity</ns0:t>
        </ns0:is>
      </ns0:c>
      <ns0:c r="B283">
        <ns0:f>IF('IPO Live'!$A283="","",BDP('IPO Live'!$A283,"PX_YEST_CLOSE"))</ns0:f>
        <ns0:v/>
      </ns0:c>
    </ns0:row>
    <ns0:row r="284">
      <ns0:c r="A284" t="inlineStr">
        <ns0:is>
          <ns0:t>2158 HK Equity</ns0:t>
        </ns0:is>
      </ns0:c>
      <ns0:c r="B284">
        <ns0:f>IF('IPO Live'!$A284="","",BDP('IPO Live'!$A284,"PX_YEST_CLOSE"))</ns0:f>
        <ns0:v/>
      </ns0:c>
    </ns0:row>
    <ns0:row r="285">
      <ns0:c r="A285" t="inlineStr">
        <ns0:is>
          <ns0:t>2279 HK Equity</ns0:t>
        </ns0:is>
      </ns0:c>
      <ns0:c r="B285">
        <ns0:f>IF('IPO Live'!$A285="","",BDP('IPO Live'!$A285,"PX_YEST_CLOSE"))</ns0:f>
        <ns0:v/>
      </ns0:c>
    </ns0:row>
    <ns0:row r="286">
      <ns0:c r="A286" t="inlineStr">
        <ns0:is>
          <ns0:t>9885 HK Equity</ns0:t>
        </ns0:is>
      </ns0:c>
      <ns0:c r="B286">
        <ns0:f>IF('IPO Live'!$A286="","",BDP('IPO Live'!$A286,"PX_YEST_CLOSE"))</ns0:f>
        <ns0:v/>
      </ns0:c>
    </ns0:row>
    <ns0:row r="287">
      <ns0:c r="A287" t="inlineStr">
        <ns0:is>
          <ns0:t>2325 HK Equity</ns0:t>
        </ns0:is>
      </ns0:c>
      <ns0:c r="B287">
        <ns0:f>IF('IPO Live'!$A287="","",BDP('IPO Live'!$A287,"PX_YEST_CLOSE"))</ns0:f>
        <ns0:v/>
      </ns0:c>
    </ns0:row>
    <ns0:row r="288">
      <ns0:c r="A288" t="inlineStr">
        <ns0:is>
          <ns0:t>2496 HK Equity</ns0:t>
        </ns0:is>
      </ns0:c>
      <ns0:c r="B288">
        <ns0:f>IF('IPO Live'!$A288="","",BDP('IPO Live'!$A288,"PX_YEST_CLOSE"))</ns0:f>
        <ns0:v/>
      </ns0:c>
    </ns0:row>
    <ns0:row r="289">
      <ns0:c r="A289" t="inlineStr">
        <ns0:is>
          <ns0:t>6622 HK Equity</ns0:t>
        </ns0:is>
      </ns0:c>
      <ns0:c r="B289">
        <ns0:f>IF('IPO Live'!$A289="","",BDP('IPO Live'!$A289,"PX_YEST_CLOSE"))</ns0:f>
        <ns0:v/>
      </ns0:c>
    </ns0:row>
    <ns0:row r="290">
      <ns0:c r="A290" t="inlineStr">
        <ns0:is>
          <ns0:t>2190 HK Equity</ns0:t>
        </ns0:is>
      </ns0:c>
      <ns0:c r="B290">
        <ns0:f>IF('IPO Live'!$A290="","",BDP('IPO Live'!$A290,"PX_YEST_CLOSE"))</ns0:f>
        <ns0:v/>
      </ns0:c>
    </ns0:row>
    <ns0:row r="291">
      <ns0:c r="A291" t="inlineStr">
        <ns0:is>
          <ns0:t>2648 HK Equity</ns0:t>
        </ns0:is>
      </ns0:c>
      <ns0:c r="B291">
        <ns0:f>IF('IPO Live'!$A291="","",BDP('IPO Live'!$A291,"PX_YEST_CLOSE"))</ns0:f>
        <ns0:v/>
      </ns0:c>
    </ns0:row>
    <ns0:row r="292">
      <ns0:c r="A292" t="inlineStr">
        <ns0:is>
          <ns0:t>2519 HK Equity</ns0:t>
        </ns0:is>
      </ns0:c>
      <ns0:c r="B292">
        <ns0:f>IF('IPO Live'!$A292="","",BDP('IPO Live'!$A292,"PX_YEST_CLOSE"))</ns0:f>
        <ns0:v/>
      </ns0:c>
    </ns0:row>
    <ns0:row r="293">
      <ns0:c r="A293" t="inlineStr">
        <ns0:is>
          <ns0:t>2589 HK Equity</ns0:t>
        </ns0:is>
      </ns0:c>
      <ns0:c r="B293">
        <ns0:f>IF('IPO Live'!$A293="","",BDP('IPO Live'!$A293,"PX_YEST_CLOSE"))</ns0:f>
        <ns0:v/>
      </ns0:c>
    </ns0:row>
    <ns0:row r="294">
      <ns0:c r="A294" t="inlineStr">
        <ns0:is>
          <ns0:t>2425 HK Equity</ns0:t>
        </ns0:is>
      </ns0:c>
      <ns0:c r="B294">
        <ns0:f>IF('IPO Live'!$A294="","",BDP('IPO Live'!$A294,"PX_YEST_CLOSE"))</ns0:f>
        <ns0:v/>
      </ns0:c>
    </ns0:row>
    <ns0:row r="295">
      <ns0:c r="A295" t="inlineStr">
        <ns0:is>
          <ns0:t>2443 HK Equity</ns0:t>
        </ns0:is>
      </ns0:c>
      <ns0:c r="B295">
        <ns0:f>IF('IPO Live'!$A295="","",BDP('IPO Live'!$A295,"PX_YEST_CLOSE"))</ns0:f>
        <ns0:v/>
      </ns0:c>
    </ns0:row>
    <ns0:row r="296">
      <ns0:c r="A296" t="inlineStr">
        <ns0:is>
          <ns0:t>6980 HK Equity</ns0:t>
        </ns0:is>
      </ns0:c>
      <ns0:c r="B296">
        <ns0:f>IF('IPO Live'!$A296="","",BDP('IPO Live'!$A296,"PX_YEST_CLOSE"))</ns0:f>
        <ns0:v/>
      </ns0:c>
    </ns0:row>
    <ns0:row r="297">
      <ns0:c r="A297" t="inlineStr">
        <ns0:is>
          <ns0:t>2373 HK Equity</ns0:t>
        </ns0:is>
      </ns0:c>
      <ns0:c r="B297">
        <ns0:f>IF('IPO Live'!$A297="","",BDP('IPO Live'!$A297,"PX_YEST_CLOSE"))</ns0:f>
        <ns0:v/>
      </ns0:c>
    </ns0:row>
    <ns0:row r="298">
      <ns0:c r="A298" t="inlineStr">
        <ns0:is>
          <ns0:t>6909 HK Equity</ns0:t>
        </ns0:is>
      </ns0:c>
      <ns0:c r="B298">
        <ns0:f>IF('IPO Live'!$A298="","",BDP('IPO Live'!$A298,"PX_YEST_CLOSE"))</ns0:f>
        <ns0:v/>
      </ns0:c>
    </ns0:row>
    <ns0:row r="299">
      <ns0:c r="A299" t="inlineStr">
        <ns0:is>
          <ns0:t>325 HK Equity</ns0:t>
        </ns0:is>
      </ns0:c>
      <ns0:c r="B299">
        <ns0:f>IF('IPO Live'!$A299="","",BDP('IPO Live'!$A299,"PX_YEST_CLOSE"))</ns0:f>
        <ns0:v/>
      </ns0:c>
    </ns0:row>
    <ns0:row r="300">
      <ns0:c r="A300" t="inlineStr">
        <ns0:is>
          <ns0:t>1768 HK Equity</ns0:t>
        </ns0:is>
      </ns0:c>
      <ns0:c r="B300">
        <ns0:f>IF('IPO Live'!$A300="","",BDP('IPO Live'!$A300,"PX_YEST_CLOSE"))</ns0:f>
        <ns0:v/>
      </ns0:c>
    </ns0:row>
    <ns0:row r="301">
      <ns0:c r="A301" t="inlineStr">
        <ns0:is>
          <ns0:t>6090 HK Equity</ns0:t>
        </ns0:is>
      </ns0:c>
      <ns0:c r="B301">
        <ns0:f>IF('IPO Live'!$A301="","",BDP('IPO Live'!$A301,"PX_YEST_CLOSE"))</ns0:f>
        <ns0:v/>
      </ns0:c>
    </ns0:row>
    <ns0:row r="302">
      <ns0:c r="A302" t="inlineStr">
        <ns0:is>
          <ns0:t>2457 HK Equity</ns0:t>
        </ns0:is>
      </ns0:c>
      <ns0:c r="B302">
        <ns0:f>IF('IPO Live'!$A302="","",BDP('IPO Live'!$A302,"PX_YEST_CLOSE"))</ns0:f>
        <ns0:v/>
      </ns0:c>
    </ns0:row>
    <ns0:row r="303">
      <ns0:c r="A303" t="inlineStr">
        <ns0:is>
          <ns0:t>2531 HK Equity</ns0:t>
        </ns0:is>
      </ns0:c>
      <ns0:c r="B303">
        <ns0:f>IF('IPO Live'!$A303="","",BDP('IPO Live'!$A303,"PX_YEST_CLOSE"))</ns0:f>
        <ns0:v/>
      </ns0:c>
    </ns0:row>
    <ns0:row r="304">
      <ns0:c r="A304" t="inlineStr">
        <ns0:is>
          <ns0:t>2549 HK Equity</ns0:t>
        </ns0:is>
      </ns0:c>
      <ns0:c r="B304">
        <ns0:f>IF('IPO Live'!$A304="","",BDP('IPO Live'!$A304,"PX_YEST_CLOSE"))</ns0:f>
        <ns0:v/>
      </ns0:c>
    </ns0:row>
    <ns0:row r="305">
      <ns0:c r="A305" t="inlineStr">
        <ns0:is>
          <ns0:t>2175 HK Equity</ns0:t>
        </ns0:is>
      </ns0:c>
      <ns0:c r="B305">
        <ns0:f>IF('IPO Live'!$A305="","",BDP('IPO Live'!$A305,"PX_YEST_CLOSE"))</ns0:f>
        <ns0:v/>
      </ns0:c>
    </ns0:row>
    <ns0:row r="306">
      <ns0:c r="A306" t="inlineStr">
        <ns0:is>
          <ns0:t>2555 HK Equity</ns0:t>
        </ns0:is>
      </ns0:c>
      <ns0:c r="B306">
        <ns0:f>IF('IPO Live'!$A306="","",BDP('IPO Live'!$A306,"PX_YEST_CLOSE"))</ns0:f>
        <ns0:v/>
      </ns0:c>
    </ns0:row>
    <ns0:row r="307">
      <ns0:c r="A307" t="inlineStr">
        <ns0:is>
          <ns0:t>6601 HK Equity</ns0:t>
        </ns0:is>
      </ns0:c>
      <ns0:c r="B307">
        <ns0:f>IF('IPO Live'!$A307="","",BDP('IPO Live'!$A307,"PX_YEST_CLOSE"))</ns0:f>
        <ns0:v/>
      </ns0:c>
    </ns0:row>
    <ns0:row r="308">
      <ns0:c r="A308" t="inlineStr">
        <ns0:is>
          <ns0:t>9973 HK Equity</ns0:t>
        </ns0:is>
      </ns0:c>
      <ns0:c r="B308">
        <ns0:f>IF('IPO Live'!$A308="","",BDP('IPO Live'!$A308,"PX_YEST_CLOSE"))</ns0:f>
        <ns0:v/>
      </ns0:c>
    </ns0:row>
    <ns0:row r="309">
      <ns0:c r="A309" t="inlineStr">
        <ns0:is>
          <ns0:t>2145 HK Equity</ns0:t>
        </ns0:is>
      </ns0:c>
      <ns0:c r="B309">
        <ns0:f>IF('IPO Live'!$A309="","",BDP('IPO Live'!$A309,"PX_YEST_CLOSE"))</ns0:f>
        <ns0:v/>
      </ns0:c>
    </ns0:row>
    <ns0:row r="310">
      <ns0:c r="A310" t="inlineStr">
        <ns0:is>
          <ns0:t>2460 HK Equity</ns0:t>
        </ns0:is>
      </ns0:c>
      <ns0:c r="B310">
        <ns0:f>IF('IPO Live'!$A310="","",BDP('IPO Live'!$A310,"PX_YEST_CLOSE"))</ns0:f>
        <ns0:v/>
      </ns0:c>
    </ns0:row>
    <ns0:row r="311">
      <ns0:c r="A311" t="inlineStr">
        <ns0:is>
          <ns0:t>1880 HK Equity</ns0:t>
        </ns0:is>
      </ns0:c>
      <ns0:c r="B311">
        <ns0:f>IF('IPO Live'!$A311="","",BDP('IPO Live'!$A311,"PX_YEST_CLOSE"))</ns0:f>
        <ns0:v/>
      </ns0:c>
    </ns0:row>
    <ns0:row r="312">
      <ns0:c r="A312" t="inlineStr">
        <ns0:is>
          <ns0:t>2419 HK Equity</ns0:t>
        </ns0:is>
      </ns0:c>
      <ns0:c r="B312">
        <ns0:f>IF('IPO Live'!$A312="","",BDP('IPO Live'!$A312,"PX_YEST_CLOSE"))</ns0:f>
        <ns0:v/>
      </ns0:c>
    </ns0:row>
    <ns0:row r="313">
      <ns0:c r="A313" t="inlineStr">
        <ns0:is>
          <ns0:t>1405 HK Equity</ns0:t>
        </ns0:is>
      </ns0:c>
      <ns0:c r="B313">
        <ns0:f>IF('IPO Live'!$A313="","",BDP('IPO Live'!$A313,"PX_YEST_CLOSE"))</ns0:f>
        <ns0:v/>
      </ns0:c>
    </ns0:row>
    <ns0:row r="314">
      <ns0:c r="A314" t="inlineStr">
        <ns0:is>
          <ns0:t>9980 HK Equity</ns0:t>
        </ns0:is>
      </ns0:c>
      <ns0:c r="B314">
        <ns0:f>IF('IPO Live'!$A314="","",BDP('IPO Live'!$A314,"PX_YEST_CLOSE"))</ns0:f>
        <ns0:v/>
      </ns0:c>
    </ns0:row>
    <ns0:row r="315">
      <ns0:c r="A315" t="inlineStr">
        <ns0:is>
          <ns0:t>6883 HK Equity</ns0:t>
        </ns0:is>
      </ns0:c>
      <ns0:c r="B315">
        <ns0:f>IF('IPO Live'!$A315="","",BDP('IPO Live'!$A315,"PX_YEST_CLOSE"))</ns0:f>
        <ns0:v/>
      </ns0:c>
    </ns0:row>
    <ns0:row r="316">
      <ns0:c r="A316" t="inlineStr">
        <ns0:is>
          <ns0:t>2469 HK Equity</ns0:t>
        </ns0:is>
      </ns0:c>
      <ns0:c r="B316">
        <ns0:f>IF('IPO Live'!$A316="","",BDP('IPO Live'!$A316,"PX_YEST_CLOSE"))</ns0:f>
        <ns0:v/>
      </ns0:c>
    </ns0:row>
    <ns0:row r="317">
      <ns0:c r="A317" t="inlineStr">
        <ns0:is>
          <ns0:t>9638 HK Equity</ns0:t>
        </ns0:is>
      </ns0:c>
      <ns0:c r="B317">
        <ns0:f>IF('IPO Live'!$A317="","",BDP('IPO Live'!$A317,"PX_YEST_CLOSE"))</ns0:f>
        <ns0:v/>
      </ns0:c>
    </ns0:row>
    <ns0:row r="318">
      <ns0:c r="A318" t="inlineStr">
        <ns0:is>
          <ns0:t>2657 HK Equity</ns0:t>
        </ns0:is>
      </ns0:c>
      <ns0:c r="B318">
        <ns0:f>IF('IPO Live'!$A318="","",BDP('IPO Live'!$A318,"PX_YEST_CLOSE"))</ns0:f>
        <ns0:v/>
      </ns0:c>
    </ns0:row>
    <ns0:row r="319">
      <ns0:c r="A319" t="inlineStr">
        <ns0:is>
          <ns0:t>2497 HK Equity</ns0:t>
        </ns0:is>
      </ns0:c>
      <ns0:c r="B319">
        <ns0:f>IF('IPO Live'!$A319="","",BDP('IPO Live'!$A319,"PX_YEST_CLOSE"))</ns0:f>
        <ns0:v/>
      </ns0:c>
    </ns0:row>
    <ns0:row r="320">
      <ns0:c r="A320" t="inlineStr">
        <ns0:is>
          <ns0:t>2367 HK Equity</ns0:t>
        </ns0:is>
      </ns0:c>
      <ns0:c r="B320">
        <ns0:f>IF('IPO Live'!$A320="","",BDP('IPO Live'!$A320,"PX_YEST_CLOSE"))</ns0:f>
        <ns0:v/>
      </ns0:c>
    </ns0:row>
    <ns0:row r="321">
      <ns0:c r="A321" t="inlineStr">
        <ns0:is>
          <ns0:t>6831 HK Equity</ns0:t>
        </ns0:is>
      </ns0:c>
      <ns0:c r="B321">
        <ns0:f>IF('IPO Live'!$A321="","",BDP('IPO Live'!$A321,"PX_YEST_CLOSE"))</ns0:f>
        <ns0:v/>
      </ns0:c>
    </ns0:row>
    <ns0:row r="322">
      <ns0:c r="A322" t="inlineStr">
        <ns0:is>
          <ns0:t>1364 HK Equity</ns0:t>
        </ns0:is>
      </ns0:c>
      <ns0:c r="B322">
        <ns0:f>IF('IPO Live'!$A322="","",BDP('IPO Live'!$A322,"PX_YEST_CLOSE"))</ns0:f>
        <ns0:v/>
      </ns0:c>
    </ns0:row>
    <ns0:row r="323">
      <ns0:c r="A323" t="inlineStr">
        <ns0:is>
          <ns0:t>2517 HK Equity</ns0:t>
        </ns0:is>
      </ns0:c>
      <ns0:c r="B323">
        <ns0:f>IF('IPO Live'!$A323="","",BDP('IPO Live'!$A323,"PX_YEST_CLOSE"))</ns0:f>
        <ns0:v/>
      </ns0:c>
    </ns0:row>
    <ns0:row r="324">
      <ns0:c r="A324" t="inlineStr">
        <ns0:is>
          <ns0:t>3288 HK Equity</ns0:t>
        </ns0:is>
      </ns0:c>
      <ns0:c r="B324">
        <ns0:f>IF('IPO Live'!$A324="","",BDP('IPO Live'!$A324,"PX_YEST_CLOSE"))</ns0:f>
        <ns0:v/>
      </ns0:c>
    </ns0:row>
    <ns0:row r="325">
      <ns0:c r="A325" t="inlineStr">
        <ns0:is>
          <ns0:t>9869 HK Equity</ns0:t>
        </ns0:is>
      </ns0:c>
      <ns0:c r="B325">
        <ns0:f>IF('IPO Live'!$A325="","",BDP('IPO Live'!$A325,"PX_YEST_CLOSE"))</ns0:f>
        <ns0:v/>
      </ns0:c>
    </ns0:row>
    <ns0:row r="326">
      <ns0:c r="A326" t="inlineStr">
        <ns0:is>
          <ns0:t>2583 HK Equity</ns0:t>
        </ns0:is>
      </ns0:c>
      <ns0:c r="B326">
        <ns0:f>IF('IPO Live'!$A326="","",BDP('IPO Live'!$A326,"PX_YEST_CLOSE"))</ns0:f>
        <ns0:v/>
      </ns0:c>
    </ns0:row>
    <ns0:row r="327">
      <ns0:c r="A327" t="inlineStr">
        <ns0:is>
          <ns0:t>6603 HK Equity</ns0:t>
        </ns0:is>
      </ns0:c>
      <ns0:c r="B327">
        <ns0:f>IF('IPO Live'!$A327="","",BDP('IPO Live'!$A327,"PX_YEST_CLOSE"))</ns0:f>
        <ns0:v/>
      </ns0:c>
    </ns0:row>
    <ns0:row r="328">
      <ns0:c r="A328" t="inlineStr">
        <ns0:is>
          <ns0:t>2625 HK Equity</ns0:t>
        </ns0:is>
      </ns0:c>
      <ns0:c r="B328">
        <ns0:f>IF('IPO Live'!$A328="","",BDP('IPO Live'!$A328,"PX_YEST_CLOSE"))</ns0:f>
        <ns0:v/>
      </ns0:c>
    </ns0:row>
    <ns0:row r="329">
      <ns0:c r="A329" t="inlineStr">
        <ns0:is>
          <ns0:t>1927 HK Equity</ns0:t>
        </ns0:is>
      </ns0:c>
      <ns0:c r="B329">
        <ns0:f>IF('IPO Live'!$A329="","",BDP('IPO Live'!$A329,"PX_YEST_CLOSE"))</ns0:f>
        <ns0:v/>
      </ns0:c>
    </ns0:row>
    <ns0:row r="330">
      <ns0:c r="A330" t="inlineStr">
        <ns0:is>
          <ns0:t>699 HK Equity</ns0:t>
        </ns0:is>
      </ns0:c>
      <ns0:c r="B330">
        <ns0:f>IF('IPO Live'!$A330="","",BDP('IPO Live'!$A330,"PX_YEST_CLOSE"))</ns0:f>
        <ns0:v/>
      </ns0:c>
    </ns0:row>
    <ns0:row r="331">
      <ns0:c r="A331" t="inlineStr">
        <ns0:is>
          <ns0:t>6911 HK Equity</ns0:t>
        </ns0:is>
      </ns0:c>
      <ns0:c r="B331">
        <ns0:f>IF('IPO Live'!$A331="","",BDP('IPO Live'!$A331,"PX_YEST_CLOSE"))</ns0:f>
        <ns0:v/>
      </ns0:c>
    </ns0:row>
    <ns0:row r="332">
      <ns0:c r="A332" t="inlineStr">
        <ns0:is>
          <ns0:t>6181 HK Equity</ns0:t>
        </ns0:is>
      </ns0:c>
      <ns0:c r="B332">
        <ns0:f>IF('IPO Live'!$A332="","",BDP('IPO Live'!$A332,"PX_YEST_CLOSE"))</ns0:f>
        <ns0:v/>
      </ns0:c>
    </ns0:row>
    <ns0:row r="333">
      <ns0:c r="A333" t="inlineStr">
        <ns0:is>
          <ns0:t>9863 HK Equity</ns0:t>
        </ns0:is>
      </ns0:c>
      <ns0:c r="B333">
        <ns0:f>IF('IPO Live'!$A333="","",BDP('IPO Live'!$A333,"PX_YEST_CLOSE"))</ns0:f>
        <ns0:v/>
      </ns0:c>
    </ns0:row>
    <ns0:row r="334">
      <ns0:c r="A334" t="inlineStr">
        <ns0:is>
          <ns0:t>2015 HK Equity</ns0:t>
        </ns0:is>
      </ns0:c>
      <ns0:c r="B334">
        <ns0:f>IF('IPO Live'!$A334="","",BDP('IPO Live'!$A334,"PX_YEST_CLOSE"))</ns0:f>
        <ns0:v/>
      </ns0:c>
    </ns0:row>
    <ns0:row r="335">
      <ns0:c r="A335" t="inlineStr">
        <ns0:is>
          <ns0:t>6658 HK Equity</ns0:t>
        </ns0:is>
      </ns0:c>
      <ns0:c r="B335">
        <ns0:f>IF('IPO Live'!$A335="","",BDP('IPO Live'!$A335,"PX_YEST_CLOSE"))</ns0:f>
        <ns0:v/>
      </ns0:c>
    </ns0:row>
    <ns0:row r="336">
      <ns0:c r="A336" t="inlineStr">
        <ns0:is>
          <ns0:t>2290 HK Equity</ns0:t>
        </ns0:is>
      </ns0:c>
      <ns0:c r="B336">
        <ns0:f>IF('IPO Live'!$A336="","",BDP('IPO Live'!$A336,"PX_YEST_CLOSE"))</ns0:f>
        <ns0:v/>
      </ns0:c>
    </ns0:row>
    <ns0:row r="337">
      <ns0:c r="A337" t="inlineStr">
        <ns0:is>
          <ns0:t>2451 HK Equity</ns0:t>
        </ns0:is>
      </ns0:c>
      <ns0:c r="B337">
        <ns0:f>IF('IPO Live'!$A337="","",BDP('IPO Live'!$A337,"PX_YEST_CLOSE"))</ns0:f>
        <ns0:v/>
      </ns0:c>
    </ns0:row>
    <ns0:row r="338">
      <ns0:c r="A338" t="inlineStr">
        <ns0:is>
          <ns0:t>1318 HK Equity</ns0:t>
        </ns0:is>
      </ns0:c>
      <ns0:c r="B338">
        <ns0:f>IF('IPO Live'!$A338="","",BDP('IPO Live'!$A338,"PX_YEST_CLOSE"))</ns0:f>
        <ns0:v/>
      </ns0:c>
    </ns0:row>
    <ns0:row r="339">
      <ns0:c r="A339" t="inlineStr">
        <ns0:is>
          <ns0:t>2097 HK Equity</ns0:t>
        </ns0:is>
      </ns0:c>
      <ns0:c r="B339">
        <ns0:f>IF('IPO Live'!$A339="","",BDP('IPO Live'!$A339,"PX_YEST_CLOSE"))</ns0:f>
        <ns0:v/>
      </ns0:c>
    </ns0:row>
    <ns0:row r="340">
      <ns0:c r="A340" t="inlineStr">
        <ns0:is>
          <ns0:t>9896 HK Equity</ns0:t>
        </ns0:is>
      </ns0:c>
      <ns0:c r="B340">
        <ns0:f>IF('IPO Live'!$A340="","",BDP('IPO Live'!$A340,"PX_YEST_CLOSE"))</ns0:f>
        <ns0:v/>
      </ns0:c>
    </ns0:row>
    <ns0:row r="341">
      <ns0:c r="A341" t="inlineStr">
        <ns0:is>
          <ns0:t>2585 HK Equity</ns0:t>
        </ns0:is>
      </ns0:c>
      <ns0:c r="B341">
        <ns0:f>IF('IPO Live'!$A341="","",BDP('IPO Live'!$A341,"PX_YEST_CLOSE"))</ns0:f>
        <ns0:v/>
      </ns0:c>
    </ns0:row>
    <ns0:row r="342">
      <ns0:c r="A342" t="inlineStr">
        <ns0:is>
          <ns0:t>2714 HK Equity</ns0:t>
        </ns0:is>
      </ns0:c>
      <ns0:c r="B342">
        <ns0:f>IF('IPO Live'!$A342="","",BDP('IPO Live'!$A342,"PX_YEST_CLOSE"))</ns0:f>
        <ns0:v/>
      </ns0:c>
    </ns0:row>
    <ns0:row r="343">
      <ns0:c r="A343" t="inlineStr">
        <ns0:is>
          <ns0:t>2261 HK Equity</ns0:t>
        </ns0:is>
      </ns0:c>
      <ns0:c r="B343">
        <ns0:f>IF('IPO Live'!$A343="","",BDP('IPO Live'!$A343,"PX_YEST_CLOSE"))</ns0:f>
        <ns0:v/>
      </ns0:c>
    </ns0:row>
    <ns0:row r="344">
      <ns0:c r="A344" t="inlineStr">
        <ns0:is>
          <ns0:t>2150 HK Equity</ns0:t>
        </ns0:is>
      </ns0:c>
      <ns0:c r="B344">
        <ns0:f>IF('IPO Live'!$A344="","",BDP('IPO Live'!$A344,"PX_YEST_CLOSE"))</ns0:f>
        <ns0:v/>
      </ns0:c>
    </ns0:row>
    <ns0:row r="345">
      <ns0:c r="A345" t="inlineStr">
        <ns0:is>
          <ns0:t>2632 HK Equity</ns0:t>
        </ns0:is>
      </ns0:c>
      <ns0:c r="B345">
        <ns0:f>IF('IPO Live'!$A345="","",BDP('IPO Live'!$A345,"PX_YEST_CLOSE"))</ns0:f>
        <ns0:v/>
      </ns0:c>
    </ns0:row>
    <ns0:row r="346">
      <ns0:c r="A346" t="inlineStr">
        <ns0:is>
          <ns0:t>2573 HK Equity</ns0:t>
        </ns0:is>
      </ns0:c>
      <ns0:c r="B346">
        <ns0:f>IF('IPO Live'!$A346="","",BDP('IPO Live'!$A346,"PX_YEST_CLOSE"))</ns0:f>
        <ns0:v/>
      </ns0:c>
    </ns0:row>
    <ns0:row r="347">
      <ns0:c r="A347" t="inlineStr">
        <ns0:is>
          <ns0:t>2530 HK Equity</ns0:t>
        </ns0:is>
      </ns0:c>
      <ns0:c r="B347">
        <ns0:f>IF('IPO Live'!$A347="","",BDP('IPO Live'!$A347,"PX_YEST_CLOSE"))</ns0:f>
        <ns0:v/>
      </ns0:c>
    </ns0:row>
    <ns0:row r="348">
      <ns0:c r="A348" t="inlineStr">
        <ns0:is>
          <ns0:t>2411 HK Equity</ns0:t>
        </ns0:is>
      </ns0:c>
      <ns0:c r="B348">
        <ns0:f>IF('IPO Live'!$A348="","",BDP('IPO Live'!$A348,"PX_YEST_CLOSE"))</ns0:f>
        <ns0:v/>
      </ns0:c>
    </ns0:row>
    <ns0:row r="349">
      <ns0:c r="A349" t="inlineStr">
        <ns0:is>
          <ns0:t>2536 HK Equity</ns0:t>
        </ns0:is>
      </ns0:c>
      <ns0:c r="B349">
        <ns0:f>IF('IPO Live'!$A349="","",BDP('IPO Live'!$A349,"PX_YEST_CLOSE"))</ns0:f>
        <ns0:v/>
      </ns0:c>
    </ns0:row>
    <ns0:row r="350">
      <ns0:c r="A350" t="inlineStr">
        <ns0:is>
          <ns0:t>2889 HK Equity</ns0:t>
        </ns0:is>
      </ns0:c>
      <ns0:c r="B350">
        <ns0:f>IF('IPO Live'!$A350="","",BDP('IPO Live'!$A350,"PX_YEST_CLOSE"))</ns0:f>
        <ns0:v/>
      </ns0:c>
    </ns0:row>
    <ns0:row r="351">
      <ns0:c r="A351" t="inlineStr">
        <ns0:is>
          <ns0:t>2797 HK Equity</ns0:t>
        </ns0:is>
      </ns0:c>
      <ns0:c r="B351">
        <ns0:f>IF('IPO Live'!$A351="","",BDP('IPO Live'!$A351,"PX_YEST_CLOSE"))</ns0:f>
        <ns0:v/>
      </ns0:c>
    </ns0:row>
    <ns0:row r="352">
      <ns0:c r="A352" t="inlineStr">
        <ns0:is>
          <ns0:t>2720 HK Equity</ns0:t>
        </ns0:is>
      </ns0:c>
      <ns0:c r="B352">
        <ns0:f>IF('IPO Live'!$A352="","",BDP('IPO Live'!$A352,"PX_YEST_CLOSE"))</ns0:f>
        <ns0:v/>
      </ns0:c>
    </ns0:row>
    <ns0:row r="353">
      <ns0:c r="A353" t="inlineStr">
        <ns0:is>
          <ns0:t>1334 HK Equity</ns0:t>
        </ns0:is>
      </ns0:c>
      <ns0:c r="B353">
        <ns0:f>IF('IPO Live'!$A353="","",BDP('IPO Live'!$A353,"PX_YEST_CLOSE"))</ns0:f>
        <ns0:v/>
      </ns0:c>
    </ns0:row>
    <ns0:row r="354">
      <ns0:c r="A354" t="inlineStr">
        <ns0:is>
          <ns0:t>2050 HK Equity</ns0:t>
        </ns0:is>
      </ns0:c>
      <ns0:c r="B354">
        <ns0:f>IF('IPO Live'!$A354="","",BDP('IPO Live'!$A354,"PX_YEST_CLOSE"))</ns0:f>
        <ns0:v/>
      </ns0:c>
    </ns0:row>
    <ns0:row r="355">
      <ns0:c r="A355" t="inlineStr">
        <ns0:is>
          <ns0:t>6913 HK Equity</ns0:t>
        </ns0:is>
      </ns0:c>
      <ns0:c r="B355">
        <ns0:f>IF('IPO Live'!$A355="","",BDP('IPO Live'!$A355,"PX_YEST_CLOSE"))</ns0:f>
        <ns0:v/>
      </ns0:c>
    </ns0:row>
    <ns0:row r="356">
      <ns0:c r="A356" t="inlineStr">
        <ns0:is>
          <ns0:t>9927 HK Equity</ns0:t>
        </ns0:is>
      </ns0:c>
      <ns0:c r="B356">
        <ns0:f>IF('IPO Live'!$A356="","",BDP('IPO Live'!$A356,"PX_YEST_CLOSE"))</ns0:f>
        <ns0:v/>
      </ns0:c>
    </ns0:row>
    <ns0:row r="357">
      <ns0:c r="A357" t="inlineStr">
        <ns0:is>
          <ns0:t>625 HK Equity</ns0:t>
        </ns0:is>
      </ns0:c>
      <ns0:c r="B357">
        <ns0:f>IF('IPO Live'!$A357="","",BDP('IPO Live'!$A357,"PX_YEST_CLOSE"))</ns0:f>
        <ns0:v/>
      </ns0:c>
    </ns0:row>
    <ns0:row r="358">
      <ns0:c r="A358" t="inlineStr">
        <ns0:is>
          <ns0:t>9676 HK Equity</ns0:t>
        </ns0:is>
      </ns0:c>
      <ns0:c r="B358">
        <ns0:f>IF('IPO Live'!$A358="","",BDP('IPO Live'!$A358,"PX_YEST_CLOSE"))</ns0:f>
        <ns0:v/>
      </ns0:c>
    </ns0:row>
    <ns0:row r="359">
      <ns0:c r="A359" t="inlineStr">
        <ns0:is>
          <ns0:t>2698 HK Equity</ns0:t>
        </ns0:is>
      </ns0:c>
      <ns0:c r="B359">
        <ns0:f>IF('IPO Live'!$A359="","",BDP('IPO Live'!$A359,"PX_YEST_CLOSE"))</ns0:f>
        <ns0:v/>
      </ns0:c>
    </ns0:row>
    <ns0:row r="360">
      <ns0:c r="A360" t="inlineStr">
        <ns0:is>
          <ns0:t>664 HK Equity</ns0:t>
        </ns0:is>
      </ns0:c>
      <ns0:c r="B360">
        <ns0:f>IF('IPO Live'!$A360="","",BDP('IPO Live'!$A360,"PX_YEST_CLOSE"))</ns0:f>
        <ns0:v/>
      </ns0:c>
    </ns0:row>
    <ns0:row r="361">
      <ns0:c r="A361" t="inlineStr">
        <ns0:is>
          <ns0:t>2429 HK Equity</ns0:t>
        </ns0:is>
      </ns0:c>
      <ns0:c r="B361">
        <ns0:f>IF('IPO Live'!$A361="","",BDP('IPO Live'!$A361,"PX_YEST_CLOSE"))</ns0:f>
        <ns0:v/>
      </ns0:c>
    </ns0:row>
    <ns0:row r="362">
      <ns0:c r="A362" t="inlineStr">
        <ns0:is>
          <ns0:t>9985 HK Equity</ns0:t>
        </ns0:is>
      </ns0:c>
      <ns0:c r="B362">
        <ns0:f>IF('IPO Live'!$A362="","",BDP('IPO Live'!$A362,"PX_YEST_CLOSE"))</ns0:f>
        <ns0:v/>
      </ns0:c>
    </ns0:row>
    <ns0:row r="363">
      <ns0:c r="A363" t="inlineStr">
        <ns0:is>
          <ns0:t>2408 HK Equity</ns0:t>
        </ns0:is>
      </ns0:c>
      <ns0:c r="B363">
        <ns0:f>IF('IPO Live'!$A363="","",BDP('IPO Live'!$A363,"PX_YEST_CLOSE"))</ns0:f>
        <ns0:v/>
      </ns0:c>
    </ns0:row>
    <ns0:row r="364">
      <ns0:c r="A364" t="inlineStr">
        <ns0:is>
          <ns0:t>999 HK Equity</ns0:t>
        </ns0:is>
      </ns0:c>
      <ns0:c r="B364">
        <ns0:f>IF('IPO Live'!$A364="","",BDP('IPO Live'!$A364,"PX_YEST_CLOSE"))</ns0:f>
        <ns0:v/>
      </ns0:c>
    </ns0:row>
    <ns0:row r="365">
      <ns0:c r="A365" t="inlineStr">
        <ns0:is>
          <ns0:t>9868 HK Equity</ns0:t>
        </ns0:is>
      </ns0:c>
      <ns0:c r="B365">
        <ns0:f>IF('IPO Live'!$A365="","",BDP('IPO Live'!$A365,"PX_YEST_CLOSE"))</ns0:f>
        <ns0:v/>
      </ns0:c>
    </ns0:row>
    <ns0:row r="366">
      <ns0:c r="A366" t="inlineStr">
        <ns0:is>
          <ns0:t>6715 HK Equity</ns0:t>
        </ns0:is>
      </ns0:c>
      <ns0:c r="B366">
        <ns0:f>IF('IPO Live'!$A366="","",BDP('IPO Live'!$A366,"PX_YEST_CLOSE"))</ns0:f>
        <ns0:v/>
      </ns0:c>
    </ns0:row>
    <ns0:row r="367">
      <ns0:c r="A367" t="inlineStr">
        <ns0:is>
          <ns0:t>2473 HK Equity</ns0:t>
        </ns0:is>
      </ns0:c>
      <ns0:c r="B367">
        <ns0:f>IF('IPO Live'!$A367="","",BDP('IPO Live'!$A367,"PX_YEST_CLOSE"))</ns0:f>
        <ns0:v/>
      </ns0:c>
    </ns0:row>
    <ns0:row r="368">
      <ns0:c r="A368" t="inlineStr">
        <ns0:is>
          <ns0:t>1497 HK Equity</ns0:t>
        </ns0:is>
      </ns0:c>
      <ns0:c r="B368">
        <ns0:f>IF('IPO Live'!$A368="","",BDP('IPO Live'!$A368,"PX_YEST_CLOSE"))</ns0:f>
        <ns0:v/>
      </ns0:c>
    </ns0:row>
    <ns0:row r="369">
      <ns0:c r="A369" t="inlineStr">
        <ns0:is>
          <ns0:t>2347 HK Equity</ns0:t>
        </ns0:is>
      </ns0:c>
      <ns0:c r="B369">
        <ns0:f>IF('IPO Live'!$A369="","",BDP('IPO Live'!$A369,"PX_YEST_CLOSE"))</ns0:f>
        <ns0:v/>
      </ns0:c>
    </ns0:row>
    <ns0:row r="370">
      <ns0:c r="A370" t="inlineStr">
        <ns0:is>
          <ns0:t>9858 HK Equity</ns0:t>
        </ns0:is>
      </ns0:c>
      <ns0:c r="B370">
        <ns0:f>IF('IPO Live'!$A370="","",BDP('IPO Live'!$A370,"PX_YEST_CLOSE"))</ns0:f>
        <ns0:v/>
      </ns0:c>
    </ns0:row>
    <ns0:row r="371">
      <ns0:c r="A371" t="inlineStr">
        <ns0:is>
          <ns0:t>2147 HK Equity</ns0:t>
        </ns0:is>
      </ns0:c>
      <ns0:c r="B371">
        <ns0:f>IF('IPO Live'!$A371="","",BDP('IPO Live'!$A371,"PX_YEST_CLOSE"))</ns0:f>
        <ns0:v/>
      </ns0:c>
    </ns0:row>
    <ns0:row r="372">
      <ns0:c r="A372" t="inlineStr">
        <ns0:is>
          <ns0:t>2650 HK Equity</ns0:t>
        </ns0:is>
      </ns0:c>
      <ns0:c r="B372">
        <ns0:f>IF('IPO Live'!$A372="","",BDP('IPO Live'!$A372,"PX_YEST_CLOSE"))</ns0:f>
        <ns0:v/>
      </ns0:c>
    </ns0:row>
    <ns0:row r="373">
      <ns0:c r="A373" t="inlineStr">
        <ns0:is>
          <ns0:t>6168 HK Equity</ns0:t>
        </ns0:is>
      </ns0:c>
      <ns0:c r="B373">
        <ns0:f>IF('IPO Live'!$A373="","",BDP('IPO Live'!$A373,"PX_YEST_CLOSE"))</ns0:f>
        <ns0:v/>
      </ns0:c>
    </ns0:row>
    <ns0:row r="374">
      <ns0:c r="A374" t="inlineStr">
        <ns0:is>
          <ns0:t>6979 HK Equity</ns0:t>
        </ns0:is>
      </ns0:c>
      <ns0:c r="B374">
        <ns0:f>IF('IPO Live'!$A374="","",BDP('IPO Live'!$A374,"PX_YEST_CLOSE"))</ns0:f>
        <ns0:v/>
      </ns0:c>
    </ns0:row>
    <ns0:row r="375">
      <ns0:c r="A375" t="inlineStr">
        <ns0:is>
          <ns0:t>2672 HK Equity</ns0:t>
        </ns0:is>
      </ns0:c>
      <ns0:c r="B375">
        <ns0:f>IF('IPO Live'!$A375="","",BDP('IPO Live'!$A375,"PX_YEST_CLOSE"))</ns0:f>
        <ns0:v/>
      </ns0:c>
    </ns0:row>
    <ns0:row r="376">
      <ns0:c r="A376" t="inlineStr">
        <ns0:is>
          <ns0:t>9889 HK Equity</ns0:t>
        </ns0:is>
      </ns0:c>
      <ns0:c r="B376">
        <ns0:f>IF('IPO Live'!$A376="","",BDP('IPO Live'!$A376,"PX_YEST_CLOSE"))</ns0:f>
        <ns0:v/>
      </ns0:c>
    </ns0:row>
    <ns0:row r="377">
      <ns0:c r="A377" t="inlineStr">
        <ns0:is>
          <ns0:t>1828 HK Equity</ns0:t>
        </ns0:is>
      </ns0:c>
      <ns0:c r="B377">
        <ns0:f>IF('IPO Live'!$A377="","",BDP('IPO Live'!$A377,"PX_YEST_CLOSE"))</ns0:f>
        <ns0:v/>
      </ns0:c>
    </ns0:row>
    <ns0:row r="378">
      <ns0:c r="A378" t="inlineStr">
        <ns0:is>
          <ns0:t>9636 HK Equity</ns0:t>
        </ns0:is>
      </ns0:c>
      <ns0:c r="B378">
        <ns0:f>IF('IPO Live'!$A378="","",BDP('IPO Live'!$A378,"PX_YEST_CLOSE"))</ns0:f>
        <ns0:v/>
      </ns0:c>
    </ns0:row>
    <ns0:row r="379">
      <ns0:c r="A379" t="inlineStr">
        <ns0:is>
          <ns0:t>2691 HK Equity</ns0:t>
        </ns0:is>
      </ns0:c>
      <ns0:c r="B379">
        <ns0:f>IF('IPO Live'!$A379="","",BDP('IPO Live'!$A379,"PX_YEST_CLOSE"))</ns0:f>
        <ns0:v/>
      </ns0:c>
    </ns0:row>
    <ns0:row r="380">
      <ns0:c r="A380" t="inlineStr">
        <ns0:is>
          <ns0:t>6686 HK Equity</ns0:t>
        </ns0:is>
      </ns0:c>
      <ns0:c r="B380">
        <ns0:f>IF('IPO Live'!$A380="","",BDP('IPO Live'!$A380,"PX_YEST_CLOSE"))</ns0:f>
        <ns0:v/>
      </ns0:c>
    </ns0:row>
    <ns0:row r="381">
      <ns0:c r="A381" t="inlineStr">
        <ns0:is>
          <ns0:t>2378 HK Equity</ns0:t>
        </ns0:is>
      </ns0:c>
      <ns0:c r="B381">
        <ns0:f>IF('IPO Live'!$A381="","",BDP('IPO Live'!$A381,"PX_YEST_CLOSE"))</ns0:f>
        <ns0:v/>
      </ns0:c>
    </ns0:row>
    <ns0:row r="382">
      <ns0:c r="A382" t="inlineStr">
        <ns0:is>
          <ns0:t>2661 HK Equity</ns0:t>
        </ns0:is>
      </ns0:c>
      <ns0:c r="B382">
        <ns0:f>IF('IPO Live'!$A382="","",BDP('IPO Live'!$A382,"PX_YEST_CLOSE"))</ns0:f>
        <ns0:v/>
      </ns0:c>
    </ns0:row>
    <ns0:row r="383">
      <ns0:c r="A383" t="inlineStr">
        <ns0:is>
          <ns0:t>2621 HK Equity</ns0:t>
        </ns0:is>
      </ns0:c>
      <ns0:c r="B383">
        <ns0:f>IF('IPO Live'!$A383="","",BDP('IPO Live'!$A383,"PX_YEST_CLOSE"))</ns0:f>
        <ns0:v/>
      </ns0:c>
    </ns0:row>
    <ns0:row r="384">
      <ns0:c r="A384" t="inlineStr">
        <ns0:is>
          <ns0:t>6963 HK Equity</ns0:t>
        </ns0:is>
      </ns0:c>
      <ns0:c r="B384">
        <ns0:f>IF('IPO Live'!$A384="","",BDP('IPO Live'!$A384,"PX_YEST_CLOSE"))</ns0:f>
        <ns0:v/>
      </ns0:c>
    </ns0:row>
    <ns0:row r="385">
      <ns0:c r="A385" t="inlineStr">
        <ns0:is>
          <ns0:t>1973 HK Equity</ns0:t>
        </ns0:is>
      </ns0:c>
      <ns0:c r="B385">
        <ns0:f>IF('IPO Live'!$A385="","",BDP('IPO Live'!$A385,"PX_YEST_CLOSE"))</ns0:f>
        <ns0:v/>
      </ns0:c>
    </ns0:row>
    <ns0:row r="386">
      <ns0:c r="A386" t="inlineStr">
        <ns0:is>
          <ns0:t>2596 HK Equity</ns0:t>
        </ns0:is>
      </ns0:c>
      <ns0:c r="B386">
        <ns0:f>IF('IPO Live'!$A386="","",BDP('IPO Live'!$A386,"PX_YEST_CLOSE"))</ns0:f>
        <ns0:v/>
      </ns0:c>
    </ns0:row>
    <ns0:row r="387">
      <ns0:c r="A387" t="inlineStr">
        <ns0:is>
          <ns0:t>1471 HK Equity</ns0:t>
        </ns0:is>
      </ns0:c>
      <ns0:c r="B387">
        <ns0:f>IF('IPO Live'!$A387="","",BDP('IPO Live'!$A387,"PX_YEST_CLOSE"))</ns0:f>
        <ns0:v/>
      </ns0:c>
    </ns0:row>
    <ns0:row r="388">
      <ns0:c r="A388" t="inlineStr">
        <ns0:is>
          <ns0:t>2649 HK Equity</ns0:t>
        </ns0:is>
      </ns0:c>
      <ns0:c r="B388">
        <ns0:f>IF('IPO Live'!$A388="","",BDP('IPO Live'!$A388,"PX_YEST_CLOSE"))</ns0:f>
        <ns0:v/>
      </ns0:c>
    </ns0:row>
    <ns0:row r="389">
      <ns0:c r="A389" t="inlineStr">
        <ns0:is>
          <ns0:t>1333 HK Equity</ns0:t>
        </ns0:is>
      </ns0:c>
      <ns0:c r="B389">
        <ns0:f>IF('IPO Live'!$A389="","",BDP('IPO Live'!$A389,"PX_YEST_CLOSE"))</ns0:f>
        <ns0:v/>
      </ns0:c>
    </ns0:row>
    <ns0:row r="390">
      <ns0:c r="A390" t="inlineStr">
        <ns0:is>
          <ns0:t>3931 HK Equity</ns0:t>
        </ns0:is>
      </ns0:c>
      <ns0:c r="B390">
        <ns0:f>IF('IPO Live'!$A390="","",BDP('IPO Live'!$A390,"PX_YEST_CLOSE"))</ns0:f>
        <ns0:v/>
      </ns0:c>
    </ns0:row>
    <ns0:row r="391">
      <ns0:c r="A391" t="inlineStr">
        <ns0:is>
          <ns0:t>3750 HK Equity</ns0:t>
        </ns0:is>
      </ns0:c>
      <ns0:c r="B391">
        <ns0:f>IF('IPO Live'!$A391="","",BDP('IPO Live'!$A391,"PX_YEST_CLOSE"))</ns0:f>
        <ns0:v/>
      </ns0:c>
    </ns0:row>
    <ns0:row r="392">
      <ns0:c r="A392" t="inlineStr">
        <ns0:is>
          <ns0:t>2285 HK Equity</ns0:t>
        </ns0:is>
      </ns0:c>
      <ns0:c r="B392">
        <ns0:f>IF('IPO Live'!$A392="","",BDP('IPO Live'!$A392,"PX_YEST_CLOSE"))</ns0:f>
        <ns0:v/>
      </ns0:c>
    </ns0:row>
    <ns0:row r="393">
      <ns0:c r="A393" t="inlineStr">
        <ns0:is>
          <ns0:t>2507 HK Equity</ns0:t>
        </ns0:is>
      </ns0:c>
      <ns0:c r="B393">
        <ns0:f>IF('IPO Live'!$A393="","",BDP('IPO Live'!$A393,"PX_YEST_CLOSE"))</ns0:f>
        <ns0:v/>
      </ns0:c>
    </ns0:row>
    <ns0:row r="394">
      <ns0:c r="A394" t="inlineStr">
        <ns0:is>
          <ns0:t>2579 HK Equity</ns0:t>
        </ns0:is>
      </ns0:c>
      <ns0:c r="B394">
        <ns0:f>IF('IPO Live'!$A394="","",BDP('IPO Live'!$A394,"PX_YEST_CLOSE"))</ns0:f>
        <ns0:v/>
      </ns0:c>
    </ns0:row>
    <ns0:row r="395">
      <ns0:c r="A395" t="inlineStr">
        <ns0:is>
          <ns0:t>2613 HK Equity</ns0:t>
        </ns0:is>
      </ns0:c>
      <ns0:c r="B395">
        <ns0:f>IF('IPO Live'!$A395="","",BDP('IPO Live'!$A395,"PX_YEST_CLOSE"))</ns0:f>
        <ns0:v/>
      </ns0:c>
    </ns0:row>
    <ns0:row r="396">
      <ns0:c r="A396" t="inlineStr">
        <ns0:is>
          <ns0:t>1081 HK Equity</ns0:t>
        </ns0:is>
      </ns0:c>
      <ns0:c r="B396">
        <ns0:f>IF('IPO Live'!$A396="","",BDP('IPO Live'!$A396,"PX_YEST_CLOSE"))</ns0:f>
        <ns0:v/>
      </ns0:c>
    </ns0:row>
    <ns0:row r="397">
      <ns0:c r="A397" t="inlineStr">
        <ns0:is>
          <ns0:t>2418 HK Equity</ns0:t>
        </ns0:is>
      </ns0:c>
      <ns0:c r="B397">
        <ns0:f>IF('IPO Live'!$A397="","",BDP('IPO Live'!$A397,"PX_YEST_CLOSE"))</ns0:f>
        <ns0:v/>
      </ns0:c>
    </ns0:row>
    <ns0:row r="398">
      <ns0:c r="A398" t="inlineStr">
        <ns0:is>
          <ns0:t>1440 HK Equity</ns0:t>
        </ns0:is>
      </ns0:c>
      <ns0:c r="B398">
        <ns0:f>IF('IPO Live'!$A398="","",BDP('IPO Live'!$A398,"PX_YEST_CLOSE"))</ns0:f>
        <ns0:v/>
      </ns0:c>
    </ns0:row>
    <ns0:row r="399">
      <ns0:c r="A399" t="inlineStr">
        <ns0:is>
          <ns0:t>2865 HK Equity</ns0:t>
        </ns0:is>
      </ns0:c>
      <ns0:c r="B399">
        <ns0:f>IF('IPO Live'!$A399="","",BDP('IPO Live'!$A399,"PX_YEST_CLOSE"))</ns0:f>
        <ns0:v/>
      </ns0:c>
    </ns0:row>
    <ns0:row r="400">
      <ns0:c r="A400" t="inlineStr">
        <ns0:is>
          <ns0:t>2442 HK Equity</ns0:t>
        </ns0:is>
      </ns0:c>
      <ns0:c r="B400">
        <ns0:f>IF('IPO Live'!$A400="","",BDP('IPO Live'!$A400,"PX_YEST_CLOSE"))</ns0:f>
        <ns0:v/>
      </ns0:c>
    </ns0:row>
    <ns0:row r="401">
      <ns0:c r="A401" t="inlineStr">
        <ns0:is>
          <ns0:t>2505 HK Equity</ns0:t>
        </ns0:is>
      </ns0:c>
      <ns0:c r="B401">
        <ns0:f>IF('IPO Live'!$A401="","",BDP('IPO Live'!$A401,"PX_YEST_CLOSE"))</ns0:f>
        <ns0:v/>
      </ns0:c>
    </ns0:row>
    <ns0:row r="402">
      <ns0:c r="A402" t="inlineStr">
        <ns0:is>
          <ns0:t>2516 HK Equity</ns0:t>
        </ns0:is>
      </ns0:c>
      <ns0:c r="B402">
        <ns0:f>IF('IPO Live'!$A402="","",BDP('IPO Live'!$A402,"PX_YEST_CLOSE"))</ns0:f>
        <ns0:v/>
      </ns0:c>
    </ns0:row>
    <ns0:row r="403">
      <ns0:c r="A403" t="inlineStr">
        <ns0:is>
          <ns0:t>2499 HK Equity</ns0:t>
        </ns0:is>
      </ns0:c>
      <ns0:c r="B403">
        <ns0:f>IF('IPO Live'!$A403="","",BDP('IPO Live'!$A403,"PX_YEST_CLOSE"))</ns0:f>
        <ns0:v/>
      </ns0:c>
    </ns0:row>
    <ns0:row r="404">
      <ns0:c r="A404" t="inlineStr">
        <ns0:is>
          <ns0:t>1489 HK Equity</ns0:t>
        </ns0:is>
      </ns0:c>
      <ns0:c r="B404">
        <ns0:f>IF('IPO Live'!$A404="","",BDP('IPO Live'!$A404,"PX_YEST_CLOSE"))</ns0:f>
        <ns0:v/>
      </ns0:c>
    </ns0:row>
    <ns0:row r="405">
      <ns0:c r="A405" t="inlineStr">
        <ns0:is>
          <ns0:t>2246 HK Equity</ns0:t>
        </ns0:is>
      </ns0:c>
      <ns0:c r="B405">
        <ns0:f>IF('IPO Live'!$A405="","",BDP('IPO Live'!$A405,"PX_YEST_CLOSE"))</ns0:f>
        <ns0:v/>
      </ns0:c>
    </ns0:row>
    <ns0:row r="406">
      <ns0:c r="A406" t="inlineStr">
        <ns0:is>
          <ns0:t>2582 HK Equity</ns0:t>
        </ns0:is>
      </ns0:c>
      <ns0:c r="B406">
        <ns0:f>IF('IPO Live'!$A406="","",BDP('IPO Live'!$A406,"PX_YEST_CLOSE"))</ns0:f>
        <ns0:v/>
      </ns0:c>
    </ns0:row>
    <ns0:row r="407">
      <ns0:c r="A407" t="inlineStr">
        <ns0:is>
          <ns0:t>3200 HK Equity</ns0:t>
        </ns0:is>
      </ns0:c>
      <ns0:c r="B407">
        <ns0:f>IF('IPO Live'!$A407="","",BDP('IPO Live'!$A407,"PX_YEST_CLOSE"))</ns0:f>
        <ns0:v/>
      </ns0:c>
    </ns0:row>
    <ns0:row r="408">
      <ns0:c r="A408" t="inlineStr">
        <ns0:is>
          <ns0:t>9930 HK Equity</ns0:t>
        </ns0:is>
      </ns0:c>
      <ns0:c r="B408">
        <ns0:f>IF('IPO Live'!$A408="","",BDP('IPO Live'!$A408,"PX_YEST_CLOSE"))</ns0:f>
        <ns0:v/>
      </ns0:c>
    </ns0:row>
    <ns0:row r="409">
      <ns0:c r="A409" t="inlineStr">
        <ns0:is>
          <ns0:t>1111 HK Equity</ns0:t>
        </ns0:is>
      </ns0:c>
      <ns0:c r="B409">
        <ns0:f>IF('IPO Live'!$A409="","",BDP('IPO Live'!$A409,"PX_YEST_CLOSE"))</ns0:f>
        <ns0:v/>
      </ns0:c>
    </ns0:row>
    <ns0:row r="410">
      <ns0:c r="A410" t="inlineStr">
        <ns0:is>
          <ns0:t>1641 HK Equity</ns0:t>
        </ns0:is>
      </ns0:c>
      <ns0:c r="B410">
        <ns0:f>IF('IPO Live'!$A410="","",BDP('IPO Live'!$A410,"PX_YEST_CLOSE"))</ns0:f>
        <ns0:v/>
      </ns0:c>
    </ns0:row>
    <ns0:row r="411">
      <ns0:c r="A411" t="inlineStr">
        <ns0:is>
          <ns0:t>1519 HK Equity</ns0:t>
        </ns0:is>
      </ns0:c>
      <ns0:c r="B411">
        <ns0:f>IF('IPO Live'!$A411="","",BDP('IPO Live'!$A411,"PX_YEST_CLOSE"))</ns0:f>
        <ns0:v/>
      </ns0:c>
    </ns0:row>
    <ns0:row r="412">
      <ns0:c r="A412" t="inlineStr">
        <ns0:is>
          <ns0:t>2618 HK Equity</ns0:t>
        </ns0:is>
      </ns0:c>
      <ns0:c r="B412">
        <ns0:f>IF('IPO Live'!$A412="","",BDP('IPO Live'!$A412,"PX_YEST_CLOSE"))</ns0:f>
        <ns0:v/>
      </ns0:c>
    </ns0:row>
    <ns0:row r="413">
      <ns0:c r="A413" t="inlineStr">
        <ns0:is>
          <ns0:t>6680 HK Equity</ns0:t>
        </ns0:is>
      </ns0:c>
      <ns0:c r="B413">
        <ns0:f>IF('IPO Live'!$A413="","",BDP('IPO Live'!$A413,"PX_YEST_CLOSE"))</ns0:f>
        <ns0:v/>
      </ns0:c>
    </ns0:row>
    <ns0:row r="414">
      <ns0:c r="A414" t="inlineStr">
        <ns0:is>
          <ns0:t>1413 HK Equity</ns0:t>
        </ns0:is>
      </ns0:c>
      <ns0:c r="B414">
        <ns0:f>IF('IPO Live'!$A414="","",BDP('IPO Live'!$A414,"PX_YEST_CLOSE"))</ns0:f>
        <ns0:v/>
      </ns0:c>
    </ns0:row>
    <ns0:row r="415">
      <ns0:c r="A415" t="inlineStr">
        <ns0:is>
          <ns0:t>3952 HK Equity</ns0:t>
        </ns0:is>
      </ns0:c>
      <ns0:c r="B415">
        <ns0:f>IF('IPO Live'!$A415="","",BDP('IPO Live'!$A415,"PX_YEST_CLOSE"))</ns0:f>
        <ns0:v/>
      </ns0:c>
    </ns0:row>
    <ns0:row r="416">
      <ns0:c r="A416" t="inlineStr">
        <ns0:is>
          <ns0:t>2490 HK Equity</ns0:t>
        </ns0:is>
      </ns0:c>
      <ns0:c r="B416">
        <ns0:f>IF('IPO Live'!$A416="","",BDP('IPO Live'!$A416,"PX_YEST_CLOSE"))</ns0:f>
        <ns0:v/>
      </ns0:c>
    </ns0:row>
    <ns0:row r="417">
      <ns0:c r="A417" t="inlineStr">
        <ns0:is>
          <ns0:t>2129 HK Equity</ns0:t>
        </ns0:is>
      </ns0:c>
      <ns0:c r="B417">
        <ns0:f>IF('IPO Live'!$A417="","",BDP('IPO Live'!$A417,"PX_YEST_CLOSE"))</ns0:f>
        <ns0:v/>
      </ns0:c>
    </ns0:row>
    <ns0:row r="418">
      <ns0:c r="A418" t="inlineStr">
        <ns0:is>
          <ns0:t>2482 HK Equity</ns0:t>
        </ns0:is>
      </ns0:c>
      <ns0:c r="B418">
        <ns0:f>IF('IPO Live'!$A418="","",BDP('IPO Live'!$A418,"PX_YEST_CLOSE"))</ns0:f>
        <ns0:v/>
      </ns0:c>
    </ns0:row>
    <ns0:row r="419">
      <ns0:c r="A419" t="inlineStr">
        <ns0:is>
          <ns0:t>2465 HK Equity</ns0:t>
        </ns0:is>
      </ns0:c>
      <ns0:c r="B419">
        <ns0:f>IF('IPO Live'!$A419="","",BDP('IPO Live'!$A419,"PX_YEST_CLOSE"))</ns0:f>
        <ns0:v/>
      </ns0:c>
    </ns0:row>
    <ns0:row r="420">
      <ns0:c r="A420" t="inlineStr">
        <ns0:is>
          <ns0:t>2155 HK Equity</ns0:t>
        </ns0:is>
      </ns0:c>
      <ns0:c r="B420">
        <ns0:f>IF('IPO Live'!$A420="","",BDP('IPO Live'!$A420,"PX_YEST_CLOSE"))</ns0:f>
        <ns0:v/>
      </ns0:c>
    </ns0:row>
    <ns0:row r="421">
      <ns0:c r="A421" t="inlineStr">
        <ns0:is>
          <ns0:t>2350 HK Equity</ns0:t>
        </ns0:is>
      </ns0:c>
      <ns0:c r="B421">
        <ns0:f>IF('IPO Live'!$A421="","",BDP('IPO Live'!$A421,"PX_YEST_CLOSE"))</ns0:f>
        <ns0:v/>
      </ns0:c>
    </ns0:row>
    <ns0:row r="422">
      <ns0:c r="A422" t="inlineStr">
        <ns0:is>
          <ns0:t>2570 HK Equity</ns0:t>
        </ns0:is>
      </ns0:c>
      <ns0:c r="B422">
        <ns0:f>IF('IPO Live'!$A422="","",BDP('IPO Live'!$A422,"PX_YEST_CLOSE"))</ns0:f>
        <ns0:v/>
      </ns0:c>
    </ns0:row>
    <ns0:row r="423">
      <ns0:c r="A423" t="inlineStr">
        <ns0:is>
          <ns0:t>666 HK Equity</ns0:t>
        </ns0:is>
      </ns0:c>
      <ns0:c r="B423">
        <ns0:f>IF('IPO Live'!$A423="","",BDP('IPO Live'!$A423,"PX_YEST_CLOSE"))</ns0:f>
        <ns0:v/>
      </ns0:c>
    </ns0:row>
    <ns0:row r="424">
      <ns0:c r="A424" t="inlineStr">
        <ns0:is>
          <ns0:t>537 HK Equity</ns0:t>
        </ns0:is>
      </ns0:c>
      <ns0:c r="B424">
        <ns0:f>IF('IPO Live'!$A424="","",BDP('IPO Live'!$A424,"PX_YEST_CLOSE"))</ns0:f>
        <ns0:v/>
      </ns0:c>
    </ns0:row>
    <ns0:row r="425">
      <ns0:c r="A425" t="inlineStr">
        <ns0:is>
          <ns0:t>2571 HK Equity</ns0:t>
        </ns0:is>
      </ns0:c>
      <ns0:c r="B425">
        <ns0:f>IF('IPO Live'!$A425="","",BDP('IPO Live'!$A425,"PX_YEST_CLOSE"))</ns0:f>
        <ns0:v/>
      </ns0:c>
    </ns0:row>
    <ns0:row r="426">
      <ns0:c r="A426" t="inlineStr">
        <ns0:is>
          <ns0:t>6031 HK Equity</ns0:t>
        </ns0:is>
      </ns0:c>
      <ns0:c r="B426">
        <ns0:f>IF('IPO Live'!$A426="","",BDP('IPO Live'!$A426,"PX_YEST_CLOSE"))</ns0:f>
        <ns0:v/>
      </ns0:c>
    </ns0:row>
    <ns0:row r="427">
      <ns0:c r="A427" t="inlineStr">
        <ns0:is>
          <ns0:t>2409 HK Equity</ns0:t>
        </ns0:is>
      </ns0:c>
      <ns0:c r="B427">
        <ns0:f>IF('IPO Live'!$A427="","",BDP('IPO Live'!$A427,"PX_YEST_CLOSE"))</ns0:f>
        <ns0:v/>
      </ns0:c>
    </ns0:row>
    <ns0:row r="428">
      <ns0:c r="A428" t="inlineStr">
        <ns0:is>
          <ns0:t>6067 HK Equity</ns0:t>
        </ns0:is>
      </ns0:c>
      <ns0:c r="B428">
        <ns0:f>IF('IPO Live'!$A428="","",BDP('IPO Live'!$A428,"PX_YEST_CLOSE"))</ns0:f>
        <ns0:v/>
      </ns0:c>
    </ns0:row>
    <ns0:row r="429">
      <ns0:c r="A429" t="inlineStr">
        <ns0:is>
          <ns0:t>6936 HK Equity</ns0:t>
        </ns0:is>
      </ns0:c>
      <ns0:c r="B429">
        <ns0:f>IF('IPO Live'!$A429="","",BDP('IPO Live'!$A429,"PX_YEST_CLOSE"))</ns0:f>
        <ns0:v/>
      </ns0:c>
    </ns0:row>
    <ns0:row r="430">
      <ns0:c r="A430" t="inlineStr">
        <ns0:is>
          <ns0:t>9699 HK Equity</ns0:t>
        </ns0:is>
      </ns0:c>
      <ns0:c r="B430">
        <ns0:f>IF('IPO Live'!$A430="","",BDP('IPO Live'!$A430,"PX_YEST_CLOSE"))</ns0:f>
        <ns0:v/>
      </ns0:c>
    </ns0:row>
    <ns0:row r="431">
      <ns0:c r="A431" t="inlineStr">
        <ns0:is>
          <ns0:t>2520 HK Equity</ns0:t>
        </ns0:is>
      </ns0:c>
      <ns0:c r="B431">
        <ns0:f>IF('IPO Live'!$A431="","",BDP('IPO Live'!$A431,"PX_YEST_CLOSE"))</ns0:f>
        <ns0:v/>
      </ns0:c>
    </ns0:row>
    <ns0:row r="432">
      <ns0:c r="A432" t="inlineStr">
        <ns0:is>
          <ns0:t>6960 HK Equity</ns0:t>
        </ns0:is>
      </ns0:c>
      <ns0:c r="B432">
        <ns0:f>IF('IPO Live'!$A432="","",BDP('IPO Live'!$A432,"PX_YEST_CLOSE"))</ns0:f>
        <ns0:v/>
      </ns0:c>
    </ns0:row>
    <ns0:row r="433">
      <ns0:c r="A433" t="inlineStr">
        <ns0:is>
          <ns0:t>6656 HK Equity</ns0:t>
        </ns0:is>
      </ns0:c>
      <ns0:c r="B433">
        <ns0:f>IF('IPO Live'!$A433="","",BDP('IPO Live'!$A433,"PX_YEST_CLOSE"))</ns0:f>
        <ns0:v/>
      </ns0:c>
    </ns0:row>
    <ns0:row r="434">
      <ns0:c r="A434" t="inlineStr">
        <ns0:is>
          <ns0:t>2402 HK Equity</ns0:t>
        </ns0:is>
      </ns0:c>
      <ns0:c r="B434">
        <ns0:f>IF('IPO Live'!$A434="","",BDP('IPO Live'!$A434,"PX_YEST_CLOSE"))</ns0:f>
        <ns0:v/>
      </ns0:c>
    </ns0:row>
    <ns0:row r="435">
      <ns0:c r="A435" t="inlineStr">
        <ns0:is>
          <ns0:t>9663 HK Equity</ns0:t>
        </ns0:is>
      </ns0:c>
      <ns0:c r="B435">
        <ns0:f>IF('IPO Live'!$A435="","",BDP('IPO Live'!$A435,"PX_YEST_CLOSE"))</ns0:f>
        <ns0:v/>
      </ns0:c>
    </ns0:row>
    <ns0:row r="436">
      <ns0:c r="A436" t="inlineStr">
        <ns0:is>
          <ns0:t>2153 HK Equity</ns0:t>
        </ns0:is>
      </ns0:c>
      <ns0:c r="B436">
        <ns0:f>IF('IPO Live'!$A436="","",BDP('IPO Live'!$A436,"PX_YEST_CLOSE"))</ns0:f>
        <ns0:v/>
      </ns0:c>
    </ns0:row>
    <ns0:row r="437">
      <ns0:c r="A437" t="inlineStr">
        <ns0:is>
          <ns0:t>2515 HK Equity</ns0:t>
        </ns0:is>
      </ns0:c>
      <ns0:c r="B437">
        <ns0:f>IF('IPO Live'!$A437="","",BDP('IPO Live'!$A437,"PX_YEST_CLOSE"))</ns0:f>
        <ns0:v/>
      </ns0:c>
    </ns0:row>
    <ns0:row r="438">
      <ns0:c r="A438" t="inlineStr">
        <ns0:is>
          <ns0:t>7688 HK Equity</ns0:t>
        </ns0:is>
      </ns0:c>
      <ns0:c r="B438">
        <ns0:f>IF('IPO Live'!$A438="","",BDP('IPO Live'!$A438,"PX_YEST_CLOSE"))</ns0:f>
        <ns0:v/>
      </ns0:c>
    </ns0:row>
    <ns0:row r="439">
      <ns0:c r="A439" t="inlineStr">
        <ns0:is>
          <ns0:t>2510 HK Equity</ns0:t>
        </ns0:is>
      </ns0:c>
      <ns0:c r="B439">
        <ns0:f>IF('IPO Live'!$A439="","",BDP('IPO Live'!$A439,"PX_YEST_CLOSE"))</ns0:f>
        <ns0:v/>
      </ns0:c>
    </ns0:row>
    <ns0:row r="440">
      <ns0:c r="A440" t="inlineStr">
        <ns0:is>
          <ns0:t>2195 HK Equity</ns0:t>
        </ns0:is>
      </ns0:c>
      <ns0:c r="B440">
        <ns0:f>IF('IPO Live'!$A440="","",BDP('IPO Live'!$A440,"PX_YEST_CLOSE"))</ns0:f>
        <ns0:v/>
      </ns0:c>
    </ns0:row>
    <ns0:row r="441">
      <ns0:c r="A441" t="inlineStr">
        <ns0:is>
          <ns0:t>2671 HK Equity</ns0:t>
        </ns0:is>
      </ns0:c>
      <ns0:c r="B441">
        <ns0:f>IF('IPO Live'!$A441="","",BDP('IPO Live'!$A441,"PX_YEST_CLOSE"))</ns0:f>
        <ns0:v/>
      </ns0:c>
    </ns0:row>
    <ns0:row r="442">
      <ns0:c r="A442" t="inlineStr">
        <ns0:is>
          <ns0:t>2260 HK Equity</ns0:t>
        </ns0:is>
      </ns0:c>
      <ns0:c r="B442">
        <ns0:f>IF('IPO Live'!$A442="","",BDP('IPO Live'!$A442,"PX_YEST_CLOSE"))</ns0:f>
        <ns0:v/>
      </ns0:c>
    </ns0:row>
    <ns0:row r="443">
      <ns0:c r="A443" t="inlineStr">
        <ns0:is>
          <ns0:t>9639 HK Equity</ns0:t>
        </ns0:is>
      </ns0:c>
      <ns0:c r="B443">
        <ns0:f>IF('IPO Live'!$A443="","",BDP('IPO Live'!$A443,"PX_YEST_CLOSE"))</ns0:f>
        <ns0:v/>
      </ns0:c>
    </ns0:row>
    <ns0:row r="444">
      <ns0:c r="A444" t="inlineStr">
        <ns0:is>
          <ns0:t>2535 HK Equity</ns0:t>
        </ns0:is>
      </ns0:c>
      <ns0:c r="B444">
        <ns0:f>IF('IPO Live'!$A444="","",BDP('IPO Live'!$A444,"PX_YEST_CLOSE"))</ns0:f>
        <ns0:v/>
      </ns0:c>
    </ns0:row>
    <ns0:row r="445">
      <ns0:c r="A445" t="inlineStr">
        <ns0:is>
          <ns0:t>470 HK Equity</ns0:t>
        </ns0:is>
      </ns0:c>
      <ns0:c r="B445">
        <ns0:f>IF('IPO Live'!$A445="","",BDP('IPO Live'!$A445,"PX_YEST_CLOSE"))</ns0:f>
        <ns0:v/>
      </ns0:c>
    </ns0:row>
    <ns0:row r="446">
      <ns0:c r="A446" t="inlineStr">
        <ns0:is>
          <ns0:t>3677 HK Equity</ns0:t>
        </ns0:is>
      </ns0:c>
      <ns0:c r="B446">
        <ns0:f>IF('IPO Live'!$A446="","",BDP('IPO Live'!$A446,"PX_YEST_CLOSE"))</ns0:f>
        <ns0:v/>
      </ns0:c>
    </ns0:row>
    <ns0:row r="447">
      <ns0:c r="A447" t="inlineStr">
        <ns0:is>
          <ns0:t>2692 HK Equity</ns0:t>
        </ns0:is>
      </ns0:c>
      <ns0:c r="B447">
        <ns0:f>IF('IPO Live'!$A447="","",BDP('IPO Live'!$A447,"PX_YEST_CLOSE"))</ns0:f>
        <ns0:v/>
      </ns0:c>
    </ns0:row>
    <ns0:row r="448">
      <ns0:c r="A448" t="inlineStr">
        <ns0:is>
          <ns0:t>2187 HK Equity</ns0:t>
        </ns0:is>
      </ns0:c>
      <ns0:c r="B448">
        <ns0:f>IF('IPO Live'!$A448="","",BDP('IPO Live'!$A448,"PX_YEST_CLOSE"))</ns0:f>
        <ns0:v/>
      </ns0:c>
    </ns0:row>
    <ns0:row r="449">
      <ns0:c r="A449" t="inlineStr">
        <ns0:is>
          <ns0:t>2503 HK Equity</ns0:t>
        </ns0:is>
      </ns0:c>
      <ns0:c r="B449">
        <ns0:f>IF('IPO Live'!$A449="","",BDP('IPO Live'!$A449,"PX_YEST_CLOSE"))</ns0:f>
        <ns0:v/>
      </ns0:c>
    </ns0:row>
    <ns0:row r="450">
      <ns0:c r="A450" t="inlineStr">
        <ns0:is>
          <ns0:t>1855 HK Equity</ns0:t>
        </ns0:is>
      </ns0:c>
      <ns0:c r="B450">
        <ns0:f>IF('IPO Live'!$A450="","",BDP('IPO Live'!$A450,"PX_YEST_CLOSE"))</ns0:f>
        <ns0:v/>
      </ns0:c>
    </ns0:row>
    <ns0:row r="451">
      <ns0:c r="A451" t="inlineStr">
        <ns0:is>
          <ns0:t>2433 HK Equity</ns0:t>
        </ns0:is>
      </ns0:c>
      <ns0:c r="B451">
        <ns0:f>IF('IPO Live'!$A451="","",BDP('IPO Live'!$A451,"PX_YEST_CLOSE"))</ns0:f>
        <ns0:v/>
      </ns0:c>
    </ns0:row>
    <ns0:row r="452">
      <ns0:c r="A452" t="inlineStr">
        <ns0:is>
          <ns0:t>6745 HK Equity</ns0:t>
        </ns0:is>
      </ns0:c>
      <ns0:c r="B452">
        <ns0:f>IF('IPO Live'!$A452="","",BDP('IPO Live'!$A452,"PX_YEST_CLOSE"))</ns0:f>
        <ns0:v/>
      </ns0:c>
    </ns0:row>
    <ns0:row r="453">
      <ns0:c r="A453" t="inlineStr">
        <ns0:is>
          <ns0:t>2439 HK Equity</ns0:t>
        </ns0:is>
      </ns0:c>
      <ns0:c r="B453">
        <ns0:f>IF('IPO Live'!$A453="","",BDP('IPO Live'!$A453,"PX_YEST_CLOSE"))</ns0:f>
        <ns0:v/>
      </ns0:c>
    </ns0:row>
    <ns0:row r="454">
      <ns0:c r="A454" t="inlineStr">
        <ns0:is>
          <ns0:t>6693 HK Equity</ns0:t>
        </ns0:is>
      </ns0:c>
      <ns0:c r="B454">
        <ns0:f>IF('IPO Live'!$A454="","",BDP('IPO Live'!$A454,"PX_YEST_CLOSE"))</ns0:f>
        <ns0:v/>
      </ns0:c>
    </ns0:row>
    <ns0:row r="455">
      <ns0:c r="A455" t="inlineStr">
        <ns0:is>
          <ns0:t>2237 HK Equity</ns0:t>
        </ns0:is>
      </ns0:c>
      <ns0:c r="B455">
        <ns0:f>IF('IPO Live'!$A455="","",BDP('IPO Live'!$A455,"PX_YEST_CLOSE"))</ns0:f>
        <ns0:v/>
      </ns0:c>
    </ns0:row>
    <ns0:row r="456">
      <ns0:c r="A456" t="inlineStr">
        <ns0:is>
          <ns0:t>2788 HK Equity</ns0:t>
        </ns0:is>
      </ns0:c>
      <ns0:c r="B456">
        <ns0:f>IF('IPO Live'!$A456="","",BDP('IPO Live'!$A456,"PX_YEST_CLOSE"))</ns0:f>
        <ns0:v/>
      </ns0:c>
    </ns0:row>
    <ns0:row r="457">
      <ns0:c r="A457" t="inlineStr">
        <ns0:is>
          <ns0:t>2560 HK Equity</ns0:t>
        </ns0:is>
      </ns0:c>
      <ns0:c r="B457">
        <ns0:f>IF('IPO Live'!$A457="","",BDP('IPO Live'!$A457,"PX_YEST_CLOSE"))</ns0:f>
        <ns0:v/>
      </ns0:c>
    </ns0:row>
    <ns0:row r="458">
      <ns0:c r="A458" t="inlineStr">
        <ns0:is>
          <ns0:t>6616 HK Equity</ns0:t>
        </ns0:is>
      </ns0:c>
      <ns0:c r="B458">
        <ns0:f>IF('IPO Live'!$A458="","",BDP('IPO Live'!$A458,"PX_YEST_CLOSE"))</ns0:f>
        <ns0:v/>
      </ns0:c>
    </ns0:row>
    <ns0:row r="459">
      <ns0:c r="A459" t="inlineStr">
        <ns0:is>
          <ns0:t>9609 HK Equity</ns0:t>
        </ns0:is>
      </ns0:c>
      <ns0:c r="B459">
        <ns0:f>IF('IPO Live'!$A459="","",BDP('IPO Live'!$A459,"PX_YEST_CLOSE"))</ns0:f>
        <ns0:v/>
      </ns0:c>
    </ns0:row>
    <ns0:row r="460">
      <ns0:c r="A460" t="inlineStr">
        <ns0:is>
          <ns0:t>2265 HK Equity</ns0:t>
        </ns0:is>
      </ns0:c>
      <ns0:c r="B460">
        <ns0:f>IF('IPO Live'!$A460="","",BDP('IPO Live'!$A460,"PX_YEST_CLOSE"))</ns0:f>
        <ns0:v/>
      </ns0:c>
    </ns0:row>
    <ns0:row r="461">
      <ns0:c r="A461" t="inlineStr">
        <ns0:is>
          <ns0:t>2450 HK Equity</ns0:t>
        </ns0:is>
      </ns0:c>
      <ns0:c r="B461">
        <ns0:f>IF('IPO Live'!$A461="","",BDP('IPO Live'!$A461,"PX_YEST_CLOSE"))</ns0:f>
        <ns0:v/>
      </ns0:c>
    </ns0:row>
    <ns0:row r="462">
      <ns0:c r="A462" t="inlineStr">
        <ns0:is>
          <ns0:t>6661 HK Equity</ns0:t>
        </ns0:is>
      </ns0:c>
      <ns0:c r="B462">
        <ns0:f>IF('IPO Live'!$A462="","",BDP('IPO Live'!$A462,"PX_YEST_CLOSE"))</ns0:f>
        <ns0:v/>
      </ns0:c>
    </ns0:row>
    <ns0:row r="463">
      <ns0:c r="A463" t="inlineStr">
        <ns0:is>
          <ns0:t>3858 HK Equity</ns0:t>
        </ns0:is>
      </ns0:c>
      <ns0:c r="B463">
        <ns0:f>IF('IPO Live'!$A463="","",BDP('IPO Live'!$A463,"PX_YEST_CLOSE"))</ns0:f>
        <ns0:v/>
      </ns0:c>
    </ns0:row>
    <ns0:row r="464">
      <ns0:c r="A464" t="inlineStr">
        <ns0:is>
          <ns0:t>3636 HK Equity</ns0:t>
        </ns0:is>
      </ns0:c>
      <ns0:c r="B464">
        <ns0:f>IF('IPO Live'!$A464="","",BDP('IPO Live'!$A464,"PX_YEST_CLOSE"))</ns0:f>
        <ns0:v/>
      </ns0:c>
    </ns0:row>
    <ns0:row r="465">
      <ns0:c r="A465" t="inlineStr">
        <ns0:is>
          <ns0:t>2693 HK Equity</ns0:t>
        </ns0:is>
      </ns0:c>
      <ns0:c r="B465">
        <ns0:f>IF('IPO Live'!$A465="","",BDP('IPO Live'!$A465,"PX_YEST_CLOSE"))</ns0:f>
        <ns0:v/>
      </ns0:c>
    </ns0:row>
    <ns0:row r="466">
      <ns0:c r="A466" t="inlineStr">
        <ns0:is>
          <ns0:t>2502 HK Equity</ns0:t>
        </ns0:is>
      </ns0:c>
      <ns0:c r="B466">
        <ns0:f>IF('IPO Live'!$A466="","",BDP('IPO Live'!$A466,"PX_YEST_CLOSE"))</ns0:f>
        <ns0:v/>
      </ns0:c>
    </ns0:row>
    <ns0:row r="467">
      <ns0:c r="A467" t="inlineStr">
        <ns0:is>
          <ns0:t>1407 HK Equity</ns0:t>
        </ns0:is>
      </ns0:c>
      <ns0:c r="B467">
        <ns0:f>IF('IPO Live'!$A467="","",BDP('IPO Live'!$A467,"PX_YEST_CLOSE"))</ns0:f>
        <ns0:v/>
      </ns0:c>
    </ns0:row>
    <ns0:row r="468">
      <ns0:c r="A468" t="inlineStr">
        <ns0:is>
          <ns0:t>2245 HK Equity</ns0:t>
        </ns0:is>
      </ns0:c>
      <ns0:c r="B468">
        <ns0:f>IF('IPO Live'!$A468="","",BDP('IPO Live'!$A468,"PX_YEST_CLOSE"))</ns0:f>
        <ns0:v/>
      </ns0:c>
    </ns0:row>
    <ns0:row r="469">
      <ns0:c r="A469" t="inlineStr">
        <ns0:is>
          <ns0:t>6228 HK Equity</ns0:t>
        </ns0:is>
      </ns0:c>
      <ns0:c r="B469">
        <ns0:f>IF('IPO Live'!$A469="","",BDP('IPO Live'!$A469,"PX_YEST_CLOSE"))</ns0:f>
        <ns0:v/>
      </ns0:c>
    </ns0:row>
    <ns0:row r="470">
      <ns0:c r="A470" t="inlineStr">
        <ns0:is>
          <ns0:t>9879 HK Equity</ns0:t>
        </ns0:is>
      </ns0:c>
      <ns0:c r="B470">
        <ns0:f>IF('IPO Live'!$A470="","",BDP('IPO Live'!$A470,"PX_YEST_CLOSE"))</ns0:f>
        <ns0:v/>
      </ns0:c>
    </ns0:row>
    <ns0:row r="471">
      <ns0:c r="A471" t="inlineStr">
        <ns0:is>
          <ns0:t>2610 HK Equity</ns0:t>
        </ns0:is>
      </ns0:c>
      <ns0:c r="B471">
        <ns0:f>IF('IPO Live'!$A471="","",BDP('IPO Live'!$A471,"PX_YEST_CLOSE"))</ns0:f>
        <ns0:v/>
      </ns0:c>
    </ns0:row>
    <ns0:row r="472">
      <ns0:c r="A472" t="inlineStr">
        <ns0:is>
          <ns0:t>2489 HK Equity</ns0:t>
        </ns0:is>
      </ns0:c>
      <ns0:c r="B472">
        <ns0:f>IF('IPO Live'!$A472="","",BDP('IPO Live'!$A472,"PX_YEST_CLOSE"))</ns0:f>
        <ns0:v/>
      </ns0:c>
    </ns0:row>
    <ns0:row r="473">
      <ns0:c r="A473" t="inlineStr">
        <ns0:is>
          <ns0:t>9607 HK Equity</ns0:t>
        </ns0:is>
      </ns0:c>
      <ns0:c r="B473">
        <ns0:f>IF('IPO Live'!$A473="","",BDP('IPO Live'!$A473,"PX_YEST_CLOSE"))</ns0:f>
        <ns0:v/>
      </ns0:c>
    </ns0:row>
    <ns0:row r="474">
      <ns0:c r="A474" t="inlineStr">
        <ns0:is>
          <ns0:t>2459 HK Equity</ns0:t>
        </ns0:is>
      </ns0:c>
      <ns0:c r="B474">
        <ns0:f>IF('IPO Live'!$A474="","",BDP('IPO Live'!$A474,"PX_YEST_CLOSE"))</ns0:f>
        <ns0:v/>
      </ns0:c>
    </ns0:row>
    <ns0:row r="475">
      <ns0:c r="A475" t="inlineStr">
        <ns0:is>
          <ns0:t>2553 HK Equity</ns0:t>
        </ns0:is>
      </ns0:c>
      <ns0:c r="B475">
        <ns0:f>IF('IPO Live'!$A475="","",BDP('IPO Live'!$A475,"PX_YEST_CLOSE"))</ns0:f>
        <ns0:v/>
      </ns0:c>
    </ns0:row>
    <ns0:row r="476">
      <ns0:c r="A476" t="inlineStr">
        <ns0:is>
          <ns0:t>2569 HK Equity</ns0:t>
        </ns0:is>
      </ns0:c>
      <ns0:c r="B476">
        <ns0:f>IF('IPO Live'!$A476="","",BDP('IPO Live'!$A476,"PX_YEST_CLOSE"))</ns0:f>
        <ns0:v/>
      </ns0:c>
    </ns0:row>
    <ns0:row r="477">
      <ns0:c r="A477" t="inlineStr">
        <ns0:is>
          <ns0:t>2321 HK Equity</ns0:t>
        </ns0:is>
      </ns0:c>
      <ns0:c r="B477">
        <ns0:f>IF('IPO Live'!$A477="","",BDP('IPO Live'!$A477,"PX_YEST_CLOSE"))</ns0:f>
        <ns0:v/>
      </ns0:c>
    </ns0:row>
    <ns0:row r="478">
      <ns0:c r="A478" t="inlineStr">
        <ns0:is>
          <ns0:t>9696 HK Equity</ns0:t>
        </ns0:is>
      </ns0:c>
      <ns0:c r="B478">
        <ns0:f>IF('IPO Live'!$A478="","",BDP('IPO Live'!$A478,"PX_YEST_CLOSE"))</ns0:f>
        <ns0:v/>
      </ns0:c>
    </ns0:row>
    <ns0:row r="479">
      <ns0:c r="A479" t="inlineStr">
        <ns0:is>
          <ns0:t>2372 HK Equity</ns0:t>
        </ns0:is>
      </ns0:c>
      <ns0:c r="B479">
        <ns0:f>IF('IPO Live'!$A479="","",BDP('IPO Live'!$A479,"PX_YEST_CLOSE"))</ns0:f>
        <ns0:v/>
      </ns0:c>
    </ns0:row>
    <ns0:row r="480">
      <ns0:c r="A480" t="inlineStr">
        <ns0:is>
          <ns0:t>2481 HK Equity</ns0:t>
        </ns0:is>
      </ns0:c>
      <ns0:c r="B480">
        <ns0:f>IF('IPO Live'!$A480="","",BDP('IPO Live'!$A480,"PX_YEST_CLOSE"))</ns0:f>
        <ns0:v/>
      </ns0:c>
    </ns0:row>
    <ns0:row r="481">
      <ns0:c r="A481" t="inlineStr">
        <ns0:is>
          <ns0:t>9981 HK Equity</ns0:t>
        </ns0:is>
      </ns0:c>
      <ns0:c r="B481">
        <ns0:f>IF('IPO Live'!$A481="","",BDP('IPO Live'!$A481,"PX_YEST_CLOSE"))</ns0:f>
        <ns0:v/>
      </ns0:c>
    </ns0:row>
    <ns0:row r="482">
      <ns0:c r="A482" t="inlineStr">
        <ns0:is>
          <ns0:t>2881 HK Equity</ns0:t>
        </ns0:is>
      </ns0:c>
      <ns0:c r="B482">
        <ns0:f>IF('IPO Live'!$A482="","",BDP('IPO Live'!$A482,"PX_YEST_CLOSE"))</ns0:f>
        <ns0:v/>
      </ns0:c>
    </ns0:row>
    <ns0:row r="483">
      <ns0:c r="A483" t="inlineStr">
        <ns0:is>
          <ns0:t>2546 HK Equity</ns0:t>
        </ns0:is>
      </ns0:c>
      <ns0:c r="B483">
        <ns0:f>IF('IPO Live'!$A483="","",BDP('IPO Live'!$A483,"PX_YEST_CLOSE"))</ns0:f>
        <ns0:v/>
      </ns0:c>
    </ns0:row>
    <ns0:row r="484">
      <ns0:c r="A484" t="inlineStr">
        <ns0:is>
          <ns0:t>2259 HK Equity</ns0:t>
        </ns0:is>
      </ns0:c>
      <ns0:c r="B484">
        <ns0:f>IF('IPO Live'!$A484="","",BDP('IPO Live'!$A484,"PX_YEST_CLOSE"))</ns0:f>
        <ns0:v/>
      </ns0:c>
    </ns0:row>
    <ns0:row r="485">
      <ns0:c r="A485" t="inlineStr">
        <ns0:is>
          <ns0:t>2210 HK Equity</ns0:t>
        </ns0:is>
      </ns0:c>
      <ns0:c r="B485">
        <ns0:f>IF('IPO Live'!$A485="","",BDP('IPO Live'!$A485,"PX_YEST_CLOSE"))</ns0:f>
        <ns0:v/>
      </ns0:c>
    </ns0:row>
    <ns0:row r="486">
      <ns0:c r="A486" t="inlineStr">
        <ns0:is>
          <ns0:t>9982 HK Equity</ns0:t>
        </ns0:is>
      </ns0:c>
      <ns0:c r="B486">
        <ns0:f>IF('IPO Live'!$A486="","",BDP('IPO Live'!$A486,"PX_YEST_CLOSE"))</ns0:f>
        <ns0:v/>
      </ns0:c>
    </ns0:row>
    <ns0:row r="487">
      <ns0:c r="A487" t="inlineStr">
        <ns0:is>
          <ns0:t>2270 HK Equity</ns0:t>
        </ns0:is>
      </ns0:c>
      <ns0:c r="B487">
        <ns0:f>IF('IPO Live'!$A487="","",BDP('IPO Live'!$A487,"PX_YEST_CLOSE"))</ns0:f>
        <ns0:v/>
      </ns0:c>
    </ns0:row>
    <ns0:row r="488">
      <ns0:c r="A488" t="inlineStr">
        <ns0:is>
          <ns0:t>2215 HK Equity</ns0:t>
        </ns0:is>
      </ns0:c>
      <ns0:c r="B488">
        <ns0:f>IF('IPO Live'!$A488="","",BDP('IPO Live'!$A488,"PX_YEST_CLOSE"))</ns0:f>
        <ns0:v/>
      </ns0:c>
    </ns0:row>
    <ns0:row r="489">
      <ns0:c r="A489" t="inlineStr">
        <ns0:is>
          <ns0:t>2352 HK Equity</ns0:t>
        </ns0:is>
      </ns0:c>
      <ns0:c r="B489">
        <ns0:f>IF('IPO Live'!$A489="","",BDP('IPO Live'!$A489,"PX_YEST_CLOSE"))</ns0:f>
        <ns0:v/>
      </ns0:c>
    </ns0:row>
    <ns0:row r="490">
      <ns0:c r="A490" t="inlineStr">
        <ns0:is>
          <ns0:t>6668 HK Equity</ns0:t>
        </ns0:is>
      </ns0:c>
      <ns0:c r="B490">
        <ns0:f>IF('IPO Live'!$A490="","",BDP('IPO Live'!$A490,"PX_YEST_CLOSE"))</ns0:f>
        <ns0:v/>
      </ns0:c>
    </ns0:row>
    <ns0:row r="491">
      <ns0:c r="A491" t="inlineStr">
        <ns0:is>
          <ns0:t>2529 HK Equity</ns0:t>
        </ns0:is>
      </ns0:c>
      <ns0:c r="B491">
        <ns0:f>IF('IPO Live'!$A491="","",BDP('IPO Live'!$A491,"PX_YEST_CLOSE"))</ns0:f>
        <ns0:v/>
      </ns0:c>
    </ns0:row>
    <ns0:row r="492">
      <ns0:c r="A492" t="inlineStr">
        <ns0:is>
          <ns0:t>2205 HK Equity</ns0:t>
        </ns0:is>
      </ns0:c>
      <ns0:c r="B492">
        <ns0:f>IF('IPO Live'!$A492="","",BDP('IPO Live'!$A492,"PX_YEST_CLOSE"))</ns0:f>
        <ns0:v/>
      </ns0:c>
    </ns0:row>
    <ns0:row r="493">
      <ns0:c r="A493" t="inlineStr">
        <ns0:is>
          <ns0:t>1354 HK Equity</ns0:t>
        </ns0:is>
      </ns0:c>
      <ns0:c r="B493">
        <ns0:f>IF('IPO Live'!$A493="","",BDP('IPO Live'!$A493,"PX_YEST_CLOSE"))</ns0:f>
        <ns0:v/>
      </ns0:c>
    </ns0:row>
    <ns0:row r="494">
      <ns0:c r="A494" t="inlineStr">
        <ns0:is>
          <ns0:t>1965 HK Equity</ns0:t>
        </ns0:is>
      </ns0:c>
      <ns0:c r="B494">
        <ns0:f>IF('IPO Live'!$A494="","",BDP('IPO Live'!$A494,"PX_YEST_CLOSE"))</ns0:f>
        <ns0:v/>
      </ns0:c>
    </ns0:row>
    <ns0:row r="495">
      <ns0:c r="A495" t="inlineStr">
        <ns0:is>
          <ns0:t>2539 HK Equity</ns0:t>
        </ns0:is>
      </ns0:c>
      <ns0:c r="B495">
        <ns0:f>IF('IPO Live'!$A495="","",BDP('IPO Live'!$A495,"PX_YEST_CLOSE"))</ns0:f>
        <ns0:v/>
      </ns0:c>
    </ns0:row>
    <ns0:row r="496">
      <ns0:c r="A496" t="inlineStr">
        <ns0:is>
          <ns0:t>2165 HK Equity</ns0:t>
        </ns0:is>
      </ns0:c>
      <ns0:c r="B496">
        <ns0:f>IF('IPO Live'!$A496="","",BDP('IPO Live'!$A496,"PX_YEST_CLOSE"))</ns0:f>
        <ns0:v/>
      </ns0:c>
    </ns0:row>
    <ns0:row r="497">
      <ns0:c r="A497" t="inlineStr">
        <ns0:is>
          <ns0:t>2376 HK Equity</ns0:t>
        </ns0:is>
      </ns0:c>
      <ns0:c r="B497">
        <ns0:f>IF('IPO Live'!$A497="","",BDP('IPO Live'!$A497,"PX_YEST_CLOSE"))</ns0:f>
        <ns0:v/>
      </ns0:c>
    </ns0:row>
    <ns0:row r="498">
      <ns0:c r="A498" t="inlineStr">
        <ns0:is>
          <ns0:t>3658 HK Equity</ns0:t>
        </ns0:is>
      </ns0:c>
      <ns0:c r="B498">
        <ns0:f>IF('IPO Live'!$A498="","",BDP('IPO Live'!$A498,"PX_YEST_CLOSE"))</ns0:f>
        <ns0:v/>
      </ns0:c>
    </ns0:row>
    <ns0:row r="499">
      <ns0:c r="A499" t="inlineStr">
        <ns0:is>
          <ns0:t>2602 HK Equity</ns0:t>
        </ns0:is>
      </ns0:c>
      <ns0:c r="B499">
        <ns0:f>IF('IPO Live'!$A499="","",BDP('IPO Live'!$A499,"PX_YEST_CLOSE"))</ns0:f>
        <ns0:v/>
      </ns0:c>
    </ns0:row>
    <ns0:row r="500">
      <ns0:c r="A500" t="inlineStr">
        <ns0:is>
          <ns0:t>2370 HK Equity</ns0:t>
        </ns0:is>
      </ns0:c>
      <ns0:c r="B500">
        <ns0:f>IF('IPO Live'!$A500="","",BDP('IPO Live'!$A500,"PX_YEST_CLOSE"))</ns0:f>
        <ns0:v/>
      </ns0:c>
    </ns0:row>
    <ns0:row r="501">
      <ns0:c r="A501" t="inlineStr">
        <ns0:is>
          <ns0:t>2146 HK Equity</ns0:t>
        </ns0:is>
      </ns0:c>
      <ns0:c r="B501">
        <ns0:f>IF('IPO Live'!$A501="","",BDP('IPO Live'!$A501,"PX_YEST_CLOSE"))</ns0:f>
        <ns0:v/>
      </ns0:c>
    </ns0:row>
    <ns0:row r="502">
      <ns0:c r="A502" t="inlineStr">
        <ns0:is>
          <ns0:t>2455 HK Equity</ns0:t>
        </ns0:is>
      </ns0:c>
      <ns0:c r="B502">
        <ns0:f>IF('IPO Live'!$A502="","",BDP('IPO Live'!$A502,"PX_YEST_CLOSE"))</ns0:f>
        <ns0:v/>
      </ns0:c>
    </ns0:row>
    <ns0:row r="503">
      <ns0:c r="A503" t="inlineStr">
        <ns0:is>
          <ns0:t>6611 HK Equity</ns0:t>
        </ns0:is>
      </ns0:c>
      <ns0:c r="B503">
        <ns0:f>IF('IPO Live'!$A503="","",BDP('IPO Live'!$A503,"PX_YEST_CLOSE"))</ns0:f>
        <ns0:v/>
      </ns0:c>
    </ns0:row>
    <ns0:row r="504">
      <ns0:c r="A504" t="inlineStr">
        <ns0:is>
          <ns0:t>606 HK Equity</ns0:t>
        </ns0:is>
      </ns0:c>
      <ns0:c r="B504">
        <ns0:f>IF('IPO Live'!$A504="","",BDP('IPO Live'!$A504,"PX_YEST_CLOSE"))</ns0:f>
        <ns0:v/>
      </ns0:c>
    </ns0:row>
    <ns0:row r="505">
      <ns0:c r="A505" t="inlineStr">
        <ns0:is>
          <ns0:t>2191 HK Equity</ns0:t>
        </ns0:is>
      </ns0:c>
      <ns0:c r="B505">
        <ns0:f>IF('IPO Live'!$A505="","",BDP('IPO Live'!$A505,"PX_YEST_CLOSE"))</ns0:f>
        <ns0:v/>
      </ns0:c>
    </ns0:row>
    <ns0:row r="506">
      <ns0:c r="A506" t="inlineStr">
        <ns0:is>
          <ns0:t>2521 HK Equity</ns0:t>
        </ns0:is>
      </ns0:c>
      <ns0:c r="B506">
        <ns0:f>IF('IPO Live'!$A506="","",BDP('IPO Live'!$A506,"PX_YEST_CLOSE"))</ns0:f>
        <ns0:v/>
      </ns0:c>
    </ns0:row>
    <ns0:row r="507">
      <ns0:c r="A507" t="inlineStr">
        <ns0:is>
          <ns0:t>9608 HK Equity</ns0:t>
        </ns0:is>
      </ns0:c>
      <ns0:c r="B507">
        <ns0:f>IF('IPO Live'!$A507="","",BDP('IPO Live'!$A507,"PX_YEST_CLOSE"))</ns0:f>
        <ns0:v/>
      </ns0:c>
    </ns0:row>
    <ns0:row r="508">
      <ns0:c r="A508" t="inlineStr">
        <ns0:is>
          <ns0:t>2152 HK Equity</ns0:t>
        </ns0:is>
      </ns0:c>
      <ns0:c r="B508">
        <ns0:f>IF('IPO Live'!$A508="","",BDP('IPO Live'!$A508,"PX_YEST_CLOSE"))</ns0:f>
        <ns0:v/>
      </ns0:c>
    </ns0:row>
    <ns0:row r="509">
      <ns0:c r="A509" t="inlineStr">
        <ns0:is>
          <ns0:t>6626 HK Equity</ns0:t>
        </ns0:is>
      </ns0:c>
      <ns0:c r="B509">
        <ns0:f>IF('IPO Live'!$A509="","",BDP('IPO Live'!$A509,"PX_YEST_CLOSE"))</ns0:f>
        <ns0:v/>
      </ns0:c>
    </ns0:row>
    <ns0:row r="510">
      <ns0:c r="A510" t="inlineStr">
        <ns0:is>
          <ns0:t>2271 HK Equity</ns0:t>
        </ns0:is>
      </ns0:c>
      <ns0:c r="B510">
        <ns0:f>IF('IPO Live'!$A510="","",BDP('IPO Live'!$A510,"PX_YEST_CLOSE"))</ns0:f>
        <ns0:v/>
      </ns0:c>
    </ns0:row>
    <ns0:row r="511">
      <ns0:c r="A511" t="inlineStr">
        <ns0:is>
          <ns0:t>1490 HK Equity</ns0:t>
        </ns0:is>
      </ns0:c>
      <ns0:c r="B511">
        <ns0:f>IF('IPO Live'!$A511="","",BDP('IPO Live'!$A511,"PX_YEST_CLOSE"))</ns0:f>
        <ns0:v/>
      </ns0:c>
    </ns0:row>
    <ns0:row r="512">
      <ns0:c r="A512" t="inlineStr">
        <ns0:is>
          <ns0:t>6610 HK Equity</ns0:t>
        </ns0:is>
      </ns0:c>
      <ns0:c r="B512">
        <ns0:f>IF('IPO Live'!$A512="","",BDP('IPO Live'!$A512,"PX_YEST_CLOSE"))</ns0:f>
        <ns0:v/>
      </ns0:c>
    </ns0:row>
    <ns0:row r="513">
      <ns0:c r="A513" t="inlineStr">
        <ns0:is>
          <ns0:t>2695 HK Equity</ns0:t>
        </ns0:is>
      </ns0:c>
      <ns0:c r="B513">
        <ns0:f>IF('IPO Live'!$A513="","",BDP('IPO Live'!$A513,"PX_YEST_CLOSE"))</ns0:f>
        <ns0:v/>
      </ns0:c>
    </ns0:row>
    <ns0:row r="514">
      <ns0:c r="A514" t="inlineStr">
        <ns0:is>
          <ns0:t>2540 HK Equity</ns0:t>
        </ns0:is>
      </ns0:c>
      <ns0:c r="B514">
        <ns0:f>IF('IPO Live'!$A514="","",BDP('IPO Live'!$A514,"PX_YEST_CLOSE"))</ns0:f>
        <ns0:v/>
      </ns0:c>
    </ns0:row>
    <ns0:row r="515">
      <ns0:c r="A515" t="inlineStr">
        <ns0:is>
          <ns0:t>9857 HK Equity</ns0:t>
        </ns0:is>
      </ns0:c>
      <ns0:c r="B515">
        <ns0:f>IF('IPO Live'!$A515="","",BDP('IPO Live'!$A515,"PX_YEST_CLOSE"))</ns0:f>
        <ns0:v/>
      </ns0:c>
    </ns0:row>
    <ns0:row r="516">
      <ns0:c r="A516" t="inlineStr">
        <ns0:is>
          <ns0:t>6696 HK Equity</ns0:t>
        </ns0:is>
      </ns0:c>
      <ns0:c r="B516">
        <ns0:f>IF('IPO Live'!$A516="","",BDP('IPO Live'!$A516,"PX_YEST_CLOSE"))</ns0:f>
        <ns0:v/>
      </ns0:c>
    </ns0:row>
    <ns0:row r="517">
      <ns0:c r="A517" t="inlineStr">
        <ns0:is>
          <ns0:t>1284 HK Equity</ns0:t>
        </ns0:is>
      </ns0:c>
      <ns0:c r="B517">
        <ns0:f>IF('IPO Live'!$A517="","",BDP('IPO Live'!$A517,"PX_YEST_CLOSE"))</ns0:f>
        <ns0:v/>
      </ns0:c>
    </ns0:row>
    <ns0:row r="518">
      <ns0:c r="A518" t="inlineStr">
        <ns0:is>
          <ns0:t>2486 HK Equity</ns0:t>
        </ns0:is>
      </ns0:c>
      <ns0:c r="B518">
        <ns0:f>IF('IPO Live'!$A518="","",BDP('IPO Live'!$A518,"PX_YEST_CLOSE"))</ns0:f>
        <ns0:v/>
      </ns0:c>
    </ns0:row>
    <ns0:row r="519">
      <ns0:c r="A519" t="inlineStr">
        <ns0:is>
          <ns0:t>2405 HK Equity</ns0:t>
        </ns0:is>
      </ns0:c>
      <ns0:c r="B519">
        <ns0:f>IF('IPO Live'!$A519="","",BDP('IPO Live'!$A519,"PX_YEST_CLOSE"))</ns0:f>
        <ns0:v/>
      </ns0:c>
    </ns0:row>
    <ns0:row r="520">
      <ns0:c r="A520" t="inlineStr">
        <ns0:is>
          <ns0:t>6633 HK Equity</ns0:t>
        </ns0:is>
      </ns0:c>
      <ns0:c r="B520">
        <ns0:f>IF('IPO Live'!$A520="","",BDP('IPO Live'!$A520,"PX_YEST_CLOSE"))</ns0:f>
        <ns0:v/>
      </ns0:c>
    </ns0:row>
    <ns0:row r="521">
      <ns0:c r="A521" t="inlineStr">
        <ns0:is>
          <ns0:t>917 HK Equity</ns0:t>
        </ns0:is>
      </ns0:c>
      <ns0:c r="B521">
        <ns0:f>IF('IPO Live'!$A521="","",BDP('IPO Live'!$A521,"PX_YEST_CLOSE"))</ns0:f>
        <ns0:v/>
      </ns0:c>
    </ns0:row>
    <ns0:row r="522">
      <ns0:c r="A522" t="inlineStr">
        <ns0:is>
          <ns0:t>2422 HK Equity</ns0:t>
        </ns0:is>
      </ns0:c>
      <ns0:c r="B522">
        <ns0:f>IF('IPO Live'!$A522="","",BDP('IPO Live'!$A522,"PX_YEST_CLOSE"))</ns0:f>
        <ns0:v/>
      </ns0:c>
    </ns0:row>
    <ns0:row r="523">
      <ns0:c r="A523" t="inlineStr">
        <ns0:is>
          <ns0:t>2250 HK Equity</ns0:t>
        </ns0:is>
      </ns0:c>
      <ns0:c r="B523">
        <ns0:f>IF('IPO Live'!$A523="","",BDP('IPO Live'!$A523,"PX_YEST_CLOSE"))</ns0:f>
        <ns0:v/>
      </ns0:c>
    </ns0:row>
    <ns0:row r="524">
      <ns0:c r="A524" t="inlineStr">
        <ns0:is>
          <ns0:t>6698 HK Equity</ns0:t>
        </ns0:is>
      </ns0:c>
      <ns0:c r="B524">
        <ns0:f>IF('IPO Live'!$A524="","",BDP('IPO Live'!$A524,"PX_YEST_CLOSE"))</ns0:f>
        <ns0:v/>
      </ns0:c>
    </ns0:row>
    <ns0:row r="525">
      <ns0:c r="A525" t="inlineStr">
        <ns0:is>
          <ns0:t>6683 HK Equity</ns0:t>
        </ns0:is>
      </ns0:c>
      <ns0:c r="B525">
        <ns0:f>IF('IPO Live'!$A525="","",BDP('IPO Live'!$A525,"PX_YEST_CLOSE"))</ns0:f>
        <ns0:v/>
      </ns0:c>
    </ns0:row>
    <ns0:row r="526">
      <ns0:c r="A526" t="inlineStr">
        <ns0:is>
          <ns0:t>2125 HK Equity</ns0:t>
        </ns0:is>
      </ns0:c>
      <ns0:c r="B526">
        <ns0:f>IF('IPO Live'!$A526="","",BDP('IPO Live'!$A526,"PX_YEST_CLOSE"))</ns0:f>
        <ns0:v/>
      </ns0:c>
    </ns0:row>
    <ns0:row r="527">
      <ns0:c r="A527" t="inlineStr">
        <ns0:is>
          <ns0:t>1948 HK Equity</ns0:t>
        </ns0:is>
      </ns0:c>
      <ns0:c r="B527">
        <ns0:f>IF('IPO Live'!$A527="","",BDP('IPO Live'!$A527,"PX_YEST_CLOSE"))</ns0:f>
        <ns0:v/>
      </ns0:c>
    </ns0:row>
    <ns0:row r="528">
      <ns0:c r="A528" t="inlineStr">
        <ns0:is>
          <ns0:t>2495 HK Equity</ns0:t>
        </ns0:is>
      </ns0:c>
      <ns0:c r="B528">
        <ns0:f>IF('IPO Live'!$A528="","",BDP('IPO Live'!$A528,"PX_YEST_CLOSE"))</ns0:f>
        <ns0:v/>
      </ns0:c>
    </ns0:row>
    <ns0:row r="529">
      <ns0:c r="A529" t="inlineStr">
        <ns0:is>
          <ns0:t>2306 HK Equity</ns0:t>
        </ns0:is>
      </ns0:c>
      <ns0:c r="B529">
        <ns0:f>IF('IPO Live'!$A529="","",BDP('IPO Live'!$A529,"PX_YEST_CLOSE"))</ns0:f>
        <ns0:v/>
      </ns0:c>
    </ns0:row>
    <ns0:row r="530">
      <ns0:c r="A530" t="inlineStr">
        <ns0:is>
          <ns0:t>2545 HK Equity</ns0:t>
        </ns0:is>
      </ns0:c>
      <ns0:c r="B530">
        <ns0:f>IF('IPO Live'!$A530="","",BDP('IPO Live'!$A530,"PX_YEST_CLOSE"))</ns0:f>
        <ns0:v/>
      </ns0:c>
    </ns0:row>
    <ns0:row r="531">
      <ns0:c r="A531" t="inlineStr">
        <ns0:is>
          <ns0:t>9890 HK Equity</ns0:t>
        </ns0:is>
      </ns0:c>
      <ns0:c r="B531">
        <ns0:f>IF('IPO Live'!$A531="","",BDP('IPO Live'!$A531,"PX_YEST_CLOSE"))</ns0:f>
        <ns0:v/>
      </ns0:c>
    </ns0:row>
  </ns0:sheetData>
  <ns0:printOptions horizontalCentered="1"/>
  <ns0:pageMargins left="0.75" right="0.75" top="1" bottom="1" header="0.5" footer="0.5"/>
  <ns0:pageSetup orientation="landscape" paperSize="8" fitToHeight="0" fitToWidth="1"/>
</ns0:worksheet>
</file>

<file path=xl/worksheets/sheet16.xml><?xml version="1.0" encoding="utf-8"?>
<worksheet xmlns="http://schemas.openxmlformats.org/spreadsheetml/2006/main">
  <sheetPr>
    <outlinePr summaryBelow="1" summaryRight="1"/>
    <pageSetUpPr fitToPage="1"/>
  </sheetPr>
  <dimension ref="A1:F18046"/>
  <sheetViews>
    <sheetView showGridLines="0" zoomScale="95" workbookViewId="0">
      <selection activeCell="A1" sqref="A1"/>
    </sheetView>
  </sheetViews>
  <sheetFormatPr baseColWidth="8" defaultRowHeight="15"/>
  <sheetData>
    <row r="1">
      <c r="A1" t="inlineStr">
        <is>
          <t>Date</t>
        </is>
      </c>
      <c r="B1" t="inlineStr">
        <is>
          <t>H HKD</t>
        </is>
      </c>
      <c r="C1" t="inlineStr">
        <is>
          <t>A CNY</t>
        </is>
      </c>
      <c r="D1" t="inlineStr">
        <is>
          <t>CNYHKD</t>
        </is>
      </c>
      <c r="E1" t="inlineStr">
        <is>
          <t>A date</t>
        </is>
      </c>
      <c r="F1" t="inlineStr">
        <is>
          <t>FX date</t>
        </is>
      </c>
    </row>
    <row r="2">
      <c r="A2" s="215" t="n">
        <v>46205</v>
      </c>
      <c r="B2" s="216" t="n">
        <v>114.9</v>
      </c>
      <c r="C2" s="216" t="n">
        <v>100.41</v>
      </c>
      <c r="D2" s="216" t="n">
        <v>1.154355049133301</v>
      </c>
      <c r="E2" s="215" t="n">
        <v>46205</v>
      </c>
      <c r="F2" s="215" t="n">
        <v>46205</v>
      </c>
    </row>
    <row r="3">
      <c r="A3" s="215" t="n">
        <v>46206</v>
      </c>
      <c r="B3" s="216" t="n">
        <v>99.84999999999999</v>
      </c>
      <c r="C3" s="216" t="n">
        <v>107.84</v>
      </c>
      <c r="D3" s="216" t="n">
        <v>1.155220985412598</v>
      </c>
      <c r="E3" s="215" t="n">
        <v>46206</v>
      </c>
      <c r="F3" s="215" t="n">
        <v>46206</v>
      </c>
    </row>
    <row r="4">
      <c r="A4" s="215" t="n">
        <v>46209</v>
      </c>
      <c r="B4" s="216" t="n">
        <v>99.59999999999999</v>
      </c>
      <c r="C4" s="216" t="n">
        <v>107.03</v>
      </c>
      <c r="D4" s="216" t="n">
        <v>1.155068039894104</v>
      </c>
      <c r="E4" s="215" t="n">
        <v>46209</v>
      </c>
      <c r="F4" s="215" t="n">
        <v>46209</v>
      </c>
    </row>
    <row r="5">
      <c r="A5" s="215" t="n">
        <v>46210</v>
      </c>
      <c r="B5" s="216" t="n">
        <v>106.1</v>
      </c>
      <c r="C5" s="216" t="n">
        <v>106.23</v>
      </c>
      <c r="D5" s="216" t="n">
        <v>1.153807997703552</v>
      </c>
      <c r="E5" s="215" t="n">
        <v>46210</v>
      </c>
      <c r="F5" s="215" t="n">
        <v>46210</v>
      </c>
    </row>
    <row r="6">
      <c r="A6" s="215" t="n">
        <v>46211</v>
      </c>
      <c r="B6" s="216" t="n">
        <v>104.9</v>
      </c>
      <c r="C6" s="216" t="n">
        <v>103.5</v>
      </c>
      <c r="D6" s="216" t="n">
        <v>1.154153943061829</v>
      </c>
      <c r="E6" s="215" t="n">
        <v>46211</v>
      </c>
      <c r="F6" s="215" t="n">
        <v>46211</v>
      </c>
    </row>
    <row r="7">
      <c r="A7" s="215" t="n">
        <v>46212</v>
      </c>
      <c r="B7" s="216" t="n">
        <v>100.6</v>
      </c>
      <c r="C7" s="216" t="n">
        <v>108.6</v>
      </c>
      <c r="D7" s="216" t="n">
        <v>1.152119994163513</v>
      </c>
      <c r="E7" s="215" t="n">
        <v>46212</v>
      </c>
      <c r="F7" s="215" t="n">
        <v>46212</v>
      </c>
    </row>
    <row r="8">
      <c r="A8" s="215" t="n">
        <v>46213</v>
      </c>
      <c r="B8" s="216" t="n">
        <v>102.9</v>
      </c>
      <c r="C8" s="216" t="n">
        <v>105.92</v>
      </c>
      <c r="D8" s="216" t="n">
        <v>1.153550028800964</v>
      </c>
      <c r="E8" s="215" t="n">
        <v>46213</v>
      </c>
      <c r="F8" s="215" t="n">
        <v>46213</v>
      </c>
    </row>
    <row r="9">
      <c r="A9" s="215" t="n">
        <v>46216</v>
      </c>
      <c r="B9" s="216" t="n">
        <v>96.2</v>
      </c>
      <c r="C9" s="216" t="n">
        <v>107.75</v>
      </c>
      <c r="D9" s="216" t="n">
        <v>1.156761050224304</v>
      </c>
      <c r="E9" s="215" t="n">
        <v>46216</v>
      </c>
      <c r="F9" s="215" t="n">
        <v>46216</v>
      </c>
    </row>
    <row r="10">
      <c r="A10" s="215" t="n">
        <v>46217</v>
      </c>
      <c r="B10" s="216" t="n">
        <v>102</v>
      </c>
      <c r="C10" s="216" t="n">
        <v>111.32</v>
      </c>
      <c r="D10" s="216" t="n">
        <v>1.155825972557068</v>
      </c>
      <c r="E10" s="215" t="n">
        <v>46217</v>
      </c>
      <c r="F10" s="215" t="n">
        <v>46217</v>
      </c>
    </row>
    <row r="11">
      <c r="A11" s="215" t="n">
        <v>46218</v>
      </c>
      <c r="B11" s="216" t="n">
        <v>107</v>
      </c>
      <c r="C11" s="216" t="n">
        <v>110.77</v>
      </c>
      <c r="D11" s="216" t="n">
        <v>1.157556056976318</v>
      </c>
      <c r="E11" s="215" t="n">
        <v>46218</v>
      </c>
      <c r="F11" s="215" t="n">
        <v>46218</v>
      </c>
    </row>
    <row r="12">
      <c r="A12" s="215" t="n">
        <v>46219</v>
      </c>
      <c r="B12" s="216" t="n">
        <v>100.1</v>
      </c>
      <c r="C12" s="216" t="n">
        <v>113.8</v>
      </c>
      <c r="D12" s="216" t="n">
        <v>1.157912969589233</v>
      </c>
      <c r="E12" s="215" t="n">
        <v>46219</v>
      </c>
      <c r="F12" s="215" t="n">
        <v>46219</v>
      </c>
    </row>
    <row r="13">
      <c r="A13" s="215" t="n">
        <v>46220</v>
      </c>
      <c r="B13" s="216" t="n">
        <v>93.15000000000001</v>
      </c>
      <c r="C13" s="216" t="n">
        <v>110.6</v>
      </c>
      <c r="D13" s="216" t="n">
        <v>1.157472014427185</v>
      </c>
      <c r="E13" s="215" t="n">
        <v>46220</v>
      </c>
      <c r="F13" s="215" t="n">
        <v>46220</v>
      </c>
    </row>
    <row r="14">
      <c r="A14" s="215" t="n">
        <v>46223</v>
      </c>
      <c r="B14" s="216" t="n">
        <v>103.6</v>
      </c>
      <c r="C14" s="216" t="n">
        <v>117.97</v>
      </c>
      <c r="D14" s="216" t="n">
        <v>1.157451033592224</v>
      </c>
      <c r="E14" s="215" t="n">
        <v>46223</v>
      </c>
      <c r="F14" s="215" t="n">
        <v>46223</v>
      </c>
    </row>
    <row r="15">
      <c r="A15" s="215" t="n">
        <v>46224</v>
      </c>
      <c r="B15" s="216" t="n">
        <v>106.7</v>
      </c>
      <c r="C15" s="216" t="n">
        <v>122.09</v>
      </c>
      <c r="D15" s="216" t="n">
        <v>1.157506942749023</v>
      </c>
      <c r="E15" s="215" t="n">
        <v>46224</v>
      </c>
      <c r="F15" s="215" t="n">
        <v>46224</v>
      </c>
    </row>
    <row r="16">
      <c r="A16" s="215" t="n">
        <v>46225</v>
      </c>
      <c r="B16" s="216" t="n">
        <v>101.4</v>
      </c>
      <c r="C16" s="216" t="n">
        <v>116.67</v>
      </c>
      <c r="D16" s="216" t="n">
        <v>1.158938050270081</v>
      </c>
      <c r="E16" s="215" t="n">
        <v>46225</v>
      </c>
      <c r="F16" s="215" t="n">
        <v>46225</v>
      </c>
    </row>
    <row r="17">
      <c r="A17" s="215" t="n">
        <v>46226</v>
      </c>
      <c r="B17" s="216" t="n">
        <v>100.5</v>
      </c>
      <c r="C17" s="216" t="n">
        <v>117</v>
      </c>
      <c r="D17" s="216" t="n">
        <v>1.157410979270935</v>
      </c>
      <c r="E17" s="215" t="n">
        <v>46226</v>
      </c>
      <c r="F17" s="215" t="n">
        <v>46226</v>
      </c>
    </row>
    <row r="18">
      <c r="A18" s="215" t="n">
        <v>46227</v>
      </c>
      <c r="B18" s="216" t="n">
        <v>101.2</v>
      </c>
      <c r="C18" s="216" t="n">
        <v>114.26</v>
      </c>
      <c r="D18" s="216" t="n">
        <v>1.15762197971344</v>
      </c>
      <c r="E18" s="215" t="n">
        <v>46227</v>
      </c>
      <c r="F18" s="215" t="n">
        <v>46227</v>
      </c>
    </row>
    <row r="19">
      <c r="A19" s="215" t="n">
        <v>46230</v>
      </c>
      <c r="B19" s="216" t="n">
        <v>104.3</v>
      </c>
      <c r="C19" s="216" t="n">
        <v>119.22</v>
      </c>
      <c r="D19" s="216" t="n">
        <v>1.15789794921875</v>
      </c>
      <c r="E19" s="215" t="n">
        <v>46230</v>
      </c>
      <c r="F19" s="215" t="n">
        <v>46230</v>
      </c>
    </row>
    <row r="20">
      <c r="A20" s="215" t="n">
        <v>46231</v>
      </c>
      <c r="B20" s="216" t="n">
        <v>101.3</v>
      </c>
      <c r="C20" s="216" t="n">
        <v>118.4</v>
      </c>
      <c r="D20" s="216" t="n">
        <v>1.158699035644531</v>
      </c>
      <c r="E20" s="215" t="n">
        <v>46231</v>
      </c>
      <c r="F20" s="215" t="n">
        <v>46231</v>
      </c>
    </row>
    <row r="21">
      <c r="A21" s="215" t="n">
        <v>46232</v>
      </c>
      <c r="B21" s="216" t="n">
        <v>107.3</v>
      </c>
      <c r="C21" s="216" t="n">
        <v>119.96</v>
      </c>
      <c r="D21" s="216" t="n">
        <v>1.157909989356995</v>
      </c>
      <c r="E21" s="215" t="n">
        <v>46232</v>
      </c>
      <c r="F21" s="215" t="n">
        <v>46232</v>
      </c>
    </row>
    <row r="22">
      <c r="A22" s="215" t="n">
        <v>46233</v>
      </c>
      <c r="B22" s="216" t="n">
        <v>118.3</v>
      </c>
      <c r="C22" s="216" t="n">
        <v>124</v>
      </c>
      <c r="D22" s="216" t="n">
        <v>1.158943057060242</v>
      </c>
      <c r="E22" s="215" t="n">
        <v>46233</v>
      </c>
      <c r="F22" s="215" t="n">
        <v>46233</v>
      </c>
    </row>
    <row r="23">
      <c r="A23" s="215" t="n">
        <v>46234</v>
      </c>
      <c r="B23" s="216" t="n">
        <v>109.8</v>
      </c>
      <c r="C23" s="216" t="n">
        <v>122.01</v>
      </c>
      <c r="D23" s="216" t="n">
        <v>1.160945057868958</v>
      </c>
      <c r="E23" s="215" t="n">
        <v>46234</v>
      </c>
      <c r="F23" s="215" t="n">
        <v>46234</v>
      </c>
    </row>
    <row r="24">
      <c r="A24" s="215" t="n">
        <v>46237</v>
      </c>
      <c r="B24" s="216" t="n">
        <v>108.2</v>
      </c>
      <c r="C24" s="216" t="n">
        <v>121.43</v>
      </c>
      <c r="D24" s="216" t="n">
        <v>1.161579966545105</v>
      </c>
      <c r="E24" s="215" t="n">
        <v>46237</v>
      </c>
      <c r="F24" s="215" t="n">
        <v>46237</v>
      </c>
    </row>
    <row r="25">
      <c r="A25" s="215" t="n">
        <v>46238</v>
      </c>
      <c r="B25" s="216" t="n">
        <v>108.9</v>
      </c>
      <c r="C25" s="216" t="n">
        <v>119.45</v>
      </c>
      <c r="D25" s="216" t="n">
        <v>1.161064982414246</v>
      </c>
      <c r="E25" s="215" t="n">
        <v>46238</v>
      </c>
      <c r="F25" s="215" t="n">
        <v>46238</v>
      </c>
    </row>
    <row r="26">
      <c r="A26" s="215" t="n">
        <v>46239</v>
      </c>
      <c r="B26" s="216" t="n">
        <v>108.4</v>
      </c>
      <c r="C26" s="216" t="n">
        <v>117.6</v>
      </c>
      <c r="D26" s="216" t="n">
        <v>1.161146998405457</v>
      </c>
      <c r="E26" s="215" t="n">
        <v>46239</v>
      </c>
      <c r="F26" s="215" t="n">
        <v>46239</v>
      </c>
    </row>
    <row r="27">
      <c r="A27" s="215" t="n">
        <v>46240</v>
      </c>
      <c r="B27" s="216" t="n">
        <v>104.9</v>
      </c>
      <c r="C27" s="216" t="n">
        <v>114.65</v>
      </c>
      <c r="D27" s="216" t="n">
        <v>1.161936044692993</v>
      </c>
      <c r="E27" s="215" t="n">
        <v>46240</v>
      </c>
      <c r="F27" s="215" t="n">
        <v>46240</v>
      </c>
    </row>
    <row r="28">
      <c r="A28" s="215" t="n">
        <v>46241</v>
      </c>
      <c r="B28" s="216" t="n">
        <v>108.7</v>
      </c>
      <c r="C28" s="216" t="n">
        <v>117.17</v>
      </c>
      <c r="D28" s="216" t="n">
        <v>1.162284016609192</v>
      </c>
      <c r="E28" s="215" t="n">
        <v>46241</v>
      </c>
      <c r="F28" s="215" t="n">
        <v>46241</v>
      </c>
    </row>
    <row r="29">
      <c r="A29" s="215" t="n">
        <v>46244</v>
      </c>
      <c r="B29" s="216" t="n">
        <v>110.1</v>
      </c>
      <c r="C29" s="216" t="n">
        <v>119.95</v>
      </c>
      <c r="D29" s="216" t="n">
        <v>1.162629961967468</v>
      </c>
      <c r="E29" s="215" t="n">
        <v>46244</v>
      </c>
      <c r="F29" s="215" t="n">
        <v>46244</v>
      </c>
    </row>
    <row r="30">
      <c r="A30" s="215" t="n">
        <v>46245</v>
      </c>
      <c r="B30" s="216" t="n">
        <v>110</v>
      </c>
      <c r="C30" s="216" t="n">
        <v>121.01</v>
      </c>
      <c r="D30" s="216" t="n">
        <v>1.162588000297546</v>
      </c>
      <c r="E30" s="215" t="n">
        <v>46245</v>
      </c>
      <c r="F30" s="215" t="n">
        <v>46245</v>
      </c>
    </row>
    <row r="31">
      <c r="A31" s="215" t="n">
        <v>46246</v>
      </c>
      <c r="B31" s="216" t="n">
        <v>117.7</v>
      </c>
      <c r="C31" s="216" t="n">
        <v>124.29</v>
      </c>
      <c r="D31" s="216" t="n">
        <v>1.163135051727295</v>
      </c>
      <c r="E31" s="215" t="n">
        <v>46246</v>
      </c>
      <c r="F31" s="215" t="n">
        <v>46246</v>
      </c>
    </row>
    <row r="32">
      <c r="A32" s="215" t="n">
        <v>46247</v>
      </c>
      <c r="B32" s="216" t="n">
        <v>115.1</v>
      </c>
      <c r="C32" s="216" t="n">
        <v>118.42</v>
      </c>
      <c r="D32" s="216" t="n">
        <v>1.163341045379639</v>
      </c>
      <c r="E32" s="215" t="n">
        <v>46247</v>
      </c>
      <c r="F32" s="215" t="n">
        <v>46247</v>
      </c>
    </row>
    <row r="33">
      <c r="A33" s="215" t="n">
        <v>46248</v>
      </c>
      <c r="B33" s="216" t="n">
        <v>116.9</v>
      </c>
      <c r="C33" s="216" t="n">
        <v>115.75</v>
      </c>
      <c r="D33" s="216" t="n">
        <v>1.163571000099182</v>
      </c>
      <c r="E33" s="215" t="n">
        <v>46248</v>
      </c>
      <c r="F33" s="215" t="n">
        <v>46248</v>
      </c>
    </row>
    <row r="34">
      <c r="A34" s="215" t="n">
        <v>46251</v>
      </c>
      <c r="B34" s="216" t="n">
        <v>119.3</v>
      </c>
      <c r="C34" s="216" t="n">
        <v>118.2</v>
      </c>
      <c r="D34" s="216" t="n">
        <v>1.163601994514465</v>
      </c>
      <c r="E34" s="215" t="n">
        <v>46251</v>
      </c>
      <c r="F34" s="215" t="n">
        <v>46251</v>
      </c>
    </row>
    <row r="35">
      <c r="A35" s="215" t="n">
        <v>46252</v>
      </c>
      <c r="B35" s="216" t="n">
        <v>120.8</v>
      </c>
      <c r="C35" s="216" t="n">
        <v>116.29</v>
      </c>
      <c r="D35" s="216" t="n">
        <v>1.163733005523682</v>
      </c>
      <c r="E35" s="215" t="n">
        <v>46252</v>
      </c>
      <c r="F35" s="215" t="n">
        <v>46252</v>
      </c>
    </row>
    <row r="36">
      <c r="A36" s="215" t="n">
        <v>46253</v>
      </c>
      <c r="B36" s="216" t="n">
        <v>114.8</v>
      </c>
      <c r="C36" s="216" t="n">
        <v>114.91</v>
      </c>
      <c r="D36" s="216" t="n">
        <v>1.163092017173767</v>
      </c>
      <c r="E36" s="215" t="n">
        <v>46253</v>
      </c>
      <c r="F36" s="215" t="n">
        <v>46253</v>
      </c>
    </row>
    <row r="37">
      <c r="A37" s="215" t="n">
        <v>46254</v>
      </c>
      <c r="B37" s="216" t="n">
        <v>119.5</v>
      </c>
      <c r="C37" s="216" t="n">
        <v>115.58</v>
      </c>
      <c r="D37" s="216" t="n">
        <v>1.164932012557983</v>
      </c>
      <c r="E37" s="215" t="n">
        <v>46254</v>
      </c>
      <c r="F37" s="215" t="n">
        <v>46254</v>
      </c>
    </row>
    <row r="38">
      <c r="A38" s="215" t="n">
        <v>46255</v>
      </c>
      <c r="B38" s="216" t="n">
        <v>119</v>
      </c>
      <c r="C38" s="216" t="n">
        <v>118.5</v>
      </c>
      <c r="D38" s="216" t="n">
        <v>1.166555047035217</v>
      </c>
      <c r="E38" s="215" t="n">
        <v>46255</v>
      </c>
      <c r="F38" s="215" t="n">
        <v>46255</v>
      </c>
    </row>
    <row r="39">
      <c r="A39" s="215" t="n">
        <v>46258</v>
      </c>
      <c r="B39" s="216" t="n">
        <v>119.6</v>
      </c>
      <c r="C39" s="216" t="n">
        <v>115.43</v>
      </c>
      <c r="D39" s="216" t="n">
        <v>1.166316986083984</v>
      </c>
      <c r="E39" s="215" t="n">
        <v>46258</v>
      </c>
      <c r="F39" s="215" t="n">
        <v>46258</v>
      </c>
    </row>
    <row r="40">
      <c r="A40" s="215" t="n">
        <v>46259</v>
      </c>
      <c r="B40" s="216" t="n">
        <v>126</v>
      </c>
      <c r="C40" s="216" t="n">
        <v>122.1</v>
      </c>
      <c r="D40" s="216" t="n">
        <v>1.165253043174744</v>
      </c>
      <c r="E40" s="215" t="n">
        <v>46259</v>
      </c>
      <c r="F40" s="215" t="n">
        <v>46259</v>
      </c>
    </row>
    <row r="41">
      <c r="A41" s="215" t="n">
        <v>46260</v>
      </c>
      <c r="B41" s="216" t="n">
        <v>132</v>
      </c>
      <c r="C41" s="216" t="n">
        <v>124.89</v>
      </c>
      <c r="D41" s="216" t="n">
        <v>1.166218996047974</v>
      </c>
      <c r="E41" s="215" t="n">
        <v>46260</v>
      </c>
      <c r="F41" s="215" t="n">
        <v>46260</v>
      </c>
    </row>
    <row r="42">
      <c r="A42" s="215" t="n">
        <v>46261</v>
      </c>
      <c r="B42" s="216" t="n">
        <v>126.7</v>
      </c>
      <c r="C42" s="216" t="n">
        <v>126.2</v>
      </c>
      <c r="D42" s="216" t="n">
        <v>1.165971040725708</v>
      </c>
      <c r="E42" s="215" t="n">
        <v>46261</v>
      </c>
      <c r="F42" s="215" t="n">
        <v>46261</v>
      </c>
    </row>
    <row r="43">
      <c r="A43" s="215" t="n">
        <v>46262</v>
      </c>
      <c r="B43" s="216" t="n">
        <v>128.8</v>
      </c>
      <c r="C43" s="216" t="n">
        <v>124.1</v>
      </c>
      <c r="D43" s="216" t="n">
        <v>1.165799975395203</v>
      </c>
      <c r="E43" s="215" t="n">
        <v>46262</v>
      </c>
      <c r="F43" s="215" t="n">
        <v>46262</v>
      </c>
    </row>
    <row r="44">
      <c r="A44" s="215" t="n">
        <v>46265</v>
      </c>
      <c r="B44" s="216" t="n">
        <v>120.1</v>
      </c>
      <c r="C44" s="216" t="n">
        <v>125.77</v>
      </c>
      <c r="D44" s="216" t="n">
        <v>1.165387988090515</v>
      </c>
      <c r="E44" s="215" t="n">
        <v>46265</v>
      </c>
      <c r="F44" s="215" t="n">
        <v>46265</v>
      </c>
    </row>
    <row r="45">
      <c r="A45" s="215" t="n">
        <v>46266</v>
      </c>
      <c r="B45" s="216" t="n">
        <v>126.3</v>
      </c>
      <c r="C45" s="216" t="n">
        <v>128.4</v>
      </c>
      <c r="D45" s="216" t="n">
        <v>1.165223956108093</v>
      </c>
      <c r="E45" s="215" t="n">
        <v>46266</v>
      </c>
      <c r="F45" s="215" t="n">
        <v>46266</v>
      </c>
    </row>
    <row r="46">
      <c r="A46" s="215" t="n">
        <v>46267</v>
      </c>
      <c r="B46" s="216" t="n">
        <v>134.8</v>
      </c>
      <c r="C46" s="216" t="n">
        <v>129</v>
      </c>
      <c r="D46" s="216" t="n">
        <v>1.166425943374634</v>
      </c>
      <c r="E46" s="215" t="n">
        <v>46267</v>
      </c>
      <c r="F46" s="215" t="n">
        <v>46267</v>
      </c>
    </row>
    <row r="47">
      <c r="A47" s="215" t="n">
        <v>46268</v>
      </c>
      <c r="B47" s="216" t="n">
        <v>138</v>
      </c>
      <c r="C47" s="216" t="n">
        <v>137.16</v>
      </c>
      <c r="D47" s="216" t="n">
        <v>1.167057037353516</v>
      </c>
      <c r="E47" s="215" t="n">
        <v>46268</v>
      </c>
      <c r="F47" s="215" t="n">
        <v>46268</v>
      </c>
    </row>
    <row r="48">
      <c r="A48" s="215" t="n">
        <v>46269</v>
      </c>
      <c r="B48" s="216" t="n">
        <v>138.8</v>
      </c>
      <c r="C48" s="216" t="n">
        <v>135.91</v>
      </c>
      <c r="D48" s="216" t="n">
        <v>1.166767954826355</v>
      </c>
      <c r="E48" s="215" t="n">
        <v>46269</v>
      </c>
      <c r="F48" s="215" t="n">
        <v>46269</v>
      </c>
    </row>
    <row r="49">
      <c r="A49" s="215" t="n">
        <v>46272</v>
      </c>
      <c r="B49" s="216" t="n">
        <v>137.3</v>
      </c>
      <c r="C49" s="216" t="n">
        <v>132.24</v>
      </c>
      <c r="D49" s="216" t="n">
        <v>1.168081045150757</v>
      </c>
      <c r="E49" s="215" t="n">
        <v>46272</v>
      </c>
      <c r="F49" s="215" t="n">
        <v>46272</v>
      </c>
    </row>
    <row r="50">
      <c r="A50" s="215" t="n">
        <v>46273</v>
      </c>
      <c r="B50" s="216" t="n">
        <v>128.2</v>
      </c>
      <c r="C50" s="216" t="n">
        <v>127.89</v>
      </c>
      <c r="D50" s="216" t="n">
        <v>1.168115019798279</v>
      </c>
      <c r="E50" s="215" t="n">
        <v>46273</v>
      </c>
      <c r="F50" s="215" t="n">
        <v>46273</v>
      </c>
    </row>
    <row r="51">
      <c r="A51" s="215" t="n">
        <v>46274</v>
      </c>
      <c r="B51" s="216" t="n">
        <v>126.1</v>
      </c>
      <c r="C51" s="216" t="n">
        <v>128.2</v>
      </c>
      <c r="D51" s="216" t="n">
        <v>1.168408989906311</v>
      </c>
      <c r="E51" s="215" t="n">
        <v>46274</v>
      </c>
      <c r="F51" s="215" t="n">
        <v>46274</v>
      </c>
    </row>
    <row r="52">
      <c r="A52" s="215" t="n">
        <v>46275</v>
      </c>
      <c r="B52" s="216" t="n">
        <v>124</v>
      </c>
      <c r="C52" s="216" t="n">
        <v>129.32</v>
      </c>
      <c r="D52" s="216" t="n">
        <v>1.168462991714478</v>
      </c>
      <c r="E52" s="215" t="n">
        <v>46275</v>
      </c>
      <c r="F52" s="215" t="n">
        <v>46275</v>
      </c>
    </row>
    <row r="53">
      <c r="A53" s="215" t="n">
        <v>46276</v>
      </c>
      <c r="B53" s="216" t="n">
        <v>121</v>
      </c>
      <c r="C53" s="216" t="n">
        <v>127.43</v>
      </c>
      <c r="D53" s="216" t="n">
        <v>1.169165015220642</v>
      </c>
      <c r="E53" s="215" t="n">
        <v>46276</v>
      </c>
      <c r="F53" s="215" t="n">
        <v>46276</v>
      </c>
    </row>
    <row r="54">
      <c r="A54" s="215" t="n">
        <v>46279</v>
      </c>
      <c r="B54" s="216" t="n">
        <v>122.3</v>
      </c>
      <c r="C54" s="216" t="n">
        <v>127.84</v>
      </c>
      <c r="D54" s="216" t="n">
        <v>1.16893994808197</v>
      </c>
      <c r="E54" s="215" t="n">
        <v>46279</v>
      </c>
      <c r="F54" s="215" t="n">
        <v>46279</v>
      </c>
    </row>
    <row r="55">
      <c r="A55" s="215" t="n">
        <v>46280</v>
      </c>
      <c r="B55" s="216" t="n">
        <v>121.1</v>
      </c>
      <c r="C55" s="216" t="n">
        <v>127.3</v>
      </c>
      <c r="D55" s="216" t="n">
        <v>1.169121026992798</v>
      </c>
      <c r="E55" s="215" t="n">
        <v>46280</v>
      </c>
      <c r="F55" s="215" t="n">
        <v>46280</v>
      </c>
    </row>
    <row r="56">
      <c r="A56" s="215" t="n">
        <v>46281</v>
      </c>
      <c r="B56" s="216" t="n">
        <v>120.1</v>
      </c>
      <c r="C56" s="216" t="n">
        <v>124.9</v>
      </c>
      <c r="D56" s="216" t="n">
        <v>1.168769955635071</v>
      </c>
      <c r="E56" s="215" t="n">
        <v>46281</v>
      </c>
      <c r="F56" s="215" t="n">
        <v>46281</v>
      </c>
    </row>
    <row r="57">
      <c r="A57" s="215" t="n">
        <v>46282</v>
      </c>
      <c r="B57" s="216" t="n">
        <v>119.6</v>
      </c>
      <c r="C57" s="216" t="n">
        <v>125.44</v>
      </c>
      <c r="D57" s="216" t="n">
        <v>1.169389963150024</v>
      </c>
      <c r="E57" s="215" t="n">
        <v>46282</v>
      </c>
      <c r="F57" s="215" t="n">
        <v>46282</v>
      </c>
    </row>
    <row r="58">
      <c r="A58" s="215" t="n">
        <v>46283</v>
      </c>
      <c r="B58" s="216" t="n">
        <v>117.3</v>
      </c>
      <c r="C58" s="216" t="n">
        <v>126.99</v>
      </c>
      <c r="D58" s="216" t="n">
        <v>1.16942298412323</v>
      </c>
      <c r="E58" s="215" t="n">
        <v>46283</v>
      </c>
      <c r="F58" s="215" t="n">
        <v>46283</v>
      </c>
    </row>
    <row r="59">
      <c r="A59" s="215" t="n">
        <v>46286</v>
      </c>
      <c r="B59" s="216" t="n">
        <v>117.5</v>
      </c>
      <c r="C59" s="216" t="n">
        <v>128.15</v>
      </c>
      <c r="D59" s="216" t="n">
        <v>1.171280026435852</v>
      </c>
      <c r="E59" s="215" t="n">
        <v>46286</v>
      </c>
      <c r="F59" s="215" t="n">
        <v>46286</v>
      </c>
    </row>
    <row r="60">
      <c r="A60" s="215" t="n">
        <v>46287</v>
      </c>
      <c r="B60" s="216" t="n">
        <v>116.5</v>
      </c>
      <c r="C60" s="216" t="n">
        <v>123.9</v>
      </c>
      <c r="D60" s="216" t="n">
        <v>1.171705007553101</v>
      </c>
      <c r="E60" s="215" t="n">
        <v>46287</v>
      </c>
      <c r="F60" s="215" t="n">
        <v>46287</v>
      </c>
    </row>
    <row r="61">
      <c r="A61" s="215" t="n">
        <v>46288</v>
      </c>
      <c r="B61" s="216" t="n">
        <v>115.4</v>
      </c>
      <c r="C61" s="216" t="n">
        <v>124.55</v>
      </c>
      <c r="D61" s="216" t="n">
        <v>1.170611023902893</v>
      </c>
      <c r="E61" s="215" t="n">
        <v>46288</v>
      </c>
      <c r="F61" s="215" t="n">
        <v>46288</v>
      </c>
    </row>
    <row r="62">
      <c r="A62" s="215" t="n">
        <v>46289</v>
      </c>
      <c r="B62" s="216" t="n">
        <v>119.3</v>
      </c>
      <c r="C62" s="216" t="n">
        <v>122.6</v>
      </c>
      <c r="D62" s="216" t="n">
        <v>1.16852605342865</v>
      </c>
      <c r="E62" s="215" t="n">
        <v>46289</v>
      </c>
      <c r="F62" s="215" t="n">
        <v>46289</v>
      </c>
    </row>
    <row r="63">
      <c r="A63" s="215" t="n">
        <v>46290</v>
      </c>
      <c r="B63" s="216" t="n">
        <v>115.4</v>
      </c>
      <c r="C63" s="216" t="n">
        <v>122.6</v>
      </c>
      <c r="D63" s="216" t="n">
        <v>1.168424010276794</v>
      </c>
      <c r="E63" s="215" t="n">
        <v>46289</v>
      </c>
      <c r="F63" s="215" t="n">
        <v>46290</v>
      </c>
    </row>
    <row r="64">
      <c r="A64" s="215" t="n">
        <v>46293</v>
      </c>
      <c r="B64" s="216" t="n">
        <v>115</v>
      </c>
      <c r="C64" s="216" t="n">
        <v>121.1</v>
      </c>
      <c r="D64" s="216" t="n">
        <v>1.168378949165344</v>
      </c>
      <c r="E64" s="215" t="n">
        <v>46293</v>
      </c>
      <c r="F64" s="215" t="n">
        <v>46293</v>
      </c>
    </row>
    <row r="65">
      <c r="A65" s="215" t="n">
        <v>46294</v>
      </c>
      <c r="B65" s="216" t="n">
        <v>119.1</v>
      </c>
      <c r="C65" s="216" t="n">
        <v>124.63</v>
      </c>
      <c r="D65" s="216" t="n">
        <v>1.168815970420837</v>
      </c>
      <c r="E65" s="215" t="n">
        <v>46294</v>
      </c>
      <c r="F65" s="215" t="n">
        <v>46294</v>
      </c>
    </row>
    <row r="66">
      <c r="A66" s="215" t="n">
        <v>46295</v>
      </c>
      <c r="B66" s="216" t="n">
        <v>117.9</v>
      </c>
      <c r="C66" s="216" t="n">
        <v>124.63</v>
      </c>
      <c r="D66" s="216" t="n">
        <v>1.17059600353241</v>
      </c>
      <c r="E66" s="215" t="n">
        <v>46295</v>
      </c>
      <c r="F66" s="215" t="n">
        <v>46295</v>
      </c>
    </row>
    <row r="67">
      <c r="A67" s="215" t="n">
        <v>46297</v>
      </c>
      <c r="B67" s="216" t="n">
        <v>114</v>
      </c>
      <c r="C67" s="216" t="n">
        <v>124.63</v>
      </c>
      <c r="D67" s="216" t="n">
        <v>1.170220971107483</v>
      </c>
      <c r="E67" s="215" t="n">
        <v>46295</v>
      </c>
      <c r="F67" s="215" t="n">
        <v>46297</v>
      </c>
    </row>
    <row r="68">
      <c r="A68" s="215" t="n">
        <v>46212</v>
      </c>
      <c r="B68" s="216" t="n">
        <v>105</v>
      </c>
      <c r="C68" s="216" t="n">
        <v>133.81</v>
      </c>
      <c r="D68" s="216" t="n">
        <v>1.152119994163513</v>
      </c>
      <c r="E68" s="215" t="n">
        <v>46212</v>
      </c>
      <c r="F68" s="215" t="n">
        <v>46212</v>
      </c>
    </row>
    <row r="69">
      <c r="A69" s="215" t="n">
        <v>46213</v>
      </c>
      <c r="B69" s="216" t="n">
        <v>105</v>
      </c>
      <c r="C69" s="216" t="n">
        <v>127.05</v>
      </c>
      <c r="D69" s="216" t="n">
        <v>1.153550028800964</v>
      </c>
      <c r="E69" s="215" t="n">
        <v>46213</v>
      </c>
      <c r="F69" s="215" t="n">
        <v>46213</v>
      </c>
    </row>
    <row r="70">
      <c r="A70" s="215" t="n">
        <v>46216</v>
      </c>
      <c r="B70" s="216" t="n">
        <v>99</v>
      </c>
      <c r="C70" s="216" t="n">
        <v>111.8</v>
      </c>
      <c r="D70" s="216" t="n">
        <v>1.156761050224304</v>
      </c>
      <c r="E70" s="215" t="n">
        <v>46216</v>
      </c>
      <c r="F70" s="215" t="n">
        <v>46216</v>
      </c>
    </row>
    <row r="71">
      <c r="A71" s="215" t="n">
        <v>46217</v>
      </c>
      <c r="B71" s="216" t="n">
        <v>107.1</v>
      </c>
      <c r="C71" s="216" t="n">
        <v>121.88</v>
      </c>
      <c r="D71" s="216" t="n">
        <v>1.155825972557068</v>
      </c>
      <c r="E71" s="215" t="n">
        <v>46217</v>
      </c>
      <c r="F71" s="215" t="n">
        <v>46217</v>
      </c>
    </row>
    <row r="72">
      <c r="A72" s="215" t="n">
        <v>46218</v>
      </c>
      <c r="B72" s="216" t="n">
        <v>103.2</v>
      </c>
      <c r="C72" s="216" t="n">
        <v>114.6</v>
      </c>
      <c r="D72" s="216" t="n">
        <v>1.157556056976318</v>
      </c>
      <c r="E72" s="215" t="n">
        <v>46218</v>
      </c>
      <c r="F72" s="215" t="n">
        <v>46218</v>
      </c>
    </row>
    <row r="73">
      <c r="A73" s="215" t="n">
        <v>46219</v>
      </c>
      <c r="B73" s="216" t="n">
        <v>98</v>
      </c>
      <c r="C73" s="216" t="n">
        <v>106.86</v>
      </c>
      <c r="D73" s="216" t="n">
        <v>1.157912969589233</v>
      </c>
      <c r="E73" s="215" t="n">
        <v>46219</v>
      </c>
      <c r="F73" s="215" t="n">
        <v>46219</v>
      </c>
    </row>
    <row r="74">
      <c r="A74" s="215" t="n">
        <v>46220</v>
      </c>
      <c r="B74" s="216" t="n">
        <v>90.5</v>
      </c>
      <c r="C74" s="216" t="n">
        <v>99.01000000000001</v>
      </c>
      <c r="D74" s="216" t="n">
        <v>1.157472014427185</v>
      </c>
      <c r="E74" s="215" t="n">
        <v>46220</v>
      </c>
      <c r="F74" s="215" t="n">
        <v>46220</v>
      </c>
    </row>
    <row r="75">
      <c r="A75" s="215" t="n">
        <v>46223</v>
      </c>
      <c r="B75" s="216" t="n">
        <v>90.5</v>
      </c>
      <c r="C75" s="216" t="n">
        <v>91.02</v>
      </c>
      <c r="D75" s="216" t="n">
        <v>1.157451033592224</v>
      </c>
      <c r="E75" s="215" t="n">
        <v>46223</v>
      </c>
      <c r="F75" s="215" t="n">
        <v>46223</v>
      </c>
    </row>
    <row r="76">
      <c r="A76" s="215" t="n">
        <v>46224</v>
      </c>
      <c r="B76" s="216" t="n">
        <v>101.8</v>
      </c>
      <c r="C76" s="216" t="n">
        <v>107.54</v>
      </c>
      <c r="D76" s="216" t="n">
        <v>1.157506942749023</v>
      </c>
      <c r="E76" s="215" t="n">
        <v>46224</v>
      </c>
      <c r="F76" s="215" t="n">
        <v>46224</v>
      </c>
    </row>
    <row r="77">
      <c r="A77" s="215" t="n">
        <v>46225</v>
      </c>
      <c r="B77" s="216" t="n">
        <v>98</v>
      </c>
      <c r="C77" s="216" t="n">
        <v>102.98</v>
      </c>
      <c r="D77" s="216" t="n">
        <v>1.158938050270081</v>
      </c>
      <c r="E77" s="215" t="n">
        <v>46225</v>
      </c>
      <c r="F77" s="215" t="n">
        <v>46225</v>
      </c>
    </row>
    <row r="78">
      <c r="A78" s="215" t="n">
        <v>46226</v>
      </c>
      <c r="B78" s="216" t="n">
        <v>100.7</v>
      </c>
      <c r="C78" s="216" t="n">
        <v>105.55</v>
      </c>
      <c r="D78" s="216" t="n">
        <v>1.157410979270935</v>
      </c>
      <c r="E78" s="215" t="n">
        <v>46226</v>
      </c>
      <c r="F78" s="215" t="n">
        <v>46226</v>
      </c>
    </row>
    <row r="79">
      <c r="A79" s="215" t="n">
        <v>46227</v>
      </c>
      <c r="B79" s="216" t="n">
        <v>101</v>
      </c>
      <c r="C79" s="216" t="n">
        <v>100.84</v>
      </c>
      <c r="D79" s="216" t="n">
        <v>1.15762197971344</v>
      </c>
      <c r="E79" s="215" t="n">
        <v>46227</v>
      </c>
      <c r="F79" s="215" t="n">
        <v>46227</v>
      </c>
    </row>
    <row r="80">
      <c r="A80" s="215" t="n">
        <v>46230</v>
      </c>
      <c r="B80" s="216" t="n">
        <v>103.9</v>
      </c>
      <c r="C80" s="216" t="n">
        <v>111.57</v>
      </c>
      <c r="D80" s="216" t="n">
        <v>1.15789794921875</v>
      </c>
      <c r="E80" s="215" t="n">
        <v>46230</v>
      </c>
      <c r="F80" s="215" t="n">
        <v>46230</v>
      </c>
    </row>
    <row r="81">
      <c r="A81" s="215" t="n">
        <v>46231</v>
      </c>
      <c r="B81" s="216" t="n">
        <v>88.59999999999999</v>
      </c>
      <c r="C81" s="216" t="n">
        <v>100.83</v>
      </c>
      <c r="D81" s="216" t="n">
        <v>1.158699035644531</v>
      </c>
      <c r="E81" s="215" t="n">
        <v>46231</v>
      </c>
      <c r="F81" s="215" t="n">
        <v>46231</v>
      </c>
    </row>
    <row r="82">
      <c r="A82" s="215" t="n">
        <v>46232</v>
      </c>
      <c r="B82" s="216" t="n">
        <v>91.7</v>
      </c>
      <c r="C82" s="216" t="n">
        <v>108.89</v>
      </c>
      <c r="D82" s="216" t="n">
        <v>1.157909989356995</v>
      </c>
      <c r="E82" s="215" t="n">
        <v>46232</v>
      </c>
      <c r="F82" s="215" t="n">
        <v>46232</v>
      </c>
    </row>
    <row r="83">
      <c r="A83" s="215" t="n">
        <v>46233</v>
      </c>
      <c r="B83" s="216" t="n">
        <v>92.45</v>
      </c>
      <c r="C83" s="216" t="n">
        <v>105.3</v>
      </c>
      <c r="D83" s="216" t="n">
        <v>1.158943057060242</v>
      </c>
      <c r="E83" s="215" t="n">
        <v>46233</v>
      </c>
      <c r="F83" s="215" t="n">
        <v>46233</v>
      </c>
    </row>
    <row r="84">
      <c r="A84" s="215" t="n">
        <v>46234</v>
      </c>
      <c r="B84" s="216" t="n">
        <v>100.7</v>
      </c>
      <c r="C84" s="216" t="n">
        <v>111.68</v>
      </c>
      <c r="D84" s="216" t="n">
        <v>1.160945057868958</v>
      </c>
      <c r="E84" s="215" t="n">
        <v>46234</v>
      </c>
      <c r="F84" s="215" t="n">
        <v>46234</v>
      </c>
    </row>
    <row r="85">
      <c r="A85" s="215" t="n">
        <v>46237</v>
      </c>
      <c r="B85" s="216" t="n">
        <v>98.5</v>
      </c>
      <c r="C85" s="216" t="n">
        <v>114</v>
      </c>
      <c r="D85" s="216" t="n">
        <v>1.161579966545105</v>
      </c>
      <c r="E85" s="215" t="n">
        <v>46237</v>
      </c>
      <c r="F85" s="215" t="n">
        <v>46237</v>
      </c>
    </row>
    <row r="86">
      <c r="A86" s="215" t="n">
        <v>46238</v>
      </c>
      <c r="B86" s="216" t="n">
        <v>103.8</v>
      </c>
      <c r="C86" s="216" t="n">
        <v>120.98</v>
      </c>
      <c r="D86" s="216" t="n">
        <v>1.161064982414246</v>
      </c>
      <c r="E86" s="215" t="n">
        <v>46238</v>
      </c>
      <c r="F86" s="215" t="n">
        <v>46238</v>
      </c>
    </row>
    <row r="87">
      <c r="A87" s="215" t="n">
        <v>46239</v>
      </c>
      <c r="B87" s="216" t="n">
        <v>111</v>
      </c>
      <c r="C87" s="216" t="n">
        <v>128.19</v>
      </c>
      <c r="D87" s="216" t="n">
        <v>1.161146998405457</v>
      </c>
      <c r="E87" s="215" t="n">
        <v>46239</v>
      </c>
      <c r="F87" s="215" t="n">
        <v>46239</v>
      </c>
    </row>
    <row r="88">
      <c r="A88" s="215" t="n">
        <v>46240</v>
      </c>
      <c r="B88" s="216" t="n">
        <v>103.8</v>
      </c>
      <c r="C88" s="216" t="n">
        <v>127</v>
      </c>
      <c r="D88" s="216" t="n">
        <v>1.161936044692993</v>
      </c>
      <c r="E88" s="215" t="n">
        <v>46240</v>
      </c>
      <c r="F88" s="215" t="n">
        <v>46240</v>
      </c>
    </row>
    <row r="89">
      <c r="A89" s="215" t="n">
        <v>46241</v>
      </c>
      <c r="B89" s="216" t="n">
        <v>107</v>
      </c>
      <c r="C89" s="216" t="n">
        <v>127.39</v>
      </c>
      <c r="D89" s="216" t="n">
        <v>1.162284016609192</v>
      </c>
      <c r="E89" s="215" t="n">
        <v>46241</v>
      </c>
      <c r="F89" s="215" t="n">
        <v>46241</v>
      </c>
    </row>
    <row r="90">
      <c r="A90" s="215" t="n">
        <v>46244</v>
      </c>
      <c r="B90" s="216" t="n">
        <v>107.1</v>
      </c>
      <c r="C90" s="216" t="n">
        <v>126.9</v>
      </c>
      <c r="D90" s="216" t="n">
        <v>1.162629961967468</v>
      </c>
      <c r="E90" s="215" t="n">
        <v>46244</v>
      </c>
      <c r="F90" s="215" t="n">
        <v>46244</v>
      </c>
    </row>
    <row r="91">
      <c r="A91" s="215" t="n">
        <v>46245</v>
      </c>
      <c r="B91" s="216" t="n">
        <v>117.4</v>
      </c>
      <c r="C91" s="216" t="n">
        <v>130.05</v>
      </c>
      <c r="D91" s="216" t="n">
        <v>1.162588000297546</v>
      </c>
      <c r="E91" s="215" t="n">
        <v>46245</v>
      </c>
      <c r="F91" s="215" t="n">
        <v>46245</v>
      </c>
    </row>
    <row r="92">
      <c r="A92" s="215" t="n">
        <v>46246</v>
      </c>
      <c r="B92" s="216" t="n">
        <v>120</v>
      </c>
      <c r="C92" s="216" t="n">
        <v>127.97</v>
      </c>
      <c r="D92" s="216" t="n">
        <v>1.163135051727295</v>
      </c>
      <c r="E92" s="215" t="n">
        <v>46246</v>
      </c>
      <c r="F92" s="215" t="n">
        <v>46246</v>
      </c>
    </row>
    <row r="93">
      <c r="A93" s="215" t="n">
        <v>46247</v>
      </c>
      <c r="B93" s="216" t="n">
        <v>130.8</v>
      </c>
      <c r="C93" s="216" t="n">
        <v>128.4</v>
      </c>
      <c r="D93" s="216" t="n">
        <v>1.163341045379639</v>
      </c>
      <c r="E93" s="215" t="n">
        <v>46247</v>
      </c>
      <c r="F93" s="215" t="n">
        <v>46247</v>
      </c>
    </row>
    <row r="94">
      <c r="A94" s="215" t="n">
        <v>46248</v>
      </c>
      <c r="B94" s="216" t="n">
        <v>129.4</v>
      </c>
      <c r="C94" s="216" t="n">
        <v>129.09</v>
      </c>
      <c r="D94" s="216" t="n">
        <v>1.163571000099182</v>
      </c>
      <c r="E94" s="215" t="n">
        <v>46248</v>
      </c>
      <c r="F94" s="215" t="n">
        <v>46248</v>
      </c>
    </row>
    <row r="95">
      <c r="A95" s="215" t="n">
        <v>46251</v>
      </c>
      <c r="B95" s="216" t="n">
        <v>127.6</v>
      </c>
      <c r="C95" s="216" t="n">
        <v>130.15</v>
      </c>
      <c r="D95" s="216" t="n">
        <v>1.163601994514465</v>
      </c>
      <c r="E95" s="215" t="n">
        <v>46251</v>
      </c>
      <c r="F95" s="215" t="n">
        <v>46251</v>
      </c>
    </row>
    <row r="96">
      <c r="A96" s="215" t="n">
        <v>46252</v>
      </c>
      <c r="B96" s="216" t="n">
        <v>124.9</v>
      </c>
      <c r="C96" s="216" t="n">
        <v>123.99</v>
      </c>
      <c r="D96" s="216" t="n">
        <v>1.163733005523682</v>
      </c>
      <c r="E96" s="215" t="n">
        <v>46252</v>
      </c>
      <c r="F96" s="215" t="n">
        <v>46252</v>
      </c>
    </row>
    <row r="97">
      <c r="A97" s="215" t="n">
        <v>46253</v>
      </c>
      <c r="B97" s="216" t="n">
        <v>112.8</v>
      </c>
      <c r="C97" s="216" t="n">
        <v>109.6</v>
      </c>
      <c r="D97" s="216" t="n">
        <v>1.163092017173767</v>
      </c>
      <c r="E97" s="215" t="n">
        <v>46253</v>
      </c>
      <c r="F97" s="215" t="n">
        <v>46253</v>
      </c>
    </row>
    <row r="98">
      <c r="A98" s="215" t="n">
        <v>46254</v>
      </c>
      <c r="B98" s="216" t="n">
        <v>110.2</v>
      </c>
      <c r="C98" s="216" t="n">
        <v>111.51</v>
      </c>
      <c r="D98" s="216" t="n">
        <v>1.164932012557983</v>
      </c>
      <c r="E98" s="215" t="n">
        <v>46254</v>
      </c>
      <c r="F98" s="215" t="n">
        <v>46254</v>
      </c>
    </row>
    <row r="99">
      <c r="A99" s="215" t="n">
        <v>46255</v>
      </c>
      <c r="B99" s="216" t="n">
        <v>113.7</v>
      </c>
      <c r="C99" s="216" t="n">
        <v>113.9</v>
      </c>
      <c r="D99" s="216" t="n">
        <v>1.166555047035217</v>
      </c>
      <c r="E99" s="215" t="n">
        <v>46255</v>
      </c>
      <c r="F99" s="215" t="n">
        <v>46255</v>
      </c>
    </row>
    <row r="100">
      <c r="A100" s="215" t="n">
        <v>46258</v>
      </c>
      <c r="B100" s="216" t="n">
        <v>105.3</v>
      </c>
      <c r="C100" s="216" t="n">
        <v>108.94</v>
      </c>
      <c r="D100" s="216" t="n">
        <v>1.166316986083984</v>
      </c>
      <c r="E100" s="215" t="n">
        <v>46258</v>
      </c>
      <c r="F100" s="215" t="n">
        <v>46258</v>
      </c>
    </row>
    <row r="101">
      <c r="A101" s="215" t="n">
        <v>46259</v>
      </c>
      <c r="B101" s="216" t="n">
        <v>108.4</v>
      </c>
      <c r="C101" s="216" t="n">
        <v>109.1</v>
      </c>
      <c r="D101" s="216" t="n">
        <v>1.165253043174744</v>
      </c>
      <c r="E101" s="215" t="n">
        <v>46259</v>
      </c>
      <c r="F101" s="215" t="n">
        <v>46259</v>
      </c>
    </row>
    <row r="102">
      <c r="A102" s="215" t="n">
        <v>46260</v>
      </c>
      <c r="B102" s="216" t="n">
        <v>106.6</v>
      </c>
      <c r="C102" s="216" t="n">
        <v>108.69</v>
      </c>
      <c r="D102" s="216" t="n">
        <v>1.166218996047974</v>
      </c>
      <c r="E102" s="215" t="n">
        <v>46260</v>
      </c>
      <c r="F102" s="215" t="n">
        <v>46260</v>
      </c>
    </row>
    <row r="103">
      <c r="A103" s="215" t="n">
        <v>46261</v>
      </c>
      <c r="B103" s="216" t="n">
        <v>111.4</v>
      </c>
      <c r="C103" s="216" t="n">
        <v>112.48</v>
      </c>
      <c r="D103" s="216" t="n">
        <v>1.165971040725708</v>
      </c>
      <c r="E103" s="215" t="n">
        <v>46261</v>
      </c>
      <c r="F103" s="215" t="n">
        <v>46261</v>
      </c>
    </row>
    <row r="104">
      <c r="A104" s="215" t="n">
        <v>46262</v>
      </c>
      <c r="B104" s="216" t="n">
        <v>114</v>
      </c>
      <c r="C104" s="216" t="n">
        <v>112.24</v>
      </c>
      <c r="D104" s="216" t="n">
        <v>1.165799975395203</v>
      </c>
      <c r="E104" s="215" t="n">
        <v>46262</v>
      </c>
      <c r="F104" s="215" t="n">
        <v>46262</v>
      </c>
    </row>
    <row r="105">
      <c r="A105" s="215" t="n">
        <v>46265</v>
      </c>
      <c r="B105" s="216" t="n">
        <v>114.7</v>
      </c>
      <c r="C105" s="216" t="n">
        <v>115</v>
      </c>
      <c r="D105" s="216" t="n">
        <v>1.165387988090515</v>
      </c>
      <c r="E105" s="215" t="n">
        <v>46265</v>
      </c>
      <c r="F105" s="215" t="n">
        <v>46265</v>
      </c>
    </row>
    <row r="106">
      <c r="A106" s="215" t="n">
        <v>46266</v>
      </c>
      <c r="B106" s="216" t="n">
        <v>110</v>
      </c>
      <c r="C106" s="216" t="n">
        <v>109.22</v>
      </c>
      <c r="D106" s="216" t="n">
        <v>1.165223956108093</v>
      </c>
      <c r="E106" s="215" t="n">
        <v>46266</v>
      </c>
      <c r="F106" s="215" t="n">
        <v>46266</v>
      </c>
    </row>
    <row r="107">
      <c r="A107" s="215" t="n">
        <v>46267</v>
      </c>
      <c r="B107" s="216" t="n">
        <v>105.6</v>
      </c>
      <c r="C107" s="216" t="n">
        <v>107.87</v>
      </c>
      <c r="D107" s="216" t="n">
        <v>1.166425943374634</v>
      </c>
      <c r="E107" s="215" t="n">
        <v>46267</v>
      </c>
      <c r="F107" s="215" t="n">
        <v>46267</v>
      </c>
    </row>
    <row r="108">
      <c r="A108" s="215" t="n">
        <v>46268</v>
      </c>
      <c r="B108" s="216" t="n">
        <v>110.3</v>
      </c>
      <c r="C108" s="216" t="n">
        <v>110.91</v>
      </c>
      <c r="D108" s="216" t="n">
        <v>1.167057037353516</v>
      </c>
      <c r="E108" s="215" t="n">
        <v>46268</v>
      </c>
      <c r="F108" s="215" t="n">
        <v>46268</v>
      </c>
    </row>
    <row r="109">
      <c r="A109" s="215" t="n">
        <v>46269</v>
      </c>
      <c r="B109" s="216" t="n">
        <v>107.9</v>
      </c>
      <c r="C109" s="216" t="n">
        <v>108.4</v>
      </c>
      <c r="D109" s="216" t="n">
        <v>1.166767954826355</v>
      </c>
      <c r="E109" s="215" t="n">
        <v>46269</v>
      </c>
      <c r="F109" s="215" t="n">
        <v>46269</v>
      </c>
    </row>
    <row r="110">
      <c r="A110" s="215" t="n">
        <v>46272</v>
      </c>
      <c r="B110" s="216" t="n">
        <v>121</v>
      </c>
      <c r="C110" s="216" t="n">
        <v>114.92</v>
      </c>
      <c r="D110" s="216" t="n">
        <v>1.168081045150757</v>
      </c>
      <c r="E110" s="215" t="n">
        <v>46272</v>
      </c>
      <c r="F110" s="215" t="n">
        <v>46272</v>
      </c>
    </row>
    <row r="111">
      <c r="A111" s="215" t="n">
        <v>46273</v>
      </c>
      <c r="B111" s="216" t="n">
        <v>117.6</v>
      </c>
      <c r="C111" s="216" t="n">
        <v>115.17</v>
      </c>
      <c r="D111" s="216" t="n">
        <v>1.168115019798279</v>
      </c>
      <c r="E111" s="215" t="n">
        <v>46273</v>
      </c>
      <c r="F111" s="215" t="n">
        <v>46273</v>
      </c>
    </row>
    <row r="112">
      <c r="A112" s="215" t="n">
        <v>46274</v>
      </c>
      <c r="B112" s="216" t="n">
        <v>116.4</v>
      </c>
      <c r="C112" s="216" t="n">
        <v>117.77</v>
      </c>
      <c r="D112" s="216" t="n">
        <v>1.168408989906311</v>
      </c>
      <c r="E112" s="215" t="n">
        <v>46274</v>
      </c>
      <c r="F112" s="215" t="n">
        <v>46274</v>
      </c>
    </row>
    <row r="113">
      <c r="A113" s="215" t="n">
        <v>46275</v>
      </c>
      <c r="B113" s="216" t="n">
        <v>119.6</v>
      </c>
      <c r="C113" s="216" t="n">
        <v>117.7</v>
      </c>
      <c r="D113" s="216" t="n">
        <v>1.168462991714478</v>
      </c>
      <c r="E113" s="215" t="n">
        <v>46275</v>
      </c>
      <c r="F113" s="215" t="n">
        <v>46275</v>
      </c>
    </row>
    <row r="114">
      <c r="A114" s="215" t="n">
        <v>46276</v>
      </c>
      <c r="B114" s="216" t="n">
        <v>124.4</v>
      </c>
      <c r="C114" s="216" t="n">
        <v>124.36</v>
      </c>
      <c r="D114" s="216" t="n">
        <v>1.169165015220642</v>
      </c>
      <c r="E114" s="215" t="n">
        <v>46276</v>
      </c>
      <c r="F114" s="215" t="n">
        <v>46276</v>
      </c>
    </row>
    <row r="115">
      <c r="A115" s="215" t="n">
        <v>46279</v>
      </c>
      <c r="B115" s="216" t="n">
        <v>126.5</v>
      </c>
      <c r="C115" s="216" t="n">
        <v>125.83</v>
      </c>
      <c r="D115" s="216" t="n">
        <v>1.16893994808197</v>
      </c>
      <c r="E115" s="215" t="n">
        <v>46279</v>
      </c>
      <c r="F115" s="215" t="n">
        <v>46279</v>
      </c>
    </row>
    <row r="116">
      <c r="A116" s="215" t="n">
        <v>46280</v>
      </c>
      <c r="B116" s="216" t="n">
        <v>124.9</v>
      </c>
      <c r="C116" s="216" t="n">
        <v>126.21</v>
      </c>
      <c r="D116" s="216" t="n">
        <v>1.169121026992798</v>
      </c>
      <c r="E116" s="215" t="n">
        <v>46280</v>
      </c>
      <c r="F116" s="215" t="n">
        <v>46280</v>
      </c>
    </row>
    <row r="117">
      <c r="A117" s="215" t="n">
        <v>46281</v>
      </c>
      <c r="B117" s="216" t="n">
        <v>128</v>
      </c>
      <c r="C117" s="216" t="n">
        <v>129.88</v>
      </c>
      <c r="D117" s="216" t="n">
        <v>1.168769955635071</v>
      </c>
      <c r="E117" s="215" t="n">
        <v>46281</v>
      </c>
      <c r="F117" s="215" t="n">
        <v>46281</v>
      </c>
    </row>
    <row r="118">
      <c r="A118" s="215" t="n">
        <v>46282</v>
      </c>
      <c r="B118" s="216" t="n">
        <v>124.6</v>
      </c>
      <c r="C118" s="216" t="n">
        <v>128.01</v>
      </c>
      <c r="D118" s="216" t="n">
        <v>1.169389963150024</v>
      </c>
      <c r="E118" s="215" t="n">
        <v>46282</v>
      </c>
      <c r="F118" s="215" t="n">
        <v>46282</v>
      </c>
    </row>
    <row r="119">
      <c r="A119" s="215" t="n">
        <v>46283</v>
      </c>
      <c r="B119" s="216" t="n">
        <v>139.2</v>
      </c>
      <c r="C119" s="216" t="n">
        <v>130.96</v>
      </c>
      <c r="D119" s="216" t="n">
        <v>1.16942298412323</v>
      </c>
      <c r="E119" s="215" t="n">
        <v>46283</v>
      </c>
      <c r="F119" s="215" t="n">
        <v>46283</v>
      </c>
    </row>
    <row r="120">
      <c r="A120" s="215" t="n">
        <v>46286</v>
      </c>
      <c r="B120" s="216" t="n">
        <v>133.9</v>
      </c>
      <c r="C120" s="216" t="n">
        <v>129.84</v>
      </c>
      <c r="D120" s="216" t="n">
        <v>1.171280026435852</v>
      </c>
      <c r="E120" s="215" t="n">
        <v>46286</v>
      </c>
      <c r="F120" s="215" t="n">
        <v>46286</v>
      </c>
    </row>
    <row r="121">
      <c r="A121" s="215" t="n">
        <v>46287</v>
      </c>
      <c r="B121" s="216" t="n">
        <v>133</v>
      </c>
      <c r="C121" s="216" t="n">
        <v>129.48</v>
      </c>
      <c r="D121" s="216" t="n">
        <v>1.171705007553101</v>
      </c>
      <c r="E121" s="215" t="n">
        <v>46287</v>
      </c>
      <c r="F121" s="215" t="n">
        <v>46287</v>
      </c>
    </row>
    <row r="122">
      <c r="A122" s="215" t="n">
        <v>46288</v>
      </c>
      <c r="B122" s="216" t="n">
        <v>137.5</v>
      </c>
      <c r="C122" s="216" t="n">
        <v>130.4</v>
      </c>
      <c r="D122" s="216" t="n">
        <v>1.170611023902893</v>
      </c>
      <c r="E122" s="215" t="n">
        <v>46288</v>
      </c>
      <c r="F122" s="215" t="n">
        <v>46288</v>
      </c>
    </row>
    <row r="123">
      <c r="A123" s="215" t="n">
        <v>46289</v>
      </c>
      <c r="B123" s="216" t="n">
        <v>133.6</v>
      </c>
      <c r="C123" s="216" t="n">
        <v>123.31</v>
      </c>
      <c r="D123" s="216" t="n">
        <v>1.16852605342865</v>
      </c>
      <c r="E123" s="215" t="n">
        <v>46289</v>
      </c>
      <c r="F123" s="215" t="n">
        <v>46289</v>
      </c>
    </row>
    <row r="124">
      <c r="A124" s="215" t="n">
        <v>46290</v>
      </c>
      <c r="B124" s="216" t="n">
        <v>129.9</v>
      </c>
      <c r="C124" s="216" t="n">
        <v>123.31</v>
      </c>
      <c r="D124" s="216" t="n">
        <v>1.168424010276794</v>
      </c>
      <c r="E124" s="215" t="n">
        <v>46289</v>
      </c>
      <c r="F124" s="215" t="n">
        <v>46290</v>
      </c>
    </row>
    <row r="125">
      <c r="A125" s="215" t="n">
        <v>46293</v>
      </c>
      <c r="B125" s="216" t="n">
        <v>123</v>
      </c>
      <c r="C125" s="216" t="n">
        <v>115.54</v>
      </c>
      <c r="D125" s="216" t="n">
        <v>1.168378949165344</v>
      </c>
      <c r="E125" s="215" t="n">
        <v>46293</v>
      </c>
      <c r="F125" s="215" t="n">
        <v>46293</v>
      </c>
    </row>
    <row r="126">
      <c r="A126" s="215" t="n">
        <v>46294</v>
      </c>
      <c r="B126" s="216" t="n">
        <v>130.5</v>
      </c>
      <c r="C126" s="216" t="n">
        <v>118.63</v>
      </c>
      <c r="D126" s="216" t="n">
        <v>1.168815970420837</v>
      </c>
      <c r="E126" s="215" t="n">
        <v>46294</v>
      </c>
      <c r="F126" s="215" t="n">
        <v>46294</v>
      </c>
    </row>
    <row r="127">
      <c r="A127" s="215" t="n">
        <v>46295</v>
      </c>
      <c r="B127" s="216" t="n">
        <v>127.8</v>
      </c>
      <c r="C127" s="216" t="n">
        <v>117.33</v>
      </c>
      <c r="D127" s="216" t="n">
        <v>1.17059600353241</v>
      </c>
      <c r="E127" s="215" t="n">
        <v>46295</v>
      </c>
      <c r="F127" s="215" t="n">
        <v>46295</v>
      </c>
    </row>
    <row r="128">
      <c r="A128" s="215" t="n">
        <v>46297</v>
      </c>
      <c r="B128" s="216" t="n">
        <v>124.1</v>
      </c>
      <c r="C128" s="216" t="n">
        <v>117.33</v>
      </c>
      <c r="D128" s="216" t="n">
        <v>1.170220971107483</v>
      </c>
      <c r="E128" s="215" t="n">
        <v>46295</v>
      </c>
      <c r="F128" s="215" t="n">
        <v>46297</v>
      </c>
    </row>
    <row r="129">
      <c r="A129" s="215" t="n">
        <v>46199</v>
      </c>
      <c r="B129" s="216" t="n">
        <v>515</v>
      </c>
      <c r="C129" s="216" t="n">
        <v>527.97</v>
      </c>
      <c r="D129" s="216" t="n">
        <v>1.154500961303711</v>
      </c>
      <c r="E129" s="215" t="n">
        <v>46199</v>
      </c>
      <c r="F129" s="215" t="n">
        <v>46199</v>
      </c>
    </row>
    <row r="130">
      <c r="A130" s="215" t="n">
        <v>46202</v>
      </c>
      <c r="B130" s="216" t="n">
        <v>531</v>
      </c>
      <c r="C130" s="216" t="n">
        <v>548.0700000000001</v>
      </c>
      <c r="D130" s="216" t="n">
        <v>1.153512001037598</v>
      </c>
      <c r="E130" s="215" t="n">
        <v>46202</v>
      </c>
      <c r="F130" s="215" t="n">
        <v>46202</v>
      </c>
    </row>
    <row r="131">
      <c r="A131" s="215" t="n">
        <v>46203</v>
      </c>
      <c r="B131" s="216" t="n">
        <v>520</v>
      </c>
      <c r="C131" s="216" t="n">
        <v>549.39</v>
      </c>
      <c r="D131" s="216" t="n">
        <v>1.153959035873413</v>
      </c>
      <c r="E131" s="215" t="n">
        <v>46203</v>
      </c>
      <c r="F131" s="215" t="n">
        <v>46203</v>
      </c>
    </row>
    <row r="132">
      <c r="A132" s="215" t="n">
        <v>46205</v>
      </c>
      <c r="B132" s="216" t="n">
        <v>423.2</v>
      </c>
      <c r="C132" s="216" t="n">
        <v>468</v>
      </c>
      <c r="D132" s="216" t="n">
        <v>1.154355049133301</v>
      </c>
      <c r="E132" s="215" t="n">
        <v>46205</v>
      </c>
      <c r="F132" s="215" t="n">
        <v>46205</v>
      </c>
    </row>
    <row r="133">
      <c r="A133" s="215" t="n">
        <v>46206</v>
      </c>
      <c r="B133" s="216" t="n">
        <v>455.4</v>
      </c>
      <c r="C133" s="216" t="n">
        <v>480.32</v>
      </c>
      <c r="D133" s="216" t="n">
        <v>1.155220985412598</v>
      </c>
      <c r="E133" s="215" t="n">
        <v>46206</v>
      </c>
      <c r="F133" s="215" t="n">
        <v>46206</v>
      </c>
    </row>
    <row r="134">
      <c r="A134" s="215" t="n">
        <v>46209</v>
      </c>
      <c r="B134" s="216" t="n">
        <v>392</v>
      </c>
      <c r="C134" s="216" t="n">
        <v>470</v>
      </c>
      <c r="D134" s="216" t="n">
        <v>1.155068039894104</v>
      </c>
      <c r="E134" s="215" t="n">
        <v>46209</v>
      </c>
      <c r="F134" s="215" t="n">
        <v>46209</v>
      </c>
    </row>
    <row r="135">
      <c r="A135" s="215" t="n">
        <v>46210</v>
      </c>
      <c r="B135" s="216" t="n">
        <v>385</v>
      </c>
      <c r="C135" s="216" t="n">
        <v>462.23</v>
      </c>
      <c r="D135" s="216" t="n">
        <v>1.153807997703552</v>
      </c>
      <c r="E135" s="215" t="n">
        <v>46210</v>
      </c>
      <c r="F135" s="215" t="n">
        <v>46210</v>
      </c>
    </row>
    <row r="136">
      <c r="A136" s="215" t="n">
        <v>46211</v>
      </c>
      <c r="B136" s="216" t="n">
        <v>406.2</v>
      </c>
      <c r="C136" s="216" t="n">
        <v>473.26</v>
      </c>
      <c r="D136" s="216" t="n">
        <v>1.154153943061829</v>
      </c>
      <c r="E136" s="215" t="n">
        <v>46211</v>
      </c>
      <c r="F136" s="215" t="n">
        <v>46211</v>
      </c>
    </row>
    <row r="137">
      <c r="A137" s="215" t="n">
        <v>46212</v>
      </c>
      <c r="B137" s="216" t="n">
        <v>436</v>
      </c>
      <c r="C137" s="216" t="n">
        <v>517.8</v>
      </c>
      <c r="D137" s="216" t="n">
        <v>1.152119994163513</v>
      </c>
      <c r="E137" s="215" t="n">
        <v>46212</v>
      </c>
      <c r="F137" s="215" t="n">
        <v>46212</v>
      </c>
    </row>
    <row r="138">
      <c r="A138" s="215" t="n">
        <v>46213</v>
      </c>
      <c r="B138" s="216" t="n">
        <v>376.6</v>
      </c>
      <c r="C138" s="216" t="n">
        <v>465.02</v>
      </c>
      <c r="D138" s="216" t="n">
        <v>1.153550028800964</v>
      </c>
      <c r="E138" s="215" t="n">
        <v>46213</v>
      </c>
      <c r="F138" s="215" t="n">
        <v>46213</v>
      </c>
    </row>
    <row r="139">
      <c r="A139" s="215" t="n">
        <v>46216</v>
      </c>
      <c r="B139" s="216" t="n">
        <v>384</v>
      </c>
      <c r="C139" s="216" t="n">
        <v>446.58</v>
      </c>
      <c r="D139" s="216" t="n">
        <v>1.156761050224304</v>
      </c>
      <c r="E139" s="215" t="n">
        <v>46216</v>
      </c>
      <c r="F139" s="215" t="n">
        <v>46216</v>
      </c>
    </row>
    <row r="140">
      <c r="A140" s="215" t="n">
        <v>46217</v>
      </c>
      <c r="B140" s="216" t="n">
        <v>369.6</v>
      </c>
      <c r="C140" s="216" t="n">
        <v>455.6</v>
      </c>
      <c r="D140" s="216" t="n">
        <v>1.155825972557068</v>
      </c>
      <c r="E140" s="215" t="n">
        <v>46217</v>
      </c>
      <c r="F140" s="215" t="n">
        <v>46217</v>
      </c>
    </row>
    <row r="141">
      <c r="A141" s="215" t="n">
        <v>46218</v>
      </c>
      <c r="B141" s="216" t="n">
        <v>368.8</v>
      </c>
      <c r="C141" s="216" t="n">
        <v>430.77</v>
      </c>
      <c r="D141" s="216" t="n">
        <v>1.157556056976318</v>
      </c>
      <c r="E141" s="215" t="n">
        <v>46218</v>
      </c>
      <c r="F141" s="215" t="n">
        <v>46218</v>
      </c>
    </row>
    <row r="142">
      <c r="A142" s="215" t="n">
        <v>46219</v>
      </c>
      <c r="B142" s="216" t="n">
        <v>335.2</v>
      </c>
      <c r="C142" s="216" t="n">
        <v>384</v>
      </c>
      <c r="D142" s="216" t="n">
        <v>1.157912969589233</v>
      </c>
      <c r="E142" s="215" t="n">
        <v>46219</v>
      </c>
      <c r="F142" s="215" t="n">
        <v>46219</v>
      </c>
    </row>
    <row r="143">
      <c r="A143" s="215" t="n">
        <v>46220</v>
      </c>
      <c r="B143" s="216" t="n">
        <v>285.6</v>
      </c>
      <c r="C143" s="216" t="n">
        <v>359.78</v>
      </c>
      <c r="D143" s="216" t="n">
        <v>1.157472014427185</v>
      </c>
      <c r="E143" s="215" t="n">
        <v>46220</v>
      </c>
      <c r="F143" s="215" t="n">
        <v>46220</v>
      </c>
    </row>
    <row r="144">
      <c r="A144" s="215" t="n">
        <v>46223</v>
      </c>
      <c r="B144" s="216" t="n">
        <v>304.4</v>
      </c>
      <c r="C144" s="216" t="n">
        <v>344</v>
      </c>
      <c r="D144" s="216" t="n">
        <v>1.157451033592224</v>
      </c>
      <c r="E144" s="215" t="n">
        <v>46223</v>
      </c>
      <c r="F144" s="215" t="n">
        <v>46223</v>
      </c>
    </row>
    <row r="145">
      <c r="A145" s="215" t="n">
        <v>46224</v>
      </c>
      <c r="B145" s="216" t="n">
        <v>328.6</v>
      </c>
      <c r="C145" s="216" t="n">
        <v>403.45</v>
      </c>
      <c r="D145" s="216" t="n">
        <v>1.157506942749023</v>
      </c>
      <c r="E145" s="215" t="n">
        <v>46224</v>
      </c>
      <c r="F145" s="215" t="n">
        <v>46224</v>
      </c>
    </row>
    <row r="146">
      <c r="A146" s="215" t="n">
        <v>46225</v>
      </c>
      <c r="B146" s="216" t="n">
        <v>303</v>
      </c>
      <c r="C146" s="216" t="n">
        <v>401</v>
      </c>
      <c r="D146" s="216" t="n">
        <v>1.158938050270081</v>
      </c>
      <c r="E146" s="215" t="n">
        <v>46225</v>
      </c>
      <c r="F146" s="215" t="n">
        <v>46225</v>
      </c>
    </row>
    <row r="147">
      <c r="A147" s="215" t="n">
        <v>46226</v>
      </c>
      <c r="B147" s="216" t="n">
        <v>311</v>
      </c>
      <c r="C147" s="216" t="n">
        <v>384</v>
      </c>
      <c r="D147" s="216" t="n">
        <v>1.157410979270935</v>
      </c>
      <c r="E147" s="215" t="n">
        <v>46226</v>
      </c>
      <c r="F147" s="215" t="n">
        <v>46226</v>
      </c>
    </row>
    <row r="148">
      <c r="A148" s="215" t="n">
        <v>46227</v>
      </c>
      <c r="B148" s="216" t="n">
        <v>281.4</v>
      </c>
      <c r="C148" s="216" t="n">
        <v>408.8</v>
      </c>
      <c r="D148" s="216" t="n">
        <v>1.15762197971344</v>
      </c>
      <c r="E148" s="215" t="n">
        <v>46227</v>
      </c>
      <c r="F148" s="215" t="n">
        <v>46227</v>
      </c>
    </row>
    <row r="149">
      <c r="A149" s="215" t="n">
        <v>46230</v>
      </c>
      <c r="B149" s="216" t="n">
        <v>335.8</v>
      </c>
      <c r="C149" s="216" t="n">
        <v>420.9</v>
      </c>
      <c r="D149" s="216" t="n">
        <v>1.15789794921875</v>
      </c>
      <c r="E149" s="215" t="n">
        <v>46230</v>
      </c>
      <c r="F149" s="215" t="n">
        <v>46230</v>
      </c>
    </row>
    <row r="150">
      <c r="A150" s="215" t="n">
        <v>46231</v>
      </c>
      <c r="B150" s="216" t="n">
        <v>329.2</v>
      </c>
      <c r="C150" s="216" t="n">
        <v>378</v>
      </c>
      <c r="D150" s="216" t="n">
        <v>1.158699035644531</v>
      </c>
      <c r="E150" s="215" t="n">
        <v>46231</v>
      </c>
      <c r="F150" s="215" t="n">
        <v>46231</v>
      </c>
    </row>
    <row r="151">
      <c r="A151" s="215" t="n">
        <v>46232</v>
      </c>
      <c r="B151" s="216" t="n">
        <v>277.2</v>
      </c>
      <c r="C151" s="216" t="n">
        <v>349.92</v>
      </c>
      <c r="D151" s="216" t="n">
        <v>1.157909989356995</v>
      </c>
      <c r="E151" s="215" t="n">
        <v>46232</v>
      </c>
      <c r="F151" s="215" t="n">
        <v>46232</v>
      </c>
    </row>
    <row r="152">
      <c r="A152" s="215" t="n">
        <v>46233</v>
      </c>
      <c r="B152" s="216" t="n">
        <v>229</v>
      </c>
      <c r="C152" s="216" t="n">
        <v>299.9</v>
      </c>
      <c r="D152" s="216" t="n">
        <v>1.158943057060242</v>
      </c>
      <c r="E152" s="215" t="n">
        <v>46233</v>
      </c>
      <c r="F152" s="215" t="n">
        <v>46233</v>
      </c>
    </row>
    <row r="153">
      <c r="A153" s="215" t="n">
        <v>46234</v>
      </c>
      <c r="B153" s="216" t="n">
        <v>276.2</v>
      </c>
      <c r="C153" s="216" t="n">
        <v>325.23</v>
      </c>
      <c r="D153" s="216" t="n">
        <v>1.160945057868958</v>
      </c>
      <c r="E153" s="215" t="n">
        <v>46234</v>
      </c>
      <c r="F153" s="215" t="n">
        <v>46234</v>
      </c>
    </row>
    <row r="154">
      <c r="A154" s="215" t="n">
        <v>46237</v>
      </c>
      <c r="B154" s="216" t="n">
        <v>253.8</v>
      </c>
      <c r="C154" s="216" t="n">
        <v>303.53</v>
      </c>
      <c r="D154" s="216" t="n">
        <v>1.161579966545105</v>
      </c>
      <c r="E154" s="215" t="n">
        <v>46237</v>
      </c>
      <c r="F154" s="215" t="n">
        <v>46237</v>
      </c>
    </row>
    <row r="155">
      <c r="A155" s="215" t="n">
        <v>46238</v>
      </c>
      <c r="B155" s="216" t="n">
        <v>310</v>
      </c>
      <c r="C155" s="216" t="n">
        <v>340</v>
      </c>
      <c r="D155" s="216" t="n">
        <v>1.161064982414246</v>
      </c>
      <c r="E155" s="215" t="n">
        <v>46238</v>
      </c>
      <c r="F155" s="215" t="n">
        <v>46238</v>
      </c>
    </row>
    <row r="156">
      <c r="A156" s="215" t="n">
        <v>46239</v>
      </c>
      <c r="B156" s="216" t="n">
        <v>356</v>
      </c>
      <c r="C156" s="216" t="n">
        <v>361</v>
      </c>
      <c r="D156" s="216" t="n">
        <v>1.161146998405457</v>
      </c>
      <c r="E156" s="215" t="n">
        <v>46239</v>
      </c>
      <c r="F156" s="215" t="n">
        <v>46239</v>
      </c>
    </row>
    <row r="157">
      <c r="A157" s="215" t="n">
        <v>46240</v>
      </c>
      <c r="B157" s="216" t="n">
        <v>341</v>
      </c>
      <c r="C157" s="216" t="n">
        <v>392.62</v>
      </c>
      <c r="D157" s="216" t="n">
        <v>1.161936044692993</v>
      </c>
      <c r="E157" s="215" t="n">
        <v>46240</v>
      </c>
      <c r="F157" s="215" t="n">
        <v>46240</v>
      </c>
    </row>
    <row r="158">
      <c r="A158" s="215" t="n">
        <v>46241</v>
      </c>
      <c r="B158" s="216" t="n">
        <v>368.4</v>
      </c>
      <c r="C158" s="216" t="n">
        <v>426.99</v>
      </c>
      <c r="D158" s="216" t="n">
        <v>1.162284016609192</v>
      </c>
      <c r="E158" s="215" t="n">
        <v>46241</v>
      </c>
      <c r="F158" s="215" t="n">
        <v>46241</v>
      </c>
    </row>
    <row r="159">
      <c r="A159" s="215" t="n">
        <v>46244</v>
      </c>
      <c r="B159" s="216" t="n">
        <v>360.2</v>
      </c>
      <c r="C159" s="216" t="n">
        <v>430.3</v>
      </c>
      <c r="D159" s="216" t="n">
        <v>1.162629961967468</v>
      </c>
      <c r="E159" s="215" t="n">
        <v>46244</v>
      </c>
      <c r="F159" s="215" t="n">
        <v>46244</v>
      </c>
    </row>
    <row r="160">
      <c r="A160" s="215" t="n">
        <v>46245</v>
      </c>
      <c r="B160" s="216" t="n">
        <v>327.8</v>
      </c>
      <c r="C160" s="216" t="n">
        <v>415</v>
      </c>
      <c r="D160" s="216" t="n">
        <v>1.162588000297546</v>
      </c>
      <c r="E160" s="215" t="n">
        <v>46245</v>
      </c>
      <c r="F160" s="215" t="n">
        <v>46245</v>
      </c>
    </row>
    <row r="161">
      <c r="A161" s="215" t="n">
        <v>46246</v>
      </c>
      <c r="B161" s="216" t="n">
        <v>338.8</v>
      </c>
      <c r="C161" s="216" t="n">
        <v>425.5</v>
      </c>
      <c r="D161" s="216" t="n">
        <v>1.163135051727295</v>
      </c>
      <c r="E161" s="215" t="n">
        <v>46246</v>
      </c>
      <c r="F161" s="215" t="n">
        <v>46246</v>
      </c>
    </row>
    <row r="162">
      <c r="A162" s="215" t="n">
        <v>46247</v>
      </c>
      <c r="B162" s="216" t="n">
        <v>343</v>
      </c>
      <c r="C162" s="216" t="n">
        <v>419</v>
      </c>
      <c r="D162" s="216" t="n">
        <v>1.163341045379639</v>
      </c>
      <c r="E162" s="215" t="n">
        <v>46247</v>
      </c>
      <c r="F162" s="215" t="n">
        <v>46247</v>
      </c>
    </row>
    <row r="163">
      <c r="A163" s="215" t="n">
        <v>46248</v>
      </c>
      <c r="B163" s="216" t="n">
        <v>330.2</v>
      </c>
      <c r="C163" s="216" t="n">
        <v>419</v>
      </c>
      <c r="D163" s="216" t="n">
        <v>1.163571000099182</v>
      </c>
      <c r="E163" s="215" t="n">
        <v>46248</v>
      </c>
      <c r="F163" s="215" t="n">
        <v>46248</v>
      </c>
    </row>
    <row r="164">
      <c r="A164" s="215" t="n">
        <v>46251</v>
      </c>
      <c r="B164" s="216" t="n">
        <v>378</v>
      </c>
      <c r="C164" s="216" t="n">
        <v>448.79</v>
      </c>
      <c r="D164" s="216" t="n">
        <v>1.163601994514465</v>
      </c>
      <c r="E164" s="215" t="n">
        <v>46251</v>
      </c>
      <c r="F164" s="215" t="n">
        <v>46251</v>
      </c>
    </row>
    <row r="165">
      <c r="A165" s="215" t="n">
        <v>46252</v>
      </c>
      <c r="B165" s="216" t="n">
        <v>406</v>
      </c>
      <c r="C165" s="216" t="n">
        <v>471.2</v>
      </c>
      <c r="D165" s="216" t="n">
        <v>1.163733005523682</v>
      </c>
      <c r="E165" s="215" t="n">
        <v>46252</v>
      </c>
      <c r="F165" s="215" t="n">
        <v>46252</v>
      </c>
    </row>
    <row r="166">
      <c r="A166" s="215" t="n">
        <v>46253</v>
      </c>
      <c r="B166" s="216" t="n">
        <v>377.6</v>
      </c>
      <c r="C166" s="216" t="n">
        <v>434</v>
      </c>
      <c r="D166" s="216" t="n">
        <v>1.163092017173767</v>
      </c>
      <c r="E166" s="215" t="n">
        <v>46253</v>
      </c>
      <c r="F166" s="215" t="n">
        <v>46253</v>
      </c>
    </row>
    <row r="167">
      <c r="A167" s="215" t="n">
        <v>46254</v>
      </c>
      <c r="B167" s="216" t="n">
        <v>385</v>
      </c>
      <c r="C167" s="216" t="n">
        <v>433</v>
      </c>
      <c r="D167" s="216" t="n">
        <v>1.164932012557983</v>
      </c>
      <c r="E167" s="215" t="n">
        <v>46254</v>
      </c>
      <c r="F167" s="215" t="n">
        <v>46254</v>
      </c>
    </row>
    <row r="168">
      <c r="A168" s="215" t="n">
        <v>46255</v>
      </c>
      <c r="B168" s="216" t="n">
        <v>371.2</v>
      </c>
      <c r="C168" s="216" t="n">
        <v>429.58</v>
      </c>
      <c r="D168" s="216" t="n">
        <v>1.166555047035217</v>
      </c>
      <c r="E168" s="215" t="n">
        <v>46255</v>
      </c>
      <c r="F168" s="215" t="n">
        <v>46255</v>
      </c>
    </row>
    <row r="169">
      <c r="A169" s="215" t="n">
        <v>46258</v>
      </c>
      <c r="B169" s="216" t="n">
        <v>332.4</v>
      </c>
      <c r="C169" s="216" t="n">
        <v>426.15</v>
      </c>
      <c r="D169" s="216" t="n">
        <v>1.166316986083984</v>
      </c>
      <c r="E169" s="215" t="n">
        <v>46258</v>
      </c>
      <c r="F169" s="215" t="n">
        <v>46258</v>
      </c>
    </row>
    <row r="170">
      <c r="A170" s="215" t="n">
        <v>46259</v>
      </c>
      <c r="B170" s="216" t="n">
        <v>340</v>
      </c>
      <c r="C170" s="216" t="n">
        <v>415</v>
      </c>
      <c r="D170" s="216" t="n">
        <v>1.165253043174744</v>
      </c>
      <c r="E170" s="215" t="n">
        <v>46259</v>
      </c>
      <c r="F170" s="215" t="n">
        <v>46259</v>
      </c>
    </row>
    <row r="171">
      <c r="A171" s="215" t="n">
        <v>46260</v>
      </c>
      <c r="B171" s="216" t="n">
        <v>358.6</v>
      </c>
      <c r="C171" s="216" t="n">
        <v>430.6</v>
      </c>
      <c r="D171" s="216" t="n">
        <v>1.166218996047974</v>
      </c>
      <c r="E171" s="215" t="n">
        <v>46260</v>
      </c>
      <c r="F171" s="215" t="n">
        <v>46260</v>
      </c>
    </row>
    <row r="172">
      <c r="A172" s="215" t="n">
        <v>46261</v>
      </c>
      <c r="B172" s="216" t="n">
        <v>373</v>
      </c>
      <c r="C172" s="216" t="n">
        <v>438.6</v>
      </c>
      <c r="D172" s="216" t="n">
        <v>1.165971040725708</v>
      </c>
      <c r="E172" s="215" t="n">
        <v>46261</v>
      </c>
      <c r="F172" s="215" t="n">
        <v>46261</v>
      </c>
    </row>
    <row r="173">
      <c r="A173" s="215" t="n">
        <v>46262</v>
      </c>
      <c r="B173" s="216" t="n">
        <v>342</v>
      </c>
      <c r="C173" s="216" t="n">
        <v>418.8</v>
      </c>
      <c r="D173" s="216" t="n">
        <v>1.165799975395203</v>
      </c>
      <c r="E173" s="215" t="n">
        <v>46262</v>
      </c>
      <c r="F173" s="215" t="n">
        <v>46262</v>
      </c>
    </row>
    <row r="174">
      <c r="A174" s="215" t="n">
        <v>46265</v>
      </c>
      <c r="B174" s="216" t="n">
        <v>342</v>
      </c>
      <c r="C174" s="216" t="n">
        <v>418.8</v>
      </c>
      <c r="D174" s="216" t="n">
        <v>1.165387988090515</v>
      </c>
      <c r="E174" s="215" t="n">
        <v>46265</v>
      </c>
      <c r="F174" s="215" t="n">
        <v>46265</v>
      </c>
    </row>
    <row r="175">
      <c r="A175" s="215" t="n">
        <v>46266</v>
      </c>
      <c r="B175" s="216" t="n">
        <v>329</v>
      </c>
      <c r="C175" s="216" t="n">
        <v>404</v>
      </c>
      <c r="D175" s="216" t="n">
        <v>1.165223956108093</v>
      </c>
      <c r="E175" s="215" t="n">
        <v>46266</v>
      </c>
      <c r="F175" s="215" t="n">
        <v>46266</v>
      </c>
    </row>
    <row r="176">
      <c r="A176" s="215" t="n">
        <v>46267</v>
      </c>
      <c r="B176" s="216" t="n">
        <v>308.4</v>
      </c>
      <c r="C176" s="216" t="n">
        <v>389.41</v>
      </c>
      <c r="D176" s="216" t="n">
        <v>1.166425943374634</v>
      </c>
      <c r="E176" s="215" t="n">
        <v>46267</v>
      </c>
      <c r="F176" s="215" t="n">
        <v>46267</v>
      </c>
    </row>
    <row r="177">
      <c r="A177" s="215" t="n">
        <v>46268</v>
      </c>
      <c r="B177" s="216" t="n">
        <v>319.8</v>
      </c>
      <c r="C177" s="216" t="n">
        <v>390</v>
      </c>
      <c r="D177" s="216" t="n">
        <v>1.167057037353516</v>
      </c>
      <c r="E177" s="215" t="n">
        <v>46268</v>
      </c>
      <c r="F177" s="215" t="n">
        <v>46268</v>
      </c>
    </row>
    <row r="178">
      <c r="A178" s="215" t="n">
        <v>46269</v>
      </c>
      <c r="B178" s="216" t="n">
        <v>317.2</v>
      </c>
      <c r="C178" s="216" t="n">
        <v>370.8</v>
      </c>
      <c r="D178" s="216" t="n">
        <v>1.166767954826355</v>
      </c>
      <c r="E178" s="215" t="n">
        <v>46269</v>
      </c>
      <c r="F178" s="215" t="n">
        <v>46269</v>
      </c>
    </row>
    <row r="179">
      <c r="A179" s="215" t="n">
        <v>46272</v>
      </c>
      <c r="B179" s="216" t="n">
        <v>358</v>
      </c>
      <c r="C179" s="216" t="n">
        <v>410.05</v>
      </c>
      <c r="D179" s="216" t="n">
        <v>1.168081045150757</v>
      </c>
      <c r="E179" s="215" t="n">
        <v>46272</v>
      </c>
      <c r="F179" s="215" t="n">
        <v>46272</v>
      </c>
    </row>
    <row r="180">
      <c r="A180" s="215" t="n">
        <v>46273</v>
      </c>
      <c r="B180" s="216" t="n">
        <v>341.4</v>
      </c>
      <c r="C180" s="216" t="n">
        <v>405</v>
      </c>
      <c r="D180" s="216" t="n">
        <v>1.168115019798279</v>
      </c>
      <c r="E180" s="215" t="n">
        <v>46273</v>
      </c>
      <c r="F180" s="215" t="n">
        <v>46273</v>
      </c>
    </row>
    <row r="181">
      <c r="A181" s="215" t="n">
        <v>46274</v>
      </c>
      <c r="B181" s="216" t="n">
        <v>355.2</v>
      </c>
      <c r="C181" s="216" t="n">
        <v>410.78</v>
      </c>
      <c r="D181" s="216" t="n">
        <v>1.168408989906311</v>
      </c>
      <c r="E181" s="215" t="n">
        <v>46274</v>
      </c>
      <c r="F181" s="215" t="n">
        <v>46274</v>
      </c>
    </row>
    <row r="182">
      <c r="A182" s="215" t="n">
        <v>46275</v>
      </c>
      <c r="B182" s="216" t="n">
        <v>334</v>
      </c>
      <c r="C182" s="216" t="n">
        <v>409.3</v>
      </c>
      <c r="D182" s="216" t="n">
        <v>1.168462991714478</v>
      </c>
      <c r="E182" s="215" t="n">
        <v>46275</v>
      </c>
      <c r="F182" s="215" t="n">
        <v>46275</v>
      </c>
    </row>
    <row r="183">
      <c r="A183" s="215" t="n">
        <v>46276</v>
      </c>
      <c r="B183" s="216" t="n">
        <v>346.6</v>
      </c>
      <c r="C183" s="216" t="n">
        <v>402.3</v>
      </c>
      <c r="D183" s="216" t="n">
        <v>1.169165015220642</v>
      </c>
      <c r="E183" s="215" t="n">
        <v>46276</v>
      </c>
      <c r="F183" s="215" t="n">
        <v>46276</v>
      </c>
    </row>
    <row r="184">
      <c r="A184" s="215" t="n">
        <v>46279</v>
      </c>
      <c r="B184" s="216" t="n">
        <v>344.6</v>
      </c>
      <c r="C184" s="216" t="n">
        <v>401.7</v>
      </c>
      <c r="D184" s="216" t="n">
        <v>1.16893994808197</v>
      </c>
      <c r="E184" s="215" t="n">
        <v>46279</v>
      </c>
      <c r="F184" s="215" t="n">
        <v>46279</v>
      </c>
    </row>
    <row r="185">
      <c r="A185" s="215" t="n">
        <v>46280</v>
      </c>
      <c r="B185" s="216" t="n">
        <v>356.4</v>
      </c>
      <c r="C185" s="216" t="n">
        <v>412.77</v>
      </c>
      <c r="D185" s="216" t="n">
        <v>1.169121026992798</v>
      </c>
      <c r="E185" s="215" t="n">
        <v>46280</v>
      </c>
      <c r="F185" s="215" t="n">
        <v>46280</v>
      </c>
    </row>
    <row r="186">
      <c r="A186" s="215" t="n">
        <v>46281</v>
      </c>
      <c r="B186" s="216" t="n">
        <v>361</v>
      </c>
      <c r="C186" s="216" t="n">
        <v>433</v>
      </c>
      <c r="D186" s="216" t="n">
        <v>1.168769955635071</v>
      </c>
      <c r="E186" s="215" t="n">
        <v>46281</v>
      </c>
      <c r="F186" s="215" t="n">
        <v>46281</v>
      </c>
    </row>
    <row r="187">
      <c r="A187" s="215" t="n">
        <v>46282</v>
      </c>
      <c r="B187" s="216" t="n">
        <v>356.4</v>
      </c>
      <c r="C187" s="216" t="n">
        <v>431.2</v>
      </c>
      <c r="D187" s="216" t="n">
        <v>1.169389963150024</v>
      </c>
      <c r="E187" s="215" t="n">
        <v>46282</v>
      </c>
      <c r="F187" s="215" t="n">
        <v>46282</v>
      </c>
    </row>
    <row r="188">
      <c r="A188" s="215" t="n">
        <v>46283</v>
      </c>
      <c r="B188" s="216" t="n">
        <v>379.6</v>
      </c>
      <c r="C188" s="216" t="n">
        <v>439.83</v>
      </c>
      <c r="D188" s="216" t="n">
        <v>1.16942298412323</v>
      </c>
      <c r="E188" s="215" t="n">
        <v>46283</v>
      </c>
      <c r="F188" s="215" t="n">
        <v>46283</v>
      </c>
    </row>
    <row r="189">
      <c r="A189" s="215" t="n">
        <v>46286</v>
      </c>
      <c r="B189" s="216" t="n">
        <v>365</v>
      </c>
      <c r="C189" s="216" t="n">
        <v>422.9</v>
      </c>
      <c r="D189" s="216" t="n">
        <v>1.171280026435852</v>
      </c>
      <c r="E189" s="215" t="n">
        <v>46286</v>
      </c>
      <c r="F189" s="215" t="n">
        <v>46286</v>
      </c>
    </row>
    <row r="190">
      <c r="A190" s="215" t="n">
        <v>46287</v>
      </c>
      <c r="B190" s="216" t="n">
        <v>356.2</v>
      </c>
      <c r="C190" s="216" t="n">
        <v>427.69</v>
      </c>
      <c r="D190" s="216" t="n">
        <v>1.171705007553101</v>
      </c>
      <c r="E190" s="215" t="n">
        <v>46287</v>
      </c>
      <c r="F190" s="215" t="n">
        <v>46287</v>
      </c>
    </row>
    <row r="191">
      <c r="A191" s="215" t="n">
        <v>46288</v>
      </c>
      <c r="B191" s="216" t="n">
        <v>364.8</v>
      </c>
      <c r="C191" s="216" t="n">
        <v>440.68</v>
      </c>
      <c r="D191" s="216" t="n">
        <v>1.170611023902893</v>
      </c>
      <c r="E191" s="215" t="n">
        <v>46288</v>
      </c>
      <c r="F191" s="215" t="n">
        <v>46288</v>
      </c>
    </row>
    <row r="192">
      <c r="A192" s="215" t="n">
        <v>46289</v>
      </c>
      <c r="B192" s="216" t="n">
        <v>349.2</v>
      </c>
      <c r="C192" s="216" t="n">
        <v>418</v>
      </c>
      <c r="D192" s="216" t="n">
        <v>1.16852605342865</v>
      </c>
      <c r="E192" s="215" t="n">
        <v>46289</v>
      </c>
      <c r="F192" s="215" t="n">
        <v>46289</v>
      </c>
    </row>
    <row r="193">
      <c r="A193" s="215" t="n">
        <v>46290</v>
      </c>
      <c r="B193" s="216" t="n">
        <v>349</v>
      </c>
      <c r="C193" s="216" t="n">
        <v>418</v>
      </c>
      <c r="D193" s="216" t="n">
        <v>1.168424010276794</v>
      </c>
      <c r="E193" s="215" t="n">
        <v>46289</v>
      </c>
      <c r="F193" s="215" t="n">
        <v>46290</v>
      </c>
    </row>
    <row r="194">
      <c r="A194" s="215" t="n">
        <v>46293</v>
      </c>
      <c r="B194" s="216" t="n">
        <v>311</v>
      </c>
      <c r="C194" s="216" t="n">
        <v>397.29</v>
      </c>
      <c r="D194" s="216" t="n">
        <v>1.168378949165344</v>
      </c>
      <c r="E194" s="215" t="n">
        <v>46293</v>
      </c>
      <c r="F194" s="215" t="n">
        <v>46293</v>
      </c>
    </row>
    <row r="195">
      <c r="A195" s="215" t="n">
        <v>46294</v>
      </c>
      <c r="B195" s="216" t="n">
        <v>321</v>
      </c>
      <c r="C195" s="216" t="n">
        <v>397.17</v>
      </c>
      <c r="D195" s="216" t="n">
        <v>1.168815970420837</v>
      </c>
      <c r="E195" s="215" t="n">
        <v>46294</v>
      </c>
      <c r="F195" s="215" t="n">
        <v>46294</v>
      </c>
    </row>
    <row r="196">
      <c r="A196" s="215" t="n">
        <v>46295</v>
      </c>
      <c r="B196" s="216" t="n">
        <v>327</v>
      </c>
      <c r="C196" s="216" t="n">
        <v>388.68</v>
      </c>
      <c r="D196" s="216" t="n">
        <v>1.17059600353241</v>
      </c>
      <c r="E196" s="215" t="n">
        <v>46295</v>
      </c>
      <c r="F196" s="215" t="n">
        <v>46295</v>
      </c>
    </row>
    <row r="197">
      <c r="A197" s="215" t="n">
        <v>46297</v>
      </c>
      <c r="B197" s="216" t="n">
        <v>320</v>
      </c>
      <c r="C197" s="216" t="n">
        <v>388.68</v>
      </c>
      <c r="D197" s="216" t="n">
        <v>1.170220971107483</v>
      </c>
      <c r="E197" s="215" t="n">
        <v>46295</v>
      </c>
      <c r="F197" s="215" t="n">
        <v>46297</v>
      </c>
    </row>
    <row r="198">
      <c r="A198" s="215" t="n">
        <v>45958</v>
      </c>
      <c r="B198" s="216" t="n">
        <v>92.2</v>
      </c>
      <c r="C198" s="216" t="n">
        <v>119.28</v>
      </c>
      <c r="D198" s="216" t="n">
        <v>1.092440009117126</v>
      </c>
      <c r="E198" s="215" t="n">
        <v>45958</v>
      </c>
      <c r="F198" s="215" t="n">
        <v>45958</v>
      </c>
    </row>
    <row r="199">
      <c r="A199" s="215" t="n">
        <v>45960</v>
      </c>
      <c r="B199" s="216" t="n">
        <v>88.8</v>
      </c>
      <c r="C199" s="216" t="n">
        <v>111</v>
      </c>
      <c r="D199" s="216" t="n">
        <v>1.09463894367218</v>
      </c>
      <c r="E199" s="215" t="n">
        <v>45960</v>
      </c>
      <c r="F199" s="215" t="n">
        <v>45960</v>
      </c>
    </row>
    <row r="200">
      <c r="A200" s="215" t="n">
        <v>45961</v>
      </c>
      <c r="B200" s="216" t="n">
        <v>82</v>
      </c>
      <c r="C200" s="216" t="n">
        <v>103.04</v>
      </c>
      <c r="D200" s="216" t="n">
        <v>1.092543959617615</v>
      </c>
      <c r="E200" s="215" t="n">
        <v>45961</v>
      </c>
      <c r="F200" s="215" t="n">
        <v>45961</v>
      </c>
    </row>
    <row r="201">
      <c r="A201" s="215" t="n">
        <v>45964</v>
      </c>
      <c r="B201" s="216" t="n">
        <v>83.5</v>
      </c>
      <c r="C201" s="216" t="n">
        <v>103.57</v>
      </c>
      <c r="D201" s="216" t="n">
        <v>1.091722965240479</v>
      </c>
      <c r="E201" s="215" t="n">
        <v>45964</v>
      </c>
      <c r="F201" s="215" t="n">
        <v>45964</v>
      </c>
    </row>
    <row r="202">
      <c r="A202" s="215" t="n">
        <v>45965</v>
      </c>
      <c r="B202" s="216" t="n">
        <v>76.59999999999999</v>
      </c>
      <c r="C202" s="216" t="n">
        <v>102.19</v>
      </c>
      <c r="D202" s="216" t="n">
        <v>1.083533048629761</v>
      </c>
      <c r="E202" s="215" t="n">
        <v>45965</v>
      </c>
      <c r="F202" s="215" t="n">
        <v>45965</v>
      </c>
    </row>
    <row r="203">
      <c r="A203" s="215" t="n">
        <v>45966</v>
      </c>
      <c r="B203" s="216" t="n">
        <v>78.2</v>
      </c>
      <c r="C203" s="216" t="n">
        <v>100.1</v>
      </c>
      <c r="D203" s="216" t="n">
        <v>1.090273976325989</v>
      </c>
      <c r="E203" s="215" t="n">
        <v>45966</v>
      </c>
      <c r="F203" s="215" t="n">
        <v>45966</v>
      </c>
    </row>
    <row r="204">
      <c r="A204" s="215" t="n">
        <v>45967</v>
      </c>
      <c r="B204" s="216" t="n">
        <v>82.2</v>
      </c>
      <c r="C204" s="216" t="n">
        <v>104.3</v>
      </c>
      <c r="D204" s="216" t="n">
        <v>1.090808033943176</v>
      </c>
      <c r="E204" s="215" t="n">
        <v>45967</v>
      </c>
      <c r="F204" s="215" t="n">
        <v>45967</v>
      </c>
    </row>
    <row r="205">
      <c r="A205" s="215" t="n">
        <v>45968</v>
      </c>
      <c r="B205" s="216" t="n">
        <v>78.09999999999999</v>
      </c>
      <c r="C205" s="216" t="n">
        <v>101.7</v>
      </c>
      <c r="D205" s="216" t="n">
        <v>1.092054009437561</v>
      </c>
      <c r="E205" s="215" t="n">
        <v>45968</v>
      </c>
      <c r="F205" s="215" t="n">
        <v>45968</v>
      </c>
    </row>
    <row r="206">
      <c r="A206" s="215" t="n">
        <v>45971</v>
      </c>
      <c r="B206" s="216" t="n">
        <v>84</v>
      </c>
      <c r="C206" s="216" t="n">
        <v>110.51</v>
      </c>
      <c r="D206" s="216" t="n">
        <v>1.092267036437988</v>
      </c>
      <c r="E206" s="215" t="n">
        <v>45971</v>
      </c>
      <c r="F206" s="215" t="n">
        <v>45971</v>
      </c>
    </row>
    <row r="207">
      <c r="A207" s="215" t="n">
        <v>45972</v>
      </c>
      <c r="B207" s="216" t="n">
        <v>80.34999999999999</v>
      </c>
      <c r="C207" s="216" t="n">
        <v>105.14</v>
      </c>
      <c r="D207" s="216" t="n">
        <v>1.091644048690796</v>
      </c>
      <c r="E207" s="215" t="n">
        <v>45972</v>
      </c>
      <c r="F207" s="215" t="n">
        <v>45972</v>
      </c>
    </row>
    <row r="208">
      <c r="A208" s="215" t="n">
        <v>45973</v>
      </c>
      <c r="B208" s="216" t="n">
        <v>77.84999999999999</v>
      </c>
      <c r="C208" s="216" t="n">
        <v>102.69</v>
      </c>
      <c r="D208" s="216" t="n">
        <v>1.091495990753174</v>
      </c>
      <c r="E208" s="215" t="n">
        <v>45973</v>
      </c>
      <c r="F208" s="215" t="n">
        <v>45973</v>
      </c>
    </row>
    <row r="209">
      <c r="A209" s="215" t="n">
        <v>45974</v>
      </c>
      <c r="B209" s="216" t="n">
        <v>83.90000000000001</v>
      </c>
      <c r="C209" s="216" t="n">
        <v>107.06</v>
      </c>
      <c r="D209" s="216" t="n">
        <v>1.092489004135132</v>
      </c>
      <c r="E209" s="215" t="n">
        <v>45974</v>
      </c>
      <c r="F209" s="215" t="n">
        <v>45974</v>
      </c>
    </row>
    <row r="210">
      <c r="A210" s="215" t="n">
        <v>45975</v>
      </c>
      <c r="B210" s="216" t="n">
        <v>80.15000000000001</v>
      </c>
      <c r="C210" s="216" t="n">
        <v>108.41</v>
      </c>
      <c r="D210" s="216" t="n">
        <v>1.092411994934082</v>
      </c>
      <c r="E210" s="215" t="n">
        <v>45975</v>
      </c>
      <c r="F210" s="215" t="n">
        <v>45975</v>
      </c>
    </row>
    <row r="211">
      <c r="A211" s="215" t="n">
        <v>45978</v>
      </c>
      <c r="B211" s="216" t="n">
        <v>80.40000000000001</v>
      </c>
      <c r="C211" s="216" t="n">
        <v>107</v>
      </c>
      <c r="D211" s="216" t="n">
        <v>1.094588041305542</v>
      </c>
      <c r="E211" s="215" t="n">
        <v>45978</v>
      </c>
      <c r="F211" s="215" t="n">
        <v>45978</v>
      </c>
    </row>
    <row r="212">
      <c r="A212" s="215" t="n">
        <v>45979</v>
      </c>
      <c r="B212" s="216" t="n">
        <v>86.45</v>
      </c>
      <c r="C212" s="216" t="n">
        <v>113.7</v>
      </c>
      <c r="D212" s="216" t="n">
        <v>1.093616008758545</v>
      </c>
      <c r="E212" s="215" t="n">
        <v>45979</v>
      </c>
      <c r="F212" s="215" t="n">
        <v>45979</v>
      </c>
    </row>
    <row r="213">
      <c r="A213" s="215" t="n">
        <v>45980</v>
      </c>
      <c r="B213" s="216" t="n">
        <v>86.5</v>
      </c>
      <c r="C213" s="216" t="n">
        <v>112.7</v>
      </c>
      <c r="D213" s="216" t="n">
        <v>1.095010995864868</v>
      </c>
      <c r="E213" s="215" t="n">
        <v>45980</v>
      </c>
      <c r="F213" s="215" t="n">
        <v>45980</v>
      </c>
    </row>
    <row r="214">
      <c r="A214" s="215" t="n">
        <v>45981</v>
      </c>
      <c r="B214" s="216" t="n">
        <v>85.8</v>
      </c>
      <c r="C214" s="216" t="n">
        <v>108.89</v>
      </c>
      <c r="D214" s="216" t="n">
        <v>1.095402002334595</v>
      </c>
      <c r="E214" s="215" t="n">
        <v>45981</v>
      </c>
      <c r="F214" s="215" t="n">
        <v>45981</v>
      </c>
    </row>
    <row r="215">
      <c r="A215" s="215" t="n">
        <v>45982</v>
      </c>
      <c r="B215" s="216" t="n">
        <v>78.65000000000001</v>
      </c>
      <c r="C215" s="216" t="n">
        <v>98</v>
      </c>
      <c r="D215" s="216" t="n">
        <v>1.094982981681824</v>
      </c>
      <c r="E215" s="215" t="n">
        <v>45982</v>
      </c>
      <c r="F215" s="215" t="n">
        <v>45982</v>
      </c>
    </row>
    <row r="216">
      <c r="A216" s="215" t="n">
        <v>45985</v>
      </c>
      <c r="B216" s="216" t="n">
        <v>75.15000000000001</v>
      </c>
      <c r="C216" s="216" t="n">
        <v>94.31</v>
      </c>
      <c r="D216" s="216" t="n">
        <v>1.094988942146301</v>
      </c>
      <c r="E216" s="215" t="n">
        <v>45985</v>
      </c>
      <c r="F216" s="215" t="n">
        <v>45985</v>
      </c>
    </row>
    <row r="217">
      <c r="A217" s="215" t="n">
        <v>45986</v>
      </c>
      <c r="B217" s="216" t="n">
        <v>76.15000000000001</v>
      </c>
      <c r="C217" s="216" t="n">
        <v>97.79000000000001</v>
      </c>
      <c r="D217" s="216" t="n">
        <v>1.095428943634033</v>
      </c>
      <c r="E217" s="215" t="n">
        <v>45986</v>
      </c>
      <c r="F217" s="215" t="n">
        <v>45986</v>
      </c>
    </row>
    <row r="218">
      <c r="A218" s="215" t="n">
        <v>45987</v>
      </c>
      <c r="B218" s="216" t="n">
        <v>77.65000000000001</v>
      </c>
      <c r="C218" s="216" t="n">
        <v>103.95</v>
      </c>
      <c r="D218" s="216" t="n">
        <v>1.097422003746033</v>
      </c>
      <c r="E218" s="215" t="n">
        <v>45987</v>
      </c>
      <c r="F218" s="215" t="n">
        <v>45987</v>
      </c>
    </row>
    <row r="219">
      <c r="A219" s="215" t="n">
        <v>45988</v>
      </c>
      <c r="B219" s="216" t="n">
        <v>79.05</v>
      </c>
      <c r="C219" s="216" t="n">
        <v>110.14</v>
      </c>
      <c r="D219" s="216" t="n">
        <v>1.098397016525269</v>
      </c>
      <c r="E219" s="215" t="n">
        <v>45988</v>
      </c>
      <c r="F219" s="215" t="n">
        <v>45988</v>
      </c>
    </row>
    <row r="220">
      <c r="A220" s="215" t="n">
        <v>45989</v>
      </c>
      <c r="B220" s="216" t="n">
        <v>83</v>
      </c>
      <c r="C220" s="216" t="n">
        <v>109.62</v>
      </c>
      <c r="D220" s="216" t="n">
        <v>1.098330020904541</v>
      </c>
      <c r="E220" s="215" t="n">
        <v>45989</v>
      </c>
      <c r="F220" s="215" t="n">
        <v>45989</v>
      </c>
    </row>
    <row r="221">
      <c r="A221" s="215" t="n">
        <v>45992</v>
      </c>
      <c r="B221" s="216" t="n">
        <v>83.09999999999999</v>
      </c>
      <c r="C221" s="216" t="n">
        <v>108.73</v>
      </c>
      <c r="D221" s="216" t="n">
        <v>1.10015594959259</v>
      </c>
      <c r="E221" s="215" t="n">
        <v>45992</v>
      </c>
      <c r="F221" s="215" t="n">
        <v>45992</v>
      </c>
    </row>
    <row r="222">
      <c r="A222" s="215" t="n">
        <v>45993</v>
      </c>
      <c r="B222" s="216" t="n">
        <v>80.3</v>
      </c>
      <c r="C222" s="216" t="n">
        <v>106.88</v>
      </c>
      <c r="D222" s="216" t="n">
        <v>1.101189017295837</v>
      </c>
      <c r="E222" s="215" t="n">
        <v>45993</v>
      </c>
      <c r="F222" s="215" t="n">
        <v>45993</v>
      </c>
    </row>
    <row r="223">
      <c r="A223" s="215" t="n">
        <v>45994</v>
      </c>
      <c r="B223" s="216" t="n">
        <v>78.7</v>
      </c>
      <c r="C223" s="216" t="n">
        <v>108.58</v>
      </c>
      <c r="D223" s="216" t="n">
        <v>1.100834012031555</v>
      </c>
      <c r="E223" s="215" t="n">
        <v>45994</v>
      </c>
      <c r="F223" s="215" t="n">
        <v>45994</v>
      </c>
    </row>
    <row r="224">
      <c r="A224" s="215" t="n">
        <v>45995</v>
      </c>
      <c r="B224" s="216" t="n">
        <v>79.65000000000001</v>
      </c>
      <c r="C224" s="216" t="n">
        <v>107.66</v>
      </c>
      <c r="D224" s="216" t="n">
        <v>1.101611018180847</v>
      </c>
      <c r="E224" s="215" t="n">
        <v>45995</v>
      </c>
      <c r="F224" s="215" t="n">
        <v>45995</v>
      </c>
    </row>
    <row r="225">
      <c r="A225" s="215" t="n">
        <v>45996</v>
      </c>
      <c r="B225" s="216" t="n">
        <v>81.84999999999999</v>
      </c>
      <c r="C225" s="216" t="n">
        <v>110.27</v>
      </c>
      <c r="D225" s="216" t="n">
        <v>1.100373983383179</v>
      </c>
      <c r="E225" s="215" t="n">
        <v>45996</v>
      </c>
      <c r="F225" s="215" t="n">
        <v>45996</v>
      </c>
    </row>
    <row r="226">
      <c r="A226" s="215" t="n">
        <v>45999</v>
      </c>
      <c r="B226" s="216" t="n">
        <v>86.5</v>
      </c>
      <c r="C226" s="216" t="n">
        <v>118</v>
      </c>
      <c r="D226" s="216" t="n">
        <v>1.1008620262146</v>
      </c>
      <c r="E226" s="215" t="n">
        <v>45999</v>
      </c>
      <c r="F226" s="215" t="n">
        <v>45999</v>
      </c>
    </row>
    <row r="227">
      <c r="A227" s="215" t="n">
        <v>46000</v>
      </c>
      <c r="B227" s="216" t="n">
        <v>86.45</v>
      </c>
      <c r="C227" s="216" t="n">
        <v>120.16</v>
      </c>
      <c r="D227" s="216" t="n">
        <v>1.10008704662323</v>
      </c>
      <c r="E227" s="215" t="n">
        <v>46000</v>
      </c>
      <c r="F227" s="215" t="n">
        <v>46000</v>
      </c>
    </row>
    <row r="228">
      <c r="A228" s="215" t="n">
        <v>46001</v>
      </c>
      <c r="B228" s="216" t="n">
        <v>86.05</v>
      </c>
      <c r="C228" s="216" t="n">
        <v>117.9</v>
      </c>
      <c r="D228" s="216" t="n">
        <v>1.101711988449097</v>
      </c>
      <c r="E228" s="215" t="n">
        <v>46001</v>
      </c>
      <c r="F228" s="215" t="n">
        <v>46001</v>
      </c>
    </row>
    <row r="229">
      <c r="A229" s="215" t="n">
        <v>46002</v>
      </c>
      <c r="B229" s="216" t="n">
        <v>82.7</v>
      </c>
      <c r="C229" s="216" t="n">
        <v>114.74</v>
      </c>
      <c r="D229" s="216" t="n">
        <v>1.10112202167511</v>
      </c>
      <c r="E229" s="215" t="n">
        <v>46002</v>
      </c>
      <c r="F229" s="215" t="n">
        <v>46002</v>
      </c>
    </row>
    <row r="230">
      <c r="A230" s="215" t="n">
        <v>46003</v>
      </c>
      <c r="B230" s="216" t="n">
        <v>89.09999999999999</v>
      </c>
      <c r="C230" s="216" t="n">
        <v>119.4</v>
      </c>
      <c r="D230" s="216" t="n">
        <v>1.102499008178711</v>
      </c>
      <c r="E230" s="215" t="n">
        <v>46003</v>
      </c>
      <c r="F230" s="215" t="n">
        <v>46003</v>
      </c>
    </row>
    <row r="231">
      <c r="A231" s="215" t="n">
        <v>46006</v>
      </c>
      <c r="B231" s="216" t="n">
        <v>84.59999999999999</v>
      </c>
      <c r="C231" s="216" t="n">
        <v>111.88</v>
      </c>
      <c r="D231" s="216" t="n">
        <v>1.103397965431213</v>
      </c>
      <c r="E231" s="215" t="n">
        <v>46006</v>
      </c>
      <c r="F231" s="215" t="n">
        <v>46006</v>
      </c>
    </row>
    <row r="232">
      <c r="A232" s="215" t="n">
        <v>46007</v>
      </c>
      <c r="B232" s="216" t="n">
        <v>80.8</v>
      </c>
      <c r="C232" s="216" t="n">
        <v>106.6</v>
      </c>
      <c r="D232" s="216" t="n">
        <v>1.104179978370667</v>
      </c>
      <c r="E232" s="215" t="n">
        <v>46007</v>
      </c>
      <c r="F232" s="215" t="n">
        <v>46007</v>
      </c>
    </row>
    <row r="233">
      <c r="A233" s="215" t="n">
        <v>46008</v>
      </c>
      <c r="B233" s="216" t="n">
        <v>84.40000000000001</v>
      </c>
      <c r="C233" s="216" t="n">
        <v>113</v>
      </c>
      <c r="D233" s="216" t="n">
        <v>1.104655981063843</v>
      </c>
      <c r="E233" s="215" t="n">
        <v>46008</v>
      </c>
      <c r="F233" s="215" t="n">
        <v>46008</v>
      </c>
    </row>
    <row r="234">
      <c r="A234" s="215" t="n">
        <v>46009</v>
      </c>
      <c r="B234" s="216" t="n">
        <v>82.7</v>
      </c>
      <c r="C234" s="216" t="n">
        <v>112.51</v>
      </c>
      <c r="D234" s="216" t="n">
        <v>1.104357004165649</v>
      </c>
      <c r="E234" s="215" t="n">
        <v>46009</v>
      </c>
      <c r="F234" s="215" t="n">
        <v>46009</v>
      </c>
    </row>
    <row r="235">
      <c r="A235" s="215" t="n">
        <v>46010</v>
      </c>
      <c r="B235" s="216" t="n">
        <v>81.15000000000001</v>
      </c>
      <c r="C235" s="216" t="n">
        <v>111.03</v>
      </c>
      <c r="D235" s="216" t="n">
        <v>1.104962944984436</v>
      </c>
      <c r="E235" s="215" t="n">
        <v>46010</v>
      </c>
      <c r="F235" s="215" t="n">
        <v>46010</v>
      </c>
    </row>
    <row r="236">
      <c r="A236" s="215" t="n">
        <v>46013</v>
      </c>
      <c r="B236" s="216" t="n">
        <v>86.3</v>
      </c>
      <c r="C236" s="216" t="n">
        <v>117.58</v>
      </c>
      <c r="D236" s="216" t="n">
        <v>1.105054020881653</v>
      </c>
      <c r="E236" s="215" t="n">
        <v>46013</v>
      </c>
      <c r="F236" s="215" t="n">
        <v>46013</v>
      </c>
    </row>
    <row r="237">
      <c r="A237" s="215" t="n">
        <v>46014</v>
      </c>
      <c r="B237" s="216" t="n">
        <v>88.45</v>
      </c>
      <c r="C237" s="216" t="n">
        <v>120.27</v>
      </c>
      <c r="D237" s="216" t="n">
        <v>1.104820013046265</v>
      </c>
      <c r="E237" s="215" t="n">
        <v>46014</v>
      </c>
      <c r="F237" s="215" t="n">
        <v>46014</v>
      </c>
    </row>
    <row r="238">
      <c r="A238" s="215" t="n">
        <v>46015</v>
      </c>
      <c r="B238" s="216" t="n">
        <v>93.34999999999999</v>
      </c>
      <c r="C238" s="216" t="n">
        <v>129.11</v>
      </c>
      <c r="D238" s="216" t="n">
        <v>1.106441974639893</v>
      </c>
      <c r="E238" s="215" t="n">
        <v>46015</v>
      </c>
      <c r="F238" s="215" t="n">
        <v>46015</v>
      </c>
    </row>
    <row r="239">
      <c r="A239" s="215" t="n">
        <v>46020</v>
      </c>
      <c r="B239" s="216" t="n">
        <v>97.7</v>
      </c>
      <c r="C239" s="216" t="n">
        <v>134.8</v>
      </c>
      <c r="D239" s="216" t="n">
        <v>1.10552704334259</v>
      </c>
      <c r="E239" s="215" t="n">
        <v>46020</v>
      </c>
      <c r="F239" s="215" t="n">
        <v>46020</v>
      </c>
    </row>
    <row r="240">
      <c r="A240" s="215" t="n">
        <v>46021</v>
      </c>
      <c r="B240" s="216" t="n">
        <v>96.15000000000001</v>
      </c>
      <c r="C240" s="216" t="n">
        <v>138.11</v>
      </c>
      <c r="D240" s="216" t="n">
        <v>1.109460949897766</v>
      </c>
      <c r="E240" s="215" t="n">
        <v>46021</v>
      </c>
      <c r="F240" s="215" t="n">
        <v>46021</v>
      </c>
    </row>
    <row r="241">
      <c r="A241" s="215" t="n">
        <v>46022</v>
      </c>
      <c r="B241" s="216" t="n">
        <v>93.5</v>
      </c>
      <c r="C241" s="216" t="n">
        <v>134.38</v>
      </c>
      <c r="D241" s="216" t="n">
        <v>1.111927032470703</v>
      </c>
      <c r="E241" s="215" t="n">
        <v>46022</v>
      </c>
      <c r="F241" s="215" t="n">
        <v>46022</v>
      </c>
    </row>
    <row r="242">
      <c r="A242" s="215" t="n">
        <v>46024</v>
      </c>
      <c r="B242" s="216" t="n">
        <v>96.09999999999999</v>
      </c>
      <c r="C242" s="216" t="n">
        <v>134.38</v>
      </c>
      <c r="D242" s="216" t="n">
        <v>1.112754940986633</v>
      </c>
      <c r="E242" s="215" t="n">
        <v>46022</v>
      </c>
      <c r="F242" s="215" t="n">
        <v>46024</v>
      </c>
    </row>
    <row r="243">
      <c r="A243" s="215" t="n">
        <v>46027</v>
      </c>
      <c r="B243" s="216" t="n">
        <v>91.75</v>
      </c>
      <c r="C243" s="216" t="n">
        <v>130.03</v>
      </c>
      <c r="D243" s="216" t="n">
        <v>1.113860011100769</v>
      </c>
      <c r="E243" s="215" t="n">
        <v>46027</v>
      </c>
      <c r="F243" s="215" t="n">
        <v>46027</v>
      </c>
    </row>
    <row r="244">
      <c r="A244" s="215" t="n">
        <v>46028</v>
      </c>
      <c r="B244" s="216" t="n">
        <v>85.55</v>
      </c>
      <c r="C244" s="216" t="n">
        <v>124.36</v>
      </c>
      <c r="D244" s="216" t="n">
        <v>1.11367404460907</v>
      </c>
      <c r="E244" s="215" t="n">
        <v>46028</v>
      </c>
      <c r="F244" s="215" t="n">
        <v>46028</v>
      </c>
    </row>
    <row r="245">
      <c r="A245" s="215" t="n">
        <v>46029</v>
      </c>
      <c r="B245" s="216" t="n">
        <v>89</v>
      </c>
      <c r="C245" s="216" t="n">
        <v>126</v>
      </c>
      <c r="D245" s="216" t="n">
        <v>1.114913940429688</v>
      </c>
      <c r="E245" s="215" t="n">
        <v>46029</v>
      </c>
      <c r="F245" s="215" t="n">
        <v>46029</v>
      </c>
    </row>
    <row r="246">
      <c r="A246" s="215" t="n">
        <v>46030</v>
      </c>
      <c r="B246" s="216" t="n">
        <v>86.55</v>
      </c>
      <c r="C246" s="216" t="n">
        <v>123.86</v>
      </c>
      <c r="D246" s="216" t="n">
        <v>1.112563014030457</v>
      </c>
      <c r="E246" s="215" t="n">
        <v>46030</v>
      </c>
      <c r="F246" s="215" t="n">
        <v>46030</v>
      </c>
    </row>
    <row r="247">
      <c r="A247" s="215" t="n">
        <v>46031</v>
      </c>
      <c r="B247" s="216" t="n">
        <v>86.7</v>
      </c>
      <c r="C247" s="216" t="n">
        <v>123.68</v>
      </c>
      <c r="D247" s="216" t="n">
        <v>1.115561008453369</v>
      </c>
      <c r="E247" s="215" t="n">
        <v>46031</v>
      </c>
      <c r="F247" s="215" t="n">
        <v>46031</v>
      </c>
    </row>
    <row r="248">
      <c r="A248" s="215" t="n">
        <v>46034</v>
      </c>
      <c r="B248" s="216" t="n">
        <v>85.7</v>
      </c>
      <c r="C248" s="216" t="n">
        <v>121.92</v>
      </c>
      <c r="D248" s="216" t="n">
        <v>1.117015957832336</v>
      </c>
      <c r="E248" s="215" t="n">
        <v>46034</v>
      </c>
      <c r="F248" s="215" t="n">
        <v>46034</v>
      </c>
    </row>
    <row r="249">
      <c r="A249" s="215" t="n">
        <v>46035</v>
      </c>
      <c r="B249" s="216" t="n">
        <v>82.8</v>
      </c>
      <c r="C249" s="216" t="n">
        <v>117.4</v>
      </c>
      <c r="D249" s="216" t="n">
        <v>1.117892026901245</v>
      </c>
      <c r="E249" s="215" t="n">
        <v>46035</v>
      </c>
      <c r="F249" s="215" t="n">
        <v>46035</v>
      </c>
    </row>
    <row r="250">
      <c r="A250" s="215" t="n">
        <v>46036</v>
      </c>
      <c r="B250" s="216" t="n">
        <v>83.2</v>
      </c>
      <c r="C250" s="216" t="n">
        <v>119.25</v>
      </c>
      <c r="D250" s="216" t="n">
        <v>1.117897987365723</v>
      </c>
      <c r="E250" s="215" t="n">
        <v>46036</v>
      </c>
      <c r="F250" s="215" t="n">
        <v>46036</v>
      </c>
    </row>
    <row r="251">
      <c r="A251" s="215" t="n">
        <v>46037</v>
      </c>
      <c r="B251" s="216" t="n">
        <v>89.65000000000001</v>
      </c>
      <c r="C251" s="216" t="n">
        <v>125.84</v>
      </c>
      <c r="D251" s="216" t="n">
        <v>1.118072032928467</v>
      </c>
      <c r="E251" s="215" t="n">
        <v>46037</v>
      </c>
      <c r="F251" s="215" t="n">
        <v>46037</v>
      </c>
    </row>
    <row r="252">
      <c r="A252" s="215" t="n">
        <v>46038</v>
      </c>
      <c r="B252" s="216" t="n">
        <v>93.45</v>
      </c>
      <c r="C252" s="216" t="n">
        <v>129.8</v>
      </c>
      <c r="D252" s="216" t="n">
        <v>1.119040012359619</v>
      </c>
      <c r="E252" s="215" t="n">
        <v>46038</v>
      </c>
      <c r="F252" s="215" t="n">
        <v>46038</v>
      </c>
    </row>
    <row r="253">
      <c r="A253" s="215" t="n">
        <v>46041</v>
      </c>
      <c r="B253" s="216" t="n">
        <v>82.05</v>
      </c>
      <c r="C253" s="216" t="n">
        <v>116.82</v>
      </c>
      <c r="D253" s="216" t="n">
        <v>1.118916034698486</v>
      </c>
      <c r="E253" s="215" t="n">
        <v>46041</v>
      </c>
      <c r="F253" s="215" t="n">
        <v>46041</v>
      </c>
    </row>
    <row r="254">
      <c r="A254" s="215" t="n">
        <v>46042</v>
      </c>
      <c r="B254" s="216" t="n">
        <v>77.7</v>
      </c>
      <c r="C254" s="216" t="n">
        <v>107.3</v>
      </c>
      <c r="D254" s="216" t="n">
        <v>1.118687987327576</v>
      </c>
      <c r="E254" s="215" t="n">
        <v>46042</v>
      </c>
      <c r="F254" s="215" t="n">
        <v>46042</v>
      </c>
    </row>
    <row r="255">
      <c r="A255" s="215" t="n">
        <v>46043</v>
      </c>
      <c r="B255" s="216" t="n">
        <v>82.45</v>
      </c>
      <c r="C255" s="216" t="n">
        <v>112.93</v>
      </c>
      <c r="D255" s="216" t="n">
        <v>1.12024998664856</v>
      </c>
      <c r="E255" s="215" t="n">
        <v>46043</v>
      </c>
      <c r="F255" s="215" t="n">
        <v>46043</v>
      </c>
    </row>
    <row r="256">
      <c r="A256" s="215" t="n">
        <v>46044</v>
      </c>
      <c r="B256" s="216" t="n">
        <v>82.25</v>
      </c>
      <c r="C256" s="216" t="n">
        <v>112.84</v>
      </c>
      <c r="D256" s="216" t="n">
        <v>1.11942195892334</v>
      </c>
      <c r="E256" s="215" t="n">
        <v>46044</v>
      </c>
      <c r="F256" s="215" t="n">
        <v>46044</v>
      </c>
    </row>
    <row r="257">
      <c r="A257" s="215" t="n">
        <v>46045</v>
      </c>
      <c r="B257" s="216" t="n">
        <v>80.34999999999999</v>
      </c>
      <c r="C257" s="216" t="n">
        <v>109.38</v>
      </c>
      <c r="D257" s="216" t="n">
        <v>1.117977976799011</v>
      </c>
      <c r="E257" s="215" t="n">
        <v>46045</v>
      </c>
      <c r="F257" s="215" t="n">
        <v>46045</v>
      </c>
    </row>
    <row r="258">
      <c r="A258" s="215" t="n">
        <v>46048</v>
      </c>
      <c r="B258" s="216" t="n">
        <v>80.5</v>
      </c>
      <c r="C258" s="216" t="n">
        <v>110.95</v>
      </c>
      <c r="D258" s="216" t="n">
        <v>1.117916941642761</v>
      </c>
      <c r="E258" s="215" t="n">
        <v>46048</v>
      </c>
      <c r="F258" s="215" t="n">
        <v>46048</v>
      </c>
    </row>
    <row r="259">
      <c r="A259" s="215" t="n">
        <v>46049</v>
      </c>
      <c r="B259" s="216" t="n">
        <v>82.15000000000001</v>
      </c>
      <c r="C259" s="216" t="n">
        <v>112.4</v>
      </c>
      <c r="D259" s="216" t="n">
        <v>1.121191024780273</v>
      </c>
      <c r="E259" s="215" t="n">
        <v>46049</v>
      </c>
      <c r="F259" s="215" t="n">
        <v>46049</v>
      </c>
    </row>
    <row r="260">
      <c r="A260" s="215" t="n">
        <v>46050</v>
      </c>
      <c r="B260" s="216" t="n">
        <v>83.40000000000001</v>
      </c>
      <c r="C260" s="216" t="n">
        <v>112.2</v>
      </c>
      <c r="D260" s="216" t="n">
        <v>1.121533036231995</v>
      </c>
      <c r="E260" s="215" t="n">
        <v>46050</v>
      </c>
      <c r="F260" s="215" t="n">
        <v>46050</v>
      </c>
    </row>
    <row r="261">
      <c r="A261" s="215" t="n">
        <v>46051</v>
      </c>
      <c r="B261" s="216" t="n">
        <v>82</v>
      </c>
      <c r="C261" s="216" t="n">
        <v>110.31</v>
      </c>
      <c r="D261" s="216" t="n">
        <v>1.121621966362</v>
      </c>
      <c r="E261" s="215" t="n">
        <v>46051</v>
      </c>
      <c r="F261" s="215" t="n">
        <v>46051</v>
      </c>
    </row>
    <row r="262">
      <c r="A262" s="215" t="n">
        <v>46052</v>
      </c>
      <c r="B262" s="216" t="n">
        <v>81.3</v>
      </c>
      <c r="C262" s="216" t="n">
        <v>113.69</v>
      </c>
      <c r="D262" s="216" t="n">
        <v>1.123343944549561</v>
      </c>
      <c r="E262" s="215" t="n">
        <v>46052</v>
      </c>
      <c r="F262" s="215" t="n">
        <v>46052</v>
      </c>
    </row>
    <row r="263">
      <c r="A263" s="215" t="n">
        <v>46055</v>
      </c>
      <c r="B263" s="216" t="n">
        <v>75.95</v>
      </c>
      <c r="C263" s="216" t="n">
        <v>107.01</v>
      </c>
      <c r="D263" s="216" t="n">
        <v>1.123572945594788</v>
      </c>
      <c r="E263" s="215" t="n">
        <v>46055</v>
      </c>
      <c r="F263" s="215" t="n">
        <v>46055</v>
      </c>
    </row>
    <row r="264">
      <c r="A264" s="215" t="n">
        <v>46056</v>
      </c>
      <c r="B264" s="216" t="n">
        <v>79.34999999999999</v>
      </c>
      <c r="C264" s="216" t="n">
        <v>112.54</v>
      </c>
      <c r="D264" s="216" t="n">
        <v>1.124274969100952</v>
      </c>
      <c r="E264" s="215" t="n">
        <v>46056</v>
      </c>
      <c r="F264" s="215" t="n">
        <v>46056</v>
      </c>
    </row>
    <row r="265">
      <c r="A265" s="215" t="n">
        <v>46057</v>
      </c>
      <c r="B265" s="216" t="n">
        <v>73.5</v>
      </c>
      <c r="C265" s="216" t="n">
        <v>107.13</v>
      </c>
      <c r="D265" s="216" t="n">
        <v>1.12601101398468</v>
      </c>
      <c r="E265" s="215" t="n">
        <v>46057</v>
      </c>
      <c r="F265" s="215" t="n">
        <v>46057</v>
      </c>
    </row>
    <row r="266">
      <c r="A266" s="215" t="n">
        <v>46058</v>
      </c>
      <c r="B266" s="216" t="n">
        <v>71.55</v>
      </c>
      <c r="C266" s="216" t="n">
        <v>102.5</v>
      </c>
      <c r="D266" s="216" t="n">
        <v>1.125892996788025</v>
      </c>
      <c r="E266" s="215" t="n">
        <v>46058</v>
      </c>
      <c r="F266" s="215" t="n">
        <v>46058</v>
      </c>
    </row>
    <row r="267">
      <c r="A267" s="215" t="n">
        <v>46059</v>
      </c>
      <c r="B267" s="216" t="n">
        <v>68.8</v>
      </c>
      <c r="C267" s="216" t="n">
        <v>100.88</v>
      </c>
      <c r="D267" s="216" t="n">
        <v>1.126062035560608</v>
      </c>
      <c r="E267" s="215" t="n">
        <v>46059</v>
      </c>
      <c r="F267" s="215" t="n">
        <v>46059</v>
      </c>
    </row>
    <row r="268">
      <c r="A268" s="215" t="n">
        <v>46062</v>
      </c>
      <c r="B268" s="216" t="n">
        <v>72.15000000000001</v>
      </c>
      <c r="C268" s="216" t="n">
        <v>105.11</v>
      </c>
      <c r="D268" s="216" t="n">
        <v>1.125753998756409</v>
      </c>
      <c r="E268" s="215" t="n">
        <v>46062</v>
      </c>
      <c r="F268" s="215" t="n">
        <v>46062</v>
      </c>
    </row>
    <row r="269">
      <c r="A269" s="215" t="n">
        <v>46063</v>
      </c>
      <c r="B269" s="216" t="n">
        <v>72.90000000000001</v>
      </c>
      <c r="C269" s="216" t="n">
        <v>104.59</v>
      </c>
      <c r="D269" s="216" t="n">
        <v>1.129003047943115</v>
      </c>
      <c r="E269" s="215" t="n">
        <v>46063</v>
      </c>
      <c r="F269" s="215" t="n">
        <v>46063</v>
      </c>
    </row>
    <row r="270">
      <c r="A270" s="215" t="n">
        <v>46064</v>
      </c>
      <c r="B270" s="216" t="n">
        <v>68.75</v>
      </c>
      <c r="C270" s="216" t="n">
        <v>101.47</v>
      </c>
      <c r="D270" s="216" t="n">
        <v>1.130962014198303</v>
      </c>
      <c r="E270" s="215" t="n">
        <v>46064</v>
      </c>
      <c r="F270" s="215" t="n">
        <v>46064</v>
      </c>
    </row>
    <row r="271">
      <c r="A271" s="215" t="n">
        <v>46065</v>
      </c>
      <c r="B271" s="216" t="n">
        <v>67.55</v>
      </c>
      <c r="C271" s="216" t="n">
        <v>103.6</v>
      </c>
      <c r="D271" s="216" t="n">
        <v>1.130671977996826</v>
      </c>
      <c r="E271" s="215" t="n">
        <v>46065</v>
      </c>
      <c r="F271" s="215" t="n">
        <v>46065</v>
      </c>
    </row>
    <row r="272">
      <c r="A272" s="215" t="n">
        <v>46066</v>
      </c>
      <c r="B272" s="216" t="n">
        <v>66.34999999999999</v>
      </c>
      <c r="C272" s="216" t="n">
        <v>101.65</v>
      </c>
      <c r="D272" s="216" t="n">
        <v>1.132490992546082</v>
      </c>
      <c r="E272" s="215" t="n">
        <v>46066</v>
      </c>
      <c r="F272" s="215" t="n">
        <v>46066</v>
      </c>
    </row>
    <row r="273">
      <c r="A273" s="215" t="n">
        <v>46069</v>
      </c>
      <c r="B273" s="216" t="n">
        <v>68</v>
      </c>
      <c r="C273" s="216" t="n">
        <v>101.65</v>
      </c>
      <c r="D273" s="216" t="n">
        <v>1.131224036216736</v>
      </c>
      <c r="E273" s="215" t="n">
        <v>46066</v>
      </c>
      <c r="F273" s="215" t="n">
        <v>46069</v>
      </c>
    </row>
    <row r="274">
      <c r="A274" s="215" t="n">
        <v>46073</v>
      </c>
      <c r="B274" s="216" t="n">
        <v>64.05</v>
      </c>
      <c r="C274" s="216" t="n">
        <v>101.65</v>
      </c>
      <c r="D274" s="216" t="n">
        <v>1.131005048751831</v>
      </c>
      <c r="E274" s="215" t="n">
        <v>46066</v>
      </c>
      <c r="F274" s="215" t="n">
        <v>46073</v>
      </c>
    </row>
    <row r="275">
      <c r="A275" s="215" t="n">
        <v>46076</v>
      </c>
      <c r="B275" s="216" t="n">
        <v>68.05</v>
      </c>
      <c r="C275" s="216" t="n">
        <v>101.65</v>
      </c>
      <c r="D275" s="216" t="n">
        <v>1.130877017974854</v>
      </c>
      <c r="E275" s="215" t="n">
        <v>46066</v>
      </c>
      <c r="F275" s="215" t="n">
        <v>46076</v>
      </c>
    </row>
    <row r="276">
      <c r="A276" s="215" t="n">
        <v>46077</v>
      </c>
      <c r="B276" s="216" t="n">
        <v>67.59999999999999</v>
      </c>
      <c r="C276" s="216" t="n">
        <v>105.01</v>
      </c>
      <c r="D276" s="216" t="n">
        <v>1.131631016731262</v>
      </c>
      <c r="E276" s="215" t="n">
        <v>46077</v>
      </c>
      <c r="F276" s="215" t="n">
        <v>46077</v>
      </c>
    </row>
    <row r="277">
      <c r="A277" s="215" t="n">
        <v>46078</v>
      </c>
      <c r="B277" s="216" t="n">
        <v>67.7</v>
      </c>
      <c r="C277" s="216" t="n">
        <v>105.98</v>
      </c>
      <c r="D277" s="216" t="n">
        <v>1.136234045028687</v>
      </c>
      <c r="E277" s="215" t="n">
        <v>46078</v>
      </c>
      <c r="F277" s="215" t="n">
        <v>46078</v>
      </c>
    </row>
    <row r="278">
      <c r="A278" s="215" t="n">
        <v>46079</v>
      </c>
      <c r="B278" s="216" t="n">
        <v>73.05</v>
      </c>
      <c r="C278" s="216" t="n">
        <v>108.33</v>
      </c>
      <c r="D278" s="216" t="n">
        <v>1.138198971748352</v>
      </c>
      <c r="E278" s="215" t="n">
        <v>46079</v>
      </c>
      <c r="F278" s="215" t="n">
        <v>46079</v>
      </c>
    </row>
    <row r="279">
      <c r="A279" s="215" t="n">
        <v>46080</v>
      </c>
      <c r="B279" s="216" t="n">
        <v>67</v>
      </c>
      <c r="C279" s="216" t="n">
        <v>103.4</v>
      </c>
      <c r="D279" s="216" t="n">
        <v>1.143396973609924</v>
      </c>
      <c r="E279" s="215" t="n">
        <v>46080</v>
      </c>
      <c r="F279" s="215" t="n">
        <v>46080</v>
      </c>
    </row>
    <row r="280">
      <c r="A280" s="215" t="n">
        <v>46083</v>
      </c>
      <c r="B280" s="216" t="n">
        <v>73.2</v>
      </c>
      <c r="C280" s="216" t="n">
        <v>113.74</v>
      </c>
      <c r="D280" s="216" t="n">
        <v>1.140552043914795</v>
      </c>
      <c r="E280" s="215" t="n">
        <v>46083</v>
      </c>
      <c r="F280" s="215" t="n">
        <v>46083</v>
      </c>
    </row>
    <row r="281">
      <c r="A281" s="215" t="n">
        <v>46084</v>
      </c>
      <c r="B281" s="216" t="n">
        <v>73.8</v>
      </c>
      <c r="C281" s="216" t="n">
        <v>110.41</v>
      </c>
      <c r="D281" s="216" t="n">
        <v>1.136399984359741</v>
      </c>
      <c r="E281" s="215" t="n">
        <v>46084</v>
      </c>
      <c r="F281" s="215" t="n">
        <v>46084</v>
      </c>
    </row>
    <row r="282">
      <c r="A282" s="215" t="n">
        <v>46085</v>
      </c>
      <c r="B282" s="216" t="n">
        <v>71.25</v>
      </c>
      <c r="C282" s="216" t="n">
        <v>109.19</v>
      </c>
      <c r="D282" s="216" t="n">
        <v>1.130928993225098</v>
      </c>
      <c r="E282" s="215" t="n">
        <v>46085</v>
      </c>
      <c r="F282" s="215" t="n">
        <v>46085</v>
      </c>
    </row>
    <row r="283">
      <c r="A283" s="215" t="n">
        <v>46086</v>
      </c>
      <c r="B283" s="216" t="n">
        <v>76.84999999999999</v>
      </c>
      <c r="C283" s="216" t="n">
        <v>113.18</v>
      </c>
      <c r="D283" s="216" t="n">
        <v>1.133169054985046</v>
      </c>
      <c r="E283" s="215" t="n">
        <v>46086</v>
      </c>
      <c r="F283" s="215" t="n">
        <v>46086</v>
      </c>
    </row>
    <row r="284">
      <c r="A284" s="215" t="n">
        <v>46087</v>
      </c>
      <c r="B284" s="216" t="n">
        <v>75.95</v>
      </c>
      <c r="C284" s="216" t="n">
        <v>114.78</v>
      </c>
      <c r="D284" s="216" t="n">
        <v>1.133442044258118</v>
      </c>
      <c r="E284" s="215" t="n">
        <v>46087</v>
      </c>
      <c r="F284" s="215" t="n">
        <v>46087</v>
      </c>
    </row>
    <row r="285">
      <c r="A285" s="215" t="n">
        <v>46090</v>
      </c>
      <c r="B285" s="216" t="n">
        <v>73.09999999999999</v>
      </c>
      <c r="C285" s="216" t="n">
        <v>111.27</v>
      </c>
      <c r="D285" s="216" t="n">
        <v>1.133231043815613</v>
      </c>
      <c r="E285" s="215" t="n">
        <v>46090</v>
      </c>
      <c r="F285" s="215" t="n">
        <v>46090</v>
      </c>
    </row>
    <row r="286">
      <c r="A286" s="215" t="n">
        <v>46091</v>
      </c>
      <c r="B286" s="216" t="n">
        <v>82.34999999999999</v>
      </c>
      <c r="C286" s="216" t="n">
        <v>120.1</v>
      </c>
      <c r="D286" s="216" t="n">
        <v>1.131595015525818</v>
      </c>
      <c r="E286" s="215" t="n">
        <v>46091</v>
      </c>
      <c r="F286" s="215" t="n">
        <v>46091</v>
      </c>
    </row>
    <row r="287">
      <c r="A287" s="215" t="n">
        <v>46092</v>
      </c>
      <c r="B287" s="216" t="n">
        <v>87.59999999999999</v>
      </c>
      <c r="C287" s="216" t="n">
        <v>126.26</v>
      </c>
      <c r="D287" s="216" t="n">
        <v>1.137585043907166</v>
      </c>
      <c r="E287" s="215" t="n">
        <v>46092</v>
      </c>
      <c r="F287" s="215" t="n">
        <v>46092</v>
      </c>
    </row>
    <row r="288">
      <c r="A288" s="215" t="n">
        <v>46093</v>
      </c>
      <c r="B288" s="216" t="n">
        <v>84.40000000000001</v>
      </c>
      <c r="C288" s="216" t="n">
        <v>122.6</v>
      </c>
      <c r="D288" s="216" t="n">
        <v>1.139600038528442</v>
      </c>
      <c r="E288" s="215" t="n">
        <v>46093</v>
      </c>
      <c r="F288" s="215" t="n">
        <v>46093</v>
      </c>
    </row>
    <row r="289">
      <c r="A289" s="215" t="n">
        <v>46094</v>
      </c>
      <c r="B289" s="216" t="n">
        <v>80.40000000000001</v>
      </c>
      <c r="C289" s="216" t="n">
        <v>117.71</v>
      </c>
      <c r="D289" s="216" t="n">
        <v>1.139310002326965</v>
      </c>
      <c r="E289" s="215" t="n">
        <v>46094</v>
      </c>
      <c r="F289" s="215" t="n">
        <v>46094</v>
      </c>
    </row>
    <row r="290">
      <c r="A290" s="215" t="n">
        <v>46097</v>
      </c>
      <c r="B290" s="216" t="n">
        <v>78.25</v>
      </c>
      <c r="C290" s="216" t="n">
        <v>118.88</v>
      </c>
      <c r="D290" s="216" t="n">
        <v>1.134883999824524</v>
      </c>
      <c r="E290" s="215" t="n">
        <v>46097</v>
      </c>
      <c r="F290" s="215" t="n">
        <v>46097</v>
      </c>
    </row>
    <row r="291">
      <c r="A291" s="215" t="n">
        <v>46098</v>
      </c>
      <c r="B291" s="216" t="n">
        <v>70.59999999999999</v>
      </c>
      <c r="C291" s="216" t="n">
        <v>109.09</v>
      </c>
      <c r="D291" s="216" t="n">
        <v>1.125375986099243</v>
      </c>
      <c r="E291" s="215" t="n">
        <v>46098</v>
      </c>
      <c r="F291" s="215" t="n">
        <v>46098</v>
      </c>
    </row>
    <row r="292">
      <c r="A292" s="215" t="n">
        <v>46099</v>
      </c>
      <c r="B292" s="216" t="n">
        <v>76.2</v>
      </c>
      <c r="C292" s="216" t="n">
        <v>112.53</v>
      </c>
      <c r="D292" s="216" t="n">
        <v>1.137819051742554</v>
      </c>
      <c r="E292" s="215" t="n">
        <v>46099</v>
      </c>
      <c r="F292" s="215" t="n">
        <v>46099</v>
      </c>
    </row>
    <row r="293">
      <c r="A293" s="215" t="n">
        <v>46100</v>
      </c>
      <c r="B293" s="216" t="n">
        <v>76.2</v>
      </c>
      <c r="C293" s="216" t="n">
        <v>115.67</v>
      </c>
      <c r="D293" s="216" t="n">
        <v>1.140079021453857</v>
      </c>
      <c r="E293" s="215" t="n">
        <v>46100</v>
      </c>
      <c r="F293" s="215" t="n">
        <v>46100</v>
      </c>
    </row>
    <row r="294">
      <c r="A294" s="215" t="n">
        <v>46101</v>
      </c>
      <c r="B294" s="216" t="n">
        <v>75.7</v>
      </c>
      <c r="C294" s="216" t="n">
        <v>115.33</v>
      </c>
      <c r="D294" s="216" t="n">
        <v>1.13490903377533</v>
      </c>
      <c r="E294" s="215" t="n">
        <v>46101</v>
      </c>
      <c r="F294" s="215" t="n">
        <v>46101</v>
      </c>
    </row>
    <row r="295">
      <c r="A295" s="215" t="n">
        <v>46104</v>
      </c>
      <c r="B295" s="216" t="n">
        <v>71.40000000000001</v>
      </c>
      <c r="C295" s="216" t="n">
        <v>103.84</v>
      </c>
      <c r="D295" s="216" t="n">
        <v>1.137529969215393</v>
      </c>
      <c r="E295" s="215" t="n">
        <v>46104</v>
      </c>
      <c r="F295" s="215" t="n">
        <v>46104</v>
      </c>
    </row>
    <row r="296">
      <c r="A296" s="215" t="n">
        <v>46105</v>
      </c>
      <c r="B296" s="216" t="n">
        <v>76.65000000000001</v>
      </c>
      <c r="C296" s="216" t="n">
        <v>105.85</v>
      </c>
      <c r="D296" s="216" t="n">
        <v>1.138481974601746</v>
      </c>
      <c r="E296" s="215" t="n">
        <v>46105</v>
      </c>
      <c r="F296" s="215" t="n">
        <v>46105</v>
      </c>
    </row>
    <row r="297">
      <c r="A297" s="215" t="n">
        <v>46106</v>
      </c>
      <c r="B297" s="216" t="n">
        <v>78.45</v>
      </c>
      <c r="C297" s="216" t="n">
        <v>109.94</v>
      </c>
      <c r="D297" s="216" t="n">
        <v>1.135548949241638</v>
      </c>
      <c r="E297" s="215" t="n">
        <v>46106</v>
      </c>
      <c r="F297" s="215" t="n">
        <v>46106</v>
      </c>
    </row>
    <row r="298">
      <c r="A298" s="215" t="n">
        <v>46107</v>
      </c>
      <c r="B298" s="216" t="n">
        <v>75.25</v>
      </c>
      <c r="C298" s="216" t="n">
        <v>105.43</v>
      </c>
      <c r="D298" s="216" t="n">
        <v>1.132627010345459</v>
      </c>
      <c r="E298" s="215" t="n">
        <v>46107</v>
      </c>
      <c r="F298" s="215" t="n">
        <v>46107</v>
      </c>
    </row>
    <row r="299">
      <c r="A299" s="215" t="n">
        <v>46108</v>
      </c>
      <c r="B299" s="216" t="n">
        <v>73.90000000000001</v>
      </c>
      <c r="C299" s="216" t="n">
        <v>104.53</v>
      </c>
      <c r="D299" s="216" t="n">
        <v>1.132115960121155</v>
      </c>
      <c r="E299" s="215" t="n">
        <v>46108</v>
      </c>
      <c r="F299" s="215" t="n">
        <v>46108</v>
      </c>
    </row>
    <row r="300">
      <c r="A300" s="215" t="n">
        <v>46111</v>
      </c>
      <c r="B300" s="216" t="n">
        <v>74.25</v>
      </c>
      <c r="C300" s="216" t="n">
        <v>105.29</v>
      </c>
      <c r="D300" s="216" t="n">
        <v>1.13311505317688</v>
      </c>
      <c r="E300" s="215" t="n">
        <v>46111</v>
      </c>
      <c r="F300" s="215" t="n">
        <v>46111</v>
      </c>
    </row>
    <row r="301">
      <c r="A301" s="215" t="n">
        <v>46112</v>
      </c>
      <c r="B301" s="216" t="n">
        <v>67</v>
      </c>
      <c r="C301" s="216" t="n">
        <v>101.6</v>
      </c>
      <c r="D301" s="216" t="n">
        <v>1.133540987968445</v>
      </c>
      <c r="E301" s="215" t="n">
        <v>46112</v>
      </c>
      <c r="F301" s="215" t="n">
        <v>46112</v>
      </c>
    </row>
    <row r="302">
      <c r="A302" s="215" t="n">
        <v>46113</v>
      </c>
      <c r="B302" s="216" t="n">
        <v>71.59999999999999</v>
      </c>
      <c r="C302" s="216" t="n">
        <v>105.24</v>
      </c>
      <c r="D302" s="216" t="n">
        <v>1.136669993400574</v>
      </c>
      <c r="E302" s="215" t="n">
        <v>46113</v>
      </c>
      <c r="F302" s="215" t="n">
        <v>46113</v>
      </c>
    </row>
    <row r="303">
      <c r="A303" s="215" t="n">
        <v>46114</v>
      </c>
      <c r="B303" s="216" t="n">
        <v>69.34999999999999</v>
      </c>
      <c r="C303" s="216" t="n">
        <v>102.23</v>
      </c>
      <c r="D303" s="216" t="n">
        <v>1.140197992324829</v>
      </c>
      <c r="E303" s="215" t="n">
        <v>46114</v>
      </c>
      <c r="F303" s="215" t="n">
        <v>46114</v>
      </c>
    </row>
    <row r="304">
      <c r="A304" s="215" t="n">
        <v>46120</v>
      </c>
      <c r="B304" s="216" t="n">
        <v>81.25</v>
      </c>
      <c r="C304" s="216" t="n">
        <v>111.55</v>
      </c>
      <c r="D304" s="216" t="n">
        <v>1.1423499584198</v>
      </c>
      <c r="E304" s="215" t="n">
        <v>46120</v>
      </c>
      <c r="F304" s="215" t="n">
        <v>46120</v>
      </c>
    </row>
    <row r="305">
      <c r="A305" s="215" t="n">
        <v>46121</v>
      </c>
      <c r="B305" s="216" t="n">
        <v>80.5</v>
      </c>
      <c r="C305" s="216" t="n">
        <v>115.55</v>
      </c>
      <c r="D305" s="216" t="n">
        <v>1.146731972694397</v>
      </c>
      <c r="E305" s="215" t="n">
        <v>46121</v>
      </c>
      <c r="F305" s="215" t="n">
        <v>46121</v>
      </c>
    </row>
    <row r="306">
      <c r="A306" s="215" t="n">
        <v>46122</v>
      </c>
      <c r="B306" s="216" t="n">
        <v>79.15000000000001</v>
      </c>
      <c r="C306" s="216" t="n">
        <v>116.24</v>
      </c>
      <c r="D306" s="216" t="n">
        <v>1.146558046340942</v>
      </c>
      <c r="E306" s="215" t="n">
        <v>46122</v>
      </c>
      <c r="F306" s="215" t="n">
        <v>46122</v>
      </c>
    </row>
    <row r="307">
      <c r="A307" s="215" t="n">
        <v>46125</v>
      </c>
      <c r="B307" s="216" t="n">
        <v>80.90000000000001</v>
      </c>
      <c r="C307" s="216" t="n">
        <v>118.58</v>
      </c>
      <c r="D307" s="216" t="n">
        <v>1.147117972373962</v>
      </c>
      <c r="E307" s="215" t="n">
        <v>46125</v>
      </c>
      <c r="F307" s="215" t="n">
        <v>46125</v>
      </c>
    </row>
    <row r="308">
      <c r="A308" s="215" t="n">
        <v>46126</v>
      </c>
      <c r="B308" s="216" t="n">
        <v>89.15000000000001</v>
      </c>
      <c r="C308" s="216" t="n">
        <v>120.62</v>
      </c>
      <c r="D308" s="216" t="n">
        <v>1.146226048469543</v>
      </c>
      <c r="E308" s="215" t="n">
        <v>46126</v>
      </c>
      <c r="F308" s="215" t="n">
        <v>46126</v>
      </c>
    </row>
    <row r="309">
      <c r="A309" s="215" t="n">
        <v>46127</v>
      </c>
      <c r="B309" s="216" t="n">
        <v>86.34999999999999</v>
      </c>
      <c r="C309" s="216" t="n">
        <v>125.8</v>
      </c>
      <c r="D309" s="216" t="n">
        <v>1.149266004562378</v>
      </c>
      <c r="E309" s="215" t="n">
        <v>46127</v>
      </c>
      <c r="F309" s="215" t="n">
        <v>46127</v>
      </c>
    </row>
    <row r="310">
      <c r="A310" s="215" t="n">
        <v>46128</v>
      </c>
      <c r="B310" s="216" t="n">
        <v>91.05</v>
      </c>
      <c r="C310" s="216" t="n">
        <v>132.08</v>
      </c>
      <c r="D310" s="216" t="n">
        <v>1.148550033569336</v>
      </c>
      <c r="E310" s="215" t="n">
        <v>46128</v>
      </c>
      <c r="F310" s="215" t="n">
        <v>46128</v>
      </c>
    </row>
    <row r="311">
      <c r="A311" s="215" t="n">
        <v>46129</v>
      </c>
      <c r="B311" s="216" t="n">
        <v>122.8</v>
      </c>
      <c r="C311" s="216" t="n">
        <v>145.29</v>
      </c>
      <c r="D311" s="216" t="n">
        <v>1.146605014801025</v>
      </c>
      <c r="E311" s="215" t="n">
        <v>46129</v>
      </c>
      <c r="F311" s="215" t="n">
        <v>46129</v>
      </c>
    </row>
    <row r="312">
      <c r="A312" s="215" t="n">
        <v>46132</v>
      </c>
      <c r="B312" s="216" t="n">
        <v>113.7</v>
      </c>
      <c r="C312" s="216" t="n">
        <v>152.3</v>
      </c>
      <c r="D312" s="216" t="n">
        <v>1.148360967636108</v>
      </c>
      <c r="E312" s="215" t="n">
        <v>46132</v>
      </c>
      <c r="F312" s="215" t="n">
        <v>46132</v>
      </c>
    </row>
    <row r="313">
      <c r="A313" s="215" t="n">
        <v>46133</v>
      </c>
      <c r="B313" s="216" t="n">
        <v>125.7</v>
      </c>
      <c r="C313" s="216" t="n">
        <v>161.17</v>
      </c>
      <c r="D313" s="216" t="n">
        <v>1.148368000984192</v>
      </c>
      <c r="E313" s="215" t="n">
        <v>46133</v>
      </c>
      <c r="F313" s="215" t="n">
        <v>46133</v>
      </c>
    </row>
    <row r="314">
      <c r="A314" s="215" t="n">
        <v>46134</v>
      </c>
      <c r="B314" s="216" t="n">
        <v>152.2</v>
      </c>
      <c r="C314" s="216" t="n">
        <v>172.18</v>
      </c>
      <c r="D314" s="216" t="n">
        <v>1.147838950157166</v>
      </c>
      <c r="E314" s="215" t="n">
        <v>46134</v>
      </c>
      <c r="F314" s="215" t="n">
        <v>46134</v>
      </c>
    </row>
    <row r="315">
      <c r="A315" s="215" t="n">
        <v>46135</v>
      </c>
      <c r="B315" s="216" t="n">
        <v>145.1</v>
      </c>
      <c r="C315" s="216" t="n">
        <v>164.33</v>
      </c>
      <c r="D315" s="216" t="n">
        <v>1.147513031959534</v>
      </c>
      <c r="E315" s="215" t="n">
        <v>46135</v>
      </c>
      <c r="F315" s="215" t="n">
        <v>46135</v>
      </c>
    </row>
    <row r="316">
      <c r="A316" s="215" t="n">
        <v>46136</v>
      </c>
      <c r="B316" s="216" t="n">
        <v>126.9</v>
      </c>
      <c r="C316" s="216" t="n">
        <v>153.64</v>
      </c>
      <c r="D316" s="216" t="n">
        <v>1.147369027137756</v>
      </c>
      <c r="E316" s="215" t="n">
        <v>46136</v>
      </c>
      <c r="F316" s="215" t="n">
        <v>46136</v>
      </c>
    </row>
    <row r="317">
      <c r="A317" s="215" t="n">
        <v>46139</v>
      </c>
      <c r="B317" s="216" t="n">
        <v>133.1</v>
      </c>
      <c r="C317" s="216" t="n">
        <v>153.59</v>
      </c>
      <c r="D317" s="216" t="n">
        <v>1.146002054214478</v>
      </c>
      <c r="E317" s="215" t="n">
        <v>46139</v>
      </c>
      <c r="F317" s="215" t="n">
        <v>46139</v>
      </c>
    </row>
    <row r="318">
      <c r="A318" s="215" t="n">
        <v>46140</v>
      </c>
      <c r="B318" s="216" t="n">
        <v>111.2</v>
      </c>
      <c r="C318" s="216" t="n">
        <v>155.19</v>
      </c>
      <c r="D318" s="216" t="n">
        <v>1.148522019386292</v>
      </c>
      <c r="E318" s="215" t="n">
        <v>46140</v>
      </c>
      <c r="F318" s="215" t="n">
        <v>46140</v>
      </c>
    </row>
    <row r="319">
      <c r="A319" s="215" t="n">
        <v>46141</v>
      </c>
      <c r="B319" s="216" t="n">
        <v>127.7</v>
      </c>
      <c r="C319" s="216" t="n">
        <v>170.71</v>
      </c>
      <c r="D319" s="216" t="n">
        <v>1.145936012268066</v>
      </c>
      <c r="E319" s="215" t="n">
        <v>46141</v>
      </c>
      <c r="F319" s="215" t="n">
        <v>46141</v>
      </c>
    </row>
    <row r="320">
      <c r="A320" s="215" t="n">
        <v>46142</v>
      </c>
      <c r="B320" s="216" t="n">
        <v>122</v>
      </c>
      <c r="C320" s="216" t="n">
        <v>174.97</v>
      </c>
      <c r="D320" s="216" t="n">
        <v>1.145792007446289</v>
      </c>
      <c r="E320" s="215" t="n">
        <v>46142</v>
      </c>
      <c r="F320" s="215" t="n">
        <v>46142</v>
      </c>
    </row>
    <row r="321">
      <c r="A321" s="215" t="n">
        <v>46146</v>
      </c>
      <c r="B321" s="216" t="n">
        <v>142</v>
      </c>
      <c r="C321" s="216" t="n">
        <v>174.97</v>
      </c>
      <c r="D321" s="216" t="n">
        <v>1.147340059280396</v>
      </c>
      <c r="E321" s="215" t="n">
        <v>46142</v>
      </c>
      <c r="F321" s="215" t="n">
        <v>46146</v>
      </c>
    </row>
    <row r="322">
      <c r="A322" s="215" t="n">
        <v>46147</v>
      </c>
      <c r="B322" s="216" t="n">
        <v>137.6</v>
      </c>
      <c r="C322" s="216" t="n">
        <v>174.97</v>
      </c>
      <c r="D322" s="216" t="n">
        <v>1.146813988685608</v>
      </c>
      <c r="E322" s="215" t="n">
        <v>46142</v>
      </c>
      <c r="F322" s="215" t="n">
        <v>46147</v>
      </c>
    </row>
    <row r="323">
      <c r="A323" s="215" t="n">
        <v>46148</v>
      </c>
      <c r="B323" s="216" t="n">
        <v>133</v>
      </c>
      <c r="C323" s="216" t="n">
        <v>179.22</v>
      </c>
      <c r="D323" s="216" t="n">
        <v>1.14708399772644</v>
      </c>
      <c r="E323" s="215" t="n">
        <v>46148</v>
      </c>
      <c r="F323" s="215" t="n">
        <v>46148</v>
      </c>
    </row>
    <row r="324">
      <c r="A324" s="215" t="n">
        <v>46149</v>
      </c>
      <c r="B324" s="216" t="n">
        <v>139.3</v>
      </c>
      <c r="C324" s="216" t="n">
        <v>184.07</v>
      </c>
      <c r="D324" s="216" t="n">
        <v>1.150125026702881</v>
      </c>
      <c r="E324" s="215" t="n">
        <v>46149</v>
      </c>
      <c r="F324" s="215" t="n">
        <v>46149</v>
      </c>
    </row>
    <row r="325">
      <c r="A325" s="215" t="n">
        <v>46150</v>
      </c>
      <c r="B325" s="216" t="n">
        <v>143.7</v>
      </c>
      <c r="C325" s="216" t="n">
        <v>189.84</v>
      </c>
      <c r="D325" s="216" t="n">
        <v>1.15172004699707</v>
      </c>
      <c r="E325" s="215" t="n">
        <v>46150</v>
      </c>
      <c r="F325" s="215" t="n">
        <v>46150</v>
      </c>
    </row>
    <row r="326">
      <c r="A326" s="215" t="n">
        <v>46153</v>
      </c>
      <c r="B326" s="216" t="n">
        <v>145.6</v>
      </c>
      <c r="C326" s="216" t="n">
        <v>197.8</v>
      </c>
      <c r="D326" s="216" t="n">
        <v>1.151090025901794</v>
      </c>
      <c r="E326" s="215" t="n">
        <v>46153</v>
      </c>
      <c r="F326" s="215" t="n">
        <v>46153</v>
      </c>
    </row>
    <row r="327">
      <c r="A327" s="215" t="n">
        <v>46154</v>
      </c>
      <c r="B327" s="216" t="n">
        <v>140.1</v>
      </c>
      <c r="C327" s="216" t="n">
        <v>189.42</v>
      </c>
      <c r="D327" s="216" t="n">
        <v>1.152078986167908</v>
      </c>
      <c r="E327" s="215" t="n">
        <v>46154</v>
      </c>
      <c r="F327" s="215" t="n">
        <v>46154</v>
      </c>
    </row>
    <row r="328">
      <c r="A328" s="215" t="n">
        <v>46155</v>
      </c>
      <c r="B328" s="216" t="n">
        <v>149.9</v>
      </c>
      <c r="C328" s="216" t="n">
        <v>191.64</v>
      </c>
      <c r="D328" s="216" t="n">
        <v>1.152537941932678</v>
      </c>
      <c r="E328" s="215" t="n">
        <v>46155</v>
      </c>
      <c r="F328" s="215" t="n">
        <v>46155</v>
      </c>
    </row>
    <row r="329">
      <c r="A329" s="215" t="n">
        <v>46156</v>
      </c>
      <c r="B329" s="216" t="n">
        <v>153</v>
      </c>
      <c r="C329" s="216" t="n">
        <v>191.87</v>
      </c>
      <c r="D329" s="216" t="n">
        <v>1.152662992477417</v>
      </c>
      <c r="E329" s="215" t="n">
        <v>46156</v>
      </c>
      <c r="F329" s="215" t="n">
        <v>46156</v>
      </c>
    </row>
    <row r="330">
      <c r="A330" s="215" t="n">
        <v>46157</v>
      </c>
      <c r="B330" s="216" t="n">
        <v>141.8</v>
      </c>
      <c r="C330" s="216" t="n">
        <v>188.12</v>
      </c>
      <c r="D330" s="216" t="n">
        <v>1.154320001602173</v>
      </c>
      <c r="E330" s="215" t="n">
        <v>46157</v>
      </c>
      <c r="F330" s="215" t="n">
        <v>46157</v>
      </c>
    </row>
    <row r="331">
      <c r="A331" s="215" t="n">
        <v>46160</v>
      </c>
      <c r="B331" s="216" t="n">
        <v>138.6</v>
      </c>
      <c r="C331" s="216" t="n">
        <v>184.3</v>
      </c>
      <c r="D331" s="216" t="n">
        <v>1.149821996688843</v>
      </c>
      <c r="E331" s="215" t="n">
        <v>46160</v>
      </c>
      <c r="F331" s="215" t="n">
        <v>46160</v>
      </c>
    </row>
    <row r="332">
      <c r="A332" s="215" t="n">
        <v>46161</v>
      </c>
      <c r="B332" s="216" t="n">
        <v>157</v>
      </c>
      <c r="C332" s="216" t="n">
        <v>202.42</v>
      </c>
      <c r="D332" s="216" t="n">
        <v>1.151532053947449</v>
      </c>
      <c r="E332" s="215" t="n">
        <v>46161</v>
      </c>
      <c r="F332" s="215" t="n">
        <v>46161</v>
      </c>
    </row>
    <row r="333">
      <c r="A333" s="215" t="n">
        <v>46162</v>
      </c>
      <c r="B333" s="216" t="n">
        <v>146.9</v>
      </c>
      <c r="C333" s="216" t="n">
        <v>193.88</v>
      </c>
      <c r="D333" s="216" t="n">
        <v>1.149292945861816</v>
      </c>
      <c r="E333" s="215" t="n">
        <v>46162</v>
      </c>
      <c r="F333" s="215" t="n">
        <v>46162</v>
      </c>
    </row>
    <row r="334">
      <c r="A334" s="215" t="n">
        <v>46163</v>
      </c>
      <c r="B334" s="216" t="n">
        <v>134.4</v>
      </c>
      <c r="C334" s="216" t="n">
        <v>179.19</v>
      </c>
      <c r="D334" s="216" t="n">
        <v>1.151231050491333</v>
      </c>
      <c r="E334" s="215" t="n">
        <v>46163</v>
      </c>
      <c r="F334" s="215" t="n">
        <v>46163</v>
      </c>
    </row>
    <row r="335">
      <c r="A335" s="215" t="n">
        <v>46164</v>
      </c>
      <c r="B335" s="216" t="n">
        <v>142.7</v>
      </c>
      <c r="C335" s="216" t="n">
        <v>190</v>
      </c>
      <c r="D335" s="216" t="n">
        <v>1.151487946510315</v>
      </c>
      <c r="E335" s="215" t="n">
        <v>46164</v>
      </c>
      <c r="F335" s="215" t="n">
        <v>46164</v>
      </c>
    </row>
    <row r="336">
      <c r="A336" s="215" t="n">
        <v>46168</v>
      </c>
      <c r="B336" s="216" t="n">
        <v>146.2</v>
      </c>
      <c r="C336" s="216" t="n">
        <v>204.94</v>
      </c>
      <c r="D336" s="216" t="n">
        <v>1.152968049049377</v>
      </c>
      <c r="E336" s="215" t="n">
        <v>46168</v>
      </c>
      <c r="F336" s="215" t="n">
        <v>46168</v>
      </c>
    </row>
    <row r="337">
      <c r="A337" s="215" t="n">
        <v>46169</v>
      </c>
      <c r="B337" s="216" t="n">
        <v>139</v>
      </c>
      <c r="C337" s="216" t="n">
        <v>188.5</v>
      </c>
      <c r="D337" s="216" t="n">
        <v>1.154562950134277</v>
      </c>
      <c r="E337" s="215" t="n">
        <v>46169</v>
      </c>
      <c r="F337" s="215" t="n">
        <v>46169</v>
      </c>
    </row>
    <row r="338">
      <c r="A338" s="215" t="n">
        <v>46170</v>
      </c>
      <c r="B338" s="216" t="n">
        <v>154.8</v>
      </c>
      <c r="C338" s="216" t="n">
        <v>203.04</v>
      </c>
      <c r="D338" s="216" t="n">
        <v>1.155385971069336</v>
      </c>
      <c r="E338" s="215" t="n">
        <v>46170</v>
      </c>
      <c r="F338" s="215" t="n">
        <v>46170</v>
      </c>
    </row>
    <row r="339">
      <c r="A339" s="215" t="n">
        <v>46171</v>
      </c>
      <c r="B339" s="216" t="n">
        <v>146.4</v>
      </c>
      <c r="C339" s="216" t="n">
        <v>207.7</v>
      </c>
      <c r="D339" s="216" t="n">
        <v>1.155282974243164</v>
      </c>
      <c r="E339" s="215" t="n">
        <v>46171</v>
      </c>
      <c r="F339" s="215" t="n">
        <v>46171</v>
      </c>
    </row>
    <row r="340">
      <c r="A340" s="215" t="n">
        <v>46174</v>
      </c>
      <c r="B340" s="216" t="n">
        <v>133</v>
      </c>
      <c r="C340" s="216" t="n">
        <v>187</v>
      </c>
      <c r="D340" s="216" t="n">
        <v>1.158049941062927</v>
      </c>
      <c r="E340" s="215" t="n">
        <v>46174</v>
      </c>
      <c r="F340" s="215" t="n">
        <v>46174</v>
      </c>
    </row>
    <row r="341">
      <c r="A341" s="215" t="n">
        <v>46175</v>
      </c>
      <c r="B341" s="216" t="n">
        <v>134.5</v>
      </c>
      <c r="C341" s="216" t="n">
        <v>189.85</v>
      </c>
      <c r="D341" s="216" t="n">
        <v>1.158406972885132</v>
      </c>
      <c r="E341" s="215" t="n">
        <v>46175</v>
      </c>
      <c r="F341" s="215" t="n">
        <v>46175</v>
      </c>
    </row>
    <row r="342">
      <c r="A342" s="215" t="n">
        <v>46176</v>
      </c>
      <c r="B342" s="216" t="n">
        <v>144.1</v>
      </c>
      <c r="C342" s="216" t="n">
        <v>202.6</v>
      </c>
      <c r="D342" s="216" t="n">
        <v>1.15879499912262</v>
      </c>
      <c r="E342" s="215" t="n">
        <v>46176</v>
      </c>
      <c r="F342" s="215" t="n">
        <v>46176</v>
      </c>
    </row>
    <row r="343">
      <c r="A343" s="215" t="n">
        <v>46177</v>
      </c>
      <c r="B343" s="216" t="n">
        <v>138.5</v>
      </c>
      <c r="C343" s="216" t="n">
        <v>204.17</v>
      </c>
      <c r="D343" s="216" t="n">
        <v>1.157420039176941</v>
      </c>
      <c r="E343" s="215" t="n">
        <v>46177</v>
      </c>
      <c r="F343" s="215" t="n">
        <v>46177</v>
      </c>
    </row>
    <row r="344">
      <c r="A344" s="215" t="n">
        <v>46178</v>
      </c>
      <c r="B344" s="216" t="n">
        <v>133.3</v>
      </c>
      <c r="C344" s="216" t="n">
        <v>192.02</v>
      </c>
      <c r="D344" s="216" t="n">
        <v>1.156491994857788</v>
      </c>
      <c r="E344" s="215" t="n">
        <v>46178</v>
      </c>
      <c r="F344" s="215" t="n">
        <v>46178</v>
      </c>
    </row>
    <row r="345">
      <c r="A345" s="215" t="n">
        <v>46181</v>
      </c>
      <c r="B345" s="216" t="n">
        <v>126</v>
      </c>
      <c r="C345" s="216" t="n">
        <v>174.76</v>
      </c>
      <c r="D345" s="216" t="n">
        <v>1.157665967941284</v>
      </c>
      <c r="E345" s="215" t="n">
        <v>46181</v>
      </c>
      <c r="F345" s="215" t="n">
        <v>46181</v>
      </c>
    </row>
    <row r="346">
      <c r="A346" s="215" t="n">
        <v>46182</v>
      </c>
      <c r="B346" s="216" t="n">
        <v>131.1</v>
      </c>
      <c r="C346" s="216" t="n">
        <v>180.97</v>
      </c>
      <c r="D346" s="216" t="n">
        <v>1.158027052879333</v>
      </c>
      <c r="E346" s="215" t="n">
        <v>46182</v>
      </c>
      <c r="F346" s="215" t="n">
        <v>46182</v>
      </c>
    </row>
    <row r="347">
      <c r="A347" s="215" t="n">
        <v>46183</v>
      </c>
      <c r="B347" s="216" t="n">
        <v>121.5</v>
      </c>
      <c r="C347" s="216" t="n">
        <v>175.99</v>
      </c>
      <c r="D347" s="216" t="n">
        <v>1.157112002372742</v>
      </c>
      <c r="E347" s="215" t="n">
        <v>46183</v>
      </c>
      <c r="F347" s="215" t="n">
        <v>46183</v>
      </c>
    </row>
    <row r="348">
      <c r="A348" s="215" t="n">
        <v>46184</v>
      </c>
      <c r="B348" s="216" t="n">
        <v>117.9</v>
      </c>
      <c r="C348" s="216" t="n">
        <v>171.08</v>
      </c>
      <c r="D348" s="216" t="n">
        <v>1.156929016113281</v>
      </c>
      <c r="E348" s="215" t="n">
        <v>46184</v>
      </c>
      <c r="F348" s="215" t="n">
        <v>46184</v>
      </c>
    </row>
    <row r="349">
      <c r="A349" s="215" t="n">
        <v>46185</v>
      </c>
      <c r="B349" s="216" t="n">
        <v>122.4</v>
      </c>
      <c r="C349" s="216" t="n">
        <v>182.99</v>
      </c>
      <c r="D349" s="216" t="n">
        <v>1.156345963478088</v>
      </c>
      <c r="E349" s="215" t="n">
        <v>46185</v>
      </c>
      <c r="F349" s="215" t="n">
        <v>46185</v>
      </c>
    </row>
    <row r="350">
      <c r="A350" s="215" t="n">
        <v>46188</v>
      </c>
      <c r="B350" s="216" t="n">
        <v>135.5</v>
      </c>
      <c r="C350" s="216" t="n">
        <v>201.29</v>
      </c>
      <c r="D350" s="216" t="n">
        <v>1.156880021095276</v>
      </c>
      <c r="E350" s="215" t="n">
        <v>46188</v>
      </c>
      <c r="F350" s="215" t="n">
        <v>46188</v>
      </c>
    </row>
    <row r="351">
      <c r="A351" s="215" t="n">
        <v>46189</v>
      </c>
      <c r="B351" s="216" t="n">
        <v>128.4</v>
      </c>
      <c r="C351" s="216" t="n">
        <v>198.07</v>
      </c>
      <c r="D351" s="216" t="n">
        <v>1.158604025840759</v>
      </c>
      <c r="E351" s="215" t="n">
        <v>46189</v>
      </c>
      <c r="F351" s="215" t="n">
        <v>46189</v>
      </c>
    </row>
    <row r="352">
      <c r="A352" s="215" t="n">
        <v>46190</v>
      </c>
      <c r="B352" s="216" t="n">
        <v>131.3</v>
      </c>
      <c r="C352" s="216" t="n">
        <v>203.29</v>
      </c>
      <c r="D352" s="216" t="n">
        <v>1.158974051475525</v>
      </c>
      <c r="E352" s="215" t="n">
        <v>46190</v>
      </c>
      <c r="F352" s="215" t="n">
        <v>46190</v>
      </c>
    </row>
    <row r="353">
      <c r="A353" s="215" t="n">
        <v>46191</v>
      </c>
      <c r="B353" s="216" t="n">
        <v>138.9</v>
      </c>
      <c r="C353" s="216" t="n">
        <v>214.54</v>
      </c>
      <c r="D353" s="216" t="n">
        <v>1.159355998039246</v>
      </c>
      <c r="E353" s="215" t="n">
        <v>46191</v>
      </c>
      <c r="F353" s="215" t="n">
        <v>46191</v>
      </c>
    </row>
    <row r="354">
      <c r="A354" s="215" t="n">
        <v>46195</v>
      </c>
      <c r="B354" s="216" t="n">
        <v>157.9</v>
      </c>
      <c r="C354" s="216" t="n">
        <v>235.99</v>
      </c>
      <c r="D354" s="216" t="n">
        <v>1.157493948936462</v>
      </c>
      <c r="E354" s="215" t="n">
        <v>46195</v>
      </c>
      <c r="F354" s="215" t="n">
        <v>46195</v>
      </c>
    </row>
    <row r="355">
      <c r="A355" s="215" t="n">
        <v>46196</v>
      </c>
      <c r="B355" s="216" t="n">
        <v>147</v>
      </c>
      <c r="C355" s="216" t="n">
        <v>238.37</v>
      </c>
      <c r="D355" s="216" t="n">
        <v>1.156896948814392</v>
      </c>
      <c r="E355" s="215" t="n">
        <v>46196</v>
      </c>
      <c r="F355" s="215" t="n">
        <v>46196</v>
      </c>
    </row>
    <row r="356">
      <c r="A356" s="215" t="n">
        <v>46197</v>
      </c>
      <c r="B356" s="216" t="n">
        <v>159</v>
      </c>
      <c r="C356" s="216" t="n">
        <v>262.21</v>
      </c>
      <c r="D356" s="216" t="n">
        <v>1.154508948326111</v>
      </c>
      <c r="E356" s="215" t="n">
        <v>46197</v>
      </c>
      <c r="F356" s="215" t="n">
        <v>46197</v>
      </c>
    </row>
    <row r="357">
      <c r="A357" s="215" t="n">
        <v>46198</v>
      </c>
      <c r="B357" s="216" t="n">
        <v>160.2</v>
      </c>
      <c r="C357" s="216" t="n">
        <v>260.4</v>
      </c>
      <c r="D357" s="216" t="n">
        <v>1.154152035713196</v>
      </c>
      <c r="E357" s="215" t="n">
        <v>46198</v>
      </c>
      <c r="F357" s="215" t="n">
        <v>46198</v>
      </c>
    </row>
    <row r="358">
      <c r="A358" s="215" t="n">
        <v>46199</v>
      </c>
      <c r="B358" s="216" t="n">
        <v>148.3</v>
      </c>
      <c r="C358" s="216" t="n">
        <v>245.92</v>
      </c>
      <c r="D358" s="216" t="n">
        <v>1.154500961303711</v>
      </c>
      <c r="E358" s="215" t="n">
        <v>46199</v>
      </c>
      <c r="F358" s="215" t="n">
        <v>46199</v>
      </c>
    </row>
    <row r="359">
      <c r="A359" s="215" t="n">
        <v>46202</v>
      </c>
      <c r="B359" s="216" t="n">
        <v>144.3</v>
      </c>
      <c r="C359" s="216" t="n">
        <v>247.78</v>
      </c>
      <c r="D359" s="216" t="n">
        <v>1.153512001037598</v>
      </c>
      <c r="E359" s="215" t="n">
        <v>46202</v>
      </c>
      <c r="F359" s="215" t="n">
        <v>46202</v>
      </c>
    </row>
    <row r="360">
      <c r="A360" s="215" t="n">
        <v>46203</v>
      </c>
      <c r="B360" s="216" t="n">
        <v>150.9</v>
      </c>
      <c r="C360" s="216" t="n">
        <v>254.87</v>
      </c>
      <c r="D360" s="216" t="n">
        <v>1.153959035873413</v>
      </c>
      <c r="E360" s="215" t="n">
        <v>46203</v>
      </c>
      <c r="F360" s="215" t="n">
        <v>46203</v>
      </c>
    </row>
    <row r="361">
      <c r="A361" s="215" t="n">
        <v>46205</v>
      </c>
      <c r="B361" s="216" t="n">
        <v>114.4</v>
      </c>
      <c r="C361" s="216" t="n">
        <v>218.43</v>
      </c>
      <c r="D361" s="216" t="n">
        <v>1.154355049133301</v>
      </c>
      <c r="E361" s="215" t="n">
        <v>46205</v>
      </c>
      <c r="F361" s="215" t="n">
        <v>46205</v>
      </c>
    </row>
    <row r="362">
      <c r="A362" s="215" t="n">
        <v>46206</v>
      </c>
      <c r="B362" s="216" t="n">
        <v>111.4</v>
      </c>
      <c r="C362" s="216" t="n">
        <v>209.37</v>
      </c>
      <c r="D362" s="216" t="n">
        <v>1.155220985412598</v>
      </c>
      <c r="E362" s="215" t="n">
        <v>46206</v>
      </c>
      <c r="F362" s="215" t="n">
        <v>46206</v>
      </c>
    </row>
    <row r="363">
      <c r="A363" s="215" t="n">
        <v>46209</v>
      </c>
      <c r="B363" s="216" t="n">
        <v>104.7</v>
      </c>
      <c r="C363" s="216" t="n">
        <v>196.56</v>
      </c>
      <c r="D363" s="216" t="n">
        <v>1.155068039894104</v>
      </c>
      <c r="E363" s="215" t="n">
        <v>46209</v>
      </c>
      <c r="F363" s="215" t="n">
        <v>46209</v>
      </c>
    </row>
    <row r="364">
      <c r="A364" s="215" t="n">
        <v>46210</v>
      </c>
      <c r="B364" s="216" t="n">
        <v>100.5</v>
      </c>
      <c r="C364" s="216" t="n">
        <v>197.2</v>
      </c>
      <c r="D364" s="216" t="n">
        <v>1.153807997703552</v>
      </c>
      <c r="E364" s="215" t="n">
        <v>46210</v>
      </c>
      <c r="F364" s="215" t="n">
        <v>46210</v>
      </c>
    </row>
    <row r="365">
      <c r="A365" s="215" t="n">
        <v>46211</v>
      </c>
      <c r="B365" s="216" t="n">
        <v>99.84999999999999</v>
      </c>
      <c r="C365" s="216" t="n">
        <v>189.99</v>
      </c>
      <c r="D365" s="216" t="n">
        <v>1.154153943061829</v>
      </c>
      <c r="E365" s="215" t="n">
        <v>46211</v>
      </c>
      <c r="F365" s="215" t="n">
        <v>46211</v>
      </c>
    </row>
    <row r="366">
      <c r="A366" s="215" t="n">
        <v>46212</v>
      </c>
      <c r="B366" s="216" t="n">
        <v>115.7</v>
      </c>
      <c r="C366" s="216" t="n">
        <v>202</v>
      </c>
      <c r="D366" s="216" t="n">
        <v>1.152119994163513</v>
      </c>
      <c r="E366" s="215" t="n">
        <v>46212</v>
      </c>
      <c r="F366" s="215" t="n">
        <v>46212</v>
      </c>
    </row>
    <row r="367">
      <c r="A367" s="215" t="n">
        <v>46213</v>
      </c>
      <c r="B367" s="216" t="n">
        <v>109</v>
      </c>
      <c r="C367" s="216" t="n">
        <v>199.09</v>
      </c>
      <c r="D367" s="216" t="n">
        <v>1.153550028800964</v>
      </c>
      <c r="E367" s="215" t="n">
        <v>46213</v>
      </c>
      <c r="F367" s="215" t="n">
        <v>46213</v>
      </c>
    </row>
    <row r="368">
      <c r="A368" s="215" t="n">
        <v>46216</v>
      </c>
      <c r="B368" s="216" t="n">
        <v>102.8</v>
      </c>
      <c r="C368" s="216" t="n">
        <v>185.32</v>
      </c>
      <c r="D368" s="216" t="n">
        <v>1.156761050224304</v>
      </c>
      <c r="E368" s="215" t="n">
        <v>46216</v>
      </c>
      <c r="F368" s="215" t="n">
        <v>46216</v>
      </c>
    </row>
    <row r="369">
      <c r="A369" s="215" t="n">
        <v>46217</v>
      </c>
      <c r="B369" s="216" t="n">
        <v>110.5</v>
      </c>
      <c r="C369" s="216" t="n">
        <v>200.23</v>
      </c>
      <c r="D369" s="216" t="n">
        <v>1.155825972557068</v>
      </c>
      <c r="E369" s="215" t="n">
        <v>46217</v>
      </c>
      <c r="F369" s="215" t="n">
        <v>46217</v>
      </c>
    </row>
    <row r="370">
      <c r="A370" s="215" t="n">
        <v>46218</v>
      </c>
      <c r="B370" s="216" t="n">
        <v>113.4</v>
      </c>
      <c r="C370" s="216" t="n">
        <v>208.1</v>
      </c>
      <c r="D370" s="216" t="n">
        <v>1.157556056976318</v>
      </c>
      <c r="E370" s="215" t="n">
        <v>46218</v>
      </c>
      <c r="F370" s="215" t="n">
        <v>46218</v>
      </c>
    </row>
    <row r="371">
      <c r="A371" s="215" t="n">
        <v>46219</v>
      </c>
      <c r="B371" s="216" t="n">
        <v>103.4</v>
      </c>
      <c r="C371" s="216" t="n">
        <v>195.7</v>
      </c>
      <c r="D371" s="216" t="n">
        <v>1.157912969589233</v>
      </c>
      <c r="E371" s="215" t="n">
        <v>46219</v>
      </c>
      <c r="F371" s="215" t="n">
        <v>46219</v>
      </c>
    </row>
    <row r="372">
      <c r="A372" s="215" t="n">
        <v>46220</v>
      </c>
      <c r="B372" s="216" t="n">
        <v>85.05</v>
      </c>
      <c r="C372" s="216" t="n">
        <v>176.13</v>
      </c>
      <c r="D372" s="216" t="n">
        <v>1.157472014427185</v>
      </c>
      <c r="E372" s="215" t="n">
        <v>46220</v>
      </c>
      <c r="F372" s="215" t="n">
        <v>46220</v>
      </c>
    </row>
    <row r="373">
      <c r="A373" s="215" t="n">
        <v>46223</v>
      </c>
      <c r="B373" s="216" t="n">
        <v>81.5</v>
      </c>
      <c r="C373" s="216" t="n">
        <v>158.52</v>
      </c>
      <c r="D373" s="216" t="n">
        <v>1.157451033592224</v>
      </c>
      <c r="E373" s="215" t="n">
        <v>46223</v>
      </c>
      <c r="F373" s="215" t="n">
        <v>46223</v>
      </c>
    </row>
    <row r="374">
      <c r="A374" s="215" t="n">
        <v>46224</v>
      </c>
      <c r="B374" s="216" t="n">
        <v>86.75</v>
      </c>
      <c r="C374" s="216" t="n">
        <v>171.05</v>
      </c>
      <c r="D374" s="216" t="n">
        <v>1.157506942749023</v>
      </c>
      <c r="E374" s="215" t="n">
        <v>46224</v>
      </c>
      <c r="F374" s="215" t="n">
        <v>46224</v>
      </c>
    </row>
    <row r="375">
      <c r="A375" s="215" t="n">
        <v>46225</v>
      </c>
      <c r="B375" s="216" t="n">
        <v>84.65000000000001</v>
      </c>
      <c r="C375" s="216" t="n">
        <v>167.06</v>
      </c>
      <c r="D375" s="216" t="n">
        <v>1.158938050270081</v>
      </c>
      <c r="E375" s="215" t="n">
        <v>46225</v>
      </c>
      <c r="F375" s="215" t="n">
        <v>46225</v>
      </c>
    </row>
    <row r="376">
      <c r="A376" s="215" t="n">
        <v>46226</v>
      </c>
      <c r="B376" s="216" t="n">
        <v>86.95</v>
      </c>
      <c r="C376" s="216" t="n">
        <v>169.03</v>
      </c>
      <c r="D376" s="216" t="n">
        <v>1.157410979270935</v>
      </c>
      <c r="E376" s="215" t="n">
        <v>46226</v>
      </c>
      <c r="F376" s="215" t="n">
        <v>46226</v>
      </c>
    </row>
    <row r="377">
      <c r="A377" s="215" t="n">
        <v>46227</v>
      </c>
      <c r="B377" s="216" t="n">
        <v>84.2</v>
      </c>
      <c r="C377" s="216" t="n">
        <v>166.8</v>
      </c>
      <c r="D377" s="216" t="n">
        <v>1.15762197971344</v>
      </c>
      <c r="E377" s="215" t="n">
        <v>46227</v>
      </c>
      <c r="F377" s="215" t="n">
        <v>46227</v>
      </c>
    </row>
    <row r="378">
      <c r="A378" s="215" t="n">
        <v>46230</v>
      </c>
      <c r="B378" s="216" t="n">
        <v>89.05</v>
      </c>
      <c r="C378" s="216" t="n">
        <v>173.78</v>
      </c>
      <c r="D378" s="216" t="n">
        <v>1.15789794921875</v>
      </c>
      <c r="E378" s="215" t="n">
        <v>46230</v>
      </c>
      <c r="F378" s="215" t="n">
        <v>46230</v>
      </c>
    </row>
    <row r="379">
      <c r="A379" s="215" t="n">
        <v>46231</v>
      </c>
      <c r="B379" s="216" t="n">
        <v>72.3</v>
      </c>
      <c r="C379" s="216" t="n">
        <v>156.4</v>
      </c>
      <c r="D379" s="216" t="n">
        <v>1.158699035644531</v>
      </c>
      <c r="E379" s="215" t="n">
        <v>46231</v>
      </c>
      <c r="F379" s="215" t="n">
        <v>46231</v>
      </c>
    </row>
    <row r="380">
      <c r="A380" s="215" t="n">
        <v>46232</v>
      </c>
      <c r="B380" s="216" t="n">
        <v>70.95</v>
      </c>
      <c r="C380" s="216" t="n">
        <v>144.59</v>
      </c>
      <c r="D380" s="216" t="n">
        <v>1.157909989356995</v>
      </c>
      <c r="E380" s="215" t="n">
        <v>46232</v>
      </c>
      <c r="F380" s="215" t="n">
        <v>46232</v>
      </c>
    </row>
    <row r="381">
      <c r="A381" s="215" t="n">
        <v>46233</v>
      </c>
      <c r="B381" s="216" t="n">
        <v>61.8</v>
      </c>
      <c r="C381" s="216" t="n">
        <v>130.13</v>
      </c>
      <c r="D381" s="216" t="n">
        <v>1.158943057060242</v>
      </c>
      <c r="E381" s="215" t="n">
        <v>46233</v>
      </c>
      <c r="F381" s="215" t="n">
        <v>46233</v>
      </c>
    </row>
    <row r="382">
      <c r="A382" s="215" t="n">
        <v>46234</v>
      </c>
      <c r="B382" s="216" t="n">
        <v>66.84999999999999</v>
      </c>
      <c r="C382" s="216" t="n">
        <v>130.25</v>
      </c>
      <c r="D382" s="216" t="n">
        <v>1.160945057868958</v>
      </c>
      <c r="E382" s="215" t="n">
        <v>46234</v>
      </c>
      <c r="F382" s="215" t="n">
        <v>46234</v>
      </c>
    </row>
    <row r="383">
      <c r="A383" s="215" t="n">
        <v>46237</v>
      </c>
      <c r="B383" s="216" t="n">
        <v>71.95</v>
      </c>
      <c r="C383" s="216" t="n">
        <v>135.17</v>
      </c>
      <c r="D383" s="216" t="n">
        <v>1.161579966545105</v>
      </c>
      <c r="E383" s="215" t="n">
        <v>46237</v>
      </c>
      <c r="F383" s="215" t="n">
        <v>46237</v>
      </c>
    </row>
    <row r="384">
      <c r="A384" s="215" t="n">
        <v>46238</v>
      </c>
      <c r="B384" s="216" t="n">
        <v>86.2</v>
      </c>
      <c r="C384" s="216" t="n">
        <v>148.69</v>
      </c>
      <c r="D384" s="216" t="n">
        <v>1.161064982414246</v>
      </c>
      <c r="E384" s="215" t="n">
        <v>46238</v>
      </c>
      <c r="F384" s="215" t="n">
        <v>46238</v>
      </c>
    </row>
    <row r="385">
      <c r="A385" s="215" t="n">
        <v>46239</v>
      </c>
      <c r="B385" s="216" t="n">
        <v>82.15000000000001</v>
      </c>
      <c r="C385" s="216" t="n">
        <v>149.56</v>
      </c>
      <c r="D385" s="216" t="n">
        <v>1.161146998405457</v>
      </c>
      <c r="E385" s="215" t="n">
        <v>46239</v>
      </c>
      <c r="F385" s="215" t="n">
        <v>46239</v>
      </c>
    </row>
    <row r="386">
      <c r="A386" s="215" t="n">
        <v>46240</v>
      </c>
      <c r="B386" s="216" t="n">
        <v>80.90000000000001</v>
      </c>
      <c r="C386" s="216" t="n">
        <v>152.8</v>
      </c>
      <c r="D386" s="216" t="n">
        <v>1.161936044692993</v>
      </c>
      <c r="E386" s="215" t="n">
        <v>46240</v>
      </c>
      <c r="F386" s="215" t="n">
        <v>46240</v>
      </c>
    </row>
    <row r="387">
      <c r="A387" s="215" t="n">
        <v>46241</v>
      </c>
      <c r="B387" s="216" t="n">
        <v>84.65000000000001</v>
      </c>
      <c r="C387" s="216" t="n">
        <v>154.78</v>
      </c>
      <c r="D387" s="216" t="n">
        <v>1.162284016609192</v>
      </c>
      <c r="E387" s="215" t="n">
        <v>46241</v>
      </c>
      <c r="F387" s="215" t="n">
        <v>46241</v>
      </c>
    </row>
    <row r="388">
      <c r="A388" s="215" t="n">
        <v>46244</v>
      </c>
      <c r="B388" s="216" t="n">
        <v>80.95</v>
      </c>
      <c r="C388" s="216" t="n">
        <v>147.92</v>
      </c>
      <c r="D388" s="216" t="n">
        <v>1.162629961967468</v>
      </c>
      <c r="E388" s="215" t="n">
        <v>46244</v>
      </c>
      <c r="F388" s="215" t="n">
        <v>46244</v>
      </c>
    </row>
    <row r="389">
      <c r="A389" s="215" t="n">
        <v>46245</v>
      </c>
      <c r="B389" s="216" t="n">
        <v>81.8</v>
      </c>
      <c r="C389" s="216" t="n">
        <v>152.35</v>
      </c>
      <c r="D389" s="216" t="n">
        <v>1.162588000297546</v>
      </c>
      <c r="E389" s="215" t="n">
        <v>46245</v>
      </c>
      <c r="F389" s="215" t="n">
        <v>46245</v>
      </c>
    </row>
    <row r="390">
      <c r="A390" s="215" t="n">
        <v>46246</v>
      </c>
      <c r="B390" s="216" t="n">
        <v>86.2</v>
      </c>
      <c r="C390" s="216" t="n">
        <v>159.7</v>
      </c>
      <c r="D390" s="216" t="n">
        <v>1.163135051727295</v>
      </c>
      <c r="E390" s="215" t="n">
        <v>46246</v>
      </c>
      <c r="F390" s="215" t="n">
        <v>46246</v>
      </c>
    </row>
    <row r="391">
      <c r="A391" s="215" t="n">
        <v>46247</v>
      </c>
      <c r="B391" s="216" t="n">
        <v>91.90000000000001</v>
      </c>
      <c r="C391" s="216" t="n">
        <v>169</v>
      </c>
      <c r="D391" s="216" t="n">
        <v>1.163341045379639</v>
      </c>
      <c r="E391" s="215" t="n">
        <v>46247</v>
      </c>
      <c r="F391" s="215" t="n">
        <v>46247</v>
      </c>
    </row>
    <row r="392">
      <c r="A392" s="215" t="n">
        <v>46248</v>
      </c>
      <c r="B392" s="216" t="n">
        <v>100.2</v>
      </c>
      <c r="C392" s="216" t="n">
        <v>185.9</v>
      </c>
      <c r="D392" s="216" t="n">
        <v>1.163571000099182</v>
      </c>
      <c r="E392" s="215" t="n">
        <v>46248</v>
      </c>
      <c r="F392" s="215" t="n">
        <v>46248</v>
      </c>
    </row>
    <row r="393">
      <c r="A393" s="215" t="n">
        <v>46251</v>
      </c>
      <c r="B393" s="216" t="n">
        <v>101.9</v>
      </c>
      <c r="C393" s="216" t="n">
        <v>190.21</v>
      </c>
      <c r="D393" s="216" t="n">
        <v>1.163601994514465</v>
      </c>
      <c r="E393" s="215" t="n">
        <v>46251</v>
      </c>
      <c r="F393" s="215" t="n">
        <v>46251</v>
      </c>
    </row>
    <row r="394">
      <c r="A394" s="215" t="n">
        <v>46252</v>
      </c>
      <c r="B394" s="216" t="n">
        <v>101</v>
      </c>
      <c r="C394" s="216" t="n">
        <v>186.05</v>
      </c>
      <c r="D394" s="216" t="n">
        <v>1.163733005523682</v>
      </c>
      <c r="E394" s="215" t="n">
        <v>46252</v>
      </c>
      <c r="F394" s="215" t="n">
        <v>46252</v>
      </c>
    </row>
    <row r="395">
      <c r="A395" s="215" t="n">
        <v>46253</v>
      </c>
      <c r="B395" s="216" t="n">
        <v>89.15000000000001</v>
      </c>
      <c r="C395" s="216" t="n">
        <v>167.45</v>
      </c>
      <c r="D395" s="216" t="n">
        <v>1.163092017173767</v>
      </c>
      <c r="E395" s="215" t="n">
        <v>46253</v>
      </c>
      <c r="F395" s="215" t="n">
        <v>46253</v>
      </c>
    </row>
    <row r="396">
      <c r="A396" s="215" t="n">
        <v>46254</v>
      </c>
      <c r="B396" s="216" t="n">
        <v>95.09999999999999</v>
      </c>
      <c r="C396" s="216" t="n">
        <v>179.09</v>
      </c>
      <c r="D396" s="216" t="n">
        <v>1.164932012557983</v>
      </c>
      <c r="E396" s="215" t="n">
        <v>46254</v>
      </c>
      <c r="F396" s="215" t="n">
        <v>46254</v>
      </c>
    </row>
    <row r="397">
      <c r="A397" s="215" t="n">
        <v>46255</v>
      </c>
      <c r="B397" s="216" t="n">
        <v>96.40000000000001</v>
      </c>
      <c r="C397" s="216" t="n">
        <v>180.97</v>
      </c>
      <c r="D397" s="216" t="n">
        <v>1.166555047035217</v>
      </c>
      <c r="E397" s="215" t="n">
        <v>46255</v>
      </c>
      <c r="F397" s="215" t="n">
        <v>46255</v>
      </c>
    </row>
    <row r="398">
      <c r="A398" s="215" t="n">
        <v>46258</v>
      </c>
      <c r="B398" s="216" t="n">
        <v>89.84999999999999</v>
      </c>
      <c r="C398" s="216" t="n">
        <v>174.99</v>
      </c>
      <c r="D398" s="216" t="n">
        <v>1.166316986083984</v>
      </c>
      <c r="E398" s="215" t="n">
        <v>46258</v>
      </c>
      <c r="F398" s="215" t="n">
        <v>46258</v>
      </c>
    </row>
    <row r="399">
      <c r="A399" s="215" t="n">
        <v>46259</v>
      </c>
      <c r="B399" s="216" t="n">
        <v>91</v>
      </c>
      <c r="C399" s="216" t="n">
        <v>173.5</v>
      </c>
      <c r="D399" s="216" t="n">
        <v>1.165253043174744</v>
      </c>
      <c r="E399" s="215" t="n">
        <v>46259</v>
      </c>
      <c r="F399" s="215" t="n">
        <v>46259</v>
      </c>
    </row>
    <row r="400">
      <c r="A400" s="215" t="n">
        <v>46260</v>
      </c>
      <c r="B400" s="216" t="n">
        <v>99.59999999999999</v>
      </c>
      <c r="C400" s="216" t="n">
        <v>190.85</v>
      </c>
      <c r="D400" s="216" t="n">
        <v>1.166218996047974</v>
      </c>
      <c r="E400" s="215" t="n">
        <v>46260</v>
      </c>
      <c r="F400" s="215" t="n">
        <v>46260</v>
      </c>
    </row>
    <row r="401">
      <c r="A401" s="215" t="n">
        <v>46261</v>
      </c>
      <c r="B401" s="216" t="n">
        <v>104.8</v>
      </c>
      <c r="C401" s="216" t="n">
        <v>198.21</v>
      </c>
      <c r="D401" s="216" t="n">
        <v>1.165971040725708</v>
      </c>
      <c r="E401" s="215" t="n">
        <v>46261</v>
      </c>
      <c r="F401" s="215" t="n">
        <v>46261</v>
      </c>
    </row>
    <row r="402">
      <c r="A402" s="215" t="n">
        <v>46262</v>
      </c>
      <c r="B402" s="216" t="n">
        <v>102.9</v>
      </c>
      <c r="C402" s="216" t="n">
        <v>192.31</v>
      </c>
      <c r="D402" s="216" t="n">
        <v>1.165799975395203</v>
      </c>
      <c r="E402" s="215" t="n">
        <v>46262</v>
      </c>
      <c r="F402" s="215" t="n">
        <v>46262</v>
      </c>
    </row>
    <row r="403">
      <c r="A403" s="215" t="n">
        <v>46265</v>
      </c>
      <c r="B403" s="216" t="n">
        <v>100.5</v>
      </c>
      <c r="C403" s="216" t="n">
        <v>187.6</v>
      </c>
      <c r="D403" s="216" t="n">
        <v>1.165387988090515</v>
      </c>
      <c r="E403" s="215" t="n">
        <v>46265</v>
      </c>
      <c r="F403" s="215" t="n">
        <v>46265</v>
      </c>
    </row>
    <row r="404">
      <c r="A404" s="215" t="n">
        <v>46266</v>
      </c>
      <c r="B404" s="216" t="n">
        <v>98.84999999999999</v>
      </c>
      <c r="C404" s="216" t="n">
        <v>184.52</v>
      </c>
      <c r="D404" s="216" t="n">
        <v>1.165223956108093</v>
      </c>
      <c r="E404" s="215" t="n">
        <v>46266</v>
      </c>
      <c r="F404" s="215" t="n">
        <v>46266</v>
      </c>
    </row>
    <row r="405">
      <c r="A405" s="215" t="n">
        <v>46267</v>
      </c>
      <c r="B405" s="216" t="n">
        <v>95.59999999999999</v>
      </c>
      <c r="C405" s="216" t="n">
        <v>180</v>
      </c>
      <c r="D405" s="216" t="n">
        <v>1.166425943374634</v>
      </c>
      <c r="E405" s="215" t="n">
        <v>46267</v>
      </c>
      <c r="F405" s="215" t="n">
        <v>46267</v>
      </c>
    </row>
    <row r="406">
      <c r="A406" s="215" t="n">
        <v>46268</v>
      </c>
      <c r="B406" s="216" t="n">
        <v>96.84999999999999</v>
      </c>
      <c r="C406" s="216" t="n">
        <v>186.31</v>
      </c>
      <c r="D406" s="216" t="n">
        <v>1.167057037353516</v>
      </c>
      <c r="E406" s="215" t="n">
        <v>46268</v>
      </c>
      <c r="F406" s="215" t="n">
        <v>46268</v>
      </c>
    </row>
    <row r="407">
      <c r="A407" s="215" t="n">
        <v>46269</v>
      </c>
      <c r="B407" s="216" t="n">
        <v>96.65000000000001</v>
      </c>
      <c r="C407" s="216" t="n">
        <v>188.37</v>
      </c>
      <c r="D407" s="216" t="n">
        <v>1.166767954826355</v>
      </c>
      <c r="E407" s="215" t="n">
        <v>46269</v>
      </c>
      <c r="F407" s="215" t="n">
        <v>46269</v>
      </c>
    </row>
    <row r="408">
      <c r="A408" s="215" t="n">
        <v>46272</v>
      </c>
      <c r="B408" s="216" t="n">
        <v>120.2</v>
      </c>
      <c r="C408" s="216" t="n">
        <v>207.21</v>
      </c>
      <c r="D408" s="216" t="n">
        <v>1.168081045150757</v>
      </c>
      <c r="E408" s="215" t="n">
        <v>46272</v>
      </c>
      <c r="F408" s="215" t="n">
        <v>46272</v>
      </c>
    </row>
    <row r="409">
      <c r="A409" s="215" t="n">
        <v>46273</v>
      </c>
      <c r="B409" s="216" t="n">
        <v>120.9</v>
      </c>
      <c r="C409" s="216" t="n">
        <v>222.3</v>
      </c>
      <c r="D409" s="216" t="n">
        <v>1.168115019798279</v>
      </c>
      <c r="E409" s="215" t="n">
        <v>46273</v>
      </c>
      <c r="F409" s="215" t="n">
        <v>46273</v>
      </c>
    </row>
    <row r="410">
      <c r="A410" s="215" t="n">
        <v>46274</v>
      </c>
      <c r="B410" s="216" t="n">
        <v>118.7</v>
      </c>
      <c r="C410" s="216" t="n">
        <v>218.99</v>
      </c>
      <c r="D410" s="216" t="n">
        <v>1.168408989906311</v>
      </c>
      <c r="E410" s="215" t="n">
        <v>46274</v>
      </c>
      <c r="F410" s="215" t="n">
        <v>46274</v>
      </c>
    </row>
    <row r="411">
      <c r="A411" s="215" t="n">
        <v>46275</v>
      </c>
      <c r="B411" s="216" t="n">
        <v>123.5</v>
      </c>
      <c r="C411" s="216" t="n">
        <v>234.43</v>
      </c>
      <c r="D411" s="216" t="n">
        <v>1.168462991714478</v>
      </c>
      <c r="E411" s="215" t="n">
        <v>46275</v>
      </c>
      <c r="F411" s="215" t="n">
        <v>46275</v>
      </c>
    </row>
    <row r="412">
      <c r="A412" s="215" t="n">
        <v>46276</v>
      </c>
      <c r="B412" s="216" t="n">
        <v>120.6</v>
      </c>
      <c r="C412" s="216" t="n">
        <v>224.46</v>
      </c>
      <c r="D412" s="216" t="n">
        <v>1.169165015220642</v>
      </c>
      <c r="E412" s="215" t="n">
        <v>46276</v>
      </c>
      <c r="F412" s="215" t="n">
        <v>46276</v>
      </c>
    </row>
    <row r="413">
      <c r="A413" s="215" t="n">
        <v>46279</v>
      </c>
      <c r="B413" s="216" t="n">
        <v>110</v>
      </c>
      <c r="C413" s="216" t="n">
        <v>218.88</v>
      </c>
      <c r="D413" s="216" t="n">
        <v>1.16893994808197</v>
      </c>
      <c r="E413" s="215" t="n">
        <v>46279</v>
      </c>
      <c r="F413" s="215" t="n">
        <v>46279</v>
      </c>
    </row>
    <row r="414">
      <c r="A414" s="215" t="n">
        <v>46280</v>
      </c>
      <c r="B414" s="216" t="n">
        <v>109.4</v>
      </c>
      <c r="C414" s="216" t="n">
        <v>216.4</v>
      </c>
      <c r="D414" s="216" t="n">
        <v>1.169121026992798</v>
      </c>
      <c r="E414" s="215" t="n">
        <v>46280</v>
      </c>
      <c r="F414" s="215" t="n">
        <v>46280</v>
      </c>
    </row>
    <row r="415">
      <c r="A415" s="215" t="n">
        <v>46281</v>
      </c>
      <c r="B415" s="216" t="n">
        <v>121.1</v>
      </c>
      <c r="C415" s="216" t="n">
        <v>223.63</v>
      </c>
      <c r="D415" s="216" t="n">
        <v>1.168769955635071</v>
      </c>
      <c r="E415" s="215" t="n">
        <v>46281</v>
      </c>
      <c r="F415" s="215" t="n">
        <v>46281</v>
      </c>
    </row>
    <row r="416">
      <c r="A416" s="215" t="n">
        <v>46282</v>
      </c>
      <c r="B416" s="216" t="n">
        <v>124.6</v>
      </c>
      <c r="C416" s="216" t="n">
        <v>219.03</v>
      </c>
      <c r="D416" s="216" t="n">
        <v>1.169389963150024</v>
      </c>
      <c r="E416" s="215" t="n">
        <v>46282</v>
      </c>
      <c r="F416" s="215" t="n">
        <v>46282</v>
      </c>
    </row>
    <row r="417">
      <c r="A417" s="215" t="n">
        <v>46283</v>
      </c>
      <c r="B417" s="216" t="n">
        <v>125.1</v>
      </c>
      <c r="C417" s="216" t="n">
        <v>227.98</v>
      </c>
      <c r="D417" s="216" t="n">
        <v>1.16942298412323</v>
      </c>
      <c r="E417" s="215" t="n">
        <v>46283</v>
      </c>
      <c r="F417" s="215" t="n">
        <v>46283</v>
      </c>
    </row>
    <row r="418">
      <c r="A418" s="215" t="n">
        <v>46286</v>
      </c>
      <c r="B418" s="216" t="n">
        <v>126.3</v>
      </c>
      <c r="C418" s="216" t="n">
        <v>223.32</v>
      </c>
      <c r="D418" s="216" t="n">
        <v>1.171280026435852</v>
      </c>
      <c r="E418" s="215" t="n">
        <v>46286</v>
      </c>
      <c r="F418" s="215" t="n">
        <v>46286</v>
      </c>
    </row>
    <row r="419">
      <c r="A419" s="215" t="n">
        <v>46287</v>
      </c>
      <c r="B419" s="216" t="n">
        <v>126</v>
      </c>
      <c r="C419" s="216" t="n">
        <v>219</v>
      </c>
      <c r="D419" s="216" t="n">
        <v>1.171705007553101</v>
      </c>
      <c r="E419" s="215" t="n">
        <v>46287</v>
      </c>
      <c r="F419" s="215" t="n">
        <v>46287</v>
      </c>
    </row>
    <row r="420">
      <c r="A420" s="215" t="n">
        <v>46288</v>
      </c>
      <c r="B420" s="216" t="n">
        <v>123.1</v>
      </c>
      <c r="C420" s="216" t="n">
        <v>218.17</v>
      </c>
      <c r="D420" s="216" t="n">
        <v>1.170611023902893</v>
      </c>
      <c r="E420" s="215" t="n">
        <v>46288</v>
      </c>
      <c r="F420" s="215" t="n">
        <v>46288</v>
      </c>
    </row>
    <row r="421">
      <c r="A421" s="215" t="n">
        <v>46289</v>
      </c>
      <c r="B421" s="216" t="n">
        <v>117.8</v>
      </c>
      <c r="C421" s="216" t="n">
        <v>209.63</v>
      </c>
      <c r="D421" s="216" t="n">
        <v>1.16852605342865</v>
      </c>
      <c r="E421" s="215" t="n">
        <v>46289</v>
      </c>
      <c r="F421" s="215" t="n">
        <v>46289</v>
      </c>
    </row>
    <row r="422">
      <c r="A422" s="215" t="n">
        <v>46290</v>
      </c>
      <c r="B422" s="216" t="n">
        <v>115.7</v>
      </c>
      <c r="C422" s="216" t="n">
        <v>209.63</v>
      </c>
      <c r="D422" s="216" t="n">
        <v>1.168424010276794</v>
      </c>
      <c r="E422" s="215" t="n">
        <v>46289</v>
      </c>
      <c r="F422" s="215" t="n">
        <v>46290</v>
      </c>
    </row>
    <row r="423">
      <c r="A423" s="215" t="n">
        <v>46293</v>
      </c>
      <c r="B423" s="216" t="n">
        <v>101.9</v>
      </c>
      <c r="C423" s="216" t="n">
        <v>197.37</v>
      </c>
      <c r="D423" s="216" t="n">
        <v>1.168378949165344</v>
      </c>
      <c r="E423" s="215" t="n">
        <v>46293</v>
      </c>
      <c r="F423" s="215" t="n">
        <v>46293</v>
      </c>
    </row>
    <row r="424">
      <c r="A424" s="215" t="n">
        <v>46294</v>
      </c>
      <c r="B424" s="216" t="n">
        <v>107</v>
      </c>
      <c r="C424" s="216" t="n">
        <v>201.1</v>
      </c>
      <c r="D424" s="216" t="n">
        <v>1.168815970420837</v>
      </c>
      <c r="E424" s="215" t="n">
        <v>46294</v>
      </c>
      <c r="F424" s="215" t="n">
        <v>46294</v>
      </c>
    </row>
    <row r="425">
      <c r="A425" s="215" t="n">
        <v>46295</v>
      </c>
      <c r="B425" s="216" t="n">
        <v>110.8</v>
      </c>
      <c r="C425" s="216" t="n">
        <v>205.45</v>
      </c>
      <c r="D425" s="216" t="n">
        <v>1.17059600353241</v>
      </c>
      <c r="E425" s="215" t="n">
        <v>46295</v>
      </c>
      <c r="F425" s="215" t="n">
        <v>46295</v>
      </c>
    </row>
    <row r="426">
      <c r="A426" s="215" t="n">
        <v>46297</v>
      </c>
      <c r="B426" s="216" t="n">
        <v>112.8</v>
      </c>
      <c r="C426" s="216" t="n">
        <v>205.45</v>
      </c>
      <c r="D426" s="216" t="n">
        <v>1.170220971107483</v>
      </c>
      <c r="E426" s="215" t="n">
        <v>46295</v>
      </c>
      <c r="F426" s="215" t="n">
        <v>46297</v>
      </c>
    </row>
    <row r="427">
      <c r="A427" s="215" t="n">
        <v>46101</v>
      </c>
      <c r="B427" s="216" t="n">
        <v>96</v>
      </c>
      <c r="C427" s="216" t="n">
        <v>110.03</v>
      </c>
      <c r="D427" s="216" t="n">
        <v>1.13490903377533</v>
      </c>
      <c r="E427" s="215" t="n">
        <v>46101</v>
      </c>
      <c r="F427" s="215" t="n">
        <v>46101</v>
      </c>
    </row>
    <row r="428">
      <c r="A428" s="215" t="n">
        <v>46104</v>
      </c>
      <c r="B428" s="216" t="n">
        <v>83.45</v>
      </c>
      <c r="C428" s="216" t="n">
        <v>99.03</v>
      </c>
      <c r="D428" s="216" t="n">
        <v>1.137529969215393</v>
      </c>
      <c r="E428" s="215" t="n">
        <v>46104</v>
      </c>
      <c r="F428" s="215" t="n">
        <v>46104</v>
      </c>
    </row>
    <row r="429">
      <c r="A429" s="215" t="n">
        <v>46105</v>
      </c>
      <c r="B429" s="216" t="n">
        <v>87.90000000000001</v>
      </c>
      <c r="C429" s="216" t="n">
        <v>102.88</v>
      </c>
      <c r="D429" s="216" t="n">
        <v>1.138481974601746</v>
      </c>
      <c r="E429" s="215" t="n">
        <v>46105</v>
      </c>
      <c r="F429" s="215" t="n">
        <v>46105</v>
      </c>
    </row>
    <row r="430">
      <c r="A430" s="215" t="n">
        <v>46106</v>
      </c>
      <c r="B430" s="216" t="n">
        <v>98</v>
      </c>
      <c r="C430" s="216" t="n">
        <v>106.47</v>
      </c>
      <c r="D430" s="216" t="n">
        <v>1.135548949241638</v>
      </c>
      <c r="E430" s="215" t="n">
        <v>46106</v>
      </c>
      <c r="F430" s="215" t="n">
        <v>46106</v>
      </c>
    </row>
    <row r="431">
      <c r="A431" s="215" t="n">
        <v>46107</v>
      </c>
      <c r="B431" s="216" t="n">
        <v>101</v>
      </c>
      <c r="C431" s="216" t="n">
        <v>114.93</v>
      </c>
      <c r="D431" s="216" t="n">
        <v>1.132627010345459</v>
      </c>
      <c r="E431" s="215" t="n">
        <v>46107</v>
      </c>
      <c r="F431" s="215" t="n">
        <v>46107</v>
      </c>
    </row>
    <row r="432">
      <c r="A432" s="215" t="n">
        <v>46108</v>
      </c>
      <c r="B432" s="216" t="n">
        <v>97.75</v>
      </c>
      <c r="C432" s="216" t="n">
        <v>114.87</v>
      </c>
      <c r="D432" s="216" t="n">
        <v>1.132115960121155</v>
      </c>
      <c r="E432" s="215" t="n">
        <v>46108</v>
      </c>
      <c r="F432" s="215" t="n">
        <v>46108</v>
      </c>
    </row>
    <row r="433">
      <c r="A433" s="215" t="n">
        <v>46111</v>
      </c>
      <c r="B433" s="216" t="n">
        <v>100.5</v>
      </c>
      <c r="C433" s="216" t="n">
        <v>117.35</v>
      </c>
      <c r="D433" s="216" t="n">
        <v>1.13311505317688</v>
      </c>
      <c r="E433" s="215" t="n">
        <v>46111</v>
      </c>
      <c r="F433" s="215" t="n">
        <v>46111</v>
      </c>
    </row>
    <row r="434">
      <c r="A434" s="215" t="n">
        <v>46112</v>
      </c>
      <c r="B434" s="216" t="n">
        <v>93.8</v>
      </c>
      <c r="C434" s="216" t="n">
        <v>116.33</v>
      </c>
      <c r="D434" s="216" t="n">
        <v>1.133540987968445</v>
      </c>
      <c r="E434" s="215" t="n">
        <v>46112</v>
      </c>
      <c r="F434" s="215" t="n">
        <v>46112</v>
      </c>
    </row>
    <row r="435">
      <c r="A435" s="215" t="n">
        <v>46113</v>
      </c>
      <c r="B435" s="216" t="n">
        <v>102.8</v>
      </c>
      <c r="C435" s="216" t="n">
        <v>120.35</v>
      </c>
      <c r="D435" s="216" t="n">
        <v>1.136669993400574</v>
      </c>
      <c r="E435" s="215" t="n">
        <v>46113</v>
      </c>
      <c r="F435" s="215" t="n">
        <v>46113</v>
      </c>
    </row>
    <row r="436">
      <c r="A436" s="215" t="n">
        <v>46114</v>
      </c>
      <c r="B436" s="216" t="n">
        <v>99.34999999999999</v>
      </c>
      <c r="C436" s="216" t="n">
        <v>115.79</v>
      </c>
      <c r="D436" s="216" t="n">
        <v>1.140197992324829</v>
      </c>
      <c r="E436" s="215" t="n">
        <v>46114</v>
      </c>
      <c r="F436" s="215" t="n">
        <v>46114</v>
      </c>
    </row>
    <row r="437">
      <c r="A437" s="215" t="n">
        <v>46120</v>
      </c>
      <c r="B437" s="216" t="n">
        <v>121</v>
      </c>
      <c r="C437" s="216" t="n">
        <v>125.62</v>
      </c>
      <c r="D437" s="216" t="n">
        <v>1.1423499584198</v>
      </c>
      <c r="E437" s="215" t="n">
        <v>46120</v>
      </c>
      <c r="F437" s="215" t="n">
        <v>46120</v>
      </c>
    </row>
    <row r="438">
      <c r="A438" s="215" t="n">
        <v>46121</v>
      </c>
      <c r="B438" s="216" t="n">
        <v>117.8</v>
      </c>
      <c r="C438" s="216" t="n">
        <v>127.12</v>
      </c>
      <c r="D438" s="216" t="n">
        <v>1.146731972694397</v>
      </c>
      <c r="E438" s="215" t="n">
        <v>46121</v>
      </c>
      <c r="F438" s="215" t="n">
        <v>46121</v>
      </c>
    </row>
    <row r="439">
      <c r="A439" s="215" t="n">
        <v>46122</v>
      </c>
      <c r="B439" s="216" t="n">
        <v>117.2</v>
      </c>
      <c r="C439" s="216" t="n">
        <v>126.81</v>
      </c>
      <c r="D439" s="216" t="n">
        <v>1.146558046340942</v>
      </c>
      <c r="E439" s="215" t="n">
        <v>46122</v>
      </c>
      <c r="F439" s="215" t="n">
        <v>46122</v>
      </c>
    </row>
    <row r="440">
      <c r="A440" s="215" t="n">
        <v>46125</v>
      </c>
      <c r="B440" s="216" t="n">
        <v>133.5</v>
      </c>
      <c r="C440" s="216" t="n">
        <v>132</v>
      </c>
      <c r="D440" s="216" t="n">
        <v>1.147117972373962</v>
      </c>
      <c r="E440" s="215" t="n">
        <v>46125</v>
      </c>
      <c r="F440" s="215" t="n">
        <v>46125</v>
      </c>
    </row>
    <row r="441">
      <c r="A441" s="215" t="n">
        <v>46126</v>
      </c>
      <c r="B441" s="216" t="n">
        <v>129.5</v>
      </c>
      <c r="C441" s="216" t="n">
        <v>133.08</v>
      </c>
      <c r="D441" s="216" t="n">
        <v>1.146226048469543</v>
      </c>
      <c r="E441" s="215" t="n">
        <v>46126</v>
      </c>
      <c r="F441" s="215" t="n">
        <v>46126</v>
      </c>
    </row>
    <row r="442">
      <c r="A442" s="215" t="n">
        <v>46127</v>
      </c>
      <c r="B442" s="216" t="n">
        <v>128.3</v>
      </c>
      <c r="C442" s="216" t="n">
        <v>127.86</v>
      </c>
      <c r="D442" s="216" t="n">
        <v>1.149266004562378</v>
      </c>
      <c r="E442" s="215" t="n">
        <v>46127</v>
      </c>
      <c r="F442" s="215" t="n">
        <v>46127</v>
      </c>
    </row>
    <row r="443">
      <c r="A443" s="215" t="n">
        <v>46128</v>
      </c>
      <c r="B443" s="216" t="n">
        <v>140</v>
      </c>
      <c r="C443" s="216" t="n">
        <v>135.65</v>
      </c>
      <c r="D443" s="216" t="n">
        <v>1.148550033569336</v>
      </c>
      <c r="E443" s="215" t="n">
        <v>46128</v>
      </c>
      <c r="F443" s="215" t="n">
        <v>46128</v>
      </c>
    </row>
    <row r="444">
      <c r="A444" s="215" t="n">
        <v>46129</v>
      </c>
      <c r="B444" s="216" t="n">
        <v>158.3</v>
      </c>
      <c r="C444" s="216" t="n">
        <v>149.22</v>
      </c>
      <c r="D444" s="216" t="n">
        <v>1.146605014801025</v>
      </c>
      <c r="E444" s="215" t="n">
        <v>46129</v>
      </c>
      <c r="F444" s="215" t="n">
        <v>46129</v>
      </c>
    </row>
    <row r="445">
      <c r="A445" s="215" t="n">
        <v>46132</v>
      </c>
      <c r="B445" s="216" t="n">
        <v>150.5</v>
      </c>
      <c r="C445" s="216" t="n">
        <v>148.3</v>
      </c>
      <c r="D445" s="216" t="n">
        <v>1.148360967636108</v>
      </c>
      <c r="E445" s="215" t="n">
        <v>46132</v>
      </c>
      <c r="F445" s="215" t="n">
        <v>46132</v>
      </c>
    </row>
    <row r="446">
      <c r="A446" s="215" t="n">
        <v>46133</v>
      </c>
      <c r="B446" s="216" t="n">
        <v>149.4</v>
      </c>
      <c r="C446" s="216" t="n">
        <v>158.3</v>
      </c>
      <c r="D446" s="216" t="n">
        <v>1.148368000984192</v>
      </c>
      <c r="E446" s="215" t="n">
        <v>46133</v>
      </c>
      <c r="F446" s="215" t="n">
        <v>46133</v>
      </c>
    </row>
    <row r="447">
      <c r="A447" s="215" t="n">
        <v>46134</v>
      </c>
      <c r="B447" s="216" t="n">
        <v>148.8</v>
      </c>
      <c r="C447" s="216" t="n">
        <v>158.52</v>
      </c>
      <c r="D447" s="216" t="n">
        <v>1.147838950157166</v>
      </c>
      <c r="E447" s="215" t="n">
        <v>46134</v>
      </c>
      <c r="F447" s="215" t="n">
        <v>46134</v>
      </c>
    </row>
    <row r="448">
      <c r="A448" s="215" t="n">
        <v>46135</v>
      </c>
      <c r="B448" s="216" t="n">
        <v>151.9</v>
      </c>
      <c r="C448" s="216" t="n">
        <v>168.38</v>
      </c>
      <c r="D448" s="216" t="n">
        <v>1.147513031959534</v>
      </c>
      <c r="E448" s="215" t="n">
        <v>46135</v>
      </c>
      <c r="F448" s="215" t="n">
        <v>46135</v>
      </c>
    </row>
    <row r="449">
      <c r="A449" s="215" t="n">
        <v>46136</v>
      </c>
      <c r="B449" s="216" t="n">
        <v>167.1</v>
      </c>
      <c r="C449" s="216" t="n">
        <v>170.6</v>
      </c>
      <c r="D449" s="216" t="n">
        <v>1.147369027137756</v>
      </c>
      <c r="E449" s="215" t="n">
        <v>46136</v>
      </c>
      <c r="F449" s="215" t="n">
        <v>46136</v>
      </c>
    </row>
    <row r="450">
      <c r="A450" s="215" t="n">
        <v>46139</v>
      </c>
      <c r="B450" s="216" t="n">
        <v>170.8</v>
      </c>
      <c r="C450" s="216" t="n">
        <v>172.2</v>
      </c>
      <c r="D450" s="216" t="n">
        <v>1.146002054214478</v>
      </c>
      <c r="E450" s="215" t="n">
        <v>46139</v>
      </c>
      <c r="F450" s="215" t="n">
        <v>46139</v>
      </c>
    </row>
    <row r="451">
      <c r="A451" s="215" t="n">
        <v>46140</v>
      </c>
      <c r="B451" s="216" t="n">
        <v>174.3</v>
      </c>
      <c r="C451" s="216" t="n">
        <v>165.11</v>
      </c>
      <c r="D451" s="216" t="n">
        <v>1.148522019386292</v>
      </c>
      <c r="E451" s="215" t="n">
        <v>46140</v>
      </c>
      <c r="F451" s="215" t="n">
        <v>46140</v>
      </c>
    </row>
    <row r="452">
      <c r="A452" s="215" t="n">
        <v>46141</v>
      </c>
      <c r="B452" s="216" t="n">
        <v>176.6</v>
      </c>
      <c r="C452" s="216" t="n">
        <v>164</v>
      </c>
      <c r="D452" s="216" t="n">
        <v>1.145936012268066</v>
      </c>
      <c r="E452" s="215" t="n">
        <v>46141</v>
      </c>
      <c r="F452" s="215" t="n">
        <v>46141</v>
      </c>
    </row>
    <row r="453">
      <c r="A453" s="215" t="n">
        <v>46142</v>
      </c>
      <c r="B453" s="216" t="n">
        <v>174.2</v>
      </c>
      <c r="C453" s="216" t="n">
        <v>163.25</v>
      </c>
      <c r="D453" s="216" t="n">
        <v>1.145792007446289</v>
      </c>
      <c r="E453" s="215" t="n">
        <v>46142</v>
      </c>
      <c r="F453" s="215" t="n">
        <v>46142</v>
      </c>
    </row>
    <row r="454">
      <c r="A454" s="215" t="n">
        <v>46146</v>
      </c>
      <c r="B454" s="216" t="n">
        <v>182.4</v>
      </c>
      <c r="C454" s="216" t="n">
        <v>163.25</v>
      </c>
      <c r="D454" s="216" t="n">
        <v>1.147340059280396</v>
      </c>
      <c r="E454" s="215" t="n">
        <v>46142</v>
      </c>
      <c r="F454" s="215" t="n">
        <v>46146</v>
      </c>
    </row>
    <row r="455">
      <c r="A455" s="215" t="n">
        <v>46147</v>
      </c>
      <c r="B455" s="216" t="n">
        <v>187.6</v>
      </c>
      <c r="C455" s="216" t="n">
        <v>163.25</v>
      </c>
      <c r="D455" s="216" t="n">
        <v>1.146813988685608</v>
      </c>
      <c r="E455" s="215" t="n">
        <v>46142</v>
      </c>
      <c r="F455" s="215" t="n">
        <v>46147</v>
      </c>
    </row>
    <row r="456">
      <c r="A456" s="215" t="n">
        <v>46148</v>
      </c>
      <c r="B456" s="216" t="n">
        <v>214.8</v>
      </c>
      <c r="C456" s="216" t="n">
        <v>179.58</v>
      </c>
      <c r="D456" s="216" t="n">
        <v>1.14708399772644</v>
      </c>
      <c r="E456" s="215" t="n">
        <v>46148</v>
      </c>
      <c r="F456" s="215" t="n">
        <v>46148</v>
      </c>
    </row>
    <row r="457">
      <c r="A457" s="215" t="n">
        <v>46149</v>
      </c>
      <c r="B457" s="216" t="n">
        <v>210</v>
      </c>
      <c r="C457" s="216" t="n">
        <v>180.32</v>
      </c>
      <c r="D457" s="216" t="n">
        <v>1.150125026702881</v>
      </c>
      <c r="E457" s="215" t="n">
        <v>46149</v>
      </c>
      <c r="F457" s="215" t="n">
        <v>46149</v>
      </c>
    </row>
    <row r="458">
      <c r="A458" s="215" t="n">
        <v>46150</v>
      </c>
      <c r="B458" s="216" t="n">
        <v>196</v>
      </c>
      <c r="C458" s="216" t="n">
        <v>173</v>
      </c>
      <c r="D458" s="216" t="n">
        <v>1.15172004699707</v>
      </c>
      <c r="E458" s="215" t="n">
        <v>46150</v>
      </c>
      <c r="F458" s="215" t="n">
        <v>46150</v>
      </c>
    </row>
    <row r="459">
      <c r="A459" s="215" t="n">
        <v>46153</v>
      </c>
      <c r="B459" s="216" t="n">
        <v>209.8</v>
      </c>
      <c r="C459" s="216" t="n">
        <v>190.3</v>
      </c>
      <c r="D459" s="216" t="n">
        <v>1.151090025901794</v>
      </c>
      <c r="E459" s="215" t="n">
        <v>46153</v>
      </c>
      <c r="F459" s="215" t="n">
        <v>46153</v>
      </c>
    </row>
    <row r="460">
      <c r="A460" s="215" t="n">
        <v>46154</v>
      </c>
      <c r="B460" s="216" t="n">
        <v>194.8</v>
      </c>
      <c r="C460" s="216" t="n">
        <v>190.68</v>
      </c>
      <c r="D460" s="216" t="n">
        <v>1.152078986167908</v>
      </c>
      <c r="E460" s="215" t="n">
        <v>46154</v>
      </c>
      <c r="F460" s="215" t="n">
        <v>46154</v>
      </c>
    </row>
    <row r="461">
      <c r="A461" s="215" t="n">
        <v>46155</v>
      </c>
      <c r="B461" s="216" t="n">
        <v>199.3</v>
      </c>
      <c r="C461" s="216" t="n">
        <v>194.78</v>
      </c>
      <c r="D461" s="216" t="n">
        <v>1.152537941932678</v>
      </c>
      <c r="E461" s="215" t="n">
        <v>46155</v>
      </c>
      <c r="F461" s="215" t="n">
        <v>46155</v>
      </c>
    </row>
    <row r="462">
      <c r="A462" s="215" t="n">
        <v>46156</v>
      </c>
      <c r="B462" s="216" t="n">
        <v>184.7</v>
      </c>
      <c r="C462" s="216" t="n">
        <v>186</v>
      </c>
      <c r="D462" s="216" t="n">
        <v>1.152662992477417</v>
      </c>
      <c r="E462" s="215" t="n">
        <v>46156</v>
      </c>
      <c r="F462" s="215" t="n">
        <v>46156</v>
      </c>
    </row>
    <row r="463">
      <c r="A463" s="215" t="n">
        <v>46157</v>
      </c>
      <c r="B463" s="216" t="n">
        <v>179</v>
      </c>
      <c r="C463" s="216" t="n">
        <v>180.68</v>
      </c>
      <c r="D463" s="216" t="n">
        <v>1.154320001602173</v>
      </c>
      <c r="E463" s="215" t="n">
        <v>46157</v>
      </c>
      <c r="F463" s="215" t="n">
        <v>46157</v>
      </c>
    </row>
    <row r="464">
      <c r="A464" s="215" t="n">
        <v>46160</v>
      </c>
      <c r="B464" s="216" t="n">
        <v>172</v>
      </c>
      <c r="C464" s="216" t="n">
        <v>178.8</v>
      </c>
      <c r="D464" s="216" t="n">
        <v>1.149821996688843</v>
      </c>
      <c r="E464" s="215" t="n">
        <v>46160</v>
      </c>
      <c r="F464" s="215" t="n">
        <v>46160</v>
      </c>
    </row>
    <row r="465">
      <c r="A465" s="215" t="n">
        <v>46161</v>
      </c>
      <c r="B465" s="216" t="n">
        <v>168.6</v>
      </c>
      <c r="C465" s="216" t="n">
        <v>176.32</v>
      </c>
      <c r="D465" s="216" t="n">
        <v>1.151532053947449</v>
      </c>
      <c r="E465" s="215" t="n">
        <v>46161</v>
      </c>
      <c r="F465" s="215" t="n">
        <v>46161</v>
      </c>
    </row>
    <row r="466">
      <c r="A466" s="215" t="n">
        <v>46162</v>
      </c>
      <c r="B466" s="216" t="n">
        <v>175</v>
      </c>
      <c r="C466" s="216" t="n">
        <v>179.33</v>
      </c>
      <c r="D466" s="216" t="n">
        <v>1.149292945861816</v>
      </c>
      <c r="E466" s="215" t="n">
        <v>46162</v>
      </c>
      <c r="F466" s="215" t="n">
        <v>46162</v>
      </c>
    </row>
    <row r="467">
      <c r="A467" s="215" t="n">
        <v>46163</v>
      </c>
      <c r="B467" s="216" t="n">
        <v>179.9</v>
      </c>
      <c r="C467" s="216" t="n">
        <v>178.9</v>
      </c>
      <c r="D467" s="216" t="n">
        <v>1.151231050491333</v>
      </c>
      <c r="E467" s="215" t="n">
        <v>46163</v>
      </c>
      <c r="F467" s="215" t="n">
        <v>46163</v>
      </c>
    </row>
    <row r="468">
      <c r="A468" s="215" t="n">
        <v>46164</v>
      </c>
      <c r="B468" s="216" t="n">
        <v>190.6</v>
      </c>
      <c r="C468" s="216" t="n">
        <v>195.01</v>
      </c>
      <c r="D468" s="216" t="n">
        <v>1.151487946510315</v>
      </c>
      <c r="E468" s="215" t="n">
        <v>46164</v>
      </c>
      <c r="F468" s="215" t="n">
        <v>46164</v>
      </c>
    </row>
    <row r="469">
      <c r="A469" s="215" t="n">
        <v>46168</v>
      </c>
      <c r="B469" s="216" t="n">
        <v>191.5</v>
      </c>
      <c r="C469" s="216" t="n">
        <v>193.41</v>
      </c>
      <c r="D469" s="216" t="n">
        <v>1.152968049049377</v>
      </c>
      <c r="E469" s="215" t="n">
        <v>46168</v>
      </c>
      <c r="F469" s="215" t="n">
        <v>46168</v>
      </c>
    </row>
    <row r="470">
      <c r="A470" s="215" t="n">
        <v>46169</v>
      </c>
      <c r="B470" s="216" t="n">
        <v>181.3</v>
      </c>
      <c r="C470" s="216" t="n">
        <v>182.09</v>
      </c>
      <c r="D470" s="216" t="n">
        <v>1.154562950134277</v>
      </c>
      <c r="E470" s="215" t="n">
        <v>46169</v>
      </c>
      <c r="F470" s="215" t="n">
        <v>46169</v>
      </c>
    </row>
    <row r="471">
      <c r="A471" s="215" t="n">
        <v>46170</v>
      </c>
      <c r="B471" s="216" t="n">
        <v>185</v>
      </c>
      <c r="C471" s="216" t="n">
        <v>185.3</v>
      </c>
      <c r="D471" s="216" t="n">
        <v>1.155385971069336</v>
      </c>
      <c r="E471" s="215" t="n">
        <v>46170</v>
      </c>
      <c r="F471" s="215" t="n">
        <v>46170</v>
      </c>
    </row>
    <row r="472">
      <c r="A472" s="215" t="n">
        <v>46171</v>
      </c>
      <c r="B472" s="216" t="n">
        <v>184</v>
      </c>
      <c r="C472" s="216" t="n">
        <v>196.48</v>
      </c>
      <c r="D472" s="216" t="n">
        <v>1.155282974243164</v>
      </c>
      <c r="E472" s="215" t="n">
        <v>46171</v>
      </c>
      <c r="F472" s="215" t="n">
        <v>46171</v>
      </c>
    </row>
    <row r="473">
      <c r="A473" s="215" t="n">
        <v>46174</v>
      </c>
      <c r="B473" s="216" t="n">
        <v>165.2</v>
      </c>
      <c r="C473" s="216" t="n">
        <v>182.3</v>
      </c>
      <c r="D473" s="216" t="n">
        <v>1.158049941062927</v>
      </c>
      <c r="E473" s="215" t="n">
        <v>46174</v>
      </c>
      <c r="F473" s="215" t="n">
        <v>46174</v>
      </c>
    </row>
    <row r="474">
      <c r="A474" s="215" t="n">
        <v>46175</v>
      </c>
      <c r="B474" s="216" t="n">
        <v>165.1</v>
      </c>
      <c r="C474" s="216" t="n">
        <v>181.06</v>
      </c>
      <c r="D474" s="216" t="n">
        <v>1.158406972885132</v>
      </c>
      <c r="E474" s="215" t="n">
        <v>46175</v>
      </c>
      <c r="F474" s="215" t="n">
        <v>46175</v>
      </c>
    </row>
    <row r="475">
      <c r="A475" s="215" t="n">
        <v>46176</v>
      </c>
      <c r="B475" s="216" t="n">
        <v>174</v>
      </c>
      <c r="C475" s="216" t="n">
        <v>177.55</v>
      </c>
      <c r="D475" s="216" t="n">
        <v>1.15879499912262</v>
      </c>
      <c r="E475" s="215" t="n">
        <v>46176</v>
      </c>
      <c r="F475" s="215" t="n">
        <v>46176</v>
      </c>
    </row>
    <row r="476">
      <c r="A476" s="215" t="n">
        <v>46177</v>
      </c>
      <c r="B476" s="216" t="n">
        <v>172.1</v>
      </c>
      <c r="C476" s="216" t="n">
        <v>182.61</v>
      </c>
      <c r="D476" s="216" t="n">
        <v>1.157420039176941</v>
      </c>
      <c r="E476" s="215" t="n">
        <v>46177</v>
      </c>
      <c r="F476" s="215" t="n">
        <v>46177</v>
      </c>
    </row>
    <row r="477">
      <c r="A477" s="215" t="n">
        <v>46178</v>
      </c>
      <c r="B477" s="216" t="n">
        <v>161</v>
      </c>
      <c r="C477" s="216" t="n">
        <v>174.02</v>
      </c>
      <c r="D477" s="216" t="n">
        <v>1.156491994857788</v>
      </c>
      <c r="E477" s="215" t="n">
        <v>46178</v>
      </c>
      <c r="F477" s="215" t="n">
        <v>46178</v>
      </c>
    </row>
    <row r="478">
      <c r="A478" s="215" t="n">
        <v>46181</v>
      </c>
      <c r="B478" s="216" t="n">
        <v>159.7</v>
      </c>
      <c r="C478" s="216" t="n">
        <v>175.6</v>
      </c>
      <c r="D478" s="216" t="n">
        <v>1.157665967941284</v>
      </c>
      <c r="E478" s="215" t="n">
        <v>46181</v>
      </c>
      <c r="F478" s="215" t="n">
        <v>46181</v>
      </c>
    </row>
    <row r="479">
      <c r="A479" s="215" t="n">
        <v>46182</v>
      </c>
      <c r="B479" s="216" t="n">
        <v>184.8</v>
      </c>
      <c r="C479" s="216" t="n">
        <v>189.25</v>
      </c>
      <c r="D479" s="216" t="n">
        <v>1.158027052879333</v>
      </c>
      <c r="E479" s="215" t="n">
        <v>46182</v>
      </c>
      <c r="F479" s="215" t="n">
        <v>46182</v>
      </c>
    </row>
    <row r="480">
      <c r="A480" s="215" t="n">
        <v>46183</v>
      </c>
      <c r="B480" s="216" t="n">
        <v>167</v>
      </c>
      <c r="C480" s="216" t="n">
        <v>181.4</v>
      </c>
      <c r="D480" s="216" t="n">
        <v>1.157112002372742</v>
      </c>
      <c r="E480" s="215" t="n">
        <v>46183</v>
      </c>
      <c r="F480" s="215" t="n">
        <v>46183</v>
      </c>
    </row>
    <row r="481">
      <c r="A481" s="215" t="n">
        <v>46184</v>
      </c>
      <c r="B481" s="216" t="n">
        <v>164.5</v>
      </c>
      <c r="C481" s="216" t="n">
        <v>176.72</v>
      </c>
      <c r="D481" s="216" t="n">
        <v>1.156929016113281</v>
      </c>
      <c r="E481" s="215" t="n">
        <v>46184</v>
      </c>
      <c r="F481" s="215" t="n">
        <v>46184</v>
      </c>
    </row>
    <row r="482">
      <c r="A482" s="215" t="n">
        <v>46185</v>
      </c>
      <c r="B482" s="216" t="n">
        <v>162.3</v>
      </c>
      <c r="C482" s="216" t="n">
        <v>178.4</v>
      </c>
      <c r="D482" s="216" t="n">
        <v>1.156345963478088</v>
      </c>
      <c r="E482" s="215" t="n">
        <v>46185</v>
      </c>
      <c r="F482" s="215" t="n">
        <v>46185</v>
      </c>
    </row>
    <row r="483">
      <c r="A483" s="215" t="n">
        <v>46188</v>
      </c>
      <c r="B483" s="216" t="n">
        <v>180</v>
      </c>
      <c r="C483" s="216" t="n">
        <v>192.46</v>
      </c>
      <c r="D483" s="216" t="n">
        <v>1.156880021095276</v>
      </c>
      <c r="E483" s="215" t="n">
        <v>46188</v>
      </c>
      <c r="F483" s="215" t="n">
        <v>46188</v>
      </c>
    </row>
    <row r="484">
      <c r="A484" s="215" t="n">
        <v>46189</v>
      </c>
      <c r="B484" s="216" t="n">
        <v>171.8</v>
      </c>
      <c r="C484" s="216" t="n">
        <v>194.95</v>
      </c>
      <c r="D484" s="216" t="n">
        <v>1.158604025840759</v>
      </c>
      <c r="E484" s="215" t="n">
        <v>46189</v>
      </c>
      <c r="F484" s="215" t="n">
        <v>46189</v>
      </c>
    </row>
    <row r="485">
      <c r="A485" s="215" t="n">
        <v>46190</v>
      </c>
      <c r="B485" s="216" t="n">
        <v>183.5</v>
      </c>
      <c r="C485" s="216" t="n">
        <v>205.8</v>
      </c>
      <c r="D485" s="216" t="n">
        <v>1.158974051475525</v>
      </c>
      <c r="E485" s="215" t="n">
        <v>46190</v>
      </c>
      <c r="F485" s="215" t="n">
        <v>46190</v>
      </c>
    </row>
    <row r="486">
      <c r="A486" s="215" t="n">
        <v>46191</v>
      </c>
      <c r="B486" s="216" t="n">
        <v>184.1</v>
      </c>
      <c r="C486" s="216" t="n">
        <v>201.46</v>
      </c>
      <c r="D486" s="216" t="n">
        <v>1.159355998039246</v>
      </c>
      <c r="E486" s="215" t="n">
        <v>46191</v>
      </c>
      <c r="F486" s="215" t="n">
        <v>46191</v>
      </c>
    </row>
    <row r="487">
      <c r="A487" s="215" t="n">
        <v>46195</v>
      </c>
      <c r="B487" s="216" t="n">
        <v>186.2</v>
      </c>
      <c r="C487" s="216" t="n">
        <v>192.1</v>
      </c>
      <c r="D487" s="216" t="n">
        <v>1.157493948936462</v>
      </c>
      <c r="E487" s="215" t="n">
        <v>46195</v>
      </c>
      <c r="F487" s="215" t="n">
        <v>46195</v>
      </c>
    </row>
    <row r="488">
      <c r="A488" s="215" t="n">
        <v>46196</v>
      </c>
      <c r="B488" s="216" t="n">
        <v>170.2</v>
      </c>
      <c r="C488" s="216" t="n">
        <v>182.9</v>
      </c>
      <c r="D488" s="216" t="n">
        <v>1.156896948814392</v>
      </c>
      <c r="E488" s="215" t="n">
        <v>46196</v>
      </c>
      <c r="F488" s="215" t="n">
        <v>46196</v>
      </c>
    </row>
    <row r="489">
      <c r="A489" s="215" t="n">
        <v>46197</v>
      </c>
      <c r="B489" s="216" t="n">
        <v>170.6</v>
      </c>
      <c r="C489" s="216" t="n">
        <v>184</v>
      </c>
      <c r="D489" s="216" t="n">
        <v>1.154508948326111</v>
      </c>
      <c r="E489" s="215" t="n">
        <v>46197</v>
      </c>
      <c r="F489" s="215" t="n">
        <v>46197</v>
      </c>
    </row>
    <row r="490">
      <c r="A490" s="215" t="n">
        <v>46198</v>
      </c>
      <c r="B490" s="216" t="n">
        <v>189.5</v>
      </c>
      <c r="C490" s="216" t="n">
        <v>200.8</v>
      </c>
      <c r="D490" s="216" t="n">
        <v>1.154152035713196</v>
      </c>
      <c r="E490" s="215" t="n">
        <v>46198</v>
      </c>
      <c r="F490" s="215" t="n">
        <v>46198</v>
      </c>
    </row>
    <row r="491">
      <c r="A491" s="215" t="n">
        <v>46199</v>
      </c>
      <c r="B491" s="216" t="n">
        <v>206.2</v>
      </c>
      <c r="C491" s="216" t="n">
        <v>220.88</v>
      </c>
      <c r="D491" s="216" t="n">
        <v>1.154500961303711</v>
      </c>
      <c r="E491" s="215" t="n">
        <v>46199</v>
      </c>
      <c r="F491" s="215" t="n">
        <v>46199</v>
      </c>
    </row>
    <row r="492">
      <c r="A492" s="215" t="n">
        <v>46202</v>
      </c>
      <c r="B492" s="216" t="n">
        <v>196.4</v>
      </c>
      <c r="C492" s="216" t="n">
        <v>220.49</v>
      </c>
      <c r="D492" s="216" t="n">
        <v>1.153512001037598</v>
      </c>
      <c r="E492" s="215" t="n">
        <v>46202</v>
      </c>
      <c r="F492" s="215" t="n">
        <v>46202</v>
      </c>
    </row>
    <row r="493">
      <c r="A493" s="215" t="n">
        <v>46203</v>
      </c>
      <c r="B493" s="216" t="n">
        <v>213.8</v>
      </c>
      <c r="C493" s="216" t="n">
        <v>237.25</v>
      </c>
      <c r="D493" s="216" t="n">
        <v>1.153959035873413</v>
      </c>
      <c r="E493" s="215" t="n">
        <v>46203</v>
      </c>
      <c r="F493" s="215" t="n">
        <v>46203</v>
      </c>
    </row>
    <row r="494">
      <c r="A494" s="215" t="n">
        <v>46205</v>
      </c>
      <c r="B494" s="216" t="n">
        <v>161.8</v>
      </c>
      <c r="C494" s="216" t="n">
        <v>196.8</v>
      </c>
      <c r="D494" s="216" t="n">
        <v>1.154355049133301</v>
      </c>
      <c r="E494" s="215" t="n">
        <v>46205</v>
      </c>
      <c r="F494" s="215" t="n">
        <v>46205</v>
      </c>
    </row>
    <row r="495">
      <c r="A495" s="215" t="n">
        <v>46206</v>
      </c>
      <c r="B495" s="216" t="n">
        <v>164.5</v>
      </c>
      <c r="C495" s="216" t="n">
        <v>203</v>
      </c>
      <c r="D495" s="216" t="n">
        <v>1.155220985412598</v>
      </c>
      <c r="E495" s="215" t="n">
        <v>46206</v>
      </c>
      <c r="F495" s="215" t="n">
        <v>46206</v>
      </c>
    </row>
    <row r="496">
      <c r="A496" s="215" t="n">
        <v>46209</v>
      </c>
      <c r="B496" s="216" t="n">
        <v>152.9</v>
      </c>
      <c r="C496" s="216" t="n">
        <v>191.74</v>
      </c>
      <c r="D496" s="216" t="n">
        <v>1.155068039894104</v>
      </c>
      <c r="E496" s="215" t="n">
        <v>46209</v>
      </c>
      <c r="F496" s="215" t="n">
        <v>46209</v>
      </c>
    </row>
    <row r="497">
      <c r="A497" s="215" t="n">
        <v>46210</v>
      </c>
      <c r="B497" s="216" t="n">
        <v>139</v>
      </c>
      <c r="C497" s="216" t="n">
        <v>184.37</v>
      </c>
      <c r="D497" s="216" t="n">
        <v>1.153807997703552</v>
      </c>
      <c r="E497" s="215" t="n">
        <v>46210</v>
      </c>
      <c r="F497" s="215" t="n">
        <v>46210</v>
      </c>
    </row>
    <row r="498">
      <c r="A498" s="215" t="n">
        <v>46211</v>
      </c>
      <c r="B498" s="216" t="n">
        <v>141.9</v>
      </c>
      <c r="C498" s="216" t="n">
        <v>181.5</v>
      </c>
      <c r="D498" s="216" t="n">
        <v>1.154153943061829</v>
      </c>
      <c r="E498" s="215" t="n">
        <v>46211</v>
      </c>
      <c r="F498" s="215" t="n">
        <v>46211</v>
      </c>
    </row>
    <row r="499">
      <c r="A499" s="215" t="n">
        <v>46212</v>
      </c>
      <c r="B499" s="216" t="n">
        <v>148.9</v>
      </c>
      <c r="C499" s="216" t="n">
        <v>183.32</v>
      </c>
      <c r="D499" s="216" t="n">
        <v>1.152119994163513</v>
      </c>
      <c r="E499" s="215" t="n">
        <v>46212</v>
      </c>
      <c r="F499" s="215" t="n">
        <v>46212</v>
      </c>
    </row>
    <row r="500">
      <c r="A500" s="215" t="n">
        <v>46213</v>
      </c>
      <c r="B500" s="216" t="n">
        <v>136</v>
      </c>
      <c r="C500" s="216" t="n">
        <v>175.26</v>
      </c>
      <c r="D500" s="216" t="n">
        <v>1.153550028800964</v>
      </c>
      <c r="E500" s="215" t="n">
        <v>46213</v>
      </c>
      <c r="F500" s="215" t="n">
        <v>46213</v>
      </c>
    </row>
    <row r="501">
      <c r="A501" s="215" t="n">
        <v>46216</v>
      </c>
      <c r="B501" s="216" t="n">
        <v>126.3</v>
      </c>
      <c r="C501" s="216" t="n">
        <v>169.1</v>
      </c>
      <c r="D501" s="216" t="n">
        <v>1.156761050224304</v>
      </c>
      <c r="E501" s="215" t="n">
        <v>46216</v>
      </c>
      <c r="F501" s="215" t="n">
        <v>46216</v>
      </c>
    </row>
    <row r="502">
      <c r="A502" s="215" t="n">
        <v>46217</v>
      </c>
      <c r="B502" s="216" t="n">
        <v>140.6</v>
      </c>
      <c r="C502" s="216" t="n">
        <v>186.01</v>
      </c>
      <c r="D502" s="216" t="n">
        <v>1.155825972557068</v>
      </c>
      <c r="E502" s="215" t="n">
        <v>46217</v>
      </c>
      <c r="F502" s="215" t="n">
        <v>46217</v>
      </c>
    </row>
    <row r="503">
      <c r="A503" s="215" t="n">
        <v>46218</v>
      </c>
      <c r="B503" s="216" t="n">
        <v>141.7</v>
      </c>
      <c r="C503" s="216" t="n">
        <v>196.5</v>
      </c>
      <c r="D503" s="216" t="n">
        <v>1.157556056976318</v>
      </c>
      <c r="E503" s="215" t="n">
        <v>46218</v>
      </c>
      <c r="F503" s="215" t="n">
        <v>46218</v>
      </c>
    </row>
    <row r="504">
      <c r="A504" s="215" t="n">
        <v>46219</v>
      </c>
      <c r="B504" s="216" t="n">
        <v>133.9</v>
      </c>
      <c r="C504" s="216" t="n">
        <v>195.63</v>
      </c>
      <c r="D504" s="216" t="n">
        <v>1.157912969589233</v>
      </c>
      <c r="E504" s="215" t="n">
        <v>46219</v>
      </c>
      <c r="F504" s="215" t="n">
        <v>46219</v>
      </c>
    </row>
    <row r="505">
      <c r="A505" s="215" t="n">
        <v>46220</v>
      </c>
      <c r="B505" s="216" t="n">
        <v>116.2</v>
      </c>
      <c r="C505" s="216" t="n">
        <v>176.07</v>
      </c>
      <c r="D505" s="216" t="n">
        <v>1.157472014427185</v>
      </c>
      <c r="E505" s="215" t="n">
        <v>46220</v>
      </c>
      <c r="F505" s="215" t="n">
        <v>46220</v>
      </c>
    </row>
    <row r="506">
      <c r="A506" s="215" t="n">
        <v>46223</v>
      </c>
      <c r="B506" s="216" t="n">
        <v>117.7</v>
      </c>
      <c r="C506" s="216" t="n">
        <v>158.46</v>
      </c>
      <c r="D506" s="216" t="n">
        <v>1.157451033592224</v>
      </c>
      <c r="E506" s="215" t="n">
        <v>46223</v>
      </c>
      <c r="F506" s="215" t="n">
        <v>46223</v>
      </c>
    </row>
    <row r="507">
      <c r="A507" s="215" t="n">
        <v>46224</v>
      </c>
      <c r="B507" s="216" t="n">
        <v>126.8</v>
      </c>
      <c r="C507" s="216" t="n">
        <v>174.31</v>
      </c>
      <c r="D507" s="216" t="n">
        <v>1.157506942749023</v>
      </c>
      <c r="E507" s="215" t="n">
        <v>46224</v>
      </c>
      <c r="F507" s="215" t="n">
        <v>46224</v>
      </c>
    </row>
    <row r="508">
      <c r="A508" s="215" t="n">
        <v>46225</v>
      </c>
      <c r="B508" s="216" t="n">
        <v>122.4</v>
      </c>
      <c r="C508" s="216" t="n">
        <v>166.8</v>
      </c>
      <c r="D508" s="216" t="n">
        <v>1.158938050270081</v>
      </c>
      <c r="E508" s="215" t="n">
        <v>46225</v>
      </c>
      <c r="F508" s="215" t="n">
        <v>46225</v>
      </c>
    </row>
    <row r="509">
      <c r="A509" s="215" t="n">
        <v>46226</v>
      </c>
      <c r="B509" s="216" t="n">
        <v>116</v>
      </c>
      <c r="C509" s="216" t="n">
        <v>160.5</v>
      </c>
      <c r="D509" s="216" t="n">
        <v>1.157410979270935</v>
      </c>
      <c r="E509" s="215" t="n">
        <v>46226</v>
      </c>
      <c r="F509" s="215" t="n">
        <v>46226</v>
      </c>
    </row>
    <row r="510">
      <c r="A510" s="215" t="n">
        <v>46227</v>
      </c>
      <c r="B510" s="216" t="n">
        <v>113.3</v>
      </c>
      <c r="C510" s="216" t="n">
        <v>160.5</v>
      </c>
      <c r="D510" s="216" t="n">
        <v>1.15762197971344</v>
      </c>
      <c r="E510" s="215" t="n">
        <v>46227</v>
      </c>
      <c r="F510" s="215" t="n">
        <v>46227</v>
      </c>
    </row>
    <row r="511">
      <c r="A511" s="215" t="n">
        <v>46230</v>
      </c>
      <c r="B511" s="216" t="n">
        <v>118</v>
      </c>
      <c r="C511" s="216" t="n">
        <v>167.51</v>
      </c>
      <c r="D511" s="216" t="n">
        <v>1.15789794921875</v>
      </c>
      <c r="E511" s="215" t="n">
        <v>46230</v>
      </c>
      <c r="F511" s="215" t="n">
        <v>46230</v>
      </c>
    </row>
    <row r="512">
      <c r="A512" s="215" t="n">
        <v>46231</v>
      </c>
      <c r="B512" s="216" t="n">
        <v>98.5</v>
      </c>
      <c r="C512" s="216" t="n">
        <v>150.76</v>
      </c>
      <c r="D512" s="216" t="n">
        <v>1.158699035644531</v>
      </c>
      <c r="E512" s="215" t="n">
        <v>46231</v>
      </c>
      <c r="F512" s="215" t="n">
        <v>46231</v>
      </c>
    </row>
    <row r="513">
      <c r="A513" s="215" t="n">
        <v>46232</v>
      </c>
      <c r="B513" s="216" t="n">
        <v>93.09999999999999</v>
      </c>
      <c r="C513" s="216" t="n">
        <v>146</v>
      </c>
      <c r="D513" s="216" t="n">
        <v>1.157909989356995</v>
      </c>
      <c r="E513" s="215" t="n">
        <v>46232</v>
      </c>
      <c r="F513" s="215" t="n">
        <v>46232</v>
      </c>
    </row>
    <row r="514">
      <c r="A514" s="215" t="n">
        <v>46233</v>
      </c>
      <c r="B514" s="216" t="n">
        <v>83.34999999999999</v>
      </c>
      <c r="C514" s="216" t="n">
        <v>131.4</v>
      </c>
      <c r="D514" s="216" t="n">
        <v>1.158943057060242</v>
      </c>
      <c r="E514" s="215" t="n">
        <v>46233</v>
      </c>
      <c r="F514" s="215" t="n">
        <v>46233</v>
      </c>
    </row>
    <row r="515">
      <c r="A515" s="215" t="n">
        <v>46234</v>
      </c>
      <c r="B515" s="216" t="n">
        <v>100.4</v>
      </c>
      <c r="C515" s="216" t="n">
        <v>141.82</v>
      </c>
      <c r="D515" s="216" t="n">
        <v>1.160945057868958</v>
      </c>
      <c r="E515" s="215" t="n">
        <v>46234</v>
      </c>
      <c r="F515" s="215" t="n">
        <v>46234</v>
      </c>
    </row>
    <row r="516">
      <c r="A516" s="215" t="n">
        <v>46237</v>
      </c>
      <c r="B516" s="216" t="n">
        <v>98.2</v>
      </c>
      <c r="C516" s="216" t="n">
        <v>140.58</v>
      </c>
      <c r="D516" s="216" t="n">
        <v>1.161579966545105</v>
      </c>
      <c r="E516" s="215" t="n">
        <v>46237</v>
      </c>
      <c r="F516" s="215" t="n">
        <v>46237</v>
      </c>
    </row>
    <row r="517">
      <c r="A517" s="215" t="n">
        <v>46238</v>
      </c>
      <c r="B517" s="216" t="n">
        <v>110.2</v>
      </c>
      <c r="C517" s="216" t="n">
        <v>152.68</v>
      </c>
      <c r="D517" s="216" t="n">
        <v>1.161064982414246</v>
      </c>
      <c r="E517" s="215" t="n">
        <v>46238</v>
      </c>
      <c r="F517" s="215" t="n">
        <v>46238</v>
      </c>
    </row>
    <row r="518">
      <c r="A518" s="215" t="n">
        <v>46239</v>
      </c>
      <c r="B518" s="216" t="n">
        <v>117</v>
      </c>
      <c r="C518" s="216" t="n">
        <v>160.32</v>
      </c>
      <c r="D518" s="216" t="n">
        <v>1.161146998405457</v>
      </c>
      <c r="E518" s="215" t="n">
        <v>46239</v>
      </c>
      <c r="F518" s="215" t="n">
        <v>46239</v>
      </c>
    </row>
    <row r="519">
      <c r="A519" s="215" t="n">
        <v>46240</v>
      </c>
      <c r="B519" s="216" t="n">
        <v>113.4</v>
      </c>
      <c r="C519" s="216" t="n">
        <v>160.77</v>
      </c>
      <c r="D519" s="216" t="n">
        <v>1.161936044692993</v>
      </c>
      <c r="E519" s="215" t="n">
        <v>46240</v>
      </c>
      <c r="F519" s="215" t="n">
        <v>46240</v>
      </c>
    </row>
    <row r="520">
      <c r="A520" s="215" t="n">
        <v>46241</v>
      </c>
      <c r="B520" s="216" t="n">
        <v>125.8</v>
      </c>
      <c r="C520" s="216" t="n">
        <v>169.8</v>
      </c>
      <c r="D520" s="216" t="n">
        <v>1.162284016609192</v>
      </c>
      <c r="E520" s="215" t="n">
        <v>46241</v>
      </c>
      <c r="F520" s="215" t="n">
        <v>46241</v>
      </c>
    </row>
    <row r="521">
      <c r="A521" s="215" t="n">
        <v>46244</v>
      </c>
      <c r="B521" s="216" t="n">
        <v>126.1</v>
      </c>
      <c r="C521" s="216" t="n">
        <v>168.24</v>
      </c>
      <c r="D521" s="216" t="n">
        <v>1.162629961967468</v>
      </c>
      <c r="E521" s="215" t="n">
        <v>46244</v>
      </c>
      <c r="F521" s="215" t="n">
        <v>46244</v>
      </c>
    </row>
    <row r="522">
      <c r="A522" s="215" t="n">
        <v>46245</v>
      </c>
      <c r="B522" s="216" t="n">
        <v>121.7</v>
      </c>
      <c r="C522" s="216" t="n">
        <v>164.6</v>
      </c>
      <c r="D522" s="216" t="n">
        <v>1.162588000297546</v>
      </c>
      <c r="E522" s="215" t="n">
        <v>46245</v>
      </c>
      <c r="F522" s="215" t="n">
        <v>46245</v>
      </c>
    </row>
    <row r="523">
      <c r="A523" s="215" t="n">
        <v>46246</v>
      </c>
      <c r="B523" s="216" t="n">
        <v>128.9</v>
      </c>
      <c r="C523" s="216" t="n">
        <v>166.7</v>
      </c>
      <c r="D523" s="216" t="n">
        <v>1.163135051727295</v>
      </c>
      <c r="E523" s="215" t="n">
        <v>46246</v>
      </c>
      <c r="F523" s="215" t="n">
        <v>46246</v>
      </c>
    </row>
    <row r="524">
      <c r="A524" s="215" t="n">
        <v>46247</v>
      </c>
      <c r="B524" s="216" t="n">
        <v>133.4</v>
      </c>
      <c r="C524" s="216" t="n">
        <v>164.73</v>
      </c>
      <c r="D524" s="216" t="n">
        <v>1.163341045379639</v>
      </c>
      <c r="E524" s="215" t="n">
        <v>46247</v>
      </c>
      <c r="F524" s="215" t="n">
        <v>46247</v>
      </c>
    </row>
    <row r="525">
      <c r="A525" s="215" t="n">
        <v>46248</v>
      </c>
      <c r="B525" s="216" t="n">
        <v>140</v>
      </c>
      <c r="C525" s="216" t="n">
        <v>169.46</v>
      </c>
      <c r="D525" s="216" t="n">
        <v>1.163571000099182</v>
      </c>
      <c r="E525" s="215" t="n">
        <v>46248</v>
      </c>
      <c r="F525" s="215" t="n">
        <v>46248</v>
      </c>
    </row>
    <row r="526">
      <c r="A526" s="215" t="n">
        <v>46251</v>
      </c>
      <c r="B526" s="216" t="n">
        <v>149.5</v>
      </c>
      <c r="C526" s="216" t="n">
        <v>172.08</v>
      </c>
      <c r="D526" s="216" t="n">
        <v>1.163601994514465</v>
      </c>
      <c r="E526" s="215" t="n">
        <v>46251</v>
      </c>
      <c r="F526" s="215" t="n">
        <v>46251</v>
      </c>
    </row>
    <row r="527">
      <c r="A527" s="215" t="n">
        <v>46252</v>
      </c>
      <c r="B527" s="216" t="n">
        <v>137.2</v>
      </c>
      <c r="C527" s="216" t="n">
        <v>166.85</v>
      </c>
      <c r="D527" s="216" t="n">
        <v>1.163733005523682</v>
      </c>
      <c r="E527" s="215" t="n">
        <v>46252</v>
      </c>
      <c r="F527" s="215" t="n">
        <v>46252</v>
      </c>
    </row>
    <row r="528">
      <c r="A528" s="215" t="n">
        <v>46253</v>
      </c>
      <c r="B528" s="216" t="n">
        <v>123.8</v>
      </c>
      <c r="C528" s="216" t="n">
        <v>152.02</v>
      </c>
      <c r="D528" s="216" t="n">
        <v>1.163092017173767</v>
      </c>
      <c r="E528" s="215" t="n">
        <v>46253</v>
      </c>
      <c r="F528" s="215" t="n">
        <v>46253</v>
      </c>
    </row>
    <row r="529">
      <c r="A529" s="215" t="n">
        <v>46254</v>
      </c>
      <c r="B529" s="216" t="n">
        <v>123</v>
      </c>
      <c r="C529" s="216" t="n">
        <v>152.87</v>
      </c>
      <c r="D529" s="216" t="n">
        <v>1.164932012557983</v>
      </c>
      <c r="E529" s="215" t="n">
        <v>46254</v>
      </c>
      <c r="F529" s="215" t="n">
        <v>46254</v>
      </c>
    </row>
    <row r="530">
      <c r="A530" s="215" t="n">
        <v>46255</v>
      </c>
      <c r="B530" s="216" t="n">
        <v>130</v>
      </c>
      <c r="C530" s="216" t="n">
        <v>155.95</v>
      </c>
      <c r="D530" s="216" t="n">
        <v>1.166555047035217</v>
      </c>
      <c r="E530" s="215" t="n">
        <v>46255</v>
      </c>
      <c r="F530" s="215" t="n">
        <v>46255</v>
      </c>
    </row>
    <row r="531">
      <c r="A531" s="215" t="n">
        <v>46258</v>
      </c>
      <c r="B531" s="216" t="n">
        <v>126.8</v>
      </c>
      <c r="C531" s="216" t="n">
        <v>149.6</v>
      </c>
      <c r="D531" s="216" t="n">
        <v>1.166316986083984</v>
      </c>
      <c r="E531" s="215" t="n">
        <v>46258</v>
      </c>
      <c r="F531" s="215" t="n">
        <v>46258</v>
      </c>
    </row>
    <row r="532">
      <c r="A532" s="215" t="n">
        <v>46259</v>
      </c>
      <c r="B532" s="216" t="n">
        <v>129.8</v>
      </c>
      <c r="C532" s="216" t="n">
        <v>151.08</v>
      </c>
      <c r="D532" s="216" t="n">
        <v>1.165253043174744</v>
      </c>
      <c r="E532" s="215" t="n">
        <v>46259</v>
      </c>
      <c r="F532" s="215" t="n">
        <v>46259</v>
      </c>
    </row>
    <row r="533">
      <c r="A533" s="215" t="n">
        <v>46260</v>
      </c>
      <c r="B533" s="216" t="n">
        <v>127.2</v>
      </c>
      <c r="C533" s="216" t="n">
        <v>151.71</v>
      </c>
      <c r="D533" s="216" t="n">
        <v>1.166218996047974</v>
      </c>
      <c r="E533" s="215" t="n">
        <v>46260</v>
      </c>
      <c r="F533" s="215" t="n">
        <v>46260</v>
      </c>
    </row>
    <row r="534">
      <c r="A534" s="215" t="n">
        <v>46261</v>
      </c>
      <c r="B534" s="216" t="n">
        <v>130</v>
      </c>
      <c r="C534" s="216" t="n">
        <v>157.95</v>
      </c>
      <c r="D534" s="216" t="n">
        <v>1.165971040725708</v>
      </c>
      <c r="E534" s="215" t="n">
        <v>46261</v>
      </c>
      <c r="F534" s="215" t="n">
        <v>46261</v>
      </c>
    </row>
    <row r="535">
      <c r="A535" s="215" t="n">
        <v>46262</v>
      </c>
      <c r="B535" s="216" t="n">
        <v>126.7</v>
      </c>
      <c r="C535" s="216" t="n">
        <v>155.9</v>
      </c>
      <c r="D535" s="216" t="n">
        <v>1.165799975395203</v>
      </c>
      <c r="E535" s="215" t="n">
        <v>46262</v>
      </c>
      <c r="F535" s="215" t="n">
        <v>46262</v>
      </c>
    </row>
    <row r="536">
      <c r="A536" s="215" t="n">
        <v>46265</v>
      </c>
      <c r="B536" s="216" t="n">
        <v>130.4</v>
      </c>
      <c r="C536" s="216" t="n">
        <v>162.73</v>
      </c>
      <c r="D536" s="216" t="n">
        <v>1.165387988090515</v>
      </c>
      <c r="E536" s="215" t="n">
        <v>46265</v>
      </c>
      <c r="F536" s="215" t="n">
        <v>46265</v>
      </c>
    </row>
    <row r="537">
      <c r="A537" s="215" t="n">
        <v>46266</v>
      </c>
      <c r="B537" s="216" t="n">
        <v>121.9</v>
      </c>
      <c r="C537" s="216" t="n">
        <v>156.51</v>
      </c>
      <c r="D537" s="216" t="n">
        <v>1.165223956108093</v>
      </c>
      <c r="E537" s="215" t="n">
        <v>46266</v>
      </c>
      <c r="F537" s="215" t="n">
        <v>46266</v>
      </c>
    </row>
    <row r="538">
      <c r="A538" s="215" t="n">
        <v>46267</v>
      </c>
      <c r="B538" s="216" t="n">
        <v>116</v>
      </c>
      <c r="C538" s="216" t="n">
        <v>155.32</v>
      </c>
      <c r="D538" s="216" t="n">
        <v>1.166425943374634</v>
      </c>
      <c r="E538" s="215" t="n">
        <v>46267</v>
      </c>
      <c r="F538" s="215" t="n">
        <v>46267</v>
      </c>
    </row>
    <row r="539">
      <c r="A539" s="215" t="n">
        <v>46268</v>
      </c>
      <c r="B539" s="216" t="n">
        <v>116.1</v>
      </c>
      <c r="C539" s="216" t="n">
        <v>158.15</v>
      </c>
      <c r="D539" s="216" t="n">
        <v>1.167057037353516</v>
      </c>
      <c r="E539" s="215" t="n">
        <v>46268</v>
      </c>
      <c r="F539" s="215" t="n">
        <v>46268</v>
      </c>
    </row>
    <row r="540">
      <c r="A540" s="215" t="n">
        <v>46269</v>
      </c>
      <c r="B540" s="216" t="n">
        <v>111</v>
      </c>
      <c r="C540" s="216" t="n">
        <v>152.62</v>
      </c>
      <c r="D540" s="216" t="n">
        <v>1.166767954826355</v>
      </c>
      <c r="E540" s="215" t="n">
        <v>46269</v>
      </c>
      <c r="F540" s="215" t="n">
        <v>46269</v>
      </c>
    </row>
    <row r="541">
      <c r="A541" s="215" t="n">
        <v>46272</v>
      </c>
      <c r="B541" s="216" t="n">
        <v>127.3</v>
      </c>
      <c r="C541" s="216" t="n">
        <v>167.88</v>
      </c>
      <c r="D541" s="216" t="n">
        <v>1.168081045150757</v>
      </c>
      <c r="E541" s="215" t="n">
        <v>46272</v>
      </c>
      <c r="F541" s="215" t="n">
        <v>46272</v>
      </c>
    </row>
    <row r="542">
      <c r="A542" s="215" t="n">
        <v>46273</v>
      </c>
      <c r="B542" s="216" t="n">
        <v>126.1</v>
      </c>
      <c r="C542" s="216" t="n">
        <v>169.19</v>
      </c>
      <c r="D542" s="216" t="n">
        <v>1.168115019798279</v>
      </c>
      <c r="E542" s="215" t="n">
        <v>46273</v>
      </c>
      <c r="F542" s="215" t="n">
        <v>46273</v>
      </c>
    </row>
    <row r="543">
      <c r="A543" s="215" t="n">
        <v>46274</v>
      </c>
      <c r="B543" s="216" t="n">
        <v>127.6</v>
      </c>
      <c r="C543" s="216" t="n">
        <v>173.92</v>
      </c>
      <c r="D543" s="216" t="n">
        <v>1.168408989906311</v>
      </c>
      <c r="E543" s="215" t="n">
        <v>46274</v>
      </c>
      <c r="F543" s="215" t="n">
        <v>46274</v>
      </c>
    </row>
    <row r="544">
      <c r="A544" s="215" t="n">
        <v>46275</v>
      </c>
      <c r="B544" s="216" t="n">
        <v>128</v>
      </c>
      <c r="C544" s="216" t="n">
        <v>174</v>
      </c>
      <c r="D544" s="216" t="n">
        <v>1.168462991714478</v>
      </c>
      <c r="E544" s="215" t="n">
        <v>46275</v>
      </c>
      <c r="F544" s="215" t="n">
        <v>46275</v>
      </c>
    </row>
    <row r="545">
      <c r="A545" s="215" t="n">
        <v>46276</v>
      </c>
      <c r="B545" s="216" t="n">
        <v>124.8</v>
      </c>
      <c r="C545" s="216" t="n">
        <v>175</v>
      </c>
      <c r="D545" s="216" t="n">
        <v>1.169165015220642</v>
      </c>
      <c r="E545" s="215" t="n">
        <v>46276</v>
      </c>
      <c r="F545" s="215" t="n">
        <v>46276</v>
      </c>
    </row>
    <row r="546">
      <c r="A546" s="215" t="n">
        <v>46279</v>
      </c>
      <c r="B546" s="216" t="n">
        <v>118.7</v>
      </c>
      <c r="C546" s="216" t="n">
        <v>171.44</v>
      </c>
      <c r="D546" s="216" t="n">
        <v>1.16893994808197</v>
      </c>
      <c r="E546" s="215" t="n">
        <v>46279</v>
      </c>
      <c r="F546" s="215" t="n">
        <v>46279</v>
      </c>
    </row>
    <row r="547">
      <c r="A547" s="215" t="n">
        <v>46280</v>
      </c>
      <c r="B547" s="216" t="n">
        <v>121</v>
      </c>
      <c r="C547" s="216" t="n">
        <v>170.91</v>
      </c>
      <c r="D547" s="216" t="n">
        <v>1.169121026992798</v>
      </c>
      <c r="E547" s="215" t="n">
        <v>46280</v>
      </c>
      <c r="F547" s="215" t="n">
        <v>46280</v>
      </c>
    </row>
    <row r="548">
      <c r="A548" s="215" t="n">
        <v>46281</v>
      </c>
      <c r="B548" s="216" t="n">
        <v>122.4</v>
      </c>
      <c r="C548" s="216" t="n">
        <v>172.36</v>
      </c>
      <c r="D548" s="216" t="n">
        <v>1.168769955635071</v>
      </c>
      <c r="E548" s="215" t="n">
        <v>46281</v>
      </c>
      <c r="F548" s="215" t="n">
        <v>46281</v>
      </c>
    </row>
    <row r="549">
      <c r="A549" s="215" t="n">
        <v>46282</v>
      </c>
      <c r="B549" s="216" t="n">
        <v>116.8</v>
      </c>
      <c r="C549" s="216" t="n">
        <v>168.05</v>
      </c>
      <c r="D549" s="216" t="n">
        <v>1.169389963150024</v>
      </c>
      <c r="E549" s="215" t="n">
        <v>46282</v>
      </c>
      <c r="F549" s="215" t="n">
        <v>46282</v>
      </c>
    </row>
    <row r="550">
      <c r="A550" s="215" t="n">
        <v>46283</v>
      </c>
      <c r="B550" s="216" t="n">
        <v>107.6</v>
      </c>
      <c r="C550" s="216" t="n">
        <v>169.03</v>
      </c>
      <c r="D550" s="216" t="n">
        <v>1.16942298412323</v>
      </c>
      <c r="E550" s="215" t="n">
        <v>46283</v>
      </c>
      <c r="F550" s="215" t="n">
        <v>46283</v>
      </c>
    </row>
    <row r="551">
      <c r="A551" s="215" t="n">
        <v>46286</v>
      </c>
      <c r="B551" s="216" t="n">
        <v>123</v>
      </c>
      <c r="C551" s="216" t="n">
        <v>185.93</v>
      </c>
      <c r="D551" s="216" t="n">
        <v>1.171280026435852</v>
      </c>
      <c r="E551" s="215" t="n">
        <v>46286</v>
      </c>
      <c r="F551" s="215" t="n">
        <v>46286</v>
      </c>
    </row>
    <row r="552">
      <c r="A552" s="215" t="n">
        <v>46287</v>
      </c>
      <c r="B552" s="216" t="n">
        <v>131.5</v>
      </c>
      <c r="C552" s="216" t="n">
        <v>198.65</v>
      </c>
      <c r="D552" s="216" t="n">
        <v>1.171705007553101</v>
      </c>
      <c r="E552" s="215" t="n">
        <v>46287</v>
      </c>
      <c r="F552" s="215" t="n">
        <v>46287</v>
      </c>
    </row>
    <row r="553">
      <c r="A553" s="215" t="n">
        <v>46288</v>
      </c>
      <c r="B553" s="216" t="n">
        <v>127.2</v>
      </c>
      <c r="C553" s="216" t="n">
        <v>192.25</v>
      </c>
      <c r="D553" s="216" t="n">
        <v>1.170611023902893</v>
      </c>
      <c r="E553" s="215" t="n">
        <v>46288</v>
      </c>
      <c r="F553" s="215" t="n">
        <v>46288</v>
      </c>
    </row>
    <row r="554">
      <c r="A554" s="215" t="n">
        <v>46289</v>
      </c>
      <c r="B554" s="216" t="n">
        <v>118.9</v>
      </c>
      <c r="C554" s="216" t="n">
        <v>181.16</v>
      </c>
      <c r="D554" s="216" t="n">
        <v>1.16852605342865</v>
      </c>
      <c r="E554" s="215" t="n">
        <v>46289</v>
      </c>
      <c r="F554" s="215" t="n">
        <v>46289</v>
      </c>
    </row>
    <row r="555">
      <c r="A555" s="215" t="n">
        <v>46290</v>
      </c>
      <c r="B555" s="216" t="n">
        <v>121.1</v>
      </c>
      <c r="C555" s="216" t="n">
        <v>181.16</v>
      </c>
      <c r="D555" s="216" t="n">
        <v>1.168424010276794</v>
      </c>
      <c r="E555" s="215" t="n">
        <v>46289</v>
      </c>
      <c r="F555" s="215" t="n">
        <v>46290</v>
      </c>
    </row>
    <row r="556">
      <c r="A556" s="215" t="n">
        <v>46293</v>
      </c>
      <c r="B556" s="216" t="n">
        <v>114.4</v>
      </c>
      <c r="C556" s="216" t="n">
        <v>177.59</v>
      </c>
      <c r="D556" s="216" t="n">
        <v>1.168378949165344</v>
      </c>
      <c r="E556" s="215" t="n">
        <v>46293</v>
      </c>
      <c r="F556" s="215" t="n">
        <v>46293</v>
      </c>
    </row>
    <row r="557">
      <c r="A557" s="215" t="n">
        <v>46294</v>
      </c>
      <c r="B557" s="216" t="n">
        <v>125</v>
      </c>
      <c r="C557" s="216" t="n">
        <v>191.84</v>
      </c>
      <c r="D557" s="216" t="n">
        <v>1.168815970420837</v>
      </c>
      <c r="E557" s="215" t="n">
        <v>46294</v>
      </c>
      <c r="F557" s="215" t="n">
        <v>46294</v>
      </c>
    </row>
    <row r="558">
      <c r="A558" s="215" t="n">
        <v>46295</v>
      </c>
      <c r="B558" s="216" t="n">
        <v>119.6</v>
      </c>
      <c r="C558" s="216" t="n">
        <v>176.66</v>
      </c>
      <c r="D558" s="216" t="n">
        <v>1.17059600353241</v>
      </c>
      <c r="E558" s="215" t="n">
        <v>46295</v>
      </c>
      <c r="F558" s="215" t="n">
        <v>46295</v>
      </c>
    </row>
    <row r="559">
      <c r="A559" s="215" t="n">
        <v>46297</v>
      </c>
      <c r="B559" s="216" t="n">
        <v>118.1</v>
      </c>
      <c r="C559" s="216" t="n">
        <v>176.66</v>
      </c>
      <c r="D559" s="216" t="n">
        <v>1.170220971107483</v>
      </c>
      <c r="E559" s="215" t="n">
        <v>46295</v>
      </c>
      <c r="F559" s="215" t="n">
        <v>46297</v>
      </c>
    </row>
    <row r="560">
      <c r="A560" s="215" t="n">
        <v>46212</v>
      </c>
      <c r="B560" s="216" t="n">
        <v>373.2</v>
      </c>
      <c r="C560" s="216" t="n">
        <v>484.08</v>
      </c>
      <c r="D560" s="216" t="n">
        <v>1.152119994163513</v>
      </c>
      <c r="E560" s="215" t="n">
        <v>46212</v>
      </c>
      <c r="F560" s="215" t="n">
        <v>46212</v>
      </c>
    </row>
    <row r="561">
      <c r="A561" s="215" t="n">
        <v>46213</v>
      </c>
      <c r="B561" s="216" t="n">
        <v>386</v>
      </c>
      <c r="C561" s="216" t="n">
        <v>466.94</v>
      </c>
      <c r="D561" s="216" t="n">
        <v>1.153550028800964</v>
      </c>
      <c r="E561" s="215" t="n">
        <v>46213</v>
      </c>
      <c r="F561" s="215" t="n">
        <v>46213</v>
      </c>
    </row>
    <row r="562">
      <c r="A562" s="215" t="n">
        <v>46216</v>
      </c>
      <c r="B562" s="216" t="n">
        <v>398.4</v>
      </c>
      <c r="C562" s="216" t="n">
        <v>437.7</v>
      </c>
      <c r="D562" s="216" t="n">
        <v>1.156761050224304</v>
      </c>
      <c r="E562" s="215" t="n">
        <v>46216</v>
      </c>
      <c r="F562" s="215" t="n">
        <v>46216</v>
      </c>
    </row>
    <row r="563">
      <c r="A563" s="215" t="n">
        <v>46217</v>
      </c>
      <c r="B563" s="216" t="n">
        <v>443</v>
      </c>
      <c r="C563" s="216" t="n">
        <v>495.85</v>
      </c>
      <c r="D563" s="216" t="n">
        <v>1.155825972557068</v>
      </c>
      <c r="E563" s="215" t="n">
        <v>46217</v>
      </c>
      <c r="F563" s="215" t="n">
        <v>46217</v>
      </c>
    </row>
    <row r="564">
      <c r="A564" s="215" t="n">
        <v>46218</v>
      </c>
      <c r="B564" s="216" t="n">
        <v>416.6</v>
      </c>
      <c r="C564" s="216" t="n">
        <v>467.88</v>
      </c>
      <c r="D564" s="216" t="n">
        <v>1.157556056976318</v>
      </c>
      <c r="E564" s="215" t="n">
        <v>46218</v>
      </c>
      <c r="F564" s="215" t="n">
        <v>46218</v>
      </c>
    </row>
    <row r="565">
      <c r="A565" s="215" t="n">
        <v>46219</v>
      </c>
      <c r="B565" s="216" t="n">
        <v>417.8</v>
      </c>
      <c r="C565" s="216" t="n">
        <v>463.19</v>
      </c>
      <c r="D565" s="216" t="n">
        <v>1.157912969589233</v>
      </c>
      <c r="E565" s="215" t="n">
        <v>46219</v>
      </c>
      <c r="F565" s="215" t="n">
        <v>46219</v>
      </c>
    </row>
    <row r="566">
      <c r="A566" s="215" t="n">
        <v>46220</v>
      </c>
      <c r="B566" s="216" t="n">
        <v>350</v>
      </c>
      <c r="C566" s="216" t="n">
        <v>425</v>
      </c>
      <c r="D566" s="216" t="n">
        <v>1.157472014427185</v>
      </c>
      <c r="E566" s="215" t="n">
        <v>46220</v>
      </c>
      <c r="F566" s="215" t="n">
        <v>46220</v>
      </c>
    </row>
    <row r="567">
      <c r="A567" s="215" t="n">
        <v>46223</v>
      </c>
      <c r="B567" s="216" t="n">
        <v>330.8</v>
      </c>
      <c r="C567" s="216" t="n">
        <v>372</v>
      </c>
      <c r="D567" s="216" t="n">
        <v>1.157451033592224</v>
      </c>
      <c r="E567" s="215" t="n">
        <v>46223</v>
      </c>
      <c r="F567" s="215" t="n">
        <v>46223</v>
      </c>
    </row>
    <row r="568">
      <c r="A568" s="215" t="n">
        <v>46224</v>
      </c>
      <c r="B568" s="216" t="n">
        <v>363</v>
      </c>
      <c r="C568" s="216" t="n">
        <v>416.5</v>
      </c>
      <c r="D568" s="216" t="n">
        <v>1.157506942749023</v>
      </c>
      <c r="E568" s="215" t="n">
        <v>46224</v>
      </c>
      <c r="F568" s="215" t="n">
        <v>46224</v>
      </c>
    </row>
    <row r="569">
      <c r="A569" s="215" t="n">
        <v>46225</v>
      </c>
      <c r="B569" s="216" t="n">
        <v>350</v>
      </c>
      <c r="C569" s="216" t="n">
        <v>401.38</v>
      </c>
      <c r="D569" s="216" t="n">
        <v>1.158938050270081</v>
      </c>
      <c r="E569" s="215" t="n">
        <v>46225</v>
      </c>
      <c r="F569" s="215" t="n">
        <v>46225</v>
      </c>
    </row>
    <row r="570">
      <c r="A570" s="215" t="n">
        <v>46226</v>
      </c>
      <c r="B570" s="216" t="n">
        <v>350</v>
      </c>
      <c r="C570" s="216" t="n">
        <v>402.1</v>
      </c>
      <c r="D570" s="216" t="n">
        <v>1.157410979270935</v>
      </c>
      <c r="E570" s="215" t="n">
        <v>46226</v>
      </c>
      <c r="F570" s="215" t="n">
        <v>46226</v>
      </c>
    </row>
    <row r="571">
      <c r="A571" s="215" t="n">
        <v>46227</v>
      </c>
      <c r="B571" s="216" t="n">
        <v>337.2</v>
      </c>
      <c r="C571" s="216" t="n">
        <v>396.6</v>
      </c>
      <c r="D571" s="216" t="n">
        <v>1.15762197971344</v>
      </c>
      <c r="E571" s="215" t="n">
        <v>46227</v>
      </c>
      <c r="F571" s="215" t="n">
        <v>46227</v>
      </c>
    </row>
    <row r="572">
      <c r="A572" s="215" t="n">
        <v>46230</v>
      </c>
      <c r="B572" s="216" t="n">
        <v>362</v>
      </c>
      <c r="C572" s="216" t="n">
        <v>414.38</v>
      </c>
      <c r="D572" s="216" t="n">
        <v>1.15789794921875</v>
      </c>
      <c r="E572" s="215" t="n">
        <v>46230</v>
      </c>
      <c r="F572" s="215" t="n">
        <v>46230</v>
      </c>
    </row>
    <row r="573">
      <c r="A573" s="215" t="n">
        <v>46231</v>
      </c>
      <c r="B573" s="216" t="n">
        <v>312.2</v>
      </c>
      <c r="C573" s="216" t="n">
        <v>372.81</v>
      </c>
      <c r="D573" s="216" t="n">
        <v>1.158699035644531</v>
      </c>
      <c r="E573" s="215" t="n">
        <v>46231</v>
      </c>
      <c r="F573" s="215" t="n">
        <v>46231</v>
      </c>
    </row>
    <row r="574">
      <c r="A574" s="215" t="n">
        <v>46232</v>
      </c>
      <c r="B574" s="216" t="n">
        <v>286</v>
      </c>
      <c r="C574" s="216" t="n">
        <v>361.28</v>
      </c>
      <c r="D574" s="216" t="n">
        <v>1.157909989356995</v>
      </c>
      <c r="E574" s="215" t="n">
        <v>46232</v>
      </c>
      <c r="F574" s="215" t="n">
        <v>46232</v>
      </c>
    </row>
    <row r="575">
      <c r="A575" s="215" t="n">
        <v>46233</v>
      </c>
      <c r="B575" s="216" t="n">
        <v>269.4</v>
      </c>
      <c r="C575" s="216" t="n">
        <v>333</v>
      </c>
      <c r="D575" s="216" t="n">
        <v>1.158943057060242</v>
      </c>
      <c r="E575" s="215" t="n">
        <v>46233</v>
      </c>
      <c r="F575" s="215" t="n">
        <v>46233</v>
      </c>
    </row>
    <row r="576">
      <c r="A576" s="215" t="n">
        <v>46234</v>
      </c>
      <c r="B576" s="216" t="n">
        <v>302.2</v>
      </c>
      <c r="C576" s="216" t="n">
        <v>350.1</v>
      </c>
      <c r="D576" s="216" t="n">
        <v>1.160945057868958</v>
      </c>
      <c r="E576" s="215" t="n">
        <v>46234</v>
      </c>
      <c r="F576" s="215" t="n">
        <v>46234</v>
      </c>
    </row>
    <row r="577">
      <c r="A577" s="215" t="n">
        <v>46237</v>
      </c>
      <c r="B577" s="216" t="n">
        <v>304.4</v>
      </c>
      <c r="C577" s="216" t="n">
        <v>335</v>
      </c>
      <c r="D577" s="216" t="n">
        <v>1.161579966545105</v>
      </c>
      <c r="E577" s="215" t="n">
        <v>46237</v>
      </c>
      <c r="F577" s="215" t="n">
        <v>46237</v>
      </c>
    </row>
    <row r="578">
      <c r="A578" s="215" t="n">
        <v>46238</v>
      </c>
      <c r="B578" s="216" t="n">
        <v>340</v>
      </c>
      <c r="C578" s="216" t="n">
        <v>375.71</v>
      </c>
      <c r="D578" s="216" t="n">
        <v>1.161064982414246</v>
      </c>
      <c r="E578" s="215" t="n">
        <v>46238</v>
      </c>
      <c r="F578" s="215" t="n">
        <v>46238</v>
      </c>
    </row>
    <row r="579">
      <c r="A579" s="215" t="n">
        <v>46239</v>
      </c>
      <c r="B579" s="216" t="n">
        <v>366</v>
      </c>
      <c r="C579" s="216" t="n">
        <v>416.07</v>
      </c>
      <c r="D579" s="216" t="n">
        <v>1.161146998405457</v>
      </c>
      <c r="E579" s="215" t="n">
        <v>46239</v>
      </c>
      <c r="F579" s="215" t="n">
        <v>46239</v>
      </c>
    </row>
    <row r="580">
      <c r="A580" s="215" t="n">
        <v>46240</v>
      </c>
      <c r="B580" s="216" t="n">
        <v>374</v>
      </c>
      <c r="C580" s="216" t="n">
        <v>428</v>
      </c>
      <c r="D580" s="216" t="n">
        <v>1.161936044692993</v>
      </c>
      <c r="E580" s="215" t="n">
        <v>46240</v>
      </c>
      <c r="F580" s="215" t="n">
        <v>46240</v>
      </c>
    </row>
    <row r="581">
      <c r="A581" s="215" t="n">
        <v>46241</v>
      </c>
      <c r="B581" s="216" t="n">
        <v>390</v>
      </c>
      <c r="C581" s="216" t="n">
        <v>451.84</v>
      </c>
      <c r="D581" s="216" t="n">
        <v>1.162284016609192</v>
      </c>
      <c r="E581" s="215" t="n">
        <v>46241</v>
      </c>
      <c r="F581" s="215" t="n">
        <v>46241</v>
      </c>
    </row>
    <row r="582">
      <c r="A582" s="215" t="n">
        <v>46244</v>
      </c>
      <c r="B582" s="216" t="n">
        <v>362.4</v>
      </c>
      <c r="C582" s="216" t="n">
        <v>437.45</v>
      </c>
      <c r="D582" s="216" t="n">
        <v>1.162629961967468</v>
      </c>
      <c r="E582" s="215" t="n">
        <v>46244</v>
      </c>
      <c r="F582" s="215" t="n">
        <v>46244</v>
      </c>
    </row>
    <row r="583">
      <c r="A583" s="215" t="n">
        <v>46245</v>
      </c>
      <c r="B583" s="216" t="n">
        <v>352.2</v>
      </c>
      <c r="C583" s="216" t="n">
        <v>429.01</v>
      </c>
      <c r="D583" s="216" t="n">
        <v>1.162588000297546</v>
      </c>
      <c r="E583" s="215" t="n">
        <v>46245</v>
      </c>
      <c r="F583" s="215" t="n">
        <v>46245</v>
      </c>
    </row>
    <row r="584">
      <c r="A584" s="215" t="n">
        <v>46246</v>
      </c>
      <c r="B584" s="216" t="n">
        <v>356</v>
      </c>
      <c r="C584" s="216" t="n">
        <v>449.57</v>
      </c>
      <c r="D584" s="216" t="n">
        <v>1.163135051727295</v>
      </c>
      <c r="E584" s="215" t="n">
        <v>46246</v>
      </c>
      <c r="F584" s="215" t="n">
        <v>46246</v>
      </c>
    </row>
    <row r="585">
      <c r="A585" s="215" t="n">
        <v>46247</v>
      </c>
      <c r="B585" s="216" t="n">
        <v>351</v>
      </c>
      <c r="C585" s="216" t="n">
        <v>445</v>
      </c>
      <c r="D585" s="216" t="n">
        <v>1.163341045379639</v>
      </c>
      <c r="E585" s="215" t="n">
        <v>46247</v>
      </c>
      <c r="F585" s="215" t="n">
        <v>46247</v>
      </c>
    </row>
    <row r="586">
      <c r="A586" s="215" t="n">
        <v>46248</v>
      </c>
      <c r="B586" s="216" t="n">
        <v>367.6</v>
      </c>
      <c r="C586" s="216" t="n">
        <v>447.8</v>
      </c>
      <c r="D586" s="216" t="n">
        <v>1.163571000099182</v>
      </c>
      <c r="E586" s="215" t="n">
        <v>46248</v>
      </c>
      <c r="F586" s="215" t="n">
        <v>46248</v>
      </c>
    </row>
    <row r="587">
      <c r="A587" s="215" t="n">
        <v>46251</v>
      </c>
      <c r="B587" s="216" t="n">
        <v>370.8</v>
      </c>
      <c r="C587" s="216" t="n">
        <v>462.9</v>
      </c>
      <c r="D587" s="216" t="n">
        <v>1.163601994514465</v>
      </c>
      <c r="E587" s="215" t="n">
        <v>46251</v>
      </c>
      <c r="F587" s="215" t="n">
        <v>46251</v>
      </c>
    </row>
    <row r="588">
      <c r="A588" s="215" t="n">
        <v>46252</v>
      </c>
      <c r="B588" s="216" t="n">
        <v>360.8</v>
      </c>
      <c r="C588" s="216" t="n">
        <v>471</v>
      </c>
      <c r="D588" s="216" t="n">
        <v>1.163733005523682</v>
      </c>
      <c r="E588" s="215" t="n">
        <v>46252</v>
      </c>
      <c r="F588" s="215" t="n">
        <v>46252</v>
      </c>
    </row>
    <row r="589">
      <c r="A589" s="215" t="n">
        <v>46253</v>
      </c>
      <c r="B589" s="216" t="n">
        <v>337.2</v>
      </c>
      <c r="C589" s="216" t="n">
        <v>429.93</v>
      </c>
      <c r="D589" s="216" t="n">
        <v>1.163092017173767</v>
      </c>
      <c r="E589" s="215" t="n">
        <v>46253</v>
      </c>
      <c r="F589" s="215" t="n">
        <v>46253</v>
      </c>
    </row>
    <row r="590">
      <c r="A590" s="215" t="n">
        <v>46254</v>
      </c>
      <c r="B590" s="216" t="n">
        <v>331.4</v>
      </c>
      <c r="C590" s="216" t="n">
        <v>412</v>
      </c>
      <c r="D590" s="216" t="n">
        <v>1.164932012557983</v>
      </c>
      <c r="E590" s="215" t="n">
        <v>46254</v>
      </c>
      <c r="F590" s="215" t="n">
        <v>46254</v>
      </c>
    </row>
    <row r="591">
      <c r="A591" s="215" t="n">
        <v>46255</v>
      </c>
      <c r="B591" s="216" t="n">
        <v>347</v>
      </c>
      <c r="C591" s="216" t="n">
        <v>416.5</v>
      </c>
      <c r="D591" s="216" t="n">
        <v>1.166555047035217</v>
      </c>
      <c r="E591" s="215" t="n">
        <v>46255</v>
      </c>
      <c r="F591" s="215" t="n">
        <v>46255</v>
      </c>
    </row>
    <row r="592">
      <c r="A592" s="215" t="n">
        <v>46258</v>
      </c>
      <c r="B592" s="216" t="n">
        <v>348</v>
      </c>
      <c r="C592" s="216" t="n">
        <v>393.01</v>
      </c>
      <c r="D592" s="216" t="n">
        <v>1.166316986083984</v>
      </c>
      <c r="E592" s="215" t="n">
        <v>46258</v>
      </c>
      <c r="F592" s="215" t="n">
        <v>46258</v>
      </c>
    </row>
    <row r="593">
      <c r="A593" s="215" t="n">
        <v>46259</v>
      </c>
      <c r="B593" s="216" t="n">
        <v>352.8</v>
      </c>
      <c r="C593" s="216" t="n">
        <v>392.6</v>
      </c>
      <c r="D593" s="216" t="n">
        <v>1.165253043174744</v>
      </c>
      <c r="E593" s="215" t="n">
        <v>46259</v>
      </c>
      <c r="F593" s="215" t="n">
        <v>46259</v>
      </c>
    </row>
    <row r="594">
      <c r="A594" s="215" t="n">
        <v>46260</v>
      </c>
      <c r="B594" s="216" t="n">
        <v>354.2</v>
      </c>
      <c r="C594" s="216" t="n">
        <v>394.6</v>
      </c>
      <c r="D594" s="216" t="n">
        <v>1.166218996047974</v>
      </c>
      <c r="E594" s="215" t="n">
        <v>46260</v>
      </c>
      <c r="F594" s="215" t="n">
        <v>46260</v>
      </c>
    </row>
    <row r="595">
      <c r="A595" s="215" t="n">
        <v>46261</v>
      </c>
      <c r="B595" s="216" t="n">
        <v>355.6</v>
      </c>
      <c r="C595" s="216" t="n">
        <v>416.97</v>
      </c>
      <c r="D595" s="216" t="n">
        <v>1.165971040725708</v>
      </c>
      <c r="E595" s="215" t="n">
        <v>46261</v>
      </c>
      <c r="F595" s="215" t="n">
        <v>46261</v>
      </c>
    </row>
    <row r="596">
      <c r="A596" s="215" t="n">
        <v>46262</v>
      </c>
      <c r="B596" s="216" t="n">
        <v>342.4</v>
      </c>
      <c r="C596" s="216" t="n">
        <v>406.38</v>
      </c>
      <c r="D596" s="216" t="n">
        <v>1.165799975395203</v>
      </c>
      <c r="E596" s="215" t="n">
        <v>46262</v>
      </c>
      <c r="F596" s="215" t="n">
        <v>46262</v>
      </c>
    </row>
    <row r="597">
      <c r="A597" s="215" t="n">
        <v>46265</v>
      </c>
      <c r="B597" s="216" t="n">
        <v>348.4</v>
      </c>
      <c r="C597" s="216" t="n">
        <v>419.86</v>
      </c>
      <c r="D597" s="216" t="n">
        <v>1.165387988090515</v>
      </c>
      <c r="E597" s="215" t="n">
        <v>46265</v>
      </c>
      <c r="F597" s="215" t="n">
        <v>46265</v>
      </c>
    </row>
    <row r="598">
      <c r="A598" s="215" t="n">
        <v>46266</v>
      </c>
      <c r="B598" s="216" t="n">
        <v>333</v>
      </c>
      <c r="C598" s="216" t="n">
        <v>388.13</v>
      </c>
      <c r="D598" s="216" t="n">
        <v>1.165223956108093</v>
      </c>
      <c r="E598" s="215" t="n">
        <v>46266</v>
      </c>
      <c r="F598" s="215" t="n">
        <v>46266</v>
      </c>
    </row>
    <row r="599">
      <c r="A599" s="215" t="n">
        <v>46267</v>
      </c>
      <c r="B599" s="216" t="n">
        <v>320</v>
      </c>
      <c r="C599" s="216" t="n">
        <v>387.9</v>
      </c>
      <c r="D599" s="216" t="n">
        <v>1.166425943374634</v>
      </c>
      <c r="E599" s="215" t="n">
        <v>46267</v>
      </c>
      <c r="F599" s="215" t="n">
        <v>46267</v>
      </c>
    </row>
    <row r="600">
      <c r="A600" s="215" t="n">
        <v>46268</v>
      </c>
      <c r="B600" s="216" t="n">
        <v>313</v>
      </c>
      <c r="C600" s="216" t="n">
        <v>390</v>
      </c>
      <c r="D600" s="216" t="n">
        <v>1.167057037353516</v>
      </c>
      <c r="E600" s="215" t="n">
        <v>46268</v>
      </c>
      <c r="F600" s="215" t="n">
        <v>46268</v>
      </c>
    </row>
    <row r="601">
      <c r="A601" s="215" t="n">
        <v>46269</v>
      </c>
      <c r="B601" s="216" t="n">
        <v>320</v>
      </c>
      <c r="C601" s="216" t="n">
        <v>376.21</v>
      </c>
      <c r="D601" s="216" t="n">
        <v>1.166767954826355</v>
      </c>
      <c r="E601" s="215" t="n">
        <v>46269</v>
      </c>
      <c r="F601" s="215" t="n">
        <v>46269</v>
      </c>
    </row>
    <row r="602">
      <c r="A602" s="215" t="n">
        <v>46272</v>
      </c>
      <c r="B602" s="216" t="n">
        <v>347.2</v>
      </c>
      <c r="C602" s="216" t="n">
        <v>396.76</v>
      </c>
      <c r="D602" s="216" t="n">
        <v>1.168081045150757</v>
      </c>
      <c r="E602" s="215" t="n">
        <v>46272</v>
      </c>
      <c r="F602" s="215" t="n">
        <v>46272</v>
      </c>
    </row>
    <row r="603">
      <c r="A603" s="215" t="n">
        <v>46273</v>
      </c>
      <c r="B603" s="216" t="n">
        <v>336.4</v>
      </c>
      <c r="C603" s="216" t="n">
        <v>399</v>
      </c>
      <c r="D603" s="216" t="n">
        <v>1.168115019798279</v>
      </c>
      <c r="E603" s="215" t="n">
        <v>46273</v>
      </c>
      <c r="F603" s="215" t="n">
        <v>46273</v>
      </c>
    </row>
    <row r="604">
      <c r="A604" s="215" t="n">
        <v>46274</v>
      </c>
      <c r="B604" s="216" t="n">
        <v>328</v>
      </c>
      <c r="C604" s="216" t="n">
        <v>392</v>
      </c>
      <c r="D604" s="216" t="n">
        <v>1.168408989906311</v>
      </c>
      <c r="E604" s="215" t="n">
        <v>46274</v>
      </c>
      <c r="F604" s="215" t="n">
        <v>46274</v>
      </c>
    </row>
    <row r="605">
      <c r="A605" s="215" t="n">
        <v>46275</v>
      </c>
      <c r="B605" s="216" t="n">
        <v>319.2</v>
      </c>
      <c r="C605" s="216" t="n">
        <v>391.31</v>
      </c>
      <c r="D605" s="216" t="n">
        <v>1.168462991714478</v>
      </c>
      <c r="E605" s="215" t="n">
        <v>46275</v>
      </c>
      <c r="F605" s="215" t="n">
        <v>46275</v>
      </c>
    </row>
    <row r="606">
      <c r="A606" s="215" t="n">
        <v>46276</v>
      </c>
      <c r="B606" s="216" t="n">
        <v>317.4</v>
      </c>
      <c r="C606" s="216" t="n">
        <v>390.3</v>
      </c>
      <c r="D606" s="216" t="n">
        <v>1.169165015220642</v>
      </c>
      <c r="E606" s="215" t="n">
        <v>46276</v>
      </c>
      <c r="F606" s="215" t="n">
        <v>46276</v>
      </c>
    </row>
    <row r="607">
      <c r="A607" s="215" t="n">
        <v>46279</v>
      </c>
      <c r="B607" s="216" t="n">
        <v>291</v>
      </c>
      <c r="C607" s="216" t="n">
        <v>384.99</v>
      </c>
      <c r="D607" s="216" t="n">
        <v>1.16893994808197</v>
      </c>
      <c r="E607" s="215" t="n">
        <v>46279</v>
      </c>
      <c r="F607" s="215" t="n">
        <v>46279</v>
      </c>
    </row>
    <row r="608">
      <c r="A608" s="215" t="n">
        <v>46280</v>
      </c>
      <c r="B608" s="216" t="n">
        <v>304</v>
      </c>
      <c r="C608" s="216" t="n">
        <v>402.4</v>
      </c>
      <c r="D608" s="216" t="n">
        <v>1.169121026992798</v>
      </c>
      <c r="E608" s="215" t="n">
        <v>46280</v>
      </c>
      <c r="F608" s="215" t="n">
        <v>46280</v>
      </c>
    </row>
    <row r="609">
      <c r="A609" s="215" t="n">
        <v>46281</v>
      </c>
      <c r="B609" s="216" t="n">
        <v>293.8</v>
      </c>
      <c r="C609" s="216" t="n">
        <v>408.88</v>
      </c>
      <c r="D609" s="216" t="n">
        <v>1.168769955635071</v>
      </c>
      <c r="E609" s="215" t="n">
        <v>46281</v>
      </c>
      <c r="F609" s="215" t="n">
        <v>46281</v>
      </c>
    </row>
    <row r="610">
      <c r="A610" s="215" t="n">
        <v>46282</v>
      </c>
      <c r="B610" s="216" t="n">
        <v>277</v>
      </c>
      <c r="C610" s="216" t="n">
        <v>399.2</v>
      </c>
      <c r="D610" s="216" t="n">
        <v>1.169389963150024</v>
      </c>
      <c r="E610" s="215" t="n">
        <v>46282</v>
      </c>
      <c r="F610" s="215" t="n">
        <v>46282</v>
      </c>
    </row>
    <row r="611">
      <c r="A611" s="215" t="n">
        <v>46283</v>
      </c>
      <c r="B611" s="216" t="n">
        <v>291</v>
      </c>
      <c r="C611" s="216" t="n">
        <v>408.89</v>
      </c>
      <c r="D611" s="216" t="n">
        <v>1.16942298412323</v>
      </c>
      <c r="E611" s="215" t="n">
        <v>46283</v>
      </c>
      <c r="F611" s="215" t="n">
        <v>46283</v>
      </c>
    </row>
    <row r="612">
      <c r="A612" s="215" t="n">
        <v>46286</v>
      </c>
      <c r="B612" s="216" t="n">
        <v>287</v>
      </c>
      <c r="C612" s="216" t="n">
        <v>399.85</v>
      </c>
      <c r="D612" s="216" t="n">
        <v>1.171280026435852</v>
      </c>
      <c r="E612" s="215" t="n">
        <v>46286</v>
      </c>
      <c r="F612" s="215" t="n">
        <v>46286</v>
      </c>
    </row>
    <row r="613">
      <c r="A613" s="215" t="n">
        <v>46287</v>
      </c>
      <c r="B613" s="216" t="n">
        <v>274.4</v>
      </c>
      <c r="C613" s="216" t="n">
        <v>398</v>
      </c>
      <c r="D613" s="216" t="n">
        <v>1.171705007553101</v>
      </c>
      <c r="E613" s="215" t="n">
        <v>46287</v>
      </c>
      <c r="F613" s="215" t="n">
        <v>46287</v>
      </c>
    </row>
    <row r="614">
      <c r="A614" s="215" t="n">
        <v>46288</v>
      </c>
      <c r="B614" s="216" t="n">
        <v>272.6</v>
      </c>
      <c r="C614" s="216" t="n">
        <v>392.36</v>
      </c>
      <c r="D614" s="216" t="n">
        <v>1.170611023902893</v>
      </c>
      <c r="E614" s="215" t="n">
        <v>46288</v>
      </c>
      <c r="F614" s="215" t="n">
        <v>46288</v>
      </c>
    </row>
    <row r="615">
      <c r="A615" s="215" t="n">
        <v>46289</v>
      </c>
      <c r="B615" s="216" t="n">
        <v>278.6</v>
      </c>
      <c r="C615" s="216" t="n">
        <v>378.99</v>
      </c>
      <c r="D615" s="216" t="n">
        <v>1.16852605342865</v>
      </c>
      <c r="E615" s="215" t="n">
        <v>46289</v>
      </c>
      <c r="F615" s="215" t="n">
        <v>46289</v>
      </c>
    </row>
    <row r="616">
      <c r="A616" s="215" t="n">
        <v>46290</v>
      </c>
      <c r="B616" s="216" t="n">
        <v>273.8</v>
      </c>
      <c r="C616" s="216" t="n">
        <v>378.99</v>
      </c>
      <c r="D616" s="216" t="n">
        <v>1.168424010276794</v>
      </c>
      <c r="E616" s="215" t="n">
        <v>46289</v>
      </c>
      <c r="F616" s="215" t="n">
        <v>46290</v>
      </c>
    </row>
    <row r="617">
      <c r="A617" s="215" t="n">
        <v>46293</v>
      </c>
      <c r="B617" s="216" t="n">
        <v>266</v>
      </c>
      <c r="C617" s="216" t="n">
        <v>350.31</v>
      </c>
      <c r="D617" s="216" t="n">
        <v>1.168378949165344</v>
      </c>
      <c r="E617" s="215" t="n">
        <v>46293</v>
      </c>
      <c r="F617" s="215" t="n">
        <v>46293</v>
      </c>
    </row>
    <row r="618">
      <c r="A618" s="215" t="n">
        <v>46294</v>
      </c>
      <c r="B618" s="216" t="n">
        <v>277</v>
      </c>
      <c r="C618" s="216" t="n">
        <v>348.72</v>
      </c>
      <c r="D618" s="216" t="n">
        <v>1.168815970420837</v>
      </c>
      <c r="E618" s="215" t="n">
        <v>46294</v>
      </c>
      <c r="F618" s="215" t="n">
        <v>46294</v>
      </c>
    </row>
    <row r="619">
      <c r="A619" s="215" t="n">
        <v>46295</v>
      </c>
      <c r="B619" s="216" t="n">
        <v>259.4</v>
      </c>
      <c r="C619" s="216" t="n">
        <v>341</v>
      </c>
      <c r="D619" s="216" t="n">
        <v>1.17059600353241</v>
      </c>
      <c r="E619" s="215" t="n">
        <v>46295</v>
      </c>
      <c r="F619" s="215" t="n">
        <v>46295</v>
      </c>
    </row>
    <row r="620">
      <c r="A620" s="215" t="n">
        <v>46297</v>
      </c>
      <c r="B620" s="216" t="n">
        <v>260.6</v>
      </c>
      <c r="C620" s="216" t="n">
        <v>341</v>
      </c>
      <c r="D620" s="216" t="n">
        <v>1.170220971107483</v>
      </c>
      <c r="E620" s="215" t="n">
        <v>46295</v>
      </c>
      <c r="F620" s="215" t="n">
        <v>46297</v>
      </c>
    </row>
    <row r="621">
      <c r="A621" s="215" t="n">
        <v>46090</v>
      </c>
      <c r="B621" s="216" t="n">
        <v>12.9</v>
      </c>
      <c r="C621" s="216" t="n">
        <v>21.88</v>
      </c>
      <c r="D621" s="216" t="n">
        <v>1.133231043815613</v>
      </c>
      <c r="E621" s="215" t="n">
        <v>46090</v>
      </c>
      <c r="F621" s="215" t="n">
        <v>46090</v>
      </c>
    </row>
    <row r="622">
      <c r="A622" s="215" t="n">
        <v>46091</v>
      </c>
      <c r="B622" s="216" t="n">
        <v>13.33</v>
      </c>
      <c r="C622" s="216" t="n">
        <v>22.34</v>
      </c>
      <c r="D622" s="216" t="n">
        <v>1.131595015525818</v>
      </c>
      <c r="E622" s="215" t="n">
        <v>46091</v>
      </c>
      <c r="F622" s="215" t="n">
        <v>46091</v>
      </c>
    </row>
    <row r="623">
      <c r="A623" s="215" t="n">
        <v>46092</v>
      </c>
      <c r="B623" s="216" t="n">
        <v>14.06</v>
      </c>
      <c r="C623" s="216" t="n">
        <v>22.35</v>
      </c>
      <c r="D623" s="216" t="n">
        <v>1.137585043907166</v>
      </c>
      <c r="E623" s="215" t="n">
        <v>46092</v>
      </c>
      <c r="F623" s="215" t="n">
        <v>46092</v>
      </c>
    </row>
    <row r="624">
      <c r="A624" s="215" t="n">
        <v>46093</v>
      </c>
      <c r="B624" s="216" t="n">
        <v>13.61</v>
      </c>
      <c r="C624" s="216" t="n">
        <v>22.01</v>
      </c>
      <c r="D624" s="216" t="n">
        <v>1.139600038528442</v>
      </c>
      <c r="E624" s="215" t="n">
        <v>46093</v>
      </c>
      <c r="F624" s="215" t="n">
        <v>46093</v>
      </c>
    </row>
    <row r="625">
      <c r="A625" s="215" t="n">
        <v>46094</v>
      </c>
      <c r="B625" s="216" t="n">
        <v>12.9</v>
      </c>
      <c r="C625" s="216" t="n">
        <v>21.94</v>
      </c>
      <c r="D625" s="216" t="n">
        <v>1.139310002326965</v>
      </c>
      <c r="E625" s="215" t="n">
        <v>46094</v>
      </c>
      <c r="F625" s="215" t="n">
        <v>46094</v>
      </c>
    </row>
    <row r="626">
      <c r="A626" s="215" t="n">
        <v>46097</v>
      </c>
      <c r="B626" s="216" t="n">
        <v>12.84</v>
      </c>
      <c r="C626" s="216" t="n">
        <v>21.94</v>
      </c>
      <c r="D626" s="216" t="n">
        <v>1.134883999824524</v>
      </c>
      <c r="E626" s="215" t="n">
        <v>46097</v>
      </c>
      <c r="F626" s="215" t="n">
        <v>46097</v>
      </c>
    </row>
    <row r="627">
      <c r="A627" s="215" t="n">
        <v>46098</v>
      </c>
      <c r="B627" s="216" t="n">
        <v>12.68</v>
      </c>
      <c r="C627" s="216" t="n">
        <v>21.82</v>
      </c>
      <c r="D627" s="216" t="n">
        <v>1.125375986099243</v>
      </c>
      <c r="E627" s="215" t="n">
        <v>46098</v>
      </c>
      <c r="F627" s="215" t="n">
        <v>46098</v>
      </c>
    </row>
    <row r="628">
      <c r="A628" s="215" t="n">
        <v>46099</v>
      </c>
      <c r="B628" s="216" t="n">
        <v>12.57</v>
      </c>
      <c r="C628" s="216" t="n">
        <v>21.71</v>
      </c>
      <c r="D628" s="216" t="n">
        <v>1.137819051742554</v>
      </c>
      <c r="E628" s="215" t="n">
        <v>46099</v>
      </c>
      <c r="F628" s="215" t="n">
        <v>46099</v>
      </c>
    </row>
    <row r="629">
      <c r="A629" s="215" t="n">
        <v>46100</v>
      </c>
      <c r="B629" s="216" t="n">
        <v>12.31</v>
      </c>
      <c r="C629" s="216" t="n">
        <v>21</v>
      </c>
      <c r="D629" s="216" t="n">
        <v>1.140079021453857</v>
      </c>
      <c r="E629" s="215" t="n">
        <v>46100</v>
      </c>
      <c r="F629" s="215" t="n">
        <v>46100</v>
      </c>
    </row>
    <row r="630">
      <c r="A630" s="215" t="n">
        <v>46101</v>
      </c>
      <c r="B630" s="216" t="n">
        <v>12.39</v>
      </c>
      <c r="C630" s="216" t="n">
        <v>20.42</v>
      </c>
      <c r="D630" s="216" t="n">
        <v>1.13490903377533</v>
      </c>
      <c r="E630" s="215" t="n">
        <v>46101</v>
      </c>
      <c r="F630" s="215" t="n">
        <v>46101</v>
      </c>
    </row>
    <row r="631">
      <c r="A631" s="215" t="n">
        <v>46104</v>
      </c>
      <c r="B631" s="216" t="n">
        <v>13</v>
      </c>
      <c r="C631" s="216" t="n">
        <v>19.78</v>
      </c>
      <c r="D631" s="216" t="n">
        <v>1.137529969215393</v>
      </c>
      <c r="E631" s="215" t="n">
        <v>46104</v>
      </c>
      <c r="F631" s="215" t="n">
        <v>46104</v>
      </c>
    </row>
    <row r="632">
      <c r="A632" s="215" t="n">
        <v>46105</v>
      </c>
      <c r="B632" s="216" t="n">
        <v>12.15</v>
      </c>
      <c r="C632" s="216" t="n">
        <v>20.01</v>
      </c>
      <c r="D632" s="216" t="n">
        <v>1.138481974601746</v>
      </c>
      <c r="E632" s="215" t="n">
        <v>46105</v>
      </c>
      <c r="F632" s="215" t="n">
        <v>46105</v>
      </c>
    </row>
    <row r="633">
      <c r="A633" s="215" t="n">
        <v>46106</v>
      </c>
      <c r="B633" s="216" t="n">
        <v>11.73</v>
      </c>
      <c r="C633" s="216" t="n">
        <v>20.28</v>
      </c>
      <c r="D633" s="216" t="n">
        <v>1.135548949241638</v>
      </c>
      <c r="E633" s="215" t="n">
        <v>46106</v>
      </c>
      <c r="F633" s="215" t="n">
        <v>46106</v>
      </c>
    </row>
    <row r="634">
      <c r="A634" s="215" t="n">
        <v>46107</v>
      </c>
      <c r="B634" s="216" t="n">
        <v>11.45</v>
      </c>
      <c r="C634" s="216" t="n">
        <v>20.09</v>
      </c>
      <c r="D634" s="216" t="n">
        <v>1.132627010345459</v>
      </c>
      <c r="E634" s="215" t="n">
        <v>46107</v>
      </c>
      <c r="F634" s="215" t="n">
        <v>46107</v>
      </c>
    </row>
    <row r="635">
      <c r="A635" s="215" t="n">
        <v>46108</v>
      </c>
      <c r="B635" s="216" t="n">
        <v>12.03</v>
      </c>
      <c r="C635" s="216" t="n">
        <v>20.13</v>
      </c>
      <c r="D635" s="216" t="n">
        <v>1.132115960121155</v>
      </c>
      <c r="E635" s="215" t="n">
        <v>46108</v>
      </c>
      <c r="F635" s="215" t="n">
        <v>46108</v>
      </c>
    </row>
    <row r="636">
      <c r="A636" s="215" t="n">
        <v>46111</v>
      </c>
      <c r="B636" s="216" t="n">
        <v>12.09</v>
      </c>
      <c r="C636" s="216" t="n">
        <v>20.13</v>
      </c>
      <c r="D636" s="216" t="n">
        <v>1.13311505317688</v>
      </c>
      <c r="E636" s="215" t="n">
        <v>46111</v>
      </c>
      <c r="F636" s="215" t="n">
        <v>46111</v>
      </c>
    </row>
    <row r="637">
      <c r="A637" s="215" t="n">
        <v>46112</v>
      </c>
      <c r="B637" s="216" t="n">
        <v>11.25</v>
      </c>
      <c r="C637" s="216" t="n">
        <v>20.03</v>
      </c>
      <c r="D637" s="216" t="n">
        <v>1.133540987968445</v>
      </c>
      <c r="E637" s="215" t="n">
        <v>46112</v>
      </c>
      <c r="F637" s="215" t="n">
        <v>46112</v>
      </c>
    </row>
    <row r="638">
      <c r="A638" s="215" t="n">
        <v>46113</v>
      </c>
      <c r="B638" s="216" t="n">
        <v>11.43</v>
      </c>
      <c r="C638" s="216" t="n">
        <v>20.25</v>
      </c>
      <c r="D638" s="216" t="n">
        <v>1.136669993400574</v>
      </c>
      <c r="E638" s="215" t="n">
        <v>46113</v>
      </c>
      <c r="F638" s="215" t="n">
        <v>46113</v>
      </c>
    </row>
    <row r="639">
      <c r="A639" s="215" t="n">
        <v>46114</v>
      </c>
      <c r="B639" s="216" t="n">
        <v>11.86</v>
      </c>
      <c r="C639" s="216" t="n">
        <v>19.78</v>
      </c>
      <c r="D639" s="216" t="n">
        <v>1.140197992324829</v>
      </c>
      <c r="E639" s="215" t="n">
        <v>46114</v>
      </c>
      <c r="F639" s="215" t="n">
        <v>46114</v>
      </c>
    </row>
    <row r="640">
      <c r="A640" s="215" t="n">
        <v>46120</v>
      </c>
      <c r="B640" s="216" t="n">
        <v>12.87</v>
      </c>
      <c r="C640" s="216" t="n">
        <v>20.5</v>
      </c>
      <c r="D640" s="216" t="n">
        <v>1.1423499584198</v>
      </c>
      <c r="E640" s="215" t="n">
        <v>46120</v>
      </c>
      <c r="F640" s="215" t="n">
        <v>46120</v>
      </c>
    </row>
    <row r="641">
      <c r="A641" s="215" t="n">
        <v>46121</v>
      </c>
      <c r="B641" s="216" t="n">
        <v>12.57</v>
      </c>
      <c r="C641" s="216" t="n">
        <v>20.04</v>
      </c>
      <c r="D641" s="216" t="n">
        <v>1.146731972694397</v>
      </c>
      <c r="E641" s="215" t="n">
        <v>46121</v>
      </c>
      <c r="F641" s="215" t="n">
        <v>46121</v>
      </c>
    </row>
    <row r="642">
      <c r="A642" s="215" t="n">
        <v>46122</v>
      </c>
      <c r="B642" s="216" t="n">
        <v>12.79</v>
      </c>
      <c r="C642" s="216" t="n">
        <v>20.47</v>
      </c>
      <c r="D642" s="216" t="n">
        <v>1.146558046340942</v>
      </c>
      <c r="E642" s="215" t="n">
        <v>46122</v>
      </c>
      <c r="F642" s="215" t="n">
        <v>46122</v>
      </c>
    </row>
    <row r="643">
      <c r="A643" s="215" t="n">
        <v>46125</v>
      </c>
      <c r="B643" s="216" t="n">
        <v>13.6</v>
      </c>
      <c r="C643" s="216" t="n">
        <v>20.63</v>
      </c>
      <c r="D643" s="216" t="n">
        <v>1.147117972373962</v>
      </c>
      <c r="E643" s="215" t="n">
        <v>46125</v>
      </c>
      <c r="F643" s="215" t="n">
        <v>46125</v>
      </c>
    </row>
    <row r="644">
      <c r="A644" s="215" t="n">
        <v>46126</v>
      </c>
      <c r="B644" s="216" t="n">
        <v>13.28</v>
      </c>
      <c r="C644" s="216" t="n">
        <v>20.91</v>
      </c>
      <c r="D644" s="216" t="n">
        <v>1.146226048469543</v>
      </c>
      <c r="E644" s="215" t="n">
        <v>46126</v>
      </c>
      <c r="F644" s="215" t="n">
        <v>46126</v>
      </c>
    </row>
    <row r="645">
      <c r="A645" s="215" t="n">
        <v>46127</v>
      </c>
      <c r="B645" s="216" t="n">
        <v>12.94</v>
      </c>
      <c r="C645" s="216" t="n">
        <v>20.72</v>
      </c>
      <c r="D645" s="216" t="n">
        <v>1.149266004562378</v>
      </c>
      <c r="E645" s="215" t="n">
        <v>46127</v>
      </c>
      <c r="F645" s="215" t="n">
        <v>46127</v>
      </c>
    </row>
    <row r="646">
      <c r="A646" s="215" t="n">
        <v>46128</v>
      </c>
      <c r="B646" s="216" t="n">
        <v>13.1</v>
      </c>
      <c r="C646" s="216" t="n">
        <v>20.97</v>
      </c>
      <c r="D646" s="216" t="n">
        <v>1.148550033569336</v>
      </c>
      <c r="E646" s="215" t="n">
        <v>46128</v>
      </c>
      <c r="F646" s="215" t="n">
        <v>46128</v>
      </c>
    </row>
    <row r="647">
      <c r="A647" s="215" t="n">
        <v>46129</v>
      </c>
      <c r="B647" s="216" t="n">
        <v>13.37</v>
      </c>
      <c r="C647" s="216" t="n">
        <v>21.37</v>
      </c>
      <c r="D647" s="216" t="n">
        <v>1.146605014801025</v>
      </c>
      <c r="E647" s="215" t="n">
        <v>46129</v>
      </c>
      <c r="F647" s="215" t="n">
        <v>46129</v>
      </c>
    </row>
    <row r="648">
      <c r="A648" s="215" t="n">
        <v>46132</v>
      </c>
      <c r="B648" s="216" t="n">
        <v>13.02</v>
      </c>
      <c r="C648" s="216" t="n">
        <v>21.43</v>
      </c>
      <c r="D648" s="216" t="n">
        <v>1.148360967636108</v>
      </c>
      <c r="E648" s="215" t="n">
        <v>46132</v>
      </c>
      <c r="F648" s="215" t="n">
        <v>46132</v>
      </c>
    </row>
    <row r="649">
      <c r="A649" s="215" t="n">
        <v>46133</v>
      </c>
      <c r="B649" s="216" t="n">
        <v>12.63</v>
      </c>
      <c r="C649" s="216" t="n">
        <v>21.18</v>
      </c>
      <c r="D649" s="216" t="n">
        <v>1.148368000984192</v>
      </c>
      <c r="E649" s="215" t="n">
        <v>46133</v>
      </c>
      <c r="F649" s="215" t="n">
        <v>46133</v>
      </c>
    </row>
    <row r="650">
      <c r="A650" s="215" t="n">
        <v>46134</v>
      </c>
      <c r="B650" s="216" t="n">
        <v>12.6</v>
      </c>
      <c r="C650" s="216" t="n">
        <v>21.18</v>
      </c>
      <c r="D650" s="216" t="n">
        <v>1.147838950157166</v>
      </c>
      <c r="E650" s="215" t="n">
        <v>46134</v>
      </c>
      <c r="F650" s="215" t="n">
        <v>46134</v>
      </c>
    </row>
    <row r="651">
      <c r="A651" s="215" t="n">
        <v>46135</v>
      </c>
      <c r="B651" s="216" t="n">
        <v>12.36</v>
      </c>
      <c r="C651" s="216" t="n">
        <v>20.87</v>
      </c>
      <c r="D651" s="216" t="n">
        <v>1.147513031959534</v>
      </c>
      <c r="E651" s="215" t="n">
        <v>46135</v>
      </c>
      <c r="F651" s="215" t="n">
        <v>46135</v>
      </c>
    </row>
    <row r="652">
      <c r="A652" s="215" t="n">
        <v>46136</v>
      </c>
      <c r="B652" s="216" t="n">
        <v>12.19</v>
      </c>
      <c r="C652" s="216" t="n">
        <v>20.62</v>
      </c>
      <c r="D652" s="216" t="n">
        <v>1.147369027137756</v>
      </c>
      <c r="E652" s="215" t="n">
        <v>46136</v>
      </c>
      <c r="F652" s="215" t="n">
        <v>46136</v>
      </c>
    </row>
    <row r="653">
      <c r="A653" s="215" t="n">
        <v>46139</v>
      </c>
      <c r="B653" s="216" t="n">
        <v>12.58</v>
      </c>
      <c r="C653" s="216" t="n">
        <v>20.95</v>
      </c>
      <c r="D653" s="216" t="n">
        <v>1.146002054214478</v>
      </c>
      <c r="E653" s="215" t="n">
        <v>46139</v>
      </c>
      <c r="F653" s="215" t="n">
        <v>46139</v>
      </c>
    </row>
    <row r="654">
      <c r="A654" s="215" t="n">
        <v>46140</v>
      </c>
      <c r="B654" s="216" t="n">
        <v>11.96</v>
      </c>
      <c r="C654" s="216" t="n">
        <v>20.38</v>
      </c>
      <c r="D654" s="216" t="n">
        <v>1.148522019386292</v>
      </c>
      <c r="E654" s="215" t="n">
        <v>46140</v>
      </c>
      <c r="F654" s="215" t="n">
        <v>46140</v>
      </c>
    </row>
    <row r="655">
      <c r="A655" s="215" t="n">
        <v>46141</v>
      </c>
      <c r="B655" s="216" t="n">
        <v>12.39</v>
      </c>
      <c r="C655" s="216" t="n">
        <v>20.8</v>
      </c>
      <c r="D655" s="216" t="n">
        <v>1.145936012268066</v>
      </c>
      <c r="E655" s="215" t="n">
        <v>46141</v>
      </c>
      <c r="F655" s="215" t="n">
        <v>46141</v>
      </c>
    </row>
    <row r="656">
      <c r="A656" s="215" t="n">
        <v>46142</v>
      </c>
      <c r="B656" s="216" t="n">
        <v>12.83</v>
      </c>
      <c r="C656" s="216" t="n">
        <v>21.87</v>
      </c>
      <c r="D656" s="216" t="n">
        <v>1.145792007446289</v>
      </c>
      <c r="E656" s="215" t="n">
        <v>46142</v>
      </c>
      <c r="F656" s="215" t="n">
        <v>46142</v>
      </c>
    </row>
    <row r="657">
      <c r="A657" s="215" t="n">
        <v>46146</v>
      </c>
      <c r="B657" s="216" t="n">
        <v>13.67</v>
      </c>
      <c r="C657" s="216" t="n">
        <v>21.87</v>
      </c>
      <c r="D657" s="216" t="n">
        <v>1.147340059280396</v>
      </c>
      <c r="E657" s="215" t="n">
        <v>46142</v>
      </c>
      <c r="F657" s="215" t="n">
        <v>46146</v>
      </c>
    </row>
    <row r="658">
      <c r="A658" s="215" t="n">
        <v>46147</v>
      </c>
      <c r="B658" s="216" t="n">
        <v>13.29</v>
      </c>
      <c r="C658" s="216" t="n">
        <v>21.87</v>
      </c>
      <c r="D658" s="216" t="n">
        <v>1.146813988685608</v>
      </c>
      <c r="E658" s="215" t="n">
        <v>46142</v>
      </c>
      <c r="F658" s="215" t="n">
        <v>46147</v>
      </c>
    </row>
    <row r="659">
      <c r="A659" s="215" t="n">
        <v>46148</v>
      </c>
      <c r="B659" s="216" t="n">
        <v>13.8</v>
      </c>
      <c r="C659" s="216" t="n">
        <v>22.83</v>
      </c>
      <c r="D659" s="216" t="n">
        <v>1.14708399772644</v>
      </c>
      <c r="E659" s="215" t="n">
        <v>46148</v>
      </c>
      <c r="F659" s="215" t="n">
        <v>46148</v>
      </c>
    </row>
    <row r="660">
      <c r="A660" s="215" t="n">
        <v>46149</v>
      </c>
      <c r="B660" s="216" t="n">
        <v>14.64</v>
      </c>
      <c r="C660" s="216" t="n">
        <v>23.46</v>
      </c>
      <c r="D660" s="216" t="n">
        <v>1.150125026702881</v>
      </c>
      <c r="E660" s="215" t="n">
        <v>46149</v>
      </c>
      <c r="F660" s="215" t="n">
        <v>46149</v>
      </c>
    </row>
    <row r="661">
      <c r="A661" s="215" t="n">
        <v>46150</v>
      </c>
      <c r="B661" s="216" t="n">
        <v>14.7</v>
      </c>
      <c r="C661" s="216" t="n">
        <v>24.08</v>
      </c>
      <c r="D661" s="216" t="n">
        <v>1.15172004699707</v>
      </c>
      <c r="E661" s="215" t="n">
        <v>46150</v>
      </c>
      <c r="F661" s="215" t="n">
        <v>46150</v>
      </c>
    </row>
    <row r="662">
      <c r="A662" s="215" t="n">
        <v>46153</v>
      </c>
      <c r="B662" s="216" t="n">
        <v>15.01</v>
      </c>
      <c r="C662" s="216" t="n">
        <v>24.23</v>
      </c>
      <c r="D662" s="216" t="n">
        <v>1.151090025901794</v>
      </c>
      <c r="E662" s="215" t="n">
        <v>46153</v>
      </c>
      <c r="F662" s="215" t="n">
        <v>46153</v>
      </c>
    </row>
    <row r="663">
      <c r="A663" s="215" t="n">
        <v>46154</v>
      </c>
      <c r="B663" s="216" t="n">
        <v>14.88</v>
      </c>
      <c r="C663" s="216" t="n">
        <v>24.57</v>
      </c>
      <c r="D663" s="216" t="n">
        <v>1.152078986167908</v>
      </c>
      <c r="E663" s="215" t="n">
        <v>46154</v>
      </c>
      <c r="F663" s="215" t="n">
        <v>46154</v>
      </c>
    </row>
    <row r="664">
      <c r="A664" s="215" t="n">
        <v>46155</v>
      </c>
      <c r="B664" s="216" t="n">
        <v>14.6</v>
      </c>
      <c r="C664" s="216" t="n">
        <v>24.2</v>
      </c>
      <c r="D664" s="216" t="n">
        <v>1.152537941932678</v>
      </c>
      <c r="E664" s="215" t="n">
        <v>46155</v>
      </c>
      <c r="F664" s="215" t="n">
        <v>46155</v>
      </c>
    </row>
    <row r="665">
      <c r="A665" s="215" t="n">
        <v>46156</v>
      </c>
      <c r="B665" s="216" t="n">
        <v>14.27</v>
      </c>
      <c r="C665" s="216" t="n">
        <v>23.74</v>
      </c>
      <c r="D665" s="216" t="n">
        <v>1.152662992477417</v>
      </c>
      <c r="E665" s="215" t="n">
        <v>46156</v>
      </c>
      <c r="F665" s="215" t="n">
        <v>46156</v>
      </c>
    </row>
    <row r="666">
      <c r="A666" s="215" t="n">
        <v>46157</v>
      </c>
      <c r="B666" s="216" t="n">
        <v>15.24</v>
      </c>
      <c r="C666" s="216" t="n">
        <v>25.43</v>
      </c>
      <c r="D666" s="216" t="n">
        <v>1.154320001602173</v>
      </c>
      <c r="E666" s="215" t="n">
        <v>46157</v>
      </c>
      <c r="F666" s="215" t="n">
        <v>46157</v>
      </c>
    </row>
    <row r="667">
      <c r="A667" s="215" t="n">
        <v>46160</v>
      </c>
      <c r="B667" s="216" t="n">
        <v>15.3</v>
      </c>
      <c r="C667" s="216" t="n">
        <v>26.07</v>
      </c>
      <c r="D667" s="216" t="n">
        <v>1.149821996688843</v>
      </c>
      <c r="E667" s="215" t="n">
        <v>46160</v>
      </c>
      <c r="F667" s="215" t="n">
        <v>46160</v>
      </c>
    </row>
    <row r="668">
      <c r="A668" s="215" t="n">
        <v>46161</v>
      </c>
      <c r="B668" s="216" t="n">
        <v>15.51</v>
      </c>
      <c r="C668" s="216" t="n">
        <v>26.86</v>
      </c>
      <c r="D668" s="216" t="n">
        <v>1.151532053947449</v>
      </c>
      <c r="E668" s="215" t="n">
        <v>46161</v>
      </c>
      <c r="F668" s="215" t="n">
        <v>46161</v>
      </c>
    </row>
    <row r="669">
      <c r="A669" s="215" t="n">
        <v>46162</v>
      </c>
      <c r="B669" s="216" t="n">
        <v>14.38</v>
      </c>
      <c r="C669" s="216" t="n">
        <v>26.1</v>
      </c>
      <c r="D669" s="216" t="n">
        <v>1.149292945861816</v>
      </c>
      <c r="E669" s="215" t="n">
        <v>46162</v>
      </c>
      <c r="F669" s="215" t="n">
        <v>46162</v>
      </c>
    </row>
    <row r="670">
      <c r="A670" s="215" t="n">
        <v>46163</v>
      </c>
      <c r="B670" s="216" t="n">
        <v>15.9</v>
      </c>
      <c r="C670" s="216" t="n">
        <v>28.7</v>
      </c>
      <c r="D670" s="216" t="n">
        <v>1.151231050491333</v>
      </c>
      <c r="E670" s="215" t="n">
        <v>46163</v>
      </c>
      <c r="F670" s="215" t="n">
        <v>46163</v>
      </c>
    </row>
    <row r="671">
      <c r="A671" s="215" t="n">
        <v>46164</v>
      </c>
      <c r="B671" s="216" t="n">
        <v>16.59</v>
      </c>
      <c r="C671" s="216" t="n">
        <v>29.07</v>
      </c>
      <c r="D671" s="216" t="n">
        <v>1.151487946510315</v>
      </c>
      <c r="E671" s="215" t="n">
        <v>46164</v>
      </c>
      <c r="F671" s="215" t="n">
        <v>46164</v>
      </c>
    </row>
    <row r="672">
      <c r="A672" s="215" t="n">
        <v>46168</v>
      </c>
      <c r="B672" s="216" t="n">
        <v>19.93</v>
      </c>
      <c r="C672" s="216" t="n">
        <v>30.03</v>
      </c>
      <c r="D672" s="216" t="n">
        <v>1.152968049049377</v>
      </c>
      <c r="E672" s="215" t="n">
        <v>46168</v>
      </c>
      <c r="F672" s="215" t="n">
        <v>46168</v>
      </c>
    </row>
    <row r="673">
      <c r="A673" s="215" t="n">
        <v>46169</v>
      </c>
      <c r="B673" s="216" t="n">
        <v>18.64</v>
      </c>
      <c r="C673" s="216" t="n">
        <v>28.43</v>
      </c>
      <c r="D673" s="216" t="n">
        <v>1.154562950134277</v>
      </c>
      <c r="E673" s="215" t="n">
        <v>46169</v>
      </c>
      <c r="F673" s="215" t="n">
        <v>46169</v>
      </c>
    </row>
    <row r="674">
      <c r="A674" s="215" t="n">
        <v>46170</v>
      </c>
      <c r="B674" s="216" t="n">
        <v>18.14</v>
      </c>
      <c r="C674" s="216" t="n">
        <v>28.32</v>
      </c>
      <c r="D674" s="216" t="n">
        <v>1.155385971069336</v>
      </c>
      <c r="E674" s="215" t="n">
        <v>46170</v>
      </c>
      <c r="F674" s="215" t="n">
        <v>46170</v>
      </c>
    </row>
    <row r="675">
      <c r="A675" s="215" t="n">
        <v>46171</v>
      </c>
      <c r="B675" s="216" t="n">
        <v>16.84</v>
      </c>
      <c r="C675" s="216" t="n">
        <v>27.72</v>
      </c>
      <c r="D675" s="216" t="n">
        <v>1.155282974243164</v>
      </c>
      <c r="E675" s="215" t="n">
        <v>46171</v>
      </c>
      <c r="F675" s="215" t="n">
        <v>46171</v>
      </c>
    </row>
    <row r="676">
      <c r="A676" s="215" t="n">
        <v>46174</v>
      </c>
      <c r="B676" s="216" t="n">
        <v>16.33</v>
      </c>
      <c r="C676" s="216" t="n">
        <v>26.77</v>
      </c>
      <c r="D676" s="216" t="n">
        <v>1.158049941062927</v>
      </c>
      <c r="E676" s="215" t="n">
        <v>46174</v>
      </c>
      <c r="F676" s="215" t="n">
        <v>46174</v>
      </c>
    </row>
    <row r="677">
      <c r="A677" s="215" t="n">
        <v>46175</v>
      </c>
      <c r="B677" s="216" t="n">
        <v>16.62</v>
      </c>
      <c r="C677" s="216" t="n">
        <v>26.96</v>
      </c>
      <c r="D677" s="216" t="n">
        <v>1.158406972885132</v>
      </c>
      <c r="E677" s="215" t="n">
        <v>46175</v>
      </c>
      <c r="F677" s="215" t="n">
        <v>46175</v>
      </c>
    </row>
    <row r="678">
      <c r="A678" s="215" t="n">
        <v>46176</v>
      </c>
      <c r="B678" s="216" t="n">
        <v>17.16</v>
      </c>
      <c r="C678" s="216" t="n">
        <v>29.04</v>
      </c>
      <c r="D678" s="216" t="n">
        <v>1.15879499912262</v>
      </c>
      <c r="E678" s="215" t="n">
        <v>46176</v>
      </c>
      <c r="F678" s="215" t="n">
        <v>46176</v>
      </c>
    </row>
    <row r="679">
      <c r="A679" s="215" t="n">
        <v>46177</v>
      </c>
      <c r="B679" s="216" t="n">
        <v>16.53</v>
      </c>
      <c r="C679" s="216" t="n">
        <v>29.49</v>
      </c>
      <c r="D679" s="216" t="n">
        <v>1.157420039176941</v>
      </c>
      <c r="E679" s="215" t="n">
        <v>46177</v>
      </c>
      <c r="F679" s="215" t="n">
        <v>46177</v>
      </c>
    </row>
    <row r="680">
      <c r="A680" s="215" t="n">
        <v>46178</v>
      </c>
      <c r="B680" s="216" t="n">
        <v>18.16</v>
      </c>
      <c r="C680" s="216" t="n">
        <v>31.02</v>
      </c>
      <c r="D680" s="216" t="n">
        <v>1.156491994857788</v>
      </c>
      <c r="E680" s="215" t="n">
        <v>46178</v>
      </c>
      <c r="F680" s="215" t="n">
        <v>46178</v>
      </c>
    </row>
    <row r="681">
      <c r="A681" s="215" t="n">
        <v>46181</v>
      </c>
      <c r="B681" s="216" t="n">
        <v>20.4</v>
      </c>
      <c r="C681" s="216" t="n">
        <v>34.12</v>
      </c>
      <c r="D681" s="216" t="n">
        <v>1.157665967941284</v>
      </c>
      <c r="E681" s="215" t="n">
        <v>46181</v>
      </c>
      <c r="F681" s="215" t="n">
        <v>46181</v>
      </c>
    </row>
    <row r="682">
      <c r="A682" s="215" t="n">
        <v>46182</v>
      </c>
      <c r="B682" s="216" t="n">
        <v>21.06</v>
      </c>
      <c r="C682" s="216" t="n">
        <v>37.53</v>
      </c>
      <c r="D682" s="216" t="n">
        <v>1.158027052879333</v>
      </c>
      <c r="E682" s="215" t="n">
        <v>46182</v>
      </c>
      <c r="F682" s="215" t="n">
        <v>46182</v>
      </c>
    </row>
    <row r="683">
      <c r="A683" s="215" t="n">
        <v>46183</v>
      </c>
      <c r="B683" s="216" t="n">
        <v>17.65</v>
      </c>
      <c r="C683" s="216" t="n">
        <v>35.8</v>
      </c>
      <c r="D683" s="216" t="n">
        <v>1.157112002372742</v>
      </c>
      <c r="E683" s="215" t="n">
        <v>46183</v>
      </c>
      <c r="F683" s="215" t="n">
        <v>46183</v>
      </c>
    </row>
    <row r="684">
      <c r="A684" s="215" t="n">
        <v>46184</v>
      </c>
      <c r="B684" s="216" t="n">
        <v>16.63</v>
      </c>
      <c r="C684" s="216" t="n">
        <v>33.35</v>
      </c>
      <c r="D684" s="216" t="n">
        <v>1.156929016113281</v>
      </c>
      <c r="E684" s="215" t="n">
        <v>46184</v>
      </c>
      <c r="F684" s="215" t="n">
        <v>46184</v>
      </c>
    </row>
    <row r="685">
      <c r="A685" s="215" t="n">
        <v>46185</v>
      </c>
      <c r="B685" s="216" t="n">
        <v>17</v>
      </c>
      <c r="C685" s="216" t="n">
        <v>32.22</v>
      </c>
      <c r="D685" s="216" t="n">
        <v>1.156345963478088</v>
      </c>
      <c r="E685" s="215" t="n">
        <v>46185</v>
      </c>
      <c r="F685" s="215" t="n">
        <v>46185</v>
      </c>
    </row>
    <row r="686">
      <c r="A686" s="215" t="n">
        <v>46188</v>
      </c>
      <c r="B686" s="216" t="n">
        <v>18.15</v>
      </c>
      <c r="C686" s="216" t="n">
        <v>33.23</v>
      </c>
      <c r="D686" s="216" t="n">
        <v>1.156880021095276</v>
      </c>
      <c r="E686" s="215" t="n">
        <v>46188</v>
      </c>
      <c r="F686" s="215" t="n">
        <v>46188</v>
      </c>
    </row>
    <row r="687">
      <c r="A687" s="215" t="n">
        <v>46189</v>
      </c>
      <c r="B687" s="216" t="n">
        <v>18.43</v>
      </c>
      <c r="C687" s="216" t="n">
        <v>33.9</v>
      </c>
      <c r="D687" s="216" t="n">
        <v>1.158604025840759</v>
      </c>
      <c r="E687" s="215" t="n">
        <v>46189</v>
      </c>
      <c r="F687" s="215" t="n">
        <v>46189</v>
      </c>
    </row>
    <row r="688">
      <c r="A688" s="215" t="n">
        <v>46190</v>
      </c>
      <c r="B688" s="216" t="n">
        <v>18.62</v>
      </c>
      <c r="C688" s="216" t="n">
        <v>33.18</v>
      </c>
      <c r="D688" s="216" t="n">
        <v>1.158974051475525</v>
      </c>
      <c r="E688" s="215" t="n">
        <v>46190</v>
      </c>
      <c r="F688" s="215" t="n">
        <v>46190</v>
      </c>
    </row>
    <row r="689">
      <c r="A689" s="215" t="n">
        <v>46191</v>
      </c>
      <c r="B689" s="216" t="n">
        <v>21</v>
      </c>
      <c r="C689" s="216" t="n">
        <v>36.5</v>
      </c>
      <c r="D689" s="216" t="n">
        <v>1.159355998039246</v>
      </c>
      <c r="E689" s="215" t="n">
        <v>46191</v>
      </c>
      <c r="F689" s="215" t="n">
        <v>46191</v>
      </c>
    </row>
    <row r="690">
      <c r="A690" s="215" t="n">
        <v>46195</v>
      </c>
      <c r="B690" s="216" t="n">
        <v>19.79</v>
      </c>
      <c r="C690" s="216" t="n">
        <v>37.19</v>
      </c>
      <c r="D690" s="216" t="n">
        <v>1.157493948936462</v>
      </c>
      <c r="E690" s="215" t="n">
        <v>46195</v>
      </c>
      <c r="F690" s="215" t="n">
        <v>46195</v>
      </c>
    </row>
    <row r="691">
      <c r="A691" s="215" t="n">
        <v>46196</v>
      </c>
      <c r="B691" s="216" t="n">
        <v>19.68</v>
      </c>
      <c r="C691" s="216" t="n">
        <v>38.25</v>
      </c>
      <c r="D691" s="216" t="n">
        <v>1.156896948814392</v>
      </c>
      <c r="E691" s="215" t="n">
        <v>46196</v>
      </c>
      <c r="F691" s="215" t="n">
        <v>46196</v>
      </c>
    </row>
    <row r="692">
      <c r="A692" s="215" t="n">
        <v>46197</v>
      </c>
      <c r="B692" s="216" t="n">
        <v>19.05</v>
      </c>
      <c r="C692" s="216" t="n">
        <v>37.62</v>
      </c>
      <c r="D692" s="216" t="n">
        <v>1.154508948326111</v>
      </c>
      <c r="E692" s="215" t="n">
        <v>46197</v>
      </c>
      <c r="F692" s="215" t="n">
        <v>46197</v>
      </c>
    </row>
    <row r="693">
      <c r="A693" s="215" t="n">
        <v>46198</v>
      </c>
      <c r="B693" s="216" t="n">
        <v>18.2</v>
      </c>
      <c r="C693" s="216" t="n">
        <v>36.87</v>
      </c>
      <c r="D693" s="216" t="n">
        <v>1.154152035713196</v>
      </c>
      <c r="E693" s="215" t="n">
        <v>46198</v>
      </c>
      <c r="F693" s="215" t="n">
        <v>46198</v>
      </c>
    </row>
    <row r="694">
      <c r="A694" s="215" t="n">
        <v>46199</v>
      </c>
      <c r="B694" s="216" t="n">
        <v>17.48</v>
      </c>
      <c r="C694" s="216" t="n">
        <v>34.67</v>
      </c>
      <c r="D694" s="216" t="n">
        <v>1.154500961303711</v>
      </c>
      <c r="E694" s="215" t="n">
        <v>46199</v>
      </c>
      <c r="F694" s="215" t="n">
        <v>46199</v>
      </c>
    </row>
    <row r="695">
      <c r="A695" s="215" t="n">
        <v>46202</v>
      </c>
      <c r="B695" s="216" t="n">
        <v>17</v>
      </c>
      <c r="C695" s="216" t="n">
        <v>33.94</v>
      </c>
      <c r="D695" s="216" t="n">
        <v>1.153512001037598</v>
      </c>
      <c r="E695" s="215" t="n">
        <v>46202</v>
      </c>
      <c r="F695" s="215" t="n">
        <v>46202</v>
      </c>
    </row>
    <row r="696">
      <c r="A696" s="215" t="n">
        <v>46203</v>
      </c>
      <c r="B696" s="216" t="n">
        <v>18.68</v>
      </c>
      <c r="C696" s="216" t="n">
        <v>37.33</v>
      </c>
      <c r="D696" s="216" t="n">
        <v>1.153959035873413</v>
      </c>
      <c r="E696" s="215" t="n">
        <v>46203</v>
      </c>
      <c r="F696" s="215" t="n">
        <v>46203</v>
      </c>
    </row>
    <row r="697">
      <c r="A697" s="215" t="n">
        <v>46205</v>
      </c>
      <c r="B697" s="216" t="n">
        <v>19.16</v>
      </c>
      <c r="C697" s="216" t="n">
        <v>40.7</v>
      </c>
      <c r="D697" s="216" t="n">
        <v>1.154355049133301</v>
      </c>
      <c r="E697" s="215" t="n">
        <v>46205</v>
      </c>
      <c r="F697" s="215" t="n">
        <v>46205</v>
      </c>
    </row>
    <row r="698">
      <c r="A698" s="215" t="n">
        <v>46206</v>
      </c>
      <c r="B698" s="216" t="n">
        <v>25.5</v>
      </c>
      <c r="C698" s="216" t="n">
        <v>44.77</v>
      </c>
      <c r="D698" s="216" t="n">
        <v>1.155220985412598</v>
      </c>
      <c r="E698" s="215" t="n">
        <v>46206</v>
      </c>
      <c r="F698" s="215" t="n">
        <v>46206</v>
      </c>
    </row>
    <row r="699">
      <c r="A699" s="215" t="n">
        <v>46209</v>
      </c>
      <c r="B699" s="216" t="n">
        <v>23.32</v>
      </c>
      <c r="C699" s="216" t="n">
        <v>46.03</v>
      </c>
      <c r="D699" s="216" t="n">
        <v>1.155068039894104</v>
      </c>
      <c r="E699" s="215" t="n">
        <v>46209</v>
      </c>
      <c r="F699" s="215" t="n">
        <v>46209</v>
      </c>
    </row>
    <row r="700">
      <c r="A700" s="215" t="n">
        <v>46210</v>
      </c>
      <c r="B700" s="216" t="n">
        <v>23.6</v>
      </c>
      <c r="C700" s="216" t="n">
        <v>49</v>
      </c>
      <c r="D700" s="216" t="n">
        <v>1.153807997703552</v>
      </c>
      <c r="E700" s="215" t="n">
        <v>46210</v>
      </c>
      <c r="F700" s="215" t="n">
        <v>46210</v>
      </c>
    </row>
    <row r="701">
      <c r="A701" s="215" t="n">
        <v>46211</v>
      </c>
      <c r="B701" s="216" t="n">
        <v>19.27</v>
      </c>
      <c r="C701" s="216" t="n">
        <v>44.1</v>
      </c>
      <c r="D701" s="216" t="n">
        <v>1.154153943061829</v>
      </c>
      <c r="E701" s="215" t="n">
        <v>46211</v>
      </c>
      <c r="F701" s="215" t="n">
        <v>46211</v>
      </c>
    </row>
    <row r="702">
      <c r="A702" s="215" t="n">
        <v>46212</v>
      </c>
      <c r="B702" s="216" t="n">
        <v>20.6</v>
      </c>
      <c r="C702" s="216" t="n">
        <v>41.53</v>
      </c>
      <c r="D702" s="216" t="n">
        <v>1.152119994163513</v>
      </c>
      <c r="E702" s="215" t="n">
        <v>46212</v>
      </c>
      <c r="F702" s="215" t="n">
        <v>46212</v>
      </c>
    </row>
    <row r="703">
      <c r="A703" s="215" t="n">
        <v>46213</v>
      </c>
      <c r="B703" s="216" t="n">
        <v>21.44</v>
      </c>
      <c r="C703" s="216" t="n">
        <v>42.78</v>
      </c>
      <c r="D703" s="216" t="n">
        <v>1.153550028800964</v>
      </c>
      <c r="E703" s="215" t="n">
        <v>46213</v>
      </c>
      <c r="F703" s="215" t="n">
        <v>46213</v>
      </c>
    </row>
    <row r="704">
      <c r="A704" s="215" t="n">
        <v>46216</v>
      </c>
      <c r="B704" s="216" t="n">
        <v>19.6</v>
      </c>
      <c r="C704" s="216" t="n">
        <v>38.5</v>
      </c>
      <c r="D704" s="216" t="n">
        <v>1.156761050224304</v>
      </c>
      <c r="E704" s="215" t="n">
        <v>46216</v>
      </c>
      <c r="F704" s="215" t="n">
        <v>46216</v>
      </c>
    </row>
    <row r="705">
      <c r="A705" s="215" t="n">
        <v>46217</v>
      </c>
      <c r="B705" s="216" t="n">
        <v>20.5</v>
      </c>
      <c r="C705" s="216" t="n">
        <v>38.4</v>
      </c>
      <c r="D705" s="216" t="n">
        <v>1.155825972557068</v>
      </c>
      <c r="E705" s="215" t="n">
        <v>46217</v>
      </c>
      <c r="F705" s="215" t="n">
        <v>46217</v>
      </c>
    </row>
    <row r="706">
      <c r="A706" s="215" t="n">
        <v>46218</v>
      </c>
      <c r="B706" s="216" t="n">
        <v>21.1</v>
      </c>
      <c r="C706" s="216" t="n">
        <v>40.9</v>
      </c>
      <c r="D706" s="216" t="n">
        <v>1.157556056976318</v>
      </c>
      <c r="E706" s="215" t="n">
        <v>46218</v>
      </c>
      <c r="F706" s="215" t="n">
        <v>46218</v>
      </c>
    </row>
    <row r="707">
      <c r="A707" s="215" t="n">
        <v>46219</v>
      </c>
      <c r="B707" s="216" t="n">
        <v>22.7</v>
      </c>
      <c r="C707" s="216" t="n">
        <v>42.43</v>
      </c>
      <c r="D707" s="216" t="n">
        <v>1.157912969589233</v>
      </c>
      <c r="E707" s="215" t="n">
        <v>46219</v>
      </c>
      <c r="F707" s="215" t="n">
        <v>46219</v>
      </c>
    </row>
    <row r="708">
      <c r="A708" s="215" t="n">
        <v>46220</v>
      </c>
      <c r="B708" s="216" t="n">
        <v>19.47</v>
      </c>
      <c r="C708" s="216" t="n">
        <v>38.19</v>
      </c>
      <c r="D708" s="216" t="n">
        <v>1.157472014427185</v>
      </c>
      <c r="E708" s="215" t="n">
        <v>46220</v>
      </c>
      <c r="F708" s="215" t="n">
        <v>46220</v>
      </c>
    </row>
    <row r="709">
      <c r="A709" s="215" t="n">
        <v>46223</v>
      </c>
      <c r="B709" s="216" t="n">
        <v>18.39</v>
      </c>
      <c r="C709" s="216" t="n">
        <v>34.37</v>
      </c>
      <c r="D709" s="216" t="n">
        <v>1.157451033592224</v>
      </c>
      <c r="E709" s="215" t="n">
        <v>46223</v>
      </c>
      <c r="F709" s="215" t="n">
        <v>46223</v>
      </c>
    </row>
    <row r="710">
      <c r="A710" s="215" t="n">
        <v>46224</v>
      </c>
      <c r="B710" s="216" t="n">
        <v>18.73</v>
      </c>
      <c r="C710" s="216" t="n">
        <v>33.43</v>
      </c>
      <c r="D710" s="216" t="n">
        <v>1.157506942749023</v>
      </c>
      <c r="E710" s="215" t="n">
        <v>46224</v>
      </c>
      <c r="F710" s="215" t="n">
        <v>46224</v>
      </c>
    </row>
    <row r="711">
      <c r="A711" s="215" t="n">
        <v>46225</v>
      </c>
      <c r="B711" s="216" t="n">
        <v>19.26</v>
      </c>
      <c r="C711" s="216" t="n">
        <v>32.99</v>
      </c>
      <c r="D711" s="216" t="n">
        <v>1.158938050270081</v>
      </c>
      <c r="E711" s="215" t="n">
        <v>46225</v>
      </c>
      <c r="F711" s="215" t="n">
        <v>46225</v>
      </c>
    </row>
    <row r="712">
      <c r="A712" s="215" t="n">
        <v>46226</v>
      </c>
      <c r="B712" s="216" t="n">
        <v>18.38</v>
      </c>
      <c r="C712" s="216" t="n">
        <v>31.31</v>
      </c>
      <c r="D712" s="216" t="n">
        <v>1.157410979270935</v>
      </c>
      <c r="E712" s="215" t="n">
        <v>46226</v>
      </c>
      <c r="F712" s="215" t="n">
        <v>46226</v>
      </c>
    </row>
    <row r="713">
      <c r="A713" s="215" t="n">
        <v>46227</v>
      </c>
      <c r="B713" s="216" t="n">
        <v>17.58</v>
      </c>
      <c r="C713" s="216" t="n">
        <v>30.04</v>
      </c>
      <c r="D713" s="216" t="n">
        <v>1.15762197971344</v>
      </c>
      <c r="E713" s="215" t="n">
        <v>46227</v>
      </c>
      <c r="F713" s="215" t="n">
        <v>46227</v>
      </c>
    </row>
    <row r="714">
      <c r="A714" s="215" t="n">
        <v>46230</v>
      </c>
      <c r="B714" s="216" t="n">
        <v>18.33</v>
      </c>
      <c r="C714" s="216" t="n">
        <v>31.55</v>
      </c>
      <c r="D714" s="216" t="n">
        <v>1.15789794921875</v>
      </c>
      <c r="E714" s="215" t="n">
        <v>46230</v>
      </c>
      <c r="F714" s="215" t="n">
        <v>46230</v>
      </c>
    </row>
    <row r="715">
      <c r="A715" s="215" t="n">
        <v>46231</v>
      </c>
      <c r="B715" s="216" t="n">
        <v>18.17</v>
      </c>
      <c r="C715" s="216" t="n">
        <v>30.34</v>
      </c>
      <c r="D715" s="216" t="n">
        <v>1.158699035644531</v>
      </c>
      <c r="E715" s="215" t="n">
        <v>46231</v>
      </c>
      <c r="F715" s="215" t="n">
        <v>46231</v>
      </c>
    </row>
    <row r="716">
      <c r="A716" s="215" t="n">
        <v>46232</v>
      </c>
      <c r="B716" s="216" t="n">
        <v>18.19</v>
      </c>
      <c r="C716" s="216" t="n">
        <v>31.06</v>
      </c>
      <c r="D716" s="216" t="n">
        <v>1.157909989356995</v>
      </c>
      <c r="E716" s="215" t="n">
        <v>46232</v>
      </c>
      <c r="F716" s="215" t="n">
        <v>46232</v>
      </c>
    </row>
    <row r="717">
      <c r="A717" s="215" t="n">
        <v>46233</v>
      </c>
      <c r="B717" s="216" t="n">
        <v>15.97</v>
      </c>
      <c r="C717" s="216" t="n">
        <v>27.95</v>
      </c>
      <c r="D717" s="216" t="n">
        <v>1.158943057060242</v>
      </c>
      <c r="E717" s="215" t="n">
        <v>46233</v>
      </c>
      <c r="F717" s="215" t="n">
        <v>46233</v>
      </c>
    </row>
    <row r="718">
      <c r="A718" s="215" t="n">
        <v>46234</v>
      </c>
      <c r="B718" s="216" t="n">
        <v>16.8</v>
      </c>
      <c r="C718" s="216" t="n">
        <v>29.74</v>
      </c>
      <c r="D718" s="216" t="n">
        <v>1.160945057868958</v>
      </c>
      <c r="E718" s="215" t="n">
        <v>46234</v>
      </c>
      <c r="F718" s="215" t="n">
        <v>46234</v>
      </c>
    </row>
    <row r="719">
      <c r="A719" s="215" t="n">
        <v>46237</v>
      </c>
      <c r="B719" s="216" t="n">
        <v>17.57</v>
      </c>
      <c r="C719" s="216" t="n">
        <v>30.75</v>
      </c>
      <c r="D719" s="216" t="n">
        <v>1.161579966545105</v>
      </c>
      <c r="E719" s="215" t="n">
        <v>46237</v>
      </c>
      <c r="F719" s="215" t="n">
        <v>46237</v>
      </c>
    </row>
    <row r="720">
      <c r="A720" s="215" t="n">
        <v>46238</v>
      </c>
      <c r="B720" s="216" t="n">
        <v>18.07</v>
      </c>
      <c r="C720" s="216" t="n">
        <v>32.3</v>
      </c>
      <c r="D720" s="216" t="n">
        <v>1.161064982414246</v>
      </c>
      <c r="E720" s="215" t="n">
        <v>46238</v>
      </c>
      <c r="F720" s="215" t="n">
        <v>46238</v>
      </c>
    </row>
    <row r="721">
      <c r="A721" s="215" t="n">
        <v>46239</v>
      </c>
      <c r="B721" s="216" t="n">
        <v>18.84</v>
      </c>
      <c r="C721" s="216" t="n">
        <v>34.27</v>
      </c>
      <c r="D721" s="216" t="n">
        <v>1.161146998405457</v>
      </c>
      <c r="E721" s="215" t="n">
        <v>46239</v>
      </c>
      <c r="F721" s="215" t="n">
        <v>46239</v>
      </c>
    </row>
    <row r="722">
      <c r="A722" s="215" t="n">
        <v>46240</v>
      </c>
      <c r="B722" s="216" t="n">
        <v>18.5</v>
      </c>
      <c r="C722" s="216" t="n">
        <v>34.81</v>
      </c>
      <c r="D722" s="216" t="n">
        <v>1.161936044692993</v>
      </c>
      <c r="E722" s="215" t="n">
        <v>46240</v>
      </c>
      <c r="F722" s="215" t="n">
        <v>46240</v>
      </c>
    </row>
    <row r="723">
      <c r="A723" s="215" t="n">
        <v>46241</v>
      </c>
      <c r="B723" s="216" t="n">
        <v>18.92</v>
      </c>
      <c r="C723" s="216" t="n">
        <v>35.13</v>
      </c>
      <c r="D723" s="216" t="n">
        <v>1.162284016609192</v>
      </c>
      <c r="E723" s="215" t="n">
        <v>46241</v>
      </c>
      <c r="F723" s="215" t="n">
        <v>46241</v>
      </c>
    </row>
    <row r="724">
      <c r="A724" s="215" t="n">
        <v>46244</v>
      </c>
      <c r="B724" s="216" t="n">
        <v>18.37</v>
      </c>
      <c r="C724" s="216" t="n">
        <v>34.63</v>
      </c>
      <c r="D724" s="216" t="n">
        <v>1.162629961967468</v>
      </c>
      <c r="E724" s="215" t="n">
        <v>46244</v>
      </c>
      <c r="F724" s="215" t="n">
        <v>46244</v>
      </c>
    </row>
    <row r="725">
      <c r="A725" s="215" t="n">
        <v>46245</v>
      </c>
      <c r="B725" s="216" t="n">
        <v>19.6</v>
      </c>
      <c r="C725" s="216" t="n">
        <v>36.12</v>
      </c>
      <c r="D725" s="216" t="n">
        <v>1.162588000297546</v>
      </c>
      <c r="E725" s="215" t="n">
        <v>46245</v>
      </c>
      <c r="F725" s="215" t="n">
        <v>46245</v>
      </c>
    </row>
    <row r="726">
      <c r="A726" s="215" t="n">
        <v>46246</v>
      </c>
      <c r="B726" s="216" t="n">
        <v>19</v>
      </c>
      <c r="C726" s="216" t="n">
        <v>34.71</v>
      </c>
      <c r="D726" s="216" t="n">
        <v>1.163135051727295</v>
      </c>
      <c r="E726" s="215" t="n">
        <v>46246</v>
      </c>
      <c r="F726" s="215" t="n">
        <v>46246</v>
      </c>
    </row>
    <row r="727">
      <c r="A727" s="215" t="n">
        <v>46247</v>
      </c>
      <c r="B727" s="216" t="n">
        <v>18.41</v>
      </c>
      <c r="C727" s="216" t="n">
        <v>34.67</v>
      </c>
      <c r="D727" s="216" t="n">
        <v>1.163341045379639</v>
      </c>
      <c r="E727" s="215" t="n">
        <v>46247</v>
      </c>
      <c r="F727" s="215" t="n">
        <v>46247</v>
      </c>
    </row>
    <row r="728">
      <c r="A728" s="215" t="n">
        <v>46248</v>
      </c>
      <c r="B728" s="216" t="n">
        <v>18.22</v>
      </c>
      <c r="C728" s="216" t="n">
        <v>34.75</v>
      </c>
      <c r="D728" s="216" t="n">
        <v>1.163571000099182</v>
      </c>
      <c r="E728" s="215" t="n">
        <v>46248</v>
      </c>
      <c r="F728" s="215" t="n">
        <v>46248</v>
      </c>
    </row>
    <row r="729">
      <c r="A729" s="215" t="n">
        <v>46251</v>
      </c>
      <c r="B729" s="216" t="n">
        <v>19.09</v>
      </c>
      <c r="C729" s="216" t="n">
        <v>36.4</v>
      </c>
      <c r="D729" s="216" t="n">
        <v>1.163601994514465</v>
      </c>
      <c r="E729" s="215" t="n">
        <v>46251</v>
      </c>
      <c r="F729" s="215" t="n">
        <v>46251</v>
      </c>
    </row>
    <row r="730">
      <c r="A730" s="215" t="n">
        <v>46252</v>
      </c>
      <c r="B730" s="216" t="n">
        <v>20.7</v>
      </c>
      <c r="C730" s="216" t="n">
        <v>40.04</v>
      </c>
      <c r="D730" s="216" t="n">
        <v>1.163733005523682</v>
      </c>
      <c r="E730" s="215" t="n">
        <v>46252</v>
      </c>
      <c r="F730" s="215" t="n">
        <v>46252</v>
      </c>
    </row>
    <row r="731">
      <c r="A731" s="215" t="n">
        <v>46253</v>
      </c>
      <c r="B731" s="216" t="n">
        <v>17.76</v>
      </c>
      <c r="C731" s="216" t="n">
        <v>36.04</v>
      </c>
      <c r="D731" s="216" t="n">
        <v>1.163092017173767</v>
      </c>
      <c r="E731" s="215" t="n">
        <v>46253</v>
      </c>
      <c r="F731" s="215" t="n">
        <v>46253</v>
      </c>
    </row>
    <row r="732">
      <c r="A732" s="215" t="n">
        <v>46254</v>
      </c>
      <c r="B732" s="216" t="n">
        <v>17.34</v>
      </c>
      <c r="C732" s="216" t="n">
        <v>32.77</v>
      </c>
      <c r="D732" s="216" t="n">
        <v>1.164932012557983</v>
      </c>
      <c r="E732" s="215" t="n">
        <v>46254</v>
      </c>
      <c r="F732" s="215" t="n">
        <v>46254</v>
      </c>
    </row>
    <row r="733">
      <c r="A733" s="215" t="n">
        <v>46255</v>
      </c>
      <c r="B733" s="216" t="n">
        <v>17.84</v>
      </c>
      <c r="C733" s="216" t="n">
        <v>33.57</v>
      </c>
      <c r="D733" s="216" t="n">
        <v>1.166555047035217</v>
      </c>
      <c r="E733" s="215" t="n">
        <v>46255</v>
      </c>
      <c r="F733" s="215" t="n">
        <v>46255</v>
      </c>
    </row>
    <row r="734">
      <c r="A734" s="215" t="n">
        <v>46258</v>
      </c>
      <c r="B734" s="216" t="n">
        <v>16.8</v>
      </c>
      <c r="C734" s="216" t="n">
        <v>30.82</v>
      </c>
      <c r="D734" s="216" t="n">
        <v>1.166316986083984</v>
      </c>
      <c r="E734" s="215" t="n">
        <v>46258</v>
      </c>
      <c r="F734" s="215" t="n">
        <v>46258</v>
      </c>
    </row>
    <row r="735">
      <c r="A735" s="215" t="n">
        <v>46259</v>
      </c>
      <c r="B735" s="216" t="n">
        <v>17.22</v>
      </c>
      <c r="C735" s="216" t="n">
        <v>31.68</v>
      </c>
      <c r="D735" s="216" t="n">
        <v>1.165253043174744</v>
      </c>
      <c r="E735" s="215" t="n">
        <v>46259</v>
      </c>
      <c r="F735" s="215" t="n">
        <v>46259</v>
      </c>
    </row>
    <row r="736">
      <c r="A736" s="215" t="n">
        <v>46260</v>
      </c>
      <c r="B736" s="216" t="n">
        <v>17.09</v>
      </c>
      <c r="C736" s="216" t="n">
        <v>31.25</v>
      </c>
      <c r="D736" s="216" t="n">
        <v>1.166218996047974</v>
      </c>
      <c r="E736" s="215" t="n">
        <v>46260</v>
      </c>
      <c r="F736" s="215" t="n">
        <v>46260</v>
      </c>
    </row>
    <row r="737">
      <c r="A737" s="215" t="n">
        <v>46261</v>
      </c>
      <c r="B737" s="216" t="n">
        <v>17.4</v>
      </c>
      <c r="C737" s="216" t="n">
        <v>31.81</v>
      </c>
      <c r="D737" s="216" t="n">
        <v>1.165971040725708</v>
      </c>
      <c r="E737" s="215" t="n">
        <v>46261</v>
      </c>
      <c r="F737" s="215" t="n">
        <v>46261</v>
      </c>
    </row>
    <row r="738">
      <c r="A738" s="215" t="n">
        <v>46262</v>
      </c>
      <c r="B738" s="216" t="n">
        <v>17.05</v>
      </c>
      <c r="C738" s="216" t="n">
        <v>31.49</v>
      </c>
      <c r="D738" s="216" t="n">
        <v>1.165799975395203</v>
      </c>
      <c r="E738" s="215" t="n">
        <v>46262</v>
      </c>
      <c r="F738" s="215" t="n">
        <v>46262</v>
      </c>
    </row>
    <row r="739">
      <c r="A739" s="215" t="n">
        <v>46265</v>
      </c>
      <c r="B739" s="216" t="n">
        <v>17.15</v>
      </c>
      <c r="C739" s="216" t="n">
        <v>31.66</v>
      </c>
      <c r="D739" s="216" t="n">
        <v>1.165387988090515</v>
      </c>
      <c r="E739" s="215" t="n">
        <v>46265</v>
      </c>
      <c r="F739" s="215" t="n">
        <v>46265</v>
      </c>
    </row>
    <row r="740">
      <c r="A740" s="215" t="n">
        <v>46266</v>
      </c>
      <c r="B740" s="216" t="n">
        <v>16.8</v>
      </c>
      <c r="C740" s="216" t="n">
        <v>31.01</v>
      </c>
      <c r="D740" s="216" t="n">
        <v>1.165223956108093</v>
      </c>
      <c r="E740" s="215" t="n">
        <v>46266</v>
      </c>
      <c r="F740" s="215" t="n">
        <v>46266</v>
      </c>
    </row>
    <row r="741">
      <c r="A741" s="215" t="n">
        <v>46267</v>
      </c>
      <c r="B741" s="216" t="n">
        <v>16.34</v>
      </c>
      <c r="C741" s="216" t="n">
        <v>30.41</v>
      </c>
      <c r="D741" s="216" t="n">
        <v>1.166425943374634</v>
      </c>
      <c r="E741" s="215" t="n">
        <v>46267</v>
      </c>
      <c r="F741" s="215" t="n">
        <v>46267</v>
      </c>
    </row>
    <row r="742">
      <c r="A742" s="215" t="n">
        <v>46268</v>
      </c>
      <c r="B742" s="216" t="n">
        <v>16.45</v>
      </c>
      <c r="C742" s="216" t="n">
        <v>30.81</v>
      </c>
      <c r="D742" s="216" t="n">
        <v>1.167057037353516</v>
      </c>
      <c r="E742" s="215" t="n">
        <v>46268</v>
      </c>
      <c r="F742" s="215" t="n">
        <v>46268</v>
      </c>
    </row>
    <row r="743">
      <c r="A743" s="215" t="n">
        <v>46269</v>
      </c>
      <c r="B743" s="216" t="n">
        <v>16.08</v>
      </c>
      <c r="C743" s="216" t="n">
        <v>29.88</v>
      </c>
      <c r="D743" s="216" t="n">
        <v>1.166767954826355</v>
      </c>
      <c r="E743" s="215" t="n">
        <v>46269</v>
      </c>
      <c r="F743" s="215" t="n">
        <v>46269</v>
      </c>
    </row>
    <row r="744">
      <c r="A744" s="215" t="n">
        <v>46272</v>
      </c>
      <c r="B744" s="216" t="n">
        <v>16.22</v>
      </c>
      <c r="C744" s="216" t="n">
        <v>30.58</v>
      </c>
      <c r="D744" s="216" t="n">
        <v>1.168081045150757</v>
      </c>
      <c r="E744" s="215" t="n">
        <v>46272</v>
      </c>
      <c r="F744" s="215" t="n">
        <v>46272</v>
      </c>
    </row>
    <row r="745">
      <c r="A745" s="215" t="n">
        <v>46273</v>
      </c>
      <c r="B745" s="216" t="n">
        <v>15.91</v>
      </c>
      <c r="C745" s="216" t="n">
        <v>30.23</v>
      </c>
      <c r="D745" s="216" t="n">
        <v>1.168115019798279</v>
      </c>
      <c r="E745" s="215" t="n">
        <v>46273</v>
      </c>
      <c r="F745" s="215" t="n">
        <v>46273</v>
      </c>
    </row>
    <row r="746">
      <c r="A746" s="215" t="n">
        <v>46274</v>
      </c>
      <c r="B746" s="216" t="n">
        <v>15.24</v>
      </c>
      <c r="C746" s="216" t="n">
        <v>30.06</v>
      </c>
      <c r="D746" s="216" t="n">
        <v>1.168408989906311</v>
      </c>
      <c r="E746" s="215" t="n">
        <v>46274</v>
      </c>
      <c r="F746" s="215" t="n">
        <v>46274</v>
      </c>
    </row>
    <row r="747">
      <c r="A747" s="215" t="n">
        <v>46275</v>
      </c>
      <c r="B747" s="216" t="n">
        <v>14.75</v>
      </c>
      <c r="C747" s="216" t="n">
        <v>29.5</v>
      </c>
      <c r="D747" s="216" t="n">
        <v>1.168462991714478</v>
      </c>
      <c r="E747" s="215" t="n">
        <v>46275</v>
      </c>
      <c r="F747" s="215" t="n">
        <v>46275</v>
      </c>
    </row>
    <row r="748">
      <c r="A748" s="215" t="n">
        <v>46276</v>
      </c>
      <c r="B748" s="216" t="n">
        <v>14.46</v>
      </c>
      <c r="C748" s="216" t="n">
        <v>28.89</v>
      </c>
      <c r="D748" s="216" t="n">
        <v>1.169165015220642</v>
      </c>
      <c r="E748" s="215" t="n">
        <v>46276</v>
      </c>
      <c r="F748" s="215" t="n">
        <v>46276</v>
      </c>
    </row>
    <row r="749">
      <c r="A749" s="215" t="n">
        <v>46279</v>
      </c>
      <c r="B749" s="216" t="n">
        <v>14.42</v>
      </c>
      <c r="C749" s="216" t="n">
        <v>28.96</v>
      </c>
      <c r="D749" s="216" t="n">
        <v>1.16893994808197</v>
      </c>
      <c r="E749" s="215" t="n">
        <v>46279</v>
      </c>
      <c r="F749" s="215" t="n">
        <v>46279</v>
      </c>
    </row>
    <row r="750">
      <c r="A750" s="215" t="n">
        <v>46280</v>
      </c>
      <c r="B750" s="216" t="n">
        <v>14.34</v>
      </c>
      <c r="C750" s="216" t="n">
        <v>28.63</v>
      </c>
      <c r="D750" s="216" t="n">
        <v>1.169121026992798</v>
      </c>
      <c r="E750" s="215" t="n">
        <v>46280</v>
      </c>
      <c r="F750" s="215" t="n">
        <v>46280</v>
      </c>
    </row>
    <row r="751">
      <c r="A751" s="215" t="n">
        <v>46281</v>
      </c>
      <c r="B751" s="216" t="n">
        <v>14.61</v>
      </c>
      <c r="C751" s="216" t="n">
        <v>29.17</v>
      </c>
      <c r="D751" s="216" t="n">
        <v>1.168769955635071</v>
      </c>
      <c r="E751" s="215" t="n">
        <v>46281</v>
      </c>
      <c r="F751" s="215" t="n">
        <v>46281</v>
      </c>
    </row>
    <row r="752">
      <c r="A752" s="215" t="n">
        <v>46282</v>
      </c>
      <c r="B752" s="216" t="n">
        <v>14.76</v>
      </c>
      <c r="C752" s="216" t="n">
        <v>29.57</v>
      </c>
      <c r="D752" s="216" t="n">
        <v>1.169389963150024</v>
      </c>
      <c r="E752" s="215" t="n">
        <v>46282</v>
      </c>
      <c r="F752" s="215" t="n">
        <v>46282</v>
      </c>
    </row>
    <row r="753">
      <c r="A753" s="215" t="n">
        <v>46283</v>
      </c>
      <c r="B753" s="216" t="n">
        <v>15.03</v>
      </c>
      <c r="C753" s="216" t="n">
        <v>29.79</v>
      </c>
      <c r="D753" s="216" t="n">
        <v>1.16942298412323</v>
      </c>
      <c r="E753" s="215" t="n">
        <v>46283</v>
      </c>
      <c r="F753" s="215" t="n">
        <v>46283</v>
      </c>
    </row>
    <row r="754">
      <c r="A754" s="215" t="n">
        <v>46286</v>
      </c>
      <c r="B754" s="216" t="n">
        <v>14.99</v>
      </c>
      <c r="C754" s="216" t="n">
        <v>29.78</v>
      </c>
      <c r="D754" s="216" t="n">
        <v>1.171280026435852</v>
      </c>
      <c r="E754" s="215" t="n">
        <v>46286</v>
      </c>
      <c r="F754" s="215" t="n">
        <v>46286</v>
      </c>
    </row>
    <row r="755">
      <c r="A755" s="215" t="n">
        <v>46287</v>
      </c>
      <c r="B755" s="216" t="n">
        <v>14.78</v>
      </c>
      <c r="C755" s="216" t="n">
        <v>29.68</v>
      </c>
      <c r="D755" s="216" t="n">
        <v>1.171705007553101</v>
      </c>
      <c r="E755" s="215" t="n">
        <v>46287</v>
      </c>
      <c r="F755" s="215" t="n">
        <v>46287</v>
      </c>
    </row>
    <row r="756">
      <c r="A756" s="215" t="n">
        <v>46288</v>
      </c>
      <c r="B756" s="216" t="n">
        <v>14.57</v>
      </c>
      <c r="C756" s="216" t="n">
        <v>29.47</v>
      </c>
      <c r="D756" s="216" t="n">
        <v>1.170611023902893</v>
      </c>
      <c r="E756" s="215" t="n">
        <v>46288</v>
      </c>
      <c r="F756" s="215" t="n">
        <v>46288</v>
      </c>
    </row>
    <row r="757">
      <c r="A757" s="215" t="n">
        <v>46289</v>
      </c>
      <c r="B757" s="216" t="n">
        <v>14.59</v>
      </c>
      <c r="C757" s="216" t="n">
        <v>29.35</v>
      </c>
      <c r="D757" s="216" t="n">
        <v>1.16852605342865</v>
      </c>
      <c r="E757" s="215" t="n">
        <v>46289</v>
      </c>
      <c r="F757" s="215" t="n">
        <v>46289</v>
      </c>
    </row>
    <row r="758">
      <c r="A758" s="215" t="n">
        <v>46290</v>
      </c>
      <c r="B758" s="216" t="n">
        <v>14.84</v>
      </c>
      <c r="C758" s="216" t="n">
        <v>29.35</v>
      </c>
      <c r="D758" s="216" t="n">
        <v>1.168424010276794</v>
      </c>
      <c r="E758" s="215" t="n">
        <v>46289</v>
      </c>
      <c r="F758" s="215" t="n">
        <v>46290</v>
      </c>
    </row>
    <row r="759">
      <c r="A759" s="215" t="n">
        <v>46293</v>
      </c>
      <c r="B759" s="216" t="n">
        <v>14.12</v>
      </c>
      <c r="C759" s="216" t="n">
        <v>28.45</v>
      </c>
      <c r="D759" s="216" t="n">
        <v>1.168378949165344</v>
      </c>
      <c r="E759" s="215" t="n">
        <v>46293</v>
      </c>
      <c r="F759" s="215" t="n">
        <v>46293</v>
      </c>
    </row>
    <row r="760">
      <c r="A760" s="215" t="n">
        <v>46294</v>
      </c>
      <c r="B760" s="216" t="n">
        <v>13.91</v>
      </c>
      <c r="C760" s="216" t="n">
        <v>28.16</v>
      </c>
      <c r="D760" s="216" t="n">
        <v>1.168815970420837</v>
      </c>
      <c r="E760" s="215" t="n">
        <v>46294</v>
      </c>
      <c r="F760" s="215" t="n">
        <v>46294</v>
      </c>
    </row>
    <row r="761">
      <c r="A761" s="215" t="n">
        <v>46295</v>
      </c>
      <c r="B761" s="216" t="n">
        <v>14.08</v>
      </c>
      <c r="C761" s="216" t="n">
        <v>28.22</v>
      </c>
      <c r="D761" s="216" t="n">
        <v>1.17059600353241</v>
      </c>
      <c r="E761" s="215" t="n">
        <v>46295</v>
      </c>
      <c r="F761" s="215" t="n">
        <v>46295</v>
      </c>
    </row>
    <row r="762">
      <c r="A762" s="215" t="n">
        <v>46297</v>
      </c>
      <c r="B762" s="216" t="n">
        <v>14.09</v>
      </c>
      <c r="C762" s="216" t="n">
        <v>28.22</v>
      </c>
      <c r="D762" s="216" t="n">
        <v>1.170220971107483</v>
      </c>
      <c r="E762" s="215" t="n">
        <v>46295</v>
      </c>
      <c r="F762" s="215" t="n">
        <v>46297</v>
      </c>
    </row>
    <row r="763">
      <c r="A763" s="215" t="n">
        <v>45952</v>
      </c>
      <c r="B763" s="216" t="n">
        <v>18.98</v>
      </c>
      <c r="C763" s="216" t="n">
        <v>27.57</v>
      </c>
      <c r="D763" s="216" t="n">
        <v>1.091071009635925</v>
      </c>
      <c r="E763" s="215" t="n">
        <v>45952</v>
      </c>
      <c r="F763" s="215" t="n">
        <v>45952</v>
      </c>
    </row>
    <row r="764">
      <c r="A764" s="215" t="n">
        <v>45953</v>
      </c>
      <c r="B764" s="216" t="n">
        <v>17.66</v>
      </c>
      <c r="C764" s="216" t="n">
        <v>27.22</v>
      </c>
      <c r="D764" s="216" t="n">
        <v>1.090343952178955</v>
      </c>
      <c r="E764" s="215" t="n">
        <v>45953</v>
      </c>
      <c r="F764" s="215" t="n">
        <v>45953</v>
      </c>
    </row>
    <row r="765">
      <c r="A765" s="215" t="n">
        <v>45954</v>
      </c>
      <c r="B765" s="216" t="n">
        <v>19.47</v>
      </c>
      <c r="C765" s="216" t="n">
        <v>27.38</v>
      </c>
      <c r="D765" s="216" t="n">
        <v>1.090456962585449</v>
      </c>
      <c r="E765" s="215" t="n">
        <v>45954</v>
      </c>
      <c r="F765" s="215" t="n">
        <v>45954</v>
      </c>
    </row>
    <row r="766">
      <c r="A766" s="215" t="n">
        <v>45957</v>
      </c>
      <c r="B766" s="216" t="n">
        <v>19.96</v>
      </c>
      <c r="C766" s="216" t="n">
        <v>27.8</v>
      </c>
      <c r="D766" s="216" t="n">
        <v>1.090957045555115</v>
      </c>
      <c r="E766" s="215" t="n">
        <v>45957</v>
      </c>
      <c r="F766" s="215" t="n">
        <v>45957</v>
      </c>
    </row>
    <row r="767">
      <c r="A767" s="215" t="n">
        <v>45958</v>
      </c>
      <c r="B767" s="216" t="n">
        <v>19.06</v>
      </c>
      <c r="C767" s="216" t="n">
        <v>27.3</v>
      </c>
      <c r="D767" s="216" t="n">
        <v>1.092440009117126</v>
      </c>
      <c r="E767" s="215" t="n">
        <v>45958</v>
      </c>
      <c r="F767" s="215" t="n">
        <v>45958</v>
      </c>
    </row>
    <row r="768">
      <c r="A768" s="215" t="n">
        <v>45960</v>
      </c>
      <c r="B768" s="216" t="n">
        <v>19.3</v>
      </c>
      <c r="C768" s="216" t="n">
        <v>26.82</v>
      </c>
      <c r="D768" s="216" t="n">
        <v>1.09463894367218</v>
      </c>
      <c r="E768" s="215" t="n">
        <v>45960</v>
      </c>
      <c r="F768" s="215" t="n">
        <v>45960</v>
      </c>
    </row>
    <row r="769">
      <c r="A769" s="215" t="n">
        <v>45961</v>
      </c>
      <c r="B769" s="216" t="n">
        <v>19.51</v>
      </c>
      <c r="C769" s="216" t="n">
        <v>27.31</v>
      </c>
      <c r="D769" s="216" t="n">
        <v>1.092543959617615</v>
      </c>
      <c r="E769" s="215" t="n">
        <v>45961</v>
      </c>
      <c r="F769" s="215" t="n">
        <v>45961</v>
      </c>
    </row>
    <row r="770">
      <c r="A770" s="215" t="n">
        <v>45964</v>
      </c>
      <c r="B770" s="216" t="n">
        <v>19.64</v>
      </c>
      <c r="C770" s="216" t="n">
        <v>27.8</v>
      </c>
      <c r="D770" s="216" t="n">
        <v>1.091722965240479</v>
      </c>
      <c r="E770" s="215" t="n">
        <v>45964</v>
      </c>
      <c r="F770" s="215" t="n">
        <v>45964</v>
      </c>
    </row>
    <row r="771">
      <c r="A771" s="215" t="n">
        <v>45965</v>
      </c>
      <c r="B771" s="216" t="n">
        <v>19.25</v>
      </c>
      <c r="C771" s="216" t="n">
        <v>26.91</v>
      </c>
      <c r="D771" s="216" t="n">
        <v>1.083533048629761</v>
      </c>
      <c r="E771" s="215" t="n">
        <v>45965</v>
      </c>
      <c r="F771" s="215" t="n">
        <v>45965</v>
      </c>
    </row>
    <row r="772">
      <c r="A772" s="215" t="n">
        <v>45966</v>
      </c>
      <c r="B772" s="216" t="n">
        <v>19.4</v>
      </c>
      <c r="C772" s="216" t="n">
        <v>26.57</v>
      </c>
      <c r="D772" s="216" t="n">
        <v>1.090273976325989</v>
      </c>
      <c r="E772" s="215" t="n">
        <v>45966</v>
      </c>
      <c r="F772" s="215" t="n">
        <v>45966</v>
      </c>
    </row>
    <row r="773">
      <c r="A773" s="215" t="n">
        <v>45967</v>
      </c>
      <c r="B773" s="216" t="n">
        <v>19.13</v>
      </c>
      <c r="C773" s="216" t="n">
        <v>26.94</v>
      </c>
      <c r="D773" s="216" t="n">
        <v>1.090808033943176</v>
      </c>
      <c r="E773" s="215" t="n">
        <v>45967</v>
      </c>
      <c r="F773" s="215" t="n">
        <v>45967</v>
      </c>
    </row>
    <row r="774">
      <c r="A774" s="215" t="n">
        <v>45968</v>
      </c>
      <c r="B774" s="216" t="n">
        <v>18.37</v>
      </c>
      <c r="C774" s="216" t="n">
        <v>25.82</v>
      </c>
      <c r="D774" s="216" t="n">
        <v>1.092054009437561</v>
      </c>
      <c r="E774" s="215" t="n">
        <v>45968</v>
      </c>
      <c r="F774" s="215" t="n">
        <v>45968</v>
      </c>
    </row>
    <row r="775">
      <c r="A775" s="215" t="n">
        <v>45971</v>
      </c>
      <c r="B775" s="216" t="n">
        <v>18.51</v>
      </c>
      <c r="C775" s="216" t="n">
        <v>25.7</v>
      </c>
      <c r="D775" s="216" t="n">
        <v>1.092267036437988</v>
      </c>
      <c r="E775" s="215" t="n">
        <v>45971</v>
      </c>
      <c r="F775" s="215" t="n">
        <v>45971</v>
      </c>
    </row>
    <row r="776">
      <c r="A776" s="215" t="n">
        <v>45972</v>
      </c>
      <c r="B776" s="216" t="n">
        <v>18.52</v>
      </c>
      <c r="C776" s="216" t="n">
        <v>25.35</v>
      </c>
      <c r="D776" s="216" t="n">
        <v>1.091644048690796</v>
      </c>
      <c r="E776" s="215" t="n">
        <v>45972</v>
      </c>
      <c r="F776" s="215" t="n">
        <v>45972</v>
      </c>
    </row>
    <row r="777">
      <c r="A777" s="215" t="n">
        <v>45973</v>
      </c>
      <c r="B777" s="216" t="n">
        <v>19.4</v>
      </c>
      <c r="C777" s="216" t="n">
        <v>25.53</v>
      </c>
      <c r="D777" s="216" t="n">
        <v>1.091495990753174</v>
      </c>
      <c r="E777" s="215" t="n">
        <v>45973</v>
      </c>
      <c r="F777" s="215" t="n">
        <v>45973</v>
      </c>
    </row>
    <row r="778">
      <c r="A778" s="215" t="n">
        <v>45974</v>
      </c>
      <c r="B778" s="216" t="n">
        <v>20.4</v>
      </c>
      <c r="C778" s="216" t="n">
        <v>26.11</v>
      </c>
      <c r="D778" s="216" t="n">
        <v>1.092489004135132</v>
      </c>
      <c r="E778" s="215" t="n">
        <v>45974</v>
      </c>
      <c r="F778" s="215" t="n">
        <v>45974</v>
      </c>
    </row>
    <row r="779">
      <c r="A779" s="215" t="n">
        <v>45975</v>
      </c>
      <c r="B779" s="216" t="n">
        <v>19.94</v>
      </c>
      <c r="C779" s="216" t="n">
        <v>25.19</v>
      </c>
      <c r="D779" s="216" t="n">
        <v>1.092411994934082</v>
      </c>
      <c r="E779" s="215" t="n">
        <v>45975</v>
      </c>
      <c r="F779" s="215" t="n">
        <v>45975</v>
      </c>
    </row>
    <row r="780">
      <c r="A780" s="215" t="n">
        <v>45978</v>
      </c>
      <c r="B780" s="216" t="n">
        <v>19.02</v>
      </c>
      <c r="C780" s="216" t="n">
        <v>25.11</v>
      </c>
      <c r="D780" s="216" t="n">
        <v>1.094588041305542</v>
      </c>
      <c r="E780" s="215" t="n">
        <v>45978</v>
      </c>
      <c r="F780" s="215" t="n">
        <v>45978</v>
      </c>
    </row>
    <row r="781">
      <c r="A781" s="215" t="n">
        <v>45979</v>
      </c>
      <c r="B781" s="216" t="n">
        <v>18.31</v>
      </c>
      <c r="C781" s="216" t="n">
        <v>25.04</v>
      </c>
      <c r="D781" s="216" t="n">
        <v>1.093616008758545</v>
      </c>
      <c r="E781" s="215" t="n">
        <v>45979</v>
      </c>
      <c r="F781" s="215" t="n">
        <v>45979</v>
      </c>
    </row>
    <row r="782">
      <c r="A782" s="215" t="n">
        <v>45980</v>
      </c>
      <c r="B782" s="216" t="n">
        <v>17.37</v>
      </c>
      <c r="C782" s="216" t="n">
        <v>24.67</v>
      </c>
      <c r="D782" s="216" t="n">
        <v>1.095010995864868</v>
      </c>
      <c r="E782" s="215" t="n">
        <v>45980</v>
      </c>
      <c r="F782" s="215" t="n">
        <v>45980</v>
      </c>
    </row>
    <row r="783">
      <c r="A783" s="215" t="n">
        <v>45981</v>
      </c>
      <c r="B783" s="216" t="n">
        <v>16.46</v>
      </c>
      <c r="C783" s="216" t="n">
        <v>24.4</v>
      </c>
      <c r="D783" s="216" t="n">
        <v>1.095402002334595</v>
      </c>
      <c r="E783" s="215" t="n">
        <v>45981</v>
      </c>
      <c r="F783" s="215" t="n">
        <v>45981</v>
      </c>
    </row>
    <row r="784">
      <c r="A784" s="215" t="n">
        <v>45982</v>
      </c>
      <c r="B784" s="216" t="n">
        <v>15.5</v>
      </c>
      <c r="C784" s="216" t="n">
        <v>23.64</v>
      </c>
      <c r="D784" s="216" t="n">
        <v>1.094982981681824</v>
      </c>
      <c r="E784" s="215" t="n">
        <v>45982</v>
      </c>
      <c r="F784" s="215" t="n">
        <v>45982</v>
      </c>
    </row>
    <row r="785">
      <c r="A785" s="215" t="n">
        <v>45985</v>
      </c>
      <c r="B785" s="216" t="n">
        <v>14.86</v>
      </c>
      <c r="C785" s="216" t="n">
        <v>23.91</v>
      </c>
      <c r="D785" s="216" t="n">
        <v>1.094988942146301</v>
      </c>
      <c r="E785" s="215" t="n">
        <v>45985</v>
      </c>
      <c r="F785" s="215" t="n">
        <v>45985</v>
      </c>
    </row>
    <row r="786">
      <c r="A786" s="215" t="n">
        <v>45986</v>
      </c>
      <c r="B786" s="216" t="n">
        <v>14.86</v>
      </c>
      <c r="C786" s="216" t="n">
        <v>24.26</v>
      </c>
      <c r="D786" s="216" t="n">
        <v>1.095428943634033</v>
      </c>
      <c r="E786" s="215" t="n">
        <v>45986</v>
      </c>
      <c r="F786" s="215" t="n">
        <v>45986</v>
      </c>
    </row>
    <row r="787">
      <c r="A787" s="215" t="n">
        <v>45987</v>
      </c>
      <c r="B787" s="216" t="n">
        <v>15.18</v>
      </c>
      <c r="C787" s="216" t="n">
        <v>24.54</v>
      </c>
      <c r="D787" s="216" t="n">
        <v>1.097422003746033</v>
      </c>
      <c r="E787" s="215" t="n">
        <v>45987</v>
      </c>
      <c r="F787" s="215" t="n">
        <v>45987</v>
      </c>
    </row>
    <row r="788">
      <c r="A788" s="215" t="n">
        <v>45988</v>
      </c>
      <c r="B788" s="216" t="n">
        <v>16.43</v>
      </c>
      <c r="C788" s="216" t="n">
        <v>26.28</v>
      </c>
      <c r="D788" s="216" t="n">
        <v>1.098397016525269</v>
      </c>
      <c r="E788" s="215" t="n">
        <v>45988</v>
      </c>
      <c r="F788" s="215" t="n">
        <v>45988</v>
      </c>
    </row>
    <row r="789">
      <c r="A789" s="215" t="n">
        <v>45989</v>
      </c>
      <c r="B789" s="216" t="n">
        <v>16.5</v>
      </c>
      <c r="C789" s="216" t="n">
        <v>26.98</v>
      </c>
      <c r="D789" s="216" t="n">
        <v>1.098330020904541</v>
      </c>
      <c r="E789" s="215" t="n">
        <v>45989</v>
      </c>
      <c r="F789" s="215" t="n">
        <v>45989</v>
      </c>
    </row>
    <row r="790">
      <c r="A790" s="215" t="n">
        <v>45992</v>
      </c>
      <c r="B790" s="216" t="n">
        <v>18.9</v>
      </c>
      <c r="C790" s="216" t="n">
        <v>32.38</v>
      </c>
      <c r="D790" s="216" t="n">
        <v>1.10015594959259</v>
      </c>
      <c r="E790" s="215" t="n">
        <v>45992</v>
      </c>
      <c r="F790" s="215" t="n">
        <v>45992</v>
      </c>
    </row>
    <row r="791">
      <c r="A791" s="215" t="n">
        <v>45993</v>
      </c>
      <c r="B791" s="216" t="n">
        <v>18.87</v>
      </c>
      <c r="C791" s="216" t="n">
        <v>34.4</v>
      </c>
      <c r="D791" s="216" t="n">
        <v>1.101189017295837</v>
      </c>
      <c r="E791" s="215" t="n">
        <v>45993</v>
      </c>
      <c r="F791" s="215" t="n">
        <v>45993</v>
      </c>
    </row>
    <row r="792">
      <c r="A792" s="215" t="n">
        <v>45994</v>
      </c>
      <c r="B792" s="216" t="n">
        <v>17.56</v>
      </c>
      <c r="C792" s="216" t="n">
        <v>31.96</v>
      </c>
      <c r="D792" s="216" t="n">
        <v>1.100834012031555</v>
      </c>
      <c r="E792" s="215" t="n">
        <v>45994</v>
      </c>
      <c r="F792" s="215" t="n">
        <v>45994</v>
      </c>
    </row>
    <row r="793">
      <c r="A793" s="215" t="n">
        <v>45995</v>
      </c>
      <c r="B793" s="216" t="n">
        <v>16.84</v>
      </c>
      <c r="C793" s="216" t="n">
        <v>29.88</v>
      </c>
      <c r="D793" s="216" t="n">
        <v>1.101611018180847</v>
      </c>
      <c r="E793" s="215" t="n">
        <v>45995</v>
      </c>
      <c r="F793" s="215" t="n">
        <v>45995</v>
      </c>
    </row>
    <row r="794">
      <c r="A794" s="215" t="n">
        <v>45996</v>
      </c>
      <c r="B794" s="216" t="n">
        <v>16.98</v>
      </c>
      <c r="C794" s="216" t="n">
        <v>29.65</v>
      </c>
      <c r="D794" s="216" t="n">
        <v>1.100373983383179</v>
      </c>
      <c r="E794" s="215" t="n">
        <v>45996</v>
      </c>
      <c r="F794" s="215" t="n">
        <v>45996</v>
      </c>
    </row>
    <row r="795">
      <c r="A795" s="215" t="n">
        <v>45999</v>
      </c>
      <c r="B795" s="216" t="n">
        <v>17.54</v>
      </c>
      <c r="C795" s="216" t="n">
        <v>30.54</v>
      </c>
      <c r="D795" s="216" t="n">
        <v>1.1008620262146</v>
      </c>
      <c r="E795" s="215" t="n">
        <v>45999</v>
      </c>
      <c r="F795" s="215" t="n">
        <v>45999</v>
      </c>
    </row>
    <row r="796">
      <c r="A796" s="215" t="n">
        <v>46000</v>
      </c>
      <c r="B796" s="216" t="n">
        <v>17.15</v>
      </c>
      <c r="C796" s="216" t="n">
        <v>29.8</v>
      </c>
      <c r="D796" s="216" t="n">
        <v>1.10008704662323</v>
      </c>
      <c r="E796" s="215" t="n">
        <v>46000</v>
      </c>
      <c r="F796" s="215" t="n">
        <v>46000</v>
      </c>
    </row>
    <row r="797">
      <c r="A797" s="215" t="n">
        <v>46001</v>
      </c>
      <c r="B797" s="216" t="n">
        <v>17.14</v>
      </c>
      <c r="C797" s="216" t="n">
        <v>29.49</v>
      </c>
      <c r="D797" s="216" t="n">
        <v>1.101711988449097</v>
      </c>
      <c r="E797" s="215" t="n">
        <v>46001</v>
      </c>
      <c r="F797" s="215" t="n">
        <v>46001</v>
      </c>
    </row>
    <row r="798">
      <c r="A798" s="215" t="n">
        <v>46002</v>
      </c>
      <c r="B798" s="216" t="n">
        <v>16.39</v>
      </c>
      <c r="C798" s="216" t="n">
        <v>28.01</v>
      </c>
      <c r="D798" s="216" t="n">
        <v>1.10112202167511</v>
      </c>
      <c r="E798" s="215" t="n">
        <v>46002</v>
      </c>
      <c r="F798" s="215" t="n">
        <v>46002</v>
      </c>
    </row>
    <row r="799">
      <c r="A799" s="215" t="n">
        <v>46003</v>
      </c>
      <c r="B799" s="216" t="n">
        <v>17.05</v>
      </c>
      <c r="C799" s="216" t="n">
        <v>28.83</v>
      </c>
      <c r="D799" s="216" t="n">
        <v>1.102499008178711</v>
      </c>
      <c r="E799" s="215" t="n">
        <v>46003</v>
      </c>
      <c r="F799" s="215" t="n">
        <v>46003</v>
      </c>
    </row>
    <row r="800">
      <c r="A800" s="215" t="n">
        <v>46006</v>
      </c>
      <c r="B800" s="216" t="n">
        <v>17.04</v>
      </c>
      <c r="C800" s="216" t="n">
        <v>28.55</v>
      </c>
      <c r="D800" s="216" t="n">
        <v>1.103397965431213</v>
      </c>
      <c r="E800" s="215" t="n">
        <v>46006</v>
      </c>
      <c r="F800" s="215" t="n">
        <v>46006</v>
      </c>
    </row>
    <row r="801">
      <c r="A801" s="215" t="n">
        <v>46007</v>
      </c>
      <c r="B801" s="216" t="n">
        <v>16.08</v>
      </c>
      <c r="C801" s="216" t="n">
        <v>27.4</v>
      </c>
      <c r="D801" s="216" t="n">
        <v>1.104179978370667</v>
      </c>
      <c r="E801" s="215" t="n">
        <v>46007</v>
      </c>
      <c r="F801" s="215" t="n">
        <v>46007</v>
      </c>
    </row>
    <row r="802">
      <c r="A802" s="215" t="n">
        <v>46008</v>
      </c>
      <c r="B802" s="216" t="n">
        <v>15.92</v>
      </c>
      <c r="C802" s="216" t="n">
        <v>28</v>
      </c>
      <c r="D802" s="216" t="n">
        <v>1.104655981063843</v>
      </c>
      <c r="E802" s="215" t="n">
        <v>46008</v>
      </c>
      <c r="F802" s="215" t="n">
        <v>46008</v>
      </c>
    </row>
    <row r="803">
      <c r="A803" s="215" t="n">
        <v>46009</v>
      </c>
      <c r="B803" s="216" t="n">
        <v>15.48</v>
      </c>
      <c r="C803" s="216" t="n">
        <v>27.16</v>
      </c>
      <c r="D803" s="216" t="n">
        <v>1.104357004165649</v>
      </c>
      <c r="E803" s="215" t="n">
        <v>46009</v>
      </c>
      <c r="F803" s="215" t="n">
        <v>46009</v>
      </c>
    </row>
    <row r="804">
      <c r="A804" s="215" t="n">
        <v>46010</v>
      </c>
      <c r="B804" s="216" t="n">
        <v>15.76</v>
      </c>
      <c r="C804" s="216" t="n">
        <v>27.1</v>
      </c>
      <c r="D804" s="216" t="n">
        <v>1.104962944984436</v>
      </c>
      <c r="E804" s="215" t="n">
        <v>46010</v>
      </c>
      <c r="F804" s="215" t="n">
        <v>46010</v>
      </c>
    </row>
    <row r="805">
      <c r="A805" s="215" t="n">
        <v>46013</v>
      </c>
      <c r="B805" s="216" t="n">
        <v>15.87</v>
      </c>
      <c r="C805" s="216" t="n">
        <v>27.26</v>
      </c>
      <c r="D805" s="216" t="n">
        <v>1.105054020881653</v>
      </c>
      <c r="E805" s="215" t="n">
        <v>46013</v>
      </c>
      <c r="F805" s="215" t="n">
        <v>46013</v>
      </c>
    </row>
    <row r="806">
      <c r="A806" s="215" t="n">
        <v>46014</v>
      </c>
      <c r="B806" s="216" t="n">
        <v>15.32</v>
      </c>
      <c r="C806" s="216" t="n">
        <v>26.75</v>
      </c>
      <c r="D806" s="216" t="n">
        <v>1.104820013046265</v>
      </c>
      <c r="E806" s="215" t="n">
        <v>46014</v>
      </c>
      <c r="F806" s="215" t="n">
        <v>46014</v>
      </c>
    </row>
    <row r="807">
      <c r="A807" s="215" t="n">
        <v>46015</v>
      </c>
      <c r="B807" s="216" t="n">
        <v>15.5</v>
      </c>
      <c r="C807" s="216" t="n">
        <v>27.42</v>
      </c>
      <c r="D807" s="216" t="n">
        <v>1.106441974639893</v>
      </c>
      <c r="E807" s="215" t="n">
        <v>46015</v>
      </c>
      <c r="F807" s="215" t="n">
        <v>46015</v>
      </c>
    </row>
    <row r="808">
      <c r="A808" s="215" t="n">
        <v>46020</v>
      </c>
      <c r="B808" s="216" t="n">
        <v>15.32</v>
      </c>
      <c r="C808" s="216" t="n">
        <v>27.8</v>
      </c>
      <c r="D808" s="216" t="n">
        <v>1.10552704334259</v>
      </c>
      <c r="E808" s="215" t="n">
        <v>46020</v>
      </c>
      <c r="F808" s="215" t="n">
        <v>46020</v>
      </c>
    </row>
    <row r="809">
      <c r="A809" s="215" t="n">
        <v>46021</v>
      </c>
      <c r="B809" s="216" t="n">
        <v>15.71</v>
      </c>
      <c r="C809" s="216" t="n">
        <v>28.31</v>
      </c>
      <c r="D809" s="216" t="n">
        <v>1.109460949897766</v>
      </c>
      <c r="E809" s="215" t="n">
        <v>46021</v>
      </c>
      <c r="F809" s="215" t="n">
        <v>46021</v>
      </c>
    </row>
    <row r="810">
      <c r="A810" s="215" t="n">
        <v>46022</v>
      </c>
      <c r="B810" s="216" t="n">
        <v>16.34</v>
      </c>
      <c r="C810" s="216" t="n">
        <v>29.64</v>
      </c>
      <c r="D810" s="216" t="n">
        <v>1.111927032470703</v>
      </c>
      <c r="E810" s="215" t="n">
        <v>46022</v>
      </c>
      <c r="F810" s="215" t="n">
        <v>46022</v>
      </c>
    </row>
    <row r="811">
      <c r="A811" s="215" t="n">
        <v>46024</v>
      </c>
      <c r="B811" s="216" t="n">
        <v>15.75</v>
      </c>
      <c r="C811" s="216" t="n">
        <v>29.64</v>
      </c>
      <c r="D811" s="216" t="n">
        <v>1.112754940986633</v>
      </c>
      <c r="E811" s="215" t="n">
        <v>46022</v>
      </c>
      <c r="F811" s="215" t="n">
        <v>46024</v>
      </c>
    </row>
    <row r="812">
      <c r="A812" s="215" t="n">
        <v>46027</v>
      </c>
      <c r="B812" s="216" t="n">
        <v>16.53</v>
      </c>
      <c r="C812" s="216" t="n">
        <v>30.48</v>
      </c>
      <c r="D812" s="216" t="n">
        <v>1.113860011100769</v>
      </c>
      <c r="E812" s="215" t="n">
        <v>46027</v>
      </c>
      <c r="F812" s="215" t="n">
        <v>46027</v>
      </c>
    </row>
    <row r="813">
      <c r="A813" s="215" t="n">
        <v>46028</v>
      </c>
      <c r="B813" s="216" t="n">
        <v>16.46</v>
      </c>
      <c r="C813" s="216" t="n">
        <v>29.82</v>
      </c>
      <c r="D813" s="216" t="n">
        <v>1.11367404460907</v>
      </c>
      <c r="E813" s="215" t="n">
        <v>46028</v>
      </c>
      <c r="F813" s="215" t="n">
        <v>46028</v>
      </c>
    </row>
    <row r="814">
      <c r="A814" s="215" t="n">
        <v>46029</v>
      </c>
      <c r="B814" s="216" t="n">
        <v>16.22</v>
      </c>
      <c r="C814" s="216" t="n">
        <v>29.4</v>
      </c>
      <c r="D814" s="216" t="n">
        <v>1.114913940429688</v>
      </c>
      <c r="E814" s="215" t="n">
        <v>46029</v>
      </c>
      <c r="F814" s="215" t="n">
        <v>46029</v>
      </c>
    </row>
    <row r="815">
      <c r="A815" s="215" t="n">
        <v>46030</v>
      </c>
      <c r="B815" s="216" t="n">
        <v>16.43</v>
      </c>
      <c r="C815" s="216" t="n">
        <v>30.06</v>
      </c>
      <c r="D815" s="216" t="n">
        <v>1.112563014030457</v>
      </c>
      <c r="E815" s="215" t="n">
        <v>46030</v>
      </c>
      <c r="F815" s="215" t="n">
        <v>46030</v>
      </c>
    </row>
    <row r="816">
      <c r="A816" s="215" t="n">
        <v>46031</v>
      </c>
      <c r="B816" s="216" t="n">
        <v>16.79</v>
      </c>
      <c r="C816" s="216" t="n">
        <v>30.89</v>
      </c>
      <c r="D816" s="216" t="n">
        <v>1.115561008453369</v>
      </c>
      <c r="E816" s="215" t="n">
        <v>46031</v>
      </c>
      <c r="F816" s="215" t="n">
        <v>46031</v>
      </c>
    </row>
    <row r="817">
      <c r="A817" s="215" t="n">
        <v>46034</v>
      </c>
      <c r="B817" s="216" t="n">
        <v>17.9</v>
      </c>
      <c r="C817" s="216" t="n">
        <v>36</v>
      </c>
      <c r="D817" s="216" t="n">
        <v>1.117015957832336</v>
      </c>
      <c r="E817" s="215" t="n">
        <v>46034</v>
      </c>
      <c r="F817" s="215" t="n">
        <v>46034</v>
      </c>
    </row>
    <row r="818">
      <c r="A818" s="215" t="n">
        <v>46035</v>
      </c>
      <c r="B818" s="216" t="n">
        <v>17</v>
      </c>
      <c r="C818" s="216" t="n">
        <v>33.12</v>
      </c>
      <c r="D818" s="216" t="n">
        <v>1.117892026901245</v>
      </c>
      <c r="E818" s="215" t="n">
        <v>46035</v>
      </c>
      <c r="F818" s="215" t="n">
        <v>46035</v>
      </c>
    </row>
    <row r="819">
      <c r="A819" s="215" t="n">
        <v>46036</v>
      </c>
      <c r="B819" s="216" t="n">
        <v>17.07</v>
      </c>
      <c r="C819" s="216" t="n">
        <v>33.47</v>
      </c>
      <c r="D819" s="216" t="n">
        <v>1.117897987365723</v>
      </c>
      <c r="E819" s="215" t="n">
        <v>46036</v>
      </c>
      <c r="F819" s="215" t="n">
        <v>46036</v>
      </c>
    </row>
    <row r="820">
      <c r="A820" s="215" t="n">
        <v>46037</v>
      </c>
      <c r="B820" s="216" t="n">
        <v>16.51</v>
      </c>
      <c r="C820" s="216" t="n">
        <v>32.46</v>
      </c>
      <c r="D820" s="216" t="n">
        <v>1.118072032928467</v>
      </c>
      <c r="E820" s="215" t="n">
        <v>46037</v>
      </c>
      <c r="F820" s="215" t="n">
        <v>46037</v>
      </c>
    </row>
    <row r="821">
      <c r="A821" s="215" t="n">
        <v>46038</v>
      </c>
      <c r="B821" s="216" t="n">
        <v>16.4</v>
      </c>
      <c r="C821" s="216" t="n">
        <v>32.09</v>
      </c>
      <c r="D821" s="216" t="n">
        <v>1.119040012359619</v>
      </c>
      <c r="E821" s="215" t="n">
        <v>46038</v>
      </c>
      <c r="F821" s="215" t="n">
        <v>46038</v>
      </c>
    </row>
    <row r="822">
      <c r="A822" s="215" t="n">
        <v>46041</v>
      </c>
      <c r="B822" s="216" t="n">
        <v>16.07</v>
      </c>
      <c r="C822" s="216" t="n">
        <v>31.3</v>
      </c>
      <c r="D822" s="216" t="n">
        <v>1.118916034698486</v>
      </c>
      <c r="E822" s="215" t="n">
        <v>46041</v>
      </c>
      <c r="F822" s="215" t="n">
        <v>46041</v>
      </c>
    </row>
    <row r="823">
      <c r="A823" s="215" t="n">
        <v>46042</v>
      </c>
      <c r="B823" s="216" t="n">
        <v>15.85</v>
      </c>
      <c r="C823" s="216" t="n">
        <v>31.14</v>
      </c>
      <c r="D823" s="216" t="n">
        <v>1.118687987327576</v>
      </c>
      <c r="E823" s="215" t="n">
        <v>46042</v>
      </c>
      <c r="F823" s="215" t="n">
        <v>46042</v>
      </c>
    </row>
    <row r="824">
      <c r="A824" s="215" t="n">
        <v>46043</v>
      </c>
      <c r="B824" s="216" t="n">
        <v>15.7</v>
      </c>
      <c r="C824" s="216" t="n">
        <v>31.35</v>
      </c>
      <c r="D824" s="216" t="n">
        <v>1.12024998664856</v>
      </c>
      <c r="E824" s="215" t="n">
        <v>46043</v>
      </c>
      <c r="F824" s="215" t="n">
        <v>46043</v>
      </c>
    </row>
    <row r="825">
      <c r="A825" s="215" t="n">
        <v>46044</v>
      </c>
      <c r="B825" s="216" t="n">
        <v>15.85</v>
      </c>
      <c r="C825" s="216" t="n">
        <v>31.24</v>
      </c>
      <c r="D825" s="216" t="n">
        <v>1.11942195892334</v>
      </c>
      <c r="E825" s="215" t="n">
        <v>46044</v>
      </c>
      <c r="F825" s="215" t="n">
        <v>46044</v>
      </c>
    </row>
    <row r="826">
      <c r="A826" s="215" t="n">
        <v>46045</v>
      </c>
      <c r="B826" s="216" t="n">
        <v>16.15</v>
      </c>
      <c r="C826" s="216" t="n">
        <v>31.87</v>
      </c>
      <c r="D826" s="216" t="n">
        <v>1.117977976799011</v>
      </c>
      <c r="E826" s="215" t="n">
        <v>46045</v>
      </c>
      <c r="F826" s="215" t="n">
        <v>46045</v>
      </c>
    </row>
    <row r="827">
      <c r="A827" s="215" t="n">
        <v>46048</v>
      </c>
      <c r="B827" s="216" t="n">
        <v>15.34</v>
      </c>
      <c r="C827" s="216" t="n">
        <v>29.92</v>
      </c>
      <c r="D827" s="216" t="n">
        <v>1.117916941642761</v>
      </c>
      <c r="E827" s="215" t="n">
        <v>46048</v>
      </c>
      <c r="F827" s="215" t="n">
        <v>46048</v>
      </c>
    </row>
    <row r="828">
      <c r="A828" s="215" t="n">
        <v>46049</v>
      </c>
      <c r="B828" s="216" t="n">
        <v>15.53</v>
      </c>
      <c r="C828" s="216" t="n">
        <v>30.33</v>
      </c>
      <c r="D828" s="216" t="n">
        <v>1.121191024780273</v>
      </c>
      <c r="E828" s="215" t="n">
        <v>46049</v>
      </c>
      <c r="F828" s="215" t="n">
        <v>46049</v>
      </c>
    </row>
    <row r="829">
      <c r="A829" s="215" t="n">
        <v>46050</v>
      </c>
      <c r="B829" s="216" t="n">
        <v>15.37</v>
      </c>
      <c r="C829" s="216" t="n">
        <v>29.83</v>
      </c>
      <c r="D829" s="216" t="n">
        <v>1.121533036231995</v>
      </c>
      <c r="E829" s="215" t="n">
        <v>46050</v>
      </c>
      <c r="F829" s="215" t="n">
        <v>46050</v>
      </c>
    </row>
    <row r="830">
      <c r="A830" s="215" t="n">
        <v>46051</v>
      </c>
      <c r="B830" s="216" t="n">
        <v>15.15</v>
      </c>
      <c r="C830" s="216" t="n">
        <v>29.68</v>
      </c>
      <c r="D830" s="216" t="n">
        <v>1.121621966362</v>
      </c>
      <c r="E830" s="215" t="n">
        <v>46051</v>
      </c>
      <c r="F830" s="215" t="n">
        <v>46051</v>
      </c>
    </row>
    <row r="831">
      <c r="A831" s="215" t="n">
        <v>46052</v>
      </c>
      <c r="B831" s="216" t="n">
        <v>15.15</v>
      </c>
      <c r="C831" s="216" t="n">
        <v>28.93</v>
      </c>
      <c r="D831" s="216" t="n">
        <v>1.123343944549561</v>
      </c>
      <c r="E831" s="215" t="n">
        <v>46052</v>
      </c>
      <c r="F831" s="215" t="n">
        <v>46052</v>
      </c>
    </row>
    <row r="832">
      <c r="A832" s="215" t="n">
        <v>46055</v>
      </c>
      <c r="B832" s="216" t="n">
        <v>14.68</v>
      </c>
      <c r="C832" s="216" t="n">
        <v>28.18</v>
      </c>
      <c r="D832" s="216" t="n">
        <v>1.123572945594788</v>
      </c>
      <c r="E832" s="215" t="n">
        <v>46055</v>
      </c>
      <c r="F832" s="215" t="n">
        <v>46055</v>
      </c>
    </row>
    <row r="833">
      <c r="A833" s="215" t="n">
        <v>46056</v>
      </c>
      <c r="B833" s="216" t="n">
        <v>14.73</v>
      </c>
      <c r="C833" s="216" t="n">
        <v>29.37</v>
      </c>
      <c r="D833" s="216" t="n">
        <v>1.124274969100952</v>
      </c>
      <c r="E833" s="215" t="n">
        <v>46056</v>
      </c>
      <c r="F833" s="215" t="n">
        <v>46056</v>
      </c>
    </row>
    <row r="834">
      <c r="A834" s="215" t="n">
        <v>46057</v>
      </c>
      <c r="B834" s="216" t="n">
        <v>14.31</v>
      </c>
      <c r="C834" s="216" t="n">
        <v>29.01</v>
      </c>
      <c r="D834" s="216" t="n">
        <v>1.12601101398468</v>
      </c>
      <c r="E834" s="215" t="n">
        <v>46057</v>
      </c>
      <c r="F834" s="215" t="n">
        <v>46057</v>
      </c>
    </row>
    <row r="835">
      <c r="A835" s="215" t="n">
        <v>46058</v>
      </c>
      <c r="B835" s="216" t="n">
        <v>14.08</v>
      </c>
      <c r="C835" s="216" t="n">
        <v>28.75</v>
      </c>
      <c r="D835" s="216" t="n">
        <v>1.125892996788025</v>
      </c>
      <c r="E835" s="215" t="n">
        <v>46058</v>
      </c>
      <c r="F835" s="215" t="n">
        <v>46058</v>
      </c>
    </row>
    <row r="836">
      <c r="A836" s="215" t="n">
        <v>46059</v>
      </c>
      <c r="B836" s="216" t="n">
        <v>13.95</v>
      </c>
      <c r="C836" s="216" t="n">
        <v>28.59</v>
      </c>
      <c r="D836" s="216" t="n">
        <v>1.126062035560608</v>
      </c>
      <c r="E836" s="215" t="n">
        <v>46059</v>
      </c>
      <c r="F836" s="215" t="n">
        <v>46059</v>
      </c>
    </row>
    <row r="837">
      <c r="A837" s="215" t="n">
        <v>46062</v>
      </c>
      <c r="B837" s="216" t="n">
        <v>14.44</v>
      </c>
      <c r="C837" s="216" t="n">
        <v>29.76</v>
      </c>
      <c r="D837" s="216" t="n">
        <v>1.125753998756409</v>
      </c>
      <c r="E837" s="215" t="n">
        <v>46062</v>
      </c>
      <c r="F837" s="215" t="n">
        <v>46062</v>
      </c>
    </row>
    <row r="838">
      <c r="A838" s="215" t="n">
        <v>46063</v>
      </c>
      <c r="B838" s="216" t="n">
        <v>14.58</v>
      </c>
      <c r="C838" s="216" t="n">
        <v>30</v>
      </c>
      <c r="D838" s="216" t="n">
        <v>1.129003047943115</v>
      </c>
      <c r="E838" s="215" t="n">
        <v>46063</v>
      </c>
      <c r="F838" s="215" t="n">
        <v>46063</v>
      </c>
    </row>
    <row r="839">
      <c r="A839" s="215" t="n">
        <v>46064</v>
      </c>
      <c r="B839" s="216" t="n">
        <v>14.62</v>
      </c>
      <c r="C839" s="216" t="n">
        <v>30.63</v>
      </c>
      <c r="D839" s="216" t="n">
        <v>1.130962014198303</v>
      </c>
      <c r="E839" s="215" t="n">
        <v>46064</v>
      </c>
      <c r="F839" s="215" t="n">
        <v>46064</v>
      </c>
    </row>
    <row r="840">
      <c r="A840" s="215" t="n">
        <v>46065</v>
      </c>
      <c r="B840" s="216" t="n">
        <v>14.67</v>
      </c>
      <c r="C840" s="216" t="n">
        <v>30.72</v>
      </c>
      <c r="D840" s="216" t="n">
        <v>1.130671977996826</v>
      </c>
      <c r="E840" s="215" t="n">
        <v>46065</v>
      </c>
      <c r="F840" s="215" t="n">
        <v>46065</v>
      </c>
    </row>
    <row r="841">
      <c r="A841" s="215" t="n">
        <v>46066</v>
      </c>
      <c r="B841" s="216" t="n">
        <v>14.68</v>
      </c>
      <c r="C841" s="216" t="n">
        <v>30.15</v>
      </c>
      <c r="D841" s="216" t="n">
        <v>1.132490992546082</v>
      </c>
      <c r="E841" s="215" t="n">
        <v>46066</v>
      </c>
      <c r="F841" s="215" t="n">
        <v>46066</v>
      </c>
    </row>
    <row r="842">
      <c r="A842" s="215" t="n">
        <v>46069</v>
      </c>
      <c r="B842" s="216" t="n">
        <v>14.37</v>
      </c>
      <c r="C842" s="216" t="n">
        <v>30.15</v>
      </c>
      <c r="D842" s="216" t="n">
        <v>1.131224036216736</v>
      </c>
      <c r="E842" s="215" t="n">
        <v>46066</v>
      </c>
      <c r="F842" s="215" t="n">
        <v>46069</v>
      </c>
    </row>
    <row r="843">
      <c r="A843" s="215" t="n">
        <v>46073</v>
      </c>
      <c r="B843" s="216" t="n">
        <v>14.45</v>
      </c>
      <c r="C843" s="216" t="n">
        <v>30.15</v>
      </c>
      <c r="D843" s="216" t="n">
        <v>1.131005048751831</v>
      </c>
      <c r="E843" s="215" t="n">
        <v>46066</v>
      </c>
      <c r="F843" s="215" t="n">
        <v>46073</v>
      </c>
    </row>
    <row r="844">
      <c r="A844" s="215" t="n">
        <v>46076</v>
      </c>
      <c r="B844" s="216" t="n">
        <v>14.6</v>
      </c>
      <c r="C844" s="216" t="n">
        <v>30.15</v>
      </c>
      <c r="D844" s="216" t="n">
        <v>1.130877017974854</v>
      </c>
      <c r="E844" s="215" t="n">
        <v>46066</v>
      </c>
      <c r="F844" s="215" t="n">
        <v>46076</v>
      </c>
    </row>
    <row r="845">
      <c r="A845" s="215" t="n">
        <v>46077</v>
      </c>
      <c r="B845" s="216" t="n">
        <v>14.33</v>
      </c>
      <c r="C845" s="216" t="n">
        <v>29.82</v>
      </c>
      <c r="D845" s="216" t="n">
        <v>1.131631016731262</v>
      </c>
      <c r="E845" s="215" t="n">
        <v>46077</v>
      </c>
      <c r="F845" s="215" t="n">
        <v>46077</v>
      </c>
    </row>
    <row r="846">
      <c r="A846" s="215" t="n">
        <v>46078</v>
      </c>
      <c r="B846" s="216" t="n">
        <v>14.3</v>
      </c>
      <c r="C846" s="216" t="n">
        <v>29.92</v>
      </c>
      <c r="D846" s="216" t="n">
        <v>1.136234045028687</v>
      </c>
      <c r="E846" s="215" t="n">
        <v>46078</v>
      </c>
      <c r="F846" s="215" t="n">
        <v>46078</v>
      </c>
    </row>
    <row r="847">
      <c r="A847" s="215" t="n">
        <v>46079</v>
      </c>
      <c r="B847" s="216" t="n">
        <v>14.26</v>
      </c>
      <c r="C847" s="216" t="n">
        <v>30.2</v>
      </c>
      <c r="D847" s="216" t="n">
        <v>1.138198971748352</v>
      </c>
      <c r="E847" s="215" t="n">
        <v>46079</v>
      </c>
      <c r="F847" s="215" t="n">
        <v>46079</v>
      </c>
    </row>
    <row r="848">
      <c r="A848" s="215" t="n">
        <v>46080</v>
      </c>
      <c r="B848" s="216" t="n">
        <v>14.01</v>
      </c>
      <c r="C848" s="216" t="n">
        <v>30.5</v>
      </c>
      <c r="D848" s="216" t="n">
        <v>1.143396973609924</v>
      </c>
      <c r="E848" s="215" t="n">
        <v>46080</v>
      </c>
      <c r="F848" s="215" t="n">
        <v>46080</v>
      </c>
    </row>
    <row r="849">
      <c r="A849" s="215" t="n">
        <v>46083</v>
      </c>
      <c r="B849" s="216" t="n">
        <v>13.17</v>
      </c>
      <c r="C849" s="216" t="n">
        <v>28.9</v>
      </c>
      <c r="D849" s="216" t="n">
        <v>1.140552043914795</v>
      </c>
      <c r="E849" s="215" t="n">
        <v>46083</v>
      </c>
      <c r="F849" s="215" t="n">
        <v>46083</v>
      </c>
    </row>
    <row r="850">
      <c r="A850" s="215" t="n">
        <v>46084</v>
      </c>
      <c r="B850" s="216" t="n">
        <v>12.33</v>
      </c>
      <c r="C850" s="216" t="n">
        <v>26.62</v>
      </c>
      <c r="D850" s="216" t="n">
        <v>1.136399984359741</v>
      </c>
      <c r="E850" s="215" t="n">
        <v>46084</v>
      </c>
      <c r="F850" s="215" t="n">
        <v>46084</v>
      </c>
    </row>
    <row r="851">
      <c r="A851" s="215" t="n">
        <v>46085</v>
      </c>
      <c r="B851" s="216" t="n">
        <v>12.41</v>
      </c>
      <c r="C851" s="216" t="n">
        <v>26.61</v>
      </c>
      <c r="D851" s="216" t="n">
        <v>1.130928993225098</v>
      </c>
      <c r="E851" s="215" t="n">
        <v>46085</v>
      </c>
      <c r="F851" s="215" t="n">
        <v>46085</v>
      </c>
    </row>
    <row r="852">
      <c r="A852" s="215" t="n">
        <v>46086</v>
      </c>
      <c r="B852" s="216" t="n">
        <v>13.2</v>
      </c>
      <c r="C852" s="216" t="n">
        <v>26.91</v>
      </c>
      <c r="D852" s="216" t="n">
        <v>1.133169054985046</v>
      </c>
      <c r="E852" s="215" t="n">
        <v>46086</v>
      </c>
      <c r="F852" s="215" t="n">
        <v>46086</v>
      </c>
    </row>
    <row r="853">
      <c r="A853" s="215" t="n">
        <v>46087</v>
      </c>
      <c r="B853" s="216" t="n">
        <v>13.05</v>
      </c>
      <c r="C853" s="216" t="n">
        <v>27.18</v>
      </c>
      <c r="D853" s="216" t="n">
        <v>1.133442044258118</v>
      </c>
      <c r="E853" s="215" t="n">
        <v>46087</v>
      </c>
      <c r="F853" s="215" t="n">
        <v>46087</v>
      </c>
    </row>
    <row r="854">
      <c r="A854" s="215" t="n">
        <v>46090</v>
      </c>
      <c r="B854" s="216" t="n">
        <v>12.86</v>
      </c>
      <c r="C854" s="216" t="n">
        <v>27.07</v>
      </c>
      <c r="D854" s="216" t="n">
        <v>1.133231043815613</v>
      </c>
      <c r="E854" s="215" t="n">
        <v>46090</v>
      </c>
      <c r="F854" s="215" t="n">
        <v>46090</v>
      </c>
    </row>
    <row r="855">
      <c r="A855" s="215" t="n">
        <v>46091</v>
      </c>
      <c r="B855" s="216" t="n">
        <v>13.55</v>
      </c>
      <c r="C855" s="216" t="n">
        <v>27.73</v>
      </c>
      <c r="D855" s="216" t="n">
        <v>1.131595015525818</v>
      </c>
      <c r="E855" s="215" t="n">
        <v>46091</v>
      </c>
      <c r="F855" s="215" t="n">
        <v>46091</v>
      </c>
    </row>
    <row r="856">
      <c r="A856" s="215" t="n">
        <v>46092</v>
      </c>
      <c r="B856" s="216" t="n">
        <v>13.53</v>
      </c>
      <c r="C856" s="216" t="n">
        <v>27.48</v>
      </c>
      <c r="D856" s="216" t="n">
        <v>1.137585043907166</v>
      </c>
      <c r="E856" s="215" t="n">
        <v>46092</v>
      </c>
      <c r="F856" s="215" t="n">
        <v>46092</v>
      </c>
    </row>
    <row r="857">
      <c r="A857" s="215" t="n">
        <v>46093</v>
      </c>
      <c r="B857" s="216" t="n">
        <v>13.41</v>
      </c>
      <c r="C857" s="216" t="n">
        <v>27.23</v>
      </c>
      <c r="D857" s="216" t="n">
        <v>1.139600038528442</v>
      </c>
      <c r="E857" s="215" t="n">
        <v>46093</v>
      </c>
      <c r="F857" s="215" t="n">
        <v>46093</v>
      </c>
    </row>
    <row r="858">
      <c r="A858" s="215" t="n">
        <v>46094</v>
      </c>
      <c r="B858" s="216" t="n">
        <v>13.28</v>
      </c>
      <c r="C858" s="216" t="n">
        <v>27.17</v>
      </c>
      <c r="D858" s="216" t="n">
        <v>1.139310002326965</v>
      </c>
      <c r="E858" s="215" t="n">
        <v>46094</v>
      </c>
      <c r="F858" s="215" t="n">
        <v>46094</v>
      </c>
    </row>
    <row r="859">
      <c r="A859" s="215" t="n">
        <v>46097</v>
      </c>
      <c r="B859" s="216" t="n">
        <v>12.99</v>
      </c>
      <c r="C859" s="216" t="n">
        <v>27.4</v>
      </c>
      <c r="D859" s="216" t="n">
        <v>1.134883999824524</v>
      </c>
      <c r="E859" s="215" t="n">
        <v>46097</v>
      </c>
      <c r="F859" s="215" t="n">
        <v>46097</v>
      </c>
    </row>
    <row r="860">
      <c r="A860" s="215" t="n">
        <v>46098</v>
      </c>
      <c r="B860" s="216" t="n">
        <v>12.99</v>
      </c>
      <c r="C860" s="216" t="n">
        <v>26.84</v>
      </c>
      <c r="D860" s="216" t="n">
        <v>1.125375986099243</v>
      </c>
      <c r="E860" s="215" t="n">
        <v>46098</v>
      </c>
      <c r="F860" s="215" t="n">
        <v>46098</v>
      </c>
    </row>
    <row r="861">
      <c r="A861" s="215" t="n">
        <v>46099</v>
      </c>
      <c r="B861" s="216" t="n">
        <v>13.07</v>
      </c>
      <c r="C861" s="216" t="n">
        <v>27.24</v>
      </c>
      <c r="D861" s="216" t="n">
        <v>1.137819051742554</v>
      </c>
      <c r="E861" s="215" t="n">
        <v>46099</v>
      </c>
      <c r="F861" s="215" t="n">
        <v>46099</v>
      </c>
    </row>
    <row r="862">
      <c r="A862" s="215" t="n">
        <v>46100</v>
      </c>
      <c r="B862" s="216" t="n">
        <v>12.35</v>
      </c>
      <c r="C862" s="216" t="n">
        <v>26.72</v>
      </c>
      <c r="D862" s="216" t="n">
        <v>1.140079021453857</v>
      </c>
      <c r="E862" s="215" t="n">
        <v>46100</v>
      </c>
      <c r="F862" s="215" t="n">
        <v>46100</v>
      </c>
    </row>
    <row r="863">
      <c r="A863" s="215" t="n">
        <v>46101</v>
      </c>
      <c r="B863" s="216" t="n">
        <v>12.21</v>
      </c>
      <c r="C863" s="216" t="n">
        <v>26.47</v>
      </c>
      <c r="D863" s="216" t="n">
        <v>1.13490903377533</v>
      </c>
      <c r="E863" s="215" t="n">
        <v>46101</v>
      </c>
      <c r="F863" s="215" t="n">
        <v>46101</v>
      </c>
    </row>
    <row r="864">
      <c r="A864" s="215" t="n">
        <v>46104</v>
      </c>
      <c r="B864" s="216" t="n">
        <v>11.66</v>
      </c>
      <c r="C864" s="216" t="n">
        <v>24.98</v>
      </c>
      <c r="D864" s="216" t="n">
        <v>1.137529969215393</v>
      </c>
      <c r="E864" s="215" t="n">
        <v>46104</v>
      </c>
      <c r="F864" s="215" t="n">
        <v>46104</v>
      </c>
    </row>
    <row r="865">
      <c r="A865" s="215" t="n">
        <v>46105</v>
      </c>
      <c r="B865" s="216" t="n">
        <v>12.02</v>
      </c>
      <c r="C865" s="216" t="n">
        <v>26.05</v>
      </c>
      <c r="D865" s="216" t="n">
        <v>1.138481974601746</v>
      </c>
      <c r="E865" s="215" t="n">
        <v>46105</v>
      </c>
      <c r="F865" s="215" t="n">
        <v>46105</v>
      </c>
    </row>
    <row r="866">
      <c r="A866" s="215" t="n">
        <v>46106</v>
      </c>
      <c r="B866" s="216" t="n">
        <v>12.56</v>
      </c>
      <c r="C866" s="216" t="n">
        <v>27.44</v>
      </c>
      <c r="D866" s="216" t="n">
        <v>1.135548949241638</v>
      </c>
      <c r="E866" s="215" t="n">
        <v>46106</v>
      </c>
      <c r="F866" s="215" t="n">
        <v>46106</v>
      </c>
    </row>
    <row r="867">
      <c r="A867" s="215" t="n">
        <v>46107</v>
      </c>
      <c r="B867" s="216" t="n">
        <v>12.02</v>
      </c>
      <c r="C867" s="216" t="n">
        <v>26.18</v>
      </c>
      <c r="D867" s="216" t="n">
        <v>1.132627010345459</v>
      </c>
      <c r="E867" s="215" t="n">
        <v>46107</v>
      </c>
      <c r="F867" s="215" t="n">
        <v>46107</v>
      </c>
    </row>
    <row r="868">
      <c r="A868" s="215" t="n">
        <v>46108</v>
      </c>
      <c r="B868" s="216" t="n">
        <v>12.12</v>
      </c>
      <c r="C868" s="216" t="n">
        <v>25.95</v>
      </c>
      <c r="D868" s="216" t="n">
        <v>1.132115960121155</v>
      </c>
      <c r="E868" s="215" t="n">
        <v>46108</v>
      </c>
      <c r="F868" s="215" t="n">
        <v>46108</v>
      </c>
    </row>
    <row r="869">
      <c r="A869" s="215" t="n">
        <v>46111</v>
      </c>
      <c r="B869" s="216" t="n">
        <v>12.27</v>
      </c>
      <c r="C869" s="216" t="n">
        <v>25.7</v>
      </c>
      <c r="D869" s="216" t="n">
        <v>1.13311505317688</v>
      </c>
      <c r="E869" s="215" t="n">
        <v>46111</v>
      </c>
      <c r="F869" s="215" t="n">
        <v>46111</v>
      </c>
    </row>
    <row r="870">
      <c r="A870" s="215" t="n">
        <v>46112</v>
      </c>
      <c r="B870" s="216" t="n">
        <v>11.92</v>
      </c>
      <c r="C870" s="216" t="n">
        <v>24.92</v>
      </c>
      <c r="D870" s="216" t="n">
        <v>1.133540987968445</v>
      </c>
      <c r="E870" s="215" t="n">
        <v>46112</v>
      </c>
      <c r="F870" s="215" t="n">
        <v>46112</v>
      </c>
    </row>
    <row r="871">
      <c r="A871" s="215" t="n">
        <v>46113</v>
      </c>
      <c r="B871" s="216" t="n">
        <v>12.07</v>
      </c>
      <c r="C871" s="216" t="n">
        <v>25.12</v>
      </c>
      <c r="D871" s="216" t="n">
        <v>1.136669993400574</v>
      </c>
      <c r="E871" s="215" t="n">
        <v>46113</v>
      </c>
      <c r="F871" s="215" t="n">
        <v>46113</v>
      </c>
    </row>
    <row r="872">
      <c r="A872" s="215" t="n">
        <v>46114</v>
      </c>
      <c r="B872" s="216" t="n">
        <v>11.99</v>
      </c>
      <c r="C872" s="216" t="n">
        <v>24.02</v>
      </c>
      <c r="D872" s="216" t="n">
        <v>1.140197992324829</v>
      </c>
      <c r="E872" s="215" t="n">
        <v>46114</v>
      </c>
      <c r="F872" s="215" t="n">
        <v>46114</v>
      </c>
    </row>
    <row r="873">
      <c r="A873" s="215" t="n">
        <v>46120</v>
      </c>
      <c r="B873" s="216" t="n">
        <v>13.16</v>
      </c>
      <c r="C873" s="216" t="n">
        <v>25.37</v>
      </c>
      <c r="D873" s="216" t="n">
        <v>1.1423499584198</v>
      </c>
      <c r="E873" s="215" t="n">
        <v>46120</v>
      </c>
      <c r="F873" s="215" t="n">
        <v>46120</v>
      </c>
    </row>
    <row r="874">
      <c r="A874" s="215" t="n">
        <v>46121</v>
      </c>
      <c r="B874" s="216" t="n">
        <v>12.86</v>
      </c>
      <c r="C874" s="216" t="n">
        <v>25.01</v>
      </c>
      <c r="D874" s="216" t="n">
        <v>1.146731972694397</v>
      </c>
      <c r="E874" s="215" t="n">
        <v>46121</v>
      </c>
      <c r="F874" s="215" t="n">
        <v>46121</v>
      </c>
    </row>
    <row r="875">
      <c r="A875" s="215" t="n">
        <v>46122</v>
      </c>
      <c r="B875" s="216" t="n">
        <v>13.05</v>
      </c>
      <c r="C875" s="216" t="n">
        <v>25.24</v>
      </c>
      <c r="D875" s="216" t="n">
        <v>1.146558046340942</v>
      </c>
      <c r="E875" s="215" t="n">
        <v>46122</v>
      </c>
      <c r="F875" s="215" t="n">
        <v>46122</v>
      </c>
    </row>
    <row r="876">
      <c r="A876" s="215" t="n">
        <v>46125</v>
      </c>
      <c r="B876" s="216" t="n">
        <v>12.86</v>
      </c>
      <c r="C876" s="216" t="n">
        <v>25.15</v>
      </c>
      <c r="D876" s="216" t="n">
        <v>1.147117972373962</v>
      </c>
      <c r="E876" s="215" t="n">
        <v>46125</v>
      </c>
      <c r="F876" s="215" t="n">
        <v>46125</v>
      </c>
    </row>
    <row r="877">
      <c r="A877" s="215" t="n">
        <v>46126</v>
      </c>
      <c r="B877" s="216" t="n">
        <v>13.37</v>
      </c>
      <c r="C877" s="216" t="n">
        <v>25.36</v>
      </c>
      <c r="D877" s="216" t="n">
        <v>1.146226048469543</v>
      </c>
      <c r="E877" s="215" t="n">
        <v>46126</v>
      </c>
      <c r="F877" s="215" t="n">
        <v>46126</v>
      </c>
    </row>
    <row r="878">
      <c r="A878" s="215" t="n">
        <v>46127</v>
      </c>
      <c r="B878" s="216" t="n">
        <v>13.56</v>
      </c>
      <c r="C878" s="216" t="n">
        <v>24.9</v>
      </c>
      <c r="D878" s="216" t="n">
        <v>1.149266004562378</v>
      </c>
      <c r="E878" s="215" t="n">
        <v>46127</v>
      </c>
      <c r="F878" s="215" t="n">
        <v>46127</v>
      </c>
    </row>
    <row r="879">
      <c r="A879" s="215" t="n">
        <v>46128</v>
      </c>
      <c r="B879" s="216" t="n">
        <v>13.85</v>
      </c>
      <c r="C879" s="216" t="n">
        <v>25.68</v>
      </c>
      <c r="D879" s="216" t="n">
        <v>1.148550033569336</v>
      </c>
      <c r="E879" s="215" t="n">
        <v>46128</v>
      </c>
      <c r="F879" s="215" t="n">
        <v>46128</v>
      </c>
    </row>
    <row r="880">
      <c r="A880" s="215" t="n">
        <v>46129</v>
      </c>
      <c r="B880" s="216" t="n">
        <v>13.73</v>
      </c>
      <c r="C880" s="216" t="n">
        <v>25.79</v>
      </c>
      <c r="D880" s="216" t="n">
        <v>1.146605014801025</v>
      </c>
      <c r="E880" s="215" t="n">
        <v>46129</v>
      </c>
      <c r="F880" s="215" t="n">
        <v>46129</v>
      </c>
    </row>
    <row r="881">
      <c r="A881" s="215" t="n">
        <v>46132</v>
      </c>
      <c r="B881" s="216" t="n">
        <v>13.86</v>
      </c>
      <c r="C881" s="216" t="n">
        <v>26.32</v>
      </c>
      <c r="D881" s="216" t="n">
        <v>1.148360967636108</v>
      </c>
      <c r="E881" s="215" t="n">
        <v>46132</v>
      </c>
      <c r="F881" s="215" t="n">
        <v>46132</v>
      </c>
    </row>
    <row r="882">
      <c r="A882" s="215" t="n">
        <v>46133</v>
      </c>
      <c r="B882" s="216" t="n">
        <v>13.59</v>
      </c>
      <c r="C882" s="216" t="n">
        <v>25.85</v>
      </c>
      <c r="D882" s="216" t="n">
        <v>1.148368000984192</v>
      </c>
      <c r="E882" s="215" t="n">
        <v>46133</v>
      </c>
      <c r="F882" s="215" t="n">
        <v>46133</v>
      </c>
    </row>
    <row r="883">
      <c r="A883" s="215" t="n">
        <v>46134</v>
      </c>
      <c r="B883" s="216" t="n">
        <v>13.95</v>
      </c>
      <c r="C883" s="216" t="n">
        <v>26.57</v>
      </c>
      <c r="D883" s="216" t="n">
        <v>1.147838950157166</v>
      </c>
      <c r="E883" s="215" t="n">
        <v>46134</v>
      </c>
      <c r="F883" s="215" t="n">
        <v>46134</v>
      </c>
    </row>
    <row r="884">
      <c r="A884" s="215" t="n">
        <v>46135</v>
      </c>
      <c r="B884" s="216" t="n">
        <v>13.36</v>
      </c>
      <c r="C884" s="216" t="n">
        <v>26</v>
      </c>
      <c r="D884" s="216" t="n">
        <v>1.147513031959534</v>
      </c>
      <c r="E884" s="215" t="n">
        <v>46135</v>
      </c>
      <c r="F884" s="215" t="n">
        <v>46135</v>
      </c>
    </row>
    <row r="885">
      <c r="A885" s="215" t="n">
        <v>46136</v>
      </c>
      <c r="B885" s="216" t="n">
        <v>12.09</v>
      </c>
      <c r="C885" s="216" t="n">
        <v>22.64</v>
      </c>
      <c r="D885" s="216" t="n">
        <v>1.147369027137756</v>
      </c>
      <c r="E885" s="215" t="n">
        <v>46136</v>
      </c>
      <c r="F885" s="215" t="n">
        <v>46136</v>
      </c>
    </row>
    <row r="886">
      <c r="A886" s="215" t="n">
        <v>46139</v>
      </c>
      <c r="B886" s="216" t="n">
        <v>12.44</v>
      </c>
      <c r="C886" s="216" t="n">
        <v>23.26</v>
      </c>
      <c r="D886" s="216" t="n">
        <v>1.146002054214478</v>
      </c>
      <c r="E886" s="215" t="n">
        <v>46139</v>
      </c>
      <c r="F886" s="215" t="n">
        <v>46139</v>
      </c>
    </row>
    <row r="887">
      <c r="A887" s="215" t="n">
        <v>46140</v>
      </c>
      <c r="B887" s="216" t="n">
        <v>11.87</v>
      </c>
      <c r="C887" s="216" t="n">
        <v>22.55</v>
      </c>
      <c r="D887" s="216" t="n">
        <v>1.148522019386292</v>
      </c>
      <c r="E887" s="215" t="n">
        <v>46140</v>
      </c>
      <c r="F887" s="215" t="n">
        <v>46140</v>
      </c>
    </row>
    <row r="888">
      <c r="A888" s="215" t="n">
        <v>46141</v>
      </c>
      <c r="B888" s="216" t="n">
        <v>11.97</v>
      </c>
      <c r="C888" s="216" t="n">
        <v>22.5</v>
      </c>
      <c r="D888" s="216" t="n">
        <v>1.145936012268066</v>
      </c>
      <c r="E888" s="215" t="n">
        <v>46141</v>
      </c>
      <c r="F888" s="215" t="n">
        <v>46141</v>
      </c>
    </row>
    <row r="889">
      <c r="A889" s="215" t="n">
        <v>46142</v>
      </c>
      <c r="B889" s="216" t="n">
        <v>11.83</v>
      </c>
      <c r="C889" s="216" t="n">
        <v>22.45</v>
      </c>
      <c r="D889" s="216" t="n">
        <v>1.145792007446289</v>
      </c>
      <c r="E889" s="215" t="n">
        <v>46142</v>
      </c>
      <c r="F889" s="215" t="n">
        <v>46142</v>
      </c>
    </row>
    <row r="890">
      <c r="A890" s="215" t="n">
        <v>46146</v>
      </c>
      <c r="B890" s="216" t="n">
        <v>11.33</v>
      </c>
      <c r="C890" s="216" t="n">
        <v>22.45</v>
      </c>
      <c r="D890" s="216" t="n">
        <v>1.147340059280396</v>
      </c>
      <c r="E890" s="215" t="n">
        <v>46142</v>
      </c>
      <c r="F890" s="215" t="n">
        <v>46146</v>
      </c>
    </row>
    <row r="891">
      <c r="A891" s="215" t="n">
        <v>46147</v>
      </c>
      <c r="B891" s="216" t="n">
        <v>11.11</v>
      </c>
      <c r="C891" s="216" t="n">
        <v>22.45</v>
      </c>
      <c r="D891" s="216" t="n">
        <v>1.146813988685608</v>
      </c>
      <c r="E891" s="215" t="n">
        <v>46142</v>
      </c>
      <c r="F891" s="215" t="n">
        <v>46147</v>
      </c>
    </row>
    <row r="892">
      <c r="A892" s="215" t="n">
        <v>46148</v>
      </c>
      <c r="B892" s="216" t="n">
        <v>11.53</v>
      </c>
      <c r="C892" s="216" t="n">
        <v>22.61</v>
      </c>
      <c r="D892" s="216" t="n">
        <v>1.14708399772644</v>
      </c>
      <c r="E892" s="215" t="n">
        <v>46148</v>
      </c>
      <c r="F892" s="215" t="n">
        <v>46148</v>
      </c>
    </row>
    <row r="893">
      <c r="A893" s="215" t="n">
        <v>46149</v>
      </c>
      <c r="B893" s="216" t="n">
        <v>11.89</v>
      </c>
      <c r="C893" s="216" t="n">
        <v>23.41</v>
      </c>
      <c r="D893" s="216" t="n">
        <v>1.150125026702881</v>
      </c>
      <c r="E893" s="215" t="n">
        <v>46149</v>
      </c>
      <c r="F893" s="215" t="n">
        <v>46149</v>
      </c>
    </row>
    <row r="894">
      <c r="A894" s="215" t="n">
        <v>46150</v>
      </c>
      <c r="B894" s="216" t="n">
        <v>11.72</v>
      </c>
      <c r="C894" s="216" t="n">
        <v>23.51</v>
      </c>
      <c r="D894" s="216" t="n">
        <v>1.15172004699707</v>
      </c>
      <c r="E894" s="215" t="n">
        <v>46150</v>
      </c>
      <c r="F894" s="215" t="n">
        <v>46150</v>
      </c>
    </row>
    <row r="895">
      <c r="A895" s="215" t="n">
        <v>46153</v>
      </c>
      <c r="B895" s="216" t="n">
        <v>11.78</v>
      </c>
      <c r="C895" s="216" t="n">
        <v>23.92</v>
      </c>
      <c r="D895" s="216" t="n">
        <v>1.151090025901794</v>
      </c>
      <c r="E895" s="215" t="n">
        <v>46153</v>
      </c>
      <c r="F895" s="215" t="n">
        <v>46153</v>
      </c>
    </row>
    <row r="896">
      <c r="A896" s="215" t="n">
        <v>46154</v>
      </c>
      <c r="B896" s="216" t="n">
        <v>11.41</v>
      </c>
      <c r="C896" s="216" t="n">
        <v>23.42</v>
      </c>
      <c r="D896" s="216" t="n">
        <v>1.152078986167908</v>
      </c>
      <c r="E896" s="215" t="n">
        <v>46154</v>
      </c>
      <c r="F896" s="215" t="n">
        <v>46154</v>
      </c>
    </row>
    <row r="897">
      <c r="A897" s="215" t="n">
        <v>46155</v>
      </c>
      <c r="B897" s="216" t="n">
        <v>11.91</v>
      </c>
      <c r="C897" s="216" t="n">
        <v>24.8</v>
      </c>
      <c r="D897" s="216" t="n">
        <v>1.152537941932678</v>
      </c>
      <c r="E897" s="215" t="n">
        <v>46155</v>
      </c>
      <c r="F897" s="215" t="n">
        <v>46155</v>
      </c>
    </row>
    <row r="898">
      <c r="A898" s="215" t="n">
        <v>46156</v>
      </c>
      <c r="B898" s="216" t="n">
        <v>11.43</v>
      </c>
      <c r="C898" s="216" t="n">
        <v>24.07</v>
      </c>
      <c r="D898" s="216" t="n">
        <v>1.152662992477417</v>
      </c>
      <c r="E898" s="215" t="n">
        <v>46156</v>
      </c>
      <c r="F898" s="215" t="n">
        <v>46156</v>
      </c>
    </row>
    <row r="899">
      <c r="A899" s="215" t="n">
        <v>46157</v>
      </c>
      <c r="B899" s="216" t="n">
        <v>11.44</v>
      </c>
      <c r="C899" s="216" t="n">
        <v>24.29</v>
      </c>
      <c r="D899" s="216" t="n">
        <v>1.154320001602173</v>
      </c>
      <c r="E899" s="215" t="n">
        <v>46157</v>
      </c>
      <c r="F899" s="215" t="n">
        <v>46157</v>
      </c>
    </row>
    <row r="900">
      <c r="A900" s="215" t="n">
        <v>46160</v>
      </c>
      <c r="B900" s="216" t="n">
        <v>11.45</v>
      </c>
      <c r="C900" s="216" t="n">
        <v>24.75</v>
      </c>
      <c r="D900" s="216" t="n">
        <v>1.149821996688843</v>
      </c>
      <c r="E900" s="215" t="n">
        <v>46160</v>
      </c>
      <c r="F900" s="215" t="n">
        <v>46160</v>
      </c>
    </row>
    <row r="901">
      <c r="A901" s="215" t="n">
        <v>46161</v>
      </c>
      <c r="B901" s="216" t="n">
        <v>11.52</v>
      </c>
      <c r="C901" s="216" t="n">
        <v>25.18</v>
      </c>
      <c r="D901" s="216" t="n">
        <v>1.151532053947449</v>
      </c>
      <c r="E901" s="215" t="n">
        <v>46161</v>
      </c>
      <c r="F901" s="215" t="n">
        <v>46161</v>
      </c>
    </row>
    <row r="902">
      <c r="A902" s="215" t="n">
        <v>46162</v>
      </c>
      <c r="B902" s="216" t="n">
        <v>10.9</v>
      </c>
      <c r="C902" s="216" t="n">
        <v>24.16</v>
      </c>
      <c r="D902" s="216" t="n">
        <v>1.149292945861816</v>
      </c>
      <c r="E902" s="215" t="n">
        <v>46162</v>
      </c>
      <c r="F902" s="215" t="n">
        <v>46162</v>
      </c>
    </row>
    <row r="903">
      <c r="A903" s="215" t="n">
        <v>46163</v>
      </c>
      <c r="B903" s="216" t="n">
        <v>10.88</v>
      </c>
      <c r="C903" s="216" t="n">
        <v>23.36</v>
      </c>
      <c r="D903" s="216" t="n">
        <v>1.151231050491333</v>
      </c>
      <c r="E903" s="215" t="n">
        <v>46163</v>
      </c>
      <c r="F903" s="215" t="n">
        <v>46163</v>
      </c>
    </row>
    <row r="904">
      <c r="A904" s="215" t="n">
        <v>46164</v>
      </c>
      <c r="B904" s="216" t="n">
        <v>11.23</v>
      </c>
      <c r="C904" s="216" t="n">
        <v>23.46</v>
      </c>
      <c r="D904" s="216" t="n">
        <v>1.151487946510315</v>
      </c>
      <c r="E904" s="215" t="n">
        <v>46164</v>
      </c>
      <c r="F904" s="215" t="n">
        <v>46164</v>
      </c>
    </row>
    <row r="905">
      <c r="A905" s="215" t="n">
        <v>46168</v>
      </c>
      <c r="B905" s="216" t="n">
        <v>11.31</v>
      </c>
      <c r="C905" s="216" t="n">
        <v>23.53</v>
      </c>
      <c r="D905" s="216" t="n">
        <v>1.152968049049377</v>
      </c>
      <c r="E905" s="215" t="n">
        <v>46168</v>
      </c>
      <c r="F905" s="215" t="n">
        <v>46168</v>
      </c>
    </row>
    <row r="906">
      <c r="A906" s="215" t="n">
        <v>46169</v>
      </c>
      <c r="B906" s="216" t="n">
        <v>10.89</v>
      </c>
      <c r="C906" s="216" t="n">
        <v>23.06</v>
      </c>
      <c r="D906" s="216" t="n">
        <v>1.154562950134277</v>
      </c>
      <c r="E906" s="215" t="n">
        <v>46169</v>
      </c>
      <c r="F906" s="215" t="n">
        <v>46169</v>
      </c>
    </row>
    <row r="907">
      <c r="A907" s="215" t="n">
        <v>46170</v>
      </c>
      <c r="B907" s="216" t="n">
        <v>10.58</v>
      </c>
      <c r="C907" s="216" t="n">
        <v>22.82</v>
      </c>
      <c r="D907" s="216" t="n">
        <v>1.155385971069336</v>
      </c>
      <c r="E907" s="215" t="n">
        <v>46170</v>
      </c>
      <c r="F907" s="215" t="n">
        <v>46170</v>
      </c>
    </row>
    <row r="908">
      <c r="A908" s="215" t="n">
        <v>46171</v>
      </c>
      <c r="B908" s="216" t="n">
        <v>9.960000000000001</v>
      </c>
      <c r="C908" s="216" t="n">
        <v>21.35</v>
      </c>
      <c r="D908" s="216" t="n">
        <v>1.155282974243164</v>
      </c>
      <c r="E908" s="215" t="n">
        <v>46171</v>
      </c>
      <c r="F908" s="215" t="n">
        <v>46171</v>
      </c>
    </row>
    <row r="909">
      <c r="A909" s="215" t="n">
        <v>46174</v>
      </c>
      <c r="B909" s="216" t="n">
        <v>11.41</v>
      </c>
      <c r="C909" s="216" t="n">
        <v>23.28</v>
      </c>
      <c r="D909" s="216" t="n">
        <v>1.158049941062927</v>
      </c>
      <c r="E909" s="215" t="n">
        <v>46174</v>
      </c>
      <c r="F909" s="215" t="n">
        <v>46174</v>
      </c>
    </row>
    <row r="910">
      <c r="A910" s="215" t="n">
        <v>46175</v>
      </c>
      <c r="B910" s="216" t="n">
        <v>11.2</v>
      </c>
      <c r="C910" s="216" t="n">
        <v>22.83</v>
      </c>
      <c r="D910" s="216" t="n">
        <v>1.158406972885132</v>
      </c>
      <c r="E910" s="215" t="n">
        <v>46175</v>
      </c>
      <c r="F910" s="215" t="n">
        <v>46175</v>
      </c>
    </row>
    <row r="911">
      <c r="A911" s="215" t="n">
        <v>46176</v>
      </c>
      <c r="B911" s="216" t="n">
        <v>11</v>
      </c>
      <c r="C911" s="216" t="n">
        <v>23.02</v>
      </c>
      <c r="D911" s="216" t="n">
        <v>1.15879499912262</v>
      </c>
      <c r="E911" s="215" t="n">
        <v>46176</v>
      </c>
      <c r="F911" s="215" t="n">
        <v>46176</v>
      </c>
    </row>
    <row r="912">
      <c r="A912" s="215" t="n">
        <v>46177</v>
      </c>
      <c r="B912" s="216" t="n">
        <v>10.64</v>
      </c>
      <c r="C912" s="216" t="n">
        <v>22.36</v>
      </c>
      <c r="D912" s="216" t="n">
        <v>1.157420039176941</v>
      </c>
      <c r="E912" s="215" t="n">
        <v>46177</v>
      </c>
      <c r="F912" s="215" t="n">
        <v>46177</v>
      </c>
    </row>
    <row r="913">
      <c r="A913" s="215" t="n">
        <v>46178</v>
      </c>
      <c r="B913" s="216" t="n">
        <v>10.13</v>
      </c>
      <c r="C913" s="216" t="n">
        <v>22.73</v>
      </c>
      <c r="D913" s="216" t="n">
        <v>1.156491994857788</v>
      </c>
      <c r="E913" s="215" t="n">
        <v>46178</v>
      </c>
      <c r="F913" s="215" t="n">
        <v>46178</v>
      </c>
    </row>
    <row r="914">
      <c r="A914" s="215" t="n">
        <v>46181</v>
      </c>
      <c r="B914" s="216" t="n">
        <v>9.92</v>
      </c>
      <c r="C914" s="216" t="n">
        <v>21.83</v>
      </c>
      <c r="D914" s="216" t="n">
        <v>1.157665967941284</v>
      </c>
      <c r="E914" s="215" t="n">
        <v>46181</v>
      </c>
      <c r="F914" s="215" t="n">
        <v>46181</v>
      </c>
    </row>
    <row r="915">
      <c r="A915" s="215" t="n">
        <v>46182</v>
      </c>
      <c r="B915" s="216" t="n">
        <v>9.77</v>
      </c>
      <c r="C915" s="216" t="n">
        <v>21.58</v>
      </c>
      <c r="D915" s="216" t="n">
        <v>1.158027052879333</v>
      </c>
      <c r="E915" s="215" t="n">
        <v>46182</v>
      </c>
      <c r="F915" s="215" t="n">
        <v>46182</v>
      </c>
    </row>
    <row r="916">
      <c r="A916" s="215" t="n">
        <v>46183</v>
      </c>
      <c r="B916" s="216" t="n">
        <v>9.27</v>
      </c>
      <c r="C916" s="216" t="n">
        <v>20.49</v>
      </c>
      <c r="D916" s="216" t="n">
        <v>1.157112002372742</v>
      </c>
      <c r="E916" s="215" t="n">
        <v>46183</v>
      </c>
      <c r="F916" s="215" t="n">
        <v>46183</v>
      </c>
    </row>
    <row r="917">
      <c r="A917" s="215" t="n">
        <v>46184</v>
      </c>
      <c r="B917" s="216" t="n">
        <v>9.050000000000001</v>
      </c>
      <c r="C917" s="216" t="n">
        <v>19.4</v>
      </c>
      <c r="D917" s="216" t="n">
        <v>1.156929016113281</v>
      </c>
      <c r="E917" s="215" t="n">
        <v>46184</v>
      </c>
      <c r="F917" s="215" t="n">
        <v>46184</v>
      </c>
    </row>
    <row r="918">
      <c r="A918" s="215" t="n">
        <v>46185</v>
      </c>
      <c r="B918" s="216" t="n">
        <v>9.119999999999999</v>
      </c>
      <c r="C918" s="216" t="n">
        <v>19.69</v>
      </c>
      <c r="D918" s="216" t="n">
        <v>1.156345963478088</v>
      </c>
      <c r="E918" s="215" t="n">
        <v>46185</v>
      </c>
      <c r="F918" s="215" t="n">
        <v>46185</v>
      </c>
    </row>
    <row r="919">
      <c r="A919" s="215" t="n">
        <v>46188</v>
      </c>
      <c r="B919" s="216" t="n">
        <v>9.369999999999999</v>
      </c>
      <c r="C919" s="216" t="n">
        <v>20.38</v>
      </c>
      <c r="D919" s="216" t="n">
        <v>1.156880021095276</v>
      </c>
      <c r="E919" s="215" t="n">
        <v>46188</v>
      </c>
      <c r="F919" s="215" t="n">
        <v>46188</v>
      </c>
    </row>
    <row r="920">
      <c r="A920" s="215" t="n">
        <v>46189</v>
      </c>
      <c r="B920" s="216" t="n">
        <v>9.199999999999999</v>
      </c>
      <c r="C920" s="216" t="n">
        <v>20.59</v>
      </c>
      <c r="D920" s="216" t="n">
        <v>1.158604025840759</v>
      </c>
      <c r="E920" s="215" t="n">
        <v>46189</v>
      </c>
      <c r="F920" s="215" t="n">
        <v>46189</v>
      </c>
    </row>
    <row r="921">
      <c r="A921" s="215" t="n">
        <v>46190</v>
      </c>
      <c r="B921" s="216" t="n">
        <v>8.92</v>
      </c>
      <c r="C921" s="216" t="n">
        <v>20.08</v>
      </c>
      <c r="D921" s="216" t="n">
        <v>1.158974051475525</v>
      </c>
      <c r="E921" s="215" t="n">
        <v>46190</v>
      </c>
      <c r="F921" s="215" t="n">
        <v>46190</v>
      </c>
    </row>
    <row r="922">
      <c r="A922" s="215" t="n">
        <v>46191</v>
      </c>
      <c r="B922" s="216" t="n">
        <v>8.67</v>
      </c>
      <c r="C922" s="216" t="n">
        <v>20.3</v>
      </c>
      <c r="D922" s="216" t="n">
        <v>1.159355998039246</v>
      </c>
      <c r="E922" s="215" t="n">
        <v>46191</v>
      </c>
      <c r="F922" s="215" t="n">
        <v>46191</v>
      </c>
    </row>
    <row r="923">
      <c r="A923" s="215" t="n">
        <v>46195</v>
      </c>
      <c r="B923" s="216" t="n">
        <v>8.56</v>
      </c>
      <c r="C923" s="216" t="n">
        <v>20.24</v>
      </c>
      <c r="D923" s="216" t="n">
        <v>1.157493948936462</v>
      </c>
      <c r="E923" s="215" t="n">
        <v>46195</v>
      </c>
      <c r="F923" s="215" t="n">
        <v>46195</v>
      </c>
    </row>
    <row r="924">
      <c r="A924" s="215" t="n">
        <v>46196</v>
      </c>
      <c r="B924" s="216" t="n">
        <v>8.5</v>
      </c>
      <c r="C924" s="216" t="n">
        <v>19.97</v>
      </c>
      <c r="D924" s="216" t="n">
        <v>1.156896948814392</v>
      </c>
      <c r="E924" s="215" t="n">
        <v>46196</v>
      </c>
      <c r="F924" s="215" t="n">
        <v>46196</v>
      </c>
    </row>
    <row r="925">
      <c r="A925" s="215" t="n">
        <v>46197</v>
      </c>
      <c r="B925" s="216" t="n">
        <v>8.109999999999999</v>
      </c>
      <c r="C925" s="216" t="n">
        <v>19.45</v>
      </c>
      <c r="D925" s="216" t="n">
        <v>1.154508948326111</v>
      </c>
      <c r="E925" s="215" t="n">
        <v>46197</v>
      </c>
      <c r="F925" s="215" t="n">
        <v>46197</v>
      </c>
    </row>
    <row r="926">
      <c r="A926" s="215" t="n">
        <v>46198</v>
      </c>
      <c r="B926" s="216" t="n">
        <v>7.71</v>
      </c>
      <c r="C926" s="216" t="n">
        <v>19</v>
      </c>
      <c r="D926" s="216" t="n">
        <v>1.154152035713196</v>
      </c>
      <c r="E926" s="215" t="n">
        <v>46198</v>
      </c>
      <c r="F926" s="215" t="n">
        <v>46198</v>
      </c>
    </row>
    <row r="927">
      <c r="A927" s="215" t="n">
        <v>46199</v>
      </c>
      <c r="B927" s="216" t="n">
        <v>7.83</v>
      </c>
      <c r="C927" s="216" t="n">
        <v>19</v>
      </c>
      <c r="D927" s="216" t="n">
        <v>1.154500961303711</v>
      </c>
      <c r="E927" s="215" t="n">
        <v>46199</v>
      </c>
      <c r="F927" s="215" t="n">
        <v>46199</v>
      </c>
    </row>
    <row r="928">
      <c r="A928" s="215" t="n">
        <v>46202</v>
      </c>
      <c r="B928" s="216" t="n">
        <v>7.66</v>
      </c>
      <c r="C928" s="216" t="n">
        <v>17.95</v>
      </c>
      <c r="D928" s="216" t="n">
        <v>1.153512001037598</v>
      </c>
      <c r="E928" s="215" t="n">
        <v>46202</v>
      </c>
      <c r="F928" s="215" t="n">
        <v>46202</v>
      </c>
    </row>
    <row r="929">
      <c r="A929" s="215" t="n">
        <v>46203</v>
      </c>
      <c r="B929" s="216" t="n">
        <v>7.55</v>
      </c>
      <c r="C929" s="216" t="n">
        <v>18.51</v>
      </c>
      <c r="D929" s="216" t="n">
        <v>1.153959035873413</v>
      </c>
      <c r="E929" s="215" t="n">
        <v>46203</v>
      </c>
      <c r="F929" s="215" t="n">
        <v>46203</v>
      </c>
    </row>
    <row r="930">
      <c r="A930" s="215" t="n">
        <v>46205</v>
      </c>
      <c r="B930" s="216" t="n">
        <v>7.3</v>
      </c>
      <c r="C930" s="216" t="n">
        <v>18.06</v>
      </c>
      <c r="D930" s="216" t="n">
        <v>1.154355049133301</v>
      </c>
      <c r="E930" s="215" t="n">
        <v>46205</v>
      </c>
      <c r="F930" s="215" t="n">
        <v>46205</v>
      </c>
    </row>
    <row r="931">
      <c r="A931" s="215" t="n">
        <v>46206</v>
      </c>
      <c r="B931" s="216" t="n">
        <v>7.53</v>
      </c>
      <c r="C931" s="216" t="n">
        <v>18.5</v>
      </c>
      <c r="D931" s="216" t="n">
        <v>1.155220985412598</v>
      </c>
      <c r="E931" s="215" t="n">
        <v>46206</v>
      </c>
      <c r="F931" s="215" t="n">
        <v>46206</v>
      </c>
    </row>
    <row r="932">
      <c r="A932" s="215" t="n">
        <v>46209</v>
      </c>
      <c r="B932" s="216" t="n">
        <v>7.28</v>
      </c>
      <c r="C932" s="216" t="n">
        <v>17.67</v>
      </c>
      <c r="D932" s="216" t="n">
        <v>1.155068039894104</v>
      </c>
      <c r="E932" s="215" t="n">
        <v>46209</v>
      </c>
      <c r="F932" s="215" t="n">
        <v>46209</v>
      </c>
    </row>
    <row r="933">
      <c r="A933" s="215" t="n">
        <v>46210</v>
      </c>
      <c r="B933" s="216" t="n">
        <v>6.89</v>
      </c>
      <c r="C933" s="216" t="n">
        <v>17.22</v>
      </c>
      <c r="D933" s="216" t="n">
        <v>1.153807997703552</v>
      </c>
      <c r="E933" s="215" t="n">
        <v>46210</v>
      </c>
      <c r="F933" s="215" t="n">
        <v>46210</v>
      </c>
    </row>
    <row r="934">
      <c r="A934" s="215" t="n">
        <v>46211</v>
      </c>
      <c r="B934" s="216" t="n">
        <v>6.95</v>
      </c>
      <c r="C934" s="216" t="n">
        <v>17.3</v>
      </c>
      <c r="D934" s="216" t="n">
        <v>1.154153943061829</v>
      </c>
      <c r="E934" s="215" t="n">
        <v>46211</v>
      </c>
      <c r="F934" s="215" t="n">
        <v>46211</v>
      </c>
    </row>
    <row r="935">
      <c r="A935" s="215" t="n">
        <v>46212</v>
      </c>
      <c r="B935" s="216" t="n">
        <v>7.19</v>
      </c>
      <c r="C935" s="216" t="n">
        <v>17.7</v>
      </c>
      <c r="D935" s="216" t="n">
        <v>1.152119994163513</v>
      </c>
      <c r="E935" s="215" t="n">
        <v>46212</v>
      </c>
      <c r="F935" s="215" t="n">
        <v>46212</v>
      </c>
    </row>
    <row r="936">
      <c r="A936" s="215" t="n">
        <v>46213</v>
      </c>
      <c r="B936" s="216" t="n">
        <v>7.55</v>
      </c>
      <c r="C936" s="216" t="n">
        <v>18.11</v>
      </c>
      <c r="D936" s="216" t="n">
        <v>1.153550028800964</v>
      </c>
      <c r="E936" s="215" t="n">
        <v>46213</v>
      </c>
      <c r="F936" s="215" t="n">
        <v>46213</v>
      </c>
    </row>
    <row r="937">
      <c r="A937" s="215" t="n">
        <v>46216</v>
      </c>
      <c r="B937" s="216" t="n">
        <v>7.28</v>
      </c>
      <c r="C937" s="216" t="n">
        <v>17.44</v>
      </c>
      <c r="D937" s="216" t="n">
        <v>1.156761050224304</v>
      </c>
      <c r="E937" s="215" t="n">
        <v>46216</v>
      </c>
      <c r="F937" s="215" t="n">
        <v>46216</v>
      </c>
    </row>
    <row r="938">
      <c r="A938" s="215" t="n">
        <v>46217</v>
      </c>
      <c r="B938" s="216" t="n">
        <v>7.06</v>
      </c>
      <c r="C938" s="216" t="n">
        <v>17.43</v>
      </c>
      <c r="D938" s="216" t="n">
        <v>1.155825972557068</v>
      </c>
      <c r="E938" s="215" t="n">
        <v>46217</v>
      </c>
      <c r="F938" s="215" t="n">
        <v>46217</v>
      </c>
    </row>
    <row r="939">
      <c r="A939" s="215" t="n">
        <v>46218</v>
      </c>
      <c r="B939" s="216" t="n">
        <v>7.51</v>
      </c>
      <c r="C939" s="216" t="n">
        <v>18.18</v>
      </c>
      <c r="D939" s="216" t="n">
        <v>1.157556056976318</v>
      </c>
      <c r="E939" s="215" t="n">
        <v>46218</v>
      </c>
      <c r="F939" s="215" t="n">
        <v>46218</v>
      </c>
    </row>
    <row r="940">
      <c r="A940" s="215" t="n">
        <v>46219</v>
      </c>
      <c r="B940" s="216" t="n">
        <v>7.95</v>
      </c>
      <c r="C940" s="216" t="n">
        <v>20.68</v>
      </c>
      <c r="D940" s="216" t="n">
        <v>1.157912969589233</v>
      </c>
      <c r="E940" s="215" t="n">
        <v>46219</v>
      </c>
      <c r="F940" s="215" t="n">
        <v>46219</v>
      </c>
    </row>
    <row r="941">
      <c r="A941" s="215" t="n">
        <v>46220</v>
      </c>
      <c r="B941" s="216" t="n">
        <v>7.38</v>
      </c>
      <c r="C941" s="216" t="n">
        <v>19.91</v>
      </c>
      <c r="D941" s="216" t="n">
        <v>1.157472014427185</v>
      </c>
      <c r="E941" s="215" t="n">
        <v>46220</v>
      </c>
      <c r="F941" s="215" t="n">
        <v>46220</v>
      </c>
    </row>
    <row r="942">
      <c r="A942" s="215" t="n">
        <v>46223</v>
      </c>
      <c r="B942" s="216" t="n">
        <v>7.44</v>
      </c>
      <c r="C942" s="216" t="n">
        <v>20</v>
      </c>
      <c r="D942" s="216" t="n">
        <v>1.157451033592224</v>
      </c>
      <c r="E942" s="215" t="n">
        <v>46223</v>
      </c>
      <c r="F942" s="215" t="n">
        <v>46223</v>
      </c>
    </row>
    <row r="943">
      <c r="A943" s="215" t="n">
        <v>46224</v>
      </c>
      <c r="B943" s="216" t="n">
        <v>7.58</v>
      </c>
      <c r="C943" s="216" t="n">
        <v>19.9</v>
      </c>
      <c r="D943" s="216" t="n">
        <v>1.157506942749023</v>
      </c>
      <c r="E943" s="215" t="n">
        <v>46224</v>
      </c>
      <c r="F943" s="215" t="n">
        <v>46224</v>
      </c>
    </row>
    <row r="944">
      <c r="A944" s="215" t="n">
        <v>46225</v>
      </c>
      <c r="B944" s="216" t="n">
        <v>7.93</v>
      </c>
      <c r="C944" s="216" t="n">
        <v>21.08</v>
      </c>
      <c r="D944" s="216" t="n">
        <v>1.158938050270081</v>
      </c>
      <c r="E944" s="215" t="n">
        <v>46225</v>
      </c>
      <c r="F944" s="215" t="n">
        <v>46225</v>
      </c>
    </row>
    <row r="945">
      <c r="A945" s="215" t="n">
        <v>46226</v>
      </c>
      <c r="B945" s="216" t="n">
        <v>7.63</v>
      </c>
      <c r="C945" s="216" t="n">
        <v>20.01</v>
      </c>
      <c r="D945" s="216" t="n">
        <v>1.157410979270935</v>
      </c>
      <c r="E945" s="215" t="n">
        <v>46226</v>
      </c>
      <c r="F945" s="215" t="n">
        <v>46226</v>
      </c>
    </row>
    <row r="946">
      <c r="A946" s="215" t="n">
        <v>46227</v>
      </c>
      <c r="B946" s="216" t="n">
        <v>7.48</v>
      </c>
      <c r="C946" s="216" t="n">
        <v>19.83</v>
      </c>
      <c r="D946" s="216" t="n">
        <v>1.15762197971344</v>
      </c>
      <c r="E946" s="215" t="n">
        <v>46227</v>
      </c>
      <c r="F946" s="215" t="n">
        <v>46227</v>
      </c>
    </row>
    <row r="947">
      <c r="A947" s="215" t="n">
        <v>46230</v>
      </c>
      <c r="B947" s="216" t="n">
        <v>7.59</v>
      </c>
      <c r="C947" s="216" t="n">
        <v>19.93</v>
      </c>
      <c r="D947" s="216" t="n">
        <v>1.15789794921875</v>
      </c>
      <c r="E947" s="215" t="n">
        <v>46230</v>
      </c>
      <c r="F947" s="215" t="n">
        <v>46230</v>
      </c>
    </row>
    <row r="948">
      <c r="A948" s="215" t="n">
        <v>46231</v>
      </c>
      <c r="B948" s="216" t="n">
        <v>7.25</v>
      </c>
      <c r="C948" s="216" t="n">
        <v>19.64</v>
      </c>
      <c r="D948" s="216" t="n">
        <v>1.158699035644531</v>
      </c>
      <c r="E948" s="215" t="n">
        <v>46231</v>
      </c>
      <c r="F948" s="215" t="n">
        <v>46231</v>
      </c>
    </row>
    <row r="949">
      <c r="A949" s="215" t="n">
        <v>46232</v>
      </c>
      <c r="B949" s="216" t="n">
        <v>7.52</v>
      </c>
      <c r="C949" s="216" t="n">
        <v>20.3</v>
      </c>
      <c r="D949" s="216" t="n">
        <v>1.157909989356995</v>
      </c>
      <c r="E949" s="215" t="n">
        <v>46232</v>
      </c>
      <c r="F949" s="215" t="n">
        <v>46232</v>
      </c>
    </row>
    <row r="950">
      <c r="A950" s="215" t="n">
        <v>46233</v>
      </c>
      <c r="B950" s="216" t="n">
        <v>7.43</v>
      </c>
      <c r="C950" s="216" t="n">
        <v>19.22</v>
      </c>
      <c r="D950" s="216" t="n">
        <v>1.158943057060242</v>
      </c>
      <c r="E950" s="215" t="n">
        <v>46233</v>
      </c>
      <c r="F950" s="215" t="n">
        <v>46233</v>
      </c>
    </row>
    <row r="951">
      <c r="A951" s="215" t="n">
        <v>46234</v>
      </c>
      <c r="B951" s="216" t="n">
        <v>7.9</v>
      </c>
      <c r="C951" s="216" t="n">
        <v>20.7</v>
      </c>
      <c r="D951" s="216" t="n">
        <v>1.160945057868958</v>
      </c>
      <c r="E951" s="215" t="n">
        <v>46234</v>
      </c>
      <c r="F951" s="215" t="n">
        <v>46234</v>
      </c>
    </row>
    <row r="952">
      <c r="A952" s="215" t="n">
        <v>46237</v>
      </c>
      <c r="B952" s="216" t="n">
        <v>7.75</v>
      </c>
      <c r="C952" s="216" t="n">
        <v>20.62</v>
      </c>
      <c r="D952" s="216" t="n">
        <v>1.161579966545105</v>
      </c>
      <c r="E952" s="215" t="n">
        <v>46237</v>
      </c>
      <c r="F952" s="215" t="n">
        <v>46237</v>
      </c>
    </row>
    <row r="953">
      <c r="A953" s="215" t="n">
        <v>46238</v>
      </c>
      <c r="B953" s="216" t="n">
        <v>7.765</v>
      </c>
      <c r="C953" s="216" t="n">
        <v>21.1</v>
      </c>
      <c r="D953" s="216" t="n">
        <v>1.161064982414246</v>
      </c>
      <c r="E953" s="215" t="n">
        <v>46238</v>
      </c>
      <c r="F953" s="215" t="n">
        <v>46238</v>
      </c>
    </row>
    <row r="954">
      <c r="A954" s="215" t="n">
        <v>46239</v>
      </c>
      <c r="B954" s="216" t="n">
        <v>7.89</v>
      </c>
      <c r="C954" s="216" t="n">
        <v>21.32</v>
      </c>
      <c r="D954" s="216" t="n">
        <v>1.161146998405457</v>
      </c>
      <c r="E954" s="215" t="n">
        <v>46239</v>
      </c>
      <c r="F954" s="215" t="n">
        <v>46239</v>
      </c>
    </row>
    <row r="955">
      <c r="A955" s="215" t="n">
        <v>46240</v>
      </c>
      <c r="B955" s="216" t="n">
        <v>8.23</v>
      </c>
      <c r="C955" s="216" t="n">
        <v>21.42</v>
      </c>
      <c r="D955" s="216" t="n">
        <v>1.161936044692993</v>
      </c>
      <c r="E955" s="215" t="n">
        <v>46240</v>
      </c>
      <c r="F955" s="215" t="n">
        <v>46240</v>
      </c>
    </row>
    <row r="956">
      <c r="A956" s="215" t="n">
        <v>46241</v>
      </c>
      <c r="B956" s="216" t="n">
        <v>7.975</v>
      </c>
      <c r="C956" s="216" t="n">
        <v>20.83</v>
      </c>
      <c r="D956" s="216" t="n">
        <v>1.162284016609192</v>
      </c>
      <c r="E956" s="215" t="n">
        <v>46241</v>
      </c>
      <c r="F956" s="215" t="n">
        <v>46241</v>
      </c>
    </row>
    <row r="957">
      <c r="A957" s="215" t="n">
        <v>46244</v>
      </c>
      <c r="B957" s="216" t="n">
        <v>7.905</v>
      </c>
      <c r="C957" s="216" t="n">
        <v>20.43</v>
      </c>
      <c r="D957" s="216" t="n">
        <v>1.162629961967468</v>
      </c>
      <c r="E957" s="215" t="n">
        <v>46244</v>
      </c>
      <c r="F957" s="215" t="n">
        <v>46244</v>
      </c>
    </row>
    <row r="958">
      <c r="A958" s="215" t="n">
        <v>46245</v>
      </c>
      <c r="B958" s="216" t="n">
        <v>8.02</v>
      </c>
      <c r="C958" s="216" t="n">
        <v>21.23</v>
      </c>
      <c r="D958" s="216" t="n">
        <v>1.162588000297546</v>
      </c>
      <c r="E958" s="215" t="n">
        <v>46245</v>
      </c>
      <c r="F958" s="215" t="n">
        <v>46245</v>
      </c>
    </row>
    <row r="959">
      <c r="A959" s="215" t="n">
        <v>46246</v>
      </c>
      <c r="B959" s="216" t="n">
        <v>8.17</v>
      </c>
      <c r="C959" s="216" t="n">
        <v>21.26</v>
      </c>
      <c r="D959" s="216" t="n">
        <v>1.163135051727295</v>
      </c>
      <c r="E959" s="215" t="n">
        <v>46246</v>
      </c>
      <c r="F959" s="215" t="n">
        <v>46246</v>
      </c>
    </row>
    <row r="960">
      <c r="A960" s="215" t="n">
        <v>46247</v>
      </c>
      <c r="B960" s="216" t="n">
        <v>7.95</v>
      </c>
      <c r="C960" s="216" t="n">
        <v>20.67</v>
      </c>
      <c r="D960" s="216" t="n">
        <v>1.163341045379639</v>
      </c>
      <c r="E960" s="215" t="n">
        <v>46247</v>
      </c>
      <c r="F960" s="215" t="n">
        <v>46247</v>
      </c>
    </row>
    <row r="961">
      <c r="A961" s="215" t="n">
        <v>46248</v>
      </c>
      <c r="B961" s="216" t="n">
        <v>7.88</v>
      </c>
      <c r="C961" s="216" t="n">
        <v>20.02</v>
      </c>
      <c r="D961" s="216" t="n">
        <v>1.163571000099182</v>
      </c>
      <c r="E961" s="215" t="n">
        <v>46248</v>
      </c>
      <c r="F961" s="215" t="n">
        <v>46248</v>
      </c>
    </row>
    <row r="962">
      <c r="A962" s="215" t="n">
        <v>46251</v>
      </c>
      <c r="B962" s="216" t="n">
        <v>7.975</v>
      </c>
      <c r="C962" s="216" t="n">
        <v>20.22</v>
      </c>
      <c r="D962" s="216" t="n">
        <v>1.163601994514465</v>
      </c>
      <c r="E962" s="215" t="n">
        <v>46251</v>
      </c>
      <c r="F962" s="215" t="n">
        <v>46251</v>
      </c>
    </row>
    <row r="963">
      <c r="A963" s="215" t="n">
        <v>46252</v>
      </c>
      <c r="B963" s="216" t="n">
        <v>7.88</v>
      </c>
      <c r="C963" s="216" t="n">
        <v>19.84</v>
      </c>
      <c r="D963" s="216" t="n">
        <v>1.163733005523682</v>
      </c>
      <c r="E963" s="215" t="n">
        <v>46252</v>
      </c>
      <c r="F963" s="215" t="n">
        <v>46252</v>
      </c>
    </row>
    <row r="964">
      <c r="A964" s="215" t="n">
        <v>46253</v>
      </c>
      <c r="B964" s="216" t="n">
        <v>7.455</v>
      </c>
      <c r="C964" s="216" t="n">
        <v>18.65</v>
      </c>
      <c r="D964" s="216" t="n">
        <v>1.163092017173767</v>
      </c>
      <c r="E964" s="215" t="n">
        <v>46253</v>
      </c>
      <c r="F964" s="215" t="n">
        <v>46253</v>
      </c>
    </row>
    <row r="965">
      <c r="A965" s="215" t="n">
        <v>46254</v>
      </c>
      <c r="B965" s="216" t="n">
        <v>7.6</v>
      </c>
      <c r="C965" s="216" t="n">
        <v>18.83</v>
      </c>
      <c r="D965" s="216" t="n">
        <v>1.164932012557983</v>
      </c>
      <c r="E965" s="215" t="n">
        <v>46254</v>
      </c>
      <c r="F965" s="215" t="n">
        <v>46254</v>
      </c>
    </row>
    <row r="966">
      <c r="A966" s="215" t="n">
        <v>46255</v>
      </c>
      <c r="B966" s="216" t="n">
        <v>7.68</v>
      </c>
      <c r="C966" s="216" t="n">
        <v>18.88</v>
      </c>
      <c r="D966" s="216" t="n">
        <v>1.166555047035217</v>
      </c>
      <c r="E966" s="215" t="n">
        <v>46255</v>
      </c>
      <c r="F966" s="215" t="n">
        <v>46255</v>
      </c>
    </row>
    <row r="967">
      <c r="A967" s="215" t="n">
        <v>46258</v>
      </c>
      <c r="B967" s="216" t="n">
        <v>7.46</v>
      </c>
      <c r="C967" s="216" t="n">
        <v>18.65</v>
      </c>
      <c r="D967" s="216" t="n">
        <v>1.166316986083984</v>
      </c>
      <c r="E967" s="215" t="n">
        <v>46258</v>
      </c>
      <c r="F967" s="215" t="n">
        <v>46258</v>
      </c>
    </row>
    <row r="968">
      <c r="A968" s="215" t="n">
        <v>46259</v>
      </c>
      <c r="B968" s="216" t="n">
        <v>7.46</v>
      </c>
      <c r="C968" s="216" t="n">
        <v>18.69</v>
      </c>
      <c r="D968" s="216" t="n">
        <v>1.165253043174744</v>
      </c>
      <c r="E968" s="215" t="n">
        <v>46259</v>
      </c>
      <c r="F968" s="215" t="n">
        <v>46259</v>
      </c>
    </row>
    <row r="969">
      <c r="A969" s="215" t="n">
        <v>46260</v>
      </c>
      <c r="B969" s="216" t="n">
        <v>7.6</v>
      </c>
      <c r="C969" s="216" t="n">
        <v>19.1</v>
      </c>
      <c r="D969" s="216" t="n">
        <v>1.166218996047974</v>
      </c>
      <c r="E969" s="215" t="n">
        <v>46260</v>
      </c>
      <c r="F969" s="215" t="n">
        <v>46260</v>
      </c>
    </row>
    <row r="970">
      <c r="A970" s="215" t="n">
        <v>46261</v>
      </c>
      <c r="B970" s="216" t="n">
        <v>7.65</v>
      </c>
      <c r="C970" s="216" t="n">
        <v>18.98</v>
      </c>
      <c r="D970" s="216" t="n">
        <v>1.165971040725708</v>
      </c>
      <c r="E970" s="215" t="n">
        <v>46261</v>
      </c>
      <c r="F970" s="215" t="n">
        <v>46261</v>
      </c>
    </row>
    <row r="971">
      <c r="A971" s="215" t="n">
        <v>46262</v>
      </c>
      <c r="B971" s="216" t="n">
        <v>7.535</v>
      </c>
      <c r="C971" s="216" t="n">
        <v>18.73</v>
      </c>
      <c r="D971" s="216" t="n">
        <v>1.165799975395203</v>
      </c>
      <c r="E971" s="215" t="n">
        <v>46262</v>
      </c>
      <c r="F971" s="215" t="n">
        <v>46262</v>
      </c>
    </row>
    <row r="972">
      <c r="A972" s="215" t="n">
        <v>46265</v>
      </c>
      <c r="B972" s="216" t="n">
        <v>7.8</v>
      </c>
      <c r="C972" s="216" t="n">
        <v>19.88</v>
      </c>
      <c r="D972" s="216" t="n">
        <v>1.165387988090515</v>
      </c>
      <c r="E972" s="215" t="n">
        <v>46265</v>
      </c>
      <c r="F972" s="215" t="n">
        <v>46265</v>
      </c>
    </row>
    <row r="973">
      <c r="A973" s="215" t="n">
        <v>46266</v>
      </c>
      <c r="B973" s="216" t="n">
        <v>7.69</v>
      </c>
      <c r="C973" s="216" t="n">
        <v>19.89</v>
      </c>
      <c r="D973" s="216" t="n">
        <v>1.165223956108093</v>
      </c>
      <c r="E973" s="215" t="n">
        <v>46266</v>
      </c>
      <c r="F973" s="215" t="n">
        <v>46266</v>
      </c>
    </row>
    <row r="974">
      <c r="A974" s="215" t="n">
        <v>46267</v>
      </c>
      <c r="B974" s="216" t="n">
        <v>7.82</v>
      </c>
      <c r="C974" s="216" t="n">
        <v>20.07</v>
      </c>
      <c r="D974" s="216" t="n">
        <v>1.166425943374634</v>
      </c>
      <c r="E974" s="215" t="n">
        <v>46267</v>
      </c>
      <c r="F974" s="215" t="n">
        <v>46267</v>
      </c>
    </row>
    <row r="975">
      <c r="A975" s="215" t="n">
        <v>46268</v>
      </c>
      <c r="B975" s="216" t="n">
        <v>7.75</v>
      </c>
      <c r="C975" s="216" t="n">
        <v>19.53</v>
      </c>
      <c r="D975" s="216" t="n">
        <v>1.167057037353516</v>
      </c>
      <c r="E975" s="215" t="n">
        <v>46268</v>
      </c>
      <c r="F975" s="215" t="n">
        <v>46268</v>
      </c>
    </row>
    <row r="976">
      <c r="A976" s="215" t="n">
        <v>46269</v>
      </c>
      <c r="B976" s="216" t="n">
        <v>7.735</v>
      </c>
      <c r="C976" s="216" t="n">
        <v>19.08</v>
      </c>
      <c r="D976" s="216" t="n">
        <v>1.166767954826355</v>
      </c>
      <c r="E976" s="215" t="n">
        <v>46269</v>
      </c>
      <c r="F976" s="215" t="n">
        <v>46269</v>
      </c>
    </row>
    <row r="977">
      <c r="A977" s="215" t="n">
        <v>46272</v>
      </c>
      <c r="B977" s="216" t="n">
        <v>7.72</v>
      </c>
      <c r="C977" s="216" t="n">
        <v>19.09</v>
      </c>
      <c r="D977" s="216" t="n">
        <v>1.168081045150757</v>
      </c>
      <c r="E977" s="215" t="n">
        <v>46272</v>
      </c>
      <c r="F977" s="215" t="n">
        <v>46272</v>
      </c>
    </row>
    <row r="978">
      <c r="A978" s="215" t="n">
        <v>46273</v>
      </c>
      <c r="B978" s="216" t="n">
        <v>7.645</v>
      </c>
      <c r="C978" s="216" t="n">
        <v>18.95</v>
      </c>
      <c r="D978" s="216" t="n">
        <v>1.168115019798279</v>
      </c>
      <c r="E978" s="215" t="n">
        <v>46273</v>
      </c>
      <c r="F978" s="215" t="n">
        <v>46273</v>
      </c>
    </row>
    <row r="979">
      <c r="A979" s="215" t="n">
        <v>46274</v>
      </c>
      <c r="B979" s="216" t="n">
        <v>7.33</v>
      </c>
      <c r="C979" s="216" t="n">
        <v>18.32</v>
      </c>
      <c r="D979" s="216" t="n">
        <v>1.168408989906311</v>
      </c>
      <c r="E979" s="215" t="n">
        <v>46274</v>
      </c>
      <c r="F979" s="215" t="n">
        <v>46274</v>
      </c>
    </row>
    <row r="980">
      <c r="A980" s="215" t="n">
        <v>46275</v>
      </c>
      <c r="B980" s="216" t="n">
        <v>7.2</v>
      </c>
      <c r="C980" s="216" t="n">
        <v>18</v>
      </c>
      <c r="D980" s="216" t="n">
        <v>1.168462991714478</v>
      </c>
      <c r="E980" s="215" t="n">
        <v>46275</v>
      </c>
      <c r="F980" s="215" t="n">
        <v>46275</v>
      </c>
    </row>
    <row r="981">
      <c r="A981" s="215" t="n">
        <v>46276</v>
      </c>
      <c r="B981" s="216" t="n">
        <v>7.12</v>
      </c>
      <c r="C981" s="216" t="n">
        <v>17.73</v>
      </c>
      <c r="D981" s="216" t="n">
        <v>1.169165015220642</v>
      </c>
      <c r="E981" s="215" t="n">
        <v>46276</v>
      </c>
      <c r="F981" s="215" t="n">
        <v>46276</v>
      </c>
    </row>
    <row r="982">
      <c r="A982" s="215" t="n">
        <v>46279</v>
      </c>
      <c r="B982" s="216" t="n">
        <v>7.01</v>
      </c>
      <c r="C982" s="216" t="n">
        <v>17.65</v>
      </c>
      <c r="D982" s="216" t="n">
        <v>1.16893994808197</v>
      </c>
      <c r="E982" s="215" t="n">
        <v>46279</v>
      </c>
      <c r="F982" s="215" t="n">
        <v>46279</v>
      </c>
    </row>
    <row r="983">
      <c r="A983" s="215" t="n">
        <v>46280</v>
      </c>
      <c r="B983" s="216" t="n">
        <v>7</v>
      </c>
      <c r="C983" s="216" t="n">
        <v>17.62</v>
      </c>
      <c r="D983" s="216" t="n">
        <v>1.169121026992798</v>
      </c>
      <c r="E983" s="215" t="n">
        <v>46280</v>
      </c>
      <c r="F983" s="215" t="n">
        <v>46280</v>
      </c>
    </row>
    <row r="984">
      <c r="A984" s="215" t="n">
        <v>46281</v>
      </c>
      <c r="B984" s="216" t="n">
        <v>7.1</v>
      </c>
      <c r="C984" s="216" t="n">
        <v>17.97</v>
      </c>
      <c r="D984" s="216" t="n">
        <v>1.168769955635071</v>
      </c>
      <c r="E984" s="215" t="n">
        <v>46281</v>
      </c>
      <c r="F984" s="215" t="n">
        <v>46281</v>
      </c>
    </row>
    <row r="985">
      <c r="A985" s="215" t="n">
        <v>46282</v>
      </c>
      <c r="B985" s="216" t="n">
        <v>7.185</v>
      </c>
      <c r="C985" s="216" t="n">
        <v>18.82</v>
      </c>
      <c r="D985" s="216" t="n">
        <v>1.169389963150024</v>
      </c>
      <c r="E985" s="215" t="n">
        <v>46282</v>
      </c>
      <c r="F985" s="215" t="n">
        <v>46282</v>
      </c>
    </row>
    <row r="986">
      <c r="A986" s="215" t="n">
        <v>46283</v>
      </c>
      <c r="B986" s="216" t="n">
        <v>7.35</v>
      </c>
      <c r="C986" s="216" t="n">
        <v>19.79</v>
      </c>
      <c r="D986" s="216" t="n">
        <v>1.16942298412323</v>
      </c>
      <c r="E986" s="215" t="n">
        <v>46283</v>
      </c>
      <c r="F986" s="215" t="n">
        <v>46283</v>
      </c>
    </row>
    <row r="987">
      <c r="A987" s="215" t="n">
        <v>46286</v>
      </c>
      <c r="B987" s="216" t="n">
        <v>7.505</v>
      </c>
      <c r="C987" s="216" t="n">
        <v>20.32</v>
      </c>
      <c r="D987" s="216" t="n">
        <v>1.171280026435852</v>
      </c>
      <c r="E987" s="215" t="n">
        <v>46286</v>
      </c>
      <c r="F987" s="215" t="n">
        <v>46286</v>
      </c>
    </row>
    <row r="988">
      <c r="A988" s="215" t="n">
        <v>46287</v>
      </c>
      <c r="B988" s="216" t="n">
        <v>7.585</v>
      </c>
      <c r="C988" s="216" t="n">
        <v>20.75</v>
      </c>
      <c r="D988" s="216" t="n">
        <v>1.171705007553101</v>
      </c>
      <c r="E988" s="215" t="n">
        <v>46287</v>
      </c>
      <c r="F988" s="215" t="n">
        <v>46287</v>
      </c>
    </row>
    <row r="989">
      <c r="A989" s="215" t="n">
        <v>46288</v>
      </c>
      <c r="B989" s="216" t="n">
        <v>7.515</v>
      </c>
      <c r="C989" s="216" t="n">
        <v>20.69</v>
      </c>
      <c r="D989" s="216" t="n">
        <v>1.170611023902893</v>
      </c>
      <c r="E989" s="215" t="n">
        <v>46288</v>
      </c>
      <c r="F989" s="215" t="n">
        <v>46288</v>
      </c>
    </row>
    <row r="990">
      <c r="A990" s="215" t="n">
        <v>46289</v>
      </c>
      <c r="B990" s="216" t="n">
        <v>7.39</v>
      </c>
      <c r="C990" s="216" t="n">
        <v>20.38</v>
      </c>
      <c r="D990" s="216" t="n">
        <v>1.16852605342865</v>
      </c>
      <c r="E990" s="215" t="n">
        <v>46289</v>
      </c>
      <c r="F990" s="215" t="n">
        <v>46289</v>
      </c>
    </row>
    <row r="991">
      <c r="A991" s="215" t="n">
        <v>46290</v>
      </c>
      <c r="B991" s="216" t="n">
        <v>7.305</v>
      </c>
      <c r="C991" s="216" t="n">
        <v>20.38</v>
      </c>
      <c r="D991" s="216" t="n">
        <v>1.168424010276794</v>
      </c>
      <c r="E991" s="215" t="n">
        <v>46289</v>
      </c>
      <c r="F991" s="215" t="n">
        <v>46290</v>
      </c>
    </row>
    <row r="992">
      <c r="A992" s="215" t="n">
        <v>46293</v>
      </c>
      <c r="B992" s="216" t="n">
        <v>7.06</v>
      </c>
      <c r="C992" s="216" t="n">
        <v>19.97</v>
      </c>
      <c r="D992" s="216" t="n">
        <v>1.168378949165344</v>
      </c>
      <c r="E992" s="215" t="n">
        <v>46293</v>
      </c>
      <c r="F992" s="215" t="n">
        <v>46293</v>
      </c>
    </row>
    <row r="993">
      <c r="A993" s="215" t="n">
        <v>46294</v>
      </c>
      <c r="B993" s="216" t="n">
        <v>7.105</v>
      </c>
      <c r="C993" s="216" t="n">
        <v>19.82</v>
      </c>
      <c r="D993" s="216" t="n">
        <v>1.168815970420837</v>
      </c>
      <c r="E993" s="215" t="n">
        <v>46294</v>
      </c>
      <c r="F993" s="215" t="n">
        <v>46294</v>
      </c>
    </row>
    <row r="994">
      <c r="A994" s="215" t="n">
        <v>46295</v>
      </c>
      <c r="B994" s="216" t="n">
        <v>7.16</v>
      </c>
      <c r="C994" s="216" t="n">
        <v>19.72</v>
      </c>
      <c r="D994" s="216" t="n">
        <v>1.17059600353241</v>
      </c>
      <c r="E994" s="215" t="n">
        <v>46295</v>
      </c>
      <c r="F994" s="215" t="n">
        <v>46295</v>
      </c>
    </row>
    <row r="995">
      <c r="A995" s="215" t="n">
        <v>46297</v>
      </c>
      <c r="B995" s="216" t="n">
        <v>6.81</v>
      </c>
      <c r="C995" s="216" t="n">
        <v>19.72</v>
      </c>
      <c r="D995" s="216" t="n">
        <v>1.170220971107483</v>
      </c>
      <c r="E995" s="215" t="n">
        <v>46295</v>
      </c>
      <c r="F995" s="215" t="n">
        <v>46297</v>
      </c>
    </row>
    <row r="996">
      <c r="A996" s="215" t="n">
        <v>45847</v>
      </c>
      <c r="B996" s="216" t="n">
        <v>139.8</v>
      </c>
      <c r="C996" s="216" t="n">
        <v>182.25</v>
      </c>
      <c r="D996" s="216" t="n">
        <v>1.094220995903015</v>
      </c>
      <c r="E996" s="215" t="n">
        <v>45847</v>
      </c>
      <c r="F996" s="215" t="n">
        <v>45847</v>
      </c>
    </row>
    <row r="997">
      <c r="A997" s="215" t="n">
        <v>45848</v>
      </c>
      <c r="B997" s="216" t="n">
        <v>134</v>
      </c>
      <c r="C997" s="216" t="n">
        <v>178.2</v>
      </c>
      <c r="D997" s="216" t="n">
        <v>1.093220949172974</v>
      </c>
      <c r="E997" s="215" t="n">
        <v>45848</v>
      </c>
      <c r="F997" s="215" t="n">
        <v>45848</v>
      </c>
    </row>
    <row r="998">
      <c r="A998" s="215" t="n">
        <v>45849</v>
      </c>
      <c r="B998" s="216" t="n">
        <v>131.8</v>
      </c>
      <c r="C998" s="216" t="n">
        <v>185.46</v>
      </c>
      <c r="D998" s="216" t="n">
        <v>1.093930959701538</v>
      </c>
      <c r="E998" s="215" t="n">
        <v>45849</v>
      </c>
      <c r="F998" s="215" t="n">
        <v>45849</v>
      </c>
    </row>
    <row r="999">
      <c r="A999" s="215" t="n">
        <v>45852</v>
      </c>
      <c r="B999" s="216" t="n">
        <v>139.6</v>
      </c>
      <c r="C999" s="216" t="n">
        <v>188</v>
      </c>
      <c r="D999" s="216" t="n">
        <v>1.095023989677429</v>
      </c>
      <c r="E999" s="215" t="n">
        <v>45852</v>
      </c>
      <c r="F999" s="215" t="n">
        <v>45852</v>
      </c>
    </row>
    <row r="1000">
      <c r="A1000" s="215" t="n">
        <v>45853</v>
      </c>
      <c r="B1000" s="216" t="n">
        <v>143.8</v>
      </c>
      <c r="C1000" s="216" t="n">
        <v>190</v>
      </c>
      <c r="D1000" s="216" t="n">
        <v>1.095172047615051</v>
      </c>
      <c r="E1000" s="215" t="n">
        <v>45853</v>
      </c>
      <c r="F1000" s="215" t="n">
        <v>45853</v>
      </c>
    </row>
    <row r="1001">
      <c r="A1001" s="215" t="n">
        <v>45854</v>
      </c>
      <c r="B1001" s="216" t="n">
        <v>151.6</v>
      </c>
      <c r="C1001" s="216" t="n">
        <v>201.03</v>
      </c>
      <c r="D1001" s="216" t="n">
        <v>1.094182014465332</v>
      </c>
      <c r="E1001" s="215" t="n">
        <v>45854</v>
      </c>
      <c r="F1001" s="215" t="n">
        <v>45854</v>
      </c>
    </row>
    <row r="1002">
      <c r="A1002" s="215" t="n">
        <v>45855</v>
      </c>
      <c r="B1002" s="216" t="n">
        <v>168.7</v>
      </c>
      <c r="C1002" s="216" t="n">
        <v>204.75</v>
      </c>
      <c r="D1002" s="216" t="n">
        <v>1.093484044075012</v>
      </c>
      <c r="E1002" s="215" t="n">
        <v>45855</v>
      </c>
      <c r="F1002" s="215" t="n">
        <v>45855</v>
      </c>
    </row>
    <row r="1003">
      <c r="A1003" s="215" t="n">
        <v>45856</v>
      </c>
      <c r="B1003" s="216" t="n">
        <v>163</v>
      </c>
      <c r="C1003" s="216" t="n">
        <v>203.26</v>
      </c>
      <c r="D1003" s="216" t="n">
        <v>1.092442035675049</v>
      </c>
      <c r="E1003" s="215" t="n">
        <v>45856</v>
      </c>
      <c r="F1003" s="215" t="n">
        <v>45856</v>
      </c>
    </row>
    <row r="1004">
      <c r="A1004" s="215" t="n">
        <v>45859</v>
      </c>
      <c r="B1004" s="216" t="n">
        <v>157.2</v>
      </c>
      <c r="C1004" s="216" t="n">
        <v>197.88</v>
      </c>
      <c r="D1004" s="216" t="n">
        <v>1.093299984931946</v>
      </c>
      <c r="E1004" s="215" t="n">
        <v>45859</v>
      </c>
      <c r="F1004" s="215" t="n">
        <v>45859</v>
      </c>
    </row>
    <row r="1005">
      <c r="A1005" s="215" t="n">
        <v>45860</v>
      </c>
      <c r="B1005" s="216" t="n">
        <v>164.6</v>
      </c>
      <c r="C1005" s="216" t="n">
        <v>200.08</v>
      </c>
      <c r="D1005" s="216" t="n">
        <v>1.093826055526733</v>
      </c>
      <c r="E1005" s="215" t="n">
        <v>45860</v>
      </c>
      <c r="F1005" s="215" t="n">
        <v>45860</v>
      </c>
    </row>
    <row r="1006">
      <c r="A1006" s="215" t="n">
        <v>45861</v>
      </c>
      <c r="B1006" s="216" t="n">
        <v>162.1</v>
      </c>
      <c r="C1006" s="216" t="n">
        <v>198.18</v>
      </c>
      <c r="D1006" s="216" t="n">
        <v>1.094056010246277</v>
      </c>
      <c r="E1006" s="215" t="n">
        <v>45861</v>
      </c>
      <c r="F1006" s="215" t="n">
        <v>45861</v>
      </c>
    </row>
    <row r="1007">
      <c r="A1007" s="215" t="n">
        <v>45862</v>
      </c>
      <c r="B1007" s="216" t="n">
        <v>160.9</v>
      </c>
      <c r="C1007" s="216" t="n">
        <v>197</v>
      </c>
      <c r="D1007" s="216" t="n">
        <v>1.096284031867981</v>
      </c>
      <c r="E1007" s="215" t="n">
        <v>45862</v>
      </c>
      <c r="F1007" s="215" t="n">
        <v>45862</v>
      </c>
    </row>
    <row r="1008">
      <c r="A1008" s="215" t="n">
        <v>45863</v>
      </c>
      <c r="B1008" s="216" t="n">
        <v>160.3</v>
      </c>
      <c r="C1008" s="216" t="n">
        <v>198.37</v>
      </c>
      <c r="D1008" s="216" t="n">
        <v>1.097048044204712</v>
      </c>
      <c r="E1008" s="215" t="n">
        <v>45863</v>
      </c>
      <c r="F1008" s="215" t="n">
        <v>45863</v>
      </c>
    </row>
    <row r="1009">
      <c r="A1009" s="215" t="n">
        <v>45866</v>
      </c>
      <c r="B1009" s="216" t="n">
        <v>159.5</v>
      </c>
      <c r="C1009" s="216" t="n">
        <v>187.11</v>
      </c>
      <c r="D1009" s="216" t="n">
        <v>1.097200989723206</v>
      </c>
      <c r="E1009" s="215" t="n">
        <v>45866</v>
      </c>
      <c r="F1009" s="215" t="n">
        <v>45866</v>
      </c>
    </row>
    <row r="1010">
      <c r="A1010" s="215" t="n">
        <v>45867</v>
      </c>
      <c r="B1010" s="216" t="n">
        <v>156.4</v>
      </c>
      <c r="C1010" s="216" t="n">
        <v>187.32</v>
      </c>
      <c r="D1010" s="216" t="n">
        <v>1.093530058860779</v>
      </c>
      <c r="E1010" s="215" t="n">
        <v>45867</v>
      </c>
      <c r="F1010" s="215" t="n">
        <v>45867</v>
      </c>
    </row>
    <row r="1011">
      <c r="A1011" s="215" t="n">
        <v>45868</v>
      </c>
      <c r="B1011" s="216" t="n">
        <v>153.6</v>
      </c>
      <c r="C1011" s="216" t="n">
        <v>185.66</v>
      </c>
      <c r="D1011" s="216" t="n">
        <v>1.093464970588684</v>
      </c>
      <c r="E1011" s="215" t="n">
        <v>45868</v>
      </c>
      <c r="F1011" s="215" t="n">
        <v>45868</v>
      </c>
    </row>
    <row r="1012">
      <c r="A1012" s="215" t="n">
        <v>45869</v>
      </c>
      <c r="B1012" s="216" t="n">
        <v>152</v>
      </c>
      <c r="C1012" s="216" t="n">
        <v>183.73</v>
      </c>
      <c r="D1012" s="216" t="n">
        <v>1.093583941459656</v>
      </c>
      <c r="E1012" s="215" t="n">
        <v>45869</v>
      </c>
      <c r="F1012" s="215" t="n">
        <v>45869</v>
      </c>
    </row>
    <row r="1013">
      <c r="A1013" s="215" t="n">
        <v>45870</v>
      </c>
      <c r="B1013" s="216" t="n">
        <v>150.3</v>
      </c>
      <c r="C1013" s="216" t="n">
        <v>181.5</v>
      </c>
      <c r="D1013" s="216" t="n">
        <v>1.090090990066528</v>
      </c>
      <c r="E1013" s="215" t="n">
        <v>45870</v>
      </c>
      <c r="F1013" s="215" t="n">
        <v>45870</v>
      </c>
    </row>
    <row r="1014">
      <c r="A1014" s="215" t="n">
        <v>45873</v>
      </c>
      <c r="B1014" s="216" t="n">
        <v>149.3</v>
      </c>
      <c r="C1014" s="216" t="n">
        <v>188.33</v>
      </c>
      <c r="D1014" s="216" t="n">
        <v>1.088384985923767</v>
      </c>
      <c r="E1014" s="215" t="n">
        <v>45873</v>
      </c>
      <c r="F1014" s="215" t="n">
        <v>45873</v>
      </c>
    </row>
    <row r="1015">
      <c r="A1015" s="215" t="n">
        <v>45874</v>
      </c>
      <c r="B1015" s="216" t="n">
        <v>156.9</v>
      </c>
      <c r="C1015" s="216" t="n">
        <v>189.26</v>
      </c>
      <c r="D1015" s="216" t="n">
        <v>1.093202948570251</v>
      </c>
      <c r="E1015" s="215" t="n">
        <v>45874</v>
      </c>
      <c r="F1015" s="215" t="n">
        <v>45874</v>
      </c>
    </row>
    <row r="1016">
      <c r="A1016" s="215" t="n">
        <v>45875</v>
      </c>
      <c r="B1016" s="216" t="n">
        <v>158.1</v>
      </c>
      <c r="C1016" s="216" t="n">
        <v>188.4</v>
      </c>
      <c r="D1016" s="216" t="n">
        <v>1.092388987541199</v>
      </c>
      <c r="E1016" s="215" t="n">
        <v>45875</v>
      </c>
      <c r="F1016" s="215" t="n">
        <v>45875</v>
      </c>
    </row>
    <row r="1017">
      <c r="A1017" s="215" t="n">
        <v>45876</v>
      </c>
      <c r="B1017" s="216" t="n">
        <v>157.7</v>
      </c>
      <c r="C1017" s="216" t="n">
        <v>189.75</v>
      </c>
      <c r="D1017" s="216" t="n">
        <v>1.092599034309387</v>
      </c>
      <c r="E1017" s="215" t="n">
        <v>45876</v>
      </c>
      <c r="F1017" s="215" t="n">
        <v>45876</v>
      </c>
    </row>
    <row r="1018">
      <c r="A1018" s="215" t="n">
        <v>45877</v>
      </c>
      <c r="B1018" s="216" t="n">
        <v>152.3</v>
      </c>
      <c r="C1018" s="216" t="n">
        <v>181.5</v>
      </c>
      <c r="D1018" s="216" t="n">
        <v>1.092857956886292</v>
      </c>
      <c r="E1018" s="215" t="n">
        <v>45877</v>
      </c>
      <c r="F1018" s="215" t="n">
        <v>45877</v>
      </c>
    </row>
    <row r="1019">
      <c r="A1019" s="215" t="n">
        <v>45880</v>
      </c>
      <c r="B1019" s="216" t="n">
        <v>166</v>
      </c>
      <c r="C1019" s="216" t="n">
        <v>202.6</v>
      </c>
      <c r="D1019" s="216" t="n">
        <v>1.093001961708069</v>
      </c>
      <c r="E1019" s="215" t="n">
        <v>45880</v>
      </c>
      <c r="F1019" s="215" t="n">
        <v>45880</v>
      </c>
    </row>
    <row r="1020">
      <c r="A1020" s="215" t="n">
        <v>45881</v>
      </c>
      <c r="B1020" s="216" t="n">
        <v>164.7</v>
      </c>
      <c r="C1020" s="216" t="n">
        <v>205.26</v>
      </c>
      <c r="D1020" s="216" t="n">
        <v>1.091938018798828</v>
      </c>
      <c r="E1020" s="215" t="n">
        <v>45881</v>
      </c>
      <c r="F1020" s="215" t="n">
        <v>45881</v>
      </c>
    </row>
    <row r="1021">
      <c r="A1021" s="215" t="n">
        <v>45882</v>
      </c>
      <c r="B1021" s="216" t="n">
        <v>165.5</v>
      </c>
      <c r="C1021" s="216" t="n">
        <v>206.63</v>
      </c>
      <c r="D1021" s="216" t="n">
        <v>1.093171000480652</v>
      </c>
      <c r="E1021" s="215" t="n">
        <v>45882</v>
      </c>
      <c r="F1021" s="215" t="n">
        <v>45882</v>
      </c>
    </row>
    <row r="1022">
      <c r="A1022" s="215" t="n">
        <v>45883</v>
      </c>
      <c r="B1022" s="216" t="n">
        <v>160</v>
      </c>
      <c r="C1022" s="216" t="n">
        <v>204.35</v>
      </c>
      <c r="D1022" s="216" t="n">
        <v>1.093981027603149</v>
      </c>
      <c r="E1022" s="215" t="n">
        <v>45883</v>
      </c>
      <c r="F1022" s="215" t="n">
        <v>45883</v>
      </c>
    </row>
    <row r="1023">
      <c r="A1023" s="215" t="n">
        <v>45884</v>
      </c>
      <c r="B1023" s="216" t="n">
        <v>167.6</v>
      </c>
      <c r="C1023" s="216" t="n">
        <v>208.65</v>
      </c>
      <c r="D1023" s="216" t="n">
        <v>1.091035962104797</v>
      </c>
      <c r="E1023" s="215" t="n">
        <v>45884</v>
      </c>
      <c r="F1023" s="215" t="n">
        <v>45884</v>
      </c>
    </row>
    <row r="1024">
      <c r="A1024" s="215" t="n">
        <v>45887</v>
      </c>
      <c r="B1024" s="216" t="n">
        <v>175.5</v>
      </c>
      <c r="C1024" s="216" t="n">
        <v>216.62</v>
      </c>
      <c r="D1024" s="216" t="n">
        <v>1.089409947395325</v>
      </c>
      <c r="E1024" s="215" t="n">
        <v>45887</v>
      </c>
      <c r="F1024" s="215" t="n">
        <v>45887</v>
      </c>
    </row>
    <row r="1025">
      <c r="A1025" s="215" t="n">
        <v>45888</v>
      </c>
      <c r="B1025" s="216" t="n">
        <v>179.2</v>
      </c>
      <c r="C1025" s="216" t="n">
        <v>213.2</v>
      </c>
      <c r="D1025" s="216" t="n">
        <v>1.088366031646729</v>
      </c>
      <c r="E1025" s="215" t="n">
        <v>45888</v>
      </c>
      <c r="F1025" s="215" t="n">
        <v>45888</v>
      </c>
    </row>
    <row r="1026">
      <c r="A1026" s="215" t="n">
        <v>45889</v>
      </c>
      <c r="B1026" s="216" t="n">
        <v>181.7</v>
      </c>
      <c r="C1026" s="216" t="n">
        <v>223.06</v>
      </c>
      <c r="D1026" s="216" t="n">
        <v>1.085826992988586</v>
      </c>
      <c r="E1026" s="215" t="n">
        <v>45889</v>
      </c>
      <c r="F1026" s="215" t="n">
        <v>45889</v>
      </c>
    </row>
    <row r="1027">
      <c r="A1027" s="215" t="n">
        <v>45890</v>
      </c>
      <c r="B1027" s="216" t="n">
        <v>177</v>
      </c>
      <c r="C1027" s="216" t="n">
        <v>217.65</v>
      </c>
      <c r="D1027" s="216" t="n">
        <v>1.088521003723145</v>
      </c>
      <c r="E1027" s="215" t="n">
        <v>45890</v>
      </c>
      <c r="F1027" s="215" t="n">
        <v>45890</v>
      </c>
    </row>
    <row r="1028">
      <c r="A1028" s="215" t="n">
        <v>45891</v>
      </c>
      <c r="B1028" s="216" t="n">
        <v>185.5</v>
      </c>
      <c r="C1028" s="216" t="n">
        <v>222.49</v>
      </c>
      <c r="D1028" s="216" t="n">
        <v>1.08814001083374</v>
      </c>
      <c r="E1028" s="215" t="n">
        <v>45891</v>
      </c>
      <c r="F1028" s="215" t="n">
        <v>45891</v>
      </c>
    </row>
    <row r="1029">
      <c r="A1029" s="215" t="n">
        <v>45894</v>
      </c>
      <c r="B1029" s="216" t="n">
        <v>183.7</v>
      </c>
      <c r="C1029" s="216" t="n">
        <v>213.92</v>
      </c>
      <c r="D1029" s="216" t="n">
        <v>1.090230941772461</v>
      </c>
      <c r="E1029" s="215" t="n">
        <v>45894</v>
      </c>
      <c r="F1029" s="215" t="n">
        <v>45894</v>
      </c>
    </row>
    <row r="1030">
      <c r="A1030" s="215" t="n">
        <v>45895</v>
      </c>
      <c r="B1030" s="216" t="n">
        <v>177.8</v>
      </c>
      <c r="C1030" s="216" t="n">
        <v>209.88</v>
      </c>
      <c r="D1030" s="216" t="n">
        <v>1.09236204624176</v>
      </c>
      <c r="E1030" s="215" t="n">
        <v>45895</v>
      </c>
      <c r="F1030" s="215" t="n">
        <v>45895</v>
      </c>
    </row>
    <row r="1031">
      <c r="A1031" s="215" t="n">
        <v>45896</v>
      </c>
      <c r="B1031" s="216" t="n">
        <v>172.4</v>
      </c>
      <c r="C1031" s="216" t="n">
        <v>210.03</v>
      </c>
      <c r="D1031" s="216" t="n">
        <v>1.089414000511169</v>
      </c>
      <c r="E1031" s="215" t="n">
        <v>45896</v>
      </c>
      <c r="F1031" s="215" t="n">
        <v>45896</v>
      </c>
    </row>
    <row r="1032">
      <c r="A1032" s="215" t="n">
        <v>45897</v>
      </c>
      <c r="B1032" s="216" t="n">
        <v>170</v>
      </c>
      <c r="C1032" s="216" t="n">
        <v>204.75</v>
      </c>
      <c r="D1032" s="216" t="n">
        <v>1.088047027587891</v>
      </c>
      <c r="E1032" s="215" t="n">
        <v>45897</v>
      </c>
      <c r="F1032" s="215" t="n">
        <v>45897</v>
      </c>
    </row>
    <row r="1033">
      <c r="A1033" s="215" t="n">
        <v>45898</v>
      </c>
      <c r="B1033" s="216" t="n">
        <v>167.1</v>
      </c>
      <c r="C1033" s="216" t="n">
        <v>206.4</v>
      </c>
      <c r="D1033" s="216" t="n">
        <v>1.089478969573975</v>
      </c>
      <c r="E1033" s="215" t="n">
        <v>45898</v>
      </c>
      <c r="F1033" s="215" t="n">
        <v>45898</v>
      </c>
    </row>
    <row r="1034">
      <c r="A1034" s="215" t="n">
        <v>45901</v>
      </c>
      <c r="B1034" s="216" t="n">
        <v>168.7</v>
      </c>
      <c r="C1034" s="216" t="n">
        <v>204.78</v>
      </c>
      <c r="D1034" s="216" t="n">
        <v>1.09319794178009</v>
      </c>
      <c r="E1034" s="215" t="n">
        <v>45901</v>
      </c>
      <c r="F1034" s="215" t="n">
        <v>45901</v>
      </c>
    </row>
    <row r="1035">
      <c r="A1035" s="215" t="n">
        <v>45902</v>
      </c>
      <c r="B1035" s="216" t="n">
        <v>162.7</v>
      </c>
      <c r="C1035" s="216" t="n">
        <v>201.17</v>
      </c>
      <c r="D1035" s="216" t="n">
        <v>1.093255043029785</v>
      </c>
      <c r="E1035" s="215" t="n">
        <v>45902</v>
      </c>
      <c r="F1035" s="215" t="n">
        <v>45902</v>
      </c>
    </row>
    <row r="1036">
      <c r="A1036" s="215" t="n">
        <v>45903</v>
      </c>
      <c r="B1036" s="216" t="n">
        <v>168.3</v>
      </c>
      <c r="C1036" s="216" t="n">
        <v>202.98</v>
      </c>
      <c r="D1036" s="216" t="n">
        <v>1.09343695640564</v>
      </c>
      <c r="E1036" s="215" t="n">
        <v>45903</v>
      </c>
      <c r="F1036" s="215" t="n">
        <v>45903</v>
      </c>
    </row>
    <row r="1037">
      <c r="A1037" s="215" t="n">
        <v>45904</v>
      </c>
      <c r="B1037" s="216" t="n">
        <v>161.3</v>
      </c>
      <c r="C1037" s="216" t="n">
        <v>190.33</v>
      </c>
      <c r="D1037" s="216" t="n">
        <v>1.092192053794861</v>
      </c>
      <c r="E1037" s="215" t="n">
        <v>45904</v>
      </c>
      <c r="F1037" s="215" t="n">
        <v>45904</v>
      </c>
    </row>
    <row r="1038">
      <c r="A1038" s="215" t="n">
        <v>45905</v>
      </c>
      <c r="B1038" s="216" t="n">
        <v>163</v>
      </c>
      <c r="C1038" s="216" t="n">
        <v>195.1</v>
      </c>
      <c r="D1038" s="216" t="n">
        <v>1.092169046401978</v>
      </c>
      <c r="E1038" s="215" t="n">
        <v>45905</v>
      </c>
      <c r="F1038" s="215" t="n">
        <v>45905</v>
      </c>
    </row>
    <row r="1039">
      <c r="A1039" s="215" t="n">
        <v>45908</v>
      </c>
      <c r="B1039" s="216" t="n">
        <v>170</v>
      </c>
      <c r="C1039" s="216" t="n">
        <v>208.1</v>
      </c>
      <c r="D1039" s="216" t="n">
        <v>1.093217015266418</v>
      </c>
      <c r="E1039" s="215" t="n">
        <v>45908</v>
      </c>
      <c r="F1039" s="215" t="n">
        <v>45908</v>
      </c>
    </row>
    <row r="1040">
      <c r="A1040" s="215" t="n">
        <v>45909</v>
      </c>
      <c r="B1040" s="216" t="n">
        <v>165.3</v>
      </c>
      <c r="C1040" s="216" t="n">
        <v>198.22</v>
      </c>
      <c r="D1040" s="216" t="n">
        <v>1.092916965484619</v>
      </c>
      <c r="E1040" s="215" t="n">
        <v>45909</v>
      </c>
      <c r="F1040" s="215" t="n">
        <v>45909</v>
      </c>
    </row>
    <row r="1041">
      <c r="A1041" s="215" t="n">
        <v>45910</v>
      </c>
      <c r="B1041" s="216" t="n">
        <v>160.4</v>
      </c>
      <c r="C1041" s="216" t="n">
        <v>198.89</v>
      </c>
      <c r="D1041" s="216" t="n">
        <v>1.093482971191406</v>
      </c>
      <c r="E1041" s="215" t="n">
        <v>45910</v>
      </c>
      <c r="F1041" s="215" t="n">
        <v>45910</v>
      </c>
    </row>
    <row r="1042">
      <c r="A1042" s="215" t="n">
        <v>45911</v>
      </c>
      <c r="B1042" s="216" t="n">
        <v>164.4</v>
      </c>
      <c r="C1042" s="216" t="n">
        <v>202.4</v>
      </c>
      <c r="D1042" s="216" t="n">
        <v>1.093762993812561</v>
      </c>
      <c r="E1042" s="215" t="n">
        <v>45911</v>
      </c>
      <c r="F1042" s="215" t="n">
        <v>45911</v>
      </c>
    </row>
    <row r="1043">
      <c r="A1043" s="215" t="n">
        <v>45912</v>
      </c>
      <c r="B1043" s="216" t="n">
        <v>170</v>
      </c>
      <c r="C1043" s="216" t="n">
        <v>211.39</v>
      </c>
      <c r="D1043" s="216" t="n">
        <v>1.094014048576355</v>
      </c>
      <c r="E1043" s="215" t="n">
        <v>45912</v>
      </c>
      <c r="F1043" s="215" t="n">
        <v>45912</v>
      </c>
    </row>
    <row r="1044">
      <c r="A1044" s="215" t="n">
        <v>45915</v>
      </c>
      <c r="B1044" s="216" t="n">
        <v>182.6</v>
      </c>
      <c r="C1044" s="216" t="n">
        <v>213.8</v>
      </c>
      <c r="D1044" s="216" t="n">
        <v>1.091848969459534</v>
      </c>
      <c r="E1044" s="215" t="n">
        <v>45915</v>
      </c>
      <c r="F1044" s="215" t="n">
        <v>45915</v>
      </c>
    </row>
    <row r="1045">
      <c r="A1045" s="215" t="n">
        <v>45916</v>
      </c>
      <c r="B1045" s="216" t="n">
        <v>178.2</v>
      </c>
      <c r="C1045" s="216" t="n">
        <v>219.6</v>
      </c>
      <c r="D1045" s="216" t="n">
        <v>1.092795968055725</v>
      </c>
      <c r="E1045" s="215" t="n">
        <v>45916</v>
      </c>
      <c r="F1045" s="215" t="n">
        <v>45916</v>
      </c>
    </row>
    <row r="1046">
      <c r="A1046" s="215" t="n">
        <v>45917</v>
      </c>
      <c r="B1046" s="216" t="n">
        <v>210.2</v>
      </c>
      <c r="C1046" s="216" t="n">
        <v>263.52</v>
      </c>
      <c r="D1046" s="216" t="n">
        <v>1.093690991401672</v>
      </c>
      <c r="E1046" s="215" t="n">
        <v>45917</v>
      </c>
      <c r="F1046" s="215" t="n">
        <v>45917</v>
      </c>
    </row>
    <row r="1047">
      <c r="A1047" s="215" t="n">
        <v>45918</v>
      </c>
      <c r="B1047" s="216" t="n">
        <v>197.6</v>
      </c>
      <c r="C1047" s="216" t="n">
        <v>274</v>
      </c>
      <c r="D1047" s="216" t="n">
        <v>1.094727993011475</v>
      </c>
      <c r="E1047" s="215" t="n">
        <v>45918</v>
      </c>
      <c r="F1047" s="215" t="n">
        <v>45918</v>
      </c>
    </row>
    <row r="1048">
      <c r="A1048" s="215" t="n">
        <v>45919</v>
      </c>
      <c r="B1048" s="216" t="n">
        <v>189</v>
      </c>
      <c r="C1048" s="216" t="n">
        <v>245</v>
      </c>
      <c r="D1048" s="216" t="n">
        <v>1.093201994895935</v>
      </c>
      <c r="E1048" s="215" t="n">
        <v>45919</v>
      </c>
      <c r="F1048" s="215" t="n">
        <v>45919</v>
      </c>
    </row>
    <row r="1049">
      <c r="A1049" s="215" t="n">
        <v>45922</v>
      </c>
      <c r="B1049" s="216" t="n">
        <v>193</v>
      </c>
      <c r="C1049" s="216" t="n">
        <v>252.93</v>
      </c>
      <c r="D1049" s="216" t="n">
        <v>1.092589020729065</v>
      </c>
      <c r="E1049" s="215" t="n">
        <v>45922</v>
      </c>
      <c r="F1049" s="215" t="n">
        <v>45922</v>
      </c>
    </row>
    <row r="1050">
      <c r="A1050" s="215" t="n">
        <v>45923</v>
      </c>
      <c r="B1050" s="216" t="n">
        <v>193</v>
      </c>
      <c r="C1050" s="216" t="n">
        <v>247</v>
      </c>
      <c r="D1050" s="216" t="n">
        <v>1.0920250415802</v>
      </c>
      <c r="E1050" s="215" t="n">
        <v>45923</v>
      </c>
      <c r="F1050" s="215" t="n">
        <v>45923</v>
      </c>
    </row>
    <row r="1051">
      <c r="A1051" s="215" t="n">
        <v>45924</v>
      </c>
      <c r="B1051" s="216" t="n">
        <v>199</v>
      </c>
      <c r="C1051" s="216" t="n">
        <v>249.17</v>
      </c>
      <c r="D1051" s="216" t="n">
        <v>1.093196988105774</v>
      </c>
      <c r="E1051" s="215" t="n">
        <v>45924</v>
      </c>
      <c r="F1051" s="215" t="n">
        <v>45924</v>
      </c>
    </row>
    <row r="1052">
      <c r="A1052" s="215" t="n">
        <v>45925</v>
      </c>
      <c r="B1052" s="216" t="n">
        <v>197.2</v>
      </c>
      <c r="C1052" s="216" t="n">
        <v>242.92</v>
      </c>
      <c r="D1052" s="216" t="n">
        <v>1.090371012687683</v>
      </c>
      <c r="E1052" s="215" t="n">
        <v>45925</v>
      </c>
      <c r="F1052" s="215" t="n">
        <v>45925</v>
      </c>
    </row>
    <row r="1053">
      <c r="A1053" s="215" t="n">
        <v>45926</v>
      </c>
      <c r="B1053" s="216" t="n">
        <v>181</v>
      </c>
      <c r="C1053" s="216" t="n">
        <v>230.7</v>
      </c>
      <c r="D1053" s="216" t="n">
        <v>1.090574979782104</v>
      </c>
      <c r="E1053" s="215" t="n">
        <v>45926</v>
      </c>
      <c r="F1053" s="215" t="n">
        <v>45926</v>
      </c>
    </row>
    <row r="1054">
      <c r="A1054" s="215" t="n">
        <v>45929</v>
      </c>
      <c r="B1054" s="216" t="n">
        <v>196.5</v>
      </c>
      <c r="C1054" s="216" t="n">
        <v>242.5</v>
      </c>
      <c r="D1054" s="216" t="n">
        <v>1.090520024299622</v>
      </c>
      <c r="E1054" s="215" t="n">
        <v>45929</v>
      </c>
      <c r="F1054" s="215" t="n">
        <v>45929</v>
      </c>
    </row>
    <row r="1055">
      <c r="A1055" s="215" t="n">
        <v>45930</v>
      </c>
      <c r="B1055" s="216" t="n">
        <v>198.1</v>
      </c>
      <c r="C1055" s="216" t="n">
        <v>243.22</v>
      </c>
      <c r="D1055" s="216" t="n">
        <v>1.093106031417847</v>
      </c>
      <c r="E1055" s="215" t="n">
        <v>45930</v>
      </c>
      <c r="F1055" s="215" t="n">
        <v>45930</v>
      </c>
    </row>
    <row r="1056">
      <c r="A1056" s="215" t="n">
        <v>45932</v>
      </c>
      <c r="B1056" s="216" t="n">
        <v>197.6</v>
      </c>
      <c r="C1056" s="216" t="n">
        <v>243.22</v>
      </c>
      <c r="D1056" s="216" t="n">
        <v>1.092823028564453</v>
      </c>
      <c r="E1056" s="215" t="n">
        <v>45930</v>
      </c>
      <c r="F1056" s="215" t="n">
        <v>45932</v>
      </c>
    </row>
    <row r="1057">
      <c r="A1057" s="215" t="n">
        <v>45933</v>
      </c>
      <c r="B1057" s="216" t="n">
        <v>195.2</v>
      </c>
      <c r="C1057" s="216" t="n">
        <v>243.22</v>
      </c>
      <c r="D1057" s="216" t="n">
        <v>1.09303605556488</v>
      </c>
      <c r="E1057" s="215" t="n">
        <v>45930</v>
      </c>
      <c r="F1057" s="215" t="n">
        <v>45933</v>
      </c>
    </row>
    <row r="1058">
      <c r="A1058" s="215" t="n">
        <v>45936</v>
      </c>
      <c r="B1058" s="216" t="n">
        <v>195.8</v>
      </c>
      <c r="C1058" s="216" t="n">
        <v>243.22</v>
      </c>
      <c r="D1058" s="216" t="n">
        <v>1.092857956886292</v>
      </c>
      <c r="E1058" s="215" t="n">
        <v>45930</v>
      </c>
      <c r="F1058" s="215" t="n">
        <v>45936</v>
      </c>
    </row>
    <row r="1059">
      <c r="A1059" s="215" t="n">
        <v>45938</v>
      </c>
      <c r="B1059" s="216" t="n">
        <v>198.9</v>
      </c>
      <c r="C1059" s="216" t="n">
        <v>243.22</v>
      </c>
      <c r="D1059" s="216" t="n">
        <v>1.093148946762085</v>
      </c>
      <c r="E1059" s="215" t="n">
        <v>45930</v>
      </c>
      <c r="F1059" s="215" t="n">
        <v>45938</v>
      </c>
    </row>
    <row r="1060">
      <c r="A1060" s="215" t="n">
        <v>45939</v>
      </c>
      <c r="B1060" s="216" t="n">
        <v>192</v>
      </c>
      <c r="C1060" s="216" t="n">
        <v>237</v>
      </c>
      <c r="D1060" s="216" t="n">
        <v>1.092933058738708</v>
      </c>
      <c r="E1060" s="215" t="n">
        <v>45939</v>
      </c>
      <c r="F1060" s="215" t="n">
        <v>45939</v>
      </c>
    </row>
    <row r="1061">
      <c r="A1061" s="215" t="n">
        <v>45940</v>
      </c>
      <c r="B1061" s="216" t="n">
        <v>177.3</v>
      </c>
      <c r="C1061" s="216" t="n">
        <v>220.76</v>
      </c>
      <c r="D1061" s="216" t="n">
        <v>1.091662049293518</v>
      </c>
      <c r="E1061" s="215" t="n">
        <v>45940</v>
      </c>
      <c r="F1061" s="215" t="n">
        <v>45940</v>
      </c>
    </row>
    <row r="1062">
      <c r="A1062" s="215" t="n">
        <v>45943</v>
      </c>
      <c r="B1062" s="216" t="n">
        <v>180.2</v>
      </c>
      <c r="C1062" s="216" t="n">
        <v>212.84</v>
      </c>
      <c r="D1062" s="216" t="n">
        <v>1.093768000602722</v>
      </c>
      <c r="E1062" s="215" t="n">
        <v>45943</v>
      </c>
      <c r="F1062" s="215" t="n">
        <v>45943</v>
      </c>
    </row>
    <row r="1063">
      <c r="A1063" s="215" t="n">
        <v>45944</v>
      </c>
      <c r="B1063" s="216" t="n">
        <v>168.6</v>
      </c>
      <c r="C1063" s="216" t="n">
        <v>205.5</v>
      </c>
      <c r="D1063" s="216" t="n">
        <v>1.093292951583862</v>
      </c>
      <c r="E1063" s="215" t="n">
        <v>45944</v>
      </c>
      <c r="F1063" s="215" t="n">
        <v>45944</v>
      </c>
    </row>
    <row r="1064">
      <c r="A1064" s="215" t="n">
        <v>45945</v>
      </c>
      <c r="B1064" s="216" t="n">
        <v>174</v>
      </c>
      <c r="C1064" s="216" t="n">
        <v>207.6</v>
      </c>
      <c r="D1064" s="216" t="n">
        <v>1.088750958442688</v>
      </c>
      <c r="E1064" s="215" t="n">
        <v>45945</v>
      </c>
      <c r="F1064" s="215" t="n">
        <v>45945</v>
      </c>
    </row>
    <row r="1065">
      <c r="A1065" s="215" t="n">
        <v>45946</v>
      </c>
      <c r="B1065" s="216" t="n">
        <v>168.4</v>
      </c>
      <c r="C1065" s="216" t="n">
        <v>200.88</v>
      </c>
      <c r="D1065" s="216" t="n">
        <v>1.090903043746948</v>
      </c>
      <c r="E1065" s="215" t="n">
        <v>45946</v>
      </c>
      <c r="F1065" s="215" t="n">
        <v>45946</v>
      </c>
    </row>
    <row r="1066">
      <c r="A1066" s="215" t="n">
        <v>45947</v>
      </c>
      <c r="B1066" s="216" t="n">
        <v>164.9</v>
      </c>
      <c r="C1066" s="216" t="n">
        <v>193.8</v>
      </c>
      <c r="D1066" s="216" t="n">
        <v>1.09073805809021</v>
      </c>
      <c r="E1066" s="215" t="n">
        <v>45947</v>
      </c>
      <c r="F1066" s="215" t="n">
        <v>45947</v>
      </c>
    </row>
    <row r="1067">
      <c r="A1067" s="215" t="n">
        <v>45950</v>
      </c>
      <c r="B1067" s="216" t="n">
        <v>162.6</v>
      </c>
      <c r="C1067" s="216" t="n">
        <v>189.38</v>
      </c>
      <c r="D1067" s="216" t="n">
        <v>1.089843988418579</v>
      </c>
      <c r="E1067" s="215" t="n">
        <v>45950</v>
      </c>
      <c r="F1067" s="215" t="n">
        <v>45950</v>
      </c>
    </row>
    <row r="1068">
      <c r="A1068" s="215" t="n">
        <v>45951</v>
      </c>
      <c r="B1068" s="216" t="n">
        <v>163.3</v>
      </c>
      <c r="C1068" s="216" t="n">
        <v>189.68</v>
      </c>
      <c r="D1068" s="216" t="n">
        <v>1.091038942337036</v>
      </c>
      <c r="E1068" s="215" t="n">
        <v>45951</v>
      </c>
      <c r="F1068" s="215" t="n">
        <v>45951</v>
      </c>
    </row>
    <row r="1069">
      <c r="A1069" s="215" t="n">
        <v>45952</v>
      </c>
      <c r="B1069" s="216" t="n">
        <v>163.1</v>
      </c>
      <c r="C1069" s="216" t="n">
        <v>188.35</v>
      </c>
      <c r="D1069" s="216" t="n">
        <v>1.091071009635925</v>
      </c>
      <c r="E1069" s="215" t="n">
        <v>45952</v>
      </c>
      <c r="F1069" s="215" t="n">
        <v>45952</v>
      </c>
    </row>
    <row r="1070">
      <c r="A1070" s="215" t="n">
        <v>45953</v>
      </c>
      <c r="B1070" s="216" t="n">
        <v>158.1</v>
      </c>
      <c r="C1070" s="216" t="n">
        <v>189.89</v>
      </c>
      <c r="D1070" s="216" t="n">
        <v>1.090343952178955</v>
      </c>
      <c r="E1070" s="215" t="n">
        <v>45953</v>
      </c>
      <c r="F1070" s="215" t="n">
        <v>45953</v>
      </c>
    </row>
    <row r="1071">
      <c r="A1071" s="215" t="n">
        <v>45954</v>
      </c>
      <c r="B1071" s="216" t="n">
        <v>163.9</v>
      </c>
      <c r="C1071" s="216" t="n">
        <v>194.07</v>
      </c>
      <c r="D1071" s="216" t="n">
        <v>1.090456962585449</v>
      </c>
      <c r="E1071" s="215" t="n">
        <v>45954</v>
      </c>
      <c r="F1071" s="215" t="n">
        <v>45954</v>
      </c>
    </row>
    <row r="1072">
      <c r="A1072" s="215" t="n">
        <v>45957</v>
      </c>
      <c r="B1072" s="216" t="n">
        <v>173.9</v>
      </c>
      <c r="C1072" s="216" t="n">
        <v>198</v>
      </c>
      <c r="D1072" s="216" t="n">
        <v>1.090957045555115</v>
      </c>
      <c r="E1072" s="215" t="n">
        <v>45957</v>
      </c>
      <c r="F1072" s="215" t="n">
        <v>45957</v>
      </c>
    </row>
    <row r="1073">
      <c r="A1073" s="215" t="n">
        <v>45958</v>
      </c>
      <c r="B1073" s="216" t="n">
        <v>169</v>
      </c>
      <c r="C1073" s="216" t="n">
        <v>196</v>
      </c>
      <c r="D1073" s="216" t="n">
        <v>1.092440009117126</v>
      </c>
      <c r="E1073" s="215" t="n">
        <v>45958</v>
      </c>
      <c r="F1073" s="215" t="n">
        <v>45958</v>
      </c>
    </row>
    <row r="1074">
      <c r="A1074" s="215" t="n">
        <v>45960</v>
      </c>
      <c r="B1074" s="216" t="n">
        <v>164.4</v>
      </c>
      <c r="C1074" s="216" t="n">
        <v>190.57</v>
      </c>
      <c r="D1074" s="216" t="n">
        <v>1.09463894367218</v>
      </c>
      <c r="E1074" s="215" t="n">
        <v>45960</v>
      </c>
      <c r="F1074" s="215" t="n">
        <v>45960</v>
      </c>
    </row>
    <row r="1075">
      <c r="A1075" s="215" t="n">
        <v>45961</v>
      </c>
      <c r="B1075" s="216" t="n">
        <v>158</v>
      </c>
      <c r="C1075" s="216" t="n">
        <v>193.63</v>
      </c>
      <c r="D1075" s="216" t="n">
        <v>1.092543959617615</v>
      </c>
      <c r="E1075" s="215" t="n">
        <v>45961</v>
      </c>
      <c r="F1075" s="215" t="n">
        <v>45961</v>
      </c>
    </row>
    <row r="1076">
      <c r="A1076" s="215" t="n">
        <v>45964</v>
      </c>
      <c r="B1076" s="216" t="n">
        <v>159.2</v>
      </c>
      <c r="C1076" s="216" t="n">
        <v>186.88</v>
      </c>
      <c r="D1076" s="216" t="n">
        <v>1.091722965240479</v>
      </c>
      <c r="E1076" s="215" t="n">
        <v>45964</v>
      </c>
      <c r="F1076" s="215" t="n">
        <v>45964</v>
      </c>
    </row>
    <row r="1077">
      <c r="A1077" s="215" t="n">
        <v>45965</v>
      </c>
      <c r="B1077" s="216" t="n">
        <v>149.4</v>
      </c>
      <c r="C1077" s="216" t="n">
        <v>179.5</v>
      </c>
      <c r="D1077" s="216" t="n">
        <v>1.083533048629761</v>
      </c>
      <c r="E1077" s="215" t="n">
        <v>45965</v>
      </c>
      <c r="F1077" s="215" t="n">
        <v>45965</v>
      </c>
    </row>
    <row r="1078">
      <c r="A1078" s="215" t="n">
        <v>45966</v>
      </c>
      <c r="B1078" s="216" t="n">
        <v>148.9</v>
      </c>
      <c r="C1078" s="216" t="n">
        <v>179.32</v>
      </c>
      <c r="D1078" s="216" t="n">
        <v>1.090273976325989</v>
      </c>
      <c r="E1078" s="215" t="n">
        <v>45966</v>
      </c>
      <c r="F1078" s="215" t="n">
        <v>45966</v>
      </c>
    </row>
    <row r="1079">
      <c r="A1079" s="215" t="n">
        <v>45967</v>
      </c>
      <c r="B1079" s="216" t="n">
        <v>161.2</v>
      </c>
      <c r="C1079" s="216" t="n">
        <v>196.1</v>
      </c>
      <c r="D1079" s="216" t="n">
        <v>1.090808033943176</v>
      </c>
      <c r="E1079" s="215" t="n">
        <v>45967</v>
      </c>
      <c r="F1079" s="215" t="n">
        <v>45967</v>
      </c>
    </row>
    <row r="1080">
      <c r="A1080" s="215" t="n">
        <v>45968</v>
      </c>
      <c r="B1080" s="216" t="n">
        <v>153</v>
      </c>
      <c r="C1080" s="216" t="n">
        <v>188.5</v>
      </c>
      <c r="D1080" s="216" t="n">
        <v>1.092054009437561</v>
      </c>
      <c r="E1080" s="215" t="n">
        <v>45968</v>
      </c>
      <c r="F1080" s="215" t="n">
        <v>45968</v>
      </c>
    </row>
    <row r="1081">
      <c r="A1081" s="215" t="n">
        <v>45971</v>
      </c>
      <c r="B1081" s="216" t="n">
        <v>153.8</v>
      </c>
      <c r="C1081" s="216" t="n">
        <v>189.28</v>
      </c>
      <c r="D1081" s="216" t="n">
        <v>1.092267036437988</v>
      </c>
      <c r="E1081" s="215" t="n">
        <v>45971</v>
      </c>
      <c r="F1081" s="215" t="n">
        <v>45971</v>
      </c>
    </row>
    <row r="1082">
      <c r="A1082" s="215" t="n">
        <v>45972</v>
      </c>
      <c r="B1082" s="216" t="n">
        <v>149</v>
      </c>
      <c r="C1082" s="216" t="n">
        <v>188.89</v>
      </c>
      <c r="D1082" s="216" t="n">
        <v>1.091644048690796</v>
      </c>
      <c r="E1082" s="215" t="n">
        <v>45972</v>
      </c>
      <c r="F1082" s="215" t="n">
        <v>45972</v>
      </c>
    </row>
    <row r="1083">
      <c r="A1083" s="215" t="n">
        <v>45973</v>
      </c>
      <c r="B1083" s="216" t="n">
        <v>145.7</v>
      </c>
      <c r="C1083" s="216" t="n">
        <v>182.22</v>
      </c>
      <c r="D1083" s="216" t="n">
        <v>1.091495990753174</v>
      </c>
      <c r="E1083" s="215" t="n">
        <v>45973</v>
      </c>
      <c r="F1083" s="215" t="n">
        <v>45973</v>
      </c>
    </row>
    <row r="1084">
      <c r="A1084" s="215" t="n">
        <v>45974</v>
      </c>
      <c r="B1084" s="216" t="n">
        <v>148</v>
      </c>
      <c r="C1084" s="216" t="n">
        <v>183.68</v>
      </c>
      <c r="D1084" s="216" t="n">
        <v>1.092489004135132</v>
      </c>
      <c r="E1084" s="215" t="n">
        <v>45974</v>
      </c>
      <c r="F1084" s="215" t="n">
        <v>45974</v>
      </c>
    </row>
    <row r="1085">
      <c r="A1085" s="215" t="n">
        <v>45975</v>
      </c>
      <c r="B1085" s="216" t="n">
        <v>140.6</v>
      </c>
      <c r="C1085" s="216" t="n">
        <v>179.16</v>
      </c>
      <c r="D1085" s="216" t="n">
        <v>1.092411994934082</v>
      </c>
      <c r="E1085" s="215" t="n">
        <v>45975</v>
      </c>
      <c r="F1085" s="215" t="n">
        <v>45975</v>
      </c>
    </row>
    <row r="1086">
      <c r="A1086" s="215" t="n">
        <v>45978</v>
      </c>
      <c r="B1086" s="216" t="n">
        <v>138.9</v>
      </c>
      <c r="C1086" s="216" t="n">
        <v>176.99</v>
      </c>
      <c r="D1086" s="216" t="n">
        <v>1.094588041305542</v>
      </c>
      <c r="E1086" s="215" t="n">
        <v>45978</v>
      </c>
      <c r="F1086" s="215" t="n">
        <v>45978</v>
      </c>
    </row>
    <row r="1087">
      <c r="A1087" s="215" t="n">
        <v>45979</v>
      </c>
      <c r="B1087" s="216" t="n">
        <v>136.7</v>
      </c>
      <c r="C1087" s="216" t="n">
        <v>174.85</v>
      </c>
      <c r="D1087" s="216" t="n">
        <v>1.093616008758545</v>
      </c>
      <c r="E1087" s="215" t="n">
        <v>45979</v>
      </c>
      <c r="F1087" s="215" t="n">
        <v>45979</v>
      </c>
    </row>
    <row r="1088">
      <c r="A1088" s="215" t="n">
        <v>45980</v>
      </c>
      <c r="B1088" s="216" t="n">
        <v>136</v>
      </c>
      <c r="C1088" s="216" t="n">
        <v>174.8</v>
      </c>
      <c r="D1088" s="216" t="n">
        <v>1.095010995864868</v>
      </c>
      <c r="E1088" s="215" t="n">
        <v>45980</v>
      </c>
      <c r="F1088" s="215" t="n">
        <v>45980</v>
      </c>
    </row>
    <row r="1089">
      <c r="A1089" s="215" t="n">
        <v>45981</v>
      </c>
      <c r="B1089" s="216" t="n">
        <v>131.2</v>
      </c>
      <c r="C1089" s="216" t="n">
        <v>169.5</v>
      </c>
      <c r="D1089" s="216" t="n">
        <v>1.095402002334595</v>
      </c>
      <c r="E1089" s="215" t="n">
        <v>45981</v>
      </c>
      <c r="F1089" s="215" t="n">
        <v>45981</v>
      </c>
    </row>
    <row r="1090">
      <c r="A1090" s="215" t="n">
        <v>45982</v>
      </c>
      <c r="B1090" s="216" t="n">
        <v>124.2</v>
      </c>
      <c r="C1090" s="216" t="n">
        <v>163.73</v>
      </c>
      <c r="D1090" s="216" t="n">
        <v>1.094982981681824</v>
      </c>
      <c r="E1090" s="215" t="n">
        <v>45982</v>
      </c>
      <c r="F1090" s="215" t="n">
        <v>45982</v>
      </c>
    </row>
    <row r="1091">
      <c r="A1091" s="215" t="n">
        <v>45985</v>
      </c>
      <c r="B1091" s="216" t="n">
        <v>127.3</v>
      </c>
      <c r="C1091" s="216" t="n">
        <v>176</v>
      </c>
      <c r="D1091" s="216" t="n">
        <v>1.094988942146301</v>
      </c>
      <c r="E1091" s="215" t="n">
        <v>45985</v>
      </c>
      <c r="F1091" s="215" t="n">
        <v>45985</v>
      </c>
    </row>
    <row r="1092">
      <c r="A1092" s="215" t="n">
        <v>45986</v>
      </c>
      <c r="B1092" s="216" t="n">
        <v>133.6</v>
      </c>
      <c r="C1092" s="216" t="n">
        <v>176.59</v>
      </c>
      <c r="D1092" s="216" t="n">
        <v>1.095428943634033</v>
      </c>
      <c r="E1092" s="215" t="n">
        <v>45986</v>
      </c>
      <c r="F1092" s="215" t="n">
        <v>45986</v>
      </c>
    </row>
    <row r="1093">
      <c r="A1093" s="215" t="n">
        <v>45987</v>
      </c>
      <c r="B1093" s="216" t="n">
        <v>133</v>
      </c>
      <c r="C1093" s="216" t="n">
        <v>181.27</v>
      </c>
      <c r="D1093" s="216" t="n">
        <v>1.097422003746033</v>
      </c>
      <c r="E1093" s="215" t="n">
        <v>45987</v>
      </c>
      <c r="F1093" s="215" t="n">
        <v>45987</v>
      </c>
    </row>
    <row r="1094">
      <c r="A1094" s="215" t="n">
        <v>45988</v>
      </c>
      <c r="B1094" s="216" t="n">
        <v>134.8</v>
      </c>
      <c r="C1094" s="216" t="n">
        <v>180.27</v>
      </c>
      <c r="D1094" s="216" t="n">
        <v>1.098397016525269</v>
      </c>
      <c r="E1094" s="215" t="n">
        <v>45988</v>
      </c>
      <c r="F1094" s="215" t="n">
        <v>45988</v>
      </c>
    </row>
    <row r="1095">
      <c r="A1095" s="215" t="n">
        <v>45989</v>
      </c>
      <c r="B1095" s="216" t="n">
        <v>132.7</v>
      </c>
      <c r="C1095" s="216" t="n">
        <v>180</v>
      </c>
      <c r="D1095" s="216" t="n">
        <v>1.098330020904541</v>
      </c>
      <c r="E1095" s="215" t="n">
        <v>45989</v>
      </c>
      <c r="F1095" s="215" t="n">
        <v>45989</v>
      </c>
    </row>
    <row r="1096">
      <c r="A1096" s="215" t="n">
        <v>45992</v>
      </c>
      <c r="B1096" s="216" t="n">
        <v>132.4</v>
      </c>
      <c r="C1096" s="216" t="n">
        <v>182.31</v>
      </c>
      <c r="D1096" s="216" t="n">
        <v>1.10015594959259</v>
      </c>
      <c r="E1096" s="215" t="n">
        <v>45992</v>
      </c>
      <c r="F1096" s="215" t="n">
        <v>45992</v>
      </c>
    </row>
    <row r="1097">
      <c r="A1097" s="215" t="n">
        <v>45993</v>
      </c>
      <c r="B1097" s="216" t="n">
        <v>129.3</v>
      </c>
      <c r="C1097" s="216" t="n">
        <v>180</v>
      </c>
      <c r="D1097" s="216" t="n">
        <v>1.101189017295837</v>
      </c>
      <c r="E1097" s="215" t="n">
        <v>45993</v>
      </c>
      <c r="F1097" s="215" t="n">
        <v>45993</v>
      </c>
    </row>
    <row r="1098">
      <c r="A1098" s="215" t="n">
        <v>45994</v>
      </c>
      <c r="B1098" s="216" t="n">
        <v>128.4</v>
      </c>
      <c r="C1098" s="216" t="n">
        <v>183.87</v>
      </c>
      <c r="D1098" s="216" t="n">
        <v>1.100834012031555</v>
      </c>
      <c r="E1098" s="215" t="n">
        <v>45994</v>
      </c>
      <c r="F1098" s="215" t="n">
        <v>45994</v>
      </c>
    </row>
    <row r="1099">
      <c r="A1099" s="215" t="n">
        <v>45995</v>
      </c>
      <c r="B1099" s="216" t="n">
        <v>131</v>
      </c>
      <c r="C1099" s="216" t="n">
        <v>184.2</v>
      </c>
      <c r="D1099" s="216" t="n">
        <v>1.101611018180847</v>
      </c>
      <c r="E1099" s="215" t="n">
        <v>45995</v>
      </c>
      <c r="F1099" s="215" t="n">
        <v>45995</v>
      </c>
    </row>
    <row r="1100">
      <c r="A1100" s="215" t="n">
        <v>45996</v>
      </c>
      <c r="B1100" s="216" t="n">
        <v>131.5</v>
      </c>
      <c r="C1100" s="216" t="n">
        <v>186.5</v>
      </c>
      <c r="D1100" s="216" t="n">
        <v>1.100373983383179</v>
      </c>
      <c r="E1100" s="215" t="n">
        <v>45996</v>
      </c>
      <c r="F1100" s="215" t="n">
        <v>45996</v>
      </c>
    </row>
    <row r="1101">
      <c r="A1101" s="215" t="n">
        <v>45999</v>
      </c>
      <c r="B1101" s="216" t="n">
        <v>131.2</v>
      </c>
      <c r="C1101" s="216" t="n">
        <v>187.97</v>
      </c>
      <c r="D1101" s="216" t="n">
        <v>1.1008620262146</v>
      </c>
      <c r="E1101" s="215" t="n">
        <v>45999</v>
      </c>
      <c r="F1101" s="215" t="n">
        <v>45999</v>
      </c>
    </row>
    <row r="1102">
      <c r="A1102" s="215" t="n">
        <v>46000</v>
      </c>
      <c r="B1102" s="216" t="n">
        <v>125.6</v>
      </c>
      <c r="C1102" s="216" t="n">
        <v>184.02</v>
      </c>
      <c r="D1102" s="216" t="n">
        <v>1.10008704662323</v>
      </c>
      <c r="E1102" s="215" t="n">
        <v>46000</v>
      </c>
      <c r="F1102" s="215" t="n">
        <v>46000</v>
      </c>
    </row>
    <row r="1103">
      <c r="A1103" s="215" t="n">
        <v>46001</v>
      </c>
      <c r="B1103" s="216" t="n">
        <v>129.3</v>
      </c>
      <c r="C1103" s="216" t="n">
        <v>192.95</v>
      </c>
      <c r="D1103" s="216" t="n">
        <v>1.101711988449097</v>
      </c>
      <c r="E1103" s="215" t="n">
        <v>46001</v>
      </c>
      <c r="F1103" s="215" t="n">
        <v>46001</v>
      </c>
    </row>
    <row r="1104">
      <c r="A1104" s="215" t="n">
        <v>46002</v>
      </c>
      <c r="B1104" s="216" t="n">
        <v>122.4</v>
      </c>
      <c r="C1104" s="216" t="n">
        <v>190.25</v>
      </c>
      <c r="D1104" s="216" t="n">
        <v>1.10112202167511</v>
      </c>
      <c r="E1104" s="215" t="n">
        <v>46002</v>
      </c>
      <c r="F1104" s="215" t="n">
        <v>46002</v>
      </c>
    </row>
    <row r="1105">
      <c r="A1105" s="215" t="n">
        <v>46003</v>
      </c>
      <c r="B1105" s="216" t="n">
        <v>126.7</v>
      </c>
      <c r="C1105" s="216" t="n">
        <v>192.3</v>
      </c>
      <c r="D1105" s="216" t="n">
        <v>1.102499008178711</v>
      </c>
      <c r="E1105" s="215" t="n">
        <v>46003</v>
      </c>
      <c r="F1105" s="215" t="n">
        <v>46003</v>
      </c>
    </row>
    <row r="1106">
      <c r="A1106" s="215" t="n">
        <v>46006</v>
      </c>
      <c r="B1106" s="216" t="n">
        <v>121.6</v>
      </c>
      <c r="C1106" s="216" t="n">
        <v>186.5</v>
      </c>
      <c r="D1106" s="216" t="n">
        <v>1.103397965431213</v>
      </c>
      <c r="E1106" s="215" t="n">
        <v>46006</v>
      </c>
      <c r="F1106" s="215" t="n">
        <v>46006</v>
      </c>
    </row>
    <row r="1107">
      <c r="A1107" s="215" t="n">
        <v>46007</v>
      </c>
      <c r="B1107" s="216" t="n">
        <v>122.6</v>
      </c>
      <c r="C1107" s="216" t="n">
        <v>184</v>
      </c>
      <c r="D1107" s="216" t="n">
        <v>1.104179978370667</v>
      </c>
      <c r="E1107" s="215" t="n">
        <v>46007</v>
      </c>
      <c r="F1107" s="215" t="n">
        <v>46007</v>
      </c>
    </row>
    <row r="1108">
      <c r="A1108" s="215" t="n">
        <v>46008</v>
      </c>
      <c r="B1108" s="216" t="n">
        <v>122.5</v>
      </c>
      <c r="C1108" s="216" t="n">
        <v>186.3</v>
      </c>
      <c r="D1108" s="216" t="n">
        <v>1.104655981063843</v>
      </c>
      <c r="E1108" s="215" t="n">
        <v>46008</v>
      </c>
      <c r="F1108" s="215" t="n">
        <v>46008</v>
      </c>
    </row>
    <row r="1109">
      <c r="A1109" s="215" t="n">
        <v>46009</v>
      </c>
      <c r="B1109" s="216" t="n">
        <v>121.2</v>
      </c>
      <c r="C1109" s="216" t="n">
        <v>182.05</v>
      </c>
      <c r="D1109" s="216" t="n">
        <v>1.104357004165649</v>
      </c>
      <c r="E1109" s="215" t="n">
        <v>46009</v>
      </c>
      <c r="F1109" s="215" t="n">
        <v>46009</v>
      </c>
    </row>
    <row r="1110">
      <c r="A1110" s="215" t="n">
        <v>46010</v>
      </c>
      <c r="B1110" s="216" t="n">
        <v>119.1</v>
      </c>
      <c r="C1110" s="216" t="n">
        <v>182.82</v>
      </c>
      <c r="D1110" s="216" t="n">
        <v>1.104962944984436</v>
      </c>
      <c r="E1110" s="215" t="n">
        <v>46010</v>
      </c>
      <c r="F1110" s="215" t="n">
        <v>46010</v>
      </c>
    </row>
    <row r="1111">
      <c r="A1111" s="215" t="n">
        <v>46013</v>
      </c>
      <c r="B1111" s="216" t="n">
        <v>122.8</v>
      </c>
      <c r="C1111" s="216" t="n">
        <v>185.56</v>
      </c>
      <c r="D1111" s="216" t="n">
        <v>1.105054020881653</v>
      </c>
      <c r="E1111" s="215" t="n">
        <v>46013</v>
      </c>
      <c r="F1111" s="215" t="n">
        <v>46013</v>
      </c>
    </row>
    <row r="1112">
      <c r="A1112" s="215" t="n">
        <v>46014</v>
      </c>
      <c r="B1112" s="216" t="n">
        <v>122.6</v>
      </c>
      <c r="C1112" s="216" t="n">
        <v>184.85</v>
      </c>
      <c r="D1112" s="216" t="n">
        <v>1.104820013046265</v>
      </c>
      <c r="E1112" s="215" t="n">
        <v>46014</v>
      </c>
      <c r="F1112" s="215" t="n">
        <v>46014</v>
      </c>
    </row>
    <row r="1113">
      <c r="A1113" s="215" t="n">
        <v>46015</v>
      </c>
      <c r="B1113" s="216" t="n">
        <v>123.8</v>
      </c>
      <c r="C1113" s="216" t="n">
        <v>184.68</v>
      </c>
      <c r="D1113" s="216" t="n">
        <v>1.106441974639893</v>
      </c>
      <c r="E1113" s="215" t="n">
        <v>46015</v>
      </c>
      <c r="F1113" s="215" t="n">
        <v>46015</v>
      </c>
    </row>
    <row r="1114">
      <c r="A1114" s="215" t="n">
        <v>46020</v>
      </c>
      <c r="B1114" s="216" t="n">
        <v>125.1</v>
      </c>
      <c r="C1114" s="216" t="n">
        <v>189.88</v>
      </c>
      <c r="D1114" s="216" t="n">
        <v>1.10552704334259</v>
      </c>
      <c r="E1114" s="215" t="n">
        <v>46020</v>
      </c>
      <c r="F1114" s="215" t="n">
        <v>46020</v>
      </c>
    </row>
    <row r="1115">
      <c r="A1115" s="215" t="n">
        <v>46021</v>
      </c>
      <c r="B1115" s="216" t="n">
        <v>130.9</v>
      </c>
      <c r="C1115" s="216" t="n">
        <v>193.7</v>
      </c>
      <c r="D1115" s="216" t="n">
        <v>1.109460949897766</v>
      </c>
      <c r="E1115" s="215" t="n">
        <v>46021</v>
      </c>
      <c r="F1115" s="215" t="n">
        <v>46021</v>
      </c>
    </row>
    <row r="1116">
      <c r="A1116" s="215" t="n">
        <v>46022</v>
      </c>
      <c r="B1116" s="216" t="n">
        <v>139</v>
      </c>
      <c r="C1116" s="216" t="n">
        <v>203.49</v>
      </c>
      <c r="D1116" s="216" t="n">
        <v>1.111927032470703</v>
      </c>
      <c r="E1116" s="215" t="n">
        <v>46022</v>
      </c>
      <c r="F1116" s="215" t="n">
        <v>46022</v>
      </c>
    </row>
    <row r="1117">
      <c r="A1117" s="215" t="n">
        <v>46024</v>
      </c>
      <c r="B1117" s="216" t="n">
        <v>138.3</v>
      </c>
      <c r="C1117" s="216" t="n">
        <v>203.49</v>
      </c>
      <c r="D1117" s="216" t="n">
        <v>1.112754940986633</v>
      </c>
      <c r="E1117" s="215" t="n">
        <v>46022</v>
      </c>
      <c r="F1117" s="215" t="n">
        <v>46024</v>
      </c>
    </row>
    <row r="1118">
      <c r="A1118" s="215" t="n">
        <v>46027</v>
      </c>
      <c r="B1118" s="216" t="n">
        <v>138.5</v>
      </c>
      <c r="C1118" s="216" t="n">
        <v>200.46</v>
      </c>
      <c r="D1118" s="216" t="n">
        <v>1.113860011100769</v>
      </c>
      <c r="E1118" s="215" t="n">
        <v>46027</v>
      </c>
      <c r="F1118" s="215" t="n">
        <v>46027</v>
      </c>
    </row>
    <row r="1119">
      <c r="A1119" s="215" t="n">
        <v>46028</v>
      </c>
      <c r="B1119" s="216" t="n">
        <v>136.8</v>
      </c>
      <c r="C1119" s="216" t="n">
        <v>199.24</v>
      </c>
      <c r="D1119" s="216" t="n">
        <v>1.11367404460907</v>
      </c>
      <c r="E1119" s="215" t="n">
        <v>46028</v>
      </c>
      <c r="F1119" s="215" t="n">
        <v>46028</v>
      </c>
    </row>
    <row r="1120">
      <c r="A1120" s="215" t="n">
        <v>46029</v>
      </c>
      <c r="B1120" s="216" t="n">
        <v>130.9</v>
      </c>
      <c r="C1120" s="216" t="n">
        <v>192.75</v>
      </c>
      <c r="D1120" s="216" t="n">
        <v>1.114913940429688</v>
      </c>
      <c r="E1120" s="215" t="n">
        <v>46029</v>
      </c>
      <c r="F1120" s="215" t="n">
        <v>46029</v>
      </c>
    </row>
    <row r="1121">
      <c r="A1121" s="215" t="n">
        <v>46030</v>
      </c>
      <c r="B1121" s="216" t="n">
        <v>130</v>
      </c>
      <c r="C1121" s="216" t="n">
        <v>194.73</v>
      </c>
      <c r="D1121" s="216" t="n">
        <v>1.112563014030457</v>
      </c>
      <c r="E1121" s="215" t="n">
        <v>46030</v>
      </c>
      <c r="F1121" s="215" t="n">
        <v>46030</v>
      </c>
    </row>
    <row r="1122">
      <c r="A1122" s="215" t="n">
        <v>46031</v>
      </c>
      <c r="B1122" s="216" t="n">
        <v>130</v>
      </c>
      <c r="C1122" s="216" t="n">
        <v>199</v>
      </c>
      <c r="D1122" s="216" t="n">
        <v>1.115561008453369</v>
      </c>
      <c r="E1122" s="215" t="n">
        <v>46031</v>
      </c>
      <c r="F1122" s="215" t="n">
        <v>46031</v>
      </c>
    </row>
    <row r="1123">
      <c r="A1123" s="215" t="n">
        <v>46034</v>
      </c>
      <c r="B1123" s="216" t="n">
        <v>129.9</v>
      </c>
      <c r="C1123" s="216" t="n">
        <v>202.8</v>
      </c>
      <c r="D1123" s="216" t="n">
        <v>1.117015957832336</v>
      </c>
      <c r="E1123" s="215" t="n">
        <v>46034</v>
      </c>
      <c r="F1123" s="215" t="n">
        <v>46034</v>
      </c>
    </row>
    <row r="1124">
      <c r="A1124" s="215" t="n">
        <v>46035</v>
      </c>
      <c r="B1124" s="216" t="n">
        <v>127.4</v>
      </c>
      <c r="C1124" s="216" t="n">
        <v>192.01</v>
      </c>
      <c r="D1124" s="216" t="n">
        <v>1.117892026901245</v>
      </c>
      <c r="E1124" s="215" t="n">
        <v>46035</v>
      </c>
      <c r="F1124" s="215" t="n">
        <v>46035</v>
      </c>
    </row>
    <row r="1125">
      <c r="A1125" s="215" t="n">
        <v>46036</v>
      </c>
      <c r="B1125" s="216" t="n">
        <v>130</v>
      </c>
      <c r="C1125" s="216" t="n">
        <v>200.01</v>
      </c>
      <c r="D1125" s="216" t="n">
        <v>1.117897987365723</v>
      </c>
      <c r="E1125" s="215" t="n">
        <v>46036</v>
      </c>
      <c r="F1125" s="215" t="n">
        <v>46036</v>
      </c>
    </row>
    <row r="1126">
      <c r="A1126" s="215" t="n">
        <v>46037</v>
      </c>
      <c r="B1126" s="216" t="n">
        <v>126.6</v>
      </c>
      <c r="C1126" s="216" t="n">
        <v>203.5</v>
      </c>
      <c r="D1126" s="216" t="n">
        <v>1.118072032928467</v>
      </c>
      <c r="E1126" s="215" t="n">
        <v>46037</v>
      </c>
      <c r="F1126" s="215" t="n">
        <v>46037</v>
      </c>
    </row>
    <row r="1127">
      <c r="A1127" s="215" t="n">
        <v>46038</v>
      </c>
      <c r="B1127" s="216" t="n">
        <v>137</v>
      </c>
      <c r="C1127" s="216" t="n">
        <v>220</v>
      </c>
      <c r="D1127" s="216" t="n">
        <v>1.119040012359619</v>
      </c>
      <c r="E1127" s="215" t="n">
        <v>46038</v>
      </c>
      <c r="F1127" s="215" t="n">
        <v>46038</v>
      </c>
    </row>
    <row r="1128">
      <c r="A1128" s="215" t="n">
        <v>46041</v>
      </c>
      <c r="B1128" s="216" t="n">
        <v>133.6</v>
      </c>
      <c r="C1128" s="216" t="n">
        <v>218.15</v>
      </c>
      <c r="D1128" s="216" t="n">
        <v>1.118916034698486</v>
      </c>
      <c r="E1128" s="215" t="n">
        <v>46041</v>
      </c>
      <c r="F1128" s="215" t="n">
        <v>46041</v>
      </c>
    </row>
    <row r="1129">
      <c r="A1129" s="215" t="n">
        <v>46042</v>
      </c>
      <c r="B1129" s="216" t="n">
        <v>135.1</v>
      </c>
      <c r="C1129" s="216" t="n">
        <v>228.89</v>
      </c>
      <c r="D1129" s="216" t="n">
        <v>1.118687987327576</v>
      </c>
      <c r="E1129" s="215" t="n">
        <v>46042</v>
      </c>
      <c r="F1129" s="215" t="n">
        <v>46042</v>
      </c>
    </row>
    <row r="1130">
      <c r="A1130" s="215" t="n">
        <v>46043</v>
      </c>
      <c r="B1130" s="216" t="n">
        <v>137</v>
      </c>
      <c r="C1130" s="216" t="n">
        <v>228.47</v>
      </c>
      <c r="D1130" s="216" t="n">
        <v>1.12024998664856</v>
      </c>
      <c r="E1130" s="215" t="n">
        <v>46043</v>
      </c>
      <c r="F1130" s="215" t="n">
        <v>46043</v>
      </c>
    </row>
    <row r="1131">
      <c r="A1131" s="215" t="n">
        <v>46044</v>
      </c>
      <c r="B1131" s="216" t="n">
        <v>137</v>
      </c>
      <c r="C1131" s="216" t="n">
        <v>222</v>
      </c>
      <c r="D1131" s="216" t="n">
        <v>1.11942195892334</v>
      </c>
      <c r="E1131" s="215" t="n">
        <v>46044</v>
      </c>
      <c r="F1131" s="215" t="n">
        <v>46044</v>
      </c>
    </row>
    <row r="1132">
      <c r="A1132" s="215" t="n">
        <v>46045</v>
      </c>
      <c r="B1132" s="216" t="n">
        <v>137.4</v>
      </c>
      <c r="C1132" s="216" t="n">
        <v>220.47</v>
      </c>
      <c r="D1132" s="216" t="n">
        <v>1.117977976799011</v>
      </c>
      <c r="E1132" s="215" t="n">
        <v>46045</v>
      </c>
      <c r="F1132" s="215" t="n">
        <v>46045</v>
      </c>
    </row>
    <row r="1133">
      <c r="A1133" s="215" t="n">
        <v>46048</v>
      </c>
      <c r="B1133" s="216" t="n">
        <v>129</v>
      </c>
      <c r="C1133" s="216" t="n">
        <v>207</v>
      </c>
      <c r="D1133" s="216" t="n">
        <v>1.117916941642761</v>
      </c>
      <c r="E1133" s="215" t="n">
        <v>46048</v>
      </c>
      <c r="F1133" s="215" t="n">
        <v>46048</v>
      </c>
    </row>
    <row r="1134">
      <c r="A1134" s="215" t="n">
        <v>46049</v>
      </c>
      <c r="B1134" s="216" t="n">
        <v>132.2</v>
      </c>
      <c r="C1134" s="216" t="n">
        <v>205.31</v>
      </c>
      <c r="D1134" s="216" t="n">
        <v>1.121191024780273</v>
      </c>
      <c r="E1134" s="215" t="n">
        <v>46049</v>
      </c>
      <c r="F1134" s="215" t="n">
        <v>46049</v>
      </c>
    </row>
    <row r="1135">
      <c r="A1135" s="215" t="n">
        <v>46050</v>
      </c>
      <c r="B1135" s="216" t="n">
        <v>138.1</v>
      </c>
      <c r="C1135" s="216" t="n">
        <v>210.9</v>
      </c>
      <c r="D1135" s="216" t="n">
        <v>1.121533036231995</v>
      </c>
      <c r="E1135" s="215" t="n">
        <v>46050</v>
      </c>
      <c r="F1135" s="215" t="n">
        <v>46050</v>
      </c>
    </row>
    <row r="1136">
      <c r="A1136" s="215" t="n">
        <v>46051</v>
      </c>
      <c r="B1136" s="216" t="n">
        <v>130.9</v>
      </c>
      <c r="C1136" s="216" t="n">
        <v>196.47</v>
      </c>
      <c r="D1136" s="216" t="n">
        <v>1.121621966362</v>
      </c>
      <c r="E1136" s="215" t="n">
        <v>46051</v>
      </c>
      <c r="F1136" s="215" t="n">
        <v>46051</v>
      </c>
    </row>
    <row r="1137">
      <c r="A1137" s="215" t="n">
        <v>46052</v>
      </c>
      <c r="B1137" s="216" t="n">
        <v>135.9</v>
      </c>
      <c r="C1137" s="216" t="n">
        <v>203.08</v>
      </c>
      <c r="D1137" s="216" t="n">
        <v>1.123343944549561</v>
      </c>
      <c r="E1137" s="215" t="n">
        <v>46052</v>
      </c>
      <c r="F1137" s="215" t="n">
        <v>46052</v>
      </c>
    </row>
    <row r="1138">
      <c r="A1138" s="215" t="n">
        <v>46055</v>
      </c>
      <c r="B1138" s="216" t="n">
        <v>130.4</v>
      </c>
      <c r="C1138" s="216" t="n">
        <v>190.83</v>
      </c>
      <c r="D1138" s="216" t="n">
        <v>1.123572945594788</v>
      </c>
      <c r="E1138" s="215" t="n">
        <v>46055</v>
      </c>
      <c r="F1138" s="215" t="n">
        <v>46055</v>
      </c>
    </row>
    <row r="1139">
      <c r="A1139" s="215" t="n">
        <v>46056</v>
      </c>
      <c r="B1139" s="216" t="n">
        <v>131.9</v>
      </c>
      <c r="C1139" s="216" t="n">
        <v>193.34</v>
      </c>
      <c r="D1139" s="216" t="n">
        <v>1.124274969100952</v>
      </c>
      <c r="E1139" s="215" t="n">
        <v>46056</v>
      </c>
      <c r="F1139" s="215" t="n">
        <v>46056</v>
      </c>
    </row>
    <row r="1140">
      <c r="A1140" s="215" t="n">
        <v>46057</v>
      </c>
      <c r="B1140" s="216" t="n">
        <v>128.4</v>
      </c>
      <c r="C1140" s="216" t="n">
        <v>189.07</v>
      </c>
      <c r="D1140" s="216" t="n">
        <v>1.12601101398468</v>
      </c>
      <c r="E1140" s="215" t="n">
        <v>46057</v>
      </c>
      <c r="F1140" s="215" t="n">
        <v>46057</v>
      </c>
    </row>
    <row r="1141">
      <c r="A1141" s="215" t="n">
        <v>46058</v>
      </c>
      <c r="B1141" s="216" t="n">
        <v>126.7</v>
      </c>
      <c r="C1141" s="216" t="n">
        <v>189.48</v>
      </c>
      <c r="D1141" s="216" t="n">
        <v>1.125892996788025</v>
      </c>
      <c r="E1141" s="215" t="n">
        <v>46058</v>
      </c>
      <c r="F1141" s="215" t="n">
        <v>46058</v>
      </c>
    </row>
    <row r="1142">
      <c r="A1142" s="215" t="n">
        <v>46059</v>
      </c>
      <c r="B1142" s="216" t="n">
        <v>130.7</v>
      </c>
      <c r="C1142" s="216" t="n">
        <v>195.12</v>
      </c>
      <c r="D1142" s="216" t="n">
        <v>1.126062035560608</v>
      </c>
      <c r="E1142" s="215" t="n">
        <v>46059</v>
      </c>
      <c r="F1142" s="215" t="n">
        <v>46059</v>
      </c>
    </row>
    <row r="1143">
      <c r="A1143" s="215" t="n">
        <v>46062</v>
      </c>
      <c r="B1143" s="216" t="n">
        <v>137.9</v>
      </c>
      <c r="C1143" s="216" t="n">
        <v>206.1</v>
      </c>
      <c r="D1143" s="216" t="n">
        <v>1.125753998756409</v>
      </c>
      <c r="E1143" s="215" t="n">
        <v>46062</v>
      </c>
      <c r="F1143" s="215" t="n">
        <v>46062</v>
      </c>
    </row>
    <row r="1144">
      <c r="A1144" s="215" t="n">
        <v>46063</v>
      </c>
      <c r="B1144" s="216" t="n">
        <v>134.5</v>
      </c>
      <c r="C1144" s="216" t="n">
        <v>203.33</v>
      </c>
      <c r="D1144" s="216" t="n">
        <v>1.129003047943115</v>
      </c>
      <c r="E1144" s="215" t="n">
        <v>46063</v>
      </c>
      <c r="F1144" s="215" t="n">
        <v>46063</v>
      </c>
    </row>
    <row r="1145">
      <c r="A1145" s="215" t="n">
        <v>46064</v>
      </c>
      <c r="B1145" s="216" t="n">
        <v>130.6</v>
      </c>
      <c r="C1145" s="216" t="n">
        <v>198.23</v>
      </c>
      <c r="D1145" s="216" t="n">
        <v>1.130962014198303</v>
      </c>
      <c r="E1145" s="215" t="n">
        <v>46064</v>
      </c>
      <c r="F1145" s="215" t="n">
        <v>46064</v>
      </c>
    </row>
    <row r="1146">
      <c r="A1146" s="215" t="n">
        <v>46065</v>
      </c>
      <c r="B1146" s="216" t="n">
        <v>136</v>
      </c>
      <c r="C1146" s="216" t="n">
        <v>200.13</v>
      </c>
      <c r="D1146" s="216" t="n">
        <v>1.130671977996826</v>
      </c>
      <c r="E1146" s="215" t="n">
        <v>46065</v>
      </c>
      <c r="F1146" s="215" t="n">
        <v>46065</v>
      </c>
    </row>
    <row r="1147">
      <c r="A1147" s="215" t="n">
        <v>46066</v>
      </c>
      <c r="B1147" s="216" t="n">
        <v>145.9</v>
      </c>
      <c r="C1147" s="216" t="n">
        <v>203.96</v>
      </c>
      <c r="D1147" s="216" t="n">
        <v>1.132490992546082</v>
      </c>
      <c r="E1147" s="215" t="n">
        <v>46066</v>
      </c>
      <c r="F1147" s="215" t="n">
        <v>46066</v>
      </c>
    </row>
    <row r="1148">
      <c r="A1148" s="215" t="n">
        <v>46069</v>
      </c>
      <c r="B1148" s="216" t="n">
        <v>138.8</v>
      </c>
      <c r="C1148" s="216" t="n">
        <v>203.96</v>
      </c>
      <c r="D1148" s="216" t="n">
        <v>1.131224036216736</v>
      </c>
      <c r="E1148" s="215" t="n">
        <v>46066</v>
      </c>
      <c r="F1148" s="215" t="n">
        <v>46069</v>
      </c>
    </row>
    <row r="1149">
      <c r="A1149" s="215" t="n">
        <v>46073</v>
      </c>
      <c r="B1149" s="216" t="n">
        <v>136.7</v>
      </c>
      <c r="C1149" s="216" t="n">
        <v>203.96</v>
      </c>
      <c r="D1149" s="216" t="n">
        <v>1.131005048751831</v>
      </c>
      <c r="E1149" s="215" t="n">
        <v>46066</v>
      </c>
      <c r="F1149" s="215" t="n">
        <v>46073</v>
      </c>
    </row>
    <row r="1150">
      <c r="A1150" s="215" t="n">
        <v>46076</v>
      </c>
      <c r="B1150" s="216" t="n">
        <v>139.4</v>
      </c>
      <c r="C1150" s="216" t="n">
        <v>203.96</v>
      </c>
      <c r="D1150" s="216" t="n">
        <v>1.130877017974854</v>
      </c>
      <c r="E1150" s="215" t="n">
        <v>46066</v>
      </c>
      <c r="F1150" s="215" t="n">
        <v>46076</v>
      </c>
    </row>
    <row r="1151">
      <c r="A1151" s="215" t="n">
        <v>46077</v>
      </c>
      <c r="B1151" s="216" t="n">
        <v>139</v>
      </c>
      <c r="C1151" s="216" t="n">
        <v>196.99</v>
      </c>
      <c r="D1151" s="216" t="n">
        <v>1.131631016731262</v>
      </c>
      <c r="E1151" s="215" t="n">
        <v>46077</v>
      </c>
      <c r="F1151" s="215" t="n">
        <v>46077</v>
      </c>
    </row>
    <row r="1152">
      <c r="A1152" s="215" t="n">
        <v>46078</v>
      </c>
      <c r="B1152" s="216" t="n">
        <v>136.4</v>
      </c>
      <c r="C1152" s="216" t="n">
        <v>196.13</v>
      </c>
      <c r="D1152" s="216" t="n">
        <v>1.136234045028687</v>
      </c>
      <c r="E1152" s="215" t="n">
        <v>46078</v>
      </c>
      <c r="F1152" s="215" t="n">
        <v>46078</v>
      </c>
    </row>
    <row r="1153">
      <c r="A1153" s="215" t="n">
        <v>46079</v>
      </c>
      <c r="B1153" s="216" t="n">
        <v>127</v>
      </c>
      <c r="C1153" s="216" t="n">
        <v>195.11</v>
      </c>
      <c r="D1153" s="216" t="n">
        <v>1.138198971748352</v>
      </c>
      <c r="E1153" s="215" t="n">
        <v>46079</v>
      </c>
      <c r="F1153" s="215" t="n">
        <v>46079</v>
      </c>
    </row>
    <row r="1154">
      <c r="A1154" s="215" t="n">
        <v>46080</v>
      </c>
      <c r="B1154" s="216" t="n">
        <v>128.9</v>
      </c>
      <c r="C1154" s="216" t="n">
        <v>193</v>
      </c>
      <c r="D1154" s="216" t="n">
        <v>1.143396973609924</v>
      </c>
      <c r="E1154" s="215" t="n">
        <v>46080</v>
      </c>
      <c r="F1154" s="215" t="n">
        <v>46080</v>
      </c>
    </row>
    <row r="1155">
      <c r="A1155" s="215" t="n">
        <v>46083</v>
      </c>
      <c r="B1155" s="216" t="n">
        <v>120.1</v>
      </c>
      <c r="C1155" s="216" t="n">
        <v>185.18</v>
      </c>
      <c r="D1155" s="216" t="n">
        <v>1.140552043914795</v>
      </c>
      <c r="E1155" s="215" t="n">
        <v>46083</v>
      </c>
      <c r="F1155" s="215" t="n">
        <v>46083</v>
      </c>
    </row>
    <row r="1156">
      <c r="A1156" s="215" t="n">
        <v>46084</v>
      </c>
      <c r="B1156" s="216" t="n">
        <v>105.3</v>
      </c>
      <c r="C1156" s="216" t="n">
        <v>170.59</v>
      </c>
      <c r="D1156" s="216" t="n">
        <v>1.136399984359741</v>
      </c>
      <c r="E1156" s="215" t="n">
        <v>46084</v>
      </c>
      <c r="F1156" s="215" t="n">
        <v>46084</v>
      </c>
    </row>
    <row r="1157">
      <c r="A1157" s="215" t="n">
        <v>46085</v>
      </c>
      <c r="B1157" s="216" t="n">
        <v>101.9</v>
      </c>
      <c r="C1157" s="216" t="n">
        <v>169.67</v>
      </c>
      <c r="D1157" s="216" t="n">
        <v>1.130928993225098</v>
      </c>
      <c r="E1157" s="215" t="n">
        <v>46085</v>
      </c>
      <c r="F1157" s="215" t="n">
        <v>46085</v>
      </c>
    </row>
    <row r="1158">
      <c r="A1158" s="215" t="n">
        <v>46086</v>
      </c>
      <c r="B1158" s="216" t="n">
        <v>105.7</v>
      </c>
      <c r="C1158" s="216" t="n">
        <v>171.8</v>
      </c>
      <c r="D1158" s="216" t="n">
        <v>1.133169054985046</v>
      </c>
      <c r="E1158" s="215" t="n">
        <v>46086</v>
      </c>
      <c r="F1158" s="215" t="n">
        <v>46086</v>
      </c>
    </row>
    <row r="1159">
      <c r="A1159" s="215" t="n">
        <v>46087</v>
      </c>
      <c r="B1159" s="216" t="n">
        <v>105.7</v>
      </c>
      <c r="C1159" s="216" t="n">
        <v>170.66</v>
      </c>
      <c r="D1159" s="216" t="n">
        <v>1.133442044258118</v>
      </c>
      <c r="E1159" s="215" t="n">
        <v>46087</v>
      </c>
      <c r="F1159" s="215" t="n">
        <v>46087</v>
      </c>
    </row>
    <row r="1160">
      <c r="A1160" s="215" t="n">
        <v>46090</v>
      </c>
      <c r="B1160" s="216" t="n">
        <v>103.2</v>
      </c>
      <c r="C1160" s="216" t="n">
        <v>165.7</v>
      </c>
      <c r="D1160" s="216" t="n">
        <v>1.133231043815613</v>
      </c>
      <c r="E1160" s="215" t="n">
        <v>46090</v>
      </c>
      <c r="F1160" s="215" t="n">
        <v>46090</v>
      </c>
    </row>
    <row r="1161">
      <c r="A1161" s="215" t="n">
        <v>46091</v>
      </c>
      <c r="B1161" s="216" t="n">
        <v>109.7</v>
      </c>
      <c r="C1161" s="216" t="n">
        <v>175.6</v>
      </c>
      <c r="D1161" s="216" t="n">
        <v>1.131595015525818</v>
      </c>
      <c r="E1161" s="215" t="n">
        <v>46091</v>
      </c>
      <c r="F1161" s="215" t="n">
        <v>46091</v>
      </c>
    </row>
    <row r="1162">
      <c r="A1162" s="215" t="n">
        <v>46092</v>
      </c>
      <c r="B1162" s="216" t="n">
        <v>111.5</v>
      </c>
      <c r="C1162" s="216" t="n">
        <v>176</v>
      </c>
      <c r="D1162" s="216" t="n">
        <v>1.137585043907166</v>
      </c>
      <c r="E1162" s="215" t="n">
        <v>46092</v>
      </c>
      <c r="F1162" s="215" t="n">
        <v>46092</v>
      </c>
    </row>
    <row r="1163">
      <c r="A1163" s="215" t="n">
        <v>46093</v>
      </c>
      <c r="B1163" s="216" t="n">
        <v>113</v>
      </c>
      <c r="C1163" s="216" t="n">
        <v>172.02</v>
      </c>
      <c r="D1163" s="216" t="n">
        <v>1.139600038528442</v>
      </c>
      <c r="E1163" s="215" t="n">
        <v>46093</v>
      </c>
      <c r="F1163" s="215" t="n">
        <v>46093</v>
      </c>
    </row>
    <row r="1164">
      <c r="A1164" s="215" t="n">
        <v>46094</v>
      </c>
      <c r="B1164" s="216" t="n">
        <v>106.3</v>
      </c>
      <c r="C1164" s="216" t="n">
        <v>168.37</v>
      </c>
      <c r="D1164" s="216" t="n">
        <v>1.139310002326965</v>
      </c>
      <c r="E1164" s="215" t="n">
        <v>46094</v>
      </c>
      <c r="F1164" s="215" t="n">
        <v>46094</v>
      </c>
    </row>
    <row r="1165">
      <c r="A1165" s="215" t="n">
        <v>46097</v>
      </c>
      <c r="B1165" s="216" t="n">
        <v>106.4</v>
      </c>
      <c r="C1165" s="216" t="n">
        <v>167.81</v>
      </c>
      <c r="D1165" s="216" t="n">
        <v>1.134883999824524</v>
      </c>
      <c r="E1165" s="215" t="n">
        <v>46097</v>
      </c>
      <c r="F1165" s="215" t="n">
        <v>46097</v>
      </c>
    </row>
    <row r="1166">
      <c r="A1166" s="215" t="n">
        <v>46098</v>
      </c>
      <c r="B1166" s="216" t="n">
        <v>103.9</v>
      </c>
      <c r="C1166" s="216" t="n">
        <v>168.31</v>
      </c>
      <c r="D1166" s="216" t="n">
        <v>1.125375986099243</v>
      </c>
      <c r="E1166" s="215" t="n">
        <v>46098</v>
      </c>
      <c r="F1166" s="215" t="n">
        <v>46098</v>
      </c>
    </row>
    <row r="1167">
      <c r="A1167" s="215" t="n">
        <v>46099</v>
      </c>
      <c r="B1167" s="216" t="n">
        <v>107.4</v>
      </c>
      <c r="C1167" s="216" t="n">
        <v>170.6</v>
      </c>
      <c r="D1167" s="216" t="n">
        <v>1.137819051742554</v>
      </c>
      <c r="E1167" s="215" t="n">
        <v>46099</v>
      </c>
      <c r="F1167" s="215" t="n">
        <v>46099</v>
      </c>
    </row>
    <row r="1168">
      <c r="A1168" s="215" t="n">
        <v>46100</v>
      </c>
      <c r="B1168" s="216" t="n">
        <v>104</v>
      </c>
      <c r="C1168" s="216" t="n">
        <v>168.3</v>
      </c>
      <c r="D1168" s="216" t="n">
        <v>1.140079021453857</v>
      </c>
      <c r="E1168" s="215" t="n">
        <v>46100</v>
      </c>
      <c r="F1168" s="215" t="n">
        <v>46100</v>
      </c>
    </row>
    <row r="1169">
      <c r="A1169" s="215" t="n">
        <v>46101</v>
      </c>
      <c r="B1169" s="216" t="n">
        <v>102.9</v>
      </c>
      <c r="C1169" s="216" t="n">
        <v>164.13</v>
      </c>
      <c r="D1169" s="216" t="n">
        <v>1.13490903377533</v>
      </c>
      <c r="E1169" s="215" t="n">
        <v>46101</v>
      </c>
      <c r="F1169" s="215" t="n">
        <v>46101</v>
      </c>
    </row>
    <row r="1170">
      <c r="A1170" s="215" t="n">
        <v>46104</v>
      </c>
      <c r="B1170" s="216" t="n">
        <v>97.15000000000001</v>
      </c>
      <c r="C1170" s="216" t="n">
        <v>149.2</v>
      </c>
      <c r="D1170" s="216" t="n">
        <v>1.137529969215393</v>
      </c>
      <c r="E1170" s="215" t="n">
        <v>46104</v>
      </c>
      <c r="F1170" s="215" t="n">
        <v>46104</v>
      </c>
    </row>
    <row r="1171">
      <c r="A1171" s="215" t="n">
        <v>46105</v>
      </c>
      <c r="B1171" s="216" t="n">
        <v>99.95</v>
      </c>
      <c r="C1171" s="216" t="n">
        <v>153.5</v>
      </c>
      <c r="D1171" s="216" t="n">
        <v>1.138481974601746</v>
      </c>
      <c r="E1171" s="215" t="n">
        <v>46105</v>
      </c>
      <c r="F1171" s="215" t="n">
        <v>46105</v>
      </c>
    </row>
    <row r="1172">
      <c r="A1172" s="215" t="n">
        <v>46106</v>
      </c>
      <c r="B1172" s="216" t="n">
        <v>103.2</v>
      </c>
      <c r="C1172" s="216" t="n">
        <v>155.09</v>
      </c>
      <c r="D1172" s="216" t="n">
        <v>1.135548949241638</v>
      </c>
      <c r="E1172" s="215" t="n">
        <v>46106</v>
      </c>
      <c r="F1172" s="215" t="n">
        <v>46106</v>
      </c>
    </row>
    <row r="1173">
      <c r="A1173" s="215" t="n">
        <v>46107</v>
      </c>
      <c r="B1173" s="216" t="n">
        <v>98.95</v>
      </c>
      <c r="C1173" s="216" t="n">
        <v>152.9</v>
      </c>
      <c r="D1173" s="216" t="n">
        <v>1.132627010345459</v>
      </c>
      <c r="E1173" s="215" t="n">
        <v>46107</v>
      </c>
      <c r="F1173" s="215" t="n">
        <v>46107</v>
      </c>
    </row>
    <row r="1174">
      <c r="A1174" s="215" t="n">
        <v>46108</v>
      </c>
      <c r="B1174" s="216" t="n">
        <v>99.34999999999999</v>
      </c>
      <c r="C1174" s="216" t="n">
        <v>155</v>
      </c>
      <c r="D1174" s="216" t="n">
        <v>1.132115960121155</v>
      </c>
      <c r="E1174" s="215" t="n">
        <v>46108</v>
      </c>
      <c r="F1174" s="215" t="n">
        <v>46108</v>
      </c>
    </row>
    <row r="1175">
      <c r="A1175" s="215" t="n">
        <v>46111</v>
      </c>
      <c r="B1175" s="216" t="n">
        <v>95.45</v>
      </c>
      <c r="C1175" s="216" t="n">
        <v>152.42</v>
      </c>
      <c r="D1175" s="216" t="n">
        <v>1.13311505317688</v>
      </c>
      <c r="E1175" s="215" t="n">
        <v>46111</v>
      </c>
      <c r="F1175" s="215" t="n">
        <v>46111</v>
      </c>
    </row>
    <row r="1176">
      <c r="A1176" s="215" t="n">
        <v>46112</v>
      </c>
      <c r="B1176" s="216" t="n">
        <v>93.2</v>
      </c>
      <c r="C1176" s="216" t="n">
        <v>152.31</v>
      </c>
      <c r="D1176" s="216" t="n">
        <v>1.133540987968445</v>
      </c>
      <c r="E1176" s="215" t="n">
        <v>46112</v>
      </c>
      <c r="F1176" s="215" t="n">
        <v>46112</v>
      </c>
    </row>
    <row r="1177">
      <c r="A1177" s="215" t="n">
        <v>46113</v>
      </c>
      <c r="B1177" s="216" t="n">
        <v>97.3</v>
      </c>
      <c r="C1177" s="216" t="n">
        <v>154.27</v>
      </c>
      <c r="D1177" s="216" t="n">
        <v>1.136669993400574</v>
      </c>
      <c r="E1177" s="215" t="n">
        <v>46113</v>
      </c>
      <c r="F1177" s="215" t="n">
        <v>46113</v>
      </c>
    </row>
    <row r="1178">
      <c r="A1178" s="215" t="n">
        <v>46114</v>
      </c>
      <c r="B1178" s="216" t="n">
        <v>93.34999999999999</v>
      </c>
      <c r="C1178" s="216" t="n">
        <v>146.99</v>
      </c>
      <c r="D1178" s="216" t="n">
        <v>1.140197992324829</v>
      </c>
      <c r="E1178" s="215" t="n">
        <v>46114</v>
      </c>
      <c r="F1178" s="215" t="n">
        <v>46114</v>
      </c>
    </row>
    <row r="1179">
      <c r="A1179" s="215" t="n">
        <v>46120</v>
      </c>
      <c r="B1179" s="216" t="n">
        <v>100.3</v>
      </c>
      <c r="C1179" s="216" t="n">
        <v>154.67</v>
      </c>
      <c r="D1179" s="216" t="n">
        <v>1.1423499584198</v>
      </c>
      <c r="E1179" s="215" t="n">
        <v>46120</v>
      </c>
      <c r="F1179" s="215" t="n">
        <v>46120</v>
      </c>
    </row>
    <row r="1180">
      <c r="A1180" s="215" t="n">
        <v>46121</v>
      </c>
      <c r="B1180" s="216" t="n">
        <v>101</v>
      </c>
      <c r="C1180" s="216" t="n">
        <v>156.64</v>
      </c>
      <c r="D1180" s="216" t="n">
        <v>1.146731972694397</v>
      </c>
      <c r="E1180" s="215" t="n">
        <v>46121</v>
      </c>
      <c r="F1180" s="215" t="n">
        <v>46121</v>
      </c>
    </row>
    <row r="1181">
      <c r="A1181" s="215" t="n">
        <v>46122</v>
      </c>
      <c r="B1181" s="216" t="n">
        <v>109</v>
      </c>
      <c r="C1181" s="216" t="n">
        <v>170.48</v>
      </c>
      <c r="D1181" s="216" t="n">
        <v>1.146558046340942</v>
      </c>
      <c r="E1181" s="215" t="n">
        <v>46122</v>
      </c>
      <c r="F1181" s="215" t="n">
        <v>46122</v>
      </c>
    </row>
    <row r="1182">
      <c r="A1182" s="215" t="n">
        <v>46125</v>
      </c>
      <c r="B1182" s="216" t="n">
        <v>114</v>
      </c>
      <c r="C1182" s="216" t="n">
        <v>170.75</v>
      </c>
      <c r="D1182" s="216" t="n">
        <v>1.147117972373962</v>
      </c>
      <c r="E1182" s="215" t="n">
        <v>46125</v>
      </c>
      <c r="F1182" s="215" t="n">
        <v>46125</v>
      </c>
    </row>
    <row r="1183">
      <c r="A1183" s="215" t="n">
        <v>46126</v>
      </c>
      <c r="B1183" s="216" t="n">
        <v>112.7</v>
      </c>
      <c r="C1183" s="216" t="n">
        <v>169.28</v>
      </c>
      <c r="D1183" s="216" t="n">
        <v>1.146226048469543</v>
      </c>
      <c r="E1183" s="215" t="n">
        <v>46126</v>
      </c>
      <c r="F1183" s="215" t="n">
        <v>46126</v>
      </c>
    </row>
    <row r="1184">
      <c r="A1184" s="215" t="n">
        <v>46127</v>
      </c>
      <c r="B1184" s="216" t="n">
        <v>115.9</v>
      </c>
      <c r="C1184" s="216" t="n">
        <v>171.39</v>
      </c>
      <c r="D1184" s="216" t="n">
        <v>1.149266004562378</v>
      </c>
      <c r="E1184" s="215" t="n">
        <v>46127</v>
      </c>
      <c r="F1184" s="215" t="n">
        <v>46127</v>
      </c>
    </row>
    <row r="1185">
      <c r="A1185" s="215" t="n">
        <v>46128</v>
      </c>
      <c r="B1185" s="216" t="n">
        <v>121.8</v>
      </c>
      <c r="C1185" s="216" t="n">
        <v>181.2</v>
      </c>
      <c r="D1185" s="216" t="n">
        <v>1.148550033569336</v>
      </c>
      <c r="E1185" s="215" t="n">
        <v>46128</v>
      </c>
      <c r="F1185" s="215" t="n">
        <v>46128</v>
      </c>
    </row>
    <row r="1186">
      <c r="A1186" s="215" t="n">
        <v>46129</v>
      </c>
      <c r="B1186" s="216" t="n">
        <v>120.4</v>
      </c>
      <c r="C1186" s="216" t="n">
        <v>178.42</v>
      </c>
      <c r="D1186" s="216" t="n">
        <v>1.146605014801025</v>
      </c>
      <c r="E1186" s="215" t="n">
        <v>46129</v>
      </c>
      <c r="F1186" s="215" t="n">
        <v>46129</v>
      </c>
    </row>
    <row r="1187">
      <c r="A1187" s="215" t="n">
        <v>46132</v>
      </c>
      <c r="B1187" s="216" t="n">
        <v>124.7</v>
      </c>
      <c r="C1187" s="216" t="n">
        <v>177.58</v>
      </c>
      <c r="D1187" s="216" t="n">
        <v>1.148360967636108</v>
      </c>
      <c r="E1187" s="215" t="n">
        <v>46132</v>
      </c>
      <c r="F1187" s="215" t="n">
        <v>46132</v>
      </c>
    </row>
    <row r="1188">
      <c r="A1188" s="215" t="n">
        <v>46133</v>
      </c>
      <c r="B1188" s="216" t="n">
        <v>122.8</v>
      </c>
      <c r="C1188" s="216" t="n">
        <v>179.2</v>
      </c>
      <c r="D1188" s="216" t="n">
        <v>1.148368000984192</v>
      </c>
      <c r="E1188" s="215" t="n">
        <v>46133</v>
      </c>
      <c r="F1188" s="215" t="n">
        <v>46133</v>
      </c>
    </row>
    <row r="1189">
      <c r="A1189" s="215" t="n">
        <v>46134</v>
      </c>
      <c r="B1189" s="216" t="n">
        <v>130.8</v>
      </c>
      <c r="C1189" s="216" t="n">
        <v>194.69</v>
      </c>
      <c r="D1189" s="216" t="n">
        <v>1.147838950157166</v>
      </c>
      <c r="E1189" s="215" t="n">
        <v>46134</v>
      </c>
      <c r="F1189" s="215" t="n">
        <v>46134</v>
      </c>
    </row>
    <row r="1190">
      <c r="A1190" s="215" t="n">
        <v>46135</v>
      </c>
      <c r="B1190" s="216" t="n">
        <v>125.6</v>
      </c>
      <c r="C1190" s="216" t="n">
        <v>196.32</v>
      </c>
      <c r="D1190" s="216" t="n">
        <v>1.147513031959534</v>
      </c>
      <c r="E1190" s="215" t="n">
        <v>46135</v>
      </c>
      <c r="F1190" s="215" t="n">
        <v>46135</v>
      </c>
    </row>
    <row r="1191">
      <c r="A1191" s="215" t="n">
        <v>46136</v>
      </c>
      <c r="B1191" s="216" t="n">
        <v>127.3</v>
      </c>
      <c r="C1191" s="216" t="n">
        <v>200.88</v>
      </c>
      <c r="D1191" s="216" t="n">
        <v>1.147369027137756</v>
      </c>
      <c r="E1191" s="215" t="n">
        <v>46136</v>
      </c>
      <c r="F1191" s="215" t="n">
        <v>46136</v>
      </c>
    </row>
    <row r="1192">
      <c r="A1192" s="215" t="n">
        <v>46139</v>
      </c>
      <c r="B1192" s="216" t="n">
        <v>127.6</v>
      </c>
      <c r="C1192" s="216" t="n">
        <v>204.69</v>
      </c>
      <c r="D1192" s="216" t="n">
        <v>1.146002054214478</v>
      </c>
      <c r="E1192" s="215" t="n">
        <v>46139</v>
      </c>
      <c r="F1192" s="215" t="n">
        <v>46139</v>
      </c>
    </row>
    <row r="1193">
      <c r="A1193" s="215" t="n">
        <v>46140</v>
      </c>
      <c r="B1193" s="216" t="n">
        <v>122.1</v>
      </c>
      <c r="C1193" s="216" t="n">
        <v>202.15</v>
      </c>
      <c r="D1193" s="216" t="n">
        <v>1.148522019386292</v>
      </c>
      <c r="E1193" s="215" t="n">
        <v>46140</v>
      </c>
      <c r="F1193" s="215" t="n">
        <v>46140</v>
      </c>
    </row>
    <row r="1194">
      <c r="A1194" s="215" t="n">
        <v>46141</v>
      </c>
      <c r="B1194" s="216" t="n">
        <v>124.9</v>
      </c>
      <c r="C1194" s="216" t="n">
        <v>195.99</v>
      </c>
      <c r="D1194" s="216" t="n">
        <v>1.145936012268066</v>
      </c>
      <c r="E1194" s="215" t="n">
        <v>46141</v>
      </c>
      <c r="F1194" s="215" t="n">
        <v>46141</v>
      </c>
    </row>
    <row r="1195">
      <c r="A1195" s="215" t="n">
        <v>46142</v>
      </c>
      <c r="B1195" s="216" t="n">
        <v>128.9</v>
      </c>
      <c r="C1195" s="216" t="n">
        <v>197.45</v>
      </c>
      <c r="D1195" s="216" t="n">
        <v>1.145792007446289</v>
      </c>
      <c r="E1195" s="215" t="n">
        <v>46142</v>
      </c>
      <c r="F1195" s="215" t="n">
        <v>46142</v>
      </c>
    </row>
    <row r="1196">
      <c r="A1196" s="215" t="n">
        <v>46146</v>
      </c>
      <c r="B1196" s="216" t="n">
        <v>128.1</v>
      </c>
      <c r="C1196" s="216" t="n">
        <v>197.45</v>
      </c>
      <c r="D1196" s="216" t="n">
        <v>1.147340059280396</v>
      </c>
      <c r="E1196" s="215" t="n">
        <v>46142</v>
      </c>
      <c r="F1196" s="215" t="n">
        <v>46146</v>
      </c>
    </row>
    <row r="1197">
      <c r="A1197" s="215" t="n">
        <v>46147</v>
      </c>
      <c r="B1197" s="216" t="n">
        <v>126.4</v>
      </c>
      <c r="C1197" s="216" t="n">
        <v>197.45</v>
      </c>
      <c r="D1197" s="216" t="n">
        <v>1.146813988685608</v>
      </c>
      <c r="E1197" s="215" t="n">
        <v>46142</v>
      </c>
      <c r="F1197" s="215" t="n">
        <v>46147</v>
      </c>
    </row>
    <row r="1198">
      <c r="A1198" s="215" t="n">
        <v>46148</v>
      </c>
      <c r="B1198" s="216" t="n">
        <v>131.7</v>
      </c>
      <c r="C1198" s="216" t="n">
        <v>198.88</v>
      </c>
      <c r="D1198" s="216" t="n">
        <v>1.14708399772644</v>
      </c>
      <c r="E1198" s="215" t="n">
        <v>46148</v>
      </c>
      <c r="F1198" s="215" t="n">
        <v>46148</v>
      </c>
    </row>
    <row r="1199">
      <c r="A1199" s="215" t="n">
        <v>46149</v>
      </c>
      <c r="B1199" s="216" t="n">
        <v>138.1</v>
      </c>
      <c r="C1199" s="216" t="n">
        <v>204.91</v>
      </c>
      <c r="D1199" s="216" t="n">
        <v>1.150125026702881</v>
      </c>
      <c r="E1199" s="215" t="n">
        <v>46149</v>
      </c>
      <c r="F1199" s="215" t="n">
        <v>46149</v>
      </c>
    </row>
    <row r="1200">
      <c r="A1200" s="215" t="n">
        <v>46150</v>
      </c>
      <c r="B1200" s="216" t="n">
        <v>150.4</v>
      </c>
      <c r="C1200" s="216" t="n">
        <v>215.26</v>
      </c>
      <c r="D1200" s="216" t="n">
        <v>1.15172004699707</v>
      </c>
      <c r="E1200" s="215" t="n">
        <v>46150</v>
      </c>
      <c r="F1200" s="215" t="n">
        <v>46150</v>
      </c>
    </row>
    <row r="1201">
      <c r="A1201" s="215" t="n">
        <v>46153</v>
      </c>
      <c r="B1201" s="216" t="n">
        <v>166</v>
      </c>
      <c r="C1201" s="216" t="n">
        <v>229.53</v>
      </c>
      <c r="D1201" s="216" t="n">
        <v>1.151090025901794</v>
      </c>
      <c r="E1201" s="215" t="n">
        <v>46153</v>
      </c>
      <c r="F1201" s="215" t="n">
        <v>46153</v>
      </c>
    </row>
    <row r="1202">
      <c r="A1202" s="215" t="n">
        <v>46154</v>
      </c>
      <c r="B1202" s="216" t="n">
        <v>169</v>
      </c>
      <c r="C1202" s="216" t="n">
        <v>229.72</v>
      </c>
      <c r="D1202" s="216" t="n">
        <v>1.152078986167908</v>
      </c>
      <c r="E1202" s="215" t="n">
        <v>46154</v>
      </c>
      <c r="F1202" s="215" t="n">
        <v>46154</v>
      </c>
    </row>
    <row r="1203">
      <c r="A1203" s="215" t="n">
        <v>46155</v>
      </c>
      <c r="B1203" s="216" t="n">
        <v>167.4</v>
      </c>
      <c r="C1203" s="216" t="n">
        <v>232.8</v>
      </c>
      <c r="D1203" s="216" t="n">
        <v>1.152537941932678</v>
      </c>
      <c r="E1203" s="215" t="n">
        <v>46155</v>
      </c>
      <c r="F1203" s="215" t="n">
        <v>46155</v>
      </c>
    </row>
    <row r="1204">
      <c r="A1204" s="215" t="n">
        <v>46156</v>
      </c>
      <c r="B1204" s="216" t="n">
        <v>164</v>
      </c>
      <c r="C1204" s="216" t="n">
        <v>229.23</v>
      </c>
      <c r="D1204" s="216" t="n">
        <v>1.152662992477417</v>
      </c>
      <c r="E1204" s="215" t="n">
        <v>46156</v>
      </c>
      <c r="F1204" s="215" t="n">
        <v>46156</v>
      </c>
    </row>
    <row r="1205">
      <c r="A1205" s="215" t="n">
        <v>46157</v>
      </c>
      <c r="B1205" s="216" t="n">
        <v>162.8</v>
      </c>
      <c r="C1205" s="216" t="n">
        <v>234.67</v>
      </c>
      <c r="D1205" s="216" t="n">
        <v>1.154320001602173</v>
      </c>
      <c r="E1205" s="215" t="n">
        <v>46157</v>
      </c>
      <c r="F1205" s="215" t="n">
        <v>46157</v>
      </c>
    </row>
    <row r="1206">
      <c r="A1206" s="215" t="n">
        <v>46160</v>
      </c>
      <c r="B1206" s="216" t="n">
        <v>166</v>
      </c>
      <c r="C1206" s="216" t="n">
        <v>241.67</v>
      </c>
      <c r="D1206" s="216" t="n">
        <v>1.149821996688843</v>
      </c>
      <c r="E1206" s="215" t="n">
        <v>46160</v>
      </c>
      <c r="F1206" s="215" t="n">
        <v>46160</v>
      </c>
    </row>
    <row r="1207">
      <c r="A1207" s="215" t="n">
        <v>46161</v>
      </c>
      <c r="B1207" s="216" t="n">
        <v>168.2</v>
      </c>
      <c r="C1207" s="216" t="n">
        <v>243.9</v>
      </c>
      <c r="D1207" s="216" t="n">
        <v>1.151532053947449</v>
      </c>
      <c r="E1207" s="215" t="n">
        <v>46161</v>
      </c>
      <c r="F1207" s="215" t="n">
        <v>46161</v>
      </c>
    </row>
    <row r="1208">
      <c r="A1208" s="215" t="n">
        <v>46162</v>
      </c>
      <c r="B1208" s="216" t="n">
        <v>172.1</v>
      </c>
      <c r="C1208" s="216" t="n">
        <v>250</v>
      </c>
      <c r="D1208" s="216" t="n">
        <v>1.149292945861816</v>
      </c>
      <c r="E1208" s="215" t="n">
        <v>46162</v>
      </c>
      <c r="F1208" s="215" t="n">
        <v>46162</v>
      </c>
    </row>
    <row r="1209">
      <c r="A1209" s="215" t="n">
        <v>46163</v>
      </c>
      <c r="B1209" s="216" t="n">
        <v>171.7</v>
      </c>
      <c r="C1209" s="216" t="n">
        <v>239</v>
      </c>
      <c r="D1209" s="216" t="n">
        <v>1.151231050491333</v>
      </c>
      <c r="E1209" s="215" t="n">
        <v>46163</v>
      </c>
      <c r="F1209" s="215" t="n">
        <v>46163</v>
      </c>
    </row>
    <row r="1210">
      <c r="A1210" s="215" t="n">
        <v>46164</v>
      </c>
      <c r="B1210" s="216" t="n">
        <v>172.6</v>
      </c>
      <c r="C1210" s="216" t="n">
        <v>250.19</v>
      </c>
      <c r="D1210" s="216" t="n">
        <v>1.151487946510315</v>
      </c>
      <c r="E1210" s="215" t="n">
        <v>46164</v>
      </c>
      <c r="F1210" s="215" t="n">
        <v>46164</v>
      </c>
    </row>
    <row r="1211">
      <c r="A1211" s="215" t="n">
        <v>46168</v>
      </c>
      <c r="B1211" s="216" t="n">
        <v>169.8</v>
      </c>
      <c r="C1211" s="216" t="n">
        <v>243.7</v>
      </c>
      <c r="D1211" s="216" t="n">
        <v>1.152968049049377</v>
      </c>
      <c r="E1211" s="215" t="n">
        <v>46168</v>
      </c>
      <c r="F1211" s="215" t="n">
        <v>46168</v>
      </c>
    </row>
    <row r="1212">
      <c r="A1212" s="215" t="n">
        <v>46169</v>
      </c>
      <c r="B1212" s="216" t="n">
        <v>161.9</v>
      </c>
      <c r="C1212" s="216" t="n">
        <v>231.34</v>
      </c>
      <c r="D1212" s="216" t="n">
        <v>1.154562950134277</v>
      </c>
      <c r="E1212" s="215" t="n">
        <v>46169</v>
      </c>
      <c r="F1212" s="215" t="n">
        <v>46169</v>
      </c>
    </row>
    <row r="1213">
      <c r="A1213" s="215" t="n">
        <v>46170</v>
      </c>
      <c r="B1213" s="216" t="n">
        <v>158.6</v>
      </c>
      <c r="C1213" s="216" t="n">
        <v>234.4</v>
      </c>
      <c r="D1213" s="216" t="n">
        <v>1.155385971069336</v>
      </c>
      <c r="E1213" s="215" t="n">
        <v>46170</v>
      </c>
      <c r="F1213" s="215" t="n">
        <v>46170</v>
      </c>
    </row>
    <row r="1214">
      <c r="A1214" s="215" t="n">
        <v>46171</v>
      </c>
      <c r="B1214" s="216" t="n">
        <v>140.1</v>
      </c>
      <c r="C1214" s="216" t="n">
        <v>216.94</v>
      </c>
      <c r="D1214" s="216" t="n">
        <v>1.155282974243164</v>
      </c>
      <c r="E1214" s="215" t="n">
        <v>46171</v>
      </c>
      <c r="F1214" s="215" t="n">
        <v>46171</v>
      </c>
    </row>
    <row r="1215">
      <c r="A1215" s="215" t="n">
        <v>46174</v>
      </c>
      <c r="B1215" s="216" t="n">
        <v>140.9</v>
      </c>
      <c r="C1215" s="216" t="n">
        <v>212.87</v>
      </c>
      <c r="D1215" s="216" t="n">
        <v>1.158049941062927</v>
      </c>
      <c r="E1215" s="215" t="n">
        <v>46174</v>
      </c>
      <c r="F1215" s="215" t="n">
        <v>46174</v>
      </c>
    </row>
    <row r="1216">
      <c r="A1216" s="215" t="n">
        <v>46175</v>
      </c>
      <c r="B1216" s="216" t="n">
        <v>145</v>
      </c>
      <c r="C1216" s="216" t="n">
        <v>211.54</v>
      </c>
      <c r="D1216" s="216" t="n">
        <v>1.158406972885132</v>
      </c>
      <c r="E1216" s="215" t="n">
        <v>46175</v>
      </c>
      <c r="F1216" s="215" t="n">
        <v>46175</v>
      </c>
    </row>
    <row r="1217">
      <c r="A1217" s="215" t="n">
        <v>46176</v>
      </c>
      <c r="B1217" s="216" t="n">
        <v>144.2</v>
      </c>
      <c r="C1217" s="216" t="n">
        <v>209.35</v>
      </c>
      <c r="D1217" s="216" t="n">
        <v>1.15879499912262</v>
      </c>
      <c r="E1217" s="215" t="n">
        <v>46176</v>
      </c>
      <c r="F1217" s="215" t="n">
        <v>46176</v>
      </c>
    </row>
    <row r="1218">
      <c r="A1218" s="215" t="n">
        <v>46177</v>
      </c>
      <c r="B1218" s="216" t="n">
        <v>145.8</v>
      </c>
      <c r="C1218" s="216" t="n">
        <v>211.53</v>
      </c>
      <c r="D1218" s="216" t="n">
        <v>1.157420039176941</v>
      </c>
      <c r="E1218" s="215" t="n">
        <v>46177</v>
      </c>
      <c r="F1218" s="215" t="n">
        <v>46177</v>
      </c>
    </row>
    <row r="1219">
      <c r="A1219" s="215" t="n">
        <v>46178</v>
      </c>
      <c r="B1219" s="216" t="n">
        <v>142.9</v>
      </c>
      <c r="C1219" s="216" t="n">
        <v>212</v>
      </c>
      <c r="D1219" s="216" t="n">
        <v>1.156491994857788</v>
      </c>
      <c r="E1219" s="215" t="n">
        <v>46178</v>
      </c>
      <c r="F1219" s="215" t="n">
        <v>46178</v>
      </c>
    </row>
    <row r="1220">
      <c r="A1220" s="215" t="n">
        <v>46181</v>
      </c>
      <c r="B1220" s="216" t="n">
        <v>135.6</v>
      </c>
      <c r="C1220" s="216" t="n">
        <v>200.33</v>
      </c>
      <c r="D1220" s="216" t="n">
        <v>1.157665967941284</v>
      </c>
      <c r="E1220" s="215" t="n">
        <v>46181</v>
      </c>
      <c r="F1220" s="215" t="n">
        <v>46181</v>
      </c>
    </row>
    <row r="1221">
      <c r="A1221" s="215" t="n">
        <v>46182</v>
      </c>
      <c r="B1221" s="216" t="n">
        <v>133.5</v>
      </c>
      <c r="C1221" s="216" t="n">
        <v>209.21</v>
      </c>
      <c r="D1221" s="216" t="n">
        <v>1.158027052879333</v>
      </c>
      <c r="E1221" s="215" t="n">
        <v>46182</v>
      </c>
      <c r="F1221" s="215" t="n">
        <v>46182</v>
      </c>
    </row>
    <row r="1222">
      <c r="A1222" s="215" t="n">
        <v>46183</v>
      </c>
      <c r="B1222" s="216" t="n">
        <v>124.3</v>
      </c>
      <c r="C1222" s="216" t="n">
        <v>203.79</v>
      </c>
      <c r="D1222" s="216" t="n">
        <v>1.157112002372742</v>
      </c>
      <c r="E1222" s="215" t="n">
        <v>46183</v>
      </c>
      <c r="F1222" s="215" t="n">
        <v>46183</v>
      </c>
    </row>
    <row r="1223">
      <c r="A1223" s="215" t="n">
        <v>46184</v>
      </c>
      <c r="B1223" s="216" t="n">
        <v>121.7</v>
      </c>
      <c r="C1223" s="216" t="n">
        <v>207.1</v>
      </c>
      <c r="D1223" s="216" t="n">
        <v>1.156929016113281</v>
      </c>
      <c r="E1223" s="215" t="n">
        <v>46184</v>
      </c>
      <c r="F1223" s="215" t="n">
        <v>46184</v>
      </c>
    </row>
    <row r="1224">
      <c r="A1224" s="215" t="n">
        <v>46185</v>
      </c>
      <c r="B1224" s="216" t="n">
        <v>124.4</v>
      </c>
      <c r="C1224" s="216" t="n">
        <v>203.6</v>
      </c>
      <c r="D1224" s="216" t="n">
        <v>1.156345963478088</v>
      </c>
      <c r="E1224" s="215" t="n">
        <v>46185</v>
      </c>
      <c r="F1224" s="215" t="n">
        <v>46185</v>
      </c>
    </row>
    <row r="1225">
      <c r="A1225" s="215" t="n">
        <v>46188</v>
      </c>
      <c r="B1225" s="216" t="n">
        <v>128</v>
      </c>
      <c r="C1225" s="216" t="n">
        <v>212.56</v>
      </c>
      <c r="D1225" s="216" t="n">
        <v>1.156880021095276</v>
      </c>
      <c r="E1225" s="215" t="n">
        <v>46188</v>
      </c>
      <c r="F1225" s="215" t="n">
        <v>46188</v>
      </c>
    </row>
    <row r="1226">
      <c r="A1226" s="215" t="n">
        <v>46189</v>
      </c>
      <c r="B1226" s="216" t="n">
        <v>124.4</v>
      </c>
      <c r="C1226" s="216" t="n">
        <v>211.3</v>
      </c>
      <c r="D1226" s="216" t="n">
        <v>1.158604025840759</v>
      </c>
      <c r="E1226" s="215" t="n">
        <v>46189</v>
      </c>
      <c r="F1226" s="215" t="n">
        <v>46189</v>
      </c>
    </row>
    <row r="1227">
      <c r="A1227" s="215" t="n">
        <v>46190</v>
      </c>
      <c r="B1227" s="216" t="n">
        <v>121.3</v>
      </c>
      <c r="C1227" s="216" t="n">
        <v>210.37</v>
      </c>
      <c r="D1227" s="216" t="n">
        <v>1.158974051475525</v>
      </c>
      <c r="E1227" s="215" t="n">
        <v>46190</v>
      </c>
      <c r="F1227" s="215" t="n">
        <v>46190</v>
      </c>
    </row>
    <row r="1228">
      <c r="A1228" s="215" t="n">
        <v>46191</v>
      </c>
      <c r="B1228" s="216" t="n">
        <v>120.2</v>
      </c>
      <c r="C1228" s="216" t="n">
        <v>209.19</v>
      </c>
      <c r="D1228" s="216" t="n">
        <v>1.159355998039246</v>
      </c>
      <c r="E1228" s="215" t="n">
        <v>46191</v>
      </c>
      <c r="F1228" s="215" t="n">
        <v>46191</v>
      </c>
    </row>
    <row r="1229">
      <c r="A1229" s="215" t="n">
        <v>46195</v>
      </c>
      <c r="B1229" s="216" t="n">
        <v>118</v>
      </c>
      <c r="C1229" s="216" t="n">
        <v>203.19</v>
      </c>
      <c r="D1229" s="216" t="n">
        <v>1.157493948936462</v>
      </c>
      <c r="E1229" s="215" t="n">
        <v>46195</v>
      </c>
      <c r="F1229" s="215" t="n">
        <v>46195</v>
      </c>
    </row>
    <row r="1230">
      <c r="A1230" s="215" t="n">
        <v>46196</v>
      </c>
      <c r="B1230" s="216" t="n">
        <v>116.5</v>
      </c>
      <c r="C1230" s="216" t="n">
        <v>204.13</v>
      </c>
      <c r="D1230" s="216" t="n">
        <v>1.156896948814392</v>
      </c>
      <c r="E1230" s="215" t="n">
        <v>46196</v>
      </c>
      <c r="F1230" s="215" t="n">
        <v>46196</v>
      </c>
    </row>
    <row r="1231">
      <c r="A1231" s="215" t="n">
        <v>46197</v>
      </c>
      <c r="B1231" s="216" t="n">
        <v>121.3</v>
      </c>
      <c r="C1231" s="216" t="n">
        <v>211.08</v>
      </c>
      <c r="D1231" s="216" t="n">
        <v>1.154508948326111</v>
      </c>
      <c r="E1231" s="215" t="n">
        <v>46197</v>
      </c>
      <c r="F1231" s="215" t="n">
        <v>46197</v>
      </c>
    </row>
    <row r="1232">
      <c r="A1232" s="215" t="n">
        <v>46198</v>
      </c>
      <c r="B1232" s="216" t="n">
        <v>127.3</v>
      </c>
      <c r="C1232" s="216" t="n">
        <v>208.92</v>
      </c>
      <c r="D1232" s="216" t="n">
        <v>1.154152035713196</v>
      </c>
      <c r="E1232" s="215" t="n">
        <v>46198</v>
      </c>
      <c r="F1232" s="215" t="n">
        <v>46198</v>
      </c>
    </row>
    <row r="1233">
      <c r="A1233" s="215" t="n">
        <v>46199</v>
      </c>
      <c r="B1233" s="216" t="n">
        <v>121</v>
      </c>
      <c r="C1233" s="216" t="n">
        <v>199.53</v>
      </c>
      <c r="D1233" s="216" t="n">
        <v>1.154500961303711</v>
      </c>
      <c r="E1233" s="215" t="n">
        <v>46199</v>
      </c>
      <c r="F1233" s="215" t="n">
        <v>46199</v>
      </c>
    </row>
    <row r="1234">
      <c r="A1234" s="215" t="n">
        <v>46202</v>
      </c>
      <c r="B1234" s="216" t="n">
        <v>127.2</v>
      </c>
      <c r="C1234" s="216" t="n">
        <v>201.45</v>
      </c>
      <c r="D1234" s="216" t="n">
        <v>1.153512001037598</v>
      </c>
      <c r="E1234" s="215" t="n">
        <v>46202</v>
      </c>
      <c r="F1234" s="215" t="n">
        <v>46202</v>
      </c>
    </row>
    <row r="1235">
      <c r="A1235" s="215" t="n">
        <v>46203</v>
      </c>
      <c r="B1235" s="216" t="n">
        <v>140.6</v>
      </c>
      <c r="C1235" s="216" t="n">
        <v>224.44</v>
      </c>
      <c r="D1235" s="216" t="n">
        <v>1.153959035873413</v>
      </c>
      <c r="E1235" s="215" t="n">
        <v>46203</v>
      </c>
      <c r="F1235" s="215" t="n">
        <v>46203</v>
      </c>
    </row>
    <row r="1236">
      <c r="A1236" s="215" t="n">
        <v>46205</v>
      </c>
      <c r="B1236" s="216" t="n">
        <v>135.8</v>
      </c>
      <c r="C1236" s="216" t="n">
        <v>228</v>
      </c>
      <c r="D1236" s="216" t="n">
        <v>1.154355049133301</v>
      </c>
      <c r="E1236" s="215" t="n">
        <v>46205</v>
      </c>
      <c r="F1236" s="215" t="n">
        <v>46205</v>
      </c>
    </row>
    <row r="1237">
      <c r="A1237" s="215" t="n">
        <v>46206</v>
      </c>
      <c r="B1237" s="216" t="n">
        <v>140.8</v>
      </c>
      <c r="C1237" s="216" t="n">
        <v>241.35</v>
      </c>
      <c r="D1237" s="216" t="n">
        <v>1.155220985412598</v>
      </c>
      <c r="E1237" s="215" t="n">
        <v>46206</v>
      </c>
      <c r="F1237" s="215" t="n">
        <v>46206</v>
      </c>
    </row>
    <row r="1238">
      <c r="A1238" s="215" t="n">
        <v>46209</v>
      </c>
      <c r="B1238" s="216" t="n">
        <v>135.5</v>
      </c>
      <c r="C1238" s="216" t="n">
        <v>227.24</v>
      </c>
      <c r="D1238" s="216" t="n">
        <v>1.155068039894104</v>
      </c>
      <c r="E1238" s="215" t="n">
        <v>46209</v>
      </c>
      <c r="F1238" s="215" t="n">
        <v>46209</v>
      </c>
    </row>
    <row r="1239">
      <c r="A1239" s="215" t="n">
        <v>46210</v>
      </c>
      <c r="B1239" s="216" t="n">
        <v>132.8</v>
      </c>
      <c r="C1239" s="216" t="n">
        <v>233.96</v>
      </c>
      <c r="D1239" s="216" t="n">
        <v>1.153807997703552</v>
      </c>
      <c r="E1239" s="215" t="n">
        <v>46210</v>
      </c>
      <c r="F1239" s="215" t="n">
        <v>46210</v>
      </c>
    </row>
    <row r="1240">
      <c r="A1240" s="215" t="n">
        <v>46211</v>
      </c>
      <c r="B1240" s="216" t="n">
        <v>134.7</v>
      </c>
      <c r="C1240" s="216" t="n">
        <v>230</v>
      </c>
      <c r="D1240" s="216" t="n">
        <v>1.154153943061829</v>
      </c>
      <c r="E1240" s="215" t="n">
        <v>46211</v>
      </c>
      <c r="F1240" s="215" t="n">
        <v>46211</v>
      </c>
    </row>
    <row r="1241">
      <c r="A1241" s="215" t="n">
        <v>46212</v>
      </c>
      <c r="B1241" s="216" t="n">
        <v>133.8</v>
      </c>
      <c r="C1241" s="216" t="n">
        <v>234.32</v>
      </c>
      <c r="D1241" s="216" t="n">
        <v>1.152119994163513</v>
      </c>
      <c r="E1241" s="215" t="n">
        <v>46212</v>
      </c>
      <c r="F1241" s="215" t="n">
        <v>46212</v>
      </c>
    </row>
    <row r="1242">
      <c r="A1242" s="215" t="n">
        <v>46213</v>
      </c>
      <c r="B1242" s="216" t="n">
        <v>132</v>
      </c>
      <c r="C1242" s="216" t="n">
        <v>228.01</v>
      </c>
      <c r="D1242" s="216" t="n">
        <v>1.153550028800964</v>
      </c>
      <c r="E1242" s="215" t="n">
        <v>46213</v>
      </c>
      <c r="F1242" s="215" t="n">
        <v>46213</v>
      </c>
    </row>
    <row r="1243">
      <c r="A1243" s="215" t="n">
        <v>46216</v>
      </c>
      <c r="B1243" s="216" t="n">
        <v>128.1</v>
      </c>
      <c r="C1243" s="216" t="n">
        <v>226.33</v>
      </c>
      <c r="D1243" s="216" t="n">
        <v>1.156761050224304</v>
      </c>
      <c r="E1243" s="215" t="n">
        <v>46216</v>
      </c>
      <c r="F1243" s="215" t="n">
        <v>46216</v>
      </c>
    </row>
    <row r="1244">
      <c r="A1244" s="215" t="n">
        <v>46217</v>
      </c>
      <c r="B1244" s="216" t="n">
        <v>125.9</v>
      </c>
      <c r="C1244" s="216" t="n">
        <v>221.51</v>
      </c>
      <c r="D1244" s="216" t="n">
        <v>1.155825972557068</v>
      </c>
      <c r="E1244" s="215" t="n">
        <v>46217</v>
      </c>
      <c r="F1244" s="215" t="n">
        <v>46217</v>
      </c>
    </row>
    <row r="1245">
      <c r="A1245" s="215" t="n">
        <v>46218</v>
      </c>
      <c r="B1245" s="216" t="n">
        <v>124.2</v>
      </c>
      <c r="C1245" s="216" t="n">
        <v>210.59</v>
      </c>
      <c r="D1245" s="216" t="n">
        <v>1.157556056976318</v>
      </c>
      <c r="E1245" s="215" t="n">
        <v>46218</v>
      </c>
      <c r="F1245" s="215" t="n">
        <v>46218</v>
      </c>
    </row>
    <row r="1246">
      <c r="A1246" s="215" t="n">
        <v>46219</v>
      </c>
      <c r="B1246" s="216" t="n">
        <v>128.5</v>
      </c>
      <c r="C1246" s="216" t="n">
        <v>208</v>
      </c>
      <c r="D1246" s="216" t="n">
        <v>1.157912969589233</v>
      </c>
      <c r="E1246" s="215" t="n">
        <v>46219</v>
      </c>
      <c r="F1246" s="215" t="n">
        <v>46219</v>
      </c>
    </row>
    <row r="1247">
      <c r="A1247" s="215" t="n">
        <v>46220</v>
      </c>
      <c r="B1247" s="216" t="n">
        <v>121.2</v>
      </c>
      <c r="C1247" s="216" t="n">
        <v>188.57</v>
      </c>
      <c r="D1247" s="216" t="n">
        <v>1.157472014427185</v>
      </c>
      <c r="E1247" s="215" t="n">
        <v>46220</v>
      </c>
      <c r="F1247" s="215" t="n">
        <v>46220</v>
      </c>
    </row>
    <row r="1248">
      <c r="A1248" s="215" t="n">
        <v>46223</v>
      </c>
      <c r="B1248" s="216" t="n">
        <v>116</v>
      </c>
      <c r="C1248" s="216" t="n">
        <v>181.43</v>
      </c>
      <c r="D1248" s="216" t="n">
        <v>1.157451033592224</v>
      </c>
      <c r="E1248" s="215" t="n">
        <v>46223</v>
      </c>
      <c r="F1248" s="215" t="n">
        <v>46223</v>
      </c>
    </row>
    <row r="1249">
      <c r="A1249" s="215" t="n">
        <v>46224</v>
      </c>
      <c r="B1249" s="216" t="n">
        <v>120.8</v>
      </c>
      <c r="C1249" s="216" t="n">
        <v>184.6</v>
      </c>
      <c r="D1249" s="216" t="n">
        <v>1.157506942749023</v>
      </c>
      <c r="E1249" s="215" t="n">
        <v>46224</v>
      </c>
      <c r="F1249" s="215" t="n">
        <v>46224</v>
      </c>
    </row>
    <row r="1250">
      <c r="A1250" s="215" t="n">
        <v>46225</v>
      </c>
      <c r="B1250" s="216" t="n">
        <v>115.8</v>
      </c>
      <c r="C1250" s="216" t="n">
        <v>183.21</v>
      </c>
      <c r="D1250" s="216" t="n">
        <v>1.158938050270081</v>
      </c>
      <c r="E1250" s="215" t="n">
        <v>46225</v>
      </c>
      <c r="F1250" s="215" t="n">
        <v>46225</v>
      </c>
    </row>
    <row r="1251">
      <c r="A1251" s="215" t="n">
        <v>46226</v>
      </c>
      <c r="B1251" s="216" t="n">
        <v>114.9</v>
      </c>
      <c r="C1251" s="216" t="n">
        <v>172.26</v>
      </c>
      <c r="D1251" s="216" t="n">
        <v>1.157410979270935</v>
      </c>
      <c r="E1251" s="215" t="n">
        <v>46226</v>
      </c>
      <c r="F1251" s="215" t="n">
        <v>46226</v>
      </c>
    </row>
    <row r="1252">
      <c r="A1252" s="215" t="n">
        <v>46227</v>
      </c>
      <c r="B1252" s="216" t="n">
        <v>111</v>
      </c>
      <c r="C1252" s="216" t="n">
        <v>163.37</v>
      </c>
      <c r="D1252" s="216" t="n">
        <v>1.15762197971344</v>
      </c>
      <c r="E1252" s="215" t="n">
        <v>46227</v>
      </c>
      <c r="F1252" s="215" t="n">
        <v>46227</v>
      </c>
    </row>
    <row r="1253">
      <c r="A1253" s="215" t="n">
        <v>46230</v>
      </c>
      <c r="B1253" s="216" t="n">
        <v>109.6</v>
      </c>
      <c r="C1253" s="216" t="n">
        <v>168.27</v>
      </c>
      <c r="D1253" s="216" t="n">
        <v>1.15789794921875</v>
      </c>
      <c r="E1253" s="215" t="n">
        <v>46230</v>
      </c>
      <c r="F1253" s="215" t="n">
        <v>46230</v>
      </c>
    </row>
    <row r="1254">
      <c r="A1254" s="215" t="n">
        <v>46231</v>
      </c>
      <c r="B1254" s="216" t="n">
        <v>102.2</v>
      </c>
      <c r="C1254" s="216" t="n">
        <v>159.99</v>
      </c>
      <c r="D1254" s="216" t="n">
        <v>1.158699035644531</v>
      </c>
      <c r="E1254" s="215" t="n">
        <v>46231</v>
      </c>
      <c r="F1254" s="215" t="n">
        <v>46231</v>
      </c>
    </row>
    <row r="1255">
      <c r="A1255" s="215" t="n">
        <v>46232</v>
      </c>
      <c r="B1255" s="216" t="n">
        <v>102.5</v>
      </c>
      <c r="C1255" s="216" t="n">
        <v>157.51</v>
      </c>
      <c r="D1255" s="216" t="n">
        <v>1.157909989356995</v>
      </c>
      <c r="E1255" s="215" t="n">
        <v>46232</v>
      </c>
      <c r="F1255" s="215" t="n">
        <v>46232</v>
      </c>
    </row>
    <row r="1256">
      <c r="A1256" s="215" t="n">
        <v>46233</v>
      </c>
      <c r="B1256" s="216" t="n">
        <v>97.59999999999999</v>
      </c>
      <c r="C1256" s="216" t="n">
        <v>150.41</v>
      </c>
      <c r="D1256" s="216" t="n">
        <v>1.158943057060242</v>
      </c>
      <c r="E1256" s="215" t="n">
        <v>46233</v>
      </c>
      <c r="F1256" s="215" t="n">
        <v>46233</v>
      </c>
    </row>
    <row r="1257">
      <c r="A1257" s="215" t="n">
        <v>46234</v>
      </c>
      <c r="B1257" s="216" t="n">
        <v>100.1</v>
      </c>
      <c r="C1257" s="216" t="n">
        <v>155.61</v>
      </c>
      <c r="D1257" s="216" t="n">
        <v>1.160945057868958</v>
      </c>
      <c r="E1257" s="215" t="n">
        <v>46234</v>
      </c>
      <c r="F1257" s="215" t="n">
        <v>46234</v>
      </c>
    </row>
    <row r="1258">
      <c r="A1258" s="215" t="n">
        <v>46237</v>
      </c>
      <c r="B1258" s="216" t="n">
        <v>103.5</v>
      </c>
      <c r="C1258" s="216" t="n">
        <v>159.28</v>
      </c>
      <c r="D1258" s="216" t="n">
        <v>1.161579966545105</v>
      </c>
      <c r="E1258" s="215" t="n">
        <v>46237</v>
      </c>
      <c r="F1258" s="215" t="n">
        <v>46237</v>
      </c>
    </row>
    <row r="1259">
      <c r="A1259" s="215" t="n">
        <v>46238</v>
      </c>
      <c r="B1259" s="216" t="n">
        <v>106.3</v>
      </c>
      <c r="C1259" s="216" t="n">
        <v>156</v>
      </c>
      <c r="D1259" s="216" t="n">
        <v>1.161064982414246</v>
      </c>
      <c r="E1259" s="215" t="n">
        <v>46238</v>
      </c>
      <c r="F1259" s="215" t="n">
        <v>46238</v>
      </c>
    </row>
    <row r="1260">
      <c r="A1260" s="215" t="n">
        <v>46239</v>
      </c>
      <c r="B1260" s="216" t="n">
        <v>108.3</v>
      </c>
      <c r="C1260" s="216" t="n">
        <v>166.35</v>
      </c>
      <c r="D1260" s="216" t="n">
        <v>1.161146998405457</v>
      </c>
      <c r="E1260" s="215" t="n">
        <v>46239</v>
      </c>
      <c r="F1260" s="215" t="n">
        <v>46239</v>
      </c>
    </row>
    <row r="1261">
      <c r="A1261" s="215" t="n">
        <v>46240</v>
      </c>
      <c r="B1261" s="216" t="n">
        <v>107.4</v>
      </c>
      <c r="C1261" s="216" t="n">
        <v>167.55</v>
      </c>
      <c r="D1261" s="216" t="n">
        <v>1.161936044692993</v>
      </c>
      <c r="E1261" s="215" t="n">
        <v>46240</v>
      </c>
      <c r="F1261" s="215" t="n">
        <v>46240</v>
      </c>
    </row>
    <row r="1262">
      <c r="A1262" s="215" t="n">
        <v>46241</v>
      </c>
      <c r="B1262" s="216" t="n">
        <v>111.3</v>
      </c>
      <c r="C1262" s="216" t="n">
        <v>170</v>
      </c>
      <c r="D1262" s="216" t="n">
        <v>1.162284016609192</v>
      </c>
      <c r="E1262" s="215" t="n">
        <v>46241</v>
      </c>
      <c r="F1262" s="215" t="n">
        <v>46241</v>
      </c>
    </row>
    <row r="1263">
      <c r="A1263" s="215" t="n">
        <v>46244</v>
      </c>
      <c r="B1263" s="216" t="n">
        <v>107.9</v>
      </c>
      <c r="C1263" s="216" t="n">
        <v>165.09</v>
      </c>
      <c r="D1263" s="216" t="n">
        <v>1.162629961967468</v>
      </c>
      <c r="E1263" s="215" t="n">
        <v>46244</v>
      </c>
      <c r="F1263" s="215" t="n">
        <v>46244</v>
      </c>
    </row>
    <row r="1264">
      <c r="A1264" s="215" t="n">
        <v>46245</v>
      </c>
      <c r="B1264" s="216" t="n">
        <v>105.6</v>
      </c>
      <c r="C1264" s="216" t="n">
        <v>169.13</v>
      </c>
      <c r="D1264" s="216" t="n">
        <v>1.162588000297546</v>
      </c>
      <c r="E1264" s="215" t="n">
        <v>46245</v>
      </c>
      <c r="F1264" s="215" t="n">
        <v>46245</v>
      </c>
    </row>
    <row r="1265">
      <c r="A1265" s="215" t="n">
        <v>46246</v>
      </c>
      <c r="B1265" s="216" t="n">
        <v>106.1</v>
      </c>
      <c r="C1265" s="216" t="n">
        <v>169.36</v>
      </c>
      <c r="D1265" s="216" t="n">
        <v>1.163135051727295</v>
      </c>
      <c r="E1265" s="215" t="n">
        <v>46246</v>
      </c>
      <c r="F1265" s="215" t="n">
        <v>46246</v>
      </c>
    </row>
    <row r="1266">
      <c r="A1266" s="215" t="n">
        <v>46247</v>
      </c>
      <c r="B1266" s="216" t="n">
        <v>106</v>
      </c>
      <c r="C1266" s="216" t="n">
        <v>163.4</v>
      </c>
      <c r="D1266" s="216" t="n">
        <v>1.163341045379639</v>
      </c>
      <c r="E1266" s="215" t="n">
        <v>46247</v>
      </c>
      <c r="F1266" s="215" t="n">
        <v>46247</v>
      </c>
    </row>
    <row r="1267">
      <c r="A1267" s="215" t="n">
        <v>46248</v>
      </c>
      <c r="B1267" s="216" t="n">
        <v>107.2</v>
      </c>
      <c r="C1267" s="216" t="n">
        <v>162.11</v>
      </c>
      <c r="D1267" s="216" t="n">
        <v>1.163571000099182</v>
      </c>
      <c r="E1267" s="215" t="n">
        <v>46248</v>
      </c>
      <c r="F1267" s="215" t="n">
        <v>46248</v>
      </c>
    </row>
    <row r="1268">
      <c r="A1268" s="215" t="n">
        <v>46251</v>
      </c>
      <c r="B1268" s="216" t="n">
        <v>120.9</v>
      </c>
      <c r="C1268" s="216" t="n">
        <v>178.64</v>
      </c>
      <c r="D1268" s="216" t="n">
        <v>1.163601994514465</v>
      </c>
      <c r="E1268" s="215" t="n">
        <v>46251</v>
      </c>
      <c r="F1268" s="215" t="n">
        <v>46251</v>
      </c>
    </row>
    <row r="1269">
      <c r="A1269" s="215" t="n">
        <v>46252</v>
      </c>
      <c r="B1269" s="216" t="n">
        <v>118.1</v>
      </c>
      <c r="C1269" s="216" t="n">
        <v>185.48</v>
      </c>
      <c r="D1269" s="216" t="n">
        <v>1.163733005523682</v>
      </c>
      <c r="E1269" s="215" t="n">
        <v>46252</v>
      </c>
      <c r="F1269" s="215" t="n">
        <v>46252</v>
      </c>
    </row>
    <row r="1270">
      <c r="A1270" s="215" t="n">
        <v>46253</v>
      </c>
      <c r="B1270" s="216" t="n">
        <v>107.9</v>
      </c>
      <c r="C1270" s="216" t="n">
        <v>166.66</v>
      </c>
      <c r="D1270" s="216" t="n">
        <v>1.163092017173767</v>
      </c>
      <c r="E1270" s="215" t="n">
        <v>46253</v>
      </c>
      <c r="F1270" s="215" t="n">
        <v>46253</v>
      </c>
    </row>
    <row r="1271">
      <c r="A1271" s="215" t="n">
        <v>46254</v>
      </c>
      <c r="B1271" s="216" t="n">
        <v>108.8</v>
      </c>
      <c r="C1271" s="216" t="n">
        <v>168.04</v>
      </c>
      <c r="D1271" s="216" t="n">
        <v>1.164932012557983</v>
      </c>
      <c r="E1271" s="215" t="n">
        <v>46254</v>
      </c>
      <c r="F1271" s="215" t="n">
        <v>46254</v>
      </c>
    </row>
    <row r="1272">
      <c r="A1272" s="215" t="n">
        <v>46255</v>
      </c>
      <c r="B1272" s="216" t="n">
        <v>117.9</v>
      </c>
      <c r="C1272" s="216" t="n">
        <v>177.74</v>
      </c>
      <c r="D1272" s="216" t="n">
        <v>1.166555047035217</v>
      </c>
      <c r="E1272" s="215" t="n">
        <v>46255</v>
      </c>
      <c r="F1272" s="215" t="n">
        <v>46255</v>
      </c>
    </row>
    <row r="1273">
      <c r="A1273" s="215" t="n">
        <v>46258</v>
      </c>
      <c r="B1273" s="216" t="n">
        <v>117.9</v>
      </c>
      <c r="C1273" s="216" t="n">
        <v>179.12</v>
      </c>
      <c r="D1273" s="216" t="n">
        <v>1.166316986083984</v>
      </c>
      <c r="E1273" s="215" t="n">
        <v>46258</v>
      </c>
      <c r="F1273" s="215" t="n">
        <v>46258</v>
      </c>
    </row>
    <row r="1274">
      <c r="A1274" s="215" t="n">
        <v>46259</v>
      </c>
      <c r="B1274" s="216" t="n">
        <v>117.9</v>
      </c>
      <c r="C1274" s="216" t="n">
        <v>182.63</v>
      </c>
      <c r="D1274" s="216" t="n">
        <v>1.165253043174744</v>
      </c>
      <c r="E1274" s="215" t="n">
        <v>46259</v>
      </c>
      <c r="F1274" s="215" t="n">
        <v>46259</v>
      </c>
    </row>
    <row r="1275">
      <c r="A1275" s="215" t="n">
        <v>46260</v>
      </c>
      <c r="B1275" s="216" t="n">
        <v>121</v>
      </c>
      <c r="C1275" s="216" t="n">
        <v>189.17</v>
      </c>
      <c r="D1275" s="216" t="n">
        <v>1.166218996047974</v>
      </c>
      <c r="E1275" s="215" t="n">
        <v>46260</v>
      </c>
      <c r="F1275" s="215" t="n">
        <v>46260</v>
      </c>
    </row>
    <row r="1276">
      <c r="A1276" s="215" t="n">
        <v>46261</v>
      </c>
      <c r="B1276" s="216" t="n">
        <v>127.1</v>
      </c>
      <c r="C1276" s="216" t="n">
        <v>197.28</v>
      </c>
      <c r="D1276" s="216" t="n">
        <v>1.165971040725708</v>
      </c>
      <c r="E1276" s="215" t="n">
        <v>46261</v>
      </c>
      <c r="F1276" s="215" t="n">
        <v>46261</v>
      </c>
    </row>
    <row r="1277">
      <c r="A1277" s="215" t="n">
        <v>46262</v>
      </c>
      <c r="B1277" s="216" t="n">
        <v>117.4</v>
      </c>
      <c r="C1277" s="216" t="n">
        <v>189.67</v>
      </c>
      <c r="D1277" s="216" t="n">
        <v>1.165799975395203</v>
      </c>
      <c r="E1277" s="215" t="n">
        <v>46262</v>
      </c>
      <c r="F1277" s="215" t="n">
        <v>46262</v>
      </c>
    </row>
    <row r="1278">
      <c r="A1278" s="215" t="n">
        <v>46265</v>
      </c>
      <c r="B1278" s="216" t="n">
        <v>123.8</v>
      </c>
      <c r="C1278" s="216" t="n">
        <v>197.5</v>
      </c>
      <c r="D1278" s="216" t="n">
        <v>1.165387988090515</v>
      </c>
      <c r="E1278" s="215" t="n">
        <v>46265</v>
      </c>
      <c r="F1278" s="215" t="n">
        <v>46265</v>
      </c>
    </row>
    <row r="1279">
      <c r="A1279" s="215" t="n">
        <v>46266</v>
      </c>
      <c r="B1279" s="216" t="n">
        <v>121.5</v>
      </c>
      <c r="C1279" s="216" t="n">
        <v>193</v>
      </c>
      <c r="D1279" s="216" t="n">
        <v>1.165223956108093</v>
      </c>
      <c r="E1279" s="215" t="n">
        <v>46266</v>
      </c>
      <c r="F1279" s="215" t="n">
        <v>46266</v>
      </c>
    </row>
    <row r="1280">
      <c r="A1280" s="215" t="n">
        <v>46267</v>
      </c>
      <c r="B1280" s="216" t="n">
        <v>117</v>
      </c>
      <c r="C1280" s="216" t="n">
        <v>190</v>
      </c>
      <c r="D1280" s="216" t="n">
        <v>1.166425943374634</v>
      </c>
      <c r="E1280" s="215" t="n">
        <v>46267</v>
      </c>
      <c r="F1280" s="215" t="n">
        <v>46267</v>
      </c>
    </row>
    <row r="1281">
      <c r="A1281" s="215" t="n">
        <v>46268</v>
      </c>
      <c r="B1281" s="216" t="n">
        <v>120.8</v>
      </c>
      <c r="C1281" s="216" t="n">
        <v>194.2</v>
      </c>
      <c r="D1281" s="216" t="n">
        <v>1.167057037353516</v>
      </c>
      <c r="E1281" s="215" t="n">
        <v>46268</v>
      </c>
      <c r="F1281" s="215" t="n">
        <v>46268</v>
      </c>
    </row>
    <row r="1282">
      <c r="A1282" s="215" t="n">
        <v>46269</v>
      </c>
      <c r="B1282" s="216" t="n">
        <v>117.6</v>
      </c>
      <c r="C1282" s="216" t="n">
        <v>184.02</v>
      </c>
      <c r="D1282" s="216" t="n">
        <v>1.166767954826355</v>
      </c>
      <c r="E1282" s="215" t="n">
        <v>46269</v>
      </c>
      <c r="F1282" s="215" t="n">
        <v>46269</v>
      </c>
    </row>
    <row r="1283">
      <c r="A1283" s="215" t="n">
        <v>46272</v>
      </c>
      <c r="B1283" s="216" t="n">
        <v>117.2</v>
      </c>
      <c r="C1283" s="216" t="n">
        <v>189.12</v>
      </c>
      <c r="D1283" s="216" t="n">
        <v>1.168081045150757</v>
      </c>
      <c r="E1283" s="215" t="n">
        <v>46272</v>
      </c>
      <c r="F1283" s="215" t="n">
        <v>46272</v>
      </c>
    </row>
    <row r="1284">
      <c r="A1284" s="215" t="n">
        <v>46273</v>
      </c>
      <c r="B1284" s="216" t="n">
        <v>114.9</v>
      </c>
      <c r="C1284" s="216" t="n">
        <v>184.79</v>
      </c>
      <c r="D1284" s="216" t="n">
        <v>1.168115019798279</v>
      </c>
      <c r="E1284" s="215" t="n">
        <v>46273</v>
      </c>
      <c r="F1284" s="215" t="n">
        <v>46273</v>
      </c>
    </row>
    <row r="1285">
      <c r="A1285" s="215" t="n">
        <v>46274</v>
      </c>
      <c r="B1285" s="216" t="n">
        <v>118.4</v>
      </c>
      <c r="C1285" s="216" t="n">
        <v>179.45</v>
      </c>
      <c r="D1285" s="216" t="n">
        <v>1.168408989906311</v>
      </c>
      <c r="E1285" s="215" t="n">
        <v>46274</v>
      </c>
      <c r="F1285" s="215" t="n">
        <v>46274</v>
      </c>
    </row>
    <row r="1286">
      <c r="A1286" s="215" t="n">
        <v>46275</v>
      </c>
      <c r="B1286" s="216" t="n">
        <v>113.9</v>
      </c>
      <c r="C1286" s="216" t="n">
        <v>175.74</v>
      </c>
      <c r="D1286" s="216" t="n">
        <v>1.168462991714478</v>
      </c>
      <c r="E1286" s="215" t="n">
        <v>46275</v>
      </c>
      <c r="F1286" s="215" t="n">
        <v>46275</v>
      </c>
    </row>
    <row r="1287">
      <c r="A1287" s="215" t="n">
        <v>46276</v>
      </c>
      <c r="B1287" s="216" t="n">
        <v>115.5</v>
      </c>
      <c r="C1287" s="216" t="n">
        <v>185</v>
      </c>
      <c r="D1287" s="216" t="n">
        <v>1.169165015220642</v>
      </c>
      <c r="E1287" s="215" t="n">
        <v>46276</v>
      </c>
      <c r="F1287" s="215" t="n">
        <v>46276</v>
      </c>
    </row>
    <row r="1288">
      <c r="A1288" s="215" t="n">
        <v>46279</v>
      </c>
      <c r="B1288" s="216" t="n">
        <v>115.1</v>
      </c>
      <c r="C1288" s="216" t="n">
        <v>182.5</v>
      </c>
      <c r="D1288" s="216" t="n">
        <v>1.16893994808197</v>
      </c>
      <c r="E1288" s="215" t="n">
        <v>46279</v>
      </c>
      <c r="F1288" s="215" t="n">
        <v>46279</v>
      </c>
    </row>
    <row r="1289">
      <c r="A1289" s="215" t="n">
        <v>46280</v>
      </c>
      <c r="B1289" s="216" t="n">
        <v>114.8</v>
      </c>
      <c r="C1289" s="216" t="n">
        <v>181.3</v>
      </c>
      <c r="D1289" s="216" t="n">
        <v>1.169121026992798</v>
      </c>
      <c r="E1289" s="215" t="n">
        <v>46280</v>
      </c>
      <c r="F1289" s="215" t="n">
        <v>46280</v>
      </c>
    </row>
    <row r="1290">
      <c r="A1290" s="215" t="n">
        <v>46281</v>
      </c>
      <c r="B1290" s="216" t="n">
        <v>117.7</v>
      </c>
      <c r="C1290" s="216" t="n">
        <v>187.56</v>
      </c>
      <c r="D1290" s="216" t="n">
        <v>1.168769955635071</v>
      </c>
      <c r="E1290" s="215" t="n">
        <v>46281</v>
      </c>
      <c r="F1290" s="215" t="n">
        <v>46281</v>
      </c>
    </row>
    <row r="1291">
      <c r="A1291" s="215" t="n">
        <v>46282</v>
      </c>
      <c r="B1291" s="216" t="n">
        <v>126.2</v>
      </c>
      <c r="C1291" s="216" t="n">
        <v>205.65</v>
      </c>
      <c r="D1291" s="216" t="n">
        <v>1.169389963150024</v>
      </c>
      <c r="E1291" s="215" t="n">
        <v>46282</v>
      </c>
      <c r="F1291" s="215" t="n">
        <v>46282</v>
      </c>
    </row>
    <row r="1292">
      <c r="A1292" s="215" t="n">
        <v>46283</v>
      </c>
      <c r="B1292" s="216" t="n">
        <v>135</v>
      </c>
      <c r="C1292" s="216" t="n">
        <v>209.43</v>
      </c>
      <c r="D1292" s="216" t="n">
        <v>1.16942298412323</v>
      </c>
      <c r="E1292" s="215" t="n">
        <v>46283</v>
      </c>
      <c r="F1292" s="215" t="n">
        <v>46283</v>
      </c>
    </row>
    <row r="1293">
      <c r="A1293" s="215" t="n">
        <v>46286</v>
      </c>
      <c r="B1293" s="216" t="n">
        <v>133.8</v>
      </c>
      <c r="C1293" s="216" t="n">
        <v>215.13</v>
      </c>
      <c r="D1293" s="216" t="n">
        <v>1.171280026435852</v>
      </c>
      <c r="E1293" s="215" t="n">
        <v>46286</v>
      </c>
      <c r="F1293" s="215" t="n">
        <v>46286</v>
      </c>
    </row>
    <row r="1294">
      <c r="A1294" s="215" t="n">
        <v>46287</v>
      </c>
      <c r="B1294" s="216" t="n">
        <v>132</v>
      </c>
      <c r="C1294" s="216" t="n">
        <v>215.95</v>
      </c>
      <c r="D1294" s="216" t="n">
        <v>1.171705007553101</v>
      </c>
      <c r="E1294" s="215" t="n">
        <v>46287</v>
      </c>
      <c r="F1294" s="215" t="n">
        <v>46287</v>
      </c>
    </row>
    <row r="1295">
      <c r="A1295" s="215" t="n">
        <v>46288</v>
      </c>
      <c r="B1295" s="216" t="n">
        <v>130.1</v>
      </c>
      <c r="C1295" s="216" t="n">
        <v>215.42</v>
      </c>
      <c r="D1295" s="216" t="n">
        <v>1.170611023902893</v>
      </c>
      <c r="E1295" s="215" t="n">
        <v>46288</v>
      </c>
      <c r="F1295" s="215" t="n">
        <v>46288</v>
      </c>
    </row>
    <row r="1296">
      <c r="A1296" s="215" t="n">
        <v>46289</v>
      </c>
      <c r="B1296" s="216" t="n">
        <v>128.1</v>
      </c>
      <c r="C1296" s="216" t="n">
        <v>213.56</v>
      </c>
      <c r="D1296" s="216" t="n">
        <v>1.16852605342865</v>
      </c>
      <c r="E1296" s="215" t="n">
        <v>46289</v>
      </c>
      <c r="F1296" s="215" t="n">
        <v>46289</v>
      </c>
    </row>
    <row r="1297">
      <c r="A1297" s="215" t="n">
        <v>46290</v>
      </c>
      <c r="B1297" s="216" t="n">
        <v>128.4</v>
      </c>
      <c r="C1297" s="216" t="n">
        <v>213.56</v>
      </c>
      <c r="D1297" s="216" t="n">
        <v>1.168424010276794</v>
      </c>
      <c r="E1297" s="215" t="n">
        <v>46289</v>
      </c>
      <c r="F1297" s="215" t="n">
        <v>46290</v>
      </c>
    </row>
    <row r="1298">
      <c r="A1298" s="215" t="n">
        <v>46293</v>
      </c>
      <c r="B1298" s="216" t="n">
        <v>119.4</v>
      </c>
      <c r="C1298" s="216" t="n">
        <v>206.53</v>
      </c>
      <c r="D1298" s="216" t="n">
        <v>1.168378949165344</v>
      </c>
      <c r="E1298" s="215" t="n">
        <v>46293</v>
      </c>
      <c r="F1298" s="215" t="n">
        <v>46293</v>
      </c>
    </row>
    <row r="1299">
      <c r="A1299" s="215" t="n">
        <v>46294</v>
      </c>
      <c r="B1299" s="216" t="n">
        <v>119.4</v>
      </c>
      <c r="C1299" s="216" t="n">
        <v>204.33</v>
      </c>
      <c r="D1299" s="216" t="n">
        <v>1.168815970420837</v>
      </c>
      <c r="E1299" s="215" t="n">
        <v>46294</v>
      </c>
      <c r="F1299" s="215" t="n">
        <v>46294</v>
      </c>
    </row>
    <row r="1300">
      <c r="A1300" s="215" t="n">
        <v>46295</v>
      </c>
      <c r="B1300" s="216" t="n">
        <v>117.8</v>
      </c>
      <c r="C1300" s="216" t="n">
        <v>199.31</v>
      </c>
      <c r="D1300" s="216" t="n">
        <v>1.17059600353241</v>
      </c>
      <c r="E1300" s="215" t="n">
        <v>46295</v>
      </c>
      <c r="F1300" s="215" t="n">
        <v>46295</v>
      </c>
    </row>
    <row r="1301">
      <c r="A1301" s="215" t="n">
        <v>46297</v>
      </c>
      <c r="B1301" s="216" t="n">
        <v>118.9</v>
      </c>
      <c r="C1301" s="216" t="n">
        <v>199.31</v>
      </c>
      <c r="D1301" s="216" t="n">
        <v>1.170220971107483</v>
      </c>
      <c r="E1301" s="215" t="n">
        <v>46295</v>
      </c>
      <c r="F1301" s="215" t="n">
        <v>46297</v>
      </c>
    </row>
    <row r="1302">
      <c r="A1302" s="215" t="n">
        <v>46035</v>
      </c>
      <c r="B1302" s="216" t="n">
        <v>222.8</v>
      </c>
      <c r="C1302" s="216" t="n">
        <v>263.5</v>
      </c>
      <c r="D1302" s="216" t="n">
        <v>1.117892026901245</v>
      </c>
      <c r="E1302" s="215" t="n">
        <v>46035</v>
      </c>
      <c r="F1302" s="215" t="n">
        <v>46035</v>
      </c>
    </row>
    <row r="1303">
      <c r="A1303" s="215" t="n">
        <v>46036</v>
      </c>
      <c r="B1303" s="216" t="n">
        <v>225</v>
      </c>
      <c r="C1303" s="216" t="n">
        <v>253</v>
      </c>
      <c r="D1303" s="216" t="n">
        <v>1.117897987365723</v>
      </c>
      <c r="E1303" s="215" t="n">
        <v>46036</v>
      </c>
      <c r="F1303" s="215" t="n">
        <v>46036</v>
      </c>
    </row>
    <row r="1304">
      <c r="A1304" s="215" t="n">
        <v>46037</v>
      </c>
      <c r="B1304" s="216" t="n">
        <v>233</v>
      </c>
      <c r="C1304" s="216" t="n">
        <v>254.96</v>
      </c>
      <c r="D1304" s="216" t="n">
        <v>1.118072032928467</v>
      </c>
      <c r="E1304" s="215" t="n">
        <v>46037</v>
      </c>
      <c r="F1304" s="215" t="n">
        <v>46037</v>
      </c>
    </row>
    <row r="1305">
      <c r="A1305" s="215" t="n">
        <v>46038</v>
      </c>
      <c r="B1305" s="216" t="n">
        <v>272</v>
      </c>
      <c r="C1305" s="216" t="n">
        <v>280.46</v>
      </c>
      <c r="D1305" s="216" t="n">
        <v>1.119040012359619</v>
      </c>
      <c r="E1305" s="215" t="n">
        <v>46038</v>
      </c>
      <c r="F1305" s="215" t="n">
        <v>46038</v>
      </c>
    </row>
    <row r="1306">
      <c r="A1306" s="215" t="n">
        <v>46041</v>
      </c>
      <c r="B1306" s="216" t="n">
        <v>290</v>
      </c>
      <c r="C1306" s="216" t="n">
        <v>288.45</v>
      </c>
      <c r="D1306" s="216" t="n">
        <v>1.118916034698486</v>
      </c>
      <c r="E1306" s="215" t="n">
        <v>46041</v>
      </c>
      <c r="F1306" s="215" t="n">
        <v>46041</v>
      </c>
    </row>
    <row r="1307">
      <c r="A1307" s="215" t="n">
        <v>46042</v>
      </c>
      <c r="B1307" s="216" t="n">
        <v>306</v>
      </c>
      <c r="C1307" s="216" t="n">
        <v>292</v>
      </c>
      <c r="D1307" s="216" t="n">
        <v>1.118687987327576</v>
      </c>
      <c r="E1307" s="215" t="n">
        <v>46042</v>
      </c>
      <c r="F1307" s="215" t="n">
        <v>46042</v>
      </c>
    </row>
    <row r="1308">
      <c r="A1308" s="215" t="n">
        <v>46043</v>
      </c>
      <c r="B1308" s="216" t="n">
        <v>324.8</v>
      </c>
      <c r="C1308" s="216" t="n">
        <v>307.65</v>
      </c>
      <c r="D1308" s="216" t="n">
        <v>1.12024998664856</v>
      </c>
      <c r="E1308" s="215" t="n">
        <v>46043</v>
      </c>
      <c r="F1308" s="215" t="n">
        <v>46043</v>
      </c>
    </row>
    <row r="1309">
      <c r="A1309" s="215" t="n">
        <v>46044</v>
      </c>
      <c r="B1309" s="216" t="n">
        <v>298</v>
      </c>
      <c r="C1309" s="216" t="n">
        <v>301.47</v>
      </c>
      <c r="D1309" s="216" t="n">
        <v>1.11942195892334</v>
      </c>
      <c r="E1309" s="215" t="n">
        <v>46044</v>
      </c>
      <c r="F1309" s="215" t="n">
        <v>46044</v>
      </c>
    </row>
    <row r="1310">
      <c r="A1310" s="215" t="n">
        <v>46045</v>
      </c>
      <c r="B1310" s="216" t="n">
        <v>315.8</v>
      </c>
      <c r="C1310" s="216" t="n">
        <v>297.25</v>
      </c>
      <c r="D1310" s="216" t="n">
        <v>1.117977976799011</v>
      </c>
      <c r="E1310" s="215" t="n">
        <v>46045</v>
      </c>
      <c r="F1310" s="215" t="n">
        <v>46045</v>
      </c>
    </row>
    <row r="1311">
      <c r="A1311" s="215" t="n">
        <v>46048</v>
      </c>
      <c r="B1311" s="216" t="n">
        <v>307</v>
      </c>
      <c r="C1311" s="216" t="n">
        <v>292.6</v>
      </c>
      <c r="D1311" s="216" t="n">
        <v>1.117916941642761</v>
      </c>
      <c r="E1311" s="215" t="n">
        <v>46048</v>
      </c>
      <c r="F1311" s="215" t="n">
        <v>46048</v>
      </c>
    </row>
    <row r="1312">
      <c r="A1312" s="215" t="n">
        <v>46049</v>
      </c>
      <c r="B1312" s="216" t="n">
        <v>321</v>
      </c>
      <c r="C1312" s="216" t="n">
        <v>307.26</v>
      </c>
      <c r="D1312" s="216" t="n">
        <v>1.121191024780273</v>
      </c>
      <c r="E1312" s="215" t="n">
        <v>46049</v>
      </c>
      <c r="F1312" s="215" t="n">
        <v>46049</v>
      </c>
    </row>
    <row r="1313">
      <c r="A1313" s="215" t="n">
        <v>46050</v>
      </c>
      <c r="B1313" s="216" t="n">
        <v>344.2</v>
      </c>
      <c r="C1313" s="216" t="n">
        <v>323.68</v>
      </c>
      <c r="D1313" s="216" t="n">
        <v>1.121533036231995</v>
      </c>
      <c r="E1313" s="215" t="n">
        <v>46050</v>
      </c>
      <c r="F1313" s="215" t="n">
        <v>46050</v>
      </c>
    </row>
    <row r="1314">
      <c r="A1314" s="215" t="n">
        <v>46051</v>
      </c>
      <c r="B1314" s="216" t="n">
        <v>331.8</v>
      </c>
      <c r="C1314" s="216" t="n">
        <v>307.5</v>
      </c>
      <c r="D1314" s="216" t="n">
        <v>1.121621966362</v>
      </c>
      <c r="E1314" s="215" t="n">
        <v>46051</v>
      </c>
      <c r="F1314" s="215" t="n">
        <v>46051</v>
      </c>
    </row>
    <row r="1315">
      <c r="A1315" s="215" t="n">
        <v>46052</v>
      </c>
      <c r="B1315" s="216" t="n">
        <v>335</v>
      </c>
      <c r="C1315" s="216" t="n">
        <v>314.88</v>
      </c>
      <c r="D1315" s="216" t="n">
        <v>1.123343944549561</v>
      </c>
      <c r="E1315" s="215" t="n">
        <v>46052</v>
      </c>
      <c r="F1315" s="215" t="n">
        <v>46052</v>
      </c>
    </row>
    <row r="1316">
      <c r="A1316" s="215" t="n">
        <v>46055</v>
      </c>
      <c r="B1316" s="216" t="n">
        <v>304</v>
      </c>
      <c r="C1316" s="216" t="n">
        <v>283.39</v>
      </c>
      <c r="D1316" s="216" t="n">
        <v>1.123572945594788</v>
      </c>
      <c r="E1316" s="215" t="n">
        <v>46055</v>
      </c>
      <c r="F1316" s="215" t="n">
        <v>46055</v>
      </c>
    </row>
    <row r="1317">
      <c r="A1317" s="215" t="n">
        <v>46056</v>
      </c>
      <c r="B1317" s="216" t="n">
        <v>316.6</v>
      </c>
      <c r="C1317" s="216" t="n">
        <v>292.57</v>
      </c>
      <c r="D1317" s="216" t="n">
        <v>1.124274969100952</v>
      </c>
      <c r="E1317" s="215" t="n">
        <v>46056</v>
      </c>
      <c r="F1317" s="215" t="n">
        <v>46056</v>
      </c>
    </row>
    <row r="1318">
      <c r="A1318" s="215" t="n">
        <v>46057</v>
      </c>
      <c r="B1318" s="216" t="n">
        <v>304.4</v>
      </c>
      <c r="C1318" s="216" t="n">
        <v>282.33</v>
      </c>
      <c r="D1318" s="216" t="n">
        <v>1.12601101398468</v>
      </c>
      <c r="E1318" s="215" t="n">
        <v>46057</v>
      </c>
      <c r="F1318" s="215" t="n">
        <v>46057</v>
      </c>
    </row>
    <row r="1319">
      <c r="A1319" s="215" t="n">
        <v>46058</v>
      </c>
      <c r="B1319" s="216" t="n">
        <v>290.8</v>
      </c>
      <c r="C1319" s="216" t="n">
        <v>277.74</v>
      </c>
      <c r="D1319" s="216" t="n">
        <v>1.125892996788025</v>
      </c>
      <c r="E1319" s="215" t="n">
        <v>46058</v>
      </c>
      <c r="F1319" s="215" t="n">
        <v>46058</v>
      </c>
    </row>
    <row r="1320">
      <c r="A1320" s="215" t="n">
        <v>46059</v>
      </c>
      <c r="B1320" s="216" t="n">
        <v>281.8</v>
      </c>
      <c r="C1320" s="216" t="n">
        <v>276.17</v>
      </c>
      <c r="D1320" s="216" t="n">
        <v>1.126062035560608</v>
      </c>
      <c r="E1320" s="215" t="n">
        <v>46059</v>
      </c>
      <c r="F1320" s="215" t="n">
        <v>46059</v>
      </c>
    </row>
    <row r="1321">
      <c r="A1321" s="215" t="n">
        <v>46062</v>
      </c>
      <c r="B1321" s="216" t="n">
        <v>314</v>
      </c>
      <c r="C1321" s="216" t="n">
        <v>292.98</v>
      </c>
      <c r="D1321" s="216" t="n">
        <v>1.125753998756409</v>
      </c>
      <c r="E1321" s="215" t="n">
        <v>46062</v>
      </c>
      <c r="F1321" s="215" t="n">
        <v>46062</v>
      </c>
    </row>
    <row r="1322">
      <c r="A1322" s="215" t="n">
        <v>46063</v>
      </c>
      <c r="B1322" s="216" t="n">
        <v>302</v>
      </c>
      <c r="C1322" s="216" t="n">
        <v>289.9</v>
      </c>
      <c r="D1322" s="216" t="n">
        <v>1.129003047943115</v>
      </c>
      <c r="E1322" s="215" t="n">
        <v>46063</v>
      </c>
      <c r="F1322" s="215" t="n">
        <v>46063</v>
      </c>
    </row>
    <row r="1323">
      <c r="A1323" s="215" t="n">
        <v>46064</v>
      </c>
      <c r="B1323" s="216" t="n">
        <v>296</v>
      </c>
      <c r="C1323" s="216" t="n">
        <v>284.59</v>
      </c>
      <c r="D1323" s="216" t="n">
        <v>1.130962014198303</v>
      </c>
      <c r="E1323" s="215" t="n">
        <v>46064</v>
      </c>
      <c r="F1323" s="215" t="n">
        <v>46064</v>
      </c>
    </row>
    <row r="1324">
      <c r="A1324" s="215" t="n">
        <v>46065</v>
      </c>
      <c r="B1324" s="216" t="n">
        <v>358</v>
      </c>
      <c r="C1324" s="216" t="n">
        <v>303.24</v>
      </c>
      <c r="D1324" s="216" t="n">
        <v>1.130671977996826</v>
      </c>
      <c r="E1324" s="215" t="n">
        <v>46065</v>
      </c>
      <c r="F1324" s="215" t="n">
        <v>46065</v>
      </c>
    </row>
    <row r="1325">
      <c r="A1325" s="215" t="n">
        <v>46066</v>
      </c>
      <c r="B1325" s="216" t="n">
        <v>370</v>
      </c>
      <c r="C1325" s="216" t="n">
        <v>308.7</v>
      </c>
      <c r="D1325" s="216" t="n">
        <v>1.132490992546082</v>
      </c>
      <c r="E1325" s="215" t="n">
        <v>46066</v>
      </c>
      <c r="F1325" s="215" t="n">
        <v>46066</v>
      </c>
    </row>
    <row r="1326">
      <c r="A1326" s="215" t="n">
        <v>46069</v>
      </c>
      <c r="B1326" s="216" t="n">
        <v>406.2</v>
      </c>
      <c r="C1326" s="216" t="n">
        <v>308.7</v>
      </c>
      <c r="D1326" s="216" t="n">
        <v>1.131224036216736</v>
      </c>
      <c r="E1326" s="215" t="n">
        <v>46066</v>
      </c>
      <c r="F1326" s="215" t="n">
        <v>46069</v>
      </c>
    </row>
    <row r="1327">
      <c r="A1327" s="215" t="n">
        <v>46073</v>
      </c>
      <c r="B1327" s="216" t="n">
        <v>403</v>
      </c>
      <c r="C1327" s="216" t="n">
        <v>308.7</v>
      </c>
      <c r="D1327" s="216" t="n">
        <v>1.131005048751831</v>
      </c>
      <c r="E1327" s="215" t="n">
        <v>46066</v>
      </c>
      <c r="F1327" s="215" t="n">
        <v>46073</v>
      </c>
    </row>
    <row r="1328">
      <c r="A1328" s="215" t="n">
        <v>46076</v>
      </c>
      <c r="B1328" s="216" t="n">
        <v>386.2</v>
      </c>
      <c r="C1328" s="216" t="n">
        <v>308.7</v>
      </c>
      <c r="D1328" s="216" t="n">
        <v>1.130877017974854</v>
      </c>
      <c r="E1328" s="215" t="n">
        <v>46066</v>
      </c>
      <c r="F1328" s="215" t="n">
        <v>46076</v>
      </c>
    </row>
    <row r="1329">
      <c r="A1329" s="215" t="n">
        <v>46077</v>
      </c>
      <c r="B1329" s="216" t="n">
        <v>432.2</v>
      </c>
      <c r="C1329" s="216" t="n">
        <v>323.05</v>
      </c>
      <c r="D1329" s="216" t="n">
        <v>1.131631016731262</v>
      </c>
      <c r="E1329" s="215" t="n">
        <v>46077</v>
      </c>
      <c r="F1329" s="215" t="n">
        <v>46077</v>
      </c>
    </row>
    <row r="1330">
      <c r="A1330" s="215" t="n">
        <v>46078</v>
      </c>
      <c r="B1330" s="216" t="n">
        <v>412.6</v>
      </c>
      <c r="C1330" s="216" t="n">
        <v>311.32</v>
      </c>
      <c r="D1330" s="216" t="n">
        <v>1.136234045028687</v>
      </c>
      <c r="E1330" s="215" t="n">
        <v>46078</v>
      </c>
      <c r="F1330" s="215" t="n">
        <v>46078</v>
      </c>
    </row>
    <row r="1331">
      <c r="A1331" s="215" t="n">
        <v>46079</v>
      </c>
      <c r="B1331" s="216" t="n">
        <v>425.6</v>
      </c>
      <c r="C1331" s="216" t="n">
        <v>309.4</v>
      </c>
      <c r="D1331" s="216" t="n">
        <v>1.138198971748352</v>
      </c>
      <c r="E1331" s="215" t="n">
        <v>46079</v>
      </c>
      <c r="F1331" s="215" t="n">
        <v>46079</v>
      </c>
    </row>
    <row r="1332">
      <c r="A1332" s="215" t="n">
        <v>46080</v>
      </c>
      <c r="B1332" s="216" t="n">
        <v>392</v>
      </c>
      <c r="C1332" s="216" t="n">
        <v>300</v>
      </c>
      <c r="D1332" s="216" t="n">
        <v>1.143396973609924</v>
      </c>
      <c r="E1332" s="215" t="n">
        <v>46080</v>
      </c>
      <c r="F1332" s="215" t="n">
        <v>46080</v>
      </c>
    </row>
    <row r="1333">
      <c r="A1333" s="215" t="n">
        <v>46083</v>
      </c>
      <c r="B1333" s="216" t="n">
        <v>375</v>
      </c>
      <c r="C1333" s="216" t="n">
        <v>293.15</v>
      </c>
      <c r="D1333" s="216" t="n">
        <v>1.140552043914795</v>
      </c>
      <c r="E1333" s="215" t="n">
        <v>46083</v>
      </c>
      <c r="F1333" s="215" t="n">
        <v>46083</v>
      </c>
    </row>
    <row r="1334">
      <c r="A1334" s="215" t="n">
        <v>46084</v>
      </c>
      <c r="B1334" s="216" t="n">
        <v>346</v>
      </c>
      <c r="C1334" s="216" t="n">
        <v>272.89</v>
      </c>
      <c r="D1334" s="216" t="n">
        <v>1.136399984359741</v>
      </c>
      <c r="E1334" s="215" t="n">
        <v>46084</v>
      </c>
      <c r="F1334" s="215" t="n">
        <v>46084</v>
      </c>
    </row>
    <row r="1335">
      <c r="A1335" s="215" t="n">
        <v>46085</v>
      </c>
      <c r="B1335" s="216" t="n">
        <v>367.2</v>
      </c>
      <c r="C1335" s="216" t="n">
        <v>279.07</v>
      </c>
      <c r="D1335" s="216" t="n">
        <v>1.130928993225098</v>
      </c>
      <c r="E1335" s="215" t="n">
        <v>46085</v>
      </c>
      <c r="F1335" s="215" t="n">
        <v>46085</v>
      </c>
    </row>
    <row r="1336">
      <c r="A1336" s="215" t="n">
        <v>46086</v>
      </c>
      <c r="B1336" s="216" t="n">
        <v>373.6</v>
      </c>
      <c r="C1336" s="216" t="n">
        <v>282.8</v>
      </c>
      <c r="D1336" s="216" t="n">
        <v>1.133169054985046</v>
      </c>
      <c r="E1336" s="215" t="n">
        <v>46086</v>
      </c>
      <c r="F1336" s="215" t="n">
        <v>46086</v>
      </c>
    </row>
    <row r="1337">
      <c r="A1337" s="215" t="n">
        <v>46087</v>
      </c>
      <c r="B1337" s="216" t="n">
        <v>391.6</v>
      </c>
      <c r="C1337" s="216" t="n">
        <v>284.99</v>
      </c>
      <c r="D1337" s="216" t="n">
        <v>1.133442044258118</v>
      </c>
      <c r="E1337" s="215" t="n">
        <v>46087</v>
      </c>
      <c r="F1337" s="215" t="n">
        <v>46087</v>
      </c>
    </row>
    <row r="1338">
      <c r="A1338" s="215" t="n">
        <v>46090</v>
      </c>
      <c r="B1338" s="216" t="n">
        <v>365.8</v>
      </c>
      <c r="C1338" s="216" t="n">
        <v>276.09</v>
      </c>
      <c r="D1338" s="216" t="n">
        <v>1.133231043815613</v>
      </c>
      <c r="E1338" s="215" t="n">
        <v>46090</v>
      </c>
      <c r="F1338" s="215" t="n">
        <v>46090</v>
      </c>
    </row>
    <row r="1339">
      <c r="A1339" s="215" t="n">
        <v>46091</v>
      </c>
      <c r="B1339" s="216" t="n">
        <v>378</v>
      </c>
      <c r="C1339" s="216" t="n">
        <v>285.44</v>
      </c>
      <c r="D1339" s="216" t="n">
        <v>1.131595015525818</v>
      </c>
      <c r="E1339" s="215" t="n">
        <v>46091</v>
      </c>
      <c r="F1339" s="215" t="n">
        <v>46091</v>
      </c>
    </row>
    <row r="1340">
      <c r="A1340" s="215" t="n">
        <v>46092</v>
      </c>
      <c r="B1340" s="216" t="n">
        <v>371.8</v>
      </c>
      <c r="C1340" s="216" t="n">
        <v>281.53</v>
      </c>
      <c r="D1340" s="216" t="n">
        <v>1.137585043907166</v>
      </c>
      <c r="E1340" s="215" t="n">
        <v>46092</v>
      </c>
      <c r="F1340" s="215" t="n">
        <v>46092</v>
      </c>
    </row>
    <row r="1341">
      <c r="A1341" s="215" t="n">
        <v>46093</v>
      </c>
      <c r="B1341" s="216" t="n">
        <v>360</v>
      </c>
      <c r="C1341" s="216" t="n">
        <v>274.78</v>
      </c>
      <c r="D1341" s="216" t="n">
        <v>1.139600038528442</v>
      </c>
      <c r="E1341" s="215" t="n">
        <v>46093</v>
      </c>
      <c r="F1341" s="215" t="n">
        <v>46093</v>
      </c>
    </row>
    <row r="1342">
      <c r="A1342" s="215" t="n">
        <v>46094</v>
      </c>
      <c r="B1342" s="216" t="n">
        <v>364</v>
      </c>
      <c r="C1342" s="216" t="n">
        <v>278.33</v>
      </c>
      <c r="D1342" s="216" t="n">
        <v>1.139310002326965</v>
      </c>
      <c r="E1342" s="215" t="n">
        <v>46094</v>
      </c>
      <c r="F1342" s="215" t="n">
        <v>46094</v>
      </c>
    </row>
    <row r="1343">
      <c r="A1343" s="215" t="n">
        <v>46097</v>
      </c>
      <c r="B1343" s="216" t="n">
        <v>431</v>
      </c>
      <c r="C1343" s="216" t="n">
        <v>306.16</v>
      </c>
      <c r="D1343" s="216" t="n">
        <v>1.134883999824524</v>
      </c>
      <c r="E1343" s="215" t="n">
        <v>46097</v>
      </c>
      <c r="F1343" s="215" t="n">
        <v>46097</v>
      </c>
    </row>
    <row r="1344">
      <c r="A1344" s="215" t="n">
        <v>46098</v>
      </c>
      <c r="B1344" s="216" t="n">
        <v>403.4</v>
      </c>
      <c r="C1344" s="216" t="n">
        <v>296</v>
      </c>
      <c r="D1344" s="216" t="n">
        <v>1.125375986099243</v>
      </c>
      <c r="E1344" s="215" t="n">
        <v>46098</v>
      </c>
      <c r="F1344" s="215" t="n">
        <v>46098</v>
      </c>
    </row>
    <row r="1345">
      <c r="A1345" s="215" t="n">
        <v>46099</v>
      </c>
      <c r="B1345" s="216" t="n">
        <v>449.8</v>
      </c>
      <c r="C1345" s="216" t="n">
        <v>311.25</v>
      </c>
      <c r="D1345" s="216" t="n">
        <v>1.137819051742554</v>
      </c>
      <c r="E1345" s="215" t="n">
        <v>46099</v>
      </c>
      <c r="F1345" s="215" t="n">
        <v>46099</v>
      </c>
    </row>
    <row r="1346">
      <c r="A1346" s="215" t="n">
        <v>46100</v>
      </c>
      <c r="B1346" s="216" t="n">
        <v>433.8</v>
      </c>
      <c r="C1346" s="216" t="n">
        <v>303.68</v>
      </c>
      <c r="D1346" s="216" t="n">
        <v>1.140079021453857</v>
      </c>
      <c r="E1346" s="215" t="n">
        <v>46100</v>
      </c>
      <c r="F1346" s="215" t="n">
        <v>46100</v>
      </c>
    </row>
    <row r="1347">
      <c r="A1347" s="215" t="n">
        <v>46101</v>
      </c>
      <c r="B1347" s="216" t="n">
        <v>420</v>
      </c>
      <c r="C1347" s="216" t="n">
        <v>290.2</v>
      </c>
      <c r="D1347" s="216" t="n">
        <v>1.13490903377533</v>
      </c>
      <c r="E1347" s="215" t="n">
        <v>46101</v>
      </c>
      <c r="F1347" s="215" t="n">
        <v>46101</v>
      </c>
    </row>
    <row r="1348">
      <c r="A1348" s="215" t="n">
        <v>46104</v>
      </c>
      <c r="B1348" s="216" t="n">
        <v>388.2</v>
      </c>
      <c r="C1348" s="216" t="n">
        <v>273.35</v>
      </c>
      <c r="D1348" s="216" t="n">
        <v>1.137529969215393</v>
      </c>
      <c r="E1348" s="215" t="n">
        <v>46104</v>
      </c>
      <c r="F1348" s="215" t="n">
        <v>46104</v>
      </c>
    </row>
    <row r="1349">
      <c r="A1349" s="215" t="n">
        <v>46105</v>
      </c>
      <c r="B1349" s="216" t="n">
        <v>401.6</v>
      </c>
      <c r="C1349" s="216" t="n">
        <v>273.71</v>
      </c>
      <c r="D1349" s="216" t="n">
        <v>1.138481974601746</v>
      </c>
      <c r="E1349" s="215" t="n">
        <v>46105</v>
      </c>
      <c r="F1349" s="215" t="n">
        <v>46105</v>
      </c>
    </row>
    <row r="1350">
      <c r="A1350" s="215" t="n">
        <v>46106</v>
      </c>
      <c r="B1350" s="216" t="n">
        <v>407.6</v>
      </c>
      <c r="C1350" s="216" t="n">
        <v>278.4</v>
      </c>
      <c r="D1350" s="216" t="n">
        <v>1.135548949241638</v>
      </c>
      <c r="E1350" s="215" t="n">
        <v>46106</v>
      </c>
      <c r="F1350" s="215" t="n">
        <v>46106</v>
      </c>
    </row>
    <row r="1351">
      <c r="A1351" s="215" t="n">
        <v>46107</v>
      </c>
      <c r="B1351" s="216" t="n">
        <v>376.8</v>
      </c>
      <c r="C1351" s="216" t="n">
        <v>262</v>
      </c>
      <c r="D1351" s="216" t="n">
        <v>1.132627010345459</v>
      </c>
      <c r="E1351" s="215" t="n">
        <v>46107</v>
      </c>
      <c r="F1351" s="215" t="n">
        <v>46107</v>
      </c>
    </row>
    <row r="1352">
      <c r="A1352" s="215" t="n">
        <v>46108</v>
      </c>
      <c r="B1352" s="216" t="n">
        <v>365.8</v>
      </c>
      <c r="C1352" s="216" t="n">
        <v>258.66</v>
      </c>
      <c r="D1352" s="216" t="n">
        <v>1.132115960121155</v>
      </c>
      <c r="E1352" s="215" t="n">
        <v>46108</v>
      </c>
      <c r="F1352" s="215" t="n">
        <v>46108</v>
      </c>
    </row>
    <row r="1353">
      <c r="A1353" s="215" t="n">
        <v>46111</v>
      </c>
      <c r="B1353" s="216" t="n">
        <v>374.2</v>
      </c>
      <c r="C1353" s="216" t="n">
        <v>255.85</v>
      </c>
      <c r="D1353" s="216" t="n">
        <v>1.13311505317688</v>
      </c>
      <c r="E1353" s="215" t="n">
        <v>46111</v>
      </c>
      <c r="F1353" s="215" t="n">
        <v>46111</v>
      </c>
    </row>
    <row r="1354">
      <c r="A1354" s="215" t="n">
        <v>46112</v>
      </c>
      <c r="B1354" s="216" t="n">
        <v>343</v>
      </c>
      <c r="C1354" s="216" t="n">
        <v>238.1</v>
      </c>
      <c r="D1354" s="216" t="n">
        <v>1.133540987968445</v>
      </c>
      <c r="E1354" s="215" t="n">
        <v>46112</v>
      </c>
      <c r="F1354" s="215" t="n">
        <v>46112</v>
      </c>
    </row>
    <row r="1355">
      <c r="A1355" s="215" t="n">
        <v>46113</v>
      </c>
      <c r="B1355" s="216" t="n">
        <v>366</v>
      </c>
      <c r="C1355" s="216" t="n">
        <v>255</v>
      </c>
      <c r="D1355" s="216" t="n">
        <v>1.136669993400574</v>
      </c>
      <c r="E1355" s="215" t="n">
        <v>46113</v>
      </c>
      <c r="F1355" s="215" t="n">
        <v>46113</v>
      </c>
    </row>
    <row r="1356">
      <c r="A1356" s="215" t="n">
        <v>46114</v>
      </c>
      <c r="B1356" s="216" t="n">
        <v>346</v>
      </c>
      <c r="C1356" s="216" t="n">
        <v>246.99</v>
      </c>
      <c r="D1356" s="216" t="n">
        <v>1.140197992324829</v>
      </c>
      <c r="E1356" s="215" t="n">
        <v>46114</v>
      </c>
      <c r="F1356" s="215" t="n">
        <v>46114</v>
      </c>
    </row>
    <row r="1357">
      <c r="A1357" s="215" t="n">
        <v>46120</v>
      </c>
      <c r="B1357" s="216" t="n">
        <v>366</v>
      </c>
      <c r="C1357" s="216" t="n">
        <v>255.96</v>
      </c>
      <c r="D1357" s="216" t="n">
        <v>1.1423499584198</v>
      </c>
      <c r="E1357" s="215" t="n">
        <v>46120</v>
      </c>
      <c r="F1357" s="215" t="n">
        <v>46120</v>
      </c>
    </row>
    <row r="1358">
      <c r="A1358" s="215" t="n">
        <v>46121</v>
      </c>
      <c r="B1358" s="216" t="n">
        <v>350</v>
      </c>
      <c r="C1358" s="216" t="n">
        <v>250.49</v>
      </c>
      <c r="D1358" s="216" t="n">
        <v>1.146731972694397</v>
      </c>
      <c r="E1358" s="215" t="n">
        <v>46121</v>
      </c>
      <c r="F1358" s="215" t="n">
        <v>46121</v>
      </c>
    </row>
    <row r="1359">
      <c r="A1359" s="215" t="n">
        <v>46122</v>
      </c>
      <c r="B1359" s="216" t="n">
        <v>392.2</v>
      </c>
      <c r="C1359" s="216" t="n">
        <v>265.09</v>
      </c>
      <c r="D1359" s="216" t="n">
        <v>1.146558046340942</v>
      </c>
      <c r="E1359" s="215" t="n">
        <v>46122</v>
      </c>
      <c r="F1359" s="215" t="n">
        <v>46122</v>
      </c>
    </row>
    <row r="1360">
      <c r="A1360" s="215" t="n">
        <v>46125</v>
      </c>
      <c r="B1360" s="216" t="n">
        <v>391.6</v>
      </c>
      <c r="C1360" s="216" t="n">
        <v>262.14</v>
      </c>
      <c r="D1360" s="216" t="n">
        <v>1.147117972373962</v>
      </c>
      <c r="E1360" s="215" t="n">
        <v>46125</v>
      </c>
      <c r="F1360" s="215" t="n">
        <v>46125</v>
      </c>
    </row>
    <row r="1361">
      <c r="A1361" s="215" t="n">
        <v>46126</v>
      </c>
      <c r="B1361" s="216" t="n">
        <v>427</v>
      </c>
      <c r="C1361" s="216" t="n">
        <v>280.01</v>
      </c>
      <c r="D1361" s="216" t="n">
        <v>1.146226048469543</v>
      </c>
      <c r="E1361" s="215" t="n">
        <v>46126</v>
      </c>
      <c r="F1361" s="215" t="n">
        <v>46126</v>
      </c>
    </row>
    <row r="1362">
      <c r="A1362" s="215" t="n">
        <v>46127</v>
      </c>
      <c r="B1362" s="216" t="n">
        <v>407.6</v>
      </c>
      <c r="C1362" s="216" t="n">
        <v>274</v>
      </c>
      <c r="D1362" s="216" t="n">
        <v>1.149266004562378</v>
      </c>
      <c r="E1362" s="215" t="n">
        <v>46127</v>
      </c>
      <c r="F1362" s="215" t="n">
        <v>46127</v>
      </c>
    </row>
    <row r="1363">
      <c r="A1363" s="215" t="n">
        <v>46128</v>
      </c>
      <c r="B1363" s="216" t="n">
        <v>462.4</v>
      </c>
      <c r="C1363" s="216" t="n">
        <v>286.73</v>
      </c>
      <c r="D1363" s="216" t="n">
        <v>1.148550033569336</v>
      </c>
      <c r="E1363" s="215" t="n">
        <v>46128</v>
      </c>
      <c r="F1363" s="215" t="n">
        <v>46128</v>
      </c>
    </row>
    <row r="1364">
      <c r="A1364" s="215" t="n">
        <v>46129</v>
      </c>
      <c r="B1364" s="216" t="n">
        <v>430.8</v>
      </c>
      <c r="C1364" s="216" t="n">
        <v>288.96</v>
      </c>
      <c r="D1364" s="216" t="n">
        <v>1.146605014801025</v>
      </c>
      <c r="E1364" s="215" t="n">
        <v>46129</v>
      </c>
      <c r="F1364" s="215" t="n">
        <v>46129</v>
      </c>
    </row>
    <row r="1365">
      <c r="A1365" s="215" t="n">
        <v>46132</v>
      </c>
      <c r="B1365" s="216" t="n">
        <v>423</v>
      </c>
      <c r="C1365" s="216" t="n">
        <v>290.54</v>
      </c>
      <c r="D1365" s="216" t="n">
        <v>1.148360967636108</v>
      </c>
      <c r="E1365" s="215" t="n">
        <v>46132</v>
      </c>
      <c r="F1365" s="215" t="n">
        <v>46132</v>
      </c>
    </row>
    <row r="1366">
      <c r="A1366" s="215" t="n">
        <v>46133</v>
      </c>
      <c r="B1366" s="216" t="n">
        <v>441</v>
      </c>
      <c r="C1366" s="216" t="n">
        <v>306.27</v>
      </c>
      <c r="D1366" s="216" t="n">
        <v>1.148368000984192</v>
      </c>
      <c r="E1366" s="215" t="n">
        <v>46133</v>
      </c>
      <c r="F1366" s="215" t="n">
        <v>46133</v>
      </c>
    </row>
    <row r="1367">
      <c r="A1367" s="215" t="n">
        <v>46134</v>
      </c>
      <c r="B1367" s="216" t="n">
        <v>450</v>
      </c>
      <c r="C1367" s="216" t="n">
        <v>313.98</v>
      </c>
      <c r="D1367" s="216" t="n">
        <v>1.147838950157166</v>
      </c>
      <c r="E1367" s="215" t="n">
        <v>46134</v>
      </c>
      <c r="F1367" s="215" t="n">
        <v>46134</v>
      </c>
    </row>
    <row r="1368">
      <c r="A1368" s="215" t="n">
        <v>46135</v>
      </c>
      <c r="B1368" s="216" t="n">
        <v>451.6</v>
      </c>
      <c r="C1368" s="216" t="n">
        <v>304.8</v>
      </c>
      <c r="D1368" s="216" t="n">
        <v>1.147513031959534</v>
      </c>
      <c r="E1368" s="215" t="n">
        <v>46135</v>
      </c>
      <c r="F1368" s="215" t="n">
        <v>46135</v>
      </c>
    </row>
    <row r="1369">
      <c r="A1369" s="215" t="n">
        <v>46136</v>
      </c>
      <c r="B1369" s="216" t="n">
        <v>449.4</v>
      </c>
      <c r="C1369" s="216" t="n">
        <v>297.7</v>
      </c>
      <c r="D1369" s="216" t="n">
        <v>1.147369027137756</v>
      </c>
      <c r="E1369" s="215" t="n">
        <v>46136</v>
      </c>
      <c r="F1369" s="215" t="n">
        <v>46136</v>
      </c>
    </row>
    <row r="1370">
      <c r="A1370" s="215" t="n">
        <v>46139</v>
      </c>
      <c r="B1370" s="216" t="n">
        <v>452</v>
      </c>
      <c r="C1370" s="216" t="n">
        <v>303.42</v>
      </c>
      <c r="D1370" s="216" t="n">
        <v>1.146002054214478</v>
      </c>
      <c r="E1370" s="215" t="n">
        <v>46139</v>
      </c>
      <c r="F1370" s="215" t="n">
        <v>46139</v>
      </c>
    </row>
    <row r="1371">
      <c r="A1371" s="215" t="n">
        <v>46140</v>
      </c>
      <c r="B1371" s="216" t="n">
        <v>445.2</v>
      </c>
      <c r="C1371" s="216" t="n">
        <v>307.5</v>
      </c>
      <c r="D1371" s="216" t="n">
        <v>1.148522019386292</v>
      </c>
      <c r="E1371" s="215" t="n">
        <v>46140</v>
      </c>
      <c r="F1371" s="215" t="n">
        <v>46140</v>
      </c>
    </row>
    <row r="1372">
      <c r="A1372" s="215" t="n">
        <v>46141</v>
      </c>
      <c r="B1372" s="216" t="n">
        <v>477</v>
      </c>
      <c r="C1372" s="216" t="n">
        <v>308.89</v>
      </c>
      <c r="D1372" s="216" t="n">
        <v>1.145936012268066</v>
      </c>
      <c r="E1372" s="215" t="n">
        <v>46141</v>
      </c>
      <c r="F1372" s="215" t="n">
        <v>46141</v>
      </c>
    </row>
    <row r="1373">
      <c r="A1373" s="215" t="n">
        <v>46142</v>
      </c>
      <c r="B1373" s="216" t="n">
        <v>468.4</v>
      </c>
      <c r="C1373" s="216" t="n">
        <v>312.99</v>
      </c>
      <c r="D1373" s="216" t="n">
        <v>1.145792007446289</v>
      </c>
      <c r="E1373" s="215" t="n">
        <v>46142</v>
      </c>
      <c r="F1373" s="215" t="n">
        <v>46142</v>
      </c>
    </row>
    <row r="1374">
      <c r="A1374" s="215" t="n">
        <v>46146</v>
      </c>
      <c r="B1374" s="216" t="n">
        <v>482.8</v>
      </c>
      <c r="C1374" s="216" t="n">
        <v>312.99</v>
      </c>
      <c r="D1374" s="216" t="n">
        <v>1.147340059280396</v>
      </c>
      <c r="E1374" s="215" t="n">
        <v>46142</v>
      </c>
      <c r="F1374" s="215" t="n">
        <v>46146</v>
      </c>
    </row>
    <row r="1375">
      <c r="A1375" s="215" t="n">
        <v>46147</v>
      </c>
      <c r="B1375" s="216" t="n">
        <v>466</v>
      </c>
      <c r="C1375" s="216" t="n">
        <v>312.99</v>
      </c>
      <c r="D1375" s="216" t="n">
        <v>1.146813988685608</v>
      </c>
      <c r="E1375" s="215" t="n">
        <v>46142</v>
      </c>
      <c r="F1375" s="215" t="n">
        <v>46147</v>
      </c>
    </row>
    <row r="1376">
      <c r="A1376" s="215" t="n">
        <v>46148</v>
      </c>
      <c r="B1376" s="216" t="n">
        <v>533.5</v>
      </c>
      <c r="C1376" s="216" t="n">
        <v>344.29</v>
      </c>
      <c r="D1376" s="216" t="n">
        <v>1.14708399772644</v>
      </c>
      <c r="E1376" s="215" t="n">
        <v>46148</v>
      </c>
      <c r="F1376" s="215" t="n">
        <v>46148</v>
      </c>
    </row>
    <row r="1377">
      <c r="A1377" s="215" t="n">
        <v>46149</v>
      </c>
      <c r="B1377" s="216" t="n">
        <v>518.5</v>
      </c>
      <c r="C1377" s="216" t="n">
        <v>350.16</v>
      </c>
      <c r="D1377" s="216" t="n">
        <v>1.150125026702881</v>
      </c>
      <c r="E1377" s="215" t="n">
        <v>46149</v>
      </c>
      <c r="F1377" s="215" t="n">
        <v>46149</v>
      </c>
    </row>
    <row r="1378">
      <c r="A1378" s="215" t="n">
        <v>46150</v>
      </c>
      <c r="B1378" s="216" t="n">
        <v>490</v>
      </c>
      <c r="C1378" s="216" t="n">
        <v>334.1</v>
      </c>
      <c r="D1378" s="216" t="n">
        <v>1.15172004699707</v>
      </c>
      <c r="E1378" s="215" t="n">
        <v>46150</v>
      </c>
      <c r="F1378" s="215" t="n">
        <v>46150</v>
      </c>
    </row>
    <row r="1379">
      <c r="A1379" s="215" t="n">
        <v>46153</v>
      </c>
      <c r="B1379" s="216" t="n">
        <v>529</v>
      </c>
      <c r="C1379" s="216" t="n">
        <v>362.13</v>
      </c>
      <c r="D1379" s="216" t="n">
        <v>1.151090025901794</v>
      </c>
      <c r="E1379" s="215" t="n">
        <v>46153</v>
      </c>
      <c r="F1379" s="215" t="n">
        <v>46153</v>
      </c>
    </row>
    <row r="1380">
      <c r="A1380" s="215" t="n">
        <v>46154</v>
      </c>
      <c r="B1380" s="216" t="n">
        <v>505</v>
      </c>
      <c r="C1380" s="216" t="n">
        <v>353.55</v>
      </c>
      <c r="D1380" s="216" t="n">
        <v>1.152078986167908</v>
      </c>
      <c r="E1380" s="215" t="n">
        <v>46154</v>
      </c>
      <c r="F1380" s="215" t="n">
        <v>46154</v>
      </c>
    </row>
    <row r="1381">
      <c r="A1381" s="215" t="n">
        <v>46155</v>
      </c>
      <c r="B1381" s="216" t="n">
        <v>548</v>
      </c>
      <c r="C1381" s="216" t="n">
        <v>365</v>
      </c>
      <c r="D1381" s="216" t="n">
        <v>1.152537941932678</v>
      </c>
      <c r="E1381" s="215" t="n">
        <v>46155</v>
      </c>
      <c r="F1381" s="215" t="n">
        <v>46155</v>
      </c>
    </row>
    <row r="1382">
      <c r="A1382" s="215" t="n">
        <v>46156</v>
      </c>
      <c r="B1382" s="216" t="n">
        <v>524.5</v>
      </c>
      <c r="C1382" s="216" t="n">
        <v>356.19</v>
      </c>
      <c r="D1382" s="216" t="n">
        <v>1.152662992477417</v>
      </c>
      <c r="E1382" s="215" t="n">
        <v>46156</v>
      </c>
      <c r="F1382" s="215" t="n">
        <v>46156</v>
      </c>
    </row>
    <row r="1383">
      <c r="A1383" s="215" t="n">
        <v>46157</v>
      </c>
      <c r="B1383" s="216" t="n">
        <v>544</v>
      </c>
      <c r="C1383" s="216" t="n">
        <v>375.34</v>
      </c>
      <c r="D1383" s="216" t="n">
        <v>1.154320001602173</v>
      </c>
      <c r="E1383" s="215" t="n">
        <v>46157</v>
      </c>
      <c r="F1383" s="215" t="n">
        <v>46157</v>
      </c>
    </row>
    <row r="1384">
      <c r="A1384" s="215" t="n">
        <v>46160</v>
      </c>
      <c r="B1384" s="216" t="n">
        <v>588</v>
      </c>
      <c r="C1384" s="216" t="n">
        <v>400</v>
      </c>
      <c r="D1384" s="216" t="n">
        <v>1.149821996688843</v>
      </c>
      <c r="E1384" s="215" t="n">
        <v>46160</v>
      </c>
      <c r="F1384" s="215" t="n">
        <v>46160</v>
      </c>
    </row>
    <row r="1385">
      <c r="A1385" s="215" t="n">
        <v>46161</v>
      </c>
      <c r="B1385" s="216" t="n">
        <v>602</v>
      </c>
      <c r="C1385" s="216" t="n">
        <v>404.56</v>
      </c>
      <c r="D1385" s="216" t="n">
        <v>1.151532053947449</v>
      </c>
      <c r="E1385" s="215" t="n">
        <v>46161</v>
      </c>
      <c r="F1385" s="215" t="n">
        <v>46161</v>
      </c>
    </row>
    <row r="1386">
      <c r="A1386" s="215" t="n">
        <v>46162</v>
      </c>
      <c r="B1386" s="216" t="n">
        <v>704.5</v>
      </c>
      <c r="C1386" s="216" t="n">
        <v>445.02</v>
      </c>
      <c r="D1386" s="216" t="n">
        <v>1.149292945861816</v>
      </c>
      <c r="E1386" s="215" t="n">
        <v>46162</v>
      </c>
      <c r="F1386" s="215" t="n">
        <v>46162</v>
      </c>
    </row>
    <row r="1387">
      <c r="A1387" s="215" t="n">
        <v>46163</v>
      </c>
      <c r="B1387" s="216" t="n">
        <v>689</v>
      </c>
      <c r="C1387" s="216" t="n">
        <v>431.9</v>
      </c>
      <c r="D1387" s="216" t="n">
        <v>1.151231050491333</v>
      </c>
      <c r="E1387" s="215" t="n">
        <v>46163</v>
      </c>
      <c r="F1387" s="215" t="n">
        <v>46163</v>
      </c>
    </row>
    <row r="1388">
      <c r="A1388" s="215" t="n">
        <v>46164</v>
      </c>
      <c r="B1388" s="216" t="n">
        <v>778</v>
      </c>
      <c r="C1388" s="216" t="n">
        <v>468.74</v>
      </c>
      <c r="D1388" s="216" t="n">
        <v>1.151487946510315</v>
      </c>
      <c r="E1388" s="215" t="n">
        <v>46164</v>
      </c>
      <c r="F1388" s="215" t="n">
        <v>46164</v>
      </c>
    </row>
    <row r="1389">
      <c r="A1389" s="215" t="n">
        <v>46168</v>
      </c>
      <c r="B1389" s="216" t="n">
        <v>825</v>
      </c>
      <c r="C1389" s="216" t="n">
        <v>526.22</v>
      </c>
      <c r="D1389" s="216" t="n">
        <v>1.152968049049377</v>
      </c>
      <c r="E1389" s="215" t="n">
        <v>46168</v>
      </c>
      <c r="F1389" s="215" t="n">
        <v>46168</v>
      </c>
    </row>
    <row r="1390">
      <c r="A1390" s="215" t="n">
        <v>46169</v>
      </c>
      <c r="B1390" s="216" t="n">
        <v>842.5</v>
      </c>
      <c r="C1390" s="216" t="n">
        <v>514.1799999999999</v>
      </c>
      <c r="D1390" s="216" t="n">
        <v>1.154562950134277</v>
      </c>
      <c r="E1390" s="215" t="n">
        <v>46169</v>
      </c>
      <c r="F1390" s="215" t="n">
        <v>46169</v>
      </c>
    </row>
    <row r="1391">
      <c r="A1391" s="215" t="n">
        <v>46170</v>
      </c>
      <c r="B1391" s="216" t="n">
        <v>790</v>
      </c>
      <c r="C1391" s="216" t="n">
        <v>483</v>
      </c>
      <c r="D1391" s="216" t="n">
        <v>1.155385971069336</v>
      </c>
      <c r="E1391" s="215" t="n">
        <v>46170</v>
      </c>
      <c r="F1391" s="215" t="n">
        <v>46170</v>
      </c>
    </row>
    <row r="1392">
      <c r="A1392" s="215" t="n">
        <v>46171</v>
      </c>
      <c r="B1392" s="216" t="n">
        <v>740</v>
      </c>
      <c r="C1392" s="216" t="n">
        <v>467.01</v>
      </c>
      <c r="D1392" s="216" t="n">
        <v>1.155282974243164</v>
      </c>
      <c r="E1392" s="215" t="n">
        <v>46171</v>
      </c>
      <c r="F1392" s="215" t="n">
        <v>46171</v>
      </c>
    </row>
    <row r="1393">
      <c r="A1393" s="215" t="n">
        <v>46174</v>
      </c>
      <c r="B1393" s="216" t="n">
        <v>708.5</v>
      </c>
      <c r="C1393" s="216" t="n">
        <v>468</v>
      </c>
      <c r="D1393" s="216" t="n">
        <v>1.158049941062927</v>
      </c>
      <c r="E1393" s="215" t="n">
        <v>46174</v>
      </c>
      <c r="F1393" s="215" t="n">
        <v>46174</v>
      </c>
    </row>
    <row r="1394">
      <c r="A1394" s="215" t="n">
        <v>46175</v>
      </c>
      <c r="B1394" s="216" t="n">
        <v>711</v>
      </c>
      <c r="C1394" s="216" t="n">
        <v>474.69</v>
      </c>
      <c r="D1394" s="216" t="n">
        <v>1.158406972885132</v>
      </c>
      <c r="E1394" s="215" t="n">
        <v>46175</v>
      </c>
      <c r="F1394" s="215" t="n">
        <v>46175</v>
      </c>
    </row>
    <row r="1395">
      <c r="A1395" s="215" t="n">
        <v>46176</v>
      </c>
      <c r="B1395" s="216" t="n">
        <v>735.5</v>
      </c>
      <c r="C1395" s="216" t="n">
        <v>492.23</v>
      </c>
      <c r="D1395" s="216" t="n">
        <v>1.15879499912262</v>
      </c>
      <c r="E1395" s="215" t="n">
        <v>46176</v>
      </c>
      <c r="F1395" s="215" t="n">
        <v>46176</v>
      </c>
    </row>
    <row r="1396">
      <c r="A1396" s="215" t="n">
        <v>46177</v>
      </c>
      <c r="B1396" s="216" t="n">
        <v>786</v>
      </c>
      <c r="C1396" s="216" t="n">
        <v>529.3099999999999</v>
      </c>
      <c r="D1396" s="216" t="n">
        <v>1.157420039176941</v>
      </c>
      <c r="E1396" s="215" t="n">
        <v>46177</v>
      </c>
      <c r="F1396" s="215" t="n">
        <v>46177</v>
      </c>
    </row>
    <row r="1397">
      <c r="A1397" s="215" t="n">
        <v>46178</v>
      </c>
      <c r="B1397" s="216" t="n">
        <v>723</v>
      </c>
      <c r="C1397" s="216" t="n">
        <v>488</v>
      </c>
      <c r="D1397" s="216" t="n">
        <v>1.156491994857788</v>
      </c>
      <c r="E1397" s="215" t="n">
        <v>46178</v>
      </c>
      <c r="F1397" s="215" t="n">
        <v>46178</v>
      </c>
    </row>
    <row r="1398">
      <c r="A1398" s="215" t="n">
        <v>46181</v>
      </c>
      <c r="B1398" s="216" t="n">
        <v>695</v>
      </c>
      <c r="C1398" s="216" t="n">
        <v>474.01</v>
      </c>
      <c r="D1398" s="216" t="n">
        <v>1.157665967941284</v>
      </c>
      <c r="E1398" s="215" t="n">
        <v>46181</v>
      </c>
      <c r="F1398" s="215" t="n">
        <v>46181</v>
      </c>
    </row>
    <row r="1399">
      <c r="A1399" s="215" t="n">
        <v>46182</v>
      </c>
      <c r="B1399" s="216" t="n">
        <v>707</v>
      </c>
      <c r="C1399" s="216" t="n">
        <v>500.5</v>
      </c>
      <c r="D1399" s="216" t="n">
        <v>1.158027052879333</v>
      </c>
      <c r="E1399" s="215" t="n">
        <v>46182</v>
      </c>
      <c r="F1399" s="215" t="n">
        <v>46182</v>
      </c>
    </row>
    <row r="1400">
      <c r="A1400" s="215" t="n">
        <v>46183</v>
      </c>
      <c r="B1400" s="216" t="n">
        <v>654</v>
      </c>
      <c r="C1400" s="216" t="n">
        <v>480.84</v>
      </c>
      <c r="D1400" s="216" t="n">
        <v>1.157112002372742</v>
      </c>
      <c r="E1400" s="215" t="n">
        <v>46183</v>
      </c>
      <c r="F1400" s="215" t="n">
        <v>46183</v>
      </c>
    </row>
    <row r="1401">
      <c r="A1401" s="215" t="n">
        <v>46184</v>
      </c>
      <c r="B1401" s="216" t="n">
        <v>687</v>
      </c>
      <c r="C1401" s="216" t="n">
        <v>483.5</v>
      </c>
      <c r="D1401" s="216" t="n">
        <v>1.156929016113281</v>
      </c>
      <c r="E1401" s="215" t="n">
        <v>46184</v>
      </c>
      <c r="F1401" s="215" t="n">
        <v>46184</v>
      </c>
    </row>
    <row r="1402">
      <c r="A1402" s="215" t="n">
        <v>46185</v>
      </c>
      <c r="B1402" s="216" t="n">
        <v>653.5</v>
      </c>
      <c r="C1402" s="216" t="n">
        <v>481.47</v>
      </c>
      <c r="D1402" s="216" t="n">
        <v>1.156345963478088</v>
      </c>
      <c r="E1402" s="215" t="n">
        <v>46185</v>
      </c>
      <c r="F1402" s="215" t="n">
        <v>46185</v>
      </c>
    </row>
    <row r="1403">
      <c r="A1403" s="215" t="n">
        <v>46188</v>
      </c>
      <c r="B1403" s="216" t="n">
        <v>723</v>
      </c>
      <c r="C1403" s="216" t="n">
        <v>518</v>
      </c>
      <c r="D1403" s="216" t="n">
        <v>1.156880021095276</v>
      </c>
      <c r="E1403" s="215" t="n">
        <v>46188</v>
      </c>
      <c r="F1403" s="215" t="n">
        <v>46188</v>
      </c>
    </row>
    <row r="1404">
      <c r="A1404" s="215" t="n">
        <v>46189</v>
      </c>
      <c r="B1404" s="216" t="n">
        <v>736</v>
      </c>
      <c r="C1404" s="216" t="n">
        <v>532.76</v>
      </c>
      <c r="D1404" s="216" t="n">
        <v>1.158604025840759</v>
      </c>
      <c r="E1404" s="215" t="n">
        <v>46189</v>
      </c>
      <c r="F1404" s="215" t="n">
        <v>46189</v>
      </c>
    </row>
    <row r="1405">
      <c r="A1405" s="215" t="n">
        <v>46190</v>
      </c>
      <c r="B1405" s="216" t="n">
        <v>843</v>
      </c>
      <c r="C1405" s="216" t="n">
        <v>586.04</v>
      </c>
      <c r="D1405" s="216" t="n">
        <v>1.158974051475525</v>
      </c>
      <c r="E1405" s="215" t="n">
        <v>46190</v>
      </c>
      <c r="F1405" s="215" t="n">
        <v>46190</v>
      </c>
    </row>
    <row r="1406">
      <c r="A1406" s="215" t="n">
        <v>46191</v>
      </c>
      <c r="B1406" s="216" t="n">
        <v>939</v>
      </c>
      <c r="C1406" s="216" t="n">
        <v>629</v>
      </c>
      <c r="D1406" s="216" t="n">
        <v>1.159355998039246</v>
      </c>
      <c r="E1406" s="215" t="n">
        <v>46191</v>
      </c>
      <c r="F1406" s="215" t="n">
        <v>46191</v>
      </c>
    </row>
    <row r="1407">
      <c r="A1407" s="215" t="n">
        <v>46195</v>
      </c>
      <c r="B1407" s="216" t="n">
        <v>1044</v>
      </c>
      <c r="C1407" s="216" t="n">
        <v>689.7</v>
      </c>
      <c r="D1407" s="216" t="n">
        <v>1.157493948936462</v>
      </c>
      <c r="E1407" s="215" t="n">
        <v>46195</v>
      </c>
      <c r="F1407" s="215" t="n">
        <v>46195</v>
      </c>
    </row>
    <row r="1408">
      <c r="A1408" s="215" t="n">
        <v>46196</v>
      </c>
      <c r="B1408" s="216" t="n">
        <v>936.5</v>
      </c>
      <c r="C1408" s="216" t="n">
        <v>640.99</v>
      </c>
      <c r="D1408" s="216" t="n">
        <v>1.156896948814392</v>
      </c>
      <c r="E1408" s="215" t="n">
        <v>46196</v>
      </c>
      <c r="F1408" s="215" t="n">
        <v>46196</v>
      </c>
    </row>
    <row r="1409">
      <c r="A1409" s="215" t="n">
        <v>46197</v>
      </c>
      <c r="B1409" s="216" t="n">
        <v>986.5</v>
      </c>
      <c r="C1409" s="216" t="n">
        <v>705.09</v>
      </c>
      <c r="D1409" s="216" t="n">
        <v>1.154508948326111</v>
      </c>
      <c r="E1409" s="215" t="n">
        <v>46197</v>
      </c>
      <c r="F1409" s="215" t="n">
        <v>46197</v>
      </c>
    </row>
    <row r="1410">
      <c r="A1410" s="215" t="n">
        <v>46198</v>
      </c>
      <c r="B1410" s="216" t="n">
        <v>1108</v>
      </c>
      <c r="C1410" s="216" t="n">
        <v>775.21</v>
      </c>
      <c r="D1410" s="216" t="n">
        <v>1.154152035713196</v>
      </c>
      <c r="E1410" s="215" t="n">
        <v>46198</v>
      </c>
      <c r="F1410" s="215" t="n">
        <v>46198</v>
      </c>
    </row>
    <row r="1411">
      <c r="A1411" s="215" t="n">
        <v>46199</v>
      </c>
      <c r="B1411" s="216" t="n">
        <v>1083</v>
      </c>
      <c r="C1411" s="216" t="n">
        <v>770</v>
      </c>
      <c r="D1411" s="216" t="n">
        <v>1.154500961303711</v>
      </c>
      <c r="E1411" s="215" t="n">
        <v>46199</v>
      </c>
      <c r="F1411" s="215" t="n">
        <v>46199</v>
      </c>
    </row>
    <row r="1412">
      <c r="A1412" s="215" t="n">
        <v>46202</v>
      </c>
      <c r="B1412" s="216" t="n">
        <v>1241</v>
      </c>
      <c r="C1412" s="216" t="n">
        <v>840</v>
      </c>
      <c r="D1412" s="216" t="n">
        <v>1.153512001037598</v>
      </c>
      <c r="E1412" s="215" t="n">
        <v>46202</v>
      </c>
      <c r="F1412" s="215" t="n">
        <v>46202</v>
      </c>
    </row>
    <row r="1413">
      <c r="A1413" s="215" t="n">
        <v>46203</v>
      </c>
      <c r="B1413" s="216" t="n">
        <v>1188</v>
      </c>
      <c r="C1413" s="216" t="n">
        <v>815</v>
      </c>
      <c r="D1413" s="216" t="n">
        <v>1.153959035873413</v>
      </c>
      <c r="E1413" s="215" t="n">
        <v>46203</v>
      </c>
      <c r="F1413" s="215" t="n">
        <v>46203</v>
      </c>
    </row>
    <row r="1414">
      <c r="A1414" s="215" t="n">
        <v>46205</v>
      </c>
      <c r="B1414" s="216" t="n">
        <v>969.5</v>
      </c>
      <c r="C1414" s="216" t="n">
        <v>694.8099999999999</v>
      </c>
      <c r="D1414" s="216" t="n">
        <v>1.154355049133301</v>
      </c>
      <c r="E1414" s="215" t="n">
        <v>46205</v>
      </c>
      <c r="F1414" s="215" t="n">
        <v>46205</v>
      </c>
    </row>
    <row r="1415">
      <c r="A1415" s="215" t="n">
        <v>46206</v>
      </c>
      <c r="B1415" s="216" t="n">
        <v>917.5</v>
      </c>
      <c r="C1415" s="216" t="n">
        <v>677.77</v>
      </c>
      <c r="D1415" s="216" t="n">
        <v>1.155220985412598</v>
      </c>
      <c r="E1415" s="215" t="n">
        <v>46206</v>
      </c>
      <c r="F1415" s="215" t="n">
        <v>46206</v>
      </c>
    </row>
    <row r="1416">
      <c r="A1416" s="215" t="n">
        <v>46209</v>
      </c>
      <c r="B1416" s="216" t="n">
        <v>876.5</v>
      </c>
      <c r="C1416" s="216" t="n">
        <v>654.29</v>
      </c>
      <c r="D1416" s="216" t="n">
        <v>1.155068039894104</v>
      </c>
      <c r="E1416" s="215" t="n">
        <v>46209</v>
      </c>
      <c r="F1416" s="215" t="n">
        <v>46209</v>
      </c>
    </row>
    <row r="1417">
      <c r="A1417" s="215" t="n">
        <v>46210</v>
      </c>
      <c r="B1417" s="216" t="n">
        <v>770</v>
      </c>
      <c r="C1417" s="216" t="n">
        <v>620</v>
      </c>
      <c r="D1417" s="216" t="n">
        <v>1.153807997703552</v>
      </c>
      <c r="E1417" s="215" t="n">
        <v>46210</v>
      </c>
      <c r="F1417" s="215" t="n">
        <v>46210</v>
      </c>
    </row>
    <row r="1418">
      <c r="A1418" s="215" t="n">
        <v>46211</v>
      </c>
      <c r="B1418" s="216" t="n">
        <v>772.5</v>
      </c>
      <c r="C1418" s="216" t="n">
        <v>603.17</v>
      </c>
      <c r="D1418" s="216" t="n">
        <v>1.154153943061829</v>
      </c>
      <c r="E1418" s="215" t="n">
        <v>46211</v>
      </c>
      <c r="F1418" s="215" t="n">
        <v>46211</v>
      </c>
    </row>
    <row r="1419">
      <c r="A1419" s="215" t="n">
        <v>46212</v>
      </c>
      <c r="B1419" s="216" t="n">
        <v>940.5</v>
      </c>
      <c r="C1419" s="216" t="n">
        <v>663.49</v>
      </c>
      <c r="D1419" s="216" t="n">
        <v>1.152119994163513</v>
      </c>
      <c r="E1419" s="215" t="n">
        <v>46212</v>
      </c>
      <c r="F1419" s="215" t="n">
        <v>46212</v>
      </c>
    </row>
    <row r="1420">
      <c r="A1420" s="215" t="n">
        <v>46213</v>
      </c>
      <c r="B1420" s="216" t="n">
        <v>742.5</v>
      </c>
      <c r="C1420" s="216" t="n">
        <v>612</v>
      </c>
      <c r="D1420" s="216" t="n">
        <v>1.153550028800964</v>
      </c>
      <c r="E1420" s="215" t="n">
        <v>46213</v>
      </c>
      <c r="F1420" s="215" t="n">
        <v>46213</v>
      </c>
    </row>
    <row r="1421">
      <c r="A1421" s="215" t="n">
        <v>46216</v>
      </c>
      <c r="B1421" s="216" t="n">
        <v>629</v>
      </c>
      <c r="C1421" s="216" t="n">
        <v>550.8</v>
      </c>
      <c r="D1421" s="216" t="n">
        <v>1.156761050224304</v>
      </c>
      <c r="E1421" s="215" t="n">
        <v>46216</v>
      </c>
      <c r="F1421" s="215" t="n">
        <v>46216</v>
      </c>
    </row>
    <row r="1422">
      <c r="A1422" s="215" t="n">
        <v>46217</v>
      </c>
      <c r="B1422" s="216" t="n">
        <v>689</v>
      </c>
      <c r="C1422" s="216" t="n">
        <v>583.99</v>
      </c>
      <c r="D1422" s="216" t="n">
        <v>1.155825972557068</v>
      </c>
      <c r="E1422" s="215" t="n">
        <v>46217</v>
      </c>
      <c r="F1422" s="215" t="n">
        <v>46217</v>
      </c>
    </row>
    <row r="1423">
      <c r="A1423" s="215" t="n">
        <v>46218</v>
      </c>
      <c r="B1423" s="216" t="n">
        <v>657</v>
      </c>
      <c r="C1423" s="216" t="n">
        <v>571.79</v>
      </c>
      <c r="D1423" s="216" t="n">
        <v>1.157556056976318</v>
      </c>
      <c r="E1423" s="215" t="n">
        <v>46218</v>
      </c>
      <c r="F1423" s="215" t="n">
        <v>46218</v>
      </c>
    </row>
    <row r="1424">
      <c r="A1424" s="215" t="n">
        <v>46219</v>
      </c>
      <c r="B1424" s="216" t="n">
        <v>600</v>
      </c>
      <c r="C1424" s="216" t="n">
        <v>514.61</v>
      </c>
      <c r="D1424" s="216" t="n">
        <v>1.157912969589233</v>
      </c>
      <c r="E1424" s="215" t="n">
        <v>46219</v>
      </c>
      <c r="F1424" s="215" t="n">
        <v>46219</v>
      </c>
    </row>
    <row r="1425">
      <c r="A1425" s="215" t="n">
        <v>46220</v>
      </c>
      <c r="B1425" s="216" t="n">
        <v>533.5</v>
      </c>
      <c r="C1425" s="216" t="n">
        <v>463.15</v>
      </c>
      <c r="D1425" s="216" t="n">
        <v>1.157472014427185</v>
      </c>
      <c r="E1425" s="215" t="n">
        <v>46220</v>
      </c>
      <c r="F1425" s="215" t="n">
        <v>46220</v>
      </c>
    </row>
    <row r="1426">
      <c r="A1426" s="215" t="n">
        <v>46223</v>
      </c>
      <c r="B1426" s="216" t="n">
        <v>533.5</v>
      </c>
      <c r="C1426" s="216" t="n">
        <v>432.3</v>
      </c>
      <c r="D1426" s="216" t="n">
        <v>1.157451033592224</v>
      </c>
      <c r="E1426" s="215" t="n">
        <v>46223</v>
      </c>
      <c r="F1426" s="215" t="n">
        <v>46223</v>
      </c>
    </row>
    <row r="1427">
      <c r="A1427" s="215" t="n">
        <v>46224</v>
      </c>
      <c r="B1427" s="216" t="n">
        <v>614</v>
      </c>
      <c r="C1427" s="216" t="n">
        <v>475.53</v>
      </c>
      <c r="D1427" s="216" t="n">
        <v>1.157506942749023</v>
      </c>
      <c r="E1427" s="215" t="n">
        <v>46224</v>
      </c>
      <c r="F1427" s="215" t="n">
        <v>46224</v>
      </c>
    </row>
    <row r="1428">
      <c r="A1428" s="215" t="n">
        <v>46225</v>
      </c>
      <c r="B1428" s="216" t="n">
        <v>584</v>
      </c>
      <c r="C1428" s="216" t="n">
        <v>470</v>
      </c>
      <c r="D1428" s="216" t="n">
        <v>1.158938050270081</v>
      </c>
      <c r="E1428" s="215" t="n">
        <v>46225</v>
      </c>
      <c r="F1428" s="215" t="n">
        <v>46225</v>
      </c>
    </row>
    <row r="1429">
      <c r="A1429" s="215" t="n">
        <v>46226</v>
      </c>
      <c r="B1429" s="216" t="n">
        <v>559.5</v>
      </c>
      <c r="C1429" s="216" t="n">
        <v>451.96</v>
      </c>
      <c r="D1429" s="216" t="n">
        <v>1.157410979270935</v>
      </c>
      <c r="E1429" s="215" t="n">
        <v>46226</v>
      </c>
      <c r="F1429" s="215" t="n">
        <v>46226</v>
      </c>
    </row>
    <row r="1430">
      <c r="A1430" s="215" t="n">
        <v>46227</v>
      </c>
      <c r="B1430" s="216" t="n">
        <v>568</v>
      </c>
      <c r="C1430" s="216" t="n">
        <v>457</v>
      </c>
      <c r="D1430" s="216" t="n">
        <v>1.15762197971344</v>
      </c>
      <c r="E1430" s="215" t="n">
        <v>46227</v>
      </c>
      <c r="F1430" s="215" t="n">
        <v>46227</v>
      </c>
    </row>
    <row r="1431">
      <c r="A1431" s="215" t="n">
        <v>46230</v>
      </c>
      <c r="B1431" s="216" t="n">
        <v>546</v>
      </c>
      <c r="C1431" s="216" t="n">
        <v>434.03</v>
      </c>
      <c r="D1431" s="216" t="n">
        <v>1.15789794921875</v>
      </c>
      <c r="E1431" s="215" t="n">
        <v>46230</v>
      </c>
      <c r="F1431" s="215" t="n">
        <v>46230</v>
      </c>
    </row>
    <row r="1432">
      <c r="A1432" s="215" t="n">
        <v>46231</v>
      </c>
      <c r="B1432" s="216" t="n">
        <v>451.2</v>
      </c>
      <c r="C1432" s="216" t="n">
        <v>390.63</v>
      </c>
      <c r="D1432" s="216" t="n">
        <v>1.158699035644531</v>
      </c>
      <c r="E1432" s="215" t="n">
        <v>46231</v>
      </c>
      <c r="F1432" s="215" t="n">
        <v>46231</v>
      </c>
    </row>
    <row r="1433">
      <c r="A1433" s="215" t="n">
        <v>46232</v>
      </c>
      <c r="B1433" s="216" t="n">
        <v>436.6</v>
      </c>
      <c r="C1433" s="216" t="n">
        <v>364.03</v>
      </c>
      <c r="D1433" s="216" t="n">
        <v>1.157909989356995</v>
      </c>
      <c r="E1433" s="215" t="n">
        <v>46232</v>
      </c>
      <c r="F1433" s="215" t="n">
        <v>46232</v>
      </c>
    </row>
    <row r="1434">
      <c r="A1434" s="215" t="n">
        <v>46233</v>
      </c>
      <c r="B1434" s="216" t="n">
        <v>428.2</v>
      </c>
      <c r="C1434" s="216" t="n">
        <v>371.1</v>
      </c>
      <c r="D1434" s="216" t="n">
        <v>1.158943057060242</v>
      </c>
      <c r="E1434" s="215" t="n">
        <v>46233</v>
      </c>
      <c r="F1434" s="215" t="n">
        <v>46233</v>
      </c>
    </row>
    <row r="1435">
      <c r="A1435" s="215" t="n">
        <v>46234</v>
      </c>
      <c r="B1435" s="216" t="n">
        <v>459</v>
      </c>
      <c r="C1435" s="216" t="n">
        <v>378.6</v>
      </c>
      <c r="D1435" s="216" t="n">
        <v>1.160945057868958</v>
      </c>
      <c r="E1435" s="215" t="n">
        <v>46234</v>
      </c>
      <c r="F1435" s="215" t="n">
        <v>46234</v>
      </c>
    </row>
    <row r="1436">
      <c r="A1436" s="215" t="n">
        <v>46237</v>
      </c>
      <c r="B1436" s="216" t="n">
        <v>424.6</v>
      </c>
      <c r="C1436" s="216" t="n">
        <v>340.74</v>
      </c>
      <c r="D1436" s="216" t="n">
        <v>1.161579966545105</v>
      </c>
      <c r="E1436" s="215" t="n">
        <v>46237</v>
      </c>
      <c r="F1436" s="215" t="n">
        <v>46237</v>
      </c>
    </row>
    <row r="1437">
      <c r="A1437" s="215" t="n">
        <v>46238</v>
      </c>
      <c r="B1437" s="216" t="n">
        <v>459.8</v>
      </c>
      <c r="C1437" s="216" t="n">
        <v>356.02</v>
      </c>
      <c r="D1437" s="216" t="n">
        <v>1.161064982414246</v>
      </c>
      <c r="E1437" s="215" t="n">
        <v>46238</v>
      </c>
      <c r="F1437" s="215" t="n">
        <v>46238</v>
      </c>
    </row>
    <row r="1438">
      <c r="A1438" s="215" t="n">
        <v>46239</v>
      </c>
      <c r="B1438" s="216" t="n">
        <v>486</v>
      </c>
      <c r="C1438" s="216" t="n">
        <v>385.44</v>
      </c>
      <c r="D1438" s="216" t="n">
        <v>1.161146998405457</v>
      </c>
      <c r="E1438" s="215" t="n">
        <v>46239</v>
      </c>
      <c r="F1438" s="215" t="n">
        <v>46239</v>
      </c>
    </row>
    <row r="1439">
      <c r="A1439" s="215" t="n">
        <v>46240</v>
      </c>
      <c r="B1439" s="216" t="n">
        <v>494.4</v>
      </c>
      <c r="C1439" s="216" t="n">
        <v>385</v>
      </c>
      <c r="D1439" s="216" t="n">
        <v>1.161936044692993</v>
      </c>
      <c r="E1439" s="215" t="n">
        <v>46240</v>
      </c>
      <c r="F1439" s="215" t="n">
        <v>46240</v>
      </c>
    </row>
    <row r="1440">
      <c r="A1440" s="215" t="n">
        <v>46241</v>
      </c>
      <c r="B1440" s="216" t="n">
        <v>528</v>
      </c>
      <c r="C1440" s="216" t="n">
        <v>417.05</v>
      </c>
      <c r="D1440" s="216" t="n">
        <v>1.162284016609192</v>
      </c>
      <c r="E1440" s="215" t="n">
        <v>46241</v>
      </c>
      <c r="F1440" s="215" t="n">
        <v>46241</v>
      </c>
    </row>
    <row r="1441">
      <c r="A1441" s="215" t="n">
        <v>46244</v>
      </c>
      <c r="B1441" s="216" t="n">
        <v>501</v>
      </c>
      <c r="C1441" s="216" t="n">
        <v>403.03</v>
      </c>
      <c r="D1441" s="216" t="n">
        <v>1.162629961967468</v>
      </c>
      <c r="E1441" s="215" t="n">
        <v>46244</v>
      </c>
      <c r="F1441" s="215" t="n">
        <v>46244</v>
      </c>
    </row>
    <row r="1442">
      <c r="A1442" s="215" t="n">
        <v>46245</v>
      </c>
      <c r="B1442" s="216" t="n">
        <v>490</v>
      </c>
      <c r="C1442" s="216" t="n">
        <v>402.29</v>
      </c>
      <c r="D1442" s="216" t="n">
        <v>1.162588000297546</v>
      </c>
      <c r="E1442" s="215" t="n">
        <v>46245</v>
      </c>
      <c r="F1442" s="215" t="n">
        <v>46245</v>
      </c>
    </row>
    <row r="1443">
      <c r="A1443" s="215" t="n">
        <v>46246</v>
      </c>
      <c r="B1443" s="216" t="n">
        <v>515</v>
      </c>
      <c r="C1443" s="216" t="n">
        <v>413.17</v>
      </c>
      <c r="D1443" s="216" t="n">
        <v>1.163135051727295</v>
      </c>
      <c r="E1443" s="215" t="n">
        <v>46246</v>
      </c>
      <c r="F1443" s="215" t="n">
        <v>46246</v>
      </c>
    </row>
    <row r="1444">
      <c r="A1444" s="215" t="n">
        <v>46247</v>
      </c>
      <c r="B1444" s="216" t="n">
        <v>501</v>
      </c>
      <c r="C1444" s="216" t="n">
        <v>404.5</v>
      </c>
      <c r="D1444" s="216" t="n">
        <v>1.163341045379639</v>
      </c>
      <c r="E1444" s="215" t="n">
        <v>46247</v>
      </c>
      <c r="F1444" s="215" t="n">
        <v>46247</v>
      </c>
    </row>
    <row r="1445">
      <c r="A1445" s="215" t="n">
        <v>46248</v>
      </c>
      <c r="B1445" s="216" t="n">
        <v>511</v>
      </c>
      <c r="C1445" s="216" t="n">
        <v>417.48</v>
      </c>
      <c r="D1445" s="216" t="n">
        <v>1.163571000099182</v>
      </c>
      <c r="E1445" s="215" t="n">
        <v>46248</v>
      </c>
      <c r="F1445" s="215" t="n">
        <v>46248</v>
      </c>
    </row>
    <row r="1446">
      <c r="A1446" s="215" t="n">
        <v>46251</v>
      </c>
      <c r="B1446" s="216" t="n">
        <v>554</v>
      </c>
      <c r="C1446" s="216" t="n">
        <v>444</v>
      </c>
      <c r="D1446" s="216" t="n">
        <v>1.163601994514465</v>
      </c>
      <c r="E1446" s="215" t="n">
        <v>46251</v>
      </c>
      <c r="F1446" s="215" t="n">
        <v>46251</v>
      </c>
    </row>
    <row r="1447">
      <c r="A1447" s="215" t="n">
        <v>46252</v>
      </c>
      <c r="B1447" s="216" t="n">
        <v>517.5</v>
      </c>
      <c r="C1447" s="216" t="n">
        <v>436.74</v>
      </c>
      <c r="D1447" s="216" t="n">
        <v>1.163733005523682</v>
      </c>
      <c r="E1447" s="215" t="n">
        <v>46252</v>
      </c>
      <c r="F1447" s="215" t="n">
        <v>46252</v>
      </c>
    </row>
    <row r="1448">
      <c r="A1448" s="215" t="n">
        <v>46253</v>
      </c>
      <c r="B1448" s="216" t="n">
        <v>496.8</v>
      </c>
      <c r="C1448" s="216" t="n">
        <v>403.71</v>
      </c>
      <c r="D1448" s="216" t="n">
        <v>1.163092017173767</v>
      </c>
      <c r="E1448" s="215" t="n">
        <v>46253</v>
      </c>
      <c r="F1448" s="215" t="n">
        <v>46253</v>
      </c>
    </row>
    <row r="1449">
      <c r="A1449" s="215" t="n">
        <v>46254</v>
      </c>
      <c r="B1449" s="216" t="n">
        <v>490.2</v>
      </c>
      <c r="C1449" s="216" t="n">
        <v>403.5</v>
      </c>
      <c r="D1449" s="216" t="n">
        <v>1.164932012557983</v>
      </c>
      <c r="E1449" s="215" t="n">
        <v>46254</v>
      </c>
      <c r="F1449" s="215" t="n">
        <v>46254</v>
      </c>
    </row>
    <row r="1450">
      <c r="A1450" s="215" t="n">
        <v>46255</v>
      </c>
      <c r="B1450" s="216" t="n">
        <v>503</v>
      </c>
      <c r="C1450" s="216" t="n">
        <v>409.06</v>
      </c>
      <c r="D1450" s="216" t="n">
        <v>1.166555047035217</v>
      </c>
      <c r="E1450" s="215" t="n">
        <v>46255</v>
      </c>
      <c r="F1450" s="215" t="n">
        <v>46255</v>
      </c>
    </row>
    <row r="1451">
      <c r="A1451" s="215" t="n">
        <v>46258</v>
      </c>
      <c r="B1451" s="216" t="n">
        <v>471</v>
      </c>
      <c r="C1451" s="216" t="n">
        <v>381.66</v>
      </c>
      <c r="D1451" s="216" t="n">
        <v>1.166316986083984</v>
      </c>
      <c r="E1451" s="215" t="n">
        <v>46258</v>
      </c>
      <c r="F1451" s="215" t="n">
        <v>46258</v>
      </c>
    </row>
    <row r="1452">
      <c r="A1452" s="215" t="n">
        <v>46259</v>
      </c>
      <c r="B1452" s="216" t="n">
        <v>494.2</v>
      </c>
      <c r="C1452" s="216" t="n">
        <v>395.51</v>
      </c>
      <c r="D1452" s="216" t="n">
        <v>1.165253043174744</v>
      </c>
      <c r="E1452" s="215" t="n">
        <v>46259</v>
      </c>
      <c r="F1452" s="215" t="n">
        <v>46259</v>
      </c>
    </row>
    <row r="1453">
      <c r="A1453" s="215" t="n">
        <v>46260</v>
      </c>
      <c r="B1453" s="216" t="n">
        <v>482</v>
      </c>
      <c r="C1453" s="216" t="n">
        <v>392.5</v>
      </c>
      <c r="D1453" s="216" t="n">
        <v>1.166218996047974</v>
      </c>
      <c r="E1453" s="215" t="n">
        <v>46260</v>
      </c>
      <c r="F1453" s="215" t="n">
        <v>46260</v>
      </c>
    </row>
    <row r="1454">
      <c r="A1454" s="215" t="n">
        <v>46261</v>
      </c>
      <c r="B1454" s="216" t="n">
        <v>516</v>
      </c>
      <c r="C1454" s="216" t="n">
        <v>411.2</v>
      </c>
      <c r="D1454" s="216" t="n">
        <v>1.165971040725708</v>
      </c>
      <c r="E1454" s="215" t="n">
        <v>46261</v>
      </c>
      <c r="F1454" s="215" t="n">
        <v>46261</v>
      </c>
    </row>
    <row r="1455">
      <c r="A1455" s="215" t="n">
        <v>46262</v>
      </c>
      <c r="B1455" s="216" t="n">
        <v>486</v>
      </c>
      <c r="C1455" s="216" t="n">
        <v>396.82</v>
      </c>
      <c r="D1455" s="216" t="n">
        <v>1.165799975395203</v>
      </c>
      <c r="E1455" s="215" t="n">
        <v>46262</v>
      </c>
      <c r="F1455" s="215" t="n">
        <v>46262</v>
      </c>
    </row>
    <row r="1456">
      <c r="A1456" s="215" t="n">
        <v>46265</v>
      </c>
      <c r="B1456" s="216" t="n">
        <v>486.2</v>
      </c>
      <c r="C1456" s="216" t="n">
        <v>406</v>
      </c>
      <c r="D1456" s="216" t="n">
        <v>1.165387988090515</v>
      </c>
      <c r="E1456" s="215" t="n">
        <v>46265</v>
      </c>
      <c r="F1456" s="215" t="n">
        <v>46265</v>
      </c>
    </row>
    <row r="1457">
      <c r="A1457" s="215" t="n">
        <v>46266</v>
      </c>
      <c r="B1457" s="216" t="n">
        <v>475.4</v>
      </c>
      <c r="C1457" s="216" t="n">
        <v>393</v>
      </c>
      <c r="D1457" s="216" t="n">
        <v>1.165223956108093</v>
      </c>
      <c r="E1457" s="215" t="n">
        <v>46266</v>
      </c>
      <c r="F1457" s="215" t="n">
        <v>46266</v>
      </c>
    </row>
    <row r="1458">
      <c r="A1458" s="215" t="n">
        <v>46267</v>
      </c>
      <c r="B1458" s="216" t="n">
        <v>472.2</v>
      </c>
      <c r="C1458" s="216" t="n">
        <v>388.86</v>
      </c>
      <c r="D1458" s="216" t="n">
        <v>1.166425943374634</v>
      </c>
      <c r="E1458" s="215" t="n">
        <v>46267</v>
      </c>
      <c r="F1458" s="215" t="n">
        <v>46267</v>
      </c>
    </row>
    <row r="1459">
      <c r="A1459" s="215" t="n">
        <v>46268</v>
      </c>
      <c r="B1459" s="216" t="n">
        <v>466.8</v>
      </c>
      <c r="C1459" s="216" t="n">
        <v>383.2</v>
      </c>
      <c r="D1459" s="216" t="n">
        <v>1.167057037353516</v>
      </c>
      <c r="E1459" s="215" t="n">
        <v>46268</v>
      </c>
      <c r="F1459" s="215" t="n">
        <v>46268</v>
      </c>
    </row>
    <row r="1460">
      <c r="A1460" s="215" t="n">
        <v>46269</v>
      </c>
      <c r="B1460" s="216" t="n">
        <v>464.8</v>
      </c>
      <c r="C1460" s="216" t="n">
        <v>371.88</v>
      </c>
      <c r="D1460" s="216" t="n">
        <v>1.166767954826355</v>
      </c>
      <c r="E1460" s="215" t="n">
        <v>46269</v>
      </c>
      <c r="F1460" s="215" t="n">
        <v>46269</v>
      </c>
    </row>
    <row r="1461">
      <c r="A1461" s="215" t="n">
        <v>46272</v>
      </c>
      <c r="B1461" s="216" t="n">
        <v>491.6</v>
      </c>
      <c r="C1461" s="216" t="n">
        <v>385.44</v>
      </c>
      <c r="D1461" s="216" t="n">
        <v>1.168081045150757</v>
      </c>
      <c r="E1461" s="215" t="n">
        <v>46272</v>
      </c>
      <c r="F1461" s="215" t="n">
        <v>46272</v>
      </c>
    </row>
    <row r="1462">
      <c r="A1462" s="215" t="n">
        <v>46273</v>
      </c>
      <c r="B1462" s="216" t="n">
        <v>485.6</v>
      </c>
      <c r="C1462" s="216" t="n">
        <v>385.96</v>
      </c>
      <c r="D1462" s="216" t="n">
        <v>1.168115019798279</v>
      </c>
      <c r="E1462" s="215" t="n">
        <v>46273</v>
      </c>
      <c r="F1462" s="215" t="n">
        <v>46273</v>
      </c>
    </row>
    <row r="1463">
      <c r="A1463" s="215" t="n">
        <v>46274</v>
      </c>
      <c r="B1463" s="216" t="n">
        <v>480.4</v>
      </c>
      <c r="C1463" s="216" t="n">
        <v>381.87</v>
      </c>
      <c r="D1463" s="216" t="n">
        <v>1.168408989906311</v>
      </c>
      <c r="E1463" s="215" t="n">
        <v>46274</v>
      </c>
      <c r="F1463" s="215" t="n">
        <v>46274</v>
      </c>
    </row>
    <row r="1464">
      <c r="A1464" s="215" t="n">
        <v>46275</v>
      </c>
      <c r="B1464" s="216" t="n">
        <v>476.4</v>
      </c>
      <c r="C1464" s="216" t="n">
        <v>380.64</v>
      </c>
      <c r="D1464" s="216" t="n">
        <v>1.168462991714478</v>
      </c>
      <c r="E1464" s="215" t="n">
        <v>46275</v>
      </c>
      <c r="F1464" s="215" t="n">
        <v>46275</v>
      </c>
    </row>
    <row r="1465">
      <c r="A1465" s="215" t="n">
        <v>46276</v>
      </c>
      <c r="B1465" s="216" t="n">
        <v>452.2</v>
      </c>
      <c r="C1465" s="216" t="n">
        <v>371.32</v>
      </c>
      <c r="D1465" s="216" t="n">
        <v>1.169165015220642</v>
      </c>
      <c r="E1465" s="215" t="n">
        <v>46276</v>
      </c>
      <c r="F1465" s="215" t="n">
        <v>46276</v>
      </c>
    </row>
    <row r="1466">
      <c r="A1466" s="215" t="n">
        <v>46279</v>
      </c>
      <c r="B1466" s="216" t="n">
        <v>420</v>
      </c>
      <c r="C1466" s="216" t="n">
        <v>356.88</v>
      </c>
      <c r="D1466" s="216" t="n">
        <v>1.16893994808197</v>
      </c>
      <c r="E1466" s="215" t="n">
        <v>46279</v>
      </c>
      <c r="F1466" s="215" t="n">
        <v>46279</v>
      </c>
    </row>
    <row r="1467">
      <c r="A1467" s="215" t="n">
        <v>46280</v>
      </c>
      <c r="B1467" s="216" t="n">
        <v>436.8</v>
      </c>
      <c r="C1467" s="216" t="n">
        <v>363.11</v>
      </c>
      <c r="D1467" s="216" t="n">
        <v>1.169121026992798</v>
      </c>
      <c r="E1467" s="215" t="n">
        <v>46280</v>
      </c>
      <c r="F1467" s="215" t="n">
        <v>46280</v>
      </c>
    </row>
    <row r="1468">
      <c r="A1468" s="215" t="n">
        <v>46281</v>
      </c>
      <c r="B1468" s="216" t="n">
        <v>450</v>
      </c>
      <c r="C1468" s="216" t="n">
        <v>373.14</v>
      </c>
      <c r="D1468" s="216" t="n">
        <v>1.168769955635071</v>
      </c>
      <c r="E1468" s="215" t="n">
        <v>46281</v>
      </c>
      <c r="F1468" s="215" t="n">
        <v>46281</v>
      </c>
    </row>
    <row r="1469">
      <c r="A1469" s="215" t="n">
        <v>46282</v>
      </c>
      <c r="B1469" s="216" t="n">
        <v>466.6</v>
      </c>
      <c r="C1469" s="216" t="n">
        <v>369.88</v>
      </c>
      <c r="D1469" s="216" t="n">
        <v>1.169389963150024</v>
      </c>
      <c r="E1469" s="215" t="n">
        <v>46282</v>
      </c>
      <c r="F1469" s="215" t="n">
        <v>46282</v>
      </c>
    </row>
    <row r="1470">
      <c r="A1470" s="215" t="n">
        <v>46283</v>
      </c>
      <c r="B1470" s="216" t="n">
        <v>512</v>
      </c>
      <c r="C1470" s="216" t="n">
        <v>388.18</v>
      </c>
      <c r="D1470" s="216" t="n">
        <v>1.16942298412323</v>
      </c>
      <c r="E1470" s="215" t="n">
        <v>46283</v>
      </c>
      <c r="F1470" s="215" t="n">
        <v>46283</v>
      </c>
    </row>
    <row r="1471">
      <c r="A1471" s="215" t="n">
        <v>46286</v>
      </c>
      <c r="B1471" s="216" t="n">
        <v>513.5</v>
      </c>
      <c r="C1471" s="216" t="n">
        <v>391.71</v>
      </c>
      <c r="D1471" s="216" t="n">
        <v>1.171280026435852</v>
      </c>
      <c r="E1471" s="215" t="n">
        <v>46286</v>
      </c>
      <c r="F1471" s="215" t="n">
        <v>46286</v>
      </c>
    </row>
    <row r="1472">
      <c r="A1472" s="215" t="n">
        <v>46287</v>
      </c>
      <c r="B1472" s="216" t="n">
        <v>516</v>
      </c>
      <c r="C1472" s="216" t="n">
        <v>402.1</v>
      </c>
      <c r="D1472" s="216" t="n">
        <v>1.171705007553101</v>
      </c>
      <c r="E1472" s="215" t="n">
        <v>46287</v>
      </c>
      <c r="F1472" s="215" t="n">
        <v>46287</v>
      </c>
    </row>
    <row r="1473">
      <c r="A1473" s="215" t="n">
        <v>46288</v>
      </c>
      <c r="B1473" s="216" t="n">
        <v>516</v>
      </c>
      <c r="C1473" s="216" t="n">
        <v>398.72</v>
      </c>
      <c r="D1473" s="216" t="n">
        <v>1.170611023902893</v>
      </c>
      <c r="E1473" s="215" t="n">
        <v>46288</v>
      </c>
      <c r="F1473" s="215" t="n">
        <v>46288</v>
      </c>
    </row>
    <row r="1474">
      <c r="A1474" s="215" t="n">
        <v>46289</v>
      </c>
      <c r="B1474" s="216" t="n">
        <v>489.6</v>
      </c>
      <c r="C1474" s="216" t="n">
        <v>383.77</v>
      </c>
      <c r="D1474" s="216" t="n">
        <v>1.16852605342865</v>
      </c>
      <c r="E1474" s="215" t="n">
        <v>46289</v>
      </c>
      <c r="F1474" s="215" t="n">
        <v>46289</v>
      </c>
    </row>
    <row r="1475">
      <c r="A1475" s="215" t="n">
        <v>46290</v>
      </c>
      <c r="B1475" s="216" t="n">
        <v>483</v>
      </c>
      <c r="C1475" s="216" t="n">
        <v>383.77</v>
      </c>
      <c r="D1475" s="216" t="n">
        <v>1.168424010276794</v>
      </c>
      <c r="E1475" s="215" t="n">
        <v>46289</v>
      </c>
      <c r="F1475" s="215" t="n">
        <v>46290</v>
      </c>
    </row>
    <row r="1476">
      <c r="A1476" s="215" t="n">
        <v>46293</v>
      </c>
      <c r="B1476" s="216" t="n">
        <v>448.2</v>
      </c>
      <c r="C1476" s="216" t="n">
        <v>358.51</v>
      </c>
      <c r="D1476" s="216" t="n">
        <v>1.168378949165344</v>
      </c>
      <c r="E1476" s="215" t="n">
        <v>46293</v>
      </c>
      <c r="F1476" s="215" t="n">
        <v>46293</v>
      </c>
    </row>
    <row r="1477">
      <c r="A1477" s="215" t="n">
        <v>46294</v>
      </c>
      <c r="B1477" s="216" t="n">
        <v>466</v>
      </c>
      <c r="C1477" s="216" t="n">
        <v>367.57</v>
      </c>
      <c r="D1477" s="216" t="n">
        <v>1.168815970420837</v>
      </c>
      <c r="E1477" s="215" t="n">
        <v>46294</v>
      </c>
      <c r="F1477" s="215" t="n">
        <v>46294</v>
      </c>
    </row>
    <row r="1478">
      <c r="A1478" s="215" t="n">
        <v>46295</v>
      </c>
      <c r="B1478" s="216" t="n">
        <v>449.6</v>
      </c>
      <c r="C1478" s="216" t="n">
        <v>353.9</v>
      </c>
      <c r="D1478" s="216" t="n">
        <v>1.17059600353241</v>
      </c>
      <c r="E1478" s="215" t="n">
        <v>46295</v>
      </c>
      <c r="F1478" s="215" t="n">
        <v>46295</v>
      </c>
    </row>
    <row r="1479">
      <c r="A1479" s="215" t="n">
        <v>46297</v>
      </c>
      <c r="B1479" s="216" t="n">
        <v>454.8</v>
      </c>
      <c r="C1479" s="216" t="n">
        <v>353.9</v>
      </c>
      <c r="D1479" s="216" t="n">
        <v>1.170220971107483</v>
      </c>
      <c r="E1479" s="215" t="n">
        <v>46295</v>
      </c>
      <c r="F1479" s="215" t="n">
        <v>46297</v>
      </c>
    </row>
    <row r="1480">
      <c r="A1480" s="215" t="n">
        <v>46057</v>
      </c>
      <c r="B1480" s="216" t="n">
        <v>40.16</v>
      </c>
      <c r="C1480" s="216" t="n">
        <v>55.18</v>
      </c>
      <c r="D1480" s="216" t="n">
        <v>1.12601101398468</v>
      </c>
      <c r="E1480" s="215" t="n">
        <v>46057</v>
      </c>
      <c r="F1480" s="215" t="n">
        <v>46057</v>
      </c>
    </row>
    <row r="1481">
      <c r="A1481" s="215" t="n">
        <v>46058</v>
      </c>
      <c r="B1481" s="216" t="n">
        <v>40.38</v>
      </c>
      <c r="C1481" s="216" t="n">
        <v>51.71</v>
      </c>
      <c r="D1481" s="216" t="n">
        <v>1.125892996788025</v>
      </c>
      <c r="E1481" s="215" t="n">
        <v>46058</v>
      </c>
      <c r="F1481" s="215" t="n">
        <v>46058</v>
      </c>
    </row>
    <row r="1482">
      <c r="A1482" s="215" t="n">
        <v>46059</v>
      </c>
      <c r="B1482" s="216" t="n">
        <v>41.36</v>
      </c>
      <c r="C1482" s="216" t="n">
        <v>51.08</v>
      </c>
      <c r="D1482" s="216" t="n">
        <v>1.126062035560608</v>
      </c>
      <c r="E1482" s="215" t="n">
        <v>46059</v>
      </c>
      <c r="F1482" s="215" t="n">
        <v>46059</v>
      </c>
    </row>
    <row r="1483">
      <c r="A1483" s="215" t="n">
        <v>46062</v>
      </c>
      <c r="B1483" s="216" t="n">
        <v>41.22</v>
      </c>
      <c r="C1483" s="216" t="n">
        <v>50.29</v>
      </c>
      <c r="D1483" s="216" t="n">
        <v>1.125753998756409</v>
      </c>
      <c r="E1483" s="215" t="n">
        <v>46062</v>
      </c>
      <c r="F1483" s="215" t="n">
        <v>46062</v>
      </c>
    </row>
    <row r="1484">
      <c r="A1484" s="215" t="n">
        <v>46063</v>
      </c>
      <c r="B1484" s="216" t="n">
        <v>44.44</v>
      </c>
      <c r="C1484" s="216" t="n">
        <v>50.69</v>
      </c>
      <c r="D1484" s="216" t="n">
        <v>1.129003047943115</v>
      </c>
      <c r="E1484" s="215" t="n">
        <v>46063</v>
      </c>
      <c r="F1484" s="215" t="n">
        <v>46063</v>
      </c>
    </row>
    <row r="1485">
      <c r="A1485" s="215" t="n">
        <v>46064</v>
      </c>
      <c r="B1485" s="216" t="n">
        <v>45.8</v>
      </c>
      <c r="C1485" s="216" t="n">
        <v>50.74</v>
      </c>
      <c r="D1485" s="216" t="n">
        <v>1.130962014198303</v>
      </c>
      <c r="E1485" s="215" t="n">
        <v>46064</v>
      </c>
      <c r="F1485" s="215" t="n">
        <v>46064</v>
      </c>
    </row>
    <row r="1486">
      <c r="A1486" s="215" t="n">
        <v>46065</v>
      </c>
      <c r="B1486" s="216" t="n">
        <v>47.04</v>
      </c>
      <c r="C1486" s="216" t="n">
        <v>51.55</v>
      </c>
      <c r="D1486" s="216" t="n">
        <v>1.130671977996826</v>
      </c>
      <c r="E1486" s="215" t="n">
        <v>46065</v>
      </c>
      <c r="F1486" s="215" t="n">
        <v>46065</v>
      </c>
    </row>
    <row r="1487">
      <c r="A1487" s="215" t="n">
        <v>46066</v>
      </c>
      <c r="B1487" s="216" t="n">
        <v>51.55</v>
      </c>
      <c r="C1487" s="216" t="n">
        <v>53.3</v>
      </c>
      <c r="D1487" s="216" t="n">
        <v>1.132490992546082</v>
      </c>
      <c r="E1487" s="215" t="n">
        <v>46066</v>
      </c>
      <c r="F1487" s="215" t="n">
        <v>46066</v>
      </c>
    </row>
    <row r="1488">
      <c r="A1488" s="215" t="n">
        <v>46069</v>
      </c>
      <c r="B1488" s="216" t="n">
        <v>51.8</v>
      </c>
      <c r="C1488" s="216" t="n">
        <v>53.3</v>
      </c>
      <c r="D1488" s="216" t="n">
        <v>1.131224036216736</v>
      </c>
      <c r="E1488" s="215" t="n">
        <v>46066</v>
      </c>
      <c r="F1488" s="215" t="n">
        <v>46069</v>
      </c>
    </row>
    <row r="1489">
      <c r="A1489" s="215" t="n">
        <v>46073</v>
      </c>
      <c r="B1489" s="216" t="n">
        <v>50.8</v>
      </c>
      <c r="C1489" s="216" t="n">
        <v>53.3</v>
      </c>
      <c r="D1489" s="216" t="n">
        <v>1.131005048751831</v>
      </c>
      <c r="E1489" s="215" t="n">
        <v>46066</v>
      </c>
      <c r="F1489" s="215" t="n">
        <v>46073</v>
      </c>
    </row>
    <row r="1490">
      <c r="A1490" s="215" t="n">
        <v>46076</v>
      </c>
      <c r="B1490" s="216" t="n">
        <v>50.8</v>
      </c>
      <c r="C1490" s="216" t="n">
        <v>53.3</v>
      </c>
      <c r="D1490" s="216" t="n">
        <v>1.130877017974854</v>
      </c>
      <c r="E1490" s="215" t="n">
        <v>46066</v>
      </c>
      <c r="F1490" s="215" t="n">
        <v>46076</v>
      </c>
    </row>
    <row r="1491">
      <c r="A1491" s="215" t="n">
        <v>46077</v>
      </c>
      <c r="B1491" s="216" t="n">
        <v>50.7</v>
      </c>
      <c r="C1491" s="216" t="n">
        <v>52.88</v>
      </c>
      <c r="D1491" s="216" t="n">
        <v>1.131631016731262</v>
      </c>
      <c r="E1491" s="215" t="n">
        <v>46077</v>
      </c>
      <c r="F1491" s="215" t="n">
        <v>46077</v>
      </c>
    </row>
    <row r="1492">
      <c r="A1492" s="215" t="n">
        <v>46078</v>
      </c>
      <c r="B1492" s="216" t="n">
        <v>53</v>
      </c>
      <c r="C1492" s="216" t="n">
        <v>53.29</v>
      </c>
      <c r="D1492" s="216" t="n">
        <v>1.136234045028687</v>
      </c>
      <c r="E1492" s="215" t="n">
        <v>46078</v>
      </c>
      <c r="F1492" s="215" t="n">
        <v>46078</v>
      </c>
    </row>
    <row r="1493">
      <c r="A1493" s="215" t="n">
        <v>46079</v>
      </c>
      <c r="B1493" s="216" t="n">
        <v>51.75</v>
      </c>
      <c r="C1493" s="216" t="n">
        <v>55.98</v>
      </c>
      <c r="D1493" s="216" t="n">
        <v>1.138198971748352</v>
      </c>
      <c r="E1493" s="215" t="n">
        <v>46079</v>
      </c>
      <c r="F1493" s="215" t="n">
        <v>46079</v>
      </c>
    </row>
    <row r="1494">
      <c r="A1494" s="215" t="n">
        <v>46080</v>
      </c>
      <c r="B1494" s="216" t="n">
        <v>54.6</v>
      </c>
      <c r="C1494" s="216" t="n">
        <v>55.95</v>
      </c>
      <c r="D1494" s="216" t="n">
        <v>1.143396973609924</v>
      </c>
      <c r="E1494" s="215" t="n">
        <v>46080</v>
      </c>
      <c r="F1494" s="215" t="n">
        <v>46080</v>
      </c>
    </row>
    <row r="1495">
      <c r="A1495" s="215" t="n">
        <v>46083</v>
      </c>
      <c r="B1495" s="216" t="n">
        <v>50.8</v>
      </c>
      <c r="C1495" s="216" t="n">
        <v>54.88</v>
      </c>
      <c r="D1495" s="216" t="n">
        <v>1.140552043914795</v>
      </c>
      <c r="E1495" s="215" t="n">
        <v>46083</v>
      </c>
      <c r="F1495" s="215" t="n">
        <v>46083</v>
      </c>
    </row>
    <row r="1496">
      <c r="A1496" s="215" t="n">
        <v>46084</v>
      </c>
      <c r="B1496" s="216" t="n">
        <v>47.4</v>
      </c>
      <c r="C1496" s="216" t="n">
        <v>55.01</v>
      </c>
      <c r="D1496" s="216" t="n">
        <v>1.136399984359741</v>
      </c>
      <c r="E1496" s="215" t="n">
        <v>46084</v>
      </c>
      <c r="F1496" s="215" t="n">
        <v>46084</v>
      </c>
    </row>
    <row r="1497">
      <c r="A1497" s="215" t="n">
        <v>46085</v>
      </c>
      <c r="B1497" s="216" t="n">
        <v>47.42</v>
      </c>
      <c r="C1497" s="216" t="n">
        <v>53.16</v>
      </c>
      <c r="D1497" s="216" t="n">
        <v>1.130928993225098</v>
      </c>
      <c r="E1497" s="215" t="n">
        <v>46085</v>
      </c>
      <c r="F1497" s="215" t="n">
        <v>46085</v>
      </c>
    </row>
    <row r="1498">
      <c r="A1498" s="215" t="n">
        <v>46086</v>
      </c>
      <c r="B1498" s="216" t="n">
        <v>46.8</v>
      </c>
      <c r="C1498" s="216" t="n">
        <v>53.19</v>
      </c>
      <c r="D1498" s="216" t="n">
        <v>1.133169054985046</v>
      </c>
      <c r="E1498" s="215" t="n">
        <v>46086</v>
      </c>
      <c r="F1498" s="215" t="n">
        <v>46086</v>
      </c>
    </row>
    <row r="1499">
      <c r="A1499" s="215" t="n">
        <v>46087</v>
      </c>
      <c r="B1499" s="216" t="n">
        <v>47.52</v>
      </c>
      <c r="C1499" s="216" t="n">
        <v>53.7</v>
      </c>
      <c r="D1499" s="216" t="n">
        <v>1.133442044258118</v>
      </c>
      <c r="E1499" s="215" t="n">
        <v>46087</v>
      </c>
      <c r="F1499" s="215" t="n">
        <v>46087</v>
      </c>
    </row>
    <row r="1500">
      <c r="A1500" s="215" t="n">
        <v>46090</v>
      </c>
      <c r="B1500" s="216" t="n">
        <v>48.96</v>
      </c>
      <c r="C1500" s="216" t="n">
        <v>52.3</v>
      </c>
      <c r="D1500" s="216" t="n">
        <v>1.133231043815613</v>
      </c>
      <c r="E1500" s="215" t="n">
        <v>46090</v>
      </c>
      <c r="F1500" s="215" t="n">
        <v>46090</v>
      </c>
    </row>
    <row r="1501">
      <c r="A1501" s="215" t="n">
        <v>46091</v>
      </c>
      <c r="B1501" s="216" t="n">
        <v>47.96</v>
      </c>
      <c r="C1501" s="216" t="n">
        <v>53.12</v>
      </c>
      <c r="D1501" s="216" t="n">
        <v>1.131595015525818</v>
      </c>
      <c r="E1501" s="215" t="n">
        <v>46091</v>
      </c>
      <c r="F1501" s="215" t="n">
        <v>46091</v>
      </c>
    </row>
    <row r="1502">
      <c r="A1502" s="215" t="n">
        <v>46092</v>
      </c>
      <c r="B1502" s="216" t="n">
        <v>47.18</v>
      </c>
      <c r="C1502" s="216" t="n">
        <v>52.67</v>
      </c>
      <c r="D1502" s="216" t="n">
        <v>1.137585043907166</v>
      </c>
      <c r="E1502" s="215" t="n">
        <v>46092</v>
      </c>
      <c r="F1502" s="215" t="n">
        <v>46092</v>
      </c>
    </row>
    <row r="1503">
      <c r="A1503" s="215" t="n">
        <v>46093</v>
      </c>
      <c r="B1503" s="216" t="n">
        <v>49.28</v>
      </c>
      <c r="C1503" s="216" t="n">
        <v>52.74</v>
      </c>
      <c r="D1503" s="216" t="n">
        <v>1.139600038528442</v>
      </c>
      <c r="E1503" s="215" t="n">
        <v>46093</v>
      </c>
      <c r="F1503" s="215" t="n">
        <v>46093</v>
      </c>
    </row>
    <row r="1504">
      <c r="A1504" s="215" t="n">
        <v>46094</v>
      </c>
      <c r="B1504" s="216" t="n">
        <v>49.88</v>
      </c>
      <c r="C1504" s="216" t="n">
        <v>53.86</v>
      </c>
      <c r="D1504" s="216" t="n">
        <v>1.139310002326965</v>
      </c>
      <c r="E1504" s="215" t="n">
        <v>46094</v>
      </c>
      <c r="F1504" s="215" t="n">
        <v>46094</v>
      </c>
    </row>
    <row r="1505">
      <c r="A1505" s="215" t="n">
        <v>46097</v>
      </c>
      <c r="B1505" s="216" t="n">
        <v>50.5</v>
      </c>
      <c r="C1505" s="216" t="n">
        <v>54.26</v>
      </c>
      <c r="D1505" s="216" t="n">
        <v>1.134883999824524</v>
      </c>
      <c r="E1505" s="215" t="n">
        <v>46097</v>
      </c>
      <c r="F1505" s="215" t="n">
        <v>46097</v>
      </c>
    </row>
    <row r="1506">
      <c r="A1506" s="215" t="n">
        <v>46098</v>
      </c>
      <c r="B1506" s="216" t="n">
        <v>47.48</v>
      </c>
      <c r="C1506" s="216" t="n">
        <v>50.65</v>
      </c>
      <c r="D1506" s="216" t="n">
        <v>1.125375986099243</v>
      </c>
      <c r="E1506" s="215" t="n">
        <v>46098</v>
      </c>
      <c r="F1506" s="215" t="n">
        <v>46098</v>
      </c>
    </row>
    <row r="1507">
      <c r="A1507" s="215" t="n">
        <v>46099</v>
      </c>
      <c r="B1507" s="216" t="n">
        <v>49.86</v>
      </c>
      <c r="C1507" s="216" t="n">
        <v>51.78</v>
      </c>
      <c r="D1507" s="216" t="n">
        <v>1.137819051742554</v>
      </c>
      <c r="E1507" s="215" t="n">
        <v>46099</v>
      </c>
      <c r="F1507" s="215" t="n">
        <v>46099</v>
      </c>
    </row>
    <row r="1508">
      <c r="A1508" s="215" t="n">
        <v>46100</v>
      </c>
      <c r="B1508" s="216" t="n">
        <v>48.38</v>
      </c>
      <c r="C1508" s="216" t="n">
        <v>50.95</v>
      </c>
      <c r="D1508" s="216" t="n">
        <v>1.140079021453857</v>
      </c>
      <c r="E1508" s="215" t="n">
        <v>46100</v>
      </c>
      <c r="F1508" s="215" t="n">
        <v>46100</v>
      </c>
    </row>
    <row r="1509">
      <c r="A1509" s="215" t="n">
        <v>46101</v>
      </c>
      <c r="B1509" s="216" t="n">
        <v>48.88</v>
      </c>
      <c r="C1509" s="216" t="n">
        <v>49.2</v>
      </c>
      <c r="D1509" s="216" t="n">
        <v>1.13490903377533</v>
      </c>
      <c r="E1509" s="215" t="n">
        <v>46101</v>
      </c>
      <c r="F1509" s="215" t="n">
        <v>46101</v>
      </c>
    </row>
    <row r="1510">
      <c r="A1510" s="215" t="n">
        <v>46104</v>
      </c>
      <c r="B1510" s="216" t="n">
        <v>48.68</v>
      </c>
      <c r="C1510" s="216" t="n">
        <v>47.42</v>
      </c>
      <c r="D1510" s="216" t="n">
        <v>1.137529969215393</v>
      </c>
      <c r="E1510" s="215" t="n">
        <v>46104</v>
      </c>
      <c r="F1510" s="215" t="n">
        <v>46104</v>
      </c>
    </row>
    <row r="1511">
      <c r="A1511" s="215" t="n">
        <v>46105</v>
      </c>
      <c r="B1511" s="216" t="n">
        <v>51.8</v>
      </c>
      <c r="C1511" s="216" t="n">
        <v>48.89</v>
      </c>
      <c r="D1511" s="216" t="n">
        <v>1.138481974601746</v>
      </c>
      <c r="E1511" s="215" t="n">
        <v>46105</v>
      </c>
      <c r="F1511" s="215" t="n">
        <v>46105</v>
      </c>
    </row>
    <row r="1512">
      <c r="A1512" s="215" t="n">
        <v>46106</v>
      </c>
      <c r="B1512" s="216" t="n">
        <v>55.6</v>
      </c>
      <c r="C1512" s="216" t="n">
        <v>49.55</v>
      </c>
      <c r="D1512" s="216" t="n">
        <v>1.135548949241638</v>
      </c>
      <c r="E1512" s="215" t="n">
        <v>46106</v>
      </c>
      <c r="F1512" s="215" t="n">
        <v>46106</v>
      </c>
    </row>
    <row r="1513">
      <c r="A1513" s="215" t="n">
        <v>46107</v>
      </c>
      <c r="B1513" s="216" t="n">
        <v>55.05</v>
      </c>
      <c r="C1513" s="216" t="n">
        <v>49.26</v>
      </c>
      <c r="D1513" s="216" t="n">
        <v>1.132627010345459</v>
      </c>
      <c r="E1513" s="215" t="n">
        <v>46107</v>
      </c>
      <c r="F1513" s="215" t="n">
        <v>46107</v>
      </c>
    </row>
    <row r="1514">
      <c r="A1514" s="215" t="n">
        <v>46108</v>
      </c>
      <c r="B1514" s="216" t="n">
        <v>56</v>
      </c>
      <c r="C1514" s="216" t="n">
        <v>49.68</v>
      </c>
      <c r="D1514" s="216" t="n">
        <v>1.132115960121155</v>
      </c>
      <c r="E1514" s="215" t="n">
        <v>46108</v>
      </c>
      <c r="F1514" s="215" t="n">
        <v>46108</v>
      </c>
    </row>
    <row r="1515">
      <c r="A1515" s="215" t="n">
        <v>46111</v>
      </c>
      <c r="B1515" s="216" t="n">
        <v>55.95</v>
      </c>
      <c r="C1515" s="216" t="n">
        <v>49.37</v>
      </c>
      <c r="D1515" s="216" t="n">
        <v>1.13311505317688</v>
      </c>
      <c r="E1515" s="215" t="n">
        <v>46111</v>
      </c>
      <c r="F1515" s="215" t="n">
        <v>46111</v>
      </c>
    </row>
    <row r="1516">
      <c r="A1516" s="215" t="n">
        <v>46112</v>
      </c>
      <c r="B1516" s="216" t="n">
        <v>54.85</v>
      </c>
      <c r="C1516" s="216" t="n">
        <v>47.02</v>
      </c>
      <c r="D1516" s="216" t="n">
        <v>1.133540987968445</v>
      </c>
      <c r="E1516" s="215" t="n">
        <v>46112</v>
      </c>
      <c r="F1516" s="215" t="n">
        <v>46112</v>
      </c>
    </row>
    <row r="1517">
      <c r="A1517" s="215" t="n">
        <v>46113</v>
      </c>
      <c r="B1517" s="216" t="n">
        <v>51.3</v>
      </c>
      <c r="C1517" s="216" t="n">
        <v>46.92</v>
      </c>
      <c r="D1517" s="216" t="n">
        <v>1.136669993400574</v>
      </c>
      <c r="E1517" s="215" t="n">
        <v>46113</v>
      </c>
      <c r="F1517" s="215" t="n">
        <v>46113</v>
      </c>
    </row>
    <row r="1518">
      <c r="A1518" s="215" t="n">
        <v>46114</v>
      </c>
      <c r="B1518" s="216" t="n">
        <v>50</v>
      </c>
      <c r="C1518" s="216" t="n">
        <v>46</v>
      </c>
      <c r="D1518" s="216" t="n">
        <v>1.140197992324829</v>
      </c>
      <c r="E1518" s="215" t="n">
        <v>46114</v>
      </c>
      <c r="F1518" s="215" t="n">
        <v>46114</v>
      </c>
    </row>
    <row r="1519">
      <c r="A1519" s="215" t="n">
        <v>46120</v>
      </c>
      <c r="B1519" s="216" t="n">
        <v>49.4</v>
      </c>
      <c r="C1519" s="216" t="n">
        <v>48.56</v>
      </c>
      <c r="D1519" s="216" t="n">
        <v>1.1423499584198</v>
      </c>
      <c r="E1519" s="215" t="n">
        <v>46120</v>
      </c>
      <c r="F1519" s="215" t="n">
        <v>46120</v>
      </c>
    </row>
    <row r="1520">
      <c r="A1520" s="215" t="n">
        <v>46121</v>
      </c>
      <c r="B1520" s="216" t="n">
        <v>50.15</v>
      </c>
      <c r="C1520" s="216" t="n">
        <v>48</v>
      </c>
      <c r="D1520" s="216" t="n">
        <v>1.146731972694397</v>
      </c>
      <c r="E1520" s="215" t="n">
        <v>46121</v>
      </c>
      <c r="F1520" s="215" t="n">
        <v>46121</v>
      </c>
    </row>
    <row r="1521">
      <c r="A1521" s="215" t="n">
        <v>46122</v>
      </c>
      <c r="B1521" s="216" t="n">
        <v>49.56</v>
      </c>
      <c r="C1521" s="216" t="n">
        <v>48.27</v>
      </c>
      <c r="D1521" s="216" t="n">
        <v>1.146558046340942</v>
      </c>
      <c r="E1521" s="215" t="n">
        <v>46122</v>
      </c>
      <c r="F1521" s="215" t="n">
        <v>46122</v>
      </c>
    </row>
    <row r="1522">
      <c r="A1522" s="215" t="n">
        <v>46125</v>
      </c>
      <c r="B1522" s="216" t="n">
        <v>50.7</v>
      </c>
      <c r="C1522" s="216" t="n">
        <v>48.45</v>
      </c>
      <c r="D1522" s="216" t="n">
        <v>1.147117972373962</v>
      </c>
      <c r="E1522" s="215" t="n">
        <v>46125</v>
      </c>
      <c r="F1522" s="215" t="n">
        <v>46125</v>
      </c>
    </row>
    <row r="1523">
      <c r="A1523" s="215" t="n">
        <v>46126</v>
      </c>
      <c r="B1523" s="216" t="n">
        <v>49.52</v>
      </c>
      <c r="C1523" s="216" t="n">
        <v>50.07</v>
      </c>
      <c r="D1523" s="216" t="n">
        <v>1.146226048469543</v>
      </c>
      <c r="E1523" s="215" t="n">
        <v>46126</v>
      </c>
      <c r="F1523" s="215" t="n">
        <v>46126</v>
      </c>
    </row>
    <row r="1524">
      <c r="A1524" s="215" t="n">
        <v>46127</v>
      </c>
      <c r="B1524" s="216" t="n">
        <v>47.6</v>
      </c>
      <c r="C1524" s="216" t="n">
        <v>49.64</v>
      </c>
      <c r="D1524" s="216" t="n">
        <v>1.149266004562378</v>
      </c>
      <c r="E1524" s="215" t="n">
        <v>46127</v>
      </c>
      <c r="F1524" s="215" t="n">
        <v>46127</v>
      </c>
    </row>
    <row r="1525">
      <c r="A1525" s="215" t="n">
        <v>46128</v>
      </c>
      <c r="B1525" s="216" t="n">
        <v>47.56</v>
      </c>
      <c r="C1525" s="216" t="n">
        <v>50.5</v>
      </c>
      <c r="D1525" s="216" t="n">
        <v>1.148550033569336</v>
      </c>
      <c r="E1525" s="215" t="n">
        <v>46128</v>
      </c>
      <c r="F1525" s="215" t="n">
        <v>46128</v>
      </c>
    </row>
    <row r="1526">
      <c r="A1526" s="215" t="n">
        <v>46129</v>
      </c>
      <c r="B1526" s="216" t="n">
        <v>47.08</v>
      </c>
      <c r="C1526" s="216" t="n">
        <v>50.44</v>
      </c>
      <c r="D1526" s="216" t="n">
        <v>1.146605014801025</v>
      </c>
      <c r="E1526" s="215" t="n">
        <v>46129</v>
      </c>
      <c r="F1526" s="215" t="n">
        <v>46129</v>
      </c>
    </row>
    <row r="1527">
      <c r="A1527" s="215" t="n">
        <v>46132</v>
      </c>
      <c r="B1527" s="216" t="n">
        <v>52.95</v>
      </c>
      <c r="C1527" s="216" t="n">
        <v>51.5</v>
      </c>
      <c r="D1527" s="216" t="n">
        <v>1.148360967636108</v>
      </c>
      <c r="E1527" s="215" t="n">
        <v>46132</v>
      </c>
      <c r="F1527" s="215" t="n">
        <v>46132</v>
      </c>
    </row>
    <row r="1528">
      <c r="A1528" s="215" t="n">
        <v>46133</v>
      </c>
      <c r="B1528" s="216" t="n">
        <v>51.8</v>
      </c>
      <c r="C1528" s="216" t="n">
        <v>51.5</v>
      </c>
      <c r="D1528" s="216" t="n">
        <v>1.148368000984192</v>
      </c>
      <c r="E1528" s="215" t="n">
        <v>46133</v>
      </c>
      <c r="F1528" s="215" t="n">
        <v>46133</v>
      </c>
    </row>
    <row r="1529">
      <c r="A1529" s="215" t="n">
        <v>46134</v>
      </c>
      <c r="B1529" s="216" t="n">
        <v>52</v>
      </c>
      <c r="C1529" s="216" t="n">
        <v>52.26</v>
      </c>
      <c r="D1529" s="216" t="n">
        <v>1.147838950157166</v>
      </c>
      <c r="E1529" s="215" t="n">
        <v>46134</v>
      </c>
      <c r="F1529" s="215" t="n">
        <v>46134</v>
      </c>
    </row>
    <row r="1530">
      <c r="A1530" s="215" t="n">
        <v>46135</v>
      </c>
      <c r="B1530" s="216" t="n">
        <v>51.8</v>
      </c>
      <c r="C1530" s="216" t="n">
        <v>52.27</v>
      </c>
      <c r="D1530" s="216" t="n">
        <v>1.147513031959534</v>
      </c>
      <c r="E1530" s="215" t="n">
        <v>46135</v>
      </c>
      <c r="F1530" s="215" t="n">
        <v>46135</v>
      </c>
    </row>
    <row r="1531">
      <c r="A1531" s="215" t="n">
        <v>46136</v>
      </c>
      <c r="B1531" s="216" t="n">
        <v>50.5</v>
      </c>
      <c r="C1531" s="216" t="n">
        <v>51.22</v>
      </c>
      <c r="D1531" s="216" t="n">
        <v>1.147369027137756</v>
      </c>
      <c r="E1531" s="215" t="n">
        <v>46136</v>
      </c>
      <c r="F1531" s="215" t="n">
        <v>46136</v>
      </c>
    </row>
    <row r="1532">
      <c r="A1532" s="215" t="n">
        <v>46139</v>
      </c>
      <c r="B1532" s="216" t="n">
        <v>49.5</v>
      </c>
      <c r="C1532" s="216" t="n">
        <v>52.98</v>
      </c>
      <c r="D1532" s="216" t="n">
        <v>1.146002054214478</v>
      </c>
      <c r="E1532" s="215" t="n">
        <v>46139</v>
      </c>
      <c r="F1532" s="215" t="n">
        <v>46139</v>
      </c>
    </row>
    <row r="1533">
      <c r="A1533" s="215" t="n">
        <v>46140</v>
      </c>
      <c r="B1533" s="216" t="n">
        <v>50.1</v>
      </c>
      <c r="C1533" s="216" t="n">
        <v>54.21</v>
      </c>
      <c r="D1533" s="216" t="n">
        <v>1.148522019386292</v>
      </c>
      <c r="E1533" s="215" t="n">
        <v>46140</v>
      </c>
      <c r="F1533" s="215" t="n">
        <v>46140</v>
      </c>
    </row>
    <row r="1534">
      <c r="A1534" s="215" t="n">
        <v>46141</v>
      </c>
      <c r="B1534" s="216" t="n">
        <v>48.3</v>
      </c>
      <c r="C1534" s="216" t="n">
        <v>54.33</v>
      </c>
      <c r="D1534" s="216" t="n">
        <v>1.145936012268066</v>
      </c>
      <c r="E1534" s="215" t="n">
        <v>46141</v>
      </c>
      <c r="F1534" s="215" t="n">
        <v>46141</v>
      </c>
    </row>
    <row r="1535">
      <c r="A1535" s="215" t="n">
        <v>46142</v>
      </c>
      <c r="B1535" s="216" t="n">
        <v>48.8</v>
      </c>
      <c r="C1535" s="216" t="n">
        <v>52.8</v>
      </c>
      <c r="D1535" s="216" t="n">
        <v>1.145792007446289</v>
      </c>
      <c r="E1535" s="215" t="n">
        <v>46142</v>
      </c>
      <c r="F1535" s="215" t="n">
        <v>46142</v>
      </c>
    </row>
    <row r="1536">
      <c r="A1536" s="215" t="n">
        <v>46146</v>
      </c>
      <c r="B1536" s="216" t="n">
        <v>50.1</v>
      </c>
      <c r="C1536" s="216" t="n">
        <v>52.8</v>
      </c>
      <c r="D1536" s="216" t="n">
        <v>1.147340059280396</v>
      </c>
      <c r="E1536" s="215" t="n">
        <v>46142</v>
      </c>
      <c r="F1536" s="215" t="n">
        <v>46146</v>
      </c>
    </row>
    <row r="1537">
      <c r="A1537" s="215" t="n">
        <v>46147</v>
      </c>
      <c r="B1537" s="216" t="n">
        <v>47.58</v>
      </c>
      <c r="C1537" s="216" t="n">
        <v>52.8</v>
      </c>
      <c r="D1537" s="216" t="n">
        <v>1.146813988685608</v>
      </c>
      <c r="E1537" s="215" t="n">
        <v>46142</v>
      </c>
      <c r="F1537" s="215" t="n">
        <v>46147</v>
      </c>
    </row>
    <row r="1538">
      <c r="A1538" s="215" t="n">
        <v>46148</v>
      </c>
      <c r="B1538" s="216" t="n">
        <v>47.06</v>
      </c>
      <c r="C1538" s="216" t="n">
        <v>54.81</v>
      </c>
      <c r="D1538" s="216" t="n">
        <v>1.14708399772644</v>
      </c>
      <c r="E1538" s="215" t="n">
        <v>46148</v>
      </c>
      <c r="F1538" s="215" t="n">
        <v>46148</v>
      </c>
    </row>
    <row r="1539">
      <c r="A1539" s="215" t="n">
        <v>46149</v>
      </c>
      <c r="B1539" s="216" t="n">
        <v>47.12</v>
      </c>
      <c r="C1539" s="216" t="n">
        <v>56.64</v>
      </c>
      <c r="D1539" s="216" t="n">
        <v>1.150125026702881</v>
      </c>
      <c r="E1539" s="215" t="n">
        <v>46149</v>
      </c>
      <c r="F1539" s="215" t="n">
        <v>46149</v>
      </c>
    </row>
    <row r="1540">
      <c r="A1540" s="215" t="n">
        <v>46150</v>
      </c>
      <c r="B1540" s="216" t="n">
        <v>50</v>
      </c>
      <c r="C1540" s="216" t="n">
        <v>57.82</v>
      </c>
      <c r="D1540" s="216" t="n">
        <v>1.15172004699707</v>
      </c>
      <c r="E1540" s="215" t="n">
        <v>46150</v>
      </c>
      <c r="F1540" s="215" t="n">
        <v>46150</v>
      </c>
    </row>
    <row r="1541">
      <c r="A1541" s="215" t="n">
        <v>46153</v>
      </c>
      <c r="B1541" s="216" t="n">
        <v>51.1</v>
      </c>
      <c r="C1541" s="216" t="n">
        <v>60.54</v>
      </c>
      <c r="D1541" s="216" t="n">
        <v>1.151090025901794</v>
      </c>
      <c r="E1541" s="215" t="n">
        <v>46153</v>
      </c>
      <c r="F1541" s="215" t="n">
        <v>46153</v>
      </c>
    </row>
    <row r="1542">
      <c r="A1542" s="215" t="n">
        <v>46154</v>
      </c>
      <c r="B1542" s="216" t="n">
        <v>52.5</v>
      </c>
      <c r="C1542" s="216" t="n">
        <v>61</v>
      </c>
      <c r="D1542" s="216" t="n">
        <v>1.152078986167908</v>
      </c>
      <c r="E1542" s="215" t="n">
        <v>46154</v>
      </c>
      <c r="F1542" s="215" t="n">
        <v>46154</v>
      </c>
    </row>
    <row r="1543">
      <c r="A1543" s="215" t="n">
        <v>46155</v>
      </c>
      <c r="B1543" s="216" t="n">
        <v>51.75</v>
      </c>
      <c r="C1543" s="216" t="n">
        <v>61.76</v>
      </c>
      <c r="D1543" s="216" t="n">
        <v>1.152537941932678</v>
      </c>
      <c r="E1543" s="215" t="n">
        <v>46155</v>
      </c>
      <c r="F1543" s="215" t="n">
        <v>46155</v>
      </c>
    </row>
    <row r="1544">
      <c r="A1544" s="215" t="n">
        <v>46156</v>
      </c>
      <c r="B1544" s="216" t="n">
        <v>55.65</v>
      </c>
      <c r="C1544" s="216" t="n">
        <v>61.23</v>
      </c>
      <c r="D1544" s="216" t="n">
        <v>1.152662992477417</v>
      </c>
      <c r="E1544" s="215" t="n">
        <v>46156</v>
      </c>
      <c r="F1544" s="215" t="n">
        <v>46156</v>
      </c>
    </row>
    <row r="1545">
      <c r="A1545" s="215" t="n">
        <v>46157</v>
      </c>
      <c r="B1545" s="216" t="n">
        <v>60.1</v>
      </c>
      <c r="C1545" s="216" t="n">
        <v>62.32</v>
      </c>
      <c r="D1545" s="216" t="n">
        <v>1.154320001602173</v>
      </c>
      <c r="E1545" s="215" t="n">
        <v>46157</v>
      </c>
      <c r="F1545" s="215" t="n">
        <v>46157</v>
      </c>
    </row>
    <row r="1546">
      <c r="A1546" s="215" t="n">
        <v>46160</v>
      </c>
      <c r="B1546" s="216" t="n">
        <v>59.8</v>
      </c>
      <c r="C1546" s="216" t="n">
        <v>62.67</v>
      </c>
      <c r="D1546" s="216" t="n">
        <v>1.149821996688843</v>
      </c>
      <c r="E1546" s="215" t="n">
        <v>46160</v>
      </c>
      <c r="F1546" s="215" t="n">
        <v>46160</v>
      </c>
    </row>
    <row r="1547">
      <c r="A1547" s="215" t="n">
        <v>46161</v>
      </c>
      <c r="B1547" s="216" t="n">
        <v>60.3</v>
      </c>
      <c r="C1547" s="216" t="n">
        <v>64</v>
      </c>
      <c r="D1547" s="216" t="n">
        <v>1.151532053947449</v>
      </c>
      <c r="E1547" s="215" t="n">
        <v>46161</v>
      </c>
      <c r="F1547" s="215" t="n">
        <v>46161</v>
      </c>
    </row>
    <row r="1548">
      <c r="A1548" s="215" t="n">
        <v>46162</v>
      </c>
      <c r="B1548" s="216" t="n">
        <v>60.55</v>
      </c>
      <c r="C1548" s="216" t="n">
        <v>65.25</v>
      </c>
      <c r="D1548" s="216" t="n">
        <v>1.149292945861816</v>
      </c>
      <c r="E1548" s="215" t="n">
        <v>46162</v>
      </c>
      <c r="F1548" s="215" t="n">
        <v>46162</v>
      </c>
    </row>
    <row r="1549">
      <c r="A1549" s="215" t="n">
        <v>46163</v>
      </c>
      <c r="B1549" s="216" t="n">
        <v>59.25</v>
      </c>
      <c r="C1549" s="216" t="n">
        <v>63.64</v>
      </c>
      <c r="D1549" s="216" t="n">
        <v>1.151231050491333</v>
      </c>
      <c r="E1549" s="215" t="n">
        <v>46163</v>
      </c>
      <c r="F1549" s="215" t="n">
        <v>46163</v>
      </c>
    </row>
    <row r="1550">
      <c r="A1550" s="215" t="n">
        <v>46164</v>
      </c>
      <c r="B1550" s="216" t="n">
        <v>57.35</v>
      </c>
      <c r="C1550" s="216" t="n">
        <v>64.14</v>
      </c>
      <c r="D1550" s="216" t="n">
        <v>1.151487946510315</v>
      </c>
      <c r="E1550" s="215" t="n">
        <v>46164</v>
      </c>
      <c r="F1550" s="215" t="n">
        <v>46164</v>
      </c>
    </row>
    <row r="1551">
      <c r="A1551" s="215" t="n">
        <v>46168</v>
      </c>
      <c r="B1551" s="216" t="n">
        <v>53.1</v>
      </c>
      <c r="C1551" s="216" t="n">
        <v>61.95</v>
      </c>
      <c r="D1551" s="216" t="n">
        <v>1.152968049049377</v>
      </c>
      <c r="E1551" s="215" t="n">
        <v>46168</v>
      </c>
      <c r="F1551" s="215" t="n">
        <v>46168</v>
      </c>
    </row>
    <row r="1552">
      <c r="A1552" s="215" t="n">
        <v>46169</v>
      </c>
      <c r="B1552" s="216" t="n">
        <v>54.45</v>
      </c>
      <c r="C1552" s="216" t="n">
        <v>63.92</v>
      </c>
      <c r="D1552" s="216" t="n">
        <v>1.154562950134277</v>
      </c>
      <c r="E1552" s="215" t="n">
        <v>46169</v>
      </c>
      <c r="F1552" s="215" t="n">
        <v>46169</v>
      </c>
    </row>
    <row r="1553">
      <c r="A1553" s="215" t="n">
        <v>46170</v>
      </c>
      <c r="B1553" s="216" t="n">
        <v>59</v>
      </c>
      <c r="C1553" s="216" t="n">
        <v>68.05</v>
      </c>
      <c r="D1553" s="216" t="n">
        <v>1.155385971069336</v>
      </c>
      <c r="E1553" s="215" t="n">
        <v>46170</v>
      </c>
      <c r="F1553" s="215" t="n">
        <v>46170</v>
      </c>
    </row>
    <row r="1554">
      <c r="A1554" s="215" t="n">
        <v>46171</v>
      </c>
      <c r="B1554" s="216" t="n">
        <v>57.85</v>
      </c>
      <c r="C1554" s="216" t="n">
        <v>63.26</v>
      </c>
      <c r="D1554" s="216" t="n">
        <v>1.155282974243164</v>
      </c>
      <c r="E1554" s="215" t="n">
        <v>46171</v>
      </c>
      <c r="F1554" s="215" t="n">
        <v>46171</v>
      </c>
    </row>
    <row r="1555">
      <c r="A1555" s="215" t="n">
        <v>46174</v>
      </c>
      <c r="B1555" s="216" t="n">
        <v>53.95</v>
      </c>
      <c r="C1555" s="216" t="n">
        <v>63.49</v>
      </c>
      <c r="D1555" s="216" t="n">
        <v>1.158049941062927</v>
      </c>
      <c r="E1555" s="215" t="n">
        <v>46174</v>
      </c>
      <c r="F1555" s="215" t="n">
        <v>46174</v>
      </c>
    </row>
    <row r="1556">
      <c r="A1556" s="215" t="n">
        <v>46175</v>
      </c>
      <c r="B1556" s="216" t="n">
        <v>55.25</v>
      </c>
      <c r="C1556" s="216" t="n">
        <v>65.41</v>
      </c>
      <c r="D1556" s="216" t="n">
        <v>1.158406972885132</v>
      </c>
      <c r="E1556" s="215" t="n">
        <v>46175</v>
      </c>
      <c r="F1556" s="215" t="n">
        <v>46175</v>
      </c>
    </row>
    <row r="1557">
      <c r="A1557" s="215" t="n">
        <v>46176</v>
      </c>
      <c r="B1557" s="216" t="n">
        <v>52.1</v>
      </c>
      <c r="C1557" s="216" t="n">
        <v>63.6</v>
      </c>
      <c r="D1557" s="216" t="n">
        <v>1.15879499912262</v>
      </c>
      <c r="E1557" s="215" t="n">
        <v>46176</v>
      </c>
      <c r="F1557" s="215" t="n">
        <v>46176</v>
      </c>
    </row>
    <row r="1558">
      <c r="A1558" s="215" t="n">
        <v>46177</v>
      </c>
      <c r="B1558" s="216" t="n">
        <v>51.7</v>
      </c>
      <c r="C1558" s="216" t="n">
        <v>64.08</v>
      </c>
      <c r="D1558" s="216" t="n">
        <v>1.157420039176941</v>
      </c>
      <c r="E1558" s="215" t="n">
        <v>46177</v>
      </c>
      <c r="F1558" s="215" t="n">
        <v>46177</v>
      </c>
    </row>
    <row r="1559">
      <c r="A1559" s="215" t="n">
        <v>46178</v>
      </c>
      <c r="B1559" s="216" t="n">
        <v>51.7</v>
      </c>
      <c r="C1559" s="216" t="n">
        <v>64.47</v>
      </c>
      <c r="D1559" s="216" t="n">
        <v>1.156491994857788</v>
      </c>
      <c r="E1559" s="215" t="n">
        <v>46178</v>
      </c>
      <c r="F1559" s="215" t="n">
        <v>46178</v>
      </c>
    </row>
    <row r="1560">
      <c r="A1560" s="215" t="n">
        <v>46181</v>
      </c>
      <c r="B1560" s="216" t="n">
        <v>52</v>
      </c>
      <c r="C1560" s="216" t="n">
        <v>61.46</v>
      </c>
      <c r="D1560" s="216" t="n">
        <v>1.157665967941284</v>
      </c>
      <c r="E1560" s="215" t="n">
        <v>46181</v>
      </c>
      <c r="F1560" s="215" t="n">
        <v>46181</v>
      </c>
    </row>
    <row r="1561">
      <c r="A1561" s="215" t="n">
        <v>46182</v>
      </c>
      <c r="B1561" s="216" t="n">
        <v>55.7</v>
      </c>
      <c r="C1561" s="216" t="n">
        <v>63.16</v>
      </c>
      <c r="D1561" s="216" t="n">
        <v>1.158027052879333</v>
      </c>
      <c r="E1561" s="215" t="n">
        <v>46182</v>
      </c>
      <c r="F1561" s="215" t="n">
        <v>46182</v>
      </c>
    </row>
    <row r="1562">
      <c r="A1562" s="215" t="n">
        <v>46183</v>
      </c>
      <c r="B1562" s="216" t="n">
        <v>61.5</v>
      </c>
      <c r="C1562" s="216" t="n">
        <v>65.43000000000001</v>
      </c>
      <c r="D1562" s="216" t="n">
        <v>1.157112002372742</v>
      </c>
      <c r="E1562" s="215" t="n">
        <v>46183</v>
      </c>
      <c r="F1562" s="215" t="n">
        <v>46183</v>
      </c>
    </row>
    <row r="1563">
      <c r="A1563" s="215" t="n">
        <v>46184</v>
      </c>
      <c r="B1563" s="216" t="n">
        <v>70.05</v>
      </c>
      <c r="C1563" s="216" t="n">
        <v>66.98999999999999</v>
      </c>
      <c r="D1563" s="216" t="n">
        <v>1.156929016113281</v>
      </c>
      <c r="E1563" s="215" t="n">
        <v>46184</v>
      </c>
      <c r="F1563" s="215" t="n">
        <v>46184</v>
      </c>
    </row>
    <row r="1564">
      <c r="A1564" s="215" t="n">
        <v>46185</v>
      </c>
      <c r="B1564" s="216" t="n">
        <v>72.59999999999999</v>
      </c>
      <c r="C1564" s="216" t="n">
        <v>69.94</v>
      </c>
      <c r="D1564" s="216" t="n">
        <v>1.156345963478088</v>
      </c>
      <c r="E1564" s="215" t="n">
        <v>46185</v>
      </c>
      <c r="F1564" s="215" t="n">
        <v>46185</v>
      </c>
    </row>
    <row r="1565">
      <c r="A1565" s="215" t="n">
        <v>46188</v>
      </c>
      <c r="B1565" s="216" t="n">
        <v>82.84999999999999</v>
      </c>
      <c r="C1565" s="216" t="n">
        <v>75.81</v>
      </c>
      <c r="D1565" s="216" t="n">
        <v>1.156880021095276</v>
      </c>
      <c r="E1565" s="215" t="n">
        <v>46188</v>
      </c>
      <c r="F1565" s="215" t="n">
        <v>46188</v>
      </c>
    </row>
    <row r="1566">
      <c r="A1566" s="215" t="n">
        <v>46189</v>
      </c>
      <c r="B1566" s="216" t="n">
        <v>81.25</v>
      </c>
      <c r="C1566" s="216" t="n">
        <v>77.67</v>
      </c>
      <c r="D1566" s="216" t="n">
        <v>1.158604025840759</v>
      </c>
      <c r="E1566" s="215" t="n">
        <v>46189</v>
      </c>
      <c r="F1566" s="215" t="n">
        <v>46189</v>
      </c>
    </row>
    <row r="1567">
      <c r="A1567" s="215" t="n">
        <v>46190</v>
      </c>
      <c r="B1567" s="216" t="n">
        <v>53.9</v>
      </c>
      <c r="C1567" s="216" t="n">
        <v>78.36</v>
      </c>
      <c r="D1567" s="216" t="n">
        <v>1.158974051475525</v>
      </c>
      <c r="E1567" s="215" t="n">
        <v>46190</v>
      </c>
      <c r="F1567" s="215" t="n">
        <v>46190</v>
      </c>
    </row>
    <row r="1568">
      <c r="A1568" s="215" t="n">
        <v>46191</v>
      </c>
      <c r="B1568" s="216" t="n">
        <v>52.1</v>
      </c>
      <c r="C1568" s="216" t="n">
        <v>54.5</v>
      </c>
      <c r="D1568" s="216" t="n">
        <v>1.159355998039246</v>
      </c>
      <c r="E1568" s="215" t="n">
        <v>46191</v>
      </c>
      <c r="F1568" s="215" t="n">
        <v>46191</v>
      </c>
    </row>
    <row r="1569">
      <c r="A1569" s="215" t="n">
        <v>46195</v>
      </c>
      <c r="B1569" s="216" t="n">
        <v>49.86</v>
      </c>
      <c r="C1569" s="216" t="n">
        <v>52.95</v>
      </c>
      <c r="D1569" s="216" t="n">
        <v>1.157493948936462</v>
      </c>
      <c r="E1569" s="215" t="n">
        <v>46195</v>
      </c>
      <c r="F1569" s="215" t="n">
        <v>46195</v>
      </c>
    </row>
    <row r="1570">
      <c r="A1570" s="215" t="n">
        <v>46196</v>
      </c>
      <c r="B1570" s="216" t="n">
        <v>50.3</v>
      </c>
      <c r="C1570" s="216" t="n">
        <v>55.65</v>
      </c>
      <c r="D1570" s="216" t="n">
        <v>1.156896948814392</v>
      </c>
      <c r="E1570" s="215" t="n">
        <v>46196</v>
      </c>
      <c r="F1570" s="215" t="n">
        <v>46196</v>
      </c>
    </row>
    <row r="1571">
      <c r="A1571" s="215" t="n">
        <v>46197</v>
      </c>
      <c r="B1571" s="216" t="n">
        <v>49.56</v>
      </c>
      <c r="C1571" s="216" t="n">
        <v>54.45</v>
      </c>
      <c r="D1571" s="216" t="n">
        <v>1.154508948326111</v>
      </c>
      <c r="E1571" s="215" t="n">
        <v>46197</v>
      </c>
      <c r="F1571" s="215" t="n">
        <v>46197</v>
      </c>
    </row>
    <row r="1572">
      <c r="A1572" s="215" t="n">
        <v>46198</v>
      </c>
      <c r="B1572" s="216" t="n">
        <v>47.58</v>
      </c>
      <c r="C1572" s="216" t="n">
        <v>53.13</v>
      </c>
      <c r="D1572" s="216" t="n">
        <v>1.154152035713196</v>
      </c>
      <c r="E1572" s="215" t="n">
        <v>46198</v>
      </c>
      <c r="F1572" s="215" t="n">
        <v>46198</v>
      </c>
    </row>
    <row r="1573">
      <c r="A1573" s="215" t="n">
        <v>46199</v>
      </c>
      <c r="B1573" s="216" t="n">
        <v>45.6</v>
      </c>
      <c r="C1573" s="216" t="n">
        <v>51.1</v>
      </c>
      <c r="D1573" s="216" t="n">
        <v>1.154500961303711</v>
      </c>
      <c r="E1573" s="215" t="n">
        <v>46199</v>
      </c>
      <c r="F1573" s="215" t="n">
        <v>46199</v>
      </c>
    </row>
    <row r="1574">
      <c r="A1574" s="215" t="n">
        <v>46202</v>
      </c>
      <c r="B1574" s="216" t="n">
        <v>42.96</v>
      </c>
      <c r="C1574" s="216" t="n">
        <v>51.42</v>
      </c>
      <c r="D1574" s="216" t="n">
        <v>1.153512001037598</v>
      </c>
      <c r="E1574" s="215" t="n">
        <v>46202</v>
      </c>
      <c r="F1574" s="215" t="n">
        <v>46202</v>
      </c>
    </row>
    <row r="1575">
      <c r="A1575" s="215" t="n">
        <v>46203</v>
      </c>
      <c r="B1575" s="216" t="n">
        <v>44.98</v>
      </c>
      <c r="C1575" s="216" t="n">
        <v>52.06</v>
      </c>
      <c r="D1575" s="216" t="n">
        <v>1.153959035873413</v>
      </c>
      <c r="E1575" s="215" t="n">
        <v>46203</v>
      </c>
      <c r="F1575" s="215" t="n">
        <v>46203</v>
      </c>
    </row>
    <row r="1576">
      <c r="A1576" s="215" t="n">
        <v>46205</v>
      </c>
      <c r="B1576" s="216" t="n">
        <v>44.88</v>
      </c>
      <c r="C1576" s="216" t="n">
        <v>52.74</v>
      </c>
      <c r="D1576" s="216" t="n">
        <v>1.154355049133301</v>
      </c>
      <c r="E1576" s="215" t="n">
        <v>46205</v>
      </c>
      <c r="F1576" s="215" t="n">
        <v>46205</v>
      </c>
    </row>
    <row r="1577">
      <c r="A1577" s="215" t="n">
        <v>46206</v>
      </c>
      <c r="B1577" s="216" t="n">
        <v>45.6</v>
      </c>
      <c r="C1577" s="216" t="n">
        <v>54.6</v>
      </c>
      <c r="D1577" s="216" t="n">
        <v>1.155220985412598</v>
      </c>
      <c r="E1577" s="215" t="n">
        <v>46206</v>
      </c>
      <c r="F1577" s="215" t="n">
        <v>46206</v>
      </c>
    </row>
    <row r="1578">
      <c r="A1578" s="215" t="n">
        <v>46209</v>
      </c>
      <c r="B1578" s="216" t="n">
        <v>51</v>
      </c>
      <c r="C1578" s="216" t="n">
        <v>54.6</v>
      </c>
      <c r="D1578" s="216" t="n">
        <v>1.155068039894104</v>
      </c>
      <c r="E1578" s="215" t="n">
        <v>46209</v>
      </c>
      <c r="F1578" s="215" t="n">
        <v>46209</v>
      </c>
    </row>
    <row r="1579">
      <c r="A1579" s="215" t="n">
        <v>46210</v>
      </c>
      <c r="B1579" s="216" t="n">
        <v>56.25</v>
      </c>
      <c r="C1579" s="216" t="n">
        <v>58</v>
      </c>
      <c r="D1579" s="216" t="n">
        <v>1.153807997703552</v>
      </c>
      <c r="E1579" s="215" t="n">
        <v>46210</v>
      </c>
      <c r="F1579" s="215" t="n">
        <v>46210</v>
      </c>
    </row>
    <row r="1580">
      <c r="A1580" s="215" t="n">
        <v>46211</v>
      </c>
      <c r="B1580" s="216" t="n">
        <v>54.45</v>
      </c>
      <c r="C1580" s="216" t="n">
        <v>60.01</v>
      </c>
      <c r="D1580" s="216" t="n">
        <v>1.154153943061829</v>
      </c>
      <c r="E1580" s="215" t="n">
        <v>46211</v>
      </c>
      <c r="F1580" s="215" t="n">
        <v>46211</v>
      </c>
    </row>
    <row r="1581">
      <c r="A1581" s="215" t="n">
        <v>46212</v>
      </c>
      <c r="B1581" s="216" t="n">
        <v>53.95</v>
      </c>
      <c r="C1581" s="216" t="n">
        <v>59.55</v>
      </c>
      <c r="D1581" s="216" t="n">
        <v>1.152119994163513</v>
      </c>
      <c r="E1581" s="215" t="n">
        <v>46212</v>
      </c>
      <c r="F1581" s="215" t="n">
        <v>46212</v>
      </c>
    </row>
    <row r="1582">
      <c r="A1582" s="215" t="n">
        <v>46213</v>
      </c>
      <c r="B1582" s="216" t="n">
        <v>52.7</v>
      </c>
      <c r="C1582" s="216" t="n">
        <v>56.85</v>
      </c>
      <c r="D1582" s="216" t="n">
        <v>1.153550028800964</v>
      </c>
      <c r="E1582" s="215" t="n">
        <v>46213</v>
      </c>
      <c r="F1582" s="215" t="n">
        <v>46213</v>
      </c>
    </row>
    <row r="1583">
      <c r="A1583" s="215" t="n">
        <v>46216</v>
      </c>
      <c r="B1583" s="216" t="n">
        <v>44.86</v>
      </c>
      <c r="C1583" s="216" t="n">
        <v>52.23</v>
      </c>
      <c r="D1583" s="216" t="n">
        <v>1.156761050224304</v>
      </c>
      <c r="E1583" s="215" t="n">
        <v>46216</v>
      </c>
      <c r="F1583" s="215" t="n">
        <v>46216</v>
      </c>
    </row>
    <row r="1584">
      <c r="A1584" s="215" t="n">
        <v>46217</v>
      </c>
      <c r="B1584" s="216" t="n">
        <v>48</v>
      </c>
      <c r="C1584" s="216" t="n">
        <v>56.61</v>
      </c>
      <c r="D1584" s="216" t="n">
        <v>1.155825972557068</v>
      </c>
      <c r="E1584" s="215" t="n">
        <v>46217</v>
      </c>
      <c r="F1584" s="215" t="n">
        <v>46217</v>
      </c>
    </row>
    <row r="1585">
      <c r="A1585" s="215" t="n">
        <v>46218</v>
      </c>
      <c r="B1585" s="216" t="n">
        <v>45.86</v>
      </c>
      <c r="C1585" s="216" t="n">
        <v>59</v>
      </c>
      <c r="D1585" s="216" t="n">
        <v>1.157556056976318</v>
      </c>
      <c r="E1585" s="215" t="n">
        <v>46218</v>
      </c>
      <c r="F1585" s="215" t="n">
        <v>46218</v>
      </c>
    </row>
    <row r="1586">
      <c r="A1586" s="215" t="n">
        <v>46219</v>
      </c>
      <c r="B1586" s="216" t="n">
        <v>43.96</v>
      </c>
      <c r="C1586" s="216" t="n">
        <v>55.59</v>
      </c>
      <c r="D1586" s="216" t="n">
        <v>1.157912969589233</v>
      </c>
      <c r="E1586" s="215" t="n">
        <v>46219</v>
      </c>
      <c r="F1586" s="215" t="n">
        <v>46219</v>
      </c>
    </row>
    <row r="1587">
      <c r="A1587" s="215" t="n">
        <v>46220</v>
      </c>
      <c r="B1587" s="216" t="n">
        <v>35.52</v>
      </c>
      <c r="C1587" s="216" t="n">
        <v>50.75</v>
      </c>
      <c r="D1587" s="216" t="n">
        <v>1.157472014427185</v>
      </c>
      <c r="E1587" s="215" t="n">
        <v>46220</v>
      </c>
      <c r="F1587" s="215" t="n">
        <v>46220</v>
      </c>
    </row>
    <row r="1588">
      <c r="A1588" s="215" t="n">
        <v>46223</v>
      </c>
      <c r="B1588" s="216" t="n">
        <v>27.38</v>
      </c>
      <c r="C1588" s="216" t="n">
        <v>45.68</v>
      </c>
      <c r="D1588" s="216" t="n">
        <v>1.157451033592224</v>
      </c>
      <c r="E1588" s="215" t="n">
        <v>46223</v>
      </c>
      <c r="F1588" s="215" t="n">
        <v>46223</v>
      </c>
    </row>
    <row r="1589">
      <c r="A1589" s="215" t="n">
        <v>46224</v>
      </c>
      <c r="B1589" s="216" t="n">
        <v>30.48</v>
      </c>
      <c r="C1589" s="216" t="n">
        <v>46.9</v>
      </c>
      <c r="D1589" s="216" t="n">
        <v>1.157506942749023</v>
      </c>
      <c r="E1589" s="215" t="n">
        <v>46224</v>
      </c>
      <c r="F1589" s="215" t="n">
        <v>46224</v>
      </c>
    </row>
    <row r="1590">
      <c r="A1590" s="215" t="n">
        <v>46225</v>
      </c>
      <c r="B1590" s="216" t="n">
        <v>32.6</v>
      </c>
      <c r="C1590" s="216" t="n">
        <v>50.1</v>
      </c>
      <c r="D1590" s="216" t="n">
        <v>1.158938050270081</v>
      </c>
      <c r="E1590" s="215" t="n">
        <v>46225</v>
      </c>
      <c r="F1590" s="215" t="n">
        <v>46225</v>
      </c>
    </row>
    <row r="1591">
      <c r="A1591" s="215" t="n">
        <v>46226</v>
      </c>
      <c r="B1591" s="216" t="n">
        <v>31.16</v>
      </c>
      <c r="C1591" s="216" t="n">
        <v>49.41</v>
      </c>
      <c r="D1591" s="216" t="n">
        <v>1.157410979270935</v>
      </c>
      <c r="E1591" s="215" t="n">
        <v>46226</v>
      </c>
      <c r="F1591" s="215" t="n">
        <v>46226</v>
      </c>
    </row>
    <row r="1592">
      <c r="A1592" s="215" t="n">
        <v>46227</v>
      </c>
      <c r="B1592" s="216" t="n">
        <v>29.84</v>
      </c>
      <c r="C1592" s="216" t="n">
        <v>46.5</v>
      </c>
      <c r="D1592" s="216" t="n">
        <v>1.15762197971344</v>
      </c>
      <c r="E1592" s="215" t="n">
        <v>46227</v>
      </c>
      <c r="F1592" s="215" t="n">
        <v>46227</v>
      </c>
    </row>
    <row r="1593">
      <c r="A1593" s="215" t="n">
        <v>46230</v>
      </c>
      <c r="B1593" s="216" t="n">
        <v>33.1</v>
      </c>
      <c r="C1593" s="216" t="n">
        <v>49.06</v>
      </c>
      <c r="D1593" s="216" t="n">
        <v>1.15789794921875</v>
      </c>
      <c r="E1593" s="215" t="n">
        <v>46230</v>
      </c>
      <c r="F1593" s="215" t="n">
        <v>46230</v>
      </c>
    </row>
    <row r="1594">
      <c r="A1594" s="215" t="n">
        <v>46231</v>
      </c>
      <c r="B1594" s="216" t="n">
        <v>30.02</v>
      </c>
      <c r="C1594" s="216" t="n">
        <v>47.48</v>
      </c>
      <c r="D1594" s="216" t="n">
        <v>1.158699035644531</v>
      </c>
      <c r="E1594" s="215" t="n">
        <v>46231</v>
      </c>
      <c r="F1594" s="215" t="n">
        <v>46231</v>
      </c>
    </row>
    <row r="1595">
      <c r="A1595" s="215" t="n">
        <v>46232</v>
      </c>
      <c r="B1595" s="216" t="n">
        <v>31.76</v>
      </c>
      <c r="C1595" s="216" t="n">
        <v>47.76</v>
      </c>
      <c r="D1595" s="216" t="n">
        <v>1.157909989356995</v>
      </c>
      <c r="E1595" s="215" t="n">
        <v>46232</v>
      </c>
      <c r="F1595" s="215" t="n">
        <v>46232</v>
      </c>
    </row>
    <row r="1596">
      <c r="A1596" s="215" t="n">
        <v>46233</v>
      </c>
      <c r="B1596" s="216" t="n">
        <v>29.5</v>
      </c>
      <c r="C1596" s="216" t="n">
        <v>44.09</v>
      </c>
      <c r="D1596" s="216" t="n">
        <v>1.158943057060242</v>
      </c>
      <c r="E1596" s="215" t="n">
        <v>46233</v>
      </c>
      <c r="F1596" s="215" t="n">
        <v>46233</v>
      </c>
    </row>
    <row r="1597">
      <c r="A1597" s="215" t="n">
        <v>46234</v>
      </c>
      <c r="B1597" s="216" t="n">
        <v>29.8</v>
      </c>
      <c r="C1597" s="216" t="n">
        <v>46.95</v>
      </c>
      <c r="D1597" s="216" t="n">
        <v>1.160945057868958</v>
      </c>
      <c r="E1597" s="215" t="n">
        <v>46234</v>
      </c>
      <c r="F1597" s="215" t="n">
        <v>46234</v>
      </c>
    </row>
    <row r="1598">
      <c r="A1598" s="215" t="n">
        <v>46237</v>
      </c>
      <c r="B1598" s="216" t="n">
        <v>32.08</v>
      </c>
      <c r="C1598" s="216" t="n">
        <v>50.9</v>
      </c>
      <c r="D1598" s="216" t="n">
        <v>1.161579966545105</v>
      </c>
      <c r="E1598" s="215" t="n">
        <v>46237</v>
      </c>
      <c r="F1598" s="215" t="n">
        <v>46237</v>
      </c>
    </row>
    <row r="1599">
      <c r="A1599" s="215" t="n">
        <v>46238</v>
      </c>
      <c r="B1599" s="216" t="n">
        <v>31.14</v>
      </c>
      <c r="C1599" s="216" t="n">
        <v>53.6</v>
      </c>
      <c r="D1599" s="216" t="n">
        <v>1.161064982414246</v>
      </c>
      <c r="E1599" s="215" t="n">
        <v>46238</v>
      </c>
      <c r="F1599" s="215" t="n">
        <v>46238</v>
      </c>
    </row>
    <row r="1600">
      <c r="A1600" s="215" t="n">
        <v>46239</v>
      </c>
      <c r="B1600" s="216" t="n">
        <v>33.26</v>
      </c>
      <c r="C1600" s="216" t="n">
        <v>57.1</v>
      </c>
      <c r="D1600" s="216" t="n">
        <v>1.161146998405457</v>
      </c>
      <c r="E1600" s="215" t="n">
        <v>46239</v>
      </c>
      <c r="F1600" s="215" t="n">
        <v>46239</v>
      </c>
    </row>
    <row r="1601">
      <c r="A1601" s="215" t="n">
        <v>46240</v>
      </c>
      <c r="B1601" s="216" t="n">
        <v>33.74</v>
      </c>
      <c r="C1601" s="216" t="n">
        <v>57.8</v>
      </c>
      <c r="D1601" s="216" t="n">
        <v>1.161936044692993</v>
      </c>
      <c r="E1601" s="215" t="n">
        <v>46240</v>
      </c>
      <c r="F1601" s="215" t="n">
        <v>46240</v>
      </c>
    </row>
    <row r="1602">
      <c r="A1602" s="215" t="n">
        <v>46241</v>
      </c>
      <c r="B1602" s="216" t="n">
        <v>34.38</v>
      </c>
      <c r="C1602" s="216" t="n">
        <v>58.5</v>
      </c>
      <c r="D1602" s="216" t="n">
        <v>1.162284016609192</v>
      </c>
      <c r="E1602" s="215" t="n">
        <v>46241</v>
      </c>
      <c r="F1602" s="215" t="n">
        <v>46241</v>
      </c>
    </row>
    <row r="1603">
      <c r="A1603" s="215" t="n">
        <v>46244</v>
      </c>
      <c r="B1603" s="216" t="n">
        <v>34.8</v>
      </c>
      <c r="C1603" s="216" t="n">
        <v>59.26</v>
      </c>
      <c r="D1603" s="216" t="n">
        <v>1.162629961967468</v>
      </c>
      <c r="E1603" s="215" t="n">
        <v>46244</v>
      </c>
      <c r="F1603" s="215" t="n">
        <v>46244</v>
      </c>
    </row>
    <row r="1604">
      <c r="A1604" s="215" t="n">
        <v>46245</v>
      </c>
      <c r="B1604" s="216" t="n">
        <v>36.18</v>
      </c>
      <c r="C1604" s="216" t="n">
        <v>58.86</v>
      </c>
      <c r="D1604" s="216" t="n">
        <v>1.162588000297546</v>
      </c>
      <c r="E1604" s="215" t="n">
        <v>46245</v>
      </c>
      <c r="F1604" s="215" t="n">
        <v>46245</v>
      </c>
    </row>
    <row r="1605">
      <c r="A1605" s="215" t="n">
        <v>46246</v>
      </c>
      <c r="B1605" s="216" t="n">
        <v>35.66</v>
      </c>
      <c r="C1605" s="216" t="n">
        <v>60.65</v>
      </c>
      <c r="D1605" s="216" t="n">
        <v>1.163135051727295</v>
      </c>
      <c r="E1605" s="215" t="n">
        <v>46246</v>
      </c>
      <c r="F1605" s="215" t="n">
        <v>46246</v>
      </c>
    </row>
    <row r="1606">
      <c r="A1606" s="215" t="n">
        <v>46247</v>
      </c>
      <c r="B1606" s="216" t="n">
        <v>36.02</v>
      </c>
      <c r="C1606" s="216" t="n">
        <v>59.99</v>
      </c>
      <c r="D1606" s="216" t="n">
        <v>1.163341045379639</v>
      </c>
      <c r="E1606" s="215" t="n">
        <v>46247</v>
      </c>
      <c r="F1606" s="215" t="n">
        <v>46247</v>
      </c>
    </row>
    <row r="1607">
      <c r="A1607" s="215" t="n">
        <v>46248</v>
      </c>
      <c r="B1607" s="216" t="n">
        <v>38.66</v>
      </c>
      <c r="C1607" s="216" t="n">
        <v>59.64</v>
      </c>
      <c r="D1607" s="216" t="n">
        <v>1.163571000099182</v>
      </c>
      <c r="E1607" s="215" t="n">
        <v>46248</v>
      </c>
      <c r="F1607" s="215" t="n">
        <v>46248</v>
      </c>
    </row>
    <row r="1608">
      <c r="A1608" s="215" t="n">
        <v>46251</v>
      </c>
      <c r="B1608" s="216" t="n">
        <v>41.18</v>
      </c>
      <c r="C1608" s="216" t="n">
        <v>64.2</v>
      </c>
      <c r="D1608" s="216" t="n">
        <v>1.163601994514465</v>
      </c>
      <c r="E1608" s="215" t="n">
        <v>46251</v>
      </c>
      <c r="F1608" s="215" t="n">
        <v>46251</v>
      </c>
    </row>
    <row r="1609">
      <c r="A1609" s="215" t="n">
        <v>46252</v>
      </c>
      <c r="B1609" s="216" t="n">
        <v>41.8</v>
      </c>
      <c r="C1609" s="216" t="n">
        <v>66.58</v>
      </c>
      <c r="D1609" s="216" t="n">
        <v>1.163733005523682</v>
      </c>
      <c r="E1609" s="215" t="n">
        <v>46252</v>
      </c>
      <c r="F1609" s="215" t="n">
        <v>46252</v>
      </c>
    </row>
    <row r="1610">
      <c r="A1610" s="215" t="n">
        <v>46253</v>
      </c>
      <c r="B1610" s="216" t="n">
        <v>36.24</v>
      </c>
      <c r="C1610" s="216" t="n">
        <v>63.2</v>
      </c>
      <c r="D1610" s="216" t="n">
        <v>1.163092017173767</v>
      </c>
      <c r="E1610" s="215" t="n">
        <v>46253</v>
      </c>
      <c r="F1610" s="215" t="n">
        <v>46253</v>
      </c>
    </row>
    <row r="1611">
      <c r="A1611" s="215" t="n">
        <v>46254</v>
      </c>
      <c r="B1611" s="216" t="n">
        <v>37.26</v>
      </c>
      <c r="C1611" s="216" t="n">
        <v>65.5</v>
      </c>
      <c r="D1611" s="216" t="n">
        <v>1.164932012557983</v>
      </c>
      <c r="E1611" s="215" t="n">
        <v>46254</v>
      </c>
      <c r="F1611" s="215" t="n">
        <v>46254</v>
      </c>
    </row>
    <row r="1612">
      <c r="A1612" s="215" t="n">
        <v>46255</v>
      </c>
      <c r="B1612" s="216" t="n">
        <v>37.68</v>
      </c>
      <c r="C1612" s="216" t="n">
        <v>65.20999999999999</v>
      </c>
      <c r="D1612" s="216" t="n">
        <v>1.166555047035217</v>
      </c>
      <c r="E1612" s="215" t="n">
        <v>46255</v>
      </c>
      <c r="F1612" s="215" t="n">
        <v>46255</v>
      </c>
    </row>
    <row r="1613">
      <c r="A1613" s="215" t="n">
        <v>46258</v>
      </c>
      <c r="B1613" s="216" t="n">
        <v>34.04</v>
      </c>
      <c r="C1613" s="216" t="n">
        <v>60.05</v>
      </c>
      <c r="D1613" s="216" t="n">
        <v>1.166316986083984</v>
      </c>
      <c r="E1613" s="215" t="n">
        <v>46258</v>
      </c>
      <c r="F1613" s="215" t="n">
        <v>46258</v>
      </c>
    </row>
    <row r="1614">
      <c r="A1614" s="215" t="n">
        <v>46259</v>
      </c>
      <c r="B1614" s="216" t="n">
        <v>34.92</v>
      </c>
      <c r="C1614" s="216" t="n">
        <v>61.53</v>
      </c>
      <c r="D1614" s="216" t="n">
        <v>1.165253043174744</v>
      </c>
      <c r="E1614" s="215" t="n">
        <v>46259</v>
      </c>
      <c r="F1614" s="215" t="n">
        <v>46259</v>
      </c>
    </row>
    <row r="1615">
      <c r="A1615" s="215" t="n">
        <v>46260</v>
      </c>
      <c r="B1615" s="216" t="n">
        <v>35.28</v>
      </c>
      <c r="C1615" s="216" t="n">
        <v>61.68</v>
      </c>
      <c r="D1615" s="216" t="n">
        <v>1.166218996047974</v>
      </c>
      <c r="E1615" s="215" t="n">
        <v>46260</v>
      </c>
      <c r="F1615" s="215" t="n">
        <v>46260</v>
      </c>
    </row>
    <row r="1616">
      <c r="A1616" s="215" t="n">
        <v>46261</v>
      </c>
      <c r="B1616" s="216" t="n">
        <v>36.32</v>
      </c>
      <c r="C1616" s="216" t="n">
        <v>64.88</v>
      </c>
      <c r="D1616" s="216" t="n">
        <v>1.165971040725708</v>
      </c>
      <c r="E1616" s="215" t="n">
        <v>46261</v>
      </c>
      <c r="F1616" s="215" t="n">
        <v>46261</v>
      </c>
    </row>
    <row r="1617">
      <c r="A1617" s="215" t="n">
        <v>46262</v>
      </c>
      <c r="B1617" s="216" t="n">
        <v>37</v>
      </c>
      <c r="C1617" s="216" t="n">
        <v>64.97</v>
      </c>
      <c r="D1617" s="216" t="n">
        <v>1.165799975395203</v>
      </c>
      <c r="E1617" s="215" t="n">
        <v>46262</v>
      </c>
      <c r="F1617" s="215" t="n">
        <v>46262</v>
      </c>
    </row>
    <row r="1618">
      <c r="A1618" s="215" t="n">
        <v>46265</v>
      </c>
      <c r="B1618" s="216" t="n">
        <v>38.4</v>
      </c>
      <c r="C1618" s="216" t="n">
        <v>66.63</v>
      </c>
      <c r="D1618" s="216" t="n">
        <v>1.165387988090515</v>
      </c>
      <c r="E1618" s="215" t="n">
        <v>46265</v>
      </c>
      <c r="F1618" s="215" t="n">
        <v>46265</v>
      </c>
    </row>
    <row r="1619">
      <c r="A1619" s="215" t="n">
        <v>46266</v>
      </c>
      <c r="B1619" s="216" t="n">
        <v>38.14</v>
      </c>
      <c r="C1619" s="216" t="n">
        <v>63.93</v>
      </c>
      <c r="D1619" s="216" t="n">
        <v>1.165223956108093</v>
      </c>
      <c r="E1619" s="215" t="n">
        <v>46266</v>
      </c>
      <c r="F1619" s="215" t="n">
        <v>46266</v>
      </c>
    </row>
    <row r="1620">
      <c r="A1620" s="215" t="n">
        <v>46267</v>
      </c>
      <c r="B1620" s="216" t="n">
        <v>38.32</v>
      </c>
      <c r="C1620" s="216" t="n">
        <v>62.5</v>
      </c>
      <c r="D1620" s="216" t="n">
        <v>1.166425943374634</v>
      </c>
      <c r="E1620" s="215" t="n">
        <v>46267</v>
      </c>
      <c r="F1620" s="215" t="n">
        <v>46267</v>
      </c>
    </row>
    <row r="1621">
      <c r="A1621" s="215" t="n">
        <v>46268</v>
      </c>
      <c r="B1621" s="216" t="n">
        <v>38.22</v>
      </c>
      <c r="C1621" s="216" t="n">
        <v>62.01</v>
      </c>
      <c r="D1621" s="216" t="n">
        <v>1.167057037353516</v>
      </c>
      <c r="E1621" s="215" t="n">
        <v>46268</v>
      </c>
      <c r="F1621" s="215" t="n">
        <v>46268</v>
      </c>
    </row>
    <row r="1622">
      <c r="A1622" s="215" t="n">
        <v>46269</v>
      </c>
      <c r="B1622" s="216" t="n">
        <v>37.86</v>
      </c>
      <c r="C1622" s="216" t="n">
        <v>60.17</v>
      </c>
      <c r="D1622" s="216" t="n">
        <v>1.166767954826355</v>
      </c>
      <c r="E1622" s="215" t="n">
        <v>46269</v>
      </c>
      <c r="F1622" s="215" t="n">
        <v>46269</v>
      </c>
    </row>
    <row r="1623">
      <c r="A1623" s="215" t="n">
        <v>46272</v>
      </c>
      <c r="B1623" s="216" t="n">
        <v>38.16</v>
      </c>
      <c r="C1623" s="216" t="n">
        <v>61.28</v>
      </c>
      <c r="D1623" s="216" t="n">
        <v>1.168081045150757</v>
      </c>
      <c r="E1623" s="215" t="n">
        <v>46272</v>
      </c>
      <c r="F1623" s="215" t="n">
        <v>46272</v>
      </c>
    </row>
    <row r="1624">
      <c r="A1624" s="215" t="n">
        <v>46273</v>
      </c>
      <c r="B1624" s="216" t="n">
        <v>36.8</v>
      </c>
      <c r="C1624" s="216" t="n">
        <v>60.71</v>
      </c>
      <c r="D1624" s="216" t="n">
        <v>1.168115019798279</v>
      </c>
      <c r="E1624" s="215" t="n">
        <v>46273</v>
      </c>
      <c r="F1624" s="215" t="n">
        <v>46273</v>
      </c>
    </row>
    <row r="1625">
      <c r="A1625" s="215" t="n">
        <v>46274</v>
      </c>
      <c r="B1625" s="216" t="n">
        <v>36.62</v>
      </c>
      <c r="C1625" s="216" t="n">
        <v>61.08</v>
      </c>
      <c r="D1625" s="216" t="n">
        <v>1.168408989906311</v>
      </c>
      <c r="E1625" s="215" t="n">
        <v>46274</v>
      </c>
      <c r="F1625" s="215" t="n">
        <v>46274</v>
      </c>
    </row>
    <row r="1626">
      <c r="A1626" s="215" t="n">
        <v>46275</v>
      </c>
      <c r="B1626" s="216" t="n">
        <v>37.5</v>
      </c>
      <c r="C1626" s="216" t="n">
        <v>61.86</v>
      </c>
      <c r="D1626" s="216" t="n">
        <v>1.168462991714478</v>
      </c>
      <c r="E1626" s="215" t="n">
        <v>46275</v>
      </c>
      <c r="F1626" s="215" t="n">
        <v>46275</v>
      </c>
    </row>
    <row r="1627">
      <c r="A1627" s="215" t="n">
        <v>46276</v>
      </c>
      <c r="B1627" s="216" t="n">
        <v>36.64</v>
      </c>
      <c r="C1627" s="216" t="n">
        <v>60.94</v>
      </c>
      <c r="D1627" s="216" t="n">
        <v>1.169165015220642</v>
      </c>
      <c r="E1627" s="215" t="n">
        <v>46276</v>
      </c>
      <c r="F1627" s="215" t="n">
        <v>46276</v>
      </c>
    </row>
    <row r="1628">
      <c r="A1628" s="215" t="n">
        <v>46279</v>
      </c>
      <c r="B1628" s="216" t="n">
        <v>37.46</v>
      </c>
      <c r="C1628" s="216" t="n">
        <v>62.53</v>
      </c>
      <c r="D1628" s="216" t="n">
        <v>1.16893994808197</v>
      </c>
      <c r="E1628" s="215" t="n">
        <v>46279</v>
      </c>
      <c r="F1628" s="215" t="n">
        <v>46279</v>
      </c>
    </row>
    <row r="1629">
      <c r="A1629" s="215" t="n">
        <v>46280</v>
      </c>
      <c r="B1629" s="216" t="n">
        <v>37.08</v>
      </c>
      <c r="C1629" s="216" t="n">
        <v>61.77</v>
      </c>
      <c r="D1629" s="216" t="n">
        <v>1.169121026992798</v>
      </c>
      <c r="E1629" s="215" t="n">
        <v>46280</v>
      </c>
      <c r="F1629" s="215" t="n">
        <v>46280</v>
      </c>
    </row>
    <row r="1630">
      <c r="A1630" s="215" t="n">
        <v>46281</v>
      </c>
      <c r="B1630" s="216" t="n">
        <v>39</v>
      </c>
      <c r="C1630" s="216" t="n">
        <v>64.40000000000001</v>
      </c>
      <c r="D1630" s="216" t="n">
        <v>1.168769955635071</v>
      </c>
      <c r="E1630" s="215" t="n">
        <v>46281</v>
      </c>
      <c r="F1630" s="215" t="n">
        <v>46281</v>
      </c>
    </row>
    <row r="1631">
      <c r="A1631" s="215" t="n">
        <v>46282</v>
      </c>
      <c r="B1631" s="216" t="n">
        <v>39.62</v>
      </c>
      <c r="C1631" s="216" t="n">
        <v>65.22</v>
      </c>
      <c r="D1631" s="216" t="n">
        <v>1.169389963150024</v>
      </c>
      <c r="E1631" s="215" t="n">
        <v>46282</v>
      </c>
      <c r="F1631" s="215" t="n">
        <v>46282</v>
      </c>
    </row>
    <row r="1632">
      <c r="A1632" s="215" t="n">
        <v>46283</v>
      </c>
      <c r="B1632" s="216" t="n">
        <v>41.6</v>
      </c>
      <c r="C1632" s="216" t="n">
        <v>67.89</v>
      </c>
      <c r="D1632" s="216" t="n">
        <v>1.16942298412323</v>
      </c>
      <c r="E1632" s="215" t="n">
        <v>46283</v>
      </c>
      <c r="F1632" s="215" t="n">
        <v>46283</v>
      </c>
    </row>
    <row r="1633">
      <c r="A1633" s="215" t="n">
        <v>46286</v>
      </c>
      <c r="B1633" s="216" t="n">
        <v>43.32</v>
      </c>
      <c r="C1633" s="216" t="n">
        <v>68.05</v>
      </c>
      <c r="D1633" s="216" t="n">
        <v>1.171280026435852</v>
      </c>
      <c r="E1633" s="215" t="n">
        <v>46286</v>
      </c>
      <c r="F1633" s="215" t="n">
        <v>46286</v>
      </c>
    </row>
    <row r="1634">
      <c r="A1634" s="215" t="n">
        <v>46287</v>
      </c>
      <c r="B1634" s="216" t="n">
        <v>46.78</v>
      </c>
      <c r="C1634" s="216" t="n">
        <v>74.86</v>
      </c>
      <c r="D1634" s="216" t="n">
        <v>1.171705007553101</v>
      </c>
      <c r="E1634" s="215" t="n">
        <v>46287</v>
      </c>
      <c r="F1634" s="215" t="n">
        <v>46287</v>
      </c>
    </row>
    <row r="1635">
      <c r="A1635" s="215" t="n">
        <v>46288</v>
      </c>
      <c r="B1635" s="216" t="n">
        <v>46.92</v>
      </c>
      <c r="C1635" s="216" t="n">
        <v>79.02</v>
      </c>
      <c r="D1635" s="216" t="n">
        <v>1.170611023902893</v>
      </c>
      <c r="E1635" s="215" t="n">
        <v>46288</v>
      </c>
      <c r="F1635" s="215" t="n">
        <v>46288</v>
      </c>
    </row>
    <row r="1636">
      <c r="A1636" s="215" t="n">
        <v>46289</v>
      </c>
      <c r="B1636" s="216" t="n">
        <v>43.78</v>
      </c>
      <c r="C1636" s="216" t="n">
        <v>78.01000000000001</v>
      </c>
      <c r="D1636" s="216" t="n">
        <v>1.16852605342865</v>
      </c>
      <c r="E1636" s="215" t="n">
        <v>46289</v>
      </c>
      <c r="F1636" s="215" t="n">
        <v>46289</v>
      </c>
    </row>
    <row r="1637">
      <c r="A1637" s="215" t="n">
        <v>46290</v>
      </c>
      <c r="B1637" s="216" t="n">
        <v>43.02</v>
      </c>
      <c r="C1637" s="216" t="n">
        <v>78.01000000000001</v>
      </c>
      <c r="D1637" s="216" t="n">
        <v>1.168424010276794</v>
      </c>
      <c r="E1637" s="215" t="n">
        <v>46289</v>
      </c>
      <c r="F1637" s="215" t="n">
        <v>46290</v>
      </c>
    </row>
    <row r="1638">
      <c r="A1638" s="215" t="n">
        <v>46293</v>
      </c>
      <c r="B1638" s="216" t="n">
        <v>38.44</v>
      </c>
      <c r="C1638" s="216" t="n">
        <v>70.20999999999999</v>
      </c>
      <c r="D1638" s="216" t="n">
        <v>1.168378949165344</v>
      </c>
      <c r="E1638" s="215" t="n">
        <v>46293</v>
      </c>
      <c r="F1638" s="215" t="n">
        <v>46293</v>
      </c>
    </row>
    <row r="1639">
      <c r="A1639" s="215" t="n">
        <v>46294</v>
      </c>
      <c r="B1639" s="216" t="n">
        <v>38.28</v>
      </c>
      <c r="C1639" s="216" t="n">
        <v>71.02</v>
      </c>
      <c r="D1639" s="216" t="n">
        <v>1.168815970420837</v>
      </c>
      <c r="E1639" s="215" t="n">
        <v>46294</v>
      </c>
      <c r="F1639" s="215" t="n">
        <v>46294</v>
      </c>
    </row>
    <row r="1640">
      <c r="A1640" s="215" t="n">
        <v>46295</v>
      </c>
      <c r="B1640" s="216" t="n">
        <v>39.22</v>
      </c>
      <c r="C1640" s="216" t="n">
        <v>69.81</v>
      </c>
      <c r="D1640" s="216" t="n">
        <v>1.17059600353241</v>
      </c>
      <c r="E1640" s="215" t="n">
        <v>46295</v>
      </c>
      <c r="F1640" s="215" t="n">
        <v>46295</v>
      </c>
    </row>
    <row r="1641">
      <c r="A1641" s="215" t="n">
        <v>46297</v>
      </c>
      <c r="B1641" s="216" t="n">
        <v>37.66</v>
      </c>
      <c r="C1641" s="216" t="n">
        <v>69.81</v>
      </c>
      <c r="D1641" s="216" t="n">
        <v>1.170220971107483</v>
      </c>
      <c r="E1641" s="215" t="n">
        <v>46295</v>
      </c>
      <c r="F1641" s="215" t="n">
        <v>46297</v>
      </c>
    </row>
    <row r="1642">
      <c r="A1642" s="215" t="n">
        <v>46135</v>
      </c>
      <c r="B1642" s="216" t="n">
        <v>88</v>
      </c>
      <c r="C1642" s="216" t="n">
        <v>103.86</v>
      </c>
      <c r="D1642" s="216" t="n">
        <v>1.147513031959534</v>
      </c>
      <c r="E1642" s="215" t="n">
        <v>46135</v>
      </c>
      <c r="F1642" s="215" t="n">
        <v>46135</v>
      </c>
    </row>
    <row r="1643">
      <c r="A1643" s="215" t="n">
        <v>46136</v>
      </c>
      <c r="B1643" s="216" t="n">
        <v>88.75</v>
      </c>
      <c r="C1643" s="216" t="n">
        <v>107.54</v>
      </c>
      <c r="D1643" s="216" t="n">
        <v>1.147369027137756</v>
      </c>
      <c r="E1643" s="215" t="n">
        <v>46136</v>
      </c>
      <c r="F1643" s="215" t="n">
        <v>46136</v>
      </c>
    </row>
    <row r="1644">
      <c r="A1644" s="215" t="n">
        <v>46139</v>
      </c>
      <c r="B1644" s="216" t="n">
        <v>98</v>
      </c>
      <c r="C1644" s="216" t="n">
        <v>108.1</v>
      </c>
      <c r="D1644" s="216" t="n">
        <v>1.146002054214478</v>
      </c>
      <c r="E1644" s="215" t="n">
        <v>46139</v>
      </c>
      <c r="F1644" s="215" t="n">
        <v>46139</v>
      </c>
    </row>
    <row r="1645">
      <c r="A1645" s="215" t="n">
        <v>46140</v>
      </c>
      <c r="B1645" s="216" t="n">
        <v>91.5</v>
      </c>
      <c r="C1645" s="216" t="n">
        <v>103.9</v>
      </c>
      <c r="D1645" s="216" t="n">
        <v>1.148522019386292</v>
      </c>
      <c r="E1645" s="215" t="n">
        <v>46140</v>
      </c>
      <c r="F1645" s="215" t="n">
        <v>46140</v>
      </c>
    </row>
    <row r="1646">
      <c r="A1646" s="215" t="n">
        <v>46141</v>
      </c>
      <c r="B1646" s="216" t="n">
        <v>87.8</v>
      </c>
      <c r="C1646" s="216" t="n">
        <v>102.46</v>
      </c>
      <c r="D1646" s="216" t="n">
        <v>1.145936012268066</v>
      </c>
      <c r="E1646" s="215" t="n">
        <v>46141</v>
      </c>
      <c r="F1646" s="215" t="n">
        <v>46141</v>
      </c>
    </row>
    <row r="1647">
      <c r="A1647" s="215" t="n">
        <v>46142</v>
      </c>
      <c r="B1647" s="216" t="n">
        <v>91</v>
      </c>
      <c r="C1647" s="216" t="n">
        <v>103.61</v>
      </c>
      <c r="D1647" s="216" t="n">
        <v>1.145792007446289</v>
      </c>
      <c r="E1647" s="215" t="n">
        <v>46142</v>
      </c>
      <c r="F1647" s="215" t="n">
        <v>46142</v>
      </c>
    </row>
    <row r="1648">
      <c r="A1648" s="215" t="n">
        <v>46146</v>
      </c>
      <c r="B1648" s="216" t="n">
        <v>91.5</v>
      </c>
      <c r="C1648" s="216" t="n">
        <v>103.61</v>
      </c>
      <c r="D1648" s="216" t="n">
        <v>1.147340059280396</v>
      </c>
      <c r="E1648" s="215" t="n">
        <v>46142</v>
      </c>
      <c r="F1648" s="215" t="n">
        <v>46146</v>
      </c>
    </row>
    <row r="1649">
      <c r="A1649" s="215" t="n">
        <v>46147</v>
      </c>
      <c r="B1649" s="216" t="n">
        <v>98.59999999999999</v>
      </c>
      <c r="C1649" s="216" t="n">
        <v>103.61</v>
      </c>
      <c r="D1649" s="216" t="n">
        <v>1.146813988685608</v>
      </c>
      <c r="E1649" s="215" t="n">
        <v>46142</v>
      </c>
      <c r="F1649" s="215" t="n">
        <v>46147</v>
      </c>
    </row>
    <row r="1650">
      <c r="A1650" s="215" t="n">
        <v>46148</v>
      </c>
      <c r="B1650" s="216" t="n">
        <v>106.5</v>
      </c>
      <c r="C1650" s="216" t="n">
        <v>109.8</v>
      </c>
      <c r="D1650" s="216" t="n">
        <v>1.14708399772644</v>
      </c>
      <c r="E1650" s="215" t="n">
        <v>46148</v>
      </c>
      <c r="F1650" s="215" t="n">
        <v>46148</v>
      </c>
    </row>
    <row r="1651">
      <c r="A1651" s="215" t="n">
        <v>46149</v>
      </c>
      <c r="B1651" s="216" t="n">
        <v>109</v>
      </c>
      <c r="C1651" s="216" t="n">
        <v>112.18</v>
      </c>
      <c r="D1651" s="216" t="n">
        <v>1.150125026702881</v>
      </c>
      <c r="E1651" s="215" t="n">
        <v>46149</v>
      </c>
      <c r="F1651" s="215" t="n">
        <v>46149</v>
      </c>
    </row>
    <row r="1652">
      <c r="A1652" s="215" t="n">
        <v>46150</v>
      </c>
      <c r="B1652" s="216" t="n">
        <v>120</v>
      </c>
      <c r="C1652" s="216" t="n">
        <v>118.6</v>
      </c>
      <c r="D1652" s="216" t="n">
        <v>1.15172004699707</v>
      </c>
      <c r="E1652" s="215" t="n">
        <v>46150</v>
      </c>
      <c r="F1652" s="215" t="n">
        <v>46150</v>
      </c>
    </row>
    <row r="1653">
      <c r="A1653" s="215" t="n">
        <v>46153</v>
      </c>
      <c r="B1653" s="216" t="n">
        <v>112.1</v>
      </c>
      <c r="C1653" s="216" t="n">
        <v>114.85</v>
      </c>
      <c r="D1653" s="216" t="n">
        <v>1.151090025901794</v>
      </c>
      <c r="E1653" s="215" t="n">
        <v>46153</v>
      </c>
      <c r="F1653" s="215" t="n">
        <v>46153</v>
      </c>
    </row>
    <row r="1654">
      <c r="A1654" s="215" t="n">
        <v>46154</v>
      </c>
      <c r="B1654" s="216" t="n">
        <v>108</v>
      </c>
      <c r="C1654" s="216" t="n">
        <v>109.63</v>
      </c>
      <c r="D1654" s="216" t="n">
        <v>1.152078986167908</v>
      </c>
      <c r="E1654" s="215" t="n">
        <v>46154</v>
      </c>
      <c r="F1654" s="215" t="n">
        <v>46154</v>
      </c>
    </row>
    <row r="1655">
      <c r="A1655" s="215" t="n">
        <v>46155</v>
      </c>
      <c r="B1655" s="216" t="n">
        <v>118.2</v>
      </c>
      <c r="C1655" s="216" t="n">
        <v>116.18</v>
      </c>
      <c r="D1655" s="216" t="n">
        <v>1.152537941932678</v>
      </c>
      <c r="E1655" s="215" t="n">
        <v>46155</v>
      </c>
      <c r="F1655" s="215" t="n">
        <v>46155</v>
      </c>
    </row>
    <row r="1656">
      <c r="A1656" s="215" t="n">
        <v>46156</v>
      </c>
      <c r="B1656" s="216" t="n">
        <v>114.8</v>
      </c>
      <c r="C1656" s="216" t="n">
        <v>114.7</v>
      </c>
      <c r="D1656" s="216" t="n">
        <v>1.152662992477417</v>
      </c>
      <c r="E1656" s="215" t="n">
        <v>46156</v>
      </c>
      <c r="F1656" s="215" t="n">
        <v>46156</v>
      </c>
    </row>
    <row r="1657">
      <c r="A1657" s="215" t="n">
        <v>46157</v>
      </c>
      <c r="B1657" s="216" t="n">
        <v>112.8</v>
      </c>
      <c r="C1657" s="216" t="n">
        <v>113.85</v>
      </c>
      <c r="D1657" s="216" t="n">
        <v>1.154320001602173</v>
      </c>
      <c r="E1657" s="215" t="n">
        <v>46157</v>
      </c>
      <c r="F1657" s="215" t="n">
        <v>46157</v>
      </c>
    </row>
    <row r="1658">
      <c r="A1658" s="215" t="n">
        <v>46160</v>
      </c>
      <c r="B1658" s="216" t="n">
        <v>110.2</v>
      </c>
      <c r="C1658" s="216" t="n">
        <v>112.32</v>
      </c>
      <c r="D1658" s="216" t="n">
        <v>1.149821996688843</v>
      </c>
      <c r="E1658" s="215" t="n">
        <v>46160</v>
      </c>
      <c r="F1658" s="215" t="n">
        <v>46160</v>
      </c>
    </row>
    <row r="1659">
      <c r="A1659" s="215" t="n">
        <v>46161</v>
      </c>
      <c r="B1659" s="216" t="n">
        <v>104.5</v>
      </c>
      <c r="C1659" s="216" t="n">
        <v>108.9</v>
      </c>
      <c r="D1659" s="216" t="n">
        <v>1.151532053947449</v>
      </c>
      <c r="E1659" s="215" t="n">
        <v>46161</v>
      </c>
      <c r="F1659" s="215" t="n">
        <v>46161</v>
      </c>
    </row>
    <row r="1660">
      <c r="A1660" s="215" t="n">
        <v>46162</v>
      </c>
      <c r="B1660" s="216" t="n">
        <v>109.6</v>
      </c>
      <c r="C1660" s="216" t="n">
        <v>109.81</v>
      </c>
      <c r="D1660" s="216" t="n">
        <v>1.149292945861816</v>
      </c>
      <c r="E1660" s="215" t="n">
        <v>46162</v>
      </c>
      <c r="F1660" s="215" t="n">
        <v>46162</v>
      </c>
    </row>
    <row r="1661">
      <c r="A1661" s="215" t="n">
        <v>46163</v>
      </c>
      <c r="B1661" s="216" t="n">
        <v>104.1</v>
      </c>
      <c r="C1661" s="216" t="n">
        <v>105.04</v>
      </c>
      <c r="D1661" s="216" t="n">
        <v>1.151231050491333</v>
      </c>
      <c r="E1661" s="215" t="n">
        <v>46163</v>
      </c>
      <c r="F1661" s="215" t="n">
        <v>46163</v>
      </c>
    </row>
    <row r="1662">
      <c r="A1662" s="215" t="n">
        <v>46164</v>
      </c>
      <c r="B1662" s="216" t="n">
        <v>82.45</v>
      </c>
      <c r="C1662" s="216" t="n">
        <v>108.94</v>
      </c>
      <c r="D1662" s="216" t="n">
        <v>1.151487946510315</v>
      </c>
      <c r="E1662" s="215" t="n">
        <v>46164</v>
      </c>
      <c r="F1662" s="215" t="n">
        <v>46164</v>
      </c>
    </row>
    <row r="1663">
      <c r="A1663" s="215" t="n">
        <v>46168</v>
      </c>
      <c r="B1663" s="216" t="n">
        <v>84.45</v>
      </c>
      <c r="C1663" s="216" t="n">
        <v>109.95</v>
      </c>
      <c r="D1663" s="216" t="n">
        <v>1.152968049049377</v>
      </c>
      <c r="E1663" s="215" t="n">
        <v>46168</v>
      </c>
      <c r="F1663" s="215" t="n">
        <v>46168</v>
      </c>
    </row>
    <row r="1664">
      <c r="A1664" s="215" t="n">
        <v>46169</v>
      </c>
      <c r="B1664" s="216" t="n">
        <v>83.15000000000001</v>
      </c>
      <c r="C1664" s="216" t="n">
        <v>106.68</v>
      </c>
      <c r="D1664" s="216" t="n">
        <v>1.154562950134277</v>
      </c>
      <c r="E1664" s="215" t="n">
        <v>46169</v>
      </c>
      <c r="F1664" s="215" t="n">
        <v>46169</v>
      </c>
    </row>
    <row r="1665">
      <c r="A1665" s="215" t="n">
        <v>46170</v>
      </c>
      <c r="B1665" s="216" t="n">
        <v>80.15000000000001</v>
      </c>
      <c r="C1665" s="216" t="n">
        <v>106</v>
      </c>
      <c r="D1665" s="216" t="n">
        <v>1.155385971069336</v>
      </c>
      <c r="E1665" s="215" t="n">
        <v>46170</v>
      </c>
      <c r="F1665" s="215" t="n">
        <v>46170</v>
      </c>
    </row>
    <row r="1666">
      <c r="A1666" s="215" t="n">
        <v>46171</v>
      </c>
      <c r="B1666" s="216" t="n">
        <v>78.75</v>
      </c>
      <c r="C1666" s="216" t="n">
        <v>106.4</v>
      </c>
      <c r="D1666" s="216" t="n">
        <v>1.155282974243164</v>
      </c>
      <c r="E1666" s="215" t="n">
        <v>46171</v>
      </c>
      <c r="F1666" s="215" t="n">
        <v>46171</v>
      </c>
    </row>
    <row r="1667">
      <c r="A1667" s="215" t="n">
        <v>46174</v>
      </c>
      <c r="B1667" s="216" t="n">
        <v>93.75</v>
      </c>
      <c r="C1667" s="216" t="n">
        <v>117.04</v>
      </c>
      <c r="D1667" s="216" t="n">
        <v>1.158049941062927</v>
      </c>
      <c r="E1667" s="215" t="n">
        <v>46174</v>
      </c>
      <c r="F1667" s="215" t="n">
        <v>46174</v>
      </c>
    </row>
    <row r="1668">
      <c r="A1668" s="215" t="n">
        <v>46175</v>
      </c>
      <c r="B1668" s="216" t="n">
        <v>93</v>
      </c>
      <c r="C1668" s="216" t="n">
        <v>124.6</v>
      </c>
      <c r="D1668" s="216" t="n">
        <v>1.158406972885132</v>
      </c>
      <c r="E1668" s="215" t="n">
        <v>46175</v>
      </c>
      <c r="F1668" s="215" t="n">
        <v>46175</v>
      </c>
    </row>
    <row r="1669">
      <c r="A1669" s="215" t="n">
        <v>46176</v>
      </c>
      <c r="B1669" s="216" t="n">
        <v>88.25</v>
      </c>
      <c r="C1669" s="216" t="n">
        <v>117.6</v>
      </c>
      <c r="D1669" s="216" t="n">
        <v>1.15879499912262</v>
      </c>
      <c r="E1669" s="215" t="n">
        <v>46176</v>
      </c>
      <c r="F1669" s="215" t="n">
        <v>46176</v>
      </c>
    </row>
    <row r="1670">
      <c r="A1670" s="215" t="n">
        <v>46177</v>
      </c>
      <c r="B1670" s="216" t="n">
        <v>82.15000000000001</v>
      </c>
      <c r="C1670" s="216" t="n">
        <v>114.45</v>
      </c>
      <c r="D1670" s="216" t="n">
        <v>1.157420039176941</v>
      </c>
      <c r="E1670" s="215" t="n">
        <v>46177</v>
      </c>
      <c r="F1670" s="215" t="n">
        <v>46177</v>
      </c>
    </row>
    <row r="1671">
      <c r="A1671" s="215" t="n">
        <v>46178</v>
      </c>
      <c r="B1671" s="216" t="n">
        <v>76.5</v>
      </c>
      <c r="C1671" s="216" t="n">
        <v>107.54</v>
      </c>
      <c r="D1671" s="216" t="n">
        <v>1.156491994857788</v>
      </c>
      <c r="E1671" s="215" t="n">
        <v>46178</v>
      </c>
      <c r="F1671" s="215" t="n">
        <v>46178</v>
      </c>
    </row>
    <row r="1672">
      <c r="A1672" s="215" t="n">
        <v>46181</v>
      </c>
      <c r="B1672" s="216" t="n">
        <v>74.09999999999999</v>
      </c>
      <c r="C1672" s="216" t="n">
        <v>99.18000000000001</v>
      </c>
      <c r="D1672" s="216" t="n">
        <v>1.157665967941284</v>
      </c>
      <c r="E1672" s="215" t="n">
        <v>46181</v>
      </c>
      <c r="F1672" s="215" t="n">
        <v>46181</v>
      </c>
    </row>
    <row r="1673">
      <c r="A1673" s="215" t="n">
        <v>46182</v>
      </c>
      <c r="B1673" s="216" t="n">
        <v>82</v>
      </c>
      <c r="C1673" s="216" t="n">
        <v>102.51</v>
      </c>
      <c r="D1673" s="216" t="n">
        <v>1.158027052879333</v>
      </c>
      <c r="E1673" s="215" t="n">
        <v>46182</v>
      </c>
      <c r="F1673" s="215" t="n">
        <v>46182</v>
      </c>
    </row>
    <row r="1674">
      <c r="A1674" s="215" t="n">
        <v>46183</v>
      </c>
      <c r="B1674" s="216" t="n">
        <v>81</v>
      </c>
      <c r="C1674" s="216" t="n">
        <v>103.17</v>
      </c>
      <c r="D1674" s="216" t="n">
        <v>1.157112002372742</v>
      </c>
      <c r="E1674" s="215" t="n">
        <v>46183</v>
      </c>
      <c r="F1674" s="215" t="n">
        <v>46183</v>
      </c>
    </row>
    <row r="1675">
      <c r="A1675" s="215" t="n">
        <v>46184</v>
      </c>
      <c r="B1675" s="216" t="n">
        <v>79.95</v>
      </c>
      <c r="C1675" s="216" t="n">
        <v>104.78</v>
      </c>
      <c r="D1675" s="216" t="n">
        <v>1.156929016113281</v>
      </c>
      <c r="E1675" s="215" t="n">
        <v>46184</v>
      </c>
      <c r="F1675" s="215" t="n">
        <v>46184</v>
      </c>
    </row>
    <row r="1676">
      <c r="A1676" s="215" t="n">
        <v>46185</v>
      </c>
      <c r="B1676" s="216" t="n">
        <v>78.5</v>
      </c>
      <c r="C1676" s="216" t="n">
        <v>102.77</v>
      </c>
      <c r="D1676" s="216" t="n">
        <v>1.156345963478088</v>
      </c>
      <c r="E1676" s="215" t="n">
        <v>46185</v>
      </c>
      <c r="F1676" s="215" t="n">
        <v>46185</v>
      </c>
    </row>
    <row r="1677">
      <c r="A1677" s="215" t="n">
        <v>46188</v>
      </c>
      <c r="B1677" s="216" t="n">
        <v>82.55</v>
      </c>
      <c r="C1677" s="216" t="n">
        <v>106.21</v>
      </c>
      <c r="D1677" s="216" t="n">
        <v>1.156880021095276</v>
      </c>
      <c r="E1677" s="215" t="n">
        <v>46188</v>
      </c>
      <c r="F1677" s="215" t="n">
        <v>46188</v>
      </c>
    </row>
    <row r="1678">
      <c r="A1678" s="215" t="n">
        <v>46189</v>
      </c>
      <c r="B1678" s="216" t="n">
        <v>79.05</v>
      </c>
      <c r="C1678" s="216" t="n">
        <v>105.97</v>
      </c>
      <c r="D1678" s="216" t="n">
        <v>1.158604025840759</v>
      </c>
      <c r="E1678" s="215" t="n">
        <v>46189</v>
      </c>
      <c r="F1678" s="215" t="n">
        <v>46189</v>
      </c>
    </row>
    <row r="1679">
      <c r="A1679" s="215" t="n">
        <v>46190</v>
      </c>
      <c r="B1679" s="216" t="n">
        <v>82.15000000000001</v>
      </c>
      <c r="C1679" s="216" t="n">
        <v>79.45999999999999</v>
      </c>
      <c r="D1679" s="216" t="n">
        <v>1.158974051475525</v>
      </c>
      <c r="E1679" s="215" t="n">
        <v>46190</v>
      </c>
      <c r="F1679" s="215" t="n">
        <v>46190</v>
      </c>
    </row>
    <row r="1680">
      <c r="A1680" s="215" t="n">
        <v>46191</v>
      </c>
      <c r="B1680" s="216" t="n">
        <v>79.5</v>
      </c>
      <c r="C1680" s="216" t="n">
        <v>80.40000000000001</v>
      </c>
      <c r="D1680" s="216" t="n">
        <v>1.159355998039246</v>
      </c>
      <c r="E1680" s="215" t="n">
        <v>46191</v>
      </c>
      <c r="F1680" s="215" t="n">
        <v>46191</v>
      </c>
    </row>
    <row r="1681">
      <c r="A1681" s="215" t="n">
        <v>46195</v>
      </c>
      <c r="B1681" s="216" t="n">
        <v>74.55</v>
      </c>
      <c r="C1681" s="216" t="n">
        <v>79.36</v>
      </c>
      <c r="D1681" s="216" t="n">
        <v>1.157493948936462</v>
      </c>
      <c r="E1681" s="215" t="n">
        <v>46195</v>
      </c>
      <c r="F1681" s="215" t="n">
        <v>46195</v>
      </c>
    </row>
    <row r="1682">
      <c r="A1682" s="215" t="n">
        <v>46196</v>
      </c>
      <c r="B1682" s="216" t="n">
        <v>68</v>
      </c>
      <c r="C1682" s="216" t="n">
        <v>76.06</v>
      </c>
      <c r="D1682" s="216" t="n">
        <v>1.156896948814392</v>
      </c>
      <c r="E1682" s="215" t="n">
        <v>46196</v>
      </c>
      <c r="F1682" s="215" t="n">
        <v>46196</v>
      </c>
    </row>
    <row r="1683">
      <c r="A1683" s="215" t="n">
        <v>46197</v>
      </c>
      <c r="B1683" s="216" t="n">
        <v>69.05</v>
      </c>
      <c r="C1683" s="216" t="n">
        <v>76.78</v>
      </c>
      <c r="D1683" s="216" t="n">
        <v>1.154508948326111</v>
      </c>
      <c r="E1683" s="215" t="n">
        <v>46197</v>
      </c>
      <c r="F1683" s="215" t="n">
        <v>46197</v>
      </c>
    </row>
    <row r="1684">
      <c r="A1684" s="215" t="n">
        <v>46198</v>
      </c>
      <c r="B1684" s="216" t="n">
        <v>69.2</v>
      </c>
      <c r="C1684" s="216" t="n">
        <v>76.94</v>
      </c>
      <c r="D1684" s="216" t="n">
        <v>1.154152035713196</v>
      </c>
      <c r="E1684" s="215" t="n">
        <v>46198</v>
      </c>
      <c r="F1684" s="215" t="n">
        <v>46198</v>
      </c>
    </row>
    <row r="1685">
      <c r="A1685" s="215" t="n">
        <v>46199</v>
      </c>
      <c r="B1685" s="216" t="n">
        <v>63.5</v>
      </c>
      <c r="C1685" s="216" t="n">
        <v>69.25</v>
      </c>
      <c r="D1685" s="216" t="n">
        <v>1.154500961303711</v>
      </c>
      <c r="E1685" s="215" t="n">
        <v>46199</v>
      </c>
      <c r="F1685" s="215" t="n">
        <v>46199</v>
      </c>
    </row>
    <row r="1686">
      <c r="A1686" s="215" t="n">
        <v>46202</v>
      </c>
      <c r="B1686" s="216" t="n">
        <v>62.4</v>
      </c>
      <c r="C1686" s="216" t="n">
        <v>68.43000000000001</v>
      </c>
      <c r="D1686" s="216" t="n">
        <v>1.153512001037598</v>
      </c>
      <c r="E1686" s="215" t="n">
        <v>46202</v>
      </c>
      <c r="F1686" s="215" t="n">
        <v>46202</v>
      </c>
    </row>
    <row r="1687">
      <c r="A1687" s="215" t="n">
        <v>46203</v>
      </c>
      <c r="B1687" s="216" t="n">
        <v>68.34999999999999</v>
      </c>
      <c r="C1687" s="216" t="n">
        <v>74.27</v>
      </c>
      <c r="D1687" s="216" t="n">
        <v>1.153959035873413</v>
      </c>
      <c r="E1687" s="215" t="n">
        <v>46203</v>
      </c>
      <c r="F1687" s="215" t="n">
        <v>46203</v>
      </c>
    </row>
    <row r="1688">
      <c r="A1688" s="215" t="n">
        <v>46205</v>
      </c>
      <c r="B1688" s="216" t="n">
        <v>61.4</v>
      </c>
      <c r="C1688" s="216" t="n">
        <v>68.67</v>
      </c>
      <c r="D1688" s="216" t="n">
        <v>1.154355049133301</v>
      </c>
      <c r="E1688" s="215" t="n">
        <v>46205</v>
      </c>
      <c r="F1688" s="215" t="n">
        <v>46205</v>
      </c>
    </row>
    <row r="1689">
      <c r="A1689" s="215" t="n">
        <v>46206</v>
      </c>
      <c r="B1689" s="216" t="n">
        <v>63.55</v>
      </c>
      <c r="C1689" s="216" t="n">
        <v>68.88</v>
      </c>
      <c r="D1689" s="216" t="n">
        <v>1.155220985412598</v>
      </c>
      <c r="E1689" s="215" t="n">
        <v>46206</v>
      </c>
      <c r="F1689" s="215" t="n">
        <v>46206</v>
      </c>
    </row>
    <row r="1690">
      <c r="A1690" s="215" t="n">
        <v>46209</v>
      </c>
      <c r="B1690" s="216" t="n">
        <v>61.9</v>
      </c>
      <c r="C1690" s="216" t="n">
        <v>71.19</v>
      </c>
      <c r="D1690" s="216" t="n">
        <v>1.155068039894104</v>
      </c>
      <c r="E1690" s="215" t="n">
        <v>46209</v>
      </c>
      <c r="F1690" s="215" t="n">
        <v>46209</v>
      </c>
    </row>
    <row r="1691">
      <c r="A1691" s="215" t="n">
        <v>46210</v>
      </c>
      <c r="B1691" s="216" t="n">
        <v>57.95</v>
      </c>
      <c r="C1691" s="216" t="n">
        <v>71.17</v>
      </c>
      <c r="D1691" s="216" t="n">
        <v>1.153807997703552</v>
      </c>
      <c r="E1691" s="215" t="n">
        <v>46210</v>
      </c>
      <c r="F1691" s="215" t="n">
        <v>46210</v>
      </c>
    </row>
    <row r="1692">
      <c r="A1692" s="215" t="n">
        <v>46211</v>
      </c>
      <c r="B1692" s="216" t="n">
        <v>68.84999999999999</v>
      </c>
      <c r="C1692" s="216" t="n">
        <v>78.29000000000001</v>
      </c>
      <c r="D1692" s="216" t="n">
        <v>1.154153943061829</v>
      </c>
      <c r="E1692" s="215" t="n">
        <v>46211</v>
      </c>
      <c r="F1692" s="215" t="n">
        <v>46211</v>
      </c>
    </row>
    <row r="1693">
      <c r="A1693" s="215" t="n">
        <v>46212</v>
      </c>
      <c r="B1693" s="216" t="n">
        <v>66.2</v>
      </c>
      <c r="C1693" s="216" t="n">
        <v>82.14</v>
      </c>
      <c r="D1693" s="216" t="n">
        <v>1.152119994163513</v>
      </c>
      <c r="E1693" s="215" t="n">
        <v>46212</v>
      </c>
      <c r="F1693" s="215" t="n">
        <v>46212</v>
      </c>
    </row>
    <row r="1694">
      <c r="A1694" s="215" t="n">
        <v>46213</v>
      </c>
      <c r="B1694" s="216" t="n">
        <v>70</v>
      </c>
      <c r="C1694" s="216" t="n">
        <v>82.8</v>
      </c>
      <c r="D1694" s="216" t="n">
        <v>1.153550028800964</v>
      </c>
      <c r="E1694" s="215" t="n">
        <v>46213</v>
      </c>
      <c r="F1694" s="215" t="n">
        <v>46213</v>
      </c>
    </row>
    <row r="1695">
      <c r="A1695" s="215" t="n">
        <v>46216</v>
      </c>
      <c r="B1695" s="216" t="n">
        <v>66.5</v>
      </c>
      <c r="C1695" s="216" t="n">
        <v>79.19</v>
      </c>
      <c r="D1695" s="216" t="n">
        <v>1.156761050224304</v>
      </c>
      <c r="E1695" s="215" t="n">
        <v>46216</v>
      </c>
      <c r="F1695" s="215" t="n">
        <v>46216</v>
      </c>
    </row>
    <row r="1696">
      <c r="A1696" s="215" t="n">
        <v>46217</v>
      </c>
      <c r="B1696" s="216" t="n">
        <v>68.8</v>
      </c>
      <c r="C1696" s="216" t="n">
        <v>77.79000000000001</v>
      </c>
      <c r="D1696" s="216" t="n">
        <v>1.155825972557068</v>
      </c>
      <c r="E1696" s="215" t="n">
        <v>46217</v>
      </c>
      <c r="F1696" s="215" t="n">
        <v>46217</v>
      </c>
    </row>
    <row r="1697">
      <c r="A1697" s="215" t="n">
        <v>46218</v>
      </c>
      <c r="B1697" s="216" t="n">
        <v>65.3</v>
      </c>
      <c r="C1697" s="216" t="n">
        <v>78.2</v>
      </c>
      <c r="D1697" s="216" t="n">
        <v>1.157556056976318</v>
      </c>
      <c r="E1697" s="215" t="n">
        <v>46218</v>
      </c>
      <c r="F1697" s="215" t="n">
        <v>46218</v>
      </c>
    </row>
    <row r="1698">
      <c r="A1698" s="215" t="n">
        <v>46219</v>
      </c>
      <c r="B1698" s="216" t="n">
        <v>62.95</v>
      </c>
      <c r="C1698" s="216" t="n">
        <v>78.66</v>
      </c>
      <c r="D1698" s="216" t="n">
        <v>1.157912969589233</v>
      </c>
      <c r="E1698" s="215" t="n">
        <v>46219</v>
      </c>
      <c r="F1698" s="215" t="n">
        <v>46219</v>
      </c>
    </row>
    <row r="1699">
      <c r="A1699" s="215" t="n">
        <v>46220</v>
      </c>
      <c r="B1699" s="216" t="n">
        <v>57.85</v>
      </c>
      <c r="C1699" s="216" t="n">
        <v>71.76000000000001</v>
      </c>
      <c r="D1699" s="216" t="n">
        <v>1.157472014427185</v>
      </c>
      <c r="E1699" s="215" t="n">
        <v>46220</v>
      </c>
      <c r="F1699" s="215" t="n">
        <v>46220</v>
      </c>
    </row>
    <row r="1700">
      <c r="A1700" s="215" t="n">
        <v>46223</v>
      </c>
      <c r="B1700" s="216" t="n">
        <v>61.45</v>
      </c>
      <c r="C1700" s="216" t="n">
        <v>73.28</v>
      </c>
      <c r="D1700" s="216" t="n">
        <v>1.157451033592224</v>
      </c>
      <c r="E1700" s="215" t="n">
        <v>46223</v>
      </c>
      <c r="F1700" s="215" t="n">
        <v>46223</v>
      </c>
    </row>
    <row r="1701">
      <c r="A1701" s="215" t="n">
        <v>46224</v>
      </c>
      <c r="B1701" s="216" t="n">
        <v>69.2</v>
      </c>
      <c r="C1701" s="216" t="n">
        <v>79.7</v>
      </c>
      <c r="D1701" s="216" t="n">
        <v>1.157506942749023</v>
      </c>
      <c r="E1701" s="215" t="n">
        <v>46224</v>
      </c>
      <c r="F1701" s="215" t="n">
        <v>46224</v>
      </c>
    </row>
    <row r="1702">
      <c r="A1702" s="215" t="n">
        <v>46225</v>
      </c>
      <c r="B1702" s="216" t="n">
        <v>74.2</v>
      </c>
      <c r="C1702" s="216" t="n">
        <v>87.67</v>
      </c>
      <c r="D1702" s="216" t="n">
        <v>1.158938050270081</v>
      </c>
      <c r="E1702" s="215" t="n">
        <v>46225</v>
      </c>
      <c r="F1702" s="215" t="n">
        <v>46225</v>
      </c>
    </row>
    <row r="1703">
      <c r="A1703" s="215" t="n">
        <v>46226</v>
      </c>
      <c r="B1703" s="216" t="n">
        <v>69.34999999999999</v>
      </c>
      <c r="C1703" s="216" t="n">
        <v>88.88</v>
      </c>
      <c r="D1703" s="216" t="n">
        <v>1.157410979270935</v>
      </c>
      <c r="E1703" s="215" t="n">
        <v>46226</v>
      </c>
      <c r="F1703" s="215" t="n">
        <v>46226</v>
      </c>
    </row>
    <row r="1704">
      <c r="A1704" s="215" t="n">
        <v>46227</v>
      </c>
      <c r="B1704" s="216" t="n">
        <v>68.34999999999999</v>
      </c>
      <c r="C1704" s="216" t="n">
        <v>88.19</v>
      </c>
      <c r="D1704" s="216" t="n">
        <v>1.15762197971344</v>
      </c>
      <c r="E1704" s="215" t="n">
        <v>46227</v>
      </c>
      <c r="F1704" s="215" t="n">
        <v>46227</v>
      </c>
    </row>
    <row r="1705">
      <c r="A1705" s="215" t="n">
        <v>46230</v>
      </c>
      <c r="B1705" s="216" t="n">
        <v>67.25</v>
      </c>
      <c r="C1705" s="216" t="n">
        <v>86.93000000000001</v>
      </c>
      <c r="D1705" s="216" t="n">
        <v>1.15789794921875</v>
      </c>
      <c r="E1705" s="215" t="n">
        <v>46230</v>
      </c>
      <c r="F1705" s="215" t="n">
        <v>46230</v>
      </c>
    </row>
    <row r="1706">
      <c r="A1706" s="215" t="n">
        <v>46231</v>
      </c>
      <c r="B1706" s="216" t="n">
        <v>63.35</v>
      </c>
      <c r="C1706" s="216" t="n">
        <v>84.16</v>
      </c>
      <c r="D1706" s="216" t="n">
        <v>1.158699035644531</v>
      </c>
      <c r="E1706" s="215" t="n">
        <v>46231</v>
      </c>
      <c r="F1706" s="215" t="n">
        <v>46231</v>
      </c>
    </row>
    <row r="1707">
      <c r="A1707" s="215" t="n">
        <v>46232</v>
      </c>
      <c r="B1707" s="216" t="n">
        <v>64.2</v>
      </c>
      <c r="C1707" s="216" t="n">
        <v>83.65000000000001</v>
      </c>
      <c r="D1707" s="216" t="n">
        <v>1.157909989356995</v>
      </c>
      <c r="E1707" s="215" t="n">
        <v>46232</v>
      </c>
      <c r="F1707" s="215" t="n">
        <v>46232</v>
      </c>
    </row>
    <row r="1708">
      <c r="A1708" s="215" t="n">
        <v>46233</v>
      </c>
      <c r="B1708" s="216" t="n">
        <v>63.5</v>
      </c>
      <c r="C1708" s="216" t="n">
        <v>78.8</v>
      </c>
      <c r="D1708" s="216" t="n">
        <v>1.158943057060242</v>
      </c>
      <c r="E1708" s="215" t="n">
        <v>46233</v>
      </c>
      <c r="F1708" s="215" t="n">
        <v>46233</v>
      </c>
    </row>
    <row r="1709">
      <c r="A1709" s="215" t="n">
        <v>46234</v>
      </c>
      <c r="B1709" s="216" t="n">
        <v>69.34999999999999</v>
      </c>
      <c r="C1709" s="216" t="n">
        <v>81.28</v>
      </c>
      <c r="D1709" s="216" t="n">
        <v>1.160945057868958</v>
      </c>
      <c r="E1709" s="215" t="n">
        <v>46234</v>
      </c>
      <c r="F1709" s="215" t="n">
        <v>46234</v>
      </c>
    </row>
    <row r="1710">
      <c r="A1710" s="215" t="n">
        <v>46237</v>
      </c>
      <c r="B1710" s="216" t="n">
        <v>64</v>
      </c>
      <c r="C1710" s="216" t="n">
        <v>73.90000000000001</v>
      </c>
      <c r="D1710" s="216" t="n">
        <v>1.161579966545105</v>
      </c>
      <c r="E1710" s="215" t="n">
        <v>46237</v>
      </c>
      <c r="F1710" s="215" t="n">
        <v>46237</v>
      </c>
    </row>
    <row r="1711">
      <c r="A1711" s="215" t="n">
        <v>46238</v>
      </c>
      <c r="B1711" s="216" t="n">
        <v>67.84999999999999</v>
      </c>
      <c r="C1711" s="216" t="n">
        <v>76.55</v>
      </c>
      <c r="D1711" s="216" t="n">
        <v>1.161064982414246</v>
      </c>
      <c r="E1711" s="215" t="n">
        <v>46238</v>
      </c>
      <c r="F1711" s="215" t="n">
        <v>46238</v>
      </c>
    </row>
    <row r="1712">
      <c r="A1712" s="215" t="n">
        <v>46239</v>
      </c>
      <c r="B1712" s="216" t="n">
        <v>69.15000000000001</v>
      </c>
      <c r="C1712" s="216" t="n">
        <v>80.04000000000001</v>
      </c>
      <c r="D1712" s="216" t="n">
        <v>1.161146998405457</v>
      </c>
      <c r="E1712" s="215" t="n">
        <v>46239</v>
      </c>
      <c r="F1712" s="215" t="n">
        <v>46239</v>
      </c>
    </row>
    <row r="1713">
      <c r="A1713" s="215" t="n">
        <v>46240</v>
      </c>
      <c r="B1713" s="216" t="n">
        <v>69.09999999999999</v>
      </c>
      <c r="C1713" s="216" t="n">
        <v>81.23</v>
      </c>
      <c r="D1713" s="216" t="n">
        <v>1.161936044692993</v>
      </c>
      <c r="E1713" s="215" t="n">
        <v>46240</v>
      </c>
      <c r="F1713" s="215" t="n">
        <v>46240</v>
      </c>
    </row>
    <row r="1714">
      <c r="A1714" s="215" t="n">
        <v>46241</v>
      </c>
      <c r="B1714" s="216" t="n">
        <v>70.65000000000001</v>
      </c>
      <c r="C1714" s="216" t="n">
        <v>81.81</v>
      </c>
      <c r="D1714" s="216" t="n">
        <v>1.162284016609192</v>
      </c>
      <c r="E1714" s="215" t="n">
        <v>46241</v>
      </c>
      <c r="F1714" s="215" t="n">
        <v>46241</v>
      </c>
    </row>
    <row r="1715">
      <c r="A1715" s="215" t="n">
        <v>46244</v>
      </c>
      <c r="B1715" s="216" t="n">
        <v>71.7</v>
      </c>
      <c r="C1715" s="216" t="n">
        <v>80.81</v>
      </c>
      <c r="D1715" s="216" t="n">
        <v>1.162629961967468</v>
      </c>
      <c r="E1715" s="215" t="n">
        <v>46244</v>
      </c>
      <c r="F1715" s="215" t="n">
        <v>46244</v>
      </c>
    </row>
    <row r="1716">
      <c r="A1716" s="215" t="n">
        <v>46245</v>
      </c>
      <c r="B1716" s="216" t="n">
        <v>71.25</v>
      </c>
      <c r="C1716" s="216" t="n">
        <v>80.03</v>
      </c>
      <c r="D1716" s="216" t="n">
        <v>1.162588000297546</v>
      </c>
      <c r="E1716" s="215" t="n">
        <v>46245</v>
      </c>
      <c r="F1716" s="215" t="n">
        <v>46245</v>
      </c>
    </row>
    <row r="1717">
      <c r="A1717" s="215" t="n">
        <v>46246</v>
      </c>
      <c r="B1717" s="216" t="n">
        <v>70.2</v>
      </c>
      <c r="C1717" s="216" t="n">
        <v>79.02</v>
      </c>
      <c r="D1717" s="216" t="n">
        <v>1.163135051727295</v>
      </c>
      <c r="E1717" s="215" t="n">
        <v>46246</v>
      </c>
      <c r="F1717" s="215" t="n">
        <v>46246</v>
      </c>
    </row>
    <row r="1718">
      <c r="A1718" s="215" t="n">
        <v>46247</v>
      </c>
      <c r="B1718" s="216" t="n">
        <v>77.5</v>
      </c>
      <c r="C1718" s="216" t="n">
        <v>85.97</v>
      </c>
      <c r="D1718" s="216" t="n">
        <v>1.163341045379639</v>
      </c>
      <c r="E1718" s="215" t="n">
        <v>46247</v>
      </c>
      <c r="F1718" s="215" t="n">
        <v>46247</v>
      </c>
    </row>
    <row r="1719">
      <c r="A1719" s="215" t="n">
        <v>46248</v>
      </c>
      <c r="B1719" s="216" t="n">
        <v>75.75</v>
      </c>
      <c r="C1719" s="216" t="n">
        <v>85.95999999999999</v>
      </c>
      <c r="D1719" s="216" t="n">
        <v>1.163571000099182</v>
      </c>
      <c r="E1719" s="215" t="n">
        <v>46248</v>
      </c>
      <c r="F1719" s="215" t="n">
        <v>46248</v>
      </c>
    </row>
    <row r="1720">
      <c r="A1720" s="215" t="n">
        <v>46251</v>
      </c>
      <c r="B1720" s="216" t="n">
        <v>78.2</v>
      </c>
      <c r="C1720" s="216" t="n">
        <v>86.90000000000001</v>
      </c>
      <c r="D1720" s="216" t="n">
        <v>1.163601994514465</v>
      </c>
      <c r="E1720" s="215" t="n">
        <v>46251</v>
      </c>
      <c r="F1720" s="215" t="n">
        <v>46251</v>
      </c>
    </row>
    <row r="1721">
      <c r="A1721" s="215" t="n">
        <v>46252</v>
      </c>
      <c r="B1721" s="216" t="n">
        <v>75.84999999999999</v>
      </c>
      <c r="C1721" s="216" t="n">
        <v>84.84999999999999</v>
      </c>
      <c r="D1721" s="216" t="n">
        <v>1.163733005523682</v>
      </c>
      <c r="E1721" s="215" t="n">
        <v>46252</v>
      </c>
      <c r="F1721" s="215" t="n">
        <v>46252</v>
      </c>
    </row>
    <row r="1722">
      <c r="A1722" s="215" t="n">
        <v>46253</v>
      </c>
      <c r="B1722" s="216" t="n">
        <v>71.2</v>
      </c>
      <c r="C1722" s="216" t="n">
        <v>78.09999999999999</v>
      </c>
      <c r="D1722" s="216" t="n">
        <v>1.163092017173767</v>
      </c>
      <c r="E1722" s="215" t="n">
        <v>46253</v>
      </c>
      <c r="F1722" s="215" t="n">
        <v>46253</v>
      </c>
    </row>
    <row r="1723">
      <c r="A1723" s="215" t="n">
        <v>46254</v>
      </c>
      <c r="B1723" s="216" t="n">
        <v>71</v>
      </c>
      <c r="C1723" s="216" t="n">
        <v>78.31999999999999</v>
      </c>
      <c r="D1723" s="216" t="n">
        <v>1.164932012557983</v>
      </c>
      <c r="E1723" s="215" t="n">
        <v>46254</v>
      </c>
      <c r="F1723" s="215" t="n">
        <v>46254</v>
      </c>
    </row>
    <row r="1724">
      <c r="A1724" s="215" t="n">
        <v>46255</v>
      </c>
      <c r="B1724" s="216" t="n">
        <v>74.25</v>
      </c>
      <c r="C1724" s="216" t="n">
        <v>78.23999999999999</v>
      </c>
      <c r="D1724" s="216" t="n">
        <v>1.166555047035217</v>
      </c>
      <c r="E1724" s="215" t="n">
        <v>46255</v>
      </c>
      <c r="F1724" s="215" t="n">
        <v>46255</v>
      </c>
    </row>
    <row r="1725">
      <c r="A1725" s="215" t="n">
        <v>46258</v>
      </c>
      <c r="B1725" s="216" t="n">
        <v>71.45</v>
      </c>
      <c r="C1725" s="216" t="n">
        <v>75.22</v>
      </c>
      <c r="D1725" s="216" t="n">
        <v>1.166316986083984</v>
      </c>
      <c r="E1725" s="215" t="n">
        <v>46258</v>
      </c>
      <c r="F1725" s="215" t="n">
        <v>46258</v>
      </c>
    </row>
    <row r="1726">
      <c r="A1726" s="215" t="n">
        <v>46259</v>
      </c>
      <c r="B1726" s="216" t="n">
        <v>73.55</v>
      </c>
      <c r="C1726" s="216" t="n">
        <v>75</v>
      </c>
      <c r="D1726" s="216" t="n">
        <v>1.165253043174744</v>
      </c>
      <c r="E1726" s="215" t="n">
        <v>46259</v>
      </c>
      <c r="F1726" s="215" t="n">
        <v>46259</v>
      </c>
    </row>
    <row r="1727">
      <c r="A1727" s="215" t="n">
        <v>46260</v>
      </c>
      <c r="B1727" s="216" t="n">
        <v>77.3</v>
      </c>
      <c r="C1727" s="216" t="n">
        <v>77.19</v>
      </c>
      <c r="D1727" s="216" t="n">
        <v>1.166218996047974</v>
      </c>
      <c r="E1727" s="215" t="n">
        <v>46260</v>
      </c>
      <c r="F1727" s="215" t="n">
        <v>46260</v>
      </c>
    </row>
    <row r="1728">
      <c r="A1728" s="215" t="n">
        <v>46261</v>
      </c>
      <c r="B1728" s="216" t="n">
        <v>78.25</v>
      </c>
      <c r="C1728" s="216" t="n">
        <v>78.48999999999999</v>
      </c>
      <c r="D1728" s="216" t="n">
        <v>1.165971040725708</v>
      </c>
      <c r="E1728" s="215" t="n">
        <v>46261</v>
      </c>
      <c r="F1728" s="215" t="n">
        <v>46261</v>
      </c>
    </row>
    <row r="1729">
      <c r="A1729" s="215" t="n">
        <v>46262</v>
      </c>
      <c r="B1729" s="216" t="n">
        <v>75.59999999999999</v>
      </c>
      <c r="C1729" s="216" t="n">
        <v>78.2</v>
      </c>
      <c r="D1729" s="216" t="n">
        <v>1.165799975395203</v>
      </c>
      <c r="E1729" s="215" t="n">
        <v>46262</v>
      </c>
      <c r="F1729" s="215" t="n">
        <v>46262</v>
      </c>
    </row>
    <row r="1730">
      <c r="A1730" s="215" t="n">
        <v>46265</v>
      </c>
      <c r="B1730" s="216" t="n">
        <v>78.59999999999999</v>
      </c>
      <c r="C1730" s="216" t="n">
        <v>81.59999999999999</v>
      </c>
      <c r="D1730" s="216" t="n">
        <v>1.165387988090515</v>
      </c>
      <c r="E1730" s="215" t="n">
        <v>46265</v>
      </c>
      <c r="F1730" s="215" t="n">
        <v>46265</v>
      </c>
    </row>
    <row r="1731">
      <c r="A1731" s="215" t="n">
        <v>46266</v>
      </c>
      <c r="B1731" s="216" t="n">
        <v>76.55</v>
      </c>
      <c r="C1731" s="216" t="n">
        <v>79.22</v>
      </c>
      <c r="D1731" s="216" t="n">
        <v>1.165223956108093</v>
      </c>
      <c r="E1731" s="215" t="n">
        <v>46266</v>
      </c>
      <c r="F1731" s="215" t="n">
        <v>46266</v>
      </c>
    </row>
    <row r="1732">
      <c r="A1732" s="215" t="n">
        <v>46267</v>
      </c>
      <c r="B1732" s="216" t="n">
        <v>76</v>
      </c>
      <c r="C1732" s="216" t="n">
        <v>79.84</v>
      </c>
      <c r="D1732" s="216" t="n">
        <v>1.166425943374634</v>
      </c>
      <c r="E1732" s="215" t="n">
        <v>46267</v>
      </c>
      <c r="F1732" s="215" t="n">
        <v>46267</v>
      </c>
    </row>
    <row r="1733">
      <c r="A1733" s="215" t="n">
        <v>46268</v>
      </c>
      <c r="B1733" s="216" t="n">
        <v>75.95</v>
      </c>
      <c r="C1733" s="216" t="n">
        <v>79.69</v>
      </c>
      <c r="D1733" s="216" t="n">
        <v>1.167057037353516</v>
      </c>
      <c r="E1733" s="215" t="n">
        <v>46268</v>
      </c>
      <c r="F1733" s="215" t="n">
        <v>46268</v>
      </c>
    </row>
    <row r="1734">
      <c r="A1734" s="215" t="n">
        <v>46269</v>
      </c>
      <c r="B1734" s="216" t="n">
        <v>73.75</v>
      </c>
      <c r="C1734" s="216" t="n">
        <v>75.98</v>
      </c>
      <c r="D1734" s="216" t="n">
        <v>1.166767954826355</v>
      </c>
      <c r="E1734" s="215" t="n">
        <v>46269</v>
      </c>
      <c r="F1734" s="215" t="n">
        <v>46269</v>
      </c>
    </row>
    <row r="1735">
      <c r="A1735" s="215" t="n">
        <v>46272</v>
      </c>
      <c r="B1735" s="216" t="n">
        <v>76.40000000000001</v>
      </c>
      <c r="C1735" s="216" t="n">
        <v>78.25</v>
      </c>
      <c r="D1735" s="216" t="n">
        <v>1.168081045150757</v>
      </c>
      <c r="E1735" s="215" t="n">
        <v>46272</v>
      </c>
      <c r="F1735" s="215" t="n">
        <v>46272</v>
      </c>
    </row>
    <row r="1736">
      <c r="A1736" s="215" t="n">
        <v>46273</v>
      </c>
      <c r="B1736" s="216" t="n">
        <v>72.90000000000001</v>
      </c>
      <c r="C1736" s="216" t="n">
        <v>76.13</v>
      </c>
      <c r="D1736" s="216" t="n">
        <v>1.168115019798279</v>
      </c>
      <c r="E1736" s="215" t="n">
        <v>46273</v>
      </c>
      <c r="F1736" s="215" t="n">
        <v>46273</v>
      </c>
    </row>
    <row r="1737">
      <c r="A1737" s="215" t="n">
        <v>46274</v>
      </c>
      <c r="B1737" s="216" t="n">
        <v>74.45</v>
      </c>
      <c r="C1737" s="216" t="n">
        <v>76.53</v>
      </c>
      <c r="D1737" s="216" t="n">
        <v>1.168408989906311</v>
      </c>
      <c r="E1737" s="215" t="n">
        <v>46274</v>
      </c>
      <c r="F1737" s="215" t="n">
        <v>46274</v>
      </c>
    </row>
    <row r="1738">
      <c r="A1738" s="215" t="n">
        <v>46275</v>
      </c>
      <c r="B1738" s="216" t="n">
        <v>72.34999999999999</v>
      </c>
      <c r="C1738" s="216" t="n">
        <v>75.19</v>
      </c>
      <c r="D1738" s="216" t="n">
        <v>1.168462991714478</v>
      </c>
      <c r="E1738" s="215" t="n">
        <v>46275</v>
      </c>
      <c r="F1738" s="215" t="n">
        <v>46275</v>
      </c>
    </row>
    <row r="1739">
      <c r="A1739" s="215" t="n">
        <v>46276</v>
      </c>
      <c r="B1739" s="216" t="n">
        <v>71.05</v>
      </c>
      <c r="C1739" s="216" t="n">
        <v>76.81999999999999</v>
      </c>
      <c r="D1739" s="216" t="n">
        <v>1.169165015220642</v>
      </c>
      <c r="E1739" s="215" t="n">
        <v>46276</v>
      </c>
      <c r="F1739" s="215" t="n">
        <v>46276</v>
      </c>
    </row>
    <row r="1740">
      <c r="A1740" s="215" t="n">
        <v>46279</v>
      </c>
      <c r="B1740" s="216" t="n">
        <v>67.5</v>
      </c>
      <c r="C1740" s="216" t="n">
        <v>75.98</v>
      </c>
      <c r="D1740" s="216" t="n">
        <v>1.16893994808197</v>
      </c>
      <c r="E1740" s="215" t="n">
        <v>46279</v>
      </c>
      <c r="F1740" s="215" t="n">
        <v>46279</v>
      </c>
    </row>
    <row r="1741">
      <c r="A1741" s="215" t="n">
        <v>46280</v>
      </c>
      <c r="B1741" s="216" t="n">
        <v>69</v>
      </c>
      <c r="C1741" s="216" t="n">
        <v>76.22</v>
      </c>
      <c r="D1741" s="216" t="n">
        <v>1.169121026992798</v>
      </c>
      <c r="E1741" s="215" t="n">
        <v>46280</v>
      </c>
      <c r="F1741" s="215" t="n">
        <v>46280</v>
      </c>
    </row>
    <row r="1742">
      <c r="A1742" s="215" t="n">
        <v>46281</v>
      </c>
      <c r="B1742" s="216" t="n">
        <v>70.90000000000001</v>
      </c>
      <c r="C1742" s="216" t="n">
        <v>78.37</v>
      </c>
      <c r="D1742" s="216" t="n">
        <v>1.168769955635071</v>
      </c>
      <c r="E1742" s="215" t="n">
        <v>46281</v>
      </c>
      <c r="F1742" s="215" t="n">
        <v>46281</v>
      </c>
    </row>
    <row r="1743">
      <c r="A1743" s="215" t="n">
        <v>46282</v>
      </c>
      <c r="B1743" s="216" t="n">
        <v>69.95</v>
      </c>
      <c r="C1743" s="216" t="n">
        <v>79.5</v>
      </c>
      <c r="D1743" s="216" t="n">
        <v>1.169389963150024</v>
      </c>
      <c r="E1743" s="215" t="n">
        <v>46282</v>
      </c>
      <c r="F1743" s="215" t="n">
        <v>46282</v>
      </c>
    </row>
    <row r="1744">
      <c r="A1744" s="215" t="n">
        <v>46283</v>
      </c>
      <c r="B1744" s="216" t="n">
        <v>71.55</v>
      </c>
      <c r="C1744" s="216" t="n">
        <v>80.34999999999999</v>
      </c>
      <c r="D1744" s="216" t="n">
        <v>1.16942298412323</v>
      </c>
      <c r="E1744" s="215" t="n">
        <v>46283</v>
      </c>
      <c r="F1744" s="215" t="n">
        <v>46283</v>
      </c>
    </row>
    <row r="1745">
      <c r="A1745" s="215" t="n">
        <v>46286</v>
      </c>
      <c r="B1745" s="216" t="n">
        <v>73.34999999999999</v>
      </c>
      <c r="C1745" s="216" t="n">
        <v>80.13</v>
      </c>
      <c r="D1745" s="216" t="n">
        <v>1.171280026435852</v>
      </c>
      <c r="E1745" s="215" t="n">
        <v>46286</v>
      </c>
      <c r="F1745" s="215" t="n">
        <v>46286</v>
      </c>
    </row>
    <row r="1746">
      <c r="A1746" s="215" t="n">
        <v>46287</v>
      </c>
      <c r="B1746" s="216" t="n">
        <v>71.90000000000001</v>
      </c>
      <c r="C1746" s="216" t="n">
        <v>79.93000000000001</v>
      </c>
      <c r="D1746" s="216" t="n">
        <v>1.171705007553101</v>
      </c>
      <c r="E1746" s="215" t="n">
        <v>46287</v>
      </c>
      <c r="F1746" s="215" t="n">
        <v>46287</v>
      </c>
    </row>
    <row r="1747">
      <c r="A1747" s="215" t="n">
        <v>46288</v>
      </c>
      <c r="B1747" s="216" t="n">
        <v>71.25</v>
      </c>
      <c r="C1747" s="216" t="n">
        <v>79.89</v>
      </c>
      <c r="D1747" s="216" t="n">
        <v>1.170611023902893</v>
      </c>
      <c r="E1747" s="215" t="n">
        <v>46288</v>
      </c>
      <c r="F1747" s="215" t="n">
        <v>46288</v>
      </c>
    </row>
    <row r="1748">
      <c r="A1748" s="215" t="n">
        <v>46289</v>
      </c>
      <c r="B1748" s="216" t="n">
        <v>70.84999999999999</v>
      </c>
      <c r="C1748" s="216" t="n">
        <v>79.11</v>
      </c>
      <c r="D1748" s="216" t="n">
        <v>1.16852605342865</v>
      </c>
      <c r="E1748" s="215" t="n">
        <v>46289</v>
      </c>
      <c r="F1748" s="215" t="n">
        <v>46289</v>
      </c>
    </row>
    <row r="1749">
      <c r="A1749" s="215" t="n">
        <v>46290</v>
      </c>
      <c r="B1749" s="216" t="n">
        <v>70.15000000000001</v>
      </c>
      <c r="C1749" s="216" t="n">
        <v>79.11</v>
      </c>
      <c r="D1749" s="216" t="n">
        <v>1.168424010276794</v>
      </c>
      <c r="E1749" s="215" t="n">
        <v>46289</v>
      </c>
      <c r="F1749" s="215" t="n">
        <v>46290</v>
      </c>
    </row>
    <row r="1750">
      <c r="A1750" s="215" t="n">
        <v>46293</v>
      </c>
      <c r="B1750" s="216" t="n">
        <v>67.90000000000001</v>
      </c>
      <c r="C1750" s="216" t="n">
        <v>74.84</v>
      </c>
      <c r="D1750" s="216" t="n">
        <v>1.168378949165344</v>
      </c>
      <c r="E1750" s="215" t="n">
        <v>46293</v>
      </c>
      <c r="F1750" s="215" t="n">
        <v>46293</v>
      </c>
    </row>
    <row r="1751">
      <c r="A1751" s="215" t="n">
        <v>46294</v>
      </c>
      <c r="B1751" s="216" t="n">
        <v>68.40000000000001</v>
      </c>
      <c r="C1751" s="216" t="n">
        <v>75.34999999999999</v>
      </c>
      <c r="D1751" s="216" t="n">
        <v>1.168815970420837</v>
      </c>
      <c r="E1751" s="215" t="n">
        <v>46294</v>
      </c>
      <c r="F1751" s="215" t="n">
        <v>46294</v>
      </c>
    </row>
    <row r="1752">
      <c r="A1752" s="215" t="n">
        <v>46295</v>
      </c>
      <c r="B1752" s="216" t="n">
        <v>65.8</v>
      </c>
      <c r="C1752" s="216" t="n">
        <v>74.48999999999999</v>
      </c>
      <c r="D1752" s="216" t="n">
        <v>1.17059600353241</v>
      </c>
      <c r="E1752" s="215" t="n">
        <v>46295</v>
      </c>
      <c r="F1752" s="215" t="n">
        <v>46295</v>
      </c>
    </row>
    <row r="1753">
      <c r="A1753" s="215" t="n">
        <v>46297</v>
      </c>
      <c r="B1753" s="216" t="n">
        <v>66.05</v>
      </c>
      <c r="C1753" s="216" t="n">
        <v>74.48999999999999</v>
      </c>
      <c r="D1753" s="216" t="n">
        <v>1.170220971107483</v>
      </c>
      <c r="E1753" s="215" t="n">
        <v>46295</v>
      </c>
      <c r="F1753" s="215" t="n">
        <v>46297</v>
      </c>
    </row>
    <row r="1754">
      <c r="A1754" s="215" t="n">
        <v>46259</v>
      </c>
      <c r="B1754" s="216" t="n">
        <v>100</v>
      </c>
      <c r="C1754" s="216" t="n">
        <v>134.1</v>
      </c>
      <c r="D1754" s="216" t="n">
        <v>1.165253043174744</v>
      </c>
      <c r="E1754" s="215" t="n">
        <v>46259</v>
      </c>
      <c r="F1754" s="215" t="n">
        <v>46259</v>
      </c>
    </row>
    <row r="1755">
      <c r="A1755" s="215" t="n">
        <v>46260</v>
      </c>
      <c r="B1755" s="216" t="n">
        <v>95.3</v>
      </c>
      <c r="C1755" s="216" t="n">
        <v>132.07</v>
      </c>
      <c r="D1755" s="216" t="n">
        <v>1.166218996047974</v>
      </c>
      <c r="E1755" s="215" t="n">
        <v>46260</v>
      </c>
      <c r="F1755" s="215" t="n">
        <v>46260</v>
      </c>
    </row>
    <row r="1756">
      <c r="A1756" s="215" t="n">
        <v>46261</v>
      </c>
      <c r="B1756" s="216" t="n">
        <v>101.1</v>
      </c>
      <c r="C1756" s="216" t="n">
        <v>140.48</v>
      </c>
      <c r="D1756" s="216" t="n">
        <v>1.165971040725708</v>
      </c>
      <c r="E1756" s="215" t="n">
        <v>46261</v>
      </c>
      <c r="F1756" s="215" t="n">
        <v>46261</v>
      </c>
    </row>
    <row r="1757">
      <c r="A1757" s="215" t="n">
        <v>46262</v>
      </c>
      <c r="B1757" s="216" t="n">
        <v>98.90000000000001</v>
      </c>
      <c r="C1757" s="216" t="n">
        <v>135.7</v>
      </c>
      <c r="D1757" s="216" t="n">
        <v>1.165799975395203</v>
      </c>
      <c r="E1757" s="215" t="n">
        <v>46262</v>
      </c>
      <c r="F1757" s="215" t="n">
        <v>46262</v>
      </c>
    </row>
    <row r="1758">
      <c r="A1758" s="215" t="n">
        <v>46265</v>
      </c>
      <c r="B1758" s="216" t="n">
        <v>101.5</v>
      </c>
      <c r="C1758" s="216" t="n">
        <v>139.95</v>
      </c>
      <c r="D1758" s="216" t="n">
        <v>1.165387988090515</v>
      </c>
      <c r="E1758" s="215" t="n">
        <v>46265</v>
      </c>
      <c r="F1758" s="215" t="n">
        <v>46265</v>
      </c>
    </row>
    <row r="1759">
      <c r="A1759" s="215" t="n">
        <v>46266</v>
      </c>
      <c r="B1759" s="216" t="n">
        <v>100</v>
      </c>
      <c r="C1759" s="216" t="n">
        <v>134.79</v>
      </c>
      <c r="D1759" s="216" t="n">
        <v>1.165223956108093</v>
      </c>
      <c r="E1759" s="215" t="n">
        <v>46266</v>
      </c>
      <c r="F1759" s="215" t="n">
        <v>46266</v>
      </c>
    </row>
    <row r="1760">
      <c r="A1760" s="215" t="n">
        <v>46267</v>
      </c>
      <c r="B1760" s="216" t="n">
        <v>100</v>
      </c>
      <c r="C1760" s="216" t="n">
        <v>132.37</v>
      </c>
      <c r="D1760" s="216" t="n">
        <v>1.166425943374634</v>
      </c>
      <c r="E1760" s="215" t="n">
        <v>46267</v>
      </c>
      <c r="F1760" s="215" t="n">
        <v>46267</v>
      </c>
    </row>
    <row r="1761">
      <c r="A1761" s="215" t="n">
        <v>46268</v>
      </c>
      <c r="B1761" s="216" t="n">
        <v>101</v>
      </c>
      <c r="C1761" s="216" t="n">
        <v>131.99</v>
      </c>
      <c r="D1761" s="216" t="n">
        <v>1.167057037353516</v>
      </c>
      <c r="E1761" s="215" t="n">
        <v>46268</v>
      </c>
      <c r="F1761" s="215" t="n">
        <v>46268</v>
      </c>
    </row>
    <row r="1762">
      <c r="A1762" s="215" t="n">
        <v>46269</v>
      </c>
      <c r="B1762" s="216" t="n">
        <v>100</v>
      </c>
      <c r="C1762" s="216" t="n">
        <v>127.16</v>
      </c>
      <c r="D1762" s="216" t="n">
        <v>1.166767954826355</v>
      </c>
      <c r="E1762" s="215" t="n">
        <v>46269</v>
      </c>
      <c r="F1762" s="215" t="n">
        <v>46269</v>
      </c>
    </row>
    <row r="1763">
      <c r="A1763" s="215" t="n">
        <v>46272</v>
      </c>
      <c r="B1763" s="216" t="n">
        <v>101.5</v>
      </c>
      <c r="C1763" s="216" t="n">
        <v>133.8</v>
      </c>
      <c r="D1763" s="216" t="n">
        <v>1.168081045150757</v>
      </c>
      <c r="E1763" s="215" t="n">
        <v>46272</v>
      </c>
      <c r="F1763" s="215" t="n">
        <v>46272</v>
      </c>
    </row>
    <row r="1764">
      <c r="A1764" s="215" t="n">
        <v>46273</v>
      </c>
      <c r="B1764" s="216" t="n">
        <v>100</v>
      </c>
      <c r="C1764" s="216" t="n">
        <v>133.79</v>
      </c>
      <c r="D1764" s="216" t="n">
        <v>1.168115019798279</v>
      </c>
      <c r="E1764" s="215" t="n">
        <v>46273</v>
      </c>
      <c r="F1764" s="215" t="n">
        <v>46273</v>
      </c>
    </row>
    <row r="1765">
      <c r="A1765" s="215" t="n">
        <v>46274</v>
      </c>
      <c r="B1765" s="216" t="n">
        <v>99.95</v>
      </c>
      <c r="C1765" s="216" t="n">
        <v>131.98</v>
      </c>
      <c r="D1765" s="216" t="n">
        <v>1.168408989906311</v>
      </c>
      <c r="E1765" s="215" t="n">
        <v>46274</v>
      </c>
      <c r="F1765" s="215" t="n">
        <v>46274</v>
      </c>
    </row>
    <row r="1766">
      <c r="A1766" s="215" t="n">
        <v>46275</v>
      </c>
      <c r="B1766" s="216" t="n">
        <v>98.75</v>
      </c>
      <c r="C1766" s="216" t="n">
        <v>132.45</v>
      </c>
      <c r="D1766" s="216" t="n">
        <v>1.168462991714478</v>
      </c>
      <c r="E1766" s="215" t="n">
        <v>46275</v>
      </c>
      <c r="F1766" s="215" t="n">
        <v>46275</v>
      </c>
    </row>
    <row r="1767">
      <c r="A1767" s="215" t="n">
        <v>46276</v>
      </c>
      <c r="B1767" s="216" t="n">
        <v>98</v>
      </c>
      <c r="C1767" s="216" t="n">
        <v>128.78</v>
      </c>
      <c r="D1767" s="216" t="n">
        <v>1.169165015220642</v>
      </c>
      <c r="E1767" s="215" t="n">
        <v>46276</v>
      </c>
      <c r="F1767" s="215" t="n">
        <v>46276</v>
      </c>
    </row>
    <row r="1768">
      <c r="A1768" s="215" t="n">
        <v>46279</v>
      </c>
      <c r="B1768" s="216" t="n">
        <v>94.2</v>
      </c>
      <c r="C1768" s="216" t="n">
        <v>126.32</v>
      </c>
      <c r="D1768" s="216" t="n">
        <v>1.16893994808197</v>
      </c>
      <c r="E1768" s="215" t="n">
        <v>46279</v>
      </c>
      <c r="F1768" s="215" t="n">
        <v>46279</v>
      </c>
    </row>
    <row r="1769">
      <c r="A1769" s="215" t="n">
        <v>46280</v>
      </c>
      <c r="B1769" s="216" t="n">
        <v>93.8</v>
      </c>
      <c r="C1769" s="216" t="n">
        <v>127.58</v>
      </c>
      <c r="D1769" s="216" t="n">
        <v>1.169121026992798</v>
      </c>
      <c r="E1769" s="215" t="n">
        <v>46280</v>
      </c>
      <c r="F1769" s="215" t="n">
        <v>46280</v>
      </c>
    </row>
    <row r="1770">
      <c r="A1770" s="215" t="n">
        <v>46281</v>
      </c>
      <c r="B1770" s="216" t="n">
        <v>98.8</v>
      </c>
      <c r="C1770" s="216" t="n">
        <v>134.06</v>
      </c>
      <c r="D1770" s="216" t="n">
        <v>1.168769955635071</v>
      </c>
      <c r="E1770" s="215" t="n">
        <v>46281</v>
      </c>
      <c r="F1770" s="215" t="n">
        <v>46281</v>
      </c>
    </row>
    <row r="1771">
      <c r="A1771" s="215" t="n">
        <v>46282</v>
      </c>
      <c r="B1771" s="216" t="n">
        <v>96.5</v>
      </c>
      <c r="C1771" s="216" t="n">
        <v>135.06</v>
      </c>
      <c r="D1771" s="216" t="n">
        <v>1.169389963150024</v>
      </c>
      <c r="E1771" s="215" t="n">
        <v>46282</v>
      </c>
      <c r="F1771" s="215" t="n">
        <v>46282</v>
      </c>
    </row>
    <row r="1772">
      <c r="A1772" s="215" t="n">
        <v>46283</v>
      </c>
      <c r="B1772" s="216" t="n">
        <v>100.5</v>
      </c>
      <c r="C1772" s="216" t="n">
        <v>142.97</v>
      </c>
      <c r="D1772" s="216" t="n">
        <v>1.16942298412323</v>
      </c>
      <c r="E1772" s="215" t="n">
        <v>46283</v>
      </c>
      <c r="F1772" s="215" t="n">
        <v>46283</v>
      </c>
    </row>
    <row r="1773">
      <c r="A1773" s="215" t="n">
        <v>46286</v>
      </c>
      <c r="B1773" s="216" t="n">
        <v>104.6</v>
      </c>
      <c r="C1773" s="216" t="n">
        <v>146.1</v>
      </c>
      <c r="D1773" s="216" t="n">
        <v>1.171280026435852</v>
      </c>
      <c r="E1773" s="215" t="n">
        <v>46286</v>
      </c>
      <c r="F1773" s="215" t="n">
        <v>46286</v>
      </c>
    </row>
    <row r="1774">
      <c r="A1774" s="215" t="n">
        <v>46287</v>
      </c>
      <c r="B1774" s="216" t="n">
        <v>101</v>
      </c>
      <c r="C1774" s="216" t="n">
        <v>146.1</v>
      </c>
      <c r="D1774" s="216" t="n">
        <v>1.171705007553101</v>
      </c>
      <c r="E1774" s="215" t="n">
        <v>46287</v>
      </c>
      <c r="F1774" s="215" t="n">
        <v>46287</v>
      </c>
    </row>
    <row r="1775">
      <c r="A1775" s="215" t="n">
        <v>46288</v>
      </c>
      <c r="B1775" s="216" t="n">
        <v>101.5</v>
      </c>
      <c r="C1775" s="216" t="n">
        <v>146.97</v>
      </c>
      <c r="D1775" s="216" t="n">
        <v>1.170611023902893</v>
      </c>
      <c r="E1775" s="215" t="n">
        <v>46288</v>
      </c>
      <c r="F1775" s="215" t="n">
        <v>46288</v>
      </c>
    </row>
    <row r="1776">
      <c r="A1776" s="215" t="n">
        <v>46289</v>
      </c>
      <c r="B1776" s="216" t="n">
        <v>99.2</v>
      </c>
      <c r="C1776" s="216" t="n">
        <v>140.31</v>
      </c>
      <c r="D1776" s="216" t="n">
        <v>1.16852605342865</v>
      </c>
      <c r="E1776" s="215" t="n">
        <v>46289</v>
      </c>
      <c r="F1776" s="215" t="n">
        <v>46289</v>
      </c>
    </row>
    <row r="1777">
      <c r="A1777" s="215" t="n">
        <v>46290</v>
      </c>
      <c r="B1777" s="216" t="n">
        <v>99.09999999999999</v>
      </c>
      <c r="C1777" s="216" t="n">
        <v>140.31</v>
      </c>
      <c r="D1777" s="216" t="n">
        <v>1.168424010276794</v>
      </c>
      <c r="E1777" s="215" t="n">
        <v>46289</v>
      </c>
      <c r="F1777" s="215" t="n">
        <v>46290</v>
      </c>
    </row>
    <row r="1778">
      <c r="A1778" s="215" t="n">
        <v>46293</v>
      </c>
      <c r="B1778" s="216" t="n">
        <v>92.95</v>
      </c>
      <c r="C1778" s="216" t="n">
        <v>132.26</v>
      </c>
      <c r="D1778" s="216" t="n">
        <v>1.168378949165344</v>
      </c>
      <c r="E1778" s="215" t="n">
        <v>46293</v>
      </c>
      <c r="F1778" s="215" t="n">
        <v>46293</v>
      </c>
    </row>
    <row r="1779">
      <c r="A1779" s="215" t="n">
        <v>46294</v>
      </c>
      <c r="B1779" s="216" t="n">
        <v>94.90000000000001</v>
      </c>
      <c r="C1779" s="216" t="n">
        <v>134.6</v>
      </c>
      <c r="D1779" s="216" t="n">
        <v>1.168815970420837</v>
      </c>
      <c r="E1779" s="215" t="n">
        <v>46294</v>
      </c>
      <c r="F1779" s="215" t="n">
        <v>46294</v>
      </c>
    </row>
    <row r="1780">
      <c r="A1780" s="215" t="n">
        <v>46295</v>
      </c>
      <c r="B1780" s="216" t="n">
        <v>93.55</v>
      </c>
      <c r="C1780" s="216" t="n">
        <v>129.15</v>
      </c>
      <c r="D1780" s="216" t="n">
        <v>1.17059600353241</v>
      </c>
      <c r="E1780" s="215" t="n">
        <v>46295</v>
      </c>
      <c r="F1780" s="215" t="n">
        <v>46295</v>
      </c>
    </row>
    <row r="1781">
      <c r="A1781" s="215" t="n">
        <v>46297</v>
      </c>
      <c r="B1781" s="216" t="n">
        <v>89</v>
      </c>
      <c r="C1781" s="216" t="n">
        <v>129.15</v>
      </c>
      <c r="D1781" s="216" t="n">
        <v>1.170220971107483</v>
      </c>
      <c r="E1781" s="215" t="n">
        <v>46295</v>
      </c>
      <c r="F1781" s="215" t="n">
        <v>46297</v>
      </c>
    </row>
    <row r="1782">
      <c r="A1782" s="215" t="n">
        <v>45804</v>
      </c>
      <c r="B1782" s="216" t="n">
        <v>10.68</v>
      </c>
      <c r="C1782" s="216" t="n">
        <v>14.04</v>
      </c>
      <c r="D1782" s="216" t="n">
        <v>1.087713956832886</v>
      </c>
      <c r="E1782" s="215" t="n">
        <v>45804</v>
      </c>
      <c r="F1782" s="215" t="n">
        <v>45804</v>
      </c>
    </row>
    <row r="1783">
      <c r="A1783" s="215" t="n">
        <v>45805</v>
      </c>
      <c r="B1783" s="216" t="n">
        <v>10.04</v>
      </c>
      <c r="C1783" s="216" t="n">
        <v>13.27</v>
      </c>
      <c r="D1783" s="216" t="n">
        <v>1.087921977043152</v>
      </c>
      <c r="E1783" s="215" t="n">
        <v>45805</v>
      </c>
      <c r="F1783" s="215" t="n">
        <v>45805</v>
      </c>
    </row>
    <row r="1784">
      <c r="A1784" s="215" t="n">
        <v>45806</v>
      </c>
      <c r="B1784" s="216" t="n">
        <v>10.12</v>
      </c>
      <c r="C1784" s="216" t="n">
        <v>13.56</v>
      </c>
      <c r="D1784" s="216" t="n">
        <v>1.087334990501404</v>
      </c>
      <c r="E1784" s="215" t="n">
        <v>45806</v>
      </c>
      <c r="F1784" s="215" t="n">
        <v>45806</v>
      </c>
    </row>
    <row r="1785">
      <c r="A1785" s="215" t="n">
        <v>45807</v>
      </c>
      <c r="B1785" s="216" t="n">
        <v>9.710000000000001</v>
      </c>
      <c r="C1785" s="216" t="n">
        <v>13.22</v>
      </c>
      <c r="D1785" s="216" t="n">
        <v>1.088281989097595</v>
      </c>
      <c r="E1785" s="215" t="n">
        <v>45807</v>
      </c>
      <c r="F1785" s="215" t="n">
        <v>45807</v>
      </c>
    </row>
    <row r="1786">
      <c r="A1786" s="215" t="n">
        <v>45810</v>
      </c>
      <c r="B1786" s="216" t="n">
        <v>10.28</v>
      </c>
      <c r="C1786" s="216" t="n">
        <v>13.22</v>
      </c>
      <c r="D1786" s="216" t="n">
        <v>1.088839054107666</v>
      </c>
      <c r="E1786" s="215" t="n">
        <v>45807</v>
      </c>
      <c r="F1786" s="215" t="n">
        <v>45810</v>
      </c>
    </row>
    <row r="1787">
      <c r="A1787" s="215" t="n">
        <v>45811</v>
      </c>
      <c r="B1787" s="216" t="n">
        <v>10</v>
      </c>
      <c r="C1787" s="216" t="n">
        <v>13.32</v>
      </c>
      <c r="D1787" s="216" t="n">
        <v>1.098875999450684</v>
      </c>
      <c r="E1787" s="215" t="n">
        <v>45811</v>
      </c>
      <c r="F1787" s="215" t="n">
        <v>45811</v>
      </c>
    </row>
    <row r="1788">
      <c r="A1788" s="215" t="n">
        <v>45812</v>
      </c>
      <c r="B1788" s="216" t="n">
        <v>10.02</v>
      </c>
      <c r="C1788" s="216" t="n">
        <v>13.53</v>
      </c>
      <c r="D1788" s="216" t="n">
        <v>1.092406988143921</v>
      </c>
      <c r="E1788" s="215" t="n">
        <v>45812</v>
      </c>
      <c r="F1788" s="215" t="n">
        <v>45812</v>
      </c>
    </row>
    <row r="1789">
      <c r="A1789" s="215" t="n">
        <v>45813</v>
      </c>
      <c r="B1789" s="216" t="n">
        <v>9.880000000000001</v>
      </c>
      <c r="C1789" s="216" t="n">
        <v>13.48</v>
      </c>
      <c r="D1789" s="216" t="n">
        <v>1.095829010009766</v>
      </c>
      <c r="E1789" s="215" t="n">
        <v>45813</v>
      </c>
      <c r="F1789" s="215" t="n">
        <v>45813</v>
      </c>
    </row>
    <row r="1790">
      <c r="A1790" s="215" t="n">
        <v>45814</v>
      </c>
      <c r="B1790" s="216" t="n">
        <v>9.699999999999999</v>
      </c>
      <c r="C1790" s="216" t="n">
        <v>13.27</v>
      </c>
      <c r="D1790" s="216" t="n">
        <v>1.093296051025391</v>
      </c>
      <c r="E1790" s="215" t="n">
        <v>45814</v>
      </c>
      <c r="F1790" s="215" t="n">
        <v>45814</v>
      </c>
    </row>
    <row r="1791">
      <c r="A1791" s="215" t="n">
        <v>45817</v>
      </c>
      <c r="B1791" s="216" t="n">
        <v>9.81</v>
      </c>
      <c r="C1791" s="216" t="n">
        <v>13.69</v>
      </c>
      <c r="D1791" s="216" t="n">
        <v>1.091297030448914</v>
      </c>
      <c r="E1791" s="215" t="n">
        <v>45817</v>
      </c>
      <c r="F1791" s="215" t="n">
        <v>45817</v>
      </c>
    </row>
    <row r="1792">
      <c r="A1792" s="215" t="n">
        <v>45818</v>
      </c>
      <c r="B1792" s="216" t="n">
        <v>9.800000000000001</v>
      </c>
      <c r="C1792" s="216" t="n">
        <v>13.42</v>
      </c>
      <c r="D1792" s="216" t="n">
        <v>1.092790007591248</v>
      </c>
      <c r="E1792" s="215" t="n">
        <v>45818</v>
      </c>
      <c r="F1792" s="215" t="n">
        <v>45818</v>
      </c>
    </row>
    <row r="1793">
      <c r="A1793" s="215" t="n">
        <v>45819</v>
      </c>
      <c r="B1793" s="216" t="n">
        <v>9.869999999999999</v>
      </c>
      <c r="C1793" s="216" t="n">
        <v>13.54</v>
      </c>
      <c r="D1793" s="216" t="n">
        <v>1.092836976051331</v>
      </c>
      <c r="E1793" s="215" t="n">
        <v>45819</v>
      </c>
      <c r="F1793" s="215" t="n">
        <v>45819</v>
      </c>
    </row>
    <row r="1794">
      <c r="A1794" s="215" t="n">
        <v>45820</v>
      </c>
      <c r="B1794" s="216" t="n">
        <v>10.06</v>
      </c>
      <c r="C1794" s="216" t="n">
        <v>13.63</v>
      </c>
      <c r="D1794" s="216" t="n">
        <v>1.090999960899353</v>
      </c>
      <c r="E1794" s="215" t="n">
        <v>45820</v>
      </c>
      <c r="F1794" s="215" t="n">
        <v>45820</v>
      </c>
    </row>
    <row r="1795">
      <c r="A1795" s="215" t="n">
        <v>45821</v>
      </c>
      <c r="B1795" s="216" t="n">
        <v>9.85</v>
      </c>
      <c r="C1795" s="216" t="n">
        <v>13.2</v>
      </c>
      <c r="D1795" s="216" t="n">
        <v>1.091084957122803</v>
      </c>
      <c r="E1795" s="215" t="n">
        <v>45821</v>
      </c>
      <c r="F1795" s="215" t="n">
        <v>45821</v>
      </c>
    </row>
    <row r="1796">
      <c r="A1796" s="215" t="n">
        <v>45824</v>
      </c>
      <c r="B1796" s="216" t="n">
        <v>10.28</v>
      </c>
      <c r="C1796" s="216" t="n">
        <v>13.58</v>
      </c>
      <c r="D1796" s="216" t="n">
        <v>1.092895984649658</v>
      </c>
      <c r="E1796" s="215" t="n">
        <v>45824</v>
      </c>
      <c r="F1796" s="215" t="n">
        <v>45824</v>
      </c>
    </row>
    <row r="1797">
      <c r="A1797" s="215" t="n">
        <v>45825</v>
      </c>
      <c r="B1797" s="216" t="n">
        <v>10.2</v>
      </c>
      <c r="C1797" s="216" t="n">
        <v>13.36</v>
      </c>
      <c r="D1797" s="216" t="n">
        <v>1.093256950378418</v>
      </c>
      <c r="E1797" s="215" t="n">
        <v>45825</v>
      </c>
      <c r="F1797" s="215" t="n">
        <v>45825</v>
      </c>
    </row>
    <row r="1798">
      <c r="A1798" s="215" t="n">
        <v>45826</v>
      </c>
      <c r="B1798" s="216" t="n">
        <v>10.1</v>
      </c>
      <c r="C1798" s="216" t="n">
        <v>13.28</v>
      </c>
      <c r="D1798" s="216" t="n">
        <v>1.092421054840088</v>
      </c>
      <c r="E1798" s="215" t="n">
        <v>45826</v>
      </c>
      <c r="F1798" s="215" t="n">
        <v>45826</v>
      </c>
    </row>
    <row r="1799">
      <c r="A1799" s="215" t="n">
        <v>45827</v>
      </c>
      <c r="B1799" s="216" t="n">
        <v>9.98</v>
      </c>
      <c r="C1799" s="216" t="n">
        <v>13.06</v>
      </c>
      <c r="D1799" s="216" t="n">
        <v>1.091722011566162</v>
      </c>
      <c r="E1799" s="215" t="n">
        <v>45827</v>
      </c>
      <c r="F1799" s="215" t="n">
        <v>45827</v>
      </c>
    </row>
    <row r="1800">
      <c r="A1800" s="215" t="n">
        <v>45828</v>
      </c>
      <c r="B1800" s="216" t="n">
        <v>10.02</v>
      </c>
      <c r="C1800" s="216" t="n">
        <v>12.83</v>
      </c>
      <c r="D1800" s="216" t="n">
        <v>1.091766953468323</v>
      </c>
      <c r="E1800" s="215" t="n">
        <v>45828</v>
      </c>
      <c r="F1800" s="215" t="n">
        <v>45828</v>
      </c>
    </row>
    <row r="1801">
      <c r="A1801" s="215" t="n">
        <v>45831</v>
      </c>
      <c r="B1801" s="216" t="n">
        <v>10.36</v>
      </c>
      <c r="C1801" s="216" t="n">
        <v>13</v>
      </c>
      <c r="D1801" s="216" t="n">
        <v>1.091856002807617</v>
      </c>
      <c r="E1801" s="215" t="n">
        <v>45831</v>
      </c>
      <c r="F1801" s="215" t="n">
        <v>45831</v>
      </c>
    </row>
    <row r="1802">
      <c r="A1802" s="215" t="n">
        <v>45832</v>
      </c>
      <c r="B1802" s="216" t="n">
        <v>10.76</v>
      </c>
      <c r="C1802" s="216" t="n">
        <v>13.26</v>
      </c>
      <c r="D1802" s="216" t="n">
        <v>1.093309044837952</v>
      </c>
      <c r="E1802" s="215" t="n">
        <v>45832</v>
      </c>
      <c r="F1802" s="215" t="n">
        <v>45832</v>
      </c>
    </row>
    <row r="1803">
      <c r="A1803" s="215" t="n">
        <v>45833</v>
      </c>
      <c r="B1803" s="216" t="n">
        <v>11.16</v>
      </c>
      <c r="C1803" s="216" t="n">
        <v>13.35</v>
      </c>
      <c r="D1803" s="216" t="n">
        <v>1.094483971595764</v>
      </c>
      <c r="E1803" s="215" t="n">
        <v>45833</v>
      </c>
      <c r="F1803" s="215" t="n">
        <v>45833</v>
      </c>
    </row>
    <row r="1804">
      <c r="A1804" s="215" t="n">
        <v>45834</v>
      </c>
      <c r="B1804" s="216" t="n">
        <v>11.8</v>
      </c>
      <c r="C1804" s="216" t="n">
        <v>14.04</v>
      </c>
      <c r="D1804" s="216" t="n">
        <v>1.093523025512695</v>
      </c>
      <c r="E1804" s="215" t="n">
        <v>45834</v>
      </c>
      <c r="F1804" s="215" t="n">
        <v>45834</v>
      </c>
    </row>
    <row r="1805">
      <c r="A1805" s="215" t="n">
        <v>45835</v>
      </c>
      <c r="B1805" s="216" t="n">
        <v>11.82</v>
      </c>
      <c r="C1805" s="216" t="n">
        <v>13.96</v>
      </c>
      <c r="D1805" s="216" t="n">
        <v>1.095173001289368</v>
      </c>
      <c r="E1805" s="215" t="n">
        <v>45835</v>
      </c>
      <c r="F1805" s="215" t="n">
        <v>45835</v>
      </c>
    </row>
    <row r="1806">
      <c r="A1806" s="215" t="n">
        <v>45838</v>
      </c>
      <c r="B1806" s="216" t="n">
        <v>12.62</v>
      </c>
      <c r="C1806" s="216" t="n">
        <v>14.26</v>
      </c>
      <c r="D1806" s="216" t="n">
        <v>1.094328045845032</v>
      </c>
      <c r="E1806" s="215" t="n">
        <v>45838</v>
      </c>
      <c r="F1806" s="215" t="n">
        <v>45838</v>
      </c>
    </row>
    <row r="1807">
      <c r="A1807" s="215" t="n">
        <v>45840</v>
      </c>
      <c r="B1807" s="216" t="n">
        <v>12.8</v>
      </c>
      <c r="C1807" s="216" t="n">
        <v>14.16</v>
      </c>
      <c r="D1807" s="216" t="n">
        <v>1.095211982727051</v>
      </c>
      <c r="E1807" s="215" t="n">
        <v>45840</v>
      </c>
      <c r="F1807" s="215" t="n">
        <v>45840</v>
      </c>
    </row>
    <row r="1808">
      <c r="A1808" s="215" t="n">
        <v>45841</v>
      </c>
      <c r="B1808" s="216" t="n">
        <v>12.82</v>
      </c>
      <c r="C1808" s="216" t="n">
        <v>14.57</v>
      </c>
      <c r="D1808" s="216" t="n">
        <v>1.095422029495239</v>
      </c>
      <c r="E1808" s="215" t="n">
        <v>45841</v>
      </c>
      <c r="F1808" s="215" t="n">
        <v>45841</v>
      </c>
    </row>
    <row r="1809">
      <c r="A1809" s="215" t="n">
        <v>45842</v>
      </c>
      <c r="B1809" s="216" t="n">
        <v>13.08</v>
      </c>
      <c r="C1809" s="216" t="n">
        <v>14.6</v>
      </c>
      <c r="D1809" s="216" t="n">
        <v>1.095221042633057</v>
      </c>
      <c r="E1809" s="215" t="n">
        <v>45842</v>
      </c>
      <c r="F1809" s="215" t="n">
        <v>45842</v>
      </c>
    </row>
    <row r="1810">
      <c r="A1810" s="215" t="n">
        <v>45845</v>
      </c>
      <c r="B1810" s="216" t="n">
        <v>14.6</v>
      </c>
      <c r="C1810" s="216" t="n">
        <v>16.06</v>
      </c>
      <c r="D1810" s="216" t="n">
        <v>1.095430970191956</v>
      </c>
      <c r="E1810" s="215" t="n">
        <v>45845</v>
      </c>
      <c r="F1810" s="215" t="n">
        <v>45845</v>
      </c>
    </row>
    <row r="1811">
      <c r="A1811" s="215" t="n">
        <v>45846</v>
      </c>
      <c r="B1811" s="216" t="n">
        <v>13.86</v>
      </c>
      <c r="C1811" s="216" t="n">
        <v>16.28</v>
      </c>
      <c r="D1811" s="216" t="n">
        <v>1.093924999237061</v>
      </c>
      <c r="E1811" s="215" t="n">
        <v>45846</v>
      </c>
      <c r="F1811" s="215" t="n">
        <v>45846</v>
      </c>
    </row>
    <row r="1812">
      <c r="A1812" s="215" t="n">
        <v>45847</v>
      </c>
      <c r="B1812" s="216" t="n">
        <v>13.9</v>
      </c>
      <c r="C1812" s="216" t="n">
        <v>16.12</v>
      </c>
      <c r="D1812" s="216" t="n">
        <v>1.094220995903015</v>
      </c>
      <c r="E1812" s="215" t="n">
        <v>45847</v>
      </c>
      <c r="F1812" s="215" t="n">
        <v>45847</v>
      </c>
    </row>
    <row r="1813">
      <c r="A1813" s="215" t="n">
        <v>45848</v>
      </c>
      <c r="B1813" s="216" t="n">
        <v>13.84</v>
      </c>
      <c r="C1813" s="216" t="n">
        <v>15.82</v>
      </c>
      <c r="D1813" s="216" t="n">
        <v>1.093220949172974</v>
      </c>
      <c r="E1813" s="215" t="n">
        <v>45848</v>
      </c>
      <c r="F1813" s="215" t="n">
        <v>45848</v>
      </c>
    </row>
    <row r="1814">
      <c r="A1814" s="215" t="n">
        <v>45849</v>
      </c>
      <c r="B1814" s="216" t="n">
        <v>13.56</v>
      </c>
      <c r="C1814" s="216" t="n">
        <v>15.51</v>
      </c>
      <c r="D1814" s="216" t="n">
        <v>1.093930959701538</v>
      </c>
      <c r="E1814" s="215" t="n">
        <v>45849</v>
      </c>
      <c r="F1814" s="215" t="n">
        <v>45849</v>
      </c>
    </row>
    <row r="1815">
      <c r="A1815" s="215" t="n">
        <v>45852</v>
      </c>
      <c r="B1815" s="216" t="n">
        <v>13.68</v>
      </c>
      <c r="C1815" s="216" t="n">
        <v>15.43</v>
      </c>
      <c r="D1815" s="216" t="n">
        <v>1.095023989677429</v>
      </c>
      <c r="E1815" s="215" t="n">
        <v>45852</v>
      </c>
      <c r="F1815" s="215" t="n">
        <v>45852</v>
      </c>
    </row>
    <row r="1816">
      <c r="A1816" s="215" t="n">
        <v>45853</v>
      </c>
      <c r="B1816" s="216" t="n">
        <v>13.86</v>
      </c>
      <c r="C1816" s="216" t="n">
        <v>15.39</v>
      </c>
      <c r="D1816" s="216" t="n">
        <v>1.095172047615051</v>
      </c>
      <c r="E1816" s="215" t="n">
        <v>45853</v>
      </c>
      <c r="F1816" s="215" t="n">
        <v>45853</v>
      </c>
    </row>
    <row r="1817">
      <c r="A1817" s="215" t="n">
        <v>45854</v>
      </c>
      <c r="B1817" s="216" t="n">
        <v>14.24</v>
      </c>
      <c r="C1817" s="216" t="n">
        <v>15.49</v>
      </c>
      <c r="D1817" s="216" t="n">
        <v>1.094182014465332</v>
      </c>
      <c r="E1817" s="215" t="n">
        <v>45854</v>
      </c>
      <c r="F1817" s="215" t="n">
        <v>45854</v>
      </c>
    </row>
    <row r="1818">
      <c r="A1818" s="215" t="n">
        <v>45855</v>
      </c>
      <c r="B1818" s="216" t="n">
        <v>13.96</v>
      </c>
      <c r="C1818" s="216" t="n">
        <v>15.63</v>
      </c>
      <c r="D1818" s="216" t="n">
        <v>1.093484044075012</v>
      </c>
      <c r="E1818" s="215" t="n">
        <v>45855</v>
      </c>
      <c r="F1818" s="215" t="n">
        <v>45855</v>
      </c>
    </row>
    <row r="1819">
      <c r="A1819" s="215" t="n">
        <v>45856</v>
      </c>
      <c r="B1819" s="216" t="n">
        <v>13.78</v>
      </c>
      <c r="C1819" s="216" t="n">
        <v>15.6</v>
      </c>
      <c r="D1819" s="216" t="n">
        <v>1.092442035675049</v>
      </c>
      <c r="E1819" s="215" t="n">
        <v>45856</v>
      </c>
      <c r="F1819" s="215" t="n">
        <v>45856</v>
      </c>
    </row>
    <row r="1820">
      <c r="A1820" s="215" t="n">
        <v>45859</v>
      </c>
      <c r="B1820" s="216" t="n">
        <v>13.54</v>
      </c>
      <c r="C1820" s="216" t="n">
        <v>15.44</v>
      </c>
      <c r="D1820" s="216" t="n">
        <v>1.093299984931946</v>
      </c>
      <c r="E1820" s="215" t="n">
        <v>45859</v>
      </c>
      <c r="F1820" s="215" t="n">
        <v>45859</v>
      </c>
    </row>
    <row r="1821">
      <c r="A1821" s="215" t="n">
        <v>45860</v>
      </c>
      <c r="B1821" s="216" t="n">
        <v>13.74</v>
      </c>
      <c r="C1821" s="216" t="n">
        <v>15.29</v>
      </c>
      <c r="D1821" s="216" t="n">
        <v>1.093826055526733</v>
      </c>
      <c r="E1821" s="215" t="n">
        <v>45860</v>
      </c>
      <c r="F1821" s="215" t="n">
        <v>45860</v>
      </c>
    </row>
    <row r="1822">
      <c r="A1822" s="215" t="n">
        <v>45861</v>
      </c>
      <c r="B1822" s="216" t="n">
        <v>13.86</v>
      </c>
      <c r="C1822" s="216" t="n">
        <v>15.14</v>
      </c>
      <c r="D1822" s="216" t="n">
        <v>1.094056010246277</v>
      </c>
      <c r="E1822" s="215" t="n">
        <v>45861</v>
      </c>
      <c r="F1822" s="215" t="n">
        <v>45861</v>
      </c>
    </row>
    <row r="1823">
      <c r="A1823" s="215" t="n">
        <v>45862</v>
      </c>
      <c r="B1823" s="216" t="n">
        <v>14.76</v>
      </c>
      <c r="C1823" s="216" t="n">
        <v>15.32</v>
      </c>
      <c r="D1823" s="216" t="n">
        <v>1.096284031867981</v>
      </c>
      <c r="E1823" s="215" t="n">
        <v>45862</v>
      </c>
      <c r="F1823" s="215" t="n">
        <v>45862</v>
      </c>
    </row>
    <row r="1824">
      <c r="A1824" s="215" t="n">
        <v>45863</v>
      </c>
      <c r="B1824" s="216" t="n">
        <v>17.02</v>
      </c>
      <c r="C1824" s="216" t="n">
        <v>16.16</v>
      </c>
      <c r="D1824" s="216" t="n">
        <v>1.097048044204712</v>
      </c>
      <c r="E1824" s="215" t="n">
        <v>45863</v>
      </c>
      <c r="F1824" s="215" t="n">
        <v>45863</v>
      </c>
    </row>
    <row r="1825">
      <c r="A1825" s="215" t="n">
        <v>45866</v>
      </c>
      <c r="B1825" s="216" t="n">
        <v>16.32</v>
      </c>
      <c r="C1825" s="216" t="n">
        <v>16.7</v>
      </c>
      <c r="D1825" s="216" t="n">
        <v>1.097200989723206</v>
      </c>
      <c r="E1825" s="215" t="n">
        <v>45866</v>
      </c>
      <c r="F1825" s="215" t="n">
        <v>45866</v>
      </c>
    </row>
    <row r="1826">
      <c r="A1826" s="215" t="n">
        <v>45867</v>
      </c>
      <c r="B1826" s="216" t="n">
        <v>16.06</v>
      </c>
      <c r="C1826" s="216" t="n">
        <v>16.75</v>
      </c>
      <c r="D1826" s="216" t="n">
        <v>1.093530058860779</v>
      </c>
      <c r="E1826" s="215" t="n">
        <v>45867</v>
      </c>
      <c r="F1826" s="215" t="n">
        <v>45867</v>
      </c>
    </row>
    <row r="1827">
      <c r="A1827" s="215" t="n">
        <v>45868</v>
      </c>
      <c r="B1827" s="216" t="n">
        <v>17</v>
      </c>
      <c r="C1827" s="216" t="n">
        <v>16.6</v>
      </c>
      <c r="D1827" s="216" t="n">
        <v>1.093464970588684</v>
      </c>
      <c r="E1827" s="215" t="n">
        <v>45868</v>
      </c>
      <c r="F1827" s="215" t="n">
        <v>45868</v>
      </c>
    </row>
    <row r="1828">
      <c r="A1828" s="215" t="n">
        <v>45869</v>
      </c>
      <c r="B1828" s="216" t="n">
        <v>16.54</v>
      </c>
      <c r="C1828" s="216" t="n">
        <v>16.85</v>
      </c>
      <c r="D1828" s="216" t="n">
        <v>1.093583941459656</v>
      </c>
      <c r="E1828" s="215" t="n">
        <v>45869</v>
      </c>
      <c r="F1828" s="215" t="n">
        <v>45869</v>
      </c>
    </row>
    <row r="1829">
      <c r="A1829" s="215" t="n">
        <v>45870</v>
      </c>
      <c r="B1829" s="216" t="n">
        <v>16.16</v>
      </c>
      <c r="C1829" s="216" t="n">
        <v>16.51</v>
      </c>
      <c r="D1829" s="216" t="n">
        <v>1.090090990066528</v>
      </c>
      <c r="E1829" s="215" t="n">
        <v>45870</v>
      </c>
      <c r="F1829" s="215" t="n">
        <v>45870</v>
      </c>
    </row>
    <row r="1830">
      <c r="A1830" s="215" t="n">
        <v>45873</v>
      </c>
      <c r="B1830" s="216" t="n">
        <v>16.86</v>
      </c>
      <c r="C1830" s="216" t="n">
        <v>16.7</v>
      </c>
      <c r="D1830" s="216" t="n">
        <v>1.088384985923767</v>
      </c>
      <c r="E1830" s="215" t="n">
        <v>45873</v>
      </c>
      <c r="F1830" s="215" t="n">
        <v>45873</v>
      </c>
    </row>
    <row r="1831">
      <c r="A1831" s="215" t="n">
        <v>45874</v>
      </c>
      <c r="B1831" s="216" t="n">
        <v>17.53</v>
      </c>
      <c r="C1831" s="216" t="n">
        <v>16.72</v>
      </c>
      <c r="D1831" s="216" t="n">
        <v>1.093202948570251</v>
      </c>
      <c r="E1831" s="215" t="n">
        <v>45874</v>
      </c>
      <c r="F1831" s="215" t="n">
        <v>45874</v>
      </c>
    </row>
    <row r="1832">
      <c r="A1832" s="215" t="n">
        <v>45875</v>
      </c>
      <c r="B1832" s="216" t="n">
        <v>17.3</v>
      </c>
      <c r="C1832" s="216" t="n">
        <v>16.66</v>
      </c>
      <c r="D1832" s="216" t="n">
        <v>1.092388987541199</v>
      </c>
      <c r="E1832" s="215" t="n">
        <v>45875</v>
      </c>
      <c r="F1832" s="215" t="n">
        <v>45875</v>
      </c>
    </row>
    <row r="1833">
      <c r="A1833" s="215" t="n">
        <v>45876</v>
      </c>
      <c r="B1833" s="216" t="n">
        <v>17.44</v>
      </c>
      <c r="C1833" s="216" t="n">
        <v>16.78</v>
      </c>
      <c r="D1833" s="216" t="n">
        <v>1.092599034309387</v>
      </c>
      <c r="E1833" s="215" t="n">
        <v>45876</v>
      </c>
      <c r="F1833" s="215" t="n">
        <v>45876</v>
      </c>
    </row>
    <row r="1834">
      <c r="A1834" s="215" t="n">
        <v>45877</v>
      </c>
      <c r="B1834" s="216" t="n">
        <v>17.6</v>
      </c>
      <c r="C1834" s="216" t="n">
        <v>16.62</v>
      </c>
      <c r="D1834" s="216" t="n">
        <v>1.092857956886292</v>
      </c>
      <c r="E1834" s="215" t="n">
        <v>45877</v>
      </c>
      <c r="F1834" s="215" t="n">
        <v>45877</v>
      </c>
    </row>
    <row r="1835">
      <c r="A1835" s="215" t="n">
        <v>45880</v>
      </c>
      <c r="B1835" s="216" t="n">
        <v>17.28</v>
      </c>
      <c r="C1835" s="216" t="n">
        <v>16.76</v>
      </c>
      <c r="D1835" s="216" t="n">
        <v>1.093001961708069</v>
      </c>
      <c r="E1835" s="215" t="n">
        <v>45880</v>
      </c>
      <c r="F1835" s="215" t="n">
        <v>45880</v>
      </c>
    </row>
    <row r="1836">
      <c r="A1836" s="215" t="n">
        <v>45881</v>
      </c>
      <c r="B1836" s="216" t="n">
        <v>16.93</v>
      </c>
      <c r="C1836" s="216" t="n">
        <v>16.76</v>
      </c>
      <c r="D1836" s="216" t="n">
        <v>1.091938018798828</v>
      </c>
      <c r="E1836" s="215" t="n">
        <v>45881</v>
      </c>
      <c r="F1836" s="215" t="n">
        <v>45881</v>
      </c>
    </row>
    <row r="1837">
      <c r="A1837" s="215" t="n">
        <v>45882</v>
      </c>
      <c r="B1837" s="216" t="n">
        <v>16.88</v>
      </c>
      <c r="C1837" s="216" t="n">
        <v>16.76</v>
      </c>
      <c r="D1837" s="216" t="n">
        <v>1.093171000480652</v>
      </c>
      <c r="E1837" s="215" t="n">
        <v>45882</v>
      </c>
      <c r="F1837" s="215" t="n">
        <v>45882</v>
      </c>
    </row>
    <row r="1838">
      <c r="A1838" s="215" t="n">
        <v>45883</v>
      </c>
      <c r="B1838" s="216" t="n">
        <v>16.43</v>
      </c>
      <c r="C1838" s="216" t="n">
        <v>16.34</v>
      </c>
      <c r="D1838" s="216" t="n">
        <v>1.093981027603149</v>
      </c>
      <c r="E1838" s="215" t="n">
        <v>45883</v>
      </c>
      <c r="F1838" s="215" t="n">
        <v>45883</v>
      </c>
    </row>
    <row r="1839">
      <c r="A1839" s="215" t="n">
        <v>45884</v>
      </c>
      <c r="B1839" s="216" t="n">
        <v>17.01</v>
      </c>
      <c r="C1839" s="216" t="n">
        <v>16.5</v>
      </c>
      <c r="D1839" s="216" t="n">
        <v>1.091035962104797</v>
      </c>
      <c r="E1839" s="215" t="n">
        <v>45884</v>
      </c>
      <c r="F1839" s="215" t="n">
        <v>45884</v>
      </c>
    </row>
    <row r="1840">
      <c r="A1840" s="215" t="n">
        <v>45887</v>
      </c>
      <c r="B1840" s="216" t="n">
        <v>16.69</v>
      </c>
      <c r="C1840" s="216" t="n">
        <v>16.73</v>
      </c>
      <c r="D1840" s="216" t="n">
        <v>1.089409947395325</v>
      </c>
      <c r="E1840" s="215" t="n">
        <v>45887</v>
      </c>
      <c r="F1840" s="215" t="n">
        <v>45887</v>
      </c>
    </row>
    <row r="1841">
      <c r="A1841" s="215" t="n">
        <v>45888</v>
      </c>
      <c r="B1841" s="216" t="n">
        <v>16.31</v>
      </c>
      <c r="C1841" s="216" t="n">
        <v>16.73</v>
      </c>
      <c r="D1841" s="216" t="n">
        <v>1.088366031646729</v>
      </c>
      <c r="E1841" s="215" t="n">
        <v>45888</v>
      </c>
      <c r="F1841" s="215" t="n">
        <v>45888</v>
      </c>
    </row>
    <row r="1842">
      <c r="A1842" s="215" t="n">
        <v>45889</v>
      </c>
      <c r="B1842" s="216" t="n">
        <v>17.1</v>
      </c>
      <c r="C1842" s="216" t="n">
        <v>16.97</v>
      </c>
      <c r="D1842" s="216" t="n">
        <v>1.085826992988586</v>
      </c>
      <c r="E1842" s="215" t="n">
        <v>45889</v>
      </c>
      <c r="F1842" s="215" t="n">
        <v>45889</v>
      </c>
    </row>
    <row r="1843">
      <c r="A1843" s="215" t="n">
        <v>45890</v>
      </c>
      <c r="B1843" s="216" t="n">
        <v>17.55</v>
      </c>
      <c r="C1843" s="216" t="n">
        <v>17.57</v>
      </c>
      <c r="D1843" s="216" t="n">
        <v>1.088521003723145</v>
      </c>
      <c r="E1843" s="215" t="n">
        <v>45890</v>
      </c>
      <c r="F1843" s="215" t="n">
        <v>45890</v>
      </c>
    </row>
    <row r="1844">
      <c r="A1844" s="215" t="n">
        <v>45891</v>
      </c>
      <c r="B1844" s="216" t="n">
        <v>17.29</v>
      </c>
      <c r="C1844" s="216" t="n">
        <v>17.5</v>
      </c>
      <c r="D1844" s="216" t="n">
        <v>1.08814001083374</v>
      </c>
      <c r="E1844" s="215" t="n">
        <v>45891</v>
      </c>
      <c r="F1844" s="215" t="n">
        <v>45891</v>
      </c>
    </row>
    <row r="1845">
      <c r="A1845" s="215" t="n">
        <v>45894</v>
      </c>
      <c r="B1845" s="216" t="n">
        <v>18.33</v>
      </c>
      <c r="C1845" s="216" t="n">
        <v>18.04</v>
      </c>
      <c r="D1845" s="216" t="n">
        <v>1.090230941772461</v>
      </c>
      <c r="E1845" s="215" t="n">
        <v>45894</v>
      </c>
      <c r="F1845" s="215" t="n">
        <v>45894</v>
      </c>
    </row>
    <row r="1846">
      <c r="A1846" s="215" t="n">
        <v>45895</v>
      </c>
      <c r="B1846" s="216" t="n">
        <v>18.77</v>
      </c>
      <c r="C1846" s="216" t="n">
        <v>18.78</v>
      </c>
      <c r="D1846" s="216" t="n">
        <v>1.09236204624176</v>
      </c>
      <c r="E1846" s="215" t="n">
        <v>45895</v>
      </c>
      <c r="F1846" s="215" t="n">
        <v>45895</v>
      </c>
    </row>
    <row r="1847">
      <c r="A1847" s="215" t="n">
        <v>45896</v>
      </c>
      <c r="B1847" s="216" t="n">
        <v>18.42</v>
      </c>
      <c r="C1847" s="216" t="n">
        <v>18.21</v>
      </c>
      <c r="D1847" s="216" t="n">
        <v>1.089414000511169</v>
      </c>
      <c r="E1847" s="215" t="n">
        <v>45896</v>
      </c>
      <c r="F1847" s="215" t="n">
        <v>45896</v>
      </c>
    </row>
    <row r="1848">
      <c r="A1848" s="215" t="n">
        <v>45897</v>
      </c>
      <c r="B1848" s="216" t="n">
        <v>18.38</v>
      </c>
      <c r="C1848" s="216" t="n">
        <v>18.48</v>
      </c>
      <c r="D1848" s="216" t="n">
        <v>1.088047027587891</v>
      </c>
      <c r="E1848" s="215" t="n">
        <v>45897</v>
      </c>
      <c r="F1848" s="215" t="n">
        <v>45897</v>
      </c>
    </row>
    <row r="1849">
      <c r="A1849" s="215" t="n">
        <v>45898</v>
      </c>
      <c r="B1849" s="216" t="n">
        <v>18.05</v>
      </c>
      <c r="C1849" s="216" t="n">
        <v>17.93</v>
      </c>
      <c r="D1849" s="216" t="n">
        <v>1.089478969573975</v>
      </c>
      <c r="E1849" s="215" t="n">
        <v>45898</v>
      </c>
      <c r="F1849" s="215" t="n">
        <v>45898</v>
      </c>
    </row>
    <row r="1850">
      <c r="A1850" s="215" t="n">
        <v>45901</v>
      </c>
      <c r="B1850" s="216" t="n">
        <v>17.69</v>
      </c>
      <c r="C1850" s="216" t="n">
        <v>17.56</v>
      </c>
      <c r="D1850" s="216" t="n">
        <v>1.09319794178009</v>
      </c>
      <c r="E1850" s="215" t="n">
        <v>45901</v>
      </c>
      <c r="F1850" s="215" t="n">
        <v>45901</v>
      </c>
    </row>
    <row r="1851">
      <c r="A1851" s="215" t="n">
        <v>45902</v>
      </c>
      <c r="B1851" s="216" t="n">
        <v>17.5</v>
      </c>
      <c r="C1851" s="216" t="n">
        <v>17.43</v>
      </c>
      <c r="D1851" s="216" t="n">
        <v>1.093255043029785</v>
      </c>
      <c r="E1851" s="215" t="n">
        <v>45902</v>
      </c>
      <c r="F1851" s="215" t="n">
        <v>45902</v>
      </c>
    </row>
    <row r="1852">
      <c r="A1852" s="215" t="n">
        <v>45903</v>
      </c>
      <c r="B1852" s="216" t="n">
        <v>18.22</v>
      </c>
      <c r="C1852" s="216" t="n">
        <v>16.97</v>
      </c>
      <c r="D1852" s="216" t="n">
        <v>1.09343695640564</v>
      </c>
      <c r="E1852" s="215" t="n">
        <v>45903</v>
      </c>
      <c r="F1852" s="215" t="n">
        <v>45903</v>
      </c>
    </row>
    <row r="1853">
      <c r="A1853" s="215" t="n">
        <v>45904</v>
      </c>
      <c r="B1853" s="216" t="n">
        <v>17.47</v>
      </c>
      <c r="C1853" s="216" t="n">
        <v>16.66</v>
      </c>
      <c r="D1853" s="216" t="n">
        <v>1.092192053794861</v>
      </c>
      <c r="E1853" s="215" t="n">
        <v>45904</v>
      </c>
      <c r="F1853" s="215" t="n">
        <v>45904</v>
      </c>
    </row>
    <row r="1854">
      <c r="A1854" s="215" t="n">
        <v>45905</v>
      </c>
      <c r="B1854" s="216" t="n">
        <v>17.74</v>
      </c>
      <c r="C1854" s="216" t="n">
        <v>16.93</v>
      </c>
      <c r="D1854" s="216" t="n">
        <v>1.092169046401978</v>
      </c>
      <c r="E1854" s="215" t="n">
        <v>45905</v>
      </c>
      <c r="F1854" s="215" t="n">
        <v>45905</v>
      </c>
    </row>
    <row r="1855">
      <c r="A1855" s="215" t="n">
        <v>45908</v>
      </c>
      <c r="B1855" s="216" t="n">
        <v>17.74</v>
      </c>
      <c r="C1855" s="216" t="n">
        <v>16.95</v>
      </c>
      <c r="D1855" s="216" t="n">
        <v>1.093217015266418</v>
      </c>
      <c r="E1855" s="215" t="n">
        <v>45908</v>
      </c>
      <c r="F1855" s="215" t="n">
        <v>45908</v>
      </c>
    </row>
    <row r="1856">
      <c r="A1856" s="215" t="n">
        <v>45909</v>
      </c>
      <c r="B1856" s="216" t="n">
        <v>18.2</v>
      </c>
      <c r="C1856" s="216" t="n">
        <v>16.94</v>
      </c>
      <c r="D1856" s="216" t="n">
        <v>1.092916965484619</v>
      </c>
      <c r="E1856" s="215" t="n">
        <v>45909</v>
      </c>
      <c r="F1856" s="215" t="n">
        <v>45909</v>
      </c>
    </row>
    <row r="1857">
      <c r="A1857" s="215" t="n">
        <v>45910</v>
      </c>
      <c r="B1857" s="216" t="n">
        <v>18</v>
      </c>
      <c r="C1857" s="216" t="n">
        <v>16.86</v>
      </c>
      <c r="D1857" s="216" t="n">
        <v>1.093482971191406</v>
      </c>
      <c r="E1857" s="215" t="n">
        <v>45910</v>
      </c>
      <c r="F1857" s="215" t="n">
        <v>45910</v>
      </c>
    </row>
    <row r="1858">
      <c r="A1858" s="215" t="n">
        <v>45911</v>
      </c>
      <c r="B1858" s="216" t="n">
        <v>18.1</v>
      </c>
      <c r="C1858" s="216" t="n">
        <v>16.89</v>
      </c>
      <c r="D1858" s="216" t="n">
        <v>1.093762993812561</v>
      </c>
      <c r="E1858" s="215" t="n">
        <v>45911</v>
      </c>
      <c r="F1858" s="215" t="n">
        <v>45911</v>
      </c>
    </row>
    <row r="1859">
      <c r="A1859" s="215" t="n">
        <v>45912</v>
      </c>
      <c r="B1859" s="216" t="n">
        <v>17.86</v>
      </c>
      <c r="C1859" s="216" t="n">
        <v>16.66</v>
      </c>
      <c r="D1859" s="216" t="n">
        <v>1.094014048576355</v>
      </c>
      <c r="E1859" s="215" t="n">
        <v>45912</v>
      </c>
      <c r="F1859" s="215" t="n">
        <v>45912</v>
      </c>
    </row>
    <row r="1860">
      <c r="A1860" s="215" t="n">
        <v>45915</v>
      </c>
      <c r="B1860" s="216" t="n">
        <v>17.98</v>
      </c>
      <c r="C1860" s="216" t="n">
        <v>16.67</v>
      </c>
      <c r="D1860" s="216" t="n">
        <v>1.091848969459534</v>
      </c>
      <c r="E1860" s="215" t="n">
        <v>45915</v>
      </c>
      <c r="F1860" s="215" t="n">
        <v>45915</v>
      </c>
    </row>
    <row r="1861">
      <c r="A1861" s="215" t="n">
        <v>45916</v>
      </c>
      <c r="B1861" s="216" t="n">
        <v>18.04</v>
      </c>
      <c r="C1861" s="216" t="n">
        <v>17.01</v>
      </c>
      <c r="D1861" s="216" t="n">
        <v>1.092795968055725</v>
      </c>
      <c r="E1861" s="215" t="n">
        <v>45916</v>
      </c>
      <c r="F1861" s="215" t="n">
        <v>45916</v>
      </c>
    </row>
    <row r="1862">
      <c r="A1862" s="215" t="n">
        <v>45917</v>
      </c>
      <c r="B1862" s="216" t="n">
        <v>17.66</v>
      </c>
      <c r="C1862" s="216" t="n">
        <v>17.7</v>
      </c>
      <c r="D1862" s="216" t="n">
        <v>1.093690991401672</v>
      </c>
      <c r="E1862" s="215" t="n">
        <v>45917</v>
      </c>
      <c r="F1862" s="215" t="n">
        <v>45917</v>
      </c>
    </row>
    <row r="1863">
      <c r="A1863" s="215" t="n">
        <v>45918</v>
      </c>
      <c r="B1863" s="216" t="n">
        <v>18.13</v>
      </c>
      <c r="C1863" s="216" t="n">
        <v>18.15</v>
      </c>
      <c r="D1863" s="216" t="n">
        <v>1.094727993011475</v>
      </c>
      <c r="E1863" s="215" t="n">
        <v>45918</v>
      </c>
      <c r="F1863" s="215" t="n">
        <v>45918</v>
      </c>
    </row>
    <row r="1864">
      <c r="A1864" s="215" t="n">
        <v>45919</v>
      </c>
      <c r="B1864" s="216" t="n">
        <v>18.47</v>
      </c>
      <c r="C1864" s="216" t="n">
        <v>17.85</v>
      </c>
      <c r="D1864" s="216" t="n">
        <v>1.093201994895935</v>
      </c>
      <c r="E1864" s="215" t="n">
        <v>45919</v>
      </c>
      <c r="F1864" s="215" t="n">
        <v>45919</v>
      </c>
    </row>
    <row r="1865">
      <c r="A1865" s="215" t="n">
        <v>45922</v>
      </c>
      <c r="B1865" s="216" t="n">
        <v>18.39</v>
      </c>
      <c r="C1865" s="216" t="n">
        <v>18.43</v>
      </c>
      <c r="D1865" s="216" t="n">
        <v>1.092589020729065</v>
      </c>
      <c r="E1865" s="215" t="n">
        <v>45922</v>
      </c>
      <c r="F1865" s="215" t="n">
        <v>45922</v>
      </c>
    </row>
    <row r="1866">
      <c r="A1866" s="215" t="n">
        <v>45923</v>
      </c>
      <c r="B1866" s="216" t="n">
        <v>17.85</v>
      </c>
      <c r="C1866" s="216" t="n">
        <v>18.35</v>
      </c>
      <c r="D1866" s="216" t="n">
        <v>1.0920250415802</v>
      </c>
      <c r="E1866" s="215" t="n">
        <v>45923</v>
      </c>
      <c r="F1866" s="215" t="n">
        <v>45923</v>
      </c>
    </row>
    <row r="1867">
      <c r="A1867" s="215" t="n">
        <v>45924</v>
      </c>
      <c r="B1867" s="216" t="n">
        <v>18.4</v>
      </c>
      <c r="C1867" s="216" t="n">
        <v>19.04</v>
      </c>
      <c r="D1867" s="216" t="n">
        <v>1.093196988105774</v>
      </c>
      <c r="E1867" s="215" t="n">
        <v>45924</v>
      </c>
      <c r="F1867" s="215" t="n">
        <v>45924</v>
      </c>
    </row>
    <row r="1868">
      <c r="A1868" s="215" t="n">
        <v>45925</v>
      </c>
      <c r="B1868" s="216" t="n">
        <v>17.95</v>
      </c>
      <c r="C1868" s="216" t="n">
        <v>18.94</v>
      </c>
      <c r="D1868" s="216" t="n">
        <v>1.090371012687683</v>
      </c>
      <c r="E1868" s="215" t="n">
        <v>45925</v>
      </c>
      <c r="F1868" s="215" t="n">
        <v>45925</v>
      </c>
    </row>
    <row r="1869">
      <c r="A1869" s="215" t="n">
        <v>45926</v>
      </c>
      <c r="B1869" s="216" t="n">
        <v>17.78</v>
      </c>
      <c r="C1869" s="216" t="n">
        <v>20.83</v>
      </c>
      <c r="D1869" s="216" t="n">
        <v>1.090574979782104</v>
      </c>
      <c r="E1869" s="215" t="n">
        <v>45926</v>
      </c>
      <c r="F1869" s="215" t="n">
        <v>45926</v>
      </c>
    </row>
    <row r="1870">
      <c r="A1870" s="215" t="n">
        <v>45929</v>
      </c>
      <c r="B1870" s="216" t="n">
        <v>15.56</v>
      </c>
      <c r="C1870" s="216" t="n">
        <v>18.76</v>
      </c>
      <c r="D1870" s="216" t="n">
        <v>1.090520024299622</v>
      </c>
      <c r="E1870" s="215" t="n">
        <v>45929</v>
      </c>
      <c r="F1870" s="215" t="n">
        <v>45929</v>
      </c>
    </row>
    <row r="1871">
      <c r="A1871" s="215" t="n">
        <v>45930</v>
      </c>
      <c r="B1871" s="216" t="n">
        <v>15.2</v>
      </c>
      <c r="C1871" s="216" t="n">
        <v>18.58</v>
      </c>
      <c r="D1871" s="216" t="n">
        <v>1.093106031417847</v>
      </c>
      <c r="E1871" s="215" t="n">
        <v>45930</v>
      </c>
      <c r="F1871" s="215" t="n">
        <v>45930</v>
      </c>
    </row>
    <row r="1872">
      <c r="A1872" s="215" t="n">
        <v>45932</v>
      </c>
      <c r="B1872" s="216" t="n">
        <v>16</v>
      </c>
      <c r="C1872" s="216" t="n">
        <v>18.58</v>
      </c>
      <c r="D1872" s="216" t="n">
        <v>1.092823028564453</v>
      </c>
      <c r="E1872" s="215" t="n">
        <v>45930</v>
      </c>
      <c r="F1872" s="215" t="n">
        <v>45932</v>
      </c>
    </row>
    <row r="1873">
      <c r="A1873" s="215" t="n">
        <v>45933</v>
      </c>
      <c r="B1873" s="216" t="n">
        <v>17.55</v>
      </c>
      <c r="C1873" s="216" t="n">
        <v>18.58</v>
      </c>
      <c r="D1873" s="216" t="n">
        <v>1.09303605556488</v>
      </c>
      <c r="E1873" s="215" t="n">
        <v>45930</v>
      </c>
      <c r="F1873" s="215" t="n">
        <v>45933</v>
      </c>
    </row>
    <row r="1874">
      <c r="A1874" s="215" t="n">
        <v>45936</v>
      </c>
      <c r="B1874" s="216" t="n">
        <v>19.09</v>
      </c>
      <c r="C1874" s="216" t="n">
        <v>18.58</v>
      </c>
      <c r="D1874" s="216" t="n">
        <v>1.092857956886292</v>
      </c>
      <c r="E1874" s="215" t="n">
        <v>45930</v>
      </c>
      <c r="F1874" s="215" t="n">
        <v>45936</v>
      </c>
    </row>
    <row r="1875">
      <c r="A1875" s="215" t="n">
        <v>45938</v>
      </c>
      <c r="B1875" s="216" t="n">
        <v>19.17</v>
      </c>
      <c r="C1875" s="216" t="n">
        <v>18.58</v>
      </c>
      <c r="D1875" s="216" t="n">
        <v>1.093148946762085</v>
      </c>
      <c r="E1875" s="215" t="n">
        <v>45930</v>
      </c>
      <c r="F1875" s="215" t="n">
        <v>45938</v>
      </c>
    </row>
    <row r="1876">
      <c r="A1876" s="215" t="n">
        <v>45939</v>
      </c>
      <c r="B1876" s="216" t="n">
        <v>17.22</v>
      </c>
      <c r="C1876" s="216" t="n">
        <v>19.07</v>
      </c>
      <c r="D1876" s="216" t="n">
        <v>1.092933058738708</v>
      </c>
      <c r="E1876" s="215" t="n">
        <v>45939</v>
      </c>
      <c r="F1876" s="215" t="n">
        <v>45939</v>
      </c>
    </row>
    <row r="1877">
      <c r="A1877" s="215" t="n">
        <v>45940</v>
      </c>
      <c r="B1877" s="216" t="n">
        <v>16.55</v>
      </c>
      <c r="C1877" s="216" t="n">
        <v>18.97</v>
      </c>
      <c r="D1877" s="216" t="n">
        <v>1.091662049293518</v>
      </c>
      <c r="E1877" s="215" t="n">
        <v>45940</v>
      </c>
      <c r="F1877" s="215" t="n">
        <v>45940</v>
      </c>
    </row>
    <row r="1878">
      <c r="A1878" s="215" t="n">
        <v>45943</v>
      </c>
      <c r="B1878" s="216" t="n">
        <v>16.27</v>
      </c>
      <c r="C1878" s="216" t="n">
        <v>18.59</v>
      </c>
      <c r="D1878" s="216" t="n">
        <v>1.093768000602722</v>
      </c>
      <c r="E1878" s="215" t="n">
        <v>45943</v>
      </c>
      <c r="F1878" s="215" t="n">
        <v>45943</v>
      </c>
    </row>
    <row r="1879">
      <c r="A1879" s="215" t="n">
        <v>45944</v>
      </c>
      <c r="B1879" s="216" t="n">
        <v>16.22</v>
      </c>
      <c r="C1879" s="216" t="n">
        <v>17.95</v>
      </c>
      <c r="D1879" s="216" t="n">
        <v>1.093292951583862</v>
      </c>
      <c r="E1879" s="215" t="n">
        <v>45944</v>
      </c>
      <c r="F1879" s="215" t="n">
        <v>45944</v>
      </c>
    </row>
    <row r="1880">
      <c r="A1880" s="215" t="n">
        <v>45945</v>
      </c>
      <c r="B1880" s="216" t="n">
        <v>16.6</v>
      </c>
      <c r="C1880" s="216" t="n">
        <v>18.46</v>
      </c>
      <c r="D1880" s="216" t="n">
        <v>1.088750958442688</v>
      </c>
      <c r="E1880" s="215" t="n">
        <v>45945</v>
      </c>
      <c r="F1880" s="215" t="n">
        <v>45945</v>
      </c>
    </row>
    <row r="1881">
      <c r="A1881" s="215" t="n">
        <v>45946</v>
      </c>
      <c r="B1881" s="216" t="n">
        <v>15.7</v>
      </c>
      <c r="C1881" s="216" t="n">
        <v>18.09</v>
      </c>
      <c r="D1881" s="216" t="n">
        <v>1.090903043746948</v>
      </c>
      <c r="E1881" s="215" t="n">
        <v>45946</v>
      </c>
      <c r="F1881" s="215" t="n">
        <v>45946</v>
      </c>
    </row>
    <row r="1882">
      <c r="A1882" s="215" t="n">
        <v>45947</v>
      </c>
      <c r="B1882" s="216" t="n">
        <v>15.18</v>
      </c>
      <c r="C1882" s="216" t="n">
        <v>17.54</v>
      </c>
      <c r="D1882" s="216" t="n">
        <v>1.09073805809021</v>
      </c>
      <c r="E1882" s="215" t="n">
        <v>45947</v>
      </c>
      <c r="F1882" s="215" t="n">
        <v>45947</v>
      </c>
    </row>
    <row r="1883">
      <c r="A1883" s="215" t="n">
        <v>45950</v>
      </c>
      <c r="B1883" s="216" t="n">
        <v>15.25</v>
      </c>
      <c r="C1883" s="216" t="n">
        <v>18.15</v>
      </c>
      <c r="D1883" s="216" t="n">
        <v>1.089843988418579</v>
      </c>
      <c r="E1883" s="215" t="n">
        <v>45950</v>
      </c>
      <c r="F1883" s="215" t="n">
        <v>45950</v>
      </c>
    </row>
    <row r="1884">
      <c r="A1884" s="215" t="n">
        <v>45951</v>
      </c>
      <c r="B1884" s="216" t="n">
        <v>15.4</v>
      </c>
      <c r="C1884" s="216" t="n">
        <v>18.17</v>
      </c>
      <c r="D1884" s="216" t="n">
        <v>1.091038942337036</v>
      </c>
      <c r="E1884" s="215" t="n">
        <v>45951</v>
      </c>
      <c r="F1884" s="215" t="n">
        <v>45951</v>
      </c>
    </row>
    <row r="1885">
      <c r="A1885" s="215" t="n">
        <v>45952</v>
      </c>
      <c r="B1885" s="216" t="n">
        <v>15.48</v>
      </c>
      <c r="C1885" s="216" t="n">
        <v>17.96</v>
      </c>
      <c r="D1885" s="216" t="n">
        <v>1.091071009635925</v>
      </c>
      <c r="E1885" s="215" t="n">
        <v>45952</v>
      </c>
      <c r="F1885" s="215" t="n">
        <v>45952</v>
      </c>
    </row>
    <row r="1886">
      <c r="A1886" s="215" t="n">
        <v>45953</v>
      </c>
      <c r="B1886" s="216" t="n">
        <v>15.4</v>
      </c>
      <c r="C1886" s="216" t="n">
        <v>18</v>
      </c>
      <c r="D1886" s="216" t="n">
        <v>1.090343952178955</v>
      </c>
      <c r="E1886" s="215" t="n">
        <v>45953</v>
      </c>
      <c r="F1886" s="215" t="n">
        <v>45953</v>
      </c>
    </row>
    <row r="1887">
      <c r="A1887" s="215" t="n">
        <v>45954</v>
      </c>
      <c r="B1887" s="216" t="n">
        <v>15.39</v>
      </c>
      <c r="C1887" s="216" t="n">
        <v>18.22</v>
      </c>
      <c r="D1887" s="216" t="n">
        <v>1.090456962585449</v>
      </c>
      <c r="E1887" s="215" t="n">
        <v>45954</v>
      </c>
      <c r="F1887" s="215" t="n">
        <v>45954</v>
      </c>
    </row>
    <row r="1888">
      <c r="A1888" s="215" t="n">
        <v>45957</v>
      </c>
      <c r="B1888" s="216" t="n">
        <v>15.57</v>
      </c>
      <c r="C1888" s="216" t="n">
        <v>18.33</v>
      </c>
      <c r="D1888" s="216" t="n">
        <v>1.090957045555115</v>
      </c>
      <c r="E1888" s="215" t="n">
        <v>45957</v>
      </c>
      <c r="F1888" s="215" t="n">
        <v>45957</v>
      </c>
    </row>
    <row r="1889">
      <c r="A1889" s="215" t="n">
        <v>45958</v>
      </c>
      <c r="B1889" s="216" t="n">
        <v>15.05</v>
      </c>
      <c r="C1889" s="216" t="n">
        <v>18.48</v>
      </c>
      <c r="D1889" s="216" t="n">
        <v>1.092440009117126</v>
      </c>
      <c r="E1889" s="215" t="n">
        <v>45958</v>
      </c>
      <c r="F1889" s="215" t="n">
        <v>45958</v>
      </c>
    </row>
    <row r="1890">
      <c r="A1890" s="215" t="n">
        <v>45960</v>
      </c>
      <c r="B1890" s="216" t="n">
        <v>14.7</v>
      </c>
      <c r="C1890" s="216" t="n">
        <v>18.1</v>
      </c>
      <c r="D1890" s="216" t="n">
        <v>1.09463894367218</v>
      </c>
      <c r="E1890" s="215" t="n">
        <v>45960</v>
      </c>
      <c r="F1890" s="215" t="n">
        <v>45960</v>
      </c>
    </row>
    <row r="1891">
      <c r="A1891" s="215" t="n">
        <v>45961</v>
      </c>
      <c r="B1891" s="216" t="n">
        <v>14.43</v>
      </c>
      <c r="C1891" s="216" t="n">
        <v>18.63</v>
      </c>
      <c r="D1891" s="216" t="n">
        <v>1.092543959617615</v>
      </c>
      <c r="E1891" s="215" t="n">
        <v>45961</v>
      </c>
      <c r="F1891" s="215" t="n">
        <v>45961</v>
      </c>
    </row>
    <row r="1892">
      <c r="A1892" s="215" t="n">
        <v>45964</v>
      </c>
      <c r="B1892" s="216" t="n">
        <v>14.1</v>
      </c>
      <c r="C1892" s="216" t="n">
        <v>18.05</v>
      </c>
      <c r="D1892" s="216" t="n">
        <v>1.091722965240479</v>
      </c>
      <c r="E1892" s="215" t="n">
        <v>45964</v>
      </c>
      <c r="F1892" s="215" t="n">
        <v>45964</v>
      </c>
    </row>
    <row r="1893">
      <c r="A1893" s="215" t="n">
        <v>45965</v>
      </c>
      <c r="B1893" s="216" t="n">
        <v>13.12</v>
      </c>
      <c r="C1893" s="216" t="n">
        <v>17</v>
      </c>
      <c r="D1893" s="216" t="n">
        <v>1.083533048629761</v>
      </c>
      <c r="E1893" s="215" t="n">
        <v>45965</v>
      </c>
      <c r="F1893" s="215" t="n">
        <v>45965</v>
      </c>
    </row>
    <row r="1894">
      <c r="A1894" s="215" t="n">
        <v>45966</v>
      </c>
      <c r="B1894" s="216" t="n">
        <v>12.9</v>
      </c>
      <c r="C1894" s="216" t="n">
        <v>16.66</v>
      </c>
      <c r="D1894" s="216" t="n">
        <v>1.090273976325989</v>
      </c>
      <c r="E1894" s="215" t="n">
        <v>45966</v>
      </c>
      <c r="F1894" s="215" t="n">
        <v>45966</v>
      </c>
    </row>
    <row r="1895">
      <c r="A1895" s="215" t="n">
        <v>45967</v>
      </c>
      <c r="B1895" s="216" t="n">
        <v>12.9</v>
      </c>
      <c r="C1895" s="216" t="n">
        <v>16.53</v>
      </c>
      <c r="D1895" s="216" t="n">
        <v>1.090808033943176</v>
      </c>
      <c r="E1895" s="215" t="n">
        <v>45967</v>
      </c>
      <c r="F1895" s="215" t="n">
        <v>45967</v>
      </c>
    </row>
    <row r="1896">
      <c r="A1896" s="215" t="n">
        <v>45968</v>
      </c>
      <c r="B1896" s="216" t="n">
        <v>12.78</v>
      </c>
      <c r="C1896" s="216" t="n">
        <v>16.4</v>
      </c>
      <c r="D1896" s="216" t="n">
        <v>1.092054009437561</v>
      </c>
      <c r="E1896" s="215" t="n">
        <v>45968</v>
      </c>
      <c r="F1896" s="215" t="n">
        <v>45968</v>
      </c>
    </row>
    <row r="1897">
      <c r="A1897" s="215" t="n">
        <v>45971</v>
      </c>
      <c r="B1897" s="216" t="n">
        <v>13.13</v>
      </c>
      <c r="C1897" s="216" t="n">
        <v>16.44</v>
      </c>
      <c r="D1897" s="216" t="n">
        <v>1.092267036437988</v>
      </c>
      <c r="E1897" s="215" t="n">
        <v>45971</v>
      </c>
      <c r="F1897" s="215" t="n">
        <v>45971</v>
      </c>
    </row>
    <row r="1898">
      <c r="A1898" s="215" t="n">
        <v>45972</v>
      </c>
      <c r="B1898" s="216" t="n">
        <v>13.35</v>
      </c>
      <c r="C1898" s="216" t="n">
        <v>16.38</v>
      </c>
      <c r="D1898" s="216" t="n">
        <v>1.091644048690796</v>
      </c>
      <c r="E1898" s="215" t="n">
        <v>45972</v>
      </c>
      <c r="F1898" s="215" t="n">
        <v>45972</v>
      </c>
    </row>
    <row r="1899">
      <c r="A1899" s="215" t="n">
        <v>45973</v>
      </c>
      <c r="B1899" s="216" t="n">
        <v>13.19</v>
      </c>
      <c r="C1899" s="216" t="n">
        <v>16.32</v>
      </c>
      <c r="D1899" s="216" t="n">
        <v>1.091495990753174</v>
      </c>
      <c r="E1899" s="215" t="n">
        <v>45973</v>
      </c>
      <c r="F1899" s="215" t="n">
        <v>45973</v>
      </c>
    </row>
    <row r="1900">
      <c r="A1900" s="215" t="n">
        <v>45974</v>
      </c>
      <c r="B1900" s="216" t="n">
        <v>13.49</v>
      </c>
      <c r="C1900" s="216" t="n">
        <v>16.42</v>
      </c>
      <c r="D1900" s="216" t="n">
        <v>1.092489004135132</v>
      </c>
      <c r="E1900" s="215" t="n">
        <v>45974</v>
      </c>
      <c r="F1900" s="215" t="n">
        <v>45974</v>
      </c>
    </row>
    <row r="1901">
      <c r="A1901" s="215" t="n">
        <v>45975</v>
      </c>
      <c r="B1901" s="216" t="n">
        <v>13.36</v>
      </c>
      <c r="C1901" s="216" t="n">
        <v>16.23</v>
      </c>
      <c r="D1901" s="216" t="n">
        <v>1.092411994934082</v>
      </c>
      <c r="E1901" s="215" t="n">
        <v>45975</v>
      </c>
      <c r="F1901" s="215" t="n">
        <v>45975</v>
      </c>
    </row>
    <row r="1902">
      <c r="A1902" s="215" t="n">
        <v>45978</v>
      </c>
      <c r="B1902" s="216" t="n">
        <v>12.99</v>
      </c>
      <c r="C1902" s="216" t="n">
        <v>16.03</v>
      </c>
      <c r="D1902" s="216" t="n">
        <v>1.094588041305542</v>
      </c>
      <c r="E1902" s="215" t="n">
        <v>45978</v>
      </c>
      <c r="F1902" s="215" t="n">
        <v>45978</v>
      </c>
    </row>
    <row r="1903">
      <c r="A1903" s="215" t="n">
        <v>45979</v>
      </c>
      <c r="B1903" s="216" t="n">
        <v>13.16</v>
      </c>
      <c r="C1903" s="216" t="n">
        <v>16.25</v>
      </c>
      <c r="D1903" s="216" t="n">
        <v>1.093616008758545</v>
      </c>
      <c r="E1903" s="215" t="n">
        <v>45979</v>
      </c>
      <c r="F1903" s="215" t="n">
        <v>45979</v>
      </c>
    </row>
    <row r="1904">
      <c r="A1904" s="215" t="n">
        <v>45980</v>
      </c>
      <c r="B1904" s="216" t="n">
        <v>12.99</v>
      </c>
      <c r="C1904" s="216" t="n">
        <v>15.77</v>
      </c>
      <c r="D1904" s="216" t="n">
        <v>1.095010995864868</v>
      </c>
      <c r="E1904" s="215" t="n">
        <v>45980</v>
      </c>
      <c r="F1904" s="215" t="n">
        <v>45980</v>
      </c>
    </row>
    <row r="1905">
      <c r="A1905" s="215" t="n">
        <v>45981</v>
      </c>
      <c r="B1905" s="216" t="n">
        <v>12.77</v>
      </c>
      <c r="C1905" s="216" t="n">
        <v>15.61</v>
      </c>
      <c r="D1905" s="216" t="n">
        <v>1.095402002334595</v>
      </c>
      <c r="E1905" s="215" t="n">
        <v>45981</v>
      </c>
      <c r="F1905" s="215" t="n">
        <v>45981</v>
      </c>
    </row>
    <row r="1906">
      <c r="A1906" s="215" t="n">
        <v>45982</v>
      </c>
      <c r="B1906" s="216" t="n">
        <v>12.25</v>
      </c>
      <c r="C1906" s="216" t="n">
        <v>15.55</v>
      </c>
      <c r="D1906" s="216" t="n">
        <v>1.094982981681824</v>
      </c>
      <c r="E1906" s="215" t="n">
        <v>45982</v>
      </c>
      <c r="F1906" s="215" t="n">
        <v>45982</v>
      </c>
    </row>
    <row r="1907">
      <c r="A1907" s="215" t="n">
        <v>45985</v>
      </c>
      <c r="B1907" s="216" t="n">
        <v>12.43</v>
      </c>
      <c r="C1907" s="216" t="n">
        <v>16.07</v>
      </c>
      <c r="D1907" s="216" t="n">
        <v>1.094988942146301</v>
      </c>
      <c r="E1907" s="215" t="n">
        <v>45985</v>
      </c>
      <c r="F1907" s="215" t="n">
        <v>45985</v>
      </c>
    </row>
    <row r="1908">
      <c r="A1908" s="215" t="n">
        <v>45986</v>
      </c>
      <c r="B1908" s="216" t="n">
        <v>12.4</v>
      </c>
      <c r="C1908" s="216" t="n">
        <v>16.52</v>
      </c>
      <c r="D1908" s="216" t="n">
        <v>1.095428943634033</v>
      </c>
      <c r="E1908" s="215" t="n">
        <v>45986</v>
      </c>
      <c r="F1908" s="215" t="n">
        <v>45986</v>
      </c>
    </row>
    <row r="1909">
      <c r="A1909" s="215" t="n">
        <v>45987</v>
      </c>
      <c r="B1909" s="216" t="n">
        <v>12.55</v>
      </c>
      <c r="C1909" s="216" t="n">
        <v>16.49</v>
      </c>
      <c r="D1909" s="216" t="n">
        <v>1.097422003746033</v>
      </c>
      <c r="E1909" s="215" t="n">
        <v>45987</v>
      </c>
      <c r="F1909" s="215" t="n">
        <v>45987</v>
      </c>
    </row>
    <row r="1910">
      <c r="A1910" s="215" t="n">
        <v>45988</v>
      </c>
      <c r="B1910" s="216" t="n">
        <v>12.2</v>
      </c>
      <c r="C1910" s="216" t="n">
        <v>16.26</v>
      </c>
      <c r="D1910" s="216" t="n">
        <v>1.098397016525269</v>
      </c>
      <c r="E1910" s="215" t="n">
        <v>45988</v>
      </c>
      <c r="F1910" s="215" t="n">
        <v>45988</v>
      </c>
    </row>
    <row r="1911">
      <c r="A1911" s="215" t="n">
        <v>45989</v>
      </c>
      <c r="B1911" s="216" t="n">
        <v>12.09</v>
      </c>
      <c r="C1911" s="216" t="n">
        <v>16.16</v>
      </c>
      <c r="D1911" s="216" t="n">
        <v>1.098330020904541</v>
      </c>
      <c r="E1911" s="215" t="n">
        <v>45989</v>
      </c>
      <c r="F1911" s="215" t="n">
        <v>45989</v>
      </c>
    </row>
    <row r="1912">
      <c r="A1912" s="215" t="n">
        <v>45992</v>
      </c>
      <c r="B1912" s="216" t="n">
        <v>11.81</v>
      </c>
      <c r="C1912" s="216" t="n">
        <v>15.88</v>
      </c>
      <c r="D1912" s="216" t="n">
        <v>1.10015594959259</v>
      </c>
      <c r="E1912" s="215" t="n">
        <v>45992</v>
      </c>
      <c r="F1912" s="215" t="n">
        <v>45992</v>
      </c>
    </row>
    <row r="1913">
      <c r="A1913" s="215" t="n">
        <v>45993</v>
      </c>
      <c r="B1913" s="216" t="n">
        <v>12.32</v>
      </c>
      <c r="C1913" s="216" t="n">
        <v>16.47</v>
      </c>
      <c r="D1913" s="216" t="n">
        <v>1.101189017295837</v>
      </c>
      <c r="E1913" s="215" t="n">
        <v>45993</v>
      </c>
      <c r="F1913" s="215" t="n">
        <v>45993</v>
      </c>
    </row>
    <row r="1914">
      <c r="A1914" s="215" t="n">
        <v>45994</v>
      </c>
      <c r="B1914" s="216" t="n">
        <v>12.42</v>
      </c>
      <c r="C1914" s="216" t="n">
        <v>16.4</v>
      </c>
      <c r="D1914" s="216" t="n">
        <v>1.100834012031555</v>
      </c>
      <c r="E1914" s="215" t="n">
        <v>45994</v>
      </c>
      <c r="F1914" s="215" t="n">
        <v>45994</v>
      </c>
    </row>
    <row r="1915">
      <c r="A1915" s="215" t="n">
        <v>45995</v>
      </c>
      <c r="B1915" s="216" t="n">
        <v>12.53</v>
      </c>
      <c r="C1915" s="216" t="n">
        <v>15.97</v>
      </c>
      <c r="D1915" s="216" t="n">
        <v>1.101611018180847</v>
      </c>
      <c r="E1915" s="215" t="n">
        <v>45995</v>
      </c>
      <c r="F1915" s="215" t="n">
        <v>45995</v>
      </c>
    </row>
    <row r="1916">
      <c r="A1916" s="215" t="n">
        <v>45996</v>
      </c>
      <c r="B1916" s="216" t="n">
        <v>13.11</v>
      </c>
      <c r="C1916" s="216" t="n">
        <v>16.45</v>
      </c>
      <c r="D1916" s="216" t="n">
        <v>1.100373983383179</v>
      </c>
      <c r="E1916" s="215" t="n">
        <v>45996</v>
      </c>
      <c r="F1916" s="215" t="n">
        <v>45996</v>
      </c>
    </row>
    <row r="1917">
      <c r="A1917" s="215" t="n">
        <v>45999</v>
      </c>
      <c r="B1917" s="216" t="n">
        <v>13.08</v>
      </c>
      <c r="C1917" s="216" t="n">
        <v>16.78</v>
      </c>
      <c r="D1917" s="216" t="n">
        <v>1.1008620262146</v>
      </c>
      <c r="E1917" s="215" t="n">
        <v>45999</v>
      </c>
      <c r="F1917" s="215" t="n">
        <v>45999</v>
      </c>
    </row>
    <row r="1918">
      <c r="A1918" s="215" t="n">
        <v>46000</v>
      </c>
      <c r="B1918" s="216" t="n">
        <v>13.28</v>
      </c>
      <c r="C1918" s="216" t="n">
        <v>16.88</v>
      </c>
      <c r="D1918" s="216" t="n">
        <v>1.10008704662323</v>
      </c>
      <c r="E1918" s="215" t="n">
        <v>46000</v>
      </c>
      <c r="F1918" s="215" t="n">
        <v>46000</v>
      </c>
    </row>
    <row r="1919">
      <c r="A1919" s="215" t="n">
        <v>46001</v>
      </c>
      <c r="B1919" s="216" t="n">
        <v>13.19</v>
      </c>
      <c r="C1919" s="216" t="n">
        <v>16.81</v>
      </c>
      <c r="D1919" s="216" t="n">
        <v>1.101711988449097</v>
      </c>
      <c r="E1919" s="215" t="n">
        <v>46001</v>
      </c>
      <c r="F1919" s="215" t="n">
        <v>46001</v>
      </c>
    </row>
    <row r="1920">
      <c r="A1920" s="215" t="n">
        <v>46002</v>
      </c>
      <c r="B1920" s="216" t="n">
        <v>13</v>
      </c>
      <c r="C1920" s="216" t="n">
        <v>16.08</v>
      </c>
      <c r="D1920" s="216" t="n">
        <v>1.10112202167511</v>
      </c>
      <c r="E1920" s="215" t="n">
        <v>46002</v>
      </c>
      <c r="F1920" s="215" t="n">
        <v>46002</v>
      </c>
    </row>
    <row r="1921">
      <c r="A1921" s="215" t="n">
        <v>46003</v>
      </c>
      <c r="B1921" s="216" t="n">
        <v>12.92</v>
      </c>
      <c r="C1921" s="216" t="n">
        <v>15.79</v>
      </c>
      <c r="D1921" s="216" t="n">
        <v>1.102499008178711</v>
      </c>
      <c r="E1921" s="215" t="n">
        <v>46003</v>
      </c>
      <c r="F1921" s="215" t="n">
        <v>46003</v>
      </c>
    </row>
    <row r="1922">
      <c r="A1922" s="215" t="n">
        <v>46006</v>
      </c>
      <c r="B1922" s="216" t="n">
        <v>13.02</v>
      </c>
      <c r="C1922" s="216" t="n">
        <v>16.11</v>
      </c>
      <c r="D1922" s="216" t="n">
        <v>1.103397965431213</v>
      </c>
      <c r="E1922" s="215" t="n">
        <v>46006</v>
      </c>
      <c r="F1922" s="215" t="n">
        <v>46006</v>
      </c>
    </row>
    <row r="1923">
      <c r="A1923" s="215" t="n">
        <v>46007</v>
      </c>
      <c r="B1923" s="216" t="n">
        <v>12.42</v>
      </c>
      <c r="C1923" s="216" t="n">
        <v>15.62</v>
      </c>
      <c r="D1923" s="216" t="n">
        <v>1.104179978370667</v>
      </c>
      <c r="E1923" s="215" t="n">
        <v>46007</v>
      </c>
      <c r="F1923" s="215" t="n">
        <v>46007</v>
      </c>
    </row>
    <row r="1924">
      <c r="A1924" s="215" t="n">
        <v>46008</v>
      </c>
      <c r="B1924" s="216" t="n">
        <v>12.53</v>
      </c>
      <c r="C1924" s="216" t="n">
        <v>15.67</v>
      </c>
      <c r="D1924" s="216" t="n">
        <v>1.104655981063843</v>
      </c>
      <c r="E1924" s="215" t="n">
        <v>46008</v>
      </c>
      <c r="F1924" s="215" t="n">
        <v>46008</v>
      </c>
    </row>
    <row r="1925">
      <c r="A1925" s="215" t="n">
        <v>46009</v>
      </c>
      <c r="B1925" s="216" t="n">
        <v>12.4</v>
      </c>
      <c r="C1925" s="216" t="n">
        <v>15.67</v>
      </c>
      <c r="D1925" s="216" t="n">
        <v>1.104357004165649</v>
      </c>
      <c r="E1925" s="215" t="n">
        <v>46009</v>
      </c>
      <c r="F1925" s="215" t="n">
        <v>46009</v>
      </c>
    </row>
    <row r="1926">
      <c r="A1926" s="215" t="n">
        <v>46010</v>
      </c>
      <c r="B1926" s="216" t="n">
        <v>13.26</v>
      </c>
      <c r="C1926" s="216" t="n">
        <v>16.62</v>
      </c>
      <c r="D1926" s="216" t="n">
        <v>1.104962944984436</v>
      </c>
      <c r="E1926" s="215" t="n">
        <v>46010</v>
      </c>
      <c r="F1926" s="215" t="n">
        <v>46010</v>
      </c>
    </row>
    <row r="1927">
      <c r="A1927" s="215" t="n">
        <v>46013</v>
      </c>
      <c r="B1927" s="216" t="n">
        <v>13.23</v>
      </c>
      <c r="C1927" s="216" t="n">
        <v>16.48</v>
      </c>
      <c r="D1927" s="216" t="n">
        <v>1.105054020881653</v>
      </c>
      <c r="E1927" s="215" t="n">
        <v>46013</v>
      </c>
      <c r="F1927" s="215" t="n">
        <v>46013</v>
      </c>
    </row>
    <row r="1928">
      <c r="A1928" s="215" t="n">
        <v>46014</v>
      </c>
      <c r="B1928" s="216" t="n">
        <v>13.19</v>
      </c>
      <c r="C1928" s="216" t="n">
        <v>16.57</v>
      </c>
      <c r="D1928" s="216" t="n">
        <v>1.104820013046265</v>
      </c>
      <c r="E1928" s="215" t="n">
        <v>46014</v>
      </c>
      <c r="F1928" s="215" t="n">
        <v>46014</v>
      </c>
    </row>
    <row r="1929">
      <c r="A1929" s="215" t="n">
        <v>46015</v>
      </c>
      <c r="B1929" s="216" t="n">
        <v>13.35</v>
      </c>
      <c r="C1929" s="216" t="n">
        <v>17.13</v>
      </c>
      <c r="D1929" s="216" t="n">
        <v>1.106441974639893</v>
      </c>
      <c r="E1929" s="215" t="n">
        <v>46015</v>
      </c>
      <c r="F1929" s="215" t="n">
        <v>46015</v>
      </c>
    </row>
    <row r="1930">
      <c r="A1930" s="215" t="n">
        <v>46020</v>
      </c>
      <c r="B1930" s="216" t="n">
        <v>12.79</v>
      </c>
      <c r="C1930" s="216" t="n">
        <v>16.4</v>
      </c>
      <c r="D1930" s="216" t="n">
        <v>1.10552704334259</v>
      </c>
      <c r="E1930" s="215" t="n">
        <v>46020</v>
      </c>
      <c r="F1930" s="215" t="n">
        <v>46020</v>
      </c>
    </row>
    <row r="1931">
      <c r="A1931" s="215" t="n">
        <v>46021</v>
      </c>
      <c r="B1931" s="216" t="n">
        <v>13.02</v>
      </c>
      <c r="C1931" s="216" t="n">
        <v>16.24</v>
      </c>
      <c r="D1931" s="216" t="n">
        <v>1.109460949897766</v>
      </c>
      <c r="E1931" s="215" t="n">
        <v>46021</v>
      </c>
      <c r="F1931" s="215" t="n">
        <v>46021</v>
      </c>
    </row>
    <row r="1932">
      <c r="A1932" s="215" t="n">
        <v>46022</v>
      </c>
      <c r="B1932" s="216" t="n">
        <v>13.05</v>
      </c>
      <c r="C1932" s="216" t="n">
        <v>16.36</v>
      </c>
      <c r="D1932" s="216" t="n">
        <v>1.111927032470703</v>
      </c>
      <c r="E1932" s="215" t="n">
        <v>46022</v>
      </c>
      <c r="F1932" s="215" t="n">
        <v>46022</v>
      </c>
    </row>
    <row r="1933">
      <c r="A1933" s="215" t="n">
        <v>46024</v>
      </c>
      <c r="B1933" s="216" t="n">
        <v>13.16</v>
      </c>
      <c r="C1933" s="216" t="n">
        <v>16.36</v>
      </c>
      <c r="D1933" s="216" t="n">
        <v>1.112754940986633</v>
      </c>
      <c r="E1933" s="215" t="n">
        <v>46022</v>
      </c>
      <c r="F1933" s="215" t="n">
        <v>46024</v>
      </c>
    </row>
    <row r="1934">
      <c r="A1934" s="215" t="n">
        <v>46027</v>
      </c>
      <c r="B1934" s="216" t="n">
        <v>13.14</v>
      </c>
      <c r="C1934" s="216" t="n">
        <v>17.25</v>
      </c>
      <c r="D1934" s="216" t="n">
        <v>1.113860011100769</v>
      </c>
      <c r="E1934" s="215" t="n">
        <v>46027</v>
      </c>
      <c r="F1934" s="215" t="n">
        <v>46027</v>
      </c>
    </row>
    <row r="1935">
      <c r="A1935" s="215" t="n">
        <v>46028</v>
      </c>
      <c r="B1935" s="216" t="n">
        <v>12.92</v>
      </c>
      <c r="C1935" s="216" t="n">
        <v>17.26</v>
      </c>
      <c r="D1935" s="216" t="n">
        <v>1.11367404460907</v>
      </c>
      <c r="E1935" s="215" t="n">
        <v>46028</v>
      </c>
      <c r="F1935" s="215" t="n">
        <v>46028</v>
      </c>
    </row>
    <row r="1936">
      <c r="A1936" s="215" t="n">
        <v>46029</v>
      </c>
      <c r="B1936" s="216" t="n">
        <v>12.85</v>
      </c>
      <c r="C1936" s="216" t="n">
        <v>17.41</v>
      </c>
      <c r="D1936" s="216" t="n">
        <v>1.114913940429688</v>
      </c>
      <c r="E1936" s="215" t="n">
        <v>46029</v>
      </c>
      <c r="F1936" s="215" t="n">
        <v>46029</v>
      </c>
    </row>
    <row r="1937">
      <c r="A1937" s="215" t="n">
        <v>46030</v>
      </c>
      <c r="B1937" s="216" t="n">
        <v>12.51</v>
      </c>
      <c r="C1937" s="216" t="n">
        <v>17.33</v>
      </c>
      <c r="D1937" s="216" t="n">
        <v>1.112563014030457</v>
      </c>
      <c r="E1937" s="215" t="n">
        <v>46030</v>
      </c>
      <c r="F1937" s="215" t="n">
        <v>46030</v>
      </c>
    </row>
    <row r="1938">
      <c r="A1938" s="215" t="n">
        <v>46031</v>
      </c>
      <c r="B1938" s="216" t="n">
        <v>12.68</v>
      </c>
      <c r="C1938" s="216" t="n">
        <v>17.97</v>
      </c>
      <c r="D1938" s="216" t="n">
        <v>1.115561008453369</v>
      </c>
      <c r="E1938" s="215" t="n">
        <v>46031</v>
      </c>
      <c r="F1938" s="215" t="n">
        <v>46031</v>
      </c>
    </row>
    <row r="1939">
      <c r="A1939" s="215" t="n">
        <v>46034</v>
      </c>
      <c r="B1939" s="216" t="n">
        <v>13.76</v>
      </c>
      <c r="C1939" s="216" t="n">
        <v>19.43</v>
      </c>
      <c r="D1939" s="216" t="n">
        <v>1.117015957832336</v>
      </c>
      <c r="E1939" s="215" t="n">
        <v>46034</v>
      </c>
      <c r="F1939" s="215" t="n">
        <v>46034</v>
      </c>
    </row>
    <row r="1940">
      <c r="A1940" s="215" t="n">
        <v>46035</v>
      </c>
      <c r="B1940" s="216" t="n">
        <v>13.51</v>
      </c>
      <c r="C1940" s="216" t="n">
        <v>18.75</v>
      </c>
      <c r="D1940" s="216" t="n">
        <v>1.117892026901245</v>
      </c>
      <c r="E1940" s="215" t="n">
        <v>46035</v>
      </c>
      <c r="F1940" s="215" t="n">
        <v>46035</v>
      </c>
    </row>
    <row r="1941">
      <c r="A1941" s="215" t="n">
        <v>46036</v>
      </c>
      <c r="B1941" s="216" t="n">
        <v>14.17</v>
      </c>
      <c r="C1941" s="216" t="n">
        <v>19.7</v>
      </c>
      <c r="D1941" s="216" t="n">
        <v>1.117897987365723</v>
      </c>
      <c r="E1941" s="215" t="n">
        <v>46036</v>
      </c>
      <c r="F1941" s="215" t="n">
        <v>46036</v>
      </c>
    </row>
    <row r="1942">
      <c r="A1942" s="215" t="n">
        <v>46037</v>
      </c>
      <c r="B1942" s="216" t="n">
        <v>14.38</v>
      </c>
      <c r="C1942" s="216" t="n">
        <v>19.53</v>
      </c>
      <c r="D1942" s="216" t="n">
        <v>1.118072032928467</v>
      </c>
      <c r="E1942" s="215" t="n">
        <v>46037</v>
      </c>
      <c r="F1942" s="215" t="n">
        <v>46037</v>
      </c>
    </row>
    <row r="1943">
      <c r="A1943" s="215" t="n">
        <v>46038</v>
      </c>
      <c r="B1943" s="216" t="n">
        <v>14.79</v>
      </c>
      <c r="C1943" s="216" t="n">
        <v>19.88</v>
      </c>
      <c r="D1943" s="216" t="n">
        <v>1.119040012359619</v>
      </c>
      <c r="E1943" s="215" t="n">
        <v>46038</v>
      </c>
      <c r="F1943" s="215" t="n">
        <v>46038</v>
      </c>
    </row>
    <row r="1944">
      <c r="A1944" s="215" t="n">
        <v>46041</v>
      </c>
      <c r="B1944" s="216" t="n">
        <v>14.5</v>
      </c>
      <c r="C1944" s="216" t="n">
        <v>19.5</v>
      </c>
      <c r="D1944" s="216" t="n">
        <v>1.118916034698486</v>
      </c>
      <c r="E1944" s="215" t="n">
        <v>46041</v>
      </c>
      <c r="F1944" s="215" t="n">
        <v>46041</v>
      </c>
    </row>
    <row r="1945">
      <c r="A1945" s="215" t="n">
        <v>46042</v>
      </c>
      <c r="B1945" s="216" t="n">
        <v>14.55</v>
      </c>
      <c r="C1945" s="216" t="n">
        <v>19.81</v>
      </c>
      <c r="D1945" s="216" t="n">
        <v>1.118687987327576</v>
      </c>
      <c r="E1945" s="215" t="n">
        <v>46042</v>
      </c>
      <c r="F1945" s="215" t="n">
        <v>46042</v>
      </c>
    </row>
    <row r="1946">
      <c r="A1946" s="215" t="n">
        <v>46043</v>
      </c>
      <c r="B1946" s="216" t="n">
        <v>14.79</v>
      </c>
      <c r="C1946" s="216" t="n">
        <v>19.51</v>
      </c>
      <c r="D1946" s="216" t="n">
        <v>1.12024998664856</v>
      </c>
      <c r="E1946" s="215" t="n">
        <v>46043</v>
      </c>
      <c r="F1946" s="215" t="n">
        <v>46043</v>
      </c>
    </row>
    <row r="1947">
      <c r="A1947" s="215" t="n">
        <v>46044</v>
      </c>
      <c r="B1947" s="216" t="n">
        <v>15.34</v>
      </c>
      <c r="C1947" s="216" t="n">
        <v>19.78</v>
      </c>
      <c r="D1947" s="216" t="n">
        <v>1.11942195892334</v>
      </c>
      <c r="E1947" s="215" t="n">
        <v>46044</v>
      </c>
      <c r="F1947" s="215" t="n">
        <v>46044</v>
      </c>
    </row>
    <row r="1948">
      <c r="A1948" s="215" t="n">
        <v>46045</v>
      </c>
      <c r="B1948" s="216" t="n">
        <v>15.9</v>
      </c>
      <c r="C1948" s="216" t="n">
        <v>20.4</v>
      </c>
      <c r="D1948" s="216" t="n">
        <v>1.117977976799011</v>
      </c>
      <c r="E1948" s="215" t="n">
        <v>46045</v>
      </c>
      <c r="F1948" s="215" t="n">
        <v>46045</v>
      </c>
    </row>
    <row r="1949">
      <c r="A1949" s="215" t="n">
        <v>46048</v>
      </c>
      <c r="B1949" s="216" t="n">
        <v>15.45</v>
      </c>
      <c r="C1949" s="216" t="n">
        <v>19.49</v>
      </c>
      <c r="D1949" s="216" t="n">
        <v>1.117916941642761</v>
      </c>
      <c r="E1949" s="215" t="n">
        <v>46048</v>
      </c>
      <c r="F1949" s="215" t="n">
        <v>46048</v>
      </c>
    </row>
    <row r="1950">
      <c r="A1950" s="215" t="n">
        <v>46049</v>
      </c>
      <c r="B1950" s="216" t="n">
        <v>16.28</v>
      </c>
      <c r="C1950" s="216" t="n">
        <v>20.15</v>
      </c>
      <c r="D1950" s="216" t="n">
        <v>1.121191024780273</v>
      </c>
      <c r="E1950" s="215" t="n">
        <v>46049</v>
      </c>
      <c r="F1950" s="215" t="n">
        <v>46049</v>
      </c>
    </row>
    <row r="1951">
      <c r="A1951" s="215" t="n">
        <v>46050</v>
      </c>
      <c r="B1951" s="216" t="n">
        <v>16.29</v>
      </c>
      <c r="C1951" s="216" t="n">
        <v>19.69</v>
      </c>
      <c r="D1951" s="216" t="n">
        <v>1.121533036231995</v>
      </c>
      <c r="E1951" s="215" t="n">
        <v>46050</v>
      </c>
      <c r="F1951" s="215" t="n">
        <v>46050</v>
      </c>
    </row>
    <row r="1952">
      <c r="A1952" s="215" t="n">
        <v>46051</v>
      </c>
      <c r="B1952" s="216" t="n">
        <v>15.97</v>
      </c>
      <c r="C1952" s="216" t="n">
        <v>19.9</v>
      </c>
      <c r="D1952" s="216" t="n">
        <v>1.121621966362</v>
      </c>
      <c r="E1952" s="215" t="n">
        <v>46051</v>
      </c>
      <c r="F1952" s="215" t="n">
        <v>46051</v>
      </c>
    </row>
    <row r="1953">
      <c r="A1953" s="215" t="n">
        <v>46052</v>
      </c>
      <c r="B1953" s="216" t="n">
        <v>15.74</v>
      </c>
      <c r="C1953" s="216" t="n">
        <v>19.85</v>
      </c>
      <c r="D1953" s="216" t="n">
        <v>1.123343944549561</v>
      </c>
      <c r="E1953" s="215" t="n">
        <v>46052</v>
      </c>
      <c r="F1953" s="215" t="n">
        <v>46052</v>
      </c>
    </row>
    <row r="1954">
      <c r="A1954" s="215" t="n">
        <v>46055</v>
      </c>
      <c r="B1954" s="216" t="n">
        <v>15.13</v>
      </c>
      <c r="C1954" s="216" t="n">
        <v>19.33</v>
      </c>
      <c r="D1954" s="216" t="n">
        <v>1.123572945594788</v>
      </c>
      <c r="E1954" s="215" t="n">
        <v>46055</v>
      </c>
      <c r="F1954" s="215" t="n">
        <v>46055</v>
      </c>
    </row>
    <row r="1955">
      <c r="A1955" s="215" t="n">
        <v>46056</v>
      </c>
      <c r="B1955" s="216" t="n">
        <v>15.14</v>
      </c>
      <c r="C1955" s="216" t="n">
        <v>20</v>
      </c>
      <c r="D1955" s="216" t="n">
        <v>1.124274969100952</v>
      </c>
      <c r="E1955" s="215" t="n">
        <v>46056</v>
      </c>
      <c r="F1955" s="215" t="n">
        <v>46056</v>
      </c>
    </row>
    <row r="1956">
      <c r="A1956" s="215" t="n">
        <v>46057</v>
      </c>
      <c r="B1956" s="216" t="n">
        <v>14.96</v>
      </c>
      <c r="C1956" s="216" t="n">
        <v>19.14</v>
      </c>
      <c r="D1956" s="216" t="n">
        <v>1.12601101398468</v>
      </c>
      <c r="E1956" s="215" t="n">
        <v>46057</v>
      </c>
      <c r="F1956" s="215" t="n">
        <v>46057</v>
      </c>
    </row>
    <row r="1957">
      <c r="A1957" s="215" t="n">
        <v>46058</v>
      </c>
      <c r="B1957" s="216" t="n">
        <v>14.95</v>
      </c>
      <c r="C1957" s="216" t="n">
        <v>18.99</v>
      </c>
      <c r="D1957" s="216" t="n">
        <v>1.125892996788025</v>
      </c>
      <c r="E1957" s="215" t="n">
        <v>46058</v>
      </c>
      <c r="F1957" s="215" t="n">
        <v>46058</v>
      </c>
    </row>
    <row r="1958">
      <c r="A1958" s="215" t="n">
        <v>46059</v>
      </c>
      <c r="B1958" s="216" t="n">
        <v>14.73</v>
      </c>
      <c r="C1958" s="216" t="n">
        <v>18.63</v>
      </c>
      <c r="D1958" s="216" t="n">
        <v>1.126062035560608</v>
      </c>
      <c r="E1958" s="215" t="n">
        <v>46059</v>
      </c>
      <c r="F1958" s="215" t="n">
        <v>46059</v>
      </c>
    </row>
    <row r="1959">
      <c r="A1959" s="215" t="n">
        <v>46062</v>
      </c>
      <c r="B1959" s="216" t="n">
        <v>15.01</v>
      </c>
      <c r="C1959" s="216" t="n">
        <v>19.01</v>
      </c>
      <c r="D1959" s="216" t="n">
        <v>1.125753998756409</v>
      </c>
      <c r="E1959" s="215" t="n">
        <v>46062</v>
      </c>
      <c r="F1959" s="215" t="n">
        <v>46062</v>
      </c>
    </row>
    <row r="1960">
      <c r="A1960" s="215" t="n">
        <v>46063</v>
      </c>
      <c r="B1960" s="216" t="n">
        <v>14.56</v>
      </c>
      <c r="C1960" s="216" t="n">
        <v>19.19</v>
      </c>
      <c r="D1960" s="216" t="n">
        <v>1.129003047943115</v>
      </c>
      <c r="E1960" s="215" t="n">
        <v>46063</v>
      </c>
      <c r="F1960" s="215" t="n">
        <v>46063</v>
      </c>
    </row>
    <row r="1961">
      <c r="A1961" s="215" t="n">
        <v>46064</v>
      </c>
      <c r="B1961" s="216" t="n">
        <v>14.19</v>
      </c>
      <c r="C1961" s="216" t="n">
        <v>18.82</v>
      </c>
      <c r="D1961" s="216" t="n">
        <v>1.130962014198303</v>
      </c>
      <c r="E1961" s="215" t="n">
        <v>46064</v>
      </c>
      <c r="F1961" s="215" t="n">
        <v>46064</v>
      </c>
    </row>
    <row r="1962">
      <c r="A1962" s="215" t="n">
        <v>46065</v>
      </c>
      <c r="B1962" s="216" t="n">
        <v>14.3</v>
      </c>
      <c r="C1962" s="216" t="n">
        <v>18.65</v>
      </c>
      <c r="D1962" s="216" t="n">
        <v>1.130671977996826</v>
      </c>
      <c r="E1962" s="215" t="n">
        <v>46065</v>
      </c>
      <c r="F1962" s="215" t="n">
        <v>46065</v>
      </c>
    </row>
    <row r="1963">
      <c r="A1963" s="215" t="n">
        <v>46066</v>
      </c>
      <c r="B1963" s="216" t="n">
        <v>14.25</v>
      </c>
      <c r="C1963" s="216" t="n">
        <v>18.53</v>
      </c>
      <c r="D1963" s="216" t="n">
        <v>1.132490992546082</v>
      </c>
      <c r="E1963" s="215" t="n">
        <v>46066</v>
      </c>
      <c r="F1963" s="215" t="n">
        <v>46066</v>
      </c>
    </row>
    <row r="1964">
      <c r="A1964" s="215" t="n">
        <v>46069</v>
      </c>
      <c r="B1964" s="216" t="n">
        <v>14.75</v>
      </c>
      <c r="C1964" s="216" t="n">
        <v>18.53</v>
      </c>
      <c r="D1964" s="216" t="n">
        <v>1.131224036216736</v>
      </c>
      <c r="E1964" s="215" t="n">
        <v>46066</v>
      </c>
      <c r="F1964" s="215" t="n">
        <v>46069</v>
      </c>
    </row>
    <row r="1965">
      <c r="A1965" s="215" t="n">
        <v>46073</v>
      </c>
      <c r="B1965" s="216" t="n">
        <v>14.85</v>
      </c>
      <c r="C1965" s="216" t="n">
        <v>18.53</v>
      </c>
      <c r="D1965" s="216" t="n">
        <v>1.131005048751831</v>
      </c>
      <c r="E1965" s="215" t="n">
        <v>46066</v>
      </c>
      <c r="F1965" s="215" t="n">
        <v>46073</v>
      </c>
    </row>
    <row r="1966">
      <c r="A1966" s="215" t="n">
        <v>46076</v>
      </c>
      <c r="B1966" s="216" t="n">
        <v>15.42</v>
      </c>
      <c r="C1966" s="216" t="n">
        <v>18.53</v>
      </c>
      <c r="D1966" s="216" t="n">
        <v>1.130877017974854</v>
      </c>
      <c r="E1966" s="215" t="n">
        <v>46066</v>
      </c>
      <c r="F1966" s="215" t="n">
        <v>46076</v>
      </c>
    </row>
    <row r="1967">
      <c r="A1967" s="215" t="n">
        <v>46077</v>
      </c>
      <c r="B1967" s="216" t="n">
        <v>14.93</v>
      </c>
      <c r="C1967" s="216" t="n">
        <v>18.05</v>
      </c>
      <c r="D1967" s="216" t="n">
        <v>1.131631016731262</v>
      </c>
      <c r="E1967" s="215" t="n">
        <v>46077</v>
      </c>
      <c r="F1967" s="215" t="n">
        <v>46077</v>
      </c>
    </row>
    <row r="1968">
      <c r="A1968" s="215" t="n">
        <v>46078</v>
      </c>
      <c r="B1968" s="216" t="n">
        <v>14.86</v>
      </c>
      <c r="C1968" s="216" t="n">
        <v>18.19</v>
      </c>
      <c r="D1968" s="216" t="n">
        <v>1.136234045028687</v>
      </c>
      <c r="E1968" s="215" t="n">
        <v>46078</v>
      </c>
      <c r="F1968" s="215" t="n">
        <v>46078</v>
      </c>
    </row>
    <row r="1969">
      <c r="A1969" s="215" t="n">
        <v>46079</v>
      </c>
      <c r="B1969" s="216" t="n">
        <v>15.1</v>
      </c>
      <c r="C1969" s="216" t="n">
        <v>18.36</v>
      </c>
      <c r="D1969" s="216" t="n">
        <v>1.138198971748352</v>
      </c>
      <c r="E1969" s="215" t="n">
        <v>46079</v>
      </c>
      <c r="F1969" s="215" t="n">
        <v>46079</v>
      </c>
    </row>
    <row r="1970">
      <c r="A1970" s="215" t="n">
        <v>46080</v>
      </c>
      <c r="B1970" s="216" t="n">
        <v>15.77</v>
      </c>
      <c r="C1970" s="216" t="n">
        <v>19.03</v>
      </c>
      <c r="D1970" s="216" t="n">
        <v>1.143396973609924</v>
      </c>
      <c r="E1970" s="215" t="n">
        <v>46080</v>
      </c>
      <c r="F1970" s="215" t="n">
        <v>46080</v>
      </c>
    </row>
    <row r="1971">
      <c r="A1971" s="215" t="n">
        <v>46083</v>
      </c>
      <c r="B1971" s="216" t="n">
        <v>15.32</v>
      </c>
      <c r="C1971" s="216" t="n">
        <v>18.06</v>
      </c>
      <c r="D1971" s="216" t="n">
        <v>1.140552043914795</v>
      </c>
      <c r="E1971" s="215" t="n">
        <v>46083</v>
      </c>
      <c r="F1971" s="215" t="n">
        <v>46083</v>
      </c>
    </row>
    <row r="1972">
      <c r="A1972" s="215" t="n">
        <v>46084</v>
      </c>
      <c r="B1972" s="216" t="n">
        <v>15.32</v>
      </c>
      <c r="C1972" s="216" t="n">
        <v>17.23</v>
      </c>
      <c r="D1972" s="216" t="n">
        <v>1.136399984359741</v>
      </c>
      <c r="E1972" s="215" t="n">
        <v>46084</v>
      </c>
      <c r="F1972" s="215" t="n">
        <v>46084</v>
      </c>
    </row>
    <row r="1973">
      <c r="A1973" s="215" t="n">
        <v>46085</v>
      </c>
      <c r="B1973" s="216" t="n">
        <v>15.24</v>
      </c>
      <c r="C1973" s="216" t="n">
        <v>17.23</v>
      </c>
      <c r="D1973" s="216" t="n">
        <v>1.130928993225098</v>
      </c>
      <c r="E1973" s="215" t="n">
        <v>46085</v>
      </c>
      <c r="F1973" s="215" t="n">
        <v>46085</v>
      </c>
    </row>
    <row r="1974">
      <c r="A1974" s="215" t="n">
        <v>46086</v>
      </c>
      <c r="B1974" s="216" t="n">
        <v>15.38</v>
      </c>
      <c r="C1974" s="216" t="n">
        <v>17.45</v>
      </c>
      <c r="D1974" s="216" t="n">
        <v>1.133169054985046</v>
      </c>
      <c r="E1974" s="215" t="n">
        <v>46086</v>
      </c>
      <c r="F1974" s="215" t="n">
        <v>46086</v>
      </c>
    </row>
    <row r="1975">
      <c r="A1975" s="215" t="n">
        <v>46087</v>
      </c>
      <c r="B1975" s="216" t="n">
        <v>15.75</v>
      </c>
      <c r="C1975" s="216" t="n">
        <v>17.75</v>
      </c>
      <c r="D1975" s="216" t="n">
        <v>1.133442044258118</v>
      </c>
      <c r="E1975" s="215" t="n">
        <v>46087</v>
      </c>
      <c r="F1975" s="215" t="n">
        <v>46087</v>
      </c>
    </row>
    <row r="1976">
      <c r="A1976" s="215" t="n">
        <v>46090</v>
      </c>
      <c r="B1976" s="216" t="n">
        <v>16.2</v>
      </c>
      <c r="C1976" s="216" t="n">
        <v>18.85</v>
      </c>
      <c r="D1976" s="216" t="n">
        <v>1.133231043815613</v>
      </c>
      <c r="E1976" s="215" t="n">
        <v>46090</v>
      </c>
      <c r="F1976" s="215" t="n">
        <v>46090</v>
      </c>
    </row>
    <row r="1977">
      <c r="A1977" s="215" t="n">
        <v>46091</v>
      </c>
      <c r="B1977" s="216" t="n">
        <v>16.38</v>
      </c>
      <c r="C1977" s="216" t="n">
        <v>18.65</v>
      </c>
      <c r="D1977" s="216" t="n">
        <v>1.131595015525818</v>
      </c>
      <c r="E1977" s="215" t="n">
        <v>46091</v>
      </c>
      <c r="F1977" s="215" t="n">
        <v>46091</v>
      </c>
    </row>
    <row r="1978">
      <c r="A1978" s="215" t="n">
        <v>46092</v>
      </c>
      <c r="B1978" s="216" t="n">
        <v>15.9</v>
      </c>
      <c r="C1978" s="216" t="n">
        <v>18.3</v>
      </c>
      <c r="D1978" s="216" t="n">
        <v>1.137585043907166</v>
      </c>
      <c r="E1978" s="215" t="n">
        <v>46092</v>
      </c>
      <c r="F1978" s="215" t="n">
        <v>46092</v>
      </c>
    </row>
    <row r="1979">
      <c r="A1979" s="215" t="n">
        <v>46093</v>
      </c>
      <c r="B1979" s="216" t="n">
        <v>16.13</v>
      </c>
      <c r="C1979" s="216" t="n">
        <v>18.36</v>
      </c>
      <c r="D1979" s="216" t="n">
        <v>1.139600038528442</v>
      </c>
      <c r="E1979" s="215" t="n">
        <v>46093</v>
      </c>
      <c r="F1979" s="215" t="n">
        <v>46093</v>
      </c>
    </row>
    <row r="1980">
      <c r="A1980" s="215" t="n">
        <v>46094</v>
      </c>
      <c r="B1980" s="216" t="n">
        <v>15.43</v>
      </c>
      <c r="C1980" s="216" t="n">
        <v>18.28</v>
      </c>
      <c r="D1980" s="216" t="n">
        <v>1.139310002326965</v>
      </c>
      <c r="E1980" s="215" t="n">
        <v>46094</v>
      </c>
      <c r="F1980" s="215" t="n">
        <v>46094</v>
      </c>
    </row>
    <row r="1981">
      <c r="A1981" s="215" t="n">
        <v>46097</v>
      </c>
      <c r="B1981" s="216" t="n">
        <v>15.2</v>
      </c>
      <c r="C1981" s="216" t="n">
        <v>18.2</v>
      </c>
      <c r="D1981" s="216" t="n">
        <v>1.134883999824524</v>
      </c>
      <c r="E1981" s="215" t="n">
        <v>46097</v>
      </c>
      <c r="F1981" s="215" t="n">
        <v>46097</v>
      </c>
    </row>
    <row r="1982">
      <c r="A1982" s="215" t="n">
        <v>46098</v>
      </c>
      <c r="B1982" s="216" t="n">
        <v>14.64</v>
      </c>
      <c r="C1982" s="216" t="n">
        <v>17.78</v>
      </c>
      <c r="D1982" s="216" t="n">
        <v>1.125375986099243</v>
      </c>
      <c r="E1982" s="215" t="n">
        <v>46098</v>
      </c>
      <c r="F1982" s="215" t="n">
        <v>46098</v>
      </c>
    </row>
    <row r="1983">
      <c r="A1983" s="215" t="n">
        <v>46099</v>
      </c>
      <c r="B1983" s="216" t="n">
        <v>15</v>
      </c>
      <c r="C1983" s="216" t="n">
        <v>18.35</v>
      </c>
      <c r="D1983" s="216" t="n">
        <v>1.137819051742554</v>
      </c>
      <c r="E1983" s="215" t="n">
        <v>46099</v>
      </c>
      <c r="F1983" s="215" t="n">
        <v>46099</v>
      </c>
    </row>
    <row r="1984">
      <c r="A1984" s="215" t="n">
        <v>46100</v>
      </c>
      <c r="B1984" s="216" t="n">
        <v>14.79</v>
      </c>
      <c r="C1984" s="216" t="n">
        <v>17.83</v>
      </c>
      <c r="D1984" s="216" t="n">
        <v>1.140079021453857</v>
      </c>
      <c r="E1984" s="215" t="n">
        <v>46100</v>
      </c>
      <c r="F1984" s="215" t="n">
        <v>46100</v>
      </c>
    </row>
    <row r="1985">
      <c r="A1985" s="215" t="n">
        <v>46101</v>
      </c>
      <c r="B1985" s="216" t="n">
        <v>14.43</v>
      </c>
      <c r="C1985" s="216" t="n">
        <v>17.58</v>
      </c>
      <c r="D1985" s="216" t="n">
        <v>1.13490903377533</v>
      </c>
      <c r="E1985" s="215" t="n">
        <v>46101</v>
      </c>
      <c r="F1985" s="215" t="n">
        <v>46101</v>
      </c>
    </row>
    <row r="1986">
      <c r="A1986" s="215" t="n">
        <v>46104</v>
      </c>
      <c r="B1986" s="216" t="n">
        <v>14</v>
      </c>
      <c r="C1986" s="216" t="n">
        <v>16.38</v>
      </c>
      <c r="D1986" s="216" t="n">
        <v>1.137529969215393</v>
      </c>
      <c r="E1986" s="215" t="n">
        <v>46104</v>
      </c>
      <c r="F1986" s="215" t="n">
        <v>46104</v>
      </c>
    </row>
    <row r="1987">
      <c r="A1987" s="215" t="n">
        <v>46105</v>
      </c>
      <c r="B1987" s="216" t="n">
        <v>14.32</v>
      </c>
      <c r="C1987" s="216" t="n">
        <v>16.88</v>
      </c>
      <c r="D1987" s="216" t="n">
        <v>1.138481974601746</v>
      </c>
      <c r="E1987" s="215" t="n">
        <v>46105</v>
      </c>
      <c r="F1987" s="215" t="n">
        <v>46105</v>
      </c>
    </row>
    <row r="1988">
      <c r="A1988" s="215" t="n">
        <v>46106</v>
      </c>
      <c r="B1988" s="216" t="n">
        <v>14.6</v>
      </c>
      <c r="C1988" s="216" t="n">
        <v>17.33</v>
      </c>
      <c r="D1988" s="216" t="n">
        <v>1.135548949241638</v>
      </c>
      <c r="E1988" s="215" t="n">
        <v>46106</v>
      </c>
      <c r="F1988" s="215" t="n">
        <v>46106</v>
      </c>
    </row>
    <row r="1989">
      <c r="A1989" s="215" t="n">
        <v>46107</v>
      </c>
      <c r="B1989" s="216" t="n">
        <v>14.17</v>
      </c>
      <c r="C1989" s="216" t="n">
        <v>17.13</v>
      </c>
      <c r="D1989" s="216" t="n">
        <v>1.132627010345459</v>
      </c>
      <c r="E1989" s="215" t="n">
        <v>46107</v>
      </c>
      <c r="F1989" s="215" t="n">
        <v>46107</v>
      </c>
    </row>
    <row r="1990">
      <c r="A1990" s="215" t="n">
        <v>46108</v>
      </c>
      <c r="B1990" s="216" t="n">
        <v>14.58</v>
      </c>
      <c r="C1990" s="216" t="n">
        <v>17.65</v>
      </c>
      <c r="D1990" s="216" t="n">
        <v>1.132115960121155</v>
      </c>
      <c r="E1990" s="215" t="n">
        <v>46108</v>
      </c>
      <c r="F1990" s="215" t="n">
        <v>46108</v>
      </c>
    </row>
    <row r="1991">
      <c r="A1991" s="215" t="n">
        <v>46111</v>
      </c>
      <c r="B1991" s="216" t="n">
        <v>14.34</v>
      </c>
      <c r="C1991" s="216" t="n">
        <v>17.82</v>
      </c>
      <c r="D1991" s="216" t="n">
        <v>1.13311505317688</v>
      </c>
      <c r="E1991" s="215" t="n">
        <v>46111</v>
      </c>
      <c r="F1991" s="215" t="n">
        <v>46111</v>
      </c>
    </row>
    <row r="1992">
      <c r="A1992" s="215" t="n">
        <v>46112</v>
      </c>
      <c r="B1992" s="216" t="n">
        <v>14.04</v>
      </c>
      <c r="C1992" s="216" t="n">
        <v>17.11</v>
      </c>
      <c r="D1992" s="216" t="n">
        <v>1.133540987968445</v>
      </c>
      <c r="E1992" s="215" t="n">
        <v>46112</v>
      </c>
      <c r="F1992" s="215" t="n">
        <v>46112</v>
      </c>
    </row>
    <row r="1993">
      <c r="A1993" s="215" t="n">
        <v>46113</v>
      </c>
      <c r="B1993" s="216" t="n">
        <v>13.87</v>
      </c>
      <c r="C1993" s="216" t="n">
        <v>16.44</v>
      </c>
      <c r="D1993" s="216" t="n">
        <v>1.136669993400574</v>
      </c>
      <c r="E1993" s="215" t="n">
        <v>46113</v>
      </c>
      <c r="F1993" s="215" t="n">
        <v>46113</v>
      </c>
    </row>
    <row r="1994">
      <c r="A1994" s="215" t="n">
        <v>46114</v>
      </c>
      <c r="B1994" s="216" t="n">
        <v>12.8</v>
      </c>
      <c r="C1994" s="216" t="n">
        <v>16.1</v>
      </c>
      <c r="D1994" s="216" t="n">
        <v>1.140197992324829</v>
      </c>
      <c r="E1994" s="215" t="n">
        <v>46114</v>
      </c>
      <c r="F1994" s="215" t="n">
        <v>46114</v>
      </c>
    </row>
    <row r="1995">
      <c r="A1995" s="215" t="n">
        <v>46120</v>
      </c>
      <c r="B1995" s="216" t="n">
        <v>13.42</v>
      </c>
      <c r="C1995" s="216" t="n">
        <v>16.58</v>
      </c>
      <c r="D1995" s="216" t="n">
        <v>1.1423499584198</v>
      </c>
      <c r="E1995" s="215" t="n">
        <v>46120</v>
      </c>
      <c r="F1995" s="215" t="n">
        <v>46120</v>
      </c>
    </row>
    <row r="1996">
      <c r="A1996" s="215" t="n">
        <v>46121</v>
      </c>
      <c r="B1996" s="216" t="n">
        <v>13.14</v>
      </c>
      <c r="C1996" s="216" t="n">
        <v>16.11</v>
      </c>
      <c r="D1996" s="216" t="n">
        <v>1.146731972694397</v>
      </c>
      <c r="E1996" s="215" t="n">
        <v>46121</v>
      </c>
      <c r="F1996" s="215" t="n">
        <v>46121</v>
      </c>
    </row>
    <row r="1997">
      <c r="A1997" s="215" t="n">
        <v>46122</v>
      </c>
      <c r="B1997" s="216" t="n">
        <v>13.08</v>
      </c>
      <c r="C1997" s="216" t="n">
        <v>16.23</v>
      </c>
      <c r="D1997" s="216" t="n">
        <v>1.146558046340942</v>
      </c>
      <c r="E1997" s="215" t="n">
        <v>46122</v>
      </c>
      <c r="F1997" s="215" t="n">
        <v>46122</v>
      </c>
    </row>
    <row r="1998">
      <c r="A1998" s="215" t="n">
        <v>46125</v>
      </c>
      <c r="B1998" s="216" t="n">
        <v>13.02</v>
      </c>
      <c r="C1998" s="216" t="n">
        <v>16.37</v>
      </c>
      <c r="D1998" s="216" t="n">
        <v>1.147117972373962</v>
      </c>
      <c r="E1998" s="215" t="n">
        <v>46125</v>
      </c>
      <c r="F1998" s="215" t="n">
        <v>46125</v>
      </c>
    </row>
    <row r="1999">
      <c r="A1999" s="215" t="n">
        <v>46126</v>
      </c>
      <c r="B1999" s="216" t="n">
        <v>12.86</v>
      </c>
      <c r="C1999" s="216" t="n">
        <v>16.43</v>
      </c>
      <c r="D1999" s="216" t="n">
        <v>1.146226048469543</v>
      </c>
      <c r="E1999" s="215" t="n">
        <v>46126</v>
      </c>
      <c r="F1999" s="215" t="n">
        <v>46126</v>
      </c>
    </row>
    <row r="2000">
      <c r="A2000" s="215" t="n">
        <v>46127</v>
      </c>
      <c r="B2000" s="216" t="n">
        <v>12.88</v>
      </c>
      <c r="C2000" s="216" t="n">
        <v>16.37</v>
      </c>
      <c r="D2000" s="216" t="n">
        <v>1.149266004562378</v>
      </c>
      <c r="E2000" s="215" t="n">
        <v>46127</v>
      </c>
      <c r="F2000" s="215" t="n">
        <v>46127</v>
      </c>
    </row>
    <row r="2001">
      <c r="A2001" s="215" t="n">
        <v>46128</v>
      </c>
      <c r="B2001" s="216" t="n">
        <v>13.26</v>
      </c>
      <c r="C2001" s="216" t="n">
        <v>17.28</v>
      </c>
      <c r="D2001" s="216" t="n">
        <v>1.148550033569336</v>
      </c>
      <c r="E2001" s="215" t="n">
        <v>46128</v>
      </c>
      <c r="F2001" s="215" t="n">
        <v>46128</v>
      </c>
    </row>
    <row r="2002">
      <c r="A2002" s="215" t="n">
        <v>46129</v>
      </c>
      <c r="B2002" s="216" t="n">
        <v>13.65</v>
      </c>
      <c r="C2002" s="216" t="n">
        <v>17.45</v>
      </c>
      <c r="D2002" s="216" t="n">
        <v>1.146605014801025</v>
      </c>
      <c r="E2002" s="215" t="n">
        <v>46129</v>
      </c>
      <c r="F2002" s="215" t="n">
        <v>46129</v>
      </c>
    </row>
    <row r="2003">
      <c r="A2003" s="215" t="n">
        <v>46132</v>
      </c>
      <c r="B2003" s="216" t="n">
        <v>13.54</v>
      </c>
      <c r="C2003" s="216" t="n">
        <v>19.2</v>
      </c>
      <c r="D2003" s="216" t="n">
        <v>1.148360967636108</v>
      </c>
      <c r="E2003" s="215" t="n">
        <v>46132</v>
      </c>
      <c r="F2003" s="215" t="n">
        <v>46132</v>
      </c>
    </row>
    <row r="2004">
      <c r="A2004" s="215" t="n">
        <v>46133</v>
      </c>
      <c r="B2004" s="216" t="n">
        <v>13.12</v>
      </c>
      <c r="C2004" s="216" t="n">
        <v>18.23</v>
      </c>
      <c r="D2004" s="216" t="n">
        <v>1.148368000984192</v>
      </c>
      <c r="E2004" s="215" t="n">
        <v>46133</v>
      </c>
      <c r="F2004" s="215" t="n">
        <v>46133</v>
      </c>
    </row>
    <row r="2005">
      <c r="A2005" s="215" t="n">
        <v>46134</v>
      </c>
      <c r="B2005" s="216" t="n">
        <v>13.44</v>
      </c>
      <c r="C2005" s="216" t="n">
        <v>18.79</v>
      </c>
      <c r="D2005" s="216" t="n">
        <v>1.147838950157166</v>
      </c>
      <c r="E2005" s="215" t="n">
        <v>46134</v>
      </c>
      <c r="F2005" s="215" t="n">
        <v>46134</v>
      </c>
    </row>
    <row r="2006">
      <c r="A2006" s="215" t="n">
        <v>46135</v>
      </c>
      <c r="B2006" s="216" t="n">
        <v>13.81</v>
      </c>
      <c r="C2006" s="216" t="n">
        <v>19.45</v>
      </c>
      <c r="D2006" s="216" t="n">
        <v>1.147513031959534</v>
      </c>
      <c r="E2006" s="215" t="n">
        <v>46135</v>
      </c>
      <c r="F2006" s="215" t="n">
        <v>46135</v>
      </c>
    </row>
    <row r="2007">
      <c r="A2007" s="215" t="n">
        <v>46136</v>
      </c>
      <c r="B2007" s="216" t="n">
        <v>13.86</v>
      </c>
      <c r="C2007" s="216" t="n">
        <v>19.56</v>
      </c>
      <c r="D2007" s="216" t="n">
        <v>1.147369027137756</v>
      </c>
      <c r="E2007" s="215" t="n">
        <v>46136</v>
      </c>
      <c r="F2007" s="215" t="n">
        <v>46136</v>
      </c>
    </row>
    <row r="2008">
      <c r="A2008" s="215" t="n">
        <v>46139</v>
      </c>
      <c r="B2008" s="216" t="n">
        <v>14.14</v>
      </c>
      <c r="C2008" s="216" t="n">
        <v>19.62</v>
      </c>
      <c r="D2008" s="216" t="n">
        <v>1.146002054214478</v>
      </c>
      <c r="E2008" s="215" t="n">
        <v>46139</v>
      </c>
      <c r="F2008" s="215" t="n">
        <v>46139</v>
      </c>
    </row>
    <row r="2009">
      <c r="A2009" s="215" t="n">
        <v>46140</v>
      </c>
      <c r="B2009" s="216" t="n">
        <v>14.05</v>
      </c>
      <c r="C2009" s="216" t="n">
        <v>19.7</v>
      </c>
      <c r="D2009" s="216" t="n">
        <v>1.148522019386292</v>
      </c>
      <c r="E2009" s="215" t="n">
        <v>46140</v>
      </c>
      <c r="F2009" s="215" t="n">
        <v>46140</v>
      </c>
    </row>
    <row r="2010">
      <c r="A2010" s="215" t="n">
        <v>46141</v>
      </c>
      <c r="B2010" s="216" t="n">
        <v>14.43</v>
      </c>
      <c r="C2010" s="216" t="n">
        <v>19.59</v>
      </c>
      <c r="D2010" s="216" t="n">
        <v>1.145936012268066</v>
      </c>
      <c r="E2010" s="215" t="n">
        <v>46141</v>
      </c>
      <c r="F2010" s="215" t="n">
        <v>46141</v>
      </c>
    </row>
    <row r="2011">
      <c r="A2011" s="215" t="n">
        <v>46142</v>
      </c>
      <c r="B2011" s="216" t="n">
        <v>15.12</v>
      </c>
      <c r="C2011" s="216" t="n">
        <v>19.92</v>
      </c>
      <c r="D2011" s="216" t="n">
        <v>1.145792007446289</v>
      </c>
      <c r="E2011" s="215" t="n">
        <v>46142</v>
      </c>
      <c r="F2011" s="215" t="n">
        <v>46142</v>
      </c>
    </row>
    <row r="2012">
      <c r="A2012" s="215" t="n">
        <v>46146</v>
      </c>
      <c r="B2012" s="216" t="n">
        <v>14.62</v>
      </c>
      <c r="C2012" s="216" t="n">
        <v>19.92</v>
      </c>
      <c r="D2012" s="216" t="n">
        <v>1.147340059280396</v>
      </c>
      <c r="E2012" s="215" t="n">
        <v>46142</v>
      </c>
      <c r="F2012" s="215" t="n">
        <v>46146</v>
      </c>
    </row>
    <row r="2013">
      <c r="A2013" s="215" t="n">
        <v>46147</v>
      </c>
      <c r="B2013" s="216" t="n">
        <v>14.58</v>
      </c>
      <c r="C2013" s="216" t="n">
        <v>19.92</v>
      </c>
      <c r="D2013" s="216" t="n">
        <v>1.146813988685608</v>
      </c>
      <c r="E2013" s="215" t="n">
        <v>46142</v>
      </c>
      <c r="F2013" s="215" t="n">
        <v>46147</v>
      </c>
    </row>
    <row r="2014">
      <c r="A2014" s="215" t="n">
        <v>46148</v>
      </c>
      <c r="B2014" s="216" t="n">
        <v>14.46</v>
      </c>
      <c r="C2014" s="216" t="n">
        <v>19.83</v>
      </c>
      <c r="D2014" s="216" t="n">
        <v>1.14708399772644</v>
      </c>
      <c r="E2014" s="215" t="n">
        <v>46148</v>
      </c>
      <c r="F2014" s="215" t="n">
        <v>46148</v>
      </c>
    </row>
    <row r="2015">
      <c r="A2015" s="215" t="n">
        <v>46149</v>
      </c>
      <c r="B2015" s="216" t="n">
        <v>15.02</v>
      </c>
      <c r="C2015" s="216" t="n">
        <v>21.4</v>
      </c>
      <c r="D2015" s="216" t="n">
        <v>1.150125026702881</v>
      </c>
      <c r="E2015" s="215" t="n">
        <v>46149</v>
      </c>
      <c r="F2015" s="215" t="n">
        <v>46149</v>
      </c>
    </row>
    <row r="2016">
      <c r="A2016" s="215" t="n">
        <v>46150</v>
      </c>
      <c r="B2016" s="216" t="n">
        <v>15.12</v>
      </c>
      <c r="C2016" s="216" t="n">
        <v>21.84</v>
      </c>
      <c r="D2016" s="216" t="n">
        <v>1.15172004699707</v>
      </c>
      <c r="E2016" s="215" t="n">
        <v>46150</v>
      </c>
      <c r="F2016" s="215" t="n">
        <v>46150</v>
      </c>
    </row>
    <row r="2017">
      <c r="A2017" s="215" t="n">
        <v>46153</v>
      </c>
      <c r="B2017" s="216" t="n">
        <v>15.9</v>
      </c>
      <c r="C2017" s="216" t="n">
        <v>22.15</v>
      </c>
      <c r="D2017" s="216" t="n">
        <v>1.151090025901794</v>
      </c>
      <c r="E2017" s="215" t="n">
        <v>46153</v>
      </c>
      <c r="F2017" s="215" t="n">
        <v>46153</v>
      </c>
    </row>
    <row r="2018">
      <c r="A2018" s="215" t="n">
        <v>46154</v>
      </c>
      <c r="B2018" s="216" t="n">
        <v>15.8</v>
      </c>
      <c r="C2018" s="216" t="n">
        <v>22.47</v>
      </c>
      <c r="D2018" s="216" t="n">
        <v>1.152078986167908</v>
      </c>
      <c r="E2018" s="215" t="n">
        <v>46154</v>
      </c>
      <c r="F2018" s="215" t="n">
        <v>46154</v>
      </c>
    </row>
    <row r="2019">
      <c r="A2019" s="215" t="n">
        <v>46155</v>
      </c>
      <c r="B2019" s="216" t="n">
        <v>16.95</v>
      </c>
      <c r="C2019" s="216" t="n">
        <v>23.49</v>
      </c>
      <c r="D2019" s="216" t="n">
        <v>1.152537941932678</v>
      </c>
      <c r="E2019" s="215" t="n">
        <v>46155</v>
      </c>
      <c r="F2019" s="215" t="n">
        <v>46155</v>
      </c>
    </row>
    <row r="2020">
      <c r="A2020" s="215" t="n">
        <v>46156</v>
      </c>
      <c r="B2020" s="216" t="n">
        <v>16.52</v>
      </c>
      <c r="C2020" s="216" t="n">
        <v>22.77</v>
      </c>
      <c r="D2020" s="216" t="n">
        <v>1.152662992477417</v>
      </c>
      <c r="E2020" s="215" t="n">
        <v>46156</v>
      </c>
      <c r="F2020" s="215" t="n">
        <v>46156</v>
      </c>
    </row>
    <row r="2021">
      <c r="A2021" s="215" t="n">
        <v>46157</v>
      </c>
      <c r="B2021" s="216" t="n">
        <v>16.08</v>
      </c>
      <c r="C2021" s="216" t="n">
        <v>22.52</v>
      </c>
      <c r="D2021" s="216" t="n">
        <v>1.154320001602173</v>
      </c>
      <c r="E2021" s="215" t="n">
        <v>46157</v>
      </c>
      <c r="F2021" s="215" t="n">
        <v>46157</v>
      </c>
    </row>
    <row r="2022">
      <c r="A2022" s="215" t="n">
        <v>46160</v>
      </c>
      <c r="B2022" s="216" t="n">
        <v>15.26</v>
      </c>
      <c r="C2022" s="216" t="n">
        <v>22.37</v>
      </c>
      <c r="D2022" s="216" t="n">
        <v>1.149821996688843</v>
      </c>
      <c r="E2022" s="215" t="n">
        <v>46160</v>
      </c>
      <c r="F2022" s="215" t="n">
        <v>46160</v>
      </c>
    </row>
    <row r="2023">
      <c r="A2023" s="215" t="n">
        <v>46161</v>
      </c>
      <c r="B2023" s="216" t="n">
        <v>15.37</v>
      </c>
      <c r="C2023" s="216" t="n">
        <v>22.86</v>
      </c>
      <c r="D2023" s="216" t="n">
        <v>1.151532053947449</v>
      </c>
      <c r="E2023" s="215" t="n">
        <v>46161</v>
      </c>
      <c r="F2023" s="215" t="n">
        <v>46161</v>
      </c>
    </row>
    <row r="2024">
      <c r="A2024" s="215" t="n">
        <v>46162</v>
      </c>
      <c r="B2024" s="216" t="n">
        <v>15.25</v>
      </c>
      <c r="C2024" s="216" t="n">
        <v>22.1</v>
      </c>
      <c r="D2024" s="216" t="n">
        <v>1.149292945861816</v>
      </c>
      <c r="E2024" s="215" t="n">
        <v>46162</v>
      </c>
      <c r="F2024" s="215" t="n">
        <v>46162</v>
      </c>
    </row>
    <row r="2025">
      <c r="A2025" s="215" t="n">
        <v>46163</v>
      </c>
      <c r="B2025" s="216" t="n">
        <v>14.78</v>
      </c>
      <c r="C2025" s="216" t="n">
        <v>21.32</v>
      </c>
      <c r="D2025" s="216" t="n">
        <v>1.151231050491333</v>
      </c>
      <c r="E2025" s="215" t="n">
        <v>46163</v>
      </c>
      <c r="F2025" s="215" t="n">
        <v>46163</v>
      </c>
    </row>
    <row r="2026">
      <c r="A2026" s="215" t="n">
        <v>46164</v>
      </c>
      <c r="B2026" s="216" t="n">
        <v>15.9</v>
      </c>
      <c r="C2026" s="216" t="n">
        <v>22.02</v>
      </c>
      <c r="D2026" s="216" t="n">
        <v>1.151487946510315</v>
      </c>
      <c r="E2026" s="215" t="n">
        <v>46164</v>
      </c>
      <c r="F2026" s="215" t="n">
        <v>46164</v>
      </c>
    </row>
    <row r="2027">
      <c r="A2027" s="215" t="n">
        <v>46168</v>
      </c>
      <c r="B2027" s="216" t="n">
        <v>15.8</v>
      </c>
      <c r="C2027" s="216" t="n">
        <v>22.17</v>
      </c>
      <c r="D2027" s="216" t="n">
        <v>1.152968049049377</v>
      </c>
      <c r="E2027" s="215" t="n">
        <v>46168</v>
      </c>
      <c r="F2027" s="215" t="n">
        <v>46168</v>
      </c>
    </row>
    <row r="2028">
      <c r="A2028" s="215" t="n">
        <v>46169</v>
      </c>
      <c r="B2028" s="216" t="n">
        <v>15.29</v>
      </c>
      <c r="C2028" s="216" t="n">
        <v>22</v>
      </c>
      <c r="D2028" s="216" t="n">
        <v>1.154562950134277</v>
      </c>
      <c r="E2028" s="215" t="n">
        <v>46169</v>
      </c>
      <c r="F2028" s="215" t="n">
        <v>46169</v>
      </c>
    </row>
    <row r="2029">
      <c r="A2029" s="215" t="n">
        <v>46170</v>
      </c>
      <c r="B2029" s="216" t="n">
        <v>15.44</v>
      </c>
      <c r="C2029" s="216" t="n">
        <v>21.94</v>
      </c>
      <c r="D2029" s="216" t="n">
        <v>1.155385971069336</v>
      </c>
      <c r="E2029" s="215" t="n">
        <v>46170</v>
      </c>
      <c r="F2029" s="215" t="n">
        <v>46170</v>
      </c>
    </row>
    <row r="2030">
      <c r="A2030" s="215" t="n">
        <v>46171</v>
      </c>
      <c r="B2030" s="216" t="n">
        <v>15.42</v>
      </c>
      <c r="C2030" s="216" t="n">
        <v>21.8</v>
      </c>
      <c r="D2030" s="216" t="n">
        <v>1.155282974243164</v>
      </c>
      <c r="E2030" s="215" t="n">
        <v>46171</v>
      </c>
      <c r="F2030" s="215" t="n">
        <v>46171</v>
      </c>
    </row>
    <row r="2031">
      <c r="A2031" s="215" t="n">
        <v>46174</v>
      </c>
      <c r="B2031" s="216" t="n">
        <v>16.22</v>
      </c>
      <c r="C2031" s="216" t="n">
        <v>22.3</v>
      </c>
      <c r="D2031" s="216" t="n">
        <v>1.158049941062927</v>
      </c>
      <c r="E2031" s="215" t="n">
        <v>46174</v>
      </c>
      <c r="F2031" s="215" t="n">
        <v>46174</v>
      </c>
    </row>
    <row r="2032">
      <c r="A2032" s="215" t="n">
        <v>46175</v>
      </c>
      <c r="B2032" s="216" t="n">
        <v>16.35</v>
      </c>
      <c r="C2032" s="216" t="n">
        <v>22.3</v>
      </c>
      <c r="D2032" s="216" t="n">
        <v>1.158406972885132</v>
      </c>
      <c r="E2032" s="215" t="n">
        <v>46175</v>
      </c>
      <c r="F2032" s="215" t="n">
        <v>46175</v>
      </c>
    </row>
    <row r="2033">
      <c r="A2033" s="215" t="n">
        <v>46176</v>
      </c>
      <c r="B2033" s="216" t="n">
        <v>16.46</v>
      </c>
      <c r="C2033" s="216" t="n">
        <v>21.81</v>
      </c>
      <c r="D2033" s="216" t="n">
        <v>1.15879499912262</v>
      </c>
      <c r="E2033" s="215" t="n">
        <v>46176</v>
      </c>
      <c r="F2033" s="215" t="n">
        <v>46176</v>
      </c>
    </row>
    <row r="2034">
      <c r="A2034" s="215" t="n">
        <v>46177</v>
      </c>
      <c r="B2034" s="216" t="n">
        <v>16.05</v>
      </c>
      <c r="C2034" s="216" t="n">
        <v>21.41</v>
      </c>
      <c r="D2034" s="216" t="n">
        <v>1.157420039176941</v>
      </c>
      <c r="E2034" s="215" t="n">
        <v>46177</v>
      </c>
      <c r="F2034" s="215" t="n">
        <v>46177</v>
      </c>
    </row>
    <row r="2035">
      <c r="A2035" s="215" t="n">
        <v>46178</v>
      </c>
      <c r="B2035" s="216" t="n">
        <v>15.77</v>
      </c>
      <c r="C2035" s="216" t="n">
        <v>20.93</v>
      </c>
      <c r="D2035" s="216" t="n">
        <v>1.156491994857788</v>
      </c>
      <c r="E2035" s="215" t="n">
        <v>46178</v>
      </c>
      <c r="F2035" s="215" t="n">
        <v>46178</v>
      </c>
    </row>
    <row r="2036">
      <c r="A2036" s="215" t="n">
        <v>46181</v>
      </c>
      <c r="B2036" s="216" t="n">
        <v>15.16</v>
      </c>
      <c r="C2036" s="216" t="n">
        <v>19.79</v>
      </c>
      <c r="D2036" s="216" t="n">
        <v>1.157665967941284</v>
      </c>
      <c r="E2036" s="215" t="n">
        <v>46181</v>
      </c>
      <c r="F2036" s="215" t="n">
        <v>46181</v>
      </c>
    </row>
    <row r="2037">
      <c r="A2037" s="215" t="n">
        <v>46182</v>
      </c>
      <c r="B2037" s="216" t="n">
        <v>15.2</v>
      </c>
      <c r="C2037" s="216" t="n">
        <v>20.66</v>
      </c>
      <c r="D2037" s="216" t="n">
        <v>1.158027052879333</v>
      </c>
      <c r="E2037" s="215" t="n">
        <v>46182</v>
      </c>
      <c r="F2037" s="215" t="n">
        <v>46182</v>
      </c>
    </row>
    <row r="2038">
      <c r="A2038" s="215" t="n">
        <v>46183</v>
      </c>
      <c r="B2038" s="216" t="n">
        <v>14.38</v>
      </c>
      <c r="C2038" s="216" t="n">
        <v>20.94</v>
      </c>
      <c r="D2038" s="216" t="n">
        <v>1.157112002372742</v>
      </c>
      <c r="E2038" s="215" t="n">
        <v>46183</v>
      </c>
      <c r="F2038" s="215" t="n">
        <v>46183</v>
      </c>
    </row>
    <row r="2039">
      <c r="A2039" s="215" t="n">
        <v>46184</v>
      </c>
      <c r="B2039" s="216" t="n">
        <v>14.42</v>
      </c>
      <c r="C2039" s="216" t="n">
        <v>21.07</v>
      </c>
      <c r="D2039" s="216" t="n">
        <v>1.156929016113281</v>
      </c>
      <c r="E2039" s="215" t="n">
        <v>46184</v>
      </c>
      <c r="F2039" s="215" t="n">
        <v>46184</v>
      </c>
    </row>
    <row r="2040">
      <c r="A2040" s="215" t="n">
        <v>46185</v>
      </c>
      <c r="B2040" s="216" t="n">
        <v>14.98</v>
      </c>
      <c r="C2040" s="216" t="n">
        <v>21.57</v>
      </c>
      <c r="D2040" s="216" t="n">
        <v>1.156345963478088</v>
      </c>
      <c r="E2040" s="215" t="n">
        <v>46185</v>
      </c>
      <c r="F2040" s="215" t="n">
        <v>46185</v>
      </c>
    </row>
    <row r="2041">
      <c r="A2041" s="215" t="n">
        <v>46188</v>
      </c>
      <c r="B2041" s="216" t="n">
        <v>14.81</v>
      </c>
      <c r="C2041" s="216" t="n">
        <v>22.01</v>
      </c>
      <c r="D2041" s="216" t="n">
        <v>1.156880021095276</v>
      </c>
      <c r="E2041" s="215" t="n">
        <v>46188</v>
      </c>
      <c r="F2041" s="215" t="n">
        <v>46188</v>
      </c>
    </row>
    <row r="2042">
      <c r="A2042" s="215" t="n">
        <v>46189</v>
      </c>
      <c r="B2042" s="216" t="n">
        <v>14.49</v>
      </c>
      <c r="C2042" s="216" t="n">
        <v>22.01</v>
      </c>
      <c r="D2042" s="216" t="n">
        <v>1.158604025840759</v>
      </c>
      <c r="E2042" s="215" t="n">
        <v>46189</v>
      </c>
      <c r="F2042" s="215" t="n">
        <v>46189</v>
      </c>
    </row>
    <row r="2043">
      <c r="A2043" s="215" t="n">
        <v>46190</v>
      </c>
      <c r="B2043" s="216" t="n">
        <v>15.4</v>
      </c>
      <c r="C2043" s="216" t="n">
        <v>22.67</v>
      </c>
      <c r="D2043" s="216" t="n">
        <v>1.158974051475525</v>
      </c>
      <c r="E2043" s="215" t="n">
        <v>46190</v>
      </c>
      <c r="F2043" s="215" t="n">
        <v>46190</v>
      </c>
    </row>
    <row r="2044">
      <c r="A2044" s="215" t="n">
        <v>46191</v>
      </c>
      <c r="B2044" s="216" t="n">
        <v>15.28</v>
      </c>
      <c r="C2044" s="216" t="n">
        <v>23.9</v>
      </c>
      <c r="D2044" s="216" t="n">
        <v>1.159355998039246</v>
      </c>
      <c r="E2044" s="215" t="n">
        <v>46191</v>
      </c>
      <c r="F2044" s="215" t="n">
        <v>46191</v>
      </c>
    </row>
    <row r="2045">
      <c r="A2045" s="215" t="n">
        <v>46195</v>
      </c>
      <c r="B2045" s="216" t="n">
        <v>14.74</v>
      </c>
      <c r="C2045" s="216" t="n">
        <v>23.27</v>
      </c>
      <c r="D2045" s="216" t="n">
        <v>1.157493948936462</v>
      </c>
      <c r="E2045" s="215" t="n">
        <v>46195</v>
      </c>
      <c r="F2045" s="215" t="n">
        <v>46195</v>
      </c>
    </row>
    <row r="2046">
      <c r="A2046" s="215" t="n">
        <v>46196</v>
      </c>
      <c r="B2046" s="216" t="n">
        <v>16.35</v>
      </c>
      <c r="C2046" s="216" t="n">
        <v>23.93</v>
      </c>
      <c r="D2046" s="216" t="n">
        <v>1.156896948814392</v>
      </c>
      <c r="E2046" s="215" t="n">
        <v>46196</v>
      </c>
      <c r="F2046" s="215" t="n">
        <v>46196</v>
      </c>
    </row>
    <row r="2047">
      <c r="A2047" s="215" t="n">
        <v>46197</v>
      </c>
      <c r="B2047" s="216" t="n">
        <v>17.8</v>
      </c>
      <c r="C2047" s="216" t="n">
        <v>26.13</v>
      </c>
      <c r="D2047" s="216" t="n">
        <v>1.154508948326111</v>
      </c>
      <c r="E2047" s="215" t="n">
        <v>46197</v>
      </c>
      <c r="F2047" s="215" t="n">
        <v>46197</v>
      </c>
    </row>
    <row r="2048">
      <c r="A2048" s="215" t="n">
        <v>46198</v>
      </c>
      <c r="B2048" s="216" t="n">
        <v>17.8</v>
      </c>
      <c r="C2048" s="216" t="n">
        <v>27.29</v>
      </c>
      <c r="D2048" s="216" t="n">
        <v>1.154152035713196</v>
      </c>
      <c r="E2048" s="215" t="n">
        <v>46198</v>
      </c>
      <c r="F2048" s="215" t="n">
        <v>46198</v>
      </c>
    </row>
    <row r="2049">
      <c r="A2049" s="215" t="n">
        <v>46199</v>
      </c>
      <c r="B2049" s="216" t="n">
        <v>17.55</v>
      </c>
      <c r="C2049" s="216" t="n">
        <v>26.41</v>
      </c>
      <c r="D2049" s="216" t="n">
        <v>1.154500961303711</v>
      </c>
      <c r="E2049" s="215" t="n">
        <v>46199</v>
      </c>
      <c r="F2049" s="215" t="n">
        <v>46199</v>
      </c>
    </row>
    <row r="2050">
      <c r="A2050" s="215" t="n">
        <v>46202</v>
      </c>
      <c r="B2050" s="216" t="n">
        <v>17.05</v>
      </c>
      <c r="C2050" s="216" t="n">
        <v>26.03</v>
      </c>
      <c r="D2050" s="216" t="n">
        <v>1.153512001037598</v>
      </c>
      <c r="E2050" s="215" t="n">
        <v>46202</v>
      </c>
      <c r="F2050" s="215" t="n">
        <v>46202</v>
      </c>
    </row>
    <row r="2051">
      <c r="A2051" s="215" t="n">
        <v>46203</v>
      </c>
      <c r="B2051" s="216" t="n">
        <v>16.99</v>
      </c>
      <c r="C2051" s="216" t="n">
        <v>25.84</v>
      </c>
      <c r="D2051" s="216" t="n">
        <v>1.153959035873413</v>
      </c>
      <c r="E2051" s="215" t="n">
        <v>46203</v>
      </c>
      <c r="F2051" s="215" t="n">
        <v>46203</v>
      </c>
    </row>
    <row r="2052">
      <c r="A2052" s="215" t="n">
        <v>46205</v>
      </c>
      <c r="B2052" s="216" t="n">
        <v>16.91</v>
      </c>
      <c r="C2052" s="216" t="n">
        <v>25.55</v>
      </c>
      <c r="D2052" s="216" t="n">
        <v>1.154355049133301</v>
      </c>
      <c r="E2052" s="215" t="n">
        <v>46205</v>
      </c>
      <c r="F2052" s="215" t="n">
        <v>46205</v>
      </c>
    </row>
    <row r="2053">
      <c r="A2053" s="215" t="n">
        <v>46206</v>
      </c>
      <c r="B2053" s="216" t="n">
        <v>15.93</v>
      </c>
      <c r="C2053" s="216" t="n">
        <v>24.13</v>
      </c>
      <c r="D2053" s="216" t="n">
        <v>1.155220985412598</v>
      </c>
      <c r="E2053" s="215" t="n">
        <v>46206</v>
      </c>
      <c r="F2053" s="215" t="n">
        <v>46206</v>
      </c>
    </row>
    <row r="2054">
      <c r="A2054" s="215" t="n">
        <v>46209</v>
      </c>
      <c r="B2054" s="216" t="n">
        <v>15.81</v>
      </c>
      <c r="C2054" s="216" t="n">
        <v>22.95</v>
      </c>
      <c r="D2054" s="216" t="n">
        <v>1.155068039894104</v>
      </c>
      <c r="E2054" s="215" t="n">
        <v>46209</v>
      </c>
      <c r="F2054" s="215" t="n">
        <v>46209</v>
      </c>
    </row>
    <row r="2055">
      <c r="A2055" s="215" t="n">
        <v>46210</v>
      </c>
      <c r="B2055" s="216" t="n">
        <v>15.82</v>
      </c>
      <c r="C2055" s="216" t="n">
        <v>23.88</v>
      </c>
      <c r="D2055" s="216" t="n">
        <v>1.153807997703552</v>
      </c>
      <c r="E2055" s="215" t="n">
        <v>46210</v>
      </c>
      <c r="F2055" s="215" t="n">
        <v>46210</v>
      </c>
    </row>
    <row r="2056">
      <c r="A2056" s="215" t="n">
        <v>46211</v>
      </c>
      <c r="B2056" s="216" t="n">
        <v>15.17</v>
      </c>
      <c r="C2056" s="216" t="n">
        <v>23.06</v>
      </c>
      <c r="D2056" s="216" t="n">
        <v>1.154153943061829</v>
      </c>
      <c r="E2056" s="215" t="n">
        <v>46211</v>
      </c>
      <c r="F2056" s="215" t="n">
        <v>46211</v>
      </c>
    </row>
    <row r="2057">
      <c r="A2057" s="215" t="n">
        <v>46212</v>
      </c>
      <c r="B2057" s="216" t="n">
        <v>15.65</v>
      </c>
      <c r="C2057" s="216" t="n">
        <v>23.42</v>
      </c>
      <c r="D2057" s="216" t="n">
        <v>1.152119994163513</v>
      </c>
      <c r="E2057" s="215" t="n">
        <v>46212</v>
      </c>
      <c r="F2057" s="215" t="n">
        <v>46212</v>
      </c>
    </row>
    <row r="2058">
      <c r="A2058" s="215" t="n">
        <v>46213</v>
      </c>
      <c r="B2058" s="216" t="n">
        <v>14.13</v>
      </c>
      <c r="C2058" s="216" t="n">
        <v>22.81</v>
      </c>
      <c r="D2058" s="216" t="n">
        <v>1.153550028800964</v>
      </c>
      <c r="E2058" s="215" t="n">
        <v>46213</v>
      </c>
      <c r="F2058" s="215" t="n">
        <v>46213</v>
      </c>
    </row>
    <row r="2059">
      <c r="A2059" s="215" t="n">
        <v>46216</v>
      </c>
      <c r="B2059" s="216" t="n">
        <v>14.12</v>
      </c>
      <c r="C2059" s="216" t="n">
        <v>22.12</v>
      </c>
      <c r="D2059" s="216" t="n">
        <v>1.156761050224304</v>
      </c>
      <c r="E2059" s="215" t="n">
        <v>46216</v>
      </c>
      <c r="F2059" s="215" t="n">
        <v>46216</v>
      </c>
    </row>
    <row r="2060">
      <c r="A2060" s="215" t="n">
        <v>46217</v>
      </c>
      <c r="B2060" s="216" t="n">
        <v>14.38</v>
      </c>
      <c r="C2060" s="216" t="n">
        <v>22.32</v>
      </c>
      <c r="D2060" s="216" t="n">
        <v>1.155825972557068</v>
      </c>
      <c r="E2060" s="215" t="n">
        <v>46217</v>
      </c>
      <c r="F2060" s="215" t="n">
        <v>46217</v>
      </c>
    </row>
    <row r="2061">
      <c r="A2061" s="215" t="n">
        <v>46218</v>
      </c>
      <c r="B2061" s="216" t="n">
        <v>14.75</v>
      </c>
      <c r="C2061" s="216" t="n">
        <v>22.22</v>
      </c>
      <c r="D2061" s="216" t="n">
        <v>1.157556056976318</v>
      </c>
      <c r="E2061" s="215" t="n">
        <v>46218</v>
      </c>
      <c r="F2061" s="215" t="n">
        <v>46218</v>
      </c>
    </row>
    <row r="2062">
      <c r="A2062" s="215" t="n">
        <v>46219</v>
      </c>
      <c r="B2062" s="216" t="n">
        <v>15.5</v>
      </c>
      <c r="C2062" s="216" t="n">
        <v>20.83</v>
      </c>
      <c r="D2062" s="216" t="n">
        <v>1.157912969589233</v>
      </c>
      <c r="E2062" s="215" t="n">
        <v>46219</v>
      </c>
      <c r="F2062" s="215" t="n">
        <v>46219</v>
      </c>
    </row>
    <row r="2063">
      <c r="A2063" s="215" t="n">
        <v>46220</v>
      </c>
      <c r="B2063" s="216" t="n">
        <v>14.08</v>
      </c>
      <c r="C2063" s="216" t="n">
        <v>20.1</v>
      </c>
      <c r="D2063" s="216" t="n">
        <v>1.157472014427185</v>
      </c>
      <c r="E2063" s="215" t="n">
        <v>46220</v>
      </c>
      <c r="F2063" s="215" t="n">
        <v>46220</v>
      </c>
    </row>
    <row r="2064">
      <c r="A2064" s="215" t="n">
        <v>46223</v>
      </c>
      <c r="B2064" s="216" t="n">
        <v>12.28</v>
      </c>
      <c r="C2064" s="216" t="n">
        <v>18.3</v>
      </c>
      <c r="D2064" s="216" t="n">
        <v>1.157451033592224</v>
      </c>
      <c r="E2064" s="215" t="n">
        <v>46223</v>
      </c>
      <c r="F2064" s="215" t="n">
        <v>46223</v>
      </c>
    </row>
    <row r="2065">
      <c r="A2065" s="215" t="n">
        <v>46224</v>
      </c>
      <c r="B2065" s="216" t="n">
        <v>13.39</v>
      </c>
      <c r="C2065" s="216" t="n">
        <v>19.51</v>
      </c>
      <c r="D2065" s="216" t="n">
        <v>1.157506942749023</v>
      </c>
      <c r="E2065" s="215" t="n">
        <v>46224</v>
      </c>
      <c r="F2065" s="215" t="n">
        <v>46224</v>
      </c>
    </row>
    <row r="2066">
      <c r="A2066" s="215" t="n">
        <v>46225</v>
      </c>
      <c r="B2066" s="216" t="n">
        <v>12.42</v>
      </c>
      <c r="C2066" s="216" t="n">
        <v>17.96</v>
      </c>
      <c r="D2066" s="216" t="n">
        <v>1.158938050270081</v>
      </c>
      <c r="E2066" s="215" t="n">
        <v>46225</v>
      </c>
      <c r="F2066" s="215" t="n">
        <v>46225</v>
      </c>
    </row>
    <row r="2067">
      <c r="A2067" s="215" t="n">
        <v>46226</v>
      </c>
      <c r="B2067" s="216" t="n">
        <v>12.2</v>
      </c>
      <c r="C2067" s="216" t="n">
        <v>18.25</v>
      </c>
      <c r="D2067" s="216" t="n">
        <v>1.157410979270935</v>
      </c>
      <c r="E2067" s="215" t="n">
        <v>46226</v>
      </c>
      <c r="F2067" s="215" t="n">
        <v>46226</v>
      </c>
    </row>
    <row r="2068">
      <c r="A2068" s="215" t="n">
        <v>46227</v>
      </c>
      <c r="B2068" s="216" t="n">
        <v>11.83</v>
      </c>
      <c r="C2068" s="216" t="n">
        <v>17.84</v>
      </c>
      <c r="D2068" s="216" t="n">
        <v>1.15762197971344</v>
      </c>
      <c r="E2068" s="215" t="n">
        <v>46227</v>
      </c>
      <c r="F2068" s="215" t="n">
        <v>46227</v>
      </c>
    </row>
    <row r="2069">
      <c r="A2069" s="215" t="n">
        <v>46230</v>
      </c>
      <c r="B2069" s="216" t="n">
        <v>12.17</v>
      </c>
      <c r="C2069" s="216" t="n">
        <v>18.09</v>
      </c>
      <c r="D2069" s="216" t="n">
        <v>1.15789794921875</v>
      </c>
      <c r="E2069" s="215" t="n">
        <v>46230</v>
      </c>
      <c r="F2069" s="215" t="n">
        <v>46230</v>
      </c>
    </row>
    <row r="2070">
      <c r="A2070" s="215" t="n">
        <v>46231</v>
      </c>
      <c r="B2070" s="216" t="n">
        <v>12.12</v>
      </c>
      <c r="C2070" s="216" t="n">
        <v>18</v>
      </c>
      <c r="D2070" s="216" t="n">
        <v>1.158699035644531</v>
      </c>
      <c r="E2070" s="215" t="n">
        <v>46231</v>
      </c>
      <c r="F2070" s="215" t="n">
        <v>46231</v>
      </c>
    </row>
    <row r="2071">
      <c r="A2071" s="215" t="n">
        <v>46232</v>
      </c>
      <c r="B2071" s="216" t="n">
        <v>12.11</v>
      </c>
      <c r="C2071" s="216" t="n">
        <v>18.22</v>
      </c>
      <c r="D2071" s="216" t="n">
        <v>1.157909989356995</v>
      </c>
      <c r="E2071" s="215" t="n">
        <v>46232</v>
      </c>
      <c r="F2071" s="215" t="n">
        <v>46232</v>
      </c>
    </row>
    <row r="2072">
      <c r="A2072" s="215" t="n">
        <v>46233</v>
      </c>
      <c r="B2072" s="216" t="n">
        <v>12.13</v>
      </c>
      <c r="C2072" s="216" t="n">
        <v>17.45</v>
      </c>
      <c r="D2072" s="216" t="n">
        <v>1.158943057060242</v>
      </c>
      <c r="E2072" s="215" t="n">
        <v>46233</v>
      </c>
      <c r="F2072" s="215" t="n">
        <v>46233</v>
      </c>
    </row>
    <row r="2073">
      <c r="A2073" s="215" t="n">
        <v>46234</v>
      </c>
      <c r="B2073" s="216" t="n">
        <v>12.14</v>
      </c>
      <c r="C2073" s="216" t="n">
        <v>17.5</v>
      </c>
      <c r="D2073" s="216" t="n">
        <v>1.160945057868958</v>
      </c>
      <c r="E2073" s="215" t="n">
        <v>46234</v>
      </c>
      <c r="F2073" s="215" t="n">
        <v>46234</v>
      </c>
    </row>
    <row r="2074">
      <c r="A2074" s="215" t="n">
        <v>46237</v>
      </c>
      <c r="B2074" s="216" t="n">
        <v>13.26</v>
      </c>
      <c r="C2074" s="216" t="n">
        <v>19.25</v>
      </c>
      <c r="D2074" s="216" t="n">
        <v>1.161579966545105</v>
      </c>
      <c r="E2074" s="215" t="n">
        <v>46237</v>
      </c>
      <c r="F2074" s="215" t="n">
        <v>46237</v>
      </c>
    </row>
    <row r="2075">
      <c r="A2075" s="215" t="n">
        <v>46238</v>
      </c>
      <c r="B2075" s="216" t="n">
        <v>13.43</v>
      </c>
      <c r="C2075" s="216" t="n">
        <v>19.79</v>
      </c>
      <c r="D2075" s="216" t="n">
        <v>1.161064982414246</v>
      </c>
      <c r="E2075" s="215" t="n">
        <v>46238</v>
      </c>
      <c r="F2075" s="215" t="n">
        <v>46238</v>
      </c>
    </row>
    <row r="2076">
      <c r="A2076" s="215" t="n">
        <v>46239</v>
      </c>
      <c r="B2076" s="216" t="n">
        <v>13.01</v>
      </c>
      <c r="C2076" s="216" t="n">
        <v>19.58</v>
      </c>
      <c r="D2076" s="216" t="n">
        <v>1.161146998405457</v>
      </c>
      <c r="E2076" s="215" t="n">
        <v>46239</v>
      </c>
      <c r="F2076" s="215" t="n">
        <v>46239</v>
      </c>
    </row>
    <row r="2077">
      <c r="A2077" s="215" t="n">
        <v>46240</v>
      </c>
      <c r="B2077" s="216" t="n">
        <v>13</v>
      </c>
      <c r="C2077" s="216" t="n">
        <v>19.98</v>
      </c>
      <c r="D2077" s="216" t="n">
        <v>1.161936044692993</v>
      </c>
      <c r="E2077" s="215" t="n">
        <v>46240</v>
      </c>
      <c r="F2077" s="215" t="n">
        <v>46240</v>
      </c>
    </row>
    <row r="2078">
      <c r="A2078" s="215" t="n">
        <v>46241</v>
      </c>
      <c r="B2078" s="216" t="n">
        <v>12.7</v>
      </c>
      <c r="C2078" s="216" t="n">
        <v>19.48</v>
      </c>
      <c r="D2078" s="216" t="n">
        <v>1.162284016609192</v>
      </c>
      <c r="E2078" s="215" t="n">
        <v>46241</v>
      </c>
      <c r="F2078" s="215" t="n">
        <v>46241</v>
      </c>
    </row>
    <row r="2079">
      <c r="A2079" s="215" t="n">
        <v>46244</v>
      </c>
      <c r="B2079" s="216" t="n">
        <v>12.7</v>
      </c>
      <c r="C2079" s="216" t="n">
        <v>19.54</v>
      </c>
      <c r="D2079" s="216" t="n">
        <v>1.162629961967468</v>
      </c>
      <c r="E2079" s="215" t="n">
        <v>46244</v>
      </c>
      <c r="F2079" s="215" t="n">
        <v>46244</v>
      </c>
    </row>
    <row r="2080">
      <c r="A2080" s="215" t="n">
        <v>46245</v>
      </c>
      <c r="B2080" s="216" t="n">
        <v>12.41</v>
      </c>
      <c r="C2080" s="216" t="n">
        <v>18.73</v>
      </c>
      <c r="D2080" s="216" t="n">
        <v>1.162588000297546</v>
      </c>
      <c r="E2080" s="215" t="n">
        <v>46245</v>
      </c>
      <c r="F2080" s="215" t="n">
        <v>46245</v>
      </c>
    </row>
    <row r="2081">
      <c r="A2081" s="215" t="n">
        <v>46246</v>
      </c>
      <c r="B2081" s="216" t="n">
        <v>12.9</v>
      </c>
      <c r="C2081" s="216" t="n">
        <v>19.82</v>
      </c>
      <c r="D2081" s="216" t="n">
        <v>1.163135051727295</v>
      </c>
      <c r="E2081" s="215" t="n">
        <v>46246</v>
      </c>
      <c r="F2081" s="215" t="n">
        <v>46246</v>
      </c>
    </row>
    <row r="2082">
      <c r="A2082" s="215" t="n">
        <v>46247</v>
      </c>
      <c r="B2082" s="216" t="n">
        <v>12.3</v>
      </c>
      <c r="C2082" s="216" t="n">
        <v>19.6</v>
      </c>
      <c r="D2082" s="216" t="n">
        <v>1.163341045379639</v>
      </c>
      <c r="E2082" s="215" t="n">
        <v>46247</v>
      </c>
      <c r="F2082" s="215" t="n">
        <v>46247</v>
      </c>
    </row>
    <row r="2083">
      <c r="A2083" s="215" t="n">
        <v>46248</v>
      </c>
      <c r="B2083" s="216" t="n">
        <v>12.31</v>
      </c>
      <c r="C2083" s="216" t="n">
        <v>19.48</v>
      </c>
      <c r="D2083" s="216" t="n">
        <v>1.163571000099182</v>
      </c>
      <c r="E2083" s="215" t="n">
        <v>46248</v>
      </c>
      <c r="F2083" s="215" t="n">
        <v>46248</v>
      </c>
    </row>
    <row r="2084">
      <c r="A2084" s="215" t="n">
        <v>46251</v>
      </c>
      <c r="B2084" s="216" t="n">
        <v>12.62</v>
      </c>
      <c r="C2084" s="216" t="n">
        <v>19.97</v>
      </c>
      <c r="D2084" s="216" t="n">
        <v>1.163601994514465</v>
      </c>
      <c r="E2084" s="215" t="n">
        <v>46251</v>
      </c>
      <c r="F2084" s="215" t="n">
        <v>46251</v>
      </c>
    </row>
    <row r="2085">
      <c r="A2085" s="215" t="n">
        <v>46252</v>
      </c>
      <c r="B2085" s="216" t="n">
        <v>12.25</v>
      </c>
      <c r="C2085" s="216" t="n">
        <v>19.65</v>
      </c>
      <c r="D2085" s="216" t="n">
        <v>1.163733005523682</v>
      </c>
      <c r="E2085" s="215" t="n">
        <v>46252</v>
      </c>
      <c r="F2085" s="215" t="n">
        <v>46252</v>
      </c>
    </row>
    <row r="2086">
      <c r="A2086" s="215" t="n">
        <v>46253</v>
      </c>
      <c r="B2086" s="216" t="n">
        <v>12</v>
      </c>
      <c r="C2086" s="216" t="n">
        <v>18.3</v>
      </c>
      <c r="D2086" s="216" t="n">
        <v>1.163092017173767</v>
      </c>
      <c r="E2086" s="215" t="n">
        <v>46253</v>
      </c>
      <c r="F2086" s="215" t="n">
        <v>46253</v>
      </c>
    </row>
    <row r="2087">
      <c r="A2087" s="215" t="n">
        <v>46254</v>
      </c>
      <c r="B2087" s="216" t="n">
        <v>12</v>
      </c>
      <c r="C2087" s="216" t="n">
        <v>18.54</v>
      </c>
      <c r="D2087" s="216" t="n">
        <v>1.164932012557983</v>
      </c>
      <c r="E2087" s="215" t="n">
        <v>46254</v>
      </c>
      <c r="F2087" s="215" t="n">
        <v>46254</v>
      </c>
    </row>
    <row r="2088">
      <c r="A2088" s="215" t="n">
        <v>46255</v>
      </c>
      <c r="B2088" s="216" t="n">
        <v>12.28</v>
      </c>
      <c r="C2088" s="216" t="n">
        <v>18.53</v>
      </c>
      <c r="D2088" s="216" t="n">
        <v>1.166555047035217</v>
      </c>
      <c r="E2088" s="215" t="n">
        <v>46255</v>
      </c>
      <c r="F2088" s="215" t="n">
        <v>46255</v>
      </c>
    </row>
    <row r="2089">
      <c r="A2089" s="215" t="n">
        <v>46258</v>
      </c>
      <c r="B2089" s="216" t="n">
        <v>12.15</v>
      </c>
      <c r="C2089" s="216" t="n">
        <v>18.47</v>
      </c>
      <c r="D2089" s="216" t="n">
        <v>1.166316986083984</v>
      </c>
      <c r="E2089" s="215" t="n">
        <v>46258</v>
      </c>
      <c r="F2089" s="215" t="n">
        <v>46258</v>
      </c>
    </row>
    <row r="2090">
      <c r="A2090" s="215" t="n">
        <v>46259</v>
      </c>
      <c r="B2090" s="216" t="n">
        <v>12.23</v>
      </c>
      <c r="C2090" s="216" t="n">
        <v>18.58</v>
      </c>
      <c r="D2090" s="216" t="n">
        <v>1.165253043174744</v>
      </c>
      <c r="E2090" s="215" t="n">
        <v>46259</v>
      </c>
      <c r="F2090" s="215" t="n">
        <v>46259</v>
      </c>
    </row>
    <row r="2091">
      <c r="A2091" s="215" t="n">
        <v>46260</v>
      </c>
      <c r="B2091" s="216" t="n">
        <v>12.44</v>
      </c>
      <c r="C2091" s="216" t="n">
        <v>18.67</v>
      </c>
      <c r="D2091" s="216" t="n">
        <v>1.166218996047974</v>
      </c>
      <c r="E2091" s="215" t="n">
        <v>46260</v>
      </c>
      <c r="F2091" s="215" t="n">
        <v>46260</v>
      </c>
    </row>
    <row r="2092">
      <c r="A2092" s="215" t="n">
        <v>46261</v>
      </c>
      <c r="B2092" s="216" t="n">
        <v>12.58</v>
      </c>
      <c r="C2092" s="216" t="n">
        <v>18.75</v>
      </c>
      <c r="D2092" s="216" t="n">
        <v>1.165971040725708</v>
      </c>
      <c r="E2092" s="215" t="n">
        <v>46261</v>
      </c>
      <c r="F2092" s="215" t="n">
        <v>46261</v>
      </c>
    </row>
    <row r="2093">
      <c r="A2093" s="215" t="n">
        <v>46262</v>
      </c>
      <c r="B2093" s="216" t="n">
        <v>12.78</v>
      </c>
      <c r="C2093" s="216" t="n">
        <v>18.76</v>
      </c>
      <c r="D2093" s="216" t="n">
        <v>1.165799975395203</v>
      </c>
      <c r="E2093" s="215" t="n">
        <v>46262</v>
      </c>
      <c r="F2093" s="215" t="n">
        <v>46262</v>
      </c>
    </row>
    <row r="2094">
      <c r="A2094" s="215" t="n">
        <v>46265</v>
      </c>
      <c r="B2094" s="216" t="n">
        <v>12.57</v>
      </c>
      <c r="C2094" s="216" t="n">
        <v>19.43</v>
      </c>
      <c r="D2094" s="216" t="n">
        <v>1.165387988090515</v>
      </c>
      <c r="E2094" s="215" t="n">
        <v>46265</v>
      </c>
      <c r="F2094" s="215" t="n">
        <v>46265</v>
      </c>
    </row>
    <row r="2095">
      <c r="A2095" s="215" t="n">
        <v>46266</v>
      </c>
      <c r="B2095" s="216" t="n">
        <v>12.58</v>
      </c>
      <c r="C2095" s="216" t="n">
        <v>20.59</v>
      </c>
      <c r="D2095" s="216" t="n">
        <v>1.165223956108093</v>
      </c>
      <c r="E2095" s="215" t="n">
        <v>46266</v>
      </c>
      <c r="F2095" s="215" t="n">
        <v>46266</v>
      </c>
    </row>
    <row r="2096">
      <c r="A2096" s="215" t="n">
        <v>46267</v>
      </c>
      <c r="B2096" s="216" t="n">
        <v>12.65</v>
      </c>
      <c r="C2096" s="216" t="n">
        <v>20.58</v>
      </c>
      <c r="D2096" s="216" t="n">
        <v>1.166425943374634</v>
      </c>
      <c r="E2096" s="215" t="n">
        <v>46267</v>
      </c>
      <c r="F2096" s="215" t="n">
        <v>46267</v>
      </c>
    </row>
    <row r="2097">
      <c r="A2097" s="215" t="n">
        <v>46268</v>
      </c>
      <c r="B2097" s="216" t="n">
        <v>12.88</v>
      </c>
      <c r="C2097" s="216" t="n">
        <v>20.77</v>
      </c>
      <c r="D2097" s="216" t="n">
        <v>1.167057037353516</v>
      </c>
      <c r="E2097" s="215" t="n">
        <v>46268</v>
      </c>
      <c r="F2097" s="215" t="n">
        <v>46268</v>
      </c>
    </row>
    <row r="2098">
      <c r="A2098" s="215" t="n">
        <v>46269</v>
      </c>
      <c r="B2098" s="216" t="n">
        <v>12.88</v>
      </c>
      <c r="C2098" s="216" t="n">
        <v>20.81</v>
      </c>
      <c r="D2098" s="216" t="n">
        <v>1.166767954826355</v>
      </c>
      <c r="E2098" s="215" t="n">
        <v>46269</v>
      </c>
      <c r="F2098" s="215" t="n">
        <v>46269</v>
      </c>
    </row>
    <row r="2099">
      <c r="A2099" s="215" t="n">
        <v>46272</v>
      </c>
      <c r="B2099" s="216" t="n">
        <v>12.65</v>
      </c>
      <c r="C2099" s="216" t="n">
        <v>19.98</v>
      </c>
      <c r="D2099" s="216" t="n">
        <v>1.168081045150757</v>
      </c>
      <c r="E2099" s="215" t="n">
        <v>46272</v>
      </c>
      <c r="F2099" s="215" t="n">
        <v>46272</v>
      </c>
    </row>
    <row r="2100">
      <c r="A2100" s="215" t="n">
        <v>46273</v>
      </c>
      <c r="B2100" s="216" t="n">
        <v>13.08</v>
      </c>
      <c r="C2100" s="216" t="n">
        <v>20.58</v>
      </c>
      <c r="D2100" s="216" t="n">
        <v>1.168115019798279</v>
      </c>
      <c r="E2100" s="215" t="n">
        <v>46273</v>
      </c>
      <c r="F2100" s="215" t="n">
        <v>46273</v>
      </c>
    </row>
    <row r="2101">
      <c r="A2101" s="215" t="n">
        <v>46274</v>
      </c>
      <c r="B2101" s="216" t="n">
        <v>12.8</v>
      </c>
      <c r="C2101" s="216" t="n">
        <v>20.42</v>
      </c>
      <c r="D2101" s="216" t="n">
        <v>1.168408989906311</v>
      </c>
      <c r="E2101" s="215" t="n">
        <v>46274</v>
      </c>
      <c r="F2101" s="215" t="n">
        <v>46274</v>
      </c>
    </row>
    <row r="2102">
      <c r="A2102" s="215" t="n">
        <v>46275</v>
      </c>
      <c r="B2102" s="216" t="n">
        <v>12.9</v>
      </c>
      <c r="C2102" s="216" t="n">
        <v>20.41</v>
      </c>
      <c r="D2102" s="216" t="n">
        <v>1.168462991714478</v>
      </c>
      <c r="E2102" s="215" t="n">
        <v>46275</v>
      </c>
      <c r="F2102" s="215" t="n">
        <v>46275</v>
      </c>
    </row>
    <row r="2103">
      <c r="A2103" s="215" t="n">
        <v>46276</v>
      </c>
      <c r="B2103" s="216" t="n">
        <v>12.75</v>
      </c>
      <c r="C2103" s="216" t="n">
        <v>20.13</v>
      </c>
      <c r="D2103" s="216" t="n">
        <v>1.169165015220642</v>
      </c>
      <c r="E2103" s="215" t="n">
        <v>46276</v>
      </c>
      <c r="F2103" s="215" t="n">
        <v>46276</v>
      </c>
    </row>
    <row r="2104">
      <c r="A2104" s="215" t="n">
        <v>46279</v>
      </c>
      <c r="B2104" s="216" t="n">
        <v>12.65</v>
      </c>
      <c r="C2104" s="216" t="n">
        <v>19.76</v>
      </c>
      <c r="D2104" s="216" t="n">
        <v>1.16893994808197</v>
      </c>
      <c r="E2104" s="215" t="n">
        <v>46279</v>
      </c>
      <c r="F2104" s="215" t="n">
        <v>46279</v>
      </c>
    </row>
    <row r="2105">
      <c r="A2105" s="215" t="n">
        <v>46280</v>
      </c>
      <c r="B2105" s="216" t="n">
        <v>12.57</v>
      </c>
      <c r="C2105" s="216" t="n">
        <v>19.65</v>
      </c>
      <c r="D2105" s="216" t="n">
        <v>1.169121026992798</v>
      </c>
      <c r="E2105" s="215" t="n">
        <v>46280</v>
      </c>
      <c r="F2105" s="215" t="n">
        <v>46280</v>
      </c>
    </row>
    <row r="2106">
      <c r="A2106" s="215" t="n">
        <v>46281</v>
      </c>
      <c r="B2106" s="216" t="n">
        <v>12.57</v>
      </c>
      <c r="C2106" s="216" t="n">
        <v>19.61</v>
      </c>
      <c r="D2106" s="216" t="n">
        <v>1.168769955635071</v>
      </c>
      <c r="E2106" s="215" t="n">
        <v>46281</v>
      </c>
      <c r="F2106" s="215" t="n">
        <v>46281</v>
      </c>
    </row>
    <row r="2107">
      <c r="A2107" s="215" t="n">
        <v>46282</v>
      </c>
      <c r="B2107" s="216" t="n">
        <v>12.43</v>
      </c>
      <c r="C2107" s="216" t="n">
        <v>19.64</v>
      </c>
      <c r="D2107" s="216" t="n">
        <v>1.169389963150024</v>
      </c>
      <c r="E2107" s="215" t="n">
        <v>46282</v>
      </c>
      <c r="F2107" s="215" t="n">
        <v>46282</v>
      </c>
    </row>
    <row r="2108">
      <c r="A2108" s="215" t="n">
        <v>46283</v>
      </c>
      <c r="B2108" s="216" t="n">
        <v>12.75</v>
      </c>
      <c r="C2108" s="216" t="n">
        <v>20.49</v>
      </c>
      <c r="D2108" s="216" t="n">
        <v>1.16942298412323</v>
      </c>
      <c r="E2108" s="215" t="n">
        <v>46283</v>
      </c>
      <c r="F2108" s="215" t="n">
        <v>46283</v>
      </c>
    </row>
    <row r="2109">
      <c r="A2109" s="215" t="n">
        <v>46286</v>
      </c>
      <c r="B2109" s="216" t="n">
        <v>12.91</v>
      </c>
      <c r="C2109" s="216" t="n">
        <v>21.05</v>
      </c>
      <c r="D2109" s="216" t="n">
        <v>1.171280026435852</v>
      </c>
      <c r="E2109" s="215" t="n">
        <v>46286</v>
      </c>
      <c r="F2109" s="215" t="n">
        <v>46286</v>
      </c>
    </row>
    <row r="2110">
      <c r="A2110" s="215" t="n">
        <v>46287</v>
      </c>
      <c r="B2110" s="216" t="n">
        <v>12.73</v>
      </c>
      <c r="C2110" s="216" t="n">
        <v>21.08</v>
      </c>
      <c r="D2110" s="216" t="n">
        <v>1.171705007553101</v>
      </c>
      <c r="E2110" s="215" t="n">
        <v>46287</v>
      </c>
      <c r="F2110" s="215" t="n">
        <v>46287</v>
      </c>
    </row>
    <row r="2111">
      <c r="A2111" s="215" t="n">
        <v>46288</v>
      </c>
      <c r="B2111" s="216" t="n">
        <v>12.12</v>
      </c>
      <c r="C2111" s="216" t="n">
        <v>19.88</v>
      </c>
      <c r="D2111" s="216" t="n">
        <v>1.170611023902893</v>
      </c>
      <c r="E2111" s="215" t="n">
        <v>46288</v>
      </c>
      <c r="F2111" s="215" t="n">
        <v>46288</v>
      </c>
    </row>
    <row r="2112">
      <c r="A2112" s="215" t="n">
        <v>46289</v>
      </c>
      <c r="B2112" s="216" t="n">
        <v>11.87</v>
      </c>
      <c r="C2112" s="216" t="n">
        <v>19.42</v>
      </c>
      <c r="D2112" s="216" t="n">
        <v>1.16852605342865</v>
      </c>
      <c r="E2112" s="215" t="n">
        <v>46289</v>
      </c>
      <c r="F2112" s="215" t="n">
        <v>46289</v>
      </c>
    </row>
    <row r="2113">
      <c r="A2113" s="215" t="n">
        <v>46290</v>
      </c>
      <c r="B2113" s="216" t="n">
        <v>11.6</v>
      </c>
      <c r="C2113" s="216" t="n">
        <v>19.42</v>
      </c>
      <c r="D2113" s="216" t="n">
        <v>1.168424010276794</v>
      </c>
      <c r="E2113" s="215" t="n">
        <v>46289</v>
      </c>
      <c r="F2113" s="215" t="n">
        <v>46290</v>
      </c>
    </row>
    <row r="2114">
      <c r="A2114" s="215" t="n">
        <v>46293</v>
      </c>
      <c r="B2114" s="216" t="n">
        <v>11.83</v>
      </c>
      <c r="C2114" s="216" t="n">
        <v>20.21</v>
      </c>
      <c r="D2114" s="216" t="n">
        <v>1.168378949165344</v>
      </c>
      <c r="E2114" s="215" t="n">
        <v>46293</v>
      </c>
      <c r="F2114" s="215" t="n">
        <v>46293</v>
      </c>
    </row>
    <row r="2115">
      <c r="A2115" s="215" t="n">
        <v>46294</v>
      </c>
      <c r="B2115" s="216" t="n">
        <v>12.2</v>
      </c>
      <c r="C2115" s="216" t="n">
        <v>21.19</v>
      </c>
      <c r="D2115" s="216" t="n">
        <v>1.168815970420837</v>
      </c>
      <c r="E2115" s="215" t="n">
        <v>46294</v>
      </c>
      <c r="F2115" s="215" t="n">
        <v>46294</v>
      </c>
    </row>
    <row r="2116">
      <c r="A2116" s="215" t="n">
        <v>46295</v>
      </c>
      <c r="B2116" s="216" t="n">
        <v>12.36</v>
      </c>
      <c r="C2116" s="216" t="n">
        <v>20.24</v>
      </c>
      <c r="D2116" s="216" t="n">
        <v>1.17059600353241</v>
      </c>
      <c r="E2116" s="215" t="n">
        <v>46295</v>
      </c>
      <c r="F2116" s="215" t="n">
        <v>46295</v>
      </c>
    </row>
    <row r="2117">
      <c r="A2117" s="215" t="n">
        <v>46297</v>
      </c>
      <c r="B2117" s="216" t="n">
        <v>11.93</v>
      </c>
      <c r="C2117" s="216" t="n">
        <v>20.24</v>
      </c>
      <c r="D2117" s="216" t="n">
        <v>1.170220971107483</v>
      </c>
      <c r="E2117" s="215" t="n">
        <v>46295</v>
      </c>
      <c r="F2117" s="215" t="n">
        <v>46297</v>
      </c>
    </row>
    <row r="2118">
      <c r="A2118" s="215" t="n">
        <v>45847</v>
      </c>
      <c r="B2118" s="216" t="n">
        <v>19.84</v>
      </c>
      <c r="C2118" s="216" t="n">
        <v>22.69</v>
      </c>
      <c r="D2118" s="216" t="n">
        <v>1.094220995903015</v>
      </c>
      <c r="E2118" s="215" t="n">
        <v>45847</v>
      </c>
      <c r="F2118" s="215" t="n">
        <v>45847</v>
      </c>
    </row>
    <row r="2119">
      <c r="A2119" s="215" t="n">
        <v>45848</v>
      </c>
      <c r="B2119" s="216" t="n">
        <v>19.56</v>
      </c>
      <c r="C2119" s="216" t="n">
        <v>22.49</v>
      </c>
      <c r="D2119" s="216" t="n">
        <v>1.093220949172974</v>
      </c>
      <c r="E2119" s="215" t="n">
        <v>45848</v>
      </c>
      <c r="F2119" s="215" t="n">
        <v>45848</v>
      </c>
    </row>
    <row r="2120">
      <c r="A2120" s="215" t="n">
        <v>45849</v>
      </c>
      <c r="B2120" s="216" t="n">
        <v>18.62</v>
      </c>
      <c r="C2120" s="216" t="n">
        <v>22.69</v>
      </c>
      <c r="D2120" s="216" t="n">
        <v>1.093930959701538</v>
      </c>
      <c r="E2120" s="215" t="n">
        <v>45849</v>
      </c>
      <c r="F2120" s="215" t="n">
        <v>45849</v>
      </c>
    </row>
    <row r="2121">
      <c r="A2121" s="215" t="n">
        <v>45852</v>
      </c>
      <c r="B2121" s="216" t="n">
        <v>19</v>
      </c>
      <c r="C2121" s="216" t="n">
        <v>23.26</v>
      </c>
      <c r="D2121" s="216" t="n">
        <v>1.095023989677429</v>
      </c>
      <c r="E2121" s="215" t="n">
        <v>45852</v>
      </c>
      <c r="F2121" s="215" t="n">
        <v>45852</v>
      </c>
    </row>
    <row r="2122">
      <c r="A2122" s="215" t="n">
        <v>45853</v>
      </c>
      <c r="B2122" s="216" t="n">
        <v>19.44</v>
      </c>
      <c r="C2122" s="216" t="n">
        <v>23.2</v>
      </c>
      <c r="D2122" s="216" t="n">
        <v>1.095172047615051</v>
      </c>
      <c r="E2122" s="215" t="n">
        <v>45853</v>
      </c>
      <c r="F2122" s="215" t="n">
        <v>45853</v>
      </c>
    </row>
    <row r="2123">
      <c r="A2123" s="215" t="n">
        <v>45854</v>
      </c>
      <c r="B2123" s="216" t="n">
        <v>19.34</v>
      </c>
      <c r="C2123" s="216" t="n">
        <v>23.04</v>
      </c>
      <c r="D2123" s="216" t="n">
        <v>1.094182014465332</v>
      </c>
      <c r="E2123" s="215" t="n">
        <v>45854</v>
      </c>
      <c r="F2123" s="215" t="n">
        <v>45854</v>
      </c>
    </row>
    <row r="2124">
      <c r="A2124" s="215" t="n">
        <v>45855</v>
      </c>
      <c r="B2124" s="216" t="n">
        <v>20.9</v>
      </c>
      <c r="C2124" s="216" t="n">
        <v>24.12</v>
      </c>
      <c r="D2124" s="216" t="n">
        <v>1.093484044075012</v>
      </c>
      <c r="E2124" s="215" t="n">
        <v>45855</v>
      </c>
      <c r="F2124" s="215" t="n">
        <v>45855</v>
      </c>
    </row>
    <row r="2125">
      <c r="A2125" s="215" t="n">
        <v>45856</v>
      </c>
      <c r="B2125" s="216" t="n">
        <v>20.8</v>
      </c>
      <c r="C2125" s="216" t="n">
        <v>23.64</v>
      </c>
      <c r="D2125" s="216" t="n">
        <v>1.092442035675049</v>
      </c>
      <c r="E2125" s="215" t="n">
        <v>45856</v>
      </c>
      <c r="F2125" s="215" t="n">
        <v>45856</v>
      </c>
    </row>
    <row r="2126">
      <c r="A2126" s="215" t="n">
        <v>45859</v>
      </c>
      <c r="B2126" s="216" t="n">
        <v>20.95</v>
      </c>
      <c r="C2126" s="216" t="n">
        <v>24.04</v>
      </c>
      <c r="D2126" s="216" t="n">
        <v>1.093299984931946</v>
      </c>
      <c r="E2126" s="215" t="n">
        <v>45859</v>
      </c>
      <c r="F2126" s="215" t="n">
        <v>45859</v>
      </c>
    </row>
    <row r="2127">
      <c r="A2127" s="215" t="n">
        <v>45860</v>
      </c>
      <c r="B2127" s="216" t="n">
        <v>21.15</v>
      </c>
      <c r="C2127" s="216" t="n">
        <v>23.94</v>
      </c>
      <c r="D2127" s="216" t="n">
        <v>1.093826055526733</v>
      </c>
      <c r="E2127" s="215" t="n">
        <v>45860</v>
      </c>
      <c r="F2127" s="215" t="n">
        <v>45860</v>
      </c>
    </row>
    <row r="2128">
      <c r="A2128" s="215" t="n">
        <v>45861</v>
      </c>
      <c r="B2128" s="216" t="n">
        <v>20.65</v>
      </c>
      <c r="C2128" s="216" t="n">
        <v>23.57</v>
      </c>
      <c r="D2128" s="216" t="n">
        <v>1.094056010246277</v>
      </c>
      <c r="E2128" s="215" t="n">
        <v>45861</v>
      </c>
      <c r="F2128" s="215" t="n">
        <v>45861</v>
      </c>
    </row>
    <row r="2129">
      <c r="A2129" s="215" t="n">
        <v>45862</v>
      </c>
      <c r="B2129" s="216" t="n">
        <v>20.2</v>
      </c>
      <c r="C2129" s="216" t="n">
        <v>23.78</v>
      </c>
      <c r="D2129" s="216" t="n">
        <v>1.096284031867981</v>
      </c>
      <c r="E2129" s="215" t="n">
        <v>45862</v>
      </c>
      <c r="F2129" s="215" t="n">
        <v>45862</v>
      </c>
    </row>
    <row r="2130">
      <c r="A2130" s="215" t="n">
        <v>45863</v>
      </c>
      <c r="B2130" s="216" t="n">
        <v>19.7</v>
      </c>
      <c r="C2130" s="216" t="n">
        <v>23.62</v>
      </c>
      <c r="D2130" s="216" t="n">
        <v>1.097048044204712</v>
      </c>
      <c r="E2130" s="215" t="n">
        <v>45863</v>
      </c>
      <c r="F2130" s="215" t="n">
        <v>45863</v>
      </c>
    </row>
    <row r="2131">
      <c r="A2131" s="215" t="n">
        <v>45866</v>
      </c>
      <c r="B2131" s="216" t="n">
        <v>20.1</v>
      </c>
      <c r="C2131" s="216" t="n">
        <v>23.42</v>
      </c>
      <c r="D2131" s="216" t="n">
        <v>1.097200989723206</v>
      </c>
      <c r="E2131" s="215" t="n">
        <v>45866</v>
      </c>
      <c r="F2131" s="215" t="n">
        <v>45866</v>
      </c>
    </row>
    <row r="2132">
      <c r="A2132" s="215" t="n">
        <v>45867</v>
      </c>
      <c r="B2132" s="216" t="n">
        <v>19.96</v>
      </c>
      <c r="C2132" s="216" t="n">
        <v>23.24</v>
      </c>
      <c r="D2132" s="216" t="n">
        <v>1.093530058860779</v>
      </c>
      <c r="E2132" s="215" t="n">
        <v>45867</v>
      </c>
      <c r="F2132" s="215" t="n">
        <v>45867</v>
      </c>
    </row>
    <row r="2133">
      <c r="A2133" s="215" t="n">
        <v>45868</v>
      </c>
      <c r="B2133" s="216" t="n">
        <v>19.86</v>
      </c>
      <c r="C2133" s="216" t="n">
        <v>22.78</v>
      </c>
      <c r="D2133" s="216" t="n">
        <v>1.093464970588684</v>
      </c>
      <c r="E2133" s="215" t="n">
        <v>45868</v>
      </c>
      <c r="F2133" s="215" t="n">
        <v>45868</v>
      </c>
    </row>
    <row r="2134">
      <c r="A2134" s="215" t="n">
        <v>45869</v>
      </c>
      <c r="B2134" s="216" t="n">
        <v>19.94</v>
      </c>
      <c r="C2134" s="216" t="n">
        <v>22.81</v>
      </c>
      <c r="D2134" s="216" t="n">
        <v>1.093583941459656</v>
      </c>
      <c r="E2134" s="215" t="n">
        <v>45869</v>
      </c>
      <c r="F2134" s="215" t="n">
        <v>45869</v>
      </c>
    </row>
    <row r="2135">
      <c r="A2135" s="215" t="n">
        <v>45870</v>
      </c>
      <c r="B2135" s="216" t="n">
        <v>19.22</v>
      </c>
      <c r="C2135" s="216" t="n">
        <v>22.38</v>
      </c>
      <c r="D2135" s="216" t="n">
        <v>1.090090990066528</v>
      </c>
      <c r="E2135" s="215" t="n">
        <v>45870</v>
      </c>
      <c r="F2135" s="215" t="n">
        <v>45870</v>
      </c>
    </row>
    <row r="2136">
      <c r="A2136" s="215" t="n">
        <v>45873</v>
      </c>
      <c r="B2136" s="216" t="n">
        <v>19.62</v>
      </c>
      <c r="C2136" s="216" t="n">
        <v>22.39</v>
      </c>
      <c r="D2136" s="216" t="n">
        <v>1.088384985923767</v>
      </c>
      <c r="E2136" s="215" t="n">
        <v>45873</v>
      </c>
      <c r="F2136" s="215" t="n">
        <v>45873</v>
      </c>
    </row>
    <row r="2137">
      <c r="A2137" s="215" t="n">
        <v>45874</v>
      </c>
      <c r="B2137" s="216" t="n">
        <v>20.5</v>
      </c>
      <c r="C2137" s="216" t="n">
        <v>22.88</v>
      </c>
      <c r="D2137" s="216" t="n">
        <v>1.093202948570251</v>
      </c>
      <c r="E2137" s="215" t="n">
        <v>45874</v>
      </c>
      <c r="F2137" s="215" t="n">
        <v>45874</v>
      </c>
    </row>
    <row r="2138">
      <c r="A2138" s="215" t="n">
        <v>45875</v>
      </c>
      <c r="B2138" s="216" t="n">
        <v>20.5</v>
      </c>
      <c r="C2138" s="216" t="n">
        <v>23.24</v>
      </c>
      <c r="D2138" s="216" t="n">
        <v>1.092388987541199</v>
      </c>
      <c r="E2138" s="215" t="n">
        <v>45875</v>
      </c>
      <c r="F2138" s="215" t="n">
        <v>45875</v>
      </c>
    </row>
    <row r="2139">
      <c r="A2139" s="215" t="n">
        <v>45876</v>
      </c>
      <c r="B2139" s="216" t="n">
        <v>21.1</v>
      </c>
      <c r="C2139" s="216" t="n">
        <v>23.49</v>
      </c>
      <c r="D2139" s="216" t="n">
        <v>1.092599034309387</v>
      </c>
      <c r="E2139" s="215" t="n">
        <v>45876</v>
      </c>
      <c r="F2139" s="215" t="n">
        <v>45876</v>
      </c>
    </row>
    <row r="2140">
      <c r="A2140" s="215" t="n">
        <v>45877</v>
      </c>
      <c r="B2140" s="216" t="n">
        <v>20.62</v>
      </c>
      <c r="C2140" s="216" t="n">
        <v>22.88</v>
      </c>
      <c r="D2140" s="216" t="n">
        <v>1.092857956886292</v>
      </c>
      <c r="E2140" s="215" t="n">
        <v>45877</v>
      </c>
      <c r="F2140" s="215" t="n">
        <v>45877</v>
      </c>
    </row>
    <row r="2141">
      <c r="A2141" s="215" t="n">
        <v>45880</v>
      </c>
      <c r="B2141" s="216" t="n">
        <v>21.44</v>
      </c>
      <c r="C2141" s="216" t="n">
        <v>24.26</v>
      </c>
      <c r="D2141" s="216" t="n">
        <v>1.093001961708069</v>
      </c>
      <c r="E2141" s="215" t="n">
        <v>45880</v>
      </c>
      <c r="F2141" s="215" t="n">
        <v>45880</v>
      </c>
    </row>
    <row r="2142">
      <c r="A2142" s="215" t="n">
        <v>45881</v>
      </c>
      <c r="B2142" s="216" t="n">
        <v>21.4</v>
      </c>
      <c r="C2142" s="216" t="n">
        <v>24.09</v>
      </c>
      <c r="D2142" s="216" t="n">
        <v>1.091938018798828</v>
      </c>
      <c r="E2142" s="215" t="n">
        <v>45881</v>
      </c>
      <c r="F2142" s="215" t="n">
        <v>45881</v>
      </c>
    </row>
    <row r="2143">
      <c r="A2143" s="215" t="n">
        <v>45882</v>
      </c>
      <c r="B2143" s="216" t="n">
        <v>21.98</v>
      </c>
      <c r="C2143" s="216" t="n">
        <v>24.4</v>
      </c>
      <c r="D2143" s="216" t="n">
        <v>1.093171000480652</v>
      </c>
      <c r="E2143" s="215" t="n">
        <v>45882</v>
      </c>
      <c r="F2143" s="215" t="n">
        <v>45882</v>
      </c>
    </row>
    <row r="2144">
      <c r="A2144" s="215" t="n">
        <v>45883</v>
      </c>
      <c r="B2144" s="216" t="n">
        <v>21.56</v>
      </c>
      <c r="C2144" s="216" t="n">
        <v>24.52</v>
      </c>
      <c r="D2144" s="216" t="n">
        <v>1.093981027603149</v>
      </c>
      <c r="E2144" s="215" t="n">
        <v>45883</v>
      </c>
      <c r="F2144" s="215" t="n">
        <v>45883</v>
      </c>
    </row>
    <row r="2145">
      <c r="A2145" s="215" t="n">
        <v>45884</v>
      </c>
      <c r="B2145" s="216" t="n">
        <v>21.78</v>
      </c>
      <c r="C2145" s="216" t="n">
        <v>24.62</v>
      </c>
      <c r="D2145" s="216" t="n">
        <v>1.091035962104797</v>
      </c>
      <c r="E2145" s="215" t="n">
        <v>45884</v>
      </c>
      <c r="F2145" s="215" t="n">
        <v>45884</v>
      </c>
    </row>
    <row r="2146">
      <c r="A2146" s="215" t="n">
        <v>45887</v>
      </c>
      <c r="B2146" s="216" t="n">
        <v>23.22</v>
      </c>
      <c r="C2146" s="216" t="n">
        <v>25.77</v>
      </c>
      <c r="D2146" s="216" t="n">
        <v>1.089409947395325</v>
      </c>
      <c r="E2146" s="215" t="n">
        <v>45887</v>
      </c>
      <c r="F2146" s="215" t="n">
        <v>45887</v>
      </c>
    </row>
    <row r="2147">
      <c r="A2147" s="215" t="n">
        <v>45888</v>
      </c>
      <c r="B2147" s="216" t="n">
        <v>23.14</v>
      </c>
      <c r="C2147" s="216" t="n">
        <v>25.62</v>
      </c>
      <c r="D2147" s="216" t="n">
        <v>1.088366031646729</v>
      </c>
      <c r="E2147" s="215" t="n">
        <v>45888</v>
      </c>
      <c r="F2147" s="215" t="n">
        <v>45888</v>
      </c>
    </row>
    <row r="2148">
      <c r="A2148" s="215" t="n">
        <v>45889</v>
      </c>
      <c r="B2148" s="216" t="n">
        <v>23.72</v>
      </c>
      <c r="C2148" s="216" t="n">
        <v>27.01</v>
      </c>
      <c r="D2148" s="216" t="n">
        <v>1.085826992988586</v>
      </c>
      <c r="E2148" s="215" t="n">
        <v>45889</v>
      </c>
      <c r="F2148" s="215" t="n">
        <v>45889</v>
      </c>
    </row>
    <row r="2149">
      <c r="A2149" s="215" t="n">
        <v>45890</v>
      </c>
      <c r="B2149" s="216" t="n">
        <v>23.64</v>
      </c>
      <c r="C2149" s="216" t="n">
        <v>28.34</v>
      </c>
      <c r="D2149" s="216" t="n">
        <v>1.088521003723145</v>
      </c>
      <c r="E2149" s="215" t="n">
        <v>45890</v>
      </c>
      <c r="F2149" s="215" t="n">
        <v>45890</v>
      </c>
    </row>
    <row r="2150">
      <c r="A2150" s="215" t="n">
        <v>45891</v>
      </c>
      <c r="B2150" s="216" t="n">
        <v>24.28</v>
      </c>
      <c r="C2150" s="216" t="n">
        <v>29.14</v>
      </c>
      <c r="D2150" s="216" t="n">
        <v>1.08814001083374</v>
      </c>
      <c r="E2150" s="215" t="n">
        <v>45891</v>
      </c>
      <c r="F2150" s="215" t="n">
        <v>45891</v>
      </c>
    </row>
    <row r="2151">
      <c r="A2151" s="215" t="n">
        <v>45894</v>
      </c>
      <c r="B2151" s="216" t="n">
        <v>24.64</v>
      </c>
      <c r="C2151" s="216" t="n">
        <v>29.1</v>
      </c>
      <c r="D2151" s="216" t="n">
        <v>1.090230941772461</v>
      </c>
      <c r="E2151" s="215" t="n">
        <v>45894</v>
      </c>
      <c r="F2151" s="215" t="n">
        <v>45894</v>
      </c>
    </row>
    <row r="2152">
      <c r="A2152" s="215" t="n">
        <v>45895</v>
      </c>
      <c r="B2152" s="216" t="n">
        <v>25.96</v>
      </c>
      <c r="C2152" s="216" t="n">
        <v>30.3</v>
      </c>
      <c r="D2152" s="216" t="n">
        <v>1.09236204624176</v>
      </c>
      <c r="E2152" s="215" t="n">
        <v>45895</v>
      </c>
      <c r="F2152" s="215" t="n">
        <v>45895</v>
      </c>
    </row>
    <row r="2153">
      <c r="A2153" s="215" t="n">
        <v>45896</v>
      </c>
      <c r="B2153" s="216" t="n">
        <v>27.98</v>
      </c>
      <c r="C2153" s="216" t="n">
        <v>31.4</v>
      </c>
      <c r="D2153" s="216" t="n">
        <v>1.089414000511169</v>
      </c>
      <c r="E2153" s="215" t="n">
        <v>45896</v>
      </c>
      <c r="F2153" s="215" t="n">
        <v>45896</v>
      </c>
    </row>
    <row r="2154">
      <c r="A2154" s="215" t="n">
        <v>45897</v>
      </c>
      <c r="B2154" s="216" t="n">
        <v>27.5</v>
      </c>
      <c r="C2154" s="216" t="n">
        <v>31.82</v>
      </c>
      <c r="D2154" s="216" t="n">
        <v>1.088047027587891</v>
      </c>
      <c r="E2154" s="215" t="n">
        <v>45897</v>
      </c>
      <c r="F2154" s="215" t="n">
        <v>45897</v>
      </c>
    </row>
    <row r="2155">
      <c r="A2155" s="215" t="n">
        <v>45898</v>
      </c>
      <c r="B2155" s="216" t="n">
        <v>27.1</v>
      </c>
      <c r="C2155" s="216" t="n">
        <v>31.11</v>
      </c>
      <c r="D2155" s="216" t="n">
        <v>1.089478969573975</v>
      </c>
      <c r="E2155" s="215" t="n">
        <v>45898</v>
      </c>
      <c r="F2155" s="215" t="n">
        <v>45898</v>
      </c>
    </row>
    <row r="2156">
      <c r="A2156" s="215" t="n">
        <v>45901</v>
      </c>
      <c r="B2156" s="216" t="n">
        <v>27.96</v>
      </c>
      <c r="C2156" s="216" t="n">
        <v>32.34</v>
      </c>
      <c r="D2156" s="216" t="n">
        <v>1.09319794178009</v>
      </c>
      <c r="E2156" s="215" t="n">
        <v>45901</v>
      </c>
      <c r="F2156" s="215" t="n">
        <v>45901</v>
      </c>
    </row>
    <row r="2157">
      <c r="A2157" s="215" t="n">
        <v>45902</v>
      </c>
      <c r="B2157" s="216" t="n">
        <v>26.2</v>
      </c>
      <c r="C2157" s="216" t="n">
        <v>30.03</v>
      </c>
      <c r="D2157" s="216" t="n">
        <v>1.093255043029785</v>
      </c>
      <c r="E2157" s="215" t="n">
        <v>45902</v>
      </c>
      <c r="F2157" s="215" t="n">
        <v>45902</v>
      </c>
    </row>
    <row r="2158">
      <c r="A2158" s="215" t="n">
        <v>45903</v>
      </c>
      <c r="B2158" s="216" t="n">
        <v>26.36</v>
      </c>
      <c r="C2158" s="216" t="n">
        <v>29.83</v>
      </c>
      <c r="D2158" s="216" t="n">
        <v>1.09343695640564</v>
      </c>
      <c r="E2158" s="215" t="n">
        <v>45903</v>
      </c>
      <c r="F2158" s="215" t="n">
        <v>45903</v>
      </c>
    </row>
    <row r="2159">
      <c r="A2159" s="215" t="n">
        <v>45904</v>
      </c>
      <c r="B2159" s="216" t="n">
        <v>25.88</v>
      </c>
      <c r="C2159" s="216" t="n">
        <v>30.2</v>
      </c>
      <c r="D2159" s="216" t="n">
        <v>1.092192053794861</v>
      </c>
      <c r="E2159" s="215" t="n">
        <v>45904</v>
      </c>
      <c r="F2159" s="215" t="n">
        <v>45904</v>
      </c>
    </row>
    <row r="2160">
      <c r="A2160" s="215" t="n">
        <v>45905</v>
      </c>
      <c r="B2160" s="216" t="n">
        <v>26.7</v>
      </c>
      <c r="C2160" s="216" t="n">
        <v>31.4</v>
      </c>
      <c r="D2160" s="216" t="n">
        <v>1.092169046401978</v>
      </c>
      <c r="E2160" s="215" t="n">
        <v>45905</v>
      </c>
      <c r="F2160" s="215" t="n">
        <v>45905</v>
      </c>
    </row>
    <row r="2161">
      <c r="A2161" s="215" t="n">
        <v>45908</v>
      </c>
      <c r="B2161" s="216" t="n">
        <v>27.54</v>
      </c>
      <c r="C2161" s="216" t="n">
        <v>33</v>
      </c>
      <c r="D2161" s="216" t="n">
        <v>1.093217015266418</v>
      </c>
      <c r="E2161" s="215" t="n">
        <v>45908</v>
      </c>
      <c r="F2161" s="215" t="n">
        <v>45908</v>
      </c>
    </row>
    <row r="2162">
      <c r="A2162" s="215" t="n">
        <v>45909</v>
      </c>
      <c r="B2162" s="216" t="n">
        <v>26.58</v>
      </c>
      <c r="C2162" s="216" t="n">
        <v>29.83</v>
      </c>
      <c r="D2162" s="216" t="n">
        <v>1.092916965484619</v>
      </c>
      <c r="E2162" s="215" t="n">
        <v>45909</v>
      </c>
      <c r="F2162" s="215" t="n">
        <v>45909</v>
      </c>
    </row>
    <row r="2163">
      <c r="A2163" s="215" t="n">
        <v>45910</v>
      </c>
      <c r="B2163" s="216" t="n">
        <v>26.68</v>
      </c>
      <c r="C2163" s="216" t="n">
        <v>29.55</v>
      </c>
      <c r="D2163" s="216" t="n">
        <v>1.093482971191406</v>
      </c>
      <c r="E2163" s="215" t="n">
        <v>45910</v>
      </c>
      <c r="F2163" s="215" t="n">
        <v>45910</v>
      </c>
    </row>
    <row r="2164">
      <c r="A2164" s="215" t="n">
        <v>45911</v>
      </c>
      <c r="B2164" s="216" t="n">
        <v>26.68</v>
      </c>
      <c r="C2164" s="216" t="n">
        <v>30.11</v>
      </c>
      <c r="D2164" s="216" t="n">
        <v>1.093762993812561</v>
      </c>
      <c r="E2164" s="215" t="n">
        <v>45911</v>
      </c>
      <c r="F2164" s="215" t="n">
        <v>45911</v>
      </c>
    </row>
    <row r="2165">
      <c r="A2165" s="215" t="n">
        <v>45912</v>
      </c>
      <c r="B2165" s="216" t="n">
        <v>26.32</v>
      </c>
      <c r="C2165" s="216" t="n">
        <v>29.49</v>
      </c>
      <c r="D2165" s="216" t="n">
        <v>1.094014048576355</v>
      </c>
      <c r="E2165" s="215" t="n">
        <v>45912</v>
      </c>
      <c r="F2165" s="215" t="n">
        <v>45912</v>
      </c>
    </row>
    <row r="2166">
      <c r="A2166" s="215" t="n">
        <v>45915</v>
      </c>
      <c r="B2166" s="216" t="n">
        <v>26.26</v>
      </c>
      <c r="C2166" s="216" t="n">
        <v>30.37</v>
      </c>
      <c r="D2166" s="216" t="n">
        <v>1.091848969459534</v>
      </c>
      <c r="E2166" s="215" t="n">
        <v>45915</v>
      </c>
      <c r="F2166" s="215" t="n">
        <v>45915</v>
      </c>
    </row>
    <row r="2167">
      <c r="A2167" s="215" t="n">
        <v>45916</v>
      </c>
      <c r="B2167" s="216" t="n">
        <v>25.92</v>
      </c>
      <c r="C2167" s="216" t="n">
        <v>30.3</v>
      </c>
      <c r="D2167" s="216" t="n">
        <v>1.092795968055725</v>
      </c>
      <c r="E2167" s="215" t="n">
        <v>45916</v>
      </c>
      <c r="F2167" s="215" t="n">
        <v>45916</v>
      </c>
    </row>
    <row r="2168">
      <c r="A2168" s="215" t="n">
        <v>45917</v>
      </c>
      <c r="B2168" s="216" t="n">
        <v>28.1</v>
      </c>
      <c r="C2168" s="216" t="n">
        <v>32.1</v>
      </c>
      <c r="D2168" s="216" t="n">
        <v>1.093690991401672</v>
      </c>
      <c r="E2168" s="215" t="n">
        <v>45917</v>
      </c>
      <c r="F2168" s="215" t="n">
        <v>45917</v>
      </c>
    </row>
    <row r="2169">
      <c r="A2169" s="215" t="n">
        <v>45918</v>
      </c>
      <c r="B2169" s="216" t="n">
        <v>27.98</v>
      </c>
      <c r="C2169" s="216" t="n">
        <v>31.41</v>
      </c>
      <c r="D2169" s="216" t="n">
        <v>1.094727993011475</v>
      </c>
      <c r="E2169" s="215" t="n">
        <v>45918</v>
      </c>
      <c r="F2169" s="215" t="n">
        <v>45918</v>
      </c>
    </row>
    <row r="2170">
      <c r="A2170" s="215" t="n">
        <v>45919</v>
      </c>
      <c r="B2170" s="216" t="n">
        <v>27.86</v>
      </c>
      <c r="C2170" s="216" t="n">
        <v>30.51</v>
      </c>
      <c r="D2170" s="216" t="n">
        <v>1.093201994895935</v>
      </c>
      <c r="E2170" s="215" t="n">
        <v>45919</v>
      </c>
      <c r="F2170" s="215" t="n">
        <v>45919</v>
      </c>
    </row>
    <row r="2171">
      <c r="A2171" s="215" t="n">
        <v>45922</v>
      </c>
      <c r="B2171" s="216" t="n">
        <v>31.38</v>
      </c>
      <c r="C2171" s="216" t="n">
        <v>33.05</v>
      </c>
      <c r="D2171" s="216" t="n">
        <v>1.092589020729065</v>
      </c>
      <c r="E2171" s="215" t="n">
        <v>45922</v>
      </c>
      <c r="F2171" s="215" t="n">
        <v>45922</v>
      </c>
    </row>
    <row r="2172">
      <c r="A2172" s="215" t="n">
        <v>45923</v>
      </c>
      <c r="B2172" s="216" t="n">
        <v>29.14</v>
      </c>
      <c r="C2172" s="216" t="n">
        <v>32.09</v>
      </c>
      <c r="D2172" s="216" t="n">
        <v>1.0920250415802</v>
      </c>
      <c r="E2172" s="215" t="n">
        <v>45923</v>
      </c>
      <c r="F2172" s="215" t="n">
        <v>45923</v>
      </c>
    </row>
    <row r="2173">
      <c r="A2173" s="215" t="n">
        <v>45924</v>
      </c>
      <c r="B2173" s="216" t="n">
        <v>31</v>
      </c>
      <c r="C2173" s="216" t="n">
        <v>33.32</v>
      </c>
      <c r="D2173" s="216" t="n">
        <v>1.093196988105774</v>
      </c>
      <c r="E2173" s="215" t="n">
        <v>45924</v>
      </c>
      <c r="F2173" s="215" t="n">
        <v>45924</v>
      </c>
    </row>
    <row r="2174">
      <c r="A2174" s="215" t="n">
        <v>45925</v>
      </c>
      <c r="B2174" s="216" t="n">
        <v>30.74</v>
      </c>
      <c r="C2174" s="216" t="n">
        <v>33.62</v>
      </c>
      <c r="D2174" s="216" t="n">
        <v>1.090371012687683</v>
      </c>
      <c r="E2174" s="215" t="n">
        <v>45925</v>
      </c>
      <c r="F2174" s="215" t="n">
        <v>45925</v>
      </c>
    </row>
    <row r="2175">
      <c r="A2175" s="215" t="n">
        <v>45926</v>
      </c>
      <c r="B2175" s="216" t="n">
        <v>28.7</v>
      </c>
      <c r="C2175" s="216" t="n">
        <v>31.98</v>
      </c>
      <c r="D2175" s="216" t="n">
        <v>1.090574979782104</v>
      </c>
      <c r="E2175" s="215" t="n">
        <v>45926</v>
      </c>
      <c r="F2175" s="215" t="n">
        <v>45926</v>
      </c>
    </row>
    <row r="2176">
      <c r="A2176" s="215" t="n">
        <v>45929</v>
      </c>
      <c r="B2176" s="216" t="n">
        <v>29.34</v>
      </c>
      <c r="C2176" s="216" t="n">
        <v>32.6</v>
      </c>
      <c r="D2176" s="216" t="n">
        <v>1.090520024299622</v>
      </c>
      <c r="E2176" s="215" t="n">
        <v>45929</v>
      </c>
      <c r="F2176" s="215" t="n">
        <v>45929</v>
      </c>
    </row>
    <row r="2177">
      <c r="A2177" s="215" t="n">
        <v>45930</v>
      </c>
      <c r="B2177" s="216" t="n">
        <v>30.7</v>
      </c>
      <c r="C2177" s="216" t="n">
        <v>33.48</v>
      </c>
      <c r="D2177" s="216" t="n">
        <v>1.093106031417847</v>
      </c>
      <c r="E2177" s="215" t="n">
        <v>45930</v>
      </c>
      <c r="F2177" s="215" t="n">
        <v>45930</v>
      </c>
    </row>
    <row r="2178">
      <c r="A2178" s="215" t="n">
        <v>45932</v>
      </c>
      <c r="B2178" s="216" t="n">
        <v>33.52</v>
      </c>
      <c r="C2178" s="216" t="n">
        <v>33.48</v>
      </c>
      <c r="D2178" s="216" t="n">
        <v>1.092823028564453</v>
      </c>
      <c r="E2178" s="215" t="n">
        <v>45930</v>
      </c>
      <c r="F2178" s="215" t="n">
        <v>45932</v>
      </c>
    </row>
    <row r="2179">
      <c r="A2179" s="215" t="n">
        <v>45933</v>
      </c>
      <c r="B2179" s="216" t="n">
        <v>32.62</v>
      </c>
      <c r="C2179" s="216" t="n">
        <v>33.48</v>
      </c>
      <c r="D2179" s="216" t="n">
        <v>1.09303605556488</v>
      </c>
      <c r="E2179" s="215" t="n">
        <v>45930</v>
      </c>
      <c r="F2179" s="215" t="n">
        <v>45933</v>
      </c>
    </row>
    <row r="2180">
      <c r="A2180" s="215" t="n">
        <v>45936</v>
      </c>
      <c r="B2180" s="216" t="n">
        <v>33.5</v>
      </c>
      <c r="C2180" s="216" t="n">
        <v>33.48</v>
      </c>
      <c r="D2180" s="216" t="n">
        <v>1.092857956886292</v>
      </c>
      <c r="E2180" s="215" t="n">
        <v>45930</v>
      </c>
      <c r="F2180" s="215" t="n">
        <v>45936</v>
      </c>
    </row>
    <row r="2181">
      <c r="A2181" s="215" t="n">
        <v>45938</v>
      </c>
      <c r="B2181" s="216" t="n">
        <v>32.14</v>
      </c>
      <c r="C2181" s="216" t="n">
        <v>33.48</v>
      </c>
      <c r="D2181" s="216" t="n">
        <v>1.093148946762085</v>
      </c>
      <c r="E2181" s="215" t="n">
        <v>45930</v>
      </c>
      <c r="F2181" s="215" t="n">
        <v>45938</v>
      </c>
    </row>
    <row r="2182">
      <c r="A2182" s="215" t="n">
        <v>45939</v>
      </c>
      <c r="B2182" s="216" t="n">
        <v>31.28</v>
      </c>
      <c r="C2182" s="216" t="n">
        <v>33.87</v>
      </c>
      <c r="D2182" s="216" t="n">
        <v>1.092933058738708</v>
      </c>
      <c r="E2182" s="215" t="n">
        <v>45939</v>
      </c>
      <c r="F2182" s="215" t="n">
        <v>45939</v>
      </c>
    </row>
    <row r="2183">
      <c r="A2183" s="215" t="n">
        <v>45940</v>
      </c>
      <c r="B2183" s="216" t="n">
        <v>29.18</v>
      </c>
      <c r="C2183" s="216" t="n">
        <v>31.9</v>
      </c>
      <c r="D2183" s="216" t="n">
        <v>1.091662049293518</v>
      </c>
      <c r="E2183" s="215" t="n">
        <v>45940</v>
      </c>
      <c r="F2183" s="215" t="n">
        <v>45940</v>
      </c>
    </row>
    <row r="2184">
      <c r="A2184" s="215" t="n">
        <v>45943</v>
      </c>
      <c r="B2184" s="216" t="n">
        <v>27.4</v>
      </c>
      <c r="C2184" s="216" t="n">
        <v>30.23</v>
      </c>
      <c r="D2184" s="216" t="n">
        <v>1.093768000602722</v>
      </c>
      <c r="E2184" s="215" t="n">
        <v>45943</v>
      </c>
      <c r="F2184" s="215" t="n">
        <v>45943</v>
      </c>
    </row>
    <row r="2185">
      <c r="A2185" s="215" t="n">
        <v>45944</v>
      </c>
      <c r="B2185" s="216" t="n">
        <v>26</v>
      </c>
      <c r="C2185" s="216" t="n">
        <v>29.29</v>
      </c>
      <c r="D2185" s="216" t="n">
        <v>1.093292951583862</v>
      </c>
      <c r="E2185" s="215" t="n">
        <v>45944</v>
      </c>
      <c r="F2185" s="215" t="n">
        <v>45944</v>
      </c>
    </row>
    <row r="2186">
      <c r="A2186" s="215" t="n">
        <v>45945</v>
      </c>
      <c r="B2186" s="216" t="n">
        <v>26.54</v>
      </c>
      <c r="C2186" s="216" t="n">
        <v>29.44</v>
      </c>
      <c r="D2186" s="216" t="n">
        <v>1.088750958442688</v>
      </c>
      <c r="E2186" s="215" t="n">
        <v>45945</v>
      </c>
      <c r="F2186" s="215" t="n">
        <v>45945</v>
      </c>
    </row>
    <row r="2187">
      <c r="A2187" s="215" t="n">
        <v>45946</v>
      </c>
      <c r="B2187" s="216" t="n">
        <v>26.44</v>
      </c>
      <c r="C2187" s="216" t="n">
        <v>28.59</v>
      </c>
      <c r="D2187" s="216" t="n">
        <v>1.090903043746948</v>
      </c>
      <c r="E2187" s="215" t="n">
        <v>45946</v>
      </c>
      <c r="F2187" s="215" t="n">
        <v>45946</v>
      </c>
    </row>
    <row r="2188">
      <c r="A2188" s="215" t="n">
        <v>45947</v>
      </c>
      <c r="B2188" s="216" t="n">
        <v>25.1</v>
      </c>
      <c r="C2188" s="216" t="n">
        <v>27.35</v>
      </c>
      <c r="D2188" s="216" t="n">
        <v>1.09073805809021</v>
      </c>
      <c r="E2188" s="215" t="n">
        <v>45947</v>
      </c>
      <c r="F2188" s="215" t="n">
        <v>45947</v>
      </c>
    </row>
    <row r="2189">
      <c r="A2189" s="215" t="n">
        <v>45950</v>
      </c>
      <c r="B2189" s="216" t="n">
        <v>25.62</v>
      </c>
      <c r="C2189" s="216" t="n">
        <v>27.53</v>
      </c>
      <c r="D2189" s="216" t="n">
        <v>1.089843988418579</v>
      </c>
      <c r="E2189" s="215" t="n">
        <v>45950</v>
      </c>
      <c r="F2189" s="215" t="n">
        <v>45950</v>
      </c>
    </row>
    <row r="2190">
      <c r="A2190" s="215" t="n">
        <v>45951</v>
      </c>
      <c r="B2190" s="216" t="n">
        <v>26.88</v>
      </c>
      <c r="C2190" s="216" t="n">
        <v>28.93</v>
      </c>
      <c r="D2190" s="216" t="n">
        <v>1.091038942337036</v>
      </c>
      <c r="E2190" s="215" t="n">
        <v>45951</v>
      </c>
      <c r="F2190" s="215" t="n">
        <v>45951</v>
      </c>
    </row>
    <row r="2191">
      <c r="A2191" s="215" t="n">
        <v>45952</v>
      </c>
      <c r="B2191" s="216" t="n">
        <v>26.96</v>
      </c>
      <c r="C2191" s="216" t="n">
        <v>29.45</v>
      </c>
      <c r="D2191" s="216" t="n">
        <v>1.091071009635925</v>
      </c>
      <c r="E2191" s="215" t="n">
        <v>45952</v>
      </c>
      <c r="F2191" s="215" t="n">
        <v>45952</v>
      </c>
    </row>
    <row r="2192">
      <c r="A2192" s="215" t="n">
        <v>45953</v>
      </c>
      <c r="B2192" s="216" t="n">
        <v>26</v>
      </c>
      <c r="C2192" s="216" t="n">
        <v>28.93</v>
      </c>
      <c r="D2192" s="216" t="n">
        <v>1.090343952178955</v>
      </c>
      <c r="E2192" s="215" t="n">
        <v>45953</v>
      </c>
      <c r="F2192" s="215" t="n">
        <v>45953</v>
      </c>
    </row>
    <row r="2193">
      <c r="A2193" s="215" t="n">
        <v>45954</v>
      </c>
      <c r="B2193" s="216" t="n">
        <v>26.96</v>
      </c>
      <c r="C2193" s="216" t="n">
        <v>29.77</v>
      </c>
      <c r="D2193" s="216" t="n">
        <v>1.090456962585449</v>
      </c>
      <c r="E2193" s="215" t="n">
        <v>45954</v>
      </c>
      <c r="F2193" s="215" t="n">
        <v>45954</v>
      </c>
    </row>
    <row r="2194">
      <c r="A2194" s="215" t="n">
        <v>45957</v>
      </c>
      <c r="B2194" s="216" t="n">
        <v>27.68</v>
      </c>
      <c r="C2194" s="216" t="n">
        <v>29.88</v>
      </c>
      <c r="D2194" s="216" t="n">
        <v>1.090957045555115</v>
      </c>
      <c r="E2194" s="215" t="n">
        <v>45957</v>
      </c>
      <c r="F2194" s="215" t="n">
        <v>45957</v>
      </c>
    </row>
    <row r="2195">
      <c r="A2195" s="215" t="n">
        <v>45958</v>
      </c>
      <c r="B2195" s="216" t="n">
        <v>27.36</v>
      </c>
      <c r="C2195" s="216" t="n">
        <v>29.68</v>
      </c>
      <c r="D2195" s="216" t="n">
        <v>1.092440009117126</v>
      </c>
      <c r="E2195" s="215" t="n">
        <v>45958</v>
      </c>
      <c r="F2195" s="215" t="n">
        <v>45958</v>
      </c>
    </row>
    <row r="2196">
      <c r="A2196" s="215" t="n">
        <v>45960</v>
      </c>
      <c r="B2196" s="216" t="n">
        <v>26.64</v>
      </c>
      <c r="C2196" s="216" t="n">
        <v>29.73</v>
      </c>
      <c r="D2196" s="216" t="n">
        <v>1.09463894367218</v>
      </c>
      <c r="E2196" s="215" t="n">
        <v>45960</v>
      </c>
      <c r="F2196" s="215" t="n">
        <v>45960</v>
      </c>
    </row>
    <row r="2197">
      <c r="A2197" s="215" t="n">
        <v>45961</v>
      </c>
      <c r="B2197" s="216" t="n">
        <v>26.6</v>
      </c>
      <c r="C2197" s="216" t="n">
        <v>29.43</v>
      </c>
      <c r="D2197" s="216" t="n">
        <v>1.092543959617615</v>
      </c>
      <c r="E2197" s="215" t="n">
        <v>45961</v>
      </c>
      <c r="F2197" s="215" t="n">
        <v>45961</v>
      </c>
    </row>
    <row r="2198">
      <c r="A2198" s="215" t="n">
        <v>45964</v>
      </c>
      <c r="B2198" s="216" t="n">
        <v>26.5</v>
      </c>
      <c r="C2198" s="216" t="n">
        <v>29.57</v>
      </c>
      <c r="D2198" s="216" t="n">
        <v>1.091722965240479</v>
      </c>
      <c r="E2198" s="215" t="n">
        <v>45964</v>
      </c>
      <c r="F2198" s="215" t="n">
        <v>45964</v>
      </c>
    </row>
    <row r="2199">
      <c r="A2199" s="215" t="n">
        <v>45965</v>
      </c>
      <c r="B2199" s="216" t="n">
        <v>24.9</v>
      </c>
      <c r="C2199" s="216" t="n">
        <v>28.59</v>
      </c>
      <c r="D2199" s="216" t="n">
        <v>1.083533048629761</v>
      </c>
      <c r="E2199" s="215" t="n">
        <v>45965</v>
      </c>
      <c r="F2199" s="215" t="n">
        <v>45965</v>
      </c>
    </row>
    <row r="2200">
      <c r="A2200" s="215" t="n">
        <v>45966</v>
      </c>
      <c r="B2200" s="216" t="n">
        <v>25.3</v>
      </c>
      <c r="C2200" s="216" t="n">
        <v>28.53</v>
      </c>
      <c r="D2200" s="216" t="n">
        <v>1.090273976325989</v>
      </c>
      <c r="E2200" s="215" t="n">
        <v>45966</v>
      </c>
      <c r="F2200" s="215" t="n">
        <v>45966</v>
      </c>
    </row>
    <row r="2201">
      <c r="A2201" s="215" t="n">
        <v>45967</v>
      </c>
      <c r="B2201" s="216" t="n">
        <v>26.92</v>
      </c>
      <c r="C2201" s="216" t="n">
        <v>31.27</v>
      </c>
      <c r="D2201" s="216" t="n">
        <v>1.090808033943176</v>
      </c>
      <c r="E2201" s="215" t="n">
        <v>45967</v>
      </c>
      <c r="F2201" s="215" t="n">
        <v>45967</v>
      </c>
    </row>
    <row r="2202">
      <c r="A2202" s="215" t="n">
        <v>45968</v>
      </c>
      <c r="B2202" s="216" t="n">
        <v>26.54</v>
      </c>
      <c r="C2202" s="216" t="n">
        <v>31.12</v>
      </c>
      <c r="D2202" s="216" t="n">
        <v>1.092054009437561</v>
      </c>
      <c r="E2202" s="215" t="n">
        <v>45968</v>
      </c>
      <c r="F2202" s="215" t="n">
        <v>45968</v>
      </c>
    </row>
    <row r="2203">
      <c r="A2203" s="215" t="n">
        <v>45971</v>
      </c>
      <c r="B2203" s="216" t="n">
        <v>26.6</v>
      </c>
      <c r="C2203" s="216" t="n">
        <v>29.85</v>
      </c>
      <c r="D2203" s="216" t="n">
        <v>1.092267036437988</v>
      </c>
      <c r="E2203" s="215" t="n">
        <v>45971</v>
      </c>
      <c r="F2203" s="215" t="n">
        <v>45971</v>
      </c>
    </row>
    <row r="2204">
      <c r="A2204" s="215" t="n">
        <v>45972</v>
      </c>
      <c r="B2204" s="216" t="n">
        <v>26.18</v>
      </c>
      <c r="C2204" s="216" t="n">
        <v>28.8</v>
      </c>
      <c r="D2204" s="216" t="n">
        <v>1.091644048690796</v>
      </c>
      <c r="E2204" s="215" t="n">
        <v>45972</v>
      </c>
      <c r="F2204" s="215" t="n">
        <v>45972</v>
      </c>
    </row>
    <row r="2205">
      <c r="A2205" s="215" t="n">
        <v>45973</v>
      </c>
      <c r="B2205" s="216" t="n">
        <v>26.6</v>
      </c>
      <c r="C2205" s="216" t="n">
        <v>29.83</v>
      </c>
      <c r="D2205" s="216" t="n">
        <v>1.091495990753174</v>
      </c>
      <c r="E2205" s="215" t="n">
        <v>45973</v>
      </c>
      <c r="F2205" s="215" t="n">
        <v>45973</v>
      </c>
    </row>
    <row r="2206">
      <c r="A2206" s="215" t="n">
        <v>45974</v>
      </c>
      <c r="B2206" s="216" t="n">
        <v>26.36</v>
      </c>
      <c r="C2206" s="216" t="n">
        <v>29.16</v>
      </c>
      <c r="D2206" s="216" t="n">
        <v>1.092489004135132</v>
      </c>
      <c r="E2206" s="215" t="n">
        <v>45974</v>
      </c>
      <c r="F2206" s="215" t="n">
        <v>45974</v>
      </c>
    </row>
    <row r="2207">
      <c r="A2207" s="215" t="n">
        <v>45975</v>
      </c>
      <c r="B2207" s="216" t="n">
        <v>25.34</v>
      </c>
      <c r="C2207" s="216" t="n">
        <v>27.9</v>
      </c>
      <c r="D2207" s="216" t="n">
        <v>1.092411994934082</v>
      </c>
      <c r="E2207" s="215" t="n">
        <v>45975</v>
      </c>
      <c r="F2207" s="215" t="n">
        <v>45975</v>
      </c>
    </row>
    <row r="2208">
      <c r="A2208" s="215" t="n">
        <v>45978</v>
      </c>
      <c r="B2208" s="216" t="n">
        <v>24.56</v>
      </c>
      <c r="C2208" s="216" t="n">
        <v>27.23</v>
      </c>
      <c r="D2208" s="216" t="n">
        <v>1.094588041305542</v>
      </c>
      <c r="E2208" s="215" t="n">
        <v>45978</v>
      </c>
      <c r="F2208" s="215" t="n">
        <v>45978</v>
      </c>
    </row>
    <row r="2209">
      <c r="A2209" s="215" t="n">
        <v>45979</v>
      </c>
      <c r="B2209" s="216" t="n">
        <v>24.4</v>
      </c>
      <c r="C2209" s="216" t="n">
        <v>26.98</v>
      </c>
      <c r="D2209" s="216" t="n">
        <v>1.093616008758545</v>
      </c>
      <c r="E2209" s="215" t="n">
        <v>45979</v>
      </c>
      <c r="F2209" s="215" t="n">
        <v>45979</v>
      </c>
    </row>
    <row r="2210">
      <c r="A2210" s="215" t="n">
        <v>45980</v>
      </c>
      <c r="B2210" s="216" t="n">
        <v>24.14</v>
      </c>
      <c r="C2210" s="216" t="n">
        <v>26.55</v>
      </c>
      <c r="D2210" s="216" t="n">
        <v>1.095010995864868</v>
      </c>
      <c r="E2210" s="215" t="n">
        <v>45980</v>
      </c>
      <c r="F2210" s="215" t="n">
        <v>45980</v>
      </c>
    </row>
    <row r="2211">
      <c r="A2211" s="215" t="n">
        <v>45981</v>
      </c>
      <c r="B2211" s="216" t="n">
        <v>23.6</v>
      </c>
      <c r="C2211" s="216" t="n">
        <v>26.57</v>
      </c>
      <c r="D2211" s="216" t="n">
        <v>1.095402002334595</v>
      </c>
      <c r="E2211" s="215" t="n">
        <v>45981</v>
      </c>
      <c r="F2211" s="215" t="n">
        <v>45981</v>
      </c>
    </row>
    <row r="2212">
      <c r="A2212" s="215" t="n">
        <v>45982</v>
      </c>
      <c r="B2212" s="216" t="n">
        <v>22.82</v>
      </c>
      <c r="C2212" s="216" t="n">
        <v>26.24</v>
      </c>
      <c r="D2212" s="216" t="n">
        <v>1.094982981681824</v>
      </c>
      <c r="E2212" s="215" t="n">
        <v>45982</v>
      </c>
      <c r="F2212" s="215" t="n">
        <v>45982</v>
      </c>
    </row>
    <row r="2213">
      <c r="A2213" s="215" t="n">
        <v>45985</v>
      </c>
      <c r="B2213" s="216" t="n">
        <v>23.04</v>
      </c>
      <c r="C2213" s="216" t="n">
        <v>26.5</v>
      </c>
      <c r="D2213" s="216" t="n">
        <v>1.094988942146301</v>
      </c>
      <c r="E2213" s="215" t="n">
        <v>45985</v>
      </c>
      <c r="F2213" s="215" t="n">
        <v>45985</v>
      </c>
    </row>
    <row r="2214">
      <c r="A2214" s="215" t="n">
        <v>45986</v>
      </c>
      <c r="B2214" s="216" t="n">
        <v>23.54</v>
      </c>
      <c r="C2214" s="216" t="n">
        <v>27.14</v>
      </c>
      <c r="D2214" s="216" t="n">
        <v>1.095428943634033</v>
      </c>
      <c r="E2214" s="215" t="n">
        <v>45986</v>
      </c>
      <c r="F2214" s="215" t="n">
        <v>45986</v>
      </c>
    </row>
    <row r="2215">
      <c r="A2215" s="215" t="n">
        <v>45987</v>
      </c>
      <c r="B2215" s="216" t="n">
        <v>23.68</v>
      </c>
      <c r="C2215" s="216" t="n">
        <v>27.47</v>
      </c>
      <c r="D2215" s="216" t="n">
        <v>1.097422003746033</v>
      </c>
      <c r="E2215" s="215" t="n">
        <v>45987</v>
      </c>
      <c r="F2215" s="215" t="n">
        <v>45987</v>
      </c>
    </row>
    <row r="2216">
      <c r="A2216" s="215" t="n">
        <v>45988</v>
      </c>
      <c r="B2216" s="216" t="n">
        <v>23.7</v>
      </c>
      <c r="C2216" s="216" t="n">
        <v>27.18</v>
      </c>
      <c r="D2216" s="216" t="n">
        <v>1.098397016525269</v>
      </c>
      <c r="E2216" s="215" t="n">
        <v>45988</v>
      </c>
      <c r="F2216" s="215" t="n">
        <v>45988</v>
      </c>
    </row>
    <row r="2217">
      <c r="A2217" s="215" t="n">
        <v>45989</v>
      </c>
      <c r="B2217" s="216" t="n">
        <v>24.06</v>
      </c>
      <c r="C2217" s="216" t="n">
        <v>27.5</v>
      </c>
      <c r="D2217" s="216" t="n">
        <v>1.098330020904541</v>
      </c>
      <c r="E2217" s="215" t="n">
        <v>45989</v>
      </c>
      <c r="F2217" s="215" t="n">
        <v>45989</v>
      </c>
    </row>
    <row r="2218">
      <c r="A2218" s="215" t="n">
        <v>45992</v>
      </c>
      <c r="B2218" s="216" t="n">
        <v>25.24</v>
      </c>
      <c r="C2218" s="216" t="n">
        <v>28.66</v>
      </c>
      <c r="D2218" s="216" t="n">
        <v>1.10015594959259</v>
      </c>
      <c r="E2218" s="215" t="n">
        <v>45992</v>
      </c>
      <c r="F2218" s="215" t="n">
        <v>45992</v>
      </c>
    </row>
    <row r="2219">
      <c r="A2219" s="215" t="n">
        <v>45993</v>
      </c>
      <c r="B2219" s="216" t="n">
        <v>25.08</v>
      </c>
      <c r="C2219" s="216" t="n">
        <v>28.97</v>
      </c>
      <c r="D2219" s="216" t="n">
        <v>1.101189017295837</v>
      </c>
      <c r="E2219" s="215" t="n">
        <v>45993</v>
      </c>
      <c r="F2219" s="215" t="n">
        <v>45993</v>
      </c>
    </row>
    <row r="2220">
      <c r="A2220" s="215" t="n">
        <v>45994</v>
      </c>
      <c r="B2220" s="216" t="n">
        <v>24.56</v>
      </c>
      <c r="C2220" s="216" t="n">
        <v>28.22</v>
      </c>
      <c r="D2220" s="216" t="n">
        <v>1.100834012031555</v>
      </c>
      <c r="E2220" s="215" t="n">
        <v>45994</v>
      </c>
      <c r="F2220" s="215" t="n">
        <v>45994</v>
      </c>
    </row>
    <row r="2221">
      <c r="A2221" s="215" t="n">
        <v>45995</v>
      </c>
      <c r="B2221" s="216" t="n">
        <v>25.2</v>
      </c>
      <c r="C2221" s="216" t="n">
        <v>28.32</v>
      </c>
      <c r="D2221" s="216" t="n">
        <v>1.101611018180847</v>
      </c>
      <c r="E2221" s="215" t="n">
        <v>45995</v>
      </c>
      <c r="F2221" s="215" t="n">
        <v>45995</v>
      </c>
    </row>
    <row r="2222">
      <c r="A2222" s="215" t="n">
        <v>45996</v>
      </c>
      <c r="B2222" s="216" t="n">
        <v>25.66</v>
      </c>
      <c r="C2222" s="216" t="n">
        <v>28.86</v>
      </c>
      <c r="D2222" s="216" t="n">
        <v>1.100373983383179</v>
      </c>
      <c r="E2222" s="215" t="n">
        <v>45996</v>
      </c>
      <c r="F2222" s="215" t="n">
        <v>45996</v>
      </c>
    </row>
    <row r="2223">
      <c r="A2223" s="215" t="n">
        <v>45999</v>
      </c>
      <c r="B2223" s="216" t="n">
        <v>25.86</v>
      </c>
      <c r="C2223" s="216" t="n">
        <v>29.38</v>
      </c>
      <c r="D2223" s="216" t="n">
        <v>1.1008620262146</v>
      </c>
      <c r="E2223" s="215" t="n">
        <v>45999</v>
      </c>
      <c r="F2223" s="215" t="n">
        <v>45999</v>
      </c>
    </row>
    <row r="2224">
      <c r="A2224" s="215" t="n">
        <v>46000</v>
      </c>
      <c r="B2224" s="216" t="n">
        <v>25.4</v>
      </c>
      <c r="C2224" s="216" t="n">
        <v>29.26</v>
      </c>
      <c r="D2224" s="216" t="n">
        <v>1.10008704662323</v>
      </c>
      <c r="E2224" s="215" t="n">
        <v>46000</v>
      </c>
      <c r="F2224" s="215" t="n">
        <v>46000</v>
      </c>
    </row>
    <row r="2225">
      <c r="A2225" s="215" t="n">
        <v>46001</v>
      </c>
      <c r="B2225" s="216" t="n">
        <v>25.4</v>
      </c>
      <c r="C2225" s="216" t="n">
        <v>28.9</v>
      </c>
      <c r="D2225" s="216" t="n">
        <v>1.101711988449097</v>
      </c>
      <c r="E2225" s="215" t="n">
        <v>46001</v>
      </c>
      <c r="F2225" s="215" t="n">
        <v>46001</v>
      </c>
    </row>
    <row r="2226">
      <c r="A2226" s="215" t="n">
        <v>46002</v>
      </c>
      <c r="B2226" s="216" t="n">
        <v>25.92</v>
      </c>
      <c r="C2226" s="216" t="n">
        <v>30.65</v>
      </c>
      <c r="D2226" s="216" t="n">
        <v>1.10112202167511</v>
      </c>
      <c r="E2226" s="215" t="n">
        <v>46002</v>
      </c>
      <c r="F2226" s="215" t="n">
        <v>46002</v>
      </c>
    </row>
    <row r="2227">
      <c r="A2227" s="215" t="n">
        <v>46003</v>
      </c>
      <c r="B2227" s="216" t="n">
        <v>25.66</v>
      </c>
      <c r="C2227" s="216" t="n">
        <v>30</v>
      </c>
      <c r="D2227" s="216" t="n">
        <v>1.102499008178711</v>
      </c>
      <c r="E2227" s="215" t="n">
        <v>46003</v>
      </c>
      <c r="F2227" s="215" t="n">
        <v>46003</v>
      </c>
    </row>
    <row r="2228">
      <c r="A2228" s="215" t="n">
        <v>46006</v>
      </c>
      <c r="B2228" s="216" t="n">
        <v>25.46</v>
      </c>
      <c r="C2228" s="216" t="n">
        <v>29</v>
      </c>
      <c r="D2228" s="216" t="n">
        <v>1.103397965431213</v>
      </c>
      <c r="E2228" s="215" t="n">
        <v>46006</v>
      </c>
      <c r="F2228" s="215" t="n">
        <v>46006</v>
      </c>
    </row>
    <row r="2229">
      <c r="A2229" s="215" t="n">
        <v>46007</v>
      </c>
      <c r="B2229" s="216" t="n">
        <v>24.88</v>
      </c>
      <c r="C2229" s="216" t="n">
        <v>28.79</v>
      </c>
      <c r="D2229" s="216" t="n">
        <v>1.104179978370667</v>
      </c>
      <c r="E2229" s="215" t="n">
        <v>46007</v>
      </c>
      <c r="F2229" s="215" t="n">
        <v>46007</v>
      </c>
    </row>
    <row r="2230">
      <c r="A2230" s="215" t="n">
        <v>46008</v>
      </c>
      <c r="B2230" s="216" t="n">
        <v>25.92</v>
      </c>
      <c r="C2230" s="216" t="n">
        <v>29.65</v>
      </c>
      <c r="D2230" s="216" t="n">
        <v>1.104655981063843</v>
      </c>
      <c r="E2230" s="215" t="n">
        <v>46008</v>
      </c>
      <c r="F2230" s="215" t="n">
        <v>46008</v>
      </c>
    </row>
    <row r="2231">
      <c r="A2231" s="215" t="n">
        <v>46009</v>
      </c>
      <c r="B2231" s="216" t="n">
        <v>25.24</v>
      </c>
      <c r="C2231" s="216" t="n">
        <v>28.59</v>
      </c>
      <c r="D2231" s="216" t="n">
        <v>1.104357004165649</v>
      </c>
      <c r="E2231" s="215" t="n">
        <v>46009</v>
      </c>
      <c r="F2231" s="215" t="n">
        <v>46009</v>
      </c>
    </row>
    <row r="2232">
      <c r="A2232" s="215" t="n">
        <v>46010</v>
      </c>
      <c r="B2232" s="216" t="n">
        <v>25.84</v>
      </c>
      <c r="C2232" s="216" t="n">
        <v>28.71</v>
      </c>
      <c r="D2232" s="216" t="n">
        <v>1.104962944984436</v>
      </c>
      <c r="E2232" s="215" t="n">
        <v>46010</v>
      </c>
      <c r="F2232" s="215" t="n">
        <v>46010</v>
      </c>
    </row>
    <row r="2233">
      <c r="A2233" s="215" t="n">
        <v>46013</v>
      </c>
      <c r="B2233" s="216" t="n">
        <v>25.7</v>
      </c>
      <c r="C2233" s="216" t="n">
        <v>28.88</v>
      </c>
      <c r="D2233" s="216" t="n">
        <v>1.105054020881653</v>
      </c>
      <c r="E2233" s="215" t="n">
        <v>46013</v>
      </c>
      <c r="F2233" s="215" t="n">
        <v>46013</v>
      </c>
    </row>
    <row r="2234">
      <c r="A2234" s="215" t="n">
        <v>46014</v>
      </c>
      <c r="B2234" s="216" t="n">
        <v>24.88</v>
      </c>
      <c r="C2234" s="216" t="n">
        <v>28.44</v>
      </c>
      <c r="D2234" s="216" t="n">
        <v>1.104820013046265</v>
      </c>
      <c r="E2234" s="215" t="n">
        <v>46014</v>
      </c>
      <c r="F2234" s="215" t="n">
        <v>46014</v>
      </c>
    </row>
    <row r="2235">
      <c r="A2235" s="215" t="n">
        <v>46015</v>
      </c>
      <c r="B2235" s="216" t="n">
        <v>24.74</v>
      </c>
      <c r="C2235" s="216" t="n">
        <v>28.98</v>
      </c>
      <c r="D2235" s="216" t="n">
        <v>1.106441974639893</v>
      </c>
      <c r="E2235" s="215" t="n">
        <v>46015</v>
      </c>
      <c r="F2235" s="215" t="n">
        <v>46015</v>
      </c>
    </row>
    <row r="2236">
      <c r="A2236" s="215" t="n">
        <v>46020</v>
      </c>
      <c r="B2236" s="216" t="n">
        <v>24.12</v>
      </c>
      <c r="C2236" s="216" t="n">
        <v>28.5</v>
      </c>
      <c r="D2236" s="216" t="n">
        <v>1.10552704334259</v>
      </c>
      <c r="E2236" s="215" t="n">
        <v>46020</v>
      </c>
      <c r="F2236" s="215" t="n">
        <v>46020</v>
      </c>
    </row>
    <row r="2237">
      <c r="A2237" s="215" t="n">
        <v>46021</v>
      </c>
      <c r="B2237" s="216" t="n">
        <v>25.34</v>
      </c>
      <c r="C2237" s="216" t="n">
        <v>29.66</v>
      </c>
      <c r="D2237" s="216" t="n">
        <v>1.109460949897766</v>
      </c>
      <c r="E2237" s="215" t="n">
        <v>46021</v>
      </c>
      <c r="F2237" s="215" t="n">
        <v>46021</v>
      </c>
    </row>
    <row r="2238">
      <c r="A2238" s="215" t="n">
        <v>46022</v>
      </c>
      <c r="B2238" s="216" t="n">
        <v>25.24</v>
      </c>
      <c r="C2238" s="216" t="n">
        <v>30.27</v>
      </c>
      <c r="D2238" s="216" t="n">
        <v>1.111927032470703</v>
      </c>
      <c r="E2238" s="215" t="n">
        <v>46022</v>
      </c>
      <c r="F2238" s="215" t="n">
        <v>46022</v>
      </c>
    </row>
    <row r="2239">
      <c r="A2239" s="215" t="n">
        <v>46024</v>
      </c>
      <c r="B2239" s="216" t="n">
        <v>25.88</v>
      </c>
      <c r="C2239" s="216" t="n">
        <v>30.27</v>
      </c>
      <c r="D2239" s="216" t="n">
        <v>1.112754940986633</v>
      </c>
      <c r="E2239" s="215" t="n">
        <v>46022</v>
      </c>
      <c r="F2239" s="215" t="n">
        <v>46024</v>
      </c>
    </row>
    <row r="2240">
      <c r="A2240" s="215" t="n">
        <v>46027</v>
      </c>
      <c r="B2240" s="216" t="n">
        <v>26.62</v>
      </c>
      <c r="C2240" s="216" t="n">
        <v>32.04</v>
      </c>
      <c r="D2240" s="216" t="n">
        <v>1.113860011100769</v>
      </c>
      <c r="E2240" s="215" t="n">
        <v>46027</v>
      </c>
      <c r="F2240" s="215" t="n">
        <v>46027</v>
      </c>
    </row>
    <row r="2241">
      <c r="A2241" s="215" t="n">
        <v>46028</v>
      </c>
      <c r="B2241" s="216" t="n">
        <v>27.42</v>
      </c>
      <c r="C2241" s="216" t="n">
        <v>33.93</v>
      </c>
      <c r="D2241" s="216" t="n">
        <v>1.11367404460907</v>
      </c>
      <c r="E2241" s="215" t="n">
        <v>46028</v>
      </c>
      <c r="F2241" s="215" t="n">
        <v>46028</v>
      </c>
    </row>
    <row r="2242">
      <c r="A2242" s="215" t="n">
        <v>46029</v>
      </c>
      <c r="B2242" s="216" t="n">
        <v>27.04</v>
      </c>
      <c r="C2242" s="216" t="n">
        <v>34.01</v>
      </c>
      <c r="D2242" s="216" t="n">
        <v>1.114913940429688</v>
      </c>
      <c r="E2242" s="215" t="n">
        <v>46029</v>
      </c>
      <c r="F2242" s="215" t="n">
        <v>46029</v>
      </c>
    </row>
    <row r="2243">
      <c r="A2243" s="215" t="n">
        <v>46030</v>
      </c>
      <c r="B2243" s="216" t="n">
        <v>26.42</v>
      </c>
      <c r="C2243" s="216" t="n">
        <v>33.9</v>
      </c>
      <c r="D2243" s="216" t="n">
        <v>1.112563014030457</v>
      </c>
      <c r="E2243" s="215" t="n">
        <v>46030</v>
      </c>
      <c r="F2243" s="215" t="n">
        <v>46030</v>
      </c>
    </row>
    <row r="2244">
      <c r="A2244" s="215" t="n">
        <v>46031</v>
      </c>
      <c r="B2244" s="216" t="n">
        <v>28.8</v>
      </c>
      <c r="C2244" s="216" t="n">
        <v>38.69</v>
      </c>
      <c r="D2244" s="216" t="n">
        <v>1.115561008453369</v>
      </c>
      <c r="E2244" s="215" t="n">
        <v>46031</v>
      </c>
      <c r="F2244" s="215" t="n">
        <v>46031</v>
      </c>
    </row>
    <row r="2245">
      <c r="A2245" s="215" t="n">
        <v>46034</v>
      </c>
      <c r="B2245" s="216" t="n">
        <v>29.98</v>
      </c>
      <c r="C2245" s="216" t="n">
        <v>42.66</v>
      </c>
      <c r="D2245" s="216" t="n">
        <v>1.117015957832336</v>
      </c>
      <c r="E2245" s="215" t="n">
        <v>46034</v>
      </c>
      <c r="F2245" s="215" t="n">
        <v>46034</v>
      </c>
    </row>
    <row r="2246">
      <c r="A2246" s="215" t="n">
        <v>46035</v>
      </c>
      <c r="B2246" s="216" t="n">
        <v>28.26</v>
      </c>
      <c r="C2246" s="216" t="n">
        <v>39.18</v>
      </c>
      <c r="D2246" s="216" t="n">
        <v>1.117892026901245</v>
      </c>
      <c r="E2246" s="215" t="n">
        <v>46035</v>
      </c>
      <c r="F2246" s="215" t="n">
        <v>46035</v>
      </c>
    </row>
    <row r="2247">
      <c r="A2247" s="215" t="n">
        <v>46036</v>
      </c>
      <c r="B2247" s="216" t="n">
        <v>28.16</v>
      </c>
      <c r="C2247" s="216" t="n">
        <v>38.37</v>
      </c>
      <c r="D2247" s="216" t="n">
        <v>1.117897987365723</v>
      </c>
      <c r="E2247" s="215" t="n">
        <v>46036</v>
      </c>
      <c r="F2247" s="215" t="n">
        <v>46036</v>
      </c>
    </row>
    <row r="2248">
      <c r="A2248" s="215" t="n">
        <v>46037</v>
      </c>
      <c r="B2248" s="216" t="n">
        <v>28.62</v>
      </c>
      <c r="C2248" s="216" t="n">
        <v>38.41</v>
      </c>
      <c r="D2248" s="216" t="n">
        <v>1.118072032928467</v>
      </c>
      <c r="E2248" s="215" t="n">
        <v>46037</v>
      </c>
      <c r="F2248" s="215" t="n">
        <v>46037</v>
      </c>
    </row>
    <row r="2249">
      <c r="A2249" s="215" t="n">
        <v>46038</v>
      </c>
      <c r="B2249" s="216" t="n">
        <v>29.86</v>
      </c>
      <c r="C2249" s="216" t="n">
        <v>39.22</v>
      </c>
      <c r="D2249" s="216" t="n">
        <v>1.119040012359619</v>
      </c>
      <c r="E2249" s="215" t="n">
        <v>46038</v>
      </c>
      <c r="F2249" s="215" t="n">
        <v>46038</v>
      </c>
    </row>
    <row r="2250">
      <c r="A2250" s="215" t="n">
        <v>46041</v>
      </c>
      <c r="B2250" s="216" t="n">
        <v>29.54</v>
      </c>
      <c r="C2250" s="216" t="n">
        <v>39.71</v>
      </c>
      <c r="D2250" s="216" t="n">
        <v>1.118916034698486</v>
      </c>
      <c r="E2250" s="215" t="n">
        <v>46041</v>
      </c>
      <c r="F2250" s="215" t="n">
        <v>46041</v>
      </c>
    </row>
    <row r="2251">
      <c r="A2251" s="215" t="n">
        <v>46042</v>
      </c>
      <c r="B2251" s="216" t="n">
        <v>28.9</v>
      </c>
      <c r="C2251" s="216" t="n">
        <v>38.38</v>
      </c>
      <c r="D2251" s="216" t="n">
        <v>1.118687987327576</v>
      </c>
      <c r="E2251" s="215" t="n">
        <v>46042</v>
      </c>
      <c r="F2251" s="215" t="n">
        <v>46042</v>
      </c>
    </row>
    <row r="2252">
      <c r="A2252" s="215" t="n">
        <v>46043</v>
      </c>
      <c r="B2252" s="216" t="n">
        <v>29.32</v>
      </c>
      <c r="C2252" s="216" t="n">
        <v>37.75</v>
      </c>
      <c r="D2252" s="216" t="n">
        <v>1.12024998664856</v>
      </c>
      <c r="E2252" s="215" t="n">
        <v>46043</v>
      </c>
      <c r="F2252" s="215" t="n">
        <v>46043</v>
      </c>
    </row>
    <row r="2253">
      <c r="A2253" s="215" t="n">
        <v>46044</v>
      </c>
      <c r="B2253" s="216" t="n">
        <v>29.06</v>
      </c>
      <c r="C2253" s="216" t="n">
        <v>37.06</v>
      </c>
      <c r="D2253" s="216" t="n">
        <v>1.11942195892334</v>
      </c>
      <c r="E2253" s="215" t="n">
        <v>46044</v>
      </c>
      <c r="F2253" s="215" t="n">
        <v>46044</v>
      </c>
    </row>
    <row r="2254">
      <c r="A2254" s="215" t="n">
        <v>46045</v>
      </c>
      <c r="B2254" s="216" t="n">
        <v>31.78</v>
      </c>
      <c r="C2254" s="216" t="n">
        <v>42.6</v>
      </c>
      <c r="D2254" s="216" t="n">
        <v>1.117977976799011</v>
      </c>
      <c r="E2254" s="215" t="n">
        <v>46045</v>
      </c>
      <c r="F2254" s="215" t="n">
        <v>46045</v>
      </c>
    </row>
    <row r="2255">
      <c r="A2255" s="215" t="n">
        <v>46048</v>
      </c>
      <c r="B2255" s="216" t="n">
        <v>30.14</v>
      </c>
      <c r="C2255" s="216" t="n">
        <v>38.93</v>
      </c>
      <c r="D2255" s="216" t="n">
        <v>1.117916941642761</v>
      </c>
      <c r="E2255" s="215" t="n">
        <v>46048</v>
      </c>
      <c r="F2255" s="215" t="n">
        <v>46048</v>
      </c>
    </row>
    <row r="2256">
      <c r="A2256" s="215" t="n">
        <v>46049</v>
      </c>
      <c r="B2256" s="216" t="n">
        <v>30.48</v>
      </c>
      <c r="C2256" s="216" t="n">
        <v>38.72</v>
      </c>
      <c r="D2256" s="216" t="n">
        <v>1.121191024780273</v>
      </c>
      <c r="E2256" s="215" t="n">
        <v>46049</v>
      </c>
      <c r="F2256" s="215" t="n">
        <v>46049</v>
      </c>
    </row>
    <row r="2257">
      <c r="A2257" s="215" t="n">
        <v>46050</v>
      </c>
      <c r="B2257" s="216" t="n">
        <v>30.62</v>
      </c>
      <c r="C2257" s="216" t="n">
        <v>37.92</v>
      </c>
      <c r="D2257" s="216" t="n">
        <v>1.121533036231995</v>
      </c>
      <c r="E2257" s="215" t="n">
        <v>46050</v>
      </c>
      <c r="F2257" s="215" t="n">
        <v>46050</v>
      </c>
    </row>
    <row r="2258">
      <c r="A2258" s="215" t="n">
        <v>46051</v>
      </c>
      <c r="B2258" s="216" t="n">
        <v>30.02</v>
      </c>
      <c r="C2258" s="216" t="n">
        <v>37.54</v>
      </c>
      <c r="D2258" s="216" t="n">
        <v>1.121621966362</v>
      </c>
      <c r="E2258" s="215" t="n">
        <v>46051</v>
      </c>
      <c r="F2258" s="215" t="n">
        <v>46051</v>
      </c>
    </row>
    <row r="2259">
      <c r="A2259" s="215" t="n">
        <v>46052</v>
      </c>
      <c r="B2259" s="216" t="n">
        <v>29.34</v>
      </c>
      <c r="C2259" s="216" t="n">
        <v>36.35</v>
      </c>
      <c r="D2259" s="216" t="n">
        <v>1.123343944549561</v>
      </c>
      <c r="E2259" s="215" t="n">
        <v>46052</v>
      </c>
      <c r="F2259" s="215" t="n">
        <v>46052</v>
      </c>
    </row>
    <row r="2260">
      <c r="A2260" s="215" t="n">
        <v>46055</v>
      </c>
      <c r="B2260" s="216" t="n">
        <v>28.18</v>
      </c>
      <c r="C2260" s="216" t="n">
        <v>35.8</v>
      </c>
      <c r="D2260" s="216" t="n">
        <v>1.123572945594788</v>
      </c>
      <c r="E2260" s="215" t="n">
        <v>46055</v>
      </c>
      <c r="F2260" s="215" t="n">
        <v>46055</v>
      </c>
    </row>
    <row r="2261">
      <c r="A2261" s="215" t="n">
        <v>46056</v>
      </c>
      <c r="B2261" s="216" t="n">
        <v>29</v>
      </c>
      <c r="C2261" s="216" t="n">
        <v>37.36</v>
      </c>
      <c r="D2261" s="216" t="n">
        <v>1.124274969100952</v>
      </c>
      <c r="E2261" s="215" t="n">
        <v>46056</v>
      </c>
      <c r="F2261" s="215" t="n">
        <v>46056</v>
      </c>
    </row>
    <row r="2262">
      <c r="A2262" s="215" t="n">
        <v>46057</v>
      </c>
      <c r="B2262" s="216" t="n">
        <v>27.94</v>
      </c>
      <c r="C2262" s="216" t="n">
        <v>36.96</v>
      </c>
      <c r="D2262" s="216" t="n">
        <v>1.12601101398468</v>
      </c>
      <c r="E2262" s="215" t="n">
        <v>46057</v>
      </c>
      <c r="F2262" s="215" t="n">
        <v>46057</v>
      </c>
    </row>
    <row r="2263">
      <c r="A2263" s="215" t="n">
        <v>46058</v>
      </c>
      <c r="B2263" s="216" t="n">
        <v>26.76</v>
      </c>
      <c r="C2263" s="216" t="n">
        <v>35.44</v>
      </c>
      <c r="D2263" s="216" t="n">
        <v>1.125892996788025</v>
      </c>
      <c r="E2263" s="215" t="n">
        <v>46058</v>
      </c>
      <c r="F2263" s="215" t="n">
        <v>46058</v>
      </c>
    </row>
    <row r="2264">
      <c r="A2264" s="215" t="n">
        <v>46059</v>
      </c>
      <c r="B2264" s="216" t="n">
        <v>26.72</v>
      </c>
      <c r="C2264" s="216" t="n">
        <v>35.2</v>
      </c>
      <c r="D2264" s="216" t="n">
        <v>1.126062035560608</v>
      </c>
      <c r="E2264" s="215" t="n">
        <v>46059</v>
      </c>
      <c r="F2264" s="215" t="n">
        <v>46059</v>
      </c>
    </row>
    <row r="2265">
      <c r="A2265" s="215" t="n">
        <v>46062</v>
      </c>
      <c r="B2265" s="216" t="n">
        <v>27.32</v>
      </c>
      <c r="C2265" s="216" t="n">
        <v>35.36</v>
      </c>
      <c r="D2265" s="216" t="n">
        <v>1.125753998756409</v>
      </c>
      <c r="E2265" s="215" t="n">
        <v>46062</v>
      </c>
      <c r="F2265" s="215" t="n">
        <v>46062</v>
      </c>
    </row>
    <row r="2266">
      <c r="A2266" s="215" t="n">
        <v>46063</v>
      </c>
      <c r="B2266" s="216" t="n">
        <v>27.36</v>
      </c>
      <c r="C2266" s="216" t="n">
        <v>35.1</v>
      </c>
      <c r="D2266" s="216" t="n">
        <v>1.129003047943115</v>
      </c>
      <c r="E2266" s="215" t="n">
        <v>46063</v>
      </c>
      <c r="F2266" s="215" t="n">
        <v>46063</v>
      </c>
    </row>
    <row r="2267">
      <c r="A2267" s="215" t="n">
        <v>46064</v>
      </c>
      <c r="B2267" s="216" t="n">
        <v>27</v>
      </c>
      <c r="C2267" s="216" t="n">
        <v>34.49</v>
      </c>
      <c r="D2267" s="216" t="n">
        <v>1.130962014198303</v>
      </c>
      <c r="E2267" s="215" t="n">
        <v>46064</v>
      </c>
      <c r="F2267" s="215" t="n">
        <v>46064</v>
      </c>
    </row>
    <row r="2268">
      <c r="A2268" s="215" t="n">
        <v>46065</v>
      </c>
      <c r="B2268" s="216" t="n">
        <v>27.6</v>
      </c>
      <c r="C2268" s="216" t="n">
        <v>34.77</v>
      </c>
      <c r="D2268" s="216" t="n">
        <v>1.130671977996826</v>
      </c>
      <c r="E2268" s="215" t="n">
        <v>46065</v>
      </c>
      <c r="F2268" s="215" t="n">
        <v>46065</v>
      </c>
    </row>
    <row r="2269">
      <c r="A2269" s="215" t="n">
        <v>46066</v>
      </c>
      <c r="B2269" s="216" t="n">
        <v>27.62</v>
      </c>
      <c r="C2269" s="216" t="n">
        <v>34.29</v>
      </c>
      <c r="D2269" s="216" t="n">
        <v>1.132490992546082</v>
      </c>
      <c r="E2269" s="215" t="n">
        <v>46066</v>
      </c>
      <c r="F2269" s="215" t="n">
        <v>46066</v>
      </c>
    </row>
    <row r="2270">
      <c r="A2270" s="215" t="n">
        <v>46069</v>
      </c>
      <c r="B2270" s="216" t="n">
        <v>27.2</v>
      </c>
      <c r="C2270" s="216" t="n">
        <v>34.29</v>
      </c>
      <c r="D2270" s="216" t="n">
        <v>1.131224036216736</v>
      </c>
      <c r="E2270" s="215" t="n">
        <v>46066</v>
      </c>
      <c r="F2270" s="215" t="n">
        <v>46069</v>
      </c>
    </row>
    <row r="2271">
      <c r="A2271" s="215" t="n">
        <v>46073</v>
      </c>
      <c r="B2271" s="216" t="n">
        <v>27.58</v>
      </c>
      <c r="C2271" s="216" t="n">
        <v>34.29</v>
      </c>
      <c r="D2271" s="216" t="n">
        <v>1.131005048751831</v>
      </c>
      <c r="E2271" s="215" t="n">
        <v>46066</v>
      </c>
      <c r="F2271" s="215" t="n">
        <v>46073</v>
      </c>
    </row>
    <row r="2272">
      <c r="A2272" s="215" t="n">
        <v>46076</v>
      </c>
      <c r="B2272" s="216" t="n">
        <v>28.4</v>
      </c>
      <c r="C2272" s="216" t="n">
        <v>34.29</v>
      </c>
      <c r="D2272" s="216" t="n">
        <v>1.130877017974854</v>
      </c>
      <c r="E2272" s="215" t="n">
        <v>46066</v>
      </c>
      <c r="F2272" s="215" t="n">
        <v>46076</v>
      </c>
    </row>
    <row r="2273">
      <c r="A2273" s="215" t="n">
        <v>46077</v>
      </c>
      <c r="B2273" s="216" t="n">
        <v>27.26</v>
      </c>
      <c r="C2273" s="216" t="n">
        <v>34.34</v>
      </c>
      <c r="D2273" s="216" t="n">
        <v>1.131631016731262</v>
      </c>
      <c r="E2273" s="215" t="n">
        <v>46077</v>
      </c>
      <c r="F2273" s="215" t="n">
        <v>46077</v>
      </c>
    </row>
    <row r="2274">
      <c r="A2274" s="215" t="n">
        <v>46078</v>
      </c>
      <c r="B2274" s="216" t="n">
        <v>28.08</v>
      </c>
      <c r="C2274" s="216" t="n">
        <v>34.68</v>
      </c>
      <c r="D2274" s="216" t="n">
        <v>1.136234045028687</v>
      </c>
      <c r="E2274" s="215" t="n">
        <v>46078</v>
      </c>
      <c r="F2274" s="215" t="n">
        <v>46078</v>
      </c>
    </row>
    <row r="2275">
      <c r="A2275" s="215" t="n">
        <v>46079</v>
      </c>
      <c r="B2275" s="216" t="n">
        <v>27.98</v>
      </c>
      <c r="C2275" s="216" t="n">
        <v>35.53</v>
      </c>
      <c r="D2275" s="216" t="n">
        <v>1.138198971748352</v>
      </c>
      <c r="E2275" s="215" t="n">
        <v>46079</v>
      </c>
      <c r="F2275" s="215" t="n">
        <v>46079</v>
      </c>
    </row>
    <row r="2276">
      <c r="A2276" s="215" t="n">
        <v>46080</v>
      </c>
      <c r="B2276" s="216" t="n">
        <v>27.48</v>
      </c>
      <c r="C2276" s="216" t="n">
        <v>35.17</v>
      </c>
      <c r="D2276" s="216" t="n">
        <v>1.143396973609924</v>
      </c>
      <c r="E2276" s="215" t="n">
        <v>46080</v>
      </c>
      <c r="F2276" s="215" t="n">
        <v>46080</v>
      </c>
    </row>
    <row r="2277">
      <c r="A2277" s="215" t="n">
        <v>46083</v>
      </c>
      <c r="B2277" s="216" t="n">
        <v>25.34</v>
      </c>
      <c r="C2277" s="216" t="n">
        <v>33.95</v>
      </c>
      <c r="D2277" s="216" t="n">
        <v>1.140552043914795</v>
      </c>
      <c r="E2277" s="215" t="n">
        <v>46083</v>
      </c>
      <c r="F2277" s="215" t="n">
        <v>46083</v>
      </c>
    </row>
    <row r="2278">
      <c r="A2278" s="215" t="n">
        <v>46084</v>
      </c>
      <c r="B2278" s="216" t="n">
        <v>23.98</v>
      </c>
      <c r="C2278" s="216" t="n">
        <v>32.51</v>
      </c>
      <c r="D2278" s="216" t="n">
        <v>1.136399984359741</v>
      </c>
      <c r="E2278" s="215" t="n">
        <v>46084</v>
      </c>
      <c r="F2278" s="215" t="n">
        <v>46084</v>
      </c>
    </row>
    <row r="2279">
      <c r="A2279" s="215" t="n">
        <v>46085</v>
      </c>
      <c r="B2279" s="216" t="n">
        <v>23.18</v>
      </c>
      <c r="C2279" s="216" t="n">
        <v>32.06</v>
      </c>
      <c r="D2279" s="216" t="n">
        <v>1.130928993225098</v>
      </c>
      <c r="E2279" s="215" t="n">
        <v>46085</v>
      </c>
      <c r="F2279" s="215" t="n">
        <v>46085</v>
      </c>
    </row>
    <row r="2280">
      <c r="A2280" s="215" t="n">
        <v>46086</v>
      </c>
      <c r="B2280" s="216" t="n">
        <v>23.36</v>
      </c>
      <c r="C2280" s="216" t="n">
        <v>32.39</v>
      </c>
      <c r="D2280" s="216" t="n">
        <v>1.133169054985046</v>
      </c>
      <c r="E2280" s="215" t="n">
        <v>46086</v>
      </c>
      <c r="F2280" s="215" t="n">
        <v>46086</v>
      </c>
    </row>
    <row r="2281">
      <c r="A2281" s="215" t="n">
        <v>46087</v>
      </c>
      <c r="B2281" s="216" t="n">
        <v>23.38</v>
      </c>
      <c r="C2281" s="216" t="n">
        <v>32.41</v>
      </c>
      <c r="D2281" s="216" t="n">
        <v>1.133442044258118</v>
      </c>
      <c r="E2281" s="215" t="n">
        <v>46087</v>
      </c>
      <c r="F2281" s="215" t="n">
        <v>46087</v>
      </c>
    </row>
    <row r="2282">
      <c r="A2282" s="215" t="n">
        <v>46090</v>
      </c>
      <c r="B2282" s="216" t="n">
        <v>22.4</v>
      </c>
      <c r="C2282" s="216" t="n">
        <v>31.45</v>
      </c>
      <c r="D2282" s="216" t="n">
        <v>1.133231043815613</v>
      </c>
      <c r="E2282" s="215" t="n">
        <v>46090</v>
      </c>
      <c r="F2282" s="215" t="n">
        <v>46090</v>
      </c>
    </row>
    <row r="2283">
      <c r="A2283" s="215" t="n">
        <v>46091</v>
      </c>
      <c r="B2283" s="216" t="n">
        <v>23.86</v>
      </c>
      <c r="C2283" s="216" t="n">
        <v>32.56</v>
      </c>
      <c r="D2283" s="216" t="n">
        <v>1.131595015525818</v>
      </c>
      <c r="E2283" s="215" t="n">
        <v>46091</v>
      </c>
      <c r="F2283" s="215" t="n">
        <v>46091</v>
      </c>
    </row>
    <row r="2284">
      <c r="A2284" s="215" t="n">
        <v>46092</v>
      </c>
      <c r="B2284" s="216" t="n">
        <v>23.44</v>
      </c>
      <c r="C2284" s="216" t="n">
        <v>32.49</v>
      </c>
      <c r="D2284" s="216" t="n">
        <v>1.137585043907166</v>
      </c>
      <c r="E2284" s="215" t="n">
        <v>46092</v>
      </c>
      <c r="F2284" s="215" t="n">
        <v>46092</v>
      </c>
    </row>
    <row r="2285">
      <c r="A2285" s="215" t="n">
        <v>46093</v>
      </c>
      <c r="B2285" s="216" t="n">
        <v>23.16</v>
      </c>
      <c r="C2285" s="216" t="n">
        <v>32.02</v>
      </c>
      <c r="D2285" s="216" t="n">
        <v>1.139600038528442</v>
      </c>
      <c r="E2285" s="215" t="n">
        <v>46093</v>
      </c>
      <c r="F2285" s="215" t="n">
        <v>46093</v>
      </c>
    </row>
    <row r="2286">
      <c r="A2286" s="215" t="n">
        <v>46094</v>
      </c>
      <c r="B2286" s="216" t="n">
        <v>22.6</v>
      </c>
      <c r="C2286" s="216" t="n">
        <v>31.51</v>
      </c>
      <c r="D2286" s="216" t="n">
        <v>1.139310002326965</v>
      </c>
      <c r="E2286" s="215" t="n">
        <v>46094</v>
      </c>
      <c r="F2286" s="215" t="n">
        <v>46094</v>
      </c>
    </row>
    <row r="2287">
      <c r="A2287" s="215" t="n">
        <v>46097</v>
      </c>
      <c r="B2287" s="216" t="n">
        <v>22.74</v>
      </c>
      <c r="C2287" s="216" t="n">
        <v>31.19</v>
      </c>
      <c r="D2287" s="216" t="n">
        <v>1.134883999824524</v>
      </c>
      <c r="E2287" s="215" t="n">
        <v>46097</v>
      </c>
      <c r="F2287" s="215" t="n">
        <v>46097</v>
      </c>
    </row>
    <row r="2288">
      <c r="A2288" s="215" t="n">
        <v>46098</v>
      </c>
      <c r="B2288" s="216" t="n">
        <v>22.68</v>
      </c>
      <c r="C2288" s="216" t="n">
        <v>30.56</v>
      </c>
      <c r="D2288" s="216" t="n">
        <v>1.125375986099243</v>
      </c>
      <c r="E2288" s="215" t="n">
        <v>46098</v>
      </c>
      <c r="F2288" s="215" t="n">
        <v>46098</v>
      </c>
    </row>
    <row r="2289">
      <c r="A2289" s="215" t="n">
        <v>46099</v>
      </c>
      <c r="B2289" s="216" t="n">
        <v>22.5</v>
      </c>
      <c r="C2289" s="216" t="n">
        <v>30.63</v>
      </c>
      <c r="D2289" s="216" t="n">
        <v>1.137819051742554</v>
      </c>
      <c r="E2289" s="215" t="n">
        <v>46099</v>
      </c>
      <c r="F2289" s="215" t="n">
        <v>46099</v>
      </c>
    </row>
    <row r="2290">
      <c r="A2290" s="215" t="n">
        <v>46100</v>
      </c>
      <c r="B2290" s="216" t="n">
        <v>21.72</v>
      </c>
      <c r="C2290" s="216" t="n">
        <v>29.73</v>
      </c>
      <c r="D2290" s="216" t="n">
        <v>1.140079021453857</v>
      </c>
      <c r="E2290" s="215" t="n">
        <v>46100</v>
      </c>
      <c r="F2290" s="215" t="n">
        <v>46100</v>
      </c>
    </row>
    <row r="2291">
      <c r="A2291" s="215" t="n">
        <v>46101</v>
      </c>
      <c r="B2291" s="216" t="n">
        <v>21.58</v>
      </c>
      <c r="C2291" s="216" t="n">
        <v>29.35</v>
      </c>
      <c r="D2291" s="216" t="n">
        <v>1.13490903377533</v>
      </c>
      <c r="E2291" s="215" t="n">
        <v>46101</v>
      </c>
      <c r="F2291" s="215" t="n">
        <v>46101</v>
      </c>
    </row>
    <row r="2292">
      <c r="A2292" s="215" t="n">
        <v>46104</v>
      </c>
      <c r="B2292" s="216" t="n">
        <v>20.58</v>
      </c>
      <c r="C2292" s="216" t="n">
        <v>27.88</v>
      </c>
      <c r="D2292" s="216" t="n">
        <v>1.137529969215393</v>
      </c>
      <c r="E2292" s="215" t="n">
        <v>46104</v>
      </c>
      <c r="F2292" s="215" t="n">
        <v>46104</v>
      </c>
    </row>
    <row r="2293">
      <c r="A2293" s="215" t="n">
        <v>46105</v>
      </c>
      <c r="B2293" s="216" t="n">
        <v>21.38</v>
      </c>
      <c r="C2293" s="216" t="n">
        <v>28</v>
      </c>
      <c r="D2293" s="216" t="n">
        <v>1.138481974601746</v>
      </c>
      <c r="E2293" s="215" t="n">
        <v>46105</v>
      </c>
      <c r="F2293" s="215" t="n">
        <v>46105</v>
      </c>
    </row>
    <row r="2294">
      <c r="A2294" s="215" t="n">
        <v>46106</v>
      </c>
      <c r="B2294" s="216" t="n">
        <v>22.46</v>
      </c>
      <c r="C2294" s="216" t="n">
        <v>29.4</v>
      </c>
      <c r="D2294" s="216" t="n">
        <v>1.135548949241638</v>
      </c>
      <c r="E2294" s="215" t="n">
        <v>46106</v>
      </c>
      <c r="F2294" s="215" t="n">
        <v>46106</v>
      </c>
    </row>
    <row r="2295">
      <c r="A2295" s="215" t="n">
        <v>46107</v>
      </c>
      <c r="B2295" s="216" t="n">
        <v>21.7</v>
      </c>
      <c r="C2295" s="216" t="n">
        <v>28.95</v>
      </c>
      <c r="D2295" s="216" t="n">
        <v>1.132627010345459</v>
      </c>
      <c r="E2295" s="215" t="n">
        <v>46107</v>
      </c>
      <c r="F2295" s="215" t="n">
        <v>46107</v>
      </c>
    </row>
    <row r="2296">
      <c r="A2296" s="215" t="n">
        <v>46108</v>
      </c>
      <c r="B2296" s="216" t="n">
        <v>21.36</v>
      </c>
      <c r="C2296" s="216" t="n">
        <v>28.7</v>
      </c>
      <c r="D2296" s="216" t="n">
        <v>1.132115960121155</v>
      </c>
      <c r="E2296" s="215" t="n">
        <v>46108</v>
      </c>
      <c r="F2296" s="215" t="n">
        <v>46108</v>
      </c>
    </row>
    <row r="2297">
      <c r="A2297" s="215" t="n">
        <v>46111</v>
      </c>
      <c r="B2297" s="216" t="n">
        <v>20.82</v>
      </c>
      <c r="C2297" s="216" t="n">
        <v>28.3</v>
      </c>
      <c r="D2297" s="216" t="n">
        <v>1.13311505317688</v>
      </c>
      <c r="E2297" s="215" t="n">
        <v>46111</v>
      </c>
      <c r="F2297" s="215" t="n">
        <v>46111</v>
      </c>
    </row>
    <row r="2298">
      <c r="A2298" s="215" t="n">
        <v>46112</v>
      </c>
      <c r="B2298" s="216" t="n">
        <v>20.2</v>
      </c>
      <c r="C2298" s="216" t="n">
        <v>27.98</v>
      </c>
      <c r="D2298" s="216" t="n">
        <v>1.133540987968445</v>
      </c>
      <c r="E2298" s="215" t="n">
        <v>46112</v>
      </c>
      <c r="F2298" s="215" t="n">
        <v>46112</v>
      </c>
    </row>
    <row r="2299">
      <c r="A2299" s="215" t="n">
        <v>46113</v>
      </c>
      <c r="B2299" s="216" t="n">
        <v>20.76</v>
      </c>
      <c r="C2299" s="216" t="n">
        <v>28.62</v>
      </c>
      <c r="D2299" s="216" t="n">
        <v>1.136669993400574</v>
      </c>
      <c r="E2299" s="215" t="n">
        <v>46113</v>
      </c>
      <c r="F2299" s="215" t="n">
        <v>46113</v>
      </c>
    </row>
    <row r="2300">
      <c r="A2300" s="215" t="n">
        <v>46114</v>
      </c>
      <c r="B2300" s="216" t="n">
        <v>18.81</v>
      </c>
      <c r="C2300" s="216" t="n">
        <v>27.48</v>
      </c>
      <c r="D2300" s="216" t="n">
        <v>1.140197992324829</v>
      </c>
      <c r="E2300" s="215" t="n">
        <v>46114</v>
      </c>
      <c r="F2300" s="215" t="n">
        <v>46114</v>
      </c>
    </row>
    <row r="2301">
      <c r="A2301" s="215" t="n">
        <v>46120</v>
      </c>
      <c r="B2301" s="216" t="n">
        <v>20.78</v>
      </c>
      <c r="C2301" s="216" t="n">
        <v>29.97</v>
      </c>
      <c r="D2301" s="216" t="n">
        <v>1.1423499584198</v>
      </c>
      <c r="E2301" s="215" t="n">
        <v>46120</v>
      </c>
      <c r="F2301" s="215" t="n">
        <v>46120</v>
      </c>
    </row>
    <row r="2302">
      <c r="A2302" s="215" t="n">
        <v>46121</v>
      </c>
      <c r="B2302" s="216" t="n">
        <v>20.32</v>
      </c>
      <c r="C2302" s="216" t="n">
        <v>29.67</v>
      </c>
      <c r="D2302" s="216" t="n">
        <v>1.146731972694397</v>
      </c>
      <c r="E2302" s="215" t="n">
        <v>46121</v>
      </c>
      <c r="F2302" s="215" t="n">
        <v>46121</v>
      </c>
    </row>
    <row r="2303">
      <c r="A2303" s="215" t="n">
        <v>46122</v>
      </c>
      <c r="B2303" s="216" t="n">
        <v>20.56</v>
      </c>
      <c r="C2303" s="216" t="n">
        <v>30.13</v>
      </c>
      <c r="D2303" s="216" t="n">
        <v>1.146558046340942</v>
      </c>
      <c r="E2303" s="215" t="n">
        <v>46122</v>
      </c>
      <c r="F2303" s="215" t="n">
        <v>46122</v>
      </c>
    </row>
    <row r="2304">
      <c r="A2304" s="215" t="n">
        <v>46125</v>
      </c>
      <c r="B2304" s="216" t="n">
        <v>19.8</v>
      </c>
      <c r="C2304" s="216" t="n">
        <v>29.71</v>
      </c>
      <c r="D2304" s="216" t="n">
        <v>1.147117972373962</v>
      </c>
      <c r="E2304" s="215" t="n">
        <v>46125</v>
      </c>
      <c r="F2304" s="215" t="n">
        <v>46125</v>
      </c>
    </row>
    <row r="2305">
      <c r="A2305" s="215" t="n">
        <v>46126</v>
      </c>
      <c r="B2305" s="216" t="n">
        <v>20.16</v>
      </c>
      <c r="C2305" s="216" t="n">
        <v>30.15</v>
      </c>
      <c r="D2305" s="216" t="n">
        <v>1.146226048469543</v>
      </c>
      <c r="E2305" s="215" t="n">
        <v>46126</v>
      </c>
      <c r="F2305" s="215" t="n">
        <v>46126</v>
      </c>
    </row>
    <row r="2306">
      <c r="A2306" s="215" t="n">
        <v>46127</v>
      </c>
      <c r="B2306" s="216" t="n">
        <v>19.66</v>
      </c>
      <c r="C2306" s="216" t="n">
        <v>29.59</v>
      </c>
      <c r="D2306" s="216" t="n">
        <v>1.149266004562378</v>
      </c>
      <c r="E2306" s="215" t="n">
        <v>46127</v>
      </c>
      <c r="F2306" s="215" t="n">
        <v>46127</v>
      </c>
    </row>
    <row r="2307">
      <c r="A2307" s="215" t="n">
        <v>46128</v>
      </c>
      <c r="B2307" s="216" t="n">
        <v>17.17</v>
      </c>
      <c r="C2307" s="216" t="n">
        <v>25.64</v>
      </c>
      <c r="D2307" s="216" t="n">
        <v>1.148550033569336</v>
      </c>
      <c r="E2307" s="215" t="n">
        <v>46128</v>
      </c>
      <c r="F2307" s="215" t="n">
        <v>46128</v>
      </c>
    </row>
    <row r="2308">
      <c r="A2308" s="215" t="n">
        <v>46129</v>
      </c>
      <c r="B2308" s="216" t="n">
        <v>17.6</v>
      </c>
      <c r="C2308" s="216" t="n">
        <v>25.99</v>
      </c>
      <c r="D2308" s="216" t="n">
        <v>1.146605014801025</v>
      </c>
      <c r="E2308" s="215" t="n">
        <v>46129</v>
      </c>
      <c r="F2308" s="215" t="n">
        <v>46129</v>
      </c>
    </row>
    <row r="2309">
      <c r="A2309" s="215" t="n">
        <v>46132</v>
      </c>
      <c r="B2309" s="216" t="n">
        <v>17.9</v>
      </c>
      <c r="C2309" s="216" t="n">
        <v>27.2</v>
      </c>
      <c r="D2309" s="216" t="n">
        <v>1.148360967636108</v>
      </c>
      <c r="E2309" s="215" t="n">
        <v>46132</v>
      </c>
      <c r="F2309" s="215" t="n">
        <v>46132</v>
      </c>
    </row>
    <row r="2310">
      <c r="A2310" s="215" t="n">
        <v>46133</v>
      </c>
      <c r="B2310" s="216" t="n">
        <v>17.95</v>
      </c>
      <c r="C2310" s="216" t="n">
        <v>26.84</v>
      </c>
      <c r="D2310" s="216" t="n">
        <v>1.148368000984192</v>
      </c>
      <c r="E2310" s="215" t="n">
        <v>46133</v>
      </c>
      <c r="F2310" s="215" t="n">
        <v>46133</v>
      </c>
    </row>
    <row r="2311">
      <c r="A2311" s="215" t="n">
        <v>46134</v>
      </c>
      <c r="B2311" s="216" t="n">
        <v>17.92</v>
      </c>
      <c r="C2311" s="216" t="n">
        <v>27.25</v>
      </c>
      <c r="D2311" s="216" t="n">
        <v>1.147838950157166</v>
      </c>
      <c r="E2311" s="215" t="n">
        <v>46134</v>
      </c>
      <c r="F2311" s="215" t="n">
        <v>46134</v>
      </c>
    </row>
    <row r="2312">
      <c r="A2312" s="215" t="n">
        <v>46135</v>
      </c>
      <c r="B2312" s="216" t="n">
        <v>17.14</v>
      </c>
      <c r="C2312" s="216" t="n">
        <v>26.6</v>
      </c>
      <c r="D2312" s="216" t="n">
        <v>1.147513031959534</v>
      </c>
      <c r="E2312" s="215" t="n">
        <v>46135</v>
      </c>
      <c r="F2312" s="215" t="n">
        <v>46135</v>
      </c>
    </row>
    <row r="2313">
      <c r="A2313" s="215" t="n">
        <v>46136</v>
      </c>
      <c r="B2313" s="216" t="n">
        <v>16.88</v>
      </c>
      <c r="C2313" s="216" t="n">
        <v>25.96</v>
      </c>
      <c r="D2313" s="216" t="n">
        <v>1.147369027137756</v>
      </c>
      <c r="E2313" s="215" t="n">
        <v>46136</v>
      </c>
      <c r="F2313" s="215" t="n">
        <v>46136</v>
      </c>
    </row>
    <row r="2314">
      <c r="A2314" s="215" t="n">
        <v>46139</v>
      </c>
      <c r="B2314" s="216" t="n">
        <v>17.48</v>
      </c>
      <c r="C2314" s="216" t="n">
        <v>26.71</v>
      </c>
      <c r="D2314" s="216" t="n">
        <v>1.146002054214478</v>
      </c>
      <c r="E2314" s="215" t="n">
        <v>46139</v>
      </c>
      <c r="F2314" s="215" t="n">
        <v>46139</v>
      </c>
    </row>
    <row r="2315">
      <c r="A2315" s="215" t="n">
        <v>46140</v>
      </c>
      <c r="B2315" s="216" t="n">
        <v>16.7</v>
      </c>
      <c r="C2315" s="216" t="n">
        <v>25.62</v>
      </c>
      <c r="D2315" s="216" t="n">
        <v>1.148522019386292</v>
      </c>
      <c r="E2315" s="215" t="n">
        <v>46140</v>
      </c>
      <c r="F2315" s="215" t="n">
        <v>46140</v>
      </c>
    </row>
    <row r="2316">
      <c r="A2316" s="215" t="n">
        <v>46141</v>
      </c>
      <c r="B2316" s="216" t="n">
        <v>17</v>
      </c>
      <c r="C2316" s="216" t="n">
        <v>25.82</v>
      </c>
      <c r="D2316" s="216" t="n">
        <v>1.145936012268066</v>
      </c>
      <c r="E2316" s="215" t="n">
        <v>46141</v>
      </c>
      <c r="F2316" s="215" t="n">
        <v>46141</v>
      </c>
    </row>
    <row r="2317">
      <c r="A2317" s="215" t="n">
        <v>46142</v>
      </c>
      <c r="B2317" s="216" t="n">
        <v>16.74</v>
      </c>
      <c r="C2317" s="216" t="n">
        <v>25.69</v>
      </c>
      <c r="D2317" s="216" t="n">
        <v>1.145792007446289</v>
      </c>
      <c r="E2317" s="215" t="n">
        <v>46142</v>
      </c>
      <c r="F2317" s="215" t="n">
        <v>46142</v>
      </c>
    </row>
    <row r="2318">
      <c r="A2318" s="215" t="n">
        <v>46146</v>
      </c>
      <c r="B2318" s="216" t="n">
        <v>17.19</v>
      </c>
      <c r="C2318" s="216" t="n">
        <v>25.69</v>
      </c>
      <c r="D2318" s="216" t="n">
        <v>1.147340059280396</v>
      </c>
      <c r="E2318" s="215" t="n">
        <v>46142</v>
      </c>
      <c r="F2318" s="215" t="n">
        <v>46146</v>
      </c>
    </row>
    <row r="2319">
      <c r="A2319" s="215" t="n">
        <v>46147</v>
      </c>
      <c r="B2319" s="216" t="n">
        <v>17.03</v>
      </c>
      <c r="C2319" s="216" t="n">
        <v>25.69</v>
      </c>
      <c r="D2319" s="216" t="n">
        <v>1.146813988685608</v>
      </c>
      <c r="E2319" s="215" t="n">
        <v>46142</v>
      </c>
      <c r="F2319" s="215" t="n">
        <v>46147</v>
      </c>
    </row>
    <row r="2320">
      <c r="A2320" s="215" t="n">
        <v>46148</v>
      </c>
      <c r="B2320" s="216" t="n">
        <v>18.25</v>
      </c>
      <c r="C2320" s="216" t="n">
        <v>26.62</v>
      </c>
      <c r="D2320" s="216" t="n">
        <v>1.14708399772644</v>
      </c>
      <c r="E2320" s="215" t="n">
        <v>46148</v>
      </c>
      <c r="F2320" s="215" t="n">
        <v>46148</v>
      </c>
    </row>
    <row r="2321">
      <c r="A2321" s="215" t="n">
        <v>46149</v>
      </c>
      <c r="B2321" s="216" t="n">
        <v>19.12</v>
      </c>
      <c r="C2321" s="216" t="n">
        <v>27.62</v>
      </c>
      <c r="D2321" s="216" t="n">
        <v>1.150125026702881</v>
      </c>
      <c r="E2321" s="215" t="n">
        <v>46149</v>
      </c>
      <c r="F2321" s="215" t="n">
        <v>46149</v>
      </c>
    </row>
    <row r="2322">
      <c r="A2322" s="215" t="n">
        <v>46150</v>
      </c>
      <c r="B2322" s="216" t="n">
        <v>19.45</v>
      </c>
      <c r="C2322" s="216" t="n">
        <v>28.55</v>
      </c>
      <c r="D2322" s="216" t="n">
        <v>1.15172004699707</v>
      </c>
      <c r="E2322" s="215" t="n">
        <v>46150</v>
      </c>
      <c r="F2322" s="215" t="n">
        <v>46150</v>
      </c>
    </row>
    <row r="2323">
      <c r="A2323" s="215" t="n">
        <v>46153</v>
      </c>
      <c r="B2323" s="216" t="n">
        <v>20.68</v>
      </c>
      <c r="C2323" s="216" t="n">
        <v>30.82</v>
      </c>
      <c r="D2323" s="216" t="n">
        <v>1.151090025901794</v>
      </c>
      <c r="E2323" s="215" t="n">
        <v>46153</v>
      </c>
      <c r="F2323" s="215" t="n">
        <v>46153</v>
      </c>
    </row>
    <row r="2324">
      <c r="A2324" s="215" t="n">
        <v>46154</v>
      </c>
      <c r="B2324" s="216" t="n">
        <v>21.1</v>
      </c>
      <c r="C2324" s="216" t="n">
        <v>30.48</v>
      </c>
      <c r="D2324" s="216" t="n">
        <v>1.152078986167908</v>
      </c>
      <c r="E2324" s="215" t="n">
        <v>46154</v>
      </c>
      <c r="F2324" s="215" t="n">
        <v>46154</v>
      </c>
    </row>
    <row r="2325">
      <c r="A2325" s="215" t="n">
        <v>46155</v>
      </c>
      <c r="B2325" s="216" t="n">
        <v>22.38</v>
      </c>
      <c r="C2325" s="216" t="n">
        <v>32.69</v>
      </c>
      <c r="D2325" s="216" t="n">
        <v>1.152537941932678</v>
      </c>
      <c r="E2325" s="215" t="n">
        <v>46155</v>
      </c>
      <c r="F2325" s="215" t="n">
        <v>46155</v>
      </c>
    </row>
    <row r="2326">
      <c r="A2326" s="215" t="n">
        <v>46156</v>
      </c>
      <c r="B2326" s="216" t="n">
        <v>21.34</v>
      </c>
      <c r="C2326" s="216" t="n">
        <v>32.31</v>
      </c>
      <c r="D2326" s="216" t="n">
        <v>1.152662992477417</v>
      </c>
      <c r="E2326" s="215" t="n">
        <v>46156</v>
      </c>
      <c r="F2326" s="215" t="n">
        <v>46156</v>
      </c>
    </row>
    <row r="2327">
      <c r="A2327" s="215" t="n">
        <v>46157</v>
      </c>
      <c r="B2327" s="216" t="n">
        <v>21.92</v>
      </c>
      <c r="C2327" s="216" t="n">
        <v>34.21</v>
      </c>
      <c r="D2327" s="216" t="n">
        <v>1.154320001602173</v>
      </c>
      <c r="E2327" s="215" t="n">
        <v>46157</v>
      </c>
      <c r="F2327" s="215" t="n">
        <v>46157</v>
      </c>
    </row>
    <row r="2328">
      <c r="A2328" s="215" t="n">
        <v>46160</v>
      </c>
      <c r="B2328" s="216" t="n">
        <v>23.56</v>
      </c>
      <c r="C2328" s="216" t="n">
        <v>38.7</v>
      </c>
      <c r="D2328" s="216" t="n">
        <v>1.149821996688843</v>
      </c>
      <c r="E2328" s="215" t="n">
        <v>46160</v>
      </c>
      <c r="F2328" s="215" t="n">
        <v>46160</v>
      </c>
    </row>
    <row r="2329">
      <c r="A2329" s="215" t="n">
        <v>46161</v>
      </c>
      <c r="B2329" s="216" t="n">
        <v>22.46</v>
      </c>
      <c r="C2329" s="216" t="n">
        <v>37.96</v>
      </c>
      <c r="D2329" s="216" t="n">
        <v>1.151532053947449</v>
      </c>
      <c r="E2329" s="215" t="n">
        <v>46161</v>
      </c>
      <c r="F2329" s="215" t="n">
        <v>46161</v>
      </c>
    </row>
    <row r="2330">
      <c r="A2330" s="215" t="n">
        <v>46162</v>
      </c>
      <c r="B2330" s="216" t="n">
        <v>21.34</v>
      </c>
      <c r="C2330" s="216" t="n">
        <v>36.31</v>
      </c>
      <c r="D2330" s="216" t="n">
        <v>1.149292945861816</v>
      </c>
      <c r="E2330" s="215" t="n">
        <v>46162</v>
      </c>
      <c r="F2330" s="215" t="n">
        <v>46162</v>
      </c>
    </row>
    <row r="2331">
      <c r="A2331" s="215" t="n">
        <v>46163</v>
      </c>
      <c r="B2331" s="216" t="n">
        <v>20.18</v>
      </c>
      <c r="C2331" s="216" t="n">
        <v>36.51</v>
      </c>
      <c r="D2331" s="216" t="n">
        <v>1.151231050491333</v>
      </c>
      <c r="E2331" s="215" t="n">
        <v>46163</v>
      </c>
      <c r="F2331" s="215" t="n">
        <v>46163</v>
      </c>
    </row>
    <row r="2332">
      <c r="A2332" s="215" t="n">
        <v>46164</v>
      </c>
      <c r="B2332" s="216" t="n">
        <v>21.8</v>
      </c>
      <c r="C2332" s="216" t="n">
        <v>38.4</v>
      </c>
      <c r="D2332" s="216" t="n">
        <v>1.151487946510315</v>
      </c>
      <c r="E2332" s="215" t="n">
        <v>46164</v>
      </c>
      <c r="F2332" s="215" t="n">
        <v>46164</v>
      </c>
    </row>
    <row r="2333">
      <c r="A2333" s="215" t="n">
        <v>46168</v>
      </c>
      <c r="B2333" s="216" t="n">
        <v>22.2</v>
      </c>
      <c r="C2333" s="216" t="n">
        <v>38.48</v>
      </c>
      <c r="D2333" s="216" t="n">
        <v>1.152968049049377</v>
      </c>
      <c r="E2333" s="215" t="n">
        <v>46168</v>
      </c>
      <c r="F2333" s="215" t="n">
        <v>46168</v>
      </c>
    </row>
    <row r="2334">
      <c r="A2334" s="215" t="n">
        <v>46169</v>
      </c>
      <c r="B2334" s="216" t="n">
        <v>23.56</v>
      </c>
      <c r="C2334" s="216" t="n">
        <v>40.28</v>
      </c>
      <c r="D2334" s="216" t="n">
        <v>1.154562950134277</v>
      </c>
      <c r="E2334" s="215" t="n">
        <v>46169</v>
      </c>
      <c r="F2334" s="215" t="n">
        <v>46169</v>
      </c>
    </row>
    <row r="2335">
      <c r="A2335" s="215" t="n">
        <v>46170</v>
      </c>
      <c r="B2335" s="216" t="n">
        <v>24.12</v>
      </c>
      <c r="C2335" s="216" t="n">
        <v>40.23</v>
      </c>
      <c r="D2335" s="216" t="n">
        <v>1.155385971069336</v>
      </c>
      <c r="E2335" s="215" t="n">
        <v>46170</v>
      </c>
      <c r="F2335" s="215" t="n">
        <v>46170</v>
      </c>
    </row>
    <row r="2336">
      <c r="A2336" s="215" t="n">
        <v>46171</v>
      </c>
      <c r="B2336" s="216" t="n">
        <v>24.08</v>
      </c>
      <c r="C2336" s="216" t="n">
        <v>40.5</v>
      </c>
      <c r="D2336" s="216" t="n">
        <v>1.155282974243164</v>
      </c>
      <c r="E2336" s="215" t="n">
        <v>46171</v>
      </c>
      <c r="F2336" s="215" t="n">
        <v>46171</v>
      </c>
    </row>
    <row r="2337">
      <c r="A2337" s="215" t="n">
        <v>46174</v>
      </c>
      <c r="B2337" s="216" t="n">
        <v>27.3</v>
      </c>
      <c r="C2337" s="216" t="n">
        <v>41.83</v>
      </c>
      <c r="D2337" s="216" t="n">
        <v>1.158049941062927</v>
      </c>
      <c r="E2337" s="215" t="n">
        <v>46174</v>
      </c>
      <c r="F2337" s="215" t="n">
        <v>46174</v>
      </c>
    </row>
    <row r="2338">
      <c r="A2338" s="215" t="n">
        <v>46175</v>
      </c>
      <c r="B2338" s="216" t="n">
        <v>28.7</v>
      </c>
      <c r="C2338" s="216" t="n">
        <v>41.23</v>
      </c>
      <c r="D2338" s="216" t="n">
        <v>1.158406972885132</v>
      </c>
      <c r="E2338" s="215" t="n">
        <v>46175</v>
      </c>
      <c r="F2338" s="215" t="n">
        <v>46175</v>
      </c>
    </row>
    <row r="2339">
      <c r="A2339" s="215" t="n">
        <v>46176</v>
      </c>
      <c r="B2339" s="216" t="n">
        <v>29.2</v>
      </c>
      <c r="C2339" s="216" t="n">
        <v>44.39</v>
      </c>
      <c r="D2339" s="216" t="n">
        <v>1.15879499912262</v>
      </c>
      <c r="E2339" s="215" t="n">
        <v>46176</v>
      </c>
      <c r="F2339" s="215" t="n">
        <v>46176</v>
      </c>
    </row>
    <row r="2340">
      <c r="A2340" s="215" t="n">
        <v>46177</v>
      </c>
      <c r="B2340" s="216" t="n">
        <v>27.2</v>
      </c>
      <c r="C2340" s="216" t="n">
        <v>43.64</v>
      </c>
      <c r="D2340" s="216" t="n">
        <v>1.157420039176941</v>
      </c>
      <c r="E2340" s="215" t="n">
        <v>46177</v>
      </c>
      <c r="F2340" s="215" t="n">
        <v>46177</v>
      </c>
    </row>
    <row r="2341">
      <c r="A2341" s="215" t="n">
        <v>46178</v>
      </c>
      <c r="B2341" s="216" t="n">
        <v>27.36</v>
      </c>
      <c r="C2341" s="216" t="n">
        <v>45.61</v>
      </c>
      <c r="D2341" s="216" t="n">
        <v>1.156491994857788</v>
      </c>
      <c r="E2341" s="215" t="n">
        <v>46178</v>
      </c>
      <c r="F2341" s="215" t="n">
        <v>46178</v>
      </c>
    </row>
    <row r="2342">
      <c r="A2342" s="215" t="n">
        <v>46181</v>
      </c>
      <c r="B2342" s="216" t="n">
        <v>25.08</v>
      </c>
      <c r="C2342" s="216" t="n">
        <v>42.64</v>
      </c>
      <c r="D2342" s="216" t="n">
        <v>1.157665967941284</v>
      </c>
      <c r="E2342" s="215" t="n">
        <v>46181</v>
      </c>
      <c r="F2342" s="215" t="n">
        <v>46181</v>
      </c>
    </row>
    <row r="2343">
      <c r="A2343" s="215" t="n">
        <v>46182</v>
      </c>
      <c r="B2343" s="216" t="n">
        <v>25.2</v>
      </c>
      <c r="C2343" s="216" t="n">
        <v>44.78</v>
      </c>
      <c r="D2343" s="216" t="n">
        <v>1.158027052879333</v>
      </c>
      <c r="E2343" s="215" t="n">
        <v>46182</v>
      </c>
      <c r="F2343" s="215" t="n">
        <v>46182</v>
      </c>
    </row>
    <row r="2344">
      <c r="A2344" s="215" t="n">
        <v>46183</v>
      </c>
      <c r="B2344" s="216" t="n">
        <v>23.82</v>
      </c>
      <c r="C2344" s="216" t="n">
        <v>42.11</v>
      </c>
      <c r="D2344" s="216" t="n">
        <v>1.157112002372742</v>
      </c>
      <c r="E2344" s="215" t="n">
        <v>46183</v>
      </c>
      <c r="F2344" s="215" t="n">
        <v>46183</v>
      </c>
    </row>
    <row r="2345">
      <c r="A2345" s="215" t="n">
        <v>46184</v>
      </c>
      <c r="B2345" s="216" t="n">
        <v>24.3</v>
      </c>
      <c r="C2345" s="216" t="n">
        <v>42.68</v>
      </c>
      <c r="D2345" s="216" t="n">
        <v>1.156929016113281</v>
      </c>
      <c r="E2345" s="215" t="n">
        <v>46184</v>
      </c>
      <c r="F2345" s="215" t="n">
        <v>46184</v>
      </c>
    </row>
    <row r="2346">
      <c r="A2346" s="215" t="n">
        <v>46185</v>
      </c>
      <c r="B2346" s="216" t="n">
        <v>23.52</v>
      </c>
      <c r="C2346" s="216" t="n">
        <v>41.14</v>
      </c>
      <c r="D2346" s="216" t="n">
        <v>1.156345963478088</v>
      </c>
      <c r="E2346" s="215" t="n">
        <v>46185</v>
      </c>
      <c r="F2346" s="215" t="n">
        <v>46185</v>
      </c>
    </row>
    <row r="2347">
      <c r="A2347" s="215" t="n">
        <v>46188</v>
      </c>
      <c r="B2347" s="216" t="n">
        <v>26.34</v>
      </c>
      <c r="C2347" s="216" t="n">
        <v>45.98</v>
      </c>
      <c r="D2347" s="216" t="n">
        <v>1.156880021095276</v>
      </c>
      <c r="E2347" s="215" t="n">
        <v>46188</v>
      </c>
      <c r="F2347" s="215" t="n">
        <v>46188</v>
      </c>
    </row>
    <row r="2348">
      <c r="A2348" s="215" t="n">
        <v>46189</v>
      </c>
      <c r="B2348" s="216" t="n">
        <v>27.82</v>
      </c>
      <c r="C2348" s="216" t="n">
        <v>48.35</v>
      </c>
      <c r="D2348" s="216" t="n">
        <v>1.158604025840759</v>
      </c>
      <c r="E2348" s="215" t="n">
        <v>46189</v>
      </c>
      <c r="F2348" s="215" t="n">
        <v>46189</v>
      </c>
    </row>
    <row r="2349">
      <c r="A2349" s="215" t="n">
        <v>46190</v>
      </c>
      <c r="B2349" s="216" t="n">
        <v>28.28</v>
      </c>
      <c r="C2349" s="216" t="n">
        <v>51.21</v>
      </c>
      <c r="D2349" s="216" t="n">
        <v>1.158974051475525</v>
      </c>
      <c r="E2349" s="215" t="n">
        <v>46190</v>
      </c>
      <c r="F2349" s="215" t="n">
        <v>46190</v>
      </c>
    </row>
    <row r="2350">
      <c r="A2350" s="215" t="n">
        <v>46191</v>
      </c>
      <c r="B2350" s="216" t="n">
        <v>29.96</v>
      </c>
      <c r="C2350" s="216" t="n">
        <v>55.77</v>
      </c>
      <c r="D2350" s="216" t="n">
        <v>1.159355998039246</v>
      </c>
      <c r="E2350" s="215" t="n">
        <v>46191</v>
      </c>
      <c r="F2350" s="215" t="n">
        <v>46191</v>
      </c>
    </row>
    <row r="2351">
      <c r="A2351" s="215" t="n">
        <v>46195</v>
      </c>
      <c r="B2351" s="216" t="n">
        <v>27.52</v>
      </c>
      <c r="C2351" s="216" t="n">
        <v>53.81</v>
      </c>
      <c r="D2351" s="216" t="n">
        <v>1.157493948936462</v>
      </c>
      <c r="E2351" s="215" t="n">
        <v>46195</v>
      </c>
      <c r="F2351" s="215" t="n">
        <v>46195</v>
      </c>
    </row>
    <row r="2352">
      <c r="A2352" s="215" t="n">
        <v>46196</v>
      </c>
      <c r="B2352" s="216" t="n">
        <v>27.3</v>
      </c>
      <c r="C2352" s="216" t="n">
        <v>53.32</v>
      </c>
      <c r="D2352" s="216" t="n">
        <v>1.156896948814392</v>
      </c>
      <c r="E2352" s="215" t="n">
        <v>46196</v>
      </c>
      <c r="F2352" s="215" t="n">
        <v>46196</v>
      </c>
    </row>
    <row r="2353">
      <c r="A2353" s="215" t="n">
        <v>46197</v>
      </c>
      <c r="B2353" s="216" t="n">
        <v>26.32</v>
      </c>
      <c r="C2353" s="216" t="n">
        <v>52.92</v>
      </c>
      <c r="D2353" s="216" t="n">
        <v>1.154508948326111</v>
      </c>
      <c r="E2353" s="215" t="n">
        <v>46197</v>
      </c>
      <c r="F2353" s="215" t="n">
        <v>46197</v>
      </c>
    </row>
    <row r="2354">
      <c r="A2354" s="215" t="n">
        <v>46198</v>
      </c>
      <c r="B2354" s="216" t="n">
        <v>27.62</v>
      </c>
      <c r="C2354" s="216" t="n">
        <v>55.72</v>
      </c>
      <c r="D2354" s="216" t="n">
        <v>1.154152035713196</v>
      </c>
      <c r="E2354" s="215" t="n">
        <v>46198</v>
      </c>
      <c r="F2354" s="215" t="n">
        <v>46198</v>
      </c>
    </row>
    <row r="2355">
      <c r="A2355" s="215" t="n">
        <v>46199</v>
      </c>
      <c r="B2355" s="216" t="n">
        <v>27.34</v>
      </c>
      <c r="C2355" s="216" t="n">
        <v>55.59</v>
      </c>
      <c r="D2355" s="216" t="n">
        <v>1.154500961303711</v>
      </c>
      <c r="E2355" s="215" t="n">
        <v>46199</v>
      </c>
      <c r="F2355" s="215" t="n">
        <v>46199</v>
      </c>
    </row>
    <row r="2356">
      <c r="A2356" s="215" t="n">
        <v>46202</v>
      </c>
      <c r="B2356" s="216" t="n">
        <v>26.36</v>
      </c>
      <c r="C2356" s="216" t="n">
        <v>51.83</v>
      </c>
      <c r="D2356" s="216" t="n">
        <v>1.153512001037598</v>
      </c>
      <c r="E2356" s="215" t="n">
        <v>46202</v>
      </c>
      <c r="F2356" s="215" t="n">
        <v>46202</v>
      </c>
    </row>
    <row r="2357">
      <c r="A2357" s="215" t="n">
        <v>46203</v>
      </c>
      <c r="B2357" s="216" t="n">
        <v>27.96</v>
      </c>
      <c r="C2357" s="216" t="n">
        <v>53.66</v>
      </c>
      <c r="D2357" s="216" t="n">
        <v>1.153959035873413</v>
      </c>
      <c r="E2357" s="215" t="n">
        <v>46203</v>
      </c>
      <c r="F2357" s="215" t="n">
        <v>46203</v>
      </c>
    </row>
    <row r="2358">
      <c r="A2358" s="215" t="n">
        <v>46205</v>
      </c>
      <c r="B2358" s="216" t="n">
        <v>25.8</v>
      </c>
      <c r="C2358" s="216" t="n">
        <v>50.69</v>
      </c>
      <c r="D2358" s="216" t="n">
        <v>1.154355049133301</v>
      </c>
      <c r="E2358" s="215" t="n">
        <v>46205</v>
      </c>
      <c r="F2358" s="215" t="n">
        <v>46205</v>
      </c>
    </row>
    <row r="2359">
      <c r="A2359" s="215" t="n">
        <v>46206</v>
      </c>
      <c r="B2359" s="216" t="n">
        <v>26.12</v>
      </c>
      <c r="C2359" s="216" t="n">
        <v>52.42</v>
      </c>
      <c r="D2359" s="216" t="n">
        <v>1.155220985412598</v>
      </c>
      <c r="E2359" s="215" t="n">
        <v>46206</v>
      </c>
      <c r="F2359" s="215" t="n">
        <v>46206</v>
      </c>
    </row>
    <row r="2360">
      <c r="A2360" s="215" t="n">
        <v>46209</v>
      </c>
      <c r="B2360" s="216" t="n">
        <v>25</v>
      </c>
      <c r="C2360" s="216" t="n">
        <v>51.31</v>
      </c>
      <c r="D2360" s="216" t="n">
        <v>1.155068039894104</v>
      </c>
      <c r="E2360" s="215" t="n">
        <v>46209</v>
      </c>
      <c r="F2360" s="215" t="n">
        <v>46209</v>
      </c>
    </row>
    <row r="2361">
      <c r="A2361" s="215" t="n">
        <v>46210</v>
      </c>
      <c r="B2361" s="216" t="n">
        <v>24.12</v>
      </c>
      <c r="C2361" s="216" t="n">
        <v>51.85</v>
      </c>
      <c r="D2361" s="216" t="n">
        <v>1.153807997703552</v>
      </c>
      <c r="E2361" s="215" t="n">
        <v>46210</v>
      </c>
      <c r="F2361" s="215" t="n">
        <v>46210</v>
      </c>
    </row>
    <row r="2362">
      <c r="A2362" s="215" t="n">
        <v>46211</v>
      </c>
      <c r="B2362" s="216" t="n">
        <v>23.14</v>
      </c>
      <c r="C2362" s="216" t="n">
        <v>46.05</v>
      </c>
      <c r="D2362" s="216" t="n">
        <v>1.154153943061829</v>
      </c>
      <c r="E2362" s="215" t="n">
        <v>46211</v>
      </c>
      <c r="F2362" s="215" t="n">
        <v>46211</v>
      </c>
    </row>
    <row r="2363">
      <c r="A2363" s="215" t="n">
        <v>46212</v>
      </c>
      <c r="B2363" s="216" t="n">
        <v>23.36</v>
      </c>
      <c r="C2363" s="216" t="n">
        <v>46.73</v>
      </c>
      <c r="D2363" s="216" t="n">
        <v>1.152119994163513</v>
      </c>
      <c r="E2363" s="215" t="n">
        <v>46212</v>
      </c>
      <c r="F2363" s="215" t="n">
        <v>46212</v>
      </c>
    </row>
    <row r="2364">
      <c r="A2364" s="215" t="n">
        <v>46213</v>
      </c>
      <c r="B2364" s="216" t="n">
        <v>22</v>
      </c>
      <c r="C2364" s="216" t="n">
        <v>43.64</v>
      </c>
      <c r="D2364" s="216" t="n">
        <v>1.153550028800964</v>
      </c>
      <c r="E2364" s="215" t="n">
        <v>46213</v>
      </c>
      <c r="F2364" s="215" t="n">
        <v>46213</v>
      </c>
    </row>
    <row r="2365">
      <c r="A2365" s="215" t="n">
        <v>46216</v>
      </c>
      <c r="B2365" s="216" t="n">
        <v>21.32</v>
      </c>
      <c r="C2365" s="216" t="n">
        <v>39.53</v>
      </c>
      <c r="D2365" s="216" t="n">
        <v>1.156761050224304</v>
      </c>
      <c r="E2365" s="215" t="n">
        <v>46216</v>
      </c>
      <c r="F2365" s="215" t="n">
        <v>46216</v>
      </c>
    </row>
    <row r="2366">
      <c r="A2366" s="215" t="n">
        <v>46217</v>
      </c>
      <c r="B2366" s="216" t="n">
        <v>21.4</v>
      </c>
      <c r="C2366" s="216" t="n">
        <v>40.32</v>
      </c>
      <c r="D2366" s="216" t="n">
        <v>1.155825972557068</v>
      </c>
      <c r="E2366" s="215" t="n">
        <v>46217</v>
      </c>
      <c r="F2366" s="215" t="n">
        <v>46217</v>
      </c>
    </row>
    <row r="2367">
      <c r="A2367" s="215" t="n">
        <v>46218</v>
      </c>
      <c r="B2367" s="216" t="n">
        <v>21.54</v>
      </c>
      <c r="C2367" s="216" t="n">
        <v>38.81</v>
      </c>
      <c r="D2367" s="216" t="n">
        <v>1.157556056976318</v>
      </c>
      <c r="E2367" s="215" t="n">
        <v>46218</v>
      </c>
      <c r="F2367" s="215" t="n">
        <v>46218</v>
      </c>
    </row>
    <row r="2368">
      <c r="A2368" s="215" t="n">
        <v>46219</v>
      </c>
      <c r="B2368" s="216" t="n">
        <v>21.9</v>
      </c>
      <c r="C2368" s="216" t="n">
        <v>38.3</v>
      </c>
      <c r="D2368" s="216" t="n">
        <v>1.157912969589233</v>
      </c>
      <c r="E2368" s="215" t="n">
        <v>46219</v>
      </c>
      <c r="F2368" s="215" t="n">
        <v>46219</v>
      </c>
    </row>
    <row r="2369">
      <c r="A2369" s="215" t="n">
        <v>46220</v>
      </c>
      <c r="B2369" s="216" t="n">
        <v>21.02</v>
      </c>
      <c r="C2369" s="216" t="n">
        <v>34.24</v>
      </c>
      <c r="D2369" s="216" t="n">
        <v>1.157472014427185</v>
      </c>
      <c r="E2369" s="215" t="n">
        <v>46220</v>
      </c>
      <c r="F2369" s="215" t="n">
        <v>46220</v>
      </c>
    </row>
    <row r="2370">
      <c r="A2370" s="215" t="n">
        <v>46223</v>
      </c>
      <c r="B2370" s="216" t="n">
        <v>21.28</v>
      </c>
      <c r="C2370" s="216" t="n">
        <v>34.22</v>
      </c>
      <c r="D2370" s="216" t="n">
        <v>1.157451033592224</v>
      </c>
      <c r="E2370" s="215" t="n">
        <v>46223</v>
      </c>
      <c r="F2370" s="215" t="n">
        <v>46223</v>
      </c>
    </row>
    <row r="2371">
      <c r="A2371" s="215" t="n">
        <v>46224</v>
      </c>
      <c r="B2371" s="216" t="n">
        <v>22.28</v>
      </c>
      <c r="C2371" s="216" t="n">
        <v>38.29</v>
      </c>
      <c r="D2371" s="216" t="n">
        <v>1.157506942749023</v>
      </c>
      <c r="E2371" s="215" t="n">
        <v>46224</v>
      </c>
      <c r="F2371" s="215" t="n">
        <v>46224</v>
      </c>
    </row>
    <row r="2372">
      <c r="A2372" s="215" t="n">
        <v>46225</v>
      </c>
      <c r="B2372" s="216" t="n">
        <v>21.54</v>
      </c>
      <c r="C2372" s="216" t="n">
        <v>36.8</v>
      </c>
      <c r="D2372" s="216" t="n">
        <v>1.158938050270081</v>
      </c>
      <c r="E2372" s="215" t="n">
        <v>46225</v>
      </c>
      <c r="F2372" s="215" t="n">
        <v>46225</v>
      </c>
    </row>
    <row r="2373">
      <c r="A2373" s="215" t="n">
        <v>46226</v>
      </c>
      <c r="B2373" s="216" t="n">
        <v>21.4</v>
      </c>
      <c r="C2373" s="216" t="n">
        <v>36.58</v>
      </c>
      <c r="D2373" s="216" t="n">
        <v>1.157410979270935</v>
      </c>
      <c r="E2373" s="215" t="n">
        <v>46226</v>
      </c>
      <c r="F2373" s="215" t="n">
        <v>46226</v>
      </c>
    </row>
    <row r="2374">
      <c r="A2374" s="215" t="n">
        <v>46227</v>
      </c>
      <c r="B2374" s="216" t="n">
        <v>21.86</v>
      </c>
      <c r="C2374" s="216" t="n">
        <v>37.32</v>
      </c>
      <c r="D2374" s="216" t="n">
        <v>1.15762197971344</v>
      </c>
      <c r="E2374" s="215" t="n">
        <v>46227</v>
      </c>
      <c r="F2374" s="215" t="n">
        <v>46227</v>
      </c>
    </row>
    <row r="2375">
      <c r="A2375" s="215" t="n">
        <v>46230</v>
      </c>
      <c r="B2375" s="216" t="n">
        <v>22.22</v>
      </c>
      <c r="C2375" s="216" t="n">
        <v>36.63</v>
      </c>
      <c r="D2375" s="216" t="n">
        <v>1.15789794921875</v>
      </c>
      <c r="E2375" s="215" t="n">
        <v>46230</v>
      </c>
      <c r="F2375" s="215" t="n">
        <v>46230</v>
      </c>
    </row>
    <row r="2376">
      <c r="A2376" s="215" t="n">
        <v>46231</v>
      </c>
      <c r="B2376" s="216" t="n">
        <v>21.46</v>
      </c>
      <c r="C2376" s="216" t="n">
        <v>33.86</v>
      </c>
      <c r="D2376" s="216" t="n">
        <v>1.158699035644531</v>
      </c>
      <c r="E2376" s="215" t="n">
        <v>46231</v>
      </c>
      <c r="F2376" s="215" t="n">
        <v>46231</v>
      </c>
    </row>
    <row r="2377">
      <c r="A2377" s="215" t="n">
        <v>46232</v>
      </c>
      <c r="B2377" s="216" t="n">
        <v>21.22</v>
      </c>
      <c r="C2377" s="216" t="n">
        <v>33.39</v>
      </c>
      <c r="D2377" s="216" t="n">
        <v>1.157909989356995</v>
      </c>
      <c r="E2377" s="215" t="n">
        <v>46232</v>
      </c>
      <c r="F2377" s="215" t="n">
        <v>46232</v>
      </c>
    </row>
    <row r="2378">
      <c r="A2378" s="215" t="n">
        <v>46233</v>
      </c>
      <c r="B2378" s="216" t="n">
        <v>20</v>
      </c>
      <c r="C2378" s="216" t="n">
        <v>30.83</v>
      </c>
      <c r="D2378" s="216" t="n">
        <v>1.158943057060242</v>
      </c>
      <c r="E2378" s="215" t="n">
        <v>46233</v>
      </c>
      <c r="F2378" s="215" t="n">
        <v>46233</v>
      </c>
    </row>
    <row r="2379">
      <c r="A2379" s="215" t="n">
        <v>46234</v>
      </c>
      <c r="B2379" s="216" t="n">
        <v>20.64</v>
      </c>
      <c r="C2379" s="216" t="n">
        <v>31.58</v>
      </c>
      <c r="D2379" s="216" t="n">
        <v>1.160945057868958</v>
      </c>
      <c r="E2379" s="215" t="n">
        <v>46234</v>
      </c>
      <c r="F2379" s="215" t="n">
        <v>46234</v>
      </c>
    </row>
    <row r="2380">
      <c r="A2380" s="215" t="n">
        <v>46237</v>
      </c>
      <c r="B2380" s="216" t="n">
        <v>20.8</v>
      </c>
      <c r="C2380" s="216" t="n">
        <v>31.57</v>
      </c>
      <c r="D2380" s="216" t="n">
        <v>1.161579966545105</v>
      </c>
      <c r="E2380" s="215" t="n">
        <v>46237</v>
      </c>
      <c r="F2380" s="215" t="n">
        <v>46237</v>
      </c>
    </row>
    <row r="2381">
      <c r="A2381" s="215" t="n">
        <v>46238</v>
      </c>
      <c r="B2381" s="216" t="n">
        <v>21.32</v>
      </c>
      <c r="C2381" s="216" t="n">
        <v>32.95</v>
      </c>
      <c r="D2381" s="216" t="n">
        <v>1.161064982414246</v>
      </c>
      <c r="E2381" s="215" t="n">
        <v>46238</v>
      </c>
      <c r="F2381" s="215" t="n">
        <v>46238</v>
      </c>
    </row>
    <row r="2382">
      <c r="A2382" s="215" t="n">
        <v>46239</v>
      </c>
      <c r="B2382" s="216" t="n">
        <v>22.1</v>
      </c>
      <c r="C2382" s="216" t="n">
        <v>35.09</v>
      </c>
      <c r="D2382" s="216" t="n">
        <v>1.161146998405457</v>
      </c>
      <c r="E2382" s="215" t="n">
        <v>46239</v>
      </c>
      <c r="F2382" s="215" t="n">
        <v>46239</v>
      </c>
    </row>
    <row r="2383">
      <c r="A2383" s="215" t="n">
        <v>46240</v>
      </c>
      <c r="B2383" s="216" t="n">
        <v>21.64</v>
      </c>
      <c r="C2383" s="216" t="n">
        <v>34.82</v>
      </c>
      <c r="D2383" s="216" t="n">
        <v>1.161936044692993</v>
      </c>
      <c r="E2383" s="215" t="n">
        <v>46240</v>
      </c>
      <c r="F2383" s="215" t="n">
        <v>46240</v>
      </c>
    </row>
    <row r="2384">
      <c r="A2384" s="215" t="n">
        <v>46241</v>
      </c>
      <c r="B2384" s="216" t="n">
        <v>22.1</v>
      </c>
      <c r="C2384" s="216" t="n">
        <v>35.9</v>
      </c>
      <c r="D2384" s="216" t="n">
        <v>1.162284016609192</v>
      </c>
      <c r="E2384" s="215" t="n">
        <v>46241</v>
      </c>
      <c r="F2384" s="215" t="n">
        <v>46241</v>
      </c>
    </row>
    <row r="2385">
      <c r="A2385" s="215" t="n">
        <v>46244</v>
      </c>
      <c r="B2385" s="216" t="n">
        <v>21.36</v>
      </c>
      <c r="C2385" s="216" t="n">
        <v>34.89</v>
      </c>
      <c r="D2385" s="216" t="n">
        <v>1.162629961967468</v>
      </c>
      <c r="E2385" s="215" t="n">
        <v>46244</v>
      </c>
      <c r="F2385" s="215" t="n">
        <v>46244</v>
      </c>
    </row>
    <row r="2386">
      <c r="A2386" s="215" t="n">
        <v>46245</v>
      </c>
      <c r="B2386" s="216" t="n">
        <v>21.1</v>
      </c>
      <c r="C2386" s="216" t="n">
        <v>34.6</v>
      </c>
      <c r="D2386" s="216" t="n">
        <v>1.162588000297546</v>
      </c>
      <c r="E2386" s="215" t="n">
        <v>46245</v>
      </c>
      <c r="F2386" s="215" t="n">
        <v>46245</v>
      </c>
    </row>
    <row r="2387">
      <c r="A2387" s="215" t="n">
        <v>46246</v>
      </c>
      <c r="B2387" s="216" t="n">
        <v>21.34</v>
      </c>
      <c r="C2387" s="216" t="n">
        <v>35.25</v>
      </c>
      <c r="D2387" s="216" t="n">
        <v>1.163135051727295</v>
      </c>
      <c r="E2387" s="215" t="n">
        <v>46246</v>
      </c>
      <c r="F2387" s="215" t="n">
        <v>46246</v>
      </c>
    </row>
    <row r="2388">
      <c r="A2388" s="215" t="n">
        <v>46247</v>
      </c>
      <c r="B2388" s="216" t="n">
        <v>21.46</v>
      </c>
      <c r="C2388" s="216" t="n">
        <v>34.65</v>
      </c>
      <c r="D2388" s="216" t="n">
        <v>1.163341045379639</v>
      </c>
      <c r="E2388" s="215" t="n">
        <v>46247</v>
      </c>
      <c r="F2388" s="215" t="n">
        <v>46247</v>
      </c>
    </row>
    <row r="2389">
      <c r="A2389" s="215" t="n">
        <v>46248</v>
      </c>
      <c r="B2389" s="216" t="n">
        <v>22.54</v>
      </c>
      <c r="C2389" s="216" t="n">
        <v>35.74</v>
      </c>
      <c r="D2389" s="216" t="n">
        <v>1.163571000099182</v>
      </c>
      <c r="E2389" s="215" t="n">
        <v>46248</v>
      </c>
      <c r="F2389" s="215" t="n">
        <v>46248</v>
      </c>
    </row>
    <row r="2390">
      <c r="A2390" s="215" t="n">
        <v>46251</v>
      </c>
      <c r="B2390" s="216" t="n">
        <v>23.54</v>
      </c>
      <c r="C2390" s="216" t="n">
        <v>36.99</v>
      </c>
      <c r="D2390" s="216" t="n">
        <v>1.163601994514465</v>
      </c>
      <c r="E2390" s="215" t="n">
        <v>46251</v>
      </c>
      <c r="F2390" s="215" t="n">
        <v>46251</v>
      </c>
    </row>
    <row r="2391">
      <c r="A2391" s="215" t="n">
        <v>46252</v>
      </c>
      <c r="B2391" s="216" t="n">
        <v>24</v>
      </c>
      <c r="C2391" s="216" t="n">
        <v>39.12</v>
      </c>
      <c r="D2391" s="216" t="n">
        <v>1.163733005523682</v>
      </c>
      <c r="E2391" s="215" t="n">
        <v>46252</v>
      </c>
      <c r="F2391" s="215" t="n">
        <v>46252</v>
      </c>
    </row>
    <row r="2392">
      <c r="A2392" s="215" t="n">
        <v>46253</v>
      </c>
      <c r="B2392" s="216" t="n">
        <v>22.8</v>
      </c>
      <c r="C2392" s="216" t="n">
        <v>36.15</v>
      </c>
      <c r="D2392" s="216" t="n">
        <v>1.163092017173767</v>
      </c>
      <c r="E2392" s="215" t="n">
        <v>46253</v>
      </c>
      <c r="F2392" s="215" t="n">
        <v>46253</v>
      </c>
    </row>
    <row r="2393">
      <c r="A2393" s="215" t="n">
        <v>46254</v>
      </c>
      <c r="B2393" s="216" t="n">
        <v>22.5</v>
      </c>
      <c r="C2393" s="216" t="n">
        <v>37.98</v>
      </c>
      <c r="D2393" s="216" t="n">
        <v>1.164932012557983</v>
      </c>
      <c r="E2393" s="215" t="n">
        <v>46254</v>
      </c>
      <c r="F2393" s="215" t="n">
        <v>46254</v>
      </c>
    </row>
    <row r="2394">
      <c r="A2394" s="215" t="n">
        <v>46255</v>
      </c>
      <c r="B2394" s="216" t="n">
        <v>22.96</v>
      </c>
      <c r="C2394" s="216" t="n">
        <v>37.19</v>
      </c>
      <c r="D2394" s="216" t="n">
        <v>1.166555047035217</v>
      </c>
      <c r="E2394" s="215" t="n">
        <v>46255</v>
      </c>
      <c r="F2394" s="215" t="n">
        <v>46255</v>
      </c>
    </row>
    <row r="2395">
      <c r="A2395" s="215" t="n">
        <v>46258</v>
      </c>
      <c r="B2395" s="216" t="n">
        <v>24.18</v>
      </c>
      <c r="C2395" s="216" t="n">
        <v>37.95</v>
      </c>
      <c r="D2395" s="216" t="n">
        <v>1.166316986083984</v>
      </c>
      <c r="E2395" s="215" t="n">
        <v>46258</v>
      </c>
      <c r="F2395" s="215" t="n">
        <v>46258</v>
      </c>
    </row>
    <row r="2396">
      <c r="A2396" s="215" t="n">
        <v>46259</v>
      </c>
      <c r="B2396" s="216" t="n">
        <v>23.6</v>
      </c>
      <c r="C2396" s="216" t="n">
        <v>37.9</v>
      </c>
      <c r="D2396" s="216" t="n">
        <v>1.165253043174744</v>
      </c>
      <c r="E2396" s="215" t="n">
        <v>46259</v>
      </c>
      <c r="F2396" s="215" t="n">
        <v>46259</v>
      </c>
    </row>
    <row r="2397">
      <c r="A2397" s="215" t="n">
        <v>46260</v>
      </c>
      <c r="B2397" s="216" t="n">
        <v>24.48</v>
      </c>
      <c r="C2397" s="216" t="n">
        <v>39.02</v>
      </c>
      <c r="D2397" s="216" t="n">
        <v>1.166218996047974</v>
      </c>
      <c r="E2397" s="215" t="n">
        <v>46260</v>
      </c>
      <c r="F2397" s="215" t="n">
        <v>46260</v>
      </c>
    </row>
    <row r="2398">
      <c r="A2398" s="215" t="n">
        <v>46261</v>
      </c>
      <c r="B2398" s="216" t="n">
        <v>24.52</v>
      </c>
      <c r="C2398" s="216" t="n">
        <v>39.05</v>
      </c>
      <c r="D2398" s="216" t="n">
        <v>1.165971040725708</v>
      </c>
      <c r="E2398" s="215" t="n">
        <v>46261</v>
      </c>
      <c r="F2398" s="215" t="n">
        <v>46261</v>
      </c>
    </row>
    <row r="2399">
      <c r="A2399" s="215" t="n">
        <v>46262</v>
      </c>
      <c r="B2399" s="216" t="n">
        <v>24.8</v>
      </c>
      <c r="C2399" s="216" t="n">
        <v>38.23</v>
      </c>
      <c r="D2399" s="216" t="n">
        <v>1.165799975395203</v>
      </c>
      <c r="E2399" s="215" t="n">
        <v>46262</v>
      </c>
      <c r="F2399" s="215" t="n">
        <v>46262</v>
      </c>
    </row>
    <row r="2400">
      <c r="A2400" s="215" t="n">
        <v>46265</v>
      </c>
      <c r="B2400" s="216" t="n">
        <v>25</v>
      </c>
      <c r="C2400" s="216" t="n">
        <v>38.93</v>
      </c>
      <c r="D2400" s="216" t="n">
        <v>1.165387988090515</v>
      </c>
      <c r="E2400" s="215" t="n">
        <v>46265</v>
      </c>
      <c r="F2400" s="215" t="n">
        <v>46265</v>
      </c>
    </row>
    <row r="2401">
      <c r="A2401" s="215" t="n">
        <v>46266</v>
      </c>
      <c r="B2401" s="216" t="n">
        <v>24.36</v>
      </c>
      <c r="C2401" s="216" t="n">
        <v>37.3</v>
      </c>
      <c r="D2401" s="216" t="n">
        <v>1.165223956108093</v>
      </c>
      <c r="E2401" s="215" t="n">
        <v>46266</v>
      </c>
      <c r="F2401" s="215" t="n">
        <v>46266</v>
      </c>
    </row>
    <row r="2402">
      <c r="A2402" s="215" t="n">
        <v>46267</v>
      </c>
      <c r="B2402" s="216" t="n">
        <v>24.36</v>
      </c>
      <c r="C2402" s="216" t="n">
        <v>36.91</v>
      </c>
      <c r="D2402" s="216" t="n">
        <v>1.166425943374634</v>
      </c>
      <c r="E2402" s="215" t="n">
        <v>46267</v>
      </c>
      <c r="F2402" s="215" t="n">
        <v>46267</v>
      </c>
    </row>
    <row r="2403">
      <c r="A2403" s="215" t="n">
        <v>46268</v>
      </c>
      <c r="B2403" s="216" t="n">
        <v>23.74</v>
      </c>
      <c r="C2403" s="216" t="n">
        <v>35.87</v>
      </c>
      <c r="D2403" s="216" t="n">
        <v>1.167057037353516</v>
      </c>
      <c r="E2403" s="215" t="n">
        <v>46268</v>
      </c>
      <c r="F2403" s="215" t="n">
        <v>46268</v>
      </c>
    </row>
    <row r="2404">
      <c r="A2404" s="215" t="n">
        <v>46269</v>
      </c>
      <c r="B2404" s="216" t="n">
        <v>23.84</v>
      </c>
      <c r="C2404" s="216" t="n">
        <v>35.14</v>
      </c>
      <c r="D2404" s="216" t="n">
        <v>1.166767954826355</v>
      </c>
      <c r="E2404" s="215" t="n">
        <v>46269</v>
      </c>
      <c r="F2404" s="215" t="n">
        <v>46269</v>
      </c>
    </row>
    <row r="2405">
      <c r="A2405" s="215" t="n">
        <v>46272</v>
      </c>
      <c r="B2405" s="216" t="n">
        <v>24.34</v>
      </c>
      <c r="C2405" s="216" t="n">
        <v>35.78</v>
      </c>
      <c r="D2405" s="216" t="n">
        <v>1.168081045150757</v>
      </c>
      <c r="E2405" s="215" t="n">
        <v>46272</v>
      </c>
      <c r="F2405" s="215" t="n">
        <v>46272</v>
      </c>
    </row>
    <row r="2406">
      <c r="A2406" s="215" t="n">
        <v>46273</v>
      </c>
      <c r="B2406" s="216" t="n">
        <v>23.2</v>
      </c>
      <c r="C2406" s="216" t="n">
        <v>34.6</v>
      </c>
      <c r="D2406" s="216" t="n">
        <v>1.168115019798279</v>
      </c>
      <c r="E2406" s="215" t="n">
        <v>46273</v>
      </c>
      <c r="F2406" s="215" t="n">
        <v>46273</v>
      </c>
    </row>
    <row r="2407">
      <c r="A2407" s="215" t="n">
        <v>46274</v>
      </c>
      <c r="B2407" s="216" t="n">
        <v>23.48</v>
      </c>
      <c r="C2407" s="216" t="n">
        <v>35.12</v>
      </c>
      <c r="D2407" s="216" t="n">
        <v>1.168408989906311</v>
      </c>
      <c r="E2407" s="215" t="n">
        <v>46274</v>
      </c>
      <c r="F2407" s="215" t="n">
        <v>46274</v>
      </c>
    </row>
    <row r="2408">
      <c r="A2408" s="215" t="n">
        <v>46275</v>
      </c>
      <c r="B2408" s="216" t="n">
        <v>22.78</v>
      </c>
      <c r="C2408" s="216" t="n">
        <v>33.81</v>
      </c>
      <c r="D2408" s="216" t="n">
        <v>1.168462991714478</v>
      </c>
      <c r="E2408" s="215" t="n">
        <v>46275</v>
      </c>
      <c r="F2408" s="215" t="n">
        <v>46275</v>
      </c>
    </row>
    <row r="2409">
      <c r="A2409" s="215" t="n">
        <v>46276</v>
      </c>
      <c r="B2409" s="216" t="n">
        <v>22.4</v>
      </c>
      <c r="C2409" s="216" t="n">
        <v>33.27</v>
      </c>
      <c r="D2409" s="216" t="n">
        <v>1.169165015220642</v>
      </c>
      <c r="E2409" s="215" t="n">
        <v>46276</v>
      </c>
      <c r="F2409" s="215" t="n">
        <v>46276</v>
      </c>
    </row>
    <row r="2410">
      <c r="A2410" s="215" t="n">
        <v>46279</v>
      </c>
      <c r="B2410" s="216" t="n">
        <v>21.94</v>
      </c>
      <c r="C2410" s="216" t="n">
        <v>33.27</v>
      </c>
      <c r="D2410" s="216" t="n">
        <v>1.16893994808197</v>
      </c>
      <c r="E2410" s="215" t="n">
        <v>46279</v>
      </c>
      <c r="F2410" s="215" t="n">
        <v>46279</v>
      </c>
    </row>
    <row r="2411">
      <c r="A2411" s="215" t="n">
        <v>46280</v>
      </c>
      <c r="B2411" s="216" t="n">
        <v>20.98</v>
      </c>
      <c r="C2411" s="216" t="n">
        <v>32.86</v>
      </c>
      <c r="D2411" s="216" t="n">
        <v>1.169121026992798</v>
      </c>
      <c r="E2411" s="215" t="n">
        <v>46280</v>
      </c>
      <c r="F2411" s="215" t="n">
        <v>46280</v>
      </c>
    </row>
    <row r="2412">
      <c r="A2412" s="215" t="n">
        <v>46281</v>
      </c>
      <c r="B2412" s="216" t="n">
        <v>21.48</v>
      </c>
      <c r="C2412" s="216" t="n">
        <v>33.31</v>
      </c>
      <c r="D2412" s="216" t="n">
        <v>1.168769955635071</v>
      </c>
      <c r="E2412" s="215" t="n">
        <v>46281</v>
      </c>
      <c r="F2412" s="215" t="n">
        <v>46281</v>
      </c>
    </row>
    <row r="2413">
      <c r="A2413" s="215" t="n">
        <v>46282</v>
      </c>
      <c r="B2413" s="216" t="n">
        <v>21.18</v>
      </c>
      <c r="C2413" s="216" t="n">
        <v>33.44</v>
      </c>
      <c r="D2413" s="216" t="n">
        <v>1.169389963150024</v>
      </c>
      <c r="E2413" s="215" t="n">
        <v>46282</v>
      </c>
      <c r="F2413" s="215" t="n">
        <v>46282</v>
      </c>
    </row>
    <row r="2414">
      <c r="A2414" s="215" t="n">
        <v>46283</v>
      </c>
      <c r="B2414" s="216" t="n">
        <v>21.22</v>
      </c>
      <c r="C2414" s="216" t="n">
        <v>33.48</v>
      </c>
      <c r="D2414" s="216" t="n">
        <v>1.16942298412323</v>
      </c>
      <c r="E2414" s="215" t="n">
        <v>46283</v>
      </c>
      <c r="F2414" s="215" t="n">
        <v>46283</v>
      </c>
    </row>
    <row r="2415">
      <c r="A2415" s="215" t="n">
        <v>46286</v>
      </c>
      <c r="B2415" s="216" t="n">
        <v>22.5</v>
      </c>
      <c r="C2415" s="216" t="n">
        <v>34.83</v>
      </c>
      <c r="D2415" s="216" t="n">
        <v>1.171280026435852</v>
      </c>
      <c r="E2415" s="215" t="n">
        <v>46286</v>
      </c>
      <c r="F2415" s="215" t="n">
        <v>46286</v>
      </c>
    </row>
    <row r="2416">
      <c r="A2416" s="215" t="n">
        <v>46287</v>
      </c>
      <c r="B2416" s="216" t="n">
        <v>22.26</v>
      </c>
      <c r="C2416" s="216" t="n">
        <v>34.44</v>
      </c>
      <c r="D2416" s="216" t="n">
        <v>1.171705007553101</v>
      </c>
      <c r="E2416" s="215" t="n">
        <v>46287</v>
      </c>
      <c r="F2416" s="215" t="n">
        <v>46287</v>
      </c>
    </row>
    <row r="2417">
      <c r="A2417" s="215" t="n">
        <v>46288</v>
      </c>
      <c r="B2417" s="216" t="n">
        <v>21.96</v>
      </c>
      <c r="C2417" s="216" t="n">
        <v>34.04</v>
      </c>
      <c r="D2417" s="216" t="n">
        <v>1.170611023902893</v>
      </c>
      <c r="E2417" s="215" t="n">
        <v>46288</v>
      </c>
      <c r="F2417" s="215" t="n">
        <v>46288</v>
      </c>
    </row>
    <row r="2418">
      <c r="A2418" s="215" t="n">
        <v>46289</v>
      </c>
      <c r="B2418" s="216" t="n">
        <v>21.76</v>
      </c>
      <c r="C2418" s="216" t="n">
        <v>32.87</v>
      </c>
      <c r="D2418" s="216" t="n">
        <v>1.16852605342865</v>
      </c>
      <c r="E2418" s="215" t="n">
        <v>46289</v>
      </c>
      <c r="F2418" s="215" t="n">
        <v>46289</v>
      </c>
    </row>
    <row r="2419">
      <c r="A2419" s="215" t="n">
        <v>46290</v>
      </c>
      <c r="B2419" s="216" t="n">
        <v>21.5</v>
      </c>
      <c r="C2419" s="216" t="n">
        <v>32.87</v>
      </c>
      <c r="D2419" s="216" t="n">
        <v>1.168424010276794</v>
      </c>
      <c r="E2419" s="215" t="n">
        <v>46289</v>
      </c>
      <c r="F2419" s="215" t="n">
        <v>46290</v>
      </c>
    </row>
    <row r="2420">
      <c r="A2420" s="215" t="n">
        <v>46293</v>
      </c>
      <c r="B2420" s="216" t="n">
        <v>20.94</v>
      </c>
      <c r="C2420" s="216" t="n">
        <v>31.6</v>
      </c>
      <c r="D2420" s="216" t="n">
        <v>1.168378949165344</v>
      </c>
      <c r="E2420" s="215" t="n">
        <v>46293</v>
      </c>
      <c r="F2420" s="215" t="n">
        <v>46293</v>
      </c>
    </row>
    <row r="2421">
      <c r="A2421" s="215" t="n">
        <v>46294</v>
      </c>
      <c r="B2421" s="216" t="n">
        <v>21.04</v>
      </c>
      <c r="C2421" s="216" t="n">
        <v>31.46</v>
      </c>
      <c r="D2421" s="216" t="n">
        <v>1.168815970420837</v>
      </c>
      <c r="E2421" s="215" t="n">
        <v>46294</v>
      </c>
      <c r="F2421" s="215" t="n">
        <v>46294</v>
      </c>
    </row>
    <row r="2422">
      <c r="A2422" s="215" t="n">
        <v>46295</v>
      </c>
      <c r="B2422" s="216" t="n">
        <v>21.6</v>
      </c>
      <c r="C2422" s="216" t="n">
        <v>32.31</v>
      </c>
      <c r="D2422" s="216" t="n">
        <v>1.17059600353241</v>
      </c>
      <c r="E2422" s="215" t="n">
        <v>46295</v>
      </c>
      <c r="F2422" s="215" t="n">
        <v>46295</v>
      </c>
    </row>
    <row r="2423">
      <c r="A2423" s="215" t="n">
        <v>46297</v>
      </c>
      <c r="B2423" s="216" t="n">
        <v>21.36</v>
      </c>
      <c r="C2423" s="216" t="n">
        <v>32.31</v>
      </c>
      <c r="D2423" s="216" t="n">
        <v>1.170220971107483</v>
      </c>
      <c r="E2423" s="215" t="n">
        <v>46295</v>
      </c>
      <c r="F2423" s="215" t="n">
        <v>46297</v>
      </c>
    </row>
    <row r="2424">
      <c r="A2424" s="215" t="n">
        <v>46199</v>
      </c>
      <c r="B2424" s="216" t="n">
        <v>9.710000000000001</v>
      </c>
      <c r="C2424" s="216" t="n">
        <v>16.41</v>
      </c>
      <c r="D2424" s="216" t="n">
        <v>1.154500961303711</v>
      </c>
      <c r="E2424" s="215" t="n">
        <v>46199</v>
      </c>
      <c r="F2424" s="215" t="n">
        <v>46199</v>
      </c>
    </row>
    <row r="2425">
      <c r="A2425" s="215" t="n">
        <v>46202</v>
      </c>
      <c r="B2425" s="216" t="n">
        <v>9.380000000000001</v>
      </c>
      <c r="C2425" s="216" t="n">
        <v>15.76</v>
      </c>
      <c r="D2425" s="216" t="n">
        <v>1.153512001037598</v>
      </c>
      <c r="E2425" s="215" t="n">
        <v>46202</v>
      </c>
      <c r="F2425" s="215" t="n">
        <v>46202</v>
      </c>
    </row>
    <row r="2426">
      <c r="A2426" s="215" t="n">
        <v>46203</v>
      </c>
      <c r="B2426" s="216" t="n">
        <v>10.67</v>
      </c>
      <c r="C2426" s="216" t="n">
        <v>17.34</v>
      </c>
      <c r="D2426" s="216" t="n">
        <v>1.153959035873413</v>
      </c>
      <c r="E2426" s="215" t="n">
        <v>46203</v>
      </c>
      <c r="F2426" s="215" t="n">
        <v>46203</v>
      </c>
    </row>
    <row r="2427">
      <c r="A2427" s="215" t="n">
        <v>46205</v>
      </c>
      <c r="B2427" s="216" t="n">
        <v>10.18</v>
      </c>
      <c r="C2427" s="216" t="n">
        <v>17.18</v>
      </c>
      <c r="D2427" s="216" t="n">
        <v>1.154355049133301</v>
      </c>
      <c r="E2427" s="215" t="n">
        <v>46205</v>
      </c>
      <c r="F2427" s="215" t="n">
        <v>46205</v>
      </c>
    </row>
    <row r="2428">
      <c r="A2428" s="215" t="n">
        <v>46206</v>
      </c>
      <c r="B2428" s="216" t="n">
        <v>10.53</v>
      </c>
      <c r="C2428" s="216" t="n">
        <v>18.02</v>
      </c>
      <c r="D2428" s="216" t="n">
        <v>1.155220985412598</v>
      </c>
      <c r="E2428" s="215" t="n">
        <v>46206</v>
      </c>
      <c r="F2428" s="215" t="n">
        <v>46206</v>
      </c>
    </row>
    <row r="2429">
      <c r="A2429" s="215" t="n">
        <v>46209</v>
      </c>
      <c r="B2429" s="216" t="n">
        <v>9.66</v>
      </c>
      <c r="C2429" s="216" t="n">
        <v>16.23</v>
      </c>
      <c r="D2429" s="216" t="n">
        <v>1.155068039894104</v>
      </c>
      <c r="E2429" s="215" t="n">
        <v>46209</v>
      </c>
      <c r="F2429" s="215" t="n">
        <v>46209</v>
      </c>
    </row>
    <row r="2430">
      <c r="A2430" s="215" t="n">
        <v>46210</v>
      </c>
      <c r="B2430" s="216" t="n">
        <v>8.51</v>
      </c>
      <c r="C2430" s="216" t="n">
        <v>15.93</v>
      </c>
      <c r="D2430" s="216" t="n">
        <v>1.153807997703552</v>
      </c>
      <c r="E2430" s="215" t="n">
        <v>46210</v>
      </c>
      <c r="F2430" s="215" t="n">
        <v>46210</v>
      </c>
    </row>
    <row r="2431">
      <c r="A2431" s="215" t="n">
        <v>46211</v>
      </c>
      <c r="B2431" s="216" t="n">
        <v>7.56</v>
      </c>
      <c r="C2431" s="216" t="n">
        <v>15.06</v>
      </c>
      <c r="D2431" s="216" t="n">
        <v>1.154153943061829</v>
      </c>
      <c r="E2431" s="215" t="n">
        <v>46211</v>
      </c>
      <c r="F2431" s="215" t="n">
        <v>46211</v>
      </c>
    </row>
    <row r="2432">
      <c r="A2432" s="215" t="n">
        <v>46212</v>
      </c>
      <c r="B2432" s="216" t="n">
        <v>7.91</v>
      </c>
      <c r="C2432" s="216" t="n">
        <v>15.6</v>
      </c>
      <c r="D2432" s="216" t="n">
        <v>1.152119994163513</v>
      </c>
      <c r="E2432" s="215" t="n">
        <v>46212</v>
      </c>
      <c r="F2432" s="215" t="n">
        <v>46212</v>
      </c>
    </row>
    <row r="2433">
      <c r="A2433" s="215" t="n">
        <v>46213</v>
      </c>
      <c r="B2433" s="216" t="n">
        <v>7.78</v>
      </c>
      <c r="C2433" s="216" t="n">
        <v>15.16</v>
      </c>
      <c r="D2433" s="216" t="n">
        <v>1.153550028800964</v>
      </c>
      <c r="E2433" s="215" t="n">
        <v>46213</v>
      </c>
      <c r="F2433" s="215" t="n">
        <v>46213</v>
      </c>
    </row>
    <row r="2434">
      <c r="A2434" s="215" t="n">
        <v>46216</v>
      </c>
      <c r="B2434" s="216" t="n">
        <v>6.83</v>
      </c>
      <c r="C2434" s="216" t="n">
        <v>13.64</v>
      </c>
      <c r="D2434" s="216" t="n">
        <v>1.156761050224304</v>
      </c>
      <c r="E2434" s="215" t="n">
        <v>46216</v>
      </c>
      <c r="F2434" s="215" t="n">
        <v>46216</v>
      </c>
    </row>
    <row r="2435">
      <c r="A2435" s="215" t="n">
        <v>46217</v>
      </c>
      <c r="B2435" s="216" t="n">
        <v>7.6</v>
      </c>
      <c r="C2435" s="216" t="n">
        <v>12.97</v>
      </c>
      <c r="D2435" s="216" t="n">
        <v>1.155825972557068</v>
      </c>
      <c r="E2435" s="215" t="n">
        <v>46217</v>
      </c>
      <c r="F2435" s="215" t="n">
        <v>46217</v>
      </c>
    </row>
    <row r="2436">
      <c r="A2436" s="215" t="n">
        <v>46218</v>
      </c>
      <c r="B2436" s="216" t="n">
        <v>7.07</v>
      </c>
      <c r="C2436" s="216" t="n">
        <v>12.71</v>
      </c>
      <c r="D2436" s="216" t="n">
        <v>1.157556056976318</v>
      </c>
      <c r="E2436" s="215" t="n">
        <v>46218</v>
      </c>
      <c r="F2436" s="215" t="n">
        <v>46218</v>
      </c>
    </row>
    <row r="2437">
      <c r="A2437" s="215" t="n">
        <v>46219</v>
      </c>
      <c r="B2437" s="216" t="n">
        <v>6.8</v>
      </c>
      <c r="C2437" s="216" t="n">
        <v>12.61</v>
      </c>
      <c r="D2437" s="216" t="n">
        <v>1.157912969589233</v>
      </c>
      <c r="E2437" s="215" t="n">
        <v>46219</v>
      </c>
      <c r="F2437" s="215" t="n">
        <v>46219</v>
      </c>
    </row>
    <row r="2438">
      <c r="A2438" s="215" t="n">
        <v>46220</v>
      </c>
      <c r="B2438" s="216" t="n">
        <v>6.2</v>
      </c>
      <c r="C2438" s="216" t="n">
        <v>11.41</v>
      </c>
      <c r="D2438" s="216" t="n">
        <v>1.157472014427185</v>
      </c>
      <c r="E2438" s="215" t="n">
        <v>46220</v>
      </c>
      <c r="F2438" s="215" t="n">
        <v>46220</v>
      </c>
    </row>
    <row r="2439">
      <c r="A2439" s="215" t="n">
        <v>46223</v>
      </c>
      <c r="B2439" s="216" t="n">
        <v>6.49</v>
      </c>
      <c r="C2439" s="216" t="n">
        <v>11.55</v>
      </c>
      <c r="D2439" s="216" t="n">
        <v>1.157451033592224</v>
      </c>
      <c r="E2439" s="215" t="n">
        <v>46223</v>
      </c>
      <c r="F2439" s="215" t="n">
        <v>46223</v>
      </c>
    </row>
    <row r="2440">
      <c r="A2440" s="215" t="n">
        <v>46224</v>
      </c>
      <c r="B2440" s="216" t="n">
        <v>6.75</v>
      </c>
      <c r="C2440" s="216" t="n">
        <v>12.35</v>
      </c>
      <c r="D2440" s="216" t="n">
        <v>1.157506942749023</v>
      </c>
      <c r="E2440" s="215" t="n">
        <v>46224</v>
      </c>
      <c r="F2440" s="215" t="n">
        <v>46224</v>
      </c>
    </row>
    <row r="2441">
      <c r="A2441" s="215" t="n">
        <v>46225</v>
      </c>
      <c r="B2441" s="216" t="n">
        <v>6.74</v>
      </c>
      <c r="C2441" s="216" t="n">
        <v>12.13</v>
      </c>
      <c r="D2441" s="216" t="n">
        <v>1.158938050270081</v>
      </c>
      <c r="E2441" s="215" t="n">
        <v>46225</v>
      </c>
      <c r="F2441" s="215" t="n">
        <v>46225</v>
      </c>
    </row>
    <row r="2442">
      <c r="A2442" s="215" t="n">
        <v>46226</v>
      </c>
      <c r="B2442" s="216" t="n">
        <v>6.85</v>
      </c>
      <c r="C2442" s="216" t="n">
        <v>12.2</v>
      </c>
      <c r="D2442" s="216" t="n">
        <v>1.157410979270935</v>
      </c>
      <c r="E2442" s="215" t="n">
        <v>46226</v>
      </c>
      <c r="F2442" s="215" t="n">
        <v>46226</v>
      </c>
    </row>
    <row r="2443">
      <c r="A2443" s="215" t="n">
        <v>46227</v>
      </c>
      <c r="B2443" s="216" t="n">
        <v>6.66</v>
      </c>
      <c r="C2443" s="216" t="n">
        <v>12.09</v>
      </c>
      <c r="D2443" s="216" t="n">
        <v>1.15762197971344</v>
      </c>
      <c r="E2443" s="215" t="n">
        <v>46227</v>
      </c>
      <c r="F2443" s="215" t="n">
        <v>46227</v>
      </c>
    </row>
    <row r="2444">
      <c r="A2444" s="215" t="n">
        <v>46230</v>
      </c>
      <c r="B2444" s="216" t="n">
        <v>6.75</v>
      </c>
      <c r="C2444" s="216" t="n">
        <v>12.4</v>
      </c>
      <c r="D2444" s="216" t="n">
        <v>1.15789794921875</v>
      </c>
      <c r="E2444" s="215" t="n">
        <v>46230</v>
      </c>
      <c r="F2444" s="215" t="n">
        <v>46230</v>
      </c>
    </row>
    <row r="2445">
      <c r="A2445" s="215" t="n">
        <v>46231</v>
      </c>
      <c r="B2445" s="216" t="n">
        <v>6.39</v>
      </c>
      <c r="C2445" s="216" t="n">
        <v>12.03</v>
      </c>
      <c r="D2445" s="216" t="n">
        <v>1.158699035644531</v>
      </c>
      <c r="E2445" s="215" t="n">
        <v>46231</v>
      </c>
      <c r="F2445" s="215" t="n">
        <v>46231</v>
      </c>
    </row>
    <row r="2446">
      <c r="A2446" s="215" t="n">
        <v>46232</v>
      </c>
      <c r="B2446" s="216" t="n">
        <v>6.33</v>
      </c>
      <c r="C2446" s="216" t="n">
        <v>12.23</v>
      </c>
      <c r="D2446" s="216" t="n">
        <v>1.157909989356995</v>
      </c>
      <c r="E2446" s="215" t="n">
        <v>46232</v>
      </c>
      <c r="F2446" s="215" t="n">
        <v>46232</v>
      </c>
    </row>
    <row r="2447">
      <c r="A2447" s="215" t="n">
        <v>46233</v>
      </c>
      <c r="B2447" s="216" t="n">
        <v>6.19</v>
      </c>
      <c r="C2447" s="216" t="n">
        <v>12.21</v>
      </c>
      <c r="D2447" s="216" t="n">
        <v>1.158943057060242</v>
      </c>
      <c r="E2447" s="215" t="n">
        <v>46233</v>
      </c>
      <c r="F2447" s="215" t="n">
        <v>46233</v>
      </c>
    </row>
    <row r="2448">
      <c r="A2448" s="215" t="n">
        <v>46234</v>
      </c>
      <c r="B2448" s="216" t="n">
        <v>6.44</v>
      </c>
      <c r="C2448" s="216" t="n">
        <v>12.4</v>
      </c>
      <c r="D2448" s="216" t="n">
        <v>1.160945057868958</v>
      </c>
      <c r="E2448" s="215" t="n">
        <v>46234</v>
      </c>
      <c r="F2448" s="215" t="n">
        <v>46234</v>
      </c>
    </row>
    <row r="2449">
      <c r="A2449" s="215" t="n">
        <v>46237</v>
      </c>
      <c r="B2449" s="216" t="n">
        <v>6.36</v>
      </c>
      <c r="C2449" s="216" t="n">
        <v>12.46</v>
      </c>
      <c r="D2449" s="216" t="n">
        <v>1.161579966545105</v>
      </c>
      <c r="E2449" s="215" t="n">
        <v>46237</v>
      </c>
      <c r="F2449" s="215" t="n">
        <v>46237</v>
      </c>
    </row>
    <row r="2450">
      <c r="A2450" s="215" t="n">
        <v>46238</v>
      </c>
      <c r="B2450" s="216" t="n">
        <v>6.395</v>
      </c>
      <c r="C2450" s="216" t="n">
        <v>12.66</v>
      </c>
      <c r="D2450" s="216" t="n">
        <v>1.161064982414246</v>
      </c>
      <c r="E2450" s="215" t="n">
        <v>46238</v>
      </c>
      <c r="F2450" s="215" t="n">
        <v>46238</v>
      </c>
    </row>
    <row r="2451">
      <c r="A2451" s="215" t="n">
        <v>46239</v>
      </c>
      <c r="B2451" s="216" t="n">
        <v>6.615</v>
      </c>
      <c r="C2451" s="216" t="n">
        <v>12.97</v>
      </c>
      <c r="D2451" s="216" t="n">
        <v>1.161146998405457</v>
      </c>
      <c r="E2451" s="215" t="n">
        <v>46239</v>
      </c>
      <c r="F2451" s="215" t="n">
        <v>46239</v>
      </c>
    </row>
    <row r="2452">
      <c r="A2452" s="215" t="n">
        <v>46240</v>
      </c>
      <c r="B2452" s="216" t="n">
        <v>6.315</v>
      </c>
      <c r="C2452" s="216" t="n">
        <v>12.74</v>
      </c>
      <c r="D2452" s="216" t="n">
        <v>1.161936044692993</v>
      </c>
      <c r="E2452" s="215" t="n">
        <v>46240</v>
      </c>
      <c r="F2452" s="215" t="n">
        <v>46240</v>
      </c>
    </row>
    <row r="2453">
      <c r="A2453" s="215" t="n">
        <v>46241</v>
      </c>
      <c r="B2453" s="216" t="n">
        <v>6.215</v>
      </c>
      <c r="C2453" s="216" t="n">
        <v>12.72</v>
      </c>
      <c r="D2453" s="216" t="n">
        <v>1.162284016609192</v>
      </c>
      <c r="E2453" s="215" t="n">
        <v>46241</v>
      </c>
      <c r="F2453" s="215" t="n">
        <v>46241</v>
      </c>
    </row>
    <row r="2454">
      <c r="A2454" s="215" t="n">
        <v>46244</v>
      </c>
      <c r="B2454" s="216" t="n">
        <v>6.16</v>
      </c>
      <c r="C2454" s="216" t="n">
        <v>12.63</v>
      </c>
      <c r="D2454" s="216" t="n">
        <v>1.162629961967468</v>
      </c>
      <c r="E2454" s="215" t="n">
        <v>46244</v>
      </c>
      <c r="F2454" s="215" t="n">
        <v>46244</v>
      </c>
    </row>
    <row r="2455">
      <c r="A2455" s="215" t="n">
        <v>46245</v>
      </c>
      <c r="B2455" s="216" t="n">
        <v>6.215</v>
      </c>
      <c r="C2455" s="216" t="n">
        <v>12.68</v>
      </c>
      <c r="D2455" s="216" t="n">
        <v>1.162588000297546</v>
      </c>
      <c r="E2455" s="215" t="n">
        <v>46245</v>
      </c>
      <c r="F2455" s="215" t="n">
        <v>46245</v>
      </c>
    </row>
    <row r="2456">
      <c r="A2456" s="215" t="n">
        <v>46246</v>
      </c>
      <c r="B2456" s="216" t="n">
        <v>6.15</v>
      </c>
      <c r="C2456" s="216" t="n">
        <v>12.51</v>
      </c>
      <c r="D2456" s="216" t="n">
        <v>1.163135051727295</v>
      </c>
      <c r="E2456" s="215" t="n">
        <v>46246</v>
      </c>
      <c r="F2456" s="215" t="n">
        <v>46246</v>
      </c>
    </row>
    <row r="2457">
      <c r="A2457" s="215" t="n">
        <v>46247</v>
      </c>
      <c r="B2457" s="216" t="n">
        <v>6.235</v>
      </c>
      <c r="C2457" s="216" t="n">
        <v>12.55</v>
      </c>
      <c r="D2457" s="216" t="n">
        <v>1.163341045379639</v>
      </c>
      <c r="E2457" s="215" t="n">
        <v>46247</v>
      </c>
      <c r="F2457" s="215" t="n">
        <v>46247</v>
      </c>
    </row>
    <row r="2458">
      <c r="A2458" s="215" t="n">
        <v>46248</v>
      </c>
      <c r="B2458" s="216" t="n">
        <v>6.41</v>
      </c>
      <c r="C2458" s="216" t="n">
        <v>12.69</v>
      </c>
      <c r="D2458" s="216" t="n">
        <v>1.163571000099182</v>
      </c>
      <c r="E2458" s="215" t="n">
        <v>46248</v>
      </c>
      <c r="F2458" s="215" t="n">
        <v>46248</v>
      </c>
    </row>
    <row r="2459">
      <c r="A2459" s="215" t="n">
        <v>46251</v>
      </c>
      <c r="B2459" s="216" t="n">
        <v>6.675</v>
      </c>
      <c r="C2459" s="216" t="n">
        <v>12.98</v>
      </c>
      <c r="D2459" s="216" t="n">
        <v>1.163601994514465</v>
      </c>
      <c r="E2459" s="215" t="n">
        <v>46251</v>
      </c>
      <c r="F2459" s="215" t="n">
        <v>46251</v>
      </c>
    </row>
    <row r="2460">
      <c r="A2460" s="215" t="n">
        <v>46252</v>
      </c>
      <c r="B2460" s="216" t="n">
        <v>6.73</v>
      </c>
      <c r="C2460" s="216" t="n">
        <v>12.94</v>
      </c>
      <c r="D2460" s="216" t="n">
        <v>1.163733005523682</v>
      </c>
      <c r="E2460" s="215" t="n">
        <v>46252</v>
      </c>
      <c r="F2460" s="215" t="n">
        <v>46252</v>
      </c>
    </row>
    <row r="2461">
      <c r="A2461" s="215" t="n">
        <v>46253</v>
      </c>
      <c r="B2461" s="216" t="n">
        <v>6.235</v>
      </c>
      <c r="C2461" s="216" t="n">
        <v>12.31</v>
      </c>
      <c r="D2461" s="216" t="n">
        <v>1.163092017173767</v>
      </c>
      <c r="E2461" s="215" t="n">
        <v>46253</v>
      </c>
      <c r="F2461" s="215" t="n">
        <v>46253</v>
      </c>
    </row>
    <row r="2462">
      <c r="A2462" s="215" t="n">
        <v>46254</v>
      </c>
      <c r="B2462" s="216" t="n">
        <v>6.17</v>
      </c>
      <c r="C2462" s="216" t="n">
        <v>12.2</v>
      </c>
      <c r="D2462" s="216" t="n">
        <v>1.164932012557983</v>
      </c>
      <c r="E2462" s="215" t="n">
        <v>46254</v>
      </c>
      <c r="F2462" s="215" t="n">
        <v>46254</v>
      </c>
    </row>
    <row r="2463">
      <c r="A2463" s="215" t="n">
        <v>46255</v>
      </c>
      <c r="B2463" s="216" t="n">
        <v>6.24</v>
      </c>
      <c r="C2463" s="216" t="n">
        <v>12.24</v>
      </c>
      <c r="D2463" s="216" t="n">
        <v>1.166555047035217</v>
      </c>
      <c r="E2463" s="215" t="n">
        <v>46255</v>
      </c>
      <c r="F2463" s="215" t="n">
        <v>46255</v>
      </c>
    </row>
    <row r="2464">
      <c r="A2464" s="215" t="n">
        <v>46258</v>
      </c>
      <c r="B2464" s="216" t="n">
        <v>6.18</v>
      </c>
      <c r="C2464" s="216" t="n">
        <v>12.08</v>
      </c>
      <c r="D2464" s="216" t="n">
        <v>1.166316986083984</v>
      </c>
      <c r="E2464" s="215" t="n">
        <v>46258</v>
      </c>
      <c r="F2464" s="215" t="n">
        <v>46258</v>
      </c>
    </row>
    <row r="2465">
      <c r="A2465" s="215" t="n">
        <v>46259</v>
      </c>
      <c r="B2465" s="216" t="n">
        <v>6.21</v>
      </c>
      <c r="C2465" s="216" t="n">
        <v>12.17</v>
      </c>
      <c r="D2465" s="216" t="n">
        <v>1.165253043174744</v>
      </c>
      <c r="E2465" s="215" t="n">
        <v>46259</v>
      </c>
      <c r="F2465" s="215" t="n">
        <v>46259</v>
      </c>
    </row>
    <row r="2466">
      <c r="A2466" s="215" t="n">
        <v>46260</v>
      </c>
      <c r="B2466" s="216" t="n">
        <v>6.205</v>
      </c>
      <c r="C2466" s="216" t="n">
        <v>12.25</v>
      </c>
      <c r="D2466" s="216" t="n">
        <v>1.166218996047974</v>
      </c>
      <c r="E2466" s="215" t="n">
        <v>46260</v>
      </c>
      <c r="F2466" s="215" t="n">
        <v>46260</v>
      </c>
    </row>
    <row r="2467">
      <c r="A2467" s="215" t="n">
        <v>46261</v>
      </c>
      <c r="B2467" s="216" t="n">
        <v>6.38</v>
      </c>
      <c r="C2467" s="216" t="n">
        <v>12.5</v>
      </c>
      <c r="D2467" s="216" t="n">
        <v>1.165971040725708</v>
      </c>
      <c r="E2467" s="215" t="n">
        <v>46261</v>
      </c>
      <c r="F2467" s="215" t="n">
        <v>46261</v>
      </c>
    </row>
    <row r="2468">
      <c r="A2468" s="215" t="n">
        <v>46262</v>
      </c>
      <c r="B2468" s="216" t="n">
        <v>6.355</v>
      </c>
      <c r="C2468" s="216" t="n">
        <v>12.47</v>
      </c>
      <c r="D2468" s="216" t="n">
        <v>1.165799975395203</v>
      </c>
      <c r="E2468" s="215" t="n">
        <v>46262</v>
      </c>
      <c r="F2468" s="215" t="n">
        <v>46262</v>
      </c>
    </row>
    <row r="2469">
      <c r="A2469" s="215" t="n">
        <v>46265</v>
      </c>
      <c r="B2469" s="216" t="n">
        <v>6.54</v>
      </c>
      <c r="C2469" s="216" t="n">
        <v>12.79</v>
      </c>
      <c r="D2469" s="216" t="n">
        <v>1.165387988090515</v>
      </c>
      <c r="E2469" s="215" t="n">
        <v>46265</v>
      </c>
      <c r="F2469" s="215" t="n">
        <v>46265</v>
      </c>
    </row>
    <row r="2470">
      <c r="A2470" s="215" t="n">
        <v>46266</v>
      </c>
      <c r="B2470" s="216" t="n">
        <v>6.345</v>
      </c>
      <c r="C2470" s="216" t="n">
        <v>12.52</v>
      </c>
      <c r="D2470" s="216" t="n">
        <v>1.165223956108093</v>
      </c>
      <c r="E2470" s="215" t="n">
        <v>46266</v>
      </c>
      <c r="F2470" s="215" t="n">
        <v>46266</v>
      </c>
    </row>
    <row r="2471">
      <c r="A2471" s="215" t="n">
        <v>46267</v>
      </c>
      <c r="B2471" s="216" t="n">
        <v>6.53</v>
      </c>
      <c r="C2471" s="216" t="n">
        <v>12.69</v>
      </c>
      <c r="D2471" s="216" t="n">
        <v>1.166425943374634</v>
      </c>
      <c r="E2471" s="215" t="n">
        <v>46267</v>
      </c>
      <c r="F2471" s="215" t="n">
        <v>46267</v>
      </c>
    </row>
    <row r="2472">
      <c r="A2472" s="215" t="n">
        <v>46268</v>
      </c>
      <c r="B2472" s="216" t="n">
        <v>6.61</v>
      </c>
      <c r="C2472" s="216" t="n">
        <v>12.9</v>
      </c>
      <c r="D2472" s="216" t="n">
        <v>1.167057037353516</v>
      </c>
      <c r="E2472" s="215" t="n">
        <v>46268</v>
      </c>
      <c r="F2472" s="215" t="n">
        <v>46268</v>
      </c>
    </row>
    <row r="2473">
      <c r="A2473" s="215" t="n">
        <v>46269</v>
      </c>
      <c r="B2473" s="216" t="n">
        <v>6.63</v>
      </c>
      <c r="C2473" s="216" t="n">
        <v>12.63</v>
      </c>
      <c r="D2473" s="216" t="n">
        <v>1.166767954826355</v>
      </c>
      <c r="E2473" s="215" t="n">
        <v>46269</v>
      </c>
      <c r="F2473" s="215" t="n">
        <v>46269</v>
      </c>
    </row>
    <row r="2474">
      <c r="A2474" s="215" t="n">
        <v>46272</v>
      </c>
      <c r="B2474" s="216" t="n">
        <v>6.63</v>
      </c>
      <c r="C2474" s="216" t="n">
        <v>12.65</v>
      </c>
      <c r="D2474" s="216" t="n">
        <v>1.168081045150757</v>
      </c>
      <c r="E2474" s="215" t="n">
        <v>46272</v>
      </c>
      <c r="F2474" s="215" t="n">
        <v>46272</v>
      </c>
    </row>
    <row r="2475">
      <c r="A2475" s="215" t="n">
        <v>46273</v>
      </c>
      <c r="B2475" s="216" t="n">
        <v>6.5</v>
      </c>
      <c r="C2475" s="216" t="n">
        <v>12.43</v>
      </c>
      <c r="D2475" s="216" t="n">
        <v>1.168115019798279</v>
      </c>
      <c r="E2475" s="215" t="n">
        <v>46273</v>
      </c>
      <c r="F2475" s="215" t="n">
        <v>46273</v>
      </c>
    </row>
    <row r="2476">
      <c r="A2476" s="215" t="n">
        <v>46274</v>
      </c>
      <c r="B2476" s="216" t="n">
        <v>6.37</v>
      </c>
      <c r="C2476" s="216" t="n">
        <v>12.44</v>
      </c>
      <c r="D2476" s="216" t="n">
        <v>1.168408989906311</v>
      </c>
      <c r="E2476" s="215" t="n">
        <v>46274</v>
      </c>
      <c r="F2476" s="215" t="n">
        <v>46274</v>
      </c>
    </row>
    <row r="2477">
      <c r="A2477" s="215" t="n">
        <v>46275</v>
      </c>
      <c r="B2477" s="216" t="n">
        <v>6.55</v>
      </c>
      <c r="C2477" s="216" t="n">
        <v>12.84</v>
      </c>
      <c r="D2477" s="216" t="n">
        <v>1.168462991714478</v>
      </c>
      <c r="E2477" s="215" t="n">
        <v>46275</v>
      </c>
      <c r="F2477" s="215" t="n">
        <v>46275</v>
      </c>
    </row>
    <row r="2478">
      <c r="A2478" s="215" t="n">
        <v>46276</v>
      </c>
      <c r="B2478" s="216" t="n">
        <v>6.465</v>
      </c>
      <c r="C2478" s="216" t="n">
        <v>13.1</v>
      </c>
      <c r="D2478" s="216" t="n">
        <v>1.169165015220642</v>
      </c>
      <c r="E2478" s="215" t="n">
        <v>46276</v>
      </c>
      <c r="F2478" s="215" t="n">
        <v>46276</v>
      </c>
    </row>
    <row r="2479">
      <c r="A2479" s="215" t="n">
        <v>46279</v>
      </c>
      <c r="B2479" s="216" t="n">
        <v>6.41</v>
      </c>
      <c r="C2479" s="216" t="n">
        <v>13.18</v>
      </c>
      <c r="D2479" s="216" t="n">
        <v>1.16893994808197</v>
      </c>
      <c r="E2479" s="215" t="n">
        <v>46279</v>
      </c>
      <c r="F2479" s="215" t="n">
        <v>46279</v>
      </c>
    </row>
    <row r="2480">
      <c r="A2480" s="215" t="n">
        <v>46280</v>
      </c>
      <c r="B2480" s="216" t="n">
        <v>6.195</v>
      </c>
      <c r="C2480" s="216" t="n">
        <v>12.61</v>
      </c>
      <c r="D2480" s="216" t="n">
        <v>1.169121026992798</v>
      </c>
      <c r="E2480" s="215" t="n">
        <v>46280</v>
      </c>
      <c r="F2480" s="215" t="n">
        <v>46280</v>
      </c>
    </row>
    <row r="2481">
      <c r="A2481" s="215" t="n">
        <v>46281</v>
      </c>
      <c r="B2481" s="216" t="n">
        <v>6.14</v>
      </c>
      <c r="C2481" s="216" t="n">
        <v>12.51</v>
      </c>
      <c r="D2481" s="216" t="n">
        <v>1.168769955635071</v>
      </c>
      <c r="E2481" s="215" t="n">
        <v>46281</v>
      </c>
      <c r="F2481" s="215" t="n">
        <v>46281</v>
      </c>
    </row>
    <row r="2482">
      <c r="A2482" s="215" t="n">
        <v>46282</v>
      </c>
      <c r="B2482" s="216" t="n">
        <v>6.08</v>
      </c>
      <c r="C2482" s="216" t="n">
        <v>12.47</v>
      </c>
      <c r="D2482" s="216" t="n">
        <v>1.169389963150024</v>
      </c>
      <c r="E2482" s="215" t="n">
        <v>46282</v>
      </c>
      <c r="F2482" s="215" t="n">
        <v>46282</v>
      </c>
    </row>
    <row r="2483">
      <c r="A2483" s="215" t="n">
        <v>46283</v>
      </c>
      <c r="B2483" s="216" t="n">
        <v>6.1</v>
      </c>
      <c r="C2483" s="216" t="n">
        <v>12.58</v>
      </c>
      <c r="D2483" s="216" t="n">
        <v>1.16942298412323</v>
      </c>
      <c r="E2483" s="215" t="n">
        <v>46283</v>
      </c>
      <c r="F2483" s="215" t="n">
        <v>46283</v>
      </c>
    </row>
    <row r="2484">
      <c r="A2484" s="215" t="n">
        <v>46286</v>
      </c>
      <c r="B2484" s="216" t="n">
        <v>6.09</v>
      </c>
      <c r="C2484" s="216" t="n">
        <v>12.54</v>
      </c>
      <c r="D2484" s="216" t="n">
        <v>1.171280026435852</v>
      </c>
      <c r="E2484" s="215" t="n">
        <v>46286</v>
      </c>
      <c r="F2484" s="215" t="n">
        <v>46286</v>
      </c>
    </row>
    <row r="2485">
      <c r="A2485" s="215" t="n">
        <v>46287</v>
      </c>
      <c r="B2485" s="216" t="n">
        <v>6.085</v>
      </c>
      <c r="C2485" s="216" t="n">
        <v>12.65</v>
      </c>
      <c r="D2485" s="216" t="n">
        <v>1.171705007553101</v>
      </c>
      <c r="E2485" s="215" t="n">
        <v>46287</v>
      </c>
      <c r="F2485" s="215" t="n">
        <v>46287</v>
      </c>
    </row>
    <row r="2486">
      <c r="A2486" s="215" t="n">
        <v>46288</v>
      </c>
      <c r="B2486" s="216" t="n">
        <v>6.035</v>
      </c>
      <c r="C2486" s="216" t="n">
        <v>12.37</v>
      </c>
      <c r="D2486" s="216" t="n">
        <v>1.170611023902893</v>
      </c>
      <c r="E2486" s="215" t="n">
        <v>46288</v>
      </c>
      <c r="F2486" s="215" t="n">
        <v>46288</v>
      </c>
    </row>
    <row r="2487">
      <c r="A2487" s="215" t="n">
        <v>46289</v>
      </c>
      <c r="B2487" s="216" t="n">
        <v>5.815</v>
      </c>
      <c r="C2487" s="216" t="n">
        <v>12.23</v>
      </c>
      <c r="D2487" s="216" t="n">
        <v>1.16852605342865</v>
      </c>
      <c r="E2487" s="215" t="n">
        <v>46289</v>
      </c>
      <c r="F2487" s="215" t="n">
        <v>46289</v>
      </c>
    </row>
    <row r="2488">
      <c r="A2488" s="215" t="n">
        <v>46290</v>
      </c>
      <c r="B2488" s="216" t="n">
        <v>5.595</v>
      </c>
      <c r="C2488" s="216" t="n">
        <v>12.23</v>
      </c>
      <c r="D2488" s="216" t="n">
        <v>1.168424010276794</v>
      </c>
      <c r="E2488" s="215" t="n">
        <v>46289</v>
      </c>
      <c r="F2488" s="215" t="n">
        <v>46290</v>
      </c>
    </row>
    <row r="2489">
      <c r="A2489" s="215" t="n">
        <v>46293</v>
      </c>
      <c r="B2489" s="216" t="n">
        <v>5.515</v>
      </c>
      <c r="C2489" s="216" t="n">
        <v>12.01</v>
      </c>
      <c r="D2489" s="216" t="n">
        <v>1.168378949165344</v>
      </c>
      <c r="E2489" s="215" t="n">
        <v>46293</v>
      </c>
      <c r="F2489" s="215" t="n">
        <v>46293</v>
      </c>
    </row>
    <row r="2490">
      <c r="A2490" s="215" t="n">
        <v>46294</v>
      </c>
      <c r="B2490" s="216" t="n">
        <v>5.54</v>
      </c>
      <c r="C2490" s="216" t="n">
        <v>11.98</v>
      </c>
      <c r="D2490" s="216" t="n">
        <v>1.168815970420837</v>
      </c>
      <c r="E2490" s="215" t="n">
        <v>46294</v>
      </c>
      <c r="F2490" s="215" t="n">
        <v>46294</v>
      </c>
    </row>
    <row r="2491">
      <c r="A2491" s="215" t="n">
        <v>46295</v>
      </c>
      <c r="B2491" s="216" t="n">
        <v>5.54</v>
      </c>
      <c r="C2491" s="216" t="n">
        <v>11.88</v>
      </c>
      <c r="D2491" s="216" t="n">
        <v>1.17059600353241</v>
      </c>
      <c r="E2491" s="215" t="n">
        <v>46295</v>
      </c>
      <c r="F2491" s="215" t="n">
        <v>46295</v>
      </c>
    </row>
    <row r="2492">
      <c r="A2492" s="215" t="n">
        <v>46297</v>
      </c>
      <c r="B2492" s="216" t="n">
        <v>5.47</v>
      </c>
      <c r="C2492" s="216" t="n">
        <v>11.88</v>
      </c>
      <c r="D2492" s="216" t="n">
        <v>1.170220971107483</v>
      </c>
      <c r="E2492" s="215" t="n">
        <v>46295</v>
      </c>
      <c r="F2492" s="215" t="n">
        <v>46297</v>
      </c>
    </row>
    <row r="2493">
      <c r="A2493" s="215" t="n">
        <v>46044</v>
      </c>
      <c r="B2493" s="216" t="n">
        <v>32.1</v>
      </c>
      <c r="C2493" s="216" t="n">
        <v>48.16</v>
      </c>
      <c r="D2493" s="216" t="n">
        <v>1.11942195892334</v>
      </c>
      <c r="E2493" s="215" t="n">
        <v>46044</v>
      </c>
      <c r="F2493" s="215" t="n">
        <v>46044</v>
      </c>
    </row>
    <row r="2494">
      <c r="A2494" s="215" t="n">
        <v>46045</v>
      </c>
      <c r="B2494" s="216" t="n">
        <v>31.1</v>
      </c>
      <c r="C2494" s="216" t="n">
        <v>49.42</v>
      </c>
      <c r="D2494" s="216" t="n">
        <v>1.117977976799011</v>
      </c>
      <c r="E2494" s="215" t="n">
        <v>46045</v>
      </c>
      <c r="F2494" s="215" t="n">
        <v>46045</v>
      </c>
    </row>
    <row r="2495">
      <c r="A2495" s="215" t="n">
        <v>46048</v>
      </c>
      <c r="B2495" s="216" t="n">
        <v>31</v>
      </c>
      <c r="C2495" s="216" t="n">
        <v>46.95</v>
      </c>
      <c r="D2495" s="216" t="n">
        <v>1.117916941642761</v>
      </c>
      <c r="E2495" s="215" t="n">
        <v>46048</v>
      </c>
      <c r="F2495" s="215" t="n">
        <v>46048</v>
      </c>
    </row>
    <row r="2496">
      <c r="A2496" s="215" t="n">
        <v>46049</v>
      </c>
      <c r="B2496" s="216" t="n">
        <v>31</v>
      </c>
      <c r="C2496" s="216" t="n">
        <v>48.22</v>
      </c>
      <c r="D2496" s="216" t="n">
        <v>1.121191024780273</v>
      </c>
      <c r="E2496" s="215" t="n">
        <v>46049</v>
      </c>
      <c r="F2496" s="215" t="n">
        <v>46049</v>
      </c>
    </row>
    <row r="2497">
      <c r="A2497" s="215" t="n">
        <v>46050</v>
      </c>
      <c r="B2497" s="216" t="n">
        <v>31</v>
      </c>
      <c r="C2497" s="216" t="n">
        <v>47.43</v>
      </c>
      <c r="D2497" s="216" t="n">
        <v>1.121533036231995</v>
      </c>
      <c r="E2497" s="215" t="n">
        <v>46050</v>
      </c>
      <c r="F2497" s="215" t="n">
        <v>46050</v>
      </c>
    </row>
    <row r="2498">
      <c r="A2498" s="215" t="n">
        <v>46051</v>
      </c>
      <c r="B2498" s="216" t="n">
        <v>30.5</v>
      </c>
      <c r="C2498" s="216" t="n">
        <v>46.41</v>
      </c>
      <c r="D2498" s="216" t="n">
        <v>1.121621966362</v>
      </c>
      <c r="E2498" s="215" t="n">
        <v>46051</v>
      </c>
      <c r="F2498" s="215" t="n">
        <v>46051</v>
      </c>
    </row>
    <row r="2499">
      <c r="A2499" s="215" t="n">
        <v>46052</v>
      </c>
      <c r="B2499" s="216" t="n">
        <v>30</v>
      </c>
      <c r="C2499" s="216" t="n">
        <v>45.32</v>
      </c>
      <c r="D2499" s="216" t="n">
        <v>1.123343944549561</v>
      </c>
      <c r="E2499" s="215" t="n">
        <v>46052</v>
      </c>
      <c r="F2499" s="215" t="n">
        <v>46052</v>
      </c>
    </row>
    <row r="2500">
      <c r="A2500" s="215" t="n">
        <v>46055</v>
      </c>
      <c r="B2500" s="216" t="n">
        <v>29.84</v>
      </c>
      <c r="C2500" s="216" t="n">
        <v>43.57</v>
      </c>
      <c r="D2500" s="216" t="n">
        <v>1.123572945594788</v>
      </c>
      <c r="E2500" s="215" t="n">
        <v>46055</v>
      </c>
      <c r="F2500" s="215" t="n">
        <v>46055</v>
      </c>
    </row>
    <row r="2501">
      <c r="A2501" s="215" t="n">
        <v>46056</v>
      </c>
      <c r="B2501" s="216" t="n">
        <v>30.4</v>
      </c>
      <c r="C2501" s="216" t="n">
        <v>44.88</v>
      </c>
      <c r="D2501" s="216" t="n">
        <v>1.124274969100952</v>
      </c>
      <c r="E2501" s="215" t="n">
        <v>46056</v>
      </c>
      <c r="F2501" s="215" t="n">
        <v>46056</v>
      </c>
    </row>
    <row r="2502">
      <c r="A2502" s="215" t="n">
        <v>46057</v>
      </c>
      <c r="B2502" s="216" t="n">
        <v>30.14</v>
      </c>
      <c r="C2502" s="216" t="n">
        <v>45.08</v>
      </c>
      <c r="D2502" s="216" t="n">
        <v>1.12601101398468</v>
      </c>
      <c r="E2502" s="215" t="n">
        <v>46057</v>
      </c>
      <c r="F2502" s="215" t="n">
        <v>46057</v>
      </c>
    </row>
    <row r="2503">
      <c r="A2503" s="215" t="n">
        <v>46058</v>
      </c>
      <c r="B2503" s="216" t="n">
        <v>30</v>
      </c>
      <c r="C2503" s="216" t="n">
        <v>44.53</v>
      </c>
      <c r="D2503" s="216" t="n">
        <v>1.125892996788025</v>
      </c>
      <c r="E2503" s="215" t="n">
        <v>46058</v>
      </c>
      <c r="F2503" s="215" t="n">
        <v>46058</v>
      </c>
    </row>
    <row r="2504">
      <c r="A2504" s="215" t="n">
        <v>46059</v>
      </c>
      <c r="B2504" s="216" t="n">
        <v>28.4</v>
      </c>
      <c r="C2504" s="216" t="n">
        <v>44.52</v>
      </c>
      <c r="D2504" s="216" t="n">
        <v>1.126062035560608</v>
      </c>
      <c r="E2504" s="215" t="n">
        <v>46059</v>
      </c>
      <c r="F2504" s="215" t="n">
        <v>46059</v>
      </c>
    </row>
    <row r="2505">
      <c r="A2505" s="215" t="n">
        <v>46062</v>
      </c>
      <c r="B2505" s="216" t="n">
        <v>29.06</v>
      </c>
      <c r="C2505" s="216" t="n">
        <v>46.15</v>
      </c>
      <c r="D2505" s="216" t="n">
        <v>1.125753998756409</v>
      </c>
      <c r="E2505" s="215" t="n">
        <v>46062</v>
      </c>
      <c r="F2505" s="215" t="n">
        <v>46062</v>
      </c>
    </row>
    <row r="2506">
      <c r="A2506" s="215" t="n">
        <v>46063</v>
      </c>
      <c r="B2506" s="216" t="n">
        <v>29</v>
      </c>
      <c r="C2506" s="216" t="n">
        <v>45.7</v>
      </c>
      <c r="D2506" s="216" t="n">
        <v>1.129003047943115</v>
      </c>
      <c r="E2506" s="215" t="n">
        <v>46063</v>
      </c>
      <c r="F2506" s="215" t="n">
        <v>46063</v>
      </c>
    </row>
    <row r="2507">
      <c r="A2507" s="215" t="n">
        <v>46064</v>
      </c>
      <c r="B2507" s="216" t="n">
        <v>28.1</v>
      </c>
      <c r="C2507" s="216" t="n">
        <v>45.43</v>
      </c>
      <c r="D2507" s="216" t="n">
        <v>1.130962014198303</v>
      </c>
      <c r="E2507" s="215" t="n">
        <v>46064</v>
      </c>
      <c r="F2507" s="215" t="n">
        <v>46064</v>
      </c>
    </row>
    <row r="2508">
      <c r="A2508" s="215" t="n">
        <v>46065</v>
      </c>
      <c r="B2508" s="216" t="n">
        <v>28.12</v>
      </c>
      <c r="C2508" s="216" t="n">
        <v>46.08</v>
      </c>
      <c r="D2508" s="216" t="n">
        <v>1.130671977996826</v>
      </c>
      <c r="E2508" s="215" t="n">
        <v>46065</v>
      </c>
      <c r="F2508" s="215" t="n">
        <v>46065</v>
      </c>
    </row>
    <row r="2509">
      <c r="A2509" s="215" t="n">
        <v>46066</v>
      </c>
      <c r="B2509" s="216" t="n">
        <v>30.36</v>
      </c>
      <c r="C2509" s="216" t="n">
        <v>46.83</v>
      </c>
      <c r="D2509" s="216" t="n">
        <v>1.132490992546082</v>
      </c>
      <c r="E2509" s="215" t="n">
        <v>46066</v>
      </c>
      <c r="F2509" s="215" t="n">
        <v>46066</v>
      </c>
    </row>
    <row r="2510">
      <c r="A2510" s="215" t="n">
        <v>46069</v>
      </c>
      <c r="B2510" s="216" t="n">
        <v>30.72</v>
      </c>
      <c r="C2510" s="216" t="n">
        <v>46.83</v>
      </c>
      <c r="D2510" s="216" t="n">
        <v>1.131224036216736</v>
      </c>
      <c r="E2510" s="215" t="n">
        <v>46066</v>
      </c>
      <c r="F2510" s="215" t="n">
        <v>46069</v>
      </c>
    </row>
    <row r="2511">
      <c r="A2511" s="215" t="n">
        <v>46073</v>
      </c>
      <c r="B2511" s="216" t="n">
        <v>29.44</v>
      </c>
      <c r="C2511" s="216" t="n">
        <v>46.83</v>
      </c>
      <c r="D2511" s="216" t="n">
        <v>1.131005048751831</v>
      </c>
      <c r="E2511" s="215" t="n">
        <v>46066</v>
      </c>
      <c r="F2511" s="215" t="n">
        <v>46073</v>
      </c>
    </row>
    <row r="2512">
      <c r="A2512" s="215" t="n">
        <v>46076</v>
      </c>
      <c r="B2512" s="216" t="n">
        <v>30.56</v>
      </c>
      <c r="C2512" s="216" t="n">
        <v>46.83</v>
      </c>
      <c r="D2512" s="216" t="n">
        <v>1.130877017974854</v>
      </c>
      <c r="E2512" s="215" t="n">
        <v>46066</v>
      </c>
      <c r="F2512" s="215" t="n">
        <v>46076</v>
      </c>
    </row>
    <row r="2513">
      <c r="A2513" s="215" t="n">
        <v>46077</v>
      </c>
      <c r="B2513" s="216" t="n">
        <v>29.16</v>
      </c>
      <c r="C2513" s="216" t="n">
        <v>45.38</v>
      </c>
      <c r="D2513" s="216" t="n">
        <v>1.131631016731262</v>
      </c>
      <c r="E2513" s="215" t="n">
        <v>46077</v>
      </c>
      <c r="F2513" s="215" t="n">
        <v>46077</v>
      </c>
    </row>
    <row r="2514">
      <c r="A2514" s="215" t="n">
        <v>46078</v>
      </c>
      <c r="B2514" s="216" t="n">
        <v>29.86</v>
      </c>
      <c r="C2514" s="216" t="n">
        <v>45.6</v>
      </c>
      <c r="D2514" s="216" t="n">
        <v>1.136234045028687</v>
      </c>
      <c r="E2514" s="215" t="n">
        <v>46078</v>
      </c>
      <c r="F2514" s="215" t="n">
        <v>46078</v>
      </c>
    </row>
    <row r="2515">
      <c r="A2515" s="215" t="n">
        <v>46079</v>
      </c>
      <c r="B2515" s="216" t="n">
        <v>30.2</v>
      </c>
      <c r="C2515" s="216" t="n">
        <v>46.77</v>
      </c>
      <c r="D2515" s="216" t="n">
        <v>1.138198971748352</v>
      </c>
      <c r="E2515" s="215" t="n">
        <v>46079</v>
      </c>
      <c r="F2515" s="215" t="n">
        <v>46079</v>
      </c>
    </row>
    <row r="2516">
      <c r="A2516" s="215" t="n">
        <v>46080</v>
      </c>
      <c r="B2516" s="216" t="n">
        <v>29.24</v>
      </c>
      <c r="C2516" s="216" t="n">
        <v>47</v>
      </c>
      <c r="D2516" s="216" t="n">
        <v>1.143396973609924</v>
      </c>
      <c r="E2516" s="215" t="n">
        <v>46080</v>
      </c>
      <c r="F2516" s="215" t="n">
        <v>46080</v>
      </c>
    </row>
    <row r="2517">
      <c r="A2517" s="215" t="n">
        <v>46083</v>
      </c>
      <c r="B2517" s="216" t="n">
        <v>27.02</v>
      </c>
      <c r="C2517" s="216" t="n">
        <v>45.19</v>
      </c>
      <c r="D2517" s="216" t="n">
        <v>1.140552043914795</v>
      </c>
      <c r="E2517" s="215" t="n">
        <v>46083</v>
      </c>
      <c r="F2517" s="215" t="n">
        <v>46083</v>
      </c>
    </row>
    <row r="2518">
      <c r="A2518" s="215" t="n">
        <v>46084</v>
      </c>
      <c r="B2518" s="216" t="n">
        <v>24.8</v>
      </c>
      <c r="C2518" s="216" t="n">
        <v>42.64</v>
      </c>
      <c r="D2518" s="216" t="n">
        <v>1.136399984359741</v>
      </c>
      <c r="E2518" s="215" t="n">
        <v>46084</v>
      </c>
      <c r="F2518" s="215" t="n">
        <v>46084</v>
      </c>
    </row>
    <row r="2519">
      <c r="A2519" s="215" t="n">
        <v>46085</v>
      </c>
      <c r="B2519" s="216" t="n">
        <v>24.3</v>
      </c>
      <c r="C2519" s="216" t="n">
        <v>41.84</v>
      </c>
      <c r="D2519" s="216" t="n">
        <v>1.130928993225098</v>
      </c>
      <c r="E2519" s="215" t="n">
        <v>46085</v>
      </c>
      <c r="F2519" s="215" t="n">
        <v>46085</v>
      </c>
    </row>
    <row r="2520">
      <c r="A2520" s="215" t="n">
        <v>46086</v>
      </c>
      <c r="B2520" s="216" t="n">
        <v>24.66</v>
      </c>
      <c r="C2520" s="216" t="n">
        <v>42.32</v>
      </c>
      <c r="D2520" s="216" t="n">
        <v>1.133169054985046</v>
      </c>
      <c r="E2520" s="215" t="n">
        <v>46086</v>
      </c>
      <c r="F2520" s="215" t="n">
        <v>46086</v>
      </c>
    </row>
    <row r="2521">
      <c r="A2521" s="215" t="n">
        <v>46087</v>
      </c>
      <c r="B2521" s="216" t="n">
        <v>25.8</v>
      </c>
      <c r="C2521" s="216" t="n">
        <v>42.91</v>
      </c>
      <c r="D2521" s="216" t="n">
        <v>1.133442044258118</v>
      </c>
      <c r="E2521" s="215" t="n">
        <v>46087</v>
      </c>
      <c r="F2521" s="215" t="n">
        <v>46087</v>
      </c>
    </row>
    <row r="2522">
      <c r="A2522" s="215" t="n">
        <v>46090</v>
      </c>
      <c r="B2522" s="216" t="n">
        <v>24.76</v>
      </c>
      <c r="C2522" s="216" t="n">
        <v>42.2</v>
      </c>
      <c r="D2522" s="216" t="n">
        <v>1.133231043815613</v>
      </c>
      <c r="E2522" s="215" t="n">
        <v>46090</v>
      </c>
      <c r="F2522" s="215" t="n">
        <v>46090</v>
      </c>
    </row>
    <row r="2523">
      <c r="A2523" s="215" t="n">
        <v>46091</v>
      </c>
      <c r="B2523" s="216" t="n">
        <v>25.2</v>
      </c>
      <c r="C2523" s="216" t="n">
        <v>43.13</v>
      </c>
      <c r="D2523" s="216" t="n">
        <v>1.131595015525818</v>
      </c>
      <c r="E2523" s="215" t="n">
        <v>46091</v>
      </c>
      <c r="F2523" s="215" t="n">
        <v>46091</v>
      </c>
    </row>
    <row r="2524">
      <c r="A2524" s="215" t="n">
        <v>46092</v>
      </c>
      <c r="B2524" s="216" t="n">
        <v>24.56</v>
      </c>
      <c r="C2524" s="216" t="n">
        <v>42.77</v>
      </c>
      <c r="D2524" s="216" t="n">
        <v>1.137585043907166</v>
      </c>
      <c r="E2524" s="215" t="n">
        <v>46092</v>
      </c>
      <c r="F2524" s="215" t="n">
        <v>46092</v>
      </c>
    </row>
    <row r="2525">
      <c r="A2525" s="215" t="n">
        <v>46093</v>
      </c>
      <c r="B2525" s="216" t="n">
        <v>24.42</v>
      </c>
      <c r="C2525" s="216" t="n">
        <v>41.98</v>
      </c>
      <c r="D2525" s="216" t="n">
        <v>1.139600038528442</v>
      </c>
      <c r="E2525" s="215" t="n">
        <v>46093</v>
      </c>
      <c r="F2525" s="215" t="n">
        <v>46093</v>
      </c>
    </row>
    <row r="2526">
      <c r="A2526" s="215" t="n">
        <v>46094</v>
      </c>
      <c r="B2526" s="216" t="n">
        <v>23.76</v>
      </c>
      <c r="C2526" s="216" t="n">
        <v>41.47</v>
      </c>
      <c r="D2526" s="216" t="n">
        <v>1.139310002326965</v>
      </c>
      <c r="E2526" s="215" t="n">
        <v>46094</v>
      </c>
      <c r="F2526" s="215" t="n">
        <v>46094</v>
      </c>
    </row>
    <row r="2527">
      <c r="A2527" s="215" t="n">
        <v>46097</v>
      </c>
      <c r="B2527" s="216" t="n">
        <v>24.78</v>
      </c>
      <c r="C2527" s="216" t="n">
        <v>41.82</v>
      </c>
      <c r="D2527" s="216" t="n">
        <v>1.134883999824524</v>
      </c>
      <c r="E2527" s="215" t="n">
        <v>46097</v>
      </c>
      <c r="F2527" s="215" t="n">
        <v>46097</v>
      </c>
    </row>
    <row r="2528">
      <c r="A2528" s="215" t="n">
        <v>46098</v>
      </c>
      <c r="B2528" s="216" t="n">
        <v>23.8</v>
      </c>
      <c r="C2528" s="216" t="n">
        <v>40.6</v>
      </c>
      <c r="D2528" s="216" t="n">
        <v>1.125375986099243</v>
      </c>
      <c r="E2528" s="215" t="n">
        <v>46098</v>
      </c>
      <c r="F2528" s="215" t="n">
        <v>46098</v>
      </c>
    </row>
    <row r="2529">
      <c r="A2529" s="215" t="n">
        <v>46099</v>
      </c>
      <c r="B2529" s="216" t="n">
        <v>24.14</v>
      </c>
      <c r="C2529" s="216" t="n">
        <v>40.98</v>
      </c>
      <c r="D2529" s="216" t="n">
        <v>1.137819051742554</v>
      </c>
      <c r="E2529" s="215" t="n">
        <v>46099</v>
      </c>
      <c r="F2529" s="215" t="n">
        <v>46099</v>
      </c>
    </row>
    <row r="2530">
      <c r="A2530" s="215" t="n">
        <v>46100</v>
      </c>
      <c r="B2530" s="216" t="n">
        <v>23.9</v>
      </c>
      <c r="C2530" s="216" t="n">
        <v>39.96</v>
      </c>
      <c r="D2530" s="216" t="n">
        <v>1.140079021453857</v>
      </c>
      <c r="E2530" s="215" t="n">
        <v>46100</v>
      </c>
      <c r="F2530" s="215" t="n">
        <v>46100</v>
      </c>
    </row>
    <row r="2531">
      <c r="A2531" s="215" t="n">
        <v>46101</v>
      </c>
      <c r="B2531" s="216" t="n">
        <v>23.6</v>
      </c>
      <c r="C2531" s="216" t="n">
        <v>39.18</v>
      </c>
      <c r="D2531" s="216" t="n">
        <v>1.13490903377533</v>
      </c>
      <c r="E2531" s="215" t="n">
        <v>46101</v>
      </c>
      <c r="F2531" s="215" t="n">
        <v>46101</v>
      </c>
    </row>
    <row r="2532">
      <c r="A2532" s="215" t="n">
        <v>46104</v>
      </c>
      <c r="B2532" s="216" t="n">
        <v>21.7</v>
      </c>
      <c r="C2532" s="216" t="n">
        <v>36.98</v>
      </c>
      <c r="D2532" s="216" t="n">
        <v>1.137529969215393</v>
      </c>
      <c r="E2532" s="215" t="n">
        <v>46104</v>
      </c>
      <c r="F2532" s="215" t="n">
        <v>46104</v>
      </c>
    </row>
    <row r="2533">
      <c r="A2533" s="215" t="n">
        <v>46105</v>
      </c>
      <c r="B2533" s="216" t="n">
        <v>22.16</v>
      </c>
      <c r="C2533" s="216" t="n">
        <v>37.66</v>
      </c>
      <c r="D2533" s="216" t="n">
        <v>1.138481974601746</v>
      </c>
      <c r="E2533" s="215" t="n">
        <v>46105</v>
      </c>
      <c r="F2533" s="215" t="n">
        <v>46105</v>
      </c>
    </row>
    <row r="2534">
      <c r="A2534" s="215" t="n">
        <v>46106</v>
      </c>
      <c r="B2534" s="216" t="n">
        <v>23.78</v>
      </c>
      <c r="C2534" s="216" t="n">
        <v>38.52</v>
      </c>
      <c r="D2534" s="216" t="n">
        <v>1.135548949241638</v>
      </c>
      <c r="E2534" s="215" t="n">
        <v>46106</v>
      </c>
      <c r="F2534" s="215" t="n">
        <v>46106</v>
      </c>
    </row>
    <row r="2535">
      <c r="A2535" s="215" t="n">
        <v>46107</v>
      </c>
      <c r="B2535" s="216" t="n">
        <v>22.62</v>
      </c>
      <c r="C2535" s="216" t="n">
        <v>37.86</v>
      </c>
      <c r="D2535" s="216" t="n">
        <v>1.132627010345459</v>
      </c>
      <c r="E2535" s="215" t="n">
        <v>46107</v>
      </c>
      <c r="F2535" s="215" t="n">
        <v>46107</v>
      </c>
    </row>
    <row r="2536">
      <c r="A2536" s="215" t="n">
        <v>46108</v>
      </c>
      <c r="B2536" s="216" t="n">
        <v>22.76</v>
      </c>
      <c r="C2536" s="216" t="n">
        <v>38.17</v>
      </c>
      <c r="D2536" s="216" t="n">
        <v>1.132115960121155</v>
      </c>
      <c r="E2536" s="215" t="n">
        <v>46108</v>
      </c>
      <c r="F2536" s="215" t="n">
        <v>46108</v>
      </c>
    </row>
    <row r="2537">
      <c r="A2537" s="215" t="n">
        <v>46111</v>
      </c>
      <c r="B2537" s="216" t="n">
        <v>22.38</v>
      </c>
      <c r="C2537" s="216" t="n">
        <v>37.83</v>
      </c>
      <c r="D2537" s="216" t="n">
        <v>1.13311505317688</v>
      </c>
      <c r="E2537" s="215" t="n">
        <v>46111</v>
      </c>
      <c r="F2537" s="215" t="n">
        <v>46111</v>
      </c>
    </row>
    <row r="2538">
      <c r="A2538" s="215" t="n">
        <v>46112</v>
      </c>
      <c r="B2538" s="216" t="n">
        <v>23.14</v>
      </c>
      <c r="C2538" s="216" t="n">
        <v>37.7</v>
      </c>
      <c r="D2538" s="216" t="n">
        <v>1.133540987968445</v>
      </c>
      <c r="E2538" s="215" t="n">
        <v>46112</v>
      </c>
      <c r="F2538" s="215" t="n">
        <v>46112</v>
      </c>
    </row>
    <row r="2539">
      <c r="A2539" s="215" t="n">
        <v>46113</v>
      </c>
      <c r="B2539" s="216" t="n">
        <v>23.78</v>
      </c>
      <c r="C2539" s="216" t="n">
        <v>38.17</v>
      </c>
      <c r="D2539" s="216" t="n">
        <v>1.136669993400574</v>
      </c>
      <c r="E2539" s="215" t="n">
        <v>46113</v>
      </c>
      <c r="F2539" s="215" t="n">
        <v>46113</v>
      </c>
    </row>
    <row r="2540">
      <c r="A2540" s="215" t="n">
        <v>46114</v>
      </c>
      <c r="B2540" s="216" t="n">
        <v>23.2</v>
      </c>
      <c r="C2540" s="216" t="n">
        <v>37.22</v>
      </c>
      <c r="D2540" s="216" t="n">
        <v>1.140197992324829</v>
      </c>
      <c r="E2540" s="215" t="n">
        <v>46114</v>
      </c>
      <c r="F2540" s="215" t="n">
        <v>46114</v>
      </c>
    </row>
    <row r="2541">
      <c r="A2541" s="215" t="n">
        <v>46120</v>
      </c>
      <c r="B2541" s="216" t="n">
        <v>24.5</v>
      </c>
      <c r="C2541" s="216" t="n">
        <v>38.72</v>
      </c>
      <c r="D2541" s="216" t="n">
        <v>1.1423499584198</v>
      </c>
      <c r="E2541" s="215" t="n">
        <v>46120</v>
      </c>
      <c r="F2541" s="215" t="n">
        <v>46120</v>
      </c>
    </row>
    <row r="2542">
      <c r="A2542" s="215" t="n">
        <v>46121</v>
      </c>
      <c r="B2542" s="216" t="n">
        <v>23.82</v>
      </c>
      <c r="C2542" s="216" t="n">
        <v>38.36</v>
      </c>
      <c r="D2542" s="216" t="n">
        <v>1.146731972694397</v>
      </c>
      <c r="E2542" s="215" t="n">
        <v>46121</v>
      </c>
      <c r="F2542" s="215" t="n">
        <v>46121</v>
      </c>
    </row>
    <row r="2543">
      <c r="A2543" s="215" t="n">
        <v>46122</v>
      </c>
      <c r="B2543" s="216" t="n">
        <v>24.12</v>
      </c>
      <c r="C2543" s="216" t="n">
        <v>38.55</v>
      </c>
      <c r="D2543" s="216" t="n">
        <v>1.146558046340942</v>
      </c>
      <c r="E2543" s="215" t="n">
        <v>46122</v>
      </c>
      <c r="F2543" s="215" t="n">
        <v>46122</v>
      </c>
    </row>
    <row r="2544">
      <c r="A2544" s="215" t="n">
        <v>46125</v>
      </c>
      <c r="B2544" s="216" t="n">
        <v>23.74</v>
      </c>
      <c r="C2544" s="216" t="n">
        <v>38.34</v>
      </c>
      <c r="D2544" s="216" t="n">
        <v>1.147117972373962</v>
      </c>
      <c r="E2544" s="215" t="n">
        <v>46125</v>
      </c>
      <c r="F2544" s="215" t="n">
        <v>46125</v>
      </c>
    </row>
    <row r="2545">
      <c r="A2545" s="215" t="n">
        <v>46126</v>
      </c>
      <c r="B2545" s="216" t="n">
        <v>25.6</v>
      </c>
      <c r="C2545" s="216" t="n">
        <v>39.29</v>
      </c>
      <c r="D2545" s="216" t="n">
        <v>1.146226048469543</v>
      </c>
      <c r="E2545" s="215" t="n">
        <v>46126</v>
      </c>
      <c r="F2545" s="215" t="n">
        <v>46126</v>
      </c>
    </row>
    <row r="2546">
      <c r="A2546" s="215" t="n">
        <v>46127</v>
      </c>
      <c r="B2546" s="216" t="n">
        <v>24.52</v>
      </c>
      <c r="C2546" s="216" t="n">
        <v>38.75</v>
      </c>
      <c r="D2546" s="216" t="n">
        <v>1.149266004562378</v>
      </c>
      <c r="E2546" s="215" t="n">
        <v>46127</v>
      </c>
      <c r="F2546" s="215" t="n">
        <v>46127</v>
      </c>
    </row>
    <row r="2547">
      <c r="A2547" s="215" t="n">
        <v>46128</v>
      </c>
      <c r="B2547" s="216" t="n">
        <v>25</v>
      </c>
      <c r="C2547" s="216" t="n">
        <v>39.03</v>
      </c>
      <c r="D2547" s="216" t="n">
        <v>1.148550033569336</v>
      </c>
      <c r="E2547" s="215" t="n">
        <v>46128</v>
      </c>
      <c r="F2547" s="215" t="n">
        <v>46128</v>
      </c>
    </row>
    <row r="2548">
      <c r="A2548" s="215" t="n">
        <v>46129</v>
      </c>
      <c r="B2548" s="216" t="n">
        <v>24.94</v>
      </c>
      <c r="C2548" s="216" t="n">
        <v>38.95</v>
      </c>
      <c r="D2548" s="216" t="n">
        <v>1.146605014801025</v>
      </c>
      <c r="E2548" s="215" t="n">
        <v>46129</v>
      </c>
      <c r="F2548" s="215" t="n">
        <v>46129</v>
      </c>
    </row>
    <row r="2549">
      <c r="A2549" s="215" t="n">
        <v>46132</v>
      </c>
      <c r="B2549" s="216" t="n">
        <v>24.82</v>
      </c>
      <c r="C2549" s="216" t="n">
        <v>39.01</v>
      </c>
      <c r="D2549" s="216" t="n">
        <v>1.148360967636108</v>
      </c>
      <c r="E2549" s="215" t="n">
        <v>46132</v>
      </c>
      <c r="F2549" s="215" t="n">
        <v>46132</v>
      </c>
    </row>
    <row r="2550">
      <c r="A2550" s="215" t="n">
        <v>46133</v>
      </c>
      <c r="B2550" s="216" t="n">
        <v>23.86</v>
      </c>
      <c r="C2550" s="216" t="n">
        <v>38.76</v>
      </c>
      <c r="D2550" s="216" t="n">
        <v>1.148368000984192</v>
      </c>
      <c r="E2550" s="215" t="n">
        <v>46133</v>
      </c>
      <c r="F2550" s="215" t="n">
        <v>46133</v>
      </c>
    </row>
    <row r="2551">
      <c r="A2551" s="215" t="n">
        <v>46134</v>
      </c>
      <c r="B2551" s="216" t="n">
        <v>22.8</v>
      </c>
      <c r="C2551" s="216" t="n">
        <v>38.29</v>
      </c>
      <c r="D2551" s="216" t="n">
        <v>1.147838950157166</v>
      </c>
      <c r="E2551" s="215" t="n">
        <v>46134</v>
      </c>
      <c r="F2551" s="215" t="n">
        <v>46134</v>
      </c>
    </row>
    <row r="2552">
      <c r="A2552" s="215" t="n">
        <v>46135</v>
      </c>
      <c r="B2552" s="216" t="n">
        <v>21.62</v>
      </c>
      <c r="C2552" s="216" t="n">
        <v>37.49</v>
      </c>
      <c r="D2552" s="216" t="n">
        <v>1.147513031959534</v>
      </c>
      <c r="E2552" s="215" t="n">
        <v>46135</v>
      </c>
      <c r="F2552" s="215" t="n">
        <v>46135</v>
      </c>
    </row>
    <row r="2553">
      <c r="A2553" s="215" t="n">
        <v>46136</v>
      </c>
      <c r="B2553" s="216" t="n">
        <v>20.78</v>
      </c>
      <c r="C2553" s="216" t="n">
        <v>36.52</v>
      </c>
      <c r="D2553" s="216" t="n">
        <v>1.147369027137756</v>
      </c>
      <c r="E2553" s="215" t="n">
        <v>46136</v>
      </c>
      <c r="F2553" s="215" t="n">
        <v>46136</v>
      </c>
    </row>
    <row r="2554">
      <c r="A2554" s="215" t="n">
        <v>46139</v>
      </c>
      <c r="B2554" s="216" t="n">
        <v>22.38</v>
      </c>
      <c r="C2554" s="216" t="n">
        <v>38.24</v>
      </c>
      <c r="D2554" s="216" t="n">
        <v>1.146002054214478</v>
      </c>
      <c r="E2554" s="215" t="n">
        <v>46139</v>
      </c>
      <c r="F2554" s="215" t="n">
        <v>46139</v>
      </c>
    </row>
    <row r="2555">
      <c r="A2555" s="215" t="n">
        <v>46140</v>
      </c>
      <c r="B2555" s="216" t="n">
        <v>21.2</v>
      </c>
      <c r="C2555" s="216" t="n">
        <v>36.63</v>
      </c>
      <c r="D2555" s="216" t="n">
        <v>1.148522019386292</v>
      </c>
      <c r="E2555" s="215" t="n">
        <v>46140</v>
      </c>
      <c r="F2555" s="215" t="n">
        <v>46140</v>
      </c>
    </row>
    <row r="2556">
      <c r="A2556" s="215" t="n">
        <v>46141</v>
      </c>
      <c r="B2556" s="216" t="n">
        <v>21.98</v>
      </c>
      <c r="C2556" s="216" t="n">
        <v>36.1</v>
      </c>
      <c r="D2556" s="216" t="n">
        <v>1.145936012268066</v>
      </c>
      <c r="E2556" s="215" t="n">
        <v>46141</v>
      </c>
      <c r="F2556" s="215" t="n">
        <v>46141</v>
      </c>
    </row>
    <row r="2557">
      <c r="A2557" s="215" t="n">
        <v>46142</v>
      </c>
      <c r="B2557" s="216" t="n">
        <v>21.84</v>
      </c>
      <c r="C2557" s="216" t="n">
        <v>36.81</v>
      </c>
      <c r="D2557" s="216" t="n">
        <v>1.145792007446289</v>
      </c>
      <c r="E2557" s="215" t="n">
        <v>46142</v>
      </c>
      <c r="F2557" s="215" t="n">
        <v>46142</v>
      </c>
    </row>
    <row r="2558">
      <c r="A2558" s="215" t="n">
        <v>46146</v>
      </c>
      <c r="B2558" s="216" t="n">
        <v>21.56</v>
      </c>
      <c r="C2558" s="216" t="n">
        <v>36.81</v>
      </c>
      <c r="D2558" s="216" t="n">
        <v>1.147340059280396</v>
      </c>
      <c r="E2558" s="215" t="n">
        <v>46142</v>
      </c>
      <c r="F2558" s="215" t="n">
        <v>46146</v>
      </c>
    </row>
    <row r="2559">
      <c r="A2559" s="215" t="n">
        <v>46147</v>
      </c>
      <c r="B2559" s="216" t="n">
        <v>21.56</v>
      </c>
      <c r="C2559" s="216" t="n">
        <v>36.81</v>
      </c>
      <c r="D2559" s="216" t="n">
        <v>1.146813988685608</v>
      </c>
      <c r="E2559" s="215" t="n">
        <v>46142</v>
      </c>
      <c r="F2559" s="215" t="n">
        <v>46147</v>
      </c>
    </row>
    <row r="2560">
      <c r="A2560" s="215" t="n">
        <v>46148</v>
      </c>
      <c r="B2560" s="216" t="n">
        <v>21.68</v>
      </c>
      <c r="C2560" s="216" t="n">
        <v>36.8</v>
      </c>
      <c r="D2560" s="216" t="n">
        <v>1.14708399772644</v>
      </c>
      <c r="E2560" s="215" t="n">
        <v>46148</v>
      </c>
      <c r="F2560" s="215" t="n">
        <v>46148</v>
      </c>
    </row>
    <row r="2561">
      <c r="A2561" s="215" t="n">
        <v>46149</v>
      </c>
      <c r="B2561" s="216" t="n">
        <v>22.8</v>
      </c>
      <c r="C2561" s="216" t="n">
        <v>37.49</v>
      </c>
      <c r="D2561" s="216" t="n">
        <v>1.150125026702881</v>
      </c>
      <c r="E2561" s="215" t="n">
        <v>46149</v>
      </c>
      <c r="F2561" s="215" t="n">
        <v>46149</v>
      </c>
    </row>
    <row r="2562">
      <c r="A2562" s="215" t="n">
        <v>46150</v>
      </c>
      <c r="B2562" s="216" t="n">
        <v>24.04</v>
      </c>
      <c r="C2562" s="216" t="n">
        <v>39.44</v>
      </c>
      <c r="D2562" s="216" t="n">
        <v>1.15172004699707</v>
      </c>
      <c r="E2562" s="215" t="n">
        <v>46150</v>
      </c>
      <c r="F2562" s="215" t="n">
        <v>46150</v>
      </c>
    </row>
    <row r="2563">
      <c r="A2563" s="215" t="n">
        <v>46153</v>
      </c>
      <c r="B2563" s="216" t="n">
        <v>25.68</v>
      </c>
      <c r="C2563" s="216" t="n">
        <v>40.23</v>
      </c>
      <c r="D2563" s="216" t="n">
        <v>1.151090025901794</v>
      </c>
      <c r="E2563" s="215" t="n">
        <v>46153</v>
      </c>
      <c r="F2563" s="215" t="n">
        <v>46153</v>
      </c>
    </row>
    <row r="2564">
      <c r="A2564" s="215" t="n">
        <v>46154</v>
      </c>
      <c r="B2564" s="216" t="n">
        <v>25.2</v>
      </c>
      <c r="C2564" s="216" t="n">
        <v>39.46</v>
      </c>
      <c r="D2564" s="216" t="n">
        <v>1.152078986167908</v>
      </c>
      <c r="E2564" s="215" t="n">
        <v>46154</v>
      </c>
      <c r="F2564" s="215" t="n">
        <v>46154</v>
      </c>
    </row>
    <row r="2565">
      <c r="A2565" s="215" t="n">
        <v>46155</v>
      </c>
      <c r="B2565" s="216" t="n">
        <v>26.56</v>
      </c>
      <c r="C2565" s="216" t="n">
        <v>40.14</v>
      </c>
      <c r="D2565" s="216" t="n">
        <v>1.152537941932678</v>
      </c>
      <c r="E2565" s="215" t="n">
        <v>46155</v>
      </c>
      <c r="F2565" s="215" t="n">
        <v>46155</v>
      </c>
    </row>
    <row r="2566">
      <c r="A2566" s="215" t="n">
        <v>46156</v>
      </c>
      <c r="B2566" s="216" t="n">
        <v>26.58</v>
      </c>
      <c r="C2566" s="216" t="n">
        <v>39.48</v>
      </c>
      <c r="D2566" s="216" t="n">
        <v>1.152662992477417</v>
      </c>
      <c r="E2566" s="215" t="n">
        <v>46156</v>
      </c>
      <c r="F2566" s="215" t="n">
        <v>46156</v>
      </c>
    </row>
    <row r="2567">
      <c r="A2567" s="215" t="n">
        <v>46157</v>
      </c>
      <c r="B2567" s="216" t="n">
        <v>26.38</v>
      </c>
      <c r="C2567" s="216" t="n">
        <v>39.29</v>
      </c>
      <c r="D2567" s="216" t="n">
        <v>1.154320001602173</v>
      </c>
      <c r="E2567" s="215" t="n">
        <v>46157</v>
      </c>
      <c r="F2567" s="215" t="n">
        <v>46157</v>
      </c>
    </row>
    <row r="2568">
      <c r="A2568" s="215" t="n">
        <v>46160</v>
      </c>
      <c r="B2568" s="216" t="n">
        <v>26.12</v>
      </c>
      <c r="C2568" s="216" t="n">
        <v>38.93</v>
      </c>
      <c r="D2568" s="216" t="n">
        <v>1.149821996688843</v>
      </c>
      <c r="E2568" s="215" t="n">
        <v>46160</v>
      </c>
      <c r="F2568" s="215" t="n">
        <v>46160</v>
      </c>
    </row>
    <row r="2569">
      <c r="A2569" s="215" t="n">
        <v>46161</v>
      </c>
      <c r="B2569" s="216" t="n">
        <v>25.24</v>
      </c>
      <c r="C2569" s="216" t="n">
        <v>38.86</v>
      </c>
      <c r="D2569" s="216" t="n">
        <v>1.151532053947449</v>
      </c>
      <c r="E2569" s="215" t="n">
        <v>46161</v>
      </c>
      <c r="F2569" s="215" t="n">
        <v>46161</v>
      </c>
    </row>
    <row r="2570">
      <c r="A2570" s="215" t="n">
        <v>46162</v>
      </c>
      <c r="B2570" s="216" t="n">
        <v>26.64</v>
      </c>
      <c r="C2570" s="216" t="n">
        <v>38.19</v>
      </c>
      <c r="D2570" s="216" t="n">
        <v>1.149292945861816</v>
      </c>
      <c r="E2570" s="215" t="n">
        <v>46162</v>
      </c>
      <c r="F2570" s="215" t="n">
        <v>46162</v>
      </c>
    </row>
    <row r="2571">
      <c r="A2571" s="215" t="n">
        <v>46163</v>
      </c>
      <c r="B2571" s="216" t="n">
        <v>25.16</v>
      </c>
      <c r="C2571" s="216" t="n">
        <v>36.83</v>
      </c>
      <c r="D2571" s="216" t="n">
        <v>1.151231050491333</v>
      </c>
      <c r="E2571" s="215" t="n">
        <v>46163</v>
      </c>
      <c r="F2571" s="215" t="n">
        <v>46163</v>
      </c>
    </row>
    <row r="2572">
      <c r="A2572" s="215" t="n">
        <v>46164</v>
      </c>
      <c r="B2572" s="216" t="n">
        <v>26.22</v>
      </c>
      <c r="C2572" s="216" t="n">
        <v>37.65</v>
      </c>
      <c r="D2572" s="216" t="n">
        <v>1.151487946510315</v>
      </c>
      <c r="E2572" s="215" t="n">
        <v>46164</v>
      </c>
      <c r="F2572" s="215" t="n">
        <v>46164</v>
      </c>
    </row>
    <row r="2573">
      <c r="A2573" s="215" t="n">
        <v>46168</v>
      </c>
      <c r="B2573" s="216" t="n">
        <v>25.86</v>
      </c>
      <c r="C2573" s="216" t="n">
        <v>37.25</v>
      </c>
      <c r="D2573" s="216" t="n">
        <v>1.152968049049377</v>
      </c>
      <c r="E2573" s="215" t="n">
        <v>46168</v>
      </c>
      <c r="F2573" s="215" t="n">
        <v>46168</v>
      </c>
    </row>
    <row r="2574">
      <c r="A2574" s="215" t="n">
        <v>46169</v>
      </c>
      <c r="B2574" s="216" t="n">
        <v>25.52</v>
      </c>
      <c r="C2574" s="216" t="n">
        <v>36.45</v>
      </c>
      <c r="D2574" s="216" t="n">
        <v>1.154562950134277</v>
      </c>
      <c r="E2574" s="215" t="n">
        <v>46169</v>
      </c>
      <c r="F2574" s="215" t="n">
        <v>46169</v>
      </c>
    </row>
    <row r="2575">
      <c r="A2575" s="215" t="n">
        <v>46170</v>
      </c>
      <c r="B2575" s="216" t="n">
        <v>25.16</v>
      </c>
      <c r="C2575" s="216" t="n">
        <v>36.9</v>
      </c>
      <c r="D2575" s="216" t="n">
        <v>1.155385971069336</v>
      </c>
      <c r="E2575" s="215" t="n">
        <v>46170</v>
      </c>
      <c r="F2575" s="215" t="n">
        <v>46170</v>
      </c>
    </row>
    <row r="2576">
      <c r="A2576" s="215" t="n">
        <v>46171</v>
      </c>
      <c r="B2576" s="216" t="n">
        <v>23.3</v>
      </c>
      <c r="C2576" s="216" t="n">
        <v>34.46</v>
      </c>
      <c r="D2576" s="216" t="n">
        <v>1.155282974243164</v>
      </c>
      <c r="E2576" s="215" t="n">
        <v>46171</v>
      </c>
      <c r="F2576" s="215" t="n">
        <v>46171</v>
      </c>
    </row>
    <row r="2577">
      <c r="A2577" s="215" t="n">
        <v>46174</v>
      </c>
      <c r="B2577" s="216" t="n">
        <v>26.42</v>
      </c>
      <c r="C2577" s="216" t="n">
        <v>37.91</v>
      </c>
      <c r="D2577" s="216" t="n">
        <v>1.158049941062927</v>
      </c>
      <c r="E2577" s="215" t="n">
        <v>46174</v>
      </c>
      <c r="F2577" s="215" t="n">
        <v>46174</v>
      </c>
    </row>
    <row r="2578">
      <c r="A2578" s="215" t="n">
        <v>46175</v>
      </c>
      <c r="B2578" s="216" t="n">
        <v>26.56</v>
      </c>
      <c r="C2578" s="216" t="n">
        <v>39.67</v>
      </c>
      <c r="D2578" s="216" t="n">
        <v>1.158406972885132</v>
      </c>
      <c r="E2578" s="215" t="n">
        <v>46175</v>
      </c>
      <c r="F2578" s="215" t="n">
        <v>46175</v>
      </c>
    </row>
    <row r="2579">
      <c r="A2579" s="215" t="n">
        <v>46176</v>
      </c>
      <c r="B2579" s="216" t="n">
        <v>27.2</v>
      </c>
      <c r="C2579" s="216" t="n">
        <v>40.05</v>
      </c>
      <c r="D2579" s="216" t="n">
        <v>1.15879499912262</v>
      </c>
      <c r="E2579" s="215" t="n">
        <v>46176</v>
      </c>
      <c r="F2579" s="215" t="n">
        <v>46176</v>
      </c>
    </row>
    <row r="2580">
      <c r="A2580" s="215" t="n">
        <v>46177</v>
      </c>
      <c r="B2580" s="216" t="n">
        <v>25.36</v>
      </c>
      <c r="C2580" s="216" t="n">
        <v>38.48</v>
      </c>
      <c r="D2580" s="216" t="n">
        <v>1.157420039176941</v>
      </c>
      <c r="E2580" s="215" t="n">
        <v>46177</v>
      </c>
      <c r="F2580" s="215" t="n">
        <v>46177</v>
      </c>
    </row>
    <row r="2581">
      <c r="A2581" s="215" t="n">
        <v>46178</v>
      </c>
      <c r="B2581" s="216" t="n">
        <v>26.4</v>
      </c>
      <c r="C2581" s="216" t="n">
        <v>38.7</v>
      </c>
      <c r="D2581" s="216" t="n">
        <v>1.156491994857788</v>
      </c>
      <c r="E2581" s="215" t="n">
        <v>46178</v>
      </c>
      <c r="F2581" s="215" t="n">
        <v>46178</v>
      </c>
    </row>
    <row r="2582">
      <c r="A2582" s="215" t="n">
        <v>46181</v>
      </c>
      <c r="B2582" s="216" t="n">
        <v>25.22</v>
      </c>
      <c r="C2582" s="216" t="n">
        <v>37.16</v>
      </c>
      <c r="D2582" s="216" t="n">
        <v>1.157665967941284</v>
      </c>
      <c r="E2582" s="215" t="n">
        <v>46181</v>
      </c>
      <c r="F2582" s="215" t="n">
        <v>46181</v>
      </c>
    </row>
    <row r="2583">
      <c r="A2583" s="215" t="n">
        <v>46182</v>
      </c>
      <c r="B2583" s="216" t="n">
        <v>25.32</v>
      </c>
      <c r="C2583" s="216" t="n">
        <v>36.5</v>
      </c>
      <c r="D2583" s="216" t="n">
        <v>1.158027052879333</v>
      </c>
      <c r="E2583" s="215" t="n">
        <v>46182</v>
      </c>
      <c r="F2583" s="215" t="n">
        <v>46182</v>
      </c>
    </row>
    <row r="2584">
      <c r="A2584" s="215" t="n">
        <v>46183</v>
      </c>
      <c r="B2584" s="216" t="n">
        <v>24.9</v>
      </c>
      <c r="C2584" s="216" t="n">
        <v>34.97</v>
      </c>
      <c r="D2584" s="216" t="n">
        <v>1.157112002372742</v>
      </c>
      <c r="E2584" s="215" t="n">
        <v>46183</v>
      </c>
      <c r="F2584" s="215" t="n">
        <v>46183</v>
      </c>
    </row>
    <row r="2585">
      <c r="A2585" s="215" t="n">
        <v>46184</v>
      </c>
      <c r="B2585" s="216" t="n">
        <v>25.3</v>
      </c>
      <c r="C2585" s="216" t="n">
        <v>35.39</v>
      </c>
      <c r="D2585" s="216" t="n">
        <v>1.156929016113281</v>
      </c>
      <c r="E2585" s="215" t="n">
        <v>46184</v>
      </c>
      <c r="F2585" s="215" t="n">
        <v>46184</v>
      </c>
    </row>
    <row r="2586">
      <c r="A2586" s="215" t="n">
        <v>46185</v>
      </c>
      <c r="B2586" s="216" t="n">
        <v>24.92</v>
      </c>
      <c r="C2586" s="216" t="n">
        <v>35.65</v>
      </c>
      <c r="D2586" s="216" t="n">
        <v>1.156345963478088</v>
      </c>
      <c r="E2586" s="215" t="n">
        <v>46185</v>
      </c>
      <c r="F2586" s="215" t="n">
        <v>46185</v>
      </c>
    </row>
    <row r="2587">
      <c r="A2587" s="215" t="n">
        <v>46188</v>
      </c>
      <c r="B2587" s="216" t="n">
        <v>25.66</v>
      </c>
      <c r="C2587" s="216" t="n">
        <v>37.26</v>
      </c>
      <c r="D2587" s="216" t="n">
        <v>1.156880021095276</v>
      </c>
      <c r="E2587" s="215" t="n">
        <v>46188</v>
      </c>
      <c r="F2587" s="215" t="n">
        <v>46188</v>
      </c>
    </row>
    <row r="2588">
      <c r="A2588" s="215" t="n">
        <v>46189</v>
      </c>
      <c r="B2588" s="216" t="n">
        <v>25.2</v>
      </c>
      <c r="C2588" s="216" t="n">
        <v>38.21</v>
      </c>
      <c r="D2588" s="216" t="n">
        <v>1.158604025840759</v>
      </c>
      <c r="E2588" s="215" t="n">
        <v>46189</v>
      </c>
      <c r="F2588" s="215" t="n">
        <v>46189</v>
      </c>
    </row>
    <row r="2589">
      <c r="A2589" s="215" t="n">
        <v>46190</v>
      </c>
      <c r="B2589" s="216" t="n">
        <v>25.06</v>
      </c>
      <c r="C2589" s="216" t="n">
        <v>37.89</v>
      </c>
      <c r="D2589" s="216" t="n">
        <v>1.158974051475525</v>
      </c>
      <c r="E2589" s="215" t="n">
        <v>46190</v>
      </c>
      <c r="F2589" s="215" t="n">
        <v>46190</v>
      </c>
    </row>
    <row r="2590">
      <c r="A2590" s="215" t="n">
        <v>46191</v>
      </c>
      <c r="B2590" s="216" t="n">
        <v>23.98</v>
      </c>
      <c r="C2590" s="216" t="n">
        <v>37.88</v>
      </c>
      <c r="D2590" s="216" t="n">
        <v>1.159355998039246</v>
      </c>
      <c r="E2590" s="215" t="n">
        <v>46191</v>
      </c>
      <c r="F2590" s="215" t="n">
        <v>46191</v>
      </c>
    </row>
    <row r="2591">
      <c r="A2591" s="215" t="n">
        <v>46195</v>
      </c>
      <c r="B2591" s="216" t="n">
        <v>22.84</v>
      </c>
      <c r="C2591" s="216" t="n">
        <v>36.87</v>
      </c>
      <c r="D2591" s="216" t="n">
        <v>1.157493948936462</v>
      </c>
      <c r="E2591" s="215" t="n">
        <v>46195</v>
      </c>
      <c r="F2591" s="215" t="n">
        <v>46195</v>
      </c>
    </row>
    <row r="2592">
      <c r="A2592" s="215" t="n">
        <v>46196</v>
      </c>
      <c r="B2592" s="216" t="n">
        <v>23.84</v>
      </c>
      <c r="C2592" s="216" t="n">
        <v>38.5</v>
      </c>
      <c r="D2592" s="216" t="n">
        <v>1.156896948814392</v>
      </c>
      <c r="E2592" s="215" t="n">
        <v>46196</v>
      </c>
      <c r="F2592" s="215" t="n">
        <v>46196</v>
      </c>
    </row>
    <row r="2593">
      <c r="A2593" s="215" t="n">
        <v>46197</v>
      </c>
      <c r="B2593" s="216" t="n">
        <v>24.2</v>
      </c>
      <c r="C2593" s="216" t="n">
        <v>40.61</v>
      </c>
      <c r="D2593" s="216" t="n">
        <v>1.154508948326111</v>
      </c>
      <c r="E2593" s="215" t="n">
        <v>46197</v>
      </c>
      <c r="F2593" s="215" t="n">
        <v>46197</v>
      </c>
    </row>
    <row r="2594">
      <c r="A2594" s="215" t="n">
        <v>46198</v>
      </c>
      <c r="B2594" s="216" t="n">
        <v>26.46</v>
      </c>
      <c r="C2594" s="216" t="n">
        <v>41.94</v>
      </c>
      <c r="D2594" s="216" t="n">
        <v>1.154152035713196</v>
      </c>
      <c r="E2594" s="215" t="n">
        <v>46198</v>
      </c>
      <c r="F2594" s="215" t="n">
        <v>46198</v>
      </c>
    </row>
    <row r="2595">
      <c r="A2595" s="215" t="n">
        <v>46199</v>
      </c>
      <c r="B2595" s="216" t="n">
        <v>25.26</v>
      </c>
      <c r="C2595" s="216" t="n">
        <v>42.55</v>
      </c>
      <c r="D2595" s="216" t="n">
        <v>1.154500961303711</v>
      </c>
      <c r="E2595" s="215" t="n">
        <v>46199</v>
      </c>
      <c r="F2595" s="215" t="n">
        <v>46199</v>
      </c>
    </row>
    <row r="2596">
      <c r="A2596" s="215" t="n">
        <v>46202</v>
      </c>
      <c r="B2596" s="216" t="n">
        <v>24.58</v>
      </c>
      <c r="C2596" s="216" t="n">
        <v>41.31</v>
      </c>
      <c r="D2596" s="216" t="n">
        <v>1.153512001037598</v>
      </c>
      <c r="E2596" s="215" t="n">
        <v>46202</v>
      </c>
      <c r="F2596" s="215" t="n">
        <v>46202</v>
      </c>
    </row>
    <row r="2597">
      <c r="A2597" s="215" t="n">
        <v>46203</v>
      </c>
      <c r="B2597" s="216" t="n">
        <v>25</v>
      </c>
      <c r="C2597" s="216" t="n">
        <v>42.49</v>
      </c>
      <c r="D2597" s="216" t="n">
        <v>1.153959035873413</v>
      </c>
      <c r="E2597" s="215" t="n">
        <v>46203</v>
      </c>
      <c r="F2597" s="215" t="n">
        <v>46203</v>
      </c>
    </row>
    <row r="2598">
      <c r="A2598" s="215" t="n">
        <v>46205</v>
      </c>
      <c r="B2598" s="216" t="n">
        <v>23.18</v>
      </c>
      <c r="C2598" s="216" t="n">
        <v>39.66</v>
      </c>
      <c r="D2598" s="216" t="n">
        <v>1.154355049133301</v>
      </c>
      <c r="E2598" s="215" t="n">
        <v>46205</v>
      </c>
      <c r="F2598" s="215" t="n">
        <v>46205</v>
      </c>
    </row>
    <row r="2599">
      <c r="A2599" s="215" t="n">
        <v>46206</v>
      </c>
      <c r="B2599" s="216" t="n">
        <v>23.12</v>
      </c>
      <c r="C2599" s="216" t="n">
        <v>39</v>
      </c>
      <c r="D2599" s="216" t="n">
        <v>1.155220985412598</v>
      </c>
      <c r="E2599" s="215" t="n">
        <v>46206</v>
      </c>
      <c r="F2599" s="215" t="n">
        <v>46206</v>
      </c>
    </row>
    <row r="2600">
      <c r="A2600" s="215" t="n">
        <v>46209</v>
      </c>
      <c r="B2600" s="216" t="n">
        <v>22.24</v>
      </c>
      <c r="C2600" s="216" t="n">
        <v>39.29</v>
      </c>
      <c r="D2600" s="216" t="n">
        <v>1.155068039894104</v>
      </c>
      <c r="E2600" s="215" t="n">
        <v>46209</v>
      </c>
      <c r="F2600" s="215" t="n">
        <v>46209</v>
      </c>
    </row>
    <row r="2601">
      <c r="A2601" s="215" t="n">
        <v>46210</v>
      </c>
      <c r="B2601" s="216" t="n">
        <v>21.7</v>
      </c>
      <c r="C2601" s="216" t="n">
        <v>38.1</v>
      </c>
      <c r="D2601" s="216" t="n">
        <v>1.153807997703552</v>
      </c>
      <c r="E2601" s="215" t="n">
        <v>46210</v>
      </c>
      <c r="F2601" s="215" t="n">
        <v>46210</v>
      </c>
    </row>
    <row r="2602">
      <c r="A2602" s="215" t="n">
        <v>46211</v>
      </c>
      <c r="B2602" s="216" t="n">
        <v>22.44</v>
      </c>
      <c r="C2602" s="216" t="n">
        <v>39.85</v>
      </c>
      <c r="D2602" s="216" t="n">
        <v>1.154153943061829</v>
      </c>
      <c r="E2602" s="215" t="n">
        <v>46211</v>
      </c>
      <c r="F2602" s="215" t="n">
        <v>46211</v>
      </c>
    </row>
    <row r="2603">
      <c r="A2603" s="215" t="n">
        <v>46212</v>
      </c>
      <c r="B2603" s="216" t="n">
        <v>23.18</v>
      </c>
      <c r="C2603" s="216" t="n">
        <v>42.38</v>
      </c>
      <c r="D2603" s="216" t="n">
        <v>1.152119994163513</v>
      </c>
      <c r="E2603" s="215" t="n">
        <v>46212</v>
      </c>
      <c r="F2603" s="215" t="n">
        <v>46212</v>
      </c>
    </row>
    <row r="2604">
      <c r="A2604" s="215" t="n">
        <v>46213</v>
      </c>
      <c r="B2604" s="216" t="n">
        <v>23.1</v>
      </c>
      <c r="C2604" s="216" t="n">
        <v>42.47</v>
      </c>
      <c r="D2604" s="216" t="n">
        <v>1.153550028800964</v>
      </c>
      <c r="E2604" s="215" t="n">
        <v>46213</v>
      </c>
      <c r="F2604" s="215" t="n">
        <v>46213</v>
      </c>
    </row>
    <row r="2605">
      <c r="A2605" s="215" t="n">
        <v>46216</v>
      </c>
      <c r="B2605" s="216" t="n">
        <v>22.06</v>
      </c>
      <c r="C2605" s="216" t="n">
        <v>40.31</v>
      </c>
      <c r="D2605" s="216" t="n">
        <v>1.156761050224304</v>
      </c>
      <c r="E2605" s="215" t="n">
        <v>46216</v>
      </c>
      <c r="F2605" s="215" t="n">
        <v>46216</v>
      </c>
    </row>
    <row r="2606">
      <c r="A2606" s="215" t="n">
        <v>46217</v>
      </c>
      <c r="B2606" s="216" t="n">
        <v>23</v>
      </c>
      <c r="C2606" s="216" t="n">
        <v>39.8</v>
      </c>
      <c r="D2606" s="216" t="n">
        <v>1.155825972557068</v>
      </c>
      <c r="E2606" s="215" t="n">
        <v>46217</v>
      </c>
      <c r="F2606" s="215" t="n">
        <v>46217</v>
      </c>
    </row>
    <row r="2607">
      <c r="A2607" s="215" t="n">
        <v>46218</v>
      </c>
      <c r="B2607" s="216" t="n">
        <v>22.96</v>
      </c>
      <c r="C2607" s="216" t="n">
        <v>39.93</v>
      </c>
      <c r="D2607" s="216" t="n">
        <v>1.157556056976318</v>
      </c>
      <c r="E2607" s="215" t="n">
        <v>46218</v>
      </c>
      <c r="F2607" s="215" t="n">
        <v>46218</v>
      </c>
    </row>
    <row r="2608">
      <c r="A2608" s="215" t="n">
        <v>46219</v>
      </c>
      <c r="B2608" s="216" t="n">
        <v>22.7</v>
      </c>
      <c r="C2608" s="216" t="n">
        <v>41.49</v>
      </c>
      <c r="D2608" s="216" t="n">
        <v>1.157912969589233</v>
      </c>
      <c r="E2608" s="215" t="n">
        <v>46219</v>
      </c>
      <c r="F2608" s="215" t="n">
        <v>46219</v>
      </c>
    </row>
    <row r="2609">
      <c r="A2609" s="215" t="n">
        <v>46220</v>
      </c>
      <c r="B2609" s="216" t="n">
        <v>21.34</v>
      </c>
      <c r="C2609" s="216" t="n">
        <v>39.7</v>
      </c>
      <c r="D2609" s="216" t="n">
        <v>1.157472014427185</v>
      </c>
      <c r="E2609" s="215" t="n">
        <v>46220</v>
      </c>
      <c r="F2609" s="215" t="n">
        <v>46220</v>
      </c>
    </row>
    <row r="2610">
      <c r="A2610" s="215" t="n">
        <v>46223</v>
      </c>
      <c r="B2610" s="216" t="n">
        <v>21.2</v>
      </c>
      <c r="C2610" s="216" t="n">
        <v>38.04</v>
      </c>
      <c r="D2610" s="216" t="n">
        <v>1.157451033592224</v>
      </c>
      <c r="E2610" s="215" t="n">
        <v>46223</v>
      </c>
      <c r="F2610" s="215" t="n">
        <v>46223</v>
      </c>
    </row>
    <row r="2611">
      <c r="A2611" s="215" t="n">
        <v>46224</v>
      </c>
      <c r="B2611" s="216" t="n">
        <v>21.92</v>
      </c>
      <c r="C2611" s="216" t="n">
        <v>38.81</v>
      </c>
      <c r="D2611" s="216" t="n">
        <v>1.157506942749023</v>
      </c>
      <c r="E2611" s="215" t="n">
        <v>46224</v>
      </c>
      <c r="F2611" s="215" t="n">
        <v>46224</v>
      </c>
    </row>
    <row r="2612">
      <c r="A2612" s="215" t="n">
        <v>46225</v>
      </c>
      <c r="B2612" s="216" t="n">
        <v>21.74</v>
      </c>
      <c r="C2612" s="216" t="n">
        <v>38.28</v>
      </c>
      <c r="D2612" s="216" t="n">
        <v>1.158938050270081</v>
      </c>
      <c r="E2612" s="215" t="n">
        <v>46225</v>
      </c>
      <c r="F2612" s="215" t="n">
        <v>46225</v>
      </c>
    </row>
    <row r="2613">
      <c r="A2613" s="215" t="n">
        <v>46226</v>
      </c>
      <c r="B2613" s="216" t="n">
        <v>21.6</v>
      </c>
      <c r="C2613" s="216" t="n">
        <v>37.19</v>
      </c>
      <c r="D2613" s="216" t="n">
        <v>1.157410979270935</v>
      </c>
      <c r="E2613" s="215" t="n">
        <v>46226</v>
      </c>
      <c r="F2613" s="215" t="n">
        <v>46226</v>
      </c>
    </row>
    <row r="2614">
      <c r="A2614" s="215" t="n">
        <v>46227</v>
      </c>
      <c r="B2614" s="216" t="n">
        <v>21.14</v>
      </c>
      <c r="C2614" s="216" t="n">
        <v>36.67</v>
      </c>
      <c r="D2614" s="216" t="n">
        <v>1.15762197971344</v>
      </c>
      <c r="E2614" s="215" t="n">
        <v>46227</v>
      </c>
      <c r="F2614" s="215" t="n">
        <v>46227</v>
      </c>
    </row>
    <row r="2615">
      <c r="A2615" s="215" t="n">
        <v>46230</v>
      </c>
      <c r="B2615" s="216" t="n">
        <v>21.58</v>
      </c>
      <c r="C2615" s="216" t="n">
        <v>37.1</v>
      </c>
      <c r="D2615" s="216" t="n">
        <v>1.15789794921875</v>
      </c>
      <c r="E2615" s="215" t="n">
        <v>46230</v>
      </c>
      <c r="F2615" s="215" t="n">
        <v>46230</v>
      </c>
    </row>
    <row r="2616">
      <c r="A2616" s="215" t="n">
        <v>46231</v>
      </c>
      <c r="B2616" s="216" t="n">
        <v>22.28</v>
      </c>
      <c r="C2616" s="216" t="n">
        <v>37.97</v>
      </c>
      <c r="D2616" s="216" t="n">
        <v>1.158699035644531</v>
      </c>
      <c r="E2616" s="215" t="n">
        <v>46231</v>
      </c>
      <c r="F2616" s="215" t="n">
        <v>46231</v>
      </c>
    </row>
    <row r="2617">
      <c r="A2617" s="215" t="n">
        <v>46232</v>
      </c>
      <c r="B2617" s="216" t="n">
        <v>22.14</v>
      </c>
      <c r="C2617" s="216" t="n">
        <v>37.56</v>
      </c>
      <c r="D2617" s="216" t="n">
        <v>1.157909989356995</v>
      </c>
      <c r="E2617" s="215" t="n">
        <v>46232</v>
      </c>
      <c r="F2617" s="215" t="n">
        <v>46232</v>
      </c>
    </row>
    <row r="2618">
      <c r="A2618" s="215" t="n">
        <v>46233</v>
      </c>
      <c r="B2618" s="216" t="n">
        <v>21.04</v>
      </c>
      <c r="C2618" s="216" t="n">
        <v>34.91</v>
      </c>
      <c r="D2618" s="216" t="n">
        <v>1.158943057060242</v>
      </c>
      <c r="E2618" s="215" t="n">
        <v>46233</v>
      </c>
      <c r="F2618" s="215" t="n">
        <v>46233</v>
      </c>
    </row>
    <row r="2619">
      <c r="A2619" s="215" t="n">
        <v>46234</v>
      </c>
      <c r="B2619" s="216" t="n">
        <v>21.4</v>
      </c>
      <c r="C2619" s="216" t="n">
        <v>36.43</v>
      </c>
      <c r="D2619" s="216" t="n">
        <v>1.160945057868958</v>
      </c>
      <c r="E2619" s="215" t="n">
        <v>46234</v>
      </c>
      <c r="F2619" s="215" t="n">
        <v>46234</v>
      </c>
    </row>
    <row r="2620">
      <c r="A2620" s="215" t="n">
        <v>46237</v>
      </c>
      <c r="B2620" s="216" t="n">
        <v>21.36</v>
      </c>
      <c r="C2620" s="216" t="n">
        <v>35.72</v>
      </c>
      <c r="D2620" s="216" t="n">
        <v>1.161579966545105</v>
      </c>
      <c r="E2620" s="215" t="n">
        <v>46237</v>
      </c>
      <c r="F2620" s="215" t="n">
        <v>46237</v>
      </c>
    </row>
    <row r="2621">
      <c r="A2621" s="215" t="n">
        <v>46238</v>
      </c>
      <c r="B2621" s="216" t="n">
        <v>21.54</v>
      </c>
      <c r="C2621" s="216" t="n">
        <v>35.8</v>
      </c>
      <c r="D2621" s="216" t="n">
        <v>1.161064982414246</v>
      </c>
      <c r="E2621" s="215" t="n">
        <v>46238</v>
      </c>
      <c r="F2621" s="215" t="n">
        <v>46238</v>
      </c>
    </row>
    <row r="2622">
      <c r="A2622" s="215" t="n">
        <v>46239</v>
      </c>
      <c r="B2622" s="216" t="n">
        <v>22.2</v>
      </c>
      <c r="C2622" s="216" t="n">
        <v>36.83</v>
      </c>
      <c r="D2622" s="216" t="n">
        <v>1.161146998405457</v>
      </c>
      <c r="E2622" s="215" t="n">
        <v>46239</v>
      </c>
      <c r="F2622" s="215" t="n">
        <v>46239</v>
      </c>
    </row>
    <row r="2623">
      <c r="A2623" s="215" t="n">
        <v>46240</v>
      </c>
      <c r="B2623" s="216" t="n">
        <v>21.84</v>
      </c>
      <c r="C2623" s="216" t="n">
        <v>36.58</v>
      </c>
      <c r="D2623" s="216" t="n">
        <v>1.161936044692993</v>
      </c>
      <c r="E2623" s="215" t="n">
        <v>46240</v>
      </c>
      <c r="F2623" s="215" t="n">
        <v>46240</v>
      </c>
    </row>
    <row r="2624">
      <c r="A2624" s="215" t="n">
        <v>46241</v>
      </c>
      <c r="B2624" s="216" t="n">
        <v>22.2</v>
      </c>
      <c r="C2624" s="216" t="n">
        <v>37.04</v>
      </c>
      <c r="D2624" s="216" t="n">
        <v>1.162284016609192</v>
      </c>
      <c r="E2624" s="215" t="n">
        <v>46241</v>
      </c>
      <c r="F2624" s="215" t="n">
        <v>46241</v>
      </c>
    </row>
    <row r="2625">
      <c r="A2625" s="215" t="n">
        <v>46244</v>
      </c>
      <c r="B2625" s="216" t="n">
        <v>23.24</v>
      </c>
      <c r="C2625" s="216" t="n">
        <v>39.22</v>
      </c>
      <c r="D2625" s="216" t="n">
        <v>1.162629961967468</v>
      </c>
      <c r="E2625" s="215" t="n">
        <v>46244</v>
      </c>
      <c r="F2625" s="215" t="n">
        <v>46244</v>
      </c>
    </row>
    <row r="2626">
      <c r="A2626" s="215" t="n">
        <v>46245</v>
      </c>
      <c r="B2626" s="216" t="n">
        <v>22.8</v>
      </c>
      <c r="C2626" s="216" t="n">
        <v>39.94</v>
      </c>
      <c r="D2626" s="216" t="n">
        <v>1.162588000297546</v>
      </c>
      <c r="E2626" s="215" t="n">
        <v>46245</v>
      </c>
      <c r="F2626" s="215" t="n">
        <v>46245</v>
      </c>
    </row>
    <row r="2627">
      <c r="A2627" s="215" t="n">
        <v>46246</v>
      </c>
      <c r="B2627" s="216" t="n">
        <v>23.12</v>
      </c>
      <c r="C2627" s="216" t="n">
        <v>39.57</v>
      </c>
      <c r="D2627" s="216" t="n">
        <v>1.163135051727295</v>
      </c>
      <c r="E2627" s="215" t="n">
        <v>46246</v>
      </c>
      <c r="F2627" s="215" t="n">
        <v>46246</v>
      </c>
    </row>
    <row r="2628">
      <c r="A2628" s="215" t="n">
        <v>46247</v>
      </c>
      <c r="B2628" s="216" t="n">
        <v>25.78</v>
      </c>
      <c r="C2628" s="216" t="n">
        <v>40.9</v>
      </c>
      <c r="D2628" s="216" t="n">
        <v>1.163341045379639</v>
      </c>
      <c r="E2628" s="215" t="n">
        <v>46247</v>
      </c>
      <c r="F2628" s="215" t="n">
        <v>46247</v>
      </c>
    </row>
    <row r="2629">
      <c r="A2629" s="215" t="n">
        <v>46248</v>
      </c>
      <c r="B2629" s="216" t="n">
        <v>23.06</v>
      </c>
      <c r="C2629" s="216" t="n">
        <v>39.8</v>
      </c>
      <c r="D2629" s="216" t="n">
        <v>1.163571000099182</v>
      </c>
      <c r="E2629" s="215" t="n">
        <v>46248</v>
      </c>
      <c r="F2629" s="215" t="n">
        <v>46248</v>
      </c>
    </row>
    <row r="2630">
      <c r="A2630" s="215" t="n">
        <v>46251</v>
      </c>
      <c r="B2630" s="216" t="n">
        <v>24.12</v>
      </c>
      <c r="C2630" s="216" t="n">
        <v>40.3</v>
      </c>
      <c r="D2630" s="216" t="n">
        <v>1.163601994514465</v>
      </c>
      <c r="E2630" s="215" t="n">
        <v>46251</v>
      </c>
      <c r="F2630" s="215" t="n">
        <v>46251</v>
      </c>
    </row>
    <row r="2631">
      <c r="A2631" s="215" t="n">
        <v>46252</v>
      </c>
      <c r="B2631" s="216" t="n">
        <v>22.6</v>
      </c>
      <c r="C2631" s="216" t="n">
        <v>38.24</v>
      </c>
      <c r="D2631" s="216" t="n">
        <v>1.163733005523682</v>
      </c>
      <c r="E2631" s="215" t="n">
        <v>46252</v>
      </c>
      <c r="F2631" s="215" t="n">
        <v>46252</v>
      </c>
    </row>
    <row r="2632">
      <c r="A2632" s="215" t="n">
        <v>46253</v>
      </c>
      <c r="B2632" s="216" t="n">
        <v>21.5</v>
      </c>
      <c r="C2632" s="216" t="n">
        <v>36.27</v>
      </c>
      <c r="D2632" s="216" t="n">
        <v>1.163092017173767</v>
      </c>
      <c r="E2632" s="215" t="n">
        <v>46253</v>
      </c>
      <c r="F2632" s="215" t="n">
        <v>46253</v>
      </c>
    </row>
    <row r="2633">
      <c r="A2633" s="215" t="n">
        <v>46254</v>
      </c>
      <c r="B2633" s="216" t="n">
        <v>22.88</v>
      </c>
      <c r="C2633" s="216" t="n">
        <v>36.6</v>
      </c>
      <c r="D2633" s="216" t="n">
        <v>1.164932012557983</v>
      </c>
      <c r="E2633" s="215" t="n">
        <v>46254</v>
      </c>
      <c r="F2633" s="215" t="n">
        <v>46254</v>
      </c>
    </row>
    <row r="2634">
      <c r="A2634" s="215" t="n">
        <v>46255</v>
      </c>
      <c r="B2634" s="216" t="n">
        <v>23.2</v>
      </c>
      <c r="C2634" s="216" t="n">
        <v>37.29</v>
      </c>
      <c r="D2634" s="216" t="n">
        <v>1.166555047035217</v>
      </c>
      <c r="E2634" s="215" t="n">
        <v>46255</v>
      </c>
      <c r="F2634" s="215" t="n">
        <v>46255</v>
      </c>
    </row>
    <row r="2635">
      <c r="A2635" s="215" t="n">
        <v>46258</v>
      </c>
      <c r="B2635" s="216" t="n">
        <v>22.28</v>
      </c>
      <c r="C2635" s="216" t="n">
        <v>36.18</v>
      </c>
      <c r="D2635" s="216" t="n">
        <v>1.166316986083984</v>
      </c>
      <c r="E2635" s="215" t="n">
        <v>46258</v>
      </c>
      <c r="F2635" s="215" t="n">
        <v>46258</v>
      </c>
    </row>
    <row r="2636">
      <c r="A2636" s="215" t="n">
        <v>46259</v>
      </c>
      <c r="B2636" s="216" t="n">
        <v>22.28</v>
      </c>
      <c r="C2636" s="216" t="n">
        <v>36.92</v>
      </c>
      <c r="D2636" s="216" t="n">
        <v>1.165253043174744</v>
      </c>
      <c r="E2636" s="215" t="n">
        <v>46259</v>
      </c>
      <c r="F2636" s="215" t="n">
        <v>46259</v>
      </c>
    </row>
    <row r="2637">
      <c r="A2637" s="215" t="n">
        <v>46260</v>
      </c>
      <c r="B2637" s="216" t="n">
        <v>22.4</v>
      </c>
      <c r="C2637" s="216" t="n">
        <v>36.97</v>
      </c>
      <c r="D2637" s="216" t="n">
        <v>1.166218996047974</v>
      </c>
      <c r="E2637" s="215" t="n">
        <v>46260</v>
      </c>
      <c r="F2637" s="215" t="n">
        <v>46260</v>
      </c>
    </row>
    <row r="2638">
      <c r="A2638" s="215" t="n">
        <v>46261</v>
      </c>
      <c r="B2638" s="216" t="n">
        <v>23.16</v>
      </c>
      <c r="C2638" s="216" t="n">
        <v>38.1</v>
      </c>
      <c r="D2638" s="216" t="n">
        <v>1.165971040725708</v>
      </c>
      <c r="E2638" s="215" t="n">
        <v>46261</v>
      </c>
      <c r="F2638" s="215" t="n">
        <v>46261</v>
      </c>
    </row>
    <row r="2639">
      <c r="A2639" s="215" t="n">
        <v>46262</v>
      </c>
      <c r="B2639" s="216" t="n">
        <v>22.58</v>
      </c>
      <c r="C2639" s="216" t="n">
        <v>36.85</v>
      </c>
      <c r="D2639" s="216" t="n">
        <v>1.165799975395203</v>
      </c>
      <c r="E2639" s="215" t="n">
        <v>46262</v>
      </c>
      <c r="F2639" s="215" t="n">
        <v>46262</v>
      </c>
    </row>
    <row r="2640">
      <c r="A2640" s="215" t="n">
        <v>46265</v>
      </c>
      <c r="B2640" s="216" t="n">
        <v>23.1</v>
      </c>
      <c r="C2640" s="216" t="n">
        <v>37.35</v>
      </c>
      <c r="D2640" s="216" t="n">
        <v>1.165387988090515</v>
      </c>
      <c r="E2640" s="215" t="n">
        <v>46265</v>
      </c>
      <c r="F2640" s="215" t="n">
        <v>46265</v>
      </c>
    </row>
    <row r="2641">
      <c r="A2641" s="215" t="n">
        <v>46266</v>
      </c>
      <c r="B2641" s="216" t="n">
        <v>22.26</v>
      </c>
      <c r="C2641" s="216" t="n">
        <v>37.39</v>
      </c>
      <c r="D2641" s="216" t="n">
        <v>1.165223956108093</v>
      </c>
      <c r="E2641" s="215" t="n">
        <v>46266</v>
      </c>
      <c r="F2641" s="215" t="n">
        <v>46266</v>
      </c>
    </row>
    <row r="2642">
      <c r="A2642" s="215" t="n">
        <v>46267</v>
      </c>
      <c r="B2642" s="216" t="n">
        <v>21.6</v>
      </c>
      <c r="C2642" s="216" t="n">
        <v>37.15</v>
      </c>
      <c r="D2642" s="216" t="n">
        <v>1.166425943374634</v>
      </c>
      <c r="E2642" s="215" t="n">
        <v>46267</v>
      </c>
      <c r="F2642" s="215" t="n">
        <v>46267</v>
      </c>
    </row>
    <row r="2643">
      <c r="A2643" s="215" t="n">
        <v>46268</v>
      </c>
      <c r="B2643" s="216" t="n">
        <v>22.02</v>
      </c>
      <c r="C2643" s="216" t="n">
        <v>37.13</v>
      </c>
      <c r="D2643" s="216" t="n">
        <v>1.167057037353516</v>
      </c>
      <c r="E2643" s="215" t="n">
        <v>46268</v>
      </c>
      <c r="F2643" s="215" t="n">
        <v>46268</v>
      </c>
    </row>
    <row r="2644">
      <c r="A2644" s="215" t="n">
        <v>46269</v>
      </c>
      <c r="B2644" s="216" t="n">
        <v>22.8</v>
      </c>
      <c r="C2644" s="216" t="n">
        <v>37.31</v>
      </c>
      <c r="D2644" s="216" t="n">
        <v>1.166767954826355</v>
      </c>
      <c r="E2644" s="215" t="n">
        <v>46269</v>
      </c>
      <c r="F2644" s="215" t="n">
        <v>46269</v>
      </c>
    </row>
    <row r="2645">
      <c r="A2645" s="215" t="n">
        <v>46272</v>
      </c>
      <c r="B2645" s="216" t="n">
        <v>22.52</v>
      </c>
      <c r="C2645" s="216" t="n">
        <v>37.85</v>
      </c>
      <c r="D2645" s="216" t="n">
        <v>1.168081045150757</v>
      </c>
      <c r="E2645" s="215" t="n">
        <v>46272</v>
      </c>
      <c r="F2645" s="215" t="n">
        <v>46272</v>
      </c>
    </row>
    <row r="2646">
      <c r="A2646" s="215" t="n">
        <v>46273</v>
      </c>
      <c r="B2646" s="216" t="n">
        <v>21.92</v>
      </c>
      <c r="C2646" s="216" t="n">
        <v>37</v>
      </c>
      <c r="D2646" s="216" t="n">
        <v>1.168115019798279</v>
      </c>
      <c r="E2646" s="215" t="n">
        <v>46273</v>
      </c>
      <c r="F2646" s="215" t="n">
        <v>46273</v>
      </c>
    </row>
    <row r="2647">
      <c r="A2647" s="215" t="n">
        <v>46274</v>
      </c>
      <c r="B2647" s="216" t="n">
        <v>21.78</v>
      </c>
      <c r="C2647" s="216" t="n">
        <v>36.46</v>
      </c>
      <c r="D2647" s="216" t="n">
        <v>1.168408989906311</v>
      </c>
      <c r="E2647" s="215" t="n">
        <v>46274</v>
      </c>
      <c r="F2647" s="215" t="n">
        <v>46274</v>
      </c>
    </row>
    <row r="2648">
      <c r="A2648" s="215" t="n">
        <v>46275</v>
      </c>
      <c r="B2648" s="216" t="n">
        <v>21.28</v>
      </c>
      <c r="C2648" s="216" t="n">
        <v>35.81</v>
      </c>
      <c r="D2648" s="216" t="n">
        <v>1.168462991714478</v>
      </c>
      <c r="E2648" s="215" t="n">
        <v>46275</v>
      </c>
      <c r="F2648" s="215" t="n">
        <v>46275</v>
      </c>
    </row>
    <row r="2649">
      <c r="A2649" s="215" t="n">
        <v>46276</v>
      </c>
      <c r="B2649" s="216" t="n">
        <v>20.58</v>
      </c>
      <c r="C2649" s="216" t="n">
        <v>35.11</v>
      </c>
      <c r="D2649" s="216" t="n">
        <v>1.169165015220642</v>
      </c>
      <c r="E2649" s="215" t="n">
        <v>46276</v>
      </c>
      <c r="F2649" s="215" t="n">
        <v>46276</v>
      </c>
    </row>
    <row r="2650">
      <c r="A2650" s="215" t="n">
        <v>46279</v>
      </c>
      <c r="B2650" s="216" t="n">
        <v>20.36</v>
      </c>
      <c r="C2650" s="216" t="n">
        <v>34.97</v>
      </c>
      <c r="D2650" s="216" t="n">
        <v>1.16893994808197</v>
      </c>
      <c r="E2650" s="215" t="n">
        <v>46279</v>
      </c>
      <c r="F2650" s="215" t="n">
        <v>46279</v>
      </c>
    </row>
    <row r="2651">
      <c r="A2651" s="215" t="n">
        <v>46280</v>
      </c>
      <c r="B2651" s="216" t="n">
        <v>20.28</v>
      </c>
      <c r="C2651" s="216" t="n">
        <v>35.07</v>
      </c>
      <c r="D2651" s="216" t="n">
        <v>1.169121026992798</v>
      </c>
      <c r="E2651" s="215" t="n">
        <v>46280</v>
      </c>
      <c r="F2651" s="215" t="n">
        <v>46280</v>
      </c>
    </row>
    <row r="2652">
      <c r="A2652" s="215" t="n">
        <v>46281</v>
      </c>
      <c r="B2652" s="216" t="n">
        <v>20.54</v>
      </c>
      <c r="C2652" s="216" t="n">
        <v>35.44</v>
      </c>
      <c r="D2652" s="216" t="n">
        <v>1.168769955635071</v>
      </c>
      <c r="E2652" s="215" t="n">
        <v>46281</v>
      </c>
      <c r="F2652" s="215" t="n">
        <v>46281</v>
      </c>
    </row>
    <row r="2653">
      <c r="A2653" s="215" t="n">
        <v>46282</v>
      </c>
      <c r="B2653" s="216" t="n">
        <v>20.42</v>
      </c>
      <c r="C2653" s="216" t="n">
        <v>35.14</v>
      </c>
      <c r="D2653" s="216" t="n">
        <v>1.169389963150024</v>
      </c>
      <c r="E2653" s="215" t="n">
        <v>46282</v>
      </c>
      <c r="F2653" s="215" t="n">
        <v>46282</v>
      </c>
    </row>
    <row r="2654">
      <c r="A2654" s="215" t="n">
        <v>46283</v>
      </c>
      <c r="B2654" s="216" t="n">
        <v>20.76</v>
      </c>
      <c r="C2654" s="216" t="n">
        <v>35.47</v>
      </c>
      <c r="D2654" s="216" t="n">
        <v>1.16942298412323</v>
      </c>
      <c r="E2654" s="215" t="n">
        <v>46283</v>
      </c>
      <c r="F2654" s="215" t="n">
        <v>46283</v>
      </c>
    </row>
    <row r="2655">
      <c r="A2655" s="215" t="n">
        <v>46286</v>
      </c>
      <c r="B2655" s="216" t="n">
        <v>21.3</v>
      </c>
      <c r="C2655" s="216" t="n">
        <v>37.03</v>
      </c>
      <c r="D2655" s="216" t="n">
        <v>1.171280026435852</v>
      </c>
      <c r="E2655" s="215" t="n">
        <v>46286</v>
      </c>
      <c r="F2655" s="215" t="n">
        <v>46286</v>
      </c>
    </row>
    <row r="2656">
      <c r="A2656" s="215" t="n">
        <v>46287</v>
      </c>
      <c r="B2656" s="216" t="n">
        <v>21.84</v>
      </c>
      <c r="C2656" s="216" t="n">
        <v>39.3</v>
      </c>
      <c r="D2656" s="216" t="n">
        <v>1.171705007553101</v>
      </c>
      <c r="E2656" s="215" t="n">
        <v>46287</v>
      </c>
      <c r="F2656" s="215" t="n">
        <v>46287</v>
      </c>
    </row>
    <row r="2657">
      <c r="A2657" s="215" t="n">
        <v>46288</v>
      </c>
      <c r="B2657" s="216" t="n">
        <v>21.46</v>
      </c>
      <c r="C2657" s="216" t="n">
        <v>38.43</v>
      </c>
      <c r="D2657" s="216" t="n">
        <v>1.170611023902893</v>
      </c>
      <c r="E2657" s="215" t="n">
        <v>46288</v>
      </c>
      <c r="F2657" s="215" t="n">
        <v>46288</v>
      </c>
    </row>
    <row r="2658">
      <c r="A2658" s="215" t="n">
        <v>46289</v>
      </c>
      <c r="B2658" s="216" t="n">
        <v>21.32</v>
      </c>
      <c r="C2658" s="216" t="n">
        <v>37.33</v>
      </c>
      <c r="D2658" s="216" t="n">
        <v>1.16852605342865</v>
      </c>
      <c r="E2658" s="215" t="n">
        <v>46289</v>
      </c>
      <c r="F2658" s="215" t="n">
        <v>46289</v>
      </c>
    </row>
    <row r="2659">
      <c r="A2659" s="215" t="n">
        <v>46293</v>
      </c>
      <c r="B2659" s="216" t="n">
        <v>21.2</v>
      </c>
      <c r="C2659" s="216" t="n">
        <v>35.72</v>
      </c>
      <c r="D2659" s="216" t="n">
        <v>1.168378949165344</v>
      </c>
      <c r="E2659" s="215" t="n">
        <v>46293</v>
      </c>
      <c r="F2659" s="215" t="n">
        <v>46293</v>
      </c>
    </row>
    <row r="2660">
      <c r="A2660" s="215" t="n">
        <v>46294</v>
      </c>
      <c r="B2660" s="216" t="n">
        <v>21.2</v>
      </c>
      <c r="C2660" s="216" t="n">
        <v>35.42</v>
      </c>
      <c r="D2660" s="216" t="n">
        <v>1.168815970420837</v>
      </c>
      <c r="E2660" s="215" t="n">
        <v>46294</v>
      </c>
      <c r="F2660" s="215" t="n">
        <v>46294</v>
      </c>
    </row>
    <row r="2661">
      <c r="A2661" s="215" t="n">
        <v>46295</v>
      </c>
      <c r="B2661" s="216" t="n">
        <v>21.08</v>
      </c>
      <c r="C2661" s="216" t="n">
        <v>35.21</v>
      </c>
      <c r="D2661" s="216" t="n">
        <v>1.17059600353241</v>
      </c>
      <c r="E2661" s="215" t="n">
        <v>46295</v>
      </c>
      <c r="F2661" s="215" t="n">
        <v>46295</v>
      </c>
    </row>
    <row r="2662">
      <c r="A2662" s="215" t="n">
        <v>46297</v>
      </c>
      <c r="B2662" s="216" t="n">
        <v>20.16</v>
      </c>
      <c r="C2662" s="216" t="n">
        <v>35.21</v>
      </c>
      <c r="D2662" s="216" t="n">
        <v>1.170220971107483</v>
      </c>
      <c r="E2662" s="215" t="n">
        <v>46295</v>
      </c>
      <c r="F2662" s="215" t="n">
        <v>46297</v>
      </c>
    </row>
    <row r="2663">
      <c r="A2663" s="215" t="n">
        <v>46212</v>
      </c>
      <c r="B2663" s="216" t="n">
        <v>62.3</v>
      </c>
      <c r="C2663" s="216" t="n">
        <v>64.45999999999999</v>
      </c>
      <c r="D2663" s="216" t="n">
        <v>1.152119994163513</v>
      </c>
      <c r="E2663" s="215" t="n">
        <v>46212</v>
      </c>
      <c r="F2663" s="215" t="n">
        <v>46212</v>
      </c>
    </row>
    <row r="2664">
      <c r="A2664" s="215" t="n">
        <v>46213</v>
      </c>
      <c r="B2664" s="216" t="n">
        <v>63</v>
      </c>
      <c r="C2664" s="216" t="n">
        <v>62.14</v>
      </c>
      <c r="D2664" s="216" t="n">
        <v>1.153550028800964</v>
      </c>
      <c r="E2664" s="215" t="n">
        <v>46213</v>
      </c>
      <c r="F2664" s="215" t="n">
        <v>46213</v>
      </c>
    </row>
    <row r="2665">
      <c r="A2665" s="215" t="n">
        <v>46216</v>
      </c>
      <c r="B2665" s="216" t="n">
        <v>61.4</v>
      </c>
      <c r="C2665" s="216" t="n">
        <v>58.98</v>
      </c>
      <c r="D2665" s="216" t="n">
        <v>1.156761050224304</v>
      </c>
      <c r="E2665" s="215" t="n">
        <v>46216</v>
      </c>
      <c r="F2665" s="215" t="n">
        <v>46216</v>
      </c>
    </row>
    <row r="2666">
      <c r="A2666" s="215" t="n">
        <v>46217</v>
      </c>
      <c r="B2666" s="216" t="n">
        <v>63.2</v>
      </c>
      <c r="C2666" s="216" t="n">
        <v>61.67</v>
      </c>
      <c r="D2666" s="216" t="n">
        <v>1.155825972557068</v>
      </c>
      <c r="E2666" s="215" t="n">
        <v>46217</v>
      </c>
      <c r="F2666" s="215" t="n">
        <v>46217</v>
      </c>
    </row>
    <row r="2667">
      <c r="A2667" s="215" t="n">
        <v>46218</v>
      </c>
      <c r="B2667" s="216" t="n">
        <v>63</v>
      </c>
      <c r="C2667" s="216" t="n">
        <v>60.47</v>
      </c>
      <c r="D2667" s="216" t="n">
        <v>1.157556056976318</v>
      </c>
      <c r="E2667" s="215" t="n">
        <v>46218</v>
      </c>
      <c r="F2667" s="215" t="n">
        <v>46218</v>
      </c>
    </row>
    <row r="2668">
      <c r="A2668" s="215" t="n">
        <v>46219</v>
      </c>
      <c r="B2668" s="216" t="n">
        <v>60</v>
      </c>
      <c r="C2668" s="216" t="n">
        <v>61.58</v>
      </c>
      <c r="D2668" s="216" t="n">
        <v>1.157912969589233</v>
      </c>
      <c r="E2668" s="215" t="n">
        <v>46219</v>
      </c>
      <c r="F2668" s="215" t="n">
        <v>46219</v>
      </c>
    </row>
    <row r="2669">
      <c r="A2669" s="215" t="n">
        <v>46220</v>
      </c>
      <c r="B2669" s="216" t="n">
        <v>53.45</v>
      </c>
      <c r="C2669" s="216" t="n">
        <v>58.05</v>
      </c>
      <c r="D2669" s="216" t="n">
        <v>1.157472014427185</v>
      </c>
      <c r="E2669" s="215" t="n">
        <v>46220</v>
      </c>
      <c r="F2669" s="215" t="n">
        <v>46220</v>
      </c>
    </row>
    <row r="2670">
      <c r="A2670" s="215" t="n">
        <v>46223</v>
      </c>
      <c r="B2670" s="216" t="n">
        <v>52.2</v>
      </c>
      <c r="C2670" s="216" t="n">
        <v>56.8</v>
      </c>
      <c r="D2670" s="216" t="n">
        <v>1.157451033592224</v>
      </c>
      <c r="E2670" s="215" t="n">
        <v>46223</v>
      </c>
      <c r="F2670" s="215" t="n">
        <v>46223</v>
      </c>
    </row>
    <row r="2671">
      <c r="A2671" s="215" t="n">
        <v>46224</v>
      </c>
      <c r="B2671" s="216" t="n">
        <v>57.95</v>
      </c>
      <c r="C2671" s="216" t="n">
        <v>60.42</v>
      </c>
      <c r="D2671" s="216" t="n">
        <v>1.157506942749023</v>
      </c>
      <c r="E2671" s="215" t="n">
        <v>46224</v>
      </c>
      <c r="F2671" s="215" t="n">
        <v>46224</v>
      </c>
    </row>
    <row r="2672">
      <c r="A2672" s="215" t="n">
        <v>46225</v>
      </c>
      <c r="B2672" s="216" t="n">
        <v>56.5</v>
      </c>
      <c r="C2672" s="216" t="n">
        <v>59.16</v>
      </c>
      <c r="D2672" s="216" t="n">
        <v>1.158938050270081</v>
      </c>
      <c r="E2672" s="215" t="n">
        <v>46225</v>
      </c>
      <c r="F2672" s="215" t="n">
        <v>46225</v>
      </c>
    </row>
    <row r="2673">
      <c r="A2673" s="215" t="n">
        <v>46226</v>
      </c>
      <c r="B2673" s="216" t="n">
        <v>59.05</v>
      </c>
      <c r="C2673" s="216" t="n">
        <v>61.19</v>
      </c>
      <c r="D2673" s="216" t="n">
        <v>1.157410979270935</v>
      </c>
      <c r="E2673" s="215" t="n">
        <v>46226</v>
      </c>
      <c r="F2673" s="215" t="n">
        <v>46226</v>
      </c>
    </row>
    <row r="2674">
      <c r="A2674" s="215" t="n">
        <v>46227</v>
      </c>
      <c r="B2674" s="216" t="n">
        <v>62</v>
      </c>
      <c r="C2674" s="216" t="n">
        <v>60.59</v>
      </c>
      <c r="D2674" s="216" t="n">
        <v>1.15762197971344</v>
      </c>
      <c r="E2674" s="215" t="n">
        <v>46227</v>
      </c>
      <c r="F2674" s="215" t="n">
        <v>46227</v>
      </c>
    </row>
    <row r="2675">
      <c r="A2675" s="215" t="n">
        <v>46230</v>
      </c>
      <c r="B2675" s="216" t="n">
        <v>63.25</v>
      </c>
      <c r="C2675" s="216" t="n">
        <v>62.89</v>
      </c>
      <c r="D2675" s="216" t="n">
        <v>1.15789794921875</v>
      </c>
      <c r="E2675" s="215" t="n">
        <v>46230</v>
      </c>
      <c r="F2675" s="215" t="n">
        <v>46230</v>
      </c>
    </row>
    <row r="2676">
      <c r="A2676" s="215" t="n">
        <v>46231</v>
      </c>
      <c r="B2676" s="216" t="n">
        <v>57.2</v>
      </c>
      <c r="C2676" s="216" t="n">
        <v>60.1</v>
      </c>
      <c r="D2676" s="216" t="n">
        <v>1.158699035644531</v>
      </c>
      <c r="E2676" s="215" t="n">
        <v>46231</v>
      </c>
      <c r="F2676" s="215" t="n">
        <v>46231</v>
      </c>
    </row>
    <row r="2677">
      <c r="A2677" s="215" t="n">
        <v>46232</v>
      </c>
      <c r="B2677" s="216" t="n">
        <v>59.15</v>
      </c>
      <c r="C2677" s="216" t="n">
        <v>62.35</v>
      </c>
      <c r="D2677" s="216" t="n">
        <v>1.157909989356995</v>
      </c>
      <c r="E2677" s="215" t="n">
        <v>46232</v>
      </c>
      <c r="F2677" s="215" t="n">
        <v>46232</v>
      </c>
    </row>
    <row r="2678">
      <c r="A2678" s="215" t="n">
        <v>46233</v>
      </c>
      <c r="B2678" s="216" t="n">
        <v>58</v>
      </c>
      <c r="C2678" s="216" t="n">
        <v>58.35</v>
      </c>
      <c r="D2678" s="216" t="n">
        <v>1.158943057060242</v>
      </c>
      <c r="E2678" s="215" t="n">
        <v>46233</v>
      </c>
      <c r="F2678" s="215" t="n">
        <v>46233</v>
      </c>
    </row>
    <row r="2679">
      <c r="A2679" s="215" t="n">
        <v>46234</v>
      </c>
      <c r="B2679" s="216" t="n">
        <v>55.7</v>
      </c>
      <c r="C2679" s="216" t="n">
        <v>57.48</v>
      </c>
      <c r="D2679" s="216" t="n">
        <v>1.160945057868958</v>
      </c>
      <c r="E2679" s="215" t="n">
        <v>46234</v>
      </c>
      <c r="F2679" s="215" t="n">
        <v>46234</v>
      </c>
    </row>
    <row r="2680">
      <c r="A2680" s="215" t="n">
        <v>46237</v>
      </c>
      <c r="B2680" s="216" t="n">
        <v>54.5</v>
      </c>
      <c r="C2680" s="216" t="n">
        <v>53.71</v>
      </c>
      <c r="D2680" s="216" t="n">
        <v>1.161579966545105</v>
      </c>
      <c r="E2680" s="215" t="n">
        <v>46237</v>
      </c>
      <c r="F2680" s="215" t="n">
        <v>46237</v>
      </c>
    </row>
    <row r="2681">
      <c r="A2681" s="215" t="n">
        <v>46238</v>
      </c>
      <c r="B2681" s="216" t="n">
        <v>57.9</v>
      </c>
      <c r="C2681" s="216" t="n">
        <v>55.48</v>
      </c>
      <c r="D2681" s="216" t="n">
        <v>1.161064982414246</v>
      </c>
      <c r="E2681" s="215" t="n">
        <v>46238</v>
      </c>
      <c r="F2681" s="215" t="n">
        <v>46238</v>
      </c>
    </row>
    <row r="2682">
      <c r="A2682" s="215" t="n">
        <v>46239</v>
      </c>
      <c r="B2682" s="216" t="n">
        <v>58.55</v>
      </c>
      <c r="C2682" s="216" t="n">
        <v>55.87</v>
      </c>
      <c r="D2682" s="216" t="n">
        <v>1.161146998405457</v>
      </c>
      <c r="E2682" s="215" t="n">
        <v>46239</v>
      </c>
      <c r="F2682" s="215" t="n">
        <v>46239</v>
      </c>
    </row>
    <row r="2683">
      <c r="A2683" s="215" t="n">
        <v>46240</v>
      </c>
      <c r="B2683" s="216" t="n">
        <v>61</v>
      </c>
      <c r="C2683" s="216" t="n">
        <v>55.9</v>
      </c>
      <c r="D2683" s="216" t="n">
        <v>1.161936044692993</v>
      </c>
      <c r="E2683" s="215" t="n">
        <v>46240</v>
      </c>
      <c r="F2683" s="215" t="n">
        <v>46240</v>
      </c>
    </row>
    <row r="2684">
      <c r="A2684" s="215" t="n">
        <v>46241</v>
      </c>
      <c r="B2684" s="216" t="n">
        <v>63.35</v>
      </c>
      <c r="C2684" s="216" t="n">
        <v>56.99</v>
      </c>
      <c r="D2684" s="216" t="n">
        <v>1.162284016609192</v>
      </c>
      <c r="E2684" s="215" t="n">
        <v>46241</v>
      </c>
      <c r="F2684" s="215" t="n">
        <v>46241</v>
      </c>
    </row>
    <row r="2685">
      <c r="A2685" s="215" t="n">
        <v>46244</v>
      </c>
      <c r="B2685" s="216" t="n">
        <v>62.1</v>
      </c>
      <c r="C2685" s="216" t="n">
        <v>55.79</v>
      </c>
      <c r="D2685" s="216" t="n">
        <v>1.162629961967468</v>
      </c>
      <c r="E2685" s="215" t="n">
        <v>46244</v>
      </c>
      <c r="F2685" s="215" t="n">
        <v>46244</v>
      </c>
    </row>
    <row r="2686">
      <c r="A2686" s="215" t="n">
        <v>46245</v>
      </c>
      <c r="B2686" s="216" t="n">
        <v>61.6</v>
      </c>
      <c r="C2686" s="216" t="n">
        <v>55.63</v>
      </c>
      <c r="D2686" s="216" t="n">
        <v>1.162588000297546</v>
      </c>
      <c r="E2686" s="215" t="n">
        <v>46245</v>
      </c>
      <c r="F2686" s="215" t="n">
        <v>46245</v>
      </c>
    </row>
    <row r="2687">
      <c r="A2687" s="215" t="n">
        <v>46246</v>
      </c>
      <c r="B2687" s="216" t="n">
        <v>63.65</v>
      </c>
      <c r="C2687" s="216" t="n">
        <v>57.35</v>
      </c>
      <c r="D2687" s="216" t="n">
        <v>1.163135051727295</v>
      </c>
      <c r="E2687" s="215" t="n">
        <v>46246</v>
      </c>
      <c r="F2687" s="215" t="n">
        <v>46246</v>
      </c>
    </row>
    <row r="2688">
      <c r="A2688" s="215" t="n">
        <v>46247</v>
      </c>
      <c r="B2688" s="216" t="n">
        <v>60.5</v>
      </c>
      <c r="C2688" s="216" t="n">
        <v>56.06</v>
      </c>
      <c r="D2688" s="216" t="n">
        <v>1.163341045379639</v>
      </c>
      <c r="E2688" s="215" t="n">
        <v>46247</v>
      </c>
      <c r="F2688" s="215" t="n">
        <v>46247</v>
      </c>
    </row>
    <row r="2689">
      <c r="A2689" s="215" t="n">
        <v>46248</v>
      </c>
      <c r="B2689" s="216" t="n">
        <v>60.4</v>
      </c>
      <c r="C2689" s="216" t="n">
        <v>56.58</v>
      </c>
      <c r="D2689" s="216" t="n">
        <v>1.163571000099182</v>
      </c>
      <c r="E2689" s="215" t="n">
        <v>46248</v>
      </c>
      <c r="F2689" s="215" t="n">
        <v>46248</v>
      </c>
    </row>
    <row r="2690">
      <c r="A2690" s="215" t="n">
        <v>46251</v>
      </c>
      <c r="B2690" s="216" t="n">
        <v>63.4</v>
      </c>
      <c r="C2690" s="216" t="n">
        <v>58.84</v>
      </c>
      <c r="D2690" s="216" t="n">
        <v>1.163601994514465</v>
      </c>
      <c r="E2690" s="215" t="n">
        <v>46251</v>
      </c>
      <c r="F2690" s="215" t="n">
        <v>46251</v>
      </c>
    </row>
    <row r="2691">
      <c r="A2691" s="215" t="n">
        <v>46252</v>
      </c>
      <c r="B2691" s="216" t="n">
        <v>61.6</v>
      </c>
      <c r="C2691" s="216" t="n">
        <v>57.74</v>
      </c>
      <c r="D2691" s="216" t="n">
        <v>1.163733005523682</v>
      </c>
      <c r="E2691" s="215" t="n">
        <v>46252</v>
      </c>
      <c r="F2691" s="215" t="n">
        <v>46252</v>
      </c>
    </row>
    <row r="2692">
      <c r="A2692" s="215" t="n">
        <v>46253</v>
      </c>
      <c r="B2692" s="216" t="n">
        <v>59</v>
      </c>
      <c r="C2692" s="216" t="n">
        <v>53.5</v>
      </c>
      <c r="D2692" s="216" t="n">
        <v>1.163092017173767</v>
      </c>
      <c r="E2692" s="215" t="n">
        <v>46253</v>
      </c>
      <c r="F2692" s="215" t="n">
        <v>46253</v>
      </c>
    </row>
    <row r="2693">
      <c r="A2693" s="215" t="n">
        <v>46254</v>
      </c>
      <c r="B2693" s="216" t="n">
        <v>59.3</v>
      </c>
      <c r="C2693" s="216" t="n">
        <v>53.34</v>
      </c>
      <c r="D2693" s="216" t="n">
        <v>1.164932012557983</v>
      </c>
      <c r="E2693" s="215" t="n">
        <v>46254</v>
      </c>
      <c r="F2693" s="215" t="n">
        <v>46254</v>
      </c>
    </row>
    <row r="2694">
      <c r="A2694" s="215" t="n">
        <v>46255</v>
      </c>
      <c r="B2694" s="216" t="n">
        <v>61.1</v>
      </c>
      <c r="C2694" s="216" t="n">
        <v>54.65</v>
      </c>
      <c r="D2694" s="216" t="n">
        <v>1.166555047035217</v>
      </c>
      <c r="E2694" s="215" t="n">
        <v>46255</v>
      </c>
      <c r="F2694" s="215" t="n">
        <v>46255</v>
      </c>
    </row>
    <row r="2695">
      <c r="A2695" s="215" t="n">
        <v>46258</v>
      </c>
      <c r="B2695" s="216" t="n">
        <v>58.85</v>
      </c>
      <c r="C2695" s="216" t="n">
        <v>53.72</v>
      </c>
      <c r="D2695" s="216" t="n">
        <v>1.166316986083984</v>
      </c>
      <c r="E2695" s="215" t="n">
        <v>46258</v>
      </c>
      <c r="F2695" s="215" t="n">
        <v>46258</v>
      </c>
    </row>
    <row r="2696">
      <c r="A2696" s="215" t="n">
        <v>46259</v>
      </c>
      <c r="B2696" s="216" t="n">
        <v>59.4</v>
      </c>
      <c r="C2696" s="216" t="n">
        <v>54.86</v>
      </c>
      <c r="D2696" s="216" t="n">
        <v>1.165253043174744</v>
      </c>
      <c r="E2696" s="215" t="n">
        <v>46259</v>
      </c>
      <c r="F2696" s="215" t="n">
        <v>46259</v>
      </c>
    </row>
    <row r="2697">
      <c r="A2697" s="215" t="n">
        <v>46260</v>
      </c>
      <c r="B2697" s="216" t="n">
        <v>63.35</v>
      </c>
      <c r="C2697" s="216" t="n">
        <v>57.11</v>
      </c>
      <c r="D2697" s="216" t="n">
        <v>1.166218996047974</v>
      </c>
      <c r="E2697" s="215" t="n">
        <v>46260</v>
      </c>
      <c r="F2697" s="215" t="n">
        <v>46260</v>
      </c>
    </row>
    <row r="2698">
      <c r="A2698" s="215" t="n">
        <v>46261</v>
      </c>
      <c r="B2698" s="216" t="n">
        <v>64.05</v>
      </c>
      <c r="C2698" s="216" t="n">
        <v>57.18</v>
      </c>
      <c r="D2698" s="216" t="n">
        <v>1.165971040725708</v>
      </c>
      <c r="E2698" s="215" t="n">
        <v>46261</v>
      </c>
      <c r="F2698" s="215" t="n">
        <v>46261</v>
      </c>
    </row>
    <row r="2699">
      <c r="A2699" s="215" t="n">
        <v>46262</v>
      </c>
      <c r="B2699" s="216" t="n">
        <v>63.55</v>
      </c>
      <c r="C2699" s="216" t="n">
        <v>56.6</v>
      </c>
      <c r="D2699" s="216" t="n">
        <v>1.165799975395203</v>
      </c>
      <c r="E2699" s="215" t="n">
        <v>46262</v>
      </c>
      <c r="F2699" s="215" t="n">
        <v>46262</v>
      </c>
    </row>
    <row r="2700">
      <c r="A2700" s="215" t="n">
        <v>46265</v>
      </c>
      <c r="B2700" s="216" t="n">
        <v>63</v>
      </c>
      <c r="C2700" s="216" t="n">
        <v>57.62</v>
      </c>
      <c r="D2700" s="216" t="n">
        <v>1.165387988090515</v>
      </c>
      <c r="E2700" s="215" t="n">
        <v>46265</v>
      </c>
      <c r="F2700" s="215" t="n">
        <v>46265</v>
      </c>
    </row>
    <row r="2701">
      <c r="A2701" s="215" t="n">
        <v>46266</v>
      </c>
      <c r="B2701" s="216" t="n">
        <v>63.5</v>
      </c>
      <c r="C2701" s="216" t="n">
        <v>56.92</v>
      </c>
      <c r="D2701" s="216" t="n">
        <v>1.165223956108093</v>
      </c>
      <c r="E2701" s="215" t="n">
        <v>46266</v>
      </c>
      <c r="F2701" s="215" t="n">
        <v>46266</v>
      </c>
    </row>
    <row r="2702">
      <c r="A2702" s="215" t="n">
        <v>46267</v>
      </c>
      <c r="B2702" s="216" t="n">
        <v>63.6</v>
      </c>
      <c r="C2702" s="216" t="n">
        <v>57.08</v>
      </c>
      <c r="D2702" s="216" t="n">
        <v>1.166425943374634</v>
      </c>
      <c r="E2702" s="215" t="n">
        <v>46267</v>
      </c>
      <c r="F2702" s="215" t="n">
        <v>46267</v>
      </c>
    </row>
    <row r="2703">
      <c r="A2703" s="215" t="n">
        <v>46268</v>
      </c>
      <c r="B2703" s="216" t="n">
        <v>60.25</v>
      </c>
      <c r="C2703" s="216" t="n">
        <v>56.17</v>
      </c>
      <c r="D2703" s="216" t="n">
        <v>1.167057037353516</v>
      </c>
      <c r="E2703" s="215" t="n">
        <v>46268</v>
      </c>
      <c r="F2703" s="215" t="n">
        <v>46268</v>
      </c>
    </row>
    <row r="2704">
      <c r="A2704" s="215" t="n">
        <v>46269</v>
      </c>
      <c r="B2704" s="216" t="n">
        <v>59</v>
      </c>
      <c r="C2704" s="216" t="n">
        <v>54.3</v>
      </c>
      <c r="D2704" s="216" t="n">
        <v>1.166767954826355</v>
      </c>
      <c r="E2704" s="215" t="n">
        <v>46269</v>
      </c>
      <c r="F2704" s="215" t="n">
        <v>46269</v>
      </c>
    </row>
    <row r="2705">
      <c r="A2705" s="215" t="n">
        <v>46272</v>
      </c>
      <c r="B2705" s="216" t="n">
        <v>61.4</v>
      </c>
      <c r="C2705" s="216" t="n">
        <v>55.93</v>
      </c>
      <c r="D2705" s="216" t="n">
        <v>1.168081045150757</v>
      </c>
      <c r="E2705" s="215" t="n">
        <v>46272</v>
      </c>
      <c r="F2705" s="215" t="n">
        <v>46272</v>
      </c>
    </row>
    <row r="2706">
      <c r="A2706" s="215" t="n">
        <v>46273</v>
      </c>
      <c r="B2706" s="216" t="n">
        <v>59.8</v>
      </c>
      <c r="C2706" s="216" t="n">
        <v>55.06</v>
      </c>
      <c r="D2706" s="216" t="n">
        <v>1.168115019798279</v>
      </c>
      <c r="E2706" s="215" t="n">
        <v>46273</v>
      </c>
      <c r="F2706" s="215" t="n">
        <v>46273</v>
      </c>
    </row>
    <row r="2707">
      <c r="A2707" s="215" t="n">
        <v>46274</v>
      </c>
      <c r="B2707" s="216" t="n">
        <v>61.9</v>
      </c>
      <c r="C2707" s="216" t="n">
        <v>55.86</v>
      </c>
      <c r="D2707" s="216" t="n">
        <v>1.168408989906311</v>
      </c>
      <c r="E2707" s="215" t="n">
        <v>46274</v>
      </c>
      <c r="F2707" s="215" t="n">
        <v>46274</v>
      </c>
    </row>
    <row r="2708">
      <c r="A2708" s="215" t="n">
        <v>46275</v>
      </c>
      <c r="B2708" s="216" t="n">
        <v>58.2</v>
      </c>
      <c r="C2708" s="216" t="n">
        <v>54.45</v>
      </c>
      <c r="D2708" s="216" t="n">
        <v>1.168462991714478</v>
      </c>
      <c r="E2708" s="215" t="n">
        <v>46275</v>
      </c>
      <c r="F2708" s="215" t="n">
        <v>46275</v>
      </c>
    </row>
    <row r="2709">
      <c r="A2709" s="215" t="n">
        <v>46276</v>
      </c>
      <c r="B2709" s="216" t="n">
        <v>59</v>
      </c>
      <c r="C2709" s="216" t="n">
        <v>55.39</v>
      </c>
      <c r="D2709" s="216" t="n">
        <v>1.169165015220642</v>
      </c>
      <c r="E2709" s="215" t="n">
        <v>46276</v>
      </c>
      <c r="F2709" s="215" t="n">
        <v>46276</v>
      </c>
    </row>
    <row r="2710">
      <c r="A2710" s="215" t="n">
        <v>46279</v>
      </c>
      <c r="B2710" s="216" t="n">
        <v>57</v>
      </c>
      <c r="C2710" s="216" t="n">
        <v>52.78</v>
      </c>
      <c r="D2710" s="216" t="n">
        <v>1.16893994808197</v>
      </c>
      <c r="E2710" s="215" t="n">
        <v>46279</v>
      </c>
      <c r="F2710" s="215" t="n">
        <v>46279</v>
      </c>
    </row>
    <row r="2711">
      <c r="A2711" s="215" t="n">
        <v>46280</v>
      </c>
      <c r="B2711" s="216" t="n">
        <v>56.35</v>
      </c>
      <c r="C2711" s="216" t="n">
        <v>51.63</v>
      </c>
      <c r="D2711" s="216" t="n">
        <v>1.169121026992798</v>
      </c>
      <c r="E2711" s="215" t="n">
        <v>46280</v>
      </c>
      <c r="F2711" s="215" t="n">
        <v>46280</v>
      </c>
    </row>
    <row r="2712">
      <c r="A2712" s="215" t="n">
        <v>46281</v>
      </c>
      <c r="B2712" s="216" t="n">
        <v>58.5</v>
      </c>
      <c r="C2712" s="216" t="n">
        <v>52.89</v>
      </c>
      <c r="D2712" s="216" t="n">
        <v>1.168769955635071</v>
      </c>
      <c r="E2712" s="215" t="n">
        <v>46281</v>
      </c>
      <c r="F2712" s="215" t="n">
        <v>46281</v>
      </c>
    </row>
    <row r="2713">
      <c r="A2713" s="215" t="n">
        <v>46282</v>
      </c>
      <c r="B2713" s="216" t="n">
        <v>56.7</v>
      </c>
      <c r="C2713" s="216" t="n">
        <v>52.13</v>
      </c>
      <c r="D2713" s="216" t="n">
        <v>1.169389963150024</v>
      </c>
      <c r="E2713" s="215" t="n">
        <v>46282</v>
      </c>
      <c r="F2713" s="215" t="n">
        <v>46282</v>
      </c>
    </row>
    <row r="2714">
      <c r="A2714" s="215" t="n">
        <v>46283</v>
      </c>
      <c r="B2714" s="216" t="n">
        <v>58.8</v>
      </c>
      <c r="C2714" s="216" t="n">
        <v>54.1</v>
      </c>
      <c r="D2714" s="216" t="n">
        <v>1.16942298412323</v>
      </c>
      <c r="E2714" s="215" t="n">
        <v>46283</v>
      </c>
      <c r="F2714" s="215" t="n">
        <v>46283</v>
      </c>
    </row>
    <row r="2715">
      <c r="A2715" s="215" t="n">
        <v>46286</v>
      </c>
      <c r="B2715" s="216" t="n">
        <v>59</v>
      </c>
      <c r="C2715" s="216" t="n">
        <v>54.44</v>
      </c>
      <c r="D2715" s="216" t="n">
        <v>1.171280026435852</v>
      </c>
      <c r="E2715" s="215" t="n">
        <v>46286</v>
      </c>
      <c r="F2715" s="215" t="n">
        <v>46286</v>
      </c>
    </row>
    <row r="2716">
      <c r="A2716" s="215" t="n">
        <v>46287</v>
      </c>
      <c r="B2716" s="216" t="n">
        <v>60.25</v>
      </c>
      <c r="C2716" s="216" t="n">
        <v>54.84</v>
      </c>
      <c r="D2716" s="216" t="n">
        <v>1.171705007553101</v>
      </c>
      <c r="E2716" s="215" t="n">
        <v>46287</v>
      </c>
      <c r="F2716" s="215" t="n">
        <v>46287</v>
      </c>
    </row>
    <row r="2717">
      <c r="A2717" s="215" t="n">
        <v>46288</v>
      </c>
      <c r="B2717" s="216" t="n">
        <v>59.25</v>
      </c>
      <c r="C2717" s="216" t="n">
        <v>54.37</v>
      </c>
      <c r="D2717" s="216" t="n">
        <v>1.170611023902893</v>
      </c>
      <c r="E2717" s="215" t="n">
        <v>46288</v>
      </c>
      <c r="F2717" s="215" t="n">
        <v>46288</v>
      </c>
    </row>
    <row r="2718">
      <c r="A2718" s="215" t="n">
        <v>46289</v>
      </c>
      <c r="B2718" s="216" t="n">
        <v>56.75</v>
      </c>
      <c r="C2718" s="216" t="n">
        <v>52</v>
      </c>
      <c r="D2718" s="216" t="n">
        <v>1.16852605342865</v>
      </c>
      <c r="E2718" s="215" t="n">
        <v>46289</v>
      </c>
      <c r="F2718" s="215" t="n">
        <v>46289</v>
      </c>
    </row>
    <row r="2719">
      <c r="A2719" s="215" t="n">
        <v>46290</v>
      </c>
      <c r="B2719" s="216" t="n">
        <v>56.05</v>
      </c>
      <c r="C2719" s="216" t="n">
        <v>52</v>
      </c>
      <c r="D2719" s="216" t="n">
        <v>1.168424010276794</v>
      </c>
      <c r="E2719" s="215" t="n">
        <v>46289</v>
      </c>
      <c r="F2719" s="215" t="n">
        <v>46290</v>
      </c>
    </row>
    <row r="2720">
      <c r="A2720" s="215" t="n">
        <v>46293</v>
      </c>
      <c r="B2720" s="216" t="n">
        <v>52.55</v>
      </c>
      <c r="C2720" s="216" t="n">
        <v>49.92</v>
      </c>
      <c r="D2720" s="216" t="n">
        <v>1.168378949165344</v>
      </c>
      <c r="E2720" s="215" t="n">
        <v>46293</v>
      </c>
      <c r="F2720" s="215" t="n">
        <v>46293</v>
      </c>
    </row>
    <row r="2721">
      <c r="A2721" s="215" t="n">
        <v>46294</v>
      </c>
      <c r="B2721" s="216" t="n">
        <v>54.15</v>
      </c>
      <c r="C2721" s="216" t="n">
        <v>50.4</v>
      </c>
      <c r="D2721" s="216" t="n">
        <v>1.168815970420837</v>
      </c>
      <c r="E2721" s="215" t="n">
        <v>46294</v>
      </c>
      <c r="F2721" s="215" t="n">
        <v>46294</v>
      </c>
    </row>
    <row r="2722">
      <c r="A2722" s="215" t="n">
        <v>46295</v>
      </c>
      <c r="B2722" s="216" t="n">
        <v>53.55</v>
      </c>
      <c r="C2722" s="216" t="n">
        <v>49.43</v>
      </c>
      <c r="D2722" s="216" t="n">
        <v>1.17059600353241</v>
      </c>
      <c r="E2722" s="215" t="n">
        <v>46295</v>
      </c>
      <c r="F2722" s="215" t="n">
        <v>46295</v>
      </c>
    </row>
    <row r="2723">
      <c r="A2723" s="215" t="n">
        <v>46297</v>
      </c>
      <c r="B2723" s="216" t="n">
        <v>52.95</v>
      </c>
      <c r="C2723" s="216" t="n">
        <v>49.43</v>
      </c>
      <c r="D2723" s="216" t="n">
        <v>1.170220971107483</v>
      </c>
      <c r="E2723" s="215" t="n">
        <v>46295</v>
      </c>
      <c r="F2723" s="215" t="n">
        <v>46297</v>
      </c>
    </row>
    <row r="2724">
      <c r="A2724" s="215" t="n">
        <v>46091</v>
      </c>
      <c r="B2724" s="216" t="n">
        <v>29.3</v>
      </c>
      <c r="C2724" s="216" t="n">
        <v>49.14</v>
      </c>
      <c r="D2724" s="216" t="n">
        <v>1.131595015525818</v>
      </c>
      <c r="E2724" s="215" t="n">
        <v>46091</v>
      </c>
      <c r="F2724" s="215" t="n">
        <v>46091</v>
      </c>
    </row>
    <row r="2725">
      <c r="A2725" s="215" t="n">
        <v>46092</v>
      </c>
      <c r="B2725" s="216" t="n">
        <v>29.58</v>
      </c>
      <c r="C2725" s="216" t="n">
        <v>48.26</v>
      </c>
      <c r="D2725" s="216" t="n">
        <v>1.137585043907166</v>
      </c>
      <c r="E2725" s="215" t="n">
        <v>46092</v>
      </c>
      <c r="F2725" s="215" t="n">
        <v>46092</v>
      </c>
    </row>
    <row r="2726">
      <c r="A2726" s="215" t="n">
        <v>46093</v>
      </c>
      <c r="B2726" s="216" t="n">
        <v>28.26</v>
      </c>
      <c r="C2726" s="216" t="n">
        <v>46.26</v>
      </c>
      <c r="D2726" s="216" t="n">
        <v>1.139600038528442</v>
      </c>
      <c r="E2726" s="215" t="n">
        <v>46093</v>
      </c>
      <c r="F2726" s="215" t="n">
        <v>46093</v>
      </c>
    </row>
    <row r="2727">
      <c r="A2727" s="215" t="n">
        <v>46094</v>
      </c>
      <c r="B2727" s="216" t="n">
        <v>26.22</v>
      </c>
      <c r="C2727" s="216" t="n">
        <v>44.78</v>
      </c>
      <c r="D2727" s="216" t="n">
        <v>1.139310002326965</v>
      </c>
      <c r="E2727" s="215" t="n">
        <v>46094</v>
      </c>
      <c r="F2727" s="215" t="n">
        <v>46094</v>
      </c>
    </row>
    <row r="2728">
      <c r="A2728" s="215" t="n">
        <v>46097</v>
      </c>
      <c r="B2728" s="216" t="n">
        <v>27</v>
      </c>
      <c r="C2728" s="216" t="n">
        <v>45.23</v>
      </c>
      <c r="D2728" s="216" t="n">
        <v>1.134883999824524</v>
      </c>
      <c r="E2728" s="215" t="n">
        <v>46097</v>
      </c>
      <c r="F2728" s="215" t="n">
        <v>46097</v>
      </c>
    </row>
    <row r="2729">
      <c r="A2729" s="215" t="n">
        <v>46098</v>
      </c>
      <c r="B2729" s="216" t="n">
        <v>25.96</v>
      </c>
      <c r="C2729" s="216" t="n">
        <v>43.4</v>
      </c>
      <c r="D2729" s="216" t="n">
        <v>1.125375986099243</v>
      </c>
      <c r="E2729" s="215" t="n">
        <v>46098</v>
      </c>
      <c r="F2729" s="215" t="n">
        <v>46098</v>
      </c>
    </row>
    <row r="2730">
      <c r="A2730" s="215" t="n">
        <v>46099</v>
      </c>
      <c r="B2730" s="216" t="n">
        <v>26.72</v>
      </c>
      <c r="C2730" s="216" t="n">
        <v>43.99</v>
      </c>
      <c r="D2730" s="216" t="n">
        <v>1.137819051742554</v>
      </c>
      <c r="E2730" s="215" t="n">
        <v>46099</v>
      </c>
      <c r="F2730" s="215" t="n">
        <v>46099</v>
      </c>
    </row>
    <row r="2731">
      <c r="A2731" s="215" t="n">
        <v>46100</v>
      </c>
      <c r="B2731" s="216" t="n">
        <v>24.86</v>
      </c>
      <c r="C2731" s="216" t="n">
        <v>42.39</v>
      </c>
      <c r="D2731" s="216" t="n">
        <v>1.140079021453857</v>
      </c>
      <c r="E2731" s="215" t="n">
        <v>46100</v>
      </c>
      <c r="F2731" s="215" t="n">
        <v>46100</v>
      </c>
    </row>
    <row r="2732">
      <c r="A2732" s="215" t="n">
        <v>46101</v>
      </c>
      <c r="B2732" s="216" t="n">
        <v>24.22</v>
      </c>
      <c r="C2732" s="216" t="n">
        <v>41.24</v>
      </c>
      <c r="D2732" s="216" t="n">
        <v>1.13490903377533</v>
      </c>
      <c r="E2732" s="215" t="n">
        <v>46101</v>
      </c>
      <c r="F2732" s="215" t="n">
        <v>46101</v>
      </c>
    </row>
    <row r="2733">
      <c r="A2733" s="215" t="n">
        <v>46104</v>
      </c>
      <c r="B2733" s="216" t="n">
        <v>22.6</v>
      </c>
      <c r="C2733" s="216" t="n">
        <v>38.03</v>
      </c>
      <c r="D2733" s="216" t="n">
        <v>1.137529969215393</v>
      </c>
      <c r="E2733" s="215" t="n">
        <v>46104</v>
      </c>
      <c r="F2733" s="215" t="n">
        <v>46104</v>
      </c>
    </row>
    <row r="2734">
      <c r="A2734" s="215" t="n">
        <v>46105</v>
      </c>
      <c r="B2734" s="216" t="n">
        <v>24.38</v>
      </c>
      <c r="C2734" s="216" t="n">
        <v>38.78</v>
      </c>
      <c r="D2734" s="216" t="n">
        <v>1.138481974601746</v>
      </c>
      <c r="E2734" s="215" t="n">
        <v>46105</v>
      </c>
      <c r="F2734" s="215" t="n">
        <v>46105</v>
      </c>
    </row>
    <row r="2735">
      <c r="A2735" s="215" t="n">
        <v>46106</v>
      </c>
      <c r="B2735" s="216" t="n">
        <v>24.52</v>
      </c>
      <c r="C2735" s="216" t="n">
        <v>39.26</v>
      </c>
      <c r="D2735" s="216" t="n">
        <v>1.135548949241638</v>
      </c>
      <c r="E2735" s="215" t="n">
        <v>46106</v>
      </c>
      <c r="F2735" s="215" t="n">
        <v>46106</v>
      </c>
    </row>
    <row r="2736">
      <c r="A2736" s="215" t="n">
        <v>46107</v>
      </c>
      <c r="B2736" s="216" t="n">
        <v>23.94</v>
      </c>
      <c r="C2736" s="216" t="n">
        <v>37.93</v>
      </c>
      <c r="D2736" s="216" t="n">
        <v>1.132627010345459</v>
      </c>
      <c r="E2736" s="215" t="n">
        <v>46107</v>
      </c>
      <c r="F2736" s="215" t="n">
        <v>46107</v>
      </c>
    </row>
    <row r="2737">
      <c r="A2737" s="215" t="n">
        <v>46108</v>
      </c>
      <c r="B2737" s="216" t="n">
        <v>23.1</v>
      </c>
      <c r="C2737" s="216" t="n">
        <v>38.31</v>
      </c>
      <c r="D2737" s="216" t="n">
        <v>1.132115960121155</v>
      </c>
      <c r="E2737" s="215" t="n">
        <v>46108</v>
      </c>
      <c r="F2737" s="215" t="n">
        <v>46108</v>
      </c>
    </row>
    <row r="2738">
      <c r="A2738" s="215" t="n">
        <v>46111</v>
      </c>
      <c r="B2738" s="216" t="n">
        <v>22.54</v>
      </c>
      <c r="C2738" s="216" t="n">
        <v>38.09</v>
      </c>
      <c r="D2738" s="216" t="n">
        <v>1.13311505317688</v>
      </c>
      <c r="E2738" s="215" t="n">
        <v>46111</v>
      </c>
      <c r="F2738" s="215" t="n">
        <v>46111</v>
      </c>
    </row>
    <row r="2739">
      <c r="A2739" s="215" t="n">
        <v>46112</v>
      </c>
      <c r="B2739" s="216" t="n">
        <v>22.3</v>
      </c>
      <c r="C2739" s="216" t="n">
        <v>38.24</v>
      </c>
      <c r="D2739" s="216" t="n">
        <v>1.133540987968445</v>
      </c>
      <c r="E2739" s="215" t="n">
        <v>46112</v>
      </c>
      <c r="F2739" s="215" t="n">
        <v>46112</v>
      </c>
    </row>
    <row r="2740">
      <c r="A2740" s="215" t="n">
        <v>46113</v>
      </c>
      <c r="B2740" s="216" t="n">
        <v>22.16</v>
      </c>
      <c r="C2740" s="216" t="n">
        <v>38.58</v>
      </c>
      <c r="D2740" s="216" t="n">
        <v>1.136669993400574</v>
      </c>
      <c r="E2740" s="215" t="n">
        <v>46113</v>
      </c>
      <c r="F2740" s="215" t="n">
        <v>46113</v>
      </c>
    </row>
    <row r="2741">
      <c r="A2741" s="215" t="n">
        <v>46114</v>
      </c>
      <c r="B2741" s="216" t="n">
        <v>21.92</v>
      </c>
      <c r="C2741" s="216" t="n">
        <v>36.78</v>
      </c>
      <c r="D2741" s="216" t="n">
        <v>1.140197992324829</v>
      </c>
      <c r="E2741" s="215" t="n">
        <v>46114</v>
      </c>
      <c r="F2741" s="215" t="n">
        <v>46114</v>
      </c>
    </row>
    <row r="2742">
      <c r="A2742" s="215" t="n">
        <v>46120</v>
      </c>
      <c r="B2742" s="216" t="n">
        <v>22.76</v>
      </c>
      <c r="C2742" s="216" t="n">
        <v>38.4</v>
      </c>
      <c r="D2742" s="216" t="n">
        <v>1.1423499584198</v>
      </c>
      <c r="E2742" s="215" t="n">
        <v>46120</v>
      </c>
      <c r="F2742" s="215" t="n">
        <v>46120</v>
      </c>
    </row>
    <row r="2743">
      <c r="A2743" s="215" t="n">
        <v>46121</v>
      </c>
      <c r="B2743" s="216" t="n">
        <v>21.8</v>
      </c>
      <c r="C2743" s="216" t="n">
        <v>37.79</v>
      </c>
      <c r="D2743" s="216" t="n">
        <v>1.146731972694397</v>
      </c>
      <c r="E2743" s="215" t="n">
        <v>46121</v>
      </c>
      <c r="F2743" s="215" t="n">
        <v>46121</v>
      </c>
    </row>
    <row r="2744">
      <c r="A2744" s="215" t="n">
        <v>46122</v>
      </c>
      <c r="B2744" s="216" t="n">
        <v>22.16</v>
      </c>
      <c r="C2744" s="216" t="n">
        <v>38.54</v>
      </c>
      <c r="D2744" s="216" t="n">
        <v>1.146558046340942</v>
      </c>
      <c r="E2744" s="215" t="n">
        <v>46122</v>
      </c>
      <c r="F2744" s="215" t="n">
        <v>46122</v>
      </c>
    </row>
    <row r="2745">
      <c r="A2745" s="215" t="n">
        <v>46125</v>
      </c>
      <c r="B2745" s="216" t="n">
        <v>23.08</v>
      </c>
      <c r="C2745" s="216" t="n">
        <v>38.5</v>
      </c>
      <c r="D2745" s="216" t="n">
        <v>1.147117972373962</v>
      </c>
      <c r="E2745" s="215" t="n">
        <v>46125</v>
      </c>
      <c r="F2745" s="215" t="n">
        <v>46125</v>
      </c>
    </row>
    <row r="2746">
      <c r="A2746" s="215" t="n">
        <v>46126</v>
      </c>
      <c r="B2746" s="216" t="n">
        <v>23.1</v>
      </c>
      <c r="C2746" s="216" t="n">
        <v>38.93</v>
      </c>
      <c r="D2746" s="216" t="n">
        <v>1.146226048469543</v>
      </c>
      <c r="E2746" s="215" t="n">
        <v>46126</v>
      </c>
      <c r="F2746" s="215" t="n">
        <v>46126</v>
      </c>
    </row>
    <row r="2747">
      <c r="A2747" s="215" t="n">
        <v>46127</v>
      </c>
      <c r="B2747" s="216" t="n">
        <v>22.64</v>
      </c>
      <c r="C2747" s="216" t="n">
        <v>38.66</v>
      </c>
      <c r="D2747" s="216" t="n">
        <v>1.149266004562378</v>
      </c>
      <c r="E2747" s="215" t="n">
        <v>46127</v>
      </c>
      <c r="F2747" s="215" t="n">
        <v>46127</v>
      </c>
    </row>
    <row r="2748">
      <c r="A2748" s="215" t="n">
        <v>46128</v>
      </c>
      <c r="B2748" s="216" t="n">
        <v>25.3</v>
      </c>
      <c r="C2748" s="216" t="n">
        <v>40.15</v>
      </c>
      <c r="D2748" s="216" t="n">
        <v>1.148550033569336</v>
      </c>
      <c r="E2748" s="215" t="n">
        <v>46128</v>
      </c>
      <c r="F2748" s="215" t="n">
        <v>46128</v>
      </c>
    </row>
    <row r="2749">
      <c r="A2749" s="215" t="n">
        <v>46129</v>
      </c>
      <c r="B2749" s="216" t="n">
        <v>24.92</v>
      </c>
      <c r="C2749" s="216" t="n">
        <v>40</v>
      </c>
      <c r="D2749" s="216" t="n">
        <v>1.146605014801025</v>
      </c>
      <c r="E2749" s="215" t="n">
        <v>46129</v>
      </c>
      <c r="F2749" s="215" t="n">
        <v>46129</v>
      </c>
    </row>
    <row r="2750">
      <c r="A2750" s="215" t="n">
        <v>46132</v>
      </c>
      <c r="B2750" s="216" t="n">
        <v>25.82</v>
      </c>
      <c r="C2750" s="216" t="n">
        <v>40.15</v>
      </c>
      <c r="D2750" s="216" t="n">
        <v>1.148360967636108</v>
      </c>
      <c r="E2750" s="215" t="n">
        <v>46132</v>
      </c>
      <c r="F2750" s="215" t="n">
        <v>46132</v>
      </c>
    </row>
    <row r="2751">
      <c r="A2751" s="215" t="n">
        <v>46133</v>
      </c>
      <c r="B2751" s="216" t="n">
        <v>24.42</v>
      </c>
      <c r="C2751" s="216" t="n">
        <v>39.43</v>
      </c>
      <c r="D2751" s="216" t="n">
        <v>1.148368000984192</v>
      </c>
      <c r="E2751" s="215" t="n">
        <v>46133</v>
      </c>
      <c r="F2751" s="215" t="n">
        <v>46133</v>
      </c>
    </row>
    <row r="2752">
      <c r="A2752" s="215" t="n">
        <v>46134</v>
      </c>
      <c r="B2752" s="216" t="n">
        <v>23.76</v>
      </c>
      <c r="C2752" s="216" t="n">
        <v>39.74</v>
      </c>
      <c r="D2752" s="216" t="n">
        <v>1.147838950157166</v>
      </c>
      <c r="E2752" s="215" t="n">
        <v>46134</v>
      </c>
      <c r="F2752" s="215" t="n">
        <v>46134</v>
      </c>
    </row>
    <row r="2753">
      <c r="A2753" s="215" t="n">
        <v>46135</v>
      </c>
      <c r="B2753" s="216" t="n">
        <v>23.26</v>
      </c>
      <c r="C2753" s="216" t="n">
        <v>39.18</v>
      </c>
      <c r="D2753" s="216" t="n">
        <v>1.147513031959534</v>
      </c>
      <c r="E2753" s="215" t="n">
        <v>46135</v>
      </c>
      <c r="F2753" s="215" t="n">
        <v>46135</v>
      </c>
    </row>
    <row r="2754">
      <c r="A2754" s="215" t="n">
        <v>46136</v>
      </c>
      <c r="B2754" s="216" t="n">
        <v>23.3</v>
      </c>
      <c r="C2754" s="216" t="n">
        <v>39.5</v>
      </c>
      <c r="D2754" s="216" t="n">
        <v>1.147369027137756</v>
      </c>
      <c r="E2754" s="215" t="n">
        <v>46136</v>
      </c>
      <c r="F2754" s="215" t="n">
        <v>46136</v>
      </c>
    </row>
    <row r="2755">
      <c r="A2755" s="215" t="n">
        <v>46139</v>
      </c>
      <c r="B2755" s="216" t="n">
        <v>24.02</v>
      </c>
      <c r="C2755" s="216" t="n">
        <v>39.39</v>
      </c>
      <c r="D2755" s="216" t="n">
        <v>1.146002054214478</v>
      </c>
      <c r="E2755" s="215" t="n">
        <v>46139</v>
      </c>
      <c r="F2755" s="215" t="n">
        <v>46139</v>
      </c>
    </row>
    <row r="2756">
      <c r="A2756" s="215" t="n">
        <v>46140</v>
      </c>
      <c r="B2756" s="216" t="n">
        <v>22.54</v>
      </c>
      <c r="C2756" s="216" t="n">
        <v>38.2</v>
      </c>
      <c r="D2756" s="216" t="n">
        <v>1.148522019386292</v>
      </c>
      <c r="E2756" s="215" t="n">
        <v>46140</v>
      </c>
      <c r="F2756" s="215" t="n">
        <v>46140</v>
      </c>
    </row>
    <row r="2757">
      <c r="A2757" s="215" t="n">
        <v>46141</v>
      </c>
      <c r="B2757" s="216" t="n">
        <v>22.82</v>
      </c>
      <c r="C2757" s="216" t="n">
        <v>38.82</v>
      </c>
      <c r="D2757" s="216" t="n">
        <v>1.145936012268066</v>
      </c>
      <c r="E2757" s="215" t="n">
        <v>46141</v>
      </c>
      <c r="F2757" s="215" t="n">
        <v>46141</v>
      </c>
    </row>
    <row r="2758">
      <c r="A2758" s="215" t="n">
        <v>46142</v>
      </c>
      <c r="B2758" s="216" t="n">
        <v>22.86</v>
      </c>
      <c r="C2758" s="216" t="n">
        <v>39.07</v>
      </c>
      <c r="D2758" s="216" t="n">
        <v>1.145792007446289</v>
      </c>
      <c r="E2758" s="215" t="n">
        <v>46142</v>
      </c>
      <c r="F2758" s="215" t="n">
        <v>46142</v>
      </c>
    </row>
    <row r="2759">
      <c r="A2759" s="215" t="n">
        <v>46146</v>
      </c>
      <c r="B2759" s="216" t="n">
        <v>22.1</v>
      </c>
      <c r="C2759" s="216" t="n">
        <v>39.07</v>
      </c>
      <c r="D2759" s="216" t="n">
        <v>1.147340059280396</v>
      </c>
      <c r="E2759" s="215" t="n">
        <v>46142</v>
      </c>
      <c r="F2759" s="215" t="n">
        <v>46146</v>
      </c>
    </row>
    <row r="2760">
      <c r="A2760" s="215" t="n">
        <v>46147</v>
      </c>
      <c r="B2760" s="216" t="n">
        <v>21.62</v>
      </c>
      <c r="C2760" s="216" t="n">
        <v>39.07</v>
      </c>
      <c r="D2760" s="216" t="n">
        <v>1.146813988685608</v>
      </c>
      <c r="E2760" s="215" t="n">
        <v>46142</v>
      </c>
      <c r="F2760" s="215" t="n">
        <v>46147</v>
      </c>
    </row>
    <row r="2761">
      <c r="A2761" s="215" t="n">
        <v>46148</v>
      </c>
      <c r="B2761" s="216" t="n">
        <v>22.4</v>
      </c>
      <c r="C2761" s="216" t="n">
        <v>39.81</v>
      </c>
      <c r="D2761" s="216" t="n">
        <v>1.14708399772644</v>
      </c>
      <c r="E2761" s="215" t="n">
        <v>46148</v>
      </c>
      <c r="F2761" s="215" t="n">
        <v>46148</v>
      </c>
    </row>
    <row r="2762">
      <c r="A2762" s="215" t="n">
        <v>46149</v>
      </c>
      <c r="B2762" s="216" t="n">
        <v>23.16</v>
      </c>
      <c r="C2762" s="216" t="n">
        <v>40.72</v>
      </c>
      <c r="D2762" s="216" t="n">
        <v>1.150125026702881</v>
      </c>
      <c r="E2762" s="215" t="n">
        <v>46149</v>
      </c>
      <c r="F2762" s="215" t="n">
        <v>46149</v>
      </c>
    </row>
    <row r="2763">
      <c r="A2763" s="215" t="n">
        <v>46150</v>
      </c>
      <c r="B2763" s="216" t="n">
        <v>23.48</v>
      </c>
      <c r="C2763" s="216" t="n">
        <v>41.31</v>
      </c>
      <c r="D2763" s="216" t="n">
        <v>1.15172004699707</v>
      </c>
      <c r="E2763" s="215" t="n">
        <v>46150</v>
      </c>
      <c r="F2763" s="215" t="n">
        <v>46150</v>
      </c>
    </row>
    <row r="2764">
      <c r="A2764" s="215" t="n">
        <v>46153</v>
      </c>
      <c r="B2764" s="216" t="n">
        <v>24</v>
      </c>
      <c r="C2764" s="216" t="n">
        <v>41.86</v>
      </c>
      <c r="D2764" s="216" t="n">
        <v>1.151090025901794</v>
      </c>
      <c r="E2764" s="215" t="n">
        <v>46153</v>
      </c>
      <c r="F2764" s="215" t="n">
        <v>46153</v>
      </c>
    </row>
    <row r="2765">
      <c r="A2765" s="215" t="n">
        <v>46154</v>
      </c>
      <c r="B2765" s="216" t="n">
        <v>23.08</v>
      </c>
      <c r="C2765" s="216" t="n">
        <v>41.05</v>
      </c>
      <c r="D2765" s="216" t="n">
        <v>1.152078986167908</v>
      </c>
      <c r="E2765" s="215" t="n">
        <v>46154</v>
      </c>
      <c r="F2765" s="215" t="n">
        <v>46154</v>
      </c>
    </row>
    <row r="2766">
      <c r="A2766" s="215" t="n">
        <v>46155</v>
      </c>
      <c r="B2766" s="216" t="n">
        <v>23.94</v>
      </c>
      <c r="C2766" s="216" t="n">
        <v>41.56</v>
      </c>
      <c r="D2766" s="216" t="n">
        <v>1.152537941932678</v>
      </c>
      <c r="E2766" s="215" t="n">
        <v>46155</v>
      </c>
      <c r="F2766" s="215" t="n">
        <v>46155</v>
      </c>
    </row>
    <row r="2767">
      <c r="A2767" s="215" t="n">
        <v>46156</v>
      </c>
      <c r="B2767" s="216" t="n">
        <v>22.9</v>
      </c>
      <c r="C2767" s="216" t="n">
        <v>40.57</v>
      </c>
      <c r="D2767" s="216" t="n">
        <v>1.152662992477417</v>
      </c>
      <c r="E2767" s="215" t="n">
        <v>46156</v>
      </c>
      <c r="F2767" s="215" t="n">
        <v>46156</v>
      </c>
    </row>
    <row r="2768">
      <c r="A2768" s="215" t="n">
        <v>46157</v>
      </c>
      <c r="B2768" s="216" t="n">
        <v>22.64</v>
      </c>
      <c r="C2768" s="216" t="n">
        <v>40.58</v>
      </c>
      <c r="D2768" s="216" t="n">
        <v>1.154320001602173</v>
      </c>
      <c r="E2768" s="215" t="n">
        <v>46157</v>
      </c>
      <c r="F2768" s="215" t="n">
        <v>46157</v>
      </c>
    </row>
    <row r="2769">
      <c r="A2769" s="215" t="n">
        <v>46160</v>
      </c>
      <c r="B2769" s="216" t="n">
        <v>25.5</v>
      </c>
      <c r="C2769" s="216" t="n">
        <v>44.64</v>
      </c>
      <c r="D2769" s="216" t="n">
        <v>1.149821996688843</v>
      </c>
      <c r="E2769" s="215" t="n">
        <v>46160</v>
      </c>
      <c r="F2769" s="215" t="n">
        <v>46160</v>
      </c>
    </row>
    <row r="2770">
      <c r="A2770" s="215" t="n">
        <v>46161</v>
      </c>
      <c r="B2770" s="216" t="n">
        <v>25.16</v>
      </c>
      <c r="C2770" s="216" t="n">
        <v>45.65</v>
      </c>
      <c r="D2770" s="216" t="n">
        <v>1.151532053947449</v>
      </c>
      <c r="E2770" s="215" t="n">
        <v>46161</v>
      </c>
      <c r="F2770" s="215" t="n">
        <v>46161</v>
      </c>
    </row>
    <row r="2771">
      <c r="A2771" s="215" t="n">
        <v>46162</v>
      </c>
      <c r="B2771" s="216" t="n">
        <v>24.46</v>
      </c>
      <c r="C2771" s="216" t="n">
        <v>44.74</v>
      </c>
      <c r="D2771" s="216" t="n">
        <v>1.149292945861816</v>
      </c>
      <c r="E2771" s="215" t="n">
        <v>46162</v>
      </c>
      <c r="F2771" s="215" t="n">
        <v>46162</v>
      </c>
    </row>
    <row r="2772">
      <c r="A2772" s="215" t="n">
        <v>46163</v>
      </c>
      <c r="B2772" s="216" t="n">
        <v>24.82</v>
      </c>
      <c r="C2772" s="216" t="n">
        <v>45.85</v>
      </c>
      <c r="D2772" s="216" t="n">
        <v>1.151231050491333</v>
      </c>
      <c r="E2772" s="215" t="n">
        <v>46163</v>
      </c>
      <c r="F2772" s="215" t="n">
        <v>46163</v>
      </c>
    </row>
    <row r="2773">
      <c r="A2773" s="215" t="n">
        <v>46164</v>
      </c>
      <c r="B2773" s="216" t="n">
        <v>26.5</v>
      </c>
      <c r="C2773" s="216" t="n">
        <v>47.48</v>
      </c>
      <c r="D2773" s="216" t="n">
        <v>1.151487946510315</v>
      </c>
      <c r="E2773" s="215" t="n">
        <v>46164</v>
      </c>
      <c r="F2773" s="215" t="n">
        <v>46164</v>
      </c>
    </row>
    <row r="2774">
      <c r="A2774" s="215" t="n">
        <v>46168</v>
      </c>
      <c r="B2774" s="216" t="n">
        <v>26.02</v>
      </c>
      <c r="C2774" s="216" t="n">
        <v>45.26</v>
      </c>
      <c r="D2774" s="216" t="n">
        <v>1.152968049049377</v>
      </c>
      <c r="E2774" s="215" t="n">
        <v>46168</v>
      </c>
      <c r="F2774" s="215" t="n">
        <v>46168</v>
      </c>
    </row>
    <row r="2775">
      <c r="A2775" s="215" t="n">
        <v>46169</v>
      </c>
      <c r="B2775" s="216" t="n">
        <v>28.22</v>
      </c>
      <c r="C2775" s="216" t="n">
        <v>49.79</v>
      </c>
      <c r="D2775" s="216" t="n">
        <v>1.154562950134277</v>
      </c>
      <c r="E2775" s="215" t="n">
        <v>46169</v>
      </c>
      <c r="F2775" s="215" t="n">
        <v>46169</v>
      </c>
    </row>
    <row r="2776">
      <c r="A2776" s="215" t="n">
        <v>46170</v>
      </c>
      <c r="B2776" s="216" t="n">
        <v>27.56</v>
      </c>
      <c r="C2776" s="216" t="n">
        <v>49.54</v>
      </c>
      <c r="D2776" s="216" t="n">
        <v>1.155385971069336</v>
      </c>
      <c r="E2776" s="215" t="n">
        <v>46170</v>
      </c>
      <c r="F2776" s="215" t="n">
        <v>46170</v>
      </c>
    </row>
    <row r="2777">
      <c r="A2777" s="215" t="n">
        <v>46171</v>
      </c>
      <c r="B2777" s="216" t="n">
        <v>23.84</v>
      </c>
      <c r="C2777" s="216" t="n">
        <v>45.44</v>
      </c>
      <c r="D2777" s="216" t="n">
        <v>1.155282974243164</v>
      </c>
      <c r="E2777" s="215" t="n">
        <v>46171</v>
      </c>
      <c r="F2777" s="215" t="n">
        <v>46171</v>
      </c>
    </row>
    <row r="2778">
      <c r="A2778" s="215" t="n">
        <v>46174</v>
      </c>
      <c r="B2778" s="216" t="n">
        <v>24.8</v>
      </c>
      <c r="C2778" s="216" t="n">
        <v>46</v>
      </c>
      <c r="D2778" s="216" t="n">
        <v>1.158049941062927</v>
      </c>
      <c r="E2778" s="215" t="n">
        <v>46174</v>
      </c>
      <c r="F2778" s="215" t="n">
        <v>46174</v>
      </c>
    </row>
    <row r="2779">
      <c r="A2779" s="215" t="n">
        <v>46175</v>
      </c>
      <c r="B2779" s="216" t="n">
        <v>24.68</v>
      </c>
      <c r="C2779" s="216" t="n">
        <v>45.58</v>
      </c>
      <c r="D2779" s="216" t="n">
        <v>1.158406972885132</v>
      </c>
      <c r="E2779" s="215" t="n">
        <v>46175</v>
      </c>
      <c r="F2779" s="215" t="n">
        <v>46175</v>
      </c>
    </row>
    <row r="2780">
      <c r="A2780" s="215" t="n">
        <v>46176</v>
      </c>
      <c r="B2780" s="216" t="n">
        <v>23.56</v>
      </c>
      <c r="C2780" s="216" t="n">
        <v>42.88</v>
      </c>
      <c r="D2780" s="216" t="n">
        <v>1.15879499912262</v>
      </c>
      <c r="E2780" s="215" t="n">
        <v>46176</v>
      </c>
      <c r="F2780" s="215" t="n">
        <v>46176</v>
      </c>
    </row>
    <row r="2781">
      <c r="A2781" s="215" t="n">
        <v>46177</v>
      </c>
      <c r="B2781" s="216" t="n">
        <v>23.64</v>
      </c>
      <c r="C2781" s="216" t="n">
        <v>42.63</v>
      </c>
      <c r="D2781" s="216" t="n">
        <v>1.157420039176941</v>
      </c>
      <c r="E2781" s="215" t="n">
        <v>46177</v>
      </c>
      <c r="F2781" s="215" t="n">
        <v>46177</v>
      </c>
    </row>
    <row r="2782">
      <c r="A2782" s="215" t="n">
        <v>46178</v>
      </c>
      <c r="B2782" s="216" t="n">
        <v>23.8</v>
      </c>
      <c r="C2782" s="216" t="n">
        <v>44.05</v>
      </c>
      <c r="D2782" s="216" t="n">
        <v>1.156491994857788</v>
      </c>
      <c r="E2782" s="215" t="n">
        <v>46178</v>
      </c>
      <c r="F2782" s="215" t="n">
        <v>46178</v>
      </c>
    </row>
    <row r="2783">
      <c r="A2783" s="215" t="n">
        <v>46181</v>
      </c>
      <c r="B2783" s="216" t="n">
        <v>23.9</v>
      </c>
      <c r="C2783" s="216" t="n">
        <v>44.71</v>
      </c>
      <c r="D2783" s="216" t="n">
        <v>1.157665967941284</v>
      </c>
      <c r="E2783" s="215" t="n">
        <v>46181</v>
      </c>
      <c r="F2783" s="215" t="n">
        <v>46181</v>
      </c>
    </row>
    <row r="2784">
      <c r="A2784" s="215" t="n">
        <v>46182</v>
      </c>
      <c r="B2784" s="216" t="n">
        <v>23.06</v>
      </c>
      <c r="C2784" s="216" t="n">
        <v>44.3</v>
      </c>
      <c r="D2784" s="216" t="n">
        <v>1.158027052879333</v>
      </c>
      <c r="E2784" s="215" t="n">
        <v>46182</v>
      </c>
      <c r="F2784" s="215" t="n">
        <v>46182</v>
      </c>
    </row>
    <row r="2785">
      <c r="A2785" s="215" t="n">
        <v>46183</v>
      </c>
      <c r="B2785" s="216" t="n">
        <v>22.16</v>
      </c>
      <c r="C2785" s="216" t="n">
        <v>43.66</v>
      </c>
      <c r="D2785" s="216" t="n">
        <v>1.157112002372742</v>
      </c>
      <c r="E2785" s="215" t="n">
        <v>46183</v>
      </c>
      <c r="F2785" s="215" t="n">
        <v>46183</v>
      </c>
    </row>
    <row r="2786">
      <c r="A2786" s="215" t="n">
        <v>46184</v>
      </c>
      <c r="B2786" s="216" t="n">
        <v>21.02</v>
      </c>
      <c r="C2786" s="216" t="n">
        <v>41.03</v>
      </c>
      <c r="D2786" s="216" t="n">
        <v>1.156929016113281</v>
      </c>
      <c r="E2786" s="215" t="n">
        <v>46184</v>
      </c>
      <c r="F2786" s="215" t="n">
        <v>46184</v>
      </c>
    </row>
    <row r="2787">
      <c r="A2787" s="215" t="n">
        <v>46185</v>
      </c>
      <c r="B2787" s="216" t="n">
        <v>20.46</v>
      </c>
      <c r="C2787" s="216" t="n">
        <v>40.36</v>
      </c>
      <c r="D2787" s="216" t="n">
        <v>1.156345963478088</v>
      </c>
      <c r="E2787" s="215" t="n">
        <v>46185</v>
      </c>
      <c r="F2787" s="215" t="n">
        <v>46185</v>
      </c>
    </row>
    <row r="2788">
      <c r="A2788" s="215" t="n">
        <v>46188</v>
      </c>
      <c r="B2788" s="216" t="n">
        <v>20.86</v>
      </c>
      <c r="C2788" s="216" t="n">
        <v>40.73</v>
      </c>
      <c r="D2788" s="216" t="n">
        <v>1.156880021095276</v>
      </c>
      <c r="E2788" s="215" t="n">
        <v>46188</v>
      </c>
      <c r="F2788" s="215" t="n">
        <v>46188</v>
      </c>
    </row>
    <row r="2789">
      <c r="A2789" s="215" t="n">
        <v>46189</v>
      </c>
      <c r="B2789" s="216" t="n">
        <v>21.12</v>
      </c>
      <c r="C2789" s="216" t="n">
        <v>42.01</v>
      </c>
      <c r="D2789" s="216" t="n">
        <v>1.158604025840759</v>
      </c>
      <c r="E2789" s="215" t="n">
        <v>46189</v>
      </c>
      <c r="F2789" s="215" t="n">
        <v>46189</v>
      </c>
    </row>
    <row r="2790">
      <c r="A2790" s="215" t="n">
        <v>46190</v>
      </c>
      <c r="B2790" s="216" t="n">
        <v>20.38</v>
      </c>
      <c r="C2790" s="216" t="n">
        <v>41.6</v>
      </c>
      <c r="D2790" s="216" t="n">
        <v>1.158974051475525</v>
      </c>
      <c r="E2790" s="215" t="n">
        <v>46190</v>
      </c>
      <c r="F2790" s="215" t="n">
        <v>46190</v>
      </c>
    </row>
    <row r="2791">
      <c r="A2791" s="215" t="n">
        <v>46191</v>
      </c>
      <c r="B2791" s="216" t="n">
        <v>21.2</v>
      </c>
      <c r="C2791" s="216" t="n">
        <v>43.68</v>
      </c>
      <c r="D2791" s="216" t="n">
        <v>1.159355998039246</v>
      </c>
      <c r="E2791" s="215" t="n">
        <v>46191</v>
      </c>
      <c r="F2791" s="215" t="n">
        <v>46191</v>
      </c>
    </row>
    <row r="2792">
      <c r="A2792" s="215" t="n">
        <v>46195</v>
      </c>
      <c r="B2792" s="216" t="n">
        <v>19.92</v>
      </c>
      <c r="C2792" s="216" t="n">
        <v>41.08</v>
      </c>
      <c r="D2792" s="216" t="n">
        <v>1.157493948936462</v>
      </c>
      <c r="E2792" s="215" t="n">
        <v>46195</v>
      </c>
      <c r="F2792" s="215" t="n">
        <v>46195</v>
      </c>
    </row>
    <row r="2793">
      <c r="A2793" s="215" t="n">
        <v>46196</v>
      </c>
      <c r="B2793" s="216" t="n">
        <v>19.16</v>
      </c>
      <c r="C2793" s="216" t="n">
        <v>39.2</v>
      </c>
      <c r="D2793" s="216" t="n">
        <v>1.156896948814392</v>
      </c>
      <c r="E2793" s="215" t="n">
        <v>46196</v>
      </c>
      <c r="F2793" s="215" t="n">
        <v>46196</v>
      </c>
    </row>
    <row r="2794">
      <c r="A2794" s="215" t="n">
        <v>46197</v>
      </c>
      <c r="B2794" s="216" t="n">
        <v>18.83</v>
      </c>
      <c r="C2794" s="216" t="n">
        <v>39.19</v>
      </c>
      <c r="D2794" s="216" t="n">
        <v>1.154508948326111</v>
      </c>
      <c r="E2794" s="215" t="n">
        <v>46197</v>
      </c>
      <c r="F2794" s="215" t="n">
        <v>46197</v>
      </c>
    </row>
    <row r="2795">
      <c r="A2795" s="215" t="n">
        <v>46198</v>
      </c>
      <c r="B2795" s="216" t="n">
        <v>17.88</v>
      </c>
      <c r="C2795" s="216" t="n">
        <v>37.48</v>
      </c>
      <c r="D2795" s="216" t="n">
        <v>1.154152035713196</v>
      </c>
      <c r="E2795" s="215" t="n">
        <v>46198</v>
      </c>
      <c r="F2795" s="215" t="n">
        <v>46198</v>
      </c>
    </row>
    <row r="2796">
      <c r="A2796" s="215" t="n">
        <v>46199</v>
      </c>
      <c r="B2796" s="216" t="n">
        <v>16.89</v>
      </c>
      <c r="C2796" s="216" t="n">
        <v>35.65</v>
      </c>
      <c r="D2796" s="216" t="n">
        <v>1.154500961303711</v>
      </c>
      <c r="E2796" s="215" t="n">
        <v>46199</v>
      </c>
      <c r="F2796" s="215" t="n">
        <v>46199</v>
      </c>
    </row>
    <row r="2797">
      <c r="A2797" s="215" t="n">
        <v>46202</v>
      </c>
      <c r="B2797" s="216" t="n">
        <v>16.91</v>
      </c>
      <c r="C2797" s="216" t="n">
        <v>34.23</v>
      </c>
      <c r="D2797" s="216" t="n">
        <v>1.153512001037598</v>
      </c>
      <c r="E2797" s="215" t="n">
        <v>46202</v>
      </c>
      <c r="F2797" s="215" t="n">
        <v>46202</v>
      </c>
    </row>
    <row r="2798">
      <c r="A2798" s="215" t="n">
        <v>46203</v>
      </c>
      <c r="B2798" s="216" t="n">
        <v>17.57</v>
      </c>
      <c r="C2798" s="216" t="n">
        <v>36.44</v>
      </c>
      <c r="D2798" s="216" t="n">
        <v>1.153959035873413</v>
      </c>
      <c r="E2798" s="215" t="n">
        <v>46203</v>
      </c>
      <c r="F2798" s="215" t="n">
        <v>46203</v>
      </c>
    </row>
    <row r="2799">
      <c r="A2799" s="215" t="n">
        <v>46205</v>
      </c>
      <c r="B2799" s="216" t="n">
        <v>17.88</v>
      </c>
      <c r="C2799" s="216" t="n">
        <v>37.66</v>
      </c>
      <c r="D2799" s="216" t="n">
        <v>1.154355049133301</v>
      </c>
      <c r="E2799" s="215" t="n">
        <v>46205</v>
      </c>
      <c r="F2799" s="215" t="n">
        <v>46205</v>
      </c>
    </row>
    <row r="2800">
      <c r="A2800" s="215" t="n">
        <v>46206</v>
      </c>
      <c r="B2800" s="216" t="n">
        <v>18.26</v>
      </c>
      <c r="C2800" s="216" t="n">
        <v>38.72</v>
      </c>
      <c r="D2800" s="216" t="n">
        <v>1.155220985412598</v>
      </c>
      <c r="E2800" s="215" t="n">
        <v>46206</v>
      </c>
      <c r="F2800" s="215" t="n">
        <v>46206</v>
      </c>
    </row>
    <row r="2801">
      <c r="A2801" s="215" t="n">
        <v>46209</v>
      </c>
      <c r="B2801" s="216" t="n">
        <v>17.85</v>
      </c>
      <c r="C2801" s="216" t="n">
        <v>37.57</v>
      </c>
      <c r="D2801" s="216" t="n">
        <v>1.155068039894104</v>
      </c>
      <c r="E2801" s="215" t="n">
        <v>46209</v>
      </c>
      <c r="F2801" s="215" t="n">
        <v>46209</v>
      </c>
    </row>
    <row r="2802">
      <c r="A2802" s="215" t="n">
        <v>46210</v>
      </c>
      <c r="B2802" s="216" t="n">
        <v>17.41</v>
      </c>
      <c r="C2802" s="216" t="n">
        <v>36.3</v>
      </c>
      <c r="D2802" s="216" t="n">
        <v>1.153807997703552</v>
      </c>
      <c r="E2802" s="215" t="n">
        <v>46210</v>
      </c>
      <c r="F2802" s="215" t="n">
        <v>46210</v>
      </c>
    </row>
    <row r="2803">
      <c r="A2803" s="215" t="n">
        <v>46211</v>
      </c>
      <c r="B2803" s="216" t="n">
        <v>17.51</v>
      </c>
      <c r="C2803" s="216" t="n">
        <v>36.12</v>
      </c>
      <c r="D2803" s="216" t="n">
        <v>1.154153943061829</v>
      </c>
      <c r="E2803" s="215" t="n">
        <v>46211</v>
      </c>
      <c r="F2803" s="215" t="n">
        <v>46211</v>
      </c>
    </row>
    <row r="2804">
      <c r="A2804" s="215" t="n">
        <v>46212</v>
      </c>
      <c r="B2804" s="216" t="n">
        <v>17.73</v>
      </c>
      <c r="C2804" s="216" t="n">
        <v>36.38</v>
      </c>
      <c r="D2804" s="216" t="n">
        <v>1.152119994163513</v>
      </c>
      <c r="E2804" s="215" t="n">
        <v>46212</v>
      </c>
      <c r="F2804" s="215" t="n">
        <v>46212</v>
      </c>
    </row>
    <row r="2805">
      <c r="A2805" s="215" t="n">
        <v>46213</v>
      </c>
      <c r="B2805" s="216" t="n">
        <v>18.31</v>
      </c>
      <c r="C2805" s="216" t="n">
        <v>37.71</v>
      </c>
      <c r="D2805" s="216" t="n">
        <v>1.153550028800964</v>
      </c>
      <c r="E2805" s="215" t="n">
        <v>46213</v>
      </c>
      <c r="F2805" s="215" t="n">
        <v>46213</v>
      </c>
    </row>
    <row r="2806">
      <c r="A2806" s="215" t="n">
        <v>46216</v>
      </c>
      <c r="B2806" s="216" t="n">
        <v>17.87</v>
      </c>
      <c r="C2806" s="216" t="n">
        <v>37.65</v>
      </c>
      <c r="D2806" s="216" t="n">
        <v>1.156761050224304</v>
      </c>
      <c r="E2806" s="215" t="n">
        <v>46216</v>
      </c>
      <c r="F2806" s="215" t="n">
        <v>46216</v>
      </c>
    </row>
    <row r="2807">
      <c r="A2807" s="215" t="n">
        <v>46217</v>
      </c>
      <c r="B2807" s="216" t="n">
        <v>17.33</v>
      </c>
      <c r="C2807" s="216" t="n">
        <v>35.78</v>
      </c>
      <c r="D2807" s="216" t="n">
        <v>1.155825972557068</v>
      </c>
      <c r="E2807" s="215" t="n">
        <v>46217</v>
      </c>
      <c r="F2807" s="215" t="n">
        <v>46217</v>
      </c>
    </row>
    <row r="2808">
      <c r="A2808" s="215" t="n">
        <v>46218</v>
      </c>
      <c r="B2808" s="216" t="n">
        <v>17.1</v>
      </c>
      <c r="C2808" s="216" t="n">
        <v>35.5</v>
      </c>
      <c r="D2808" s="216" t="n">
        <v>1.157556056976318</v>
      </c>
      <c r="E2808" s="215" t="n">
        <v>46218</v>
      </c>
      <c r="F2808" s="215" t="n">
        <v>46218</v>
      </c>
    </row>
    <row r="2809">
      <c r="A2809" s="215" t="n">
        <v>46219</v>
      </c>
      <c r="B2809" s="216" t="n">
        <v>19.09</v>
      </c>
      <c r="C2809" s="216" t="n">
        <v>39.05</v>
      </c>
      <c r="D2809" s="216" t="n">
        <v>1.157912969589233</v>
      </c>
      <c r="E2809" s="215" t="n">
        <v>46219</v>
      </c>
      <c r="F2809" s="215" t="n">
        <v>46219</v>
      </c>
    </row>
    <row r="2810">
      <c r="A2810" s="215" t="n">
        <v>46220</v>
      </c>
      <c r="B2810" s="216" t="n">
        <v>18.07</v>
      </c>
      <c r="C2810" s="216" t="n">
        <v>40.68</v>
      </c>
      <c r="D2810" s="216" t="n">
        <v>1.157472014427185</v>
      </c>
      <c r="E2810" s="215" t="n">
        <v>46220</v>
      </c>
      <c r="F2810" s="215" t="n">
        <v>46220</v>
      </c>
    </row>
    <row r="2811">
      <c r="A2811" s="215" t="n">
        <v>46223</v>
      </c>
      <c r="B2811" s="216" t="n">
        <v>17.22</v>
      </c>
      <c r="C2811" s="216" t="n">
        <v>39.23</v>
      </c>
      <c r="D2811" s="216" t="n">
        <v>1.157451033592224</v>
      </c>
      <c r="E2811" s="215" t="n">
        <v>46223</v>
      </c>
      <c r="F2811" s="215" t="n">
        <v>46223</v>
      </c>
    </row>
    <row r="2812">
      <c r="A2812" s="215" t="n">
        <v>46224</v>
      </c>
      <c r="B2812" s="216" t="n">
        <v>18.68</v>
      </c>
      <c r="C2812" s="216" t="n">
        <v>41.91</v>
      </c>
      <c r="D2812" s="216" t="n">
        <v>1.157506942749023</v>
      </c>
      <c r="E2812" s="215" t="n">
        <v>46224</v>
      </c>
      <c r="F2812" s="215" t="n">
        <v>46224</v>
      </c>
    </row>
    <row r="2813">
      <c r="A2813" s="215" t="n">
        <v>46225</v>
      </c>
      <c r="B2813" s="216" t="n">
        <v>19</v>
      </c>
      <c r="C2813" s="216" t="n">
        <v>42.99</v>
      </c>
      <c r="D2813" s="216" t="n">
        <v>1.158938050270081</v>
      </c>
      <c r="E2813" s="215" t="n">
        <v>46225</v>
      </c>
      <c r="F2813" s="215" t="n">
        <v>46225</v>
      </c>
    </row>
    <row r="2814">
      <c r="A2814" s="215" t="n">
        <v>46226</v>
      </c>
      <c r="B2814" s="216" t="n">
        <v>18.13</v>
      </c>
      <c r="C2814" s="216" t="n">
        <v>40.36</v>
      </c>
      <c r="D2814" s="216" t="n">
        <v>1.157410979270935</v>
      </c>
      <c r="E2814" s="215" t="n">
        <v>46226</v>
      </c>
      <c r="F2814" s="215" t="n">
        <v>46226</v>
      </c>
    </row>
    <row r="2815">
      <c r="A2815" s="215" t="n">
        <v>46227</v>
      </c>
      <c r="B2815" s="216" t="n">
        <v>17.2</v>
      </c>
      <c r="C2815" s="216" t="n">
        <v>38.24</v>
      </c>
      <c r="D2815" s="216" t="n">
        <v>1.15762197971344</v>
      </c>
      <c r="E2815" s="215" t="n">
        <v>46227</v>
      </c>
      <c r="F2815" s="215" t="n">
        <v>46227</v>
      </c>
    </row>
    <row r="2816">
      <c r="A2816" s="215" t="n">
        <v>46230</v>
      </c>
      <c r="B2816" s="216" t="n">
        <v>17.25</v>
      </c>
      <c r="C2816" s="216" t="n">
        <v>38.66</v>
      </c>
      <c r="D2816" s="216" t="n">
        <v>1.15789794921875</v>
      </c>
      <c r="E2816" s="215" t="n">
        <v>46230</v>
      </c>
      <c r="F2816" s="215" t="n">
        <v>46230</v>
      </c>
    </row>
    <row r="2817">
      <c r="A2817" s="215" t="n">
        <v>46231</v>
      </c>
      <c r="B2817" s="216" t="n">
        <v>16.83</v>
      </c>
      <c r="C2817" s="216" t="n">
        <v>37.34</v>
      </c>
      <c r="D2817" s="216" t="n">
        <v>1.158699035644531</v>
      </c>
      <c r="E2817" s="215" t="n">
        <v>46231</v>
      </c>
      <c r="F2817" s="215" t="n">
        <v>46231</v>
      </c>
    </row>
    <row r="2818">
      <c r="A2818" s="215" t="n">
        <v>46232</v>
      </c>
      <c r="B2818" s="216" t="n">
        <v>17.09</v>
      </c>
      <c r="C2818" s="216" t="n">
        <v>37.7</v>
      </c>
      <c r="D2818" s="216" t="n">
        <v>1.157909989356995</v>
      </c>
      <c r="E2818" s="215" t="n">
        <v>46232</v>
      </c>
      <c r="F2818" s="215" t="n">
        <v>46232</v>
      </c>
    </row>
    <row r="2819">
      <c r="A2819" s="215" t="n">
        <v>46233</v>
      </c>
      <c r="B2819" s="216" t="n">
        <v>16.03</v>
      </c>
      <c r="C2819" s="216" t="n">
        <v>33.93</v>
      </c>
      <c r="D2819" s="216" t="n">
        <v>1.158943057060242</v>
      </c>
      <c r="E2819" s="215" t="n">
        <v>46233</v>
      </c>
      <c r="F2819" s="215" t="n">
        <v>46233</v>
      </c>
    </row>
    <row r="2820">
      <c r="A2820" s="215" t="n">
        <v>46234</v>
      </c>
      <c r="B2820" s="216" t="n">
        <v>16.47</v>
      </c>
      <c r="C2820" s="216" t="n">
        <v>35.1</v>
      </c>
      <c r="D2820" s="216" t="n">
        <v>1.160945057868958</v>
      </c>
      <c r="E2820" s="215" t="n">
        <v>46234</v>
      </c>
      <c r="F2820" s="215" t="n">
        <v>46234</v>
      </c>
    </row>
    <row r="2821">
      <c r="A2821" s="215" t="n">
        <v>46237</v>
      </c>
      <c r="B2821" s="216" t="n">
        <v>16.76</v>
      </c>
      <c r="C2821" s="216" t="n">
        <v>36.27</v>
      </c>
      <c r="D2821" s="216" t="n">
        <v>1.161579966545105</v>
      </c>
      <c r="E2821" s="215" t="n">
        <v>46237</v>
      </c>
      <c r="F2821" s="215" t="n">
        <v>46237</v>
      </c>
    </row>
    <row r="2822">
      <c r="A2822" s="215" t="n">
        <v>46238</v>
      </c>
      <c r="B2822" s="216" t="n">
        <v>17.09</v>
      </c>
      <c r="C2822" s="216" t="n">
        <v>36.82</v>
      </c>
      <c r="D2822" s="216" t="n">
        <v>1.161064982414246</v>
      </c>
      <c r="E2822" s="215" t="n">
        <v>46238</v>
      </c>
      <c r="F2822" s="215" t="n">
        <v>46238</v>
      </c>
    </row>
    <row r="2823">
      <c r="A2823" s="215" t="n">
        <v>46239</v>
      </c>
      <c r="B2823" s="216" t="n">
        <v>17.28</v>
      </c>
      <c r="C2823" s="216" t="n">
        <v>37.87</v>
      </c>
      <c r="D2823" s="216" t="n">
        <v>1.161146998405457</v>
      </c>
      <c r="E2823" s="215" t="n">
        <v>46239</v>
      </c>
      <c r="F2823" s="215" t="n">
        <v>46239</v>
      </c>
    </row>
    <row r="2824">
      <c r="A2824" s="215" t="n">
        <v>46240</v>
      </c>
      <c r="B2824" s="216" t="n">
        <v>17.2</v>
      </c>
      <c r="C2824" s="216" t="n">
        <v>38.13</v>
      </c>
      <c r="D2824" s="216" t="n">
        <v>1.161936044692993</v>
      </c>
      <c r="E2824" s="215" t="n">
        <v>46240</v>
      </c>
      <c r="F2824" s="215" t="n">
        <v>46240</v>
      </c>
    </row>
    <row r="2825">
      <c r="A2825" s="215" t="n">
        <v>46241</v>
      </c>
      <c r="B2825" s="216" t="n">
        <v>17</v>
      </c>
      <c r="C2825" s="216" t="n">
        <v>37.67</v>
      </c>
      <c r="D2825" s="216" t="n">
        <v>1.162284016609192</v>
      </c>
      <c r="E2825" s="215" t="n">
        <v>46241</v>
      </c>
      <c r="F2825" s="215" t="n">
        <v>46241</v>
      </c>
    </row>
    <row r="2826">
      <c r="A2826" s="215" t="n">
        <v>46244</v>
      </c>
      <c r="B2826" s="216" t="n">
        <v>17.15</v>
      </c>
      <c r="C2826" s="216" t="n">
        <v>37.15</v>
      </c>
      <c r="D2826" s="216" t="n">
        <v>1.162629961967468</v>
      </c>
      <c r="E2826" s="215" t="n">
        <v>46244</v>
      </c>
      <c r="F2826" s="215" t="n">
        <v>46244</v>
      </c>
    </row>
    <row r="2827">
      <c r="A2827" s="215" t="n">
        <v>46245</v>
      </c>
      <c r="B2827" s="216" t="n">
        <v>17.36</v>
      </c>
      <c r="C2827" s="216" t="n">
        <v>38.16</v>
      </c>
      <c r="D2827" s="216" t="n">
        <v>1.162588000297546</v>
      </c>
      <c r="E2827" s="215" t="n">
        <v>46245</v>
      </c>
      <c r="F2827" s="215" t="n">
        <v>46245</v>
      </c>
    </row>
    <row r="2828">
      <c r="A2828" s="215" t="n">
        <v>46246</v>
      </c>
      <c r="B2828" s="216" t="n">
        <v>17.49</v>
      </c>
      <c r="C2828" s="216" t="n">
        <v>38.7</v>
      </c>
      <c r="D2828" s="216" t="n">
        <v>1.163135051727295</v>
      </c>
      <c r="E2828" s="215" t="n">
        <v>46246</v>
      </c>
      <c r="F2828" s="215" t="n">
        <v>46246</v>
      </c>
    </row>
    <row r="2829">
      <c r="A2829" s="215" t="n">
        <v>46247</v>
      </c>
      <c r="B2829" s="216" t="n">
        <v>17.48</v>
      </c>
      <c r="C2829" s="216" t="n">
        <v>38.05</v>
      </c>
      <c r="D2829" s="216" t="n">
        <v>1.163341045379639</v>
      </c>
      <c r="E2829" s="215" t="n">
        <v>46247</v>
      </c>
      <c r="F2829" s="215" t="n">
        <v>46247</v>
      </c>
    </row>
    <row r="2830">
      <c r="A2830" s="215" t="n">
        <v>46248</v>
      </c>
      <c r="B2830" s="216" t="n">
        <v>17.36</v>
      </c>
      <c r="C2830" s="216" t="n">
        <v>38</v>
      </c>
      <c r="D2830" s="216" t="n">
        <v>1.163571000099182</v>
      </c>
      <c r="E2830" s="215" t="n">
        <v>46248</v>
      </c>
      <c r="F2830" s="215" t="n">
        <v>46248</v>
      </c>
    </row>
    <row r="2831">
      <c r="A2831" s="215" t="n">
        <v>46251</v>
      </c>
      <c r="B2831" s="216" t="n">
        <v>18.11</v>
      </c>
      <c r="C2831" s="216" t="n">
        <v>39.06</v>
      </c>
      <c r="D2831" s="216" t="n">
        <v>1.163601994514465</v>
      </c>
      <c r="E2831" s="215" t="n">
        <v>46251</v>
      </c>
      <c r="F2831" s="215" t="n">
        <v>46251</v>
      </c>
    </row>
    <row r="2832">
      <c r="A2832" s="215" t="n">
        <v>46252</v>
      </c>
      <c r="B2832" s="216" t="n">
        <v>18.9</v>
      </c>
      <c r="C2832" s="216" t="n">
        <v>40.15</v>
      </c>
      <c r="D2832" s="216" t="n">
        <v>1.163733005523682</v>
      </c>
      <c r="E2832" s="215" t="n">
        <v>46252</v>
      </c>
      <c r="F2832" s="215" t="n">
        <v>46252</v>
      </c>
    </row>
    <row r="2833">
      <c r="A2833" s="215" t="n">
        <v>46253</v>
      </c>
      <c r="B2833" s="216" t="n">
        <v>18.28</v>
      </c>
      <c r="C2833" s="216" t="n">
        <v>37.97</v>
      </c>
      <c r="D2833" s="216" t="n">
        <v>1.163092017173767</v>
      </c>
      <c r="E2833" s="215" t="n">
        <v>46253</v>
      </c>
      <c r="F2833" s="215" t="n">
        <v>46253</v>
      </c>
    </row>
    <row r="2834">
      <c r="A2834" s="215" t="n">
        <v>46254</v>
      </c>
      <c r="B2834" s="216" t="n">
        <v>17.9</v>
      </c>
      <c r="C2834" s="216" t="n">
        <v>38.02</v>
      </c>
      <c r="D2834" s="216" t="n">
        <v>1.164932012557983</v>
      </c>
      <c r="E2834" s="215" t="n">
        <v>46254</v>
      </c>
      <c r="F2834" s="215" t="n">
        <v>46254</v>
      </c>
    </row>
    <row r="2835">
      <c r="A2835" s="215" t="n">
        <v>46255</v>
      </c>
      <c r="B2835" s="216" t="n">
        <v>17.97</v>
      </c>
      <c r="C2835" s="216" t="n">
        <v>37.85</v>
      </c>
      <c r="D2835" s="216" t="n">
        <v>1.166555047035217</v>
      </c>
      <c r="E2835" s="215" t="n">
        <v>46255</v>
      </c>
      <c r="F2835" s="215" t="n">
        <v>46255</v>
      </c>
    </row>
    <row r="2836">
      <c r="A2836" s="215" t="n">
        <v>46258</v>
      </c>
      <c r="B2836" s="216" t="n">
        <v>18.5</v>
      </c>
      <c r="C2836" s="216" t="n">
        <v>39.96</v>
      </c>
      <c r="D2836" s="216" t="n">
        <v>1.166316986083984</v>
      </c>
      <c r="E2836" s="215" t="n">
        <v>46258</v>
      </c>
      <c r="F2836" s="215" t="n">
        <v>46258</v>
      </c>
    </row>
    <row r="2837">
      <c r="A2837" s="215" t="n">
        <v>46259</v>
      </c>
      <c r="B2837" s="216" t="n">
        <v>18.64</v>
      </c>
      <c r="C2837" s="216" t="n">
        <v>39.8</v>
      </c>
      <c r="D2837" s="216" t="n">
        <v>1.165253043174744</v>
      </c>
      <c r="E2837" s="215" t="n">
        <v>46259</v>
      </c>
      <c r="F2837" s="215" t="n">
        <v>46259</v>
      </c>
    </row>
    <row r="2838">
      <c r="A2838" s="215" t="n">
        <v>46260</v>
      </c>
      <c r="B2838" s="216" t="n">
        <v>19.3</v>
      </c>
      <c r="C2838" s="216" t="n">
        <v>40.9</v>
      </c>
      <c r="D2838" s="216" t="n">
        <v>1.166218996047974</v>
      </c>
      <c r="E2838" s="215" t="n">
        <v>46260</v>
      </c>
      <c r="F2838" s="215" t="n">
        <v>46260</v>
      </c>
    </row>
    <row r="2839">
      <c r="A2839" s="215" t="n">
        <v>46261</v>
      </c>
      <c r="B2839" s="216" t="n">
        <v>19.61</v>
      </c>
      <c r="C2839" s="216" t="n">
        <v>41.26</v>
      </c>
      <c r="D2839" s="216" t="n">
        <v>1.165971040725708</v>
      </c>
      <c r="E2839" s="215" t="n">
        <v>46261</v>
      </c>
      <c r="F2839" s="215" t="n">
        <v>46261</v>
      </c>
    </row>
    <row r="2840">
      <c r="A2840" s="215" t="n">
        <v>46262</v>
      </c>
      <c r="B2840" s="216" t="n">
        <v>19.17</v>
      </c>
      <c r="C2840" s="216" t="n">
        <v>40.82</v>
      </c>
      <c r="D2840" s="216" t="n">
        <v>1.165799975395203</v>
      </c>
      <c r="E2840" s="215" t="n">
        <v>46262</v>
      </c>
      <c r="F2840" s="215" t="n">
        <v>46262</v>
      </c>
    </row>
    <row r="2841">
      <c r="A2841" s="215" t="n">
        <v>46265</v>
      </c>
      <c r="B2841" s="216" t="n">
        <v>22.98</v>
      </c>
      <c r="C2841" s="216" t="n">
        <v>44.9</v>
      </c>
      <c r="D2841" s="216" t="n">
        <v>1.165387988090515</v>
      </c>
      <c r="E2841" s="215" t="n">
        <v>46265</v>
      </c>
      <c r="F2841" s="215" t="n">
        <v>46265</v>
      </c>
    </row>
    <row r="2842">
      <c r="A2842" s="215" t="n">
        <v>46266</v>
      </c>
      <c r="B2842" s="216" t="n">
        <v>21.6</v>
      </c>
      <c r="C2842" s="216" t="n">
        <v>44.75</v>
      </c>
      <c r="D2842" s="216" t="n">
        <v>1.165223956108093</v>
      </c>
      <c r="E2842" s="215" t="n">
        <v>46266</v>
      </c>
      <c r="F2842" s="215" t="n">
        <v>46266</v>
      </c>
    </row>
    <row r="2843">
      <c r="A2843" s="215" t="n">
        <v>46267</v>
      </c>
      <c r="B2843" s="216" t="n">
        <v>21.2</v>
      </c>
      <c r="C2843" s="216" t="n">
        <v>43.98</v>
      </c>
      <c r="D2843" s="216" t="n">
        <v>1.166425943374634</v>
      </c>
      <c r="E2843" s="215" t="n">
        <v>46267</v>
      </c>
      <c r="F2843" s="215" t="n">
        <v>46267</v>
      </c>
    </row>
    <row r="2844">
      <c r="A2844" s="215" t="n">
        <v>46268</v>
      </c>
      <c r="B2844" s="216" t="n">
        <v>19.17</v>
      </c>
      <c r="C2844" s="216" t="n">
        <v>42.95</v>
      </c>
      <c r="D2844" s="216" t="n">
        <v>1.167057037353516</v>
      </c>
      <c r="E2844" s="215" t="n">
        <v>46268</v>
      </c>
      <c r="F2844" s="215" t="n">
        <v>46268</v>
      </c>
    </row>
    <row r="2845">
      <c r="A2845" s="215" t="n">
        <v>46269</v>
      </c>
      <c r="B2845" s="216" t="n">
        <v>18.88</v>
      </c>
      <c r="C2845" s="216" t="n">
        <v>41.93</v>
      </c>
      <c r="D2845" s="216" t="n">
        <v>1.166767954826355</v>
      </c>
      <c r="E2845" s="215" t="n">
        <v>46269</v>
      </c>
      <c r="F2845" s="215" t="n">
        <v>46269</v>
      </c>
    </row>
    <row r="2846">
      <c r="A2846" s="215" t="n">
        <v>46272</v>
      </c>
      <c r="B2846" s="216" t="n">
        <v>23.1</v>
      </c>
      <c r="C2846" s="216" t="n">
        <v>46.12</v>
      </c>
      <c r="D2846" s="216" t="n">
        <v>1.168081045150757</v>
      </c>
      <c r="E2846" s="215" t="n">
        <v>46272</v>
      </c>
      <c r="F2846" s="215" t="n">
        <v>46272</v>
      </c>
    </row>
    <row r="2847">
      <c r="A2847" s="215" t="n">
        <v>46273</v>
      </c>
      <c r="B2847" s="216" t="n">
        <v>21.92</v>
      </c>
      <c r="C2847" s="216" t="n">
        <v>47.51</v>
      </c>
      <c r="D2847" s="216" t="n">
        <v>1.168115019798279</v>
      </c>
      <c r="E2847" s="215" t="n">
        <v>46273</v>
      </c>
      <c r="F2847" s="215" t="n">
        <v>46273</v>
      </c>
    </row>
    <row r="2848">
      <c r="A2848" s="215" t="n">
        <v>46274</v>
      </c>
      <c r="B2848" s="216" t="n">
        <v>20.5</v>
      </c>
      <c r="C2848" s="216" t="n">
        <v>44.35</v>
      </c>
      <c r="D2848" s="216" t="n">
        <v>1.168408989906311</v>
      </c>
      <c r="E2848" s="215" t="n">
        <v>46274</v>
      </c>
      <c r="F2848" s="215" t="n">
        <v>46274</v>
      </c>
    </row>
    <row r="2849">
      <c r="A2849" s="215" t="n">
        <v>46275</v>
      </c>
      <c r="B2849" s="216" t="n">
        <v>19.75</v>
      </c>
      <c r="C2849" s="216" t="n">
        <v>42.18</v>
      </c>
      <c r="D2849" s="216" t="n">
        <v>1.168462991714478</v>
      </c>
      <c r="E2849" s="215" t="n">
        <v>46275</v>
      </c>
      <c r="F2849" s="215" t="n">
        <v>46275</v>
      </c>
    </row>
    <row r="2850">
      <c r="A2850" s="215" t="n">
        <v>46276</v>
      </c>
      <c r="B2850" s="216" t="n">
        <v>19.41</v>
      </c>
      <c r="C2850" s="216" t="n">
        <v>40.82</v>
      </c>
      <c r="D2850" s="216" t="n">
        <v>1.169165015220642</v>
      </c>
      <c r="E2850" s="215" t="n">
        <v>46276</v>
      </c>
      <c r="F2850" s="215" t="n">
        <v>46276</v>
      </c>
    </row>
    <row r="2851">
      <c r="A2851" s="215" t="n">
        <v>46279</v>
      </c>
      <c r="B2851" s="216" t="n">
        <v>18.92</v>
      </c>
      <c r="C2851" s="216" t="n">
        <v>40.52</v>
      </c>
      <c r="D2851" s="216" t="n">
        <v>1.16893994808197</v>
      </c>
      <c r="E2851" s="215" t="n">
        <v>46279</v>
      </c>
      <c r="F2851" s="215" t="n">
        <v>46279</v>
      </c>
    </row>
    <row r="2852">
      <c r="A2852" s="215" t="n">
        <v>46280</v>
      </c>
      <c r="B2852" s="216" t="n">
        <v>18.51</v>
      </c>
      <c r="C2852" s="216" t="n">
        <v>40.33</v>
      </c>
      <c r="D2852" s="216" t="n">
        <v>1.169121026992798</v>
      </c>
      <c r="E2852" s="215" t="n">
        <v>46280</v>
      </c>
      <c r="F2852" s="215" t="n">
        <v>46280</v>
      </c>
    </row>
    <row r="2853">
      <c r="A2853" s="215" t="n">
        <v>46281</v>
      </c>
      <c r="B2853" s="216" t="n">
        <v>18.66</v>
      </c>
      <c r="C2853" s="216" t="n">
        <v>40.91</v>
      </c>
      <c r="D2853" s="216" t="n">
        <v>1.168769955635071</v>
      </c>
      <c r="E2853" s="215" t="n">
        <v>46281</v>
      </c>
      <c r="F2853" s="215" t="n">
        <v>46281</v>
      </c>
    </row>
    <row r="2854">
      <c r="A2854" s="215" t="n">
        <v>46282</v>
      </c>
      <c r="B2854" s="216" t="n">
        <v>19.01</v>
      </c>
      <c r="C2854" s="216" t="n">
        <v>42.82</v>
      </c>
      <c r="D2854" s="216" t="n">
        <v>1.169389963150024</v>
      </c>
      <c r="E2854" s="215" t="n">
        <v>46282</v>
      </c>
      <c r="F2854" s="215" t="n">
        <v>46282</v>
      </c>
    </row>
    <row r="2855">
      <c r="A2855" s="215" t="n">
        <v>46283</v>
      </c>
      <c r="B2855" s="216" t="n">
        <v>19.59</v>
      </c>
      <c r="C2855" s="216" t="n">
        <v>45.3</v>
      </c>
      <c r="D2855" s="216" t="n">
        <v>1.16942298412323</v>
      </c>
      <c r="E2855" s="215" t="n">
        <v>46283</v>
      </c>
      <c r="F2855" s="215" t="n">
        <v>46283</v>
      </c>
    </row>
    <row r="2856">
      <c r="A2856" s="215" t="n">
        <v>46286</v>
      </c>
      <c r="B2856" s="216" t="n">
        <v>19.88</v>
      </c>
      <c r="C2856" s="216" t="n">
        <v>46.47</v>
      </c>
      <c r="D2856" s="216" t="n">
        <v>1.171280026435852</v>
      </c>
      <c r="E2856" s="215" t="n">
        <v>46286</v>
      </c>
      <c r="F2856" s="215" t="n">
        <v>46286</v>
      </c>
    </row>
    <row r="2857">
      <c r="A2857" s="215" t="n">
        <v>46287</v>
      </c>
      <c r="B2857" s="216" t="n">
        <v>20.1</v>
      </c>
      <c r="C2857" s="216" t="n">
        <v>47.9</v>
      </c>
      <c r="D2857" s="216" t="n">
        <v>1.171705007553101</v>
      </c>
      <c r="E2857" s="215" t="n">
        <v>46287</v>
      </c>
      <c r="F2857" s="215" t="n">
        <v>46287</v>
      </c>
    </row>
    <row r="2858">
      <c r="A2858" s="215" t="n">
        <v>46288</v>
      </c>
      <c r="B2858" s="216" t="n">
        <v>19.55</v>
      </c>
      <c r="C2858" s="216" t="n">
        <v>46.25</v>
      </c>
      <c r="D2858" s="216" t="n">
        <v>1.170611023902893</v>
      </c>
      <c r="E2858" s="215" t="n">
        <v>46288</v>
      </c>
      <c r="F2858" s="215" t="n">
        <v>46288</v>
      </c>
    </row>
    <row r="2859">
      <c r="A2859" s="215" t="n">
        <v>46289</v>
      </c>
      <c r="B2859" s="216" t="n">
        <v>18.74</v>
      </c>
      <c r="C2859" s="216" t="n">
        <v>45.53</v>
      </c>
      <c r="D2859" s="216" t="n">
        <v>1.16852605342865</v>
      </c>
      <c r="E2859" s="215" t="n">
        <v>46289</v>
      </c>
      <c r="F2859" s="215" t="n">
        <v>46289</v>
      </c>
    </row>
    <row r="2860">
      <c r="A2860" s="215" t="n">
        <v>46290</v>
      </c>
      <c r="B2860" s="216" t="n">
        <v>18.13</v>
      </c>
      <c r="C2860" s="216" t="n">
        <v>45.53</v>
      </c>
      <c r="D2860" s="216" t="n">
        <v>1.168424010276794</v>
      </c>
      <c r="E2860" s="215" t="n">
        <v>46289</v>
      </c>
      <c r="F2860" s="215" t="n">
        <v>46290</v>
      </c>
    </row>
    <row r="2861">
      <c r="A2861" s="215" t="n">
        <v>46293</v>
      </c>
      <c r="B2861" s="216" t="n">
        <v>17.49</v>
      </c>
      <c r="C2861" s="216" t="n">
        <v>42.6</v>
      </c>
      <c r="D2861" s="216" t="n">
        <v>1.168378949165344</v>
      </c>
      <c r="E2861" s="215" t="n">
        <v>46293</v>
      </c>
      <c r="F2861" s="215" t="n">
        <v>46293</v>
      </c>
    </row>
    <row r="2862">
      <c r="A2862" s="215" t="n">
        <v>46294</v>
      </c>
      <c r="B2862" s="216" t="n">
        <v>17.69</v>
      </c>
      <c r="C2862" s="216" t="n">
        <v>41.95</v>
      </c>
      <c r="D2862" s="216" t="n">
        <v>1.168815970420837</v>
      </c>
      <c r="E2862" s="215" t="n">
        <v>46294</v>
      </c>
      <c r="F2862" s="215" t="n">
        <v>46294</v>
      </c>
    </row>
    <row r="2863">
      <c r="A2863" s="215" t="n">
        <v>46295</v>
      </c>
      <c r="B2863" s="216" t="n">
        <v>17.87</v>
      </c>
      <c r="C2863" s="216" t="n">
        <v>42.41</v>
      </c>
      <c r="D2863" s="216" t="n">
        <v>1.17059600353241</v>
      </c>
      <c r="E2863" s="215" t="n">
        <v>46295</v>
      </c>
      <c r="F2863" s="215" t="n">
        <v>46295</v>
      </c>
    </row>
    <row r="2864">
      <c r="A2864" s="215" t="n">
        <v>46297</v>
      </c>
      <c r="B2864" s="216" t="n">
        <v>17.5</v>
      </c>
      <c r="C2864" s="216" t="n">
        <v>42.41</v>
      </c>
      <c r="D2864" s="216" t="n">
        <v>1.170220971107483</v>
      </c>
      <c r="E2864" s="215" t="n">
        <v>46295</v>
      </c>
      <c r="F2864" s="215" t="n">
        <v>46297</v>
      </c>
    </row>
    <row r="2865">
      <c r="A2865" s="215" t="n">
        <v>45552</v>
      </c>
      <c r="B2865" s="216" t="n">
        <v>59.1</v>
      </c>
      <c r="C2865" s="216" t="n">
        <v>63.51</v>
      </c>
      <c r="D2865" s="216" t="n">
        <v>1.098492980003357</v>
      </c>
      <c r="E2865" s="215" t="n">
        <v>45548</v>
      </c>
      <c r="F2865" s="215" t="n">
        <v>45552</v>
      </c>
    </row>
    <row r="2866">
      <c r="A2866" s="215" t="n">
        <v>45554</v>
      </c>
      <c r="B2866" s="216" t="n">
        <v>64.25</v>
      </c>
      <c r="C2866" s="216" t="n">
        <v>65.28</v>
      </c>
      <c r="D2866" s="216" t="n">
        <v>1.10042405128479</v>
      </c>
      <c r="E2866" s="215" t="n">
        <v>45554</v>
      </c>
      <c r="F2866" s="215" t="n">
        <v>45554</v>
      </c>
    </row>
    <row r="2867">
      <c r="A2867" s="215" t="n">
        <v>45555</v>
      </c>
      <c r="B2867" s="216" t="n">
        <v>64</v>
      </c>
      <c r="C2867" s="216" t="n">
        <v>66.06</v>
      </c>
      <c r="D2867" s="216" t="n">
        <v>1.102666974067688</v>
      </c>
      <c r="E2867" s="215" t="n">
        <v>45555</v>
      </c>
      <c r="F2867" s="215" t="n">
        <v>45555</v>
      </c>
    </row>
    <row r="2868">
      <c r="A2868" s="215" t="n">
        <v>45558</v>
      </c>
      <c r="B2868" s="216" t="n">
        <v>67.59999999999999</v>
      </c>
      <c r="C2868" s="216" t="n">
        <v>67.59999999999999</v>
      </c>
      <c r="D2868" s="216" t="n">
        <v>1.104709982872009</v>
      </c>
      <c r="E2868" s="215" t="n">
        <v>45558</v>
      </c>
      <c r="F2868" s="215" t="n">
        <v>45558</v>
      </c>
    </row>
    <row r="2869">
      <c r="A2869" s="215" t="n">
        <v>45559</v>
      </c>
      <c r="B2869" s="216" t="n">
        <v>70.15000000000001</v>
      </c>
      <c r="C2869" s="216" t="n">
        <v>68.04000000000001</v>
      </c>
      <c r="D2869" s="216" t="n">
        <v>1.104027032852173</v>
      </c>
      <c r="E2869" s="215" t="n">
        <v>45559</v>
      </c>
      <c r="F2869" s="215" t="n">
        <v>45559</v>
      </c>
    </row>
    <row r="2870">
      <c r="A2870" s="215" t="n">
        <v>45560</v>
      </c>
      <c r="B2870" s="216" t="n">
        <v>70.7</v>
      </c>
      <c r="C2870" s="216" t="n">
        <v>70.11</v>
      </c>
      <c r="D2870" s="216" t="n">
        <v>1.106814026832581</v>
      </c>
      <c r="E2870" s="215" t="n">
        <v>45560</v>
      </c>
      <c r="F2870" s="215" t="n">
        <v>45560</v>
      </c>
    </row>
    <row r="2871">
      <c r="A2871" s="215" t="n">
        <v>45561</v>
      </c>
      <c r="B2871" s="216" t="n">
        <v>77.7</v>
      </c>
      <c r="C2871" s="216" t="n">
        <v>73.56</v>
      </c>
      <c r="D2871" s="216" t="n">
        <v>1.106874942779541</v>
      </c>
      <c r="E2871" s="215" t="n">
        <v>45561</v>
      </c>
      <c r="F2871" s="215" t="n">
        <v>45561</v>
      </c>
    </row>
    <row r="2872">
      <c r="A2872" s="215" t="n">
        <v>45562</v>
      </c>
      <c r="B2872" s="216" t="n">
        <v>74.2</v>
      </c>
      <c r="C2872" s="216" t="n">
        <v>73</v>
      </c>
      <c r="D2872" s="216" t="n">
        <v>1.10965895652771</v>
      </c>
      <c r="E2872" s="215" t="n">
        <v>45562</v>
      </c>
      <c r="F2872" s="215" t="n">
        <v>45562</v>
      </c>
    </row>
    <row r="2873">
      <c r="A2873" s="215" t="n">
        <v>45565</v>
      </c>
      <c r="B2873" s="216" t="n">
        <v>74.25</v>
      </c>
      <c r="C2873" s="216" t="n">
        <v>76.06</v>
      </c>
      <c r="D2873" s="216" t="n">
        <v>1.10850203037262</v>
      </c>
      <c r="E2873" s="215" t="n">
        <v>45565</v>
      </c>
      <c r="F2873" s="215" t="n">
        <v>45565</v>
      </c>
    </row>
    <row r="2874">
      <c r="A2874" s="215" t="n">
        <v>45567</v>
      </c>
      <c r="B2874" s="216" t="n">
        <v>93.3</v>
      </c>
      <c r="C2874" s="216" t="n">
        <v>76.06</v>
      </c>
      <c r="D2874" s="216" t="n">
        <v>1.105224967002869</v>
      </c>
      <c r="E2874" s="215" t="n">
        <v>45565</v>
      </c>
      <c r="F2874" s="215" t="n">
        <v>45567</v>
      </c>
    </row>
    <row r="2875">
      <c r="A2875" s="215" t="n">
        <v>45568</v>
      </c>
      <c r="B2875" s="216" t="n">
        <v>85</v>
      </c>
      <c r="C2875" s="216" t="n">
        <v>76.06</v>
      </c>
      <c r="D2875" s="216" t="n">
        <v>1.10276198387146</v>
      </c>
      <c r="E2875" s="215" t="n">
        <v>45565</v>
      </c>
      <c r="F2875" s="215" t="n">
        <v>45568</v>
      </c>
    </row>
    <row r="2876">
      <c r="A2876" s="215" t="n">
        <v>45569</v>
      </c>
      <c r="B2876" s="216" t="n">
        <v>93</v>
      </c>
      <c r="C2876" s="216" t="n">
        <v>76.06</v>
      </c>
      <c r="D2876" s="216" t="n">
        <v>1.10200297832489</v>
      </c>
      <c r="E2876" s="215" t="n">
        <v>45565</v>
      </c>
      <c r="F2876" s="215" t="n">
        <v>45569</v>
      </c>
    </row>
    <row r="2877">
      <c r="A2877" s="215" t="n">
        <v>45572</v>
      </c>
      <c r="B2877" s="216" t="n">
        <v>95</v>
      </c>
      <c r="C2877" s="216" t="n">
        <v>76.06</v>
      </c>
      <c r="D2877" s="216" t="n">
        <v>1.10656201839447</v>
      </c>
      <c r="E2877" s="215" t="n">
        <v>45565</v>
      </c>
      <c r="F2877" s="215" t="n">
        <v>45572</v>
      </c>
    </row>
    <row r="2878">
      <c r="A2878" s="215" t="n">
        <v>45573</v>
      </c>
      <c r="B2878" s="216" t="n">
        <v>84.15000000000001</v>
      </c>
      <c r="C2878" s="216" t="n">
        <v>80.19</v>
      </c>
      <c r="D2878" s="216" t="n">
        <v>1.106070041656494</v>
      </c>
      <c r="E2878" s="215" t="n">
        <v>45573</v>
      </c>
      <c r="F2878" s="215" t="n">
        <v>45573</v>
      </c>
    </row>
    <row r="2879">
      <c r="A2879" s="215" t="n">
        <v>45574</v>
      </c>
      <c r="B2879" s="216" t="n">
        <v>83</v>
      </c>
      <c r="C2879" s="216" t="n">
        <v>75.01000000000001</v>
      </c>
      <c r="D2879" s="216" t="n">
        <v>1.101308941841125</v>
      </c>
      <c r="E2879" s="215" t="n">
        <v>45574</v>
      </c>
      <c r="F2879" s="215" t="n">
        <v>45574</v>
      </c>
    </row>
    <row r="2880">
      <c r="A2880" s="215" t="n">
        <v>45575</v>
      </c>
      <c r="B2880" s="216" t="n">
        <v>84.75</v>
      </c>
      <c r="C2880" s="216" t="n">
        <v>78.3</v>
      </c>
      <c r="D2880" s="216" t="n">
        <v>1.09762704372406</v>
      </c>
      <c r="E2880" s="215" t="n">
        <v>45575</v>
      </c>
      <c r="F2880" s="215" t="n">
        <v>45575</v>
      </c>
    </row>
    <row r="2881">
      <c r="A2881" s="215" t="n">
        <v>45579</v>
      </c>
      <c r="B2881" s="216" t="n">
        <v>81.55</v>
      </c>
      <c r="C2881" s="216" t="n">
        <v>79</v>
      </c>
      <c r="D2881" s="216" t="n">
        <v>1.099969029426575</v>
      </c>
      <c r="E2881" s="215" t="n">
        <v>45579</v>
      </c>
      <c r="F2881" s="215" t="n">
        <v>45579</v>
      </c>
    </row>
    <row r="2882">
      <c r="A2882" s="215" t="n">
        <v>45580</v>
      </c>
      <c r="B2882" s="216" t="n">
        <v>79.40000000000001</v>
      </c>
      <c r="C2882" s="216" t="n">
        <v>76</v>
      </c>
      <c r="D2882" s="216" t="n">
        <v>1.095134019851685</v>
      </c>
      <c r="E2882" s="215" t="n">
        <v>45580</v>
      </c>
      <c r="F2882" s="215" t="n">
        <v>45580</v>
      </c>
    </row>
    <row r="2883">
      <c r="A2883" s="215" t="n">
        <v>45581</v>
      </c>
      <c r="B2883" s="216" t="n">
        <v>77.55</v>
      </c>
      <c r="C2883" s="216" t="n">
        <v>75.23999999999999</v>
      </c>
      <c r="D2883" s="216" t="n">
        <v>1.091102957725525</v>
      </c>
      <c r="E2883" s="215" t="n">
        <v>45581</v>
      </c>
      <c r="F2883" s="215" t="n">
        <v>45581</v>
      </c>
    </row>
    <row r="2884">
      <c r="A2884" s="215" t="n">
        <v>45582</v>
      </c>
      <c r="B2884" s="216" t="n">
        <v>74</v>
      </c>
      <c r="C2884" s="216" t="n">
        <v>73.08</v>
      </c>
      <c r="D2884" s="216" t="n">
        <v>1.091408967971802</v>
      </c>
      <c r="E2884" s="215" t="n">
        <v>45582</v>
      </c>
      <c r="F2884" s="215" t="n">
        <v>45582</v>
      </c>
    </row>
    <row r="2885">
      <c r="A2885" s="215" t="n">
        <v>45583</v>
      </c>
      <c r="B2885" s="216" t="n">
        <v>76.3</v>
      </c>
      <c r="C2885" s="216" t="n">
        <v>75.01000000000001</v>
      </c>
      <c r="D2885" s="216" t="n">
        <v>1.090952038764954</v>
      </c>
      <c r="E2885" s="215" t="n">
        <v>45583</v>
      </c>
      <c r="F2885" s="215" t="n">
        <v>45583</v>
      </c>
    </row>
    <row r="2886">
      <c r="A2886" s="215" t="n">
        <v>45586</v>
      </c>
      <c r="B2886" s="216" t="n">
        <v>74.90000000000001</v>
      </c>
      <c r="C2886" s="216" t="n">
        <v>74.08</v>
      </c>
      <c r="D2886" s="216" t="n">
        <v>1.09406304359436</v>
      </c>
      <c r="E2886" s="215" t="n">
        <v>45586</v>
      </c>
      <c r="F2886" s="215" t="n">
        <v>45586</v>
      </c>
    </row>
    <row r="2887">
      <c r="A2887" s="215" t="n">
        <v>45587</v>
      </c>
      <c r="B2887" s="216" t="n">
        <v>77.65000000000001</v>
      </c>
      <c r="C2887" s="216" t="n">
        <v>76.5</v>
      </c>
      <c r="D2887" s="216" t="n">
        <v>1.091953992843628</v>
      </c>
      <c r="E2887" s="215" t="n">
        <v>45587</v>
      </c>
      <c r="F2887" s="215" t="n">
        <v>45587</v>
      </c>
    </row>
    <row r="2888">
      <c r="A2888" s="215" t="n">
        <v>45588</v>
      </c>
      <c r="B2888" s="216" t="n">
        <v>78.45</v>
      </c>
      <c r="C2888" s="216" t="n">
        <v>76.38</v>
      </c>
      <c r="D2888" s="216" t="n">
        <v>1.091060042381287</v>
      </c>
      <c r="E2888" s="215" t="n">
        <v>45588</v>
      </c>
      <c r="F2888" s="215" t="n">
        <v>45588</v>
      </c>
    </row>
    <row r="2889">
      <c r="A2889" s="215" t="n">
        <v>45589</v>
      </c>
      <c r="B2889" s="216" t="n">
        <v>77.05</v>
      </c>
      <c r="C2889" s="216" t="n">
        <v>75.64</v>
      </c>
      <c r="D2889" s="216" t="n">
        <v>1.090194940567017</v>
      </c>
      <c r="E2889" s="215" t="n">
        <v>45589</v>
      </c>
      <c r="F2889" s="215" t="n">
        <v>45589</v>
      </c>
    </row>
    <row r="2890">
      <c r="A2890" s="215" t="n">
        <v>45590</v>
      </c>
      <c r="B2890" s="216" t="n">
        <v>78</v>
      </c>
      <c r="C2890" s="216" t="n">
        <v>75.27</v>
      </c>
      <c r="D2890" s="216" t="n">
        <v>1.091233015060425</v>
      </c>
      <c r="E2890" s="215" t="n">
        <v>45590</v>
      </c>
      <c r="F2890" s="215" t="n">
        <v>45590</v>
      </c>
    </row>
    <row r="2891">
      <c r="A2891" s="215" t="n">
        <v>45593</v>
      </c>
      <c r="B2891" s="216" t="n">
        <v>78.05</v>
      </c>
      <c r="C2891" s="216" t="n">
        <v>74.87</v>
      </c>
      <c r="D2891" s="216" t="n">
        <v>1.091169953346252</v>
      </c>
      <c r="E2891" s="215" t="n">
        <v>45593</v>
      </c>
      <c r="F2891" s="215" t="n">
        <v>45593</v>
      </c>
    </row>
    <row r="2892">
      <c r="A2892" s="215" t="n">
        <v>45594</v>
      </c>
      <c r="B2892" s="216" t="n">
        <v>77</v>
      </c>
      <c r="C2892" s="216" t="n">
        <v>74.06999999999999</v>
      </c>
      <c r="D2892" s="216" t="n">
        <v>1.090175032615662</v>
      </c>
      <c r="E2892" s="215" t="n">
        <v>45594</v>
      </c>
      <c r="F2892" s="215" t="n">
        <v>45594</v>
      </c>
    </row>
    <row r="2893">
      <c r="A2893" s="215" t="n">
        <v>45595</v>
      </c>
      <c r="B2893" s="216" t="n">
        <v>74</v>
      </c>
      <c r="C2893" s="216" t="n">
        <v>72.75</v>
      </c>
      <c r="D2893" s="216" t="n">
        <v>1.089673042297363</v>
      </c>
      <c r="E2893" s="215" t="n">
        <v>45595</v>
      </c>
      <c r="F2893" s="215" t="n">
        <v>45595</v>
      </c>
    </row>
    <row r="2894">
      <c r="A2894" s="215" t="n">
        <v>45596</v>
      </c>
      <c r="B2894" s="216" t="n">
        <v>73.05</v>
      </c>
      <c r="C2894" s="216" t="n">
        <v>71.42</v>
      </c>
      <c r="D2894" s="216" t="n">
        <v>1.091989994049072</v>
      </c>
      <c r="E2894" s="215" t="n">
        <v>45596</v>
      </c>
      <c r="F2894" s="215" t="n">
        <v>45596</v>
      </c>
    </row>
    <row r="2895">
      <c r="A2895" s="215" t="n">
        <v>45597</v>
      </c>
      <c r="B2895" s="216" t="n">
        <v>71.15000000000001</v>
      </c>
      <c r="C2895" s="216" t="n">
        <v>72.25</v>
      </c>
      <c r="D2895" s="216" t="n">
        <v>1.091570019721985</v>
      </c>
      <c r="E2895" s="215" t="n">
        <v>45597</v>
      </c>
      <c r="F2895" s="215" t="n">
        <v>45597</v>
      </c>
    </row>
    <row r="2896">
      <c r="A2896" s="215" t="n">
        <v>45600</v>
      </c>
      <c r="B2896" s="216" t="n">
        <v>72.25</v>
      </c>
      <c r="C2896" s="216" t="n">
        <v>72.84</v>
      </c>
      <c r="D2896" s="216" t="n">
        <v>1.091678023338318</v>
      </c>
      <c r="E2896" s="215" t="n">
        <v>45600</v>
      </c>
      <c r="F2896" s="215" t="n">
        <v>45600</v>
      </c>
    </row>
    <row r="2897">
      <c r="A2897" s="215" t="n">
        <v>45601</v>
      </c>
      <c r="B2897" s="216" t="n">
        <v>74</v>
      </c>
      <c r="C2897" s="216" t="n">
        <v>73.13</v>
      </c>
      <c r="D2897" s="216" t="n">
        <v>1.094761967658997</v>
      </c>
      <c r="E2897" s="215" t="n">
        <v>45601</v>
      </c>
      <c r="F2897" s="215" t="n">
        <v>45601</v>
      </c>
    </row>
    <row r="2898">
      <c r="A2898" s="215" t="n">
        <v>45602</v>
      </c>
      <c r="B2898" s="216" t="n">
        <v>70.90000000000001</v>
      </c>
      <c r="C2898" s="216" t="n">
        <v>71.17</v>
      </c>
      <c r="D2898" s="216" t="n">
        <v>1.094082951545715</v>
      </c>
      <c r="E2898" s="215" t="n">
        <v>45602</v>
      </c>
      <c r="F2898" s="215" t="n">
        <v>45602</v>
      </c>
    </row>
    <row r="2899">
      <c r="A2899" s="215" t="n">
        <v>45603</v>
      </c>
      <c r="B2899" s="216" t="n">
        <v>70.05</v>
      </c>
      <c r="C2899" s="216" t="n">
        <v>72.09999999999999</v>
      </c>
      <c r="D2899" s="216" t="n">
        <v>1.083237051963806</v>
      </c>
      <c r="E2899" s="215" t="n">
        <v>45603</v>
      </c>
      <c r="F2899" s="215" t="n">
        <v>45603</v>
      </c>
    </row>
    <row r="2900">
      <c r="A2900" s="215" t="n">
        <v>45604</v>
      </c>
      <c r="B2900" s="216" t="n">
        <v>72</v>
      </c>
      <c r="C2900" s="216" t="n">
        <v>72.58</v>
      </c>
      <c r="D2900" s="216" t="n">
        <v>1.087854027748108</v>
      </c>
      <c r="E2900" s="215" t="n">
        <v>45604</v>
      </c>
      <c r="F2900" s="215" t="n">
        <v>45604</v>
      </c>
    </row>
    <row r="2901">
      <c r="A2901" s="215" t="n">
        <v>45607</v>
      </c>
      <c r="B2901" s="216" t="n">
        <v>71.75</v>
      </c>
      <c r="C2901" s="216" t="n">
        <v>71.59999999999999</v>
      </c>
      <c r="D2901" s="216" t="n">
        <v>1.082896947860718</v>
      </c>
      <c r="E2901" s="215" t="n">
        <v>45607</v>
      </c>
      <c r="F2901" s="215" t="n">
        <v>45607</v>
      </c>
    </row>
    <row r="2902">
      <c r="A2902" s="215" t="n">
        <v>45608</v>
      </c>
      <c r="B2902" s="216" t="n">
        <v>71.05</v>
      </c>
      <c r="C2902" s="216" t="n">
        <v>72.39</v>
      </c>
      <c r="D2902" s="216" t="n">
        <v>1.077934980392456</v>
      </c>
      <c r="E2902" s="215" t="n">
        <v>45608</v>
      </c>
      <c r="F2902" s="215" t="n">
        <v>45608</v>
      </c>
    </row>
    <row r="2903">
      <c r="A2903" s="215" t="n">
        <v>45609</v>
      </c>
      <c r="B2903" s="216" t="n">
        <v>72.34999999999999</v>
      </c>
      <c r="C2903" s="216" t="n">
        <v>73.40000000000001</v>
      </c>
      <c r="D2903" s="216" t="n">
        <v>1.075376033782959</v>
      </c>
      <c r="E2903" s="215" t="n">
        <v>45609</v>
      </c>
      <c r="F2903" s="215" t="n">
        <v>45609</v>
      </c>
    </row>
    <row r="2904">
      <c r="A2904" s="215" t="n">
        <v>45610</v>
      </c>
      <c r="B2904" s="216" t="n">
        <v>71</v>
      </c>
      <c r="C2904" s="216" t="n">
        <v>73.64</v>
      </c>
      <c r="D2904" s="216" t="n">
        <v>1.07691502571106</v>
      </c>
      <c r="E2904" s="215" t="n">
        <v>45610</v>
      </c>
      <c r="F2904" s="215" t="n">
        <v>45610</v>
      </c>
    </row>
    <row r="2905">
      <c r="A2905" s="215" t="n">
        <v>45611</v>
      </c>
      <c r="B2905" s="216" t="n">
        <v>70.40000000000001</v>
      </c>
      <c r="C2905" s="216" t="n">
        <v>72.25</v>
      </c>
      <c r="D2905" s="216" t="n">
        <v>1.07588803768158</v>
      </c>
      <c r="E2905" s="215" t="n">
        <v>45611</v>
      </c>
      <c r="F2905" s="215" t="n">
        <v>45611</v>
      </c>
    </row>
    <row r="2906">
      <c r="A2906" s="215" t="n">
        <v>45614</v>
      </c>
      <c r="B2906" s="216" t="n">
        <v>69.8</v>
      </c>
      <c r="C2906" s="216" t="n">
        <v>71.05</v>
      </c>
      <c r="D2906" s="216" t="n">
        <v>1.076550960540771</v>
      </c>
      <c r="E2906" s="215" t="n">
        <v>45614</v>
      </c>
      <c r="F2906" s="215" t="n">
        <v>45614</v>
      </c>
    </row>
    <row r="2907">
      <c r="A2907" s="215" t="n">
        <v>45615</v>
      </c>
      <c r="B2907" s="216" t="n">
        <v>70.15000000000001</v>
      </c>
      <c r="C2907" s="216" t="n">
        <v>71.31</v>
      </c>
      <c r="D2907" s="216" t="n">
        <v>1.075461030006409</v>
      </c>
      <c r="E2907" s="215" t="n">
        <v>45615</v>
      </c>
      <c r="F2907" s="215" t="n">
        <v>45615</v>
      </c>
    </row>
    <row r="2908">
      <c r="A2908" s="215" t="n">
        <v>45616</v>
      </c>
      <c r="B2908" s="216" t="n">
        <v>69.3</v>
      </c>
      <c r="C2908" s="216" t="n">
        <v>71.43000000000001</v>
      </c>
      <c r="D2908" s="216" t="n">
        <v>1.075147032737732</v>
      </c>
      <c r="E2908" s="215" t="n">
        <v>45616</v>
      </c>
      <c r="F2908" s="215" t="n">
        <v>45616</v>
      </c>
    </row>
    <row r="2909">
      <c r="A2909" s="215" t="n">
        <v>45617</v>
      </c>
      <c r="B2909" s="216" t="n">
        <v>67.09999999999999</v>
      </c>
      <c r="C2909" s="216" t="n">
        <v>70.84</v>
      </c>
      <c r="D2909" s="216" t="n">
        <v>1.074183940887451</v>
      </c>
      <c r="E2909" s="215" t="n">
        <v>45617</v>
      </c>
      <c r="F2909" s="215" t="n">
        <v>45617</v>
      </c>
    </row>
    <row r="2910">
      <c r="A2910" s="215" t="n">
        <v>45618</v>
      </c>
      <c r="B2910" s="216" t="n">
        <v>67.84999999999999</v>
      </c>
      <c r="C2910" s="216" t="n">
        <v>70.39</v>
      </c>
      <c r="D2910" s="216" t="n">
        <v>1.075669050216675</v>
      </c>
      <c r="E2910" s="215" t="n">
        <v>45618</v>
      </c>
      <c r="F2910" s="215" t="n">
        <v>45618</v>
      </c>
    </row>
    <row r="2911">
      <c r="A2911" s="215" t="n">
        <v>45621</v>
      </c>
      <c r="B2911" s="216" t="n">
        <v>70.75</v>
      </c>
      <c r="C2911" s="216" t="n">
        <v>70.39</v>
      </c>
      <c r="D2911" s="216" t="n">
        <v>1.074473023414612</v>
      </c>
      <c r="E2911" s="215" t="n">
        <v>45621</v>
      </c>
      <c r="F2911" s="215" t="n">
        <v>45621</v>
      </c>
    </row>
    <row r="2912">
      <c r="A2912" s="215" t="n">
        <v>45622</v>
      </c>
      <c r="B2912" s="216" t="n">
        <v>70</v>
      </c>
      <c r="C2912" s="216" t="n">
        <v>70.59999999999999</v>
      </c>
      <c r="D2912" s="216" t="n">
        <v>1.073958039283752</v>
      </c>
      <c r="E2912" s="215" t="n">
        <v>45622</v>
      </c>
      <c r="F2912" s="215" t="n">
        <v>45622</v>
      </c>
    </row>
    <row r="2913">
      <c r="A2913" s="215" t="n">
        <v>45623</v>
      </c>
      <c r="B2913" s="216" t="n">
        <v>73</v>
      </c>
      <c r="C2913" s="216" t="n">
        <v>71.31999999999999</v>
      </c>
      <c r="D2913" s="216" t="n">
        <v>1.073114991188049</v>
      </c>
      <c r="E2913" s="215" t="n">
        <v>45623</v>
      </c>
      <c r="F2913" s="215" t="n">
        <v>45623</v>
      </c>
    </row>
    <row r="2914">
      <c r="A2914" s="215" t="n">
        <v>45624</v>
      </c>
      <c r="B2914" s="216" t="n">
        <v>70.8</v>
      </c>
      <c r="C2914" s="216" t="n">
        <v>70.19</v>
      </c>
      <c r="D2914" s="216" t="n">
        <v>1.073555946350098</v>
      </c>
      <c r="E2914" s="215" t="n">
        <v>45624</v>
      </c>
      <c r="F2914" s="215" t="n">
        <v>45624</v>
      </c>
    </row>
    <row r="2915">
      <c r="A2915" s="215" t="n">
        <v>45625</v>
      </c>
      <c r="B2915" s="216" t="n">
        <v>69.34999999999999</v>
      </c>
      <c r="C2915" s="216" t="n">
        <v>70.13</v>
      </c>
      <c r="D2915" s="216" t="n">
        <v>1.074349999427795</v>
      </c>
      <c r="E2915" s="215" t="n">
        <v>45625</v>
      </c>
      <c r="F2915" s="215" t="n">
        <v>45625</v>
      </c>
    </row>
    <row r="2916">
      <c r="A2916" s="215" t="n">
        <v>45628</v>
      </c>
      <c r="B2916" s="216" t="n">
        <v>70</v>
      </c>
      <c r="C2916" s="216" t="n">
        <v>70.08</v>
      </c>
      <c r="D2916" s="216" t="n">
        <v>1.074655055999756</v>
      </c>
      <c r="E2916" s="215" t="n">
        <v>45628</v>
      </c>
      <c r="F2916" s="215" t="n">
        <v>45628</v>
      </c>
    </row>
    <row r="2917">
      <c r="A2917" s="215" t="n">
        <v>45629</v>
      </c>
      <c r="B2917" s="216" t="n">
        <v>70.8</v>
      </c>
      <c r="C2917" s="216" t="n">
        <v>69.84999999999999</v>
      </c>
      <c r="D2917" s="216" t="n">
        <v>1.069697022438049</v>
      </c>
      <c r="E2917" s="215" t="n">
        <v>45629</v>
      </c>
      <c r="F2917" s="215" t="n">
        <v>45629</v>
      </c>
    </row>
    <row r="2918">
      <c r="A2918" s="215" t="n">
        <v>45630</v>
      </c>
      <c r="B2918" s="216" t="n">
        <v>74.3</v>
      </c>
      <c r="C2918" s="216" t="n">
        <v>71.48999999999999</v>
      </c>
      <c r="D2918" s="216" t="n">
        <v>1.068164944648743</v>
      </c>
      <c r="E2918" s="215" t="n">
        <v>45630</v>
      </c>
      <c r="F2918" s="215" t="n">
        <v>45630</v>
      </c>
    </row>
    <row r="2919">
      <c r="A2919" s="215" t="n">
        <v>45631</v>
      </c>
      <c r="B2919" s="216" t="n">
        <v>74.09999999999999</v>
      </c>
      <c r="C2919" s="216" t="n">
        <v>71.72</v>
      </c>
      <c r="D2919" s="216" t="n">
        <v>1.071516990661621</v>
      </c>
      <c r="E2919" s="215" t="n">
        <v>45631</v>
      </c>
      <c r="F2919" s="215" t="n">
        <v>45631</v>
      </c>
    </row>
    <row r="2920">
      <c r="A2920" s="215" t="n">
        <v>45632</v>
      </c>
      <c r="B2920" s="216" t="n">
        <v>71.55</v>
      </c>
      <c r="C2920" s="216" t="n">
        <v>72.84999999999999</v>
      </c>
      <c r="D2920" s="216" t="n">
        <v>1.07178795337677</v>
      </c>
      <c r="E2920" s="215" t="n">
        <v>45632</v>
      </c>
      <c r="F2920" s="215" t="n">
        <v>45632</v>
      </c>
    </row>
    <row r="2921">
      <c r="A2921" s="215" t="n">
        <v>45635</v>
      </c>
      <c r="B2921" s="216" t="n">
        <v>77.40000000000001</v>
      </c>
      <c r="C2921" s="216" t="n">
        <v>73.13</v>
      </c>
      <c r="D2921" s="216" t="n">
        <v>1.070058941841125</v>
      </c>
      <c r="E2921" s="215" t="n">
        <v>45635</v>
      </c>
      <c r="F2921" s="215" t="n">
        <v>45635</v>
      </c>
    </row>
    <row r="2922">
      <c r="A2922" s="215" t="n">
        <v>45636</v>
      </c>
      <c r="B2922" s="216" t="n">
        <v>75.55</v>
      </c>
      <c r="C2922" s="216" t="n">
        <v>73.84</v>
      </c>
      <c r="D2922" s="216" t="n">
        <v>1.07076895236969</v>
      </c>
      <c r="E2922" s="215" t="n">
        <v>45636</v>
      </c>
      <c r="F2922" s="215" t="n">
        <v>45636</v>
      </c>
    </row>
    <row r="2923">
      <c r="A2923" s="215" t="n">
        <v>45637</v>
      </c>
      <c r="B2923" s="216" t="n">
        <v>77</v>
      </c>
      <c r="C2923" s="216" t="n">
        <v>75.09999999999999</v>
      </c>
      <c r="D2923" s="216" t="n">
        <v>1.072139024734497</v>
      </c>
      <c r="E2923" s="215" t="n">
        <v>45637</v>
      </c>
      <c r="F2923" s="215" t="n">
        <v>45637</v>
      </c>
    </row>
    <row r="2924">
      <c r="A2924" s="215" t="n">
        <v>45638</v>
      </c>
      <c r="B2924" s="216" t="n">
        <v>76.90000000000001</v>
      </c>
      <c r="C2924" s="216" t="n">
        <v>75.56</v>
      </c>
      <c r="D2924" s="216" t="n">
        <v>1.070543050765991</v>
      </c>
      <c r="E2924" s="215" t="n">
        <v>45638</v>
      </c>
      <c r="F2924" s="215" t="n">
        <v>45638</v>
      </c>
    </row>
    <row r="2925">
      <c r="A2925" s="215" t="n">
        <v>45639</v>
      </c>
      <c r="B2925" s="216" t="n">
        <v>74.84999999999999</v>
      </c>
      <c r="C2925" s="216" t="n">
        <v>74</v>
      </c>
      <c r="D2925" s="216" t="n">
        <v>1.069535970687866</v>
      </c>
      <c r="E2925" s="215" t="n">
        <v>45639</v>
      </c>
      <c r="F2925" s="215" t="n">
        <v>45639</v>
      </c>
    </row>
    <row r="2926">
      <c r="A2926" s="215" t="n">
        <v>45642</v>
      </c>
      <c r="B2926" s="216" t="n">
        <v>73.09999999999999</v>
      </c>
      <c r="C2926" s="216" t="n">
        <v>73.22</v>
      </c>
      <c r="D2926" s="216" t="n">
        <v>1.068564057350159</v>
      </c>
      <c r="E2926" s="215" t="n">
        <v>45642</v>
      </c>
      <c r="F2926" s="215" t="n">
        <v>45642</v>
      </c>
    </row>
    <row r="2927">
      <c r="A2927" s="215" t="n">
        <v>45643</v>
      </c>
      <c r="B2927" s="216" t="n">
        <v>74.59999999999999</v>
      </c>
      <c r="C2927" s="216" t="n">
        <v>73.67</v>
      </c>
      <c r="D2927" s="216" t="n">
        <v>1.06734299659729</v>
      </c>
      <c r="E2927" s="215" t="n">
        <v>45643</v>
      </c>
      <c r="F2927" s="215" t="n">
        <v>45643</v>
      </c>
    </row>
    <row r="2928">
      <c r="A2928" s="215" t="n">
        <v>45644</v>
      </c>
      <c r="B2928" s="216" t="n">
        <v>76.15000000000001</v>
      </c>
      <c r="C2928" s="216" t="n">
        <v>74.09999999999999</v>
      </c>
      <c r="D2928" s="216" t="n">
        <v>1.066388010978699</v>
      </c>
      <c r="E2928" s="215" t="n">
        <v>45644</v>
      </c>
      <c r="F2928" s="215" t="n">
        <v>45644</v>
      </c>
    </row>
    <row r="2929">
      <c r="A2929" s="215" t="n">
        <v>45645</v>
      </c>
      <c r="B2929" s="216" t="n">
        <v>74.8</v>
      </c>
      <c r="C2929" s="216" t="n">
        <v>74.44</v>
      </c>
      <c r="D2929" s="216" t="n">
        <v>1.066426038742065</v>
      </c>
      <c r="E2929" s="215" t="n">
        <v>45645</v>
      </c>
      <c r="F2929" s="215" t="n">
        <v>45645</v>
      </c>
    </row>
    <row r="2930">
      <c r="A2930" s="215" t="n">
        <v>45646</v>
      </c>
      <c r="B2930" s="216" t="n">
        <v>74.65000000000001</v>
      </c>
      <c r="C2930" s="216" t="n">
        <v>74</v>
      </c>
      <c r="D2930" s="216" t="n">
        <v>1.064751029014587</v>
      </c>
      <c r="E2930" s="215" t="n">
        <v>45646</v>
      </c>
      <c r="F2930" s="215" t="n">
        <v>45646</v>
      </c>
    </row>
    <row r="2931">
      <c r="A2931" s="215" t="n">
        <v>45649</v>
      </c>
      <c r="B2931" s="216" t="n">
        <v>75.75</v>
      </c>
      <c r="C2931" s="216" t="n">
        <v>74.61</v>
      </c>
      <c r="D2931" s="216" t="n">
        <v>1.065225005149841</v>
      </c>
      <c r="E2931" s="215" t="n">
        <v>45649</v>
      </c>
      <c r="F2931" s="215" t="n">
        <v>45649</v>
      </c>
    </row>
    <row r="2932">
      <c r="A2932" s="215" t="n">
        <v>45650</v>
      </c>
      <c r="B2932" s="216" t="n">
        <v>77.45</v>
      </c>
      <c r="C2932" s="216" t="n">
        <v>76.25</v>
      </c>
      <c r="D2932" s="216" t="n">
        <v>1.06459105014801</v>
      </c>
      <c r="E2932" s="215" t="n">
        <v>45650</v>
      </c>
      <c r="F2932" s="215" t="n">
        <v>45650</v>
      </c>
    </row>
    <row r="2933">
      <c r="A2933" s="215" t="n">
        <v>45653</v>
      </c>
      <c r="B2933" s="216" t="n">
        <v>76.09999999999999</v>
      </c>
      <c r="C2933" s="216" t="n">
        <v>75.42</v>
      </c>
      <c r="D2933" s="216" t="n">
        <v>1.064249038696289</v>
      </c>
      <c r="E2933" s="215" t="n">
        <v>45653</v>
      </c>
      <c r="F2933" s="215" t="n">
        <v>45653</v>
      </c>
    </row>
    <row r="2934">
      <c r="A2934" s="215" t="n">
        <v>45656</v>
      </c>
      <c r="B2934" s="216" t="n">
        <v>74.95</v>
      </c>
      <c r="C2934" s="216" t="n">
        <v>75.31999999999999</v>
      </c>
      <c r="D2934" s="216" t="n">
        <v>1.063662052154541</v>
      </c>
      <c r="E2934" s="215" t="n">
        <v>45656</v>
      </c>
      <c r="F2934" s="215" t="n">
        <v>45656</v>
      </c>
    </row>
    <row r="2935">
      <c r="A2935" s="215" t="n">
        <v>45657</v>
      </c>
      <c r="B2935" s="216" t="n">
        <v>75.55</v>
      </c>
      <c r="C2935" s="216" t="n">
        <v>75.22</v>
      </c>
      <c r="D2935" s="216" t="n">
        <v>1.063554048538208</v>
      </c>
      <c r="E2935" s="215" t="n">
        <v>45657</v>
      </c>
      <c r="F2935" s="215" t="n">
        <v>45657</v>
      </c>
    </row>
    <row r="2936">
      <c r="A2936" s="215" t="n">
        <v>45659</v>
      </c>
      <c r="B2936" s="216" t="n">
        <v>74.65000000000001</v>
      </c>
      <c r="C2936" s="216" t="n">
        <v>75.31999999999999</v>
      </c>
      <c r="D2936" s="216" t="n">
        <v>1.064368963241577</v>
      </c>
      <c r="E2936" s="215" t="n">
        <v>45659</v>
      </c>
      <c r="F2936" s="215" t="n">
        <v>45659</v>
      </c>
    </row>
    <row r="2937">
      <c r="A2937" s="215" t="n">
        <v>45660</v>
      </c>
      <c r="B2937" s="216" t="n">
        <v>75.3</v>
      </c>
      <c r="C2937" s="216" t="n">
        <v>74.69</v>
      </c>
      <c r="D2937" s="216" t="n">
        <v>1.065240979194641</v>
      </c>
      <c r="E2937" s="215" t="n">
        <v>45660</v>
      </c>
      <c r="F2937" s="215" t="n">
        <v>45660</v>
      </c>
    </row>
    <row r="2938">
      <c r="A2938" s="215" t="n">
        <v>45663</v>
      </c>
      <c r="B2938" s="216" t="n">
        <v>75.3</v>
      </c>
      <c r="C2938" s="216" t="n">
        <v>75.38</v>
      </c>
      <c r="D2938" s="216" t="n">
        <v>1.062374949455261</v>
      </c>
      <c r="E2938" s="215" t="n">
        <v>45663</v>
      </c>
      <c r="F2938" s="215" t="n">
        <v>45663</v>
      </c>
    </row>
    <row r="2939">
      <c r="A2939" s="215" t="n">
        <v>45664</v>
      </c>
      <c r="B2939" s="216" t="n">
        <v>76.65000000000001</v>
      </c>
      <c r="C2939" s="216" t="n">
        <v>75.93000000000001</v>
      </c>
      <c r="D2939" s="216" t="n">
        <v>1.061730027198792</v>
      </c>
      <c r="E2939" s="215" t="n">
        <v>45664</v>
      </c>
      <c r="F2939" s="215" t="n">
        <v>45664</v>
      </c>
    </row>
    <row r="2940">
      <c r="A2940" s="215" t="n">
        <v>45665</v>
      </c>
      <c r="B2940" s="216" t="n">
        <v>79.3</v>
      </c>
      <c r="C2940" s="216" t="n">
        <v>77.58</v>
      </c>
      <c r="D2940" s="216" t="n">
        <v>1.061154961585999</v>
      </c>
      <c r="E2940" s="215" t="n">
        <v>45665</v>
      </c>
      <c r="F2940" s="215" t="n">
        <v>45665</v>
      </c>
    </row>
    <row r="2941">
      <c r="A2941" s="215" t="n">
        <v>45666</v>
      </c>
      <c r="B2941" s="216" t="n">
        <v>80.59999999999999</v>
      </c>
      <c r="C2941" s="216" t="n">
        <v>78.73</v>
      </c>
      <c r="D2941" s="216" t="n">
        <v>1.061004042625427</v>
      </c>
      <c r="E2941" s="215" t="n">
        <v>45666</v>
      </c>
      <c r="F2941" s="215" t="n">
        <v>45666</v>
      </c>
    </row>
    <row r="2942">
      <c r="A2942" s="215" t="n">
        <v>45667</v>
      </c>
      <c r="B2942" s="216" t="n">
        <v>77.05</v>
      </c>
      <c r="C2942" s="216" t="n">
        <v>76.37</v>
      </c>
      <c r="D2942" s="216" t="n">
        <v>1.061197996139526</v>
      </c>
      <c r="E2942" s="215" t="n">
        <v>45667</v>
      </c>
      <c r="F2942" s="215" t="n">
        <v>45667</v>
      </c>
    </row>
    <row r="2943">
      <c r="A2943" s="215" t="n">
        <v>45670</v>
      </c>
      <c r="B2943" s="216" t="n">
        <v>75.3</v>
      </c>
      <c r="C2943" s="216" t="n">
        <v>74.3</v>
      </c>
      <c r="D2943" s="216" t="n">
        <v>1.061838984489441</v>
      </c>
      <c r="E2943" s="215" t="n">
        <v>45670</v>
      </c>
      <c r="F2943" s="215" t="n">
        <v>45670</v>
      </c>
    </row>
    <row r="2944">
      <c r="A2944" s="215" t="n">
        <v>45671</v>
      </c>
      <c r="B2944" s="216" t="n">
        <v>75.05</v>
      </c>
      <c r="C2944" s="216" t="n">
        <v>74.62</v>
      </c>
      <c r="D2944" s="216" t="n">
        <v>1.061681032180786</v>
      </c>
      <c r="E2944" s="215" t="n">
        <v>45671</v>
      </c>
      <c r="F2944" s="215" t="n">
        <v>45671</v>
      </c>
    </row>
    <row r="2945">
      <c r="A2945" s="215" t="n">
        <v>45672</v>
      </c>
      <c r="B2945" s="216" t="n">
        <v>74.8</v>
      </c>
      <c r="C2945" s="216" t="n">
        <v>73.81999999999999</v>
      </c>
      <c r="D2945" s="216" t="n">
        <v>1.062003970146179</v>
      </c>
      <c r="E2945" s="215" t="n">
        <v>45672</v>
      </c>
      <c r="F2945" s="215" t="n">
        <v>45672</v>
      </c>
    </row>
    <row r="2946">
      <c r="A2946" s="215" t="n">
        <v>45673</v>
      </c>
      <c r="B2946" s="216" t="n">
        <v>75</v>
      </c>
      <c r="C2946" s="216" t="n">
        <v>74.09</v>
      </c>
      <c r="D2946" s="216" t="n">
        <v>1.061879992485046</v>
      </c>
      <c r="E2946" s="215" t="n">
        <v>45673</v>
      </c>
      <c r="F2946" s="215" t="n">
        <v>45673</v>
      </c>
    </row>
    <row r="2947">
      <c r="A2947" s="215" t="n">
        <v>45674</v>
      </c>
      <c r="B2947" s="216" t="n">
        <v>75.3</v>
      </c>
      <c r="C2947" s="216" t="n">
        <v>74.34999999999999</v>
      </c>
      <c r="D2947" s="216" t="n">
        <v>1.06210196018219</v>
      </c>
      <c r="E2947" s="215" t="n">
        <v>45674</v>
      </c>
      <c r="F2947" s="215" t="n">
        <v>45674</v>
      </c>
    </row>
    <row r="2948">
      <c r="A2948" s="215" t="n">
        <v>45677</v>
      </c>
      <c r="B2948" s="216" t="n">
        <v>76.34999999999999</v>
      </c>
      <c r="C2948" s="216" t="n">
        <v>74.89</v>
      </c>
      <c r="D2948" s="216" t="n">
        <v>1.062587022781372</v>
      </c>
      <c r="E2948" s="215" t="n">
        <v>45677</v>
      </c>
      <c r="F2948" s="215" t="n">
        <v>45677</v>
      </c>
    </row>
    <row r="2949">
      <c r="A2949" s="215" t="n">
        <v>45678</v>
      </c>
      <c r="B2949" s="216" t="n">
        <v>76.09999999999999</v>
      </c>
      <c r="C2949" s="216" t="n">
        <v>74.40000000000001</v>
      </c>
      <c r="D2949" s="216" t="n">
        <v>1.063603043556213</v>
      </c>
      <c r="E2949" s="215" t="n">
        <v>45678</v>
      </c>
      <c r="F2949" s="215" t="n">
        <v>45678</v>
      </c>
    </row>
    <row r="2950">
      <c r="A2950" s="215" t="n">
        <v>45679</v>
      </c>
      <c r="B2950" s="216" t="n">
        <v>73.40000000000001</v>
      </c>
      <c r="C2950" s="216" t="n">
        <v>73</v>
      </c>
      <c r="D2950" s="216" t="n">
        <v>1.070593953132629</v>
      </c>
      <c r="E2950" s="215" t="n">
        <v>45679</v>
      </c>
      <c r="F2950" s="215" t="n">
        <v>45679</v>
      </c>
    </row>
    <row r="2951">
      <c r="A2951" s="215" t="n">
        <v>45680</v>
      </c>
      <c r="B2951" s="216" t="n">
        <v>73.59999999999999</v>
      </c>
      <c r="C2951" s="216" t="n">
        <v>73.41</v>
      </c>
      <c r="D2951" s="216" t="n">
        <v>1.070641040802002</v>
      </c>
      <c r="E2951" s="215" t="n">
        <v>45680</v>
      </c>
      <c r="F2951" s="215" t="n">
        <v>45680</v>
      </c>
    </row>
    <row r="2952">
      <c r="A2952" s="215" t="n">
        <v>45681</v>
      </c>
      <c r="B2952" s="216" t="n">
        <v>73.3</v>
      </c>
      <c r="C2952" s="216" t="n">
        <v>72.81999999999999</v>
      </c>
      <c r="D2952" s="216" t="n">
        <v>1.068833947181702</v>
      </c>
      <c r="E2952" s="215" t="n">
        <v>45681</v>
      </c>
      <c r="F2952" s="215" t="n">
        <v>45681</v>
      </c>
    </row>
    <row r="2953">
      <c r="A2953" s="215" t="n">
        <v>45684</v>
      </c>
      <c r="B2953" s="216" t="n">
        <v>73.95</v>
      </c>
      <c r="C2953" s="216" t="n">
        <v>73.88</v>
      </c>
      <c r="D2953" s="216" t="n">
        <v>1.075027942657471</v>
      </c>
      <c r="E2953" s="215" t="n">
        <v>45684</v>
      </c>
      <c r="F2953" s="215" t="n">
        <v>45684</v>
      </c>
    </row>
    <row r="2954">
      <c r="A2954" s="215" t="n">
        <v>45685</v>
      </c>
      <c r="B2954" s="216" t="n">
        <v>74.90000000000001</v>
      </c>
      <c r="C2954" s="216" t="n">
        <v>73.88</v>
      </c>
      <c r="D2954" s="216" t="n">
        <v>1.074183940887451</v>
      </c>
      <c r="E2954" s="215" t="n">
        <v>45684</v>
      </c>
      <c r="F2954" s="215" t="n">
        <v>45685</v>
      </c>
    </row>
    <row r="2955">
      <c r="A2955" s="215" t="n">
        <v>45691</v>
      </c>
      <c r="B2955" s="216" t="n">
        <v>74.55</v>
      </c>
      <c r="C2955" s="216" t="n">
        <v>73.88</v>
      </c>
      <c r="D2955" s="216" t="n">
        <v>1.084506034851074</v>
      </c>
      <c r="E2955" s="215" t="n">
        <v>45684</v>
      </c>
      <c r="F2955" s="215" t="n">
        <v>45691</v>
      </c>
    </row>
    <row r="2956">
      <c r="A2956" s="215" t="n">
        <v>45692</v>
      </c>
      <c r="B2956" s="216" t="n">
        <v>75</v>
      </c>
      <c r="C2956" s="216" t="n">
        <v>73.88</v>
      </c>
      <c r="D2956" s="216" t="n">
        <v>1.082739949226379</v>
      </c>
      <c r="E2956" s="215" t="n">
        <v>45684</v>
      </c>
      <c r="F2956" s="215" t="n">
        <v>45692</v>
      </c>
    </row>
    <row r="2957">
      <c r="A2957" s="215" t="n">
        <v>45693</v>
      </c>
      <c r="B2957" s="216" t="n">
        <v>72.65000000000001</v>
      </c>
      <c r="C2957" s="216" t="n">
        <v>72.20999999999999</v>
      </c>
      <c r="D2957" s="216" t="n">
        <v>1.083930015563965</v>
      </c>
      <c r="E2957" s="215" t="n">
        <v>45693</v>
      </c>
      <c r="F2957" s="215" t="n">
        <v>45693</v>
      </c>
    </row>
    <row r="2958">
      <c r="A2958" s="215" t="n">
        <v>45694</v>
      </c>
      <c r="B2958" s="216" t="n">
        <v>73.65000000000001</v>
      </c>
      <c r="C2958" s="216" t="n">
        <v>72.27</v>
      </c>
      <c r="D2958" s="216" t="n">
        <v>1.070767045021057</v>
      </c>
      <c r="E2958" s="215" t="n">
        <v>45694</v>
      </c>
      <c r="F2958" s="215" t="n">
        <v>45694</v>
      </c>
    </row>
    <row r="2959">
      <c r="A2959" s="215" t="n">
        <v>45695</v>
      </c>
      <c r="B2959" s="216" t="n">
        <v>75.3</v>
      </c>
      <c r="C2959" s="216" t="n">
        <v>73.44</v>
      </c>
      <c r="D2959" s="216" t="n">
        <v>1.068161010742188</v>
      </c>
      <c r="E2959" s="215" t="n">
        <v>45695</v>
      </c>
      <c r="F2959" s="215" t="n">
        <v>45695</v>
      </c>
    </row>
    <row r="2960">
      <c r="A2960" s="215" t="n">
        <v>45698</v>
      </c>
      <c r="B2960" s="216" t="n">
        <v>75.5</v>
      </c>
      <c r="C2960" s="216" t="n">
        <v>73.01000000000001</v>
      </c>
      <c r="D2960" s="216" t="n">
        <v>1.068833947181702</v>
      </c>
      <c r="E2960" s="215" t="n">
        <v>45698</v>
      </c>
      <c r="F2960" s="215" t="n">
        <v>45698</v>
      </c>
    </row>
    <row r="2961">
      <c r="A2961" s="215" t="n">
        <v>45699</v>
      </c>
      <c r="B2961" s="216" t="n">
        <v>75</v>
      </c>
      <c r="C2961" s="216" t="n">
        <v>73.7</v>
      </c>
      <c r="D2961" s="216" t="n">
        <v>1.066220045089722</v>
      </c>
      <c r="E2961" s="215" t="n">
        <v>45699</v>
      </c>
      <c r="F2961" s="215" t="n">
        <v>45699</v>
      </c>
    </row>
    <row r="2962">
      <c r="A2962" s="215" t="n">
        <v>45700</v>
      </c>
      <c r="B2962" s="216" t="n">
        <v>74.45</v>
      </c>
      <c r="C2962" s="216" t="n">
        <v>73.28</v>
      </c>
      <c r="D2962" s="216" t="n">
        <v>1.066164970397949</v>
      </c>
      <c r="E2962" s="215" t="n">
        <v>45700</v>
      </c>
      <c r="F2962" s="215" t="n">
        <v>45700</v>
      </c>
    </row>
    <row r="2963">
      <c r="A2963" s="215" t="n">
        <v>45701</v>
      </c>
      <c r="B2963" s="216" t="n">
        <v>73.40000000000001</v>
      </c>
      <c r="C2963" s="216" t="n">
        <v>72.14</v>
      </c>
      <c r="D2963" s="216" t="n">
        <v>1.065642952919006</v>
      </c>
      <c r="E2963" s="215" t="n">
        <v>45701</v>
      </c>
      <c r="F2963" s="215" t="n">
        <v>45701</v>
      </c>
    </row>
    <row r="2964">
      <c r="A2964" s="215" t="n">
        <v>45702</v>
      </c>
      <c r="B2964" s="216" t="n">
        <v>76.09999999999999</v>
      </c>
      <c r="C2964" s="216" t="n">
        <v>72.48999999999999</v>
      </c>
      <c r="D2964" s="216" t="n">
        <v>1.068236947059631</v>
      </c>
      <c r="E2964" s="215" t="n">
        <v>45702</v>
      </c>
      <c r="F2964" s="215" t="n">
        <v>45702</v>
      </c>
    </row>
    <row r="2965">
      <c r="A2965" s="215" t="n">
        <v>45705</v>
      </c>
      <c r="B2965" s="216" t="n">
        <v>74.3</v>
      </c>
      <c r="C2965" s="216" t="n">
        <v>72.04000000000001</v>
      </c>
      <c r="D2965" s="216" t="n">
        <v>1.072839021682739</v>
      </c>
      <c r="E2965" s="215" t="n">
        <v>45705</v>
      </c>
      <c r="F2965" s="215" t="n">
        <v>45705</v>
      </c>
    </row>
    <row r="2966">
      <c r="A2966" s="215" t="n">
        <v>45706</v>
      </c>
      <c r="B2966" s="216" t="n">
        <v>75.40000000000001</v>
      </c>
      <c r="C2966" s="216" t="n">
        <v>71.90000000000001</v>
      </c>
      <c r="D2966" s="216" t="n">
        <v>1.072520971298218</v>
      </c>
      <c r="E2966" s="215" t="n">
        <v>45706</v>
      </c>
      <c r="F2966" s="215" t="n">
        <v>45706</v>
      </c>
    </row>
    <row r="2967">
      <c r="A2967" s="215" t="n">
        <v>45707</v>
      </c>
      <c r="B2967" s="216" t="n">
        <v>73.75</v>
      </c>
      <c r="C2967" s="216" t="n">
        <v>71.45</v>
      </c>
      <c r="D2967" s="216" t="n">
        <v>1.067935943603516</v>
      </c>
      <c r="E2967" s="215" t="n">
        <v>45707</v>
      </c>
      <c r="F2967" s="215" t="n">
        <v>45707</v>
      </c>
    </row>
    <row r="2968">
      <c r="A2968" s="215" t="n">
        <v>45708</v>
      </c>
      <c r="B2968" s="216" t="n">
        <v>72.2</v>
      </c>
      <c r="C2968" s="216" t="n">
        <v>71.23</v>
      </c>
      <c r="D2968" s="216" t="n">
        <v>1.067798972129822</v>
      </c>
      <c r="E2968" s="215" t="n">
        <v>45708</v>
      </c>
      <c r="F2968" s="215" t="n">
        <v>45708</v>
      </c>
    </row>
    <row r="2969">
      <c r="A2969" s="215" t="n">
        <v>45709</v>
      </c>
      <c r="B2969" s="216" t="n">
        <v>72.34999999999999</v>
      </c>
      <c r="C2969" s="216" t="n">
        <v>70.59</v>
      </c>
      <c r="D2969" s="216" t="n">
        <v>1.071557998657227</v>
      </c>
      <c r="E2969" s="215" t="n">
        <v>45709</v>
      </c>
      <c r="F2969" s="215" t="n">
        <v>45709</v>
      </c>
    </row>
    <row r="2970">
      <c r="A2970" s="215" t="n">
        <v>45712</v>
      </c>
      <c r="B2970" s="216" t="n">
        <v>72.15000000000001</v>
      </c>
      <c r="C2970" s="216" t="n">
        <v>70.89</v>
      </c>
      <c r="D2970" s="216" t="n">
        <v>1.071457982063293</v>
      </c>
      <c r="E2970" s="215" t="n">
        <v>45712</v>
      </c>
      <c r="F2970" s="215" t="n">
        <v>45712</v>
      </c>
    </row>
    <row r="2971">
      <c r="A2971" s="215" t="n">
        <v>45713</v>
      </c>
      <c r="B2971" s="216" t="n">
        <v>70.05</v>
      </c>
      <c r="C2971" s="216" t="n">
        <v>69.03</v>
      </c>
      <c r="D2971" s="216" t="n">
        <v>1.072481989860535</v>
      </c>
      <c r="E2971" s="215" t="n">
        <v>45713</v>
      </c>
      <c r="F2971" s="215" t="n">
        <v>45713</v>
      </c>
    </row>
    <row r="2972">
      <c r="A2972" s="215" t="n">
        <v>45714</v>
      </c>
      <c r="B2972" s="216" t="n">
        <v>73.15000000000001</v>
      </c>
      <c r="C2972" s="216" t="n">
        <v>70.12</v>
      </c>
      <c r="D2972" s="216" t="n">
        <v>1.072456955909729</v>
      </c>
      <c r="E2972" s="215" t="n">
        <v>45714</v>
      </c>
      <c r="F2972" s="215" t="n">
        <v>45714</v>
      </c>
    </row>
    <row r="2973">
      <c r="A2973" s="215" t="n">
        <v>45715</v>
      </c>
      <c r="B2973" s="216" t="n">
        <v>76.59999999999999</v>
      </c>
      <c r="C2973" s="216" t="n">
        <v>72.48</v>
      </c>
      <c r="D2973" s="216" t="n">
        <v>1.070572972297668</v>
      </c>
      <c r="E2973" s="215" t="n">
        <v>45715</v>
      </c>
      <c r="F2973" s="215" t="n">
        <v>45715</v>
      </c>
    </row>
    <row r="2974">
      <c r="A2974" s="215" t="n">
        <v>45716</v>
      </c>
      <c r="B2974" s="216" t="n">
        <v>74.09999999999999</v>
      </c>
      <c r="C2974" s="216" t="n">
        <v>73.05</v>
      </c>
      <c r="D2974" s="216" t="n">
        <v>1.067088961601257</v>
      </c>
      <c r="E2974" s="215" t="n">
        <v>45716</v>
      </c>
      <c r="F2974" s="215" t="n">
        <v>45716</v>
      </c>
    </row>
    <row r="2975">
      <c r="A2975" s="215" t="n">
        <v>45719</v>
      </c>
      <c r="B2975" s="216" t="n">
        <v>71.2</v>
      </c>
      <c r="C2975" s="216" t="n">
        <v>71</v>
      </c>
      <c r="D2975" s="216" t="n">
        <v>1.06771194934845</v>
      </c>
      <c r="E2975" s="215" t="n">
        <v>45719</v>
      </c>
      <c r="F2975" s="215" t="n">
        <v>45719</v>
      </c>
    </row>
    <row r="2976">
      <c r="A2976" s="215" t="n">
        <v>45720</v>
      </c>
      <c r="B2976" s="216" t="n">
        <v>73.09999999999999</v>
      </c>
      <c r="C2976" s="216" t="n">
        <v>71.97</v>
      </c>
      <c r="D2976" s="216" t="n">
        <v>1.067291021347046</v>
      </c>
      <c r="E2976" s="215" t="n">
        <v>45720</v>
      </c>
      <c r="F2976" s="215" t="n">
        <v>45720</v>
      </c>
    </row>
    <row r="2977">
      <c r="A2977" s="215" t="n">
        <v>45721</v>
      </c>
      <c r="B2977" s="216" t="n">
        <v>73.05</v>
      </c>
      <c r="C2977" s="216" t="n">
        <v>71.75</v>
      </c>
      <c r="D2977" s="216" t="n">
        <v>1.069700956344604</v>
      </c>
      <c r="E2977" s="215" t="n">
        <v>45721</v>
      </c>
      <c r="F2977" s="215" t="n">
        <v>45721</v>
      </c>
    </row>
    <row r="2978">
      <c r="A2978" s="215" t="n">
        <v>45722</v>
      </c>
      <c r="B2978" s="216" t="n">
        <v>73.2</v>
      </c>
      <c r="C2978" s="216" t="n">
        <v>71.14</v>
      </c>
      <c r="D2978" s="216" t="n">
        <v>1.071586012840271</v>
      </c>
      <c r="E2978" s="215" t="n">
        <v>45722</v>
      </c>
      <c r="F2978" s="215" t="n">
        <v>45722</v>
      </c>
    </row>
    <row r="2979">
      <c r="A2979" s="215" t="n">
        <v>45723</v>
      </c>
      <c r="B2979" s="216" t="n">
        <v>73.65000000000001</v>
      </c>
      <c r="C2979" s="216" t="n">
        <v>70.79000000000001</v>
      </c>
      <c r="D2979" s="216" t="n">
        <v>1.071760058403015</v>
      </c>
      <c r="E2979" s="215" t="n">
        <v>45723</v>
      </c>
      <c r="F2979" s="215" t="n">
        <v>45723</v>
      </c>
    </row>
    <row r="2980">
      <c r="A2980" s="215" t="n">
        <v>45726</v>
      </c>
      <c r="B2980" s="216" t="n">
        <v>72.2</v>
      </c>
      <c r="C2980" s="216" t="n">
        <v>71.06999999999999</v>
      </c>
      <c r="D2980" s="216" t="n">
        <v>1.074237942695618</v>
      </c>
      <c r="E2980" s="215" t="n">
        <v>45726</v>
      </c>
      <c r="F2980" s="215" t="n">
        <v>45726</v>
      </c>
    </row>
    <row r="2981">
      <c r="A2981" s="215" t="n">
        <v>45727</v>
      </c>
      <c r="B2981" s="216" t="n">
        <v>72.34999999999999</v>
      </c>
      <c r="C2981" s="216" t="n">
        <v>70.93000000000001</v>
      </c>
      <c r="D2981" s="216" t="n">
        <v>1.069882988929749</v>
      </c>
      <c r="E2981" s="215" t="n">
        <v>45727</v>
      </c>
      <c r="F2981" s="215" t="n">
        <v>45727</v>
      </c>
    </row>
    <row r="2982">
      <c r="A2982" s="215" t="n">
        <v>45728</v>
      </c>
      <c r="B2982" s="216" t="n">
        <v>71.59999999999999</v>
      </c>
      <c r="C2982" s="216" t="n">
        <v>70.09999999999999</v>
      </c>
      <c r="D2982" s="216" t="n">
        <v>1.070067048072815</v>
      </c>
      <c r="E2982" s="215" t="n">
        <v>45728</v>
      </c>
      <c r="F2982" s="215" t="n">
        <v>45728</v>
      </c>
    </row>
    <row r="2983">
      <c r="A2983" s="215" t="n">
        <v>45729</v>
      </c>
      <c r="B2983" s="216" t="n">
        <v>71</v>
      </c>
      <c r="C2983" s="216" t="n">
        <v>70.01000000000001</v>
      </c>
      <c r="D2983" s="216" t="n">
        <v>1.07337498664856</v>
      </c>
      <c r="E2983" s="215" t="n">
        <v>45729</v>
      </c>
      <c r="F2983" s="215" t="n">
        <v>45729</v>
      </c>
    </row>
    <row r="2984">
      <c r="A2984" s="215" t="n">
        <v>45730</v>
      </c>
      <c r="B2984" s="216" t="n">
        <v>73.59999999999999</v>
      </c>
      <c r="C2984" s="216" t="n">
        <v>71.87</v>
      </c>
      <c r="D2984" s="216" t="n">
        <v>1.073752999305725</v>
      </c>
      <c r="E2984" s="215" t="n">
        <v>45730</v>
      </c>
      <c r="F2984" s="215" t="n">
        <v>45730</v>
      </c>
    </row>
    <row r="2985">
      <c r="A2985" s="215" t="n">
        <v>45733</v>
      </c>
      <c r="B2985" s="216" t="n">
        <v>72.90000000000001</v>
      </c>
      <c r="C2985" s="216" t="n">
        <v>71.88</v>
      </c>
      <c r="D2985" s="216" t="n">
        <v>1.073765993118286</v>
      </c>
      <c r="E2985" s="215" t="n">
        <v>45733</v>
      </c>
      <c r="F2985" s="215" t="n">
        <v>45733</v>
      </c>
    </row>
    <row r="2986">
      <c r="A2986" s="215" t="n">
        <v>45734</v>
      </c>
      <c r="B2986" s="216" t="n">
        <v>80.2</v>
      </c>
      <c r="C2986" s="216" t="n">
        <v>74.98</v>
      </c>
      <c r="D2986" s="216" t="n">
        <v>1.073990941047668</v>
      </c>
      <c r="E2986" s="215" t="n">
        <v>45734</v>
      </c>
      <c r="F2986" s="215" t="n">
        <v>45734</v>
      </c>
    </row>
    <row r="2987">
      <c r="A2987" s="215" t="n">
        <v>45735</v>
      </c>
      <c r="B2987" s="216" t="n">
        <v>78.7</v>
      </c>
      <c r="C2987" s="216" t="n">
        <v>76.51000000000001</v>
      </c>
      <c r="D2987" s="216" t="n">
        <v>1.074807047843933</v>
      </c>
      <c r="E2987" s="215" t="n">
        <v>45735</v>
      </c>
      <c r="F2987" s="215" t="n">
        <v>45735</v>
      </c>
    </row>
    <row r="2988">
      <c r="A2988" s="215" t="n">
        <v>45736</v>
      </c>
      <c r="B2988" s="216" t="n">
        <v>76.05</v>
      </c>
      <c r="C2988" s="216" t="n">
        <v>75.17</v>
      </c>
      <c r="D2988" s="216" t="n">
        <v>1.074540019035339</v>
      </c>
      <c r="E2988" s="215" t="n">
        <v>45736</v>
      </c>
      <c r="F2988" s="215" t="n">
        <v>45736</v>
      </c>
    </row>
    <row r="2989">
      <c r="A2989" s="215" t="n">
        <v>45737</v>
      </c>
      <c r="B2989" s="216" t="n">
        <v>75.5</v>
      </c>
      <c r="C2989" s="216" t="n">
        <v>75.28</v>
      </c>
      <c r="D2989" s="216" t="n">
        <v>1.072183012962341</v>
      </c>
      <c r="E2989" s="215" t="n">
        <v>45737</v>
      </c>
      <c r="F2989" s="215" t="n">
        <v>45737</v>
      </c>
    </row>
    <row r="2990">
      <c r="A2990" s="215" t="n">
        <v>45740</v>
      </c>
      <c r="B2990" s="216" t="n">
        <v>78.05</v>
      </c>
      <c r="C2990" s="216" t="n">
        <v>76.06</v>
      </c>
      <c r="D2990" s="216" t="n">
        <v>1.072136998176575</v>
      </c>
      <c r="E2990" s="215" t="n">
        <v>45740</v>
      </c>
      <c r="F2990" s="215" t="n">
        <v>45740</v>
      </c>
    </row>
    <row r="2991">
      <c r="A2991" s="215" t="n">
        <v>45741</v>
      </c>
      <c r="B2991" s="216" t="n">
        <v>77.5</v>
      </c>
      <c r="C2991" s="216" t="n">
        <v>76.86</v>
      </c>
      <c r="D2991" s="216" t="n">
        <v>1.071681976318359</v>
      </c>
      <c r="E2991" s="215" t="n">
        <v>45741</v>
      </c>
      <c r="F2991" s="215" t="n">
        <v>45741</v>
      </c>
    </row>
    <row r="2992">
      <c r="A2992" s="215" t="n">
        <v>45742</v>
      </c>
      <c r="B2992" s="216" t="n">
        <v>77.90000000000001</v>
      </c>
      <c r="C2992" s="216" t="n">
        <v>76.79000000000001</v>
      </c>
      <c r="D2992" s="216" t="n">
        <v>1.071272969245911</v>
      </c>
      <c r="E2992" s="215" t="n">
        <v>45742</v>
      </c>
      <c r="F2992" s="215" t="n">
        <v>45742</v>
      </c>
    </row>
    <row r="2993">
      <c r="A2993" s="215" t="n">
        <v>45743</v>
      </c>
      <c r="B2993" s="216" t="n">
        <v>77.5</v>
      </c>
      <c r="C2993" s="216" t="n">
        <v>76.5</v>
      </c>
      <c r="D2993" s="216" t="n">
        <v>1.071310043334961</v>
      </c>
      <c r="E2993" s="215" t="n">
        <v>45743</v>
      </c>
      <c r="F2993" s="215" t="n">
        <v>45743</v>
      </c>
    </row>
    <row r="2994">
      <c r="A2994" s="215" t="n">
        <v>45744</v>
      </c>
      <c r="B2994" s="216" t="n">
        <v>76.34999999999999</v>
      </c>
      <c r="C2994" s="216" t="n">
        <v>76.87</v>
      </c>
      <c r="D2994" s="216" t="n">
        <v>1.03395402431488</v>
      </c>
      <c r="E2994" s="215" t="n">
        <v>45744</v>
      </c>
      <c r="F2994" s="215" t="n">
        <v>45744</v>
      </c>
    </row>
    <row r="2995">
      <c r="A2995" s="215" t="n">
        <v>45747</v>
      </c>
      <c r="B2995" s="216" t="n">
        <v>79</v>
      </c>
      <c r="C2995" s="216" t="n">
        <v>78.5</v>
      </c>
      <c r="D2995" s="216" t="n">
        <v>1.070834994316101</v>
      </c>
      <c r="E2995" s="215" t="n">
        <v>45747</v>
      </c>
      <c r="F2995" s="215" t="n">
        <v>45747</v>
      </c>
    </row>
    <row r="2996">
      <c r="A2996" s="215" t="n">
        <v>45748</v>
      </c>
      <c r="B2996" s="216" t="n">
        <v>75.5</v>
      </c>
      <c r="C2996" s="216" t="n">
        <v>75.39</v>
      </c>
      <c r="D2996" s="216" t="n">
        <v>1.071635007858276</v>
      </c>
      <c r="E2996" s="215" t="n">
        <v>45748</v>
      </c>
      <c r="F2996" s="215" t="n">
        <v>45748</v>
      </c>
    </row>
    <row r="2997">
      <c r="A2997" s="215" t="n">
        <v>45749</v>
      </c>
      <c r="B2997" s="216" t="n">
        <v>76.59999999999999</v>
      </c>
      <c r="C2997" s="216" t="n">
        <v>75.95999999999999</v>
      </c>
      <c r="D2997" s="216" t="n">
        <v>1.070148944854736</v>
      </c>
      <c r="E2997" s="215" t="n">
        <v>45749</v>
      </c>
      <c r="F2997" s="215" t="n">
        <v>45749</v>
      </c>
    </row>
    <row r="2998">
      <c r="A2998" s="215" t="n">
        <v>45750</v>
      </c>
      <c r="B2998" s="216" t="n">
        <v>72.95</v>
      </c>
      <c r="C2998" s="216" t="n">
        <v>73.36</v>
      </c>
      <c r="D2998" s="216" t="n">
        <v>1.070878982543945</v>
      </c>
      <c r="E2998" s="215" t="n">
        <v>45750</v>
      </c>
      <c r="F2998" s="215" t="n">
        <v>45750</v>
      </c>
    </row>
    <row r="2999">
      <c r="A2999" s="215" t="n">
        <v>45754</v>
      </c>
      <c r="B2999" s="216" t="n">
        <v>63.75</v>
      </c>
      <c r="C2999" s="216" t="n">
        <v>67.18000000000001</v>
      </c>
      <c r="D2999" s="216" t="n">
        <v>1.067106008529663</v>
      </c>
      <c r="E2999" s="215" t="n">
        <v>45754</v>
      </c>
      <c r="F2999" s="215" t="n">
        <v>45754</v>
      </c>
    </row>
    <row r="3000">
      <c r="A3000" s="215" t="n">
        <v>45755</v>
      </c>
      <c r="B3000" s="216" t="n">
        <v>65.8</v>
      </c>
      <c r="C3000" s="216" t="n">
        <v>70.23</v>
      </c>
      <c r="D3000" s="216" t="n">
        <v>1.062885046005249</v>
      </c>
      <c r="E3000" s="215" t="n">
        <v>45755</v>
      </c>
      <c r="F3000" s="215" t="n">
        <v>45755</v>
      </c>
    </row>
    <row r="3001">
      <c r="A3001" s="215" t="n">
        <v>45756</v>
      </c>
      <c r="B3001" s="216" t="n">
        <v>68.55</v>
      </c>
      <c r="C3001" s="216" t="n">
        <v>69.67</v>
      </c>
      <c r="D3001" s="216" t="n">
        <v>1.058482050895691</v>
      </c>
      <c r="E3001" s="215" t="n">
        <v>45756</v>
      </c>
      <c r="F3001" s="215" t="n">
        <v>45756</v>
      </c>
    </row>
    <row r="3002">
      <c r="A3002" s="215" t="n">
        <v>45757</v>
      </c>
      <c r="B3002" s="216" t="n">
        <v>69.25</v>
      </c>
      <c r="C3002" s="216" t="n">
        <v>71.09</v>
      </c>
      <c r="D3002" s="216" t="n">
        <v>1.055835008621216</v>
      </c>
      <c r="E3002" s="215" t="n">
        <v>45757</v>
      </c>
      <c r="F3002" s="215" t="n">
        <v>45757</v>
      </c>
    </row>
    <row r="3003">
      <c r="A3003" s="215" t="n">
        <v>45758</v>
      </c>
      <c r="B3003" s="216" t="n">
        <v>69.5</v>
      </c>
      <c r="C3003" s="216" t="n">
        <v>70.48999999999999</v>
      </c>
      <c r="D3003" s="216" t="n">
        <v>1.060536980628967</v>
      </c>
      <c r="E3003" s="215" t="n">
        <v>45758</v>
      </c>
      <c r="F3003" s="215" t="n">
        <v>45758</v>
      </c>
    </row>
    <row r="3004">
      <c r="A3004" s="215" t="n">
        <v>45761</v>
      </c>
      <c r="B3004" s="216" t="n">
        <v>69.09999999999999</v>
      </c>
      <c r="C3004" s="216" t="n">
        <v>69.92</v>
      </c>
      <c r="D3004" s="216" t="n">
        <v>1.063439965248108</v>
      </c>
      <c r="E3004" s="215" t="n">
        <v>45761</v>
      </c>
      <c r="F3004" s="215" t="n">
        <v>45761</v>
      </c>
    </row>
    <row r="3005">
      <c r="A3005" s="215" t="n">
        <v>45762</v>
      </c>
      <c r="B3005" s="216" t="n">
        <v>70.8</v>
      </c>
      <c r="C3005" s="216" t="n">
        <v>71.48</v>
      </c>
      <c r="D3005" s="216" t="n">
        <v>1.06060004234314</v>
      </c>
      <c r="E3005" s="215" t="n">
        <v>45762</v>
      </c>
      <c r="F3005" s="215" t="n">
        <v>45762</v>
      </c>
    </row>
    <row r="3006">
      <c r="A3006" s="215" t="n">
        <v>45763</v>
      </c>
      <c r="B3006" s="216" t="n">
        <v>68.90000000000001</v>
      </c>
      <c r="C3006" s="216" t="n">
        <v>71</v>
      </c>
      <c r="D3006" s="216" t="n">
        <v>1.06060004234314</v>
      </c>
      <c r="E3006" s="215" t="n">
        <v>45763</v>
      </c>
      <c r="F3006" s="215" t="n">
        <v>45763</v>
      </c>
    </row>
    <row r="3007">
      <c r="A3007" s="215" t="n">
        <v>45764</v>
      </c>
      <c r="B3007" s="216" t="n">
        <v>69.34999999999999</v>
      </c>
      <c r="C3007" s="216" t="n">
        <v>70.95</v>
      </c>
      <c r="D3007" s="216" t="n">
        <v>1.06060004234314</v>
      </c>
      <c r="E3007" s="215" t="n">
        <v>45764</v>
      </c>
      <c r="F3007" s="215" t="n">
        <v>45764</v>
      </c>
    </row>
    <row r="3008">
      <c r="A3008" s="215" t="n">
        <v>45769</v>
      </c>
      <c r="B3008" s="216" t="n">
        <v>70.55</v>
      </c>
      <c r="C3008" s="216" t="n">
        <v>71.72</v>
      </c>
      <c r="D3008" s="216" t="n">
        <v>1.06060004234314</v>
      </c>
      <c r="E3008" s="215" t="n">
        <v>45769</v>
      </c>
      <c r="F3008" s="215" t="n">
        <v>45769</v>
      </c>
    </row>
    <row r="3009">
      <c r="A3009" s="215" t="n">
        <v>45770</v>
      </c>
      <c r="B3009" s="216" t="n">
        <v>72</v>
      </c>
      <c r="C3009" s="216" t="n">
        <v>71.84999999999999</v>
      </c>
      <c r="D3009" s="216" t="n">
        <v>1.06060004234314</v>
      </c>
      <c r="E3009" s="215" t="n">
        <v>45770</v>
      </c>
      <c r="F3009" s="215" t="n">
        <v>45770</v>
      </c>
    </row>
    <row r="3010">
      <c r="A3010" s="215" t="n">
        <v>45771</v>
      </c>
      <c r="B3010" s="216" t="n">
        <v>72.55</v>
      </c>
      <c r="C3010" s="216" t="n">
        <v>72.95</v>
      </c>
      <c r="D3010" s="216" t="n">
        <v>1.06060004234314</v>
      </c>
      <c r="E3010" s="215" t="n">
        <v>45771</v>
      </c>
      <c r="F3010" s="215" t="n">
        <v>45771</v>
      </c>
    </row>
    <row r="3011">
      <c r="A3011" s="215" t="n">
        <v>45772</v>
      </c>
      <c r="B3011" s="216" t="n">
        <v>72.05</v>
      </c>
      <c r="C3011" s="216" t="n">
        <v>72.75</v>
      </c>
      <c r="D3011" s="216" t="n">
        <v>1.061900019645691</v>
      </c>
      <c r="E3011" s="215" t="n">
        <v>45772</v>
      </c>
      <c r="F3011" s="215" t="n">
        <v>45772</v>
      </c>
    </row>
    <row r="3012">
      <c r="A3012" s="215" t="n">
        <v>45775</v>
      </c>
      <c r="B3012" s="216" t="n">
        <v>73.3</v>
      </c>
      <c r="C3012" s="216" t="n">
        <v>73.23</v>
      </c>
      <c r="D3012" s="216" t="n">
        <v>1.064350962638855</v>
      </c>
      <c r="E3012" s="215" t="n">
        <v>45775</v>
      </c>
      <c r="F3012" s="215" t="n">
        <v>45775</v>
      </c>
    </row>
    <row r="3013">
      <c r="A3013" s="215" t="n">
        <v>45776</v>
      </c>
      <c r="B3013" s="216" t="n">
        <v>73.90000000000001</v>
      </c>
      <c r="C3013" s="216" t="n">
        <v>74.2</v>
      </c>
      <c r="D3013" s="216" t="n">
        <v>1.063179969787598</v>
      </c>
      <c r="E3013" s="215" t="n">
        <v>45776</v>
      </c>
      <c r="F3013" s="215" t="n">
        <v>45776</v>
      </c>
    </row>
    <row r="3014">
      <c r="A3014" s="215" t="n">
        <v>45777</v>
      </c>
      <c r="B3014" s="216" t="n">
        <v>73.55</v>
      </c>
      <c r="C3014" s="216" t="n">
        <v>73.62</v>
      </c>
      <c r="D3014" s="216" t="n">
        <v>1.067217946052551</v>
      </c>
      <c r="E3014" s="215" t="n">
        <v>45777</v>
      </c>
      <c r="F3014" s="215" t="n">
        <v>45777</v>
      </c>
    </row>
    <row r="3015">
      <c r="A3015" s="215" t="n">
        <v>45779</v>
      </c>
      <c r="B3015" s="216" t="n">
        <v>74.84999999999999</v>
      </c>
      <c r="C3015" s="216" t="n">
        <v>73.62</v>
      </c>
      <c r="D3015" s="216" t="n">
        <v>1.066810965538025</v>
      </c>
      <c r="E3015" s="215" t="n">
        <v>45777</v>
      </c>
      <c r="F3015" s="215" t="n">
        <v>45779</v>
      </c>
    </row>
    <row r="3016">
      <c r="A3016" s="215" t="n">
        <v>45783</v>
      </c>
      <c r="B3016" s="216" t="n">
        <v>74.45</v>
      </c>
      <c r="C3016" s="216" t="n">
        <v>74.05</v>
      </c>
      <c r="D3016" s="216" t="n">
        <v>1.065811991691589</v>
      </c>
      <c r="E3016" s="215" t="n">
        <v>45783</v>
      </c>
      <c r="F3016" s="215" t="n">
        <v>45783</v>
      </c>
    </row>
    <row r="3017">
      <c r="A3017" s="215" t="n">
        <v>45784</v>
      </c>
      <c r="B3017" s="216" t="n">
        <v>73.84999999999999</v>
      </c>
      <c r="C3017" s="216" t="n">
        <v>74.36</v>
      </c>
      <c r="D3017" s="216" t="n">
        <v>1.073848009109497</v>
      </c>
      <c r="E3017" s="215" t="n">
        <v>45784</v>
      </c>
      <c r="F3017" s="215" t="n">
        <v>45784</v>
      </c>
    </row>
    <row r="3018">
      <c r="A3018" s="215" t="n">
        <v>45785</v>
      </c>
      <c r="B3018" s="216" t="n">
        <v>74.65000000000001</v>
      </c>
      <c r="C3018" s="216" t="n">
        <v>75</v>
      </c>
      <c r="D3018" s="216" t="n">
        <v>1.07387101650238</v>
      </c>
      <c r="E3018" s="215" t="n">
        <v>45785</v>
      </c>
      <c r="F3018" s="215" t="n">
        <v>45785</v>
      </c>
    </row>
    <row r="3019">
      <c r="A3019" s="215" t="n">
        <v>45786</v>
      </c>
      <c r="B3019" s="216" t="n">
        <v>76.2</v>
      </c>
      <c r="C3019" s="216" t="n">
        <v>75.8</v>
      </c>
      <c r="D3019" s="216" t="n">
        <v>1.076066970825195</v>
      </c>
      <c r="E3019" s="215" t="n">
        <v>45786</v>
      </c>
      <c r="F3019" s="215" t="n">
        <v>45786</v>
      </c>
    </row>
    <row r="3020">
      <c r="A3020" s="215" t="n">
        <v>45789</v>
      </c>
      <c r="B3020" s="216" t="n">
        <v>79.3</v>
      </c>
      <c r="C3020" s="216" t="n">
        <v>76.58</v>
      </c>
      <c r="D3020" s="216" t="n">
        <v>1.074246048927307</v>
      </c>
      <c r="E3020" s="215" t="n">
        <v>45789</v>
      </c>
      <c r="F3020" s="215" t="n">
        <v>45789</v>
      </c>
    </row>
    <row r="3021">
      <c r="A3021" s="215" t="n">
        <v>45790</v>
      </c>
      <c r="B3021" s="216" t="n">
        <v>79.05</v>
      </c>
      <c r="C3021" s="216" t="n">
        <v>77.11</v>
      </c>
      <c r="D3021" s="216" t="n">
        <v>1.081536054611206</v>
      </c>
      <c r="E3021" s="215" t="n">
        <v>45790</v>
      </c>
      <c r="F3021" s="215" t="n">
        <v>45790</v>
      </c>
    </row>
    <row r="3022">
      <c r="A3022" s="215" t="n">
        <v>45791</v>
      </c>
      <c r="B3022" s="216" t="n">
        <v>78.09999999999999</v>
      </c>
      <c r="C3022" s="216" t="n">
        <v>77.09</v>
      </c>
      <c r="D3022" s="216" t="n">
        <v>1.081884980201721</v>
      </c>
      <c r="E3022" s="215" t="n">
        <v>45791</v>
      </c>
      <c r="F3022" s="215" t="n">
        <v>45791</v>
      </c>
    </row>
    <row r="3023">
      <c r="A3023" s="215" t="n">
        <v>45792</v>
      </c>
      <c r="B3023" s="216" t="n">
        <v>78.2</v>
      </c>
      <c r="C3023" s="216" t="n">
        <v>76.5</v>
      </c>
      <c r="D3023" s="216" t="n">
        <v>1.082641005516052</v>
      </c>
      <c r="E3023" s="215" t="n">
        <v>45792</v>
      </c>
      <c r="F3023" s="215" t="n">
        <v>45792</v>
      </c>
    </row>
    <row r="3024">
      <c r="A3024" s="215" t="n">
        <v>45793</v>
      </c>
      <c r="B3024" s="216" t="n">
        <v>77.90000000000001</v>
      </c>
      <c r="C3024" s="216" t="n">
        <v>76.59999999999999</v>
      </c>
      <c r="D3024" s="216" t="n">
        <v>1.082918047904968</v>
      </c>
      <c r="E3024" s="215" t="n">
        <v>45793</v>
      </c>
      <c r="F3024" s="215" t="n">
        <v>45793</v>
      </c>
    </row>
    <row r="3025">
      <c r="A3025" s="215" t="n">
        <v>45796</v>
      </c>
      <c r="B3025" s="216" t="n">
        <v>80.2</v>
      </c>
      <c r="C3025" s="216" t="n">
        <v>77.58</v>
      </c>
      <c r="D3025" s="216" t="n">
        <v>1.083842992782593</v>
      </c>
      <c r="E3025" s="215" t="n">
        <v>45796</v>
      </c>
      <c r="F3025" s="215" t="n">
        <v>45796</v>
      </c>
    </row>
    <row r="3026">
      <c r="A3026" s="215" t="n">
        <v>45797</v>
      </c>
      <c r="B3026" s="216" t="n">
        <v>81.7</v>
      </c>
      <c r="C3026" s="216" t="n">
        <v>78.67</v>
      </c>
      <c r="D3026" s="216" t="n">
        <v>1.08473801612854</v>
      </c>
      <c r="E3026" s="215" t="n">
        <v>45797</v>
      </c>
      <c r="F3026" s="215" t="n">
        <v>45797</v>
      </c>
    </row>
    <row r="3027">
      <c r="A3027" s="215" t="n">
        <v>45798</v>
      </c>
      <c r="B3027" s="216" t="n">
        <v>82.15000000000001</v>
      </c>
      <c r="C3027" s="216" t="n">
        <v>78.8</v>
      </c>
      <c r="D3027" s="216" t="n">
        <v>1.084200024604797</v>
      </c>
      <c r="E3027" s="215" t="n">
        <v>45798</v>
      </c>
      <c r="F3027" s="215" t="n">
        <v>45798</v>
      </c>
    </row>
    <row r="3028">
      <c r="A3028" s="215" t="n">
        <v>45799</v>
      </c>
      <c r="B3028" s="216" t="n">
        <v>82</v>
      </c>
      <c r="C3028" s="216" t="n">
        <v>79.36</v>
      </c>
      <c r="D3028" s="216" t="n">
        <v>1.086825013160706</v>
      </c>
      <c r="E3028" s="215" t="n">
        <v>45799</v>
      </c>
      <c r="F3028" s="215" t="n">
        <v>45799</v>
      </c>
    </row>
    <row r="3029">
      <c r="A3029" s="215" t="n">
        <v>45800</v>
      </c>
      <c r="B3029" s="216" t="n">
        <v>82.65000000000001</v>
      </c>
      <c r="C3029" s="216" t="n">
        <v>78.89</v>
      </c>
      <c r="D3029" s="216" t="n">
        <v>1.086493015289307</v>
      </c>
      <c r="E3029" s="215" t="n">
        <v>45800</v>
      </c>
      <c r="F3029" s="215" t="n">
        <v>45800</v>
      </c>
    </row>
    <row r="3030">
      <c r="A3030" s="215" t="n">
        <v>45803</v>
      </c>
      <c r="B3030" s="216" t="n">
        <v>81.3</v>
      </c>
      <c r="C3030" s="216" t="n">
        <v>78.27</v>
      </c>
      <c r="D3030" s="216" t="n">
        <v>1.08673095703125</v>
      </c>
      <c r="E3030" s="215" t="n">
        <v>45803</v>
      </c>
      <c r="F3030" s="215" t="n">
        <v>45803</v>
      </c>
    </row>
    <row r="3031">
      <c r="A3031" s="215" t="n">
        <v>45804</v>
      </c>
      <c r="B3031" s="216" t="n">
        <v>82.09999999999999</v>
      </c>
      <c r="C3031" s="216" t="n">
        <v>78.48</v>
      </c>
      <c r="D3031" s="216" t="n">
        <v>1.087713956832886</v>
      </c>
      <c r="E3031" s="215" t="n">
        <v>45804</v>
      </c>
      <c r="F3031" s="215" t="n">
        <v>45804</v>
      </c>
    </row>
    <row r="3032">
      <c r="A3032" s="215" t="n">
        <v>45805</v>
      </c>
      <c r="B3032" s="216" t="n">
        <v>82.8</v>
      </c>
      <c r="C3032" s="216" t="n">
        <v>79.31999999999999</v>
      </c>
      <c r="D3032" s="216" t="n">
        <v>1.087921977043152</v>
      </c>
      <c r="E3032" s="215" t="n">
        <v>45805</v>
      </c>
      <c r="F3032" s="215" t="n">
        <v>45805</v>
      </c>
    </row>
    <row r="3033">
      <c r="A3033" s="215" t="n">
        <v>45806</v>
      </c>
      <c r="B3033" s="216" t="n">
        <v>83.75</v>
      </c>
      <c r="C3033" s="216" t="n">
        <v>78.98</v>
      </c>
      <c r="D3033" s="216" t="n">
        <v>1.087334990501404</v>
      </c>
      <c r="E3033" s="215" t="n">
        <v>45806</v>
      </c>
      <c r="F3033" s="215" t="n">
        <v>45806</v>
      </c>
    </row>
    <row r="3034">
      <c r="A3034" s="215" t="n">
        <v>45807</v>
      </c>
      <c r="B3034" s="216" t="n">
        <v>82.40000000000001</v>
      </c>
      <c r="C3034" s="216" t="n">
        <v>79.06</v>
      </c>
      <c r="D3034" s="216" t="n">
        <v>1.088281989097595</v>
      </c>
      <c r="E3034" s="215" t="n">
        <v>45807</v>
      </c>
      <c r="F3034" s="215" t="n">
        <v>45807</v>
      </c>
    </row>
    <row r="3035">
      <c r="A3035" s="215" t="n">
        <v>45810</v>
      </c>
      <c r="B3035" s="216" t="n">
        <v>82.84999999999999</v>
      </c>
      <c r="C3035" s="216" t="n">
        <v>79.06</v>
      </c>
      <c r="D3035" s="216" t="n">
        <v>1.088839054107666</v>
      </c>
      <c r="E3035" s="215" t="n">
        <v>45807</v>
      </c>
      <c r="F3035" s="215" t="n">
        <v>45810</v>
      </c>
    </row>
    <row r="3036">
      <c r="A3036" s="215" t="n">
        <v>45811</v>
      </c>
      <c r="B3036" s="216" t="n">
        <v>77.59999999999999</v>
      </c>
      <c r="C3036" s="216" t="n">
        <v>75.91</v>
      </c>
      <c r="D3036" s="216" t="n">
        <v>1.098875999450684</v>
      </c>
      <c r="E3036" s="215" t="n">
        <v>45811</v>
      </c>
      <c r="F3036" s="215" t="n">
        <v>45811</v>
      </c>
    </row>
    <row r="3037">
      <c r="A3037" s="215" t="n">
        <v>45812</v>
      </c>
      <c r="B3037" s="216" t="n">
        <v>75.59999999999999</v>
      </c>
      <c r="C3037" s="216" t="n">
        <v>75.56</v>
      </c>
      <c r="D3037" s="216" t="n">
        <v>1.092406988143921</v>
      </c>
      <c r="E3037" s="215" t="n">
        <v>45812</v>
      </c>
      <c r="F3037" s="215" t="n">
        <v>45812</v>
      </c>
    </row>
    <row r="3038">
      <c r="A3038" s="215" t="n">
        <v>45813</v>
      </c>
      <c r="B3038" s="216" t="n">
        <v>75</v>
      </c>
      <c r="C3038" s="216" t="n">
        <v>75.25</v>
      </c>
      <c r="D3038" s="216" t="n">
        <v>1.095829010009766</v>
      </c>
      <c r="E3038" s="215" t="n">
        <v>45813</v>
      </c>
      <c r="F3038" s="215" t="n">
        <v>45813</v>
      </c>
    </row>
    <row r="3039">
      <c r="A3039" s="215" t="n">
        <v>45814</v>
      </c>
      <c r="B3039" s="216" t="n">
        <v>76.2</v>
      </c>
      <c r="C3039" s="216" t="n">
        <v>75.7</v>
      </c>
      <c r="D3039" s="216" t="n">
        <v>1.093296051025391</v>
      </c>
      <c r="E3039" s="215" t="n">
        <v>45814</v>
      </c>
      <c r="F3039" s="215" t="n">
        <v>45814</v>
      </c>
    </row>
    <row r="3040">
      <c r="A3040" s="215" t="n">
        <v>45817</v>
      </c>
      <c r="B3040" s="216" t="n">
        <v>76.15000000000001</v>
      </c>
      <c r="C3040" s="216" t="n">
        <v>75.40000000000001</v>
      </c>
      <c r="D3040" s="216" t="n">
        <v>1.091297030448914</v>
      </c>
      <c r="E3040" s="215" t="n">
        <v>45817</v>
      </c>
      <c r="F3040" s="215" t="n">
        <v>45817</v>
      </c>
    </row>
    <row r="3041">
      <c r="A3041" s="215" t="n">
        <v>45818</v>
      </c>
      <c r="B3041" s="216" t="n">
        <v>75.8</v>
      </c>
      <c r="C3041" s="216" t="n">
        <v>75.05</v>
      </c>
      <c r="D3041" s="216" t="n">
        <v>1.092790007591248</v>
      </c>
      <c r="E3041" s="215" t="n">
        <v>45818</v>
      </c>
      <c r="F3041" s="215" t="n">
        <v>45818</v>
      </c>
    </row>
    <row r="3042">
      <c r="A3042" s="215" t="n">
        <v>45819</v>
      </c>
      <c r="B3042" s="216" t="n">
        <v>75.59999999999999</v>
      </c>
      <c r="C3042" s="216" t="n">
        <v>75.48999999999999</v>
      </c>
      <c r="D3042" s="216" t="n">
        <v>1.092836976051331</v>
      </c>
      <c r="E3042" s="215" t="n">
        <v>45819</v>
      </c>
      <c r="F3042" s="215" t="n">
        <v>45819</v>
      </c>
    </row>
    <row r="3043">
      <c r="A3043" s="215" t="n">
        <v>45820</v>
      </c>
      <c r="B3043" s="216" t="n">
        <v>74.90000000000001</v>
      </c>
      <c r="C3043" s="216" t="n">
        <v>72.2</v>
      </c>
      <c r="D3043" s="216" t="n">
        <v>1.090999960899353</v>
      </c>
      <c r="E3043" s="215" t="n">
        <v>45820</v>
      </c>
      <c r="F3043" s="215" t="n">
        <v>45820</v>
      </c>
    </row>
    <row r="3044">
      <c r="A3044" s="215" t="n">
        <v>45821</v>
      </c>
      <c r="B3044" s="216" t="n">
        <v>73.90000000000001</v>
      </c>
      <c r="C3044" s="216" t="n">
        <v>71.48</v>
      </c>
      <c r="D3044" s="216" t="n">
        <v>1.091084957122803</v>
      </c>
      <c r="E3044" s="215" t="n">
        <v>45821</v>
      </c>
      <c r="F3044" s="215" t="n">
        <v>45821</v>
      </c>
    </row>
    <row r="3045">
      <c r="A3045" s="215" t="n">
        <v>45824</v>
      </c>
      <c r="B3045" s="216" t="n">
        <v>75.34999999999999</v>
      </c>
      <c r="C3045" s="216" t="n">
        <v>71.26000000000001</v>
      </c>
      <c r="D3045" s="216" t="n">
        <v>1.092895984649658</v>
      </c>
      <c r="E3045" s="215" t="n">
        <v>45824</v>
      </c>
      <c r="F3045" s="215" t="n">
        <v>45824</v>
      </c>
    </row>
    <row r="3046">
      <c r="A3046" s="215" t="n">
        <v>45825</v>
      </c>
      <c r="B3046" s="216" t="n">
        <v>76</v>
      </c>
      <c r="C3046" s="216" t="n">
        <v>72.06</v>
      </c>
      <c r="D3046" s="216" t="n">
        <v>1.093256950378418</v>
      </c>
      <c r="E3046" s="215" t="n">
        <v>45825</v>
      </c>
      <c r="F3046" s="215" t="n">
        <v>45825</v>
      </c>
    </row>
    <row r="3047">
      <c r="A3047" s="215" t="n">
        <v>45826</v>
      </c>
      <c r="B3047" s="216" t="n">
        <v>74.84999999999999</v>
      </c>
      <c r="C3047" s="216" t="n">
        <v>72.09999999999999</v>
      </c>
      <c r="D3047" s="216" t="n">
        <v>1.092421054840088</v>
      </c>
      <c r="E3047" s="215" t="n">
        <v>45826</v>
      </c>
      <c r="F3047" s="215" t="n">
        <v>45826</v>
      </c>
    </row>
    <row r="3048">
      <c r="A3048" s="215" t="n">
        <v>45827</v>
      </c>
      <c r="B3048" s="216" t="n">
        <v>74.45</v>
      </c>
      <c r="C3048" s="216" t="n">
        <v>71.33</v>
      </c>
      <c r="D3048" s="216" t="n">
        <v>1.091722011566162</v>
      </c>
      <c r="E3048" s="215" t="n">
        <v>45827</v>
      </c>
      <c r="F3048" s="215" t="n">
        <v>45827</v>
      </c>
    </row>
    <row r="3049">
      <c r="A3049" s="215" t="n">
        <v>45828</v>
      </c>
      <c r="B3049" s="216" t="n">
        <v>74.59999999999999</v>
      </c>
      <c r="C3049" s="216" t="n">
        <v>72.38</v>
      </c>
      <c r="D3049" s="216" t="n">
        <v>1.091766953468323</v>
      </c>
      <c r="E3049" s="215" t="n">
        <v>45828</v>
      </c>
      <c r="F3049" s="215" t="n">
        <v>45828</v>
      </c>
    </row>
    <row r="3050">
      <c r="A3050" s="215" t="n">
        <v>45831</v>
      </c>
      <c r="B3050" s="216" t="n">
        <v>73.8</v>
      </c>
      <c r="C3050" s="216" t="n">
        <v>71.72</v>
      </c>
      <c r="D3050" s="216" t="n">
        <v>1.091856002807617</v>
      </c>
      <c r="E3050" s="215" t="n">
        <v>45831</v>
      </c>
      <c r="F3050" s="215" t="n">
        <v>45831</v>
      </c>
    </row>
    <row r="3051">
      <c r="A3051" s="215" t="n">
        <v>45832</v>
      </c>
      <c r="B3051" s="216" t="n">
        <v>75.5</v>
      </c>
      <c r="C3051" s="216" t="n">
        <v>72.8</v>
      </c>
      <c r="D3051" s="216" t="n">
        <v>1.093309044837952</v>
      </c>
      <c r="E3051" s="215" t="n">
        <v>45832</v>
      </c>
      <c r="F3051" s="215" t="n">
        <v>45832</v>
      </c>
    </row>
    <row r="3052">
      <c r="A3052" s="215" t="n">
        <v>45833</v>
      </c>
      <c r="B3052" s="216" t="n">
        <v>76.75</v>
      </c>
      <c r="C3052" s="216" t="n">
        <v>73.18000000000001</v>
      </c>
      <c r="D3052" s="216" t="n">
        <v>1.094483971595764</v>
      </c>
      <c r="E3052" s="215" t="n">
        <v>45833</v>
      </c>
      <c r="F3052" s="215" t="n">
        <v>45833</v>
      </c>
    </row>
    <row r="3053">
      <c r="A3053" s="215" t="n">
        <v>45834</v>
      </c>
      <c r="B3053" s="216" t="n">
        <v>75.75</v>
      </c>
      <c r="C3053" s="216" t="n">
        <v>73.09999999999999</v>
      </c>
      <c r="D3053" s="216" t="n">
        <v>1.093523025512695</v>
      </c>
      <c r="E3053" s="215" t="n">
        <v>45834</v>
      </c>
      <c r="F3053" s="215" t="n">
        <v>45834</v>
      </c>
    </row>
    <row r="3054">
      <c r="A3054" s="215" t="n">
        <v>45835</v>
      </c>
      <c r="B3054" s="216" t="n">
        <v>74.95</v>
      </c>
      <c r="C3054" s="216" t="n">
        <v>72.28</v>
      </c>
      <c r="D3054" s="216" t="n">
        <v>1.095173001289368</v>
      </c>
      <c r="E3054" s="215" t="n">
        <v>45835</v>
      </c>
      <c r="F3054" s="215" t="n">
        <v>45835</v>
      </c>
    </row>
    <row r="3055">
      <c r="A3055" s="215" t="n">
        <v>45838</v>
      </c>
      <c r="B3055" s="216" t="n">
        <v>74.45</v>
      </c>
      <c r="C3055" s="216" t="n">
        <v>72.2</v>
      </c>
      <c r="D3055" s="216" t="n">
        <v>1.094328045845032</v>
      </c>
      <c r="E3055" s="215" t="n">
        <v>45838</v>
      </c>
      <c r="F3055" s="215" t="n">
        <v>45838</v>
      </c>
    </row>
    <row r="3056">
      <c r="A3056" s="215" t="n">
        <v>45840</v>
      </c>
      <c r="B3056" s="216" t="n">
        <v>76</v>
      </c>
      <c r="C3056" s="216" t="n">
        <v>72.5</v>
      </c>
      <c r="D3056" s="216" t="n">
        <v>1.095211982727051</v>
      </c>
      <c r="E3056" s="215" t="n">
        <v>45840</v>
      </c>
      <c r="F3056" s="215" t="n">
        <v>45840</v>
      </c>
    </row>
    <row r="3057">
      <c r="A3057" s="215" t="n">
        <v>45841</v>
      </c>
      <c r="B3057" s="216" t="n">
        <v>76.45</v>
      </c>
      <c r="C3057" s="216" t="n">
        <v>72.89</v>
      </c>
      <c r="D3057" s="216" t="n">
        <v>1.095422029495239</v>
      </c>
      <c r="E3057" s="215" t="n">
        <v>45841</v>
      </c>
      <c r="F3057" s="215" t="n">
        <v>45841</v>
      </c>
    </row>
    <row r="3058">
      <c r="A3058" s="215" t="n">
        <v>45842</v>
      </c>
      <c r="B3058" s="216" t="n">
        <v>77.55</v>
      </c>
      <c r="C3058" s="216" t="n">
        <v>73.48</v>
      </c>
      <c r="D3058" s="216" t="n">
        <v>1.095221042633057</v>
      </c>
      <c r="E3058" s="215" t="n">
        <v>45842</v>
      </c>
      <c r="F3058" s="215" t="n">
        <v>45842</v>
      </c>
    </row>
    <row r="3059">
      <c r="A3059" s="215" t="n">
        <v>45845</v>
      </c>
      <c r="B3059" s="216" t="n">
        <v>76.5</v>
      </c>
      <c r="C3059" s="216" t="n">
        <v>72.55</v>
      </c>
      <c r="D3059" s="216" t="n">
        <v>1.095430970191956</v>
      </c>
      <c r="E3059" s="215" t="n">
        <v>45845</v>
      </c>
      <c r="F3059" s="215" t="n">
        <v>45845</v>
      </c>
    </row>
    <row r="3060">
      <c r="A3060" s="215" t="n">
        <v>45846</v>
      </c>
      <c r="B3060" s="216" t="n">
        <v>76.15000000000001</v>
      </c>
      <c r="C3060" s="216" t="n">
        <v>72.22</v>
      </c>
      <c r="D3060" s="216" t="n">
        <v>1.093924999237061</v>
      </c>
      <c r="E3060" s="215" t="n">
        <v>45846</v>
      </c>
      <c r="F3060" s="215" t="n">
        <v>45846</v>
      </c>
    </row>
    <row r="3061">
      <c r="A3061" s="215" t="n">
        <v>45847</v>
      </c>
      <c r="B3061" s="216" t="n">
        <v>76.05</v>
      </c>
      <c r="C3061" s="216" t="n">
        <v>71.8</v>
      </c>
      <c r="D3061" s="216" t="n">
        <v>1.094220995903015</v>
      </c>
      <c r="E3061" s="215" t="n">
        <v>45847</v>
      </c>
      <c r="F3061" s="215" t="n">
        <v>45847</v>
      </c>
    </row>
    <row r="3062">
      <c r="A3062" s="215" t="n">
        <v>45848</v>
      </c>
      <c r="B3062" s="216" t="n">
        <v>76.3</v>
      </c>
      <c r="C3062" s="216" t="n">
        <v>71.68000000000001</v>
      </c>
      <c r="D3062" s="216" t="n">
        <v>1.093220949172974</v>
      </c>
      <c r="E3062" s="215" t="n">
        <v>45848</v>
      </c>
      <c r="F3062" s="215" t="n">
        <v>45848</v>
      </c>
    </row>
    <row r="3063">
      <c r="A3063" s="215" t="n">
        <v>45849</v>
      </c>
      <c r="B3063" s="216" t="n">
        <v>77.3</v>
      </c>
      <c r="C3063" s="216" t="n">
        <v>72.48</v>
      </c>
      <c r="D3063" s="216" t="n">
        <v>1.093930959701538</v>
      </c>
      <c r="E3063" s="215" t="n">
        <v>45849</v>
      </c>
      <c r="F3063" s="215" t="n">
        <v>45849</v>
      </c>
    </row>
    <row r="3064">
      <c r="A3064" s="215" t="n">
        <v>45852</v>
      </c>
      <c r="B3064" s="216" t="n">
        <v>77.45</v>
      </c>
      <c r="C3064" s="216" t="n">
        <v>73.09999999999999</v>
      </c>
      <c r="D3064" s="216" t="n">
        <v>1.095023989677429</v>
      </c>
      <c r="E3064" s="215" t="n">
        <v>45852</v>
      </c>
      <c r="F3064" s="215" t="n">
        <v>45852</v>
      </c>
    </row>
    <row r="3065">
      <c r="A3065" s="215" t="n">
        <v>45853</v>
      </c>
      <c r="B3065" s="216" t="n">
        <v>79.2</v>
      </c>
      <c r="C3065" s="216" t="n">
        <v>73.20999999999999</v>
      </c>
      <c r="D3065" s="216" t="n">
        <v>1.095172047615051</v>
      </c>
      <c r="E3065" s="215" t="n">
        <v>45853</v>
      </c>
      <c r="F3065" s="215" t="n">
        <v>45853</v>
      </c>
    </row>
    <row r="3066">
      <c r="A3066" s="215" t="n">
        <v>45854</v>
      </c>
      <c r="B3066" s="216" t="n">
        <v>78.2</v>
      </c>
      <c r="C3066" s="216" t="n">
        <v>72.89</v>
      </c>
      <c r="D3066" s="216" t="n">
        <v>1.094182014465332</v>
      </c>
      <c r="E3066" s="215" t="n">
        <v>45854</v>
      </c>
      <c r="F3066" s="215" t="n">
        <v>45854</v>
      </c>
    </row>
    <row r="3067">
      <c r="A3067" s="215" t="n">
        <v>45855</v>
      </c>
      <c r="B3067" s="216" t="n">
        <v>77.8</v>
      </c>
      <c r="C3067" s="216" t="n">
        <v>72.63</v>
      </c>
      <c r="D3067" s="216" t="n">
        <v>1.093484044075012</v>
      </c>
      <c r="E3067" s="215" t="n">
        <v>45855</v>
      </c>
      <c r="F3067" s="215" t="n">
        <v>45855</v>
      </c>
    </row>
    <row r="3068">
      <c r="A3068" s="215" t="n">
        <v>45856</v>
      </c>
      <c r="B3068" s="216" t="n">
        <v>77.95</v>
      </c>
      <c r="C3068" s="216" t="n">
        <v>72.83</v>
      </c>
      <c r="D3068" s="216" t="n">
        <v>1.092442035675049</v>
      </c>
      <c r="E3068" s="215" t="n">
        <v>45856</v>
      </c>
      <c r="F3068" s="215" t="n">
        <v>45856</v>
      </c>
    </row>
    <row r="3069">
      <c r="A3069" s="215" t="n">
        <v>45859</v>
      </c>
      <c r="B3069" s="216" t="n">
        <v>79.59999999999999</v>
      </c>
      <c r="C3069" s="216" t="n">
        <v>72.55</v>
      </c>
      <c r="D3069" s="216" t="n">
        <v>1.093299984931946</v>
      </c>
      <c r="E3069" s="215" t="n">
        <v>45859</v>
      </c>
      <c r="F3069" s="215" t="n">
        <v>45859</v>
      </c>
    </row>
    <row r="3070">
      <c r="A3070" s="215" t="n">
        <v>45860</v>
      </c>
      <c r="B3070" s="216" t="n">
        <v>79.84999999999999</v>
      </c>
      <c r="C3070" s="216" t="n">
        <v>73.19</v>
      </c>
      <c r="D3070" s="216" t="n">
        <v>1.093826055526733</v>
      </c>
      <c r="E3070" s="215" t="n">
        <v>45860</v>
      </c>
      <c r="F3070" s="215" t="n">
        <v>45860</v>
      </c>
    </row>
    <row r="3071">
      <c r="A3071" s="215" t="n">
        <v>45861</v>
      </c>
      <c r="B3071" s="216" t="n">
        <v>81.90000000000001</v>
      </c>
      <c r="C3071" s="216" t="n">
        <v>73.5</v>
      </c>
      <c r="D3071" s="216" t="n">
        <v>1.094056010246277</v>
      </c>
      <c r="E3071" s="215" t="n">
        <v>45861</v>
      </c>
      <c r="F3071" s="215" t="n">
        <v>45861</v>
      </c>
    </row>
    <row r="3072">
      <c r="A3072" s="215" t="n">
        <v>45862</v>
      </c>
      <c r="B3072" s="216" t="n">
        <v>79.5</v>
      </c>
      <c r="C3072" s="216" t="n">
        <v>73.51000000000001</v>
      </c>
      <c r="D3072" s="216" t="n">
        <v>1.096284031867981</v>
      </c>
      <c r="E3072" s="215" t="n">
        <v>45862</v>
      </c>
      <c r="F3072" s="215" t="n">
        <v>45862</v>
      </c>
    </row>
    <row r="3073">
      <c r="A3073" s="215" t="n">
        <v>45863</v>
      </c>
      <c r="B3073" s="216" t="n">
        <v>78.7</v>
      </c>
      <c r="C3073" s="216" t="n">
        <v>72.76000000000001</v>
      </c>
      <c r="D3073" s="216" t="n">
        <v>1.097048044204712</v>
      </c>
      <c r="E3073" s="215" t="n">
        <v>45863</v>
      </c>
      <c r="F3073" s="215" t="n">
        <v>45863</v>
      </c>
    </row>
    <row r="3074">
      <c r="A3074" s="215" t="n">
        <v>45866</v>
      </c>
      <c r="B3074" s="216" t="n">
        <v>79</v>
      </c>
      <c r="C3074" s="216" t="n">
        <v>71.94</v>
      </c>
      <c r="D3074" s="216" t="n">
        <v>1.097200989723206</v>
      </c>
      <c r="E3074" s="215" t="n">
        <v>45866</v>
      </c>
      <c r="F3074" s="215" t="n">
        <v>45866</v>
      </c>
    </row>
    <row r="3075">
      <c r="A3075" s="215" t="n">
        <v>45867</v>
      </c>
      <c r="B3075" s="216" t="n">
        <v>79.05</v>
      </c>
      <c r="C3075" s="216" t="n">
        <v>71.23999999999999</v>
      </c>
      <c r="D3075" s="216" t="n">
        <v>1.093530058860779</v>
      </c>
      <c r="E3075" s="215" t="n">
        <v>45867</v>
      </c>
      <c r="F3075" s="215" t="n">
        <v>45867</v>
      </c>
    </row>
    <row r="3076">
      <c r="A3076" s="215" t="n">
        <v>45868</v>
      </c>
      <c r="B3076" s="216" t="n">
        <v>79.90000000000001</v>
      </c>
      <c r="C3076" s="216" t="n">
        <v>72.11</v>
      </c>
      <c r="D3076" s="216" t="n">
        <v>1.093464970588684</v>
      </c>
      <c r="E3076" s="215" t="n">
        <v>45868</v>
      </c>
      <c r="F3076" s="215" t="n">
        <v>45868</v>
      </c>
    </row>
    <row r="3077">
      <c r="A3077" s="215" t="n">
        <v>45869</v>
      </c>
      <c r="B3077" s="216" t="n">
        <v>76.15000000000001</v>
      </c>
      <c r="C3077" s="216" t="n">
        <v>70.19</v>
      </c>
      <c r="D3077" s="216" t="n">
        <v>1.093583941459656</v>
      </c>
      <c r="E3077" s="215" t="n">
        <v>45869</v>
      </c>
      <c r="F3077" s="215" t="n">
        <v>45869</v>
      </c>
    </row>
    <row r="3078">
      <c r="A3078" s="215" t="n">
        <v>45870</v>
      </c>
      <c r="B3078" s="216" t="n">
        <v>75.90000000000001</v>
      </c>
      <c r="C3078" s="216" t="n">
        <v>70.79000000000001</v>
      </c>
      <c r="D3078" s="216" t="n">
        <v>1.090090990066528</v>
      </c>
      <c r="E3078" s="215" t="n">
        <v>45870</v>
      </c>
      <c r="F3078" s="215" t="n">
        <v>45870</v>
      </c>
    </row>
    <row r="3079">
      <c r="A3079" s="215" t="n">
        <v>45873</v>
      </c>
      <c r="B3079" s="216" t="n">
        <v>76.25</v>
      </c>
      <c r="C3079" s="216" t="n">
        <v>70.94</v>
      </c>
      <c r="D3079" s="216" t="n">
        <v>1.088384985923767</v>
      </c>
      <c r="E3079" s="215" t="n">
        <v>45873</v>
      </c>
      <c r="F3079" s="215" t="n">
        <v>45873</v>
      </c>
    </row>
    <row r="3080">
      <c r="A3080" s="215" t="n">
        <v>45874</v>
      </c>
      <c r="B3080" s="216" t="n">
        <v>77.59999999999999</v>
      </c>
      <c r="C3080" s="216" t="n">
        <v>71.38</v>
      </c>
      <c r="D3080" s="216" t="n">
        <v>1.093202948570251</v>
      </c>
      <c r="E3080" s="215" t="n">
        <v>45874</v>
      </c>
      <c r="F3080" s="215" t="n">
        <v>45874</v>
      </c>
    </row>
    <row r="3081">
      <c r="A3081" s="215" t="n">
        <v>45875</v>
      </c>
      <c r="B3081" s="216" t="n">
        <v>77.8</v>
      </c>
      <c r="C3081" s="216" t="n">
        <v>71.7</v>
      </c>
      <c r="D3081" s="216" t="n">
        <v>1.092388987541199</v>
      </c>
      <c r="E3081" s="215" t="n">
        <v>45875</v>
      </c>
      <c r="F3081" s="215" t="n">
        <v>45875</v>
      </c>
    </row>
    <row r="3082">
      <c r="A3082" s="215" t="n">
        <v>45876</v>
      </c>
      <c r="B3082" s="216" t="n">
        <v>78.59999999999999</v>
      </c>
      <c r="C3082" s="216" t="n">
        <v>71.48</v>
      </c>
      <c r="D3082" s="216" t="n">
        <v>1.092599034309387</v>
      </c>
      <c r="E3082" s="215" t="n">
        <v>45876</v>
      </c>
      <c r="F3082" s="215" t="n">
        <v>45876</v>
      </c>
    </row>
    <row r="3083">
      <c r="A3083" s="215" t="n">
        <v>45877</v>
      </c>
      <c r="B3083" s="216" t="n">
        <v>78.5</v>
      </c>
      <c r="C3083" s="216" t="n">
        <v>71.58</v>
      </c>
      <c r="D3083" s="216" t="n">
        <v>1.092857956886292</v>
      </c>
      <c r="E3083" s="215" t="n">
        <v>45877</v>
      </c>
      <c r="F3083" s="215" t="n">
        <v>45877</v>
      </c>
    </row>
    <row r="3084">
      <c r="A3084" s="215" t="n">
        <v>45880</v>
      </c>
      <c r="B3084" s="216" t="n">
        <v>79.25</v>
      </c>
      <c r="C3084" s="216" t="n">
        <v>71.76000000000001</v>
      </c>
      <c r="D3084" s="216" t="n">
        <v>1.093001961708069</v>
      </c>
      <c r="E3084" s="215" t="n">
        <v>45880</v>
      </c>
      <c r="F3084" s="215" t="n">
        <v>45880</v>
      </c>
    </row>
    <row r="3085">
      <c r="A3085" s="215" t="n">
        <v>45881</v>
      </c>
      <c r="B3085" s="216" t="n">
        <v>79.75</v>
      </c>
      <c r="C3085" s="216" t="n">
        <v>71.93000000000001</v>
      </c>
      <c r="D3085" s="216" t="n">
        <v>1.091938018798828</v>
      </c>
      <c r="E3085" s="215" t="n">
        <v>45881</v>
      </c>
      <c r="F3085" s="215" t="n">
        <v>45881</v>
      </c>
    </row>
    <row r="3086">
      <c r="A3086" s="215" t="n">
        <v>45882</v>
      </c>
      <c r="B3086" s="216" t="n">
        <v>80.40000000000001</v>
      </c>
      <c r="C3086" s="216" t="n">
        <v>71.81999999999999</v>
      </c>
      <c r="D3086" s="216" t="n">
        <v>1.093171000480652</v>
      </c>
      <c r="E3086" s="215" t="n">
        <v>45882</v>
      </c>
      <c r="F3086" s="215" t="n">
        <v>45882</v>
      </c>
    </row>
    <row r="3087">
      <c r="A3087" s="215" t="n">
        <v>45883</v>
      </c>
      <c r="B3087" s="216" t="n">
        <v>81</v>
      </c>
      <c r="C3087" s="216" t="n">
        <v>72.33</v>
      </c>
      <c r="D3087" s="216" t="n">
        <v>1.093981027603149</v>
      </c>
      <c r="E3087" s="215" t="n">
        <v>45883</v>
      </c>
      <c r="F3087" s="215" t="n">
        <v>45883</v>
      </c>
    </row>
    <row r="3088">
      <c r="A3088" s="215" t="n">
        <v>45884</v>
      </c>
      <c r="B3088" s="216" t="n">
        <v>80.75</v>
      </c>
      <c r="C3088" s="216" t="n">
        <v>72.3</v>
      </c>
      <c r="D3088" s="216" t="n">
        <v>1.091035962104797</v>
      </c>
      <c r="E3088" s="215" t="n">
        <v>45884</v>
      </c>
      <c r="F3088" s="215" t="n">
        <v>45884</v>
      </c>
    </row>
    <row r="3089">
      <c r="A3089" s="215" t="n">
        <v>45887</v>
      </c>
      <c r="B3089" s="216" t="n">
        <v>80.95</v>
      </c>
      <c r="C3089" s="216" t="n">
        <v>71.84</v>
      </c>
      <c r="D3089" s="216" t="n">
        <v>1.089409947395325</v>
      </c>
      <c r="E3089" s="215" t="n">
        <v>45887</v>
      </c>
      <c r="F3089" s="215" t="n">
        <v>45887</v>
      </c>
    </row>
    <row r="3090">
      <c r="A3090" s="215" t="n">
        <v>45888</v>
      </c>
      <c r="B3090" s="216" t="n">
        <v>82.59999999999999</v>
      </c>
      <c r="C3090" s="216" t="n">
        <v>72.68000000000001</v>
      </c>
      <c r="D3090" s="216" t="n">
        <v>1.088366031646729</v>
      </c>
      <c r="E3090" s="215" t="n">
        <v>45888</v>
      </c>
      <c r="F3090" s="215" t="n">
        <v>45888</v>
      </c>
    </row>
    <row r="3091">
      <c r="A3091" s="215" t="n">
        <v>45889</v>
      </c>
      <c r="B3091" s="216" t="n">
        <v>81.40000000000001</v>
      </c>
      <c r="C3091" s="216" t="n">
        <v>72.22</v>
      </c>
      <c r="D3091" s="216" t="n">
        <v>1.085826992988586</v>
      </c>
      <c r="E3091" s="215" t="n">
        <v>45889</v>
      </c>
      <c r="F3091" s="215" t="n">
        <v>45889</v>
      </c>
    </row>
    <row r="3092">
      <c r="A3092" s="215" t="n">
        <v>45890</v>
      </c>
      <c r="B3092" s="216" t="n">
        <v>81.90000000000001</v>
      </c>
      <c r="C3092" s="216" t="n">
        <v>71.92</v>
      </c>
      <c r="D3092" s="216" t="n">
        <v>1.088521003723145</v>
      </c>
      <c r="E3092" s="215" t="n">
        <v>45890</v>
      </c>
      <c r="F3092" s="215" t="n">
        <v>45890</v>
      </c>
    </row>
    <row r="3093">
      <c r="A3093" s="215" t="n">
        <v>45891</v>
      </c>
      <c r="B3093" s="216" t="n">
        <v>81.15000000000001</v>
      </c>
      <c r="C3093" s="216" t="n">
        <v>72.09</v>
      </c>
      <c r="D3093" s="216" t="n">
        <v>1.08814001083374</v>
      </c>
      <c r="E3093" s="215" t="n">
        <v>45891</v>
      </c>
      <c r="F3093" s="215" t="n">
        <v>45891</v>
      </c>
    </row>
    <row r="3094">
      <c r="A3094" s="215" t="n">
        <v>45894</v>
      </c>
      <c r="B3094" s="216" t="n">
        <v>83.95</v>
      </c>
      <c r="C3094" s="216" t="n">
        <v>73.52</v>
      </c>
      <c r="D3094" s="216" t="n">
        <v>1.090230941772461</v>
      </c>
      <c r="E3094" s="215" t="n">
        <v>45894</v>
      </c>
      <c r="F3094" s="215" t="n">
        <v>45894</v>
      </c>
    </row>
    <row r="3095">
      <c r="A3095" s="215" t="n">
        <v>45895</v>
      </c>
      <c r="B3095" s="216" t="n">
        <v>83.3</v>
      </c>
      <c r="C3095" s="216" t="n">
        <v>73.8</v>
      </c>
      <c r="D3095" s="216" t="n">
        <v>1.09236204624176</v>
      </c>
      <c r="E3095" s="215" t="n">
        <v>45895</v>
      </c>
      <c r="F3095" s="215" t="n">
        <v>45895</v>
      </c>
    </row>
    <row r="3096">
      <c r="A3096" s="215" t="n">
        <v>45896</v>
      </c>
      <c r="B3096" s="216" t="n">
        <v>81.5</v>
      </c>
      <c r="C3096" s="216" t="n">
        <v>72.70999999999999</v>
      </c>
      <c r="D3096" s="216" t="n">
        <v>1.089414000511169</v>
      </c>
      <c r="E3096" s="215" t="n">
        <v>45896</v>
      </c>
      <c r="F3096" s="215" t="n">
        <v>45896</v>
      </c>
    </row>
    <row r="3097">
      <c r="A3097" s="215" t="n">
        <v>45897</v>
      </c>
      <c r="B3097" s="216" t="n">
        <v>81.59999999999999</v>
      </c>
      <c r="C3097" s="216" t="n">
        <v>73.5</v>
      </c>
      <c r="D3097" s="216" t="n">
        <v>1.088047027587891</v>
      </c>
      <c r="E3097" s="215" t="n">
        <v>45897</v>
      </c>
      <c r="F3097" s="215" t="n">
        <v>45897</v>
      </c>
    </row>
    <row r="3098">
      <c r="A3098" s="215" t="n">
        <v>45898</v>
      </c>
      <c r="B3098" s="216" t="n">
        <v>81.75</v>
      </c>
      <c r="C3098" s="216" t="n">
        <v>73.70999999999999</v>
      </c>
      <c r="D3098" s="216" t="n">
        <v>1.089478969573975</v>
      </c>
      <c r="E3098" s="215" t="n">
        <v>45898</v>
      </c>
      <c r="F3098" s="215" t="n">
        <v>45898</v>
      </c>
    </row>
    <row r="3099">
      <c r="A3099" s="215" t="n">
        <v>45901</v>
      </c>
      <c r="B3099" s="216" t="n">
        <v>83.90000000000001</v>
      </c>
      <c r="C3099" s="216" t="n">
        <v>74.03</v>
      </c>
      <c r="D3099" s="216" t="n">
        <v>1.09319794178009</v>
      </c>
      <c r="E3099" s="215" t="n">
        <v>45901</v>
      </c>
      <c r="F3099" s="215" t="n">
        <v>45901</v>
      </c>
    </row>
    <row r="3100">
      <c r="A3100" s="215" t="n">
        <v>45902</v>
      </c>
      <c r="B3100" s="216" t="n">
        <v>86.8</v>
      </c>
      <c r="C3100" s="216" t="n">
        <v>76.16</v>
      </c>
      <c r="D3100" s="216" t="n">
        <v>1.093255043029785</v>
      </c>
      <c r="E3100" s="215" t="n">
        <v>45902</v>
      </c>
      <c r="F3100" s="215" t="n">
        <v>45902</v>
      </c>
    </row>
    <row r="3101">
      <c r="A3101" s="215" t="n">
        <v>45903</v>
      </c>
      <c r="B3101" s="216" t="n">
        <v>84.34999999999999</v>
      </c>
      <c r="C3101" s="216" t="n">
        <v>75.62</v>
      </c>
      <c r="D3101" s="216" t="n">
        <v>1.09343695640564</v>
      </c>
      <c r="E3101" s="215" t="n">
        <v>45903</v>
      </c>
      <c r="F3101" s="215" t="n">
        <v>45903</v>
      </c>
    </row>
    <row r="3102">
      <c r="A3102" s="215" t="n">
        <v>45904</v>
      </c>
      <c r="B3102" s="216" t="n">
        <v>83.34999999999999</v>
      </c>
      <c r="C3102" s="216" t="n">
        <v>75.59</v>
      </c>
      <c r="D3102" s="216" t="n">
        <v>1.092192053794861</v>
      </c>
      <c r="E3102" s="215" t="n">
        <v>45904</v>
      </c>
      <c r="F3102" s="215" t="n">
        <v>45904</v>
      </c>
    </row>
    <row r="3103">
      <c r="A3103" s="215" t="n">
        <v>45905</v>
      </c>
      <c r="B3103" s="216" t="n">
        <v>86.5</v>
      </c>
      <c r="C3103" s="216" t="n">
        <v>76.22</v>
      </c>
      <c r="D3103" s="216" t="n">
        <v>1.092169046401978</v>
      </c>
      <c r="E3103" s="215" t="n">
        <v>45905</v>
      </c>
      <c r="F3103" s="215" t="n">
        <v>45905</v>
      </c>
    </row>
    <row r="3104">
      <c r="A3104" s="215" t="n">
        <v>45908</v>
      </c>
      <c r="B3104" s="216" t="n">
        <v>87.34999999999999</v>
      </c>
      <c r="C3104" s="216" t="n">
        <v>77.03</v>
      </c>
      <c r="D3104" s="216" t="n">
        <v>1.093217015266418</v>
      </c>
      <c r="E3104" s="215" t="n">
        <v>45908</v>
      </c>
      <c r="F3104" s="215" t="n">
        <v>45908</v>
      </c>
    </row>
    <row r="3105">
      <c r="A3105" s="215" t="n">
        <v>45909</v>
      </c>
      <c r="B3105" s="216" t="n">
        <v>87.3</v>
      </c>
      <c r="C3105" s="216" t="n">
        <v>77.18000000000001</v>
      </c>
      <c r="D3105" s="216" t="n">
        <v>1.092916965484619</v>
      </c>
      <c r="E3105" s="215" t="n">
        <v>45909</v>
      </c>
      <c r="F3105" s="215" t="n">
        <v>45909</v>
      </c>
    </row>
    <row r="3106">
      <c r="A3106" s="215" t="n">
        <v>45910</v>
      </c>
      <c r="B3106" s="216" t="n">
        <v>86.7</v>
      </c>
      <c r="C3106" s="216" t="n">
        <v>77.02</v>
      </c>
      <c r="D3106" s="216" t="n">
        <v>1.093482971191406</v>
      </c>
      <c r="E3106" s="215" t="n">
        <v>45910</v>
      </c>
      <c r="F3106" s="215" t="n">
        <v>45910</v>
      </c>
    </row>
    <row r="3107">
      <c r="A3107" s="215" t="n">
        <v>45911</v>
      </c>
      <c r="B3107" s="216" t="n">
        <v>86.90000000000001</v>
      </c>
      <c r="C3107" s="216" t="n">
        <v>77.02</v>
      </c>
      <c r="D3107" s="216" t="n">
        <v>1.093762993812561</v>
      </c>
      <c r="E3107" s="215" t="n">
        <v>45911</v>
      </c>
      <c r="F3107" s="215" t="n">
        <v>45911</v>
      </c>
    </row>
    <row r="3108">
      <c r="A3108" s="215" t="n">
        <v>45912</v>
      </c>
      <c r="B3108" s="216" t="n">
        <v>85.90000000000001</v>
      </c>
      <c r="C3108" s="216" t="n">
        <v>75.56999999999999</v>
      </c>
      <c r="D3108" s="216" t="n">
        <v>1.094014048576355</v>
      </c>
      <c r="E3108" s="215" t="n">
        <v>45912</v>
      </c>
      <c r="F3108" s="215" t="n">
        <v>45912</v>
      </c>
    </row>
    <row r="3109">
      <c r="A3109" s="215" t="n">
        <v>45915</v>
      </c>
      <c r="B3109" s="216" t="n">
        <v>85.75</v>
      </c>
      <c r="C3109" s="216" t="n">
        <v>75.17</v>
      </c>
      <c r="D3109" s="216" t="n">
        <v>1.091848969459534</v>
      </c>
      <c r="E3109" s="215" t="n">
        <v>45915</v>
      </c>
      <c r="F3109" s="215" t="n">
        <v>45915</v>
      </c>
    </row>
    <row r="3110">
      <c r="A3110" s="215" t="n">
        <v>45916</v>
      </c>
      <c r="B3110" s="216" t="n">
        <v>84.55</v>
      </c>
      <c r="C3110" s="216" t="n">
        <v>74.45999999999999</v>
      </c>
      <c r="D3110" s="216" t="n">
        <v>1.092795968055725</v>
      </c>
      <c r="E3110" s="215" t="n">
        <v>45916</v>
      </c>
      <c r="F3110" s="215" t="n">
        <v>45916</v>
      </c>
    </row>
    <row r="3111">
      <c r="A3111" s="215" t="n">
        <v>45917</v>
      </c>
      <c r="B3111" s="216" t="n">
        <v>85.75</v>
      </c>
      <c r="C3111" s="216" t="n">
        <v>74.34999999999999</v>
      </c>
      <c r="D3111" s="216" t="n">
        <v>1.093690991401672</v>
      </c>
      <c r="E3111" s="215" t="n">
        <v>45917</v>
      </c>
      <c r="F3111" s="215" t="n">
        <v>45917</v>
      </c>
    </row>
    <row r="3112">
      <c r="A3112" s="215" t="n">
        <v>45918</v>
      </c>
      <c r="B3112" s="216" t="n">
        <v>83.55</v>
      </c>
      <c r="C3112" s="216" t="n">
        <v>73.73999999999999</v>
      </c>
      <c r="D3112" s="216" t="n">
        <v>1.094727993011475</v>
      </c>
      <c r="E3112" s="215" t="n">
        <v>45918</v>
      </c>
      <c r="F3112" s="215" t="n">
        <v>45918</v>
      </c>
    </row>
    <row r="3113">
      <c r="A3113" s="215" t="n">
        <v>45919</v>
      </c>
      <c r="B3113" s="216" t="n">
        <v>85.05</v>
      </c>
      <c r="C3113" s="216" t="n">
        <v>74.34999999999999</v>
      </c>
      <c r="D3113" s="216" t="n">
        <v>1.093201994895935</v>
      </c>
      <c r="E3113" s="215" t="n">
        <v>45919</v>
      </c>
      <c r="F3113" s="215" t="n">
        <v>45919</v>
      </c>
    </row>
    <row r="3114">
      <c r="A3114" s="215" t="n">
        <v>45922</v>
      </c>
      <c r="B3114" s="216" t="n">
        <v>82.65000000000001</v>
      </c>
      <c r="C3114" s="216" t="n">
        <v>73.26000000000001</v>
      </c>
      <c r="D3114" s="216" t="n">
        <v>1.092589020729065</v>
      </c>
      <c r="E3114" s="215" t="n">
        <v>45922</v>
      </c>
      <c r="F3114" s="215" t="n">
        <v>45922</v>
      </c>
    </row>
    <row r="3115">
      <c r="A3115" s="215" t="n">
        <v>45923</v>
      </c>
      <c r="B3115" s="216" t="n">
        <v>82.40000000000001</v>
      </c>
      <c r="C3115" s="216" t="n">
        <v>73.53</v>
      </c>
      <c r="D3115" s="216" t="n">
        <v>1.0920250415802</v>
      </c>
      <c r="E3115" s="215" t="n">
        <v>45923</v>
      </c>
      <c r="F3115" s="215" t="n">
        <v>45923</v>
      </c>
    </row>
    <row r="3116">
      <c r="A3116" s="215" t="n">
        <v>45924</v>
      </c>
      <c r="B3116" s="216" t="n">
        <v>83.40000000000001</v>
      </c>
      <c r="C3116" s="216" t="n">
        <v>74.09999999999999</v>
      </c>
      <c r="D3116" s="216" t="n">
        <v>1.093196988105774</v>
      </c>
      <c r="E3116" s="215" t="n">
        <v>45924</v>
      </c>
      <c r="F3116" s="215" t="n">
        <v>45924</v>
      </c>
    </row>
    <row r="3117">
      <c r="A3117" s="215" t="n">
        <v>45925</v>
      </c>
      <c r="B3117" s="216" t="n">
        <v>81.55</v>
      </c>
      <c r="C3117" s="216" t="n">
        <v>72.84</v>
      </c>
      <c r="D3117" s="216" t="n">
        <v>1.090371012687683</v>
      </c>
      <c r="E3117" s="215" t="n">
        <v>45925</v>
      </c>
      <c r="F3117" s="215" t="n">
        <v>45925</v>
      </c>
    </row>
    <row r="3118">
      <c r="A3118" s="215" t="n">
        <v>45926</v>
      </c>
      <c r="B3118" s="216" t="n">
        <v>81.8</v>
      </c>
      <c r="C3118" s="216" t="n">
        <v>74.2</v>
      </c>
      <c r="D3118" s="216" t="n">
        <v>1.090574979782104</v>
      </c>
      <c r="E3118" s="215" t="n">
        <v>45926</v>
      </c>
      <c r="F3118" s="215" t="n">
        <v>45926</v>
      </c>
    </row>
    <row r="3119">
      <c r="A3119" s="215" t="n">
        <v>45929</v>
      </c>
      <c r="B3119" s="216" t="n">
        <v>82.40000000000001</v>
      </c>
      <c r="C3119" s="216" t="n">
        <v>73.73</v>
      </c>
      <c r="D3119" s="216" t="n">
        <v>1.090520024299622</v>
      </c>
      <c r="E3119" s="215" t="n">
        <v>45929</v>
      </c>
      <c r="F3119" s="215" t="n">
        <v>45929</v>
      </c>
    </row>
    <row r="3120">
      <c r="A3120" s="215" t="n">
        <v>45930</v>
      </c>
      <c r="B3120" s="216" t="n">
        <v>82.25</v>
      </c>
      <c r="C3120" s="216" t="n">
        <v>72.66</v>
      </c>
      <c r="D3120" s="216" t="n">
        <v>1.093106031417847</v>
      </c>
      <c r="E3120" s="215" t="n">
        <v>45930</v>
      </c>
      <c r="F3120" s="215" t="n">
        <v>45930</v>
      </c>
    </row>
    <row r="3121">
      <c r="A3121" s="215" t="n">
        <v>45932</v>
      </c>
      <c r="B3121" s="216" t="n">
        <v>82.75</v>
      </c>
      <c r="C3121" s="216" t="n">
        <v>72.66</v>
      </c>
      <c r="D3121" s="216" t="n">
        <v>1.092823028564453</v>
      </c>
      <c r="E3121" s="215" t="n">
        <v>45930</v>
      </c>
      <c r="F3121" s="215" t="n">
        <v>45932</v>
      </c>
    </row>
    <row r="3122">
      <c r="A3122" s="215" t="n">
        <v>45933</v>
      </c>
      <c r="B3122" s="216" t="n">
        <v>83.2</v>
      </c>
      <c r="C3122" s="216" t="n">
        <v>72.66</v>
      </c>
      <c r="D3122" s="216" t="n">
        <v>1.09303605556488</v>
      </c>
      <c r="E3122" s="215" t="n">
        <v>45930</v>
      </c>
      <c r="F3122" s="215" t="n">
        <v>45933</v>
      </c>
    </row>
    <row r="3123">
      <c r="A3123" s="215" t="n">
        <v>45936</v>
      </c>
      <c r="B3123" s="216" t="n">
        <v>81.25</v>
      </c>
      <c r="C3123" s="216" t="n">
        <v>72.66</v>
      </c>
      <c r="D3123" s="216" t="n">
        <v>1.092857956886292</v>
      </c>
      <c r="E3123" s="215" t="n">
        <v>45930</v>
      </c>
      <c r="F3123" s="215" t="n">
        <v>45936</v>
      </c>
    </row>
    <row r="3124">
      <c r="A3124" s="215" t="n">
        <v>45938</v>
      </c>
      <c r="B3124" s="216" t="n">
        <v>81.15000000000001</v>
      </c>
      <c r="C3124" s="216" t="n">
        <v>72.66</v>
      </c>
      <c r="D3124" s="216" t="n">
        <v>1.093148946762085</v>
      </c>
      <c r="E3124" s="215" t="n">
        <v>45930</v>
      </c>
      <c r="F3124" s="215" t="n">
        <v>45938</v>
      </c>
    </row>
    <row r="3125">
      <c r="A3125" s="215" t="n">
        <v>45939</v>
      </c>
      <c r="B3125" s="216" t="n">
        <v>82.34999999999999</v>
      </c>
      <c r="C3125" s="216" t="n">
        <v>72.63</v>
      </c>
      <c r="D3125" s="216" t="n">
        <v>1.092933058738708</v>
      </c>
      <c r="E3125" s="215" t="n">
        <v>45939</v>
      </c>
      <c r="F3125" s="215" t="n">
        <v>45939</v>
      </c>
    </row>
    <row r="3126">
      <c r="A3126" s="215" t="n">
        <v>45940</v>
      </c>
      <c r="B3126" s="216" t="n">
        <v>81.34999999999999</v>
      </c>
      <c r="C3126" s="216" t="n">
        <v>72.83</v>
      </c>
      <c r="D3126" s="216" t="n">
        <v>1.091662049293518</v>
      </c>
      <c r="E3126" s="215" t="n">
        <v>45940</v>
      </c>
      <c r="F3126" s="215" t="n">
        <v>45940</v>
      </c>
    </row>
    <row r="3127">
      <c r="A3127" s="215" t="n">
        <v>45943</v>
      </c>
      <c r="B3127" s="216" t="n">
        <v>80.09999999999999</v>
      </c>
      <c r="C3127" s="216" t="n">
        <v>71.81</v>
      </c>
      <c r="D3127" s="216" t="n">
        <v>1.093768000602722</v>
      </c>
      <c r="E3127" s="215" t="n">
        <v>45943</v>
      </c>
      <c r="F3127" s="215" t="n">
        <v>45943</v>
      </c>
    </row>
    <row r="3128">
      <c r="A3128" s="215" t="n">
        <v>45944</v>
      </c>
      <c r="B3128" s="216" t="n">
        <v>79.90000000000001</v>
      </c>
      <c r="C3128" s="216" t="n">
        <v>72.59999999999999</v>
      </c>
      <c r="D3128" s="216" t="n">
        <v>1.093292951583862</v>
      </c>
      <c r="E3128" s="215" t="n">
        <v>45944</v>
      </c>
      <c r="F3128" s="215" t="n">
        <v>45944</v>
      </c>
    </row>
    <row r="3129">
      <c r="A3129" s="215" t="n">
        <v>45945</v>
      </c>
      <c r="B3129" s="216" t="n">
        <v>82.2</v>
      </c>
      <c r="C3129" s="216" t="n">
        <v>72.92</v>
      </c>
      <c r="D3129" s="216" t="n">
        <v>1.088750958442688</v>
      </c>
      <c r="E3129" s="215" t="n">
        <v>45945</v>
      </c>
      <c r="F3129" s="215" t="n">
        <v>45945</v>
      </c>
    </row>
    <row r="3130">
      <c r="A3130" s="215" t="n">
        <v>45946</v>
      </c>
      <c r="B3130" s="216" t="n">
        <v>82</v>
      </c>
      <c r="C3130" s="216" t="n">
        <v>73.18000000000001</v>
      </c>
      <c r="D3130" s="216" t="n">
        <v>1.090903043746948</v>
      </c>
      <c r="E3130" s="215" t="n">
        <v>45946</v>
      </c>
      <c r="F3130" s="215" t="n">
        <v>45946</v>
      </c>
    </row>
    <row r="3131">
      <c r="A3131" s="215" t="n">
        <v>45947</v>
      </c>
      <c r="B3131" s="216" t="n">
        <v>81.09999999999999</v>
      </c>
      <c r="C3131" s="216" t="n">
        <v>72.8</v>
      </c>
      <c r="D3131" s="216" t="n">
        <v>1.09073805809021</v>
      </c>
      <c r="E3131" s="215" t="n">
        <v>45947</v>
      </c>
      <c r="F3131" s="215" t="n">
        <v>45947</v>
      </c>
    </row>
    <row r="3132">
      <c r="A3132" s="215" t="n">
        <v>45950</v>
      </c>
      <c r="B3132" s="216" t="n">
        <v>82.2</v>
      </c>
      <c r="C3132" s="216" t="n">
        <v>72.87</v>
      </c>
      <c r="D3132" s="216" t="n">
        <v>1.089843988418579</v>
      </c>
      <c r="E3132" s="215" t="n">
        <v>45950</v>
      </c>
      <c r="F3132" s="215" t="n">
        <v>45950</v>
      </c>
    </row>
    <row r="3133">
      <c r="A3133" s="215" t="n">
        <v>45951</v>
      </c>
      <c r="B3133" s="216" t="n">
        <v>82.34999999999999</v>
      </c>
      <c r="C3133" s="216" t="n">
        <v>72.91</v>
      </c>
      <c r="D3133" s="216" t="n">
        <v>1.091038942337036</v>
      </c>
      <c r="E3133" s="215" t="n">
        <v>45951</v>
      </c>
      <c r="F3133" s="215" t="n">
        <v>45951</v>
      </c>
    </row>
    <row r="3134">
      <c r="A3134" s="215" t="n">
        <v>45952</v>
      </c>
      <c r="B3134" s="216" t="n">
        <v>82.59999999999999</v>
      </c>
      <c r="C3134" s="216" t="n">
        <v>73.88</v>
      </c>
      <c r="D3134" s="216" t="n">
        <v>1.091071009635925</v>
      </c>
      <c r="E3134" s="215" t="n">
        <v>45952</v>
      </c>
      <c r="F3134" s="215" t="n">
        <v>45952</v>
      </c>
    </row>
    <row r="3135">
      <c r="A3135" s="215" t="n">
        <v>45953</v>
      </c>
      <c r="B3135" s="216" t="n">
        <v>83.40000000000001</v>
      </c>
      <c r="C3135" s="216" t="n">
        <v>74.89</v>
      </c>
      <c r="D3135" s="216" t="n">
        <v>1.090343952178955</v>
      </c>
      <c r="E3135" s="215" t="n">
        <v>45953</v>
      </c>
      <c r="F3135" s="215" t="n">
        <v>45953</v>
      </c>
    </row>
    <row r="3136">
      <c r="A3136" s="215" t="n">
        <v>45954</v>
      </c>
      <c r="B3136" s="216" t="n">
        <v>84</v>
      </c>
      <c r="C3136" s="216" t="n">
        <v>74.61</v>
      </c>
      <c r="D3136" s="216" t="n">
        <v>1.090456962585449</v>
      </c>
      <c r="E3136" s="215" t="n">
        <v>45954</v>
      </c>
      <c r="F3136" s="215" t="n">
        <v>45954</v>
      </c>
    </row>
    <row r="3137">
      <c r="A3137" s="215" t="n">
        <v>45957</v>
      </c>
      <c r="B3137" s="216" t="n">
        <v>84</v>
      </c>
      <c r="C3137" s="216" t="n">
        <v>74.88</v>
      </c>
      <c r="D3137" s="216" t="n">
        <v>1.090957045555115</v>
      </c>
      <c r="E3137" s="215" t="n">
        <v>45957</v>
      </c>
      <c r="F3137" s="215" t="n">
        <v>45957</v>
      </c>
    </row>
    <row r="3138">
      <c r="A3138" s="215" t="n">
        <v>45958</v>
      </c>
      <c r="B3138" s="216" t="n">
        <v>82.25</v>
      </c>
      <c r="C3138" s="216" t="n">
        <v>74.41</v>
      </c>
      <c r="D3138" s="216" t="n">
        <v>1.092440009117126</v>
      </c>
      <c r="E3138" s="215" t="n">
        <v>45958</v>
      </c>
      <c r="F3138" s="215" t="n">
        <v>45958</v>
      </c>
    </row>
    <row r="3139">
      <c r="A3139" s="215" t="n">
        <v>45960</v>
      </c>
      <c r="B3139" s="216" t="n">
        <v>83.15000000000001</v>
      </c>
      <c r="C3139" s="216" t="n">
        <v>75.3</v>
      </c>
      <c r="D3139" s="216" t="n">
        <v>1.09463894367218</v>
      </c>
      <c r="E3139" s="215" t="n">
        <v>45960</v>
      </c>
      <c r="F3139" s="215" t="n">
        <v>45960</v>
      </c>
    </row>
    <row r="3140">
      <c r="A3140" s="215" t="n">
        <v>45961</v>
      </c>
      <c r="B3140" s="216" t="n">
        <v>84</v>
      </c>
      <c r="C3140" s="216" t="n">
        <v>76.40000000000001</v>
      </c>
      <c r="D3140" s="216" t="n">
        <v>1.092543959617615</v>
      </c>
      <c r="E3140" s="215" t="n">
        <v>45961</v>
      </c>
      <c r="F3140" s="215" t="n">
        <v>45961</v>
      </c>
    </row>
    <row r="3141">
      <c r="A3141" s="215" t="n">
        <v>45964</v>
      </c>
      <c r="B3141" s="216" t="n">
        <v>82.40000000000001</v>
      </c>
      <c r="C3141" s="216" t="n">
        <v>75.39</v>
      </c>
      <c r="D3141" s="216" t="n">
        <v>1.091722965240479</v>
      </c>
      <c r="E3141" s="215" t="n">
        <v>45964</v>
      </c>
      <c r="F3141" s="215" t="n">
        <v>45964</v>
      </c>
    </row>
    <row r="3142">
      <c r="A3142" s="215" t="n">
        <v>45965</v>
      </c>
      <c r="B3142" s="216" t="n">
        <v>84.15000000000001</v>
      </c>
      <c r="C3142" s="216" t="n">
        <v>75.16</v>
      </c>
      <c r="D3142" s="216" t="n">
        <v>1.083533048629761</v>
      </c>
      <c r="E3142" s="215" t="n">
        <v>45965</v>
      </c>
      <c r="F3142" s="215" t="n">
        <v>45965</v>
      </c>
    </row>
    <row r="3143">
      <c r="A3143" s="215" t="n">
        <v>45966</v>
      </c>
      <c r="B3143" s="216" t="n">
        <v>84.45</v>
      </c>
      <c r="C3143" s="216" t="n">
        <v>75.94</v>
      </c>
      <c r="D3143" s="216" t="n">
        <v>1.090273976325989</v>
      </c>
      <c r="E3143" s="215" t="n">
        <v>45966</v>
      </c>
      <c r="F3143" s="215" t="n">
        <v>45966</v>
      </c>
    </row>
    <row r="3144">
      <c r="A3144" s="215" t="n">
        <v>45967</v>
      </c>
      <c r="B3144" s="216" t="n">
        <v>87.05</v>
      </c>
      <c r="C3144" s="216" t="n">
        <v>77.03</v>
      </c>
      <c r="D3144" s="216" t="n">
        <v>1.090808033943176</v>
      </c>
      <c r="E3144" s="215" t="n">
        <v>45967</v>
      </c>
      <c r="F3144" s="215" t="n">
        <v>45967</v>
      </c>
    </row>
    <row r="3145">
      <c r="A3145" s="215" t="n">
        <v>45968</v>
      </c>
      <c r="B3145" s="216" t="n">
        <v>86.15000000000001</v>
      </c>
      <c r="C3145" s="216" t="n">
        <v>76.2</v>
      </c>
      <c r="D3145" s="216" t="n">
        <v>1.092054009437561</v>
      </c>
      <c r="E3145" s="215" t="n">
        <v>45968</v>
      </c>
      <c r="F3145" s="215" t="n">
        <v>45968</v>
      </c>
    </row>
    <row r="3146">
      <c r="A3146" s="215" t="n">
        <v>45971</v>
      </c>
      <c r="B3146" s="216" t="n">
        <v>87.34999999999999</v>
      </c>
      <c r="C3146" s="216" t="n">
        <v>77.33</v>
      </c>
      <c r="D3146" s="216" t="n">
        <v>1.092267036437988</v>
      </c>
      <c r="E3146" s="215" t="n">
        <v>45971</v>
      </c>
      <c r="F3146" s="215" t="n">
        <v>45971</v>
      </c>
    </row>
    <row r="3147">
      <c r="A3147" s="215" t="n">
        <v>45972</v>
      </c>
      <c r="B3147" s="216" t="n">
        <v>86.09999999999999</v>
      </c>
      <c r="C3147" s="216" t="n">
        <v>77.23</v>
      </c>
      <c r="D3147" s="216" t="n">
        <v>1.091644048690796</v>
      </c>
      <c r="E3147" s="215" t="n">
        <v>45972</v>
      </c>
      <c r="F3147" s="215" t="n">
        <v>45972</v>
      </c>
    </row>
    <row r="3148">
      <c r="A3148" s="215" t="n">
        <v>45973</v>
      </c>
      <c r="B3148" s="216" t="n">
        <v>89.84999999999999</v>
      </c>
      <c r="C3148" s="216" t="n">
        <v>79.48999999999999</v>
      </c>
      <c r="D3148" s="216" t="n">
        <v>1.091495990753174</v>
      </c>
      <c r="E3148" s="215" t="n">
        <v>45973</v>
      </c>
      <c r="F3148" s="215" t="n">
        <v>45973</v>
      </c>
    </row>
    <row r="3149">
      <c r="A3149" s="215" t="n">
        <v>45974</v>
      </c>
      <c r="B3149" s="216" t="n">
        <v>89.65000000000001</v>
      </c>
      <c r="C3149" s="216" t="n">
        <v>79.59999999999999</v>
      </c>
      <c r="D3149" s="216" t="n">
        <v>1.092489004135132</v>
      </c>
      <c r="E3149" s="215" t="n">
        <v>45974</v>
      </c>
      <c r="F3149" s="215" t="n">
        <v>45974</v>
      </c>
    </row>
    <row r="3150">
      <c r="A3150" s="215" t="n">
        <v>45975</v>
      </c>
      <c r="B3150" s="216" t="n">
        <v>88.84999999999999</v>
      </c>
      <c r="C3150" s="216" t="n">
        <v>79.23</v>
      </c>
      <c r="D3150" s="216" t="n">
        <v>1.092411994934082</v>
      </c>
      <c r="E3150" s="215" t="n">
        <v>45975</v>
      </c>
      <c r="F3150" s="215" t="n">
        <v>45975</v>
      </c>
    </row>
    <row r="3151">
      <c r="A3151" s="215" t="n">
        <v>45978</v>
      </c>
      <c r="B3151" s="216" t="n">
        <v>87.55</v>
      </c>
      <c r="C3151" s="216" t="n">
        <v>78.42</v>
      </c>
      <c r="D3151" s="216" t="n">
        <v>1.094588041305542</v>
      </c>
      <c r="E3151" s="215" t="n">
        <v>45978</v>
      </c>
      <c r="F3151" s="215" t="n">
        <v>45978</v>
      </c>
    </row>
    <row r="3152">
      <c r="A3152" s="215" t="n">
        <v>45979</v>
      </c>
      <c r="B3152" s="216" t="n">
        <v>85.75</v>
      </c>
      <c r="C3152" s="216" t="n">
        <v>77.40000000000001</v>
      </c>
      <c r="D3152" s="216" t="n">
        <v>1.093616008758545</v>
      </c>
      <c r="E3152" s="215" t="n">
        <v>45979</v>
      </c>
      <c r="F3152" s="215" t="n">
        <v>45979</v>
      </c>
    </row>
    <row r="3153">
      <c r="A3153" s="215" t="n">
        <v>45980</v>
      </c>
      <c r="B3153" s="216" t="n">
        <v>86.34999999999999</v>
      </c>
      <c r="C3153" s="216" t="n">
        <v>77.40000000000001</v>
      </c>
      <c r="D3153" s="216" t="n">
        <v>1.095010995864868</v>
      </c>
      <c r="E3153" s="215" t="n">
        <v>45980</v>
      </c>
      <c r="F3153" s="215" t="n">
        <v>45980</v>
      </c>
    </row>
    <row r="3154">
      <c r="A3154" s="215" t="n">
        <v>45981</v>
      </c>
      <c r="B3154" s="216" t="n">
        <v>87.95</v>
      </c>
      <c r="C3154" s="216" t="n">
        <v>77.94</v>
      </c>
      <c r="D3154" s="216" t="n">
        <v>1.095402002334595</v>
      </c>
      <c r="E3154" s="215" t="n">
        <v>45981</v>
      </c>
      <c r="F3154" s="215" t="n">
        <v>45981</v>
      </c>
    </row>
    <row r="3155">
      <c r="A3155" s="215" t="n">
        <v>45982</v>
      </c>
      <c r="B3155" s="216" t="n">
        <v>87.25</v>
      </c>
      <c r="C3155" s="216" t="n">
        <v>78.75</v>
      </c>
      <c r="D3155" s="216" t="n">
        <v>1.094982981681824</v>
      </c>
      <c r="E3155" s="215" t="n">
        <v>45982</v>
      </c>
      <c r="F3155" s="215" t="n">
        <v>45982</v>
      </c>
    </row>
    <row r="3156">
      <c r="A3156" s="215" t="n">
        <v>45985</v>
      </c>
      <c r="B3156" s="216" t="n">
        <v>88.8</v>
      </c>
      <c r="C3156" s="216" t="n">
        <v>78.56</v>
      </c>
      <c r="D3156" s="216" t="n">
        <v>1.094988942146301</v>
      </c>
      <c r="E3156" s="215" t="n">
        <v>45985</v>
      </c>
      <c r="F3156" s="215" t="n">
        <v>45985</v>
      </c>
    </row>
    <row r="3157">
      <c r="A3157" s="215" t="n">
        <v>45986</v>
      </c>
      <c r="B3157" s="216" t="n">
        <v>87.65000000000001</v>
      </c>
      <c r="C3157" s="216" t="n">
        <v>78.7</v>
      </c>
      <c r="D3157" s="216" t="n">
        <v>1.095428943634033</v>
      </c>
      <c r="E3157" s="215" t="n">
        <v>45986</v>
      </c>
      <c r="F3157" s="215" t="n">
        <v>45986</v>
      </c>
    </row>
    <row r="3158">
      <c r="A3158" s="215" t="n">
        <v>45987</v>
      </c>
      <c r="B3158" s="216" t="n">
        <v>89.05</v>
      </c>
      <c r="C3158" s="216" t="n">
        <v>79.8</v>
      </c>
      <c r="D3158" s="216" t="n">
        <v>1.097422003746033</v>
      </c>
      <c r="E3158" s="215" t="n">
        <v>45987</v>
      </c>
      <c r="F3158" s="215" t="n">
        <v>45987</v>
      </c>
    </row>
    <row r="3159">
      <c r="A3159" s="215" t="n">
        <v>45988</v>
      </c>
      <c r="B3159" s="216" t="n">
        <v>89</v>
      </c>
      <c r="C3159" s="216" t="n">
        <v>79.8</v>
      </c>
      <c r="D3159" s="216" t="n">
        <v>1.098397016525269</v>
      </c>
      <c r="E3159" s="215" t="n">
        <v>45988</v>
      </c>
      <c r="F3159" s="215" t="n">
        <v>45988</v>
      </c>
    </row>
    <row r="3160">
      <c r="A3160" s="215" t="n">
        <v>45989</v>
      </c>
      <c r="B3160" s="216" t="n">
        <v>88.5</v>
      </c>
      <c r="C3160" s="216" t="n">
        <v>79.86</v>
      </c>
      <c r="D3160" s="216" t="n">
        <v>1.098330020904541</v>
      </c>
      <c r="E3160" s="215" t="n">
        <v>45989</v>
      </c>
      <c r="F3160" s="215" t="n">
        <v>45989</v>
      </c>
    </row>
    <row r="3161">
      <c r="A3161" s="215" t="n">
        <v>45992</v>
      </c>
      <c r="B3161" s="216" t="n">
        <v>89</v>
      </c>
      <c r="C3161" s="216" t="n">
        <v>80</v>
      </c>
      <c r="D3161" s="216" t="n">
        <v>1.10015594959259</v>
      </c>
      <c r="E3161" s="215" t="n">
        <v>45992</v>
      </c>
      <c r="F3161" s="215" t="n">
        <v>45992</v>
      </c>
    </row>
    <row r="3162">
      <c r="A3162" s="215" t="n">
        <v>45993</v>
      </c>
      <c r="B3162" s="216" t="n">
        <v>90.45</v>
      </c>
      <c r="C3162" s="216" t="n">
        <v>81.56</v>
      </c>
      <c r="D3162" s="216" t="n">
        <v>1.101189017295837</v>
      </c>
      <c r="E3162" s="215" t="n">
        <v>45993</v>
      </c>
      <c r="F3162" s="215" t="n">
        <v>45993</v>
      </c>
    </row>
    <row r="3163">
      <c r="A3163" s="215" t="n">
        <v>45994</v>
      </c>
      <c r="B3163" s="216" t="n">
        <v>91</v>
      </c>
      <c r="C3163" s="216" t="n">
        <v>82.17</v>
      </c>
      <c r="D3163" s="216" t="n">
        <v>1.100834012031555</v>
      </c>
      <c r="E3163" s="215" t="n">
        <v>45994</v>
      </c>
      <c r="F3163" s="215" t="n">
        <v>45994</v>
      </c>
    </row>
    <row r="3164">
      <c r="A3164" s="215" t="n">
        <v>45995</v>
      </c>
      <c r="B3164" s="216" t="n">
        <v>90.95</v>
      </c>
      <c r="C3164" s="216" t="n">
        <v>81.89</v>
      </c>
      <c r="D3164" s="216" t="n">
        <v>1.101611018180847</v>
      </c>
      <c r="E3164" s="215" t="n">
        <v>45995</v>
      </c>
      <c r="F3164" s="215" t="n">
        <v>45995</v>
      </c>
    </row>
    <row r="3165">
      <c r="A3165" s="215" t="n">
        <v>45996</v>
      </c>
      <c r="B3165" s="216" t="n">
        <v>91.45</v>
      </c>
      <c r="C3165" s="216" t="n">
        <v>82.23</v>
      </c>
      <c r="D3165" s="216" t="n">
        <v>1.100373983383179</v>
      </c>
      <c r="E3165" s="215" t="n">
        <v>45996</v>
      </c>
      <c r="F3165" s="215" t="n">
        <v>45996</v>
      </c>
    </row>
    <row r="3166">
      <c r="A3166" s="215" t="n">
        <v>45999</v>
      </c>
      <c r="B3166" s="216" t="n">
        <v>90.65000000000001</v>
      </c>
      <c r="C3166" s="216" t="n">
        <v>81.81</v>
      </c>
      <c r="D3166" s="216" t="n">
        <v>1.1008620262146</v>
      </c>
      <c r="E3166" s="215" t="n">
        <v>45999</v>
      </c>
      <c r="F3166" s="215" t="n">
        <v>45999</v>
      </c>
    </row>
    <row r="3167">
      <c r="A3167" s="215" t="n">
        <v>46000</v>
      </c>
      <c r="B3167" s="216" t="n">
        <v>88.90000000000001</v>
      </c>
      <c r="C3167" s="216" t="n">
        <v>80.2</v>
      </c>
      <c r="D3167" s="216" t="n">
        <v>1.10008704662323</v>
      </c>
      <c r="E3167" s="215" t="n">
        <v>46000</v>
      </c>
      <c r="F3167" s="215" t="n">
        <v>46000</v>
      </c>
    </row>
    <row r="3168">
      <c r="A3168" s="215" t="n">
        <v>46001</v>
      </c>
      <c r="B3168" s="216" t="n">
        <v>89</v>
      </c>
      <c r="C3168" s="216" t="n">
        <v>80.06999999999999</v>
      </c>
      <c r="D3168" s="216" t="n">
        <v>1.101711988449097</v>
      </c>
      <c r="E3168" s="215" t="n">
        <v>46001</v>
      </c>
      <c r="F3168" s="215" t="n">
        <v>46001</v>
      </c>
    </row>
    <row r="3169">
      <c r="A3169" s="215" t="n">
        <v>46002</v>
      </c>
      <c r="B3169" s="216" t="n">
        <v>88.2</v>
      </c>
      <c r="C3169" s="216" t="n">
        <v>79.3</v>
      </c>
      <c r="D3169" s="216" t="n">
        <v>1.10112202167511</v>
      </c>
      <c r="E3169" s="215" t="n">
        <v>46002</v>
      </c>
      <c r="F3169" s="215" t="n">
        <v>46002</v>
      </c>
    </row>
    <row r="3170">
      <c r="A3170" s="215" t="n">
        <v>46003</v>
      </c>
      <c r="B3170" s="216" t="n">
        <v>89.05</v>
      </c>
      <c r="C3170" s="216" t="n">
        <v>79.31999999999999</v>
      </c>
      <c r="D3170" s="216" t="n">
        <v>1.102499008178711</v>
      </c>
      <c r="E3170" s="215" t="n">
        <v>46003</v>
      </c>
      <c r="F3170" s="215" t="n">
        <v>46003</v>
      </c>
    </row>
    <row r="3171">
      <c r="A3171" s="215" t="n">
        <v>46006</v>
      </c>
      <c r="B3171" s="216" t="n">
        <v>88.34999999999999</v>
      </c>
      <c r="C3171" s="216" t="n">
        <v>80.41</v>
      </c>
      <c r="D3171" s="216" t="n">
        <v>1.103397965431213</v>
      </c>
      <c r="E3171" s="215" t="n">
        <v>46006</v>
      </c>
      <c r="F3171" s="215" t="n">
        <v>46006</v>
      </c>
    </row>
    <row r="3172">
      <c r="A3172" s="215" t="n">
        <v>46007</v>
      </c>
      <c r="B3172" s="216" t="n">
        <v>88.09999999999999</v>
      </c>
      <c r="C3172" s="216" t="n">
        <v>79.95999999999999</v>
      </c>
      <c r="D3172" s="216" t="n">
        <v>1.104179978370667</v>
      </c>
      <c r="E3172" s="215" t="n">
        <v>46007</v>
      </c>
      <c r="F3172" s="215" t="n">
        <v>46007</v>
      </c>
    </row>
    <row r="3173">
      <c r="A3173" s="215" t="n">
        <v>46008</v>
      </c>
      <c r="B3173" s="216" t="n">
        <v>87.90000000000001</v>
      </c>
      <c r="C3173" s="216" t="n">
        <v>80.47</v>
      </c>
      <c r="D3173" s="216" t="n">
        <v>1.104655981063843</v>
      </c>
      <c r="E3173" s="215" t="n">
        <v>46008</v>
      </c>
      <c r="F3173" s="215" t="n">
        <v>46008</v>
      </c>
    </row>
    <row r="3174">
      <c r="A3174" s="215" t="n">
        <v>46009</v>
      </c>
      <c r="B3174" s="216" t="n">
        <v>87</v>
      </c>
      <c r="C3174" s="216" t="n">
        <v>79.83</v>
      </c>
      <c r="D3174" s="216" t="n">
        <v>1.104357004165649</v>
      </c>
      <c r="E3174" s="215" t="n">
        <v>46009</v>
      </c>
      <c r="F3174" s="215" t="n">
        <v>46009</v>
      </c>
    </row>
    <row r="3175">
      <c r="A3175" s="215" t="n">
        <v>46010</v>
      </c>
      <c r="B3175" s="216" t="n">
        <v>87.2</v>
      </c>
      <c r="C3175" s="216" t="n">
        <v>79.45</v>
      </c>
      <c r="D3175" s="216" t="n">
        <v>1.104962944984436</v>
      </c>
      <c r="E3175" s="215" t="n">
        <v>46010</v>
      </c>
      <c r="F3175" s="215" t="n">
        <v>46010</v>
      </c>
    </row>
    <row r="3176">
      <c r="A3176" s="215" t="n">
        <v>46013</v>
      </c>
      <c r="B3176" s="216" t="n">
        <v>87.3</v>
      </c>
      <c r="C3176" s="216" t="n">
        <v>79.16</v>
      </c>
      <c r="D3176" s="216" t="n">
        <v>1.105054020881653</v>
      </c>
      <c r="E3176" s="215" t="n">
        <v>46013</v>
      </c>
      <c r="F3176" s="215" t="n">
        <v>46013</v>
      </c>
    </row>
    <row r="3177">
      <c r="A3177" s="215" t="n">
        <v>46014</v>
      </c>
      <c r="B3177" s="216" t="n">
        <v>87.15000000000001</v>
      </c>
      <c r="C3177" s="216" t="n">
        <v>79.65000000000001</v>
      </c>
      <c r="D3177" s="216" t="n">
        <v>1.104820013046265</v>
      </c>
      <c r="E3177" s="215" t="n">
        <v>46014</v>
      </c>
      <c r="F3177" s="215" t="n">
        <v>46014</v>
      </c>
    </row>
    <row r="3178">
      <c r="A3178" s="215" t="n">
        <v>46015</v>
      </c>
      <c r="B3178" s="216" t="n">
        <v>86.90000000000001</v>
      </c>
      <c r="C3178" s="216" t="n">
        <v>78.8</v>
      </c>
      <c r="D3178" s="216" t="n">
        <v>1.106441974639893</v>
      </c>
      <c r="E3178" s="215" t="n">
        <v>46015</v>
      </c>
      <c r="F3178" s="215" t="n">
        <v>46015</v>
      </c>
    </row>
    <row r="3179">
      <c r="A3179" s="215" t="n">
        <v>46020</v>
      </c>
      <c r="B3179" s="216" t="n">
        <v>84.25</v>
      </c>
      <c r="C3179" s="216" t="n">
        <v>78.41</v>
      </c>
      <c r="D3179" s="216" t="n">
        <v>1.10552704334259</v>
      </c>
      <c r="E3179" s="215" t="n">
        <v>46020</v>
      </c>
      <c r="F3179" s="215" t="n">
        <v>46020</v>
      </c>
    </row>
    <row r="3180">
      <c r="A3180" s="215" t="n">
        <v>46021</v>
      </c>
      <c r="B3180" s="216" t="n">
        <v>85.7</v>
      </c>
      <c r="C3180" s="216" t="n">
        <v>78.84999999999999</v>
      </c>
      <c r="D3180" s="216" t="n">
        <v>1.109460949897766</v>
      </c>
      <c r="E3180" s="215" t="n">
        <v>46021</v>
      </c>
      <c r="F3180" s="215" t="n">
        <v>46021</v>
      </c>
    </row>
    <row r="3181">
      <c r="A3181" s="215" t="n">
        <v>46022</v>
      </c>
      <c r="B3181" s="216" t="n">
        <v>84.95</v>
      </c>
      <c r="C3181" s="216" t="n">
        <v>78.15000000000001</v>
      </c>
      <c r="D3181" s="216" t="n">
        <v>1.111927032470703</v>
      </c>
      <c r="E3181" s="215" t="n">
        <v>46022</v>
      </c>
      <c r="F3181" s="215" t="n">
        <v>46022</v>
      </c>
    </row>
    <row r="3182">
      <c r="A3182" s="215" t="n">
        <v>46024</v>
      </c>
      <c r="B3182" s="216" t="n">
        <v>89.3</v>
      </c>
      <c r="C3182" s="216" t="n">
        <v>78.15000000000001</v>
      </c>
      <c r="D3182" s="216" t="n">
        <v>1.112754940986633</v>
      </c>
      <c r="E3182" s="215" t="n">
        <v>46022</v>
      </c>
      <c r="F3182" s="215" t="n">
        <v>46024</v>
      </c>
    </row>
    <row r="3183">
      <c r="A3183" s="215" t="n">
        <v>46027</v>
      </c>
      <c r="B3183" s="216" t="n">
        <v>87.40000000000001</v>
      </c>
      <c r="C3183" s="216" t="n">
        <v>78.68000000000001</v>
      </c>
      <c r="D3183" s="216" t="n">
        <v>1.113860011100769</v>
      </c>
      <c r="E3183" s="215" t="n">
        <v>46027</v>
      </c>
      <c r="F3183" s="215" t="n">
        <v>46027</v>
      </c>
    </row>
    <row r="3184">
      <c r="A3184" s="215" t="n">
        <v>46028</v>
      </c>
      <c r="B3184" s="216" t="n">
        <v>87.2</v>
      </c>
      <c r="C3184" s="216" t="n">
        <v>78.84</v>
      </c>
      <c r="D3184" s="216" t="n">
        <v>1.11367404460907</v>
      </c>
      <c r="E3184" s="215" t="n">
        <v>46028</v>
      </c>
      <c r="F3184" s="215" t="n">
        <v>46028</v>
      </c>
    </row>
    <row r="3185">
      <c r="A3185" s="215" t="n">
        <v>46029</v>
      </c>
      <c r="B3185" s="216" t="n">
        <v>88.09999999999999</v>
      </c>
      <c r="C3185" s="216" t="n">
        <v>79.37</v>
      </c>
      <c r="D3185" s="216" t="n">
        <v>1.114913940429688</v>
      </c>
      <c r="E3185" s="215" t="n">
        <v>46029</v>
      </c>
      <c r="F3185" s="215" t="n">
        <v>46029</v>
      </c>
    </row>
    <row r="3186">
      <c r="A3186" s="215" t="n">
        <v>46030</v>
      </c>
      <c r="B3186" s="216" t="n">
        <v>87.34999999999999</v>
      </c>
      <c r="C3186" s="216" t="n">
        <v>79.03</v>
      </c>
      <c r="D3186" s="216" t="n">
        <v>1.112563014030457</v>
      </c>
      <c r="E3186" s="215" t="n">
        <v>46030</v>
      </c>
      <c r="F3186" s="215" t="n">
        <v>46030</v>
      </c>
    </row>
    <row r="3187">
      <c r="A3187" s="215" t="n">
        <v>46031</v>
      </c>
      <c r="B3187" s="216" t="n">
        <v>89</v>
      </c>
      <c r="C3187" s="216" t="n">
        <v>79.77</v>
      </c>
      <c r="D3187" s="216" t="n">
        <v>1.115561008453369</v>
      </c>
      <c r="E3187" s="215" t="n">
        <v>46031</v>
      </c>
      <c r="F3187" s="215" t="n">
        <v>46031</v>
      </c>
    </row>
    <row r="3188">
      <c r="A3188" s="215" t="n">
        <v>46034</v>
      </c>
      <c r="B3188" s="216" t="n">
        <v>86.5</v>
      </c>
      <c r="C3188" s="216" t="n">
        <v>78.62</v>
      </c>
      <c r="D3188" s="216" t="n">
        <v>1.117015957832336</v>
      </c>
      <c r="E3188" s="215" t="n">
        <v>46034</v>
      </c>
      <c r="F3188" s="215" t="n">
        <v>46034</v>
      </c>
    </row>
    <row r="3189">
      <c r="A3189" s="215" t="n">
        <v>46035</v>
      </c>
      <c r="B3189" s="216" t="n">
        <v>84.3</v>
      </c>
      <c r="C3189" s="216" t="n">
        <v>76.2</v>
      </c>
      <c r="D3189" s="216" t="n">
        <v>1.117892026901245</v>
      </c>
      <c r="E3189" s="215" t="n">
        <v>46035</v>
      </c>
      <c r="F3189" s="215" t="n">
        <v>46035</v>
      </c>
    </row>
    <row r="3190">
      <c r="A3190" s="215" t="n">
        <v>46036</v>
      </c>
      <c r="B3190" s="216" t="n">
        <v>84.59999999999999</v>
      </c>
      <c r="C3190" s="216" t="n">
        <v>77.15000000000001</v>
      </c>
      <c r="D3190" s="216" t="n">
        <v>1.117897987365723</v>
      </c>
      <c r="E3190" s="215" t="n">
        <v>46036</v>
      </c>
      <c r="F3190" s="215" t="n">
        <v>46036</v>
      </c>
    </row>
    <row r="3191">
      <c r="A3191" s="215" t="n">
        <v>46037</v>
      </c>
      <c r="B3191" s="216" t="n">
        <v>85.25</v>
      </c>
      <c r="C3191" s="216" t="n">
        <v>77.22</v>
      </c>
      <c r="D3191" s="216" t="n">
        <v>1.118072032928467</v>
      </c>
      <c r="E3191" s="215" t="n">
        <v>46037</v>
      </c>
      <c r="F3191" s="215" t="n">
        <v>46037</v>
      </c>
    </row>
    <row r="3192">
      <c r="A3192" s="215" t="n">
        <v>46038</v>
      </c>
      <c r="B3192" s="216" t="n">
        <v>85.90000000000001</v>
      </c>
      <c r="C3192" s="216" t="n">
        <v>77.31</v>
      </c>
      <c r="D3192" s="216" t="n">
        <v>1.119040012359619</v>
      </c>
      <c r="E3192" s="215" t="n">
        <v>46038</v>
      </c>
      <c r="F3192" s="215" t="n">
        <v>46038</v>
      </c>
    </row>
    <row r="3193">
      <c r="A3193" s="215" t="n">
        <v>46041</v>
      </c>
      <c r="B3193" s="216" t="n">
        <v>85.84999999999999</v>
      </c>
      <c r="C3193" s="216" t="n">
        <v>77.62</v>
      </c>
      <c r="D3193" s="216" t="n">
        <v>1.118916034698486</v>
      </c>
      <c r="E3193" s="215" t="n">
        <v>46041</v>
      </c>
      <c r="F3193" s="215" t="n">
        <v>46041</v>
      </c>
    </row>
    <row r="3194">
      <c r="A3194" s="215" t="n">
        <v>46042</v>
      </c>
      <c r="B3194" s="216" t="n">
        <v>87.09999999999999</v>
      </c>
      <c r="C3194" s="216" t="n">
        <v>79</v>
      </c>
      <c r="D3194" s="216" t="n">
        <v>1.118687987327576</v>
      </c>
      <c r="E3194" s="215" t="n">
        <v>46042</v>
      </c>
      <c r="F3194" s="215" t="n">
        <v>46042</v>
      </c>
    </row>
    <row r="3195">
      <c r="A3195" s="215" t="n">
        <v>46043</v>
      </c>
      <c r="B3195" s="216" t="n">
        <v>87.40000000000001</v>
      </c>
      <c r="C3195" s="216" t="n">
        <v>77.78</v>
      </c>
      <c r="D3195" s="216" t="n">
        <v>1.12024998664856</v>
      </c>
      <c r="E3195" s="215" t="n">
        <v>46043</v>
      </c>
      <c r="F3195" s="215" t="n">
        <v>46043</v>
      </c>
    </row>
    <row r="3196">
      <c r="A3196" s="215" t="n">
        <v>46044</v>
      </c>
      <c r="B3196" s="216" t="n">
        <v>85.7</v>
      </c>
      <c r="C3196" s="216" t="n">
        <v>77.48999999999999</v>
      </c>
      <c r="D3196" s="216" t="n">
        <v>1.11942195892334</v>
      </c>
      <c r="E3196" s="215" t="n">
        <v>46044</v>
      </c>
      <c r="F3196" s="215" t="n">
        <v>46044</v>
      </c>
    </row>
    <row r="3197">
      <c r="A3197" s="215" t="n">
        <v>46045</v>
      </c>
      <c r="B3197" s="216" t="n">
        <v>85.3</v>
      </c>
      <c r="C3197" s="216" t="n">
        <v>76.78</v>
      </c>
      <c r="D3197" s="216" t="n">
        <v>1.117977976799011</v>
      </c>
      <c r="E3197" s="215" t="n">
        <v>46045</v>
      </c>
      <c r="F3197" s="215" t="n">
        <v>46045</v>
      </c>
    </row>
    <row r="3198">
      <c r="A3198" s="215" t="n">
        <v>46048</v>
      </c>
      <c r="B3198" s="216" t="n">
        <v>85.3</v>
      </c>
      <c r="C3198" s="216" t="n">
        <v>76.34999999999999</v>
      </c>
      <c r="D3198" s="216" t="n">
        <v>1.117916941642761</v>
      </c>
      <c r="E3198" s="215" t="n">
        <v>46048</v>
      </c>
      <c r="F3198" s="215" t="n">
        <v>46048</v>
      </c>
    </row>
    <row r="3199">
      <c r="A3199" s="215" t="n">
        <v>46049</v>
      </c>
      <c r="B3199" s="216" t="n">
        <v>84.34999999999999</v>
      </c>
      <c r="C3199" s="216" t="n">
        <v>76.09999999999999</v>
      </c>
      <c r="D3199" s="216" t="n">
        <v>1.121191024780273</v>
      </c>
      <c r="E3199" s="215" t="n">
        <v>46049</v>
      </c>
      <c r="F3199" s="215" t="n">
        <v>46049</v>
      </c>
    </row>
    <row r="3200">
      <c r="A3200" s="215" t="n">
        <v>46050</v>
      </c>
      <c r="B3200" s="216" t="n">
        <v>84.3</v>
      </c>
      <c r="C3200" s="216" t="n">
        <v>75.34</v>
      </c>
      <c r="D3200" s="216" t="n">
        <v>1.121533036231995</v>
      </c>
      <c r="E3200" s="215" t="n">
        <v>46050</v>
      </c>
      <c r="F3200" s="215" t="n">
        <v>46050</v>
      </c>
    </row>
    <row r="3201">
      <c r="A3201" s="215" t="n">
        <v>46051</v>
      </c>
      <c r="B3201" s="216" t="n">
        <v>86.25</v>
      </c>
      <c r="C3201" s="216" t="n">
        <v>77.88</v>
      </c>
      <c r="D3201" s="216" t="n">
        <v>1.121621966362</v>
      </c>
      <c r="E3201" s="215" t="n">
        <v>46051</v>
      </c>
      <c r="F3201" s="215" t="n">
        <v>46051</v>
      </c>
    </row>
    <row r="3202">
      <c r="A3202" s="215" t="n">
        <v>46052</v>
      </c>
      <c r="B3202" s="216" t="n">
        <v>85.65000000000001</v>
      </c>
      <c r="C3202" s="216" t="n">
        <v>77.59</v>
      </c>
      <c r="D3202" s="216" t="n">
        <v>1.123343944549561</v>
      </c>
      <c r="E3202" s="215" t="n">
        <v>46052</v>
      </c>
      <c r="F3202" s="215" t="n">
        <v>46052</v>
      </c>
    </row>
    <row r="3203">
      <c r="A3203" s="215" t="n">
        <v>46055</v>
      </c>
      <c r="B3203" s="216" t="n">
        <v>85.75</v>
      </c>
      <c r="C3203" s="216" t="n">
        <v>77.84999999999999</v>
      </c>
      <c r="D3203" s="216" t="n">
        <v>1.123572945594788</v>
      </c>
      <c r="E3203" s="215" t="n">
        <v>46055</v>
      </c>
      <c r="F3203" s="215" t="n">
        <v>46055</v>
      </c>
    </row>
    <row r="3204">
      <c r="A3204" s="215" t="n">
        <v>46056</v>
      </c>
      <c r="B3204" s="216" t="n">
        <v>87.05</v>
      </c>
      <c r="C3204" s="216" t="n">
        <v>77.91</v>
      </c>
      <c r="D3204" s="216" t="n">
        <v>1.124274969100952</v>
      </c>
      <c r="E3204" s="215" t="n">
        <v>46056</v>
      </c>
      <c r="F3204" s="215" t="n">
        <v>46056</v>
      </c>
    </row>
    <row r="3205">
      <c r="A3205" s="215" t="n">
        <v>46057</v>
      </c>
      <c r="B3205" s="216" t="n">
        <v>88.3</v>
      </c>
      <c r="C3205" s="216" t="n">
        <v>79.81</v>
      </c>
      <c r="D3205" s="216" t="n">
        <v>1.12601101398468</v>
      </c>
      <c r="E3205" s="215" t="n">
        <v>46057</v>
      </c>
      <c r="F3205" s="215" t="n">
        <v>46057</v>
      </c>
    </row>
    <row r="3206">
      <c r="A3206" s="215" t="n">
        <v>46058</v>
      </c>
      <c r="B3206" s="216" t="n">
        <v>89.09999999999999</v>
      </c>
      <c r="C3206" s="216" t="n">
        <v>80.45</v>
      </c>
      <c r="D3206" s="216" t="n">
        <v>1.125892996788025</v>
      </c>
      <c r="E3206" s="215" t="n">
        <v>46058</v>
      </c>
      <c r="F3206" s="215" t="n">
        <v>46058</v>
      </c>
    </row>
    <row r="3207">
      <c r="A3207" s="215" t="n">
        <v>46059</v>
      </c>
      <c r="B3207" s="216" t="n">
        <v>88.05</v>
      </c>
      <c r="C3207" s="216" t="n">
        <v>79.54000000000001</v>
      </c>
      <c r="D3207" s="216" t="n">
        <v>1.126062035560608</v>
      </c>
      <c r="E3207" s="215" t="n">
        <v>46059</v>
      </c>
      <c r="F3207" s="215" t="n">
        <v>46059</v>
      </c>
    </row>
    <row r="3208">
      <c r="A3208" s="215" t="n">
        <v>46062</v>
      </c>
      <c r="B3208" s="216" t="n">
        <v>88.15000000000001</v>
      </c>
      <c r="C3208" s="216" t="n">
        <v>79.16</v>
      </c>
      <c r="D3208" s="216" t="n">
        <v>1.125753998756409</v>
      </c>
      <c r="E3208" s="215" t="n">
        <v>46062</v>
      </c>
      <c r="F3208" s="215" t="n">
        <v>46062</v>
      </c>
    </row>
    <row r="3209">
      <c r="A3209" s="215" t="n">
        <v>46063</v>
      </c>
      <c r="B3209" s="216" t="n">
        <v>89.75</v>
      </c>
      <c r="C3209" s="216" t="n">
        <v>80.19</v>
      </c>
      <c r="D3209" s="216" t="n">
        <v>1.129003047943115</v>
      </c>
      <c r="E3209" s="215" t="n">
        <v>46063</v>
      </c>
      <c r="F3209" s="215" t="n">
        <v>46063</v>
      </c>
    </row>
    <row r="3210">
      <c r="A3210" s="215" t="n">
        <v>46064</v>
      </c>
      <c r="B3210" s="216" t="n">
        <v>89.59999999999999</v>
      </c>
      <c r="C3210" s="216" t="n">
        <v>79.69</v>
      </c>
      <c r="D3210" s="216" t="n">
        <v>1.130962014198303</v>
      </c>
      <c r="E3210" s="215" t="n">
        <v>46064</v>
      </c>
      <c r="F3210" s="215" t="n">
        <v>46064</v>
      </c>
    </row>
    <row r="3211">
      <c r="A3211" s="215" t="n">
        <v>46065</v>
      </c>
      <c r="B3211" s="216" t="n">
        <v>90.8</v>
      </c>
      <c r="C3211" s="216" t="n">
        <v>79.8</v>
      </c>
      <c r="D3211" s="216" t="n">
        <v>1.130671977996826</v>
      </c>
      <c r="E3211" s="215" t="n">
        <v>46065</v>
      </c>
      <c r="F3211" s="215" t="n">
        <v>46065</v>
      </c>
    </row>
    <row r="3212">
      <c r="A3212" s="215" t="n">
        <v>46066</v>
      </c>
      <c r="B3212" s="216" t="n">
        <v>90.25</v>
      </c>
      <c r="C3212" s="216" t="n">
        <v>79.05</v>
      </c>
      <c r="D3212" s="216" t="n">
        <v>1.132490992546082</v>
      </c>
      <c r="E3212" s="215" t="n">
        <v>46066</v>
      </c>
      <c r="F3212" s="215" t="n">
        <v>46066</v>
      </c>
    </row>
    <row r="3213">
      <c r="A3213" s="215" t="n">
        <v>46069</v>
      </c>
      <c r="B3213" s="216" t="n">
        <v>91.7</v>
      </c>
      <c r="C3213" s="216" t="n">
        <v>79.05</v>
      </c>
      <c r="D3213" s="216" t="n">
        <v>1.131224036216736</v>
      </c>
      <c r="E3213" s="215" t="n">
        <v>46066</v>
      </c>
      <c r="F3213" s="215" t="n">
        <v>46069</v>
      </c>
    </row>
    <row r="3214">
      <c r="A3214" s="215" t="n">
        <v>46073</v>
      </c>
      <c r="B3214" s="216" t="n">
        <v>94.2</v>
      </c>
      <c r="C3214" s="216" t="n">
        <v>79.05</v>
      </c>
      <c r="D3214" s="216" t="n">
        <v>1.131005048751831</v>
      </c>
      <c r="E3214" s="215" t="n">
        <v>46066</v>
      </c>
      <c r="F3214" s="215" t="n">
        <v>46073</v>
      </c>
    </row>
    <row r="3215">
      <c r="A3215" s="215" t="n">
        <v>46076</v>
      </c>
      <c r="B3215" s="216" t="n">
        <v>93.5</v>
      </c>
      <c r="C3215" s="216" t="n">
        <v>79.05</v>
      </c>
      <c r="D3215" s="216" t="n">
        <v>1.130877017974854</v>
      </c>
      <c r="E3215" s="215" t="n">
        <v>46066</v>
      </c>
      <c r="F3215" s="215" t="n">
        <v>46076</v>
      </c>
    </row>
    <row r="3216">
      <c r="A3216" s="215" t="n">
        <v>46077</v>
      </c>
      <c r="B3216" s="216" t="n">
        <v>92.25</v>
      </c>
      <c r="C3216" s="216" t="n">
        <v>79.52</v>
      </c>
      <c r="D3216" s="216" t="n">
        <v>1.131631016731262</v>
      </c>
      <c r="E3216" s="215" t="n">
        <v>46077</v>
      </c>
      <c r="F3216" s="215" t="n">
        <v>46077</v>
      </c>
    </row>
    <row r="3217">
      <c r="A3217" s="215" t="n">
        <v>46078</v>
      </c>
      <c r="B3217" s="216" t="n">
        <v>92.3</v>
      </c>
      <c r="C3217" s="216" t="n">
        <v>79.7</v>
      </c>
      <c r="D3217" s="216" t="n">
        <v>1.136234045028687</v>
      </c>
      <c r="E3217" s="215" t="n">
        <v>46078</v>
      </c>
      <c r="F3217" s="215" t="n">
        <v>46078</v>
      </c>
    </row>
    <row r="3218">
      <c r="A3218" s="215" t="n">
        <v>46079</v>
      </c>
      <c r="B3218" s="216" t="n">
        <v>92.09999999999999</v>
      </c>
      <c r="C3218" s="216" t="n">
        <v>79.25</v>
      </c>
      <c r="D3218" s="216" t="n">
        <v>1.138198971748352</v>
      </c>
      <c r="E3218" s="215" t="n">
        <v>46079</v>
      </c>
      <c r="F3218" s="215" t="n">
        <v>46079</v>
      </c>
    </row>
    <row r="3219">
      <c r="A3219" s="215" t="n">
        <v>46080</v>
      </c>
      <c r="B3219" s="216" t="n">
        <v>90.84999999999999</v>
      </c>
      <c r="C3219" s="216" t="n">
        <v>78.64</v>
      </c>
      <c r="D3219" s="216" t="n">
        <v>1.143396973609924</v>
      </c>
      <c r="E3219" s="215" t="n">
        <v>46080</v>
      </c>
      <c r="F3219" s="215" t="n">
        <v>46080</v>
      </c>
    </row>
    <row r="3220">
      <c r="A3220" s="215" t="n">
        <v>46083</v>
      </c>
      <c r="B3220" s="216" t="n">
        <v>87.40000000000001</v>
      </c>
      <c r="C3220" s="216" t="n">
        <v>77.45</v>
      </c>
      <c r="D3220" s="216" t="n">
        <v>1.140552043914795</v>
      </c>
      <c r="E3220" s="215" t="n">
        <v>46083</v>
      </c>
      <c r="F3220" s="215" t="n">
        <v>46083</v>
      </c>
    </row>
    <row r="3221">
      <c r="A3221" s="215" t="n">
        <v>46084</v>
      </c>
      <c r="B3221" s="216" t="n">
        <v>85.84999999999999</v>
      </c>
      <c r="C3221" s="216" t="n">
        <v>76.56</v>
      </c>
      <c r="D3221" s="216" t="n">
        <v>1.136399984359741</v>
      </c>
      <c r="E3221" s="215" t="n">
        <v>46084</v>
      </c>
      <c r="F3221" s="215" t="n">
        <v>46084</v>
      </c>
    </row>
    <row r="3222">
      <c r="A3222" s="215" t="n">
        <v>46085</v>
      </c>
      <c r="B3222" s="216" t="n">
        <v>85.15000000000001</v>
      </c>
      <c r="C3222" s="216" t="n">
        <v>76.16</v>
      </c>
      <c r="D3222" s="216" t="n">
        <v>1.130928993225098</v>
      </c>
      <c r="E3222" s="215" t="n">
        <v>46085</v>
      </c>
      <c r="F3222" s="215" t="n">
        <v>46085</v>
      </c>
    </row>
    <row r="3223">
      <c r="A3223" s="215" t="n">
        <v>46086</v>
      </c>
      <c r="B3223" s="216" t="n">
        <v>85.09999999999999</v>
      </c>
      <c r="C3223" s="216" t="n">
        <v>76.27</v>
      </c>
      <c r="D3223" s="216" t="n">
        <v>1.133169054985046</v>
      </c>
      <c r="E3223" s="215" t="n">
        <v>46086</v>
      </c>
      <c r="F3223" s="215" t="n">
        <v>46086</v>
      </c>
    </row>
    <row r="3224">
      <c r="A3224" s="215" t="n">
        <v>46087</v>
      </c>
      <c r="B3224" s="216" t="n">
        <v>86.05</v>
      </c>
      <c r="C3224" s="216" t="n">
        <v>76.52</v>
      </c>
      <c r="D3224" s="216" t="n">
        <v>1.133442044258118</v>
      </c>
      <c r="E3224" s="215" t="n">
        <v>46087</v>
      </c>
      <c r="F3224" s="215" t="n">
        <v>46087</v>
      </c>
    </row>
    <row r="3225">
      <c r="A3225" s="215" t="n">
        <v>46090</v>
      </c>
      <c r="B3225" s="216" t="n">
        <v>84.34999999999999</v>
      </c>
      <c r="C3225" s="216" t="n">
        <v>75.41</v>
      </c>
      <c r="D3225" s="216" t="n">
        <v>1.133231043815613</v>
      </c>
      <c r="E3225" s="215" t="n">
        <v>46090</v>
      </c>
      <c r="F3225" s="215" t="n">
        <v>46090</v>
      </c>
    </row>
    <row r="3226">
      <c r="A3226" s="215" t="n">
        <v>46091</v>
      </c>
      <c r="B3226" s="216" t="n">
        <v>85.95</v>
      </c>
      <c r="C3226" s="216" t="n">
        <v>76.59999999999999</v>
      </c>
      <c r="D3226" s="216" t="n">
        <v>1.131595015525818</v>
      </c>
      <c r="E3226" s="215" t="n">
        <v>46091</v>
      </c>
      <c r="F3226" s="215" t="n">
        <v>46091</v>
      </c>
    </row>
    <row r="3227">
      <c r="A3227" s="215" t="n">
        <v>46092</v>
      </c>
      <c r="B3227" s="216" t="n">
        <v>86.65000000000001</v>
      </c>
      <c r="C3227" s="216" t="n">
        <v>77.39</v>
      </c>
      <c r="D3227" s="216" t="n">
        <v>1.137585043907166</v>
      </c>
      <c r="E3227" s="215" t="n">
        <v>46092</v>
      </c>
      <c r="F3227" s="215" t="n">
        <v>46092</v>
      </c>
    </row>
    <row r="3228">
      <c r="A3228" s="215" t="n">
        <v>46093</v>
      </c>
      <c r="B3228" s="216" t="n">
        <v>86.5</v>
      </c>
      <c r="C3228" s="216" t="n">
        <v>77.40000000000001</v>
      </c>
      <c r="D3228" s="216" t="n">
        <v>1.139600038528442</v>
      </c>
      <c r="E3228" s="215" t="n">
        <v>46093</v>
      </c>
      <c r="F3228" s="215" t="n">
        <v>46093</v>
      </c>
    </row>
    <row r="3229">
      <c r="A3229" s="215" t="n">
        <v>46094</v>
      </c>
      <c r="B3229" s="216" t="n">
        <v>85.45</v>
      </c>
      <c r="C3229" s="216" t="n">
        <v>76.86</v>
      </c>
      <c r="D3229" s="216" t="n">
        <v>1.139310002326965</v>
      </c>
      <c r="E3229" s="215" t="n">
        <v>46094</v>
      </c>
      <c r="F3229" s="215" t="n">
        <v>46094</v>
      </c>
    </row>
    <row r="3230">
      <c r="A3230" s="215" t="n">
        <v>46097</v>
      </c>
      <c r="B3230" s="216" t="n">
        <v>85.34999999999999</v>
      </c>
      <c r="C3230" s="216" t="n">
        <v>76.64</v>
      </c>
      <c r="D3230" s="216" t="n">
        <v>1.134883999824524</v>
      </c>
      <c r="E3230" s="215" t="n">
        <v>46097</v>
      </c>
      <c r="F3230" s="215" t="n">
        <v>46097</v>
      </c>
    </row>
    <row r="3231">
      <c r="A3231" s="215" t="n">
        <v>46098</v>
      </c>
      <c r="B3231" s="216" t="n">
        <v>85.15000000000001</v>
      </c>
      <c r="C3231" s="216" t="n">
        <v>76.59999999999999</v>
      </c>
      <c r="D3231" s="216" t="n">
        <v>1.125375986099243</v>
      </c>
      <c r="E3231" s="215" t="n">
        <v>46098</v>
      </c>
      <c r="F3231" s="215" t="n">
        <v>46098</v>
      </c>
    </row>
    <row r="3232">
      <c r="A3232" s="215" t="n">
        <v>46099</v>
      </c>
      <c r="B3232" s="216" t="n">
        <v>86.25</v>
      </c>
      <c r="C3232" s="216" t="n">
        <v>77.06</v>
      </c>
      <c r="D3232" s="216" t="n">
        <v>1.137819051742554</v>
      </c>
      <c r="E3232" s="215" t="n">
        <v>46099</v>
      </c>
      <c r="F3232" s="215" t="n">
        <v>46099</v>
      </c>
    </row>
    <row r="3233">
      <c r="A3233" s="215" t="n">
        <v>46100</v>
      </c>
      <c r="B3233" s="216" t="n">
        <v>84</v>
      </c>
      <c r="C3233" s="216" t="n">
        <v>76</v>
      </c>
      <c r="D3233" s="216" t="n">
        <v>1.140079021453857</v>
      </c>
      <c r="E3233" s="215" t="n">
        <v>46100</v>
      </c>
      <c r="F3233" s="215" t="n">
        <v>46100</v>
      </c>
    </row>
    <row r="3234">
      <c r="A3234" s="215" t="n">
        <v>46101</v>
      </c>
      <c r="B3234" s="216" t="n">
        <v>83.7</v>
      </c>
      <c r="C3234" s="216" t="n">
        <v>75.12</v>
      </c>
      <c r="D3234" s="216" t="n">
        <v>1.13490903377533</v>
      </c>
      <c r="E3234" s="215" t="n">
        <v>46101</v>
      </c>
      <c r="F3234" s="215" t="n">
        <v>46101</v>
      </c>
    </row>
    <row r="3235">
      <c r="A3235" s="215" t="n">
        <v>46104</v>
      </c>
      <c r="B3235" s="216" t="n">
        <v>80.7</v>
      </c>
      <c r="C3235" s="216" t="n">
        <v>73.37</v>
      </c>
      <c r="D3235" s="216" t="n">
        <v>1.137529969215393</v>
      </c>
      <c r="E3235" s="215" t="n">
        <v>46104</v>
      </c>
      <c r="F3235" s="215" t="n">
        <v>46104</v>
      </c>
    </row>
    <row r="3236">
      <c r="A3236" s="215" t="n">
        <v>46105</v>
      </c>
      <c r="B3236" s="216" t="n">
        <v>82.65000000000001</v>
      </c>
      <c r="C3236" s="216" t="n">
        <v>74.23</v>
      </c>
      <c r="D3236" s="216" t="n">
        <v>1.138481974601746</v>
      </c>
      <c r="E3236" s="215" t="n">
        <v>46105</v>
      </c>
      <c r="F3236" s="215" t="n">
        <v>46105</v>
      </c>
    </row>
    <row r="3237">
      <c r="A3237" s="215" t="n">
        <v>46106</v>
      </c>
      <c r="B3237" s="216" t="n">
        <v>83</v>
      </c>
      <c r="C3237" s="216" t="n">
        <v>74.8</v>
      </c>
      <c r="D3237" s="216" t="n">
        <v>1.135548949241638</v>
      </c>
      <c r="E3237" s="215" t="n">
        <v>46106</v>
      </c>
      <c r="F3237" s="215" t="n">
        <v>46106</v>
      </c>
    </row>
    <row r="3238">
      <c r="A3238" s="215" t="n">
        <v>46107</v>
      </c>
      <c r="B3238" s="216" t="n">
        <v>81.40000000000001</v>
      </c>
      <c r="C3238" s="216" t="n">
        <v>74.31999999999999</v>
      </c>
      <c r="D3238" s="216" t="n">
        <v>1.132627010345459</v>
      </c>
      <c r="E3238" s="215" t="n">
        <v>46107</v>
      </c>
      <c r="F3238" s="215" t="n">
        <v>46107</v>
      </c>
    </row>
    <row r="3239">
      <c r="A3239" s="215" t="n">
        <v>46108</v>
      </c>
      <c r="B3239" s="216" t="n">
        <v>81.3</v>
      </c>
      <c r="C3239" s="216" t="n">
        <v>74.78</v>
      </c>
      <c r="D3239" s="216" t="n">
        <v>1.132115960121155</v>
      </c>
      <c r="E3239" s="215" t="n">
        <v>46108</v>
      </c>
      <c r="F3239" s="215" t="n">
        <v>46108</v>
      </c>
    </row>
    <row r="3240">
      <c r="A3240" s="215" t="n">
        <v>46111</v>
      </c>
      <c r="B3240" s="216" t="n">
        <v>78.45</v>
      </c>
      <c r="C3240" s="216" t="n">
        <v>72.09999999999999</v>
      </c>
      <c r="D3240" s="216" t="n">
        <v>1.13311505317688</v>
      </c>
      <c r="E3240" s="215" t="n">
        <v>46111</v>
      </c>
      <c r="F3240" s="215" t="n">
        <v>46111</v>
      </c>
    </row>
    <row r="3241">
      <c r="A3241" s="215" t="n">
        <v>46112</v>
      </c>
      <c r="B3241" s="216" t="n">
        <v>83.8</v>
      </c>
      <c r="C3241" s="216" t="n">
        <v>76.34999999999999</v>
      </c>
      <c r="D3241" s="216" t="n">
        <v>1.133540987968445</v>
      </c>
      <c r="E3241" s="215" t="n">
        <v>46112</v>
      </c>
      <c r="F3241" s="215" t="n">
        <v>46112</v>
      </c>
    </row>
    <row r="3242">
      <c r="A3242" s="215" t="n">
        <v>46113</v>
      </c>
      <c r="B3242" s="216" t="n">
        <v>84</v>
      </c>
      <c r="C3242" s="216" t="n">
        <v>76.84</v>
      </c>
      <c r="D3242" s="216" t="n">
        <v>1.136669993400574</v>
      </c>
      <c r="E3242" s="215" t="n">
        <v>46113</v>
      </c>
      <c r="F3242" s="215" t="n">
        <v>46113</v>
      </c>
    </row>
    <row r="3243">
      <c r="A3243" s="215" t="n">
        <v>46114</v>
      </c>
      <c r="B3243" s="216" t="n">
        <v>84.2</v>
      </c>
      <c r="C3243" s="216" t="n">
        <v>77.37</v>
      </c>
      <c r="D3243" s="216" t="n">
        <v>1.140197992324829</v>
      </c>
      <c r="E3243" s="215" t="n">
        <v>46114</v>
      </c>
      <c r="F3243" s="215" t="n">
        <v>46114</v>
      </c>
    </row>
    <row r="3244">
      <c r="A3244" s="215" t="n">
        <v>46120</v>
      </c>
      <c r="B3244" s="216" t="n">
        <v>85.45</v>
      </c>
      <c r="C3244" s="216" t="n">
        <v>76.73</v>
      </c>
      <c r="D3244" s="216" t="n">
        <v>1.1423499584198</v>
      </c>
      <c r="E3244" s="215" t="n">
        <v>46120</v>
      </c>
      <c r="F3244" s="215" t="n">
        <v>46120</v>
      </c>
    </row>
    <row r="3245">
      <c r="A3245" s="215" t="n">
        <v>46121</v>
      </c>
      <c r="B3245" s="216" t="n">
        <v>85.59999999999999</v>
      </c>
      <c r="C3245" s="216" t="n">
        <v>76.52</v>
      </c>
      <c r="D3245" s="216" t="n">
        <v>1.146731972694397</v>
      </c>
      <c r="E3245" s="215" t="n">
        <v>46121</v>
      </c>
      <c r="F3245" s="215" t="n">
        <v>46121</v>
      </c>
    </row>
    <row r="3246">
      <c r="A3246" s="215" t="n">
        <v>46122</v>
      </c>
      <c r="B3246" s="216" t="n">
        <v>85.90000000000001</v>
      </c>
      <c r="C3246" s="216" t="n">
        <v>76.41</v>
      </c>
      <c r="D3246" s="216" t="n">
        <v>1.146558046340942</v>
      </c>
      <c r="E3246" s="215" t="n">
        <v>46122</v>
      </c>
      <c r="F3246" s="215" t="n">
        <v>46122</v>
      </c>
    </row>
    <row r="3247">
      <c r="A3247" s="215" t="n">
        <v>46125</v>
      </c>
      <c r="B3247" s="216" t="n">
        <v>84.40000000000001</v>
      </c>
      <c r="C3247" s="216" t="n">
        <v>75.78</v>
      </c>
      <c r="D3247" s="216" t="n">
        <v>1.147117972373962</v>
      </c>
      <c r="E3247" s="215" t="n">
        <v>46125</v>
      </c>
      <c r="F3247" s="215" t="n">
        <v>46125</v>
      </c>
    </row>
    <row r="3248">
      <c r="A3248" s="215" t="n">
        <v>46126</v>
      </c>
      <c r="B3248" s="216" t="n">
        <v>85.40000000000001</v>
      </c>
      <c r="C3248" s="216" t="n">
        <v>76.55</v>
      </c>
      <c r="D3248" s="216" t="n">
        <v>1.146226048469543</v>
      </c>
      <c r="E3248" s="215" t="n">
        <v>46126</v>
      </c>
      <c r="F3248" s="215" t="n">
        <v>46126</v>
      </c>
    </row>
    <row r="3249">
      <c r="A3249" s="215" t="n">
        <v>46127</v>
      </c>
      <c r="B3249" s="216" t="n">
        <v>86.34999999999999</v>
      </c>
      <c r="C3249" s="216" t="n">
        <v>77.48999999999999</v>
      </c>
      <c r="D3249" s="216" t="n">
        <v>1.149266004562378</v>
      </c>
      <c r="E3249" s="215" t="n">
        <v>46127</v>
      </c>
      <c r="F3249" s="215" t="n">
        <v>46127</v>
      </c>
    </row>
    <row r="3250">
      <c r="A3250" s="215" t="n">
        <v>46128</v>
      </c>
      <c r="B3250" s="216" t="n">
        <v>88.3</v>
      </c>
      <c r="C3250" s="216" t="n">
        <v>77.90000000000001</v>
      </c>
      <c r="D3250" s="216" t="n">
        <v>1.148550033569336</v>
      </c>
      <c r="E3250" s="215" t="n">
        <v>46128</v>
      </c>
      <c r="F3250" s="215" t="n">
        <v>46128</v>
      </c>
    </row>
    <row r="3251">
      <c r="A3251" s="215" t="n">
        <v>46129</v>
      </c>
      <c r="B3251" s="216" t="n">
        <v>89.40000000000001</v>
      </c>
      <c r="C3251" s="216" t="n">
        <v>78.65000000000001</v>
      </c>
      <c r="D3251" s="216" t="n">
        <v>1.146605014801025</v>
      </c>
      <c r="E3251" s="215" t="n">
        <v>46129</v>
      </c>
      <c r="F3251" s="215" t="n">
        <v>46129</v>
      </c>
    </row>
    <row r="3252">
      <c r="A3252" s="215" t="n">
        <v>46132</v>
      </c>
      <c r="B3252" s="216" t="n">
        <v>90.3</v>
      </c>
      <c r="C3252" s="216" t="n">
        <v>79.58</v>
      </c>
      <c r="D3252" s="216" t="n">
        <v>1.148360967636108</v>
      </c>
      <c r="E3252" s="215" t="n">
        <v>46132</v>
      </c>
      <c r="F3252" s="215" t="n">
        <v>46132</v>
      </c>
    </row>
    <row r="3253">
      <c r="A3253" s="215" t="n">
        <v>46133</v>
      </c>
      <c r="B3253" s="216" t="n">
        <v>90.95</v>
      </c>
      <c r="C3253" s="216" t="n">
        <v>79.5</v>
      </c>
      <c r="D3253" s="216" t="n">
        <v>1.148368000984192</v>
      </c>
      <c r="E3253" s="215" t="n">
        <v>46133</v>
      </c>
      <c r="F3253" s="215" t="n">
        <v>46133</v>
      </c>
    </row>
    <row r="3254">
      <c r="A3254" s="215" t="n">
        <v>46134</v>
      </c>
      <c r="B3254" s="216" t="n">
        <v>89.75</v>
      </c>
      <c r="C3254" s="216" t="n">
        <v>79.3</v>
      </c>
      <c r="D3254" s="216" t="n">
        <v>1.147838950157166</v>
      </c>
      <c r="E3254" s="215" t="n">
        <v>46134</v>
      </c>
      <c r="F3254" s="215" t="n">
        <v>46134</v>
      </c>
    </row>
    <row r="3255">
      <c r="A3255" s="215" t="n">
        <v>46135</v>
      </c>
      <c r="B3255" s="216" t="n">
        <v>89.55</v>
      </c>
      <c r="C3255" s="216" t="n">
        <v>79.84999999999999</v>
      </c>
      <c r="D3255" s="216" t="n">
        <v>1.147513031959534</v>
      </c>
      <c r="E3255" s="215" t="n">
        <v>46135</v>
      </c>
      <c r="F3255" s="215" t="n">
        <v>46135</v>
      </c>
    </row>
    <row r="3256">
      <c r="A3256" s="215" t="n">
        <v>46136</v>
      </c>
      <c r="B3256" s="216" t="n">
        <v>89.2</v>
      </c>
      <c r="C3256" s="216" t="n">
        <v>79.66</v>
      </c>
      <c r="D3256" s="216" t="n">
        <v>1.147369027137756</v>
      </c>
      <c r="E3256" s="215" t="n">
        <v>46136</v>
      </c>
      <c r="F3256" s="215" t="n">
        <v>46136</v>
      </c>
    </row>
    <row r="3257">
      <c r="A3257" s="215" t="n">
        <v>46139</v>
      </c>
      <c r="B3257" s="216" t="n">
        <v>88.84999999999999</v>
      </c>
      <c r="C3257" s="216" t="n">
        <v>79.5</v>
      </c>
      <c r="D3257" s="216" t="n">
        <v>1.146002054214478</v>
      </c>
      <c r="E3257" s="215" t="n">
        <v>46139</v>
      </c>
      <c r="F3257" s="215" t="n">
        <v>46139</v>
      </c>
    </row>
    <row r="3258">
      <c r="A3258" s="215" t="n">
        <v>46140</v>
      </c>
      <c r="B3258" s="216" t="n">
        <v>87.5</v>
      </c>
      <c r="C3258" s="216" t="n">
        <v>80.45</v>
      </c>
      <c r="D3258" s="216" t="n">
        <v>1.148522019386292</v>
      </c>
      <c r="E3258" s="215" t="n">
        <v>46140</v>
      </c>
      <c r="F3258" s="215" t="n">
        <v>46140</v>
      </c>
    </row>
    <row r="3259">
      <c r="A3259" s="215" t="n">
        <v>46141</v>
      </c>
      <c r="B3259" s="216" t="n">
        <v>89.15000000000001</v>
      </c>
      <c r="C3259" s="216" t="n">
        <v>81.31</v>
      </c>
      <c r="D3259" s="216" t="n">
        <v>1.145936012268066</v>
      </c>
      <c r="E3259" s="215" t="n">
        <v>46141</v>
      </c>
      <c r="F3259" s="215" t="n">
        <v>46141</v>
      </c>
    </row>
    <row r="3260">
      <c r="A3260" s="215" t="n">
        <v>46142</v>
      </c>
      <c r="B3260" s="216" t="n">
        <v>89.7</v>
      </c>
      <c r="C3260" s="216" t="n">
        <v>81.09999999999999</v>
      </c>
      <c r="D3260" s="216" t="n">
        <v>1.145792007446289</v>
      </c>
      <c r="E3260" s="215" t="n">
        <v>46142</v>
      </c>
      <c r="F3260" s="215" t="n">
        <v>46142</v>
      </c>
    </row>
    <row r="3261">
      <c r="A3261" s="215" t="n">
        <v>46146</v>
      </c>
      <c r="B3261" s="216" t="n">
        <v>88.40000000000001</v>
      </c>
      <c r="C3261" s="216" t="n">
        <v>81.09999999999999</v>
      </c>
      <c r="D3261" s="216" t="n">
        <v>1.147340059280396</v>
      </c>
      <c r="E3261" s="215" t="n">
        <v>46142</v>
      </c>
      <c r="F3261" s="215" t="n">
        <v>46146</v>
      </c>
    </row>
    <row r="3262">
      <c r="A3262" s="215" t="n">
        <v>46147</v>
      </c>
      <c r="B3262" s="216" t="n">
        <v>86.65000000000001</v>
      </c>
      <c r="C3262" s="216" t="n">
        <v>81.09999999999999</v>
      </c>
      <c r="D3262" s="216" t="n">
        <v>1.146813988685608</v>
      </c>
      <c r="E3262" s="215" t="n">
        <v>46142</v>
      </c>
      <c r="F3262" s="215" t="n">
        <v>46147</v>
      </c>
    </row>
    <row r="3263">
      <c r="A3263" s="215" t="n">
        <v>46148</v>
      </c>
      <c r="B3263" s="216" t="n">
        <v>87.7</v>
      </c>
      <c r="C3263" s="216" t="n">
        <v>80.44</v>
      </c>
      <c r="D3263" s="216" t="n">
        <v>1.14708399772644</v>
      </c>
      <c r="E3263" s="215" t="n">
        <v>46148</v>
      </c>
      <c r="F3263" s="215" t="n">
        <v>46148</v>
      </c>
    </row>
    <row r="3264">
      <c r="A3264" s="215" t="n">
        <v>46149</v>
      </c>
      <c r="B3264" s="216" t="n">
        <v>85.3</v>
      </c>
      <c r="C3264" s="216" t="n">
        <v>79.81</v>
      </c>
      <c r="D3264" s="216" t="n">
        <v>1.150125026702881</v>
      </c>
      <c r="E3264" s="215" t="n">
        <v>46149</v>
      </c>
      <c r="F3264" s="215" t="n">
        <v>46149</v>
      </c>
    </row>
    <row r="3265">
      <c r="A3265" s="215" t="n">
        <v>46150</v>
      </c>
      <c r="B3265" s="216" t="n">
        <v>85.3</v>
      </c>
      <c r="C3265" s="216" t="n">
        <v>80.40000000000001</v>
      </c>
      <c r="D3265" s="216" t="n">
        <v>1.15172004699707</v>
      </c>
      <c r="E3265" s="215" t="n">
        <v>46150</v>
      </c>
      <c r="F3265" s="215" t="n">
        <v>46150</v>
      </c>
    </row>
    <row r="3266">
      <c r="A3266" s="215" t="n">
        <v>46153</v>
      </c>
      <c r="B3266" s="216" t="n">
        <v>86.65000000000001</v>
      </c>
      <c r="C3266" s="216" t="n">
        <v>80.67</v>
      </c>
      <c r="D3266" s="216" t="n">
        <v>1.151090025901794</v>
      </c>
      <c r="E3266" s="215" t="n">
        <v>46153</v>
      </c>
      <c r="F3266" s="215" t="n">
        <v>46153</v>
      </c>
    </row>
    <row r="3267">
      <c r="A3267" s="215" t="n">
        <v>46154</v>
      </c>
      <c r="B3267" s="216" t="n">
        <v>87.84999999999999</v>
      </c>
      <c r="C3267" s="216" t="n">
        <v>80.09</v>
      </c>
      <c r="D3267" s="216" t="n">
        <v>1.152078986167908</v>
      </c>
      <c r="E3267" s="215" t="n">
        <v>46154</v>
      </c>
      <c r="F3267" s="215" t="n">
        <v>46154</v>
      </c>
    </row>
    <row r="3268">
      <c r="A3268" s="215" t="n">
        <v>46155</v>
      </c>
      <c r="B3268" s="216" t="n">
        <v>87.34999999999999</v>
      </c>
      <c r="C3268" s="216" t="n">
        <v>80.38</v>
      </c>
      <c r="D3268" s="216" t="n">
        <v>1.152537941932678</v>
      </c>
      <c r="E3268" s="215" t="n">
        <v>46155</v>
      </c>
      <c r="F3268" s="215" t="n">
        <v>46155</v>
      </c>
    </row>
    <row r="3269">
      <c r="A3269" s="215" t="n">
        <v>46156</v>
      </c>
      <c r="B3269" s="216" t="n">
        <v>90</v>
      </c>
      <c r="C3269" s="216" t="n">
        <v>81.81</v>
      </c>
      <c r="D3269" s="216" t="n">
        <v>1.152662992477417</v>
      </c>
      <c r="E3269" s="215" t="n">
        <v>46156</v>
      </c>
      <c r="F3269" s="215" t="n">
        <v>46156</v>
      </c>
    </row>
    <row r="3270">
      <c r="A3270" s="215" t="n">
        <v>46157</v>
      </c>
      <c r="B3270" s="216" t="n">
        <v>91.65000000000001</v>
      </c>
      <c r="C3270" s="216" t="n">
        <v>82.56999999999999</v>
      </c>
      <c r="D3270" s="216" t="n">
        <v>1.154320001602173</v>
      </c>
      <c r="E3270" s="215" t="n">
        <v>46157</v>
      </c>
      <c r="F3270" s="215" t="n">
        <v>46157</v>
      </c>
    </row>
    <row r="3271">
      <c r="A3271" s="215" t="n">
        <v>46160</v>
      </c>
      <c r="B3271" s="216" t="n">
        <v>91.7</v>
      </c>
      <c r="C3271" s="216" t="n">
        <v>82.83</v>
      </c>
      <c r="D3271" s="216" t="n">
        <v>1.149821996688843</v>
      </c>
      <c r="E3271" s="215" t="n">
        <v>46160</v>
      </c>
      <c r="F3271" s="215" t="n">
        <v>46160</v>
      </c>
    </row>
    <row r="3272">
      <c r="A3272" s="215" t="n">
        <v>46161</v>
      </c>
      <c r="B3272" s="216" t="n">
        <v>89.75</v>
      </c>
      <c r="C3272" s="216" t="n">
        <v>81</v>
      </c>
      <c r="D3272" s="216" t="n">
        <v>1.151532053947449</v>
      </c>
      <c r="E3272" s="215" t="n">
        <v>46161</v>
      </c>
      <c r="F3272" s="215" t="n">
        <v>46161</v>
      </c>
    </row>
    <row r="3273">
      <c r="A3273" s="215" t="n">
        <v>46162</v>
      </c>
      <c r="B3273" s="216" t="n">
        <v>90.65000000000001</v>
      </c>
      <c r="C3273" s="216" t="n">
        <v>81.5</v>
      </c>
      <c r="D3273" s="216" t="n">
        <v>1.149292945861816</v>
      </c>
      <c r="E3273" s="215" t="n">
        <v>46162</v>
      </c>
      <c r="F3273" s="215" t="n">
        <v>46162</v>
      </c>
    </row>
    <row r="3274">
      <c r="A3274" s="215" t="n">
        <v>46163</v>
      </c>
      <c r="B3274" s="216" t="n">
        <v>89.90000000000001</v>
      </c>
      <c r="C3274" s="216" t="n">
        <v>81.5</v>
      </c>
      <c r="D3274" s="216" t="n">
        <v>1.151231050491333</v>
      </c>
      <c r="E3274" s="215" t="n">
        <v>46163</v>
      </c>
      <c r="F3274" s="215" t="n">
        <v>46163</v>
      </c>
    </row>
    <row r="3275">
      <c r="A3275" s="215" t="n">
        <v>46164</v>
      </c>
      <c r="B3275" s="216" t="n">
        <v>89.05</v>
      </c>
      <c r="C3275" s="216" t="n">
        <v>80.28</v>
      </c>
      <c r="D3275" s="216" t="n">
        <v>1.151487946510315</v>
      </c>
      <c r="E3275" s="215" t="n">
        <v>46164</v>
      </c>
      <c r="F3275" s="215" t="n">
        <v>46164</v>
      </c>
    </row>
    <row r="3276">
      <c r="A3276" s="215" t="n">
        <v>46168</v>
      </c>
      <c r="B3276" s="216" t="n">
        <v>86.95</v>
      </c>
      <c r="C3276" s="216" t="n">
        <v>79.55</v>
      </c>
      <c r="D3276" s="216" t="n">
        <v>1.152968049049377</v>
      </c>
      <c r="E3276" s="215" t="n">
        <v>46168</v>
      </c>
      <c r="F3276" s="215" t="n">
        <v>46168</v>
      </c>
    </row>
    <row r="3277">
      <c r="A3277" s="215" t="n">
        <v>46169</v>
      </c>
      <c r="B3277" s="216" t="n">
        <v>86.7</v>
      </c>
      <c r="C3277" s="216" t="n">
        <v>80.03</v>
      </c>
      <c r="D3277" s="216" t="n">
        <v>1.154562950134277</v>
      </c>
      <c r="E3277" s="215" t="n">
        <v>46169</v>
      </c>
      <c r="F3277" s="215" t="n">
        <v>46169</v>
      </c>
    </row>
    <row r="3278">
      <c r="A3278" s="215" t="n">
        <v>46170</v>
      </c>
      <c r="B3278" s="216" t="n">
        <v>85.05</v>
      </c>
      <c r="C3278" s="216" t="n">
        <v>78.95</v>
      </c>
      <c r="D3278" s="216" t="n">
        <v>1.155385971069336</v>
      </c>
      <c r="E3278" s="215" t="n">
        <v>46170</v>
      </c>
      <c r="F3278" s="215" t="n">
        <v>46170</v>
      </c>
    </row>
    <row r="3279">
      <c r="A3279" s="215" t="n">
        <v>46171</v>
      </c>
      <c r="B3279" s="216" t="n">
        <v>85.75</v>
      </c>
      <c r="C3279" s="216" t="n">
        <v>80.84999999999999</v>
      </c>
      <c r="D3279" s="216" t="n">
        <v>1.155282974243164</v>
      </c>
      <c r="E3279" s="215" t="n">
        <v>46171</v>
      </c>
      <c r="F3279" s="215" t="n">
        <v>46171</v>
      </c>
    </row>
    <row r="3280">
      <c r="A3280" s="215" t="n">
        <v>46174</v>
      </c>
      <c r="B3280" s="216" t="n">
        <v>89.3</v>
      </c>
      <c r="C3280" s="216" t="n">
        <v>81.7</v>
      </c>
      <c r="D3280" s="216" t="n">
        <v>1.158049941062927</v>
      </c>
      <c r="E3280" s="215" t="n">
        <v>46174</v>
      </c>
      <c r="F3280" s="215" t="n">
        <v>46174</v>
      </c>
    </row>
    <row r="3281">
      <c r="A3281" s="215" t="n">
        <v>46175</v>
      </c>
      <c r="B3281" s="216" t="n">
        <v>89.7</v>
      </c>
      <c r="C3281" s="216" t="n">
        <v>82.59999999999999</v>
      </c>
      <c r="D3281" s="216" t="n">
        <v>1.158406972885132</v>
      </c>
      <c r="E3281" s="215" t="n">
        <v>46175</v>
      </c>
      <c r="F3281" s="215" t="n">
        <v>46175</v>
      </c>
    </row>
    <row r="3282">
      <c r="A3282" s="215" t="n">
        <v>46176</v>
      </c>
      <c r="B3282" s="216" t="n">
        <v>91</v>
      </c>
      <c r="C3282" s="216" t="n">
        <v>82.61</v>
      </c>
      <c r="D3282" s="216" t="n">
        <v>1.15879499912262</v>
      </c>
      <c r="E3282" s="215" t="n">
        <v>46176</v>
      </c>
      <c r="F3282" s="215" t="n">
        <v>46176</v>
      </c>
    </row>
    <row r="3283">
      <c r="A3283" s="215" t="n">
        <v>46177</v>
      </c>
      <c r="B3283" s="216" t="n">
        <v>88.8</v>
      </c>
      <c r="C3283" s="216" t="n">
        <v>82.42</v>
      </c>
      <c r="D3283" s="216" t="n">
        <v>1.157420039176941</v>
      </c>
      <c r="E3283" s="215" t="n">
        <v>46177</v>
      </c>
      <c r="F3283" s="215" t="n">
        <v>46177</v>
      </c>
    </row>
    <row r="3284">
      <c r="A3284" s="215" t="n">
        <v>46178</v>
      </c>
      <c r="B3284" s="216" t="n">
        <v>88.2</v>
      </c>
      <c r="C3284" s="216" t="n">
        <v>81.69</v>
      </c>
      <c r="D3284" s="216" t="n">
        <v>1.156491994857788</v>
      </c>
      <c r="E3284" s="215" t="n">
        <v>46178</v>
      </c>
      <c r="F3284" s="215" t="n">
        <v>46178</v>
      </c>
    </row>
    <row r="3285">
      <c r="A3285" s="215" t="n">
        <v>46181</v>
      </c>
      <c r="B3285" s="216" t="n">
        <v>89</v>
      </c>
      <c r="C3285" s="216" t="n">
        <v>82.84999999999999</v>
      </c>
      <c r="D3285" s="216" t="n">
        <v>1.157665967941284</v>
      </c>
      <c r="E3285" s="215" t="n">
        <v>46181</v>
      </c>
      <c r="F3285" s="215" t="n">
        <v>46181</v>
      </c>
    </row>
    <row r="3286">
      <c r="A3286" s="215" t="n">
        <v>46182</v>
      </c>
      <c r="B3286" s="216" t="n">
        <v>90.2</v>
      </c>
      <c r="C3286" s="216" t="n">
        <v>82.36</v>
      </c>
      <c r="D3286" s="216" t="n">
        <v>1.158027052879333</v>
      </c>
      <c r="E3286" s="215" t="n">
        <v>46182</v>
      </c>
      <c r="F3286" s="215" t="n">
        <v>46182</v>
      </c>
    </row>
    <row r="3287">
      <c r="A3287" s="215" t="n">
        <v>46183</v>
      </c>
      <c r="B3287" s="216" t="n">
        <v>90.65000000000001</v>
      </c>
      <c r="C3287" s="216" t="n">
        <v>83.90000000000001</v>
      </c>
      <c r="D3287" s="216" t="n">
        <v>1.157112002372742</v>
      </c>
      <c r="E3287" s="215" t="n">
        <v>46183</v>
      </c>
      <c r="F3287" s="215" t="n">
        <v>46183</v>
      </c>
    </row>
    <row r="3288">
      <c r="A3288" s="215" t="n">
        <v>46184</v>
      </c>
      <c r="B3288" s="216" t="n">
        <v>90.59999999999999</v>
      </c>
      <c r="C3288" s="216" t="n">
        <v>85.34999999999999</v>
      </c>
      <c r="D3288" s="216" t="n">
        <v>1.156929016113281</v>
      </c>
      <c r="E3288" s="215" t="n">
        <v>46184</v>
      </c>
      <c r="F3288" s="215" t="n">
        <v>46184</v>
      </c>
    </row>
    <row r="3289">
      <c r="A3289" s="215" t="n">
        <v>46185</v>
      </c>
      <c r="B3289" s="216" t="n">
        <v>91.55</v>
      </c>
      <c r="C3289" s="216" t="n">
        <v>83.23</v>
      </c>
      <c r="D3289" s="216" t="n">
        <v>1.156345963478088</v>
      </c>
      <c r="E3289" s="215" t="n">
        <v>46185</v>
      </c>
      <c r="F3289" s="215" t="n">
        <v>46185</v>
      </c>
    </row>
    <row r="3290">
      <c r="A3290" s="215" t="n">
        <v>46188</v>
      </c>
      <c r="B3290" s="216" t="n">
        <v>90.84999999999999</v>
      </c>
      <c r="C3290" s="216" t="n">
        <v>80.93000000000001</v>
      </c>
      <c r="D3290" s="216" t="n">
        <v>1.156880021095276</v>
      </c>
      <c r="E3290" s="215" t="n">
        <v>46188</v>
      </c>
      <c r="F3290" s="215" t="n">
        <v>46188</v>
      </c>
    </row>
    <row r="3291">
      <c r="A3291" s="215" t="n">
        <v>46189</v>
      </c>
      <c r="B3291" s="216" t="n">
        <v>90.15000000000001</v>
      </c>
      <c r="C3291" s="216" t="n">
        <v>78.95999999999999</v>
      </c>
      <c r="D3291" s="216" t="n">
        <v>1.158604025840759</v>
      </c>
      <c r="E3291" s="215" t="n">
        <v>46189</v>
      </c>
      <c r="F3291" s="215" t="n">
        <v>46189</v>
      </c>
    </row>
    <row r="3292">
      <c r="A3292" s="215" t="n">
        <v>46190</v>
      </c>
      <c r="B3292" s="216" t="n">
        <v>89.15000000000001</v>
      </c>
      <c r="C3292" s="216" t="n">
        <v>79.22</v>
      </c>
      <c r="D3292" s="216" t="n">
        <v>1.158974051475525</v>
      </c>
      <c r="E3292" s="215" t="n">
        <v>46190</v>
      </c>
      <c r="F3292" s="215" t="n">
        <v>46190</v>
      </c>
    </row>
    <row r="3293">
      <c r="A3293" s="215" t="n">
        <v>46191</v>
      </c>
      <c r="B3293" s="216" t="n">
        <v>84.2</v>
      </c>
      <c r="C3293" s="216" t="n">
        <v>78</v>
      </c>
      <c r="D3293" s="216" t="n">
        <v>1.159355998039246</v>
      </c>
      <c r="E3293" s="215" t="n">
        <v>46191</v>
      </c>
      <c r="F3293" s="215" t="n">
        <v>46191</v>
      </c>
    </row>
    <row r="3294">
      <c r="A3294" s="215" t="n">
        <v>46195</v>
      </c>
      <c r="B3294" s="216" t="n">
        <v>82.65000000000001</v>
      </c>
      <c r="C3294" s="216" t="n">
        <v>78.28</v>
      </c>
      <c r="D3294" s="216" t="n">
        <v>1.157493948936462</v>
      </c>
      <c r="E3294" s="215" t="n">
        <v>46195</v>
      </c>
      <c r="F3294" s="215" t="n">
        <v>46195</v>
      </c>
    </row>
    <row r="3295">
      <c r="A3295" s="215" t="n">
        <v>46196</v>
      </c>
      <c r="B3295" s="216" t="n">
        <v>81.7</v>
      </c>
      <c r="C3295" s="216" t="n">
        <v>78.06999999999999</v>
      </c>
      <c r="D3295" s="216" t="n">
        <v>1.156896948814392</v>
      </c>
      <c r="E3295" s="215" t="n">
        <v>46196</v>
      </c>
      <c r="F3295" s="215" t="n">
        <v>46196</v>
      </c>
    </row>
    <row r="3296">
      <c r="A3296" s="215" t="n">
        <v>46197</v>
      </c>
      <c r="B3296" s="216" t="n">
        <v>79.90000000000001</v>
      </c>
      <c r="C3296" s="216" t="n">
        <v>76.63</v>
      </c>
      <c r="D3296" s="216" t="n">
        <v>1.154508948326111</v>
      </c>
      <c r="E3296" s="215" t="n">
        <v>46197</v>
      </c>
      <c r="F3296" s="215" t="n">
        <v>46197</v>
      </c>
    </row>
    <row r="3297">
      <c r="A3297" s="215" t="n">
        <v>46198</v>
      </c>
      <c r="B3297" s="216" t="n">
        <v>79.2</v>
      </c>
      <c r="C3297" s="216" t="n">
        <v>76.5</v>
      </c>
      <c r="D3297" s="216" t="n">
        <v>1.154152035713196</v>
      </c>
      <c r="E3297" s="215" t="n">
        <v>46198</v>
      </c>
      <c r="F3297" s="215" t="n">
        <v>46198</v>
      </c>
    </row>
    <row r="3298">
      <c r="A3298" s="215" t="n">
        <v>46199</v>
      </c>
      <c r="B3298" s="216" t="n">
        <v>80.34999999999999</v>
      </c>
      <c r="C3298" s="216" t="n">
        <v>78.55</v>
      </c>
      <c r="D3298" s="216" t="n">
        <v>1.154500961303711</v>
      </c>
      <c r="E3298" s="215" t="n">
        <v>46199</v>
      </c>
      <c r="F3298" s="215" t="n">
        <v>46199</v>
      </c>
    </row>
    <row r="3299">
      <c r="A3299" s="215" t="n">
        <v>46202</v>
      </c>
      <c r="B3299" s="216" t="n">
        <v>84.05</v>
      </c>
      <c r="C3299" s="216" t="n">
        <v>77.27</v>
      </c>
      <c r="D3299" s="216" t="n">
        <v>1.153512001037598</v>
      </c>
      <c r="E3299" s="215" t="n">
        <v>46202</v>
      </c>
      <c r="F3299" s="215" t="n">
        <v>46202</v>
      </c>
    </row>
    <row r="3300">
      <c r="A3300" s="215" t="n">
        <v>46203</v>
      </c>
      <c r="B3300" s="216" t="n">
        <v>82.59999999999999</v>
      </c>
      <c r="C3300" s="216" t="n">
        <v>75.53</v>
      </c>
      <c r="D3300" s="216" t="n">
        <v>1.153959035873413</v>
      </c>
      <c r="E3300" s="215" t="n">
        <v>46203</v>
      </c>
      <c r="F3300" s="215" t="n">
        <v>46203</v>
      </c>
    </row>
    <row r="3301">
      <c r="A3301" s="215" t="n">
        <v>46205</v>
      </c>
      <c r="B3301" s="216" t="n">
        <v>86</v>
      </c>
      <c r="C3301" s="216" t="n">
        <v>77.01000000000001</v>
      </c>
      <c r="D3301" s="216" t="n">
        <v>1.154355049133301</v>
      </c>
      <c r="E3301" s="215" t="n">
        <v>46205</v>
      </c>
      <c r="F3301" s="215" t="n">
        <v>46205</v>
      </c>
    </row>
    <row r="3302">
      <c r="A3302" s="215" t="n">
        <v>46206</v>
      </c>
      <c r="B3302" s="216" t="n">
        <v>87.09999999999999</v>
      </c>
      <c r="C3302" s="216" t="n">
        <v>77.95999999999999</v>
      </c>
      <c r="D3302" s="216" t="n">
        <v>1.155220985412598</v>
      </c>
      <c r="E3302" s="215" t="n">
        <v>46206</v>
      </c>
      <c r="F3302" s="215" t="n">
        <v>46206</v>
      </c>
    </row>
    <row r="3303">
      <c r="A3303" s="215" t="n">
        <v>46209</v>
      </c>
      <c r="B3303" s="216" t="n">
        <v>88.34999999999999</v>
      </c>
      <c r="C3303" s="216" t="n">
        <v>80</v>
      </c>
      <c r="D3303" s="216" t="n">
        <v>1.155068039894104</v>
      </c>
      <c r="E3303" s="215" t="n">
        <v>46209</v>
      </c>
      <c r="F3303" s="215" t="n">
        <v>46209</v>
      </c>
    </row>
    <row r="3304">
      <c r="A3304" s="215" t="n">
        <v>46210</v>
      </c>
      <c r="B3304" s="216" t="n">
        <v>87.34999999999999</v>
      </c>
      <c r="C3304" s="216" t="n">
        <v>79.12</v>
      </c>
      <c r="D3304" s="216" t="n">
        <v>1.153807997703552</v>
      </c>
      <c r="E3304" s="215" t="n">
        <v>46210</v>
      </c>
      <c r="F3304" s="215" t="n">
        <v>46210</v>
      </c>
    </row>
    <row r="3305">
      <c r="A3305" s="215" t="n">
        <v>46211</v>
      </c>
      <c r="B3305" s="216" t="n">
        <v>88.15000000000001</v>
      </c>
      <c r="C3305" s="216" t="n">
        <v>79.41</v>
      </c>
      <c r="D3305" s="216" t="n">
        <v>1.154153943061829</v>
      </c>
      <c r="E3305" s="215" t="n">
        <v>46211</v>
      </c>
      <c r="F3305" s="215" t="n">
        <v>46211</v>
      </c>
    </row>
    <row r="3306">
      <c r="A3306" s="215" t="n">
        <v>46212</v>
      </c>
      <c r="B3306" s="216" t="n">
        <v>88.45</v>
      </c>
      <c r="C3306" s="216" t="n">
        <v>79.33</v>
      </c>
      <c r="D3306" s="216" t="n">
        <v>1.152119994163513</v>
      </c>
      <c r="E3306" s="215" t="n">
        <v>46212</v>
      </c>
      <c r="F3306" s="215" t="n">
        <v>46212</v>
      </c>
    </row>
    <row r="3307">
      <c r="A3307" s="215" t="n">
        <v>46213</v>
      </c>
      <c r="B3307" s="216" t="n">
        <v>88.75</v>
      </c>
      <c r="C3307" s="216" t="n">
        <v>78.98999999999999</v>
      </c>
      <c r="D3307" s="216" t="n">
        <v>1.153550028800964</v>
      </c>
      <c r="E3307" s="215" t="n">
        <v>46213</v>
      </c>
      <c r="F3307" s="215" t="n">
        <v>46213</v>
      </c>
    </row>
    <row r="3308">
      <c r="A3308" s="215" t="n">
        <v>46216</v>
      </c>
      <c r="B3308" s="216" t="n">
        <v>88.8</v>
      </c>
      <c r="C3308" s="216" t="n">
        <v>80.40000000000001</v>
      </c>
      <c r="D3308" s="216" t="n">
        <v>1.156761050224304</v>
      </c>
      <c r="E3308" s="215" t="n">
        <v>46216</v>
      </c>
      <c r="F3308" s="215" t="n">
        <v>46216</v>
      </c>
    </row>
    <row r="3309">
      <c r="A3309" s="215" t="n">
        <v>46217</v>
      </c>
      <c r="B3309" s="216" t="n">
        <v>89.55</v>
      </c>
      <c r="C3309" s="216" t="n">
        <v>81.18000000000001</v>
      </c>
      <c r="D3309" s="216" t="n">
        <v>1.155825972557068</v>
      </c>
      <c r="E3309" s="215" t="n">
        <v>46217</v>
      </c>
      <c r="F3309" s="215" t="n">
        <v>46217</v>
      </c>
    </row>
    <row r="3310">
      <c r="A3310" s="215" t="n">
        <v>46218</v>
      </c>
      <c r="B3310" s="216" t="n">
        <v>91.90000000000001</v>
      </c>
      <c r="C3310" s="216" t="n">
        <v>82.67</v>
      </c>
      <c r="D3310" s="216" t="n">
        <v>1.157556056976318</v>
      </c>
      <c r="E3310" s="215" t="n">
        <v>46218</v>
      </c>
      <c r="F3310" s="215" t="n">
        <v>46218</v>
      </c>
    </row>
    <row r="3311">
      <c r="A3311" s="215" t="n">
        <v>46219</v>
      </c>
      <c r="B3311" s="216" t="n">
        <v>91.75</v>
      </c>
      <c r="C3311" s="216" t="n">
        <v>81.8</v>
      </c>
      <c r="D3311" s="216" t="n">
        <v>1.157912969589233</v>
      </c>
      <c r="E3311" s="215" t="n">
        <v>46219</v>
      </c>
      <c r="F3311" s="215" t="n">
        <v>46219</v>
      </c>
    </row>
    <row r="3312">
      <c r="A3312" s="215" t="n">
        <v>46220</v>
      </c>
      <c r="B3312" s="216" t="n">
        <v>92.25</v>
      </c>
      <c r="C3312" s="216" t="n">
        <v>82.70999999999999</v>
      </c>
      <c r="D3312" s="216" t="n">
        <v>1.157472014427185</v>
      </c>
      <c r="E3312" s="215" t="n">
        <v>46220</v>
      </c>
      <c r="F3312" s="215" t="n">
        <v>46220</v>
      </c>
    </row>
    <row r="3313">
      <c r="A3313" s="215" t="n">
        <v>46223</v>
      </c>
      <c r="B3313" s="216" t="n">
        <v>94.34999999999999</v>
      </c>
      <c r="C3313" s="216" t="n">
        <v>84.3</v>
      </c>
      <c r="D3313" s="216" t="n">
        <v>1.157451033592224</v>
      </c>
      <c r="E3313" s="215" t="n">
        <v>46223</v>
      </c>
      <c r="F3313" s="215" t="n">
        <v>46223</v>
      </c>
    </row>
    <row r="3314">
      <c r="A3314" s="215" t="n">
        <v>46224</v>
      </c>
      <c r="B3314" s="216" t="n">
        <v>95.15000000000001</v>
      </c>
      <c r="C3314" s="216" t="n">
        <v>84.27</v>
      </c>
      <c r="D3314" s="216" t="n">
        <v>1.157506942749023</v>
      </c>
      <c r="E3314" s="215" t="n">
        <v>46224</v>
      </c>
      <c r="F3314" s="215" t="n">
        <v>46224</v>
      </c>
    </row>
    <row r="3315">
      <c r="A3315" s="215" t="n">
        <v>46225</v>
      </c>
      <c r="B3315" s="216" t="n">
        <v>94.90000000000001</v>
      </c>
      <c r="C3315" s="216" t="n">
        <v>84.8</v>
      </c>
      <c r="D3315" s="216" t="n">
        <v>1.158938050270081</v>
      </c>
      <c r="E3315" s="215" t="n">
        <v>46225</v>
      </c>
      <c r="F3315" s="215" t="n">
        <v>46225</v>
      </c>
    </row>
    <row r="3316">
      <c r="A3316" s="215" t="n">
        <v>46226</v>
      </c>
      <c r="B3316" s="216" t="n">
        <v>96.25</v>
      </c>
      <c r="C3316" s="216" t="n">
        <v>84.77</v>
      </c>
      <c r="D3316" s="216" t="n">
        <v>1.157410979270935</v>
      </c>
      <c r="E3316" s="215" t="n">
        <v>46226</v>
      </c>
      <c r="F3316" s="215" t="n">
        <v>46226</v>
      </c>
    </row>
    <row r="3317">
      <c r="A3317" s="215" t="n">
        <v>46227</v>
      </c>
      <c r="B3317" s="216" t="n">
        <v>94.75</v>
      </c>
      <c r="C3317" s="216" t="n">
        <v>84.5</v>
      </c>
      <c r="D3317" s="216" t="n">
        <v>1.15762197971344</v>
      </c>
      <c r="E3317" s="215" t="n">
        <v>46227</v>
      </c>
      <c r="F3317" s="215" t="n">
        <v>46227</v>
      </c>
    </row>
    <row r="3318">
      <c r="A3318" s="215" t="n">
        <v>46230</v>
      </c>
      <c r="B3318" s="216" t="n">
        <v>94.84999999999999</v>
      </c>
      <c r="C3318" s="216" t="n">
        <v>84.13</v>
      </c>
      <c r="D3318" s="216" t="n">
        <v>1.15789794921875</v>
      </c>
      <c r="E3318" s="215" t="n">
        <v>46230</v>
      </c>
      <c r="F3318" s="215" t="n">
        <v>46230</v>
      </c>
    </row>
    <row r="3319">
      <c r="A3319" s="215" t="n">
        <v>46231</v>
      </c>
      <c r="B3319" s="216" t="n">
        <v>96.34999999999999</v>
      </c>
      <c r="C3319" s="216" t="n">
        <v>85.37</v>
      </c>
      <c r="D3319" s="216" t="n">
        <v>1.158699035644531</v>
      </c>
      <c r="E3319" s="215" t="n">
        <v>46231</v>
      </c>
      <c r="F3319" s="215" t="n">
        <v>46231</v>
      </c>
    </row>
    <row r="3320">
      <c r="A3320" s="215" t="n">
        <v>46232</v>
      </c>
      <c r="B3320" s="216" t="n">
        <v>98.40000000000001</v>
      </c>
      <c r="C3320" s="216" t="n">
        <v>87.01000000000001</v>
      </c>
      <c r="D3320" s="216" t="n">
        <v>1.157909989356995</v>
      </c>
      <c r="E3320" s="215" t="n">
        <v>46232</v>
      </c>
      <c r="F3320" s="215" t="n">
        <v>46232</v>
      </c>
    </row>
    <row r="3321">
      <c r="A3321" s="215" t="n">
        <v>46233</v>
      </c>
      <c r="B3321" s="216" t="n">
        <v>98.90000000000001</v>
      </c>
      <c r="C3321" s="216" t="n">
        <v>88.95</v>
      </c>
      <c r="D3321" s="216" t="n">
        <v>1.158943057060242</v>
      </c>
      <c r="E3321" s="215" t="n">
        <v>46233</v>
      </c>
      <c r="F3321" s="215" t="n">
        <v>46233</v>
      </c>
    </row>
    <row r="3322">
      <c r="A3322" s="215" t="n">
        <v>46234</v>
      </c>
      <c r="B3322" s="216" t="n">
        <v>99.34999999999999</v>
      </c>
      <c r="C3322" s="216" t="n">
        <v>87.59999999999999</v>
      </c>
      <c r="D3322" s="216" t="n">
        <v>1.160945057868958</v>
      </c>
      <c r="E3322" s="215" t="n">
        <v>46234</v>
      </c>
      <c r="F3322" s="215" t="n">
        <v>46234</v>
      </c>
    </row>
    <row r="3323">
      <c r="A3323" s="215" t="n">
        <v>46237</v>
      </c>
      <c r="B3323" s="216" t="n">
        <v>97.75</v>
      </c>
      <c r="C3323" s="216" t="n">
        <v>85.90000000000001</v>
      </c>
      <c r="D3323" s="216" t="n">
        <v>1.161579966545105</v>
      </c>
      <c r="E3323" s="215" t="n">
        <v>46237</v>
      </c>
      <c r="F3323" s="215" t="n">
        <v>46237</v>
      </c>
    </row>
    <row r="3324">
      <c r="A3324" s="215" t="n">
        <v>46238</v>
      </c>
      <c r="B3324" s="216" t="n">
        <v>96.95</v>
      </c>
      <c r="C3324" s="216" t="n">
        <v>85.14</v>
      </c>
      <c r="D3324" s="216" t="n">
        <v>1.161064982414246</v>
      </c>
      <c r="E3324" s="215" t="n">
        <v>46238</v>
      </c>
      <c r="F3324" s="215" t="n">
        <v>46238</v>
      </c>
    </row>
    <row r="3325">
      <c r="A3325" s="215" t="n">
        <v>46239</v>
      </c>
      <c r="B3325" s="216" t="n">
        <v>97.55</v>
      </c>
      <c r="C3325" s="216" t="n">
        <v>85.47</v>
      </c>
      <c r="D3325" s="216" t="n">
        <v>1.161146998405457</v>
      </c>
      <c r="E3325" s="215" t="n">
        <v>46239</v>
      </c>
      <c r="F3325" s="215" t="n">
        <v>46239</v>
      </c>
    </row>
    <row r="3326">
      <c r="A3326" s="215" t="n">
        <v>46240</v>
      </c>
      <c r="B3326" s="216" t="n">
        <v>97.5</v>
      </c>
      <c r="C3326" s="216" t="n">
        <v>85.31999999999999</v>
      </c>
      <c r="D3326" s="216" t="n">
        <v>1.161936044692993</v>
      </c>
      <c r="E3326" s="215" t="n">
        <v>46240</v>
      </c>
      <c r="F3326" s="215" t="n">
        <v>46240</v>
      </c>
    </row>
    <row r="3327">
      <c r="A3327" s="215" t="n">
        <v>46241</v>
      </c>
      <c r="B3327" s="216" t="n">
        <v>95.7</v>
      </c>
      <c r="C3327" s="216" t="n">
        <v>83.5</v>
      </c>
      <c r="D3327" s="216" t="n">
        <v>1.162284016609192</v>
      </c>
      <c r="E3327" s="215" t="n">
        <v>46241</v>
      </c>
      <c r="F3327" s="215" t="n">
        <v>46241</v>
      </c>
    </row>
    <row r="3328">
      <c r="A3328" s="215" t="n">
        <v>46244</v>
      </c>
      <c r="B3328" s="216" t="n">
        <v>97.65000000000001</v>
      </c>
      <c r="C3328" s="216" t="n">
        <v>85.3</v>
      </c>
      <c r="D3328" s="216" t="n">
        <v>1.162629961967468</v>
      </c>
      <c r="E3328" s="215" t="n">
        <v>46244</v>
      </c>
      <c r="F3328" s="215" t="n">
        <v>46244</v>
      </c>
    </row>
    <row r="3329">
      <c r="A3329" s="215" t="n">
        <v>46245</v>
      </c>
      <c r="B3329" s="216" t="n">
        <v>97</v>
      </c>
      <c r="C3329" s="216" t="n">
        <v>85.62</v>
      </c>
      <c r="D3329" s="216" t="n">
        <v>1.162588000297546</v>
      </c>
      <c r="E3329" s="215" t="n">
        <v>46245</v>
      </c>
      <c r="F3329" s="215" t="n">
        <v>46245</v>
      </c>
    </row>
    <row r="3330">
      <c r="A3330" s="215" t="n">
        <v>46246</v>
      </c>
      <c r="B3330" s="216" t="n">
        <v>96.09999999999999</v>
      </c>
      <c r="C3330" s="216" t="n">
        <v>84.34</v>
      </c>
      <c r="D3330" s="216" t="n">
        <v>1.163135051727295</v>
      </c>
      <c r="E3330" s="215" t="n">
        <v>46246</v>
      </c>
      <c r="F3330" s="215" t="n">
        <v>46246</v>
      </c>
    </row>
    <row r="3331">
      <c r="A3331" s="215" t="n">
        <v>46247</v>
      </c>
      <c r="B3331" s="216" t="n">
        <v>96.40000000000001</v>
      </c>
      <c r="C3331" s="216" t="n">
        <v>84.19</v>
      </c>
      <c r="D3331" s="216" t="n">
        <v>1.163341045379639</v>
      </c>
      <c r="E3331" s="215" t="n">
        <v>46247</v>
      </c>
      <c r="F3331" s="215" t="n">
        <v>46247</v>
      </c>
    </row>
    <row r="3332">
      <c r="A3332" s="215" t="n">
        <v>46248</v>
      </c>
      <c r="B3332" s="216" t="n">
        <v>95.90000000000001</v>
      </c>
      <c r="C3332" s="216" t="n">
        <v>83.03</v>
      </c>
      <c r="D3332" s="216" t="n">
        <v>1.163571000099182</v>
      </c>
      <c r="E3332" s="215" t="n">
        <v>46248</v>
      </c>
      <c r="F3332" s="215" t="n">
        <v>46248</v>
      </c>
    </row>
    <row r="3333">
      <c r="A3333" s="215" t="n">
        <v>46251</v>
      </c>
      <c r="B3333" s="216" t="n">
        <v>95.5</v>
      </c>
      <c r="C3333" s="216" t="n">
        <v>82.61</v>
      </c>
      <c r="D3333" s="216" t="n">
        <v>1.163601994514465</v>
      </c>
      <c r="E3333" s="215" t="n">
        <v>46251</v>
      </c>
      <c r="F3333" s="215" t="n">
        <v>46251</v>
      </c>
    </row>
    <row r="3334">
      <c r="A3334" s="215" t="n">
        <v>46252</v>
      </c>
      <c r="B3334" s="216" t="n">
        <v>96.25</v>
      </c>
      <c r="C3334" s="216" t="n">
        <v>83.58</v>
      </c>
      <c r="D3334" s="216" t="n">
        <v>1.163733005523682</v>
      </c>
      <c r="E3334" s="215" t="n">
        <v>46252</v>
      </c>
      <c r="F3334" s="215" t="n">
        <v>46252</v>
      </c>
    </row>
    <row r="3335">
      <c r="A3335" s="215" t="n">
        <v>46253</v>
      </c>
      <c r="B3335" s="216" t="n">
        <v>96.90000000000001</v>
      </c>
      <c r="C3335" s="216" t="n">
        <v>84.72</v>
      </c>
      <c r="D3335" s="216" t="n">
        <v>1.163092017173767</v>
      </c>
      <c r="E3335" s="215" t="n">
        <v>46253</v>
      </c>
      <c r="F3335" s="215" t="n">
        <v>46253</v>
      </c>
    </row>
    <row r="3336">
      <c r="A3336" s="215" t="n">
        <v>46254</v>
      </c>
      <c r="B3336" s="216" t="n">
        <v>97.25</v>
      </c>
      <c r="C3336" s="216" t="n">
        <v>85.38</v>
      </c>
      <c r="D3336" s="216" t="n">
        <v>1.164932012557983</v>
      </c>
      <c r="E3336" s="215" t="n">
        <v>46254</v>
      </c>
      <c r="F3336" s="215" t="n">
        <v>46254</v>
      </c>
    </row>
    <row r="3337">
      <c r="A3337" s="215" t="n">
        <v>46255</v>
      </c>
      <c r="B3337" s="216" t="n">
        <v>96.90000000000001</v>
      </c>
      <c r="C3337" s="216" t="n">
        <v>84.3</v>
      </c>
      <c r="D3337" s="216" t="n">
        <v>1.166555047035217</v>
      </c>
      <c r="E3337" s="215" t="n">
        <v>46255</v>
      </c>
      <c r="F3337" s="215" t="n">
        <v>46255</v>
      </c>
    </row>
    <row r="3338">
      <c r="A3338" s="215" t="n">
        <v>46258</v>
      </c>
      <c r="B3338" s="216" t="n">
        <v>98.34999999999999</v>
      </c>
      <c r="C3338" s="216" t="n">
        <v>85.98999999999999</v>
      </c>
      <c r="D3338" s="216" t="n">
        <v>1.166316986083984</v>
      </c>
      <c r="E3338" s="215" t="n">
        <v>46258</v>
      </c>
      <c r="F3338" s="215" t="n">
        <v>46258</v>
      </c>
    </row>
    <row r="3339">
      <c r="A3339" s="215" t="n">
        <v>46259</v>
      </c>
      <c r="B3339" s="216" t="n">
        <v>98.65000000000001</v>
      </c>
      <c r="C3339" s="216" t="n">
        <v>86.69</v>
      </c>
      <c r="D3339" s="216" t="n">
        <v>1.165253043174744</v>
      </c>
      <c r="E3339" s="215" t="n">
        <v>46259</v>
      </c>
      <c r="F3339" s="215" t="n">
        <v>46259</v>
      </c>
    </row>
    <row r="3340">
      <c r="A3340" s="215" t="n">
        <v>46260</v>
      </c>
      <c r="B3340" s="216" t="n">
        <v>98.65000000000001</v>
      </c>
      <c r="C3340" s="216" t="n">
        <v>86.39</v>
      </c>
      <c r="D3340" s="216" t="n">
        <v>1.166218996047974</v>
      </c>
      <c r="E3340" s="215" t="n">
        <v>46260</v>
      </c>
      <c r="F3340" s="215" t="n">
        <v>46260</v>
      </c>
    </row>
    <row r="3341">
      <c r="A3341" s="215" t="n">
        <v>46261</v>
      </c>
      <c r="B3341" s="216" t="n">
        <v>99.15000000000001</v>
      </c>
      <c r="C3341" s="216" t="n">
        <v>86.18000000000001</v>
      </c>
      <c r="D3341" s="216" t="n">
        <v>1.165971040725708</v>
      </c>
      <c r="E3341" s="215" t="n">
        <v>46261</v>
      </c>
      <c r="F3341" s="215" t="n">
        <v>46261</v>
      </c>
    </row>
    <row r="3342">
      <c r="A3342" s="215" t="n">
        <v>46262</v>
      </c>
      <c r="B3342" s="216" t="n">
        <v>98.75</v>
      </c>
      <c r="C3342" s="216" t="n">
        <v>86.23</v>
      </c>
      <c r="D3342" s="216" t="n">
        <v>1.165799975395203</v>
      </c>
      <c r="E3342" s="215" t="n">
        <v>46262</v>
      </c>
      <c r="F3342" s="215" t="n">
        <v>46262</v>
      </c>
    </row>
    <row r="3343">
      <c r="A3343" s="215" t="n">
        <v>46265</v>
      </c>
      <c r="B3343" s="216" t="n">
        <v>101.4</v>
      </c>
      <c r="C3343" s="216" t="n">
        <v>87.73</v>
      </c>
      <c r="D3343" s="216" t="n">
        <v>1.165387988090515</v>
      </c>
      <c r="E3343" s="215" t="n">
        <v>46265</v>
      </c>
      <c r="F3343" s="215" t="n">
        <v>46265</v>
      </c>
    </row>
    <row r="3344">
      <c r="A3344" s="215" t="n">
        <v>46266</v>
      </c>
      <c r="B3344" s="216" t="n">
        <v>100.4</v>
      </c>
      <c r="C3344" s="216" t="n">
        <v>87.48999999999999</v>
      </c>
      <c r="D3344" s="216" t="n">
        <v>1.165223956108093</v>
      </c>
      <c r="E3344" s="215" t="n">
        <v>46266</v>
      </c>
      <c r="F3344" s="215" t="n">
        <v>46266</v>
      </c>
    </row>
    <row r="3345">
      <c r="A3345" s="215" t="n">
        <v>46267</v>
      </c>
      <c r="B3345" s="216" t="n">
        <v>99.95</v>
      </c>
      <c r="C3345" s="216" t="n">
        <v>86.98</v>
      </c>
      <c r="D3345" s="216" t="n">
        <v>1.166425943374634</v>
      </c>
      <c r="E3345" s="215" t="n">
        <v>46267</v>
      </c>
      <c r="F3345" s="215" t="n">
        <v>46267</v>
      </c>
    </row>
    <row r="3346">
      <c r="A3346" s="215" t="n">
        <v>46268</v>
      </c>
      <c r="B3346" s="216" t="n">
        <v>100.5</v>
      </c>
      <c r="C3346" s="216" t="n">
        <v>87.25</v>
      </c>
      <c r="D3346" s="216" t="n">
        <v>1.167057037353516</v>
      </c>
      <c r="E3346" s="215" t="n">
        <v>46268</v>
      </c>
      <c r="F3346" s="215" t="n">
        <v>46268</v>
      </c>
    </row>
    <row r="3347">
      <c r="A3347" s="215" t="n">
        <v>46269</v>
      </c>
      <c r="B3347" s="216" t="n">
        <v>100.8</v>
      </c>
      <c r="C3347" s="216" t="n">
        <v>87.56999999999999</v>
      </c>
      <c r="D3347" s="216" t="n">
        <v>1.166767954826355</v>
      </c>
      <c r="E3347" s="215" t="n">
        <v>46269</v>
      </c>
      <c r="F3347" s="215" t="n">
        <v>46269</v>
      </c>
    </row>
    <row r="3348">
      <c r="A3348" s="215" t="n">
        <v>46272</v>
      </c>
      <c r="B3348" s="216" t="n">
        <v>99.65000000000001</v>
      </c>
      <c r="C3348" s="216" t="n">
        <v>86.27</v>
      </c>
      <c r="D3348" s="216" t="n">
        <v>1.168081045150757</v>
      </c>
      <c r="E3348" s="215" t="n">
        <v>46272</v>
      </c>
      <c r="F3348" s="215" t="n">
        <v>46272</v>
      </c>
    </row>
    <row r="3349">
      <c r="A3349" s="215" t="n">
        <v>46273</v>
      </c>
      <c r="B3349" s="216" t="n">
        <v>98.34999999999999</v>
      </c>
      <c r="C3349" s="216" t="n">
        <v>85.15000000000001</v>
      </c>
      <c r="D3349" s="216" t="n">
        <v>1.168115019798279</v>
      </c>
      <c r="E3349" s="215" t="n">
        <v>46273</v>
      </c>
      <c r="F3349" s="215" t="n">
        <v>46273</v>
      </c>
    </row>
    <row r="3350">
      <c r="A3350" s="215" t="n">
        <v>46274</v>
      </c>
      <c r="B3350" s="216" t="n">
        <v>98.65000000000001</v>
      </c>
      <c r="C3350" s="216" t="n">
        <v>86.02</v>
      </c>
      <c r="D3350" s="216" t="n">
        <v>1.168408989906311</v>
      </c>
      <c r="E3350" s="215" t="n">
        <v>46274</v>
      </c>
      <c r="F3350" s="215" t="n">
        <v>46274</v>
      </c>
    </row>
    <row r="3351">
      <c r="A3351" s="215" t="n">
        <v>46275</v>
      </c>
      <c r="B3351" s="216" t="n">
        <v>99.3</v>
      </c>
      <c r="C3351" s="216" t="n">
        <v>86.2</v>
      </c>
      <c r="D3351" s="216" t="n">
        <v>1.168462991714478</v>
      </c>
      <c r="E3351" s="215" t="n">
        <v>46275</v>
      </c>
      <c r="F3351" s="215" t="n">
        <v>46275</v>
      </c>
    </row>
    <row r="3352">
      <c r="A3352" s="215" t="n">
        <v>46276</v>
      </c>
      <c r="B3352" s="216" t="n">
        <v>99.2</v>
      </c>
      <c r="C3352" s="216" t="n">
        <v>86.26000000000001</v>
      </c>
      <c r="D3352" s="216" t="n">
        <v>1.169165015220642</v>
      </c>
      <c r="E3352" s="215" t="n">
        <v>46276</v>
      </c>
      <c r="F3352" s="215" t="n">
        <v>46276</v>
      </c>
    </row>
    <row r="3353">
      <c r="A3353" s="215" t="n">
        <v>46279</v>
      </c>
      <c r="B3353" s="216" t="n">
        <v>100</v>
      </c>
      <c r="C3353" s="216" t="n">
        <v>86.8</v>
      </c>
      <c r="D3353" s="216" t="n">
        <v>1.16893994808197</v>
      </c>
      <c r="E3353" s="215" t="n">
        <v>46279</v>
      </c>
      <c r="F3353" s="215" t="n">
        <v>46279</v>
      </c>
    </row>
    <row r="3354">
      <c r="A3354" s="215" t="n">
        <v>46280</v>
      </c>
      <c r="B3354" s="216" t="n">
        <v>99.7</v>
      </c>
      <c r="C3354" s="216" t="n">
        <v>87.23</v>
      </c>
      <c r="D3354" s="216" t="n">
        <v>1.169121026992798</v>
      </c>
      <c r="E3354" s="215" t="n">
        <v>46280</v>
      </c>
      <c r="F3354" s="215" t="n">
        <v>46280</v>
      </c>
    </row>
    <row r="3355">
      <c r="A3355" s="215" t="n">
        <v>46281</v>
      </c>
      <c r="B3355" s="216" t="n">
        <v>98.65000000000001</v>
      </c>
      <c r="C3355" s="216" t="n">
        <v>85</v>
      </c>
      <c r="D3355" s="216" t="n">
        <v>1.168769955635071</v>
      </c>
      <c r="E3355" s="215" t="n">
        <v>46281</v>
      </c>
      <c r="F3355" s="215" t="n">
        <v>46281</v>
      </c>
    </row>
    <row r="3356">
      <c r="A3356" s="215" t="n">
        <v>46282</v>
      </c>
      <c r="B3356" s="216" t="n">
        <v>99.2</v>
      </c>
      <c r="C3356" s="216" t="n">
        <v>85.04000000000001</v>
      </c>
      <c r="D3356" s="216" t="n">
        <v>1.169389963150024</v>
      </c>
      <c r="E3356" s="215" t="n">
        <v>46282</v>
      </c>
      <c r="F3356" s="215" t="n">
        <v>46282</v>
      </c>
    </row>
    <row r="3357">
      <c r="A3357" s="215" t="n">
        <v>46283</v>
      </c>
      <c r="B3357" s="216" t="n">
        <v>99.3</v>
      </c>
      <c r="C3357" s="216" t="n">
        <v>84.40000000000001</v>
      </c>
      <c r="D3357" s="216" t="n">
        <v>1.16942298412323</v>
      </c>
      <c r="E3357" s="215" t="n">
        <v>46283</v>
      </c>
      <c r="F3357" s="215" t="n">
        <v>46283</v>
      </c>
    </row>
    <row r="3358">
      <c r="A3358" s="215" t="n">
        <v>46286</v>
      </c>
      <c r="B3358" s="216" t="n">
        <v>95.8</v>
      </c>
      <c r="C3358" s="216" t="n">
        <v>80.90000000000001</v>
      </c>
      <c r="D3358" s="216" t="n">
        <v>1.171280026435852</v>
      </c>
      <c r="E3358" s="215" t="n">
        <v>46286</v>
      </c>
      <c r="F3358" s="215" t="n">
        <v>46286</v>
      </c>
    </row>
    <row r="3359">
      <c r="A3359" s="215" t="n">
        <v>46287</v>
      </c>
      <c r="B3359" s="216" t="n">
        <v>96.25</v>
      </c>
      <c r="C3359" s="216" t="n">
        <v>82.54000000000001</v>
      </c>
      <c r="D3359" s="216" t="n">
        <v>1.171705007553101</v>
      </c>
      <c r="E3359" s="215" t="n">
        <v>46287</v>
      </c>
      <c r="F3359" s="215" t="n">
        <v>46287</v>
      </c>
    </row>
    <row r="3360">
      <c r="A3360" s="215" t="n">
        <v>46288</v>
      </c>
      <c r="B3360" s="216" t="n">
        <v>96.40000000000001</v>
      </c>
      <c r="C3360" s="216" t="n">
        <v>82.47</v>
      </c>
      <c r="D3360" s="216" t="n">
        <v>1.170611023902893</v>
      </c>
      <c r="E3360" s="215" t="n">
        <v>46288</v>
      </c>
      <c r="F3360" s="215" t="n">
        <v>46288</v>
      </c>
    </row>
    <row r="3361">
      <c r="A3361" s="215" t="n">
        <v>46289</v>
      </c>
      <c r="B3361" s="216" t="n">
        <v>96.65000000000001</v>
      </c>
      <c r="C3361" s="216" t="n">
        <v>82.65000000000001</v>
      </c>
      <c r="D3361" s="216" t="n">
        <v>1.16852605342865</v>
      </c>
      <c r="E3361" s="215" t="n">
        <v>46289</v>
      </c>
      <c r="F3361" s="215" t="n">
        <v>46289</v>
      </c>
    </row>
    <row r="3362">
      <c r="A3362" s="215" t="n">
        <v>46290</v>
      </c>
      <c r="B3362" s="216" t="n">
        <v>95.34999999999999</v>
      </c>
      <c r="C3362" s="216" t="n">
        <v>82.65000000000001</v>
      </c>
      <c r="D3362" s="216" t="n">
        <v>1.168424010276794</v>
      </c>
      <c r="E3362" s="215" t="n">
        <v>46289</v>
      </c>
      <c r="F3362" s="215" t="n">
        <v>46290</v>
      </c>
    </row>
    <row r="3363">
      <c r="A3363" s="215" t="n">
        <v>46293</v>
      </c>
      <c r="B3363" s="216" t="n">
        <v>95.3</v>
      </c>
      <c r="C3363" s="216" t="n">
        <v>82</v>
      </c>
      <c r="D3363" s="216" t="n">
        <v>1.168378949165344</v>
      </c>
      <c r="E3363" s="215" t="n">
        <v>46293</v>
      </c>
      <c r="F3363" s="215" t="n">
        <v>46293</v>
      </c>
    </row>
    <row r="3364">
      <c r="A3364" s="215" t="n">
        <v>46294</v>
      </c>
      <c r="B3364" s="216" t="n">
        <v>94.84999999999999</v>
      </c>
      <c r="C3364" s="216" t="n">
        <v>81.66</v>
      </c>
      <c r="D3364" s="216" t="n">
        <v>1.168815970420837</v>
      </c>
      <c r="E3364" s="215" t="n">
        <v>46294</v>
      </c>
      <c r="F3364" s="215" t="n">
        <v>46294</v>
      </c>
    </row>
    <row r="3365">
      <c r="A3365" s="215" t="n">
        <v>46295</v>
      </c>
      <c r="B3365" s="216" t="n">
        <v>91.8</v>
      </c>
      <c r="C3365" s="216" t="n">
        <v>80.09999999999999</v>
      </c>
      <c r="D3365" s="216" t="n">
        <v>1.17059600353241</v>
      </c>
      <c r="E3365" s="215" t="n">
        <v>46295</v>
      </c>
      <c r="F3365" s="215" t="n">
        <v>46295</v>
      </c>
    </row>
    <row r="3366">
      <c r="A3366" s="215" t="n">
        <v>46297</v>
      </c>
      <c r="B3366" s="216" t="n">
        <v>91.15000000000001</v>
      </c>
      <c r="C3366" s="216" t="n">
        <v>80.09999999999999</v>
      </c>
      <c r="D3366" s="216" t="n">
        <v>1.170220971107483</v>
      </c>
      <c r="E3366" s="215" t="n">
        <v>46295</v>
      </c>
      <c r="F3366" s="215" t="n">
        <v>46297</v>
      </c>
    </row>
    <row r="3367">
      <c r="A3367" s="215" t="n">
        <v>46062</v>
      </c>
      <c r="B3367" s="216" t="n">
        <v>175</v>
      </c>
      <c r="C3367" s="216" t="n">
        <v>173.45</v>
      </c>
      <c r="D3367" s="216" t="n">
        <v>1.125753998756409</v>
      </c>
      <c r="E3367" s="215" t="n">
        <v>46062</v>
      </c>
      <c r="F3367" s="215" t="n">
        <v>46062</v>
      </c>
    </row>
    <row r="3368">
      <c r="A3368" s="215" t="n">
        <v>46063</v>
      </c>
      <c r="B3368" s="216" t="n">
        <v>178</v>
      </c>
      <c r="C3368" s="216" t="n">
        <v>177.5</v>
      </c>
      <c r="D3368" s="216" t="n">
        <v>1.129003047943115</v>
      </c>
      <c r="E3368" s="215" t="n">
        <v>46063</v>
      </c>
      <c r="F3368" s="215" t="n">
        <v>46063</v>
      </c>
    </row>
    <row r="3369">
      <c r="A3369" s="215" t="n">
        <v>46064</v>
      </c>
      <c r="B3369" s="216" t="n">
        <v>172.7</v>
      </c>
      <c r="C3369" s="216" t="n">
        <v>169.9</v>
      </c>
      <c r="D3369" s="216" t="n">
        <v>1.130962014198303</v>
      </c>
      <c r="E3369" s="215" t="n">
        <v>46064</v>
      </c>
      <c r="F3369" s="215" t="n">
        <v>46064</v>
      </c>
    </row>
    <row r="3370">
      <c r="A3370" s="215" t="n">
        <v>46065</v>
      </c>
      <c r="B3370" s="216" t="n">
        <v>182.3</v>
      </c>
      <c r="C3370" s="216" t="n">
        <v>168.11</v>
      </c>
      <c r="D3370" s="216" t="n">
        <v>1.130671977996826</v>
      </c>
      <c r="E3370" s="215" t="n">
        <v>46065</v>
      </c>
      <c r="F3370" s="215" t="n">
        <v>46065</v>
      </c>
    </row>
    <row r="3371">
      <c r="A3371" s="215" t="n">
        <v>46066</v>
      </c>
      <c r="B3371" s="216" t="n">
        <v>185</v>
      </c>
      <c r="C3371" s="216" t="n">
        <v>164.6</v>
      </c>
      <c r="D3371" s="216" t="n">
        <v>1.132490992546082</v>
      </c>
      <c r="E3371" s="215" t="n">
        <v>46066</v>
      </c>
      <c r="F3371" s="215" t="n">
        <v>46066</v>
      </c>
    </row>
    <row r="3372">
      <c r="A3372" s="215" t="n">
        <v>46069</v>
      </c>
      <c r="B3372" s="216" t="n">
        <v>211</v>
      </c>
      <c r="C3372" s="216" t="n">
        <v>164.6</v>
      </c>
      <c r="D3372" s="216" t="n">
        <v>1.131224036216736</v>
      </c>
      <c r="E3372" s="215" t="n">
        <v>46066</v>
      </c>
      <c r="F3372" s="215" t="n">
        <v>46069</v>
      </c>
    </row>
    <row r="3373">
      <c r="A3373" s="215" t="n">
        <v>46073</v>
      </c>
      <c r="B3373" s="216" t="n">
        <v>212</v>
      </c>
      <c r="C3373" s="216" t="n">
        <v>164.6</v>
      </c>
      <c r="D3373" s="216" t="n">
        <v>1.131005048751831</v>
      </c>
      <c r="E3373" s="215" t="n">
        <v>46066</v>
      </c>
      <c r="F3373" s="215" t="n">
        <v>46073</v>
      </c>
    </row>
    <row r="3374">
      <c r="A3374" s="215" t="n">
        <v>46076</v>
      </c>
      <c r="B3374" s="216" t="n">
        <v>197.1</v>
      </c>
      <c r="C3374" s="216" t="n">
        <v>164.6</v>
      </c>
      <c r="D3374" s="216" t="n">
        <v>1.130877017974854</v>
      </c>
      <c r="E3374" s="215" t="n">
        <v>46066</v>
      </c>
      <c r="F3374" s="215" t="n">
        <v>46076</v>
      </c>
    </row>
    <row r="3375">
      <c r="A3375" s="215" t="n">
        <v>46077</v>
      </c>
      <c r="B3375" s="216" t="n">
        <v>206.8</v>
      </c>
      <c r="C3375" s="216" t="n">
        <v>174.61</v>
      </c>
      <c r="D3375" s="216" t="n">
        <v>1.131631016731262</v>
      </c>
      <c r="E3375" s="215" t="n">
        <v>46077</v>
      </c>
      <c r="F3375" s="215" t="n">
        <v>46077</v>
      </c>
    </row>
    <row r="3376">
      <c r="A3376" s="215" t="n">
        <v>46078</v>
      </c>
      <c r="B3376" s="216" t="n">
        <v>192.1</v>
      </c>
      <c r="C3376" s="216" t="n">
        <v>167.74</v>
      </c>
      <c r="D3376" s="216" t="n">
        <v>1.136234045028687</v>
      </c>
      <c r="E3376" s="215" t="n">
        <v>46078</v>
      </c>
      <c r="F3376" s="215" t="n">
        <v>46078</v>
      </c>
    </row>
    <row r="3377">
      <c r="A3377" s="215" t="n">
        <v>46079</v>
      </c>
      <c r="B3377" s="216" t="n">
        <v>188</v>
      </c>
      <c r="C3377" s="216" t="n">
        <v>165.12</v>
      </c>
      <c r="D3377" s="216" t="n">
        <v>1.138198971748352</v>
      </c>
      <c r="E3377" s="215" t="n">
        <v>46079</v>
      </c>
      <c r="F3377" s="215" t="n">
        <v>46079</v>
      </c>
    </row>
    <row r="3378">
      <c r="A3378" s="215" t="n">
        <v>46080</v>
      </c>
      <c r="B3378" s="216" t="n">
        <v>179.2</v>
      </c>
      <c r="C3378" s="216" t="n">
        <v>163.55</v>
      </c>
      <c r="D3378" s="216" t="n">
        <v>1.143396973609924</v>
      </c>
      <c r="E3378" s="215" t="n">
        <v>46080</v>
      </c>
      <c r="F3378" s="215" t="n">
        <v>46080</v>
      </c>
    </row>
    <row r="3379">
      <c r="A3379" s="215" t="n">
        <v>46083</v>
      </c>
      <c r="B3379" s="216" t="n">
        <v>177</v>
      </c>
      <c r="C3379" s="216" t="n">
        <v>159.44</v>
      </c>
      <c r="D3379" s="216" t="n">
        <v>1.140552043914795</v>
      </c>
      <c r="E3379" s="215" t="n">
        <v>46083</v>
      </c>
      <c r="F3379" s="215" t="n">
        <v>46083</v>
      </c>
    </row>
    <row r="3380">
      <c r="A3380" s="215" t="n">
        <v>46084</v>
      </c>
      <c r="B3380" s="216" t="n">
        <v>166</v>
      </c>
      <c r="C3380" s="216" t="n">
        <v>147.89</v>
      </c>
      <c r="D3380" s="216" t="n">
        <v>1.136399984359741</v>
      </c>
      <c r="E3380" s="215" t="n">
        <v>46084</v>
      </c>
      <c r="F3380" s="215" t="n">
        <v>46084</v>
      </c>
    </row>
    <row r="3381">
      <c r="A3381" s="215" t="n">
        <v>46085</v>
      </c>
      <c r="B3381" s="216" t="n">
        <v>167.2</v>
      </c>
      <c r="C3381" s="216" t="n">
        <v>150.31</v>
      </c>
      <c r="D3381" s="216" t="n">
        <v>1.130928993225098</v>
      </c>
      <c r="E3381" s="215" t="n">
        <v>46085</v>
      </c>
      <c r="F3381" s="215" t="n">
        <v>46085</v>
      </c>
    </row>
    <row r="3382">
      <c r="A3382" s="215" t="n">
        <v>46086</v>
      </c>
      <c r="B3382" s="216" t="n">
        <v>173.8</v>
      </c>
      <c r="C3382" s="216" t="n">
        <v>152.63</v>
      </c>
      <c r="D3382" s="216" t="n">
        <v>1.133169054985046</v>
      </c>
      <c r="E3382" s="215" t="n">
        <v>46086</v>
      </c>
      <c r="F3382" s="215" t="n">
        <v>46086</v>
      </c>
    </row>
    <row r="3383">
      <c r="A3383" s="215" t="n">
        <v>46087</v>
      </c>
      <c r="B3383" s="216" t="n">
        <v>170</v>
      </c>
      <c r="C3383" s="216" t="n">
        <v>151.61</v>
      </c>
      <c r="D3383" s="216" t="n">
        <v>1.133442044258118</v>
      </c>
      <c r="E3383" s="215" t="n">
        <v>46087</v>
      </c>
      <c r="F3383" s="215" t="n">
        <v>46087</v>
      </c>
    </row>
    <row r="3384">
      <c r="A3384" s="215" t="n">
        <v>46090</v>
      </c>
      <c r="B3384" s="216" t="n">
        <v>165.9</v>
      </c>
      <c r="C3384" s="216" t="n">
        <v>148.18</v>
      </c>
      <c r="D3384" s="216" t="n">
        <v>1.133231043815613</v>
      </c>
      <c r="E3384" s="215" t="n">
        <v>46090</v>
      </c>
      <c r="F3384" s="215" t="n">
        <v>46090</v>
      </c>
    </row>
    <row r="3385">
      <c r="A3385" s="215" t="n">
        <v>46091</v>
      </c>
      <c r="B3385" s="216" t="n">
        <v>183.9</v>
      </c>
      <c r="C3385" s="216" t="n">
        <v>152.98</v>
      </c>
      <c r="D3385" s="216" t="n">
        <v>1.131595015525818</v>
      </c>
      <c r="E3385" s="215" t="n">
        <v>46091</v>
      </c>
      <c r="F3385" s="215" t="n">
        <v>46091</v>
      </c>
    </row>
    <row r="3386">
      <c r="A3386" s="215" t="n">
        <v>46092</v>
      </c>
      <c r="B3386" s="216" t="n">
        <v>178.9</v>
      </c>
      <c r="C3386" s="216" t="n">
        <v>149.8</v>
      </c>
      <c r="D3386" s="216" t="n">
        <v>1.137585043907166</v>
      </c>
      <c r="E3386" s="215" t="n">
        <v>46092</v>
      </c>
      <c r="F3386" s="215" t="n">
        <v>46092</v>
      </c>
    </row>
    <row r="3387">
      <c r="A3387" s="215" t="n">
        <v>46093</v>
      </c>
      <c r="B3387" s="216" t="n">
        <v>185.5</v>
      </c>
      <c r="C3387" s="216" t="n">
        <v>147.85</v>
      </c>
      <c r="D3387" s="216" t="n">
        <v>1.139600038528442</v>
      </c>
      <c r="E3387" s="215" t="n">
        <v>46093</v>
      </c>
      <c r="F3387" s="215" t="n">
        <v>46093</v>
      </c>
    </row>
    <row r="3388">
      <c r="A3388" s="215" t="n">
        <v>46094</v>
      </c>
      <c r="B3388" s="216" t="n">
        <v>175.5</v>
      </c>
      <c r="C3388" s="216" t="n">
        <v>146.5</v>
      </c>
      <c r="D3388" s="216" t="n">
        <v>1.139310002326965</v>
      </c>
      <c r="E3388" s="215" t="n">
        <v>46094</v>
      </c>
      <c r="F3388" s="215" t="n">
        <v>46094</v>
      </c>
    </row>
    <row r="3389">
      <c r="A3389" s="215" t="n">
        <v>46097</v>
      </c>
      <c r="B3389" s="216" t="n">
        <v>189.5</v>
      </c>
      <c r="C3389" s="216" t="n">
        <v>152.5</v>
      </c>
      <c r="D3389" s="216" t="n">
        <v>1.134883999824524</v>
      </c>
      <c r="E3389" s="215" t="n">
        <v>46097</v>
      </c>
      <c r="F3389" s="215" t="n">
        <v>46097</v>
      </c>
    </row>
    <row r="3390">
      <c r="A3390" s="215" t="n">
        <v>46098</v>
      </c>
      <c r="B3390" s="216" t="n">
        <v>179.3</v>
      </c>
      <c r="C3390" s="216" t="n">
        <v>146.59</v>
      </c>
      <c r="D3390" s="216" t="n">
        <v>1.125375986099243</v>
      </c>
      <c r="E3390" s="215" t="n">
        <v>46098</v>
      </c>
      <c r="F3390" s="215" t="n">
        <v>46098</v>
      </c>
    </row>
    <row r="3391">
      <c r="A3391" s="215" t="n">
        <v>46099</v>
      </c>
      <c r="B3391" s="216" t="n">
        <v>194.7</v>
      </c>
      <c r="C3391" s="216" t="n">
        <v>153.62</v>
      </c>
      <c r="D3391" s="216" t="n">
        <v>1.137819051742554</v>
      </c>
      <c r="E3391" s="215" t="n">
        <v>46099</v>
      </c>
      <c r="F3391" s="215" t="n">
        <v>46099</v>
      </c>
    </row>
    <row r="3392">
      <c r="A3392" s="215" t="n">
        <v>46100</v>
      </c>
      <c r="B3392" s="216" t="n">
        <v>195.4</v>
      </c>
      <c r="C3392" s="216" t="n">
        <v>149.68</v>
      </c>
      <c r="D3392" s="216" t="n">
        <v>1.140079021453857</v>
      </c>
      <c r="E3392" s="215" t="n">
        <v>46100</v>
      </c>
      <c r="F3392" s="215" t="n">
        <v>46100</v>
      </c>
    </row>
    <row r="3393">
      <c r="A3393" s="215" t="n">
        <v>46101</v>
      </c>
      <c r="B3393" s="216" t="n">
        <v>188.7</v>
      </c>
      <c r="C3393" s="216" t="n">
        <v>144.9</v>
      </c>
      <c r="D3393" s="216" t="n">
        <v>1.13490903377533</v>
      </c>
      <c r="E3393" s="215" t="n">
        <v>46101</v>
      </c>
      <c r="F3393" s="215" t="n">
        <v>46101</v>
      </c>
    </row>
    <row r="3394">
      <c r="A3394" s="215" t="n">
        <v>46104</v>
      </c>
      <c r="B3394" s="216" t="n">
        <v>172.9</v>
      </c>
      <c r="C3394" s="216" t="n">
        <v>136.8</v>
      </c>
      <c r="D3394" s="216" t="n">
        <v>1.137529969215393</v>
      </c>
      <c r="E3394" s="215" t="n">
        <v>46104</v>
      </c>
      <c r="F3394" s="215" t="n">
        <v>46104</v>
      </c>
    </row>
    <row r="3395">
      <c r="A3395" s="215" t="n">
        <v>46105</v>
      </c>
      <c r="B3395" s="216" t="n">
        <v>174</v>
      </c>
      <c r="C3395" s="216" t="n">
        <v>137.57</v>
      </c>
      <c r="D3395" s="216" t="n">
        <v>1.138481974601746</v>
      </c>
      <c r="E3395" s="215" t="n">
        <v>46105</v>
      </c>
      <c r="F3395" s="215" t="n">
        <v>46105</v>
      </c>
    </row>
    <row r="3396">
      <c r="A3396" s="215" t="n">
        <v>46106</v>
      </c>
      <c r="B3396" s="216" t="n">
        <v>182</v>
      </c>
      <c r="C3396" s="216" t="n">
        <v>142</v>
      </c>
      <c r="D3396" s="216" t="n">
        <v>1.135548949241638</v>
      </c>
      <c r="E3396" s="215" t="n">
        <v>46106</v>
      </c>
      <c r="F3396" s="215" t="n">
        <v>46106</v>
      </c>
    </row>
    <row r="3397">
      <c r="A3397" s="215" t="n">
        <v>46107</v>
      </c>
      <c r="B3397" s="216" t="n">
        <v>181</v>
      </c>
      <c r="C3397" s="216" t="n">
        <v>136.99</v>
      </c>
      <c r="D3397" s="216" t="n">
        <v>1.132627010345459</v>
      </c>
      <c r="E3397" s="215" t="n">
        <v>46107</v>
      </c>
      <c r="F3397" s="215" t="n">
        <v>46107</v>
      </c>
    </row>
    <row r="3398">
      <c r="A3398" s="215" t="n">
        <v>46108</v>
      </c>
      <c r="B3398" s="216" t="n">
        <v>177.3</v>
      </c>
      <c r="C3398" s="216" t="n">
        <v>135.1</v>
      </c>
      <c r="D3398" s="216" t="n">
        <v>1.132115960121155</v>
      </c>
      <c r="E3398" s="215" t="n">
        <v>46108</v>
      </c>
      <c r="F3398" s="215" t="n">
        <v>46108</v>
      </c>
    </row>
    <row r="3399">
      <c r="A3399" s="215" t="n">
        <v>46111</v>
      </c>
      <c r="B3399" s="216" t="n">
        <v>165.1</v>
      </c>
      <c r="C3399" s="216" t="n">
        <v>132</v>
      </c>
      <c r="D3399" s="216" t="n">
        <v>1.13311505317688</v>
      </c>
      <c r="E3399" s="215" t="n">
        <v>46111</v>
      </c>
      <c r="F3399" s="215" t="n">
        <v>46111</v>
      </c>
    </row>
    <row r="3400">
      <c r="A3400" s="215" t="n">
        <v>46112</v>
      </c>
      <c r="B3400" s="216" t="n">
        <v>154</v>
      </c>
      <c r="C3400" s="216" t="n">
        <v>125.28</v>
      </c>
      <c r="D3400" s="216" t="n">
        <v>1.133540987968445</v>
      </c>
      <c r="E3400" s="215" t="n">
        <v>46112</v>
      </c>
      <c r="F3400" s="215" t="n">
        <v>46112</v>
      </c>
    </row>
    <row r="3401">
      <c r="A3401" s="215" t="n">
        <v>46113</v>
      </c>
      <c r="B3401" s="216" t="n">
        <v>171</v>
      </c>
      <c r="C3401" s="216" t="n">
        <v>129.97</v>
      </c>
      <c r="D3401" s="216" t="n">
        <v>1.136669993400574</v>
      </c>
      <c r="E3401" s="215" t="n">
        <v>46113</v>
      </c>
      <c r="F3401" s="215" t="n">
        <v>46113</v>
      </c>
    </row>
    <row r="3402">
      <c r="A3402" s="215" t="n">
        <v>46114</v>
      </c>
      <c r="B3402" s="216" t="n">
        <v>175</v>
      </c>
      <c r="C3402" s="216" t="n">
        <v>129</v>
      </c>
      <c r="D3402" s="216" t="n">
        <v>1.140197992324829</v>
      </c>
      <c r="E3402" s="215" t="n">
        <v>46114</v>
      </c>
      <c r="F3402" s="215" t="n">
        <v>46114</v>
      </c>
    </row>
    <row r="3403">
      <c r="A3403" s="215" t="n">
        <v>46120</v>
      </c>
      <c r="B3403" s="216" t="n">
        <v>200</v>
      </c>
      <c r="C3403" s="216" t="n">
        <v>139.21</v>
      </c>
      <c r="D3403" s="216" t="n">
        <v>1.1423499584198</v>
      </c>
      <c r="E3403" s="215" t="n">
        <v>46120</v>
      </c>
      <c r="F3403" s="215" t="n">
        <v>46120</v>
      </c>
    </row>
    <row r="3404">
      <c r="A3404" s="215" t="n">
        <v>46121</v>
      </c>
      <c r="B3404" s="216" t="n">
        <v>194.8</v>
      </c>
      <c r="C3404" s="216" t="n">
        <v>139.17</v>
      </c>
      <c r="D3404" s="216" t="n">
        <v>1.146731972694397</v>
      </c>
      <c r="E3404" s="215" t="n">
        <v>46121</v>
      </c>
      <c r="F3404" s="215" t="n">
        <v>46121</v>
      </c>
    </row>
    <row r="3405">
      <c r="A3405" s="215" t="n">
        <v>46122</v>
      </c>
      <c r="B3405" s="216" t="n">
        <v>199.4</v>
      </c>
      <c r="C3405" s="216" t="n">
        <v>143.53</v>
      </c>
      <c r="D3405" s="216" t="n">
        <v>1.146558046340942</v>
      </c>
      <c r="E3405" s="215" t="n">
        <v>46122</v>
      </c>
      <c r="F3405" s="215" t="n">
        <v>46122</v>
      </c>
    </row>
    <row r="3406">
      <c r="A3406" s="215" t="n">
        <v>46125</v>
      </c>
      <c r="B3406" s="216" t="n">
        <v>213</v>
      </c>
      <c r="C3406" s="216" t="n">
        <v>152.3</v>
      </c>
      <c r="D3406" s="216" t="n">
        <v>1.147117972373962</v>
      </c>
      <c r="E3406" s="215" t="n">
        <v>46125</v>
      </c>
      <c r="F3406" s="215" t="n">
        <v>46125</v>
      </c>
    </row>
    <row r="3407">
      <c r="A3407" s="215" t="n">
        <v>46126</v>
      </c>
      <c r="B3407" s="216" t="n">
        <v>209.8</v>
      </c>
      <c r="C3407" s="216" t="n">
        <v>153.36</v>
      </c>
      <c r="D3407" s="216" t="n">
        <v>1.146226048469543</v>
      </c>
      <c r="E3407" s="215" t="n">
        <v>46126</v>
      </c>
      <c r="F3407" s="215" t="n">
        <v>46126</v>
      </c>
    </row>
    <row r="3408">
      <c r="A3408" s="215" t="n">
        <v>46127</v>
      </c>
      <c r="B3408" s="216" t="n">
        <v>202.4</v>
      </c>
      <c r="C3408" s="216" t="n">
        <v>147.18</v>
      </c>
      <c r="D3408" s="216" t="n">
        <v>1.149266004562378</v>
      </c>
      <c r="E3408" s="215" t="n">
        <v>46127</v>
      </c>
      <c r="F3408" s="215" t="n">
        <v>46127</v>
      </c>
    </row>
    <row r="3409">
      <c r="A3409" s="215" t="n">
        <v>46128</v>
      </c>
      <c r="B3409" s="216" t="n">
        <v>218.6</v>
      </c>
      <c r="C3409" s="216" t="n">
        <v>151</v>
      </c>
      <c r="D3409" s="216" t="n">
        <v>1.148550033569336</v>
      </c>
      <c r="E3409" s="215" t="n">
        <v>46128</v>
      </c>
      <c r="F3409" s="215" t="n">
        <v>46128</v>
      </c>
    </row>
    <row r="3410">
      <c r="A3410" s="215" t="n">
        <v>46129</v>
      </c>
      <c r="B3410" s="216" t="n">
        <v>209.4</v>
      </c>
      <c r="C3410" s="216" t="n">
        <v>150.78</v>
      </c>
      <c r="D3410" s="216" t="n">
        <v>1.146605014801025</v>
      </c>
      <c r="E3410" s="215" t="n">
        <v>46129</v>
      </c>
      <c r="F3410" s="215" t="n">
        <v>46129</v>
      </c>
    </row>
    <row r="3411">
      <c r="A3411" s="215" t="n">
        <v>46132</v>
      </c>
      <c r="B3411" s="216" t="n">
        <v>205</v>
      </c>
      <c r="C3411" s="216" t="n">
        <v>154.66</v>
      </c>
      <c r="D3411" s="216" t="n">
        <v>1.148360967636108</v>
      </c>
      <c r="E3411" s="215" t="n">
        <v>46132</v>
      </c>
      <c r="F3411" s="215" t="n">
        <v>46132</v>
      </c>
    </row>
    <row r="3412">
      <c r="A3412" s="215" t="n">
        <v>46133</v>
      </c>
      <c r="B3412" s="216" t="n">
        <v>207.2</v>
      </c>
      <c r="C3412" s="216" t="n">
        <v>158.4</v>
      </c>
      <c r="D3412" s="216" t="n">
        <v>1.148368000984192</v>
      </c>
      <c r="E3412" s="215" t="n">
        <v>46133</v>
      </c>
      <c r="F3412" s="215" t="n">
        <v>46133</v>
      </c>
    </row>
    <row r="3413">
      <c r="A3413" s="215" t="n">
        <v>46134</v>
      </c>
      <c r="B3413" s="216" t="n">
        <v>224.4</v>
      </c>
      <c r="C3413" s="216" t="n">
        <v>163.35</v>
      </c>
      <c r="D3413" s="216" t="n">
        <v>1.147838950157166</v>
      </c>
      <c r="E3413" s="215" t="n">
        <v>46134</v>
      </c>
      <c r="F3413" s="215" t="n">
        <v>46134</v>
      </c>
    </row>
    <row r="3414">
      <c r="A3414" s="215" t="n">
        <v>46135</v>
      </c>
      <c r="B3414" s="216" t="n">
        <v>229.6</v>
      </c>
      <c r="C3414" s="216" t="n">
        <v>159.7</v>
      </c>
      <c r="D3414" s="216" t="n">
        <v>1.147513031959534</v>
      </c>
      <c r="E3414" s="215" t="n">
        <v>46135</v>
      </c>
      <c r="F3414" s="215" t="n">
        <v>46135</v>
      </c>
    </row>
    <row r="3415">
      <c r="A3415" s="215" t="n">
        <v>46136</v>
      </c>
      <c r="B3415" s="216" t="n">
        <v>227.8</v>
      </c>
      <c r="C3415" s="216" t="n">
        <v>163.5</v>
      </c>
      <c r="D3415" s="216" t="n">
        <v>1.147369027137756</v>
      </c>
      <c r="E3415" s="215" t="n">
        <v>46136</v>
      </c>
      <c r="F3415" s="215" t="n">
        <v>46136</v>
      </c>
    </row>
    <row r="3416">
      <c r="A3416" s="215" t="n">
        <v>46139</v>
      </c>
      <c r="B3416" s="216" t="n">
        <v>259.2</v>
      </c>
      <c r="C3416" s="216" t="n">
        <v>178.09</v>
      </c>
      <c r="D3416" s="216" t="n">
        <v>1.146002054214478</v>
      </c>
      <c r="E3416" s="215" t="n">
        <v>46139</v>
      </c>
      <c r="F3416" s="215" t="n">
        <v>46139</v>
      </c>
    </row>
    <row r="3417">
      <c r="A3417" s="215" t="n">
        <v>46140</v>
      </c>
      <c r="B3417" s="216" t="n">
        <v>264.8</v>
      </c>
      <c r="C3417" s="216" t="n">
        <v>173.61</v>
      </c>
      <c r="D3417" s="216" t="n">
        <v>1.148522019386292</v>
      </c>
      <c r="E3417" s="215" t="n">
        <v>46140</v>
      </c>
      <c r="F3417" s="215" t="n">
        <v>46140</v>
      </c>
    </row>
    <row r="3418">
      <c r="A3418" s="215" t="n">
        <v>46141</v>
      </c>
      <c r="B3418" s="216" t="n">
        <v>254.8</v>
      </c>
      <c r="C3418" s="216" t="n">
        <v>169.9</v>
      </c>
      <c r="D3418" s="216" t="n">
        <v>1.145936012268066</v>
      </c>
      <c r="E3418" s="215" t="n">
        <v>46141</v>
      </c>
      <c r="F3418" s="215" t="n">
        <v>46141</v>
      </c>
    </row>
    <row r="3419">
      <c r="A3419" s="215" t="n">
        <v>46142</v>
      </c>
      <c r="B3419" s="216" t="n">
        <v>261.8</v>
      </c>
      <c r="C3419" s="216" t="n">
        <v>173.3</v>
      </c>
      <c r="D3419" s="216" t="n">
        <v>1.145792007446289</v>
      </c>
      <c r="E3419" s="215" t="n">
        <v>46142</v>
      </c>
      <c r="F3419" s="215" t="n">
        <v>46142</v>
      </c>
    </row>
    <row r="3420">
      <c r="A3420" s="215" t="n">
        <v>46146</v>
      </c>
      <c r="B3420" s="216" t="n">
        <v>270.4</v>
      </c>
      <c r="C3420" s="216" t="n">
        <v>173.3</v>
      </c>
      <c r="D3420" s="216" t="n">
        <v>1.147340059280396</v>
      </c>
      <c r="E3420" s="215" t="n">
        <v>46142</v>
      </c>
      <c r="F3420" s="215" t="n">
        <v>46146</v>
      </c>
    </row>
    <row r="3421">
      <c r="A3421" s="215" t="n">
        <v>46147</v>
      </c>
      <c r="B3421" s="216" t="n">
        <v>275.4</v>
      </c>
      <c r="C3421" s="216" t="n">
        <v>173.3</v>
      </c>
      <c r="D3421" s="216" t="n">
        <v>1.146813988685608</v>
      </c>
      <c r="E3421" s="215" t="n">
        <v>46142</v>
      </c>
      <c r="F3421" s="215" t="n">
        <v>46147</v>
      </c>
    </row>
    <row r="3422">
      <c r="A3422" s="215" t="n">
        <v>46148</v>
      </c>
      <c r="B3422" s="216" t="n">
        <v>321.6</v>
      </c>
      <c r="C3422" s="216" t="n">
        <v>198.98</v>
      </c>
      <c r="D3422" s="216" t="n">
        <v>1.14708399772644</v>
      </c>
      <c r="E3422" s="215" t="n">
        <v>46148</v>
      </c>
      <c r="F3422" s="215" t="n">
        <v>46148</v>
      </c>
    </row>
    <row r="3423">
      <c r="A3423" s="215" t="n">
        <v>46149</v>
      </c>
      <c r="B3423" s="216" t="n">
        <v>357.6</v>
      </c>
      <c r="C3423" s="216" t="n">
        <v>209.91</v>
      </c>
      <c r="D3423" s="216" t="n">
        <v>1.150125026702881</v>
      </c>
      <c r="E3423" s="215" t="n">
        <v>46149</v>
      </c>
      <c r="F3423" s="215" t="n">
        <v>46149</v>
      </c>
    </row>
    <row r="3424">
      <c r="A3424" s="215" t="n">
        <v>46150</v>
      </c>
      <c r="B3424" s="216" t="n">
        <v>375.6</v>
      </c>
      <c r="C3424" s="216" t="n">
        <v>210.27</v>
      </c>
      <c r="D3424" s="216" t="n">
        <v>1.15172004699707</v>
      </c>
      <c r="E3424" s="215" t="n">
        <v>46150</v>
      </c>
      <c r="F3424" s="215" t="n">
        <v>46150</v>
      </c>
    </row>
    <row r="3425">
      <c r="A3425" s="215" t="n">
        <v>46153</v>
      </c>
      <c r="B3425" s="216" t="n">
        <v>418.6</v>
      </c>
      <c r="C3425" s="216" t="n">
        <v>249.22</v>
      </c>
      <c r="D3425" s="216" t="n">
        <v>1.151090025901794</v>
      </c>
      <c r="E3425" s="215" t="n">
        <v>46153</v>
      </c>
      <c r="F3425" s="215" t="n">
        <v>46153</v>
      </c>
    </row>
    <row r="3426">
      <c r="A3426" s="215" t="n">
        <v>46154</v>
      </c>
      <c r="B3426" s="216" t="n">
        <v>413</v>
      </c>
      <c r="C3426" s="216" t="n">
        <v>240.7</v>
      </c>
      <c r="D3426" s="216" t="n">
        <v>1.152078986167908</v>
      </c>
      <c r="E3426" s="215" t="n">
        <v>46154</v>
      </c>
      <c r="F3426" s="215" t="n">
        <v>46154</v>
      </c>
    </row>
    <row r="3427">
      <c r="A3427" s="215" t="n">
        <v>46155</v>
      </c>
      <c r="B3427" s="216" t="n">
        <v>501</v>
      </c>
      <c r="C3427" s="216" t="n">
        <v>258.8</v>
      </c>
      <c r="D3427" s="216" t="n">
        <v>1.152537941932678</v>
      </c>
      <c r="E3427" s="215" t="n">
        <v>46155</v>
      </c>
      <c r="F3427" s="215" t="n">
        <v>46155</v>
      </c>
    </row>
    <row r="3428">
      <c r="A3428" s="215" t="n">
        <v>46156</v>
      </c>
      <c r="B3428" s="216" t="n">
        <v>482.4</v>
      </c>
      <c r="C3428" s="216" t="n">
        <v>265.08</v>
      </c>
      <c r="D3428" s="216" t="n">
        <v>1.152662992477417</v>
      </c>
      <c r="E3428" s="215" t="n">
        <v>46156</v>
      </c>
      <c r="F3428" s="215" t="n">
        <v>46156</v>
      </c>
    </row>
    <row r="3429">
      <c r="A3429" s="215" t="n">
        <v>46157</v>
      </c>
      <c r="B3429" s="216" t="n">
        <v>448.6</v>
      </c>
      <c r="C3429" s="216" t="n">
        <v>247.98</v>
      </c>
      <c r="D3429" s="216" t="n">
        <v>1.154320001602173</v>
      </c>
      <c r="E3429" s="215" t="n">
        <v>46157</v>
      </c>
      <c r="F3429" s="215" t="n">
        <v>46157</v>
      </c>
    </row>
    <row r="3430">
      <c r="A3430" s="215" t="n">
        <v>46160</v>
      </c>
      <c r="B3430" s="216" t="n">
        <v>440.8</v>
      </c>
      <c r="C3430" s="216" t="n">
        <v>247.99</v>
      </c>
      <c r="D3430" s="216" t="n">
        <v>1.149821996688843</v>
      </c>
      <c r="E3430" s="215" t="n">
        <v>46160</v>
      </c>
      <c r="F3430" s="215" t="n">
        <v>46160</v>
      </c>
    </row>
    <row r="3431">
      <c r="A3431" s="215" t="n">
        <v>46161</v>
      </c>
      <c r="B3431" s="216" t="n">
        <v>423.6</v>
      </c>
      <c r="C3431" s="216" t="n">
        <v>247.11</v>
      </c>
      <c r="D3431" s="216" t="n">
        <v>1.151532053947449</v>
      </c>
      <c r="E3431" s="215" t="n">
        <v>46161</v>
      </c>
      <c r="F3431" s="215" t="n">
        <v>46161</v>
      </c>
    </row>
    <row r="3432">
      <c r="A3432" s="215" t="n">
        <v>46162</v>
      </c>
      <c r="B3432" s="216" t="n">
        <v>446.8</v>
      </c>
      <c r="C3432" s="216" t="n">
        <v>257.3</v>
      </c>
      <c r="D3432" s="216" t="n">
        <v>1.149292945861816</v>
      </c>
      <c r="E3432" s="215" t="n">
        <v>46162</v>
      </c>
      <c r="F3432" s="215" t="n">
        <v>46162</v>
      </c>
    </row>
    <row r="3433">
      <c r="A3433" s="215" t="n">
        <v>46163</v>
      </c>
      <c r="B3433" s="216" t="n">
        <v>446.2</v>
      </c>
      <c r="C3433" s="216" t="n">
        <v>262.17</v>
      </c>
      <c r="D3433" s="216" t="n">
        <v>1.151231050491333</v>
      </c>
      <c r="E3433" s="215" t="n">
        <v>46163</v>
      </c>
      <c r="F3433" s="215" t="n">
        <v>46163</v>
      </c>
    </row>
    <row r="3434">
      <c r="A3434" s="215" t="n">
        <v>46164</v>
      </c>
      <c r="B3434" s="216" t="n">
        <v>471.8</v>
      </c>
      <c r="C3434" s="216" t="n">
        <v>271.83</v>
      </c>
      <c r="D3434" s="216" t="n">
        <v>1.151487946510315</v>
      </c>
      <c r="E3434" s="215" t="n">
        <v>46164</v>
      </c>
      <c r="F3434" s="215" t="n">
        <v>46164</v>
      </c>
    </row>
    <row r="3435">
      <c r="A3435" s="215" t="n">
        <v>46168</v>
      </c>
      <c r="B3435" s="216" t="n">
        <v>462</v>
      </c>
      <c r="C3435" s="216" t="n">
        <v>272.29</v>
      </c>
      <c r="D3435" s="216" t="n">
        <v>1.152968049049377</v>
      </c>
      <c r="E3435" s="215" t="n">
        <v>46168</v>
      </c>
      <c r="F3435" s="215" t="n">
        <v>46168</v>
      </c>
    </row>
    <row r="3436">
      <c r="A3436" s="215" t="n">
        <v>46169</v>
      </c>
      <c r="B3436" s="216" t="n">
        <v>469</v>
      </c>
      <c r="C3436" s="216" t="n">
        <v>265.5</v>
      </c>
      <c r="D3436" s="216" t="n">
        <v>1.154562950134277</v>
      </c>
      <c r="E3436" s="215" t="n">
        <v>46169</v>
      </c>
      <c r="F3436" s="215" t="n">
        <v>46169</v>
      </c>
    </row>
    <row r="3437">
      <c r="A3437" s="215" t="n">
        <v>46170</v>
      </c>
      <c r="B3437" s="216" t="n">
        <v>458.8</v>
      </c>
      <c r="C3437" s="216" t="n">
        <v>260.98</v>
      </c>
      <c r="D3437" s="216" t="n">
        <v>1.155385971069336</v>
      </c>
      <c r="E3437" s="215" t="n">
        <v>46170</v>
      </c>
      <c r="F3437" s="215" t="n">
        <v>46170</v>
      </c>
    </row>
    <row r="3438">
      <c r="A3438" s="215" t="n">
        <v>46171</v>
      </c>
      <c r="B3438" s="216" t="n">
        <v>400</v>
      </c>
      <c r="C3438" s="216" t="n">
        <v>253</v>
      </c>
      <c r="D3438" s="216" t="n">
        <v>1.155282974243164</v>
      </c>
      <c r="E3438" s="215" t="n">
        <v>46171</v>
      </c>
      <c r="F3438" s="215" t="n">
        <v>46171</v>
      </c>
    </row>
    <row r="3439">
      <c r="A3439" s="215" t="n">
        <v>46174</v>
      </c>
      <c r="B3439" s="216" t="n">
        <v>372.4</v>
      </c>
      <c r="C3439" s="216" t="n">
        <v>232.3</v>
      </c>
      <c r="D3439" s="216" t="n">
        <v>1.158049941062927</v>
      </c>
      <c r="E3439" s="215" t="n">
        <v>46174</v>
      </c>
      <c r="F3439" s="215" t="n">
        <v>46174</v>
      </c>
    </row>
    <row r="3440">
      <c r="A3440" s="215" t="n">
        <v>46175</v>
      </c>
      <c r="B3440" s="216" t="n">
        <v>380.2</v>
      </c>
      <c r="C3440" s="216" t="n">
        <v>237</v>
      </c>
      <c r="D3440" s="216" t="n">
        <v>1.158406972885132</v>
      </c>
      <c r="E3440" s="215" t="n">
        <v>46175</v>
      </c>
      <c r="F3440" s="215" t="n">
        <v>46175</v>
      </c>
    </row>
    <row r="3441">
      <c r="A3441" s="215" t="n">
        <v>46176</v>
      </c>
      <c r="B3441" s="216" t="n">
        <v>403</v>
      </c>
      <c r="C3441" s="216" t="n">
        <v>253.9</v>
      </c>
      <c r="D3441" s="216" t="n">
        <v>1.15879499912262</v>
      </c>
      <c r="E3441" s="215" t="n">
        <v>46176</v>
      </c>
      <c r="F3441" s="215" t="n">
        <v>46176</v>
      </c>
    </row>
    <row r="3442">
      <c r="A3442" s="215" t="n">
        <v>46177</v>
      </c>
      <c r="B3442" s="216" t="n">
        <v>406.2</v>
      </c>
      <c r="C3442" s="216" t="n">
        <v>259.67</v>
      </c>
      <c r="D3442" s="216" t="n">
        <v>1.157420039176941</v>
      </c>
      <c r="E3442" s="215" t="n">
        <v>46177</v>
      </c>
      <c r="F3442" s="215" t="n">
        <v>46177</v>
      </c>
    </row>
    <row r="3443">
      <c r="A3443" s="215" t="n">
        <v>46178</v>
      </c>
      <c r="B3443" s="216" t="n">
        <v>368.8</v>
      </c>
      <c r="C3443" s="216" t="n">
        <v>239.39</v>
      </c>
      <c r="D3443" s="216" t="n">
        <v>1.156491994857788</v>
      </c>
      <c r="E3443" s="215" t="n">
        <v>46178</v>
      </c>
      <c r="F3443" s="215" t="n">
        <v>46178</v>
      </c>
    </row>
    <row r="3444">
      <c r="A3444" s="215" t="n">
        <v>46181</v>
      </c>
      <c r="B3444" s="216" t="n">
        <v>347.4</v>
      </c>
      <c r="C3444" s="216" t="n">
        <v>224.31</v>
      </c>
      <c r="D3444" s="216" t="n">
        <v>1.157665967941284</v>
      </c>
      <c r="E3444" s="215" t="n">
        <v>46181</v>
      </c>
      <c r="F3444" s="215" t="n">
        <v>46181</v>
      </c>
    </row>
    <row r="3445">
      <c r="A3445" s="215" t="n">
        <v>46182</v>
      </c>
      <c r="B3445" s="216" t="n">
        <v>360.4</v>
      </c>
      <c r="C3445" s="216" t="n">
        <v>236.4</v>
      </c>
      <c r="D3445" s="216" t="n">
        <v>1.158027052879333</v>
      </c>
      <c r="E3445" s="215" t="n">
        <v>46182</v>
      </c>
      <c r="F3445" s="215" t="n">
        <v>46182</v>
      </c>
    </row>
    <row r="3446">
      <c r="A3446" s="215" t="n">
        <v>46183</v>
      </c>
      <c r="B3446" s="216" t="n">
        <v>345.2</v>
      </c>
      <c r="C3446" s="216" t="n">
        <v>231</v>
      </c>
      <c r="D3446" s="216" t="n">
        <v>1.157112002372742</v>
      </c>
      <c r="E3446" s="215" t="n">
        <v>46183</v>
      </c>
      <c r="F3446" s="215" t="n">
        <v>46183</v>
      </c>
    </row>
    <row r="3447">
      <c r="A3447" s="215" t="n">
        <v>46184</v>
      </c>
      <c r="B3447" s="216" t="n">
        <v>365</v>
      </c>
      <c r="C3447" s="216" t="n">
        <v>228.7</v>
      </c>
      <c r="D3447" s="216" t="n">
        <v>1.156929016113281</v>
      </c>
      <c r="E3447" s="215" t="n">
        <v>46184</v>
      </c>
      <c r="F3447" s="215" t="n">
        <v>46184</v>
      </c>
    </row>
    <row r="3448">
      <c r="A3448" s="215" t="n">
        <v>46185</v>
      </c>
      <c 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9" s="215" t="n">
        <v>46188</v>
      </c>
      <c r="F3449" s="215" t="n">
        <v>46188</v>
      </c>
    </row>
    <row r="3450">
      <c r="A3450" s="215" t="n">
        <v>46189</v>
      </c>
      <c r="B3450" s="216" t="n">
        <v>378.4</v>
      </c>
      <c r="C3450" s="216" t="n">
        <v>244.17</v>
      </c>
      <c r="D3450" s="216" t="n">
        <v>1.158604025840759</v>
      </c>
      <c r="E3450" s="215" t="n">
        <v>46189</v>
      </c>
      <c r="F3450" s="215" t="n">
        <v>46189</v>
      </c>
    </row>
    <row r="3451">
      <c r="A3451" s="215" t="n">
        <v>46190</v>
      </c>
      <c r="B3451" s="216" t="n">
        <v>420.6</v>
      </c>
      <c r="C3451" s="216" t="n">
        <v>262.5</v>
      </c>
      <c r="D3451" s="216" t="n">
        <v>1.158974051475525</v>
      </c>
      <c r="E3451" s="215" t="n">
        <v>46190</v>
      </c>
      <c r="F3451" s="215" t="n">
        <v>46190</v>
      </c>
    </row>
    <row r="3452">
      <c r="A3452" s="215" t="n">
        <v>46191</v>
      </c>
      <c r="B3452" s="216" t="n">
        <v>446.4</v>
      </c>
      <c r="C3452" s="216" t="n">
        <v>269.9</v>
      </c>
      <c r="D3452" s="216" t="n">
        <v>1.159355998039246</v>
      </c>
      <c r="E3452" s="215" t="n">
        <v>46191</v>
      </c>
      <c r="F3452" s="215" t="n">
        <v>46191</v>
      </c>
    </row>
    <row r="3453">
      <c r="A3453" s="215" t="n">
        <v>46195</v>
      </c>
      <c r="B3453" s="216" t="n">
        <v>466.2</v>
      </c>
      <c r="C3453" s="216" t="n">
        <v>280.05</v>
      </c>
      <c r="D3453" s="216" t="n">
        <v>1.157493948936462</v>
      </c>
      <c r="E3453" s="215" t="n">
        <v>46195</v>
      </c>
      <c r="F3453" s="215" t="n">
        <v>46195</v>
      </c>
    </row>
    <row r="3454">
      <c r="A3454" s="215" t="n">
        <v>46196</v>
      </c>
      <c r="B3454" s="216" t="n">
        <v>408.2</v>
      </c>
      <c r="C3454" s="216" t="n">
        <v>258</v>
      </c>
      <c r="D3454" s="216" t="n">
        <v>1.156896948814392</v>
      </c>
      <c r="E3454" s="215" t="n">
        <v>46196</v>
      </c>
      <c r="F3454" s="215" t="n">
        <v>46196</v>
      </c>
    </row>
    <row r="3455">
      <c r="A3455" s="215" t="n">
        <v>46197</v>
      </c>
      <c r="B3455" s="216" t="n">
        <v>430.2</v>
      </c>
      <c r="C3455" s="216" t="n">
        <v>266.49</v>
      </c>
      <c r="D3455" s="216" t="n">
        <v>1.154508948326111</v>
      </c>
      <c r="E3455" s="215" t="n">
        <v>46197</v>
      </c>
      <c r="F3455" s="215" t="n">
        <v>46197</v>
      </c>
    </row>
    <row r="3456">
      <c r="A3456" s="215" t="n">
        <v>46198</v>
      </c>
      <c r="B3456" s="216" t="n">
        <v>459</v>
      </c>
      <c r="C3456" s="216" t="n">
        <v>279.16</v>
      </c>
      <c r="D3456" s="216" t="n">
        <v>1.154152035713196</v>
      </c>
      <c r="E3456" s="215" t="n">
        <v>46198</v>
      </c>
      <c r="F3456" s="215" t="n">
        <v>46198</v>
      </c>
    </row>
    <row r="3457">
      <c r="A3457" s="215" t="n">
        <v>46199</v>
      </c>
      <c r="B3457" s="216" t="n">
        <v>419.8</v>
      </c>
      <c r="C3457" s="216" t="n">
        <v>261.82</v>
      </c>
      <c r="D3457" s="216" t="n">
        <v>1.154500961303711</v>
      </c>
      <c r="E3457" s="215" t="n">
        <v>46199</v>
      </c>
      <c r="F3457" s="215" t="n">
        <v>46199</v>
      </c>
    </row>
    <row r="3458">
      <c r="A3458" s="215" t="n">
        <v>46202</v>
      </c>
      <c r="B3458" s="216" t="n">
        <v>447.6</v>
      </c>
      <c r="C3458" s="216" t="n">
        <v>296.06</v>
      </c>
      <c r="D3458" s="216" t="n">
        <v>1.153512001037598</v>
      </c>
      <c r="E3458" s="215" t="n">
        <v>46202</v>
      </c>
      <c r="F3458" s="215" t="n">
        <v>46202</v>
      </c>
    </row>
    <row r="3459">
      <c r="A3459" s="215" t="n">
        <v>46203</v>
      </c>
      <c r="B3459" s="216" t="n">
        <v>464.6</v>
      </c>
      <c r="C3459" s="216" t="n">
        <v>309.9</v>
      </c>
      <c r="D3459" s="216" t="n">
        <v>1.153959035873413</v>
      </c>
      <c r="E3459" s="215" t="n">
        <v>46203</v>
      </c>
      <c r="F3459" s="215" t="n">
        <v>46203</v>
      </c>
    </row>
    <row r="3460">
      <c r="A3460" s="215" t="n">
        <v>46205</v>
      </c>
      <c r="B3460" s="216" t="n">
        <v>388.4</v>
      </c>
      <c r="C3460" s="216" t="n">
        <v>269.15</v>
      </c>
      <c r="D3460" s="216" t="n">
        <v>1.154355049133301</v>
      </c>
      <c r="E3460" s="215" t="n">
        <v>46205</v>
      </c>
      <c r="F3460" s="215" t="n">
        <v>46205</v>
      </c>
    </row>
    <row r="3461">
      <c r="A3461" s="215" t="n">
        <v>46206</v>
      </c>
      <c r="B3461" s="216" t="n">
        <v>382.6</v>
      </c>
      <c r="C3461" s="216" t="n">
        <v>266.8</v>
      </c>
      <c r="D3461" s="216" t="n">
        <v>1.155220985412598</v>
      </c>
      <c r="E3461" s="215" t="n">
        <v>46206</v>
      </c>
      <c r="F3461" s="215" t="n">
        <v>46206</v>
      </c>
    </row>
    <row r="3462">
      <c r="A3462" s="215" t="n">
        <v>46209</v>
      </c>
      <c r="B3462" s="216" t="n">
        <v>372</v>
      </c>
      <c r="C3462" s="216" t="n">
        <v>268.68</v>
      </c>
      <c r="D3462" s="216" t="n">
        <v>1.155068039894104</v>
      </c>
      <c r="E3462" s="215" t="n">
        <v>46209</v>
      </c>
      <c r="F3462" s="215" t="n">
        <v>46209</v>
      </c>
    </row>
    <row r="3463">
      <c r="A3463" s="215" t="n">
        <v>46210</v>
      </c>
      <c r="B3463" s="216" t="n">
        <v>333.6</v>
      </c>
      <c r="C3463" s="216" t="n">
        <v>253.2</v>
      </c>
      <c r="D3463" s="216" t="n">
        <v>1.153807997703552</v>
      </c>
      <c r="E3463" s="215" t="n">
        <v>46210</v>
      </c>
      <c r="F3463" s="215" t="n">
        <v>46210</v>
      </c>
    </row>
    <row r="3464">
      <c r="A3464" s="215" t="n">
        <v>46211</v>
      </c>
      <c r="B3464" s="216" t="n">
        <v>321.4</v>
      </c>
      <c r="C3464" s="216" t="n">
        <v>247.15</v>
      </c>
      <c r="D3464" s="216" t="n">
        <v>1.154153943061829</v>
      </c>
      <c r="E3464" s="215" t="n">
        <v>46211</v>
      </c>
      <c r="F3464" s="215" t="n">
        <v>46211</v>
      </c>
    </row>
    <row r="3465">
      <c r="A3465" s="215" t="n">
        <v>46212</v>
      </c>
      <c r="B3465" s="216" t="n">
        <v>383.8</v>
      </c>
      <c r="C3465" s="216" t="n">
        <v>285.8</v>
      </c>
      <c r="D3465" s="216" t="n">
        <v>1.152119994163513</v>
      </c>
      <c r="E3465" s="215" t="n">
        <v>46212</v>
      </c>
      <c r="F3465" s="215" t="n">
        <v>46212</v>
      </c>
    </row>
    <row r="3466">
      <c r="A3466" s="215" t="n">
        <v>46213</v>
      </c>
      <c r="B3466" s="216" t="n">
        <v>350.4</v>
      </c>
      <c r="C3466" s="216" t="n">
        <v>268.06</v>
      </c>
      <c r="D3466" s="216" t="n">
        <v>1.153550028800964</v>
      </c>
      <c r="E3466" s="215" t="n">
        <v>46213</v>
      </c>
      <c r="F3466" s="215" t="n">
        <v>46213</v>
      </c>
    </row>
    <row r="3467">
      <c r="A3467" s="215" t="n">
        <v>46216</v>
      </c>
      <c r="B3467" s="216" t="n">
        <v>332.2</v>
      </c>
      <c r="C3467" s="216" t="n">
        <v>252.79</v>
      </c>
      <c r="D3467" s="216" t="n">
        <v>1.156761050224304</v>
      </c>
      <c r="E3467" s="215" t="n">
        <v>46216</v>
      </c>
      <c r="F3467" s="215" t="n">
        <v>46216</v>
      </c>
    </row>
    <row r="3468">
      <c r="A3468" s="215" t="n">
        <v>46217</v>
      </c>
      <c r="B3468" s="216" t="n">
        <v>358.8</v>
      </c>
      <c r="C3468" s="216" t="n">
        <v>270</v>
      </c>
      <c r="D3468" s="216" t="n">
        <v>1.155825972557068</v>
      </c>
      <c r="E3468" s="215" t="n">
        <v>46217</v>
      </c>
      <c r="F3468" s="215" t="n">
        <v>46217</v>
      </c>
    </row>
    <row r="3469">
      <c r="A3469" s="215" t="n">
        <v>46218</v>
      </c>
      <c r="B3469" s="216" t="n">
        <v>361.6</v>
      </c>
      <c r="C3469" s="216" t="n">
        <v>252.68</v>
      </c>
      <c r="D3469" s="216" t="n">
        <v>1.157556056976318</v>
      </c>
      <c r="E3469" s="215" t="n">
        <v>46218</v>
      </c>
      <c r="F3469" s="215" t="n">
        <v>46218</v>
      </c>
    </row>
    <row r="3470">
      <c r="A3470" s="215" t="n">
        <v>46219</v>
      </c>
      <c r="B3470" s="216" t="n">
        <v>278.6</v>
      </c>
      <c r="C3470" s="216" t="n">
        <v>211.13</v>
      </c>
      <c r="D3470" s="216" t="n">
        <v>1.157912969589233</v>
      </c>
      <c r="E3470" s="215" t="n">
        <v>46219</v>
      </c>
      <c r="F3470" s="215" t="n">
        <v>46219</v>
      </c>
    </row>
    <row r="3471">
      <c r="A3471" s="215" t="n">
        <v>46220</v>
      </c>
      <c r="B3471" s="216" t="n">
        <v>255</v>
      </c>
      <c r="C3471" s="216" t="n">
        <v>183.6</v>
      </c>
      <c r="D3471" s="216" t="n">
        <v>1.157472014427185</v>
      </c>
      <c r="E3471" s="215" t="n">
        <v>46220</v>
      </c>
      <c r="F3471" s="215" t="n">
        <v>46220</v>
      </c>
    </row>
    <row r="3472">
      <c r="A3472" s="215" t="n">
        <v>46223</v>
      </c>
      <c r="B3472" s="216" t="n">
        <v>264</v>
      </c>
      <c r="C3472" s="216" t="n">
        <v>189.94</v>
      </c>
      <c r="D3472" s="216" t="n">
        <v>1.157451033592224</v>
      </c>
      <c r="E3472" s="215" t="n">
        <v>46223</v>
      </c>
      <c r="F3472" s="215" t="n">
        <v>46223</v>
      </c>
    </row>
    <row r="3473">
      <c r="A3473" s="215" t="n">
        <v>46224</v>
      </c>
      <c r="B3473" s="216" t="n">
        <v>309</v>
      </c>
      <c r="C3473" s="216" t="n">
        <v>219.6</v>
      </c>
      <c r="D3473" s="216" t="n">
        <v>1.157506942749023</v>
      </c>
      <c r="E3473" s="215" t="n">
        <v>46224</v>
      </c>
      <c r="F3473" s="215" t="n">
        <v>46224</v>
      </c>
    </row>
    <row r="3474">
      <c r="A3474" s="215" t="n">
        <v>46225</v>
      </c>
      <c r="B3474" s="216" t="n">
        <v>319.4</v>
      </c>
      <c r="C3474" s="216" t="n">
        <v>223</v>
      </c>
      <c r="D3474" s="216" t="n">
        <v>1.158938050270081</v>
      </c>
      <c r="E3474" s="215" t="n">
        <v>46225</v>
      </c>
      <c r="F3474" s="215" t="n">
        <v>46225</v>
      </c>
    </row>
    <row r="3475">
      <c r="A3475" s="215" t="n">
        <v>46226</v>
      </c>
      <c r="B3475" s="216" t="n">
        <v>311.8</v>
      </c>
      <c r="C3475" s="216" t="n">
        <v>225.5</v>
      </c>
      <c r="D3475" s="216" t="n">
        <v>1.157410979270935</v>
      </c>
      <c r="E3475" s="215" t="n">
        <v>46226</v>
      </c>
      <c r="F3475" s="215" t="n">
        <v>46226</v>
      </c>
    </row>
    <row r="3476">
      <c r="A3476" s="215" t="n">
        <v>46227</v>
      </c>
      <c r="B3476" s="216" t="n">
        <v>332.6</v>
      </c>
      <c r="C3476" s="216" t="n">
        <v>233.66</v>
      </c>
      <c r="D3476" s="216" t="n">
        <v>1.15762197971344</v>
      </c>
      <c r="E3476" s="215" t="n">
        <v>46227</v>
      </c>
      <c r="F3476" s="215" t="n">
        <v>46227</v>
      </c>
    </row>
    <row r="3477">
      <c r="A3477" s="215" t="n">
        <v>46230</v>
      </c>
      <c r="B3477" s="216" t="n">
        <v>322</v>
      </c>
      <c r="C3477" s="216" t="n">
        <v>227.45</v>
      </c>
      <c r="D3477" s="216" t="n">
        <v>1.15789794921875</v>
      </c>
      <c r="E3477" s="215" t="n">
        <v>46230</v>
      </c>
      <c r="F3477" s="215" t="n">
        <v>46230</v>
      </c>
    </row>
    <row r="3478">
      <c r="A3478" s="215" t="n">
        <v>46231</v>
      </c>
      <c r="B3478" s="216" t="n">
        <v>277.6</v>
      </c>
      <c r="C3478" s="216" t="n">
        <v>206.04</v>
      </c>
      <c r="D3478" s="216" t="n">
        <v>1.158699035644531</v>
      </c>
      <c r="E3478" s="215" t="n">
        <v>46231</v>
      </c>
      <c r="F3478" s="215" t="n">
        <v>46231</v>
      </c>
    </row>
    <row r="3479">
      <c r="A3479" s="215" t="n">
        <v>46232</v>
      </c>
      <c r="B3479" s="216" t="n">
        <v>269.6</v>
      </c>
      <c r="C3479" s="216" t="n">
        <v>207.5</v>
      </c>
      <c r="D3479" s="216" t="n">
        <v>1.157909989356995</v>
      </c>
      <c r="E3479" s="215" t="n">
        <v>46232</v>
      </c>
      <c r="F3479" s="215" t="n">
        <v>46232</v>
      </c>
    </row>
    <row r="3480">
      <c r="A3480" s="215" t="n">
        <v>46233</v>
      </c>
      <c r="B3480" s="216" t="n">
        <v>251.4</v>
      </c>
      <c r="C3480" s="216" t="n">
        <v>196.78</v>
      </c>
      <c r="D3480" s="216" t="n">
        <v>1.158943057060242</v>
      </c>
      <c r="E3480" s="215" t="n">
        <v>46233</v>
      </c>
      <c r="F3480" s="215" t="n">
        <v>46233</v>
      </c>
    </row>
    <row r="3481">
      <c r="A3481" s="215" t="n">
        <v>46234</v>
      </c>
      <c r="B3481" s="216" t="n">
        <v>269</v>
      </c>
      <c r="C3481" s="216" t="n">
        <v>204.9</v>
      </c>
      <c r="D3481" s="216" t="n">
        <v>1.160945057868958</v>
      </c>
      <c r="E3481" s="215" t="n">
        <v>46234</v>
      </c>
      <c r="F3481" s="215" t="n">
        <v>46234</v>
      </c>
    </row>
    <row r="3482">
      <c r="A3482" s="215" t="n">
        <v>46237</v>
      </c>
      <c r="B3482" s="216" t="n">
        <v>248.8</v>
      </c>
      <c r="C3482" s="216" t="n">
        <v>189.94</v>
      </c>
      <c r="D3482" s="216" t="n">
        <v>1.161579966545105</v>
      </c>
      <c r="E3482" s="215" t="n">
        <v>46237</v>
      </c>
      <c r="F3482" s="215" t="n">
        <v>46237</v>
      </c>
    </row>
    <row r="3483">
      <c r="A3483" s="215" t="n">
        <v>46238</v>
      </c>
      <c r="B3483" s="216" t="n">
        <v>262.6</v>
      </c>
      <c r="C3483" s="216" t="n">
        <v>203.25</v>
      </c>
      <c r="D3483" s="216" t="n">
        <v>1.161064982414246</v>
      </c>
      <c r="E3483" s="215" t="n">
        <v>46238</v>
      </c>
      <c r="F3483" s="215" t="n">
        <v>46238</v>
      </c>
    </row>
    <row r="3484">
      <c r="A3484" s="215" t="n">
        <v>46239</v>
      </c>
      <c r="B3484" s="216" t="n">
        <v>270.4</v>
      </c>
      <c r="C3484" s="216" t="n">
        <v>212</v>
      </c>
      <c r="D3484" s="216" t="n">
        <v>1.161146998405457</v>
      </c>
      <c r="E3484" s="215" t="n">
        <v>46239</v>
      </c>
      <c r="F3484" s="215" t="n">
        <v>46239</v>
      </c>
    </row>
    <row r="3485">
      <c r="A3485" s="215" t="n">
        <v>46240</v>
      </c>
      <c r="B3485" s="216" t="n">
        <v>261</v>
      </c>
      <c r="C3485" s="216" t="n">
        <v>208.36</v>
      </c>
      <c r="D3485" s="216" t="n">
        <v>1.161936044692993</v>
      </c>
      <c r="E3485" s="215" t="n">
        <v>46240</v>
      </c>
      <c r="F3485" s="215" t="n">
        <v>46240</v>
      </c>
    </row>
    <row r="3486">
      <c r="A3486" s="215" t="n">
        <v>46241</v>
      </c>
      <c r="B3486" s="216" t="n">
        <v>269.2</v>
      </c>
      <c r="C3486" s="216" t="n">
        <v>215.52</v>
      </c>
      <c r="D3486" s="216" t="n">
        <v>1.162284016609192</v>
      </c>
      <c r="E3486" s="215" t="n">
        <v>46241</v>
      </c>
      <c r="F3486" s="215" t="n">
        <v>46241</v>
      </c>
    </row>
    <row r="3487">
      <c r="A3487" s="215" t="n">
        <v>46244</v>
      </c>
      <c r="B3487" s="216" t="n">
        <v>257.6</v>
      </c>
      <c r="C3487" s="216" t="n">
        <v>206.92</v>
      </c>
      <c r="D3487" s="216" t="n">
        <v>1.162629961967468</v>
      </c>
      <c r="E3487" s="215" t="n">
        <v>46244</v>
      </c>
      <c r="F3487" s="215" t="n">
        <v>46244</v>
      </c>
    </row>
    <row r="3488">
      <c r="A3488" s="215" t="n">
        <v>46245</v>
      </c>
      <c r="B3488" s="216" t="n">
        <v>263</v>
      </c>
      <c r="C3488" s="216" t="n">
        <v>206.7</v>
      </c>
      <c r="D3488" s="216" t="n">
        <v>1.162588000297546</v>
      </c>
      <c r="E3488" s="215" t="n">
        <v>46245</v>
      </c>
      <c r="F3488" s="215" t="n">
        <v>46245</v>
      </c>
    </row>
    <row r="3489">
      <c r="A3489" s="215" t="n">
        <v>46246</v>
      </c>
      <c r="B3489" s="216" t="n">
        <v>283</v>
      </c>
      <c r="C3489" s="216" t="n">
        <v>215.43</v>
      </c>
      <c r="D3489" s="216" t="n">
        <v>1.163135051727295</v>
      </c>
      <c r="E3489" s="215" t="n">
        <v>46246</v>
      </c>
      <c r="F3489" s="215" t="n">
        <v>46246</v>
      </c>
    </row>
    <row r="3490">
      <c r="A3490" s="215" t="n">
        <v>46247</v>
      </c>
      <c r="B3490" s="216" t="n">
        <v>286.8</v>
      </c>
      <c r="C3490" s="216" t="n">
        <v>210.22</v>
      </c>
      <c r="D3490" s="216" t="n">
        <v>1.163341045379639</v>
      </c>
      <c r="E3490" s="215" t="n">
        <v>46247</v>
      </c>
      <c r="F3490" s="215" t="n">
        <v>46247</v>
      </c>
    </row>
    <row r="3491">
      <c r="A3491" s="215" t="n">
        <v>46248</v>
      </c>
      <c r="B3491" s="216" t="n">
        <v>283.8</v>
      </c>
      <c r="C3491" s="216" t="n">
        <v>211.91</v>
      </c>
      <c r="D3491" s="216" t="n">
        <v>1.163571000099182</v>
      </c>
      <c r="E3491" s="215" t="n">
        <v>46248</v>
      </c>
      <c r="F3491" s="215" t="n">
        <v>46248</v>
      </c>
    </row>
    <row r="3492">
      <c r="A3492" s="215" t="n">
        <v>46251</v>
      </c>
      <c r="B3492" s="216" t="n">
        <v>311</v>
      </c>
      <c r="C3492" s="216" t="n">
        <v>224.37</v>
      </c>
      <c r="D3492" s="216" t="n">
        <v>1.163601994514465</v>
      </c>
      <c r="E3492" s="215" t="n">
        <v>46251</v>
      </c>
      <c r="F3492" s="215" t="n">
        <v>46251</v>
      </c>
    </row>
    <row r="3493">
      <c r="A3493" s="215" t="n">
        <v>46252</v>
      </c>
      <c r="B3493" s="216" t="n">
        <v>290.8</v>
      </c>
      <c r="C3493" s="216" t="n">
        <v>218</v>
      </c>
      <c r="D3493" s="216" t="n">
        <v>1.163733005523682</v>
      </c>
      <c r="E3493" s="215" t="n">
        <v>46252</v>
      </c>
      <c r="F3493" s="215" t="n">
        <v>46252</v>
      </c>
    </row>
    <row r="3494">
      <c r="A3494" s="215" t="n">
        <v>46253</v>
      </c>
      <c r="B3494" s="216" t="n">
        <v>270.4</v>
      </c>
      <c r="C3494" s="216" t="n">
        <v>200</v>
      </c>
      <c r="D3494" s="216" t="n">
        <v>1.163092017173767</v>
      </c>
      <c r="E3494" s="215" t="n">
        <v>46253</v>
      </c>
      <c r="F3494" s="215" t="n">
        <v>46253</v>
      </c>
    </row>
    <row r="3495">
      <c r="A3495" s="215" t="n">
        <v>46254</v>
      </c>
      <c r="B3495" s="216" t="n">
        <v>268.6</v>
      </c>
      <c r="C3495" s="216" t="n">
        <v>199.11</v>
      </c>
      <c r="D3495" s="216" t="n">
        <v>1.164932012557983</v>
      </c>
      <c r="E3495" s="215" t="n">
        <v>46254</v>
      </c>
      <c r="F3495" s="215" t="n">
        <v>46254</v>
      </c>
    </row>
    <row r="3496">
      <c r="A3496" s="215" t="n">
        <v>46255</v>
      </c>
      <c r="B3496" s="216" t="n">
        <v>272</v>
      </c>
      <c r="C3496" s="216" t="n">
        <v>200.55</v>
      </c>
      <c r="D3496" s="216" t="n">
        <v>1.166555047035217</v>
      </c>
      <c r="E3496" s="215" t="n">
        <v>46255</v>
      </c>
      <c r="F3496" s="215" t="n">
        <v>46255</v>
      </c>
    </row>
    <row r="3497">
      <c r="A3497" s="215" t="n">
        <v>46258</v>
      </c>
      <c r="B3497" s="216" t="n">
        <v>250</v>
      </c>
      <c r="C3497" s="216" t="n">
        <v>191.83</v>
      </c>
      <c r="D3497" s="216" t="n">
        <v>1.166316986083984</v>
      </c>
      <c r="E3497" s="215" t="n">
        <v>46258</v>
      </c>
      <c r="F3497" s="215" t="n">
        <v>46258</v>
      </c>
    </row>
    <row r="3498">
      <c r="A3498" s="215" t="n">
        <v>46259</v>
      </c>
      <c r="B3498" s="216" t="n">
        <v>262.4</v>
      </c>
      <c r="C3498" s="216" t="n">
        <v>194.42</v>
      </c>
      <c r="D3498" s="216" t="n">
        <v>1.165253043174744</v>
      </c>
      <c r="E3498" s="215" t="n">
        <v>46259</v>
      </c>
      <c r="F3498" s="215" t="n">
        <v>46259</v>
      </c>
    </row>
    <row r="3499">
      <c r="A3499" s="215" t="n">
        <v>46260</v>
      </c>
      <c r="B3499" s="216" t="n">
        <v>268.2</v>
      </c>
      <c r="C3499" s="216" t="n">
        <v>201</v>
      </c>
      <c r="D3499" s="216" t="n">
        <v>1.166218996047974</v>
      </c>
      <c r="E3499" s="215" t="n">
        <v>46260</v>
      </c>
      <c r="F3499" s="215" t="n">
        <v>46260</v>
      </c>
    </row>
    <row r="3500">
      <c r="A3500" s="215" t="n">
        <v>46261</v>
      </c>
      <c r="B3500" s="216" t="n">
        <v>301.2</v>
      </c>
      <c r="C3500" s="216" t="n">
        <v>221.22</v>
      </c>
      <c r="D3500" s="216" t="n">
        <v>1.165971040725708</v>
      </c>
      <c r="E3500" s="215" t="n">
        <v>46261</v>
      </c>
      <c r="F3500" s="215" t="n">
        <v>46261</v>
      </c>
    </row>
    <row r="3501">
      <c r="A3501" s="215" t="n">
        <v>46262</v>
      </c>
      <c r="B3501" s="216" t="n">
        <v>285</v>
      </c>
      <c r="C3501" s="216" t="n">
        <v>213</v>
      </c>
      <c r="D3501" s="216" t="n">
        <v>1.165799975395203</v>
      </c>
      <c r="E3501" s="215" t="n">
        <v>46262</v>
      </c>
      <c r="F3501" s="215" t="n">
        <v>46262</v>
      </c>
    </row>
    <row r="3502">
      <c r="A3502" s="215" t="n">
        <v>46265</v>
      </c>
      <c r="B3502" s="216" t="n">
        <v>269</v>
      </c>
      <c r="C3502" s="216" t="n">
        <v>204.95</v>
      </c>
      <c r="D3502" s="216" t="n">
        <v>1.165387988090515</v>
      </c>
      <c r="E3502" s="215" t="n">
        <v>46265</v>
      </c>
      <c r="F3502" s="215" t="n">
        <v>46265</v>
      </c>
    </row>
    <row r="3503">
      <c r="A3503" s="215" t="n">
        <v>46266</v>
      </c>
      <c r="B3503" s="216" t="n">
        <v>263.6</v>
      </c>
      <c r="C3503" s="216" t="n">
        <v>198.35</v>
      </c>
      <c r="D3503" s="216" t="n">
        <v>1.165223956108093</v>
      </c>
      <c r="E3503" s="215" t="n">
        <v>46266</v>
      </c>
      <c r="F3503" s="215" t="n">
        <v>46266</v>
      </c>
    </row>
    <row r="3504">
      <c r="A3504" s="215" t="n">
        <v>46267</v>
      </c>
      <c r="B3504" s="216" t="n">
        <v>261.8</v>
      </c>
      <c r="C3504" s="216" t="n">
        <v>193.1</v>
      </c>
      <c r="D3504" s="216" t="n">
        <v>1.166425943374634</v>
      </c>
      <c r="E3504" s="215" t="n">
        <v>46267</v>
      </c>
      <c r="F3504" s="215" t="n">
        <v>46267</v>
      </c>
    </row>
    <row r="3505">
      <c r="A3505" s="215" t="n">
        <v>46268</v>
      </c>
      <c r="B3505" s="216" t="n">
        <v>258.4</v>
      </c>
      <c r="C3505" s="216" t="n">
        <v>190.01</v>
      </c>
      <c r="D3505" s="216" t="n">
        <v>1.167057037353516</v>
      </c>
      <c r="E3505" s="215" t="n">
        <v>46268</v>
      </c>
      <c r="F3505" s="215" t="n">
        <v>46268</v>
      </c>
    </row>
    <row r="3506">
      <c r="A3506" s="215" t="n">
        <v>46269</v>
      </c>
      <c r="B3506" s="216" t="n">
        <v>261.6</v>
      </c>
      <c r="C3506" s="216" t="n">
        <v>187.7</v>
      </c>
      <c r="D3506" s="216" t="n">
        <v>1.166767954826355</v>
      </c>
      <c r="E3506" s="215" t="n">
        <v>46269</v>
      </c>
      <c r="F3506" s="215" t="n">
        <v>46269</v>
      </c>
    </row>
    <row r="3507">
      <c r="A3507" s="215" t="n">
        <v>46272</v>
      </c>
      <c r="B3507" s="216" t="n">
        <v>279</v>
      </c>
      <c r="C3507" s="216" t="n">
        <v>197.82</v>
      </c>
      <c r="D3507" s="216" t="n">
        <v>1.168081045150757</v>
      </c>
      <c r="E3507" s="215" t="n">
        <v>46272</v>
      </c>
      <c r="F3507" s="215" t="n">
        <v>46272</v>
      </c>
    </row>
    <row r="3508">
      <c r="A3508" s="215" t="n">
        <v>46273</v>
      </c>
      <c r="B3508" s="216" t="n">
        <v>276</v>
      </c>
      <c r="C3508" s="216" t="n">
        <v>195.65</v>
      </c>
      <c r="D3508" s="216" t="n">
        <v>1.168115019798279</v>
      </c>
      <c r="E3508" s="215" t="n">
        <v>46273</v>
      </c>
      <c r="F3508" s="215" t="n">
        <v>46273</v>
      </c>
    </row>
    <row r="3509">
      <c r="A3509" s="215" t="n">
        <v>46274</v>
      </c>
      <c r="B3509" s="216" t="n">
        <v>271.4</v>
      </c>
      <c r="C3509" s="216" t="n">
        <v>195.3</v>
      </c>
      <c r="D3509" s="216" t="n">
        <v>1.168408989906311</v>
      </c>
      <c r="E3509" s="215" t="n">
        <v>46274</v>
      </c>
      <c r="F3509" s="215" t="n">
        <v>46274</v>
      </c>
    </row>
    <row r="3510">
      <c r="A3510" s="215" t="n">
        <v>46275</v>
      </c>
      <c r="B3510" s="216" t="n">
        <v>270.4</v>
      </c>
      <c r="C3510" s="216" t="n">
        <v>195.33</v>
      </c>
      <c r="D3510" s="216" t="n">
        <v>1.168462991714478</v>
      </c>
      <c r="E3510" s="215" t="n">
        <v>46275</v>
      </c>
      <c r="F3510" s="215" t="n">
        <v>46275</v>
      </c>
    </row>
    <row r="3511">
      <c r="A3511" s="215" t="n">
        <v>46276</v>
      </c>
      <c r="B3511" s="216" t="n">
        <v>258</v>
      </c>
      <c r="C3511" s="216" t="n">
        <v>191.96</v>
      </c>
      <c r="D3511" s="216" t="n">
        <v>1.169165015220642</v>
      </c>
      <c r="E3511" s="215" t="n">
        <v>46276</v>
      </c>
      <c r="F3511" s="215" t="n">
        <v>46276</v>
      </c>
    </row>
    <row r="3512">
      <c r="A3512" s="215" t="n">
        <v>46279</v>
      </c>
      <c r="B3512" s="216" t="n">
        <v>243</v>
      </c>
      <c r="C3512" s="216" t="n">
        <v>184.65</v>
      </c>
      <c r="D3512" s="216" t="n">
        <v>1.16893994808197</v>
      </c>
      <c r="E3512" s="215" t="n">
        <v>46279</v>
      </c>
      <c r="F3512" s="215" t="n">
        <v>46279</v>
      </c>
    </row>
    <row r="3513">
      <c r="A3513" s="215" t="n">
        <v>46280</v>
      </c>
      <c r="B3513" s="216" t="n">
        <v>256.2</v>
      </c>
      <c r="C3513" s="216" t="n">
        <v>187.83</v>
      </c>
      <c r="D3513" s="216" t="n">
        <v>1.169121026992798</v>
      </c>
      <c r="E3513" s="215" t="n">
        <v>46280</v>
      </c>
      <c r="F3513" s="215" t="n">
        <v>46280</v>
      </c>
    </row>
    <row r="3514">
      <c r="A3514" s="215" t="n">
        <v>46281</v>
      </c>
      <c r="B3514" s="216" t="n">
        <v>270.2</v>
      </c>
      <c r="C3514" s="216" t="n">
        <v>199.89</v>
      </c>
      <c r="D3514" s="216" t="n">
        <v>1.168769955635071</v>
      </c>
      <c r="E3514" s="215" t="n">
        <v>46281</v>
      </c>
      <c r="F3514" s="215" t="n">
        <v>46281</v>
      </c>
    </row>
    <row r="3515">
      <c r="A3515" s="215" t="n">
        <v>46282</v>
      </c>
      <c r="B3515" s="216" t="n">
        <v>267.6</v>
      </c>
      <c r="C3515" s="216" t="n">
        <v>194.33</v>
      </c>
      <c r="D3515" s="216" t="n">
        <v>1.169389963150024</v>
      </c>
      <c r="E3515" s="215" t="n">
        <v>46282</v>
      </c>
      <c r="F3515" s="215" t="n">
        <v>46282</v>
      </c>
    </row>
    <row r="3516">
      <c r="A3516" s="215" t="n">
        <v>46283</v>
      </c>
      <c r="B3516" s="216" t="n">
        <v>283</v>
      </c>
      <c r="C3516" s="216" t="n">
        <v>202.53</v>
      </c>
      <c r="D3516" s="216" t="n">
        <v>1.16942298412323</v>
      </c>
      <c r="E3516" s="215" t="n">
        <v>46283</v>
      </c>
      <c r="F3516" s="215" t="n">
        <v>46283</v>
      </c>
    </row>
    <row r="3517">
      <c r="A3517" s="215" t="n">
        <v>46286</v>
      </c>
      <c r="B3517" s="216" t="n">
        <v>286.4</v>
      </c>
      <c r="C3517" s="216" t="n">
        <v>210.1</v>
      </c>
      <c r="D3517" s="216" t="n">
        <v>1.171280026435852</v>
      </c>
      <c r="E3517" s="215" t="n">
        <v>46286</v>
      </c>
      <c r="F3517" s="215" t="n">
        <v>46286</v>
      </c>
    </row>
    <row r="3518">
      <c r="A3518" s="215" t="n">
        <v>46287</v>
      </c>
      <c r="B3518" s="216" t="n">
        <v>309.6</v>
      </c>
      <c r="C3518" s="216" t="n">
        <v>221.83</v>
      </c>
      <c r="D3518" s="216" t="n">
        <v>1.171705007553101</v>
      </c>
      <c r="E3518" s="215" t="n">
        <v>46287</v>
      </c>
      <c r="F3518" s="215" t="n">
        <v>46287</v>
      </c>
    </row>
    <row r="3519">
      <c r="A3519" s="215" t="n">
        <v>46288</v>
      </c>
      <c r="B3519" s="216" t="n">
        <v>306.6</v>
      </c>
      <c r="C3519" s="216" t="n">
        <v>223.37</v>
      </c>
      <c r="D3519" s="216" t="n">
        <v>1.170611023902893</v>
      </c>
      <c r="E3519" s="215" t="n">
        <v>46288</v>
      </c>
      <c r="F3519" s="215" t="n">
        <v>46288</v>
      </c>
    </row>
    <row r="3520">
      <c r="A3520" s="215" t="n">
        <v>46289</v>
      </c>
      <c r="B3520" s="216" t="n">
        <v>300</v>
      </c>
      <c r="C3520" s="216" t="n">
        <v>214.5</v>
      </c>
      <c r="D3520" s="216" t="n">
        <v>1.16852605342865</v>
      </c>
      <c r="E3520" s="215" t="n">
        <v>46289</v>
      </c>
      <c r="F3520" s="215" t="n">
        <v>46289</v>
      </c>
    </row>
    <row r="3521">
      <c r="A3521" s="215" t="n">
        <v>46290</v>
      </c>
      <c r="B3521" s="216" t="n">
        <v>300.6</v>
      </c>
      <c r="C3521" s="216" t="n">
        <v>214.5</v>
      </c>
      <c r="D3521" s="216" t="n">
        <v>1.168424010276794</v>
      </c>
      <c r="E3521" s="215" t="n">
        <v>46289</v>
      </c>
      <c r="F3521" s="215" t="n">
        <v>46290</v>
      </c>
    </row>
    <row r="3522">
      <c r="A3522" s="215" t="n">
        <v>46293</v>
      </c>
      <c r="B3522" s="216" t="n">
        <v>285.2</v>
      </c>
      <c r="C3522" s="216" t="n">
        <v>208.6</v>
      </c>
      <c r="D3522" s="216" t="n">
        <v>1.168378949165344</v>
      </c>
      <c r="E3522" s="215" t="n">
        <v>46293</v>
      </c>
      <c r="F3522" s="215" t="n">
        <v>46293</v>
      </c>
    </row>
    <row r="3523">
      <c r="A3523" s="215" t="n">
        <v>46294</v>
      </c>
      <c r="B3523" s="216" t="n">
        <v>294</v>
      </c>
      <c r="C3523" s="216" t="n">
        <v>212.6</v>
      </c>
      <c r="D3523" s="216" t="n">
        <v>1.168815970420837</v>
      </c>
      <c r="E3523" s="215" t="n">
        <v>46294</v>
      </c>
      <c r="F3523" s="215" t="n">
        <v>46294</v>
      </c>
    </row>
    <row r="3524">
      <c r="A3524" s="215" t="n">
        <v>46295</v>
      </c>
      <c r="B3524" s="216" t="n">
        <v>287.4</v>
      </c>
      <c r="C3524" s="216" t="n">
        <v>202.31</v>
      </c>
      <c r="D3524" s="216" t="n">
        <v>1.17059600353241</v>
      </c>
      <c r="E3524" s="215" t="n">
        <v>46295</v>
      </c>
      <c r="F3524" s="215" t="n">
        <v>46295</v>
      </c>
    </row>
    <row r="3525">
      <c r="A3525" s="215" t="n">
        <v>46297</v>
      </c>
      <c r="B3525" s="216" t="n">
        <v>289.6</v>
      </c>
      <c r="C3525" s="216" t="n">
        <v>202.31</v>
      </c>
      <c r="D3525" s="216" t="n">
        <v>1.170220971107483</v>
      </c>
      <c r="E3525" s="215" t="n">
        <v>46295</v>
      </c>
      <c r="F3525" s="215" t="n">
        <v>46297</v>
      </c>
    </row>
    <row r="3526">
      <c r="A3526" s="215" t="n">
        <v>46213</v>
      </c>
      <c r="B3526" s="216" t="n">
        <v>32.3</v>
      </c>
      <c r="C3526" s="216" t="n">
        <v>54.12</v>
      </c>
      <c r="D3526" s="216" t="n">
        <v>1.153550028800964</v>
      </c>
      <c r="E3526" s="215" t="n">
        <v>46213</v>
      </c>
      <c r="F3526" s="215" t="n">
        <v>46213</v>
      </c>
    </row>
    <row r="3527">
      <c r="A3527" s="215" t="n">
        <v>46216</v>
      </c>
      <c r="B3527" s="216" t="n">
        <v>30</v>
      </c>
      <c r="C3527" s="216" t="n">
        <v>51.09</v>
      </c>
      <c r="D3527" s="216" t="n">
        <v>1.156761050224304</v>
      </c>
      <c r="E3527" s="215" t="n">
        <v>46216</v>
      </c>
      <c r="F3527" s="215" t="n">
        <v>46216</v>
      </c>
    </row>
    <row r="3528">
      <c r="A3528" s="215" t="n">
        <v>46217</v>
      </c>
      <c r="B3528" s="216" t="n">
        <v>29.52</v>
      </c>
      <c r="C3528" s="216" t="n">
        <v>51.3</v>
      </c>
      <c r="D3528" s="216" t="n">
        <v>1.155825972557068</v>
      </c>
      <c r="E3528" s="215" t="n">
        <v>46217</v>
      </c>
      <c r="F3528" s="215" t="n">
        <v>46217</v>
      </c>
    </row>
    <row r="3529">
      <c r="A3529" s="215" t="n">
        <v>46218</v>
      </c>
      <c r="B3529" s="216" t="n">
        <v>30.54</v>
      </c>
      <c r="C3529" s="216" t="n">
        <v>50.34</v>
      </c>
      <c r="D3529" s="216" t="n">
        <v>1.157556056976318</v>
      </c>
      <c r="E3529" s="215" t="n">
        <v>46218</v>
      </c>
      <c r="F3529" s="215" t="n">
        <v>46218</v>
      </c>
    </row>
    <row r="3530">
      <c r="A3530" s="215" t="n">
        <v>46219</v>
      </c>
      <c r="B3530" s="216" t="n">
        <v>30.92</v>
      </c>
      <c r="C3530" s="216" t="n">
        <v>48.72</v>
      </c>
      <c r="D3530" s="216" t="n">
        <v>1.157912969589233</v>
      </c>
      <c r="E3530" s="215" t="n">
        <v>46219</v>
      </c>
      <c r="F3530" s="215" t="n">
        <v>46219</v>
      </c>
    </row>
    <row r="3531">
      <c r="A3531" s="215" t="n">
        <v>46220</v>
      </c>
      <c r="B3531" s="216" t="n">
        <v>29.18</v>
      </c>
      <c r="C3531" s="216" t="n">
        <v>45.1</v>
      </c>
      <c r="D3531" s="216" t="n">
        <v>1.157472014427185</v>
      </c>
      <c r="E3531" s="215" t="n">
        <v>46220</v>
      </c>
      <c r="F3531" s="215" t="n">
        <v>46220</v>
      </c>
    </row>
    <row r="3532">
      <c r="A3532" s="215" t="n">
        <v>46223</v>
      </c>
      <c r="B3532" s="216" t="n">
        <v>29.6</v>
      </c>
      <c r="C3532" s="216" t="n">
        <v>43.4</v>
      </c>
      <c r="D3532" s="216" t="n">
        <v>1.157451033592224</v>
      </c>
      <c r="E3532" s="215" t="n">
        <v>46223</v>
      </c>
      <c r="F3532" s="215" t="n">
        <v>46223</v>
      </c>
    </row>
    <row r="3533">
      <c r="A3533" s="215" t="n">
        <v>46224</v>
      </c>
      <c r="B3533" s="216" t="n">
        <v>31.8</v>
      </c>
      <c r="C3533" s="216" t="n">
        <v>49.8</v>
      </c>
      <c r="D3533" s="216" t="n">
        <v>1.157506942749023</v>
      </c>
      <c r="E3533" s="215" t="n">
        <v>46224</v>
      </c>
      <c r="F3533" s="215" t="n">
        <v>46224</v>
      </c>
    </row>
    <row r="3534">
      <c r="A3534" s="215" t="n">
        <v>46225</v>
      </c>
      <c r="B3534" s="216" t="n">
        <v>32.1</v>
      </c>
      <c r="C3534" s="216" t="n">
        <v>48.5</v>
      </c>
      <c r="D3534" s="216" t="n">
        <v>1.158938050270081</v>
      </c>
      <c r="E3534" s="215" t="n">
        <v>46225</v>
      </c>
      <c r="F3534" s="215" t="n">
        <v>46225</v>
      </c>
    </row>
    <row r="3535">
      <c r="A3535" s="215" t="n">
        <v>46226</v>
      </c>
      <c r="B3535" s="216" t="n">
        <v>33.78</v>
      </c>
      <c r="C3535" s="216" t="n">
        <v>45.42</v>
      </c>
      <c r="D3535" s="216" t="n">
        <v>1.157410979270935</v>
      </c>
      <c r="E3535" s="215" t="n">
        <v>46226</v>
      </c>
      <c r="F3535" s="215" t="n">
        <v>46226</v>
      </c>
    </row>
    <row r="3536">
      <c r="A3536" s="215" t="n">
        <v>46227</v>
      </c>
      <c r="B3536" s="216" t="n">
        <v>34.46</v>
      </c>
      <c r="C3536" s="216" t="n">
        <v>46.79</v>
      </c>
      <c r="D3536" s="216" t="n">
        <v>1.15762197971344</v>
      </c>
      <c r="E3536" s="215" t="n">
        <v>46227</v>
      </c>
      <c r="F3536" s="215" t="n">
        <v>46227</v>
      </c>
    </row>
    <row r="3537">
      <c r="A3537" s="215" t="n">
        <v>46230</v>
      </c>
      <c r="B3537" s="216" t="n">
        <v>32.38</v>
      </c>
      <c r="C3537" s="216" t="n">
        <v>44.38</v>
      </c>
      <c r="D3537" s="216" t="n">
        <v>1.15789794921875</v>
      </c>
      <c r="E3537" s="215" t="n">
        <v>46230</v>
      </c>
      <c r="F3537" s="215" t="n">
        <v>46230</v>
      </c>
    </row>
    <row r="3538">
      <c r="A3538" s="215" t="n">
        <v>46231</v>
      </c>
      <c r="B3538" s="216" t="n">
        <v>29.28</v>
      </c>
      <c r="C3538" s="216" t="n">
        <v>40.99</v>
      </c>
      <c r="D3538" s="216" t="n">
        <v>1.158699035644531</v>
      </c>
      <c r="E3538" s="215" t="n">
        <v>46231</v>
      </c>
      <c r="F3538" s="215" t="n">
        <v>46231</v>
      </c>
    </row>
    <row r="3539">
      <c r="A3539" s="215" t="n">
        <v>46232</v>
      </c>
      <c r="B3539" s="216" t="n">
        <v>29.5</v>
      </c>
      <c r="C3539" s="216" t="n">
        <v>39.69</v>
      </c>
      <c r="D3539" s="216" t="n">
        <v>1.157909989356995</v>
      </c>
      <c r="E3539" s="215" t="n">
        <v>46232</v>
      </c>
      <c r="F3539" s="215" t="n">
        <v>46232</v>
      </c>
    </row>
    <row r="3540">
      <c r="A3540" s="215" t="n">
        <v>46233</v>
      </c>
      <c r="B3540" s="216" t="n">
        <v>27.96</v>
      </c>
      <c r="C3540" s="216" t="n">
        <v>35.92</v>
      </c>
      <c r="D3540" s="216" t="n">
        <v>1.158943057060242</v>
      </c>
      <c r="E3540" s="215" t="n">
        <v>46233</v>
      </c>
      <c r="F3540" s="215" t="n">
        <v>46233</v>
      </c>
    </row>
    <row r="3541">
      <c r="A3541" s="215" t="n">
        <v>46234</v>
      </c>
      <c r="B3541" s="216" t="n">
        <v>28.58</v>
      </c>
      <c r="C3541" s="216" t="n">
        <v>37.25</v>
      </c>
      <c r="D3541" s="216" t="n">
        <v>1.160945057868958</v>
      </c>
      <c r="E3541" s="215" t="n">
        <v>46234</v>
      </c>
      <c r="F3541" s="215" t="n">
        <v>46234</v>
      </c>
    </row>
    <row r="3542">
      <c r="A3542" s="215" t="n">
        <v>46237</v>
      </c>
      <c r="B3542" s="216" t="n">
        <v>28.26</v>
      </c>
      <c r="C3542" s="216" t="n">
        <v>34.59</v>
      </c>
      <c r="D3542" s="216" t="n">
        <v>1.161579966545105</v>
      </c>
      <c r="E3542" s="215" t="n">
        <v>46237</v>
      </c>
      <c r="F3542" s="215" t="n">
        <v>46237</v>
      </c>
    </row>
    <row r="3543">
      <c r="A3543" s="215" t="n">
        <v>46238</v>
      </c>
      <c r="B3543" s="216" t="n">
        <v>31.54</v>
      </c>
      <c r="C3543" s="216" t="n">
        <v>36.62</v>
      </c>
      <c r="D3543" s="216" t="n">
        <v>1.161064982414246</v>
      </c>
      <c r="E3543" s="215" t="n">
        <v>46238</v>
      </c>
      <c r="F3543" s="215" t="n">
        <v>46238</v>
      </c>
    </row>
    <row r="3544">
      <c r="A3544" s="215" t="n">
        <v>46239</v>
      </c>
      <c r="B3544" s="216" t="n">
        <v>32.38</v>
      </c>
      <c r="C3544" s="216" t="n">
        <v>39.2</v>
      </c>
      <c r="D3544" s="216" t="n">
        <v>1.161146998405457</v>
      </c>
      <c r="E3544" s="215" t="n">
        <v>46239</v>
      </c>
      <c r="F3544" s="215" t="n">
        <v>46239</v>
      </c>
    </row>
    <row r="3545">
      <c r="A3545" s="215" t="n">
        <v>46240</v>
      </c>
      <c r="B3545" s="216" t="n">
        <v>31.8</v>
      </c>
      <c r="C3545" s="216" t="n">
        <v>39.69</v>
      </c>
      <c r="D3545" s="216" t="n">
        <v>1.161936044692993</v>
      </c>
      <c r="E3545" s="215" t="n">
        <v>46240</v>
      </c>
      <c r="F3545" s="215" t="n">
        <v>46240</v>
      </c>
    </row>
    <row r="3546">
      <c r="A3546" s="215" t="n">
        <v>46241</v>
      </c>
      <c r="B3546" s="216" t="n">
        <v>32.78</v>
      </c>
      <c r="C3546" s="216" t="n">
        <v>40.95</v>
      </c>
      <c r="D3546" s="216" t="n">
        <v>1.162284016609192</v>
      </c>
      <c r="E3546" s="215" t="n">
        <v>46241</v>
      </c>
      <c r="F3546" s="215" t="n">
        <v>46241</v>
      </c>
    </row>
    <row r="3547">
      <c r="A3547" s="215" t="n">
        <v>46244</v>
      </c>
      <c r="B3547" s="216" t="n">
        <v>32.26</v>
      </c>
      <c r="C3547" s="216" t="n">
        <v>40.18</v>
      </c>
      <c r="D3547" s="216" t="n">
        <v>1.162629961967468</v>
      </c>
      <c r="E3547" s="215" t="n">
        <v>46244</v>
      </c>
      <c r="F3547" s="215" t="n">
        <v>46244</v>
      </c>
    </row>
    <row r="3548">
      <c r="A3548" s="215" t="n">
        <v>46245</v>
      </c>
      <c r="B3548" s="216" t="n">
        <v>32.08</v>
      </c>
      <c r="C3548" s="216" t="n">
        <v>39.7</v>
      </c>
      <c r="D3548" s="216" t="n">
        <v>1.162588000297546</v>
      </c>
      <c r="E3548" s="215" t="n">
        <v>46245</v>
      </c>
      <c r="F3548" s="215" t="n">
        <v>46245</v>
      </c>
    </row>
    <row r="3549">
      <c r="A3549" s="215" t="n">
        <v>46246</v>
      </c>
      <c r="B3549" s="216" t="n">
        <v>33.04</v>
      </c>
      <c r="C3549" s="216" t="n">
        <v>40.21</v>
      </c>
      <c r="D3549" s="216" t="n">
        <v>1.163135051727295</v>
      </c>
      <c r="E3549" s="215" t="n">
        <v>46246</v>
      </c>
      <c r="F3549" s="215" t="n">
        <v>46246</v>
      </c>
    </row>
    <row r="3550">
      <c r="A3550" s="215" t="n">
        <v>46247</v>
      </c>
      <c r="B3550" s="216" t="n">
        <v>34</v>
      </c>
      <c r="C3550" s="216" t="n">
        <v>39.59</v>
      </c>
      <c r="D3550" s="216" t="n">
        <v>1.163341045379639</v>
      </c>
      <c r="E3550" s="215" t="n">
        <v>46247</v>
      </c>
      <c r="F3550" s="215" t="n">
        <v>46247</v>
      </c>
    </row>
    <row r="3551">
      <c r="A3551" s="215" t="n">
        <v>46248</v>
      </c>
      <c r="B3551" s="216" t="n">
        <v>34.62</v>
      </c>
      <c r="C3551" s="216" t="n">
        <v>40.09</v>
      </c>
      <c r="D3551" s="216" t="n">
        <v>1.163571000099182</v>
      </c>
      <c r="E3551" s="215" t="n">
        <v>46248</v>
      </c>
      <c r="F3551" s="215" t="n">
        <v>46248</v>
      </c>
    </row>
    <row r="3552">
      <c r="A3552" s="215" t="n">
        <v>46251</v>
      </c>
      <c r="B3552" s="216" t="n">
        <v>36.7</v>
      </c>
      <c r="C3552" s="216" t="n">
        <v>43.6</v>
      </c>
      <c r="D3552" s="216" t="n">
        <v>1.163601994514465</v>
      </c>
      <c r="E3552" s="215" t="n">
        <v>46251</v>
      </c>
      <c r="F3552" s="215" t="n">
        <v>46251</v>
      </c>
    </row>
    <row r="3553">
      <c r="A3553" s="215" t="n">
        <v>46252</v>
      </c>
      <c r="B3553" s="216" t="n">
        <v>35</v>
      </c>
      <c r="C3553" s="216" t="n">
        <v>43.86</v>
      </c>
      <c r="D3553" s="216" t="n">
        <v>1.163733005523682</v>
      </c>
      <c r="E3553" s="215" t="n">
        <v>46252</v>
      </c>
      <c r="F3553" s="215" t="n">
        <v>46252</v>
      </c>
    </row>
    <row r="3554">
      <c r="A3554" s="215" t="n">
        <v>46253</v>
      </c>
      <c r="B3554" s="216" t="n">
        <v>31.02</v>
      </c>
      <c r="C3554" s="216" t="n">
        <v>39.75</v>
      </c>
      <c r="D3554" s="216" t="n">
        <v>1.163092017173767</v>
      </c>
      <c r="E3554" s="215" t="n">
        <v>46253</v>
      </c>
      <c r="F3554" s="215" t="n">
        <v>46253</v>
      </c>
    </row>
    <row r="3555">
      <c r="A3555" s="215" t="n">
        <v>46254</v>
      </c>
      <c r="B3555" s="216" t="n">
        <v>30.5</v>
      </c>
      <c r="C3555" s="216" t="n">
        <v>39.39</v>
      </c>
      <c r="D3555" s="216" t="n">
        <v>1.164932012557983</v>
      </c>
      <c r="E3555" s="215" t="n">
        <v>46254</v>
      </c>
      <c r="F3555" s="215" t="n">
        <v>46254</v>
      </c>
    </row>
    <row r="3556">
      <c r="A3556" s="215" t="n">
        <v>46255</v>
      </c>
      <c r="B3556" s="216" t="n">
        <v>30.88</v>
      </c>
      <c r="C3556" s="216" t="n">
        <v>39.12</v>
      </c>
      <c r="D3556" s="216" t="n">
        <v>1.166555047035217</v>
      </c>
      <c r="E3556" s="215" t="n">
        <v>46255</v>
      </c>
      <c r="F3556" s="215" t="n">
        <v>46255</v>
      </c>
    </row>
    <row r="3557">
      <c r="A3557" s="215" t="n">
        <v>46258</v>
      </c>
      <c r="B3557" s="216" t="n">
        <v>29</v>
      </c>
      <c r="C3557" s="216" t="n">
        <v>38.46</v>
      </c>
      <c r="D3557" s="216" t="n">
        <v>1.166316986083984</v>
      </c>
      <c r="E3557" s="215" t="n">
        <v>46258</v>
      </c>
      <c r="F3557" s="215" t="n">
        <v>46258</v>
      </c>
    </row>
    <row r="3558">
      <c r="A3558" s="215" t="n">
        <v>46259</v>
      </c>
      <c r="B3558" s="216" t="n">
        <v>30.42</v>
      </c>
      <c r="C3558" s="216" t="n">
        <v>37.37</v>
      </c>
      <c r="D3558" s="216" t="n">
        <v>1.165253043174744</v>
      </c>
      <c r="E3558" s="215" t="n">
        <v>46259</v>
      </c>
      <c r="F3558" s="215" t="n">
        <v>46259</v>
      </c>
    </row>
    <row r="3559">
      <c r="A3559" s="215" t="n">
        <v>46260</v>
      </c>
      <c r="B3559" s="216" t="n">
        <v>29.92</v>
      </c>
      <c r="C3559" s="216" t="n">
        <v>38.3</v>
      </c>
      <c r="D3559" s="216" t="n">
        <v>1.166218996047974</v>
      </c>
      <c r="E3559" s="215" t="n">
        <v>46260</v>
      </c>
      <c r="F3559" s="215" t="n">
        <v>46260</v>
      </c>
    </row>
    <row r="3560">
      <c r="A3560" s="215" t="n">
        <v>46261</v>
      </c>
      <c r="B3560" s="216" t="n">
        <v>31.56</v>
      </c>
      <c r="C3560" s="216" t="n">
        <v>41.03</v>
      </c>
      <c r="D3560" s="216" t="n">
        <v>1.165971040725708</v>
      </c>
      <c r="E3560" s="215" t="n">
        <v>46261</v>
      </c>
      <c r="F3560" s="215" t="n">
        <v>46261</v>
      </c>
    </row>
    <row r="3561">
      <c r="A3561" s="215" t="n">
        <v>46262</v>
      </c>
      <c r="B3561" s="216" t="n">
        <v>29.88</v>
      </c>
      <c r="C3561" s="216" t="n">
        <v>39.1</v>
      </c>
      <c r="D3561" s="216" t="n">
        <v>1.165799975395203</v>
      </c>
      <c r="E3561" s="215" t="n">
        <v>46262</v>
      </c>
      <c r="F3561" s="215" t="n">
        <v>46262</v>
      </c>
    </row>
    <row r="3562">
      <c r="A3562" s="215" t="n">
        <v>46265</v>
      </c>
      <c r="B3562" s="216" t="n">
        <v>29.9</v>
      </c>
      <c r="C3562" s="216" t="n">
        <v>38.77</v>
      </c>
      <c r="D3562" s="216" t="n">
        <v>1.165387988090515</v>
      </c>
      <c r="E3562" s="215" t="n">
        <v>46265</v>
      </c>
      <c r="F3562" s="215" t="n">
        <v>46265</v>
      </c>
    </row>
    <row r="3563">
      <c r="A3563" s="215" t="n">
        <v>46266</v>
      </c>
      <c r="B3563" s="216" t="n">
        <v>28.9</v>
      </c>
      <c r="C3563" s="216" t="n">
        <v>37.25</v>
      </c>
      <c r="D3563" s="216" t="n">
        <v>1.165223956108093</v>
      </c>
      <c r="E3563" s="215" t="n">
        <v>46266</v>
      </c>
      <c r="F3563" s="215" t="n">
        <v>46266</v>
      </c>
    </row>
    <row r="3564">
      <c r="A3564" s="215" t="n">
        <v>46267</v>
      </c>
      <c r="B3564" s="216" t="n">
        <v>28.52</v>
      </c>
      <c r="C3564" s="216" t="n">
        <v>36.02</v>
      </c>
      <c r="D3564" s="216" t="n">
        <v>1.166425943374634</v>
      </c>
      <c r="E3564" s="215" t="n">
        <v>46267</v>
      </c>
      <c r="F3564" s="215" t="n">
        <v>46267</v>
      </c>
    </row>
    <row r="3565">
      <c r="A3565" s="215" t="n">
        <v>46268</v>
      </c>
      <c r="B3565" s="216" t="n">
        <v>28.3</v>
      </c>
      <c r="C3565" s="216" t="n">
        <v>36.34</v>
      </c>
      <c r="D3565" s="216" t="n">
        <v>1.167057037353516</v>
      </c>
      <c r="E3565" s="215" t="n">
        <v>46268</v>
      </c>
      <c r="F3565" s="215" t="n">
        <v>46268</v>
      </c>
    </row>
    <row r="3566">
      <c r="A3566" s="215" t="n">
        <v>46269</v>
      </c>
      <c r="B3566" s="216" t="n">
        <v>27.3</v>
      </c>
      <c r="C3566" s="216" t="n">
        <v>35.07</v>
      </c>
      <c r="D3566" s="216" t="n">
        <v>1.166767954826355</v>
      </c>
      <c r="E3566" s="215" t="n">
        <v>46269</v>
      </c>
      <c r="F3566" s="215" t="n">
        <v>46269</v>
      </c>
    </row>
    <row r="3567">
      <c r="A3567" s="215" t="n">
        <v>46272</v>
      </c>
      <c r="B3567" s="216" t="n">
        <v>27.5</v>
      </c>
      <c r="C3567" s="216" t="n">
        <v>35.98</v>
      </c>
      <c r="D3567" s="216" t="n">
        <v>1.168081045150757</v>
      </c>
      <c r="E3567" s="215" t="n">
        <v>46272</v>
      </c>
      <c r="F3567" s="215" t="n">
        <v>46272</v>
      </c>
    </row>
    <row r="3568">
      <c r="A3568" s="215" t="n">
        <v>46273</v>
      </c>
      <c r="B3568" s="216" t="n">
        <v>27.18</v>
      </c>
      <c r="C3568" s="216" t="n">
        <v>35.6</v>
      </c>
      <c r="D3568" s="216" t="n">
        <v>1.168115019798279</v>
      </c>
      <c r="E3568" s="215" t="n">
        <v>46273</v>
      </c>
      <c r="F3568" s="215" t="n">
        <v>46273</v>
      </c>
    </row>
    <row r="3569">
      <c r="A3569" s="215" t="n">
        <v>46274</v>
      </c>
      <c r="B3569" s="216" t="n">
        <v>27.64</v>
      </c>
      <c r="C3569" s="216" t="n">
        <v>35.5</v>
      </c>
      <c r="D3569" s="216" t="n">
        <v>1.168408989906311</v>
      </c>
      <c r="E3569" s="215" t="n">
        <v>46274</v>
      </c>
      <c r="F3569" s="215" t="n">
        <v>46274</v>
      </c>
    </row>
    <row r="3570">
      <c r="A3570" s="215" t="n">
        <v>46275</v>
      </c>
      <c r="B3570" s="216" t="n">
        <v>28.52</v>
      </c>
      <c r="C3570" s="216" t="n">
        <v>35.5</v>
      </c>
      <c r="D3570" s="216" t="n">
        <v>1.168462991714478</v>
      </c>
      <c r="E3570" s="215" t="n">
        <v>46275</v>
      </c>
      <c r="F3570" s="215" t="n">
        <v>46275</v>
      </c>
    </row>
    <row r="3571">
      <c r="A3571" s="215" t="n">
        <v>46276</v>
      </c>
      <c r="B3571" s="216" t="n">
        <v>28</v>
      </c>
      <c r="C3571" s="216" t="n">
        <v>34.99</v>
      </c>
      <c r="D3571" s="216" t="n">
        <v>1.169165015220642</v>
      </c>
      <c r="E3571" s="215" t="n">
        <v>46276</v>
      </c>
      <c r="F3571" s="215" t="n">
        <v>46276</v>
      </c>
    </row>
    <row r="3572">
      <c r="A3572" s="215" t="n">
        <v>46279</v>
      </c>
      <c r="B3572" s="216" t="n">
        <v>26</v>
      </c>
      <c r="C3572" s="216" t="n">
        <v>34.21</v>
      </c>
      <c r="D3572" s="216" t="n">
        <v>1.16893994808197</v>
      </c>
      <c r="E3572" s="215" t="n">
        <v>46279</v>
      </c>
      <c r="F3572" s="215" t="n">
        <v>46279</v>
      </c>
    </row>
    <row r="3573">
      <c r="A3573" s="215" t="n">
        <v>46280</v>
      </c>
      <c r="B3573" s="216" t="n">
        <v>26.66</v>
      </c>
      <c r="C3573" s="216" t="n">
        <v>34.3</v>
      </c>
      <c r="D3573" s="216" t="n">
        <v>1.169121026992798</v>
      </c>
      <c r="E3573" s="215" t="n">
        <v>46280</v>
      </c>
      <c r="F3573" s="215" t="n">
        <v>46280</v>
      </c>
    </row>
    <row r="3574">
      <c r="A3574" s="215" t="n">
        <v>46281</v>
      </c>
      <c r="B3574" s="216" t="n">
        <v>27.24</v>
      </c>
      <c r="C3574" s="216" t="n">
        <v>35.67</v>
      </c>
      <c r="D3574" s="216" t="n">
        <v>1.168769955635071</v>
      </c>
      <c r="E3574" s="215" t="n">
        <v>46281</v>
      </c>
      <c r="F3574" s="215" t="n">
        <v>46281</v>
      </c>
    </row>
    <row r="3575">
      <c r="A3575" s="215" t="n">
        <v>46282</v>
      </c>
      <c r="B3575" s="216" t="n">
        <v>26.76</v>
      </c>
      <c r="C3575" s="216" t="n">
        <v>35.01</v>
      </c>
      <c r="D3575" s="216" t="n">
        <v>1.169389963150024</v>
      </c>
      <c r="E3575" s="215" t="n">
        <v>46282</v>
      </c>
      <c r="F3575" s="215" t="n">
        <v>46282</v>
      </c>
    </row>
    <row r="3576">
      <c r="A3576" s="215" t="n">
        <v>46283</v>
      </c>
      <c r="B3576" s="216" t="n">
        <v>28.74</v>
      </c>
      <c r="C3576" s="216" t="n">
        <v>36.75</v>
      </c>
      <c r="D3576" s="216" t="n">
        <v>1.16942298412323</v>
      </c>
      <c r="E3576" s="215" t="n">
        <v>46283</v>
      </c>
      <c r="F3576" s="215" t="n">
        <v>46283</v>
      </c>
    </row>
    <row r="3577">
      <c r="A3577" s="215" t="n">
        <v>46286</v>
      </c>
      <c r="B3577" s="216" t="n">
        <v>28.26</v>
      </c>
      <c r="C3577" s="216" t="n">
        <v>36.55</v>
      </c>
      <c r="D3577" s="216" t="n">
        <v>1.171280026435852</v>
      </c>
      <c r="E3577" s="215" t="n">
        <v>46286</v>
      </c>
      <c r="F3577" s="215" t="n">
        <v>46286</v>
      </c>
    </row>
    <row r="3578">
      <c r="A3578" s="215" t="n">
        <v>46287</v>
      </c>
      <c r="B3578" s="216" t="n">
        <v>27.84</v>
      </c>
      <c r="C3578" s="216" t="n">
        <v>36.61</v>
      </c>
      <c r="D3578" s="216" t="n">
        <v>1.171705007553101</v>
      </c>
      <c r="E3578" s="215" t="n">
        <v>46287</v>
      </c>
      <c r="F3578" s="215" t="n">
        <v>46287</v>
      </c>
    </row>
    <row r="3579">
      <c r="A3579" s="215" t="n">
        <v>46288</v>
      </c>
      <c r="B3579" s="216" t="n">
        <v>27.98</v>
      </c>
      <c r="C3579" s="216" t="n">
        <v>36.36</v>
      </c>
      <c r="D3579" s="216" t="n">
        <v>1.170611023902893</v>
      </c>
      <c r="E3579" s="215" t="n">
        <v>46288</v>
      </c>
      <c r="F3579" s="215" t="n">
        <v>46288</v>
      </c>
    </row>
    <row r="3580">
      <c r="A3580" s="215" t="n">
        <v>46289</v>
      </c>
      <c r="B3580" s="216" t="n">
        <v>27.4</v>
      </c>
      <c r="C3580" s="216" t="n">
        <v>34.82</v>
      </c>
      <c r="D3580" s="216" t="n">
        <v>1.16852605342865</v>
      </c>
      <c r="E3580" s="215" t="n">
        <v>46289</v>
      </c>
      <c r="F3580" s="215" t="n">
        <v>46289</v>
      </c>
    </row>
    <row r="3581">
      <c r="A3581" s="215" t="n">
        <v>46290</v>
      </c>
      <c r="B3581" s="216" t="n">
        <v>26.92</v>
      </c>
      <c r="C3581" s="216" t="n">
        <v>34.82</v>
      </c>
      <c r="D3581" s="216" t="n">
        <v>1.168424010276794</v>
      </c>
      <c r="E3581" s="215" t="n">
        <v>46289</v>
      </c>
      <c r="F3581" s="215" t="n">
        <v>46290</v>
      </c>
    </row>
    <row r="3582">
      <c r="A3582" s="215" t="n">
        <v>46293</v>
      </c>
      <c r="B3582" s="216" t="n">
        <v>26.08</v>
      </c>
      <c r="C3582" s="216" t="n">
        <v>33.21</v>
      </c>
      <c r="D3582" s="216" t="n">
        <v>1.168378949165344</v>
      </c>
      <c r="E3582" s="215" t="n">
        <v>46293</v>
      </c>
      <c r="F3582" s="215" t="n">
        <v>46293</v>
      </c>
    </row>
    <row r="3583">
      <c r="A3583" s="215" t="n">
        <v>46294</v>
      </c>
      <c r="B3583" s="216" t="n">
        <v>26.3</v>
      </c>
      <c r="C3583" s="216" t="n">
        <v>34.08</v>
      </c>
      <c r="D3583" s="216" t="n">
        <v>1.168815970420837</v>
      </c>
      <c r="E3583" s="215" t="n">
        <v>46294</v>
      </c>
      <c r="F3583" s="215" t="n">
        <v>46294</v>
      </c>
    </row>
    <row r="3584">
      <c r="A3584" s="215" t="n">
        <v>46295</v>
      </c>
      <c r="B3584" s="216" t="n">
        <v>26.68</v>
      </c>
      <c r="C3584" s="216" t="n">
        <v>32.81</v>
      </c>
      <c r="D3584" s="216" t="n">
        <v>1.17059600353241</v>
      </c>
      <c r="E3584" s="215" t="n">
        <v>46295</v>
      </c>
      <c r="F3584" s="215" t="n">
        <v>46295</v>
      </c>
    </row>
    <row r="3585">
      <c r="A3585" s="215" t="n">
        <v>46297</v>
      </c>
      <c r="B3585" s="216" t="n">
        <v>25.74</v>
      </c>
      <c r="C3585" s="216" t="n">
        <v>32.81</v>
      </c>
      <c r="D3585" s="216" t="n">
        <v>1.170220971107483</v>
      </c>
      <c r="E3585" s="215" t="n">
        <v>46295</v>
      </c>
      <c r="F3585" s="215" t="n">
        <v>46297</v>
      </c>
    </row>
    <row r="3586">
      <c r="A3586" s="215" t="n">
        <v>45999</v>
      </c>
      <c r="B3586" s="216" t="n">
        <v>111</v>
      </c>
      <c r="C3586" s="216" t="n">
        <v>155.74</v>
      </c>
      <c r="D3586" s="216" t="n">
        <v>1.1008620262146</v>
      </c>
      <c r="E3586" s="215" t="n">
        <v>45999</v>
      </c>
      <c r="F3586" s="215" t="n">
        <v>45999</v>
      </c>
    </row>
    <row r="3587">
      <c r="A3587" s="215" t="n">
        <v>46000</v>
      </c>
      <c r="B3587" s="216" t="n">
        <v>113.8</v>
      </c>
      <c r="C3587" s="216" t="n">
        <v>150.9</v>
      </c>
      <c r="D3587" s="216" t="n">
        <v>1.10008704662323</v>
      </c>
      <c r="E3587" s="215" t="n">
        <v>46000</v>
      </c>
      <c r="F3587" s="215" t="n">
        <v>46000</v>
      </c>
    </row>
    <row r="3588">
      <c r="A3588" s="215" t="n">
        <v>46001</v>
      </c>
      <c r="B3588" s="216" t="n">
        <v>115.7</v>
      </c>
      <c r="C3588" s="216" t="n">
        <v>153.78</v>
      </c>
      <c r="D3588" s="216" t="n">
        <v>1.101711988449097</v>
      </c>
      <c r="E3588" s="215" t="n">
        <v>46001</v>
      </c>
      <c r="F3588" s="215" t="n">
        <v>46001</v>
      </c>
    </row>
    <row r="3589">
      <c r="A3589" s="215" t="n">
        <v>46002</v>
      </c>
      <c r="B3589" s="216" t="n">
        <v>115.3</v>
      </c>
      <c r="C3589" s="216" t="n">
        <v>148.8</v>
      </c>
      <c r="D3589" s="216" t="n">
        <v>1.10112202167511</v>
      </c>
      <c r="E3589" s="215" t="n">
        <v>46002</v>
      </c>
      <c r="F3589" s="215" t="n">
        <v>46002</v>
      </c>
    </row>
    <row r="3590">
      <c r="A3590" s="215" t="n">
        <v>46003</v>
      </c>
      <c r="B3590" s="216" t="n">
        <v>111</v>
      </c>
      <c r="C3590" s="216" t="n">
        <v>153.83</v>
      </c>
      <c r="D3590" s="216" t="n">
        <v>1.102499008178711</v>
      </c>
      <c r="E3590" s="215" t="n">
        <v>46003</v>
      </c>
      <c r="F3590" s="215" t="n">
        <v>46003</v>
      </c>
    </row>
    <row r="3591">
      <c r="A3591" s="215" t="n">
        <v>46006</v>
      </c>
      <c r="B3591" s="216" t="n">
        <v>113.1</v>
      </c>
      <c r="C3591" s="216" t="n">
        <v>152.02</v>
      </c>
      <c r="D3591" s="216" t="n">
        <v>1.103397965431213</v>
      </c>
      <c r="E3591" s="215" t="n">
        <v>46006</v>
      </c>
      <c r="F3591" s="215" t="n">
        <v>46006</v>
      </c>
    </row>
    <row r="3592">
      <c r="A3592" s="215" t="n">
        <v>46007</v>
      </c>
      <c r="B3592" s="216" t="n">
        <v>113.9</v>
      </c>
      <c r="C3592" s="216" t="n">
        <v>148.16</v>
      </c>
      <c r="D3592" s="216" t="n">
        <v>1.104179978370667</v>
      </c>
      <c r="E3592" s="215" t="n">
        <v>46007</v>
      </c>
      <c r="F3592" s="215" t="n">
        <v>46007</v>
      </c>
    </row>
    <row r="3593">
      <c r="A3593" s="215" t="n">
        <v>46008</v>
      </c>
      <c r="B3593" s="216" t="n">
        <v>112.1</v>
      </c>
      <c r="C3593" s="216" t="n">
        <v>149.77</v>
      </c>
      <c r="D3593" s="216" t="n">
        <v>1.104655981063843</v>
      </c>
      <c r="E3593" s="215" t="n">
        <v>46008</v>
      </c>
      <c r="F3593" s="215" t="n">
        <v>46008</v>
      </c>
    </row>
    <row r="3594">
      <c r="A3594" s="215" t="n">
        <v>46009</v>
      </c>
      <c r="B3594" s="216" t="n">
        <v>113</v>
      </c>
      <c r="C3594" s="216" t="n">
        <v>149.38</v>
      </c>
      <c r="D3594" s="216" t="n">
        <v>1.104357004165649</v>
      </c>
      <c r="E3594" s="215" t="n">
        <v>46009</v>
      </c>
      <c r="F3594" s="215" t="n">
        <v>46009</v>
      </c>
    </row>
    <row r="3595">
      <c r="A3595" s="215" t="n">
        <v>46010</v>
      </c>
      <c r="B3595" s="216" t="n">
        <v>110.2</v>
      </c>
      <c r="C3595" s="216" t="n">
        <v>148.95</v>
      </c>
      <c r="D3595" s="216" t="n">
        <v>1.104962944984436</v>
      </c>
      <c r="E3595" s="215" t="n">
        <v>46010</v>
      </c>
      <c r="F3595" s="215" t="n">
        <v>46010</v>
      </c>
    </row>
    <row r="3596">
      <c r="A3596" s="215" t="n">
        <v>46013</v>
      </c>
      <c r="B3596" s="216" t="n">
        <v>110.3</v>
      </c>
      <c r="C3596" s="216" t="n">
        <v>149.63</v>
      </c>
      <c r="D3596" s="216" t="n">
        <v>1.105054020881653</v>
      </c>
      <c r="E3596" s="215" t="n">
        <v>46013</v>
      </c>
      <c r="F3596" s="215" t="n">
        <v>46013</v>
      </c>
    </row>
    <row r="3597">
      <c r="A3597" s="215" t="n">
        <v>46014</v>
      </c>
      <c r="B3597" s="216" t="n">
        <v>111.9</v>
      </c>
      <c r="C3597" s="216" t="n">
        <v>153.46</v>
      </c>
      <c r="D3597" s="216" t="n">
        <v>1.104820013046265</v>
      </c>
      <c r="E3597" s="215" t="n">
        <v>46014</v>
      </c>
      <c r="F3597" s="215" t="n">
        <v>46014</v>
      </c>
    </row>
    <row r="3598">
      <c r="A3598" s="215" t="n">
        <v>46015</v>
      </c>
      <c r="B3598" s="216" t="n">
        <v>117</v>
      </c>
      <c r="C3598" s="216" t="n">
        <v>160.69</v>
      </c>
      <c r="D3598" s="216" t="n">
        <v>1.106441974639893</v>
      </c>
      <c r="E3598" s="215" t="n">
        <v>46015</v>
      </c>
      <c r="F3598" s="215" t="n">
        <v>46015</v>
      </c>
    </row>
    <row r="3599">
      <c r="A3599" s="215" t="n">
        <v>46020</v>
      </c>
      <c r="B3599" s="216" t="n">
        <v>116.9</v>
      </c>
      <c r="C3599" s="216" t="n">
        <v>161.49</v>
      </c>
      <c r="D3599" s="216" t="n">
        <v>1.10552704334259</v>
      </c>
      <c r="E3599" s="215" t="n">
        <v>46020</v>
      </c>
      <c r="F3599" s="215" t="n">
        <v>46020</v>
      </c>
    </row>
    <row r="3600">
      <c r="A3600" s="215" t="n">
        <v>46021</v>
      </c>
      <c r="B3600" s="216" t="n">
        <v>116.8</v>
      </c>
      <c r="C3600" s="216" t="n">
        <v>161.9</v>
      </c>
      <c r="D3600" s="216" t="n">
        <v>1.109460949897766</v>
      </c>
      <c r="E3600" s="215" t="n">
        <v>46021</v>
      </c>
      <c r="F3600" s="215" t="n">
        <v>46021</v>
      </c>
    </row>
    <row r="3601">
      <c r="A3601" s="215" t="n">
        <v>46022</v>
      </c>
      <c r="B3601" s="216" t="n">
        <v>116.8</v>
      </c>
      <c r="C3601" s="216" t="n">
        <v>158.18</v>
      </c>
      <c r="D3601" s="216" t="n">
        <v>1.111927032470703</v>
      </c>
      <c r="E3601" s="215" t="n">
        <v>46022</v>
      </c>
      <c r="F3601" s="215" t="n">
        <v>46022</v>
      </c>
    </row>
    <row r="3602">
      <c r="A3602" s="215" t="n">
        <v>46024</v>
      </c>
      <c r="B3602" s="216" t="n">
        <v>119.8</v>
      </c>
      <c r="C3602" s="216" t="n">
        <v>158.18</v>
      </c>
      <c r="D3602" s="216" t="n">
        <v>1.112754940986633</v>
      </c>
      <c r="E3602" s="215" t="n">
        <v>46022</v>
      </c>
      <c r="F3602" s="215" t="n">
        <v>46024</v>
      </c>
    </row>
    <row r="3603">
      <c r="A3603" s="215" t="n">
        <v>46027</v>
      </c>
      <c r="B3603" s="216" t="n">
        <v>120.6</v>
      </c>
      <c r="C3603" s="216" t="n">
        <v>162.4</v>
      </c>
      <c r="D3603" s="216" t="n">
        <v>1.113860011100769</v>
      </c>
      <c r="E3603" s="215" t="n">
        <v>46027</v>
      </c>
      <c r="F3603" s="215" t="n">
        <v>46027</v>
      </c>
    </row>
    <row r="3604">
      <c r="A3604" s="215" t="n">
        <v>46028</v>
      </c>
      <c r="B3604" s="216" t="n">
        <v>126.3</v>
      </c>
      <c r="C3604" s="216" t="n">
        <v>165.53</v>
      </c>
      <c r="D3604" s="216" t="n">
        <v>1.11367404460907</v>
      </c>
      <c r="E3604" s="215" t="n">
        <v>46028</v>
      </c>
      <c r="F3604" s="215" t="n">
        <v>46028</v>
      </c>
    </row>
    <row r="3605">
      <c r="A3605" s="215" t="n">
        <v>46029</v>
      </c>
      <c r="B3605" s="216" t="n">
        <v>142.9</v>
      </c>
      <c r="C3605" s="216" t="n">
        <v>183.87</v>
      </c>
      <c r="D3605" s="216" t="n">
        <v>1.114913940429688</v>
      </c>
      <c r="E3605" s="215" t="n">
        <v>46029</v>
      </c>
      <c r="F3605" s="215" t="n">
        <v>46029</v>
      </c>
    </row>
    <row r="3606">
      <c r="A3606" s="215" t="n">
        <v>46030</v>
      </c>
      <c r="B3606" s="216" t="n">
        <v>144.7</v>
      </c>
      <c r="C3606" s="216" t="n">
        <v>177.5</v>
      </c>
      <c r="D3606" s="216" t="n">
        <v>1.112563014030457</v>
      </c>
      <c r="E3606" s="215" t="n">
        <v>46030</v>
      </c>
      <c r="F3606" s="215" t="n">
        <v>46030</v>
      </c>
    </row>
    <row r="3607">
      <c r="A3607" s="215" t="n">
        <v>46031</v>
      </c>
      <c r="B3607" s="216" t="n">
        <v>140.1</v>
      </c>
      <c r="C3607" s="216" t="n">
        <v>177.14</v>
      </c>
      <c r="D3607" s="216" t="n">
        <v>1.115561008453369</v>
      </c>
      <c r="E3607" s="215" t="n">
        <v>46031</v>
      </c>
      <c r="F3607" s="215" t="n">
        <v>46031</v>
      </c>
    </row>
    <row r="3608">
      <c r="A3608" s="215" t="n">
        <v>46034</v>
      </c>
      <c r="B3608" s="216" t="n">
        <v>139.8</v>
      </c>
      <c r="C3608" s="216" t="n">
        <v>174.31</v>
      </c>
      <c r="D3608" s="216" t="n">
        <v>1.117015957832336</v>
      </c>
      <c r="E3608" s="215" t="n">
        <v>46034</v>
      </c>
      <c r="F3608" s="215" t="n">
        <v>46034</v>
      </c>
    </row>
    <row r="3609">
      <c r="A3609" s="215" t="n">
        <v>46035</v>
      </c>
      <c r="B3609" s="216" t="n">
        <v>134</v>
      </c>
      <c r="C3609" s="216" t="n">
        <v>170.33</v>
      </c>
      <c r="D3609" s="216" t="n">
        <v>1.117892026901245</v>
      </c>
      <c r="E3609" s="215" t="n">
        <v>46035</v>
      </c>
      <c r="F3609" s="215" t="n">
        <v>46035</v>
      </c>
    </row>
    <row r="3610">
      <c r="A3610" s="215" t="n">
        <v>46036</v>
      </c>
      <c r="B3610" s="216" t="n">
        <v>137.6</v>
      </c>
      <c r="C3610" s="216" t="n">
        <v>171.87</v>
      </c>
      <c r="D3610" s="216" t="n">
        <v>1.117897987365723</v>
      </c>
      <c r="E3610" s="215" t="n">
        <v>46036</v>
      </c>
      <c r="F3610" s="215" t="n">
        <v>46036</v>
      </c>
    </row>
    <row r="3611">
      <c r="A3611" s="215" t="n">
        <v>46037</v>
      </c>
      <c r="B3611" s="216" t="n">
        <v>139</v>
      </c>
      <c r="C3611" s="216" t="n">
        <v>171.73</v>
      </c>
      <c r="D3611" s="216" t="n">
        <v>1.118072032928467</v>
      </c>
      <c r="E3611" s="215" t="n">
        <v>46037</v>
      </c>
      <c r="F3611" s="215" t="n">
        <v>46037</v>
      </c>
    </row>
    <row r="3612">
      <c r="A3612" s="215" t="n">
        <v>46038</v>
      </c>
      <c r="B3612" s="216" t="n">
        <v>139</v>
      </c>
      <c r="C3612" s="216" t="n">
        <v>174.98</v>
      </c>
      <c r="D3612" s="216" t="n">
        <v>1.119040012359619</v>
      </c>
      <c r="E3612" s="215" t="n">
        <v>46038</v>
      </c>
      <c r="F3612" s="215" t="n">
        <v>46038</v>
      </c>
    </row>
    <row r="3613">
      <c r="A3613" s="215" t="n">
        <v>46041</v>
      </c>
      <c r="B3613" s="216" t="n">
        <v>135.4</v>
      </c>
      <c r="C3613" s="216" t="n">
        <v>172.5</v>
      </c>
      <c r="D3613" s="216" t="n">
        <v>1.118916034698486</v>
      </c>
      <c r="E3613" s="215" t="n">
        <v>46041</v>
      </c>
      <c r="F3613" s="215" t="n">
        <v>46041</v>
      </c>
    </row>
    <row r="3614">
      <c r="A3614" s="215" t="n">
        <v>46042</v>
      </c>
      <c r="B3614" s="216" t="n">
        <v>138</v>
      </c>
      <c r="C3614" s="216" t="n">
        <v>174.45</v>
      </c>
      <c r="D3614" s="216" t="n">
        <v>1.118687987327576</v>
      </c>
      <c r="E3614" s="215" t="n">
        <v>46042</v>
      </c>
      <c r="F3614" s="215" t="n">
        <v>46042</v>
      </c>
    </row>
    <row r="3615">
      <c r="A3615" s="215" t="n">
        <v>46043</v>
      </c>
      <c r="B3615" s="216" t="n">
        <v>147.8</v>
      </c>
      <c r="C3615" s="216" t="n">
        <v>185.22</v>
      </c>
      <c r="D3615" s="216" t="n">
        <v>1.12024998664856</v>
      </c>
      <c r="E3615" s="215" t="n">
        <v>46043</v>
      </c>
      <c r="F3615" s="215" t="n">
        <v>46043</v>
      </c>
    </row>
    <row r="3616">
      <c r="A3616" s="215" t="n">
        <v>46044</v>
      </c>
      <c r="B3616" s="216" t="n">
        <v>136.1</v>
      </c>
      <c r="C3616" s="216" t="n">
        <v>185.82</v>
      </c>
      <c r="D3616" s="216" t="n">
        <v>1.11942195892334</v>
      </c>
      <c r="E3616" s="215" t="n">
        <v>46044</v>
      </c>
      <c r="F3616" s="215" t="n">
        <v>46044</v>
      </c>
    </row>
    <row r="3617">
      <c r="A3617" s="215" t="n">
        <v>46045</v>
      </c>
      <c r="B3617" s="216" t="n">
        <v>139.7</v>
      </c>
      <c r="C3617" s="216" t="n">
        <v>190.37</v>
      </c>
      <c r="D3617" s="216" t="n">
        <v>1.117977976799011</v>
      </c>
      <c r="E3617" s="215" t="n">
        <v>46045</v>
      </c>
      <c r="F3617" s="215" t="n">
        <v>46045</v>
      </c>
    </row>
    <row r="3618">
      <c r="A3618" s="215" t="n">
        <v>46048</v>
      </c>
      <c r="B3618" s="216" t="n">
        <v>133.7</v>
      </c>
      <c r="C3618" s="216" t="n">
        <v>179.3</v>
      </c>
      <c r="D3618" s="216" t="n">
        <v>1.117916941642761</v>
      </c>
      <c r="E3618" s="215" t="n">
        <v>46048</v>
      </c>
      <c r="F3618" s="215" t="n">
        <v>46048</v>
      </c>
    </row>
    <row r="3619">
      <c r="A3619" s="215" t="n">
        <v>46049</v>
      </c>
      <c r="B3619" s="216" t="n">
        <v>141.2</v>
      </c>
      <c r="C3619" s="216" t="n">
        <v>186.96</v>
      </c>
      <c r="D3619" s="216" t="n">
        <v>1.121191024780273</v>
      </c>
      <c r="E3619" s="215" t="n">
        <v>46049</v>
      </c>
      <c r="F3619" s="215" t="n">
        <v>46049</v>
      </c>
    </row>
    <row r="3620">
      <c r="A3620" s="215" t="n">
        <v>46050</v>
      </c>
      <c r="B3620" s="216" t="n">
        <v>156.7</v>
      </c>
      <c r="C3620" s="216" t="n">
        <v>196.06</v>
      </c>
      <c r="D3620" s="216" t="n">
        <v>1.121533036231995</v>
      </c>
      <c r="E3620" s="215" t="n">
        <v>46050</v>
      </c>
      <c r="F3620" s="215" t="n">
        <v>46050</v>
      </c>
    </row>
    <row r="3621">
      <c r="A3621" s="215" t="n">
        <v>46051</v>
      </c>
      <c r="B3621" s="216" t="n">
        <v>152.3</v>
      </c>
      <c r="C3621" s="216" t="n">
        <v>186.97</v>
      </c>
      <c r="D3621" s="216" t="n">
        <v>1.121621966362</v>
      </c>
      <c r="E3621" s="215" t="n">
        <v>46051</v>
      </c>
      <c r="F3621" s="215" t="n">
        <v>46051</v>
      </c>
    </row>
    <row r="3622">
      <c r="A3622" s="215" t="n">
        <v>46052</v>
      </c>
      <c r="B3622" s="216" t="n">
        <v>147.7</v>
      </c>
      <c r="C3622" s="216" t="n">
        <v>185.9</v>
      </c>
      <c r="D3622" s="216" t="n">
        <v>1.123343944549561</v>
      </c>
      <c r="E3622" s="215" t="n">
        <v>46052</v>
      </c>
      <c r="F3622" s="215" t="n">
        <v>46052</v>
      </c>
    </row>
    <row r="3623">
      <c r="A3623" s="215" t="n">
        <v>46055</v>
      </c>
      <c r="B3623" s="216" t="n">
        <v>134.9</v>
      </c>
      <c r="C3623" s="216" t="n">
        <v>170.98</v>
      </c>
      <c r="D3623" s="216" t="n">
        <v>1.123572945594788</v>
      </c>
      <c r="E3623" s="215" t="n">
        <v>46055</v>
      </c>
      <c r="F3623" s="215" t="n">
        <v>46055</v>
      </c>
    </row>
    <row r="3624">
      <c r="A3624" s="215" t="n">
        <v>46056</v>
      </c>
      <c r="B3624" s="216" t="n">
        <v>148.6</v>
      </c>
      <c r="C3624" s="216" t="n">
        <v>176.33</v>
      </c>
      <c r="D3624" s="216" t="n">
        <v>1.124274969100952</v>
      </c>
      <c r="E3624" s="215" t="n">
        <v>46056</v>
      </c>
      <c r="F3624" s="215" t="n">
        <v>46056</v>
      </c>
    </row>
    <row r="3625">
      <c r="A3625" s="215" t="n">
        <v>46057</v>
      </c>
      <c r="B3625" s="216" t="n">
        <v>138.7</v>
      </c>
      <c r="C3625" s="216" t="n">
        <v>170.32</v>
      </c>
      <c r="D3625" s="216" t="n">
        <v>1.12601101398468</v>
      </c>
      <c r="E3625" s="215" t="n">
        <v>46057</v>
      </c>
      <c r="F3625" s="215" t="n">
        <v>46057</v>
      </c>
    </row>
    <row r="3626">
      <c r="A3626" s="215" t="n">
        <v>46058</v>
      </c>
      <c r="B3626" s="216" t="n">
        <v>143.9</v>
      </c>
      <c r="C3626" s="216" t="n">
        <v>181.01</v>
      </c>
      <c r="D3626" s="216" t="n">
        <v>1.125892996788025</v>
      </c>
      <c r="E3626" s="215" t="n">
        <v>46058</v>
      </c>
      <c r="F3626" s="215" t="n">
        <v>46058</v>
      </c>
    </row>
    <row r="3627">
      <c r="A3627" s="215" t="n">
        <v>46059</v>
      </c>
      <c r="B3627" s="216" t="n">
        <v>136.2</v>
      </c>
      <c r="C3627" s="216" t="n">
        <v>174.17</v>
      </c>
      <c r="D3627" s="216" t="n">
        <v>1.126062035560608</v>
      </c>
      <c r="E3627" s="215" t="n">
        <v>46059</v>
      </c>
      <c r="F3627" s="215" t="n">
        <v>46059</v>
      </c>
    </row>
    <row r="3628">
      <c r="A3628" s="215" t="n">
        <v>46062</v>
      </c>
      <c r="B3628" s="216" t="n">
        <v>143.4</v>
      </c>
      <c r="C3628" s="216" t="n">
        <v>178.5</v>
      </c>
      <c r="D3628" s="216" t="n">
        <v>1.125753998756409</v>
      </c>
      <c r="E3628" s="215" t="n">
        <v>46062</v>
      </c>
      <c r="F3628" s="215" t="n">
        <v>46062</v>
      </c>
    </row>
    <row r="3629">
      <c r="A3629" s="215" t="n">
        <v>46063</v>
      </c>
      <c r="B3629" s="216" t="n">
        <v>136.1</v>
      </c>
      <c r="C3629" s="216" t="n">
        <v>175.73</v>
      </c>
      <c r="D3629" s="216" t="n">
        <v>1.129003047943115</v>
      </c>
      <c r="E3629" s="215" t="n">
        <v>46063</v>
      </c>
      <c r="F3629" s="215" t="n">
        <v>46063</v>
      </c>
    </row>
    <row r="3630">
      <c r="A3630" s="215" t="n">
        <v>46064</v>
      </c>
      <c r="B3630" s="216" t="n">
        <v>135.9</v>
      </c>
      <c r="C3630" s="216" t="n">
        <v>176</v>
      </c>
      <c r="D3630" s="216" t="n">
        <v>1.130962014198303</v>
      </c>
      <c r="E3630" s="215" t="n">
        <v>46064</v>
      </c>
      <c r="F3630" s="215" t="n">
        <v>46064</v>
      </c>
    </row>
    <row r="3631">
      <c r="A3631" s="215" t="n">
        <v>46065</v>
      </c>
      <c r="B3631" s="216" t="n">
        <v>138.8</v>
      </c>
      <c r="C3631" s="216" t="n">
        <v>183</v>
      </c>
      <c r="D3631" s="216" t="n">
        <v>1.130671977996826</v>
      </c>
      <c r="E3631" s="215" t="n">
        <v>46065</v>
      </c>
      <c r="F3631" s="215" t="n">
        <v>46065</v>
      </c>
    </row>
    <row r="3632">
      <c r="A3632" s="215" t="n">
        <v>46066</v>
      </c>
      <c r="B3632" s="216" t="n">
        <v>138</v>
      </c>
      <c r="C3632" s="216" t="n">
        <v>179.25</v>
      </c>
      <c r="D3632" s="216" t="n">
        <v>1.132490992546082</v>
      </c>
      <c r="E3632" s="215" t="n">
        <v>46066</v>
      </c>
      <c r="F3632" s="215" t="n">
        <v>46066</v>
      </c>
    </row>
    <row r="3633">
      <c r="A3633" s="215" t="n">
        <v>46069</v>
      </c>
      <c r="B3633" s="216" t="n">
        <v>138</v>
      </c>
      <c r="C3633" s="216" t="n">
        <v>179.25</v>
      </c>
      <c r="D3633" s="216" t="n">
        <v>1.131224036216736</v>
      </c>
      <c r="E3633" s="215" t="n">
        <v>46066</v>
      </c>
      <c r="F3633" s="215" t="n">
        <v>46069</v>
      </c>
    </row>
    <row r="3634">
      <c r="A3634" s="215" t="n">
        <v>46073</v>
      </c>
      <c r="B3634" s="216" t="n">
        <v>130.5</v>
      </c>
      <c r="C3634" s="216" t="n">
        <v>179.25</v>
      </c>
      <c r="D3634" s="216" t="n">
        <v>1.131005048751831</v>
      </c>
      <c r="E3634" s="215" t="n">
        <v>46066</v>
      </c>
      <c r="F3634" s="215" t="n">
        <v>46073</v>
      </c>
    </row>
    <row r="3635">
      <c r="A3635" s="215" t="n">
        <v>46076</v>
      </c>
      <c r="B3635" s="216" t="n">
        <v>136.8</v>
      </c>
      <c r="C3635" s="216" t="n">
        <v>179.25</v>
      </c>
      <c r="D3635" s="216" t="n">
        <v>1.130877017974854</v>
      </c>
      <c r="E3635" s="215" t="n">
        <v>46066</v>
      </c>
      <c r="F3635" s="215" t="n">
        <v>46076</v>
      </c>
    </row>
    <row r="3636">
      <c r="A3636" s="215" t="n">
        <v>46077</v>
      </c>
      <c r="B3636" s="216" t="n">
        <v>137.6</v>
      </c>
      <c r="C3636" s="216" t="n">
        <v>173.63</v>
      </c>
      <c r="D3636" s="216" t="n">
        <v>1.131631016731262</v>
      </c>
      <c r="E3636" s="215" t="n">
        <v>46077</v>
      </c>
      <c r="F3636" s="215" t="n">
        <v>46077</v>
      </c>
    </row>
    <row r="3637">
      <c r="A3637" s="215" t="n">
        <v>46078</v>
      </c>
      <c r="B3637" s="216" t="n">
        <v>136.1</v>
      </c>
      <c r="C3637" s="216" t="n">
        <v>171.15</v>
      </c>
      <c r="D3637" s="216" t="n">
        <v>1.136234045028687</v>
      </c>
      <c r="E3637" s="215" t="n">
        <v>46078</v>
      </c>
      <c r="F3637" s="215" t="n">
        <v>46078</v>
      </c>
    </row>
    <row r="3638">
      <c r="A3638" s="215" t="n">
        <v>46079</v>
      </c>
      <c r="B3638" s="216" t="n">
        <v>136.8</v>
      </c>
      <c r="C3638" s="216" t="n">
        <v>175.01</v>
      </c>
      <c r="D3638" s="216" t="n">
        <v>1.138198971748352</v>
      </c>
      <c r="E3638" s="215" t="n">
        <v>46079</v>
      </c>
      <c r="F3638" s="215" t="n">
        <v>46079</v>
      </c>
    </row>
    <row r="3639">
      <c r="A3639" s="215" t="n">
        <v>46080</v>
      </c>
      <c r="B3639" s="216" t="n">
        <v>133.8</v>
      </c>
      <c r="C3639" s="216" t="n">
        <v>170</v>
      </c>
      <c r="D3639" s="216" t="n">
        <v>1.143396973609924</v>
      </c>
      <c r="E3639" s="215" t="n">
        <v>46080</v>
      </c>
      <c r="F3639" s="215" t="n">
        <v>46080</v>
      </c>
    </row>
    <row r="3640">
      <c r="A3640" s="215" t="n">
        <v>46084</v>
      </c>
      <c r="B3640" s="216" t="n">
        <v>124</v>
      </c>
      <c r="C3640" s="216" t="n">
        <v>155.62</v>
      </c>
      <c r="D3640" s="216" t="n">
        <v>1.136399984359741</v>
      </c>
      <c r="E3640" s="215" t="n">
        <v>46084</v>
      </c>
      <c r="F3640" s="215" t="n">
        <v>46084</v>
      </c>
    </row>
    <row r="3641">
      <c r="A3641" s="215" t="n">
        <v>46085</v>
      </c>
      <c r="B3641" s="216" t="n">
        <v>121.7</v>
      </c>
      <c r="C3641" s="216" t="n">
        <v>156.87</v>
      </c>
      <c r="D3641" s="216" t="n">
        <v>1.130928993225098</v>
      </c>
      <c r="E3641" s="215" t="n">
        <v>46085</v>
      </c>
      <c r="F3641" s="215" t="n">
        <v>46085</v>
      </c>
    </row>
    <row r="3642">
      <c r="A3642" s="215" t="n">
        <v>46086</v>
      </c>
      <c r="B3642" s="216" t="n">
        <v>123</v>
      </c>
      <c r="C3642" s="216" t="n">
        <v>152.99</v>
      </c>
      <c r="D3642" s="216" t="n">
        <v>1.133169054985046</v>
      </c>
      <c r="E3642" s="215" t="n">
        <v>46086</v>
      </c>
      <c r="F3642" s="215" t="n">
        <v>46086</v>
      </c>
    </row>
    <row r="3643">
      <c r="A3643" s="215" t="n">
        <v>46087</v>
      </c>
      <c r="B3643" s="216" t="n">
        <v>127.1</v>
      </c>
      <c r="C3643" s="216" t="n">
        <v>164.33</v>
      </c>
      <c r="D3643" s="216" t="n">
        <v>1.133442044258118</v>
      </c>
      <c r="E3643" s="215" t="n">
        <v>46087</v>
      </c>
      <c r="F3643" s="215" t="n">
        <v>46087</v>
      </c>
    </row>
    <row r="3644">
      <c r="A3644" s="215" t="n">
        <v>46090</v>
      </c>
      <c r="B3644" s="216" t="n">
        <v>128.8</v>
      </c>
      <c r="C3644" s="216" t="n">
        <v>171.3</v>
      </c>
      <c r="D3644" s="216" t="n">
        <v>1.133231043815613</v>
      </c>
      <c r="E3644" s="215" t="n">
        <v>46090</v>
      </c>
      <c r="F3644" s="215" t="n">
        <v>46090</v>
      </c>
    </row>
    <row r="3645">
      <c r="A3645" s="215" t="n">
        <v>46091</v>
      </c>
      <c r="B3645" s="216" t="n">
        <v>137.2</v>
      </c>
      <c r="C3645" s="216" t="n">
        <v>177.22</v>
      </c>
      <c r="D3645" s="216" t="n">
        <v>1.131595015525818</v>
      </c>
      <c r="E3645" s="215" t="n">
        <v>46091</v>
      </c>
      <c r="F3645" s="215" t="n">
        <v>46091</v>
      </c>
    </row>
    <row r="3646">
      <c r="A3646" s="215" t="n">
        <v>46092</v>
      </c>
      <c r="B3646" s="216" t="n">
        <v>135.1</v>
      </c>
      <c r="C3646" s="216" t="n">
        <v>175.12</v>
      </c>
      <c r="D3646" s="216" t="n">
        <v>1.137585043907166</v>
      </c>
      <c r="E3646" s="215" t="n">
        <v>46092</v>
      </c>
      <c r="F3646" s="215" t="n">
        <v>46092</v>
      </c>
    </row>
    <row r="3647">
      <c r="A3647" s="215" t="n">
        <v>46093</v>
      </c>
      <c r="B3647" s="216" t="n">
        <v>131.8</v>
      </c>
      <c r="C3647" s="216" t="n">
        <v>173.81</v>
      </c>
      <c r="D3647" s="216" t="n">
        <v>1.139600038528442</v>
      </c>
      <c r="E3647" s="215" t="n">
        <v>46093</v>
      </c>
      <c r="F3647" s="215" t="n">
        <v>46093</v>
      </c>
    </row>
    <row r="3648">
      <c r="A3648" s="215" t="n">
        <v>46094</v>
      </c>
      <c r="B3648" s="216" t="n">
        <v>126</v>
      </c>
      <c r="C3648" s="216" t="n">
        <v>164</v>
      </c>
      <c r="D3648" s="216" t="n">
        <v>1.139310002326965</v>
      </c>
      <c r="E3648" s="215" t="n">
        <v>46094</v>
      </c>
      <c r="F3648" s="215" t="n">
        <v>46094</v>
      </c>
    </row>
    <row r="3649">
      <c r="A3649" s="215" t="n">
        <v>46097</v>
      </c>
      <c r="B3649" s="216" t="n">
        <v>125.2</v>
      </c>
      <c r="C3649" s="216" t="n">
        <v>166.81</v>
      </c>
      <c r="D3649" s="216" t="n">
        <v>1.134883999824524</v>
      </c>
      <c r="E3649" s="215" t="n">
        <v>46097</v>
      </c>
      <c r="F3649" s="215" t="n">
        <v>46097</v>
      </c>
    </row>
    <row r="3650">
      <c r="A3650" s="215" t="n">
        <v>46098</v>
      </c>
      <c r="B3650" s="216" t="n">
        <v>122.8</v>
      </c>
      <c r="C3650" s="216" t="n">
        <v>160.22</v>
      </c>
      <c r="D3650" s="216" t="n">
        <v>1.125375986099243</v>
      </c>
      <c r="E3650" s="215" t="n">
        <v>46098</v>
      </c>
      <c r="F3650" s="215" t="n">
        <v>46098</v>
      </c>
    </row>
    <row r="3651">
      <c r="A3651" s="215" t="n">
        <v>46099</v>
      </c>
      <c r="B3651" s="216" t="n">
        <v>124.8</v>
      </c>
      <c r="C3651" s="216" t="n">
        <v>158.86</v>
      </c>
      <c r="D3651" s="216" t="n">
        <v>1.137819051742554</v>
      </c>
      <c r="E3651" s="215" t="n">
        <v>46099</v>
      </c>
      <c r="F3651" s="215" t="n">
        <v>46099</v>
      </c>
    </row>
    <row r="3652">
      <c r="A3652" s="215" t="n">
        <v>46100</v>
      </c>
      <c r="B3652" s="216" t="n">
        <v>121.3</v>
      </c>
      <c r="C3652" s="216" t="n">
        <v>155.8</v>
      </c>
      <c r="D3652" s="216" t="n">
        <v>1.140079021453857</v>
      </c>
      <c r="E3652" s="215" t="n">
        <v>46100</v>
      </c>
      <c r="F3652" s="215" t="n">
        <v>46100</v>
      </c>
    </row>
    <row r="3653">
      <c r="A3653" s="215" t="n">
        <v>46101</v>
      </c>
      <c r="B3653" s="216" t="n">
        <v>120.8</v>
      </c>
      <c r="C3653" s="216" t="n">
        <v>161.65</v>
      </c>
      <c r="D3653" s="216" t="n">
        <v>1.13490903377533</v>
      </c>
      <c r="E3653" s="215" t="n">
        <v>46101</v>
      </c>
      <c r="F3653" s="215" t="n">
        <v>46101</v>
      </c>
    </row>
    <row r="3654">
      <c r="A3654" s="215" t="n">
        <v>46104</v>
      </c>
      <c r="B3654" s="216" t="n">
        <v>120</v>
      </c>
      <c r="C3654" s="216" t="n">
        <v>152.21</v>
      </c>
      <c r="D3654" s="216" t="n">
        <v>1.137529969215393</v>
      </c>
      <c r="E3654" s="215" t="n">
        <v>46104</v>
      </c>
      <c r="F3654" s="215" t="n">
        <v>46104</v>
      </c>
    </row>
    <row r="3655">
      <c r="A3655" s="215" t="n">
        <v>46105</v>
      </c>
      <c r="B3655" s="216" t="n">
        <v>121.7</v>
      </c>
      <c r="C3655" s="216" t="n">
        <v>156.18</v>
      </c>
      <c r="D3655" s="216" t="n">
        <v>1.138481974601746</v>
      </c>
      <c r="E3655" s="215" t="n">
        <v>46105</v>
      </c>
      <c r="F3655" s="215" t="n">
        <v>46105</v>
      </c>
    </row>
    <row r="3656">
      <c r="A3656" s="215" t="n">
        <v>46106</v>
      </c>
      <c r="B3656" s="216" t="n">
        <v>123.5</v>
      </c>
      <c r="C3656" s="216" t="n">
        <v>163.1</v>
      </c>
      <c r="D3656" s="216" t="n">
        <v>1.135548949241638</v>
      </c>
      <c r="E3656" s="215" t="n">
        <v>46106</v>
      </c>
      <c r="F3656" s="215" t="n">
        <v>46106</v>
      </c>
    </row>
    <row r="3657">
      <c r="A3657" s="215" t="n">
        <v>46107</v>
      </c>
      <c r="B3657" s="216" t="n">
        <v>118.4</v>
      </c>
      <c r="C3657" s="216" t="n">
        <v>158.8</v>
      </c>
      <c r="D3657" s="216" t="n">
        <v>1.132627010345459</v>
      </c>
      <c r="E3657" s="215" t="n">
        <v>46107</v>
      </c>
      <c r="F3657" s="215" t="n">
        <v>46107</v>
      </c>
    </row>
    <row r="3658">
      <c r="A3658" s="215" t="n">
        <v>46108</v>
      </c>
      <c r="B3658" s="216" t="n">
        <v>119.2</v>
      </c>
      <c r="C3658" s="216" t="n">
        <v>159</v>
      </c>
      <c r="D3658" s="216" t="n">
        <v>1.132115960121155</v>
      </c>
      <c r="E3658" s="215" t="n">
        <v>46108</v>
      </c>
      <c r="F3658" s="215" t="n">
        <v>46108</v>
      </c>
    </row>
    <row r="3659">
      <c r="A3659" s="215" t="n">
        <v>46111</v>
      </c>
      <c r="B3659" s="216" t="n">
        <v>115.9</v>
      </c>
      <c r="C3659" s="216" t="n">
        <v>151.89</v>
      </c>
      <c r="D3659" s="216" t="n">
        <v>1.13311505317688</v>
      </c>
      <c r="E3659" s="215" t="n">
        <v>46111</v>
      </c>
      <c r="F3659" s="215" t="n">
        <v>46111</v>
      </c>
    </row>
    <row r="3660">
      <c r="A3660" s="215" t="n">
        <v>46112</v>
      </c>
      <c r="B3660" s="216" t="n">
        <v>115.1</v>
      </c>
      <c r="C3660" s="216" t="n">
        <v>147.88</v>
      </c>
      <c r="D3660" s="216" t="n">
        <v>1.133540987968445</v>
      </c>
      <c r="E3660" s="215" t="n">
        <v>46112</v>
      </c>
      <c r="F3660" s="215" t="n">
        <v>46112</v>
      </c>
    </row>
    <row r="3661">
      <c r="A3661" s="215" t="n">
        <v>46113</v>
      </c>
      <c r="B3661" s="216" t="n">
        <v>117.8</v>
      </c>
      <c r="C3661" s="216" t="n">
        <v>152.7</v>
      </c>
      <c r="D3661" s="216" t="n">
        <v>1.136669993400574</v>
      </c>
      <c r="E3661" s="215" t="n">
        <v>46113</v>
      </c>
      <c r="F3661" s="215" t="n">
        <v>46113</v>
      </c>
    </row>
    <row r="3662">
      <c r="A3662" s="215" t="n">
        <v>46114</v>
      </c>
      <c r="B3662" s="216" t="n">
        <v>117</v>
      </c>
      <c r="C3662" s="216" t="n">
        <v>151.09</v>
      </c>
      <c r="D3662" s="216" t="n">
        <v>1.140197992324829</v>
      </c>
      <c r="E3662" s="215" t="n">
        <v>46114</v>
      </c>
      <c r="F3662" s="215" t="n">
        <v>46114</v>
      </c>
    </row>
    <row r="3663">
      <c r="A3663" s="215" t="n">
        <v>46120</v>
      </c>
      <c r="B3663" s="216" t="n">
        <v>125.7</v>
      </c>
      <c r="C3663" s="216" t="n">
        <v>156.9</v>
      </c>
      <c r="D3663" s="216" t="n">
        <v>1.1423499584198</v>
      </c>
      <c r="E3663" s="215" t="n">
        <v>46120</v>
      </c>
      <c r="F3663" s="215" t="n">
        <v>46120</v>
      </c>
    </row>
    <row r="3664">
      <c r="A3664" s="215" t="n">
        <v>46121</v>
      </c>
      <c r="B3664" s="216" t="n">
        <v>125.1</v>
      </c>
      <c r="C3664" s="216" t="n">
        <v>153.49</v>
      </c>
      <c r="D3664" s="216" t="n">
        <v>1.146731972694397</v>
      </c>
      <c r="E3664" s="215" t="n">
        <v>46121</v>
      </c>
      <c r="F3664" s="215" t="n">
        <v>46121</v>
      </c>
    </row>
    <row r="3665">
      <c r="A3665" s="215" t="n">
        <v>46122</v>
      </c>
      <c r="B3665" s="216" t="n">
        <v>124.2</v>
      </c>
      <c r="C3665" s="216" t="n">
        <v>151.6</v>
      </c>
      <c r="D3665" s="216" t="n">
        <v>1.146558046340942</v>
      </c>
      <c r="E3665" s="215" t="n">
        <v>46122</v>
      </c>
      <c r="F3665" s="215" t="n">
        <v>46122</v>
      </c>
    </row>
    <row r="3666">
      <c r="A3666" s="215" t="n">
        <v>46125</v>
      </c>
      <c r="B3666" s="216" t="n">
        <v>121.8</v>
      </c>
      <c r="C3666" s="216" t="n">
        <v>150.63</v>
      </c>
      <c r="D3666" s="216" t="n">
        <v>1.147117972373962</v>
      </c>
      <c r="E3666" s="215" t="n">
        <v>46125</v>
      </c>
      <c r="F3666" s="215" t="n">
        <v>46125</v>
      </c>
    </row>
    <row r="3667">
      <c r="A3667" s="215" t="n">
        <v>46126</v>
      </c>
      <c r="B3667" s="216" t="n">
        <v>120.8</v>
      </c>
      <c r="C3667" s="216" t="n">
        <v>154.35</v>
      </c>
      <c r="D3667" s="216" t="n">
        <v>1.146226048469543</v>
      </c>
      <c r="E3667" s="215" t="n">
        <v>46126</v>
      </c>
      <c r="F3667" s="215" t="n">
        <v>46126</v>
      </c>
    </row>
    <row r="3668">
      <c r="A3668" s="215" t="n">
        <v>46127</v>
      </c>
      <c r="B3668" s="216" t="n">
        <v>124.2</v>
      </c>
      <c r="C3668" s="216" t="n">
        <v>156.21</v>
      </c>
      <c r="D3668" s="216" t="n">
        <v>1.149266004562378</v>
      </c>
      <c r="E3668" s="215" t="n">
        <v>46127</v>
      </c>
      <c r="F3668" s="215" t="n">
        <v>46127</v>
      </c>
    </row>
    <row r="3669">
      <c r="A3669" s="215" t="n">
        <v>46128</v>
      </c>
      <c r="B3669" s="216" t="n">
        <v>136.6</v>
      </c>
      <c r="C3669" s="216" t="n">
        <v>162.27</v>
      </c>
      <c r="D3669" s="216" t="n">
        <v>1.148550033569336</v>
      </c>
      <c r="E3669" s="215" t="n">
        <v>46128</v>
      </c>
      <c r="F3669" s="215" t="n">
        <v>46128</v>
      </c>
    </row>
    <row r="3670">
      <c r="A3670" s="215" t="n">
        <v>46129</v>
      </c>
      <c r="B3670" s="216" t="n">
        <v>141.3</v>
      </c>
      <c r="C3670" s="216" t="n">
        <v>169.7</v>
      </c>
      <c r="D3670" s="216" t="n">
        <v>1.146605014801025</v>
      </c>
      <c r="E3670" s="215" t="n">
        <v>46129</v>
      </c>
      <c r="F3670" s="215" t="n">
        <v>46129</v>
      </c>
    </row>
    <row r="3671">
      <c r="A3671" s="215" t="n">
        <v>46132</v>
      </c>
      <c r="B3671" s="216" t="n">
        <v>142.8</v>
      </c>
      <c r="C3671" s="216" t="n">
        <v>169.57</v>
      </c>
      <c r="D3671" s="216" t="n">
        <v>1.148360967636108</v>
      </c>
      <c r="E3671" s="215" t="n">
        <v>46132</v>
      </c>
      <c r="F3671" s="215" t="n">
        <v>46132</v>
      </c>
    </row>
    <row r="3672">
      <c r="A3672" s="215" t="n">
        <v>46133</v>
      </c>
      <c r="B3672" s="216" t="n">
        <v>138.1</v>
      </c>
      <c r="C3672" s="216" t="n">
        <v>170.2</v>
      </c>
      <c r="D3672" s="216" t="n">
        <v>1.148368000984192</v>
      </c>
      <c r="E3672" s="215" t="n">
        <v>46133</v>
      </c>
      <c r="F3672" s="215" t="n">
        <v>46133</v>
      </c>
    </row>
    <row r="3673">
      <c r="A3673" s="215" t="n">
        <v>46134</v>
      </c>
      <c r="B3673" s="216" t="n">
        <v>138.4</v>
      </c>
      <c r="C3673" s="216" t="n">
        <v>173.8</v>
      </c>
      <c r="D3673" s="216" t="n">
        <v>1.147838950157166</v>
      </c>
      <c r="E3673" s="215" t="n">
        <v>46134</v>
      </c>
      <c r="F3673" s="215" t="n">
        <v>46134</v>
      </c>
    </row>
    <row r="3674">
      <c r="A3674" s="215" t="n">
        <v>46135</v>
      </c>
      <c r="B3674" s="216" t="n">
        <v>142.2</v>
      </c>
      <c r="C3674" s="216" t="n">
        <v>177.61</v>
      </c>
      <c r="D3674" s="216" t="n">
        <v>1.147513031959534</v>
      </c>
      <c r="E3674" s="215" t="n">
        <v>46135</v>
      </c>
      <c r="F3674" s="215" t="n">
        <v>46135</v>
      </c>
    </row>
    <row r="3675">
      <c r="A3675" s="215" t="n">
        <v>46136</v>
      </c>
      <c r="B3675" s="216" t="n">
        <v>155</v>
      </c>
      <c r="C3675" s="216" t="n">
        <v>182.81</v>
      </c>
      <c r="D3675" s="216" t="n">
        <v>1.147369027137756</v>
      </c>
      <c r="E3675" s="215" t="n">
        <v>46136</v>
      </c>
      <c r="F3675" s="215" t="n">
        <v>46136</v>
      </c>
    </row>
    <row r="3676">
      <c r="A3676" s="215" t="n">
        <v>46139</v>
      </c>
      <c r="B3676" s="216" t="n">
        <v>156.9</v>
      </c>
      <c r="C3676" s="216" t="n">
        <v>187.5</v>
      </c>
      <c r="D3676" s="216" t="n">
        <v>1.146002054214478</v>
      </c>
      <c r="E3676" s="215" t="n">
        <v>46139</v>
      </c>
      <c r="F3676" s="215" t="n">
        <v>46139</v>
      </c>
    </row>
    <row r="3677">
      <c r="A3677" s="215" t="n">
        <v>46140</v>
      </c>
      <c r="B3677" s="216" t="n">
        <v>155.2</v>
      </c>
      <c r="C3677" s="216" t="n">
        <v>185.5</v>
      </c>
      <c r="D3677" s="216" t="n">
        <v>1.148522019386292</v>
      </c>
      <c r="E3677" s="215" t="n">
        <v>46140</v>
      </c>
      <c r="F3677" s="215" t="n">
        <v>46140</v>
      </c>
    </row>
    <row r="3678">
      <c r="A3678" s="215" t="n">
        <v>46141</v>
      </c>
      <c r="B3678" s="216" t="n">
        <v>154.8</v>
      </c>
      <c r="C3678" s="216" t="n">
        <v>188.99</v>
      </c>
      <c r="D3678" s="216" t="n">
        <v>1.145936012268066</v>
      </c>
      <c r="E3678" s="215" t="n">
        <v>46141</v>
      </c>
      <c r="F3678" s="215" t="n">
        <v>46141</v>
      </c>
    </row>
    <row r="3679">
      <c r="A3679" s="215" t="n">
        <v>46142</v>
      </c>
      <c r="B3679" s="216" t="n">
        <v>158.9</v>
      </c>
      <c r="C3679" s="216" t="n">
        <v>198</v>
      </c>
      <c r="D3679" s="216" t="n">
        <v>1.145792007446289</v>
      </c>
      <c r="E3679" s="215" t="n">
        <v>46142</v>
      </c>
      <c r="F3679" s="215" t="n">
        <v>46142</v>
      </c>
    </row>
    <row r="3680">
      <c r="A3680" s="215" t="n">
        <v>46146</v>
      </c>
      <c r="B3680" s="216" t="n">
        <v>154.5</v>
      </c>
      <c r="C3680" s="216" t="n">
        <v>198</v>
      </c>
      <c r="D3680" s="216" t="n">
        <v>1.147340059280396</v>
      </c>
      <c r="E3680" s="215" t="n">
        <v>46142</v>
      </c>
      <c r="F3680" s="215" t="n">
        <v>46146</v>
      </c>
    </row>
    <row r="3681">
      <c r="A3681" s="215" t="n">
        <v>46147</v>
      </c>
      <c r="B3681" s="216" t="n">
        <v>150</v>
      </c>
      <c r="C3681" s="216" t="n">
        <v>198</v>
      </c>
      <c r="D3681" s="216" t="n">
        <v>1.146813988685608</v>
      </c>
      <c r="E3681" s="215" t="n">
        <v>46142</v>
      </c>
      <c r="F3681" s="215" t="n">
        <v>46147</v>
      </c>
    </row>
    <row r="3682">
      <c r="A3682" s="215" t="n">
        <v>46148</v>
      </c>
      <c r="B3682" s="216" t="n">
        <v>146.3</v>
      </c>
      <c r="C3682" s="216" t="n">
        <v>199.4</v>
      </c>
      <c r="D3682" s="216" t="n">
        <v>1.14708399772644</v>
      </c>
      <c r="E3682" s="215" t="n">
        <v>46148</v>
      </c>
      <c r="F3682" s="215" t="n">
        <v>46148</v>
      </c>
    </row>
    <row r="3683">
      <c r="A3683" s="215" t="n">
        <v>46149</v>
      </c>
      <c r="B3683" s="216" t="n">
        <v>160</v>
      </c>
      <c r="C3683" s="216" t="n">
        <v>200.17</v>
      </c>
      <c r="D3683" s="216" t="n">
        <v>1.150125026702881</v>
      </c>
      <c r="E3683" s="215" t="n">
        <v>46149</v>
      </c>
      <c r="F3683" s="215" t="n">
        <v>46149</v>
      </c>
    </row>
    <row r="3684">
      <c r="A3684" s="215" t="n">
        <v>46150</v>
      </c>
      <c r="B3684" s="216" t="n">
        <v>170</v>
      </c>
      <c r="C3684" s="216" t="n">
        <v>201</v>
      </c>
      <c r="D3684" s="216" t="n">
        <v>1.15172004699707</v>
      </c>
      <c r="E3684" s="215" t="n">
        <v>46150</v>
      </c>
      <c r="F3684" s="215" t="n">
        <v>46150</v>
      </c>
    </row>
    <row r="3685">
      <c r="A3685" s="215" t="n">
        <v>46153</v>
      </c>
      <c r="B3685" s="216" t="n">
        <v>196.3</v>
      </c>
      <c r="C3685" s="216" t="n">
        <v>226.45</v>
      </c>
      <c r="D3685" s="216" t="n">
        <v>1.151090025901794</v>
      </c>
      <c r="E3685" s="215" t="n">
        <v>46153</v>
      </c>
      <c r="F3685" s="215" t="n">
        <v>46153</v>
      </c>
    </row>
    <row r="3686">
      <c r="A3686" s="215" t="n">
        <v>46154</v>
      </c>
      <c r="B3686" s="216" t="n">
        <v>190.7</v>
      </c>
      <c r="C3686" s="216" t="n">
        <v>222.1</v>
      </c>
      <c r="D3686" s="216" t="n">
        <v>1.152078986167908</v>
      </c>
      <c r="E3686" s="215" t="n">
        <v>46154</v>
      </c>
      <c r="F3686" s="215" t="n">
        <v>46154</v>
      </c>
    </row>
    <row r="3687">
      <c r="A3687" s="215" t="n">
        <v>46155</v>
      </c>
      <c r="B3687" s="216" t="n">
        <v>188.6</v>
      </c>
      <c r="C3687" s="216" t="n">
        <v>219.2</v>
      </c>
      <c r="D3687" s="216" t="n">
        <v>1.152537941932678</v>
      </c>
      <c r="E3687" s="215" t="n">
        <v>46155</v>
      </c>
      <c r="F3687" s="215" t="n">
        <v>46155</v>
      </c>
    </row>
    <row r="3688">
      <c r="A3688" s="215" t="n">
        <v>46156</v>
      </c>
      <c r="B3688" s="216" t="n">
        <v>207.6</v>
      </c>
      <c r="C3688" s="216" t="n">
        <v>216.92</v>
      </c>
      <c r="D3688" s="216" t="n">
        <v>1.152662992477417</v>
      </c>
      <c r="E3688" s="215" t="n">
        <v>46156</v>
      </c>
      <c r="F3688" s="215" t="n">
        <v>46156</v>
      </c>
    </row>
    <row r="3689">
      <c r="A3689" s="215" t="n">
        <v>46157</v>
      </c>
      <c r="B3689" s="216" t="n">
        <v>200.4</v>
      </c>
      <c r="C3689" s="216" t="n">
        <v>220.42</v>
      </c>
      <c r="D3689" s="216" t="n">
        <v>1.154320001602173</v>
      </c>
      <c r="E3689" s="215" t="n">
        <v>46157</v>
      </c>
      <c r="F3689" s="215" t="n">
        <v>46157</v>
      </c>
    </row>
    <row r="3690">
      <c r="A3690" s="215" t="n">
        <v>46160</v>
      </c>
      <c r="B3690" s="216" t="n">
        <v>202.4</v>
      </c>
      <c r="C3690" s="216" t="n">
        <v>219.36</v>
      </c>
      <c r="D3690" s="216" t="n">
        <v>1.149821996688843</v>
      </c>
      <c r="E3690" s="215" t="n">
        <v>46160</v>
      </c>
      <c r="F3690" s="215" t="n">
        <v>46160</v>
      </c>
    </row>
    <row r="3691">
      <c r="A3691" s="215" t="n">
        <v>46161</v>
      </c>
      <c r="B3691" s="216" t="n">
        <v>207.6</v>
      </c>
      <c r="C3691" s="216" t="n">
        <v>226.94</v>
      </c>
      <c r="D3691" s="216" t="n">
        <v>1.151532053947449</v>
      </c>
      <c r="E3691" s="215" t="n">
        <v>46161</v>
      </c>
      <c r="F3691" s="215" t="n">
        <v>46161</v>
      </c>
    </row>
    <row r="3692">
      <c r="A3692" s="215" t="n">
        <v>46162</v>
      </c>
      <c r="B3692" s="216" t="n">
        <v>224.4</v>
      </c>
      <c r="C3692" s="216" t="n">
        <v>251.5</v>
      </c>
      <c r="D3692" s="216" t="n">
        <v>1.149292945861816</v>
      </c>
      <c r="E3692" s="215" t="n">
        <v>46162</v>
      </c>
      <c r="F3692" s="215" t="n">
        <v>46162</v>
      </c>
    </row>
    <row r="3693">
      <c r="A3693" s="215" t="n">
        <v>46163</v>
      </c>
      <c r="B3693" s="216" t="n">
        <v>205.4</v>
      </c>
      <c r="C3693" s="216" t="n">
        <v>238</v>
      </c>
      <c r="D3693" s="216" t="n">
        <v>1.151231050491333</v>
      </c>
      <c r="E3693" s="215" t="n">
        <v>46163</v>
      </c>
      <c r="F3693" s="215" t="n">
        <v>46163</v>
      </c>
    </row>
    <row r="3694">
      <c r="A3694" s="215" t="n">
        <v>46164</v>
      </c>
      <c r="B3694" s="216" t="n">
        <v>207</v>
      </c>
      <c r="C3694" s="216" t="n">
        <v>236.51</v>
      </c>
      <c r="D3694" s="216" t="n">
        <v>1.151487946510315</v>
      </c>
      <c r="E3694" s="215" t="n">
        <v>46164</v>
      </c>
      <c r="F3694" s="215" t="n">
        <v>46164</v>
      </c>
    </row>
    <row r="3695">
      <c r="A3695" s="215" t="n">
        <v>46168</v>
      </c>
      <c r="B3695" s="216" t="n">
        <v>220</v>
      </c>
      <c r="C3695" s="216" t="n">
        <v>252.12</v>
      </c>
      <c r="D3695" s="216" t="n">
        <v>1.152968049049377</v>
      </c>
      <c r="E3695" s="215" t="n">
        <v>46168</v>
      </c>
      <c r="F3695" s="215" t="n">
        <v>46168</v>
      </c>
    </row>
    <row r="3696">
      <c r="A3696" s="215" t="n">
        <v>46169</v>
      </c>
      <c r="B3696" s="216" t="n">
        <v>235</v>
      </c>
      <c r="C3696" s="216" t="n">
        <v>263</v>
      </c>
      <c r="D3696" s="216" t="n">
        <v>1.154562950134277</v>
      </c>
      <c r="E3696" s="215" t="n">
        <v>46169</v>
      </c>
      <c r="F3696" s="215" t="n">
        <v>46169</v>
      </c>
    </row>
    <row r="3697">
      <c r="A3697" s="215" t="n">
        <v>46170</v>
      </c>
      <c r="B3697" s="216" t="n">
        <v>233.8</v>
      </c>
      <c r="C3697" s="216" t="n">
        <v>266.01</v>
      </c>
      <c r="D3697" s="216" t="n">
        <v>1.155385971069336</v>
      </c>
      <c r="E3697" s="215" t="n">
        <v>46170</v>
      </c>
      <c r="F3697" s="215" t="n">
        <v>46170</v>
      </c>
    </row>
    <row r="3698">
      <c r="A3698" s="215" t="n">
        <v>46171</v>
      </c>
      <c r="B3698" s="216" t="n">
        <v>208.2</v>
      </c>
      <c r="C3698" s="216" t="n">
        <v>256.82</v>
      </c>
      <c r="D3698" s="216" t="n">
        <v>1.155282974243164</v>
      </c>
      <c r="E3698" s="215" t="n">
        <v>46171</v>
      </c>
      <c r="F3698" s="215" t="n">
        <v>46171</v>
      </c>
    </row>
    <row r="3699">
      <c r="A3699" s="215" t="n">
        <v>46174</v>
      </c>
      <c r="B3699" s="216" t="n">
        <v>191.3</v>
      </c>
      <c r="C3699" s="216" t="n">
        <v>236.5</v>
      </c>
      <c r="D3699" s="216" t="n">
        <v>1.158049941062927</v>
      </c>
      <c r="E3699" s="215" t="n">
        <v>46174</v>
      </c>
      <c r="F3699" s="215" t="n">
        <v>46174</v>
      </c>
    </row>
    <row r="3700">
      <c r="A3700" s="215" t="n">
        <v>46175</v>
      </c>
      <c r="B3700" s="216" t="n">
        <v>188.2</v>
      </c>
      <c r="C3700" s="216" t="n">
        <v>239.58</v>
      </c>
      <c r="D3700" s="216" t="n">
        <v>1.158406972885132</v>
      </c>
      <c r="E3700" s="215" t="n">
        <v>46175</v>
      </c>
      <c r="F3700" s="215" t="n">
        <v>46175</v>
      </c>
    </row>
    <row r="3701">
      <c r="A3701" s="215" t="n">
        <v>46176</v>
      </c>
      <c r="B3701" s="216" t="n">
        <v>189</v>
      </c>
      <c r="C3701" s="216" t="n">
        <v>243.21</v>
      </c>
      <c r="D3701" s="216" t="n">
        <v>1.15879499912262</v>
      </c>
      <c r="E3701" s="215" t="n">
        <v>46176</v>
      </c>
      <c r="F3701" s="215" t="n">
        <v>46176</v>
      </c>
    </row>
    <row r="3702">
      <c r="A3702" s="215" t="n">
        <v>46177</v>
      </c>
      <c r="B3702" s="216" t="n">
        <v>189.2</v>
      </c>
      <c r="C3702" s="216" t="n">
        <v>246</v>
      </c>
      <c r="D3702" s="216" t="n">
        <v>1.157420039176941</v>
      </c>
      <c r="E3702" s="215" t="n">
        <v>46177</v>
      </c>
      <c r="F3702" s="215" t="n">
        <v>46177</v>
      </c>
    </row>
    <row r="3703">
      <c r="A3703" s="215" t="n">
        <v>46178</v>
      </c>
      <c r="B3703" s="216" t="n">
        <v>178.9</v>
      </c>
      <c r="C3703" s="216" t="n">
        <v>234.49</v>
      </c>
      <c r="D3703" s="216" t="n">
        <v>1.156491994857788</v>
      </c>
      <c r="E3703" s="215" t="n">
        <v>46178</v>
      </c>
      <c r="F3703" s="215" t="n">
        <v>46178</v>
      </c>
    </row>
    <row r="3704">
      <c r="A3704" s="215" t="n">
        <v>46181</v>
      </c>
      <c r="B3704" s="216" t="n">
        <v>172.6</v>
      </c>
      <c r="C3704" s="216" t="n">
        <v>223.63</v>
      </c>
      <c r="D3704" s="216" t="n">
        <v>1.157665967941284</v>
      </c>
      <c r="E3704" s="215" t="n">
        <v>46181</v>
      </c>
      <c r="F3704" s="215" t="n">
        <v>46181</v>
      </c>
    </row>
    <row r="3705">
      <c r="A3705" s="215" t="n">
        <v>46182</v>
      </c>
      <c r="B3705" s="216" t="n">
        <v>182.7</v>
      </c>
      <c r="C3705" s="216" t="n">
        <v>241.12</v>
      </c>
      <c r="D3705" s="216" t="n">
        <v>1.158027052879333</v>
      </c>
      <c r="E3705" s="215" t="n">
        <v>46182</v>
      </c>
      <c r="F3705" s="215" t="n">
        <v>46182</v>
      </c>
    </row>
    <row r="3706">
      <c r="A3706" s="215" t="n">
        <v>46183</v>
      </c>
      <c r="B3706" s="216" t="n">
        <v>181.7</v>
      </c>
      <c r="C3706" s="216" t="n">
        <v>240</v>
      </c>
      <c r="D3706" s="216" t="n">
        <v>1.157112002372742</v>
      </c>
      <c r="E3706" s="215" t="n">
        <v>46183</v>
      </c>
      <c r="F3706" s="215" t="n">
        <v>46183</v>
      </c>
    </row>
    <row r="3707">
      <c r="A3707" s="215" t="n">
        <v>46184</v>
      </c>
      <c r="B3707" s="216" t="n">
        <v>179.1</v>
      </c>
      <c r="C3707" s="216" t="n">
        <v>237.32</v>
      </c>
      <c r="D3707" s="216" t="n">
        <v>1.156929016113281</v>
      </c>
      <c r="E3707" s="215" t="n">
        <v>46184</v>
      </c>
      <c r="F3707" s="215" t="n">
        <v>46184</v>
      </c>
    </row>
    <row r="3708">
      <c r="A3708" s="215" t="n">
        <v>46185</v>
      </c>
      <c r="B3708" s="216" t="n">
        <v>171.3</v>
      </c>
      <c r="C3708" s="216" t="n">
        <v>235.18</v>
      </c>
      <c r="D3708" s="216" t="n">
        <v>1.156345963478088</v>
      </c>
      <c r="E3708" s="215" t="n">
        <v>46185</v>
      </c>
      <c r="F3708" s="215" t="n">
        <v>46185</v>
      </c>
    </row>
    <row r="3709">
      <c r="A3709" s="215" t="n">
        <v>46188</v>
      </c>
      <c r="B3709" s="216" t="n">
        <v>184.2</v>
      </c>
      <c r="C3709" s="216" t="n">
        <v>252.49</v>
      </c>
      <c r="D3709" s="216" t="n">
        <v>1.156880021095276</v>
      </c>
      <c r="E3709" s="215" t="n">
        <v>46188</v>
      </c>
      <c r="F3709" s="215" t="n">
        <v>46188</v>
      </c>
    </row>
    <row r="3710">
      <c r="A3710" s="215" t="n">
        <v>46189</v>
      </c>
      <c r="B3710" s="216" t="n">
        <v>182</v>
      </c>
      <c r="C3710" s="216" t="n">
        <v>257.78</v>
      </c>
      <c r="D3710" s="216" t="n">
        <v>1.158604025840759</v>
      </c>
      <c r="E3710" s="215" t="n">
        <v>46189</v>
      </c>
      <c r="F3710" s="215" t="n">
        <v>46189</v>
      </c>
    </row>
    <row r="3711">
      <c r="A3711" s="215" t="n">
        <v>46190</v>
      </c>
      <c r="B3711" s="216" t="n">
        <v>188.3</v>
      </c>
      <c r="C3711" s="216" t="n">
        <v>264.8</v>
      </c>
      <c r="D3711" s="216" t="n">
        <v>1.158974051475525</v>
      </c>
      <c r="E3711" s="215" t="n">
        <v>46190</v>
      </c>
      <c r="F3711" s="215" t="n">
        <v>46190</v>
      </c>
    </row>
    <row r="3712">
      <c r="A3712" s="215" t="n">
        <v>46191</v>
      </c>
      <c r="B3712" s="216" t="n">
        <v>196</v>
      </c>
      <c r="C3712" s="216" t="n">
        <v>266.6</v>
      </c>
      <c r="D3712" s="216" t="n">
        <v>1.159355998039246</v>
      </c>
      <c r="E3712" s="215" t="n">
        <v>46191</v>
      </c>
      <c r="F3712" s="215" t="n">
        <v>46191</v>
      </c>
    </row>
    <row r="3713">
      <c r="A3713" s="215" t="n">
        <v>46195</v>
      </c>
      <c r="B3713" s="216" t="n">
        <v>213.2</v>
      </c>
      <c r="C3713" s="216" t="n">
        <v>291.68</v>
      </c>
      <c r="D3713" s="216" t="n">
        <v>1.157493948936462</v>
      </c>
      <c r="E3713" s="215" t="n">
        <v>46195</v>
      </c>
      <c r="F3713" s="215" t="n">
        <v>46195</v>
      </c>
    </row>
    <row r="3714">
      <c r="A3714" s="215" t="n">
        <v>46196</v>
      </c>
      <c r="B3714" s="216" t="n">
        <v>207.2</v>
      </c>
      <c r="C3714" s="216" t="n">
        <v>300</v>
      </c>
      <c r="D3714" s="216" t="n">
        <v>1.156896948814392</v>
      </c>
      <c r="E3714" s="215" t="n">
        <v>46196</v>
      </c>
      <c r="F3714" s="215" t="n">
        <v>46196</v>
      </c>
    </row>
    <row r="3715">
      <c r="A3715" s="215" t="n">
        <v>46197</v>
      </c>
      <c r="B3715" s="216" t="n">
        <v>213</v>
      </c>
      <c r="C3715" s="216" t="n">
        <v>289</v>
      </c>
      <c r="D3715" s="216" t="n">
        <v>1.154508948326111</v>
      </c>
      <c r="E3715" s="215" t="n">
        <v>46197</v>
      </c>
      <c r="F3715" s="215" t="n">
        <v>46197</v>
      </c>
    </row>
    <row r="3716">
      <c r="A3716" s="215" t="n">
        <v>46198</v>
      </c>
      <c r="B3716" s="216" t="n">
        <v>223.4</v>
      </c>
      <c r="C3716" s="216" t="n">
        <v>283.55</v>
      </c>
      <c r="D3716" s="216" t="n">
        <v>1.154152035713196</v>
      </c>
      <c r="E3716" s="215" t="n">
        <v>46198</v>
      </c>
      <c r="F3716" s="215" t="n">
        <v>46198</v>
      </c>
    </row>
    <row r="3717">
      <c r="A3717" s="215" t="n">
        <v>46199</v>
      </c>
      <c r="B3717" s="216" t="n">
        <v>195.2</v>
      </c>
      <c r="C3717" s="216" t="n">
        <v>273.33</v>
      </c>
      <c r="D3717" s="216" t="n">
        <v>1.154500961303711</v>
      </c>
      <c r="E3717" s="215" t="n">
        <v>46199</v>
      </c>
      <c r="F3717" s="215" t="n">
        <v>46199</v>
      </c>
    </row>
    <row r="3718">
      <c r="A3718" s="215" t="n">
        <v>46202</v>
      </c>
      <c r="B3718" s="216" t="n">
        <v>196.5</v>
      </c>
      <c r="C3718" s="216" t="n">
        <v>268.3</v>
      </c>
      <c r="D3718" s="216" t="n">
        <v>1.153512001037598</v>
      </c>
      <c r="E3718" s="215" t="n">
        <v>46202</v>
      </c>
      <c r="F3718" s="215" t="n">
        <v>46202</v>
      </c>
    </row>
    <row r="3719">
      <c r="A3719" s="215" t="n">
        <v>46203</v>
      </c>
      <c r="B3719" s="216" t="n">
        <v>208</v>
      </c>
      <c r="C3719" s="216" t="n">
        <v>288.31</v>
      </c>
      <c r="D3719" s="216" t="n">
        <v>1.153959035873413</v>
      </c>
      <c r="E3719" s="215" t="n">
        <v>46203</v>
      </c>
      <c r="F3719" s="215" t="n">
        <v>46203</v>
      </c>
    </row>
    <row r="3720">
      <c r="A3720" s="215" t="n">
        <v>46205</v>
      </c>
      <c r="B3720" s="216" t="n">
        <v>198.6</v>
      </c>
      <c r="C3720" s="216" t="n">
        <v>260.42</v>
      </c>
      <c r="D3720" s="216" t="n">
        <v>1.154355049133301</v>
      </c>
      <c r="E3720" s="215" t="n">
        <v>46205</v>
      </c>
      <c r="F3720" s="215" t="n">
        <v>46205</v>
      </c>
    </row>
    <row r="3721">
      <c r="A3721" s="215" t="n">
        <v>46206</v>
      </c>
      <c r="B3721" s="216" t="n">
        <v>199.8</v>
      </c>
      <c r="C3721" s="216" t="n">
        <v>257</v>
      </c>
      <c r="D3721" s="216" t="n">
        <v>1.155220985412598</v>
      </c>
      <c r="E3721" s="215" t="n">
        <v>46206</v>
      </c>
      <c r="F3721" s="215" t="n">
        <v>46206</v>
      </c>
    </row>
    <row r="3722">
      <c r="A3722" s="215" t="n">
        <v>46209</v>
      </c>
      <c r="B3722" s="216" t="n">
        <v>206.4</v>
      </c>
      <c r="C3722" s="216" t="n">
        <v>262.68</v>
      </c>
      <c r="D3722" s="216" t="n">
        <v>1.155068039894104</v>
      </c>
      <c r="E3722" s="215" t="n">
        <v>46209</v>
      </c>
      <c r="F3722" s="215" t="n">
        <v>46209</v>
      </c>
    </row>
    <row r="3723">
      <c r="A3723" s="215" t="n">
        <v>46210</v>
      </c>
      <c r="B3723" s="216" t="n">
        <v>189.6</v>
      </c>
      <c r="C3723" s="216" t="n">
        <v>251.55</v>
      </c>
      <c r="D3723" s="216" t="n">
        <v>1.153807997703552</v>
      </c>
      <c r="E3723" s="215" t="n">
        <v>46210</v>
      </c>
      <c r="F3723" s="215" t="n">
        <v>46210</v>
      </c>
    </row>
    <row r="3724">
      <c r="A3724" s="215" t="n">
        <v>46211</v>
      </c>
      <c r="B3724" s="216" t="n">
        <v>188.8</v>
      </c>
      <c r="C3724" s="216" t="n">
        <v>249.19</v>
      </c>
      <c r="D3724" s="216" t="n">
        <v>1.154153943061829</v>
      </c>
      <c r="E3724" s="215" t="n">
        <v>46211</v>
      </c>
      <c r="F3724" s="215" t="n">
        <v>46211</v>
      </c>
    </row>
    <row r="3725">
      <c r="A3725" s="215" t="n">
        <v>46212</v>
      </c>
      <c r="B3725" s="216" t="n">
        <v>198.7</v>
      </c>
      <c r="C3725" s="216" t="n">
        <v>256.3</v>
      </c>
      <c r="D3725" s="216" t="n">
        <v>1.152119994163513</v>
      </c>
      <c r="E3725" s="215" t="n">
        <v>46212</v>
      </c>
      <c r="F3725" s="215" t="n">
        <v>46212</v>
      </c>
    </row>
    <row r="3726">
      <c r="A3726" s="215" t="n">
        <v>46213</v>
      </c>
      <c r="B3726" s="216" t="n">
        <v>184.3</v>
      </c>
      <c r="C3726" s="216" t="n">
        <v>250.6</v>
      </c>
      <c r="D3726" s="216" t="n">
        <v>1.153550028800964</v>
      </c>
      <c r="E3726" s="215" t="n">
        <v>46213</v>
      </c>
      <c r="F3726" s="215" t="n">
        <v>46213</v>
      </c>
    </row>
    <row r="3727">
      <c r="A3727" s="215" t="n">
        <v>46216</v>
      </c>
      <c r="B3727" s="216" t="n">
        <v>165.5</v>
      </c>
      <c r="C3727" s="216" t="n">
        <v>238.78</v>
      </c>
      <c r="D3727" s="216" t="n">
        <v>1.156761050224304</v>
      </c>
      <c r="E3727" s="215" t="n">
        <v>46216</v>
      </c>
      <c r="F3727" s="215" t="n">
        <v>46216</v>
      </c>
    </row>
    <row r="3728">
      <c r="A3728" s="215" t="n">
        <v>46217</v>
      </c>
      <c r="B3728" s="216" t="n">
        <v>170.3</v>
      </c>
      <c r="C3728" s="216" t="n">
        <v>242.91</v>
      </c>
      <c r="D3728" s="216" t="n">
        <v>1.155825972557068</v>
      </c>
      <c r="E3728" s="215" t="n">
        <v>46217</v>
      </c>
      <c r="F3728" s="215" t="n">
        <v>46217</v>
      </c>
    </row>
    <row r="3729">
      <c r="A3729" s="215" t="n">
        <v>46218</v>
      </c>
      <c r="B3729" s="216" t="n">
        <v>170.2</v>
      </c>
      <c r="C3729" s="216" t="n">
        <v>235.47</v>
      </c>
      <c r="D3729" s="216" t="n">
        <v>1.157556056976318</v>
      </c>
      <c r="E3729" s="215" t="n">
        <v>46218</v>
      </c>
      <c r="F3729" s="215" t="n">
        <v>46218</v>
      </c>
    </row>
    <row r="3730">
      <c r="A3730" s="215" t="n">
        <v>46219</v>
      </c>
      <c r="B3730" s="216" t="n">
        <v>164.2</v>
      </c>
      <c r="C3730" s="216" t="n">
        <v>217.73</v>
      </c>
      <c r="D3730" s="216" t="n">
        <v>1.157912969589233</v>
      </c>
      <c r="E3730" s="215" t="n">
        <v>46219</v>
      </c>
      <c r="F3730" s="215" t="n">
        <v>46219</v>
      </c>
    </row>
    <row r="3731">
      <c r="A3731" s="215" t="n">
        <v>46220</v>
      </c>
      <c r="B3731" s="216" t="n">
        <v>147</v>
      </c>
      <c r="C3731" s="216" t="n">
        <v>199.53</v>
      </c>
      <c r="D3731" s="216" t="n">
        <v>1.157472014427185</v>
      </c>
      <c r="E3731" s="215" t="n">
        <v>46220</v>
      </c>
      <c r="F3731" s="215" t="n">
        <v>46220</v>
      </c>
    </row>
    <row r="3732">
      <c r="A3732" s="215" t="n">
        <v>46223</v>
      </c>
      <c r="B3732" s="216" t="n">
        <v>142.2</v>
      </c>
      <c r="C3732" s="216" t="n">
        <v>188.5</v>
      </c>
      <c r="D3732" s="216" t="n">
        <v>1.157451033592224</v>
      </c>
      <c r="E3732" s="215" t="n">
        <v>46223</v>
      </c>
      <c r="F3732" s="215" t="n">
        <v>46223</v>
      </c>
    </row>
    <row r="3733">
      <c r="A3733" s="215" t="n">
        <v>46224</v>
      </c>
      <c r="B3733" s="216" t="n">
        <v>159</v>
      </c>
      <c r="C3733" s="216" t="n">
        <v>202.19</v>
      </c>
      <c r="D3733" s="216" t="n">
        <v>1.157506942749023</v>
      </c>
      <c r="E3733" s="215" t="n">
        <v>46224</v>
      </c>
      <c r="F3733" s="215" t="n">
        <v>46224</v>
      </c>
    </row>
    <row r="3734">
      <c r="A3734" s="215" t="n">
        <v>46225</v>
      </c>
      <c r="B3734" s="216" t="n">
        <v>155.2</v>
      </c>
      <c r="C3734" s="216" t="n">
        <v>216.15</v>
      </c>
      <c r="D3734" s="216" t="n">
        <v>1.158938050270081</v>
      </c>
      <c r="E3734" s="215" t="n">
        <v>46225</v>
      </c>
      <c r="F3734" s="215" t="n">
        <v>46225</v>
      </c>
    </row>
    <row r="3735">
      <c r="A3735" s="215" t="n">
        <v>46226</v>
      </c>
      <c r="B3735" s="216" t="n">
        <v>145.2</v>
      </c>
      <c r="C3735" s="216" t="n">
        <v>204.45</v>
      </c>
      <c r="D3735" s="216" t="n">
        <v>1.157410979270935</v>
      </c>
      <c r="E3735" s="215" t="n">
        <v>46226</v>
      </c>
      <c r="F3735" s="215" t="n">
        <v>46226</v>
      </c>
    </row>
    <row r="3736">
      <c r="A3736" s="215" t="n">
        <v>46227</v>
      </c>
      <c r="B3736" s="216" t="n">
        <v>140.4</v>
      </c>
      <c r="C3736" s="216" t="n">
        <v>201.55</v>
      </c>
      <c r="D3736" s="216" t="n">
        <v>1.15762197971344</v>
      </c>
      <c r="E3736" s="215" t="n">
        <v>46227</v>
      </c>
      <c r="F3736" s="215" t="n">
        <v>46227</v>
      </c>
    </row>
    <row r="3737">
      <c r="A3737" s="215" t="n">
        <v>46230</v>
      </c>
      <c r="B3737" s="216" t="n">
        <v>145.5</v>
      </c>
      <c r="C3737" s="216" t="n">
        <v>203.47</v>
      </c>
      <c r="D3737" s="216" t="n">
        <v>1.15789794921875</v>
      </c>
      <c r="E3737" s="215" t="n">
        <v>46230</v>
      </c>
      <c r="F3737" s="215" t="n">
        <v>46230</v>
      </c>
    </row>
    <row r="3738">
      <c r="A3738" s="215" t="n">
        <v>46231</v>
      </c>
      <c r="B3738" s="216" t="n">
        <v>130.3</v>
      </c>
      <c r="C3738" s="216" t="n">
        <v>191.16</v>
      </c>
      <c r="D3738" s="216" t="n">
        <v>1.158699035644531</v>
      </c>
      <c r="E3738" s="215" t="n">
        <v>46231</v>
      </c>
      <c r="F3738" s="215" t="n">
        <v>46231</v>
      </c>
    </row>
    <row r="3739">
      <c r="A3739" s="215" t="n">
        <v>46232</v>
      </c>
      <c r="B3739" s="216" t="n">
        <v>134</v>
      </c>
      <c r="C3739" s="216" t="n">
        <v>197.55</v>
      </c>
      <c r="D3739" s="216" t="n">
        <v>1.157909989356995</v>
      </c>
      <c r="E3739" s="215" t="n">
        <v>46232</v>
      </c>
      <c r="F3739" s="215" t="n">
        <v>46232</v>
      </c>
    </row>
    <row r="3740">
      <c r="A3740" s="215" t="n">
        <v>46233</v>
      </c>
      <c r="B3740" s="216" t="n">
        <v>127.4</v>
      </c>
      <c r="C3740" s="216" t="n">
        <v>181.92</v>
      </c>
      <c r="D3740" s="216" t="n">
        <v>1.158943057060242</v>
      </c>
      <c r="E3740" s="215" t="n">
        <v>46233</v>
      </c>
      <c r="F3740" s="215" t="n">
        <v>46233</v>
      </c>
    </row>
    <row r="3741">
      <c r="A3741" s="215" t="n">
        <v>46234</v>
      </c>
      <c r="B3741" s="216" t="n">
        <v>131.4</v>
      </c>
      <c r="C3741" s="216" t="n">
        <v>186.11</v>
      </c>
      <c r="D3741" s="216" t="n">
        <v>1.160945057868958</v>
      </c>
      <c r="E3741" s="215" t="n">
        <v>46234</v>
      </c>
      <c r="F3741" s="215" t="n">
        <v>46234</v>
      </c>
    </row>
    <row r="3742">
      <c r="A3742" s="215" t="n">
        <v>46237</v>
      </c>
      <c r="B3742" s="216" t="n">
        <v>124.6</v>
      </c>
      <c r="C3742" s="216" t="n">
        <v>181.44</v>
      </c>
      <c r="D3742" s="216" t="n">
        <v>1.161579966545105</v>
      </c>
      <c r="E3742" s="215" t="n">
        <v>46237</v>
      </c>
      <c r="F3742" s="215" t="n">
        <v>46237</v>
      </c>
    </row>
    <row r="3743">
      <c r="A3743" s="215" t="n">
        <v>46238</v>
      </c>
      <c r="B3743" s="216" t="n">
        <v>136</v>
      </c>
      <c r="C3743" s="216" t="n">
        <v>191.33</v>
      </c>
      <c r="D3743" s="216" t="n">
        <v>1.161064982414246</v>
      </c>
      <c r="E3743" s="215" t="n">
        <v>46238</v>
      </c>
      <c r="F3743" s="215" t="n">
        <v>46238</v>
      </c>
    </row>
    <row r="3744">
      <c r="A3744" s="215" t="n">
        <v>46239</v>
      </c>
      <c r="B3744" s="216" t="n">
        <v>143.2</v>
      </c>
      <c r="C3744" s="216" t="n">
        <v>202.05</v>
      </c>
      <c r="D3744" s="216" t="n">
        <v>1.161146998405457</v>
      </c>
      <c r="E3744" s="215" t="n">
        <v>46239</v>
      </c>
      <c r="F3744" s="215" t="n">
        <v>46239</v>
      </c>
    </row>
    <row r="3745">
      <c r="A3745" s="215" t="n">
        <v>46240</v>
      </c>
      <c r="B3745" s="216" t="n">
        <v>141.4</v>
      </c>
      <c r="C3745" s="216" t="n">
        <v>200.5</v>
      </c>
      <c r="D3745" s="216" t="n">
        <v>1.161936044692993</v>
      </c>
      <c r="E3745" s="215" t="n">
        <v>46240</v>
      </c>
      <c r="F3745" s="215" t="n">
        <v>46240</v>
      </c>
    </row>
    <row r="3746">
      <c r="A3746" s="215" t="n">
        <v>46241</v>
      </c>
      <c r="B3746" s="216" t="n">
        <v>145.6</v>
      </c>
      <c r="C3746" s="216" t="n">
        <v>211.92</v>
      </c>
      <c r="D3746" s="216" t="n">
        <v>1.162284016609192</v>
      </c>
      <c r="E3746" s="215" t="n">
        <v>46241</v>
      </c>
      <c r="F3746" s="215" t="n">
        <v>46241</v>
      </c>
    </row>
    <row r="3747">
      <c r="A3747" s="215" t="n">
        <v>46244</v>
      </c>
      <c r="B3747" s="216" t="n">
        <v>143.7</v>
      </c>
      <c r="C3747" s="216" t="n">
        <v>206.33</v>
      </c>
      <c r="D3747" s="216" t="n">
        <v>1.162629961967468</v>
      </c>
      <c r="E3747" s="215" t="n">
        <v>46244</v>
      </c>
      <c r="F3747" s="215" t="n">
        <v>46244</v>
      </c>
    </row>
    <row r="3748">
      <c r="A3748" s="215" t="n">
        <v>46245</v>
      </c>
      <c r="B3748" s="216" t="n">
        <v>150.8</v>
      </c>
      <c r="C3748" s="216" t="n">
        <v>219</v>
      </c>
      <c r="D3748" s="216" t="n">
        <v>1.162588000297546</v>
      </c>
      <c r="E3748" s="215" t="n">
        <v>46245</v>
      </c>
      <c r="F3748" s="215" t="n">
        <v>46245</v>
      </c>
    </row>
    <row r="3749">
      <c r="A3749" s="215" t="n">
        <v>46246</v>
      </c>
      <c r="B3749" s="216" t="n">
        <v>150.7</v>
      </c>
      <c r="C3749" s="216" t="n">
        <v>227</v>
      </c>
      <c r="D3749" s="216" t="n">
        <v>1.163135051727295</v>
      </c>
      <c r="E3749" s="215" t="n">
        <v>46246</v>
      </c>
      <c r="F3749" s="215" t="n">
        <v>46246</v>
      </c>
    </row>
    <row r="3750">
      <c r="A3750" s="215" t="n">
        <v>46247</v>
      </c>
      <c r="B3750" s="216" t="n">
        <v>150.2</v>
      </c>
      <c r="C3750" s="216" t="n">
        <v>225.39</v>
      </c>
      <c r="D3750" s="216" t="n">
        <v>1.163341045379639</v>
      </c>
      <c r="E3750" s="215" t="n">
        <v>46247</v>
      </c>
      <c r="F3750" s="215" t="n">
        <v>46247</v>
      </c>
    </row>
    <row r="3751">
      <c r="A3751" s="215" t="n">
        <v>46248</v>
      </c>
      <c r="B3751" s="216" t="n">
        <v>165</v>
      </c>
      <c r="C3751" s="216" t="n">
        <v>237.3</v>
      </c>
      <c r="D3751" s="216" t="n">
        <v>1.163571000099182</v>
      </c>
      <c r="E3751" s="215" t="n">
        <v>46248</v>
      </c>
      <c r="F3751" s="215" t="n">
        <v>46248</v>
      </c>
    </row>
    <row r="3752">
      <c r="A3752" s="215" t="n">
        <v>46251</v>
      </c>
      <c r="B3752" s="216" t="n">
        <v>172.5</v>
      </c>
      <c r="C3752" s="216" t="n">
        <v>244</v>
      </c>
      <c r="D3752" s="216" t="n">
        <v>1.163601994514465</v>
      </c>
      <c r="E3752" s="215" t="n">
        <v>46251</v>
      </c>
      <c r="F3752" s="215" t="n">
        <v>46251</v>
      </c>
    </row>
    <row r="3753">
      <c r="A3753" s="215" t="n">
        <v>46252</v>
      </c>
      <c r="B3753" s="216" t="n">
        <v>162.8</v>
      </c>
      <c r="C3753" s="216" t="n">
        <v>237.07</v>
      </c>
      <c r="D3753" s="216" t="n">
        <v>1.163733005523682</v>
      </c>
      <c r="E3753" s="215" t="n">
        <v>46252</v>
      </c>
      <c r="F3753" s="215" t="n">
        <v>46252</v>
      </c>
    </row>
    <row r="3754">
      <c r="A3754" s="215" t="n">
        <v>46253</v>
      </c>
      <c r="B3754" s="216" t="n">
        <v>157</v>
      </c>
      <c r="C3754" s="216" t="n">
        <v>222.3</v>
      </c>
      <c r="D3754" s="216" t="n">
        <v>1.163092017173767</v>
      </c>
      <c r="E3754" s="215" t="n">
        <v>46253</v>
      </c>
      <c r="F3754" s="215" t="n">
        <v>46253</v>
      </c>
    </row>
    <row r="3755">
      <c r="A3755" s="215" t="n">
        <v>46254</v>
      </c>
      <c r="B3755" s="216" t="n">
        <v>167.1</v>
      </c>
      <c r="C3755" s="216" t="n">
        <v>245.3</v>
      </c>
      <c r="D3755" s="216" t="n">
        <v>1.164932012557983</v>
      </c>
      <c r="E3755" s="215" t="n">
        <v>46254</v>
      </c>
      <c r="F3755" s="215" t="n">
        <v>46254</v>
      </c>
    </row>
    <row r="3756">
      <c r="A3756" s="215" t="n">
        <v>46255</v>
      </c>
      <c r="B3756" s="216" t="n">
        <v>165.4</v>
      </c>
      <c r="C3756" s="216" t="n">
        <v>244.36</v>
      </c>
      <c r="D3756" s="216" t="n">
        <v>1.166555047035217</v>
      </c>
      <c r="E3756" s="215" t="n">
        <v>46255</v>
      </c>
      <c r="F3756" s="215" t="n">
        <v>46255</v>
      </c>
    </row>
    <row r="3757">
      <c r="A3757" s="215" t="n">
        <v>46258</v>
      </c>
      <c r="B3757" s="216" t="n">
        <v>159</v>
      </c>
      <c r="C3757" s="216" t="n">
        <v>232</v>
      </c>
      <c r="D3757" s="216" t="n">
        <v>1.166316986083984</v>
      </c>
      <c r="E3757" s="215" t="n">
        <v>46258</v>
      </c>
      <c r="F3757" s="215" t="n">
        <v>46258</v>
      </c>
    </row>
    <row r="3758">
      <c r="A3758" s="215" t="n">
        <v>46259</v>
      </c>
      <c r="B3758" s="216" t="n">
        <v>161.8</v>
      </c>
      <c r="C3758" s="216" t="n">
        <v>235.18</v>
      </c>
      <c r="D3758" s="216" t="n">
        <v>1.165253043174744</v>
      </c>
      <c r="E3758" s="215" t="n">
        <v>46259</v>
      </c>
      <c r="F3758" s="215" t="n">
        <v>46259</v>
      </c>
    </row>
    <row r="3759">
      <c r="A3759" s="215" t="n">
        <v>46260</v>
      </c>
      <c r="B3759" s="216" t="n">
        <v>159.6</v>
      </c>
      <c r="C3759" s="216" t="n">
        <v>234.12</v>
      </c>
      <c r="D3759" s="216" t="n">
        <v>1.166218996047974</v>
      </c>
      <c r="E3759" s="215" t="n">
        <v>46260</v>
      </c>
      <c r="F3759" s="215" t="n">
        <v>46260</v>
      </c>
    </row>
    <row r="3760">
      <c r="A3760" s="215" t="n">
        <v>46261</v>
      </c>
      <c r="B3760" s="216" t="n">
        <v>167.2</v>
      </c>
      <c r="C3760" s="216" t="n">
        <v>250.46</v>
      </c>
      <c r="D3760" s="216" t="n">
        <v>1.165971040725708</v>
      </c>
      <c r="E3760" s="215" t="n">
        <v>46261</v>
      </c>
      <c r="F3760" s="215" t="n">
        <v>46261</v>
      </c>
    </row>
    <row r="3761">
      <c r="A3761" s="215" t="n">
        <v>46262</v>
      </c>
      <c r="B3761" s="216" t="n">
        <v>162.4</v>
      </c>
      <c r="C3761" s="216" t="n">
        <v>253.44</v>
      </c>
      <c r="D3761" s="216" t="n">
        <v>1.165799975395203</v>
      </c>
      <c r="E3761" s="215" t="n">
        <v>46262</v>
      </c>
      <c r="F3761" s="215" t="n">
        <v>46262</v>
      </c>
    </row>
    <row r="3762">
      <c r="A3762" s="215" t="n">
        <v>46265</v>
      </c>
      <c r="B3762" s="216" t="n">
        <v>161</v>
      </c>
      <c r="C3762" s="216" t="n">
        <v>253.56</v>
      </c>
      <c r="D3762" s="216" t="n">
        <v>1.165387988090515</v>
      </c>
      <c r="E3762" s="215" t="n">
        <v>46265</v>
      </c>
      <c r="F3762" s="215" t="n">
        <v>46265</v>
      </c>
    </row>
    <row r="3763">
      <c r="A3763" s="215" t="n">
        <v>46266</v>
      </c>
      <c r="B3763" s="216" t="n">
        <v>155.2</v>
      </c>
      <c r="C3763" s="216" t="n">
        <v>247.79</v>
      </c>
      <c r="D3763" s="216" t="n">
        <v>1.165223956108093</v>
      </c>
      <c r="E3763" s="215" t="n">
        <v>46266</v>
      </c>
      <c r="F3763" s="215" t="n">
        <v>46266</v>
      </c>
    </row>
    <row r="3764">
      <c r="A3764" s="215" t="n">
        <v>46267</v>
      </c>
      <c r="B3764" s="216" t="n">
        <v>153</v>
      </c>
      <c r="C3764" s="216" t="n">
        <v>242.32</v>
      </c>
      <c r="D3764" s="216" t="n">
        <v>1.166425943374634</v>
      </c>
      <c r="E3764" s="215" t="n">
        <v>46267</v>
      </c>
      <c r="F3764" s="215" t="n">
        <v>46267</v>
      </c>
    </row>
    <row r="3765">
      <c r="A3765" s="215" t="n">
        <v>46268</v>
      </c>
      <c r="B3765" s="216" t="n">
        <v>156</v>
      </c>
      <c r="C3765" s="216" t="n">
        <v>247.61</v>
      </c>
      <c r="D3765" s="216" t="n">
        <v>1.167057037353516</v>
      </c>
      <c r="E3765" s="215" t="n">
        <v>46268</v>
      </c>
      <c r="F3765" s="215" t="n">
        <v>46268</v>
      </c>
    </row>
    <row r="3766">
      <c r="A3766" s="215" t="n">
        <v>46269</v>
      </c>
      <c r="B3766" s="216" t="n">
        <v>154.9</v>
      </c>
      <c r="C3766" s="216" t="n">
        <v>240</v>
      </c>
      <c r="D3766" s="216" t="n">
        <v>1.166767954826355</v>
      </c>
      <c r="E3766" s="215" t="n">
        <v>46269</v>
      </c>
      <c r="F3766" s="215" t="n">
        <v>46269</v>
      </c>
    </row>
    <row r="3767">
      <c r="A3767" s="215" t="n">
        <v>46272</v>
      </c>
      <c r="B3767" s="216" t="n">
        <v>157</v>
      </c>
      <c r="C3767" s="216" t="n">
        <v>242.61</v>
      </c>
      <c r="D3767" s="216" t="n">
        <v>1.168081045150757</v>
      </c>
      <c r="E3767" s="215" t="n">
        <v>46272</v>
      </c>
      <c r="F3767" s="215" t="n">
        <v>46272</v>
      </c>
    </row>
    <row r="3768">
      <c r="A3768" s="215" t="n">
        <v>46273</v>
      </c>
      <c r="B3768" s="216" t="n">
        <v>155.2</v>
      </c>
      <c r="C3768" s="216" t="n">
        <v>239.03</v>
      </c>
      <c r="D3768" s="216" t="n">
        <v>1.168115019798279</v>
      </c>
      <c r="E3768" s="215" t="n">
        <v>46273</v>
      </c>
      <c r="F3768" s="215" t="n">
        <v>46273</v>
      </c>
    </row>
    <row r="3769">
      <c r="A3769" s="215" t="n">
        <v>46274</v>
      </c>
      <c r="B3769" s="216" t="n">
        <v>160</v>
      </c>
      <c r="C3769" s="216" t="n">
        <v>234.01</v>
      </c>
      <c r="D3769" s="216" t="n">
        <v>1.168408989906311</v>
      </c>
      <c r="E3769" s="215" t="n">
        <v>46274</v>
      </c>
      <c r="F3769" s="215" t="n">
        <v>46274</v>
      </c>
    </row>
    <row r="3770">
      <c r="A3770" s="215" t="n">
        <v>46275</v>
      </c>
      <c r="B3770" s="216" t="n">
        <v>157.6</v>
      </c>
      <c r="C3770" s="216" t="n">
        <v>229.2</v>
      </c>
      <c r="D3770" s="216" t="n">
        <v>1.168462991714478</v>
      </c>
      <c r="E3770" s="215" t="n">
        <v>46275</v>
      </c>
      <c r="F3770" s="215" t="n">
        <v>46275</v>
      </c>
    </row>
    <row r="3771">
      <c r="A3771" s="215" t="n">
        <v>46276</v>
      </c>
      <c r="B3771" s="216" t="n">
        <v>156.7</v>
      </c>
      <c r="C3771" s="216" t="n">
        <v>225</v>
      </c>
      <c r="D3771" s="216" t="n">
        <v>1.169165015220642</v>
      </c>
      <c r="E3771" s="215" t="n">
        <v>46276</v>
      </c>
      <c r="F3771" s="215" t="n">
        <v>46276</v>
      </c>
    </row>
    <row r="3772">
      <c r="A3772" s="215" t="n">
        <v>46279</v>
      </c>
      <c r="B3772" s="216" t="n">
        <v>158.3</v>
      </c>
      <c r="C3772" s="216" t="n">
        <v>228.72</v>
      </c>
      <c r="D3772" s="216" t="n">
        <v>1.16893994808197</v>
      </c>
      <c r="E3772" s="215" t="n">
        <v>46279</v>
      </c>
      <c r="F3772" s="215" t="n">
        <v>46279</v>
      </c>
    </row>
    <row r="3773">
      <c r="A3773" s="215" t="n">
        <v>46280</v>
      </c>
      <c r="B3773" s="216" t="n">
        <v>157.2</v>
      </c>
      <c r="C3773" s="216" t="n">
        <v>228.18</v>
      </c>
      <c r="D3773" s="216" t="n">
        <v>1.169121026992798</v>
      </c>
      <c r="E3773" s="215" t="n">
        <v>46280</v>
      </c>
      <c r="F3773" s="215" t="n">
        <v>46280</v>
      </c>
    </row>
    <row r="3774">
      <c r="A3774" s="215" t="n">
        <v>46281</v>
      </c>
      <c r="B3774" s="216" t="n">
        <v>158.4</v>
      </c>
      <c r="C3774" s="216" t="n">
        <v>235.35</v>
      </c>
      <c r="D3774" s="216" t="n">
        <v>1.168769955635071</v>
      </c>
      <c r="E3774" s="215" t="n">
        <v>46281</v>
      </c>
      <c r="F3774" s="215" t="n">
        <v>46281</v>
      </c>
    </row>
    <row r="3775">
      <c r="A3775" s="215" t="n">
        <v>46282</v>
      </c>
      <c r="B3775" s="216" t="n">
        <v>159.8</v>
      </c>
      <c r="C3775" s="216" t="n">
        <v>238.2</v>
      </c>
      <c r="D3775" s="216" t="n">
        <v>1.169389963150024</v>
      </c>
      <c r="E3775" s="215" t="n">
        <v>46282</v>
      </c>
      <c r="F3775" s="215" t="n">
        <v>46282</v>
      </c>
    </row>
    <row r="3776">
      <c r="A3776" s="215" t="n">
        <v>46283</v>
      </c>
      <c r="B3776" s="216" t="n">
        <v>171.5</v>
      </c>
      <c r="C3776" s="216" t="n">
        <v>250.47</v>
      </c>
      <c r="D3776" s="216" t="n">
        <v>1.16942298412323</v>
      </c>
      <c r="E3776" s="215" t="n">
        <v>46283</v>
      </c>
      <c r="F3776" s="215" t="n">
        <v>46283</v>
      </c>
    </row>
    <row r="3777">
      <c r="A3777" s="215" t="n">
        <v>46286</v>
      </c>
      <c r="B3777" s="216" t="n">
        <v>170</v>
      </c>
      <c r="C3777" s="216" t="n">
        <v>252.1</v>
      </c>
      <c r="D3777" s="216" t="n">
        <v>1.171280026435852</v>
      </c>
      <c r="E3777" s="215" t="n">
        <v>46286</v>
      </c>
      <c r="F3777" s="215" t="n">
        <v>46286</v>
      </c>
    </row>
    <row r="3778">
      <c r="A3778" s="215" t="n">
        <v>46287</v>
      </c>
      <c r="B3778" s="216" t="n">
        <v>170</v>
      </c>
      <c r="C3778" s="216" t="n">
        <v>255.5</v>
      </c>
      <c r="D3778" s="216" t="n">
        <v>1.171705007553101</v>
      </c>
      <c r="E3778" s="215" t="n">
        <v>46287</v>
      </c>
      <c r="F3778" s="215" t="n">
        <v>46287</v>
      </c>
    </row>
    <row r="3779">
      <c r="A3779" s="215" t="n">
        <v>46288</v>
      </c>
      <c r="B3779" s="216" t="n">
        <v>182.5</v>
      </c>
      <c r="C3779" s="216" t="n">
        <v>254.29</v>
      </c>
      <c r="D3779" s="216" t="n">
        <v>1.170611023902893</v>
      </c>
      <c r="E3779" s="215" t="n">
        <v>46288</v>
      </c>
      <c r="F3779" s="215" t="n">
        <v>46288</v>
      </c>
    </row>
    <row r="3780">
      <c r="A3780" s="215" t="n">
        <v>46289</v>
      </c>
      <c r="B3780" s="216" t="n">
        <v>178</v>
      </c>
      <c r="C3780" s="216" t="n">
        <v>253.01</v>
      </c>
      <c r="D3780" s="216" t="n">
        <v>1.16852605342865</v>
      </c>
      <c r="E3780" s="215" t="n">
        <v>46289</v>
      </c>
      <c r="F3780" s="215" t="n">
        <v>46289</v>
      </c>
    </row>
    <row r="3781">
      <c r="A3781" s="215" t="n">
        <v>46290</v>
      </c>
      <c r="B3781" s="216" t="n">
        <v>179.8</v>
      </c>
      <c r="C3781" s="216" t="n">
        <v>253.01</v>
      </c>
      <c r="D3781" s="216" t="n">
        <v>1.168424010276794</v>
      </c>
      <c r="E3781" s="215" t="n">
        <v>46289</v>
      </c>
      <c r="F3781" s="215" t="n">
        <v>46290</v>
      </c>
    </row>
    <row r="3782">
      <c r="A3782" s="215" t="n">
        <v>46293</v>
      </c>
      <c r="B3782" s="216" t="n">
        <v>170</v>
      </c>
      <c r="C3782" s="216" t="n">
        <v>246.15</v>
      </c>
      <c r="D3782" s="216" t="n">
        <v>1.168378949165344</v>
      </c>
      <c r="E3782" s="215" t="n">
        <v>46293</v>
      </c>
      <c r="F3782" s="215" t="n">
        <v>46293</v>
      </c>
    </row>
    <row r="3783">
      <c r="A3783" s="215" t="n">
        <v>46294</v>
      </c>
      <c r="B3783" s="216" t="n">
        <v>169</v>
      </c>
      <c r="C3783" s="216" t="n">
        <v>240.36</v>
      </c>
      <c r="D3783" s="216" t="n">
        <v>1.168815970420837</v>
      </c>
      <c r="E3783" s="215" t="n">
        <v>46294</v>
      </c>
      <c r="F3783" s="215" t="n">
        <v>46294</v>
      </c>
    </row>
    <row r="3784">
      <c r="A3784" s="215" t="n">
        <v>46295</v>
      </c>
      <c r="B3784" s="216" t="n">
        <v>170</v>
      </c>
      <c r="C3784" s="216" t="n">
        <v>236.32</v>
      </c>
      <c r="D3784" s="216" t="n">
        <v>1.17059600353241</v>
      </c>
      <c r="E3784" s="215" t="n">
        <v>46295</v>
      </c>
      <c r="F3784" s="215" t="n">
        <v>46295</v>
      </c>
    </row>
    <row r="3785">
      <c r="A3785" s="215" t="n">
        <v>46297</v>
      </c>
      <c r="B3785" s="216" t="n">
        <v>170</v>
      </c>
      <c r="C3785" s="216" t="n">
        <v>236.32</v>
      </c>
      <c r="D3785" s="216" t="n">
        <v>1.170220971107483</v>
      </c>
      <c r="E3785" s="215" t="n">
        <v>46295</v>
      </c>
      <c r="F3785" s="215" t="n">
        <v>46297</v>
      </c>
    </row>
    <row r="3786">
      <c r="A3786" s="215" t="n">
        <v>46104</v>
      </c>
      <c r="B3786" s="216" t="n">
        <v>11.25</v>
      </c>
      <c r="C3786" s="216" t="n">
        <v>20.64</v>
      </c>
      <c r="D3786" s="216" t="n">
        <v>1.137529969215393</v>
      </c>
      <c r="E3786" s="215" t="n">
        <v>46104</v>
      </c>
      <c r="F3786" s="215" t="n">
        <v>46104</v>
      </c>
    </row>
    <row r="3787">
      <c r="A3787" s="215" t="n">
        <v>46105</v>
      </c>
      <c r="B3787" s="216" t="n">
        <v>10.64</v>
      </c>
      <c r="C3787" s="216" t="n">
        <v>20.7</v>
      </c>
      <c r="D3787" s="216" t="n">
        <v>1.138481974601746</v>
      </c>
      <c r="E3787" s="215" t="n">
        <v>46105</v>
      </c>
      <c r="F3787" s="215" t="n">
        <v>46105</v>
      </c>
    </row>
    <row r="3788">
      <c r="A3788" s="215" t="n">
        <v>46106</v>
      </c>
      <c r="B3788" s="216" t="n">
        <v>12.92</v>
      </c>
      <c r="C3788" s="216" t="n">
        <v>21.58</v>
      </c>
      <c r="D3788" s="216" t="n">
        <v>1.135548949241638</v>
      </c>
      <c r="E3788" s="215" t="n">
        <v>46106</v>
      </c>
      <c r="F3788" s="215" t="n">
        <v>46106</v>
      </c>
    </row>
    <row r="3789">
      <c r="A3789" s="215" t="n">
        <v>46107</v>
      </c>
      <c r="B3789" s="216" t="n">
        <v>13.07</v>
      </c>
      <c r="C3789" s="216" t="n">
        <v>20.89</v>
      </c>
      <c r="D3789" s="216" t="n">
        <v>1.132627010345459</v>
      </c>
      <c r="E3789" s="215" t="n">
        <v>46107</v>
      </c>
      <c r="F3789" s="215" t="n">
        <v>46107</v>
      </c>
    </row>
    <row r="3790">
      <c r="A3790" s="215" t="n">
        <v>46108</v>
      </c>
      <c r="B3790" s="216" t="n">
        <v>12.87</v>
      </c>
      <c r="C3790" s="216" t="n">
        <v>20.8</v>
      </c>
      <c r="D3790" s="216" t="n">
        <v>1.132115960121155</v>
      </c>
      <c r="E3790" s="215" t="n">
        <v>46108</v>
      </c>
      <c r="F3790" s="215" t="n">
        <v>46108</v>
      </c>
    </row>
    <row r="3791">
      <c r="A3791" s="215" t="n">
        <v>46111</v>
      </c>
      <c r="B3791" s="216" t="n">
        <v>13.08</v>
      </c>
      <c r="C3791" s="216" t="n">
        <v>20.58</v>
      </c>
      <c r="D3791" s="216" t="n">
        <v>1.13311505317688</v>
      </c>
      <c r="E3791" s="215" t="n">
        <v>46111</v>
      </c>
      <c r="F3791" s="215" t="n">
        <v>46111</v>
      </c>
    </row>
    <row r="3792">
      <c r="A3792" s="215" t="n">
        <v>46112</v>
      </c>
      <c r="B3792" s="216" t="n">
        <v>12.83</v>
      </c>
      <c r="C3792" s="216" t="n">
        <v>20.01</v>
      </c>
      <c r="D3792" s="216" t="n">
        <v>1.133540987968445</v>
      </c>
      <c r="E3792" s="215" t="n">
        <v>46112</v>
      </c>
      <c r="F3792" s="215" t="n">
        <v>46112</v>
      </c>
    </row>
    <row r="3793">
      <c r="A3793" s="215" t="n">
        <v>46113</v>
      </c>
      <c r="B3793" s="216" t="n">
        <v>12.83</v>
      </c>
      <c r="C3793" s="216" t="n">
        <v>20.34</v>
      </c>
      <c r="D3793" s="216" t="n">
        <v>1.136669993400574</v>
      </c>
      <c r="E3793" s="215" t="n">
        <v>46113</v>
      </c>
      <c r="F3793" s="215" t="n">
        <v>46113</v>
      </c>
    </row>
    <row r="3794">
      <c r="A3794" s="215" t="n">
        <v>46114</v>
      </c>
      <c r="B3794" s="216" t="n">
        <v>12.49</v>
      </c>
      <c r="C3794" s="216" t="n">
        <v>19.52</v>
      </c>
      <c r="D3794" s="216" t="n">
        <v>1.140197992324829</v>
      </c>
      <c r="E3794" s="215" t="n">
        <v>46114</v>
      </c>
      <c r="F3794" s="215" t="n">
        <v>46114</v>
      </c>
    </row>
    <row r="3795">
      <c r="A3795" s="215" t="n">
        <v>46120</v>
      </c>
      <c r="B3795" s="216" t="n">
        <v>12.78</v>
      </c>
      <c r="C3795" s="216" t="n">
        <v>20.68</v>
      </c>
      <c r="D3795" s="216" t="n">
        <v>1.1423499584198</v>
      </c>
      <c r="E3795" s="215" t="n">
        <v>46120</v>
      </c>
      <c r="F3795" s="215" t="n">
        <v>46120</v>
      </c>
    </row>
    <row r="3796">
      <c r="A3796" s="215" t="n">
        <v>46121</v>
      </c>
      <c r="B3796" s="216" t="n">
        <v>13.2</v>
      </c>
      <c r="C3796" s="216" t="n">
        <v>22.34</v>
      </c>
      <c r="D3796" s="216" t="n">
        <v>1.146731972694397</v>
      </c>
      <c r="E3796" s="215" t="n">
        <v>46121</v>
      </c>
      <c r="F3796" s="215" t="n">
        <v>46121</v>
      </c>
    </row>
    <row r="3797">
      <c r="A3797" s="215" t="n">
        <v>46122</v>
      </c>
      <c r="B3797" s="216" t="n">
        <v>12.68</v>
      </c>
      <c r="C3797" s="216" t="n">
        <v>21.84</v>
      </c>
      <c r="D3797" s="216" t="n">
        <v>1.146558046340942</v>
      </c>
      <c r="E3797" s="215" t="n">
        <v>46122</v>
      </c>
      <c r="F3797" s="215" t="n">
        <v>46122</v>
      </c>
    </row>
    <row r="3798">
      <c r="A3798" s="215" t="n">
        <v>46125</v>
      </c>
      <c r="B3798" s="216" t="n">
        <v>12.96</v>
      </c>
      <c r="C3798" s="216" t="n">
        <v>22.72</v>
      </c>
      <c r="D3798" s="216" t="n">
        <v>1.147117972373962</v>
      </c>
      <c r="E3798" s="215" t="n">
        <v>46125</v>
      </c>
      <c r="F3798" s="215" t="n">
        <v>46125</v>
      </c>
    </row>
    <row r="3799">
      <c r="A3799" s="215" t="n">
        <v>46126</v>
      </c>
      <c r="B3799" s="216" t="n">
        <v>12.87</v>
      </c>
      <c r="C3799" s="216" t="n">
        <v>22.61</v>
      </c>
      <c r="D3799" s="216" t="n">
        <v>1.146226048469543</v>
      </c>
      <c r="E3799" s="215" t="n">
        <v>46126</v>
      </c>
      <c r="F3799" s="215" t="n">
        <v>46126</v>
      </c>
    </row>
    <row r="3800">
      <c r="A3800" s="215" t="n">
        <v>46127</v>
      </c>
      <c r="B3800" s="216" t="n">
        <v>12.72</v>
      </c>
      <c r="C3800" s="216" t="n">
        <v>21.93</v>
      </c>
      <c r="D3800" s="216" t="n">
        <v>1.149266004562378</v>
      </c>
      <c r="E3800" s="215" t="n">
        <v>46127</v>
      </c>
      <c r="F3800" s="215" t="n">
        <v>46127</v>
      </c>
    </row>
    <row r="3801">
      <c r="A3801" s="215" t="n">
        <v>46128</v>
      </c>
      <c r="B3801" s="216" t="n">
        <v>12.61</v>
      </c>
      <c r="C3801" s="216" t="n">
        <v>21.94</v>
      </c>
      <c r="D3801" s="216" t="n">
        <v>1.148550033569336</v>
      </c>
      <c r="E3801" s="215" t="n">
        <v>46128</v>
      </c>
      <c r="F3801" s="215" t="n">
        <v>46128</v>
      </c>
    </row>
    <row r="3802">
      <c r="A3802" s="215" t="n">
        <v>46129</v>
      </c>
      <c r="B3802" s="216" t="n">
        <v>12.69</v>
      </c>
      <c r="C3802" s="216" t="n">
        <v>21.97</v>
      </c>
      <c r="D3802" s="216" t="n">
        <v>1.146605014801025</v>
      </c>
      <c r="E3802" s="215" t="n">
        <v>46129</v>
      </c>
      <c r="F3802" s="215" t="n">
        <v>46129</v>
      </c>
    </row>
    <row r="3803">
      <c r="A3803" s="215" t="n">
        <v>46132</v>
      </c>
      <c r="B3803" s="216" t="n">
        <v>12.4</v>
      </c>
      <c r="C3803" s="216" t="n">
        <v>21.71</v>
      </c>
      <c r="D3803" s="216" t="n">
        <v>1.148360967636108</v>
      </c>
      <c r="E3803" s="215" t="n">
        <v>46132</v>
      </c>
      <c r="F3803" s="215" t="n">
        <v>46132</v>
      </c>
    </row>
    <row r="3804">
      <c r="A3804" s="215" t="n">
        <v>46133</v>
      </c>
      <c r="B3804" s="216" t="n">
        <v>11.95</v>
      </c>
      <c r="C3804" s="216" t="n">
        <v>21.14</v>
      </c>
      <c r="D3804" s="216" t="n">
        <v>1.148368000984192</v>
      </c>
      <c r="E3804" s="215" t="n">
        <v>46133</v>
      </c>
      <c r="F3804" s="215" t="n">
        <v>46133</v>
      </c>
    </row>
    <row r="3805">
      <c r="A3805" s="215" t="n">
        <v>46134</v>
      </c>
      <c r="B3805" s="216" t="n">
        <v>12.49</v>
      </c>
      <c r="C3805" s="216" t="n">
        <v>22.55</v>
      </c>
      <c r="D3805" s="216" t="n">
        <v>1.147838950157166</v>
      </c>
      <c r="E3805" s="215" t="n">
        <v>46134</v>
      </c>
      <c r="F3805" s="215" t="n">
        <v>46134</v>
      </c>
    </row>
    <row r="3806">
      <c r="A3806" s="215" t="n">
        <v>46135</v>
      </c>
      <c r="B3806" s="216" t="n">
        <v>12.9</v>
      </c>
      <c r="C3806" s="216" t="n">
        <v>23.71</v>
      </c>
      <c r="D3806" s="216" t="n">
        <v>1.147513031959534</v>
      </c>
      <c r="E3806" s="215" t="n">
        <v>46135</v>
      </c>
      <c r="F3806" s="215" t="n">
        <v>46135</v>
      </c>
    </row>
    <row r="3807">
      <c r="A3807" s="215" t="n">
        <v>46136</v>
      </c>
      <c r="B3807" s="216" t="n">
        <v>12.37</v>
      </c>
      <c r="C3807" s="216" t="n">
        <v>23.1</v>
      </c>
      <c r="D3807" s="216" t="n">
        <v>1.147369027137756</v>
      </c>
      <c r="E3807" s="215" t="n">
        <v>46136</v>
      </c>
      <c r="F3807" s="215" t="n">
        <v>46136</v>
      </c>
    </row>
    <row r="3808">
      <c r="A3808" s="215" t="n">
        <v>46139</v>
      </c>
      <c r="B3808" s="216" t="n">
        <v>12.49</v>
      </c>
      <c r="C3808" s="216" t="n">
        <v>23.08</v>
      </c>
      <c r="D3808" s="216" t="n">
        <v>1.146002054214478</v>
      </c>
      <c r="E3808" s="215" t="n">
        <v>46139</v>
      </c>
      <c r="F3808" s="215" t="n">
        <v>46139</v>
      </c>
    </row>
    <row r="3809">
      <c r="A3809" s="215" t="n">
        <v>46140</v>
      </c>
      <c r="B3809" s="216" t="n">
        <v>12.3</v>
      </c>
      <c r="C3809" s="216" t="n">
        <v>22.22</v>
      </c>
      <c r="D3809" s="216" t="n">
        <v>1.148522019386292</v>
      </c>
      <c r="E3809" s="215" t="n">
        <v>46140</v>
      </c>
      <c r="F3809" s="215" t="n">
        <v>46140</v>
      </c>
    </row>
    <row r="3810">
      <c r="A3810" s="215" t="n">
        <v>46141</v>
      </c>
      <c r="B3810" s="216" t="n">
        <v>12.25</v>
      </c>
      <c r="C3810" s="216" t="n">
        <v>22.16</v>
      </c>
      <c r="D3810" s="216" t="n">
        <v>1.145936012268066</v>
      </c>
      <c r="E3810" s="215" t="n">
        <v>46141</v>
      </c>
      <c r="F3810" s="215" t="n">
        <v>46141</v>
      </c>
    </row>
    <row r="3811">
      <c r="A3811" s="215" t="n">
        <v>46142</v>
      </c>
      <c r="B3811" s="216" t="n">
        <v>12.27</v>
      </c>
      <c r="C3811" s="216" t="n">
        <v>23.05</v>
      </c>
      <c r="D3811" s="216" t="n">
        <v>1.145792007446289</v>
      </c>
      <c r="E3811" s="215" t="n">
        <v>46142</v>
      </c>
      <c r="F3811" s="215" t="n">
        <v>46142</v>
      </c>
    </row>
    <row r="3812">
      <c r="A3812" s="215" t="n">
        <v>46146</v>
      </c>
      <c r="B3812" s="216" t="n">
        <v>12.27</v>
      </c>
      <c r="C3812" s="216" t="n">
        <v>23.05</v>
      </c>
      <c r="D3812" s="216" t="n">
        <v>1.147340059280396</v>
      </c>
      <c r="E3812" s="215" t="n">
        <v>46142</v>
      </c>
      <c r="F3812" s="215" t="n">
        <v>46146</v>
      </c>
    </row>
    <row r="3813">
      <c r="A3813" s="215" t="n">
        <v>46147</v>
      </c>
      <c r="B3813" s="216" t="n">
        <v>12.3</v>
      </c>
      <c r="C3813" s="216" t="n">
        <v>23.05</v>
      </c>
      <c r="D3813" s="216" t="n">
        <v>1.146813988685608</v>
      </c>
      <c r="E3813" s="215" t="n">
        <v>46142</v>
      </c>
      <c r="F3813" s="215" t="n">
        <v>46147</v>
      </c>
    </row>
    <row r="3814">
      <c r="A3814" s="215" t="n">
        <v>46148</v>
      </c>
      <c r="B3814" s="216" t="n">
        <v>12.7</v>
      </c>
      <c r="C3814" s="216" t="n">
        <v>24.14</v>
      </c>
      <c r="D3814" s="216" t="n">
        <v>1.14708399772644</v>
      </c>
      <c r="E3814" s="215" t="n">
        <v>46148</v>
      </c>
      <c r="F3814" s="215" t="n">
        <v>46148</v>
      </c>
    </row>
    <row r="3815">
      <c r="A3815" s="215" t="n">
        <v>46149</v>
      </c>
      <c r="B3815" s="216" t="n">
        <v>12.87</v>
      </c>
      <c r="C3815" s="216" t="n">
        <v>24.74</v>
      </c>
      <c r="D3815" s="216" t="n">
        <v>1.150125026702881</v>
      </c>
      <c r="E3815" s="215" t="n">
        <v>46149</v>
      </c>
      <c r="F3815" s="215" t="n">
        <v>46149</v>
      </c>
    </row>
    <row r="3816">
      <c r="A3816" s="215" t="n">
        <v>46150</v>
      </c>
      <c r="B3816" s="216" t="n">
        <v>13.16</v>
      </c>
      <c r="C3816" s="216" t="n">
        <v>25.59</v>
      </c>
      <c r="D3816" s="216" t="n">
        <v>1.15172004699707</v>
      </c>
      <c r="E3816" s="215" t="n">
        <v>46150</v>
      </c>
      <c r="F3816" s="215" t="n">
        <v>46150</v>
      </c>
    </row>
    <row r="3817">
      <c r="A3817" s="215" t="n">
        <v>46153</v>
      </c>
      <c r="B3817" s="216" t="n">
        <v>12.96</v>
      </c>
      <c r="C3817" s="216" t="n">
        <v>25.24</v>
      </c>
      <c r="D3817" s="216" t="n">
        <v>1.151090025901794</v>
      </c>
      <c r="E3817" s="215" t="n">
        <v>46153</v>
      </c>
      <c r="F3817" s="215" t="n">
        <v>46153</v>
      </c>
    </row>
    <row r="3818">
      <c r="A3818" s="215" t="n">
        <v>46154</v>
      </c>
      <c r="B3818" s="216" t="n">
        <v>12.88</v>
      </c>
      <c r="C3818" s="216" t="n">
        <v>25.03</v>
      </c>
      <c r="D3818" s="216" t="n">
        <v>1.152078986167908</v>
      </c>
      <c r="E3818" s="215" t="n">
        <v>46154</v>
      </c>
      <c r="F3818" s="215" t="n">
        <v>46154</v>
      </c>
    </row>
    <row r="3819">
      <c r="A3819" s="215" t="n">
        <v>46155</v>
      </c>
      <c r="B3819" s="216" t="n">
        <v>13.88</v>
      </c>
      <c r="C3819" s="216" t="n">
        <v>25.93</v>
      </c>
      <c r="D3819" s="216" t="n">
        <v>1.152537941932678</v>
      </c>
      <c r="E3819" s="215" t="n">
        <v>46155</v>
      </c>
      <c r="F3819" s="215" t="n">
        <v>46155</v>
      </c>
    </row>
    <row r="3820">
      <c r="A3820" s="215" t="n">
        <v>46156</v>
      </c>
      <c r="B3820" s="216" t="n">
        <v>13.62</v>
      </c>
      <c r="C3820" s="216" t="n">
        <v>25.25</v>
      </c>
      <c r="D3820" s="216" t="n">
        <v>1.152662992477417</v>
      </c>
      <c r="E3820" s="215" t="n">
        <v>46156</v>
      </c>
      <c r="F3820" s="215" t="n">
        <v>46156</v>
      </c>
    </row>
    <row r="3821">
      <c r="A3821" s="215" t="n">
        <v>46157</v>
      </c>
      <c r="B3821" s="216" t="n">
        <v>13.48</v>
      </c>
      <c r="C3821" s="216" t="n">
        <v>24.9</v>
      </c>
      <c r="D3821" s="216" t="n">
        <v>1.154320001602173</v>
      </c>
      <c r="E3821" s="215" t="n">
        <v>46157</v>
      </c>
      <c r="F3821" s="215" t="n">
        <v>46157</v>
      </c>
    </row>
    <row r="3822">
      <c r="A3822" s="215" t="n">
        <v>46160</v>
      </c>
      <c r="B3822" s="216" t="n">
        <v>14.9</v>
      </c>
      <c r="C3822" s="216" t="n">
        <v>27.64</v>
      </c>
      <c r="D3822" s="216" t="n">
        <v>1.149821996688843</v>
      </c>
      <c r="E3822" s="215" t="n">
        <v>46160</v>
      </c>
      <c r="F3822" s="215" t="n">
        <v>46160</v>
      </c>
    </row>
    <row r="3823">
      <c r="A3823" s="215" t="n">
        <v>46161</v>
      </c>
      <c r="B3823" s="216" t="n">
        <v>16.23</v>
      </c>
      <c r="C3823" s="216" t="n">
        <v>28.39</v>
      </c>
      <c r="D3823" s="216" t="n">
        <v>1.151532053947449</v>
      </c>
      <c r="E3823" s="215" t="n">
        <v>46161</v>
      </c>
      <c r="F3823" s="215" t="n">
        <v>46161</v>
      </c>
    </row>
    <row r="3824">
      <c r="A3824" s="215" t="n">
        <v>46162</v>
      </c>
      <c r="B3824" s="216" t="n">
        <v>15.61</v>
      </c>
      <c r="C3824" s="216" t="n">
        <v>27.91</v>
      </c>
      <c r="D3824" s="216" t="n">
        <v>1.149292945861816</v>
      </c>
      <c r="E3824" s="215" t="n">
        <v>46162</v>
      </c>
      <c r="F3824" s="215" t="n">
        <v>46162</v>
      </c>
    </row>
    <row r="3825">
      <c r="A3825" s="215" t="n">
        <v>46163</v>
      </c>
      <c r="B3825" s="216" t="n">
        <v>14.02</v>
      </c>
      <c r="C3825" s="216" t="n">
        <v>26.06</v>
      </c>
      <c r="D3825" s="216" t="n">
        <v>1.151231050491333</v>
      </c>
      <c r="E3825" s="215" t="n">
        <v>46163</v>
      </c>
      <c r="F3825" s="215" t="n">
        <v>46163</v>
      </c>
    </row>
    <row r="3826">
      <c r="A3826" s="215" t="n">
        <v>46164</v>
      </c>
      <c r="B3826" s="216" t="n">
        <v>14.16</v>
      </c>
      <c r="C3826" s="216" t="n">
        <v>26.31</v>
      </c>
      <c r="D3826" s="216" t="n">
        <v>1.151487946510315</v>
      </c>
      <c r="E3826" s="215" t="n">
        <v>46164</v>
      </c>
      <c r="F3826" s="215" t="n">
        <v>46164</v>
      </c>
    </row>
    <row r="3827">
      <c r="A3827" s="215" t="n">
        <v>46168</v>
      </c>
      <c r="B3827" s="216" t="n">
        <v>13.52</v>
      </c>
      <c r="C3827" s="216" t="n">
        <v>26</v>
      </c>
      <c r="D3827" s="216" t="n">
        <v>1.152968049049377</v>
      </c>
      <c r="E3827" s="215" t="n">
        <v>46168</v>
      </c>
      <c r="F3827" s="215" t="n">
        <v>46168</v>
      </c>
    </row>
    <row r="3828">
      <c r="A3828" s="215" t="n">
        <v>46169</v>
      </c>
      <c r="B3828" s="216" t="n">
        <v>13.39</v>
      </c>
      <c r="C3828" s="216" t="n">
        <v>24.97</v>
      </c>
      <c r="D3828" s="216" t="n">
        <v>1.154562950134277</v>
      </c>
      <c r="E3828" s="215" t="n">
        <v>46169</v>
      </c>
      <c r="F3828" s="215" t="n">
        <v>46169</v>
      </c>
    </row>
    <row r="3829">
      <c r="A3829" s="215" t="n">
        <v>46170</v>
      </c>
      <c r="B3829" s="216" t="n">
        <v>13.41</v>
      </c>
      <c r="C3829" s="216" t="n">
        <v>24.9</v>
      </c>
      <c r="D3829" s="216" t="n">
        <v>1.155385971069336</v>
      </c>
      <c r="E3829" s="215" t="n">
        <v>46170</v>
      </c>
      <c r="F3829" s="215" t="n">
        <v>46170</v>
      </c>
    </row>
    <row r="3830">
      <c r="A3830" s="215" t="n">
        <v>46171</v>
      </c>
      <c r="B3830" s="216" t="n">
        <v>12.3</v>
      </c>
      <c r="C3830" s="216" t="n">
        <v>22.97</v>
      </c>
      <c r="D3830" s="216" t="n">
        <v>1.155282974243164</v>
      </c>
      <c r="E3830" s="215" t="n">
        <v>46171</v>
      </c>
      <c r="F3830" s="215" t="n">
        <v>46171</v>
      </c>
    </row>
    <row r="3831">
      <c r="A3831" s="215" t="n">
        <v>46174</v>
      </c>
      <c r="B3831" s="216" t="n">
        <v>12.16</v>
      </c>
      <c r="C3831" s="216" t="n">
        <v>22.65</v>
      </c>
      <c r="D3831" s="216" t="n">
        <v>1.158049941062927</v>
      </c>
      <c r="E3831" s="215" t="n">
        <v>46174</v>
      </c>
      <c r="F3831" s="215" t="n">
        <v>46174</v>
      </c>
    </row>
    <row r="3832">
      <c r="A3832" s="215" t="n">
        <v>46175</v>
      </c>
      <c r="B3832" s="216" t="n">
        <v>12.24</v>
      </c>
      <c r="C3832" s="216" t="n">
        <v>23.38</v>
      </c>
      <c r="D3832" s="216" t="n">
        <v>1.158406972885132</v>
      </c>
      <c r="E3832" s="215" t="n">
        <v>46175</v>
      </c>
      <c r="F3832" s="215" t="n">
        <v>46175</v>
      </c>
    </row>
    <row r="3833">
      <c r="A3833" s="215" t="n">
        <v>46176</v>
      </c>
      <c r="B3833" s="216" t="n">
        <v>12.7</v>
      </c>
      <c r="C3833" s="216" t="n">
        <v>24.7</v>
      </c>
      <c r="D3833" s="216" t="n">
        <v>1.15879499912262</v>
      </c>
      <c r="E3833" s="215" t="n">
        <v>46176</v>
      </c>
      <c r="F3833" s="215" t="n">
        <v>46176</v>
      </c>
    </row>
    <row r="3834">
      <c r="A3834" s="215" t="n">
        <v>46177</v>
      </c>
      <c r="B3834" s="216" t="n">
        <v>12.5</v>
      </c>
      <c r="C3834" s="216" t="n">
        <v>24.19</v>
      </c>
      <c r="D3834" s="216" t="n">
        <v>1.157420039176941</v>
      </c>
      <c r="E3834" s="215" t="n">
        <v>46177</v>
      </c>
      <c r="F3834" s="215" t="n">
        <v>46177</v>
      </c>
    </row>
    <row r="3835">
      <c r="A3835" s="215" t="n">
        <v>46178</v>
      </c>
      <c r="B3835" s="216" t="n">
        <v>11.92</v>
      </c>
      <c r="C3835" s="216" t="n">
        <v>23.52</v>
      </c>
      <c r="D3835" s="216" t="n">
        <v>1.156491994857788</v>
      </c>
      <c r="E3835" s="215" t="n">
        <v>46178</v>
      </c>
      <c r="F3835" s="215" t="n">
        <v>46178</v>
      </c>
    </row>
    <row r="3836">
      <c r="A3836" s="215" t="n">
        <v>46181</v>
      </c>
      <c r="B3836" s="216" t="n">
        <v>11.22</v>
      </c>
      <c r="C3836" s="216" t="n">
        <v>21.49</v>
      </c>
      <c r="D3836" s="216" t="n">
        <v>1.157665967941284</v>
      </c>
      <c r="E3836" s="215" t="n">
        <v>46181</v>
      </c>
      <c r="F3836" s="215" t="n">
        <v>46181</v>
      </c>
    </row>
    <row r="3837">
      <c r="A3837" s="215" t="n">
        <v>46182</v>
      </c>
      <c r="B3837" s="216" t="n">
        <v>11.58</v>
      </c>
      <c r="C3837" s="216" t="n">
        <v>22.77</v>
      </c>
      <c r="D3837" s="216" t="n">
        <v>1.158027052879333</v>
      </c>
      <c r="E3837" s="215" t="n">
        <v>46182</v>
      </c>
      <c r="F3837" s="215" t="n">
        <v>46182</v>
      </c>
    </row>
    <row r="3838">
      <c r="A3838" s="215" t="n">
        <v>46183</v>
      </c>
      <c r="B3838" s="216" t="n">
        <v>11.23</v>
      </c>
      <c r="C3838" s="216" t="n">
        <v>21.71</v>
      </c>
      <c r="D3838" s="216" t="n">
        <v>1.157112002372742</v>
      </c>
      <c r="E3838" s="215" t="n">
        <v>46183</v>
      </c>
      <c r="F3838" s="215" t="n">
        <v>46183</v>
      </c>
    </row>
    <row r="3839">
      <c r="A3839" s="215" t="n">
        <v>46184</v>
      </c>
      <c r="B3839" s="216" t="n">
        <v>11.54</v>
      </c>
      <c r="C3839" s="216" t="n">
        <v>22.56</v>
      </c>
      <c r="D3839" s="216" t="n">
        <v>1.156929016113281</v>
      </c>
      <c r="E3839" s="215" t="n">
        <v>46184</v>
      </c>
      <c r="F3839" s="215" t="n">
        <v>46184</v>
      </c>
    </row>
    <row r="3840">
      <c r="A3840" s="215" t="n">
        <v>46185</v>
      </c>
      <c r="B3840" s="216" t="n">
        <v>11.23</v>
      </c>
      <c r="C3840" s="216" t="n">
        <v>21.47</v>
      </c>
      <c r="D3840" s="216" t="n">
        <v>1.156345963478088</v>
      </c>
      <c r="E3840" s="215" t="n">
        <v>46185</v>
      </c>
      <c r="F3840" s="215" t="n">
        <v>46185</v>
      </c>
    </row>
    <row r="3841">
      <c r="A3841" s="215" t="n">
        <v>46188</v>
      </c>
      <c r="B3841" s="216" t="n">
        <v>11.73</v>
      </c>
      <c r="C3841" s="216" t="n">
        <v>22.22</v>
      </c>
      <c r="D3841" s="216" t="n">
        <v>1.156880021095276</v>
      </c>
      <c r="E3841" s="215" t="n">
        <v>46188</v>
      </c>
      <c r="F3841" s="215" t="n">
        <v>46188</v>
      </c>
    </row>
    <row r="3842">
      <c r="A3842" s="215" t="n">
        <v>46189</v>
      </c>
      <c r="B3842" s="216" t="n">
        <v>11.76</v>
      </c>
      <c r="C3842" s="216" t="n">
        <v>23.12</v>
      </c>
      <c r="D3842" s="216" t="n">
        <v>1.158604025840759</v>
      </c>
      <c r="E3842" s="215" t="n">
        <v>46189</v>
      </c>
      <c r="F3842" s="215" t="n">
        <v>46189</v>
      </c>
    </row>
    <row r="3843">
      <c r="A3843" s="215" t="n">
        <v>46190</v>
      </c>
      <c r="B3843" s="216" t="n">
        <v>11.5</v>
      </c>
      <c r="C3843" s="216" t="n">
        <v>23.15</v>
      </c>
      <c r="D3843" s="216" t="n">
        <v>1.158974051475525</v>
      </c>
      <c r="E3843" s="215" t="n">
        <v>46190</v>
      </c>
      <c r="F3843" s="215" t="n">
        <v>46190</v>
      </c>
    </row>
    <row r="3844">
      <c r="A3844" s="215" t="n">
        <v>46191</v>
      </c>
      <c r="B3844" s="216" t="n">
        <v>11.28</v>
      </c>
      <c r="C3844" s="216" t="n">
        <v>23.33</v>
      </c>
      <c r="D3844" s="216" t="n">
        <v>1.159355998039246</v>
      </c>
      <c r="E3844" s="215" t="n">
        <v>46191</v>
      </c>
      <c r="F3844" s="215" t="n">
        <v>46191</v>
      </c>
    </row>
    <row r="3845">
      <c r="A3845" s="215" t="n">
        <v>46195</v>
      </c>
      <c r="B3845" s="216" t="n">
        <v>10.88</v>
      </c>
      <c r="C3845" s="216" t="n">
        <v>23.1</v>
      </c>
      <c r="D3845" s="216" t="n">
        <v>1.157493948936462</v>
      </c>
      <c r="E3845" s="215" t="n">
        <v>46195</v>
      </c>
      <c r="F3845" s="215" t="n">
        <v>46195</v>
      </c>
    </row>
    <row r="3846">
      <c r="A3846" s="215" t="n">
        <v>46196</v>
      </c>
      <c r="B3846" s="216" t="n">
        <v>12.07</v>
      </c>
      <c r="C3846" s="216" t="n">
        <v>26.73</v>
      </c>
      <c r="D3846" s="216" t="n">
        <v>1.156896948814392</v>
      </c>
      <c r="E3846" s="215" t="n">
        <v>46196</v>
      </c>
      <c r="F3846" s="215" t="n">
        <v>46196</v>
      </c>
    </row>
    <row r="3847">
      <c r="A3847" s="215" t="n">
        <v>46197</v>
      </c>
      <c r="B3847" s="216" t="n">
        <v>11.57</v>
      </c>
      <c r="C3847" s="216" t="n">
        <v>25.78</v>
      </c>
      <c r="D3847" s="216" t="n">
        <v>1.154508948326111</v>
      </c>
      <c r="E3847" s="215" t="n">
        <v>46197</v>
      </c>
      <c r="F3847" s="215" t="n">
        <v>46197</v>
      </c>
    </row>
    <row r="3848">
      <c r="A3848" s="215" t="n">
        <v>46198</v>
      </c>
      <c r="B3848" s="216" t="n">
        <v>12.88</v>
      </c>
      <c r="C3848" s="216" t="n">
        <v>29.03</v>
      </c>
      <c r="D3848" s="216" t="n">
        <v>1.154152035713196</v>
      </c>
      <c r="E3848" s="215" t="n">
        <v>46198</v>
      </c>
      <c r="F3848" s="215" t="n">
        <v>46198</v>
      </c>
    </row>
    <row r="3849">
      <c r="A3849" s="215" t="n">
        <v>46199</v>
      </c>
      <c r="B3849" s="216" t="n">
        <v>12.72</v>
      </c>
      <c r="C3849" s="216" t="n">
        <v>28.11</v>
      </c>
      <c r="D3849" s="216" t="n">
        <v>1.154500961303711</v>
      </c>
      <c r="E3849" s="215" t="n">
        <v>46199</v>
      </c>
      <c r="F3849" s="215" t="n">
        <v>46199</v>
      </c>
    </row>
    <row r="3850">
      <c r="A3850" s="215" t="n">
        <v>46202</v>
      </c>
      <c r="B3850" s="216" t="n">
        <v>12.43</v>
      </c>
      <c r="C3850" s="216" t="n">
        <v>27.53</v>
      </c>
      <c r="D3850" s="216" t="n">
        <v>1.153512001037598</v>
      </c>
      <c r="E3850" s="215" t="n">
        <v>46202</v>
      </c>
      <c r="F3850" s="215" t="n">
        <v>46202</v>
      </c>
    </row>
    <row r="3851">
      <c r="A3851" s="215" t="n">
        <v>46203</v>
      </c>
      <c r="B3851" s="216" t="n">
        <v>13.32</v>
      </c>
      <c r="C3851" s="216" t="n">
        <v>31.35</v>
      </c>
      <c r="D3851" s="216" t="n">
        <v>1.153959035873413</v>
      </c>
      <c r="E3851" s="215" t="n">
        <v>46203</v>
      </c>
      <c r="F3851" s="215" t="n">
        <v>46203</v>
      </c>
    </row>
    <row r="3852">
      <c r="A3852" s="215" t="n">
        <v>46205</v>
      </c>
      <c r="B3852" s="216" t="n">
        <v>13.46</v>
      </c>
      <c r="C3852" s="216" t="n">
        <v>30.38</v>
      </c>
      <c r="D3852" s="216" t="n">
        <v>1.154355049133301</v>
      </c>
      <c r="E3852" s="215" t="n">
        <v>46205</v>
      </c>
      <c r="F3852" s="215" t="n">
        <v>46205</v>
      </c>
    </row>
    <row r="3853">
      <c r="A3853" s="215" t="n">
        <v>46206</v>
      </c>
      <c r="B3853" s="216" t="n">
        <v>12.92</v>
      </c>
      <c r="C3853" s="216" t="n">
        <v>29.05</v>
      </c>
      <c r="D3853" s="216" t="n">
        <v>1.155220985412598</v>
      </c>
      <c r="E3853" s="215" t="n">
        <v>46206</v>
      </c>
      <c r="F3853" s="215" t="n">
        <v>46206</v>
      </c>
    </row>
    <row r="3854">
      <c r="A3854" s="215" t="n">
        <v>46209</v>
      </c>
      <c r="B3854" s="216" t="n">
        <v>13.37</v>
      </c>
      <c r="C3854" s="216" t="n">
        <v>28.36</v>
      </c>
      <c r="D3854" s="216" t="n">
        <v>1.155068039894104</v>
      </c>
      <c r="E3854" s="215" t="n">
        <v>46209</v>
      </c>
      <c r="F3854" s="215" t="n">
        <v>46209</v>
      </c>
    </row>
    <row r="3855">
      <c r="A3855" s="215" t="n">
        <v>46210</v>
      </c>
      <c r="B3855" s="216" t="n">
        <v>13.52</v>
      </c>
      <c r="C3855" s="216" t="n">
        <v>27.54</v>
      </c>
      <c r="D3855" s="216" t="n">
        <v>1.153807997703552</v>
      </c>
      <c r="E3855" s="215" t="n">
        <v>46210</v>
      </c>
      <c r="F3855" s="215" t="n">
        <v>46210</v>
      </c>
    </row>
    <row r="3856">
      <c r="A3856" s="215" t="n">
        <v>46211</v>
      </c>
      <c r="B3856" s="216" t="n">
        <v>13.08</v>
      </c>
      <c r="C3856" s="216" t="n">
        <v>27.06</v>
      </c>
      <c r="D3856" s="216" t="n">
        <v>1.154153943061829</v>
      </c>
      <c r="E3856" s="215" t="n">
        <v>46211</v>
      </c>
      <c r="F3856" s="215" t="n">
        <v>46211</v>
      </c>
    </row>
    <row r="3857">
      <c r="A3857" s="215" t="n">
        <v>46212</v>
      </c>
      <c r="B3857" s="216" t="n">
        <v>13.51</v>
      </c>
      <c r="C3857" s="216" t="n">
        <v>27.65</v>
      </c>
      <c r="D3857" s="216" t="n">
        <v>1.152119994163513</v>
      </c>
      <c r="E3857" s="215" t="n">
        <v>46212</v>
      </c>
      <c r="F3857" s="215" t="n">
        <v>46212</v>
      </c>
    </row>
    <row r="3858">
      <c r="A3858" s="215" t="n">
        <v>46213</v>
      </c>
      <c r="B3858" s="216" t="n">
        <v>12.6</v>
      </c>
      <c r="C3858" s="216" t="n">
        <v>25.59</v>
      </c>
      <c r="D3858" s="216" t="n">
        <v>1.153550028800964</v>
      </c>
      <c r="E3858" s="215" t="n">
        <v>46213</v>
      </c>
      <c r="F3858" s="215" t="n">
        <v>46213</v>
      </c>
    </row>
    <row r="3859">
      <c r="A3859" s="215" t="n">
        <v>46216</v>
      </c>
      <c r="B3859" s="216" t="n">
        <v>11.61</v>
      </c>
      <c r="C3859" s="216" t="n">
        <v>23.64</v>
      </c>
      <c r="D3859" s="216" t="n">
        <v>1.156761050224304</v>
      </c>
      <c r="E3859" s="215" t="n">
        <v>46216</v>
      </c>
      <c r="F3859" s="215" t="n">
        <v>46216</v>
      </c>
    </row>
    <row r="3860">
      <c r="A3860" s="215" t="n">
        <v>46217</v>
      </c>
      <c r="B3860" s="216" t="n">
        <v>11.52</v>
      </c>
      <c r="C3860" s="216" t="n">
        <v>23.5</v>
      </c>
      <c r="D3860" s="216" t="n">
        <v>1.155825972557068</v>
      </c>
      <c r="E3860" s="215" t="n">
        <v>46217</v>
      </c>
      <c r="F3860" s="215" t="n">
        <v>46217</v>
      </c>
    </row>
    <row r="3861">
      <c r="A3861" s="215" t="n">
        <v>46218</v>
      </c>
      <c r="B3861" s="216" t="n">
        <v>11.28</v>
      </c>
      <c r="C3861" s="216" t="n">
        <v>22.42</v>
      </c>
      <c r="D3861" s="216" t="n">
        <v>1.157556056976318</v>
      </c>
      <c r="E3861" s="215" t="n">
        <v>46218</v>
      </c>
      <c r="F3861" s="215" t="n">
        <v>46218</v>
      </c>
    </row>
    <row r="3862">
      <c r="A3862" s="215" t="n">
        <v>46219</v>
      </c>
      <c r="B3862" s="216" t="n">
        <v>11.1</v>
      </c>
      <c r="C3862" s="216" t="n">
        <v>21.11</v>
      </c>
      <c r="D3862" s="216" t="n">
        <v>1.157912969589233</v>
      </c>
      <c r="E3862" s="215" t="n">
        <v>46219</v>
      </c>
      <c r="F3862" s="215" t="n">
        <v>46219</v>
      </c>
    </row>
    <row r="3863">
      <c r="A3863" s="215" t="n">
        <v>46220</v>
      </c>
      <c r="B3863" s="216" t="n">
        <v>10.05</v>
      </c>
      <c r="C3863" s="216" t="n">
        <v>19.24</v>
      </c>
      <c r="D3863" s="216" t="n">
        <v>1.157472014427185</v>
      </c>
      <c r="E3863" s="215" t="n">
        <v>46220</v>
      </c>
      <c r="F3863" s="215" t="n">
        <v>46220</v>
      </c>
    </row>
    <row r="3864">
      <c r="A3864" s="215" t="n">
        <v>46223</v>
      </c>
      <c r="B3864" s="216" t="n">
        <v>9.1</v>
      </c>
      <c r="C3864" s="216" t="n">
        <v>17.56</v>
      </c>
      <c r="D3864" s="216" t="n">
        <v>1.157451033592224</v>
      </c>
      <c r="E3864" s="215" t="n">
        <v>46223</v>
      </c>
      <c r="F3864" s="215" t="n">
        <v>46223</v>
      </c>
    </row>
    <row r="3865">
      <c r="A3865" s="215" t="n">
        <v>46224</v>
      </c>
      <c r="B3865" s="216" t="n">
        <v>9.49</v>
      </c>
      <c r="C3865" s="216" t="n">
        <v>18.66</v>
      </c>
      <c r="D3865" s="216" t="n">
        <v>1.157506942749023</v>
      </c>
      <c r="E3865" s="215" t="n">
        <v>46224</v>
      </c>
      <c r="F3865" s="215" t="n">
        <v>46224</v>
      </c>
    </row>
    <row r="3866">
      <c r="A3866" s="215" t="n">
        <v>46225</v>
      </c>
      <c r="B3866" s="216" t="n">
        <v>9.210000000000001</v>
      </c>
      <c r="C3866" s="216" t="n">
        <v>18.16</v>
      </c>
      <c r="D3866" s="216" t="n">
        <v>1.158938050270081</v>
      </c>
      <c r="E3866" s="215" t="n">
        <v>46225</v>
      </c>
      <c r="F3866" s="215" t="n">
        <v>46225</v>
      </c>
    </row>
    <row r="3867">
      <c r="A3867" s="215" t="n">
        <v>46226</v>
      </c>
      <c r="B3867" s="216" t="n">
        <v>9.17</v>
      </c>
      <c r="C3867" s="216" t="n">
        <v>17.82</v>
      </c>
      <c r="D3867" s="216" t="n">
        <v>1.157410979270935</v>
      </c>
      <c r="E3867" s="215" t="n">
        <v>46226</v>
      </c>
      <c r="F3867" s="215" t="n">
        <v>46226</v>
      </c>
    </row>
    <row r="3868">
      <c r="A3868" s="215" t="n">
        <v>46227</v>
      </c>
      <c r="B3868" s="216" t="n">
        <v>8.869999999999999</v>
      </c>
      <c r="C3868" s="216" t="n">
        <v>17.27</v>
      </c>
      <c r="D3868" s="216" t="n">
        <v>1.15762197971344</v>
      </c>
      <c r="E3868" s="215" t="n">
        <v>46227</v>
      </c>
      <c r="F3868" s="215" t="n">
        <v>46227</v>
      </c>
    </row>
    <row r="3869">
      <c r="A3869" s="215" t="n">
        <v>46230</v>
      </c>
      <c r="B3869" s="216" t="n">
        <v>9.039999999999999</v>
      </c>
      <c r="C3869" s="216" t="n">
        <v>17.68</v>
      </c>
      <c r="D3869" s="216" t="n">
        <v>1.15789794921875</v>
      </c>
      <c r="E3869" s="215" t="n">
        <v>46230</v>
      </c>
      <c r="F3869" s="215" t="n">
        <v>46230</v>
      </c>
    </row>
    <row r="3870">
      <c r="A3870" s="215" t="n">
        <v>46231</v>
      </c>
      <c r="B3870" s="216" t="n">
        <v>8.4</v>
      </c>
      <c r="C3870" s="216" t="n">
        <v>16.84</v>
      </c>
      <c r="D3870" s="216" t="n">
        <v>1.158699035644531</v>
      </c>
      <c r="E3870" s="215" t="n">
        <v>46231</v>
      </c>
      <c r="F3870" s="215" t="n">
        <v>46231</v>
      </c>
    </row>
    <row r="3871">
      <c r="A3871" s="215" t="n">
        <v>46232</v>
      </c>
      <c r="B3871" s="216" t="n">
        <v>8.06</v>
      </c>
      <c r="C3871" s="216" t="n">
        <v>16.75</v>
      </c>
      <c r="D3871" s="216" t="n">
        <v>1.157909989356995</v>
      </c>
      <c r="E3871" s="215" t="n">
        <v>46232</v>
      </c>
      <c r="F3871" s="215" t="n">
        <v>46232</v>
      </c>
    </row>
    <row r="3872">
      <c r="A3872" s="215" t="n">
        <v>46233</v>
      </c>
      <c r="B3872" s="216" t="n">
        <v>7.49</v>
      </c>
      <c r="C3872" s="216" t="n">
        <v>15.84</v>
      </c>
      <c r="D3872" s="216" t="n">
        <v>1.158943057060242</v>
      </c>
      <c r="E3872" s="215" t="n">
        <v>46233</v>
      </c>
      <c r="F3872" s="215" t="n">
        <v>46233</v>
      </c>
    </row>
    <row r="3873">
      <c r="A3873" s="215" t="n">
        <v>46234</v>
      </c>
      <c r="B3873" s="216" t="n">
        <v>7.69</v>
      </c>
      <c r="C3873" s="216" t="n">
        <v>16.19</v>
      </c>
      <c r="D3873" s="216" t="n">
        <v>1.160945057868958</v>
      </c>
      <c r="E3873" s="215" t="n">
        <v>46234</v>
      </c>
      <c r="F3873" s="215" t="n">
        <v>46234</v>
      </c>
    </row>
    <row r="3874">
      <c r="A3874" s="215" t="n">
        <v>46237</v>
      </c>
      <c r="B3874" s="216" t="n">
        <v>7.715</v>
      </c>
      <c r="C3874" s="216" t="n">
        <v>16.42</v>
      </c>
      <c r="D3874" s="216" t="n">
        <v>1.161579966545105</v>
      </c>
      <c r="E3874" s="215" t="n">
        <v>46237</v>
      </c>
      <c r="F3874" s="215" t="n">
        <v>46237</v>
      </c>
    </row>
    <row r="3875">
      <c r="A3875" s="215" t="n">
        <v>46238</v>
      </c>
      <c r="B3875" s="216" t="n">
        <v>8.369999999999999</v>
      </c>
      <c r="C3875" s="216" t="n">
        <v>18.1</v>
      </c>
      <c r="D3875" s="216" t="n">
        <v>1.161064982414246</v>
      </c>
      <c r="E3875" s="215" t="n">
        <v>46238</v>
      </c>
      <c r="F3875" s="215" t="n">
        <v>46238</v>
      </c>
    </row>
    <row r="3876">
      <c r="A3876" s="215" t="n">
        <v>46239</v>
      </c>
      <c r="B3876" s="216" t="n">
        <v>8.58</v>
      </c>
      <c r="C3876" s="216" t="n">
        <v>18.48</v>
      </c>
      <c r="D3876" s="216" t="n">
        <v>1.161146998405457</v>
      </c>
      <c r="E3876" s="215" t="n">
        <v>46239</v>
      </c>
      <c r="F3876" s="215" t="n">
        <v>46239</v>
      </c>
    </row>
    <row r="3877">
      <c r="A3877" s="215" t="n">
        <v>46240</v>
      </c>
      <c r="B3877" s="216" t="n">
        <v>8.484999999999999</v>
      </c>
      <c r="C3877" s="216" t="n">
        <v>18.82</v>
      </c>
      <c r="D3877" s="216" t="n">
        <v>1.161936044692993</v>
      </c>
      <c r="E3877" s="215" t="n">
        <v>46240</v>
      </c>
      <c r="F3877" s="215" t="n">
        <v>46240</v>
      </c>
    </row>
    <row r="3878">
      <c r="A3878" s="215" t="n">
        <v>46241</v>
      </c>
      <c r="B3878" s="216" t="n">
        <v>8.885</v>
      </c>
      <c r="C3878" s="216" t="n">
        <v>19.31</v>
      </c>
      <c r="D3878" s="216" t="n">
        <v>1.162284016609192</v>
      </c>
      <c r="E3878" s="215" t="n">
        <v>46241</v>
      </c>
      <c r="F3878" s="215" t="n">
        <v>46241</v>
      </c>
    </row>
    <row r="3879">
      <c r="A3879" s="215" t="n">
        <v>46244</v>
      </c>
      <c r="B3879" s="216" t="n">
        <v>8.869999999999999</v>
      </c>
      <c r="C3879" s="216" t="n">
        <v>19.17</v>
      </c>
      <c r="D3879" s="216" t="n">
        <v>1.162629961967468</v>
      </c>
      <c r="E3879" s="215" t="n">
        <v>46244</v>
      </c>
      <c r="F3879" s="215" t="n">
        <v>46244</v>
      </c>
    </row>
    <row r="3880">
      <c r="A3880" s="215" t="n">
        <v>46245</v>
      </c>
      <c r="B3880" s="216" t="n">
        <v>9.08</v>
      </c>
      <c r="C3880" s="216" t="n">
        <v>19.9</v>
      </c>
      <c r="D3880" s="216" t="n">
        <v>1.162588000297546</v>
      </c>
      <c r="E3880" s="215" t="n">
        <v>46245</v>
      </c>
      <c r="F3880" s="215" t="n">
        <v>46245</v>
      </c>
    </row>
    <row r="3881">
      <c r="A3881" s="215" t="n">
        <v>46246</v>
      </c>
      <c r="B3881" s="216" t="n">
        <v>9.18</v>
      </c>
      <c r="C3881" s="216" t="n">
        <v>20.08</v>
      </c>
      <c r="D3881" s="216" t="n">
        <v>1.163135051727295</v>
      </c>
      <c r="E3881" s="215" t="n">
        <v>46246</v>
      </c>
      <c r="F3881" s="215" t="n">
        <v>46246</v>
      </c>
    </row>
    <row r="3882">
      <c r="A3882" s="215" t="n">
        <v>46247</v>
      </c>
      <c r="B3882" s="216" t="n">
        <v>9.295</v>
      </c>
      <c r="C3882" s="216" t="n">
        <v>19.56</v>
      </c>
      <c r="D3882" s="216" t="n">
        <v>1.163341045379639</v>
      </c>
      <c r="E3882" s="215" t="n">
        <v>46247</v>
      </c>
      <c r="F3882" s="215" t="n">
        <v>46247</v>
      </c>
    </row>
    <row r="3883">
      <c r="A3883" s="215" t="n">
        <v>46248</v>
      </c>
      <c r="B3883" s="216" t="n">
        <v>9.25</v>
      </c>
      <c r="C3883" s="216" t="n">
        <v>19.69</v>
      </c>
      <c r="D3883" s="216" t="n">
        <v>1.163571000099182</v>
      </c>
      <c r="E3883" s="215" t="n">
        <v>46248</v>
      </c>
      <c r="F3883" s="215" t="n">
        <v>46248</v>
      </c>
    </row>
    <row r="3884">
      <c r="A3884" s="215" t="n">
        <v>46251</v>
      </c>
      <c r="B3884" s="216" t="n">
        <v>9.609999999999999</v>
      </c>
      <c r="C3884" s="216" t="n">
        <v>20.56</v>
      </c>
      <c r="D3884" s="216" t="n">
        <v>1.163601994514465</v>
      </c>
      <c r="E3884" s="215" t="n">
        <v>46251</v>
      </c>
      <c r="F3884" s="215" t="n">
        <v>46251</v>
      </c>
    </row>
    <row r="3885">
      <c r="A3885" s="215" t="n">
        <v>46252</v>
      </c>
      <c r="B3885" s="216" t="n">
        <v>9.425000000000001</v>
      </c>
      <c r="C3885" s="216" t="n">
        <v>20.78</v>
      </c>
      <c r="D3885" s="216" t="n">
        <v>1.163733005523682</v>
      </c>
      <c r="E3885" s="215" t="n">
        <v>46252</v>
      </c>
      <c r="F3885" s="215" t="n">
        <v>46252</v>
      </c>
    </row>
    <row r="3886">
      <c r="A3886" s="215" t="n">
        <v>46253</v>
      </c>
      <c r="B3886" s="216" t="n">
        <v>8.9</v>
      </c>
      <c r="C3886" s="216" t="n">
        <v>19.37</v>
      </c>
      <c r="D3886" s="216" t="n">
        <v>1.163092017173767</v>
      </c>
      <c r="E3886" s="215" t="n">
        <v>46253</v>
      </c>
      <c r="F3886" s="215" t="n">
        <v>46253</v>
      </c>
    </row>
    <row r="3887">
      <c r="A3887" s="215" t="n">
        <v>46254</v>
      </c>
      <c r="B3887" s="216" t="n">
        <v>8.779999999999999</v>
      </c>
      <c r="C3887" s="216" t="n">
        <v>19.19</v>
      </c>
      <c r="D3887" s="216" t="n">
        <v>1.164932012557983</v>
      </c>
      <c r="E3887" s="215" t="n">
        <v>46254</v>
      </c>
      <c r="F3887" s="215" t="n">
        <v>46254</v>
      </c>
    </row>
    <row r="3888">
      <c r="A3888" s="215" t="n">
        <v>46255</v>
      </c>
      <c r="B3888" s="216" t="n">
        <v>8.845000000000001</v>
      </c>
      <c r="C3888" s="216" t="n">
        <v>19.41</v>
      </c>
      <c r="D3888" s="216" t="n">
        <v>1.166555047035217</v>
      </c>
      <c r="E3888" s="215" t="n">
        <v>46255</v>
      </c>
      <c r="F3888" s="215" t="n">
        <v>46255</v>
      </c>
    </row>
    <row r="3889">
      <c r="A3889" s="215" t="n">
        <v>46258</v>
      </c>
      <c r="B3889" s="216" t="n">
        <v>8.699999999999999</v>
      </c>
      <c r="C3889" s="216" t="n">
        <v>19.72</v>
      </c>
      <c r="D3889" s="216" t="n">
        <v>1.166316986083984</v>
      </c>
      <c r="E3889" s="215" t="n">
        <v>46258</v>
      </c>
      <c r="F3889" s="215" t="n">
        <v>46258</v>
      </c>
    </row>
    <row r="3890">
      <c r="A3890" s="215" t="n">
        <v>46259</v>
      </c>
      <c r="B3890" s="216" t="n">
        <v>8.945</v>
      </c>
      <c r="C3890" s="216" t="n">
        <v>20.22</v>
      </c>
      <c r="D3890" s="216" t="n">
        <v>1.165253043174744</v>
      </c>
      <c r="E3890" s="215" t="n">
        <v>46259</v>
      </c>
      <c r="F3890" s="215" t="n">
        <v>46259</v>
      </c>
    </row>
    <row r="3891">
      <c r="A3891" s="215" t="n">
        <v>46260</v>
      </c>
      <c r="B3891" s="216" t="n">
        <v>9.06</v>
      </c>
      <c r="C3891" s="216" t="n">
        <v>20.16</v>
      </c>
      <c r="D3891" s="216" t="n">
        <v>1.166218996047974</v>
      </c>
      <c r="E3891" s="215" t="n">
        <v>46260</v>
      </c>
      <c r="F3891" s="215" t="n">
        <v>46260</v>
      </c>
    </row>
    <row r="3892">
      <c r="A3892" s="215" t="n">
        <v>46261</v>
      </c>
      <c r="B3892" s="216" t="n">
        <v>9.24</v>
      </c>
      <c r="C3892" s="216" t="n">
        <v>20.47</v>
      </c>
      <c r="D3892" s="216" t="n">
        <v>1.165971040725708</v>
      </c>
      <c r="E3892" s="215" t="n">
        <v>46261</v>
      </c>
      <c r="F3892" s="215" t="n">
        <v>46261</v>
      </c>
    </row>
    <row r="3893">
      <c r="A3893" s="215" t="n">
        <v>46262</v>
      </c>
      <c r="B3893" s="216" t="n">
        <v>9.154999999999999</v>
      </c>
      <c r="C3893" s="216" t="n">
        <v>20.29</v>
      </c>
      <c r="D3893" s="216" t="n">
        <v>1.165799975395203</v>
      </c>
      <c r="E3893" s="215" t="n">
        <v>46262</v>
      </c>
      <c r="F3893" s="215" t="n">
        <v>46262</v>
      </c>
    </row>
    <row r="3894">
      <c r="A3894" s="215" t="n">
        <v>46265</v>
      </c>
      <c r="B3894" s="216" t="n">
        <v>9.24</v>
      </c>
      <c r="C3894" s="216" t="n">
        <v>20.85</v>
      </c>
      <c r="D3894" s="216" t="n">
        <v>1.165387988090515</v>
      </c>
      <c r="E3894" s="215" t="n">
        <v>46265</v>
      </c>
      <c r="F3894" s="215" t="n">
        <v>46265</v>
      </c>
    </row>
    <row r="3895">
      <c r="A3895" s="215" t="n">
        <v>46266</v>
      </c>
      <c r="B3895" s="216" t="n">
        <v>9.109999999999999</v>
      </c>
      <c r="C3895" s="216" t="n">
        <v>21.11</v>
      </c>
      <c r="D3895" s="216" t="n">
        <v>1.165223956108093</v>
      </c>
      <c r="E3895" s="215" t="n">
        <v>46266</v>
      </c>
      <c r="F3895" s="215" t="n">
        <v>46266</v>
      </c>
    </row>
    <row r="3896">
      <c r="A3896" s="215" t="n">
        <v>46267</v>
      </c>
      <c r="B3896" s="216" t="n">
        <v>8.975</v>
      </c>
      <c r="C3896" s="216" t="n">
        <v>20.94</v>
      </c>
      <c r="D3896" s="216" t="n">
        <v>1.166425943374634</v>
      </c>
      <c r="E3896" s="215" t="n">
        <v>46267</v>
      </c>
      <c r="F3896" s="215" t="n">
        <v>46267</v>
      </c>
    </row>
    <row r="3897">
      <c r="A3897" s="215" t="n">
        <v>46268</v>
      </c>
      <c r="B3897" s="216" t="n">
        <v>8.904999999999999</v>
      </c>
      <c r="C3897" s="216" t="n">
        <v>20.61</v>
      </c>
      <c r="D3897" s="216" t="n">
        <v>1.167057037353516</v>
      </c>
      <c r="E3897" s="215" t="n">
        <v>46268</v>
      </c>
      <c r="F3897" s="215" t="n">
        <v>46268</v>
      </c>
    </row>
    <row r="3898">
      <c r="A3898" s="215" t="n">
        <v>46269</v>
      </c>
      <c r="B3898" s="216" t="n">
        <v>8.785</v>
      </c>
      <c r="C3898" s="216" t="n">
        <v>19.94</v>
      </c>
      <c r="D3898" s="216" t="n">
        <v>1.166767954826355</v>
      </c>
      <c r="E3898" s="215" t="n">
        <v>46269</v>
      </c>
      <c r="F3898" s="215" t="n">
        <v>46269</v>
      </c>
    </row>
    <row r="3899">
      <c r="A3899" s="215" t="n">
        <v>46272</v>
      </c>
      <c r="B3899" s="216" t="n">
        <v>8.85</v>
      </c>
      <c r="C3899" s="216" t="n">
        <v>20.12</v>
      </c>
      <c r="D3899" s="216" t="n">
        <v>1.168081045150757</v>
      </c>
      <c r="E3899" s="215" t="n">
        <v>46272</v>
      </c>
      <c r="F3899" s="215" t="n">
        <v>46272</v>
      </c>
    </row>
    <row r="3900">
      <c r="A3900" s="215" t="n">
        <v>46273</v>
      </c>
      <c r="B3900" s="216" t="n">
        <v>8.835000000000001</v>
      </c>
      <c r="C3900" s="216" t="n">
        <v>19.85</v>
      </c>
      <c r="D3900" s="216" t="n">
        <v>1.168115019798279</v>
      </c>
      <c r="E3900" s="215" t="n">
        <v>46273</v>
      </c>
      <c r="F3900" s="215" t="n">
        <v>46273</v>
      </c>
    </row>
    <row r="3901">
      <c r="A3901" s="215" t="n">
        <v>46274</v>
      </c>
      <c r="B3901" s="216" t="n">
        <v>8.5</v>
      </c>
      <c r="C3901" s="216" t="n">
        <v>19.63</v>
      </c>
      <c r="D3901" s="216" t="n">
        <v>1.168408989906311</v>
      </c>
      <c r="E3901" s="215" t="n">
        <v>46274</v>
      </c>
      <c r="F3901" s="215" t="n">
        <v>46274</v>
      </c>
    </row>
    <row r="3902">
      <c r="A3902" s="215" t="n">
        <v>46275</v>
      </c>
      <c r="B3902" s="216" t="n">
        <v>8.539999999999999</v>
      </c>
      <c r="C3902" s="216" t="n">
        <v>19.64</v>
      </c>
      <c r="D3902" s="216" t="n">
        <v>1.168462991714478</v>
      </c>
      <c r="E3902" s="215" t="n">
        <v>46275</v>
      </c>
      <c r="F3902" s="215" t="n">
        <v>46275</v>
      </c>
    </row>
    <row r="3903">
      <c r="A3903" s="215" t="n">
        <v>46276</v>
      </c>
      <c r="B3903" s="216" t="n">
        <v>8.105</v>
      </c>
      <c r="C3903" s="216" t="n">
        <v>19.3</v>
      </c>
      <c r="D3903" s="216" t="n">
        <v>1.169165015220642</v>
      </c>
      <c r="E3903" s="215" t="n">
        <v>46276</v>
      </c>
      <c r="F3903" s="215" t="n">
        <v>46276</v>
      </c>
    </row>
    <row r="3904">
      <c r="A3904" s="215" t="n">
        <v>46279</v>
      </c>
      <c r="B3904" s="216" t="n">
        <v>7.97</v>
      </c>
      <c r="C3904" s="216" t="n">
        <v>19.57</v>
      </c>
      <c r="D3904" s="216" t="n">
        <v>1.16893994808197</v>
      </c>
      <c r="E3904" s="215" t="n">
        <v>46279</v>
      </c>
      <c r="F3904" s="215" t="n">
        <v>46279</v>
      </c>
    </row>
    <row r="3905">
      <c r="A3905" s="215" t="n">
        <v>46280</v>
      </c>
      <c r="B3905" s="216" t="n">
        <v>7.905</v>
      </c>
      <c r="C3905" s="216" t="n">
        <v>19.88</v>
      </c>
      <c r="D3905" s="216" t="n">
        <v>1.169121026992798</v>
      </c>
      <c r="E3905" s="215" t="n">
        <v>46280</v>
      </c>
      <c r="F3905" s="215" t="n">
        <v>46280</v>
      </c>
    </row>
    <row r="3906">
      <c r="A3906" s="215" t="n">
        <v>46281</v>
      </c>
      <c r="B3906" s="216" t="n">
        <v>8.029999999999999</v>
      </c>
      <c r="C3906" s="216" t="n">
        <v>20.4</v>
      </c>
      <c r="D3906" s="216" t="n">
        <v>1.168769955635071</v>
      </c>
      <c r="E3906" s="215" t="n">
        <v>46281</v>
      </c>
      <c r="F3906" s="215" t="n">
        <v>46281</v>
      </c>
    </row>
    <row r="3907">
      <c r="A3907" s="215" t="n">
        <v>46282</v>
      </c>
      <c r="B3907" s="216" t="n">
        <v>7.955</v>
      </c>
      <c r="C3907" s="216" t="n">
        <v>20</v>
      </c>
      <c r="D3907" s="216" t="n">
        <v>1.169389963150024</v>
      </c>
      <c r="E3907" s="215" t="n">
        <v>46282</v>
      </c>
      <c r="F3907" s="215" t="n">
        <v>46282</v>
      </c>
    </row>
    <row r="3908">
      <c r="A3908" s="215" t="n">
        <v>46283</v>
      </c>
      <c r="B3908" s="216" t="n">
        <v>8.76</v>
      </c>
      <c r="C3908" s="216" t="n">
        <v>22.18</v>
      </c>
      <c r="D3908" s="216" t="n">
        <v>1.16942298412323</v>
      </c>
      <c r="E3908" s="215" t="n">
        <v>46283</v>
      </c>
      <c r="F3908" s="215" t="n">
        <v>46283</v>
      </c>
    </row>
    <row r="3909">
      <c r="A3909" s="215" t="n">
        <v>46286</v>
      </c>
      <c r="B3909" s="216" t="n">
        <v>8.875</v>
      </c>
      <c r="C3909" s="216" t="n">
        <v>22.51</v>
      </c>
      <c r="D3909" s="216" t="n">
        <v>1.171280026435852</v>
      </c>
      <c r="E3909" s="215" t="n">
        <v>46286</v>
      </c>
      <c r="F3909" s="215" t="n">
        <v>46286</v>
      </c>
    </row>
    <row r="3910">
      <c r="A3910" s="215" t="n">
        <v>46287</v>
      </c>
      <c r="B3910" s="216" t="n">
        <v>8.81</v>
      </c>
      <c r="C3910" s="216" t="n">
        <v>22.7</v>
      </c>
      <c r="D3910" s="216" t="n">
        <v>1.171705007553101</v>
      </c>
      <c r="E3910" s="215" t="n">
        <v>46287</v>
      </c>
      <c r="F3910" s="215" t="n">
        <v>46287</v>
      </c>
    </row>
    <row r="3911">
      <c r="A3911" s="215" t="n">
        <v>46288</v>
      </c>
      <c r="B3911" s="216" t="n">
        <v>8.744999999999999</v>
      </c>
      <c r="C3911" s="216" t="n">
        <v>22.78</v>
      </c>
      <c r="D3911" s="216" t="n">
        <v>1.170611023902893</v>
      </c>
      <c r="E3911" s="215" t="n">
        <v>46288</v>
      </c>
      <c r="F3911" s="215" t="n">
        <v>46288</v>
      </c>
    </row>
    <row r="3912">
      <c r="A3912" s="215" t="n">
        <v>46289</v>
      </c>
      <c r="B3912" s="216" t="n">
        <v>8.525</v>
      </c>
      <c r="C3912" s="216" t="n">
        <v>22.3</v>
      </c>
      <c r="D3912" s="216" t="n">
        <v>1.16852605342865</v>
      </c>
      <c r="E3912" s="215" t="n">
        <v>46289</v>
      </c>
      <c r="F3912" s="215" t="n">
        <v>46289</v>
      </c>
    </row>
    <row r="3913">
      <c r="A3913" s="215" t="n">
        <v>46290</v>
      </c>
      <c r="B3913" s="216" t="n">
        <v>8.199999999999999</v>
      </c>
      <c r="C3913" s="216" t="n">
        <v>22.3</v>
      </c>
      <c r="D3913" s="216" t="n">
        <v>1.168424010276794</v>
      </c>
      <c r="E3913" s="215" t="n">
        <v>46289</v>
      </c>
      <c r="F3913" s="215" t="n">
        <v>46290</v>
      </c>
    </row>
    <row r="3914">
      <c r="A3914" s="215" t="n">
        <v>46293</v>
      </c>
      <c r="B3914" s="216" t="n">
        <v>8.005000000000001</v>
      </c>
      <c r="C3914" s="216" t="n">
        <v>21.35</v>
      </c>
      <c r="D3914" s="216" t="n">
        <v>1.168378949165344</v>
      </c>
      <c r="E3914" s="215" t="n">
        <v>46293</v>
      </c>
      <c r="F3914" s="215" t="n">
        <v>46293</v>
      </c>
    </row>
    <row r="3915">
      <c r="A3915" s="215" t="n">
        <v>46294</v>
      </c>
      <c r="B3915" s="216" t="n">
        <v>7.96</v>
      </c>
      <c r="C3915" s="216" t="n">
        <v>21.35</v>
      </c>
      <c r="D3915" s="216" t="n">
        <v>1.168815970420837</v>
      </c>
      <c r="E3915" s="215" t="n">
        <v>46294</v>
      </c>
      <c r="F3915" s="215" t="n">
        <v>46294</v>
      </c>
    </row>
    <row r="3916">
      <c r="A3916" s="215" t="n">
        <v>46295</v>
      </c>
      <c r="B3916" s="216" t="n">
        <v>8.025</v>
      </c>
      <c r="C3916" s="216" t="n">
        <v>20.86</v>
      </c>
      <c r="D3916" s="216" t="n">
        <v>1.17059600353241</v>
      </c>
      <c r="E3916" s="215" t="n">
        <v>46295</v>
      </c>
      <c r="F3916" s="215" t="n">
        <v>46295</v>
      </c>
    </row>
    <row r="3917">
      <c r="A3917" s="215" t="n">
        <v>46297</v>
      </c>
      <c r="B3917" s="216" t="n">
        <v>7.765</v>
      </c>
      <c r="C3917" s="216" t="n">
        <v>20.86</v>
      </c>
      <c r="D3917" s="216" t="n">
        <v>1.170220971107483</v>
      </c>
      <c r="E3917" s="215" t="n">
        <v>46295</v>
      </c>
      <c r="F3917" s="215" t="n">
        <v>46297</v>
      </c>
    </row>
    <row r="3918">
      <c r="A3918" s="215" t="n">
        <v>46034</v>
      </c>
      <c r="B3918" s="216" t="n">
        <v>121.8</v>
      </c>
      <c r="C3918" s="216" t="n">
        <v>133.55</v>
      </c>
      <c r="D3918" s="216" t="n">
        <v>1.117015957832336</v>
      </c>
      <c r="E3918" s="215" t="n">
        <v>46034</v>
      </c>
      <c r="F3918" s="215" t="n">
        <v>46034</v>
      </c>
    </row>
    <row r="3919">
      <c r="A3919" s="215" t="n">
        <v>46035</v>
      </c>
      <c r="B3919" s="216" t="n">
        <v>114.9</v>
      </c>
      <c r="C3919" s="216" t="n">
        <v>128.38</v>
      </c>
      <c r="D3919" s="216" t="n">
        <v>1.117892026901245</v>
      </c>
      <c r="E3919" s="215" t="n">
        <v>46035</v>
      </c>
      <c r="F3919" s="215" t="n">
        <v>46035</v>
      </c>
    </row>
    <row r="3920">
      <c r="A3920" s="215" t="n">
        <v>46036</v>
      </c>
      <c r="B3920" s="216" t="n">
        <v>114.8</v>
      </c>
      <c r="C3920" s="216" t="n">
        <v>127.71</v>
      </c>
      <c r="D3920" s="216" t="n">
        <v>1.117897987365723</v>
      </c>
      <c r="E3920" s="215" t="n">
        <v>46036</v>
      </c>
      <c r="F3920" s="215" t="n">
        <v>46036</v>
      </c>
    </row>
    <row r="3921">
      <c r="A3921" s="215" t="n">
        <v>46037</v>
      </c>
      <c r="B3921" s="216" t="n">
        <v>111.6</v>
      </c>
      <c r="C3921" s="216" t="n">
        <v>128.47</v>
      </c>
      <c r="D3921" s="216" t="n">
        <v>1.118072032928467</v>
      </c>
      <c r="E3921" s="215" t="n">
        <v>46037</v>
      </c>
      <c r="F3921" s="215" t="n">
        <v>46037</v>
      </c>
    </row>
    <row r="3922">
      <c r="A3922" s="215" t="n">
        <v>46038</v>
      </c>
      <c r="B3922" s="216" t="n">
        <v>113.2</v>
      </c>
      <c r="C3922" s="216" t="n">
        <v>130.83</v>
      </c>
      <c r="D3922" s="216" t="n">
        <v>1.119040012359619</v>
      </c>
      <c r="E3922" s="215" t="n">
        <v>46038</v>
      </c>
      <c r="F3922" s="215" t="n">
        <v>46038</v>
      </c>
    </row>
    <row r="3923">
      <c r="A3923" s="215" t="n">
        <v>46041</v>
      </c>
      <c r="B3923" s="216" t="n">
        <v>116.5</v>
      </c>
      <c r="C3923" s="216" t="n">
        <v>128.92</v>
      </c>
      <c r="D3923" s="216" t="n">
        <v>1.118916034698486</v>
      </c>
      <c r="E3923" s="215" t="n">
        <v>46041</v>
      </c>
      <c r="F3923" s="215" t="n">
        <v>46041</v>
      </c>
    </row>
    <row r="3924">
      <c r="A3924" s="215" t="n">
        <v>46042</v>
      </c>
      <c r="B3924" s="216" t="n">
        <v>114.4</v>
      </c>
      <c r="C3924" s="216" t="n">
        <v>128.99</v>
      </c>
      <c r="D3924" s="216" t="n">
        <v>1.118687987327576</v>
      </c>
      <c r="E3924" s="215" t="n">
        <v>46042</v>
      </c>
      <c r="F3924" s="215" t="n">
        <v>46042</v>
      </c>
    </row>
    <row r="3925">
      <c r="A3925" s="215" t="n">
        <v>46043</v>
      </c>
      <c r="B3925" s="216" t="n">
        <v>114.1</v>
      </c>
      <c r="C3925" s="216" t="n">
        <v>130.42</v>
      </c>
      <c r="D3925" s="216" t="n">
        <v>1.12024998664856</v>
      </c>
      <c r="E3925" s="215" t="n">
        <v>46043</v>
      </c>
      <c r="F3925" s="215" t="n">
        <v>46043</v>
      </c>
    </row>
    <row r="3926">
      <c r="A3926" s="215" t="n">
        <v>46044</v>
      </c>
      <c r="B3926" s="216" t="n">
        <v>111.6</v>
      </c>
      <c r="C3926" s="216" t="n">
        <v>128.84</v>
      </c>
      <c r="D3926" s="216" t="n">
        <v>1.11942195892334</v>
      </c>
      <c r="E3926" s="215" t="n">
        <v>46044</v>
      </c>
      <c r="F3926" s="215" t="n">
        <v>46044</v>
      </c>
    </row>
    <row r="3927">
      <c r="A3927" s="215" t="n">
        <v>46045</v>
      </c>
      <c r="B3927" s="216" t="n">
        <v>113.4</v>
      </c>
      <c r="C3927" s="216" t="n">
        <v>129.4</v>
      </c>
      <c r="D3927" s="216" t="n">
        <v>1.117977976799011</v>
      </c>
      <c r="E3927" s="215" t="n">
        <v>46045</v>
      </c>
      <c r="F3927" s="215" t="n">
        <v>46045</v>
      </c>
    </row>
    <row r="3928">
      <c r="A3928" s="215" t="n">
        <v>46048</v>
      </c>
      <c r="B3928" s="216" t="n">
        <v>108.8</v>
      </c>
      <c r="C3928" s="216" t="n">
        <v>124.62</v>
      </c>
      <c r="D3928" s="216" t="n">
        <v>1.117916941642761</v>
      </c>
      <c r="E3928" s="215" t="n">
        <v>46048</v>
      </c>
      <c r="F3928" s="215" t="n">
        <v>46048</v>
      </c>
    </row>
    <row r="3929">
      <c r="A3929" s="215" t="n">
        <v>46049</v>
      </c>
      <c r="B3929" s="216" t="n">
        <v>106.3</v>
      </c>
      <c r="C3929" s="216" t="n">
        <v>124.86</v>
      </c>
      <c r="D3929" s="216" t="n">
        <v>1.121191024780273</v>
      </c>
      <c r="E3929" s="215" t="n">
        <v>46049</v>
      </c>
      <c r="F3929" s="215" t="n">
        <v>46049</v>
      </c>
    </row>
    <row r="3930">
      <c r="A3930" s="215" t="n">
        <v>46050</v>
      </c>
      <c r="B3930" s="216" t="n">
        <v>106.3</v>
      </c>
      <c r="C3930" s="216" t="n">
        <v>128.08</v>
      </c>
      <c r="D3930" s="216" t="n">
        <v>1.121533036231995</v>
      </c>
      <c r="E3930" s="215" t="n">
        <v>46050</v>
      </c>
      <c r="F3930" s="215" t="n">
        <v>46050</v>
      </c>
    </row>
    <row r="3931">
      <c r="A3931" s="215" t="n">
        <v>46051</v>
      </c>
      <c r="B3931" s="216" t="n">
        <v>105.1</v>
      </c>
      <c r="C3931" s="216" t="n">
        <v>122.88</v>
      </c>
      <c r="D3931" s="216" t="n">
        <v>1.121621966362</v>
      </c>
      <c r="E3931" s="215" t="n">
        <v>46051</v>
      </c>
      <c r="F3931" s="215" t="n">
        <v>46051</v>
      </c>
    </row>
    <row r="3932">
      <c r="A3932" s="215" t="n">
        <v>46052</v>
      </c>
      <c r="B3932" s="216" t="n">
        <v>104.8</v>
      </c>
      <c r="C3932" s="216" t="n">
        <v>121.2</v>
      </c>
      <c r="D3932" s="216" t="n">
        <v>1.123343944549561</v>
      </c>
      <c r="E3932" s="215" t="n">
        <v>46052</v>
      </c>
      <c r="F3932" s="215" t="n">
        <v>46052</v>
      </c>
    </row>
    <row r="3933">
      <c r="A3933" s="215" t="n">
        <v>46055</v>
      </c>
      <c r="B3933" s="216" t="n">
        <v>104.6</v>
      </c>
      <c r="C3933" s="216" t="n">
        <v>117.95</v>
      </c>
      <c r="D3933" s="216" t="n">
        <v>1.123572945594788</v>
      </c>
      <c r="E3933" s="215" t="n">
        <v>46055</v>
      </c>
      <c r="F3933" s="215" t="n">
        <v>46055</v>
      </c>
    </row>
    <row r="3934">
      <c r="A3934" s="215" t="n">
        <v>46056</v>
      </c>
      <c r="B3934" s="216" t="n">
        <v>104.8</v>
      </c>
      <c r="C3934" s="216" t="n">
        <v>118.43</v>
      </c>
      <c r="D3934" s="216" t="n">
        <v>1.124274969100952</v>
      </c>
      <c r="E3934" s="215" t="n">
        <v>46056</v>
      </c>
      <c r="F3934" s="215" t="n">
        <v>46056</v>
      </c>
    </row>
    <row r="3935">
      <c r="A3935" s="215" t="n">
        <v>46057</v>
      </c>
      <c r="B3935" s="216" t="n">
        <v>105.2</v>
      </c>
      <c r="C3935" s="216" t="n">
        <v>117.29</v>
      </c>
      <c r="D3935" s="216" t="n">
        <v>1.12601101398468</v>
      </c>
      <c r="E3935" s="215" t="n">
        <v>46057</v>
      </c>
      <c r="F3935" s="215" t="n">
        <v>46057</v>
      </c>
    </row>
    <row r="3936">
      <c r="A3936" s="215" t="n">
        <v>46058</v>
      </c>
      <c r="B3936" s="216" t="n">
        <v>105</v>
      </c>
      <c r="C3936" s="216" t="n">
        <v>117.63</v>
      </c>
      <c r="D3936" s="216" t="n">
        <v>1.125892996788025</v>
      </c>
      <c r="E3936" s="215" t="n">
        <v>46058</v>
      </c>
      <c r="F3936" s="215" t="n">
        <v>46058</v>
      </c>
    </row>
    <row r="3937">
      <c r="A3937" s="215" t="n">
        <v>46059</v>
      </c>
      <c r="B3937" s="216" t="n">
        <v>104.8</v>
      </c>
      <c r="C3937" s="216" t="n">
        <v>115.95</v>
      </c>
      <c r="D3937" s="216" t="n">
        <v>1.126062035560608</v>
      </c>
      <c r="E3937" s="215" t="n">
        <v>46059</v>
      </c>
      <c r="F3937" s="215" t="n">
        <v>46059</v>
      </c>
    </row>
    <row r="3938">
      <c r="A3938" s="215" t="n">
        <v>46062</v>
      </c>
      <c r="B3938" s="216" t="n">
        <v>104.3</v>
      </c>
      <c r="C3938" s="216" t="n">
        <v>117.01</v>
      </c>
      <c r="D3938" s="216" t="n">
        <v>1.125753998756409</v>
      </c>
      <c r="E3938" s="215" t="n">
        <v>46062</v>
      </c>
      <c r="F3938" s="215" t="n">
        <v>46062</v>
      </c>
    </row>
    <row r="3939">
      <c r="A3939" s="215" t="n">
        <v>46063</v>
      </c>
      <c r="B3939" s="216" t="n">
        <v>104.7</v>
      </c>
      <c r="C3939" s="216" t="n">
        <v>117.83</v>
      </c>
      <c r="D3939" s="216" t="n">
        <v>1.129003047943115</v>
      </c>
      <c r="E3939" s="215" t="n">
        <v>46063</v>
      </c>
      <c r="F3939" s="215" t="n">
        <v>46063</v>
      </c>
    </row>
    <row r="3940">
      <c r="A3940" s="215" t="n">
        <v>46064</v>
      </c>
      <c r="B3940" s="216" t="n">
        <v>103.9</v>
      </c>
      <c r="C3940" s="216" t="n">
        <v>117.29</v>
      </c>
      <c r="D3940" s="216" t="n">
        <v>1.130962014198303</v>
      </c>
      <c r="E3940" s="215" t="n">
        <v>46064</v>
      </c>
      <c r="F3940" s="215" t="n">
        <v>46064</v>
      </c>
    </row>
    <row r="3941">
      <c r="A3941" s="215" t="n">
        <v>46065</v>
      </c>
      <c r="B3941" s="216" t="n">
        <v>100.4</v>
      </c>
      <c r="C3941" s="216" t="n">
        <v>117.05</v>
      </c>
      <c r="D3941" s="216" t="n">
        <v>1.130671977996826</v>
      </c>
      <c r="E3941" s="215" t="n">
        <v>46065</v>
      </c>
      <c r="F3941" s="215" t="n">
        <v>46065</v>
      </c>
    </row>
    <row r="3942">
      <c r="A3942" s="215" t="n">
        <v>46066</v>
      </c>
      <c r="B3942" s="216" t="n">
        <v>101.2</v>
      </c>
      <c r="C3942" s="216" t="n">
        <v>115.82</v>
      </c>
      <c r="D3942" s="216" t="n">
        <v>1.132490992546082</v>
      </c>
      <c r="E3942" s="215" t="n">
        <v>46066</v>
      </c>
      <c r="F3942" s="215" t="n">
        <v>46066</v>
      </c>
    </row>
    <row r="3943">
      <c r="A3943" s="215" t="n">
        <v>46069</v>
      </c>
      <c r="B3943" s="216" t="n">
        <v>105.8</v>
      </c>
      <c r="C3943" s="216" t="n">
        <v>115.82</v>
      </c>
      <c r="D3943" s="216" t="n">
        <v>1.131224036216736</v>
      </c>
      <c r="E3943" s="215" t="n">
        <v>46066</v>
      </c>
      <c r="F3943" s="215" t="n">
        <v>46069</v>
      </c>
    </row>
    <row r="3944">
      <c r="A3944" s="215" t="n">
        <v>46073</v>
      </c>
      <c r="B3944" s="216" t="n">
        <v>103.2</v>
      </c>
      <c r="C3944" s="216" t="n">
        <v>115.82</v>
      </c>
      <c r="D3944" s="216" t="n">
        <v>1.131005048751831</v>
      </c>
      <c r="E3944" s="215" t="n">
        <v>46066</v>
      </c>
      <c r="F3944" s="215" t="n">
        <v>46073</v>
      </c>
    </row>
    <row r="3945">
      <c r="A3945" s="215" t="n">
        <v>46076</v>
      </c>
      <c r="B3945" s="216" t="n">
        <v>107.1</v>
      </c>
      <c r="C3945" s="216" t="n">
        <v>115.82</v>
      </c>
      <c r="D3945" s="216" t="n">
        <v>1.130877017974854</v>
      </c>
      <c r="E3945" s="215" t="n">
        <v>46066</v>
      </c>
      <c r="F3945" s="215" t="n">
        <v>46076</v>
      </c>
    </row>
    <row r="3946">
      <c r="A3946" s="215" t="n">
        <v>46077</v>
      </c>
      <c r="B3946" s="216" t="n">
        <v>103.7</v>
      </c>
      <c r="C3946" s="216" t="n">
        <v>117.28</v>
      </c>
      <c r="D3946" s="216" t="n">
        <v>1.131631016731262</v>
      </c>
      <c r="E3946" s="215" t="n">
        <v>46077</v>
      </c>
      <c r="F3946" s="215" t="n">
        <v>46077</v>
      </c>
    </row>
    <row r="3947">
      <c r="A3947" s="215" t="n">
        <v>46078</v>
      </c>
      <c r="B3947" s="216" t="n">
        <v>102.7</v>
      </c>
      <c r="C3947" s="216" t="n">
        <v>117.84</v>
      </c>
      <c r="D3947" s="216" t="n">
        <v>1.136234045028687</v>
      </c>
      <c r="E3947" s="215" t="n">
        <v>46078</v>
      </c>
      <c r="F3947" s="215" t="n">
        <v>46078</v>
      </c>
    </row>
    <row r="3948">
      <c r="A3948" s="215" t="n">
        <v>46079</v>
      </c>
      <c r="B3948" s="216" t="n">
        <v>109.8</v>
      </c>
      <c r="C3948" s="216" t="n">
        <v>122.6</v>
      </c>
      <c r="D3948" s="216" t="n">
        <v>1.138198971748352</v>
      </c>
      <c r="E3948" s="215" t="n">
        <v>46079</v>
      </c>
      <c r="F3948" s="215" t="n">
        <v>46079</v>
      </c>
    </row>
    <row r="3949">
      <c r="A3949" s="215" t="n">
        <v>46080</v>
      </c>
      <c r="B3949" s="216" t="n">
        <v>111</v>
      </c>
      <c r="C3949" s="216" t="n">
        <v>123</v>
      </c>
      <c r="D3949" s="216" t="n">
        <v>1.143396973609924</v>
      </c>
      <c r="E3949" s="215" t="n">
        <v>46080</v>
      </c>
      <c r="F3949" s="215" t="n">
        <v>46080</v>
      </c>
    </row>
    <row r="3950">
      <c r="A3950" s="215" t="n">
        <v>46083</v>
      </c>
      <c r="B3950" s="216" t="n">
        <v>104.4</v>
      </c>
      <c r="C3950" s="216" t="n">
        <v>118.93</v>
      </c>
      <c r="D3950" s="216" t="n">
        <v>1.140552043914795</v>
      </c>
      <c r="E3950" s="215" t="n">
        <v>46083</v>
      </c>
      <c r="F3950" s="215" t="n">
        <v>46083</v>
      </c>
    </row>
    <row r="3951">
      <c r="A3951" s="215" t="n">
        <v>46084</v>
      </c>
      <c r="B3951" s="216" t="n">
        <v>98.7</v>
      </c>
      <c r="C3951" s="216" t="n">
        <v>116.35</v>
      </c>
      <c r="D3951" s="216" t="n">
        <v>1.136399984359741</v>
      </c>
      <c r="E3951" s="215" t="n">
        <v>46084</v>
      </c>
      <c r="F3951" s="215" t="n">
        <v>46084</v>
      </c>
    </row>
    <row r="3952">
      <c r="A3952" s="215" t="n">
        <v>46085</v>
      </c>
      <c r="B3952" s="216" t="n">
        <v>97.2</v>
      </c>
      <c r="C3952" s="216" t="n">
        <v>113.52</v>
      </c>
      <c r="D3952" s="216" t="n">
        <v>1.130928993225098</v>
      </c>
      <c r="E3952" s="215" t="n">
        <v>46085</v>
      </c>
      <c r="F3952" s="215" t="n">
        <v>46085</v>
      </c>
    </row>
    <row r="3953">
      <c r="A3953" s="215" t="n">
        <v>46086</v>
      </c>
      <c r="B3953" s="216" t="n">
        <v>99.3</v>
      </c>
      <c r="C3953" s="216" t="n">
        <v>114.17</v>
      </c>
      <c r="D3953" s="216" t="n">
        <v>1.133169054985046</v>
      </c>
      <c r="E3953" s="215" t="n">
        <v>46086</v>
      </c>
      <c r="F3953" s="215" t="n">
        <v>46086</v>
      </c>
    </row>
    <row r="3954">
      <c r="A3954" s="215" t="n">
        <v>46087</v>
      </c>
      <c r="B3954" s="216" t="n">
        <v>100.3</v>
      </c>
      <c r="C3954" s="216" t="n">
        <v>115.05</v>
      </c>
      <c r="D3954" s="216" t="n">
        <v>1.133442044258118</v>
      </c>
      <c r="E3954" s="215" t="n">
        <v>46087</v>
      </c>
      <c r="F3954" s="215" t="n">
        <v>46087</v>
      </c>
    </row>
    <row r="3955">
      <c r="A3955" s="215" t="n">
        <v>46090</v>
      </c>
      <c r="B3955" s="216" t="n">
        <v>96.09999999999999</v>
      </c>
      <c r="C3955" s="216" t="n">
        <v>112.2</v>
      </c>
      <c r="D3955" s="216" t="n">
        <v>1.133231043815613</v>
      </c>
      <c r="E3955" s="215" t="n">
        <v>46090</v>
      </c>
      <c r="F3955" s="215" t="n">
        <v>46090</v>
      </c>
    </row>
    <row r="3956">
      <c r="A3956" s="215" t="n">
        <v>46091</v>
      </c>
      <c r="B3956" s="216" t="n">
        <v>100.3</v>
      </c>
      <c r="C3956" s="216" t="n">
        <v>114.08</v>
      </c>
      <c r="D3956" s="216" t="n">
        <v>1.131595015525818</v>
      </c>
      <c r="E3956" s="215" t="n">
        <v>46091</v>
      </c>
      <c r="F3956" s="215" t="n">
        <v>46091</v>
      </c>
    </row>
    <row r="3957">
      <c r="A3957" s="215" t="n">
        <v>46092</v>
      </c>
      <c r="B3957" s="216" t="n">
        <v>98.65000000000001</v>
      </c>
      <c r="C3957" s="216" t="n">
        <v>114.3</v>
      </c>
      <c r="D3957" s="216" t="n">
        <v>1.137585043907166</v>
      </c>
      <c r="E3957" s="215" t="n">
        <v>46092</v>
      </c>
      <c r="F3957" s="215" t="n">
        <v>46092</v>
      </c>
    </row>
    <row r="3958">
      <c r="A3958" s="215" t="n">
        <v>46093</v>
      </c>
      <c r="B3958" s="216" t="n">
        <v>96.5</v>
      </c>
      <c r="C3958" s="216" t="n">
        <v>112.82</v>
      </c>
      <c r="D3958" s="216" t="n">
        <v>1.139600038528442</v>
      </c>
      <c r="E3958" s="215" t="n">
        <v>46093</v>
      </c>
      <c r="F3958" s="215" t="n">
        <v>46093</v>
      </c>
    </row>
    <row r="3959">
      <c r="A3959" s="215" t="n">
        <v>46094</v>
      </c>
      <c r="B3959" s="216" t="n">
        <v>94.3</v>
      </c>
      <c r="C3959" s="216" t="n">
        <v>111.73</v>
      </c>
      <c r="D3959" s="216" t="n">
        <v>1.139310002326965</v>
      </c>
      <c r="E3959" s="215" t="n">
        <v>46094</v>
      </c>
      <c r="F3959" s="215" t="n">
        <v>46094</v>
      </c>
    </row>
    <row r="3960">
      <c r="A3960" s="215" t="n">
        <v>46097</v>
      </c>
      <c r="B3960" s="216" t="n">
        <v>97.5</v>
      </c>
      <c r="C3960" s="216" t="n">
        <v>110.3</v>
      </c>
      <c r="D3960" s="216" t="n">
        <v>1.134883999824524</v>
      </c>
      <c r="E3960" s="215" t="n">
        <v>46097</v>
      </c>
      <c r="F3960" s="215" t="n">
        <v>46097</v>
      </c>
    </row>
    <row r="3961">
      <c r="A3961" s="215" t="n">
        <v>46098</v>
      </c>
      <c r="B3961" s="216" t="n">
        <v>94.09999999999999</v>
      </c>
      <c r="C3961" s="216" t="n">
        <v>108.92</v>
      </c>
      <c r="D3961" s="216" t="n">
        <v>1.125375986099243</v>
      </c>
      <c r="E3961" s="215" t="n">
        <v>46098</v>
      </c>
      <c r="F3961" s="215" t="n">
        <v>46098</v>
      </c>
    </row>
    <row r="3962">
      <c r="A3962" s="215" t="n">
        <v>46099</v>
      </c>
      <c r="B3962" s="216" t="n">
        <v>95.05</v>
      </c>
      <c r="C3962" s="216" t="n">
        <v>108.28</v>
      </c>
      <c r="D3962" s="216" t="n">
        <v>1.137819051742554</v>
      </c>
      <c r="E3962" s="215" t="n">
        <v>46099</v>
      </c>
      <c r="F3962" s="215" t="n">
        <v>46099</v>
      </c>
    </row>
    <row r="3963">
      <c r="A3963" s="215" t="n">
        <v>46100</v>
      </c>
      <c r="B3963" s="216" t="n">
        <v>91</v>
      </c>
      <c r="C3963" s="216" t="n">
        <v>105.84</v>
      </c>
      <c r="D3963" s="216" t="n">
        <v>1.140079021453857</v>
      </c>
      <c r="E3963" s="215" t="n">
        <v>46100</v>
      </c>
      <c r="F3963" s="215" t="n">
        <v>46100</v>
      </c>
    </row>
    <row r="3964">
      <c r="A3964" s="215" t="n">
        <v>46101</v>
      </c>
      <c r="B3964" s="216" t="n">
        <v>89.15000000000001</v>
      </c>
      <c r="C3964" s="216" t="n">
        <v>103.55</v>
      </c>
      <c r="D3964" s="216" t="n">
        <v>1.13490903377533</v>
      </c>
      <c r="E3964" s="215" t="n">
        <v>46101</v>
      </c>
      <c r="F3964" s="215" t="n">
        <v>46101</v>
      </c>
    </row>
    <row r="3965">
      <c r="A3965" s="215" t="n">
        <v>46104</v>
      </c>
      <c r="B3965" s="216" t="n">
        <v>84.55</v>
      </c>
      <c r="C3965" s="216" t="n">
        <v>98.62</v>
      </c>
      <c r="D3965" s="216" t="n">
        <v>1.137529969215393</v>
      </c>
      <c r="E3965" s="215" t="n">
        <v>46104</v>
      </c>
      <c r="F3965" s="215" t="n">
        <v>46104</v>
      </c>
    </row>
    <row r="3966">
      <c r="A3966" s="215" t="n">
        <v>46105</v>
      </c>
      <c r="B3966" s="216" t="n">
        <v>86.59999999999999</v>
      </c>
      <c r="C3966" s="216" t="n">
        <v>99.98</v>
      </c>
      <c r="D3966" s="216" t="n">
        <v>1.138481974601746</v>
      </c>
      <c r="E3966" s="215" t="n">
        <v>46105</v>
      </c>
      <c r="F3966" s="215" t="n">
        <v>46105</v>
      </c>
    </row>
    <row r="3967">
      <c r="A3967" s="215" t="n">
        <v>46106</v>
      </c>
      <c r="B3967" s="216" t="n">
        <v>90.09999999999999</v>
      </c>
      <c r="C3967" s="216" t="n">
        <v>102.35</v>
      </c>
      <c r="D3967" s="216" t="n">
        <v>1.135548949241638</v>
      </c>
      <c r="E3967" s="215" t="n">
        <v>46106</v>
      </c>
      <c r="F3967" s="215" t="n">
        <v>46106</v>
      </c>
    </row>
    <row r="3968">
      <c r="A3968" s="215" t="n">
        <v>46107</v>
      </c>
      <c r="B3968" s="216" t="n">
        <v>86.15000000000001</v>
      </c>
      <c r="C3968" s="216" t="n">
        <v>100</v>
      </c>
      <c r="D3968" s="216" t="n">
        <v>1.132627010345459</v>
      </c>
      <c r="E3968" s="215" t="n">
        <v>46107</v>
      </c>
      <c r="F3968" s="215" t="n">
        <v>46107</v>
      </c>
    </row>
    <row r="3969">
      <c r="A3969" s="215" t="n">
        <v>46108</v>
      </c>
      <c r="B3969" s="216" t="n">
        <v>86.59999999999999</v>
      </c>
      <c r="C3969" s="216" t="n">
        <v>101.02</v>
      </c>
      <c r="D3969" s="216" t="n">
        <v>1.132115960121155</v>
      </c>
      <c r="E3969" s="215" t="n">
        <v>46108</v>
      </c>
      <c r="F3969" s="215" t="n">
        <v>46108</v>
      </c>
    </row>
    <row r="3970">
      <c r="A3970" s="215" t="n">
        <v>46111</v>
      </c>
      <c r="B3970" s="216" t="n">
        <v>85.8</v>
      </c>
      <c r="C3970" s="216" t="n">
        <v>100.32</v>
      </c>
      <c r="D3970" s="216" t="n">
        <v>1.13311505317688</v>
      </c>
      <c r="E3970" s="215" t="n">
        <v>46111</v>
      </c>
      <c r="F3970" s="215" t="n">
        <v>46111</v>
      </c>
    </row>
    <row r="3971">
      <c r="A3971" s="215" t="n">
        <v>46112</v>
      </c>
      <c r="B3971" s="216" t="n">
        <v>80</v>
      </c>
      <c r="C3971" s="216" t="n">
        <v>94.95999999999999</v>
      </c>
      <c r="D3971" s="216" t="n">
        <v>1.133540987968445</v>
      </c>
      <c r="E3971" s="215" t="n">
        <v>46112</v>
      </c>
      <c r="F3971" s="215" t="n">
        <v>46112</v>
      </c>
    </row>
    <row r="3972">
      <c r="A3972" s="215" t="n">
        <v>46113</v>
      </c>
      <c r="B3972" s="216" t="n">
        <v>81.5</v>
      </c>
      <c r="C3972" s="216" t="n">
        <v>96.05</v>
      </c>
      <c r="D3972" s="216" t="n">
        <v>1.136669993400574</v>
      </c>
      <c r="E3972" s="215" t="n">
        <v>46113</v>
      </c>
      <c r="F3972" s="215" t="n">
        <v>46113</v>
      </c>
    </row>
    <row r="3973">
      <c r="A3973" s="215" t="n">
        <v>46114</v>
      </c>
      <c r="B3973" s="216" t="n">
        <v>76.65000000000001</v>
      </c>
      <c r="C3973" s="216" t="n">
        <v>91.34999999999999</v>
      </c>
      <c r="D3973" s="216" t="n">
        <v>1.140197992324829</v>
      </c>
      <c r="E3973" s="215" t="n">
        <v>46114</v>
      </c>
      <c r="F3973" s="215" t="n">
        <v>46114</v>
      </c>
    </row>
    <row r="3974">
      <c r="A3974" s="215" t="n">
        <v>46120</v>
      </c>
      <c r="B3974" s="216" t="n">
        <v>81.8</v>
      </c>
      <c r="C3974" s="216" t="n">
        <v>95.45</v>
      </c>
      <c r="D3974" s="216" t="n">
        <v>1.1423499584198</v>
      </c>
      <c r="E3974" s="215" t="n">
        <v>46120</v>
      </c>
      <c r="F3974" s="215" t="n">
        <v>46120</v>
      </c>
    </row>
    <row r="3975">
      <c r="A3975" s="215" t="n">
        <v>46121</v>
      </c>
      <c r="B3975" s="216" t="n">
        <v>80.3</v>
      </c>
      <c r="C3975" s="216" t="n">
        <v>94.23999999999999</v>
      </c>
      <c r="D3975" s="216" t="n">
        <v>1.146731972694397</v>
      </c>
      <c r="E3975" s="215" t="n">
        <v>46121</v>
      </c>
      <c r="F3975" s="215" t="n">
        <v>46121</v>
      </c>
    </row>
    <row r="3976">
      <c r="A3976" s="215" t="n">
        <v>46122</v>
      </c>
      <c r="B3976" s="216" t="n">
        <v>80.2</v>
      </c>
      <c r="C3976" s="216" t="n">
        <v>95.34999999999999</v>
      </c>
      <c r="D3976" s="216" t="n">
        <v>1.146558046340942</v>
      </c>
      <c r="E3976" s="215" t="n">
        <v>46122</v>
      </c>
      <c r="F3976" s="215" t="n">
        <v>46122</v>
      </c>
    </row>
    <row r="3977">
      <c r="A3977" s="215" t="n">
        <v>46125</v>
      </c>
      <c r="B3977" s="216" t="n">
        <v>79.65000000000001</v>
      </c>
      <c r="C3977" s="216" t="n">
        <v>94.83</v>
      </c>
      <c r="D3977" s="216" t="n">
        <v>1.147117972373962</v>
      </c>
      <c r="E3977" s="215" t="n">
        <v>46125</v>
      </c>
      <c r="F3977" s="215" t="n">
        <v>46125</v>
      </c>
    </row>
    <row r="3978">
      <c r="A3978" s="215" t="n">
        <v>46126</v>
      </c>
      <c r="B3978" s="216" t="n">
        <v>80.5</v>
      </c>
      <c r="C3978" s="216" t="n">
        <v>94.66</v>
      </c>
      <c r="D3978" s="216" t="n">
        <v>1.146226048469543</v>
      </c>
      <c r="E3978" s="215" t="n">
        <v>46126</v>
      </c>
      <c r="F3978" s="215" t="n">
        <v>46126</v>
      </c>
    </row>
    <row r="3979">
      <c r="A3979" s="215" t="n">
        <v>46127</v>
      </c>
      <c r="B3979" s="216" t="n">
        <v>78.65000000000001</v>
      </c>
      <c r="C3979" s="216" t="n">
        <v>92.31</v>
      </c>
      <c r="D3979" s="216" t="n">
        <v>1.149266004562378</v>
      </c>
      <c r="E3979" s="215" t="n">
        <v>46127</v>
      </c>
      <c r="F3979" s="215" t="n">
        <v>46127</v>
      </c>
    </row>
    <row r="3980">
      <c r="A3980" s="215" t="n">
        <v>46128</v>
      </c>
      <c r="B3980" s="216" t="n">
        <v>80.09999999999999</v>
      </c>
      <c r="C3980" s="216" t="n">
        <v>93.70999999999999</v>
      </c>
      <c r="D3980" s="216" t="n">
        <v>1.148550033569336</v>
      </c>
      <c r="E3980" s="215" t="n">
        <v>46128</v>
      </c>
      <c r="F3980" s="215" t="n">
        <v>46128</v>
      </c>
    </row>
    <row r="3981">
      <c r="A3981" s="215" t="n">
        <v>46129</v>
      </c>
      <c r="B3981" s="216" t="n">
        <v>78.55</v>
      </c>
      <c r="C3981" s="216" t="n">
        <v>93.04000000000001</v>
      </c>
      <c r="D3981" s="216" t="n">
        <v>1.146605014801025</v>
      </c>
      <c r="E3981" s="215" t="n">
        <v>46129</v>
      </c>
      <c r="F3981" s="215" t="n">
        <v>46129</v>
      </c>
    </row>
    <row r="3982">
      <c r="A3982" s="215" t="n">
        <v>46132</v>
      </c>
      <c r="B3982" s="216" t="n">
        <v>81.15000000000001</v>
      </c>
      <c r="C3982" s="216" t="n">
        <v>93.78</v>
      </c>
      <c r="D3982" s="216" t="n">
        <v>1.148360967636108</v>
      </c>
      <c r="E3982" s="215" t="n">
        <v>46132</v>
      </c>
      <c r="F3982" s="215" t="n">
        <v>46132</v>
      </c>
    </row>
    <row r="3983">
      <c r="A3983" s="215" t="n">
        <v>46133</v>
      </c>
      <c r="B3983" s="216" t="n">
        <v>83.45</v>
      </c>
      <c r="C3983" s="216" t="n">
        <v>92.84999999999999</v>
      </c>
      <c r="D3983" s="216" t="n">
        <v>1.148368000984192</v>
      </c>
      <c r="E3983" s="215" t="n">
        <v>46133</v>
      </c>
      <c r="F3983" s="215" t="n">
        <v>46133</v>
      </c>
    </row>
    <row r="3984">
      <c r="A3984" s="215" t="n">
        <v>46134</v>
      </c>
      <c r="B3984" s="216" t="n">
        <v>84.75</v>
      </c>
      <c r="C3984" s="216" t="n">
        <v>94.2</v>
      </c>
      <c r="D3984" s="216" t="n">
        <v>1.147838950157166</v>
      </c>
      <c r="E3984" s="215" t="n">
        <v>46134</v>
      </c>
      <c r="F3984" s="215" t="n">
        <v>46134</v>
      </c>
    </row>
    <row r="3985">
      <c r="A3985" s="215" t="n">
        <v>46135</v>
      </c>
      <c r="B3985" s="216" t="n">
        <v>81.75</v>
      </c>
      <c r="C3985" s="216" t="n">
        <v>92.44</v>
      </c>
      <c r="D3985" s="216" t="n">
        <v>1.147513031959534</v>
      </c>
      <c r="E3985" s="215" t="n">
        <v>46135</v>
      </c>
      <c r="F3985" s="215" t="n">
        <v>46135</v>
      </c>
    </row>
    <row r="3986">
      <c r="A3986" s="215" t="n">
        <v>46136</v>
      </c>
      <c r="B3986" s="216" t="n">
        <v>87.75</v>
      </c>
      <c r="C3986" s="216" t="n">
        <v>95.12</v>
      </c>
      <c r="D3986" s="216" t="n">
        <v>1.147369027137756</v>
      </c>
      <c r="E3986" s="215" t="n">
        <v>46136</v>
      </c>
      <c r="F3986" s="215" t="n">
        <v>46136</v>
      </c>
    </row>
    <row r="3987">
      <c r="A3987" s="215" t="n">
        <v>46139</v>
      </c>
      <c r="B3987" s="216" t="n">
        <v>95.84999999999999</v>
      </c>
      <c r="C3987" s="216" t="n">
        <v>104.63</v>
      </c>
      <c r="D3987" s="216" t="n">
        <v>1.146002054214478</v>
      </c>
      <c r="E3987" s="215" t="n">
        <v>46139</v>
      </c>
      <c r="F3987" s="215" t="n">
        <v>46139</v>
      </c>
    </row>
    <row r="3988">
      <c r="A3988" s="215" t="n">
        <v>46140</v>
      </c>
      <c r="B3988" s="216" t="n">
        <v>93.15000000000001</v>
      </c>
      <c r="C3988" s="216" t="n">
        <v>103.89</v>
      </c>
      <c r="D3988" s="216" t="n">
        <v>1.148522019386292</v>
      </c>
      <c r="E3988" s="215" t="n">
        <v>46140</v>
      </c>
      <c r="F3988" s="215" t="n">
        <v>46140</v>
      </c>
    </row>
    <row r="3989">
      <c r="A3989" s="215" t="n">
        <v>46141</v>
      </c>
      <c r="B3989" s="216" t="n">
        <v>90.7</v>
      </c>
      <c r="C3989" s="216" t="n">
        <v>101.59</v>
      </c>
      <c r="D3989" s="216" t="n">
        <v>1.145936012268066</v>
      </c>
      <c r="E3989" s="215" t="n">
        <v>46141</v>
      </c>
      <c r="F3989" s="215" t="n">
        <v>46141</v>
      </c>
    </row>
    <row r="3990">
      <c r="A3990" s="215" t="n">
        <v>46142</v>
      </c>
      <c r="B3990" s="216" t="n">
        <v>85.7</v>
      </c>
      <c r="C3990" s="216" t="n">
        <v>98.3</v>
      </c>
      <c r="D3990" s="216" t="n">
        <v>1.145792007446289</v>
      </c>
      <c r="E3990" s="215" t="n">
        <v>46142</v>
      </c>
      <c r="F3990" s="215" t="n">
        <v>46142</v>
      </c>
    </row>
    <row r="3991">
      <c r="A3991" s="215" t="n">
        <v>46146</v>
      </c>
      <c r="B3991" s="216" t="n">
        <v>89.40000000000001</v>
      </c>
      <c r="C3991" s="216" t="n">
        <v>98.3</v>
      </c>
      <c r="D3991" s="216" t="n">
        <v>1.147340059280396</v>
      </c>
      <c r="E3991" s="215" t="n">
        <v>46142</v>
      </c>
      <c r="F3991" s="215" t="n">
        <v>46146</v>
      </c>
    </row>
    <row r="3992">
      <c r="A3992" s="215" t="n">
        <v>46147</v>
      </c>
      <c r="B3992" s="216" t="n">
        <v>84.5</v>
      </c>
      <c r="C3992" s="216" t="n">
        <v>98.3</v>
      </c>
      <c r="D3992" s="216" t="n">
        <v>1.146813988685608</v>
      </c>
      <c r="E3992" s="215" t="n">
        <v>46142</v>
      </c>
      <c r="F3992" s="215" t="n">
        <v>46147</v>
      </c>
    </row>
    <row r="3993">
      <c r="A3993" s="215" t="n">
        <v>46148</v>
      </c>
      <c r="B3993" s="216" t="n">
        <v>88</v>
      </c>
      <c r="C3993" s="216" t="n">
        <v>100.9</v>
      </c>
      <c r="D3993" s="216" t="n">
        <v>1.14708399772644</v>
      </c>
      <c r="E3993" s="215" t="n">
        <v>46148</v>
      </c>
      <c r="F3993" s="215" t="n">
        <v>46148</v>
      </c>
    </row>
    <row r="3994">
      <c r="A3994" s="215" t="n">
        <v>46149</v>
      </c>
      <c r="B3994" s="216" t="n">
        <v>89.8</v>
      </c>
      <c r="C3994" s="216" t="n">
        <v>100.26</v>
      </c>
      <c r="D3994" s="216" t="n">
        <v>1.150125026702881</v>
      </c>
      <c r="E3994" s="215" t="n">
        <v>46149</v>
      </c>
      <c r="F3994" s="215" t="n">
        <v>46149</v>
      </c>
    </row>
    <row r="3995">
      <c r="A3995" s="215" t="n">
        <v>46150</v>
      </c>
      <c r="B3995" s="216" t="n">
        <v>87.59999999999999</v>
      </c>
      <c r="C3995" s="216" t="n">
        <v>99.18000000000001</v>
      </c>
      <c r="D3995" s="216" t="n">
        <v>1.15172004699707</v>
      </c>
      <c r="E3995" s="215" t="n">
        <v>46150</v>
      </c>
      <c r="F3995" s="215" t="n">
        <v>46150</v>
      </c>
    </row>
    <row r="3996">
      <c r="A3996" s="215" t="n">
        <v>46153</v>
      </c>
      <c r="B3996" s="216" t="n">
        <v>90.7</v>
      </c>
      <c r="C3996" s="216" t="n">
        <v>101.38</v>
      </c>
      <c r="D3996" s="216" t="n">
        <v>1.151090025901794</v>
      </c>
      <c r="E3996" s="215" t="n">
        <v>46153</v>
      </c>
      <c r="F3996" s="215" t="n">
        <v>46153</v>
      </c>
    </row>
    <row r="3997">
      <c r="A3997" s="215" t="n">
        <v>46154</v>
      </c>
      <c r="B3997" s="216" t="n">
        <v>91.95</v>
      </c>
      <c r="C3997" s="216" t="n">
        <v>103.31</v>
      </c>
      <c r="D3997" s="216" t="n">
        <v>1.152078986167908</v>
      </c>
      <c r="E3997" s="215" t="n">
        <v>46154</v>
      </c>
      <c r="F3997" s="215" t="n">
        <v>46154</v>
      </c>
    </row>
    <row r="3998">
      <c r="A3998" s="215" t="n">
        <v>46155</v>
      </c>
      <c r="B3998" s="216" t="n">
        <v>94.8</v>
      </c>
      <c r="C3998" s="216" t="n">
        <v>103.51</v>
      </c>
      <c r="D3998" s="216" t="n">
        <v>1.152537941932678</v>
      </c>
      <c r="E3998" s="215" t="n">
        <v>46155</v>
      </c>
      <c r="F3998" s="215" t="n">
        <v>46155</v>
      </c>
    </row>
    <row r="3999">
      <c r="A3999" s="215" t="n">
        <v>46156</v>
      </c>
      <c r="B3999" s="216" t="n">
        <v>90</v>
      </c>
      <c r="C3999" s="216" t="n">
        <v>100.5</v>
      </c>
      <c r="D3999" s="216" t="n">
        <v>1.152662992477417</v>
      </c>
      <c r="E3999" s="215" t="n">
        <v>46156</v>
      </c>
      <c r="F3999" s="215" t="n">
        <v>46156</v>
      </c>
    </row>
    <row r="4000">
      <c r="A4000" s="215" t="n">
        <v>46157</v>
      </c>
      <c r="B4000" s="216" t="n">
        <v>91.8</v>
      </c>
      <c r="C4000" s="216" t="n">
        <v>101.39</v>
      </c>
      <c r="D4000" s="216" t="n">
        <v>1.154320001602173</v>
      </c>
      <c r="E4000" s="215" t="n">
        <v>46157</v>
      </c>
      <c r="F4000" s="215" t="n">
        <v>46157</v>
      </c>
    </row>
    <row r="4001">
      <c r="A4001" s="215" t="n">
        <v>46160</v>
      </c>
      <c r="B4001" s="216" t="n">
        <v>89.25</v>
      </c>
      <c r="C4001" s="216" t="n">
        <v>99.79000000000001</v>
      </c>
      <c r="D4001" s="216" t="n">
        <v>1.149821996688843</v>
      </c>
      <c r="E4001" s="215" t="n">
        <v>46160</v>
      </c>
      <c r="F4001" s="215" t="n">
        <v>46160</v>
      </c>
    </row>
    <row r="4002">
      <c r="A4002" s="215" t="n">
        <v>46161</v>
      </c>
      <c r="B4002" s="216" t="n">
        <v>90</v>
      </c>
      <c r="C4002" s="216" t="n">
        <v>102.62</v>
      </c>
      <c r="D4002" s="216" t="n">
        <v>1.151532053947449</v>
      </c>
      <c r="E4002" s="215" t="n">
        <v>46161</v>
      </c>
      <c r="F4002" s="215" t="n">
        <v>46161</v>
      </c>
    </row>
    <row r="4003">
      <c r="A4003" s="215" t="n">
        <v>46162</v>
      </c>
      <c r="B4003" s="216" t="n">
        <v>90</v>
      </c>
      <c r="C4003" s="216" t="n">
        <v>101.3</v>
      </c>
      <c r="D4003" s="216" t="n">
        <v>1.149292945861816</v>
      </c>
      <c r="E4003" s="215" t="n">
        <v>46162</v>
      </c>
      <c r="F4003" s="215" t="n">
        <v>46162</v>
      </c>
    </row>
    <row r="4004">
      <c r="A4004" s="215" t="n">
        <v>46163</v>
      </c>
      <c r="B4004" s="216" t="n">
        <v>94.5</v>
      </c>
      <c r="C4004" s="216" t="n">
        <v>102.66</v>
      </c>
      <c r="D4004" s="216" t="n">
        <v>1.151231050491333</v>
      </c>
      <c r="E4004" s="215" t="n">
        <v>46163</v>
      </c>
      <c r="F4004" s="215" t="n">
        <v>46163</v>
      </c>
    </row>
    <row r="4005">
      <c r="A4005" s="215" t="n">
        <v>46164</v>
      </c>
      <c r="B4005" s="216" t="n">
        <v>97.90000000000001</v>
      </c>
      <c r="C4005" s="216" t="n">
        <v>104.25</v>
      </c>
      <c r="D4005" s="216" t="n">
        <v>1.151487946510315</v>
      </c>
      <c r="E4005" s="215" t="n">
        <v>46164</v>
      </c>
      <c r="F4005" s="215" t="n">
        <v>46164</v>
      </c>
    </row>
    <row r="4006">
      <c r="A4006" s="215" t="n">
        <v>46168</v>
      </c>
      <c r="B4006" s="216" t="n">
        <v>95.55</v>
      </c>
      <c r="C4006" s="216" t="n">
        <v>106.07</v>
      </c>
      <c r="D4006" s="216" t="n">
        <v>1.152968049049377</v>
      </c>
      <c r="E4006" s="215" t="n">
        <v>46168</v>
      </c>
      <c r="F4006" s="215" t="n">
        <v>46168</v>
      </c>
    </row>
    <row r="4007">
      <c r="A4007" s="215" t="n">
        <v>46169</v>
      </c>
      <c r="B4007" s="216" t="n">
        <v>94.90000000000001</v>
      </c>
      <c r="C4007" s="216" t="n">
        <v>104.96</v>
      </c>
      <c r="D4007" s="216" t="n">
        <v>1.154562950134277</v>
      </c>
      <c r="E4007" s="215" t="n">
        <v>46169</v>
      </c>
      <c r="F4007" s="215" t="n">
        <v>46169</v>
      </c>
    </row>
    <row r="4008">
      <c r="A4008" s="215" t="n">
        <v>46170</v>
      </c>
      <c r="B4008" s="216" t="n">
        <v>91.7</v>
      </c>
      <c r="C4008" s="216" t="n">
        <v>101.9</v>
      </c>
      <c r="D4008" s="216" t="n">
        <v>1.155385971069336</v>
      </c>
      <c r="E4008" s="215" t="n">
        <v>46170</v>
      </c>
      <c r="F4008" s="215" t="n">
        <v>46170</v>
      </c>
    </row>
    <row r="4009">
      <c r="A4009" s="215" t="n">
        <v>46171</v>
      </c>
      <c r="B4009" s="216" t="n">
        <v>83.95</v>
      </c>
      <c r="C4009" s="216" t="n">
        <v>95</v>
      </c>
      <c r="D4009" s="216" t="n">
        <v>1.155282974243164</v>
      </c>
      <c r="E4009" s="215" t="n">
        <v>46171</v>
      </c>
      <c r="F4009" s="215" t="n">
        <v>46171</v>
      </c>
    </row>
    <row r="4010">
      <c r="A4010" s="215" t="n">
        <v>46174</v>
      </c>
      <c r="B4010" s="216" t="n">
        <v>81.5</v>
      </c>
      <c r="C4010" s="216" t="n">
        <v>92.23</v>
      </c>
      <c r="D4010" s="216" t="n">
        <v>1.158049941062927</v>
      </c>
      <c r="E4010" s="215" t="n">
        <v>46174</v>
      </c>
      <c r="F4010" s="215" t="n">
        <v>46174</v>
      </c>
    </row>
    <row r="4011">
      <c r="A4011" s="215" t="n">
        <v>46175</v>
      </c>
      <c r="B4011" s="216" t="n">
        <v>82.3</v>
      </c>
      <c r="C4011" s="216" t="n">
        <v>92.65000000000001</v>
      </c>
      <c r="D4011" s="216" t="n">
        <v>1.158406972885132</v>
      </c>
      <c r="E4011" s="215" t="n">
        <v>46175</v>
      </c>
      <c r="F4011" s="215" t="n">
        <v>46175</v>
      </c>
    </row>
    <row r="4012">
      <c r="A4012" s="215" t="n">
        <v>46176</v>
      </c>
      <c r="B4012" s="216" t="n">
        <v>85.75</v>
      </c>
      <c r="C4012" s="216" t="n">
        <v>100.91</v>
      </c>
      <c r="D4012" s="216" t="n">
        <v>1.15879499912262</v>
      </c>
      <c r="E4012" s="215" t="n">
        <v>46176</v>
      </c>
      <c r="F4012" s="215" t="n">
        <v>46176</v>
      </c>
    </row>
    <row r="4013">
      <c r="A4013" s="215" t="n">
        <v>46177</v>
      </c>
      <c r="B4013" s="216" t="n">
        <v>84.40000000000001</v>
      </c>
      <c r="C4013" s="216" t="n">
        <v>98.86</v>
      </c>
      <c r="D4013" s="216" t="n">
        <v>1.157420039176941</v>
      </c>
      <c r="E4013" s="215" t="n">
        <v>46177</v>
      </c>
      <c r="F4013" s="215" t="n">
        <v>46177</v>
      </c>
    </row>
    <row r="4014">
      <c r="A4014" s="215" t="n">
        <v>46178</v>
      </c>
      <c r="B4014" s="216" t="n">
        <v>80.7</v>
      </c>
      <c r="C4014" s="216" t="n">
        <v>95.39</v>
      </c>
      <c r="D4014" s="216" t="n">
        <v>1.156491994857788</v>
      </c>
      <c r="E4014" s="215" t="n">
        <v>46178</v>
      </c>
      <c r="F4014" s="215" t="n">
        <v>46178</v>
      </c>
    </row>
    <row r="4015">
      <c r="A4015" s="215" t="n">
        <v>46181</v>
      </c>
      <c r="B4015" s="216" t="n">
        <v>78.7</v>
      </c>
      <c r="C4015" s="216" t="n">
        <v>92.02</v>
      </c>
      <c r="D4015" s="216" t="n">
        <v>1.157665967941284</v>
      </c>
      <c r="E4015" s="215" t="n">
        <v>46181</v>
      </c>
      <c r="F4015" s="215" t="n">
        <v>46181</v>
      </c>
    </row>
    <row r="4016">
      <c r="A4016" s="215" t="n">
        <v>46182</v>
      </c>
      <c r="B4016" s="216" t="n">
        <v>78.15000000000001</v>
      </c>
      <c r="C4016" s="216" t="n">
        <v>93.31999999999999</v>
      </c>
      <c r="D4016" s="216" t="n">
        <v>1.158027052879333</v>
      </c>
      <c r="E4016" s="215" t="n">
        <v>46182</v>
      </c>
      <c r="F4016" s="215" t="n">
        <v>46182</v>
      </c>
    </row>
    <row r="4017">
      <c r="A4017" s="215" t="n">
        <v>46183</v>
      </c>
      <c r="B4017" s="216" t="n">
        <v>75.90000000000001</v>
      </c>
      <c r="C4017" s="216" t="n">
        <v>90.18000000000001</v>
      </c>
      <c r="D4017" s="216" t="n">
        <v>1.157112002372742</v>
      </c>
      <c r="E4017" s="215" t="n">
        <v>46183</v>
      </c>
      <c r="F4017" s="215" t="n">
        <v>46183</v>
      </c>
    </row>
    <row r="4018">
      <c r="A4018" s="215" t="n">
        <v>46184</v>
      </c>
      <c r="B4018" s="216" t="n">
        <v>73.59999999999999</v>
      </c>
      <c r="C4018" s="216" t="n">
        <v>85.17</v>
      </c>
      <c r="D4018" s="216" t="n">
        <v>1.156929016113281</v>
      </c>
      <c r="E4018" s="215" t="n">
        <v>46184</v>
      </c>
      <c r="F4018" s="215" t="n">
        <v>46184</v>
      </c>
    </row>
    <row r="4019">
      <c r="A4019" s="215" t="n">
        <v>46185</v>
      </c>
      <c r="B4019" s="216" t="n">
        <v>73.2</v>
      </c>
      <c r="C4019" s="216" t="n">
        <v>86.01000000000001</v>
      </c>
      <c r="D4019" s="216" t="n">
        <v>1.156345963478088</v>
      </c>
      <c r="E4019" s="215" t="n">
        <v>46185</v>
      </c>
      <c r="F4019" s="215" t="n">
        <v>46185</v>
      </c>
    </row>
    <row r="4020">
      <c r="A4020" s="215" t="n">
        <v>46188</v>
      </c>
      <c r="B4020" s="216" t="n">
        <v>75.15000000000001</v>
      </c>
      <c r="C4020" s="216" t="n">
        <v>88.72</v>
      </c>
      <c r="D4020" s="216" t="n">
        <v>1.156880021095276</v>
      </c>
      <c r="E4020" s="215" t="n">
        <v>46188</v>
      </c>
      <c r="F4020" s="215" t="n">
        <v>46188</v>
      </c>
    </row>
    <row r="4021">
      <c r="A4021" s="215" t="n">
        <v>46189</v>
      </c>
      <c r="B4021" s="216" t="n">
        <v>71.55</v>
      </c>
      <c r="C4021" s="216" t="n">
        <v>88.2</v>
      </c>
      <c r="D4021" s="216" t="n">
        <v>1.158604025840759</v>
      </c>
      <c r="E4021" s="215" t="n">
        <v>46189</v>
      </c>
      <c r="F4021" s="215" t="n">
        <v>46189</v>
      </c>
    </row>
    <row r="4022">
      <c r="A4022" s="215" t="n">
        <v>46190</v>
      </c>
      <c r="B4022" s="216" t="n">
        <v>71.90000000000001</v>
      </c>
      <c r="C4022" s="216" t="n">
        <v>90.12</v>
      </c>
      <c r="D4022" s="216" t="n">
        <v>1.158974051475525</v>
      </c>
      <c r="E4022" s="215" t="n">
        <v>46190</v>
      </c>
      <c r="F4022" s="215" t="n">
        <v>46190</v>
      </c>
    </row>
    <row r="4023">
      <c r="A4023" s="215" t="n">
        <v>46191</v>
      </c>
      <c r="B4023" s="216" t="n">
        <v>71.2</v>
      </c>
      <c r="C4023" s="216" t="n">
        <v>89.97</v>
      </c>
      <c r="D4023" s="216" t="n">
        <v>1.159355998039246</v>
      </c>
      <c r="E4023" s="215" t="n">
        <v>46191</v>
      </c>
      <c r="F4023" s="215" t="n">
        <v>46191</v>
      </c>
    </row>
    <row r="4024">
      <c r="A4024" s="215" t="n">
        <v>46195</v>
      </c>
      <c r="B4024" s="216" t="n">
        <v>71.55</v>
      </c>
      <c r="C4024" s="216" t="n">
        <v>90.56</v>
      </c>
      <c r="D4024" s="216" t="n">
        <v>1.157493948936462</v>
      </c>
      <c r="E4024" s="215" t="n">
        <v>46195</v>
      </c>
      <c r="F4024" s="215" t="n">
        <v>46195</v>
      </c>
    </row>
    <row r="4025">
      <c r="A4025" s="215" t="n">
        <v>46196</v>
      </c>
      <c r="B4025" s="216" t="n">
        <v>68.8</v>
      </c>
      <c r="C4025" s="216" t="n">
        <v>87.7</v>
      </c>
      <c r="D4025" s="216" t="n">
        <v>1.156896948814392</v>
      </c>
      <c r="E4025" s="215" t="n">
        <v>46196</v>
      </c>
      <c r="F4025" s="215" t="n">
        <v>46196</v>
      </c>
    </row>
    <row r="4026">
      <c r="A4026" s="215" t="n">
        <v>46197</v>
      </c>
      <c r="B4026" s="216" t="n">
        <v>74.05</v>
      </c>
      <c r="C4026" s="216" t="n">
        <v>90.3</v>
      </c>
      <c r="D4026" s="216" t="n">
        <v>1.154508948326111</v>
      </c>
      <c r="E4026" s="215" t="n">
        <v>46197</v>
      </c>
      <c r="F4026" s="215" t="n">
        <v>46197</v>
      </c>
    </row>
    <row r="4027">
      <c r="A4027" s="215" t="n">
        <v>46198</v>
      </c>
      <c r="B4027" s="216" t="n">
        <v>72</v>
      </c>
      <c r="C4027" s="216" t="n">
        <v>89.70999999999999</v>
      </c>
      <c r="D4027" s="216" t="n">
        <v>1.154152035713196</v>
      </c>
      <c r="E4027" s="215" t="n">
        <v>46198</v>
      </c>
      <c r="F4027" s="215" t="n">
        <v>46198</v>
      </c>
    </row>
    <row r="4028">
      <c r="A4028" s="215" t="n">
        <v>46199</v>
      </c>
      <c r="B4028" s="216" t="n">
        <v>71.3</v>
      </c>
      <c r="C4028" s="216" t="n">
        <v>86.72</v>
      </c>
      <c r="D4028" s="216" t="n">
        <v>1.154500961303711</v>
      </c>
      <c r="E4028" s="215" t="n">
        <v>46199</v>
      </c>
      <c r="F4028" s="215" t="n">
        <v>46199</v>
      </c>
    </row>
    <row r="4029">
      <c r="A4029" s="215" t="n">
        <v>46202</v>
      </c>
      <c r="B4029" s="216" t="n">
        <v>73.09999999999999</v>
      </c>
      <c r="C4029" s="216" t="n">
        <v>88.3</v>
      </c>
      <c r="D4029" s="216" t="n">
        <v>1.153512001037598</v>
      </c>
      <c r="E4029" s="215" t="n">
        <v>46202</v>
      </c>
      <c r="F4029" s="215" t="n">
        <v>46202</v>
      </c>
    </row>
    <row r="4030">
      <c r="A4030" s="215" t="n">
        <v>46203</v>
      </c>
      <c r="B4030" s="216" t="n">
        <v>78.34999999999999</v>
      </c>
      <c r="C4030" s="216" t="n">
        <v>94.84999999999999</v>
      </c>
      <c r="D4030" s="216" t="n">
        <v>1.153959035873413</v>
      </c>
      <c r="E4030" s="215" t="n">
        <v>46203</v>
      </c>
      <c r="F4030" s="215" t="n">
        <v>46203</v>
      </c>
    </row>
    <row r="4031">
      <c r="A4031" s="215" t="n">
        <v>46205</v>
      </c>
      <c r="B4031" s="216" t="n">
        <v>80</v>
      </c>
      <c r="C4031" s="216" t="n">
        <v>101.27</v>
      </c>
      <c r="D4031" s="216" t="n">
        <v>1.154355049133301</v>
      </c>
      <c r="E4031" s="215" t="n">
        <v>46205</v>
      </c>
      <c r="F4031" s="215" t="n">
        <v>46205</v>
      </c>
    </row>
    <row r="4032">
      <c r="A4032" s="215" t="n">
        <v>46206</v>
      </c>
      <c r="B4032" s="216" t="n">
        <v>80.40000000000001</v>
      </c>
      <c r="C4032" s="216" t="n">
        <v>102.3</v>
      </c>
      <c r="D4032" s="216" t="n">
        <v>1.155220985412598</v>
      </c>
      <c r="E4032" s="215" t="n">
        <v>46206</v>
      </c>
      <c r="F4032" s="215" t="n">
        <v>46206</v>
      </c>
    </row>
    <row r="4033">
      <c r="A4033" s="215" t="n">
        <v>46209</v>
      </c>
      <c r="B4033" s="216" t="n">
        <v>77.5</v>
      </c>
      <c r="C4033" s="216" t="n">
        <v>97</v>
      </c>
      <c r="D4033" s="216" t="n">
        <v>1.155068039894104</v>
      </c>
      <c r="E4033" s="215" t="n">
        <v>46209</v>
      </c>
      <c r="F4033" s="215" t="n">
        <v>46209</v>
      </c>
    </row>
    <row r="4034">
      <c r="A4034" s="215" t="n">
        <v>46210</v>
      </c>
      <c r="B4034" s="216" t="n">
        <v>77.84999999999999</v>
      </c>
      <c r="C4034" s="216" t="n">
        <v>99.45999999999999</v>
      </c>
      <c r="D4034" s="216" t="n">
        <v>1.153807997703552</v>
      </c>
      <c r="E4034" s="215" t="n">
        <v>46210</v>
      </c>
      <c r="F4034" s="215" t="n">
        <v>46210</v>
      </c>
    </row>
    <row r="4035">
      <c r="A4035" s="215" t="n">
        <v>46211</v>
      </c>
      <c r="B4035" s="216" t="n">
        <v>78.34999999999999</v>
      </c>
      <c r="C4035" s="216" t="n">
        <v>100.95</v>
      </c>
      <c r="D4035" s="216" t="n">
        <v>1.154153943061829</v>
      </c>
      <c r="E4035" s="215" t="n">
        <v>46211</v>
      </c>
      <c r="F4035" s="215" t="n">
        <v>46211</v>
      </c>
    </row>
    <row r="4036">
      <c r="A4036" s="215" t="n">
        <v>46212</v>
      </c>
      <c r="B4036" s="216" t="n">
        <v>82</v>
      </c>
      <c r="C4036" s="216" t="n">
        <v>107.14</v>
      </c>
      <c r="D4036" s="216" t="n">
        <v>1.152119994163513</v>
      </c>
      <c r="E4036" s="215" t="n">
        <v>46212</v>
      </c>
      <c r="F4036" s="215" t="n">
        <v>46212</v>
      </c>
    </row>
    <row r="4037">
      <c r="A4037" s="215" t="n">
        <v>46213</v>
      </c>
      <c r="B4037" s="216" t="n">
        <v>78.65000000000001</v>
      </c>
      <c r="C4037" s="216" t="n">
        <v>103.21</v>
      </c>
      <c r="D4037" s="216" t="n">
        <v>1.153550028800964</v>
      </c>
      <c r="E4037" s="215" t="n">
        <v>46213</v>
      </c>
      <c r="F4037" s="215" t="n">
        <v>46213</v>
      </c>
    </row>
    <row r="4038">
      <c r="A4038" s="215" t="n">
        <v>46216</v>
      </c>
      <c r="B4038" s="216" t="n">
        <v>77.55</v>
      </c>
      <c r="C4038" s="216" t="n">
        <v>102.49</v>
      </c>
      <c r="D4038" s="216" t="n">
        <v>1.156761050224304</v>
      </c>
      <c r="E4038" s="215" t="n">
        <v>46216</v>
      </c>
      <c r="F4038" s="215" t="n">
        <v>46216</v>
      </c>
    </row>
    <row r="4039">
      <c r="A4039" s="215" t="n">
        <v>46217</v>
      </c>
      <c r="B4039" s="216" t="n">
        <v>78.90000000000001</v>
      </c>
      <c r="C4039" s="216" t="n">
        <v>106.15</v>
      </c>
      <c r="D4039" s="216" t="n">
        <v>1.155825972557068</v>
      </c>
      <c r="E4039" s="215" t="n">
        <v>46217</v>
      </c>
      <c r="F4039" s="215" t="n">
        <v>46217</v>
      </c>
    </row>
    <row r="4040">
      <c r="A4040" s="215" t="n">
        <v>46218</v>
      </c>
      <c r="B4040" s="216" t="n">
        <v>85</v>
      </c>
      <c r="C4040" s="216" t="n">
        <v>111.12</v>
      </c>
      <c r="D4040" s="216" t="n">
        <v>1.157556056976318</v>
      </c>
      <c r="E4040" s="215" t="n">
        <v>46218</v>
      </c>
      <c r="F4040" s="215" t="n">
        <v>46218</v>
      </c>
    </row>
    <row r="4041">
      <c r="A4041" s="215" t="n">
        <v>46219</v>
      </c>
      <c r="B4041" s="216" t="n">
        <v>88.34999999999999</v>
      </c>
      <c r="C4041" s="216" t="n">
        <v>109.85</v>
      </c>
      <c r="D4041" s="216" t="n">
        <v>1.157912969589233</v>
      </c>
      <c r="E4041" s="215" t="n">
        <v>46219</v>
      </c>
      <c r="F4041" s="215" t="n">
        <v>46219</v>
      </c>
    </row>
    <row r="4042">
      <c r="A4042" s="215" t="n">
        <v>46220</v>
      </c>
      <c r="B4042" s="216" t="n">
        <v>84.90000000000001</v>
      </c>
      <c r="C4042" s="216" t="n">
        <v>104.12</v>
      </c>
      <c r="D4042" s="216" t="n">
        <v>1.157472014427185</v>
      </c>
      <c r="E4042" s="215" t="n">
        <v>46220</v>
      </c>
      <c r="F4042" s="215" t="n">
        <v>46220</v>
      </c>
    </row>
    <row r="4043">
      <c r="A4043" s="215" t="n">
        <v>46223</v>
      </c>
      <c r="B4043" s="216" t="n">
        <v>83.55</v>
      </c>
      <c r="C4043" s="216" t="n">
        <v>101.16</v>
      </c>
      <c r="D4043" s="216" t="n">
        <v>1.157451033592224</v>
      </c>
      <c r="E4043" s="215" t="n">
        <v>46223</v>
      </c>
      <c r="F4043" s="215" t="n">
        <v>46223</v>
      </c>
    </row>
    <row r="4044">
      <c r="A4044" s="215" t="n">
        <v>46224</v>
      </c>
      <c r="B4044" s="216" t="n">
        <v>84.55</v>
      </c>
      <c r="C4044" s="216" t="n">
        <v>102.42</v>
      </c>
      <c r="D4044" s="216" t="n">
        <v>1.157506942749023</v>
      </c>
      <c r="E4044" s="215" t="n">
        <v>46224</v>
      </c>
      <c r="F4044" s="215" t="n">
        <v>46224</v>
      </c>
    </row>
    <row r="4045">
      <c r="A4045" s="215" t="n">
        <v>46225</v>
      </c>
      <c r="B4045" s="216" t="n">
        <v>81.40000000000001</v>
      </c>
      <c r="C4045" s="216" t="n">
        <v>101.98</v>
      </c>
      <c r="D4045" s="216" t="n">
        <v>1.158938050270081</v>
      </c>
      <c r="E4045" s="215" t="n">
        <v>46225</v>
      </c>
      <c r="F4045" s="215" t="n">
        <v>46225</v>
      </c>
    </row>
    <row r="4046">
      <c r="A4046" s="215" t="n">
        <v>46226</v>
      </c>
      <c r="B4046" s="216" t="n">
        <v>79.5</v>
      </c>
      <c r="C4046" s="216" t="n">
        <v>96.66</v>
      </c>
      <c r="D4046" s="216" t="n">
        <v>1.157410979270935</v>
      </c>
      <c r="E4046" s="215" t="n">
        <v>46226</v>
      </c>
      <c r="F4046" s="215" t="n">
        <v>46226</v>
      </c>
    </row>
    <row r="4047">
      <c r="A4047" s="215" t="n">
        <v>46227</v>
      </c>
      <c r="B4047" s="216" t="n">
        <v>80.90000000000001</v>
      </c>
      <c r="C4047" s="216" t="n">
        <v>96.90000000000001</v>
      </c>
      <c r="D4047" s="216" t="n">
        <v>1.15762197971344</v>
      </c>
      <c r="E4047" s="215" t="n">
        <v>46227</v>
      </c>
      <c r="F4047" s="215" t="n">
        <v>46227</v>
      </c>
    </row>
    <row r="4048">
      <c r="A4048" s="215" t="n">
        <v>46230</v>
      </c>
      <c r="B4048" s="216" t="n">
        <v>79.95</v>
      </c>
      <c r="C4048" s="216" t="n">
        <v>95.31</v>
      </c>
      <c r="D4048" s="216" t="n">
        <v>1.15789794921875</v>
      </c>
      <c r="E4048" s="215" t="n">
        <v>46230</v>
      </c>
      <c r="F4048" s="215" t="n">
        <v>46230</v>
      </c>
    </row>
    <row r="4049">
      <c r="A4049" s="215" t="n">
        <v>46231</v>
      </c>
      <c r="B4049" s="216" t="n">
        <v>76.3</v>
      </c>
      <c r="C4049" s="216" t="n">
        <v>91.8</v>
      </c>
      <c r="D4049" s="216" t="n">
        <v>1.158699035644531</v>
      </c>
      <c r="E4049" s="215" t="n">
        <v>46231</v>
      </c>
      <c r="F4049" s="215" t="n">
        <v>46231</v>
      </c>
    </row>
    <row r="4050">
      <c r="A4050" s="215" t="n">
        <v>46232</v>
      </c>
      <c r="B4050" s="216" t="n">
        <v>78.84999999999999</v>
      </c>
      <c r="C4050" s="216" t="n">
        <v>91.69</v>
      </c>
      <c r="D4050" s="216" t="n">
        <v>1.157909989356995</v>
      </c>
      <c r="E4050" s="215" t="n">
        <v>46232</v>
      </c>
      <c r="F4050" s="215" t="n">
        <v>46232</v>
      </c>
    </row>
    <row r="4051">
      <c r="A4051" s="215" t="n">
        <v>46233</v>
      </c>
      <c r="B4051" s="216" t="n">
        <v>77.05</v>
      </c>
      <c r="C4051" s="216" t="n">
        <v>88.5</v>
      </c>
      <c r="D4051" s="216" t="n">
        <v>1.158943057060242</v>
      </c>
      <c r="E4051" s="215" t="n">
        <v>46233</v>
      </c>
      <c r="F4051" s="215" t="n">
        <v>46233</v>
      </c>
    </row>
    <row r="4052">
      <c r="A4052" s="215" t="n">
        <v>46234</v>
      </c>
      <c r="B4052" s="216" t="n">
        <v>76.55</v>
      </c>
      <c r="C4052" s="216" t="n">
        <v>88.7</v>
      </c>
      <c r="D4052" s="216" t="n">
        <v>1.160945057868958</v>
      </c>
      <c r="E4052" s="215" t="n">
        <v>46234</v>
      </c>
      <c r="F4052" s="215" t="n">
        <v>46234</v>
      </c>
    </row>
    <row r="4053">
      <c r="A4053" s="215" t="n">
        <v>46237</v>
      </c>
      <c r="B4053" s="216" t="n">
        <v>76.8</v>
      </c>
      <c r="C4053" s="216" t="n">
        <v>88.22</v>
      </c>
      <c r="D4053" s="216" t="n">
        <v>1.161579966545105</v>
      </c>
      <c r="E4053" s="215" t="n">
        <v>46237</v>
      </c>
      <c r="F4053" s="215" t="n">
        <v>46237</v>
      </c>
    </row>
    <row r="4054">
      <c r="A4054" s="215" t="n">
        <v>46238</v>
      </c>
      <c r="B4054" s="216" t="n">
        <v>76.55</v>
      </c>
      <c r="C4054" s="216" t="n">
        <v>87.95</v>
      </c>
      <c r="D4054" s="216" t="n">
        <v>1.161064982414246</v>
      </c>
      <c r="E4054" s="215" t="n">
        <v>46238</v>
      </c>
      <c r="F4054" s="215" t="n">
        <v>46238</v>
      </c>
    </row>
    <row r="4055">
      <c r="A4055" s="215" t="n">
        <v>46239</v>
      </c>
      <c r="B4055" s="216" t="n">
        <v>77.90000000000001</v>
      </c>
      <c r="C4055" s="216" t="n">
        <v>90.83</v>
      </c>
      <c r="D4055" s="216" t="n">
        <v>1.161146998405457</v>
      </c>
      <c r="E4055" s="215" t="n">
        <v>46239</v>
      </c>
      <c r="F4055" s="215" t="n">
        <v>46239</v>
      </c>
    </row>
    <row r="4056">
      <c r="A4056" s="215" t="n">
        <v>46240</v>
      </c>
      <c r="B4056" s="216" t="n">
        <v>77.40000000000001</v>
      </c>
      <c r="C4056" s="216" t="n">
        <v>89.65000000000001</v>
      </c>
      <c r="D4056" s="216" t="n">
        <v>1.161936044692993</v>
      </c>
      <c r="E4056" s="215" t="n">
        <v>46240</v>
      </c>
      <c r="F4056" s="215" t="n">
        <v>46240</v>
      </c>
    </row>
    <row r="4057">
      <c r="A4057" s="215" t="n">
        <v>46241</v>
      </c>
      <c r="B4057" s="216" t="n">
        <v>77.84999999999999</v>
      </c>
      <c r="C4057" s="216" t="n">
        <v>89.76000000000001</v>
      </c>
      <c r="D4057" s="216" t="n">
        <v>1.162284016609192</v>
      </c>
      <c r="E4057" s="215" t="n">
        <v>46241</v>
      </c>
      <c r="F4057" s="215" t="n">
        <v>46241</v>
      </c>
    </row>
    <row r="4058">
      <c r="A4058" s="215" t="n">
        <v>46244</v>
      </c>
      <c r="B4058" s="216" t="n">
        <v>77.8</v>
      </c>
      <c r="C4058" s="216" t="n">
        <v>89.14</v>
      </c>
      <c r="D4058" s="216" t="n">
        <v>1.162629961967468</v>
      </c>
      <c r="E4058" s="215" t="n">
        <v>46244</v>
      </c>
      <c r="F4058" s="215" t="n">
        <v>46244</v>
      </c>
    </row>
    <row r="4059">
      <c r="A4059" s="215" t="n">
        <v>46245</v>
      </c>
      <c r="B4059" s="216" t="n">
        <v>80</v>
      </c>
      <c r="C4059" s="216" t="n">
        <v>93.26000000000001</v>
      </c>
      <c r="D4059" s="216" t="n">
        <v>1.162588000297546</v>
      </c>
      <c r="E4059" s="215" t="n">
        <v>46245</v>
      </c>
      <c r="F4059" s="215" t="n">
        <v>46245</v>
      </c>
    </row>
    <row r="4060">
      <c r="A4060" s="215" t="n">
        <v>46246</v>
      </c>
      <c r="B4060" s="216" t="n">
        <v>79.09999999999999</v>
      </c>
      <c r="C4060" s="216" t="n">
        <v>91.52</v>
      </c>
      <c r="D4060" s="216" t="n">
        <v>1.163135051727295</v>
      </c>
      <c r="E4060" s="215" t="n">
        <v>46246</v>
      </c>
      <c r="F4060" s="215" t="n">
        <v>46246</v>
      </c>
    </row>
    <row r="4061">
      <c r="A4061" s="215" t="n">
        <v>46247</v>
      </c>
      <c r="B4061" s="216" t="n">
        <v>78.75</v>
      </c>
      <c r="C4061" s="216" t="n">
        <v>90.02</v>
      </c>
      <c r="D4061" s="216" t="n">
        <v>1.163341045379639</v>
      </c>
      <c r="E4061" s="215" t="n">
        <v>46247</v>
      </c>
      <c r="F4061" s="215" t="n">
        <v>46247</v>
      </c>
    </row>
    <row r="4062">
      <c r="A4062" s="215" t="n">
        <v>46248</v>
      </c>
      <c r="B4062" s="216" t="n">
        <v>77.59999999999999</v>
      </c>
      <c r="C4062" s="216" t="n">
        <v>91.08</v>
      </c>
      <c r="D4062" s="216" t="n">
        <v>1.163571000099182</v>
      </c>
      <c r="E4062" s="215" t="n">
        <v>46248</v>
      </c>
      <c r="F4062" s="215" t="n">
        <v>46248</v>
      </c>
    </row>
    <row r="4063">
      <c r="A4063" s="215" t="n">
        <v>46251</v>
      </c>
      <c r="B4063" s="216" t="n">
        <v>80</v>
      </c>
      <c r="C4063" s="216" t="n">
        <v>92.14</v>
      </c>
      <c r="D4063" s="216" t="n">
        <v>1.163601994514465</v>
      </c>
      <c r="E4063" s="215" t="n">
        <v>46251</v>
      </c>
      <c r="F4063" s="215" t="n">
        <v>46251</v>
      </c>
    </row>
    <row r="4064">
      <c r="A4064" s="215" t="n">
        <v>46252</v>
      </c>
      <c r="B4064" s="216" t="n">
        <v>78.25</v>
      </c>
      <c r="C4064" s="216" t="n">
        <v>90.54000000000001</v>
      </c>
      <c r="D4064" s="216" t="n">
        <v>1.163733005523682</v>
      </c>
      <c r="E4064" s="215" t="n">
        <v>46252</v>
      </c>
      <c r="F4064" s="215" t="n">
        <v>46252</v>
      </c>
    </row>
    <row r="4065">
      <c r="A4065" s="215" t="n">
        <v>46253</v>
      </c>
      <c r="B4065" s="216" t="n">
        <v>75.34999999999999</v>
      </c>
      <c r="C4065" s="216" t="n">
        <v>86.90000000000001</v>
      </c>
      <c r="D4065" s="216" t="n">
        <v>1.163092017173767</v>
      </c>
      <c r="E4065" s="215" t="n">
        <v>46253</v>
      </c>
      <c r="F4065" s="215" t="n">
        <v>46253</v>
      </c>
    </row>
    <row r="4066">
      <c r="A4066" s="215" t="n">
        <v>46254</v>
      </c>
      <c r="B4066" s="216" t="n">
        <v>73.84999999999999</v>
      </c>
      <c r="C4066" s="216" t="n">
        <v>85.98999999999999</v>
      </c>
      <c r="D4066" s="216" t="n">
        <v>1.164932012557983</v>
      </c>
      <c r="E4066" s="215" t="n">
        <v>46254</v>
      </c>
      <c r="F4066" s="215" t="n">
        <v>46254</v>
      </c>
    </row>
    <row r="4067">
      <c r="A4067" s="215" t="n">
        <v>46255</v>
      </c>
      <c r="B4067" s="216" t="n">
        <v>76.5</v>
      </c>
      <c r="C4067" s="216" t="n">
        <v>85.81999999999999</v>
      </c>
      <c r="D4067" s="216" t="n">
        <v>1.166555047035217</v>
      </c>
      <c r="E4067" s="215" t="n">
        <v>46255</v>
      </c>
      <c r="F4067" s="215" t="n">
        <v>46255</v>
      </c>
    </row>
    <row r="4068">
      <c r="A4068" s="215" t="n">
        <v>46258</v>
      </c>
      <c r="B4068" s="216" t="n">
        <v>72.65000000000001</v>
      </c>
      <c r="C4068" s="216" t="n">
        <v>82.5</v>
      </c>
      <c r="D4068" s="216" t="n">
        <v>1.166316986083984</v>
      </c>
      <c r="E4068" s="215" t="n">
        <v>46258</v>
      </c>
      <c r="F4068" s="215" t="n">
        <v>46258</v>
      </c>
    </row>
    <row r="4069">
      <c r="A4069" s="215" t="n">
        <v>46259</v>
      </c>
      <c r="B4069" s="216" t="n">
        <v>74.90000000000001</v>
      </c>
      <c r="C4069" s="216" t="n">
        <v>85.55</v>
      </c>
      <c r="D4069" s="216" t="n">
        <v>1.165253043174744</v>
      </c>
      <c r="E4069" s="215" t="n">
        <v>46259</v>
      </c>
      <c r="F4069" s="215" t="n">
        <v>46259</v>
      </c>
    </row>
    <row r="4070">
      <c r="A4070" s="215" t="n">
        <v>46260</v>
      </c>
      <c r="B4070" s="216" t="n">
        <v>74.34999999999999</v>
      </c>
      <c r="C4070" s="216" t="n">
        <v>84</v>
      </c>
      <c r="D4070" s="216" t="n">
        <v>1.166218996047974</v>
      </c>
      <c r="E4070" s="215" t="n">
        <v>46260</v>
      </c>
      <c r="F4070" s="215" t="n">
        <v>46260</v>
      </c>
    </row>
    <row r="4071">
      <c r="A4071" s="215" t="n">
        <v>46261</v>
      </c>
      <c r="B4071" s="216" t="n">
        <v>75.59999999999999</v>
      </c>
      <c r="C4071" s="216" t="n">
        <v>84.54000000000001</v>
      </c>
      <c r="D4071" s="216" t="n">
        <v>1.165971040725708</v>
      </c>
      <c r="E4071" s="215" t="n">
        <v>46261</v>
      </c>
      <c r="F4071" s="215" t="n">
        <v>46261</v>
      </c>
    </row>
    <row r="4072">
      <c r="A4072" s="215" t="n">
        <v>46262</v>
      </c>
      <c r="B4072" s="216" t="n">
        <v>73.3</v>
      </c>
      <c r="C4072" s="216" t="n">
        <v>82</v>
      </c>
      <c r="D4072" s="216" t="n">
        <v>1.165799975395203</v>
      </c>
      <c r="E4072" s="215" t="n">
        <v>46262</v>
      </c>
      <c r="F4072" s="215" t="n">
        <v>46262</v>
      </c>
    </row>
    <row r="4073">
      <c r="A4073" s="215" t="n">
        <v>46265</v>
      </c>
      <c r="B4073" s="216" t="n">
        <v>72.55</v>
      </c>
      <c r="C4073" s="216" t="n">
        <v>83.27</v>
      </c>
      <c r="D4073" s="216" t="n">
        <v>1.165387988090515</v>
      </c>
      <c r="E4073" s="215" t="n">
        <v>46265</v>
      </c>
      <c r="F4073" s="215" t="n">
        <v>46265</v>
      </c>
    </row>
    <row r="4074">
      <c r="A4074" s="215" t="n">
        <v>46266</v>
      </c>
      <c r="B4074" s="216" t="n">
        <v>72.55</v>
      </c>
      <c r="C4074" s="216" t="n">
        <v>82.84999999999999</v>
      </c>
      <c r="D4074" s="216" t="n">
        <v>1.165223956108093</v>
      </c>
      <c r="E4074" s="215" t="n">
        <v>46266</v>
      </c>
      <c r="F4074" s="215" t="n">
        <v>46266</v>
      </c>
    </row>
    <row r="4075">
      <c r="A4075" s="215" t="n">
        <v>46267</v>
      </c>
      <c r="B4075" s="216" t="n">
        <v>71.2</v>
      </c>
      <c r="C4075" s="216" t="n">
        <v>80.61</v>
      </c>
      <c r="D4075" s="216" t="n">
        <v>1.166425943374634</v>
      </c>
      <c r="E4075" s="215" t="n">
        <v>46267</v>
      </c>
      <c r="F4075" s="215" t="n">
        <v>46267</v>
      </c>
    </row>
    <row r="4076">
      <c r="A4076" s="215" t="n">
        <v>46268</v>
      </c>
      <c r="B4076" s="216" t="n">
        <v>71.15000000000001</v>
      </c>
      <c r="C4076" s="216" t="n">
        <v>79.3</v>
      </c>
      <c r="D4076" s="216" t="n">
        <v>1.167057037353516</v>
      </c>
      <c r="E4076" s="215" t="n">
        <v>46268</v>
      </c>
      <c r="F4076" s="215" t="n">
        <v>46268</v>
      </c>
    </row>
    <row r="4077">
      <c r="A4077" s="215" t="n">
        <v>46269</v>
      </c>
      <c r="B4077" s="216" t="n">
        <v>72.45</v>
      </c>
      <c r="C4077" s="216" t="n">
        <v>80.25</v>
      </c>
      <c r="D4077" s="216" t="n">
        <v>1.166767954826355</v>
      </c>
      <c r="E4077" s="215" t="n">
        <v>46269</v>
      </c>
      <c r="F4077" s="215" t="n">
        <v>46269</v>
      </c>
    </row>
    <row r="4078">
      <c r="A4078" s="215" t="n">
        <v>46272</v>
      </c>
      <c r="B4078" s="216" t="n">
        <v>73.05</v>
      </c>
      <c r="C4078" s="216" t="n">
        <v>81.08</v>
      </c>
      <c r="D4078" s="216" t="n">
        <v>1.168081045150757</v>
      </c>
      <c r="E4078" s="215" t="n">
        <v>46272</v>
      </c>
      <c r="F4078" s="215" t="n">
        <v>46272</v>
      </c>
    </row>
    <row r="4079">
      <c r="A4079" s="215" t="n">
        <v>46273</v>
      </c>
      <c r="B4079" s="216" t="n">
        <v>71.7</v>
      </c>
      <c r="C4079" s="216" t="n">
        <v>80.47</v>
      </c>
      <c r="D4079" s="216" t="n">
        <v>1.168115019798279</v>
      </c>
      <c r="E4079" s="215" t="n">
        <v>46273</v>
      </c>
      <c r="F4079" s="215" t="n">
        <v>46273</v>
      </c>
    </row>
    <row r="4080">
      <c r="A4080" s="215" t="n">
        <v>46274</v>
      </c>
      <c r="B4080" s="216" t="n">
        <v>71.25</v>
      </c>
      <c r="C4080" s="216" t="n">
        <v>80.01000000000001</v>
      </c>
      <c r="D4080" s="216" t="n">
        <v>1.168408989906311</v>
      </c>
      <c r="E4080" s="215" t="n">
        <v>46274</v>
      </c>
      <c r="F4080" s="215" t="n">
        <v>46274</v>
      </c>
    </row>
    <row r="4081">
      <c r="A4081" s="215" t="n">
        <v>46275</v>
      </c>
      <c r="B4081" s="216" t="n">
        <v>69.59999999999999</v>
      </c>
      <c r="C4081" s="216" t="n">
        <v>78.93000000000001</v>
      </c>
      <c r="D4081" s="216" t="n">
        <v>1.168462991714478</v>
      </c>
      <c r="E4081" s="215" t="n">
        <v>46275</v>
      </c>
      <c r="F4081" s="215" t="n">
        <v>46275</v>
      </c>
    </row>
    <row r="4082">
      <c r="A4082" s="215" t="n">
        <v>46276</v>
      </c>
      <c r="B4082" s="216" t="n">
        <v>69</v>
      </c>
      <c r="C4082" s="216" t="n">
        <v>76.88</v>
      </c>
      <c r="D4082" s="216" t="n">
        <v>1.169165015220642</v>
      </c>
      <c r="E4082" s="215" t="n">
        <v>46276</v>
      </c>
      <c r="F4082" s="215" t="n">
        <v>46276</v>
      </c>
    </row>
    <row r="4083">
      <c r="A4083" s="215" t="n">
        <v>46279</v>
      </c>
      <c r="B4083" s="216" t="n">
        <v>68.34999999999999</v>
      </c>
      <c r="C4083" s="216" t="n">
        <v>77.91</v>
      </c>
      <c r="D4083" s="216" t="n">
        <v>1.16893994808197</v>
      </c>
      <c r="E4083" s="215" t="n">
        <v>46279</v>
      </c>
      <c r="F4083" s="215" t="n">
        <v>46279</v>
      </c>
    </row>
    <row r="4084">
      <c r="A4084" s="215" t="n">
        <v>46280</v>
      </c>
      <c r="B4084" s="216" t="n">
        <v>67</v>
      </c>
      <c r="C4084" s="216" t="n">
        <v>77.52</v>
      </c>
      <c r="D4084" s="216" t="n">
        <v>1.169121026992798</v>
      </c>
      <c r="E4084" s="215" t="n">
        <v>46280</v>
      </c>
      <c r="F4084" s="215" t="n">
        <v>46280</v>
      </c>
    </row>
    <row r="4085">
      <c r="A4085" s="215" t="n">
        <v>46281</v>
      </c>
      <c r="B4085" s="216" t="n">
        <v>69</v>
      </c>
      <c r="C4085" s="216" t="n">
        <v>78.40000000000001</v>
      </c>
      <c r="D4085" s="216" t="n">
        <v>1.168769955635071</v>
      </c>
      <c r="E4085" s="215" t="n">
        <v>46281</v>
      </c>
      <c r="F4085" s="215" t="n">
        <v>46281</v>
      </c>
    </row>
    <row r="4086">
      <c r="A4086" s="215" t="n">
        <v>46282</v>
      </c>
      <c r="B4086" s="216" t="n">
        <v>69.5</v>
      </c>
      <c r="C4086" s="216" t="n">
        <v>78.62</v>
      </c>
      <c r="D4086" s="216" t="n">
        <v>1.169389963150024</v>
      </c>
      <c r="E4086" s="215" t="n">
        <v>46282</v>
      </c>
      <c r="F4086" s="215" t="n">
        <v>46282</v>
      </c>
    </row>
    <row r="4087">
      <c r="A4087" s="215" t="n">
        <v>46283</v>
      </c>
      <c r="B4087" s="216" t="n">
        <v>72</v>
      </c>
      <c r="C4087" s="216" t="n">
        <v>81.27</v>
      </c>
      <c r="D4087" s="216" t="n">
        <v>1.16942298412323</v>
      </c>
      <c r="E4087" s="215" t="n">
        <v>46283</v>
      </c>
      <c r="F4087" s="215" t="n">
        <v>46283</v>
      </c>
    </row>
    <row r="4088">
      <c r="A4088" s="215" t="n">
        <v>46286</v>
      </c>
      <c r="B4088" s="216" t="n">
        <v>71.95</v>
      </c>
      <c r="C4088" s="216" t="n">
        <v>80.78</v>
      </c>
      <c r="D4088" s="216" t="n">
        <v>1.171280026435852</v>
      </c>
      <c r="E4088" s="215" t="n">
        <v>46286</v>
      </c>
      <c r="F4088" s="215" t="n">
        <v>46286</v>
      </c>
    </row>
    <row r="4089">
      <c r="A4089" s="215" t="n">
        <v>46287</v>
      </c>
      <c r="B4089" s="216" t="n">
        <v>72.2</v>
      </c>
      <c r="C4089" s="216" t="n">
        <v>82.88</v>
      </c>
      <c r="D4089" s="216" t="n">
        <v>1.171705007553101</v>
      </c>
      <c r="E4089" s="215" t="n">
        <v>46287</v>
      </c>
      <c r="F4089" s="215" t="n">
        <v>46287</v>
      </c>
    </row>
    <row r="4090">
      <c r="A4090" s="215" t="n">
        <v>46288</v>
      </c>
      <c r="B4090" s="216" t="n">
        <v>72.7</v>
      </c>
      <c r="C4090" s="216" t="n">
        <v>82.77</v>
      </c>
      <c r="D4090" s="216" t="n">
        <v>1.170611023902893</v>
      </c>
      <c r="E4090" s="215" t="n">
        <v>46288</v>
      </c>
      <c r="F4090" s="215" t="n">
        <v>46288</v>
      </c>
    </row>
    <row r="4091">
      <c r="A4091" s="215" t="n">
        <v>46289</v>
      </c>
      <c r="B4091" s="216" t="n">
        <v>70.90000000000001</v>
      </c>
      <c r="C4091" s="216" t="n">
        <v>81.40000000000001</v>
      </c>
      <c r="D4091" s="216" t="n">
        <v>1.16852605342865</v>
      </c>
      <c r="E4091" s="215" t="n">
        <v>46289</v>
      </c>
      <c r="F4091" s="215" t="n">
        <v>46289</v>
      </c>
    </row>
    <row r="4092">
      <c r="A4092" s="215" t="n">
        <v>46290</v>
      </c>
      <c r="B4092" s="216" t="n">
        <v>72.75</v>
      </c>
      <c r="C4092" s="216" t="n">
        <v>81.40000000000001</v>
      </c>
      <c r="D4092" s="216" t="n">
        <v>1.168424010276794</v>
      </c>
      <c r="E4092" s="215" t="n">
        <v>46289</v>
      </c>
      <c r="F4092" s="215" t="n">
        <v>46290</v>
      </c>
    </row>
    <row r="4093">
      <c r="A4093" s="215" t="n">
        <v>46293</v>
      </c>
      <c r="B4093" s="216" t="n">
        <v>70.2</v>
      </c>
      <c r="C4093" s="216" t="n">
        <v>80.75</v>
      </c>
      <c r="D4093" s="216" t="n">
        <v>1.168378949165344</v>
      </c>
      <c r="E4093" s="215" t="n">
        <v>46293</v>
      </c>
      <c r="F4093" s="215" t="n">
        <v>46293</v>
      </c>
    </row>
    <row r="4094">
      <c r="A4094" s="215" t="n">
        <v>46294</v>
      </c>
      <c r="B4094" s="216" t="n">
        <v>70.5</v>
      </c>
      <c r="C4094" s="216" t="n">
        <v>80.36</v>
      </c>
      <c r="D4094" s="216" t="n">
        <v>1.168815970420837</v>
      </c>
      <c r="E4094" s="215" t="n">
        <v>46294</v>
      </c>
      <c r="F4094" s="215" t="n">
        <v>46294</v>
      </c>
    </row>
    <row r="4095">
      <c r="A4095" s="215" t="n">
        <v>46295</v>
      </c>
      <c r="B4095" s="216" t="n">
        <v>72.3</v>
      </c>
      <c r="C4095" s="216" t="n">
        <v>82.20999999999999</v>
      </c>
      <c r="D4095" s="216" t="n">
        <v>1.17059600353241</v>
      </c>
      <c r="E4095" s="215" t="n">
        <v>46295</v>
      </c>
      <c r="F4095" s="215" t="n">
        <v>46295</v>
      </c>
    </row>
    <row r="4096">
      <c r="A4096" s="215" t="n">
        <v>46297</v>
      </c>
      <c r="B4096" s="216" t="n">
        <v>70.15000000000001</v>
      </c>
      <c r="C4096" s="216" t="n">
        <v>82.20999999999999</v>
      </c>
      <c r="D4096" s="216" t="n">
        <v>1.170220971107483</v>
      </c>
      <c r="E4096" s="215" t="n">
        <v>46295</v>
      </c>
      <c r="F4096" s="215" t="n">
        <v>46297</v>
      </c>
    </row>
    <row r="4097">
      <c r="A4097" s="215" t="n">
        <v>46199</v>
      </c>
      <c r="B4097" s="216" t="n">
        <v>125.3</v>
      </c>
      <c r="C4097" s="216" t="n">
        <v>131.55</v>
      </c>
      <c r="D4097" s="216" t="n">
        <v>1.154500961303711</v>
      </c>
      <c r="E4097" s="215" t="n">
        <v>46199</v>
      </c>
      <c r="F4097" s="215" t="n">
        <v>46199</v>
      </c>
    </row>
    <row r="4098">
      <c r="A4098" s="215" t="n">
        <v>46202</v>
      </c>
      <c r="B4098" s="216" t="n">
        <v>117.1</v>
      </c>
      <c r="C4098" s="216" t="n">
        <v>133.6</v>
      </c>
      <c r="D4098" s="216" t="n">
        <v>1.153512001037598</v>
      </c>
      <c r="E4098" s="215" t="n">
        <v>46202</v>
      </c>
      <c r="F4098" s="215" t="n">
        <v>46202</v>
      </c>
    </row>
    <row r="4099">
      <c r="A4099" s="215" t="n">
        <v>46203</v>
      </c>
      <c r="B4099" s="216" t="n">
        <v>121.4</v>
      </c>
      <c r="C4099" s="216" t="n">
        <v>143.48</v>
      </c>
      <c r="D4099" s="216" t="n">
        <v>1.153959035873413</v>
      </c>
      <c r="E4099" s="215" t="n">
        <v>46203</v>
      </c>
      <c r="F4099" s="215" t="n">
        <v>46203</v>
      </c>
    </row>
    <row r="4100">
      <c r="A4100" s="215" t="n">
        <v>46205</v>
      </c>
      <c r="B4100" s="216" t="n">
        <v>125.9</v>
      </c>
      <c r="C4100" s="216" t="n">
        <v>142</v>
      </c>
      <c r="D4100" s="216" t="n">
        <v>1.154355049133301</v>
      </c>
      <c r="E4100" s="215" t="n">
        <v>46205</v>
      </c>
      <c r="F4100" s="215" t="n">
        <v>46205</v>
      </c>
    </row>
    <row r="4101">
      <c r="A4101" s="215" t="n">
        <v>46206</v>
      </c>
      <c r="B4101" s="216" t="n">
        <v>120</v>
      </c>
      <c r="C4101" s="216" t="n">
        <v>139.6</v>
      </c>
      <c r="D4101" s="216" t="n">
        <v>1.155220985412598</v>
      </c>
      <c r="E4101" s="215" t="n">
        <v>46206</v>
      </c>
      <c r="F4101" s="215" t="n">
        <v>46206</v>
      </c>
    </row>
    <row r="4102">
      <c r="A4102" s="215" t="n">
        <v>46209</v>
      </c>
      <c r="B4102" s="216" t="n">
        <v>117.5</v>
      </c>
      <c r="C4102" s="216" t="n">
        <v>135.97</v>
      </c>
      <c r="D4102" s="216" t="n">
        <v>1.155068039894104</v>
      </c>
      <c r="E4102" s="215" t="n">
        <v>46209</v>
      </c>
      <c r="F4102" s="215" t="n">
        <v>46209</v>
      </c>
    </row>
    <row r="4103">
      <c r="A4103" s="215" t="n">
        <v>46210</v>
      </c>
      <c r="B4103" s="216" t="n">
        <v>110.5</v>
      </c>
      <c r="C4103" s="216" t="n">
        <v>129.1</v>
      </c>
      <c r="D4103" s="216" t="n">
        <v>1.153807997703552</v>
      </c>
      <c r="E4103" s="215" t="n">
        <v>46210</v>
      </c>
      <c r="F4103" s="215" t="n">
        <v>46210</v>
      </c>
    </row>
    <row r="4104">
      <c r="A4104" s="215" t="n">
        <v>46211</v>
      </c>
      <c r="B4104" s="216" t="n">
        <v>113.6</v>
      </c>
      <c r="C4104" s="216" t="n">
        <v>129.74</v>
      </c>
      <c r="D4104" s="216" t="n">
        <v>1.154153943061829</v>
      </c>
      <c r="E4104" s="215" t="n">
        <v>46211</v>
      </c>
      <c r="F4104" s="215" t="n">
        <v>46211</v>
      </c>
    </row>
    <row r="4105">
      <c r="A4105" s="215" t="n">
        <v>46212</v>
      </c>
      <c r="B4105" s="216" t="n">
        <v>107.1</v>
      </c>
      <c r="C4105" s="216" t="n">
        <v>134.86</v>
      </c>
      <c r="D4105" s="216" t="n">
        <v>1.152119994163513</v>
      </c>
      <c r="E4105" s="215" t="n">
        <v>46212</v>
      </c>
      <c r="F4105" s="215" t="n">
        <v>46212</v>
      </c>
    </row>
    <row r="4106">
      <c r="A4106" s="215" t="n">
        <v>46213</v>
      </c>
      <c r="B4106" s="216" t="n">
        <v>102.5</v>
      </c>
      <c r="C4106" s="216" t="n">
        <v>124.25</v>
      </c>
      <c r="D4106" s="216" t="n">
        <v>1.153550028800964</v>
      </c>
      <c r="E4106" s="215" t="n">
        <v>46213</v>
      </c>
      <c r="F4106" s="215" t="n">
        <v>46213</v>
      </c>
    </row>
    <row r="4107">
      <c r="A4107" s="215" t="n">
        <v>46216</v>
      </c>
      <c r="B4107" s="216" t="n">
        <v>99.40000000000001</v>
      </c>
      <c r="C4107" s="216" t="n">
        <v>116.26</v>
      </c>
      <c r="D4107" s="216" t="n">
        <v>1.156761050224304</v>
      </c>
      <c r="E4107" s="215" t="n">
        <v>46216</v>
      </c>
      <c r="F4107" s="215" t="n">
        <v>46216</v>
      </c>
    </row>
    <row r="4108">
      <c r="A4108" s="215" t="n">
        <v>46217</v>
      </c>
      <c r="B4108" s="216" t="n">
        <v>99.15000000000001</v>
      </c>
      <c r="C4108" s="216" t="n">
        <v>117.31</v>
      </c>
      <c r="D4108" s="216" t="n">
        <v>1.155825972557068</v>
      </c>
      <c r="E4108" s="215" t="n">
        <v>46217</v>
      </c>
      <c r="F4108" s="215" t="n">
        <v>46217</v>
      </c>
    </row>
    <row r="4109">
      <c r="A4109" s="215" t="n">
        <v>46218</v>
      </c>
      <c r="B4109" s="216" t="n">
        <v>102.1</v>
      </c>
      <c r="C4109" s="216" t="n">
        <v>112.73</v>
      </c>
      <c r="D4109" s="216" t="n">
        <v>1.157556056976318</v>
      </c>
      <c r="E4109" s="215" t="n">
        <v>46218</v>
      </c>
      <c r="F4109" s="215" t="n">
        <v>46218</v>
      </c>
    </row>
    <row r="4110">
      <c r="A4110" s="215" t="n">
        <v>46219</v>
      </c>
      <c r="B4110" s="216" t="n">
        <v>101</v>
      </c>
      <c r="C4110" s="216" t="n">
        <v>107.32</v>
      </c>
      <c r="D4110" s="216" t="n">
        <v>1.157912969589233</v>
      </c>
      <c r="E4110" s="215" t="n">
        <v>46219</v>
      </c>
      <c r="F4110" s="215" t="n">
        <v>46219</v>
      </c>
    </row>
    <row r="4111">
      <c r="A4111" s="215" t="n">
        <v>46220</v>
      </c>
      <c r="B4111" s="216" t="n">
        <v>96.05</v>
      </c>
      <c r="C4111" s="216" t="n">
        <v>101</v>
      </c>
      <c r="D4111" s="216" t="n">
        <v>1.157472014427185</v>
      </c>
      <c r="E4111" s="215" t="n">
        <v>46220</v>
      </c>
      <c r="F4111" s="215" t="n">
        <v>46220</v>
      </c>
    </row>
    <row r="4112">
      <c r="A4112" s="215" t="n">
        <v>46223</v>
      </c>
      <c r="B4112" s="216" t="n">
        <v>95.75</v>
      </c>
      <c r="C4112" s="216" t="n">
        <v>98.01000000000001</v>
      </c>
      <c r="D4112" s="216" t="n">
        <v>1.157451033592224</v>
      </c>
      <c r="E4112" s="215" t="n">
        <v>46223</v>
      </c>
      <c r="F4112" s="215" t="n">
        <v>46223</v>
      </c>
    </row>
    <row r="4113">
      <c r="A4113" s="215" t="n">
        <v>46224</v>
      </c>
      <c r="B4113" s="216" t="n">
        <v>101</v>
      </c>
      <c r="C4113" s="216" t="n">
        <v>110.05</v>
      </c>
      <c r="D4113" s="216" t="n">
        <v>1.157506942749023</v>
      </c>
      <c r="E4113" s="215" t="n">
        <v>46224</v>
      </c>
      <c r="F4113" s="215" t="n">
        <v>46224</v>
      </c>
    </row>
    <row r="4114">
      <c r="A4114" s="215" t="n">
        <v>46225</v>
      </c>
      <c r="B4114" s="216" t="n">
        <v>89.59999999999999</v>
      </c>
      <c r="C4114" s="216" t="n">
        <v>106.11</v>
      </c>
      <c r="D4114" s="216" t="n">
        <v>1.158938050270081</v>
      </c>
      <c r="E4114" s="215" t="n">
        <v>46225</v>
      </c>
      <c r="F4114" s="215" t="n">
        <v>46225</v>
      </c>
    </row>
    <row r="4115">
      <c r="A4115" s="215" t="n">
        <v>46226</v>
      </c>
      <c r="B4115" s="216" t="n">
        <v>98.7</v>
      </c>
      <c r="C4115" s="216" t="n">
        <v>103.86</v>
      </c>
      <c r="D4115" s="216" t="n">
        <v>1.157410979270935</v>
      </c>
      <c r="E4115" s="215" t="n">
        <v>46226</v>
      </c>
      <c r="F4115" s="215" t="n">
        <v>46226</v>
      </c>
    </row>
    <row r="4116">
      <c r="A4116" s="215" t="n">
        <v>46227</v>
      </c>
      <c r="B4116" s="216" t="n">
        <v>89.5</v>
      </c>
      <c r="C4116" s="216" t="n">
        <v>100.41</v>
      </c>
      <c r="D4116" s="216" t="n">
        <v>1.15762197971344</v>
      </c>
      <c r="E4116" s="215" t="n">
        <v>46227</v>
      </c>
      <c r="F4116" s="215" t="n">
        <v>46227</v>
      </c>
    </row>
    <row r="4117">
      <c r="A4117" s="215" t="n">
        <v>46230</v>
      </c>
      <c r="B4117" s="216" t="n">
        <v>96.90000000000001</v>
      </c>
      <c r="C4117" s="216" t="n">
        <v>98.89</v>
      </c>
      <c r="D4117" s="216" t="n">
        <v>1.15789794921875</v>
      </c>
      <c r="E4117" s="215" t="n">
        <v>46230</v>
      </c>
      <c r="F4117" s="215" t="n">
        <v>46230</v>
      </c>
    </row>
    <row r="4118">
      <c r="A4118" s="215" t="n">
        <v>46231</v>
      </c>
      <c r="B4118" s="216" t="n">
        <v>89.40000000000001</v>
      </c>
      <c r="C4118" s="216" t="n">
        <v>94.98999999999999</v>
      </c>
      <c r="D4118" s="216" t="n">
        <v>1.158699035644531</v>
      </c>
      <c r="E4118" s="215" t="n">
        <v>46231</v>
      </c>
      <c r="F4118" s="215" t="n">
        <v>46231</v>
      </c>
    </row>
    <row r="4119">
      <c r="A4119" s="215" t="n">
        <v>46232</v>
      </c>
      <c r="B4119" s="216" t="n">
        <v>88.55</v>
      </c>
      <c r="C4119" s="216" t="n">
        <v>100.74</v>
      </c>
      <c r="D4119" s="216" t="n">
        <v>1.157909989356995</v>
      </c>
      <c r="E4119" s="215" t="n">
        <v>46232</v>
      </c>
      <c r="F4119" s="215" t="n">
        <v>46232</v>
      </c>
    </row>
    <row r="4120">
      <c r="A4120" s="215" t="n">
        <v>46233</v>
      </c>
      <c r="B4120" s="216" t="n">
        <v>78</v>
      </c>
      <c r="C4120" s="216" t="n">
        <v>89.58</v>
      </c>
      <c r="D4120" s="216" t="n">
        <v>1.158943057060242</v>
      </c>
      <c r="E4120" s="215" t="n">
        <v>46233</v>
      </c>
      <c r="F4120" s="215" t="n">
        <v>46233</v>
      </c>
    </row>
    <row r="4121">
      <c r="A4121" s="215" t="n">
        <v>46234</v>
      </c>
      <c r="B4121" s="216" t="n">
        <v>83</v>
      </c>
      <c r="C4121" s="216" t="n">
        <v>95.73</v>
      </c>
      <c r="D4121" s="216" t="n">
        <v>1.160945057868958</v>
      </c>
      <c r="E4121" s="215" t="n">
        <v>46234</v>
      </c>
      <c r="F4121" s="215" t="n">
        <v>46234</v>
      </c>
    </row>
    <row r="4122">
      <c r="A4122" s="215" t="n">
        <v>46237</v>
      </c>
      <c r="B4122" s="216" t="n">
        <v>80.2</v>
      </c>
      <c r="C4122" s="216" t="n">
        <v>94.40000000000001</v>
      </c>
      <c r="D4122" s="216" t="n">
        <v>1.161579966545105</v>
      </c>
      <c r="E4122" s="215" t="n">
        <v>46237</v>
      </c>
      <c r="F4122" s="215" t="n">
        <v>46237</v>
      </c>
    </row>
    <row r="4123">
      <c r="A4123" s="215" t="n">
        <v>46238</v>
      </c>
      <c r="B4123" s="216" t="n">
        <v>84.25</v>
      </c>
      <c r="C4123" s="216" t="n">
        <v>101.56</v>
      </c>
      <c r="D4123" s="216" t="n">
        <v>1.161064982414246</v>
      </c>
      <c r="E4123" s="215" t="n">
        <v>46238</v>
      </c>
      <c r="F4123" s="215" t="n">
        <v>46238</v>
      </c>
    </row>
    <row r="4124">
      <c r="A4124" s="215" t="n">
        <v>46239</v>
      </c>
      <c r="B4124" s="216" t="n">
        <v>88.09999999999999</v>
      </c>
      <c r="C4124" s="216" t="n">
        <v>104.02</v>
      </c>
      <c r="D4124" s="216" t="n">
        <v>1.161146998405457</v>
      </c>
      <c r="E4124" s="215" t="n">
        <v>46239</v>
      </c>
      <c r="F4124" s="215" t="n">
        <v>46239</v>
      </c>
    </row>
    <row r="4125">
      <c r="A4125" s="215" t="n">
        <v>46240</v>
      </c>
      <c r="B4125" s="216" t="n">
        <v>86.05</v>
      </c>
      <c r="C4125" s="216" t="n">
        <v>106.24</v>
      </c>
      <c r="D4125" s="216" t="n">
        <v>1.161936044692993</v>
      </c>
      <c r="E4125" s="215" t="n">
        <v>46240</v>
      </c>
      <c r="F4125" s="215" t="n">
        <v>46240</v>
      </c>
    </row>
    <row r="4126">
      <c r="A4126" s="215" t="n">
        <v>46241</v>
      </c>
      <c r="B4126" s="216" t="n">
        <v>91.40000000000001</v>
      </c>
      <c r="C4126" s="216" t="n">
        <v>111.68</v>
      </c>
      <c r="D4126" s="216" t="n">
        <v>1.162284016609192</v>
      </c>
      <c r="E4126" s="215" t="n">
        <v>46241</v>
      </c>
      <c r="F4126" s="215" t="n">
        <v>46241</v>
      </c>
    </row>
    <row r="4127">
      <c r="A4127" s="215" t="n">
        <v>46244</v>
      </c>
      <c r="B4127" s="216" t="n">
        <v>90.84999999999999</v>
      </c>
      <c r="C4127" s="216" t="n">
        <v>110.27</v>
      </c>
      <c r="D4127" s="216" t="n">
        <v>1.162629961967468</v>
      </c>
      <c r="E4127" s="215" t="n">
        <v>46244</v>
      </c>
      <c r="F4127" s="215" t="n">
        <v>46244</v>
      </c>
    </row>
    <row r="4128">
      <c r="A4128" s="215" t="n">
        <v>46245</v>
      </c>
      <c r="B4128" s="216" t="n">
        <v>98.2</v>
      </c>
      <c r="C4128" s="216" t="n">
        <v>115.49</v>
      </c>
      <c r="D4128" s="216" t="n">
        <v>1.162588000297546</v>
      </c>
      <c r="E4128" s="215" t="n">
        <v>46245</v>
      </c>
      <c r="F4128" s="215" t="n">
        <v>46245</v>
      </c>
    </row>
    <row r="4129">
      <c r="A4129" s="215" t="n">
        <v>46246</v>
      </c>
      <c r="B4129" s="216" t="n">
        <v>97.5</v>
      </c>
      <c r="C4129" s="216" t="n">
        <v>116.02</v>
      </c>
      <c r="D4129" s="216" t="n">
        <v>1.163135051727295</v>
      </c>
      <c r="E4129" s="215" t="n">
        <v>46246</v>
      </c>
      <c r="F4129" s="215" t="n">
        <v>46246</v>
      </c>
    </row>
    <row r="4130">
      <c r="A4130" s="215" t="n">
        <v>46247</v>
      </c>
      <c r="B4130" s="216" t="n">
        <v>106.8</v>
      </c>
      <c r="C4130" s="216" t="n">
        <v>118.7</v>
      </c>
      <c r="D4130" s="216" t="n">
        <v>1.163341045379639</v>
      </c>
      <c r="E4130" s="215" t="n">
        <v>46247</v>
      </c>
      <c r="F4130" s="215" t="n">
        <v>46247</v>
      </c>
    </row>
    <row r="4131">
      <c r="A4131" s="215" t="n">
        <v>46248</v>
      </c>
      <c r="B4131" s="216" t="n">
        <v>103.5</v>
      </c>
      <c r="C4131" s="216" t="n">
        <v>123</v>
      </c>
      <c r="D4131" s="216" t="n">
        <v>1.163571000099182</v>
      </c>
      <c r="E4131" s="215" t="n">
        <v>46248</v>
      </c>
      <c r="F4131" s="215" t="n">
        <v>46248</v>
      </c>
    </row>
    <row r="4132">
      <c r="A4132" s="215" t="n">
        <v>46251</v>
      </c>
      <c r="B4132" s="216" t="n">
        <v>105.4</v>
      </c>
      <c r="C4132" s="216" t="n">
        <v>123.24</v>
      </c>
      <c r="D4132" s="216" t="n">
        <v>1.163601994514465</v>
      </c>
      <c r="E4132" s="215" t="n">
        <v>46251</v>
      </c>
      <c r="F4132" s="215" t="n">
        <v>46251</v>
      </c>
    </row>
    <row r="4133">
      <c r="A4133" s="215" t="n">
        <v>46252</v>
      </c>
      <c r="B4133" s="216" t="n">
        <v>100.2</v>
      </c>
      <c r="C4133" s="216" t="n">
        <v>116.92</v>
      </c>
      <c r="D4133" s="216" t="n">
        <v>1.163733005523682</v>
      </c>
      <c r="E4133" s="215" t="n">
        <v>46252</v>
      </c>
      <c r="F4133" s="215" t="n">
        <v>46252</v>
      </c>
    </row>
    <row r="4134">
      <c r="A4134" s="215" t="n">
        <v>46253</v>
      </c>
      <c r="B4134" s="216" t="n">
        <v>90.5</v>
      </c>
      <c r="C4134" s="216" t="n">
        <v>106.49</v>
      </c>
      <c r="D4134" s="216" t="n">
        <v>1.163092017173767</v>
      </c>
      <c r="E4134" s="215" t="n">
        <v>46253</v>
      </c>
      <c r="F4134" s="215" t="n">
        <v>46253</v>
      </c>
    </row>
    <row r="4135">
      <c r="A4135" s="215" t="n">
        <v>46254</v>
      </c>
      <c r="B4135" s="216" t="n">
        <v>96.34999999999999</v>
      </c>
      <c r="C4135" s="216" t="n">
        <v>116.58</v>
      </c>
      <c r="D4135" s="216" t="n">
        <v>1.164932012557983</v>
      </c>
      <c r="E4135" s="215" t="n">
        <v>46254</v>
      </c>
      <c r="F4135" s="215" t="n">
        <v>46254</v>
      </c>
    </row>
    <row r="4136">
      <c r="A4136" s="215" t="n">
        <v>46255</v>
      </c>
      <c r="B4136" s="216" t="n">
        <v>100</v>
      </c>
      <c r="C4136" s="216" t="n">
        <v>116.6</v>
      </c>
      <c r="D4136" s="216" t="n">
        <v>1.166555047035217</v>
      </c>
      <c r="E4136" s="215" t="n">
        <v>46255</v>
      </c>
      <c r="F4136" s="215" t="n">
        <v>46255</v>
      </c>
    </row>
    <row r="4137">
      <c r="A4137" s="215" t="n">
        <v>46258</v>
      </c>
      <c r="B4137" s="216" t="n">
        <v>92.90000000000001</v>
      </c>
      <c r="C4137" s="216" t="n">
        <v>111.13</v>
      </c>
      <c r="D4137" s="216" t="n">
        <v>1.166316986083984</v>
      </c>
      <c r="E4137" s="215" t="n">
        <v>46258</v>
      </c>
      <c r="F4137" s="215" t="n">
        <v>46258</v>
      </c>
    </row>
    <row r="4138">
      <c r="A4138" s="215" t="n">
        <v>46259</v>
      </c>
      <c r="B4138" s="216" t="n">
        <v>97.40000000000001</v>
      </c>
      <c r="C4138" s="216" t="n">
        <v>114.86</v>
      </c>
      <c r="D4138" s="216" t="n">
        <v>1.165253043174744</v>
      </c>
      <c r="E4138" s="215" t="n">
        <v>46259</v>
      </c>
      <c r="F4138" s="215" t="n">
        <v>46259</v>
      </c>
    </row>
    <row r="4139">
      <c r="A4139" s="215" t="n">
        <v>46260</v>
      </c>
      <c r="B4139" s="216" t="n">
        <v>98</v>
      </c>
      <c r="C4139" s="216" t="n">
        <v>113.51</v>
      </c>
      <c r="D4139" s="216" t="n">
        <v>1.166218996047974</v>
      </c>
      <c r="E4139" s="215" t="n">
        <v>46260</v>
      </c>
      <c r="F4139" s="215" t="n">
        <v>46260</v>
      </c>
    </row>
    <row r="4140">
      <c r="A4140" s="215" t="n">
        <v>46261</v>
      </c>
      <c r="B4140" s="216" t="n">
        <v>99.34999999999999</v>
      </c>
      <c r="C4140" s="216" t="n">
        <v>116.9</v>
      </c>
      <c r="D4140" s="216" t="n">
        <v>1.165971040725708</v>
      </c>
      <c r="E4140" s="215" t="n">
        <v>46261</v>
      </c>
      <c r="F4140" s="215" t="n">
        <v>46261</v>
      </c>
    </row>
    <row r="4141">
      <c r="A4141" s="215" t="n">
        <v>46262</v>
      </c>
      <c r="B4141" s="216" t="n">
        <v>96.5</v>
      </c>
      <c r="C4141" s="216" t="n">
        <v>114.5</v>
      </c>
      <c r="D4141" s="216" t="n">
        <v>1.165799975395203</v>
      </c>
      <c r="E4141" s="215" t="n">
        <v>46262</v>
      </c>
      <c r="F4141" s="215" t="n">
        <v>46262</v>
      </c>
    </row>
    <row r="4142">
      <c r="A4142" s="215" t="n">
        <v>46265</v>
      </c>
      <c r="B4142" s="216" t="n">
        <v>94.3</v>
      </c>
      <c r="C4142" s="216" t="n">
        <v>114</v>
      </c>
      <c r="D4142" s="216" t="n">
        <v>1.165387988090515</v>
      </c>
      <c r="E4142" s="215" t="n">
        <v>46265</v>
      </c>
      <c r="F4142" s="215" t="n">
        <v>46265</v>
      </c>
    </row>
    <row r="4143">
      <c r="A4143" s="215" t="n">
        <v>46266</v>
      </c>
      <c r="B4143" s="216" t="n">
        <v>90.3</v>
      </c>
      <c r="C4143" s="216" t="n">
        <v>112.58</v>
      </c>
      <c r="D4143" s="216" t="n">
        <v>1.165223956108093</v>
      </c>
      <c r="E4143" s="215" t="n">
        <v>46266</v>
      </c>
      <c r="F4143" s="215" t="n">
        <v>46266</v>
      </c>
    </row>
    <row r="4144">
      <c r="A4144" s="215" t="n">
        <v>46267</v>
      </c>
      <c r="B4144" s="216" t="n">
        <v>87.40000000000001</v>
      </c>
      <c r="C4144" s="216" t="n">
        <v>110.73</v>
      </c>
      <c r="D4144" s="216" t="n">
        <v>1.166425943374634</v>
      </c>
      <c r="E4144" s="215" t="n">
        <v>46267</v>
      </c>
      <c r="F4144" s="215" t="n">
        <v>46267</v>
      </c>
    </row>
    <row r="4145">
      <c r="A4145" s="215" t="n">
        <v>46268</v>
      </c>
      <c r="B4145" s="216" t="n">
        <v>86</v>
      </c>
      <c r="C4145" s="216" t="n">
        <v>109.76</v>
      </c>
      <c r="D4145" s="216" t="n">
        <v>1.167057037353516</v>
      </c>
      <c r="E4145" s="215" t="n">
        <v>46268</v>
      </c>
      <c r="F4145" s="215" t="n">
        <v>46268</v>
      </c>
    </row>
    <row r="4146">
      <c r="A4146" s="215" t="n">
        <v>46269</v>
      </c>
      <c r="B4146" s="216" t="n">
        <v>84.40000000000001</v>
      </c>
      <c r="C4146" s="216" t="n">
        <v>106.92</v>
      </c>
      <c r="D4146" s="216" t="n">
        <v>1.166767954826355</v>
      </c>
      <c r="E4146" s="215" t="n">
        <v>46269</v>
      </c>
      <c r="F4146" s="215" t="n">
        <v>46269</v>
      </c>
    </row>
    <row r="4147">
      <c r="A4147" s="215" t="n">
        <v>46272</v>
      </c>
      <c r="B4147" s="216" t="n">
        <v>88.45</v>
      </c>
      <c r="C4147" s="216" t="n">
        <v>110.6</v>
      </c>
      <c r="D4147" s="216" t="n">
        <v>1.168081045150757</v>
      </c>
      <c r="E4147" s="215" t="n">
        <v>46272</v>
      </c>
      <c r="F4147" s="215" t="n">
        <v>46272</v>
      </c>
    </row>
    <row r="4148">
      <c r="A4148" s="215" t="n">
        <v>46273</v>
      </c>
      <c r="B4148" s="216" t="n">
        <v>87.55</v>
      </c>
      <c r="C4148" s="216" t="n">
        <v>107.13</v>
      </c>
      <c r="D4148" s="216" t="n">
        <v>1.168115019798279</v>
      </c>
      <c r="E4148" s="215" t="n">
        <v>46273</v>
      </c>
      <c r="F4148" s="215" t="n">
        <v>46273</v>
      </c>
    </row>
    <row r="4149">
      <c r="A4149" s="215" t="n">
        <v>46274</v>
      </c>
      <c r="B4149" s="216" t="n">
        <v>89</v>
      </c>
      <c r="C4149" s="216" t="n">
        <v>107.75</v>
      </c>
      <c r="D4149" s="216" t="n">
        <v>1.168408989906311</v>
      </c>
      <c r="E4149" s="215" t="n">
        <v>46274</v>
      </c>
      <c r="F4149" s="215" t="n">
        <v>46274</v>
      </c>
    </row>
    <row r="4150">
      <c r="A4150" s="215" t="n">
        <v>46275</v>
      </c>
      <c r="B4150" s="216" t="n">
        <v>90.3</v>
      </c>
      <c r="C4150" s="216" t="n">
        <v>106.69</v>
      </c>
      <c r="D4150" s="216" t="n">
        <v>1.168462991714478</v>
      </c>
      <c r="E4150" s="215" t="n">
        <v>46275</v>
      </c>
      <c r="F4150" s="215" t="n">
        <v>46275</v>
      </c>
    </row>
    <row r="4151">
      <c r="A4151" s="215" t="n">
        <v>46276</v>
      </c>
      <c r="B4151" s="216" t="n">
        <v>91</v>
      </c>
      <c r="C4151" s="216" t="n">
        <v>107.98</v>
      </c>
      <c r="D4151" s="216" t="n">
        <v>1.169165015220642</v>
      </c>
      <c r="E4151" s="215" t="n">
        <v>46276</v>
      </c>
      <c r="F4151" s="215" t="n">
        <v>46276</v>
      </c>
    </row>
    <row r="4152">
      <c r="A4152" s="215" t="n">
        <v>46279</v>
      </c>
      <c r="B4152" s="216" t="n">
        <v>89.55</v>
      </c>
      <c r="C4152" s="216" t="n">
        <v>107.6</v>
      </c>
      <c r="D4152" s="216" t="n">
        <v>1.16893994808197</v>
      </c>
      <c r="E4152" s="215" t="n">
        <v>46279</v>
      </c>
      <c r="F4152" s="215" t="n">
        <v>46279</v>
      </c>
    </row>
    <row r="4153">
      <c r="A4153" s="215" t="n">
        <v>46280</v>
      </c>
      <c r="B4153" s="216" t="n">
        <v>92</v>
      </c>
      <c r="C4153" s="216" t="n">
        <v>108.78</v>
      </c>
      <c r="D4153" s="216" t="n">
        <v>1.169121026992798</v>
      </c>
      <c r="E4153" s="215" t="n">
        <v>46280</v>
      </c>
      <c r="F4153" s="215" t="n">
        <v>46280</v>
      </c>
    </row>
    <row r="4154">
      <c r="A4154" s="215" t="n">
        <v>46281</v>
      </c>
      <c r="B4154" s="216" t="n">
        <v>92.40000000000001</v>
      </c>
      <c r="C4154" s="216" t="n">
        <v>111.8</v>
      </c>
      <c r="D4154" s="216" t="n">
        <v>1.168769955635071</v>
      </c>
      <c r="E4154" s="215" t="n">
        <v>46281</v>
      </c>
      <c r="F4154" s="215" t="n">
        <v>46281</v>
      </c>
    </row>
    <row r="4155">
      <c r="A4155" s="215" t="n">
        <v>46282</v>
      </c>
      <c r="B4155" s="216" t="n">
        <v>94.75</v>
      </c>
      <c r="C4155" s="216" t="n">
        <v>116.46</v>
      </c>
      <c r="D4155" s="216" t="n">
        <v>1.169389963150024</v>
      </c>
      <c r="E4155" s="215" t="n">
        <v>46282</v>
      </c>
      <c r="F4155" s="215" t="n">
        <v>46282</v>
      </c>
    </row>
    <row r="4156">
      <c r="A4156" s="215" t="n">
        <v>46283</v>
      </c>
      <c r="B4156" s="216" t="n">
        <v>99.90000000000001</v>
      </c>
      <c r="C4156" s="216" t="n">
        <v>125.13</v>
      </c>
      <c r="D4156" s="216" t="n">
        <v>1.16942298412323</v>
      </c>
      <c r="E4156" s="215" t="n">
        <v>46283</v>
      </c>
      <c r="F4156" s="215" t="n">
        <v>46283</v>
      </c>
    </row>
    <row r="4157">
      <c r="A4157" s="215" t="n">
        <v>46286</v>
      </c>
      <c r="B4157" s="216" t="n">
        <v>96.90000000000001</v>
      </c>
      <c r="C4157" s="216" t="n">
        <v>122.61</v>
      </c>
      <c r="D4157" s="216" t="n">
        <v>1.171280026435852</v>
      </c>
      <c r="E4157" s="215" t="n">
        <v>46286</v>
      </c>
      <c r="F4157" s="215" t="n">
        <v>46286</v>
      </c>
    </row>
    <row r="4158">
      <c r="A4158" s="215" t="n">
        <v>46287</v>
      </c>
      <c r="B4158" s="216" t="n">
        <v>95.90000000000001</v>
      </c>
      <c r="C4158" s="216" t="n">
        <v>121.68</v>
      </c>
      <c r="D4158" s="216" t="n">
        <v>1.171705007553101</v>
      </c>
      <c r="E4158" s="215" t="n">
        <v>46287</v>
      </c>
      <c r="F4158" s="215" t="n">
        <v>46287</v>
      </c>
    </row>
    <row r="4159">
      <c r="A4159" s="215" t="n">
        <v>46288</v>
      </c>
      <c r="B4159" s="216" t="n">
        <v>94.55</v>
      </c>
      <c r="C4159" s="216" t="n">
        <v>122.45</v>
      </c>
      <c r="D4159" s="216" t="n">
        <v>1.170611023902893</v>
      </c>
      <c r="E4159" s="215" t="n">
        <v>46288</v>
      </c>
      <c r="F4159" s="215" t="n">
        <v>46288</v>
      </c>
    </row>
    <row r="4160">
      <c r="A4160" s="215" t="n">
        <v>46289</v>
      </c>
      <c r="B4160" s="216" t="n">
        <v>91.84999999999999</v>
      </c>
      <c r="C4160" s="216" t="n">
        <v>120.55</v>
      </c>
      <c r="D4160" s="216" t="n">
        <v>1.16852605342865</v>
      </c>
      <c r="E4160" s="215" t="n">
        <v>46289</v>
      </c>
      <c r="F4160" s="215" t="n">
        <v>46289</v>
      </c>
    </row>
    <row r="4161">
      <c r="A4161" s="215" t="n">
        <v>46290</v>
      </c>
      <c r="B4161" s="216" t="n">
        <v>92.15000000000001</v>
      </c>
      <c r="C4161" s="216" t="n">
        <v>120.55</v>
      </c>
      <c r="D4161" s="216" t="n">
        <v>1.168424010276794</v>
      </c>
      <c r="E4161" s="215" t="n">
        <v>46289</v>
      </c>
      <c r="F4161" s="215" t="n">
        <v>46290</v>
      </c>
    </row>
    <row r="4162">
      <c r="A4162" s="215" t="n">
        <v>46293</v>
      </c>
      <c r="B4162" s="216" t="n">
        <v>89.15000000000001</v>
      </c>
      <c r="C4162" s="216" t="n">
        <v>117</v>
      </c>
      <c r="D4162" s="216" t="n">
        <v>1.168378949165344</v>
      </c>
      <c r="E4162" s="215" t="n">
        <v>46293</v>
      </c>
      <c r="F4162" s="215" t="n">
        <v>46293</v>
      </c>
    </row>
    <row r="4163">
      <c r="A4163" s="215" t="n">
        <v>46294</v>
      </c>
      <c r="B4163" s="216" t="n">
        <v>88.65000000000001</v>
      </c>
      <c r="C4163" s="216" t="n">
        <v>112.8</v>
      </c>
      <c r="D4163" s="216" t="n">
        <v>1.168815970420837</v>
      </c>
      <c r="E4163" s="215" t="n">
        <v>46294</v>
      </c>
      <c r="F4163" s="215" t="n">
        <v>46294</v>
      </c>
    </row>
    <row r="4164">
      <c r="A4164" s="215" t="n">
        <v>46295</v>
      </c>
      <c r="B4164" s="216" t="n">
        <v>84.40000000000001</v>
      </c>
      <c r="C4164" s="216" t="n">
        <v>110.21</v>
      </c>
      <c r="D4164" s="216" t="n">
        <v>1.17059600353241</v>
      </c>
      <c r="E4164" s="215" t="n">
        <v>46295</v>
      </c>
      <c r="F4164" s="215" t="n">
        <v>46295</v>
      </c>
    </row>
    <row r="4165">
      <c r="A4165" s="215" t="n">
        <v>46297</v>
      </c>
      <c r="B4165" s="216" t="n">
        <v>83.84999999999999</v>
      </c>
      <c r="C4165" s="216" t="n">
        <v>110.21</v>
      </c>
      <c r="D4165" s="216" t="n">
        <v>1.170220971107483</v>
      </c>
      <c r="E4165" s="215" t="n">
        <v>46295</v>
      </c>
      <c r="F4165" s="215" t="n">
        <v>46297</v>
      </c>
    </row>
    <row r="4166">
      <c r="A4166" s="215" t="n">
        <v>45889</v>
      </c>
      <c r="B4166" s="216" t="n">
        <v>45.54</v>
      </c>
      <c r="C4166" s="216" t="n">
        <v>66.26000000000001</v>
      </c>
      <c r="D4166" s="216" t="n">
        <v>1.085826992988586</v>
      </c>
      <c r="E4166" s="215" t="n">
        <v>45889</v>
      </c>
      <c r="F4166" s="215" t="n">
        <v>45889</v>
      </c>
    </row>
    <row r="4167">
      <c r="A4167" s="215" t="n">
        <v>45890</v>
      </c>
      <c r="B4167" s="216" t="n">
        <v>43.22</v>
      </c>
      <c r="C4167" s="216" t="n">
        <v>63.53</v>
      </c>
      <c r="D4167" s="216" t="n">
        <v>1.088521003723145</v>
      </c>
      <c r="E4167" s="215" t="n">
        <v>45890</v>
      </c>
      <c r="F4167" s="215" t="n">
        <v>45890</v>
      </c>
    </row>
    <row r="4168">
      <c r="A4168" s="215" t="n">
        <v>45891</v>
      </c>
      <c r="B4168" s="216" t="n">
        <v>44.66</v>
      </c>
      <c r="C4168" s="216" t="n">
        <v>65.94</v>
      </c>
      <c r="D4168" s="216" t="n">
        <v>1.08814001083374</v>
      </c>
      <c r="E4168" s="215" t="n">
        <v>45891</v>
      </c>
      <c r="F4168" s="215" t="n">
        <v>45891</v>
      </c>
    </row>
    <row r="4169">
      <c r="A4169" s="215" t="n">
        <v>45894</v>
      </c>
      <c r="B4169" s="216" t="n">
        <v>45</v>
      </c>
      <c r="C4169" s="216" t="n">
        <v>65.34</v>
      </c>
      <c r="D4169" s="216" t="n">
        <v>1.090230941772461</v>
      </c>
      <c r="E4169" s="215" t="n">
        <v>45894</v>
      </c>
      <c r="F4169" s="215" t="n">
        <v>45894</v>
      </c>
    </row>
    <row r="4170">
      <c r="A4170" s="215" t="n">
        <v>45895</v>
      </c>
      <c r="B4170" s="216" t="n">
        <v>43.5</v>
      </c>
      <c r="C4170" s="216" t="n">
        <v>64.61</v>
      </c>
      <c r="D4170" s="216" t="n">
        <v>1.09236204624176</v>
      </c>
      <c r="E4170" s="215" t="n">
        <v>45895</v>
      </c>
      <c r="F4170" s="215" t="n">
        <v>45895</v>
      </c>
    </row>
    <row r="4171">
      <c r="A4171" s="215" t="n">
        <v>45896</v>
      </c>
      <c r="B4171" s="216" t="n">
        <v>43.8</v>
      </c>
      <c r="C4171" s="216" t="n">
        <v>63.91</v>
      </c>
      <c r="D4171" s="216" t="n">
        <v>1.089414000511169</v>
      </c>
      <c r="E4171" s="215" t="n">
        <v>45896</v>
      </c>
      <c r="F4171" s="215" t="n">
        <v>45896</v>
      </c>
    </row>
    <row r="4172">
      <c r="A4172" s="215" t="n">
        <v>45897</v>
      </c>
      <c r="B4172" s="216" t="n">
        <v>44.3</v>
      </c>
      <c r="C4172" s="216" t="n">
        <v>66.31</v>
      </c>
      <c r="D4172" s="216" t="n">
        <v>1.088047027587891</v>
      </c>
      <c r="E4172" s="215" t="n">
        <v>45897</v>
      </c>
      <c r="F4172" s="215" t="n">
        <v>45897</v>
      </c>
    </row>
    <row r="4173">
      <c r="A4173" s="215" t="n">
        <v>45898</v>
      </c>
      <c r="B4173" s="216" t="n">
        <v>43.9</v>
      </c>
      <c r="C4173" s="216" t="n">
        <v>64.5</v>
      </c>
      <c r="D4173" s="216" t="n">
        <v>1.089478969573975</v>
      </c>
      <c r="E4173" s="215" t="n">
        <v>45898</v>
      </c>
      <c r="F4173" s="215" t="n">
        <v>45898</v>
      </c>
    </row>
    <row r="4174">
      <c r="A4174" s="215" t="n">
        <v>45901</v>
      </c>
      <c r="B4174" s="216" t="n">
        <v>42.02</v>
      </c>
      <c r="C4174" s="216" t="n">
        <v>63.41</v>
      </c>
      <c r="D4174" s="216" t="n">
        <v>1.09319794178009</v>
      </c>
      <c r="E4174" s="215" t="n">
        <v>45901</v>
      </c>
      <c r="F4174" s="215" t="n">
        <v>45901</v>
      </c>
    </row>
    <row r="4175">
      <c r="A4175" s="215" t="n">
        <v>45902</v>
      </c>
      <c r="B4175" s="216" t="n">
        <v>43.5</v>
      </c>
      <c r="C4175" s="216" t="n">
        <v>67.34999999999999</v>
      </c>
      <c r="D4175" s="216" t="n">
        <v>1.093255043029785</v>
      </c>
      <c r="E4175" s="215" t="n">
        <v>45902</v>
      </c>
      <c r="F4175" s="215" t="n">
        <v>45902</v>
      </c>
    </row>
    <row r="4176">
      <c r="A4176" s="215" t="n">
        <v>45903</v>
      </c>
      <c r="B4176" s="216" t="n">
        <v>44.1</v>
      </c>
      <c r="C4176" s="216" t="n">
        <v>67.5</v>
      </c>
      <c r="D4176" s="216" t="n">
        <v>1.09343695640564</v>
      </c>
      <c r="E4176" s="215" t="n">
        <v>45903</v>
      </c>
      <c r="F4176" s="215" t="n">
        <v>45903</v>
      </c>
    </row>
    <row r="4177">
      <c r="A4177" s="215" t="n">
        <v>45904</v>
      </c>
      <c r="B4177" s="216" t="n">
        <v>42.1</v>
      </c>
      <c r="C4177" s="216" t="n">
        <v>64.40000000000001</v>
      </c>
      <c r="D4177" s="216" t="n">
        <v>1.092192053794861</v>
      </c>
      <c r="E4177" s="215" t="n">
        <v>45904</v>
      </c>
      <c r="F4177" s="215" t="n">
        <v>45904</v>
      </c>
    </row>
    <row r="4178">
      <c r="A4178" s="215" t="n">
        <v>45905</v>
      </c>
      <c r="B4178" s="216" t="n">
        <v>49.78</v>
      </c>
      <c r="C4178" s="216" t="n">
        <v>77.28</v>
      </c>
      <c r="D4178" s="216" t="n">
        <v>1.092169046401978</v>
      </c>
      <c r="E4178" s="215" t="n">
        <v>45905</v>
      </c>
      <c r="F4178" s="215" t="n">
        <v>45905</v>
      </c>
    </row>
    <row r="4179">
      <c r="A4179" s="215" t="n">
        <v>45908</v>
      </c>
      <c r="B4179" s="216" t="n">
        <v>48.4</v>
      </c>
      <c r="C4179" s="216" t="n">
        <v>80.68000000000001</v>
      </c>
      <c r="D4179" s="216" t="n">
        <v>1.093217015266418</v>
      </c>
      <c r="E4179" s="215" t="n">
        <v>45908</v>
      </c>
      <c r="F4179" s="215" t="n">
        <v>45908</v>
      </c>
    </row>
    <row r="4180">
      <c r="A4180" s="215" t="n">
        <v>45909</v>
      </c>
      <c r="B4180" s="216" t="n">
        <v>46.76</v>
      </c>
      <c r="C4180" s="216" t="n">
        <v>79.58</v>
      </c>
      <c r="D4180" s="216" t="n">
        <v>1.092916965484619</v>
      </c>
      <c r="E4180" s="215" t="n">
        <v>45909</v>
      </c>
      <c r="F4180" s="215" t="n">
        <v>45909</v>
      </c>
    </row>
    <row r="4181">
      <c r="A4181" s="215" t="n">
        <v>45910</v>
      </c>
      <c r="B4181" s="216" t="n">
        <v>48.4</v>
      </c>
      <c r="C4181" s="216" t="n">
        <v>81.8</v>
      </c>
      <c r="D4181" s="216" t="n">
        <v>1.093482971191406</v>
      </c>
      <c r="E4181" s="215" t="n">
        <v>45910</v>
      </c>
      <c r="F4181" s="215" t="n">
        <v>45910</v>
      </c>
    </row>
    <row r="4182">
      <c r="A4182" s="215" t="n">
        <v>45911</v>
      </c>
      <c r="B4182" s="216" t="n">
        <v>53.3</v>
      </c>
      <c r="C4182" s="216" t="n">
        <v>89.98999999999999</v>
      </c>
      <c r="D4182" s="216" t="n">
        <v>1.093762993812561</v>
      </c>
      <c r="E4182" s="215" t="n">
        <v>45911</v>
      </c>
      <c r="F4182" s="215" t="n">
        <v>45911</v>
      </c>
    </row>
    <row r="4183">
      <c r="A4183" s="215" t="n">
        <v>45912</v>
      </c>
      <c r="B4183" s="216" t="n">
        <v>57.7</v>
      </c>
      <c r="C4183" s="216" t="n">
        <v>90.70999999999999</v>
      </c>
      <c r="D4183" s="216" t="n">
        <v>1.094014048576355</v>
      </c>
      <c r="E4183" s="215" t="n">
        <v>45912</v>
      </c>
      <c r="F4183" s="215" t="n">
        <v>45912</v>
      </c>
    </row>
    <row r="4184">
      <c r="A4184" s="215" t="n">
        <v>45915</v>
      </c>
      <c r="B4184" s="216" t="n">
        <v>58.95</v>
      </c>
      <c r="C4184" s="216" t="n">
        <v>88.95</v>
      </c>
      <c r="D4184" s="216" t="n">
        <v>1.091848969459534</v>
      </c>
      <c r="E4184" s="215" t="n">
        <v>45915</v>
      </c>
      <c r="F4184" s="215" t="n">
        <v>45915</v>
      </c>
    </row>
    <row r="4185">
      <c r="A4185" s="215" t="n">
        <v>45916</v>
      </c>
      <c r="B4185" s="216" t="n">
        <v>59.9</v>
      </c>
      <c r="C4185" s="216" t="n">
        <v>87.90000000000001</v>
      </c>
      <c r="D4185" s="216" t="n">
        <v>1.092795968055725</v>
      </c>
      <c r="E4185" s="215" t="n">
        <v>45916</v>
      </c>
      <c r="F4185" s="215" t="n">
        <v>45916</v>
      </c>
    </row>
    <row r="4186">
      <c r="A4186" s="215" t="n">
        <v>45917</v>
      </c>
      <c r="B4186" s="216" t="n">
        <v>58.55</v>
      </c>
      <c r="C4186" s="216" t="n">
        <v>85.05</v>
      </c>
      <c r="D4186" s="216" t="n">
        <v>1.093690991401672</v>
      </c>
      <c r="E4186" s="215" t="n">
        <v>45917</v>
      </c>
      <c r="F4186" s="215" t="n">
        <v>45917</v>
      </c>
    </row>
    <row r="4187">
      <c r="A4187" s="215" t="n">
        <v>45918</v>
      </c>
      <c r="B4187" s="216" t="n">
        <v>60.9</v>
      </c>
      <c r="C4187" s="216" t="n">
        <v>84.90000000000001</v>
      </c>
      <c r="D4187" s="216" t="n">
        <v>1.094727993011475</v>
      </c>
      <c r="E4187" s="215" t="n">
        <v>45918</v>
      </c>
      <c r="F4187" s="215" t="n">
        <v>45918</v>
      </c>
    </row>
    <row r="4188">
      <c r="A4188" s="215" t="n">
        <v>45919</v>
      </c>
      <c r="B4188" s="216" t="n">
        <v>62.3</v>
      </c>
      <c r="C4188" s="216" t="n">
        <v>85.90000000000001</v>
      </c>
      <c r="D4188" s="216" t="n">
        <v>1.093201994895935</v>
      </c>
      <c r="E4188" s="215" t="n">
        <v>45919</v>
      </c>
      <c r="F4188" s="215" t="n">
        <v>45919</v>
      </c>
    </row>
    <row r="4189">
      <c r="A4189" s="215" t="n">
        <v>45922</v>
      </c>
      <c r="B4189" s="216" t="n">
        <v>64</v>
      </c>
      <c r="C4189" s="216" t="n">
        <v>87.58</v>
      </c>
      <c r="D4189" s="216" t="n">
        <v>1.092589020729065</v>
      </c>
      <c r="E4189" s="215" t="n">
        <v>45922</v>
      </c>
      <c r="F4189" s="215" t="n">
        <v>45922</v>
      </c>
    </row>
    <row r="4190">
      <c r="A4190" s="215" t="n">
        <v>45923</v>
      </c>
      <c r="B4190" s="216" t="n">
        <v>61.1</v>
      </c>
      <c r="C4190" s="216" t="n">
        <v>83.37</v>
      </c>
      <c r="D4190" s="216" t="n">
        <v>1.0920250415802</v>
      </c>
      <c r="E4190" s="215" t="n">
        <v>45923</v>
      </c>
      <c r="F4190" s="215" t="n">
        <v>45923</v>
      </c>
    </row>
    <row r="4191">
      <c r="A4191" s="215" t="n">
        <v>45924</v>
      </c>
      <c r="B4191" s="216" t="n">
        <v>62.2</v>
      </c>
      <c r="C4191" s="216" t="n">
        <v>85.12</v>
      </c>
      <c r="D4191" s="216" t="n">
        <v>1.093196988105774</v>
      </c>
      <c r="E4191" s="215" t="n">
        <v>45924</v>
      </c>
      <c r="F4191" s="215" t="n">
        <v>45924</v>
      </c>
    </row>
    <row r="4192">
      <c r="A4192" s="215" t="n">
        <v>45925</v>
      </c>
      <c r="B4192" s="216" t="n">
        <v>61.3</v>
      </c>
      <c r="C4192" s="216" t="n">
        <v>84.81999999999999</v>
      </c>
      <c r="D4192" s="216" t="n">
        <v>1.090371012687683</v>
      </c>
      <c r="E4192" s="215" t="n">
        <v>45925</v>
      </c>
      <c r="F4192" s="215" t="n">
        <v>45925</v>
      </c>
    </row>
    <row r="4193">
      <c r="A4193" s="215" t="n">
        <v>45926</v>
      </c>
      <c r="B4193" s="216" t="n">
        <v>58.2</v>
      </c>
      <c r="C4193" s="216" t="n">
        <v>86.33</v>
      </c>
      <c r="D4193" s="216" t="n">
        <v>1.090574979782104</v>
      </c>
      <c r="E4193" s="215" t="n">
        <v>45926</v>
      </c>
      <c r="F4193" s="215" t="n">
        <v>45926</v>
      </c>
    </row>
    <row r="4194">
      <c r="A4194" s="215" t="n">
        <v>45929</v>
      </c>
      <c r="B4194" s="216" t="n">
        <v>56.45</v>
      </c>
      <c r="C4194" s="216" t="n">
        <v>81.31999999999999</v>
      </c>
      <c r="D4194" s="216" t="n">
        <v>1.090520024299622</v>
      </c>
      <c r="E4194" s="215" t="n">
        <v>45929</v>
      </c>
      <c r="F4194" s="215" t="n">
        <v>45929</v>
      </c>
    </row>
    <row r="4195">
      <c r="A4195" s="215" t="n">
        <v>45930</v>
      </c>
      <c r="B4195" s="216" t="n">
        <v>60.25</v>
      </c>
      <c r="C4195" s="216" t="n">
        <v>82.16</v>
      </c>
      <c r="D4195" s="216" t="n">
        <v>1.093106031417847</v>
      </c>
      <c r="E4195" s="215" t="n">
        <v>45930</v>
      </c>
      <c r="F4195" s="215" t="n">
        <v>45930</v>
      </c>
    </row>
    <row r="4196">
      <c r="A4196" s="215" t="n">
        <v>45932</v>
      </c>
      <c r="B4196" s="216" t="n">
        <v>61</v>
      </c>
      <c r="C4196" s="216" t="n">
        <v>82.16</v>
      </c>
      <c r="D4196" s="216" t="n">
        <v>1.092823028564453</v>
      </c>
      <c r="E4196" s="215" t="n">
        <v>45930</v>
      </c>
      <c r="F4196" s="215" t="n">
        <v>45932</v>
      </c>
    </row>
    <row r="4197">
      <c r="A4197" s="215" t="n">
        <v>45933</v>
      </c>
      <c r="B4197" s="216" t="n">
        <v>60.3</v>
      </c>
      <c r="C4197" s="216" t="n">
        <v>82.16</v>
      </c>
      <c r="D4197" s="216" t="n">
        <v>1.09303605556488</v>
      </c>
      <c r="E4197" s="215" t="n">
        <v>45930</v>
      </c>
      <c r="F4197" s="215" t="n">
        <v>45933</v>
      </c>
    </row>
    <row r="4198">
      <c r="A4198" s="215" t="n">
        <v>45936</v>
      </c>
      <c r="B4198" s="216" t="n">
        <v>59.05</v>
      </c>
      <c r="C4198" s="216" t="n">
        <v>82.16</v>
      </c>
      <c r="D4198" s="216" t="n">
        <v>1.092857956886292</v>
      </c>
      <c r="E4198" s="215" t="n">
        <v>45930</v>
      </c>
      <c r="F4198" s="215" t="n">
        <v>45936</v>
      </c>
    </row>
    <row r="4199">
      <c r="A4199" s="215" t="n">
        <v>45938</v>
      </c>
      <c r="B4199" s="216" t="n">
        <v>58.5</v>
      </c>
      <c r="C4199" s="216" t="n">
        <v>82.16</v>
      </c>
      <c r="D4199" s="216" t="n">
        <v>1.093148946762085</v>
      </c>
      <c r="E4199" s="215" t="n">
        <v>45930</v>
      </c>
      <c r="F4199" s="215" t="n">
        <v>45938</v>
      </c>
    </row>
    <row r="4200">
      <c r="A4200" s="215" t="n">
        <v>45939</v>
      </c>
      <c r="B4200" s="216" t="n">
        <v>62.75</v>
      </c>
      <c r="C4200" s="216" t="n">
        <v>84.90000000000001</v>
      </c>
      <c r="D4200" s="216" t="n">
        <v>1.092933058738708</v>
      </c>
      <c r="E4200" s="215" t="n">
        <v>45939</v>
      </c>
      <c r="F4200" s="215" t="n">
        <v>45939</v>
      </c>
    </row>
    <row r="4201">
      <c r="A4201" s="215" t="n">
        <v>45940</v>
      </c>
      <c r="B4201" s="216" t="n">
        <v>56.5</v>
      </c>
      <c r="C4201" s="216" t="n">
        <v>78.7</v>
      </c>
      <c r="D4201" s="216" t="n">
        <v>1.091662049293518</v>
      </c>
      <c r="E4201" s="215" t="n">
        <v>45940</v>
      </c>
      <c r="F4201" s="215" t="n">
        <v>45940</v>
      </c>
    </row>
    <row r="4202">
      <c r="A4202" s="215" t="n">
        <v>45943</v>
      </c>
      <c r="B4202" s="216" t="n">
        <v>57.45</v>
      </c>
      <c r="C4202" s="216" t="n">
        <v>79.15000000000001</v>
      </c>
      <c r="D4202" s="216" t="n">
        <v>1.093768000602722</v>
      </c>
      <c r="E4202" s="215" t="n">
        <v>45943</v>
      </c>
      <c r="F4202" s="215" t="n">
        <v>45943</v>
      </c>
    </row>
    <row r="4203">
      <c r="A4203" s="215" t="n">
        <v>45944</v>
      </c>
      <c r="B4203" s="216" t="n">
        <v>54.1</v>
      </c>
      <c r="C4203" s="216" t="n">
        <v>76.81999999999999</v>
      </c>
      <c r="D4203" s="216" t="n">
        <v>1.093292951583862</v>
      </c>
      <c r="E4203" s="215" t="n">
        <v>45944</v>
      </c>
      <c r="F4203" s="215" t="n">
        <v>45944</v>
      </c>
    </row>
    <row r="4204">
      <c r="A4204" s="215" t="n">
        <v>45945</v>
      </c>
      <c r="B4204" s="216" t="n">
        <v>54.15</v>
      </c>
      <c r="C4204" s="216" t="n">
        <v>76.93000000000001</v>
      </c>
      <c r="D4204" s="216" t="n">
        <v>1.088750958442688</v>
      </c>
      <c r="E4204" s="215" t="n">
        <v>45945</v>
      </c>
      <c r="F4204" s="215" t="n">
        <v>45945</v>
      </c>
    </row>
    <row r="4205">
      <c r="A4205" s="215" t="n">
        <v>45946</v>
      </c>
      <c r="B4205" s="216" t="n">
        <v>53.65</v>
      </c>
      <c r="C4205" s="216" t="n">
        <v>75.31</v>
      </c>
      <c r="D4205" s="216" t="n">
        <v>1.090903043746948</v>
      </c>
      <c r="E4205" s="215" t="n">
        <v>45946</v>
      </c>
      <c r="F4205" s="215" t="n">
        <v>45946</v>
      </c>
    </row>
    <row r="4206">
      <c r="A4206" s="215" t="n">
        <v>45947</v>
      </c>
      <c r="B4206" s="216" t="n">
        <v>49.76</v>
      </c>
      <c r="C4206" s="216" t="n">
        <v>71.65000000000001</v>
      </c>
      <c r="D4206" s="216" t="n">
        <v>1.09073805809021</v>
      </c>
      <c r="E4206" s="215" t="n">
        <v>45947</v>
      </c>
      <c r="F4206" s="215" t="n">
        <v>45947</v>
      </c>
    </row>
    <row r="4207">
      <c r="A4207" s="215" t="n">
        <v>45950</v>
      </c>
      <c r="B4207" s="216" t="n">
        <v>51.35</v>
      </c>
      <c r="C4207" s="216" t="n">
        <v>71.94</v>
      </c>
      <c r="D4207" s="216" t="n">
        <v>1.089843988418579</v>
      </c>
      <c r="E4207" s="215" t="n">
        <v>45950</v>
      </c>
      <c r="F4207" s="215" t="n">
        <v>45950</v>
      </c>
    </row>
    <row r="4208">
      <c r="A4208" s="215" t="n">
        <v>45951</v>
      </c>
      <c r="B4208" s="216" t="n">
        <v>51.9</v>
      </c>
      <c r="C4208" s="216" t="n">
        <v>72.53</v>
      </c>
      <c r="D4208" s="216" t="n">
        <v>1.091038942337036</v>
      </c>
      <c r="E4208" s="215" t="n">
        <v>45951</v>
      </c>
      <c r="F4208" s="215" t="n">
        <v>45951</v>
      </c>
    </row>
    <row r="4209">
      <c r="A4209" s="215" t="n">
        <v>45952</v>
      </c>
      <c r="B4209" s="216" t="n">
        <v>52</v>
      </c>
      <c r="C4209" s="216" t="n">
        <v>72.54000000000001</v>
      </c>
      <c r="D4209" s="216" t="n">
        <v>1.091071009635925</v>
      </c>
      <c r="E4209" s="215" t="n">
        <v>45952</v>
      </c>
      <c r="F4209" s="215" t="n">
        <v>45952</v>
      </c>
    </row>
    <row r="4210">
      <c r="A4210" s="215" t="n">
        <v>45953</v>
      </c>
      <c r="B4210" s="216" t="n">
        <v>50.5</v>
      </c>
      <c r="C4210" s="216" t="n">
        <v>71.54000000000001</v>
      </c>
      <c r="D4210" s="216" t="n">
        <v>1.090343952178955</v>
      </c>
      <c r="E4210" s="215" t="n">
        <v>45953</v>
      </c>
      <c r="F4210" s="215" t="n">
        <v>45953</v>
      </c>
    </row>
    <row r="4211">
      <c r="A4211" s="215" t="n">
        <v>45954</v>
      </c>
      <c r="B4211" s="216" t="n">
        <v>52.5</v>
      </c>
      <c r="C4211" s="216" t="n">
        <v>73.76000000000001</v>
      </c>
      <c r="D4211" s="216" t="n">
        <v>1.090456962585449</v>
      </c>
      <c r="E4211" s="215" t="n">
        <v>45954</v>
      </c>
      <c r="F4211" s="215" t="n">
        <v>45954</v>
      </c>
    </row>
    <row r="4212">
      <c r="A4212" s="215" t="n">
        <v>45957</v>
      </c>
      <c r="B4212" s="216" t="n">
        <v>51.6</v>
      </c>
      <c r="C4212" s="216" t="n">
        <v>73.86</v>
      </c>
      <c r="D4212" s="216" t="n">
        <v>1.090957045555115</v>
      </c>
      <c r="E4212" s="215" t="n">
        <v>45957</v>
      </c>
      <c r="F4212" s="215" t="n">
        <v>45957</v>
      </c>
    </row>
    <row r="4213">
      <c r="A4213" s="215" t="n">
        <v>45958</v>
      </c>
      <c r="B4213" s="216" t="n">
        <v>50.2</v>
      </c>
      <c r="C4213" s="216" t="n">
        <v>73.17</v>
      </c>
      <c r="D4213" s="216" t="n">
        <v>1.092440009117126</v>
      </c>
      <c r="E4213" s="215" t="n">
        <v>45958</v>
      </c>
      <c r="F4213" s="215" t="n">
        <v>45958</v>
      </c>
    </row>
    <row r="4214">
      <c r="A4214" s="215" t="n">
        <v>45960</v>
      </c>
      <c r="B4214" s="216" t="n">
        <v>48.72</v>
      </c>
      <c r="C4214" s="216" t="n">
        <v>71</v>
      </c>
      <c r="D4214" s="216" t="n">
        <v>1.09463894367218</v>
      </c>
      <c r="E4214" s="215" t="n">
        <v>45960</v>
      </c>
      <c r="F4214" s="215" t="n">
        <v>45960</v>
      </c>
    </row>
    <row r="4215">
      <c r="A4215" s="215" t="n">
        <v>45961</v>
      </c>
      <c r="B4215" s="216" t="n">
        <v>47.82</v>
      </c>
      <c r="C4215" s="216" t="n">
        <v>69.87</v>
      </c>
      <c r="D4215" s="216" t="n">
        <v>1.092543959617615</v>
      </c>
      <c r="E4215" s="215" t="n">
        <v>45961</v>
      </c>
      <c r="F4215" s="215" t="n">
        <v>45961</v>
      </c>
    </row>
    <row r="4216">
      <c r="A4216" s="215" t="n">
        <v>45964</v>
      </c>
      <c r="B4216" s="216" t="n">
        <v>46.4</v>
      </c>
      <c r="C4216" s="216" t="n">
        <v>70.16</v>
      </c>
      <c r="D4216" s="216" t="n">
        <v>1.091722965240479</v>
      </c>
      <c r="E4216" s="215" t="n">
        <v>45964</v>
      </c>
      <c r="F4216" s="215" t="n">
        <v>45964</v>
      </c>
    </row>
    <row r="4217">
      <c r="A4217" s="215" t="n">
        <v>45965</v>
      </c>
      <c r="B4217" s="216" t="n">
        <v>45.12</v>
      </c>
      <c r="C4217" s="216" t="n">
        <v>68.55</v>
      </c>
      <c r="D4217" s="216" t="n">
        <v>1.083533048629761</v>
      </c>
      <c r="E4217" s="215" t="n">
        <v>45965</v>
      </c>
      <c r="F4217" s="215" t="n">
        <v>45965</v>
      </c>
    </row>
    <row r="4218">
      <c r="A4218" s="215" t="n">
        <v>45966</v>
      </c>
      <c r="B4218" s="216" t="n">
        <v>44.4</v>
      </c>
      <c r="C4218" s="216" t="n">
        <v>68.09999999999999</v>
      </c>
      <c r="D4218" s="216" t="n">
        <v>1.090273976325989</v>
      </c>
      <c r="E4218" s="215" t="n">
        <v>45966</v>
      </c>
      <c r="F4218" s="215" t="n">
        <v>45966</v>
      </c>
    </row>
    <row r="4219">
      <c r="A4219" s="215" t="n">
        <v>45967</v>
      </c>
      <c r="B4219" s="216" t="n">
        <v>45.9</v>
      </c>
      <c r="C4219" s="216" t="n">
        <v>70.39</v>
      </c>
      <c r="D4219" s="216" t="n">
        <v>1.090808033943176</v>
      </c>
      <c r="E4219" s="215" t="n">
        <v>45967</v>
      </c>
      <c r="F4219" s="215" t="n">
        <v>45967</v>
      </c>
    </row>
    <row r="4220">
      <c r="A4220" s="215" t="n">
        <v>45968</v>
      </c>
      <c r="B4220" s="216" t="n">
        <v>45.68</v>
      </c>
      <c r="C4220" s="216" t="n">
        <v>70.17</v>
      </c>
      <c r="D4220" s="216" t="n">
        <v>1.092054009437561</v>
      </c>
      <c r="E4220" s="215" t="n">
        <v>45968</v>
      </c>
      <c r="F4220" s="215" t="n">
        <v>45968</v>
      </c>
    </row>
    <row r="4221">
      <c r="A4221" s="215" t="n">
        <v>45971</v>
      </c>
      <c r="B4221" s="216" t="n">
        <v>46.52</v>
      </c>
      <c r="C4221" s="216" t="n">
        <v>69.53</v>
      </c>
      <c r="D4221" s="216" t="n">
        <v>1.092267036437988</v>
      </c>
      <c r="E4221" s="215" t="n">
        <v>45971</v>
      </c>
      <c r="F4221" s="215" t="n">
        <v>45971</v>
      </c>
    </row>
    <row r="4222">
      <c r="A4222" s="215" t="n">
        <v>45972</v>
      </c>
      <c r="B4222" s="216" t="n">
        <v>50.85</v>
      </c>
      <c r="C4222" s="216" t="n">
        <v>73.84999999999999</v>
      </c>
      <c r="D4222" s="216" t="n">
        <v>1.091644048690796</v>
      </c>
      <c r="E4222" s="215" t="n">
        <v>45972</v>
      </c>
      <c r="F4222" s="215" t="n">
        <v>45972</v>
      </c>
    </row>
    <row r="4223">
      <c r="A4223" s="215" t="n">
        <v>45973</v>
      </c>
      <c r="B4223" s="216" t="n">
        <v>49.4</v>
      </c>
      <c r="C4223" s="216" t="n">
        <v>72.3</v>
      </c>
      <c r="D4223" s="216" t="n">
        <v>1.091495990753174</v>
      </c>
      <c r="E4223" s="215" t="n">
        <v>45973</v>
      </c>
      <c r="F4223" s="215" t="n">
        <v>45973</v>
      </c>
    </row>
    <row r="4224">
      <c r="A4224" s="215" t="n">
        <v>45974</v>
      </c>
      <c r="B4224" s="216" t="n">
        <v>52.1</v>
      </c>
      <c r="C4224" s="216" t="n">
        <v>73.93000000000001</v>
      </c>
      <c r="D4224" s="216" t="n">
        <v>1.092489004135132</v>
      </c>
      <c r="E4224" s="215" t="n">
        <v>45974</v>
      </c>
      <c r="F4224" s="215" t="n">
        <v>45974</v>
      </c>
    </row>
    <row r="4225">
      <c r="A4225" s="215" t="n">
        <v>45975</v>
      </c>
      <c r="B4225" s="216" t="n">
        <v>52.2</v>
      </c>
      <c r="C4225" s="216" t="n">
        <v>76.26000000000001</v>
      </c>
      <c r="D4225" s="216" t="n">
        <v>1.092411994934082</v>
      </c>
      <c r="E4225" s="215" t="n">
        <v>45975</v>
      </c>
      <c r="F4225" s="215" t="n">
        <v>45975</v>
      </c>
    </row>
    <row r="4226">
      <c r="A4226" s="215" t="n">
        <v>45978</v>
      </c>
      <c r="B4226" s="216" t="n">
        <v>54</v>
      </c>
      <c r="C4226" s="216" t="n">
        <v>80.45</v>
      </c>
      <c r="D4226" s="216" t="n">
        <v>1.094588041305542</v>
      </c>
      <c r="E4226" s="215" t="n">
        <v>45978</v>
      </c>
      <c r="F4226" s="215" t="n">
        <v>45978</v>
      </c>
    </row>
    <row r="4227">
      <c r="A4227" s="215" t="n">
        <v>45979</v>
      </c>
      <c r="B4227" s="216" t="n">
        <v>51.35</v>
      </c>
      <c r="C4227" s="216" t="n">
        <v>78.38</v>
      </c>
      <c r="D4227" s="216" t="n">
        <v>1.093616008758545</v>
      </c>
      <c r="E4227" s="215" t="n">
        <v>45979</v>
      </c>
      <c r="F4227" s="215" t="n">
        <v>45979</v>
      </c>
    </row>
    <row r="4228">
      <c r="A4228" s="215" t="n">
        <v>45980</v>
      </c>
      <c r="B4228" s="216" t="n">
        <v>50.1</v>
      </c>
      <c r="C4228" s="216" t="n">
        <v>75.62</v>
      </c>
      <c r="D4228" s="216" t="n">
        <v>1.095010995864868</v>
      </c>
      <c r="E4228" s="215" t="n">
        <v>45980</v>
      </c>
      <c r="F4228" s="215" t="n">
        <v>45980</v>
      </c>
    </row>
    <row r="4229">
      <c r="A4229" s="215" t="n">
        <v>45981</v>
      </c>
      <c r="B4229" s="216" t="n">
        <v>52.75</v>
      </c>
      <c r="C4229" s="216" t="n">
        <v>79.98</v>
      </c>
      <c r="D4229" s="216" t="n">
        <v>1.095402002334595</v>
      </c>
      <c r="E4229" s="215" t="n">
        <v>45981</v>
      </c>
      <c r="F4229" s="215" t="n">
        <v>45981</v>
      </c>
    </row>
    <row r="4230">
      <c r="A4230" s="215" t="n">
        <v>45982</v>
      </c>
      <c r="B4230" s="216" t="n">
        <v>50.9</v>
      </c>
      <c r="C4230" s="216" t="n">
        <v>77</v>
      </c>
      <c r="D4230" s="216" t="n">
        <v>1.094982981681824</v>
      </c>
      <c r="E4230" s="215" t="n">
        <v>45982</v>
      </c>
      <c r="F4230" s="215" t="n">
        <v>45982</v>
      </c>
    </row>
    <row r="4231">
      <c r="A4231" s="215" t="n">
        <v>45985</v>
      </c>
      <c r="B4231" s="216" t="n">
        <v>52.9</v>
      </c>
      <c r="C4231" s="216" t="n">
        <v>81.31</v>
      </c>
      <c r="D4231" s="216" t="n">
        <v>1.094988942146301</v>
      </c>
      <c r="E4231" s="215" t="n">
        <v>45985</v>
      </c>
      <c r="F4231" s="215" t="n">
        <v>45985</v>
      </c>
    </row>
    <row r="4232">
      <c r="A4232" s="215" t="n">
        <v>45986</v>
      </c>
      <c r="B4232" s="216" t="n">
        <v>51.45</v>
      </c>
      <c r="C4232" s="216" t="n">
        <v>78.98</v>
      </c>
      <c r="D4232" s="216" t="n">
        <v>1.095428943634033</v>
      </c>
      <c r="E4232" s="215" t="n">
        <v>45986</v>
      </c>
      <c r="F4232" s="215" t="n">
        <v>45986</v>
      </c>
    </row>
    <row r="4233">
      <c r="A4233" s="215" t="n">
        <v>45987</v>
      </c>
      <c r="B4233" s="216" t="n">
        <v>53.8</v>
      </c>
      <c r="C4233" s="216" t="n">
        <v>84.56</v>
      </c>
      <c r="D4233" s="216" t="n">
        <v>1.097422003746033</v>
      </c>
      <c r="E4233" s="215" t="n">
        <v>45987</v>
      </c>
      <c r="F4233" s="215" t="n">
        <v>45987</v>
      </c>
    </row>
    <row r="4234">
      <c r="A4234" s="215" t="n">
        <v>45988</v>
      </c>
      <c r="B4234" s="216" t="n">
        <v>53.8</v>
      </c>
      <c r="C4234" s="216" t="n">
        <v>83.59</v>
      </c>
      <c r="D4234" s="216" t="n">
        <v>1.098397016525269</v>
      </c>
      <c r="E4234" s="215" t="n">
        <v>45988</v>
      </c>
      <c r="F4234" s="215" t="n">
        <v>45988</v>
      </c>
    </row>
    <row r="4235">
      <c r="A4235" s="215" t="n">
        <v>45989</v>
      </c>
      <c r="B4235" s="216" t="n">
        <v>57</v>
      </c>
      <c r="C4235" s="216" t="n">
        <v>88.64</v>
      </c>
      <c r="D4235" s="216" t="n">
        <v>1.098330020904541</v>
      </c>
      <c r="E4235" s="215" t="n">
        <v>45989</v>
      </c>
      <c r="F4235" s="215" t="n">
        <v>45989</v>
      </c>
    </row>
    <row r="4236">
      <c r="A4236" s="215" t="n">
        <v>45992</v>
      </c>
      <c r="B4236" s="216" t="n">
        <v>58.9</v>
      </c>
      <c r="C4236" s="216" t="n">
        <v>88.58</v>
      </c>
      <c r="D4236" s="216" t="n">
        <v>1.10015594959259</v>
      </c>
      <c r="E4236" s="215" t="n">
        <v>45992</v>
      </c>
      <c r="F4236" s="215" t="n">
        <v>45992</v>
      </c>
    </row>
    <row r="4237">
      <c r="A4237" s="215" t="n">
        <v>45993</v>
      </c>
      <c r="B4237" s="216" t="n">
        <v>56.9</v>
      </c>
      <c r="C4237" s="216" t="n">
        <v>83.89</v>
      </c>
      <c r="D4237" s="216" t="n">
        <v>1.101189017295837</v>
      </c>
      <c r="E4237" s="215" t="n">
        <v>45993</v>
      </c>
      <c r="F4237" s="215" t="n">
        <v>45993</v>
      </c>
    </row>
    <row r="4238">
      <c r="A4238" s="215" t="n">
        <v>45994</v>
      </c>
      <c r="B4238" s="216" t="n">
        <v>58.9</v>
      </c>
      <c r="C4238" s="216" t="n">
        <v>85.45999999999999</v>
      </c>
      <c r="D4238" s="216" t="n">
        <v>1.100834012031555</v>
      </c>
      <c r="E4238" s="215" t="n">
        <v>45994</v>
      </c>
      <c r="F4238" s="215" t="n">
        <v>45994</v>
      </c>
    </row>
    <row r="4239">
      <c r="A4239" s="215" t="n">
        <v>45995</v>
      </c>
      <c r="B4239" s="216" t="n">
        <v>61.75</v>
      </c>
      <c r="C4239" s="216" t="n">
        <v>85.48999999999999</v>
      </c>
      <c r="D4239" s="216" t="n">
        <v>1.101611018180847</v>
      </c>
      <c r="E4239" s="215" t="n">
        <v>45995</v>
      </c>
      <c r="F4239" s="215" t="n">
        <v>45995</v>
      </c>
    </row>
    <row r="4240">
      <c r="A4240" s="215" t="n">
        <v>45996</v>
      </c>
      <c r="B4240" s="216" t="n">
        <v>58.55</v>
      </c>
      <c r="C4240" s="216" t="n">
        <v>81.88</v>
      </c>
      <c r="D4240" s="216" t="n">
        <v>1.100373983383179</v>
      </c>
      <c r="E4240" s="215" t="n">
        <v>45996</v>
      </c>
      <c r="F4240" s="215" t="n">
        <v>45996</v>
      </c>
    </row>
    <row r="4241">
      <c r="A4241" s="215" t="n">
        <v>45999</v>
      </c>
      <c r="B4241" s="216" t="n">
        <v>57.65</v>
      </c>
      <c r="C4241" s="216" t="n">
        <v>80.54000000000001</v>
      </c>
      <c r="D4241" s="216" t="n">
        <v>1.1008620262146</v>
      </c>
      <c r="E4241" s="215" t="n">
        <v>45999</v>
      </c>
      <c r="F4241" s="215" t="n">
        <v>45999</v>
      </c>
    </row>
    <row r="4242">
      <c r="A4242" s="215" t="n">
        <v>46000</v>
      </c>
      <c r="B4242" s="216" t="n">
        <v>58</v>
      </c>
      <c r="C4242" s="216" t="n">
        <v>81.90000000000001</v>
      </c>
      <c r="D4242" s="216" t="n">
        <v>1.10008704662323</v>
      </c>
      <c r="E4242" s="215" t="n">
        <v>46000</v>
      </c>
      <c r="F4242" s="215" t="n">
        <v>46000</v>
      </c>
    </row>
    <row r="4243">
      <c r="A4243" s="215" t="n">
        <v>46001</v>
      </c>
      <c r="B4243" s="216" t="n">
        <v>57</v>
      </c>
      <c r="C4243" s="216" t="n">
        <v>80.87</v>
      </c>
      <c r="D4243" s="216" t="n">
        <v>1.101711988449097</v>
      </c>
      <c r="E4243" s="215" t="n">
        <v>46001</v>
      </c>
      <c r="F4243" s="215" t="n">
        <v>46001</v>
      </c>
    </row>
    <row r="4244">
      <c r="A4244" s="215" t="n">
        <v>46002</v>
      </c>
      <c r="B4244" s="216" t="n">
        <v>55.65</v>
      </c>
      <c r="C4244" s="216" t="n">
        <v>81.43000000000001</v>
      </c>
      <c r="D4244" s="216" t="n">
        <v>1.10112202167511</v>
      </c>
      <c r="E4244" s="215" t="n">
        <v>46002</v>
      </c>
      <c r="F4244" s="215" t="n">
        <v>46002</v>
      </c>
    </row>
    <row r="4245">
      <c r="A4245" s="215" t="n">
        <v>46003</v>
      </c>
      <c r="B4245" s="216" t="n">
        <v>59.25</v>
      </c>
      <c r="C4245" s="216" t="n">
        <v>90.75</v>
      </c>
      <c r="D4245" s="216" t="n">
        <v>1.102499008178711</v>
      </c>
      <c r="E4245" s="215" t="n">
        <v>46003</v>
      </c>
      <c r="F4245" s="215" t="n">
        <v>46003</v>
      </c>
    </row>
    <row r="4246">
      <c r="A4246" s="215" t="n">
        <v>46006</v>
      </c>
      <c r="B4246" s="216" t="n">
        <v>59.3</v>
      </c>
      <c r="C4246" s="216" t="n">
        <v>86.79000000000001</v>
      </c>
      <c r="D4246" s="216" t="n">
        <v>1.103397965431213</v>
      </c>
      <c r="E4246" s="215" t="n">
        <v>46006</v>
      </c>
      <c r="F4246" s="215" t="n">
        <v>46006</v>
      </c>
    </row>
    <row r="4247">
      <c r="A4247" s="215" t="n">
        <v>46007</v>
      </c>
      <c r="B4247" s="216" t="n">
        <v>58.2</v>
      </c>
      <c r="C4247" s="216" t="n">
        <v>84.84999999999999</v>
      </c>
      <c r="D4247" s="216" t="n">
        <v>1.104179978370667</v>
      </c>
      <c r="E4247" s="215" t="n">
        <v>46007</v>
      </c>
      <c r="F4247" s="215" t="n">
        <v>46007</v>
      </c>
    </row>
    <row r="4248">
      <c r="A4248" s="215" t="n">
        <v>46008</v>
      </c>
      <c r="B4248" s="216" t="n">
        <v>58.65</v>
      </c>
      <c r="C4248" s="216" t="n">
        <v>86.40000000000001</v>
      </c>
      <c r="D4248" s="216" t="n">
        <v>1.104655981063843</v>
      </c>
      <c r="E4248" s="215" t="n">
        <v>46008</v>
      </c>
      <c r="F4248" s="215" t="n">
        <v>46008</v>
      </c>
    </row>
    <row r="4249">
      <c r="A4249" s="215" t="n">
        <v>46009</v>
      </c>
      <c r="B4249" s="216" t="n">
        <v>57.65</v>
      </c>
      <c r="C4249" s="216" t="n">
        <v>84</v>
      </c>
      <c r="D4249" s="216" t="n">
        <v>1.104357004165649</v>
      </c>
      <c r="E4249" s="215" t="n">
        <v>46009</v>
      </c>
      <c r="F4249" s="215" t="n">
        <v>46009</v>
      </c>
    </row>
    <row r="4250">
      <c r="A4250" s="215" t="n">
        <v>46010</v>
      </c>
      <c r="B4250" s="216" t="n">
        <v>57.9</v>
      </c>
      <c r="C4250" s="216" t="n">
        <v>82.97</v>
      </c>
      <c r="D4250" s="216" t="n">
        <v>1.104962944984436</v>
      </c>
      <c r="E4250" s="215" t="n">
        <v>46010</v>
      </c>
      <c r="F4250" s="215" t="n">
        <v>46010</v>
      </c>
    </row>
    <row r="4251">
      <c r="A4251" s="215" t="n">
        <v>46013</v>
      </c>
      <c r="B4251" s="216" t="n">
        <v>59</v>
      </c>
      <c r="C4251" s="216" t="n">
        <v>86.26000000000001</v>
      </c>
      <c r="D4251" s="216" t="n">
        <v>1.105054020881653</v>
      </c>
      <c r="E4251" s="215" t="n">
        <v>46013</v>
      </c>
      <c r="F4251" s="215" t="n">
        <v>46013</v>
      </c>
    </row>
    <row r="4252">
      <c r="A4252" s="215" t="n">
        <v>46014</v>
      </c>
      <c r="B4252" s="216" t="n">
        <v>61.3</v>
      </c>
      <c r="C4252" s="216" t="n">
        <v>86.25</v>
      </c>
      <c r="D4252" s="216" t="n">
        <v>1.104820013046265</v>
      </c>
      <c r="E4252" s="215" t="n">
        <v>46014</v>
      </c>
      <c r="F4252" s="215" t="n">
        <v>46014</v>
      </c>
    </row>
    <row r="4253">
      <c r="A4253" s="215" t="n">
        <v>46015</v>
      </c>
      <c r="B4253" s="216" t="n">
        <v>63.05</v>
      </c>
      <c r="C4253" s="216" t="n">
        <v>91.95</v>
      </c>
      <c r="D4253" s="216" t="n">
        <v>1.106441974639893</v>
      </c>
      <c r="E4253" s="215" t="n">
        <v>46015</v>
      </c>
      <c r="F4253" s="215" t="n">
        <v>46015</v>
      </c>
    </row>
    <row r="4254">
      <c r="A4254" s="215" t="n">
        <v>46020</v>
      </c>
      <c r="B4254" s="216" t="n">
        <v>60.8</v>
      </c>
      <c r="C4254" s="216" t="n">
        <v>91.93000000000001</v>
      </c>
      <c r="D4254" s="216" t="n">
        <v>1.10552704334259</v>
      </c>
      <c r="E4254" s="215" t="n">
        <v>46020</v>
      </c>
      <c r="F4254" s="215" t="n">
        <v>46020</v>
      </c>
    </row>
    <row r="4255">
      <c r="A4255" s="215" t="n">
        <v>46021</v>
      </c>
      <c r="B4255" s="216" t="n">
        <v>59.55</v>
      </c>
      <c r="C4255" s="216" t="n">
        <v>92.91</v>
      </c>
      <c r="D4255" s="216" t="n">
        <v>1.109460949897766</v>
      </c>
      <c r="E4255" s="215" t="n">
        <v>46021</v>
      </c>
      <c r="F4255" s="215" t="n">
        <v>46021</v>
      </c>
    </row>
    <row r="4256">
      <c r="A4256" s="215" t="n">
        <v>46022</v>
      </c>
      <c r="B4256" s="216" t="n">
        <v>58.55</v>
      </c>
      <c r="C4256" s="216" t="n">
        <v>88.88</v>
      </c>
      <c r="D4256" s="216" t="n">
        <v>1.111927032470703</v>
      </c>
      <c r="E4256" s="215" t="n">
        <v>46022</v>
      </c>
      <c r="F4256" s="215" t="n">
        <v>46022</v>
      </c>
    </row>
    <row r="4257">
      <c r="A4257" s="215" t="n">
        <v>46024</v>
      </c>
      <c r="B4257" s="216" t="n">
        <v>59.4</v>
      </c>
      <c r="C4257" s="216" t="n">
        <v>88.88</v>
      </c>
      <c r="D4257" s="216" t="n">
        <v>1.112754940986633</v>
      </c>
      <c r="E4257" s="215" t="n">
        <v>46022</v>
      </c>
      <c r="F4257" s="215" t="n">
        <v>46024</v>
      </c>
    </row>
    <row r="4258">
      <c r="A4258" s="215" t="n">
        <v>46027</v>
      </c>
      <c r="B4258" s="216" t="n">
        <v>58.8</v>
      </c>
      <c r="C4258" s="216" t="n">
        <v>88.19</v>
      </c>
      <c r="D4258" s="216" t="n">
        <v>1.113860011100769</v>
      </c>
      <c r="E4258" s="215" t="n">
        <v>46027</v>
      </c>
      <c r="F4258" s="215" t="n">
        <v>46027</v>
      </c>
    </row>
    <row r="4259">
      <c r="A4259" s="215" t="n">
        <v>46028</v>
      </c>
      <c r="B4259" s="216" t="n">
        <v>60.85</v>
      </c>
      <c r="C4259" s="216" t="n">
        <v>89.86</v>
      </c>
      <c r="D4259" s="216" t="n">
        <v>1.11367404460907</v>
      </c>
      <c r="E4259" s="215" t="n">
        <v>46028</v>
      </c>
      <c r="F4259" s="215" t="n">
        <v>46028</v>
      </c>
    </row>
    <row r="4260">
      <c r="A4260" s="215" t="n">
        <v>46029</v>
      </c>
      <c r="B4260" s="216" t="n">
        <v>62.9</v>
      </c>
      <c r="C4260" s="216" t="n">
        <v>94.05</v>
      </c>
      <c r="D4260" s="216" t="n">
        <v>1.114913940429688</v>
      </c>
      <c r="E4260" s="215" t="n">
        <v>46029</v>
      </c>
      <c r="F4260" s="215" t="n">
        <v>46029</v>
      </c>
    </row>
    <row r="4261">
      <c r="A4261" s="215" t="n">
        <v>46030</v>
      </c>
      <c r="B4261" s="216" t="n">
        <v>63.45</v>
      </c>
      <c r="C4261" s="216" t="n">
        <v>92.34</v>
      </c>
      <c r="D4261" s="216" t="n">
        <v>1.112563014030457</v>
      </c>
      <c r="E4261" s="215" t="n">
        <v>46030</v>
      </c>
      <c r="F4261" s="215" t="n">
        <v>46030</v>
      </c>
    </row>
    <row r="4262">
      <c r="A4262" s="215" t="n">
        <v>46031</v>
      </c>
      <c r="B4262" s="216" t="n">
        <v>61.8</v>
      </c>
      <c r="C4262" s="216" t="n">
        <v>92.95</v>
      </c>
      <c r="D4262" s="216" t="n">
        <v>1.115561008453369</v>
      </c>
      <c r="E4262" s="215" t="n">
        <v>46031</v>
      </c>
      <c r="F4262" s="215" t="n">
        <v>46031</v>
      </c>
    </row>
    <row r="4263">
      <c r="A4263" s="215" t="n">
        <v>46034</v>
      </c>
      <c r="B4263" s="216" t="n">
        <v>61.75</v>
      </c>
      <c r="C4263" s="216" t="n">
        <v>96</v>
      </c>
      <c r="D4263" s="216" t="n">
        <v>1.117015957832336</v>
      </c>
      <c r="E4263" s="215" t="n">
        <v>46034</v>
      </c>
      <c r="F4263" s="215" t="n">
        <v>46034</v>
      </c>
    </row>
    <row r="4264">
      <c r="A4264" s="215" t="n">
        <v>46035</v>
      </c>
      <c r="B4264" s="216" t="n">
        <v>59</v>
      </c>
      <c r="C4264" s="216" t="n">
        <v>90.8</v>
      </c>
      <c r="D4264" s="216" t="n">
        <v>1.117892026901245</v>
      </c>
      <c r="E4264" s="215" t="n">
        <v>46035</v>
      </c>
      <c r="F4264" s="215" t="n">
        <v>46035</v>
      </c>
    </row>
    <row r="4265">
      <c r="A4265" s="215" t="n">
        <v>46036</v>
      </c>
      <c r="B4265" s="216" t="n">
        <v>58.7</v>
      </c>
      <c r="C4265" s="216" t="n">
        <v>91.48999999999999</v>
      </c>
      <c r="D4265" s="216" t="n">
        <v>1.117897987365723</v>
      </c>
      <c r="E4265" s="215" t="n">
        <v>46036</v>
      </c>
      <c r="F4265" s="215" t="n">
        <v>46036</v>
      </c>
    </row>
    <row r="4266">
      <c r="A4266" s="215" t="n">
        <v>46037</v>
      </c>
      <c r="B4266" s="216" t="n">
        <v>59.65</v>
      </c>
      <c r="C4266" s="216" t="n">
        <v>92.66</v>
      </c>
      <c r="D4266" s="216" t="n">
        <v>1.118072032928467</v>
      </c>
      <c r="E4266" s="215" t="n">
        <v>46037</v>
      </c>
      <c r="F4266" s="215" t="n">
        <v>46037</v>
      </c>
    </row>
    <row r="4267">
      <c r="A4267" s="215" t="n">
        <v>46038</v>
      </c>
      <c r="B4267" s="216" t="n">
        <v>67.7</v>
      </c>
      <c r="C4267" s="216" t="n">
        <v>111.19</v>
      </c>
      <c r="D4267" s="216" t="n">
        <v>1.119040012359619</v>
      </c>
      <c r="E4267" s="215" t="n">
        <v>46038</v>
      </c>
      <c r="F4267" s="215" t="n">
        <v>46038</v>
      </c>
    </row>
    <row r="4268">
      <c r="A4268" s="215" t="n">
        <v>46041</v>
      </c>
      <c r="B4268" s="216" t="n">
        <v>69.05</v>
      </c>
      <c r="C4268" s="216" t="n">
        <v>109.43</v>
      </c>
      <c r="D4268" s="216" t="n">
        <v>1.118916034698486</v>
      </c>
      <c r="E4268" s="215" t="n">
        <v>46041</v>
      </c>
      <c r="F4268" s="215" t="n">
        <v>46041</v>
      </c>
    </row>
    <row r="4269">
      <c r="A4269" s="215" t="n">
        <v>46042</v>
      </c>
      <c r="B4269" s="216" t="n">
        <v>67.09999999999999</v>
      </c>
      <c r="C4269" s="216" t="n">
        <v>109.6</v>
      </c>
      <c r="D4269" s="216" t="n">
        <v>1.118687987327576</v>
      </c>
      <c r="E4269" s="215" t="n">
        <v>46042</v>
      </c>
      <c r="F4269" s="215" t="n">
        <v>46042</v>
      </c>
    </row>
    <row r="4270">
      <c r="A4270" s="215" t="n">
        <v>46043</v>
      </c>
      <c r="B4270" s="216" t="n">
        <v>69.75</v>
      </c>
      <c r="C4270" s="216" t="n">
        <v>114.64</v>
      </c>
      <c r="D4270" s="216" t="n">
        <v>1.12024998664856</v>
      </c>
      <c r="E4270" s="215" t="n">
        <v>46043</v>
      </c>
      <c r="F4270" s="215" t="n">
        <v>46043</v>
      </c>
    </row>
    <row r="4271">
      <c r="A4271" s="215" t="n">
        <v>46044</v>
      </c>
      <c r="B4271" s="216" t="n">
        <v>66.59999999999999</v>
      </c>
      <c r="C4271" s="216" t="n">
        <v>111.58</v>
      </c>
      <c r="D4271" s="216" t="n">
        <v>1.11942195892334</v>
      </c>
      <c r="E4271" s="215" t="n">
        <v>46044</v>
      </c>
      <c r="F4271" s="215" t="n">
        <v>46044</v>
      </c>
    </row>
    <row r="4272">
      <c r="A4272" s="215" t="n">
        <v>46045</v>
      </c>
      <c r="B4272" s="216" t="n">
        <v>67.34999999999999</v>
      </c>
      <c r="C4272" s="216" t="n">
        <v>111.9</v>
      </c>
      <c r="D4272" s="216" t="n">
        <v>1.117977976799011</v>
      </c>
      <c r="E4272" s="215" t="n">
        <v>46045</v>
      </c>
      <c r="F4272" s="215" t="n">
        <v>46045</v>
      </c>
    </row>
    <row r="4273">
      <c r="A4273" s="215" t="n">
        <v>46048</v>
      </c>
      <c r="B4273" s="216" t="n">
        <v>61.3</v>
      </c>
      <c r="C4273" s="216" t="n">
        <v>101.27</v>
      </c>
      <c r="D4273" s="216" t="n">
        <v>1.117916941642761</v>
      </c>
      <c r="E4273" s="215" t="n">
        <v>46048</v>
      </c>
      <c r="F4273" s="215" t="n">
        <v>46048</v>
      </c>
    </row>
    <row r="4274">
      <c r="A4274" s="215" t="n">
        <v>46049</v>
      </c>
      <c r="B4274" s="216" t="n">
        <v>59.35</v>
      </c>
      <c r="C4274" s="216" t="n">
        <v>96.87</v>
      </c>
      <c r="D4274" s="216" t="n">
        <v>1.121191024780273</v>
      </c>
      <c r="E4274" s="215" t="n">
        <v>46049</v>
      </c>
      <c r="F4274" s="215" t="n">
        <v>46049</v>
      </c>
    </row>
    <row r="4275">
      <c r="A4275" s="215" t="n">
        <v>46050</v>
      </c>
      <c r="B4275" s="216" t="n">
        <v>61.5</v>
      </c>
      <c r="C4275" s="216" t="n">
        <v>95.73999999999999</v>
      </c>
      <c r="D4275" s="216" t="n">
        <v>1.121533036231995</v>
      </c>
      <c r="E4275" s="215" t="n">
        <v>46050</v>
      </c>
      <c r="F4275" s="215" t="n">
        <v>46050</v>
      </c>
    </row>
    <row r="4276">
      <c r="A4276" s="215" t="n">
        <v>46051</v>
      </c>
      <c r="B4276" s="216" t="n">
        <v>58.65</v>
      </c>
      <c r="C4276" s="216" t="n">
        <v>89.31</v>
      </c>
      <c r="D4276" s="216" t="n">
        <v>1.121621966362</v>
      </c>
      <c r="E4276" s="215" t="n">
        <v>46051</v>
      </c>
      <c r="F4276" s="215" t="n">
        <v>46051</v>
      </c>
    </row>
    <row r="4277">
      <c r="A4277" s="215" t="n">
        <v>46052</v>
      </c>
      <c r="B4277" s="216" t="n">
        <v>55.6</v>
      </c>
      <c r="C4277" s="216" t="n">
        <v>87.22</v>
      </c>
      <c r="D4277" s="216" t="n">
        <v>1.123343944549561</v>
      </c>
      <c r="E4277" s="215" t="n">
        <v>46052</v>
      </c>
      <c r="F4277" s="215" t="n">
        <v>46052</v>
      </c>
    </row>
    <row r="4278">
      <c r="A4278" s="215" t="n">
        <v>46055</v>
      </c>
      <c r="B4278" s="216" t="n">
        <v>54.5</v>
      </c>
      <c r="C4278" s="216" t="n">
        <v>83.94</v>
      </c>
      <c r="D4278" s="216" t="n">
        <v>1.123572945594788</v>
      </c>
      <c r="E4278" s="215" t="n">
        <v>46055</v>
      </c>
      <c r="F4278" s="215" t="n">
        <v>46055</v>
      </c>
    </row>
    <row r="4279">
      <c r="A4279" s="215" t="n">
        <v>46056</v>
      </c>
      <c r="B4279" s="216" t="n">
        <v>59.4</v>
      </c>
      <c r="C4279" s="216" t="n">
        <v>89.98999999999999</v>
      </c>
      <c r="D4279" s="216" t="n">
        <v>1.124274969100952</v>
      </c>
      <c r="E4279" s="215" t="n">
        <v>46056</v>
      </c>
      <c r="F4279" s="215" t="n">
        <v>46056</v>
      </c>
    </row>
    <row r="4280">
      <c r="A4280" s="215" t="n">
        <v>46057</v>
      </c>
      <c r="B4280" s="216" t="n">
        <v>58.35</v>
      </c>
      <c r="C4280" s="216" t="n">
        <v>91.08</v>
      </c>
      <c r="D4280" s="216" t="n">
        <v>1.12601101398468</v>
      </c>
      <c r="E4280" s="215" t="n">
        <v>46057</v>
      </c>
      <c r="F4280" s="215" t="n">
        <v>46057</v>
      </c>
    </row>
    <row r="4281">
      <c r="A4281" s="215" t="n">
        <v>46058</v>
      </c>
      <c r="B4281" s="216" t="n">
        <v>58</v>
      </c>
      <c r="C4281" s="216" t="n">
        <v>93.58</v>
      </c>
      <c r="D4281" s="216" t="n">
        <v>1.125892996788025</v>
      </c>
      <c r="E4281" s="215" t="n">
        <v>46058</v>
      </c>
      <c r="F4281" s="215" t="n">
        <v>46058</v>
      </c>
    </row>
    <row r="4282">
      <c r="A4282" s="215" t="n">
        <v>46059</v>
      </c>
      <c r="B4282" s="216" t="n">
        <v>57.3</v>
      </c>
      <c r="C4282" s="216" t="n">
        <v>93.18000000000001</v>
      </c>
      <c r="D4282" s="216" t="n">
        <v>1.126062035560608</v>
      </c>
      <c r="E4282" s="215" t="n">
        <v>46059</v>
      </c>
      <c r="F4282" s="215" t="n">
        <v>46059</v>
      </c>
    </row>
    <row r="4283">
      <c r="A4283" s="215" t="n">
        <v>46062</v>
      </c>
      <c r="B4283" s="216" t="n">
        <v>60.15</v>
      </c>
      <c r="C4283" s="216" t="n">
        <v>96.48999999999999</v>
      </c>
      <c r="D4283" s="216" t="n">
        <v>1.125753998756409</v>
      </c>
      <c r="E4283" s="215" t="n">
        <v>46062</v>
      </c>
      <c r="F4283" s="215" t="n">
        <v>46062</v>
      </c>
    </row>
    <row r="4284">
      <c r="A4284" s="215" t="n">
        <v>46063</v>
      </c>
      <c r="B4284" s="216" t="n">
        <v>60</v>
      </c>
      <c r="C4284" s="216" t="n">
        <v>94.29000000000001</v>
      </c>
      <c r="D4284" s="216" t="n">
        <v>1.129003047943115</v>
      </c>
      <c r="E4284" s="215" t="n">
        <v>46063</v>
      </c>
      <c r="F4284" s="215" t="n">
        <v>46063</v>
      </c>
    </row>
    <row r="4285">
      <c r="A4285" s="215" t="n">
        <v>46064</v>
      </c>
      <c r="B4285" s="216" t="n">
        <v>58.7</v>
      </c>
      <c r="C4285" s="216" t="n">
        <v>92.19</v>
      </c>
      <c r="D4285" s="216" t="n">
        <v>1.130962014198303</v>
      </c>
      <c r="E4285" s="215" t="n">
        <v>46064</v>
      </c>
      <c r="F4285" s="215" t="n">
        <v>46064</v>
      </c>
    </row>
    <row r="4286">
      <c r="A4286" s="215" t="n">
        <v>46065</v>
      </c>
      <c r="B4286" s="216" t="n">
        <v>59.8</v>
      </c>
      <c r="C4286" s="216" t="n">
        <v>92.59999999999999</v>
      </c>
      <c r="D4286" s="216" t="n">
        <v>1.130671977996826</v>
      </c>
      <c r="E4286" s="215" t="n">
        <v>46065</v>
      </c>
      <c r="F4286" s="215" t="n">
        <v>46065</v>
      </c>
    </row>
    <row r="4287">
      <c r="A4287" s="215" t="n">
        <v>46066</v>
      </c>
      <c r="B4287" s="216" t="n">
        <v>57.9</v>
      </c>
      <c r="C4287" s="216" t="n">
        <v>91.23999999999999</v>
      </c>
      <c r="D4287" s="216" t="n">
        <v>1.132490992546082</v>
      </c>
      <c r="E4287" s="215" t="n">
        <v>46066</v>
      </c>
      <c r="F4287" s="215" t="n">
        <v>46066</v>
      </c>
    </row>
    <row r="4288">
      <c r="A4288" s="215" t="n">
        <v>46069</v>
      </c>
      <c r="B4288" s="216" t="n">
        <v>57.2</v>
      </c>
      <c r="C4288" s="216" t="n">
        <v>91.23999999999999</v>
      </c>
      <c r="D4288" s="216" t="n">
        <v>1.131224036216736</v>
      </c>
      <c r="E4288" s="215" t="n">
        <v>46066</v>
      </c>
      <c r="F4288" s="215" t="n">
        <v>46069</v>
      </c>
    </row>
    <row r="4289">
      <c r="A4289" s="215" t="n">
        <v>46073</v>
      </c>
      <c r="B4289" s="216" t="n">
        <v>57</v>
      </c>
      <c r="C4289" s="216" t="n">
        <v>91.23999999999999</v>
      </c>
      <c r="D4289" s="216" t="n">
        <v>1.131005048751831</v>
      </c>
      <c r="E4289" s="215" t="n">
        <v>46066</v>
      </c>
      <c r="F4289" s="215" t="n">
        <v>46073</v>
      </c>
    </row>
    <row r="4290">
      <c r="A4290" s="215" t="n">
        <v>46076</v>
      </c>
      <c r="B4290" s="216" t="n">
        <v>60</v>
      </c>
      <c r="C4290" s="216" t="n">
        <v>91.23999999999999</v>
      </c>
      <c r="D4290" s="216" t="n">
        <v>1.130877017974854</v>
      </c>
      <c r="E4290" s="215" t="n">
        <v>46066</v>
      </c>
      <c r="F4290" s="215" t="n">
        <v>46076</v>
      </c>
    </row>
    <row r="4291">
      <c r="A4291" s="215" t="n">
        <v>46077</v>
      </c>
      <c r="B4291" s="216" t="n">
        <v>64</v>
      </c>
      <c r="C4291" s="216" t="n">
        <v>94.22</v>
      </c>
      <c r="D4291" s="216" t="n">
        <v>1.131631016731262</v>
      </c>
      <c r="E4291" s="215" t="n">
        <v>46077</v>
      </c>
      <c r="F4291" s="215" t="n">
        <v>46077</v>
      </c>
    </row>
    <row r="4292">
      <c r="A4292" s="215" t="n">
        <v>46078</v>
      </c>
      <c r="B4292" s="216" t="n">
        <v>63.3</v>
      </c>
      <c r="C4292" s="216" t="n">
        <v>95.31999999999999</v>
      </c>
      <c r="D4292" s="216" t="n">
        <v>1.136234045028687</v>
      </c>
      <c r="E4292" s="215" t="n">
        <v>46078</v>
      </c>
      <c r="F4292" s="215" t="n">
        <v>46078</v>
      </c>
    </row>
    <row r="4293">
      <c r="A4293" s="215" t="n">
        <v>46079</v>
      </c>
      <c r="B4293" s="216" t="n">
        <v>67.40000000000001</v>
      </c>
      <c r="C4293" s="216" t="n">
        <v>96.45</v>
      </c>
      <c r="D4293" s="216" t="n">
        <v>1.138198971748352</v>
      </c>
      <c r="E4293" s="215" t="n">
        <v>46079</v>
      </c>
      <c r="F4293" s="215" t="n">
        <v>46079</v>
      </c>
    </row>
    <row r="4294">
      <c r="A4294" s="215" t="n">
        <v>46080</v>
      </c>
      <c r="B4294" s="216" t="n">
        <v>64.59999999999999</v>
      </c>
      <c r="C4294" s="216" t="n">
        <v>93.3</v>
      </c>
      <c r="D4294" s="216" t="n">
        <v>1.143396973609924</v>
      </c>
      <c r="E4294" s="215" t="n">
        <v>46080</v>
      </c>
      <c r="F4294" s="215" t="n">
        <v>46080</v>
      </c>
    </row>
    <row r="4295">
      <c r="A4295" s="215" t="n">
        <v>46083</v>
      </c>
      <c r="B4295" s="216" t="n">
        <v>60.6</v>
      </c>
      <c r="C4295" s="216" t="n">
        <v>89.45999999999999</v>
      </c>
      <c r="D4295" s="216" t="n">
        <v>1.140552043914795</v>
      </c>
      <c r="E4295" s="215" t="n">
        <v>46083</v>
      </c>
      <c r="F4295" s="215" t="n">
        <v>46083</v>
      </c>
    </row>
    <row r="4296">
      <c r="A4296" s="215" t="n">
        <v>46084</v>
      </c>
      <c r="B4296" s="216" t="n">
        <v>56.65</v>
      </c>
      <c r="C4296" s="216" t="n">
        <v>85.04000000000001</v>
      </c>
      <c r="D4296" s="216" t="n">
        <v>1.136399984359741</v>
      </c>
      <c r="E4296" s="215" t="n">
        <v>46084</v>
      </c>
      <c r="F4296" s="215" t="n">
        <v>46084</v>
      </c>
    </row>
    <row r="4297">
      <c r="A4297" s="215" t="n">
        <v>46085</v>
      </c>
      <c r="B4297" s="216" t="n">
        <v>53.3</v>
      </c>
      <c r="C4297" s="216" t="n">
        <v>82.37</v>
      </c>
      <c r="D4297" s="216" t="n">
        <v>1.130928993225098</v>
      </c>
      <c r="E4297" s="215" t="n">
        <v>46085</v>
      </c>
      <c r="F4297" s="215" t="n">
        <v>46085</v>
      </c>
    </row>
    <row r="4298">
      <c r="A4298" s="215" t="n">
        <v>46086</v>
      </c>
      <c r="B4298" s="216" t="n">
        <v>52.15</v>
      </c>
      <c r="C4298" s="216" t="n">
        <v>81.90000000000001</v>
      </c>
      <c r="D4298" s="216" t="n">
        <v>1.133169054985046</v>
      </c>
      <c r="E4298" s="215" t="n">
        <v>46086</v>
      </c>
      <c r="F4298" s="215" t="n">
        <v>46086</v>
      </c>
    </row>
    <row r="4299">
      <c r="A4299" s="215" t="n">
        <v>46087</v>
      </c>
      <c r="B4299" s="216" t="n">
        <v>53.1</v>
      </c>
      <c r="C4299" s="216" t="n">
        <v>81.17</v>
      </c>
      <c r="D4299" s="216" t="n">
        <v>1.133442044258118</v>
      </c>
      <c r="E4299" s="215" t="n">
        <v>46087</v>
      </c>
      <c r="F4299" s="215" t="n">
        <v>46087</v>
      </c>
    </row>
    <row r="4300">
      <c r="A4300" s="215" t="n">
        <v>46090</v>
      </c>
      <c r="B4300" s="216" t="n">
        <v>51</v>
      </c>
      <c r="C4300" s="216" t="n">
        <v>78.79000000000001</v>
      </c>
      <c r="D4300" s="216" t="n">
        <v>1.133231043815613</v>
      </c>
      <c r="E4300" s="215" t="n">
        <v>46090</v>
      </c>
      <c r="F4300" s="215" t="n">
        <v>46090</v>
      </c>
    </row>
    <row r="4301">
      <c r="A4301" s="215" t="n">
        <v>46091</v>
      </c>
      <c r="B4301" s="216" t="n">
        <v>54.7</v>
      </c>
      <c r="C4301" s="216" t="n">
        <v>80.88</v>
      </c>
      <c r="D4301" s="216" t="n">
        <v>1.131595015525818</v>
      </c>
      <c r="E4301" s="215" t="n">
        <v>46091</v>
      </c>
      <c r="F4301" s="215" t="n">
        <v>46091</v>
      </c>
    </row>
    <row r="4302">
      <c r="A4302" s="215" t="n">
        <v>46092</v>
      </c>
      <c r="B4302" s="216" t="n">
        <v>55.85</v>
      </c>
      <c r="C4302" s="216" t="n">
        <v>80.95</v>
      </c>
      <c r="D4302" s="216" t="n">
        <v>1.137585043907166</v>
      </c>
      <c r="E4302" s="215" t="n">
        <v>46092</v>
      </c>
      <c r="F4302" s="215" t="n">
        <v>46092</v>
      </c>
    </row>
    <row r="4303">
      <c r="A4303" s="215" t="n">
        <v>46093</v>
      </c>
      <c r="B4303" s="216" t="n">
        <v>55.45</v>
      </c>
      <c r="C4303" s="216" t="n">
        <v>83.08</v>
      </c>
      <c r="D4303" s="216" t="n">
        <v>1.139600038528442</v>
      </c>
      <c r="E4303" s="215" t="n">
        <v>46093</v>
      </c>
      <c r="F4303" s="215" t="n">
        <v>46093</v>
      </c>
    </row>
    <row r="4304">
      <c r="A4304" s="215" t="n">
        <v>46094</v>
      </c>
      <c r="B4304" s="216" t="n">
        <v>53.9</v>
      </c>
      <c r="C4304" s="216" t="n">
        <v>82.91</v>
      </c>
      <c r="D4304" s="216" t="n">
        <v>1.139310002326965</v>
      </c>
      <c r="E4304" s="215" t="n">
        <v>46094</v>
      </c>
      <c r="F4304" s="215" t="n">
        <v>46094</v>
      </c>
    </row>
    <row r="4305">
      <c r="A4305" s="215" t="n">
        <v>46097</v>
      </c>
      <c r="B4305" s="216" t="n">
        <v>56.1</v>
      </c>
      <c r="C4305" s="216" t="n">
        <v>86</v>
      </c>
      <c r="D4305" s="216" t="n">
        <v>1.134883999824524</v>
      </c>
      <c r="E4305" s="215" t="n">
        <v>46097</v>
      </c>
      <c r="F4305" s="215" t="n">
        <v>46097</v>
      </c>
    </row>
    <row r="4306">
      <c r="A4306" s="215" t="n">
        <v>46098</v>
      </c>
      <c r="B4306" s="216" t="n">
        <v>53.6</v>
      </c>
      <c r="C4306" s="216" t="n">
        <v>80.93000000000001</v>
      </c>
      <c r="D4306" s="216" t="n">
        <v>1.125375986099243</v>
      </c>
      <c r="E4306" s="215" t="n">
        <v>46098</v>
      </c>
      <c r="F4306" s="215" t="n">
        <v>46098</v>
      </c>
    </row>
    <row r="4307">
      <c r="A4307" s="215" t="n">
        <v>46099</v>
      </c>
      <c r="B4307" s="216" t="n">
        <v>52.8</v>
      </c>
      <c r="C4307" s="216" t="n">
        <v>81.11</v>
      </c>
      <c r="D4307" s="216" t="n">
        <v>1.137819051742554</v>
      </c>
      <c r="E4307" s="215" t="n">
        <v>46099</v>
      </c>
      <c r="F4307" s="215" t="n">
        <v>46099</v>
      </c>
    </row>
    <row r="4308">
      <c r="A4308" s="215" t="n">
        <v>46100</v>
      </c>
      <c r="B4308" s="216" t="n">
        <v>49.46</v>
      </c>
      <c r="C4308" s="216" t="n">
        <v>79</v>
      </c>
      <c r="D4308" s="216" t="n">
        <v>1.140079021453857</v>
      </c>
      <c r="E4308" s="215" t="n">
        <v>46100</v>
      </c>
      <c r="F4308" s="215" t="n">
        <v>46100</v>
      </c>
    </row>
    <row r="4309">
      <c r="A4309" s="215" t="n">
        <v>46101</v>
      </c>
      <c r="B4309" s="216" t="n">
        <v>49.28</v>
      </c>
      <c r="C4309" s="216" t="n">
        <v>78.13</v>
      </c>
      <c r="D4309" s="216" t="n">
        <v>1.13490903377533</v>
      </c>
      <c r="E4309" s="215" t="n">
        <v>46101</v>
      </c>
      <c r="F4309" s="215" t="n">
        <v>46101</v>
      </c>
    </row>
    <row r="4310">
      <c r="A4310" s="215" t="n">
        <v>46104</v>
      </c>
      <c r="B4310" s="216" t="n">
        <v>46.12</v>
      </c>
      <c r="C4310" s="216" t="n">
        <v>73.3</v>
      </c>
      <c r="D4310" s="216" t="n">
        <v>1.137529969215393</v>
      </c>
      <c r="E4310" s="215" t="n">
        <v>46104</v>
      </c>
      <c r="F4310" s="215" t="n">
        <v>46104</v>
      </c>
    </row>
    <row r="4311">
      <c r="A4311" s="215" t="n">
        <v>46105</v>
      </c>
      <c r="B4311" s="216" t="n">
        <v>47.76</v>
      </c>
      <c r="C4311" s="216" t="n">
        <v>74.59999999999999</v>
      </c>
      <c r="D4311" s="216" t="n">
        <v>1.138481974601746</v>
      </c>
      <c r="E4311" s="215" t="n">
        <v>46105</v>
      </c>
      <c r="F4311" s="215" t="n">
        <v>46105</v>
      </c>
    </row>
    <row r="4312">
      <c r="A4312" s="215" t="n">
        <v>46106</v>
      </c>
      <c r="B4312" s="216" t="n">
        <v>48.7</v>
      </c>
      <c r="C4312" s="216" t="n">
        <v>77.92</v>
      </c>
      <c r="D4312" s="216" t="n">
        <v>1.135548949241638</v>
      </c>
      <c r="E4312" s="215" t="n">
        <v>46106</v>
      </c>
      <c r="F4312" s="215" t="n">
        <v>46106</v>
      </c>
    </row>
    <row r="4313">
      <c r="A4313" s="215" t="n">
        <v>46107</v>
      </c>
      <c r="B4313" s="216" t="n">
        <v>46.84</v>
      </c>
      <c r="C4313" s="216" t="n">
        <v>78.02</v>
      </c>
      <c r="D4313" s="216" t="n">
        <v>1.132627010345459</v>
      </c>
      <c r="E4313" s="215" t="n">
        <v>46107</v>
      </c>
      <c r="F4313" s="215" t="n">
        <v>46107</v>
      </c>
    </row>
    <row r="4314">
      <c r="A4314" s="215" t="n">
        <v>46108</v>
      </c>
      <c r="B4314" s="216" t="n">
        <v>47.28</v>
      </c>
      <c r="C4314" s="216" t="n">
        <v>78.23999999999999</v>
      </c>
      <c r="D4314" s="216" t="n">
        <v>1.132115960121155</v>
      </c>
      <c r="E4314" s="215" t="n">
        <v>46108</v>
      </c>
      <c r="F4314" s="215" t="n">
        <v>46108</v>
      </c>
    </row>
    <row r="4315">
      <c r="A4315" s="215" t="n">
        <v>46111</v>
      </c>
      <c r="B4315" s="216" t="n">
        <v>48.36</v>
      </c>
      <c r="C4315" s="216" t="n">
        <v>79.42</v>
      </c>
      <c r="D4315" s="216" t="n">
        <v>1.13311505317688</v>
      </c>
      <c r="E4315" s="215" t="n">
        <v>46111</v>
      </c>
      <c r="F4315" s="215" t="n">
        <v>46111</v>
      </c>
    </row>
    <row r="4316">
      <c r="A4316" s="215" t="n">
        <v>46112</v>
      </c>
      <c r="B4316" s="216" t="n">
        <v>48.78</v>
      </c>
      <c r="C4316" s="216" t="n">
        <v>81.90000000000001</v>
      </c>
      <c r="D4316" s="216" t="n">
        <v>1.133540987968445</v>
      </c>
      <c r="E4316" s="215" t="n">
        <v>46112</v>
      </c>
      <c r="F4316" s="215" t="n">
        <v>46112</v>
      </c>
    </row>
    <row r="4317">
      <c r="A4317" s="215" t="n">
        <v>46113</v>
      </c>
      <c r="B4317" s="216" t="n">
        <v>51.3</v>
      </c>
      <c r="C4317" s="216" t="n">
        <v>86.8</v>
      </c>
      <c r="D4317" s="216" t="n">
        <v>1.136669993400574</v>
      </c>
      <c r="E4317" s="215" t="n">
        <v>46113</v>
      </c>
      <c r="F4317" s="215" t="n">
        <v>46113</v>
      </c>
    </row>
    <row r="4318">
      <c r="A4318" s="215" t="n">
        <v>46114</v>
      </c>
      <c r="B4318" s="216" t="n">
        <v>49.86</v>
      </c>
      <c r="C4318" s="216" t="n">
        <v>85.55</v>
      </c>
      <c r="D4318" s="216" t="n">
        <v>1.140197992324829</v>
      </c>
      <c r="E4318" s="215" t="n">
        <v>46114</v>
      </c>
      <c r="F4318" s="215" t="n">
        <v>46114</v>
      </c>
    </row>
    <row r="4319">
      <c r="A4319" s="215" t="n">
        <v>46120</v>
      </c>
      <c r="B4319" s="216" t="n">
        <v>56.05</v>
      </c>
      <c r="C4319" s="216" t="n">
        <v>91.62</v>
      </c>
      <c r="D4319" s="216" t="n">
        <v>1.1423499584198</v>
      </c>
      <c r="E4319" s="215" t="n">
        <v>46120</v>
      </c>
      <c r="F4319" s="215" t="n">
        <v>46120</v>
      </c>
    </row>
    <row r="4320">
      <c r="A4320" s="215" t="n">
        <v>46121</v>
      </c>
      <c r="B4320" s="216" t="n">
        <v>56.1</v>
      </c>
      <c r="C4320" s="216" t="n">
        <v>90.28</v>
      </c>
      <c r="D4320" s="216" t="n">
        <v>1.146731972694397</v>
      </c>
      <c r="E4320" s="215" t="n">
        <v>46121</v>
      </c>
      <c r="F4320" s="215" t="n">
        <v>46121</v>
      </c>
    </row>
    <row r="4321">
      <c r="A4321" s="215" t="n">
        <v>46122</v>
      </c>
      <c r="B4321" s="216" t="n">
        <v>58.25</v>
      </c>
      <c r="C4321" s="216" t="n">
        <v>96.90000000000001</v>
      </c>
      <c r="D4321" s="216" t="n">
        <v>1.146558046340942</v>
      </c>
      <c r="E4321" s="215" t="n">
        <v>46122</v>
      </c>
      <c r="F4321" s="215" t="n">
        <v>46122</v>
      </c>
    </row>
    <row r="4322">
      <c r="A4322" s="215" t="n">
        <v>46125</v>
      </c>
      <c r="B4322" s="216" t="n">
        <v>57.5</v>
      </c>
      <c r="C4322" s="216" t="n">
        <v>93.31999999999999</v>
      </c>
      <c r="D4322" s="216" t="n">
        <v>1.147117972373962</v>
      </c>
      <c r="E4322" s="215" t="n">
        <v>46125</v>
      </c>
      <c r="F4322" s="215" t="n">
        <v>46125</v>
      </c>
    </row>
    <row r="4323">
      <c r="A4323" s="215" t="n">
        <v>46126</v>
      </c>
      <c r="B4323" s="216" t="n">
        <v>56.7</v>
      </c>
      <c r="C4323" s="216" t="n">
        <v>92.44</v>
      </c>
      <c r="D4323" s="216" t="n">
        <v>1.146226048469543</v>
      </c>
      <c r="E4323" s="215" t="n">
        <v>46126</v>
      </c>
      <c r="F4323" s="215" t="n">
        <v>46126</v>
      </c>
    </row>
    <row r="4324">
      <c r="A4324" s="215" t="n">
        <v>46127</v>
      </c>
      <c r="B4324" s="216" t="n">
        <v>55.45</v>
      </c>
      <c r="C4324" s="216" t="n">
        <v>90.47</v>
      </c>
      <c r="D4324" s="216" t="n">
        <v>1.149266004562378</v>
      </c>
      <c r="E4324" s="215" t="n">
        <v>46127</v>
      </c>
      <c r="F4324" s="215" t="n">
        <v>46127</v>
      </c>
    </row>
    <row r="4325">
      <c r="A4325" s="215" t="n">
        <v>46128</v>
      </c>
      <c r="B4325" s="216" t="n">
        <v>58</v>
      </c>
      <c r="C4325" s="216" t="n">
        <v>91.70999999999999</v>
      </c>
      <c r="D4325" s="216" t="n">
        <v>1.148550033569336</v>
      </c>
      <c r="E4325" s="215" t="n">
        <v>46128</v>
      </c>
      <c r="F4325" s="215" t="n">
        <v>46128</v>
      </c>
    </row>
    <row r="4326">
      <c r="A4326" s="215" t="n">
        <v>46129</v>
      </c>
      <c r="B4326" s="216" t="n">
        <v>63.1</v>
      </c>
      <c r="C4326" s="216" t="n">
        <v>95.2</v>
      </c>
      <c r="D4326" s="216" t="n">
        <v>1.146605014801025</v>
      </c>
      <c r="E4326" s="215" t="n">
        <v>46129</v>
      </c>
      <c r="F4326" s="215" t="n">
        <v>46129</v>
      </c>
    </row>
    <row r="4327">
      <c r="A4327" s="215" t="n">
        <v>46132</v>
      </c>
      <c r="B4327" s="216" t="n">
        <v>61.45</v>
      </c>
      <c r="C4327" s="216" t="n">
        <v>97.81999999999999</v>
      </c>
      <c r="D4327" s="216" t="n">
        <v>1.148360967636108</v>
      </c>
      <c r="E4327" s="215" t="n">
        <v>46132</v>
      </c>
      <c r="F4327" s="215" t="n">
        <v>46132</v>
      </c>
    </row>
    <row r="4328">
      <c r="A4328" s="215" t="n">
        <v>46133</v>
      </c>
      <c r="B4328" s="216" t="n">
        <v>61.05</v>
      </c>
      <c r="C4328" s="216" t="n">
        <v>96.54000000000001</v>
      </c>
      <c r="D4328" s="216" t="n">
        <v>1.148368000984192</v>
      </c>
      <c r="E4328" s="215" t="n">
        <v>46133</v>
      </c>
      <c r="F4328" s="215" t="n">
        <v>46133</v>
      </c>
    </row>
    <row r="4329">
      <c r="A4329" s="215" t="n">
        <v>46134</v>
      </c>
      <c r="B4329" s="216" t="n">
        <v>62.5</v>
      </c>
      <c r="C4329" s="216" t="n">
        <v>103.36</v>
      </c>
      <c r="D4329" s="216" t="n">
        <v>1.147838950157166</v>
      </c>
      <c r="E4329" s="215" t="n">
        <v>46134</v>
      </c>
      <c r="F4329" s="215" t="n">
        <v>46134</v>
      </c>
    </row>
    <row r="4330">
      <c r="A4330" s="215" t="n">
        <v>46135</v>
      </c>
      <c r="B4330" s="216" t="n">
        <v>64.34999999999999</v>
      </c>
      <c r="C4330" s="216" t="n">
        <v>107.41</v>
      </c>
      <c r="D4330" s="216" t="n">
        <v>1.147513031959534</v>
      </c>
      <c r="E4330" s="215" t="n">
        <v>46135</v>
      </c>
      <c r="F4330" s="215" t="n">
        <v>46135</v>
      </c>
    </row>
    <row r="4331">
      <c r="A4331" s="215" t="n">
        <v>46136</v>
      </c>
      <c r="B4331" s="216" t="n">
        <v>63.3</v>
      </c>
      <c r="C4331" s="216" t="n">
        <v>105.55</v>
      </c>
      <c r="D4331" s="216" t="n">
        <v>1.147369027137756</v>
      </c>
      <c r="E4331" s="215" t="n">
        <v>46136</v>
      </c>
      <c r="F4331" s="215" t="n">
        <v>46136</v>
      </c>
    </row>
    <row r="4332">
      <c r="A4332" s="215" t="n">
        <v>46139</v>
      </c>
      <c r="B4332" s="216" t="n">
        <v>64.90000000000001</v>
      </c>
      <c r="C4332" s="216" t="n">
        <v>107.7</v>
      </c>
      <c r="D4332" s="216" t="n">
        <v>1.146002054214478</v>
      </c>
      <c r="E4332" s="215" t="n">
        <v>46139</v>
      </c>
      <c r="F4332" s="215" t="n">
        <v>46139</v>
      </c>
    </row>
    <row r="4333">
      <c r="A4333" s="215" t="n">
        <v>46140</v>
      </c>
      <c r="B4333" s="216" t="n">
        <v>62.7</v>
      </c>
      <c r="C4333" s="216" t="n">
        <v>104.62</v>
      </c>
      <c r="D4333" s="216" t="n">
        <v>1.148522019386292</v>
      </c>
      <c r="E4333" s="215" t="n">
        <v>46140</v>
      </c>
      <c r="F4333" s="215" t="n">
        <v>46140</v>
      </c>
    </row>
    <row r="4334">
      <c r="A4334" s="215" t="n">
        <v>46141</v>
      </c>
      <c r="B4334" s="216" t="n">
        <v>62.7</v>
      </c>
      <c r="C4334" s="216" t="n">
        <v>105.22</v>
      </c>
      <c r="D4334" s="216" t="n">
        <v>1.145936012268066</v>
      </c>
      <c r="E4334" s="215" t="n">
        <v>46141</v>
      </c>
      <c r="F4334" s="215" t="n">
        <v>46141</v>
      </c>
    </row>
    <row r="4335">
      <c r="A4335" s="215" t="n">
        <v>46142</v>
      </c>
      <c r="B4335" s="216" t="n">
        <v>58.95</v>
      </c>
      <c r="C4335" s="216" t="n">
        <v>101</v>
      </c>
      <c r="D4335" s="216" t="n">
        <v>1.145792007446289</v>
      </c>
      <c r="E4335" s="215" t="n">
        <v>46142</v>
      </c>
      <c r="F4335" s="215" t="n">
        <v>46142</v>
      </c>
    </row>
    <row r="4336">
      <c r="A4336" s="215" t="n">
        <v>46146</v>
      </c>
      <c r="B4336" s="216" t="n">
        <v>65.7</v>
      </c>
      <c r="C4336" s="216" t="n">
        <v>101</v>
      </c>
      <c r="D4336" s="216" t="n">
        <v>1.147340059280396</v>
      </c>
      <c r="E4336" s="215" t="n">
        <v>46142</v>
      </c>
      <c r="F4336" s="215" t="n">
        <v>46146</v>
      </c>
    </row>
    <row r="4337">
      <c r="A4337" s="215" t="n">
        <v>46147</v>
      </c>
      <c r="B4337" s="216" t="n">
        <v>64.40000000000001</v>
      </c>
      <c r="C4337" s="216" t="n">
        <v>101</v>
      </c>
      <c r="D4337" s="216" t="n">
        <v>1.146813988685608</v>
      </c>
      <c r="E4337" s="215" t="n">
        <v>46142</v>
      </c>
      <c r="F4337" s="215" t="n">
        <v>46147</v>
      </c>
    </row>
    <row r="4338">
      <c r="A4338" s="215" t="n">
        <v>46148</v>
      </c>
      <c r="B4338" s="216" t="n">
        <v>68.65000000000001</v>
      </c>
      <c r="C4338" s="216" t="n">
        <v>109.66</v>
      </c>
      <c r="D4338" s="216" t="n">
        <v>1.14708399772644</v>
      </c>
      <c r="E4338" s="215" t="n">
        <v>46148</v>
      </c>
      <c r="F4338" s="215" t="n">
        <v>46148</v>
      </c>
    </row>
    <row r="4339">
      <c r="A4339" s="215" t="n">
        <v>46149</v>
      </c>
      <c r="B4339" s="216" t="n">
        <v>70.15000000000001</v>
      </c>
      <c r="C4339" s="216" t="n">
        <v>111.12</v>
      </c>
      <c r="D4339" s="216" t="n">
        <v>1.150125026702881</v>
      </c>
      <c r="E4339" s="215" t="n">
        <v>46149</v>
      </c>
      <c r="F4339" s="215" t="n">
        <v>46149</v>
      </c>
    </row>
    <row r="4340">
      <c r="A4340" s="215" t="n">
        <v>46150</v>
      </c>
      <c r="B4340" s="216" t="n">
        <v>70.5</v>
      </c>
      <c r="C4340" s="216" t="n">
        <v>108.66</v>
      </c>
      <c r="D4340" s="216" t="n">
        <v>1.15172004699707</v>
      </c>
      <c r="E4340" s="215" t="n">
        <v>46150</v>
      </c>
      <c r="F4340" s="215" t="n">
        <v>46150</v>
      </c>
    </row>
    <row r="4341">
      <c r="A4341" s="215" t="n">
        <v>46153</v>
      </c>
      <c r="B4341" s="216" t="n">
        <v>88.55</v>
      </c>
      <c r="C4341" s="216" t="n">
        <v>125.25</v>
      </c>
      <c r="D4341" s="216" t="n">
        <v>1.151090025901794</v>
      </c>
      <c r="E4341" s="215" t="n">
        <v>46153</v>
      </c>
      <c r="F4341" s="215" t="n">
        <v>46153</v>
      </c>
    </row>
    <row r="4342">
      <c r="A4342" s="215" t="n">
        <v>46154</v>
      </c>
      <c r="B4342" s="216" t="n">
        <v>97.2</v>
      </c>
      <c r="C4342" s="216" t="n">
        <v>130.01</v>
      </c>
      <c r="D4342" s="216" t="n">
        <v>1.152078986167908</v>
      </c>
      <c r="E4342" s="215" t="n">
        <v>46154</v>
      </c>
      <c r="F4342" s="215" t="n">
        <v>46154</v>
      </c>
    </row>
    <row r="4343">
      <c r="A4343" s="215" t="n">
        <v>46155</v>
      </c>
      <c r="B4343" s="216" t="n">
        <v>108.8</v>
      </c>
      <c r="C4343" s="216" t="n">
        <v>146.63</v>
      </c>
      <c r="D4343" s="216" t="n">
        <v>1.152537941932678</v>
      </c>
      <c r="E4343" s="215" t="n">
        <v>46155</v>
      </c>
      <c r="F4343" s="215" t="n">
        <v>46155</v>
      </c>
    </row>
    <row r="4344">
      <c r="A4344" s="215" t="n">
        <v>46156</v>
      </c>
      <c r="B4344" s="216" t="n">
        <v>128.7</v>
      </c>
      <c r="C4344" s="216" t="n">
        <v>169</v>
      </c>
      <c r="D4344" s="216" t="n">
        <v>1.152662992477417</v>
      </c>
      <c r="E4344" s="215" t="n">
        <v>46156</v>
      </c>
      <c r="F4344" s="215" t="n">
        <v>46156</v>
      </c>
    </row>
    <row r="4345">
      <c r="A4345" s="215" t="n">
        <v>46157</v>
      </c>
      <c r="B4345" s="216" t="n">
        <v>115.2</v>
      </c>
      <c r="C4345" s="216" t="n">
        <v>158.8</v>
      </c>
      <c r="D4345" s="216" t="n">
        <v>1.154320001602173</v>
      </c>
      <c r="E4345" s="215" t="n">
        <v>46157</v>
      </c>
      <c r="F4345" s="215" t="n">
        <v>46157</v>
      </c>
    </row>
    <row r="4346">
      <c r="A4346" s="215" t="n">
        <v>46160</v>
      </c>
      <c r="B4346" s="216" t="n">
        <v>109.9</v>
      </c>
      <c r="C4346" s="216" t="n">
        <v>149.84</v>
      </c>
      <c r="D4346" s="216" t="n">
        <v>1.149821996688843</v>
      </c>
      <c r="E4346" s="215" t="n">
        <v>46160</v>
      </c>
      <c r="F4346" s="215" t="n">
        <v>46160</v>
      </c>
    </row>
    <row r="4347">
      <c r="A4347" s="215" t="n">
        <v>46161</v>
      </c>
      <c r="B4347" s="216" t="n">
        <v>104.1</v>
      </c>
      <c r="C4347" s="216" t="n">
        <v>148.76</v>
      </c>
      <c r="D4347" s="216" t="n">
        <v>1.151532053947449</v>
      </c>
      <c r="E4347" s="215" t="n">
        <v>46161</v>
      </c>
      <c r="F4347" s="215" t="n">
        <v>46161</v>
      </c>
    </row>
    <row r="4348">
      <c r="A4348" s="215" t="n">
        <v>46162</v>
      </c>
      <c r="B4348" s="216" t="n">
        <v>111.9</v>
      </c>
      <c r="C4348" s="216" t="n">
        <v>155.1</v>
      </c>
      <c r="D4348" s="216" t="n">
        <v>1.149292945861816</v>
      </c>
      <c r="E4348" s="215" t="n">
        <v>46162</v>
      </c>
      <c r="F4348" s="215" t="n">
        <v>46162</v>
      </c>
    </row>
    <row r="4349">
      <c r="A4349" s="215" t="n">
        <v>46163</v>
      </c>
      <c r="B4349" s="216" t="n">
        <v>96.45</v>
      </c>
      <c r="C4349" s="216" t="n">
        <v>139.61</v>
      </c>
      <c r="D4349" s="216" t="n">
        <v>1.151231050491333</v>
      </c>
      <c r="E4349" s="215" t="n">
        <v>46163</v>
      </c>
      <c r="F4349" s="215" t="n">
        <v>46163</v>
      </c>
    </row>
    <row r="4350">
      <c r="A4350" s="215" t="n">
        <v>46164</v>
      </c>
      <c r="B4350" s="216" t="n">
        <v>109.7</v>
      </c>
      <c r="C4350" s="216" t="n">
        <v>153.74</v>
      </c>
      <c r="D4350" s="216" t="n">
        <v>1.151487946510315</v>
      </c>
      <c r="E4350" s="215" t="n">
        <v>46164</v>
      </c>
      <c r="F4350" s="215" t="n">
        <v>46164</v>
      </c>
    </row>
    <row r="4351">
      <c r="A4351" s="215" t="n">
        <v>46168</v>
      </c>
      <c r="B4351" s="216" t="n">
        <v>109.1</v>
      </c>
      <c r="C4351" s="216" t="n">
        <v>154</v>
      </c>
      <c r="D4351" s="216" t="n">
        <v>1.152968049049377</v>
      </c>
      <c r="E4351" s="215" t="n">
        <v>46168</v>
      </c>
      <c r="F4351" s="215" t="n">
        <v>46168</v>
      </c>
    </row>
    <row r="4352">
      <c r="A4352" s="215" t="n">
        <v>46169</v>
      </c>
      <c r="B4352" s="216" t="n">
        <v>127.4</v>
      </c>
      <c r="C4352" s="216" t="n">
        <v>166.99</v>
      </c>
      <c r="D4352" s="216" t="n">
        <v>1.154562950134277</v>
      </c>
      <c r="E4352" s="215" t="n">
        <v>46169</v>
      </c>
      <c r="F4352" s="215" t="n">
        <v>46169</v>
      </c>
    </row>
    <row r="4353">
      <c r="A4353" s="215" t="n">
        <v>46170</v>
      </c>
      <c r="B4353" s="216" t="n">
        <v>122.2</v>
      </c>
      <c r="C4353" s="216" t="n">
        <v>163.55</v>
      </c>
      <c r="D4353" s="216" t="n">
        <v>1.155385971069336</v>
      </c>
      <c r="E4353" s="215" t="n">
        <v>46170</v>
      </c>
      <c r="F4353" s="215" t="n">
        <v>46170</v>
      </c>
    </row>
    <row r="4354">
      <c r="A4354" s="215" t="n">
        <v>46171</v>
      </c>
      <c r="B4354" s="216" t="n">
        <v>108.6</v>
      </c>
      <c r="C4354" s="216" t="n">
        <v>147.1</v>
      </c>
      <c r="D4354" s="216" t="n">
        <v>1.155282974243164</v>
      </c>
      <c r="E4354" s="215" t="n">
        <v>46171</v>
      </c>
      <c r="F4354" s="215" t="n">
        <v>46171</v>
      </c>
    </row>
    <row r="4355">
      <c r="A4355" s="215" t="n">
        <v>46174</v>
      </c>
      <c r="B4355" s="216" t="n">
        <v>101.2</v>
      </c>
      <c r="C4355" s="216" t="n">
        <v>135.98</v>
      </c>
      <c r="D4355" s="216" t="n">
        <v>1.158049941062927</v>
      </c>
      <c r="E4355" s="215" t="n">
        <v>46174</v>
      </c>
      <c r="F4355" s="215" t="n">
        <v>46174</v>
      </c>
    </row>
    <row r="4356">
      <c r="A4356" s="215" t="n">
        <v>46175</v>
      </c>
      <c r="B4356" s="216" t="n">
        <v>97.5</v>
      </c>
      <c r="C4356" s="216" t="n">
        <v>135</v>
      </c>
      <c r="D4356" s="216" t="n">
        <v>1.158406972885132</v>
      </c>
      <c r="E4356" s="215" t="n">
        <v>46175</v>
      </c>
      <c r="F4356" s="215" t="n">
        <v>46175</v>
      </c>
    </row>
    <row r="4357">
      <c r="A4357" s="215" t="n">
        <v>46176</v>
      </c>
      <c r="B4357" s="216" t="n">
        <v>100.8</v>
      </c>
      <c r="C4357" s="216" t="n">
        <v>136.42</v>
      </c>
      <c r="D4357" s="216" t="n">
        <v>1.15879499912262</v>
      </c>
      <c r="E4357" s="215" t="n">
        <v>46176</v>
      </c>
      <c r="F4357" s="215" t="n">
        <v>46176</v>
      </c>
    </row>
    <row r="4358">
      <c r="A4358" s="215" t="n">
        <v>46177</v>
      </c>
      <c r="B4358" s="216" t="n">
        <v>104.9</v>
      </c>
      <c r="C4358" s="216" t="n">
        <v>139.1</v>
      </c>
      <c r="D4358" s="216" t="n">
        <v>1.157420039176941</v>
      </c>
      <c r="E4358" s="215" t="n">
        <v>46177</v>
      </c>
      <c r="F4358" s="215" t="n">
        <v>46177</v>
      </c>
    </row>
    <row r="4359">
      <c r="A4359" s="215" t="n">
        <v>46178</v>
      </c>
      <c r="B4359" s="216" t="n">
        <v>95.59999999999999</v>
      </c>
      <c r="C4359" s="216" t="n">
        <v>130.93</v>
      </c>
      <c r="D4359" s="216" t="n">
        <v>1.156491994857788</v>
      </c>
      <c r="E4359" s="215" t="n">
        <v>46178</v>
      </c>
      <c r="F4359" s="215" t="n">
        <v>46178</v>
      </c>
    </row>
    <row r="4360">
      <c r="A4360" s="215" t="n">
        <v>46181</v>
      </c>
      <c r="B4360" s="216" t="n">
        <v>89.90000000000001</v>
      </c>
      <c r="C4360" s="216" t="n">
        <v>121.7</v>
      </c>
      <c r="D4360" s="216" t="n">
        <v>1.157665967941284</v>
      </c>
      <c r="E4360" s="215" t="n">
        <v>46181</v>
      </c>
      <c r="F4360" s="215" t="n">
        <v>46181</v>
      </c>
    </row>
    <row r="4361">
      <c r="A4361" s="215" t="n">
        <v>46182</v>
      </c>
      <c r="B4361" s="216" t="n">
        <v>97.59999999999999</v>
      </c>
      <c r="C4361" s="216" t="n">
        <v>137.06</v>
      </c>
      <c r="D4361" s="216" t="n">
        <v>1.158027052879333</v>
      </c>
      <c r="E4361" s="215" t="n">
        <v>46182</v>
      </c>
      <c r="F4361" s="215" t="n">
        <v>46182</v>
      </c>
    </row>
    <row r="4362">
      <c r="A4362" s="215" t="n">
        <v>46183</v>
      </c>
      <c r="B4362" s="216" t="n">
        <v>80.90000000000001</v>
      </c>
      <c r="C4362" s="216" t="n">
        <v>125.1</v>
      </c>
      <c r="D4362" s="216" t="n">
        <v>1.157112002372742</v>
      </c>
      <c r="E4362" s="215" t="n">
        <v>46183</v>
      </c>
      <c r="F4362" s="215" t="n">
        <v>46183</v>
      </c>
    </row>
    <row r="4363">
      <c r="A4363" s="215" t="n">
        <v>46184</v>
      </c>
      <c r="B4363" s="216" t="n">
        <v>86.15000000000001</v>
      </c>
      <c r="C4363" s="216" t="n">
        <v>125.93</v>
      </c>
      <c r="D4363" s="216" t="n">
        <v>1.156929016113281</v>
      </c>
      <c r="E4363" s="215" t="n">
        <v>46184</v>
      </c>
      <c r="F4363" s="215" t="n">
        <v>46184</v>
      </c>
    </row>
    <row r="4364">
      <c r="A4364" s="215" t="n">
        <v>46185</v>
      </c>
      <c r="B4364" s="216" t="n">
        <v>84.5</v>
      </c>
      <c r="C4364" s="216" t="n">
        <v>123.7</v>
      </c>
      <c r="D4364" s="216" t="n">
        <v>1.156345963478088</v>
      </c>
      <c r="E4364" s="215" t="n">
        <v>46185</v>
      </c>
      <c r="F4364" s="215" t="n">
        <v>46185</v>
      </c>
    </row>
    <row r="4365">
      <c r="A4365" s="215" t="n">
        <v>46188</v>
      </c>
      <c r="B4365" s="216" t="n">
        <v>93.45</v>
      </c>
      <c r="C4365" s="216" t="n">
        <v>134.97</v>
      </c>
      <c r="D4365" s="216" t="n">
        <v>1.156880021095276</v>
      </c>
      <c r="E4365" s="215" t="n">
        <v>46188</v>
      </c>
      <c r="F4365" s="215" t="n">
        <v>46188</v>
      </c>
    </row>
    <row r="4366">
      <c r="A4366" s="215" t="n">
        <v>46189</v>
      </c>
      <c r="B4366" s="216" t="n">
        <v>93.40000000000001</v>
      </c>
      <c r="C4366" s="216" t="n">
        <v>140.7</v>
      </c>
      <c r="D4366" s="216" t="n">
        <v>1.158604025840759</v>
      </c>
      <c r="E4366" s="215" t="n">
        <v>46189</v>
      </c>
      <c r="F4366" s="215" t="n">
        <v>46189</v>
      </c>
    </row>
    <row r="4367">
      <c r="A4367" s="215" t="n">
        <v>46190</v>
      </c>
      <c r="B4367" s="216" t="n">
        <v>102.8</v>
      </c>
      <c r="C4367" s="216" t="n">
        <v>149.66</v>
      </c>
      <c r="D4367" s="216" t="n">
        <v>1.158974051475525</v>
      </c>
      <c r="E4367" s="215" t="n">
        <v>46190</v>
      </c>
      <c r="F4367" s="215" t="n">
        <v>46190</v>
      </c>
    </row>
    <row r="4368">
      <c r="A4368" s="215" t="n">
        <v>46191</v>
      </c>
      <c r="B4368" s="216" t="n">
        <v>98.75</v>
      </c>
      <c r="C4368" s="216" t="n">
        <v>149.2</v>
      </c>
      <c r="D4368" s="216" t="n">
        <v>1.159355998039246</v>
      </c>
      <c r="E4368" s="215" t="n">
        <v>46191</v>
      </c>
      <c r="F4368" s="215" t="n">
        <v>46191</v>
      </c>
    </row>
    <row r="4369">
      <c r="A4369" s="215" t="n">
        <v>46195</v>
      </c>
      <c r="B4369" s="216" t="n">
        <v>108.7</v>
      </c>
      <c r="C4369" s="216" t="n">
        <v>158</v>
      </c>
      <c r="D4369" s="216" t="n">
        <v>1.157493948936462</v>
      </c>
      <c r="E4369" s="215" t="n">
        <v>46195</v>
      </c>
      <c r="F4369" s="215" t="n">
        <v>46195</v>
      </c>
    </row>
    <row r="4370">
      <c r="A4370" s="215" t="n">
        <v>46196</v>
      </c>
      <c r="B4370" s="216" t="n">
        <v>103.7</v>
      </c>
      <c r="C4370" s="216" t="n">
        <v>163.37</v>
      </c>
      <c r="D4370" s="216" t="n">
        <v>1.156896948814392</v>
      </c>
      <c r="E4370" s="215" t="n">
        <v>46196</v>
      </c>
      <c r="F4370" s="215" t="n">
        <v>46196</v>
      </c>
    </row>
    <row r="4371">
      <c r="A4371" s="215" t="n">
        <v>46197</v>
      </c>
      <c r="B4371" s="216" t="n">
        <v>109</v>
      </c>
      <c r="C4371" s="216" t="n">
        <v>175.69</v>
      </c>
      <c r="D4371" s="216" t="n">
        <v>1.154508948326111</v>
      </c>
      <c r="E4371" s="215" t="n">
        <v>46197</v>
      </c>
      <c r="F4371" s="215" t="n">
        <v>46197</v>
      </c>
    </row>
    <row r="4372">
      <c r="A4372" s="215" t="n">
        <v>46198</v>
      </c>
      <c r="B4372" s="216" t="n">
        <v>105</v>
      </c>
      <c r="C4372" s="216" t="n">
        <v>172.28</v>
      </c>
      <c r="D4372" s="216" t="n">
        <v>1.154152035713196</v>
      </c>
      <c r="E4372" s="215" t="n">
        <v>46198</v>
      </c>
      <c r="F4372" s="215" t="n">
        <v>46198</v>
      </c>
    </row>
    <row r="4373">
      <c r="A4373" s="215" t="n">
        <v>46199</v>
      </c>
      <c r="B4373" s="216" t="n">
        <v>101.9</v>
      </c>
      <c r="C4373" s="216" t="n">
        <v>168.63</v>
      </c>
      <c r="D4373" s="216" t="n">
        <v>1.154500961303711</v>
      </c>
      <c r="E4373" s="215" t="n">
        <v>46199</v>
      </c>
      <c r="F4373" s="215" t="n">
        <v>46199</v>
      </c>
    </row>
    <row r="4374">
      <c r="A4374" s="215" t="n">
        <v>46202</v>
      </c>
      <c r="B4374" s="216" t="n">
        <v>104.9</v>
      </c>
      <c r="C4374" s="216" t="n">
        <v>175.28</v>
      </c>
      <c r="D4374" s="216" t="n">
        <v>1.153512001037598</v>
      </c>
      <c r="E4374" s="215" t="n">
        <v>46202</v>
      </c>
      <c r="F4374" s="215" t="n">
        <v>46202</v>
      </c>
    </row>
    <row r="4375">
      <c r="A4375" s="215" t="n">
        <v>46203</v>
      </c>
      <c r="B4375" s="216" t="n">
        <v>101.1</v>
      </c>
      <c r="C4375" s="216" t="n">
        <v>173.51</v>
      </c>
      <c r="D4375" s="216" t="n">
        <v>1.153959035873413</v>
      </c>
      <c r="E4375" s="215" t="n">
        <v>46203</v>
      </c>
      <c r="F4375" s="215" t="n">
        <v>46203</v>
      </c>
    </row>
    <row r="4376">
      <c r="A4376" s="215" t="n">
        <v>46205</v>
      </c>
      <c r="B4376" s="216" t="n">
        <v>87.09999999999999</v>
      </c>
      <c r="C4376" s="216" t="n">
        <v>152.88</v>
      </c>
      <c r="D4376" s="216" t="n">
        <v>1.154355049133301</v>
      </c>
      <c r="E4376" s="215" t="n">
        <v>46205</v>
      </c>
      <c r="F4376" s="215" t="n">
        <v>46205</v>
      </c>
    </row>
    <row r="4377">
      <c r="A4377" s="215" t="n">
        <v>46206</v>
      </c>
      <c r="B4377" s="216" t="n">
        <v>84.05</v>
      </c>
      <c r="C4377" s="216" t="n">
        <v>145.6</v>
      </c>
      <c r="D4377" s="216" t="n">
        <v>1.155220985412598</v>
      </c>
      <c r="E4377" s="215" t="n">
        <v>46206</v>
      </c>
      <c r="F4377" s="215" t="n">
        <v>46206</v>
      </c>
    </row>
    <row r="4378">
      <c r="A4378" s="215" t="n">
        <v>46209</v>
      </c>
      <c r="B4378" s="216" t="n">
        <v>79.2</v>
      </c>
      <c r="C4378" s="216" t="n">
        <v>141.41</v>
      </c>
      <c r="D4378" s="216" t="n">
        <v>1.155068039894104</v>
      </c>
      <c r="E4378" s="215" t="n">
        <v>46209</v>
      </c>
      <c r="F4378" s="215" t="n">
        <v>46209</v>
      </c>
    </row>
    <row r="4379">
      <c r="A4379" s="215" t="n">
        <v>46210</v>
      </c>
      <c r="B4379" s="216" t="n">
        <v>78.15000000000001</v>
      </c>
      <c r="C4379" s="216" t="n">
        <v>146</v>
      </c>
      <c r="D4379" s="216" t="n">
        <v>1.153807997703552</v>
      </c>
      <c r="E4379" s="215" t="n">
        <v>46210</v>
      </c>
      <c r="F4379" s="215" t="n">
        <v>46210</v>
      </c>
    </row>
    <row r="4380">
      <c r="A4380" s="215" t="n">
        <v>46211</v>
      </c>
      <c r="B4380" s="216" t="n">
        <v>77.2</v>
      </c>
      <c r="C4380" s="216" t="n">
        <v>145.45</v>
      </c>
      <c r="D4380" s="216" t="n">
        <v>1.154153943061829</v>
      </c>
      <c r="E4380" s="215" t="n">
        <v>46211</v>
      </c>
      <c r="F4380" s="215" t="n">
        <v>46211</v>
      </c>
    </row>
    <row r="4381">
      <c r="A4381" s="215" t="n">
        <v>46212</v>
      </c>
      <c r="B4381" s="216" t="n">
        <v>82</v>
      </c>
      <c r="C4381" s="216" t="n">
        <v>156.67</v>
      </c>
      <c r="D4381" s="216" t="n">
        <v>1.152119994163513</v>
      </c>
      <c r="E4381" s="215" t="n">
        <v>46212</v>
      </c>
      <c r="F4381" s="215" t="n">
        <v>46212</v>
      </c>
    </row>
    <row r="4382">
      <c r="A4382" s="215" t="n">
        <v>46213</v>
      </c>
      <c r="B4382" s="216" t="n">
        <v>75</v>
      </c>
      <c r="C4382" s="216" t="n">
        <v>141.78</v>
      </c>
      <c r="D4382" s="216" t="n">
        <v>1.153550028800964</v>
      </c>
      <c r="E4382" s="215" t="n">
        <v>46213</v>
      </c>
      <c r="F4382" s="215" t="n">
        <v>46213</v>
      </c>
    </row>
    <row r="4383">
      <c r="A4383" s="215" t="n">
        <v>46216</v>
      </c>
      <c r="B4383" s="216" t="n">
        <v>72.8</v>
      </c>
      <c r="C4383" s="216" t="n">
        <v>138.59</v>
      </c>
      <c r="D4383" s="216" t="n">
        <v>1.156761050224304</v>
      </c>
      <c r="E4383" s="215" t="n">
        <v>46216</v>
      </c>
      <c r="F4383" s="215" t="n">
        <v>46216</v>
      </c>
    </row>
    <row r="4384">
      <c r="A4384" s="215" t="n">
        <v>46217</v>
      </c>
      <c r="B4384" s="216" t="n">
        <v>72.40000000000001</v>
      </c>
      <c r="C4384" s="216" t="n">
        <v>134.02</v>
      </c>
      <c r="D4384" s="216" t="n">
        <v>1.155825972557068</v>
      </c>
      <c r="E4384" s="215" t="n">
        <v>46217</v>
      </c>
      <c r="F4384" s="215" t="n">
        <v>46217</v>
      </c>
    </row>
    <row r="4385">
      <c r="A4385" s="215" t="n">
        <v>46218</v>
      </c>
      <c r="B4385" s="216" t="n">
        <v>77.2</v>
      </c>
      <c r="C4385" s="216" t="n">
        <v>129.83</v>
      </c>
      <c r="D4385" s="216" t="n">
        <v>1.157556056976318</v>
      </c>
      <c r="E4385" s="215" t="n">
        <v>46218</v>
      </c>
      <c r="F4385" s="215" t="n">
        <v>46218</v>
      </c>
    </row>
    <row r="4386">
      <c r="A4386" s="215" t="n">
        <v>46219</v>
      </c>
      <c r="B4386" s="216" t="n">
        <v>74.65000000000001</v>
      </c>
      <c r="C4386" s="216" t="n">
        <v>120.24</v>
      </c>
      <c r="D4386" s="216" t="n">
        <v>1.157912969589233</v>
      </c>
      <c r="E4386" s="215" t="n">
        <v>46219</v>
      </c>
      <c r="F4386" s="215" t="n">
        <v>46219</v>
      </c>
    </row>
    <row r="4387">
      <c r="A4387" s="215" t="n">
        <v>46220</v>
      </c>
      <c r="B4387" s="216" t="n">
        <v>67</v>
      </c>
      <c r="C4387" s="216" t="n">
        <v>104.5</v>
      </c>
      <c r="D4387" s="216" t="n">
        <v>1.157472014427185</v>
      </c>
      <c r="E4387" s="215" t="n">
        <v>46220</v>
      </c>
      <c r="F4387" s="215" t="n">
        <v>46220</v>
      </c>
    </row>
    <row r="4388">
      <c r="A4388" s="215" t="n">
        <v>46223</v>
      </c>
      <c r="B4388" s="216" t="n">
        <v>66.75</v>
      </c>
      <c r="C4388" s="216" t="n">
        <v>93</v>
      </c>
      <c r="D4388" s="216" t="n">
        <v>1.157451033592224</v>
      </c>
      <c r="E4388" s="215" t="n">
        <v>46223</v>
      </c>
      <c r="F4388" s="215" t="n">
        <v>46223</v>
      </c>
    </row>
    <row r="4389">
      <c r="A4389" s="215" t="n">
        <v>46224</v>
      </c>
      <c r="B4389" s="216" t="n">
        <v>69.34999999999999</v>
      </c>
      <c r="C4389" s="216" t="n">
        <v>101.12</v>
      </c>
      <c r="D4389" s="216" t="n">
        <v>1.157506942749023</v>
      </c>
      <c r="E4389" s="215" t="n">
        <v>46224</v>
      </c>
      <c r="F4389" s="215" t="n">
        <v>46224</v>
      </c>
    </row>
    <row r="4390">
      <c r="A4390" s="215" t="n">
        <v>46225</v>
      </c>
      <c r="B4390" s="216" t="n">
        <v>67.3</v>
      </c>
      <c r="C4390" s="216" t="n">
        <v>99.47</v>
      </c>
      <c r="D4390" s="216" t="n">
        <v>1.158938050270081</v>
      </c>
      <c r="E4390" s="215" t="n">
        <v>46225</v>
      </c>
      <c r="F4390" s="215" t="n">
        <v>46225</v>
      </c>
    </row>
    <row r="4391">
      <c r="A4391" s="215" t="n">
        <v>46226</v>
      </c>
      <c r="B4391" s="216" t="n">
        <v>65.8</v>
      </c>
      <c r="C4391" s="216" t="n">
        <v>97.31999999999999</v>
      </c>
      <c r="D4391" s="216" t="n">
        <v>1.157410979270935</v>
      </c>
      <c r="E4391" s="215" t="n">
        <v>46226</v>
      </c>
      <c r="F4391" s="215" t="n">
        <v>46226</v>
      </c>
    </row>
    <row r="4392">
      <c r="A4392" s="215" t="n">
        <v>46227</v>
      </c>
      <c r="B4392" s="216" t="n">
        <v>61.85</v>
      </c>
      <c r="C4392" s="216" t="n">
        <v>95.81</v>
      </c>
      <c r="D4392" s="216" t="n">
        <v>1.15762197971344</v>
      </c>
      <c r="E4392" s="215" t="n">
        <v>46227</v>
      </c>
      <c r="F4392" s="215" t="n">
        <v>46227</v>
      </c>
    </row>
    <row r="4393">
      <c r="A4393" s="215" t="n">
        <v>46230</v>
      </c>
      <c r="B4393" s="216" t="n">
        <v>62.65</v>
      </c>
      <c r="C4393" s="216" t="n">
        <v>100</v>
      </c>
      <c r="D4393" s="216" t="n">
        <v>1.15789794921875</v>
      </c>
      <c r="E4393" s="215" t="n">
        <v>46230</v>
      </c>
      <c r="F4393" s="215" t="n">
        <v>46230</v>
      </c>
    </row>
    <row r="4394">
      <c r="A4394" s="215" t="n">
        <v>46231</v>
      </c>
      <c r="B4394" s="216" t="n">
        <v>55.75</v>
      </c>
      <c r="C4394" s="216" t="n">
        <v>91.52</v>
      </c>
      <c r="D4394" s="216" t="n">
        <v>1.158699035644531</v>
      </c>
      <c r="E4394" s="215" t="n">
        <v>46231</v>
      </c>
      <c r="F4394" s="215" t="n">
        <v>46231</v>
      </c>
    </row>
    <row r="4395">
      <c r="A4395" s="215" t="n">
        <v>46232</v>
      </c>
      <c r="B4395" s="216" t="n">
        <v>53.65</v>
      </c>
      <c r="C4395" s="216" t="n">
        <v>90.39</v>
      </c>
      <c r="D4395" s="216" t="n">
        <v>1.157909989356995</v>
      </c>
      <c r="E4395" s="215" t="n">
        <v>46232</v>
      </c>
      <c r="F4395" s="215" t="n">
        <v>46232</v>
      </c>
    </row>
    <row r="4396">
      <c r="A4396" s="215" t="n">
        <v>46233</v>
      </c>
      <c r="B4396" s="216" t="n">
        <v>51.7</v>
      </c>
      <c r="C4396" s="216" t="n">
        <v>81.34999999999999</v>
      </c>
      <c r="D4396" s="216" t="n">
        <v>1.158943057060242</v>
      </c>
      <c r="E4396" s="215" t="n">
        <v>46233</v>
      </c>
      <c r="F4396" s="215" t="n">
        <v>46233</v>
      </c>
    </row>
    <row r="4397">
      <c r="A4397" s="215" t="n">
        <v>46234</v>
      </c>
      <c r="B4397" s="216" t="n">
        <v>55.5</v>
      </c>
      <c r="C4397" s="216" t="n">
        <v>86.65000000000001</v>
      </c>
      <c r="D4397" s="216" t="n">
        <v>1.160945057868958</v>
      </c>
      <c r="E4397" s="215" t="n">
        <v>46234</v>
      </c>
      <c r="F4397" s="215" t="n">
        <v>46234</v>
      </c>
    </row>
    <row r="4398">
      <c r="A4398" s="215" t="n">
        <v>46237</v>
      </c>
      <c r="B4398" s="216" t="n">
        <v>55.8</v>
      </c>
      <c r="C4398" s="216" t="n">
        <v>81.39</v>
      </c>
      <c r="D4398" s="216" t="n">
        <v>1.161579966545105</v>
      </c>
      <c r="E4398" s="215" t="n">
        <v>46237</v>
      </c>
      <c r="F4398" s="215" t="n">
        <v>46237</v>
      </c>
    </row>
    <row r="4399">
      <c r="A4399" s="215" t="n">
        <v>46238</v>
      </c>
      <c r="B4399" s="216" t="n">
        <v>57.6</v>
      </c>
      <c r="C4399" s="216" t="n">
        <v>86.45</v>
      </c>
      <c r="D4399" s="216" t="n">
        <v>1.161064982414246</v>
      </c>
      <c r="E4399" s="215" t="n">
        <v>46238</v>
      </c>
      <c r="F4399" s="215" t="n">
        <v>46238</v>
      </c>
    </row>
    <row r="4400">
      <c r="A4400" s="215" t="n">
        <v>46239</v>
      </c>
      <c r="B4400" s="216" t="n">
        <v>64.40000000000001</v>
      </c>
      <c r="C4400" s="216" t="n">
        <v>93.52</v>
      </c>
      <c r="D4400" s="216" t="n">
        <v>1.161146998405457</v>
      </c>
      <c r="E4400" s="215" t="n">
        <v>46239</v>
      </c>
      <c r="F4400" s="215" t="n">
        <v>46239</v>
      </c>
    </row>
    <row r="4401">
      <c r="A4401" s="215" t="n">
        <v>46240</v>
      </c>
      <c r="B4401" s="216" t="n">
        <v>68.15000000000001</v>
      </c>
      <c r="C4401" s="216" t="n">
        <v>95.59999999999999</v>
      </c>
      <c r="D4401" s="216" t="n">
        <v>1.161936044692993</v>
      </c>
      <c r="E4401" s="215" t="n">
        <v>46240</v>
      </c>
      <c r="F4401" s="215" t="n">
        <v>46240</v>
      </c>
    </row>
    <row r="4402">
      <c r="A4402" s="215" t="n">
        <v>46241</v>
      </c>
      <c r="B4402" s="216" t="n">
        <v>72.09999999999999</v>
      </c>
      <c r="C4402" s="216" t="n">
        <v>102.49</v>
      </c>
      <c r="D4402" s="216" t="n">
        <v>1.162284016609192</v>
      </c>
      <c r="E4402" s="215" t="n">
        <v>46241</v>
      </c>
      <c r="F4402" s="215" t="n">
        <v>46241</v>
      </c>
    </row>
    <row r="4403">
      <c r="A4403" s="215" t="n">
        <v>46244</v>
      </c>
      <c r="B4403" s="216" t="n">
        <v>76.2</v>
      </c>
      <c r="C4403" s="216" t="n">
        <v>103.77</v>
      </c>
      <c r="D4403" s="216" t="n">
        <v>1.162629961967468</v>
      </c>
      <c r="E4403" s="215" t="n">
        <v>46244</v>
      </c>
      <c r="F4403" s="215" t="n">
        <v>46244</v>
      </c>
    </row>
    <row r="4404">
      <c r="A4404" s="215" t="n">
        <v>46245</v>
      </c>
      <c r="B4404" s="216" t="n">
        <v>79.7</v>
      </c>
      <c r="C4404" s="216" t="n">
        <v>102.08</v>
      </c>
      <c r="D4404" s="216" t="n">
        <v>1.162588000297546</v>
      </c>
      <c r="E4404" s="215" t="n">
        <v>46245</v>
      </c>
      <c r="F4404" s="215" t="n">
        <v>46245</v>
      </c>
    </row>
    <row r="4405">
      <c r="A4405" s="215" t="n">
        <v>46246</v>
      </c>
      <c r="B4405" s="216" t="n">
        <v>78.55</v>
      </c>
      <c r="C4405" s="216" t="n">
        <v>110.36</v>
      </c>
      <c r="D4405" s="216" t="n">
        <v>1.163135051727295</v>
      </c>
      <c r="E4405" s="215" t="n">
        <v>46246</v>
      </c>
      <c r="F4405" s="215" t="n">
        <v>46246</v>
      </c>
    </row>
    <row r="4406">
      <c r="A4406" s="215" t="n">
        <v>46247</v>
      </c>
      <c r="B4406" s="216" t="n">
        <v>81</v>
      </c>
      <c r="C4406" s="216" t="n">
        <v>112.03</v>
      </c>
      <c r="D4406" s="216" t="n">
        <v>1.163341045379639</v>
      </c>
      <c r="E4406" s="215" t="n">
        <v>46247</v>
      </c>
      <c r="F4406" s="215" t="n">
        <v>46247</v>
      </c>
    </row>
    <row r="4407">
      <c r="A4407" s="215" t="n">
        <v>46248</v>
      </c>
      <c r="B4407" s="216" t="n">
        <v>81.75</v>
      </c>
      <c r="C4407" s="216" t="n">
        <v>111.15</v>
      </c>
      <c r="D4407" s="216" t="n">
        <v>1.163571000099182</v>
      </c>
      <c r="E4407" s="215" t="n">
        <v>46248</v>
      </c>
      <c r="F4407" s="215" t="n">
        <v>46248</v>
      </c>
    </row>
    <row r="4408">
      <c r="A4408" s="215" t="n">
        <v>46251</v>
      </c>
      <c r="B4408" s="216" t="n">
        <v>84.2</v>
      </c>
      <c r="C4408" s="216" t="n">
        <v>120.24</v>
      </c>
      <c r="D4408" s="216" t="n">
        <v>1.163601994514465</v>
      </c>
      <c r="E4408" s="215" t="n">
        <v>46251</v>
      </c>
      <c r="F4408" s="215" t="n">
        <v>46251</v>
      </c>
    </row>
    <row r="4409">
      <c r="A4409" s="215" t="n">
        <v>46252</v>
      </c>
      <c r="B4409" s="216" t="n">
        <v>80.25</v>
      </c>
      <c r="C4409" s="216" t="n">
        <v>120.65</v>
      </c>
      <c r="D4409" s="216" t="n">
        <v>1.163733005523682</v>
      </c>
      <c r="E4409" s="215" t="n">
        <v>46252</v>
      </c>
      <c r="F4409" s="215" t="n">
        <v>46252</v>
      </c>
    </row>
    <row r="4410">
      <c r="A4410" s="215" t="n">
        <v>46253</v>
      </c>
      <c r="B4410" s="216" t="n">
        <v>74.7</v>
      </c>
      <c r="C4410" s="216" t="n">
        <v>112.63</v>
      </c>
      <c r="D4410" s="216" t="n">
        <v>1.163092017173767</v>
      </c>
      <c r="E4410" s="215" t="n">
        <v>46253</v>
      </c>
      <c r="F4410" s="215" t="n">
        <v>46253</v>
      </c>
    </row>
    <row r="4411">
      <c r="A4411" s="215" t="n">
        <v>46254</v>
      </c>
      <c r="B4411" s="216" t="n">
        <v>70.65000000000001</v>
      </c>
      <c r="C4411" s="216" t="n">
        <v>108.2</v>
      </c>
      <c r="D4411" s="216" t="n">
        <v>1.164932012557983</v>
      </c>
      <c r="E4411" s="215" t="n">
        <v>46254</v>
      </c>
      <c r="F4411" s="215" t="n">
        <v>46254</v>
      </c>
    </row>
    <row r="4412">
      <c r="A4412" s="215" t="n">
        <v>46255</v>
      </c>
      <c r="B4412" s="216" t="n">
        <v>71.40000000000001</v>
      </c>
      <c r="C4412" s="216" t="n">
        <v>109.95</v>
      </c>
      <c r="D4412" s="216" t="n">
        <v>1.166555047035217</v>
      </c>
      <c r="E4412" s="215" t="n">
        <v>46255</v>
      </c>
      <c r="F4412" s="215" t="n">
        <v>46255</v>
      </c>
    </row>
    <row r="4413">
      <c r="A4413" s="215" t="n">
        <v>46258</v>
      </c>
      <c r="B4413" s="216" t="n">
        <v>63.95</v>
      </c>
      <c r="C4413" s="216" t="n">
        <v>105.05</v>
      </c>
      <c r="D4413" s="216" t="n">
        <v>1.166316986083984</v>
      </c>
      <c r="E4413" s="215" t="n">
        <v>46258</v>
      </c>
      <c r="F4413" s="215" t="n">
        <v>46258</v>
      </c>
    </row>
    <row r="4414">
      <c r="A4414" s="215" t="n">
        <v>46259</v>
      </c>
      <c r="B4414" s="216" t="n">
        <v>66</v>
      </c>
      <c r="C4414" s="216" t="n">
        <v>106.41</v>
      </c>
      <c r="D4414" s="216" t="n">
        <v>1.165253043174744</v>
      </c>
      <c r="E4414" s="215" t="n">
        <v>46259</v>
      </c>
      <c r="F4414" s="215" t="n">
        <v>46259</v>
      </c>
    </row>
    <row r="4415">
      <c r="A4415" s="215" t="n">
        <v>46260</v>
      </c>
      <c r="B4415" s="216" t="n">
        <v>65.90000000000001</v>
      </c>
      <c r="C4415" s="216" t="n">
        <v>104.83</v>
      </c>
      <c r="D4415" s="216" t="n">
        <v>1.166218996047974</v>
      </c>
      <c r="E4415" s="215" t="n">
        <v>46260</v>
      </c>
      <c r="F4415" s="215" t="n">
        <v>46260</v>
      </c>
    </row>
    <row r="4416">
      <c r="A4416" s="215" t="n">
        <v>46261</v>
      </c>
      <c r="B4416" s="216" t="n">
        <v>68.59999999999999</v>
      </c>
      <c r="C4416" s="216" t="n">
        <v>109.56</v>
      </c>
      <c r="D4416" s="216" t="n">
        <v>1.165971040725708</v>
      </c>
      <c r="E4416" s="215" t="n">
        <v>46261</v>
      </c>
      <c r="F4416" s="215" t="n">
        <v>46261</v>
      </c>
    </row>
    <row r="4417">
      <c r="A4417" s="215" t="n">
        <v>46262</v>
      </c>
      <c r="B4417" s="216" t="n">
        <v>66.2</v>
      </c>
      <c r="C4417" s="216" t="n">
        <v>105.86</v>
      </c>
      <c r="D4417" s="216" t="n">
        <v>1.165799975395203</v>
      </c>
      <c r="E4417" s="215" t="n">
        <v>46262</v>
      </c>
      <c r="F4417" s="215" t="n">
        <v>46262</v>
      </c>
    </row>
    <row r="4418">
      <c r="A4418" s="215" t="n">
        <v>46265</v>
      </c>
      <c r="B4418" s="216" t="n">
        <v>65.75</v>
      </c>
      <c r="C4418" s="216" t="n">
        <v>107.41</v>
      </c>
      <c r="D4418" s="216" t="n">
        <v>1.165387988090515</v>
      </c>
      <c r="E4418" s="215" t="n">
        <v>46265</v>
      </c>
      <c r="F4418" s="215" t="n">
        <v>46265</v>
      </c>
    </row>
    <row r="4419">
      <c r="A4419" s="215" t="n">
        <v>46266</v>
      </c>
      <c r="B4419" s="216" t="n">
        <v>65.90000000000001</v>
      </c>
      <c r="C4419" s="216" t="n">
        <v>104.46</v>
      </c>
      <c r="D4419" s="216" t="n">
        <v>1.165223956108093</v>
      </c>
      <c r="E4419" s="215" t="n">
        <v>46266</v>
      </c>
      <c r="F4419" s="215" t="n">
        <v>46266</v>
      </c>
    </row>
    <row r="4420">
      <c r="A4420" s="215" t="n">
        <v>46267</v>
      </c>
      <c r="B4420" s="216" t="n">
        <v>64</v>
      </c>
      <c r="C4420" s="216" t="n">
        <v>101.2</v>
      </c>
      <c r="D4420" s="216" t="n">
        <v>1.166425943374634</v>
      </c>
      <c r="E4420" s="215" t="n">
        <v>46267</v>
      </c>
      <c r="F4420" s="215" t="n">
        <v>46267</v>
      </c>
    </row>
    <row r="4421">
      <c r="A4421" s="215" t="n">
        <v>46268</v>
      </c>
      <c r="B4421" s="216" t="n">
        <v>65.34999999999999</v>
      </c>
      <c r="C4421" s="216" t="n">
        <v>100.66</v>
      </c>
      <c r="D4421" s="216" t="n">
        <v>1.167057037353516</v>
      </c>
      <c r="E4421" s="215" t="n">
        <v>46268</v>
      </c>
      <c r="F4421" s="215" t="n">
        <v>46268</v>
      </c>
    </row>
    <row r="4422">
      <c r="A4422" s="215" t="n">
        <v>46269</v>
      </c>
      <c r="B4422" s="216" t="n">
        <v>63.5</v>
      </c>
      <c r="C4422" s="216" t="n">
        <v>97.43000000000001</v>
      </c>
      <c r="D4422" s="216" t="n">
        <v>1.166767954826355</v>
      </c>
      <c r="E4422" s="215" t="n">
        <v>46269</v>
      </c>
      <c r="F4422" s="215" t="n">
        <v>46269</v>
      </c>
    </row>
    <row r="4423">
      <c r="A4423" s="215" t="n">
        <v>46272</v>
      </c>
      <c r="B4423" s="216" t="n">
        <v>66.40000000000001</v>
      </c>
      <c r="C4423" s="216" t="n">
        <v>100.01</v>
      </c>
      <c r="D4423" s="216" t="n">
        <v>1.168081045150757</v>
      </c>
      <c r="E4423" s="215" t="n">
        <v>46272</v>
      </c>
      <c r="F4423" s="215" t="n">
        <v>46272</v>
      </c>
    </row>
    <row r="4424">
      <c r="A4424" s="215" t="n">
        <v>46273</v>
      </c>
      <c r="B4424" s="216" t="n">
        <v>64.05</v>
      </c>
      <c r="C4424" s="216" t="n">
        <v>97.8</v>
      </c>
      <c r="D4424" s="216" t="n">
        <v>1.168115019798279</v>
      </c>
      <c r="E4424" s="215" t="n">
        <v>46273</v>
      </c>
      <c r="F4424" s="215" t="n">
        <v>46273</v>
      </c>
    </row>
    <row r="4425">
      <c r="A4425" s="215" t="n">
        <v>46274</v>
      </c>
      <c r="B4425" s="216" t="n">
        <v>65</v>
      </c>
      <c r="C4425" s="216" t="n">
        <v>98.05</v>
      </c>
      <c r="D4425" s="216" t="n">
        <v>1.168408989906311</v>
      </c>
      <c r="E4425" s="215" t="n">
        <v>46274</v>
      </c>
      <c r="F4425" s="215" t="n">
        <v>46274</v>
      </c>
    </row>
    <row r="4426">
      <c r="A4426" s="215" t="n">
        <v>46275</v>
      </c>
      <c r="B4426" s="216" t="n">
        <v>61.5</v>
      </c>
      <c r="C4426" s="216" t="n">
        <v>96.55</v>
      </c>
      <c r="D4426" s="216" t="n">
        <v>1.168462991714478</v>
      </c>
      <c r="E4426" s="215" t="n">
        <v>46275</v>
      </c>
      <c r="F4426" s="215" t="n">
        <v>46275</v>
      </c>
    </row>
    <row r="4427">
      <c r="A4427" s="215" t="n">
        <v>46276</v>
      </c>
      <c r="B4427" s="216" t="n">
        <v>60.05</v>
      </c>
      <c r="C4427" s="216" t="n">
        <v>94.90000000000001</v>
      </c>
      <c r="D4427" s="216" t="n">
        <v>1.169165015220642</v>
      </c>
      <c r="E4427" s="215" t="n">
        <v>46276</v>
      </c>
      <c r="F4427" s="215" t="n">
        <v>46276</v>
      </c>
    </row>
    <row r="4428">
      <c r="A4428" s="215" t="n">
        <v>46279</v>
      </c>
      <c r="B4428" s="216" t="n">
        <v>58.9</v>
      </c>
      <c r="C4428" s="216" t="n">
        <v>95</v>
      </c>
      <c r="D4428" s="216" t="n">
        <v>1.16893994808197</v>
      </c>
      <c r="E4428" s="215" t="n">
        <v>46279</v>
      </c>
      <c r="F4428" s="215" t="n">
        <v>46279</v>
      </c>
    </row>
    <row r="4429">
      <c r="A4429" s="215" t="n">
        <v>46280</v>
      </c>
      <c r="B4429" s="216" t="n">
        <v>59.3</v>
      </c>
      <c r="C4429" s="216" t="n">
        <v>94.45</v>
      </c>
      <c r="D4429" s="216" t="n">
        <v>1.169121026992798</v>
      </c>
      <c r="E4429" s="215" t="n">
        <v>46280</v>
      </c>
      <c r="F4429" s="215" t="n">
        <v>46280</v>
      </c>
    </row>
    <row r="4430">
      <c r="A4430" s="215" t="n">
        <v>46281</v>
      </c>
      <c r="B4430" s="216" t="n">
        <v>63.8</v>
      </c>
      <c r="C4430" s="216" t="n">
        <v>105.1</v>
      </c>
      <c r="D4430" s="216" t="n">
        <v>1.168769955635071</v>
      </c>
      <c r="E4430" s="215" t="n">
        <v>46281</v>
      </c>
      <c r="F4430" s="215" t="n">
        <v>46281</v>
      </c>
    </row>
    <row r="4431">
      <c r="A4431" s="215" t="n">
        <v>46282</v>
      </c>
      <c r="B4431" s="216" t="n">
        <v>64.5</v>
      </c>
      <c r="C4431" s="216" t="n">
        <v>104.39</v>
      </c>
      <c r="D4431" s="216" t="n">
        <v>1.169389963150024</v>
      </c>
      <c r="E4431" s="215" t="n">
        <v>46282</v>
      </c>
      <c r="F4431" s="215" t="n">
        <v>46282</v>
      </c>
    </row>
    <row r="4432">
      <c r="A4432" s="215" t="n">
        <v>46283</v>
      </c>
      <c r="B4432" s="216" t="n">
        <v>69.2</v>
      </c>
      <c r="C4432" s="216" t="n">
        <v>107.3</v>
      </c>
      <c r="D4432" s="216" t="n">
        <v>1.16942298412323</v>
      </c>
      <c r="E4432" s="215" t="n">
        <v>46283</v>
      </c>
      <c r="F4432" s="215" t="n">
        <v>46283</v>
      </c>
    </row>
    <row r="4433">
      <c r="A4433" s="215" t="n">
        <v>46286</v>
      </c>
      <c r="B4433" s="216" t="n">
        <v>68.40000000000001</v>
      </c>
      <c r="C4433" s="216" t="n">
        <v>106.38</v>
      </c>
      <c r="D4433" s="216" t="n">
        <v>1.171280026435852</v>
      </c>
      <c r="E4433" s="215" t="n">
        <v>46286</v>
      </c>
      <c r="F4433" s="215" t="n">
        <v>46286</v>
      </c>
    </row>
    <row r="4434">
      <c r="A4434" s="215" t="n">
        <v>46287</v>
      </c>
      <c r="B4434" s="216" t="n">
        <v>68.65000000000001</v>
      </c>
      <c r="C4434" s="216" t="n">
        <v>109.4</v>
      </c>
      <c r="D4434" s="216" t="n">
        <v>1.171705007553101</v>
      </c>
      <c r="E4434" s="215" t="n">
        <v>46287</v>
      </c>
      <c r="F4434" s="215" t="n">
        <v>46287</v>
      </c>
    </row>
    <row r="4435">
      <c r="A4435" s="215" t="n">
        <v>46288</v>
      </c>
      <c r="B4435" s="216" t="n">
        <v>70.2</v>
      </c>
      <c r="C4435" s="216" t="n">
        <v>114.07</v>
      </c>
      <c r="D4435" s="216" t="n">
        <v>1.170611023902893</v>
      </c>
      <c r="E4435" s="215" t="n">
        <v>46288</v>
      </c>
      <c r="F4435" s="215" t="n">
        <v>46288</v>
      </c>
    </row>
    <row r="4436">
      <c r="A4436" s="215" t="n">
        <v>46289</v>
      </c>
      <c r="B4436" s="216" t="n">
        <v>68</v>
      </c>
      <c r="C4436" s="216" t="n">
        <v>110.35</v>
      </c>
      <c r="D4436" s="216" t="n">
        <v>1.16852605342865</v>
      </c>
      <c r="E4436" s="215" t="n">
        <v>46289</v>
      </c>
      <c r="F4436" s="215" t="n">
        <v>46289</v>
      </c>
    </row>
    <row r="4437">
      <c r="A4437" s="215" t="n">
        <v>46290</v>
      </c>
      <c r="B4437" s="216" t="n">
        <v>67.95</v>
      </c>
      <c r="C4437" s="216" t="n">
        <v>110.35</v>
      </c>
      <c r="D4437" s="216" t="n">
        <v>1.168424010276794</v>
      </c>
      <c r="E4437" s="215" t="n">
        <v>46289</v>
      </c>
      <c r="F4437" s="215" t="n">
        <v>46290</v>
      </c>
    </row>
    <row r="4438">
      <c r="A4438" s="215" t="n">
        <v>46293</v>
      </c>
      <c r="B4438" s="216" t="n">
        <v>65.55</v>
      </c>
      <c r="C4438" s="216" t="n">
        <v>105.28</v>
      </c>
      <c r="D4438" s="216" t="n">
        <v>1.168378949165344</v>
      </c>
      <c r="E4438" s="215" t="n">
        <v>46293</v>
      </c>
      <c r="F4438" s="215" t="n">
        <v>46293</v>
      </c>
    </row>
    <row r="4439">
      <c r="A4439" s="215" t="n">
        <v>46294</v>
      </c>
      <c r="B4439" s="216" t="n">
        <v>69</v>
      </c>
      <c r="C4439" s="216" t="n">
        <v>109</v>
      </c>
      <c r="D4439" s="216" t="n">
        <v>1.168815970420837</v>
      </c>
      <c r="E4439" s="215" t="n">
        <v>46294</v>
      </c>
      <c r="F4439" s="215" t="n">
        <v>46294</v>
      </c>
    </row>
    <row r="4440">
      <c r="A4440" s="215" t="n">
        <v>46295</v>
      </c>
      <c r="B4440" s="216" t="n">
        <v>68</v>
      </c>
      <c r="C4440" s="216" t="n">
        <v>104.39</v>
      </c>
      <c r="D4440" s="216" t="n">
        <v>1.17059600353241</v>
      </c>
      <c r="E4440" s="215" t="n">
        <v>46295</v>
      </c>
      <c r="F4440" s="215" t="n">
        <v>46295</v>
      </c>
    </row>
    <row r="4441">
      <c r="A4441" s="215" t="n">
        <v>46297</v>
      </c>
      <c r="B4441" s="216" t="n">
        <v>68.59999999999999</v>
      </c>
      <c r="C4441" s="216" t="n">
        <v>104.39</v>
      </c>
      <c r="D4441" s="216" t="n">
        <v>1.170220971107483</v>
      </c>
      <c r="E4441" s="215" t="n">
        <v>46295</v>
      </c>
      <c r="F4441" s="215" t="n">
        <v>46297</v>
      </c>
    </row>
    <row r="4442">
      <c r="A4442" s="215" t="n">
        <v>46133</v>
      </c>
      <c r="B4442" s="216" t="n">
        <v>315</v>
      </c>
      <c r="C4442" s="216" t="n">
        <v>330.9</v>
      </c>
      <c r="D4442" s="216" t="n">
        <v>1.148368000984192</v>
      </c>
      <c r="E4442" s="215" t="n">
        <v>46133</v>
      </c>
      <c r="F4442" s="215" t="n">
        <v>46133</v>
      </c>
    </row>
    <row r="4443">
      <c r="A4443" s="215" t="n">
        <v>46134</v>
      </c>
      <c r="B4443" s="216" t="n">
        <v>336.8</v>
      </c>
      <c r="C4443" s="216" t="n">
        <v>342.78</v>
      </c>
      <c r="D4443" s="216" t="n">
        <v>1.147838950157166</v>
      </c>
      <c r="E4443" s="215" t="n">
        <v>46134</v>
      </c>
      <c r="F4443" s="215" t="n">
        <v>46134</v>
      </c>
    </row>
    <row r="4444">
      <c r="A4444" s="215" t="n">
        <v>46135</v>
      </c>
      <c r="B4444" s="216" t="n">
        <v>317.8</v>
      </c>
      <c r="C4444" s="216" t="n">
        <v>331.95</v>
      </c>
      <c r="D4444" s="216" t="n">
        <v>1.147513031959534</v>
      </c>
      <c r="E4444" s="215" t="n">
        <v>46135</v>
      </c>
      <c r="F4444" s="215" t="n">
        <v>46135</v>
      </c>
    </row>
    <row r="4445">
      <c r="A4445" s="215" t="n">
        <v>46136</v>
      </c>
      <c r="B4445" s="216" t="n">
        <v>315.6</v>
      </c>
      <c r="C4445" s="216" t="n">
        <v>315.59</v>
      </c>
      <c r="D4445" s="216" t="n">
        <v>1.147369027137756</v>
      </c>
      <c r="E4445" s="215" t="n">
        <v>46136</v>
      </c>
      <c r="F4445" s="215" t="n">
        <v>46136</v>
      </c>
    </row>
    <row r="4446">
      <c r="A4446" s="215" t="n">
        <v>46139</v>
      </c>
      <c r="B4446" s="216" t="n">
        <v>307</v>
      </c>
      <c r="C4446" s="216" t="n">
        <v>317.4</v>
      </c>
      <c r="D4446" s="216" t="n">
        <v>1.146002054214478</v>
      </c>
      <c r="E4446" s="215" t="n">
        <v>46139</v>
      </c>
      <c r="F4446" s="215" t="n">
        <v>46139</v>
      </c>
    </row>
    <row r="4447">
      <c r="A4447" s="215" t="n">
        <v>46140</v>
      </c>
      <c r="B4447" s="216" t="n">
        <v>300</v>
      </c>
      <c r="C4447" s="216" t="n">
        <v>313.06</v>
      </c>
      <c r="D4447" s="216" t="n">
        <v>1.148522019386292</v>
      </c>
      <c r="E4447" s="215" t="n">
        <v>46140</v>
      </c>
      <c r="F4447" s="215" t="n">
        <v>46140</v>
      </c>
    </row>
    <row r="4448">
      <c r="A4448" s="215" t="n">
        <v>46141</v>
      </c>
      <c r="B4448" s="216" t="n">
        <v>321</v>
      </c>
      <c r="C4448" s="216" t="n">
        <v>333.87</v>
      </c>
      <c r="D4448" s="216" t="n">
        <v>1.145936012268066</v>
      </c>
      <c r="E4448" s="215" t="n">
        <v>46141</v>
      </c>
      <c r="F4448" s="215" t="n">
        <v>46141</v>
      </c>
    </row>
    <row r="4449">
      <c r="A4449" s="215" t="n">
        <v>46142</v>
      </c>
      <c r="B4449" s="216" t="n">
        <v>319.4</v>
      </c>
      <c r="C4449" s="216" t="n">
        <v>328.49</v>
      </c>
      <c r="D4449" s="216" t="n">
        <v>1.145792007446289</v>
      </c>
      <c r="E4449" s="215" t="n">
        <v>46142</v>
      </c>
      <c r="F4449" s="215" t="n">
        <v>46142</v>
      </c>
    </row>
    <row r="4450">
      <c r="A4450" s="215" t="n">
        <v>46146</v>
      </c>
      <c r="B4450" s="216" t="n">
        <v>320.6</v>
      </c>
      <c r="C4450" s="216" t="n">
        <v>328.49</v>
      </c>
      <c r="D4450" s="216" t="n">
        <v>1.147340059280396</v>
      </c>
      <c r="E4450" s="215" t="n">
        <v>46142</v>
      </c>
      <c r="F4450" s="215" t="n">
        <v>46146</v>
      </c>
    </row>
    <row r="4451">
      <c r="A4451" s="215" t="n">
        <v>46147</v>
      </c>
      <c r="B4451" s="216" t="n">
        <v>319</v>
      </c>
      <c r="C4451" s="216" t="n">
        <v>328.49</v>
      </c>
      <c r="D4451" s="216" t="n">
        <v>1.146813988685608</v>
      </c>
      <c r="E4451" s="215" t="n">
        <v>46142</v>
      </c>
      <c r="F4451" s="215" t="n">
        <v>46147</v>
      </c>
    </row>
    <row r="4452">
      <c r="A4452" s="215" t="n">
        <v>46148</v>
      </c>
      <c r="B4452" s="216" t="n">
        <v>320.6</v>
      </c>
      <c r="C4452" s="216" t="n">
        <v>325.92</v>
      </c>
      <c r="D4452" s="216" t="n">
        <v>1.14708399772644</v>
      </c>
      <c r="E4452" s="215" t="n">
        <v>46148</v>
      </c>
      <c r="F4452" s="215" t="n">
        <v>46148</v>
      </c>
    </row>
    <row r="4453">
      <c r="A4453" s="215" t="n">
        <v>46149</v>
      </c>
      <c r="B4453" s="216" t="n">
        <v>330</v>
      </c>
      <c r="C4453" s="216" t="n">
        <v>338.06</v>
      </c>
      <c r="D4453" s="216" t="n">
        <v>1.150125026702881</v>
      </c>
      <c r="E4453" s="215" t="n">
        <v>46149</v>
      </c>
      <c r="F4453" s="215" t="n">
        <v>46149</v>
      </c>
    </row>
    <row r="4454">
      <c r="A4454" s="215" t="n">
        <v>46150</v>
      </c>
      <c r="B4454" s="216" t="n">
        <v>345.4</v>
      </c>
      <c r="C4454" s="216" t="n">
        <v>358.66</v>
      </c>
      <c r="D4454" s="216" t="n">
        <v>1.15172004699707</v>
      </c>
      <c r="E4454" s="215" t="n">
        <v>46150</v>
      </c>
      <c r="F4454" s="215" t="n">
        <v>46150</v>
      </c>
    </row>
    <row r="4455">
      <c r="A4455" s="215" t="n">
        <v>46153</v>
      </c>
      <c r="B4455" s="216" t="n">
        <v>392.6</v>
      </c>
      <c r="C4455" s="216" t="n">
        <v>378.24</v>
      </c>
      <c r="D4455" s="216" t="n">
        <v>1.151090025901794</v>
      </c>
      <c r="E4455" s="215" t="n">
        <v>46153</v>
      </c>
      <c r="F4455" s="215" t="n">
        <v>46153</v>
      </c>
    </row>
    <row r="4456">
      <c r="A4456" s="215" t="n">
        <v>46154</v>
      </c>
      <c r="B4456" s="216" t="n">
        <v>374</v>
      </c>
      <c r="C4456" s="216" t="n">
        <v>375.43</v>
      </c>
      <c r="D4456" s="216" t="n">
        <v>1.152078986167908</v>
      </c>
      <c r="E4456" s="215" t="n">
        <v>46154</v>
      </c>
      <c r="F4456" s="215" t="n">
        <v>46154</v>
      </c>
    </row>
    <row r="4457">
      <c r="A4457" s="215" t="n">
        <v>46155</v>
      </c>
      <c r="B4457" s="216" t="n">
        <v>385</v>
      </c>
      <c r="C4457" s="216" t="n">
        <v>387.4</v>
      </c>
      <c r="D4457" s="216" t="n">
        <v>1.152537941932678</v>
      </c>
      <c r="E4457" s="215" t="n">
        <v>46155</v>
      </c>
      <c r="F4457" s="215" t="n">
        <v>46155</v>
      </c>
    </row>
    <row r="4458">
      <c r="A4458" s="215" t="n">
        <v>46156</v>
      </c>
      <c r="B4458" s="216" t="n">
        <v>354.4</v>
      </c>
      <c r="C4458" s="216" t="n">
        <v>354.83</v>
      </c>
      <c r="D4458" s="216" t="n">
        <v>1.152662992477417</v>
      </c>
      <c r="E4458" s="215" t="n">
        <v>46156</v>
      </c>
      <c r="F4458" s="215" t="n">
        <v>46156</v>
      </c>
    </row>
    <row r="4459">
      <c r="A4459" s="215" t="n">
        <v>46157</v>
      </c>
      <c r="B4459" s="216" t="n">
        <v>340</v>
      </c>
      <c r="C4459" s="216" t="n">
        <v>340.22</v>
      </c>
      <c r="D4459" s="216" t="n">
        <v>1.154320001602173</v>
      </c>
      <c r="E4459" s="215" t="n">
        <v>46157</v>
      </c>
      <c r="F4459" s="215" t="n">
        <v>46157</v>
      </c>
    </row>
    <row r="4460">
      <c r="A4460" s="215" t="n">
        <v>46160</v>
      </c>
      <c r="B4460" s="216" t="n">
        <v>368.8</v>
      </c>
      <c r="C4460" s="216" t="n">
        <v>346.2</v>
      </c>
      <c r="D4460" s="216" t="n">
        <v>1.149821996688843</v>
      </c>
      <c r="E4460" s="215" t="n">
        <v>46160</v>
      </c>
      <c r="F4460" s="215" t="n">
        <v>46160</v>
      </c>
    </row>
    <row r="4461">
      <c r="A4461" s="215" t="n">
        <v>46161</v>
      </c>
      <c r="B4461" s="216" t="n">
        <v>371.2</v>
      </c>
      <c r="C4461" s="216" t="n">
        <v>336.98</v>
      </c>
      <c r="D4461" s="216" t="n">
        <v>1.151532053947449</v>
      </c>
      <c r="E4461" s="215" t="n">
        <v>46161</v>
      </c>
      <c r="F4461" s="215" t="n">
        <v>46161</v>
      </c>
    </row>
    <row r="4462">
      <c r="A4462" s="215" t="n">
        <v>46162</v>
      </c>
      <c r="B4462" s="216" t="n">
        <v>351.2</v>
      </c>
      <c r="C4462" s="216" t="n">
        <v>334.2</v>
      </c>
      <c r="D4462" s="216" t="n">
        <v>1.149292945861816</v>
      </c>
      <c r="E4462" s="215" t="n">
        <v>46162</v>
      </c>
      <c r="F4462" s="215" t="n">
        <v>46162</v>
      </c>
    </row>
    <row r="4463">
      <c r="A4463" s="215" t="n">
        <v>46163</v>
      </c>
      <c r="B4463" s="216" t="n">
        <v>346.2</v>
      </c>
      <c r="C4463" s="216" t="n">
        <v>331.4</v>
      </c>
      <c r="D4463" s="216" t="n">
        <v>1.151231050491333</v>
      </c>
      <c r="E4463" s="215" t="n">
        <v>46163</v>
      </c>
      <c r="F4463" s="215" t="n">
        <v>46163</v>
      </c>
    </row>
    <row r="4464">
      <c r="A4464" s="215" t="n">
        <v>46164</v>
      </c>
      <c r="B4464" s="216" t="n">
        <v>403.6</v>
      </c>
      <c r="C4464" s="216" t="n">
        <v>375.5</v>
      </c>
      <c r="D4464" s="216" t="n">
        <v>1.151487946510315</v>
      </c>
      <c r="E4464" s="215" t="n">
        <v>46164</v>
      </c>
      <c r="F4464" s="215" t="n">
        <v>46164</v>
      </c>
    </row>
    <row r="4465">
      <c r="A4465" s="215" t="n">
        <v>46168</v>
      </c>
      <c r="B4465" s="216" t="n">
        <v>437.2</v>
      </c>
      <c r="C4465" s="216" t="n">
        <v>392.95</v>
      </c>
      <c r="D4465" s="216" t="n">
        <v>1.152968049049377</v>
      </c>
      <c r="E4465" s="215" t="n">
        <v>46168</v>
      </c>
      <c r="F4465" s="215" t="n">
        <v>46168</v>
      </c>
    </row>
    <row r="4466">
      <c r="A4466" s="215" t="n">
        <v>46169</v>
      </c>
      <c r="B4466" s="216" t="n">
        <v>436.8</v>
      </c>
      <c r="C4466" s="216" t="n">
        <v>379.3</v>
      </c>
      <c r="D4466" s="216" t="n">
        <v>1.154562950134277</v>
      </c>
      <c r="E4466" s="215" t="n">
        <v>46169</v>
      </c>
      <c r="F4466" s="215" t="n">
        <v>46169</v>
      </c>
    </row>
    <row r="4467">
      <c r="A4467" s="215" t="n">
        <v>46170</v>
      </c>
      <c r="B4467" s="216" t="n">
        <v>438.2</v>
      </c>
      <c r="C4467" s="216" t="n">
        <v>375.3</v>
      </c>
      <c r="D4467" s="216" t="n">
        <v>1.155385971069336</v>
      </c>
      <c r="E4467" s="215" t="n">
        <v>46170</v>
      </c>
      <c r="F4467" s="215" t="n">
        <v>46170</v>
      </c>
    </row>
    <row r="4468">
      <c r="A4468" s="215" t="n">
        <v>46171</v>
      </c>
      <c r="B4468" s="216" t="n">
        <v>426</v>
      </c>
      <c r="C4468" s="216" t="n">
        <v>368.52</v>
      </c>
      <c r="D4468" s="216" t="n">
        <v>1.155282974243164</v>
      </c>
      <c r="E4468" s="215" t="n">
        <v>46171</v>
      </c>
      <c r="F4468" s="215" t="n">
        <v>46171</v>
      </c>
    </row>
    <row r="4469">
      <c r="A4469" s="215" t="n">
        <v>46174</v>
      </c>
      <c r="B4469" s="216" t="n">
        <v>412.8</v>
      </c>
      <c r="C4469" s="216" t="n">
        <v>342.35</v>
      </c>
      <c r="D4469" s="216" t="n">
        <v>1.158049941062927</v>
      </c>
      <c r="E4469" s="215" t="n">
        <v>46174</v>
      </c>
      <c r="F4469" s="215" t="n">
        <v>46174</v>
      </c>
    </row>
    <row r="4470">
      <c r="A4470" s="215" t="n">
        <v>46175</v>
      </c>
      <c r="B4470" s="216" t="n">
        <v>407.6</v>
      </c>
      <c r="C4470" s="216" t="n">
        <v>349.08</v>
      </c>
      <c r="D4470" s="216" t="n">
        <v>1.158406972885132</v>
      </c>
      <c r="E4470" s="215" t="n">
        <v>46175</v>
      </c>
      <c r="F4470" s="215" t="n">
        <v>46175</v>
      </c>
    </row>
    <row r="4471">
      <c r="A4471" s="215" t="n">
        <v>46176</v>
      </c>
      <c r="B4471" s="216" t="n">
        <v>417</v>
      </c>
      <c r="C4471" s="216" t="n">
        <v>353.44</v>
      </c>
      <c r="D4471" s="216" t="n">
        <v>1.15879499912262</v>
      </c>
      <c r="E4471" s="215" t="n">
        <v>46176</v>
      </c>
      <c r="F4471" s="215" t="n">
        <v>46176</v>
      </c>
    </row>
    <row r="4472">
      <c r="A4472" s="215" t="n">
        <v>46177</v>
      </c>
      <c r="B4472" s="216" t="n">
        <v>415</v>
      </c>
      <c r="C4472" s="216" t="n">
        <v>366.72</v>
      </c>
      <c r="D4472" s="216" t="n">
        <v>1.157420039176941</v>
      </c>
      <c r="E4472" s="215" t="n">
        <v>46177</v>
      </c>
      <c r="F4472" s="215" t="n">
        <v>46177</v>
      </c>
    </row>
    <row r="4473">
      <c r="A4473" s="215" t="n">
        <v>46178</v>
      </c>
      <c r="B4473" s="216" t="n">
        <v>368.6</v>
      </c>
      <c r="C4473" s="216" t="n">
        <v>338.9</v>
      </c>
      <c r="D4473" s="216" t="n">
        <v>1.156491994857788</v>
      </c>
      <c r="E4473" s="215" t="n">
        <v>46178</v>
      </c>
      <c r="F4473" s="215" t="n">
        <v>46178</v>
      </c>
    </row>
    <row r="4474">
      <c r="A4474" s="215" t="n">
        <v>46181</v>
      </c>
      <c r="B4474" s="216" t="n">
        <v>338.4</v>
      </c>
      <c r="C4474" s="216" t="n">
        <v>314.8</v>
      </c>
      <c r="D4474" s="216" t="n">
        <v>1.157665967941284</v>
      </c>
      <c r="E4474" s="215" t="n">
        <v>46181</v>
      </c>
      <c r="F4474" s="215" t="n">
        <v>46181</v>
      </c>
    </row>
    <row r="4475">
      <c r="A4475" s="215" t="n">
        <v>46182</v>
      </c>
      <c r="B4475" s="216" t="n">
        <v>380.8</v>
      </c>
      <c r="C4475" s="216" t="n">
        <v>342.55</v>
      </c>
      <c r="D4475" s="216" t="n">
        <v>1.158027052879333</v>
      </c>
      <c r="E4475" s="215" t="n">
        <v>46182</v>
      </c>
      <c r="F4475" s="215" t="n">
        <v>46182</v>
      </c>
    </row>
    <row r="4476">
      <c r="A4476" s="215" t="n">
        <v>46183</v>
      </c>
      <c r="B4476" s="216" t="n">
        <v>359</v>
      </c>
      <c r="C4476" s="216" t="n">
        <v>330.26</v>
      </c>
      <c r="D4476" s="216" t="n">
        <v>1.157112002372742</v>
      </c>
      <c r="E4476" s="215" t="n">
        <v>46183</v>
      </c>
      <c r="F4476" s="215" t="n">
        <v>46183</v>
      </c>
    </row>
    <row r="4477">
      <c r="A4477" s="215" t="n">
        <v>46184</v>
      </c>
      <c r="B4477" s="216" t="n">
        <v>378.8</v>
      </c>
      <c r="C4477" s="216" t="n">
        <v>325.48</v>
      </c>
      <c r="D4477" s="216" t="n">
        <v>1.156929016113281</v>
      </c>
      <c r="E4477" s="215" t="n">
        <v>46184</v>
      </c>
      <c r="F4477" s="215" t="n">
        <v>46184</v>
      </c>
    </row>
    <row r="4478">
      <c r="A4478" s="215" t="n">
        <v>46185</v>
      </c>
      <c r="B4478" s="216" t="n">
        <v>378.8</v>
      </c>
      <c r="C4478" s="216" t="n">
        <v>327.21</v>
      </c>
      <c r="D4478" s="216" t="n">
        <v>1.156345963478088</v>
      </c>
      <c r="E4478" s="215" t="n">
        <v>46185</v>
      </c>
      <c r="F4478" s="215" t="n">
        <v>46185</v>
      </c>
    </row>
    <row r="4479">
      <c r="A4479" s="215" t="n">
        <v>46188</v>
      </c>
      <c r="B4479" s="216" t="n">
        <v>415</v>
      </c>
      <c r="C4479" s="216" t="n">
        <v>344.5</v>
      </c>
      <c r="D4479" s="216" t="n">
        <v>1.156880021095276</v>
      </c>
      <c r="E4479" s="215" t="n">
        <v>46188</v>
      </c>
      <c r="F4479" s="215" t="n">
        <v>46188</v>
      </c>
    </row>
    <row r="4480">
      <c r="A4480" s="215" t="n">
        <v>46189</v>
      </c>
      <c r="B4480" s="216" t="n">
        <v>411</v>
      </c>
      <c r="C4480" s="216" t="n">
        <v>355.48</v>
      </c>
      <c r="D4480" s="216" t="n">
        <v>1.158604025840759</v>
      </c>
      <c r="E4480" s="215" t="n">
        <v>46189</v>
      </c>
      <c r="F4480" s="215" t="n">
        <v>46189</v>
      </c>
    </row>
    <row r="4481">
      <c r="A4481" s="215" t="n">
        <v>46190</v>
      </c>
      <c r="B4481" s="216" t="n">
        <v>410</v>
      </c>
      <c r="C4481" s="216" t="n">
        <v>361.7</v>
      </c>
      <c r="D4481" s="216" t="n">
        <v>1.158974051475525</v>
      </c>
      <c r="E4481" s="215" t="n">
        <v>46190</v>
      </c>
      <c r="F4481" s="215" t="n">
        <v>46190</v>
      </c>
    </row>
    <row r="4482">
      <c r="A4482" s="215" t="n">
        <v>46191</v>
      </c>
      <c r="B4482" s="216" t="n">
        <v>411.6</v>
      </c>
      <c r="C4482" s="216" t="n">
        <v>369</v>
      </c>
      <c r="D4482" s="216" t="n">
        <v>1.159355998039246</v>
      </c>
      <c r="E4482" s="215" t="n">
        <v>46191</v>
      </c>
      <c r="F4482" s="215" t="n">
        <v>46191</v>
      </c>
    </row>
    <row r="4483">
      <c r="A4483" s="215" t="n">
        <v>46195</v>
      </c>
      <c r="B4483" s="216" t="n">
        <v>421.6</v>
      </c>
      <c r="C4483" s="216" t="n">
        <v>365.4</v>
      </c>
      <c r="D4483" s="216" t="n">
        <v>1.157493948936462</v>
      </c>
      <c r="E4483" s="215" t="n">
        <v>46195</v>
      </c>
      <c r="F4483" s="215" t="n">
        <v>46195</v>
      </c>
    </row>
    <row r="4484">
      <c r="A4484" s="215" t="n">
        <v>46196</v>
      </c>
      <c r="B4484" s="216" t="n">
        <v>370.2</v>
      </c>
      <c r="C4484" s="216" t="n">
        <v>338.2</v>
      </c>
      <c r="D4484" s="216" t="n">
        <v>1.156896948814392</v>
      </c>
      <c r="E4484" s="215" t="n">
        <v>46196</v>
      </c>
      <c r="F4484" s="215" t="n">
        <v>46196</v>
      </c>
    </row>
    <row r="4485">
      <c r="A4485" s="215" t="n">
        <v>46197</v>
      </c>
      <c r="B4485" s="216" t="n">
        <v>368</v>
      </c>
      <c r="C4485" s="216" t="n">
        <v>343.43</v>
      </c>
      <c r="D4485" s="216" t="n">
        <v>1.154508948326111</v>
      </c>
      <c r="E4485" s="215" t="n">
        <v>46197</v>
      </c>
      <c r="F4485" s="215" t="n">
        <v>46197</v>
      </c>
    </row>
    <row r="4486">
      <c r="A4486" s="215" t="n">
        <v>46198</v>
      </c>
      <c r="B4486" s="216" t="n">
        <v>367.6</v>
      </c>
      <c r="C4486" s="216" t="n">
        <v>350.16</v>
      </c>
      <c r="D4486" s="216" t="n">
        <v>1.154152035713196</v>
      </c>
      <c r="E4486" s="215" t="n">
        <v>46198</v>
      </c>
      <c r="F4486" s="215" t="n">
        <v>46198</v>
      </c>
    </row>
    <row r="4487">
      <c r="A4487" s="215" t="n">
        <v>46199</v>
      </c>
      <c r="B4487" s="216" t="n">
        <v>342.4</v>
      </c>
      <c r="C4487" s="216" t="n">
        <v>319.55</v>
      </c>
      <c r="D4487" s="216" t="n">
        <v>1.154500961303711</v>
      </c>
      <c r="E4487" s="215" t="n">
        <v>46199</v>
      </c>
      <c r="F4487" s="215" t="n">
        <v>46199</v>
      </c>
    </row>
    <row r="4488">
      <c r="A4488" s="215" t="n">
        <v>46202</v>
      </c>
      <c r="B4488" s="216" t="n">
        <v>326</v>
      </c>
      <c r="C4488" s="216" t="n">
        <v>315.37</v>
      </c>
      <c r="D4488" s="216" t="n">
        <v>1.153512001037598</v>
      </c>
      <c r="E4488" s="215" t="n">
        <v>46202</v>
      </c>
      <c r="F4488" s="215" t="n">
        <v>46202</v>
      </c>
    </row>
    <row r="4489">
      <c r="A4489" s="215" t="n">
        <v>46203</v>
      </c>
      <c r="B4489" s="216" t="n">
        <v>349.4</v>
      </c>
      <c r="C4489" s="216" t="n">
        <v>346.43</v>
      </c>
      <c r="D4489" s="216" t="n">
        <v>1.153959035873413</v>
      </c>
      <c r="E4489" s="215" t="n">
        <v>46203</v>
      </c>
      <c r="F4489" s="215" t="n">
        <v>46203</v>
      </c>
    </row>
    <row r="4490">
      <c r="A4490" s="215" t="n">
        <v>46205</v>
      </c>
      <c r="B4490" s="216" t="n">
        <v>292.4</v>
      </c>
      <c r="C4490" s="216" t="n">
        <v>306.09</v>
      </c>
      <c r="D4490" s="216" t="n">
        <v>1.154355049133301</v>
      </c>
      <c r="E4490" s="215" t="n">
        <v>46205</v>
      </c>
      <c r="F4490" s="215" t="n">
        <v>46205</v>
      </c>
    </row>
    <row r="4491">
      <c r="A4491" s="215" t="n">
        <v>46206</v>
      </c>
      <c r="B4491" s="216" t="n">
        <v>297</v>
      </c>
      <c r="C4491" s="216" t="n">
        <v>308.07</v>
      </c>
      <c r="D4491" s="216" t="n">
        <v>1.155220985412598</v>
      </c>
      <c r="E4491" s="215" t="n">
        <v>46206</v>
      </c>
      <c r="F4491" s="215" t="n">
        <v>46206</v>
      </c>
    </row>
    <row r="4492">
      <c r="A4492" s="215" t="n">
        <v>46209</v>
      </c>
      <c r="B4492" s="216" t="n">
        <v>272</v>
      </c>
      <c r="C4492" s="216" t="n">
        <v>292.77</v>
      </c>
      <c r="D4492" s="216" t="n">
        <v>1.155068039894104</v>
      </c>
      <c r="E4492" s="215" t="n">
        <v>46209</v>
      </c>
      <c r="F4492" s="215" t="n">
        <v>46209</v>
      </c>
    </row>
    <row r="4493">
      <c r="A4493" s="215" t="n">
        <v>46210</v>
      </c>
      <c r="B4493" s="216" t="n">
        <v>257.2</v>
      </c>
      <c r="C4493" s="216" t="n">
        <v>284.92</v>
      </c>
      <c r="D4493" s="216" t="n">
        <v>1.153807997703552</v>
      </c>
      <c r="E4493" s="215" t="n">
        <v>46210</v>
      </c>
      <c r="F4493" s="215" t="n">
        <v>46210</v>
      </c>
    </row>
    <row r="4494">
      <c r="A4494" s="215" t="n">
        <v>46211</v>
      </c>
      <c r="B4494" s="216" t="n">
        <v>248</v>
      </c>
      <c r="C4494" s="216" t="n">
        <v>279.66</v>
      </c>
      <c r="D4494" s="216" t="n">
        <v>1.154153943061829</v>
      </c>
      <c r="E4494" s="215" t="n">
        <v>46211</v>
      </c>
      <c r="F4494" s="215" t="n">
        <v>46211</v>
      </c>
    </row>
    <row r="4495">
      <c r="A4495" s="215" t="n">
        <v>46212</v>
      </c>
      <c r="B4495" s="216" t="n">
        <v>264.2</v>
      </c>
      <c r="C4495" s="216" t="n">
        <v>296.7</v>
      </c>
      <c r="D4495" s="216" t="n">
        <v>1.152119994163513</v>
      </c>
      <c r="E4495" s="215" t="n">
        <v>46212</v>
      </c>
      <c r="F4495" s="215" t="n">
        <v>46212</v>
      </c>
    </row>
    <row r="4496">
      <c r="A4496" s="215" t="n">
        <v>46213</v>
      </c>
      <c r="B4496" s="216" t="n">
        <v>230.2</v>
      </c>
      <c r="C4496" s="216" t="n">
        <v>272</v>
      </c>
      <c r="D4496" s="216" t="n">
        <v>1.153550028800964</v>
      </c>
      <c r="E4496" s="215" t="n">
        <v>46213</v>
      </c>
      <c r="F4496" s="215" t="n">
        <v>46213</v>
      </c>
    </row>
    <row r="4497">
      <c r="A4497" s="215" t="n">
        <v>46216</v>
      </c>
      <c r="B4497" s="216" t="n">
        <v>236.6</v>
      </c>
      <c r="C4497" s="216" t="n">
        <v>273.01</v>
      </c>
      <c r="D4497" s="216" t="n">
        <v>1.156761050224304</v>
      </c>
      <c r="E4497" s="215" t="n">
        <v>46216</v>
      </c>
      <c r="F4497" s="215" t="n">
        <v>46216</v>
      </c>
    </row>
    <row r="4498">
      <c r="A4498" s="215" t="n">
        <v>46217</v>
      </c>
      <c r="B4498" s="216" t="n">
        <v>243.8</v>
      </c>
      <c r="C4498" s="216" t="n">
        <v>290.28</v>
      </c>
      <c r="D4498" s="216" t="n">
        <v>1.155825972557068</v>
      </c>
      <c r="E4498" s="215" t="n">
        <v>46217</v>
      </c>
      <c r="F4498" s="215" t="n">
        <v>46217</v>
      </c>
    </row>
    <row r="4499">
      <c r="A4499" s="215" t="n">
        <v>46218</v>
      </c>
      <c r="B4499" s="216" t="n">
        <v>236.2</v>
      </c>
      <c r="C4499" s="216" t="n">
        <v>276.77</v>
      </c>
      <c r="D4499" s="216" t="n">
        <v>1.157556056976318</v>
      </c>
      <c r="E4499" s="215" t="n">
        <v>46218</v>
      </c>
      <c r="F4499" s="215" t="n">
        <v>46218</v>
      </c>
    </row>
    <row r="4500">
      <c r="A4500" s="215" t="n">
        <v>46219</v>
      </c>
      <c r="B4500" s="216" t="n">
        <v>240.8</v>
      </c>
      <c r="C4500" s="216" t="n">
        <v>270.93</v>
      </c>
      <c r="D4500" s="216" t="n">
        <v>1.157912969589233</v>
      </c>
      <c r="E4500" s="215" t="n">
        <v>46219</v>
      </c>
      <c r="F4500" s="215" t="n">
        <v>46219</v>
      </c>
    </row>
    <row r="4501">
      <c r="A4501" s="215" t="n">
        <v>46220</v>
      </c>
      <c r="B4501" s="216" t="n">
        <v>215</v>
      </c>
      <c r="C4501" s="216" t="n">
        <v>241.5</v>
      </c>
      <c r="D4501" s="216" t="n">
        <v>1.157472014427185</v>
      </c>
      <c r="E4501" s="215" t="n">
        <v>46220</v>
      </c>
      <c r="F4501" s="215" t="n">
        <v>46220</v>
      </c>
    </row>
    <row r="4502">
      <c r="A4502" s="215" t="n">
        <v>46223</v>
      </c>
      <c r="B4502" s="216" t="n">
        <v>212.4</v>
      </c>
      <c r="C4502" s="216" t="n">
        <v>224.11</v>
      </c>
      <c r="D4502" s="216" t="n">
        <v>1.157451033592224</v>
      </c>
      <c r="E4502" s="215" t="n">
        <v>46223</v>
      </c>
      <c r="F4502" s="215" t="n">
        <v>46223</v>
      </c>
    </row>
    <row r="4503">
      <c r="A4503" s="215" t="n">
        <v>46224</v>
      </c>
      <c r="B4503" s="216" t="n">
        <v>227.6</v>
      </c>
      <c r="C4503" s="216" t="n">
        <v>240.27</v>
      </c>
      <c r="D4503" s="216" t="n">
        <v>1.157506942749023</v>
      </c>
      <c r="E4503" s="215" t="n">
        <v>46224</v>
      </c>
      <c r="F4503" s="215" t="n">
        <v>46224</v>
      </c>
    </row>
    <row r="4504">
      <c r="A4504" s="215" t="n">
        <v>46225</v>
      </c>
      <c r="B4504" s="216" t="n">
        <v>226.8</v>
      </c>
      <c r="C4504" s="216" t="n">
        <v>240.4</v>
      </c>
      <c r="D4504" s="216" t="n">
        <v>1.158938050270081</v>
      </c>
      <c r="E4504" s="215" t="n">
        <v>46225</v>
      </c>
      <c r="F4504" s="215" t="n">
        <v>46225</v>
      </c>
    </row>
    <row r="4505">
      <c r="A4505" s="215" t="n">
        <v>46226</v>
      </c>
      <c r="B4505" s="216" t="n">
        <v>230</v>
      </c>
      <c r="C4505" s="216" t="n">
        <v>238.93</v>
      </c>
      <c r="D4505" s="216" t="n">
        <v>1.157410979270935</v>
      </c>
      <c r="E4505" s="215" t="n">
        <v>46226</v>
      </c>
      <c r="F4505" s="215" t="n">
        <v>46226</v>
      </c>
    </row>
    <row r="4506">
      <c r="A4506" s="215" t="n">
        <v>46227</v>
      </c>
      <c r="B4506" s="216" t="n">
        <v>214.4</v>
      </c>
      <c r="C4506" s="216" t="n">
        <v>230.01</v>
      </c>
      <c r="D4506" s="216" t="n">
        <v>1.15762197971344</v>
      </c>
      <c r="E4506" s="215" t="n">
        <v>46227</v>
      </c>
      <c r="F4506" s="215" t="n">
        <v>46227</v>
      </c>
    </row>
    <row r="4507">
      <c r="A4507" s="215" t="n">
        <v>46230</v>
      </c>
      <c r="B4507" s="216" t="n">
        <v>227.8</v>
      </c>
      <c r="C4507" s="216" t="n">
        <v>238.66</v>
      </c>
      <c r="D4507" s="216" t="n">
        <v>1.15789794921875</v>
      </c>
      <c r="E4507" s="215" t="n">
        <v>46230</v>
      </c>
      <c r="F4507" s="215" t="n">
        <v>46230</v>
      </c>
    </row>
    <row r="4508">
      <c r="A4508" s="215" t="n">
        <v>46231</v>
      </c>
      <c r="B4508" s="216" t="n">
        <v>193.6</v>
      </c>
      <c r="C4508" s="216" t="n">
        <v>210.18</v>
      </c>
      <c r="D4508" s="216" t="n">
        <v>1.158699035644531</v>
      </c>
      <c r="E4508" s="215" t="n">
        <v>46231</v>
      </c>
      <c r="F4508" s="215" t="n">
        <v>46231</v>
      </c>
    </row>
    <row r="4509">
      <c r="A4509" s="215" t="n">
        <v>46232</v>
      </c>
      <c r="B4509" s="216" t="n">
        <v>178.3</v>
      </c>
      <c r="C4509" s="216" t="n">
        <v>201.61</v>
      </c>
      <c r="D4509" s="216" t="n">
        <v>1.157909989356995</v>
      </c>
      <c r="E4509" s="215" t="n">
        <v>46232</v>
      </c>
      <c r="F4509" s="215" t="n">
        <v>46232</v>
      </c>
    </row>
    <row r="4510">
      <c r="A4510" s="215" t="n">
        <v>46233</v>
      </c>
      <c r="B4510" s="216" t="n">
        <v>168.3</v>
      </c>
      <c r="C4510" s="216" t="n">
        <v>180.36</v>
      </c>
      <c r="D4510" s="216" t="n">
        <v>1.158943057060242</v>
      </c>
      <c r="E4510" s="215" t="n">
        <v>46233</v>
      </c>
      <c r="F4510" s="215" t="n">
        <v>46233</v>
      </c>
    </row>
    <row r="4511">
      <c r="A4511" s="215" t="n">
        <v>46234</v>
      </c>
      <c r="B4511" s="216" t="n">
        <v>184.4</v>
      </c>
      <c r="C4511" s="216" t="n">
        <v>190.4</v>
      </c>
      <c r="D4511" s="216" t="n">
        <v>1.160945057868958</v>
      </c>
      <c r="E4511" s="215" t="n">
        <v>46234</v>
      </c>
      <c r="F4511" s="215" t="n">
        <v>46234</v>
      </c>
    </row>
    <row r="4512">
      <c r="A4512" s="215" t="n">
        <v>46237</v>
      </c>
      <c r="B4512" s="216" t="n">
        <v>184</v>
      </c>
      <c r="C4512" s="216" t="n">
        <v>189.3</v>
      </c>
      <c r="D4512" s="216" t="n">
        <v>1.161579966545105</v>
      </c>
      <c r="E4512" s="215" t="n">
        <v>46237</v>
      </c>
      <c r="F4512" s="215" t="n">
        <v>46237</v>
      </c>
    </row>
    <row r="4513">
      <c r="A4513" s="215" t="n">
        <v>46238</v>
      </c>
      <c r="B4513" s="216" t="n">
        <v>190.4</v>
      </c>
      <c r="C4513" s="216" t="n">
        <v>201.8</v>
      </c>
      <c r="D4513" s="216" t="n">
        <v>1.161064982414246</v>
      </c>
      <c r="E4513" s="215" t="n">
        <v>46238</v>
      </c>
      <c r="F4513" s="215" t="n">
        <v>46238</v>
      </c>
    </row>
    <row r="4514">
      <c r="A4514" s="215" t="n">
        <v>46239</v>
      </c>
      <c r="B4514" s="216" t="n">
        <v>221.2</v>
      </c>
      <c r="C4514" s="216" t="n">
        <v>236.35</v>
      </c>
      <c r="D4514" s="216" t="n">
        <v>1.161146998405457</v>
      </c>
      <c r="E4514" s="215" t="n">
        <v>46239</v>
      </c>
      <c r="F4514" s="215" t="n">
        <v>46239</v>
      </c>
    </row>
    <row r="4515">
      <c r="A4515" s="215" t="n">
        <v>46240</v>
      </c>
      <c r="B4515" s="216" t="n">
        <v>231</v>
      </c>
      <c r="C4515" s="216" t="n">
        <v>250.15</v>
      </c>
      <c r="D4515" s="216" t="n">
        <v>1.161936044692993</v>
      </c>
      <c r="E4515" s="215" t="n">
        <v>46240</v>
      </c>
      <c r="F4515" s="215" t="n">
        <v>46240</v>
      </c>
    </row>
    <row r="4516">
      <c r="A4516" s="215" t="n">
        <v>46241</v>
      </c>
      <c r="B4516" s="216" t="n">
        <v>256.2</v>
      </c>
      <c r="C4516" s="216" t="n">
        <v>280.2</v>
      </c>
      <c r="D4516" s="216" t="n">
        <v>1.162284016609192</v>
      </c>
      <c r="E4516" s="215" t="n">
        <v>46241</v>
      </c>
      <c r="F4516" s="215" t="n">
        <v>46241</v>
      </c>
    </row>
    <row r="4517">
      <c r="A4517" s="215" t="n">
        <v>46244</v>
      </c>
      <c r="B4517" s="216" t="n">
        <v>255.2</v>
      </c>
      <c r="C4517" s="216" t="n">
        <v>286</v>
      </c>
      <c r="D4517" s="216" t="n">
        <v>1.162629961967468</v>
      </c>
      <c r="E4517" s="215" t="n">
        <v>46244</v>
      </c>
      <c r="F4517" s="215" t="n">
        <v>46244</v>
      </c>
    </row>
    <row r="4518">
      <c r="A4518" s="215" t="n">
        <v>46245</v>
      </c>
      <c r="B4518" s="216" t="n">
        <v>242</v>
      </c>
      <c r="C4518" s="216" t="n">
        <v>274.53</v>
      </c>
      <c r="D4518" s="216" t="n">
        <v>1.162588000297546</v>
      </c>
      <c r="E4518" s="215" t="n">
        <v>46245</v>
      </c>
      <c r="F4518" s="215" t="n">
        <v>46245</v>
      </c>
    </row>
    <row r="4519">
      <c r="A4519" s="215" t="n">
        <v>46246</v>
      </c>
      <c r="B4519" s="216" t="n">
        <v>253.8</v>
      </c>
      <c r="C4519" s="216" t="n">
        <v>279.39</v>
      </c>
      <c r="D4519" s="216" t="n">
        <v>1.163135051727295</v>
      </c>
      <c r="E4519" s="215" t="n">
        <v>46246</v>
      </c>
      <c r="F4519" s="215" t="n">
        <v>46246</v>
      </c>
    </row>
    <row r="4520">
      <c r="A4520" s="215" t="n">
        <v>46247</v>
      </c>
      <c r="B4520" s="216" t="n">
        <v>238.6</v>
      </c>
      <c r="C4520" s="216" t="n">
        <v>271.3</v>
      </c>
      <c r="D4520" s="216" t="n">
        <v>1.163341045379639</v>
      </c>
      <c r="E4520" s="215" t="n">
        <v>46247</v>
      </c>
      <c r="F4520" s="215" t="n">
        <v>46247</v>
      </c>
    </row>
    <row r="4521">
      <c r="A4521" s="215" t="n">
        <v>46248</v>
      </c>
      <c r="B4521" s="216" t="n">
        <v>241</v>
      </c>
      <c r="C4521" s="216" t="n">
        <v>269.33</v>
      </c>
      <c r="D4521" s="216" t="n">
        <v>1.163571000099182</v>
      </c>
      <c r="E4521" s="215" t="n">
        <v>46248</v>
      </c>
      <c r="F4521" s="215" t="n">
        <v>46248</v>
      </c>
    </row>
    <row r="4522">
      <c r="A4522" s="215" t="n">
        <v>46251</v>
      </c>
      <c r="B4522" s="216" t="n">
        <v>256.6</v>
      </c>
      <c r="C4522" s="216" t="n">
        <v>276</v>
      </c>
      <c r="D4522" s="216" t="n">
        <v>1.163601994514465</v>
      </c>
      <c r="E4522" s="215" t="n">
        <v>46251</v>
      </c>
      <c r="F4522" s="215" t="n">
        <v>46251</v>
      </c>
    </row>
    <row r="4523">
      <c r="A4523" s="215" t="n">
        <v>46252</v>
      </c>
      <c r="B4523" s="216" t="n">
        <v>241.4</v>
      </c>
      <c r="C4523" s="216" t="n">
        <v>269.4</v>
      </c>
      <c r="D4523" s="216" t="n">
        <v>1.163733005523682</v>
      </c>
      <c r="E4523" s="215" t="n">
        <v>46252</v>
      </c>
      <c r="F4523" s="215" t="n">
        <v>46252</v>
      </c>
    </row>
    <row r="4524">
      <c r="A4524" s="215" t="n">
        <v>46253</v>
      </c>
      <c r="B4524" s="216" t="n">
        <v>224.6</v>
      </c>
      <c r="C4524" s="216" t="n">
        <v>245.38</v>
      </c>
      <c r="D4524" s="216" t="n">
        <v>1.163092017173767</v>
      </c>
      <c r="E4524" s="215" t="n">
        <v>46253</v>
      </c>
      <c r="F4524" s="215" t="n">
        <v>46253</v>
      </c>
    </row>
    <row r="4525">
      <c r="A4525" s="215" t="n">
        <v>46254</v>
      </c>
      <c r="B4525" s="216" t="n">
        <v>226.8</v>
      </c>
      <c r="C4525" s="216" t="n">
        <v>253.45</v>
      </c>
      <c r="D4525" s="216" t="n">
        <v>1.164932012557983</v>
      </c>
      <c r="E4525" s="215" t="n">
        <v>46254</v>
      </c>
      <c r="F4525" s="215" t="n">
        <v>46254</v>
      </c>
    </row>
    <row r="4526">
      <c r="A4526" s="215" t="n">
        <v>46255</v>
      </c>
      <c r="B4526" s="216" t="n">
        <v>233.6</v>
      </c>
      <c r="C4526" s="216" t="n">
        <v>253.74</v>
      </c>
      <c r="D4526" s="216" t="n">
        <v>1.166555047035217</v>
      </c>
      <c r="E4526" s="215" t="n">
        <v>46255</v>
      </c>
      <c r="F4526" s="215" t="n">
        <v>46255</v>
      </c>
    </row>
    <row r="4527">
      <c r="A4527" s="215" t="n">
        <v>46258</v>
      </c>
      <c r="B4527" s="216" t="n">
        <v>223</v>
      </c>
      <c r="C4527" s="216" t="n">
        <v>245</v>
      </c>
      <c r="D4527" s="216" t="n">
        <v>1.166316986083984</v>
      </c>
      <c r="E4527" s="215" t="n">
        <v>46258</v>
      </c>
      <c r="F4527" s="215" t="n">
        <v>46258</v>
      </c>
    </row>
    <row r="4528">
      <c r="A4528" s="215" t="n">
        <v>46259</v>
      </c>
      <c r="B4528" s="216" t="n">
        <v>228</v>
      </c>
      <c r="C4528" s="216" t="n">
        <v>244.99</v>
      </c>
      <c r="D4528" s="216" t="n">
        <v>1.165253043174744</v>
      </c>
      <c r="E4528" s="215" t="n">
        <v>46259</v>
      </c>
      <c r="F4528" s="215" t="n">
        <v>46259</v>
      </c>
    </row>
    <row r="4529">
      <c r="A4529" s="215" t="n">
        <v>46260</v>
      </c>
      <c r="B4529" s="216" t="n">
        <v>236.6</v>
      </c>
      <c r="C4529" s="216" t="n">
        <v>249.44</v>
      </c>
      <c r="D4529" s="216" t="n">
        <v>1.166218996047974</v>
      </c>
      <c r="E4529" s="215" t="n">
        <v>46260</v>
      </c>
      <c r="F4529" s="215" t="n">
        <v>46260</v>
      </c>
    </row>
    <row r="4530">
      <c r="A4530" s="215" t="n">
        <v>46261</v>
      </c>
      <c r="B4530" s="216" t="n">
        <v>253</v>
      </c>
      <c r="C4530" s="216" t="n">
        <v>263.05</v>
      </c>
      <c r="D4530" s="216" t="n">
        <v>1.165971040725708</v>
      </c>
      <c r="E4530" s="215" t="n">
        <v>46261</v>
      </c>
      <c r="F4530" s="215" t="n">
        <v>46261</v>
      </c>
    </row>
    <row r="4531">
      <c r="A4531" s="215" t="n">
        <v>46262</v>
      </c>
      <c r="B4531" s="216" t="n">
        <v>220.2</v>
      </c>
      <c r="C4531" s="216" t="n">
        <v>241.6</v>
      </c>
      <c r="D4531" s="216" t="n">
        <v>1.165799975395203</v>
      </c>
      <c r="E4531" s="215" t="n">
        <v>46262</v>
      </c>
      <c r="F4531" s="215" t="n">
        <v>46262</v>
      </c>
    </row>
    <row r="4532">
      <c r="A4532" s="215" t="n">
        <v>46265</v>
      </c>
      <c r="B4532" s="216" t="n">
        <v>220.2</v>
      </c>
      <c r="C4532" s="216" t="n">
        <v>243.14</v>
      </c>
      <c r="D4532" s="216" t="n">
        <v>1.165387988090515</v>
      </c>
      <c r="E4532" s="215" t="n">
        <v>46265</v>
      </c>
      <c r="F4532" s="215" t="n">
        <v>46265</v>
      </c>
    </row>
    <row r="4533">
      <c r="A4533" s="215" t="n">
        <v>46266</v>
      </c>
      <c r="B4533" s="216" t="n">
        <v>215</v>
      </c>
      <c r="C4533" s="216" t="n">
        <v>232.98</v>
      </c>
      <c r="D4533" s="216" t="n">
        <v>1.165223956108093</v>
      </c>
      <c r="E4533" s="215" t="n">
        <v>46266</v>
      </c>
      <c r="F4533" s="215" t="n">
        <v>46266</v>
      </c>
    </row>
    <row r="4534">
      <c r="A4534" s="215" t="n">
        <v>46267</v>
      </c>
      <c r="B4534" s="216" t="n">
        <v>201.8</v>
      </c>
      <c r="C4534" s="216" t="n">
        <v>225.18</v>
      </c>
      <c r="D4534" s="216" t="n">
        <v>1.166425943374634</v>
      </c>
      <c r="E4534" s="215" t="n">
        <v>46267</v>
      </c>
      <c r="F4534" s="215" t="n">
        <v>46267</v>
      </c>
    </row>
    <row r="4535">
      <c r="A4535" s="215" t="n">
        <v>46268</v>
      </c>
      <c r="B4535" s="216" t="n">
        <v>201</v>
      </c>
      <c r="C4535" s="216" t="n">
        <v>222.5</v>
      </c>
      <c r="D4535" s="216" t="n">
        <v>1.167057037353516</v>
      </c>
      <c r="E4535" s="215" t="n">
        <v>46268</v>
      </c>
      <c r="F4535" s="215" t="n">
        <v>46268</v>
      </c>
    </row>
    <row r="4536">
      <c r="A4536" s="215" t="n">
        <v>46269</v>
      </c>
      <c r="B4536" s="216" t="n">
        <v>197.5</v>
      </c>
      <c r="C4536" s="216" t="n">
        <v>219.5</v>
      </c>
      <c r="D4536" s="216" t="n">
        <v>1.166767954826355</v>
      </c>
      <c r="E4536" s="215" t="n">
        <v>46269</v>
      </c>
      <c r="F4536" s="215" t="n">
        <v>46269</v>
      </c>
    </row>
    <row r="4537">
      <c r="A4537" s="215" t="n">
        <v>46272</v>
      </c>
      <c r="B4537" s="216" t="n">
        <v>216.2</v>
      </c>
      <c r="C4537" s="216" t="n">
        <v>233.46</v>
      </c>
      <c r="D4537" s="216" t="n">
        <v>1.168081045150757</v>
      </c>
      <c r="E4537" s="215" t="n">
        <v>46272</v>
      </c>
      <c r="F4537" s="215" t="n">
        <v>46272</v>
      </c>
    </row>
    <row r="4538">
      <c r="A4538" s="215" t="n">
        <v>46273</v>
      </c>
      <c r="B4538" s="216" t="n">
        <v>206.8</v>
      </c>
      <c r="C4538" s="216" t="n">
        <v>229.01</v>
      </c>
      <c r="D4538" s="216" t="n">
        <v>1.168115019798279</v>
      </c>
      <c r="E4538" s="215" t="n">
        <v>46273</v>
      </c>
      <c r="F4538" s="215" t="n">
        <v>46273</v>
      </c>
    </row>
    <row r="4539">
      <c r="A4539" s="215" t="n">
        <v>46274</v>
      </c>
      <c r="B4539" s="216" t="n">
        <v>211.4</v>
      </c>
      <c r="C4539" s="216" t="n">
        <v>233.51</v>
      </c>
      <c r="D4539" s="216" t="n">
        <v>1.168408989906311</v>
      </c>
      <c r="E4539" s="215" t="n">
        <v>46274</v>
      </c>
      <c r="F4539" s="215" t="n">
        <v>46274</v>
      </c>
    </row>
    <row r="4540">
      <c r="A4540" s="215" t="n">
        <v>46275</v>
      </c>
      <c r="B4540" s="216" t="n">
        <v>204.6</v>
      </c>
      <c r="C4540" s="216" t="n">
        <v>229.95</v>
      </c>
      <c r="D4540" s="216" t="n">
        <v>1.168462991714478</v>
      </c>
      <c r="E4540" s="215" t="n">
        <v>46275</v>
      </c>
      <c r="F4540" s="215" t="n">
        <v>46275</v>
      </c>
    </row>
    <row r="4541">
      <c r="A4541" s="215" t="n">
        <v>46276</v>
      </c>
      <c r="B4541" s="216" t="n">
        <v>200</v>
      </c>
      <c r="C4541" s="216" t="n">
        <v>228.99</v>
      </c>
      <c r="D4541" s="216" t="n">
        <v>1.169165015220642</v>
      </c>
      <c r="E4541" s="215" t="n">
        <v>46276</v>
      </c>
      <c r="F4541" s="215" t="n">
        <v>46276</v>
      </c>
    </row>
    <row r="4542">
      <c r="A4542" s="215" t="n">
        <v>46279</v>
      </c>
      <c r="B4542" s="216" t="n">
        <v>191.5</v>
      </c>
      <c r="C4542" s="216" t="n">
        <v>225</v>
      </c>
      <c r="D4542" s="216" t="n">
        <v>1.16893994808197</v>
      </c>
      <c r="E4542" s="215" t="n">
        <v>46279</v>
      </c>
      <c r="F4542" s="215" t="n">
        <v>46279</v>
      </c>
    </row>
    <row r="4543">
      <c r="A4543" s="215" t="n">
        <v>46280</v>
      </c>
      <c r="B4543" s="216" t="n">
        <v>195.2</v>
      </c>
      <c r="C4543" s="216" t="n">
        <v>226.06</v>
      </c>
      <c r="D4543" s="216" t="n">
        <v>1.169121026992798</v>
      </c>
      <c r="E4543" s="215" t="n">
        <v>46280</v>
      </c>
      <c r="F4543" s="215" t="n">
        <v>46280</v>
      </c>
    </row>
    <row r="4544">
      <c r="A4544" s="215" t="n">
        <v>46281</v>
      </c>
      <c r="B4544" s="216" t="n">
        <v>197.4</v>
      </c>
      <c r="C4544" s="216" t="n">
        <v>230.36</v>
      </c>
      <c r="D4544" s="216" t="n">
        <v>1.168769955635071</v>
      </c>
      <c r="E4544" s="215" t="n">
        <v>46281</v>
      </c>
      <c r="F4544" s="215" t="n">
        <v>46281</v>
      </c>
    </row>
    <row r="4545">
      <c r="A4545" s="215" t="n">
        <v>46282</v>
      </c>
      <c r="B4545" s="216" t="n">
        <v>193</v>
      </c>
      <c r="C4545" s="216" t="n">
        <v>222.9</v>
      </c>
      <c r="D4545" s="216" t="n">
        <v>1.169389963150024</v>
      </c>
      <c r="E4545" s="215" t="n">
        <v>46282</v>
      </c>
      <c r="F4545" s="215" t="n">
        <v>46282</v>
      </c>
    </row>
    <row r="4546">
      <c r="A4546" s="215" t="n">
        <v>46283</v>
      </c>
      <c r="B4546" s="216" t="n">
        <v>199.4</v>
      </c>
      <c r="C4546" s="216" t="n">
        <v>227.05</v>
      </c>
      <c r="D4546" s="216" t="n">
        <v>1.16942298412323</v>
      </c>
      <c r="E4546" s="215" t="n">
        <v>46283</v>
      </c>
      <c r="F4546" s="215" t="n">
        <v>46283</v>
      </c>
    </row>
    <row r="4547">
      <c r="A4547" s="215" t="n">
        <v>46286</v>
      </c>
      <c r="B4547" s="216" t="n">
        <v>225.2</v>
      </c>
      <c r="C4547" s="216" t="n">
        <v>248</v>
      </c>
      <c r="D4547" s="216" t="n">
        <v>1.171280026435852</v>
      </c>
      <c r="E4547" s="215" t="n">
        <v>46286</v>
      </c>
      <c r="F4547" s="215" t="n">
        <v>46286</v>
      </c>
    </row>
    <row r="4548">
      <c r="A4548" s="215" t="n">
        <v>46287</v>
      </c>
      <c r="B4548" s="216" t="n">
        <v>216.8</v>
      </c>
      <c r="C4548" s="216" t="n">
        <v>242.1</v>
      </c>
      <c r="D4548" s="216" t="n">
        <v>1.171705007553101</v>
      </c>
      <c r="E4548" s="215" t="n">
        <v>46287</v>
      </c>
      <c r="F4548" s="215" t="n">
        <v>46287</v>
      </c>
    </row>
    <row r="4549">
      <c r="A4549" s="215" t="n">
        <v>46288</v>
      </c>
      <c r="B4549" s="216" t="n">
        <v>225</v>
      </c>
      <c r="C4549" s="216" t="n">
        <v>244.3</v>
      </c>
      <c r="D4549" s="216" t="n">
        <v>1.170611023902893</v>
      </c>
      <c r="E4549" s="215" t="n">
        <v>46288</v>
      </c>
      <c r="F4549" s="215" t="n">
        <v>46288</v>
      </c>
    </row>
    <row r="4550">
      <c r="A4550" s="215" t="n">
        <v>46289</v>
      </c>
      <c r="B4550" s="216" t="n">
        <v>217.8</v>
      </c>
      <c r="C4550" s="216" t="n">
        <v>232.69</v>
      </c>
      <c r="D4550" s="216" t="n">
        <v>1.16852605342865</v>
      </c>
      <c r="E4550" s="215" t="n">
        <v>46289</v>
      </c>
      <c r="F4550" s="215" t="n">
        <v>46289</v>
      </c>
    </row>
    <row r="4551">
      <c r="A4551" s="215" t="n">
        <v>46290</v>
      </c>
      <c r="B4551" s="216" t="n">
        <v>216</v>
      </c>
      <c r="C4551" s="216" t="n">
        <v>232.69</v>
      </c>
      <c r="D4551" s="216" t="n">
        <v>1.168424010276794</v>
      </c>
      <c r="E4551" s="215" t="n">
        <v>46289</v>
      </c>
      <c r="F4551" s="215" t="n">
        <v>46290</v>
      </c>
    </row>
    <row r="4552">
      <c r="A4552" s="215" t="n">
        <v>46293</v>
      </c>
      <c r="B4552" s="216" t="n">
        <v>194.1</v>
      </c>
      <c r="C4552" s="216" t="n">
        <v>213.5</v>
      </c>
      <c r="D4552" s="216" t="n">
        <v>1.168378949165344</v>
      </c>
      <c r="E4552" s="215" t="n">
        <v>46293</v>
      </c>
      <c r="F4552" s="215" t="n">
        <v>46293</v>
      </c>
    </row>
    <row r="4553">
      <c r="A4553" s="215" t="n">
        <v>46294</v>
      </c>
      <c r="B4553" s="216" t="n">
        <v>200</v>
      </c>
      <c r="C4553" s="216" t="n">
        <v>216.76</v>
      </c>
      <c r="D4553" s="216" t="n">
        <v>1.168815970420837</v>
      </c>
      <c r="E4553" s="215" t="n">
        <v>46294</v>
      </c>
      <c r="F4553" s="215" t="n">
        <v>46294</v>
      </c>
    </row>
    <row r="4554">
      <c r="A4554" s="215" t="n">
        <v>46295</v>
      </c>
      <c r="B4554" s="216" t="n">
        <v>197.5</v>
      </c>
      <c r="C4554" s="216" t="n">
        <v>210.3</v>
      </c>
      <c r="D4554" s="216" t="n">
        <v>1.17059600353241</v>
      </c>
      <c r="E4554" s="215" t="n">
        <v>46295</v>
      </c>
      <c r="F4554" s="215" t="n">
        <v>46295</v>
      </c>
    </row>
    <row r="4555">
      <c r="A4555" s="215" t="n">
        <v>46297</v>
      </c>
      <c r="B4555" s="216" t="n">
        <v>195.1</v>
      </c>
      <c r="C4555" s="216" t="n">
        <v>210.3</v>
      </c>
      <c r="D4555" s="216" t="n">
        <v>1.170220971107483</v>
      </c>
      <c r="E4555" s="215" t="n">
        <v>46295</v>
      </c>
      <c r="F4555" s="215" t="n">
        <v>46297</v>
      </c>
    </row>
    <row r="4556">
      <c r="A4556" s="215" t="n">
        <v>46233</v>
      </c>
      <c r="B4556" s="216" t="n">
        <v>960</v>
      </c>
      <c r="C4556" s="216" t="n">
        <v>864</v>
      </c>
      <c r="D4556" s="216" t="n">
        <v>1.158943057060242</v>
      </c>
      <c r="E4556" s="215" t="n">
        <v>46233</v>
      </c>
      <c r="F4556" s="215" t="n">
        <v>46233</v>
      </c>
    </row>
    <row r="4557">
      <c r="A4557" s="215" t="n">
        <v>46234</v>
      </c>
      <c r="B4557" s="216" t="n">
        <v>1028</v>
      </c>
      <c r="C4557" s="216" t="n">
        <v>902.01</v>
      </c>
      <c r="D4557" s="216" t="n">
        <v>1.160945057868958</v>
      </c>
      <c r="E4557" s="215" t="n">
        <v>46234</v>
      </c>
      <c r="F4557" s="215" t="n">
        <v>46234</v>
      </c>
    </row>
    <row r="4558">
      <c r="A4558" s="215" t="n">
        <v>46237</v>
      </c>
      <c r="B4558" s="216" t="n">
        <v>1006</v>
      </c>
      <c r="C4558" s="216" t="n">
        <v>902.5</v>
      </c>
      <c r="D4558" s="216" t="n">
        <v>1.161579966545105</v>
      </c>
      <c r="E4558" s="215" t="n">
        <v>46237</v>
      </c>
      <c r="F4558" s="215" t="n">
        <v>46237</v>
      </c>
    </row>
    <row r="4559">
      <c r="A4559" s="215" t="n">
        <v>46238</v>
      </c>
      <c r="B4559" s="216" t="n">
        <v>1177</v>
      </c>
      <c r="C4559" s="216" t="n">
        <v>1021.99</v>
      </c>
      <c r="D4559" s="216" t="n">
        <v>1.161064982414246</v>
      </c>
      <c r="E4559" s="215" t="n">
        <v>46238</v>
      </c>
      <c r="F4559" s="215" t="n">
        <v>46238</v>
      </c>
    </row>
    <row r="4560">
      <c r="A4560" s="215" t="n">
        <v>46239</v>
      </c>
      <c r="B4560" s="216" t="n">
        <v>1116</v>
      </c>
      <c r="C4560" s="216" t="n">
        <v>947.74</v>
      </c>
      <c r="D4560" s="216" t="n">
        <v>1.161146998405457</v>
      </c>
      <c r="E4560" s="215" t="n">
        <v>46239</v>
      </c>
      <c r="F4560" s="215" t="n">
        <v>46239</v>
      </c>
    </row>
    <row r="4561">
      <c r="A4561" s="215" t="n">
        <v>46240</v>
      </c>
      <c r="B4561" s="216" t="n">
        <v>1151</v>
      </c>
      <c r="C4561" s="216" t="n">
        <v>955</v>
      </c>
      <c r="D4561" s="216" t="n">
        <v>1.161936044692993</v>
      </c>
      <c r="E4561" s="215" t="n">
        <v>46240</v>
      </c>
      <c r="F4561" s="215" t="n">
        <v>46240</v>
      </c>
    </row>
    <row r="4562">
      <c r="A4562" s="215" t="n">
        <v>46241</v>
      </c>
      <c r="B4562" s="216" t="n">
        <v>1110</v>
      </c>
      <c r="C4562" s="216" t="n">
        <v>919.87</v>
      </c>
      <c r="D4562" s="216" t="n">
        <v>1.162284016609192</v>
      </c>
      <c r="E4562" s="215" t="n">
        <v>46241</v>
      </c>
      <c r="F4562" s="215" t="n">
        <v>46241</v>
      </c>
    </row>
    <row r="4563">
      <c r="A4563" s="215" t="n">
        <v>46244</v>
      </c>
      <c r="B4563" s="216" t="n">
        <v>1033</v>
      </c>
      <c r="C4563" s="216" t="n">
        <v>864.58</v>
      </c>
      <c r="D4563" s="216" t="n">
        <v>1.162629961967468</v>
      </c>
      <c r="E4563" s="215" t="n">
        <v>46244</v>
      </c>
      <c r="F4563" s="215" t="n">
        <v>46244</v>
      </c>
    </row>
    <row r="4564">
      <c r="A4564" s="215" t="n">
        <v>46245</v>
      </c>
      <c r="B4564" s="216" t="n">
        <v>1019</v>
      </c>
      <c r="C4564" s="216" t="n">
        <v>886.96</v>
      </c>
      <c r="D4564" s="216" t="n">
        <v>1.162588000297546</v>
      </c>
      <c r="E4564" s="215" t="n">
        <v>46245</v>
      </c>
      <c r="F4564" s="215" t="n">
        <v>46245</v>
      </c>
    </row>
    <row r="4565">
      <c r="A4565" s="215" t="n">
        <v>46246</v>
      </c>
      <c r="B4565" s="216" t="n">
        <v>1109</v>
      </c>
      <c r="C4565" s="216" t="n">
        <v>921</v>
      </c>
      <c r="D4565" s="216" t="n">
        <v>1.163135051727295</v>
      </c>
      <c r="E4565" s="215" t="n">
        <v>46246</v>
      </c>
      <c r="F4565" s="215" t="n">
        <v>46246</v>
      </c>
    </row>
    <row r="4566">
      <c r="A4566" s="215" t="n">
        <v>46247</v>
      </c>
      <c r="B4566" s="216" t="n">
        <v>1141</v>
      </c>
      <c r="C4566" s="216" t="n">
        <v>921.04</v>
      </c>
      <c r="D4566" s="216" t="n">
        <v>1.163341045379639</v>
      </c>
      <c r="E4566" s="215" t="n">
        <v>46247</v>
      </c>
      <c r="F4566" s="215" t="n">
        <v>46247</v>
      </c>
    </row>
    <row r="4567">
      <c r="A4567" s="215" t="n">
        <v>46248</v>
      </c>
      <c r="B4567" s="216" t="n">
        <v>1174</v>
      </c>
      <c r="C4567" s="216" t="n">
        <v>943</v>
      </c>
      <c r="D4567" s="216" t="n">
        <v>1.163571000099182</v>
      </c>
      <c r="E4567" s="215" t="n">
        <v>46248</v>
      </c>
      <c r="F4567" s="215" t="n">
        <v>46248</v>
      </c>
    </row>
    <row r="4568">
      <c r="A4568" s="215" t="n">
        <v>46251</v>
      </c>
      <c r="B4568" s="216" t="n">
        <v>1270</v>
      </c>
      <c r="C4568" s="216" t="n">
        <v>1001.03</v>
      </c>
      <c r="D4568" s="216" t="n">
        <v>1.163601994514465</v>
      </c>
      <c r="E4568" s="215" t="n">
        <v>46251</v>
      </c>
      <c r="F4568" s="215" t="n">
        <v>46251</v>
      </c>
    </row>
    <row r="4569">
      <c r="A4569" s="215" t="n">
        <v>46252</v>
      </c>
      <c r="B4569" s="216" t="n">
        <v>1223</v>
      </c>
      <c r="C4569" s="216" t="n">
        <v>988.1</v>
      </c>
      <c r="D4569" s="216" t="n">
        <v>1.163733005523682</v>
      </c>
      <c r="E4569" s="215" t="n">
        <v>46252</v>
      </c>
      <c r="F4569" s="215" t="n">
        <v>46252</v>
      </c>
    </row>
    <row r="4570">
      <c r="A4570" s="215" t="n">
        <v>46253</v>
      </c>
      <c r="B4570" s="216" t="n">
        <v>1100</v>
      </c>
      <c r="C4570" s="216" t="n">
        <v>895.6</v>
      </c>
      <c r="D4570" s="216" t="n">
        <v>1.163092017173767</v>
      </c>
      <c r="E4570" s="215" t="n">
        <v>46253</v>
      </c>
      <c r="F4570" s="215" t="n">
        <v>46253</v>
      </c>
    </row>
    <row r="4571">
      <c r="A4571" s="215" t="n">
        <v>46254</v>
      </c>
      <c r="B4571" s="216" t="n">
        <v>1099</v>
      </c>
      <c r="C4571" s="216" t="n">
        <v>904.2</v>
      </c>
      <c r="D4571" s="216" t="n">
        <v>1.164932012557983</v>
      </c>
      <c r="E4571" s="215" t="n">
        <v>46254</v>
      </c>
      <c r="F4571" s="215" t="n">
        <v>46254</v>
      </c>
    </row>
    <row r="4572">
      <c r="A4572" s="215" t="n">
        <v>46255</v>
      </c>
      <c r="B4572" s="216" t="n">
        <v>1140</v>
      </c>
      <c r="C4572" s="216" t="n">
        <v>943</v>
      </c>
      <c r="D4572" s="216" t="n">
        <v>1.166555047035217</v>
      </c>
      <c r="E4572" s="215" t="n">
        <v>46255</v>
      </c>
      <c r="F4572" s="215" t="n">
        <v>46255</v>
      </c>
    </row>
    <row r="4573">
      <c r="A4573" s="215" t="n">
        <v>46258</v>
      </c>
      <c r="B4573" s="216" t="n">
        <v>1011</v>
      </c>
      <c r="C4573" s="216" t="n">
        <v>870.22</v>
      </c>
      <c r="D4573" s="216" t="n">
        <v>1.166316986083984</v>
      </c>
      <c r="E4573" s="215" t="n">
        <v>46258</v>
      </c>
      <c r="F4573" s="215" t="n">
        <v>46258</v>
      </c>
    </row>
    <row r="4574">
      <c r="A4574" s="215" t="n">
        <v>46259</v>
      </c>
      <c r="B4574" s="216" t="n">
        <v>1009</v>
      </c>
      <c r="C4574" s="216" t="n">
        <v>846</v>
      </c>
      <c r="D4574" s="216" t="n">
        <v>1.165253043174744</v>
      </c>
      <c r="E4574" s="215" t="n">
        <v>46259</v>
      </c>
      <c r="F4574" s="215" t="n">
        <v>46259</v>
      </c>
    </row>
    <row r="4575">
      <c r="A4575" s="215" t="n">
        <v>46260</v>
      </c>
      <c r="B4575" s="216" t="n">
        <v>1015</v>
      </c>
      <c r="C4575" s="216" t="n">
        <v>850.9</v>
      </c>
      <c r="D4575" s="216" t="n">
        <v>1.166218996047974</v>
      </c>
      <c r="E4575" s="215" t="n">
        <v>46260</v>
      </c>
      <c r="F4575" s="215" t="n">
        <v>46260</v>
      </c>
    </row>
    <row r="4576">
      <c r="A4576" s="215" t="n">
        <v>46261</v>
      </c>
      <c r="B4576" s="216" t="n">
        <v>1046</v>
      </c>
      <c r="C4576" s="216" t="n">
        <v>866.12</v>
      </c>
      <c r="D4576" s="216" t="n">
        <v>1.165971040725708</v>
      </c>
      <c r="E4576" s="215" t="n">
        <v>46261</v>
      </c>
      <c r="F4576" s="215" t="n">
        <v>46261</v>
      </c>
    </row>
    <row r="4577">
      <c r="A4577" s="215" t="n">
        <v>46262</v>
      </c>
      <c r="B4577" s="216" t="n">
        <v>1040</v>
      </c>
      <c r="C4577" s="216" t="n">
        <v>858.35</v>
      </c>
      <c r="D4577" s="216" t="n">
        <v>1.165799975395203</v>
      </c>
      <c r="E4577" s="215" t="n">
        <v>46262</v>
      </c>
      <c r="F4577" s="215" t="n">
        <v>46262</v>
      </c>
    </row>
    <row r="4578">
      <c r="A4578" s="215" t="n">
        <v>46265</v>
      </c>
      <c r="B4578" s="216" t="n">
        <v>1029</v>
      </c>
      <c r="C4578" s="216" t="n">
        <v>851.9</v>
      </c>
      <c r="D4578" s="216" t="n">
        <v>1.165387988090515</v>
      </c>
      <c r="E4578" s="215" t="n">
        <v>46265</v>
      </c>
      <c r="F4578" s="215" t="n">
        <v>46265</v>
      </c>
    </row>
    <row r="4579">
      <c r="A4579" s="215" t="n">
        <v>46266</v>
      </c>
      <c r="B4579" s="216" t="n">
        <v>1035</v>
      </c>
      <c r="C4579" s="216" t="n">
        <v>859.3</v>
      </c>
      <c r="D4579" s="216" t="n">
        <v>1.165223956108093</v>
      </c>
      <c r="E4579" s="215" t="n">
        <v>46266</v>
      </c>
      <c r="F4579" s="215" t="n">
        <v>46266</v>
      </c>
    </row>
    <row r="4580">
      <c r="A4580" s="215" t="n">
        <v>46267</v>
      </c>
      <c r="B4580" s="216" t="n">
        <v>996</v>
      </c>
      <c r="C4580" s="216" t="n">
        <v>822.4</v>
      </c>
      <c r="D4580" s="216" t="n">
        <v>1.166425943374634</v>
      </c>
      <c r="E4580" s="215" t="n">
        <v>46267</v>
      </c>
      <c r="F4580" s="215" t="n">
        <v>46267</v>
      </c>
    </row>
    <row r="4581">
      <c r="A4581" s="215" t="n">
        <v>46268</v>
      </c>
      <c r="B4581" s="216" t="n">
        <v>995</v>
      </c>
      <c r="C4581" s="216" t="n">
        <v>813</v>
      </c>
      <c r="D4581" s="216" t="n">
        <v>1.167057037353516</v>
      </c>
      <c r="E4581" s="215" t="n">
        <v>46268</v>
      </c>
      <c r="F4581" s="215" t="n">
        <v>46268</v>
      </c>
    </row>
    <row r="4582">
      <c r="A4582" s="215" t="n">
        <v>46269</v>
      </c>
      <c r="B4582" s="216" t="n">
        <v>1006</v>
      </c>
      <c r="C4582" s="216" t="n">
        <v>814</v>
      </c>
      <c r="D4582" s="216" t="n">
        <v>1.166767954826355</v>
      </c>
      <c r="E4582" s="215" t="n">
        <v>46269</v>
      </c>
      <c r="F4582" s="215" t="n">
        <v>46269</v>
      </c>
    </row>
    <row r="4583">
      <c r="A4583" s="215" t="n">
        <v>46272</v>
      </c>
      <c r="B4583" s="216" t="n">
        <v>1203</v>
      </c>
      <c r="C4583" s="216" t="n">
        <v>898.46</v>
      </c>
      <c r="D4583" s="216" t="n">
        <v>1.168081045150757</v>
      </c>
      <c r="E4583" s="215" t="n">
        <v>46272</v>
      </c>
      <c r="F4583" s="215" t="n">
        <v>46272</v>
      </c>
    </row>
    <row r="4584">
      <c r="A4584" s="215" t="n">
        <v>46273</v>
      </c>
      <c r="B4584" s="216" t="n">
        <v>1161</v>
      </c>
      <c r="C4584" s="216" t="n">
        <v>902.37</v>
      </c>
      <c r="D4584" s="216" t="n">
        <v>1.168115019798279</v>
      </c>
      <c r="E4584" s="215" t="n">
        <v>46273</v>
      </c>
      <c r="F4584" s="215" t="n">
        <v>46273</v>
      </c>
    </row>
    <row r="4585">
      <c r="A4585" s="215" t="n">
        <v>46274</v>
      </c>
      <c r="B4585" s="216" t="n">
        <v>1173</v>
      </c>
      <c r="C4585" s="216" t="n">
        <v>908.9</v>
      </c>
      <c r="D4585" s="216" t="n">
        <v>1.168408989906311</v>
      </c>
      <c r="E4585" s="215" t="n">
        <v>46274</v>
      </c>
      <c r="F4585" s="215" t="n">
        <v>46274</v>
      </c>
    </row>
    <row r="4586">
      <c r="A4586" s="215" t="n">
        <v>46275</v>
      </c>
      <c r="B4586" s="216" t="n">
        <v>1121</v>
      </c>
      <c r="C4586" s="216" t="n">
        <v>890.1</v>
      </c>
      <c r="D4586" s="216" t="n">
        <v>1.168462991714478</v>
      </c>
      <c r="E4586" s="215" t="n">
        <v>46275</v>
      </c>
      <c r="F4586" s="215" t="n">
        <v>46275</v>
      </c>
    </row>
    <row r="4587">
      <c r="A4587" s="215" t="n">
        <v>46276</v>
      </c>
      <c r="B4587" s="216" t="n">
        <v>1170</v>
      </c>
      <c r="C4587" s="216" t="n">
        <v>926</v>
      </c>
      <c r="D4587" s="216" t="n">
        <v>1.169165015220642</v>
      </c>
      <c r="E4587" s="215" t="n">
        <v>46276</v>
      </c>
      <c r="F4587" s="215" t="n">
        <v>46276</v>
      </c>
    </row>
    <row r="4588">
      <c r="A4588" s="215" t="n">
        <v>46279</v>
      </c>
      <c r="B4588" s="216" t="n">
        <v>1070</v>
      </c>
      <c r="C4588" s="216" t="n">
        <v>873</v>
      </c>
      <c r="D4588" s="216" t="n">
        <v>1.16893994808197</v>
      </c>
      <c r="E4588" s="215" t="n">
        <v>46279</v>
      </c>
      <c r="F4588" s="215" t="n">
        <v>46279</v>
      </c>
    </row>
    <row r="4589">
      <c r="A4589" s="215" t="n">
        <v>46280</v>
      </c>
      <c r="B4589" s="216" t="n">
        <v>1085</v>
      </c>
      <c r="C4589" s="216" t="n">
        <v>864.01</v>
      </c>
      <c r="D4589" s="216" t="n">
        <v>1.169121026992798</v>
      </c>
      <c r="E4589" s="215" t="n">
        <v>46280</v>
      </c>
      <c r="F4589" s="215" t="n">
        <v>46280</v>
      </c>
    </row>
    <row r="4590">
      <c r="A4590" s="215" t="n">
        <v>46281</v>
      </c>
      <c r="B4590" s="216" t="n">
        <v>1137</v>
      </c>
      <c r="C4590" s="216" t="n">
        <v>907.8</v>
      </c>
      <c r="D4590" s="216" t="n">
        <v>1.168769955635071</v>
      </c>
      <c r="E4590" s="215" t="n">
        <v>46281</v>
      </c>
      <c r="F4590" s="215" t="n">
        <v>46281</v>
      </c>
    </row>
    <row r="4591">
      <c r="A4591" s="215" t="n">
        <v>46282</v>
      </c>
      <c r="B4591" s="216" t="n">
        <v>1150</v>
      </c>
      <c r="C4591" s="216" t="n">
        <v>896</v>
      </c>
      <c r="D4591" s="216" t="n">
        <v>1.169389963150024</v>
      </c>
      <c r="E4591" s="215" t="n">
        <v>46282</v>
      </c>
      <c r="F4591" s="215" t="n">
        <v>46282</v>
      </c>
    </row>
    <row r="4592">
      <c r="A4592" s="215" t="n">
        <v>46283</v>
      </c>
      <c r="B4592" s="216" t="n">
        <v>1205</v>
      </c>
      <c r="C4592" s="216" t="n">
        <v>926.4299999999999</v>
      </c>
      <c r="D4592" s="216" t="n">
        <v>1.16942298412323</v>
      </c>
      <c r="E4592" s="215" t="n">
        <v>46283</v>
      </c>
      <c r="F4592" s="215" t="n">
        <v>46283</v>
      </c>
    </row>
    <row r="4593">
      <c r="A4593" s="215" t="n">
        <v>46286</v>
      </c>
      <c r="B4593" s="216" t="n">
        <v>1250</v>
      </c>
      <c r="C4593" s="216" t="n">
        <v>941</v>
      </c>
      <c r="D4593" s="216" t="n">
        <v>1.171280026435852</v>
      </c>
      <c r="E4593" s="215" t="n">
        <v>46286</v>
      </c>
      <c r="F4593" s="215" t="n">
        <v>46286</v>
      </c>
    </row>
    <row r="4594">
      <c r="A4594" s="215" t="n">
        <v>46287</v>
      </c>
      <c r="B4594" s="216" t="n">
        <v>1219</v>
      </c>
      <c r="C4594" s="216" t="n">
        <v>927.72</v>
      </c>
      <c r="D4594" s="216" t="n">
        <v>1.171705007553101</v>
      </c>
      <c r="E4594" s="215" t="n">
        <v>46287</v>
      </c>
      <c r="F4594" s="215" t="n">
        <v>46287</v>
      </c>
    </row>
    <row r="4595">
      <c r="A4595" s="215" t="n">
        <v>46288</v>
      </c>
      <c r="B4595" s="216" t="n">
        <v>1190</v>
      </c>
      <c r="C4595" s="216" t="n">
        <v>922.5</v>
      </c>
      <c r="D4595" s="216" t="n">
        <v>1.170611023902893</v>
      </c>
      <c r="E4595" s="215" t="n">
        <v>46288</v>
      </c>
      <c r="F4595" s="215" t="n">
        <v>46288</v>
      </c>
    </row>
    <row r="4596">
      <c r="A4596" s="215" t="n">
        <v>46289</v>
      </c>
      <c r="B4596" s="216" t="n">
        <v>1174</v>
      </c>
      <c r="C4596" s="216" t="n">
        <v>895.86</v>
      </c>
      <c r="D4596" s="216" t="n">
        <v>1.16852605342865</v>
      </c>
      <c r="E4596" s="215" t="n">
        <v>46289</v>
      </c>
      <c r="F4596" s="215" t="n">
        <v>46289</v>
      </c>
    </row>
    <row r="4597">
      <c r="A4597" s="215" t="n">
        <v>46290</v>
      </c>
      <c r="B4597" s="216" t="n">
        <v>1171</v>
      </c>
      <c r="C4597" s="216" t="n">
        <v>895.86</v>
      </c>
      <c r="D4597" s="216" t="n">
        <v>1.168424010276794</v>
      </c>
      <c r="E4597" s="215" t="n">
        <v>46289</v>
      </c>
      <c r="F4597" s="215" t="n">
        <v>46290</v>
      </c>
    </row>
    <row r="4598">
      <c r="A4598" s="215" t="n">
        <v>46293</v>
      </c>
      <c r="B4598" s="216" t="n">
        <v>1028</v>
      </c>
      <c r="C4598" s="216" t="n">
        <v>815</v>
      </c>
      <c r="D4598" s="216" t="n">
        <v>1.168378949165344</v>
      </c>
      <c r="E4598" s="215" t="n">
        <v>46293</v>
      </c>
      <c r="F4598" s="215" t="n">
        <v>46293</v>
      </c>
    </row>
    <row r="4599">
      <c r="A4599" s="215" t="n">
        <v>46294</v>
      </c>
      <c r="B4599" s="216" t="n">
        <v>1060</v>
      </c>
      <c r="C4599" s="216" t="n">
        <v>813.01</v>
      </c>
      <c r="D4599" s="216" t="n">
        <v>1.168815970420837</v>
      </c>
      <c r="E4599" s="215" t="n">
        <v>46294</v>
      </c>
      <c r="F4599" s="215" t="n">
        <v>46294</v>
      </c>
    </row>
    <row r="4600">
      <c r="A4600" s="215" t="n">
        <v>46295</v>
      </c>
      <c r="B4600" s="216" t="n">
        <v>1062</v>
      </c>
      <c r="C4600" s="216" t="n">
        <v>808.4400000000001</v>
      </c>
      <c r="D4600" s="216" t="n">
        <v>1.17059600353241</v>
      </c>
      <c r="E4600" s="215" t="n">
        <v>46295</v>
      </c>
      <c r="F4600" s="215" t="n">
        <v>46295</v>
      </c>
    </row>
    <row r="4601">
      <c r="A4601" s="215" t="n">
        <v>46297</v>
      </c>
      <c r="B4601" s="216" t="n">
        <v>1072</v>
      </c>
      <c r="C4601" s="216" t="n">
        <v>808.4400000000001</v>
      </c>
      <c r="D4601" s="216" t="n">
        <v>1.170220971107483</v>
      </c>
      <c r="E4601" s="215" t="n">
        <v>46295</v>
      </c>
      <c r="F4601" s="215" t="n">
        <v>46297</v>
      </c>
    </row>
    <row r="4602">
      <c r="A4602" s="215" t="n">
        <v>44540</v>
      </c>
      <c r="B4602" s="216" t="n">
        <v>370</v>
      </c>
      <c r="C4602" s="216" t="n">
        <v>470</v>
      </c>
      <c r="D4602" s="216" t="n">
        <v>1.222399950027466</v>
      </c>
      <c r="E4602" s="215" t="n">
        <v>44540</v>
      </c>
      <c r="F4602" s="215" t="n">
        <v>44540</v>
      </c>
    </row>
    <row r="4603">
      <c r="A4603" s="215" t="n">
        <v>44543</v>
      </c>
      <c r="B4603" s="216" t="n">
        <v>360</v>
      </c>
      <c r="C4603" s="216" t="n">
        <v>450.01</v>
      </c>
      <c r="D4603" s="216" t="n">
        <v>1.228842973709106</v>
      </c>
      <c r="E4603" s="215" t="n">
        <v>44543</v>
      </c>
      <c r="F4603" s="215" t="n">
        <v>44543</v>
      </c>
    </row>
    <row r="4604">
      <c r="A4604" s="215" t="n">
        <v>44544</v>
      </c>
      <c r="B4604" s="216" t="n">
        <v>354.8</v>
      </c>
      <c r="C4604" s="216" t="n">
        <v>453</v>
      </c>
      <c r="D4604" s="216" t="n">
        <v>1.225365996360779</v>
      </c>
      <c r="E4604" s="215" t="n">
        <v>44544</v>
      </c>
      <c r="F4604" s="215" t="n">
        <v>44544</v>
      </c>
    </row>
    <row r="4605">
      <c r="A4605" s="215" t="n">
        <v>44545</v>
      </c>
      <c r="B4605" s="216" t="n">
        <v>295.6</v>
      </c>
      <c r="C4605" s="216" t="n">
        <v>430.33</v>
      </c>
      <c r="D4605" s="216" t="n">
        <v>1.224938988685608</v>
      </c>
      <c r="E4605" s="215" t="n">
        <v>44545</v>
      </c>
      <c r="F4605" s="215" t="n">
        <v>44545</v>
      </c>
    </row>
    <row r="4606">
      <c r="A4606" s="215" t="n">
        <v>44546</v>
      </c>
      <c r="B4606" s="216" t="n">
        <v>326.4</v>
      </c>
      <c r="C4606" s="216" t="n">
        <v>439.12</v>
      </c>
      <c r="D4606" s="216" t="n">
        <v>1.224815964698792</v>
      </c>
      <c r="E4606" s="215" t="n">
        <v>44546</v>
      </c>
      <c r="F4606" s="215" t="n">
        <v>44546</v>
      </c>
    </row>
    <row r="4607">
      <c r="A4607" s="215" t="n">
        <v>44547</v>
      </c>
      <c r="B4607" s="216" t="n">
        <v>323.8</v>
      </c>
      <c r="C4607" s="216" t="n">
        <v>436</v>
      </c>
      <c r="D4607" s="216" t="n">
        <v>1.225412011146545</v>
      </c>
      <c r="E4607" s="215" t="n">
        <v>44547</v>
      </c>
      <c r="F4607" s="215" t="n">
        <v>44547</v>
      </c>
    </row>
    <row r="4608">
      <c r="A4608" s="215" t="n">
        <v>44550</v>
      </c>
      <c r="B4608" s="216" t="n">
        <v>321</v>
      </c>
      <c r="C4608" s="216" t="n">
        <v>420.5</v>
      </c>
      <c r="D4608" s="216" t="n">
        <v>1.223881959915161</v>
      </c>
      <c r="E4608" s="215" t="n">
        <v>44550</v>
      </c>
      <c r="F4608" s="215" t="n">
        <v>44550</v>
      </c>
    </row>
    <row r="4609">
      <c r="A4609" s="215" t="n">
        <v>44551</v>
      </c>
      <c r="B4609" s="216" t="n">
        <v>305</v>
      </c>
      <c r="C4609" s="216" t="n">
        <v>423.6</v>
      </c>
      <c r="D4609" s="216" t="n">
        <v>1.223721981048584</v>
      </c>
      <c r="E4609" s="215" t="n">
        <v>44551</v>
      </c>
      <c r="F4609" s="215" t="n">
        <v>44551</v>
      </c>
    </row>
    <row r="4610">
      <c r="A4610" s="215" t="n">
        <v>44552</v>
      </c>
      <c r="B4610" s="216" t="n">
        <v>304.2</v>
      </c>
      <c r="C4610" s="216" t="n">
        <v>428</v>
      </c>
      <c r="D4610" s="216" t="n">
        <v>1.22430694103241</v>
      </c>
      <c r="E4610" s="215" t="n">
        <v>44552</v>
      </c>
      <c r="F4610" s="215" t="n">
        <v>44552</v>
      </c>
    </row>
    <row r="4611">
      <c r="A4611" s="215" t="n">
        <v>44553</v>
      </c>
      <c r="B4611" s="216" t="n">
        <v>316</v>
      </c>
      <c r="C4611" s="216" t="n">
        <v>435.8</v>
      </c>
      <c r="D4611" s="216" t="n">
        <v>1.2239910364151</v>
      </c>
      <c r="E4611" s="215" t="n">
        <v>44553</v>
      </c>
      <c r="F4611" s="215" t="n">
        <v>44553</v>
      </c>
    </row>
    <row r="4612">
      <c r="A4612" s="215" t="n">
        <v>44554</v>
      </c>
      <c r="B4612" s="216" t="n">
        <v>317.8</v>
      </c>
      <c r="C4612" s="216" t="n">
        <v>427.35</v>
      </c>
      <c r="D4612" s="216" t="n">
        <v>1.223767995834351</v>
      </c>
      <c r="E4612" s="215" t="n">
        <v>44554</v>
      </c>
      <c r="F4612" s="215" t="n">
        <v>44554</v>
      </c>
    </row>
    <row r="4613">
      <c r="A4613" s="215" t="n">
        <v>44558</v>
      </c>
      <c r="B4613" s="216" t="n">
        <v>323</v>
      </c>
      <c r="C4613" s="216" t="n">
        <v>455</v>
      </c>
      <c r="D4613" s="216" t="n">
        <v>1.223986029624939</v>
      </c>
      <c r="E4613" s="215" t="n">
        <v>44558</v>
      </c>
      <c r="F4613" s="215" t="n">
        <v>44558</v>
      </c>
    </row>
    <row r="4614">
      <c r="A4614" s="215" t="n">
        <v>44559</v>
      </c>
      <c r="B4614" s="216" t="n">
        <v>323</v>
      </c>
      <c r="C4614" s="216" t="n">
        <v>443</v>
      </c>
      <c r="D4614" s="216" t="n">
        <v>1.224161982536316</v>
      </c>
      <c r="E4614" s="215" t="n">
        <v>44559</v>
      </c>
      <c r="F4614" s="215" t="n">
        <v>44559</v>
      </c>
    </row>
    <row r="4615">
      <c r="A4615" s="215" t="n">
        <v>44560</v>
      </c>
      <c r="B4615" s="216" t="n">
        <v>319.6</v>
      </c>
      <c r="C4615" s="216" t="n">
        <v>456.08</v>
      </c>
      <c r="D4615" s="216" t="n">
        <v>1.22435998916626</v>
      </c>
      <c r="E4615" s="215" t="n">
        <v>44560</v>
      </c>
      <c r="F4615" s="215" t="n">
        <v>44560</v>
      </c>
    </row>
    <row r="4616">
      <c r="A4616" s="215" t="n">
        <v>44561</v>
      </c>
      <c r="B4616" s="216" t="n">
        <v>320</v>
      </c>
      <c r="C4616" s="216" t="n">
        <v>435</v>
      </c>
      <c r="D4616" s="216" t="n">
        <v>1.223677039146423</v>
      </c>
      <c r="E4616" s="215" t="n">
        <v>44561</v>
      </c>
      <c r="F4616" s="215" t="n">
        <v>44561</v>
      </c>
    </row>
    <row r="4617">
      <c r="A4617" s="215" t="n">
        <v>44564</v>
      </c>
      <c r="B4617" s="216" t="n">
        <v>301.6</v>
      </c>
      <c r="C4617" s="216" t="n">
        <v>435</v>
      </c>
      <c r="D4617" s="216" t="n">
        <v>1.226781010627747</v>
      </c>
      <c r="E4617" s="215" t="n">
        <v>44561</v>
      </c>
      <c r="F4617" s="215" t="n">
        <v>44564</v>
      </c>
    </row>
    <row r="4618">
      <c r="A4618" s="215" t="n">
        <v>44565</v>
      </c>
      <c r="B4618" s="216" t="n">
        <v>291.4</v>
      </c>
      <c r="C4618" s="216" t="n">
        <v>391.5</v>
      </c>
      <c r="D4618" s="216" t="n">
        <v>1.22715699672699</v>
      </c>
      <c r="E4618" s="215" t="n">
        <v>44565</v>
      </c>
      <c r="F4618" s="215" t="n">
        <v>44565</v>
      </c>
    </row>
    <row r="4619">
      <c r="A4619" s="215" t="n">
        <v>44566</v>
      </c>
      <c r="B4619" s="216" t="n">
        <v>283.4</v>
      </c>
      <c r="C4619" s="216" t="n">
        <v>374.71</v>
      </c>
      <c r="D4619" s="216" t="n">
        <v>1.222687005996704</v>
      </c>
      <c r="E4619" s="215" t="n">
        <v>44566</v>
      </c>
      <c r="F4619" s="215" t="n">
        <v>44566</v>
      </c>
    </row>
    <row r="4620">
      <c r="A4620" s="215" t="n">
        <v>44567</v>
      </c>
      <c r="B4620" s="216" t="n">
        <v>271.2</v>
      </c>
      <c r="C4620" s="216" t="n">
        <v>371.16</v>
      </c>
      <c r="D4620" s="216" t="n">
        <v>1.224454045295715</v>
      </c>
      <c r="E4620" s="215" t="n">
        <v>44567</v>
      </c>
      <c r="F4620" s="215" t="n">
        <v>44567</v>
      </c>
    </row>
    <row r="4621">
      <c r="A4621" s="215" t="n">
        <v>44568</v>
      </c>
      <c r="B4621" s="216" t="n">
        <v>261.4</v>
      </c>
      <c r="C4621" s="216" t="n">
        <v>353.8</v>
      </c>
      <c r="D4621" s="216" t="n">
        <v>1.221958994865417</v>
      </c>
      <c r="E4621" s="215" t="n">
        <v>44568</v>
      </c>
      <c r="F4621" s="215" t="n">
        <v>44568</v>
      </c>
    </row>
    <row r="4622">
      <c r="A4622" s="215" t="n">
        <v>44571</v>
      </c>
      <c r="B4622" s="216" t="n">
        <v>259.6</v>
      </c>
      <c r="C4622" s="216" t="n">
        <v>350.6</v>
      </c>
      <c r="D4622" s="216" t="n">
        <v>1.221858024597168</v>
      </c>
      <c r="E4622" s="215" t="n">
        <v>44571</v>
      </c>
      <c r="F4622" s="215" t="n">
        <v>44571</v>
      </c>
    </row>
    <row r="4623">
      <c r="A4623" s="215" t="n">
        <v>44572</v>
      </c>
      <c r="B4623" s="216" t="n">
        <v>262.8</v>
      </c>
      <c r="C4623" s="216" t="n">
        <v>347</v>
      </c>
      <c r="D4623" s="216" t="n">
        <v>1.222226977348328</v>
      </c>
      <c r="E4623" s="215" t="n">
        <v>44572</v>
      </c>
      <c r="F4623" s="215" t="n">
        <v>44572</v>
      </c>
    </row>
    <row r="4624">
      <c r="A4624" s="215" t="n">
        <v>44573</v>
      </c>
      <c r="B4624" s="216" t="n">
        <v>275</v>
      </c>
      <c r="C4624" s="216" t="n">
        <v>359.32</v>
      </c>
      <c r="D4624" s="216" t="n">
        <v>1.22298800945282</v>
      </c>
      <c r="E4624" s="215" t="n">
        <v>44573</v>
      </c>
      <c r="F4624" s="215" t="n">
        <v>44573</v>
      </c>
    </row>
    <row r="4625">
      <c r="A4625" s="215" t="n">
        <v>44574</v>
      </c>
      <c r="B4625" s="216" t="n">
        <v>287.2</v>
      </c>
      <c r="C4625" s="216" t="n">
        <v>357.17</v>
      </c>
      <c r="D4625" s="216" t="n">
        <v>1.224953055381775</v>
      </c>
      <c r="E4625" s="215" t="n">
        <v>44574</v>
      </c>
      <c r="F4625" s="215" t="n">
        <v>44574</v>
      </c>
    </row>
    <row r="4626">
      <c r="A4626" s="215" t="n">
        <v>44575</v>
      </c>
      <c r="B4626" s="216" t="n">
        <v>289.2</v>
      </c>
      <c r="C4626" s="216" t="n">
        <v>349.53</v>
      </c>
      <c r="D4626" s="216" t="n">
        <v>1.224287986755371</v>
      </c>
      <c r="E4626" s="215" t="n">
        <v>44575</v>
      </c>
      <c r="F4626" s="215" t="n">
        <v>44575</v>
      </c>
    </row>
    <row r="4627">
      <c r="A4627" s="215" t="n">
        <v>44578</v>
      </c>
      <c r="B4627" s="216" t="n">
        <v>292</v>
      </c>
      <c r="C4627" s="216" t="n">
        <v>370.77</v>
      </c>
      <c r="D4627" s="216" t="n">
        <v>1.224637985229492</v>
      </c>
      <c r="E4627" s="215" t="n">
        <v>44578</v>
      </c>
      <c r="F4627" s="215" t="n">
        <v>44578</v>
      </c>
    </row>
    <row r="4628">
      <c r="A4628" s="215" t="n">
        <v>44579</v>
      </c>
      <c r="B4628" s="216" t="n">
        <v>297</v>
      </c>
      <c r="C4628" s="216" t="n">
        <v>378.8</v>
      </c>
      <c r="D4628" s="216" t="n">
        <v>1.227324962615967</v>
      </c>
      <c r="E4628" s="215" t="n">
        <v>44579</v>
      </c>
      <c r="F4628" s="215" t="n">
        <v>44579</v>
      </c>
    </row>
    <row r="4629">
      <c r="A4629" s="215" t="n">
        <v>44580</v>
      </c>
      <c r="B4629" s="216" t="n">
        <v>294.6</v>
      </c>
      <c r="C4629" s="216" t="n">
        <v>358</v>
      </c>
      <c r="D4629" s="216" t="n">
        <v>1.226585984230042</v>
      </c>
      <c r="E4629" s="215" t="n">
        <v>44580</v>
      </c>
      <c r="F4629" s="215" t="n">
        <v>44580</v>
      </c>
    </row>
    <row r="4630">
      <c r="A4630" s="215" t="n">
        <v>44581</v>
      </c>
      <c r="B4630" s="216" t="n">
        <v>294.2</v>
      </c>
      <c r="C4630" s="216" t="n">
        <v>348.5</v>
      </c>
      <c r="D4630" s="216" t="n">
        <v>1.227787017822266</v>
      </c>
      <c r="E4630" s="215" t="n">
        <v>44581</v>
      </c>
      <c r="F4630" s="215" t="n">
        <v>44581</v>
      </c>
    </row>
    <row r="4631">
      <c r="A4631" s="215" t="n">
        <v>44582</v>
      </c>
      <c r="B4631" s="216" t="n">
        <v>291.4</v>
      </c>
      <c r="C4631" s="216" t="n">
        <v>345.69</v>
      </c>
      <c r="D4631" s="216" t="n">
        <v>1.227898955345154</v>
      </c>
      <c r="E4631" s="215" t="n">
        <v>44582</v>
      </c>
      <c r="F4631" s="215" t="n">
        <v>44582</v>
      </c>
    </row>
    <row r="4632">
      <c r="A4632" s="215" t="n">
        <v>44585</v>
      </c>
      <c r="B4632" s="216" t="n">
        <v>268.4</v>
      </c>
      <c r="C4632" s="216" t="n">
        <v>342</v>
      </c>
      <c r="D4632" s="216" t="n">
        <v>1.228338956832886</v>
      </c>
      <c r="E4632" s="215" t="n">
        <v>44585</v>
      </c>
      <c r="F4632" s="215" t="n">
        <v>44585</v>
      </c>
    </row>
    <row r="4633">
      <c r="A4633" s="215" t="n">
        <v>44586</v>
      </c>
      <c r="B4633" s="216" t="n">
        <v>273.6</v>
      </c>
      <c r="C4633" s="216" t="n">
        <v>349</v>
      </c>
      <c r="D4633" s="216" t="n">
        <v>1.229992985725403</v>
      </c>
      <c r="E4633" s="215" t="n">
        <v>44586</v>
      </c>
      <c r="F4633" s="215" t="n">
        <v>44586</v>
      </c>
    </row>
    <row r="4634">
      <c r="A4634" s="215" t="n">
        <v>44587</v>
      </c>
      <c r="B4634" s="216" t="n">
        <v>276.8</v>
      </c>
      <c r="C4634" s="216" t="n">
        <v>333.55</v>
      </c>
      <c r="D4634" s="216" t="n">
        <v>1.23039698600769</v>
      </c>
      <c r="E4634" s="215" t="n">
        <v>44587</v>
      </c>
      <c r="F4634" s="215" t="n">
        <v>44587</v>
      </c>
    </row>
    <row r="4635">
      <c r="A4635" s="215" t="n">
        <v>44588</v>
      </c>
      <c r="B4635" s="216" t="n">
        <v>270.6</v>
      </c>
      <c r="C4635" s="216" t="n">
        <v>329.7</v>
      </c>
      <c r="D4635" s="216" t="n">
        <v>1.23190701007843</v>
      </c>
      <c r="E4635" s="215" t="n">
        <v>44588</v>
      </c>
      <c r="F4635" s="215" t="n">
        <v>44588</v>
      </c>
    </row>
    <row r="4636">
      <c r="A4636" s="215" t="n">
        <v>44589</v>
      </c>
      <c r="B4636" s="216" t="n">
        <v>255.2</v>
      </c>
      <c r="C4636" s="216" t="n">
        <v>325.48</v>
      </c>
      <c r="D4636" s="216" t="n">
        <v>1.222800970077515</v>
      </c>
      <c r="E4636" s="215" t="n">
        <v>44589</v>
      </c>
      <c r="F4636" s="215" t="n">
        <v>44589</v>
      </c>
    </row>
    <row r="4637">
      <c r="A4637" s="215" t="n">
        <v>44592</v>
      </c>
      <c r="B4637" s="216" t="n">
        <v>271.4</v>
      </c>
      <c r="C4637" s="216" t="n">
        <v>325.48</v>
      </c>
      <c r="D4637" s="216" t="n">
        <v>1.224603056907654</v>
      </c>
      <c r="E4637" s="215" t="n">
        <v>44589</v>
      </c>
      <c r="F4637" s="215" t="n">
        <v>44592</v>
      </c>
    </row>
    <row r="4638">
      <c r="A4638" s="215" t="n">
        <v>44596</v>
      </c>
      <c r="B4638" s="216" t="n">
        <v>269.8</v>
      </c>
      <c r="C4638" s="216" t="n">
        <v>325.48</v>
      </c>
      <c r="D4638" s="216" t="n">
        <v>1.22502601146698</v>
      </c>
      <c r="E4638" s="215" t="n">
        <v>44589</v>
      </c>
      <c r="F4638" s="215" t="n">
        <v>44596</v>
      </c>
    </row>
    <row r="4639">
      <c r="A4639" s="215" t="n">
        <v>44599</v>
      </c>
      <c r="B4639" s="216" t="n">
        <v>280</v>
      </c>
      <c r="C4639" s="216" t="n">
        <v>328.34</v>
      </c>
      <c r="D4639" s="216" t="n">
        <v>1.224985957145691</v>
      </c>
      <c r="E4639" s="215" t="n">
        <v>44599</v>
      </c>
      <c r="F4639" s="215" t="n">
        <v>44599</v>
      </c>
    </row>
    <row r="4640">
      <c r="A4640" s="215" t="n">
        <v>44600</v>
      </c>
      <c r="B4640" s="216" t="n">
        <v>261</v>
      </c>
      <c r="C4640" s="216" t="n">
        <v>308.01</v>
      </c>
      <c r="D4640" s="216" t="n">
        <v>1.22487199306488</v>
      </c>
      <c r="E4640" s="215" t="n">
        <v>44600</v>
      </c>
      <c r="F4640" s="215" t="n">
        <v>44600</v>
      </c>
    </row>
    <row r="4641">
      <c r="A4641" s="215" t="n">
        <v>44601</v>
      </c>
      <c r="B4641" s="216" t="n">
        <v>247</v>
      </c>
      <c r="C4641" s="216" t="n">
        <v>300.49</v>
      </c>
      <c r="D4641" s="216" t="n">
        <v>1.224302053451538</v>
      </c>
      <c r="E4641" s="215" t="n">
        <v>44601</v>
      </c>
      <c r="F4641" s="215" t="n">
        <v>44601</v>
      </c>
    </row>
    <row r="4642">
      <c r="A4642" s="215" t="n">
        <v>44602</v>
      </c>
      <c r="B4642" s="216" t="n">
        <v>247.2</v>
      </c>
      <c r="C4642" s="216" t="n">
        <v>276.1</v>
      </c>
      <c r="D4642" s="216" t="n">
        <v>1.224215984344482</v>
      </c>
      <c r="E4642" s="215" t="n">
        <v>44602</v>
      </c>
      <c r="F4642" s="215" t="n">
        <v>44602</v>
      </c>
    </row>
    <row r="4643">
      <c r="A4643" s="215" t="n">
        <v>44603</v>
      </c>
      <c r="B4643" s="216" t="n">
        <v>233.4</v>
      </c>
      <c r="C4643" s="216" t="n">
        <v>262.12</v>
      </c>
      <c r="D4643" s="216" t="n">
        <v>1.226699948310852</v>
      </c>
      <c r="E4643" s="215" t="n">
        <v>44603</v>
      </c>
      <c r="F4643" s="215" t="n">
        <v>44603</v>
      </c>
    </row>
    <row r="4644">
      <c r="A4644" s="215" t="n">
        <v>44606</v>
      </c>
      <c r="B4644" s="216" t="n">
        <v>231.2</v>
      </c>
      <c r="C4644" s="216" t="n">
        <v>276.6</v>
      </c>
      <c r="D4644" s="216" t="n">
        <v>1.229004979133606</v>
      </c>
      <c r="E4644" s="215" t="n">
        <v>44606</v>
      </c>
      <c r="F4644" s="215" t="n">
        <v>44606</v>
      </c>
    </row>
    <row r="4645">
      <c r="A4645" s="215" t="n">
        <v>44607</v>
      </c>
      <c r="B4645" s="216" t="n">
        <v>250</v>
      </c>
      <c r="C4645" s="216" t="n">
        <v>304.26</v>
      </c>
      <c r="D4645" s="216" t="n">
        <v>1.227381944656372</v>
      </c>
      <c r="E4645" s="215" t="n">
        <v>44607</v>
      </c>
      <c r="F4645" s="215" t="n">
        <v>44607</v>
      </c>
    </row>
    <row r="4646">
      <c r="A4646" s="215" t="n">
        <v>44608</v>
      </c>
      <c r="B4646" s="216" t="n">
        <v>252</v>
      </c>
      <c r="C4646" s="216" t="n">
        <v>305.29</v>
      </c>
      <c r="D4646" s="216" t="n">
        <v>1.230052947998047</v>
      </c>
      <c r="E4646" s="215" t="n">
        <v>44608</v>
      </c>
      <c r="F4646" s="215" t="n">
        <v>44608</v>
      </c>
    </row>
    <row r="4647">
      <c r="A4647" s="215" t="n">
        <v>44609</v>
      </c>
      <c r="B4647" s="216" t="n">
        <v>254</v>
      </c>
      <c r="C4647" s="216" t="n">
        <v>307.51</v>
      </c>
      <c r="D4647" s="216" t="n">
        <v>1.230854034423828</v>
      </c>
      <c r="E4647" s="215" t="n">
        <v>44609</v>
      </c>
      <c r="F4647" s="215" t="n">
        <v>44609</v>
      </c>
    </row>
    <row r="4648">
      <c r="A4648" s="215" t="n">
        <v>44610</v>
      </c>
      <c r="B4648" s="216" t="n">
        <v>251.2</v>
      </c>
      <c r="C4648" s="216" t="n">
        <v>307.19</v>
      </c>
      <c r="D4648" s="216" t="n">
        <v>1.230208992958069</v>
      </c>
      <c r="E4648" s="215" t="n">
        <v>44610</v>
      </c>
      <c r="F4648" s="215" t="n">
        <v>44610</v>
      </c>
    </row>
    <row r="4649">
      <c r="A4649" s="215" t="n">
        <v>44613</v>
      </c>
      <c r="B4649" s="216" t="n">
        <v>256</v>
      </c>
      <c r="C4649" s="216" t="n">
        <v>315.74</v>
      </c>
      <c r="D4649" s="216" t="n">
        <v>1.232306957244873</v>
      </c>
      <c r="E4649" s="215" t="n">
        <v>44613</v>
      </c>
      <c r="F4649" s="215" t="n">
        <v>44613</v>
      </c>
    </row>
    <row r="4650">
      <c r="A4650" s="215" t="n">
        <v>44614</v>
      </c>
      <c r="B4650" s="216" t="n">
        <v>254.8</v>
      </c>
      <c r="C4650" s="216" t="n">
        <v>310.91</v>
      </c>
      <c r="D4650" s="216" t="n">
        <v>1.23160994052887</v>
      </c>
      <c r="E4650" s="215" t="n">
        <v>44614</v>
      </c>
      <c r="F4650" s="215" t="n">
        <v>44614</v>
      </c>
    </row>
    <row r="4651">
      <c r="A4651" s="215" t="n">
        <v>44615</v>
      </c>
      <c r="B4651" s="216" t="n">
        <v>265.8</v>
      </c>
      <c r="C4651" s="216" t="n">
        <v>318.5</v>
      </c>
      <c r="D4651" s="216" t="n">
        <v>1.233018040657043</v>
      </c>
      <c r="E4651" s="215" t="n">
        <v>44615</v>
      </c>
      <c r="F4651" s="215" t="n">
        <v>44615</v>
      </c>
    </row>
    <row r="4652">
      <c r="A4652" s="215" t="n">
        <v>44616</v>
      </c>
      <c r="B4652" s="216" t="n">
        <v>262</v>
      </c>
      <c r="C4652" s="216" t="n">
        <v>322</v>
      </c>
      <c r="D4652" s="216" t="n">
        <v>1.235846042633057</v>
      </c>
      <c r="E4652" s="215" t="n">
        <v>44616</v>
      </c>
      <c r="F4652" s="215" t="n">
        <v>44616</v>
      </c>
    </row>
    <row r="4653">
      <c r="A4653" s="215" t="n">
        <v>44617</v>
      </c>
      <c r="B4653" s="216" t="n">
        <v>273</v>
      </c>
      <c r="C4653" s="216" t="n">
        <v>343.99</v>
      </c>
      <c r="D4653" s="216" t="n">
        <v>1.233438968658447</v>
      </c>
      <c r="E4653" s="215" t="n">
        <v>44617</v>
      </c>
      <c r="F4653" s="215" t="n">
        <v>44617</v>
      </c>
    </row>
    <row r="4654">
      <c r="A4654" s="215" t="n">
        <v>44620</v>
      </c>
      <c r="B4654" s="216" t="n">
        <v>266.6</v>
      </c>
      <c r="C4654" s="216" t="n">
        <v>340.41</v>
      </c>
      <c r="D4654" s="216" t="n">
        <v>1.231897950172424</v>
      </c>
      <c r="E4654" s="215" t="n">
        <v>44620</v>
      </c>
      <c r="F4654" s="215" t="n">
        <v>44620</v>
      </c>
    </row>
    <row r="4655">
      <c r="A4655" s="215" t="n">
        <v>44621</v>
      </c>
      <c r="B4655" s="216" t="n">
        <v>271</v>
      </c>
      <c r="C4655" s="216" t="n">
        <v>350.24</v>
      </c>
      <c r="D4655" s="216" t="n">
        <v>1.237936973571777</v>
      </c>
      <c r="E4655" s="215" t="n">
        <v>44621</v>
      </c>
      <c r="F4655" s="215" t="n">
        <v>44621</v>
      </c>
    </row>
    <row r="4656">
      <c r="A4656" s="215" t="n">
        <v>44622</v>
      </c>
      <c r="B4656" s="216" t="n">
        <v>269</v>
      </c>
      <c r="C4656" s="216" t="n">
        <v>342.51</v>
      </c>
      <c r="D4656" s="216" t="n">
        <v>1.23852002620697</v>
      </c>
      <c r="E4656" s="215" t="n">
        <v>44622</v>
      </c>
      <c r="F4656" s="215" t="n">
        <v>44622</v>
      </c>
    </row>
    <row r="4657">
      <c r="A4657" s="215" t="n">
        <v>44623</v>
      </c>
      <c r="B4657" s="216" t="n">
        <v>255</v>
      </c>
      <c r="C4657" s="216" t="n">
        <v>339.09</v>
      </c>
      <c r="D4657" s="216" t="n">
        <v>1.235599040985107</v>
      </c>
      <c r="E4657" s="215" t="n">
        <v>44623</v>
      </c>
      <c r="F4657" s="215" t="n">
        <v>44623</v>
      </c>
    </row>
    <row r="4658">
      <c r="A4658" s="215" t="n">
        <v>44624</v>
      </c>
      <c r="B4658" s="216" t="n">
        <v>251</v>
      </c>
      <c r="C4658" s="216" t="n">
        <v>341.98</v>
      </c>
      <c r="D4658" s="216" t="n">
        <v>1.237941980361938</v>
      </c>
      <c r="E4658" s="215" t="n">
        <v>44624</v>
      </c>
      <c r="F4658" s="215" t="n">
        <v>44624</v>
      </c>
    </row>
    <row r="4659">
      <c r="A4659" s="215" t="n">
        <v>44627</v>
      </c>
      <c r="B4659" s="216" t="n">
        <v>236</v>
      </c>
      <c r="C4659" s="216" t="n">
        <v>331.8</v>
      </c>
      <c r="D4659" s="216" t="n">
        <v>1.223220944404602</v>
      </c>
      <c r="E4659" s="215" t="n">
        <v>44627</v>
      </c>
      <c r="F4659" s="215" t="n">
        <v>44627</v>
      </c>
    </row>
    <row r="4660">
      <c r="A4660" s="215" t="n">
        <v>44628</v>
      </c>
      <c r="B4660" s="216" t="n">
        <v>232.2</v>
      </c>
      <c r="C4660" s="216" t="n">
        <v>327.75</v>
      </c>
      <c r="D4660" s="216" t="n">
        <v>1.237072944641113</v>
      </c>
      <c r="E4660" s="215" t="n">
        <v>44628</v>
      </c>
      <c r="F4660" s="215" t="n">
        <v>44628</v>
      </c>
    </row>
    <row r="4661">
      <c r="A4661" s="215" t="n">
        <v>44629</v>
      </c>
      <c r="B4661" s="216" t="n">
        <v>223</v>
      </c>
      <c r="C4661" s="216" t="n">
        <v>313.01</v>
      </c>
      <c r="D4661" s="216" t="n">
        <v>1.237218976020813</v>
      </c>
      <c r="E4661" s="215" t="n">
        <v>44629</v>
      </c>
      <c r="F4661" s="215" t="n">
        <v>44629</v>
      </c>
    </row>
    <row r="4662">
      <c r="A4662" s="215" t="n">
        <v>44630</v>
      </c>
      <c r="B4662" s="216" t="n">
        <v>233.8</v>
      </c>
      <c r="C4662" s="216" t="n">
        <v>337</v>
      </c>
      <c r="D4662" s="216" t="n">
        <v>1.237866044044495</v>
      </c>
      <c r="E4662" s="215" t="n">
        <v>44630</v>
      </c>
      <c r="F4662" s="215" t="n">
        <v>44630</v>
      </c>
    </row>
    <row r="4663">
      <c r="A4663" s="215" t="n">
        <v>44631</v>
      </c>
      <c r="B4663" s="216" t="n">
        <v>245.6</v>
      </c>
      <c r="C4663" s="216" t="n">
        <v>330.64</v>
      </c>
      <c r="D4663" s="216" t="n">
        <v>1.237465023994446</v>
      </c>
      <c r="E4663" s="215" t="n">
        <v>44631</v>
      </c>
      <c r="F4663" s="215" t="n">
        <v>44631</v>
      </c>
    </row>
    <row r="4664">
      <c r="A4664" s="215" t="n">
        <v>44634</v>
      </c>
      <c r="B4664" s="216" t="n">
        <v>228</v>
      </c>
      <c r="C4664" s="216" t="n">
        <v>320.49</v>
      </c>
      <c r="D4664" s="216" t="n">
        <v>1.23714005947113</v>
      </c>
      <c r="E4664" s="215" t="n">
        <v>44634</v>
      </c>
      <c r="F4664" s="215" t="n">
        <v>44634</v>
      </c>
    </row>
    <row r="4665">
      <c r="A4665" s="215" t="n">
        <v>44635</v>
      </c>
      <c r="B4665" s="216" t="n">
        <v>214</v>
      </c>
      <c r="C4665" s="216" t="n">
        <v>320.5</v>
      </c>
      <c r="D4665" s="216" t="n">
        <v>1.230260968208313</v>
      </c>
      <c r="E4665" s="215" t="n">
        <v>44635</v>
      </c>
      <c r="F4665" s="215" t="n">
        <v>44635</v>
      </c>
    </row>
    <row r="4666">
      <c r="A4666" s="215" t="n">
        <v>44636</v>
      </c>
      <c r="B4666" s="216" t="n">
        <v>228.4</v>
      </c>
      <c r="C4666" s="216" t="n">
        <v>336.5</v>
      </c>
      <c r="D4666" s="216" t="n">
        <v>1.228589057922363</v>
      </c>
      <c r="E4666" s="215" t="n">
        <v>44636</v>
      </c>
      <c r="F4666" s="215" t="n">
        <v>44636</v>
      </c>
    </row>
    <row r="4667">
      <c r="A4667" s="215" t="n">
        <v>44637</v>
      </c>
      <c r="B4667" s="216" t="n">
        <v>241.2</v>
      </c>
      <c r="C4667" s="216" t="n">
        <v>338.92</v>
      </c>
      <c r="D4667" s="216" t="n">
        <v>1.2309410572052</v>
      </c>
      <c r="E4667" s="215" t="n">
        <v>44637</v>
      </c>
      <c r="F4667" s="215" t="n">
        <v>44637</v>
      </c>
    </row>
    <row r="4668">
      <c r="A4668" s="215" t="n">
        <v>44638</v>
      </c>
      <c r="B4668" s="216" t="n">
        <v>233</v>
      </c>
      <c r="C4668" s="216" t="n">
        <v>335.06</v>
      </c>
      <c r="D4668" s="216" t="n">
        <v>1.231812953948975</v>
      </c>
      <c r="E4668" s="215" t="n">
        <v>44638</v>
      </c>
      <c r="F4668" s="215" t="n">
        <v>44638</v>
      </c>
    </row>
    <row r="4669">
      <c r="A4669" s="215" t="n">
        <v>44641</v>
      </c>
      <c r="B4669" s="216" t="n">
        <v>227</v>
      </c>
      <c r="C4669" s="216" t="n">
        <v>334.9</v>
      </c>
      <c r="D4669" s="216" t="n">
        <v>1.228307962417603</v>
      </c>
      <c r="E4669" s="215" t="n">
        <v>44641</v>
      </c>
      <c r="F4669" s="215" t="n">
        <v>44641</v>
      </c>
    </row>
    <row r="4670">
      <c r="A4670" s="215" t="n">
        <v>44642</v>
      </c>
      <c r="B4670" s="216" t="n">
        <v>224</v>
      </c>
      <c r="C4670" s="216" t="n">
        <v>319.98</v>
      </c>
      <c r="D4670" s="216" t="n">
        <v>1.230851054191589</v>
      </c>
      <c r="E4670" s="215" t="n">
        <v>44642</v>
      </c>
      <c r="F4670" s="215" t="n">
        <v>44642</v>
      </c>
    </row>
    <row r="4671">
      <c r="A4671" s="215" t="n">
        <v>44643</v>
      </c>
      <c r="B4671" s="216" t="n">
        <v>240</v>
      </c>
      <c r="C4671" s="216" t="n">
        <v>339.65</v>
      </c>
      <c r="D4671" s="216" t="n">
        <v>1.229357004165649</v>
      </c>
      <c r="E4671" s="215" t="n">
        <v>44643</v>
      </c>
      <c r="F4671" s="215" t="n">
        <v>44643</v>
      </c>
    </row>
    <row r="4672">
      <c r="A4672" s="215" t="n">
        <v>44644</v>
      </c>
      <c r="B4672" s="216" t="n">
        <v>254.6</v>
      </c>
      <c r="C4672" s="216" t="n">
        <v>363.63</v>
      </c>
      <c r="D4672" s="216" t="n">
        <v>1.227481961250305</v>
      </c>
      <c r="E4672" s="215" t="n">
        <v>44644</v>
      </c>
      <c r="F4672" s="215" t="n">
        <v>44644</v>
      </c>
    </row>
    <row r="4673">
      <c r="A4673" s="215" t="n">
        <v>44645</v>
      </c>
      <c r="B4673" s="216" t="n">
        <v>251</v>
      </c>
      <c r="C4673" s="216" t="n">
        <v>351</v>
      </c>
      <c r="D4673" s="216" t="n">
        <v>1.228559017181396</v>
      </c>
      <c r="E4673" s="215" t="n">
        <v>44645</v>
      </c>
      <c r="F4673" s="215" t="n">
        <v>44645</v>
      </c>
    </row>
    <row r="4674">
      <c r="A4674" s="215" t="n">
        <v>44648</v>
      </c>
      <c r="B4674" s="216" t="n">
        <v>259</v>
      </c>
      <c r="C4674" s="216" t="n">
        <v>358.6</v>
      </c>
      <c r="D4674" s="216" t="n">
        <v>1.224017977714539</v>
      </c>
      <c r="E4674" s="215" t="n">
        <v>44648</v>
      </c>
      <c r="F4674" s="215" t="n">
        <v>44648</v>
      </c>
    </row>
    <row r="4675">
      <c r="A4675" s="215" t="n">
        <v>44649</v>
      </c>
      <c r="B4675" s="216" t="n">
        <v>274</v>
      </c>
      <c r="C4675" s="216" t="n">
        <v>369.6</v>
      </c>
      <c r="D4675" s="216" t="n">
        <v>1.228392958641052</v>
      </c>
      <c r="E4675" s="215" t="n">
        <v>44649</v>
      </c>
      <c r="F4675" s="215" t="n">
        <v>44649</v>
      </c>
    </row>
    <row r="4676">
      <c r="A4676" s="215" t="n">
        <v>44650</v>
      </c>
      <c r="B4676" s="216" t="n">
        <v>283</v>
      </c>
      <c r="C4676" s="216" t="n">
        <v>374.59</v>
      </c>
      <c r="D4676" s="216" t="n">
        <v>1.229694962501526</v>
      </c>
      <c r="E4676" s="215" t="n">
        <v>44650</v>
      </c>
      <c r="F4676" s="215" t="n">
        <v>44650</v>
      </c>
    </row>
    <row r="4677">
      <c r="A4677" s="215" t="n">
        <v>44651</v>
      </c>
      <c r="B4677" s="216" t="n">
        <v>278</v>
      </c>
      <c r="C4677" s="216" t="n">
        <v>367</v>
      </c>
      <c r="D4677" s="216" t="n">
        <v>1.233211040496826</v>
      </c>
      <c r="E4677" s="215" t="n">
        <v>44651</v>
      </c>
      <c r="F4677" s="215" t="n">
        <v>44651</v>
      </c>
    </row>
    <row r="4678">
      <c r="A4678" s="215" t="n">
        <v>44652</v>
      </c>
      <c r="B4678" s="216" t="n">
        <v>284.2</v>
      </c>
      <c r="C4678" s="216" t="n">
        <v>360</v>
      </c>
      <c r="D4678" s="216" t="n">
        <v>1.235550045967102</v>
      </c>
      <c r="E4678" s="215" t="n">
        <v>44652</v>
      </c>
      <c r="F4678" s="215" t="n">
        <v>44652</v>
      </c>
    </row>
    <row r="4679">
      <c r="A4679" s="215" t="n">
        <v>44655</v>
      </c>
      <c r="B4679" s="216" t="n">
        <v>276.8</v>
      </c>
      <c r="C4679" s="216" t="n">
        <v>360</v>
      </c>
      <c r="D4679" s="216" t="n">
        <v>1.229956030845642</v>
      </c>
      <c r="E4679" s="215" t="n">
        <v>44652</v>
      </c>
      <c r="F4679" s="215" t="n">
        <v>44655</v>
      </c>
    </row>
    <row r="4680">
      <c r="A4680" s="215" t="n">
        <v>44657</v>
      </c>
      <c r="B4680" s="216" t="n">
        <v>266.6</v>
      </c>
      <c r="C4680" s="216" t="n">
        <v>350</v>
      </c>
      <c r="D4680" s="216" t="n">
        <v>1.230962991714478</v>
      </c>
      <c r="E4680" s="215" t="n">
        <v>44657</v>
      </c>
      <c r="F4680" s="215" t="n">
        <v>44657</v>
      </c>
    </row>
    <row r="4681">
      <c r="A4681" s="215" t="n">
        <v>44658</v>
      </c>
      <c r="B4681" s="216" t="n">
        <v>258.4</v>
      </c>
      <c r="C4681" s="216" t="n">
        <v>343.52</v>
      </c>
      <c r="D4681" s="216" t="n">
        <v>1.232280969619751</v>
      </c>
      <c r="E4681" s="215" t="n">
        <v>44658</v>
      </c>
      <c r="F4681" s="215" t="n">
        <v>44658</v>
      </c>
    </row>
    <row r="4682">
      <c r="A4682" s="215" t="n">
        <v>44659</v>
      </c>
      <c r="B4682" s="216" t="n">
        <v>252.8</v>
      </c>
      <c r="C4682" s="216" t="n">
        <v>334.41</v>
      </c>
      <c r="D4682" s="216" t="n">
        <v>1.232202053070068</v>
      </c>
      <c r="E4682" s="215" t="n">
        <v>44659</v>
      </c>
      <c r="F4682" s="215" t="n">
        <v>44659</v>
      </c>
    </row>
    <row r="4683">
      <c r="A4683" s="215" t="n">
        <v>44662</v>
      </c>
      <c r="B4683" s="216" t="n">
        <v>242.4</v>
      </c>
      <c r="C4683" s="216" t="n">
        <v>325.35</v>
      </c>
      <c r="D4683" s="216" t="n">
        <v>1.232278943061829</v>
      </c>
      <c r="E4683" s="215" t="n">
        <v>44662</v>
      </c>
      <c r="F4683" s="215" t="n">
        <v>44662</v>
      </c>
    </row>
    <row r="4684">
      <c r="A4684" s="215" t="n">
        <v>44663</v>
      </c>
      <c r="B4684" s="216" t="n">
        <v>246.4</v>
      </c>
      <c r="C4684" s="216" t="n">
        <v>336.2</v>
      </c>
      <c r="D4684" s="216" t="n">
        <v>1.230334997177124</v>
      </c>
      <c r="E4684" s="215" t="n">
        <v>44663</v>
      </c>
      <c r="F4684" s="215" t="n">
        <v>44663</v>
      </c>
    </row>
    <row r="4685">
      <c r="A4685" s="215" t="n">
        <v>44664</v>
      </c>
      <c r="B4685" s="216" t="n">
        <v>226.4</v>
      </c>
      <c r="C4685" s="216" t="n">
        <v>302.58</v>
      </c>
      <c r="D4685" s="216" t="n">
        <v>1.231207966804504</v>
      </c>
      <c r="E4685" s="215" t="n">
        <v>44664</v>
      </c>
      <c r="F4685" s="215" t="n">
        <v>44664</v>
      </c>
    </row>
    <row r="4686">
      <c r="A4686" s="215" t="n">
        <v>44665</v>
      </c>
      <c r="B4686" s="216" t="n">
        <v>221.4</v>
      </c>
      <c r="C4686" s="216" t="n">
        <v>304.2</v>
      </c>
      <c r="D4686" s="216" t="n">
        <v>1.231024026870728</v>
      </c>
      <c r="E4686" s="215" t="n">
        <v>44665</v>
      </c>
      <c r="F4686" s="215" t="n">
        <v>44665</v>
      </c>
    </row>
    <row r="4687">
      <c r="A4687" s="215" t="n">
        <v>44670</v>
      </c>
      <c r="B4687" s="216" t="n">
        <v>221.2</v>
      </c>
      <c r="C4687" s="216" t="n">
        <v>303.66</v>
      </c>
      <c r="D4687" s="216" t="n">
        <v>1.220034956932068</v>
      </c>
      <c r="E4687" s="215" t="n">
        <v>44670</v>
      </c>
      <c r="F4687" s="215" t="n">
        <v>44670</v>
      </c>
    </row>
    <row r="4688">
      <c r="A4688" s="215" t="n">
        <v>44671</v>
      </c>
      <c r="B4688" s="216" t="n">
        <v>216.4</v>
      </c>
      <c r="C4688" s="216" t="n">
        <v>292.5</v>
      </c>
      <c r="D4688" s="216" t="n">
        <v>1.226842045783997</v>
      </c>
      <c r="E4688" s="215" t="n">
        <v>44671</v>
      </c>
      <c r="F4688" s="215" t="n">
        <v>44671</v>
      </c>
    </row>
    <row r="4689">
      <c r="A4689" s="215" t="n">
        <v>44672</v>
      </c>
      <c r="B4689" s="216" t="n">
        <v>203</v>
      </c>
      <c r="C4689" s="216" t="n">
        <v>286.28</v>
      </c>
      <c r="D4689" s="216" t="n">
        <v>1.221968054771423</v>
      </c>
      <c r="E4689" s="215" t="n">
        <v>44672</v>
      </c>
      <c r="F4689" s="215" t="n">
        <v>44672</v>
      </c>
    </row>
    <row r="4690">
      <c r="A4690" s="215" t="n">
        <v>44673</v>
      </c>
      <c r="B4690" s="216" t="n">
        <v>203</v>
      </c>
      <c r="C4690" s="216" t="n">
        <v>287.51</v>
      </c>
      <c r="D4690" s="216" t="n">
        <v>1.216025948524475</v>
      </c>
      <c r="E4690" s="215" t="n">
        <v>44673</v>
      </c>
      <c r="F4690" s="215" t="n">
        <v>44673</v>
      </c>
    </row>
    <row r="4691">
      <c r="A4691" s="215" t="n">
        <v>44676</v>
      </c>
      <c r="B4691" s="216" t="n">
        <v>180.9</v>
      </c>
      <c r="C4691" s="216" t="n">
        <v>268</v>
      </c>
      <c r="D4691" s="216" t="n">
        <v>1.208608031272888</v>
      </c>
      <c r="E4691" s="215" t="n">
        <v>44676</v>
      </c>
      <c r="F4691" s="215" t="n">
        <v>44676</v>
      </c>
    </row>
    <row r="4692">
      <c r="A4692" s="215" t="n">
        <v>44677</v>
      </c>
      <c r="B4692" s="216" t="n">
        <v>177.2</v>
      </c>
      <c r="C4692" s="216" t="n">
        <v>267</v>
      </c>
      <c r="D4692" s="216" t="n">
        <v>1.19637405872345</v>
      </c>
      <c r="E4692" s="215" t="n">
        <v>44677</v>
      </c>
      <c r="F4692" s="215" t="n">
        <v>44677</v>
      </c>
    </row>
    <row r="4693">
      <c r="A4693" s="215" t="n">
        <v>44678</v>
      </c>
      <c r="B4693" s="216" t="n">
        <v>179</v>
      </c>
      <c r="C4693" s="216" t="n">
        <v>269.8</v>
      </c>
      <c r="D4693" s="216" t="n">
        <v>1.1961749792099</v>
      </c>
      <c r="E4693" s="215" t="n">
        <v>44678</v>
      </c>
      <c r="F4693" s="215" t="n">
        <v>44678</v>
      </c>
    </row>
    <row r="4694">
      <c r="A4694" s="215" t="n">
        <v>44679</v>
      </c>
      <c r="B4694" s="216" t="n">
        <v>158.3</v>
      </c>
      <c r="C4694" s="216" t="n">
        <v>254</v>
      </c>
      <c r="D4694" s="216" t="n">
        <v>1.195773959159851</v>
      </c>
      <c r="E4694" s="215" t="n">
        <v>44679</v>
      </c>
      <c r="F4694" s="215" t="n">
        <v>44679</v>
      </c>
    </row>
    <row r="4695">
      <c r="A4695" s="215" t="n">
        <v>44680</v>
      </c>
      <c r="B4695" s="216" t="n">
        <v>170</v>
      </c>
      <c r="C4695" s="216" t="n">
        <v>267.05</v>
      </c>
      <c r="D4695" s="216" t="n">
        <v>1.184425950050354</v>
      </c>
      <c r="E4695" s="215" t="n">
        <v>44680</v>
      </c>
      <c r="F4695" s="215" t="n">
        <v>44680</v>
      </c>
    </row>
    <row r="4696">
      <c r="A4696" s="215" t="n">
        <v>44684</v>
      </c>
      <c r="B4696" s="216" t="n">
        <v>160</v>
      </c>
      <c r="C4696" s="216" t="n">
        <v>267.05</v>
      </c>
      <c r="D4696" s="216" t="n">
        <v>1.18731701374054</v>
      </c>
      <c r="E4696" s="215" t="n">
        <v>44680</v>
      </c>
      <c r="F4696" s="215" t="n">
        <v>44684</v>
      </c>
    </row>
    <row r="4697">
      <c r="A4697" s="215" t="n">
        <v>44685</v>
      </c>
      <c r="B4697" s="216" t="n">
        <v>162</v>
      </c>
      <c r="C4697" s="216" t="n">
        <v>267.05</v>
      </c>
      <c r="D4697" s="216" t="n">
        <v>1.188007950782776</v>
      </c>
      <c r="E4697" s="215" t="n">
        <v>44680</v>
      </c>
      <c r="F4697" s="215" t="n">
        <v>44685</v>
      </c>
    </row>
    <row r="4698">
      <c r="A4698" s="215" t="n">
        <v>44686</v>
      </c>
      <c r="B4698" s="216" t="n">
        <v>161.3</v>
      </c>
      <c r="C4698" s="216" t="n">
        <v>259.5</v>
      </c>
      <c r="D4698" s="216" t="n">
        <v>1.18796694278717</v>
      </c>
      <c r="E4698" s="215" t="n">
        <v>44686</v>
      </c>
      <c r="F4698" s="215" t="n">
        <v>44686</v>
      </c>
    </row>
    <row r="4699">
      <c r="A4699" s="215" t="n">
        <v>44687</v>
      </c>
      <c r="B4699" s="216" t="n">
        <v>155</v>
      </c>
      <c r="C4699" s="216" t="n">
        <v>251.4</v>
      </c>
      <c r="D4699" s="216" t="n">
        <v>1.17942202091217</v>
      </c>
      <c r="E4699" s="215" t="n">
        <v>44687</v>
      </c>
      <c r="F4699" s="215" t="n">
        <v>44687</v>
      </c>
    </row>
    <row r="4700">
      <c r="A4700" s="215" t="n">
        <v>44691</v>
      </c>
      <c r="B4700" s="216" t="n">
        <v>153.8</v>
      </c>
      <c r="C4700" s="216" t="n">
        <v>262</v>
      </c>
      <c r="D4700" s="216" t="n">
        <v>1.166296005249023</v>
      </c>
      <c r="E4700" s="215" t="n">
        <v>44691</v>
      </c>
      <c r="F4700" s="215" t="n">
        <v>44691</v>
      </c>
    </row>
    <row r="4701">
      <c r="A4701" s="215" t="n">
        <v>44692</v>
      </c>
      <c r="B4701" s="216" t="n">
        <v>162.5</v>
      </c>
      <c r="C4701" s="216" t="n">
        <v>277.43</v>
      </c>
      <c r="D4701" s="216" t="n">
        <v>1.165348052978516</v>
      </c>
      <c r="E4701" s="215" t="n">
        <v>44692</v>
      </c>
      <c r="F4701" s="215" t="n">
        <v>44692</v>
      </c>
    </row>
    <row r="4702">
      <c r="A4702" s="215" t="n">
        <v>44693</v>
      </c>
      <c r="B4702" s="216" t="n">
        <v>161</v>
      </c>
      <c r="C4702" s="216" t="n">
        <v>282.21</v>
      </c>
      <c r="D4702" s="216" t="n">
        <v>1.167407035827637</v>
      </c>
      <c r="E4702" s="215" t="n">
        <v>44693</v>
      </c>
      <c r="F4702" s="215" t="n">
        <v>44693</v>
      </c>
    </row>
    <row r="4703">
      <c r="A4703" s="215" t="n">
        <v>44694</v>
      </c>
      <c r="B4703" s="216" t="n">
        <v>157.3</v>
      </c>
      <c r="C4703" s="216" t="n">
        <v>279.14</v>
      </c>
      <c r="D4703" s="216" t="n">
        <v>1.156118035316467</v>
      </c>
      <c r="E4703" s="215" t="n">
        <v>44694</v>
      </c>
      <c r="F4703" s="215" t="n">
        <v>44694</v>
      </c>
    </row>
    <row r="4704">
      <c r="A4704" s="215" t="n">
        <v>44697</v>
      </c>
      <c r="B4704" s="216" t="n">
        <v>150.1</v>
      </c>
      <c r="C4704" s="216" t="n">
        <v>272.34</v>
      </c>
      <c r="D4704" s="216" t="n">
        <v>1.154800057411194</v>
      </c>
      <c r="E4704" s="215" t="n">
        <v>44697</v>
      </c>
      <c r="F4704" s="215" t="n">
        <v>44697</v>
      </c>
    </row>
    <row r="4705">
      <c r="A4705" s="215" t="n">
        <v>44698</v>
      </c>
      <c r="B4705" s="216" t="n">
        <v>150</v>
      </c>
      <c r="C4705" s="216" t="n">
        <v>272.35</v>
      </c>
      <c r="D4705" s="216" t="n">
        <v>1.156873941421509</v>
      </c>
      <c r="E4705" s="215" t="n">
        <v>44698</v>
      </c>
      <c r="F4705" s="215" t="n">
        <v>44698</v>
      </c>
    </row>
    <row r="4706">
      <c r="A4706" s="215" t="n">
        <v>44699</v>
      </c>
      <c r="B4706" s="216" t="n">
        <v>149.7</v>
      </c>
      <c r="C4706" s="216" t="n">
        <v>264.11</v>
      </c>
      <c r="D4706" s="216" t="n">
        <v>1.164849996566772</v>
      </c>
      <c r="E4706" s="215" t="n">
        <v>44699</v>
      </c>
      <c r="F4706" s="215" t="n">
        <v>44699</v>
      </c>
    </row>
    <row r="4707">
      <c r="A4707" s="215" t="n">
        <v>44700</v>
      </c>
      <c r="B4707" s="216" t="n">
        <v>147</v>
      </c>
      <c r="C4707" s="216" t="n">
        <v>261.96</v>
      </c>
      <c r="D4707" s="216" t="n">
        <v>1.161888957023621</v>
      </c>
      <c r="E4707" s="215" t="n">
        <v>44700</v>
      </c>
      <c r="F4707" s="215" t="n">
        <v>44700</v>
      </c>
    </row>
    <row r="4708">
      <c r="A4708" s="215" t="n">
        <v>44701</v>
      </c>
      <c r="B4708" s="216" t="n">
        <v>154</v>
      </c>
      <c r="C4708" s="216" t="n">
        <v>269.5</v>
      </c>
      <c r="D4708" s="216" t="n">
        <v>1.168822050094604</v>
      </c>
      <c r="E4708" s="215" t="n">
        <v>44701</v>
      </c>
      <c r="F4708" s="215" t="n">
        <v>44701</v>
      </c>
    </row>
    <row r="4709">
      <c r="A4709" s="215" t="n">
        <v>44704</v>
      </c>
      <c r="B4709" s="216" t="n">
        <v>149</v>
      </c>
      <c r="C4709" s="216" t="n">
        <v>266.51</v>
      </c>
      <c r="D4709" s="216" t="n">
        <v>1.173393964767456</v>
      </c>
      <c r="E4709" s="215" t="n">
        <v>44704</v>
      </c>
      <c r="F4709" s="215" t="n">
        <v>44704</v>
      </c>
    </row>
    <row r="4710">
      <c r="A4710" s="215" t="n">
        <v>44705</v>
      </c>
      <c r="B4710" s="216" t="n">
        <v>142</v>
      </c>
      <c r="C4710" s="216" t="n">
        <v>250.39</v>
      </c>
      <c r="D4710" s="216" t="n">
        <v>1.179618000984192</v>
      </c>
      <c r="E4710" s="215" t="n">
        <v>44705</v>
      </c>
      <c r="F4710" s="215" t="n">
        <v>44705</v>
      </c>
    </row>
    <row r="4711">
      <c r="A4711" s="215" t="n">
        <v>44706</v>
      </c>
      <c r="B4711" s="216" t="n">
        <v>141.8</v>
      </c>
      <c r="C4711" s="216" t="n">
        <v>245.49</v>
      </c>
      <c r="D4711" s="216" t="n">
        <v>1.179540991783142</v>
      </c>
      <c r="E4711" s="215" t="n">
        <v>44706</v>
      </c>
      <c r="F4711" s="215" t="n">
        <v>44706</v>
      </c>
    </row>
    <row r="4712">
      <c r="A4712" s="215" t="n">
        <v>44707</v>
      </c>
      <c r="B4712" s="216" t="n">
        <v>140.9</v>
      </c>
      <c r="C4712" s="216" t="n">
        <v>237.47</v>
      </c>
      <c r="D4712" s="216" t="n">
        <v>1.172242045402527</v>
      </c>
      <c r="E4712" s="215" t="n">
        <v>44707</v>
      </c>
      <c r="F4712" s="215" t="n">
        <v>44707</v>
      </c>
    </row>
    <row r="4713">
      <c r="A4713" s="215" t="n">
        <v>44708</v>
      </c>
      <c r="B4713" s="216" t="n">
        <v>146.2</v>
      </c>
      <c r="C4713" s="216" t="n">
        <v>253</v>
      </c>
      <c r="D4713" s="216" t="n">
        <v>1.164566993713379</v>
      </c>
      <c r="E4713" s="215" t="n">
        <v>44708</v>
      </c>
      <c r="F4713" s="215" t="n">
        <v>44708</v>
      </c>
    </row>
    <row r="4714">
      <c r="A4714" s="215" t="n">
        <v>44711</v>
      </c>
      <c r="B4714" s="216" t="n">
        <v>150.2</v>
      </c>
      <c r="C4714" s="216" t="n">
        <v>253.5</v>
      </c>
      <c r="D4714" s="216" t="n">
        <v>1.171957015991211</v>
      </c>
      <c r="E4714" s="215" t="n">
        <v>44711</v>
      </c>
      <c r="F4714" s="215" t="n">
        <v>44711</v>
      </c>
    </row>
    <row r="4715">
      <c r="A4715" s="215" t="n">
        <v>44712</v>
      </c>
      <c r="B4715" s="216" t="n">
        <v>157</v>
      </c>
      <c r="C4715" s="216" t="n">
        <v>261.65</v>
      </c>
      <c r="D4715" s="216" t="n">
        <v>1.178225040435791</v>
      </c>
      <c r="E4715" s="215" t="n">
        <v>44712</v>
      </c>
      <c r="F4715" s="215" t="n">
        <v>44712</v>
      </c>
    </row>
    <row r="4716">
      <c r="A4716" s="215" t="n">
        <v>44713</v>
      </c>
      <c r="B4716" s="216" t="n">
        <v>152.9</v>
      </c>
      <c r="C4716" s="216" t="n">
        <v>256.56</v>
      </c>
      <c r="D4716" s="216" t="n">
        <v>1.175742983818054</v>
      </c>
      <c r="E4716" s="215" t="n">
        <v>44713</v>
      </c>
      <c r="F4716" s="215" t="n">
        <v>44713</v>
      </c>
    </row>
    <row r="4717">
      <c r="A4717" s="215" t="n">
        <v>44714</v>
      </c>
      <c r="B4717" s="216" t="n">
        <v>149</v>
      </c>
      <c r="C4717" s="216" t="n">
        <v>250.11</v>
      </c>
      <c r="D4717" s="216" t="n">
        <v>1.173377990722656</v>
      </c>
      <c r="E4717" s="215" t="n">
        <v>44714</v>
      </c>
      <c r="F4717" s="215" t="n">
        <v>44714</v>
      </c>
    </row>
    <row r="4718">
      <c r="A4718" s="215" t="n">
        <v>44718</v>
      </c>
      <c r="B4718" s="216" t="n">
        <v>159.5</v>
      </c>
      <c r="C4718" s="216" t="n">
        <v>267.52</v>
      </c>
      <c r="D4718" s="216" t="n">
        <v>1.178540945053101</v>
      </c>
      <c r="E4718" s="215" t="n">
        <v>44718</v>
      </c>
      <c r="F4718" s="215" t="n">
        <v>44718</v>
      </c>
    </row>
    <row r="4719">
      <c r="A4719" s="215" t="n">
        <v>44719</v>
      </c>
      <c r="B4719" s="216" t="n">
        <v>162.7</v>
      </c>
      <c r="C4719" s="216" t="n">
        <v>273.48</v>
      </c>
      <c r="D4719" s="216" t="n">
        <v>1.179175019264221</v>
      </c>
      <c r="E4719" s="215" t="n">
        <v>44719</v>
      </c>
      <c r="F4719" s="215" t="n">
        <v>44719</v>
      </c>
    </row>
    <row r="4720">
      <c r="A4720" s="215" t="n">
        <v>44720</v>
      </c>
      <c r="B4720" s="216" t="n">
        <v>175.8</v>
      </c>
      <c r="C4720" s="216" t="n">
        <v>280.5</v>
      </c>
      <c r="D4720" s="216" t="n">
        <v>1.175778985023499</v>
      </c>
      <c r="E4720" s="215" t="n">
        <v>44720</v>
      </c>
      <c r="F4720" s="215" t="n">
        <v>44720</v>
      </c>
    </row>
    <row r="4721">
      <c r="A4721" s="215" t="n">
        <v>44721</v>
      </c>
      <c r="B4721" s="216" t="n">
        <v>173.3</v>
      </c>
      <c r="C4721" s="216" t="n">
        <v>271.79</v>
      </c>
      <c r="D4721" s="216" t="n">
        <v>1.174060940742493</v>
      </c>
      <c r="E4721" s="215" t="n">
        <v>44721</v>
      </c>
      <c r="F4721" s="215" t="n">
        <v>44721</v>
      </c>
    </row>
    <row r="4722">
      <c r="A4722" s="215" t="n">
        <v>44722</v>
      </c>
      <c r="B4722" s="216" t="n">
        <v>175.5</v>
      </c>
      <c r="C4722" s="216" t="n">
        <v>271.6</v>
      </c>
      <c r="D4722" s="216" t="n">
        <v>1.172886967658997</v>
      </c>
      <c r="E4722" s="215" t="n">
        <v>44722</v>
      </c>
      <c r="F4722" s="215" t="n">
        <v>44722</v>
      </c>
    </row>
    <row r="4723">
      <c r="A4723" s="215" t="n">
        <v>44725</v>
      </c>
      <c r="B4723" s="216" t="n">
        <v>164.4</v>
      </c>
      <c r="C4723" s="216" t="n">
        <v>262</v>
      </c>
      <c r="D4723" s="216" t="n">
        <v>1.16687798500061</v>
      </c>
      <c r="E4723" s="215" t="n">
        <v>44725</v>
      </c>
      <c r="F4723" s="215" t="n">
        <v>44725</v>
      </c>
    </row>
    <row r="4724">
      <c r="A4724" s="215" t="n">
        <v>44726</v>
      </c>
      <c r="B4724" s="216" t="n">
        <v>161.3</v>
      </c>
      <c r="C4724" s="216" t="n">
        <v>259.18</v>
      </c>
      <c r="D4724" s="216" t="n">
        <v>1.162642002105713</v>
      </c>
      <c r="E4724" s="215" t="n">
        <v>44726</v>
      </c>
      <c r="F4724" s="215" t="n">
        <v>44726</v>
      </c>
    </row>
    <row r="4725">
      <c r="A4725" s="215" t="n">
        <v>44727</v>
      </c>
      <c r="B4725" s="216" t="n">
        <v>157.6</v>
      </c>
      <c r="C4725" s="216" t="n">
        <v>261</v>
      </c>
      <c r="D4725" s="216" t="n">
        <v>1.165135025978088</v>
      </c>
      <c r="E4725" s="215" t="n">
        <v>44727</v>
      </c>
      <c r="F4725" s="215" t="n">
        <v>44727</v>
      </c>
    </row>
    <row r="4726">
      <c r="A4726" s="215" t="n">
        <v>44728</v>
      </c>
      <c r="B4726" s="216" t="n">
        <v>157</v>
      </c>
      <c r="C4726" s="216" t="n">
        <v>264.1</v>
      </c>
      <c r="D4726" s="216" t="n">
        <v>1.169098973274231</v>
      </c>
      <c r="E4726" s="215" t="n">
        <v>44728</v>
      </c>
      <c r="F4726" s="215" t="n">
        <v>44728</v>
      </c>
    </row>
    <row r="4727">
      <c r="A4727" s="215" t="n">
        <v>44729</v>
      </c>
      <c r="B4727" s="216" t="n">
        <v>157.5</v>
      </c>
      <c r="C4727" s="216" t="n">
        <v>267.79</v>
      </c>
      <c r="D4727" s="216" t="n">
        <v>1.170604944229126</v>
      </c>
      <c r="E4727" s="215" t="n">
        <v>44729</v>
      </c>
      <c r="F4727" s="215" t="n">
        <v>44729</v>
      </c>
    </row>
    <row r="4728">
      <c r="A4728" s="215" t="n">
        <v>44732</v>
      </c>
      <c r="B4728" s="216" t="n">
        <v>167.2</v>
      </c>
      <c r="C4728" s="216" t="n">
        <v>270.61</v>
      </c>
      <c r="D4728" s="216" t="n">
        <v>1.167651057243347</v>
      </c>
      <c r="E4728" s="215" t="n">
        <v>44732</v>
      </c>
      <c r="F4728" s="215" t="n">
        <v>44732</v>
      </c>
    </row>
    <row r="4729">
      <c r="A4729" s="215" t="n">
        <v>44733</v>
      </c>
      <c r="B4729" s="216" t="n">
        <v>171.4</v>
      </c>
      <c r="C4729" s="216" t="n">
        <v>266.2</v>
      </c>
      <c r="D4729" s="216" t="n">
        <v>1.173205971717834</v>
      </c>
      <c r="E4729" s="215" t="n">
        <v>44733</v>
      </c>
      <c r="F4729" s="215" t="n">
        <v>44733</v>
      </c>
    </row>
    <row r="4730">
      <c r="A4730" s="215" t="n">
        <v>44734</v>
      </c>
      <c r="B4730" s="216" t="n">
        <v>165.3</v>
      </c>
      <c r="C4730" s="216" t="n">
        <v>259.47</v>
      </c>
      <c r="D4730" s="216" t="n">
        <v>1.173452019691467</v>
      </c>
      <c r="E4730" s="215" t="n">
        <v>44734</v>
      </c>
      <c r="F4730" s="215" t="n">
        <v>44734</v>
      </c>
    </row>
    <row r="4731">
      <c r="A4731" s="215" t="n">
        <v>44735</v>
      </c>
      <c r="B4731" s="216" t="n">
        <v>165.1</v>
      </c>
      <c r="C4731" s="216" t="n">
        <v>255.56</v>
      </c>
      <c r="D4731" s="216" t="n">
        <v>1.171026945114136</v>
      </c>
      <c r="E4731" s="215" t="n">
        <v>44735</v>
      </c>
      <c r="F4731" s="215" t="n">
        <v>44735</v>
      </c>
    </row>
    <row r="4732">
      <c r="A4732" s="215" t="n">
        <v>44736</v>
      </c>
      <c r="B4732" s="216" t="n">
        <v>182</v>
      </c>
      <c r="C4732" s="216" t="n">
        <v>281.12</v>
      </c>
      <c r="D4732" s="216" t="n">
        <v>1.171391010284424</v>
      </c>
      <c r="E4732" s="215" t="n">
        <v>44736</v>
      </c>
      <c r="F4732" s="215" t="n">
        <v>44736</v>
      </c>
    </row>
    <row r="4733">
      <c r="A4733" s="215" t="n">
        <v>44739</v>
      </c>
      <c r="B4733" s="216" t="n">
        <v>189</v>
      </c>
      <c r="C4733" s="216" t="n">
        <v>286.75</v>
      </c>
      <c r="D4733" s="216" t="n">
        <v>1.174373030662537</v>
      </c>
      <c r="E4733" s="215" t="n">
        <v>44739</v>
      </c>
      <c r="F4733" s="215" t="n">
        <v>44739</v>
      </c>
    </row>
    <row r="4734">
      <c r="A4734" s="215" t="n">
        <v>44740</v>
      </c>
      <c r="B4734" s="216" t="n">
        <v>190.3</v>
      </c>
      <c r="C4734" s="216" t="n">
        <v>285</v>
      </c>
      <c r="D4734" s="216" t="n">
        <v>1.172474026679993</v>
      </c>
      <c r="E4734" s="215" t="n">
        <v>44740</v>
      </c>
      <c r="F4734" s="215" t="n">
        <v>44740</v>
      </c>
    </row>
    <row r="4735">
      <c r="A4735" s="215" t="n">
        <v>44741</v>
      </c>
      <c r="B4735" s="216" t="n">
        <v>186.9</v>
      </c>
      <c r="C4735" s="216" t="n">
        <v>282.93</v>
      </c>
      <c r="D4735" s="216" t="n">
        <v>1.169481039047241</v>
      </c>
      <c r="E4735" s="215" t="n">
        <v>44741</v>
      </c>
      <c r="F4735" s="215" t="n">
        <v>44741</v>
      </c>
    </row>
    <row r="4736">
      <c r="A4736" s="215" t="n">
        <v>44742</v>
      </c>
      <c r="B4736" s="216" t="n">
        <v>185</v>
      </c>
      <c r="C4736" s="216" t="n">
        <v>289</v>
      </c>
      <c r="D4736" s="216" t="n">
        <v>1.171028017997742</v>
      </c>
      <c r="E4736" s="215" t="n">
        <v>44742</v>
      </c>
      <c r="F4736" s="215" t="n">
        <v>44742</v>
      </c>
    </row>
    <row r="4737">
      <c r="A4737" s="215" t="n">
        <v>44746</v>
      </c>
      <c r="B4737" s="216" t="n">
        <v>197.5</v>
      </c>
      <c r="C4737" s="216" t="n">
        <v>304.5</v>
      </c>
      <c r="D4737" s="216" t="n">
        <v>1.17113995552063</v>
      </c>
      <c r="E4737" s="215" t="n">
        <v>44746</v>
      </c>
      <c r="F4737" s="215" t="n">
        <v>44746</v>
      </c>
    </row>
    <row r="4738">
      <c r="A4738" s="215" t="n">
        <v>44747</v>
      </c>
      <c r="B4738" s="216" t="n">
        <v>194.6</v>
      </c>
      <c r="C4738" s="216" t="n">
        <v>309.53</v>
      </c>
      <c r="D4738" s="216" t="n">
        <v>1.171020984649658</v>
      </c>
      <c r="E4738" s="215" t="n">
        <v>44747</v>
      </c>
      <c r="F4738" s="215" t="n">
        <v>44747</v>
      </c>
    </row>
    <row r="4739">
      <c r="A4739" s="215" t="n">
        <v>44748</v>
      </c>
      <c r="B4739" s="216" t="n">
        <v>194.9</v>
      </c>
      <c r="C4739" s="216" t="n">
        <v>312.74</v>
      </c>
      <c r="D4739" s="216" t="n">
        <v>1.167670011520386</v>
      </c>
      <c r="E4739" s="215" t="n">
        <v>44748</v>
      </c>
      <c r="F4739" s="215" t="n">
        <v>44748</v>
      </c>
    </row>
    <row r="4740">
      <c r="A4740" s="215" t="n">
        <v>44749</v>
      </c>
      <c r="B4740" s="216" t="n">
        <v>190</v>
      </c>
      <c r="C4740" s="216" t="n">
        <v>302</v>
      </c>
      <c r="D4740" s="216" t="n">
        <v>1.169499039649963</v>
      </c>
      <c r="E4740" s="215" t="n">
        <v>44749</v>
      </c>
      <c r="F4740" s="215" t="n">
        <v>44749</v>
      </c>
    </row>
    <row r="4741">
      <c r="A4741" s="215" t="n">
        <v>44750</v>
      </c>
      <c r="B4741" s="216" t="n">
        <v>190.6</v>
      </c>
      <c r="C4741" s="216" t="n">
        <v>302.51</v>
      </c>
      <c r="D4741" s="216" t="n">
        <v>1.170979976654053</v>
      </c>
      <c r="E4741" s="215" t="n">
        <v>44750</v>
      </c>
      <c r="F4741" s="215" t="n">
        <v>44750</v>
      </c>
    </row>
    <row r="4742">
      <c r="A4742" s="215" t="n">
        <v>44753</v>
      </c>
      <c r="B4742" s="216" t="n">
        <v>130.3</v>
      </c>
      <c r="C4742" s="216" t="n">
        <v>291.49</v>
      </c>
      <c r="D4742" s="216" t="n">
        <v>1.172826051712036</v>
      </c>
      <c r="E4742" s="215" t="n">
        <v>44753</v>
      </c>
      <c r="F4742" s="215" t="n">
        <v>44753</v>
      </c>
    </row>
    <row r="4743">
      <c r="A4743" s="215" t="n">
        <v>44754</v>
      </c>
      <c r="B4743" s="216" t="n">
        <v>124</v>
      </c>
      <c r="C4743" s="216" t="n">
        <v>265.61</v>
      </c>
      <c r="D4743" s="216" t="n">
        <v>1.168439984321594</v>
      </c>
      <c r="E4743" s="215" t="n">
        <v>44754</v>
      </c>
      <c r="F4743" s="215" t="n">
        <v>44754</v>
      </c>
    </row>
    <row r="4744">
      <c r="A4744" s="215" t="n">
        <v>44755</v>
      </c>
      <c r="B4744" s="216" t="n">
        <v>124.1</v>
      </c>
      <c r="C4744" s="216" t="n">
        <v>266.16</v>
      </c>
      <c r="D4744" s="216" t="n">
        <v>1.166862964630127</v>
      </c>
      <c r="E4744" s="215" t="n">
        <v>44755</v>
      </c>
      <c r="F4744" s="215" t="n">
        <v>44755</v>
      </c>
    </row>
    <row r="4745">
      <c r="A4745" s="215" t="n">
        <v>44756</v>
      </c>
      <c r="B4745" s="216" t="n">
        <v>129.9</v>
      </c>
      <c r="C4745" s="216" t="n">
        <v>269.85</v>
      </c>
      <c r="D4745" s="216" t="n">
        <v>1.167678952217102</v>
      </c>
      <c r="E4745" s="215" t="n">
        <v>44756</v>
      </c>
      <c r="F4745" s="215" t="n">
        <v>44756</v>
      </c>
    </row>
    <row r="4746">
      <c r="A4746" s="215" t="n">
        <v>44757</v>
      </c>
      <c r="B4746" s="216" t="n">
        <v>133</v>
      </c>
      <c r="C4746" s="216" t="n">
        <v>269</v>
      </c>
      <c r="D4746" s="216" t="n">
        <v>1.161978960037231</v>
      </c>
      <c r="E4746" s="215" t="n">
        <v>44757</v>
      </c>
      <c r="F4746" s="215" t="n">
        <v>44757</v>
      </c>
    </row>
    <row r="4747">
      <c r="A4747" s="215" t="n">
        <v>44760</v>
      </c>
      <c r="B4747" s="216" t="n">
        <v>130.9</v>
      </c>
      <c r="C4747" s="216" t="n">
        <v>269</v>
      </c>
      <c r="D4747" s="216" t="n">
        <v>1.162382960319519</v>
      </c>
      <c r="E4747" s="215" t="n">
        <v>44760</v>
      </c>
      <c r="F4747" s="215" t="n">
        <v>44760</v>
      </c>
    </row>
    <row r="4748">
      <c r="A4748" s="215" t="n">
        <v>44761</v>
      </c>
      <c r="B4748" s="216" t="n">
        <v>133.6</v>
      </c>
      <c r="C4748" s="216" t="n">
        <v>265.34</v>
      </c>
      <c r="D4748" s="216" t="n">
        <v>1.163684964179993</v>
      </c>
      <c r="E4748" s="215" t="n">
        <v>44761</v>
      </c>
      <c r="F4748" s="215" t="n">
        <v>44761</v>
      </c>
    </row>
    <row r="4749">
      <c r="A4749" s="215" t="n">
        <v>44762</v>
      </c>
      <c r="B4749" s="216" t="n">
        <v>134.1</v>
      </c>
      <c r="C4749" s="216" t="n">
        <v>269</v>
      </c>
      <c r="D4749" s="216" t="n">
        <v>1.163969993591309</v>
      </c>
      <c r="E4749" s="215" t="n">
        <v>44762</v>
      </c>
      <c r="F4749" s="215" t="n">
        <v>44762</v>
      </c>
    </row>
    <row r="4750">
      <c r="A4750" s="215" t="n">
        <v>44763</v>
      </c>
      <c r="B4750" s="216" t="n">
        <v>131.5</v>
      </c>
      <c r="C4750" s="216" t="n">
        <v>190.37</v>
      </c>
      <c r="D4750" s="216" t="n">
        <v>1.161798000335693</v>
      </c>
      <c r="E4750" s="215" t="n">
        <v>44763</v>
      </c>
      <c r="F4750" s="215" t="n">
        <v>44763</v>
      </c>
    </row>
    <row r="4751">
      <c r="A4751" s="215" t="n">
        <v>44764</v>
      </c>
      <c r="B4751" s="216" t="n">
        <v>127.7</v>
      </c>
      <c r="C4751" s="216" t="n">
        <v>184.65</v>
      </c>
      <c r="D4751" s="216" t="n">
        <v>1.159577965736389</v>
      </c>
      <c r="E4751" s="215" t="n">
        <v>44764</v>
      </c>
      <c r="F4751" s="215" t="n">
        <v>44764</v>
      </c>
    </row>
    <row r="4752">
      <c r="A4752" s="215" t="n">
        <v>44767</v>
      </c>
      <c r="B4752" s="216" t="n">
        <v>121.5</v>
      </c>
      <c r="C4752" s="216" t="n">
        <v>180.2</v>
      </c>
      <c r="D4752" s="216" t="n">
        <v>1.161067962646484</v>
      </c>
      <c r="E4752" s="215" t="n">
        <v>44767</v>
      </c>
      <c r="F4752" s="215" t="n">
        <v>44767</v>
      </c>
    </row>
    <row r="4753">
      <c r="A4753" s="215" t="n">
        <v>44768</v>
      </c>
      <c r="B4753" s="216" t="n">
        <v>120.2</v>
      </c>
      <c r="C4753" s="216" t="n">
        <v>180.24</v>
      </c>
      <c r="D4753" s="216" t="n">
        <v>1.162636041641235</v>
      </c>
      <c r="E4753" s="215" t="n">
        <v>44768</v>
      </c>
      <c r="F4753" s="215" t="n">
        <v>44768</v>
      </c>
    </row>
    <row r="4754">
      <c r="A4754" s="215" t="n">
        <v>44769</v>
      </c>
      <c r="B4754" s="216" t="n">
        <v>117</v>
      </c>
      <c r="C4754" s="216" t="n">
        <v>172.66</v>
      </c>
      <c r="D4754" s="216" t="n">
        <v>1.160446047782898</v>
      </c>
      <c r="E4754" s="215" t="n">
        <v>44769</v>
      </c>
      <c r="F4754" s="215" t="n">
        <v>44769</v>
      </c>
    </row>
    <row r="4755">
      <c r="A4755" s="215" t="n">
        <v>44770</v>
      </c>
      <c r="B4755" s="216" t="n">
        <v>113.9</v>
      </c>
      <c r="C4755" s="216" t="n">
        <v>172.52</v>
      </c>
      <c r="D4755" s="216" t="n">
        <v>1.161301970481873</v>
      </c>
      <c r="E4755" s="215" t="n">
        <v>44770</v>
      </c>
      <c r="F4755" s="215" t="n">
        <v>44770</v>
      </c>
    </row>
    <row r="4756">
      <c r="A4756" s="215" t="n">
        <v>44771</v>
      </c>
      <c r="B4756" s="216" t="n">
        <v>107.2</v>
      </c>
      <c r="C4756" s="216" t="n">
        <v>164.9</v>
      </c>
      <c r="D4756" s="216" t="n">
        <v>1.163324952125549</v>
      </c>
      <c r="E4756" s="215" t="n">
        <v>44771</v>
      </c>
      <c r="F4756" s="215" t="n">
        <v>44771</v>
      </c>
    </row>
    <row r="4757">
      <c r="A4757" s="215" t="n">
        <v>44774</v>
      </c>
      <c r="B4757" s="216" t="n">
        <v>106.4</v>
      </c>
      <c r="C4757" s="216" t="n">
        <v>163.86</v>
      </c>
      <c r="D4757" s="216" t="n">
        <v>1.162269949913025</v>
      </c>
      <c r="E4757" s="215" t="n">
        <v>44774</v>
      </c>
      <c r="F4757" s="215" t="n">
        <v>44774</v>
      </c>
    </row>
    <row r="4758">
      <c r="A4758" s="215" t="n">
        <v>44775</v>
      </c>
      <c r="B4758" s="216" t="n">
        <v>104</v>
      </c>
      <c r="C4758" s="216" t="n">
        <v>158.4</v>
      </c>
      <c r="D4758" s="216" t="n">
        <v>1.159325957298279</v>
      </c>
      <c r="E4758" s="215" t="n">
        <v>44775</v>
      </c>
      <c r="F4758" s="215" t="n">
        <v>44775</v>
      </c>
    </row>
    <row r="4759">
      <c r="A4759" s="215" t="n">
        <v>44776</v>
      </c>
      <c r="B4759" s="216" t="n">
        <v>103</v>
      </c>
      <c r="C4759" s="216" t="n">
        <v>159.1</v>
      </c>
      <c r="D4759" s="216" t="n">
        <v>1.162142992019653</v>
      </c>
      <c r="E4759" s="215" t="n">
        <v>44776</v>
      </c>
      <c r="F4759" s="215" t="n">
        <v>44776</v>
      </c>
    </row>
    <row r="4760">
      <c r="A4760" s="215" t="n">
        <v>44777</v>
      </c>
      <c r="B4760" s="216" t="n">
        <v>112.8</v>
      </c>
      <c r="C4760" s="216" t="n">
        <v>173.8</v>
      </c>
      <c r="D4760" s="216" t="n">
        <v>1.161054015159607</v>
      </c>
      <c r="E4760" s="215" t="n">
        <v>44777</v>
      </c>
      <c r="F4760" s="215" t="n">
        <v>44777</v>
      </c>
    </row>
    <row r="4761">
      <c r="A4761" s="215" t="n">
        <v>44778</v>
      </c>
      <c r="B4761" s="216" t="n">
        <v>115</v>
      </c>
      <c r="C4761" s="216" t="n">
        <v>173.22</v>
      </c>
      <c r="D4761" s="216" t="n">
        <v>1.163038015365601</v>
      </c>
      <c r="E4761" s="215" t="n">
        <v>44778</v>
      </c>
      <c r="F4761" s="215" t="n">
        <v>44778</v>
      </c>
    </row>
    <row r="4762">
      <c r="A4762" s="215" t="n">
        <v>44781</v>
      </c>
      <c r="B4762" s="216" t="n">
        <v>113.3</v>
      </c>
      <c r="C4762" s="216" t="n">
        <v>174.99</v>
      </c>
      <c r="D4762" s="216" t="n">
        <v>1.157068967819214</v>
      </c>
      <c r="E4762" s="215" t="n">
        <v>44781</v>
      </c>
      <c r="F4762" s="215" t="n">
        <v>44781</v>
      </c>
    </row>
    <row r="4763">
      <c r="A4763" s="215" t="n">
        <v>44782</v>
      </c>
      <c r="B4763" s="216" t="n">
        <v>114.9</v>
      </c>
      <c r="C4763" s="216" t="n">
        <v>175.67</v>
      </c>
      <c r="D4763" s="216" t="n">
        <v>1.162580013275146</v>
      </c>
      <c r="E4763" s="215" t="n">
        <v>44782</v>
      </c>
      <c r="F4763" s="215" t="n">
        <v>44782</v>
      </c>
    </row>
    <row r="4764">
      <c r="A4764" s="215" t="n">
        <v>44783</v>
      </c>
      <c r="B4764" s="216" t="n">
        <v>110.4</v>
      </c>
      <c r="C4764" s="216" t="n">
        <v>170.1</v>
      </c>
      <c r="D4764" s="216" t="n">
        <v>1.162145972251892</v>
      </c>
      <c r="E4764" s="215" t="n">
        <v>44783</v>
      </c>
      <c r="F4764" s="215" t="n">
        <v>44783</v>
      </c>
    </row>
    <row r="4765">
      <c r="A4765" s="215" t="n">
        <v>44784</v>
      </c>
      <c r="B4765" s="216" t="n">
        <v>117.4</v>
      </c>
      <c r="C4765" s="216" t="n">
        <v>178.29</v>
      </c>
      <c r="D4765" s="216" t="n">
        <v>1.1664719581604</v>
      </c>
      <c r="E4765" s="215" t="n">
        <v>44784</v>
      </c>
      <c r="F4765" s="215" t="n">
        <v>44784</v>
      </c>
    </row>
    <row r="4766">
      <c r="A4766" s="215" t="n">
        <v>44785</v>
      </c>
      <c r="B4766" s="216" t="n">
        <v>117.3</v>
      </c>
      <c r="C4766" s="216" t="n">
        <v>181.27</v>
      </c>
      <c r="D4766" s="216" t="n">
        <v>1.163048028945923</v>
      </c>
      <c r="E4766" s="215" t="n">
        <v>44785</v>
      </c>
      <c r="F4766" s="215" t="n">
        <v>44785</v>
      </c>
    </row>
    <row r="4767">
      <c r="A4767" s="215" t="n">
        <v>44788</v>
      </c>
      <c r="B4767" s="216" t="n">
        <v>120</v>
      </c>
      <c r="C4767" s="216" t="n">
        <v>176.32</v>
      </c>
      <c r="D4767" s="216" t="n">
        <v>1.161870002746582</v>
      </c>
      <c r="E4767" s="215" t="n">
        <v>44788</v>
      </c>
      <c r="F4767" s="215" t="n">
        <v>44788</v>
      </c>
    </row>
    <row r="4768">
      <c r="A4768" s="215" t="n">
        <v>44789</v>
      </c>
      <c r="B4768" s="216" t="n">
        <v>119.7</v>
      </c>
      <c r="C4768" s="216" t="n">
        <v>175.47</v>
      </c>
      <c r="D4768" s="216" t="n">
        <v>1.157011985778809</v>
      </c>
      <c r="E4768" s="215" t="n">
        <v>44789</v>
      </c>
      <c r="F4768" s="215" t="n">
        <v>44789</v>
      </c>
    </row>
    <row r="4769">
      <c r="A4769" s="215" t="n">
        <v>44790</v>
      </c>
      <c r="B4769" s="216" t="n">
        <v>118</v>
      </c>
      <c r="C4769" s="216" t="n">
        <v>178.35</v>
      </c>
      <c r="D4769" s="216" t="n">
        <v>1.154489040374756</v>
      </c>
      <c r="E4769" s="215" t="n">
        <v>44790</v>
      </c>
      <c r="F4769" s="215" t="n">
        <v>44790</v>
      </c>
    </row>
    <row r="4770">
      <c r="A4770" s="215" t="n">
        <v>44791</v>
      </c>
      <c r="B4770" s="216" t="n">
        <v>115.1</v>
      </c>
      <c r="C4770" s="216" t="n">
        <v>174.43</v>
      </c>
      <c r="D4770" s="216" t="n">
        <v>1.156353950500488</v>
      </c>
      <c r="E4770" s="215" t="n">
        <v>44791</v>
      </c>
      <c r="F4770" s="215" t="n">
        <v>44791</v>
      </c>
    </row>
    <row r="4771">
      <c r="A4771" s="215" t="n">
        <v>44792</v>
      </c>
      <c r="B4771" s="216" t="n">
        <v>115</v>
      </c>
      <c r="C4771" s="216" t="n">
        <v>171.76</v>
      </c>
      <c r="D4771" s="216" t="n">
        <v>1.156412959098816</v>
      </c>
      <c r="E4771" s="215" t="n">
        <v>44792</v>
      </c>
      <c r="F4771" s="215" t="n">
        <v>44792</v>
      </c>
    </row>
    <row r="4772">
      <c r="A4772" s="215" t="n">
        <v>44795</v>
      </c>
      <c r="B4772" s="216" t="n">
        <v>114.6</v>
      </c>
      <c r="C4772" s="216" t="n">
        <v>174.3</v>
      </c>
      <c r="D4772" s="216" t="n">
        <v>1.150079965591431</v>
      </c>
      <c r="E4772" s="215" t="n">
        <v>44795</v>
      </c>
      <c r="F4772" s="215" t="n">
        <v>44795</v>
      </c>
    </row>
    <row r="4773">
      <c r="A4773" s="215" t="n">
        <v>44796</v>
      </c>
      <c r="B4773" s="216" t="n">
        <v>110.3</v>
      </c>
      <c r="C4773" s="216" t="n">
        <v>167.98</v>
      </c>
      <c r="D4773" s="216" t="n">
        <v>1.145777940750122</v>
      </c>
      <c r="E4773" s="215" t="n">
        <v>44796</v>
      </c>
      <c r="F4773" s="215" t="n">
        <v>44796</v>
      </c>
    </row>
    <row r="4774">
      <c r="A4774" s="215" t="n">
        <v>44797</v>
      </c>
      <c r="B4774" s="216" t="n">
        <v>109.1</v>
      </c>
      <c r="C4774" s="216" t="n">
        <v>166.32</v>
      </c>
      <c r="D4774" s="216" t="n">
        <v>1.148229956626892</v>
      </c>
      <c r="E4774" s="215" t="n">
        <v>44797</v>
      </c>
      <c r="F4774" s="215" t="n">
        <v>44797</v>
      </c>
    </row>
    <row r="4775">
      <c r="A4775" s="215" t="n">
        <v>44798</v>
      </c>
      <c r="B4775" s="216" t="n">
        <v>110.9</v>
      </c>
      <c r="C4775" s="216" t="n">
        <v>167.66</v>
      </c>
      <c r="D4775" s="216" t="n">
        <v>1.143164038658142</v>
      </c>
      <c r="E4775" s="215" t="n">
        <v>44798</v>
      </c>
      <c r="F4775" s="215" t="n">
        <v>44798</v>
      </c>
    </row>
    <row r="4776">
      <c r="A4776" s="215" t="n">
        <v>44799</v>
      </c>
      <c r="B4776" s="216" t="n">
        <v>110.4</v>
      </c>
      <c r="C4776" s="216" t="n">
        <v>171.2</v>
      </c>
      <c r="D4776" s="216" t="n">
        <v>1.145529985427856</v>
      </c>
      <c r="E4776" s="215" t="n">
        <v>44799</v>
      </c>
      <c r="F4776" s="215" t="n">
        <v>44799</v>
      </c>
    </row>
    <row r="4777">
      <c r="A4777" s="215" t="n">
        <v>44802</v>
      </c>
      <c r="B4777" s="216" t="n">
        <v>104.9</v>
      </c>
      <c r="C4777" s="216" t="n">
        <v>162.51</v>
      </c>
      <c r="D4777" s="216" t="n">
        <v>1.136988997459412</v>
      </c>
      <c r="E4777" s="215" t="n">
        <v>44802</v>
      </c>
      <c r="F4777" s="215" t="n">
        <v>44802</v>
      </c>
    </row>
    <row r="4778">
      <c r="A4778" s="215" t="n">
        <v>44803</v>
      </c>
      <c r="B4778" s="216" t="n">
        <v>104.1</v>
      </c>
      <c r="C4778" s="216" t="n">
        <v>164.09</v>
      </c>
      <c r="D4778" s="216" t="n">
        <v>1.135977983474731</v>
      </c>
      <c r="E4778" s="215" t="n">
        <v>44803</v>
      </c>
      <c r="F4778" s="215" t="n">
        <v>44803</v>
      </c>
    </row>
    <row r="4779">
      <c r="A4779" s="215" t="n">
        <v>44804</v>
      </c>
      <c r="B4779" s="216" t="n">
        <v>108.1</v>
      </c>
      <c r="C4779" s="216" t="n">
        <v>171.55</v>
      </c>
      <c r="D4779" s="216" t="n">
        <v>1.135614037513733</v>
      </c>
      <c r="E4779" s="215" t="n">
        <v>44804</v>
      </c>
      <c r="F4779" s="215" t="n">
        <v>44804</v>
      </c>
    </row>
    <row r="4780">
      <c r="A4780" s="215" t="n">
        <v>44805</v>
      </c>
      <c r="B4780" s="216" t="n">
        <v>106.8</v>
      </c>
      <c r="C4780" s="216" t="n">
        <v>170.32</v>
      </c>
      <c r="D4780" s="216" t="n">
        <v>1.138682007789612</v>
      </c>
      <c r="E4780" s="215" t="n">
        <v>44805</v>
      </c>
      <c r="F4780" s="215" t="n">
        <v>44805</v>
      </c>
    </row>
    <row r="4781">
      <c r="A4781" s="215" t="n">
        <v>44806</v>
      </c>
      <c r="B4781" s="216" t="n">
        <v>104.2</v>
      </c>
      <c r="C4781" s="216" t="n">
        <v>164.79</v>
      </c>
      <c r="D4781" s="216" t="n">
        <v>1.136086940765381</v>
      </c>
      <c r="E4781" s="215" t="n">
        <v>44806</v>
      </c>
      <c r="F4781" s="215" t="n">
        <v>44806</v>
      </c>
    </row>
    <row r="4782">
      <c r="A4782" s="215" t="n">
        <v>44809</v>
      </c>
      <c r="B4782" s="216" t="n">
        <v>100.5</v>
      </c>
      <c r="C4782" s="216" t="n">
        <v>161.79</v>
      </c>
      <c r="D4782" s="216" t="n">
        <v>1.132429003715515</v>
      </c>
      <c r="E4782" s="215" t="n">
        <v>44809</v>
      </c>
      <c r="F4782" s="215" t="n">
        <v>44809</v>
      </c>
    </row>
    <row r="4783">
      <c r="A4783" s="215" t="n">
        <v>44810</v>
      </c>
      <c r="B4783" s="216" t="n">
        <v>102.2</v>
      </c>
      <c r="C4783" s="216" t="n">
        <v>165</v>
      </c>
      <c r="D4783" s="216" t="n">
        <v>1.13170599937439</v>
      </c>
      <c r="E4783" s="215" t="n">
        <v>44810</v>
      </c>
      <c r="F4783" s="215" t="n">
        <v>44810</v>
      </c>
    </row>
    <row r="4784">
      <c r="A4784" s="215" t="n">
        <v>44811</v>
      </c>
      <c r="B4784" s="216" t="n">
        <v>103.6</v>
      </c>
      <c r="C4784" s="216" t="n">
        <v>168.5</v>
      </c>
      <c r="D4784" s="216" t="n">
        <v>1.128731966018677</v>
      </c>
      <c r="E4784" s="215" t="n">
        <v>44811</v>
      </c>
      <c r="F4784" s="215" t="n">
        <v>44811</v>
      </c>
    </row>
    <row r="4785">
      <c r="A4785" s="215" t="n">
        <v>44812</v>
      </c>
      <c r="B4785" s="216" t="n">
        <v>100.4</v>
      </c>
      <c r="C4785" s="216" t="n">
        <v>167.68</v>
      </c>
      <c r="D4785" s="216" t="n">
        <v>1.126878976821899</v>
      </c>
      <c r="E4785" s="215" t="n">
        <v>44812</v>
      </c>
      <c r="F4785" s="215" t="n">
        <v>44812</v>
      </c>
    </row>
    <row r="4786">
      <c r="A4786" s="215" t="n">
        <v>44813</v>
      </c>
      <c r="B4786" s="216" t="n">
        <v>103.7</v>
      </c>
      <c r="C4786" s="216" t="n">
        <v>167.61</v>
      </c>
      <c r="D4786" s="216" t="n">
        <v>1.128111958503723</v>
      </c>
      <c r="E4786" s="215" t="n">
        <v>44813</v>
      </c>
      <c r="F4786" s="215" t="n">
        <v>44813</v>
      </c>
    </row>
    <row r="4787">
      <c r="A4787" s="215" t="n">
        <v>44817</v>
      </c>
      <c r="B4787" s="216" t="n">
        <v>90.84999999999999</v>
      </c>
      <c r="C4787" s="216" t="n">
        <v>150.85</v>
      </c>
      <c r="D4787" s="216" t="n">
        <v>1.133118033409119</v>
      </c>
      <c r="E4787" s="215" t="n">
        <v>44817</v>
      </c>
      <c r="F4787" s="215" t="n">
        <v>44817</v>
      </c>
    </row>
    <row r="4788">
      <c r="A4788" s="215" t="n">
        <v>44818</v>
      </c>
      <c r="B4788" s="216" t="n">
        <v>92.5</v>
      </c>
      <c r="C4788" s="216" t="n">
        <v>147.2</v>
      </c>
      <c r="D4788" s="216" t="n">
        <v>1.133923053741455</v>
      </c>
      <c r="E4788" s="215" t="n">
        <v>44818</v>
      </c>
      <c r="F4788" s="215" t="n">
        <v>44818</v>
      </c>
    </row>
    <row r="4789">
      <c r="A4789" s="215" t="n">
        <v>44819</v>
      </c>
      <c r="B4789" s="216" t="n">
        <v>92.90000000000001</v>
      </c>
      <c r="C4789" s="216" t="n">
        <v>149.9</v>
      </c>
      <c r="D4789" s="216" t="n">
        <v>1.127349972724915</v>
      </c>
      <c r="E4789" s="215" t="n">
        <v>44819</v>
      </c>
      <c r="F4789" s="215" t="n">
        <v>44819</v>
      </c>
    </row>
    <row r="4790">
      <c r="A4790" s="215" t="n">
        <v>44820</v>
      </c>
      <c r="B4790" s="216" t="n">
        <v>92.45</v>
      </c>
      <c r="C4790" s="216" t="n">
        <v>142.16</v>
      </c>
      <c r="D4790" s="216" t="n">
        <v>1.122084975242615</v>
      </c>
      <c r="E4790" s="215" t="n">
        <v>44820</v>
      </c>
      <c r="F4790" s="215" t="n">
        <v>44820</v>
      </c>
    </row>
    <row r="4791">
      <c r="A4791" s="215" t="n">
        <v>44823</v>
      </c>
      <c r="B4791" s="216" t="n">
        <v>90.5</v>
      </c>
      <c r="C4791" s="216" t="n">
        <v>143.17</v>
      </c>
      <c r="D4791" s="216" t="n">
        <v>1.128190040588379</v>
      </c>
      <c r="E4791" s="215" t="n">
        <v>44823</v>
      </c>
      <c r="F4791" s="215" t="n">
        <v>44823</v>
      </c>
    </row>
    <row r="4792">
      <c r="A4792" s="215" t="n">
        <v>44824</v>
      </c>
      <c r="B4792" s="216" t="n">
        <v>92</v>
      </c>
      <c r="C4792" s="216" t="n">
        <v>143.65</v>
      </c>
      <c r="D4792" s="216" t="n">
        <v>1.120393991470337</v>
      </c>
      <c r="E4792" s="215" t="n">
        <v>44824</v>
      </c>
      <c r="F4792" s="215" t="n">
        <v>44824</v>
      </c>
    </row>
    <row r="4793">
      <c r="A4793" s="215" t="n">
        <v>44825</v>
      </c>
      <c r="B4793" s="216" t="n">
        <v>89.5</v>
      </c>
      <c r="C4793" s="216" t="n">
        <v>139.66</v>
      </c>
      <c r="D4793" s="216" t="n">
        <v>1.11835503578186</v>
      </c>
      <c r="E4793" s="215" t="n">
        <v>44825</v>
      </c>
      <c r="F4793" s="215" t="n">
        <v>44825</v>
      </c>
    </row>
    <row r="4794">
      <c r="A4794" s="215" t="n">
        <v>44826</v>
      </c>
      <c r="B4794" s="216" t="n">
        <v>90</v>
      </c>
      <c r="C4794" s="216" t="n">
        <v>137.26</v>
      </c>
      <c r="D4794" s="216" t="n">
        <v>1.113355040550232</v>
      </c>
      <c r="E4794" s="215" t="n">
        <v>44826</v>
      </c>
      <c r="F4794" s="215" t="n">
        <v>44826</v>
      </c>
    </row>
    <row r="4795">
      <c r="A4795" s="215" t="n">
        <v>44827</v>
      </c>
      <c r="B4795" s="216" t="n">
        <v>87.3</v>
      </c>
      <c r="C4795" s="216" t="n">
        <v>137.61</v>
      </c>
      <c r="D4795" s="216" t="n">
        <v>1.10860002040863</v>
      </c>
      <c r="E4795" s="215" t="n">
        <v>44827</v>
      </c>
      <c r="F4795" s="215" t="n">
        <v>44827</v>
      </c>
    </row>
    <row r="4796">
      <c r="A4796" s="215" t="n">
        <v>44830</v>
      </c>
      <c r="B4796" s="216" t="n">
        <v>85.34999999999999</v>
      </c>
      <c r="C4796" s="216" t="n">
        <v>138.18</v>
      </c>
      <c r="D4796" s="216" t="n">
        <v>1.115165948867798</v>
      </c>
      <c r="E4796" s="215" t="n">
        <v>44830</v>
      </c>
      <c r="F4796" s="215" t="n">
        <v>44830</v>
      </c>
    </row>
    <row r="4797">
      <c r="A4797" s="215" t="n">
        <v>44831</v>
      </c>
      <c r="B4797" s="216" t="n">
        <v>92.25</v>
      </c>
      <c r="C4797" s="216" t="n">
        <v>144</v>
      </c>
      <c r="D4797" s="216" t="n">
        <v>1.114001989364624</v>
      </c>
      <c r="E4797" s="215" t="n">
        <v>44831</v>
      </c>
      <c r="F4797" s="215" t="n">
        <v>44831</v>
      </c>
    </row>
    <row r="4798">
      <c r="A4798" s="215" t="n">
        <v>44832</v>
      </c>
      <c r="B4798" s="216" t="n">
        <v>89</v>
      </c>
      <c r="C4798" s="216" t="n">
        <v>139.49</v>
      </c>
      <c r="D4798" s="216" t="n">
        <v>1.094223022460938</v>
      </c>
      <c r="E4798" s="215" t="n">
        <v>44832</v>
      </c>
      <c r="F4798" s="215" t="n">
        <v>44832</v>
      </c>
    </row>
    <row r="4799">
      <c r="A4799" s="215" t="n">
        <v>44833</v>
      </c>
      <c r="B4799" s="216" t="n">
        <v>93.5</v>
      </c>
      <c r="C4799" s="216" t="n">
        <v>140.35</v>
      </c>
      <c r="D4799" s="216" t="n">
        <v>1.089447975158691</v>
      </c>
      <c r="E4799" s="215" t="n">
        <v>44833</v>
      </c>
      <c r="F4799" s="215" t="n">
        <v>44833</v>
      </c>
    </row>
    <row r="4800">
      <c r="A4800" s="215" t="n">
        <v>44834</v>
      </c>
      <c r="B4800" s="216" t="n">
        <v>100</v>
      </c>
      <c r="C4800" s="216" t="n">
        <v>138.7</v>
      </c>
      <c r="D4800" s="216" t="n">
        <v>1.10089898109436</v>
      </c>
      <c r="E4800" s="215" t="n">
        <v>44834</v>
      </c>
      <c r="F4800" s="215" t="n">
        <v>44834</v>
      </c>
    </row>
    <row r="4801">
      <c r="A4801" s="215" t="n">
        <v>44837</v>
      </c>
      <c r="B4801" s="216" t="n">
        <v>94.55</v>
      </c>
      <c r="C4801" s="216" t="n">
        <v>138.7</v>
      </c>
      <c r="D4801" s="216" t="n">
        <v>1.102097988128662</v>
      </c>
      <c r="E4801" s="215" t="n">
        <v>44834</v>
      </c>
      <c r="F4801" s="215" t="n">
        <v>44837</v>
      </c>
    </row>
    <row r="4802">
      <c r="A4802" s="215" t="n">
        <v>44839</v>
      </c>
      <c r="B4802" s="216" t="n">
        <v>95.2</v>
      </c>
      <c r="C4802" s="216" t="n">
        <v>138.7</v>
      </c>
      <c r="D4802" s="216" t="n">
        <v>1.103346943855286</v>
      </c>
      <c r="E4802" s="215" t="n">
        <v>44834</v>
      </c>
      <c r="F4802" s="215" t="n">
        <v>44839</v>
      </c>
    </row>
    <row r="4803">
      <c r="A4803" s="215" t="n">
        <v>44840</v>
      </c>
      <c r="B4803" s="216" t="n">
        <v>91.8</v>
      </c>
      <c r="C4803" s="216" t="n">
        <v>138.7</v>
      </c>
      <c r="D4803" s="216" t="n">
        <v>1.103878021240234</v>
      </c>
      <c r="E4803" s="215" t="n">
        <v>44834</v>
      </c>
      <c r="F4803" s="215" t="n">
        <v>44840</v>
      </c>
    </row>
    <row r="4804">
      <c r="A4804" s="215" t="n">
        <v>44841</v>
      </c>
      <c r="B4804" s="216" t="n">
        <v>94.65000000000001</v>
      </c>
      <c r="C4804" s="216" t="n">
        <v>138.7</v>
      </c>
      <c r="D4804" s="216" t="n">
        <v>1.103150963783264</v>
      </c>
      <c r="E4804" s="215" t="n">
        <v>44834</v>
      </c>
      <c r="F4804" s="215" t="n">
        <v>44841</v>
      </c>
    </row>
    <row r="4805">
      <c r="A4805" s="215" t="n">
        <v>44844</v>
      </c>
      <c r="B4805" s="216" t="n">
        <v>88</v>
      </c>
      <c r="C4805" s="216" t="n">
        <v>130.17</v>
      </c>
      <c r="D4805" s="216" t="n">
        <v>1.098549008369446</v>
      </c>
      <c r="E4805" s="215" t="n">
        <v>44844</v>
      </c>
      <c r="F4805" s="215" t="n">
        <v>44844</v>
      </c>
    </row>
    <row r="4806">
      <c r="A4806" s="215" t="n">
        <v>44845</v>
      </c>
      <c r="B4806" s="216" t="n">
        <v>84.75</v>
      </c>
      <c r="C4806" s="216" t="n">
        <v>131.18</v>
      </c>
      <c r="D4806" s="216" t="n">
        <v>1.097115039825439</v>
      </c>
      <c r="E4806" s="215" t="n">
        <v>44845</v>
      </c>
      <c r="F4806" s="215" t="n">
        <v>44845</v>
      </c>
    </row>
    <row r="4807">
      <c r="A4807" s="215" t="n">
        <v>44846</v>
      </c>
      <c r="B4807" s="216" t="n">
        <v>82.5</v>
      </c>
      <c r="C4807" s="216" t="n">
        <v>132.2</v>
      </c>
      <c r="D4807" s="216" t="n">
        <v>1.094871997833252</v>
      </c>
      <c r="E4807" s="215" t="n">
        <v>44846</v>
      </c>
      <c r="F4807" s="215" t="n">
        <v>44846</v>
      </c>
    </row>
    <row r="4808">
      <c r="A4808" s="215" t="n">
        <v>44847</v>
      </c>
      <c r="B4808" s="216" t="n">
        <v>82.55</v>
      </c>
      <c r="C4808" s="216" t="n">
        <v>135.88</v>
      </c>
      <c r="D4808" s="216" t="n">
        <v>1.09404194355011</v>
      </c>
      <c r="E4808" s="215" t="n">
        <v>44847</v>
      </c>
      <c r="F4808" s="215" t="n">
        <v>44847</v>
      </c>
    </row>
    <row r="4809">
      <c r="A4809" s="215" t="n">
        <v>44848</v>
      </c>
      <c r="B4809" s="216" t="n">
        <v>90.5</v>
      </c>
      <c r="C4809" s="216" t="n">
        <v>149.47</v>
      </c>
      <c r="D4809" s="216" t="n">
        <v>1.094624042510986</v>
      </c>
      <c r="E4809" s="215" t="n">
        <v>44848</v>
      </c>
      <c r="F4809" s="215" t="n">
        <v>44848</v>
      </c>
    </row>
    <row r="4810">
      <c r="A4810" s="215" t="n">
        <v>44851</v>
      </c>
      <c r="B4810" s="216" t="n">
        <v>90.5</v>
      </c>
      <c r="C4810" s="216" t="n">
        <v>149.52</v>
      </c>
      <c r="D4810" s="216" t="n">
        <v>1.093557000160217</v>
      </c>
      <c r="E4810" s="215" t="n">
        <v>44851</v>
      </c>
      <c r="F4810" s="215" t="n">
        <v>44851</v>
      </c>
    </row>
    <row r="4811">
      <c r="A4811" s="215" t="n">
        <v>44852</v>
      </c>
      <c r="B4811" s="216" t="n">
        <v>96.59999999999999</v>
      </c>
      <c r="C4811" s="216" t="n">
        <v>150.3</v>
      </c>
      <c r="D4811" s="216" t="n">
        <v>1.090047001838684</v>
      </c>
      <c r="E4811" s="215" t="n">
        <v>44852</v>
      </c>
      <c r="F4811" s="215" t="n">
        <v>44852</v>
      </c>
    </row>
    <row r="4812">
      <c r="A4812" s="215" t="n">
        <v>44853</v>
      </c>
      <c r="B4812" s="216" t="n">
        <v>91.95</v>
      </c>
      <c r="C4812" s="216" t="n">
        <v>148.37</v>
      </c>
      <c r="D4812" s="216" t="n">
        <v>1.089534044265747</v>
      </c>
      <c r="E4812" s="215" t="n">
        <v>44853</v>
      </c>
      <c r="F4812" s="215" t="n">
        <v>44853</v>
      </c>
    </row>
    <row r="4813">
      <c r="A4813" s="215" t="n">
        <v>44854</v>
      </c>
      <c r="B4813" s="216" t="n">
        <v>88.95</v>
      </c>
      <c r="C4813" s="216" t="n">
        <v>146</v>
      </c>
      <c r="D4813" s="216" t="n">
        <v>1.086274027824402</v>
      </c>
      <c r="E4813" s="215" t="n">
        <v>44854</v>
      </c>
      <c r="F4813" s="215" t="n">
        <v>44854</v>
      </c>
    </row>
    <row r="4814">
      <c r="A4814" s="215" t="n">
        <v>44855</v>
      </c>
      <c r="B4814" s="216" t="n">
        <v>87.8</v>
      </c>
      <c r="C4814" s="216" t="n">
        <v>142.7</v>
      </c>
      <c r="D4814" s="216" t="n">
        <v>1.087515950202942</v>
      </c>
      <c r="E4814" s="215" t="n">
        <v>44855</v>
      </c>
      <c r="F4814" s="215" t="n">
        <v>44855</v>
      </c>
    </row>
    <row r="4815">
      <c r="A4815" s="215" t="n">
        <v>44858</v>
      </c>
      <c r="B4815" s="216" t="n">
        <v>82.5</v>
      </c>
      <c r="C4815" s="216" t="n">
        <v>136.24</v>
      </c>
      <c r="D4815" s="216" t="n">
        <v>1.08328104019165</v>
      </c>
      <c r="E4815" s="215" t="n">
        <v>44858</v>
      </c>
      <c r="F4815" s="215" t="n">
        <v>44858</v>
      </c>
    </row>
    <row r="4816">
      <c r="A4816" s="215" t="n">
        <v>44859</v>
      </c>
      <c r="B4816" s="216" t="n">
        <v>82.5</v>
      </c>
      <c r="C4816" s="216" t="n">
        <v>136.71</v>
      </c>
      <c r="D4816" s="216" t="n">
        <v>1.080643057823181</v>
      </c>
      <c r="E4816" s="215" t="n">
        <v>44859</v>
      </c>
      <c r="F4816" s="215" t="n">
        <v>44859</v>
      </c>
    </row>
    <row r="4817">
      <c r="A4817" s="215" t="n">
        <v>44860</v>
      </c>
      <c r="B4817" s="216" t="n">
        <v>87.5</v>
      </c>
      <c r="C4817" s="216" t="n">
        <v>148.44</v>
      </c>
      <c r="D4817" s="216" t="n">
        <v>1.079828023910522</v>
      </c>
      <c r="E4817" s="215" t="n">
        <v>44860</v>
      </c>
      <c r="F4817" s="215" t="n">
        <v>44860</v>
      </c>
    </row>
    <row r="4818">
      <c r="A4818" s="215" t="n">
        <v>44861</v>
      </c>
      <c r="B4818" s="216" t="n">
        <v>90.5</v>
      </c>
      <c r="C4818" s="216" t="n">
        <v>149.39</v>
      </c>
      <c r="D4818" s="216" t="n">
        <v>1.094295978546143</v>
      </c>
      <c r="E4818" s="215" t="n">
        <v>44861</v>
      </c>
      <c r="F4818" s="215" t="n">
        <v>44861</v>
      </c>
    </row>
    <row r="4819">
      <c r="A4819" s="215" t="n">
        <v>44862</v>
      </c>
      <c r="B4819" s="216" t="n">
        <v>88.2</v>
      </c>
      <c r="C4819" s="216" t="n">
        <v>149.87</v>
      </c>
      <c r="D4819" s="216" t="n">
        <v>1.085523962974548</v>
      </c>
      <c r="E4819" s="215" t="n">
        <v>44862</v>
      </c>
      <c r="F4819" s="215" t="n">
        <v>44862</v>
      </c>
    </row>
    <row r="4820">
      <c r="A4820" s="215" t="n">
        <v>44865</v>
      </c>
      <c r="B4820" s="216" t="n">
        <v>84</v>
      </c>
      <c r="C4820" s="216" t="n">
        <v>143.19</v>
      </c>
      <c r="D4820" s="216" t="n">
        <v>1.081084966659546</v>
      </c>
      <c r="E4820" s="215" t="n">
        <v>44865</v>
      </c>
      <c r="F4820" s="215" t="n">
        <v>44865</v>
      </c>
    </row>
    <row r="4821">
      <c r="A4821" s="215" t="n">
        <v>44866</v>
      </c>
      <c r="B4821" s="216" t="n">
        <v>92.7</v>
      </c>
      <c r="C4821" s="216" t="n">
        <v>150.17</v>
      </c>
      <c r="D4821" s="216" t="n">
        <v>1.074709057807922</v>
      </c>
      <c r="E4821" s="215" t="n">
        <v>44866</v>
      </c>
      <c r="F4821" s="215" t="n">
        <v>44866</v>
      </c>
    </row>
    <row r="4822">
      <c r="A4822" s="215" t="n">
        <v>44867</v>
      </c>
      <c r="B4822" s="216" t="n">
        <v>97.34999999999999</v>
      </c>
      <c r="C4822" s="216" t="n">
        <v>151.4</v>
      </c>
      <c r="D4822" s="216" t="n">
        <v>1.078613996505737</v>
      </c>
      <c r="E4822" s="215" t="n">
        <v>44867</v>
      </c>
      <c r="F4822" s="215" t="n">
        <v>44867</v>
      </c>
    </row>
    <row r="4823">
      <c r="A4823" s="215" t="n">
        <v>44868</v>
      </c>
      <c r="B4823" s="216" t="n">
        <v>97.09999999999999</v>
      </c>
      <c r="C4823" s="216" t="n">
        <v>153.15</v>
      </c>
      <c r="D4823" s="216" t="n">
        <v>1.076753973960876</v>
      </c>
      <c r="E4823" s="215" t="n">
        <v>44868</v>
      </c>
      <c r="F4823" s="215" t="n">
        <v>44868</v>
      </c>
    </row>
    <row r="4824">
      <c r="A4824" s="215" t="n">
        <v>44869</v>
      </c>
      <c r="B4824" s="216" t="n">
        <v>101.1</v>
      </c>
      <c r="C4824" s="216" t="n">
        <v>155.8</v>
      </c>
      <c r="D4824" s="216" t="n">
        <v>1.074813961982727</v>
      </c>
      <c r="E4824" s="215" t="n">
        <v>44869</v>
      </c>
      <c r="F4824" s="215" t="n">
        <v>44869</v>
      </c>
    </row>
    <row r="4825">
      <c r="A4825" s="215" t="n">
        <v>44872</v>
      </c>
      <c r="B4825" s="216" t="n">
        <v>102.9</v>
      </c>
      <c r="C4825" s="216" t="n">
        <v>156.83</v>
      </c>
      <c r="D4825" s="216" t="n">
        <v>1.096333980560303</v>
      </c>
      <c r="E4825" s="215" t="n">
        <v>44872</v>
      </c>
      <c r="F4825" s="215" t="n">
        <v>44872</v>
      </c>
    </row>
    <row r="4826">
      <c r="A4826" s="215" t="n">
        <v>44873</v>
      </c>
      <c r="B4826" s="216" t="n">
        <v>98.90000000000001</v>
      </c>
      <c r="C4826" s="216" t="n">
        <v>151.7</v>
      </c>
      <c r="D4826" s="216" t="n">
        <v>1.085438013076782</v>
      </c>
      <c r="E4826" s="215" t="n">
        <v>44873</v>
      </c>
      <c r="F4826" s="215" t="n">
        <v>44873</v>
      </c>
    </row>
    <row r="4827">
      <c r="A4827" s="215" t="n">
        <v>44874</v>
      </c>
      <c r="B4827" s="216" t="n">
        <v>95.34999999999999</v>
      </c>
      <c r="C4827" s="216" t="n">
        <v>152</v>
      </c>
      <c r="D4827" s="216" t="n">
        <v>1.082811951637268</v>
      </c>
      <c r="E4827" s="215" t="n">
        <v>44874</v>
      </c>
      <c r="F4827" s="215" t="n">
        <v>44874</v>
      </c>
    </row>
    <row r="4828">
      <c r="A4828" s="215" t="n">
        <v>44875</v>
      </c>
      <c r="B4828" s="216" t="n">
        <v>92.8</v>
      </c>
      <c r="C4828" s="216" t="n">
        <v>149.31</v>
      </c>
      <c r="D4828" s="216" t="n">
        <v>1.084288954734802</v>
      </c>
      <c r="E4828" s="215" t="n">
        <v>44875</v>
      </c>
      <c r="F4828" s="215" t="n">
        <v>44875</v>
      </c>
    </row>
    <row r="4829">
      <c r="A4829" s="215" t="n">
        <v>44876</v>
      </c>
      <c r="B4829" s="216" t="n">
        <v>103.1</v>
      </c>
      <c r="C4829" s="216" t="n">
        <v>154.91</v>
      </c>
      <c r="D4829" s="216" t="n">
        <v>1.091645956039429</v>
      </c>
      <c r="E4829" s="215" t="n">
        <v>44876</v>
      </c>
      <c r="F4829" s="215" t="n">
        <v>44876</v>
      </c>
    </row>
    <row r="4830">
      <c r="A4830" s="215" t="n">
        <v>44879</v>
      </c>
      <c r="B4830" s="216" t="n">
        <v>107.8</v>
      </c>
      <c r="C4830" s="216" t="n">
        <v>156.48</v>
      </c>
      <c r="D4830" s="216" t="n">
        <v>1.099599003791809</v>
      </c>
      <c r="E4830" s="215" t="n">
        <v>44879</v>
      </c>
      <c r="F4830" s="215" t="n">
        <v>44879</v>
      </c>
    </row>
    <row r="4831">
      <c r="A4831" s="215" t="n">
        <v>44880</v>
      </c>
      <c r="B4831" s="216" t="n">
        <v>109.6</v>
      </c>
      <c r="C4831" s="216" t="n">
        <v>158.57</v>
      </c>
      <c r="D4831" s="216" t="n">
        <v>1.107100009918213</v>
      </c>
      <c r="E4831" s="215" t="n">
        <v>44880</v>
      </c>
      <c r="F4831" s="215" t="n">
        <v>44880</v>
      </c>
    </row>
    <row r="4832">
      <c r="A4832" s="215" t="n">
        <v>44881</v>
      </c>
      <c r="B4832" s="216" t="n">
        <v>106.2</v>
      </c>
      <c r="C4832" s="216" t="n">
        <v>156.67</v>
      </c>
      <c r="D4832" s="216" t="n">
        <v>1.109894037246704</v>
      </c>
      <c r="E4832" s="215" t="n">
        <v>44881</v>
      </c>
      <c r="F4832" s="215" t="n">
        <v>44881</v>
      </c>
    </row>
    <row r="4833">
      <c r="A4833" s="215" t="n">
        <v>44882</v>
      </c>
      <c r="B4833" s="216" t="n">
        <v>105.8</v>
      </c>
      <c r="C4833" s="216" t="n">
        <v>154.54</v>
      </c>
      <c r="D4833" s="216" t="n">
        <v>1.103749990463257</v>
      </c>
      <c r="E4833" s="215" t="n">
        <v>44882</v>
      </c>
      <c r="F4833" s="215" t="n">
        <v>44882</v>
      </c>
    </row>
    <row r="4834">
      <c r="A4834" s="215" t="n">
        <v>44883</v>
      </c>
      <c r="B4834" s="216" t="n">
        <v>103.2</v>
      </c>
      <c r="C4834" s="216" t="n">
        <v>152.39</v>
      </c>
      <c r="D4834" s="216" t="n">
        <v>1.093418002128601</v>
      </c>
      <c r="E4834" s="215" t="n">
        <v>44883</v>
      </c>
      <c r="F4834" s="215" t="n">
        <v>44883</v>
      </c>
    </row>
    <row r="4835">
      <c r="A4835" s="215" t="n">
        <v>44886</v>
      </c>
      <c r="B4835" s="216" t="n">
        <v>99.40000000000001</v>
      </c>
      <c r="C4835" s="216" t="n">
        <v>149.77</v>
      </c>
      <c r="D4835" s="216" t="n">
        <v>1.096133947372437</v>
      </c>
      <c r="E4835" s="215" t="n">
        <v>44886</v>
      </c>
      <c r="F4835" s="215" t="n">
        <v>44886</v>
      </c>
    </row>
    <row r="4836">
      <c r="A4836" s="215" t="n">
        <v>44887</v>
      </c>
      <c r="B4836" s="216" t="n">
        <v>96.8</v>
      </c>
      <c r="C4836" s="216" t="n">
        <v>145.02</v>
      </c>
      <c r="D4836" s="216" t="n">
        <v>1.089416027069092</v>
      </c>
      <c r="E4836" s="215" t="n">
        <v>44887</v>
      </c>
      <c r="F4836" s="215" t="n">
        <v>44887</v>
      </c>
    </row>
    <row r="4837">
      <c r="A4837" s="215" t="n">
        <v>44888</v>
      </c>
      <c r="B4837" s="216" t="n">
        <v>93.8</v>
      </c>
      <c r="C4837" s="216" t="n">
        <v>138.9</v>
      </c>
      <c r="D4837" s="216" t="n">
        <v>1.095062017440796</v>
      </c>
      <c r="E4837" s="215" t="n">
        <v>44888</v>
      </c>
      <c r="F4837" s="215" t="n">
        <v>44888</v>
      </c>
    </row>
    <row r="4838">
      <c r="A4838" s="215" t="n">
        <v>44889</v>
      </c>
      <c r="B4838" s="216" t="n">
        <v>92.2</v>
      </c>
      <c r="C4838" s="216" t="n">
        <v>139.45</v>
      </c>
      <c r="D4838" s="216" t="n">
        <v>1.091977000236511</v>
      </c>
      <c r="E4838" s="215" t="n">
        <v>44889</v>
      </c>
      <c r="F4838" s="215" t="n">
        <v>44889</v>
      </c>
    </row>
    <row r="4839">
      <c r="A4839" s="215" t="n">
        <v>44890</v>
      </c>
      <c r="B4839" s="216" t="n">
        <v>91.09999999999999</v>
      </c>
      <c r="C4839" s="216" t="n">
        <v>138.1</v>
      </c>
      <c r="D4839" s="216" t="n">
        <v>1.091302990913391</v>
      </c>
      <c r="E4839" s="215" t="n">
        <v>44890</v>
      </c>
      <c r="F4839" s="215" t="n">
        <v>44890</v>
      </c>
    </row>
    <row r="4840">
      <c r="A4840" s="215" t="n">
        <v>44893</v>
      </c>
      <c r="B4840" s="216" t="n">
        <v>90.5</v>
      </c>
      <c r="C4840" s="216" t="n">
        <v>133.6</v>
      </c>
      <c r="D4840" s="216" t="n">
        <v>1.086598038673401</v>
      </c>
      <c r="E4840" s="215" t="n">
        <v>44893</v>
      </c>
      <c r="F4840" s="215" t="n">
        <v>44893</v>
      </c>
    </row>
    <row r="4841">
      <c r="A4841" s="215" t="n">
        <v>44894</v>
      </c>
      <c r="B4841" s="216" t="n">
        <v>93.2</v>
      </c>
      <c r="C4841" s="216" t="n">
        <v>136.17</v>
      </c>
      <c r="D4841" s="216" t="n">
        <v>1.083866000175476</v>
      </c>
      <c r="E4841" s="215" t="n">
        <v>44894</v>
      </c>
      <c r="F4841" s="215" t="n">
        <v>44894</v>
      </c>
    </row>
    <row r="4842">
      <c r="A4842" s="215" t="n">
        <v>44895</v>
      </c>
      <c r="B4842" s="216" t="n">
        <v>94.5</v>
      </c>
      <c r="C4842" s="216" t="n">
        <v>134.16</v>
      </c>
      <c r="D4842" s="216" t="n">
        <v>1.091042995452881</v>
      </c>
      <c r="E4842" s="215" t="n">
        <v>44895</v>
      </c>
      <c r="F4842" s="215" t="n">
        <v>44895</v>
      </c>
    </row>
    <row r="4843">
      <c r="A4843" s="215" t="n">
        <v>44896</v>
      </c>
      <c r="B4843" s="216" t="n">
        <v>95.40000000000001</v>
      </c>
      <c r="C4843" s="216" t="n">
        <v>137.48</v>
      </c>
      <c r="D4843" s="216" t="n">
        <v>1.100015044212341</v>
      </c>
      <c r="E4843" s="215" t="n">
        <v>44896</v>
      </c>
      <c r="F4843" s="215" t="n">
        <v>44896</v>
      </c>
    </row>
    <row r="4844">
      <c r="A4844" s="215" t="n">
        <v>44897</v>
      </c>
      <c r="B4844" s="216" t="n">
        <v>96.09999999999999</v>
      </c>
      <c r="C4844" s="216" t="n">
        <v>133.21</v>
      </c>
      <c r="D4844" s="216" t="n">
        <v>1.104261994361877</v>
      </c>
      <c r="E4844" s="215" t="n">
        <v>44897</v>
      </c>
      <c r="F4844" s="215" t="n">
        <v>44897</v>
      </c>
    </row>
    <row r="4845">
      <c r="A4845" s="215" t="n">
        <v>44900</v>
      </c>
      <c r="B4845" s="216" t="n">
        <v>97.5</v>
      </c>
      <c r="C4845" s="216" t="n">
        <v>133.96</v>
      </c>
      <c r="D4845" s="216" t="n">
        <v>1.109439969062805</v>
      </c>
      <c r="E4845" s="215" t="n">
        <v>44900</v>
      </c>
      <c r="F4845" s="215" t="n">
        <v>44900</v>
      </c>
    </row>
    <row r="4846">
      <c r="A4846" s="215" t="n">
        <v>44901</v>
      </c>
      <c r="B4846" s="216" t="n">
        <v>95.59999999999999</v>
      </c>
      <c r="C4846" s="216" t="n">
        <v>134.34</v>
      </c>
      <c r="D4846" s="216" t="n">
        <v>1.11556601524353</v>
      </c>
      <c r="E4846" s="215" t="n">
        <v>44901</v>
      </c>
      <c r="F4846" s="215" t="n">
        <v>44901</v>
      </c>
    </row>
    <row r="4847">
      <c r="A4847" s="215" t="n">
        <v>44902</v>
      </c>
      <c r="B4847" s="216" t="n">
        <v>93</v>
      </c>
      <c r="C4847" s="216" t="n">
        <v>136.56</v>
      </c>
      <c r="D4847" s="216" t="n">
        <v>1.111405968666077</v>
      </c>
      <c r="E4847" s="215" t="n">
        <v>44902</v>
      </c>
      <c r="F4847" s="215" t="n">
        <v>44902</v>
      </c>
    </row>
    <row r="4848">
      <c r="A4848" s="215" t="n">
        <v>44903</v>
      </c>
      <c r="B4848" s="216" t="n">
        <v>97.2</v>
      </c>
      <c r="C4848" s="216" t="n">
        <v>135.74</v>
      </c>
      <c r="D4848" s="216" t="n">
        <v>1.117617964744568</v>
      </c>
      <c r="E4848" s="215" t="n">
        <v>44903</v>
      </c>
      <c r="F4848" s="215" t="n">
        <v>44903</v>
      </c>
    </row>
    <row r="4849">
      <c r="A4849" s="215" t="n">
        <v>44904</v>
      </c>
      <c r="B4849" s="216" t="n">
        <v>97</v>
      </c>
      <c r="C4849" s="216" t="n">
        <v>136.12</v>
      </c>
      <c r="D4849" s="216" t="n">
        <v>1.117110013961792</v>
      </c>
      <c r="E4849" s="215" t="n">
        <v>44904</v>
      </c>
      <c r="F4849" s="215" t="n">
        <v>44904</v>
      </c>
    </row>
    <row r="4850">
      <c r="A4850" s="215" t="n">
        <v>44907</v>
      </c>
      <c r="B4850" s="216" t="n">
        <v>98.3</v>
      </c>
      <c r="C4850" s="216" t="n">
        <v>135.55</v>
      </c>
      <c r="D4850" s="216" t="n">
        <v>1.115543961524963</v>
      </c>
      <c r="E4850" s="215" t="n">
        <v>44907</v>
      </c>
      <c r="F4850" s="215" t="n">
        <v>44907</v>
      </c>
    </row>
    <row r="4851">
      <c r="A4851" s="215" t="n">
        <v>44908</v>
      </c>
      <c r="B4851" s="216" t="n">
        <v>94.05</v>
      </c>
      <c r="C4851" s="216" t="n">
        <v>135.16</v>
      </c>
      <c r="D4851" s="216" t="n">
        <v>1.11419403553009</v>
      </c>
      <c r="E4851" s="215" t="n">
        <v>44908</v>
      </c>
      <c r="F4851" s="215" t="n">
        <v>44908</v>
      </c>
    </row>
    <row r="4852">
      <c r="A4852" s="215" t="n">
        <v>44909</v>
      </c>
      <c r="B4852" s="216" t="n">
        <v>95.5</v>
      </c>
      <c r="C4852" s="216" t="n">
        <v>135.08</v>
      </c>
      <c r="D4852" s="216" t="n">
        <v>1.119148015975952</v>
      </c>
      <c r="E4852" s="215" t="n">
        <v>44909</v>
      </c>
      <c r="F4852" s="215" t="n">
        <v>44909</v>
      </c>
    </row>
    <row r="4853">
      <c r="A4853" s="215" t="n">
        <v>44910</v>
      </c>
      <c r="B4853" s="216" t="n">
        <v>94</v>
      </c>
      <c r="C4853" s="216" t="n">
        <v>134.91</v>
      </c>
      <c r="D4853" s="216" t="n">
        <v>1.118654012680054</v>
      </c>
      <c r="E4853" s="215" t="n">
        <v>44910</v>
      </c>
      <c r="F4853" s="215" t="n">
        <v>44910</v>
      </c>
    </row>
    <row r="4854">
      <c r="A4854" s="215" t="n">
        <v>44911</v>
      </c>
      <c r="B4854" s="216" t="n">
        <v>95.2</v>
      </c>
      <c r="C4854" s="216" t="n">
        <v>131.1</v>
      </c>
      <c r="D4854" s="216" t="n">
        <v>1.116045951843262</v>
      </c>
      <c r="E4854" s="215" t="n">
        <v>44911</v>
      </c>
      <c r="F4854" s="215" t="n">
        <v>44911</v>
      </c>
    </row>
    <row r="4855">
      <c r="A4855" s="215" t="n">
        <v>44914</v>
      </c>
      <c r="B4855" s="216" t="n">
        <v>91.5</v>
      </c>
      <c r="C4855" s="216" t="n">
        <v>128.83</v>
      </c>
      <c r="D4855" s="216" t="n">
        <v>1.115512013435364</v>
      </c>
      <c r="E4855" s="215" t="n">
        <v>44914</v>
      </c>
      <c r="F4855" s="215" t="n">
        <v>44914</v>
      </c>
    </row>
    <row r="4856">
      <c r="A4856" s="215" t="n">
        <v>44915</v>
      </c>
      <c r="B4856" s="216" t="n">
        <v>89.55</v>
      </c>
      <c r="C4856" s="216" t="n">
        <v>128</v>
      </c>
      <c r="D4856" s="216" t="n">
        <v>1.114526987075806</v>
      </c>
      <c r="E4856" s="215" t="n">
        <v>44915</v>
      </c>
      <c r="F4856" s="215" t="n">
        <v>44915</v>
      </c>
    </row>
    <row r="4857">
      <c r="A4857" s="215" t="n">
        <v>44916</v>
      </c>
      <c r="B4857" s="216" t="n">
        <v>90.84999999999999</v>
      </c>
      <c r="C4857" s="216" t="n">
        <v>125.2</v>
      </c>
      <c r="D4857" s="216" t="n">
        <v>1.11863899230957</v>
      </c>
      <c r="E4857" s="215" t="n">
        <v>44916</v>
      </c>
      <c r="F4857" s="215" t="n">
        <v>44916</v>
      </c>
    </row>
    <row r="4858">
      <c r="A4858" s="215" t="n">
        <v>44917</v>
      </c>
      <c r="B4858" s="216" t="n">
        <v>95.2</v>
      </c>
      <c r="C4858" s="216" t="n">
        <v>129.52</v>
      </c>
      <c r="D4858" s="216" t="n">
        <v>1.116286993026733</v>
      </c>
      <c r="E4858" s="215" t="n">
        <v>44917</v>
      </c>
      <c r="F4858" s="215" t="n">
        <v>44917</v>
      </c>
    </row>
    <row r="4859">
      <c r="A4859" s="215" t="n">
        <v>44918</v>
      </c>
      <c r="B4859" s="216" t="n">
        <v>97.05</v>
      </c>
      <c r="C4859" s="216" t="n">
        <v>131.1</v>
      </c>
      <c r="D4859" s="216" t="n">
        <v>1.115679979324341</v>
      </c>
      <c r="E4859" s="215" t="n">
        <v>44918</v>
      </c>
      <c r="F4859" s="215" t="n">
        <v>44918</v>
      </c>
    </row>
    <row r="4860">
      <c r="A4860" s="215" t="n">
        <v>44923</v>
      </c>
      <c r="B4860" s="216" t="n">
        <v>107.5</v>
      </c>
      <c r="C4860" s="216" t="n">
        <v>138.62</v>
      </c>
      <c r="D4860" s="216" t="n">
        <v>1.120296955108643</v>
      </c>
      <c r="E4860" s="215" t="n">
        <v>44923</v>
      </c>
      <c r="F4860" s="215" t="n">
        <v>44923</v>
      </c>
    </row>
    <row r="4861">
      <c r="A4861" s="215" t="n">
        <v>44924</v>
      </c>
      <c r="B4861" s="216" t="n">
        <v>116</v>
      </c>
      <c r="C4861" s="216" t="n">
        <v>148.12</v>
      </c>
      <c r="D4861" s="216" t="n">
        <v>1.11841094493866</v>
      </c>
      <c r="E4861" s="215" t="n">
        <v>44924</v>
      </c>
      <c r="F4861" s="215" t="n">
        <v>44924</v>
      </c>
    </row>
    <row r="4862">
      <c r="A4862" s="215" t="n">
        <v>44925</v>
      </c>
      <c r="B4862" s="216" t="n">
        <v>114.8</v>
      </c>
      <c r="C4862" s="216" t="n">
        <v>148</v>
      </c>
      <c r="D4862" s="216" t="n">
        <v>1.118479013442993</v>
      </c>
      <c r="E4862" s="215" t="n">
        <v>44925</v>
      </c>
      <c r="F4862" s="215" t="n">
        <v>44925</v>
      </c>
    </row>
    <row r="4863">
      <c r="A4863" s="215" t="n">
        <v>44929</v>
      </c>
      <c r="B4863" s="216" t="n">
        <v>115.1</v>
      </c>
      <c r="C4863" s="216" t="n">
        <v>146.6</v>
      </c>
      <c r="D4863" s="216" t="n">
        <v>1.131546974182129</v>
      </c>
      <c r="E4863" s="215" t="n">
        <v>44929</v>
      </c>
      <c r="F4863" s="215" t="n">
        <v>44929</v>
      </c>
    </row>
    <row r="4864">
      <c r="A4864" s="215" t="n">
        <v>44930</v>
      </c>
      <c r="B4864" s="216" t="n">
        <v>117.4</v>
      </c>
      <c r="C4864" s="216" t="n">
        <v>148.99</v>
      </c>
      <c r="D4864" s="216" t="n">
        <v>1.130236983299255</v>
      </c>
      <c r="E4864" s="215" t="n">
        <v>44930</v>
      </c>
      <c r="F4864" s="215" t="n">
        <v>44930</v>
      </c>
    </row>
    <row r="4865">
      <c r="A4865" s="215" t="n">
        <v>44931</v>
      </c>
      <c r="B4865" s="216" t="n">
        <v>113.2</v>
      </c>
      <c r="C4865" s="216" t="n">
        <v>150.52</v>
      </c>
      <c r="D4865" s="216" t="n">
        <v>1.134225010871887</v>
      </c>
      <c r="E4865" s="215" t="n">
        <v>44931</v>
      </c>
      <c r="F4865" s="215" t="n">
        <v>44931</v>
      </c>
    </row>
    <row r="4866">
      <c r="A4866" s="215" t="n">
        <v>44932</v>
      </c>
      <c r="B4866" s="216" t="n">
        <v>109.2</v>
      </c>
      <c r="C4866" s="216" t="n">
        <v>148.29</v>
      </c>
      <c r="D4866" s="216" t="n">
        <v>1.135105967521667</v>
      </c>
      <c r="E4866" s="215" t="n">
        <v>44932</v>
      </c>
      <c r="F4866" s="215" t="n">
        <v>44932</v>
      </c>
    </row>
    <row r="4867">
      <c r="A4867" s="215" t="n">
        <v>44935</v>
      </c>
      <c r="B4867" s="216" t="n">
        <v>112.4</v>
      </c>
      <c r="C4867" s="216" t="n">
        <v>149.39</v>
      </c>
      <c r="D4867" s="216" t="n">
        <v>1.142660021781921</v>
      </c>
      <c r="E4867" s="215" t="n">
        <v>44935</v>
      </c>
      <c r="F4867" s="215" t="n">
        <v>44935</v>
      </c>
    </row>
    <row r="4868">
      <c r="A4868" s="215" t="n">
        <v>44936</v>
      </c>
      <c r="B4868" s="216" t="n">
        <v>112.3</v>
      </c>
      <c r="C4868" s="216" t="n">
        <v>149.89</v>
      </c>
      <c r="D4868" s="216" t="n">
        <v>1.152361989021301</v>
      </c>
      <c r="E4868" s="215" t="n">
        <v>44936</v>
      </c>
      <c r="F4868" s="215" t="n">
        <v>44936</v>
      </c>
    </row>
    <row r="4869">
      <c r="A4869" s="215" t="n">
        <v>44937</v>
      </c>
      <c r="B4869" s="216" t="n">
        <v>120.5</v>
      </c>
      <c r="C4869" s="216" t="n">
        <v>150.77</v>
      </c>
      <c r="D4869" s="216" t="n">
        <v>1.151782989501953</v>
      </c>
      <c r="E4869" s="215" t="n">
        <v>44937</v>
      </c>
      <c r="F4869" s="215" t="n">
        <v>44937</v>
      </c>
    </row>
    <row r="4870">
      <c r="A4870" s="215" t="n">
        <v>44938</v>
      </c>
      <c r="B4870" s="216" t="n">
        <v>116.1</v>
      </c>
      <c r="C4870" s="216" t="n">
        <v>151.2</v>
      </c>
      <c r="D4870" s="216" t="n">
        <v>1.15372097492218</v>
      </c>
      <c r="E4870" s="215" t="n">
        <v>44938</v>
      </c>
      <c r="F4870" s="215" t="n">
        <v>44938</v>
      </c>
    </row>
    <row r="4871">
      <c r="A4871" s="215" t="n">
        <v>44939</v>
      </c>
      <c r="B4871" s="216" t="n">
        <v>117.5</v>
      </c>
      <c r="C4871" s="216" t="n">
        <v>152.5</v>
      </c>
      <c r="D4871" s="216" t="n">
        <v>1.158794045448303</v>
      </c>
      <c r="E4871" s="215" t="n">
        <v>44939</v>
      </c>
      <c r="F4871" s="215" t="n">
        <v>44939</v>
      </c>
    </row>
    <row r="4872">
      <c r="A4872" s="215" t="n">
        <v>44942</v>
      </c>
      <c r="B4872" s="216" t="n">
        <v>137.2</v>
      </c>
      <c r="C4872" s="216" t="n">
        <v>167.75</v>
      </c>
      <c r="D4872" s="216" t="n">
        <v>1.16464102268219</v>
      </c>
      <c r="E4872" s="215" t="n">
        <v>44942</v>
      </c>
      <c r="F4872" s="215" t="n">
        <v>44942</v>
      </c>
    </row>
    <row r="4873">
      <c r="A4873" s="215" t="n">
        <v>44943</v>
      </c>
      <c r="B4873" s="216" t="n">
        <v>133.7</v>
      </c>
      <c r="C4873" s="216" t="n">
        <v>168.33</v>
      </c>
      <c r="D4873" s="216" t="n">
        <v>1.159963011741638</v>
      </c>
      <c r="E4873" s="215" t="n">
        <v>44943</v>
      </c>
      <c r="F4873" s="215" t="n">
        <v>44943</v>
      </c>
    </row>
    <row r="4874">
      <c r="A4874" s="215" t="n">
        <v>44944</v>
      </c>
      <c r="B4874" s="216" t="n">
        <v>129.7</v>
      </c>
      <c r="C4874" s="216" t="n">
        <v>163.9</v>
      </c>
      <c r="D4874" s="216" t="n">
        <v>1.154523968696594</v>
      </c>
      <c r="E4874" s="215" t="n">
        <v>44944</v>
      </c>
      <c r="F4874" s="215" t="n">
        <v>44944</v>
      </c>
    </row>
    <row r="4875">
      <c r="A4875" s="215" t="n">
        <v>44945</v>
      </c>
      <c r="B4875" s="216" t="n">
        <v>131.8</v>
      </c>
      <c r="C4875" s="216" t="n">
        <v>171.85</v>
      </c>
      <c r="D4875" s="216" t="n">
        <v>1.15931499004364</v>
      </c>
      <c r="E4875" s="215" t="n">
        <v>44945</v>
      </c>
      <c r="F4875" s="215" t="n">
        <v>44945</v>
      </c>
    </row>
    <row r="4876">
      <c r="A4876" s="215" t="n">
        <v>44946</v>
      </c>
      <c r="B4876" s="216" t="n">
        <v>132.6</v>
      </c>
      <c r="C4876" s="216" t="n">
        <v>169</v>
      </c>
      <c r="D4876" s="216" t="n">
        <v>1.154749989509583</v>
      </c>
      <c r="E4876" s="215" t="n">
        <v>44946</v>
      </c>
      <c r="F4876" s="215" t="n">
        <v>44946</v>
      </c>
    </row>
    <row r="4877">
      <c r="A4877" s="215" t="n">
        <v>44952</v>
      </c>
      <c r="B4877" s="216" t="n">
        <v>137.8</v>
      </c>
      <c r="C4877" s="216" t="n">
        <v>169</v>
      </c>
      <c r="D4877" s="216" t="n">
        <v>1.153751969337463</v>
      </c>
      <c r="E4877" s="215" t="n">
        <v>44946</v>
      </c>
      <c r="F4877" s="215" t="n">
        <v>44952</v>
      </c>
    </row>
    <row r="4878">
      <c r="A4878" s="215" t="n">
        <v>44953</v>
      </c>
      <c r="B4878" s="216" t="n">
        <v>137.4</v>
      </c>
      <c r="C4878" s="216" t="n">
        <v>169</v>
      </c>
      <c r="D4878" s="216" t="n">
        <v>1.153638958930969</v>
      </c>
      <c r="E4878" s="215" t="n">
        <v>44946</v>
      </c>
      <c r="F4878" s="215" t="n">
        <v>44953</v>
      </c>
    </row>
    <row r="4879">
      <c r="A4879" s="215" t="n">
        <v>44956</v>
      </c>
      <c r="B4879" s="216" t="n">
        <v>127.1</v>
      </c>
      <c r="C4879" s="216" t="n">
        <v>166.12</v>
      </c>
      <c r="D4879" s="216" t="n">
        <v>1.154070019721985</v>
      </c>
      <c r="E4879" s="215" t="n">
        <v>44956</v>
      </c>
      <c r="F4879" s="215" t="n">
        <v>44956</v>
      </c>
    </row>
    <row r="4880">
      <c r="A4880" s="215" t="n">
        <v>44957</v>
      </c>
      <c r="B4880" s="216" t="n">
        <v>124.8</v>
      </c>
      <c r="C4880" s="216" t="n">
        <v>159.6</v>
      </c>
      <c r="D4880" s="216" t="n">
        <v>1.160927057266235</v>
      </c>
      <c r="E4880" s="215" t="n">
        <v>44957</v>
      </c>
      <c r="F4880" s="215" t="n">
        <v>44957</v>
      </c>
    </row>
    <row r="4881">
      <c r="A4881" s="215" t="n">
        <v>44958</v>
      </c>
      <c r="B4881" s="216" t="n">
        <v>129.7</v>
      </c>
      <c r="C4881" s="216" t="n">
        <v>165.96</v>
      </c>
      <c r="D4881" s="216" t="n">
        <v>1.160451054573059</v>
      </c>
      <c r="E4881" s="215" t="n">
        <v>44958</v>
      </c>
      <c r="F4881" s="215" t="n">
        <v>44958</v>
      </c>
    </row>
    <row r="4882">
      <c r="A4882" s="215" t="n">
        <v>44959</v>
      </c>
      <c r="B4882" s="216" t="n">
        <v>132.5</v>
      </c>
      <c r="C4882" s="216" t="n">
        <v>168.02</v>
      </c>
      <c r="D4882" s="216" t="n">
        <v>1.162333965301514</v>
      </c>
      <c r="E4882" s="215" t="n">
        <v>44959</v>
      </c>
      <c r="F4882" s="215" t="n">
        <v>44959</v>
      </c>
    </row>
    <row r="4883">
      <c r="A4883" s="215" t="n">
        <v>44960</v>
      </c>
      <c r="B4883" s="216" t="n">
        <v>129.6</v>
      </c>
      <c r="C4883" s="216" t="n">
        <v>166.3</v>
      </c>
      <c r="D4883" s="216" t="n">
        <v>1.165007948875427</v>
      </c>
      <c r="E4883" s="215" t="n">
        <v>44960</v>
      </c>
      <c r="F4883" s="215" t="n">
        <v>44960</v>
      </c>
    </row>
    <row r="4884">
      <c r="A4884" s="215" t="n">
        <v>44963</v>
      </c>
      <c r="B4884" s="216" t="n">
        <v>121</v>
      </c>
      <c r="C4884" s="216" t="n">
        <v>160</v>
      </c>
      <c r="D4884" s="216" t="n">
        <v>1.157632946968079</v>
      </c>
      <c r="E4884" s="215" t="n">
        <v>44963</v>
      </c>
      <c r="F4884" s="215" t="n">
        <v>44963</v>
      </c>
    </row>
    <row r="4885">
      <c r="A4885" s="215" t="n">
        <v>44964</v>
      </c>
      <c r="B4885" s="216" t="n">
        <v>120.4</v>
      </c>
      <c r="C4885" s="216" t="n">
        <v>157.69</v>
      </c>
      <c r="D4885" s="216" t="n">
        <v>1.154948949813843</v>
      </c>
      <c r="E4885" s="215" t="n">
        <v>44964</v>
      </c>
      <c r="F4885" s="215" t="n">
        <v>44964</v>
      </c>
    </row>
    <row r="4886">
      <c r="A4886" s="215" t="n">
        <v>44965</v>
      </c>
      <c r="B4886" s="216" t="n">
        <v>119.9</v>
      </c>
      <c r="C4886" s="216" t="n">
        <v>157</v>
      </c>
      <c r="D4886" s="216" t="n">
        <v>1.155540943145752</v>
      </c>
      <c r="E4886" s="215" t="n">
        <v>44965</v>
      </c>
      <c r="F4886" s="215" t="n">
        <v>44965</v>
      </c>
    </row>
    <row r="4887">
      <c r="A4887" s="215" t="n">
        <v>44966</v>
      </c>
      <c r="B4887" s="216" t="n">
        <v>120.5</v>
      </c>
      <c r="C4887" s="216" t="n">
        <v>158.5</v>
      </c>
      <c r="D4887" s="216" t="n">
        <v>1.156080961227417</v>
      </c>
      <c r="E4887" s="215" t="n">
        <v>44966</v>
      </c>
      <c r="F4887" s="215" t="n">
        <v>44966</v>
      </c>
    </row>
    <row r="4888">
      <c r="A4888" s="215" t="n">
        <v>44967</v>
      </c>
      <c r="B4888" s="216" t="n">
        <v>116.9</v>
      </c>
      <c r="C4888" s="216" t="n">
        <v>156.05</v>
      </c>
      <c r="D4888" s="216" t="n">
        <v>1.157587051391602</v>
      </c>
      <c r="E4888" s="215" t="n">
        <v>44967</v>
      </c>
      <c r="F4888" s="215" t="n">
        <v>44967</v>
      </c>
    </row>
    <row r="4889">
      <c r="A4889" s="215" t="n">
        <v>44970</v>
      </c>
      <c r="B4889" s="216" t="n">
        <v>115.3</v>
      </c>
      <c r="C4889" s="216" t="n">
        <v>154.9</v>
      </c>
      <c r="D4889" s="216" t="n">
        <v>1.152721047401428</v>
      </c>
      <c r="E4889" s="215" t="n">
        <v>44970</v>
      </c>
      <c r="F4889" s="215" t="n">
        <v>44970</v>
      </c>
    </row>
    <row r="4890">
      <c r="A4890" s="215" t="n">
        <v>44971</v>
      </c>
      <c r="B4890" s="216" t="n">
        <v>112.2</v>
      </c>
      <c r="C4890" s="216" t="n">
        <v>153</v>
      </c>
      <c r="D4890" s="216" t="n">
        <v>1.150822043418884</v>
      </c>
      <c r="E4890" s="215" t="n">
        <v>44971</v>
      </c>
      <c r="F4890" s="215" t="n">
        <v>44971</v>
      </c>
    </row>
    <row r="4891">
      <c r="A4891" s="215" t="n">
        <v>44972</v>
      </c>
      <c r="B4891" s="216" t="n">
        <v>110.1</v>
      </c>
      <c r="C4891" s="216" t="n">
        <v>149.9</v>
      </c>
      <c r="D4891" s="216" t="n">
        <v>1.149250030517578</v>
      </c>
      <c r="E4891" s="215" t="n">
        <v>44972</v>
      </c>
      <c r="F4891" s="215" t="n">
        <v>44972</v>
      </c>
    </row>
    <row r="4892">
      <c r="A4892" s="215" t="n">
        <v>44973</v>
      </c>
      <c r="B4892" s="216" t="n">
        <v>109.9</v>
      </c>
      <c r="C4892" s="216" t="n">
        <v>147.22</v>
      </c>
      <c r="D4892" s="216" t="n">
        <v>1.144971013069153</v>
      </c>
      <c r="E4892" s="215" t="n">
        <v>44973</v>
      </c>
      <c r="F4892" s="215" t="n">
        <v>44973</v>
      </c>
    </row>
    <row r="4893">
      <c r="A4893" s="215" t="n">
        <v>44974</v>
      </c>
      <c r="B4893" s="216" t="n">
        <v>110</v>
      </c>
      <c r="C4893" s="216" t="n">
        <v>147.26</v>
      </c>
      <c r="D4893" s="216" t="n">
        <v>1.144101023674011</v>
      </c>
      <c r="E4893" s="215" t="n">
        <v>44974</v>
      </c>
      <c r="F4893" s="215" t="n">
        <v>44974</v>
      </c>
    </row>
    <row r="4894">
      <c r="A4894" s="215" t="n">
        <v>44977</v>
      </c>
      <c r="B4894" s="216" t="n">
        <v>110.7</v>
      </c>
      <c r="C4894" s="216" t="n">
        <v>148.9</v>
      </c>
      <c r="D4894" s="216" t="n">
        <v>1.141230940818787</v>
      </c>
      <c r="E4894" s="215" t="n">
        <v>44977</v>
      </c>
      <c r="F4894" s="215" t="n">
        <v>44977</v>
      </c>
    </row>
    <row r="4895">
      <c r="A4895" s="215" t="n">
        <v>44978</v>
      </c>
      <c r="B4895" s="216" t="n">
        <v>106.2</v>
      </c>
      <c r="C4895" s="216" t="n">
        <v>148.16</v>
      </c>
      <c r="D4895" s="216" t="n">
        <v>1.142338037490845</v>
      </c>
      <c r="E4895" s="215" t="n">
        <v>44978</v>
      </c>
      <c r="F4895" s="215" t="n">
        <v>44978</v>
      </c>
    </row>
    <row r="4896">
      <c r="A4896" s="215" t="n">
        <v>44979</v>
      </c>
      <c r="B4896" s="216" t="n">
        <v>106.7</v>
      </c>
      <c r="C4896" s="216" t="n">
        <v>146.39</v>
      </c>
      <c r="D4896" s="216" t="n">
        <v>1.141216993331909</v>
      </c>
      <c r="E4896" s="215" t="n">
        <v>44979</v>
      </c>
      <c r="F4896" s="215" t="n">
        <v>44979</v>
      </c>
    </row>
    <row r="4897">
      <c r="A4897" s="215" t="n">
        <v>44980</v>
      </c>
      <c r="B4897" s="216" t="n">
        <v>107.2</v>
      </c>
      <c r="C4897" s="216" t="n">
        <v>146.25</v>
      </c>
      <c r="D4897" s="216" t="n">
        <v>1.138142943382263</v>
      </c>
      <c r="E4897" s="215" t="n">
        <v>44980</v>
      </c>
      <c r="F4897" s="215" t="n">
        <v>44980</v>
      </c>
    </row>
    <row r="4898">
      <c r="A4898" s="215" t="n">
        <v>44981</v>
      </c>
      <c r="B4898" s="216" t="n">
        <v>106.7</v>
      </c>
      <c r="C4898" s="216" t="n">
        <v>144.32</v>
      </c>
      <c r="D4898" s="216" t="n">
        <v>1.135694026947021</v>
      </c>
      <c r="E4898" s="215" t="n">
        <v>44981</v>
      </c>
      <c r="F4898" s="215" t="n">
        <v>44981</v>
      </c>
    </row>
    <row r="4899">
      <c r="A4899" s="215" t="n">
        <v>44984</v>
      </c>
      <c r="B4899" s="216" t="n">
        <v>104.3</v>
      </c>
      <c r="C4899" s="216" t="n">
        <v>141.45</v>
      </c>
      <c r="D4899" s="216" t="n">
        <v>1.135581016540527</v>
      </c>
      <c r="E4899" s="215" t="n">
        <v>44984</v>
      </c>
      <c r="F4899" s="215" t="n">
        <v>44984</v>
      </c>
    </row>
    <row r="4900">
      <c r="A4900" s="215" t="n">
        <v>44985</v>
      </c>
      <c r="B4900" s="216" t="n">
        <v>105.5</v>
      </c>
      <c r="C4900" s="216" t="n">
        <v>143.21</v>
      </c>
      <c r="D4900" s="216" t="n">
        <v>1.129464983940125</v>
      </c>
      <c r="E4900" s="215" t="n">
        <v>44985</v>
      </c>
      <c r="F4900" s="215" t="n">
        <v>44985</v>
      </c>
    </row>
    <row r="4901">
      <c r="A4901" s="215" t="n">
        <v>44986</v>
      </c>
      <c r="B4901" s="216" t="n">
        <v>108</v>
      </c>
      <c r="C4901" s="216" t="n">
        <v>143.76</v>
      </c>
      <c r="D4901" s="216" t="n">
        <v>1.131901025772095</v>
      </c>
      <c r="E4901" s="215" t="n">
        <v>44986</v>
      </c>
      <c r="F4901" s="215" t="n">
        <v>44986</v>
      </c>
    </row>
    <row r="4902">
      <c r="A4902" s="215" t="n">
        <v>44987</v>
      </c>
      <c r="B4902" s="216" t="n">
        <v>105.1</v>
      </c>
      <c r="C4902" s="216" t="n">
        <v>142.7</v>
      </c>
      <c r="D4902" s="216" t="n">
        <v>1.142472982406616</v>
      </c>
      <c r="E4902" s="215" t="n">
        <v>44987</v>
      </c>
      <c r="F4902" s="215" t="n">
        <v>44987</v>
      </c>
    </row>
    <row r="4903">
      <c r="A4903" s="215" t="n">
        <v>44988</v>
      </c>
      <c r="B4903" s="216" t="n">
        <v>105.7</v>
      </c>
      <c r="C4903" s="216" t="n">
        <v>142.76</v>
      </c>
      <c r="D4903" s="216" t="n">
        <v>1.134973049163818</v>
      </c>
      <c r="E4903" s="215" t="n">
        <v>44988</v>
      </c>
      <c r="F4903" s="215" t="n">
        <v>44988</v>
      </c>
    </row>
    <row r="4904">
      <c r="A4904" s="215" t="n">
        <v>44991</v>
      </c>
      <c r="B4904" s="216" t="n">
        <v>103.4</v>
      </c>
      <c r="C4904" s="216" t="n">
        <v>140.59</v>
      </c>
      <c r="D4904" s="216" t="n">
        <v>1.135468006134033</v>
      </c>
      <c r="E4904" s="215" t="n">
        <v>44991</v>
      </c>
      <c r="F4904" s="215" t="n">
        <v>44991</v>
      </c>
    </row>
    <row r="4905">
      <c r="A4905" s="215" t="n">
        <v>44992</v>
      </c>
      <c r="B4905" s="216" t="n">
        <v>101</v>
      </c>
      <c r="C4905" s="216" t="n">
        <v>138.1</v>
      </c>
      <c r="D4905" s="216" t="n">
        <v>1.132706046104431</v>
      </c>
      <c r="E4905" s="215" t="n">
        <v>44992</v>
      </c>
      <c r="F4905" s="215" t="n">
        <v>44992</v>
      </c>
    </row>
    <row r="4906">
      <c r="A4906" s="215" t="n">
        <v>44993</v>
      </c>
      <c r="B4906" s="216" t="n">
        <v>97.95</v>
      </c>
      <c r="C4906" s="216" t="n">
        <v>137.1</v>
      </c>
      <c r="D4906" s="216" t="n">
        <v>1.127292037010193</v>
      </c>
      <c r="E4906" s="215" t="n">
        <v>44993</v>
      </c>
      <c r="F4906" s="215" t="n">
        <v>44993</v>
      </c>
    </row>
    <row r="4907">
      <c r="A4907" s="215" t="n">
        <v>44994</v>
      </c>
      <c r="B4907" s="216" t="n">
        <v>99.09999999999999</v>
      </c>
      <c r="C4907" s="216" t="n">
        <v>137.25</v>
      </c>
      <c r="D4907" s="216" t="n">
        <v>1.12942099571228</v>
      </c>
      <c r="E4907" s="215" t="n">
        <v>44994</v>
      </c>
      <c r="F4907" s="215" t="n">
        <v>44994</v>
      </c>
    </row>
    <row r="4908">
      <c r="A4908" s="215" t="n">
        <v>44995</v>
      </c>
      <c r="B4908" s="216" t="n">
        <v>99.25</v>
      </c>
      <c r="C4908" s="216" t="n">
        <v>137.14</v>
      </c>
      <c r="D4908" s="216" t="n">
        <v>1.126757979393005</v>
      </c>
      <c r="E4908" s="215" t="n">
        <v>44995</v>
      </c>
      <c r="F4908" s="215" t="n">
        <v>44995</v>
      </c>
    </row>
    <row r="4909">
      <c r="A4909" s="215" t="n">
        <v>44998</v>
      </c>
      <c r="B4909" s="216" t="n">
        <v>96.3</v>
      </c>
      <c r="C4909" s="216" t="n">
        <v>135.29</v>
      </c>
      <c r="D4909" s="216" t="n">
        <v>1.140457987785339</v>
      </c>
      <c r="E4909" s="215" t="n">
        <v>44998</v>
      </c>
      <c r="F4909" s="215" t="n">
        <v>44998</v>
      </c>
    </row>
    <row r="4910">
      <c r="A4910" s="215" t="n">
        <v>44999</v>
      </c>
      <c r="B4910" s="216" t="n">
        <v>97.65000000000001</v>
      </c>
      <c r="C4910" s="216" t="n">
        <v>139.27</v>
      </c>
      <c r="D4910" s="216" t="n">
        <v>1.14533805847168</v>
      </c>
      <c r="E4910" s="215" t="n">
        <v>44999</v>
      </c>
      <c r="F4910" s="215" t="n">
        <v>44999</v>
      </c>
    </row>
    <row r="4911">
      <c r="A4911" s="215" t="n">
        <v>45000</v>
      </c>
      <c r="B4911" s="216" t="n">
        <v>97.8</v>
      </c>
      <c r="C4911" s="216" t="n">
        <v>136.4</v>
      </c>
      <c r="D4911" s="216" t="n">
        <v>1.141839981079102</v>
      </c>
      <c r="E4911" s="215" t="n">
        <v>45000</v>
      </c>
      <c r="F4911" s="215" t="n">
        <v>45000</v>
      </c>
    </row>
    <row r="4912">
      <c r="A4912" s="215" t="n">
        <v>45001</v>
      </c>
      <c r="B4912" s="216" t="n">
        <v>95.34999999999999</v>
      </c>
      <c r="C4912" s="216" t="n">
        <v>132.76</v>
      </c>
      <c r="D4912" s="216" t="n">
        <v>1.135804057121277</v>
      </c>
      <c r="E4912" s="215" t="n">
        <v>45001</v>
      </c>
      <c r="F4912" s="215" t="n">
        <v>45001</v>
      </c>
    </row>
    <row r="4913">
      <c r="A4913" s="215" t="n">
        <v>45002</v>
      </c>
      <c r="B4913" s="216" t="n">
        <v>96.59999999999999</v>
      </c>
      <c r="C4913" s="216" t="n">
        <v>132.6</v>
      </c>
      <c r="D4913" s="216" t="n">
        <v>1.137447953224182</v>
      </c>
      <c r="E4913" s="215" t="n">
        <v>45002</v>
      </c>
      <c r="F4913" s="215" t="n">
        <v>45002</v>
      </c>
    </row>
    <row r="4914">
      <c r="A4914" s="215" t="n">
        <v>45005</v>
      </c>
      <c r="B4914" s="216" t="n">
        <v>95.5</v>
      </c>
      <c r="C4914" s="216" t="n">
        <v>132.06</v>
      </c>
      <c r="D4914" s="216" t="n">
        <v>1.14422595500946</v>
      </c>
      <c r="E4914" s="215" t="n">
        <v>45005</v>
      </c>
      <c r="F4914" s="215" t="n">
        <v>45005</v>
      </c>
    </row>
    <row r="4915">
      <c r="A4915" s="215" t="n">
        <v>45006</v>
      </c>
      <c r="B4915" s="216" t="n">
        <v>99.25</v>
      </c>
      <c r="C4915" s="216" t="n">
        <v>138.98</v>
      </c>
      <c r="D4915" s="216" t="n">
        <v>1.140269994735718</v>
      </c>
      <c r="E4915" s="215" t="n">
        <v>45006</v>
      </c>
      <c r="F4915" s="215" t="n">
        <v>45006</v>
      </c>
    </row>
    <row r="4916">
      <c r="A4916" s="215" t="n">
        <v>45007</v>
      </c>
      <c r="B4916" s="216" t="n">
        <v>99.65000000000001</v>
      </c>
      <c r="C4916" s="216" t="n">
        <v>139.49</v>
      </c>
      <c r="D4916" s="216" t="n">
        <v>1.139848947525024</v>
      </c>
      <c r="E4916" s="215" t="n">
        <v>45007</v>
      </c>
      <c r="F4916" s="215" t="n">
        <v>45007</v>
      </c>
    </row>
    <row r="4917">
      <c r="A4917" s="215" t="n">
        <v>45008</v>
      </c>
      <c r="B4917" s="216" t="n">
        <v>99.05</v>
      </c>
      <c r="C4917" s="216" t="n">
        <v>138.33</v>
      </c>
      <c r="D4917" s="216" t="n">
        <v>1.14018702507019</v>
      </c>
      <c r="E4917" s="215" t="n">
        <v>45008</v>
      </c>
      <c r="F4917" s="215" t="n">
        <v>45008</v>
      </c>
    </row>
    <row r="4918">
      <c r="A4918" s="215" t="n">
        <v>45009</v>
      </c>
      <c r="B4918" s="216" t="n">
        <v>96.65000000000001</v>
      </c>
      <c r="C4918" s="216" t="n">
        <v>137.87</v>
      </c>
      <c r="D4918" s="216" t="n">
        <v>1.150908946990967</v>
      </c>
      <c r="E4918" s="215" t="n">
        <v>45009</v>
      </c>
      <c r="F4918" s="215" t="n">
        <v>45009</v>
      </c>
    </row>
    <row r="4919">
      <c r="A4919" s="215" t="n">
        <v>45012</v>
      </c>
      <c r="B4919" s="216" t="n">
        <v>99.09999999999999</v>
      </c>
      <c r="C4919" s="216" t="n">
        <v>140.8</v>
      </c>
      <c r="D4919" s="216" t="n">
        <v>1.14452600479126</v>
      </c>
      <c r="E4919" s="215" t="n">
        <v>45012</v>
      </c>
      <c r="F4919" s="215" t="n">
        <v>45012</v>
      </c>
    </row>
    <row r="4920">
      <c r="A4920" s="215" t="n">
        <v>45013</v>
      </c>
      <c r="B4920" s="216" t="n">
        <v>99.55</v>
      </c>
      <c r="C4920" s="216" t="n">
        <v>138.52</v>
      </c>
      <c r="D4920" s="216" t="n">
        <v>1.140033960342407</v>
      </c>
      <c r="E4920" s="215" t="n">
        <v>45013</v>
      </c>
      <c r="F4920" s="215" t="n">
        <v>45013</v>
      </c>
    </row>
    <row r="4921">
      <c r="A4921" s="215" t="n">
        <v>45014</v>
      </c>
      <c r="B4921" s="216" t="n">
        <v>101.1</v>
      </c>
      <c r="C4921" s="216" t="n">
        <v>137.3</v>
      </c>
      <c r="D4921" s="216" t="n">
        <v>1.141842007637024</v>
      </c>
      <c r="E4921" s="215" t="n">
        <v>45014</v>
      </c>
      <c r="F4921" s="215" t="n">
        <v>45014</v>
      </c>
    </row>
    <row r="4922">
      <c r="A4922" s="215" t="n">
        <v>45015</v>
      </c>
      <c r="B4922" s="216" t="n">
        <v>100.5</v>
      </c>
      <c r="C4922" s="216" t="n">
        <v>138.11</v>
      </c>
      <c r="D4922" s="216" t="n">
        <v>1.139639973640442</v>
      </c>
      <c r="E4922" s="215" t="n">
        <v>45015</v>
      </c>
      <c r="F4922" s="215" t="n">
        <v>45015</v>
      </c>
    </row>
    <row r="4923">
      <c r="A4923" s="215" t="n">
        <v>45016</v>
      </c>
      <c r="B4923" s="216" t="n">
        <v>98.65000000000001</v>
      </c>
      <c r="C4923" s="216" t="n">
        <v>133.33</v>
      </c>
      <c r="D4923" s="216" t="n">
        <v>1.14237904548645</v>
      </c>
      <c r="E4923" s="215" t="n">
        <v>45016</v>
      </c>
      <c r="F4923" s="215" t="n">
        <v>45016</v>
      </c>
    </row>
    <row r="4924">
      <c r="A4924" s="215" t="n">
        <v>45019</v>
      </c>
      <c r="B4924" s="216" t="n">
        <v>97.3</v>
      </c>
      <c r="C4924" s="216" t="n">
        <v>133.69</v>
      </c>
      <c r="D4924" s="216" t="n">
        <v>1.138651013374329</v>
      </c>
      <c r="E4924" s="215" t="n">
        <v>45019</v>
      </c>
      <c r="F4924" s="215" t="n">
        <v>45019</v>
      </c>
    </row>
    <row r="4925">
      <c r="A4925" s="215" t="n">
        <v>45020</v>
      </c>
      <c r="B4925" s="216" t="n">
        <v>95.15000000000001</v>
      </c>
      <c r="C4925" s="216" t="n">
        <v>132.39</v>
      </c>
      <c r="D4925" s="216" t="n">
        <v>1.140889048576355</v>
      </c>
      <c r="E4925" s="215" t="n">
        <v>45020</v>
      </c>
      <c r="F4925" s="215" t="n">
        <v>45020</v>
      </c>
    </row>
    <row r="4926">
      <c r="A4926" s="215" t="n">
        <v>45022</v>
      </c>
      <c r="B4926" s="216" t="n">
        <v>99.40000000000001</v>
      </c>
      <c r="C4926" s="216" t="n">
        <v>134.98</v>
      </c>
      <c r="D4926" s="216" t="n">
        <v>1.140630006790161</v>
      </c>
      <c r="E4926" s="215" t="n">
        <v>45022</v>
      </c>
      <c r="F4926" s="215" t="n">
        <v>45022</v>
      </c>
    </row>
    <row r="4927">
      <c r="A4927" s="215" t="n">
        <v>45027</v>
      </c>
      <c r="B4927" s="216" t="n">
        <v>103.5</v>
      </c>
      <c r="C4927" s="216" t="n">
        <v>145.28</v>
      </c>
      <c r="D4927" s="216" t="n">
        <v>1.135993003845215</v>
      </c>
      <c r="E4927" s="215" t="n">
        <v>45027</v>
      </c>
      <c r="F4927" s="215" t="n">
        <v>45027</v>
      </c>
    </row>
    <row r="4928">
      <c r="A4928" s="215" t="n">
        <v>45028</v>
      </c>
      <c r="B4928" s="216" t="n">
        <v>100.3</v>
      </c>
      <c r="C4928" s="216" t="n">
        <v>143.72</v>
      </c>
      <c r="D4928" s="216" t="n">
        <v>1.139876961708069</v>
      </c>
      <c r="E4928" s="215" t="n">
        <v>45028</v>
      </c>
      <c r="F4928" s="215" t="n">
        <v>45028</v>
      </c>
    </row>
    <row r="4929">
      <c r="A4929" s="215" t="n">
        <v>45029</v>
      </c>
      <c r="B4929" s="216" t="n">
        <v>109.9</v>
      </c>
      <c r="C4929" s="216" t="n">
        <v>150.97</v>
      </c>
      <c r="D4929" s="216" t="n">
        <v>1.141221046447754</v>
      </c>
      <c r="E4929" s="215" t="n">
        <v>45029</v>
      </c>
      <c r="F4929" s="215" t="n">
        <v>45029</v>
      </c>
    </row>
    <row r="4930">
      <c r="A4930" s="215" t="n">
        <v>45030</v>
      </c>
      <c r="B4930" s="216" t="n">
        <v>110.6</v>
      </c>
      <c r="C4930" s="216" t="n">
        <v>151.24</v>
      </c>
      <c r="D4930" s="216" t="n">
        <v>1.142914056777954</v>
      </c>
      <c r="E4930" s="215" t="n">
        <v>45030</v>
      </c>
      <c r="F4930" s="215" t="n">
        <v>45030</v>
      </c>
    </row>
    <row r="4931">
      <c r="A4931" s="215" t="n">
        <v>45033</v>
      </c>
      <c r="B4931" s="216" t="n">
        <v>111.7</v>
      </c>
      <c r="C4931" s="216" t="n">
        <v>151.69</v>
      </c>
      <c r="D4931" s="216" t="n">
        <v>1.140508055686951</v>
      </c>
      <c r="E4931" s="215" t="n">
        <v>45033</v>
      </c>
      <c r="F4931" s="215" t="n">
        <v>45033</v>
      </c>
    </row>
    <row r="4932">
      <c r="A4932" s="215" t="n">
        <v>45034</v>
      </c>
      <c r="B4932" s="216" t="n">
        <v>108.1</v>
      </c>
      <c r="C4932" s="216" t="n">
        <v>147.4</v>
      </c>
      <c r="D4932" s="216" t="n">
        <v>1.140782952308655</v>
      </c>
      <c r="E4932" s="215" t="n">
        <v>45034</v>
      </c>
      <c r="F4932" s="215" t="n">
        <v>45034</v>
      </c>
    </row>
    <row r="4933">
      <c r="A4933" s="215" t="n">
        <v>45035</v>
      </c>
      <c r="B4933" s="216" t="n">
        <v>107.3</v>
      </c>
      <c r="C4933" s="216" t="n">
        <v>146.55</v>
      </c>
      <c r="D4933" s="216" t="n">
        <v>1.141404986381531</v>
      </c>
      <c r="E4933" s="215" t="n">
        <v>45035</v>
      </c>
      <c r="F4933" s="215" t="n">
        <v>45035</v>
      </c>
    </row>
    <row r="4934">
      <c r="A4934" s="215" t="n">
        <v>45036</v>
      </c>
      <c r="B4934" s="216" t="n">
        <v>104.1</v>
      </c>
      <c r="C4934" s="216" t="n">
        <v>142.81</v>
      </c>
      <c r="D4934" s="216" t="n">
        <v>1.139932990074158</v>
      </c>
      <c r="E4934" s="215" t="n">
        <v>45036</v>
      </c>
      <c r="F4934" s="215" t="n">
        <v>45036</v>
      </c>
    </row>
    <row r="4935">
      <c r="A4935" s="215" t="n">
        <v>45037</v>
      </c>
      <c r="B4935" s="216" t="n">
        <v>102.7</v>
      </c>
      <c r="C4935" s="216" t="n">
        <v>139.01</v>
      </c>
      <c r="D4935" s="216" t="n">
        <v>1.142052054405212</v>
      </c>
      <c r="E4935" s="215" t="n">
        <v>45037</v>
      </c>
      <c r="F4935" s="215" t="n">
        <v>45037</v>
      </c>
    </row>
    <row r="4936">
      <c r="A4936" s="215" t="n">
        <v>45040</v>
      </c>
      <c r="B4936" s="216" t="n">
        <v>101.6</v>
      </c>
      <c r="C4936" s="216" t="n">
        <v>136.36</v>
      </c>
      <c r="D4936" s="216" t="n">
        <v>1.138666033744812</v>
      </c>
      <c r="E4936" s="215" t="n">
        <v>45040</v>
      </c>
      <c r="F4936" s="215" t="n">
        <v>45040</v>
      </c>
    </row>
    <row r="4937">
      <c r="A4937" s="215" t="n">
        <v>45041</v>
      </c>
      <c r="B4937" s="216" t="n">
        <v>95.09999999999999</v>
      </c>
      <c r="C4937" s="216" t="n">
        <v>126.42</v>
      </c>
      <c r="D4937" s="216" t="n">
        <v>1.137948989868164</v>
      </c>
      <c r="E4937" s="215" t="n">
        <v>45041</v>
      </c>
      <c r="F4937" s="215" t="n">
        <v>45041</v>
      </c>
    </row>
    <row r="4938">
      <c r="A4938" s="215" t="n">
        <v>45042</v>
      </c>
      <c r="B4938" s="216" t="n">
        <v>96</v>
      </c>
      <c r="C4938" s="216" t="n">
        <v>126.92</v>
      </c>
      <c r="D4938" s="216" t="n">
        <v>1.132081031799316</v>
      </c>
      <c r="E4938" s="215" t="n">
        <v>45042</v>
      </c>
      <c r="F4938" s="215" t="n">
        <v>45042</v>
      </c>
    </row>
    <row r="4939">
      <c r="A4939" s="215" t="n">
        <v>45043</v>
      </c>
      <c r="B4939" s="216" t="n">
        <v>97.05</v>
      </c>
      <c r="C4939" s="216" t="n">
        <v>124.32</v>
      </c>
      <c r="D4939" s="216" t="n">
        <v>1.132995009422302</v>
      </c>
      <c r="E4939" s="215" t="n">
        <v>45043</v>
      </c>
      <c r="F4939" s="215" t="n">
        <v>45043</v>
      </c>
    </row>
    <row r="4940">
      <c r="A4940" s="215" t="n">
        <v>45044</v>
      </c>
      <c r="B4940" s="216" t="n">
        <v>98</v>
      </c>
      <c r="C4940" s="216" t="n">
        <v>126.45</v>
      </c>
      <c r="D4940" s="216" t="n">
        <v>1.133429050445557</v>
      </c>
      <c r="E4940" s="215" t="n">
        <v>45044</v>
      </c>
      <c r="F4940" s="215" t="n">
        <v>45044</v>
      </c>
    </row>
    <row r="4941">
      <c r="A4941" s="215" t="n">
        <v>45048</v>
      </c>
      <c r="B4941" s="216" t="n">
        <v>97.7</v>
      </c>
      <c r="C4941" s="216" t="n">
        <v>126.45</v>
      </c>
      <c r="D4941" s="216" t="n">
        <v>1.132107019424438</v>
      </c>
      <c r="E4941" s="215" t="n">
        <v>45044</v>
      </c>
      <c r="F4941" s="215" t="n">
        <v>45048</v>
      </c>
    </row>
    <row r="4942">
      <c r="A4942" s="215" t="n">
        <v>45049</v>
      </c>
      <c r="B4942" s="216" t="n">
        <v>99.09999999999999</v>
      </c>
      <c r="C4942" s="216" t="n">
        <v>126.45</v>
      </c>
      <c r="D4942" s="216" t="n">
        <v>1.135318994522095</v>
      </c>
      <c r="E4942" s="215" t="n">
        <v>45044</v>
      </c>
      <c r="F4942" s="215" t="n">
        <v>45049</v>
      </c>
    </row>
    <row r="4943">
      <c r="A4943" s="215" t="n">
        <v>45050</v>
      </c>
      <c r="B4943" s="216" t="n">
        <v>100.7</v>
      </c>
      <c r="C4943" s="216" t="n">
        <v>126.9</v>
      </c>
      <c r="D4943" s="216" t="n">
        <v>1.135159969329834</v>
      </c>
      <c r="E4943" s="215" t="n">
        <v>45050</v>
      </c>
      <c r="F4943" s="215" t="n">
        <v>45050</v>
      </c>
    </row>
    <row r="4944">
      <c r="A4944" s="215" t="n">
        <v>45051</v>
      </c>
      <c r="B4944" s="216" t="n">
        <v>101.5</v>
      </c>
      <c r="C4944" s="216" t="n">
        <v>126.49</v>
      </c>
      <c r="D4944" s="216" t="n">
        <v>1.13606595993042</v>
      </c>
      <c r="E4944" s="215" t="n">
        <v>45051</v>
      </c>
      <c r="F4944" s="215" t="n">
        <v>45051</v>
      </c>
    </row>
    <row r="4945">
      <c r="A4945" s="215" t="n">
        <v>45054</v>
      </c>
      <c r="B4945" s="216" t="n">
        <v>102</v>
      </c>
      <c r="C4945" s="216" t="n">
        <v>128.37</v>
      </c>
      <c r="D4945" s="216" t="n">
        <v>1.135442972183228</v>
      </c>
      <c r="E4945" s="215" t="n">
        <v>45054</v>
      </c>
      <c r="F4945" s="215" t="n">
        <v>45054</v>
      </c>
    </row>
    <row r="4946">
      <c r="A4946" s="215" t="n">
        <v>45055</v>
      </c>
      <c r="B4946" s="216" t="n">
        <v>97.90000000000001</v>
      </c>
      <c r="C4946" s="216" t="n">
        <v>124.81</v>
      </c>
      <c r="D4946" s="216" t="n">
        <v>1.134963989257812</v>
      </c>
      <c r="E4946" s="215" t="n">
        <v>45055</v>
      </c>
      <c r="F4946" s="215" t="n">
        <v>45055</v>
      </c>
    </row>
    <row r="4947">
      <c r="A4947" s="215" t="n">
        <v>45056</v>
      </c>
      <c r="B4947" s="216" t="n">
        <v>98.55</v>
      </c>
      <c r="C4947" s="216" t="n">
        <v>126.9</v>
      </c>
      <c r="D4947" s="216" t="n">
        <v>1.132966995239258</v>
      </c>
      <c r="E4947" s="215" t="n">
        <v>45056</v>
      </c>
      <c r="F4947" s="215" t="n">
        <v>45056</v>
      </c>
    </row>
    <row r="4948">
      <c r="A4948" s="215" t="n">
        <v>45057</v>
      </c>
      <c r="B4948" s="216" t="n">
        <v>101.3</v>
      </c>
      <c r="C4948" s="216" t="n">
        <v>131.75</v>
      </c>
      <c r="D4948" s="216" t="n">
        <v>1.129608988761902</v>
      </c>
      <c r="E4948" s="215" t="n">
        <v>45057</v>
      </c>
      <c r="F4948" s="215" t="n">
        <v>45057</v>
      </c>
    </row>
    <row r="4949">
      <c r="A4949" s="215" t="n">
        <v>45058</v>
      </c>
      <c r="B4949" s="216" t="n">
        <v>99.7</v>
      </c>
      <c r="C4949" s="216" t="n">
        <v>129.25</v>
      </c>
      <c r="D4949" s="216" t="n">
        <v>1.127804040908813</v>
      </c>
      <c r="E4949" s="215" t="n">
        <v>45058</v>
      </c>
      <c r="F4949" s="215" t="n">
        <v>45058</v>
      </c>
    </row>
    <row r="4950">
      <c r="A4950" s="215" t="n">
        <v>45061</v>
      </c>
      <c r="B4950" s="216" t="n">
        <v>102.6</v>
      </c>
      <c r="C4950" s="216" t="n">
        <v>134.77</v>
      </c>
      <c r="D4950" s="216" t="n">
        <v>1.127277016639709</v>
      </c>
      <c r="E4950" s="215" t="n">
        <v>45061</v>
      </c>
      <c r="F4950" s="215" t="n">
        <v>45061</v>
      </c>
    </row>
    <row r="4951">
      <c r="A4951" s="215" t="n">
        <v>45062</v>
      </c>
      <c r="B4951" s="216" t="n">
        <v>101.2</v>
      </c>
      <c r="C4951" s="216" t="n">
        <v>135</v>
      </c>
      <c r="D4951" s="216" t="n">
        <v>1.127233982086182</v>
      </c>
      <c r="E4951" s="215" t="n">
        <v>45062</v>
      </c>
      <c r="F4951" s="215" t="n">
        <v>45062</v>
      </c>
    </row>
    <row r="4952">
      <c r="A4952" s="215" t="n">
        <v>45063</v>
      </c>
      <c r="B4952" s="216" t="n">
        <v>97.65000000000001</v>
      </c>
      <c r="C4952" s="216" t="n">
        <v>134.33</v>
      </c>
      <c r="D4952" s="216" t="n">
        <v>1.123204946517944</v>
      </c>
      <c r="E4952" s="215" t="n">
        <v>45063</v>
      </c>
      <c r="F4952" s="215" t="n">
        <v>45063</v>
      </c>
    </row>
    <row r="4953">
      <c r="A4953" s="215" t="n">
        <v>45064</v>
      </c>
      <c r="B4953" s="216" t="n">
        <v>99.3</v>
      </c>
      <c r="C4953" s="216" t="n">
        <v>134.45</v>
      </c>
      <c r="D4953" s="216" t="n">
        <v>1.118651986122131</v>
      </c>
      <c r="E4953" s="215" t="n">
        <v>45064</v>
      </c>
      <c r="F4953" s="215" t="n">
        <v>45064</v>
      </c>
    </row>
    <row r="4954">
      <c r="A4954" s="215" t="n">
        <v>45065</v>
      </c>
      <c r="B4954" s="216" t="n">
        <v>104</v>
      </c>
      <c r="C4954" s="216" t="n">
        <v>135.86</v>
      </c>
      <c r="D4954" s="216" t="n">
        <v>1.112360954284668</v>
      </c>
      <c r="E4954" s="215" t="n">
        <v>45065</v>
      </c>
      <c r="F4954" s="215" t="n">
        <v>45065</v>
      </c>
    </row>
    <row r="4955">
      <c r="A4955" s="215" t="n">
        <v>45068</v>
      </c>
      <c r="B4955" s="216" t="n">
        <v>103.7</v>
      </c>
      <c r="C4955" s="216" t="n">
        <v>135.66</v>
      </c>
      <c r="D4955" s="216" t="n">
        <v>1.118953943252563</v>
      </c>
      <c r="E4955" s="215" t="n">
        <v>45068</v>
      </c>
      <c r="F4955" s="215" t="n">
        <v>45068</v>
      </c>
    </row>
    <row r="4956">
      <c r="A4956" s="215" t="n">
        <v>45069</v>
      </c>
      <c r="B4956" s="216" t="n">
        <v>105</v>
      </c>
      <c r="C4956" s="216" t="n">
        <v>135</v>
      </c>
      <c r="D4956" s="216" t="n">
        <v>1.1127769947052</v>
      </c>
      <c r="E4956" s="215" t="n">
        <v>45069</v>
      </c>
      <c r="F4956" s="215" t="n">
        <v>45069</v>
      </c>
    </row>
    <row r="4957">
      <c r="A4957" s="215" t="n">
        <v>45070</v>
      </c>
      <c r="B4957" s="216" t="n">
        <v>105.2</v>
      </c>
      <c r="C4957" s="216" t="n">
        <v>133.24</v>
      </c>
      <c r="D4957" s="216" t="n">
        <v>1.110573053359985</v>
      </c>
      <c r="E4957" s="215" t="n">
        <v>45070</v>
      </c>
      <c r="F4957" s="215" t="n">
        <v>45070</v>
      </c>
    </row>
    <row r="4958">
      <c r="A4958" s="215" t="n">
        <v>45071</v>
      </c>
      <c r="B4958" s="216" t="n">
        <v>104.5</v>
      </c>
      <c r="C4958" s="216" t="n">
        <v>132.85</v>
      </c>
      <c r="D4958" s="216" t="n">
        <v>1.108927965164185</v>
      </c>
      <c r="E4958" s="215" t="n">
        <v>45071</v>
      </c>
      <c r="F4958" s="215" t="n">
        <v>45071</v>
      </c>
    </row>
    <row r="4959">
      <c r="A4959" s="215" t="n">
        <v>45075</v>
      </c>
      <c r="B4959" s="216" t="n">
        <v>102</v>
      </c>
      <c r="C4959" s="216" t="n">
        <v>129.9</v>
      </c>
      <c r="D4959" s="216" t="n">
        <v>1.107897043228149</v>
      </c>
      <c r="E4959" s="215" t="n">
        <v>45075</v>
      </c>
      <c r="F4959" s="215" t="n">
        <v>45075</v>
      </c>
    </row>
    <row r="4960">
      <c r="A4960" s="215" t="n">
        <v>45076</v>
      </c>
      <c r="B4960" s="216" t="n">
        <v>105.2</v>
      </c>
      <c r="C4960" s="216" t="n">
        <v>133.9</v>
      </c>
      <c r="D4960" s="216" t="n">
        <v>1.10659396648407</v>
      </c>
      <c r="E4960" s="215" t="n">
        <v>45076</v>
      </c>
      <c r="F4960" s="215" t="n">
        <v>45076</v>
      </c>
    </row>
    <row r="4961">
      <c r="A4961" s="215" t="n">
        <v>45077</v>
      </c>
      <c r="B4961" s="216" t="n">
        <v>104.4</v>
      </c>
      <c r="C4961" s="216" t="n">
        <v>131.8</v>
      </c>
      <c r="D4961" s="216" t="n">
        <v>1.106397032737732</v>
      </c>
      <c r="E4961" s="215" t="n">
        <v>45077</v>
      </c>
      <c r="F4961" s="215" t="n">
        <v>45077</v>
      </c>
    </row>
    <row r="4962">
      <c r="A4962" s="215" t="n">
        <v>45078</v>
      </c>
      <c r="B4962" s="216" t="n">
        <v>106.9</v>
      </c>
      <c r="C4962" s="216" t="n">
        <v>136.02</v>
      </c>
      <c r="D4962" s="216" t="n">
        <v>1.101158976554871</v>
      </c>
      <c r="E4962" s="215" t="n">
        <v>45078</v>
      </c>
      <c r="F4962" s="215" t="n">
        <v>45078</v>
      </c>
    </row>
    <row r="4963">
      <c r="A4963" s="215" t="n">
        <v>45079</v>
      </c>
      <c r="B4963" s="216" t="n">
        <v>106.5</v>
      </c>
      <c r="C4963" s="216" t="n">
        <v>134.82</v>
      </c>
      <c r="D4963" s="216" t="n">
        <v>1.103572010993958</v>
      </c>
      <c r="E4963" s="215" t="n">
        <v>45079</v>
      </c>
      <c r="F4963" s="215" t="n">
        <v>45079</v>
      </c>
    </row>
    <row r="4964">
      <c r="A4964" s="215" t="n">
        <v>45082</v>
      </c>
      <c r="B4964" s="216" t="n">
        <v>105.6</v>
      </c>
      <c r="C4964" s="216" t="n">
        <v>132.74</v>
      </c>
      <c r="D4964" s="216" t="n">
        <v>1.10276198387146</v>
      </c>
      <c r="E4964" s="215" t="n">
        <v>45082</v>
      </c>
      <c r="F4964" s="215" t="n">
        <v>45082</v>
      </c>
    </row>
    <row r="4965">
      <c r="A4965" s="215" t="n">
        <v>45083</v>
      </c>
      <c r="B4965" s="216" t="n">
        <v>100.3</v>
      </c>
      <c r="C4965" s="216" t="n">
        <v>128.79</v>
      </c>
      <c r="D4965" s="216" t="n">
        <v>1.103441953659058</v>
      </c>
      <c r="E4965" s="215" t="n">
        <v>45083</v>
      </c>
      <c r="F4965" s="215" t="n">
        <v>45083</v>
      </c>
    </row>
    <row r="4966">
      <c r="A4966" s="215" t="n">
        <v>45084</v>
      </c>
      <c r="B4966" s="216" t="n">
        <v>99.2</v>
      </c>
      <c r="C4966" s="216" t="n">
        <v>128.61</v>
      </c>
      <c r="D4966" s="216" t="n">
        <v>1.10180401802063</v>
      </c>
      <c r="E4966" s="215" t="n">
        <v>45084</v>
      </c>
      <c r="F4966" s="215" t="n">
        <v>45084</v>
      </c>
    </row>
    <row r="4967">
      <c r="A4967" s="215" t="n">
        <v>45085</v>
      </c>
      <c r="B4967" s="216" t="n">
        <v>98.5</v>
      </c>
      <c r="C4967" s="216" t="n">
        <v>129.28</v>
      </c>
      <c r="D4967" s="216" t="n">
        <v>1.099845051765442</v>
      </c>
      <c r="E4967" s="215" t="n">
        <v>45085</v>
      </c>
      <c r="F4967" s="215" t="n">
        <v>45085</v>
      </c>
    </row>
    <row r="4968">
      <c r="A4968" s="215" t="n">
        <v>45086</v>
      </c>
      <c r="B4968" s="216" t="n">
        <v>100.4</v>
      </c>
      <c r="C4968" s="216" t="n">
        <v>134.8</v>
      </c>
      <c r="D4968" s="216" t="n">
        <v>1.101685047149658</v>
      </c>
      <c r="E4968" s="215" t="n">
        <v>45086</v>
      </c>
      <c r="F4968" s="215" t="n">
        <v>45086</v>
      </c>
    </row>
    <row r="4969">
      <c r="A4969" s="215" t="n">
        <v>45089</v>
      </c>
      <c r="B4969" s="216" t="n">
        <v>98.45</v>
      </c>
      <c r="C4969" s="216" t="n">
        <v>133.49</v>
      </c>
      <c r="D4969" s="216" t="n">
        <v>1.099730968475342</v>
      </c>
      <c r="E4969" s="215" t="n">
        <v>45089</v>
      </c>
      <c r="F4969" s="215" t="n">
        <v>45089</v>
      </c>
    </row>
    <row r="4970">
      <c r="A4970" s="215" t="n">
        <v>45090</v>
      </c>
      <c r="B4970" s="216" t="n">
        <v>98.3</v>
      </c>
      <c r="C4970" s="216" t="n">
        <v>132.36</v>
      </c>
      <c r="D4970" s="216" t="n">
        <v>1.096243977546692</v>
      </c>
      <c r="E4970" s="215" t="n">
        <v>45090</v>
      </c>
      <c r="F4970" s="215" t="n">
        <v>45090</v>
      </c>
    </row>
    <row r="4971">
      <c r="A4971" s="215" t="n">
        <v>45091</v>
      </c>
      <c r="B4971" s="216" t="n">
        <v>97.59999999999999</v>
      </c>
      <c r="C4971" s="216" t="n">
        <v>130.15</v>
      </c>
      <c r="D4971" s="216" t="n">
        <v>1.092831969261169</v>
      </c>
      <c r="E4971" s="215" t="n">
        <v>45091</v>
      </c>
      <c r="F4971" s="215" t="n">
        <v>45091</v>
      </c>
    </row>
    <row r="4972">
      <c r="A4972" s="215" t="n">
        <v>45092</v>
      </c>
      <c r="B4972" s="216" t="n">
        <v>99.90000000000001</v>
      </c>
      <c r="C4972" s="216" t="n">
        <v>140.5</v>
      </c>
      <c r="D4972" s="216" t="n">
        <v>1.093112945556641</v>
      </c>
      <c r="E4972" s="215" t="n">
        <v>45092</v>
      </c>
      <c r="F4972" s="215" t="n">
        <v>45092</v>
      </c>
    </row>
    <row r="4973">
      <c r="A4973" s="215" t="n">
        <v>45093</v>
      </c>
      <c r="B4973" s="216" t="n">
        <v>101.3</v>
      </c>
      <c r="C4973" s="216" t="n">
        <v>139.8</v>
      </c>
      <c r="D4973" s="216" t="n">
        <v>1.098376989364624</v>
      </c>
      <c r="E4973" s="215" t="n">
        <v>45093</v>
      </c>
      <c r="F4973" s="215" t="n">
        <v>45093</v>
      </c>
    </row>
    <row r="4974">
      <c r="A4974" s="215" t="n">
        <v>45096</v>
      </c>
      <c r="B4974" s="216" t="n">
        <v>98.59999999999999</v>
      </c>
      <c r="C4974" s="216" t="n">
        <v>136.12</v>
      </c>
      <c r="D4974" s="216" t="n">
        <v>1.097730040550232</v>
      </c>
      <c r="E4974" s="215" t="n">
        <v>45096</v>
      </c>
      <c r="F4974" s="215" t="n">
        <v>45096</v>
      </c>
    </row>
    <row r="4975">
      <c r="A4975" s="215" t="n">
        <v>45097</v>
      </c>
      <c r="B4975" s="216" t="n">
        <v>95.90000000000001</v>
      </c>
      <c r="C4975" s="216" t="n">
        <v>135.12</v>
      </c>
      <c r="D4975" s="216" t="n">
        <v>1.091591000556946</v>
      </c>
      <c r="E4975" s="215" t="n">
        <v>45097</v>
      </c>
      <c r="F4975" s="215" t="n">
        <v>45097</v>
      </c>
    </row>
    <row r="4976">
      <c r="A4976" s="215" t="n">
        <v>45098</v>
      </c>
      <c r="B4976" s="216" t="n">
        <v>89.59999999999999</v>
      </c>
      <c r="C4976" s="216" t="n">
        <v>125.4</v>
      </c>
      <c r="D4976" s="216" t="n">
        <v>1.089725017547607</v>
      </c>
      <c r="E4976" s="215" t="n">
        <v>45098</v>
      </c>
      <c r="F4976" s="215" t="n">
        <v>45098</v>
      </c>
    </row>
    <row r="4977">
      <c r="A4977" s="215" t="n">
        <v>45100</v>
      </c>
      <c r="B4977" s="216" t="n">
        <v>86.55</v>
      </c>
      <c r="C4977" s="216" t="n">
        <v>125.4</v>
      </c>
      <c r="D4977" s="216" t="n">
        <v>1.090543031692505</v>
      </c>
      <c r="E4977" s="215" t="n">
        <v>45098</v>
      </c>
      <c r="F4977" s="215" t="n">
        <v>45100</v>
      </c>
    </row>
    <row r="4978">
      <c r="A4978" s="215" t="n">
        <v>45103</v>
      </c>
      <c r="B4978" s="216" t="n">
        <v>88.75</v>
      </c>
      <c r="C4978" s="216" t="n">
        <v>123.9</v>
      </c>
      <c r="D4978" s="216" t="n">
        <v>1.092113971710205</v>
      </c>
      <c r="E4978" s="215" t="n">
        <v>45103</v>
      </c>
      <c r="F4978" s="215" t="n">
        <v>45103</v>
      </c>
    </row>
    <row r="4979">
      <c r="A4979" s="215" t="n">
        <v>45104</v>
      </c>
      <c r="B4979" s="216" t="n">
        <v>89</v>
      </c>
      <c r="C4979" s="216" t="n">
        <v>125.38</v>
      </c>
      <c r="D4979" s="216" t="n">
        <v>1.081884026527405</v>
      </c>
      <c r="E4979" s="215" t="n">
        <v>45104</v>
      </c>
      <c r="F4979" s="215" t="n">
        <v>45104</v>
      </c>
    </row>
    <row r="4980">
      <c r="A4980" s="215" t="n">
        <v>45105</v>
      </c>
      <c r="B4980" s="216" t="n">
        <v>88.55</v>
      </c>
      <c r="C4980" s="216" t="n">
        <v>122.54</v>
      </c>
      <c r="D4980" s="216" t="n">
        <v>1.084810972213745</v>
      </c>
      <c r="E4980" s="215" t="n">
        <v>45105</v>
      </c>
      <c r="F4980" s="215" t="n">
        <v>45105</v>
      </c>
    </row>
    <row r="4981">
      <c r="A4981" s="215" t="n">
        <v>45106</v>
      </c>
      <c r="B4981" s="216" t="n">
        <v>88.40000000000001</v>
      </c>
      <c r="C4981" s="216" t="n">
        <v>118.1</v>
      </c>
      <c r="D4981" s="216" t="n">
        <v>1.081053972244263</v>
      </c>
      <c r="E4981" s="215" t="n">
        <v>45106</v>
      </c>
      <c r="F4981" s="215" t="n">
        <v>45106</v>
      </c>
    </row>
    <row r="4982">
      <c r="A4982" s="215" t="n">
        <v>45107</v>
      </c>
      <c r="B4982" s="216" t="n">
        <v>87.90000000000001</v>
      </c>
      <c r="C4982" s="216" t="n">
        <v>117.86</v>
      </c>
      <c r="D4982" s="216" t="n">
        <v>1.080832958221436</v>
      </c>
      <c r="E4982" s="215" t="n">
        <v>45107</v>
      </c>
      <c r="F4982" s="215" t="n">
        <v>45107</v>
      </c>
    </row>
    <row r="4983">
      <c r="A4983" s="215" t="n">
        <v>45110</v>
      </c>
      <c r="B4983" s="216" t="n">
        <v>88.55</v>
      </c>
      <c r="C4983" s="216" t="n">
        <v>119.18</v>
      </c>
      <c r="D4983" s="216" t="n">
        <v>1.080121040344238</v>
      </c>
      <c r="E4983" s="215" t="n">
        <v>45110</v>
      </c>
      <c r="F4983" s="215" t="n">
        <v>45110</v>
      </c>
    </row>
    <row r="4984">
      <c r="A4984" s="215" t="n">
        <v>45111</v>
      </c>
      <c r="B4984" s="216" t="n">
        <v>92.59999999999999</v>
      </c>
      <c r="C4984" s="216" t="n">
        <v>121.99</v>
      </c>
      <c r="D4984" s="216" t="n">
        <v>1.08187997341156</v>
      </c>
      <c r="E4984" s="215" t="n">
        <v>45111</v>
      </c>
      <c r="F4984" s="215" t="n">
        <v>45111</v>
      </c>
    </row>
    <row r="4985">
      <c r="A4985" s="215" t="n">
        <v>45112</v>
      </c>
      <c r="B4985" s="216" t="n">
        <v>96.7</v>
      </c>
      <c r="C4985" s="216" t="n">
        <v>121.69</v>
      </c>
      <c r="D4985" s="216" t="n">
        <v>1.085320949554443</v>
      </c>
      <c r="E4985" s="215" t="n">
        <v>45112</v>
      </c>
      <c r="F4985" s="215" t="n">
        <v>45112</v>
      </c>
    </row>
    <row r="4986">
      <c r="A4986" s="215" t="n">
        <v>45113</v>
      </c>
      <c r="B4986" s="216" t="n">
        <v>96.15000000000001</v>
      </c>
      <c r="C4986" s="216" t="n">
        <v>119.6</v>
      </c>
      <c r="D4986" s="216" t="n">
        <v>1.079206943511963</v>
      </c>
      <c r="E4986" s="215" t="n">
        <v>45113</v>
      </c>
      <c r="F4986" s="215" t="n">
        <v>45113</v>
      </c>
    </row>
    <row r="4987">
      <c r="A4987" s="215" t="n">
        <v>45114</v>
      </c>
      <c r="B4987" s="216" t="n">
        <v>95.65000000000001</v>
      </c>
      <c r="C4987" s="216" t="n">
        <v>119.13</v>
      </c>
      <c r="D4987" s="216" t="n">
        <v>1.078516960144043</v>
      </c>
      <c r="E4987" s="215" t="n">
        <v>45114</v>
      </c>
      <c r="F4987" s="215" t="n">
        <v>45114</v>
      </c>
    </row>
    <row r="4988">
      <c r="A4988" s="215" t="n">
        <v>45117</v>
      </c>
      <c r="B4988" s="216" t="n">
        <v>95.05</v>
      </c>
      <c r="C4988" s="216" t="n">
        <v>120.49</v>
      </c>
      <c r="D4988" s="216" t="n">
        <v>1.095139026641846</v>
      </c>
      <c r="E4988" s="215" t="n">
        <v>45117</v>
      </c>
      <c r="F4988" s="215" t="n">
        <v>45117</v>
      </c>
    </row>
    <row r="4989">
      <c r="A4989" s="215" t="n">
        <v>45118</v>
      </c>
      <c r="B4989" s="216" t="n">
        <v>93.40000000000001</v>
      </c>
      <c r="C4989" s="216" t="n">
        <v>120</v>
      </c>
      <c r="D4989" s="216" t="n">
        <v>1.082510948181152</v>
      </c>
      <c r="E4989" s="215" t="n">
        <v>45118</v>
      </c>
      <c r="F4989" s="215" t="n">
        <v>45118</v>
      </c>
    </row>
    <row r="4990">
      <c r="A4990" s="215" t="n">
        <v>45119</v>
      </c>
      <c r="B4990" s="216" t="n">
        <v>95.8</v>
      </c>
      <c r="C4990" s="216" t="n">
        <v>118.1</v>
      </c>
      <c r="D4990" s="216" t="n">
        <v>1.085523009300232</v>
      </c>
      <c r="E4990" s="215" t="n">
        <v>45119</v>
      </c>
      <c r="F4990" s="215" t="n">
        <v>45119</v>
      </c>
    </row>
    <row r="4991">
      <c r="A4991" s="215" t="n">
        <v>45120</v>
      </c>
      <c r="B4991" s="216" t="n">
        <v>98.65000000000001</v>
      </c>
      <c r="C4991" s="216" t="n">
        <v>122.81</v>
      </c>
      <c r="D4991" s="216" t="n">
        <v>1.091933012008667</v>
      </c>
      <c r="E4991" s="215" t="n">
        <v>45120</v>
      </c>
      <c r="F4991" s="215" t="n">
        <v>45120</v>
      </c>
    </row>
    <row r="4992">
      <c r="A4992" s="215" t="n">
        <v>45121</v>
      </c>
      <c r="B4992" s="216" t="n">
        <v>97.05</v>
      </c>
      <c r="C4992" s="216" t="n">
        <v>122.75</v>
      </c>
      <c r="D4992" s="216" t="n">
        <v>1.093255996704102</v>
      </c>
      <c r="E4992" s="215" t="n">
        <v>45121</v>
      </c>
      <c r="F4992" s="215" t="n">
        <v>45121</v>
      </c>
    </row>
    <row r="4993">
      <c r="A4993" s="215" t="n">
        <v>45125</v>
      </c>
      <c r="B4993" s="216" t="n">
        <v>97.55</v>
      </c>
      <c r="C4993" s="216" t="n">
        <v>118.32</v>
      </c>
      <c r="D4993" s="216" t="n">
        <v>1.089244961738586</v>
      </c>
      <c r="E4993" s="215" t="n">
        <v>45125</v>
      </c>
      <c r="F4993" s="215" t="n">
        <v>45125</v>
      </c>
    </row>
    <row r="4994">
      <c r="A4994" s="215" t="n">
        <v>45126</v>
      </c>
      <c r="B4994" s="216" t="n">
        <v>96.2</v>
      </c>
      <c r="C4994" s="216" t="n">
        <v>118.07</v>
      </c>
      <c r="D4994" s="216" t="n">
        <v>1.088175058364868</v>
      </c>
      <c r="E4994" s="215" t="n">
        <v>45126</v>
      </c>
      <c r="F4994" s="215" t="n">
        <v>45126</v>
      </c>
    </row>
    <row r="4995">
      <c r="A4995" s="215" t="n">
        <v>45127</v>
      </c>
      <c r="B4995" s="216" t="n">
        <v>96.8</v>
      </c>
      <c r="C4995" s="216" t="n">
        <v>117.5</v>
      </c>
      <c r="D4995" s="216" t="n">
        <v>1.080250978469849</v>
      </c>
      <c r="E4995" s="215" t="n">
        <v>45127</v>
      </c>
      <c r="F4995" s="215" t="n">
        <v>45127</v>
      </c>
    </row>
    <row r="4996">
      <c r="A4996" s="215" t="n">
        <v>45128</v>
      </c>
      <c r="B4996" s="216" t="n">
        <v>95.65000000000001</v>
      </c>
      <c r="C4996" s="216" t="n">
        <v>117.88</v>
      </c>
      <c r="D4996" s="216" t="n">
        <v>1.088490962982178</v>
      </c>
      <c r="E4996" s="215" t="n">
        <v>45128</v>
      </c>
      <c r="F4996" s="215" t="n">
        <v>45128</v>
      </c>
    </row>
    <row r="4997">
      <c r="A4997" s="215" t="n">
        <v>45131</v>
      </c>
      <c r="B4997" s="216" t="n">
        <v>94.55</v>
      </c>
      <c r="C4997" s="216" t="n">
        <v>118.38</v>
      </c>
      <c r="D4997" s="216" t="n">
        <v>1.096070051193237</v>
      </c>
      <c r="E4997" s="215" t="n">
        <v>45131</v>
      </c>
      <c r="F4997" s="215" t="n">
        <v>45131</v>
      </c>
    </row>
    <row r="4998">
      <c r="A4998" s="215" t="n">
        <v>45132</v>
      </c>
      <c r="B4998" s="216" t="n">
        <v>96.5</v>
      </c>
      <c r="C4998" s="216" t="n">
        <v>120.31</v>
      </c>
      <c r="D4998" s="216" t="n">
        <v>1.087272047996521</v>
      </c>
      <c r="E4998" s="215" t="n">
        <v>45132</v>
      </c>
      <c r="F4998" s="215" t="n">
        <v>45132</v>
      </c>
    </row>
    <row r="4999">
      <c r="A4999" s="215" t="n">
        <v>45133</v>
      </c>
      <c r="B4999" s="216" t="n">
        <v>98.15000000000001</v>
      </c>
      <c r="C4999" s="216" t="n">
        <v>120.79</v>
      </c>
      <c r="D4999" s="216" t="n">
        <v>1.094627976417542</v>
      </c>
      <c r="E4999" s="215" t="n">
        <v>45133</v>
      </c>
      <c r="F4999" s="215" t="n">
        <v>45133</v>
      </c>
    </row>
    <row r="5000">
      <c r="A5000" s="215" t="n">
        <v>45134</v>
      </c>
      <c r="B5000" s="216" t="n">
        <v>97</v>
      </c>
      <c r="C5000" s="216" t="n">
        <v>120.17</v>
      </c>
      <c r="D5000" s="216" t="n">
        <v>1.090775966644287</v>
      </c>
      <c r="E5000" s="215" t="n">
        <v>45134</v>
      </c>
      <c r="F5000" s="215" t="n">
        <v>45134</v>
      </c>
    </row>
    <row r="5001">
      <c r="A5001" s="215" t="n">
        <v>45135</v>
      </c>
      <c r="B5001" s="216" t="n">
        <v>99.15000000000001</v>
      </c>
      <c r="C5001" s="216" t="n">
        <v>122.79</v>
      </c>
      <c r="D5001" s="216" t="n">
        <v>1.087054014205933</v>
      </c>
      <c r="E5001" s="215" t="n">
        <v>45135</v>
      </c>
      <c r="F5001" s="215" t="n">
        <v>45135</v>
      </c>
    </row>
    <row r="5002">
      <c r="A5002" s="215" t="n">
        <v>45138</v>
      </c>
      <c r="B5002" s="216" t="n">
        <v>99</v>
      </c>
      <c r="C5002" s="216" t="n">
        <v>124.6</v>
      </c>
      <c r="D5002" s="216" t="n">
        <v>1.097965002059937</v>
      </c>
      <c r="E5002" s="215" t="n">
        <v>45138</v>
      </c>
      <c r="F5002" s="215" t="n">
        <v>45138</v>
      </c>
    </row>
    <row r="5003">
      <c r="A5003" s="215" t="n">
        <v>45139</v>
      </c>
      <c r="B5003" s="216" t="n">
        <v>100</v>
      </c>
      <c r="C5003" s="216" t="n">
        <v>125.79</v>
      </c>
      <c r="D5003" s="216" t="n">
        <v>1.096930980682373</v>
      </c>
      <c r="E5003" s="215" t="n">
        <v>45139</v>
      </c>
      <c r="F5003" s="215" t="n">
        <v>45139</v>
      </c>
    </row>
    <row r="5004">
      <c r="A5004" s="215" t="n">
        <v>45140</v>
      </c>
      <c r="B5004" s="216" t="n">
        <v>98</v>
      </c>
      <c r="C5004" s="216" t="n">
        <v>125.46</v>
      </c>
      <c r="D5004" s="216" t="n">
        <v>1.092203974723816</v>
      </c>
      <c r="E5004" s="215" t="n">
        <v>45140</v>
      </c>
      <c r="F5004" s="215" t="n">
        <v>45140</v>
      </c>
    </row>
    <row r="5005">
      <c r="A5005" s="215" t="n">
        <v>45141</v>
      </c>
      <c r="B5005" s="216" t="n">
        <v>101.1</v>
      </c>
      <c r="C5005" s="216" t="n">
        <v>132.54</v>
      </c>
      <c r="D5005" s="216" t="n">
        <v>1.090474963188171</v>
      </c>
      <c r="E5005" s="215" t="n">
        <v>45141</v>
      </c>
      <c r="F5005" s="215" t="n">
        <v>45141</v>
      </c>
    </row>
    <row r="5006">
      <c r="A5006" s="215" t="n">
        <v>45142</v>
      </c>
      <c r="B5006" s="216" t="n">
        <v>100.1</v>
      </c>
      <c r="C5006" s="216" t="n">
        <v>130.01</v>
      </c>
      <c r="D5006" s="216" t="n">
        <v>1.09414005279541</v>
      </c>
      <c r="E5006" s="215" t="n">
        <v>45142</v>
      </c>
      <c r="F5006" s="215" t="n">
        <v>45142</v>
      </c>
    </row>
    <row r="5007">
      <c r="A5007" s="215" t="n">
        <v>45145</v>
      </c>
      <c r="B5007" s="216" t="n">
        <v>98.15000000000001</v>
      </c>
      <c r="C5007" s="216" t="n">
        <v>128.5</v>
      </c>
      <c r="D5007" s="216" t="n">
        <v>1.098598957061768</v>
      </c>
      <c r="E5007" s="215" t="n">
        <v>45145</v>
      </c>
      <c r="F5007" s="215" t="n">
        <v>45145</v>
      </c>
    </row>
    <row r="5008">
      <c r="A5008" s="215" t="n">
        <v>45146</v>
      </c>
      <c r="B5008" s="216" t="n">
        <v>97.84999999999999</v>
      </c>
      <c r="C5008" s="216" t="n">
        <v>128.5</v>
      </c>
      <c r="D5008" s="216" t="n">
        <v>1.091063976287842</v>
      </c>
      <c r="E5008" s="215" t="n">
        <v>45146</v>
      </c>
      <c r="F5008" s="215" t="n">
        <v>45146</v>
      </c>
    </row>
    <row r="5009">
      <c r="A5009" s="215" t="n">
        <v>45147</v>
      </c>
      <c r="B5009" s="216" t="n">
        <v>99.5</v>
      </c>
      <c r="C5009" s="216" t="n">
        <v>130.77</v>
      </c>
      <c r="D5009" s="216" t="n">
        <v>1.087746977806091</v>
      </c>
      <c r="E5009" s="215" t="n">
        <v>45147</v>
      </c>
      <c r="F5009" s="215" t="n">
        <v>45147</v>
      </c>
    </row>
    <row r="5010">
      <c r="A5010" s="215" t="n">
        <v>45148</v>
      </c>
      <c r="B5010" s="216" t="n">
        <v>97.09999999999999</v>
      </c>
      <c r="C5010" s="216" t="n">
        <v>130.79</v>
      </c>
      <c r="D5010" s="216" t="n">
        <v>1.089905977249146</v>
      </c>
      <c r="E5010" s="215" t="n">
        <v>45148</v>
      </c>
      <c r="F5010" s="215" t="n">
        <v>45148</v>
      </c>
    </row>
    <row r="5011">
      <c r="A5011" s="215" t="n">
        <v>45149</v>
      </c>
      <c r="B5011" s="216" t="n">
        <v>97.15000000000001</v>
      </c>
      <c r="C5011" s="216" t="n">
        <v>129.27</v>
      </c>
      <c r="D5011" s="216" t="n">
        <v>1.086997985839844</v>
      </c>
      <c r="E5011" s="215" t="n">
        <v>45149</v>
      </c>
      <c r="F5011" s="215" t="n">
        <v>45149</v>
      </c>
    </row>
    <row r="5012">
      <c r="A5012" s="215" t="n">
        <v>45152</v>
      </c>
      <c r="B5012" s="216" t="n">
        <v>96.3</v>
      </c>
      <c r="C5012" s="216" t="n">
        <v>127.88</v>
      </c>
      <c r="D5012" s="216" t="n">
        <v>1.081287026405334</v>
      </c>
      <c r="E5012" s="215" t="n">
        <v>45152</v>
      </c>
      <c r="F5012" s="215" t="n">
        <v>45152</v>
      </c>
    </row>
    <row r="5013">
      <c r="A5013" s="215" t="n">
        <v>45153</v>
      </c>
      <c r="B5013" s="216" t="n">
        <v>95.8</v>
      </c>
      <c r="C5013" s="216" t="n">
        <v>128.12</v>
      </c>
      <c r="D5013" s="216" t="n">
        <v>1.08362603187561</v>
      </c>
      <c r="E5013" s="215" t="n">
        <v>45153</v>
      </c>
      <c r="F5013" s="215" t="n">
        <v>45153</v>
      </c>
    </row>
    <row r="5014">
      <c r="A5014" s="215" t="n">
        <v>45154</v>
      </c>
      <c r="B5014" s="216" t="n">
        <v>94.84999999999999</v>
      </c>
      <c r="C5014" s="216" t="n">
        <v>127</v>
      </c>
      <c r="D5014" s="216" t="n">
        <v>1.077635049819946</v>
      </c>
      <c r="E5014" s="215" t="n">
        <v>45154</v>
      </c>
      <c r="F5014" s="215" t="n">
        <v>45154</v>
      </c>
    </row>
    <row r="5015">
      <c r="A5015" s="215" t="n">
        <v>45155</v>
      </c>
      <c r="B5015" s="216" t="n">
        <v>93.5</v>
      </c>
      <c r="C5015" s="216" t="n">
        <v>126.18</v>
      </c>
      <c r="D5015" s="216" t="n">
        <v>1.081539988517761</v>
      </c>
      <c r="E5015" s="215" t="n">
        <v>45155</v>
      </c>
      <c r="F5015" s="215" t="n">
        <v>45155</v>
      </c>
    </row>
    <row r="5016">
      <c r="A5016" s="215" t="n">
        <v>45156</v>
      </c>
      <c r="B5016" s="216" t="n">
        <v>90</v>
      </c>
      <c r="C5016" s="216" t="n">
        <v>123.5</v>
      </c>
      <c r="D5016" s="216" t="n">
        <v>1.085598945617676</v>
      </c>
      <c r="E5016" s="215" t="n">
        <v>45156</v>
      </c>
      <c r="F5016" s="215" t="n">
        <v>45156</v>
      </c>
    </row>
    <row r="5017">
      <c r="A5017" s="215" t="n">
        <v>45159</v>
      </c>
      <c r="B5017" s="216" t="n">
        <v>88.5</v>
      </c>
      <c r="C5017" s="216" t="n">
        <v>121.84</v>
      </c>
      <c r="D5017" s="216" t="n">
        <v>1.086933016777039</v>
      </c>
      <c r="E5017" s="215" t="n">
        <v>45159</v>
      </c>
      <c r="F5017" s="215" t="n">
        <v>45159</v>
      </c>
    </row>
    <row r="5018">
      <c r="A5018" s="215" t="n">
        <v>45160</v>
      </c>
      <c r="B5018" s="216" t="n">
        <v>89.05</v>
      </c>
      <c r="C5018" s="216" t="n">
        <v>120.69</v>
      </c>
      <c r="D5018" s="216" t="n">
        <v>1.089496970176697</v>
      </c>
      <c r="E5018" s="215" t="n">
        <v>45160</v>
      </c>
      <c r="F5018" s="215" t="n">
        <v>45160</v>
      </c>
    </row>
    <row r="5019">
      <c r="A5019" s="215" t="n">
        <v>45161</v>
      </c>
      <c r="B5019" s="216" t="n">
        <v>89.45</v>
      </c>
      <c r="C5019" s="216" t="n">
        <v>119.03</v>
      </c>
      <c r="D5019" s="216" t="n">
        <v>1.088055968284607</v>
      </c>
      <c r="E5019" s="215" t="n">
        <v>45161</v>
      </c>
      <c r="F5019" s="215" t="n">
        <v>45161</v>
      </c>
    </row>
    <row r="5020">
      <c r="A5020" s="215" t="n">
        <v>45162</v>
      </c>
      <c r="B5020" s="216" t="n">
        <v>93.3</v>
      </c>
      <c r="C5020" s="216" t="n">
        <v>126.3</v>
      </c>
      <c r="D5020" s="216" t="n">
        <v>1.091747045516968</v>
      </c>
      <c r="E5020" s="215" t="n">
        <v>45162</v>
      </c>
      <c r="F5020" s="215" t="n">
        <v>45162</v>
      </c>
    </row>
    <row r="5021">
      <c r="A5021" s="215" t="n">
        <v>45163</v>
      </c>
      <c r="B5021" s="216" t="n">
        <v>93.84999999999999</v>
      </c>
      <c r="C5021" s="216" t="n">
        <v>127.45</v>
      </c>
      <c r="D5021" s="216" t="n">
        <v>1.091843008995056</v>
      </c>
      <c r="E5021" s="215" t="n">
        <v>45163</v>
      </c>
      <c r="F5021" s="215" t="n">
        <v>45163</v>
      </c>
    </row>
    <row r="5022">
      <c r="A5022" s="215" t="n">
        <v>45166</v>
      </c>
      <c r="B5022" s="216" t="n">
        <v>95.15000000000001</v>
      </c>
      <c r="C5022" s="216" t="n">
        <v>129.55</v>
      </c>
      <c r="D5022" s="216" t="n">
        <v>1.090361952781677</v>
      </c>
      <c r="E5022" s="215" t="n">
        <v>45166</v>
      </c>
      <c r="F5022" s="215" t="n">
        <v>45166</v>
      </c>
    </row>
    <row r="5023">
      <c r="A5023" s="215" t="n">
        <v>45167</v>
      </c>
      <c r="B5023" s="216" t="n">
        <v>96.34999999999999</v>
      </c>
      <c r="C5023" s="216" t="n">
        <v>132</v>
      </c>
      <c r="D5023" s="216" t="n">
        <v>1.089699029922485</v>
      </c>
      <c r="E5023" s="215" t="n">
        <v>45167</v>
      </c>
      <c r="F5023" s="215" t="n">
        <v>45167</v>
      </c>
    </row>
    <row r="5024">
      <c r="A5024" s="215" t="n">
        <v>45168</v>
      </c>
      <c r="B5024" s="216" t="n">
        <v>96.7</v>
      </c>
      <c r="C5024" s="216" t="n">
        <v>130.94</v>
      </c>
      <c r="D5024" s="216" t="n">
        <v>1.094905972480774</v>
      </c>
      <c r="E5024" s="215" t="n">
        <v>45168</v>
      </c>
      <c r="F5024" s="215" t="n">
        <v>45168</v>
      </c>
    </row>
    <row r="5025">
      <c r="A5025" s="215" t="n">
        <v>45169</v>
      </c>
      <c r="B5025" s="216" t="n">
        <v>98.8</v>
      </c>
      <c r="C5025" s="216" t="n">
        <v>133.05</v>
      </c>
      <c r="D5025" s="216" t="n">
        <v>1.092789053916931</v>
      </c>
      <c r="E5025" s="215" t="n">
        <v>45169</v>
      </c>
      <c r="F5025" s="215" t="n">
        <v>45169</v>
      </c>
    </row>
    <row r="5026">
      <c r="A5026" s="215" t="n">
        <v>45173</v>
      </c>
      <c r="B5026" s="216" t="n">
        <v>98.90000000000001</v>
      </c>
      <c r="C5026" s="216" t="n">
        <v>130.1</v>
      </c>
      <c r="D5026" s="216" t="n">
        <v>1.090212941169739</v>
      </c>
      <c r="E5026" s="215" t="n">
        <v>45173</v>
      </c>
      <c r="F5026" s="215" t="n">
        <v>45173</v>
      </c>
    </row>
    <row r="5027">
      <c r="A5027" s="215" t="n">
        <v>45174</v>
      </c>
      <c r="B5027" s="216" t="n">
        <v>97.65000000000001</v>
      </c>
      <c r="C5027" s="216" t="n">
        <v>128.35</v>
      </c>
      <c r="D5027" s="216" t="n">
        <v>1.094616055488586</v>
      </c>
      <c r="E5027" s="215" t="n">
        <v>45174</v>
      </c>
      <c r="F5027" s="215" t="n">
        <v>45174</v>
      </c>
    </row>
    <row r="5028">
      <c r="A5028" s="215" t="n">
        <v>45175</v>
      </c>
      <c r="B5028" s="216" t="n">
        <v>96.25</v>
      </c>
      <c r="C5028" s="216" t="n">
        <v>124.49</v>
      </c>
      <c r="D5028" s="216" t="n">
        <v>1.090736985206604</v>
      </c>
      <c r="E5028" s="215" t="n">
        <v>45175</v>
      </c>
      <c r="F5028" s="215" t="n">
        <v>45175</v>
      </c>
    </row>
    <row r="5029">
      <c r="A5029" s="215" t="n">
        <v>45176</v>
      </c>
      <c r="B5029" s="216" t="n">
        <v>95.45</v>
      </c>
      <c r="C5029" s="216" t="n">
        <v>122.53</v>
      </c>
      <c r="D5029" s="216" t="n">
        <v>1.088104963302612</v>
      </c>
      <c r="E5029" s="215" t="n">
        <v>45176</v>
      </c>
      <c r="F5029" s="215" t="n">
        <v>45176</v>
      </c>
    </row>
    <row r="5030">
      <c r="A5030" s="215" t="n">
        <v>45180</v>
      </c>
      <c r="B5030" s="216" t="n">
        <v>96.55</v>
      </c>
      <c r="C5030" s="216" t="n">
        <v>124.35</v>
      </c>
      <c r="D5030" s="216" t="n">
        <v>1.085821986198425</v>
      </c>
      <c r="E5030" s="215" t="n">
        <v>45180</v>
      </c>
      <c r="F5030" s="215" t="n">
        <v>45180</v>
      </c>
    </row>
    <row r="5031">
      <c r="A5031" s="215" t="n">
        <v>45181</v>
      </c>
      <c r="B5031" s="216" t="n">
        <v>95.09999999999999</v>
      </c>
      <c r="C5031" s="216" t="n">
        <v>125.16</v>
      </c>
      <c r="D5031" s="216" t="n">
        <v>1.088567018508911</v>
      </c>
      <c r="E5031" s="215" t="n">
        <v>45181</v>
      </c>
      <c r="F5031" s="215" t="n">
        <v>45181</v>
      </c>
    </row>
    <row r="5032">
      <c r="A5032" s="215" t="n">
        <v>45182</v>
      </c>
      <c r="B5032" s="216" t="n">
        <v>96.3</v>
      </c>
      <c r="C5032" s="216" t="n">
        <v>124.3</v>
      </c>
      <c r="D5032" s="216" t="n">
        <v>1.088140964508057</v>
      </c>
      <c r="E5032" s="215" t="n">
        <v>45182</v>
      </c>
      <c r="F5032" s="215" t="n">
        <v>45182</v>
      </c>
    </row>
    <row r="5033">
      <c r="A5033" s="215" t="n">
        <v>45183</v>
      </c>
      <c r="B5033" s="216" t="n">
        <v>97.7</v>
      </c>
      <c r="C5033" s="216" t="n">
        <v>125</v>
      </c>
      <c r="D5033" s="216" t="n">
        <v>1.091163039207458</v>
      </c>
      <c r="E5033" s="215" t="n">
        <v>45183</v>
      </c>
      <c r="F5033" s="215" t="n">
        <v>45183</v>
      </c>
    </row>
    <row r="5034">
      <c r="A5034" s="215" t="n">
        <v>45184</v>
      </c>
      <c r="B5034" s="216" t="n">
        <v>104</v>
      </c>
      <c r="C5034" s="216" t="n">
        <v>136.58</v>
      </c>
      <c r="D5034" s="216" t="n">
        <v>1.088575005531311</v>
      </c>
      <c r="E5034" s="215" t="n">
        <v>45184</v>
      </c>
      <c r="F5034" s="215" t="n">
        <v>45184</v>
      </c>
    </row>
    <row r="5035">
      <c r="A5035" s="215" t="n">
        <v>45187</v>
      </c>
      <c r="B5035" s="216" t="n">
        <v>108.2</v>
      </c>
      <c r="C5035" s="216" t="n">
        <v>141.79</v>
      </c>
      <c r="D5035" s="216" t="n">
        <v>1.089876055717468</v>
      </c>
      <c r="E5035" s="215" t="n">
        <v>45187</v>
      </c>
      <c r="F5035" s="215" t="n">
        <v>45187</v>
      </c>
    </row>
    <row r="5036">
      <c r="A5036" s="215" t="n">
        <v>45188</v>
      </c>
      <c r="B5036" s="216" t="n">
        <v>106.3</v>
      </c>
      <c r="C5036" s="216" t="n">
        <v>139.97</v>
      </c>
      <c r="D5036" s="216" t="n">
        <v>1.091644048690796</v>
      </c>
      <c r="E5036" s="215" t="n">
        <v>45188</v>
      </c>
      <c r="F5036" s="215" t="n">
        <v>45188</v>
      </c>
    </row>
    <row r="5037">
      <c r="A5037" s="215" t="n">
        <v>45189</v>
      </c>
      <c r="B5037" s="216" t="n">
        <v>105.9</v>
      </c>
      <c r="C5037" s="216" t="n">
        <v>138.88</v>
      </c>
      <c r="D5037" s="216" t="n">
        <v>1.090924978256226</v>
      </c>
      <c r="E5037" s="215" t="n">
        <v>45189</v>
      </c>
      <c r="F5037" s="215" t="n">
        <v>45189</v>
      </c>
    </row>
    <row r="5038">
      <c r="A5038" s="215" t="n">
        <v>45190</v>
      </c>
      <c r="B5038" s="216" t="n">
        <v>104.1</v>
      </c>
      <c r="C5038" s="216" t="n">
        <v>137.7</v>
      </c>
      <c r="D5038" s="216" t="n">
        <v>1.08824098110199</v>
      </c>
      <c r="E5038" s="215" t="n">
        <v>45190</v>
      </c>
      <c r="F5038" s="215" t="n">
        <v>45190</v>
      </c>
    </row>
    <row r="5039">
      <c r="A5039" s="215" t="n">
        <v>45191</v>
      </c>
      <c r="B5039" s="216" t="n">
        <v>110.2</v>
      </c>
      <c r="C5039" s="216" t="n">
        <v>144.2</v>
      </c>
      <c r="D5039" s="216" t="n">
        <v>1.088595986366272</v>
      </c>
      <c r="E5039" s="215" t="n">
        <v>45191</v>
      </c>
      <c r="F5039" s="215" t="n">
        <v>45191</v>
      </c>
    </row>
    <row r="5040">
      <c r="A5040" s="215" t="n">
        <v>45194</v>
      </c>
      <c r="B5040" s="216" t="n">
        <v>110.8</v>
      </c>
      <c r="C5040" s="216" t="n">
        <v>147.5</v>
      </c>
      <c r="D5040" s="216" t="n">
        <v>1.087345004081726</v>
      </c>
      <c r="E5040" s="215" t="n">
        <v>45194</v>
      </c>
      <c r="F5040" s="215" t="n">
        <v>45194</v>
      </c>
    </row>
    <row r="5041">
      <c r="A5041" s="215" t="n">
        <v>45195</v>
      </c>
      <c r="B5041" s="216" t="n">
        <v>110</v>
      </c>
      <c r="C5041" s="216" t="n">
        <v>147.66</v>
      </c>
      <c r="D5041" s="216" t="n">
        <v>1.081025958061218</v>
      </c>
      <c r="E5041" s="215" t="n">
        <v>45195</v>
      </c>
      <c r="F5041" s="215" t="n">
        <v>45195</v>
      </c>
    </row>
    <row r="5042">
      <c r="A5042" s="215" t="n">
        <v>45196</v>
      </c>
      <c r="B5042" s="216" t="n">
        <v>107.5</v>
      </c>
      <c r="C5042" s="216" t="n">
        <v>152.19</v>
      </c>
      <c r="D5042" s="216" t="n">
        <v>1.079403042793274</v>
      </c>
      <c r="E5042" s="215" t="n">
        <v>45196</v>
      </c>
      <c r="F5042" s="215" t="n">
        <v>45196</v>
      </c>
    </row>
    <row r="5043">
      <c r="A5043" s="215" t="n">
        <v>45197</v>
      </c>
      <c r="B5043" s="216" t="n">
        <v>107.9</v>
      </c>
      <c r="C5043" s="216" t="n">
        <v>151.7</v>
      </c>
      <c r="D5043" s="216" t="n">
        <v>1.0728440284729</v>
      </c>
      <c r="E5043" s="215" t="n">
        <v>45197</v>
      </c>
      <c r="F5043" s="215" t="n">
        <v>45197</v>
      </c>
    </row>
    <row r="5044">
      <c r="A5044" s="215" t="n">
        <v>45198</v>
      </c>
      <c r="B5044" s="216" t="n">
        <v>110.2</v>
      </c>
      <c r="C5044" s="216" t="n">
        <v>151.7</v>
      </c>
      <c r="D5044" s="216" t="n">
        <v>1.079846978187561</v>
      </c>
      <c r="E5044" s="215" t="n">
        <v>45197</v>
      </c>
      <c r="F5044" s="215" t="n">
        <v>45198</v>
      </c>
    </row>
    <row r="5045">
      <c r="A5045" s="215" t="n">
        <v>45202</v>
      </c>
      <c r="B5045" s="216" t="n">
        <v>104.2</v>
      </c>
      <c r="C5045" s="216" t="n">
        <v>151.7</v>
      </c>
      <c r="D5045" s="216" t="n">
        <v>1.071742057800293</v>
      </c>
      <c r="E5045" s="215" t="n">
        <v>45197</v>
      </c>
      <c r="F5045" s="215" t="n">
        <v>45202</v>
      </c>
    </row>
    <row r="5046">
      <c r="A5046" s="215" t="n">
        <v>45203</v>
      </c>
      <c r="B5046" s="216" t="n">
        <v>103</v>
      </c>
      <c r="C5046" s="216" t="n">
        <v>151.7</v>
      </c>
      <c r="D5046" s="216" t="n">
        <v>1.070677042007446</v>
      </c>
      <c r="E5046" s="215" t="n">
        <v>45197</v>
      </c>
      <c r="F5046" s="215" t="n">
        <v>45203</v>
      </c>
    </row>
    <row r="5047">
      <c r="A5047" s="215" t="n">
        <v>45204</v>
      </c>
      <c r="B5047" s="216" t="n">
        <v>107.2</v>
      </c>
      <c r="C5047" s="216" t="n">
        <v>151.7</v>
      </c>
      <c r="D5047" s="216" t="n">
        <v>1.074022054672241</v>
      </c>
      <c r="E5047" s="215" t="n">
        <v>45197</v>
      </c>
      <c r="F5047" s="215" t="n">
        <v>45204</v>
      </c>
    </row>
    <row r="5048">
      <c r="A5048" s="215" t="n">
        <v>45205</v>
      </c>
      <c r="B5048" s="216" t="n">
        <v>108</v>
      </c>
      <c r="C5048" s="216" t="n">
        <v>151.7</v>
      </c>
      <c r="D5048" s="216" t="n">
        <v>1.078335046768188</v>
      </c>
      <c r="E5048" s="215" t="n">
        <v>45197</v>
      </c>
      <c r="F5048" s="215" t="n">
        <v>45205</v>
      </c>
    </row>
    <row r="5049">
      <c r="A5049" s="215" t="n">
        <v>45208</v>
      </c>
      <c r="B5049" s="216" t="n">
        <v>108.5</v>
      </c>
      <c r="C5049" s="216" t="n">
        <v>153.47</v>
      </c>
      <c r="D5049" s="216" t="n">
        <v>1.080739974975586</v>
      </c>
      <c r="E5049" s="215" t="n">
        <v>45208</v>
      </c>
      <c r="F5049" s="215" t="n">
        <v>45208</v>
      </c>
    </row>
    <row r="5050">
      <c r="A5050" s="215" t="n">
        <v>45209</v>
      </c>
      <c r="B5050" s="216" t="n">
        <v>108</v>
      </c>
      <c r="C5050" s="216" t="n">
        <v>148.5</v>
      </c>
      <c r="D5050" s="216" t="n">
        <v>1.081393003463745</v>
      </c>
      <c r="E5050" s="215" t="n">
        <v>45209</v>
      </c>
      <c r="F5050" s="215" t="n">
        <v>45209</v>
      </c>
    </row>
    <row r="5051">
      <c r="A5051" s="215" t="n">
        <v>45210</v>
      </c>
      <c r="B5051" s="216" t="n">
        <v>115.5</v>
      </c>
      <c r="C5051" s="216" t="n">
        <v>156.15</v>
      </c>
      <c r="D5051" s="216" t="n">
        <v>1.082736968994141</v>
      </c>
      <c r="E5051" s="215" t="n">
        <v>45210</v>
      </c>
      <c r="F5051" s="215" t="n">
        <v>45210</v>
      </c>
    </row>
    <row r="5052">
      <c r="A5052" s="215" t="n">
        <v>45211</v>
      </c>
      <c r="B5052" s="216" t="n">
        <v>116</v>
      </c>
      <c r="C5052" s="216" t="n">
        <v>155.49</v>
      </c>
      <c r="D5052" s="216" t="n">
        <v>1.084743976593018</v>
      </c>
      <c r="E5052" s="215" t="n">
        <v>45211</v>
      </c>
      <c r="F5052" s="215" t="n">
        <v>45211</v>
      </c>
    </row>
    <row r="5053">
      <c r="A5053" s="215" t="n">
        <v>45212</v>
      </c>
      <c r="B5053" s="216" t="n">
        <v>115.9</v>
      </c>
      <c r="C5053" s="216" t="n">
        <v>157.15</v>
      </c>
      <c r="D5053" s="216" t="n">
        <v>1.076364040374756</v>
      </c>
      <c r="E5053" s="215" t="n">
        <v>45212</v>
      </c>
      <c r="F5053" s="215" t="n">
        <v>45212</v>
      </c>
    </row>
    <row r="5054">
      <c r="A5054" s="215" t="n">
        <v>45215</v>
      </c>
      <c r="B5054" s="216" t="n">
        <v>118.8</v>
      </c>
      <c r="C5054" s="216" t="n">
        <v>158.59</v>
      </c>
      <c r="D5054" s="216" t="n">
        <v>1.074789047241211</v>
      </c>
      <c r="E5054" s="215" t="n">
        <v>45215</v>
      </c>
      <c r="F5054" s="215" t="n">
        <v>45215</v>
      </c>
    </row>
    <row r="5055">
      <c r="A5055" s="215" t="n">
        <v>45216</v>
      </c>
      <c r="B5055" s="216" t="n">
        <v>118</v>
      </c>
      <c r="C5055" s="216" t="n">
        <v>159.58</v>
      </c>
      <c r="D5055" s="216" t="n">
        <v>1.077306985855103</v>
      </c>
      <c r="E5055" s="215" t="n">
        <v>45216</v>
      </c>
      <c r="F5055" s="215" t="n">
        <v>45216</v>
      </c>
    </row>
    <row r="5056">
      <c r="A5056" s="215" t="n">
        <v>45217</v>
      </c>
      <c r="B5056" s="216" t="n">
        <v>113.8</v>
      </c>
      <c r="C5056" s="216" t="n">
        <v>156.55</v>
      </c>
      <c r="D5056" s="216" t="n">
        <v>1.079851984977722</v>
      </c>
      <c r="E5056" s="215" t="n">
        <v>45217</v>
      </c>
      <c r="F5056" s="215" t="n">
        <v>45217</v>
      </c>
    </row>
    <row r="5057">
      <c r="A5057" s="215" t="n">
        <v>45218</v>
      </c>
      <c r="B5057" s="216" t="n">
        <v>111.9</v>
      </c>
      <c r="C5057" s="216" t="n">
        <v>154.17</v>
      </c>
      <c r="D5057" s="216" t="n">
        <v>1.077018976211548</v>
      </c>
      <c r="E5057" s="215" t="n">
        <v>45218</v>
      </c>
      <c r="F5057" s="215" t="n">
        <v>45218</v>
      </c>
    </row>
    <row r="5058">
      <c r="A5058" s="215" t="n">
        <v>45219</v>
      </c>
      <c r="B5058" s="216" t="n">
        <v>112.5</v>
      </c>
      <c r="C5058" s="216" t="n">
        <v>152.18</v>
      </c>
      <c r="D5058" s="216" t="n">
        <v>1.081383943557739</v>
      </c>
      <c r="E5058" s="215" t="n">
        <v>45219</v>
      </c>
      <c r="F5058" s="215" t="n">
        <v>45219</v>
      </c>
    </row>
    <row r="5059">
      <c r="A5059" s="215" t="n">
        <v>45223</v>
      </c>
      <c r="B5059" s="216" t="n">
        <v>111.1</v>
      </c>
      <c r="C5059" s="216" t="n">
        <v>156.46</v>
      </c>
      <c r="D5059" s="216" t="n">
        <v>1.090018033981323</v>
      </c>
      <c r="E5059" s="215" t="n">
        <v>45223</v>
      </c>
      <c r="F5059" s="215" t="n">
        <v>45223</v>
      </c>
    </row>
    <row r="5060">
      <c r="A5060" s="215" t="n">
        <v>45224</v>
      </c>
      <c r="B5060" s="216" t="n">
        <v>107.5</v>
      </c>
      <c r="C5060" s="216" t="n">
        <v>150.28</v>
      </c>
      <c r="D5060" s="216" t="n">
        <v>1.08238697052002</v>
      </c>
      <c r="E5060" s="215" t="n">
        <v>45224</v>
      </c>
      <c r="F5060" s="215" t="n">
        <v>45224</v>
      </c>
    </row>
    <row r="5061">
      <c r="A5061" s="215" t="n">
        <v>45225</v>
      </c>
      <c r="B5061" s="216" t="n">
        <v>102.9</v>
      </c>
      <c r="C5061" s="216" t="n">
        <v>149</v>
      </c>
      <c r="D5061" s="216" t="n">
        <v>1.079262971878052</v>
      </c>
      <c r="E5061" s="215" t="n">
        <v>45225</v>
      </c>
      <c r="F5061" s="215" t="n">
        <v>45225</v>
      </c>
    </row>
    <row r="5062">
      <c r="A5062" s="215" t="n">
        <v>45226</v>
      </c>
      <c r="B5062" s="216" t="n">
        <v>108.1</v>
      </c>
      <c r="C5062" s="216" t="n">
        <v>156.31</v>
      </c>
      <c r="D5062" s="216" t="n">
        <v>1.078766942024231</v>
      </c>
      <c r="E5062" s="215" t="n">
        <v>45226</v>
      </c>
      <c r="F5062" s="215" t="n">
        <v>45226</v>
      </c>
    </row>
    <row r="5063">
      <c r="A5063" s="215" t="n">
        <v>45229</v>
      </c>
      <c r="B5063" s="216" t="n">
        <v>118.5</v>
      </c>
      <c r="C5063" s="216" t="n">
        <v>164</v>
      </c>
      <c r="D5063" s="216" t="n">
        <v>1.078732967376709</v>
      </c>
      <c r="E5063" s="215" t="n">
        <v>45229</v>
      </c>
      <c r="F5063" s="215" t="n">
        <v>45229</v>
      </c>
    </row>
    <row r="5064">
      <c r="A5064" s="215" t="n">
        <v>45230</v>
      </c>
      <c r="B5064" s="216" t="n">
        <v>101.5</v>
      </c>
      <c r="C5064" s="216" t="n">
        <v>150.95</v>
      </c>
      <c r="D5064" s="216" t="n">
        <v>1.083860993385315</v>
      </c>
      <c r="E5064" s="215" t="n">
        <v>45230</v>
      </c>
      <c r="F5064" s="215" t="n">
        <v>45230</v>
      </c>
    </row>
    <row r="5065">
      <c r="A5065" s="215" t="n">
        <v>45231</v>
      </c>
      <c r="B5065" s="216" t="n">
        <v>101.7</v>
      </c>
      <c r="C5065" s="216" t="n">
        <v>146.21</v>
      </c>
      <c r="D5065" s="216" t="n">
        <v>1.080816030502319</v>
      </c>
      <c r="E5065" s="215" t="n">
        <v>45231</v>
      </c>
      <c r="F5065" s="215" t="n">
        <v>45231</v>
      </c>
    </row>
    <row r="5066">
      <c r="A5066" s="215" t="n">
        <v>45232</v>
      </c>
      <c r="B5066" s="216" t="n">
        <v>103.8</v>
      </c>
      <c r="C5066" s="216" t="n">
        <v>144.89</v>
      </c>
      <c r="D5066" s="216" t="n">
        <v>1.081329941749573</v>
      </c>
      <c r="E5066" s="215" t="n">
        <v>45232</v>
      </c>
      <c r="F5066" s="215" t="n">
        <v>45232</v>
      </c>
    </row>
    <row r="5067">
      <c r="A5067" s="215" t="n">
        <v>45233</v>
      </c>
      <c r="B5067" s="216" t="n">
        <v>109.5</v>
      </c>
      <c r="C5067" s="216" t="n">
        <v>147.52</v>
      </c>
      <c r="D5067" s="216" t="n">
        <v>1.084671974182129</v>
      </c>
      <c r="E5067" s="215" t="n">
        <v>45233</v>
      </c>
      <c r="F5067" s="215" t="n">
        <v>45233</v>
      </c>
    </row>
    <row r="5068">
      <c r="A5068" s="215" t="n">
        <v>45236</v>
      </c>
      <c r="B5068" s="216" t="n">
        <v>115</v>
      </c>
      <c r="C5068" s="216" t="n">
        <v>157.09</v>
      </c>
      <c r="D5068" s="216" t="n">
        <v>1.096359014511108</v>
      </c>
      <c r="E5068" s="215" t="n">
        <v>45236</v>
      </c>
      <c r="F5068" s="215" t="n">
        <v>45236</v>
      </c>
    </row>
    <row r="5069">
      <c r="A5069" s="215" t="n">
        <v>45237</v>
      </c>
      <c r="B5069" s="216" t="n">
        <v>116.3</v>
      </c>
      <c r="C5069" s="216" t="n">
        <v>155.79</v>
      </c>
      <c r="D5069" s="216" t="n">
        <v>1.094547033309937</v>
      </c>
      <c r="E5069" s="215" t="n">
        <v>45237</v>
      </c>
      <c r="F5069" s="215" t="n">
        <v>45237</v>
      </c>
    </row>
    <row r="5070">
      <c r="A5070" s="215" t="n">
        <v>45238</v>
      </c>
      <c r="B5070" s="216" t="n">
        <v>111</v>
      </c>
      <c r="C5070" s="216" t="n">
        <v>155.79</v>
      </c>
      <c r="D5070" s="216" t="n">
        <v>1.092092037200928</v>
      </c>
      <c r="E5070" s="215" t="n">
        <v>45238</v>
      </c>
      <c r="F5070" s="215" t="n">
        <v>45238</v>
      </c>
    </row>
    <row r="5071">
      <c r="A5071" s="215" t="n">
        <v>45239</v>
      </c>
      <c r="B5071" s="216" t="n">
        <v>104.6</v>
      </c>
      <c r="C5071" s="216" t="n">
        <v>148.66</v>
      </c>
      <c r="D5071" s="216" t="n">
        <v>1.092741012573242</v>
      </c>
      <c r="E5071" s="215" t="n">
        <v>45239</v>
      </c>
      <c r="F5071" s="215" t="n">
        <v>45239</v>
      </c>
    </row>
    <row r="5072">
      <c r="A5072" s="215" t="n">
        <v>45240</v>
      </c>
      <c r="B5072" s="216" t="n">
        <v>106.6</v>
      </c>
      <c r="C5072" s="216" t="n">
        <v>148.4</v>
      </c>
      <c r="D5072" s="216" t="n">
        <v>1.087584972381592</v>
      </c>
      <c r="E5072" s="215" t="n">
        <v>45240</v>
      </c>
      <c r="F5072" s="215" t="n">
        <v>45240</v>
      </c>
    </row>
    <row r="5073">
      <c r="A5073" s="215" t="n">
        <v>45243</v>
      </c>
      <c r="B5073" s="216" t="n">
        <v>106.6</v>
      </c>
      <c r="C5073" s="216" t="n">
        <v>147.82</v>
      </c>
      <c r="D5073" s="216" t="n">
        <v>1.090304970741272</v>
      </c>
      <c r="E5073" s="215" t="n">
        <v>45243</v>
      </c>
      <c r="F5073" s="215" t="n">
        <v>45243</v>
      </c>
    </row>
    <row r="5074">
      <c r="A5074" s="215" t="n">
        <v>45244</v>
      </c>
      <c r="B5074" s="216" t="n">
        <v>107.1</v>
      </c>
      <c r="C5074" s="216" t="n">
        <v>148.63</v>
      </c>
      <c r="D5074" s="216" t="n">
        <v>1.091066956520081</v>
      </c>
      <c r="E5074" s="215" t="n">
        <v>45244</v>
      </c>
      <c r="F5074" s="215" t="n">
        <v>45244</v>
      </c>
    </row>
    <row r="5075">
      <c r="A5075" s="215" t="n">
        <v>45245</v>
      </c>
      <c r="B5075" s="216" t="n">
        <v>110.6</v>
      </c>
      <c r="C5075" s="216" t="n">
        <v>150.08</v>
      </c>
      <c r="D5075" s="216" t="n">
        <v>1.108688950538635</v>
      </c>
      <c r="E5075" s="215" t="n">
        <v>45245</v>
      </c>
      <c r="F5075" s="215" t="n">
        <v>45245</v>
      </c>
    </row>
    <row r="5076">
      <c r="A5076" s="215" t="n">
        <v>45246</v>
      </c>
      <c r="B5076" s="216" t="n">
        <v>107</v>
      </c>
      <c r="C5076" s="216" t="n">
        <v>145.81</v>
      </c>
      <c r="D5076" s="216" t="n">
        <v>1.106451988220215</v>
      </c>
      <c r="E5076" s="215" t="n">
        <v>45246</v>
      </c>
      <c r="F5076" s="215" t="n">
        <v>45246</v>
      </c>
    </row>
    <row r="5077">
      <c r="A5077" s="215" t="n">
        <v>45247</v>
      </c>
      <c r="B5077" s="216" t="n">
        <v>109</v>
      </c>
      <c r="C5077" s="216" t="n">
        <v>145.39</v>
      </c>
      <c r="D5077" s="216" t="n">
        <v>1.105692982673645</v>
      </c>
      <c r="E5077" s="215" t="n">
        <v>45247</v>
      </c>
      <c r="F5077" s="215" t="n">
        <v>45247</v>
      </c>
    </row>
    <row r="5078">
      <c r="A5078" s="215" t="n">
        <v>45250</v>
      </c>
      <c r="B5078" s="216" t="n">
        <v>108.3</v>
      </c>
      <c r="C5078" s="216" t="n">
        <v>146.37</v>
      </c>
      <c r="D5078" s="216" t="n">
        <v>1.110219955444336</v>
      </c>
      <c r="E5078" s="215" t="n">
        <v>45250</v>
      </c>
      <c r="F5078" s="215" t="n">
        <v>45250</v>
      </c>
    </row>
    <row r="5079">
      <c r="A5079" s="215" t="n">
        <v>45251</v>
      </c>
      <c r="B5079" s="216" t="n">
        <v>107.3</v>
      </c>
      <c r="C5079" s="216" t="n">
        <v>145.88</v>
      </c>
      <c r="D5079" s="216" t="n">
        <v>1.113530039787292</v>
      </c>
      <c r="E5079" s="215" t="n">
        <v>45251</v>
      </c>
      <c r="F5079" s="215" t="n">
        <v>45251</v>
      </c>
    </row>
    <row r="5080">
      <c r="A5080" s="215" t="n">
        <v>45252</v>
      </c>
      <c r="B5080" s="216" t="n">
        <v>105</v>
      </c>
      <c r="C5080" s="216" t="n">
        <v>141.23</v>
      </c>
      <c r="D5080" s="216" t="n">
        <v>1.11102294921875</v>
      </c>
      <c r="E5080" s="215" t="n">
        <v>45252</v>
      </c>
      <c r="F5080" s="215" t="n">
        <v>45252</v>
      </c>
    </row>
    <row r="5081">
      <c r="A5081" s="215" t="n">
        <v>45253</v>
      </c>
      <c r="B5081" s="216" t="n">
        <v>106.9</v>
      </c>
      <c r="C5081" s="216" t="n">
        <v>141.65</v>
      </c>
      <c r="D5081" s="216" t="n">
        <v>1.10846996307373</v>
      </c>
      <c r="E5081" s="215" t="n">
        <v>45253</v>
      </c>
      <c r="F5081" s="215" t="n">
        <v>45253</v>
      </c>
    </row>
    <row r="5082">
      <c r="A5082" s="215" t="n">
        <v>45254</v>
      </c>
      <c r="B5082" s="216" t="n">
        <v>105.8</v>
      </c>
      <c r="C5082" s="216" t="n">
        <v>141.7</v>
      </c>
      <c r="D5082" s="216" t="n">
        <v>1.110196948051453</v>
      </c>
      <c r="E5082" s="215" t="n">
        <v>45254</v>
      </c>
      <c r="F5082" s="215" t="n">
        <v>45254</v>
      </c>
    </row>
    <row r="5083">
      <c r="A5083" s="215" t="n">
        <v>45257</v>
      </c>
      <c r="B5083" s="216" t="n">
        <v>105.3</v>
      </c>
      <c r="C5083" s="216" t="n">
        <v>141.33</v>
      </c>
      <c r="D5083" s="216" t="n">
        <v>1.113034963607788</v>
      </c>
      <c r="E5083" s="215" t="n">
        <v>45257</v>
      </c>
      <c r="F5083" s="215" t="n">
        <v>45257</v>
      </c>
    </row>
    <row r="5084">
      <c r="A5084" s="215" t="n">
        <v>45258</v>
      </c>
      <c r="B5084" s="216" t="n">
        <v>109.8</v>
      </c>
      <c r="C5084" s="216" t="n">
        <v>144.18</v>
      </c>
      <c r="D5084" s="216" t="n">
        <v>1.114474058151245</v>
      </c>
      <c r="E5084" s="215" t="n">
        <v>45258</v>
      </c>
      <c r="F5084" s="215" t="n">
        <v>45258</v>
      </c>
    </row>
    <row r="5085">
      <c r="A5085" s="215" t="n">
        <v>45259</v>
      </c>
      <c r="B5085" s="216" t="n">
        <v>109.5</v>
      </c>
      <c r="C5085" s="216" t="n">
        <v>142.73</v>
      </c>
      <c r="D5085" s="216" t="n">
        <v>1.119948983192444</v>
      </c>
      <c r="E5085" s="215" t="n">
        <v>45259</v>
      </c>
      <c r="F5085" s="215" t="n">
        <v>45259</v>
      </c>
    </row>
    <row r="5086">
      <c r="A5086" s="215" t="n">
        <v>45260</v>
      </c>
      <c r="B5086" s="216" t="n">
        <v>107.2</v>
      </c>
      <c r="C5086" s="216" t="n">
        <v>144</v>
      </c>
      <c r="D5086" s="216" t="n">
        <v>1.118155956268311</v>
      </c>
      <c r="E5086" s="215" t="n">
        <v>45260</v>
      </c>
      <c r="F5086" s="215" t="n">
        <v>45260</v>
      </c>
    </row>
    <row r="5087">
      <c r="A5087" s="215" t="n">
        <v>45261</v>
      </c>
      <c r="B5087" s="216" t="n">
        <v>103.6</v>
      </c>
      <c r="C5087" s="216" t="n">
        <v>141</v>
      </c>
      <c r="D5087" s="216" t="n">
        <v>1.110759019851685</v>
      </c>
      <c r="E5087" s="215" t="n">
        <v>45261</v>
      </c>
      <c r="F5087" s="215" t="n">
        <v>45261</v>
      </c>
    </row>
    <row r="5088">
      <c r="A5088" s="215" t="n">
        <v>45264</v>
      </c>
      <c r="B5088" s="216" t="n">
        <v>92.3</v>
      </c>
      <c r="C5088" s="216" t="n">
        <v>126.9</v>
      </c>
      <c r="D5088" s="216" t="n">
        <v>1.110934019088745</v>
      </c>
      <c r="E5088" s="215" t="n">
        <v>45264</v>
      </c>
      <c r="F5088" s="215" t="n">
        <v>45264</v>
      </c>
    </row>
    <row r="5089">
      <c r="A5089" s="215" t="n">
        <v>45265</v>
      </c>
      <c r="B5089" s="216" t="n">
        <v>92</v>
      </c>
      <c r="C5089" s="216" t="n">
        <v>123</v>
      </c>
      <c r="D5089" s="216" t="n">
        <v>1.105996012687683</v>
      </c>
      <c r="E5089" s="215" t="n">
        <v>45265</v>
      </c>
      <c r="F5089" s="215" t="n">
        <v>45265</v>
      </c>
    </row>
    <row r="5090">
      <c r="A5090" s="215" t="n">
        <v>45266</v>
      </c>
      <c r="B5090" s="216" t="n">
        <v>92.55</v>
      </c>
      <c r="C5090" s="216" t="n">
        <v>125.14</v>
      </c>
      <c r="D5090" s="216" t="n">
        <v>1.101930975914001</v>
      </c>
      <c r="E5090" s="215" t="n">
        <v>45266</v>
      </c>
      <c r="F5090" s="215" t="n">
        <v>45266</v>
      </c>
    </row>
    <row r="5091">
      <c r="A5091" s="215" t="n">
        <v>45267</v>
      </c>
      <c r="B5091" s="216" t="n">
        <v>89.3</v>
      </c>
      <c r="C5091" s="216" t="n">
        <v>122.71</v>
      </c>
      <c r="D5091" s="216" t="n">
        <v>1.098016023635864</v>
      </c>
      <c r="E5091" s="215" t="n">
        <v>45267</v>
      </c>
      <c r="F5091" s="215" t="n">
        <v>45267</v>
      </c>
    </row>
    <row r="5092">
      <c r="A5092" s="215" t="n">
        <v>45268</v>
      </c>
      <c r="B5092" s="216" t="n">
        <v>89.55</v>
      </c>
      <c r="C5092" s="216" t="n">
        <v>121.03</v>
      </c>
      <c r="D5092" s="216" t="n">
        <v>1.100576043128967</v>
      </c>
      <c r="E5092" s="215" t="n">
        <v>45268</v>
      </c>
      <c r="F5092" s="215" t="n">
        <v>45268</v>
      </c>
    </row>
    <row r="5093">
      <c r="A5093" s="215" t="n">
        <v>45271</v>
      </c>
      <c r="B5093" s="216" t="n">
        <v>90</v>
      </c>
      <c r="C5093" s="216" t="n">
        <v>121.7</v>
      </c>
      <c r="D5093" s="216" t="n">
        <v>1.097795963287354</v>
      </c>
      <c r="E5093" s="215" t="n">
        <v>45271</v>
      </c>
      <c r="F5093" s="215" t="n">
        <v>45271</v>
      </c>
    </row>
    <row r="5094">
      <c r="A5094" s="215" t="n">
        <v>45272</v>
      </c>
      <c r="B5094" s="216" t="n">
        <v>90.34999999999999</v>
      </c>
      <c r="C5094" s="216" t="n">
        <v>121.43</v>
      </c>
      <c r="D5094" s="216" t="n">
        <v>1.097154974937439</v>
      </c>
      <c r="E5094" s="215" t="n">
        <v>45272</v>
      </c>
      <c r="F5094" s="215" t="n">
        <v>45272</v>
      </c>
    </row>
    <row r="5095">
      <c r="A5095" s="215" t="n">
        <v>45273</v>
      </c>
      <c r="B5095" s="216" t="n">
        <v>90.3</v>
      </c>
      <c r="C5095" s="216" t="n">
        <v>119.12</v>
      </c>
      <c r="D5095" s="216" t="n">
        <v>1.101083993911743</v>
      </c>
      <c r="E5095" s="215" t="n">
        <v>45273</v>
      </c>
      <c r="F5095" s="215" t="n">
        <v>45273</v>
      </c>
    </row>
    <row r="5096">
      <c r="A5096" s="215" t="n">
        <v>45274</v>
      </c>
      <c r="B5096" s="216" t="n">
        <v>91.45</v>
      </c>
      <c r="C5096" s="216" t="n">
        <v>121.11</v>
      </c>
      <c r="D5096" s="216" t="n">
        <v>1.109936952590942</v>
      </c>
      <c r="E5096" s="215" t="n">
        <v>45274</v>
      </c>
      <c r="F5096" s="215" t="n">
        <v>45274</v>
      </c>
    </row>
    <row r="5097">
      <c r="A5097" s="215" t="n">
        <v>45275</v>
      </c>
      <c r="B5097" s="216" t="n">
        <v>92.7</v>
      </c>
      <c r="C5097" s="216" t="n">
        <v>120.87</v>
      </c>
      <c r="D5097" s="216" t="n">
        <v>1.120489954948425</v>
      </c>
      <c r="E5097" s="215" t="n">
        <v>45275</v>
      </c>
      <c r="F5097" s="215" t="n">
        <v>45275</v>
      </c>
    </row>
    <row r="5098">
      <c r="A5098" s="215" t="n">
        <v>45278</v>
      </c>
      <c r="B5098" s="216" t="n">
        <v>91</v>
      </c>
      <c r="C5098" s="216" t="n">
        <v>119.59</v>
      </c>
      <c r="D5098" s="216" t="n">
        <v>1.110012054443359</v>
      </c>
      <c r="E5098" s="215" t="n">
        <v>45278</v>
      </c>
      <c r="F5098" s="215" t="n">
        <v>45278</v>
      </c>
    </row>
    <row r="5099">
      <c r="A5099" s="215" t="n">
        <v>45279</v>
      </c>
      <c r="B5099" s="216" t="n">
        <v>90.40000000000001</v>
      </c>
      <c r="C5099" s="216" t="n">
        <v>119</v>
      </c>
      <c r="D5099" s="216" t="n">
        <v>1.111768007278442</v>
      </c>
      <c r="E5099" s="215" t="n">
        <v>45279</v>
      </c>
      <c r="F5099" s="215" t="n">
        <v>45279</v>
      </c>
    </row>
    <row r="5100">
      <c r="A5100" s="215" t="n">
        <v>45280</v>
      </c>
      <c r="B5100" s="216" t="n">
        <v>89.40000000000001</v>
      </c>
      <c r="C5100" s="216" t="n">
        <v>117.63</v>
      </c>
      <c r="D5100" s="216" t="n">
        <v>1.118278980255127</v>
      </c>
      <c r="E5100" s="215" t="n">
        <v>45280</v>
      </c>
      <c r="F5100" s="215" t="n">
        <v>45280</v>
      </c>
    </row>
    <row r="5101">
      <c r="A5101" s="215" t="n">
        <v>45281</v>
      </c>
      <c r="B5101" s="216" t="n">
        <v>90.2</v>
      </c>
      <c r="C5101" s="216" t="n">
        <v>117.47</v>
      </c>
      <c r="D5101" s="216" t="n">
        <v>1.115596055984497</v>
      </c>
      <c r="E5101" s="215" t="n">
        <v>45281</v>
      </c>
      <c r="F5101" s="215" t="n">
        <v>45281</v>
      </c>
    </row>
    <row r="5102">
      <c r="A5102" s="215" t="n">
        <v>45282</v>
      </c>
      <c r="B5102" s="216" t="n">
        <v>87.05</v>
      </c>
      <c r="C5102" s="216" t="n">
        <v>115.08</v>
      </c>
      <c r="D5102" s="216" t="n">
        <v>1.122302055358887</v>
      </c>
      <c r="E5102" s="215" t="n">
        <v>45282</v>
      </c>
      <c r="F5102" s="215" t="n">
        <v>45282</v>
      </c>
    </row>
    <row r="5103">
      <c r="A5103" s="215" t="n">
        <v>45287</v>
      </c>
      <c r="B5103" s="216" t="n">
        <v>89.05</v>
      </c>
      <c r="C5103" s="216" t="n">
        <v>113</v>
      </c>
      <c r="D5103" s="216" t="n">
        <v>1.125676989555359</v>
      </c>
      <c r="E5103" s="215" t="n">
        <v>45287</v>
      </c>
      <c r="F5103" s="215" t="n">
        <v>45287</v>
      </c>
    </row>
    <row r="5104">
      <c r="A5104" s="215" t="n">
        <v>45288</v>
      </c>
      <c r="B5104" s="216" t="n">
        <v>91.40000000000001</v>
      </c>
      <c r="C5104" s="216" t="n">
        <v>116.68</v>
      </c>
      <c r="D5104" s="216" t="n">
        <v>1.132581949234009</v>
      </c>
      <c r="E5104" s="215" t="n">
        <v>45288</v>
      </c>
      <c r="F5104" s="215" t="n">
        <v>45288</v>
      </c>
    </row>
    <row r="5105">
      <c r="A5105" s="215" t="n">
        <v>45289</v>
      </c>
      <c r="B5105" s="216" t="n">
        <v>91</v>
      </c>
      <c r="C5105" s="216" t="n">
        <v>116.1</v>
      </c>
      <c r="D5105" s="216" t="n">
        <v>1.128918051719666</v>
      </c>
      <c r="E5105" s="215" t="n">
        <v>45289</v>
      </c>
      <c r="F5105" s="215" t="n">
        <v>45289</v>
      </c>
    </row>
    <row r="5106">
      <c r="A5106" s="215" t="n">
        <v>45293</v>
      </c>
      <c r="B5106" s="216" t="n">
        <v>87.95</v>
      </c>
      <c r="C5106" s="216" t="n">
        <v>111.8</v>
      </c>
      <c r="D5106" s="216" t="n">
        <v>1.125501990318298</v>
      </c>
      <c r="E5106" s="215" t="n">
        <v>45293</v>
      </c>
      <c r="F5106" s="215" t="n">
        <v>45293</v>
      </c>
    </row>
    <row r="5107">
      <c r="A5107" s="215" t="n">
        <v>45294</v>
      </c>
      <c r="B5107" s="216" t="n">
        <v>87.05</v>
      </c>
      <c r="C5107" s="216" t="n">
        <v>111.29</v>
      </c>
      <c r="D5107" s="216" t="n">
        <v>1.116525053977966</v>
      </c>
      <c r="E5107" s="215" t="n">
        <v>45294</v>
      </c>
      <c r="F5107" s="215" t="n">
        <v>45294</v>
      </c>
    </row>
    <row r="5108">
      <c r="A5108" s="215" t="n">
        <v>45295</v>
      </c>
      <c r="B5108" s="216" t="n">
        <v>85.5</v>
      </c>
      <c r="C5108" s="216" t="n">
        <v>110.45</v>
      </c>
      <c r="D5108" s="216" t="n">
        <v>1.113739013671875</v>
      </c>
      <c r="E5108" s="215" t="n">
        <v>45295</v>
      </c>
      <c r="F5108" s="215" t="n">
        <v>45295</v>
      </c>
    </row>
    <row r="5109">
      <c r="A5109" s="215" t="n">
        <v>45296</v>
      </c>
      <c r="B5109" s="216" t="n">
        <v>82.7</v>
      </c>
      <c r="C5109" s="216" t="n">
        <v>107.36</v>
      </c>
      <c r="D5109" s="216" t="n">
        <v>1.116189956665039</v>
      </c>
      <c r="E5109" s="215" t="n">
        <v>45296</v>
      </c>
      <c r="F5109" s="215" t="n">
        <v>45296</v>
      </c>
    </row>
    <row r="5110">
      <c r="A5110" s="215" t="n">
        <v>45299</v>
      </c>
      <c r="B5110" s="216" t="n">
        <v>80.3</v>
      </c>
      <c r="C5110" s="216" t="n">
        <v>105.47</v>
      </c>
      <c r="D5110" s="216" t="n">
        <v>1.116019010543823</v>
      </c>
      <c r="E5110" s="215" t="n">
        <v>45299</v>
      </c>
      <c r="F5110" s="215" t="n">
        <v>45299</v>
      </c>
    </row>
    <row r="5111">
      <c r="A5111" s="215" t="n">
        <v>45300</v>
      </c>
      <c r="B5111" s="216" t="n">
        <v>79.7</v>
      </c>
      <c r="C5111" s="216" t="n">
        <v>105</v>
      </c>
      <c r="D5111" s="216" t="n">
        <v>1.116075992584229</v>
      </c>
      <c r="E5111" s="215" t="n">
        <v>45300</v>
      </c>
      <c r="F5111" s="215" t="n">
        <v>45300</v>
      </c>
    </row>
    <row r="5112">
      <c r="A5112" s="215" t="n">
        <v>45301</v>
      </c>
      <c r="B5112" s="216" t="n">
        <v>80.55</v>
      </c>
      <c r="C5112" s="216" t="n">
        <v>104.84</v>
      </c>
      <c r="D5112" s="216" t="n">
        <v>1.115636944770813</v>
      </c>
      <c r="E5112" s="215" t="n">
        <v>45301</v>
      </c>
      <c r="F5112" s="215" t="n">
        <v>45301</v>
      </c>
    </row>
    <row r="5113">
      <c r="A5113" s="215" t="n">
        <v>45302</v>
      </c>
      <c r="B5113" s="216" t="n">
        <v>83.59999999999999</v>
      </c>
      <c r="C5113" s="216" t="n">
        <v>108.37</v>
      </c>
      <c r="D5113" s="216" t="n">
        <v>1.120515942573547</v>
      </c>
      <c r="E5113" s="215" t="n">
        <v>45302</v>
      </c>
      <c r="F5113" s="215" t="n">
        <v>45302</v>
      </c>
    </row>
    <row r="5114">
      <c r="A5114" s="215" t="n">
        <v>45303</v>
      </c>
      <c r="B5114" s="216" t="n">
        <v>80.55</v>
      </c>
      <c r="C5114" s="216" t="n">
        <v>106.38</v>
      </c>
      <c r="D5114" s="216" t="n">
        <v>1.120725035667419</v>
      </c>
      <c r="E5114" s="215" t="n">
        <v>45303</v>
      </c>
      <c r="F5114" s="215" t="n">
        <v>45303</v>
      </c>
    </row>
    <row r="5115">
      <c r="A5115" s="215" t="n">
        <v>45306</v>
      </c>
      <c r="B5115" s="216" t="n">
        <v>80</v>
      </c>
      <c r="C5115" s="216" t="n">
        <v>106.5</v>
      </c>
      <c r="D5115" s="216" t="n">
        <v>1.117622017860413</v>
      </c>
      <c r="E5115" s="215" t="n">
        <v>45306</v>
      </c>
      <c r="F5115" s="215" t="n">
        <v>45306</v>
      </c>
    </row>
    <row r="5116">
      <c r="A5116" s="215" t="n">
        <v>45307</v>
      </c>
      <c r="B5116" s="216" t="n">
        <v>80</v>
      </c>
      <c r="C5116" s="216" t="n">
        <v>105.36</v>
      </c>
      <c r="D5116" s="216" t="n">
        <v>1.118000030517578</v>
      </c>
      <c r="E5116" s="215" t="n">
        <v>45307</v>
      </c>
      <c r="F5116" s="215" t="n">
        <v>45307</v>
      </c>
    </row>
    <row r="5117">
      <c r="A5117" s="215" t="n">
        <v>45308</v>
      </c>
      <c r="B5117" s="216" t="n">
        <v>75.8</v>
      </c>
      <c r="C5117" s="216" t="n">
        <v>101.05</v>
      </c>
      <c r="D5117" s="216" t="n">
        <v>1.111650943756104</v>
      </c>
      <c r="E5117" s="215" t="n">
        <v>45308</v>
      </c>
      <c r="F5117" s="215" t="n">
        <v>45308</v>
      </c>
    </row>
    <row r="5118">
      <c r="A5118" s="215" t="n">
        <v>45309</v>
      </c>
      <c r="B5118" s="216" t="n">
        <v>75</v>
      </c>
      <c r="C5118" s="216" t="n">
        <v>102</v>
      </c>
      <c r="D5118" s="216" t="n">
        <v>1.111701965332031</v>
      </c>
      <c r="E5118" s="215" t="n">
        <v>45309</v>
      </c>
      <c r="F5118" s="215" t="n">
        <v>45309</v>
      </c>
    </row>
    <row r="5119">
      <c r="A5119" s="215" t="n">
        <v>45310</v>
      </c>
      <c r="B5119" s="216" t="n">
        <v>73.7</v>
      </c>
      <c r="C5119" s="216" t="n">
        <v>100.46</v>
      </c>
      <c r="D5119" s="216" t="n">
        <v>1.111027956008911</v>
      </c>
      <c r="E5119" s="215" t="n">
        <v>45310</v>
      </c>
      <c r="F5119" s="215" t="n">
        <v>45310</v>
      </c>
    </row>
    <row r="5120">
      <c r="A5120" s="215" t="n">
        <v>45313</v>
      </c>
      <c r="B5120" s="216" t="n">
        <v>70.5</v>
      </c>
      <c r="C5120" s="216" t="n">
        <v>96.5</v>
      </c>
      <c r="D5120" s="216" t="n">
        <v>1.111721038818359</v>
      </c>
      <c r="E5120" s="215" t="n">
        <v>45313</v>
      </c>
      <c r="F5120" s="215" t="n">
        <v>45313</v>
      </c>
    </row>
    <row r="5121">
      <c r="A5121" s="215" t="n">
        <v>45314</v>
      </c>
      <c r="B5121" s="216" t="n">
        <v>70</v>
      </c>
      <c r="C5121" s="216" t="n">
        <v>97.68000000000001</v>
      </c>
      <c r="D5121" s="216" t="n">
        <v>1.110329031944275</v>
      </c>
      <c r="E5121" s="215" t="n">
        <v>45314</v>
      </c>
      <c r="F5121" s="215" t="n">
        <v>45314</v>
      </c>
    </row>
    <row r="5122">
      <c r="A5122" s="215" t="n">
        <v>45315</v>
      </c>
      <c r="B5122" s="216" t="n">
        <v>68.75</v>
      </c>
      <c r="C5122" s="216" t="n">
        <v>96.55</v>
      </c>
      <c r="D5122" s="216" t="n">
        <v>1.108868002891541</v>
      </c>
      <c r="E5122" s="215" t="n">
        <v>45315</v>
      </c>
      <c r="F5122" s="215" t="n">
        <v>45315</v>
      </c>
    </row>
    <row r="5123">
      <c r="A5123" s="215" t="n">
        <v>45316</v>
      </c>
      <c r="B5123" s="216" t="n">
        <v>71</v>
      </c>
      <c r="C5123" s="216" t="n">
        <v>98.3</v>
      </c>
      <c r="D5123" s="216" t="n">
        <v>1.110738039016724</v>
      </c>
      <c r="E5123" s="215" t="n">
        <v>45316</v>
      </c>
      <c r="F5123" s="215" t="n">
        <v>45316</v>
      </c>
    </row>
    <row r="5124">
      <c r="A5124" s="215" t="n">
        <v>45317</v>
      </c>
      <c r="B5124" s="216" t="n">
        <v>65.95</v>
      </c>
      <c r="C5124" s="216" t="n">
        <v>91.44</v>
      </c>
      <c r="D5124" s="216" t="n">
        <v>1.10723602771759</v>
      </c>
      <c r="E5124" s="215" t="n">
        <v>45317</v>
      </c>
      <c r="F5124" s="215" t="n">
        <v>45317</v>
      </c>
    </row>
    <row r="5125">
      <c r="A5125" s="215" t="n">
        <v>45320</v>
      </c>
      <c r="B5125" s="216" t="n">
        <v>65.2</v>
      </c>
      <c r="C5125" s="216" t="n">
        <v>91.39</v>
      </c>
      <c r="D5125" s="216" t="n">
        <v>1.10621702671051</v>
      </c>
      <c r="E5125" s="215" t="n">
        <v>45320</v>
      </c>
      <c r="F5125" s="215" t="n">
        <v>45320</v>
      </c>
    </row>
    <row r="5126">
      <c r="A5126" s="215" t="n">
        <v>45321</v>
      </c>
      <c r="B5126" s="216" t="n">
        <v>63.3</v>
      </c>
      <c r="C5126" s="216" t="n">
        <v>89</v>
      </c>
      <c r="D5126" s="216" t="n">
        <v>1.105329036712646</v>
      </c>
      <c r="E5126" s="215" t="n">
        <v>45321</v>
      </c>
      <c r="F5126" s="215" t="n">
        <v>45321</v>
      </c>
    </row>
    <row r="5127">
      <c r="A5127" s="215" t="n">
        <v>45322</v>
      </c>
      <c r="B5127" s="216" t="n">
        <v>60.65</v>
      </c>
      <c r="C5127" s="216" t="n">
        <v>85.52</v>
      </c>
      <c r="D5127" s="216" t="n">
        <v>1.106791973114014</v>
      </c>
      <c r="E5127" s="215" t="n">
        <v>45322</v>
      </c>
      <c r="F5127" s="215" t="n">
        <v>45322</v>
      </c>
    </row>
    <row r="5128">
      <c r="A5128" s="215" t="n">
        <v>45323</v>
      </c>
      <c r="B5128" s="216" t="n">
        <v>63.65</v>
      </c>
      <c r="C5128" s="216" t="n">
        <v>90.72</v>
      </c>
      <c r="D5128" s="216" t="n">
        <v>1.102612972259521</v>
      </c>
      <c r="E5128" s="215" t="n">
        <v>45323</v>
      </c>
      <c r="F5128" s="215" t="n">
        <v>45323</v>
      </c>
    </row>
    <row r="5129">
      <c r="A5129" s="215" t="n">
        <v>45324</v>
      </c>
      <c r="B5129" s="216" t="n">
        <v>60.4</v>
      </c>
      <c r="C5129" s="216" t="n">
        <v>85.72</v>
      </c>
      <c r="D5129" s="216" t="n">
        <v>1.110376000404358</v>
      </c>
      <c r="E5129" s="215" t="n">
        <v>45324</v>
      </c>
      <c r="F5129" s="215" t="n">
        <v>45324</v>
      </c>
    </row>
    <row r="5130">
      <c r="A5130" s="215" t="n">
        <v>45327</v>
      </c>
      <c r="B5130" s="216" t="n">
        <v>61</v>
      </c>
      <c r="C5130" s="216" t="n">
        <v>84.05</v>
      </c>
      <c r="D5130" s="216" t="n">
        <v>1.100926041603088</v>
      </c>
      <c r="E5130" s="215" t="n">
        <v>45327</v>
      </c>
      <c r="F5130" s="215" t="n">
        <v>45327</v>
      </c>
    </row>
    <row r="5131">
      <c r="A5131" s="215" t="n">
        <v>45328</v>
      </c>
      <c r="B5131" s="216" t="n">
        <v>65.7</v>
      </c>
      <c r="C5131" s="216" t="n">
        <v>89.56999999999999</v>
      </c>
      <c r="D5131" s="216" t="n">
        <v>1.097015976905823</v>
      </c>
      <c r="E5131" s="215" t="n">
        <v>45328</v>
      </c>
      <c r="F5131" s="215" t="n">
        <v>45328</v>
      </c>
    </row>
    <row r="5132">
      <c r="A5132" s="215" t="n">
        <v>45329</v>
      </c>
      <c r="B5132" s="216" t="n">
        <v>65.84999999999999</v>
      </c>
      <c r="C5132" s="216" t="n">
        <v>91.69</v>
      </c>
      <c r="D5132" s="216" t="n">
        <v>1.098708987236023</v>
      </c>
      <c r="E5132" s="215" t="n">
        <v>45329</v>
      </c>
      <c r="F5132" s="215" t="n">
        <v>45329</v>
      </c>
    </row>
    <row r="5133">
      <c r="A5133" s="215" t="n">
        <v>45330</v>
      </c>
      <c r="B5133" s="216" t="n">
        <v>64.55</v>
      </c>
      <c r="C5133" s="216" t="n">
        <v>91.59999999999999</v>
      </c>
      <c r="D5133" s="216" t="n">
        <v>1.100044012069702</v>
      </c>
      <c r="E5133" s="215" t="n">
        <v>45330</v>
      </c>
      <c r="F5133" s="215" t="n">
        <v>45330</v>
      </c>
    </row>
    <row r="5134">
      <c r="A5134" s="215" t="n">
        <v>45331</v>
      </c>
      <c r="B5134" s="216" t="n">
        <v>62.7</v>
      </c>
      <c r="C5134" s="216" t="n">
        <v>91.59999999999999</v>
      </c>
      <c r="D5134" s="216" t="n">
        <v>1.100633025169373</v>
      </c>
      <c r="E5134" s="215" t="n">
        <v>45330</v>
      </c>
      <c r="F5134" s="215" t="n">
        <v>45331</v>
      </c>
    </row>
    <row r="5135">
      <c r="A5135" s="215" t="n">
        <v>45336</v>
      </c>
      <c r="B5135" s="216" t="n">
        <v>59</v>
      </c>
      <c r="C5135" s="216" t="n">
        <v>91.59999999999999</v>
      </c>
      <c r="D5135" s="216" t="n">
        <v>1.093312978744507</v>
      </c>
      <c r="E5135" s="215" t="n">
        <v>45330</v>
      </c>
      <c r="F5135" s="215" t="n">
        <v>45336</v>
      </c>
    </row>
    <row r="5136">
      <c r="A5136" s="215" t="n">
        <v>45337</v>
      </c>
      <c r="B5136" s="216" t="n">
        <v>58.7</v>
      </c>
      <c r="C5136" s="216" t="n">
        <v>91.59999999999999</v>
      </c>
      <c r="D5136" s="216" t="n">
        <v>1.095546960830688</v>
      </c>
      <c r="E5136" s="215" t="n">
        <v>45330</v>
      </c>
      <c r="F5136" s="215" t="n">
        <v>45337</v>
      </c>
    </row>
    <row r="5137">
      <c r="A5137" s="215" t="n">
        <v>45338</v>
      </c>
      <c r="B5137" s="216" t="n">
        <v>63.7</v>
      </c>
      <c r="C5137" s="216" t="n">
        <v>91.59999999999999</v>
      </c>
      <c r="D5137" s="216" t="n">
        <v>1.100026965141296</v>
      </c>
      <c r="E5137" s="215" t="n">
        <v>45330</v>
      </c>
      <c r="F5137" s="215" t="n">
        <v>45338</v>
      </c>
    </row>
    <row r="5138">
      <c r="A5138" s="215" t="n">
        <v>45341</v>
      </c>
      <c r="B5138" s="216" t="n">
        <v>62.9</v>
      </c>
      <c r="C5138" s="216" t="n">
        <v>92.91</v>
      </c>
      <c r="D5138" s="216" t="n">
        <v>1.10134494304657</v>
      </c>
      <c r="E5138" s="215" t="n">
        <v>45341</v>
      </c>
      <c r="F5138" s="215" t="n">
        <v>45341</v>
      </c>
    </row>
    <row r="5139">
      <c r="A5139" s="215" t="n">
        <v>45342</v>
      </c>
      <c r="B5139" s="216" t="n">
        <v>65.05</v>
      </c>
      <c r="C5139" s="216" t="n">
        <v>95.22</v>
      </c>
      <c r="D5139" s="216" t="n">
        <v>1.100348949432373</v>
      </c>
      <c r="E5139" s="215" t="n">
        <v>45342</v>
      </c>
      <c r="F5139" s="215" t="n">
        <v>45342</v>
      </c>
    </row>
    <row r="5140">
      <c r="A5140" s="215" t="n">
        <v>45343</v>
      </c>
      <c r="B5140" s="216" t="n">
        <v>67.65000000000001</v>
      </c>
      <c r="C5140" s="216" t="n">
        <v>96.52</v>
      </c>
      <c r="D5140" s="216" t="n">
        <v>1.104022026062012</v>
      </c>
      <c r="E5140" s="215" t="n">
        <v>45343</v>
      </c>
      <c r="F5140" s="215" t="n">
        <v>45343</v>
      </c>
    </row>
    <row r="5141">
      <c r="A5141" s="215" t="n">
        <v>45344</v>
      </c>
      <c r="B5141" s="216" t="n">
        <v>68</v>
      </c>
      <c r="C5141" s="216" t="n">
        <v>97.05</v>
      </c>
      <c r="D5141" s="216" t="n">
        <v>1.104943990707397</v>
      </c>
      <c r="E5141" s="215" t="n">
        <v>45344</v>
      </c>
      <c r="F5141" s="215" t="n">
        <v>45344</v>
      </c>
    </row>
    <row r="5142">
      <c r="A5142" s="215" t="n">
        <v>45345</v>
      </c>
      <c r="B5142" s="216" t="n">
        <v>67.2</v>
      </c>
      <c r="C5142" s="216" t="n">
        <v>96.73</v>
      </c>
      <c r="D5142" s="216" t="n">
        <v>1.105702996253967</v>
      </c>
      <c r="E5142" s="215" t="n">
        <v>45345</v>
      </c>
      <c r="F5142" s="215" t="n">
        <v>45345</v>
      </c>
    </row>
    <row r="5143">
      <c r="A5143" s="215" t="n">
        <v>45348</v>
      </c>
      <c r="B5143" s="216" t="n">
        <v>69.8</v>
      </c>
      <c r="C5143" s="216" t="n">
        <v>100.38</v>
      </c>
      <c r="D5143" s="216" t="n">
        <v>1.105378985404968</v>
      </c>
      <c r="E5143" s="215" t="n">
        <v>45348</v>
      </c>
      <c r="F5143" s="215" t="n">
        <v>45348</v>
      </c>
    </row>
    <row r="5144">
      <c r="A5144" s="215" t="n">
        <v>45349</v>
      </c>
      <c r="B5144" s="216" t="n">
        <v>69.5</v>
      </c>
      <c r="C5144" s="216" t="n">
        <v>100.37</v>
      </c>
      <c r="D5144" s="216" t="n">
        <v>1.108508944511414</v>
      </c>
      <c r="E5144" s="215" t="n">
        <v>45349</v>
      </c>
      <c r="F5144" s="215" t="n">
        <v>45349</v>
      </c>
    </row>
    <row r="5145">
      <c r="A5145" s="215" t="n">
        <v>45350</v>
      </c>
      <c r="B5145" s="216" t="n">
        <v>67.8</v>
      </c>
      <c r="C5145" s="216" t="n">
        <v>99.55</v>
      </c>
      <c r="D5145" s="216" t="n">
        <v>1.107692956924438</v>
      </c>
      <c r="E5145" s="215" t="n">
        <v>45350</v>
      </c>
      <c r="F5145" s="215" t="n">
        <v>45350</v>
      </c>
    </row>
    <row r="5146">
      <c r="A5146" s="215" t="n">
        <v>45351</v>
      </c>
      <c r="B5146" s="216" t="n">
        <v>68.65000000000001</v>
      </c>
      <c r="C5146" s="216" t="n">
        <v>101.6</v>
      </c>
      <c r="D5146" s="216" t="n">
        <v>1.107548952102661</v>
      </c>
      <c r="E5146" s="215" t="n">
        <v>45351</v>
      </c>
      <c r="F5146" s="215" t="n">
        <v>45351</v>
      </c>
    </row>
    <row r="5147">
      <c r="A5147" s="215" t="n">
        <v>45352</v>
      </c>
      <c r="B5147" s="216" t="n">
        <v>70.25</v>
      </c>
      <c r="C5147" s="216" t="n">
        <v>102.24</v>
      </c>
      <c r="D5147" s="216" t="n">
        <v>1.104398965835571</v>
      </c>
      <c r="E5147" s="215" t="n">
        <v>45352</v>
      </c>
      <c r="F5147" s="215" t="n">
        <v>45352</v>
      </c>
    </row>
    <row r="5148">
      <c r="A5148" s="215" t="n">
        <v>45355</v>
      </c>
      <c r="B5148" s="216" t="n">
        <v>72.59999999999999</v>
      </c>
      <c r="C5148" s="216" t="n">
        <v>108.42</v>
      </c>
      <c r="D5148" s="216" t="n">
        <v>1.108315944671631</v>
      </c>
      <c r="E5148" s="215" t="n">
        <v>45355</v>
      </c>
      <c r="F5148" s="215" t="n">
        <v>45355</v>
      </c>
    </row>
    <row r="5149">
      <c r="A5149" s="215" t="n">
        <v>45356</v>
      </c>
      <c r="B5149" s="216" t="n">
        <v>69.2</v>
      </c>
      <c r="C5149" s="216" t="n">
        <v>104.04</v>
      </c>
      <c r="D5149" s="216" t="n">
        <v>1.109019041061401</v>
      </c>
      <c r="E5149" s="215" t="n">
        <v>45356</v>
      </c>
      <c r="F5149" s="215" t="n">
        <v>45356</v>
      </c>
    </row>
    <row r="5150">
      <c r="A5150" s="215" t="n">
        <v>45357</v>
      </c>
      <c r="B5150" s="216" t="n">
        <v>71.90000000000001</v>
      </c>
      <c r="C5150" s="216" t="n">
        <v>104</v>
      </c>
      <c r="D5150" s="216" t="n">
        <v>1.10906994342804</v>
      </c>
      <c r="E5150" s="215" t="n">
        <v>45357</v>
      </c>
      <c r="F5150" s="215" t="n">
        <v>45357</v>
      </c>
    </row>
    <row r="5151">
      <c r="A5151" s="215" t="n">
        <v>45358</v>
      </c>
      <c r="B5151" s="216" t="n">
        <v>69.75</v>
      </c>
      <c r="C5151" s="216" t="n">
        <v>96.51000000000001</v>
      </c>
      <c r="D5151" s="216" t="n">
        <v>1.113453984260559</v>
      </c>
      <c r="E5151" s="215" t="n">
        <v>45358</v>
      </c>
      <c r="F5151" s="215" t="n">
        <v>45358</v>
      </c>
    </row>
    <row r="5152">
      <c r="A5152" s="215" t="n">
        <v>45359</v>
      </c>
      <c r="B5152" s="216" t="n">
        <v>71.3</v>
      </c>
      <c r="C5152" s="216" t="n">
        <v>98.29000000000001</v>
      </c>
      <c r="D5152" s="216" t="n">
        <v>1.118204951286316</v>
      </c>
      <c r="E5152" s="215" t="n">
        <v>45359</v>
      </c>
      <c r="F5152" s="215" t="n">
        <v>45359</v>
      </c>
    </row>
    <row r="5153">
      <c r="A5153" s="215" t="n">
        <v>45362</v>
      </c>
      <c r="B5153" s="216" t="n">
        <v>72.59999999999999</v>
      </c>
      <c r="C5153" s="216" t="n">
        <v>102.37</v>
      </c>
      <c r="D5153" s="216" t="n">
        <v>1.117454051971436</v>
      </c>
      <c r="E5153" s="215" t="n">
        <v>45362</v>
      </c>
      <c r="F5153" s="215" t="n">
        <v>45362</v>
      </c>
    </row>
    <row r="5154">
      <c r="A5154" s="215" t="n">
        <v>45363</v>
      </c>
      <c r="B5154" s="216" t="n">
        <v>73.84999999999999</v>
      </c>
      <c r="C5154" s="216" t="n">
        <v>104.71</v>
      </c>
      <c r="D5154" s="216" t="n">
        <v>1.116387009620667</v>
      </c>
      <c r="E5154" s="215" t="n">
        <v>45363</v>
      </c>
      <c r="F5154" s="215" t="n">
        <v>45363</v>
      </c>
    </row>
    <row r="5155">
      <c r="A5155" s="215" t="n">
        <v>45364</v>
      </c>
      <c r="B5155" s="216" t="n">
        <v>74.90000000000001</v>
      </c>
      <c r="C5155" s="216" t="n">
        <v>102.7</v>
      </c>
      <c r="D5155" s="216" t="n">
        <v>1.116310954093933</v>
      </c>
      <c r="E5155" s="215" t="n">
        <v>45364</v>
      </c>
      <c r="F5155" s="215" t="n">
        <v>45364</v>
      </c>
    </row>
    <row r="5156">
      <c r="A5156" s="215" t="n">
        <v>45365</v>
      </c>
      <c r="B5156" s="216" t="n">
        <v>71.8</v>
      </c>
      <c r="C5156" s="216" t="n">
        <v>101.22</v>
      </c>
      <c r="D5156" s="216" t="n">
        <v>1.118636012077332</v>
      </c>
      <c r="E5156" s="215" t="n">
        <v>45365</v>
      </c>
      <c r="F5156" s="215" t="n">
        <v>45365</v>
      </c>
    </row>
    <row r="5157">
      <c r="A5157" s="215" t="n">
        <v>45366</v>
      </c>
      <c r="B5157" s="216" t="n">
        <v>69.75</v>
      </c>
      <c r="C5157" s="216" t="n">
        <v>100</v>
      </c>
      <c r="D5157" s="216" t="n">
        <v>1.111673951148987</v>
      </c>
      <c r="E5157" s="215" t="n">
        <v>45366</v>
      </c>
      <c r="F5157" s="215" t="n">
        <v>45366</v>
      </c>
    </row>
    <row r="5158">
      <c r="A5158" s="215" t="n">
        <v>45369</v>
      </c>
      <c r="B5158" s="216" t="n">
        <v>71.65000000000001</v>
      </c>
      <c r="C5158" s="216" t="n">
        <v>101.09</v>
      </c>
      <c r="D5158" s="216" t="n">
        <v>1.111489057540894</v>
      </c>
      <c r="E5158" s="215" t="n">
        <v>45369</v>
      </c>
      <c r="F5158" s="215" t="n">
        <v>45369</v>
      </c>
    </row>
    <row r="5159">
      <c r="A5159" s="215" t="n">
        <v>45370</v>
      </c>
      <c r="B5159" s="216" t="n">
        <v>67.59999999999999</v>
      </c>
      <c r="C5159" s="216" t="n">
        <v>97.86</v>
      </c>
      <c r="D5159" s="216" t="n">
        <v>1.110030055046082</v>
      </c>
      <c r="E5159" s="215" t="n">
        <v>45370</v>
      </c>
      <c r="F5159" s="215" t="n">
        <v>45370</v>
      </c>
    </row>
    <row r="5160">
      <c r="A5160" s="215" t="n">
        <v>45371</v>
      </c>
      <c r="B5160" s="216" t="n">
        <v>68</v>
      </c>
      <c r="C5160" s="216" t="n">
        <v>97.8</v>
      </c>
      <c r="D5160" s="216" t="n">
        <v>1.101261973381042</v>
      </c>
      <c r="E5160" s="215" t="n">
        <v>45371</v>
      </c>
      <c r="F5160" s="215" t="n">
        <v>45371</v>
      </c>
    </row>
    <row r="5161">
      <c r="A5161" s="215" t="n">
        <v>45372</v>
      </c>
      <c r="B5161" s="216" t="n">
        <v>68.34999999999999</v>
      </c>
      <c r="C5161" s="216" t="n">
        <v>96.23999999999999</v>
      </c>
      <c r="D5161" s="216" t="n">
        <v>1.101251006126404</v>
      </c>
      <c r="E5161" s="215" t="n">
        <v>45372</v>
      </c>
      <c r="F5161" s="215" t="n">
        <v>45372</v>
      </c>
    </row>
    <row r="5162">
      <c r="A5162" s="215" t="n">
        <v>45373</v>
      </c>
      <c r="B5162" s="216" t="n">
        <v>66.8</v>
      </c>
      <c r="C5162" s="216" t="n">
        <v>93.59999999999999</v>
      </c>
      <c r="D5162" s="216" t="n">
        <v>1.100389957427979</v>
      </c>
      <c r="E5162" s="215" t="n">
        <v>45373</v>
      </c>
      <c r="F5162" s="215" t="n">
        <v>45373</v>
      </c>
    </row>
    <row r="5163">
      <c r="A5163" s="215" t="n">
        <v>45376</v>
      </c>
      <c r="B5163" s="216" t="n">
        <v>65.40000000000001</v>
      </c>
      <c r="C5163" s="216" t="n">
        <v>93.31</v>
      </c>
      <c r="D5163" s="216" t="n">
        <v>1.093554973602295</v>
      </c>
      <c r="E5163" s="215" t="n">
        <v>45376</v>
      </c>
      <c r="F5163" s="215" t="n">
        <v>45376</v>
      </c>
    </row>
    <row r="5164">
      <c r="A5164" s="215" t="n">
        <v>45377</v>
      </c>
      <c r="B5164" s="216" t="n">
        <v>63.65</v>
      </c>
      <c r="C5164" s="216" t="n">
        <v>91.63</v>
      </c>
      <c r="D5164" s="216" t="n">
        <v>1.097866058349609</v>
      </c>
      <c r="E5164" s="215" t="n">
        <v>45377</v>
      </c>
      <c r="F5164" s="215" t="n">
        <v>45377</v>
      </c>
    </row>
    <row r="5165">
      <c r="A5165" s="215" t="n">
        <v>45378</v>
      </c>
      <c r="B5165" s="216" t="n">
        <v>61.25</v>
      </c>
      <c r="C5165" s="216" t="n">
        <v>89.41</v>
      </c>
      <c r="D5165" s="216" t="n">
        <v>1.099439024925232</v>
      </c>
      <c r="E5165" s="215" t="n">
        <v>45378</v>
      </c>
      <c r="F5165" s="215" t="n">
        <v>45378</v>
      </c>
    </row>
    <row r="5166">
      <c r="A5166" s="215" t="n">
        <v>45379</v>
      </c>
      <c r="B5166" s="216" t="n">
        <v>61.5</v>
      </c>
      <c r="C5166" s="216" t="n">
        <v>89.3</v>
      </c>
      <c r="D5166" s="216" t="n">
        <v>1.099169969558716</v>
      </c>
      <c r="E5166" s="215" t="n">
        <v>45379</v>
      </c>
      <c r="F5166" s="215" t="n">
        <v>45379</v>
      </c>
    </row>
    <row r="5167">
      <c r="A5167" s="215" t="n">
        <v>45384</v>
      </c>
      <c r="B5167" s="216" t="n">
        <v>60.2</v>
      </c>
      <c r="C5167" s="216" t="n">
        <v>85.2</v>
      </c>
      <c r="D5167" s="216" t="n">
        <v>1.095656037330627</v>
      </c>
      <c r="E5167" s="215" t="n">
        <v>45384</v>
      </c>
      <c r="F5167" s="215" t="n">
        <v>45384</v>
      </c>
    </row>
    <row r="5168">
      <c r="A5168" s="215" t="n">
        <v>45385</v>
      </c>
      <c r="B5168" s="216" t="n">
        <v>62.5</v>
      </c>
      <c r="C5168" s="216" t="n">
        <v>85.09</v>
      </c>
      <c r="D5168" s="216" t="n">
        <v>1.103147983551025</v>
      </c>
      <c r="E5168" s="215" t="n">
        <v>45385</v>
      </c>
      <c r="F5168" s="215" t="n">
        <v>45385</v>
      </c>
    </row>
    <row r="5169">
      <c r="A5169" s="215" t="n">
        <v>45387</v>
      </c>
      <c r="B5169" s="216" t="n">
        <v>59.05</v>
      </c>
      <c r="C5169" s="216" t="n">
        <v>85.09</v>
      </c>
      <c r="D5169" s="216" t="n">
        <v>1.102897047996521</v>
      </c>
      <c r="E5169" s="215" t="n">
        <v>45385</v>
      </c>
      <c r="F5169" s="215" t="n">
        <v>45387</v>
      </c>
    </row>
    <row r="5170">
      <c r="A5170" s="215" t="n">
        <v>45390</v>
      </c>
      <c r="B5170" s="216" t="n">
        <v>60.7</v>
      </c>
      <c r="C5170" s="216" t="n">
        <v>80.86</v>
      </c>
      <c r="D5170" s="216" t="n">
        <v>1.103929996490479</v>
      </c>
      <c r="E5170" s="215" t="n">
        <v>45390</v>
      </c>
      <c r="F5170" s="215" t="n">
        <v>45390</v>
      </c>
    </row>
    <row r="5171">
      <c r="A5171" s="215" t="n">
        <v>45391</v>
      </c>
      <c r="B5171" s="216" t="n">
        <v>64</v>
      </c>
      <c r="C5171" s="216" t="n">
        <v>82.93000000000001</v>
      </c>
      <c r="D5171" s="216" t="n">
        <v>1.104424953460693</v>
      </c>
      <c r="E5171" s="215" t="n">
        <v>45391</v>
      </c>
      <c r="F5171" s="215" t="n">
        <v>45391</v>
      </c>
    </row>
    <row r="5172">
      <c r="A5172" s="215" t="n">
        <v>45392</v>
      </c>
      <c r="B5172" s="216" t="n">
        <v>64.40000000000001</v>
      </c>
      <c r="C5172" s="216" t="n">
        <v>81.2</v>
      </c>
      <c r="D5172" s="216" t="n">
        <v>1.10468602180481</v>
      </c>
      <c r="E5172" s="215" t="n">
        <v>45392</v>
      </c>
      <c r="F5172" s="215" t="n">
        <v>45392</v>
      </c>
    </row>
    <row r="5173">
      <c r="A5173" s="215" t="n">
        <v>45393</v>
      </c>
      <c r="B5173" s="216" t="n">
        <v>61.75</v>
      </c>
      <c r="C5173" s="216" t="n">
        <v>79.44</v>
      </c>
      <c r="D5173" s="216" t="n">
        <v>1.102126002311707</v>
      </c>
      <c r="E5173" s="215" t="n">
        <v>45393</v>
      </c>
      <c r="F5173" s="215" t="n">
        <v>45393</v>
      </c>
    </row>
    <row r="5174">
      <c r="A5174" s="215" t="n">
        <v>45394</v>
      </c>
      <c r="B5174" s="216" t="n">
        <v>60.7</v>
      </c>
      <c r="C5174" s="216" t="n">
        <v>77.2</v>
      </c>
      <c r="D5174" s="216" t="n">
        <v>1.104213953018188</v>
      </c>
      <c r="E5174" s="215" t="n">
        <v>45394</v>
      </c>
      <c r="F5174" s="215" t="n">
        <v>45394</v>
      </c>
    </row>
    <row r="5175">
      <c r="A5175" s="215" t="n">
        <v>45397</v>
      </c>
      <c r="B5175" s="216" t="n">
        <v>59.6</v>
      </c>
      <c r="C5175" s="216" t="n">
        <v>77.59999999999999</v>
      </c>
      <c r="D5175" s="216" t="n">
        <v>1.102975010871887</v>
      </c>
      <c r="E5175" s="215" t="n">
        <v>45397</v>
      </c>
      <c r="F5175" s="215" t="n">
        <v>45397</v>
      </c>
    </row>
    <row r="5176">
      <c r="A5176" s="215" t="n">
        <v>45398</v>
      </c>
      <c r="B5176" s="216" t="n">
        <v>58.2</v>
      </c>
      <c r="C5176" s="216" t="n">
        <v>75.98</v>
      </c>
      <c r="D5176" s="216" t="n">
        <v>1.102668046951294</v>
      </c>
      <c r="E5176" s="215" t="n">
        <v>45398</v>
      </c>
      <c r="F5176" s="215" t="n">
        <v>45398</v>
      </c>
    </row>
    <row r="5177">
      <c r="A5177" s="215" t="n">
        <v>45399</v>
      </c>
      <c r="B5177" s="216" t="n">
        <v>59.5</v>
      </c>
      <c r="C5177" s="216" t="n">
        <v>78.31999999999999</v>
      </c>
      <c r="D5177" s="216" t="n">
        <v>1.101709961891174</v>
      </c>
      <c r="E5177" s="215" t="n">
        <v>45399</v>
      </c>
      <c r="F5177" s="215" t="n">
        <v>45399</v>
      </c>
    </row>
    <row r="5178">
      <c r="A5178" s="215" t="n">
        <v>45400</v>
      </c>
      <c r="B5178" s="216" t="n">
        <v>60</v>
      </c>
      <c r="C5178" s="216" t="n">
        <v>78.41</v>
      </c>
      <c r="D5178" s="216" t="n">
        <v>1.104182004928589</v>
      </c>
      <c r="E5178" s="215" t="n">
        <v>45400</v>
      </c>
      <c r="F5178" s="215" t="n">
        <v>45400</v>
      </c>
    </row>
    <row r="5179">
      <c r="A5179" s="215" t="n">
        <v>45401</v>
      </c>
      <c r="B5179" s="216" t="n">
        <v>57.6</v>
      </c>
      <c r="C5179" s="216" t="n">
        <v>76.59999999999999</v>
      </c>
      <c r="D5179" s="216" t="n">
        <v>1.103330016136169</v>
      </c>
      <c r="E5179" s="215" t="n">
        <v>45401</v>
      </c>
      <c r="F5179" s="215" t="n">
        <v>45401</v>
      </c>
    </row>
    <row r="5180">
      <c r="A5180" s="215" t="n">
        <v>45404</v>
      </c>
      <c r="B5180" s="216" t="n">
        <v>59.5</v>
      </c>
      <c r="C5180" s="216" t="n">
        <v>76.77</v>
      </c>
      <c r="D5180" s="216" t="n">
        <v>1.104303956031799</v>
      </c>
      <c r="E5180" s="215" t="n">
        <v>45404</v>
      </c>
      <c r="F5180" s="215" t="n">
        <v>45404</v>
      </c>
    </row>
    <row r="5181">
      <c r="A5181" s="215" t="n">
        <v>45405</v>
      </c>
      <c r="B5181" s="216" t="n">
        <v>59.15</v>
      </c>
      <c r="C5181" s="216" t="n">
        <v>77.18000000000001</v>
      </c>
      <c r="D5181" s="216" t="n">
        <v>1.103582978248596</v>
      </c>
      <c r="E5181" s="215" t="n">
        <v>45405</v>
      </c>
      <c r="F5181" s="215" t="n">
        <v>45405</v>
      </c>
    </row>
    <row r="5182">
      <c r="A5182" s="215" t="n">
        <v>45406</v>
      </c>
      <c r="B5182" s="216" t="n">
        <v>59.2</v>
      </c>
      <c r="C5182" s="216" t="n">
        <v>77.31999999999999</v>
      </c>
      <c r="D5182" s="216" t="n">
        <v>1.103708982467651</v>
      </c>
      <c r="E5182" s="215" t="n">
        <v>45406</v>
      </c>
      <c r="F5182" s="215" t="n">
        <v>45406</v>
      </c>
    </row>
    <row r="5183">
      <c r="A5183" s="215" t="n">
        <v>45407</v>
      </c>
      <c r="B5183" s="216" t="n">
        <v>59</v>
      </c>
      <c r="C5183" s="216" t="n">
        <v>76.86</v>
      </c>
      <c r="D5183" s="216" t="n">
        <v>1.101104021072388</v>
      </c>
      <c r="E5183" s="215" t="n">
        <v>45407</v>
      </c>
      <c r="F5183" s="215" t="n">
        <v>45407</v>
      </c>
    </row>
    <row r="5184">
      <c r="A5184" s="215" t="n">
        <v>45408</v>
      </c>
      <c r="B5184" s="216" t="n">
        <v>63.35</v>
      </c>
      <c r="C5184" s="216" t="n">
        <v>80.98999999999999</v>
      </c>
      <c r="D5184" s="216" t="n">
        <v>1.103947043418884</v>
      </c>
      <c r="E5184" s="215" t="n">
        <v>45408</v>
      </c>
      <c r="F5184" s="215" t="n">
        <v>45408</v>
      </c>
    </row>
    <row r="5185">
      <c r="A5185" s="215" t="n">
        <v>45411</v>
      </c>
      <c r="B5185" s="216" t="n">
        <v>64.09999999999999</v>
      </c>
      <c r="C5185" s="216" t="n">
        <v>84.18000000000001</v>
      </c>
      <c r="D5185" s="216" t="n">
        <v>1.10208797454834</v>
      </c>
      <c r="E5185" s="215" t="n">
        <v>45411</v>
      </c>
      <c r="F5185" s="215" t="n">
        <v>45411</v>
      </c>
    </row>
    <row r="5186">
      <c r="A5186" s="215" t="n">
        <v>45412</v>
      </c>
      <c r="B5186" s="216" t="n">
        <v>64.15000000000001</v>
      </c>
      <c r="C5186" s="216" t="n">
        <v>82.65000000000001</v>
      </c>
      <c r="D5186" s="216" t="n">
        <v>1.103922009468079</v>
      </c>
      <c r="E5186" s="215" t="n">
        <v>45412</v>
      </c>
      <c r="F5186" s="215" t="n">
        <v>45412</v>
      </c>
    </row>
    <row r="5187">
      <c r="A5187" s="215" t="n">
        <v>45414</v>
      </c>
      <c r="B5187" s="216" t="n">
        <v>66.59999999999999</v>
      </c>
      <c r="C5187" s="216" t="n">
        <v>82.65000000000001</v>
      </c>
      <c r="D5187" s="216" t="n">
        <v>1.108636021614075</v>
      </c>
      <c r="E5187" s="215" t="n">
        <v>45412</v>
      </c>
      <c r="F5187" s="215" t="n">
        <v>45414</v>
      </c>
    </row>
    <row r="5188">
      <c r="A5188" s="215" t="n">
        <v>45415</v>
      </c>
      <c r="B5188" s="216" t="n">
        <v>63.5</v>
      </c>
      <c r="C5188" s="216" t="n">
        <v>82.65000000000001</v>
      </c>
      <c r="D5188" s="216" t="n">
        <v>1.106081008911133</v>
      </c>
      <c r="E5188" s="215" t="n">
        <v>45412</v>
      </c>
      <c r="F5188" s="215" t="n">
        <v>45415</v>
      </c>
    </row>
    <row r="5189">
      <c r="A5189" s="215" t="n">
        <v>45418</v>
      </c>
      <c r="B5189" s="216" t="n">
        <v>65.45</v>
      </c>
      <c r="C5189" s="216" t="n">
        <v>84.95999999999999</v>
      </c>
      <c r="D5189" s="216" t="n">
        <v>1.106592059135437</v>
      </c>
      <c r="E5189" s="215" t="n">
        <v>45418</v>
      </c>
      <c r="F5189" s="215" t="n">
        <v>45418</v>
      </c>
    </row>
    <row r="5190">
      <c r="A5190" s="215" t="n">
        <v>45419</v>
      </c>
      <c r="B5190" s="216" t="n">
        <v>65</v>
      </c>
      <c r="C5190" s="216" t="n">
        <v>85.59999999999999</v>
      </c>
      <c r="D5190" s="216" t="n">
        <v>1.104128956794739</v>
      </c>
      <c r="E5190" s="215" t="n">
        <v>45419</v>
      </c>
      <c r="F5190" s="215" t="n">
        <v>45419</v>
      </c>
    </row>
    <row r="5191">
      <c r="A5191" s="215" t="n">
        <v>45420</v>
      </c>
      <c r="B5191" s="216" t="n">
        <v>62.35</v>
      </c>
      <c r="C5191" s="216" t="n">
        <v>84.27</v>
      </c>
      <c r="D5191" s="216" t="n">
        <v>1.10300600528717</v>
      </c>
      <c r="E5191" s="215" t="n">
        <v>45420</v>
      </c>
      <c r="F5191" s="215" t="n">
        <v>45420</v>
      </c>
    </row>
    <row r="5192">
      <c r="A5192" s="215" t="n">
        <v>45421</v>
      </c>
      <c r="B5192" s="216" t="n">
        <v>64.5</v>
      </c>
      <c r="C5192" s="216" t="n">
        <v>85.01000000000001</v>
      </c>
      <c r="D5192" s="216" t="n">
        <v>1.103181958198547</v>
      </c>
      <c r="E5192" s="215" t="n">
        <v>45421</v>
      </c>
      <c r="F5192" s="215" t="n">
        <v>45421</v>
      </c>
    </row>
    <row r="5193">
      <c r="A5193" s="215" t="n">
        <v>45422</v>
      </c>
      <c r="B5193" s="216" t="n">
        <v>64</v>
      </c>
      <c r="C5193" s="216" t="n">
        <v>83.51000000000001</v>
      </c>
      <c r="D5193" s="216" t="n">
        <v>1.104058980941772</v>
      </c>
      <c r="E5193" s="215" t="n">
        <v>45422</v>
      </c>
      <c r="F5193" s="215" t="n">
        <v>45422</v>
      </c>
    </row>
    <row r="5194">
      <c r="A5194" s="215" t="n">
        <v>45425</v>
      </c>
      <c r="B5194" s="216" t="n">
        <v>64.75</v>
      </c>
      <c r="C5194" s="216" t="n">
        <v>82.5</v>
      </c>
      <c r="D5194" s="216" t="n">
        <v>1.10149097442627</v>
      </c>
      <c r="E5194" s="215" t="n">
        <v>45425</v>
      </c>
      <c r="F5194" s="215" t="n">
        <v>45425</v>
      </c>
    </row>
    <row r="5195">
      <c r="A5195" s="215" t="n">
        <v>45426</v>
      </c>
      <c r="B5195" s="216" t="n">
        <v>64.05</v>
      </c>
      <c r="C5195" s="216" t="n">
        <v>82.39</v>
      </c>
      <c r="D5195" s="216" t="n">
        <v>1.101179957389832</v>
      </c>
      <c r="E5195" s="215" t="n">
        <v>45426</v>
      </c>
      <c r="F5195" s="215" t="n">
        <v>45426</v>
      </c>
    </row>
    <row r="5196">
      <c r="A5196" s="215" t="n">
        <v>45428</v>
      </c>
      <c r="B5196" s="216" t="n">
        <v>64.15000000000001</v>
      </c>
      <c r="C5196" s="216" t="n">
        <v>82.42</v>
      </c>
      <c r="D5196" s="216" t="n">
        <v>1.104424953460693</v>
      </c>
      <c r="E5196" s="215" t="n">
        <v>45428</v>
      </c>
      <c r="F5196" s="215" t="n">
        <v>45428</v>
      </c>
    </row>
    <row r="5197">
      <c r="A5197" s="215" t="n">
        <v>45429</v>
      </c>
      <c r="B5197" s="216" t="n">
        <v>64.3</v>
      </c>
      <c r="C5197" s="216" t="n">
        <v>80.84</v>
      </c>
      <c r="D5197" s="216" t="n">
        <v>1.100981950759888</v>
      </c>
      <c r="E5197" s="215" t="n">
        <v>45429</v>
      </c>
      <c r="F5197" s="215" t="n">
        <v>45429</v>
      </c>
    </row>
    <row r="5198">
      <c r="A5198" s="215" t="n">
        <v>45432</v>
      </c>
      <c r="B5198" s="216" t="n">
        <v>64.40000000000001</v>
      </c>
      <c r="C5198" s="216" t="n">
        <v>82.25</v>
      </c>
      <c r="D5198" s="216" t="n">
        <v>1.103283047676086</v>
      </c>
      <c r="E5198" s="215" t="n">
        <v>45432</v>
      </c>
      <c r="F5198" s="215" t="n">
        <v>45432</v>
      </c>
    </row>
    <row r="5199">
      <c r="A5199" s="215" t="n">
        <v>45433</v>
      </c>
      <c r="B5199" s="216" t="n">
        <v>60</v>
      </c>
      <c r="C5199" s="216" t="n">
        <v>81.02</v>
      </c>
      <c r="D5199" s="216" t="n">
        <v>1.099310994148254</v>
      </c>
      <c r="E5199" s="215" t="n">
        <v>45433</v>
      </c>
      <c r="F5199" s="215" t="n">
        <v>45433</v>
      </c>
    </row>
    <row r="5200">
      <c r="A5200" s="215" t="n">
        <v>45434</v>
      </c>
      <c r="B5200" s="216" t="n">
        <v>60.4</v>
      </c>
      <c r="C5200" s="216" t="n">
        <v>80.52</v>
      </c>
      <c r="D5200" s="216" t="n">
        <v>1.099982023239136</v>
      </c>
      <c r="E5200" s="215" t="n">
        <v>45434</v>
      </c>
      <c r="F5200" s="215" t="n">
        <v>45434</v>
      </c>
    </row>
    <row r="5201">
      <c r="A5201" s="215" t="n">
        <v>45435</v>
      </c>
      <c r="B5201" s="216" t="n">
        <v>58.2</v>
      </c>
      <c r="C5201" s="216" t="n">
        <v>78.98</v>
      </c>
      <c r="D5201" s="216" t="n">
        <v>1.09967303276062</v>
      </c>
      <c r="E5201" s="215" t="n">
        <v>45435</v>
      </c>
      <c r="F5201" s="215" t="n">
        <v>45435</v>
      </c>
    </row>
    <row r="5202">
      <c r="A5202" s="215" t="n">
        <v>45436</v>
      </c>
      <c r="B5202" s="216" t="n">
        <v>55.5</v>
      </c>
      <c r="C5202" s="216" t="n">
        <v>77.3</v>
      </c>
      <c r="D5202" s="216" t="n">
        <v>1.09811794757843</v>
      </c>
      <c r="E5202" s="215" t="n">
        <v>45436</v>
      </c>
      <c r="F5202" s="215" t="n">
        <v>45436</v>
      </c>
    </row>
    <row r="5203">
      <c r="A5203" s="215" t="n">
        <v>45439</v>
      </c>
      <c r="B5203" s="216" t="n">
        <v>55</v>
      </c>
      <c r="C5203" s="216" t="n">
        <v>76.59999999999999</v>
      </c>
      <c r="D5203" s="216" t="n">
        <v>1.100759029388428</v>
      </c>
      <c r="E5203" s="215" t="n">
        <v>45439</v>
      </c>
      <c r="F5203" s="215" t="n">
        <v>45439</v>
      </c>
    </row>
    <row r="5204">
      <c r="A5204" s="215" t="n">
        <v>45440</v>
      </c>
      <c r="B5204" s="216" t="n">
        <v>54.7</v>
      </c>
      <c r="C5204" s="216" t="n">
        <v>76.34999999999999</v>
      </c>
      <c r="D5204" s="216" t="n">
        <v>1.101151943206787</v>
      </c>
      <c r="E5204" s="215" t="n">
        <v>45440</v>
      </c>
      <c r="F5204" s="215" t="n">
        <v>45440</v>
      </c>
    </row>
    <row r="5205">
      <c r="A5205" s="215" t="n">
        <v>45441</v>
      </c>
      <c r="B5205" s="216" t="n">
        <v>54.7</v>
      </c>
      <c r="C5205" s="216" t="n">
        <v>76.93000000000001</v>
      </c>
      <c r="D5205" s="216" t="n">
        <v>1.101042032241821</v>
      </c>
      <c r="E5205" s="215" t="n">
        <v>45441</v>
      </c>
      <c r="F5205" s="215" t="n">
        <v>45441</v>
      </c>
    </row>
    <row r="5206">
      <c r="A5206" s="215" t="n">
        <v>45442</v>
      </c>
      <c r="B5206" s="216" t="n">
        <v>53.55</v>
      </c>
      <c r="C5206" s="216" t="n">
        <v>76.36</v>
      </c>
      <c r="D5206" s="216" t="n">
        <v>1.096346020698547</v>
      </c>
      <c r="E5206" s="215" t="n">
        <v>45442</v>
      </c>
      <c r="F5206" s="215" t="n">
        <v>45442</v>
      </c>
    </row>
    <row r="5207">
      <c r="A5207" s="215" t="n">
        <v>45443</v>
      </c>
      <c r="B5207" s="216" t="n">
        <v>53.9</v>
      </c>
      <c r="C5207" s="216" t="n">
        <v>76.69</v>
      </c>
      <c r="D5207" s="216" t="n">
        <v>1.099722981452942</v>
      </c>
      <c r="E5207" s="215" t="n">
        <v>45443</v>
      </c>
      <c r="F5207" s="215" t="n">
        <v>45443</v>
      </c>
    </row>
    <row r="5208">
      <c r="A5208" s="215" t="n">
        <v>45446</v>
      </c>
      <c r="B5208" s="216" t="n">
        <v>53.25</v>
      </c>
      <c r="C5208" s="216" t="n">
        <v>75.09999999999999</v>
      </c>
      <c r="D5208" s="216" t="n">
        <v>1.102306008338928</v>
      </c>
      <c r="E5208" s="215" t="n">
        <v>45446</v>
      </c>
      <c r="F5208" s="215" t="n">
        <v>45446</v>
      </c>
    </row>
    <row r="5209">
      <c r="A5209" s="215" t="n">
        <v>45447</v>
      </c>
      <c r="B5209" s="216" t="n">
        <v>54.75</v>
      </c>
      <c r="C5209" s="216" t="n">
        <v>76.83</v>
      </c>
      <c r="D5209" s="216" t="n">
        <v>1.107933044433594</v>
      </c>
      <c r="E5209" s="215" t="n">
        <v>45447</v>
      </c>
      <c r="F5209" s="215" t="n">
        <v>45447</v>
      </c>
    </row>
    <row r="5210">
      <c r="A5210" s="215" t="n">
        <v>45448</v>
      </c>
      <c r="B5210" s="216" t="n">
        <v>54.35</v>
      </c>
      <c r="C5210" s="216" t="n">
        <v>75.95999999999999</v>
      </c>
      <c r="D5210" s="216" t="n">
        <v>1.104397058486938</v>
      </c>
      <c r="E5210" s="215" t="n">
        <v>45448</v>
      </c>
      <c r="F5210" s="215" t="n">
        <v>45448</v>
      </c>
    </row>
    <row r="5211">
      <c r="A5211" s="215" t="n">
        <v>45449</v>
      </c>
      <c r="B5211" s="216" t="n">
        <v>53.4</v>
      </c>
      <c r="C5211" s="216" t="n">
        <v>74.53</v>
      </c>
      <c r="D5211" s="216" t="n">
        <v>1.099522948265076</v>
      </c>
      <c r="E5211" s="215" t="n">
        <v>45449</v>
      </c>
      <c r="F5211" s="215" t="n">
        <v>45449</v>
      </c>
    </row>
    <row r="5212">
      <c r="A5212" s="215" t="n">
        <v>45450</v>
      </c>
      <c r="B5212" s="216" t="n">
        <v>53</v>
      </c>
      <c r="C5212" s="216" t="n">
        <v>74.11</v>
      </c>
      <c r="D5212" s="216" t="n">
        <v>1.099043965339661</v>
      </c>
      <c r="E5212" s="215" t="n">
        <v>45450</v>
      </c>
      <c r="F5212" s="215" t="n">
        <v>45450</v>
      </c>
    </row>
    <row r="5213">
      <c r="A5213" s="215" t="n">
        <v>45454</v>
      </c>
      <c r="B5213" s="216" t="n">
        <v>53</v>
      </c>
      <c r="C5213" s="216" t="n">
        <v>74.88</v>
      </c>
      <c r="D5213" s="216" t="n">
        <v>1.098870992660522</v>
      </c>
      <c r="E5213" s="215" t="n">
        <v>45454</v>
      </c>
      <c r="F5213" s="215" t="n">
        <v>45454</v>
      </c>
    </row>
    <row r="5214">
      <c r="A5214" s="215" t="n">
        <v>45455</v>
      </c>
      <c r="B5214" s="216" t="n">
        <v>55.15</v>
      </c>
      <c r="C5214" s="216" t="n">
        <v>79.02</v>
      </c>
      <c r="D5214" s="216" t="n">
        <v>1.098610043525696</v>
      </c>
      <c r="E5214" s="215" t="n">
        <v>45455</v>
      </c>
      <c r="F5214" s="215" t="n">
        <v>45455</v>
      </c>
    </row>
    <row r="5215">
      <c r="A5215" s="215" t="n">
        <v>45456</v>
      </c>
      <c r="B5215" s="216" t="n">
        <v>52.75</v>
      </c>
      <c r="C5215" s="216" t="n">
        <v>76.51000000000001</v>
      </c>
      <c r="D5215" s="216" t="n">
        <v>1.078271985054016</v>
      </c>
      <c r="E5215" s="215" t="n">
        <v>45456</v>
      </c>
      <c r="F5215" s="215" t="n">
        <v>45456</v>
      </c>
    </row>
    <row r="5216">
      <c r="A5216" s="215" t="n">
        <v>45457</v>
      </c>
      <c r="B5216" s="216" t="n">
        <v>52.4</v>
      </c>
      <c r="C5216" s="216" t="n">
        <v>75.08</v>
      </c>
      <c r="D5216" s="216" t="n">
        <v>1.07685399055481</v>
      </c>
      <c r="E5216" s="215" t="n">
        <v>45457</v>
      </c>
      <c r="F5216" s="215" t="n">
        <v>45457</v>
      </c>
    </row>
    <row r="5217">
      <c r="A5217" s="215" t="n">
        <v>45460</v>
      </c>
      <c r="B5217" s="216" t="n">
        <v>52</v>
      </c>
      <c r="C5217" s="216" t="n">
        <v>74.7</v>
      </c>
      <c r="D5217" s="216" t="n">
        <v>1.09790301322937</v>
      </c>
      <c r="E5217" s="215" t="n">
        <v>45460</v>
      </c>
      <c r="F5217" s="215" t="n">
        <v>45460</v>
      </c>
    </row>
    <row r="5218">
      <c r="A5218" s="215" t="n">
        <v>45461</v>
      </c>
      <c r="B5218" s="216" t="n">
        <v>50.55</v>
      </c>
      <c r="C5218" s="216" t="n">
        <v>72.29000000000001</v>
      </c>
      <c r="D5218" s="216" t="n">
        <v>1.076823949813843</v>
      </c>
      <c r="E5218" s="215" t="n">
        <v>45461</v>
      </c>
      <c r="F5218" s="215" t="n">
        <v>45461</v>
      </c>
    </row>
    <row r="5219">
      <c r="A5219" s="215" t="n">
        <v>45462</v>
      </c>
      <c r="B5219" s="216" t="n">
        <v>50.8</v>
      </c>
      <c r="C5219" s="216" t="n">
        <v>71.58</v>
      </c>
      <c r="D5219" s="216" t="n">
        <v>1.076231002807617</v>
      </c>
      <c r="E5219" s="215" t="n">
        <v>45462</v>
      </c>
      <c r="F5219" s="215" t="n">
        <v>45462</v>
      </c>
    </row>
    <row r="5220">
      <c r="A5220" s="215" t="n">
        <v>45463</v>
      </c>
      <c r="B5220" s="216" t="n">
        <v>50.55</v>
      </c>
      <c r="C5220" s="216" t="n">
        <v>71.65000000000001</v>
      </c>
      <c r="D5220" s="216" t="n">
        <v>1.075603008270264</v>
      </c>
      <c r="E5220" s="215" t="n">
        <v>45463</v>
      </c>
      <c r="F5220" s="215" t="n">
        <v>45463</v>
      </c>
    </row>
    <row r="5221">
      <c r="A5221" s="215" t="n">
        <v>45464</v>
      </c>
      <c r="B5221" s="216" t="n">
        <v>50.35</v>
      </c>
      <c r="C5221" s="216" t="n">
        <v>71.25</v>
      </c>
      <c r="D5221" s="216" t="n">
        <v>1.07499098777771</v>
      </c>
      <c r="E5221" s="215" t="n">
        <v>45464</v>
      </c>
      <c r="F5221" s="215" t="n">
        <v>45464</v>
      </c>
    </row>
    <row r="5222">
      <c r="A5222" s="215" t="n">
        <v>45467</v>
      </c>
      <c r="B5222" s="216" t="n">
        <v>49.6</v>
      </c>
      <c r="C5222" s="216" t="n">
        <v>70.53</v>
      </c>
      <c r="D5222" s="216" t="n">
        <v>1.0746910572052</v>
      </c>
      <c r="E5222" s="215" t="n">
        <v>45467</v>
      </c>
      <c r="F5222" s="215" t="n">
        <v>45467</v>
      </c>
    </row>
    <row r="5223">
      <c r="A5223" s="215" t="n">
        <v>45468</v>
      </c>
      <c r="B5223" s="216" t="n">
        <v>49.3</v>
      </c>
      <c r="C5223" s="216" t="n">
        <v>68.97</v>
      </c>
      <c r="D5223" s="216" t="n">
        <v>1.075618028640747</v>
      </c>
      <c r="E5223" s="215" t="n">
        <v>45468</v>
      </c>
      <c r="F5223" s="215" t="n">
        <v>45468</v>
      </c>
    </row>
    <row r="5224">
      <c r="A5224" s="215" t="n">
        <v>45469</v>
      </c>
      <c r="B5224" s="216" t="n">
        <v>50.6</v>
      </c>
      <c r="C5224" s="216" t="n">
        <v>70.13</v>
      </c>
      <c r="D5224" s="216" t="n">
        <v>1.075075030326843</v>
      </c>
      <c r="E5224" s="215" t="n">
        <v>45469</v>
      </c>
      <c r="F5224" s="215" t="n">
        <v>45469</v>
      </c>
    </row>
    <row r="5225">
      <c r="A5225" s="215" t="n">
        <v>45470</v>
      </c>
      <c r="B5225" s="216" t="n">
        <v>48.75</v>
      </c>
      <c r="C5225" s="216" t="n">
        <v>67.5</v>
      </c>
      <c r="D5225" s="216" t="n">
        <v>1.074702024459839</v>
      </c>
      <c r="E5225" s="215" t="n">
        <v>45470</v>
      </c>
      <c r="F5225" s="215" t="n">
        <v>45470</v>
      </c>
    </row>
    <row r="5226">
      <c r="A5226" s="215" t="n">
        <v>45471</v>
      </c>
      <c r="B5226" s="216" t="n">
        <v>48.7</v>
      </c>
      <c r="C5226" s="216" t="n">
        <v>65.8</v>
      </c>
      <c r="D5226" s="216" t="n">
        <v>1.07417905330658</v>
      </c>
      <c r="E5226" s="215" t="n">
        <v>45471</v>
      </c>
      <c r="F5226" s="215" t="n">
        <v>45471</v>
      </c>
    </row>
    <row r="5227">
      <c r="A5227" s="215" t="n">
        <v>45475</v>
      </c>
      <c r="B5227" s="216" t="n">
        <v>47.25</v>
      </c>
      <c r="C5227" s="216" t="n">
        <v>64.08</v>
      </c>
      <c r="D5227" s="216" t="n">
        <v>1.074753046035767</v>
      </c>
      <c r="E5227" s="215" t="n">
        <v>45475</v>
      </c>
      <c r="F5227" s="215" t="n">
        <v>45475</v>
      </c>
    </row>
    <row r="5228">
      <c r="A5228" s="215" t="n">
        <v>45476</v>
      </c>
      <c r="B5228" s="216" t="n">
        <v>47.75</v>
      </c>
      <c r="C5228" s="216" t="n">
        <v>63.69</v>
      </c>
      <c r="D5228" s="216" t="n">
        <v>1.074602007865906</v>
      </c>
      <c r="E5228" s="215" t="n">
        <v>45476</v>
      </c>
      <c r="F5228" s="215" t="n">
        <v>45476</v>
      </c>
    </row>
    <row r="5229">
      <c r="A5229" s="215" t="n">
        <v>45477</v>
      </c>
      <c r="B5229" s="216" t="n">
        <v>46.5</v>
      </c>
      <c r="C5229" s="216" t="n">
        <v>61.41</v>
      </c>
      <c r="D5229" s="216" t="n">
        <v>1.073940992355347</v>
      </c>
      <c r="E5229" s="215" t="n">
        <v>45477</v>
      </c>
      <c r="F5229" s="215" t="n">
        <v>45477</v>
      </c>
    </row>
    <row r="5230">
      <c r="A5230" s="215" t="n">
        <v>45478</v>
      </c>
      <c r="B5230" s="216" t="n">
        <v>47.4</v>
      </c>
      <c r="C5230" s="216" t="n">
        <v>63.96</v>
      </c>
      <c r="D5230" s="216" t="n">
        <v>1.07449996471405</v>
      </c>
      <c r="E5230" s="215" t="n">
        <v>45478</v>
      </c>
      <c r="F5230" s="215" t="n">
        <v>45478</v>
      </c>
    </row>
    <row r="5231">
      <c r="A5231" s="215" t="n">
        <v>45481</v>
      </c>
      <c r="B5231" s="216" t="n">
        <v>44.9</v>
      </c>
      <c r="C5231" s="216" t="n">
        <v>61.57</v>
      </c>
      <c r="D5231" s="216" t="n">
        <v>1.074715971946716</v>
      </c>
      <c r="E5231" s="215" t="n">
        <v>45481</v>
      </c>
      <c r="F5231" s="215" t="n">
        <v>45481</v>
      </c>
    </row>
    <row r="5232">
      <c r="A5232" s="215" t="n">
        <v>45482</v>
      </c>
      <c r="B5232" s="216" t="n">
        <v>45.4</v>
      </c>
      <c r="C5232" s="216" t="n">
        <v>61.18</v>
      </c>
      <c r="D5232" s="216" t="n">
        <v>1.074417948722839</v>
      </c>
      <c r="E5232" s="215" t="n">
        <v>45482</v>
      </c>
      <c r="F5232" s="215" t="n">
        <v>45482</v>
      </c>
    </row>
    <row r="5233">
      <c r="A5233" s="215" t="n">
        <v>45483</v>
      </c>
      <c r="B5233" s="216" t="n">
        <v>44.75</v>
      </c>
      <c r="C5233" s="216" t="n">
        <v>61.61</v>
      </c>
      <c r="D5233" s="216" t="n">
        <v>1.073858976364136</v>
      </c>
      <c r="E5233" s="215" t="n">
        <v>45483</v>
      </c>
      <c r="F5233" s="215" t="n">
        <v>45483</v>
      </c>
    </row>
    <row r="5234">
      <c r="A5234" s="215" t="n">
        <v>45484</v>
      </c>
      <c r="B5234" s="216" t="n">
        <v>46.6</v>
      </c>
      <c r="C5234" s="216" t="n">
        <v>66.52</v>
      </c>
      <c r="D5234" s="216" t="n">
        <v>1.073397994041443</v>
      </c>
      <c r="E5234" s="215" t="n">
        <v>45484</v>
      </c>
      <c r="F5234" s="215" t="n">
        <v>45484</v>
      </c>
    </row>
    <row r="5235">
      <c r="A5235" s="215" t="n">
        <v>45485</v>
      </c>
      <c r="B5235" s="216" t="n">
        <v>47</v>
      </c>
      <c r="C5235" s="216" t="n">
        <v>66.78</v>
      </c>
      <c r="D5235" s="216" t="n">
        <v>1.07601797580719</v>
      </c>
      <c r="E5235" s="215" t="n">
        <v>45485</v>
      </c>
      <c r="F5235" s="215" t="n">
        <v>45485</v>
      </c>
    </row>
    <row r="5236">
      <c r="A5236" s="215" t="n">
        <v>45488</v>
      </c>
      <c r="B5236" s="216" t="n">
        <v>45.45</v>
      </c>
      <c r="C5236" s="216" t="n">
        <v>64.52</v>
      </c>
      <c r="D5236" s="216" t="n">
        <v>1.076483964920044</v>
      </c>
      <c r="E5236" s="215" t="n">
        <v>45488</v>
      </c>
      <c r="F5236" s="215" t="n">
        <v>45488</v>
      </c>
    </row>
    <row r="5237">
      <c r="A5237" s="215" t="n">
        <v>45489</v>
      </c>
      <c r="B5237" s="216" t="n">
        <v>45.25</v>
      </c>
      <c r="C5237" s="216" t="n">
        <v>65.55</v>
      </c>
      <c r="D5237" s="216" t="n">
        <v>1.07518994808197</v>
      </c>
      <c r="E5237" s="215" t="n">
        <v>45489</v>
      </c>
      <c r="F5237" s="215" t="n">
        <v>45489</v>
      </c>
    </row>
    <row r="5238">
      <c r="A5238" s="215" t="n">
        <v>45490</v>
      </c>
      <c r="B5238" s="216" t="n">
        <v>47</v>
      </c>
      <c r="C5238" s="216" t="n">
        <v>68.2</v>
      </c>
      <c r="D5238" s="216" t="n">
        <v>1.093601942062378</v>
      </c>
      <c r="E5238" s="215" t="n">
        <v>45490</v>
      </c>
      <c r="F5238" s="215" t="n">
        <v>45490</v>
      </c>
    </row>
    <row r="5239">
      <c r="A5239" s="215" t="n">
        <v>45491</v>
      </c>
      <c r="B5239" s="216" t="n">
        <v>46.75</v>
      </c>
      <c r="C5239" s="216" t="n">
        <v>68.09999999999999</v>
      </c>
      <c r="D5239" s="216" t="n">
        <v>1.075235962867737</v>
      </c>
      <c r="E5239" s="215" t="n">
        <v>45491</v>
      </c>
      <c r="F5239" s="215" t="n">
        <v>45491</v>
      </c>
    </row>
    <row r="5240">
      <c r="A5240" s="215" t="n">
        <v>45492</v>
      </c>
      <c r="B5240" s="216" t="n">
        <v>45.4</v>
      </c>
      <c r="C5240" s="216" t="n">
        <v>67.45</v>
      </c>
      <c r="D5240" s="216" t="n">
        <v>1.075747013092041</v>
      </c>
      <c r="E5240" s="215" t="n">
        <v>45492</v>
      </c>
      <c r="F5240" s="215" t="n">
        <v>45492</v>
      </c>
    </row>
    <row r="5241">
      <c r="A5241" s="215" t="n">
        <v>45495</v>
      </c>
      <c r="B5241" s="216" t="n">
        <v>46.3</v>
      </c>
      <c r="C5241" s="216" t="n">
        <v>69.34999999999999</v>
      </c>
      <c r="D5241" s="216" t="n">
        <v>1.074203968048096</v>
      </c>
      <c r="E5241" s="215" t="n">
        <v>45495</v>
      </c>
      <c r="F5241" s="215" t="n">
        <v>45495</v>
      </c>
    </row>
    <row r="5242">
      <c r="A5242" s="215" t="n">
        <v>45496</v>
      </c>
      <c r="B5242" s="216" t="n">
        <v>44.8</v>
      </c>
      <c r="C5242" s="216" t="n">
        <v>67.90000000000001</v>
      </c>
      <c r="D5242" s="216" t="n">
        <v>1.073030948638916</v>
      </c>
      <c r="E5242" s="215" t="n">
        <v>45496</v>
      </c>
      <c r="F5242" s="215" t="n">
        <v>45496</v>
      </c>
    </row>
    <row r="5243">
      <c r="A5243" s="215" t="n">
        <v>45497</v>
      </c>
      <c r="B5243" s="216" t="n">
        <v>43.55</v>
      </c>
      <c r="C5243" s="216" t="n">
        <v>66.44</v>
      </c>
      <c r="D5243" s="216" t="n">
        <v>1.073214054107666</v>
      </c>
      <c r="E5243" s="215" t="n">
        <v>45497</v>
      </c>
      <c r="F5243" s="215" t="n">
        <v>45497</v>
      </c>
    </row>
    <row r="5244">
      <c r="A5244" s="215" t="n">
        <v>45498</v>
      </c>
      <c r="B5244" s="216" t="n">
        <v>44.2</v>
      </c>
      <c r="C5244" s="216" t="n">
        <v>67.84999999999999</v>
      </c>
      <c r="D5244" s="216" t="n">
        <v>1.075216054916382</v>
      </c>
      <c r="E5244" s="215" t="n">
        <v>45498</v>
      </c>
      <c r="F5244" s="215" t="n">
        <v>45498</v>
      </c>
    </row>
    <row r="5245">
      <c r="A5245" s="215" t="n">
        <v>45499</v>
      </c>
      <c r="B5245" s="216" t="n">
        <v>44.25</v>
      </c>
      <c r="C5245" s="216" t="n">
        <v>67.61</v>
      </c>
      <c r="D5245" s="216" t="n">
        <v>1.079524040222168</v>
      </c>
      <c r="E5245" s="215" t="n">
        <v>45499</v>
      </c>
      <c r="F5245" s="215" t="n">
        <v>45499</v>
      </c>
    </row>
    <row r="5246">
      <c r="A5246" s="215" t="n">
        <v>45502</v>
      </c>
      <c r="B5246" s="216" t="n">
        <v>43.9</v>
      </c>
      <c r="C5246" s="216" t="n">
        <v>67.3</v>
      </c>
      <c r="D5246" s="216" t="n">
        <v>1.076396942138672</v>
      </c>
      <c r="E5246" s="215" t="n">
        <v>45502</v>
      </c>
      <c r="F5246" s="215" t="n">
        <v>45502</v>
      </c>
    </row>
    <row r="5247">
      <c r="A5247" s="215" t="n">
        <v>45503</v>
      </c>
      <c r="B5247" s="216" t="n">
        <v>44.35</v>
      </c>
      <c r="C5247" s="216" t="n">
        <v>69.2</v>
      </c>
      <c r="D5247" s="216" t="n">
        <v>1.075829982757568</v>
      </c>
      <c r="E5247" s="215" t="n">
        <v>45503</v>
      </c>
      <c r="F5247" s="215" t="n">
        <v>45503</v>
      </c>
    </row>
    <row r="5248">
      <c r="A5248" s="215" t="n">
        <v>45504</v>
      </c>
      <c r="B5248" s="216" t="n">
        <v>47.05</v>
      </c>
      <c r="C5248" s="216" t="n">
        <v>74.14</v>
      </c>
      <c r="D5248" s="216" t="n">
        <v>1.077026009559631</v>
      </c>
      <c r="E5248" s="215" t="n">
        <v>45504</v>
      </c>
      <c r="F5248" s="215" t="n">
        <v>45504</v>
      </c>
    </row>
    <row r="5249">
      <c r="A5249" s="215" t="n">
        <v>45505</v>
      </c>
      <c r="B5249" s="216" t="n">
        <v>46.8</v>
      </c>
      <c r="C5249" s="216" t="n">
        <v>74.08</v>
      </c>
      <c r="D5249" s="216" t="n">
        <v>1.082347989082336</v>
      </c>
      <c r="E5249" s="215" t="n">
        <v>45505</v>
      </c>
      <c r="F5249" s="215" t="n">
        <v>45505</v>
      </c>
    </row>
    <row r="5250">
      <c r="A5250" s="215" t="n">
        <v>45506</v>
      </c>
      <c r="B5250" s="216" t="n">
        <v>46.8</v>
      </c>
      <c r="C5250" s="216" t="n">
        <v>74.15000000000001</v>
      </c>
      <c r="D5250" s="216" t="n">
        <v>1.078637003898621</v>
      </c>
      <c r="E5250" s="215" t="n">
        <v>45506</v>
      </c>
      <c r="F5250" s="215" t="n">
        <v>45506</v>
      </c>
    </row>
    <row r="5251">
      <c r="A5251" s="215" t="n">
        <v>45509</v>
      </c>
      <c r="B5251" s="216" t="n">
        <v>47.2</v>
      </c>
      <c r="C5251" s="216" t="n">
        <v>73.88</v>
      </c>
      <c r="D5251" s="216" t="n">
        <v>1.090283036231995</v>
      </c>
      <c r="E5251" s="215" t="n">
        <v>45509</v>
      </c>
      <c r="F5251" s="215" t="n">
        <v>45509</v>
      </c>
    </row>
    <row r="5252">
      <c r="A5252" s="215" t="n">
        <v>45510</v>
      </c>
      <c r="B5252" s="216" t="n">
        <v>48.55</v>
      </c>
      <c r="C5252" s="216" t="n">
        <v>74.92</v>
      </c>
      <c r="D5252" s="216" t="n">
        <v>1.094287037849426</v>
      </c>
      <c r="E5252" s="215" t="n">
        <v>45510</v>
      </c>
      <c r="F5252" s="215" t="n">
        <v>45510</v>
      </c>
    </row>
    <row r="5253">
      <c r="A5253" s="215" t="n">
        <v>45511</v>
      </c>
      <c r="B5253" s="216" t="n">
        <v>47.6</v>
      </c>
      <c r="C5253" s="216" t="n">
        <v>74.48999999999999</v>
      </c>
      <c r="D5253" s="216" t="n">
        <v>1.089087009429932</v>
      </c>
      <c r="E5253" s="215" t="n">
        <v>45511</v>
      </c>
      <c r="F5253" s="215" t="n">
        <v>45511</v>
      </c>
    </row>
    <row r="5254">
      <c r="A5254" s="215" t="n">
        <v>45512</v>
      </c>
      <c r="B5254" s="216" t="n">
        <v>47</v>
      </c>
      <c r="C5254" s="216" t="n">
        <v>72.81</v>
      </c>
      <c r="D5254" s="216" t="n">
        <v>1.084957957267761</v>
      </c>
      <c r="E5254" s="215" t="n">
        <v>45512</v>
      </c>
      <c r="F5254" s="215" t="n">
        <v>45512</v>
      </c>
    </row>
    <row r="5255">
      <c r="A5255" s="215" t="n">
        <v>45513</v>
      </c>
      <c r="B5255" s="216" t="n">
        <v>45.25</v>
      </c>
      <c r="C5255" s="216" t="n">
        <v>70.56</v>
      </c>
      <c r="D5255" s="216" t="n">
        <v>1.086197972297668</v>
      </c>
      <c r="E5255" s="215" t="n">
        <v>45513</v>
      </c>
      <c r="F5255" s="215" t="n">
        <v>45513</v>
      </c>
    </row>
    <row r="5256">
      <c r="A5256" s="215" t="n">
        <v>45516</v>
      </c>
      <c r="B5256" s="216" t="n">
        <v>45.2</v>
      </c>
      <c r="C5256" s="216" t="n">
        <v>69.11</v>
      </c>
      <c r="D5256" s="216" t="n">
        <v>1.087875008583069</v>
      </c>
      <c r="E5256" s="215" t="n">
        <v>45516</v>
      </c>
      <c r="F5256" s="215" t="n">
        <v>45516</v>
      </c>
    </row>
    <row r="5257">
      <c r="A5257" s="215" t="n">
        <v>45517</v>
      </c>
      <c r="B5257" s="216" t="n">
        <v>44</v>
      </c>
      <c r="C5257" s="216" t="n">
        <v>69.22</v>
      </c>
      <c r="D5257" s="216" t="n">
        <v>1.085934996604919</v>
      </c>
      <c r="E5257" s="215" t="n">
        <v>45517</v>
      </c>
      <c r="F5257" s="215" t="n">
        <v>45517</v>
      </c>
    </row>
    <row r="5258">
      <c r="A5258" s="215" t="n">
        <v>45518</v>
      </c>
      <c r="B5258" s="216" t="n">
        <v>42.25</v>
      </c>
      <c r="C5258" s="216" t="n">
        <v>67</v>
      </c>
      <c r="D5258" s="216" t="n">
        <v>1.088662981987</v>
      </c>
      <c r="E5258" s="215" t="n">
        <v>45518</v>
      </c>
      <c r="F5258" s="215" t="n">
        <v>45518</v>
      </c>
    </row>
    <row r="5259">
      <c r="A5259" s="215" t="n">
        <v>45519</v>
      </c>
      <c r="B5259" s="216" t="n">
        <v>41.85</v>
      </c>
      <c r="C5259" s="216" t="n">
        <v>67.01000000000001</v>
      </c>
      <c r="D5259" s="216" t="n">
        <v>1.091369986534119</v>
      </c>
      <c r="E5259" s="215" t="n">
        <v>45519</v>
      </c>
      <c r="F5259" s="215" t="n">
        <v>45519</v>
      </c>
    </row>
    <row r="5260">
      <c r="A5260" s="215" t="n">
        <v>45520</v>
      </c>
      <c r="B5260" s="216" t="n">
        <v>43.1</v>
      </c>
      <c r="C5260" s="216" t="n">
        <v>66.61</v>
      </c>
      <c r="D5260" s="216" t="n">
        <v>1.08672297000885</v>
      </c>
      <c r="E5260" s="215" t="n">
        <v>45520</v>
      </c>
      <c r="F5260" s="215" t="n">
        <v>45520</v>
      </c>
    </row>
    <row r="5261">
      <c r="A5261" s="215" t="n">
        <v>45523</v>
      </c>
      <c r="B5261" s="216" t="n">
        <v>43.15</v>
      </c>
      <c r="C5261" s="216" t="n">
        <v>66.08</v>
      </c>
      <c r="D5261" s="216" t="n">
        <v>1.087823033332825</v>
      </c>
      <c r="E5261" s="215" t="n">
        <v>45523</v>
      </c>
      <c r="F5261" s="215" t="n">
        <v>45523</v>
      </c>
    </row>
    <row r="5262">
      <c r="A5262" s="215" t="n">
        <v>45524</v>
      </c>
      <c r="B5262" s="216" t="n">
        <v>41.45</v>
      </c>
      <c r="C5262" s="216" t="n">
        <v>64.39</v>
      </c>
      <c r="D5262" s="216" t="n">
        <v>1.08710503578186</v>
      </c>
      <c r="E5262" s="215" t="n">
        <v>45524</v>
      </c>
      <c r="F5262" s="215" t="n">
        <v>45524</v>
      </c>
    </row>
    <row r="5263">
      <c r="A5263" s="215" t="n">
        <v>45525</v>
      </c>
      <c r="B5263" s="216" t="n">
        <v>40</v>
      </c>
      <c r="C5263" s="216" t="n">
        <v>63</v>
      </c>
      <c r="D5263" s="216" t="n">
        <v>1.091691970825195</v>
      </c>
      <c r="E5263" s="215" t="n">
        <v>45525</v>
      </c>
      <c r="F5263" s="215" t="n">
        <v>45525</v>
      </c>
    </row>
    <row r="5264">
      <c r="A5264" s="215" t="n">
        <v>45526</v>
      </c>
      <c r="B5264" s="216" t="n">
        <v>39.55</v>
      </c>
      <c r="C5264" s="216" t="n">
        <v>61.23</v>
      </c>
      <c r="D5264" s="216" t="n">
        <v>1.092425942420959</v>
      </c>
      <c r="E5264" s="215" t="n">
        <v>45526</v>
      </c>
      <c r="F5264" s="215" t="n">
        <v>45526</v>
      </c>
    </row>
    <row r="5265">
      <c r="A5265" s="215" t="n">
        <v>45527</v>
      </c>
      <c r="B5265" s="216" t="n">
        <v>39.3</v>
      </c>
      <c r="C5265" s="216" t="n">
        <v>60.13</v>
      </c>
      <c r="D5265" s="216" t="n">
        <v>1.091052055358887</v>
      </c>
      <c r="E5265" s="215" t="n">
        <v>45527</v>
      </c>
      <c r="F5265" s="215" t="n">
        <v>45527</v>
      </c>
    </row>
    <row r="5266">
      <c r="A5266" s="215" t="n">
        <v>45530</v>
      </c>
      <c r="B5266" s="216" t="n">
        <v>39.9</v>
      </c>
      <c r="C5266" s="216" t="n">
        <v>60.89</v>
      </c>
      <c r="D5266" s="216" t="n">
        <v>1.094154953956604</v>
      </c>
      <c r="E5266" s="215" t="n">
        <v>45530</v>
      </c>
      <c r="F5266" s="215" t="n">
        <v>45530</v>
      </c>
    </row>
    <row r="5267">
      <c r="A5267" s="215" t="n">
        <v>45531</v>
      </c>
      <c r="B5267" s="216" t="n">
        <v>39.75</v>
      </c>
      <c r="C5267" s="216" t="n">
        <v>60.3</v>
      </c>
      <c r="D5267" s="216" t="n">
        <v>1.094954967498779</v>
      </c>
      <c r="E5267" s="215" t="n">
        <v>45531</v>
      </c>
      <c r="F5267" s="215" t="n">
        <v>45531</v>
      </c>
    </row>
    <row r="5268">
      <c r="A5268" s="215" t="n">
        <v>45532</v>
      </c>
      <c r="B5268" s="216" t="n">
        <v>39.95</v>
      </c>
      <c r="C5268" s="216" t="n">
        <v>60.7</v>
      </c>
      <c r="D5268" s="216" t="n">
        <v>1.095074057579041</v>
      </c>
      <c r="E5268" s="215" t="n">
        <v>45532</v>
      </c>
      <c r="F5268" s="215" t="n">
        <v>45532</v>
      </c>
    </row>
    <row r="5269">
      <c r="A5269" s="215" t="n">
        <v>45533</v>
      </c>
      <c r="B5269" s="216" t="n">
        <v>40.65</v>
      </c>
      <c r="C5269" s="216" t="n">
        <v>62.93</v>
      </c>
      <c r="D5269" s="216" t="n">
        <v>1.094665050506592</v>
      </c>
      <c r="E5269" s="215" t="n">
        <v>45533</v>
      </c>
      <c r="F5269" s="215" t="n">
        <v>45533</v>
      </c>
    </row>
    <row r="5270">
      <c r="A5270" s="215" t="n">
        <v>45534</v>
      </c>
      <c r="B5270" s="216" t="n">
        <v>41.5</v>
      </c>
      <c r="C5270" s="216" t="n">
        <v>63.67</v>
      </c>
      <c r="D5270" s="216" t="n">
        <v>1.09866201877594</v>
      </c>
      <c r="E5270" s="215" t="n">
        <v>45534</v>
      </c>
      <c r="F5270" s="215" t="n">
        <v>45534</v>
      </c>
    </row>
    <row r="5271">
      <c r="A5271" s="215" t="n">
        <v>45537</v>
      </c>
      <c r="B5271" s="216" t="n">
        <v>40</v>
      </c>
      <c r="C5271" s="216" t="n">
        <v>61.22</v>
      </c>
      <c r="D5271" s="216" t="n">
        <v>1.099230051040649</v>
      </c>
      <c r="E5271" s="215" t="n">
        <v>45537</v>
      </c>
      <c r="F5271" s="215" t="n">
        <v>45537</v>
      </c>
    </row>
    <row r="5272">
      <c r="A5272" s="215" t="n">
        <v>45538</v>
      </c>
      <c r="B5272" s="216" t="n">
        <v>40.65</v>
      </c>
      <c r="C5272" s="216" t="n">
        <v>62.22</v>
      </c>
      <c r="D5272" s="216" t="n">
        <v>1.095303058624268</v>
      </c>
      <c r="E5272" s="215" t="n">
        <v>45538</v>
      </c>
      <c r="F5272" s="215" t="n">
        <v>45538</v>
      </c>
    </row>
    <row r="5273">
      <c r="A5273" s="215" t="n">
        <v>45539</v>
      </c>
      <c r="B5273" s="216" t="n">
        <v>40.3</v>
      </c>
      <c r="C5273" s="216" t="n">
        <v>62.28</v>
      </c>
      <c r="D5273" s="216" t="n">
        <v>1.094771981239319</v>
      </c>
      <c r="E5273" s="215" t="n">
        <v>45539</v>
      </c>
      <c r="F5273" s="215" t="n">
        <v>45539</v>
      </c>
    </row>
    <row r="5274">
      <c r="A5274" s="215" t="n">
        <v>45540</v>
      </c>
      <c r="B5274" s="216" t="n">
        <v>40.2</v>
      </c>
      <c r="C5274" s="216" t="n">
        <v>62.72</v>
      </c>
      <c r="D5274" s="216" t="n">
        <v>1.095960021018982</v>
      </c>
      <c r="E5274" s="215" t="n">
        <v>45540</v>
      </c>
      <c r="F5274" s="215" t="n">
        <v>45540</v>
      </c>
    </row>
    <row r="5275">
      <c r="A5275" s="215" t="n">
        <v>45544</v>
      </c>
      <c r="B5275" s="216" t="n">
        <v>39.25</v>
      </c>
      <c r="C5275" s="216" t="n">
        <v>62.03</v>
      </c>
      <c r="D5275" s="216" t="n">
        <v>1.099578022956848</v>
      </c>
      <c r="E5275" s="215" t="n">
        <v>45544</v>
      </c>
      <c r="F5275" s="215" t="n">
        <v>45544</v>
      </c>
    </row>
    <row r="5276">
      <c r="A5276" s="215" t="n">
        <v>45545</v>
      </c>
      <c r="B5276" s="216" t="n">
        <v>39</v>
      </c>
      <c r="C5276" s="216" t="n">
        <v>61.05</v>
      </c>
      <c r="D5276" s="216" t="n">
        <v>1.095790028572083</v>
      </c>
      <c r="E5276" s="215" t="n">
        <v>45545</v>
      </c>
      <c r="F5276" s="215" t="n">
        <v>45545</v>
      </c>
    </row>
    <row r="5277">
      <c r="A5277" s="215" t="n">
        <v>45546</v>
      </c>
      <c r="B5277" s="216" t="n">
        <v>40.4</v>
      </c>
      <c r="C5277" s="216" t="n">
        <v>62.66</v>
      </c>
      <c r="D5277" s="216" t="n">
        <v>1.094709038734436</v>
      </c>
      <c r="E5277" s="215" t="n">
        <v>45546</v>
      </c>
      <c r="F5277" s="215" t="n">
        <v>45546</v>
      </c>
    </row>
    <row r="5278">
      <c r="A5278" s="215" t="n">
        <v>45547</v>
      </c>
      <c r="B5278" s="216" t="n">
        <v>42.15</v>
      </c>
      <c r="C5278" s="216" t="n">
        <v>63.58</v>
      </c>
      <c r="D5278" s="216" t="n">
        <v>1.095039010047913</v>
      </c>
      <c r="E5278" s="215" t="n">
        <v>45547</v>
      </c>
      <c r="F5278" s="215" t="n">
        <v>45547</v>
      </c>
    </row>
    <row r="5279">
      <c r="A5279" s="215" t="n">
        <v>45548</v>
      </c>
      <c r="B5279" s="216" t="n">
        <v>44.2</v>
      </c>
      <c r="C5279" s="216" t="n">
        <v>63.88</v>
      </c>
      <c r="D5279" s="216" t="n">
        <v>1.096182942390442</v>
      </c>
      <c r="E5279" s="215" t="n">
        <v>45548</v>
      </c>
      <c r="F5279" s="215" t="n">
        <v>45548</v>
      </c>
    </row>
    <row r="5280">
      <c r="A5280" s="215" t="n">
        <v>45551</v>
      </c>
      <c r="B5280" s="216" t="n">
        <v>41.6</v>
      </c>
      <c r="C5280" s="216" t="n">
        <v>63.88</v>
      </c>
      <c r="D5280" s="216" t="n">
        <v>1.099149942398071</v>
      </c>
      <c r="E5280" s="215" t="n">
        <v>45548</v>
      </c>
      <c r="F5280" s="215" t="n">
        <v>45551</v>
      </c>
    </row>
    <row r="5281">
      <c r="A5281" s="215" t="n">
        <v>45552</v>
      </c>
      <c r="B5281" s="216" t="n">
        <v>42.15</v>
      </c>
      <c r="C5281" s="216" t="n">
        <v>63.88</v>
      </c>
      <c r="D5281" s="216" t="n">
        <v>1.098492980003357</v>
      </c>
      <c r="E5281" s="215" t="n">
        <v>45548</v>
      </c>
      <c r="F5281" s="215" t="n">
        <v>45552</v>
      </c>
    </row>
    <row r="5282">
      <c r="A5282" s="215" t="n">
        <v>45554</v>
      </c>
      <c r="B5282" s="216" t="n">
        <v>44.8</v>
      </c>
      <c r="C5282" s="216" t="n">
        <v>64.41</v>
      </c>
      <c r="D5282" s="216" t="n">
        <v>1.10042405128479</v>
      </c>
      <c r="E5282" s="215" t="n">
        <v>45554</v>
      </c>
      <c r="F5282" s="215" t="n">
        <v>45554</v>
      </c>
    </row>
    <row r="5283">
      <c r="A5283" s="215" t="n">
        <v>45555</v>
      </c>
      <c r="B5283" s="216" t="n">
        <v>47.5</v>
      </c>
      <c r="C5283" s="216" t="n">
        <v>63.75</v>
      </c>
      <c r="D5283" s="216" t="n">
        <v>1.102666974067688</v>
      </c>
      <c r="E5283" s="215" t="n">
        <v>45555</v>
      </c>
      <c r="F5283" s="215" t="n">
        <v>45555</v>
      </c>
    </row>
    <row r="5284">
      <c r="A5284" s="215" t="n">
        <v>45558</v>
      </c>
      <c r="B5284" s="216" t="n">
        <v>45.2</v>
      </c>
      <c r="C5284" s="216" t="n">
        <v>63.31</v>
      </c>
      <c r="D5284" s="216" t="n">
        <v>1.104709982872009</v>
      </c>
      <c r="E5284" s="215" t="n">
        <v>45558</v>
      </c>
      <c r="F5284" s="215" t="n">
        <v>45558</v>
      </c>
    </row>
    <row r="5285">
      <c r="A5285" s="215" t="n">
        <v>45559</v>
      </c>
      <c r="B5285" s="216" t="n">
        <v>48.75</v>
      </c>
      <c r="C5285" s="216" t="n">
        <v>65.48</v>
      </c>
      <c r="D5285" s="216" t="n">
        <v>1.104027032852173</v>
      </c>
      <c r="E5285" s="215" t="n">
        <v>45559</v>
      </c>
      <c r="F5285" s="215" t="n">
        <v>45559</v>
      </c>
    </row>
    <row r="5286">
      <c r="A5286" s="215" t="n">
        <v>45560</v>
      </c>
      <c r="B5286" s="216" t="n">
        <v>48.7</v>
      </c>
      <c r="C5286" s="216" t="n">
        <v>66.98999999999999</v>
      </c>
      <c r="D5286" s="216" t="n">
        <v>1.106814026832581</v>
      </c>
      <c r="E5286" s="215" t="n">
        <v>45560</v>
      </c>
      <c r="F5286" s="215" t="n">
        <v>45560</v>
      </c>
    </row>
    <row r="5287">
      <c r="A5287" s="215" t="n">
        <v>45561</v>
      </c>
      <c r="B5287" s="216" t="n">
        <v>50.1</v>
      </c>
      <c r="C5287" s="216" t="n">
        <v>69.41</v>
      </c>
      <c r="D5287" s="216" t="n">
        <v>1.106874942779541</v>
      </c>
      <c r="E5287" s="215" t="n">
        <v>45561</v>
      </c>
      <c r="F5287" s="215" t="n">
        <v>45561</v>
      </c>
    </row>
    <row r="5288">
      <c r="A5288" s="215" t="n">
        <v>45562</v>
      </c>
      <c r="B5288" s="216" t="n">
        <v>56.25</v>
      </c>
      <c r="C5288" s="216" t="n">
        <v>76.12</v>
      </c>
      <c r="D5288" s="216" t="n">
        <v>1.10965895652771</v>
      </c>
      <c r="E5288" s="215" t="n">
        <v>45562</v>
      </c>
      <c r="F5288" s="215" t="n">
        <v>45562</v>
      </c>
    </row>
    <row r="5289">
      <c r="A5289" s="215" t="n">
        <v>45565</v>
      </c>
      <c r="B5289" s="216" t="n">
        <v>63.55</v>
      </c>
      <c r="C5289" s="216" t="n">
        <v>83.73</v>
      </c>
      <c r="D5289" s="216" t="n">
        <v>1.10850203037262</v>
      </c>
      <c r="E5289" s="215" t="n">
        <v>45565</v>
      </c>
      <c r="F5289" s="215" t="n">
        <v>45565</v>
      </c>
    </row>
    <row r="5290">
      <c r="A5290" s="215" t="n">
        <v>45567</v>
      </c>
      <c r="B5290" s="216" t="n">
        <v>71.05</v>
      </c>
      <c r="C5290" s="216" t="n">
        <v>83.73</v>
      </c>
      <c r="D5290" s="216" t="n">
        <v>1.105224967002869</v>
      </c>
      <c r="E5290" s="215" t="n">
        <v>45565</v>
      </c>
      <c r="F5290" s="215" t="n">
        <v>45567</v>
      </c>
    </row>
    <row r="5291">
      <c r="A5291" s="215" t="n">
        <v>45568</v>
      </c>
      <c r="B5291" s="216" t="n">
        <v>65.09999999999999</v>
      </c>
      <c r="C5291" s="216" t="n">
        <v>83.73</v>
      </c>
      <c r="D5291" s="216" t="n">
        <v>1.10276198387146</v>
      </c>
      <c r="E5291" s="215" t="n">
        <v>45565</v>
      </c>
      <c r="F5291" s="215" t="n">
        <v>45568</v>
      </c>
    </row>
    <row r="5292">
      <c r="A5292" s="215" t="n">
        <v>45569</v>
      </c>
      <c r="B5292" s="216" t="n">
        <v>71.2</v>
      </c>
      <c r="C5292" s="216" t="n">
        <v>83.73</v>
      </c>
      <c r="D5292" s="216" t="n">
        <v>1.10200297832489</v>
      </c>
      <c r="E5292" s="215" t="n">
        <v>45565</v>
      </c>
      <c r="F5292" s="215" t="n">
        <v>45569</v>
      </c>
    </row>
    <row r="5293">
      <c r="A5293" s="215" t="n">
        <v>45572</v>
      </c>
      <c r="B5293" s="216" t="n">
        <v>74</v>
      </c>
      <c r="C5293" s="216" t="n">
        <v>83.73</v>
      </c>
      <c r="D5293" s="216" t="n">
        <v>1.10656201839447</v>
      </c>
      <c r="E5293" s="215" t="n">
        <v>45565</v>
      </c>
      <c r="F5293" s="215" t="n">
        <v>45572</v>
      </c>
    </row>
    <row r="5294">
      <c r="A5294" s="215" t="n">
        <v>45573</v>
      </c>
      <c r="B5294" s="216" t="n">
        <v>62.5</v>
      </c>
      <c r="C5294" s="216" t="n">
        <v>91.55</v>
      </c>
      <c r="D5294" s="216" t="n">
        <v>1.106070041656494</v>
      </c>
      <c r="E5294" s="215" t="n">
        <v>45573</v>
      </c>
      <c r="F5294" s="215" t="n">
        <v>45573</v>
      </c>
    </row>
    <row r="5295">
      <c r="A5295" s="215" t="n">
        <v>45574</v>
      </c>
      <c r="B5295" s="216" t="n">
        <v>58.2</v>
      </c>
      <c r="C5295" s="216" t="n">
        <v>82.40000000000001</v>
      </c>
      <c r="D5295" s="216" t="n">
        <v>1.101308941841125</v>
      </c>
      <c r="E5295" s="215" t="n">
        <v>45574</v>
      </c>
      <c r="F5295" s="215" t="n">
        <v>45574</v>
      </c>
    </row>
    <row r="5296">
      <c r="A5296" s="215" t="n">
        <v>45575</v>
      </c>
      <c r="B5296" s="216" t="n">
        <v>58.2</v>
      </c>
      <c r="C5296" s="216" t="n">
        <v>79.03</v>
      </c>
      <c r="D5296" s="216" t="n">
        <v>1.09762704372406</v>
      </c>
      <c r="E5296" s="215" t="n">
        <v>45575</v>
      </c>
      <c r="F5296" s="215" t="n">
        <v>45575</v>
      </c>
    </row>
    <row r="5297">
      <c r="A5297" s="215" t="n">
        <v>45579</v>
      </c>
      <c r="B5297" s="216" t="n">
        <v>58.9</v>
      </c>
      <c r="C5297" s="216" t="n">
        <v>76.62</v>
      </c>
      <c r="D5297" s="216" t="n">
        <v>1.099969029426575</v>
      </c>
      <c r="E5297" s="215" t="n">
        <v>45579</v>
      </c>
      <c r="F5297" s="215" t="n">
        <v>45579</v>
      </c>
    </row>
    <row r="5298">
      <c r="A5298" s="215" t="n">
        <v>45580</v>
      </c>
      <c r="B5298" s="216" t="n">
        <v>55.95</v>
      </c>
      <c r="C5298" s="216" t="n">
        <v>74.42</v>
      </c>
      <c r="D5298" s="216" t="n">
        <v>1.095134019851685</v>
      </c>
      <c r="E5298" s="215" t="n">
        <v>45580</v>
      </c>
      <c r="F5298" s="215" t="n">
        <v>45580</v>
      </c>
    </row>
    <row r="5299">
      <c r="A5299" s="215" t="n">
        <v>45581</v>
      </c>
      <c r="B5299" s="216" t="n">
        <v>55.25</v>
      </c>
      <c r="C5299" s="216" t="n">
        <v>73.59</v>
      </c>
      <c r="D5299" s="216" t="n">
        <v>1.091102957725525</v>
      </c>
      <c r="E5299" s="215" t="n">
        <v>45581</v>
      </c>
      <c r="F5299" s="215" t="n">
        <v>45581</v>
      </c>
    </row>
    <row r="5300">
      <c r="A5300" s="215" t="n">
        <v>45582</v>
      </c>
      <c r="B5300" s="216" t="n">
        <v>53.25</v>
      </c>
      <c r="C5300" s="216" t="n">
        <v>72.62</v>
      </c>
      <c r="D5300" s="216" t="n">
        <v>1.091408967971802</v>
      </c>
      <c r="E5300" s="215" t="n">
        <v>45582</v>
      </c>
      <c r="F5300" s="215" t="n">
        <v>45582</v>
      </c>
    </row>
    <row r="5301">
      <c r="A5301" s="215" t="n">
        <v>45583</v>
      </c>
      <c r="B5301" s="216" t="n">
        <v>57.5</v>
      </c>
      <c r="C5301" s="216" t="n">
        <v>75.98</v>
      </c>
      <c r="D5301" s="216" t="n">
        <v>1.090952038764954</v>
      </c>
      <c r="E5301" s="215" t="n">
        <v>45583</v>
      </c>
      <c r="F5301" s="215" t="n">
        <v>45583</v>
      </c>
    </row>
    <row r="5302">
      <c r="A5302" s="215" t="n">
        <v>45586</v>
      </c>
      <c r="B5302" s="216" t="n">
        <v>56.15</v>
      </c>
      <c r="C5302" s="216" t="n">
        <v>76.45999999999999</v>
      </c>
      <c r="D5302" s="216" t="n">
        <v>1.09406304359436</v>
      </c>
      <c r="E5302" s="215" t="n">
        <v>45586</v>
      </c>
      <c r="F5302" s="215" t="n">
        <v>45586</v>
      </c>
    </row>
    <row r="5303">
      <c r="A5303" s="215" t="n">
        <v>45587</v>
      </c>
      <c r="B5303" s="216" t="n">
        <v>56.3</v>
      </c>
      <c r="C5303" s="216" t="n">
        <v>77</v>
      </c>
      <c r="D5303" s="216" t="n">
        <v>1.091953992843628</v>
      </c>
      <c r="E5303" s="215" t="n">
        <v>45587</v>
      </c>
      <c r="F5303" s="215" t="n">
        <v>45587</v>
      </c>
    </row>
    <row r="5304">
      <c r="A5304" s="215" t="n">
        <v>45588</v>
      </c>
      <c r="B5304" s="216" t="n">
        <v>56.5</v>
      </c>
      <c r="C5304" s="216" t="n">
        <v>78.05</v>
      </c>
      <c r="D5304" s="216" t="n">
        <v>1.091060042381287</v>
      </c>
      <c r="E5304" s="215" t="n">
        <v>45588</v>
      </c>
      <c r="F5304" s="215" t="n">
        <v>45588</v>
      </c>
    </row>
    <row r="5305">
      <c r="A5305" s="215" t="n">
        <v>45589</v>
      </c>
      <c r="B5305" s="216" t="n">
        <v>54.3</v>
      </c>
      <c r="C5305" s="216" t="n">
        <v>76.06</v>
      </c>
      <c r="D5305" s="216" t="n">
        <v>1.090194940567017</v>
      </c>
      <c r="E5305" s="215" t="n">
        <v>45589</v>
      </c>
      <c r="F5305" s="215" t="n">
        <v>45589</v>
      </c>
    </row>
    <row r="5306">
      <c r="A5306" s="215" t="n">
        <v>45590</v>
      </c>
      <c r="B5306" s="216" t="n">
        <v>57.95</v>
      </c>
      <c r="C5306" s="216" t="n">
        <v>81</v>
      </c>
      <c r="D5306" s="216" t="n">
        <v>1.091233015060425</v>
      </c>
      <c r="E5306" s="215" t="n">
        <v>45590</v>
      </c>
      <c r="F5306" s="215" t="n">
        <v>45590</v>
      </c>
    </row>
    <row r="5307">
      <c r="A5307" s="215" t="n">
        <v>45593</v>
      </c>
      <c r="B5307" s="216" t="n">
        <v>60</v>
      </c>
      <c r="C5307" s="216" t="n">
        <v>84.61</v>
      </c>
      <c r="D5307" s="216" t="n">
        <v>1.091169953346252</v>
      </c>
      <c r="E5307" s="215" t="n">
        <v>45593</v>
      </c>
      <c r="F5307" s="215" t="n">
        <v>45593</v>
      </c>
    </row>
    <row r="5308">
      <c r="A5308" s="215" t="n">
        <v>45594</v>
      </c>
      <c r="B5308" s="216" t="n">
        <v>59.2</v>
      </c>
      <c r="C5308" s="216" t="n">
        <v>84.26000000000001</v>
      </c>
      <c r="D5308" s="216" t="n">
        <v>1.090175032615662</v>
      </c>
      <c r="E5308" s="215" t="n">
        <v>45594</v>
      </c>
      <c r="F5308" s="215" t="n">
        <v>45594</v>
      </c>
    </row>
    <row r="5309">
      <c r="A5309" s="215" t="n">
        <v>45595</v>
      </c>
      <c r="B5309" s="216" t="n">
        <v>59.2</v>
      </c>
      <c r="C5309" s="216" t="n">
        <v>85.81999999999999</v>
      </c>
      <c r="D5309" s="216" t="n">
        <v>1.089673042297363</v>
      </c>
      <c r="E5309" s="215" t="n">
        <v>45595</v>
      </c>
      <c r="F5309" s="215" t="n">
        <v>45595</v>
      </c>
    </row>
    <row r="5310">
      <c r="A5310" s="215" t="n">
        <v>45596</v>
      </c>
      <c r="B5310" s="216" t="n">
        <v>56.45</v>
      </c>
      <c r="C5310" s="216" t="n">
        <v>82.91</v>
      </c>
      <c r="D5310" s="216" t="n">
        <v>1.091989994049072</v>
      </c>
      <c r="E5310" s="215" t="n">
        <v>45596</v>
      </c>
      <c r="F5310" s="215" t="n">
        <v>45596</v>
      </c>
    </row>
    <row r="5311">
      <c r="A5311" s="215" t="n">
        <v>45597</v>
      </c>
      <c r="B5311" s="216" t="n">
        <v>56.2</v>
      </c>
      <c r="C5311" s="216" t="n">
        <v>81.2</v>
      </c>
      <c r="D5311" s="216" t="n">
        <v>1.091570019721985</v>
      </c>
      <c r="E5311" s="215" t="n">
        <v>45597</v>
      </c>
      <c r="F5311" s="215" t="n">
        <v>45597</v>
      </c>
    </row>
    <row r="5312">
      <c r="A5312" s="215" t="n">
        <v>45600</v>
      </c>
      <c r="B5312" s="216" t="n">
        <v>56.6</v>
      </c>
      <c r="C5312" s="216" t="n">
        <v>83.39</v>
      </c>
      <c r="D5312" s="216" t="n">
        <v>1.091678023338318</v>
      </c>
      <c r="E5312" s="215" t="n">
        <v>45600</v>
      </c>
      <c r="F5312" s="215" t="n">
        <v>45600</v>
      </c>
    </row>
    <row r="5313">
      <c r="A5313" s="215" t="n">
        <v>45601</v>
      </c>
      <c r="B5313" s="216" t="n">
        <v>59.75</v>
      </c>
      <c r="C5313" s="216" t="n">
        <v>87.08</v>
      </c>
      <c r="D5313" s="216" t="n">
        <v>1.094761967658997</v>
      </c>
      <c r="E5313" s="215" t="n">
        <v>45601</v>
      </c>
      <c r="F5313" s="215" t="n">
        <v>45601</v>
      </c>
    </row>
    <row r="5314">
      <c r="A5314" s="215" t="n">
        <v>45602</v>
      </c>
      <c r="B5314" s="216" t="n">
        <v>61.3</v>
      </c>
      <c r="C5314" s="216" t="n">
        <v>88.3</v>
      </c>
      <c r="D5314" s="216" t="n">
        <v>1.094082951545715</v>
      </c>
      <c r="E5314" s="215" t="n">
        <v>45602</v>
      </c>
      <c r="F5314" s="215" t="n">
        <v>45602</v>
      </c>
    </row>
    <row r="5315">
      <c r="A5315" s="215" t="n">
        <v>45603</v>
      </c>
      <c r="B5315" s="216" t="n">
        <v>61.1</v>
      </c>
      <c r="C5315" s="216" t="n">
        <v>88.5</v>
      </c>
      <c r="D5315" s="216" t="n">
        <v>1.083237051963806</v>
      </c>
      <c r="E5315" s="215" t="n">
        <v>45603</v>
      </c>
      <c r="F5315" s="215" t="n">
        <v>45603</v>
      </c>
    </row>
    <row r="5316">
      <c r="A5316" s="215" t="n">
        <v>45604</v>
      </c>
      <c r="B5316" s="216" t="n">
        <v>59.3</v>
      </c>
      <c r="C5316" s="216" t="n">
        <v>86.3</v>
      </c>
      <c r="D5316" s="216" t="n">
        <v>1.087854027748108</v>
      </c>
      <c r="E5316" s="215" t="n">
        <v>45604</v>
      </c>
      <c r="F5316" s="215" t="n">
        <v>45604</v>
      </c>
    </row>
    <row r="5317">
      <c r="A5317" s="215" t="n">
        <v>45607</v>
      </c>
      <c r="B5317" s="216" t="n">
        <v>60.3</v>
      </c>
      <c r="C5317" s="216" t="n">
        <v>89.8</v>
      </c>
      <c r="D5317" s="216" t="n">
        <v>1.082896947860718</v>
      </c>
      <c r="E5317" s="215" t="n">
        <v>45607</v>
      </c>
      <c r="F5317" s="215" t="n">
        <v>45607</v>
      </c>
    </row>
    <row r="5318">
      <c r="A5318" s="215" t="n">
        <v>45608</v>
      </c>
      <c r="B5318" s="216" t="n">
        <v>61.95</v>
      </c>
      <c r="C5318" s="216" t="n">
        <v>91.25</v>
      </c>
      <c r="D5318" s="216" t="n">
        <v>1.077934980392456</v>
      </c>
      <c r="E5318" s="215" t="n">
        <v>45608</v>
      </c>
      <c r="F5318" s="215" t="n">
        <v>45608</v>
      </c>
    </row>
    <row r="5319">
      <c r="A5319" s="215" t="n">
        <v>45609</v>
      </c>
      <c r="B5319" s="216" t="n">
        <v>58.7</v>
      </c>
      <c r="C5319" s="216" t="n">
        <v>88.58</v>
      </c>
      <c r="D5319" s="216" t="n">
        <v>1.075376033782959</v>
      </c>
      <c r="E5319" s="215" t="n">
        <v>45609</v>
      </c>
      <c r="F5319" s="215" t="n">
        <v>45609</v>
      </c>
    </row>
    <row r="5320">
      <c r="A5320" s="215" t="n">
        <v>45610</v>
      </c>
      <c r="B5320" s="216" t="n">
        <v>56.25</v>
      </c>
      <c r="C5320" s="216" t="n">
        <v>85.72</v>
      </c>
      <c r="D5320" s="216" t="n">
        <v>1.07691502571106</v>
      </c>
      <c r="E5320" s="215" t="n">
        <v>45610</v>
      </c>
      <c r="F5320" s="215" t="n">
        <v>45610</v>
      </c>
    </row>
    <row r="5321">
      <c r="A5321" s="215" t="n">
        <v>45611</v>
      </c>
      <c r="B5321" s="216" t="n">
        <v>55</v>
      </c>
      <c r="C5321" s="216" t="n">
        <v>83.06</v>
      </c>
      <c r="D5321" s="216" t="n">
        <v>1.07588803768158</v>
      </c>
      <c r="E5321" s="215" t="n">
        <v>45611</v>
      </c>
      <c r="F5321" s="215" t="n">
        <v>45611</v>
      </c>
    </row>
    <row r="5322">
      <c r="A5322" s="215" t="n">
        <v>45614</v>
      </c>
      <c r="B5322" s="216" t="n">
        <v>53.6</v>
      </c>
      <c r="C5322" s="216" t="n">
        <v>82.89</v>
      </c>
      <c r="D5322" s="216" t="n">
        <v>1.076550960540771</v>
      </c>
      <c r="E5322" s="215" t="n">
        <v>45614</v>
      </c>
      <c r="F5322" s="215" t="n">
        <v>45614</v>
      </c>
    </row>
    <row r="5323">
      <c r="A5323" s="215" t="n">
        <v>45615</v>
      </c>
      <c r="B5323" s="216" t="n">
        <v>53.75</v>
      </c>
      <c r="C5323" s="216" t="n">
        <v>85.66</v>
      </c>
      <c r="D5323" s="216" t="n">
        <v>1.075461030006409</v>
      </c>
      <c r="E5323" s="215" t="n">
        <v>45615</v>
      </c>
      <c r="F5323" s="215" t="n">
        <v>45615</v>
      </c>
    </row>
    <row r="5324">
      <c r="A5324" s="215" t="n">
        <v>45616</v>
      </c>
      <c r="B5324" s="216" t="n">
        <v>54.45</v>
      </c>
      <c r="C5324" s="216" t="n">
        <v>88.90000000000001</v>
      </c>
      <c r="D5324" s="216" t="n">
        <v>1.075147032737732</v>
      </c>
      <c r="E5324" s="215" t="n">
        <v>45616</v>
      </c>
      <c r="F5324" s="215" t="n">
        <v>45616</v>
      </c>
    </row>
    <row r="5325">
      <c r="A5325" s="215" t="n">
        <v>45617</v>
      </c>
      <c r="B5325" s="216" t="n">
        <v>55.2</v>
      </c>
      <c r="C5325" s="216" t="n">
        <v>88.5</v>
      </c>
      <c r="D5325" s="216" t="n">
        <v>1.074183940887451</v>
      </c>
      <c r="E5325" s="215" t="n">
        <v>45617</v>
      </c>
      <c r="F5325" s="215" t="n">
        <v>45617</v>
      </c>
    </row>
    <row r="5326">
      <c r="A5326" s="215" t="n">
        <v>45618</v>
      </c>
      <c r="B5326" s="216" t="n">
        <v>53.2</v>
      </c>
      <c r="C5326" s="216" t="n">
        <v>84</v>
      </c>
      <c r="D5326" s="216" t="n">
        <v>1.075669050216675</v>
      </c>
      <c r="E5326" s="215" t="n">
        <v>45618</v>
      </c>
      <c r="F5326" s="215" t="n">
        <v>45618</v>
      </c>
    </row>
    <row r="5327">
      <c r="A5327" s="215" t="n">
        <v>45621</v>
      </c>
      <c r="B5327" s="216" t="n">
        <v>52.15</v>
      </c>
      <c r="C5327" s="216" t="n">
        <v>83.25</v>
      </c>
      <c r="D5327" s="216" t="n">
        <v>1.074473023414612</v>
      </c>
      <c r="E5327" s="215" t="n">
        <v>45621</v>
      </c>
      <c r="F5327" s="215" t="n">
        <v>45621</v>
      </c>
    </row>
    <row r="5328">
      <c r="A5328" s="215" t="n">
        <v>45622</v>
      </c>
      <c r="B5328" s="216" t="n">
        <v>50.8</v>
      </c>
      <c r="C5328" s="216" t="n">
        <v>81.23999999999999</v>
      </c>
      <c r="D5328" s="216" t="n">
        <v>1.073958039283752</v>
      </c>
      <c r="E5328" s="215" t="n">
        <v>45622</v>
      </c>
      <c r="F5328" s="215" t="n">
        <v>45622</v>
      </c>
    </row>
    <row r="5329">
      <c r="A5329" s="215" t="n">
        <v>45623</v>
      </c>
      <c r="B5329" s="216" t="n">
        <v>52.6</v>
      </c>
      <c r="C5329" s="216" t="n">
        <v>82.62</v>
      </c>
      <c r="D5329" s="216" t="n">
        <v>1.073114991188049</v>
      </c>
      <c r="E5329" s="215" t="n">
        <v>45623</v>
      </c>
      <c r="F5329" s="215" t="n">
        <v>45623</v>
      </c>
    </row>
    <row r="5330">
      <c r="A5330" s="215" t="n">
        <v>45624</v>
      </c>
      <c r="B5330" s="216" t="n">
        <v>51.35</v>
      </c>
      <c r="C5330" s="216" t="n">
        <v>81.65000000000001</v>
      </c>
      <c r="D5330" s="216" t="n">
        <v>1.073555946350098</v>
      </c>
      <c r="E5330" s="215" t="n">
        <v>45624</v>
      </c>
      <c r="F5330" s="215" t="n">
        <v>45624</v>
      </c>
    </row>
    <row r="5331">
      <c r="A5331" s="215" t="n">
        <v>45625</v>
      </c>
      <c r="B5331" s="216" t="n">
        <v>51.45</v>
      </c>
      <c r="C5331" s="216" t="n">
        <v>83.90000000000001</v>
      </c>
      <c r="D5331" s="216" t="n">
        <v>1.074349999427795</v>
      </c>
      <c r="E5331" s="215" t="n">
        <v>45625</v>
      </c>
      <c r="F5331" s="215" t="n">
        <v>45625</v>
      </c>
    </row>
    <row r="5332">
      <c r="A5332" s="215" t="n">
        <v>45628</v>
      </c>
      <c r="B5332" s="216" t="n">
        <v>52.25</v>
      </c>
      <c r="C5332" s="216" t="n">
        <v>82.5</v>
      </c>
      <c r="D5332" s="216" t="n">
        <v>1.074655055999756</v>
      </c>
      <c r="E5332" s="215" t="n">
        <v>45628</v>
      </c>
      <c r="F5332" s="215" t="n">
        <v>45628</v>
      </c>
    </row>
    <row r="5333">
      <c r="A5333" s="215" t="n">
        <v>45629</v>
      </c>
      <c r="B5333" s="216" t="n">
        <v>52.9</v>
      </c>
      <c r="C5333" s="216" t="n">
        <v>82.08</v>
      </c>
      <c r="D5333" s="216" t="n">
        <v>1.069697022438049</v>
      </c>
      <c r="E5333" s="215" t="n">
        <v>45629</v>
      </c>
      <c r="F5333" s="215" t="n">
        <v>45629</v>
      </c>
    </row>
    <row r="5334">
      <c r="A5334" s="215" t="n">
        <v>45630</v>
      </c>
      <c r="B5334" s="216" t="n">
        <v>51.9</v>
      </c>
      <c r="C5334" s="216" t="n">
        <v>80.13</v>
      </c>
      <c r="D5334" s="216" t="n">
        <v>1.068164944648743</v>
      </c>
      <c r="E5334" s="215" t="n">
        <v>45630</v>
      </c>
      <c r="F5334" s="215" t="n">
        <v>45630</v>
      </c>
    </row>
    <row r="5335">
      <c r="A5335" s="215" t="n">
        <v>45631</v>
      </c>
      <c r="B5335" s="216" t="n">
        <v>51.3</v>
      </c>
      <c r="C5335" s="216" t="n">
        <v>79.27</v>
      </c>
      <c r="D5335" s="216" t="n">
        <v>1.071516990661621</v>
      </c>
      <c r="E5335" s="215" t="n">
        <v>45631</v>
      </c>
      <c r="F5335" s="215" t="n">
        <v>45631</v>
      </c>
    </row>
    <row r="5336">
      <c r="A5336" s="215" t="n">
        <v>45632</v>
      </c>
      <c r="B5336" s="216" t="n">
        <v>54.9</v>
      </c>
      <c r="C5336" s="216" t="n">
        <v>84.90000000000001</v>
      </c>
      <c r="D5336" s="216" t="n">
        <v>1.07178795337677</v>
      </c>
      <c r="E5336" s="215" t="n">
        <v>45632</v>
      </c>
      <c r="F5336" s="215" t="n">
        <v>45632</v>
      </c>
    </row>
    <row r="5337">
      <c r="A5337" s="215" t="n">
        <v>45635</v>
      </c>
      <c r="B5337" s="216" t="n">
        <v>56.7</v>
      </c>
      <c r="C5337" s="216" t="n">
        <v>86.3</v>
      </c>
      <c r="D5337" s="216" t="n">
        <v>1.070058941841125</v>
      </c>
      <c r="E5337" s="215" t="n">
        <v>45635</v>
      </c>
      <c r="F5337" s="215" t="n">
        <v>45635</v>
      </c>
    </row>
    <row r="5338">
      <c r="A5338" s="215" t="n">
        <v>45636</v>
      </c>
      <c r="B5338" s="216" t="n">
        <v>55.05</v>
      </c>
      <c r="C5338" s="216" t="n">
        <v>85.3</v>
      </c>
      <c r="D5338" s="216" t="n">
        <v>1.07076895236969</v>
      </c>
      <c r="E5338" s="215" t="n">
        <v>45636</v>
      </c>
      <c r="F5338" s="215" t="n">
        <v>45636</v>
      </c>
    </row>
    <row r="5339">
      <c r="A5339" s="215" t="n">
        <v>45637</v>
      </c>
      <c r="B5339" s="216" t="n">
        <v>54.9</v>
      </c>
      <c r="C5339" s="216" t="n">
        <v>84.77</v>
      </c>
      <c r="D5339" s="216" t="n">
        <v>1.072139024734497</v>
      </c>
      <c r="E5339" s="215" t="n">
        <v>45637</v>
      </c>
      <c r="F5339" s="215" t="n">
        <v>45637</v>
      </c>
    </row>
    <row r="5340">
      <c r="A5340" s="215" t="n">
        <v>45638</v>
      </c>
      <c r="B5340" s="216" t="n">
        <v>55</v>
      </c>
      <c r="C5340" s="216" t="n">
        <v>83.87</v>
      </c>
      <c r="D5340" s="216" t="n">
        <v>1.070543050765991</v>
      </c>
      <c r="E5340" s="215" t="n">
        <v>45638</v>
      </c>
      <c r="F5340" s="215" t="n">
        <v>45638</v>
      </c>
    </row>
    <row r="5341">
      <c r="A5341" s="215" t="n">
        <v>45639</v>
      </c>
      <c r="B5341" s="216" t="n">
        <v>52.8</v>
      </c>
      <c r="C5341" s="216" t="n">
        <v>81.23</v>
      </c>
      <c r="D5341" s="216" t="n">
        <v>1.069535970687866</v>
      </c>
      <c r="E5341" s="215" t="n">
        <v>45639</v>
      </c>
      <c r="F5341" s="215" t="n">
        <v>45639</v>
      </c>
    </row>
    <row r="5342">
      <c r="A5342" s="215" t="n">
        <v>45642</v>
      </c>
      <c r="B5342" s="216" t="n">
        <v>52.3</v>
      </c>
      <c r="C5342" s="216" t="n">
        <v>78.18000000000001</v>
      </c>
      <c r="D5342" s="216" t="n">
        <v>1.068564057350159</v>
      </c>
      <c r="E5342" s="215" t="n">
        <v>45642</v>
      </c>
      <c r="F5342" s="215" t="n">
        <v>45642</v>
      </c>
    </row>
    <row r="5343">
      <c r="A5343" s="215" t="n">
        <v>45643</v>
      </c>
      <c r="B5343" s="216" t="n">
        <v>51.1</v>
      </c>
      <c r="C5343" s="216" t="n">
        <v>77.98</v>
      </c>
      <c r="D5343" s="216" t="n">
        <v>1.06734299659729</v>
      </c>
      <c r="E5343" s="215" t="n">
        <v>45643</v>
      </c>
      <c r="F5343" s="215" t="n">
        <v>45643</v>
      </c>
    </row>
    <row r="5344">
      <c r="A5344" s="215" t="n">
        <v>45644</v>
      </c>
      <c r="B5344" s="216" t="n">
        <v>51.9</v>
      </c>
      <c r="C5344" s="216" t="n">
        <v>78.09</v>
      </c>
      <c r="D5344" s="216" t="n">
        <v>1.066388010978699</v>
      </c>
      <c r="E5344" s="215" t="n">
        <v>45644</v>
      </c>
      <c r="F5344" s="215" t="n">
        <v>45644</v>
      </c>
    </row>
    <row r="5345">
      <c r="A5345" s="215" t="n">
        <v>45645</v>
      </c>
      <c r="B5345" s="216" t="n">
        <v>51.15</v>
      </c>
      <c r="C5345" s="216" t="n">
        <v>78.16</v>
      </c>
      <c r="D5345" s="216" t="n">
        <v>1.066426038742065</v>
      </c>
      <c r="E5345" s="215" t="n">
        <v>45645</v>
      </c>
      <c r="F5345" s="215" t="n">
        <v>45645</v>
      </c>
    </row>
    <row r="5346">
      <c r="A5346" s="215" t="n">
        <v>45646</v>
      </c>
      <c r="B5346" s="216" t="n">
        <v>51.05</v>
      </c>
      <c r="C5346" s="216" t="n">
        <v>78</v>
      </c>
      <c r="D5346" s="216" t="n">
        <v>1.064751029014587</v>
      </c>
      <c r="E5346" s="215" t="n">
        <v>45646</v>
      </c>
      <c r="F5346" s="215" t="n">
        <v>45646</v>
      </c>
    </row>
    <row r="5347">
      <c r="A5347" s="215" t="n">
        <v>45649</v>
      </c>
      <c r="B5347" s="216" t="n">
        <v>51.5</v>
      </c>
      <c r="C5347" s="216" t="n">
        <v>77.08</v>
      </c>
      <c r="D5347" s="216" t="n">
        <v>1.065225005149841</v>
      </c>
      <c r="E5347" s="215" t="n">
        <v>45649</v>
      </c>
      <c r="F5347" s="215" t="n">
        <v>45649</v>
      </c>
    </row>
    <row r="5348">
      <c r="A5348" s="215" t="n">
        <v>45650</v>
      </c>
      <c r="B5348" s="216" t="n">
        <v>51.65</v>
      </c>
      <c r="C5348" s="216" t="n">
        <v>77.67</v>
      </c>
      <c r="D5348" s="216" t="n">
        <v>1.06459105014801</v>
      </c>
      <c r="E5348" s="215" t="n">
        <v>45650</v>
      </c>
      <c r="F5348" s="215" t="n">
        <v>45650</v>
      </c>
    </row>
    <row r="5349">
      <c r="A5349" s="215" t="n">
        <v>45653</v>
      </c>
      <c r="B5349" s="216" t="n">
        <v>50.5</v>
      </c>
      <c r="C5349" s="216" t="n">
        <v>77</v>
      </c>
      <c r="D5349" s="216" t="n">
        <v>1.064249038696289</v>
      </c>
      <c r="E5349" s="215" t="n">
        <v>45653</v>
      </c>
      <c r="F5349" s="215" t="n">
        <v>45653</v>
      </c>
    </row>
    <row r="5350">
      <c r="A5350" s="215" t="n">
        <v>45656</v>
      </c>
      <c r="B5350" s="216" t="n">
        <v>52.2</v>
      </c>
      <c r="C5350" s="216" t="n">
        <v>78.55</v>
      </c>
      <c r="D5350" s="216" t="n">
        <v>1.063662052154541</v>
      </c>
      <c r="E5350" s="215" t="n">
        <v>45656</v>
      </c>
      <c r="F5350" s="215" t="n">
        <v>45656</v>
      </c>
    </row>
    <row r="5351">
      <c r="A5351" s="215" t="n">
        <v>45657</v>
      </c>
      <c r="B5351" s="216" t="n">
        <v>51.45</v>
      </c>
      <c r="C5351" s="216" t="n">
        <v>76.09</v>
      </c>
      <c r="D5351" s="216" t="n">
        <v>1.063554048538208</v>
      </c>
      <c r="E5351" s="215" t="n">
        <v>45657</v>
      </c>
      <c r="F5351" s="215" t="n">
        <v>45657</v>
      </c>
    </row>
    <row r="5352">
      <c r="A5352" s="215" t="n">
        <v>45659</v>
      </c>
      <c r="B5352" s="216" t="n">
        <v>50.05</v>
      </c>
      <c r="C5352" s="216" t="n">
        <v>74.40000000000001</v>
      </c>
      <c r="D5352" s="216" t="n">
        <v>1.064368963241577</v>
      </c>
      <c r="E5352" s="215" t="n">
        <v>45659</v>
      </c>
      <c r="F5352" s="215" t="n">
        <v>45659</v>
      </c>
    </row>
    <row r="5353">
      <c r="A5353" s="215" t="n">
        <v>45660</v>
      </c>
      <c r="B5353" s="216" t="n">
        <v>49.4</v>
      </c>
      <c r="C5353" s="216" t="n">
        <v>73.23</v>
      </c>
      <c r="D5353" s="216" t="n">
        <v>1.065240979194641</v>
      </c>
      <c r="E5353" s="215" t="n">
        <v>45660</v>
      </c>
      <c r="F5353" s="215" t="n">
        <v>45660</v>
      </c>
    </row>
    <row r="5354">
      <c r="A5354" s="215" t="n">
        <v>45663</v>
      </c>
      <c r="B5354" s="216" t="n">
        <v>49.45</v>
      </c>
      <c r="C5354" s="216" t="n">
        <v>73.42</v>
      </c>
      <c r="D5354" s="216" t="n">
        <v>1.062374949455261</v>
      </c>
      <c r="E5354" s="215" t="n">
        <v>45663</v>
      </c>
      <c r="F5354" s="215" t="n">
        <v>45663</v>
      </c>
    </row>
    <row r="5355">
      <c r="A5355" s="215" t="n">
        <v>45664</v>
      </c>
      <c r="B5355" s="216" t="n">
        <v>49.6</v>
      </c>
      <c r="C5355" s="216" t="n">
        <v>72.29000000000001</v>
      </c>
      <c r="D5355" s="216" t="n">
        <v>1.061730027198792</v>
      </c>
      <c r="E5355" s="215" t="n">
        <v>45664</v>
      </c>
      <c r="F5355" s="215" t="n">
        <v>45664</v>
      </c>
    </row>
    <row r="5356">
      <c r="A5356" s="215" t="n">
        <v>45665</v>
      </c>
      <c r="B5356" s="216" t="n">
        <v>47.3</v>
      </c>
      <c r="C5356" s="216" t="n">
        <v>70.75</v>
      </c>
      <c r="D5356" s="216" t="n">
        <v>1.061154961585999</v>
      </c>
      <c r="E5356" s="215" t="n">
        <v>45665</v>
      </c>
      <c r="F5356" s="215" t="n">
        <v>45665</v>
      </c>
    </row>
    <row r="5357">
      <c r="A5357" s="215" t="n">
        <v>45666</v>
      </c>
      <c r="B5357" s="216" t="n">
        <v>46.8</v>
      </c>
      <c r="C5357" s="216" t="n">
        <v>70.40000000000001</v>
      </c>
      <c r="D5357" s="216" t="n">
        <v>1.061004042625427</v>
      </c>
      <c r="E5357" s="215" t="n">
        <v>45666</v>
      </c>
      <c r="F5357" s="215" t="n">
        <v>45666</v>
      </c>
    </row>
    <row r="5358">
      <c r="A5358" s="215" t="n">
        <v>45667</v>
      </c>
      <c r="B5358" s="216" t="n">
        <v>46</v>
      </c>
      <c r="C5358" s="216" t="n">
        <v>69.72</v>
      </c>
      <c r="D5358" s="216" t="n">
        <v>1.061197996139526</v>
      </c>
      <c r="E5358" s="215" t="n">
        <v>45667</v>
      </c>
      <c r="F5358" s="215" t="n">
        <v>45667</v>
      </c>
    </row>
    <row r="5359">
      <c r="A5359" s="215" t="n">
        <v>45670</v>
      </c>
      <c r="B5359" s="216" t="n">
        <v>46.6</v>
      </c>
      <c r="C5359" s="216" t="n">
        <v>70</v>
      </c>
      <c r="D5359" s="216" t="n">
        <v>1.061838984489441</v>
      </c>
      <c r="E5359" s="215" t="n">
        <v>45670</v>
      </c>
      <c r="F5359" s="215" t="n">
        <v>45670</v>
      </c>
    </row>
    <row r="5360">
      <c r="A5360" s="215" t="n">
        <v>45671</v>
      </c>
      <c r="B5360" s="216" t="n">
        <v>47.65</v>
      </c>
      <c r="C5360" s="216" t="n">
        <v>73.98999999999999</v>
      </c>
      <c r="D5360" s="216" t="n">
        <v>1.061681032180786</v>
      </c>
      <c r="E5360" s="215" t="n">
        <v>45671</v>
      </c>
      <c r="F5360" s="215" t="n">
        <v>45671</v>
      </c>
    </row>
    <row r="5361">
      <c r="A5361" s="215" t="n">
        <v>45672</v>
      </c>
      <c r="B5361" s="216" t="n">
        <v>46.8</v>
      </c>
      <c r="C5361" s="216" t="n">
        <v>73.63</v>
      </c>
      <c r="D5361" s="216" t="n">
        <v>1.062003970146179</v>
      </c>
      <c r="E5361" s="215" t="n">
        <v>45672</v>
      </c>
      <c r="F5361" s="215" t="n">
        <v>45672</v>
      </c>
    </row>
    <row r="5362">
      <c r="A5362" s="215" t="n">
        <v>45673</v>
      </c>
      <c r="B5362" s="216" t="n">
        <v>47.55</v>
      </c>
      <c r="C5362" s="216" t="n">
        <v>73.01000000000001</v>
      </c>
      <c r="D5362" s="216" t="n">
        <v>1.061879992485046</v>
      </c>
      <c r="E5362" s="215" t="n">
        <v>45673</v>
      </c>
      <c r="F5362" s="215" t="n">
        <v>45673</v>
      </c>
    </row>
    <row r="5363">
      <c r="A5363" s="215" t="n">
        <v>45674</v>
      </c>
      <c r="B5363" s="216" t="n">
        <v>48</v>
      </c>
      <c r="C5363" s="216" t="n">
        <v>73.70999999999999</v>
      </c>
      <c r="D5363" s="216" t="n">
        <v>1.06210196018219</v>
      </c>
      <c r="E5363" s="215" t="n">
        <v>45674</v>
      </c>
      <c r="F5363" s="215" t="n">
        <v>45674</v>
      </c>
    </row>
    <row r="5364">
      <c r="A5364" s="215" t="n">
        <v>45677</v>
      </c>
      <c r="B5364" s="216" t="n">
        <v>50.2</v>
      </c>
      <c r="C5364" s="216" t="n">
        <v>75.52</v>
      </c>
      <c r="D5364" s="216" t="n">
        <v>1.062587022781372</v>
      </c>
      <c r="E5364" s="215" t="n">
        <v>45677</v>
      </c>
      <c r="F5364" s="215" t="n">
        <v>45677</v>
      </c>
    </row>
    <row r="5365">
      <c r="A5365" s="215" t="n">
        <v>45678</v>
      </c>
      <c r="B5365" s="216" t="n">
        <v>48.85</v>
      </c>
      <c r="C5365" s="216" t="n">
        <v>75.28</v>
      </c>
      <c r="D5365" s="216" t="n">
        <v>1.063603043556213</v>
      </c>
      <c r="E5365" s="215" t="n">
        <v>45678</v>
      </c>
      <c r="F5365" s="215" t="n">
        <v>45678</v>
      </c>
    </row>
    <row r="5366">
      <c r="A5366" s="215" t="n">
        <v>45679</v>
      </c>
      <c r="B5366" s="216" t="n">
        <v>47.55</v>
      </c>
      <c r="C5366" s="216" t="n">
        <v>74.34999999999999</v>
      </c>
      <c r="D5366" s="216" t="n">
        <v>1.070593953132629</v>
      </c>
      <c r="E5366" s="215" t="n">
        <v>45679</v>
      </c>
      <c r="F5366" s="215" t="n">
        <v>45679</v>
      </c>
    </row>
    <row r="5367">
      <c r="A5367" s="215" t="n">
        <v>45680</v>
      </c>
      <c r="B5367" s="216" t="n">
        <v>48.05</v>
      </c>
      <c r="C5367" s="216" t="n">
        <v>73.55</v>
      </c>
      <c r="D5367" s="216" t="n">
        <v>1.070641040802002</v>
      </c>
      <c r="E5367" s="215" t="n">
        <v>45680</v>
      </c>
      <c r="F5367" s="215" t="n">
        <v>45680</v>
      </c>
    </row>
    <row r="5368">
      <c r="A5368" s="215" t="n">
        <v>45681</v>
      </c>
      <c r="B5368" s="216" t="n">
        <v>48.95</v>
      </c>
      <c r="C5368" s="216" t="n">
        <v>74.73999999999999</v>
      </c>
      <c r="D5368" s="216" t="n">
        <v>1.068833947181702</v>
      </c>
      <c r="E5368" s="215" t="n">
        <v>45681</v>
      </c>
      <c r="F5368" s="215" t="n">
        <v>45681</v>
      </c>
    </row>
    <row r="5369">
      <c r="A5369" s="215" t="n">
        <v>45684</v>
      </c>
      <c r="B5369" s="216" t="n">
        <v>50</v>
      </c>
      <c r="C5369" s="216" t="n">
        <v>74.5</v>
      </c>
      <c r="D5369" s="216" t="n">
        <v>1.075027942657471</v>
      </c>
      <c r="E5369" s="215" t="n">
        <v>45684</v>
      </c>
      <c r="F5369" s="215" t="n">
        <v>45684</v>
      </c>
    </row>
    <row r="5370">
      <c r="A5370" s="215" t="n">
        <v>45685</v>
      </c>
      <c r="B5370" s="216" t="n">
        <v>49.5</v>
      </c>
      <c r="C5370" s="216" t="n">
        <v>74.5</v>
      </c>
      <c r="D5370" s="216" t="n">
        <v>1.074183940887451</v>
      </c>
      <c r="E5370" s="215" t="n">
        <v>45684</v>
      </c>
      <c r="F5370" s="215" t="n">
        <v>45685</v>
      </c>
    </row>
    <row r="5371">
      <c r="A5371" s="215" t="n">
        <v>45691</v>
      </c>
      <c r="B5371" s="216" t="n">
        <v>49.75</v>
      </c>
      <c r="C5371" s="216" t="n">
        <v>74.5</v>
      </c>
      <c r="D5371" s="216" t="n">
        <v>1.084506034851074</v>
      </c>
      <c r="E5371" s="215" t="n">
        <v>45684</v>
      </c>
      <c r="F5371" s="215" t="n">
        <v>45691</v>
      </c>
    </row>
    <row r="5372">
      <c r="A5372" s="215" t="n">
        <v>45692</v>
      </c>
      <c r="B5372" s="216" t="n">
        <v>50.5</v>
      </c>
      <c r="C5372" s="216" t="n">
        <v>74.5</v>
      </c>
      <c r="D5372" s="216" t="n">
        <v>1.082739949226379</v>
      </c>
      <c r="E5372" s="215" t="n">
        <v>45684</v>
      </c>
      <c r="F5372" s="215" t="n">
        <v>45692</v>
      </c>
    </row>
    <row r="5373">
      <c r="A5373" s="215" t="n">
        <v>45693</v>
      </c>
      <c r="B5373" s="216" t="n">
        <v>50.55</v>
      </c>
      <c r="C5373" s="216" t="n">
        <v>75.67</v>
      </c>
      <c r="D5373" s="216" t="n">
        <v>1.083930015563965</v>
      </c>
      <c r="E5373" s="215" t="n">
        <v>45693</v>
      </c>
      <c r="F5373" s="215" t="n">
        <v>45693</v>
      </c>
    </row>
    <row r="5374">
      <c r="A5374" s="215" t="n">
        <v>45694</v>
      </c>
      <c r="B5374" s="216" t="n">
        <v>53</v>
      </c>
      <c r="C5374" s="216" t="n">
        <v>78.95999999999999</v>
      </c>
      <c r="D5374" s="216" t="n">
        <v>1.070767045021057</v>
      </c>
      <c r="E5374" s="215" t="n">
        <v>45694</v>
      </c>
      <c r="F5374" s="215" t="n">
        <v>45694</v>
      </c>
    </row>
    <row r="5375">
      <c r="A5375" s="215" t="n">
        <v>45695</v>
      </c>
      <c r="B5375" s="216" t="n">
        <v>53.2</v>
      </c>
      <c r="C5375" s="216" t="n">
        <v>79.81999999999999</v>
      </c>
      <c r="D5375" s="216" t="n">
        <v>1.068161010742188</v>
      </c>
      <c r="E5375" s="215" t="n">
        <v>45695</v>
      </c>
      <c r="F5375" s="215" t="n">
        <v>45695</v>
      </c>
    </row>
    <row r="5376">
      <c r="A5376" s="215" t="n">
        <v>45698</v>
      </c>
      <c r="B5376" s="216" t="n">
        <v>55.85</v>
      </c>
      <c r="C5376" s="216" t="n">
        <v>83.31</v>
      </c>
      <c r="D5376" s="216" t="n">
        <v>1.068833947181702</v>
      </c>
      <c r="E5376" s="215" t="n">
        <v>45698</v>
      </c>
      <c r="F5376" s="215" t="n">
        <v>45698</v>
      </c>
    </row>
    <row r="5377">
      <c r="A5377" s="215" t="n">
        <v>45699</v>
      </c>
      <c r="B5377" s="216" t="n">
        <v>54.6</v>
      </c>
      <c r="C5377" s="216" t="n">
        <v>81.90000000000001</v>
      </c>
      <c r="D5377" s="216" t="n">
        <v>1.066220045089722</v>
      </c>
      <c r="E5377" s="215" t="n">
        <v>45699</v>
      </c>
      <c r="F5377" s="215" t="n">
        <v>45699</v>
      </c>
    </row>
    <row r="5378">
      <c r="A5378" s="215" t="n">
        <v>45700</v>
      </c>
      <c r="B5378" s="216" t="n">
        <v>54.55</v>
      </c>
      <c r="C5378" s="216" t="n">
        <v>81.33</v>
      </c>
      <c r="D5378" s="216" t="n">
        <v>1.066164970397949</v>
      </c>
      <c r="E5378" s="215" t="n">
        <v>45700</v>
      </c>
      <c r="F5378" s="215" t="n">
        <v>45700</v>
      </c>
    </row>
    <row r="5379">
      <c r="A5379" s="215" t="n">
        <v>45701</v>
      </c>
      <c r="B5379" s="216" t="n">
        <v>52.75</v>
      </c>
      <c r="C5379" s="216" t="n">
        <v>78.90000000000001</v>
      </c>
      <c r="D5379" s="216" t="n">
        <v>1.065642952919006</v>
      </c>
      <c r="E5379" s="215" t="n">
        <v>45701</v>
      </c>
      <c r="F5379" s="215" t="n">
        <v>45701</v>
      </c>
    </row>
    <row r="5380">
      <c r="A5380" s="215" t="n">
        <v>45702</v>
      </c>
      <c r="B5380" s="216" t="n">
        <v>55.85</v>
      </c>
      <c r="C5380" s="216" t="n">
        <v>80.8</v>
      </c>
      <c r="D5380" s="216" t="n">
        <v>1.068236947059631</v>
      </c>
      <c r="E5380" s="215" t="n">
        <v>45702</v>
      </c>
      <c r="F5380" s="215" t="n">
        <v>45702</v>
      </c>
    </row>
    <row r="5381">
      <c r="A5381" s="215" t="n">
        <v>45705</v>
      </c>
      <c r="B5381" s="216" t="n">
        <v>56</v>
      </c>
      <c r="C5381" s="216" t="n">
        <v>82.25</v>
      </c>
      <c r="D5381" s="216" t="n">
        <v>1.072839021682739</v>
      </c>
      <c r="E5381" s="215" t="n">
        <v>45705</v>
      </c>
      <c r="F5381" s="215" t="n">
        <v>45705</v>
      </c>
    </row>
    <row r="5382">
      <c r="A5382" s="215" t="n">
        <v>45706</v>
      </c>
      <c r="B5382" s="216" t="n">
        <v>56.45</v>
      </c>
      <c r="C5382" s="216" t="n">
        <v>81.73</v>
      </c>
      <c r="D5382" s="216" t="n">
        <v>1.072520971298218</v>
      </c>
      <c r="E5382" s="215" t="n">
        <v>45706</v>
      </c>
      <c r="F5382" s="215" t="n">
        <v>45706</v>
      </c>
    </row>
    <row r="5383">
      <c r="A5383" s="215" t="n">
        <v>45707</v>
      </c>
      <c r="B5383" s="216" t="n">
        <v>55.65</v>
      </c>
      <c r="C5383" s="216" t="n">
        <v>81.40000000000001</v>
      </c>
      <c r="D5383" s="216" t="n">
        <v>1.067935943603516</v>
      </c>
      <c r="E5383" s="215" t="n">
        <v>45707</v>
      </c>
      <c r="F5383" s="215" t="n">
        <v>45707</v>
      </c>
    </row>
    <row r="5384">
      <c r="A5384" s="215" t="n">
        <v>45708</v>
      </c>
      <c r="B5384" s="216" t="n">
        <v>59.15</v>
      </c>
      <c r="C5384" s="216" t="n">
        <v>85.93000000000001</v>
      </c>
      <c r="D5384" s="216" t="n">
        <v>1.067798972129822</v>
      </c>
      <c r="E5384" s="215" t="n">
        <v>45708</v>
      </c>
      <c r="F5384" s="215" t="n">
        <v>45708</v>
      </c>
    </row>
    <row r="5385">
      <c r="A5385" s="215" t="n">
        <v>45709</v>
      </c>
      <c r="B5385" s="216" t="n">
        <v>60.15</v>
      </c>
      <c r="C5385" s="216" t="n">
        <v>87.97</v>
      </c>
      <c r="D5385" s="216" t="n">
        <v>1.071557998657227</v>
      </c>
      <c r="E5385" s="215" t="n">
        <v>45709</v>
      </c>
      <c r="F5385" s="215" t="n">
        <v>45709</v>
      </c>
    </row>
    <row r="5386">
      <c r="A5386" s="215" t="n">
        <v>45712</v>
      </c>
      <c r="B5386" s="216" t="n">
        <v>58.2</v>
      </c>
      <c r="C5386" s="216" t="n">
        <v>85.55</v>
      </c>
      <c r="D5386" s="216" t="n">
        <v>1.071457982063293</v>
      </c>
      <c r="E5386" s="215" t="n">
        <v>45712</v>
      </c>
      <c r="F5386" s="215" t="n">
        <v>45712</v>
      </c>
    </row>
    <row r="5387">
      <c r="A5387" s="215" t="n">
        <v>45713</v>
      </c>
      <c r="B5387" s="216" t="n">
        <v>57.05</v>
      </c>
      <c r="C5387" s="216" t="n">
        <v>84.5</v>
      </c>
      <c r="D5387" s="216" t="n">
        <v>1.072481989860535</v>
      </c>
      <c r="E5387" s="215" t="n">
        <v>45713</v>
      </c>
      <c r="F5387" s="215" t="n">
        <v>45713</v>
      </c>
    </row>
    <row r="5388">
      <c r="A5388" s="215" t="n">
        <v>45714</v>
      </c>
      <c r="B5388" s="216" t="n">
        <v>59.75</v>
      </c>
      <c r="C5388" s="216" t="n">
        <v>85.51000000000001</v>
      </c>
      <c r="D5388" s="216" t="n">
        <v>1.072456955909729</v>
      </c>
      <c r="E5388" s="215" t="n">
        <v>45714</v>
      </c>
      <c r="F5388" s="215" t="n">
        <v>45714</v>
      </c>
    </row>
    <row r="5389">
      <c r="A5389" s="215" t="n">
        <v>45715</v>
      </c>
      <c r="B5389" s="216" t="n">
        <v>58.75</v>
      </c>
      <c r="C5389" s="216" t="n">
        <v>84.69</v>
      </c>
      <c r="D5389" s="216" t="n">
        <v>1.070572972297668</v>
      </c>
      <c r="E5389" s="215" t="n">
        <v>45715</v>
      </c>
      <c r="F5389" s="215" t="n">
        <v>45715</v>
      </c>
    </row>
    <row r="5390">
      <c r="A5390" s="215" t="n">
        <v>45716</v>
      </c>
      <c r="B5390" s="216" t="n">
        <v>55</v>
      </c>
      <c r="C5390" s="216" t="n">
        <v>81.64</v>
      </c>
      <c r="D5390" s="216" t="n">
        <v>1.067088961601257</v>
      </c>
      <c r="E5390" s="215" t="n">
        <v>45716</v>
      </c>
      <c r="F5390" s="215" t="n">
        <v>45716</v>
      </c>
    </row>
    <row r="5391">
      <c r="A5391" s="215" t="n">
        <v>45719</v>
      </c>
      <c r="B5391" s="216" t="n">
        <v>55.15</v>
      </c>
      <c r="C5391" s="216" t="n">
        <v>82</v>
      </c>
      <c r="D5391" s="216" t="n">
        <v>1.06771194934845</v>
      </c>
      <c r="E5391" s="215" t="n">
        <v>45719</v>
      </c>
      <c r="F5391" s="215" t="n">
        <v>45719</v>
      </c>
    </row>
    <row r="5392">
      <c r="A5392" s="215" t="n">
        <v>45720</v>
      </c>
      <c r="B5392" s="216" t="n">
        <v>54.3</v>
      </c>
      <c r="C5392" s="216" t="n">
        <v>81.98999999999999</v>
      </c>
      <c r="D5392" s="216" t="n">
        <v>1.067291021347046</v>
      </c>
      <c r="E5392" s="215" t="n">
        <v>45720</v>
      </c>
      <c r="F5392" s="215" t="n">
        <v>45720</v>
      </c>
    </row>
    <row r="5393">
      <c r="A5393" s="215" t="n">
        <v>45721</v>
      </c>
      <c r="B5393" s="216" t="n">
        <v>53.95</v>
      </c>
      <c r="C5393" s="216" t="n">
        <v>79.01000000000001</v>
      </c>
      <c r="D5393" s="216" t="n">
        <v>1.069700956344604</v>
      </c>
      <c r="E5393" s="215" t="n">
        <v>45721</v>
      </c>
      <c r="F5393" s="215" t="n">
        <v>45721</v>
      </c>
    </row>
    <row r="5394">
      <c r="A5394" s="215" t="n">
        <v>45722</v>
      </c>
      <c r="B5394" s="216" t="n">
        <v>55</v>
      </c>
      <c r="C5394" s="216" t="n">
        <v>80.78</v>
      </c>
      <c r="D5394" s="216" t="n">
        <v>1.071586012840271</v>
      </c>
      <c r="E5394" s="215" t="n">
        <v>45722</v>
      </c>
      <c r="F5394" s="215" t="n">
        <v>45722</v>
      </c>
    </row>
    <row r="5395">
      <c r="A5395" s="215" t="n">
        <v>45723</v>
      </c>
      <c r="B5395" s="216" t="n">
        <v>53.2</v>
      </c>
      <c r="C5395" s="216" t="n">
        <v>79.87</v>
      </c>
      <c r="D5395" s="216" t="n">
        <v>1.071760058403015</v>
      </c>
      <c r="E5395" s="215" t="n">
        <v>45723</v>
      </c>
      <c r="F5395" s="215" t="n">
        <v>45723</v>
      </c>
    </row>
    <row r="5396">
      <c r="A5396" s="215" t="n">
        <v>45726</v>
      </c>
      <c r="B5396" s="216" t="n">
        <v>54.1</v>
      </c>
      <c r="C5396" s="216" t="n">
        <v>77.95</v>
      </c>
      <c r="D5396" s="216" t="n">
        <v>1.074237942695618</v>
      </c>
      <c r="E5396" s="215" t="n">
        <v>45726</v>
      </c>
      <c r="F5396" s="215" t="n">
        <v>45726</v>
      </c>
    </row>
    <row r="5397">
      <c r="A5397" s="215" t="n">
        <v>45727</v>
      </c>
      <c r="B5397" s="216" t="n">
        <v>54.25</v>
      </c>
      <c r="C5397" s="216" t="n">
        <v>77.48999999999999</v>
      </c>
      <c r="D5397" s="216" t="n">
        <v>1.069882988929749</v>
      </c>
      <c r="E5397" s="215" t="n">
        <v>45727</v>
      </c>
      <c r="F5397" s="215" t="n">
        <v>45727</v>
      </c>
    </row>
    <row r="5398">
      <c r="A5398" s="215" t="n">
        <v>45728</v>
      </c>
      <c r="B5398" s="216" t="n">
        <v>54</v>
      </c>
      <c r="C5398" s="216" t="n">
        <v>77.41</v>
      </c>
      <c r="D5398" s="216" t="n">
        <v>1.070067048072815</v>
      </c>
      <c r="E5398" s="215" t="n">
        <v>45728</v>
      </c>
      <c r="F5398" s="215" t="n">
        <v>45728</v>
      </c>
    </row>
    <row r="5399">
      <c r="A5399" s="215" t="n">
        <v>45729</v>
      </c>
      <c r="B5399" s="216" t="n">
        <v>53.1</v>
      </c>
      <c r="C5399" s="216" t="n">
        <v>76.44</v>
      </c>
      <c r="D5399" s="216" t="n">
        <v>1.07337498664856</v>
      </c>
      <c r="E5399" s="215" t="n">
        <v>45729</v>
      </c>
      <c r="F5399" s="215" t="n">
        <v>45729</v>
      </c>
    </row>
    <row r="5400">
      <c r="A5400" s="215" t="n">
        <v>45730</v>
      </c>
      <c r="B5400" s="216" t="n">
        <v>57.4</v>
      </c>
      <c r="C5400" s="216" t="n">
        <v>79.56999999999999</v>
      </c>
      <c r="D5400" s="216" t="n">
        <v>1.073752999305725</v>
      </c>
      <c r="E5400" s="215" t="n">
        <v>45730</v>
      </c>
      <c r="F5400" s="215" t="n">
        <v>45730</v>
      </c>
    </row>
    <row r="5401">
      <c r="A5401" s="215" t="n">
        <v>45733</v>
      </c>
      <c r="B5401" s="216" t="n">
        <v>57.55</v>
      </c>
      <c r="C5401" s="216" t="n">
        <v>79</v>
      </c>
      <c r="D5401" s="216" t="n">
        <v>1.073765993118286</v>
      </c>
      <c r="E5401" s="215" t="n">
        <v>45733</v>
      </c>
      <c r="F5401" s="215" t="n">
        <v>45733</v>
      </c>
    </row>
    <row r="5402">
      <c r="A5402" s="215" t="n">
        <v>45734</v>
      </c>
      <c r="B5402" s="216" t="n">
        <v>61.05</v>
      </c>
      <c r="C5402" s="216" t="n">
        <v>81.91</v>
      </c>
      <c r="D5402" s="216" t="n">
        <v>1.073990941047668</v>
      </c>
      <c r="E5402" s="215" t="n">
        <v>45734</v>
      </c>
      <c r="F5402" s="215" t="n">
        <v>45734</v>
      </c>
    </row>
    <row r="5403">
      <c r="A5403" s="215" t="n">
        <v>45735</v>
      </c>
      <c r="B5403" s="216" t="n">
        <v>61.2</v>
      </c>
      <c r="C5403" s="216" t="n">
        <v>80.98</v>
      </c>
      <c r="D5403" s="216" t="n">
        <v>1.074807047843933</v>
      </c>
      <c r="E5403" s="215" t="n">
        <v>45735</v>
      </c>
      <c r="F5403" s="215" t="n">
        <v>45735</v>
      </c>
    </row>
    <row r="5404">
      <c r="A5404" s="215" t="n">
        <v>45736</v>
      </c>
      <c r="B5404" s="216" t="n">
        <v>61.25</v>
      </c>
      <c r="C5404" s="216" t="n">
        <v>80.20999999999999</v>
      </c>
      <c r="D5404" s="216" t="n">
        <v>1.074540019035339</v>
      </c>
      <c r="E5404" s="215" t="n">
        <v>45736</v>
      </c>
      <c r="F5404" s="215" t="n">
        <v>45736</v>
      </c>
    </row>
    <row r="5405">
      <c r="A5405" s="215" t="n">
        <v>45737</v>
      </c>
      <c r="B5405" s="216" t="n">
        <v>56.45</v>
      </c>
      <c r="C5405" s="216" t="n">
        <v>77.8</v>
      </c>
      <c r="D5405" s="216" t="n">
        <v>1.072183012962341</v>
      </c>
      <c r="E5405" s="215" t="n">
        <v>45737</v>
      </c>
      <c r="F5405" s="215" t="n">
        <v>45737</v>
      </c>
    </row>
    <row r="5406">
      <c r="A5406" s="215" t="n">
        <v>45740</v>
      </c>
      <c r="B5406" s="216" t="n">
        <v>55.5</v>
      </c>
      <c r="C5406" s="216" t="n">
        <v>78.09999999999999</v>
      </c>
      <c r="D5406" s="216" t="n">
        <v>1.072136998176575</v>
      </c>
      <c r="E5406" s="215" t="n">
        <v>45740</v>
      </c>
      <c r="F5406" s="215" t="n">
        <v>45740</v>
      </c>
    </row>
    <row r="5407">
      <c r="A5407" s="215" t="n">
        <v>45741</v>
      </c>
      <c r="B5407" s="216" t="n">
        <v>54.6</v>
      </c>
      <c r="C5407" s="216" t="n">
        <v>78.15000000000001</v>
      </c>
      <c r="D5407" s="216" t="n">
        <v>1.071681976318359</v>
      </c>
      <c r="E5407" s="215" t="n">
        <v>45741</v>
      </c>
      <c r="F5407" s="215" t="n">
        <v>45741</v>
      </c>
    </row>
    <row r="5408">
      <c r="A5408" s="215" t="n">
        <v>45742</v>
      </c>
      <c r="B5408" s="216" t="n">
        <v>54.6</v>
      </c>
      <c r="C5408" s="216" t="n">
        <v>77.55</v>
      </c>
      <c r="D5408" s="216" t="n">
        <v>1.071272969245911</v>
      </c>
      <c r="E5408" s="215" t="n">
        <v>45742</v>
      </c>
      <c r="F5408" s="215" t="n">
        <v>45742</v>
      </c>
    </row>
    <row r="5409">
      <c r="A5409" s="215" t="n">
        <v>45743</v>
      </c>
      <c r="B5409" s="216" t="n">
        <v>56.3</v>
      </c>
      <c r="C5409" s="216" t="n">
        <v>80.34</v>
      </c>
      <c r="D5409" s="216" t="n">
        <v>1.071310043334961</v>
      </c>
      <c r="E5409" s="215" t="n">
        <v>45743</v>
      </c>
      <c r="F5409" s="215" t="n">
        <v>45743</v>
      </c>
    </row>
    <row r="5410">
      <c r="A5410" s="215" t="n">
        <v>45744</v>
      </c>
      <c r="B5410" s="216" t="n">
        <v>56.65</v>
      </c>
      <c r="C5410" s="216" t="n">
        <v>79.66</v>
      </c>
      <c r="D5410" s="216" t="n">
        <v>1.03395402431488</v>
      </c>
      <c r="E5410" s="215" t="n">
        <v>45744</v>
      </c>
      <c r="F5410" s="215" t="n">
        <v>45744</v>
      </c>
    </row>
    <row r="5411">
      <c r="A5411" s="215" t="n">
        <v>45747</v>
      </c>
      <c r="B5411" s="216" t="n">
        <v>54.4</v>
      </c>
      <c r="C5411" s="216" t="n">
        <v>78.75</v>
      </c>
      <c r="D5411" s="216" t="n">
        <v>1.070834994316101</v>
      </c>
      <c r="E5411" s="215" t="n">
        <v>45747</v>
      </c>
      <c r="F5411" s="215" t="n">
        <v>45747</v>
      </c>
    </row>
    <row r="5412">
      <c r="A5412" s="215" t="n">
        <v>45748</v>
      </c>
      <c r="B5412" s="216" t="n">
        <v>58.15</v>
      </c>
      <c r="C5412" s="216" t="n">
        <v>81.05</v>
      </c>
      <c r="D5412" s="216" t="n">
        <v>1.071635007858276</v>
      </c>
      <c r="E5412" s="215" t="n">
        <v>45748</v>
      </c>
      <c r="F5412" s="215" t="n">
        <v>45748</v>
      </c>
    </row>
    <row r="5413">
      <c r="A5413" s="215" t="n">
        <v>45749</v>
      </c>
      <c r="B5413" s="216" t="n">
        <v>58.3</v>
      </c>
      <c r="C5413" s="216" t="n">
        <v>79.42</v>
      </c>
      <c r="D5413" s="216" t="n">
        <v>1.070148944854736</v>
      </c>
      <c r="E5413" s="215" t="n">
        <v>45749</v>
      </c>
      <c r="F5413" s="215" t="n">
        <v>45749</v>
      </c>
    </row>
    <row r="5414">
      <c r="A5414" s="215" t="n">
        <v>45750</v>
      </c>
      <c r="B5414" s="216" t="n">
        <v>55.75</v>
      </c>
      <c r="C5414" s="216" t="n">
        <v>77.72</v>
      </c>
      <c r="D5414" s="216" t="n">
        <v>1.070878982543945</v>
      </c>
      <c r="E5414" s="215" t="n">
        <v>45750</v>
      </c>
      <c r="F5414" s="215" t="n">
        <v>45750</v>
      </c>
    </row>
    <row r="5415">
      <c r="A5415" s="215" t="n">
        <v>45754</v>
      </c>
      <c r="B5415" s="216" t="n">
        <v>42.65</v>
      </c>
      <c r="C5415" s="216" t="n">
        <v>69.95</v>
      </c>
      <c r="D5415" s="216" t="n">
        <v>1.067106008529663</v>
      </c>
      <c r="E5415" s="215" t="n">
        <v>45754</v>
      </c>
      <c r="F5415" s="215" t="n">
        <v>45754</v>
      </c>
    </row>
    <row r="5416">
      <c r="A5416" s="215" t="n">
        <v>45755</v>
      </c>
      <c r="B5416" s="216" t="n">
        <v>43.2</v>
      </c>
      <c r="C5416" s="216" t="n">
        <v>64.06999999999999</v>
      </c>
      <c r="D5416" s="216" t="n">
        <v>1.062885046005249</v>
      </c>
      <c r="E5416" s="215" t="n">
        <v>45755</v>
      </c>
      <c r="F5416" s="215" t="n">
        <v>45755</v>
      </c>
    </row>
    <row r="5417">
      <c r="A5417" s="215" t="n">
        <v>45756</v>
      </c>
      <c r="B5417" s="216" t="n">
        <v>45.2</v>
      </c>
      <c r="C5417" s="216" t="n">
        <v>62.82</v>
      </c>
      <c r="D5417" s="216" t="n">
        <v>1.058482050895691</v>
      </c>
      <c r="E5417" s="215" t="n">
        <v>45756</v>
      </c>
      <c r="F5417" s="215" t="n">
        <v>45756</v>
      </c>
    </row>
    <row r="5418">
      <c r="A5418" s="215" t="n">
        <v>45757</v>
      </c>
      <c r="B5418" s="216" t="n">
        <v>43.9</v>
      </c>
      <c r="C5418" s="216" t="n">
        <v>64.69</v>
      </c>
      <c r="D5418" s="216" t="n">
        <v>1.055835008621216</v>
      </c>
      <c r="E5418" s="215" t="n">
        <v>45757</v>
      </c>
      <c r="F5418" s="215" t="n">
        <v>45757</v>
      </c>
    </row>
    <row r="5419">
      <c r="A5419" s="215" t="n">
        <v>45758</v>
      </c>
      <c r="B5419" s="216" t="n">
        <v>43.65</v>
      </c>
      <c r="C5419" s="216" t="n">
        <v>65.09999999999999</v>
      </c>
      <c r="D5419" s="216" t="n">
        <v>1.060536980628967</v>
      </c>
      <c r="E5419" s="215" t="n">
        <v>45758</v>
      </c>
      <c r="F5419" s="215" t="n">
        <v>45758</v>
      </c>
    </row>
    <row r="5420">
      <c r="A5420" s="215" t="n">
        <v>45761</v>
      </c>
      <c r="B5420" s="216" t="n">
        <v>45.1</v>
      </c>
      <c r="C5420" s="216" t="n">
        <v>65.18000000000001</v>
      </c>
      <c r="D5420" s="216" t="n">
        <v>1.063439965248108</v>
      </c>
      <c r="E5420" s="215" t="n">
        <v>45761</v>
      </c>
      <c r="F5420" s="215" t="n">
        <v>45761</v>
      </c>
    </row>
    <row r="5421">
      <c r="A5421" s="215" t="n">
        <v>45762</v>
      </c>
      <c r="B5421" s="216" t="n">
        <v>44.15</v>
      </c>
      <c r="C5421" s="216" t="n">
        <v>63.9</v>
      </c>
      <c r="D5421" s="216" t="n">
        <v>1.06060004234314</v>
      </c>
      <c r="E5421" s="215" t="n">
        <v>45762</v>
      </c>
      <c r="F5421" s="215" t="n">
        <v>45762</v>
      </c>
    </row>
    <row r="5422">
      <c r="A5422" s="215" t="n">
        <v>45763</v>
      </c>
      <c r="B5422" s="216" t="n">
        <v>42.2</v>
      </c>
      <c r="C5422" s="216" t="n">
        <v>62.37</v>
      </c>
      <c r="D5422" s="216" t="n">
        <v>1.06060004234314</v>
      </c>
      <c r="E5422" s="215" t="n">
        <v>45763</v>
      </c>
      <c r="F5422" s="215" t="n">
        <v>45763</v>
      </c>
    </row>
    <row r="5423">
      <c r="A5423" s="215" t="n">
        <v>45764</v>
      </c>
      <c r="B5423" s="216" t="n">
        <v>43.1</v>
      </c>
      <c r="C5423" s="216" t="n">
        <v>61.89</v>
      </c>
      <c r="D5423" s="216" t="n">
        <v>1.06060004234314</v>
      </c>
      <c r="E5423" s="215" t="n">
        <v>45764</v>
      </c>
      <c r="F5423" s="215" t="n">
        <v>45764</v>
      </c>
    </row>
    <row r="5424">
      <c r="A5424" s="215" t="n">
        <v>45769</v>
      </c>
      <c r="B5424" s="216" t="n">
        <v>44.95</v>
      </c>
      <c r="C5424" s="216" t="n">
        <v>65.06999999999999</v>
      </c>
      <c r="D5424" s="216" t="n">
        <v>1.06060004234314</v>
      </c>
      <c r="E5424" s="215" t="n">
        <v>45769</v>
      </c>
      <c r="F5424" s="215" t="n">
        <v>45769</v>
      </c>
    </row>
    <row r="5425">
      <c r="A5425" s="215" t="n">
        <v>45770</v>
      </c>
      <c r="B5425" s="216" t="n">
        <v>46.95</v>
      </c>
      <c r="C5425" s="216" t="n">
        <v>67.06</v>
      </c>
      <c r="D5425" s="216" t="n">
        <v>1.06060004234314</v>
      </c>
      <c r="E5425" s="215" t="n">
        <v>45770</v>
      </c>
      <c r="F5425" s="215" t="n">
        <v>45770</v>
      </c>
    </row>
    <row r="5426">
      <c r="A5426" s="215" t="n">
        <v>45771</v>
      </c>
      <c r="B5426" s="216" t="n">
        <v>52.35</v>
      </c>
      <c r="C5426" s="216" t="n">
        <v>73.77</v>
      </c>
      <c r="D5426" s="216" t="n">
        <v>1.06060004234314</v>
      </c>
      <c r="E5426" s="215" t="n">
        <v>45771</v>
      </c>
      <c r="F5426" s="215" t="n">
        <v>45771</v>
      </c>
    </row>
    <row r="5427">
      <c r="A5427" s="215" t="n">
        <v>45772</v>
      </c>
      <c r="B5427" s="216" t="n">
        <v>50.65</v>
      </c>
      <c r="C5427" s="216" t="n">
        <v>74.47</v>
      </c>
      <c r="D5427" s="216" t="n">
        <v>1.061900019645691</v>
      </c>
      <c r="E5427" s="215" t="n">
        <v>45772</v>
      </c>
      <c r="F5427" s="215" t="n">
        <v>45772</v>
      </c>
    </row>
    <row r="5428">
      <c r="A5428" s="215" t="n">
        <v>45775</v>
      </c>
      <c r="B5428" s="216" t="n">
        <v>53.45</v>
      </c>
      <c r="C5428" s="216" t="n">
        <v>77.33</v>
      </c>
      <c r="D5428" s="216" t="n">
        <v>1.064350962638855</v>
      </c>
      <c r="E5428" s="215" t="n">
        <v>45775</v>
      </c>
      <c r="F5428" s="215" t="n">
        <v>45775</v>
      </c>
    </row>
    <row r="5429">
      <c r="A5429" s="215" t="n">
        <v>45776</v>
      </c>
      <c r="B5429" s="216" t="n">
        <v>55.95</v>
      </c>
      <c r="C5429" s="216" t="n">
        <v>81.90000000000001</v>
      </c>
      <c r="D5429" s="216" t="n">
        <v>1.063179969787598</v>
      </c>
      <c r="E5429" s="215" t="n">
        <v>45776</v>
      </c>
      <c r="F5429" s="215" t="n">
        <v>45776</v>
      </c>
    </row>
    <row r="5430">
      <c r="A5430" s="215" t="n">
        <v>45777</v>
      </c>
      <c r="B5430" s="216" t="n">
        <v>55.1</v>
      </c>
      <c r="C5430" s="216" t="n">
        <v>82</v>
      </c>
      <c r="D5430" s="216" t="n">
        <v>1.067217946052551</v>
      </c>
      <c r="E5430" s="215" t="n">
        <v>45777</v>
      </c>
      <c r="F5430" s="215" t="n">
        <v>45777</v>
      </c>
    </row>
    <row r="5431">
      <c r="A5431" s="215" t="n">
        <v>45779</v>
      </c>
      <c r="B5431" s="216" t="n">
        <v>57.35</v>
      </c>
      <c r="C5431" s="216" t="n">
        <v>82</v>
      </c>
      <c r="D5431" s="216" t="n">
        <v>1.066810965538025</v>
      </c>
      <c r="E5431" s="215" t="n">
        <v>45777</v>
      </c>
      <c r="F5431" s="215" t="n">
        <v>45779</v>
      </c>
    </row>
    <row r="5432">
      <c r="A5432" s="215" t="n">
        <v>45783</v>
      </c>
      <c r="B5432" s="216" t="n">
        <v>57.5</v>
      </c>
      <c r="C5432" s="216" t="n">
        <v>83.02</v>
      </c>
      <c r="D5432" s="216" t="n">
        <v>1.065811991691589</v>
      </c>
      <c r="E5432" s="215" t="n">
        <v>45783</v>
      </c>
      <c r="F5432" s="215" t="n">
        <v>45783</v>
      </c>
    </row>
    <row r="5433">
      <c r="A5433" s="215" t="n">
        <v>45784</v>
      </c>
      <c r="B5433" s="216" t="n">
        <v>54.55</v>
      </c>
      <c r="C5433" s="216" t="n">
        <v>81.8</v>
      </c>
      <c r="D5433" s="216" t="n">
        <v>1.073848009109497</v>
      </c>
      <c r="E5433" s="215" t="n">
        <v>45784</v>
      </c>
      <c r="F5433" s="215" t="n">
        <v>45784</v>
      </c>
    </row>
    <row r="5434">
      <c r="A5434" s="215" t="n">
        <v>45785</v>
      </c>
      <c r="B5434" s="216" t="n">
        <v>54.1</v>
      </c>
      <c r="C5434" s="216" t="n">
        <v>80.40000000000001</v>
      </c>
      <c r="D5434" s="216" t="n">
        <v>1.07387101650238</v>
      </c>
      <c r="E5434" s="215" t="n">
        <v>45785</v>
      </c>
      <c r="F5434" s="215" t="n">
        <v>45785</v>
      </c>
    </row>
    <row r="5435">
      <c r="A5435" s="215" t="n">
        <v>45786</v>
      </c>
      <c r="B5435" s="216" t="n">
        <v>53.85</v>
      </c>
      <c r="C5435" s="216" t="n">
        <v>81.31999999999999</v>
      </c>
      <c r="D5435" s="216" t="n">
        <v>1.076066970825195</v>
      </c>
      <c r="E5435" s="215" t="n">
        <v>45786</v>
      </c>
      <c r="F5435" s="215" t="n">
        <v>45786</v>
      </c>
    </row>
    <row r="5436">
      <c r="A5436" s="215" t="n">
        <v>45789</v>
      </c>
      <c r="B5436" s="216" t="n">
        <v>53.7</v>
      </c>
      <c r="C5436" s="216" t="n">
        <v>81.02</v>
      </c>
      <c r="D5436" s="216" t="n">
        <v>1.074246048927307</v>
      </c>
      <c r="E5436" s="215" t="n">
        <v>45789</v>
      </c>
      <c r="F5436" s="215" t="n">
        <v>45789</v>
      </c>
    </row>
    <row r="5437">
      <c r="A5437" s="215" t="n">
        <v>45790</v>
      </c>
      <c r="B5437" s="216" t="n">
        <v>54.45</v>
      </c>
      <c r="C5437" s="216" t="n">
        <v>80.91</v>
      </c>
      <c r="D5437" s="216" t="n">
        <v>1.081536054611206</v>
      </c>
      <c r="E5437" s="215" t="n">
        <v>45790</v>
      </c>
      <c r="F5437" s="215" t="n">
        <v>45790</v>
      </c>
    </row>
    <row r="5438">
      <c r="A5438" s="215" t="n">
        <v>45791</v>
      </c>
      <c r="B5438" s="216" t="n">
        <v>55.35</v>
      </c>
      <c r="C5438" s="216" t="n">
        <v>80.7</v>
      </c>
      <c r="D5438" s="216" t="n">
        <v>1.081884980201721</v>
      </c>
      <c r="E5438" s="215" t="n">
        <v>45791</v>
      </c>
      <c r="F5438" s="215" t="n">
        <v>45791</v>
      </c>
    </row>
    <row r="5439">
      <c r="A5439" s="215" t="n">
        <v>45792</v>
      </c>
      <c r="B5439" s="216" t="n">
        <v>56.3</v>
      </c>
      <c r="C5439" s="216" t="n">
        <v>83.05</v>
      </c>
      <c r="D5439" s="216" t="n">
        <v>1.082641005516052</v>
      </c>
      <c r="E5439" s="215" t="n">
        <v>45792</v>
      </c>
      <c r="F5439" s="215" t="n">
        <v>45792</v>
      </c>
    </row>
    <row r="5440">
      <c r="A5440" s="215" t="n">
        <v>45793</v>
      </c>
      <c r="B5440" s="216" t="n">
        <v>56.4</v>
      </c>
      <c r="C5440" s="216" t="n">
        <v>80.94</v>
      </c>
      <c r="D5440" s="216" t="n">
        <v>1.082918047904968</v>
      </c>
      <c r="E5440" s="215" t="n">
        <v>45793</v>
      </c>
      <c r="F5440" s="215" t="n">
        <v>45793</v>
      </c>
    </row>
    <row r="5441">
      <c r="A5441" s="215" t="n">
        <v>45796</v>
      </c>
      <c r="B5441" s="216" t="n">
        <v>56.65</v>
      </c>
      <c r="C5441" s="216" t="n">
        <v>80.67</v>
      </c>
      <c r="D5441" s="216" t="n">
        <v>1.083842992782593</v>
      </c>
      <c r="E5441" s="215" t="n">
        <v>45796</v>
      </c>
      <c r="F5441" s="215" t="n">
        <v>45796</v>
      </c>
    </row>
    <row r="5442">
      <c r="A5442" s="215" t="n">
        <v>45797</v>
      </c>
      <c r="B5442" s="216" t="n">
        <v>58.4</v>
      </c>
      <c r="C5442" s="216" t="n">
        <v>81.78</v>
      </c>
      <c r="D5442" s="216" t="n">
        <v>1.08473801612854</v>
      </c>
      <c r="E5442" s="215" t="n">
        <v>45797</v>
      </c>
      <c r="F5442" s="215" t="n">
        <v>45797</v>
      </c>
    </row>
    <row r="5443">
      <c r="A5443" s="215" t="n">
        <v>45798</v>
      </c>
      <c r="B5443" s="216" t="n">
        <v>66.05</v>
      </c>
      <c r="C5443" s="216" t="n">
        <v>86.15000000000001</v>
      </c>
      <c r="D5443" s="216" t="n">
        <v>1.084200024604797</v>
      </c>
      <c r="E5443" s="215" t="n">
        <v>45798</v>
      </c>
      <c r="F5443" s="215" t="n">
        <v>45798</v>
      </c>
    </row>
    <row r="5444">
      <c r="A5444" s="215" t="n">
        <v>45799</v>
      </c>
      <c r="B5444" s="216" t="n">
        <v>65.15000000000001</v>
      </c>
      <c r="C5444" s="216" t="n">
        <v>86</v>
      </c>
      <c r="D5444" s="216" t="n">
        <v>1.086825013160706</v>
      </c>
      <c r="E5444" s="215" t="n">
        <v>45799</v>
      </c>
      <c r="F5444" s="215" t="n">
        <v>45799</v>
      </c>
    </row>
    <row r="5445">
      <c r="A5445" s="215" t="n">
        <v>45800</v>
      </c>
      <c r="B5445" s="216" t="n">
        <v>67.59999999999999</v>
      </c>
      <c r="C5445" s="216" t="n">
        <v>86.45</v>
      </c>
      <c r="D5445" s="216" t="n">
        <v>1.086493015289307</v>
      </c>
      <c r="E5445" s="215" t="n">
        <v>45800</v>
      </c>
      <c r="F5445" s="215" t="n">
        <v>45800</v>
      </c>
    </row>
    <row r="5446">
      <c r="A5446" s="215" t="n">
        <v>45803</v>
      </c>
      <c r="B5446" s="216" t="n">
        <v>65.7</v>
      </c>
      <c r="C5446" s="216" t="n">
        <v>85.20999999999999</v>
      </c>
      <c r="D5446" s="216" t="n">
        <v>1.08673095703125</v>
      </c>
      <c r="E5446" s="215" t="n">
        <v>45803</v>
      </c>
      <c r="F5446" s="215" t="n">
        <v>45803</v>
      </c>
    </row>
    <row r="5447">
      <c r="A5447" s="215" t="n">
        <v>45804</v>
      </c>
      <c r="B5447" s="216" t="n">
        <v>68</v>
      </c>
      <c r="C5447" s="216" t="n">
        <v>89</v>
      </c>
      <c r="D5447" s="216" t="n">
        <v>1.087713956832886</v>
      </c>
      <c r="E5447" s="215" t="n">
        <v>45804</v>
      </c>
      <c r="F5447" s="215" t="n">
        <v>45804</v>
      </c>
    </row>
    <row r="5448">
      <c r="A5448" s="215" t="n">
        <v>45805</v>
      </c>
      <c r="B5448" s="216" t="n">
        <v>68.2</v>
      </c>
      <c r="C5448" s="216" t="n">
        <v>88.09999999999999</v>
      </c>
      <c r="D5448" s="216" t="n">
        <v>1.087921977043152</v>
      </c>
      <c r="E5448" s="215" t="n">
        <v>45805</v>
      </c>
      <c r="F5448" s="215" t="n">
        <v>45805</v>
      </c>
    </row>
    <row r="5449">
      <c r="A5449" s="215" t="n">
        <v>45806</v>
      </c>
      <c r="B5449" s="216" t="n">
        <v>72.84999999999999</v>
      </c>
      <c r="C5449" s="216" t="n">
        <v>93.09999999999999</v>
      </c>
      <c r="D5449" s="216" t="n">
        <v>1.087334990501404</v>
      </c>
      <c r="E5449" s="215" t="n">
        <v>45806</v>
      </c>
      <c r="F5449" s="215" t="n">
        <v>45806</v>
      </c>
    </row>
    <row r="5450">
      <c r="A5450" s="215" t="n">
        <v>45807</v>
      </c>
      <c r="B5450" s="216" t="n">
        <v>73.40000000000001</v>
      </c>
      <c r="C5450" s="216" t="n">
        <v>94.23</v>
      </c>
      <c r="D5450" s="216" t="n">
        <v>1.088281989097595</v>
      </c>
      <c r="E5450" s="215" t="n">
        <v>45807</v>
      </c>
      <c r="F5450" s="215" t="n">
        <v>45807</v>
      </c>
    </row>
    <row r="5451">
      <c r="A5451" s="215" t="n">
        <v>45810</v>
      </c>
      <c r="B5451" s="216" t="n">
        <v>71.95</v>
      </c>
      <c r="C5451" s="216" t="n">
        <v>94.23</v>
      </c>
      <c r="D5451" s="216" t="n">
        <v>1.088839054107666</v>
      </c>
      <c r="E5451" s="215" t="n">
        <v>45807</v>
      </c>
      <c r="F5451" s="215" t="n">
        <v>45810</v>
      </c>
    </row>
    <row r="5452">
      <c r="A5452" s="215" t="n">
        <v>45811</v>
      </c>
      <c r="B5452" s="216" t="n">
        <v>73.09999999999999</v>
      </c>
      <c r="C5452" s="216" t="n">
        <v>94</v>
      </c>
      <c r="D5452" s="216" t="n">
        <v>1.098875999450684</v>
      </c>
      <c r="E5452" s="215" t="n">
        <v>45811</v>
      </c>
      <c r="F5452" s="215" t="n">
        <v>45811</v>
      </c>
    </row>
    <row r="5453">
      <c r="A5453" s="215" t="n">
        <v>45812</v>
      </c>
      <c r="B5453" s="216" t="n">
        <v>73.40000000000001</v>
      </c>
      <c r="C5453" s="216" t="n">
        <v>94.95</v>
      </c>
      <c r="D5453" s="216" t="n">
        <v>1.092406988143921</v>
      </c>
      <c r="E5453" s="215" t="n">
        <v>45812</v>
      </c>
      <c r="F5453" s="215" t="n">
        <v>45812</v>
      </c>
    </row>
    <row r="5454">
      <c r="A5454" s="215" t="n">
        <v>45813</v>
      </c>
      <c r="B5454" s="216" t="n">
        <v>70.7</v>
      </c>
      <c r="C5454" s="216" t="n">
        <v>91.5</v>
      </c>
      <c r="D5454" s="216" t="n">
        <v>1.095829010009766</v>
      </c>
      <c r="E5454" s="215" t="n">
        <v>45813</v>
      </c>
      <c r="F5454" s="215" t="n">
        <v>45813</v>
      </c>
    </row>
    <row r="5455">
      <c r="A5455" s="215" t="n">
        <v>45814</v>
      </c>
      <c r="B5455" s="216" t="n">
        <v>71.40000000000001</v>
      </c>
      <c r="C5455" s="216" t="n">
        <v>90.63</v>
      </c>
      <c r="D5455" s="216" t="n">
        <v>1.093296051025391</v>
      </c>
      <c r="E5455" s="215" t="n">
        <v>45814</v>
      </c>
      <c r="F5455" s="215" t="n">
        <v>45814</v>
      </c>
    </row>
    <row r="5456">
      <c r="A5456" s="215" t="n">
        <v>45817</v>
      </c>
      <c r="B5456" s="216" t="n">
        <v>77.15000000000001</v>
      </c>
      <c r="C5456" s="216" t="n">
        <v>93.42</v>
      </c>
      <c r="D5456" s="216" t="n">
        <v>1.091297030448914</v>
      </c>
      <c r="E5456" s="215" t="n">
        <v>45817</v>
      </c>
      <c r="F5456" s="215" t="n">
        <v>45817</v>
      </c>
    </row>
    <row r="5457">
      <c r="A5457" s="215" t="n">
        <v>45818</v>
      </c>
      <c r="B5457" s="216" t="n">
        <v>79.5</v>
      </c>
      <c r="C5457" s="216" t="n">
        <v>94.42</v>
      </c>
      <c r="D5457" s="216" t="n">
        <v>1.092790007591248</v>
      </c>
      <c r="E5457" s="215" t="n">
        <v>45818</v>
      </c>
      <c r="F5457" s="215" t="n">
        <v>45818</v>
      </c>
    </row>
    <row r="5458">
      <c r="A5458" s="215" t="n">
        <v>45819</v>
      </c>
      <c r="B5458" s="216" t="n">
        <v>77.09999999999999</v>
      </c>
      <c r="C5458" s="216" t="n">
        <v>92.2</v>
      </c>
      <c r="D5458" s="216" t="n">
        <v>1.092836976051331</v>
      </c>
      <c r="E5458" s="215" t="n">
        <v>45819</v>
      </c>
      <c r="F5458" s="215" t="n">
        <v>45819</v>
      </c>
    </row>
    <row r="5459">
      <c r="A5459" s="215" t="n">
        <v>45820</v>
      </c>
      <c r="B5459" s="216" t="n">
        <v>80.40000000000001</v>
      </c>
      <c r="C5459" s="216" t="n">
        <v>94.38</v>
      </c>
      <c r="D5459" s="216" t="n">
        <v>1.090999960899353</v>
      </c>
      <c r="E5459" s="215" t="n">
        <v>45820</v>
      </c>
      <c r="F5459" s="215" t="n">
        <v>45820</v>
      </c>
    </row>
    <row r="5460">
      <c r="A5460" s="215" t="n">
        <v>45821</v>
      </c>
      <c r="B5460" s="216" t="n">
        <v>79.05</v>
      </c>
      <c r="C5460" s="216" t="n">
        <v>91.48999999999999</v>
      </c>
      <c r="D5460" s="216" t="n">
        <v>1.091084957122803</v>
      </c>
      <c r="E5460" s="215" t="n">
        <v>45821</v>
      </c>
      <c r="F5460" s="215" t="n">
        <v>45821</v>
      </c>
    </row>
    <row r="5461">
      <c r="A5461" s="215" t="n">
        <v>45824</v>
      </c>
      <c r="B5461" s="216" t="n">
        <v>79.34999999999999</v>
      </c>
      <c r="C5461" s="216" t="n">
        <v>91.90000000000001</v>
      </c>
      <c r="D5461" s="216" t="n">
        <v>1.092895984649658</v>
      </c>
      <c r="E5461" s="215" t="n">
        <v>45824</v>
      </c>
      <c r="F5461" s="215" t="n">
        <v>45824</v>
      </c>
    </row>
    <row r="5462">
      <c r="A5462" s="215" t="n">
        <v>45825</v>
      </c>
      <c r="B5462" s="216" t="n">
        <v>73.59999999999999</v>
      </c>
      <c r="C5462" s="216" t="n">
        <v>86.40000000000001</v>
      </c>
      <c r="D5462" s="216" t="n">
        <v>1.093256950378418</v>
      </c>
      <c r="E5462" s="215" t="n">
        <v>45825</v>
      </c>
      <c r="F5462" s="215" t="n">
        <v>45825</v>
      </c>
    </row>
    <row r="5463">
      <c r="A5463" s="215" t="n">
        <v>45826</v>
      </c>
      <c r="B5463" s="216" t="n">
        <v>74.15000000000001</v>
      </c>
      <c r="C5463" s="216" t="n">
        <v>85.13</v>
      </c>
      <c r="D5463" s="216" t="n">
        <v>1.092421054840088</v>
      </c>
      <c r="E5463" s="215" t="n">
        <v>45826</v>
      </c>
      <c r="F5463" s="215" t="n">
        <v>45826</v>
      </c>
    </row>
    <row r="5464">
      <c r="A5464" s="215" t="n">
        <v>45827</v>
      </c>
      <c r="B5464" s="216" t="n">
        <v>71</v>
      </c>
      <c r="C5464" s="216" t="n">
        <v>82.65000000000001</v>
      </c>
      <c r="D5464" s="216" t="n">
        <v>1.091722011566162</v>
      </c>
      <c r="E5464" s="215" t="n">
        <v>45827</v>
      </c>
      <c r="F5464" s="215" t="n">
        <v>45827</v>
      </c>
    </row>
    <row r="5465">
      <c r="A5465" s="215" t="n">
        <v>45828</v>
      </c>
      <c r="B5465" s="216" t="n">
        <v>70</v>
      </c>
      <c r="C5465" s="216" t="n">
        <v>82.8</v>
      </c>
      <c r="D5465" s="216" t="n">
        <v>1.091766953468323</v>
      </c>
      <c r="E5465" s="215" t="n">
        <v>45828</v>
      </c>
      <c r="F5465" s="215" t="n">
        <v>45828</v>
      </c>
    </row>
    <row r="5466">
      <c r="A5466" s="215" t="n">
        <v>45831</v>
      </c>
      <c r="B5466" s="216" t="n">
        <v>72.45</v>
      </c>
      <c r="C5466" s="216" t="n">
        <v>84.56</v>
      </c>
      <c r="D5466" s="216" t="n">
        <v>1.091856002807617</v>
      </c>
      <c r="E5466" s="215" t="n">
        <v>45831</v>
      </c>
      <c r="F5466" s="215" t="n">
        <v>45831</v>
      </c>
    </row>
    <row r="5467">
      <c r="A5467" s="215" t="n">
        <v>45832</v>
      </c>
      <c r="B5467" s="216" t="n">
        <v>74.59999999999999</v>
      </c>
      <c r="C5467" s="216" t="n">
        <v>85.27</v>
      </c>
      <c r="D5467" s="216" t="n">
        <v>1.093309044837952</v>
      </c>
      <c r="E5467" s="215" t="n">
        <v>45832</v>
      </c>
      <c r="F5467" s="215" t="n">
        <v>45832</v>
      </c>
    </row>
    <row r="5468">
      <c r="A5468" s="215" t="n">
        <v>45833</v>
      </c>
      <c r="B5468" s="216" t="n">
        <v>72.8</v>
      </c>
      <c r="C5468" s="216" t="n">
        <v>85.64</v>
      </c>
      <c r="D5468" s="216" t="n">
        <v>1.094483971595764</v>
      </c>
      <c r="E5468" s="215" t="n">
        <v>45833</v>
      </c>
      <c r="F5468" s="215" t="n">
        <v>45833</v>
      </c>
    </row>
    <row r="5469">
      <c r="A5469" s="215" t="n">
        <v>45834</v>
      </c>
      <c r="B5469" s="216" t="n">
        <v>71.5</v>
      </c>
      <c r="C5469" s="216" t="n">
        <v>82.65000000000001</v>
      </c>
      <c r="D5469" s="216" t="n">
        <v>1.093523025512695</v>
      </c>
      <c r="E5469" s="215" t="n">
        <v>45834</v>
      </c>
      <c r="F5469" s="215" t="n">
        <v>45834</v>
      </c>
    </row>
    <row r="5470">
      <c r="A5470" s="215" t="n">
        <v>45835</v>
      </c>
      <c r="B5470" s="216" t="n">
        <v>74.40000000000001</v>
      </c>
      <c r="C5470" s="216" t="n">
        <v>83.36</v>
      </c>
      <c r="D5470" s="216" t="n">
        <v>1.095173001289368</v>
      </c>
      <c r="E5470" s="215" t="n">
        <v>45835</v>
      </c>
      <c r="F5470" s="215" t="n">
        <v>45835</v>
      </c>
    </row>
    <row r="5471">
      <c r="A5471" s="215" t="n">
        <v>45838</v>
      </c>
      <c r="B5471" s="216" t="n">
        <v>78.7</v>
      </c>
      <c r="C5471" s="216" t="n">
        <v>88.25</v>
      </c>
      <c r="D5471" s="216" t="n">
        <v>1.094328045845032</v>
      </c>
      <c r="E5471" s="215" t="n">
        <v>45838</v>
      </c>
      <c r="F5471" s="215" t="n">
        <v>45838</v>
      </c>
    </row>
    <row r="5472">
      <c r="A5472" s="215" t="n">
        <v>45840</v>
      </c>
      <c r="B5472" s="216" t="n">
        <v>78.2</v>
      </c>
      <c r="C5472" s="216" t="n">
        <v>88.43000000000001</v>
      </c>
      <c r="D5472" s="216" t="n">
        <v>1.095211982727051</v>
      </c>
      <c r="E5472" s="215" t="n">
        <v>45840</v>
      </c>
      <c r="F5472" s="215" t="n">
        <v>45840</v>
      </c>
    </row>
    <row r="5473">
      <c r="A5473" s="215" t="n">
        <v>45841</v>
      </c>
      <c r="B5473" s="216" t="n">
        <v>78.3</v>
      </c>
      <c r="C5473" s="216" t="n">
        <v>89.13</v>
      </c>
      <c r="D5473" s="216" t="n">
        <v>1.095422029495239</v>
      </c>
      <c r="E5473" s="215" t="n">
        <v>45841</v>
      </c>
      <c r="F5473" s="215" t="n">
        <v>45841</v>
      </c>
    </row>
    <row r="5474">
      <c r="A5474" s="215" t="n">
        <v>45842</v>
      </c>
      <c r="B5474" s="216" t="n">
        <v>82.75</v>
      </c>
      <c r="C5474" s="216" t="n">
        <v>89.04000000000001</v>
      </c>
      <c r="D5474" s="216" t="n">
        <v>1.095221042633057</v>
      </c>
      <c r="E5474" s="215" t="n">
        <v>45842</v>
      </c>
      <c r="F5474" s="215" t="n">
        <v>45842</v>
      </c>
    </row>
    <row r="5475">
      <c r="A5475" s="215" t="n">
        <v>45845</v>
      </c>
      <c r="B5475" s="216" t="n">
        <v>80.09999999999999</v>
      </c>
      <c r="C5475" s="216" t="n">
        <v>86.42</v>
      </c>
      <c r="D5475" s="216" t="n">
        <v>1.095430970191956</v>
      </c>
      <c r="E5475" s="215" t="n">
        <v>45845</v>
      </c>
      <c r="F5475" s="215" t="n">
        <v>45845</v>
      </c>
    </row>
    <row r="5476">
      <c r="A5476" s="215" t="n">
        <v>45846</v>
      </c>
      <c r="B5476" s="216" t="n">
        <v>80.09999999999999</v>
      </c>
      <c r="C5476" s="216" t="n">
        <v>87.77</v>
      </c>
      <c r="D5476" s="216" t="n">
        <v>1.093924999237061</v>
      </c>
      <c r="E5476" s="215" t="n">
        <v>45846</v>
      </c>
      <c r="F5476" s="215" t="n">
        <v>45846</v>
      </c>
    </row>
    <row r="5477">
      <c r="A5477" s="215" t="n">
        <v>45847</v>
      </c>
      <c r="B5477" s="216" t="n">
        <v>78.75</v>
      </c>
      <c r="C5477" s="216" t="n">
        <v>88.27</v>
      </c>
      <c r="D5477" s="216" t="n">
        <v>1.094220995903015</v>
      </c>
      <c r="E5477" s="215" t="n">
        <v>45847</v>
      </c>
      <c r="F5477" s="215" t="n">
        <v>45847</v>
      </c>
    </row>
    <row r="5478">
      <c r="A5478" s="215" t="n">
        <v>45848</v>
      </c>
      <c r="B5478" s="216" t="n">
        <v>78.75</v>
      </c>
      <c r="C5478" s="216" t="n">
        <v>88.64</v>
      </c>
      <c r="D5478" s="216" t="n">
        <v>1.093220949172974</v>
      </c>
      <c r="E5478" s="215" t="n">
        <v>45848</v>
      </c>
      <c r="F5478" s="215" t="n">
        <v>45848</v>
      </c>
    </row>
    <row r="5479">
      <c r="A5479" s="215" t="n">
        <v>45849</v>
      </c>
      <c r="B5479" s="216" t="n">
        <v>89</v>
      </c>
      <c r="C5479" s="216" t="n">
        <v>97.5</v>
      </c>
      <c r="D5479" s="216" t="n">
        <v>1.093930959701538</v>
      </c>
      <c r="E5479" s="215" t="n">
        <v>45849</v>
      </c>
      <c r="F5479" s="215" t="n">
        <v>45849</v>
      </c>
    </row>
    <row r="5480">
      <c r="A5480" s="215" t="n">
        <v>45852</v>
      </c>
      <c r="B5480" s="216" t="n">
        <v>90.09999999999999</v>
      </c>
      <c r="C5480" s="216" t="n">
        <v>97</v>
      </c>
      <c r="D5480" s="216" t="n">
        <v>1.095023989677429</v>
      </c>
      <c r="E5480" s="215" t="n">
        <v>45852</v>
      </c>
      <c r="F5480" s="215" t="n">
        <v>45852</v>
      </c>
    </row>
    <row r="5481">
      <c r="A5481" s="215" t="n">
        <v>45853</v>
      </c>
      <c r="B5481" s="216" t="n">
        <v>90.75</v>
      </c>
      <c r="C5481" s="216" t="n">
        <v>97.53</v>
      </c>
      <c r="D5481" s="216" t="n">
        <v>1.095172047615051</v>
      </c>
      <c r="E5481" s="215" t="n">
        <v>45853</v>
      </c>
      <c r="F5481" s="215" t="n">
        <v>45853</v>
      </c>
    </row>
    <row r="5482">
      <c r="A5482" s="215" t="n">
        <v>45854</v>
      </c>
      <c r="B5482" s="216" t="n">
        <v>90.90000000000001</v>
      </c>
      <c r="C5482" s="216" t="n">
        <v>95.98999999999999</v>
      </c>
      <c r="D5482" s="216" t="n">
        <v>1.094182014465332</v>
      </c>
      <c r="E5482" s="215" t="n">
        <v>45854</v>
      </c>
      <c r="F5482" s="215" t="n">
        <v>45854</v>
      </c>
    </row>
    <row r="5483">
      <c r="A5483" s="215" t="n">
        <v>45855</v>
      </c>
      <c r="B5483" s="216" t="n">
        <v>93.40000000000001</v>
      </c>
      <c r="C5483" s="216" t="n">
        <v>97.40000000000001</v>
      </c>
      <c r="D5483" s="216" t="n">
        <v>1.093484044075012</v>
      </c>
      <c r="E5483" s="215" t="n">
        <v>45855</v>
      </c>
      <c r="F5483" s="215" t="n">
        <v>45855</v>
      </c>
    </row>
    <row r="5484">
      <c r="A5484" s="215" t="n">
        <v>45856</v>
      </c>
      <c r="B5484" s="216" t="n">
        <v>92.55</v>
      </c>
      <c r="C5484" s="216" t="n">
        <v>98.31</v>
      </c>
      <c r="D5484" s="216" t="n">
        <v>1.092442035675049</v>
      </c>
      <c r="E5484" s="215" t="n">
        <v>45856</v>
      </c>
      <c r="F5484" s="215" t="n">
        <v>45856</v>
      </c>
    </row>
    <row r="5485">
      <c r="A5485" s="215" t="n">
        <v>45859</v>
      </c>
      <c r="B5485" s="216" t="n">
        <v>92.5</v>
      </c>
      <c r="C5485" s="216" t="n">
        <v>96.59999999999999</v>
      </c>
      <c r="D5485" s="216" t="n">
        <v>1.093299984931946</v>
      </c>
      <c r="E5485" s="215" t="n">
        <v>45859</v>
      </c>
      <c r="F5485" s="215" t="n">
        <v>45859</v>
      </c>
    </row>
    <row r="5486">
      <c r="A5486" s="215" t="n">
        <v>45860</v>
      </c>
      <c r="B5486" s="216" t="n">
        <v>94.3</v>
      </c>
      <c r="C5486" s="216" t="n">
        <v>98.12</v>
      </c>
      <c r="D5486" s="216" t="n">
        <v>1.093826055526733</v>
      </c>
      <c r="E5486" s="215" t="n">
        <v>45860</v>
      </c>
      <c r="F5486" s="215" t="n">
        <v>45860</v>
      </c>
    </row>
    <row r="5487">
      <c r="A5487" s="215" t="n">
        <v>45861</v>
      </c>
      <c r="B5487" s="216" t="n">
        <v>97</v>
      </c>
      <c r="C5487" s="216" t="n">
        <v>102.92</v>
      </c>
      <c r="D5487" s="216" t="n">
        <v>1.094056010246277</v>
      </c>
      <c r="E5487" s="215" t="n">
        <v>45861</v>
      </c>
      <c r="F5487" s="215" t="n">
        <v>45861</v>
      </c>
    </row>
    <row r="5488">
      <c r="A5488" s="215" t="n">
        <v>45862</v>
      </c>
      <c r="B5488" s="216" t="n">
        <v>110</v>
      </c>
      <c r="C5488" s="216" t="n">
        <v>113.21</v>
      </c>
      <c r="D5488" s="216" t="n">
        <v>1.096284031867981</v>
      </c>
      <c r="E5488" s="215" t="n">
        <v>45862</v>
      </c>
      <c r="F5488" s="215" t="n">
        <v>45862</v>
      </c>
    </row>
    <row r="5489">
      <c r="A5489" s="215" t="n">
        <v>45863</v>
      </c>
      <c r="B5489" s="216" t="n">
        <v>108.2</v>
      </c>
      <c r="C5489" s="216" t="n">
        <v>114.48</v>
      </c>
      <c r="D5489" s="216" t="n">
        <v>1.097048044204712</v>
      </c>
      <c r="E5489" s="215" t="n">
        <v>45863</v>
      </c>
      <c r="F5489" s="215" t="n">
        <v>45863</v>
      </c>
    </row>
    <row r="5490">
      <c r="A5490" s="215" t="n">
        <v>45866</v>
      </c>
      <c r="B5490" s="216" t="n">
        <v>112.2</v>
      </c>
      <c r="C5490" s="216" t="n">
        <v>118.02</v>
      </c>
      <c r="D5490" s="216" t="n">
        <v>1.097200989723206</v>
      </c>
      <c r="E5490" s="215" t="n">
        <v>45866</v>
      </c>
      <c r="F5490" s="215" t="n">
        <v>45866</v>
      </c>
    </row>
    <row r="5491">
      <c r="A5491" s="215" t="n">
        <v>45867</v>
      </c>
      <c r="B5491" s="216" t="n">
        <v>114.3</v>
      </c>
      <c r="C5491" s="216" t="n">
        <v>122.89</v>
      </c>
      <c r="D5491" s="216" t="n">
        <v>1.093530058860779</v>
      </c>
      <c r="E5491" s="215" t="n">
        <v>45867</v>
      </c>
      <c r="F5491" s="215" t="n">
        <v>45867</v>
      </c>
    </row>
    <row r="5492">
      <c r="A5492" s="215" t="n">
        <v>45868</v>
      </c>
      <c r="B5492" s="216" t="n">
        <v>106.1</v>
      </c>
      <c r="C5492" s="216" t="n">
        <v>113.97</v>
      </c>
      <c r="D5492" s="216" t="n">
        <v>1.093464970588684</v>
      </c>
      <c r="E5492" s="215" t="n">
        <v>45868</v>
      </c>
      <c r="F5492" s="215" t="n">
        <v>45868</v>
      </c>
    </row>
    <row r="5493">
      <c r="A5493" s="215" t="n">
        <v>45869</v>
      </c>
      <c r="B5493" s="216" t="n">
        <v>106.7</v>
      </c>
      <c r="C5493" s="216" t="n">
        <v>114.24</v>
      </c>
      <c r="D5493" s="216" t="n">
        <v>1.093583941459656</v>
      </c>
      <c r="E5493" s="215" t="n">
        <v>45869</v>
      </c>
      <c r="F5493" s="215" t="n">
        <v>45869</v>
      </c>
    </row>
    <row r="5494">
      <c r="A5494" s="215" t="n">
        <v>45870</v>
      </c>
      <c r="B5494" s="216" t="n">
        <v>101.7</v>
      </c>
      <c r="C5494" s="216" t="n">
        <v>111.35</v>
      </c>
      <c r="D5494" s="216" t="n">
        <v>1.090090990066528</v>
      </c>
      <c r="E5494" s="215" t="n">
        <v>45870</v>
      </c>
      <c r="F5494" s="215" t="n">
        <v>45870</v>
      </c>
    </row>
    <row r="5495">
      <c r="A5495" s="215" t="n">
        <v>45873</v>
      </c>
      <c r="B5495" s="216" t="n">
        <v>103.8</v>
      </c>
      <c r="C5495" s="216" t="n">
        <v>110.08</v>
      </c>
      <c r="D5495" s="216" t="n">
        <v>1.088384985923767</v>
      </c>
      <c r="E5495" s="215" t="n">
        <v>45873</v>
      </c>
      <c r="F5495" s="215" t="n">
        <v>45873</v>
      </c>
    </row>
    <row r="5496">
      <c r="A5496" s="215" t="n">
        <v>45874</v>
      </c>
      <c r="B5496" s="216" t="n">
        <v>105.5</v>
      </c>
      <c r="C5496" s="216" t="n">
        <v>110.39</v>
      </c>
      <c r="D5496" s="216" t="n">
        <v>1.093202948570251</v>
      </c>
      <c r="E5496" s="215" t="n">
        <v>45874</v>
      </c>
      <c r="F5496" s="215" t="n">
        <v>45874</v>
      </c>
    </row>
    <row r="5497">
      <c r="A5497" s="215" t="n">
        <v>45875</v>
      </c>
      <c r="B5497" s="216" t="n">
        <v>102.4</v>
      </c>
      <c r="C5497" s="216" t="n">
        <v>109.78</v>
      </c>
      <c r="D5497" s="216" t="n">
        <v>1.092388987541199</v>
      </c>
      <c r="E5497" s="215" t="n">
        <v>45875</v>
      </c>
      <c r="F5497" s="215" t="n">
        <v>45875</v>
      </c>
    </row>
    <row r="5498">
      <c r="A5498" s="215" t="n">
        <v>45876</v>
      </c>
      <c r="B5498" s="216" t="n">
        <v>100.2</v>
      </c>
      <c r="C5498" s="216" t="n">
        <v>107.2</v>
      </c>
      <c r="D5498" s="216" t="n">
        <v>1.092599034309387</v>
      </c>
      <c r="E5498" s="215" t="n">
        <v>45876</v>
      </c>
      <c r="F5498" s="215" t="n">
        <v>45876</v>
      </c>
    </row>
    <row r="5499">
      <c r="A5499" s="215" t="n">
        <v>45877</v>
      </c>
      <c r="B5499" s="216" t="n">
        <v>88.59999999999999</v>
      </c>
      <c r="C5499" s="216" t="n">
        <v>97.90000000000001</v>
      </c>
      <c r="D5499" s="216" t="n">
        <v>1.092857956886292</v>
      </c>
      <c r="E5499" s="215" t="n">
        <v>45877</v>
      </c>
      <c r="F5499" s="215" t="n">
        <v>45877</v>
      </c>
    </row>
    <row r="5500">
      <c r="A5500" s="215" t="n">
        <v>45880</v>
      </c>
      <c r="B5500" s="216" t="n">
        <v>89.5</v>
      </c>
      <c r="C5500" s="216" t="n">
        <v>99.81999999999999</v>
      </c>
      <c r="D5500" s="216" t="n">
        <v>1.093001961708069</v>
      </c>
      <c r="E5500" s="215" t="n">
        <v>45880</v>
      </c>
      <c r="F5500" s="215" t="n">
        <v>45880</v>
      </c>
    </row>
    <row r="5501">
      <c r="A5501" s="215" t="n">
        <v>45881</v>
      </c>
      <c r="B5501" s="216" t="n">
        <v>90.40000000000001</v>
      </c>
      <c r="C5501" s="216" t="n">
        <v>101.21</v>
      </c>
      <c r="D5501" s="216" t="n">
        <v>1.091938018798828</v>
      </c>
      <c r="E5501" s="215" t="n">
        <v>45881</v>
      </c>
      <c r="F5501" s="215" t="n">
        <v>45881</v>
      </c>
    </row>
    <row r="5502">
      <c r="A5502" s="215" t="n">
        <v>45882</v>
      </c>
      <c r="B5502" s="216" t="n">
        <v>97.3</v>
      </c>
      <c r="C5502" s="216" t="n">
        <v>107.8</v>
      </c>
      <c r="D5502" s="216" t="n">
        <v>1.093171000480652</v>
      </c>
      <c r="E5502" s="215" t="n">
        <v>45882</v>
      </c>
      <c r="F5502" s="215" t="n">
        <v>45882</v>
      </c>
    </row>
    <row r="5503">
      <c r="A5503" s="215" t="n">
        <v>45883</v>
      </c>
      <c r="B5503" s="216" t="n">
        <v>98.15000000000001</v>
      </c>
      <c r="C5503" s="216" t="n">
        <v>108.46</v>
      </c>
      <c r="D5503" s="216" t="n">
        <v>1.093981027603149</v>
      </c>
      <c r="E5503" s="215" t="n">
        <v>45883</v>
      </c>
      <c r="F5503" s="215" t="n">
        <v>45883</v>
      </c>
    </row>
    <row r="5504">
      <c r="A5504" s="215" t="n">
        <v>45884</v>
      </c>
      <c r="B5504" s="216" t="n">
        <v>98.8</v>
      </c>
      <c r="C5504" s="216" t="n">
        <v>109.1</v>
      </c>
      <c r="D5504" s="216" t="n">
        <v>1.091035962104797</v>
      </c>
      <c r="E5504" s="215" t="n">
        <v>45884</v>
      </c>
      <c r="F5504" s="215" t="n">
        <v>45884</v>
      </c>
    </row>
    <row r="5505">
      <c r="A5505" s="215" t="n">
        <v>45887</v>
      </c>
      <c r="B5505" s="216" t="n">
        <v>95.8</v>
      </c>
      <c r="C5505" s="216" t="n">
        <v>107.81</v>
      </c>
      <c r="D5505" s="216" t="n">
        <v>1.089409947395325</v>
      </c>
      <c r="E5505" s="215" t="n">
        <v>45887</v>
      </c>
      <c r="F5505" s="215" t="n">
        <v>45887</v>
      </c>
    </row>
    <row r="5506">
      <c r="A5506" s="215" t="n">
        <v>45888</v>
      </c>
      <c r="B5506" s="216" t="n">
        <v>93.75</v>
      </c>
      <c r="C5506" s="216" t="n">
        <v>104.56</v>
      </c>
      <c r="D5506" s="216" t="n">
        <v>1.088366031646729</v>
      </c>
      <c r="E5506" s="215" t="n">
        <v>45888</v>
      </c>
      <c r="F5506" s="215" t="n">
        <v>45888</v>
      </c>
    </row>
    <row r="5507">
      <c r="A5507" s="215" t="n">
        <v>45889</v>
      </c>
      <c r="B5507" s="216" t="n">
        <v>93</v>
      </c>
      <c r="C5507" s="216" t="n">
        <v>105.44</v>
      </c>
      <c r="D5507" s="216" t="n">
        <v>1.085826992988586</v>
      </c>
      <c r="E5507" s="215" t="n">
        <v>45889</v>
      </c>
      <c r="F5507" s="215" t="n">
        <v>45889</v>
      </c>
    </row>
    <row r="5508">
      <c r="A5508" s="215" t="n">
        <v>45890</v>
      </c>
      <c r="B5508" s="216" t="n">
        <v>94.40000000000001</v>
      </c>
      <c r="C5508" s="216" t="n">
        <v>106.11</v>
      </c>
      <c r="D5508" s="216" t="n">
        <v>1.088521003723145</v>
      </c>
      <c r="E5508" s="215" t="n">
        <v>45890</v>
      </c>
      <c r="F5508" s="215" t="n">
        <v>45890</v>
      </c>
    </row>
    <row r="5509">
      <c r="A5509" s="215" t="n">
        <v>45891</v>
      </c>
      <c r="B5509" s="216" t="n">
        <v>95.34999999999999</v>
      </c>
      <c r="C5509" s="216" t="n">
        <v>106.5</v>
      </c>
      <c r="D5509" s="216" t="n">
        <v>1.08814001083374</v>
      </c>
      <c r="E5509" s="215" t="n">
        <v>45891</v>
      </c>
      <c r="F5509" s="215" t="n">
        <v>45891</v>
      </c>
    </row>
    <row r="5510">
      <c r="A5510" s="215" t="n">
        <v>45894</v>
      </c>
      <c r="B5510" s="216" t="n">
        <v>99.45</v>
      </c>
      <c r="C5510" s="216" t="n">
        <v>110.59</v>
      </c>
      <c r="D5510" s="216" t="n">
        <v>1.090230941772461</v>
      </c>
      <c r="E5510" s="215" t="n">
        <v>45894</v>
      </c>
      <c r="F5510" s="215" t="n">
        <v>45894</v>
      </c>
    </row>
    <row r="5511">
      <c r="A5511" s="215" t="n">
        <v>45895</v>
      </c>
      <c r="B5511" s="216" t="n">
        <v>91.40000000000001</v>
      </c>
      <c r="C5511" s="216" t="n">
        <v>103.3</v>
      </c>
      <c r="D5511" s="216" t="n">
        <v>1.09236204624176</v>
      </c>
      <c r="E5511" s="215" t="n">
        <v>45895</v>
      </c>
      <c r="F5511" s="215" t="n">
        <v>45895</v>
      </c>
    </row>
    <row r="5512">
      <c r="A5512" s="215" t="n">
        <v>45896</v>
      </c>
      <c r="B5512" s="216" t="n">
        <v>88.59999999999999</v>
      </c>
      <c r="C5512" s="216" t="n">
        <v>102.69</v>
      </c>
      <c r="D5512" s="216" t="n">
        <v>1.089414000511169</v>
      </c>
      <c r="E5512" s="215" t="n">
        <v>45896</v>
      </c>
      <c r="F5512" s="215" t="n">
        <v>45896</v>
      </c>
    </row>
    <row r="5513">
      <c r="A5513" s="215" t="n">
        <v>45897</v>
      </c>
      <c r="B5513" s="216" t="n">
        <v>87.25</v>
      </c>
      <c r="C5513" s="216" t="n">
        <v>103.5</v>
      </c>
      <c r="D5513" s="216" t="n">
        <v>1.088047027587891</v>
      </c>
      <c r="E5513" s="215" t="n">
        <v>45897</v>
      </c>
      <c r="F5513" s="215" t="n">
        <v>45897</v>
      </c>
    </row>
    <row r="5514">
      <c r="A5514" s="215" t="n">
        <v>45898</v>
      </c>
      <c r="B5514" s="216" t="n">
        <v>91.25</v>
      </c>
      <c r="C5514" s="216" t="n">
        <v>106.92</v>
      </c>
      <c r="D5514" s="216" t="n">
        <v>1.089478969573975</v>
      </c>
      <c r="E5514" s="215" t="n">
        <v>45898</v>
      </c>
      <c r="F5514" s="215" t="n">
        <v>45898</v>
      </c>
    </row>
    <row r="5515">
      <c r="A5515" s="215" t="n">
        <v>45901</v>
      </c>
      <c r="B5515" s="216" t="n">
        <v>96.05</v>
      </c>
      <c r="C5515" s="216" t="n">
        <v>110.78</v>
      </c>
      <c r="D5515" s="216" t="n">
        <v>1.09319794178009</v>
      </c>
      <c r="E5515" s="215" t="n">
        <v>45901</v>
      </c>
      <c r="F5515" s="215" t="n">
        <v>45901</v>
      </c>
    </row>
    <row r="5516">
      <c r="A5516" s="215" t="n">
        <v>45902</v>
      </c>
      <c r="B5516" s="216" t="n">
        <v>96.34999999999999</v>
      </c>
      <c r="C5516" s="216" t="n">
        <v>109.74</v>
      </c>
      <c r="D5516" s="216" t="n">
        <v>1.093255043029785</v>
      </c>
      <c r="E5516" s="215" t="n">
        <v>45902</v>
      </c>
      <c r="F5516" s="215" t="n">
        <v>45902</v>
      </c>
    </row>
    <row r="5517">
      <c r="A5517" s="215" t="n">
        <v>45903</v>
      </c>
      <c r="B5517" s="216" t="n">
        <v>96.59999999999999</v>
      </c>
      <c r="C5517" s="216" t="n">
        <v>109.31</v>
      </c>
      <c r="D5517" s="216" t="n">
        <v>1.09343695640564</v>
      </c>
      <c r="E5517" s="215" t="n">
        <v>45903</v>
      </c>
      <c r="F5517" s="215" t="n">
        <v>45903</v>
      </c>
    </row>
    <row r="5518">
      <c r="A5518" s="215" t="n">
        <v>45904</v>
      </c>
      <c r="B5518" s="216" t="n">
        <v>90.15000000000001</v>
      </c>
      <c r="C5518" s="216" t="n">
        <v>101.72</v>
      </c>
      <c r="D5518" s="216" t="n">
        <v>1.092192053794861</v>
      </c>
      <c r="E5518" s="215" t="n">
        <v>45904</v>
      </c>
      <c r="F5518" s="215" t="n">
        <v>45904</v>
      </c>
    </row>
    <row r="5519">
      <c r="A5519" s="215" t="n">
        <v>45905</v>
      </c>
      <c r="B5519" s="216" t="n">
        <v>95.7</v>
      </c>
      <c r="C5519" s="216" t="n">
        <v>108.27</v>
      </c>
      <c r="D5519" s="216" t="n">
        <v>1.092169046401978</v>
      </c>
      <c r="E5519" s="215" t="n">
        <v>45905</v>
      </c>
      <c r="F5519" s="215" t="n">
        <v>45905</v>
      </c>
    </row>
    <row r="5520">
      <c r="A5520" s="215" t="n">
        <v>45908</v>
      </c>
      <c r="B5520" s="216" t="n">
        <v>98.7</v>
      </c>
      <c r="C5520" s="216" t="n">
        <v>110.4</v>
      </c>
      <c r="D5520" s="216" t="n">
        <v>1.093217015266418</v>
      </c>
      <c r="E5520" s="215" t="n">
        <v>45908</v>
      </c>
      <c r="F5520" s="215" t="n">
        <v>45908</v>
      </c>
    </row>
    <row r="5521">
      <c r="A5521" s="215" t="n">
        <v>45909</v>
      </c>
      <c r="B5521" s="216" t="n">
        <v>96.3</v>
      </c>
      <c r="C5521" s="216" t="n">
        <v>106.44</v>
      </c>
      <c r="D5521" s="216" t="n">
        <v>1.092916965484619</v>
      </c>
      <c r="E5521" s="215" t="n">
        <v>45909</v>
      </c>
      <c r="F5521" s="215" t="n">
        <v>45909</v>
      </c>
    </row>
    <row r="5522">
      <c r="A5522" s="215" t="n">
        <v>45910</v>
      </c>
      <c r="B5522" s="216" t="n">
        <v>97.05</v>
      </c>
      <c r="C5522" s="216" t="n">
        <v>111</v>
      </c>
      <c r="D5522" s="216" t="n">
        <v>1.093482971191406</v>
      </c>
      <c r="E5522" s="215" t="n">
        <v>45910</v>
      </c>
      <c r="F5522" s="215" t="n">
        <v>45910</v>
      </c>
    </row>
    <row r="5523">
      <c r="A5523" s="215" t="n">
        <v>45911</v>
      </c>
      <c r="B5523" s="216" t="n">
        <v>95.05</v>
      </c>
      <c r="C5523" s="216" t="n">
        <v>109.96</v>
      </c>
      <c r="D5523" s="216" t="n">
        <v>1.093762993812561</v>
      </c>
      <c r="E5523" s="215" t="n">
        <v>45911</v>
      </c>
      <c r="F5523" s="215" t="n">
        <v>45911</v>
      </c>
    </row>
    <row r="5524">
      <c r="A5524" s="215" t="n">
        <v>45912</v>
      </c>
      <c r="B5524" s="216" t="n">
        <v>97.09999999999999</v>
      </c>
      <c r="C5524" s="216" t="n">
        <v>112.08</v>
      </c>
      <c r="D5524" s="216" t="n">
        <v>1.094014048576355</v>
      </c>
      <c r="E5524" s="215" t="n">
        <v>45912</v>
      </c>
      <c r="F5524" s="215" t="n">
        <v>45912</v>
      </c>
    </row>
    <row r="5525">
      <c r="A5525" s="215" t="n">
        <v>45915</v>
      </c>
      <c r="B5525" s="216" t="n">
        <v>101.9</v>
      </c>
      <c r="C5525" s="216" t="n">
        <v>116.69</v>
      </c>
      <c r="D5525" s="216" t="n">
        <v>1.091848969459534</v>
      </c>
      <c r="E5525" s="215" t="n">
        <v>45915</v>
      </c>
      <c r="F5525" s="215" t="n">
        <v>45915</v>
      </c>
    </row>
    <row r="5526">
      <c r="A5526" s="215" t="n">
        <v>45916</v>
      </c>
      <c r="B5526" s="216" t="n">
        <v>107</v>
      </c>
      <c r="C5526" s="216" t="n">
        <v>118.2</v>
      </c>
      <c r="D5526" s="216" t="n">
        <v>1.092795968055725</v>
      </c>
      <c r="E5526" s="215" t="n">
        <v>45916</v>
      </c>
      <c r="F5526" s="215" t="n">
        <v>45916</v>
      </c>
    </row>
    <row r="5527">
      <c r="A5527" s="215" t="n">
        <v>45917</v>
      </c>
      <c r="B5527" s="216" t="n">
        <v>106.2</v>
      </c>
      <c r="C5527" s="216" t="n">
        <v>116.72</v>
      </c>
      <c r="D5527" s="216" t="n">
        <v>1.093690991401672</v>
      </c>
      <c r="E5527" s="215" t="n">
        <v>45917</v>
      </c>
      <c r="F5527" s="215" t="n">
        <v>45917</v>
      </c>
    </row>
    <row r="5528">
      <c r="A5528" s="215" t="n">
        <v>45918</v>
      </c>
      <c r="B5528" s="216" t="n">
        <v>102.2</v>
      </c>
      <c r="C5528" s="216" t="n">
        <v>114.18</v>
      </c>
      <c r="D5528" s="216" t="n">
        <v>1.094727993011475</v>
      </c>
      <c r="E5528" s="215" t="n">
        <v>45918</v>
      </c>
      <c r="F5528" s="215" t="n">
        <v>45918</v>
      </c>
    </row>
    <row r="5529">
      <c r="A5529" s="215" t="n">
        <v>45919</v>
      </c>
      <c r="B5529" s="216" t="n">
        <v>98.75</v>
      </c>
      <c r="C5529" s="216" t="n">
        <v>110.7</v>
      </c>
      <c r="D5529" s="216" t="n">
        <v>1.093201994895935</v>
      </c>
      <c r="E5529" s="215" t="n">
        <v>45919</v>
      </c>
      <c r="F5529" s="215" t="n">
        <v>45919</v>
      </c>
    </row>
    <row r="5530">
      <c r="A5530" s="215" t="n">
        <v>45922</v>
      </c>
      <c r="B5530" s="216" t="n">
        <v>99.8</v>
      </c>
      <c r="C5530" s="216" t="n">
        <v>111.12</v>
      </c>
      <c r="D5530" s="216" t="n">
        <v>1.092589020729065</v>
      </c>
      <c r="E5530" s="215" t="n">
        <v>45922</v>
      </c>
      <c r="F5530" s="215" t="n">
        <v>45922</v>
      </c>
    </row>
    <row r="5531">
      <c r="A5531" s="215" t="n">
        <v>45923</v>
      </c>
      <c r="B5531" s="216" t="n">
        <v>95</v>
      </c>
      <c r="C5531" s="216" t="n">
        <v>108.65</v>
      </c>
      <c r="D5531" s="216" t="n">
        <v>1.0920250415802</v>
      </c>
      <c r="E5531" s="215" t="n">
        <v>45923</v>
      </c>
      <c r="F5531" s="215" t="n">
        <v>45923</v>
      </c>
    </row>
    <row r="5532">
      <c r="A5532" s="215" t="n">
        <v>45924</v>
      </c>
      <c r="B5532" s="216" t="n">
        <v>95.3</v>
      </c>
      <c r="C5532" s="216" t="n">
        <v>109.25</v>
      </c>
      <c r="D5532" s="216" t="n">
        <v>1.093196988105774</v>
      </c>
      <c r="E5532" s="215" t="n">
        <v>45924</v>
      </c>
      <c r="F5532" s="215" t="n">
        <v>45924</v>
      </c>
    </row>
    <row r="5533">
      <c r="A5533" s="215" t="n">
        <v>45925</v>
      </c>
      <c r="B5533" s="216" t="n">
        <v>100.3</v>
      </c>
      <c r="C5533" s="216" t="n">
        <v>111.72</v>
      </c>
      <c r="D5533" s="216" t="n">
        <v>1.090371012687683</v>
      </c>
      <c r="E5533" s="215" t="n">
        <v>45925</v>
      </c>
      <c r="F5533" s="215" t="n">
        <v>45925</v>
      </c>
    </row>
    <row r="5534">
      <c r="A5534" s="215" t="n">
        <v>45926</v>
      </c>
      <c r="B5534" s="216" t="n">
        <v>92.8</v>
      </c>
      <c r="C5534" s="216" t="n">
        <v>107.76</v>
      </c>
      <c r="D5534" s="216" t="n">
        <v>1.090574979782104</v>
      </c>
      <c r="E5534" s="215" t="n">
        <v>45926</v>
      </c>
      <c r="F5534" s="215" t="n">
        <v>45926</v>
      </c>
    </row>
    <row r="5535">
      <c r="A5535" s="215" t="n">
        <v>45929</v>
      </c>
      <c r="B5535" s="216" t="n">
        <v>93.5</v>
      </c>
      <c r="C5535" s="216" t="n">
        <v>109.94</v>
      </c>
      <c r="D5535" s="216" t="n">
        <v>1.090520024299622</v>
      </c>
      <c r="E5535" s="215" t="n">
        <v>45929</v>
      </c>
      <c r="F5535" s="215" t="n">
        <v>45929</v>
      </c>
    </row>
    <row r="5536">
      <c r="A5536" s="215" t="n">
        <v>45930</v>
      </c>
      <c r="B5536" s="216" t="n">
        <v>98.65000000000001</v>
      </c>
      <c r="C5536" s="216" t="n">
        <v>113.7</v>
      </c>
      <c r="D5536" s="216" t="n">
        <v>1.093106031417847</v>
      </c>
      <c r="E5536" s="215" t="n">
        <v>45930</v>
      </c>
      <c r="F5536" s="215" t="n">
        <v>45930</v>
      </c>
    </row>
    <row r="5537">
      <c r="A5537" s="215" t="n">
        <v>45932</v>
      </c>
      <c r="B5537" s="216" t="n">
        <v>100.4</v>
      </c>
      <c r="C5537" s="216" t="n">
        <v>113.7</v>
      </c>
      <c r="D5537" s="216" t="n">
        <v>1.092823028564453</v>
      </c>
      <c r="E5537" s="215" t="n">
        <v>45930</v>
      </c>
      <c r="F5537" s="215" t="n">
        <v>45932</v>
      </c>
    </row>
    <row r="5538">
      <c r="A5538" s="215" t="n">
        <v>45933</v>
      </c>
      <c r="B5538" s="216" t="n">
        <v>99.95</v>
      </c>
      <c r="C5538" s="216" t="n">
        <v>113.7</v>
      </c>
      <c r="D5538" s="216" t="n">
        <v>1.09303605556488</v>
      </c>
      <c r="E5538" s="215" t="n">
        <v>45930</v>
      </c>
      <c r="F5538" s="215" t="n">
        <v>45933</v>
      </c>
    </row>
    <row r="5539">
      <c r="A5539" s="215" t="n">
        <v>45936</v>
      </c>
      <c r="B5539" s="216" t="n">
        <v>98.3</v>
      </c>
      <c r="C5539" s="216" t="n">
        <v>113.7</v>
      </c>
      <c r="D5539" s="216" t="n">
        <v>1.092857956886292</v>
      </c>
      <c r="E5539" s="215" t="n">
        <v>45930</v>
      </c>
      <c r="F5539" s="215" t="n">
        <v>45936</v>
      </c>
    </row>
    <row r="5540">
      <c r="A5540" s="215" t="n">
        <v>45938</v>
      </c>
      <c r="B5540" s="216" t="n">
        <v>98.5</v>
      </c>
      <c r="C5540" s="216" t="n">
        <v>113.7</v>
      </c>
      <c r="D5540" s="216" t="n">
        <v>1.093148946762085</v>
      </c>
      <c r="E5540" s="215" t="n">
        <v>45930</v>
      </c>
      <c r="F5540" s="215" t="n">
        <v>45938</v>
      </c>
    </row>
    <row r="5541">
      <c r="A5541" s="215" t="n">
        <v>45939</v>
      </c>
      <c r="B5541" s="216" t="n">
        <v>96.40000000000001</v>
      </c>
      <c r="C5541" s="216" t="n">
        <v>113.48</v>
      </c>
      <c r="D5541" s="216" t="n">
        <v>1.092933058738708</v>
      </c>
      <c r="E5541" s="215" t="n">
        <v>45939</v>
      </c>
      <c r="F5541" s="215" t="n">
        <v>45939</v>
      </c>
    </row>
    <row r="5542">
      <c r="A5542" s="215" t="n">
        <v>45940</v>
      </c>
      <c r="B5542" s="216" t="n">
        <v>97.5</v>
      </c>
      <c r="C5542" s="216" t="n">
        <v>111.01</v>
      </c>
      <c r="D5542" s="216" t="n">
        <v>1.091662049293518</v>
      </c>
      <c r="E5542" s="215" t="n">
        <v>45940</v>
      </c>
      <c r="F5542" s="215" t="n">
        <v>45940</v>
      </c>
    </row>
    <row r="5543">
      <c r="A5543" s="215" t="n">
        <v>45943</v>
      </c>
      <c r="B5543" s="216" t="n">
        <v>90.59999999999999</v>
      </c>
      <c r="C5543" s="216" t="n">
        <v>105.42</v>
      </c>
      <c r="D5543" s="216" t="n">
        <v>1.093768000602722</v>
      </c>
      <c r="E5543" s="215" t="n">
        <v>45943</v>
      </c>
      <c r="F5543" s="215" t="n">
        <v>45943</v>
      </c>
    </row>
    <row r="5544">
      <c r="A5544" s="215" t="n">
        <v>45944</v>
      </c>
      <c r="B5544" s="216" t="n">
        <v>84.65000000000001</v>
      </c>
      <c r="C5544" s="216" t="n">
        <v>102</v>
      </c>
      <c r="D5544" s="216" t="n">
        <v>1.093292951583862</v>
      </c>
      <c r="E5544" s="215" t="n">
        <v>45944</v>
      </c>
      <c r="F5544" s="215" t="n">
        <v>45944</v>
      </c>
    </row>
    <row r="5545">
      <c r="A5545" s="215" t="n">
        <v>45945</v>
      </c>
      <c r="B5545" s="216" t="n">
        <v>91.09999999999999</v>
      </c>
      <c r="C5545" s="216" t="n">
        <v>106.07</v>
      </c>
      <c r="D5545" s="216" t="n">
        <v>1.088750958442688</v>
      </c>
      <c r="E5545" s="215" t="n">
        <v>45945</v>
      </c>
      <c r="F5545" s="215" t="n">
        <v>45945</v>
      </c>
    </row>
    <row r="5546">
      <c r="A5546" s="215" t="n">
        <v>45946</v>
      </c>
      <c r="B5546" s="216" t="n">
        <v>95.15000000000001</v>
      </c>
      <c r="C5546" s="216" t="n">
        <v>105.44</v>
      </c>
      <c r="D5546" s="216" t="n">
        <v>1.090903043746948</v>
      </c>
      <c r="E5546" s="215" t="n">
        <v>45946</v>
      </c>
      <c r="F5546" s="215" t="n">
        <v>45946</v>
      </c>
    </row>
    <row r="5547">
      <c r="A5547" s="215" t="n">
        <v>45947</v>
      </c>
      <c r="B5547" s="216" t="n">
        <v>89.40000000000001</v>
      </c>
      <c r="C5547" s="216" t="n">
        <v>103</v>
      </c>
      <c r="D5547" s="216" t="n">
        <v>1.09073805809021</v>
      </c>
      <c r="E5547" s="215" t="n">
        <v>45947</v>
      </c>
      <c r="F5547" s="215" t="n">
        <v>45947</v>
      </c>
    </row>
    <row r="5548">
      <c r="A5548" s="215" t="n">
        <v>45950</v>
      </c>
      <c r="B5548" s="216" t="n">
        <v>91.75</v>
      </c>
      <c r="C5548" s="216" t="n">
        <v>105.8</v>
      </c>
      <c r="D5548" s="216" t="n">
        <v>1.089843988418579</v>
      </c>
      <c r="E5548" s="215" t="n">
        <v>45950</v>
      </c>
      <c r="F5548" s="215" t="n">
        <v>45950</v>
      </c>
    </row>
    <row r="5549">
      <c r="A5549" s="215" t="n">
        <v>45951</v>
      </c>
      <c r="B5549" s="216" t="n">
        <v>91.05</v>
      </c>
      <c r="C5549" s="216" t="n">
        <v>107.06</v>
      </c>
      <c r="D5549" s="216" t="n">
        <v>1.091038942337036</v>
      </c>
      <c r="E5549" s="215" t="n">
        <v>45951</v>
      </c>
      <c r="F5549" s="215" t="n">
        <v>45951</v>
      </c>
    </row>
    <row r="5550">
      <c r="A5550" s="215" t="n">
        <v>45952</v>
      </c>
      <c r="B5550" s="216" t="n">
        <v>90.40000000000001</v>
      </c>
      <c r="C5550" s="216" t="n">
        <v>105.51</v>
      </c>
      <c r="D5550" s="216" t="n">
        <v>1.091071009635925</v>
      </c>
      <c r="E5550" s="215" t="n">
        <v>45952</v>
      </c>
      <c r="F5550" s="215" t="n">
        <v>45952</v>
      </c>
    </row>
    <row r="5551">
      <c r="A5551" s="215" t="n">
        <v>45953</v>
      </c>
      <c r="B5551" s="216" t="n">
        <v>88.84999999999999</v>
      </c>
      <c r="C5551" s="216" t="n">
        <v>104.4</v>
      </c>
      <c r="D5551" s="216" t="n">
        <v>1.090343952178955</v>
      </c>
      <c r="E5551" s="215" t="n">
        <v>45953</v>
      </c>
      <c r="F5551" s="215" t="n">
        <v>45953</v>
      </c>
    </row>
    <row r="5552">
      <c r="A5552" s="215" t="n">
        <v>45954</v>
      </c>
      <c r="B5552" s="216" t="n">
        <v>91.59999999999999</v>
      </c>
      <c r="C5552" s="216" t="n">
        <v>105.76</v>
      </c>
      <c r="D5552" s="216" t="n">
        <v>1.090456962585449</v>
      </c>
      <c r="E5552" s="215" t="n">
        <v>45954</v>
      </c>
      <c r="F5552" s="215" t="n">
        <v>45954</v>
      </c>
    </row>
    <row r="5553">
      <c r="A5553" s="215" t="n">
        <v>45957</v>
      </c>
      <c r="B5553" s="216" t="n">
        <v>89.84999999999999</v>
      </c>
      <c r="C5553" s="216" t="n">
        <v>104.74</v>
      </c>
      <c r="D5553" s="216" t="n">
        <v>1.090957045555115</v>
      </c>
      <c r="E5553" s="215" t="n">
        <v>45957</v>
      </c>
      <c r="F5553" s="215" t="n">
        <v>45957</v>
      </c>
    </row>
    <row r="5554">
      <c r="A5554" s="215" t="n">
        <v>45958</v>
      </c>
      <c r="B5554" s="216" t="n">
        <v>87.7</v>
      </c>
      <c r="C5554" s="216" t="n">
        <v>103.33</v>
      </c>
      <c r="D5554" s="216" t="n">
        <v>1.092440009117126</v>
      </c>
      <c r="E5554" s="215" t="n">
        <v>45958</v>
      </c>
      <c r="F5554" s="215" t="n">
        <v>45958</v>
      </c>
    </row>
    <row r="5555">
      <c r="A5555" s="215" t="n">
        <v>45960</v>
      </c>
      <c r="B5555" s="216" t="n">
        <v>85.8</v>
      </c>
      <c r="C5555" s="216" t="n">
        <v>102.53</v>
      </c>
      <c r="D5555" s="216" t="n">
        <v>1.09463894367218</v>
      </c>
      <c r="E5555" s="215" t="n">
        <v>45960</v>
      </c>
      <c r="F5555" s="215" t="n">
        <v>45960</v>
      </c>
    </row>
    <row r="5556">
      <c r="A5556" s="215" t="n">
        <v>45961</v>
      </c>
      <c r="B5556" s="216" t="n">
        <v>83.7</v>
      </c>
      <c r="C5556" s="216" t="n">
        <v>98.09</v>
      </c>
      <c r="D5556" s="216" t="n">
        <v>1.092543959617615</v>
      </c>
      <c r="E5556" s="215" t="n">
        <v>45961</v>
      </c>
      <c r="F5556" s="215" t="n">
        <v>45961</v>
      </c>
    </row>
    <row r="5557">
      <c r="A5557" s="215" t="n">
        <v>45964</v>
      </c>
      <c r="B5557" s="216" t="n">
        <v>85.65000000000001</v>
      </c>
      <c r="C5557" s="216" t="n">
        <v>98.95999999999999</v>
      </c>
      <c r="D5557" s="216" t="n">
        <v>1.091722965240479</v>
      </c>
      <c r="E5557" s="215" t="n">
        <v>45964</v>
      </c>
      <c r="F5557" s="215" t="n">
        <v>45964</v>
      </c>
    </row>
    <row r="5558">
      <c r="A5558" s="215" t="n">
        <v>45965</v>
      </c>
      <c r="B5558" s="216" t="n">
        <v>83.15000000000001</v>
      </c>
      <c r="C5558" s="216" t="n">
        <v>95.36</v>
      </c>
      <c r="D5558" s="216" t="n">
        <v>1.083533048629761</v>
      </c>
      <c r="E5558" s="215" t="n">
        <v>45965</v>
      </c>
      <c r="F5558" s="215" t="n">
        <v>45965</v>
      </c>
    </row>
    <row r="5559">
      <c r="A5559" s="215" t="n">
        <v>45966</v>
      </c>
      <c r="B5559" s="216" t="n">
        <v>82.09999999999999</v>
      </c>
      <c r="C5559" s="216" t="n">
        <v>93.91</v>
      </c>
      <c r="D5559" s="216" t="n">
        <v>1.090273976325989</v>
      </c>
      <c r="E5559" s="215" t="n">
        <v>45966</v>
      </c>
      <c r="F5559" s="215" t="n">
        <v>45966</v>
      </c>
    </row>
    <row r="5560">
      <c r="A5560" s="215" t="n">
        <v>45967</v>
      </c>
      <c r="B5560" s="216" t="n">
        <v>83.25</v>
      </c>
      <c r="C5560" s="216" t="n">
        <v>94.90000000000001</v>
      </c>
      <c r="D5560" s="216" t="n">
        <v>1.090808033943176</v>
      </c>
      <c r="E5560" s="215" t="n">
        <v>45967</v>
      </c>
      <c r="F5560" s="215" t="n">
        <v>45967</v>
      </c>
    </row>
    <row r="5561">
      <c r="A5561" s="215" t="n">
        <v>45968</v>
      </c>
      <c r="B5561" s="216" t="n">
        <v>83.59999999999999</v>
      </c>
      <c r="C5561" s="216" t="n">
        <v>95.19</v>
      </c>
      <c r="D5561" s="216" t="n">
        <v>1.092054009437561</v>
      </c>
      <c r="E5561" s="215" t="n">
        <v>45968</v>
      </c>
      <c r="F5561" s="215" t="n">
        <v>45968</v>
      </c>
    </row>
    <row r="5562">
      <c r="A5562" s="215" t="n">
        <v>45971</v>
      </c>
      <c r="B5562" s="216" t="n">
        <v>84</v>
      </c>
      <c r="C5562" s="216" t="n">
        <v>95.43000000000001</v>
      </c>
      <c r="D5562" s="216" t="n">
        <v>1.092267036437988</v>
      </c>
      <c r="E5562" s="215" t="n">
        <v>45971</v>
      </c>
      <c r="F5562" s="215" t="n">
        <v>45971</v>
      </c>
    </row>
    <row r="5563">
      <c r="A5563" s="215" t="n">
        <v>45972</v>
      </c>
      <c r="B5563" s="216" t="n">
        <v>82.45</v>
      </c>
      <c r="C5563" s="216" t="n">
        <v>94.05</v>
      </c>
      <c r="D5563" s="216" t="n">
        <v>1.091644048690796</v>
      </c>
      <c r="E5563" s="215" t="n">
        <v>45972</v>
      </c>
      <c r="F5563" s="215" t="n">
        <v>45972</v>
      </c>
    </row>
    <row r="5564">
      <c r="A5564" s="215" t="n">
        <v>45973</v>
      </c>
      <c r="B5564" s="216" t="n">
        <v>84.25</v>
      </c>
      <c r="C5564" s="216" t="n">
        <v>94.31</v>
      </c>
      <c r="D5564" s="216" t="n">
        <v>1.091495990753174</v>
      </c>
      <c r="E5564" s="215" t="n">
        <v>45973</v>
      </c>
      <c r="F5564" s="215" t="n">
        <v>45973</v>
      </c>
    </row>
    <row r="5565">
      <c r="A5565" s="215" t="n">
        <v>45974</v>
      </c>
      <c r="B5565" s="216" t="n">
        <v>84.34999999999999</v>
      </c>
      <c r="C5565" s="216" t="n">
        <v>96.19</v>
      </c>
      <c r="D5565" s="216" t="n">
        <v>1.092489004135132</v>
      </c>
      <c r="E5565" s="215" t="n">
        <v>45974</v>
      </c>
      <c r="F5565" s="215" t="n">
        <v>45974</v>
      </c>
    </row>
    <row r="5566">
      <c r="A5566" s="215" t="n">
        <v>45975</v>
      </c>
      <c r="B5566" s="216" t="n">
        <v>82</v>
      </c>
      <c r="C5566" s="216" t="n">
        <v>95.31</v>
      </c>
      <c r="D5566" s="216" t="n">
        <v>1.092411994934082</v>
      </c>
      <c r="E5566" s="215" t="n">
        <v>45975</v>
      </c>
      <c r="F5566" s="215" t="n">
        <v>45975</v>
      </c>
    </row>
    <row r="5567">
      <c r="A5567" s="215" t="n">
        <v>45978</v>
      </c>
      <c r="B5567" s="216" t="n">
        <v>80.34999999999999</v>
      </c>
      <c r="C5567" s="216" t="n">
        <v>92.7</v>
      </c>
      <c r="D5567" s="216" t="n">
        <v>1.094588041305542</v>
      </c>
      <c r="E5567" s="215" t="n">
        <v>45978</v>
      </c>
      <c r="F5567" s="215" t="n">
        <v>45978</v>
      </c>
    </row>
    <row r="5568">
      <c r="A5568" s="215" t="n">
        <v>45979</v>
      </c>
      <c r="B5568" s="216" t="n">
        <v>79.34999999999999</v>
      </c>
      <c r="C5568" s="216" t="n">
        <v>92.95</v>
      </c>
      <c r="D5568" s="216" t="n">
        <v>1.093616008758545</v>
      </c>
      <c r="E5568" s="215" t="n">
        <v>45979</v>
      </c>
      <c r="F5568" s="215" t="n">
        <v>45979</v>
      </c>
    </row>
    <row r="5569">
      <c r="A5569" s="215" t="n">
        <v>45980</v>
      </c>
      <c r="B5569" s="216" t="n">
        <v>77.84999999999999</v>
      </c>
      <c r="C5569" s="216" t="n">
        <v>91.61</v>
      </c>
      <c r="D5569" s="216" t="n">
        <v>1.095010995864868</v>
      </c>
      <c r="E5569" s="215" t="n">
        <v>45980</v>
      </c>
      <c r="F5569" s="215" t="n">
        <v>45980</v>
      </c>
    </row>
    <row r="5570">
      <c r="A5570" s="215" t="n">
        <v>45981</v>
      </c>
      <c r="B5570" s="216" t="n">
        <v>78</v>
      </c>
      <c r="C5570" s="216" t="n">
        <v>91</v>
      </c>
      <c r="D5570" s="216" t="n">
        <v>1.095402002334595</v>
      </c>
      <c r="E5570" s="215" t="n">
        <v>45981</v>
      </c>
      <c r="F5570" s="215" t="n">
        <v>45981</v>
      </c>
    </row>
    <row r="5571">
      <c r="A5571" s="215" t="n">
        <v>45982</v>
      </c>
      <c r="B5571" s="216" t="n">
        <v>76.09999999999999</v>
      </c>
      <c r="C5571" s="216" t="n">
        <v>89.5</v>
      </c>
      <c r="D5571" s="216" t="n">
        <v>1.094982981681824</v>
      </c>
      <c r="E5571" s="215" t="n">
        <v>45982</v>
      </c>
      <c r="F5571" s="215" t="n">
        <v>45982</v>
      </c>
    </row>
    <row r="5572">
      <c r="A5572" s="215" t="n">
        <v>45985</v>
      </c>
      <c r="B5572" s="216" t="n">
        <v>77.65000000000001</v>
      </c>
      <c r="C5572" s="216" t="n">
        <v>90.73999999999999</v>
      </c>
      <c r="D5572" s="216" t="n">
        <v>1.094988942146301</v>
      </c>
      <c r="E5572" s="215" t="n">
        <v>45985</v>
      </c>
      <c r="F5572" s="215" t="n">
        <v>45985</v>
      </c>
    </row>
    <row r="5573">
      <c r="A5573" s="215" t="n">
        <v>45986</v>
      </c>
      <c r="B5573" s="216" t="n">
        <v>77.45</v>
      </c>
      <c r="C5573" s="216" t="n">
        <v>90.90000000000001</v>
      </c>
      <c r="D5573" s="216" t="n">
        <v>1.095428943634033</v>
      </c>
      <c r="E5573" s="215" t="n">
        <v>45986</v>
      </c>
      <c r="F5573" s="215" t="n">
        <v>45986</v>
      </c>
    </row>
    <row r="5574">
      <c r="A5574" s="215" t="n">
        <v>45987</v>
      </c>
      <c r="B5574" s="216" t="n">
        <v>79.45</v>
      </c>
      <c r="C5574" s="216" t="n">
        <v>92.73999999999999</v>
      </c>
      <c r="D5574" s="216" t="n">
        <v>1.097422003746033</v>
      </c>
      <c r="E5574" s="215" t="n">
        <v>45987</v>
      </c>
      <c r="F5574" s="215" t="n">
        <v>45987</v>
      </c>
    </row>
    <row r="5575">
      <c r="A5575" s="215" t="n">
        <v>45988</v>
      </c>
      <c r="B5575" s="216" t="n">
        <v>78.15000000000001</v>
      </c>
      <c r="C5575" s="216" t="n">
        <v>92</v>
      </c>
      <c r="D5575" s="216" t="n">
        <v>1.098397016525269</v>
      </c>
      <c r="E5575" s="215" t="n">
        <v>45988</v>
      </c>
      <c r="F5575" s="215" t="n">
        <v>45988</v>
      </c>
    </row>
    <row r="5576">
      <c r="A5576" s="215" t="n">
        <v>45989</v>
      </c>
      <c r="B5576" s="216" t="n">
        <v>79.5</v>
      </c>
      <c r="C5576" s="216" t="n">
        <v>92.75</v>
      </c>
      <c r="D5576" s="216" t="n">
        <v>1.098330020904541</v>
      </c>
      <c r="E5576" s="215" t="n">
        <v>45989</v>
      </c>
      <c r="F5576" s="215" t="n">
        <v>45989</v>
      </c>
    </row>
    <row r="5577">
      <c r="A5577" s="215" t="n">
        <v>45992</v>
      </c>
      <c r="B5577" s="216" t="n">
        <v>80.8</v>
      </c>
      <c r="C5577" s="216" t="n">
        <v>94.55</v>
      </c>
      <c r="D5577" s="216" t="n">
        <v>1.10015594959259</v>
      </c>
      <c r="E5577" s="215" t="n">
        <v>45992</v>
      </c>
      <c r="F5577" s="215" t="n">
        <v>45992</v>
      </c>
    </row>
    <row r="5578">
      <c r="A5578" s="215" t="n">
        <v>45993</v>
      </c>
      <c r="B5578" s="216" t="n">
        <v>77.90000000000001</v>
      </c>
      <c r="C5578" s="216" t="n">
        <v>92.59999999999999</v>
      </c>
      <c r="D5578" s="216" t="n">
        <v>1.101189017295837</v>
      </c>
      <c r="E5578" s="215" t="n">
        <v>45993</v>
      </c>
      <c r="F5578" s="215" t="n">
        <v>45993</v>
      </c>
    </row>
    <row r="5579">
      <c r="A5579" s="215" t="n">
        <v>45994</v>
      </c>
      <c r="B5579" s="216" t="n">
        <v>76.55</v>
      </c>
      <c r="C5579" s="216" t="n">
        <v>92.56</v>
      </c>
      <c r="D5579" s="216" t="n">
        <v>1.100834012031555</v>
      </c>
      <c r="E5579" s="215" t="n">
        <v>45994</v>
      </c>
      <c r="F5579" s="215" t="n">
        <v>45994</v>
      </c>
    </row>
    <row r="5580">
      <c r="A5580" s="215" t="n">
        <v>45995</v>
      </c>
      <c r="B5580" s="216" t="n">
        <v>77.65000000000001</v>
      </c>
      <c r="C5580" s="216" t="n">
        <v>90.84</v>
      </c>
      <c r="D5580" s="216" t="n">
        <v>1.101611018180847</v>
      </c>
      <c r="E5580" s="215" t="n">
        <v>45995</v>
      </c>
      <c r="F5580" s="215" t="n">
        <v>45995</v>
      </c>
    </row>
    <row r="5581">
      <c r="A5581" s="215" t="n">
        <v>45996</v>
      </c>
      <c r="B5581" s="216" t="n">
        <v>78.05</v>
      </c>
      <c r="C5581" s="216" t="n">
        <v>92.23999999999999</v>
      </c>
      <c r="D5581" s="216" t="n">
        <v>1.100373983383179</v>
      </c>
      <c r="E5581" s="215" t="n">
        <v>45996</v>
      </c>
      <c r="F5581" s="215" t="n">
        <v>45996</v>
      </c>
    </row>
    <row r="5582">
      <c r="A5582" s="215" t="n">
        <v>45999</v>
      </c>
      <c r="B5582" s="216" t="n">
        <v>78.8</v>
      </c>
      <c r="C5582" s="216" t="n">
        <v>93.31999999999999</v>
      </c>
      <c r="D5582" s="216" t="n">
        <v>1.1008620262146</v>
      </c>
      <c r="E5582" s="215" t="n">
        <v>45999</v>
      </c>
      <c r="F5582" s="215" t="n">
        <v>45999</v>
      </c>
    </row>
    <row r="5583">
      <c r="A5583" s="215" t="n">
        <v>46000</v>
      </c>
      <c r="B5583" s="216" t="n">
        <v>78.45</v>
      </c>
      <c r="C5583" s="216" t="n">
        <v>92.76000000000001</v>
      </c>
      <c r="D5583" s="216" t="n">
        <v>1.10008704662323</v>
      </c>
      <c r="E5583" s="215" t="n">
        <v>46000</v>
      </c>
      <c r="F5583" s="215" t="n">
        <v>46000</v>
      </c>
    </row>
    <row r="5584">
      <c r="A5584" s="215" t="n">
        <v>46001</v>
      </c>
      <c r="B5584" s="216" t="n">
        <v>78</v>
      </c>
      <c r="C5584" s="216" t="n">
        <v>93.45</v>
      </c>
      <c r="D5584" s="216" t="n">
        <v>1.101711988449097</v>
      </c>
      <c r="E5584" s="215" t="n">
        <v>46001</v>
      </c>
      <c r="F5584" s="215" t="n">
        <v>46001</v>
      </c>
    </row>
    <row r="5585">
      <c r="A5585" s="215" t="n">
        <v>46002</v>
      </c>
      <c r="B5585" s="216" t="n">
        <v>76.59999999999999</v>
      </c>
      <c r="C5585" s="216" t="n">
        <v>93.5</v>
      </c>
      <c r="D5585" s="216" t="n">
        <v>1.10112202167511</v>
      </c>
      <c r="E5585" s="215" t="n">
        <v>46002</v>
      </c>
      <c r="F5585" s="215" t="n">
        <v>46002</v>
      </c>
    </row>
    <row r="5586">
      <c r="A5586" s="215" t="n">
        <v>46003</v>
      </c>
      <c r="B5586" s="216" t="n">
        <v>77.25</v>
      </c>
      <c r="C5586" s="216" t="n">
        <v>94.08</v>
      </c>
      <c r="D5586" s="216" t="n">
        <v>1.102499008178711</v>
      </c>
      <c r="E5586" s="215" t="n">
        <v>46003</v>
      </c>
      <c r="F5586" s="215" t="n">
        <v>46003</v>
      </c>
    </row>
    <row r="5587">
      <c r="A5587" s="215" t="n">
        <v>46006</v>
      </c>
      <c r="B5587" s="216" t="n">
        <v>74.65000000000001</v>
      </c>
      <c r="C5587" s="216" t="n">
        <v>92.15000000000001</v>
      </c>
      <c r="D5587" s="216" t="n">
        <v>1.103397965431213</v>
      </c>
      <c r="E5587" s="215" t="n">
        <v>46006</v>
      </c>
      <c r="F5587" s="215" t="n">
        <v>46006</v>
      </c>
    </row>
    <row r="5588">
      <c r="A5588" s="215" t="n">
        <v>46007</v>
      </c>
      <c r="B5588" s="216" t="n">
        <v>73.05</v>
      </c>
      <c r="C5588" s="216" t="n">
        <v>90.45999999999999</v>
      </c>
      <c r="D5588" s="216" t="n">
        <v>1.104179978370667</v>
      </c>
      <c r="E5588" s="215" t="n">
        <v>46007</v>
      </c>
      <c r="F5588" s="215" t="n">
        <v>46007</v>
      </c>
    </row>
    <row r="5589">
      <c r="A5589" s="215" t="n">
        <v>46008</v>
      </c>
      <c r="B5589" s="216" t="n">
        <v>72.40000000000001</v>
      </c>
      <c r="C5589" s="216" t="n">
        <v>91.79000000000001</v>
      </c>
      <c r="D5589" s="216" t="n">
        <v>1.104655981063843</v>
      </c>
      <c r="E5589" s="215" t="n">
        <v>46008</v>
      </c>
      <c r="F5589" s="215" t="n">
        <v>46008</v>
      </c>
    </row>
    <row r="5590">
      <c r="A5590" s="215" t="n">
        <v>46009</v>
      </c>
      <c r="B5590" s="216" t="n">
        <v>72.45</v>
      </c>
      <c r="C5590" s="216" t="n">
        <v>91.03</v>
      </c>
      <c r="D5590" s="216" t="n">
        <v>1.104357004165649</v>
      </c>
      <c r="E5590" s="215" t="n">
        <v>46009</v>
      </c>
      <c r="F5590" s="215" t="n">
        <v>46009</v>
      </c>
    </row>
    <row r="5591">
      <c r="A5591" s="215" t="n">
        <v>46010</v>
      </c>
      <c r="B5591" s="216" t="n">
        <v>80</v>
      </c>
      <c r="C5591" s="216" t="n">
        <v>94.79000000000001</v>
      </c>
      <c r="D5591" s="216" t="n">
        <v>1.104962944984436</v>
      </c>
      <c r="E5591" s="215" t="n">
        <v>46010</v>
      </c>
      <c r="F5591" s="215" t="n">
        <v>46010</v>
      </c>
    </row>
    <row r="5592">
      <c r="A5592" s="215" t="n">
        <v>46013</v>
      </c>
      <c r="B5592" s="216" t="n">
        <v>77.90000000000001</v>
      </c>
      <c r="C5592" s="216" t="n">
        <v>94.7</v>
      </c>
      <c r="D5592" s="216" t="n">
        <v>1.105054020881653</v>
      </c>
      <c r="E5592" s="215" t="n">
        <v>46013</v>
      </c>
      <c r="F5592" s="215" t="n">
        <v>46013</v>
      </c>
    </row>
    <row r="5593">
      <c r="A5593" s="215" t="n">
        <v>46014</v>
      </c>
      <c r="B5593" s="216" t="n">
        <v>76.59999999999999</v>
      </c>
      <c r="C5593" s="216" t="n">
        <v>95.54000000000001</v>
      </c>
      <c r="D5593" s="216" t="n">
        <v>1.104820013046265</v>
      </c>
      <c r="E5593" s="215" t="n">
        <v>46014</v>
      </c>
      <c r="F5593" s="215" t="n">
        <v>46014</v>
      </c>
    </row>
    <row r="5594">
      <c r="A5594" s="215" t="n">
        <v>46015</v>
      </c>
      <c r="B5594" s="216" t="n">
        <v>73.8</v>
      </c>
      <c r="C5594" s="216" t="n">
        <v>95.28</v>
      </c>
      <c r="D5594" s="216" t="n">
        <v>1.106441974639893</v>
      </c>
      <c r="E5594" s="215" t="n">
        <v>46015</v>
      </c>
      <c r="F5594" s="215" t="n">
        <v>46015</v>
      </c>
    </row>
    <row r="5595">
      <c r="A5595" s="215" t="n">
        <v>46020</v>
      </c>
      <c r="B5595" s="216" t="n">
        <v>75.05</v>
      </c>
      <c r="C5595" s="216" t="n">
        <v>95.2</v>
      </c>
      <c r="D5595" s="216" t="n">
        <v>1.10552704334259</v>
      </c>
      <c r="E5595" s="215" t="n">
        <v>46020</v>
      </c>
      <c r="F5595" s="215" t="n">
        <v>46020</v>
      </c>
    </row>
    <row r="5596">
      <c r="A5596" s="215" t="n">
        <v>46021</v>
      </c>
      <c r="B5596" s="216" t="n">
        <v>72.25</v>
      </c>
      <c r="C5596" s="216" t="n">
        <v>93</v>
      </c>
      <c r="D5596" s="216" t="n">
        <v>1.109460949897766</v>
      </c>
      <c r="E5596" s="215" t="n">
        <v>46021</v>
      </c>
      <c r="F5596" s="215" t="n">
        <v>46021</v>
      </c>
    </row>
    <row r="5597">
      <c r="A5597" s="215" t="n">
        <v>46022</v>
      </c>
      <c r="B5597" s="216" t="n">
        <v>71.2</v>
      </c>
      <c r="C5597" s="216" t="n">
        <v>92.93000000000001</v>
      </c>
      <c r="D5597" s="216" t="n">
        <v>1.111927032470703</v>
      </c>
      <c r="E5597" s="215" t="n">
        <v>46022</v>
      </c>
      <c r="F5597" s="215" t="n">
        <v>46022</v>
      </c>
    </row>
    <row r="5598">
      <c r="A5598" s="215" t="n">
        <v>46024</v>
      </c>
      <c r="B5598" s="216" t="n">
        <v>73.59999999999999</v>
      </c>
      <c r="C5598" s="216" t="n">
        <v>92.93000000000001</v>
      </c>
      <c r="D5598" s="216" t="n">
        <v>1.112754940986633</v>
      </c>
      <c r="E5598" s="215" t="n">
        <v>46022</v>
      </c>
      <c r="F5598" s="215" t="n">
        <v>46024</v>
      </c>
    </row>
    <row r="5599">
      <c r="A5599" s="215" t="n">
        <v>46027</v>
      </c>
      <c r="B5599" s="216" t="n">
        <v>76.15000000000001</v>
      </c>
      <c r="C5599" s="216" t="n">
        <v>95.88</v>
      </c>
      <c r="D5599" s="216" t="n">
        <v>1.113860011100769</v>
      </c>
      <c r="E5599" s="215" t="n">
        <v>46027</v>
      </c>
      <c r="F5599" s="215" t="n">
        <v>46027</v>
      </c>
    </row>
    <row r="5600">
      <c r="A5600" s="215" t="n">
        <v>46028</v>
      </c>
      <c r="B5600" s="216" t="n">
        <v>77.34999999999999</v>
      </c>
      <c r="C5600" s="216" t="n">
        <v>96.61</v>
      </c>
      <c r="D5600" s="216" t="n">
        <v>1.11367404460907</v>
      </c>
      <c r="E5600" s="215" t="n">
        <v>46028</v>
      </c>
      <c r="F5600" s="215" t="n">
        <v>46028</v>
      </c>
    </row>
    <row r="5601">
      <c r="A5601" s="215" t="n">
        <v>46029</v>
      </c>
      <c r="B5601" s="216" t="n">
        <v>84.25</v>
      </c>
      <c r="C5601" s="216" t="n">
        <v>101.06</v>
      </c>
      <c r="D5601" s="216" t="n">
        <v>1.114913940429688</v>
      </c>
      <c r="E5601" s="215" t="n">
        <v>46029</v>
      </c>
      <c r="F5601" s="215" t="n">
        <v>46029</v>
      </c>
    </row>
    <row r="5602">
      <c r="A5602" s="215" t="n">
        <v>46030</v>
      </c>
      <c r="B5602" s="216" t="n">
        <v>83.2</v>
      </c>
      <c r="C5602" s="216" t="n">
        <v>100.36</v>
      </c>
      <c r="D5602" s="216" t="n">
        <v>1.112563014030457</v>
      </c>
      <c r="E5602" s="215" t="n">
        <v>46030</v>
      </c>
      <c r="F5602" s="215" t="n">
        <v>46030</v>
      </c>
    </row>
    <row r="5603">
      <c r="A5603" s="215" t="n">
        <v>46031</v>
      </c>
      <c r="B5603" s="216" t="n">
        <v>85.25</v>
      </c>
      <c r="C5603" s="216" t="n">
        <v>103.97</v>
      </c>
      <c r="D5603" s="216" t="n">
        <v>1.115561008453369</v>
      </c>
      <c r="E5603" s="215" t="n">
        <v>46031</v>
      </c>
      <c r="F5603" s="215" t="n">
        <v>46031</v>
      </c>
    </row>
    <row r="5604">
      <c r="A5604" s="215" t="n">
        <v>46034</v>
      </c>
      <c r="B5604" s="216" t="n">
        <v>85.09999999999999</v>
      </c>
      <c r="C5604" s="216" t="n">
        <v>104.49</v>
      </c>
      <c r="D5604" s="216" t="n">
        <v>1.117015957832336</v>
      </c>
      <c r="E5604" s="215" t="n">
        <v>46034</v>
      </c>
      <c r="F5604" s="215" t="n">
        <v>46034</v>
      </c>
    </row>
    <row r="5605">
      <c r="A5605" s="215" t="n">
        <v>46035</v>
      </c>
      <c r="B5605" s="216" t="n">
        <v>88.45</v>
      </c>
      <c r="C5605" s="216" t="n">
        <v>105.87</v>
      </c>
      <c r="D5605" s="216" t="n">
        <v>1.117892026901245</v>
      </c>
      <c r="E5605" s="215" t="n">
        <v>46035</v>
      </c>
      <c r="F5605" s="215" t="n">
        <v>46035</v>
      </c>
    </row>
    <row r="5606">
      <c r="A5606" s="215" t="n">
        <v>46036</v>
      </c>
      <c r="B5606" s="216" t="n">
        <v>86.09999999999999</v>
      </c>
      <c r="C5606" s="216" t="n">
        <v>104.04</v>
      </c>
      <c r="D5606" s="216" t="n">
        <v>1.117897987365723</v>
      </c>
      <c r="E5606" s="215" t="n">
        <v>46036</v>
      </c>
      <c r="F5606" s="215" t="n">
        <v>46036</v>
      </c>
    </row>
    <row r="5607">
      <c r="A5607" s="215" t="n">
        <v>46037</v>
      </c>
      <c r="B5607" s="216" t="n">
        <v>89.7</v>
      </c>
      <c r="C5607" s="216" t="n">
        <v>106.5</v>
      </c>
      <c r="D5607" s="216" t="n">
        <v>1.118072032928467</v>
      </c>
      <c r="E5607" s="215" t="n">
        <v>46037</v>
      </c>
      <c r="F5607" s="215" t="n">
        <v>46037</v>
      </c>
    </row>
    <row r="5608">
      <c r="A5608" s="215" t="n">
        <v>46038</v>
      </c>
      <c r="B5608" s="216" t="n">
        <v>88.15000000000001</v>
      </c>
      <c r="C5608" s="216" t="n">
        <v>107.33</v>
      </c>
      <c r="D5608" s="216" t="n">
        <v>1.119040012359619</v>
      </c>
      <c r="E5608" s="215" t="n">
        <v>46038</v>
      </c>
      <c r="F5608" s="215" t="n">
        <v>46038</v>
      </c>
    </row>
    <row r="5609">
      <c r="A5609" s="215" t="n">
        <v>46041</v>
      </c>
      <c r="B5609" s="216" t="n">
        <v>86.75</v>
      </c>
      <c r="C5609" s="216" t="n">
        <v>103.95</v>
      </c>
      <c r="D5609" s="216" t="n">
        <v>1.118916034698486</v>
      </c>
      <c r="E5609" s="215" t="n">
        <v>46041</v>
      </c>
      <c r="F5609" s="215" t="n">
        <v>46041</v>
      </c>
    </row>
    <row r="5610">
      <c r="A5610" s="215" t="n">
        <v>46042</v>
      </c>
      <c r="B5610" s="216" t="n">
        <v>84</v>
      </c>
      <c r="C5610" s="216" t="n">
        <v>103.2</v>
      </c>
      <c r="D5610" s="216" t="n">
        <v>1.118687987327576</v>
      </c>
      <c r="E5610" s="215" t="n">
        <v>46042</v>
      </c>
      <c r="F5610" s="215" t="n">
        <v>46042</v>
      </c>
    </row>
    <row r="5611">
      <c r="A5611" s="215" t="n">
        <v>46043</v>
      </c>
      <c r="B5611" s="216" t="n">
        <v>84.75</v>
      </c>
      <c r="C5611" s="216" t="n">
        <v>103.8</v>
      </c>
      <c r="D5611" s="216" t="n">
        <v>1.12024998664856</v>
      </c>
      <c r="E5611" s="215" t="n">
        <v>46043</v>
      </c>
      <c r="F5611" s="215" t="n">
        <v>46043</v>
      </c>
    </row>
    <row r="5612">
      <c r="A5612" s="215" t="n">
        <v>46044</v>
      </c>
      <c r="B5612" s="216" t="n">
        <v>84.40000000000001</v>
      </c>
      <c r="C5612" s="216" t="n">
        <v>102.86</v>
      </c>
      <c r="D5612" s="216" t="n">
        <v>1.11942195892334</v>
      </c>
      <c r="E5612" s="215" t="n">
        <v>46044</v>
      </c>
      <c r="F5612" s="215" t="n">
        <v>46044</v>
      </c>
    </row>
    <row r="5613">
      <c r="A5613" s="215" t="n">
        <v>46045</v>
      </c>
      <c r="B5613" s="216" t="n">
        <v>85.59999999999999</v>
      </c>
      <c r="C5613" s="216" t="n">
        <v>104.3</v>
      </c>
      <c r="D5613" s="216" t="n">
        <v>1.117977976799011</v>
      </c>
      <c r="E5613" s="215" t="n">
        <v>46045</v>
      </c>
      <c r="F5613" s="215" t="n">
        <v>46045</v>
      </c>
    </row>
    <row r="5614">
      <c r="A5614" s="215" t="n">
        <v>46048</v>
      </c>
      <c r="B5614" s="216" t="n">
        <v>83.5</v>
      </c>
      <c r="C5614" s="216" t="n">
        <v>101.33</v>
      </c>
      <c r="D5614" s="216" t="n">
        <v>1.117916941642761</v>
      </c>
      <c r="E5614" s="215" t="n">
        <v>46048</v>
      </c>
      <c r="F5614" s="215" t="n">
        <v>46048</v>
      </c>
    </row>
    <row r="5615">
      <c r="A5615" s="215" t="n">
        <v>46049</v>
      </c>
      <c r="B5615" s="216" t="n">
        <v>81.59999999999999</v>
      </c>
      <c r="C5615" s="216" t="n">
        <v>99.98</v>
      </c>
      <c r="D5615" s="216" t="n">
        <v>1.121191024780273</v>
      </c>
      <c r="E5615" s="215" t="n">
        <v>46049</v>
      </c>
      <c r="F5615" s="215" t="n">
        <v>46049</v>
      </c>
    </row>
    <row r="5616">
      <c r="A5616" s="215" t="n">
        <v>46050</v>
      </c>
      <c r="B5616" s="216" t="n">
        <v>80.25</v>
      </c>
      <c r="C5616" s="216" t="n">
        <v>98.73</v>
      </c>
      <c r="D5616" s="216" t="n">
        <v>1.121533036231995</v>
      </c>
      <c r="E5616" s="215" t="n">
        <v>46050</v>
      </c>
      <c r="F5616" s="215" t="n">
        <v>46050</v>
      </c>
    </row>
    <row r="5617">
      <c r="A5617" s="215" t="n">
        <v>46051</v>
      </c>
      <c r="B5617" s="216" t="n">
        <v>81.90000000000001</v>
      </c>
      <c r="C5617" s="216" t="n">
        <v>100.1</v>
      </c>
      <c r="D5617" s="216" t="n">
        <v>1.121621966362</v>
      </c>
      <c r="E5617" s="215" t="n">
        <v>46051</v>
      </c>
      <c r="F5617" s="215" t="n">
        <v>46051</v>
      </c>
    </row>
    <row r="5618">
      <c r="A5618" s="215" t="n">
        <v>46052</v>
      </c>
      <c r="B5618" s="216" t="n">
        <v>81.45</v>
      </c>
      <c r="C5618" s="216" t="n">
        <v>99.13</v>
      </c>
      <c r="D5618" s="216" t="n">
        <v>1.123343944549561</v>
      </c>
      <c r="E5618" s="215" t="n">
        <v>46052</v>
      </c>
      <c r="F5618" s="215" t="n">
        <v>46052</v>
      </c>
    </row>
    <row r="5619">
      <c r="A5619" s="215" t="n">
        <v>46055</v>
      </c>
      <c r="B5619" s="216" t="n">
        <v>78</v>
      </c>
      <c r="C5619" s="216" t="n">
        <v>95.31</v>
      </c>
      <c r="D5619" s="216" t="n">
        <v>1.123572945594788</v>
      </c>
      <c r="E5619" s="215" t="n">
        <v>46055</v>
      </c>
      <c r="F5619" s="215" t="n">
        <v>46055</v>
      </c>
    </row>
    <row r="5620">
      <c r="A5620" s="215" t="n">
        <v>46056</v>
      </c>
      <c r="B5620" s="216" t="n">
        <v>80.8</v>
      </c>
      <c r="C5620" s="216" t="n">
        <v>99</v>
      </c>
      <c r="D5620" s="216" t="n">
        <v>1.124274969100952</v>
      </c>
      <c r="E5620" s="215" t="n">
        <v>46056</v>
      </c>
      <c r="F5620" s="215" t="n">
        <v>46056</v>
      </c>
    </row>
    <row r="5621">
      <c r="A5621" s="215" t="n">
        <v>46057</v>
      </c>
      <c r="B5621" s="216" t="n">
        <v>81.59999999999999</v>
      </c>
      <c r="C5621" s="216" t="n">
        <v>100.02</v>
      </c>
      <c r="D5621" s="216" t="n">
        <v>1.12601101398468</v>
      </c>
      <c r="E5621" s="215" t="n">
        <v>46057</v>
      </c>
      <c r="F5621" s="215" t="n">
        <v>46057</v>
      </c>
    </row>
    <row r="5622">
      <c r="A5622" s="215" t="n">
        <v>46058</v>
      </c>
      <c r="B5622" s="216" t="n">
        <v>83.65000000000001</v>
      </c>
      <c r="C5622" s="216" t="n">
        <v>102.5</v>
      </c>
      <c r="D5622" s="216" t="n">
        <v>1.125892996788025</v>
      </c>
      <c r="E5622" s="215" t="n">
        <v>46058</v>
      </c>
      <c r="F5622" s="215" t="n">
        <v>46058</v>
      </c>
    </row>
    <row r="5623">
      <c r="A5623" s="215" t="n">
        <v>46059</v>
      </c>
      <c r="B5623" s="216" t="n">
        <v>83.8</v>
      </c>
      <c r="C5623" s="216" t="n">
        <v>102.06</v>
      </c>
      <c r="D5623" s="216" t="n">
        <v>1.126062035560608</v>
      </c>
      <c r="E5623" s="215" t="n">
        <v>46059</v>
      </c>
      <c r="F5623" s="215" t="n">
        <v>46059</v>
      </c>
    </row>
    <row r="5624">
      <c r="A5624" s="215" t="n">
        <v>46062</v>
      </c>
      <c r="B5624" s="216" t="n">
        <v>85.15000000000001</v>
      </c>
      <c r="C5624" s="216" t="n">
        <v>103.08</v>
      </c>
      <c r="D5624" s="216" t="n">
        <v>1.125753998756409</v>
      </c>
      <c r="E5624" s="215" t="n">
        <v>46062</v>
      </c>
      <c r="F5624" s="215" t="n">
        <v>46062</v>
      </c>
    </row>
    <row r="5625">
      <c r="A5625" s="215" t="n">
        <v>46063</v>
      </c>
      <c r="B5625" s="216" t="n">
        <v>88.15000000000001</v>
      </c>
      <c r="C5625" s="216" t="n">
        <v>104.8</v>
      </c>
      <c r="D5625" s="216" t="n">
        <v>1.129003047943115</v>
      </c>
      <c r="E5625" s="215" t="n">
        <v>46063</v>
      </c>
      <c r="F5625" s="215" t="n">
        <v>46063</v>
      </c>
    </row>
    <row r="5626">
      <c r="A5626" s="215" t="n">
        <v>46064</v>
      </c>
      <c r="B5626" s="216" t="n">
        <v>85.84999999999999</v>
      </c>
      <c r="C5626" s="216" t="n">
        <v>103.82</v>
      </c>
      <c r="D5626" s="216" t="n">
        <v>1.130962014198303</v>
      </c>
      <c r="E5626" s="215" t="n">
        <v>46064</v>
      </c>
      <c r="F5626" s="215" t="n">
        <v>46064</v>
      </c>
    </row>
    <row r="5627">
      <c r="A5627" s="215" t="n">
        <v>46065</v>
      </c>
      <c r="B5627" s="216" t="n">
        <v>83.05</v>
      </c>
      <c r="C5627" s="216" t="n">
        <v>103.45</v>
      </c>
      <c r="D5627" s="216" t="n">
        <v>1.130671977996826</v>
      </c>
      <c r="E5627" s="215" t="n">
        <v>46065</v>
      </c>
      <c r="F5627" s="215" t="n">
        <v>46065</v>
      </c>
    </row>
    <row r="5628">
      <c r="A5628" s="215" t="n">
        <v>46066</v>
      </c>
      <c r="B5628" s="216" t="n">
        <v>81.05</v>
      </c>
      <c r="C5628" s="216" t="n">
        <v>100.58</v>
      </c>
      <c r="D5628" s="216" t="n">
        <v>1.132490992546082</v>
      </c>
      <c r="E5628" s="215" t="n">
        <v>46066</v>
      </c>
      <c r="F5628" s="215" t="n">
        <v>46066</v>
      </c>
    </row>
    <row r="5629">
      <c r="A5629" s="215" t="n">
        <v>46069</v>
      </c>
      <c r="B5629" s="216" t="n">
        <v>81.05</v>
      </c>
      <c r="C5629" s="216" t="n">
        <v>100.58</v>
      </c>
      <c r="D5629" s="216" t="n">
        <v>1.131224036216736</v>
      </c>
      <c r="E5629" s="215" t="n">
        <v>46066</v>
      </c>
      <c r="F5629" s="215" t="n">
        <v>46069</v>
      </c>
    </row>
    <row r="5630">
      <c r="A5630" s="215" t="n">
        <v>46073</v>
      </c>
      <c r="B5630" s="216" t="n">
        <v>79.8</v>
      </c>
      <c r="C5630" s="216" t="n">
        <v>100.58</v>
      </c>
      <c r="D5630" s="216" t="n">
        <v>1.131005048751831</v>
      </c>
      <c r="E5630" s="215" t="n">
        <v>46066</v>
      </c>
      <c r="F5630" s="215" t="n">
        <v>46073</v>
      </c>
    </row>
    <row r="5631">
      <c r="A5631" s="215" t="n">
        <v>46076</v>
      </c>
      <c r="B5631" s="216" t="n">
        <v>83</v>
      </c>
      <c r="C5631" s="216" t="n">
        <v>100.58</v>
      </c>
      <c r="D5631" s="216" t="n">
        <v>1.130877017974854</v>
      </c>
      <c r="E5631" s="215" t="n">
        <v>46066</v>
      </c>
      <c r="F5631" s="215" t="n">
        <v>46076</v>
      </c>
    </row>
    <row r="5632">
      <c r="A5632" s="215" t="n">
        <v>46077</v>
      </c>
      <c r="B5632" s="216" t="n">
        <v>80.55</v>
      </c>
      <c r="C5632" s="216" t="n">
        <v>99.36</v>
      </c>
      <c r="D5632" s="216" t="n">
        <v>1.131631016731262</v>
      </c>
      <c r="E5632" s="215" t="n">
        <v>46077</v>
      </c>
      <c r="F5632" s="215" t="n">
        <v>46077</v>
      </c>
    </row>
    <row r="5633">
      <c r="A5633" s="215" t="n">
        <v>46078</v>
      </c>
      <c r="B5633" s="216" t="n">
        <v>81.40000000000001</v>
      </c>
      <c r="C5633" s="216" t="n">
        <v>99.54000000000001</v>
      </c>
      <c r="D5633" s="216" t="n">
        <v>1.136234045028687</v>
      </c>
      <c r="E5633" s="215" t="n">
        <v>46078</v>
      </c>
      <c r="F5633" s="215" t="n">
        <v>46078</v>
      </c>
    </row>
    <row r="5634">
      <c r="A5634" s="215" t="n">
        <v>46079</v>
      </c>
      <c r="B5634" s="216" t="n">
        <v>77.5</v>
      </c>
      <c r="C5634" s="216" t="n">
        <v>99.05</v>
      </c>
      <c r="D5634" s="216" t="n">
        <v>1.138198971748352</v>
      </c>
      <c r="E5634" s="215" t="n">
        <v>46079</v>
      </c>
      <c r="F5634" s="215" t="n">
        <v>46079</v>
      </c>
    </row>
    <row r="5635">
      <c r="A5635" s="215" t="n">
        <v>46080</v>
      </c>
      <c r="B5635" s="216" t="n">
        <v>78.5</v>
      </c>
      <c r="C5635" s="216" t="n">
        <v>97.5</v>
      </c>
      <c r="D5635" s="216" t="n">
        <v>1.143396973609924</v>
      </c>
      <c r="E5635" s="215" t="n">
        <v>46080</v>
      </c>
      <c r="F5635" s="215" t="n">
        <v>46080</v>
      </c>
    </row>
    <row r="5636">
      <c r="A5636" s="215" t="n">
        <v>46083</v>
      </c>
      <c r="B5636" s="216" t="n">
        <v>76.09999999999999</v>
      </c>
      <c r="C5636" s="216" t="n">
        <v>94.44</v>
      </c>
      <c r="D5636" s="216" t="n">
        <v>1.140552043914795</v>
      </c>
      <c r="E5636" s="215" t="n">
        <v>46083</v>
      </c>
      <c r="F5636" s="215" t="n">
        <v>46083</v>
      </c>
    </row>
    <row r="5637">
      <c r="A5637" s="215" t="n">
        <v>46084</v>
      </c>
      <c r="B5637" s="216" t="n">
        <v>73.84999999999999</v>
      </c>
      <c r="C5637" s="216" t="n">
        <v>92.5</v>
      </c>
      <c r="D5637" s="216" t="n">
        <v>1.136399984359741</v>
      </c>
      <c r="E5637" s="215" t="n">
        <v>46084</v>
      </c>
      <c r="F5637" s="215" t="n">
        <v>46084</v>
      </c>
    </row>
    <row r="5638">
      <c r="A5638" s="215" t="n">
        <v>46085</v>
      </c>
      <c r="B5638" s="216" t="n">
        <v>78</v>
      </c>
      <c r="C5638" s="216" t="n">
        <v>97.2</v>
      </c>
      <c r="D5638" s="216" t="n">
        <v>1.130928993225098</v>
      </c>
      <c r="E5638" s="215" t="n">
        <v>46085</v>
      </c>
      <c r="F5638" s="215" t="n">
        <v>46085</v>
      </c>
    </row>
    <row r="5639">
      <c r="A5639" s="215" t="n">
        <v>46086</v>
      </c>
      <c r="B5639" s="216" t="n">
        <v>81.34999999999999</v>
      </c>
      <c r="C5639" s="216" t="n">
        <v>97.39</v>
      </c>
      <c r="D5639" s="216" t="n">
        <v>1.133169054985046</v>
      </c>
      <c r="E5639" s="215" t="n">
        <v>46086</v>
      </c>
      <c r="F5639" s="215" t="n">
        <v>46086</v>
      </c>
    </row>
    <row r="5640">
      <c r="A5640" s="215" t="n">
        <v>46087</v>
      </c>
      <c r="B5640" s="216" t="n">
        <v>83.15000000000001</v>
      </c>
      <c r="C5640" s="216" t="n">
        <v>99.31</v>
      </c>
      <c r="D5640" s="216" t="n">
        <v>1.133442044258118</v>
      </c>
      <c r="E5640" s="215" t="n">
        <v>46087</v>
      </c>
      <c r="F5640" s="215" t="n">
        <v>46087</v>
      </c>
    </row>
    <row r="5641">
      <c r="A5641" s="215" t="n">
        <v>46090</v>
      </c>
      <c r="B5641" s="216" t="n">
        <v>80.7</v>
      </c>
      <c r="C5641" s="216" t="n">
        <v>98</v>
      </c>
      <c r="D5641" s="216" t="n">
        <v>1.133231043815613</v>
      </c>
      <c r="E5641" s="215" t="n">
        <v>46090</v>
      </c>
      <c r="F5641" s="215" t="n">
        <v>46090</v>
      </c>
    </row>
    <row r="5642">
      <c r="A5642" s="215" t="n">
        <v>46091</v>
      </c>
      <c r="B5642" s="216" t="n">
        <v>84</v>
      </c>
      <c r="C5642" s="216" t="n">
        <v>101.3</v>
      </c>
      <c r="D5642" s="216" t="n">
        <v>1.131595015525818</v>
      </c>
      <c r="E5642" s="215" t="n">
        <v>46091</v>
      </c>
      <c r="F5642" s="215" t="n">
        <v>46091</v>
      </c>
    </row>
    <row r="5643">
      <c r="A5643" s="215" t="n">
        <v>46092</v>
      </c>
      <c r="B5643" s="216" t="n">
        <v>83.59999999999999</v>
      </c>
      <c r="C5643" s="216" t="n">
        <v>99.93000000000001</v>
      </c>
      <c r="D5643" s="216" t="n">
        <v>1.137585043907166</v>
      </c>
      <c r="E5643" s="215" t="n">
        <v>46092</v>
      </c>
      <c r="F5643" s="215" t="n">
        <v>46092</v>
      </c>
    </row>
    <row r="5644">
      <c r="A5644" s="215" t="n">
        <v>46093</v>
      </c>
      <c r="B5644" s="216" t="n">
        <v>81.55</v>
      </c>
      <c r="C5644" s="216" t="n">
        <v>98.75</v>
      </c>
      <c r="D5644" s="216" t="n">
        <v>1.139600038528442</v>
      </c>
      <c r="E5644" s="215" t="n">
        <v>46093</v>
      </c>
      <c r="F5644" s="215" t="n">
        <v>46093</v>
      </c>
    </row>
    <row r="5645">
      <c r="A5645" s="215" t="n">
        <v>46094</v>
      </c>
      <c r="B5645" s="216" t="n">
        <v>80.2</v>
      </c>
      <c r="C5645" s="216" t="n">
        <v>99.31</v>
      </c>
      <c r="D5645" s="216" t="n">
        <v>1.139310002326965</v>
      </c>
      <c r="E5645" s="215" t="n">
        <v>46094</v>
      </c>
      <c r="F5645" s="215" t="n">
        <v>46094</v>
      </c>
    </row>
    <row r="5646">
      <c r="A5646" s="215" t="n">
        <v>46097</v>
      </c>
      <c r="B5646" s="216" t="n">
        <v>81.15000000000001</v>
      </c>
      <c r="C5646" s="216" t="n">
        <v>99.08</v>
      </c>
      <c r="D5646" s="216" t="n">
        <v>1.134883999824524</v>
      </c>
      <c r="E5646" s="215" t="n">
        <v>46097</v>
      </c>
      <c r="F5646" s="215" t="n">
        <v>46097</v>
      </c>
    </row>
    <row r="5647">
      <c r="A5647" s="215" t="n">
        <v>46098</v>
      </c>
      <c r="B5647" s="216" t="n">
        <v>80.34999999999999</v>
      </c>
      <c r="C5647" s="216" t="n">
        <v>98.7</v>
      </c>
      <c r="D5647" s="216" t="n">
        <v>1.125375986099243</v>
      </c>
      <c r="E5647" s="215" t="n">
        <v>46098</v>
      </c>
      <c r="F5647" s="215" t="n">
        <v>46098</v>
      </c>
    </row>
    <row r="5648">
      <c r="A5648" s="215" t="n">
        <v>46099</v>
      </c>
      <c r="B5648" s="216" t="n">
        <v>81</v>
      </c>
      <c r="C5648" s="216" t="n">
        <v>99.45999999999999</v>
      </c>
      <c r="D5648" s="216" t="n">
        <v>1.137819051742554</v>
      </c>
      <c r="E5648" s="215" t="n">
        <v>46099</v>
      </c>
      <c r="F5648" s="215" t="n">
        <v>46099</v>
      </c>
    </row>
    <row r="5649">
      <c r="A5649" s="215" t="n">
        <v>46100</v>
      </c>
      <c r="B5649" s="216" t="n">
        <v>75</v>
      </c>
      <c r="C5649" s="216" t="n">
        <v>96.06</v>
      </c>
      <c r="D5649" s="216" t="n">
        <v>1.140079021453857</v>
      </c>
      <c r="E5649" s="215" t="n">
        <v>46100</v>
      </c>
      <c r="F5649" s="215" t="n">
        <v>46100</v>
      </c>
    </row>
    <row r="5650">
      <c r="A5650" s="215" t="n">
        <v>46101</v>
      </c>
      <c r="B5650" s="216" t="n">
        <v>76.59999999999999</v>
      </c>
      <c r="C5650" s="216" t="n">
        <v>95</v>
      </c>
      <c r="D5650" s="216" t="n">
        <v>1.13490903377533</v>
      </c>
      <c r="E5650" s="215" t="n">
        <v>46101</v>
      </c>
      <c r="F5650" s="215" t="n">
        <v>46101</v>
      </c>
    </row>
    <row r="5651">
      <c r="A5651" s="215" t="n">
        <v>46104</v>
      </c>
      <c r="B5651" s="216" t="n">
        <v>70.8</v>
      </c>
      <c r="C5651" s="216" t="n">
        <v>91.92</v>
      </c>
      <c r="D5651" s="216" t="n">
        <v>1.137529969215393</v>
      </c>
      <c r="E5651" s="215" t="n">
        <v>46104</v>
      </c>
      <c r="F5651" s="215" t="n">
        <v>46104</v>
      </c>
    </row>
    <row r="5652">
      <c r="A5652" s="215" t="n">
        <v>46105</v>
      </c>
      <c r="B5652" s="216" t="n">
        <v>74.59999999999999</v>
      </c>
      <c r="C5652" s="216" t="n">
        <v>95.59</v>
      </c>
      <c r="D5652" s="216" t="n">
        <v>1.138481974601746</v>
      </c>
      <c r="E5652" s="215" t="n">
        <v>46105</v>
      </c>
      <c r="F5652" s="215" t="n">
        <v>46105</v>
      </c>
    </row>
    <row r="5653">
      <c r="A5653" s="215" t="n">
        <v>46106</v>
      </c>
      <c r="B5653" s="216" t="n">
        <v>75.8</v>
      </c>
      <c r="C5653" s="216" t="n">
        <v>96.5</v>
      </c>
      <c r="D5653" s="216" t="n">
        <v>1.135548949241638</v>
      </c>
      <c r="E5653" s="215" t="n">
        <v>46106</v>
      </c>
      <c r="F5653" s="215" t="n">
        <v>46106</v>
      </c>
    </row>
    <row r="5654">
      <c r="A5654" s="215" t="n">
        <v>46107</v>
      </c>
      <c r="B5654" s="216" t="n">
        <v>75.75</v>
      </c>
      <c r="C5654" s="216" t="n">
        <v>96.8</v>
      </c>
      <c r="D5654" s="216" t="n">
        <v>1.132627010345459</v>
      </c>
      <c r="E5654" s="215" t="n">
        <v>46107</v>
      </c>
      <c r="F5654" s="215" t="n">
        <v>46107</v>
      </c>
    </row>
    <row r="5655">
      <c r="A5655" s="215" t="n">
        <v>46108</v>
      </c>
      <c r="B5655" s="216" t="n">
        <v>79.75</v>
      </c>
      <c r="C5655" s="216" t="n">
        <v>99.90000000000001</v>
      </c>
      <c r="D5655" s="216" t="n">
        <v>1.132115960121155</v>
      </c>
      <c r="E5655" s="215" t="n">
        <v>46108</v>
      </c>
      <c r="F5655" s="215" t="n">
        <v>46108</v>
      </c>
    </row>
    <row r="5656">
      <c r="A5656" s="215" t="n">
        <v>46111</v>
      </c>
      <c r="B5656" s="216" t="n">
        <v>80.15000000000001</v>
      </c>
      <c r="C5656" s="216" t="n">
        <v>100.7</v>
      </c>
      <c r="D5656" s="216" t="n">
        <v>1.13311505317688</v>
      </c>
      <c r="E5656" s="215" t="n">
        <v>46111</v>
      </c>
      <c r="F5656" s="215" t="n">
        <v>46111</v>
      </c>
    </row>
    <row r="5657">
      <c r="A5657" s="215" t="n">
        <v>46112</v>
      </c>
      <c r="B5657" s="216" t="n">
        <v>91</v>
      </c>
      <c r="C5657" s="216" t="n">
        <v>110.77</v>
      </c>
      <c r="D5657" s="216" t="n">
        <v>1.133540987968445</v>
      </c>
      <c r="E5657" s="215" t="n">
        <v>46112</v>
      </c>
      <c r="F5657" s="215" t="n">
        <v>46112</v>
      </c>
    </row>
    <row r="5658">
      <c r="A5658" s="215" t="n">
        <v>46113</v>
      </c>
      <c r="B5658" s="216" t="n">
        <v>102.5</v>
      </c>
      <c r="C5658" s="216" t="n">
        <v>121.85</v>
      </c>
      <c r="D5658" s="216" t="n">
        <v>1.136669993400574</v>
      </c>
      <c r="E5658" s="215" t="n">
        <v>46113</v>
      </c>
      <c r="F5658" s="215" t="n">
        <v>46113</v>
      </c>
    </row>
    <row r="5659">
      <c r="A5659" s="215" t="n">
        <v>46114</v>
      </c>
      <c r="B5659" s="216" t="n">
        <v>102.5</v>
      </c>
      <c r="C5659" s="216" t="n">
        <v>126.65</v>
      </c>
      <c r="D5659" s="216" t="n">
        <v>1.140197992324829</v>
      </c>
      <c r="E5659" s="215" t="n">
        <v>46114</v>
      </c>
      <c r="F5659" s="215" t="n">
        <v>46114</v>
      </c>
    </row>
    <row r="5660">
      <c r="A5660" s="215" t="n">
        <v>46120</v>
      </c>
      <c r="B5660" s="216" t="n">
        <v>96.5</v>
      </c>
      <c r="C5660" s="216" t="n">
        <v>118.72</v>
      </c>
      <c r="D5660" s="216" t="n">
        <v>1.1423499584198</v>
      </c>
      <c r="E5660" s="215" t="n">
        <v>46120</v>
      </c>
      <c r="F5660" s="215" t="n">
        <v>46120</v>
      </c>
    </row>
    <row r="5661">
      <c r="A5661" s="215" t="n">
        <v>46121</v>
      </c>
      <c r="B5661" s="216" t="n">
        <v>98.34999999999999</v>
      </c>
      <c r="C5661" s="216" t="n">
        <v>121.25</v>
      </c>
      <c r="D5661" s="216" t="n">
        <v>1.146731972694397</v>
      </c>
      <c r="E5661" s="215" t="n">
        <v>46121</v>
      </c>
      <c r="F5661" s="215" t="n">
        <v>46121</v>
      </c>
    </row>
    <row r="5662">
      <c r="A5662" s="215" t="n">
        <v>46122</v>
      </c>
      <c r="B5662" s="216" t="n">
        <v>96.8</v>
      </c>
      <c r="C5662" s="216" t="n">
        <v>121.27</v>
      </c>
      <c r="D5662" s="216" t="n">
        <v>1.146558046340942</v>
      </c>
      <c r="E5662" s="215" t="n">
        <v>46122</v>
      </c>
      <c r="F5662" s="215" t="n">
        <v>46122</v>
      </c>
    </row>
    <row r="5663">
      <c r="A5663" s="215" t="n">
        <v>46125</v>
      </c>
      <c r="B5663" s="216" t="n">
        <v>100</v>
      </c>
      <c r="C5663" s="216" t="n">
        <v>120.96</v>
      </c>
      <c r="D5663" s="216" t="n">
        <v>1.147117972373962</v>
      </c>
      <c r="E5663" s="215" t="n">
        <v>46125</v>
      </c>
      <c r="F5663" s="215" t="n">
        <v>46125</v>
      </c>
    </row>
    <row r="5664">
      <c r="A5664" s="215" t="n">
        <v>46126</v>
      </c>
      <c r="B5664" s="216" t="n">
        <v>100.6</v>
      </c>
      <c r="C5664" s="216" t="n">
        <v>121.33</v>
      </c>
      <c r="D5664" s="216" t="n">
        <v>1.146226048469543</v>
      </c>
      <c r="E5664" s="215" t="n">
        <v>46126</v>
      </c>
      <c r="F5664" s="215" t="n">
        <v>46126</v>
      </c>
    </row>
    <row r="5665">
      <c r="A5665" s="215" t="n">
        <v>46127</v>
      </c>
      <c r="B5665" s="216" t="n">
        <v>98.65000000000001</v>
      </c>
      <c r="C5665" s="216" t="n">
        <v>117.85</v>
      </c>
      <c r="D5665" s="216" t="n">
        <v>1.149266004562378</v>
      </c>
      <c r="E5665" s="215" t="n">
        <v>46127</v>
      </c>
      <c r="F5665" s="215" t="n">
        <v>46127</v>
      </c>
    </row>
    <row r="5666">
      <c r="A5666" s="215" t="n">
        <v>46128</v>
      </c>
      <c r="B5666" s="216" t="n">
        <v>100.7</v>
      </c>
      <c r="C5666" s="216" t="n">
        <v>117.41</v>
      </c>
      <c r="D5666" s="216" t="n">
        <v>1.148550033569336</v>
      </c>
      <c r="E5666" s="215" t="n">
        <v>46128</v>
      </c>
      <c r="F5666" s="215" t="n">
        <v>46128</v>
      </c>
    </row>
    <row r="5667">
      <c r="A5667" s="215" t="n">
        <v>46129</v>
      </c>
      <c r="B5667" s="216" t="n">
        <v>98.45</v>
      </c>
      <c r="C5667" s="216" t="n">
        <v>114.41</v>
      </c>
      <c r="D5667" s="216" t="n">
        <v>1.146605014801025</v>
      </c>
      <c r="E5667" s="215" t="n">
        <v>46129</v>
      </c>
      <c r="F5667" s="215" t="n">
        <v>46129</v>
      </c>
    </row>
    <row r="5668">
      <c r="A5668" s="215" t="n">
        <v>46132</v>
      </c>
      <c r="B5668" s="216" t="n">
        <v>95.5</v>
      </c>
      <c r="C5668" s="216" t="n">
        <v>113.72</v>
      </c>
      <c r="D5668" s="216" t="n">
        <v>1.148360967636108</v>
      </c>
      <c r="E5668" s="215" t="n">
        <v>46132</v>
      </c>
      <c r="F5668" s="215" t="n">
        <v>46132</v>
      </c>
    </row>
    <row r="5669">
      <c r="A5669" s="215" t="n">
        <v>46133</v>
      </c>
      <c r="B5669" s="216" t="n">
        <v>93.55</v>
      </c>
      <c r="C5669" s="216" t="n">
        <v>111.33</v>
      </c>
      <c r="D5669" s="216" t="n">
        <v>1.148368000984192</v>
      </c>
      <c r="E5669" s="215" t="n">
        <v>46133</v>
      </c>
      <c r="F5669" s="215" t="n">
        <v>46133</v>
      </c>
    </row>
    <row r="5670">
      <c r="A5670" s="215" t="n">
        <v>46134</v>
      </c>
      <c r="B5670" s="216" t="n">
        <v>93.09999999999999</v>
      </c>
      <c r="C5670" s="216" t="n">
        <v>113.04</v>
      </c>
      <c r="D5670" s="216" t="n">
        <v>1.147838950157166</v>
      </c>
      <c r="E5670" s="215" t="n">
        <v>46134</v>
      </c>
      <c r="F5670" s="215" t="n">
        <v>46134</v>
      </c>
    </row>
    <row r="5671">
      <c r="A5671" s="215" t="n">
        <v>46135</v>
      </c>
      <c r="B5671" s="216" t="n">
        <v>92.05</v>
      </c>
      <c r="C5671" s="216" t="n">
        <v>112.01</v>
      </c>
      <c r="D5671" s="216" t="n">
        <v>1.147513031959534</v>
      </c>
      <c r="E5671" s="215" t="n">
        <v>46135</v>
      </c>
      <c r="F5671" s="215" t="n">
        <v>46135</v>
      </c>
    </row>
    <row r="5672">
      <c r="A5672" s="215" t="n">
        <v>46136</v>
      </c>
      <c r="B5672" s="216" t="n">
        <v>99.40000000000001</v>
      </c>
      <c r="C5672" s="216" t="n">
        <v>117.08</v>
      </c>
      <c r="D5672" s="216" t="n">
        <v>1.147369027137756</v>
      </c>
      <c r="E5672" s="215" t="n">
        <v>46136</v>
      </c>
      <c r="F5672" s="215" t="n">
        <v>46136</v>
      </c>
    </row>
    <row r="5673">
      <c r="A5673" s="215" t="n">
        <v>46139</v>
      </c>
      <c r="B5673" s="216" t="n">
        <v>105</v>
      </c>
      <c r="C5673" s="216" t="n">
        <v>117.72</v>
      </c>
      <c r="D5673" s="216" t="n">
        <v>1.146002054214478</v>
      </c>
      <c r="E5673" s="215" t="n">
        <v>46139</v>
      </c>
      <c r="F5673" s="215" t="n">
        <v>46139</v>
      </c>
    </row>
    <row r="5674">
      <c r="A5674" s="215" t="n">
        <v>46140</v>
      </c>
      <c r="B5674" s="216" t="n">
        <v>112.4</v>
      </c>
      <c r="C5674" s="216" t="n">
        <v>129.49</v>
      </c>
      <c r="D5674" s="216" t="n">
        <v>1.148522019386292</v>
      </c>
      <c r="E5674" s="215" t="n">
        <v>46140</v>
      </c>
      <c r="F5674" s="215" t="n">
        <v>46140</v>
      </c>
    </row>
    <row r="5675">
      <c r="A5675" s="215" t="n">
        <v>46141</v>
      </c>
      <c r="B5675" s="216" t="n">
        <v>109.6</v>
      </c>
      <c r="C5675" s="216" t="n">
        <v>126.8</v>
      </c>
      <c r="D5675" s="216" t="n">
        <v>1.145936012268066</v>
      </c>
      <c r="E5675" s="215" t="n">
        <v>46141</v>
      </c>
      <c r="F5675" s="215" t="n">
        <v>46141</v>
      </c>
    </row>
    <row r="5676">
      <c r="A5676" s="215" t="n">
        <v>46142</v>
      </c>
      <c r="B5676" s="216" t="n">
        <v>105.4</v>
      </c>
      <c r="C5676" s="216" t="n">
        <v>125.56</v>
      </c>
      <c r="D5676" s="216" t="n">
        <v>1.145792007446289</v>
      </c>
      <c r="E5676" s="215" t="n">
        <v>46142</v>
      </c>
      <c r="F5676" s="215" t="n">
        <v>46142</v>
      </c>
    </row>
    <row r="5677">
      <c r="A5677" s="215" t="n">
        <v>46146</v>
      </c>
      <c r="B5677" s="216" t="n">
        <v>103.8</v>
      </c>
      <c r="C5677" s="216" t="n">
        <v>125.56</v>
      </c>
      <c r="D5677" s="216" t="n">
        <v>1.147340059280396</v>
      </c>
      <c r="E5677" s="215" t="n">
        <v>46142</v>
      </c>
      <c r="F5677" s="215" t="n">
        <v>46146</v>
      </c>
    </row>
    <row r="5678">
      <c r="A5678" s="215" t="n">
        <v>46147</v>
      </c>
      <c r="B5678" s="216" t="n">
        <v>99.95</v>
      </c>
      <c r="C5678" s="216" t="n">
        <v>125.56</v>
      </c>
      <c r="D5678" s="216" t="n">
        <v>1.146813988685608</v>
      </c>
      <c r="E5678" s="215" t="n">
        <v>46142</v>
      </c>
      <c r="F5678" s="215" t="n">
        <v>46147</v>
      </c>
    </row>
    <row r="5679">
      <c r="A5679" s="215" t="n">
        <v>46148</v>
      </c>
      <c r="B5679" s="216" t="n">
        <v>98.84999999999999</v>
      </c>
      <c r="C5679" s="216" t="n">
        <v>124.68</v>
      </c>
      <c r="D5679" s="216" t="n">
        <v>1.14708399772644</v>
      </c>
      <c r="E5679" s="215" t="n">
        <v>46148</v>
      </c>
      <c r="F5679" s="215" t="n">
        <v>46148</v>
      </c>
    </row>
    <row r="5680">
      <c r="A5680" s="215" t="n">
        <v>46149</v>
      </c>
      <c r="B5680" s="216" t="n">
        <v>105.6</v>
      </c>
      <c r="C5680" s="216" t="n">
        <v>128.08</v>
      </c>
      <c r="D5680" s="216" t="n">
        <v>1.150125026702881</v>
      </c>
      <c r="E5680" s="215" t="n">
        <v>46149</v>
      </c>
      <c r="F5680" s="215" t="n">
        <v>46149</v>
      </c>
    </row>
    <row r="5681">
      <c r="A5681" s="215" t="n">
        <v>46150</v>
      </c>
      <c r="B5681" s="216" t="n">
        <v>101</v>
      </c>
      <c r="C5681" s="216" t="n">
        <v>123.58</v>
      </c>
      <c r="D5681" s="216" t="n">
        <v>1.15172004699707</v>
      </c>
      <c r="E5681" s="215" t="n">
        <v>46150</v>
      </c>
      <c r="F5681" s="215" t="n">
        <v>46150</v>
      </c>
    </row>
    <row r="5682">
      <c r="A5682" s="215" t="n">
        <v>46153</v>
      </c>
      <c r="B5682" s="216" t="n">
        <v>106</v>
      </c>
      <c r="C5682" s="216" t="n">
        <v>130.08</v>
      </c>
      <c r="D5682" s="216" t="n">
        <v>1.151090025901794</v>
      </c>
      <c r="E5682" s="215" t="n">
        <v>46153</v>
      </c>
      <c r="F5682" s="215" t="n">
        <v>46153</v>
      </c>
    </row>
    <row r="5683">
      <c r="A5683" s="215" t="n">
        <v>46154</v>
      </c>
      <c r="B5683" s="216" t="n">
        <v>102.8</v>
      </c>
      <c r="C5683" s="216" t="n">
        <v>128.89</v>
      </c>
      <c r="D5683" s="216" t="n">
        <v>1.152078986167908</v>
      </c>
      <c r="E5683" s="215" t="n">
        <v>46154</v>
      </c>
      <c r="F5683" s="215" t="n">
        <v>46154</v>
      </c>
    </row>
    <row r="5684">
      <c r="A5684" s="215" t="n">
        <v>46155</v>
      </c>
      <c r="B5684" s="216" t="n">
        <v>99.3</v>
      </c>
      <c r="C5684" s="216" t="n">
        <v>126.68</v>
      </c>
      <c r="D5684" s="216" t="n">
        <v>1.152537941932678</v>
      </c>
      <c r="E5684" s="215" t="n">
        <v>46155</v>
      </c>
      <c r="F5684" s="215" t="n">
        <v>46155</v>
      </c>
    </row>
    <row r="5685">
      <c r="A5685" s="215" t="n">
        <v>46156</v>
      </c>
      <c r="B5685" s="216" t="n">
        <v>96.65000000000001</v>
      </c>
      <c r="C5685" s="216" t="n">
        <v>122.19</v>
      </c>
      <c r="D5685" s="216" t="n">
        <v>1.152662992477417</v>
      </c>
      <c r="E5685" s="215" t="n">
        <v>46156</v>
      </c>
      <c r="F5685" s="215" t="n">
        <v>46156</v>
      </c>
    </row>
    <row r="5686">
      <c r="A5686" s="215" t="n">
        <v>46157</v>
      </c>
      <c r="B5686" s="216" t="n">
        <v>95.40000000000001</v>
      </c>
      <c r="C5686" s="216" t="n">
        <v>117.97</v>
      </c>
      <c r="D5686" s="216" t="n">
        <v>1.154320001602173</v>
      </c>
      <c r="E5686" s="215" t="n">
        <v>46157</v>
      </c>
      <c r="F5686" s="215" t="n">
        <v>46157</v>
      </c>
    </row>
    <row r="5687">
      <c r="A5687" s="215" t="n">
        <v>46160</v>
      </c>
      <c r="B5687" s="216" t="n">
        <v>96</v>
      </c>
      <c r="C5687" s="216" t="n">
        <v>118.77</v>
      </c>
      <c r="D5687" s="216" t="n">
        <v>1.149821996688843</v>
      </c>
      <c r="E5687" s="215" t="n">
        <v>46160</v>
      </c>
      <c r="F5687" s="215" t="n">
        <v>46160</v>
      </c>
    </row>
    <row r="5688">
      <c r="A5688" s="215" t="n">
        <v>46161</v>
      </c>
      <c r="B5688" s="216" t="n">
        <v>93.8</v>
      </c>
      <c r="C5688" s="216" t="n">
        <v>117.89</v>
      </c>
      <c r="D5688" s="216" t="n">
        <v>1.151532053947449</v>
      </c>
      <c r="E5688" s="215" t="n">
        <v>46161</v>
      </c>
      <c r="F5688" s="215" t="n">
        <v>46161</v>
      </c>
    </row>
    <row r="5689">
      <c r="A5689" s="215" t="n">
        <v>46162</v>
      </c>
      <c r="B5689" s="216" t="n">
        <v>92.40000000000001</v>
      </c>
      <c r="C5689" s="216" t="n">
        <v>118.86</v>
      </c>
      <c r="D5689" s="216" t="n">
        <v>1.149292945861816</v>
      </c>
      <c r="E5689" s="215" t="n">
        <v>46162</v>
      </c>
      <c r="F5689" s="215" t="n">
        <v>46162</v>
      </c>
    </row>
    <row r="5690">
      <c r="A5690" s="215" t="n">
        <v>46163</v>
      </c>
      <c r="B5690" s="216" t="n">
        <v>99</v>
      </c>
      <c r="C5690" s="216" t="n">
        <v>126.15</v>
      </c>
      <c r="D5690" s="216" t="n">
        <v>1.151231050491333</v>
      </c>
      <c r="E5690" s="215" t="n">
        <v>46163</v>
      </c>
      <c r="F5690" s="215" t="n">
        <v>46163</v>
      </c>
    </row>
    <row r="5691">
      <c r="A5691" s="215" t="n">
        <v>46164</v>
      </c>
      <c r="B5691" s="216" t="n">
        <v>97.7</v>
      </c>
      <c r="C5691" s="216" t="n">
        <v>126.85</v>
      </c>
      <c r="D5691" s="216" t="n">
        <v>1.151487946510315</v>
      </c>
      <c r="E5691" s="215" t="n">
        <v>46164</v>
      </c>
      <c r="F5691" s="215" t="n">
        <v>46164</v>
      </c>
    </row>
    <row r="5692">
      <c r="A5692" s="215" t="n">
        <v>46168</v>
      </c>
      <c r="B5692" s="216" t="n">
        <v>96.40000000000001</v>
      </c>
      <c r="C5692" s="216" t="n">
        <v>123.49</v>
      </c>
      <c r="D5692" s="216" t="n">
        <v>1.152968049049377</v>
      </c>
      <c r="E5692" s="215" t="n">
        <v>46168</v>
      </c>
      <c r="F5692" s="215" t="n">
        <v>46168</v>
      </c>
    </row>
    <row r="5693">
      <c r="A5693" s="215" t="n">
        <v>46169</v>
      </c>
      <c r="B5693" s="216" t="n">
        <v>94.55</v>
      </c>
      <c r="C5693" s="216" t="n">
        <v>122.16</v>
      </c>
      <c r="D5693" s="216" t="n">
        <v>1.154562950134277</v>
      </c>
      <c r="E5693" s="215" t="n">
        <v>46169</v>
      </c>
      <c r="F5693" s="215" t="n">
        <v>46169</v>
      </c>
    </row>
    <row r="5694">
      <c r="A5694" s="215" t="n">
        <v>46170</v>
      </c>
      <c r="B5694" s="216" t="n">
        <v>91.5</v>
      </c>
      <c r="C5694" s="216" t="n">
        <v>117.62</v>
      </c>
      <c r="D5694" s="216" t="n">
        <v>1.155385971069336</v>
      </c>
      <c r="E5694" s="215" t="n">
        <v>46170</v>
      </c>
      <c r="F5694" s="215" t="n">
        <v>46170</v>
      </c>
    </row>
    <row r="5695">
      <c r="A5695" s="215" t="n">
        <v>46171</v>
      </c>
      <c r="B5695" s="216" t="n">
        <v>92</v>
      </c>
      <c r="C5695" s="216" t="n">
        <v>117.42</v>
      </c>
      <c r="D5695" s="216" t="n">
        <v>1.155282974243164</v>
      </c>
      <c r="E5695" s="215" t="n">
        <v>46171</v>
      </c>
      <c r="F5695" s="215" t="n">
        <v>46171</v>
      </c>
    </row>
    <row r="5696">
      <c r="A5696" s="215" t="n">
        <v>46174</v>
      </c>
      <c r="B5696" s="216" t="n">
        <v>89.55</v>
      </c>
      <c r="C5696" s="216" t="n">
        <v>115.39</v>
      </c>
      <c r="D5696" s="216" t="n">
        <v>1.158049941062927</v>
      </c>
      <c r="E5696" s="215" t="n">
        <v>46174</v>
      </c>
      <c r="F5696" s="215" t="n">
        <v>46174</v>
      </c>
    </row>
    <row r="5697">
      <c r="A5697" s="215" t="n">
        <v>46175</v>
      </c>
      <c r="B5697" s="216" t="n">
        <v>90</v>
      </c>
      <c r="C5697" s="216" t="n">
        <v>113.91</v>
      </c>
      <c r="D5697" s="216" t="n">
        <v>1.158406972885132</v>
      </c>
      <c r="E5697" s="215" t="n">
        <v>46175</v>
      </c>
      <c r="F5697" s="215" t="n">
        <v>46175</v>
      </c>
    </row>
    <row r="5698">
      <c r="A5698" s="215" t="n">
        <v>46176</v>
      </c>
      <c r="B5698" s="216" t="n">
        <v>90.59999999999999</v>
      </c>
      <c r="C5698" s="216" t="n">
        <v>116.63</v>
      </c>
      <c r="D5698" s="216" t="n">
        <v>1.15879499912262</v>
      </c>
      <c r="E5698" s="215" t="n">
        <v>46176</v>
      </c>
      <c r="F5698" s="215" t="n">
        <v>46176</v>
      </c>
    </row>
    <row r="5699">
      <c r="A5699" s="215" t="n">
        <v>46177</v>
      </c>
      <c r="B5699" s="216" t="n">
        <v>91.45</v>
      </c>
      <c r="C5699" s="216" t="n">
        <v>119.62</v>
      </c>
      <c r="D5699" s="216" t="n">
        <v>1.157420039176941</v>
      </c>
      <c r="E5699" s="215" t="n">
        <v>46177</v>
      </c>
      <c r="F5699" s="215" t="n">
        <v>46177</v>
      </c>
    </row>
    <row r="5700">
      <c r="A5700" s="215" t="n">
        <v>46178</v>
      </c>
      <c r="B5700" s="216" t="n">
        <v>93.5</v>
      </c>
      <c r="C5700" s="216" t="n">
        <v>116.27</v>
      </c>
      <c r="D5700" s="216" t="n">
        <v>1.156491994857788</v>
      </c>
      <c r="E5700" s="215" t="n">
        <v>46178</v>
      </c>
      <c r="F5700" s="215" t="n">
        <v>46178</v>
      </c>
    </row>
    <row r="5701">
      <c r="A5701" s="215" t="n">
        <v>46181</v>
      </c>
      <c r="B5701" s="216" t="n">
        <v>88.5</v>
      </c>
      <c r="C5701" s="216" t="n">
        <v>112.56</v>
      </c>
      <c r="D5701" s="216" t="n">
        <v>1.157665967941284</v>
      </c>
      <c r="E5701" s="215" t="n">
        <v>46181</v>
      </c>
      <c r="F5701" s="215" t="n">
        <v>46181</v>
      </c>
    </row>
    <row r="5702">
      <c r="A5702" s="215" t="n">
        <v>46182</v>
      </c>
      <c r="B5702" s="216" t="n">
        <v>88.3</v>
      </c>
      <c r="C5702" s="216" t="n">
        <v>111.38</v>
      </c>
      <c r="D5702" s="216" t="n">
        <v>1.158027052879333</v>
      </c>
      <c r="E5702" s="215" t="n">
        <v>46182</v>
      </c>
      <c r="F5702" s="215" t="n">
        <v>46182</v>
      </c>
    </row>
    <row r="5703">
      <c r="A5703" s="215" t="n">
        <v>46183</v>
      </c>
      <c r="B5703" s="216" t="n">
        <v>90.5</v>
      </c>
      <c r="C5703" s="216" t="n">
        <v>113.4</v>
      </c>
      <c r="D5703" s="216" t="n">
        <v>1.157112002372742</v>
      </c>
      <c r="E5703" s="215" t="n">
        <v>46183</v>
      </c>
      <c r="F5703" s="215" t="n">
        <v>46183</v>
      </c>
    </row>
    <row r="5704">
      <c r="A5704" s="215" t="n">
        <v>46184</v>
      </c>
      <c r="B5704" s="216" t="n">
        <v>90.75</v>
      </c>
      <c r="C5704" s="216" t="n">
        <v>113.61</v>
      </c>
      <c r="D5704" s="216" t="n">
        <v>1.156929016113281</v>
      </c>
      <c r="E5704" s="215" t="n">
        <v>46184</v>
      </c>
      <c r="F5704" s="215" t="n">
        <v>46184</v>
      </c>
    </row>
    <row r="5705">
      <c r="A5705" s="215" t="n">
        <v>46185</v>
      </c>
      <c r="B5705" s="216" t="n">
        <v>92.75</v>
      </c>
      <c r="C5705" s="216" t="n">
        <v>117.01</v>
      </c>
      <c r="D5705" s="216" t="n">
        <v>1.156345963478088</v>
      </c>
      <c r="E5705" s="215" t="n">
        <v>46185</v>
      </c>
      <c r="F5705" s="215" t="n">
        <v>46185</v>
      </c>
    </row>
    <row r="5706">
      <c r="A5706" s="215" t="n">
        <v>46188</v>
      </c>
      <c r="B5706" s="216" t="n">
        <v>90.7</v>
      </c>
      <c r="C5706" s="216" t="n">
        <v>114.56</v>
      </c>
      <c r="D5706" s="216" t="n">
        <v>1.156880021095276</v>
      </c>
      <c r="E5706" s="215" t="n">
        <v>46188</v>
      </c>
      <c r="F5706" s="215" t="n">
        <v>46188</v>
      </c>
    </row>
    <row r="5707">
      <c r="A5707" s="215" t="n">
        <v>46189</v>
      </c>
      <c r="B5707" s="216" t="n">
        <v>87.05</v>
      </c>
      <c r="C5707" s="216" t="n">
        <v>112.07</v>
      </c>
      <c r="D5707" s="216" t="n">
        <v>1.158604025840759</v>
      </c>
      <c r="E5707" s="215" t="n">
        <v>46189</v>
      </c>
      <c r="F5707" s="215" t="n">
        <v>46189</v>
      </c>
    </row>
    <row r="5708">
      <c r="A5708" s="215" t="n">
        <v>46190</v>
      </c>
      <c r="B5708" s="216" t="n">
        <v>88.84999999999999</v>
      </c>
      <c r="C5708" s="216" t="n">
        <v>115</v>
      </c>
      <c r="D5708" s="216" t="n">
        <v>1.158974051475525</v>
      </c>
      <c r="E5708" s="215" t="n">
        <v>46190</v>
      </c>
      <c r="F5708" s="215" t="n">
        <v>46190</v>
      </c>
    </row>
    <row r="5709">
      <c r="A5709" s="215" t="n">
        <v>46191</v>
      </c>
      <c r="B5709" s="216" t="n">
        <v>94.15000000000001</v>
      </c>
      <c r="C5709" s="216" t="n">
        <v>123.82</v>
      </c>
      <c r="D5709" s="216" t="n">
        <v>1.159355998039246</v>
      </c>
      <c r="E5709" s="215" t="n">
        <v>46191</v>
      </c>
      <c r="F5709" s="215" t="n">
        <v>46191</v>
      </c>
    </row>
    <row r="5710">
      <c r="A5710" s="215" t="n">
        <v>46195</v>
      </c>
      <c r="B5710" s="216" t="n">
        <v>97.3</v>
      </c>
      <c r="C5710" s="216" t="n">
        <v>125.81</v>
      </c>
      <c r="D5710" s="216" t="n">
        <v>1.157493948936462</v>
      </c>
      <c r="E5710" s="215" t="n">
        <v>46195</v>
      </c>
      <c r="F5710" s="215" t="n">
        <v>46195</v>
      </c>
    </row>
    <row r="5711">
      <c r="A5711" s="215" t="n">
        <v>46196</v>
      </c>
      <c r="B5711" s="216" t="n">
        <v>96.8</v>
      </c>
      <c r="C5711" s="216" t="n">
        <v>128.7</v>
      </c>
      <c r="D5711" s="216" t="n">
        <v>1.156896948814392</v>
      </c>
      <c r="E5711" s="215" t="n">
        <v>46196</v>
      </c>
      <c r="F5711" s="215" t="n">
        <v>46196</v>
      </c>
    </row>
    <row r="5712">
      <c r="A5712" s="215" t="n">
        <v>46197</v>
      </c>
      <c r="B5712" s="216" t="n">
        <v>109.5</v>
      </c>
      <c r="C5712" s="216" t="n">
        <v>141.57</v>
      </c>
      <c r="D5712" s="216" t="n">
        <v>1.154508948326111</v>
      </c>
      <c r="E5712" s="215" t="n">
        <v>46197</v>
      </c>
      <c r="F5712" s="215" t="n">
        <v>46197</v>
      </c>
    </row>
    <row r="5713">
      <c r="A5713" s="215" t="n">
        <v>46198</v>
      </c>
      <c r="B5713" s="216" t="n">
        <v>108.5</v>
      </c>
      <c r="C5713" s="216" t="n">
        <v>151.46</v>
      </c>
      <c r="D5713" s="216" t="n">
        <v>1.154152035713196</v>
      </c>
      <c r="E5713" s="215" t="n">
        <v>46198</v>
      </c>
      <c r="F5713" s="215" t="n">
        <v>46198</v>
      </c>
    </row>
    <row r="5714">
      <c r="A5714" s="215" t="n">
        <v>46199</v>
      </c>
      <c r="B5714" s="216" t="n">
        <v>111.3</v>
      </c>
      <c r="C5714" s="216" t="n">
        <v>152.5</v>
      </c>
      <c r="D5714" s="216" t="n">
        <v>1.154500961303711</v>
      </c>
      <c r="E5714" s="215" t="n">
        <v>46199</v>
      </c>
      <c r="F5714" s="215" t="n">
        <v>46199</v>
      </c>
    </row>
    <row r="5715">
      <c r="A5715" s="215" t="n">
        <v>46202</v>
      </c>
      <c r="B5715" s="216" t="n">
        <v>123.7</v>
      </c>
      <c r="C5715" s="216" t="n">
        <v>167.75</v>
      </c>
      <c r="D5715" s="216" t="n">
        <v>1.153512001037598</v>
      </c>
      <c r="E5715" s="215" t="n">
        <v>46202</v>
      </c>
      <c r="F5715" s="215" t="n">
        <v>46202</v>
      </c>
    </row>
    <row r="5716">
      <c r="A5716" s="215" t="n">
        <v>46203</v>
      </c>
      <c r="B5716" s="216" t="n">
        <v>108.8</v>
      </c>
      <c r="C5716" s="216" t="n">
        <v>162</v>
      </c>
      <c r="D5716" s="216" t="n">
        <v>1.153959035873413</v>
      </c>
      <c r="E5716" s="215" t="n">
        <v>46203</v>
      </c>
      <c r="F5716" s="215" t="n">
        <v>46203</v>
      </c>
    </row>
    <row r="5717">
      <c r="A5717" s="215" t="n">
        <v>46205</v>
      </c>
      <c r="B5717" s="216" t="n">
        <v>106.5</v>
      </c>
      <c r="C5717" s="216" t="n">
        <v>153.19</v>
      </c>
      <c r="D5717" s="216" t="n">
        <v>1.154355049133301</v>
      </c>
      <c r="E5717" s="215" t="n">
        <v>46205</v>
      </c>
      <c r="F5717" s="215" t="n">
        <v>46205</v>
      </c>
    </row>
    <row r="5718">
      <c r="A5718" s="215" t="n">
        <v>46206</v>
      </c>
      <c r="B5718" s="216" t="n">
        <v>118.7</v>
      </c>
      <c r="C5718" s="216" t="n">
        <v>165.8</v>
      </c>
      <c r="D5718" s="216" t="n">
        <v>1.155220985412598</v>
      </c>
      <c r="E5718" s="215" t="n">
        <v>46206</v>
      </c>
      <c r="F5718" s="215" t="n">
        <v>46206</v>
      </c>
    </row>
    <row r="5719">
      <c r="A5719" s="215" t="n">
        <v>46209</v>
      </c>
      <c r="B5719" s="216" t="n">
        <v>115.2</v>
      </c>
      <c r="C5719" s="216" t="n">
        <v>162.1</v>
      </c>
      <c r="D5719" s="216" t="n">
        <v>1.155068039894104</v>
      </c>
      <c r="E5719" s="215" t="n">
        <v>46209</v>
      </c>
      <c r="F5719" s="215" t="n">
        <v>46209</v>
      </c>
    </row>
    <row r="5720">
      <c r="A5720" s="215" t="n">
        <v>46210</v>
      </c>
      <c r="B5720" s="216" t="n">
        <v>111.1</v>
      </c>
      <c r="C5720" s="216" t="n">
        <v>153.1</v>
      </c>
      <c r="D5720" s="216" t="n">
        <v>1.153807997703552</v>
      </c>
      <c r="E5720" s="215" t="n">
        <v>46210</v>
      </c>
      <c r="F5720" s="215" t="n">
        <v>46210</v>
      </c>
    </row>
    <row r="5721">
      <c r="A5721" s="215" t="n">
        <v>46211</v>
      </c>
      <c r="B5721" s="216" t="n">
        <v>109.5</v>
      </c>
      <c r="C5721" s="216" t="n">
        <v>149.53</v>
      </c>
      <c r="D5721" s="216" t="n">
        <v>1.154153943061829</v>
      </c>
      <c r="E5721" s="215" t="n">
        <v>46211</v>
      </c>
      <c r="F5721" s="215" t="n">
        <v>46211</v>
      </c>
    </row>
    <row r="5722">
      <c r="A5722" s="215" t="n">
        <v>46212</v>
      </c>
      <c r="B5722" s="216" t="n">
        <v>115.3</v>
      </c>
      <c r="C5722" s="216" t="n">
        <v>161.23</v>
      </c>
      <c r="D5722" s="216" t="n">
        <v>1.152119994163513</v>
      </c>
      <c r="E5722" s="215" t="n">
        <v>46212</v>
      </c>
      <c r="F5722" s="215" t="n">
        <v>46212</v>
      </c>
    </row>
    <row r="5723">
      <c r="A5723" s="215" t="n">
        <v>46213</v>
      </c>
      <c r="B5723" s="216" t="n">
        <v>121.9</v>
      </c>
      <c r="C5723" s="216" t="n">
        <v>165.41</v>
      </c>
      <c r="D5723" s="216" t="n">
        <v>1.153550028800964</v>
      </c>
      <c r="E5723" s="215" t="n">
        <v>46213</v>
      </c>
      <c r="F5723" s="215" t="n">
        <v>46213</v>
      </c>
    </row>
    <row r="5724">
      <c r="A5724" s="215" t="n">
        <v>46216</v>
      </c>
      <c r="B5724" s="216" t="n">
        <v>121.7</v>
      </c>
      <c r="C5724" s="216" t="n">
        <v>165.33</v>
      </c>
      <c r="D5724" s="216" t="n">
        <v>1.156761050224304</v>
      </c>
      <c r="E5724" s="215" t="n">
        <v>46216</v>
      </c>
      <c r="F5724" s="215" t="n">
        <v>46216</v>
      </c>
    </row>
    <row r="5725">
      <c r="A5725" s="215" t="n">
        <v>46217</v>
      </c>
      <c r="B5725" s="216" t="n">
        <v>127.6</v>
      </c>
      <c r="C5725" s="216" t="n">
        <v>177.95</v>
      </c>
      <c r="D5725" s="216" t="n">
        <v>1.155825972557068</v>
      </c>
      <c r="E5725" s="215" t="n">
        <v>46217</v>
      </c>
      <c r="F5725" s="215" t="n">
        <v>46217</v>
      </c>
    </row>
    <row r="5726">
      <c r="A5726" s="215" t="n">
        <v>46218</v>
      </c>
      <c r="B5726" s="216" t="n">
        <v>133.7</v>
      </c>
      <c r="C5726" s="216" t="n">
        <v>195.75</v>
      </c>
      <c r="D5726" s="216" t="n">
        <v>1.157556056976318</v>
      </c>
      <c r="E5726" s="215" t="n">
        <v>46218</v>
      </c>
      <c r="F5726" s="215" t="n">
        <v>46218</v>
      </c>
    </row>
    <row r="5727">
      <c r="A5727" s="215" t="n">
        <v>46219</v>
      </c>
      <c r="B5727" s="216" t="n">
        <v>128.7</v>
      </c>
      <c r="C5727" s="216" t="n">
        <v>179.99</v>
      </c>
      <c r="D5727" s="216" t="n">
        <v>1.157912969589233</v>
      </c>
      <c r="E5727" s="215" t="n">
        <v>46219</v>
      </c>
      <c r="F5727" s="215" t="n">
        <v>46219</v>
      </c>
    </row>
    <row r="5728">
      <c r="A5728" s="215" t="n">
        <v>46220</v>
      </c>
      <c r="B5728" s="216" t="n">
        <v>117.2</v>
      </c>
      <c r="C5728" s="216" t="n">
        <v>161.99</v>
      </c>
      <c r="D5728" s="216" t="n">
        <v>1.157472014427185</v>
      </c>
      <c r="E5728" s="215" t="n">
        <v>46220</v>
      </c>
      <c r="F5728" s="215" t="n">
        <v>46220</v>
      </c>
    </row>
    <row r="5729">
      <c r="A5729" s="215" t="n">
        <v>46223</v>
      </c>
      <c r="B5729" s="216" t="n">
        <v>121</v>
      </c>
      <c r="C5729" s="216" t="n">
        <v>162.51</v>
      </c>
      <c r="D5729" s="216" t="n">
        <v>1.157451033592224</v>
      </c>
      <c r="E5729" s="215" t="n">
        <v>46223</v>
      </c>
      <c r="F5729" s="215" t="n">
        <v>46223</v>
      </c>
    </row>
    <row r="5730">
      <c r="A5730" s="215" t="n">
        <v>46224</v>
      </c>
      <c r="B5730" s="216" t="n">
        <v>122.4</v>
      </c>
      <c r="C5730" s="216" t="n">
        <v>169.5</v>
      </c>
      <c r="D5730" s="216" t="n">
        <v>1.157506942749023</v>
      </c>
      <c r="E5730" s="215" t="n">
        <v>46224</v>
      </c>
      <c r="F5730" s="215" t="n">
        <v>46224</v>
      </c>
    </row>
    <row r="5731">
      <c r="A5731" s="215" t="n">
        <v>46225</v>
      </c>
      <c r="B5731" s="216" t="n">
        <v>118.9</v>
      </c>
      <c r="C5731" s="216" t="n">
        <v>164.28</v>
      </c>
      <c r="D5731" s="216" t="n">
        <v>1.158938050270081</v>
      </c>
      <c r="E5731" s="215" t="n">
        <v>46225</v>
      </c>
      <c r="F5731" s="215" t="n">
        <v>46225</v>
      </c>
    </row>
    <row r="5732">
      <c r="A5732" s="215" t="n">
        <v>46226</v>
      </c>
      <c r="B5732" s="216" t="n">
        <v>118</v>
      </c>
      <c r="C5732" s="216" t="n">
        <v>163.54</v>
      </c>
      <c r="D5732" s="216" t="n">
        <v>1.157410979270935</v>
      </c>
      <c r="E5732" s="215" t="n">
        <v>46226</v>
      </c>
      <c r="F5732" s="215" t="n">
        <v>46226</v>
      </c>
    </row>
    <row r="5733">
      <c r="A5733" s="215" t="n">
        <v>46227</v>
      </c>
      <c r="B5733" s="216" t="n">
        <v>115.5</v>
      </c>
      <c r="C5733" s="216" t="n">
        <v>158.22</v>
      </c>
      <c r="D5733" s="216" t="n">
        <v>1.15762197971344</v>
      </c>
      <c r="E5733" s="215" t="n">
        <v>46227</v>
      </c>
      <c r="F5733" s="215" t="n">
        <v>46227</v>
      </c>
    </row>
    <row r="5734">
      <c r="A5734" s="215" t="n">
        <v>46230</v>
      </c>
      <c r="B5734" s="216" t="n">
        <v>118.2</v>
      </c>
      <c r="C5734" s="216" t="n">
        <v>162.95</v>
      </c>
      <c r="D5734" s="216" t="n">
        <v>1.15789794921875</v>
      </c>
      <c r="E5734" s="215" t="n">
        <v>46230</v>
      </c>
      <c r="F5734" s="215" t="n">
        <v>46230</v>
      </c>
    </row>
    <row r="5735">
      <c r="A5735" s="215" t="n">
        <v>46231</v>
      </c>
      <c r="B5735" s="216" t="n">
        <v>117.2</v>
      </c>
      <c r="C5735" s="216" t="n">
        <v>157.36</v>
      </c>
      <c r="D5735" s="216" t="n">
        <v>1.158699035644531</v>
      </c>
      <c r="E5735" s="215" t="n">
        <v>46231</v>
      </c>
      <c r="F5735" s="215" t="n">
        <v>46231</v>
      </c>
    </row>
    <row r="5736">
      <c r="A5736" s="215" t="n">
        <v>46232</v>
      </c>
      <c r="B5736" s="216" t="n">
        <v>116.3</v>
      </c>
      <c r="C5736" s="216" t="n">
        <v>155.01</v>
      </c>
      <c r="D5736" s="216" t="n">
        <v>1.157909989356995</v>
      </c>
      <c r="E5736" s="215" t="n">
        <v>46232</v>
      </c>
      <c r="F5736" s="215" t="n">
        <v>46232</v>
      </c>
    </row>
    <row r="5737">
      <c r="A5737" s="215" t="n">
        <v>46233</v>
      </c>
      <c r="B5737" s="216" t="n">
        <v>108.3</v>
      </c>
      <c r="C5737" s="216" t="n">
        <v>145.95</v>
      </c>
      <c r="D5737" s="216" t="n">
        <v>1.158943057060242</v>
      </c>
      <c r="E5737" s="215" t="n">
        <v>46233</v>
      </c>
      <c r="F5737" s="215" t="n">
        <v>46233</v>
      </c>
    </row>
    <row r="5738">
      <c r="A5738" s="215" t="n">
        <v>46234</v>
      </c>
      <c r="B5738" s="216" t="n">
        <v>111.3</v>
      </c>
      <c r="C5738" s="216" t="n">
        <v>152.65</v>
      </c>
      <c r="D5738" s="216" t="n">
        <v>1.160945057868958</v>
      </c>
      <c r="E5738" s="215" t="n">
        <v>46234</v>
      </c>
      <c r="F5738" s="215" t="n">
        <v>46234</v>
      </c>
    </row>
    <row r="5739">
      <c r="A5739" s="215" t="n">
        <v>46237</v>
      </c>
      <c r="B5739" s="216" t="n">
        <v>109</v>
      </c>
      <c r="C5739" s="216" t="n">
        <v>146.92</v>
      </c>
      <c r="D5739" s="216" t="n">
        <v>1.161579966545105</v>
      </c>
      <c r="E5739" s="215" t="n">
        <v>46237</v>
      </c>
      <c r="F5739" s="215" t="n">
        <v>46237</v>
      </c>
    </row>
    <row r="5740">
      <c r="A5740" s="215" t="n">
        <v>46238</v>
      </c>
      <c r="B5740" s="216" t="n">
        <v>115.8</v>
      </c>
      <c r="C5740" s="216" t="n">
        <v>161.61</v>
      </c>
      <c r="D5740" s="216" t="n">
        <v>1.161064982414246</v>
      </c>
      <c r="E5740" s="215" t="n">
        <v>46238</v>
      </c>
      <c r="F5740" s="215" t="n">
        <v>46238</v>
      </c>
    </row>
    <row r="5741">
      <c r="A5741" s="215" t="n">
        <v>46239</v>
      </c>
      <c r="B5741" s="216" t="n">
        <v>113.6</v>
      </c>
      <c r="C5741" s="216" t="n">
        <v>163.38</v>
      </c>
      <c r="D5741" s="216" t="n">
        <v>1.161146998405457</v>
      </c>
      <c r="E5741" s="215" t="n">
        <v>46239</v>
      </c>
      <c r="F5741" s="215" t="n">
        <v>46239</v>
      </c>
    </row>
    <row r="5742">
      <c r="A5742" s="215" t="n">
        <v>46240</v>
      </c>
      <c r="B5742" s="216" t="n">
        <v>109.1</v>
      </c>
      <c r="C5742" s="216" t="n">
        <v>156.6</v>
      </c>
      <c r="D5742" s="216" t="n">
        <v>1.161936044692993</v>
      </c>
      <c r="E5742" s="215" t="n">
        <v>46240</v>
      </c>
      <c r="F5742" s="215" t="n">
        <v>46240</v>
      </c>
    </row>
    <row r="5743">
      <c r="A5743" s="215" t="n">
        <v>46241</v>
      </c>
      <c r="B5743" s="216" t="n">
        <v>118.8</v>
      </c>
      <c r="C5743" s="216" t="n">
        <v>172.26</v>
      </c>
      <c r="D5743" s="216" t="n">
        <v>1.162284016609192</v>
      </c>
      <c r="E5743" s="215" t="n">
        <v>46241</v>
      </c>
      <c r="F5743" s="215" t="n">
        <v>46241</v>
      </c>
    </row>
    <row r="5744">
      <c r="A5744" s="215" t="n">
        <v>46244</v>
      </c>
      <c r="B5744" s="216" t="n">
        <v>124.3</v>
      </c>
      <c r="C5744" s="216" t="n">
        <v>176</v>
      </c>
      <c r="D5744" s="216" t="n">
        <v>1.162629961967468</v>
      </c>
      <c r="E5744" s="215" t="n">
        <v>46244</v>
      </c>
      <c r="F5744" s="215" t="n">
        <v>46244</v>
      </c>
    </row>
    <row r="5745">
      <c r="A5745" s="215" t="n">
        <v>46245</v>
      </c>
      <c r="B5745" s="216" t="n">
        <v>127.4</v>
      </c>
      <c r="C5745" s="216" t="n">
        <v>175.64</v>
      </c>
      <c r="D5745" s="216" t="n">
        <v>1.162588000297546</v>
      </c>
      <c r="E5745" s="215" t="n">
        <v>46245</v>
      </c>
      <c r="F5745" s="215" t="n">
        <v>46245</v>
      </c>
    </row>
    <row r="5746">
      <c r="A5746" s="215" t="n">
        <v>46246</v>
      </c>
      <c r="B5746" s="216" t="n">
        <v>126.2</v>
      </c>
      <c r="C5746" s="216" t="n">
        <v>175</v>
      </c>
      <c r="D5746" s="216" t="n">
        <v>1.163135051727295</v>
      </c>
      <c r="E5746" s="215" t="n">
        <v>46246</v>
      </c>
      <c r="F5746" s="215" t="n">
        <v>46246</v>
      </c>
    </row>
    <row r="5747">
      <c r="A5747" s="215" t="n">
        <v>46247</v>
      </c>
      <c r="B5747" s="216" t="n">
        <v>119.8</v>
      </c>
      <c r="C5747" s="216" t="n">
        <v>173.81</v>
      </c>
      <c r="D5747" s="216" t="n">
        <v>1.163341045379639</v>
      </c>
      <c r="E5747" s="215" t="n">
        <v>46247</v>
      </c>
      <c r="F5747" s="215" t="n">
        <v>46247</v>
      </c>
    </row>
    <row r="5748">
      <c r="A5748" s="215" t="n">
        <v>46248</v>
      </c>
      <c r="B5748" s="216" t="n">
        <v>114.4</v>
      </c>
      <c r="C5748" s="216" t="n">
        <v>171.2</v>
      </c>
      <c r="D5748" s="216" t="n">
        <v>1.163571000099182</v>
      </c>
      <c r="E5748" s="215" t="n">
        <v>46248</v>
      </c>
      <c r="F5748" s="215" t="n">
        <v>46248</v>
      </c>
    </row>
    <row r="5749">
      <c r="A5749" s="215" t="n">
        <v>46251</v>
      </c>
      <c r="B5749" s="216" t="n">
        <v>121.9</v>
      </c>
      <c r="C5749" s="216" t="n">
        <v>177.12</v>
      </c>
      <c r="D5749" s="216" t="n">
        <v>1.163601994514465</v>
      </c>
      <c r="E5749" s="215" t="n">
        <v>46251</v>
      </c>
      <c r="F5749" s="215" t="n">
        <v>46251</v>
      </c>
    </row>
    <row r="5750">
      <c r="A5750" s="215" t="n">
        <v>46252</v>
      </c>
      <c r="B5750" s="216" t="n">
        <v>128</v>
      </c>
      <c r="C5750" s="216" t="n">
        <v>177.25</v>
      </c>
      <c r="D5750" s="216" t="n">
        <v>1.163733005523682</v>
      </c>
      <c r="E5750" s="215" t="n">
        <v>46252</v>
      </c>
      <c r="F5750" s="215" t="n">
        <v>46252</v>
      </c>
    </row>
    <row r="5751">
      <c r="A5751" s="215" t="n">
        <v>46253</v>
      </c>
      <c r="B5751" s="216" t="n">
        <v>126.5</v>
      </c>
      <c r="C5751" s="216" t="n">
        <v>170.59</v>
      </c>
      <c r="D5751" s="216" t="n">
        <v>1.163092017173767</v>
      </c>
      <c r="E5751" s="215" t="n">
        <v>46253</v>
      </c>
      <c r="F5751" s="215" t="n">
        <v>46253</v>
      </c>
    </row>
    <row r="5752">
      <c r="A5752" s="215" t="n">
        <v>46254</v>
      </c>
      <c r="B5752" s="216" t="n">
        <v>129.5</v>
      </c>
      <c r="C5752" s="216" t="n">
        <v>182.4</v>
      </c>
      <c r="D5752" s="216" t="n">
        <v>1.164932012557983</v>
      </c>
      <c r="E5752" s="215" t="n">
        <v>46254</v>
      </c>
      <c r="F5752" s="215" t="n">
        <v>46254</v>
      </c>
    </row>
    <row r="5753">
      <c r="A5753" s="215" t="n">
        <v>46255</v>
      </c>
      <c r="B5753" s="216" t="n">
        <v>119.8</v>
      </c>
      <c r="C5753" s="216" t="n">
        <v>168.1</v>
      </c>
      <c r="D5753" s="216" t="n">
        <v>1.166555047035217</v>
      </c>
      <c r="E5753" s="215" t="n">
        <v>46255</v>
      </c>
      <c r="F5753" s="215" t="n">
        <v>46255</v>
      </c>
    </row>
    <row r="5754">
      <c r="A5754" s="215" t="n">
        <v>46258</v>
      </c>
      <c r="B5754" s="216" t="n">
        <v>111.1</v>
      </c>
      <c r="C5754" s="216" t="n">
        <v>156.57</v>
      </c>
      <c r="D5754" s="216" t="n">
        <v>1.166316986083984</v>
      </c>
      <c r="E5754" s="215" t="n">
        <v>46258</v>
      </c>
      <c r="F5754" s="215" t="n">
        <v>46258</v>
      </c>
    </row>
    <row r="5755">
      <c r="A5755" s="215" t="n">
        <v>46259</v>
      </c>
      <c r="B5755" s="216" t="n">
        <v>128.9</v>
      </c>
      <c r="C5755" s="216" t="n">
        <v>172.23</v>
      </c>
      <c r="D5755" s="216" t="n">
        <v>1.165253043174744</v>
      </c>
      <c r="E5755" s="215" t="n">
        <v>46259</v>
      </c>
      <c r="F5755" s="215" t="n">
        <v>46259</v>
      </c>
    </row>
    <row r="5756">
      <c r="A5756" s="215" t="n">
        <v>46260</v>
      </c>
      <c r="B5756" s="216" t="n">
        <v>131</v>
      </c>
      <c r="C5756" s="216" t="n">
        <v>171.9</v>
      </c>
      <c r="D5756" s="216" t="n">
        <v>1.166218996047974</v>
      </c>
      <c r="E5756" s="215" t="n">
        <v>46260</v>
      </c>
      <c r="F5756" s="215" t="n">
        <v>46260</v>
      </c>
    </row>
    <row r="5757">
      <c r="A5757" s="215" t="n">
        <v>46261</v>
      </c>
      <c r="B5757" s="216" t="n">
        <v>128.2</v>
      </c>
      <c r="C5757" s="216" t="n">
        <v>170.64</v>
      </c>
      <c r="D5757" s="216" t="n">
        <v>1.165971040725708</v>
      </c>
      <c r="E5757" s="215" t="n">
        <v>46261</v>
      </c>
      <c r="F5757" s="215" t="n">
        <v>46261</v>
      </c>
    </row>
    <row r="5758">
      <c r="A5758" s="215" t="n">
        <v>46262</v>
      </c>
      <c r="B5758" s="216" t="n">
        <v>128</v>
      </c>
      <c r="C5758" s="216" t="n">
        <v>164.94</v>
      </c>
      <c r="D5758" s="216" t="n">
        <v>1.165799975395203</v>
      </c>
      <c r="E5758" s="215" t="n">
        <v>46262</v>
      </c>
      <c r="F5758" s="215" t="n">
        <v>46262</v>
      </c>
    </row>
    <row r="5759">
      <c r="A5759" s="215" t="n">
        <v>46265</v>
      </c>
      <c r="B5759" s="216" t="n">
        <v>121.6</v>
      </c>
      <c r="C5759" s="216" t="n">
        <v>161.6</v>
      </c>
      <c r="D5759" s="216" t="n">
        <v>1.165387988090515</v>
      </c>
      <c r="E5759" s="215" t="n">
        <v>46265</v>
      </c>
      <c r="F5759" s="215" t="n">
        <v>46265</v>
      </c>
    </row>
    <row r="5760">
      <c r="A5760" s="215" t="n">
        <v>46266</v>
      </c>
      <c r="B5760" s="216" t="n">
        <v>123</v>
      </c>
      <c r="C5760" s="216" t="n">
        <v>160.88</v>
      </c>
      <c r="D5760" s="216" t="n">
        <v>1.165223956108093</v>
      </c>
      <c r="E5760" s="215" t="n">
        <v>46266</v>
      </c>
      <c r="F5760" s="215" t="n">
        <v>46266</v>
      </c>
    </row>
    <row r="5761">
      <c r="A5761" s="215" t="n">
        <v>46267</v>
      </c>
      <c r="B5761" s="216" t="n">
        <v>128.1</v>
      </c>
      <c r="C5761" s="216" t="n">
        <v>164.6</v>
      </c>
      <c r="D5761" s="216" t="n">
        <v>1.166425943374634</v>
      </c>
      <c r="E5761" s="215" t="n">
        <v>46267</v>
      </c>
      <c r="F5761" s="215" t="n">
        <v>46267</v>
      </c>
    </row>
    <row r="5762">
      <c r="A5762" s="215" t="n">
        <v>46268</v>
      </c>
      <c r="B5762" s="216" t="n">
        <v>133.8</v>
      </c>
      <c r="C5762" s="216" t="n">
        <v>168.22</v>
      </c>
      <c r="D5762" s="216" t="n">
        <v>1.167057037353516</v>
      </c>
      <c r="E5762" s="215" t="n">
        <v>46268</v>
      </c>
      <c r="F5762" s="215" t="n">
        <v>46268</v>
      </c>
    </row>
    <row r="5763">
      <c r="A5763" s="215" t="n">
        <v>46269</v>
      </c>
      <c r="B5763" s="216" t="n">
        <v>133.8</v>
      </c>
      <c r="C5763" s="216" t="n">
        <v>163.02</v>
      </c>
      <c r="D5763" s="216" t="n">
        <v>1.166767954826355</v>
      </c>
      <c r="E5763" s="215" t="n">
        <v>46269</v>
      </c>
      <c r="F5763" s="215" t="n">
        <v>46269</v>
      </c>
    </row>
    <row r="5764">
      <c r="A5764" s="215" t="n">
        <v>46272</v>
      </c>
      <c r="B5764" s="216" t="n">
        <v>131.7</v>
      </c>
      <c r="C5764" s="216" t="n">
        <v>166.6</v>
      </c>
      <c r="D5764" s="216" t="n">
        <v>1.168081045150757</v>
      </c>
      <c r="E5764" s="215" t="n">
        <v>46272</v>
      </c>
      <c r="F5764" s="215" t="n">
        <v>46272</v>
      </c>
    </row>
    <row r="5765">
      <c r="A5765" s="215" t="n">
        <v>46273</v>
      </c>
      <c r="B5765" s="216" t="n">
        <v>140.3</v>
      </c>
      <c r="C5765" s="216" t="n">
        <v>174.31</v>
      </c>
      <c r="D5765" s="216" t="n">
        <v>1.168115019798279</v>
      </c>
      <c r="E5765" s="215" t="n">
        <v>46273</v>
      </c>
      <c r="F5765" s="215" t="n">
        <v>46273</v>
      </c>
    </row>
    <row r="5766">
      <c r="A5766" s="215" t="n">
        <v>46274</v>
      </c>
      <c r="B5766" s="216" t="n">
        <v>140.4</v>
      </c>
      <c r="C5766" s="216" t="n">
        <v>173.05</v>
      </c>
      <c r="D5766" s="216" t="n">
        <v>1.168408989906311</v>
      </c>
      <c r="E5766" s="215" t="n">
        <v>46274</v>
      </c>
      <c r="F5766" s="215" t="n">
        <v>46274</v>
      </c>
    </row>
    <row r="5767">
      <c r="A5767" s="215" t="n">
        <v>46275</v>
      </c>
      <c r="B5767" s="216" t="n">
        <v>138.1</v>
      </c>
      <c r="C5767" s="216" t="n">
        <v>170.36</v>
      </c>
      <c r="D5767" s="216" t="n">
        <v>1.168462991714478</v>
      </c>
      <c r="E5767" s="215" t="n">
        <v>46275</v>
      </c>
      <c r="F5767" s="215" t="n">
        <v>46275</v>
      </c>
    </row>
    <row r="5768">
      <c r="A5768" s="215" t="n">
        <v>46276</v>
      </c>
      <c r="B5768" s="216" t="n">
        <v>134.2</v>
      </c>
      <c r="C5768" s="216" t="n">
        <v>164.13</v>
      </c>
      <c r="D5768" s="216" t="n">
        <v>1.169165015220642</v>
      </c>
      <c r="E5768" s="215" t="n">
        <v>46276</v>
      </c>
      <c r="F5768" s="215" t="n">
        <v>46276</v>
      </c>
    </row>
    <row r="5769">
      <c r="A5769" s="215" t="n">
        <v>46279</v>
      </c>
      <c r="B5769" s="216" t="n">
        <v>153.3</v>
      </c>
      <c r="C5769" s="216" t="n">
        <v>177.6</v>
      </c>
      <c r="D5769" s="216" t="n">
        <v>1.16893994808197</v>
      </c>
      <c r="E5769" s="215" t="n">
        <v>46279</v>
      </c>
      <c r="F5769" s="215" t="n">
        <v>46279</v>
      </c>
    </row>
    <row r="5770">
      <c r="A5770" s="215" t="n">
        <v>46280</v>
      </c>
      <c r="B5770" s="216" t="n">
        <v>156.4</v>
      </c>
      <c r="C5770" s="216" t="n">
        <v>177.2</v>
      </c>
      <c r="D5770" s="216" t="n">
        <v>1.169121026992798</v>
      </c>
      <c r="E5770" s="215" t="n">
        <v>46280</v>
      </c>
      <c r="F5770" s="215" t="n">
        <v>46280</v>
      </c>
    </row>
    <row r="5771">
      <c r="A5771" s="215" t="n">
        <v>46281</v>
      </c>
      <c r="B5771" s="216" t="n">
        <v>164.5</v>
      </c>
      <c r="C5771" s="216" t="n">
        <v>182.48</v>
      </c>
      <c r="D5771" s="216" t="n">
        <v>1.168769955635071</v>
      </c>
      <c r="E5771" s="215" t="n">
        <v>46281</v>
      </c>
      <c r="F5771" s="215" t="n">
        <v>46281</v>
      </c>
    </row>
    <row r="5772">
      <c r="A5772" s="215" t="n">
        <v>46282</v>
      </c>
      <c r="B5772" s="216" t="n">
        <v>162.2</v>
      </c>
      <c r="C5772" s="216" t="n">
        <v>186.23</v>
      </c>
      <c r="D5772" s="216" t="n">
        <v>1.169389963150024</v>
      </c>
      <c r="E5772" s="215" t="n">
        <v>46282</v>
      </c>
      <c r="F5772" s="215" t="n">
        <v>46282</v>
      </c>
    </row>
    <row r="5773">
      <c r="A5773" s="215" t="n">
        <v>46283</v>
      </c>
      <c r="B5773" s="216" t="n">
        <v>157.6</v>
      </c>
      <c r="C5773" s="216" t="n">
        <v>185.2</v>
      </c>
      <c r="D5773" s="216" t="n">
        <v>1.16942298412323</v>
      </c>
      <c r="E5773" s="215" t="n">
        <v>46283</v>
      </c>
      <c r="F5773" s="215" t="n">
        <v>46283</v>
      </c>
    </row>
    <row r="5774">
      <c r="A5774" s="215" t="n">
        <v>46286</v>
      </c>
      <c r="B5774" s="216" t="n">
        <v>159.6</v>
      </c>
      <c r="C5774" s="216" t="n">
        <v>190.99</v>
      </c>
      <c r="D5774" s="216" t="n">
        <v>1.171280026435852</v>
      </c>
      <c r="E5774" s="215" t="n">
        <v>46286</v>
      </c>
      <c r="F5774" s="215" t="n">
        <v>46286</v>
      </c>
    </row>
    <row r="5775">
      <c r="A5775" s="215" t="n">
        <v>46287</v>
      </c>
      <c r="B5775" s="216" t="n">
        <v>160.5</v>
      </c>
      <c r="C5775" s="216" t="n">
        <v>187.66</v>
      </c>
      <c r="D5775" s="216" t="n">
        <v>1.171705007553101</v>
      </c>
      <c r="E5775" s="215" t="n">
        <v>46287</v>
      </c>
      <c r="F5775" s="215" t="n">
        <v>46287</v>
      </c>
    </row>
    <row r="5776">
      <c r="A5776" s="215" t="n">
        <v>46288</v>
      </c>
      <c r="B5776" s="216" t="n">
        <v>157.3</v>
      </c>
      <c r="C5776" s="216" t="n">
        <v>188.01</v>
      </c>
      <c r="D5776" s="216" t="n">
        <v>1.170611023902893</v>
      </c>
      <c r="E5776" s="215" t="n">
        <v>46288</v>
      </c>
      <c r="F5776" s="215" t="n">
        <v>46288</v>
      </c>
    </row>
    <row r="5777">
      <c r="A5777" s="215" t="n">
        <v>46289</v>
      </c>
      <c r="B5777" s="216" t="n">
        <v>149.7</v>
      </c>
      <c r="C5777" s="216" t="n">
        <v>178.3</v>
      </c>
      <c r="D5777" s="216" t="n">
        <v>1.16852605342865</v>
      </c>
      <c r="E5777" s="215" t="n">
        <v>46289</v>
      </c>
      <c r="F5777" s="215" t="n">
        <v>46289</v>
      </c>
    </row>
    <row r="5778">
      <c r="A5778" s="215" t="n">
        <v>46290</v>
      </c>
      <c r="B5778" s="216" t="n">
        <v>155.6</v>
      </c>
      <c r="C5778" s="216" t="n">
        <v>178.3</v>
      </c>
      <c r="D5778" s="216" t="n">
        <v>1.168424010276794</v>
      </c>
      <c r="E5778" s="215" t="n">
        <v>46289</v>
      </c>
      <c r="F5778" s="215" t="n">
        <v>46290</v>
      </c>
    </row>
    <row r="5779">
      <c r="A5779" s="215" t="n">
        <v>46293</v>
      </c>
      <c r="B5779" s="216" t="n">
        <v>156.7</v>
      </c>
      <c r="C5779" s="216" t="n">
        <v>180.53</v>
      </c>
      <c r="D5779" s="216" t="n">
        <v>1.168378949165344</v>
      </c>
      <c r="E5779" s="215" t="n">
        <v>46293</v>
      </c>
      <c r="F5779" s="215" t="n">
        <v>46293</v>
      </c>
    </row>
    <row r="5780">
      <c r="A5780" s="215" t="n">
        <v>46294</v>
      </c>
      <c r="B5780" s="216" t="n">
        <v>159.8</v>
      </c>
      <c r="C5780" s="216" t="n">
        <v>179.12</v>
      </c>
      <c r="D5780" s="216" t="n">
        <v>1.168815970420837</v>
      </c>
      <c r="E5780" s="215" t="n">
        <v>46294</v>
      </c>
      <c r="F5780" s="215" t="n">
        <v>46294</v>
      </c>
    </row>
    <row r="5781">
      <c r="A5781" s="215" t="n">
        <v>46295</v>
      </c>
      <c r="B5781" s="216" t="n">
        <v>170.4</v>
      </c>
      <c r="C5781" s="216" t="n">
        <v>188.62</v>
      </c>
      <c r="D5781" s="216" t="n">
        <v>1.17059600353241</v>
      </c>
      <c r="E5781" s="215" t="n">
        <v>46295</v>
      </c>
      <c r="F5781" s="215" t="n">
        <v>46295</v>
      </c>
    </row>
    <row r="5782">
      <c r="A5782" s="215" t="n">
        <v>46297</v>
      </c>
      <c r="B5782" s="216" t="n">
        <v>166.6</v>
      </c>
      <c r="C5782" s="216" t="n">
        <v>188.62</v>
      </c>
      <c r="D5782" s="216" t="n">
        <v>1.170220971107483</v>
      </c>
      <c r="E5782" s="215" t="n">
        <v>46295</v>
      </c>
      <c r="F5782" s="215" t="n">
        <v>46297</v>
      </c>
    </row>
    <row r="5783">
      <c r="A5783" s="215" t="n">
        <v>44805</v>
      </c>
      <c r="B5783" s="216" t="n">
        <v>26</v>
      </c>
      <c r="C5783" s="216" t="n"/>
      <c r="D5783" s="216" t="n"/>
      <c r="E5783" s="215" t="n"/>
      <c r="F5783" s="215" t="n"/>
    </row>
    <row r="5784">
      <c r="A5784" s="215" t="n">
        <v>44806</v>
      </c>
      <c r="B5784" s="216" t="n">
        <v>27.1</v>
      </c>
      <c r="C5784" s="216" t="n"/>
      <c r="D5784" s="216" t="n"/>
      <c r="E5784" s="215" t="n"/>
      <c r="F5784" s="215" t="n"/>
    </row>
    <row r="5785">
      <c r="A5785" s="215" t="n">
        <v>44809</v>
      </c>
      <c r="B5785" s="216" t="n">
        <v>25.2</v>
      </c>
      <c r="C5785" s="216" t="n"/>
      <c r="D5785" s="216" t="n"/>
      <c r="E5785" s="215" t="n"/>
      <c r="F5785" s="215" t="n"/>
    </row>
    <row r="5786">
      <c r="A5786" s="215" t="n">
        <v>44810</v>
      </c>
      <c r="B5786" s="216" t="n">
        <v>26</v>
      </c>
      <c r="C5786" s="216" t="n"/>
      <c r="D5786" s="216" t="n"/>
      <c r="E5786" s="215" t="n"/>
      <c r="F5786" s="215" t="n"/>
    </row>
    <row r="5787">
      <c r="A5787" s="215" t="n">
        <v>44811</v>
      </c>
      <c r="B5787" s="216" t="n">
        <v>25.65</v>
      </c>
      <c r="C5787" s="216" t="n"/>
      <c r="D5787" s="216" t="n"/>
      <c r="E5787" s="215" t="n"/>
      <c r="F5787" s="215" t="n"/>
    </row>
    <row r="5788">
      <c r="A5788" s="215" t="n">
        <v>44812</v>
      </c>
      <c r="B5788" s="216" t="n">
        <v>25.4</v>
      </c>
      <c r="C5788" s="216" t="n"/>
      <c r="D5788" s="216" t="n"/>
      <c r="E5788" s="215" t="n"/>
      <c r="F5788" s="215" t="n"/>
    </row>
    <row r="5789">
      <c r="A5789" s="215" t="n">
        <v>44813</v>
      </c>
      <c r="B5789" s="216" t="n">
        <v>25.6</v>
      </c>
      <c r="C5789" s="216" t="n"/>
      <c r="D5789" s="216" t="n"/>
      <c r="E5789" s="215" t="n"/>
      <c r="F5789" s="215" t="n"/>
    </row>
    <row r="5790">
      <c r="A5790" s="215" t="n">
        <v>44817</v>
      </c>
      <c r="B5790" s="216" t="n">
        <v>25.2</v>
      </c>
      <c r="C5790" s="216" t="n"/>
      <c r="D5790" s="216" t="n"/>
      <c r="E5790" s="215" t="n"/>
      <c r="F5790" s="215" t="n"/>
    </row>
    <row r="5791">
      <c r="A5791" s="215" t="n">
        <v>44818</v>
      </c>
      <c r="B5791" s="216" t="n">
        <v>25.3</v>
      </c>
      <c r="C5791" s="216" t="n"/>
      <c r="D5791" s="216" t="n"/>
      <c r="E5791" s="215" t="n"/>
      <c r="F5791" s="215" t="n"/>
    </row>
    <row r="5792">
      <c r="A5792" s="215" t="n">
        <v>44819</v>
      </c>
      <c r="B5792" s="216" t="n">
        <v>25.2</v>
      </c>
      <c r="C5792" s="216" t="n"/>
      <c r="D5792" s="216" t="n"/>
      <c r="E5792" s="215" t="n"/>
      <c r="F5792" s="215" t="n"/>
    </row>
    <row r="5793">
      <c r="A5793" s="215" t="n">
        <v>44820</v>
      </c>
      <c r="B5793" s="216" t="n">
        <v>25.2</v>
      </c>
      <c r="C5793" s="216" t="n"/>
      <c r="D5793" s="216" t="n"/>
      <c r="E5793" s="215" t="n"/>
      <c r="F5793" s="215" t="n"/>
    </row>
    <row r="5794">
      <c r="A5794" s="215" t="n">
        <v>44823</v>
      </c>
      <c r="B5794" s="216" t="n">
        <v>25.6</v>
      </c>
      <c r="C5794" s="216" t="n"/>
      <c r="D5794" s="216" t="n"/>
      <c r="E5794" s="215" t="n"/>
      <c r="F5794" s="215" t="n"/>
    </row>
    <row r="5795">
      <c r="A5795" s="215" t="n">
        <v>44824</v>
      </c>
      <c r="B5795" s="216" t="n">
        <v>25.65</v>
      </c>
      <c r="C5795" s="216" t="n"/>
      <c r="D5795" s="216" t="n"/>
      <c r="E5795" s="215" t="n"/>
      <c r="F5795" s="215" t="n"/>
    </row>
    <row r="5796">
      <c r="A5796" s="215" t="n">
        <v>44825</v>
      </c>
      <c r="B5796" s="216" t="n">
        <v>25.5</v>
      </c>
      <c r="C5796" s="216" t="n"/>
      <c r="D5796" s="216" t="n"/>
      <c r="E5796" s="215" t="n"/>
      <c r="F5796" s="215" t="n"/>
    </row>
    <row r="5797">
      <c r="A5797" s="215" t="n">
        <v>44826</v>
      </c>
      <c r="B5797" s="216" t="n">
        <v>25.45</v>
      </c>
      <c r="C5797" s="216" t="n"/>
      <c r="D5797" s="216" t="n"/>
      <c r="E5797" s="215" t="n"/>
      <c r="F5797" s="215" t="n"/>
    </row>
    <row r="5798">
      <c r="A5798" s="215" t="n">
        <v>44827</v>
      </c>
      <c r="B5798" s="216" t="n">
        <v>25.2</v>
      </c>
      <c r="C5798" s="216" t="n"/>
      <c r="D5798" s="216" t="n"/>
      <c r="E5798" s="215" t="n"/>
      <c r="F5798" s="215" t="n"/>
    </row>
    <row r="5799">
      <c r="A5799" s="215" t="n">
        <v>44830</v>
      </c>
      <c r="B5799" s="216" t="n">
        <v>25.6</v>
      </c>
      <c r="C5799" s="216" t="n"/>
      <c r="D5799" s="216" t="n"/>
      <c r="E5799" s="215" t="n"/>
      <c r="F5799" s="215" t="n"/>
    </row>
    <row r="5800">
      <c r="A5800" s="215" t="n">
        <v>44831</v>
      </c>
      <c r="B5800" s="216" t="n">
        <v>26.8</v>
      </c>
      <c r="C5800" s="216" t="n"/>
      <c r="D5800" s="216" t="n"/>
      <c r="E5800" s="215" t="n"/>
      <c r="F5800" s="215" t="n"/>
    </row>
    <row r="5801">
      <c r="A5801" s="215" t="n">
        <v>44832</v>
      </c>
      <c r="B5801" s="216" t="n">
        <v>26.6</v>
      </c>
      <c r="C5801" s="216" t="n"/>
      <c r="D5801" s="216" t="n"/>
      <c r="E5801" s="215" t="n"/>
      <c r="F5801" s="215" t="n"/>
    </row>
    <row r="5802">
      <c r="A5802" s="215" t="n">
        <v>44833</v>
      </c>
      <c r="B5802" s="216" t="n">
        <v>26.15</v>
      </c>
      <c r="C5802" s="216" t="n"/>
      <c r="D5802" s="216" t="n"/>
      <c r="E5802" s="215" t="n"/>
      <c r="F5802" s="215" t="n"/>
    </row>
    <row r="5803">
      <c r="A5803" s="215" t="n">
        <v>44834</v>
      </c>
      <c r="B5803" s="216" t="n">
        <v>26.2</v>
      </c>
      <c r="C5803" s="216" t="n"/>
      <c r="D5803" s="216" t="n"/>
      <c r="E5803" s="215" t="n"/>
      <c r="F5803" s="215" t="n"/>
    </row>
    <row r="5804">
      <c r="A5804" s="215" t="n">
        <v>44837</v>
      </c>
      <c r="B5804" s="216" t="n">
        <v>26.6</v>
      </c>
      <c r="C5804" s="216" t="n"/>
      <c r="D5804" s="216" t="n"/>
      <c r="E5804" s="215" t="n"/>
      <c r="F5804" s="215" t="n"/>
    </row>
    <row r="5805">
      <c r="A5805" s="215" t="n">
        <v>44839</v>
      </c>
      <c r="B5805" s="216" t="n">
        <v>26.4</v>
      </c>
      <c r="C5805" s="216" t="n"/>
      <c r="D5805" s="216" t="n"/>
      <c r="E5805" s="215" t="n"/>
      <c r="F5805" s="215" t="n"/>
    </row>
    <row r="5806">
      <c r="A5806" s="215" t="n">
        <v>44840</v>
      </c>
      <c r="B5806" s="216" t="n">
        <v>26.2</v>
      </c>
      <c r="C5806" s="216" t="n"/>
      <c r="D5806" s="216" t="n"/>
      <c r="E5806" s="215" t="n"/>
      <c r="F5806" s="215" t="n"/>
    </row>
    <row r="5807">
      <c r="A5807" s="215" t="n">
        <v>44841</v>
      </c>
      <c r="B5807" s="216" t="n">
        <v>26.25</v>
      </c>
      <c r="C5807" s="216" t="n"/>
      <c r="D5807" s="216" t="n"/>
      <c r="E5807" s="215" t="n"/>
      <c r="F5807" s="215" t="n"/>
    </row>
    <row r="5808">
      <c r="A5808" s="215" t="n">
        <v>44844</v>
      </c>
      <c r="B5808" s="216" t="n">
        <v>25.55</v>
      </c>
      <c r="C5808" s="216" t="n"/>
      <c r="D5808" s="216" t="n"/>
      <c r="E5808" s="215" t="n"/>
      <c r="F5808" s="215" t="n"/>
    </row>
    <row r="5809">
      <c r="A5809" s="215" t="n">
        <v>44845</v>
      </c>
      <c r="B5809" s="216" t="n">
        <v>25.5</v>
      </c>
      <c r="C5809" s="216" t="n"/>
      <c r="D5809" s="216" t="n"/>
      <c r="E5809" s="215" t="n"/>
      <c r="F5809" s="215" t="n"/>
    </row>
    <row r="5810">
      <c r="A5810" s="215" t="n">
        <v>44846</v>
      </c>
      <c r="B5810" s="216" t="n">
        <v>25.5</v>
      </c>
      <c r="C5810" s="216" t="n"/>
      <c r="D5810" s="216" t="n"/>
      <c r="E5810" s="215" t="n"/>
      <c r="F5810" s="215" t="n"/>
    </row>
    <row r="5811">
      <c r="A5811" s="215" t="n">
        <v>44847</v>
      </c>
      <c r="B5811" s="216" t="n">
        <v>26</v>
      </c>
      <c r="C5811" s="216" t="n"/>
      <c r="D5811" s="216" t="n"/>
      <c r="E5811" s="215" t="n"/>
      <c r="F5811" s="215" t="n"/>
    </row>
    <row r="5812">
      <c r="A5812" s="215" t="n">
        <v>44848</v>
      </c>
      <c r="B5812" s="216" t="n">
        <v>26.45</v>
      </c>
      <c r="C5812" s="216" t="n"/>
      <c r="D5812" s="216" t="n"/>
      <c r="E5812" s="215" t="n"/>
      <c r="F5812" s="215" t="n"/>
    </row>
    <row r="5813">
      <c r="A5813" s="215" t="n">
        <v>44851</v>
      </c>
      <c r="B5813" s="216" t="n">
        <v>26.75</v>
      </c>
      <c r="C5813" s="216" t="n"/>
      <c r="D5813" s="216" t="n"/>
      <c r="E5813" s="215" t="n"/>
      <c r="F5813" s="215" t="n"/>
    </row>
    <row r="5814">
      <c r="A5814" s="215" t="n">
        <v>44852</v>
      </c>
      <c r="B5814" s="216" t="n">
        <v>27.45</v>
      </c>
      <c r="C5814" s="216" t="n"/>
      <c r="D5814" s="216" t="n"/>
      <c r="E5814" s="215" t="n"/>
      <c r="F5814" s="215" t="n"/>
    </row>
    <row r="5815">
      <c r="A5815" s="215" t="n">
        <v>44853</v>
      </c>
      <c r="B5815" s="216" t="n">
        <v>27</v>
      </c>
      <c r="C5815" s="216" t="n"/>
      <c r="D5815" s="216" t="n"/>
      <c r="E5815" s="215" t="n"/>
      <c r="F5815" s="215" t="n"/>
    </row>
    <row r="5816">
      <c r="A5816" s="215" t="n">
        <v>44854</v>
      </c>
      <c r="B5816" s="216" t="n">
        <v>26</v>
      </c>
      <c r="C5816" s="216" t="n"/>
      <c r="D5816" s="216" t="n"/>
      <c r="E5816" s="215" t="n"/>
      <c r="F5816" s="215" t="n"/>
    </row>
    <row r="5817">
      <c r="A5817" s="215" t="n">
        <v>44855</v>
      </c>
      <c r="B5817" s="216" t="n">
        <v>26.5</v>
      </c>
      <c r="C5817" s="216" t="n"/>
      <c r="D5817" s="216" t="n"/>
      <c r="E5817" s="215" t="n"/>
      <c r="F5817" s="215" t="n"/>
    </row>
    <row r="5818">
      <c r="A5818" s="215" t="n">
        <v>44858</v>
      </c>
      <c r="B5818" s="216" t="n">
        <v>25.65</v>
      </c>
      <c r="C5818" s="216" t="n"/>
      <c r="D5818" s="216" t="n"/>
      <c r="E5818" s="215" t="n"/>
      <c r="F5818" s="215" t="n"/>
    </row>
    <row r="5819">
      <c r="A5819" s="215" t="n">
        <v>44859</v>
      </c>
      <c r="B5819" s="216" t="n">
        <v>26.9</v>
      </c>
      <c r="C5819" s="216" t="n"/>
      <c r="D5819" s="216" t="n"/>
      <c r="E5819" s="215" t="n"/>
      <c r="F5819" s="215" t="n"/>
    </row>
    <row r="5820">
      <c r="A5820" s="215" t="n">
        <v>44860</v>
      </c>
      <c r="B5820" s="216" t="n">
        <v>26.1</v>
      </c>
      <c r="C5820" s="216" t="n"/>
      <c r="D5820" s="216" t="n"/>
      <c r="E5820" s="215" t="n"/>
      <c r="F5820" s="215" t="n"/>
    </row>
    <row r="5821">
      <c r="A5821" s="215" t="n">
        <v>44861</v>
      </c>
      <c r="B5821" s="216" t="n">
        <v>25.6</v>
      </c>
      <c r="C5821" s="216" t="n"/>
      <c r="D5821" s="216" t="n"/>
      <c r="E5821" s="215" t="n"/>
      <c r="F5821" s="215" t="n"/>
    </row>
    <row r="5822">
      <c r="A5822" s="215" t="n">
        <v>44862</v>
      </c>
      <c r="B5822" s="216" t="n">
        <v>26.05</v>
      </c>
      <c r="C5822" s="216" t="n"/>
      <c r="D5822" s="216" t="n"/>
      <c r="E5822" s="215" t="n"/>
      <c r="F5822" s="215" t="n"/>
    </row>
    <row r="5823">
      <c r="A5823" s="215" t="n">
        <v>44865</v>
      </c>
      <c r="B5823" s="216" t="n">
        <v>26.9</v>
      </c>
      <c r="C5823" s="216" t="n"/>
      <c r="D5823" s="216" t="n"/>
      <c r="E5823" s="215" t="n"/>
      <c r="F5823" s="215" t="n"/>
    </row>
    <row r="5824">
      <c r="A5824" s="215" t="n">
        <v>44866</v>
      </c>
      <c r="B5824" s="216" t="n">
        <v>26.15</v>
      </c>
      <c r="C5824" s="216" t="n"/>
      <c r="D5824" s="216" t="n"/>
      <c r="E5824" s="215" t="n"/>
      <c r="F5824" s="215" t="n"/>
    </row>
    <row r="5825">
      <c r="A5825" s="215" t="n">
        <v>44867</v>
      </c>
      <c r="B5825" s="216" t="n">
        <v>26</v>
      </c>
      <c r="C5825" s="216" t="n"/>
      <c r="D5825" s="216" t="n"/>
      <c r="E5825" s="215" t="n"/>
      <c r="F5825" s="215" t="n"/>
    </row>
    <row r="5826">
      <c r="A5826" s="215" t="n">
        <v>44868</v>
      </c>
      <c r="B5826" s="216" t="n">
        <v>26.15</v>
      </c>
      <c r="C5826" s="216" t="n"/>
      <c r="D5826" s="216" t="n"/>
      <c r="E5826" s="215" t="n"/>
      <c r="F5826" s="215" t="n"/>
    </row>
    <row r="5827">
      <c r="A5827" s="215" t="n">
        <v>44869</v>
      </c>
      <c r="B5827" s="216" t="n">
        <v>25.85</v>
      </c>
      <c r="C5827" s="216" t="n"/>
      <c r="D5827" s="216" t="n"/>
      <c r="E5827" s="215" t="n"/>
      <c r="F5827" s="215" t="n"/>
    </row>
    <row r="5828">
      <c r="A5828" s="215" t="n">
        <v>44872</v>
      </c>
      <c r="B5828" s="216" t="n">
        <v>26.2</v>
      </c>
      <c r="C5828" s="216" t="n"/>
      <c r="D5828" s="216" t="n"/>
      <c r="E5828" s="215" t="n"/>
      <c r="F5828" s="215" t="n"/>
    </row>
    <row r="5829">
      <c r="A5829" s="215" t="n">
        <v>44873</v>
      </c>
      <c r="B5829" s="216" t="n">
        <v>26.05</v>
      </c>
      <c r="C5829" s="216" t="n"/>
      <c r="D5829" s="216" t="n"/>
      <c r="E5829" s="215" t="n"/>
      <c r="F5829" s="215" t="n"/>
    </row>
    <row r="5830">
      <c r="A5830" s="215" t="n">
        <v>44874</v>
      </c>
      <c r="B5830" s="216" t="n">
        <v>25.4</v>
      </c>
      <c r="C5830" s="216" t="n"/>
      <c r="D5830" s="216" t="n"/>
      <c r="E5830" s="215" t="n"/>
      <c r="F5830" s="215" t="n"/>
    </row>
    <row r="5831">
      <c r="A5831" s="215" t="n">
        <v>44875</v>
      </c>
      <c r="B5831" s="216" t="n">
        <v>25.2</v>
      </c>
      <c r="C5831" s="216" t="n"/>
      <c r="D5831" s="216" t="n"/>
      <c r="E5831" s="215" t="n"/>
      <c r="F5831" s="215" t="n"/>
    </row>
    <row r="5832">
      <c r="A5832" s="215" t="n">
        <v>44876</v>
      </c>
      <c r="B5832" s="216" t="n">
        <v>25.6</v>
      </c>
      <c r="C5832" s="216" t="n"/>
      <c r="D5832" s="216" t="n"/>
      <c r="E5832" s="215" t="n"/>
      <c r="F5832" s="215" t="n"/>
    </row>
    <row r="5833">
      <c r="A5833" s="215" t="n">
        <v>44879</v>
      </c>
      <c r="B5833" s="216" t="n">
        <v>26.95</v>
      </c>
      <c r="C5833" s="216" t="n"/>
      <c r="D5833" s="216" t="n"/>
      <c r="E5833" s="215" t="n"/>
      <c r="F5833" s="215" t="n"/>
    </row>
    <row r="5834">
      <c r="A5834" s="215" t="n">
        <v>44880</v>
      </c>
      <c r="B5834" s="216" t="n">
        <v>26.6</v>
      </c>
      <c r="C5834" s="216" t="n"/>
      <c r="D5834" s="216" t="n"/>
      <c r="E5834" s="215" t="n"/>
      <c r="F5834" s="215" t="n"/>
    </row>
    <row r="5835">
      <c r="A5835" s="215" t="n">
        <v>44881</v>
      </c>
      <c r="B5835" s="216" t="n">
        <v>26.9</v>
      </c>
      <c r="C5835" s="216" t="n"/>
      <c r="D5835" s="216" t="n"/>
      <c r="E5835" s="215" t="n"/>
      <c r="F5835" s="215" t="n"/>
    </row>
    <row r="5836">
      <c r="A5836" s="215" t="n">
        <v>44882</v>
      </c>
      <c r="B5836" s="216" t="n">
        <v>26.85</v>
      </c>
      <c r="C5836" s="216" t="n"/>
      <c r="D5836" s="216" t="n"/>
      <c r="E5836" s="215" t="n"/>
      <c r="F5836" s="215" t="n"/>
    </row>
    <row r="5837">
      <c r="A5837" s="215" t="n">
        <v>44883</v>
      </c>
      <c r="B5837" s="216" t="n">
        <v>26.2</v>
      </c>
      <c r="C5837" s="216" t="n"/>
      <c r="D5837" s="216" t="n"/>
      <c r="E5837" s="215" t="n"/>
      <c r="F5837" s="215" t="n"/>
    </row>
    <row r="5838">
      <c r="A5838" s="215" t="n">
        <v>44886</v>
      </c>
      <c r="B5838" s="216" t="n">
        <v>26.8</v>
      </c>
      <c r="C5838" s="216" t="n"/>
      <c r="D5838" s="216" t="n"/>
      <c r="E5838" s="215" t="n"/>
      <c r="F5838" s="215" t="n"/>
    </row>
    <row r="5839">
      <c r="A5839" s="215" t="n">
        <v>44887</v>
      </c>
      <c r="B5839" s="216" t="n">
        <v>25.8</v>
      </c>
      <c r="C5839" s="216" t="n"/>
      <c r="D5839" s="216" t="n"/>
      <c r="E5839" s="215" t="n"/>
      <c r="F5839" s="215" t="n"/>
    </row>
    <row r="5840">
      <c r="A5840" s="215" t="n">
        <v>44888</v>
      </c>
      <c r="B5840" s="216" t="n">
        <v>25.7</v>
      </c>
      <c r="C5840" s="216" t="n"/>
      <c r="D5840" s="216" t="n"/>
      <c r="E5840" s="215" t="n"/>
      <c r="F5840" s="215" t="n"/>
    </row>
    <row r="5841">
      <c r="A5841" s="215" t="n">
        <v>44889</v>
      </c>
      <c r="B5841" s="216" t="n">
        <v>25.8</v>
      </c>
      <c r="C5841" s="216" t="n"/>
      <c r="D5841" s="216" t="n"/>
      <c r="E5841" s="215" t="n"/>
      <c r="F5841" s="215" t="n"/>
    </row>
    <row r="5842">
      <c r="A5842" s="215" t="n">
        <v>44890</v>
      </c>
      <c r="B5842" s="216" t="n">
        <v>26.35</v>
      </c>
      <c r="C5842" s="216" t="n"/>
      <c r="D5842" s="216" t="n"/>
      <c r="E5842" s="215" t="n"/>
      <c r="F5842" s="215" t="n"/>
    </row>
    <row r="5843">
      <c r="A5843" s="215" t="n">
        <v>44893</v>
      </c>
      <c r="B5843" s="216" t="n">
        <v>26</v>
      </c>
      <c r="C5843" s="216" t="n"/>
      <c r="D5843" s="216" t="n"/>
      <c r="E5843" s="215" t="n"/>
      <c r="F5843" s="215" t="n"/>
    </row>
    <row r="5844">
      <c r="A5844" s="215" t="n">
        <v>44894</v>
      </c>
      <c r="B5844" s="216" t="n">
        <v>26.1</v>
      </c>
      <c r="C5844" s="216" t="n"/>
      <c r="D5844" s="216" t="n"/>
      <c r="E5844" s="215" t="n"/>
      <c r="F5844" s="215" t="n"/>
    </row>
    <row r="5845">
      <c r="A5845" s="215" t="n">
        <v>44895</v>
      </c>
      <c r="B5845" s="216" t="n">
        <v>25.95</v>
      </c>
      <c r="C5845" s="216" t="n"/>
      <c r="D5845" s="216" t="n"/>
      <c r="E5845" s="215" t="n"/>
      <c r="F5845" s="215" t="n"/>
    </row>
    <row r="5846">
      <c r="A5846" s="215" t="n">
        <v>44896</v>
      </c>
      <c r="B5846" s="216" t="n">
        <v>26</v>
      </c>
      <c r="C5846" s="216" t="n"/>
      <c r="D5846" s="216" t="n"/>
      <c r="E5846" s="215" t="n"/>
      <c r="F5846" s="215" t="n"/>
    </row>
    <row r="5847">
      <c r="A5847" s="215" t="n">
        <v>44897</v>
      </c>
      <c r="B5847" s="216" t="n">
        <v>26</v>
      </c>
      <c r="C5847" s="216" t="n"/>
      <c r="D5847" s="216" t="n"/>
      <c r="E5847" s="215" t="n"/>
      <c r="F5847" s="215" t="n"/>
    </row>
    <row r="5848">
      <c r="A5848" s="215" t="n">
        <v>44900</v>
      </c>
      <c r="B5848" s="216" t="n">
        <v>26</v>
      </c>
      <c r="C5848" s="216" t="n"/>
      <c r="D5848" s="216" t="n"/>
      <c r="E5848" s="215" t="n"/>
      <c r="F5848" s="215" t="n"/>
    </row>
    <row r="5849">
      <c r="A5849" s="215" t="n">
        <v>44901</v>
      </c>
      <c r="B5849" s="216" t="n">
        <v>25.9</v>
      </c>
      <c r="C5849" s="216" t="n"/>
      <c r="D5849" s="216" t="n"/>
      <c r="E5849" s="215" t="n"/>
      <c r="F5849" s="215" t="n"/>
    </row>
    <row r="5850">
      <c r="A5850" s="215" t="n">
        <v>44902</v>
      </c>
      <c r="B5850" s="216" t="n">
        <v>25.95</v>
      </c>
      <c r="C5850" s="216" t="n"/>
      <c r="D5850" s="216" t="n"/>
      <c r="E5850" s="215" t="n"/>
      <c r="F5850" s="215" t="n"/>
    </row>
    <row r="5851">
      <c r="A5851" s="215" t="n">
        <v>44903</v>
      </c>
      <c r="B5851" s="216" t="n">
        <v>26</v>
      </c>
      <c r="C5851" s="216" t="n"/>
      <c r="D5851" s="216" t="n"/>
      <c r="E5851" s="215" t="n"/>
      <c r="F5851" s="215" t="n"/>
    </row>
    <row r="5852">
      <c r="A5852" s="215" t="n">
        <v>44904</v>
      </c>
      <c r="B5852" s="216" t="n">
        <v>25.95</v>
      </c>
      <c r="C5852" s="216" t="n"/>
      <c r="D5852" s="216" t="n"/>
      <c r="E5852" s="215" t="n"/>
      <c r="F5852" s="215" t="n"/>
    </row>
    <row r="5853">
      <c r="A5853" s="215" t="n">
        <v>44907</v>
      </c>
      <c r="B5853" s="216" t="n">
        <v>25.65</v>
      </c>
      <c r="C5853" s="216" t="n"/>
      <c r="D5853" s="216" t="n"/>
      <c r="E5853" s="215" t="n"/>
      <c r="F5853" s="215" t="n"/>
    </row>
    <row r="5854">
      <c r="A5854" s="215" t="n">
        <v>44908</v>
      </c>
      <c r="B5854" s="216" t="n">
        <v>25.8</v>
      </c>
      <c r="C5854" s="216" t="n"/>
      <c r="D5854" s="216" t="n"/>
      <c r="E5854" s="215" t="n"/>
      <c r="F5854" s="215" t="n"/>
    </row>
    <row r="5855">
      <c r="A5855" s="215" t="n">
        <v>44909</v>
      </c>
      <c r="B5855" s="216" t="n">
        <v>25.8</v>
      </c>
      <c r="C5855" s="216" t="n"/>
      <c r="D5855" s="216" t="n"/>
      <c r="E5855" s="215" t="n"/>
      <c r="F5855" s="215" t="n"/>
    </row>
    <row r="5856">
      <c r="A5856" s="215" t="n">
        <v>44910</v>
      </c>
      <c r="B5856" s="216" t="n">
        <v>25.8</v>
      </c>
      <c r="C5856" s="216" t="n"/>
      <c r="D5856" s="216" t="n"/>
      <c r="E5856" s="215" t="n"/>
      <c r="F5856" s="215" t="n"/>
    </row>
    <row r="5857">
      <c r="A5857" s="215" t="n">
        <v>44911</v>
      </c>
      <c r="B5857" s="216" t="n">
        <v>25.6</v>
      </c>
      <c r="C5857" s="216" t="n"/>
      <c r="D5857" s="216" t="n"/>
      <c r="E5857" s="215" t="n"/>
      <c r="F5857" s="215" t="n"/>
    </row>
    <row r="5858">
      <c r="A5858" s="215" t="n">
        <v>44914</v>
      </c>
      <c r="B5858" s="216" t="n">
        <v>25.7</v>
      </c>
      <c r="C5858" s="216" t="n"/>
      <c r="D5858" s="216" t="n"/>
      <c r="E5858" s="215" t="n"/>
      <c r="F5858" s="215" t="n"/>
    </row>
    <row r="5859">
      <c r="A5859" s="215" t="n">
        <v>44915</v>
      </c>
      <c r="B5859" s="216" t="n">
        <v>25.75</v>
      </c>
      <c r="C5859" s="216" t="n"/>
      <c r="D5859" s="216" t="n"/>
      <c r="E5859" s="215" t="n"/>
      <c r="F5859" s="215" t="n"/>
    </row>
    <row r="5860">
      <c r="A5860" s="215" t="n">
        <v>44916</v>
      </c>
      <c r="B5860" s="216" t="n">
        <v>25.75</v>
      </c>
      <c r="C5860" s="216" t="n"/>
      <c r="D5860" s="216" t="n"/>
      <c r="E5860" s="215" t="n"/>
      <c r="F5860" s="215" t="n"/>
    </row>
    <row r="5861">
      <c r="A5861" s="215" t="n">
        <v>44917</v>
      </c>
      <c r="B5861" s="216" t="n">
        <v>25.6</v>
      </c>
      <c r="C5861" s="216" t="n"/>
      <c r="D5861" s="216" t="n"/>
      <c r="E5861" s="215" t="n"/>
      <c r="F5861" s="215" t="n"/>
    </row>
    <row r="5862">
      <c r="A5862" s="215" t="n">
        <v>44918</v>
      </c>
      <c r="B5862" s="216" t="n">
        <v>25.55</v>
      </c>
      <c r="C5862" s="216" t="n"/>
      <c r="D5862" s="216" t="n"/>
      <c r="E5862" s="215" t="n"/>
      <c r="F5862" s="215" t="n"/>
    </row>
    <row r="5863">
      <c r="A5863" s="215" t="n">
        <v>44923</v>
      </c>
      <c r="B5863" s="216" t="n">
        <v>25.4</v>
      </c>
      <c r="C5863" s="216" t="n"/>
      <c r="D5863" s="216" t="n"/>
      <c r="E5863" s="215" t="n"/>
      <c r="F5863" s="215" t="n"/>
    </row>
    <row r="5864">
      <c r="A5864" s="215" t="n">
        <v>44924</v>
      </c>
      <c r="B5864" s="216" t="n">
        <v>25.75</v>
      </c>
      <c r="C5864" s="216" t="n"/>
      <c r="D5864" s="216" t="n"/>
      <c r="E5864" s="215" t="n"/>
      <c r="F5864" s="215" t="n"/>
    </row>
    <row r="5865">
      <c r="A5865" s="215" t="n">
        <v>44925</v>
      </c>
      <c r="B5865" s="216" t="n">
        <v>25.65</v>
      </c>
      <c r="C5865" s="216" t="n"/>
      <c r="D5865" s="216" t="n"/>
      <c r="E5865" s="215" t="n"/>
      <c r="F5865" s="215" t="n"/>
    </row>
    <row r="5866">
      <c r="A5866" s="215" t="n">
        <v>44929</v>
      </c>
      <c r="B5866" s="216" t="n">
        <v>25.45</v>
      </c>
      <c r="C5866" s="216" t="n"/>
      <c r="D5866" s="216" t="n"/>
      <c r="E5866" s="215" t="n"/>
      <c r="F5866" s="215" t="n"/>
    </row>
    <row r="5867">
      <c r="A5867" s="215" t="n">
        <v>44930</v>
      </c>
      <c r="B5867" s="216" t="n">
        <v>25.55</v>
      </c>
      <c r="C5867" s="216" t="n"/>
      <c r="D5867" s="216" t="n"/>
      <c r="E5867" s="215" t="n"/>
      <c r="F5867" s="215" t="n"/>
    </row>
    <row r="5868">
      <c r="A5868" s="215" t="n">
        <v>44931</v>
      </c>
      <c r="B5868" s="216" t="n">
        <v>25.5</v>
      </c>
      <c r="C5868" s="216" t="n"/>
      <c r="D5868" s="216" t="n"/>
      <c r="E5868" s="215" t="n"/>
      <c r="F5868" s="215" t="n"/>
    </row>
    <row r="5869">
      <c r="A5869" s="215" t="n">
        <v>44932</v>
      </c>
      <c r="B5869" s="216" t="n">
        <v>25.45</v>
      </c>
      <c r="C5869" s="216" t="n"/>
      <c r="D5869" s="216" t="n"/>
      <c r="E5869" s="215" t="n"/>
      <c r="F5869" s="215" t="n"/>
    </row>
    <row r="5870">
      <c r="A5870" s="215" t="n">
        <v>44935</v>
      </c>
      <c r="B5870" s="216" t="n">
        <v>25.65</v>
      </c>
      <c r="C5870" s="216" t="n"/>
      <c r="D5870" s="216" t="n"/>
      <c r="E5870" s="215" t="n"/>
      <c r="F5870" s="215" t="n"/>
    </row>
    <row r="5871">
      <c r="A5871" s="215" t="n">
        <v>44936</v>
      </c>
      <c r="B5871" s="216" t="n">
        <v>25.5</v>
      </c>
      <c r="C5871" s="216" t="n"/>
      <c r="D5871" s="216" t="n"/>
      <c r="E5871" s="215" t="n"/>
      <c r="F5871" s="215" t="n"/>
    </row>
    <row r="5872">
      <c r="A5872" s="215" t="n">
        <v>44937</v>
      </c>
      <c r="B5872" s="216" t="n">
        <v>25.45</v>
      </c>
      <c r="C5872" s="216" t="n"/>
      <c r="D5872" s="216" t="n"/>
      <c r="E5872" s="215" t="n"/>
      <c r="F5872" s="215" t="n"/>
    </row>
    <row r="5873">
      <c r="A5873" s="215" t="n">
        <v>44938</v>
      </c>
      <c r="B5873" s="216" t="n">
        <v>25.7</v>
      </c>
      <c r="C5873" s="216" t="n"/>
      <c r="D5873" s="216" t="n"/>
      <c r="E5873" s="215" t="n"/>
      <c r="F5873" s="215" t="n"/>
    </row>
    <row r="5874">
      <c r="A5874" s="215" t="n">
        <v>44939</v>
      </c>
      <c r="B5874" s="216" t="n">
        <v>25.75</v>
      </c>
      <c r="C5874" s="216" t="n"/>
      <c r="D5874" s="216" t="n"/>
      <c r="E5874" s="215" t="n"/>
      <c r="F5874" s="215" t="n"/>
    </row>
    <row r="5875">
      <c r="A5875" s="215" t="n">
        <v>44942</v>
      </c>
      <c r="B5875" s="216" t="n">
        <v>25.7</v>
      </c>
      <c r="C5875" s="216" t="n"/>
      <c r="D5875" s="216" t="n"/>
      <c r="E5875" s="215" t="n"/>
      <c r="F5875" s="215" t="n"/>
    </row>
    <row r="5876">
      <c r="A5876" s="215" t="n">
        <v>44943</v>
      </c>
      <c r="B5876" s="216" t="n">
        <v>25.55</v>
      </c>
      <c r="C5876" s="216" t="n"/>
      <c r="D5876" s="216" t="n"/>
      <c r="E5876" s="215" t="n"/>
      <c r="F5876" s="215" t="n"/>
    </row>
    <row r="5877">
      <c r="A5877" s="215" t="n">
        <v>44944</v>
      </c>
      <c r="B5877" s="216" t="n">
        <v>25.45</v>
      </c>
      <c r="C5877" s="216" t="n"/>
      <c r="D5877" s="216" t="n"/>
      <c r="E5877" s="215" t="n"/>
      <c r="F5877" s="215" t="n"/>
    </row>
    <row r="5878">
      <c r="A5878" s="215" t="n">
        <v>44945</v>
      </c>
      <c r="B5878" s="216" t="n">
        <v>25.4</v>
      </c>
      <c r="C5878" s="216" t="n"/>
      <c r="D5878" s="216" t="n"/>
      <c r="E5878" s="215" t="n"/>
      <c r="F5878" s="215" t="n"/>
    </row>
    <row r="5879">
      <c r="A5879" s="215" t="n">
        <v>44946</v>
      </c>
      <c r="B5879" s="216" t="n">
        <v>25.6</v>
      </c>
      <c r="C5879" s="216" t="n"/>
      <c r="D5879" s="216" t="n"/>
      <c r="E5879" s="215" t="n"/>
      <c r="F5879" s="215" t="n"/>
    </row>
    <row r="5880">
      <c r="A5880" s="215" t="n">
        <v>44952</v>
      </c>
      <c r="B5880" s="216" t="n">
        <v>25.65</v>
      </c>
      <c r="C5880" s="216" t="n"/>
      <c r="D5880" s="216" t="n"/>
      <c r="E5880" s="215" t="n"/>
      <c r="F5880" s="215" t="n"/>
    </row>
    <row r="5881">
      <c r="A5881" s="215" t="n">
        <v>44953</v>
      </c>
      <c r="B5881" s="216" t="n">
        <v>25.55</v>
      </c>
      <c r="C5881" s="216" t="n"/>
      <c r="D5881" s="216" t="n"/>
      <c r="E5881" s="215" t="n"/>
      <c r="F5881" s="215" t="n"/>
    </row>
    <row r="5882">
      <c r="A5882" s="215" t="n">
        <v>44956</v>
      </c>
      <c r="B5882" s="216" t="n">
        <v>25.5</v>
      </c>
      <c r="C5882" s="216" t="n"/>
      <c r="D5882" s="216" t="n"/>
      <c r="E5882" s="215" t="n"/>
      <c r="F5882" s="215" t="n"/>
    </row>
    <row r="5883">
      <c r="A5883" s="215" t="n">
        <v>44957</v>
      </c>
      <c r="B5883" s="216" t="n">
        <v>25.35</v>
      </c>
      <c r="C5883" s="216" t="n"/>
      <c r="D5883" s="216" t="n"/>
      <c r="E5883" s="215" t="n"/>
      <c r="F5883" s="215" t="n"/>
    </row>
    <row r="5884">
      <c r="A5884" s="215" t="n">
        <v>44958</v>
      </c>
      <c r="B5884" s="216" t="n">
        <v>25.35</v>
      </c>
      <c r="C5884" s="216" t="n"/>
      <c r="D5884" s="216" t="n"/>
      <c r="E5884" s="215" t="n"/>
      <c r="F5884" s="215" t="n"/>
    </row>
    <row r="5885">
      <c r="A5885" s="215" t="n">
        <v>44959</v>
      </c>
      <c r="B5885" s="216" t="n">
        <v>26.3</v>
      </c>
      <c r="C5885" s="216" t="n"/>
      <c r="D5885" s="216" t="n"/>
      <c r="E5885" s="215" t="n"/>
      <c r="F5885" s="215" t="n"/>
    </row>
    <row r="5886">
      <c r="A5886" s="215" t="n">
        <v>44960</v>
      </c>
      <c r="B5886" s="216" t="n">
        <v>25.5</v>
      </c>
      <c r="C5886" s="216" t="n"/>
      <c r="D5886" s="216" t="n"/>
      <c r="E5886" s="215" t="n"/>
      <c r="F5886" s="215" t="n"/>
    </row>
    <row r="5887">
      <c r="A5887" s="215" t="n">
        <v>44963</v>
      </c>
      <c r="B5887" s="216" t="n">
        <v>25.45</v>
      </c>
      <c r="C5887" s="216" t="n"/>
      <c r="D5887" s="216" t="n"/>
      <c r="E5887" s="215" t="n"/>
      <c r="F5887" s="215" t="n"/>
    </row>
    <row r="5888">
      <c r="A5888" s="215" t="n">
        <v>44964</v>
      </c>
      <c r="B5888" s="216" t="n">
        <v>25.3</v>
      </c>
      <c r="C5888" s="216" t="n"/>
      <c r="D5888" s="216" t="n"/>
      <c r="E5888" s="215" t="n"/>
      <c r="F5888" s="215" t="n"/>
    </row>
    <row r="5889">
      <c r="A5889" s="215" t="n">
        <v>44965</v>
      </c>
      <c r="B5889" s="216" t="n">
        <v>25.35</v>
      </c>
      <c r="C5889" s="216" t="n"/>
      <c r="D5889" s="216" t="n"/>
      <c r="E5889" s="215" t="n"/>
      <c r="F5889" s="215" t="n"/>
    </row>
    <row r="5890">
      <c r="A5890" s="215" t="n">
        <v>44966</v>
      </c>
      <c r="B5890" s="216" t="n">
        <v>25.45</v>
      </c>
      <c r="C5890" s="216" t="n"/>
      <c r="D5890" s="216" t="n"/>
      <c r="E5890" s="215" t="n"/>
      <c r="F5890" s="215" t="n"/>
    </row>
    <row r="5891">
      <c r="A5891" s="215" t="n">
        <v>44967</v>
      </c>
      <c r="B5891" s="216" t="n">
        <v>25.3</v>
      </c>
      <c r="C5891" s="216" t="n"/>
      <c r="D5891" s="216" t="n"/>
      <c r="E5891" s="215" t="n"/>
      <c r="F5891" s="215" t="n"/>
    </row>
    <row r="5892">
      <c r="A5892" s="215" t="n">
        <v>44970</v>
      </c>
      <c r="B5892" s="216" t="n">
        <v>25.45</v>
      </c>
      <c r="C5892" s="216" t="n"/>
      <c r="D5892" s="216" t="n"/>
      <c r="E5892" s="215" t="n"/>
      <c r="F5892" s="215" t="n"/>
    </row>
    <row r="5893">
      <c r="A5893" s="215" t="n">
        <v>44971</v>
      </c>
      <c r="B5893" s="216" t="n">
        <v>25.2</v>
      </c>
      <c r="C5893" s="216" t="n"/>
      <c r="D5893" s="216" t="n"/>
      <c r="E5893" s="215" t="n"/>
      <c r="F5893" s="215" t="n"/>
    </row>
    <row r="5894">
      <c r="A5894" s="215" t="n">
        <v>44972</v>
      </c>
      <c r="B5894" s="216" t="n">
        <v>25.1</v>
      </c>
      <c r="C5894" s="216" t="n"/>
      <c r="D5894" s="216" t="n"/>
      <c r="E5894" s="215" t="n"/>
      <c r="F5894" s="215" t="n"/>
    </row>
    <row r="5895">
      <c r="A5895" s="215" t="n">
        <v>44973</v>
      </c>
      <c r="B5895" s="216" t="n">
        <v>25</v>
      </c>
      <c r="C5895" s="216" t="n"/>
      <c r="D5895" s="216" t="n"/>
      <c r="E5895" s="215" t="n"/>
      <c r="F5895" s="215" t="n"/>
    </row>
    <row r="5896">
      <c r="A5896" s="215" t="n">
        <v>44974</v>
      </c>
      <c r="B5896" s="216" t="n">
        <v>25.15</v>
      </c>
      <c r="C5896" s="216" t="n"/>
      <c r="D5896" s="216" t="n"/>
      <c r="E5896" s="215" t="n"/>
      <c r="F5896" s="215" t="n"/>
    </row>
    <row r="5897">
      <c r="A5897" s="215" t="n">
        <v>44977</v>
      </c>
      <c r="B5897" s="216" t="n">
        <v>25.45</v>
      </c>
      <c r="C5897" s="216" t="n"/>
      <c r="D5897" s="216" t="n"/>
      <c r="E5897" s="215" t="n"/>
      <c r="F5897" s="215" t="n"/>
    </row>
    <row r="5898">
      <c r="A5898" s="215" t="n">
        <v>44978</v>
      </c>
      <c r="B5898" s="216" t="n">
        <v>25.5</v>
      </c>
      <c r="C5898" s="216" t="n"/>
      <c r="D5898" s="216" t="n"/>
      <c r="E5898" s="215" t="n"/>
      <c r="F5898" s="215" t="n"/>
    </row>
    <row r="5899">
      <c r="A5899" s="215" t="n">
        <v>44979</v>
      </c>
      <c r="B5899" s="216" t="n">
        <v>25.25</v>
      </c>
      <c r="C5899" s="216" t="n"/>
      <c r="D5899" s="216" t="n"/>
      <c r="E5899" s="215" t="n"/>
      <c r="F5899" s="215" t="n"/>
    </row>
    <row r="5900">
      <c r="A5900" s="215" t="n">
        <v>44980</v>
      </c>
      <c r="B5900" s="216" t="n">
        <v>25.35</v>
      </c>
      <c r="C5900" s="216" t="n"/>
      <c r="D5900" s="216" t="n"/>
      <c r="E5900" s="215" t="n"/>
      <c r="F5900" s="215" t="n"/>
    </row>
    <row r="5901">
      <c r="A5901" s="215" t="n">
        <v>44981</v>
      </c>
      <c r="B5901" s="216" t="n">
        <v>25.3</v>
      </c>
      <c r="C5901" s="216" t="n"/>
      <c r="D5901" s="216" t="n"/>
      <c r="E5901" s="215" t="n"/>
      <c r="F5901" s="215" t="n"/>
    </row>
    <row r="5902">
      <c r="A5902" s="215" t="n">
        <v>44984</v>
      </c>
      <c r="B5902" s="216" t="n">
        <v>25.2</v>
      </c>
      <c r="C5902" s="216" t="n"/>
      <c r="D5902" s="216" t="n"/>
      <c r="E5902" s="215" t="n"/>
      <c r="F5902" s="215" t="n"/>
    </row>
    <row r="5903">
      <c r="A5903" s="215" t="n">
        <v>44985</v>
      </c>
      <c r="B5903" s="216" t="n">
        <v>25.85</v>
      </c>
      <c r="C5903" s="216" t="n"/>
      <c r="D5903" s="216" t="n"/>
      <c r="E5903" s="215" t="n"/>
      <c r="F5903" s="215" t="n"/>
    </row>
    <row r="5904">
      <c r="A5904" s="215" t="n">
        <v>44986</v>
      </c>
      <c r="B5904" s="216" t="n">
        <v>26.55</v>
      </c>
      <c r="C5904" s="216" t="n"/>
      <c r="D5904" s="216" t="n"/>
      <c r="E5904" s="215" t="n"/>
      <c r="F5904" s="215" t="n"/>
    </row>
    <row r="5905">
      <c r="A5905" s="215" t="n">
        <v>44987</v>
      </c>
      <c r="B5905" s="216" t="n">
        <v>27.1</v>
      </c>
      <c r="C5905" s="216" t="n"/>
      <c r="D5905" s="216" t="n"/>
      <c r="E5905" s="215" t="n"/>
      <c r="F5905" s="215" t="n"/>
    </row>
    <row r="5906">
      <c r="A5906" s="215" t="n">
        <v>44988</v>
      </c>
      <c r="B5906" s="216" t="n">
        <v>26.75</v>
      </c>
      <c r="C5906" s="216" t="n"/>
      <c r="D5906" s="216" t="n"/>
      <c r="E5906" s="215" t="n"/>
      <c r="F5906" s="215" t="n"/>
    </row>
    <row r="5907">
      <c r="A5907" s="215" t="n">
        <v>44991</v>
      </c>
      <c r="B5907" s="216" t="n">
        <v>25.3</v>
      </c>
      <c r="C5907" s="216" t="n"/>
      <c r="D5907" s="216" t="n"/>
      <c r="E5907" s="215" t="n"/>
      <c r="F5907" s="215" t="n"/>
    </row>
    <row r="5908">
      <c r="A5908" s="215" t="n">
        <v>44992</v>
      </c>
      <c r="B5908" s="216" t="n">
        <v>25</v>
      </c>
      <c r="C5908" s="216" t="n"/>
      <c r="D5908" s="216" t="n"/>
      <c r="E5908" s="215" t="n"/>
      <c r="F5908" s="215" t="n"/>
    </row>
    <row r="5909">
      <c r="A5909" s="215" t="n">
        <v>44993</v>
      </c>
      <c r="B5909" s="216" t="n">
        <v>25.05</v>
      </c>
      <c r="C5909" s="216" t="n"/>
      <c r="D5909" s="216" t="n"/>
      <c r="E5909" s="215" t="n"/>
      <c r="F5909" s="215" t="n"/>
    </row>
    <row r="5910">
      <c r="A5910" s="215" t="n">
        <v>44994</v>
      </c>
      <c r="B5910" s="216" t="n">
        <v>25</v>
      </c>
      <c r="C5910" s="216" t="n"/>
      <c r="D5910" s="216" t="n"/>
      <c r="E5910" s="215" t="n"/>
      <c r="F5910" s="215" t="n"/>
    </row>
    <row r="5911">
      <c r="A5911" s="215" t="n">
        <v>44995</v>
      </c>
      <c r="B5911" s="216" t="n">
        <v>24.95</v>
      </c>
      <c r="C5911" s="216" t="n"/>
      <c r="D5911" s="216" t="n"/>
      <c r="E5911" s="215" t="n"/>
      <c r="F5911" s="215" t="n"/>
    </row>
    <row r="5912">
      <c r="A5912" s="215" t="n">
        <v>44998</v>
      </c>
      <c r="B5912" s="216" t="n">
        <v>25</v>
      </c>
      <c r="C5912" s="216" t="n"/>
      <c r="D5912" s="216" t="n"/>
      <c r="E5912" s="215" t="n"/>
      <c r="F5912" s="215" t="n"/>
    </row>
    <row r="5913">
      <c r="A5913" s="215" t="n">
        <v>44999</v>
      </c>
      <c r="B5913" s="216" t="n">
        <v>24.95</v>
      </c>
      <c r="C5913" s="216" t="n"/>
      <c r="D5913" s="216" t="n"/>
      <c r="E5913" s="215" t="n"/>
      <c r="F5913" s="215" t="n"/>
    </row>
    <row r="5914">
      <c r="A5914" s="215" t="n">
        <v>45000</v>
      </c>
      <c r="B5914" s="216" t="n">
        <v>24.95</v>
      </c>
      <c r="C5914" s="216" t="n"/>
      <c r="D5914" s="216" t="n"/>
      <c r="E5914" s="215" t="n"/>
      <c r="F5914" s="215" t="n"/>
    </row>
    <row r="5915">
      <c r="A5915" s="215" t="n">
        <v>45001</v>
      </c>
      <c r="B5915" s="216" t="n">
        <v>24.85</v>
      </c>
      <c r="C5915" s="216" t="n"/>
      <c r="D5915" s="216" t="n"/>
      <c r="E5915" s="215" t="n"/>
      <c r="F5915" s="215" t="n"/>
    </row>
    <row r="5916">
      <c r="A5916" s="215" t="n">
        <v>45002</v>
      </c>
      <c r="B5916" s="216" t="n">
        <v>24.8</v>
      </c>
      <c r="C5916" s="216" t="n"/>
      <c r="D5916" s="216" t="n"/>
      <c r="E5916" s="215" t="n"/>
      <c r="F5916" s="215" t="n"/>
    </row>
    <row r="5917">
      <c r="A5917" s="215" t="n">
        <v>45005</v>
      </c>
      <c r="B5917" s="216" t="n">
        <v>24.85</v>
      </c>
      <c r="C5917" s="216" t="n"/>
      <c r="D5917" s="216" t="n"/>
      <c r="E5917" s="215" t="n"/>
      <c r="F5917" s="215" t="n"/>
    </row>
    <row r="5918">
      <c r="A5918" s="215" t="n">
        <v>45006</v>
      </c>
      <c r="B5918" s="216" t="n">
        <v>25.35</v>
      </c>
      <c r="C5918" s="216" t="n"/>
      <c r="D5918" s="216" t="n"/>
      <c r="E5918" s="215" t="n"/>
      <c r="F5918" s="215" t="n"/>
    </row>
    <row r="5919">
      <c r="A5919" s="215" t="n">
        <v>45007</v>
      </c>
      <c r="B5919" s="216" t="n">
        <v>25.15</v>
      </c>
      <c r="C5919" s="216" t="n"/>
      <c r="D5919" s="216" t="n"/>
      <c r="E5919" s="215" t="n"/>
      <c r="F5919" s="215" t="n"/>
    </row>
    <row r="5920">
      <c r="A5920" s="215" t="n">
        <v>45008</v>
      </c>
      <c r="B5920" s="216" t="n">
        <v>25.2</v>
      </c>
      <c r="C5920" s="216" t="n"/>
      <c r="D5920" s="216" t="n"/>
      <c r="E5920" s="215" t="n"/>
      <c r="F5920" s="215" t="n"/>
    </row>
    <row r="5921">
      <c r="A5921" s="215" t="n">
        <v>45009</v>
      </c>
      <c r="B5921" s="216" t="n">
        <v>25.2</v>
      </c>
      <c r="C5921" s="216" t="n"/>
      <c r="D5921" s="216" t="n"/>
      <c r="E5921" s="215" t="n"/>
      <c r="F5921" s="215" t="n"/>
    </row>
    <row r="5922">
      <c r="A5922" s="215" t="n">
        <v>45012</v>
      </c>
      <c r="B5922" s="216" t="n">
        <v>25.2</v>
      </c>
      <c r="C5922" s="216" t="n"/>
      <c r="D5922" s="216" t="n"/>
      <c r="E5922" s="215" t="n"/>
      <c r="F5922" s="215" t="n"/>
    </row>
    <row r="5923">
      <c r="A5923" s="215" t="n">
        <v>45013</v>
      </c>
      <c r="B5923" s="216" t="n">
        <v>24.95</v>
      </c>
      <c r="C5923" s="216" t="n"/>
      <c r="D5923" s="216" t="n"/>
      <c r="E5923" s="215" t="n"/>
      <c r="F5923" s="215" t="n"/>
    </row>
    <row r="5924">
      <c r="A5924" s="215" t="n">
        <v>45014</v>
      </c>
      <c r="B5924" s="216" t="n">
        <v>24.75</v>
      </c>
      <c r="C5924" s="216" t="n"/>
      <c r="D5924" s="216" t="n"/>
      <c r="E5924" s="215" t="n"/>
      <c r="F5924" s="215" t="n"/>
    </row>
    <row r="5925">
      <c r="A5925" s="215" t="n">
        <v>45015</v>
      </c>
      <c r="B5925" s="216" t="n">
        <v>25</v>
      </c>
      <c r="C5925" s="216" t="n"/>
      <c r="D5925" s="216" t="n"/>
      <c r="E5925" s="215" t="n"/>
      <c r="F5925" s="215" t="n"/>
    </row>
    <row r="5926">
      <c r="A5926" s="215" t="n">
        <v>45016</v>
      </c>
      <c r="B5926" s="216" t="n">
        <v>24.95</v>
      </c>
      <c r="C5926" s="216" t="n"/>
      <c r="D5926" s="216" t="n"/>
      <c r="E5926" s="215" t="n"/>
      <c r="F5926" s="215" t="n"/>
    </row>
    <row r="5927">
      <c r="A5927" s="215" t="n">
        <v>45019</v>
      </c>
      <c r="B5927" s="216" t="n">
        <v>24.95</v>
      </c>
      <c r="C5927" s="216" t="n"/>
      <c r="D5927" s="216" t="n"/>
      <c r="E5927" s="215" t="n"/>
      <c r="F5927" s="215" t="n"/>
    </row>
    <row r="5928">
      <c r="A5928" s="215" t="n">
        <v>45020</v>
      </c>
      <c r="B5928" s="216" t="n">
        <v>25</v>
      </c>
      <c r="C5928" s="216" t="n"/>
      <c r="D5928" s="216" t="n"/>
      <c r="E5928" s="215" t="n"/>
      <c r="F5928" s="215" t="n"/>
    </row>
    <row r="5929">
      <c r="A5929" s="215" t="n">
        <v>45022</v>
      </c>
      <c r="B5929" s="216" t="n">
        <v>25.15</v>
      </c>
      <c r="C5929" s="216" t="n"/>
      <c r="D5929" s="216" t="n"/>
      <c r="E5929" s="215" t="n"/>
      <c r="F5929" s="215" t="n"/>
    </row>
    <row r="5930">
      <c r="A5930" s="215" t="n">
        <v>45027</v>
      </c>
      <c r="B5930" s="216" t="n">
        <v>25</v>
      </c>
      <c r="C5930" s="216" t="n"/>
      <c r="D5930" s="216" t="n"/>
      <c r="E5930" s="215" t="n"/>
      <c r="F5930" s="215" t="n"/>
    </row>
    <row r="5931">
      <c r="A5931" s="215" t="n">
        <v>45028</v>
      </c>
      <c r="B5931" s="216" t="n">
        <v>25</v>
      </c>
      <c r="C5931" s="216" t="n"/>
      <c r="D5931" s="216" t="n"/>
      <c r="E5931" s="215" t="n"/>
      <c r="F5931" s="215" t="n"/>
    </row>
    <row r="5932">
      <c r="A5932" s="215" t="n">
        <v>45029</v>
      </c>
      <c r="B5932" s="216" t="n">
        <v>25.5</v>
      </c>
      <c r="C5932" s="216" t="n"/>
      <c r="D5932" s="216" t="n"/>
      <c r="E5932" s="215" t="n"/>
      <c r="F5932" s="215" t="n"/>
    </row>
    <row r="5933">
      <c r="A5933" s="215" t="n">
        <v>45030</v>
      </c>
      <c r="B5933" s="216" t="n">
        <v>25.35</v>
      </c>
      <c r="C5933" s="216" t="n"/>
      <c r="D5933" s="216" t="n"/>
      <c r="E5933" s="215" t="n"/>
      <c r="F5933" s="215" t="n"/>
    </row>
    <row r="5934">
      <c r="A5934" s="215" t="n">
        <v>45033</v>
      </c>
      <c r="B5934" s="216" t="n">
        <v>25.05</v>
      </c>
      <c r="C5934" s="216" t="n"/>
      <c r="D5934" s="216" t="n"/>
      <c r="E5934" s="215" t="n"/>
      <c r="F5934" s="215" t="n"/>
    </row>
    <row r="5935">
      <c r="A5935" s="215" t="n">
        <v>45034</v>
      </c>
      <c r="B5935" s="216" t="n">
        <v>25.15</v>
      </c>
      <c r="C5935" s="216" t="n"/>
      <c r="D5935" s="216" t="n"/>
      <c r="E5935" s="215" t="n"/>
      <c r="F5935" s="215" t="n"/>
    </row>
    <row r="5936">
      <c r="A5936" s="215" t="n">
        <v>45035</v>
      </c>
      <c r="B5936" s="216" t="n">
        <v>24.65</v>
      </c>
      <c r="C5936" s="216" t="n"/>
      <c r="D5936" s="216" t="n"/>
      <c r="E5936" s="215" t="n"/>
      <c r="F5936" s="215" t="n"/>
    </row>
    <row r="5937">
      <c r="A5937" s="215" t="n">
        <v>45036</v>
      </c>
      <c r="B5937" s="216" t="n">
        <v>24.75</v>
      </c>
      <c r="C5937" s="216" t="n"/>
      <c r="D5937" s="216" t="n"/>
      <c r="E5937" s="215" t="n"/>
      <c r="F5937" s="215" t="n"/>
    </row>
    <row r="5938">
      <c r="A5938" s="215" t="n">
        <v>45037</v>
      </c>
      <c r="B5938" s="216" t="n">
        <v>25</v>
      </c>
      <c r="C5938" s="216" t="n"/>
      <c r="D5938" s="216" t="n"/>
      <c r="E5938" s="215" t="n"/>
      <c r="F5938" s="215" t="n"/>
    </row>
    <row r="5939">
      <c r="A5939" s="215" t="n">
        <v>45040</v>
      </c>
      <c r="B5939" s="216" t="n">
        <v>24.9</v>
      </c>
      <c r="C5939" s="216" t="n"/>
      <c r="D5939" s="216" t="n"/>
      <c r="E5939" s="215" t="n"/>
      <c r="F5939" s="215" t="n"/>
    </row>
    <row r="5940">
      <c r="A5940" s="215" t="n">
        <v>45041</v>
      </c>
      <c r="B5940" s="216" t="n">
        <v>24.7</v>
      </c>
      <c r="C5940" s="216" t="n"/>
      <c r="D5940" s="216" t="n"/>
      <c r="E5940" s="215" t="n"/>
      <c r="F5940" s="215" t="n"/>
    </row>
    <row r="5941">
      <c r="A5941" s="215" t="n">
        <v>45042</v>
      </c>
      <c r="B5941" s="216" t="n">
        <v>24.1</v>
      </c>
      <c r="C5941" s="216" t="n"/>
      <c r="D5941" s="216" t="n"/>
      <c r="E5941" s="215" t="n"/>
      <c r="F5941" s="215" t="n"/>
    </row>
    <row r="5942">
      <c r="A5942" s="215" t="n">
        <v>45043</v>
      </c>
      <c r="B5942" s="216" t="n">
        <v>24.4</v>
      </c>
      <c r="C5942" s="216" t="n"/>
      <c r="D5942" s="216" t="n"/>
      <c r="E5942" s="215" t="n"/>
      <c r="F5942" s="215" t="n"/>
    </row>
    <row r="5943">
      <c r="A5943" s="215" t="n">
        <v>45044</v>
      </c>
      <c r="B5943" s="216" t="n">
        <v>24.85</v>
      </c>
      <c r="C5943" s="216" t="n"/>
      <c r="D5943" s="216" t="n"/>
      <c r="E5943" s="215" t="n"/>
      <c r="F5943" s="215" t="n"/>
    </row>
    <row r="5944">
      <c r="A5944" s="215" t="n">
        <v>45048</v>
      </c>
      <c r="B5944" s="216" t="n">
        <v>24.9</v>
      </c>
      <c r="C5944" s="216" t="n"/>
      <c r="D5944" s="216" t="n"/>
      <c r="E5944" s="215" t="n"/>
      <c r="F5944" s="215" t="n"/>
    </row>
    <row r="5945">
      <c r="A5945" s="215" t="n">
        <v>45049</v>
      </c>
      <c r="B5945" s="216" t="n">
        <v>24.6</v>
      </c>
      <c r="C5945" s="216" t="n"/>
      <c r="D5945" s="216" t="n"/>
      <c r="E5945" s="215" t="n"/>
      <c r="F5945" s="215" t="n"/>
    </row>
    <row r="5946">
      <c r="A5946" s="215" t="n">
        <v>45050</v>
      </c>
      <c r="B5946" s="216" t="n">
        <v>24.8</v>
      </c>
      <c r="C5946" s="216" t="n"/>
      <c r="D5946" s="216" t="n"/>
      <c r="E5946" s="215" t="n"/>
      <c r="F5946" s="215" t="n"/>
    </row>
    <row r="5947">
      <c r="A5947" s="215" t="n">
        <v>45051</v>
      </c>
      <c r="B5947" s="216" t="n">
        <v>24.9</v>
      </c>
      <c r="C5947" s="216" t="n"/>
      <c r="D5947" s="216" t="n"/>
      <c r="E5947" s="215" t="n"/>
      <c r="F5947" s="215" t="n"/>
    </row>
    <row r="5948">
      <c r="A5948" s="215" t="n">
        <v>45054</v>
      </c>
      <c r="B5948" s="216" t="n">
        <v>24.95</v>
      </c>
      <c r="C5948" s="216" t="n"/>
      <c r="D5948" s="216" t="n"/>
      <c r="E5948" s="215" t="n"/>
      <c r="F5948" s="215" t="n"/>
    </row>
    <row r="5949">
      <c r="A5949" s="215" t="n">
        <v>45055</v>
      </c>
      <c r="B5949" s="216" t="n">
        <v>24.8</v>
      </c>
      <c r="C5949" s="216" t="n"/>
      <c r="D5949" s="216" t="n"/>
      <c r="E5949" s="215" t="n"/>
      <c r="F5949" s="215" t="n"/>
    </row>
    <row r="5950">
      <c r="A5950" s="215" t="n">
        <v>45056</v>
      </c>
      <c r="B5950" s="216" t="n">
        <v>24.95</v>
      </c>
      <c r="C5950" s="216" t="n"/>
      <c r="D5950" s="216" t="n"/>
      <c r="E5950" s="215" t="n"/>
      <c r="F5950" s="215" t="n"/>
    </row>
    <row r="5951">
      <c r="A5951" s="215" t="n">
        <v>45057</v>
      </c>
      <c r="B5951" s="216" t="n">
        <v>24.95</v>
      </c>
      <c r="C5951" s="216" t="n"/>
      <c r="D5951" s="216" t="n"/>
      <c r="E5951" s="215" t="n"/>
      <c r="F5951" s="215" t="n"/>
    </row>
    <row r="5952">
      <c r="A5952" s="215" t="n">
        <v>45058</v>
      </c>
      <c r="B5952" s="216" t="n">
        <v>24.85</v>
      </c>
      <c r="C5952" s="216" t="n"/>
      <c r="D5952" s="216" t="n"/>
      <c r="E5952" s="215" t="n"/>
      <c r="F5952" s="215" t="n"/>
    </row>
    <row r="5953">
      <c r="A5953" s="215" t="n">
        <v>45061</v>
      </c>
      <c r="B5953" s="216" t="n">
        <v>24.9</v>
      </c>
      <c r="C5953" s="216" t="n"/>
      <c r="D5953" s="216" t="n"/>
      <c r="E5953" s="215" t="n"/>
      <c r="F5953" s="215" t="n"/>
    </row>
    <row r="5954">
      <c r="A5954" s="215" t="n">
        <v>45062</v>
      </c>
      <c r="B5954" s="216" t="n">
        <v>24.9</v>
      </c>
      <c r="C5954" s="216" t="n"/>
      <c r="D5954" s="216" t="n"/>
      <c r="E5954" s="215" t="n"/>
      <c r="F5954" s="215" t="n"/>
    </row>
    <row r="5955">
      <c r="A5955" s="215" t="n">
        <v>45063</v>
      </c>
      <c r="B5955" s="216" t="n">
        <v>24.7</v>
      </c>
      <c r="C5955" s="216" t="n"/>
      <c r="D5955" s="216" t="n"/>
      <c r="E5955" s="215" t="n"/>
      <c r="F5955" s="215" t="n"/>
    </row>
    <row r="5956">
      <c r="A5956" s="215" t="n">
        <v>45064</v>
      </c>
      <c r="B5956" s="216" t="n">
        <v>24.7</v>
      </c>
      <c r="C5956" s="216" t="n"/>
      <c r="D5956" s="216" t="n"/>
      <c r="E5956" s="215" t="n"/>
      <c r="F5956" s="215" t="n"/>
    </row>
    <row r="5957">
      <c r="A5957" s="215" t="n">
        <v>45065</v>
      </c>
      <c r="B5957" s="216" t="n">
        <v>24.35</v>
      </c>
      <c r="C5957" s="216" t="n"/>
      <c r="D5957" s="216" t="n"/>
      <c r="E5957" s="215" t="n"/>
      <c r="F5957" s="215" t="n"/>
    </row>
    <row r="5958">
      <c r="A5958" s="215" t="n">
        <v>45068</v>
      </c>
      <c r="B5958" s="216" t="n">
        <v>24.55</v>
      </c>
      <c r="C5958" s="216" t="n"/>
      <c r="D5958" s="216" t="n"/>
      <c r="E5958" s="215" t="n"/>
      <c r="F5958" s="215" t="n"/>
    </row>
    <row r="5959">
      <c r="A5959" s="215" t="n">
        <v>45069</v>
      </c>
      <c r="B5959" s="216" t="n">
        <v>24.6</v>
      </c>
      <c r="C5959" s="216" t="n"/>
      <c r="D5959" s="216" t="n"/>
      <c r="E5959" s="215" t="n"/>
      <c r="F5959" s="215" t="n"/>
    </row>
    <row r="5960">
      <c r="A5960" s="215" t="n">
        <v>45070</v>
      </c>
      <c r="B5960" s="216" t="n">
        <v>24.5</v>
      </c>
      <c r="C5960" s="216" t="n"/>
      <c r="D5960" s="216" t="n"/>
      <c r="E5960" s="215" t="n"/>
      <c r="F5960" s="215" t="n"/>
    </row>
    <row r="5961">
      <c r="A5961" s="215" t="n">
        <v>45071</v>
      </c>
      <c r="B5961" s="216" t="n">
        <v>24.2</v>
      </c>
      <c r="C5961" s="216" t="n"/>
      <c r="D5961" s="216" t="n"/>
      <c r="E5961" s="215" t="n"/>
      <c r="F5961" s="215" t="n"/>
    </row>
    <row r="5962">
      <c r="A5962" s="215" t="n">
        <v>45075</v>
      </c>
      <c r="B5962" s="216" t="n">
        <v>23.95</v>
      </c>
      <c r="C5962" s="216" t="n"/>
      <c r="D5962" s="216" t="n"/>
      <c r="E5962" s="215" t="n"/>
      <c r="F5962" s="215" t="n"/>
    </row>
    <row r="5963">
      <c r="A5963" s="215" t="n">
        <v>45076</v>
      </c>
      <c r="B5963" s="216" t="n">
        <v>23.3</v>
      </c>
      <c r="C5963" s="216" t="n"/>
      <c r="D5963" s="216" t="n"/>
      <c r="E5963" s="215" t="n"/>
      <c r="F5963" s="215" t="n"/>
    </row>
    <row r="5964">
      <c r="A5964" s="215" t="n">
        <v>45077</v>
      </c>
      <c r="B5964" s="216" t="n">
        <v>23.1</v>
      </c>
      <c r="C5964" s="216" t="n"/>
      <c r="D5964" s="216" t="n"/>
      <c r="E5964" s="215" t="n"/>
      <c r="F5964" s="215" t="n"/>
    </row>
    <row r="5965">
      <c r="A5965" s="215" t="n">
        <v>45078</v>
      </c>
      <c r="B5965" s="216" t="n">
        <v>23.1</v>
      </c>
      <c r="C5965" s="216" t="n"/>
      <c r="D5965" s="216" t="n"/>
      <c r="E5965" s="215" t="n"/>
      <c r="F5965" s="215" t="n"/>
    </row>
    <row r="5966">
      <c r="A5966" s="215" t="n">
        <v>45079</v>
      </c>
      <c r="B5966" s="216" t="n">
        <v>23.35</v>
      </c>
      <c r="C5966" s="216" t="n"/>
      <c r="D5966" s="216" t="n"/>
      <c r="E5966" s="215" t="n"/>
      <c r="F5966" s="215" t="n"/>
    </row>
    <row r="5967">
      <c r="A5967" s="215" t="n">
        <v>45082</v>
      </c>
      <c r="B5967" s="216" t="n">
        <v>23.85</v>
      </c>
      <c r="C5967" s="216" t="n"/>
      <c r="D5967" s="216" t="n"/>
      <c r="E5967" s="215" t="n"/>
      <c r="F5967" s="215" t="n"/>
    </row>
    <row r="5968">
      <c r="A5968" s="215" t="n">
        <v>45083</v>
      </c>
      <c r="B5968" s="216" t="n">
        <v>23.75</v>
      </c>
      <c r="C5968" s="216" t="n"/>
      <c r="D5968" s="216" t="n"/>
      <c r="E5968" s="215" t="n"/>
      <c r="F5968" s="215" t="n"/>
    </row>
    <row r="5969">
      <c r="A5969" s="215" t="n">
        <v>45084</v>
      </c>
      <c r="B5969" s="216" t="n">
        <v>23.65</v>
      </c>
      <c r="C5969" s="216" t="n"/>
      <c r="D5969" s="216" t="n"/>
      <c r="E5969" s="215" t="n"/>
      <c r="F5969" s="215" t="n"/>
    </row>
    <row r="5970">
      <c r="A5970" s="215" t="n">
        <v>45085</v>
      </c>
      <c r="B5970" s="216" t="n">
        <v>23.7</v>
      </c>
      <c r="C5970" s="216" t="n"/>
      <c r="D5970" s="216" t="n"/>
      <c r="E5970" s="215" t="n"/>
      <c r="F5970" s="215" t="n"/>
    </row>
    <row r="5971">
      <c r="A5971" s="215" t="n">
        <v>45086</v>
      </c>
      <c r="B5971" s="216" t="n">
        <v>23.6</v>
      </c>
      <c r="C5971" s="216" t="n"/>
      <c r="D5971" s="216" t="n"/>
      <c r="E5971" s="215" t="n"/>
      <c r="F5971" s="215" t="n"/>
    </row>
    <row r="5972">
      <c r="A5972" s="215" t="n">
        <v>45089</v>
      </c>
      <c r="B5972" s="216" t="n">
        <v>23.7</v>
      </c>
      <c r="C5972" s="216" t="n"/>
      <c r="D5972" s="216" t="n"/>
      <c r="E5972" s="215" t="n"/>
      <c r="F5972" s="215" t="n"/>
    </row>
    <row r="5973">
      <c r="A5973" s="215" t="n">
        <v>45090</v>
      </c>
      <c r="B5973" s="216" t="n">
        <v>23.2</v>
      </c>
      <c r="C5973" s="216" t="n"/>
      <c r="D5973" s="216" t="n"/>
      <c r="E5973" s="215" t="n"/>
      <c r="F5973" s="215" t="n"/>
    </row>
    <row r="5974">
      <c r="A5974" s="215" t="n">
        <v>45091</v>
      </c>
      <c r="B5974" s="216" t="n">
        <v>21.6</v>
      </c>
      <c r="C5974" s="216" t="n"/>
      <c r="D5974" s="216" t="n"/>
      <c r="E5974" s="215" t="n"/>
      <c r="F5974" s="215" t="n"/>
    </row>
    <row r="5975">
      <c r="A5975" s="215" t="n">
        <v>45092</v>
      </c>
      <c r="B5975" s="216" t="n">
        <v>21.3</v>
      </c>
      <c r="C5975" s="216" t="n"/>
      <c r="D5975" s="216" t="n"/>
      <c r="E5975" s="215" t="n"/>
      <c r="F5975" s="215" t="n"/>
    </row>
    <row r="5976">
      <c r="A5976" s="215" t="n">
        <v>45093</v>
      </c>
      <c r="B5976" s="216" t="n">
        <v>22</v>
      </c>
      <c r="C5976" s="216" t="n"/>
      <c r="D5976" s="216" t="n"/>
      <c r="E5976" s="215" t="n"/>
      <c r="F5976" s="215" t="n"/>
    </row>
    <row r="5977">
      <c r="A5977" s="215" t="n">
        <v>45096</v>
      </c>
      <c r="B5977" s="216" t="n">
        <v>22.2</v>
      </c>
      <c r="C5977" s="216" t="n"/>
      <c r="D5977" s="216" t="n"/>
      <c r="E5977" s="215" t="n"/>
      <c r="F5977" s="215" t="n"/>
    </row>
    <row r="5978">
      <c r="A5978" s="215" t="n">
        <v>45097</v>
      </c>
      <c r="B5978" s="216" t="n">
        <v>21.45</v>
      </c>
      <c r="C5978" s="216" t="n"/>
      <c r="D5978" s="216" t="n"/>
      <c r="E5978" s="215" t="n"/>
      <c r="F5978" s="215" t="n"/>
    </row>
    <row r="5979">
      <c r="A5979" s="215" t="n">
        <v>45098</v>
      </c>
      <c r="B5979" s="216" t="n">
        <v>21.45</v>
      </c>
      <c r="C5979" s="216" t="n"/>
      <c r="D5979" s="216" t="n"/>
      <c r="E5979" s="215" t="n"/>
      <c r="F5979" s="215" t="n"/>
    </row>
    <row r="5980">
      <c r="A5980" s="215" t="n">
        <v>45100</v>
      </c>
      <c r="B5980" s="216" t="n">
        <v>20.8</v>
      </c>
      <c r="C5980" s="216" t="n"/>
      <c r="D5980" s="216" t="n"/>
      <c r="E5980" s="215" t="n"/>
      <c r="F5980" s="215" t="n"/>
    </row>
    <row r="5981">
      <c r="A5981" s="215" t="n">
        <v>45103</v>
      </c>
      <c r="B5981" s="216" t="n">
        <v>20.4</v>
      </c>
      <c r="C5981" s="216" t="n"/>
      <c r="D5981" s="216" t="n"/>
      <c r="E5981" s="215" t="n"/>
      <c r="F5981" s="215" t="n"/>
    </row>
    <row r="5982">
      <c r="A5982" s="215" t="n">
        <v>45104</v>
      </c>
      <c r="B5982" s="216" t="n">
        <v>21.5</v>
      </c>
      <c r="C5982" s="216" t="n"/>
      <c r="D5982" s="216" t="n"/>
      <c r="E5982" s="215" t="n"/>
      <c r="F5982" s="215" t="n"/>
    </row>
    <row r="5983">
      <c r="A5983" s="215" t="n">
        <v>45105</v>
      </c>
      <c r="B5983" s="216" t="n">
        <v>20.5</v>
      </c>
      <c r="C5983" s="216" t="n"/>
      <c r="D5983" s="216" t="n"/>
      <c r="E5983" s="215" t="n"/>
      <c r="F5983" s="215" t="n"/>
    </row>
    <row r="5984">
      <c r="A5984" s="215" t="n">
        <v>45106</v>
      </c>
      <c r="B5984" s="216" t="n">
        <v>20</v>
      </c>
      <c r="C5984" s="216" t="n"/>
      <c r="D5984" s="216" t="n"/>
      <c r="E5984" s="215" t="n"/>
      <c r="F5984" s="215" t="n"/>
    </row>
    <row r="5985">
      <c r="A5985" s="215" t="n">
        <v>45107</v>
      </c>
      <c r="B5985" s="216" t="n">
        <v>21</v>
      </c>
      <c r="C5985" s="216" t="n"/>
      <c r="D5985" s="216" t="n"/>
      <c r="E5985" s="215" t="n"/>
      <c r="F5985" s="215" t="n"/>
    </row>
    <row r="5986">
      <c r="A5986" s="215" t="n">
        <v>45110</v>
      </c>
      <c r="B5986" s="216" t="n">
        <v>20.4</v>
      </c>
      <c r="C5986" s="216" t="n"/>
      <c r="D5986" s="216" t="n"/>
      <c r="E5986" s="215" t="n"/>
      <c r="F5986" s="215" t="n"/>
    </row>
    <row r="5987">
      <c r="A5987" s="215" t="n">
        <v>45111</v>
      </c>
      <c r="B5987" s="216" t="n">
        <v>20.65</v>
      </c>
      <c r="C5987" s="216" t="n"/>
      <c r="D5987" s="216" t="n"/>
      <c r="E5987" s="215" t="n"/>
      <c r="F5987" s="215" t="n"/>
    </row>
    <row r="5988">
      <c r="A5988" s="215" t="n">
        <v>45112</v>
      </c>
      <c r="B5988" s="216" t="n">
        <v>20.45</v>
      </c>
      <c r="C5988" s="216" t="n"/>
      <c r="D5988" s="216" t="n"/>
      <c r="E5988" s="215" t="n"/>
      <c r="F5988" s="215" t="n"/>
    </row>
    <row r="5989">
      <c r="A5989" s="215" t="n">
        <v>45113</v>
      </c>
      <c r="B5989" s="216" t="n">
        <v>20.2</v>
      </c>
      <c r="C5989" s="216" t="n"/>
      <c r="D5989" s="216" t="n"/>
      <c r="E5989" s="215" t="n"/>
      <c r="F5989" s="215" t="n"/>
    </row>
    <row r="5990">
      <c r="A5990" s="215" t="n">
        <v>45114</v>
      </c>
      <c r="B5990" s="216" t="n">
        <v>20.05</v>
      </c>
      <c r="C5990" s="216" t="n"/>
      <c r="D5990" s="216" t="n"/>
      <c r="E5990" s="215" t="n"/>
      <c r="F5990" s="215" t="n"/>
    </row>
    <row r="5991">
      <c r="A5991" s="215" t="n">
        <v>45117</v>
      </c>
      <c r="B5991" s="216" t="n">
        <v>20.4</v>
      </c>
      <c r="C5991" s="216" t="n"/>
      <c r="D5991" s="216" t="n"/>
      <c r="E5991" s="215" t="n"/>
      <c r="F5991" s="215" t="n"/>
    </row>
    <row r="5992">
      <c r="A5992" s="215" t="n">
        <v>45118</v>
      </c>
      <c r="B5992" s="216" t="n">
        <v>20.25</v>
      </c>
      <c r="C5992" s="216" t="n"/>
      <c r="D5992" s="216" t="n"/>
      <c r="E5992" s="215" t="n"/>
      <c r="F5992" s="215" t="n"/>
    </row>
    <row r="5993">
      <c r="A5993" s="215" t="n">
        <v>45119</v>
      </c>
      <c r="B5993" s="216" t="n">
        <v>20.75</v>
      </c>
      <c r="C5993" s="216" t="n"/>
      <c r="D5993" s="216" t="n"/>
      <c r="E5993" s="215" t="n"/>
      <c r="F5993" s="215" t="n"/>
    </row>
    <row r="5994">
      <c r="A5994" s="215" t="n">
        <v>45120</v>
      </c>
      <c r="B5994" s="216" t="n">
        <v>20.5</v>
      </c>
      <c r="C5994" s="216" t="n"/>
      <c r="D5994" s="216" t="n"/>
      <c r="E5994" s="215" t="n"/>
      <c r="F5994" s="215" t="n"/>
    </row>
    <row r="5995">
      <c r="A5995" s="215" t="n">
        <v>45121</v>
      </c>
      <c r="B5995" s="216" t="n">
        <v>20.55</v>
      </c>
      <c r="C5995" s="216" t="n"/>
      <c r="D5995" s="216" t="n"/>
      <c r="E5995" s="215" t="n"/>
      <c r="F5995" s="215" t="n"/>
    </row>
    <row r="5996">
      <c r="A5996" s="215" t="n">
        <v>45125</v>
      </c>
      <c r="B5996" s="216" t="n">
        <v>20.25</v>
      </c>
      <c r="C5996" s="216" t="n"/>
      <c r="D5996" s="216" t="n"/>
      <c r="E5996" s="215" t="n"/>
      <c r="F5996" s="215" t="n"/>
    </row>
    <row r="5997">
      <c r="A5997" s="215" t="n">
        <v>45126</v>
      </c>
      <c r="B5997" s="216" t="n">
        <v>20.5</v>
      </c>
      <c r="C5997" s="216" t="n"/>
      <c r="D5997" s="216" t="n"/>
      <c r="E5997" s="215" t="n"/>
      <c r="F5997" s="215" t="n"/>
    </row>
    <row r="5998">
      <c r="A5998" s="215" t="n">
        <v>45127</v>
      </c>
      <c r="B5998" s="216" t="n">
        <v>20.25</v>
      </c>
      <c r="C5998" s="216" t="n"/>
      <c r="D5998" s="216" t="n"/>
      <c r="E5998" s="215" t="n"/>
      <c r="F5998" s="215" t="n"/>
    </row>
    <row r="5999">
      <c r="A5999" s="215" t="n">
        <v>45128</v>
      </c>
      <c r="B5999" s="216" t="n">
        <v>20.7</v>
      </c>
      <c r="C5999" s="216" t="n"/>
      <c r="D5999" s="216" t="n"/>
      <c r="E5999" s="215" t="n"/>
      <c r="F5999" s="215" t="n"/>
    </row>
    <row r="6000">
      <c r="A6000" s="215" t="n">
        <v>45131</v>
      </c>
      <c r="B6000" s="216" t="n">
        <v>20.4</v>
      </c>
      <c r="C6000" s="216" t="n"/>
      <c r="D6000" s="216" t="n"/>
      <c r="E6000" s="215" t="n"/>
      <c r="F6000" s="215" t="n"/>
    </row>
    <row r="6001">
      <c r="A6001" s="215" t="n">
        <v>45132</v>
      </c>
      <c r="B6001" s="216" t="n">
        <v>20.1</v>
      </c>
      <c r="C6001" s="216" t="n"/>
      <c r="D6001" s="216" t="n"/>
      <c r="E6001" s="215" t="n"/>
      <c r="F6001" s="215" t="n"/>
    </row>
    <row r="6002">
      <c r="A6002" s="215" t="n">
        <v>45133</v>
      </c>
      <c r="B6002" s="216" t="n">
        <v>20</v>
      </c>
      <c r="C6002" s="216" t="n"/>
      <c r="D6002" s="216" t="n"/>
      <c r="E6002" s="215" t="n"/>
      <c r="F6002" s="215" t="n"/>
    </row>
    <row r="6003">
      <c r="A6003" s="215" t="n">
        <v>45134</v>
      </c>
      <c r="B6003" s="216" t="n">
        <v>20</v>
      </c>
      <c r="C6003" s="216" t="n"/>
      <c r="D6003" s="216" t="n"/>
      <c r="E6003" s="215" t="n"/>
      <c r="F6003" s="215" t="n"/>
    </row>
    <row r="6004">
      <c r="A6004" s="215" t="n">
        <v>45135</v>
      </c>
      <c r="B6004" s="216" t="n">
        <v>19.98</v>
      </c>
      <c r="C6004" s="216" t="n"/>
      <c r="D6004" s="216" t="n"/>
      <c r="E6004" s="215" t="n"/>
      <c r="F6004" s="215" t="n"/>
    </row>
    <row r="6005">
      <c r="A6005" s="215" t="n">
        <v>45138</v>
      </c>
      <c r="B6005" s="216" t="n">
        <v>19.66</v>
      </c>
      <c r="C6005" s="216" t="n"/>
      <c r="D6005" s="216" t="n"/>
      <c r="E6005" s="215" t="n"/>
      <c r="F6005" s="215" t="n"/>
    </row>
    <row r="6006">
      <c r="A6006" s="215" t="n">
        <v>45139</v>
      </c>
      <c r="B6006" s="216" t="n">
        <v>19.52</v>
      </c>
      <c r="C6006" s="216" t="n"/>
      <c r="D6006" s="216" t="n"/>
      <c r="E6006" s="215" t="n"/>
      <c r="F6006" s="215" t="n"/>
    </row>
    <row r="6007">
      <c r="A6007" s="215" t="n">
        <v>45140</v>
      </c>
      <c r="B6007" s="216" t="n">
        <v>19.08</v>
      </c>
      <c r="C6007" s="216" t="n"/>
      <c r="D6007" s="216" t="n"/>
      <c r="E6007" s="215" t="n"/>
      <c r="F6007" s="215" t="n"/>
    </row>
    <row r="6008">
      <c r="A6008" s="215" t="n">
        <v>45141</v>
      </c>
      <c r="B6008" s="216" t="n">
        <v>19</v>
      </c>
      <c r="C6008" s="216" t="n"/>
      <c r="D6008" s="216" t="n"/>
      <c r="E6008" s="215" t="n"/>
      <c r="F6008" s="215" t="n"/>
    </row>
    <row r="6009">
      <c r="A6009" s="215" t="n">
        <v>45142</v>
      </c>
      <c r="B6009" s="216" t="n">
        <v>19.06</v>
      </c>
      <c r="C6009" s="216" t="n"/>
      <c r="D6009" s="216" t="n"/>
      <c r="E6009" s="215" t="n"/>
      <c r="F6009" s="215" t="n"/>
    </row>
    <row r="6010">
      <c r="A6010" s="215" t="n">
        <v>45145</v>
      </c>
      <c r="B6010" s="216" t="n">
        <v>19</v>
      </c>
      <c r="C6010" s="216" t="n"/>
      <c r="D6010" s="216" t="n"/>
      <c r="E6010" s="215" t="n"/>
      <c r="F6010" s="215" t="n"/>
    </row>
    <row r="6011">
      <c r="A6011" s="215" t="n">
        <v>45146</v>
      </c>
      <c r="B6011" s="216" t="n">
        <v>18.4</v>
      </c>
      <c r="C6011" s="216" t="n"/>
      <c r="D6011" s="216" t="n"/>
      <c r="E6011" s="215" t="n"/>
      <c r="F6011" s="215" t="n"/>
    </row>
    <row r="6012">
      <c r="A6012" s="215" t="n">
        <v>45147</v>
      </c>
      <c r="B6012" s="216" t="n">
        <v>18.34</v>
      </c>
      <c r="C6012" s="216" t="n"/>
      <c r="D6012" s="216" t="n"/>
      <c r="E6012" s="215" t="n"/>
      <c r="F6012" s="215" t="n"/>
    </row>
    <row r="6013">
      <c r="A6013" s="215" t="n">
        <v>45148</v>
      </c>
      <c r="B6013" s="216" t="n">
        <v>17.78</v>
      </c>
      <c r="C6013" s="216" t="n"/>
      <c r="D6013" s="216" t="n"/>
      <c r="E6013" s="215" t="n"/>
      <c r="F6013" s="215" t="n"/>
    </row>
    <row r="6014">
      <c r="A6014" s="215" t="n">
        <v>45149</v>
      </c>
      <c r="B6014" s="216" t="n">
        <v>16.56</v>
      </c>
      <c r="C6014" s="216" t="n"/>
      <c r="D6014" s="216" t="n"/>
      <c r="E6014" s="215" t="n"/>
      <c r="F6014" s="215" t="n"/>
    </row>
    <row r="6015">
      <c r="A6015" s="215" t="n">
        <v>45152</v>
      </c>
      <c r="B6015" s="216" t="n">
        <v>15.36</v>
      </c>
      <c r="C6015" s="216" t="n"/>
      <c r="D6015" s="216" t="n"/>
      <c r="E6015" s="215" t="n"/>
      <c r="F6015" s="215" t="n"/>
    </row>
    <row r="6016">
      <c r="A6016" s="215" t="n">
        <v>45153</v>
      </c>
      <c r="B6016" s="216" t="n">
        <v>15.9</v>
      </c>
      <c r="C6016" s="216" t="n"/>
      <c r="D6016" s="216" t="n"/>
      <c r="E6016" s="215" t="n"/>
      <c r="F6016" s="215" t="n"/>
    </row>
    <row r="6017">
      <c r="A6017" s="215" t="n">
        <v>45154</v>
      </c>
      <c r="B6017" s="216" t="n">
        <v>15.4</v>
      </c>
      <c r="C6017" s="216" t="n"/>
      <c r="D6017" s="216" t="n"/>
      <c r="E6017" s="215" t="n"/>
      <c r="F6017" s="215" t="n"/>
    </row>
    <row r="6018">
      <c r="A6018" s="215" t="n">
        <v>45155</v>
      </c>
      <c r="B6018" s="216" t="n">
        <v>15.68</v>
      </c>
      <c r="C6018" s="216" t="n"/>
      <c r="D6018" s="216" t="n"/>
      <c r="E6018" s="215" t="n"/>
      <c r="F6018" s="215" t="n"/>
    </row>
    <row r="6019">
      <c r="A6019" s="215" t="n">
        <v>45156</v>
      </c>
      <c r="B6019" s="216" t="n">
        <v>15.22</v>
      </c>
      <c r="C6019" s="216" t="n"/>
      <c r="D6019" s="216" t="n"/>
      <c r="E6019" s="215" t="n"/>
      <c r="F6019" s="215" t="n"/>
    </row>
    <row r="6020">
      <c r="A6020" s="215" t="n">
        <v>45159</v>
      </c>
      <c r="B6020" s="216" t="n">
        <v>15.36</v>
      </c>
      <c r="C6020" s="216" t="n"/>
      <c r="D6020" s="216" t="n"/>
      <c r="E6020" s="215" t="n"/>
      <c r="F6020" s="215" t="n"/>
    </row>
    <row r="6021">
      <c r="A6021" s="215" t="n">
        <v>45160</v>
      </c>
      <c r="B6021" s="216" t="n">
        <v>15.36</v>
      </c>
      <c r="C6021" s="216" t="n"/>
      <c r="D6021" s="216" t="n"/>
      <c r="E6021" s="215" t="n"/>
      <c r="F6021" s="215" t="n"/>
    </row>
    <row r="6022">
      <c r="A6022" s="215" t="n">
        <v>45161</v>
      </c>
      <c r="B6022" s="216" t="n">
        <v>15.04</v>
      </c>
      <c r="C6022" s="216" t="n"/>
      <c r="D6022" s="216" t="n"/>
      <c r="E6022" s="215" t="n"/>
      <c r="F6022" s="215" t="n"/>
    </row>
    <row r="6023">
      <c r="A6023" s="215" t="n">
        <v>45162</v>
      </c>
      <c r="B6023" s="216" t="n">
        <v>16.88</v>
      </c>
      <c r="C6023" s="216" t="n"/>
      <c r="D6023" s="216" t="n"/>
      <c r="E6023" s="215" t="n"/>
      <c r="F6023" s="215" t="n"/>
    </row>
    <row r="6024">
      <c r="A6024" s="215" t="n">
        <v>45163</v>
      </c>
      <c r="B6024" s="216" t="n">
        <v>16</v>
      </c>
      <c r="C6024" s="216" t="n"/>
      <c r="D6024" s="216" t="n"/>
      <c r="E6024" s="215" t="n"/>
      <c r="F6024" s="215" t="n"/>
    </row>
    <row r="6025">
      <c r="A6025" s="215" t="n">
        <v>45166</v>
      </c>
      <c r="B6025" s="216" t="n">
        <v>15.18</v>
      </c>
      <c r="C6025" s="216" t="n"/>
      <c r="D6025" s="216" t="n"/>
      <c r="E6025" s="215" t="n"/>
      <c r="F6025" s="215" t="n"/>
    </row>
    <row r="6026">
      <c r="A6026" s="215" t="n">
        <v>45167</v>
      </c>
      <c r="B6026" s="216" t="n">
        <v>16.36</v>
      </c>
      <c r="C6026" s="216" t="n"/>
      <c r="D6026" s="216" t="n"/>
      <c r="E6026" s="215" t="n"/>
      <c r="F6026" s="215" t="n"/>
    </row>
    <row r="6027">
      <c r="A6027" s="215" t="n">
        <v>45168</v>
      </c>
      <c r="B6027" s="216" t="n">
        <v>17.5</v>
      </c>
      <c r="C6027" s="216" t="n"/>
      <c r="D6027" s="216" t="n"/>
      <c r="E6027" s="215" t="n"/>
      <c r="F6027" s="215" t="n"/>
    </row>
    <row r="6028">
      <c r="A6028" s="215" t="n">
        <v>45169</v>
      </c>
      <c r="B6028" s="216" t="n">
        <v>18.26</v>
      </c>
      <c r="C6028" s="216" t="n"/>
      <c r="D6028" s="216" t="n"/>
      <c r="E6028" s="215" t="n"/>
      <c r="F6028" s="215" t="n"/>
    </row>
    <row r="6029">
      <c r="A6029" s="215" t="n">
        <v>45173</v>
      </c>
      <c r="B6029" s="216" t="n">
        <v>17.18</v>
      </c>
      <c r="C6029" s="216" t="n"/>
      <c r="D6029" s="216" t="n"/>
      <c r="E6029" s="215" t="n"/>
      <c r="F6029" s="215" t="n"/>
    </row>
    <row r="6030">
      <c r="A6030" s="215" t="n">
        <v>45174</v>
      </c>
      <c r="B6030" s="216" t="n">
        <v>17.28</v>
      </c>
      <c r="C6030" s="216" t="n"/>
      <c r="D6030" s="216" t="n"/>
      <c r="E6030" s="215" t="n"/>
      <c r="F6030" s="215" t="n"/>
    </row>
    <row r="6031">
      <c r="A6031" s="215" t="n">
        <v>45175</v>
      </c>
      <c r="B6031" s="216" t="n">
        <v>16.88</v>
      </c>
      <c r="C6031" s="216" t="n"/>
      <c r="D6031" s="216" t="n"/>
      <c r="E6031" s="215" t="n"/>
      <c r="F6031" s="215" t="n"/>
    </row>
    <row r="6032">
      <c r="A6032" s="215" t="n">
        <v>45176</v>
      </c>
      <c r="B6032" s="216" t="n">
        <v>17.1</v>
      </c>
      <c r="C6032" s="216" t="n"/>
      <c r="D6032" s="216" t="n"/>
      <c r="E6032" s="215" t="n"/>
      <c r="F6032" s="215" t="n"/>
    </row>
    <row r="6033">
      <c r="A6033" s="215" t="n">
        <v>45180</v>
      </c>
      <c r="B6033" s="216" t="n">
        <v>16.9</v>
      </c>
      <c r="C6033" s="216" t="n"/>
      <c r="D6033" s="216" t="n"/>
      <c r="E6033" s="215" t="n"/>
      <c r="F6033" s="215" t="n"/>
    </row>
    <row r="6034">
      <c r="A6034" s="215" t="n">
        <v>45181</v>
      </c>
      <c r="B6034" s="216" t="n">
        <v>16.7</v>
      </c>
      <c r="C6034" s="216" t="n"/>
      <c r="D6034" s="216" t="n"/>
      <c r="E6034" s="215" t="n"/>
      <c r="F6034" s="215" t="n"/>
    </row>
    <row r="6035">
      <c r="A6035" s="215" t="n">
        <v>45182</v>
      </c>
      <c r="B6035" s="216" t="n">
        <v>14.38</v>
      </c>
      <c r="C6035" s="216" t="n"/>
      <c r="D6035" s="216" t="n"/>
      <c r="E6035" s="215" t="n"/>
      <c r="F6035" s="215" t="n"/>
    </row>
    <row r="6036">
      <c r="A6036" s="215" t="n">
        <v>45183</v>
      </c>
      <c r="B6036" s="216" t="n">
        <v>15</v>
      </c>
      <c r="C6036" s="216" t="n"/>
      <c r="D6036" s="216" t="n"/>
      <c r="E6036" s="215" t="n"/>
      <c r="F6036" s="215" t="n"/>
    </row>
    <row r="6037">
      <c r="A6037" s="215" t="n">
        <v>45184</v>
      </c>
      <c r="B6037" s="216" t="n">
        <v>14.3</v>
      </c>
      <c r="C6037" s="216" t="n"/>
      <c r="D6037" s="216" t="n"/>
      <c r="E6037" s="215" t="n"/>
      <c r="F6037" s="215" t="n"/>
    </row>
    <row r="6038">
      <c r="A6038" s="215" t="n">
        <v>45187</v>
      </c>
      <c r="B6038" s="216" t="n">
        <v>13.82</v>
      </c>
      <c r="C6038" s="216" t="n"/>
      <c r="D6038" s="216" t="n"/>
      <c r="E6038" s="215" t="n"/>
      <c r="F6038" s="215" t="n"/>
    </row>
    <row r="6039">
      <c r="A6039" s="215" t="n">
        <v>45188</v>
      </c>
      <c r="B6039" s="216" t="n">
        <v>14.28</v>
      </c>
      <c r="C6039" s="216" t="n"/>
      <c r="D6039" s="216" t="n"/>
      <c r="E6039" s="215" t="n"/>
      <c r="F6039" s="215" t="n"/>
    </row>
    <row r="6040">
      <c r="A6040" s="215" t="n">
        <v>45189</v>
      </c>
      <c r="B6040" s="216" t="n">
        <v>14.18</v>
      </c>
      <c r="C6040" s="216" t="n"/>
      <c r="D6040" s="216" t="n"/>
      <c r="E6040" s="215" t="n"/>
      <c r="F6040" s="215" t="n"/>
    </row>
    <row r="6041">
      <c r="A6041" s="215" t="n">
        <v>45190</v>
      </c>
      <c r="B6041" s="216" t="n">
        <v>13.7</v>
      </c>
      <c r="C6041" s="216" t="n"/>
      <c r="D6041" s="216" t="n"/>
      <c r="E6041" s="215" t="n"/>
      <c r="F6041" s="215" t="n"/>
    </row>
    <row r="6042">
      <c r="A6042" s="215" t="n">
        <v>45191</v>
      </c>
      <c r="B6042" s="216" t="n">
        <v>14.02</v>
      </c>
      <c r="C6042" s="216" t="n"/>
      <c r="D6042" s="216" t="n"/>
      <c r="E6042" s="215" t="n"/>
      <c r="F6042" s="215" t="n"/>
    </row>
    <row r="6043">
      <c r="A6043" s="215" t="n">
        <v>45194</v>
      </c>
      <c r="B6043" s="216" t="n">
        <v>14.02</v>
      </c>
      <c r="C6043" s="216" t="n"/>
      <c r="D6043" s="216" t="n"/>
      <c r="E6043" s="215" t="n"/>
      <c r="F6043" s="215" t="n"/>
    </row>
    <row r="6044">
      <c r="A6044" s="215" t="n">
        <v>45195</v>
      </c>
      <c r="B6044" s="216" t="n">
        <v>14</v>
      </c>
      <c r="C6044" s="216" t="n"/>
      <c r="D6044" s="216" t="n"/>
      <c r="E6044" s="215" t="n"/>
      <c r="F6044" s="215" t="n"/>
    </row>
    <row r="6045">
      <c r="A6045" s="215" t="n">
        <v>45196</v>
      </c>
      <c r="B6045" s="216" t="n">
        <v>13.82</v>
      </c>
      <c r="C6045" s="216" t="n"/>
      <c r="D6045" s="216" t="n"/>
      <c r="E6045" s="215" t="n"/>
      <c r="F6045" s="215" t="n"/>
    </row>
    <row r="6046">
      <c r="A6046" s="215" t="n">
        <v>45197</v>
      </c>
      <c r="B6046" s="216" t="n">
        <v>13.96</v>
      </c>
      <c r="C6046" s="216" t="n"/>
      <c r="D6046" s="216" t="n"/>
      <c r="E6046" s="215" t="n"/>
      <c r="F6046" s="215" t="n"/>
    </row>
    <row r="6047">
      <c r="A6047" s="215" t="n">
        <v>45198</v>
      </c>
      <c r="B6047" s="216" t="n">
        <v>15.6</v>
      </c>
      <c r="C6047" s="216" t="n"/>
      <c r="D6047" s="216" t="n"/>
      <c r="E6047" s="215" t="n"/>
      <c r="F6047" s="215" t="n"/>
    </row>
    <row r="6048">
      <c r="A6048" s="215" t="n">
        <v>45202</v>
      </c>
      <c r="B6048" s="216" t="n">
        <v>13.92</v>
      </c>
      <c r="C6048" s="216" t="n"/>
      <c r="D6048" s="216" t="n"/>
      <c r="E6048" s="215" t="n"/>
      <c r="F6048" s="215" t="n"/>
    </row>
    <row r="6049">
      <c r="A6049" s="215" t="n">
        <v>45203</v>
      </c>
      <c r="B6049" s="216" t="n">
        <v>13.2</v>
      </c>
      <c r="C6049" s="216" t="n"/>
      <c r="D6049" s="216" t="n"/>
      <c r="E6049" s="215" t="n"/>
      <c r="F6049" s="215" t="n"/>
    </row>
    <row r="6050">
      <c r="A6050" s="215" t="n">
        <v>45204</v>
      </c>
      <c r="B6050" s="216" t="n">
        <v>12.9</v>
      </c>
      <c r="C6050" s="216" t="n"/>
      <c r="D6050" s="216" t="n"/>
      <c r="E6050" s="215" t="n"/>
      <c r="F6050" s="215" t="n"/>
    </row>
    <row r="6051">
      <c r="A6051" s="215" t="n">
        <v>45205</v>
      </c>
      <c r="B6051" s="216" t="n">
        <v>13.94</v>
      </c>
      <c r="C6051" s="216" t="n"/>
      <c r="D6051" s="216" t="n"/>
      <c r="E6051" s="215" t="n"/>
      <c r="F6051" s="215" t="n"/>
    </row>
    <row r="6052">
      <c r="A6052" s="215" t="n">
        <v>45208</v>
      </c>
      <c r="B6052" s="216" t="n">
        <v>13</v>
      </c>
      <c r="C6052" s="216" t="n"/>
      <c r="D6052" s="216" t="n"/>
      <c r="E6052" s="215" t="n"/>
      <c r="F6052" s="215" t="n"/>
    </row>
    <row r="6053">
      <c r="A6053" s="215" t="n">
        <v>45209</v>
      </c>
      <c r="B6053" s="216" t="n">
        <v>14.16</v>
      </c>
      <c r="C6053" s="216" t="n"/>
      <c r="D6053" s="216" t="n"/>
      <c r="E6053" s="215" t="n"/>
      <c r="F6053" s="215" t="n"/>
    </row>
    <row r="6054">
      <c r="A6054" s="215" t="n">
        <v>45210</v>
      </c>
      <c r="B6054" s="216" t="n">
        <v>12.18</v>
      </c>
      <c r="C6054" s="216" t="n"/>
      <c r="D6054" s="216" t="n"/>
      <c r="E6054" s="215" t="n"/>
      <c r="F6054" s="215" t="n"/>
    </row>
    <row r="6055">
      <c r="A6055" s="215" t="n">
        <v>45211</v>
      </c>
      <c r="B6055" s="216" t="n">
        <v>12.66</v>
      </c>
      <c r="C6055" s="216" t="n"/>
      <c r="D6055" s="216" t="n"/>
      <c r="E6055" s="215" t="n"/>
      <c r="F6055" s="215" t="n"/>
    </row>
    <row r="6056">
      <c r="A6056" s="215" t="n">
        <v>45212</v>
      </c>
      <c r="B6056" s="216" t="n">
        <v>12.94</v>
      </c>
      <c r="C6056" s="216" t="n"/>
      <c r="D6056" s="216" t="n"/>
      <c r="E6056" s="215" t="n"/>
      <c r="F6056" s="215" t="n"/>
    </row>
    <row r="6057">
      <c r="A6057" s="215" t="n">
        <v>45215</v>
      </c>
      <c r="B6057" s="216" t="n">
        <v>12.52</v>
      </c>
      <c r="C6057" s="216" t="n"/>
      <c r="D6057" s="216" t="n"/>
      <c r="E6057" s="215" t="n"/>
      <c r="F6057" s="215" t="n"/>
    </row>
    <row r="6058">
      <c r="A6058" s="215" t="n">
        <v>45216</v>
      </c>
      <c r="B6058" s="216" t="n">
        <v>13.04</v>
      </c>
      <c r="C6058" s="216" t="n"/>
      <c r="D6058" s="216" t="n"/>
      <c r="E6058" s="215" t="n"/>
      <c r="F6058" s="215" t="n"/>
    </row>
    <row r="6059">
      <c r="A6059" s="215" t="n">
        <v>45217</v>
      </c>
      <c r="B6059" s="216" t="n">
        <v>12.04</v>
      </c>
      <c r="C6059" s="216" t="n"/>
      <c r="D6059" s="216" t="n"/>
      <c r="E6059" s="215" t="n"/>
      <c r="F6059" s="215" t="n"/>
    </row>
    <row r="6060">
      <c r="A6060" s="215" t="n">
        <v>45218</v>
      </c>
      <c r="B6060" s="216" t="n">
        <v>11.6</v>
      </c>
      <c r="C6060" s="216" t="n"/>
      <c r="D6060" s="216" t="n"/>
      <c r="E6060" s="215" t="n"/>
      <c r="F6060" s="215" t="n"/>
    </row>
    <row r="6061">
      <c r="A6061" s="215" t="n">
        <v>45219</v>
      </c>
      <c r="B6061" s="216" t="n">
        <v>11.14</v>
      </c>
      <c r="C6061" s="216" t="n"/>
      <c r="D6061" s="216" t="n"/>
      <c r="E6061" s="215" t="n"/>
      <c r="F6061" s="215" t="n"/>
    </row>
    <row r="6062">
      <c r="A6062" s="215" t="n">
        <v>45223</v>
      </c>
      <c r="B6062" s="216" t="n">
        <v>11.5</v>
      </c>
      <c r="C6062" s="216" t="n"/>
      <c r="D6062" s="216" t="n"/>
      <c r="E6062" s="215" t="n"/>
      <c r="F6062" s="215" t="n"/>
    </row>
    <row r="6063">
      <c r="A6063" s="215" t="n">
        <v>45224</v>
      </c>
      <c r="B6063" s="216" t="n">
        <v>11.24</v>
      </c>
      <c r="C6063" s="216" t="n"/>
      <c r="D6063" s="216" t="n"/>
      <c r="E6063" s="215" t="n"/>
      <c r="F6063" s="215" t="n"/>
    </row>
    <row r="6064">
      <c r="A6064" s="215" t="n">
        <v>45225</v>
      </c>
      <c r="B6064" s="216" t="n">
        <v>11.5</v>
      </c>
      <c r="C6064" s="216" t="n"/>
      <c r="D6064" s="216" t="n"/>
      <c r="E6064" s="215" t="n"/>
      <c r="F6064" s="215" t="n"/>
    </row>
    <row r="6065">
      <c r="A6065" s="215" t="n">
        <v>45226</v>
      </c>
      <c r="B6065" s="216" t="n">
        <v>11.8</v>
      </c>
      <c r="C6065" s="216" t="n"/>
      <c r="D6065" s="216" t="n"/>
      <c r="E6065" s="215" t="n"/>
      <c r="F6065" s="215" t="n"/>
    </row>
    <row r="6066">
      <c r="A6066" s="215" t="n">
        <v>45229</v>
      </c>
      <c r="B6066" s="216" t="n">
        <v>12.06</v>
      </c>
      <c r="C6066" s="216" t="n"/>
      <c r="D6066" s="216" t="n"/>
      <c r="E6066" s="215" t="n"/>
      <c r="F6066" s="215" t="n"/>
    </row>
    <row r="6067">
      <c r="A6067" s="215" t="n">
        <v>45230</v>
      </c>
      <c r="B6067" s="216" t="n">
        <v>11.88</v>
      </c>
      <c r="C6067" s="216" t="n"/>
      <c r="D6067" s="216" t="n"/>
      <c r="E6067" s="215" t="n"/>
      <c r="F6067" s="215" t="n"/>
    </row>
    <row r="6068">
      <c r="A6068" s="215" t="n">
        <v>45231</v>
      </c>
      <c r="B6068" s="216" t="n">
        <v>11.62</v>
      </c>
      <c r="C6068" s="216" t="n"/>
      <c r="D6068" s="216" t="n"/>
      <c r="E6068" s="215" t="n"/>
      <c r="F6068" s="215" t="n"/>
    </row>
    <row r="6069">
      <c r="A6069" s="215" t="n">
        <v>45232</v>
      </c>
      <c r="B6069" s="216" t="n">
        <v>11.8</v>
      </c>
      <c r="C6069" s="216" t="n"/>
      <c r="D6069" s="216" t="n"/>
      <c r="E6069" s="215" t="n"/>
      <c r="F6069" s="215" t="n"/>
    </row>
    <row r="6070">
      <c r="A6070" s="215" t="n">
        <v>45233</v>
      </c>
      <c r="B6070" s="216" t="n">
        <v>12.14</v>
      </c>
      <c r="C6070" s="216" t="n"/>
      <c r="D6070" s="216" t="n"/>
      <c r="E6070" s="215" t="n"/>
      <c r="F6070" s="215" t="n"/>
    </row>
    <row r="6071">
      <c r="A6071" s="215" t="n">
        <v>45236</v>
      </c>
      <c r="B6071" s="216" t="n">
        <v>12.64</v>
      </c>
      <c r="C6071" s="216" t="n"/>
      <c r="D6071" s="216" t="n"/>
      <c r="E6071" s="215" t="n"/>
      <c r="F6071" s="215" t="n"/>
    </row>
    <row r="6072">
      <c r="A6072" s="215" t="n">
        <v>45237</v>
      </c>
      <c r="B6072" s="216" t="n">
        <v>12.76</v>
      </c>
      <c r="C6072" s="216" t="n"/>
      <c r="D6072" s="216" t="n"/>
      <c r="E6072" s="215" t="n"/>
      <c r="F6072" s="215" t="n"/>
    </row>
    <row r="6073">
      <c r="A6073" s="215" t="n">
        <v>45238</v>
      </c>
      <c r="B6073" s="216" t="n">
        <v>13.18</v>
      </c>
      <c r="C6073" s="216" t="n"/>
      <c r="D6073" s="216" t="n"/>
      <c r="E6073" s="215" t="n"/>
      <c r="F6073" s="215" t="n"/>
    </row>
    <row r="6074">
      <c r="A6074" s="215" t="n">
        <v>45239</v>
      </c>
      <c r="B6074" s="216" t="n">
        <v>12.74</v>
      </c>
      <c r="C6074" s="216" t="n"/>
      <c r="D6074" s="216" t="n"/>
      <c r="E6074" s="215" t="n"/>
      <c r="F6074" s="215" t="n"/>
    </row>
    <row r="6075">
      <c r="A6075" s="215" t="n">
        <v>45240</v>
      </c>
      <c r="B6075" s="216" t="n">
        <v>12.4</v>
      </c>
      <c r="C6075" s="216" t="n"/>
      <c r="D6075" s="216" t="n"/>
      <c r="E6075" s="215" t="n"/>
      <c r="F6075" s="215" t="n"/>
    </row>
    <row r="6076">
      <c r="A6076" s="215" t="n">
        <v>45243</v>
      </c>
      <c r="B6076" s="216" t="n">
        <v>12.98</v>
      </c>
      <c r="C6076" s="216" t="n"/>
      <c r="D6076" s="216" t="n"/>
      <c r="E6076" s="215" t="n"/>
      <c r="F6076" s="215" t="n"/>
    </row>
    <row r="6077">
      <c r="A6077" s="215" t="n">
        <v>45244</v>
      </c>
      <c r="B6077" s="216" t="n">
        <v>12.42</v>
      </c>
      <c r="C6077" s="216" t="n"/>
      <c r="D6077" s="216" t="n"/>
      <c r="E6077" s="215" t="n"/>
      <c r="F6077" s="215" t="n"/>
    </row>
    <row r="6078">
      <c r="A6078" s="215" t="n">
        <v>45245</v>
      </c>
      <c r="B6078" s="216" t="n">
        <v>12.54</v>
      </c>
      <c r="C6078" s="216" t="n"/>
      <c r="D6078" s="216" t="n"/>
      <c r="E6078" s="215" t="n"/>
      <c r="F6078" s="215" t="n"/>
    </row>
    <row r="6079">
      <c r="A6079" s="215" t="n">
        <v>45246</v>
      </c>
      <c r="B6079" s="216" t="n">
        <v>12.86</v>
      </c>
      <c r="C6079" s="216" t="n"/>
      <c r="D6079" s="216" t="n"/>
      <c r="E6079" s="215" t="n"/>
      <c r="F6079" s="215" t="n"/>
    </row>
    <row r="6080">
      <c r="A6080" s="215" t="n">
        <v>45247</v>
      </c>
      <c r="B6080" s="216" t="n">
        <v>12.3</v>
      </c>
      <c r="C6080" s="216" t="n"/>
      <c r="D6080" s="216" t="n"/>
      <c r="E6080" s="215" t="n"/>
      <c r="F6080" s="215" t="n"/>
    </row>
    <row r="6081">
      <c r="A6081" s="215" t="n">
        <v>45250</v>
      </c>
      <c r="B6081" s="216" t="n">
        <v>12.82</v>
      </c>
      <c r="C6081" s="216" t="n"/>
      <c r="D6081" s="216" t="n"/>
      <c r="E6081" s="215" t="n"/>
      <c r="F6081" s="215" t="n"/>
    </row>
    <row r="6082">
      <c r="A6082" s="215" t="n">
        <v>45251</v>
      </c>
      <c r="B6082" s="216" t="n">
        <v>12.8</v>
      </c>
      <c r="C6082" s="216" t="n"/>
      <c r="D6082" s="216" t="n"/>
      <c r="E6082" s="215" t="n"/>
      <c r="F6082" s="215" t="n"/>
    </row>
    <row r="6083">
      <c r="A6083" s="215" t="n">
        <v>45252</v>
      </c>
      <c r="B6083" s="216" t="n">
        <v>12.92</v>
      </c>
      <c r="C6083" s="216" t="n"/>
      <c r="D6083" s="216" t="n"/>
      <c r="E6083" s="215" t="n"/>
      <c r="F6083" s="215" t="n"/>
    </row>
    <row r="6084">
      <c r="A6084" s="215" t="n">
        <v>45253</v>
      </c>
      <c r="B6084" s="216" t="n">
        <v>13.1</v>
      </c>
      <c r="C6084" s="216" t="n"/>
      <c r="D6084" s="216" t="n"/>
      <c r="E6084" s="215" t="n"/>
      <c r="F6084" s="215" t="n"/>
    </row>
    <row r="6085">
      <c r="A6085" s="215" t="n">
        <v>45254</v>
      </c>
      <c r="B6085" s="216" t="n">
        <v>12.86</v>
      </c>
      <c r="C6085" s="216" t="n"/>
      <c r="D6085" s="216" t="n"/>
      <c r="E6085" s="215" t="n"/>
      <c r="F6085" s="215" t="n"/>
    </row>
    <row r="6086">
      <c r="A6086" s="215" t="n">
        <v>45257</v>
      </c>
      <c r="B6086" s="216" t="n">
        <v>12.48</v>
      </c>
      <c r="C6086" s="216" t="n"/>
      <c r="D6086" s="216" t="n"/>
      <c r="E6086" s="215" t="n"/>
      <c r="F6086" s="215" t="n"/>
    </row>
    <row r="6087">
      <c r="A6087" s="215" t="n">
        <v>45258</v>
      </c>
      <c r="B6087" s="216" t="n">
        <v>11.92</v>
      </c>
      <c r="C6087" s="216" t="n"/>
      <c r="D6087" s="216" t="n"/>
      <c r="E6087" s="215" t="n"/>
      <c r="F6087" s="215" t="n"/>
    </row>
    <row r="6088">
      <c r="A6088" s="215" t="n">
        <v>45259</v>
      </c>
      <c r="B6088" s="216" t="n">
        <v>12.16</v>
      </c>
      <c r="C6088" s="216" t="n"/>
      <c r="D6088" s="216" t="n"/>
      <c r="E6088" s="215" t="n"/>
      <c r="F6088" s="215" t="n"/>
    </row>
    <row r="6089">
      <c r="A6089" s="215" t="n">
        <v>45260</v>
      </c>
      <c r="B6089" s="216" t="n">
        <v>12.02</v>
      </c>
      <c r="C6089" s="216" t="n"/>
      <c r="D6089" s="216" t="n"/>
      <c r="E6089" s="215" t="n"/>
      <c r="F6089" s="215" t="n"/>
    </row>
    <row r="6090">
      <c r="A6090" s="215" t="n">
        <v>45261</v>
      </c>
      <c r="B6090" s="216" t="n">
        <v>12.3</v>
      </c>
      <c r="C6090" s="216" t="n"/>
      <c r="D6090" s="216" t="n"/>
      <c r="E6090" s="215" t="n"/>
      <c r="F6090" s="215" t="n"/>
    </row>
    <row r="6091">
      <c r="A6091" s="215" t="n">
        <v>45264</v>
      </c>
      <c r="B6091" s="216" t="n">
        <v>11.28</v>
      </c>
      <c r="C6091" s="216" t="n"/>
      <c r="D6091" s="216" t="n"/>
      <c r="E6091" s="215" t="n"/>
      <c r="F6091" s="215" t="n"/>
    </row>
    <row r="6092">
      <c r="A6092" s="215" t="n">
        <v>45265</v>
      </c>
      <c r="B6092" s="216" t="n">
        <v>11.42</v>
      </c>
      <c r="C6092" s="216" t="n"/>
      <c r="D6092" s="216" t="n"/>
      <c r="E6092" s="215" t="n"/>
      <c r="F6092" s="215" t="n"/>
    </row>
    <row r="6093">
      <c r="A6093" s="215" t="n">
        <v>45266</v>
      </c>
      <c r="B6093" s="216" t="n">
        <v>10.84</v>
      </c>
      <c r="C6093" s="216" t="n"/>
      <c r="D6093" s="216" t="n"/>
      <c r="E6093" s="215" t="n"/>
      <c r="F6093" s="215" t="n"/>
    </row>
    <row r="6094">
      <c r="A6094" s="215" t="n">
        <v>45267</v>
      </c>
      <c r="B6094" s="216" t="n">
        <v>10.84</v>
      </c>
      <c r="C6094" s="216" t="n"/>
      <c r="D6094" s="216" t="n"/>
      <c r="E6094" s="215" t="n"/>
      <c r="F6094" s="215" t="n"/>
    </row>
    <row r="6095">
      <c r="A6095" s="215" t="n">
        <v>45268</v>
      </c>
      <c r="B6095" s="216" t="n">
        <v>11</v>
      </c>
      <c r="C6095" s="216" t="n"/>
      <c r="D6095" s="216" t="n"/>
      <c r="E6095" s="215" t="n"/>
      <c r="F6095" s="215" t="n"/>
    </row>
    <row r="6096">
      <c r="A6096" s="215" t="n">
        <v>45271</v>
      </c>
      <c r="B6096" s="216" t="n">
        <v>10.66</v>
      </c>
      <c r="C6096" s="216" t="n"/>
      <c r="D6096" s="216" t="n"/>
      <c r="E6096" s="215" t="n"/>
      <c r="F6096" s="215" t="n"/>
    </row>
    <row r="6097">
      <c r="A6097" s="215" t="n">
        <v>45272</v>
      </c>
      <c r="B6097" s="216" t="n">
        <v>11.02</v>
      </c>
      <c r="C6097" s="216" t="n"/>
      <c r="D6097" s="216" t="n"/>
      <c r="E6097" s="215" t="n"/>
      <c r="F6097" s="215" t="n"/>
    </row>
    <row r="6098">
      <c r="A6098" s="215" t="n">
        <v>45273</v>
      </c>
      <c r="B6098" s="216" t="n">
        <v>10.54</v>
      </c>
      <c r="C6098" s="216" t="n"/>
      <c r="D6098" s="216" t="n"/>
      <c r="E6098" s="215" t="n"/>
      <c r="F6098" s="215" t="n"/>
    </row>
    <row r="6099">
      <c r="A6099" s="215" t="n">
        <v>45274</v>
      </c>
      <c r="B6099" s="216" t="n">
        <v>10.5</v>
      </c>
      <c r="C6099" s="216" t="n"/>
      <c r="D6099" s="216" t="n"/>
      <c r="E6099" s="215" t="n"/>
      <c r="F6099" s="215" t="n"/>
    </row>
    <row r="6100">
      <c r="A6100" s="215" t="n">
        <v>45275</v>
      </c>
      <c r="B6100" s="216" t="n">
        <v>10.48</v>
      </c>
      <c r="C6100" s="216" t="n"/>
      <c r="D6100" s="216" t="n"/>
      <c r="E6100" s="215" t="n"/>
      <c r="F6100" s="215" t="n"/>
    </row>
    <row r="6101">
      <c r="A6101" s="215" t="n">
        <v>45278</v>
      </c>
      <c r="B6101" s="216" t="n">
        <v>10.52</v>
      </c>
      <c r="C6101" s="216" t="n"/>
      <c r="D6101" s="216" t="n"/>
      <c r="E6101" s="215" t="n"/>
      <c r="F6101" s="215" t="n"/>
    </row>
    <row r="6102">
      <c r="A6102" s="215" t="n">
        <v>45279</v>
      </c>
      <c r="B6102" s="216" t="n">
        <v>11.34</v>
      </c>
      <c r="C6102" s="216" t="n"/>
      <c r="D6102" s="216" t="n"/>
      <c r="E6102" s="215" t="n"/>
      <c r="F6102" s="215" t="n"/>
    </row>
    <row r="6103">
      <c r="A6103" s="215" t="n">
        <v>45280</v>
      </c>
      <c r="B6103" s="216" t="n">
        <v>11.02</v>
      </c>
      <c r="C6103" s="216" t="n"/>
      <c r="D6103" s="216" t="n"/>
      <c r="E6103" s="215" t="n"/>
      <c r="F6103" s="215" t="n"/>
    </row>
    <row r="6104">
      <c r="A6104" s="215" t="n">
        <v>45281</v>
      </c>
      <c r="B6104" s="216" t="n">
        <v>11.38</v>
      </c>
      <c r="C6104" s="216" t="n"/>
      <c r="D6104" s="216" t="n"/>
      <c r="E6104" s="215" t="n"/>
      <c r="F6104" s="215" t="n"/>
    </row>
    <row r="6105">
      <c r="A6105" s="215" t="n">
        <v>45282</v>
      </c>
      <c r="B6105" s="216" t="n">
        <v>11.58</v>
      </c>
      <c r="C6105" s="216" t="n"/>
      <c r="D6105" s="216" t="n"/>
      <c r="E6105" s="215" t="n"/>
      <c r="F6105" s="215" t="n"/>
    </row>
    <row r="6106">
      <c r="A6106" s="215" t="n">
        <v>45287</v>
      </c>
      <c r="B6106" s="216" t="n">
        <v>11.26</v>
      </c>
      <c r="C6106" s="216" t="n"/>
      <c r="D6106" s="216" t="n"/>
      <c r="E6106" s="215" t="n"/>
      <c r="F6106" s="215" t="n"/>
    </row>
    <row r="6107">
      <c r="A6107" s="215" t="n">
        <v>45288</v>
      </c>
      <c r="B6107" s="216" t="n">
        <v>12</v>
      </c>
      <c r="C6107" s="216" t="n"/>
      <c r="D6107" s="216" t="n"/>
      <c r="E6107" s="215" t="n"/>
      <c r="F6107" s="215" t="n"/>
    </row>
    <row r="6108">
      <c r="A6108" s="215" t="n">
        <v>45289</v>
      </c>
      <c r="B6108" s="216" t="n">
        <v>11.98</v>
      </c>
      <c r="C6108" s="216" t="n"/>
      <c r="D6108" s="216" t="n"/>
      <c r="E6108" s="215" t="n"/>
      <c r="F6108" s="215" t="n"/>
    </row>
    <row r="6109">
      <c r="A6109" s="215" t="n">
        <v>45293</v>
      </c>
      <c r="B6109" s="216" t="n">
        <v>11.26</v>
      </c>
      <c r="C6109" s="216" t="n"/>
      <c r="D6109" s="216" t="n"/>
      <c r="E6109" s="215" t="n"/>
      <c r="F6109" s="215" t="n"/>
    </row>
    <row r="6110">
      <c r="A6110" s="215" t="n">
        <v>45294</v>
      </c>
      <c r="B6110" s="216" t="n">
        <v>11.78</v>
      </c>
      <c r="C6110" s="216" t="n"/>
      <c r="D6110" s="216" t="n"/>
      <c r="E6110" s="215" t="n"/>
      <c r="F6110" s="215" t="n"/>
    </row>
    <row r="6111">
      <c r="A6111" s="215" t="n">
        <v>45295</v>
      </c>
      <c r="B6111" s="216" t="n">
        <v>11.62</v>
      </c>
      <c r="C6111" s="216" t="n"/>
      <c r="D6111" s="216" t="n"/>
      <c r="E6111" s="215" t="n"/>
      <c r="F6111" s="215" t="n"/>
    </row>
    <row r="6112">
      <c r="A6112" s="215" t="n">
        <v>45296</v>
      </c>
      <c r="B6112" s="216" t="n">
        <v>11.1</v>
      </c>
      <c r="C6112" s="216" t="n"/>
      <c r="D6112" s="216" t="n"/>
      <c r="E6112" s="215" t="n"/>
      <c r="F6112" s="215" t="n"/>
    </row>
    <row r="6113">
      <c r="A6113" s="215" t="n">
        <v>45299</v>
      </c>
      <c r="B6113" s="216" t="n">
        <v>11.24</v>
      </c>
      <c r="C6113" s="216" t="n"/>
      <c r="D6113" s="216" t="n"/>
      <c r="E6113" s="215" t="n"/>
      <c r="F6113" s="215" t="n"/>
    </row>
    <row r="6114">
      <c r="A6114" s="215" t="n">
        <v>45300</v>
      </c>
      <c r="B6114" s="216" t="n">
        <v>11.46</v>
      </c>
      <c r="C6114" s="216" t="n"/>
      <c r="D6114" s="216" t="n"/>
      <c r="E6114" s="215" t="n"/>
      <c r="F6114" s="215" t="n"/>
    </row>
    <row r="6115">
      <c r="A6115" s="215" t="n">
        <v>45301</v>
      </c>
      <c r="B6115" s="216" t="n">
        <v>10.94</v>
      </c>
      <c r="C6115" s="216" t="n"/>
      <c r="D6115" s="216" t="n"/>
      <c r="E6115" s="215" t="n"/>
      <c r="F6115" s="215" t="n"/>
    </row>
    <row r="6116">
      <c r="A6116" s="215" t="n">
        <v>45302</v>
      </c>
      <c r="B6116" s="216" t="n">
        <v>10.94</v>
      </c>
      <c r="C6116" s="216" t="n"/>
      <c r="D6116" s="216" t="n"/>
      <c r="E6116" s="215" t="n"/>
      <c r="F6116" s="215" t="n"/>
    </row>
    <row r="6117">
      <c r="A6117" s="215" t="n">
        <v>45303</v>
      </c>
      <c r="B6117" s="216" t="n">
        <v>10.62</v>
      </c>
      <c r="C6117" s="216" t="n"/>
      <c r="D6117" s="216" t="n"/>
      <c r="E6117" s="215" t="n"/>
      <c r="F6117" s="215" t="n"/>
    </row>
    <row r="6118">
      <c r="A6118" s="215" t="n">
        <v>45306</v>
      </c>
      <c r="B6118" s="216" t="n">
        <v>10.62</v>
      </c>
      <c r="C6118" s="216" t="n"/>
      <c r="D6118" s="216" t="n"/>
      <c r="E6118" s="215" t="n"/>
      <c r="F6118" s="215" t="n"/>
    </row>
    <row r="6119">
      <c r="A6119" s="215" t="n">
        <v>45307</v>
      </c>
      <c r="B6119" s="216" t="n">
        <v>10.5</v>
      </c>
      <c r="C6119" s="216" t="n"/>
      <c r="D6119" s="216" t="n"/>
      <c r="E6119" s="215" t="n"/>
      <c r="F6119" s="215" t="n"/>
    </row>
    <row r="6120">
      <c r="A6120" s="215" t="n">
        <v>45308</v>
      </c>
      <c r="B6120" s="216" t="n">
        <v>10.04</v>
      </c>
      <c r="C6120" s="216" t="n"/>
      <c r="D6120" s="216" t="n"/>
      <c r="E6120" s="215" t="n"/>
      <c r="F6120" s="215" t="n"/>
    </row>
    <row r="6121">
      <c r="A6121" s="215" t="n">
        <v>45309</v>
      </c>
      <c r="B6121" s="216" t="n">
        <v>10.06</v>
      </c>
      <c r="C6121" s="216" t="n"/>
      <c r="D6121" s="216" t="n"/>
      <c r="E6121" s="215" t="n"/>
      <c r="F6121" s="215" t="n"/>
    </row>
    <row r="6122">
      <c r="A6122" s="215" t="n">
        <v>45310</v>
      </c>
      <c r="B6122" s="216" t="n">
        <v>10</v>
      </c>
      <c r="C6122" s="216" t="n"/>
      <c r="D6122" s="216" t="n"/>
      <c r="E6122" s="215" t="n"/>
      <c r="F6122" s="215" t="n"/>
    </row>
    <row r="6123">
      <c r="A6123" s="215" t="n">
        <v>45313</v>
      </c>
      <c r="B6123" s="216" t="n">
        <v>9.68</v>
      </c>
      <c r="C6123" s="216" t="n"/>
      <c r="D6123" s="216" t="n"/>
      <c r="E6123" s="215" t="n"/>
      <c r="F6123" s="215" t="n"/>
    </row>
    <row r="6124">
      <c r="A6124" s="215" t="n">
        <v>45314</v>
      </c>
      <c r="B6124" s="216" t="n">
        <v>9.5</v>
      </c>
      <c r="C6124" s="216" t="n"/>
      <c r="D6124" s="216" t="n"/>
      <c r="E6124" s="215" t="n"/>
      <c r="F6124" s="215" t="n"/>
    </row>
    <row r="6125">
      <c r="A6125" s="215" t="n">
        <v>45315</v>
      </c>
      <c r="B6125" s="216" t="n">
        <v>10.16</v>
      </c>
      <c r="C6125" s="216" t="n"/>
      <c r="D6125" s="216" t="n"/>
      <c r="E6125" s="215" t="n"/>
      <c r="F6125" s="215" t="n"/>
    </row>
    <row r="6126">
      <c r="A6126" s="215" t="n">
        <v>45316</v>
      </c>
      <c r="B6126" s="216" t="n">
        <v>9.699999999999999</v>
      </c>
      <c r="C6126" s="216" t="n"/>
      <c r="D6126" s="216" t="n"/>
      <c r="E6126" s="215" t="n"/>
      <c r="F6126" s="215" t="n"/>
    </row>
    <row r="6127">
      <c r="A6127" s="215" t="n">
        <v>45317</v>
      </c>
      <c r="B6127" s="216" t="n">
        <v>9.619999999999999</v>
      </c>
      <c r="C6127" s="216" t="n"/>
      <c r="D6127" s="216" t="n"/>
      <c r="E6127" s="215" t="n"/>
      <c r="F6127" s="215" t="n"/>
    </row>
    <row r="6128">
      <c r="A6128" s="215" t="n">
        <v>45320</v>
      </c>
      <c r="B6128" s="216" t="n">
        <v>9.91</v>
      </c>
      <c r="C6128" s="216" t="n"/>
      <c r="D6128" s="216" t="n"/>
      <c r="E6128" s="215" t="n"/>
      <c r="F6128" s="215" t="n"/>
    </row>
    <row r="6129">
      <c r="A6129" s="215" t="n">
        <v>45321</v>
      </c>
      <c r="B6129" s="216" t="n">
        <v>9.960000000000001</v>
      </c>
      <c r="C6129" s="216" t="n"/>
      <c r="D6129" s="216" t="n"/>
      <c r="E6129" s="215" t="n"/>
      <c r="F6129" s="215" t="n"/>
    </row>
    <row r="6130">
      <c r="A6130" s="215" t="n">
        <v>45322</v>
      </c>
      <c r="B6130" s="216" t="n">
        <v>9.199999999999999</v>
      </c>
      <c r="C6130" s="216" t="n"/>
      <c r="D6130" s="216" t="n"/>
      <c r="E6130" s="215" t="n"/>
      <c r="F6130" s="215" t="n"/>
    </row>
    <row r="6131">
      <c r="A6131" s="215" t="n">
        <v>45323</v>
      </c>
      <c r="B6131" s="216" t="n">
        <v>8.65</v>
      </c>
      <c r="C6131" s="216" t="n"/>
      <c r="D6131" s="216" t="n"/>
      <c r="E6131" s="215" t="n"/>
      <c r="F6131" s="215" t="n"/>
    </row>
    <row r="6132">
      <c r="A6132" s="215" t="n">
        <v>45324</v>
      </c>
      <c r="B6132" s="216" t="n">
        <v>8.880000000000001</v>
      </c>
      <c r="C6132" s="216" t="n"/>
      <c r="D6132" s="216" t="n"/>
      <c r="E6132" s="215" t="n"/>
      <c r="F6132" s="215" t="n"/>
    </row>
    <row r="6133">
      <c r="A6133" s="215" t="n">
        <v>45327</v>
      </c>
      <c r="B6133" s="216" t="n">
        <v>8.4</v>
      </c>
      <c r="C6133" s="216" t="n"/>
      <c r="D6133" s="216" t="n"/>
      <c r="E6133" s="215" t="n"/>
      <c r="F6133" s="215" t="n"/>
    </row>
    <row r="6134">
      <c r="A6134" s="215" t="n">
        <v>45328</v>
      </c>
      <c r="B6134" s="216" t="n">
        <v>9.4</v>
      </c>
      <c r="C6134" s="216" t="n"/>
      <c r="D6134" s="216" t="n"/>
      <c r="E6134" s="215" t="n"/>
      <c r="F6134" s="215" t="n"/>
    </row>
    <row r="6135">
      <c r="A6135" s="215" t="n">
        <v>45329</v>
      </c>
      <c r="B6135" s="216" t="n">
        <v>8.43</v>
      </c>
      <c r="C6135" s="216" t="n"/>
      <c r="D6135" s="216" t="n"/>
      <c r="E6135" s="215" t="n"/>
      <c r="F6135" s="215" t="n"/>
    </row>
    <row r="6136">
      <c r="A6136" s="215" t="n">
        <v>45330</v>
      </c>
      <c r="B6136" s="216" t="n">
        <v>8.220000000000001</v>
      </c>
      <c r="C6136" s="216" t="n"/>
      <c r="D6136" s="216" t="n"/>
      <c r="E6136" s="215" t="n"/>
      <c r="F6136" s="215" t="n"/>
    </row>
    <row r="6137">
      <c r="A6137" s="215" t="n">
        <v>45331</v>
      </c>
      <c r="B6137" s="216" t="n">
        <v>8.640000000000001</v>
      </c>
      <c r="C6137" s="216" t="n"/>
      <c r="D6137" s="216" t="n"/>
      <c r="E6137" s="215" t="n"/>
      <c r="F6137" s="215" t="n"/>
    </row>
    <row r="6138">
      <c r="A6138" s="215" t="n">
        <v>45336</v>
      </c>
      <c r="B6138" s="216" t="n">
        <v>8.369999999999999</v>
      </c>
      <c r="C6138" s="216" t="n"/>
      <c r="D6138" s="216" t="n"/>
      <c r="E6138" s="215" t="n"/>
      <c r="F6138" s="215" t="n"/>
    </row>
    <row r="6139">
      <c r="A6139" s="215" t="n">
        <v>45337</v>
      </c>
      <c r="B6139" s="216" t="n">
        <v>7.6</v>
      </c>
      <c r="C6139" s="216" t="n"/>
      <c r="D6139" s="216" t="n"/>
      <c r="E6139" s="215" t="n"/>
      <c r="F6139" s="215" t="n"/>
    </row>
    <row r="6140">
      <c r="A6140" s="215" t="n">
        <v>45338</v>
      </c>
      <c r="B6140" s="216" t="n">
        <v>8.67</v>
      </c>
      <c r="C6140" s="216" t="n"/>
      <c r="D6140" s="216" t="n"/>
      <c r="E6140" s="215" t="n"/>
      <c r="F6140" s="215" t="n"/>
    </row>
    <row r="6141">
      <c r="A6141" s="215" t="n">
        <v>45341</v>
      </c>
      <c r="B6141" s="216" t="n">
        <v>7.1</v>
      </c>
      <c r="C6141" s="216" t="n"/>
      <c r="D6141" s="216" t="n"/>
      <c r="E6141" s="215" t="n"/>
      <c r="F6141" s="215" t="n"/>
    </row>
    <row r="6142">
      <c r="A6142" s="215" t="n">
        <v>45342</v>
      </c>
      <c r="B6142" s="216" t="n">
        <v>7.3</v>
      </c>
      <c r="C6142" s="216" t="n"/>
      <c r="D6142" s="216" t="n"/>
      <c r="E6142" s="215" t="n"/>
      <c r="F6142" s="215" t="n"/>
    </row>
    <row r="6143">
      <c r="A6143" s="215" t="n">
        <v>45343</v>
      </c>
      <c r="B6143" s="216" t="n">
        <v>7.51</v>
      </c>
      <c r="C6143" s="216" t="n"/>
      <c r="D6143" s="216" t="n"/>
      <c r="E6143" s="215" t="n"/>
      <c r="F6143" s="215" t="n"/>
    </row>
    <row r="6144">
      <c r="A6144" s="215" t="n">
        <v>45344</v>
      </c>
      <c r="B6144" s="216" t="n">
        <v>8.119999999999999</v>
      </c>
      <c r="C6144" s="216" t="n"/>
      <c r="D6144" s="216" t="n"/>
      <c r="E6144" s="215" t="n"/>
      <c r="F6144" s="215" t="n"/>
    </row>
    <row r="6145">
      <c r="A6145" s="215" t="n">
        <v>45345</v>
      </c>
      <c r="B6145" s="216" t="n">
        <v>7.89</v>
      </c>
      <c r="C6145" s="216" t="n"/>
      <c r="D6145" s="216" t="n"/>
      <c r="E6145" s="215" t="n"/>
      <c r="F6145" s="215" t="n"/>
    </row>
    <row r="6146">
      <c r="A6146" s="215" t="n">
        <v>45348</v>
      </c>
      <c r="B6146" s="216" t="n">
        <v>8.66</v>
      </c>
      <c r="C6146" s="216" t="n"/>
      <c r="D6146" s="216" t="n"/>
      <c r="E6146" s="215" t="n"/>
      <c r="F6146" s="215" t="n"/>
    </row>
    <row r="6147">
      <c r="A6147" s="215" t="n">
        <v>45349</v>
      </c>
      <c r="B6147" s="216" t="n">
        <v>8.359999999999999</v>
      </c>
      <c r="C6147" s="216" t="n"/>
      <c r="D6147" s="216" t="n"/>
      <c r="E6147" s="215" t="n"/>
      <c r="F6147" s="215" t="n"/>
    </row>
    <row r="6148">
      <c r="A6148" s="215" t="n">
        <v>45350</v>
      </c>
      <c r="B6148" s="216" t="n">
        <v>8.58</v>
      </c>
      <c r="C6148" s="216" t="n"/>
      <c r="D6148" s="216" t="n"/>
      <c r="E6148" s="215" t="n"/>
      <c r="F6148" s="215" t="n"/>
    </row>
    <row r="6149">
      <c r="A6149" s="215" t="n">
        <v>45351</v>
      </c>
      <c r="B6149" s="216" t="n">
        <v>8.92</v>
      </c>
      <c r="C6149" s="216" t="n"/>
      <c r="D6149" s="216" t="n"/>
      <c r="E6149" s="215" t="n"/>
      <c r="F6149" s="215" t="n"/>
    </row>
    <row r="6150">
      <c r="A6150" s="215" t="n">
        <v>45352</v>
      </c>
      <c r="B6150" s="216" t="n">
        <v>9.65</v>
      </c>
      <c r="C6150" s="216" t="n"/>
      <c r="D6150" s="216" t="n"/>
      <c r="E6150" s="215" t="n"/>
      <c r="F6150" s="215" t="n"/>
    </row>
    <row r="6151">
      <c r="A6151" s="215" t="n">
        <v>45355</v>
      </c>
      <c r="B6151" s="216" t="n">
        <v>8.970000000000001</v>
      </c>
      <c r="C6151" s="216" t="n"/>
      <c r="D6151" s="216" t="n"/>
      <c r="E6151" s="215" t="n"/>
      <c r="F6151" s="215" t="n"/>
    </row>
    <row r="6152">
      <c r="A6152" s="215" t="n">
        <v>45356</v>
      </c>
      <c r="B6152" s="216" t="n">
        <v>8.26</v>
      </c>
      <c r="C6152" s="216" t="n"/>
      <c r="D6152" s="216" t="n"/>
      <c r="E6152" s="215" t="n"/>
      <c r="F6152" s="215" t="n"/>
    </row>
    <row r="6153">
      <c r="A6153" s="215" t="n">
        <v>45357</v>
      </c>
      <c r="B6153" s="216" t="n">
        <v>9</v>
      </c>
      <c r="C6153" s="216" t="n"/>
      <c r="D6153" s="216" t="n"/>
      <c r="E6153" s="215" t="n"/>
      <c r="F6153" s="215" t="n"/>
    </row>
    <row r="6154">
      <c r="A6154" s="215" t="n">
        <v>45358</v>
      </c>
      <c r="B6154" s="216" t="n">
        <v>8.550000000000001</v>
      </c>
      <c r="C6154" s="216" t="n"/>
      <c r="D6154" s="216" t="n"/>
      <c r="E6154" s="215" t="n"/>
      <c r="F6154" s="215" t="n"/>
    </row>
    <row r="6155">
      <c r="A6155" s="215" t="n">
        <v>45359</v>
      </c>
      <c r="B6155" s="216" t="n">
        <v>9.470000000000001</v>
      </c>
      <c r="C6155" s="216" t="n"/>
      <c r="D6155" s="216" t="n"/>
      <c r="E6155" s="215" t="n"/>
      <c r="F6155" s="215" t="n"/>
    </row>
    <row r="6156">
      <c r="A6156" s="215" t="n">
        <v>45362</v>
      </c>
      <c r="B6156" s="216" t="n">
        <v>9.33</v>
      </c>
      <c r="C6156" s="216" t="n"/>
      <c r="D6156" s="216" t="n"/>
      <c r="E6156" s="215" t="n"/>
      <c r="F6156" s="215" t="n"/>
    </row>
    <row r="6157">
      <c r="A6157" s="215" t="n">
        <v>45363</v>
      </c>
      <c r="B6157" s="216" t="n">
        <v>10</v>
      </c>
      <c r="C6157" s="216" t="n"/>
      <c r="D6157" s="216" t="n"/>
      <c r="E6157" s="215" t="n"/>
      <c r="F6157" s="215" t="n"/>
    </row>
    <row r="6158">
      <c r="A6158" s="215" t="n">
        <v>45364</v>
      </c>
      <c r="B6158" s="216" t="n">
        <v>10.18</v>
      </c>
      <c r="C6158" s="216" t="n"/>
      <c r="D6158" s="216" t="n"/>
      <c r="E6158" s="215" t="n"/>
      <c r="F6158" s="215" t="n"/>
    </row>
    <row r="6159">
      <c r="A6159" s="215" t="n">
        <v>45365</v>
      </c>
      <c r="B6159" s="216" t="n">
        <v>10.5</v>
      </c>
      <c r="C6159" s="216" t="n"/>
      <c r="D6159" s="216" t="n"/>
      <c r="E6159" s="215" t="n"/>
      <c r="F6159" s="215" t="n"/>
    </row>
    <row r="6160">
      <c r="A6160" s="215" t="n">
        <v>45366</v>
      </c>
      <c r="B6160" s="216" t="n">
        <v>10.26</v>
      </c>
      <c r="C6160" s="216" t="n"/>
      <c r="D6160" s="216" t="n"/>
      <c r="E6160" s="215" t="n"/>
      <c r="F6160" s="215" t="n"/>
    </row>
    <row r="6161">
      <c r="A6161" s="215" t="n">
        <v>45369</v>
      </c>
      <c r="B6161" s="216" t="n">
        <v>9.699999999999999</v>
      </c>
      <c r="C6161" s="216" t="n"/>
      <c r="D6161" s="216" t="n"/>
      <c r="E6161" s="215" t="n"/>
      <c r="F6161" s="215" t="n"/>
    </row>
    <row r="6162">
      <c r="A6162" s="215" t="n">
        <v>45370</v>
      </c>
      <c r="B6162" s="216" t="n">
        <v>9.630000000000001</v>
      </c>
      <c r="C6162" s="216" t="n"/>
      <c r="D6162" s="216" t="n"/>
      <c r="E6162" s="215" t="n"/>
      <c r="F6162" s="215" t="n"/>
    </row>
    <row r="6163">
      <c r="A6163" s="215" t="n">
        <v>45371</v>
      </c>
      <c r="B6163" s="216" t="n">
        <v>9.460000000000001</v>
      </c>
      <c r="C6163" s="216" t="n"/>
      <c r="D6163" s="216" t="n"/>
      <c r="E6163" s="215" t="n"/>
      <c r="F6163" s="215" t="n"/>
    </row>
    <row r="6164">
      <c r="A6164" s="215" t="n">
        <v>45372</v>
      </c>
      <c r="B6164" s="216" t="n">
        <v>9</v>
      </c>
      <c r="C6164" s="216" t="n"/>
      <c r="D6164" s="216" t="n"/>
      <c r="E6164" s="215" t="n"/>
      <c r="F6164" s="215" t="n"/>
    </row>
    <row r="6165">
      <c r="A6165" s="215" t="n">
        <v>45373</v>
      </c>
      <c r="B6165" s="216" t="n">
        <v>8.69</v>
      </c>
      <c r="C6165" s="216" t="n"/>
      <c r="D6165" s="216" t="n"/>
      <c r="E6165" s="215" t="n"/>
      <c r="F6165" s="215" t="n"/>
    </row>
    <row r="6166">
      <c r="A6166" s="215" t="n">
        <v>45376</v>
      </c>
      <c r="B6166" s="216" t="n">
        <v>8.699999999999999</v>
      </c>
      <c r="C6166" s="216" t="n"/>
      <c r="D6166" s="216" t="n"/>
      <c r="E6166" s="215" t="n"/>
      <c r="F6166" s="215" t="n"/>
    </row>
    <row r="6167">
      <c r="A6167" s="215" t="n">
        <v>45377</v>
      </c>
      <c r="B6167" s="216" t="n">
        <v>8.84</v>
      </c>
      <c r="C6167" s="216" t="n"/>
      <c r="D6167" s="216" t="n"/>
      <c r="E6167" s="215" t="n"/>
      <c r="F6167" s="215" t="n"/>
    </row>
    <row r="6168">
      <c r="A6168" s="215" t="n">
        <v>45378</v>
      </c>
      <c r="B6168" s="216" t="n">
        <v>8.859999999999999</v>
      </c>
      <c r="C6168" s="216" t="n"/>
      <c r="D6168" s="216" t="n"/>
      <c r="E6168" s="215" t="n"/>
      <c r="F6168" s="215" t="n"/>
    </row>
    <row r="6169">
      <c r="A6169" s="215" t="n">
        <v>45379</v>
      </c>
      <c r="B6169" s="216" t="n">
        <v>8.65</v>
      </c>
      <c r="C6169" s="216" t="n"/>
      <c r="D6169" s="216" t="n"/>
      <c r="E6169" s="215" t="n"/>
      <c r="F6169" s="215" t="n"/>
    </row>
    <row r="6170">
      <c r="A6170" s="215" t="n">
        <v>45384</v>
      </c>
      <c r="B6170" s="216" t="n">
        <v>8.199999999999999</v>
      </c>
      <c r="C6170" s="216" t="n"/>
      <c r="D6170" s="216" t="n"/>
      <c r="E6170" s="215" t="n"/>
      <c r="F6170" s="215" t="n"/>
    </row>
    <row r="6171">
      <c r="A6171" s="215" t="n">
        <v>45385</v>
      </c>
      <c r="B6171" s="216" t="n">
        <v>7.88</v>
      </c>
      <c r="C6171" s="216" t="n"/>
      <c r="D6171" s="216" t="n"/>
      <c r="E6171" s="215" t="n"/>
      <c r="F6171" s="215" t="n"/>
    </row>
    <row r="6172">
      <c r="A6172" s="215" t="n">
        <v>45387</v>
      </c>
      <c r="B6172" s="216" t="n">
        <v>7.06</v>
      </c>
      <c r="C6172" s="216" t="n"/>
      <c r="D6172" s="216" t="n"/>
      <c r="E6172" s="215" t="n"/>
      <c r="F6172" s="215" t="n"/>
    </row>
    <row r="6173">
      <c r="A6173" s="215" t="n">
        <v>45390</v>
      </c>
      <c r="B6173" s="216" t="n">
        <v>6.9</v>
      </c>
      <c r="C6173" s="216" t="n"/>
      <c r="D6173" s="216" t="n"/>
      <c r="E6173" s="215" t="n"/>
      <c r="F6173" s="215" t="n"/>
    </row>
    <row r="6174">
      <c r="A6174" s="215" t="n">
        <v>45391</v>
      </c>
      <c r="B6174" s="216" t="n">
        <v>6.4</v>
      </c>
      <c r="C6174" s="216" t="n"/>
      <c r="D6174" s="216" t="n"/>
      <c r="E6174" s="215" t="n"/>
      <c r="F6174" s="215" t="n"/>
    </row>
    <row r="6175">
      <c r="A6175" s="215" t="n">
        <v>45392</v>
      </c>
      <c r="B6175" s="216" t="n">
        <v>6.11</v>
      </c>
      <c r="C6175" s="216" t="n"/>
      <c r="D6175" s="216" t="n"/>
      <c r="E6175" s="215" t="n"/>
      <c r="F6175" s="215" t="n"/>
    </row>
    <row r="6176">
      <c r="A6176" s="215" t="n">
        <v>45393</v>
      </c>
      <c r="B6176" s="216" t="n">
        <v>6.12</v>
      </c>
      <c r="C6176" s="216" t="n"/>
      <c r="D6176" s="216" t="n"/>
      <c r="E6176" s="215" t="n"/>
      <c r="F6176" s="215" t="n"/>
    </row>
    <row r="6177">
      <c r="A6177" s="215" t="n">
        <v>45394</v>
      </c>
      <c r="B6177" s="216" t="n">
        <v>6.6</v>
      </c>
      <c r="C6177" s="216" t="n"/>
      <c r="D6177" s="216" t="n"/>
      <c r="E6177" s="215" t="n"/>
      <c r="F6177" s="215" t="n"/>
    </row>
    <row r="6178">
      <c r="A6178" s="215" t="n">
        <v>45397</v>
      </c>
      <c r="B6178" s="216" t="n">
        <v>6.66</v>
      </c>
      <c r="C6178" s="216" t="n"/>
      <c r="D6178" s="216" t="n"/>
      <c r="E6178" s="215" t="n"/>
      <c r="F6178" s="215" t="n"/>
    </row>
    <row r="6179">
      <c r="A6179" s="215" t="n">
        <v>45398</v>
      </c>
      <c r="B6179" s="216" t="n">
        <v>6.83</v>
      </c>
      <c r="C6179" s="216" t="n"/>
      <c r="D6179" s="216" t="n"/>
      <c r="E6179" s="215" t="n"/>
      <c r="F6179" s="215" t="n"/>
    </row>
    <row r="6180">
      <c r="A6180" s="215" t="n">
        <v>45399</v>
      </c>
      <c r="B6180" s="216" t="n">
        <v>6.75</v>
      </c>
      <c r="C6180" s="216" t="n"/>
      <c r="D6180" s="216" t="n"/>
      <c r="E6180" s="215" t="n"/>
      <c r="F6180" s="215" t="n"/>
    </row>
    <row r="6181">
      <c r="A6181" s="215" t="n">
        <v>45400</v>
      </c>
      <c r="B6181" s="216" t="n">
        <v>7.12</v>
      </c>
      <c r="C6181" s="216" t="n"/>
      <c r="D6181" s="216" t="n"/>
      <c r="E6181" s="215" t="n"/>
      <c r="F6181" s="215" t="n"/>
    </row>
    <row r="6182">
      <c r="A6182" s="215" t="n">
        <v>45401</v>
      </c>
      <c r="B6182" s="216" t="n">
        <v>7.4</v>
      </c>
      <c r="C6182" s="216" t="n"/>
      <c r="D6182" s="216" t="n"/>
      <c r="E6182" s="215" t="n"/>
      <c r="F6182" s="215" t="n"/>
    </row>
    <row r="6183">
      <c r="A6183" s="215" t="n">
        <v>45404</v>
      </c>
      <c r="B6183" s="216" t="n">
        <v>7.8</v>
      </c>
      <c r="C6183" s="216" t="n"/>
      <c r="D6183" s="216" t="n"/>
      <c r="E6183" s="215" t="n"/>
      <c r="F6183" s="215" t="n"/>
    </row>
    <row r="6184">
      <c r="A6184" s="215" t="n">
        <v>45405</v>
      </c>
      <c r="B6184" s="216" t="n">
        <v>7.9</v>
      </c>
      <c r="C6184" s="216" t="n"/>
      <c r="D6184" s="216" t="n"/>
      <c r="E6184" s="215" t="n"/>
      <c r="F6184" s="215" t="n"/>
    </row>
    <row r="6185">
      <c r="A6185" s="215" t="n">
        <v>45406</v>
      </c>
      <c r="B6185" s="216" t="n">
        <v>7.74</v>
      </c>
      <c r="C6185" s="216" t="n"/>
      <c r="D6185" s="216" t="n"/>
      <c r="E6185" s="215" t="n"/>
      <c r="F6185" s="215" t="n"/>
    </row>
    <row r="6186">
      <c r="A6186" s="215" t="n">
        <v>45407</v>
      </c>
      <c r="B6186" s="216" t="n">
        <v>7.73</v>
      </c>
      <c r="C6186" s="216" t="n"/>
      <c r="D6186" s="216" t="n"/>
      <c r="E6186" s="215" t="n"/>
      <c r="F6186" s="215" t="n"/>
    </row>
    <row r="6187">
      <c r="A6187" s="215" t="n">
        <v>45408</v>
      </c>
      <c r="B6187" s="216" t="n">
        <v>8.300000000000001</v>
      </c>
      <c r="C6187" s="216" t="n"/>
      <c r="D6187" s="216" t="n"/>
      <c r="E6187" s="215" t="n"/>
      <c r="F6187" s="215" t="n"/>
    </row>
    <row r="6188">
      <c r="A6188" s="215" t="n">
        <v>45411</v>
      </c>
      <c r="B6188" s="216" t="n">
        <v>8.92</v>
      </c>
      <c r="C6188" s="216" t="n"/>
      <c r="D6188" s="216" t="n"/>
      <c r="E6188" s="215" t="n"/>
      <c r="F6188" s="215" t="n"/>
    </row>
    <row r="6189">
      <c r="A6189" s="215" t="n">
        <v>45412</v>
      </c>
      <c r="B6189" s="216" t="n">
        <v>8.710000000000001</v>
      </c>
      <c r="C6189" s="216" t="n"/>
      <c r="D6189" s="216" t="n"/>
      <c r="E6189" s="215" t="n"/>
      <c r="F6189" s="215" t="n"/>
    </row>
    <row r="6190">
      <c r="A6190" s="215" t="n">
        <v>45414</v>
      </c>
      <c r="B6190" s="216" t="n">
        <v>8.9</v>
      </c>
      <c r="C6190" s="216" t="n"/>
      <c r="D6190" s="216" t="n"/>
      <c r="E6190" s="215" t="n"/>
      <c r="F6190" s="215" t="n"/>
    </row>
    <row r="6191">
      <c r="A6191" s="215" t="n">
        <v>45415</v>
      </c>
      <c r="B6191" s="216" t="n">
        <v>8.779999999999999</v>
      </c>
      <c r="C6191" s="216" t="n"/>
      <c r="D6191" s="216" t="n"/>
      <c r="E6191" s="215" t="n"/>
      <c r="F6191" s="215" t="n"/>
    </row>
    <row r="6192">
      <c r="A6192" s="215" t="n">
        <v>45418</v>
      </c>
      <c r="B6192" s="216" t="n">
        <v>10.26</v>
      </c>
      <c r="C6192" s="216" t="n"/>
      <c r="D6192" s="216" t="n"/>
      <c r="E6192" s="215" t="n"/>
      <c r="F6192" s="215" t="n"/>
    </row>
    <row r="6193">
      <c r="A6193" s="215" t="n">
        <v>45419</v>
      </c>
      <c r="B6193" s="216" t="n">
        <v>9.720000000000001</v>
      </c>
      <c r="C6193" s="216" t="n"/>
      <c r="D6193" s="216" t="n"/>
      <c r="E6193" s="215" t="n"/>
      <c r="F6193" s="215" t="n"/>
    </row>
    <row r="6194">
      <c r="A6194" s="215" t="n">
        <v>45420</v>
      </c>
      <c r="B6194" s="216" t="n">
        <v>9.6</v>
      </c>
      <c r="C6194" s="216" t="n"/>
      <c r="D6194" s="216" t="n"/>
      <c r="E6194" s="215" t="n"/>
      <c r="F6194" s="215" t="n"/>
    </row>
    <row r="6195">
      <c r="A6195" s="215" t="n">
        <v>45421</v>
      </c>
      <c r="B6195" s="216" t="n">
        <v>10.22</v>
      </c>
      <c r="C6195" s="216" t="n"/>
      <c r="D6195" s="216" t="n"/>
      <c r="E6195" s="215" t="n"/>
      <c r="F6195" s="215" t="n"/>
    </row>
    <row r="6196">
      <c r="A6196" s="215" t="n">
        <v>45422</v>
      </c>
      <c r="B6196" s="216" t="n">
        <v>9.75</v>
      </c>
      <c r="C6196" s="216" t="n"/>
      <c r="D6196" s="216" t="n"/>
      <c r="E6196" s="215" t="n"/>
      <c r="F6196" s="215" t="n"/>
    </row>
    <row r="6197">
      <c r="A6197" s="215" t="n">
        <v>45425</v>
      </c>
      <c r="B6197" s="216" t="n">
        <v>9.83</v>
      </c>
      <c r="C6197" s="216" t="n"/>
      <c r="D6197" s="216" t="n"/>
      <c r="E6197" s="215" t="n"/>
      <c r="F6197" s="215" t="n"/>
    </row>
    <row r="6198">
      <c r="A6198" s="215" t="n">
        <v>45426</v>
      </c>
      <c r="B6198" s="216" t="n">
        <v>9.56</v>
      </c>
      <c r="C6198" s="216" t="n"/>
      <c r="D6198" s="216" t="n"/>
      <c r="E6198" s="215" t="n"/>
      <c r="F6198" s="215" t="n"/>
    </row>
    <row r="6199">
      <c r="A6199" s="215" t="n">
        <v>45428</v>
      </c>
      <c r="B6199" s="216" t="n">
        <v>9.199999999999999</v>
      </c>
      <c r="C6199" s="216" t="n"/>
      <c r="D6199" s="216" t="n"/>
      <c r="E6199" s="215" t="n"/>
      <c r="F6199" s="215" t="n"/>
    </row>
    <row r="6200">
      <c r="A6200" s="215" t="n">
        <v>45429</v>
      </c>
      <c r="B6200" s="216" t="n">
        <v>9.550000000000001</v>
      </c>
      <c r="C6200" s="216" t="n"/>
      <c r="D6200" s="216" t="n"/>
      <c r="E6200" s="215" t="n"/>
      <c r="F6200" s="215" t="n"/>
    </row>
    <row r="6201">
      <c r="A6201" s="215" t="n">
        <v>45432</v>
      </c>
      <c r="B6201" s="216" t="n">
        <v>9.6</v>
      </c>
      <c r="C6201" s="216" t="n"/>
      <c r="D6201" s="216" t="n"/>
      <c r="E6201" s="215" t="n"/>
      <c r="F6201" s="215" t="n"/>
    </row>
    <row r="6202">
      <c r="A6202" s="215" t="n">
        <v>45433</v>
      </c>
      <c r="B6202" s="216" t="n">
        <v>9.640000000000001</v>
      </c>
      <c r="C6202" s="216" t="n"/>
      <c r="D6202" s="216" t="n"/>
      <c r="E6202" s="215" t="n"/>
      <c r="F6202" s="215" t="n"/>
    </row>
    <row r="6203">
      <c r="A6203" s="215" t="n">
        <v>45434</v>
      </c>
      <c r="B6203" s="216" t="n">
        <v>9.73</v>
      </c>
      <c r="C6203" s="216" t="n"/>
      <c r="D6203" s="216" t="n"/>
      <c r="E6203" s="215" t="n"/>
      <c r="F6203" s="215" t="n"/>
    </row>
    <row r="6204">
      <c r="A6204" s="215" t="n">
        <v>45435</v>
      </c>
      <c r="B6204" s="216" t="n">
        <v>9.76</v>
      </c>
      <c r="C6204" s="216" t="n"/>
      <c r="D6204" s="216" t="n"/>
      <c r="E6204" s="215" t="n"/>
      <c r="F6204" s="215" t="n"/>
    </row>
    <row r="6205">
      <c r="A6205" s="215" t="n">
        <v>45436</v>
      </c>
      <c r="B6205" s="216" t="n">
        <v>9.56</v>
      </c>
      <c r="C6205" s="216" t="n"/>
      <c r="D6205" s="216" t="n"/>
      <c r="E6205" s="215" t="n"/>
      <c r="F6205" s="215" t="n"/>
    </row>
    <row r="6206">
      <c r="A6206" s="215" t="n">
        <v>45439</v>
      </c>
      <c r="B6206" s="216" t="n">
        <v>9.59</v>
      </c>
      <c r="C6206" s="216" t="n"/>
      <c r="D6206" s="216" t="n"/>
      <c r="E6206" s="215" t="n"/>
      <c r="F6206" s="215" t="n"/>
    </row>
    <row r="6207">
      <c r="A6207" s="215" t="n">
        <v>45440</v>
      </c>
      <c r="B6207" s="216" t="n">
        <v>9.26</v>
      </c>
      <c r="C6207" s="216" t="n"/>
      <c r="D6207" s="216" t="n"/>
      <c r="E6207" s="215" t="n"/>
      <c r="F6207" s="215" t="n"/>
    </row>
    <row r="6208">
      <c r="A6208" s="215" t="n">
        <v>45441</v>
      </c>
      <c r="B6208" s="216" t="n">
        <v>8.869999999999999</v>
      </c>
      <c r="C6208" s="216" t="n"/>
      <c r="D6208" s="216" t="n"/>
      <c r="E6208" s="215" t="n"/>
      <c r="F6208" s="215" t="n"/>
    </row>
    <row r="6209">
      <c r="A6209" s="215" t="n">
        <v>45442</v>
      </c>
      <c r="B6209" s="216" t="n">
        <v>8.720000000000001</v>
      </c>
      <c r="C6209" s="216" t="n"/>
      <c r="D6209" s="216" t="n"/>
      <c r="E6209" s="215" t="n"/>
      <c r="F6209" s="215" t="n"/>
    </row>
    <row r="6210">
      <c r="A6210" s="215" t="n">
        <v>45443</v>
      </c>
      <c r="B6210" s="216" t="n">
        <v>8.890000000000001</v>
      </c>
      <c r="C6210" s="216" t="n"/>
      <c r="D6210" s="216" t="n"/>
      <c r="E6210" s="215" t="n"/>
      <c r="F6210" s="215" t="n"/>
    </row>
    <row r="6211">
      <c r="A6211" s="215" t="n">
        <v>45446</v>
      </c>
      <c r="B6211" s="216" t="n">
        <v>8.529999999999999</v>
      </c>
      <c r="C6211" s="216" t="n"/>
      <c r="D6211" s="216" t="n"/>
      <c r="E6211" s="215" t="n"/>
      <c r="F6211" s="215" t="n"/>
    </row>
    <row r="6212">
      <c r="A6212" s="215" t="n">
        <v>45447</v>
      </c>
      <c r="B6212" s="216" t="n">
        <v>8.970000000000001</v>
      </c>
      <c r="C6212" s="216" t="n"/>
      <c r="D6212" s="216" t="n"/>
      <c r="E6212" s="215" t="n"/>
      <c r="F6212" s="215" t="n"/>
    </row>
    <row r="6213">
      <c r="A6213" s="215" t="n">
        <v>45448</v>
      </c>
      <c r="B6213" s="216" t="n">
        <v>8.800000000000001</v>
      </c>
      <c r="C6213" s="216" t="n"/>
      <c r="D6213" s="216" t="n"/>
      <c r="E6213" s="215" t="n"/>
      <c r="F6213" s="215" t="n"/>
    </row>
    <row r="6214">
      <c r="A6214" s="215" t="n">
        <v>45449</v>
      </c>
      <c r="B6214" s="216" t="n">
        <v>8.52</v>
      </c>
      <c r="C6214" s="216" t="n"/>
      <c r="D6214" s="216" t="n"/>
      <c r="E6214" s="215" t="n"/>
      <c r="F6214" s="215" t="n"/>
    </row>
    <row r="6215">
      <c r="A6215" s="215" t="n">
        <v>45450</v>
      </c>
      <c r="B6215" s="216" t="n">
        <v>8.029999999999999</v>
      </c>
      <c r="C6215" s="216" t="n"/>
      <c r="D6215" s="216" t="n"/>
      <c r="E6215" s="215" t="n"/>
      <c r="F6215" s="215" t="n"/>
    </row>
    <row r="6216">
      <c r="A6216" s="215" t="n">
        <v>45454</v>
      </c>
      <c r="B6216" s="216" t="n">
        <v>7.94</v>
      </c>
      <c r="C6216" s="216" t="n"/>
      <c r="D6216" s="216" t="n"/>
      <c r="E6216" s="215" t="n"/>
      <c r="F6216" s="215" t="n"/>
    </row>
    <row r="6217">
      <c r="A6217" s="215" t="n">
        <v>45455</v>
      </c>
      <c r="B6217" s="216" t="n">
        <v>8.029999999999999</v>
      </c>
      <c r="C6217" s="216" t="n"/>
      <c r="D6217" s="216" t="n"/>
      <c r="E6217" s="215" t="n"/>
      <c r="F6217" s="215" t="n"/>
    </row>
    <row r="6218">
      <c r="A6218" s="215" t="n">
        <v>45456</v>
      </c>
      <c r="B6218" s="216" t="n">
        <v>8.050000000000001</v>
      </c>
      <c r="C6218" s="216" t="n"/>
      <c r="D6218" s="216" t="n"/>
      <c r="E6218" s="215" t="n"/>
      <c r="F6218" s="215" t="n"/>
    </row>
    <row r="6219">
      <c r="A6219" s="215" t="n">
        <v>45457</v>
      </c>
      <c r="B6219" s="216" t="n">
        <v>8.07</v>
      </c>
      <c r="C6219" s="216" t="n"/>
      <c r="D6219" s="216" t="n"/>
      <c r="E6219" s="215" t="n"/>
      <c r="F6219" s="215" t="n"/>
    </row>
    <row r="6220">
      <c r="A6220" s="215" t="n">
        <v>45460</v>
      </c>
      <c r="B6220" s="216" t="n">
        <v>7.49</v>
      </c>
      <c r="C6220" s="216" t="n"/>
      <c r="D6220" s="216" t="n"/>
      <c r="E6220" s="215" t="n"/>
      <c r="F6220" s="215" t="n"/>
    </row>
    <row r="6221">
      <c r="A6221" s="215" t="n">
        <v>45461</v>
      </c>
      <c r="B6221" s="216" t="n">
        <v>7.9</v>
      </c>
      <c r="C6221" s="216" t="n"/>
      <c r="D6221" s="216" t="n"/>
      <c r="E6221" s="215" t="n"/>
      <c r="F6221" s="215" t="n"/>
    </row>
    <row r="6222">
      <c r="A6222" s="215" t="n">
        <v>45462</v>
      </c>
      <c r="B6222" s="216" t="n">
        <v>7.8</v>
      </c>
      <c r="C6222" s="216" t="n"/>
      <c r="D6222" s="216" t="n"/>
      <c r="E6222" s="215" t="n"/>
      <c r="F6222" s="215" t="n"/>
    </row>
    <row r="6223">
      <c r="A6223" s="215" t="n">
        <v>45463</v>
      </c>
      <c r="B6223" s="216" t="n">
        <v>7.5</v>
      </c>
      <c r="C6223" s="216" t="n"/>
      <c r="D6223" s="216" t="n"/>
      <c r="E6223" s="215" t="n"/>
      <c r="F6223" s="215" t="n"/>
    </row>
    <row r="6224">
      <c r="A6224" s="215" t="n">
        <v>45464</v>
      </c>
      <c r="B6224" s="216" t="n">
        <v>7.5</v>
      </c>
      <c r="C6224" s="216" t="n"/>
      <c r="D6224" s="216" t="n"/>
      <c r="E6224" s="215" t="n"/>
      <c r="F6224" s="215" t="n"/>
    </row>
    <row r="6225">
      <c r="A6225" s="215" t="n">
        <v>45467</v>
      </c>
      <c r="B6225" s="216" t="n">
        <v>7.49</v>
      </c>
      <c r="C6225" s="216" t="n"/>
      <c r="D6225" s="216" t="n"/>
      <c r="E6225" s="215" t="n"/>
      <c r="F6225" s="215" t="n"/>
    </row>
    <row r="6226">
      <c r="A6226" s="215" t="n">
        <v>45468</v>
      </c>
      <c r="B6226" s="216" t="n">
        <v>7.42</v>
      </c>
      <c r="C6226" s="216" t="n"/>
      <c r="D6226" s="216" t="n"/>
      <c r="E6226" s="215" t="n"/>
      <c r="F6226" s="215" t="n"/>
    </row>
    <row r="6227">
      <c r="A6227" s="215" t="n">
        <v>45469</v>
      </c>
      <c r="B6227" s="216" t="n">
        <v>7.47</v>
      </c>
      <c r="C6227" s="216" t="n"/>
      <c r="D6227" s="216" t="n"/>
      <c r="E6227" s="215" t="n"/>
      <c r="F6227" s="215" t="n"/>
    </row>
    <row r="6228">
      <c r="A6228" s="215" t="n">
        <v>45470</v>
      </c>
      <c r="B6228" s="216" t="n">
        <v>7.4</v>
      </c>
      <c r="C6228" s="216" t="n"/>
      <c r="D6228" s="216" t="n"/>
      <c r="E6228" s="215" t="n"/>
      <c r="F6228" s="215" t="n"/>
    </row>
    <row r="6229">
      <c r="A6229" s="215" t="n">
        <v>45471</v>
      </c>
      <c r="B6229" s="216" t="n">
        <v>7.65</v>
      </c>
      <c r="C6229" s="216" t="n"/>
      <c r="D6229" s="216" t="n"/>
      <c r="E6229" s="215" t="n"/>
      <c r="F6229" s="215" t="n"/>
    </row>
    <row r="6230">
      <c r="A6230" s="215" t="n">
        <v>45475</v>
      </c>
      <c r="B6230" s="216" t="n">
        <v>7.23</v>
      </c>
      <c r="C6230" s="216" t="n"/>
      <c r="D6230" s="216" t="n"/>
      <c r="E6230" s="215" t="n"/>
      <c r="F6230" s="215" t="n"/>
    </row>
    <row r="6231">
      <c r="A6231" s="215" t="n">
        <v>45476</v>
      </c>
      <c r="B6231" s="216" t="n">
        <v>7.43</v>
      </c>
      <c r="C6231" s="216" t="n"/>
      <c r="D6231" s="216" t="n"/>
      <c r="E6231" s="215" t="n"/>
      <c r="F6231" s="215" t="n"/>
    </row>
    <row r="6232">
      <c r="A6232" s="215" t="n">
        <v>45477</v>
      </c>
      <c r="B6232" s="216" t="n">
        <v>7.47</v>
      </c>
      <c r="C6232" s="216" t="n"/>
      <c r="D6232" s="216" t="n"/>
      <c r="E6232" s="215" t="n"/>
      <c r="F6232" s="215" t="n"/>
    </row>
    <row r="6233">
      <c r="A6233" s="215" t="n">
        <v>45478</v>
      </c>
      <c r="B6233" s="216" t="n">
        <v>7.72</v>
      </c>
      <c r="C6233" s="216" t="n"/>
      <c r="D6233" s="216" t="n"/>
      <c r="E6233" s="215" t="n"/>
      <c r="F6233" s="215" t="n"/>
    </row>
    <row r="6234">
      <c r="A6234" s="215" t="n">
        <v>45481</v>
      </c>
      <c r="B6234" s="216" t="n">
        <v>7.59</v>
      </c>
      <c r="C6234" s="216" t="n"/>
      <c r="D6234" s="216" t="n"/>
      <c r="E6234" s="215" t="n"/>
      <c r="F6234" s="215" t="n"/>
    </row>
    <row r="6235">
      <c r="A6235" s="215" t="n">
        <v>45482</v>
      </c>
      <c r="B6235" s="216" t="n">
        <v>7.51</v>
      </c>
      <c r="C6235" s="216" t="n"/>
      <c r="D6235" s="216" t="n"/>
      <c r="E6235" s="215" t="n"/>
      <c r="F6235" s="215" t="n"/>
    </row>
    <row r="6236">
      <c r="A6236" s="215" t="n">
        <v>45483</v>
      </c>
      <c r="B6236" s="216" t="n">
        <v>7.45</v>
      </c>
      <c r="C6236" s="216" t="n"/>
      <c r="D6236" s="216" t="n"/>
      <c r="E6236" s="215" t="n"/>
      <c r="F6236" s="215" t="n"/>
    </row>
    <row r="6237">
      <c r="A6237" s="215" t="n">
        <v>45484</v>
      </c>
      <c r="B6237" s="216" t="n">
        <v>7.59</v>
      </c>
      <c r="C6237" s="216" t="n"/>
      <c r="D6237" s="216" t="n"/>
      <c r="E6237" s="215" t="n"/>
      <c r="F6237" s="215" t="n"/>
    </row>
    <row r="6238">
      <c r="A6238" s="215" t="n">
        <v>45485</v>
      </c>
      <c r="B6238" s="216" t="n">
        <v>7.45</v>
      </c>
      <c r="C6238" s="216" t="n"/>
      <c r="D6238" s="216" t="n"/>
      <c r="E6238" s="215" t="n"/>
      <c r="F6238" s="215" t="n"/>
    </row>
    <row r="6239">
      <c r="A6239" s="215" t="n">
        <v>45488</v>
      </c>
      <c r="B6239" s="216" t="n">
        <v>7.28</v>
      </c>
      <c r="C6239" s="216" t="n"/>
      <c r="D6239" s="216" t="n"/>
      <c r="E6239" s="215" t="n"/>
      <c r="F6239" s="215" t="n"/>
    </row>
    <row r="6240">
      <c r="A6240" s="215" t="n">
        <v>45489</v>
      </c>
      <c r="B6240" s="216" t="n">
        <v>7.53</v>
      </c>
      <c r="C6240" s="216" t="n"/>
      <c r="D6240" s="216" t="n"/>
      <c r="E6240" s="215" t="n"/>
      <c r="F6240" s="215" t="n"/>
    </row>
    <row r="6241">
      <c r="A6241" s="215" t="n">
        <v>45490</v>
      </c>
      <c r="B6241" s="216" t="n">
        <v>8.550000000000001</v>
      </c>
      <c r="C6241" s="216" t="n"/>
      <c r="D6241" s="216" t="n"/>
      <c r="E6241" s="215" t="n"/>
      <c r="F6241" s="215" t="n"/>
    </row>
    <row r="6242">
      <c r="A6242" s="215" t="n">
        <v>45491</v>
      </c>
      <c r="B6242" s="216" t="n">
        <v>8.300000000000001</v>
      </c>
      <c r="C6242" s="216" t="n"/>
      <c r="D6242" s="216" t="n"/>
      <c r="E6242" s="215" t="n"/>
      <c r="F6242" s="215" t="n"/>
    </row>
    <row r="6243">
      <c r="A6243" s="215" t="n">
        <v>45492</v>
      </c>
      <c r="B6243" s="216" t="n">
        <v>7.42</v>
      </c>
      <c r="C6243" s="216" t="n"/>
      <c r="D6243" s="216" t="n"/>
      <c r="E6243" s="215" t="n"/>
      <c r="F6243" s="215" t="n"/>
    </row>
    <row r="6244">
      <c r="A6244" s="215" t="n">
        <v>45495</v>
      </c>
      <c r="B6244" s="216" t="n">
        <v>7.63</v>
      </c>
      <c r="C6244" s="216" t="n"/>
      <c r="D6244" s="216" t="n"/>
      <c r="E6244" s="215" t="n"/>
      <c r="F6244" s="215" t="n"/>
    </row>
    <row r="6245">
      <c r="A6245" s="215" t="n">
        <v>45496</v>
      </c>
      <c r="B6245" s="216" t="n">
        <v>7.39</v>
      </c>
      <c r="C6245" s="216" t="n"/>
      <c r="D6245" s="216" t="n"/>
      <c r="E6245" s="215" t="n"/>
      <c r="F6245" s="215" t="n"/>
    </row>
    <row r="6246">
      <c r="A6246" s="215" t="n">
        <v>45497</v>
      </c>
      <c r="B6246" s="216" t="n">
        <v>7.3</v>
      </c>
      <c r="C6246" s="216" t="n"/>
      <c r="D6246" s="216" t="n"/>
      <c r="E6246" s="215" t="n"/>
      <c r="F6246" s="215" t="n"/>
    </row>
    <row r="6247">
      <c r="A6247" s="215" t="n">
        <v>45498</v>
      </c>
      <c r="B6247" s="216" t="n">
        <v>7.29</v>
      </c>
      <c r="C6247" s="216" t="n"/>
      <c r="D6247" s="216" t="n"/>
      <c r="E6247" s="215" t="n"/>
      <c r="F6247" s="215" t="n"/>
    </row>
    <row r="6248">
      <c r="A6248" s="215" t="n">
        <v>45499</v>
      </c>
      <c r="B6248" s="216" t="n">
        <v>6.94</v>
      </c>
      <c r="C6248" s="216" t="n"/>
      <c r="D6248" s="216" t="n"/>
      <c r="E6248" s="215" t="n"/>
      <c r="F6248" s="215" t="n"/>
    </row>
    <row r="6249">
      <c r="A6249" s="215" t="n">
        <v>45502</v>
      </c>
      <c r="B6249" s="216" t="n">
        <v>6.93</v>
      </c>
      <c r="C6249" s="216" t="n"/>
      <c r="D6249" s="216" t="n"/>
      <c r="E6249" s="215" t="n"/>
      <c r="F6249" s="215" t="n"/>
    </row>
    <row r="6250">
      <c r="A6250" s="215" t="n">
        <v>45503</v>
      </c>
      <c r="B6250" s="216" t="n">
        <v>6.79</v>
      </c>
      <c r="C6250" s="216" t="n"/>
      <c r="D6250" s="216" t="n"/>
      <c r="E6250" s="215" t="n"/>
      <c r="F6250" s="215" t="n"/>
    </row>
    <row r="6251">
      <c r="A6251" s="215" t="n">
        <v>45504</v>
      </c>
      <c r="B6251" s="216" t="n">
        <v>6.3</v>
      </c>
      <c r="C6251" s="216" t="n"/>
      <c r="D6251" s="216" t="n"/>
      <c r="E6251" s="215" t="n"/>
      <c r="F6251" s="215" t="n"/>
    </row>
    <row r="6252">
      <c r="A6252" s="215" t="n">
        <v>45505</v>
      </c>
      <c r="B6252" s="216" t="n">
        <v>6.66</v>
      </c>
      <c r="C6252" s="216" t="n"/>
      <c r="D6252" s="216" t="n"/>
      <c r="E6252" s="215" t="n"/>
      <c r="F6252" s="215" t="n"/>
    </row>
    <row r="6253">
      <c r="A6253" s="215" t="n">
        <v>45506</v>
      </c>
      <c r="B6253" s="216" t="n">
        <v>6.75</v>
      </c>
      <c r="C6253" s="216" t="n"/>
      <c r="D6253" s="216" t="n"/>
      <c r="E6253" s="215" t="n"/>
      <c r="F6253" s="215" t="n"/>
    </row>
    <row r="6254">
      <c r="A6254" s="215" t="n">
        <v>45509</v>
      </c>
      <c r="B6254" s="216" t="n">
        <v>6.3</v>
      </c>
      <c r="C6254" s="216" t="n"/>
      <c r="D6254" s="216" t="n"/>
      <c r="E6254" s="215" t="n"/>
      <c r="F6254" s="215" t="n"/>
    </row>
    <row r="6255">
      <c r="A6255" s="215" t="n">
        <v>45510</v>
      </c>
      <c r="B6255" s="216" t="n">
        <v>6.48</v>
      </c>
      <c r="C6255" s="216" t="n"/>
      <c r="D6255" s="216" t="n"/>
      <c r="E6255" s="215" t="n"/>
      <c r="F6255" s="215" t="n"/>
    </row>
    <row r="6256">
      <c r="A6256" s="215" t="n">
        <v>45511</v>
      </c>
      <c r="B6256" s="216" t="n">
        <v>6.35</v>
      </c>
      <c r="C6256" s="216" t="n"/>
      <c r="D6256" s="216" t="n"/>
      <c r="E6256" s="215" t="n"/>
      <c r="F6256" s="215" t="n"/>
    </row>
    <row r="6257">
      <c r="A6257" s="215" t="n">
        <v>45512</v>
      </c>
      <c r="B6257" s="216" t="n">
        <v>6.19</v>
      </c>
      <c r="C6257" s="216" t="n"/>
      <c r="D6257" s="216" t="n"/>
      <c r="E6257" s="215" t="n"/>
      <c r="F6257" s="215" t="n"/>
    </row>
    <row r="6258">
      <c r="A6258" s="215" t="n">
        <v>45513</v>
      </c>
      <c r="B6258" s="216" t="n">
        <v>6.21</v>
      </c>
      <c r="C6258" s="216" t="n"/>
      <c r="D6258" s="216" t="n"/>
      <c r="E6258" s="215" t="n"/>
      <c r="F6258" s="215" t="n"/>
    </row>
    <row r="6259">
      <c r="A6259" s="215" t="n">
        <v>45516</v>
      </c>
      <c r="B6259" s="216" t="n">
        <v>5.93</v>
      </c>
      <c r="C6259" s="216" t="n"/>
      <c r="D6259" s="216" t="n"/>
      <c r="E6259" s="215" t="n"/>
      <c r="F6259" s="215" t="n"/>
    </row>
    <row r="6260">
      <c r="A6260" s="215" t="n">
        <v>45517</v>
      </c>
      <c r="B6260" s="216" t="n">
        <v>6.02</v>
      </c>
      <c r="C6260" s="216" t="n"/>
      <c r="D6260" s="216" t="n"/>
      <c r="E6260" s="215" t="n"/>
      <c r="F6260" s="215" t="n"/>
    </row>
    <row r="6261">
      <c r="A6261" s="215" t="n">
        <v>45518</v>
      </c>
      <c r="B6261" s="216" t="n">
        <v>6</v>
      </c>
      <c r="C6261" s="216" t="n"/>
      <c r="D6261" s="216" t="n"/>
      <c r="E6261" s="215" t="n"/>
      <c r="F6261" s="215" t="n"/>
    </row>
    <row r="6262">
      <c r="A6262" s="215" t="n">
        <v>45519</v>
      </c>
      <c r="B6262" s="216" t="n">
        <v>6.22</v>
      </c>
      <c r="C6262" s="216" t="n"/>
      <c r="D6262" s="216" t="n"/>
      <c r="E6262" s="215" t="n"/>
      <c r="F6262" s="215" t="n"/>
    </row>
    <row r="6263">
      <c r="A6263" s="215" t="n">
        <v>45520</v>
      </c>
      <c r="B6263" s="216" t="n">
        <v>6.69</v>
      </c>
      <c r="C6263" s="216" t="n"/>
      <c r="D6263" s="216" t="n"/>
      <c r="E6263" s="215" t="n"/>
      <c r="F6263" s="215" t="n"/>
    </row>
    <row r="6264">
      <c r="A6264" s="215" t="n">
        <v>45523</v>
      </c>
      <c r="B6264" s="216" t="n">
        <v>6.22</v>
      </c>
      <c r="C6264" s="216" t="n"/>
      <c r="D6264" s="216" t="n"/>
      <c r="E6264" s="215" t="n"/>
      <c r="F6264" s="215" t="n"/>
    </row>
    <row r="6265">
      <c r="A6265" s="215" t="n">
        <v>45524</v>
      </c>
      <c r="B6265" s="216" t="n">
        <v>6.12</v>
      </c>
      <c r="C6265" s="216" t="n"/>
      <c r="D6265" s="216" t="n"/>
      <c r="E6265" s="215" t="n"/>
      <c r="F6265" s="215" t="n"/>
    </row>
    <row r="6266">
      <c r="A6266" s="215" t="n">
        <v>45525</v>
      </c>
      <c r="B6266" s="216" t="n">
        <v>6.3</v>
      </c>
      <c r="C6266" s="216" t="n"/>
      <c r="D6266" s="216" t="n"/>
      <c r="E6266" s="215" t="n"/>
      <c r="F6266" s="215" t="n"/>
    </row>
    <row r="6267">
      <c r="A6267" s="215" t="n">
        <v>45526</v>
      </c>
      <c r="B6267" s="216" t="n">
        <v>6.31</v>
      </c>
      <c r="C6267" s="216" t="n"/>
      <c r="D6267" s="216" t="n"/>
      <c r="E6267" s="215" t="n"/>
      <c r="F6267" s="215" t="n"/>
    </row>
    <row r="6268">
      <c r="A6268" s="215" t="n">
        <v>45527</v>
      </c>
      <c r="B6268" s="216" t="n">
        <v>6.5</v>
      </c>
      <c r="C6268" s="216" t="n"/>
      <c r="D6268" s="216" t="n"/>
      <c r="E6268" s="215" t="n"/>
      <c r="F6268" s="215" t="n"/>
    </row>
    <row r="6269">
      <c r="A6269" s="215" t="n">
        <v>45530</v>
      </c>
      <c r="B6269" s="216" t="n">
        <v>5.99</v>
      </c>
      <c r="C6269" s="216" t="n"/>
      <c r="D6269" s="216" t="n"/>
      <c r="E6269" s="215" t="n"/>
      <c r="F6269" s="215" t="n"/>
    </row>
    <row r="6270">
      <c r="A6270" s="215" t="n">
        <v>45531</v>
      </c>
      <c r="B6270" s="216" t="n">
        <v>6.3</v>
      </c>
      <c r="C6270" s="216" t="n"/>
      <c r="D6270" s="216" t="n"/>
      <c r="E6270" s="215" t="n"/>
      <c r="F6270" s="215" t="n"/>
    </row>
    <row r="6271">
      <c r="A6271" s="215" t="n">
        <v>45532</v>
      </c>
      <c r="B6271" s="216" t="n">
        <v>6.29</v>
      </c>
      <c r="C6271" s="216" t="n"/>
      <c r="D6271" s="216" t="n"/>
      <c r="E6271" s="215" t="n"/>
      <c r="F6271" s="215" t="n"/>
    </row>
    <row r="6272">
      <c r="A6272" s="215" t="n">
        <v>45533</v>
      </c>
      <c r="B6272" s="216" t="n">
        <v>6.37</v>
      </c>
      <c r="C6272" s="216" t="n"/>
      <c r="D6272" s="216" t="n"/>
      <c r="E6272" s="215" t="n"/>
      <c r="F6272" s="215" t="n"/>
    </row>
    <row r="6273">
      <c r="A6273" s="215" t="n">
        <v>45534</v>
      </c>
      <c r="B6273" s="216" t="n">
        <v>6.43</v>
      </c>
      <c r="C6273" s="216" t="n"/>
      <c r="D6273" s="216" t="n"/>
      <c r="E6273" s="215" t="n"/>
      <c r="F6273" s="215" t="n"/>
    </row>
    <row r="6274">
      <c r="A6274" s="215" t="n">
        <v>45537</v>
      </c>
      <c r="B6274" s="216" t="n">
        <v>6.2</v>
      </c>
      <c r="C6274" s="216" t="n"/>
      <c r="D6274" s="216" t="n"/>
      <c r="E6274" s="215" t="n"/>
      <c r="F6274" s="215" t="n"/>
    </row>
    <row r="6275">
      <c r="A6275" s="215" t="n">
        <v>45538</v>
      </c>
      <c r="B6275" s="216" t="n">
        <v>6.1</v>
      </c>
      <c r="C6275" s="216" t="n"/>
      <c r="D6275" s="216" t="n"/>
      <c r="E6275" s="215" t="n"/>
      <c r="F6275" s="215" t="n"/>
    </row>
    <row r="6276">
      <c r="A6276" s="215" t="n">
        <v>45539</v>
      </c>
      <c r="B6276" s="216" t="n">
        <v>6.17</v>
      </c>
      <c r="C6276" s="216" t="n"/>
      <c r="D6276" s="216" t="n"/>
      <c r="E6276" s="215" t="n"/>
      <c r="F6276" s="215" t="n"/>
    </row>
    <row r="6277">
      <c r="A6277" s="215" t="n">
        <v>45540</v>
      </c>
      <c r="B6277" s="216" t="n">
        <v>6.27</v>
      </c>
      <c r="C6277" s="216" t="n"/>
      <c r="D6277" s="216" t="n"/>
      <c r="E6277" s="215" t="n"/>
      <c r="F6277" s="215" t="n"/>
    </row>
    <row r="6278">
      <c r="A6278" s="215" t="n">
        <v>45544</v>
      </c>
      <c r="B6278" s="216" t="n">
        <v>6.01</v>
      </c>
      <c r="C6278" s="216" t="n"/>
      <c r="D6278" s="216" t="n"/>
      <c r="E6278" s="215" t="n"/>
      <c r="F6278" s="215" t="n"/>
    </row>
    <row r="6279">
      <c r="A6279" s="215" t="n">
        <v>45545</v>
      </c>
      <c r="B6279" s="216" t="n">
        <v>6.06</v>
      </c>
      <c r="C6279" s="216" t="n"/>
      <c r="D6279" s="216" t="n"/>
      <c r="E6279" s="215" t="n"/>
      <c r="F6279" s="215" t="n"/>
    </row>
    <row r="6280">
      <c r="A6280" s="215" t="n">
        <v>45546</v>
      </c>
      <c r="B6280" s="216" t="n">
        <v>6.09</v>
      </c>
      <c r="C6280" s="216" t="n"/>
      <c r="D6280" s="216" t="n"/>
      <c r="E6280" s="215" t="n"/>
      <c r="F6280" s="215" t="n"/>
    </row>
    <row r="6281">
      <c r="A6281" s="215" t="n">
        <v>45547</v>
      </c>
      <c r="B6281" s="216" t="n">
        <v>6.03</v>
      </c>
      <c r="C6281" s="216" t="n"/>
      <c r="D6281" s="216" t="n"/>
      <c r="E6281" s="215" t="n"/>
      <c r="F6281" s="215" t="n"/>
    </row>
    <row r="6282">
      <c r="A6282" s="215" t="n">
        <v>45548</v>
      </c>
      <c r="B6282" s="216" t="n">
        <v>5.98</v>
      </c>
      <c r="C6282" s="216" t="n"/>
      <c r="D6282" s="216" t="n"/>
      <c r="E6282" s="215" t="n"/>
      <c r="F6282" s="215" t="n"/>
    </row>
    <row r="6283">
      <c r="A6283" s="215" t="n">
        <v>45551</v>
      </c>
      <c r="B6283" s="216" t="n">
        <v>6.38</v>
      </c>
      <c r="C6283" s="216" t="n"/>
      <c r="D6283" s="216" t="n"/>
      <c r="E6283" s="215" t="n"/>
      <c r="F6283" s="215" t="n"/>
    </row>
    <row r="6284">
      <c r="A6284" s="215" t="n">
        <v>45552</v>
      </c>
      <c r="B6284" s="216" t="n">
        <v>6.65</v>
      </c>
      <c r="C6284" s="216" t="n"/>
      <c r="D6284" s="216" t="n"/>
      <c r="E6284" s="215" t="n"/>
      <c r="F6284" s="215" t="n"/>
    </row>
    <row r="6285">
      <c r="A6285" s="215" t="n">
        <v>45554</v>
      </c>
      <c r="B6285" s="216" t="n">
        <v>6.21</v>
      </c>
      <c r="C6285" s="216" t="n"/>
      <c r="D6285" s="216" t="n"/>
      <c r="E6285" s="215" t="n"/>
      <c r="F6285" s="215" t="n"/>
    </row>
    <row r="6286">
      <c r="A6286" s="215" t="n">
        <v>45555</v>
      </c>
      <c r="B6286" s="216" t="n">
        <v>6.3</v>
      </c>
      <c r="C6286" s="216" t="n"/>
      <c r="D6286" s="216" t="n"/>
      <c r="E6286" s="215" t="n"/>
      <c r="F6286" s="215" t="n"/>
    </row>
    <row r="6287">
      <c r="A6287" s="215" t="n">
        <v>45558</v>
      </c>
      <c r="B6287" s="216" t="n">
        <v>6.26</v>
      </c>
      <c r="C6287" s="216" t="n"/>
      <c r="D6287" s="216" t="n"/>
      <c r="E6287" s="215" t="n"/>
      <c r="F6287" s="215" t="n"/>
    </row>
    <row r="6288">
      <c r="A6288" s="215" t="n">
        <v>45559</v>
      </c>
      <c r="B6288" s="216" t="n">
        <v>6.11</v>
      </c>
      <c r="C6288" s="216" t="n"/>
      <c r="D6288" s="216" t="n"/>
      <c r="E6288" s="215" t="n"/>
      <c r="F6288" s="215" t="n"/>
    </row>
    <row r="6289">
      <c r="A6289" s="215" t="n">
        <v>45560</v>
      </c>
      <c r="B6289" s="216" t="n">
        <v>6.07</v>
      </c>
      <c r="C6289" s="216" t="n"/>
      <c r="D6289" s="216" t="n"/>
      <c r="E6289" s="215" t="n"/>
      <c r="F6289" s="215" t="n"/>
    </row>
    <row r="6290">
      <c r="A6290" s="215" t="n">
        <v>45561</v>
      </c>
      <c r="B6290" s="216" t="n">
        <v>6.25</v>
      </c>
      <c r="C6290" s="216" t="n"/>
      <c r="D6290" s="216" t="n"/>
      <c r="E6290" s="215" t="n"/>
      <c r="F6290" s="215" t="n"/>
    </row>
    <row r="6291">
      <c r="A6291" s="215" t="n">
        <v>45562</v>
      </c>
      <c r="B6291" s="216" t="n">
        <v>6.99</v>
      </c>
      <c r="C6291" s="216" t="n"/>
      <c r="D6291" s="216" t="n"/>
      <c r="E6291" s="215" t="n"/>
      <c r="F6291" s="215" t="n"/>
    </row>
    <row r="6292">
      <c r="A6292" s="215" t="n">
        <v>45565</v>
      </c>
      <c r="B6292" s="216" t="n">
        <v>7.5</v>
      </c>
      <c r="C6292" s="216" t="n"/>
      <c r="D6292" s="216" t="n"/>
      <c r="E6292" s="215" t="n"/>
      <c r="F6292" s="215" t="n"/>
    </row>
    <row r="6293">
      <c r="A6293" s="215" t="n">
        <v>45567</v>
      </c>
      <c r="B6293" s="216" t="n">
        <v>9.06</v>
      </c>
      <c r="C6293" s="216" t="n"/>
      <c r="D6293" s="216" t="n"/>
      <c r="E6293" s="215" t="n"/>
      <c r="F6293" s="215" t="n"/>
    </row>
    <row r="6294">
      <c r="A6294" s="215" t="n">
        <v>45568</v>
      </c>
      <c r="B6294" s="216" t="n">
        <v>9.44</v>
      </c>
      <c r="C6294" s="216" t="n"/>
      <c r="D6294" s="216" t="n"/>
      <c r="E6294" s="215" t="n"/>
      <c r="F6294" s="215" t="n"/>
    </row>
    <row r="6295">
      <c r="A6295" s="215" t="n">
        <v>45569</v>
      </c>
      <c r="B6295" s="216" t="n">
        <v>9.91</v>
      </c>
      <c r="C6295" s="216" t="n"/>
      <c r="D6295" s="216" t="n"/>
      <c r="E6295" s="215" t="n"/>
      <c r="F6295" s="215" t="n"/>
    </row>
    <row r="6296">
      <c r="A6296" s="215" t="n">
        <v>45572</v>
      </c>
      <c r="B6296" s="216" t="n">
        <v>9.789999999999999</v>
      </c>
      <c r="C6296" s="216" t="n"/>
      <c r="D6296" s="216" t="n"/>
      <c r="E6296" s="215" t="n"/>
      <c r="F6296" s="215" t="n"/>
    </row>
    <row r="6297">
      <c r="A6297" s="215" t="n">
        <v>45573</v>
      </c>
      <c r="B6297" s="216" t="n">
        <v>7.71</v>
      </c>
      <c r="C6297" s="216" t="n"/>
      <c r="D6297" s="216" t="n"/>
      <c r="E6297" s="215" t="n"/>
      <c r="F6297" s="215" t="n"/>
    </row>
    <row r="6298">
      <c r="A6298" s="215" t="n">
        <v>45574</v>
      </c>
      <c r="B6298" s="216" t="n">
        <v>7.66</v>
      </c>
      <c r="C6298" s="216" t="n"/>
      <c r="D6298" s="216" t="n"/>
      <c r="E6298" s="215" t="n"/>
      <c r="F6298" s="215" t="n"/>
    </row>
    <row r="6299">
      <c r="A6299" s="215" t="n">
        <v>45575</v>
      </c>
      <c r="B6299" s="216" t="n">
        <v>7.46</v>
      </c>
      <c r="C6299" s="216" t="n"/>
      <c r="D6299" s="216" t="n"/>
      <c r="E6299" s="215" t="n"/>
      <c r="F6299" s="215" t="n"/>
    </row>
    <row r="6300">
      <c r="A6300" s="215" t="n">
        <v>45579</v>
      </c>
      <c r="B6300" s="216" t="n">
        <v>7.16</v>
      </c>
      <c r="C6300" s="216" t="n"/>
      <c r="D6300" s="216" t="n"/>
      <c r="E6300" s="215" t="n"/>
      <c r="F6300" s="215" t="n"/>
    </row>
    <row r="6301">
      <c r="A6301" s="215" t="n">
        <v>45580</v>
      </c>
      <c r="B6301" s="216" t="n">
        <v>7.03</v>
      </c>
      <c r="C6301" s="216" t="n"/>
      <c r="D6301" s="216" t="n"/>
      <c r="E6301" s="215" t="n"/>
      <c r="F6301" s="215" t="n"/>
    </row>
    <row r="6302">
      <c r="A6302" s="215" t="n">
        <v>45581</v>
      </c>
      <c r="B6302" s="216" t="n">
        <v>6.96</v>
      </c>
      <c r="C6302" s="216" t="n"/>
      <c r="D6302" s="216" t="n"/>
      <c r="E6302" s="215" t="n"/>
      <c r="F6302" s="215" t="n"/>
    </row>
    <row r="6303">
      <c r="A6303" s="215" t="n">
        <v>45582</v>
      </c>
      <c r="B6303" s="216" t="n">
        <v>6.61</v>
      </c>
      <c r="C6303" s="216" t="n"/>
      <c r="D6303" s="216" t="n"/>
      <c r="E6303" s="215" t="n"/>
      <c r="F6303" s="215" t="n"/>
    </row>
    <row r="6304">
      <c r="A6304" s="215" t="n">
        <v>45583</v>
      </c>
      <c r="B6304" s="216" t="n">
        <v>6.97</v>
      </c>
      <c r="C6304" s="216" t="n"/>
      <c r="D6304" s="216" t="n"/>
      <c r="E6304" s="215" t="n"/>
      <c r="F6304" s="215" t="n"/>
    </row>
    <row r="6305">
      <c r="A6305" s="215" t="n">
        <v>45586</v>
      </c>
      <c r="B6305" s="216" t="n">
        <v>7.49</v>
      </c>
      <c r="C6305" s="216" t="n"/>
      <c r="D6305" s="216" t="n"/>
      <c r="E6305" s="215" t="n"/>
      <c r="F6305" s="215" t="n"/>
    </row>
    <row r="6306">
      <c r="A6306" s="215" t="n">
        <v>45587</v>
      </c>
      <c r="B6306" s="216" t="n">
        <v>7.09</v>
      </c>
      <c r="C6306" s="216" t="n"/>
      <c r="D6306" s="216" t="n"/>
      <c r="E6306" s="215" t="n"/>
      <c r="F6306" s="215" t="n"/>
    </row>
    <row r="6307">
      <c r="A6307" s="215" t="n">
        <v>45588</v>
      </c>
      <c r="B6307" s="216" t="n">
        <v>7.08</v>
      </c>
      <c r="C6307" s="216" t="n"/>
      <c r="D6307" s="216" t="n"/>
      <c r="E6307" s="215" t="n"/>
      <c r="F6307" s="215" t="n"/>
    </row>
    <row r="6308">
      <c r="A6308" s="215" t="n">
        <v>45589</v>
      </c>
      <c r="B6308" s="216" t="n">
        <v>6.71</v>
      </c>
      <c r="C6308" s="216" t="n"/>
      <c r="D6308" s="216" t="n"/>
      <c r="E6308" s="215" t="n"/>
      <c r="F6308" s="215" t="n"/>
    </row>
    <row r="6309">
      <c r="A6309" s="215" t="n">
        <v>45590</v>
      </c>
      <c r="B6309" s="216" t="n">
        <v>6.89</v>
      </c>
      <c r="C6309" s="216" t="n"/>
      <c r="D6309" s="216" t="n"/>
      <c r="E6309" s="215" t="n"/>
      <c r="F6309" s="215" t="n"/>
    </row>
    <row r="6310">
      <c r="A6310" s="215" t="n">
        <v>45593</v>
      </c>
      <c r="B6310" s="216" t="n">
        <v>6.78</v>
      </c>
      <c r="C6310" s="216" t="n"/>
      <c r="D6310" s="216" t="n"/>
      <c r="E6310" s="215" t="n"/>
      <c r="F6310" s="215" t="n"/>
    </row>
    <row r="6311">
      <c r="A6311" s="215" t="n">
        <v>45594</v>
      </c>
      <c r="B6311" s="216" t="n">
        <v>6.4</v>
      </c>
      <c r="C6311" s="216" t="n"/>
      <c r="D6311" s="216" t="n"/>
      <c r="E6311" s="215" t="n"/>
      <c r="F6311" s="215" t="n"/>
    </row>
    <row r="6312">
      <c r="A6312" s="215" t="n">
        <v>45595</v>
      </c>
      <c r="B6312" s="216" t="n">
        <v>6.18</v>
      </c>
      <c r="C6312" s="216" t="n"/>
      <c r="D6312" s="216" t="n"/>
      <c r="E6312" s="215" t="n"/>
      <c r="F6312" s="215" t="n"/>
    </row>
    <row r="6313">
      <c r="A6313" s="215" t="n">
        <v>45596</v>
      </c>
      <c r="B6313" s="216" t="n">
        <v>6.32</v>
      </c>
      <c r="C6313" s="216" t="n"/>
      <c r="D6313" s="216" t="n"/>
      <c r="E6313" s="215" t="n"/>
      <c r="F6313" s="215" t="n"/>
    </row>
    <row r="6314">
      <c r="A6314" s="215" t="n">
        <v>45597</v>
      </c>
      <c r="B6314" s="216" t="n">
        <v>6.24</v>
      </c>
      <c r="C6314" s="216" t="n"/>
      <c r="D6314" s="216" t="n"/>
      <c r="E6314" s="215" t="n"/>
      <c r="F6314" s="215" t="n"/>
    </row>
    <row r="6315">
      <c r="A6315" s="215" t="n">
        <v>45600</v>
      </c>
      <c r="B6315" s="216" t="n">
        <v>6.08</v>
      </c>
      <c r="C6315" s="216" t="n"/>
      <c r="D6315" s="216" t="n"/>
      <c r="E6315" s="215" t="n"/>
      <c r="F6315" s="215" t="n"/>
    </row>
    <row r="6316">
      <c r="A6316" s="215" t="n">
        <v>45601</v>
      </c>
      <c r="B6316" s="216" t="n">
        <v>6.12</v>
      </c>
      <c r="C6316" s="216" t="n"/>
      <c r="D6316" s="216" t="n"/>
      <c r="E6316" s="215" t="n"/>
      <c r="F6316" s="215" t="n"/>
    </row>
    <row r="6317">
      <c r="A6317" s="215" t="n">
        <v>45602</v>
      </c>
      <c r="B6317" s="216" t="n">
        <v>6.1</v>
      </c>
      <c r="C6317" s="216" t="n"/>
      <c r="D6317" s="216" t="n"/>
      <c r="E6317" s="215" t="n"/>
      <c r="F6317" s="215" t="n"/>
    </row>
    <row r="6318">
      <c r="A6318" s="215" t="n">
        <v>45603</v>
      </c>
      <c r="B6318" s="216" t="n">
        <v>6.16</v>
      </c>
      <c r="C6318" s="216" t="n"/>
      <c r="D6318" s="216" t="n"/>
      <c r="E6318" s="215" t="n"/>
      <c r="F6318" s="215" t="n"/>
    </row>
    <row r="6319">
      <c r="A6319" s="215" t="n">
        <v>45604</v>
      </c>
      <c r="B6319" s="216" t="n">
        <v>6.01</v>
      </c>
      <c r="C6319" s="216" t="n"/>
      <c r="D6319" s="216" t="n"/>
      <c r="E6319" s="215" t="n"/>
      <c r="F6319" s="215" t="n"/>
    </row>
    <row r="6320">
      <c r="A6320" s="215" t="n">
        <v>45607</v>
      </c>
      <c r="B6320" s="216" t="n">
        <v>6.06</v>
      </c>
      <c r="C6320" s="216" t="n"/>
      <c r="D6320" s="216" t="n"/>
      <c r="E6320" s="215" t="n"/>
      <c r="F6320" s="215" t="n"/>
    </row>
    <row r="6321">
      <c r="A6321" s="215" t="n">
        <v>45608</v>
      </c>
      <c r="B6321" s="216" t="n">
        <v>5.99</v>
      </c>
      <c r="C6321" s="216" t="n"/>
      <c r="D6321" s="216" t="n"/>
      <c r="E6321" s="215" t="n"/>
      <c r="F6321" s="215" t="n"/>
    </row>
    <row r="6322">
      <c r="A6322" s="215" t="n">
        <v>45609</v>
      </c>
      <c r="B6322" s="216" t="n">
        <v>5.76</v>
      </c>
      <c r="C6322" s="216" t="n"/>
      <c r="D6322" s="216" t="n"/>
      <c r="E6322" s="215" t="n"/>
      <c r="F6322" s="215" t="n"/>
    </row>
    <row r="6323">
      <c r="A6323" s="215" t="n">
        <v>45610</v>
      </c>
      <c r="B6323" s="216" t="n">
        <v>5.6</v>
      </c>
      <c r="C6323" s="216" t="n"/>
      <c r="D6323" s="216" t="n"/>
      <c r="E6323" s="215" t="n"/>
      <c r="F6323" s="215" t="n"/>
    </row>
    <row r="6324">
      <c r="A6324" s="215" t="n">
        <v>45611</v>
      </c>
      <c r="B6324" s="216" t="n">
        <v>6.1</v>
      </c>
      <c r="C6324" s="216" t="n"/>
      <c r="D6324" s="216" t="n"/>
      <c r="E6324" s="215" t="n"/>
      <c r="F6324" s="215" t="n"/>
    </row>
    <row r="6325">
      <c r="A6325" s="215" t="n">
        <v>45614</v>
      </c>
      <c r="B6325" s="216" t="n">
        <v>6</v>
      </c>
      <c r="C6325" s="216" t="n"/>
      <c r="D6325" s="216" t="n"/>
      <c r="E6325" s="215" t="n"/>
      <c r="F6325" s="215" t="n"/>
    </row>
    <row r="6326">
      <c r="A6326" s="215" t="n">
        <v>45615</v>
      </c>
      <c r="B6326" s="216" t="n">
        <v>6</v>
      </c>
      <c r="C6326" s="216" t="n"/>
      <c r="D6326" s="216" t="n"/>
      <c r="E6326" s="215" t="n"/>
      <c r="F6326" s="215" t="n"/>
    </row>
    <row r="6327">
      <c r="A6327" s="215" t="n">
        <v>45616</v>
      </c>
      <c r="B6327" s="216" t="n">
        <v>6</v>
      </c>
      <c r="C6327" s="216" t="n"/>
      <c r="D6327" s="216" t="n"/>
      <c r="E6327" s="215" t="n"/>
      <c r="F6327" s="215" t="n"/>
    </row>
    <row r="6328">
      <c r="A6328" s="215" t="n">
        <v>45617</v>
      </c>
      <c r="B6328" s="216" t="n">
        <v>6</v>
      </c>
      <c r="C6328" s="216" t="n"/>
      <c r="D6328" s="216" t="n"/>
      <c r="E6328" s="215" t="n"/>
      <c r="F6328" s="215" t="n"/>
    </row>
    <row r="6329">
      <c r="A6329" s="215" t="n">
        <v>45618</v>
      </c>
      <c r="B6329" s="216" t="n">
        <v>5.67</v>
      </c>
      <c r="C6329" s="216" t="n"/>
      <c r="D6329" s="216" t="n"/>
      <c r="E6329" s="215" t="n"/>
      <c r="F6329" s="215" t="n"/>
    </row>
    <row r="6330">
      <c r="A6330" s="215" t="n">
        <v>45621</v>
      </c>
      <c r="B6330" s="216" t="n">
        <v>5.89</v>
      </c>
      <c r="C6330" s="216" t="n"/>
      <c r="D6330" s="216" t="n"/>
      <c r="E6330" s="215" t="n"/>
      <c r="F6330" s="215" t="n"/>
    </row>
    <row r="6331">
      <c r="A6331" s="215" t="n">
        <v>45622</v>
      </c>
      <c r="B6331" s="216" t="n">
        <v>5.9</v>
      </c>
      <c r="C6331" s="216" t="n"/>
      <c r="D6331" s="216" t="n"/>
      <c r="E6331" s="215" t="n"/>
      <c r="F6331" s="215" t="n"/>
    </row>
    <row r="6332">
      <c r="A6332" s="215" t="n">
        <v>45623</v>
      </c>
      <c r="B6332" s="216" t="n">
        <v>5.73</v>
      </c>
      <c r="C6332" s="216" t="n"/>
      <c r="D6332" s="216" t="n"/>
      <c r="E6332" s="215" t="n"/>
      <c r="F6332" s="215" t="n"/>
    </row>
    <row r="6333">
      <c r="A6333" s="215" t="n">
        <v>45624</v>
      </c>
      <c r="B6333" s="216" t="n">
        <v>5.76</v>
      </c>
      <c r="C6333" s="216" t="n"/>
      <c r="D6333" s="216" t="n"/>
      <c r="E6333" s="215" t="n"/>
      <c r="F6333" s="215" t="n"/>
    </row>
    <row r="6334">
      <c r="A6334" s="215" t="n">
        <v>45625</v>
      </c>
      <c r="B6334" s="216" t="n">
        <v>5.84</v>
      </c>
      <c r="C6334" s="216" t="n"/>
      <c r="D6334" s="216" t="n"/>
      <c r="E6334" s="215" t="n"/>
      <c r="F6334" s="215" t="n"/>
    </row>
    <row r="6335">
      <c r="A6335" s="215" t="n">
        <v>45628</v>
      </c>
      <c r="B6335" s="216" t="n">
        <v>5.84</v>
      </c>
      <c r="C6335" s="216" t="n"/>
      <c r="D6335" s="216" t="n"/>
      <c r="E6335" s="215" t="n"/>
      <c r="F6335" s="215" t="n"/>
    </row>
    <row r="6336">
      <c r="A6336" s="215" t="n">
        <v>45629</v>
      </c>
      <c r="B6336" s="216" t="n">
        <v>5.9</v>
      </c>
      <c r="C6336" s="216" t="n"/>
      <c r="D6336" s="216" t="n"/>
      <c r="E6336" s="215" t="n"/>
      <c r="F6336" s="215" t="n"/>
    </row>
    <row r="6337">
      <c r="A6337" s="215" t="n">
        <v>45630</v>
      </c>
      <c r="B6337" s="216" t="n">
        <v>5.78</v>
      </c>
      <c r="C6337" s="216" t="n"/>
      <c r="D6337" s="216" t="n"/>
      <c r="E6337" s="215" t="n"/>
      <c r="F6337" s="215" t="n"/>
    </row>
    <row r="6338">
      <c r="A6338" s="215" t="n">
        <v>45631</v>
      </c>
      <c r="B6338" s="216" t="n">
        <v>6.1</v>
      </c>
      <c r="C6338" s="216" t="n"/>
      <c r="D6338" s="216" t="n"/>
      <c r="E6338" s="215" t="n"/>
      <c r="F6338" s="215" t="n"/>
    </row>
    <row r="6339">
      <c r="A6339" s="215" t="n">
        <v>45632</v>
      </c>
      <c r="B6339" s="216" t="n">
        <v>6.11</v>
      </c>
      <c r="C6339" s="216" t="n"/>
      <c r="D6339" s="216" t="n"/>
      <c r="E6339" s="215" t="n"/>
      <c r="F6339" s="215" t="n"/>
    </row>
    <row r="6340">
      <c r="A6340" s="215" t="n">
        <v>45635</v>
      </c>
      <c r="B6340" s="216" t="n">
        <v>6.61</v>
      </c>
      <c r="C6340" s="216" t="n"/>
      <c r="D6340" s="216" t="n"/>
      <c r="E6340" s="215" t="n"/>
      <c r="F6340" s="215" t="n"/>
    </row>
    <row r="6341">
      <c r="A6341" s="215" t="n">
        <v>45636</v>
      </c>
      <c r="B6341" s="216" t="n">
        <v>6.72</v>
      </c>
      <c r="C6341" s="216" t="n"/>
      <c r="D6341" s="216" t="n"/>
      <c r="E6341" s="215" t="n"/>
      <c r="F6341" s="215" t="n"/>
    </row>
    <row r="6342">
      <c r="A6342" s="215" t="n">
        <v>45637</v>
      </c>
      <c r="B6342" s="216" t="n">
        <v>7.5</v>
      </c>
      <c r="C6342" s="216" t="n"/>
      <c r="D6342" s="216" t="n"/>
      <c r="E6342" s="215" t="n"/>
      <c r="F6342" s="215" t="n"/>
    </row>
    <row r="6343">
      <c r="A6343" s="215" t="n">
        <v>45638</v>
      </c>
      <c r="B6343" s="216" t="n">
        <v>7.4</v>
      </c>
      <c r="C6343" s="216" t="n"/>
      <c r="D6343" s="216" t="n"/>
      <c r="E6343" s="215" t="n"/>
      <c r="F6343" s="215" t="n"/>
    </row>
    <row r="6344">
      <c r="A6344" s="215" t="n">
        <v>45639</v>
      </c>
      <c r="B6344" s="216" t="n">
        <v>7.93</v>
      </c>
      <c r="C6344" s="216" t="n"/>
      <c r="D6344" s="216" t="n"/>
      <c r="E6344" s="215" t="n"/>
      <c r="F6344" s="215" t="n"/>
    </row>
    <row r="6345">
      <c r="A6345" s="215" t="n">
        <v>45642</v>
      </c>
      <c r="B6345" s="216" t="n">
        <v>8.1</v>
      </c>
      <c r="C6345" s="216" t="n"/>
      <c r="D6345" s="216" t="n"/>
      <c r="E6345" s="215" t="n"/>
      <c r="F6345" s="215" t="n"/>
    </row>
    <row r="6346">
      <c r="A6346" s="215" t="n">
        <v>45643</v>
      </c>
      <c r="B6346" s="216" t="n">
        <v>7.75</v>
      </c>
      <c r="C6346" s="216" t="n"/>
      <c r="D6346" s="216" t="n"/>
      <c r="E6346" s="215" t="n"/>
      <c r="F6346" s="215" t="n"/>
    </row>
    <row r="6347">
      <c r="A6347" s="215" t="n">
        <v>45644</v>
      </c>
      <c r="B6347" s="216" t="n">
        <v>8.4</v>
      </c>
      <c r="C6347" s="216" t="n"/>
      <c r="D6347" s="216" t="n"/>
      <c r="E6347" s="215" t="n"/>
      <c r="F6347" s="215" t="n"/>
    </row>
    <row r="6348">
      <c r="A6348" s="215" t="n">
        <v>45645</v>
      </c>
      <c r="B6348" s="216" t="n">
        <v>8.380000000000001</v>
      </c>
      <c r="C6348" s="216" t="n"/>
      <c r="D6348" s="216" t="n"/>
      <c r="E6348" s="215" t="n"/>
      <c r="F6348" s="215" t="n"/>
    </row>
    <row r="6349">
      <c r="A6349" s="215" t="n">
        <v>45646</v>
      </c>
      <c r="B6349" s="216" t="n">
        <v>8.42</v>
      </c>
      <c r="C6349" s="216" t="n"/>
      <c r="D6349" s="216" t="n"/>
      <c r="E6349" s="215" t="n"/>
      <c r="F6349" s="215" t="n"/>
    </row>
    <row r="6350">
      <c r="A6350" s="215" t="n">
        <v>45649</v>
      </c>
      <c r="B6350" s="216" t="n">
        <v>8.470000000000001</v>
      </c>
      <c r="C6350" s="216" t="n"/>
      <c r="D6350" s="216" t="n"/>
      <c r="E6350" s="215" t="n"/>
      <c r="F6350" s="215" t="n"/>
    </row>
    <row r="6351">
      <c r="A6351" s="215" t="n">
        <v>45650</v>
      </c>
      <c r="B6351" s="216" t="n">
        <v>8.56</v>
      </c>
      <c r="C6351" s="216" t="n"/>
      <c r="D6351" s="216" t="n"/>
      <c r="E6351" s="215" t="n"/>
      <c r="F6351" s="215" t="n"/>
    </row>
    <row r="6352">
      <c r="A6352" s="215" t="n">
        <v>45653</v>
      </c>
      <c r="B6352" s="216" t="n">
        <v>8.449999999999999</v>
      </c>
      <c r="C6352" s="216" t="n"/>
      <c r="D6352" s="216" t="n"/>
      <c r="E6352" s="215" t="n"/>
      <c r="F6352" s="215" t="n"/>
    </row>
    <row r="6353">
      <c r="A6353" s="215" t="n">
        <v>45656</v>
      </c>
      <c r="B6353" s="216" t="n">
        <v>8.4</v>
      </c>
      <c r="C6353" s="216" t="n"/>
      <c r="D6353" s="216" t="n"/>
      <c r="E6353" s="215" t="n"/>
      <c r="F6353" s="215" t="n"/>
    </row>
    <row r="6354">
      <c r="A6354" s="215" t="n">
        <v>45657</v>
      </c>
      <c r="B6354" s="216" t="n">
        <v>8.5</v>
      </c>
      <c r="C6354" s="216" t="n"/>
      <c r="D6354" s="216" t="n"/>
      <c r="E6354" s="215" t="n"/>
      <c r="F6354" s="215" t="n"/>
    </row>
    <row r="6355">
      <c r="A6355" s="215" t="n">
        <v>45659</v>
      </c>
      <c r="B6355" s="216" t="n">
        <v>8.300000000000001</v>
      </c>
      <c r="C6355" s="216" t="n"/>
      <c r="D6355" s="216" t="n"/>
      <c r="E6355" s="215" t="n"/>
      <c r="F6355" s="215" t="n"/>
    </row>
    <row r="6356">
      <c r="A6356" s="215" t="n">
        <v>45660</v>
      </c>
      <c r="B6356" s="216" t="n">
        <v>8.109999999999999</v>
      </c>
      <c r="C6356" s="216" t="n"/>
      <c r="D6356" s="216" t="n"/>
      <c r="E6356" s="215" t="n"/>
      <c r="F6356" s="215" t="n"/>
    </row>
    <row r="6357">
      <c r="A6357" s="215" t="n">
        <v>45663</v>
      </c>
      <c r="B6357" s="216" t="n">
        <v>7.66</v>
      </c>
      <c r="C6357" s="216" t="n"/>
      <c r="D6357" s="216" t="n"/>
      <c r="E6357" s="215" t="n"/>
      <c r="F6357" s="215" t="n"/>
    </row>
    <row r="6358">
      <c r="A6358" s="215" t="n">
        <v>45664</v>
      </c>
      <c r="B6358" s="216" t="n">
        <v>7.55</v>
      </c>
      <c r="C6358" s="216" t="n"/>
      <c r="D6358" s="216" t="n"/>
      <c r="E6358" s="215" t="n"/>
      <c r="F6358" s="215" t="n"/>
    </row>
    <row r="6359">
      <c r="A6359" s="215" t="n">
        <v>45665</v>
      </c>
      <c r="B6359" s="216" t="n">
        <v>7.53</v>
      </c>
      <c r="C6359" s="216" t="n"/>
      <c r="D6359" s="216" t="n"/>
      <c r="E6359" s="215" t="n"/>
      <c r="F6359" s="215" t="n"/>
    </row>
    <row r="6360">
      <c r="A6360" s="215" t="n">
        <v>45666</v>
      </c>
      <c r="B6360" s="216" t="n">
        <v>7.46</v>
      </c>
      <c r="C6360" s="216" t="n"/>
      <c r="D6360" s="216" t="n"/>
      <c r="E6360" s="215" t="n"/>
      <c r="F6360" s="215" t="n"/>
    </row>
    <row r="6361">
      <c r="A6361" s="215" t="n">
        <v>45667</v>
      </c>
      <c r="B6361" s="216" t="n">
        <v>7.7</v>
      </c>
      <c r="C6361" s="216" t="n"/>
      <c r="D6361" s="216" t="n"/>
      <c r="E6361" s="215" t="n"/>
      <c r="F6361" s="215" t="n"/>
    </row>
    <row r="6362">
      <c r="A6362" s="215" t="n">
        <v>45670</v>
      </c>
      <c r="B6362" s="216" t="n">
        <v>7.69</v>
      </c>
      <c r="C6362" s="216" t="n"/>
      <c r="D6362" s="216" t="n"/>
      <c r="E6362" s="215" t="n"/>
      <c r="F6362" s="215" t="n"/>
    </row>
    <row r="6363">
      <c r="A6363" s="215" t="n">
        <v>45671</v>
      </c>
      <c r="B6363" s="216" t="n">
        <v>8.06</v>
      </c>
      <c r="C6363" s="216" t="n"/>
      <c r="D6363" s="216" t="n"/>
      <c r="E6363" s="215" t="n"/>
      <c r="F6363" s="215" t="n"/>
    </row>
    <row r="6364">
      <c r="A6364" s="215" t="n">
        <v>45672</v>
      </c>
      <c r="B6364" s="216" t="n">
        <v>8.029999999999999</v>
      </c>
      <c r="C6364" s="216" t="n"/>
      <c r="D6364" s="216" t="n"/>
      <c r="E6364" s="215" t="n"/>
      <c r="F6364" s="215" t="n"/>
    </row>
    <row r="6365">
      <c r="A6365" s="215" t="n">
        <v>45673</v>
      </c>
      <c r="B6365" s="216" t="n">
        <v>7.54</v>
      </c>
      <c r="C6365" s="216" t="n"/>
      <c r="D6365" s="216" t="n"/>
      <c r="E6365" s="215" t="n"/>
      <c r="F6365" s="215" t="n"/>
    </row>
    <row r="6366">
      <c r="A6366" s="215" t="n">
        <v>45674</v>
      </c>
      <c r="B6366" s="216" t="n">
        <v>7.56</v>
      </c>
      <c r="C6366" s="216" t="n"/>
      <c r="D6366" s="216" t="n"/>
      <c r="E6366" s="215" t="n"/>
      <c r="F6366" s="215" t="n"/>
    </row>
    <row r="6367">
      <c r="A6367" s="215" t="n">
        <v>45677</v>
      </c>
      <c r="B6367" s="216" t="n">
        <v>7.5</v>
      </c>
      <c r="C6367" s="216" t="n"/>
      <c r="D6367" s="216" t="n"/>
      <c r="E6367" s="215" t="n"/>
      <c r="F6367" s="215" t="n"/>
    </row>
    <row r="6368">
      <c r="A6368" s="215" t="n">
        <v>45678</v>
      </c>
      <c r="B6368" s="216" t="n">
        <v>7.79</v>
      </c>
      <c r="C6368" s="216" t="n"/>
      <c r="D6368" s="216" t="n"/>
      <c r="E6368" s="215" t="n"/>
      <c r="F6368" s="215" t="n"/>
    </row>
    <row r="6369">
      <c r="A6369" s="215" t="n">
        <v>45679</v>
      </c>
      <c r="B6369" s="216" t="n">
        <v>7.8</v>
      </c>
      <c r="C6369" s="216" t="n"/>
      <c r="D6369" s="216" t="n"/>
      <c r="E6369" s="215" t="n"/>
      <c r="F6369" s="215" t="n"/>
    </row>
    <row r="6370">
      <c r="A6370" s="215" t="n">
        <v>45680</v>
      </c>
      <c r="B6370" s="216" t="n">
        <v>7.9</v>
      </c>
      <c r="C6370" s="216" t="n"/>
      <c r="D6370" s="216" t="n"/>
      <c r="E6370" s="215" t="n"/>
      <c r="F6370" s="215" t="n"/>
    </row>
    <row r="6371">
      <c r="A6371" s="215" t="n">
        <v>45681</v>
      </c>
      <c r="B6371" s="216" t="n">
        <v>7.88</v>
      </c>
      <c r="C6371" s="216" t="n"/>
      <c r="D6371" s="216" t="n"/>
      <c r="E6371" s="215" t="n"/>
      <c r="F6371" s="215" t="n"/>
    </row>
    <row r="6372">
      <c r="A6372" s="215" t="n">
        <v>45684</v>
      </c>
      <c r="B6372" s="216" t="n">
        <v>7.57</v>
      </c>
      <c r="C6372" s="216" t="n"/>
      <c r="D6372" s="216" t="n"/>
      <c r="E6372" s="215" t="n"/>
      <c r="F6372" s="215" t="n"/>
    </row>
    <row r="6373">
      <c r="A6373" s="215" t="n">
        <v>45685</v>
      </c>
      <c r="B6373" s="216" t="n">
        <v>7.87</v>
      </c>
      <c r="C6373" s="216" t="n"/>
      <c r="D6373" s="216" t="n"/>
      <c r="E6373" s="215" t="n"/>
      <c r="F6373" s="215" t="n"/>
    </row>
    <row r="6374">
      <c r="A6374" s="215" t="n">
        <v>45691</v>
      </c>
      <c r="B6374" s="216" t="n">
        <v>7.91</v>
      </c>
      <c r="C6374" s="216" t="n"/>
      <c r="D6374" s="216" t="n"/>
      <c r="E6374" s="215" t="n"/>
      <c r="F6374" s="215" t="n"/>
    </row>
    <row r="6375">
      <c r="A6375" s="215" t="n">
        <v>45692</v>
      </c>
      <c r="B6375" s="216" t="n">
        <v>7.76</v>
      </c>
      <c r="C6375" s="216" t="n"/>
      <c r="D6375" s="216" t="n"/>
      <c r="E6375" s="215" t="n"/>
      <c r="F6375" s="215" t="n"/>
    </row>
    <row r="6376">
      <c r="A6376" s="215" t="n">
        <v>45693</v>
      </c>
      <c r="B6376" s="216" t="n">
        <v>7.6</v>
      </c>
      <c r="C6376" s="216" t="n"/>
      <c r="D6376" s="216" t="n"/>
      <c r="E6376" s="215" t="n"/>
      <c r="F6376" s="215" t="n"/>
    </row>
    <row r="6377">
      <c r="A6377" s="215" t="n">
        <v>45694</v>
      </c>
      <c r="B6377" s="216" t="n">
        <v>7.69</v>
      </c>
      <c r="C6377" s="216" t="n"/>
      <c r="D6377" s="216" t="n"/>
      <c r="E6377" s="215" t="n"/>
      <c r="F6377" s="215" t="n"/>
    </row>
    <row r="6378">
      <c r="A6378" s="215" t="n">
        <v>45695</v>
      </c>
      <c r="B6378" s="216" t="n">
        <v>7.7</v>
      </c>
      <c r="C6378" s="216" t="n"/>
      <c r="D6378" s="216" t="n"/>
      <c r="E6378" s="215" t="n"/>
      <c r="F6378" s="215" t="n"/>
    </row>
    <row r="6379">
      <c r="A6379" s="215" t="n">
        <v>45698</v>
      </c>
      <c r="B6379" s="216" t="n">
        <v>7.61</v>
      </c>
      <c r="C6379" s="216" t="n"/>
      <c r="D6379" s="216" t="n"/>
      <c r="E6379" s="215" t="n"/>
      <c r="F6379" s="215" t="n"/>
    </row>
    <row r="6380">
      <c r="A6380" s="215" t="n">
        <v>45699</v>
      </c>
      <c r="B6380" s="216" t="n">
        <v>7.86</v>
      </c>
      <c r="C6380" s="216" t="n"/>
      <c r="D6380" s="216" t="n"/>
      <c r="E6380" s="215" t="n"/>
      <c r="F6380" s="215" t="n"/>
    </row>
    <row r="6381">
      <c r="A6381" s="215" t="n">
        <v>45700</v>
      </c>
      <c r="B6381" s="216" t="n">
        <v>7.64</v>
      </c>
      <c r="C6381" s="216" t="n"/>
      <c r="D6381" s="216" t="n"/>
      <c r="E6381" s="215" t="n"/>
      <c r="F6381" s="215" t="n"/>
    </row>
    <row r="6382">
      <c r="A6382" s="215" t="n">
        <v>45701</v>
      </c>
      <c r="B6382" s="216" t="n">
        <v>7.88</v>
      </c>
      <c r="C6382" s="216" t="n"/>
      <c r="D6382" s="216" t="n"/>
      <c r="E6382" s="215" t="n"/>
      <c r="F6382" s="215" t="n"/>
    </row>
    <row r="6383">
      <c r="A6383" s="215" t="n">
        <v>45702</v>
      </c>
      <c r="B6383" s="216" t="n">
        <v>8.16</v>
      </c>
      <c r="C6383" s="216" t="n"/>
      <c r="D6383" s="216" t="n"/>
      <c r="E6383" s="215" t="n"/>
      <c r="F6383" s="215" t="n"/>
    </row>
    <row r="6384">
      <c r="A6384" s="215" t="n">
        <v>45705</v>
      </c>
      <c r="B6384" s="216" t="n">
        <v>8.01</v>
      </c>
      <c r="C6384" s="216" t="n"/>
      <c r="D6384" s="216" t="n"/>
      <c r="E6384" s="215" t="n"/>
      <c r="F6384" s="215" t="n"/>
    </row>
    <row r="6385">
      <c r="A6385" s="215" t="n">
        <v>45706</v>
      </c>
      <c r="B6385" s="216" t="n">
        <v>8.08</v>
      </c>
      <c r="C6385" s="216" t="n"/>
      <c r="D6385" s="216" t="n"/>
      <c r="E6385" s="215" t="n"/>
      <c r="F6385" s="215" t="n"/>
    </row>
    <row r="6386">
      <c r="A6386" s="215" t="n">
        <v>45707</v>
      </c>
      <c r="B6386" s="216" t="n">
        <v>8.31</v>
      </c>
      <c r="C6386" s="216" t="n"/>
      <c r="D6386" s="216" t="n"/>
      <c r="E6386" s="215" t="n"/>
      <c r="F6386" s="215" t="n"/>
    </row>
    <row r="6387">
      <c r="A6387" s="215" t="n">
        <v>45708</v>
      </c>
      <c r="B6387" s="216" t="n">
        <v>8.550000000000001</v>
      </c>
      <c r="C6387" s="216" t="n"/>
      <c r="D6387" s="216" t="n"/>
      <c r="E6387" s="215" t="n"/>
      <c r="F6387" s="215" t="n"/>
    </row>
    <row r="6388">
      <c r="A6388" s="215" t="n">
        <v>45709</v>
      </c>
      <c r="B6388" s="216" t="n">
        <v>8.720000000000001</v>
      </c>
      <c r="C6388" s="216" t="n"/>
      <c r="D6388" s="216" t="n"/>
      <c r="E6388" s="215" t="n"/>
      <c r="F6388" s="215" t="n"/>
    </row>
    <row r="6389">
      <c r="A6389" s="215" t="n">
        <v>45712</v>
      </c>
      <c r="B6389" s="216" t="n">
        <v>8.199999999999999</v>
      </c>
      <c r="C6389" s="216" t="n"/>
      <c r="D6389" s="216" t="n"/>
      <c r="E6389" s="215" t="n"/>
      <c r="F6389" s="215" t="n"/>
    </row>
    <row r="6390">
      <c r="A6390" s="215" t="n">
        <v>45713</v>
      </c>
      <c r="B6390" s="216" t="n">
        <v>8</v>
      </c>
      <c r="C6390" s="216" t="n"/>
      <c r="D6390" s="216" t="n"/>
      <c r="E6390" s="215" t="n"/>
      <c r="F6390" s="215" t="n"/>
    </row>
    <row r="6391">
      <c r="A6391" s="215" t="n">
        <v>45714</v>
      </c>
      <c r="B6391" s="216" t="n">
        <v>8.220000000000001</v>
      </c>
      <c r="C6391" s="216" t="n"/>
      <c r="D6391" s="216" t="n"/>
      <c r="E6391" s="215" t="n"/>
      <c r="F6391" s="215" t="n"/>
    </row>
    <row r="6392">
      <c r="A6392" s="215" t="n">
        <v>45715</v>
      </c>
      <c r="B6392" s="216" t="n">
        <v>8.24</v>
      </c>
      <c r="C6392" s="216" t="n"/>
      <c r="D6392" s="216" t="n"/>
      <c r="E6392" s="215" t="n"/>
      <c r="F6392" s="215" t="n"/>
    </row>
    <row r="6393">
      <c r="A6393" s="215" t="n">
        <v>45716</v>
      </c>
      <c r="B6393" s="216" t="n">
        <v>9.19</v>
      </c>
      <c r="C6393" s="216" t="n"/>
      <c r="D6393" s="216" t="n"/>
      <c r="E6393" s="215" t="n"/>
      <c r="F6393" s="215" t="n"/>
    </row>
    <row r="6394">
      <c r="A6394" s="215" t="n">
        <v>45719</v>
      </c>
      <c r="B6394" s="216" t="n">
        <v>8.99</v>
      </c>
      <c r="C6394" s="216" t="n"/>
      <c r="D6394" s="216" t="n"/>
      <c r="E6394" s="215" t="n"/>
      <c r="F6394" s="215" t="n"/>
    </row>
    <row r="6395">
      <c r="A6395" s="215" t="n">
        <v>45720</v>
      </c>
      <c r="B6395" s="216" t="n">
        <v>8.710000000000001</v>
      </c>
      <c r="C6395" s="216" t="n"/>
      <c r="D6395" s="216" t="n"/>
      <c r="E6395" s="215" t="n"/>
      <c r="F6395" s="215" t="n"/>
    </row>
    <row r="6396">
      <c r="A6396" s="215" t="n">
        <v>45721</v>
      </c>
      <c r="B6396" s="216" t="n">
        <v>8.69</v>
      </c>
      <c r="C6396" s="216" t="n"/>
      <c r="D6396" s="216" t="n"/>
      <c r="E6396" s="215" t="n"/>
      <c r="F6396" s="215" t="n"/>
    </row>
    <row r="6397">
      <c r="A6397" s="215" t="n">
        <v>45722</v>
      </c>
      <c r="B6397" s="216" t="n">
        <v>10.92</v>
      </c>
      <c r="C6397" s="216" t="n"/>
      <c r="D6397" s="216" t="n"/>
      <c r="E6397" s="215" t="n"/>
      <c r="F6397" s="215" t="n"/>
    </row>
    <row r="6398">
      <c r="A6398" s="215" t="n">
        <v>45723</v>
      </c>
      <c r="B6398" s="216" t="n">
        <v>11.98</v>
      </c>
      <c r="C6398" s="216" t="n"/>
      <c r="D6398" s="216" t="n"/>
      <c r="E6398" s="215" t="n"/>
      <c r="F6398" s="215" t="n"/>
    </row>
    <row r="6399">
      <c r="A6399" s="215" t="n">
        <v>45726</v>
      </c>
      <c r="B6399" s="216" t="n">
        <v>11</v>
      </c>
      <c r="C6399" s="216" t="n"/>
      <c r="D6399" s="216" t="n"/>
      <c r="E6399" s="215" t="n"/>
      <c r="F6399" s="215" t="n"/>
    </row>
    <row r="6400">
      <c r="A6400" s="215" t="n">
        <v>45727</v>
      </c>
      <c r="B6400" s="216" t="n">
        <v>12.26</v>
      </c>
      <c r="C6400" s="216" t="n"/>
      <c r="D6400" s="216" t="n"/>
      <c r="E6400" s="215" t="n"/>
      <c r="F6400" s="215" t="n"/>
    </row>
    <row r="6401">
      <c r="A6401" s="215" t="n">
        <v>45728</v>
      </c>
      <c r="B6401" s="216" t="n">
        <v>13.44</v>
      </c>
      <c r="C6401" s="216" t="n"/>
      <c r="D6401" s="216" t="n"/>
      <c r="E6401" s="215" t="n"/>
      <c r="F6401" s="215" t="n"/>
    </row>
    <row r="6402">
      <c r="A6402" s="215" t="n">
        <v>45729</v>
      </c>
      <c r="B6402" s="216" t="n">
        <v>13.6</v>
      </c>
      <c r="C6402" s="216" t="n"/>
      <c r="D6402" s="216" t="n"/>
      <c r="E6402" s="215" t="n"/>
      <c r="F6402" s="215" t="n"/>
    </row>
    <row r="6403">
      <c r="A6403" s="215" t="n">
        <v>45730</v>
      </c>
      <c r="B6403" s="216" t="n">
        <v>13.62</v>
      </c>
      <c r="C6403" s="216" t="n"/>
      <c r="D6403" s="216" t="n"/>
      <c r="E6403" s="215" t="n"/>
      <c r="F6403" s="215" t="n"/>
    </row>
    <row r="6404">
      <c r="A6404" s="215" t="n">
        <v>45733</v>
      </c>
      <c r="B6404" s="216" t="n">
        <v>16.28</v>
      </c>
      <c r="C6404" s="216" t="n"/>
      <c r="D6404" s="216" t="n"/>
      <c r="E6404" s="215" t="n"/>
      <c r="F6404" s="215" t="n"/>
    </row>
    <row r="6405">
      <c r="A6405" s="215" t="n">
        <v>45734</v>
      </c>
      <c r="B6405" s="216" t="n">
        <v>15.8</v>
      </c>
      <c r="C6405" s="216" t="n"/>
      <c r="D6405" s="216" t="n"/>
      <c r="E6405" s="215" t="n"/>
      <c r="F6405" s="215" t="n"/>
    </row>
    <row r="6406">
      <c r="A6406" s="215" t="n">
        <v>45735</v>
      </c>
      <c r="B6406" s="216" t="n">
        <v>15.52</v>
      </c>
      <c r="C6406" s="216" t="n"/>
      <c r="D6406" s="216" t="n"/>
      <c r="E6406" s="215" t="n"/>
      <c r="F6406" s="215" t="n"/>
    </row>
    <row r="6407">
      <c r="A6407" s="215" t="n">
        <v>45736</v>
      </c>
      <c r="B6407" s="216" t="n">
        <v>16.9</v>
      </c>
      <c r="C6407" s="216" t="n"/>
      <c r="D6407" s="216" t="n"/>
      <c r="E6407" s="215" t="n"/>
      <c r="F6407" s="215" t="n"/>
    </row>
    <row r="6408">
      <c r="A6408" s="215" t="n">
        <v>45737</v>
      </c>
      <c r="B6408" s="216" t="n">
        <v>15.76</v>
      </c>
      <c r="C6408" s="216" t="n"/>
      <c r="D6408" s="216" t="n"/>
      <c r="E6408" s="215" t="n"/>
      <c r="F6408" s="215" t="n"/>
    </row>
    <row r="6409">
      <c r="A6409" s="215" t="n">
        <v>45740</v>
      </c>
      <c r="B6409" s="216" t="n">
        <v>15.54</v>
      </c>
      <c r="C6409" s="216" t="n"/>
      <c r="D6409" s="216" t="n"/>
      <c r="E6409" s="215" t="n"/>
      <c r="F6409" s="215" t="n"/>
    </row>
    <row r="6410">
      <c r="A6410" s="215" t="n">
        <v>45741</v>
      </c>
      <c r="B6410" s="216" t="n">
        <v>15.58</v>
      </c>
      <c r="C6410" s="216" t="n"/>
      <c r="D6410" s="216" t="n"/>
      <c r="E6410" s="215" t="n"/>
      <c r="F6410" s="215" t="n"/>
    </row>
    <row r="6411">
      <c r="A6411" s="215" t="n">
        <v>45742</v>
      </c>
      <c r="B6411" s="216" t="n">
        <v>15.12</v>
      </c>
      <c r="C6411" s="216" t="n"/>
      <c r="D6411" s="216" t="n"/>
      <c r="E6411" s="215" t="n"/>
      <c r="F6411" s="215" t="n"/>
    </row>
    <row r="6412">
      <c r="A6412" s="215" t="n">
        <v>45743</v>
      </c>
      <c r="B6412" s="216" t="n">
        <v>15.26</v>
      </c>
      <c r="C6412" s="216" t="n"/>
      <c r="D6412" s="216" t="n"/>
      <c r="E6412" s="215" t="n"/>
      <c r="F6412" s="215" t="n"/>
    </row>
    <row r="6413">
      <c r="A6413" s="215" t="n">
        <v>45744</v>
      </c>
      <c r="B6413" s="216" t="n">
        <v>15</v>
      </c>
      <c r="C6413" s="216" t="n"/>
      <c r="D6413" s="216" t="n"/>
      <c r="E6413" s="215" t="n"/>
      <c r="F6413" s="215" t="n"/>
    </row>
    <row r="6414">
      <c r="A6414" s="215" t="n">
        <v>45747</v>
      </c>
      <c r="B6414" s="216" t="n">
        <v>14.9</v>
      </c>
      <c r="C6414" s="216" t="n"/>
      <c r="D6414" s="216" t="n"/>
      <c r="E6414" s="215" t="n"/>
      <c r="F6414" s="215" t="n"/>
    </row>
    <row r="6415">
      <c r="A6415" s="215" t="n">
        <v>45748</v>
      </c>
      <c r="B6415" s="216" t="n">
        <v>15.34</v>
      </c>
      <c r="C6415" s="216" t="n"/>
      <c r="D6415" s="216" t="n"/>
      <c r="E6415" s="215" t="n"/>
      <c r="F6415" s="215" t="n"/>
    </row>
    <row r="6416">
      <c r="A6416" s="215" t="n">
        <v>45749</v>
      </c>
      <c r="B6416" s="216" t="n">
        <v>15.26</v>
      </c>
      <c r="C6416" s="216" t="n"/>
      <c r="D6416" s="216" t="n"/>
      <c r="E6416" s="215" t="n"/>
      <c r="F6416" s="215" t="n"/>
    </row>
    <row r="6417">
      <c r="A6417" s="215" t="n">
        <v>45750</v>
      </c>
      <c r="B6417" s="216" t="n">
        <v>13.36</v>
      </c>
      <c r="C6417" s="216" t="n"/>
      <c r="D6417" s="216" t="n"/>
      <c r="E6417" s="215" t="n"/>
      <c r="F6417" s="215" t="n"/>
    </row>
    <row r="6418">
      <c r="A6418" s="215" t="n">
        <v>45754</v>
      </c>
      <c r="B6418" s="216" t="n">
        <v>12.4</v>
      </c>
      <c r="C6418" s="216" t="n"/>
      <c r="D6418" s="216" t="n"/>
      <c r="E6418" s="215" t="n"/>
      <c r="F6418" s="215" t="n"/>
    </row>
    <row r="6419">
      <c r="A6419" s="215" t="n">
        <v>45755</v>
      </c>
      <c r="B6419" s="216" t="n">
        <v>12.22</v>
      </c>
      <c r="C6419" s="216" t="n"/>
      <c r="D6419" s="216" t="n"/>
      <c r="E6419" s="215" t="n"/>
      <c r="F6419" s="215" t="n"/>
    </row>
    <row r="6420">
      <c r="A6420" s="215" t="n">
        <v>45756</v>
      </c>
      <c r="B6420" s="216" t="n">
        <v>12.5</v>
      </c>
      <c r="C6420" s="216" t="n"/>
      <c r="D6420" s="216" t="n"/>
      <c r="E6420" s="215" t="n"/>
      <c r="F6420" s="215" t="n"/>
    </row>
    <row r="6421">
      <c r="A6421" s="215" t="n">
        <v>45757</v>
      </c>
      <c r="B6421" s="216" t="n">
        <v>12.38</v>
      </c>
      <c r="C6421" s="216" t="n"/>
      <c r="D6421" s="216" t="n"/>
      <c r="E6421" s="215" t="n"/>
      <c r="F6421" s="215" t="n"/>
    </row>
    <row r="6422">
      <c r="A6422" s="215" t="n">
        <v>45758</v>
      </c>
      <c r="B6422" s="216" t="n">
        <v>12.28</v>
      </c>
      <c r="C6422" s="216" t="n"/>
      <c r="D6422" s="216" t="n"/>
      <c r="E6422" s="215" t="n"/>
      <c r="F6422" s="215" t="n"/>
    </row>
    <row r="6423">
      <c r="A6423" s="215" t="n">
        <v>45761</v>
      </c>
      <c r="B6423" s="216" t="n">
        <v>12.28</v>
      </c>
      <c r="C6423" s="216" t="n"/>
      <c r="D6423" s="216" t="n"/>
      <c r="E6423" s="215" t="n"/>
      <c r="F6423" s="215" t="n"/>
    </row>
    <row r="6424">
      <c r="A6424" s="215" t="n">
        <v>45762</v>
      </c>
      <c r="B6424" s="216" t="n">
        <v>11.98</v>
      </c>
      <c r="C6424" s="216" t="n"/>
      <c r="D6424" s="216" t="n"/>
      <c r="E6424" s="215" t="n"/>
      <c r="F6424" s="215" t="n"/>
    </row>
    <row r="6425">
      <c r="A6425" s="215" t="n">
        <v>45763</v>
      </c>
      <c r="B6425" s="216" t="n">
        <v>11.36</v>
      </c>
      <c r="C6425" s="216" t="n"/>
      <c r="D6425" s="216" t="n"/>
      <c r="E6425" s="215" t="n"/>
      <c r="F6425" s="215" t="n"/>
    </row>
    <row r="6426">
      <c r="A6426" s="215" t="n">
        <v>45764</v>
      </c>
      <c r="B6426" s="216" t="n">
        <v>11.8</v>
      </c>
      <c r="C6426" s="216" t="n"/>
      <c r="D6426" s="216" t="n"/>
      <c r="E6426" s="215" t="n"/>
      <c r="F6426" s="215" t="n"/>
    </row>
    <row r="6427">
      <c r="A6427" s="215" t="n">
        <v>45769</v>
      </c>
      <c r="B6427" s="216" t="n">
        <v>11.4</v>
      </c>
      <c r="C6427" s="216" t="n"/>
      <c r="D6427" s="216" t="n"/>
      <c r="E6427" s="215" t="n"/>
      <c r="F6427" s="215" t="n"/>
    </row>
    <row r="6428">
      <c r="A6428" s="215" t="n">
        <v>45770</v>
      </c>
      <c r="B6428" s="216" t="n">
        <v>11.62</v>
      </c>
      <c r="C6428" s="216" t="n"/>
      <c r="D6428" s="216" t="n"/>
      <c r="E6428" s="215" t="n"/>
      <c r="F6428" s="215" t="n"/>
    </row>
    <row r="6429">
      <c r="A6429" s="215" t="n">
        <v>45771</v>
      </c>
      <c r="B6429" s="216" t="n">
        <v>11.4</v>
      </c>
      <c r="C6429" s="216" t="n"/>
      <c r="D6429" s="216" t="n"/>
      <c r="E6429" s="215" t="n"/>
      <c r="F6429" s="215" t="n"/>
    </row>
    <row r="6430">
      <c r="A6430" s="215" t="n">
        <v>45772</v>
      </c>
      <c r="B6430" s="216" t="n">
        <v>11.68</v>
      </c>
      <c r="C6430" s="216" t="n"/>
      <c r="D6430" s="216" t="n"/>
      <c r="E6430" s="215" t="n"/>
      <c r="F6430" s="215" t="n"/>
    </row>
    <row r="6431">
      <c r="A6431" s="215" t="n">
        <v>45775</v>
      </c>
      <c r="B6431" s="216" t="n">
        <v>12.12</v>
      </c>
      <c r="C6431" s="216" t="n"/>
      <c r="D6431" s="216" t="n"/>
      <c r="E6431" s="215" t="n"/>
      <c r="F6431" s="215" t="n"/>
    </row>
    <row r="6432">
      <c r="A6432" s="215" t="n">
        <v>45776</v>
      </c>
      <c r="B6432" s="216" t="n">
        <v>12.06</v>
      </c>
      <c r="C6432" s="216" t="n"/>
      <c r="D6432" s="216" t="n"/>
      <c r="E6432" s="215" t="n"/>
      <c r="F6432" s="215" t="n"/>
    </row>
    <row r="6433">
      <c r="A6433" s="215" t="n">
        <v>45777</v>
      </c>
      <c r="B6433" s="216" t="n">
        <v>11.88</v>
      </c>
      <c r="C6433" s="216" t="n"/>
      <c r="D6433" s="216" t="n"/>
      <c r="E6433" s="215" t="n"/>
      <c r="F6433" s="215" t="n"/>
    </row>
    <row r="6434">
      <c r="A6434" s="215" t="n">
        <v>45779</v>
      </c>
      <c r="B6434" s="216" t="n">
        <v>13.9</v>
      </c>
      <c r="C6434" s="216" t="n"/>
      <c r="D6434" s="216" t="n"/>
      <c r="E6434" s="215" t="n"/>
      <c r="F6434" s="215" t="n"/>
    </row>
    <row r="6435">
      <c r="A6435" s="215" t="n">
        <v>45783</v>
      </c>
      <c r="B6435" s="216" t="n">
        <v>12.62</v>
      </c>
      <c r="C6435" s="216" t="n"/>
      <c r="D6435" s="216" t="n"/>
      <c r="E6435" s="215" t="n"/>
      <c r="F6435" s="215" t="n"/>
    </row>
    <row r="6436">
      <c r="A6436" s="215" t="n">
        <v>45784</v>
      </c>
      <c r="B6436" s="216" t="n">
        <v>12.02</v>
      </c>
      <c r="C6436" s="216" t="n"/>
      <c r="D6436" s="216" t="n"/>
      <c r="E6436" s="215" t="n"/>
      <c r="F6436" s="215" t="n"/>
    </row>
    <row r="6437">
      <c r="A6437" s="215" t="n">
        <v>45785</v>
      </c>
      <c r="B6437" s="216" t="n">
        <v>12</v>
      </c>
      <c r="C6437" s="216" t="n"/>
      <c r="D6437" s="216" t="n"/>
      <c r="E6437" s="215" t="n"/>
      <c r="F6437" s="215" t="n"/>
    </row>
    <row r="6438">
      <c r="A6438" s="215" t="n">
        <v>45786</v>
      </c>
      <c r="B6438" s="216" t="n">
        <v>12.14</v>
      </c>
      <c r="C6438" s="216" t="n"/>
      <c r="D6438" s="216" t="n"/>
      <c r="E6438" s="215" t="n"/>
      <c r="F6438" s="215" t="n"/>
    </row>
    <row r="6439">
      <c r="A6439" s="215" t="n">
        <v>45789</v>
      </c>
      <c r="B6439" s="216" t="n">
        <v>11.76</v>
      </c>
      <c r="C6439" s="216" t="n"/>
      <c r="D6439" s="216" t="n"/>
      <c r="E6439" s="215" t="n"/>
      <c r="F6439" s="215" t="n"/>
    </row>
    <row r="6440">
      <c r="A6440" s="215" t="n">
        <v>45790</v>
      </c>
      <c r="B6440" s="216" t="n">
        <v>12.02</v>
      </c>
      <c r="C6440" s="216" t="n"/>
      <c r="D6440" s="216" t="n"/>
      <c r="E6440" s="215" t="n"/>
      <c r="F6440" s="215" t="n"/>
    </row>
    <row r="6441">
      <c r="A6441" s="215" t="n">
        <v>45791</v>
      </c>
      <c r="B6441" s="216" t="n">
        <v>11.98</v>
      </c>
      <c r="C6441" s="216" t="n"/>
      <c r="D6441" s="216" t="n"/>
      <c r="E6441" s="215" t="n"/>
      <c r="F6441" s="215" t="n"/>
    </row>
    <row r="6442">
      <c r="A6442" s="215" t="n">
        <v>45792</v>
      </c>
      <c r="B6442" s="216" t="n">
        <v>11.86</v>
      </c>
      <c r="C6442" s="216" t="n"/>
      <c r="D6442" s="216" t="n"/>
      <c r="E6442" s="215" t="n"/>
      <c r="F6442" s="215" t="n"/>
    </row>
    <row r="6443">
      <c r="A6443" s="215" t="n">
        <v>45793</v>
      </c>
      <c r="B6443" s="216" t="n">
        <v>12.02</v>
      </c>
      <c r="C6443" s="216" t="n"/>
      <c r="D6443" s="216" t="n"/>
      <c r="E6443" s="215" t="n"/>
      <c r="F6443" s="215" t="n"/>
    </row>
    <row r="6444">
      <c r="A6444" s="215" t="n">
        <v>45796</v>
      </c>
      <c r="B6444" s="216" t="n">
        <v>12.1</v>
      </c>
      <c r="C6444" s="216" t="n"/>
      <c r="D6444" s="216" t="n"/>
      <c r="E6444" s="215" t="n"/>
      <c r="F6444" s="215" t="n"/>
    </row>
    <row r="6445">
      <c r="A6445" s="215" t="n">
        <v>45797</v>
      </c>
      <c r="B6445" s="216" t="n">
        <v>12.66</v>
      </c>
      <c r="C6445" s="216" t="n"/>
      <c r="D6445" s="216" t="n"/>
      <c r="E6445" s="215" t="n"/>
      <c r="F6445" s="215" t="n"/>
    </row>
    <row r="6446">
      <c r="A6446" s="215" t="n">
        <v>45798</v>
      </c>
      <c r="B6446" s="216" t="n">
        <v>14.28</v>
      </c>
      <c r="C6446" s="216" t="n"/>
      <c r="D6446" s="216" t="n"/>
      <c r="E6446" s="215" t="n"/>
      <c r="F6446" s="215" t="n"/>
    </row>
    <row r="6447">
      <c r="A6447" s="215" t="n">
        <v>45799</v>
      </c>
      <c r="B6447" s="216" t="n">
        <v>14.66</v>
      </c>
      <c r="C6447" s="216" t="n"/>
      <c r="D6447" s="216" t="n"/>
      <c r="E6447" s="215" t="n"/>
      <c r="F6447" s="215" t="n"/>
    </row>
    <row r="6448">
      <c r="A6448" s="215" t="n">
        <v>45800</v>
      </c>
      <c r="B6448" s="216" t="n">
        <v>16.08</v>
      </c>
      <c r="C6448" s="216" t="n"/>
      <c r="D6448" s="216" t="n"/>
      <c r="E6448" s="215" t="n"/>
      <c r="F6448" s="215" t="n"/>
    </row>
    <row r="6449">
      <c r="A6449" s="215" t="n">
        <v>45803</v>
      </c>
      <c r="B6449" s="216" t="n">
        <v>15.62</v>
      </c>
      <c r="C6449" s="216" t="n"/>
      <c r="D6449" s="216" t="n"/>
      <c r="E6449" s="215" t="n"/>
      <c r="F6449" s="215" t="n"/>
    </row>
    <row r="6450">
      <c r="A6450" s="215" t="n">
        <v>45804</v>
      </c>
      <c r="B6450" s="216" t="n">
        <v>15.78</v>
      </c>
      <c r="C6450" s="216" t="n"/>
      <c r="D6450" s="216" t="n"/>
      <c r="E6450" s="215" t="n"/>
      <c r="F6450" s="215" t="n"/>
    </row>
    <row r="6451">
      <c r="A6451" s="215" t="n">
        <v>45805</v>
      </c>
      <c r="B6451" s="216" t="n">
        <v>15.38</v>
      </c>
      <c r="C6451" s="216" t="n"/>
      <c r="D6451" s="216" t="n"/>
      <c r="E6451" s="215" t="n"/>
      <c r="F6451" s="215" t="n"/>
    </row>
    <row r="6452">
      <c r="A6452" s="215" t="n">
        <v>45806</v>
      </c>
      <c r="B6452" s="216" t="n">
        <v>16.4</v>
      </c>
      <c r="C6452" s="216" t="n"/>
      <c r="D6452" s="216" t="n"/>
      <c r="E6452" s="215" t="n"/>
      <c r="F6452" s="215" t="n"/>
    </row>
    <row r="6453">
      <c r="A6453" s="215" t="n">
        <v>45807</v>
      </c>
      <c r="B6453" s="216" t="n">
        <v>17.8</v>
      </c>
      <c r="C6453" s="216" t="n"/>
      <c r="D6453" s="216" t="n"/>
      <c r="E6453" s="215" t="n"/>
      <c r="F6453" s="215" t="n"/>
    </row>
    <row r="6454">
      <c r="A6454" s="215" t="n">
        <v>45810</v>
      </c>
      <c r="B6454" s="216" t="n">
        <v>18.06</v>
      </c>
      <c r="C6454" s="216" t="n"/>
      <c r="D6454" s="216" t="n"/>
      <c r="E6454" s="215" t="n"/>
      <c r="F6454" s="215" t="n"/>
    </row>
    <row r="6455">
      <c r="A6455" s="215" t="n">
        <v>45811</v>
      </c>
      <c r="B6455" s="216" t="n">
        <v>17.98</v>
      </c>
      <c r="C6455" s="216" t="n"/>
      <c r="D6455" s="216" t="n"/>
      <c r="E6455" s="215" t="n"/>
      <c r="F6455" s="215" t="n"/>
    </row>
    <row r="6456">
      <c r="A6456" s="215" t="n">
        <v>45812</v>
      </c>
      <c r="B6456" s="216" t="n">
        <v>17.04</v>
      </c>
      <c r="C6456" s="216" t="n"/>
      <c r="D6456" s="216" t="n"/>
      <c r="E6456" s="215" t="n"/>
      <c r="F6456" s="215" t="n"/>
    </row>
    <row r="6457">
      <c r="A6457" s="215" t="n">
        <v>45813</v>
      </c>
      <c r="B6457" s="216" t="n">
        <v>17.68</v>
      </c>
      <c r="C6457" s="216" t="n"/>
      <c r="D6457" s="216" t="n"/>
      <c r="E6457" s="215" t="n"/>
      <c r="F6457" s="215" t="n"/>
    </row>
    <row r="6458">
      <c r="A6458" s="215" t="n">
        <v>45814</v>
      </c>
      <c r="B6458" s="216" t="n">
        <v>17.5</v>
      </c>
      <c r="C6458" s="216" t="n"/>
      <c r="D6458" s="216" t="n"/>
      <c r="E6458" s="215" t="n"/>
      <c r="F6458" s="215" t="n"/>
    </row>
    <row r="6459">
      <c r="A6459" s="215" t="n">
        <v>45817</v>
      </c>
      <c r="B6459" s="216" t="n">
        <v>17.96</v>
      </c>
      <c r="C6459" s="216" t="n"/>
      <c r="D6459" s="216" t="n"/>
      <c r="E6459" s="215" t="n"/>
      <c r="F6459" s="215" t="n"/>
    </row>
    <row r="6460">
      <c r="A6460" s="215" t="n">
        <v>45818</v>
      </c>
      <c r="B6460" s="216" t="n">
        <v>19.8</v>
      </c>
      <c r="C6460" s="216" t="n"/>
      <c r="D6460" s="216" t="n"/>
      <c r="E6460" s="215" t="n"/>
      <c r="F6460" s="215" t="n"/>
    </row>
    <row r="6461">
      <c r="A6461" s="215" t="n">
        <v>45819</v>
      </c>
      <c r="B6461" s="216" t="n">
        <v>18.98</v>
      </c>
      <c r="C6461" s="216" t="n"/>
      <c r="D6461" s="216" t="n"/>
      <c r="E6461" s="215" t="n"/>
      <c r="F6461" s="215" t="n"/>
    </row>
    <row r="6462">
      <c r="A6462" s="215" t="n">
        <v>45820</v>
      </c>
      <c r="B6462" s="216" t="n">
        <v>22.45</v>
      </c>
      <c r="C6462" s="216" t="n"/>
      <c r="D6462" s="216" t="n"/>
      <c r="E6462" s="215" t="n"/>
      <c r="F6462" s="215" t="n"/>
    </row>
    <row r="6463">
      <c r="A6463" s="215" t="n">
        <v>45821</v>
      </c>
      <c r="B6463" s="216" t="n">
        <v>22.25</v>
      </c>
      <c r="C6463" s="216" t="n"/>
      <c r="D6463" s="216" t="n"/>
      <c r="E6463" s="215" t="n"/>
      <c r="F6463" s="215" t="n"/>
    </row>
    <row r="6464">
      <c r="A6464" s="215" t="n">
        <v>45824</v>
      </c>
      <c r="B6464" s="216" t="n">
        <v>21.4</v>
      </c>
      <c r="C6464" s="216" t="n"/>
      <c r="D6464" s="216" t="n"/>
      <c r="E6464" s="215" t="n"/>
      <c r="F6464" s="215" t="n"/>
    </row>
    <row r="6465">
      <c r="A6465" s="215" t="n">
        <v>45825</v>
      </c>
      <c r="B6465" s="216" t="n">
        <v>20.85</v>
      </c>
      <c r="C6465" s="216" t="n"/>
      <c r="D6465" s="216" t="n"/>
      <c r="E6465" s="215" t="n"/>
      <c r="F6465" s="215" t="n"/>
    </row>
    <row r="6466">
      <c r="A6466" s="215" t="n">
        <v>45826</v>
      </c>
      <c r="B6466" s="216" t="n">
        <v>21.8</v>
      </c>
      <c r="C6466" s="216" t="n"/>
      <c r="D6466" s="216" t="n"/>
      <c r="E6466" s="215" t="n"/>
      <c r="F6466" s="215" t="n"/>
    </row>
    <row r="6467">
      <c r="A6467" s="215" t="n">
        <v>45827</v>
      </c>
      <c r="B6467" s="216" t="n">
        <v>21.6</v>
      </c>
      <c r="C6467" s="216" t="n"/>
      <c r="D6467" s="216" t="n"/>
      <c r="E6467" s="215" t="n"/>
      <c r="F6467" s="215" t="n"/>
    </row>
    <row r="6468">
      <c r="A6468" s="215" t="n">
        <v>45828</v>
      </c>
      <c r="B6468" s="216" t="n">
        <v>22</v>
      </c>
      <c r="C6468" s="216" t="n"/>
      <c r="D6468" s="216" t="n"/>
      <c r="E6468" s="215" t="n"/>
      <c r="F6468" s="215" t="n"/>
    </row>
    <row r="6469">
      <c r="A6469" s="215" t="n">
        <v>45831</v>
      </c>
      <c r="B6469" s="216" t="n">
        <v>19.9</v>
      </c>
      <c r="C6469" s="216" t="n"/>
      <c r="D6469" s="216" t="n"/>
      <c r="E6469" s="215" t="n"/>
      <c r="F6469" s="215" t="n"/>
    </row>
    <row r="6470">
      <c r="A6470" s="215" t="n">
        <v>45832</v>
      </c>
      <c r="B6470" s="216" t="n">
        <v>21.75</v>
      </c>
      <c r="C6470" s="216" t="n"/>
      <c r="D6470" s="216" t="n"/>
      <c r="E6470" s="215" t="n"/>
      <c r="F6470" s="215" t="n"/>
    </row>
    <row r="6471">
      <c r="A6471" s="215" t="n">
        <v>45833</v>
      </c>
      <c r="B6471" s="216" t="n">
        <v>22.4</v>
      </c>
      <c r="C6471" s="216" t="n"/>
      <c r="D6471" s="216" t="n"/>
      <c r="E6471" s="215" t="n"/>
      <c r="F6471" s="215" t="n"/>
    </row>
    <row r="6472">
      <c r="A6472" s="215" t="n">
        <v>45834</v>
      </c>
      <c r="B6472" s="216" t="n">
        <v>22.15</v>
      </c>
      <c r="C6472" s="216" t="n"/>
      <c r="D6472" s="216" t="n"/>
      <c r="E6472" s="215" t="n"/>
      <c r="F6472" s="215" t="n"/>
    </row>
    <row r="6473">
      <c r="A6473" s="215" t="n">
        <v>45835</v>
      </c>
      <c r="B6473" s="216" t="n">
        <v>22.65</v>
      </c>
      <c r="C6473" s="216" t="n"/>
      <c r="D6473" s="216" t="n"/>
      <c r="E6473" s="215" t="n"/>
      <c r="F6473" s="215" t="n"/>
    </row>
    <row r="6474">
      <c r="A6474" s="215" t="n">
        <v>45838</v>
      </c>
      <c r="B6474" s="216" t="n">
        <v>22.5</v>
      </c>
      <c r="C6474" s="216" t="n"/>
      <c r="D6474" s="216" t="n"/>
      <c r="E6474" s="215" t="n"/>
      <c r="F6474" s="215" t="n"/>
    </row>
    <row r="6475">
      <c r="A6475" s="215" t="n">
        <v>45840</v>
      </c>
      <c r="B6475" s="216" t="n">
        <v>22.65</v>
      </c>
      <c r="C6475" s="216" t="n"/>
      <c r="D6475" s="216" t="n"/>
      <c r="E6475" s="215" t="n"/>
      <c r="F6475" s="215" t="n"/>
    </row>
    <row r="6476">
      <c r="A6476" s="215" t="n">
        <v>45841</v>
      </c>
      <c r="B6476" s="216" t="n">
        <v>23.6</v>
      </c>
      <c r="C6476" s="216" t="n"/>
      <c r="D6476" s="216" t="n"/>
      <c r="E6476" s="215" t="n"/>
      <c r="F6476" s="215" t="n"/>
    </row>
    <row r="6477">
      <c r="A6477" s="215" t="n">
        <v>45842</v>
      </c>
      <c r="B6477" s="216" t="n">
        <v>23</v>
      </c>
      <c r="C6477" s="216" t="n"/>
      <c r="D6477" s="216" t="n"/>
      <c r="E6477" s="215" t="n"/>
      <c r="F6477" s="215" t="n"/>
    </row>
    <row r="6478">
      <c r="A6478" s="215" t="n">
        <v>45845</v>
      </c>
      <c r="B6478" s="216" t="n">
        <v>21.25</v>
      </c>
      <c r="C6478" s="216" t="n"/>
      <c r="D6478" s="216" t="n"/>
      <c r="E6478" s="215" t="n"/>
      <c r="F6478" s="215" t="n"/>
    </row>
    <row r="6479">
      <c r="A6479" s="215" t="n">
        <v>45846</v>
      </c>
      <c r="B6479" s="216" t="n">
        <v>20.65</v>
      </c>
      <c r="C6479" s="216" t="n"/>
      <c r="D6479" s="216" t="n"/>
      <c r="E6479" s="215" t="n"/>
      <c r="F6479" s="215" t="n"/>
    </row>
    <row r="6480">
      <c r="A6480" s="215" t="n">
        <v>45847</v>
      </c>
      <c r="B6480" s="216" t="n">
        <v>21.7</v>
      </c>
      <c r="C6480" s="216" t="n"/>
      <c r="D6480" s="216" t="n"/>
      <c r="E6480" s="215" t="n"/>
      <c r="F6480" s="215" t="n"/>
    </row>
    <row r="6481">
      <c r="A6481" s="215" t="n">
        <v>45848</v>
      </c>
      <c r="B6481" s="216" t="n">
        <v>21.05</v>
      </c>
      <c r="C6481" s="216" t="n"/>
      <c r="D6481" s="216" t="n"/>
      <c r="E6481" s="215" t="n"/>
      <c r="F6481" s="215" t="n"/>
    </row>
    <row r="6482">
      <c r="A6482" s="215" t="n">
        <v>45849</v>
      </c>
      <c r="B6482" s="216" t="n">
        <v>21.15</v>
      </c>
      <c r="C6482" s="216" t="n"/>
      <c r="D6482" s="216" t="n"/>
      <c r="E6482" s="215" t="n"/>
      <c r="F6482" s="215" t="n"/>
    </row>
    <row r="6483">
      <c r="A6483" s="215" t="n">
        <v>45852</v>
      </c>
      <c r="B6483" s="216" t="n">
        <v>20.3</v>
      </c>
      <c r="C6483" s="216" t="n"/>
      <c r="D6483" s="216" t="n"/>
      <c r="E6483" s="215" t="n"/>
      <c r="F6483" s="215" t="n"/>
    </row>
    <row r="6484">
      <c r="A6484" s="215" t="n">
        <v>45853</v>
      </c>
      <c r="B6484" s="216" t="n">
        <v>20.65</v>
      </c>
      <c r="C6484" s="216" t="n"/>
      <c r="D6484" s="216" t="n"/>
      <c r="E6484" s="215" t="n"/>
      <c r="F6484" s="215" t="n"/>
    </row>
    <row r="6485">
      <c r="A6485" s="215" t="n">
        <v>45854</v>
      </c>
      <c r="B6485" s="216" t="n">
        <v>21.35</v>
      </c>
      <c r="C6485" s="216" t="n"/>
      <c r="D6485" s="216" t="n"/>
      <c r="E6485" s="215" t="n"/>
      <c r="F6485" s="215" t="n"/>
    </row>
    <row r="6486">
      <c r="A6486" s="215" t="n">
        <v>45855</v>
      </c>
      <c r="B6486" s="216" t="n">
        <v>21.75</v>
      </c>
      <c r="C6486" s="216" t="n"/>
      <c r="D6486" s="216" t="n"/>
      <c r="E6486" s="215" t="n"/>
      <c r="F6486" s="215" t="n"/>
    </row>
    <row r="6487">
      <c r="A6487" s="215" t="n">
        <v>45856</v>
      </c>
      <c r="B6487" s="216" t="n">
        <v>21.5</v>
      </c>
      <c r="C6487" s="216" t="n"/>
      <c r="D6487" s="216" t="n"/>
      <c r="E6487" s="215" t="n"/>
      <c r="F6487" s="215" t="n"/>
    </row>
    <row r="6488">
      <c r="A6488" s="215" t="n">
        <v>45859</v>
      </c>
      <c r="B6488" s="216" t="n">
        <v>20.8</v>
      </c>
      <c r="C6488" s="216" t="n"/>
      <c r="D6488" s="216" t="n"/>
      <c r="E6488" s="215" t="n"/>
      <c r="F6488" s="215" t="n"/>
    </row>
    <row r="6489">
      <c r="A6489" s="215" t="n">
        <v>45860</v>
      </c>
      <c r="B6489" s="216" t="n">
        <v>20.6</v>
      </c>
      <c r="C6489" s="216" t="n"/>
      <c r="D6489" s="216" t="n"/>
      <c r="E6489" s="215" t="n"/>
      <c r="F6489" s="215" t="n"/>
    </row>
    <row r="6490">
      <c r="A6490" s="215" t="n">
        <v>45861</v>
      </c>
      <c r="B6490" s="216" t="n">
        <v>20.65</v>
      </c>
      <c r="C6490" s="216" t="n"/>
      <c r="D6490" s="216" t="n"/>
      <c r="E6490" s="215" t="n"/>
      <c r="F6490" s="215" t="n"/>
    </row>
    <row r="6491">
      <c r="A6491" s="215" t="n">
        <v>45862</v>
      </c>
      <c r="B6491" s="216" t="n">
        <v>20.95</v>
      </c>
      <c r="C6491" s="216" t="n"/>
      <c r="D6491" s="216" t="n"/>
      <c r="E6491" s="215" t="n"/>
      <c r="F6491" s="215" t="n"/>
    </row>
    <row r="6492">
      <c r="A6492" s="215" t="n">
        <v>45863</v>
      </c>
      <c r="B6492" s="216" t="n">
        <v>20.8</v>
      </c>
      <c r="C6492" s="216" t="n"/>
      <c r="D6492" s="216" t="n"/>
      <c r="E6492" s="215" t="n"/>
      <c r="F6492" s="215" t="n"/>
    </row>
    <row r="6493">
      <c r="A6493" s="215" t="n">
        <v>45866</v>
      </c>
      <c r="B6493" s="216" t="n">
        <v>21.45</v>
      </c>
      <c r="C6493" s="216" t="n"/>
      <c r="D6493" s="216" t="n"/>
      <c r="E6493" s="215" t="n"/>
      <c r="F6493" s="215" t="n"/>
    </row>
    <row r="6494">
      <c r="A6494" s="215" t="n">
        <v>45867</v>
      </c>
      <c r="B6494" s="216" t="n">
        <v>23.5</v>
      </c>
      <c r="C6494" s="216" t="n"/>
      <c r="D6494" s="216" t="n"/>
      <c r="E6494" s="215" t="n"/>
      <c r="F6494" s="215" t="n"/>
    </row>
    <row r="6495">
      <c r="A6495" s="215" t="n">
        <v>45868</v>
      </c>
      <c r="B6495" s="216" t="n">
        <v>25.1</v>
      </c>
      <c r="C6495" s="216" t="n"/>
      <c r="D6495" s="216" t="n"/>
      <c r="E6495" s="215" t="n"/>
      <c r="F6495" s="215" t="n"/>
    </row>
    <row r="6496">
      <c r="A6496" s="215" t="n">
        <v>45869</v>
      </c>
      <c r="B6496" s="216" t="n">
        <v>25.65</v>
      </c>
      <c r="C6496" s="216" t="n"/>
      <c r="D6496" s="216" t="n"/>
      <c r="E6496" s="215" t="n"/>
      <c r="F6496" s="215" t="n"/>
    </row>
    <row r="6497">
      <c r="A6497" s="215" t="n">
        <v>45870</v>
      </c>
      <c r="B6497" s="216" t="n">
        <v>25.45</v>
      </c>
      <c r="C6497" s="216" t="n"/>
      <c r="D6497" s="216" t="n"/>
      <c r="E6497" s="215" t="n"/>
      <c r="F6497" s="215" t="n"/>
    </row>
    <row r="6498">
      <c r="A6498" s="215" t="n">
        <v>45873</v>
      </c>
      <c r="B6498" s="216" t="n">
        <v>26.34</v>
      </c>
      <c r="C6498" s="216" t="n"/>
      <c r="D6498" s="216" t="n"/>
      <c r="E6498" s="215" t="n"/>
      <c r="F6498" s="215" t="n"/>
    </row>
    <row r="6499">
      <c r="A6499" s="215" t="n">
        <v>45874</v>
      </c>
      <c r="B6499" s="216" t="n">
        <v>26.8</v>
      </c>
      <c r="C6499" s="216" t="n"/>
      <c r="D6499" s="216" t="n"/>
      <c r="E6499" s="215" t="n"/>
      <c r="F6499" s="215" t="n"/>
    </row>
    <row r="6500">
      <c r="A6500" s="215" t="n">
        <v>45875</v>
      </c>
      <c r="B6500" s="216" t="n">
        <v>26</v>
      </c>
      <c r="C6500" s="216" t="n"/>
      <c r="D6500" s="216" t="n"/>
      <c r="E6500" s="215" t="n"/>
      <c r="F6500" s="215" t="n"/>
    </row>
    <row r="6501">
      <c r="A6501" s="215" t="n">
        <v>45876</v>
      </c>
      <c r="B6501" s="216" t="n">
        <v>24.58</v>
      </c>
      <c r="C6501" s="216" t="n"/>
      <c r="D6501" s="216" t="n"/>
      <c r="E6501" s="215" t="n"/>
      <c r="F6501" s="215" t="n"/>
    </row>
    <row r="6502">
      <c r="A6502" s="215" t="n">
        <v>45877</v>
      </c>
      <c r="B6502" s="216" t="n">
        <v>24</v>
      </c>
      <c r="C6502" s="216" t="n"/>
      <c r="D6502" s="216" t="n"/>
      <c r="E6502" s="215" t="n"/>
      <c r="F6502" s="215" t="n"/>
    </row>
    <row r="6503">
      <c r="A6503" s="215" t="n">
        <v>45880</v>
      </c>
      <c r="B6503" s="216" t="n">
        <v>25.26</v>
      </c>
      <c r="C6503" s="216" t="n"/>
      <c r="D6503" s="216" t="n"/>
      <c r="E6503" s="215" t="n"/>
      <c r="F6503" s="215" t="n"/>
    </row>
    <row r="6504">
      <c r="A6504" s="215" t="n">
        <v>45881</v>
      </c>
      <c r="B6504" s="216" t="n">
        <v>24.6</v>
      </c>
      <c r="C6504" s="216" t="n"/>
      <c r="D6504" s="216" t="n"/>
      <c r="E6504" s="215" t="n"/>
      <c r="F6504" s="215" t="n"/>
    </row>
    <row r="6505">
      <c r="A6505" s="215" t="n">
        <v>45882</v>
      </c>
      <c r="B6505" s="216" t="n">
        <v>24.76</v>
      </c>
      <c r="C6505" s="216" t="n"/>
      <c r="D6505" s="216" t="n"/>
      <c r="E6505" s="215" t="n"/>
      <c r="F6505" s="215" t="n"/>
    </row>
    <row r="6506">
      <c r="A6506" s="215" t="n">
        <v>45883</v>
      </c>
      <c r="B6506" s="216" t="n">
        <v>24.56</v>
      </c>
      <c r="C6506" s="216" t="n"/>
      <c r="D6506" s="216" t="n"/>
      <c r="E6506" s="215" t="n"/>
      <c r="F6506" s="215" t="n"/>
    </row>
    <row r="6507">
      <c r="A6507" s="215" t="n">
        <v>45884</v>
      </c>
      <c r="B6507" s="216" t="n">
        <v>24.64</v>
      </c>
      <c r="C6507" s="216" t="n"/>
      <c r="D6507" s="216" t="n"/>
      <c r="E6507" s="215" t="n"/>
      <c r="F6507" s="215" t="n"/>
    </row>
    <row r="6508">
      <c r="A6508" s="215" t="n">
        <v>45887</v>
      </c>
      <c r="B6508" s="216" t="n">
        <v>24.22</v>
      </c>
      <c r="C6508" s="216" t="n"/>
      <c r="D6508" s="216" t="n"/>
      <c r="E6508" s="215" t="n"/>
      <c r="F6508" s="215" t="n"/>
    </row>
    <row r="6509">
      <c r="A6509" s="215" t="n">
        <v>45888</v>
      </c>
      <c r="B6509" s="216" t="n">
        <v>22.58</v>
      </c>
      <c r="C6509" s="216" t="n"/>
      <c r="D6509" s="216" t="n"/>
      <c r="E6509" s="215" t="n"/>
      <c r="F6509" s="215" t="n"/>
    </row>
    <row r="6510">
      <c r="A6510" s="215" t="n">
        <v>45889</v>
      </c>
      <c r="B6510" s="216" t="n">
        <v>22.4</v>
      </c>
      <c r="C6510" s="216" t="n"/>
      <c r="D6510" s="216" t="n"/>
      <c r="E6510" s="215" t="n"/>
      <c r="F6510" s="215" t="n"/>
    </row>
    <row r="6511">
      <c r="A6511" s="215" t="n">
        <v>45890</v>
      </c>
      <c r="B6511" s="216" t="n">
        <v>21.74</v>
      </c>
      <c r="C6511" s="216" t="n"/>
      <c r="D6511" s="216" t="n"/>
      <c r="E6511" s="215" t="n"/>
      <c r="F6511" s="215" t="n"/>
    </row>
    <row r="6512">
      <c r="A6512" s="215" t="n">
        <v>45891</v>
      </c>
      <c r="B6512" s="216" t="n">
        <v>25</v>
      </c>
      <c r="C6512" s="216" t="n"/>
      <c r="D6512" s="216" t="n"/>
      <c r="E6512" s="215" t="n"/>
      <c r="F6512" s="215" t="n"/>
    </row>
    <row r="6513">
      <c r="A6513" s="215" t="n">
        <v>45894</v>
      </c>
      <c r="B6513" s="216" t="n">
        <v>22.92</v>
      </c>
      <c r="C6513" s="216" t="n"/>
      <c r="D6513" s="216" t="n"/>
      <c r="E6513" s="215" t="n"/>
      <c r="F6513" s="215" t="n"/>
    </row>
    <row r="6514">
      <c r="A6514" s="215" t="n">
        <v>45895</v>
      </c>
      <c r="B6514" s="216" t="n">
        <v>22.28</v>
      </c>
      <c r="C6514" s="216" t="n"/>
      <c r="D6514" s="216" t="n"/>
      <c r="E6514" s="215" t="n"/>
      <c r="F6514" s="215" t="n"/>
    </row>
    <row r="6515">
      <c r="A6515" s="215" t="n">
        <v>45896</v>
      </c>
      <c r="B6515" s="216" t="n">
        <v>21.22</v>
      </c>
      <c r="C6515" s="216" t="n"/>
      <c r="D6515" s="216" t="n"/>
      <c r="E6515" s="215" t="n"/>
      <c r="F6515" s="215" t="n"/>
    </row>
    <row r="6516">
      <c r="A6516" s="215" t="n">
        <v>45897</v>
      </c>
      <c r="B6516" s="216" t="n">
        <v>20.86</v>
      </c>
      <c r="C6516" s="216" t="n"/>
      <c r="D6516" s="216" t="n"/>
      <c r="E6516" s="215" t="n"/>
      <c r="F6516" s="215" t="n"/>
    </row>
    <row r="6517">
      <c r="A6517" s="215" t="n">
        <v>45898</v>
      </c>
      <c r="B6517" s="216" t="n">
        <v>22.64</v>
      </c>
      <c r="C6517" s="216" t="n"/>
      <c r="D6517" s="216" t="n"/>
      <c r="E6517" s="215" t="n"/>
      <c r="F6517" s="215" t="n"/>
    </row>
    <row r="6518">
      <c r="A6518" s="215" t="n">
        <v>45901</v>
      </c>
      <c r="B6518" s="216" t="n">
        <v>25</v>
      </c>
      <c r="C6518" s="216" t="n"/>
      <c r="D6518" s="216" t="n"/>
      <c r="E6518" s="215" t="n"/>
      <c r="F6518" s="215" t="n"/>
    </row>
    <row r="6519">
      <c r="A6519" s="215" t="n">
        <v>45902</v>
      </c>
      <c r="B6519" s="216" t="n">
        <v>23.62</v>
      </c>
      <c r="C6519" s="216" t="n"/>
      <c r="D6519" s="216" t="n"/>
      <c r="E6519" s="215" t="n"/>
      <c r="F6519" s="215" t="n"/>
    </row>
    <row r="6520">
      <c r="A6520" s="215" t="n">
        <v>45903</v>
      </c>
      <c r="B6520" s="216" t="n">
        <v>25.58</v>
      </c>
      <c r="C6520" s="216" t="n"/>
      <c r="D6520" s="216" t="n"/>
      <c r="E6520" s="215" t="n"/>
      <c r="F6520" s="215" t="n"/>
    </row>
    <row r="6521">
      <c r="A6521" s="215" t="n">
        <v>45904</v>
      </c>
      <c r="B6521" s="216" t="n">
        <v>25.64</v>
      </c>
      <c r="C6521" s="216" t="n"/>
      <c r="D6521" s="216" t="n"/>
      <c r="E6521" s="215" t="n"/>
      <c r="F6521" s="215" t="n"/>
    </row>
    <row r="6522">
      <c r="A6522" s="215" t="n">
        <v>45905</v>
      </c>
      <c r="B6522" s="216" t="n">
        <v>25.02</v>
      </c>
      <c r="C6522" s="216" t="n"/>
      <c r="D6522" s="216" t="n"/>
      <c r="E6522" s="215" t="n"/>
      <c r="F6522" s="215" t="n"/>
    </row>
    <row r="6523">
      <c r="A6523" s="215" t="n">
        <v>45908</v>
      </c>
      <c r="B6523" s="216" t="n">
        <v>25.84</v>
      </c>
      <c r="C6523" s="216" t="n"/>
      <c r="D6523" s="216" t="n"/>
      <c r="E6523" s="215" t="n"/>
      <c r="F6523" s="215" t="n"/>
    </row>
    <row r="6524">
      <c r="A6524" s="215" t="n">
        <v>45909</v>
      </c>
      <c r="B6524" s="216" t="n">
        <v>25.56</v>
      </c>
      <c r="C6524" s="216" t="n"/>
      <c r="D6524" s="216" t="n"/>
      <c r="E6524" s="215" t="n"/>
      <c r="F6524" s="215" t="n"/>
    </row>
    <row r="6525">
      <c r="A6525" s="215" t="n">
        <v>45910</v>
      </c>
      <c r="B6525" s="216" t="n">
        <v>25.8</v>
      </c>
      <c r="C6525" s="216" t="n"/>
      <c r="D6525" s="216" t="n"/>
      <c r="E6525" s="215" t="n"/>
      <c r="F6525" s="215" t="n"/>
    </row>
    <row r="6526">
      <c r="A6526" s="215" t="n">
        <v>45911</v>
      </c>
      <c r="B6526" s="216" t="n">
        <v>24.7</v>
      </c>
      <c r="C6526" s="216" t="n"/>
      <c r="D6526" s="216" t="n"/>
      <c r="E6526" s="215" t="n"/>
      <c r="F6526" s="215" t="n"/>
    </row>
    <row r="6527">
      <c r="A6527" s="215" t="n">
        <v>45912</v>
      </c>
      <c r="B6527" s="216" t="n">
        <v>23</v>
      </c>
      <c r="C6527" s="216" t="n"/>
      <c r="D6527" s="216" t="n"/>
      <c r="E6527" s="215" t="n"/>
      <c r="F6527" s="215" t="n"/>
    </row>
    <row r="6528">
      <c r="A6528" s="215" t="n">
        <v>45915</v>
      </c>
      <c r="B6528" s="216" t="n">
        <v>25.54</v>
      </c>
      <c r="C6528" s="216" t="n"/>
      <c r="D6528" s="216" t="n"/>
      <c r="E6528" s="215" t="n"/>
      <c r="F6528" s="215" t="n"/>
    </row>
    <row r="6529">
      <c r="A6529" s="215" t="n">
        <v>45916</v>
      </c>
      <c r="B6529" s="216" t="n">
        <v>26.5</v>
      </c>
      <c r="C6529" s="216" t="n"/>
      <c r="D6529" s="216" t="n"/>
      <c r="E6529" s="215" t="n"/>
      <c r="F6529" s="215" t="n"/>
    </row>
    <row r="6530">
      <c r="A6530" s="215" t="n">
        <v>45917</v>
      </c>
      <c r="B6530" s="216" t="n">
        <v>24.9</v>
      </c>
      <c r="C6530" s="216" t="n"/>
      <c r="D6530" s="216" t="n"/>
      <c r="E6530" s="215" t="n"/>
      <c r="F6530" s="215" t="n"/>
    </row>
    <row r="6531">
      <c r="A6531" s="215" t="n">
        <v>45918</v>
      </c>
      <c r="B6531" s="216" t="n">
        <v>27.54</v>
      </c>
      <c r="C6531" s="216" t="n"/>
      <c r="D6531" s="216" t="n"/>
      <c r="E6531" s="215" t="n"/>
      <c r="F6531" s="215" t="n"/>
    </row>
    <row r="6532">
      <c r="A6532" s="215" t="n">
        <v>45919</v>
      </c>
      <c r="B6532" s="216" t="n">
        <v>27.5</v>
      </c>
      <c r="C6532" s="216" t="n"/>
      <c r="D6532" s="216" t="n"/>
      <c r="E6532" s="215" t="n"/>
      <c r="F6532" s="215" t="n"/>
    </row>
    <row r="6533">
      <c r="A6533" s="215" t="n">
        <v>45922</v>
      </c>
      <c r="B6533" s="216" t="n">
        <v>27.4</v>
      </c>
      <c r="C6533" s="216" t="n"/>
      <c r="D6533" s="216" t="n"/>
      <c r="E6533" s="215" t="n"/>
      <c r="F6533" s="215" t="n"/>
    </row>
    <row r="6534">
      <c r="A6534" s="215" t="n">
        <v>45923</v>
      </c>
      <c r="B6534" s="216" t="n">
        <v>26.82</v>
      </c>
      <c r="C6534" s="216" t="n"/>
      <c r="D6534" s="216" t="n"/>
      <c r="E6534" s="215" t="n"/>
      <c r="F6534" s="215" t="n"/>
    </row>
    <row r="6535">
      <c r="A6535" s="215" t="n">
        <v>45924</v>
      </c>
      <c r="B6535" s="216" t="n">
        <v>27.9</v>
      </c>
      <c r="C6535" s="216" t="n"/>
      <c r="D6535" s="216" t="n"/>
      <c r="E6535" s="215" t="n"/>
      <c r="F6535" s="215" t="n"/>
    </row>
    <row r="6536">
      <c r="A6536" s="215" t="n">
        <v>45925</v>
      </c>
      <c r="B6536" s="216" t="n">
        <v>29.5</v>
      </c>
      <c r="C6536" s="216" t="n"/>
      <c r="D6536" s="216" t="n"/>
      <c r="E6536" s="215" t="n"/>
      <c r="F6536" s="215" t="n"/>
    </row>
    <row r="6537">
      <c r="A6537" s="215" t="n">
        <v>45926</v>
      </c>
      <c r="B6537" s="216" t="n">
        <v>28.6</v>
      </c>
      <c r="C6537" s="216" t="n"/>
      <c r="D6537" s="216" t="n"/>
      <c r="E6537" s="215" t="n"/>
      <c r="F6537" s="215" t="n"/>
    </row>
    <row r="6538">
      <c r="A6538" s="215" t="n">
        <v>45929</v>
      </c>
      <c r="B6538" s="216" t="n">
        <v>28.7</v>
      </c>
      <c r="C6538" s="216" t="n"/>
      <c r="D6538" s="216" t="n"/>
      <c r="E6538" s="215" t="n"/>
      <c r="F6538" s="215" t="n"/>
    </row>
    <row r="6539">
      <c r="A6539" s="215" t="n">
        <v>45930</v>
      </c>
      <c r="B6539" s="216" t="n">
        <v>28.48</v>
      </c>
      <c r="C6539" s="216" t="n"/>
      <c r="D6539" s="216" t="n"/>
      <c r="E6539" s="215" t="n"/>
      <c r="F6539" s="215" t="n"/>
    </row>
    <row r="6540">
      <c r="A6540" s="215" t="n">
        <v>45932</v>
      </c>
      <c r="B6540" s="216" t="n">
        <v>28.66</v>
      </c>
      <c r="C6540" s="216" t="n"/>
      <c r="D6540" s="216" t="n"/>
      <c r="E6540" s="215" t="n"/>
      <c r="F6540" s="215" t="n"/>
    </row>
    <row r="6541">
      <c r="A6541" s="215" t="n">
        <v>45933</v>
      </c>
      <c r="B6541" s="216" t="n">
        <v>27.48</v>
      </c>
      <c r="C6541" s="216" t="n"/>
      <c r="D6541" s="216" t="n"/>
      <c r="E6541" s="215" t="n"/>
      <c r="F6541" s="215" t="n"/>
    </row>
    <row r="6542">
      <c r="A6542" s="215" t="n">
        <v>45936</v>
      </c>
      <c r="B6542" s="216" t="n">
        <v>27.52</v>
      </c>
      <c r="C6542" s="216" t="n"/>
      <c r="D6542" s="216" t="n"/>
      <c r="E6542" s="215" t="n"/>
      <c r="F6542" s="215" t="n"/>
    </row>
    <row r="6543">
      <c r="A6543" s="215" t="n">
        <v>45938</v>
      </c>
      <c r="B6543" s="216" t="n">
        <v>26.88</v>
      </c>
      <c r="C6543" s="216" t="n"/>
      <c r="D6543" s="216" t="n"/>
      <c r="E6543" s="215" t="n"/>
      <c r="F6543" s="215" t="n"/>
    </row>
    <row r="6544">
      <c r="A6544" s="215" t="n">
        <v>45939</v>
      </c>
      <c r="B6544" s="216" t="n">
        <v>25.56</v>
      </c>
      <c r="C6544" s="216" t="n"/>
      <c r="D6544" s="216" t="n"/>
      <c r="E6544" s="215" t="n"/>
      <c r="F6544" s="215" t="n"/>
    </row>
    <row r="6545">
      <c r="A6545" s="215" t="n">
        <v>45940</v>
      </c>
      <c r="B6545" s="216" t="n">
        <v>25.08</v>
      </c>
      <c r="C6545" s="216" t="n"/>
      <c r="D6545" s="216" t="n"/>
      <c r="E6545" s="215" t="n"/>
      <c r="F6545" s="215" t="n"/>
    </row>
    <row r="6546">
      <c r="A6546" s="215" t="n">
        <v>45943</v>
      </c>
      <c r="B6546" s="216" t="n">
        <v>24.6</v>
      </c>
      <c r="C6546" s="216" t="n"/>
      <c r="D6546" s="216" t="n"/>
      <c r="E6546" s="215" t="n"/>
      <c r="F6546" s="215" t="n"/>
    </row>
    <row r="6547">
      <c r="A6547" s="215" t="n">
        <v>45944</v>
      </c>
      <c r="B6547" s="216" t="n">
        <v>22.66</v>
      </c>
      <c r="C6547" s="216" t="n"/>
      <c r="D6547" s="216" t="n"/>
      <c r="E6547" s="215" t="n"/>
      <c r="F6547" s="215" t="n"/>
    </row>
    <row r="6548">
      <c r="A6548" s="215" t="n">
        <v>45945</v>
      </c>
      <c r="B6548" s="216" t="n">
        <v>23.2</v>
      </c>
      <c r="C6548" s="216" t="n"/>
      <c r="D6548" s="216" t="n"/>
      <c r="E6548" s="215" t="n"/>
      <c r="F6548" s="215" t="n"/>
    </row>
    <row r="6549">
      <c r="A6549" s="215" t="n">
        <v>45946</v>
      </c>
      <c r="B6549" s="216" t="n">
        <v>23.32</v>
      </c>
      <c r="C6549" s="216" t="n"/>
      <c r="D6549" s="216" t="n"/>
      <c r="E6549" s="215" t="n"/>
      <c r="F6549" s="215" t="n"/>
    </row>
    <row r="6550">
      <c r="A6550" s="215" t="n">
        <v>45947</v>
      </c>
      <c r="B6550" s="216" t="n">
        <v>22.76</v>
      </c>
      <c r="C6550" s="216" t="n"/>
      <c r="D6550" s="216" t="n"/>
      <c r="E6550" s="215" t="n"/>
      <c r="F6550" s="215" t="n"/>
    </row>
    <row r="6551">
      <c r="A6551" s="215" t="n">
        <v>45950</v>
      </c>
      <c r="B6551" s="216" t="n">
        <v>23.8</v>
      </c>
      <c r="C6551" s="216" t="n"/>
      <c r="D6551" s="216" t="n"/>
      <c r="E6551" s="215" t="n"/>
      <c r="F6551" s="215" t="n"/>
    </row>
    <row r="6552">
      <c r="A6552" s="215" t="n">
        <v>45951</v>
      </c>
      <c r="B6552" s="216" t="n">
        <v>23.8</v>
      </c>
      <c r="C6552" s="216" t="n"/>
      <c r="D6552" s="216" t="n"/>
      <c r="E6552" s="215" t="n"/>
      <c r="F6552" s="215" t="n"/>
    </row>
    <row r="6553">
      <c r="A6553" s="215" t="n">
        <v>45952</v>
      </c>
      <c r="B6553" s="216" t="n">
        <v>23.28</v>
      </c>
      <c r="C6553" s="216" t="n"/>
      <c r="D6553" s="216" t="n"/>
      <c r="E6553" s="215" t="n"/>
      <c r="F6553" s="215" t="n"/>
    </row>
    <row r="6554">
      <c r="A6554" s="215" t="n">
        <v>45953</v>
      </c>
      <c r="B6554" s="216" t="n">
        <v>23.4</v>
      </c>
      <c r="C6554" s="216" t="n"/>
      <c r="D6554" s="216" t="n"/>
      <c r="E6554" s="215" t="n"/>
      <c r="F6554" s="215" t="n"/>
    </row>
    <row r="6555">
      <c r="A6555" s="215" t="n">
        <v>45954</v>
      </c>
      <c r="B6555" s="216" t="n">
        <v>22.94</v>
      </c>
      <c r="C6555" s="216" t="n"/>
      <c r="D6555" s="216" t="n"/>
      <c r="E6555" s="215" t="n"/>
      <c r="F6555" s="215" t="n"/>
    </row>
    <row r="6556">
      <c r="A6556" s="215" t="n">
        <v>45957</v>
      </c>
      <c r="B6556" s="216" t="n">
        <v>25.46</v>
      </c>
      <c r="C6556" s="216" t="n"/>
      <c r="D6556" s="216" t="n"/>
      <c r="E6556" s="215" t="n"/>
      <c r="F6556" s="215" t="n"/>
    </row>
    <row r="6557">
      <c r="A6557" s="215" t="n">
        <v>45958</v>
      </c>
      <c r="B6557" s="216" t="n">
        <v>24.94</v>
      </c>
      <c r="C6557" s="216" t="n"/>
      <c r="D6557" s="216" t="n"/>
      <c r="E6557" s="215" t="n"/>
      <c r="F6557" s="215" t="n"/>
    </row>
    <row r="6558">
      <c r="A6558" s="215" t="n">
        <v>45960</v>
      </c>
      <c r="B6558" s="216" t="n">
        <v>25.88</v>
      </c>
      <c r="C6558" s="216" t="n"/>
      <c r="D6558" s="216" t="n"/>
      <c r="E6558" s="215" t="n"/>
      <c r="F6558" s="215" t="n"/>
    </row>
    <row r="6559">
      <c r="A6559" s="215" t="n">
        <v>45961</v>
      </c>
      <c r="B6559" s="216" t="n">
        <v>28</v>
      </c>
      <c r="C6559" s="216" t="n"/>
      <c r="D6559" s="216" t="n"/>
      <c r="E6559" s="215" t="n"/>
      <c r="F6559" s="215" t="n"/>
    </row>
    <row r="6560">
      <c r="A6560" s="215" t="n">
        <v>45964</v>
      </c>
      <c r="B6560" s="216" t="n">
        <v>29.24</v>
      </c>
      <c r="C6560" s="216" t="n"/>
      <c r="D6560" s="216" t="n"/>
      <c r="E6560" s="215" t="n"/>
      <c r="F6560" s="215" t="n"/>
    </row>
    <row r="6561">
      <c r="A6561" s="215" t="n">
        <v>45965</v>
      </c>
      <c r="B6561" s="216" t="n">
        <v>29.48</v>
      </c>
      <c r="C6561" s="216" t="n"/>
      <c r="D6561" s="216" t="n"/>
      <c r="E6561" s="215" t="n"/>
      <c r="F6561" s="215" t="n"/>
    </row>
    <row r="6562">
      <c r="A6562" s="215" t="n">
        <v>45966</v>
      </c>
      <c r="B6562" s="216" t="n">
        <v>28.46</v>
      </c>
      <c r="C6562" s="216" t="n"/>
      <c r="D6562" s="216" t="n"/>
      <c r="E6562" s="215" t="n"/>
      <c r="F6562" s="215" t="n"/>
    </row>
    <row r="6563">
      <c r="A6563" s="215" t="n">
        <v>45967</v>
      </c>
      <c r="B6563" s="216" t="n">
        <v>28.4</v>
      </c>
      <c r="C6563" s="216" t="n"/>
      <c r="D6563" s="216" t="n"/>
      <c r="E6563" s="215" t="n"/>
      <c r="F6563" s="215" t="n"/>
    </row>
    <row r="6564">
      <c r="A6564" s="215" t="n">
        <v>45968</v>
      </c>
      <c r="B6564" s="216" t="n">
        <v>28</v>
      </c>
      <c r="C6564" s="216" t="n"/>
      <c r="D6564" s="216" t="n"/>
      <c r="E6564" s="215" t="n"/>
      <c r="F6564" s="215" t="n"/>
    </row>
    <row r="6565">
      <c r="A6565" s="215" t="n">
        <v>45971</v>
      </c>
      <c r="B6565" s="216" t="n">
        <v>28</v>
      </c>
      <c r="C6565" s="216" t="n"/>
      <c r="D6565" s="216" t="n"/>
      <c r="E6565" s="215" t="n"/>
      <c r="F6565" s="215" t="n"/>
    </row>
    <row r="6566">
      <c r="A6566" s="215" t="n">
        <v>45972</v>
      </c>
      <c r="B6566" s="216" t="n">
        <v>28.8</v>
      </c>
      <c r="C6566" s="216" t="n"/>
      <c r="D6566" s="216" t="n"/>
      <c r="E6566" s="215" t="n"/>
      <c r="F6566" s="215" t="n"/>
    </row>
    <row r="6567">
      <c r="A6567" s="215" t="n">
        <v>45973</v>
      </c>
      <c r="B6567" s="216" t="n">
        <v>30.4</v>
      </c>
      <c r="C6567" s="216" t="n"/>
      <c r="D6567" s="216" t="n"/>
      <c r="E6567" s="215" t="n"/>
      <c r="F6567" s="215" t="n"/>
    </row>
    <row r="6568">
      <c r="A6568" s="215" t="n">
        <v>45974</v>
      </c>
      <c r="B6568" s="216" t="n">
        <v>32.5</v>
      </c>
      <c r="C6568" s="216" t="n"/>
      <c r="D6568" s="216" t="n"/>
      <c r="E6568" s="215" t="n"/>
      <c r="F6568" s="215" t="n"/>
    </row>
    <row r="6569">
      <c r="A6569" s="215" t="n">
        <v>45975</v>
      </c>
      <c r="B6569" s="216" t="n">
        <v>32.54</v>
      </c>
      <c r="C6569" s="216" t="n"/>
      <c r="D6569" s="216" t="n"/>
      <c r="E6569" s="215" t="n"/>
      <c r="F6569" s="215" t="n"/>
    </row>
    <row r="6570">
      <c r="A6570" s="215" t="n">
        <v>45978</v>
      </c>
      <c r="B6570" s="216" t="n">
        <v>33.58</v>
      </c>
      <c r="C6570" s="216" t="n"/>
      <c r="D6570" s="216" t="n"/>
      <c r="E6570" s="215" t="n"/>
      <c r="F6570" s="215" t="n"/>
    </row>
    <row r="6571">
      <c r="A6571" s="215" t="n">
        <v>45979</v>
      </c>
      <c r="B6571" s="216" t="n">
        <v>33.24</v>
      </c>
      <c r="C6571" s="216" t="n"/>
      <c r="D6571" s="216" t="n"/>
      <c r="E6571" s="215" t="n"/>
      <c r="F6571" s="215" t="n"/>
    </row>
    <row r="6572">
      <c r="A6572" s="215" t="n">
        <v>45980</v>
      </c>
      <c r="B6572" s="216" t="n">
        <v>30.3</v>
      </c>
      <c r="C6572" s="216" t="n"/>
      <c r="D6572" s="216" t="n"/>
      <c r="E6572" s="215" t="n"/>
      <c r="F6572" s="215" t="n"/>
    </row>
    <row r="6573">
      <c r="A6573" s="215" t="n">
        <v>45981</v>
      </c>
      <c r="B6573" s="216" t="n">
        <v>32</v>
      </c>
      <c r="C6573" s="216" t="n"/>
      <c r="D6573" s="216" t="n"/>
      <c r="E6573" s="215" t="n"/>
      <c r="F6573" s="215" t="n"/>
    </row>
    <row r="6574">
      <c r="A6574" s="215" t="n">
        <v>45982</v>
      </c>
      <c r="B6574" s="216" t="n">
        <v>30.42</v>
      </c>
      <c r="C6574" s="216" t="n"/>
      <c r="D6574" s="216" t="n"/>
      <c r="E6574" s="215" t="n"/>
      <c r="F6574" s="215" t="n"/>
    </row>
    <row r="6575">
      <c r="A6575" s="215" t="n">
        <v>45985</v>
      </c>
      <c r="B6575" s="216" t="n">
        <v>32.7</v>
      </c>
      <c r="C6575" s="216" t="n"/>
      <c r="D6575" s="216" t="n"/>
      <c r="E6575" s="215" t="n"/>
      <c r="F6575" s="215" t="n"/>
    </row>
    <row r="6576">
      <c r="A6576" s="215" t="n">
        <v>45986</v>
      </c>
      <c r="B6576" s="216" t="n">
        <v>33.48</v>
      </c>
      <c r="C6576" s="216" t="n"/>
      <c r="D6576" s="216" t="n"/>
      <c r="E6576" s="215" t="n"/>
      <c r="F6576" s="215" t="n"/>
    </row>
    <row r="6577">
      <c r="A6577" s="215" t="n">
        <v>45987</v>
      </c>
      <c r="B6577" s="216" t="n">
        <v>33.06</v>
      </c>
      <c r="C6577" s="216" t="n"/>
      <c r="D6577" s="216" t="n"/>
      <c r="E6577" s="215" t="n"/>
      <c r="F6577" s="215" t="n"/>
    </row>
    <row r="6578">
      <c r="A6578" s="215" t="n">
        <v>45988</v>
      </c>
      <c r="B6578" s="216" t="n">
        <v>32.4</v>
      </c>
      <c r="C6578" s="216" t="n"/>
      <c r="D6578" s="216" t="n"/>
      <c r="E6578" s="215" t="n"/>
      <c r="F6578" s="215" t="n"/>
    </row>
    <row r="6579">
      <c r="A6579" s="215" t="n">
        <v>45989</v>
      </c>
      <c r="B6579" s="216" t="n">
        <v>31.8</v>
      </c>
      <c r="C6579" s="216" t="n"/>
      <c r="D6579" s="216" t="n"/>
      <c r="E6579" s="215" t="n"/>
      <c r="F6579" s="215" t="n"/>
    </row>
    <row r="6580">
      <c r="A6580" s="215" t="n">
        <v>45992</v>
      </c>
      <c r="B6580" s="216" t="n">
        <v>34.4</v>
      </c>
      <c r="C6580" s="216" t="n"/>
      <c r="D6580" s="216" t="n"/>
      <c r="E6580" s="215" t="n"/>
      <c r="F6580" s="215" t="n"/>
    </row>
    <row r="6581">
      <c r="A6581" s="215" t="n">
        <v>45993</v>
      </c>
      <c r="B6581" s="216" t="n">
        <v>32.08</v>
      </c>
      <c r="C6581" s="216" t="n"/>
      <c r="D6581" s="216" t="n"/>
      <c r="E6581" s="215" t="n"/>
      <c r="F6581" s="215" t="n"/>
    </row>
    <row r="6582">
      <c r="A6582" s="215" t="n">
        <v>45994</v>
      </c>
      <c r="B6582" s="216" t="n">
        <v>30.78</v>
      </c>
      <c r="C6582" s="216" t="n"/>
      <c r="D6582" s="216" t="n"/>
      <c r="E6582" s="215" t="n"/>
      <c r="F6582" s="215" t="n"/>
    </row>
    <row r="6583">
      <c r="A6583" s="215" t="n">
        <v>45995</v>
      </c>
      <c r="B6583" s="216" t="n">
        <v>30.98</v>
      </c>
      <c r="C6583" s="216" t="n"/>
      <c r="D6583" s="216" t="n"/>
      <c r="E6583" s="215" t="n"/>
      <c r="F6583" s="215" t="n"/>
    </row>
    <row r="6584">
      <c r="A6584" s="215" t="n">
        <v>45996</v>
      </c>
      <c r="B6584" s="216" t="n">
        <v>32.2</v>
      </c>
      <c r="C6584" s="216" t="n"/>
      <c r="D6584" s="216" t="n"/>
      <c r="E6584" s="215" t="n"/>
      <c r="F6584" s="215" t="n"/>
    </row>
    <row r="6585">
      <c r="A6585" s="215" t="n">
        <v>45999</v>
      </c>
      <c r="B6585" s="216" t="n">
        <v>31.78</v>
      </c>
      <c r="C6585" s="216" t="n"/>
      <c r="D6585" s="216" t="n"/>
      <c r="E6585" s="215" t="n"/>
      <c r="F6585" s="215" t="n"/>
    </row>
    <row r="6586">
      <c r="A6586" s="215" t="n">
        <v>46000</v>
      </c>
      <c r="B6586" s="216" t="n">
        <v>33</v>
      </c>
      <c r="C6586" s="216" t="n"/>
      <c r="D6586" s="216" t="n"/>
      <c r="E6586" s="215" t="n"/>
      <c r="F6586" s="215" t="n"/>
    </row>
    <row r="6587">
      <c r="A6587" s="215" t="n">
        <v>46001</v>
      </c>
      <c r="B6587" s="216" t="n">
        <v>29.2</v>
      </c>
      <c r="C6587" s="216" t="n">
        <v>65.8</v>
      </c>
      <c r="D6587" s="216" t="n">
        <v>1.101711988449097</v>
      </c>
      <c r="E6587" s="215" t="n">
        <v>46001</v>
      </c>
      <c r="F6587" s="215" t="n">
        <v>46001</v>
      </c>
    </row>
    <row r="6588">
      <c r="A6588" s="215" t="n">
        <v>46002</v>
      </c>
      <c r="B6588" s="216" t="n">
        <v>27</v>
      </c>
      <c r="C6588" s="216" t="n">
        <v>64.48</v>
      </c>
      <c r="D6588" s="216" t="n">
        <v>1.10112202167511</v>
      </c>
      <c r="E6588" s="215" t="n">
        <v>46002</v>
      </c>
      <c r="F6588" s="215" t="n">
        <v>46002</v>
      </c>
    </row>
    <row r="6589">
      <c r="A6589" s="215" t="n">
        <v>46003</v>
      </c>
      <c r="B6589" s="216" t="n">
        <v>28.3</v>
      </c>
      <c r="C6589" s="216" t="n">
        <v>58.23</v>
      </c>
      <c r="D6589" s="216" t="n">
        <v>1.102499008178711</v>
      </c>
      <c r="E6589" s="215" t="n">
        <v>46003</v>
      </c>
      <c r="F6589" s="215" t="n">
        <v>46003</v>
      </c>
    </row>
    <row r="6590">
      <c r="A6590" s="215" t="n">
        <v>46006</v>
      </c>
      <c r="B6590" s="216" t="n">
        <v>27.04</v>
      </c>
      <c r="C6590" s="216" t="n">
        <v>55.96</v>
      </c>
      <c r="D6590" s="216" t="n">
        <v>1.103397965431213</v>
      </c>
      <c r="E6590" s="215" t="n">
        <v>46006</v>
      </c>
      <c r="F6590" s="215" t="n">
        <v>46006</v>
      </c>
    </row>
    <row r="6591">
      <c r="A6591" s="215" t="n">
        <v>46007</v>
      </c>
      <c r="B6591" s="216" t="n">
        <v>26.4</v>
      </c>
      <c r="C6591" s="216" t="n">
        <v>50.1</v>
      </c>
      <c r="D6591" s="216" t="n">
        <v>1.104179978370667</v>
      </c>
      <c r="E6591" s="215" t="n">
        <v>46007</v>
      </c>
      <c r="F6591" s="215" t="n">
        <v>46007</v>
      </c>
    </row>
    <row r="6592">
      <c r="A6592" s="215" t="n">
        <v>46008</v>
      </c>
      <c r="B6592" s="216" t="n">
        <v>25.76</v>
      </c>
      <c r="C6592" s="216" t="n">
        <v>50.25</v>
      </c>
      <c r="D6592" s="216" t="n">
        <v>1.104655981063843</v>
      </c>
      <c r="E6592" s="215" t="n">
        <v>46008</v>
      </c>
      <c r="F6592" s="215" t="n">
        <v>46008</v>
      </c>
    </row>
    <row r="6593">
      <c r="A6593" s="215" t="n">
        <v>46009</v>
      </c>
      <c r="B6593" s="216" t="n">
        <v>26</v>
      </c>
      <c r="C6593" s="216" t="n">
        <v>50.45</v>
      </c>
      <c r="D6593" s="216" t="n">
        <v>1.104357004165649</v>
      </c>
      <c r="E6593" s="215" t="n">
        <v>46009</v>
      </c>
      <c r="F6593" s="215" t="n">
        <v>46009</v>
      </c>
    </row>
    <row r="6594">
      <c r="A6594" s="215" t="n">
        <v>46010</v>
      </c>
      <c r="B6594" s="216" t="n">
        <v>28.16</v>
      </c>
      <c r="C6594" s="216" t="n">
        <v>50.07</v>
      </c>
      <c r="D6594" s="216" t="n">
        <v>1.104962944984436</v>
      </c>
      <c r="E6594" s="215" t="n">
        <v>46010</v>
      </c>
      <c r="F6594" s="215" t="n">
        <v>46010</v>
      </c>
    </row>
    <row r="6595">
      <c r="A6595" s="215" t="n">
        <v>46013</v>
      </c>
      <c r="B6595" s="216" t="n">
        <v>28.3</v>
      </c>
      <c r="C6595" s="216" t="n">
        <v>51.64</v>
      </c>
      <c r="D6595" s="216" t="n">
        <v>1.105054020881653</v>
      </c>
      <c r="E6595" s="215" t="n">
        <v>46013</v>
      </c>
      <c r="F6595" s="215" t="n">
        <v>46013</v>
      </c>
    </row>
    <row r="6596">
      <c r="A6596" s="215" t="n">
        <v>46014</v>
      </c>
      <c r="B6596" s="216" t="n">
        <v>28.7</v>
      </c>
      <c r="C6596" s="216" t="n">
        <v>50.86</v>
      </c>
      <c r="D6596" s="216" t="n">
        <v>1.104820013046265</v>
      </c>
      <c r="E6596" s="215" t="n">
        <v>46014</v>
      </c>
      <c r="F6596" s="215" t="n">
        <v>46014</v>
      </c>
    </row>
    <row r="6597">
      <c r="A6597" s="215" t="n">
        <v>46015</v>
      </c>
      <c r="B6597" s="216" t="n">
        <v>35.08</v>
      </c>
      <c r="C6597" s="216" t="n">
        <v>52.6</v>
      </c>
      <c r="D6597" s="216" t="n">
        <v>1.106441974639893</v>
      </c>
      <c r="E6597" s="215" t="n">
        <v>46015</v>
      </c>
      <c r="F6597" s="215" t="n">
        <v>46015</v>
      </c>
    </row>
    <row r="6598">
      <c r="A6598" s="215" t="n">
        <v>46020</v>
      </c>
      <c r="B6598" s="216" t="n">
        <v>34.9</v>
      </c>
      <c r="C6598" s="216" t="n">
        <v>51.85</v>
      </c>
      <c r="D6598" s="216" t="n">
        <v>1.10552704334259</v>
      </c>
      <c r="E6598" s="215" t="n">
        <v>46020</v>
      </c>
      <c r="F6598" s="215" t="n">
        <v>46020</v>
      </c>
    </row>
    <row r="6599">
      <c r="A6599" s="215" t="n">
        <v>46021</v>
      </c>
      <c r="B6599" s="216" t="n">
        <v>34.38</v>
      </c>
      <c r="C6599" s="216" t="n">
        <v>51.28</v>
      </c>
      <c r="D6599" s="216" t="n">
        <v>1.109460949897766</v>
      </c>
      <c r="E6599" s="215" t="n">
        <v>46021</v>
      </c>
      <c r="F6599" s="215" t="n">
        <v>46021</v>
      </c>
    </row>
    <row r="6600">
      <c r="A6600" s="215" t="n">
        <v>46022</v>
      </c>
      <c r="B6600" s="216" t="n">
        <v>35.3</v>
      </c>
      <c r="C6600" s="216" t="n">
        <v>52.6</v>
      </c>
      <c r="D6600" s="216" t="n">
        <v>1.111927032470703</v>
      </c>
      <c r="E6600" s="215" t="n">
        <v>46022</v>
      </c>
      <c r="F6600" s="215" t="n">
        <v>46022</v>
      </c>
    </row>
    <row r="6601">
      <c r="A6601" s="215" t="n">
        <v>46024</v>
      </c>
      <c r="B6601" s="216" t="n">
        <v>34.74</v>
      </c>
      <c r="C6601" s="216" t="n">
        <v>52.6</v>
      </c>
      <c r="D6601" s="216" t="n">
        <v>1.112754940986633</v>
      </c>
      <c r="E6601" s="215" t="n">
        <v>46022</v>
      </c>
      <c r="F6601" s="215" t="n">
        <v>46024</v>
      </c>
    </row>
    <row r="6602">
      <c r="A6602" s="215" t="n">
        <v>46027</v>
      </c>
      <c r="B6602" s="216" t="n">
        <v>35.8</v>
      </c>
      <c r="C6602" s="216" t="n">
        <v>55.05</v>
      </c>
      <c r="D6602" s="216" t="n">
        <v>1.113860011100769</v>
      </c>
      <c r="E6602" s="215" t="n">
        <v>46027</v>
      </c>
      <c r="F6602" s="215" t="n">
        <v>46027</v>
      </c>
    </row>
    <row r="6603">
      <c r="A6603" s="215" t="n">
        <v>46028</v>
      </c>
      <c r="B6603" s="216" t="n">
        <v>36.6</v>
      </c>
      <c r="C6603" s="216" t="n">
        <v>54.8</v>
      </c>
      <c r="D6603" s="216" t="n">
        <v>1.11367404460907</v>
      </c>
      <c r="E6603" s="215" t="n">
        <v>46028</v>
      </c>
      <c r="F6603" s="215" t="n">
        <v>46028</v>
      </c>
    </row>
    <row r="6604">
      <c r="A6604" s="215" t="n">
        <v>46029</v>
      </c>
      <c r="B6604" s="216" t="n">
        <v>35.82</v>
      </c>
      <c r="C6604" s="216" t="n">
        <v>55.76</v>
      </c>
      <c r="D6604" s="216" t="n">
        <v>1.114913940429688</v>
      </c>
      <c r="E6604" s="215" t="n">
        <v>46029</v>
      </c>
      <c r="F6604" s="215" t="n">
        <v>46029</v>
      </c>
    </row>
    <row r="6605">
      <c r="A6605" s="215" t="n">
        <v>46030</v>
      </c>
      <c r="B6605" s="216" t="n">
        <v>34.96</v>
      </c>
      <c r="C6605" s="216" t="n">
        <v>56.17</v>
      </c>
      <c r="D6605" s="216" t="n">
        <v>1.112563014030457</v>
      </c>
      <c r="E6605" s="215" t="n">
        <v>46030</v>
      </c>
      <c r="F6605" s="215" t="n">
        <v>46030</v>
      </c>
    </row>
    <row r="6606">
      <c r="A6606" s="215" t="n">
        <v>46031</v>
      </c>
      <c r="B6606" s="216" t="n">
        <v>35.9</v>
      </c>
      <c r="C6606" s="216" t="n">
        <v>59.79</v>
      </c>
      <c r="D6606" s="216" t="n">
        <v>1.115561008453369</v>
      </c>
      <c r="E6606" s="215" t="n">
        <v>46031</v>
      </c>
      <c r="F6606" s="215" t="n">
        <v>46031</v>
      </c>
    </row>
    <row r="6607">
      <c r="A6607" s="215" t="n">
        <v>46034</v>
      </c>
      <c r="B6607" s="216" t="n">
        <v>39.5</v>
      </c>
      <c r="C6607" s="216" t="n">
        <v>68.68000000000001</v>
      </c>
      <c r="D6607" s="216" t="n">
        <v>1.117015957832336</v>
      </c>
      <c r="E6607" s="215" t="n">
        <v>46034</v>
      </c>
      <c r="F6607" s="215" t="n">
        <v>46034</v>
      </c>
    </row>
    <row r="6608">
      <c r="A6608" s="215" t="n">
        <v>46035</v>
      </c>
      <c r="B6608" s="216" t="n">
        <v>42.76</v>
      </c>
      <c r="C6608" s="216" t="n">
        <v>69.81</v>
      </c>
      <c r="D6608" s="216" t="n">
        <v>1.117892026901245</v>
      </c>
      <c r="E6608" s="215" t="n">
        <v>46035</v>
      </c>
      <c r="F6608" s="215" t="n">
        <v>46035</v>
      </c>
    </row>
    <row r="6609">
      <c r="A6609" s="215" t="n">
        <v>46036</v>
      </c>
      <c r="B6609" s="216" t="n">
        <v>44.74</v>
      </c>
      <c r="C6609" s="216" t="n">
        <v>69.91</v>
      </c>
      <c r="D6609" s="216" t="n">
        <v>1.117897987365723</v>
      </c>
      <c r="E6609" s="215" t="n">
        <v>46036</v>
      </c>
      <c r="F6609" s="215" t="n">
        <v>46036</v>
      </c>
    </row>
    <row r="6610">
      <c r="A6610" s="215" t="n">
        <v>46037</v>
      </c>
      <c r="B6610" s="216" t="n">
        <v>43</v>
      </c>
      <c r="C6610" s="216" t="n">
        <v>68.90000000000001</v>
      </c>
      <c r="D6610" s="216" t="n">
        <v>1.118072032928467</v>
      </c>
      <c r="E6610" s="215" t="n">
        <v>46037</v>
      </c>
      <c r="F6610" s="215" t="n">
        <v>46037</v>
      </c>
    </row>
    <row r="6611">
      <c r="A6611" s="215" t="n">
        <v>46038</v>
      </c>
      <c r="B6611" s="216" t="n">
        <v>43.28</v>
      </c>
      <c r="C6611" s="216" t="n">
        <v>68.55</v>
      </c>
      <c r="D6611" s="216" t="n">
        <v>1.119040012359619</v>
      </c>
      <c r="E6611" s="215" t="n">
        <v>46038</v>
      </c>
      <c r="F6611" s="215" t="n">
        <v>46038</v>
      </c>
    </row>
    <row r="6612">
      <c r="A6612" s="215" t="n">
        <v>46041</v>
      </c>
      <c r="B6612" s="216" t="n">
        <v>39.72</v>
      </c>
      <c r="C6612" s="216" t="n">
        <v>65.33</v>
      </c>
      <c r="D6612" s="216" t="n">
        <v>1.118916034698486</v>
      </c>
      <c r="E6612" s="215" t="n">
        <v>46041</v>
      </c>
      <c r="F6612" s="215" t="n">
        <v>46041</v>
      </c>
    </row>
    <row r="6613">
      <c r="A6613" s="215" t="n">
        <v>46042</v>
      </c>
      <c r="B6613" s="216" t="n">
        <v>37.8</v>
      </c>
      <c r="C6613" s="216" t="n">
        <v>63.22</v>
      </c>
      <c r="D6613" s="216" t="n">
        <v>1.118687987327576</v>
      </c>
      <c r="E6613" s="215" t="n">
        <v>46042</v>
      </c>
      <c r="F6613" s="215" t="n">
        <v>46042</v>
      </c>
    </row>
    <row r="6614">
      <c r="A6614" s="215" t="n">
        <v>46043</v>
      </c>
      <c r="B6614" s="216" t="n">
        <v>39.9</v>
      </c>
      <c r="C6614" s="216" t="n">
        <v>65.26000000000001</v>
      </c>
      <c r="D6614" s="216" t="n">
        <v>1.12024998664856</v>
      </c>
      <c r="E6614" s="215" t="n">
        <v>46043</v>
      </c>
      <c r="F6614" s="215" t="n">
        <v>46043</v>
      </c>
    </row>
    <row r="6615">
      <c r="A6615" s="215" t="n">
        <v>46044</v>
      </c>
      <c r="B6615" s="216" t="n">
        <v>40.14</v>
      </c>
      <c r="C6615" s="216" t="n">
        <v>66.15000000000001</v>
      </c>
      <c r="D6615" s="216" t="n">
        <v>1.11942195892334</v>
      </c>
      <c r="E6615" s="215" t="n">
        <v>46044</v>
      </c>
      <c r="F6615" s="215" t="n">
        <v>46044</v>
      </c>
    </row>
    <row r="6616">
      <c r="A6616" s="215" t="n">
        <v>46045</v>
      </c>
      <c r="B6616" s="216" t="n">
        <v>43.98</v>
      </c>
      <c r="C6616" s="216" t="n">
        <v>69.88</v>
      </c>
      <c r="D6616" s="216" t="n">
        <v>1.117977976799011</v>
      </c>
      <c r="E6616" s="215" t="n">
        <v>46045</v>
      </c>
      <c r="F6616" s="215" t="n">
        <v>46045</v>
      </c>
    </row>
    <row r="6617">
      <c r="A6617" s="215" t="n">
        <v>46048</v>
      </c>
      <c r="B6617" s="216" t="n">
        <v>42.8</v>
      </c>
      <c r="C6617" s="216" t="n">
        <v>68.7</v>
      </c>
      <c r="D6617" s="216" t="n">
        <v>1.117916941642761</v>
      </c>
      <c r="E6617" s="215" t="n">
        <v>46048</v>
      </c>
      <c r="F6617" s="215" t="n">
        <v>46048</v>
      </c>
    </row>
    <row r="6618">
      <c r="A6618" s="215" t="n">
        <v>46049</v>
      </c>
      <c r="B6618" s="216" t="n">
        <v>42.98</v>
      </c>
      <c r="C6618" s="216" t="n">
        <v>70.86</v>
      </c>
      <c r="D6618" s="216" t="n">
        <v>1.121191024780273</v>
      </c>
      <c r="E6618" s="215" t="n">
        <v>46049</v>
      </c>
      <c r="F6618" s="215" t="n">
        <v>46049</v>
      </c>
    </row>
    <row r="6619">
      <c r="A6619" s="215" t="n">
        <v>46050</v>
      </c>
      <c r="B6619" s="216" t="n">
        <v>47</v>
      </c>
      <c r="C6619" s="216" t="n">
        <v>68.90000000000001</v>
      </c>
      <c r="D6619" s="216" t="n">
        <v>1.121533036231995</v>
      </c>
      <c r="E6619" s="215" t="n">
        <v>46050</v>
      </c>
      <c r="F6619" s="215" t="n">
        <v>46050</v>
      </c>
    </row>
    <row r="6620">
      <c r="A6620" s="215" t="n">
        <v>46051</v>
      </c>
      <c r="B6620" s="216" t="n">
        <v>44</v>
      </c>
      <c r="C6620" s="216" t="n">
        <v>66.58</v>
      </c>
      <c r="D6620" s="216" t="n">
        <v>1.121621966362</v>
      </c>
      <c r="E6620" s="215" t="n">
        <v>46051</v>
      </c>
      <c r="F6620" s="215" t="n">
        <v>46051</v>
      </c>
    </row>
    <row r="6621">
      <c r="A6621" s="215" t="n">
        <v>46052</v>
      </c>
      <c r="B6621" s="216" t="n">
        <v>43.88</v>
      </c>
      <c r="C6621" s="216" t="n">
        <v>72.59</v>
      </c>
      <c r="D6621" s="216" t="n">
        <v>1.123343944549561</v>
      </c>
      <c r="E6621" s="215" t="n">
        <v>46052</v>
      </c>
      <c r="F6621" s="215" t="n">
        <v>46052</v>
      </c>
    </row>
    <row r="6622">
      <c r="A6622" s="215" t="n">
        <v>46055</v>
      </c>
      <c r="B6622" s="216" t="n">
        <v>41.96</v>
      </c>
      <c r="C6622" s="216" t="n">
        <v>67.76000000000001</v>
      </c>
      <c r="D6622" s="216" t="n">
        <v>1.123572945594788</v>
      </c>
      <c r="E6622" s="215" t="n">
        <v>46055</v>
      </c>
      <c r="F6622" s="215" t="n">
        <v>46055</v>
      </c>
    </row>
    <row r="6623">
      <c r="A6623" s="215" t="n">
        <v>46056</v>
      </c>
      <c r="B6623" s="216" t="n">
        <v>45.5</v>
      </c>
      <c r="C6623" s="216" t="n">
        <v>71.64</v>
      </c>
      <c r="D6623" s="216" t="n">
        <v>1.124274969100952</v>
      </c>
      <c r="E6623" s="215" t="n">
        <v>46056</v>
      </c>
      <c r="F6623" s="215" t="n">
        <v>46056</v>
      </c>
    </row>
    <row r="6624">
      <c r="A6624" s="215" t="n">
        <v>46057</v>
      </c>
      <c r="B6624" s="216" t="n">
        <v>47.5</v>
      </c>
      <c r="C6624" s="216" t="n">
        <v>70.25</v>
      </c>
      <c r="D6624" s="216" t="n">
        <v>1.12601101398468</v>
      </c>
      <c r="E6624" s="215" t="n">
        <v>46057</v>
      </c>
      <c r="F6624" s="215" t="n">
        <v>46057</v>
      </c>
    </row>
    <row r="6625">
      <c r="A6625" s="215" t="n">
        <v>46058</v>
      </c>
      <c r="B6625" s="216" t="n">
        <v>47</v>
      </c>
      <c r="C6625" s="216" t="n">
        <v>72.83</v>
      </c>
      <c r="D6625" s="216" t="n">
        <v>1.125892996788025</v>
      </c>
      <c r="E6625" s="215" t="n">
        <v>46058</v>
      </c>
      <c r="F6625" s="215" t="n">
        <v>46058</v>
      </c>
    </row>
    <row r="6626">
      <c r="A6626" s="215" t="n">
        <v>46059</v>
      </c>
      <c r="B6626" s="216" t="n">
        <v>47.7</v>
      </c>
      <c r="C6626" s="216" t="n">
        <v>70.95999999999999</v>
      </c>
      <c r="D6626" s="216" t="n">
        <v>1.126062035560608</v>
      </c>
      <c r="E6626" s="215" t="n">
        <v>46059</v>
      </c>
      <c r="F6626" s="215" t="n">
        <v>46059</v>
      </c>
    </row>
    <row r="6627">
      <c r="A6627" s="215" t="n">
        <v>46062</v>
      </c>
      <c r="B6627" s="216" t="n">
        <v>49.02</v>
      </c>
      <c r="C6627" s="216" t="n">
        <v>71.65000000000001</v>
      </c>
      <c r="D6627" s="216" t="n">
        <v>1.125753998756409</v>
      </c>
      <c r="E6627" s="215" t="n">
        <v>46062</v>
      </c>
      <c r="F6627" s="215" t="n">
        <v>46062</v>
      </c>
    </row>
    <row r="6628">
      <c r="A6628" s="215" t="n">
        <v>46063</v>
      </c>
      <c r="B6628" s="216" t="n">
        <v>49.8</v>
      </c>
      <c r="C6628" s="216" t="n">
        <v>75.15000000000001</v>
      </c>
      <c r="D6628" s="216" t="n">
        <v>1.129003047943115</v>
      </c>
      <c r="E6628" s="215" t="n">
        <v>46063</v>
      </c>
      <c r="F6628" s="215" t="n">
        <v>46063</v>
      </c>
    </row>
    <row r="6629">
      <c r="A6629" s="215" t="n">
        <v>46064</v>
      </c>
      <c r="B6629" s="216" t="n">
        <v>52.9</v>
      </c>
      <c r="C6629" s="216" t="n">
        <v>76.34999999999999</v>
      </c>
      <c r="D6629" s="216" t="n">
        <v>1.130962014198303</v>
      </c>
      <c r="E6629" s="215" t="n">
        <v>46064</v>
      </c>
      <c r="F6629" s="215" t="n">
        <v>46064</v>
      </c>
    </row>
    <row r="6630">
      <c r="A6630" s="215" t="n">
        <v>46065</v>
      </c>
      <c r="B6630" s="216" t="n">
        <v>53</v>
      </c>
      <c r="C6630" s="216" t="n">
        <v>76.75</v>
      </c>
      <c r="D6630" s="216" t="n">
        <v>1.130671977996826</v>
      </c>
      <c r="E6630" s="215" t="n">
        <v>46065</v>
      </c>
      <c r="F6630" s="215" t="n">
        <v>46065</v>
      </c>
    </row>
    <row r="6631">
      <c r="A6631" s="215" t="n">
        <v>46066</v>
      </c>
      <c r="B6631" s="216" t="n">
        <v>53.5</v>
      </c>
      <c r="C6631" s="216" t="n">
        <v>75.59999999999999</v>
      </c>
      <c r="D6631" s="216" t="n">
        <v>1.132490992546082</v>
      </c>
      <c r="E6631" s="215" t="n">
        <v>46066</v>
      </c>
      <c r="F6631" s="215" t="n">
        <v>46066</v>
      </c>
    </row>
    <row r="6632">
      <c r="A6632" s="215" t="n">
        <v>46069</v>
      </c>
      <c r="B6632" s="216" t="n">
        <v>50.95</v>
      </c>
      <c r="C6632" s="216" t="n">
        <v>75.59999999999999</v>
      </c>
      <c r="D6632" s="216" t="n">
        <v>1.131224036216736</v>
      </c>
      <c r="E6632" s="215" t="n">
        <v>46066</v>
      </c>
      <c r="F6632" s="215" t="n">
        <v>46069</v>
      </c>
    </row>
    <row r="6633">
      <c r="A6633" s="215" t="n">
        <v>46073</v>
      </c>
      <c r="B6633" s="216" t="n">
        <v>52.6</v>
      </c>
      <c r="C6633" s="216" t="n">
        <v>75.59999999999999</v>
      </c>
      <c r="D6633" s="216" t="n">
        <v>1.131005048751831</v>
      </c>
      <c r="E6633" s="215" t="n">
        <v>46066</v>
      </c>
      <c r="F6633" s="215" t="n">
        <v>46073</v>
      </c>
    </row>
    <row r="6634">
      <c r="A6634" s="215" t="n">
        <v>46076</v>
      </c>
      <c r="B6634" s="216" t="n">
        <v>51.75</v>
      </c>
      <c r="C6634" s="216" t="n">
        <v>75.59999999999999</v>
      </c>
      <c r="D6634" s="216" t="n">
        <v>1.130877017974854</v>
      </c>
      <c r="E6634" s="215" t="n">
        <v>46066</v>
      </c>
      <c r="F6634" s="215" t="n">
        <v>46076</v>
      </c>
    </row>
    <row r="6635">
      <c r="A6635" s="215" t="n">
        <v>46077</v>
      </c>
      <c r="B6635" s="216" t="n">
        <v>49.82</v>
      </c>
      <c r="C6635" s="216" t="n">
        <v>71.34999999999999</v>
      </c>
      <c r="D6635" s="216" t="n">
        <v>1.131631016731262</v>
      </c>
      <c r="E6635" s="215" t="n">
        <v>46077</v>
      </c>
      <c r="F6635" s="215" t="n">
        <v>46077</v>
      </c>
    </row>
    <row r="6636">
      <c r="A6636" s="215" t="n">
        <v>46078</v>
      </c>
      <c r="B6636" s="216" t="n">
        <v>50.1</v>
      </c>
      <c r="C6636" s="216" t="n">
        <v>71.67</v>
      </c>
      <c r="D6636" s="216" t="n">
        <v>1.136234045028687</v>
      </c>
      <c r="E6636" s="215" t="n">
        <v>46078</v>
      </c>
      <c r="F6636" s="215" t="n">
        <v>46078</v>
      </c>
    </row>
    <row r="6637">
      <c r="A6637" s="215" t="n">
        <v>46079</v>
      </c>
      <c r="B6637" s="216" t="n">
        <v>53.05</v>
      </c>
      <c r="C6637" s="216" t="n">
        <v>77.51000000000001</v>
      </c>
      <c r="D6637" s="216" t="n">
        <v>1.138198971748352</v>
      </c>
      <c r="E6637" s="215" t="n">
        <v>46079</v>
      </c>
      <c r="F6637" s="215" t="n">
        <v>46079</v>
      </c>
    </row>
    <row r="6638">
      <c r="A6638" s="215" t="n">
        <v>46080</v>
      </c>
      <c r="B6638" s="216" t="n">
        <v>52.3</v>
      </c>
      <c r="C6638" s="216" t="n">
        <v>76.75</v>
      </c>
      <c r="D6638" s="216" t="n">
        <v>1.143396973609924</v>
      </c>
      <c r="E6638" s="215" t="n">
        <v>46080</v>
      </c>
      <c r="F6638" s="215" t="n">
        <v>46080</v>
      </c>
    </row>
    <row r="6639">
      <c r="A6639" s="215" t="n">
        <v>46083</v>
      </c>
      <c r="B6639" s="216" t="n">
        <v>52.15</v>
      </c>
      <c r="C6639" s="216" t="n">
        <v>75.55</v>
      </c>
      <c r="D6639" s="216" t="n">
        <v>1.140552043914795</v>
      </c>
      <c r="E6639" s="215" t="n">
        <v>46083</v>
      </c>
      <c r="F6639" s="215" t="n">
        <v>46083</v>
      </c>
    </row>
    <row r="6640">
      <c r="A6640" s="215" t="n">
        <v>46084</v>
      </c>
      <c r="B6640" s="216" t="n">
        <v>46.2</v>
      </c>
      <c r="C6640" s="216" t="n">
        <v>69.98999999999999</v>
      </c>
      <c r="D6640" s="216" t="n">
        <v>1.136399984359741</v>
      </c>
      <c r="E6640" s="215" t="n">
        <v>46084</v>
      </c>
      <c r="F6640" s="215" t="n">
        <v>46084</v>
      </c>
    </row>
    <row r="6641">
      <c r="A6641" s="215" t="n">
        <v>46085</v>
      </c>
      <c r="B6641" s="216" t="n">
        <v>45.2</v>
      </c>
      <c r="C6641" s="216" t="n">
        <v>69.69</v>
      </c>
      <c r="D6641" s="216" t="n">
        <v>1.130928993225098</v>
      </c>
      <c r="E6641" s="215" t="n">
        <v>46085</v>
      </c>
      <c r="F6641" s="215" t="n">
        <v>46085</v>
      </c>
    </row>
    <row r="6642">
      <c r="A6642" s="215" t="n">
        <v>46086</v>
      </c>
      <c r="B6642" s="216" t="n">
        <v>45.18</v>
      </c>
      <c r="C6642" s="216" t="n">
        <v>71.06999999999999</v>
      </c>
      <c r="D6642" s="216" t="n">
        <v>1.133169054985046</v>
      </c>
      <c r="E6642" s="215" t="n">
        <v>46086</v>
      </c>
      <c r="F6642" s="215" t="n">
        <v>46086</v>
      </c>
    </row>
    <row r="6643">
      <c r="A6643" s="215" t="n">
        <v>46087</v>
      </c>
      <c r="B6643" s="216" t="n">
        <v>54.65</v>
      </c>
      <c r="C6643" s="216" t="n">
        <v>77.5</v>
      </c>
      <c r="D6643" s="216" t="n">
        <v>1.133442044258118</v>
      </c>
      <c r="E6643" s="215" t="n">
        <v>46087</v>
      </c>
      <c r="F6643" s="215" t="n">
        <v>46087</v>
      </c>
    </row>
    <row r="6644">
      <c r="A6644" s="215" t="n">
        <v>46090</v>
      </c>
      <c r="B6644" s="216" t="n">
        <v>53.95</v>
      </c>
      <c r="C6644" s="216" t="n">
        <v>77</v>
      </c>
      <c r="D6644" s="216" t="n">
        <v>1.133231043815613</v>
      </c>
      <c r="E6644" s="215" t="n">
        <v>46090</v>
      </c>
      <c r="F6644" s="215" t="n">
        <v>46090</v>
      </c>
    </row>
    <row r="6645">
      <c r="A6645" s="215" t="n">
        <v>46091</v>
      </c>
      <c r="B6645" s="216" t="n">
        <v>59.5</v>
      </c>
      <c r="C6645" s="216" t="n">
        <v>82.88</v>
      </c>
      <c r="D6645" s="216" t="n">
        <v>1.131595015525818</v>
      </c>
      <c r="E6645" s="215" t="n">
        <v>46091</v>
      </c>
      <c r="F6645" s="215" t="n">
        <v>46091</v>
      </c>
    </row>
    <row r="6646">
      <c r="A6646" s="215" t="n">
        <v>46092</v>
      </c>
      <c r="B6646" s="216" t="n">
        <v>56.5</v>
      </c>
      <c r="C6646" s="216" t="n">
        <v>81.20999999999999</v>
      </c>
      <c r="D6646" s="216" t="n">
        <v>1.137585043907166</v>
      </c>
      <c r="E6646" s="215" t="n">
        <v>46092</v>
      </c>
      <c r="F6646" s="215" t="n">
        <v>46092</v>
      </c>
    </row>
    <row r="6647">
      <c r="A6647" s="215" t="n">
        <v>46093</v>
      </c>
      <c r="B6647" s="216" t="n">
        <v>55.45</v>
      </c>
      <c r="C6647" s="216" t="n">
        <v>77.89</v>
      </c>
      <c r="D6647" s="216" t="n">
        <v>1.139600038528442</v>
      </c>
      <c r="E6647" s="215" t="n">
        <v>46093</v>
      </c>
      <c r="F6647" s="215" t="n">
        <v>46093</v>
      </c>
    </row>
    <row r="6648">
      <c r="A6648" s="215" t="n">
        <v>46094</v>
      </c>
      <c r="B6648" s="216" t="n">
        <v>54.25</v>
      </c>
      <c r="C6648" s="216" t="n">
        <v>77.2</v>
      </c>
      <c r="D6648" s="216" t="n">
        <v>1.139310002326965</v>
      </c>
      <c r="E6648" s="215" t="n">
        <v>46094</v>
      </c>
      <c r="F6648" s="215" t="n">
        <v>46094</v>
      </c>
    </row>
    <row r="6649">
      <c r="A6649" s="215" t="n">
        <v>46097</v>
      </c>
      <c r="B6649" s="216" t="n">
        <v>57.7</v>
      </c>
      <c r="C6649" s="216" t="n">
        <v>82.26000000000001</v>
      </c>
      <c r="D6649" s="216" t="n">
        <v>1.134883999824524</v>
      </c>
      <c r="E6649" s="215" t="n">
        <v>46097</v>
      </c>
      <c r="F6649" s="215" t="n">
        <v>46097</v>
      </c>
    </row>
    <row r="6650">
      <c r="A6650" s="215" t="n">
        <v>46098</v>
      </c>
      <c r="B6650" s="216" t="n">
        <v>55.1</v>
      </c>
      <c r="C6650" s="216" t="n">
        <v>80.58</v>
      </c>
      <c r="D6650" s="216" t="n">
        <v>1.125375986099243</v>
      </c>
      <c r="E6650" s="215" t="n">
        <v>46098</v>
      </c>
      <c r="F6650" s="215" t="n">
        <v>46098</v>
      </c>
    </row>
    <row r="6651">
      <c r="A6651" s="215" t="n">
        <v>46099</v>
      </c>
      <c r="B6651" s="216" t="n">
        <v>55</v>
      </c>
      <c r="C6651" s="216" t="n">
        <v>83.11</v>
      </c>
      <c r="D6651" s="216" t="n">
        <v>1.137819051742554</v>
      </c>
      <c r="E6651" s="215" t="n">
        <v>46099</v>
      </c>
      <c r="F6651" s="215" t="n">
        <v>46099</v>
      </c>
    </row>
    <row r="6652">
      <c r="A6652" s="215" t="n">
        <v>46100</v>
      </c>
      <c r="B6652" s="216" t="n">
        <v>51.65</v>
      </c>
      <c r="C6652" s="216" t="n">
        <v>76.29000000000001</v>
      </c>
      <c r="D6652" s="216" t="n">
        <v>1.140079021453857</v>
      </c>
      <c r="E6652" s="215" t="n">
        <v>46100</v>
      </c>
      <c r="F6652" s="215" t="n">
        <v>46100</v>
      </c>
    </row>
    <row r="6653">
      <c r="A6653" s="215" t="n">
        <v>46101</v>
      </c>
      <c r="B6653" s="216" t="n">
        <v>51.8</v>
      </c>
      <c r="C6653" s="216" t="n">
        <v>77.40000000000001</v>
      </c>
      <c r="D6653" s="216" t="n">
        <v>1.13490903377533</v>
      </c>
      <c r="E6653" s="215" t="n">
        <v>46101</v>
      </c>
      <c r="F6653" s="215" t="n">
        <v>46101</v>
      </c>
    </row>
    <row r="6654">
      <c r="A6654" s="215" t="n">
        <v>46104</v>
      </c>
      <c r="B6654" s="216" t="n">
        <v>48.6</v>
      </c>
      <c r="C6654" s="216" t="n">
        <v>74.40000000000001</v>
      </c>
      <c r="D6654" s="216" t="n">
        <v>1.137529969215393</v>
      </c>
      <c r="E6654" s="215" t="n">
        <v>46104</v>
      </c>
      <c r="F6654" s="215" t="n">
        <v>46104</v>
      </c>
    </row>
    <row r="6655">
      <c r="A6655" s="215" t="n">
        <v>46105</v>
      </c>
      <c r="B6655" s="216" t="n">
        <v>54.45</v>
      </c>
      <c r="C6655" s="216" t="n">
        <v>82.44</v>
      </c>
      <c r="D6655" s="216" t="n">
        <v>1.138481974601746</v>
      </c>
      <c r="E6655" s="215" t="n">
        <v>46105</v>
      </c>
      <c r="F6655" s="215" t="n">
        <v>46105</v>
      </c>
    </row>
    <row r="6656">
      <c r="A6656" s="215" t="n">
        <v>46106</v>
      </c>
      <c r="B6656" s="216" t="n">
        <v>55.35</v>
      </c>
      <c r="C6656" s="216" t="n">
        <v>84.81999999999999</v>
      </c>
      <c r="D6656" s="216" t="n">
        <v>1.135548949241638</v>
      </c>
      <c r="E6656" s="215" t="n">
        <v>46106</v>
      </c>
      <c r="F6656" s="215" t="n">
        <v>46106</v>
      </c>
    </row>
    <row r="6657">
      <c r="A6657" s="215" t="n">
        <v>46107</v>
      </c>
      <c r="B6657" s="216" t="n">
        <v>53.8</v>
      </c>
      <c r="C6657" s="216" t="n">
        <v>82.43000000000001</v>
      </c>
      <c r="D6657" s="216" t="n">
        <v>1.132627010345459</v>
      </c>
      <c r="E6657" s="215" t="n">
        <v>46107</v>
      </c>
      <c r="F6657" s="215" t="n">
        <v>46107</v>
      </c>
    </row>
    <row r="6658">
      <c r="A6658" s="215" t="n">
        <v>46108</v>
      </c>
      <c r="B6658" s="216" t="n">
        <v>58.45</v>
      </c>
      <c r="C6658" s="216" t="n">
        <v>92.88</v>
      </c>
      <c r="D6658" s="216" t="n">
        <v>1.132115960121155</v>
      </c>
      <c r="E6658" s="215" t="n">
        <v>46108</v>
      </c>
      <c r="F6658" s="215" t="n">
        <v>46108</v>
      </c>
    </row>
    <row r="6659">
      <c r="A6659" s="215" t="n">
        <v>46111</v>
      </c>
      <c r="B6659" s="216" t="n">
        <v>57.25</v>
      </c>
      <c r="C6659" s="216" t="n">
        <v>93.90000000000001</v>
      </c>
      <c r="D6659" s="216" t="n">
        <v>1.13311505317688</v>
      </c>
      <c r="E6659" s="215" t="n">
        <v>46111</v>
      </c>
      <c r="F6659" s="215" t="n">
        <v>46111</v>
      </c>
    </row>
    <row r="6660">
      <c r="A6660" s="215" t="n">
        <v>46112</v>
      </c>
      <c r="B6660" s="216" t="n">
        <v>55.35</v>
      </c>
      <c r="C6660" s="216" t="n">
        <v>93.02</v>
      </c>
      <c r="D6660" s="216" t="n">
        <v>1.133540987968445</v>
      </c>
      <c r="E6660" s="215" t="n">
        <v>46112</v>
      </c>
      <c r="F6660" s="215" t="n">
        <v>46112</v>
      </c>
    </row>
    <row r="6661">
      <c r="A6661" s="215" t="n">
        <v>46113</v>
      </c>
      <c r="B6661" s="216" t="n">
        <v>59.55</v>
      </c>
      <c r="C6661" s="216" t="n">
        <v>99</v>
      </c>
      <c r="D6661" s="216" t="n">
        <v>1.136669993400574</v>
      </c>
      <c r="E6661" s="215" t="n">
        <v>46113</v>
      </c>
      <c r="F6661" s="215" t="n">
        <v>46113</v>
      </c>
    </row>
    <row r="6662">
      <c r="A6662" s="215" t="n">
        <v>46114</v>
      </c>
      <c r="B6662" s="216" t="n">
        <v>63.5</v>
      </c>
      <c r="C6662" s="216" t="n">
        <v>103.5</v>
      </c>
      <c r="D6662" s="216" t="n">
        <v>1.140197992324829</v>
      </c>
      <c r="E6662" s="215" t="n">
        <v>46114</v>
      </c>
      <c r="F6662" s="215" t="n">
        <v>46114</v>
      </c>
    </row>
    <row r="6663">
      <c r="A6663" s="215" t="n">
        <v>46120</v>
      </c>
      <c r="B6663" s="216" t="n">
        <v>63.1</v>
      </c>
      <c r="C6663" s="216" t="n">
        <v>110.29</v>
      </c>
      <c r="D6663" s="216" t="n">
        <v>1.1423499584198</v>
      </c>
      <c r="E6663" s="215" t="n">
        <v>46120</v>
      </c>
      <c r="F6663" s="215" t="n">
        <v>46120</v>
      </c>
    </row>
    <row r="6664">
      <c r="A6664" s="215" t="n">
        <v>46121</v>
      </c>
      <c r="B6664" s="216" t="n">
        <v>61.7</v>
      </c>
      <c r="C6664" s="216" t="n">
        <v>103.31</v>
      </c>
      <c r="D6664" s="216" t="n">
        <v>1.146731972694397</v>
      </c>
      <c r="E6664" s="215" t="n">
        <v>46121</v>
      </c>
      <c r="F6664" s="215" t="n">
        <v>46121</v>
      </c>
    </row>
    <row r="6665">
      <c r="A6665" s="215" t="n">
        <v>46122</v>
      </c>
      <c r="B6665" s="216" t="n">
        <v>60</v>
      </c>
      <c r="C6665" s="216" t="n">
        <v>101.13</v>
      </c>
      <c r="D6665" s="216" t="n">
        <v>1.146558046340942</v>
      </c>
      <c r="E6665" s="215" t="n">
        <v>46122</v>
      </c>
      <c r="F6665" s="215" t="n">
        <v>46122</v>
      </c>
    </row>
    <row r="6666">
      <c r="A6666" s="215" t="n">
        <v>46125</v>
      </c>
      <c r="B6666" s="216" t="n">
        <v>57</v>
      </c>
      <c r="C6666" s="216" t="n">
        <v>99.59999999999999</v>
      </c>
      <c r="D6666" s="216" t="n">
        <v>1.147117972373962</v>
      </c>
      <c r="E6666" s="215" t="n">
        <v>46125</v>
      </c>
      <c r="F6666" s="215" t="n">
        <v>46125</v>
      </c>
    </row>
    <row r="6667">
      <c r="A6667" s="215" t="n">
        <v>46126</v>
      </c>
      <c r="B6667" s="216" t="n">
        <v>61.8</v>
      </c>
      <c r="C6667" s="216" t="n">
        <v>102.1</v>
      </c>
      <c r="D6667" s="216" t="n">
        <v>1.146226048469543</v>
      </c>
      <c r="E6667" s="215" t="n">
        <v>46126</v>
      </c>
      <c r="F6667" s="215" t="n">
        <v>46126</v>
      </c>
    </row>
    <row r="6668">
      <c r="A6668" s="215" t="n">
        <v>46127</v>
      </c>
      <c r="B6668" s="216" t="n">
        <v>61.1</v>
      </c>
      <c r="C6668" s="216" t="n">
        <v>107.35</v>
      </c>
      <c r="D6668" s="216" t="n">
        <v>1.149266004562378</v>
      </c>
      <c r="E6668" s="215" t="n">
        <v>46127</v>
      </c>
      <c r="F6668" s="215" t="n">
        <v>46127</v>
      </c>
    </row>
    <row r="6669">
      <c r="A6669" s="215" t="n">
        <v>46128</v>
      </c>
      <c r="B6669" s="216" t="n">
        <v>59</v>
      </c>
      <c r="C6669" s="216" t="n">
        <v>100.88</v>
      </c>
      <c r="D6669" s="216" t="n">
        <v>1.148550033569336</v>
      </c>
      <c r="E6669" s="215" t="n">
        <v>46128</v>
      </c>
      <c r="F6669" s="215" t="n">
        <v>46128</v>
      </c>
    </row>
    <row r="6670">
      <c r="A6670" s="215" t="n">
        <v>46129</v>
      </c>
      <c r="B6670" s="216" t="n">
        <v>58.55</v>
      </c>
      <c r="C6670" s="216" t="n">
        <v>98.66</v>
      </c>
      <c r="D6670" s="216" t="n">
        <v>1.146605014801025</v>
      </c>
      <c r="E6670" s="215" t="n">
        <v>46129</v>
      </c>
      <c r="F6670" s="215" t="n">
        <v>46129</v>
      </c>
    </row>
    <row r="6671">
      <c r="A6671" s="215" t="n">
        <v>46132</v>
      </c>
      <c r="B6671" s="216" t="n">
        <v>59.8</v>
      </c>
      <c r="C6671" s="216" t="n">
        <v>97.90000000000001</v>
      </c>
      <c r="D6671" s="216" t="n">
        <v>1.148360967636108</v>
      </c>
      <c r="E6671" s="215" t="n">
        <v>46132</v>
      </c>
      <c r="F6671" s="215" t="n">
        <v>46132</v>
      </c>
    </row>
    <row r="6672">
      <c r="A6672" s="215" t="n">
        <v>46133</v>
      </c>
      <c r="B6672" s="216" t="n">
        <v>57.1</v>
      </c>
      <c r="C6672" s="216" t="n">
        <v>97.3</v>
      </c>
      <c r="D6672" s="216" t="n">
        <v>1.148368000984192</v>
      </c>
      <c r="E6672" s="215" t="n">
        <v>46133</v>
      </c>
      <c r="F6672" s="215" t="n">
        <v>46133</v>
      </c>
    </row>
    <row r="6673">
      <c r="A6673" s="215" t="n">
        <v>46134</v>
      </c>
      <c r="B6673" s="216" t="n">
        <v>56.35</v>
      </c>
      <c r="C6673" s="216" t="n">
        <v>98.22</v>
      </c>
      <c r="D6673" s="216" t="n">
        <v>1.147838950157166</v>
      </c>
      <c r="E6673" s="215" t="n">
        <v>46134</v>
      </c>
      <c r="F6673" s="215" t="n">
        <v>46134</v>
      </c>
    </row>
    <row r="6674">
      <c r="A6674" s="215" t="n">
        <v>46135</v>
      </c>
      <c r="B6674" s="216" t="n">
        <v>57.25</v>
      </c>
      <c r="C6674" s="216" t="n">
        <v>99.41</v>
      </c>
      <c r="D6674" s="216" t="n">
        <v>1.147513031959534</v>
      </c>
      <c r="E6674" s="215" t="n">
        <v>46135</v>
      </c>
      <c r="F6674" s="215" t="n">
        <v>46135</v>
      </c>
    </row>
    <row r="6675">
      <c r="A6675" s="215" t="n">
        <v>46136</v>
      </c>
      <c r="B6675" s="216" t="n">
        <v>60</v>
      </c>
      <c r="C6675" s="216" t="n">
        <v>102.88</v>
      </c>
      <c r="D6675" s="216" t="n">
        <v>1.147369027137756</v>
      </c>
      <c r="E6675" s="215" t="n">
        <v>46136</v>
      </c>
      <c r="F6675" s="215" t="n">
        <v>46136</v>
      </c>
    </row>
    <row r="6676">
      <c r="A6676" s="215" t="n">
        <v>46139</v>
      </c>
      <c r="B6676" s="216" t="n">
        <v>58.85</v>
      </c>
      <c r="C6676" s="216" t="n">
        <v>98.69</v>
      </c>
      <c r="D6676" s="216" t="n">
        <v>1.146002054214478</v>
      </c>
      <c r="E6676" s="215" t="n">
        <v>46139</v>
      </c>
      <c r="F6676" s="215" t="n">
        <v>46139</v>
      </c>
    </row>
    <row r="6677">
      <c r="A6677" s="215" t="n">
        <v>46140</v>
      </c>
      <c r="B6677" s="216" t="n">
        <v>51.7</v>
      </c>
      <c r="C6677" s="216" t="n">
        <v>96.2</v>
      </c>
      <c r="D6677" s="216" t="n">
        <v>1.148522019386292</v>
      </c>
      <c r="E6677" s="215" t="n">
        <v>46140</v>
      </c>
      <c r="F6677" s="215" t="n">
        <v>46140</v>
      </c>
    </row>
    <row r="6678">
      <c r="A6678" s="215" t="n">
        <v>46141</v>
      </c>
      <c r="B6678" s="216" t="n">
        <v>50.2</v>
      </c>
      <c r="C6678" s="216" t="n">
        <v>93.76000000000001</v>
      </c>
      <c r="D6678" s="216" t="n">
        <v>1.145936012268066</v>
      </c>
      <c r="E6678" s="215" t="n">
        <v>46141</v>
      </c>
      <c r="F6678" s="215" t="n">
        <v>46141</v>
      </c>
    </row>
    <row r="6679">
      <c r="A6679" s="215" t="n">
        <v>46142</v>
      </c>
      <c r="B6679" s="216" t="n">
        <v>52.4</v>
      </c>
      <c r="C6679" s="216" t="n">
        <v>96.33</v>
      </c>
      <c r="D6679" s="216" t="n">
        <v>1.145792007446289</v>
      </c>
      <c r="E6679" s="215" t="n">
        <v>46142</v>
      </c>
      <c r="F6679" s="215" t="n">
        <v>46142</v>
      </c>
    </row>
    <row r="6680">
      <c r="A6680" s="215" t="n">
        <v>46146</v>
      </c>
      <c r="B6680" s="216" t="n">
        <v>52.8</v>
      </c>
      <c r="C6680" s="216" t="n">
        <v>96.33</v>
      </c>
      <c r="D6680" s="216" t="n">
        <v>1.147340059280396</v>
      </c>
      <c r="E6680" s="215" t="n">
        <v>46142</v>
      </c>
      <c r="F6680" s="215" t="n">
        <v>46146</v>
      </c>
    </row>
    <row r="6681">
      <c r="A6681" s="215" t="n">
        <v>46147</v>
      </c>
      <c r="B6681" s="216" t="n">
        <v>52.3</v>
      </c>
      <c r="C6681" s="216" t="n">
        <v>96.33</v>
      </c>
      <c r="D6681" s="216" t="n">
        <v>1.146813988685608</v>
      </c>
      <c r="E6681" s="215" t="n">
        <v>46142</v>
      </c>
      <c r="F6681" s="215" t="n">
        <v>46147</v>
      </c>
    </row>
    <row r="6682">
      <c r="A6682" s="215" t="n">
        <v>46148</v>
      </c>
      <c r="B6682" s="216" t="n">
        <v>49.3</v>
      </c>
      <c r="C6682" s="216" t="n">
        <v>95.81</v>
      </c>
      <c r="D6682" s="216" t="n">
        <v>1.14708399772644</v>
      </c>
      <c r="E6682" s="215" t="n">
        <v>46148</v>
      </c>
      <c r="F6682" s="215" t="n">
        <v>46148</v>
      </c>
    </row>
    <row r="6683">
      <c r="A6683" s="215" t="n">
        <v>46149</v>
      </c>
      <c r="B6683" s="216" t="n">
        <v>53.05</v>
      </c>
      <c r="C6683" s="216" t="n">
        <v>98.06999999999999</v>
      </c>
      <c r="D6683" s="216" t="n">
        <v>1.150125026702881</v>
      </c>
      <c r="E6683" s="215" t="n">
        <v>46149</v>
      </c>
      <c r="F6683" s="215" t="n">
        <v>46149</v>
      </c>
    </row>
    <row r="6684">
      <c r="A6684" s="215" t="n">
        <v>46150</v>
      </c>
      <c r="B6684" s="216" t="n">
        <v>51.45</v>
      </c>
      <c r="C6684" s="216" t="n">
        <v>95.5</v>
      </c>
      <c r="D6684" s="216" t="n">
        <v>1.15172004699707</v>
      </c>
      <c r="E6684" s="215" t="n">
        <v>46150</v>
      </c>
      <c r="F6684" s="215" t="n">
        <v>46150</v>
      </c>
    </row>
    <row r="6685">
      <c r="A6685" s="215" t="n">
        <v>46153</v>
      </c>
      <c r="B6685" s="216" t="n">
        <v>51.6</v>
      </c>
      <c r="C6685" s="216" t="n">
        <v>96.26000000000001</v>
      </c>
      <c r="D6685" s="216" t="n">
        <v>1.151090025901794</v>
      </c>
      <c r="E6685" s="215" t="n">
        <v>46153</v>
      </c>
      <c r="F6685" s="215" t="n">
        <v>46153</v>
      </c>
    </row>
    <row r="6686">
      <c r="A6686" s="215" t="n">
        <v>46154</v>
      </c>
      <c r="B6686" s="216" t="n">
        <v>55.5</v>
      </c>
      <c r="C6686" s="216" t="n">
        <v>102.22</v>
      </c>
      <c r="D6686" s="216" t="n">
        <v>1.152078986167908</v>
      </c>
      <c r="E6686" s="215" t="n">
        <v>46154</v>
      </c>
      <c r="F6686" s="215" t="n">
        <v>46154</v>
      </c>
    </row>
    <row r="6687">
      <c r="A6687" s="215" t="n">
        <v>46155</v>
      </c>
      <c r="B6687" s="216" t="n">
        <v>53.25</v>
      </c>
      <c r="C6687" s="216" t="n">
        <v>97.52</v>
      </c>
      <c r="D6687" s="216" t="n">
        <v>1.152537941932678</v>
      </c>
      <c r="E6687" s="215" t="n">
        <v>46155</v>
      </c>
      <c r="F6687" s="215" t="n">
        <v>46155</v>
      </c>
    </row>
    <row r="6688">
      <c r="A6688" s="215" t="n">
        <v>46156</v>
      </c>
      <c r="B6688" s="216" t="n">
        <v>51.85</v>
      </c>
      <c r="C6688" s="216" t="n">
        <v>96.33</v>
      </c>
      <c r="D6688" s="216" t="n">
        <v>1.152662992477417</v>
      </c>
      <c r="E6688" s="215" t="n">
        <v>46156</v>
      </c>
      <c r="F6688" s="215" t="n">
        <v>46156</v>
      </c>
    </row>
    <row r="6689">
      <c r="A6689" s="215" t="n">
        <v>46157</v>
      </c>
      <c r="B6689" s="216" t="n">
        <v>51.1</v>
      </c>
      <c r="C6689" s="216" t="n">
        <v>96.2</v>
      </c>
      <c r="D6689" s="216" t="n">
        <v>1.154320001602173</v>
      </c>
      <c r="E6689" s="215" t="n">
        <v>46157</v>
      </c>
      <c r="F6689" s="215" t="n">
        <v>46157</v>
      </c>
    </row>
    <row r="6690">
      <c r="A6690" s="215" t="n">
        <v>46160</v>
      </c>
      <c r="B6690" s="216" t="n">
        <v>48.4</v>
      </c>
      <c r="C6690" s="216" t="n">
        <v>94.8</v>
      </c>
      <c r="D6690" s="216" t="n">
        <v>1.149821996688843</v>
      </c>
      <c r="E6690" s="215" t="n">
        <v>46160</v>
      </c>
      <c r="F6690" s="215" t="n">
        <v>46160</v>
      </c>
    </row>
    <row r="6691">
      <c r="A6691" s="215" t="n">
        <v>46161</v>
      </c>
      <c r="B6691" s="216" t="n">
        <v>47.96</v>
      </c>
      <c r="C6691" s="216" t="n">
        <v>94.88</v>
      </c>
      <c r="D6691" s="216" t="n">
        <v>1.151532053947449</v>
      </c>
      <c r="E6691" s="215" t="n">
        <v>46161</v>
      </c>
      <c r="F6691" s="215" t="n">
        <v>46161</v>
      </c>
    </row>
    <row r="6692">
      <c r="A6692" s="215" t="n">
        <v>46162</v>
      </c>
      <c r="B6692" s="216" t="n">
        <v>50.6</v>
      </c>
      <c r="C6692" s="216" t="n">
        <v>103.46</v>
      </c>
      <c r="D6692" s="216" t="n">
        <v>1.149292945861816</v>
      </c>
      <c r="E6692" s="215" t="n">
        <v>46162</v>
      </c>
      <c r="F6692" s="215" t="n">
        <v>46162</v>
      </c>
    </row>
    <row r="6693">
      <c r="A6693" s="215" t="n">
        <v>46163</v>
      </c>
      <c r="B6693" s="216" t="n">
        <v>51</v>
      </c>
      <c r="C6693" s="216" t="n">
        <v>105.78</v>
      </c>
      <c r="D6693" s="216" t="n">
        <v>1.151231050491333</v>
      </c>
      <c r="E6693" s="215" t="n">
        <v>46163</v>
      </c>
      <c r="F6693" s="215" t="n">
        <v>46163</v>
      </c>
    </row>
    <row r="6694">
      <c r="A6694" s="215" t="n">
        <v>46164</v>
      </c>
      <c r="B6694" s="216" t="n">
        <v>49.86</v>
      </c>
      <c r="C6694" s="216" t="n">
        <v>104.53</v>
      </c>
      <c r="D6694" s="216" t="n">
        <v>1.151487946510315</v>
      </c>
      <c r="E6694" s="215" t="n">
        <v>46164</v>
      </c>
      <c r="F6694" s="215" t="n">
        <v>46164</v>
      </c>
    </row>
    <row r="6695">
      <c r="A6695" s="215" t="n">
        <v>46168</v>
      </c>
      <c r="B6695" s="216" t="n">
        <v>49.22</v>
      </c>
      <c r="C6695" s="216" t="n">
        <v>105.7</v>
      </c>
      <c r="D6695" s="216" t="n">
        <v>1.152968049049377</v>
      </c>
      <c r="E6695" s="215" t="n">
        <v>46168</v>
      </c>
      <c r="F6695" s="215" t="n">
        <v>46168</v>
      </c>
    </row>
    <row r="6696">
      <c r="A6696" s="215" t="n">
        <v>46169</v>
      </c>
      <c r="B6696" s="216" t="n">
        <v>52.45</v>
      </c>
      <c r="C6696" s="216" t="n">
        <v>112.54</v>
      </c>
      <c r="D6696" s="216" t="n">
        <v>1.154562950134277</v>
      </c>
      <c r="E6696" s="215" t="n">
        <v>46169</v>
      </c>
      <c r="F6696" s="215" t="n">
        <v>46169</v>
      </c>
    </row>
    <row r="6697">
      <c r="A6697" s="215" t="n">
        <v>46170</v>
      </c>
      <c r="B6697" s="216" t="n">
        <v>50.25</v>
      </c>
      <c r="C6697" s="216" t="n">
        <v>112.5</v>
      </c>
      <c r="D6697" s="216" t="n">
        <v>1.155385971069336</v>
      </c>
      <c r="E6697" s="215" t="n">
        <v>46170</v>
      </c>
      <c r="F6697" s="215" t="n">
        <v>46170</v>
      </c>
    </row>
    <row r="6698">
      <c r="A6698" s="215" t="n">
        <v>46171</v>
      </c>
      <c r="B6698" s="216" t="n">
        <v>49.42</v>
      </c>
      <c r="C6698" s="216" t="n">
        <v>109.6</v>
      </c>
      <c r="D6698" s="216" t="n">
        <v>1.155282974243164</v>
      </c>
      <c r="E6698" s="215" t="n">
        <v>46171</v>
      </c>
      <c r="F6698" s="215" t="n">
        <v>46171</v>
      </c>
    </row>
    <row r="6699">
      <c r="A6699" s="215" t="n">
        <v>46174</v>
      </c>
      <c r="B6699" s="216" t="n">
        <v>44.7</v>
      </c>
      <c r="C6699" s="216" t="n">
        <v>100</v>
      </c>
      <c r="D6699" s="216" t="n">
        <v>1.158049941062927</v>
      </c>
      <c r="E6699" s="215" t="n">
        <v>46174</v>
      </c>
      <c r="F6699" s="215" t="n">
        <v>46174</v>
      </c>
    </row>
    <row r="6700">
      <c r="A6700" s="215" t="n">
        <v>46175</v>
      </c>
      <c r="B6700" s="216" t="n">
        <v>42.34</v>
      </c>
      <c r="C6700" s="216" t="n">
        <v>96.95999999999999</v>
      </c>
      <c r="D6700" s="216" t="n">
        <v>1.158406972885132</v>
      </c>
      <c r="E6700" s="215" t="n">
        <v>46175</v>
      </c>
      <c r="F6700" s="215" t="n">
        <v>46175</v>
      </c>
    </row>
    <row r="6701">
      <c r="A6701" s="215" t="n">
        <v>46176</v>
      </c>
      <c r="B6701" s="216" t="n">
        <v>42.48</v>
      </c>
      <c r="C6701" s="216" t="n">
        <v>96.64</v>
      </c>
      <c r="D6701" s="216" t="n">
        <v>1.15879499912262</v>
      </c>
      <c r="E6701" s="215" t="n">
        <v>46176</v>
      </c>
      <c r="F6701" s="215" t="n">
        <v>46176</v>
      </c>
    </row>
    <row r="6702">
      <c r="A6702" s="215" t="n">
        <v>46177</v>
      </c>
      <c r="B6702" s="216" t="n">
        <v>41.06</v>
      </c>
      <c r="C6702" s="216" t="n">
        <v>95.84999999999999</v>
      </c>
      <c r="D6702" s="216" t="n">
        <v>1.157420039176941</v>
      </c>
      <c r="E6702" s="215" t="n">
        <v>46177</v>
      </c>
      <c r="F6702" s="215" t="n">
        <v>46177</v>
      </c>
    </row>
    <row r="6703">
      <c r="A6703" s="215" t="n">
        <v>46178</v>
      </c>
      <c r="B6703" s="216" t="n">
        <v>41.82</v>
      </c>
      <c r="C6703" s="216" t="n">
        <v>93.8</v>
      </c>
      <c r="D6703" s="216" t="n">
        <v>1.156491994857788</v>
      </c>
      <c r="E6703" s="215" t="n">
        <v>46178</v>
      </c>
      <c r="F6703" s="215" t="n">
        <v>46178</v>
      </c>
    </row>
    <row r="6704">
      <c r="A6704" s="215" t="n">
        <v>46181</v>
      </c>
      <c r="B6704" s="216" t="n">
        <v>38.9</v>
      </c>
      <c r="C6704" s="216" t="n">
        <v>90.87</v>
      </c>
      <c r="D6704" s="216" t="n">
        <v>1.157665967941284</v>
      </c>
      <c r="E6704" s="215" t="n">
        <v>46181</v>
      </c>
      <c r="F6704" s="215" t="n">
        <v>46181</v>
      </c>
    </row>
    <row r="6705">
      <c r="A6705" s="215" t="n">
        <v>46182</v>
      </c>
      <c r="B6705" s="216" t="n">
        <v>40.8</v>
      </c>
      <c r="C6705" s="216" t="n">
        <v>96.13</v>
      </c>
      <c r="D6705" s="216" t="n">
        <v>1.158027052879333</v>
      </c>
      <c r="E6705" s="215" t="n">
        <v>46182</v>
      </c>
      <c r="F6705" s="215" t="n">
        <v>46182</v>
      </c>
    </row>
    <row r="6706">
      <c r="A6706" s="215" t="n">
        <v>46183</v>
      </c>
      <c r="B6706" s="216" t="n">
        <v>39.88</v>
      </c>
      <c r="C6706" s="216" t="n">
        <v>91.47</v>
      </c>
      <c r="D6706" s="216" t="n">
        <v>1.157112002372742</v>
      </c>
      <c r="E6706" s="215" t="n">
        <v>46183</v>
      </c>
      <c r="F6706" s="215" t="n">
        <v>46183</v>
      </c>
    </row>
    <row r="6707">
      <c r="A6707" s="215" t="n">
        <v>46184</v>
      </c>
      <c r="B6707" s="216" t="n">
        <v>38.5</v>
      </c>
      <c r="C6707" s="216" t="n">
        <v>87.40000000000001</v>
      </c>
      <c r="D6707" s="216" t="n">
        <v>1.156929016113281</v>
      </c>
      <c r="E6707" s="215" t="n">
        <v>46184</v>
      </c>
      <c r="F6707" s="215" t="n">
        <v>46184</v>
      </c>
    </row>
    <row r="6708">
      <c r="A6708" s="215" t="n">
        <v>46185</v>
      </c>
      <c r="B6708" s="216" t="n">
        <v>38.54</v>
      </c>
      <c r="C6708" s="216" t="n">
        <v>89.09999999999999</v>
      </c>
      <c r="D6708" s="216" t="n">
        <v>1.156345963478088</v>
      </c>
      <c r="E6708" s="215" t="n">
        <v>46185</v>
      </c>
      <c r="F6708" s="215" t="n">
        <v>46185</v>
      </c>
    </row>
    <row r="6709">
      <c r="A6709" s="215" t="n">
        <v>46188</v>
      </c>
      <c r="B6709" s="216" t="n">
        <v>41.1</v>
      </c>
      <c r="C6709" s="216" t="n">
        <v>89.22</v>
      </c>
      <c r="D6709" s="216" t="n">
        <v>1.156880021095276</v>
      </c>
      <c r="E6709" s="215" t="n">
        <v>46188</v>
      </c>
      <c r="F6709" s="215" t="n">
        <v>46188</v>
      </c>
    </row>
    <row r="6710">
      <c r="A6710" s="215" t="n">
        <v>46189</v>
      </c>
      <c r="B6710" s="216" t="n">
        <v>40.08</v>
      </c>
      <c r="C6710" s="216" t="n">
        <v>88.34999999999999</v>
      </c>
      <c r="D6710" s="216" t="n">
        <v>1.158604025840759</v>
      </c>
      <c r="E6710" s="215" t="n">
        <v>46189</v>
      </c>
      <c r="F6710" s="215" t="n">
        <v>46189</v>
      </c>
    </row>
    <row r="6711">
      <c r="A6711" s="215" t="n">
        <v>46190</v>
      </c>
      <c r="B6711" s="216" t="n">
        <v>40</v>
      </c>
      <c r="C6711" s="216" t="n">
        <v>88.27</v>
      </c>
      <c r="D6711" s="216" t="n">
        <v>1.158974051475525</v>
      </c>
      <c r="E6711" s="215" t="n">
        <v>46190</v>
      </c>
      <c r="F6711" s="215" t="n">
        <v>46190</v>
      </c>
    </row>
    <row r="6712">
      <c r="A6712" s="215" t="n">
        <v>46191</v>
      </c>
      <c r="B6712" s="216" t="n">
        <v>40.94</v>
      </c>
      <c r="C6712" s="216" t="n">
        <v>94.15000000000001</v>
      </c>
      <c r="D6712" s="216" t="n">
        <v>1.159355998039246</v>
      </c>
      <c r="E6712" s="215" t="n">
        <v>46191</v>
      </c>
      <c r="F6712" s="215" t="n">
        <v>46191</v>
      </c>
    </row>
    <row r="6713">
      <c r="A6713" s="215" t="n">
        <v>46195</v>
      </c>
      <c r="B6713" s="216" t="n">
        <v>41.68</v>
      </c>
      <c r="C6713" s="216" t="n">
        <v>93.56</v>
      </c>
      <c r="D6713" s="216" t="n">
        <v>1.157493948936462</v>
      </c>
      <c r="E6713" s="215" t="n">
        <v>46195</v>
      </c>
      <c r="F6713" s="215" t="n">
        <v>46195</v>
      </c>
    </row>
    <row r="6714">
      <c r="A6714" s="215" t="n">
        <v>46196</v>
      </c>
      <c r="B6714" s="216" t="n">
        <v>41.5</v>
      </c>
      <c r="C6714" s="216" t="n">
        <v>92.15000000000001</v>
      </c>
      <c r="D6714" s="216" t="n">
        <v>1.156896948814392</v>
      </c>
      <c r="E6714" s="215" t="n">
        <v>46196</v>
      </c>
      <c r="F6714" s="215" t="n">
        <v>46196</v>
      </c>
    </row>
    <row r="6715">
      <c r="A6715" s="215" t="n">
        <v>46197</v>
      </c>
      <c r="B6715" s="216" t="n">
        <v>42.58</v>
      </c>
      <c r="C6715" s="216" t="n">
        <v>98.47</v>
      </c>
      <c r="D6715" s="216" t="n">
        <v>1.154508948326111</v>
      </c>
      <c r="E6715" s="215" t="n">
        <v>46197</v>
      </c>
      <c r="F6715" s="215" t="n">
        <v>46197</v>
      </c>
    </row>
    <row r="6716">
      <c r="A6716" s="215" t="n">
        <v>46198</v>
      </c>
      <c r="B6716" s="216" t="n">
        <v>41.5</v>
      </c>
      <c r="C6716" s="216" t="n">
        <v>94.98</v>
      </c>
      <c r="D6716" s="216" t="n">
        <v>1.154152035713196</v>
      </c>
      <c r="E6716" s="215" t="n">
        <v>46198</v>
      </c>
      <c r="F6716" s="215" t="n">
        <v>46198</v>
      </c>
    </row>
    <row r="6717">
      <c r="A6717" s="215" t="n">
        <v>46199</v>
      </c>
      <c r="B6717" s="216" t="n">
        <v>40.5</v>
      </c>
      <c r="C6717" s="216" t="n">
        <v>92.13</v>
      </c>
      <c r="D6717" s="216" t="n">
        <v>1.154500961303711</v>
      </c>
      <c r="E6717" s="215" t="n">
        <v>46199</v>
      </c>
      <c r="F6717" s="215" t="n">
        <v>46199</v>
      </c>
    </row>
    <row r="6718">
      <c r="A6718" s="215" t="n">
        <v>46202</v>
      </c>
      <c r="B6718" s="216" t="n">
        <v>46.88</v>
      </c>
      <c r="C6718" s="216" t="n">
        <v>110.56</v>
      </c>
      <c r="D6718" s="216" t="n">
        <v>1.153512001037598</v>
      </c>
      <c r="E6718" s="215" t="n">
        <v>46202</v>
      </c>
      <c r="F6718" s="215" t="n">
        <v>46202</v>
      </c>
    </row>
    <row r="6719">
      <c r="A6719" s="215" t="n">
        <v>46203</v>
      </c>
      <c r="B6719" s="216" t="n">
        <v>46.74</v>
      </c>
      <c r="C6719" s="216" t="n">
        <v>109.4</v>
      </c>
      <c r="D6719" s="216" t="n">
        <v>1.153959035873413</v>
      </c>
      <c r="E6719" s="215" t="n">
        <v>46203</v>
      </c>
      <c r="F6719" s="215" t="n">
        <v>46203</v>
      </c>
    </row>
    <row r="6720">
      <c r="A6720" s="215" t="n">
        <v>46205</v>
      </c>
      <c r="B6720" s="216" t="n">
        <v>46.6</v>
      </c>
      <c r="C6720" s="216" t="n">
        <v>114</v>
      </c>
      <c r="D6720" s="216" t="n">
        <v>1.154355049133301</v>
      </c>
      <c r="E6720" s="215" t="n">
        <v>46205</v>
      </c>
      <c r="F6720" s="215" t="n">
        <v>46205</v>
      </c>
    </row>
    <row r="6721">
      <c r="A6721" s="215" t="n">
        <v>46206</v>
      </c>
      <c r="B6721" s="216" t="n">
        <v>44.82</v>
      </c>
      <c r="C6721" s="216" t="n">
        <v>111.16</v>
      </c>
      <c r="D6721" s="216" t="n">
        <v>1.155220985412598</v>
      </c>
      <c r="E6721" s="215" t="n">
        <v>46206</v>
      </c>
      <c r="F6721" s="215" t="n">
        <v>46206</v>
      </c>
    </row>
    <row r="6722">
      <c r="A6722" s="215" t="n">
        <v>46209</v>
      </c>
      <c r="B6722" s="216" t="n">
        <v>50</v>
      </c>
      <c r="C6722" s="216" t="n">
        <v>112.98</v>
      </c>
      <c r="D6722" s="216" t="n">
        <v>1.155068039894104</v>
      </c>
      <c r="E6722" s="215" t="n">
        <v>46209</v>
      </c>
      <c r="F6722" s="215" t="n">
        <v>46209</v>
      </c>
    </row>
    <row r="6723">
      <c r="A6723" s="215" t="n">
        <v>46210</v>
      </c>
      <c r="B6723" s="216" t="n">
        <v>48.44</v>
      </c>
      <c r="C6723" s="216" t="n">
        <v>109.27</v>
      </c>
      <c r="D6723" s="216" t="n">
        <v>1.153807997703552</v>
      </c>
      <c r="E6723" s="215" t="n">
        <v>46210</v>
      </c>
      <c r="F6723" s="215" t="n">
        <v>46210</v>
      </c>
    </row>
    <row r="6724">
      <c r="A6724" s="215" t="n">
        <v>46211</v>
      </c>
      <c r="B6724" s="216" t="n">
        <v>46.6</v>
      </c>
      <c r="C6724" s="216" t="n">
        <v>103.45</v>
      </c>
      <c r="D6724" s="216" t="n">
        <v>1.154153943061829</v>
      </c>
      <c r="E6724" s="215" t="n">
        <v>46211</v>
      </c>
      <c r="F6724" s="215" t="n">
        <v>46211</v>
      </c>
    </row>
    <row r="6725">
      <c r="A6725" s="215" t="n">
        <v>46212</v>
      </c>
      <c r="B6725" s="216" t="n">
        <v>47</v>
      </c>
      <c r="C6725" s="216" t="n">
        <v>106.5</v>
      </c>
      <c r="D6725" s="216" t="n">
        <v>1.152119994163513</v>
      </c>
      <c r="E6725" s="215" t="n">
        <v>46212</v>
      </c>
      <c r="F6725" s="215" t="n">
        <v>46212</v>
      </c>
    </row>
    <row r="6726">
      <c r="A6726" s="215" t="n">
        <v>46213</v>
      </c>
      <c r="B6726" s="216" t="n">
        <v>52.2</v>
      </c>
      <c r="C6726" s="216" t="n">
        <v>112.4</v>
      </c>
      <c r="D6726" s="216" t="n">
        <v>1.153550028800964</v>
      </c>
      <c r="E6726" s="215" t="n">
        <v>46213</v>
      </c>
      <c r="F6726" s="215" t="n">
        <v>46213</v>
      </c>
    </row>
    <row r="6727">
      <c r="A6727" s="215" t="n">
        <v>46216</v>
      </c>
      <c r="B6727" s="216" t="n">
        <v>53.3</v>
      </c>
      <c r="C6727" s="216" t="n">
        <v>116.66</v>
      </c>
      <c r="D6727" s="216" t="n">
        <v>1.156761050224304</v>
      </c>
      <c r="E6727" s="215" t="n">
        <v>46216</v>
      </c>
      <c r="F6727" s="215" t="n">
        <v>46216</v>
      </c>
    </row>
    <row r="6728">
      <c r="A6728" s="215" t="n">
        <v>46217</v>
      </c>
      <c r="B6728" s="216" t="n">
        <v>52.8</v>
      </c>
      <c r="C6728" s="216" t="n">
        <v>117.4</v>
      </c>
      <c r="D6728" s="216" t="n">
        <v>1.155825972557068</v>
      </c>
      <c r="E6728" s="215" t="n">
        <v>46217</v>
      </c>
      <c r="F6728" s="215" t="n">
        <v>46217</v>
      </c>
    </row>
    <row r="6729">
      <c r="A6729" s="215" t="n">
        <v>46218</v>
      </c>
      <c r="B6729" s="216" t="n">
        <v>58.85</v>
      </c>
      <c r="C6729" s="216" t="n">
        <v>131.93</v>
      </c>
      <c r="D6729" s="216" t="n">
        <v>1.157556056976318</v>
      </c>
      <c r="E6729" s="215" t="n">
        <v>46218</v>
      </c>
      <c r="F6729" s="215" t="n">
        <v>46218</v>
      </c>
    </row>
    <row r="6730">
      <c r="A6730" s="215" t="n">
        <v>46219</v>
      </c>
      <c r="B6730" s="216" t="n">
        <v>54.85</v>
      </c>
      <c r="C6730" s="216" t="n">
        <v>142.37</v>
      </c>
      <c r="D6730" s="216" t="n">
        <v>1.157912969589233</v>
      </c>
      <c r="E6730" s="215" t="n">
        <v>46219</v>
      </c>
      <c r="F6730" s="215" t="n">
        <v>46219</v>
      </c>
    </row>
    <row r="6731">
      <c r="A6731" s="215" t="n">
        <v>46220</v>
      </c>
      <c r="B6731" s="216" t="n">
        <v>50.45</v>
      </c>
      <c r="C6731" s="216" t="n">
        <v>117</v>
      </c>
      <c r="D6731" s="216" t="n">
        <v>1.157472014427185</v>
      </c>
      <c r="E6731" s="215" t="n">
        <v>46220</v>
      </c>
      <c r="F6731" s="215" t="n">
        <v>46220</v>
      </c>
    </row>
    <row r="6732">
      <c r="A6732" s="215" t="n">
        <v>46223</v>
      </c>
      <c r="B6732" s="216" t="n">
        <v>53</v>
      </c>
      <c r="C6732" s="216" t="n">
        <v>120.78</v>
      </c>
      <c r="D6732" s="216" t="n">
        <v>1.157451033592224</v>
      </c>
      <c r="E6732" s="215" t="n">
        <v>46223</v>
      </c>
      <c r="F6732" s="215" t="n">
        <v>46223</v>
      </c>
    </row>
    <row r="6733">
      <c r="A6733" s="215" t="n">
        <v>46224</v>
      </c>
      <c r="B6733" s="216" t="n">
        <v>51.8</v>
      </c>
      <c r="C6733" s="216" t="n">
        <v>120</v>
      </c>
      <c r="D6733" s="216" t="n">
        <v>1.157506942749023</v>
      </c>
      <c r="E6733" s="215" t="n">
        <v>46224</v>
      </c>
      <c r="F6733" s="215" t="n">
        <v>46224</v>
      </c>
    </row>
    <row r="6734">
      <c r="A6734" s="215" t="n">
        <v>46225</v>
      </c>
      <c r="B6734" s="216" t="n">
        <v>51.9</v>
      </c>
      <c r="C6734" s="216" t="n">
        <v>122.99</v>
      </c>
      <c r="D6734" s="216" t="n">
        <v>1.158938050270081</v>
      </c>
      <c r="E6734" s="215" t="n">
        <v>46225</v>
      </c>
      <c r="F6734" s="215" t="n">
        <v>46225</v>
      </c>
    </row>
    <row r="6735">
      <c r="A6735" s="215" t="n">
        <v>46226</v>
      </c>
      <c r="B6735" s="216" t="n">
        <v>52.05</v>
      </c>
      <c r="C6735" s="216" t="n">
        <v>132.81</v>
      </c>
      <c r="D6735" s="216" t="n">
        <v>1.157410979270935</v>
      </c>
      <c r="E6735" s="215" t="n">
        <v>46226</v>
      </c>
      <c r="F6735" s="215" t="n">
        <v>46226</v>
      </c>
    </row>
    <row r="6736">
      <c r="A6736" s="215" t="n">
        <v>46227</v>
      </c>
      <c r="B6736" s="216" t="n">
        <v>52.05</v>
      </c>
      <c r="C6736" s="216" t="n">
        <v>127.75</v>
      </c>
      <c r="D6736" s="216" t="n">
        <v>1.15762197971344</v>
      </c>
      <c r="E6736" s="215" t="n">
        <v>46227</v>
      </c>
      <c r="F6736" s="215" t="n">
        <v>46227</v>
      </c>
    </row>
    <row r="6737">
      <c r="A6737" s="215" t="n">
        <v>46230</v>
      </c>
      <c r="B6737" s="216" t="n">
        <v>54.1</v>
      </c>
      <c r="C6737" s="216" t="n">
        <v>135.99</v>
      </c>
      <c r="D6737" s="216" t="n">
        <v>1.15789794921875</v>
      </c>
      <c r="E6737" s="215" t="n">
        <v>46230</v>
      </c>
      <c r="F6737" s="215" t="n">
        <v>46230</v>
      </c>
    </row>
    <row r="6738">
      <c r="A6738" s="215" t="n">
        <v>46231</v>
      </c>
      <c r="B6738" s="216" t="n">
        <v>54.7</v>
      </c>
      <c r="C6738" s="216" t="n">
        <v>139</v>
      </c>
      <c r="D6738" s="216" t="n">
        <v>1.158699035644531</v>
      </c>
      <c r="E6738" s="215" t="n">
        <v>46231</v>
      </c>
      <c r="F6738" s="215" t="n">
        <v>46231</v>
      </c>
    </row>
    <row r="6739">
      <c r="A6739" s="215" t="n">
        <v>46232</v>
      </c>
      <c r="B6739" s="216" t="n">
        <v>52.6</v>
      </c>
      <c r="C6739" s="216" t="n">
        <v>112.34</v>
      </c>
      <c r="D6739" s="216" t="n">
        <v>1.157909989356995</v>
      </c>
      <c r="E6739" s="215" t="n">
        <v>46232</v>
      </c>
      <c r="F6739" s="215" t="n">
        <v>46232</v>
      </c>
    </row>
    <row r="6740">
      <c r="A6740" s="215" t="n">
        <v>46233</v>
      </c>
      <c r="B6740" s="216" t="n">
        <v>48.16</v>
      </c>
      <c r="C6740" s="216" t="n">
        <v>108</v>
      </c>
      <c r="D6740" s="216" t="n">
        <v>1.158943057060242</v>
      </c>
      <c r="E6740" s="215" t="n">
        <v>46233</v>
      </c>
      <c r="F6740" s="215" t="n">
        <v>46233</v>
      </c>
    </row>
    <row r="6741">
      <c r="A6741" s="215" t="n">
        <v>46234</v>
      </c>
      <c r="B6741" s="216" t="n">
        <v>50.15</v>
      </c>
      <c r="C6741" s="216" t="n">
        <v>106.37</v>
      </c>
      <c r="D6741" s="216" t="n">
        <v>1.160945057868958</v>
      </c>
      <c r="E6741" s="215" t="n">
        <v>46234</v>
      </c>
      <c r="F6741" s="215" t="n">
        <v>46234</v>
      </c>
    </row>
    <row r="6742">
      <c r="A6742" s="215" t="n">
        <v>46237</v>
      </c>
      <c r="B6742" s="216" t="n">
        <v>52.45</v>
      </c>
      <c r="C6742" s="216" t="n">
        <v>109.11</v>
      </c>
      <c r="D6742" s="216" t="n">
        <v>1.161579966545105</v>
      </c>
      <c r="E6742" s="215" t="n">
        <v>46237</v>
      </c>
      <c r="F6742" s="215" t="n">
        <v>46237</v>
      </c>
    </row>
    <row r="6743">
      <c r="A6743" s="215" t="n">
        <v>46238</v>
      </c>
      <c r="B6743" s="216" t="n">
        <v>57.55</v>
      </c>
      <c r="C6743" s="216" t="n">
        <v>116.88</v>
      </c>
      <c r="D6743" s="216" t="n">
        <v>1.161064982414246</v>
      </c>
      <c r="E6743" s="215" t="n">
        <v>46238</v>
      </c>
      <c r="F6743" s="215" t="n">
        <v>46238</v>
      </c>
    </row>
    <row r="6744">
      <c r="A6744" s="215" t="n">
        <v>46239</v>
      </c>
      <c r="B6744" s="216" t="n">
        <v>56.1</v>
      </c>
      <c r="C6744" s="216" t="n">
        <v>116.22</v>
      </c>
      <c r="D6744" s="216" t="n">
        <v>1.161146998405457</v>
      </c>
      <c r="E6744" s="215" t="n">
        <v>46239</v>
      </c>
      <c r="F6744" s="215" t="n">
        <v>46239</v>
      </c>
    </row>
    <row r="6745">
      <c r="A6745" s="215" t="n">
        <v>46240</v>
      </c>
      <c r="B6745" s="216" t="n">
        <v>55.55</v>
      </c>
      <c r="C6745" s="216" t="n">
        <v>114.5</v>
      </c>
      <c r="D6745" s="216" t="n">
        <v>1.161936044692993</v>
      </c>
      <c r="E6745" s="215" t="n">
        <v>46240</v>
      </c>
      <c r="F6745" s="215" t="n">
        <v>46240</v>
      </c>
    </row>
    <row r="6746">
      <c r="A6746" s="215" t="n">
        <v>46241</v>
      </c>
      <c r="B6746" s="216" t="n">
        <v>61.8</v>
      </c>
      <c r="C6746" s="216" t="n">
        <v>130.12</v>
      </c>
      <c r="D6746" s="216" t="n">
        <v>1.162284016609192</v>
      </c>
      <c r="E6746" s="215" t="n">
        <v>46241</v>
      </c>
      <c r="F6746" s="215" t="n">
        <v>46241</v>
      </c>
    </row>
    <row r="6747">
      <c r="A6747" s="215" t="n">
        <v>46244</v>
      </c>
      <c r="B6747" s="216" t="n">
        <v>68.65000000000001</v>
      </c>
      <c r="C6747" s="216" t="n">
        <v>137</v>
      </c>
      <c r="D6747" s="216" t="n">
        <v>1.162629961967468</v>
      </c>
      <c r="E6747" s="215" t="n">
        <v>46244</v>
      </c>
      <c r="F6747" s="215" t="n">
        <v>46244</v>
      </c>
    </row>
    <row r="6748">
      <c r="A6748" s="215" t="n">
        <v>46245</v>
      </c>
      <c r="B6748" s="216" t="n">
        <v>67.3</v>
      </c>
      <c r="C6748" s="216" t="n">
        <v>138.2</v>
      </c>
      <c r="D6748" s="216" t="n">
        <v>1.162588000297546</v>
      </c>
      <c r="E6748" s="215" t="n">
        <v>46245</v>
      </c>
      <c r="F6748" s="215" t="n">
        <v>46245</v>
      </c>
    </row>
    <row r="6749">
      <c r="A6749" s="215" t="n">
        <v>46246</v>
      </c>
      <c r="B6749" s="216" t="n">
        <v>67.09999999999999</v>
      </c>
      <c r="C6749" s="216" t="n">
        <v>134.46</v>
      </c>
      <c r="D6749" s="216" t="n">
        <v>1.163135051727295</v>
      </c>
      <c r="E6749" s="215" t="n">
        <v>46246</v>
      </c>
      <c r="F6749" s="215" t="n">
        <v>46246</v>
      </c>
    </row>
    <row r="6750">
      <c r="A6750" s="215" t="n">
        <v>46247</v>
      </c>
      <c r="B6750" s="216" t="n">
        <v>70.25</v>
      </c>
      <c r="C6750" s="216" t="n">
        <v>148.2</v>
      </c>
      <c r="D6750" s="216" t="n">
        <v>1.163341045379639</v>
      </c>
      <c r="E6750" s="215" t="n">
        <v>46247</v>
      </c>
      <c r="F6750" s="215" t="n">
        <v>46247</v>
      </c>
    </row>
    <row r="6751">
      <c r="A6751" s="215" t="n">
        <v>46248</v>
      </c>
      <c r="B6751" s="216" t="n">
        <v>69</v>
      </c>
      <c r="C6751" s="216" t="n">
        <v>148.37</v>
      </c>
      <c r="D6751" s="216" t="n">
        <v>1.163571000099182</v>
      </c>
      <c r="E6751" s="215" t="n">
        <v>46248</v>
      </c>
      <c r="F6751" s="215" t="n">
        <v>46248</v>
      </c>
    </row>
    <row r="6752">
      <c r="A6752" s="215" t="n">
        <v>46251</v>
      </c>
      <c r="B6752" s="216" t="n">
        <v>63.7</v>
      </c>
      <c r="C6752" s="216" t="n">
        <v>140.7</v>
      </c>
      <c r="D6752" s="216" t="n">
        <v>1.163601994514465</v>
      </c>
      <c r="E6752" s="215" t="n">
        <v>46251</v>
      </c>
      <c r="F6752" s="215" t="n">
        <v>46251</v>
      </c>
    </row>
    <row r="6753">
      <c r="A6753" s="215" t="n">
        <v>46252</v>
      </c>
      <c r="B6753" s="216" t="n">
        <v>63.2</v>
      </c>
      <c r="C6753" s="216" t="n">
        <v>140.98</v>
      </c>
      <c r="D6753" s="216" t="n">
        <v>1.163733005523682</v>
      </c>
      <c r="E6753" s="215" t="n">
        <v>46252</v>
      </c>
      <c r="F6753" s="215" t="n">
        <v>46252</v>
      </c>
    </row>
    <row r="6754">
      <c r="A6754" s="215" t="n">
        <v>46253</v>
      </c>
      <c r="B6754" s="216" t="n">
        <v>60.45</v>
      </c>
      <c r="C6754" s="216" t="n">
        <v>131.6</v>
      </c>
      <c r="D6754" s="216" t="n">
        <v>1.163092017173767</v>
      </c>
      <c r="E6754" s="215" t="n">
        <v>46253</v>
      </c>
      <c r="F6754" s="215" t="n">
        <v>46253</v>
      </c>
    </row>
    <row r="6755">
      <c r="A6755" s="215" t="n">
        <v>46254</v>
      </c>
      <c r="B6755" s="216" t="n">
        <v>61.1</v>
      </c>
      <c r="C6755" s="216" t="n">
        <v>138.18</v>
      </c>
      <c r="D6755" s="216" t="n">
        <v>1.164932012557983</v>
      </c>
      <c r="E6755" s="215" t="n">
        <v>46254</v>
      </c>
      <c r="F6755" s="215" t="n">
        <v>46254</v>
      </c>
    </row>
    <row r="6756">
      <c r="A6756" s="215" t="n">
        <v>46255</v>
      </c>
      <c r="B6756" s="216" t="n">
        <v>65</v>
      </c>
      <c r="C6756" s="216" t="n">
        <v>134.24</v>
      </c>
      <c r="D6756" s="216" t="n">
        <v>1.166555047035217</v>
      </c>
      <c r="E6756" s="215" t="n">
        <v>46255</v>
      </c>
      <c r="F6756" s="215" t="n">
        <v>46255</v>
      </c>
    </row>
    <row r="6757">
      <c r="A6757" s="215" t="n">
        <v>46258</v>
      </c>
      <c r="B6757" s="216" t="n">
        <v>59.75</v>
      </c>
      <c r="C6757" s="216" t="n">
        <v>124.92</v>
      </c>
      <c r="D6757" s="216" t="n">
        <v>1.166316986083984</v>
      </c>
      <c r="E6757" s="215" t="n">
        <v>46258</v>
      </c>
      <c r="F6757" s="215" t="n">
        <v>46258</v>
      </c>
    </row>
    <row r="6758">
      <c r="A6758" s="215" t="n">
        <v>46259</v>
      </c>
      <c r="B6758" s="216" t="n">
        <v>62.05</v>
      </c>
      <c r="C6758" s="216" t="n">
        <v>124.65</v>
      </c>
      <c r="D6758" s="216" t="n">
        <v>1.165253043174744</v>
      </c>
      <c r="E6758" s="215" t="n">
        <v>46259</v>
      </c>
      <c r="F6758" s="215" t="n">
        <v>46259</v>
      </c>
    </row>
    <row r="6759">
      <c r="A6759" s="215" t="n">
        <v>46260</v>
      </c>
      <c r="B6759" s="216" t="n">
        <v>62</v>
      </c>
      <c r="C6759" s="216" t="n">
        <v>119.96</v>
      </c>
      <c r="D6759" s="216" t="n">
        <v>1.166218996047974</v>
      </c>
      <c r="E6759" s="215" t="n">
        <v>46260</v>
      </c>
      <c r="F6759" s="215" t="n">
        <v>46260</v>
      </c>
    </row>
    <row r="6760">
      <c r="A6760" s="215" t="n">
        <v>46261</v>
      </c>
      <c r="B6760" s="216" t="n">
        <v>60.2</v>
      </c>
      <c r="C6760" s="216" t="n">
        <v>121.7</v>
      </c>
      <c r="D6760" s="216" t="n">
        <v>1.165971040725708</v>
      </c>
      <c r="E6760" s="215" t="n">
        <v>46261</v>
      </c>
      <c r="F6760" s="215" t="n">
        <v>46261</v>
      </c>
    </row>
    <row r="6761">
      <c r="A6761" s="215" t="n">
        <v>46262</v>
      </c>
      <c r="B6761" s="216" t="n">
        <v>61.25</v>
      </c>
      <c r="C6761" s="216" t="n">
        <v>116.91</v>
      </c>
      <c r="D6761" s="216" t="n">
        <v>1.165799975395203</v>
      </c>
      <c r="E6761" s="215" t="n">
        <v>46262</v>
      </c>
      <c r="F6761" s="215" t="n">
        <v>46262</v>
      </c>
    </row>
    <row r="6762">
      <c r="A6762" s="215" t="n">
        <v>46265</v>
      </c>
      <c r="B6762" s="216" t="n">
        <v>56.4</v>
      </c>
      <c r="C6762" s="216" t="n">
        <v>117.04</v>
      </c>
      <c r="D6762" s="216" t="n">
        <v>1.165387988090515</v>
      </c>
      <c r="E6762" s="215" t="n">
        <v>46265</v>
      </c>
      <c r="F6762" s="215" t="n">
        <v>46265</v>
      </c>
    </row>
    <row r="6763">
      <c r="A6763" s="215" t="n">
        <v>46266</v>
      </c>
      <c r="B6763" s="216" t="n">
        <v>57.3</v>
      </c>
      <c r="C6763" s="216" t="n">
        <v>121.32</v>
      </c>
      <c r="D6763" s="216" t="n">
        <v>1.165223956108093</v>
      </c>
      <c r="E6763" s="215" t="n">
        <v>46266</v>
      </c>
      <c r="F6763" s="215" t="n">
        <v>46266</v>
      </c>
    </row>
    <row r="6764">
      <c r="A6764" s="215" t="n">
        <v>46267</v>
      </c>
      <c r="B6764" s="216" t="n">
        <v>63.9</v>
      </c>
      <c r="C6764" s="216" t="n">
        <v>126.1</v>
      </c>
      <c r="D6764" s="216" t="n">
        <v>1.166425943374634</v>
      </c>
      <c r="E6764" s="215" t="n">
        <v>46267</v>
      </c>
      <c r="F6764" s="215" t="n">
        <v>46267</v>
      </c>
    </row>
    <row r="6765">
      <c r="A6765" s="215" t="n">
        <v>46268</v>
      </c>
      <c r="B6765" s="216" t="n">
        <v>64.15000000000001</v>
      </c>
      <c r="C6765" s="216" t="n">
        <v>127.08</v>
      </c>
      <c r="D6765" s="216" t="n">
        <v>1.167057037353516</v>
      </c>
      <c r="E6765" s="215" t="n">
        <v>46268</v>
      </c>
      <c r="F6765" s="215" t="n">
        <v>46268</v>
      </c>
    </row>
    <row r="6766">
      <c r="A6766" s="215" t="n">
        <v>46269</v>
      </c>
      <c r="B6766" s="216" t="n">
        <v>60.6</v>
      </c>
      <c r="C6766" s="216" t="n">
        <v>119.89</v>
      </c>
      <c r="D6766" s="216" t="n">
        <v>1.166767954826355</v>
      </c>
      <c r="E6766" s="215" t="n">
        <v>46269</v>
      </c>
      <c r="F6766" s="215" t="n">
        <v>46269</v>
      </c>
    </row>
    <row r="6767">
      <c r="A6767" s="215" t="n">
        <v>46272</v>
      </c>
      <c r="B6767" s="216" t="n">
        <v>58</v>
      </c>
      <c r="C6767" s="216" t="n">
        <v>119.3</v>
      </c>
      <c r="D6767" s="216" t="n">
        <v>1.168081045150757</v>
      </c>
      <c r="E6767" s="215" t="n">
        <v>46272</v>
      </c>
      <c r="F6767" s="215" t="n">
        <v>46272</v>
      </c>
    </row>
    <row r="6768">
      <c r="A6768" s="215" t="n">
        <v>46273</v>
      </c>
      <c r="B6768" s="216" t="n">
        <v>61.75</v>
      </c>
      <c r="C6768" s="216" t="n">
        <v>128.56</v>
      </c>
      <c r="D6768" s="216" t="n">
        <v>1.168115019798279</v>
      </c>
      <c r="E6768" s="215" t="n">
        <v>46273</v>
      </c>
      <c r="F6768" s="215" t="n">
        <v>46273</v>
      </c>
    </row>
    <row r="6769">
      <c r="A6769" s="215" t="n">
        <v>46274</v>
      </c>
      <c r="B6769" s="216" t="n">
        <v>60.95</v>
      </c>
      <c r="C6769" s="216" t="n">
        <v>126.01</v>
      </c>
      <c r="D6769" s="216" t="n">
        <v>1.168408989906311</v>
      </c>
      <c r="E6769" s="215" t="n">
        <v>46274</v>
      </c>
      <c r="F6769" s="215" t="n">
        <v>46274</v>
      </c>
    </row>
    <row r="6770">
      <c r="A6770" s="215" t="n">
        <v>46275</v>
      </c>
      <c r="B6770" s="216" t="n">
        <v>58.1</v>
      </c>
      <c r="C6770" s="216" t="n">
        <v>122.5</v>
      </c>
      <c r="D6770" s="216" t="n">
        <v>1.168462991714478</v>
      </c>
      <c r="E6770" s="215" t="n">
        <v>46275</v>
      </c>
      <c r="F6770" s="215" t="n">
        <v>46275</v>
      </c>
    </row>
    <row r="6771">
      <c r="A6771" s="215" t="n">
        <v>46276</v>
      </c>
      <c r="B6771" s="216" t="n">
        <v>56.1</v>
      </c>
      <c r="C6771" s="216" t="n">
        <v>120.4</v>
      </c>
      <c r="D6771" s="216" t="n">
        <v>1.169165015220642</v>
      </c>
      <c r="E6771" s="215" t="n">
        <v>46276</v>
      </c>
      <c r="F6771" s="215" t="n">
        <v>46276</v>
      </c>
    </row>
    <row r="6772">
      <c r="A6772" s="215" t="n">
        <v>46279</v>
      </c>
      <c r="B6772" s="216" t="n">
        <v>59.45</v>
      </c>
      <c r="C6772" s="216" t="n">
        <v>123.3</v>
      </c>
      <c r="D6772" s="216" t="n">
        <v>1.16893994808197</v>
      </c>
      <c r="E6772" s="215" t="n">
        <v>46279</v>
      </c>
      <c r="F6772" s="215" t="n">
        <v>46279</v>
      </c>
    </row>
    <row r="6773">
      <c r="A6773" s="215" t="n">
        <v>46280</v>
      </c>
      <c r="B6773" s="216" t="n">
        <v>57</v>
      </c>
      <c r="C6773" s="216" t="n">
        <v>120.51</v>
      </c>
      <c r="D6773" s="216" t="n">
        <v>1.169121026992798</v>
      </c>
      <c r="E6773" s="215" t="n">
        <v>46280</v>
      </c>
      <c r="F6773" s="215" t="n">
        <v>46280</v>
      </c>
    </row>
    <row r="6774">
      <c r="A6774" s="215" t="n">
        <v>46281</v>
      </c>
      <c r="B6774" s="216" t="n">
        <v>58.6</v>
      </c>
      <c r="C6774" s="216" t="n">
        <v>126.5</v>
      </c>
      <c r="D6774" s="216" t="n">
        <v>1.168769955635071</v>
      </c>
      <c r="E6774" s="215" t="n">
        <v>46281</v>
      </c>
      <c r="F6774" s="215" t="n">
        <v>46281</v>
      </c>
    </row>
    <row r="6775">
      <c r="A6775" s="215" t="n">
        <v>46282</v>
      </c>
      <c r="B6775" s="216" t="n">
        <v>61.1</v>
      </c>
      <c r="C6775" s="216" t="n">
        <v>126.58</v>
      </c>
      <c r="D6775" s="216" t="n">
        <v>1.169389963150024</v>
      </c>
      <c r="E6775" s="215" t="n">
        <v>46282</v>
      </c>
      <c r="F6775" s="215" t="n">
        <v>46282</v>
      </c>
    </row>
    <row r="6776">
      <c r="A6776" s="215" t="n">
        <v>46283</v>
      </c>
      <c r="B6776" s="216" t="n">
        <v>61.25</v>
      </c>
      <c r="C6776" s="216" t="n">
        <v>134.27</v>
      </c>
      <c r="D6776" s="216" t="n">
        <v>1.16942298412323</v>
      </c>
      <c r="E6776" s="215" t="n">
        <v>46283</v>
      </c>
      <c r="F6776" s="215" t="n">
        <v>46283</v>
      </c>
    </row>
    <row r="6777">
      <c r="A6777" s="215" t="n">
        <v>46286</v>
      </c>
      <c r="B6777" s="216" t="n">
        <v>68.55</v>
      </c>
      <c r="C6777" s="216" t="n">
        <v>138</v>
      </c>
      <c r="D6777" s="216" t="n">
        <v>1.171280026435852</v>
      </c>
      <c r="E6777" s="215" t="n">
        <v>46286</v>
      </c>
      <c r="F6777" s="215" t="n">
        <v>46286</v>
      </c>
    </row>
    <row r="6778">
      <c r="A6778" s="215" t="n">
        <v>46287</v>
      </c>
      <c r="B6778" s="216" t="n">
        <v>67</v>
      </c>
      <c r="C6778" s="216" t="n">
        <v>134.13</v>
      </c>
      <c r="D6778" s="216" t="n">
        <v>1.171705007553101</v>
      </c>
      <c r="E6778" s="215" t="n">
        <v>46287</v>
      </c>
      <c r="F6778" s="215" t="n">
        <v>46287</v>
      </c>
    </row>
    <row r="6779">
      <c r="A6779" s="215" t="n">
        <v>46288</v>
      </c>
      <c r="B6779" s="216" t="n">
        <v>70.3</v>
      </c>
      <c r="C6779" s="216" t="n">
        <v>135.5</v>
      </c>
      <c r="D6779" s="216" t="n">
        <v>1.170611023902893</v>
      </c>
      <c r="E6779" s="215" t="n">
        <v>46288</v>
      </c>
      <c r="F6779" s="215" t="n">
        <v>46288</v>
      </c>
    </row>
    <row r="6780">
      <c r="A6780" s="215" t="n">
        <v>46289</v>
      </c>
      <c r="B6780" s="216" t="n">
        <v>67.65000000000001</v>
      </c>
      <c r="C6780" s="216" t="n">
        <v>126.54</v>
      </c>
      <c r="D6780" s="216" t="n">
        <v>1.16852605342865</v>
      </c>
      <c r="E6780" s="215" t="n">
        <v>46289</v>
      </c>
      <c r="F6780" s="215" t="n">
        <v>46289</v>
      </c>
    </row>
    <row r="6781">
      <c r="A6781" s="215" t="n">
        <v>46290</v>
      </c>
      <c r="B6781" s="216" t="n">
        <v>68.3</v>
      </c>
      <c r="C6781" s="216" t="n">
        <v>126.54</v>
      </c>
      <c r="D6781" s="216" t="n">
        <v>1.168424010276794</v>
      </c>
      <c r="E6781" s="215" t="n">
        <v>46289</v>
      </c>
      <c r="F6781" s="215" t="n">
        <v>46290</v>
      </c>
    </row>
    <row r="6782">
      <c r="A6782" s="215" t="n">
        <v>46293</v>
      </c>
      <c r="B6782" s="216" t="n">
        <v>67.34999999999999</v>
      </c>
      <c r="C6782" s="216" t="n">
        <v>127.21</v>
      </c>
      <c r="D6782" s="216" t="n">
        <v>1.168378949165344</v>
      </c>
      <c r="E6782" s="215" t="n">
        <v>46293</v>
      </c>
      <c r="F6782" s="215" t="n">
        <v>46293</v>
      </c>
    </row>
    <row r="6783">
      <c r="A6783" s="215" t="n">
        <v>46294</v>
      </c>
      <c r="B6783" s="216" t="n">
        <v>64.7</v>
      </c>
      <c r="C6783" s="216" t="n">
        <v>121.7</v>
      </c>
      <c r="D6783" s="216" t="n">
        <v>1.168815970420837</v>
      </c>
      <c r="E6783" s="215" t="n">
        <v>46294</v>
      </c>
      <c r="F6783" s="215" t="n">
        <v>46294</v>
      </c>
    </row>
    <row r="6784">
      <c r="A6784" s="215" t="n">
        <v>46295</v>
      </c>
      <c r="B6784" s="216" t="n">
        <v>70</v>
      </c>
      <c r="C6784" s="216" t="n">
        <v>126.77</v>
      </c>
      <c r="D6784" s="216" t="n">
        <v>1.17059600353241</v>
      </c>
      <c r="E6784" s="215" t="n">
        <v>46295</v>
      </c>
      <c r="F6784" s="215" t="n">
        <v>46295</v>
      </c>
    </row>
    <row r="6785">
      <c r="A6785" s="215" t="n">
        <v>46297</v>
      </c>
      <c r="B6785" s="216" t="n">
        <v>67.45</v>
      </c>
      <c r="C6785" s="216" t="n">
        <v>126.77</v>
      </c>
      <c r="D6785" s="216" t="n">
        <v>1.170220971107483</v>
      </c>
      <c r="E6785" s="215" t="n">
        <v>46295</v>
      </c>
      <c r="F6785" s="215" t="n">
        <v>46297</v>
      </c>
    </row>
    <row r="6786">
      <c r="A6786" s="215" t="n">
        <v>46148</v>
      </c>
      <c r="B6786" s="216" t="n">
        <v>38.9</v>
      </c>
      <c r="C6786" s="216" t="n">
        <v>49.75</v>
      </c>
      <c r="D6786" s="216" t="n">
        <v>1.14708399772644</v>
      </c>
      <c r="E6786" s="215" t="n">
        <v>46148</v>
      </c>
      <c r="F6786" s="215" t="n">
        <v>46148</v>
      </c>
    </row>
    <row r="6787">
      <c r="A6787" s="215" t="n">
        <v>46149</v>
      </c>
      <c r="B6787" s="216" t="n">
        <v>37.88</v>
      </c>
      <c r="C6787" s="216" t="n">
        <v>50.81</v>
      </c>
      <c r="D6787" s="216" t="n">
        <v>1.150125026702881</v>
      </c>
      <c r="E6787" s="215" t="n">
        <v>46149</v>
      </c>
      <c r="F6787" s="215" t="n">
        <v>46149</v>
      </c>
    </row>
    <row r="6788">
      <c r="A6788" s="215" t="n">
        <v>46150</v>
      </c>
      <c r="B6788" s="216" t="n">
        <v>36.38</v>
      </c>
      <c r="C6788" s="216" t="n">
        <v>50.15</v>
      </c>
      <c r="D6788" s="216" t="n">
        <v>1.15172004699707</v>
      </c>
      <c r="E6788" s="215" t="n">
        <v>46150</v>
      </c>
      <c r="F6788" s="215" t="n">
        <v>46150</v>
      </c>
    </row>
    <row r="6789">
      <c r="A6789" s="215" t="n">
        <v>46153</v>
      </c>
      <c r="B6789" s="216" t="n">
        <v>38</v>
      </c>
      <c r="C6789" s="216" t="n">
        <v>52.16</v>
      </c>
      <c r="D6789" s="216" t="n">
        <v>1.151090025901794</v>
      </c>
      <c r="E6789" s="215" t="n">
        <v>46153</v>
      </c>
      <c r="F6789" s="215" t="n">
        <v>46153</v>
      </c>
    </row>
    <row r="6790">
      <c r="A6790" s="215" t="n">
        <v>46154</v>
      </c>
      <c r="B6790" s="216" t="n">
        <v>37.4</v>
      </c>
      <c r="C6790" s="216" t="n">
        <v>51.3</v>
      </c>
      <c r="D6790" s="216" t="n">
        <v>1.152078986167908</v>
      </c>
      <c r="E6790" s="215" t="n">
        <v>46154</v>
      </c>
      <c r="F6790" s="215" t="n">
        <v>46154</v>
      </c>
    </row>
    <row r="6791">
      <c r="A6791" s="215" t="n">
        <v>46155</v>
      </c>
      <c r="B6791" s="216" t="n">
        <v>36.7</v>
      </c>
      <c r="C6791" s="216" t="n">
        <v>51.7</v>
      </c>
      <c r="D6791" s="216" t="n">
        <v>1.152537941932678</v>
      </c>
      <c r="E6791" s="215" t="n">
        <v>46155</v>
      </c>
      <c r="F6791" s="215" t="n">
        <v>46155</v>
      </c>
    </row>
    <row r="6792">
      <c r="A6792" s="215" t="n">
        <v>46156</v>
      </c>
      <c r="B6792" s="216" t="n">
        <v>34.1</v>
      </c>
      <c r="C6792" s="216" t="n">
        <v>50.45</v>
      </c>
      <c r="D6792" s="216" t="n">
        <v>1.152662992477417</v>
      </c>
      <c r="E6792" s="215" t="n">
        <v>46156</v>
      </c>
      <c r="F6792" s="215" t="n">
        <v>46156</v>
      </c>
    </row>
    <row r="6793">
      <c r="A6793" s="215" t="n">
        <v>46157</v>
      </c>
      <c r="B6793" s="216" t="n">
        <v>32.92</v>
      </c>
      <c r="C6793" s="216" t="n">
        <v>50.46</v>
      </c>
      <c r="D6793" s="216" t="n">
        <v>1.154320001602173</v>
      </c>
      <c r="E6793" s="215" t="n">
        <v>46157</v>
      </c>
      <c r="F6793" s="215" t="n">
        <v>46157</v>
      </c>
    </row>
    <row r="6794">
      <c r="A6794" s="215" t="n">
        <v>46160</v>
      </c>
      <c r="B6794" s="216" t="n">
        <v>31.9</v>
      </c>
      <c r="C6794" s="216" t="n">
        <v>47.96</v>
      </c>
      <c r="D6794" s="216" t="n">
        <v>1.149821996688843</v>
      </c>
      <c r="E6794" s="215" t="n">
        <v>46160</v>
      </c>
      <c r="F6794" s="215" t="n">
        <v>46160</v>
      </c>
    </row>
    <row r="6795">
      <c r="A6795" s="215" t="n">
        <v>46161</v>
      </c>
      <c r="B6795" s="216" t="n">
        <v>32.42</v>
      </c>
      <c r="C6795" s="216" t="n">
        <v>48.9</v>
      </c>
      <c r="D6795" s="216" t="n">
        <v>1.151532053947449</v>
      </c>
      <c r="E6795" s="215" t="n">
        <v>46161</v>
      </c>
      <c r="F6795" s="215" t="n">
        <v>46161</v>
      </c>
    </row>
    <row r="6796">
      <c r="A6796" s="215" t="n">
        <v>46162</v>
      </c>
      <c r="B6796" s="216" t="n">
        <v>32</v>
      </c>
      <c r="C6796" s="216" t="n">
        <v>48.27</v>
      </c>
      <c r="D6796" s="216" t="n">
        <v>1.149292945861816</v>
      </c>
      <c r="E6796" s="215" t="n">
        <v>46162</v>
      </c>
      <c r="F6796" s="215" t="n">
        <v>46162</v>
      </c>
    </row>
    <row r="6797">
      <c r="A6797" s="215" t="n">
        <v>46163</v>
      </c>
      <c r="B6797" s="216" t="n">
        <v>31.52</v>
      </c>
      <c r="C6797" s="216" t="n">
        <v>47.45</v>
      </c>
      <c r="D6797" s="216" t="n">
        <v>1.151231050491333</v>
      </c>
      <c r="E6797" s="215" t="n">
        <v>46163</v>
      </c>
      <c r="F6797" s="215" t="n">
        <v>46163</v>
      </c>
    </row>
    <row r="6798">
      <c r="A6798" s="215" t="n">
        <v>46164</v>
      </c>
      <c r="B6798" s="216" t="n">
        <v>31.72</v>
      </c>
      <c r="C6798" s="216" t="n">
        <v>47.3</v>
      </c>
      <c r="D6798" s="216" t="n">
        <v>1.151487946510315</v>
      </c>
      <c r="E6798" s="215" t="n">
        <v>46164</v>
      </c>
      <c r="F6798" s="215" t="n">
        <v>46164</v>
      </c>
    </row>
    <row r="6799">
      <c r="A6799" s="215" t="n">
        <v>46168</v>
      </c>
      <c r="B6799" s="216" t="n">
        <v>30.58</v>
      </c>
      <c r="C6799" s="216" t="n">
        <v>47.7</v>
      </c>
      <c r="D6799" s="216" t="n">
        <v>1.152968049049377</v>
      </c>
      <c r="E6799" s="215" t="n">
        <v>46168</v>
      </c>
      <c r="F6799" s="215" t="n">
        <v>46168</v>
      </c>
    </row>
    <row r="6800">
      <c r="A6800" s="215" t="n">
        <v>46169</v>
      </c>
      <c r="B6800" s="216" t="n">
        <v>30.04</v>
      </c>
      <c r="C6800" s="216" t="n">
        <v>48.48</v>
      </c>
      <c r="D6800" s="216" t="n">
        <v>1.154562950134277</v>
      </c>
      <c r="E6800" s="215" t="n">
        <v>46169</v>
      </c>
      <c r="F6800" s="215" t="n">
        <v>46169</v>
      </c>
    </row>
    <row r="6801">
      <c r="A6801" s="215" t="n">
        <v>46170</v>
      </c>
      <c r="B6801" s="216" t="n">
        <v>28.8</v>
      </c>
      <c r="C6801" s="216" t="n">
        <v>46.92</v>
      </c>
      <c r="D6801" s="216" t="n">
        <v>1.155385971069336</v>
      </c>
      <c r="E6801" s="215" t="n">
        <v>46170</v>
      </c>
      <c r="F6801" s="215" t="n">
        <v>46170</v>
      </c>
    </row>
    <row r="6802">
      <c r="A6802" s="215" t="n">
        <v>46171</v>
      </c>
      <c r="B6802" s="216" t="n">
        <v>28.7</v>
      </c>
      <c r="C6802" s="216" t="n">
        <v>47.09</v>
      </c>
      <c r="D6802" s="216" t="n">
        <v>1.155282974243164</v>
      </c>
      <c r="E6802" s="215" t="n">
        <v>46171</v>
      </c>
      <c r="F6802" s="215" t="n">
        <v>46171</v>
      </c>
    </row>
    <row r="6803">
      <c r="A6803" s="215" t="n">
        <v>46174</v>
      </c>
      <c r="B6803" s="216" t="n">
        <v>29.9</v>
      </c>
      <c r="C6803" s="216" t="n">
        <v>47.01</v>
      </c>
      <c r="D6803" s="216" t="n">
        <v>1.158049941062927</v>
      </c>
      <c r="E6803" s="215" t="n">
        <v>46174</v>
      </c>
      <c r="F6803" s="215" t="n">
        <v>46174</v>
      </c>
    </row>
    <row r="6804">
      <c r="A6804" s="215" t="n">
        <v>46175</v>
      </c>
      <c r="B6804" s="216" t="n">
        <v>30.02</v>
      </c>
      <c r="C6804" s="216" t="n">
        <v>46.08</v>
      </c>
      <c r="D6804" s="216" t="n">
        <v>1.158406972885132</v>
      </c>
      <c r="E6804" s="215" t="n">
        <v>46175</v>
      </c>
      <c r="F6804" s="215" t="n">
        <v>46175</v>
      </c>
    </row>
    <row r="6805">
      <c r="A6805" s="215" t="n">
        <v>46176</v>
      </c>
      <c r="B6805" s="216" t="n">
        <v>29.6</v>
      </c>
      <c r="C6805" s="216" t="n">
        <v>45.66</v>
      </c>
      <c r="D6805" s="216" t="n">
        <v>1.15879499912262</v>
      </c>
      <c r="E6805" s="215" t="n">
        <v>46176</v>
      </c>
      <c r="F6805" s="215" t="n">
        <v>46176</v>
      </c>
    </row>
    <row r="6806">
      <c r="A6806" s="215" t="n">
        <v>46177</v>
      </c>
      <c r="B6806" s="216" t="n">
        <v>31.1</v>
      </c>
      <c r="C6806" s="216" t="n">
        <v>46.37</v>
      </c>
      <c r="D6806" s="216" t="n">
        <v>1.157420039176941</v>
      </c>
      <c r="E6806" s="215" t="n">
        <v>46177</v>
      </c>
      <c r="F6806" s="215" t="n">
        <v>46177</v>
      </c>
    </row>
    <row r="6807">
      <c r="A6807" s="215" t="n">
        <v>46178</v>
      </c>
      <c r="B6807" s="216" t="n">
        <v>33</v>
      </c>
      <c r="C6807" s="216" t="n">
        <v>46.77</v>
      </c>
      <c r="D6807" s="216" t="n">
        <v>1.156491994857788</v>
      </c>
      <c r="E6807" s="215" t="n">
        <v>46178</v>
      </c>
      <c r="F6807" s="215" t="n">
        <v>46178</v>
      </c>
    </row>
    <row r="6808">
      <c r="A6808" s="215" t="n">
        <v>46181</v>
      </c>
      <c r="B6808" s="216" t="n">
        <v>31.7</v>
      </c>
      <c r="C6808" s="216" t="n">
        <v>45.22</v>
      </c>
      <c r="D6808" s="216" t="n">
        <v>1.157665967941284</v>
      </c>
      <c r="E6808" s="215" t="n">
        <v>46181</v>
      </c>
      <c r="F6808" s="215" t="n">
        <v>46181</v>
      </c>
    </row>
    <row r="6809">
      <c r="A6809" s="215" t="n">
        <v>46182</v>
      </c>
      <c r="B6809" s="216" t="n">
        <v>31.08</v>
      </c>
      <c r="C6809" s="216" t="n">
        <v>45.17</v>
      </c>
      <c r="D6809" s="216" t="n">
        <v>1.158027052879333</v>
      </c>
      <c r="E6809" s="215" t="n">
        <v>46182</v>
      </c>
      <c r="F6809" s="215" t="n">
        <v>46182</v>
      </c>
    </row>
    <row r="6810">
      <c r="A6810" s="215" t="n">
        <v>46183</v>
      </c>
      <c r="B6810" s="216" t="n">
        <v>31.58</v>
      </c>
      <c r="C6810" s="216" t="n">
        <v>44.85</v>
      </c>
      <c r="D6810" s="216" t="n">
        <v>1.157112002372742</v>
      </c>
      <c r="E6810" s="215" t="n">
        <v>46183</v>
      </c>
      <c r="F6810" s="215" t="n">
        <v>46183</v>
      </c>
    </row>
    <row r="6811">
      <c r="A6811" s="215" t="n">
        <v>46184</v>
      </c>
      <c r="B6811" s="216" t="n">
        <v>30.06</v>
      </c>
      <c r="C6811" s="216" t="n">
        <v>43.67</v>
      </c>
      <c r="D6811" s="216" t="n">
        <v>1.156929016113281</v>
      </c>
      <c r="E6811" s="215" t="n">
        <v>46184</v>
      </c>
      <c r="F6811" s="215" t="n">
        <v>46184</v>
      </c>
    </row>
    <row r="6812">
      <c r="A6812" s="215" t="n">
        <v>46185</v>
      </c>
      <c r="B6812" s="216" t="n">
        <v>30.04</v>
      </c>
      <c r="C6812" s="216" t="n">
        <v>45</v>
      </c>
      <c r="D6812" s="216" t="n">
        <v>1.156345963478088</v>
      </c>
      <c r="E6812" s="215" t="n">
        <v>46185</v>
      </c>
      <c r="F6812" s="215" t="n">
        <v>46185</v>
      </c>
    </row>
    <row r="6813">
      <c r="A6813" s="215" t="n">
        <v>46188</v>
      </c>
      <c r="B6813" s="216" t="n">
        <v>30.18</v>
      </c>
      <c r="C6813" s="216" t="n">
        <v>45.09</v>
      </c>
      <c r="D6813" s="216" t="n">
        <v>1.156880021095276</v>
      </c>
      <c r="E6813" s="215" t="n">
        <v>46188</v>
      </c>
      <c r="F6813" s="215" t="n">
        <v>46188</v>
      </c>
    </row>
    <row r="6814">
      <c r="A6814" s="215" t="n">
        <v>46189</v>
      </c>
      <c r="B6814" s="216" t="n">
        <v>29.16</v>
      </c>
      <c r="C6814" s="216" t="n">
        <v>44.99</v>
      </c>
      <c r="D6814" s="216" t="n">
        <v>1.158604025840759</v>
      </c>
      <c r="E6814" s="215" t="n">
        <v>46189</v>
      </c>
      <c r="F6814" s="215" t="n">
        <v>46189</v>
      </c>
    </row>
    <row r="6815">
      <c r="A6815" s="215" t="n">
        <v>46190</v>
      </c>
      <c r="B6815" s="216" t="n">
        <v>28.8</v>
      </c>
      <c r="C6815" s="216" t="n">
        <v>44.64</v>
      </c>
      <c r="D6815" s="216" t="n">
        <v>1.158974051475525</v>
      </c>
      <c r="E6815" s="215" t="n">
        <v>46190</v>
      </c>
      <c r="F6815" s="215" t="n">
        <v>46190</v>
      </c>
    </row>
    <row r="6816">
      <c r="A6816" s="215" t="n">
        <v>46191</v>
      </c>
      <c r="B6816" s="216" t="n">
        <v>27.42</v>
      </c>
      <c r="C6816" s="216" t="n">
        <v>44.9</v>
      </c>
      <c r="D6816" s="216" t="n">
        <v>1.159355998039246</v>
      </c>
      <c r="E6816" s="215" t="n">
        <v>46191</v>
      </c>
      <c r="F6816" s="215" t="n">
        <v>46191</v>
      </c>
    </row>
    <row r="6817">
      <c r="A6817" s="215" t="n">
        <v>46195</v>
      </c>
      <c r="B6817" s="216" t="n">
        <v>27.02</v>
      </c>
      <c r="C6817" s="216" t="n">
        <v>44.8</v>
      </c>
      <c r="D6817" s="216" t="n">
        <v>1.157493948936462</v>
      </c>
      <c r="E6817" s="215" t="n">
        <v>46195</v>
      </c>
      <c r="F6817" s="215" t="n">
        <v>46195</v>
      </c>
    </row>
    <row r="6818">
      <c r="A6818" s="215" t="n">
        <v>46196</v>
      </c>
      <c r="B6818" s="216" t="n">
        <v>26.74</v>
      </c>
      <c r="C6818" s="216" t="n">
        <v>45.4</v>
      </c>
      <c r="D6818" s="216" t="n">
        <v>1.156896948814392</v>
      </c>
      <c r="E6818" s="215" t="n">
        <v>46196</v>
      </c>
      <c r="F6818" s="215" t="n">
        <v>46196</v>
      </c>
    </row>
    <row r="6819">
      <c r="A6819" s="215" t="n">
        <v>46197</v>
      </c>
      <c r="B6819" s="216" t="n">
        <v>26.32</v>
      </c>
      <c r="C6819" s="216" t="n">
        <v>43.9</v>
      </c>
      <c r="D6819" s="216" t="n">
        <v>1.154508948326111</v>
      </c>
      <c r="E6819" s="215" t="n">
        <v>46197</v>
      </c>
      <c r="F6819" s="215" t="n">
        <v>46197</v>
      </c>
    </row>
    <row r="6820">
      <c r="A6820" s="215" t="n">
        <v>46198</v>
      </c>
      <c r="B6820" s="216" t="n">
        <v>27.52</v>
      </c>
      <c r="C6820" s="216" t="n">
        <v>44.43</v>
      </c>
      <c r="D6820" s="216" t="n">
        <v>1.154152035713196</v>
      </c>
      <c r="E6820" s="215" t="n">
        <v>46198</v>
      </c>
      <c r="F6820" s="215" t="n">
        <v>46198</v>
      </c>
    </row>
    <row r="6821">
      <c r="A6821" s="215" t="n">
        <v>46199</v>
      </c>
      <c r="B6821" s="216" t="n">
        <v>26.6</v>
      </c>
      <c r="C6821" s="216" t="n">
        <v>43.46</v>
      </c>
      <c r="D6821" s="216" t="n">
        <v>1.154500961303711</v>
      </c>
      <c r="E6821" s="215" t="n">
        <v>46199</v>
      </c>
      <c r="F6821" s="215" t="n">
        <v>46199</v>
      </c>
    </row>
    <row r="6822">
      <c r="A6822" s="215" t="n">
        <v>46202</v>
      </c>
      <c r="B6822" s="216" t="n">
        <v>28.64</v>
      </c>
      <c r="C6822" s="216" t="n">
        <v>47.62</v>
      </c>
      <c r="D6822" s="216" t="n">
        <v>1.153512001037598</v>
      </c>
      <c r="E6822" s="215" t="n">
        <v>46202</v>
      </c>
      <c r="F6822" s="215" t="n">
        <v>46202</v>
      </c>
    </row>
    <row r="6823">
      <c r="A6823" s="215" t="n">
        <v>46203</v>
      </c>
      <c r="B6823" s="216" t="n">
        <v>29.5</v>
      </c>
      <c r="C6823" s="216" t="n">
        <v>47.65</v>
      </c>
      <c r="D6823" s="216" t="n">
        <v>1.153959035873413</v>
      </c>
      <c r="E6823" s="215" t="n">
        <v>46203</v>
      </c>
      <c r="F6823" s="215" t="n">
        <v>46203</v>
      </c>
    </row>
    <row r="6824">
      <c r="A6824" s="215" t="n">
        <v>46205</v>
      </c>
      <c r="B6824" s="216" t="n">
        <v>31.78</v>
      </c>
      <c r="C6824" s="216" t="n">
        <v>49.92</v>
      </c>
      <c r="D6824" s="216" t="n">
        <v>1.154355049133301</v>
      </c>
      <c r="E6824" s="215" t="n">
        <v>46205</v>
      </c>
      <c r="F6824" s="215" t="n">
        <v>46205</v>
      </c>
    </row>
    <row r="6825">
      <c r="A6825" s="215" t="n">
        <v>46206</v>
      </c>
      <c r="B6825" s="216" t="n">
        <v>31.42</v>
      </c>
      <c r="C6825" s="216" t="n">
        <v>51.23</v>
      </c>
      <c r="D6825" s="216" t="n">
        <v>1.155220985412598</v>
      </c>
      <c r="E6825" s="215" t="n">
        <v>46206</v>
      </c>
      <c r="F6825" s="215" t="n">
        <v>46206</v>
      </c>
    </row>
    <row r="6826">
      <c r="A6826" s="215" t="n">
        <v>46209</v>
      </c>
      <c r="B6826" s="216" t="n">
        <v>32.72</v>
      </c>
      <c r="C6826" s="216" t="n">
        <v>51.56</v>
      </c>
      <c r="D6826" s="216" t="n">
        <v>1.155068039894104</v>
      </c>
      <c r="E6826" s="215" t="n">
        <v>46209</v>
      </c>
      <c r="F6826" s="215" t="n">
        <v>46209</v>
      </c>
    </row>
    <row r="6827">
      <c r="A6827" s="215" t="n">
        <v>46210</v>
      </c>
      <c r="B6827" s="216" t="n">
        <v>31.24</v>
      </c>
      <c r="C6827" s="216" t="n">
        <v>49.96</v>
      </c>
      <c r="D6827" s="216" t="n">
        <v>1.153807997703552</v>
      </c>
      <c r="E6827" s="215" t="n">
        <v>46210</v>
      </c>
      <c r="F6827" s="215" t="n">
        <v>46210</v>
      </c>
    </row>
    <row r="6828">
      <c r="A6828" s="215" t="n">
        <v>46211</v>
      </c>
      <c r="B6828" s="216" t="n">
        <v>30.5</v>
      </c>
      <c r="C6828" s="216" t="n">
        <v>49.34</v>
      </c>
      <c r="D6828" s="216" t="n">
        <v>1.154153943061829</v>
      </c>
      <c r="E6828" s="215" t="n">
        <v>46211</v>
      </c>
      <c r="F6828" s="215" t="n">
        <v>46211</v>
      </c>
    </row>
    <row r="6829">
      <c r="A6829" s="215" t="n">
        <v>46212</v>
      </c>
      <c r="B6829" s="216" t="n">
        <v>29.86</v>
      </c>
      <c r="C6829" s="216" t="n">
        <v>48.38</v>
      </c>
      <c r="D6829" s="216" t="n">
        <v>1.152119994163513</v>
      </c>
      <c r="E6829" s="215" t="n">
        <v>46212</v>
      </c>
      <c r="F6829" s="215" t="n">
        <v>46212</v>
      </c>
    </row>
    <row r="6830">
      <c r="A6830" s="215" t="n">
        <v>46213</v>
      </c>
      <c r="B6830" s="216" t="n">
        <v>29.58</v>
      </c>
      <c r="C6830" s="216" t="n">
        <v>48.67</v>
      </c>
      <c r="D6830" s="216" t="n">
        <v>1.153550028800964</v>
      </c>
      <c r="E6830" s="215" t="n">
        <v>46213</v>
      </c>
      <c r="F6830" s="215" t="n">
        <v>46213</v>
      </c>
    </row>
    <row r="6831">
      <c r="A6831" s="215" t="n">
        <v>46216</v>
      </c>
      <c r="B6831" s="216" t="n">
        <v>28.94</v>
      </c>
      <c r="C6831" s="216" t="n">
        <v>47.08</v>
      </c>
      <c r="D6831" s="216" t="n">
        <v>1.156761050224304</v>
      </c>
      <c r="E6831" s="215" t="n">
        <v>46216</v>
      </c>
      <c r="F6831" s="215" t="n">
        <v>46216</v>
      </c>
    </row>
    <row r="6832">
      <c r="A6832" s="215" t="n">
        <v>46217</v>
      </c>
      <c r="B6832" s="216" t="n">
        <v>31.68</v>
      </c>
      <c r="C6832" s="216" t="n">
        <v>49.69</v>
      </c>
      <c r="D6832" s="216" t="n">
        <v>1.155825972557068</v>
      </c>
      <c r="E6832" s="215" t="n">
        <v>46217</v>
      </c>
      <c r="F6832" s="215" t="n">
        <v>46217</v>
      </c>
    </row>
    <row r="6833">
      <c r="A6833" s="215" t="n">
        <v>46218</v>
      </c>
      <c r="B6833" s="216" t="n">
        <v>32.4</v>
      </c>
      <c r="C6833" s="216" t="n">
        <v>50</v>
      </c>
      <c r="D6833" s="216" t="n">
        <v>1.157556056976318</v>
      </c>
      <c r="E6833" s="215" t="n">
        <v>46218</v>
      </c>
      <c r="F6833" s="215" t="n">
        <v>46218</v>
      </c>
    </row>
    <row r="6834">
      <c r="A6834" s="215" t="n">
        <v>46219</v>
      </c>
      <c r="B6834" s="216" t="n">
        <v>32.7</v>
      </c>
      <c r="C6834" s="216" t="n">
        <v>50.14</v>
      </c>
      <c r="D6834" s="216" t="n">
        <v>1.157912969589233</v>
      </c>
      <c r="E6834" s="215" t="n">
        <v>46219</v>
      </c>
      <c r="F6834" s="215" t="n">
        <v>46219</v>
      </c>
    </row>
    <row r="6835">
      <c r="A6835" s="215" t="n">
        <v>46220</v>
      </c>
      <c r="B6835" s="216" t="n">
        <v>32.46</v>
      </c>
      <c r="C6835" s="216" t="n">
        <v>48.16</v>
      </c>
      <c r="D6835" s="216" t="n">
        <v>1.157472014427185</v>
      </c>
      <c r="E6835" s="215" t="n">
        <v>46220</v>
      </c>
      <c r="F6835" s="215" t="n">
        <v>46220</v>
      </c>
    </row>
    <row r="6836">
      <c r="A6836" s="215" t="n">
        <v>46223</v>
      </c>
      <c r="B6836" s="216" t="n">
        <v>34.4</v>
      </c>
      <c r="C6836" s="216" t="n">
        <v>50.7</v>
      </c>
      <c r="D6836" s="216" t="n">
        <v>1.157451033592224</v>
      </c>
      <c r="E6836" s="215" t="n">
        <v>46223</v>
      </c>
      <c r="F6836" s="215" t="n">
        <v>46223</v>
      </c>
    </row>
    <row r="6837">
      <c r="A6837" s="215" t="n">
        <v>46224</v>
      </c>
      <c r="B6837" s="216" t="n">
        <v>35.8</v>
      </c>
      <c r="C6837" s="216" t="n">
        <v>52.48</v>
      </c>
      <c r="D6837" s="216" t="n">
        <v>1.157506942749023</v>
      </c>
      <c r="E6837" s="215" t="n">
        <v>46224</v>
      </c>
      <c r="F6837" s="215" t="n">
        <v>46224</v>
      </c>
    </row>
    <row r="6838">
      <c r="A6838" s="215" t="n">
        <v>46225</v>
      </c>
      <c r="B6838" s="216" t="n">
        <v>36.78</v>
      </c>
      <c r="C6838" s="216" t="n">
        <v>52.89</v>
      </c>
      <c r="D6838" s="216" t="n">
        <v>1.158938050270081</v>
      </c>
      <c r="E6838" s="215" t="n">
        <v>46225</v>
      </c>
      <c r="F6838" s="215" t="n">
        <v>46225</v>
      </c>
    </row>
    <row r="6839">
      <c r="A6839" s="215" t="n">
        <v>46226</v>
      </c>
      <c r="B6839" s="216" t="n">
        <v>37.98</v>
      </c>
      <c r="C6839" s="216" t="n">
        <v>53</v>
      </c>
      <c r="D6839" s="216" t="n">
        <v>1.157410979270935</v>
      </c>
      <c r="E6839" s="215" t="n">
        <v>46226</v>
      </c>
      <c r="F6839" s="215" t="n">
        <v>46226</v>
      </c>
    </row>
    <row r="6840">
      <c r="A6840" s="215" t="n">
        <v>46227</v>
      </c>
      <c r="B6840" s="216" t="n">
        <v>39</v>
      </c>
      <c r="C6840" s="216" t="n">
        <v>53.73</v>
      </c>
      <c r="D6840" s="216" t="n">
        <v>1.15762197971344</v>
      </c>
      <c r="E6840" s="215" t="n">
        <v>46227</v>
      </c>
      <c r="F6840" s="215" t="n">
        <v>46227</v>
      </c>
    </row>
    <row r="6841">
      <c r="A6841" s="215" t="n">
        <v>46230</v>
      </c>
      <c r="B6841" s="216" t="n">
        <v>37</v>
      </c>
      <c r="C6841" s="216" t="n">
        <v>54.05</v>
      </c>
      <c r="D6841" s="216" t="n">
        <v>1.15789794921875</v>
      </c>
      <c r="E6841" s="215" t="n">
        <v>46230</v>
      </c>
      <c r="F6841" s="215" t="n">
        <v>46230</v>
      </c>
    </row>
    <row r="6842">
      <c r="A6842" s="215" t="n">
        <v>46231</v>
      </c>
      <c r="B6842" s="216" t="n">
        <v>37.06</v>
      </c>
      <c r="C6842" s="216" t="n">
        <v>52.75</v>
      </c>
      <c r="D6842" s="216" t="n">
        <v>1.158699035644531</v>
      </c>
      <c r="E6842" s="215" t="n">
        <v>46231</v>
      </c>
      <c r="F6842" s="215" t="n">
        <v>46231</v>
      </c>
    </row>
    <row r="6843">
      <c r="A6843" s="215" t="n">
        <v>46232</v>
      </c>
      <c r="B6843" s="216" t="n">
        <v>36.5</v>
      </c>
      <c r="C6843" s="216" t="n">
        <v>53.31</v>
      </c>
      <c r="D6843" s="216" t="n">
        <v>1.157909989356995</v>
      </c>
      <c r="E6843" s="215" t="n">
        <v>46232</v>
      </c>
      <c r="F6843" s="215" t="n">
        <v>46232</v>
      </c>
    </row>
    <row r="6844">
      <c r="A6844" s="215" t="n">
        <v>46233</v>
      </c>
      <c r="B6844" s="216" t="n">
        <v>34.96</v>
      </c>
      <c r="C6844" s="216" t="n">
        <v>52.28</v>
      </c>
      <c r="D6844" s="216" t="n">
        <v>1.158943057060242</v>
      </c>
      <c r="E6844" s="215" t="n">
        <v>46233</v>
      </c>
      <c r="F6844" s="215" t="n">
        <v>46233</v>
      </c>
    </row>
    <row r="6845">
      <c r="A6845" s="215" t="n">
        <v>46234</v>
      </c>
      <c r="B6845" s="216" t="n">
        <v>34.16</v>
      </c>
      <c r="C6845" s="216" t="n">
        <v>53.5</v>
      </c>
      <c r="D6845" s="216" t="n">
        <v>1.160945057868958</v>
      </c>
      <c r="E6845" s="215" t="n">
        <v>46234</v>
      </c>
      <c r="F6845" s="215" t="n">
        <v>46234</v>
      </c>
    </row>
    <row r="6846">
      <c r="A6846" s="215" t="n">
        <v>46237</v>
      </c>
      <c r="B6846" s="216" t="n">
        <v>34</v>
      </c>
      <c r="C6846" s="216" t="n">
        <v>53.58</v>
      </c>
      <c r="D6846" s="216" t="n">
        <v>1.161579966545105</v>
      </c>
      <c r="E6846" s="215" t="n">
        <v>46237</v>
      </c>
      <c r="F6846" s="215" t="n">
        <v>46237</v>
      </c>
    </row>
    <row r="6847">
      <c r="A6847" s="215" t="n">
        <v>46238</v>
      </c>
      <c r="B6847" s="216" t="n">
        <v>33.3</v>
      </c>
      <c r="C6847" s="216" t="n">
        <v>54.35</v>
      </c>
      <c r="D6847" s="216" t="n">
        <v>1.161064982414246</v>
      </c>
      <c r="E6847" s="215" t="n">
        <v>46238</v>
      </c>
      <c r="F6847" s="215" t="n">
        <v>46238</v>
      </c>
    </row>
    <row r="6848">
      <c r="A6848" s="215" t="n">
        <v>46239</v>
      </c>
      <c r="B6848" s="216" t="n">
        <v>32.74</v>
      </c>
      <c r="C6848" s="216" t="n">
        <v>53.06</v>
      </c>
      <c r="D6848" s="216" t="n">
        <v>1.161146998405457</v>
      </c>
      <c r="E6848" s="215" t="n">
        <v>46239</v>
      </c>
      <c r="F6848" s="215" t="n">
        <v>46239</v>
      </c>
    </row>
    <row r="6849">
      <c r="A6849" s="215" t="n">
        <v>46240</v>
      </c>
      <c r="B6849" s="216" t="n">
        <v>32.36</v>
      </c>
      <c r="C6849" s="216" t="n">
        <v>51.76</v>
      </c>
      <c r="D6849" s="216" t="n">
        <v>1.161936044692993</v>
      </c>
      <c r="E6849" s="215" t="n">
        <v>46240</v>
      </c>
      <c r="F6849" s="215" t="n">
        <v>46240</v>
      </c>
    </row>
    <row r="6850">
      <c r="A6850" s="215" t="n">
        <v>46241</v>
      </c>
      <c r="B6850" s="216" t="n">
        <v>32.54</v>
      </c>
      <c r="C6850" s="216" t="n">
        <v>51.55</v>
      </c>
      <c r="D6850" s="216" t="n">
        <v>1.162284016609192</v>
      </c>
      <c r="E6850" s="215" t="n">
        <v>46241</v>
      </c>
      <c r="F6850" s="215" t="n">
        <v>46241</v>
      </c>
    </row>
    <row r="6851">
      <c r="A6851" s="215" t="n">
        <v>46244</v>
      </c>
      <c r="B6851" s="216" t="n">
        <v>31.62</v>
      </c>
      <c r="C6851" s="216" t="n">
        <v>50.83</v>
      </c>
      <c r="D6851" s="216" t="n">
        <v>1.162629961967468</v>
      </c>
      <c r="E6851" s="215" t="n">
        <v>46244</v>
      </c>
      <c r="F6851" s="215" t="n">
        <v>46244</v>
      </c>
    </row>
    <row r="6852">
      <c r="A6852" s="215" t="n">
        <v>46245</v>
      </c>
      <c r="B6852" s="216" t="n">
        <v>31</v>
      </c>
      <c r="C6852" s="216" t="n">
        <v>50.09</v>
      </c>
      <c r="D6852" s="216" t="n">
        <v>1.162588000297546</v>
      </c>
      <c r="E6852" s="215" t="n">
        <v>46245</v>
      </c>
      <c r="F6852" s="215" t="n">
        <v>46245</v>
      </c>
    </row>
    <row r="6853">
      <c r="A6853" s="215" t="n">
        <v>46246</v>
      </c>
      <c r="B6853" s="216" t="n">
        <v>31.88</v>
      </c>
      <c r="C6853" s="216" t="n">
        <v>49.95</v>
      </c>
      <c r="D6853" s="216" t="n">
        <v>1.163135051727295</v>
      </c>
      <c r="E6853" s="215" t="n">
        <v>46246</v>
      </c>
      <c r="F6853" s="215" t="n">
        <v>46246</v>
      </c>
    </row>
    <row r="6854">
      <c r="A6854" s="215" t="n">
        <v>46247</v>
      </c>
      <c r="B6854" s="216" t="n">
        <v>31.78</v>
      </c>
      <c r="C6854" s="216" t="n">
        <v>50</v>
      </c>
      <c r="D6854" s="216" t="n">
        <v>1.163341045379639</v>
      </c>
      <c r="E6854" s="215" t="n">
        <v>46247</v>
      </c>
      <c r="F6854" s="215" t="n">
        <v>46247</v>
      </c>
    </row>
    <row r="6855">
      <c r="A6855" s="215" t="n">
        <v>46248</v>
      </c>
      <c r="B6855" s="216" t="n">
        <v>31.36</v>
      </c>
      <c r="C6855" s="216" t="n">
        <v>50.15</v>
      </c>
      <c r="D6855" s="216" t="n">
        <v>1.163571000099182</v>
      </c>
      <c r="E6855" s="215" t="n">
        <v>46248</v>
      </c>
      <c r="F6855" s="215" t="n">
        <v>46248</v>
      </c>
    </row>
    <row r="6856">
      <c r="A6856" s="215" t="n">
        <v>46251</v>
      </c>
      <c r="B6856" s="216" t="n">
        <v>31.68</v>
      </c>
      <c r="C6856" s="216" t="n">
        <v>50.99</v>
      </c>
      <c r="D6856" s="216" t="n">
        <v>1.163601994514465</v>
      </c>
      <c r="E6856" s="215" t="n">
        <v>46251</v>
      </c>
      <c r="F6856" s="215" t="n">
        <v>46251</v>
      </c>
    </row>
    <row r="6857">
      <c r="A6857" s="215" t="n">
        <v>46252</v>
      </c>
      <c r="B6857" s="216" t="n">
        <v>31.7</v>
      </c>
      <c r="C6857" s="216" t="n">
        <v>49.74</v>
      </c>
      <c r="D6857" s="216" t="n">
        <v>1.163733005523682</v>
      </c>
      <c r="E6857" s="215" t="n">
        <v>46252</v>
      </c>
      <c r="F6857" s="215" t="n">
        <v>46252</v>
      </c>
    </row>
    <row r="6858">
      <c r="A6858" s="215" t="n">
        <v>46253</v>
      </c>
      <c r="B6858" s="216" t="n">
        <v>31.64</v>
      </c>
      <c r="C6858" s="216" t="n">
        <v>48.57</v>
      </c>
      <c r="D6858" s="216" t="n">
        <v>1.163092017173767</v>
      </c>
      <c r="E6858" s="215" t="n">
        <v>46253</v>
      </c>
      <c r="F6858" s="215" t="n">
        <v>46253</v>
      </c>
    </row>
    <row r="6859">
      <c r="A6859" s="215" t="n">
        <v>46254</v>
      </c>
      <c r="B6859" s="216" t="n">
        <v>31.82</v>
      </c>
      <c r="C6859" s="216" t="n">
        <v>50.09</v>
      </c>
      <c r="D6859" s="216" t="n">
        <v>1.164932012557983</v>
      </c>
      <c r="E6859" s="215" t="n">
        <v>46254</v>
      </c>
      <c r="F6859" s="215" t="n">
        <v>46254</v>
      </c>
    </row>
    <row r="6860">
      <c r="A6860" s="215" t="n">
        <v>46255</v>
      </c>
      <c r="B6860" s="216" t="n">
        <v>31.76</v>
      </c>
      <c r="C6860" s="216" t="n">
        <v>48.03</v>
      </c>
      <c r="D6860" s="216" t="n">
        <v>1.166555047035217</v>
      </c>
      <c r="E6860" s="215" t="n">
        <v>46255</v>
      </c>
      <c r="F6860" s="215" t="n">
        <v>46255</v>
      </c>
    </row>
    <row r="6861">
      <c r="A6861" s="215" t="n">
        <v>46258</v>
      </c>
      <c r="B6861" s="216" t="n">
        <v>31.66</v>
      </c>
      <c r="C6861" s="216" t="n">
        <v>47.42</v>
      </c>
      <c r="D6861" s="216" t="n">
        <v>1.166316986083984</v>
      </c>
      <c r="E6861" s="215" t="n">
        <v>46258</v>
      </c>
      <c r="F6861" s="215" t="n">
        <v>46258</v>
      </c>
    </row>
    <row r="6862">
      <c r="A6862" s="215" t="n">
        <v>46259</v>
      </c>
      <c r="B6862" s="216" t="n">
        <v>32.02</v>
      </c>
      <c r="C6862" s="216" t="n">
        <v>48.06</v>
      </c>
      <c r="D6862" s="216" t="n">
        <v>1.165253043174744</v>
      </c>
      <c r="E6862" s="215" t="n">
        <v>46259</v>
      </c>
      <c r="F6862" s="215" t="n">
        <v>46259</v>
      </c>
    </row>
    <row r="6863">
      <c r="A6863" s="215" t="n">
        <v>46260</v>
      </c>
      <c r="B6863" s="216" t="n">
        <v>32.36</v>
      </c>
      <c r="C6863" s="216" t="n">
        <v>49.82</v>
      </c>
      <c r="D6863" s="216" t="n">
        <v>1.166218996047974</v>
      </c>
      <c r="E6863" s="215" t="n">
        <v>46260</v>
      </c>
      <c r="F6863" s="215" t="n">
        <v>46260</v>
      </c>
    </row>
    <row r="6864">
      <c r="A6864" s="215" t="n">
        <v>46261</v>
      </c>
      <c r="B6864" s="216" t="n">
        <v>34.02</v>
      </c>
      <c r="C6864" s="216" t="n">
        <v>50.83</v>
      </c>
      <c r="D6864" s="216" t="n">
        <v>1.165971040725708</v>
      </c>
      <c r="E6864" s="215" t="n">
        <v>46261</v>
      </c>
      <c r="F6864" s="215" t="n">
        <v>46261</v>
      </c>
    </row>
    <row r="6865">
      <c r="A6865" s="215" t="n">
        <v>46262</v>
      </c>
      <c r="B6865" s="216" t="n">
        <v>33.98</v>
      </c>
      <c r="C6865" s="216" t="n">
        <v>50.9</v>
      </c>
      <c r="D6865" s="216" t="n">
        <v>1.165799975395203</v>
      </c>
      <c r="E6865" s="215" t="n">
        <v>46262</v>
      </c>
      <c r="F6865" s="215" t="n">
        <v>46262</v>
      </c>
    </row>
    <row r="6866">
      <c r="A6866" s="215" t="n">
        <v>46265</v>
      </c>
      <c r="B6866" s="216" t="n">
        <v>32.84</v>
      </c>
      <c r="C6866" s="216" t="n">
        <v>50.2</v>
      </c>
      <c r="D6866" s="216" t="n">
        <v>1.165387988090515</v>
      </c>
      <c r="E6866" s="215" t="n">
        <v>46265</v>
      </c>
      <c r="F6866" s="215" t="n">
        <v>46265</v>
      </c>
    </row>
    <row r="6867">
      <c r="A6867" s="215" t="n">
        <v>46266</v>
      </c>
      <c r="B6867" s="216" t="n">
        <v>32.78</v>
      </c>
      <c r="C6867" s="216" t="n">
        <v>49.62</v>
      </c>
      <c r="D6867" s="216" t="n">
        <v>1.165223956108093</v>
      </c>
      <c r="E6867" s="215" t="n">
        <v>46266</v>
      </c>
      <c r="F6867" s="215" t="n">
        <v>46266</v>
      </c>
    </row>
    <row r="6868">
      <c r="A6868" s="215" t="n">
        <v>46267</v>
      </c>
      <c r="B6868" s="216" t="n">
        <v>31.84</v>
      </c>
      <c r="C6868" s="216" t="n">
        <v>47.05</v>
      </c>
      <c r="D6868" s="216" t="n">
        <v>1.166425943374634</v>
      </c>
      <c r="E6868" s="215" t="n">
        <v>46267</v>
      </c>
      <c r="F6868" s="215" t="n">
        <v>46267</v>
      </c>
    </row>
    <row r="6869">
      <c r="A6869" s="215" t="n">
        <v>46268</v>
      </c>
      <c r="B6869" s="216" t="n">
        <v>31.5</v>
      </c>
      <c r="C6869" s="216" t="n">
        <v>48.23</v>
      </c>
      <c r="D6869" s="216" t="n">
        <v>1.167057037353516</v>
      </c>
      <c r="E6869" s="215" t="n">
        <v>46268</v>
      </c>
      <c r="F6869" s="215" t="n">
        <v>46268</v>
      </c>
    </row>
    <row r="6870">
      <c r="A6870" s="215" t="n">
        <v>46269</v>
      </c>
      <c r="B6870" s="216" t="n">
        <v>32.12</v>
      </c>
      <c r="C6870" s="216" t="n">
        <v>51.87</v>
      </c>
      <c r="D6870" s="216" t="n">
        <v>1.166767954826355</v>
      </c>
      <c r="E6870" s="215" t="n">
        <v>46269</v>
      </c>
      <c r="F6870" s="215" t="n">
        <v>46269</v>
      </c>
    </row>
    <row r="6871">
      <c r="A6871" s="215" t="n">
        <v>46272</v>
      </c>
      <c r="B6871" s="216" t="n">
        <v>31.56</v>
      </c>
      <c r="C6871" s="216" t="n">
        <v>52.35</v>
      </c>
      <c r="D6871" s="216" t="n">
        <v>1.168081045150757</v>
      </c>
      <c r="E6871" s="215" t="n">
        <v>46272</v>
      </c>
      <c r="F6871" s="215" t="n">
        <v>46272</v>
      </c>
    </row>
    <row r="6872">
      <c r="A6872" s="215" t="n">
        <v>46273</v>
      </c>
      <c r="B6872" s="216" t="n">
        <v>31.84</v>
      </c>
      <c r="C6872" s="216" t="n">
        <v>51.73</v>
      </c>
      <c r="D6872" s="216" t="n">
        <v>1.168115019798279</v>
      </c>
      <c r="E6872" s="215" t="n">
        <v>46273</v>
      </c>
      <c r="F6872" s="215" t="n">
        <v>46273</v>
      </c>
    </row>
    <row r="6873">
      <c r="A6873" s="215" t="n">
        <v>46274</v>
      </c>
      <c r="B6873" s="216" t="n">
        <v>31.56</v>
      </c>
      <c r="C6873" s="216" t="n">
        <v>51.87</v>
      </c>
      <c r="D6873" s="216" t="n">
        <v>1.168408989906311</v>
      </c>
      <c r="E6873" s="215" t="n">
        <v>46274</v>
      </c>
      <c r="F6873" s="215" t="n">
        <v>46274</v>
      </c>
    </row>
    <row r="6874">
      <c r="A6874" s="215" t="n">
        <v>46275</v>
      </c>
      <c r="B6874" s="216" t="n">
        <v>31.7</v>
      </c>
      <c r="C6874" s="216" t="n">
        <v>51.7</v>
      </c>
      <c r="D6874" s="216" t="n">
        <v>1.168462991714478</v>
      </c>
      <c r="E6874" s="215" t="n">
        <v>46275</v>
      </c>
      <c r="F6874" s="215" t="n">
        <v>46275</v>
      </c>
    </row>
    <row r="6875">
      <c r="A6875" s="215" t="n">
        <v>46276</v>
      </c>
      <c r="B6875" s="216" t="n">
        <v>31.86</v>
      </c>
      <c r="C6875" s="216" t="n">
        <v>52.77</v>
      </c>
      <c r="D6875" s="216" t="n">
        <v>1.169165015220642</v>
      </c>
      <c r="E6875" s="215" t="n">
        <v>46276</v>
      </c>
      <c r="F6875" s="215" t="n">
        <v>46276</v>
      </c>
    </row>
    <row r="6876">
      <c r="A6876" s="215" t="n">
        <v>46279</v>
      </c>
      <c r="B6876" s="216" t="n">
        <v>32</v>
      </c>
      <c r="C6876" s="216" t="n">
        <v>53.31</v>
      </c>
      <c r="D6876" s="216" t="n">
        <v>1.16893994808197</v>
      </c>
      <c r="E6876" s="215" t="n">
        <v>46279</v>
      </c>
      <c r="F6876" s="215" t="n">
        <v>46279</v>
      </c>
    </row>
    <row r="6877">
      <c r="A6877" s="215" t="n">
        <v>46280</v>
      </c>
      <c r="B6877" s="216" t="n">
        <v>32.08</v>
      </c>
      <c r="C6877" s="216" t="n">
        <v>52.15</v>
      </c>
      <c r="D6877" s="216" t="n">
        <v>1.169121026992798</v>
      </c>
      <c r="E6877" s="215" t="n">
        <v>46280</v>
      </c>
      <c r="F6877" s="215" t="n">
        <v>46280</v>
      </c>
    </row>
    <row r="6878">
      <c r="A6878" s="215" t="n">
        <v>46281</v>
      </c>
      <c r="B6878" s="216" t="n">
        <v>32.38</v>
      </c>
      <c r="C6878" s="216" t="n">
        <v>51.74</v>
      </c>
      <c r="D6878" s="216" t="n">
        <v>1.168769955635071</v>
      </c>
      <c r="E6878" s="215" t="n">
        <v>46281</v>
      </c>
      <c r="F6878" s="215" t="n">
        <v>46281</v>
      </c>
    </row>
    <row r="6879">
      <c r="A6879" s="215" t="n">
        <v>46282</v>
      </c>
      <c r="B6879" s="216" t="n">
        <v>32.72</v>
      </c>
      <c r="C6879" s="216" t="n">
        <v>53.28</v>
      </c>
      <c r="D6879" s="216" t="n">
        <v>1.169389963150024</v>
      </c>
      <c r="E6879" s="215" t="n">
        <v>46282</v>
      </c>
      <c r="F6879" s="215" t="n">
        <v>46282</v>
      </c>
    </row>
    <row r="6880">
      <c r="A6880" s="215" t="n">
        <v>46283</v>
      </c>
      <c r="B6880" s="216" t="n">
        <v>30.54</v>
      </c>
      <c r="C6880" s="216" t="n">
        <v>52.8</v>
      </c>
      <c r="D6880" s="216" t="n">
        <v>1.16942298412323</v>
      </c>
      <c r="E6880" s="215" t="n">
        <v>46283</v>
      </c>
      <c r="F6880" s="215" t="n">
        <v>46283</v>
      </c>
    </row>
    <row r="6881">
      <c r="A6881" s="215" t="n">
        <v>46286</v>
      </c>
      <c r="B6881" s="216" t="n">
        <v>31.8</v>
      </c>
      <c r="C6881" s="216" t="n">
        <v>55.14</v>
      </c>
      <c r="D6881" s="216" t="n">
        <v>1.171280026435852</v>
      </c>
      <c r="E6881" s="215" t="n">
        <v>46286</v>
      </c>
      <c r="F6881" s="215" t="n">
        <v>46286</v>
      </c>
    </row>
    <row r="6882">
      <c r="A6882" s="215" t="n">
        <v>46287</v>
      </c>
      <c r="B6882" s="216" t="n">
        <v>31.2</v>
      </c>
      <c r="C6882" s="216" t="n">
        <v>55.38</v>
      </c>
      <c r="D6882" s="216" t="n">
        <v>1.171705007553101</v>
      </c>
      <c r="E6882" s="215" t="n">
        <v>46287</v>
      </c>
      <c r="F6882" s="215" t="n">
        <v>46287</v>
      </c>
    </row>
    <row r="6883">
      <c r="A6883" s="215" t="n">
        <v>46288</v>
      </c>
      <c r="B6883" s="216" t="n">
        <v>30.72</v>
      </c>
      <c r="C6883" s="216" t="n">
        <v>54.94</v>
      </c>
      <c r="D6883" s="216" t="n">
        <v>1.170611023902893</v>
      </c>
      <c r="E6883" s="215" t="n">
        <v>46288</v>
      </c>
      <c r="F6883" s="215" t="n">
        <v>46288</v>
      </c>
    </row>
    <row r="6884">
      <c r="A6884" s="215" t="n">
        <v>46289</v>
      </c>
      <c r="B6884" s="216" t="n">
        <v>29.9</v>
      </c>
      <c r="C6884" s="216" t="n">
        <v>54.21</v>
      </c>
      <c r="D6884" s="216" t="n">
        <v>1.16852605342865</v>
      </c>
      <c r="E6884" s="215" t="n">
        <v>46289</v>
      </c>
      <c r="F6884" s="215" t="n">
        <v>46289</v>
      </c>
    </row>
    <row r="6885">
      <c r="A6885" s="215" t="n">
        <v>46290</v>
      </c>
      <c r="B6885" s="216" t="n">
        <v>29.56</v>
      </c>
      <c r="C6885" s="216" t="n">
        <v>54.21</v>
      </c>
      <c r="D6885" s="216" t="n">
        <v>1.168424010276794</v>
      </c>
      <c r="E6885" s="215" t="n">
        <v>46289</v>
      </c>
      <c r="F6885" s="215" t="n">
        <v>46290</v>
      </c>
    </row>
    <row r="6886">
      <c r="A6886" s="215" t="n">
        <v>46293</v>
      </c>
      <c r="B6886" s="216" t="n">
        <v>28.7</v>
      </c>
      <c r="C6886" s="216" t="n">
        <v>53.23</v>
      </c>
      <c r="D6886" s="216" t="n">
        <v>1.168378949165344</v>
      </c>
      <c r="E6886" s="215" t="n">
        <v>46293</v>
      </c>
      <c r="F6886" s="215" t="n">
        <v>46293</v>
      </c>
    </row>
    <row r="6887">
      <c r="A6887" s="215" t="n">
        <v>46294</v>
      </c>
      <c r="B6887" s="216" t="n">
        <v>29.22</v>
      </c>
      <c r="C6887" s="216" t="n">
        <v>52.69</v>
      </c>
      <c r="D6887" s="216" t="n">
        <v>1.168815970420837</v>
      </c>
      <c r="E6887" s="215" t="n">
        <v>46294</v>
      </c>
      <c r="F6887" s="215" t="n">
        <v>46294</v>
      </c>
    </row>
    <row r="6888">
      <c r="A6888" s="215" t="n">
        <v>46295</v>
      </c>
      <c r="B6888" s="216" t="n">
        <v>28.7</v>
      </c>
      <c r="C6888" s="216" t="n">
        <v>52.1</v>
      </c>
      <c r="D6888" s="216" t="n">
        <v>1.17059600353241</v>
      </c>
      <c r="E6888" s="215" t="n">
        <v>46295</v>
      </c>
      <c r="F6888" s="215" t="n">
        <v>46295</v>
      </c>
    </row>
    <row r="6889">
      <c r="A6889" s="215" t="n">
        <v>46297</v>
      </c>
      <c r="B6889" s="216" t="n">
        <v>28.12</v>
      </c>
      <c r="C6889" s="216" t="n">
        <v>52.1</v>
      </c>
      <c r="D6889" s="216" t="n">
        <v>1.170220971107483</v>
      </c>
      <c r="E6889" s="215" t="n">
        <v>46295</v>
      </c>
      <c r="F6889" s="215" t="n">
        <v>46297</v>
      </c>
    </row>
    <row r="6890">
      <c r="A6890" s="215" t="n">
        <v>45800</v>
      </c>
      <c r="B6890" s="216" t="n">
        <v>55.15</v>
      </c>
      <c r="C6890" s="216" t="n">
        <v>54.5</v>
      </c>
      <c r="D6890" s="216" t="n">
        <v>1.086493015289307</v>
      </c>
      <c r="E6890" s="215" t="n">
        <v>45800</v>
      </c>
      <c r="F6890" s="215" t="n">
        <v>45800</v>
      </c>
    </row>
    <row r="6891">
      <c r="A6891" s="215" t="n">
        <v>45803</v>
      </c>
      <c r="B6891" s="216" t="n">
        <v>53.7</v>
      </c>
      <c r="C6891" s="216" t="n">
        <v>53.35</v>
      </c>
      <c r="D6891" s="216" t="n">
        <v>1.08673095703125</v>
      </c>
      <c r="E6891" s="215" t="n">
        <v>45803</v>
      </c>
      <c r="F6891" s="215" t="n">
        <v>45803</v>
      </c>
    </row>
    <row r="6892">
      <c r="A6892" s="215" t="n">
        <v>45804</v>
      </c>
      <c r="B6892" s="216" t="n">
        <v>54.9</v>
      </c>
      <c r="C6892" s="216" t="n">
        <v>53.42</v>
      </c>
      <c r="D6892" s="216" t="n">
        <v>1.087713956832886</v>
      </c>
      <c r="E6892" s="215" t="n">
        <v>45804</v>
      </c>
      <c r="F6892" s="215" t="n">
        <v>45804</v>
      </c>
    </row>
    <row r="6893">
      <c r="A6893" s="215" t="n">
        <v>45805</v>
      </c>
      <c r="B6893" s="216" t="n">
        <v>57.5</v>
      </c>
      <c r="C6893" s="216" t="n">
        <v>54.25</v>
      </c>
      <c r="D6893" s="216" t="n">
        <v>1.087921977043152</v>
      </c>
      <c r="E6893" s="215" t="n">
        <v>45805</v>
      </c>
      <c r="F6893" s="215" t="n">
        <v>45805</v>
      </c>
    </row>
    <row r="6894">
      <c r="A6894" s="215" t="n">
        <v>45806</v>
      </c>
      <c r="B6894" s="216" t="n">
        <v>57.5</v>
      </c>
      <c r="C6894" s="216" t="n">
        <v>54.1</v>
      </c>
      <c r="D6894" s="216" t="n">
        <v>1.087334990501404</v>
      </c>
      <c r="E6894" s="215" t="n">
        <v>45806</v>
      </c>
      <c r="F6894" s="215" t="n">
        <v>45806</v>
      </c>
    </row>
    <row r="6895">
      <c r="A6895" s="215" t="n">
        <v>45807</v>
      </c>
      <c r="B6895" s="216" t="n">
        <v>58</v>
      </c>
      <c r="C6895" s="216" t="n">
        <v>54.74</v>
      </c>
      <c r="D6895" s="216" t="n">
        <v>1.088281989097595</v>
      </c>
      <c r="E6895" s="215" t="n">
        <v>45807</v>
      </c>
      <c r="F6895" s="215" t="n">
        <v>45807</v>
      </c>
    </row>
    <row r="6896">
      <c r="A6896" s="215" t="n">
        <v>45810</v>
      </c>
      <c r="B6896" s="216" t="n">
        <v>57.7</v>
      </c>
      <c r="C6896" s="216" t="n">
        <v>54.74</v>
      </c>
      <c r="D6896" s="216" t="n">
        <v>1.088839054107666</v>
      </c>
      <c r="E6896" s="215" t="n">
        <v>45807</v>
      </c>
      <c r="F6896" s="215" t="n">
        <v>45810</v>
      </c>
    </row>
    <row r="6897">
      <c r="A6897" s="215" t="n">
        <v>45811</v>
      </c>
      <c r="B6897" s="216" t="n">
        <v>56.5</v>
      </c>
      <c r="C6897" s="216" t="n">
        <v>54.88</v>
      </c>
      <c r="D6897" s="216" t="n">
        <v>1.098875999450684</v>
      </c>
      <c r="E6897" s="215" t="n">
        <v>45811</v>
      </c>
      <c r="F6897" s="215" t="n">
        <v>45811</v>
      </c>
    </row>
    <row r="6898">
      <c r="A6898" s="215" t="n">
        <v>45812</v>
      </c>
      <c r="B6898" s="216" t="n">
        <v>57.9</v>
      </c>
      <c r="C6898" s="216" t="n">
        <v>55.29</v>
      </c>
      <c r="D6898" s="216" t="n">
        <v>1.092406988143921</v>
      </c>
      <c r="E6898" s="215" t="n">
        <v>45812</v>
      </c>
      <c r="F6898" s="215" t="n">
        <v>45812</v>
      </c>
    </row>
    <row r="6899">
      <c r="A6899" s="215" t="n">
        <v>45813</v>
      </c>
      <c r="B6899" s="216" t="n">
        <v>56.95</v>
      </c>
      <c r="C6899" s="216" t="n">
        <v>53.88</v>
      </c>
      <c r="D6899" s="216" t="n">
        <v>1.095829010009766</v>
      </c>
      <c r="E6899" s="215" t="n">
        <v>45813</v>
      </c>
      <c r="F6899" s="215" t="n">
        <v>45813</v>
      </c>
    </row>
    <row r="6900">
      <c r="A6900" s="215" t="n">
        <v>45814</v>
      </c>
      <c r="B6900" s="216" t="n">
        <v>57.55</v>
      </c>
      <c r="C6900" s="216" t="n">
        <v>53.8</v>
      </c>
      <c r="D6900" s="216" t="n">
        <v>1.093296051025391</v>
      </c>
      <c r="E6900" s="215" t="n">
        <v>45814</v>
      </c>
      <c r="F6900" s="215" t="n">
        <v>45814</v>
      </c>
    </row>
    <row r="6901">
      <c r="A6901" s="215" t="n">
        <v>45817</v>
      </c>
      <c r="B6901" s="216" t="n">
        <v>59.05</v>
      </c>
      <c r="C6901" s="216" t="n">
        <v>54.36</v>
      </c>
      <c r="D6901" s="216" t="n">
        <v>1.091297030448914</v>
      </c>
      <c r="E6901" s="215" t="n">
        <v>45817</v>
      </c>
      <c r="F6901" s="215" t="n">
        <v>45817</v>
      </c>
    </row>
    <row r="6902">
      <c r="A6902" s="215" t="n">
        <v>45818</v>
      </c>
      <c r="B6902" s="216" t="n">
        <v>59.45</v>
      </c>
      <c r="C6902" s="216" t="n">
        <v>55.13</v>
      </c>
      <c r="D6902" s="216" t="n">
        <v>1.092790007591248</v>
      </c>
      <c r="E6902" s="215" t="n">
        <v>45818</v>
      </c>
      <c r="F6902" s="215" t="n">
        <v>45818</v>
      </c>
    </row>
    <row r="6903">
      <c r="A6903" s="215" t="n">
        <v>45819</v>
      </c>
      <c r="B6903" s="216" t="n">
        <v>58.3</v>
      </c>
      <c r="C6903" s="216" t="n">
        <v>54.71</v>
      </c>
      <c r="D6903" s="216" t="n">
        <v>1.092836976051331</v>
      </c>
      <c r="E6903" s="215" t="n">
        <v>45819</v>
      </c>
      <c r="F6903" s="215" t="n">
        <v>45819</v>
      </c>
    </row>
    <row r="6904">
      <c r="A6904" s="215" t="n">
        <v>45820</v>
      </c>
      <c r="B6904" s="216" t="n">
        <v>59.3</v>
      </c>
      <c r="C6904" s="216" t="n">
        <v>55.82</v>
      </c>
      <c r="D6904" s="216" t="n">
        <v>1.090999960899353</v>
      </c>
      <c r="E6904" s="215" t="n">
        <v>45820</v>
      </c>
      <c r="F6904" s="215" t="n">
        <v>45820</v>
      </c>
    </row>
    <row r="6905">
      <c r="A6905" s="215" t="n">
        <v>45821</v>
      </c>
      <c r="B6905" s="216" t="n">
        <v>57.8</v>
      </c>
      <c r="C6905" s="216" t="n">
        <v>53.89</v>
      </c>
      <c r="D6905" s="216" t="n">
        <v>1.091084957122803</v>
      </c>
      <c r="E6905" s="215" t="n">
        <v>45821</v>
      </c>
      <c r="F6905" s="215" t="n">
        <v>45821</v>
      </c>
    </row>
    <row r="6906">
      <c r="A6906" s="215" t="n">
        <v>45824</v>
      </c>
      <c r="B6906" s="216" t="n">
        <v>59.5</v>
      </c>
      <c r="C6906" s="216" t="n">
        <v>53.76</v>
      </c>
      <c r="D6906" s="216" t="n">
        <v>1.092895984649658</v>
      </c>
      <c r="E6906" s="215" t="n">
        <v>45824</v>
      </c>
      <c r="F6906" s="215" t="n">
        <v>45824</v>
      </c>
    </row>
    <row r="6907">
      <c r="A6907" s="215" t="n">
        <v>45825</v>
      </c>
      <c r="B6907" s="216" t="n">
        <v>56.8</v>
      </c>
      <c r="C6907" s="216" t="n">
        <v>51.84</v>
      </c>
      <c r="D6907" s="216" t="n">
        <v>1.093256950378418</v>
      </c>
      <c r="E6907" s="215" t="n">
        <v>45825</v>
      </c>
      <c r="F6907" s="215" t="n">
        <v>45825</v>
      </c>
    </row>
    <row r="6908">
      <c r="A6908" s="215" t="n">
        <v>45826</v>
      </c>
      <c r="B6908" s="216" t="n">
        <v>57.45</v>
      </c>
      <c r="C6908" s="216" t="n">
        <v>51.81</v>
      </c>
      <c r="D6908" s="216" t="n">
        <v>1.092421054840088</v>
      </c>
      <c r="E6908" s="215" t="n">
        <v>45826</v>
      </c>
      <c r="F6908" s="215" t="n">
        <v>45826</v>
      </c>
    </row>
    <row r="6909">
      <c r="A6909" s="215" t="n">
        <v>45827</v>
      </c>
      <c r="B6909" s="216" t="n">
        <v>56.9</v>
      </c>
      <c r="C6909" s="216" t="n">
        <v>51.58</v>
      </c>
      <c r="D6909" s="216" t="n">
        <v>1.091722011566162</v>
      </c>
      <c r="E6909" s="215" t="n">
        <v>45827</v>
      </c>
      <c r="F6909" s="215" t="n">
        <v>45827</v>
      </c>
    </row>
    <row r="6910">
      <c r="A6910" s="215" t="n">
        <v>45828</v>
      </c>
      <c r="B6910" s="216" t="n">
        <v>56.3</v>
      </c>
      <c r="C6910" s="216" t="n">
        <v>51.76</v>
      </c>
      <c r="D6910" s="216" t="n">
        <v>1.091766953468323</v>
      </c>
      <c r="E6910" s="215" t="n">
        <v>45828</v>
      </c>
      <c r="F6910" s="215" t="n">
        <v>45828</v>
      </c>
    </row>
    <row r="6911">
      <c r="A6911" s="215" t="n">
        <v>45831</v>
      </c>
      <c r="B6911" s="216" t="n">
        <v>55.85</v>
      </c>
      <c r="C6911" s="216" t="n">
        <v>51.96</v>
      </c>
      <c r="D6911" s="216" t="n">
        <v>1.091856002807617</v>
      </c>
      <c r="E6911" s="215" t="n">
        <v>45831</v>
      </c>
      <c r="F6911" s="215" t="n">
        <v>45831</v>
      </c>
    </row>
    <row r="6912">
      <c r="A6912" s="215" t="n">
        <v>45832</v>
      </c>
      <c r="B6912" s="216" t="n">
        <v>57.7</v>
      </c>
      <c r="C6912" s="216" t="n">
        <v>52.15</v>
      </c>
      <c r="D6912" s="216" t="n">
        <v>1.093309044837952</v>
      </c>
      <c r="E6912" s="215" t="n">
        <v>45832</v>
      </c>
      <c r="F6912" s="215" t="n">
        <v>45832</v>
      </c>
    </row>
    <row r="6913">
      <c r="A6913" s="215" t="n">
        <v>45833</v>
      </c>
      <c r="B6913" s="216" t="n">
        <v>58.5</v>
      </c>
      <c r="C6913" s="216" t="n">
        <v>52.95</v>
      </c>
      <c r="D6913" s="216" t="n">
        <v>1.094483971595764</v>
      </c>
      <c r="E6913" s="215" t="n">
        <v>45833</v>
      </c>
      <c r="F6913" s="215" t="n">
        <v>45833</v>
      </c>
    </row>
    <row r="6914">
      <c r="A6914" s="215" t="n">
        <v>45834</v>
      </c>
      <c r="B6914" s="216" t="n">
        <v>55.6</v>
      </c>
      <c r="C6914" s="216" t="n">
        <v>52.08</v>
      </c>
      <c r="D6914" s="216" t="n">
        <v>1.093523025512695</v>
      </c>
      <c r="E6914" s="215" t="n">
        <v>45834</v>
      </c>
      <c r="F6914" s="215" t="n">
        <v>45834</v>
      </c>
    </row>
    <row r="6915">
      <c r="A6915" s="215" t="n">
        <v>45835</v>
      </c>
      <c r="B6915" s="216" t="n">
        <v>55.35</v>
      </c>
      <c r="C6915" s="216" t="n">
        <v>51.95</v>
      </c>
      <c r="D6915" s="216" t="n">
        <v>1.095173001289368</v>
      </c>
      <c r="E6915" s="215" t="n">
        <v>45835</v>
      </c>
      <c r="F6915" s="215" t="n">
        <v>45835</v>
      </c>
    </row>
    <row r="6916">
      <c r="A6916" s="215" t="n">
        <v>45838</v>
      </c>
      <c r="B6916" s="216" t="n">
        <v>53.8</v>
      </c>
      <c r="C6916" s="216" t="n">
        <v>51.9</v>
      </c>
      <c r="D6916" s="216" t="n">
        <v>1.094328045845032</v>
      </c>
      <c r="E6916" s="215" t="n">
        <v>45838</v>
      </c>
      <c r="F6916" s="215" t="n">
        <v>45838</v>
      </c>
    </row>
    <row r="6917">
      <c r="A6917" s="215" t="n">
        <v>45840</v>
      </c>
      <c r="B6917" s="216" t="n">
        <v>55.4</v>
      </c>
      <c r="C6917" s="216" t="n">
        <v>52.25</v>
      </c>
      <c r="D6917" s="216" t="n">
        <v>1.095211982727051</v>
      </c>
      <c r="E6917" s="215" t="n">
        <v>45840</v>
      </c>
      <c r="F6917" s="215" t="n">
        <v>45840</v>
      </c>
    </row>
    <row r="6918">
      <c r="A6918" s="215" t="n">
        <v>45841</v>
      </c>
      <c r="B6918" s="216" t="n">
        <v>57</v>
      </c>
      <c r="C6918" s="216" t="n">
        <v>52.47</v>
      </c>
      <c r="D6918" s="216" t="n">
        <v>1.095422029495239</v>
      </c>
      <c r="E6918" s="215" t="n">
        <v>45841</v>
      </c>
      <c r="F6918" s="215" t="n">
        <v>45841</v>
      </c>
    </row>
    <row r="6919">
      <c r="A6919" s="215" t="n">
        <v>45842</v>
      </c>
      <c r="B6919" s="216" t="n">
        <v>59.2</v>
      </c>
      <c r="C6919" s="216" t="n">
        <v>53.26</v>
      </c>
      <c r="D6919" s="216" t="n">
        <v>1.095221042633057</v>
      </c>
      <c r="E6919" s="215" t="n">
        <v>45842</v>
      </c>
      <c r="F6919" s="215" t="n">
        <v>45842</v>
      </c>
    </row>
    <row r="6920">
      <c r="A6920" s="215" t="n">
        <v>45845</v>
      </c>
      <c r="B6920" s="216" t="n">
        <v>59.4</v>
      </c>
      <c r="C6920" s="216" t="n">
        <v>52.65</v>
      </c>
      <c r="D6920" s="216" t="n">
        <v>1.095430970191956</v>
      </c>
      <c r="E6920" s="215" t="n">
        <v>45845</v>
      </c>
      <c r="F6920" s="215" t="n">
        <v>45845</v>
      </c>
    </row>
    <row r="6921">
      <c r="A6921" s="215" t="n">
        <v>45846</v>
      </c>
      <c r="B6921" s="216" t="n">
        <v>60.2</v>
      </c>
      <c r="C6921" s="216" t="n">
        <v>53.4</v>
      </c>
      <c r="D6921" s="216" t="n">
        <v>1.093924999237061</v>
      </c>
      <c r="E6921" s="215" t="n">
        <v>45846</v>
      </c>
      <c r="F6921" s="215" t="n">
        <v>45846</v>
      </c>
    </row>
    <row r="6922">
      <c r="A6922" s="215" t="n">
        <v>45847</v>
      </c>
      <c r="B6922" s="216" t="n">
        <v>69.59999999999999</v>
      </c>
      <c r="C6922" s="216" t="n">
        <v>57.19</v>
      </c>
      <c r="D6922" s="216" t="n">
        <v>1.094220995903015</v>
      </c>
      <c r="E6922" s="215" t="n">
        <v>45847</v>
      </c>
      <c r="F6922" s="215" t="n">
        <v>45847</v>
      </c>
    </row>
    <row r="6923">
      <c r="A6923" s="215" t="n">
        <v>45848</v>
      </c>
      <c r="B6923" s="216" t="n">
        <v>74.55</v>
      </c>
      <c r="C6923" s="216" t="n">
        <v>57.6</v>
      </c>
      <c r="D6923" s="216" t="n">
        <v>1.093220949172974</v>
      </c>
      <c r="E6923" s="215" t="n">
        <v>45848</v>
      </c>
      <c r="F6923" s="215" t="n">
        <v>45848</v>
      </c>
    </row>
    <row r="6924">
      <c r="A6924" s="215" t="n">
        <v>45849</v>
      </c>
      <c r="B6924" s="216" t="n">
        <v>72.2</v>
      </c>
      <c r="C6924" s="216" t="n">
        <v>56.9</v>
      </c>
      <c r="D6924" s="216" t="n">
        <v>1.093930959701538</v>
      </c>
      <c r="E6924" s="215" t="n">
        <v>45849</v>
      </c>
      <c r="F6924" s="215" t="n">
        <v>45849</v>
      </c>
    </row>
    <row r="6925">
      <c r="A6925" s="215" t="n">
        <v>45852</v>
      </c>
      <c r="B6925" s="216" t="n">
        <v>74.65000000000001</v>
      </c>
      <c r="C6925" s="216" t="n">
        <v>57.21</v>
      </c>
      <c r="D6925" s="216" t="n">
        <v>1.095023989677429</v>
      </c>
      <c r="E6925" s="215" t="n">
        <v>45852</v>
      </c>
      <c r="F6925" s="215" t="n">
        <v>45852</v>
      </c>
    </row>
    <row r="6926">
      <c r="A6926" s="215" t="n">
        <v>45853</v>
      </c>
      <c r="B6926" s="216" t="n">
        <v>71.95</v>
      </c>
      <c r="C6926" s="216" t="n">
        <v>57.22</v>
      </c>
      <c r="D6926" s="216" t="n">
        <v>1.095172047615051</v>
      </c>
      <c r="E6926" s="215" t="n">
        <v>45853</v>
      </c>
      <c r="F6926" s="215" t="n">
        <v>45853</v>
      </c>
    </row>
    <row r="6927">
      <c r="A6927" s="215" t="n">
        <v>45854</v>
      </c>
      <c r="B6927" s="216" t="n">
        <v>70.25</v>
      </c>
      <c r="C6927" s="216" t="n">
        <v>57.22</v>
      </c>
      <c r="D6927" s="216" t="n">
        <v>1.094182014465332</v>
      </c>
      <c r="E6927" s="215" t="n">
        <v>45854</v>
      </c>
      <c r="F6927" s="215" t="n">
        <v>45854</v>
      </c>
    </row>
    <row r="6928">
      <c r="A6928" s="215" t="n">
        <v>45855</v>
      </c>
      <c r="B6928" s="216" t="n">
        <v>71.7</v>
      </c>
      <c r="C6928" s="216" t="n">
        <v>57.73</v>
      </c>
      <c r="D6928" s="216" t="n">
        <v>1.093484044075012</v>
      </c>
      <c r="E6928" s="215" t="n">
        <v>45855</v>
      </c>
      <c r="F6928" s="215" t="n">
        <v>45855</v>
      </c>
    </row>
    <row r="6929">
      <c r="A6929" s="215" t="n">
        <v>45856</v>
      </c>
      <c r="B6929" s="216" t="n">
        <v>73</v>
      </c>
      <c r="C6929" s="216" t="n">
        <v>58.76</v>
      </c>
      <c r="D6929" s="216" t="n">
        <v>1.092442035675049</v>
      </c>
      <c r="E6929" s="215" t="n">
        <v>45856</v>
      </c>
      <c r="F6929" s="215" t="n">
        <v>45856</v>
      </c>
    </row>
    <row r="6930">
      <c r="A6930" s="215" t="n">
        <v>45859</v>
      </c>
      <c r="B6930" s="216" t="n">
        <v>72.40000000000001</v>
      </c>
      <c r="C6930" s="216" t="n">
        <v>58</v>
      </c>
      <c r="D6930" s="216" t="n">
        <v>1.093299984931946</v>
      </c>
      <c r="E6930" s="215" t="n">
        <v>45859</v>
      </c>
      <c r="F6930" s="215" t="n">
        <v>45859</v>
      </c>
    </row>
    <row r="6931">
      <c r="A6931" s="215" t="n">
        <v>45860</v>
      </c>
      <c r="B6931" s="216" t="n">
        <v>71.84999999999999</v>
      </c>
      <c r="C6931" s="216" t="n">
        <v>57.41</v>
      </c>
      <c r="D6931" s="216" t="n">
        <v>1.093826055526733</v>
      </c>
      <c r="E6931" s="215" t="n">
        <v>45860</v>
      </c>
      <c r="F6931" s="215" t="n">
        <v>45860</v>
      </c>
    </row>
    <row r="6932">
      <c r="A6932" s="215" t="n">
        <v>45861</v>
      </c>
      <c r="B6932" s="216" t="n">
        <v>72</v>
      </c>
      <c r="C6932" s="216" t="n">
        <v>57.13</v>
      </c>
      <c r="D6932" s="216" t="n">
        <v>1.094056010246277</v>
      </c>
      <c r="E6932" s="215" t="n">
        <v>45861</v>
      </c>
      <c r="F6932" s="215" t="n">
        <v>45861</v>
      </c>
    </row>
    <row r="6933">
      <c r="A6933" s="215" t="n">
        <v>45862</v>
      </c>
      <c r="B6933" s="216" t="n">
        <v>72.95</v>
      </c>
      <c r="C6933" s="216" t="n">
        <v>57.5</v>
      </c>
      <c r="D6933" s="216" t="n">
        <v>1.096284031867981</v>
      </c>
      <c r="E6933" s="215" t="n">
        <v>45862</v>
      </c>
      <c r="F6933" s="215" t="n">
        <v>45862</v>
      </c>
    </row>
    <row r="6934">
      <c r="A6934" s="215" t="n">
        <v>45863</v>
      </c>
      <c r="B6934" s="216" t="n">
        <v>68.05</v>
      </c>
      <c r="C6934" s="216" t="n">
        <v>56.4</v>
      </c>
      <c r="D6934" s="216" t="n">
        <v>1.097048044204712</v>
      </c>
      <c r="E6934" s="215" t="n">
        <v>45863</v>
      </c>
      <c r="F6934" s="215" t="n">
        <v>45863</v>
      </c>
    </row>
    <row r="6935">
      <c r="A6935" s="215" t="n">
        <v>45866</v>
      </c>
      <c r="B6935" s="216" t="n">
        <v>84.75</v>
      </c>
      <c r="C6935" s="216" t="n">
        <v>62.04</v>
      </c>
      <c r="D6935" s="216" t="n">
        <v>1.097200989723206</v>
      </c>
      <c r="E6935" s="215" t="n">
        <v>45866</v>
      </c>
      <c r="F6935" s="215" t="n">
        <v>45866</v>
      </c>
    </row>
    <row r="6936">
      <c r="A6936" s="215" t="n">
        <v>45867</v>
      </c>
      <c r="B6936" s="216" t="n">
        <v>81.8</v>
      </c>
      <c r="C6936" s="216" t="n">
        <v>63.8</v>
      </c>
      <c r="D6936" s="216" t="n">
        <v>1.093530058860779</v>
      </c>
      <c r="E6936" s="215" t="n">
        <v>45867</v>
      </c>
      <c r="F6936" s="215" t="n">
        <v>45867</v>
      </c>
    </row>
    <row r="6937">
      <c r="A6937" s="215" t="n">
        <v>45868</v>
      </c>
      <c r="B6937" s="216" t="n">
        <v>79.34999999999999</v>
      </c>
      <c r="C6937" s="216" t="n">
        <v>63.59</v>
      </c>
      <c r="D6937" s="216" t="n">
        <v>1.093464970588684</v>
      </c>
      <c r="E6937" s="215" t="n">
        <v>45868</v>
      </c>
      <c r="F6937" s="215" t="n">
        <v>45868</v>
      </c>
    </row>
    <row r="6938">
      <c r="A6938" s="215" t="n">
        <v>45869</v>
      </c>
      <c r="B6938" s="216" t="n">
        <v>78.84999999999999</v>
      </c>
      <c r="C6938" s="216" t="n">
        <v>62.9</v>
      </c>
      <c r="D6938" s="216" t="n">
        <v>1.093583941459656</v>
      </c>
      <c r="E6938" s="215" t="n">
        <v>45869</v>
      </c>
      <c r="F6938" s="215" t="n">
        <v>45869</v>
      </c>
    </row>
    <row r="6939">
      <c r="A6939" s="215" t="n">
        <v>45870</v>
      </c>
      <c r="B6939" s="216" t="n">
        <v>75.09999999999999</v>
      </c>
      <c r="C6939" s="216" t="n">
        <v>61.31</v>
      </c>
      <c r="D6939" s="216" t="n">
        <v>1.090090990066528</v>
      </c>
      <c r="E6939" s="215" t="n">
        <v>45870</v>
      </c>
      <c r="F6939" s="215" t="n">
        <v>45870</v>
      </c>
    </row>
    <row r="6940">
      <c r="A6940" s="215" t="n">
        <v>45873</v>
      </c>
      <c r="B6940" s="216" t="n">
        <v>79</v>
      </c>
      <c r="C6940" s="216" t="n">
        <v>62</v>
      </c>
      <c r="D6940" s="216" t="n">
        <v>1.088384985923767</v>
      </c>
      <c r="E6940" s="215" t="n">
        <v>45873</v>
      </c>
      <c r="F6940" s="215" t="n">
        <v>45873</v>
      </c>
    </row>
    <row r="6941">
      <c r="A6941" s="215" t="n">
        <v>45874</v>
      </c>
      <c r="B6941" s="216" t="n">
        <v>81</v>
      </c>
      <c r="C6941" s="216" t="n">
        <v>62.3</v>
      </c>
      <c r="D6941" s="216" t="n">
        <v>1.093202948570251</v>
      </c>
      <c r="E6941" s="215" t="n">
        <v>45874</v>
      </c>
      <c r="F6941" s="215" t="n">
        <v>45874</v>
      </c>
    </row>
    <row r="6942">
      <c r="A6942" s="215" t="n">
        <v>45875</v>
      </c>
      <c r="B6942" s="216" t="n">
        <v>80.5</v>
      </c>
      <c r="C6942" s="216" t="n">
        <v>61.58</v>
      </c>
      <c r="D6942" s="216" t="n">
        <v>1.092388987541199</v>
      </c>
      <c r="E6942" s="215" t="n">
        <v>45875</v>
      </c>
      <c r="F6942" s="215" t="n">
        <v>45875</v>
      </c>
    </row>
    <row r="6943">
      <c r="A6943" s="215" t="n">
        <v>45876</v>
      </c>
      <c r="B6943" s="216" t="n">
        <v>78.8</v>
      </c>
      <c r="C6943" s="216" t="n">
        <v>60.81</v>
      </c>
      <c r="D6943" s="216" t="n">
        <v>1.092599034309387</v>
      </c>
      <c r="E6943" s="215" t="n">
        <v>45876</v>
      </c>
      <c r="F6943" s="215" t="n">
        <v>45876</v>
      </c>
    </row>
    <row r="6944">
      <c r="A6944" s="215" t="n">
        <v>45877</v>
      </c>
      <c r="B6944" s="216" t="n">
        <v>76.7</v>
      </c>
      <c r="C6944" s="216" t="n">
        <v>60.99</v>
      </c>
      <c r="D6944" s="216" t="n">
        <v>1.092857956886292</v>
      </c>
      <c r="E6944" s="215" t="n">
        <v>45877</v>
      </c>
      <c r="F6944" s="215" t="n">
        <v>45877</v>
      </c>
    </row>
    <row r="6945">
      <c r="A6945" s="215" t="n">
        <v>45880</v>
      </c>
      <c r="B6945" s="216" t="n">
        <v>77.59999999999999</v>
      </c>
      <c r="C6945" s="216" t="n">
        <v>61.07</v>
      </c>
      <c r="D6945" s="216" t="n">
        <v>1.093001961708069</v>
      </c>
      <c r="E6945" s="215" t="n">
        <v>45880</v>
      </c>
      <c r="F6945" s="215" t="n">
        <v>45880</v>
      </c>
    </row>
    <row r="6946">
      <c r="A6946" s="215" t="n">
        <v>45881</v>
      </c>
      <c r="B6946" s="216" t="n">
        <v>75.34999999999999</v>
      </c>
      <c r="C6946" s="216" t="n">
        <v>60.85</v>
      </c>
      <c r="D6946" s="216" t="n">
        <v>1.091938018798828</v>
      </c>
      <c r="E6946" s="215" t="n">
        <v>45881</v>
      </c>
      <c r="F6946" s="215" t="n">
        <v>45881</v>
      </c>
    </row>
    <row r="6947">
      <c r="A6947" s="215" t="n">
        <v>45882</v>
      </c>
      <c r="B6947" s="216" t="n">
        <v>78.8</v>
      </c>
      <c r="C6947" s="216" t="n">
        <v>62.61</v>
      </c>
      <c r="D6947" s="216" t="n">
        <v>1.093171000480652</v>
      </c>
      <c r="E6947" s="215" t="n">
        <v>45882</v>
      </c>
      <c r="F6947" s="215" t="n">
        <v>45882</v>
      </c>
    </row>
    <row r="6948">
      <c r="A6948" s="215" t="n">
        <v>45883</v>
      </c>
      <c r="B6948" s="216" t="n">
        <v>79.3</v>
      </c>
      <c r="C6948" s="216" t="n">
        <v>62.82</v>
      </c>
      <c r="D6948" s="216" t="n">
        <v>1.093981027603149</v>
      </c>
      <c r="E6948" s="215" t="n">
        <v>45883</v>
      </c>
      <c r="F6948" s="215" t="n">
        <v>45883</v>
      </c>
    </row>
    <row r="6949">
      <c r="A6949" s="215" t="n">
        <v>45884</v>
      </c>
      <c r="B6949" s="216" t="n">
        <v>82.05</v>
      </c>
      <c r="C6949" s="216" t="n">
        <v>63.4</v>
      </c>
      <c r="D6949" s="216" t="n">
        <v>1.091035962104797</v>
      </c>
      <c r="E6949" s="215" t="n">
        <v>45884</v>
      </c>
      <c r="F6949" s="215" t="n">
        <v>45884</v>
      </c>
    </row>
    <row r="6950">
      <c r="A6950" s="215" t="n">
        <v>45887</v>
      </c>
      <c r="B6950" s="216" t="n">
        <v>83.5</v>
      </c>
      <c r="C6950" s="216" t="n">
        <v>63.08</v>
      </c>
      <c r="D6950" s="216" t="n">
        <v>1.089409947395325</v>
      </c>
      <c r="E6950" s="215" t="n">
        <v>45887</v>
      </c>
      <c r="F6950" s="215" t="n">
        <v>45887</v>
      </c>
    </row>
    <row r="6951">
      <c r="A6951" s="215" t="n">
        <v>45888</v>
      </c>
      <c r="B6951" s="216" t="n">
        <v>79</v>
      </c>
      <c r="C6951" s="216" t="n">
        <v>61.69</v>
      </c>
      <c r="D6951" s="216" t="n">
        <v>1.088366031646729</v>
      </c>
      <c r="E6951" s="215" t="n">
        <v>45888</v>
      </c>
      <c r="F6951" s="215" t="n">
        <v>45888</v>
      </c>
    </row>
    <row r="6952">
      <c r="A6952" s="215" t="n">
        <v>45889</v>
      </c>
      <c r="B6952" s="216" t="n">
        <v>78.55</v>
      </c>
      <c r="C6952" s="216" t="n">
        <v>62.85</v>
      </c>
      <c r="D6952" s="216" t="n">
        <v>1.085826992988586</v>
      </c>
      <c r="E6952" s="215" t="n">
        <v>45889</v>
      </c>
      <c r="F6952" s="215" t="n">
        <v>45889</v>
      </c>
    </row>
    <row r="6953">
      <c r="A6953" s="215" t="n">
        <v>45890</v>
      </c>
      <c r="B6953" s="216" t="n">
        <v>77.75</v>
      </c>
      <c r="C6953" s="216" t="n">
        <v>63.99</v>
      </c>
      <c r="D6953" s="216" t="n">
        <v>1.088521003723145</v>
      </c>
      <c r="E6953" s="215" t="n">
        <v>45890</v>
      </c>
      <c r="F6953" s="215" t="n">
        <v>45890</v>
      </c>
    </row>
    <row r="6954">
      <c r="A6954" s="215" t="n">
        <v>45891</v>
      </c>
      <c r="B6954" s="216" t="n">
        <v>76.40000000000001</v>
      </c>
      <c r="C6954" s="216" t="n">
        <v>64.98</v>
      </c>
      <c r="D6954" s="216" t="n">
        <v>1.08814001083374</v>
      </c>
      <c r="E6954" s="215" t="n">
        <v>45891</v>
      </c>
      <c r="F6954" s="215" t="n">
        <v>45891</v>
      </c>
    </row>
    <row r="6955">
      <c r="A6955" s="215" t="n">
        <v>45894</v>
      </c>
      <c r="B6955" s="216" t="n">
        <v>77.95</v>
      </c>
      <c r="C6955" s="216" t="n">
        <v>66.26000000000001</v>
      </c>
      <c r="D6955" s="216" t="n">
        <v>1.090230941772461</v>
      </c>
      <c r="E6955" s="215" t="n">
        <v>45894</v>
      </c>
      <c r="F6955" s="215" t="n">
        <v>45894</v>
      </c>
    </row>
    <row r="6956">
      <c r="A6956" s="215" t="n">
        <v>45895</v>
      </c>
      <c r="B6956" s="216" t="n">
        <v>75.75</v>
      </c>
      <c r="C6956" s="216" t="n">
        <v>65.3</v>
      </c>
      <c r="D6956" s="216" t="n">
        <v>1.09236204624176</v>
      </c>
      <c r="E6956" s="215" t="n">
        <v>45895</v>
      </c>
      <c r="F6956" s="215" t="n">
        <v>45895</v>
      </c>
    </row>
    <row r="6957">
      <c r="A6957" s="215" t="n">
        <v>45896</v>
      </c>
      <c r="B6957" s="216" t="n">
        <v>72.5</v>
      </c>
      <c r="C6957" s="216" t="n">
        <v>63.05</v>
      </c>
      <c r="D6957" s="216" t="n">
        <v>1.089414000511169</v>
      </c>
      <c r="E6957" s="215" t="n">
        <v>45896</v>
      </c>
      <c r="F6957" s="215" t="n">
        <v>45896</v>
      </c>
    </row>
    <row r="6958">
      <c r="A6958" s="215" t="n">
        <v>45897</v>
      </c>
      <c r="B6958" s="216" t="n">
        <v>72.65000000000001</v>
      </c>
      <c r="C6958" s="216" t="n">
        <v>63.03</v>
      </c>
      <c r="D6958" s="216" t="n">
        <v>1.088047027587891</v>
      </c>
      <c r="E6958" s="215" t="n">
        <v>45897</v>
      </c>
      <c r="F6958" s="215" t="n">
        <v>45897</v>
      </c>
    </row>
    <row r="6959">
      <c r="A6959" s="215" t="n">
        <v>45898</v>
      </c>
      <c r="B6959" s="216" t="n">
        <v>76.2</v>
      </c>
      <c r="C6959" s="216" t="n">
        <v>66.23</v>
      </c>
      <c r="D6959" s="216" t="n">
        <v>1.089478969573975</v>
      </c>
      <c r="E6959" s="215" t="n">
        <v>45898</v>
      </c>
      <c r="F6959" s="215" t="n">
        <v>45898</v>
      </c>
    </row>
    <row r="6960">
      <c r="A6960" s="215" t="n">
        <v>45901</v>
      </c>
      <c r="B6960" s="216" t="n">
        <v>79.5</v>
      </c>
      <c r="C6960" s="216" t="n">
        <v>68.34999999999999</v>
      </c>
      <c r="D6960" s="216" t="n">
        <v>1.09319794178009</v>
      </c>
      <c r="E6960" s="215" t="n">
        <v>45901</v>
      </c>
      <c r="F6960" s="215" t="n">
        <v>45901</v>
      </c>
    </row>
    <row r="6961">
      <c r="A6961" s="215" t="n">
        <v>45902</v>
      </c>
      <c r="B6961" s="216" t="n">
        <v>80.5</v>
      </c>
      <c r="C6961" s="216" t="n">
        <v>68.87</v>
      </c>
      <c r="D6961" s="216" t="n">
        <v>1.093255043029785</v>
      </c>
      <c r="E6961" s="215" t="n">
        <v>45902</v>
      </c>
      <c r="F6961" s="215" t="n">
        <v>45902</v>
      </c>
    </row>
    <row r="6962">
      <c r="A6962" s="215" t="n">
        <v>45903</v>
      </c>
      <c r="B6962" s="216" t="n">
        <v>87.2</v>
      </c>
      <c r="C6962" s="216" t="n">
        <v>71.98</v>
      </c>
      <c r="D6962" s="216" t="n">
        <v>1.09343695640564</v>
      </c>
      <c r="E6962" s="215" t="n">
        <v>45903</v>
      </c>
      <c r="F6962" s="215" t="n">
        <v>45903</v>
      </c>
    </row>
    <row r="6963">
      <c r="A6963" s="215" t="n">
        <v>45904</v>
      </c>
      <c r="B6963" s="216" t="n">
        <v>81.34999999999999</v>
      </c>
      <c r="C6963" s="216" t="n">
        <v>68.65000000000001</v>
      </c>
      <c r="D6963" s="216" t="n">
        <v>1.092192053794861</v>
      </c>
      <c r="E6963" s="215" t="n">
        <v>45904</v>
      </c>
      <c r="F6963" s="215" t="n">
        <v>45904</v>
      </c>
    </row>
    <row r="6964">
      <c r="A6964" s="215" t="n">
        <v>45905</v>
      </c>
      <c r="B6964" s="216" t="n">
        <v>86.2</v>
      </c>
      <c r="C6964" s="216" t="n">
        <v>72.47</v>
      </c>
      <c r="D6964" s="216" t="n">
        <v>1.092169046401978</v>
      </c>
      <c r="E6964" s="215" t="n">
        <v>45905</v>
      </c>
      <c r="F6964" s="215" t="n">
        <v>45905</v>
      </c>
    </row>
    <row r="6965">
      <c r="A6965" s="215" t="n">
        <v>45908</v>
      </c>
      <c r="B6965" s="216" t="n">
        <v>86.2</v>
      </c>
      <c r="C6965" s="216" t="n">
        <v>72.31</v>
      </c>
      <c r="D6965" s="216" t="n">
        <v>1.093217015266418</v>
      </c>
      <c r="E6965" s="215" t="n">
        <v>45908</v>
      </c>
      <c r="F6965" s="215" t="n">
        <v>45908</v>
      </c>
    </row>
    <row r="6966">
      <c r="A6966" s="215" t="n">
        <v>45909</v>
      </c>
      <c r="B6966" s="216" t="n">
        <v>84.90000000000001</v>
      </c>
      <c r="C6966" s="216" t="n">
        <v>71.09</v>
      </c>
      <c r="D6966" s="216" t="n">
        <v>1.092916965484619</v>
      </c>
      <c r="E6966" s="215" t="n">
        <v>45909</v>
      </c>
      <c r="F6966" s="215" t="n">
        <v>45909</v>
      </c>
    </row>
    <row r="6967">
      <c r="A6967" s="215" t="n">
        <v>45910</v>
      </c>
      <c r="B6967" s="216" t="n">
        <v>85.7</v>
      </c>
      <c r="C6967" s="216" t="n">
        <v>70.31999999999999</v>
      </c>
      <c r="D6967" s="216" t="n">
        <v>1.093482971191406</v>
      </c>
      <c r="E6967" s="215" t="n">
        <v>45910</v>
      </c>
      <c r="F6967" s="215" t="n">
        <v>45910</v>
      </c>
    </row>
    <row r="6968">
      <c r="A6968" s="215" t="n">
        <v>45911</v>
      </c>
      <c r="B6968" s="216" t="n">
        <v>83.09999999999999</v>
      </c>
      <c r="C6968" s="216" t="n">
        <v>68.29000000000001</v>
      </c>
      <c r="D6968" s="216" t="n">
        <v>1.093762993812561</v>
      </c>
      <c r="E6968" s="215" t="n">
        <v>45911</v>
      </c>
      <c r="F6968" s="215" t="n">
        <v>45911</v>
      </c>
    </row>
    <row r="6969">
      <c r="A6969" s="215" t="n">
        <v>45912</v>
      </c>
      <c r="B6969" s="216" t="n">
        <v>83.09999999999999</v>
      </c>
      <c r="C6969" s="216" t="n">
        <v>69.01000000000001</v>
      </c>
      <c r="D6969" s="216" t="n">
        <v>1.094014048576355</v>
      </c>
      <c r="E6969" s="215" t="n">
        <v>45912</v>
      </c>
      <c r="F6969" s="215" t="n">
        <v>45912</v>
      </c>
    </row>
    <row r="6970">
      <c r="A6970" s="215" t="n">
        <v>45915</v>
      </c>
      <c r="B6970" s="216" t="n">
        <v>84.34999999999999</v>
      </c>
      <c r="C6970" s="216" t="n">
        <v>69.09999999999999</v>
      </c>
      <c r="D6970" s="216" t="n">
        <v>1.091848969459534</v>
      </c>
      <c r="E6970" s="215" t="n">
        <v>45915</v>
      </c>
      <c r="F6970" s="215" t="n">
        <v>45915</v>
      </c>
    </row>
    <row r="6971">
      <c r="A6971" s="215" t="n">
        <v>45916</v>
      </c>
      <c r="B6971" s="216" t="n">
        <v>84.65000000000001</v>
      </c>
      <c r="C6971" s="216" t="n">
        <v>69.15000000000001</v>
      </c>
      <c r="D6971" s="216" t="n">
        <v>1.092795968055725</v>
      </c>
      <c r="E6971" s="215" t="n">
        <v>45916</v>
      </c>
      <c r="F6971" s="215" t="n">
        <v>45916</v>
      </c>
    </row>
    <row r="6972">
      <c r="A6972" s="215" t="n">
        <v>45917</v>
      </c>
      <c r="B6972" s="216" t="n">
        <v>84.90000000000001</v>
      </c>
      <c r="C6972" s="216" t="n">
        <v>70.13</v>
      </c>
      <c r="D6972" s="216" t="n">
        <v>1.093690991401672</v>
      </c>
      <c r="E6972" s="215" t="n">
        <v>45917</v>
      </c>
      <c r="F6972" s="215" t="n">
        <v>45917</v>
      </c>
    </row>
    <row r="6973">
      <c r="A6973" s="215" t="n">
        <v>45918</v>
      </c>
      <c r="B6973" s="216" t="n">
        <v>89.8</v>
      </c>
      <c r="C6973" s="216" t="n">
        <v>71.09</v>
      </c>
      <c r="D6973" s="216" t="n">
        <v>1.094727993011475</v>
      </c>
      <c r="E6973" s="215" t="n">
        <v>45918</v>
      </c>
      <c r="F6973" s="215" t="n">
        <v>45918</v>
      </c>
    </row>
    <row r="6974">
      <c r="A6974" s="215" t="n">
        <v>45919</v>
      </c>
      <c r="B6974" s="216" t="n">
        <v>87.59999999999999</v>
      </c>
      <c r="C6974" s="216" t="n">
        <v>69.65000000000001</v>
      </c>
      <c r="D6974" s="216" t="n">
        <v>1.093201994895935</v>
      </c>
      <c r="E6974" s="215" t="n">
        <v>45919</v>
      </c>
      <c r="F6974" s="215" t="n">
        <v>45919</v>
      </c>
    </row>
    <row r="6975">
      <c r="A6975" s="215" t="n">
        <v>45922</v>
      </c>
      <c r="B6975" s="216" t="n">
        <v>90</v>
      </c>
      <c r="C6975" s="216" t="n">
        <v>71.05</v>
      </c>
      <c r="D6975" s="216" t="n">
        <v>1.092589020729065</v>
      </c>
      <c r="E6975" s="215" t="n">
        <v>45922</v>
      </c>
      <c r="F6975" s="215" t="n">
        <v>45922</v>
      </c>
    </row>
    <row r="6976">
      <c r="A6976" s="215" t="n">
        <v>45923</v>
      </c>
      <c r="B6976" s="216" t="n">
        <v>87.5</v>
      </c>
      <c r="C6976" s="216" t="n">
        <v>69.7</v>
      </c>
      <c r="D6976" s="216" t="n">
        <v>1.0920250415802</v>
      </c>
      <c r="E6976" s="215" t="n">
        <v>45923</v>
      </c>
      <c r="F6976" s="215" t="n">
        <v>45923</v>
      </c>
    </row>
    <row r="6977">
      <c r="A6977" s="215" t="n">
        <v>45924</v>
      </c>
      <c r="B6977" s="216" t="n">
        <v>87.45</v>
      </c>
      <c r="C6977" s="216" t="n">
        <v>70.11</v>
      </c>
      <c r="D6977" s="216" t="n">
        <v>1.093196988105774</v>
      </c>
      <c r="E6977" s="215" t="n">
        <v>45924</v>
      </c>
      <c r="F6977" s="215" t="n">
        <v>45924</v>
      </c>
    </row>
    <row r="6978">
      <c r="A6978" s="215" t="n">
        <v>45925</v>
      </c>
      <c r="B6978" s="216" t="n">
        <v>89.7</v>
      </c>
      <c r="C6978" s="216" t="n">
        <v>72.27</v>
      </c>
      <c r="D6978" s="216" t="n">
        <v>1.090371012687683</v>
      </c>
      <c r="E6978" s="215" t="n">
        <v>45925</v>
      </c>
      <c r="F6978" s="215" t="n">
        <v>45925</v>
      </c>
    </row>
    <row r="6979">
      <c r="A6979" s="215" t="n">
        <v>45926</v>
      </c>
      <c r="B6979" s="216" t="n">
        <v>87.3</v>
      </c>
      <c r="C6979" s="216" t="n">
        <v>70.08</v>
      </c>
      <c r="D6979" s="216" t="n">
        <v>1.090574979782104</v>
      </c>
      <c r="E6979" s="215" t="n">
        <v>45926</v>
      </c>
      <c r="F6979" s="215" t="n">
        <v>45926</v>
      </c>
    </row>
    <row r="6980">
      <c r="A6980" s="215" t="n">
        <v>45929</v>
      </c>
      <c r="B6980" s="216" t="n">
        <v>84.8</v>
      </c>
      <c r="C6980" s="216" t="n">
        <v>69.2</v>
      </c>
      <c r="D6980" s="216" t="n">
        <v>1.090520024299622</v>
      </c>
      <c r="E6980" s="215" t="n">
        <v>45929</v>
      </c>
      <c r="F6980" s="215" t="n">
        <v>45929</v>
      </c>
    </row>
    <row r="6981">
      <c r="A6981" s="215" t="n">
        <v>45930</v>
      </c>
      <c r="B6981" s="216" t="n">
        <v>88.8</v>
      </c>
      <c r="C6981" s="216" t="n">
        <v>71.55</v>
      </c>
      <c r="D6981" s="216" t="n">
        <v>1.093106031417847</v>
      </c>
      <c r="E6981" s="215" t="n">
        <v>45930</v>
      </c>
      <c r="F6981" s="215" t="n">
        <v>45930</v>
      </c>
    </row>
    <row r="6982">
      <c r="A6982" s="215" t="n">
        <v>45932</v>
      </c>
      <c r="B6982" s="216" t="n">
        <v>94.09999999999999</v>
      </c>
      <c r="C6982" s="216" t="n">
        <v>71.55</v>
      </c>
      <c r="D6982" s="216" t="n">
        <v>1.092823028564453</v>
      </c>
      <c r="E6982" s="215" t="n">
        <v>45930</v>
      </c>
      <c r="F6982" s="215" t="n">
        <v>45932</v>
      </c>
    </row>
    <row r="6983">
      <c r="A6983" s="215" t="n">
        <v>45933</v>
      </c>
      <c r="B6983" s="216" t="n">
        <v>93.90000000000001</v>
      </c>
      <c r="C6983" s="216" t="n">
        <v>71.55</v>
      </c>
      <c r="D6983" s="216" t="n">
        <v>1.09303605556488</v>
      </c>
      <c r="E6983" s="215" t="n">
        <v>45930</v>
      </c>
      <c r="F6983" s="215" t="n">
        <v>45933</v>
      </c>
    </row>
    <row r="6984">
      <c r="A6984" s="215" t="n">
        <v>45936</v>
      </c>
      <c r="B6984" s="216" t="n">
        <v>92.2</v>
      </c>
      <c r="C6984" s="216" t="n">
        <v>71.55</v>
      </c>
      <c r="D6984" s="216" t="n">
        <v>1.092857956886292</v>
      </c>
      <c r="E6984" s="215" t="n">
        <v>45930</v>
      </c>
      <c r="F6984" s="215" t="n">
        <v>45936</v>
      </c>
    </row>
    <row r="6985">
      <c r="A6985" s="215" t="n">
        <v>45938</v>
      </c>
      <c r="B6985" s="216" t="n">
        <v>91</v>
      </c>
      <c r="C6985" s="216" t="n">
        <v>71.55</v>
      </c>
      <c r="D6985" s="216" t="n">
        <v>1.093148946762085</v>
      </c>
      <c r="E6985" s="215" t="n">
        <v>45930</v>
      </c>
      <c r="F6985" s="215" t="n">
        <v>45938</v>
      </c>
    </row>
    <row r="6986">
      <c r="A6986" s="215" t="n">
        <v>45939</v>
      </c>
      <c r="B6986" s="216" t="n">
        <v>87.8</v>
      </c>
      <c r="C6986" s="216" t="n">
        <v>71.15000000000001</v>
      </c>
      <c r="D6986" s="216" t="n">
        <v>1.092933058738708</v>
      </c>
      <c r="E6986" s="215" t="n">
        <v>45939</v>
      </c>
      <c r="F6986" s="215" t="n">
        <v>45939</v>
      </c>
    </row>
    <row r="6987">
      <c r="A6987" s="215" t="n">
        <v>45940</v>
      </c>
      <c r="B6987" s="216" t="n">
        <v>84.3</v>
      </c>
      <c r="C6987" s="216" t="n">
        <v>68.2</v>
      </c>
      <c r="D6987" s="216" t="n">
        <v>1.091662049293518</v>
      </c>
      <c r="E6987" s="215" t="n">
        <v>45940</v>
      </c>
      <c r="F6987" s="215" t="n">
        <v>45940</v>
      </c>
    </row>
    <row r="6988">
      <c r="A6988" s="215" t="n">
        <v>45943</v>
      </c>
      <c r="B6988" s="216" t="n">
        <v>82.84999999999999</v>
      </c>
      <c r="C6988" s="216" t="n">
        <v>66.98</v>
      </c>
      <c r="D6988" s="216" t="n">
        <v>1.093768000602722</v>
      </c>
      <c r="E6988" s="215" t="n">
        <v>45943</v>
      </c>
      <c r="F6988" s="215" t="n">
        <v>45943</v>
      </c>
    </row>
    <row r="6989">
      <c r="A6989" s="215" t="n">
        <v>45944</v>
      </c>
      <c r="B6989" s="216" t="n">
        <v>79.84999999999999</v>
      </c>
      <c r="C6989" s="216" t="n">
        <v>64.27</v>
      </c>
      <c r="D6989" s="216" t="n">
        <v>1.093292951583862</v>
      </c>
      <c r="E6989" s="215" t="n">
        <v>45944</v>
      </c>
      <c r="F6989" s="215" t="n">
        <v>45944</v>
      </c>
    </row>
    <row r="6990">
      <c r="A6990" s="215" t="n">
        <v>45945</v>
      </c>
      <c r="B6990" s="216" t="n">
        <v>81.8</v>
      </c>
      <c r="C6990" s="216" t="n">
        <v>66.40000000000001</v>
      </c>
      <c r="D6990" s="216" t="n">
        <v>1.088750958442688</v>
      </c>
      <c r="E6990" s="215" t="n">
        <v>45945</v>
      </c>
      <c r="F6990" s="215" t="n">
        <v>45945</v>
      </c>
    </row>
    <row r="6991">
      <c r="A6991" s="215" t="n">
        <v>45946</v>
      </c>
      <c r="B6991" s="216" t="n">
        <v>82</v>
      </c>
      <c r="C6991" s="216" t="n">
        <v>66.84</v>
      </c>
      <c r="D6991" s="216" t="n">
        <v>1.090903043746948</v>
      </c>
      <c r="E6991" s="215" t="n">
        <v>45946</v>
      </c>
      <c r="F6991" s="215" t="n">
        <v>45946</v>
      </c>
    </row>
    <row r="6992">
      <c r="A6992" s="215" t="n">
        <v>45947</v>
      </c>
      <c r="B6992" s="216" t="n">
        <v>78.55</v>
      </c>
      <c r="C6992" s="216" t="n">
        <v>65.09999999999999</v>
      </c>
      <c r="D6992" s="216" t="n">
        <v>1.09073805809021</v>
      </c>
      <c r="E6992" s="215" t="n">
        <v>45947</v>
      </c>
      <c r="F6992" s="215" t="n">
        <v>45947</v>
      </c>
    </row>
    <row r="6993">
      <c r="A6993" s="215" t="n">
        <v>45950</v>
      </c>
      <c r="B6993" s="216" t="n">
        <v>79.25</v>
      </c>
      <c r="C6993" s="216" t="n">
        <v>65.13</v>
      </c>
      <c r="D6993" s="216" t="n">
        <v>1.089843988418579</v>
      </c>
      <c r="E6993" s="215" t="n">
        <v>45950</v>
      </c>
      <c r="F6993" s="215" t="n">
        <v>45950</v>
      </c>
    </row>
    <row r="6994">
      <c r="A6994" s="215" t="n">
        <v>45951</v>
      </c>
      <c r="B6994" s="216" t="n">
        <v>78.09999999999999</v>
      </c>
      <c r="C6994" s="216" t="n">
        <v>66</v>
      </c>
      <c r="D6994" s="216" t="n">
        <v>1.091038942337036</v>
      </c>
      <c r="E6994" s="215" t="n">
        <v>45951</v>
      </c>
      <c r="F6994" s="215" t="n">
        <v>45951</v>
      </c>
    </row>
    <row r="6995">
      <c r="A6995" s="215" t="n">
        <v>45952</v>
      </c>
      <c r="B6995" s="216" t="n">
        <v>78.05</v>
      </c>
      <c r="C6995" s="216" t="n">
        <v>65.26000000000001</v>
      </c>
      <c r="D6995" s="216" t="n">
        <v>1.091071009635925</v>
      </c>
      <c r="E6995" s="215" t="n">
        <v>45952</v>
      </c>
      <c r="F6995" s="215" t="n">
        <v>45952</v>
      </c>
    </row>
    <row r="6996">
      <c r="A6996" s="215" t="n">
        <v>45953</v>
      </c>
      <c r="B6996" s="216" t="n">
        <v>76.3</v>
      </c>
      <c r="C6996" s="216" t="n">
        <v>65.14</v>
      </c>
      <c r="D6996" s="216" t="n">
        <v>1.090343952178955</v>
      </c>
      <c r="E6996" s="215" t="n">
        <v>45953</v>
      </c>
      <c r="F6996" s="215" t="n">
        <v>45953</v>
      </c>
    </row>
    <row r="6997">
      <c r="A6997" s="215" t="n">
        <v>45954</v>
      </c>
      <c r="B6997" s="216" t="n">
        <v>76.8</v>
      </c>
      <c r="C6997" s="216" t="n">
        <v>65.5</v>
      </c>
      <c r="D6997" s="216" t="n">
        <v>1.090456962585449</v>
      </c>
      <c r="E6997" s="215" t="n">
        <v>45954</v>
      </c>
      <c r="F6997" s="215" t="n">
        <v>45954</v>
      </c>
    </row>
    <row r="6998">
      <c r="A6998" s="215" t="n">
        <v>45957</v>
      </c>
      <c r="B6998" s="216" t="n">
        <v>79.75</v>
      </c>
      <c r="C6998" s="216" t="n">
        <v>67.01000000000001</v>
      </c>
      <c r="D6998" s="216" t="n">
        <v>1.090957045555115</v>
      </c>
      <c r="E6998" s="215" t="n">
        <v>45957</v>
      </c>
      <c r="F6998" s="215" t="n">
        <v>45957</v>
      </c>
    </row>
    <row r="6999">
      <c r="A6999" s="215" t="n">
        <v>45958</v>
      </c>
      <c r="B6999" s="216" t="n">
        <v>75.59999999999999</v>
      </c>
      <c r="C6999" s="216" t="n">
        <v>63.62</v>
      </c>
      <c r="D6999" s="216" t="n">
        <v>1.092440009117126</v>
      </c>
      <c r="E6999" s="215" t="n">
        <v>45958</v>
      </c>
      <c r="F6999" s="215" t="n">
        <v>45958</v>
      </c>
    </row>
    <row r="7000">
      <c r="A7000" s="215" t="n">
        <v>45960</v>
      </c>
      <c r="B7000" s="216" t="n">
        <v>72.59999999999999</v>
      </c>
      <c r="C7000" s="216" t="n">
        <v>62.88</v>
      </c>
      <c r="D7000" s="216" t="n">
        <v>1.09463894367218</v>
      </c>
      <c r="E7000" s="215" t="n">
        <v>45960</v>
      </c>
      <c r="F7000" s="215" t="n">
        <v>45960</v>
      </c>
    </row>
    <row r="7001">
      <c r="A7001" s="215" t="n">
        <v>45961</v>
      </c>
      <c r="B7001" s="216" t="n">
        <v>75.2</v>
      </c>
      <c r="C7001" s="216" t="n">
        <v>64.15000000000001</v>
      </c>
      <c r="D7001" s="216" t="n">
        <v>1.092543959617615</v>
      </c>
      <c r="E7001" s="215" t="n">
        <v>45961</v>
      </c>
      <c r="F7001" s="215" t="n">
        <v>45961</v>
      </c>
    </row>
    <row r="7002">
      <c r="A7002" s="215" t="n">
        <v>45964</v>
      </c>
      <c r="B7002" s="216" t="n">
        <v>74</v>
      </c>
      <c r="C7002" s="216" t="n">
        <v>63.4</v>
      </c>
      <c r="D7002" s="216" t="n">
        <v>1.091722965240479</v>
      </c>
      <c r="E7002" s="215" t="n">
        <v>45964</v>
      </c>
      <c r="F7002" s="215" t="n">
        <v>45964</v>
      </c>
    </row>
    <row r="7003">
      <c r="A7003" s="215" t="n">
        <v>45965</v>
      </c>
      <c r="B7003" s="216" t="n">
        <v>71.45</v>
      </c>
      <c r="C7003" s="216" t="n">
        <v>61.92</v>
      </c>
      <c r="D7003" s="216" t="n">
        <v>1.083533048629761</v>
      </c>
      <c r="E7003" s="215" t="n">
        <v>45965</v>
      </c>
      <c r="F7003" s="215" t="n">
        <v>45965</v>
      </c>
    </row>
    <row r="7004">
      <c r="A7004" s="215" t="n">
        <v>45966</v>
      </c>
      <c r="B7004" s="216" t="n">
        <v>72.3</v>
      </c>
      <c r="C7004" s="216" t="n">
        <v>61.96</v>
      </c>
      <c r="D7004" s="216" t="n">
        <v>1.090273976325989</v>
      </c>
      <c r="E7004" s="215" t="n">
        <v>45966</v>
      </c>
      <c r="F7004" s="215" t="n">
        <v>45966</v>
      </c>
    </row>
    <row r="7005">
      <c r="A7005" s="215" t="n">
        <v>45967</v>
      </c>
      <c r="B7005" s="216" t="n">
        <v>72.45</v>
      </c>
      <c r="C7005" s="216" t="n">
        <v>62.42</v>
      </c>
      <c r="D7005" s="216" t="n">
        <v>1.090808033943176</v>
      </c>
      <c r="E7005" s="215" t="n">
        <v>45967</v>
      </c>
      <c r="F7005" s="215" t="n">
        <v>45967</v>
      </c>
    </row>
    <row r="7006">
      <c r="A7006" s="215" t="n">
        <v>45968</v>
      </c>
      <c r="B7006" s="216" t="n">
        <v>69.95</v>
      </c>
      <c r="C7006" s="216" t="n">
        <v>61.58</v>
      </c>
      <c r="D7006" s="216" t="n">
        <v>1.092054009437561</v>
      </c>
      <c r="E7006" s="215" t="n">
        <v>45968</v>
      </c>
      <c r="F7006" s="215" t="n">
        <v>45968</v>
      </c>
    </row>
    <row r="7007">
      <c r="A7007" s="215" t="n">
        <v>45971</v>
      </c>
      <c r="B7007" s="216" t="n">
        <v>71.2</v>
      </c>
      <c r="C7007" s="216" t="n">
        <v>61.83</v>
      </c>
      <c r="D7007" s="216" t="n">
        <v>1.092267036437988</v>
      </c>
      <c r="E7007" s="215" t="n">
        <v>45971</v>
      </c>
      <c r="F7007" s="215" t="n">
        <v>45971</v>
      </c>
    </row>
    <row r="7008">
      <c r="A7008" s="215" t="n">
        <v>45972</v>
      </c>
      <c r="B7008" s="216" t="n">
        <v>70.84999999999999</v>
      </c>
      <c r="C7008" s="216" t="n">
        <v>61.06</v>
      </c>
      <c r="D7008" s="216" t="n">
        <v>1.091644048690796</v>
      </c>
      <c r="E7008" s="215" t="n">
        <v>45972</v>
      </c>
      <c r="F7008" s="215" t="n">
        <v>45972</v>
      </c>
    </row>
    <row r="7009">
      <c r="A7009" s="215" t="n">
        <v>45973</v>
      </c>
      <c r="B7009" s="216" t="n">
        <v>71.8</v>
      </c>
      <c r="C7009" s="216" t="n">
        <v>62.1</v>
      </c>
      <c r="D7009" s="216" t="n">
        <v>1.091495990753174</v>
      </c>
      <c r="E7009" s="215" t="n">
        <v>45973</v>
      </c>
      <c r="F7009" s="215" t="n">
        <v>45973</v>
      </c>
    </row>
    <row r="7010">
      <c r="A7010" s="215" t="n">
        <v>45974</v>
      </c>
      <c r="B7010" s="216" t="n">
        <v>72.65000000000001</v>
      </c>
      <c r="C7010" s="216" t="n">
        <v>63.56</v>
      </c>
      <c r="D7010" s="216" t="n">
        <v>1.092489004135132</v>
      </c>
      <c r="E7010" s="215" t="n">
        <v>45974</v>
      </c>
      <c r="F7010" s="215" t="n">
        <v>45974</v>
      </c>
    </row>
    <row r="7011">
      <c r="A7011" s="215" t="n">
        <v>45975</v>
      </c>
      <c r="B7011" s="216" t="n">
        <v>71.59999999999999</v>
      </c>
      <c r="C7011" s="216" t="n">
        <v>62.9</v>
      </c>
      <c r="D7011" s="216" t="n">
        <v>1.092411994934082</v>
      </c>
      <c r="E7011" s="215" t="n">
        <v>45975</v>
      </c>
      <c r="F7011" s="215" t="n">
        <v>45975</v>
      </c>
    </row>
    <row r="7012">
      <c r="A7012" s="215" t="n">
        <v>45978</v>
      </c>
      <c r="B7012" s="216" t="n">
        <v>71.09999999999999</v>
      </c>
      <c r="C7012" s="216" t="n">
        <v>61.8</v>
      </c>
      <c r="D7012" s="216" t="n">
        <v>1.094588041305542</v>
      </c>
      <c r="E7012" s="215" t="n">
        <v>45978</v>
      </c>
      <c r="F7012" s="215" t="n">
        <v>45978</v>
      </c>
    </row>
    <row r="7013">
      <c r="A7013" s="215" t="n">
        <v>45979</v>
      </c>
      <c r="B7013" s="216" t="n">
        <v>70.8</v>
      </c>
      <c r="C7013" s="216" t="n">
        <v>61.78</v>
      </c>
      <c r="D7013" s="216" t="n">
        <v>1.093616008758545</v>
      </c>
      <c r="E7013" s="215" t="n">
        <v>45979</v>
      </c>
      <c r="F7013" s="215" t="n">
        <v>45979</v>
      </c>
    </row>
    <row r="7014">
      <c r="A7014" s="215" t="n">
        <v>45980</v>
      </c>
      <c r="B7014" s="216" t="n">
        <v>70.65000000000001</v>
      </c>
      <c r="C7014" s="216" t="n">
        <v>61.11</v>
      </c>
      <c r="D7014" s="216" t="n">
        <v>1.095010995864868</v>
      </c>
      <c r="E7014" s="215" t="n">
        <v>45980</v>
      </c>
      <c r="F7014" s="215" t="n">
        <v>45980</v>
      </c>
    </row>
    <row r="7015">
      <c r="A7015" s="215" t="n">
        <v>45981</v>
      </c>
      <c r="B7015" s="216" t="n">
        <v>68.15000000000001</v>
      </c>
      <c r="C7015" s="216" t="n">
        <v>60.63</v>
      </c>
      <c r="D7015" s="216" t="n">
        <v>1.095402002334595</v>
      </c>
      <c r="E7015" s="215" t="n">
        <v>45981</v>
      </c>
      <c r="F7015" s="215" t="n">
        <v>45981</v>
      </c>
    </row>
    <row r="7016">
      <c r="A7016" s="215" t="n">
        <v>45982</v>
      </c>
      <c r="B7016" s="216" t="n">
        <v>65.95</v>
      </c>
      <c r="C7016" s="216" t="n">
        <v>59.5</v>
      </c>
      <c r="D7016" s="216" t="n">
        <v>1.094982981681824</v>
      </c>
      <c r="E7016" s="215" t="n">
        <v>45982</v>
      </c>
      <c r="F7016" s="215" t="n">
        <v>45982</v>
      </c>
    </row>
    <row r="7017">
      <c r="A7017" s="215" t="n">
        <v>45985</v>
      </c>
      <c r="B7017" s="216" t="n">
        <v>69.65000000000001</v>
      </c>
      <c r="C7017" s="216" t="n">
        <v>60.66</v>
      </c>
      <c r="D7017" s="216" t="n">
        <v>1.094988942146301</v>
      </c>
      <c r="E7017" s="215" t="n">
        <v>45985</v>
      </c>
      <c r="F7017" s="215" t="n">
        <v>45985</v>
      </c>
    </row>
    <row r="7018">
      <c r="A7018" s="215" t="n">
        <v>45986</v>
      </c>
      <c r="B7018" s="216" t="n">
        <v>70.34999999999999</v>
      </c>
      <c r="C7018" s="216" t="n">
        <v>60.88</v>
      </c>
      <c r="D7018" s="216" t="n">
        <v>1.095428943634033</v>
      </c>
      <c r="E7018" s="215" t="n">
        <v>45986</v>
      </c>
      <c r="F7018" s="215" t="n">
        <v>45986</v>
      </c>
    </row>
    <row r="7019">
      <c r="A7019" s="215" t="n">
        <v>45987</v>
      </c>
      <c r="B7019" s="216" t="n">
        <v>73.55</v>
      </c>
      <c r="C7019" s="216" t="n">
        <v>62.36</v>
      </c>
      <c r="D7019" s="216" t="n">
        <v>1.097422003746033</v>
      </c>
      <c r="E7019" s="215" t="n">
        <v>45987</v>
      </c>
      <c r="F7019" s="215" t="n">
        <v>45987</v>
      </c>
    </row>
    <row r="7020">
      <c r="A7020" s="215" t="n">
        <v>45988</v>
      </c>
      <c r="B7020" s="216" t="n">
        <v>74.65000000000001</v>
      </c>
      <c r="C7020" s="216" t="n">
        <v>62.09</v>
      </c>
      <c r="D7020" s="216" t="n">
        <v>1.098397016525269</v>
      </c>
      <c r="E7020" s="215" t="n">
        <v>45988</v>
      </c>
      <c r="F7020" s="215" t="n">
        <v>45988</v>
      </c>
    </row>
    <row r="7021">
      <c r="A7021" s="215" t="n">
        <v>45989</v>
      </c>
      <c r="B7021" s="216" t="n">
        <v>73.8</v>
      </c>
      <c r="C7021" s="216" t="n">
        <v>62.08</v>
      </c>
      <c r="D7021" s="216" t="n">
        <v>1.098330020904541</v>
      </c>
      <c r="E7021" s="215" t="n">
        <v>45989</v>
      </c>
      <c r="F7021" s="215" t="n">
        <v>45989</v>
      </c>
    </row>
    <row r="7022">
      <c r="A7022" s="215" t="n">
        <v>45992</v>
      </c>
      <c r="B7022" s="216" t="n">
        <v>72.84999999999999</v>
      </c>
      <c r="C7022" s="216" t="n">
        <v>61.94</v>
      </c>
      <c r="D7022" s="216" t="n">
        <v>1.10015594959259</v>
      </c>
      <c r="E7022" s="215" t="n">
        <v>45992</v>
      </c>
      <c r="F7022" s="215" t="n">
        <v>45992</v>
      </c>
    </row>
    <row r="7023">
      <c r="A7023" s="215" t="n">
        <v>45993</v>
      </c>
      <c r="B7023" s="216" t="n">
        <v>71.8</v>
      </c>
      <c r="C7023" s="216" t="n">
        <v>61.12</v>
      </c>
      <c r="D7023" s="216" t="n">
        <v>1.101189017295837</v>
      </c>
      <c r="E7023" s="215" t="n">
        <v>45993</v>
      </c>
      <c r="F7023" s="215" t="n">
        <v>45993</v>
      </c>
    </row>
    <row r="7024">
      <c r="A7024" s="215" t="n">
        <v>45994</v>
      </c>
      <c r="B7024" s="216" t="n">
        <v>71.8</v>
      </c>
      <c r="C7024" s="216" t="n">
        <v>60.97</v>
      </c>
      <c r="D7024" s="216" t="n">
        <v>1.100834012031555</v>
      </c>
      <c r="E7024" s="215" t="n">
        <v>45994</v>
      </c>
      <c r="F7024" s="215" t="n">
        <v>45994</v>
      </c>
    </row>
    <row r="7025">
      <c r="A7025" s="215" t="n">
        <v>45995</v>
      </c>
      <c r="B7025" s="216" t="n">
        <v>72.90000000000001</v>
      </c>
      <c r="C7025" s="216" t="n">
        <v>61.25</v>
      </c>
      <c r="D7025" s="216" t="n">
        <v>1.101611018180847</v>
      </c>
      <c r="E7025" s="215" t="n">
        <v>45995</v>
      </c>
      <c r="F7025" s="215" t="n">
        <v>45995</v>
      </c>
    </row>
    <row r="7026">
      <c r="A7026" s="215" t="n">
        <v>45996</v>
      </c>
      <c r="B7026" s="216" t="n">
        <v>73.7</v>
      </c>
      <c r="C7026" s="216" t="n">
        <v>61.62</v>
      </c>
      <c r="D7026" s="216" t="n">
        <v>1.100373983383179</v>
      </c>
      <c r="E7026" s="215" t="n">
        <v>45996</v>
      </c>
      <c r="F7026" s="215" t="n">
        <v>45996</v>
      </c>
    </row>
    <row r="7027">
      <c r="A7027" s="215" t="n">
        <v>45999</v>
      </c>
      <c r="B7027" s="216" t="n">
        <v>72.55</v>
      </c>
      <c r="C7027" s="216" t="n">
        <v>62.46</v>
      </c>
      <c r="D7027" s="216" t="n">
        <v>1.1008620262146</v>
      </c>
      <c r="E7027" s="215" t="n">
        <v>45999</v>
      </c>
      <c r="F7027" s="215" t="n">
        <v>45999</v>
      </c>
    </row>
    <row r="7028">
      <c r="A7028" s="215" t="n">
        <v>46000</v>
      </c>
      <c r="B7028" s="216" t="n">
        <v>74.3</v>
      </c>
      <c r="C7028" s="216" t="n">
        <v>63.08</v>
      </c>
      <c r="D7028" s="216" t="n">
        <v>1.10008704662323</v>
      </c>
      <c r="E7028" s="215" t="n">
        <v>46000</v>
      </c>
      <c r="F7028" s="215" t="n">
        <v>46000</v>
      </c>
    </row>
    <row r="7029">
      <c r="A7029" s="215" t="n">
        <v>46001</v>
      </c>
      <c r="B7029" s="216" t="n">
        <v>75.15000000000001</v>
      </c>
      <c r="C7029" s="216" t="n">
        <v>63.38</v>
      </c>
      <c r="D7029" s="216" t="n">
        <v>1.101711988449097</v>
      </c>
      <c r="E7029" s="215" t="n">
        <v>46001</v>
      </c>
      <c r="F7029" s="215" t="n">
        <v>46001</v>
      </c>
    </row>
    <row r="7030">
      <c r="A7030" s="215" t="n">
        <v>46002</v>
      </c>
      <c r="B7030" s="216" t="n">
        <v>74.7</v>
      </c>
      <c r="C7030" s="216" t="n">
        <v>63.4</v>
      </c>
      <c r="D7030" s="216" t="n">
        <v>1.10112202167511</v>
      </c>
      <c r="E7030" s="215" t="n">
        <v>46002</v>
      </c>
      <c r="F7030" s="215" t="n">
        <v>46002</v>
      </c>
    </row>
    <row r="7031">
      <c r="A7031" s="215" t="n">
        <v>46003</v>
      </c>
      <c r="B7031" s="216" t="n">
        <v>72.45</v>
      </c>
      <c r="C7031" s="216" t="n">
        <v>63.28</v>
      </c>
      <c r="D7031" s="216" t="n">
        <v>1.102499008178711</v>
      </c>
      <c r="E7031" s="215" t="n">
        <v>46003</v>
      </c>
      <c r="F7031" s="215" t="n">
        <v>46003</v>
      </c>
    </row>
    <row r="7032">
      <c r="A7032" s="215" t="n">
        <v>46006</v>
      </c>
      <c r="B7032" s="216" t="n">
        <v>72.34999999999999</v>
      </c>
      <c r="C7032" s="216" t="n">
        <v>61.38</v>
      </c>
      <c r="D7032" s="216" t="n">
        <v>1.103397965431213</v>
      </c>
      <c r="E7032" s="215" t="n">
        <v>46006</v>
      </c>
      <c r="F7032" s="215" t="n">
        <v>46006</v>
      </c>
    </row>
    <row r="7033">
      <c r="A7033" s="215" t="n">
        <v>46007</v>
      </c>
      <c r="B7033" s="216" t="n">
        <v>70.84999999999999</v>
      </c>
      <c r="C7033" s="216" t="n">
        <v>59.15</v>
      </c>
      <c r="D7033" s="216" t="n">
        <v>1.104179978370667</v>
      </c>
      <c r="E7033" s="215" t="n">
        <v>46007</v>
      </c>
      <c r="F7033" s="215" t="n">
        <v>46007</v>
      </c>
    </row>
    <row r="7034">
      <c r="A7034" s="215" t="n">
        <v>46008</v>
      </c>
      <c r="B7034" s="216" t="n">
        <v>71.3</v>
      </c>
      <c r="C7034" s="216" t="n">
        <v>60.3</v>
      </c>
      <c r="D7034" s="216" t="n">
        <v>1.104655981063843</v>
      </c>
      <c r="E7034" s="215" t="n">
        <v>46008</v>
      </c>
      <c r="F7034" s="215" t="n">
        <v>46008</v>
      </c>
    </row>
    <row r="7035">
      <c r="A7035" s="215" t="n">
        <v>46009</v>
      </c>
      <c r="B7035" s="216" t="n">
        <v>70.7</v>
      </c>
      <c r="C7035" s="216" t="n">
        <v>60</v>
      </c>
      <c r="D7035" s="216" t="n">
        <v>1.104357004165649</v>
      </c>
      <c r="E7035" s="215" t="n">
        <v>46009</v>
      </c>
      <c r="F7035" s="215" t="n">
        <v>46009</v>
      </c>
    </row>
    <row r="7036">
      <c r="A7036" s="215" t="n">
        <v>46010</v>
      </c>
      <c r="B7036" s="216" t="n">
        <v>70.75</v>
      </c>
      <c r="C7036" s="216" t="n">
        <v>60.85</v>
      </c>
      <c r="D7036" s="216" t="n">
        <v>1.104962944984436</v>
      </c>
      <c r="E7036" s="215" t="n">
        <v>46010</v>
      </c>
      <c r="F7036" s="215" t="n">
        <v>46010</v>
      </c>
    </row>
    <row r="7037">
      <c r="A7037" s="215" t="n">
        <v>46013</v>
      </c>
      <c r="B7037" s="216" t="n">
        <v>70.55</v>
      </c>
      <c r="C7037" s="216" t="n">
        <v>60.93</v>
      </c>
      <c r="D7037" s="216" t="n">
        <v>1.105054020881653</v>
      </c>
      <c r="E7037" s="215" t="n">
        <v>46013</v>
      </c>
      <c r="F7037" s="215" t="n">
        <v>46013</v>
      </c>
    </row>
    <row r="7038">
      <c r="A7038" s="215" t="n">
        <v>46014</v>
      </c>
      <c r="B7038" s="216" t="n">
        <v>71.34999999999999</v>
      </c>
      <c r="C7038" s="216" t="n">
        <v>61.8</v>
      </c>
      <c r="D7038" s="216" t="n">
        <v>1.104820013046265</v>
      </c>
      <c r="E7038" s="215" t="n">
        <v>46014</v>
      </c>
      <c r="F7038" s="215" t="n">
        <v>46014</v>
      </c>
    </row>
    <row r="7039">
      <c r="A7039" s="215" t="n">
        <v>46015</v>
      </c>
      <c r="B7039" s="216" t="n">
        <v>71.2</v>
      </c>
      <c r="C7039" s="216" t="n">
        <v>61.23</v>
      </c>
      <c r="D7039" s="216" t="n">
        <v>1.106441974639893</v>
      </c>
      <c r="E7039" s="215" t="n">
        <v>46015</v>
      </c>
      <c r="F7039" s="215" t="n">
        <v>46015</v>
      </c>
    </row>
    <row r="7040">
      <c r="A7040" s="215" t="n">
        <v>46020</v>
      </c>
      <c r="B7040" s="216" t="n">
        <v>70.25</v>
      </c>
      <c r="C7040" s="216" t="n">
        <v>60.51</v>
      </c>
      <c r="D7040" s="216" t="n">
        <v>1.10552704334259</v>
      </c>
      <c r="E7040" s="215" t="n">
        <v>46020</v>
      </c>
      <c r="F7040" s="215" t="n">
        <v>46020</v>
      </c>
    </row>
    <row r="7041">
      <c r="A7041" s="215" t="n">
        <v>46021</v>
      </c>
      <c r="B7041" s="216" t="n">
        <v>71.3</v>
      </c>
      <c r="C7041" s="216" t="n">
        <v>60.18</v>
      </c>
      <c r="D7041" s="216" t="n">
        <v>1.109460949897766</v>
      </c>
      <c r="E7041" s="215" t="n">
        <v>46021</v>
      </c>
      <c r="F7041" s="215" t="n">
        <v>46021</v>
      </c>
    </row>
    <row r="7042">
      <c r="A7042" s="215" t="n">
        <v>46022</v>
      </c>
      <c r="B7042" s="216" t="n">
        <v>71.25</v>
      </c>
      <c r="C7042" s="216" t="n">
        <v>59.57</v>
      </c>
      <c r="D7042" s="216" t="n">
        <v>1.111927032470703</v>
      </c>
      <c r="E7042" s="215" t="n">
        <v>46022</v>
      </c>
      <c r="F7042" s="215" t="n">
        <v>46022</v>
      </c>
    </row>
    <row r="7043">
      <c r="A7043" s="215" t="n">
        <v>46024</v>
      </c>
      <c r="B7043" s="216" t="n">
        <v>74.09999999999999</v>
      </c>
      <c r="C7043" s="216" t="n">
        <v>59.57</v>
      </c>
      <c r="D7043" s="216" t="n">
        <v>1.112754940986633</v>
      </c>
      <c r="E7043" s="215" t="n">
        <v>46022</v>
      </c>
      <c r="F7043" s="215" t="n">
        <v>46024</v>
      </c>
    </row>
    <row r="7044">
      <c r="A7044" s="215" t="n">
        <v>46027</v>
      </c>
      <c r="B7044" s="216" t="n">
        <v>75.09999999999999</v>
      </c>
      <c r="C7044" s="216" t="n">
        <v>63.08</v>
      </c>
      <c r="D7044" s="216" t="n">
        <v>1.113860011100769</v>
      </c>
      <c r="E7044" s="215" t="n">
        <v>46027</v>
      </c>
      <c r="F7044" s="215" t="n">
        <v>46027</v>
      </c>
    </row>
    <row r="7045">
      <c r="A7045" s="215" t="n">
        <v>46028</v>
      </c>
      <c r="B7045" s="216" t="n">
        <v>74.55</v>
      </c>
      <c r="C7045" s="216" t="n">
        <v>63.06</v>
      </c>
      <c r="D7045" s="216" t="n">
        <v>1.11367404460907</v>
      </c>
      <c r="E7045" s="215" t="n">
        <v>46028</v>
      </c>
      <c r="F7045" s="215" t="n">
        <v>46028</v>
      </c>
    </row>
    <row r="7046">
      <c r="A7046" s="215" t="n">
        <v>46029</v>
      </c>
      <c r="B7046" s="216" t="n">
        <v>77.75</v>
      </c>
      <c r="C7046" s="216" t="n">
        <v>63.85</v>
      </c>
      <c r="D7046" s="216" t="n">
        <v>1.114913940429688</v>
      </c>
      <c r="E7046" s="215" t="n">
        <v>46029</v>
      </c>
      <c r="F7046" s="215" t="n">
        <v>46029</v>
      </c>
    </row>
    <row r="7047">
      <c r="A7047" s="215" t="n">
        <v>46030</v>
      </c>
      <c r="B7047" s="216" t="n">
        <v>77.55</v>
      </c>
      <c r="C7047" s="216" t="n">
        <v>63.6</v>
      </c>
      <c r="D7047" s="216" t="n">
        <v>1.112563014030457</v>
      </c>
      <c r="E7047" s="215" t="n">
        <v>46030</v>
      </c>
      <c r="F7047" s="215" t="n">
        <v>46030</v>
      </c>
    </row>
    <row r="7048">
      <c r="A7048" s="215" t="n">
        <v>46031</v>
      </c>
      <c r="B7048" s="216" t="n">
        <v>76.75</v>
      </c>
      <c r="C7048" s="216" t="n">
        <v>63.78</v>
      </c>
      <c r="D7048" s="216" t="n">
        <v>1.115561008453369</v>
      </c>
      <c r="E7048" s="215" t="n">
        <v>46031</v>
      </c>
      <c r="F7048" s="215" t="n">
        <v>46031</v>
      </c>
    </row>
    <row r="7049">
      <c r="A7049" s="215" t="n">
        <v>46034</v>
      </c>
      <c r="B7049" s="216" t="n">
        <v>76.95</v>
      </c>
      <c r="C7049" s="216" t="n">
        <v>63.85</v>
      </c>
      <c r="D7049" s="216" t="n">
        <v>1.117015957832336</v>
      </c>
      <c r="E7049" s="215" t="n">
        <v>46034</v>
      </c>
      <c r="F7049" s="215" t="n">
        <v>46034</v>
      </c>
    </row>
    <row r="7050">
      <c r="A7050" s="215" t="n">
        <v>46035</v>
      </c>
      <c r="B7050" s="216" t="n">
        <v>78.7</v>
      </c>
      <c r="C7050" s="216" t="n">
        <v>64.52</v>
      </c>
      <c r="D7050" s="216" t="n">
        <v>1.117892026901245</v>
      </c>
      <c r="E7050" s="215" t="n">
        <v>46035</v>
      </c>
      <c r="F7050" s="215" t="n">
        <v>46035</v>
      </c>
    </row>
    <row r="7051">
      <c r="A7051" s="215" t="n">
        <v>46036</v>
      </c>
      <c r="B7051" s="216" t="n">
        <v>79.09999999999999</v>
      </c>
      <c r="C7051" s="216" t="n">
        <v>63.61</v>
      </c>
      <c r="D7051" s="216" t="n">
        <v>1.117897987365723</v>
      </c>
      <c r="E7051" s="215" t="n">
        <v>46036</v>
      </c>
      <c r="F7051" s="215" t="n">
        <v>46036</v>
      </c>
    </row>
    <row r="7052">
      <c r="A7052" s="215" t="n">
        <v>46037</v>
      </c>
      <c r="B7052" s="216" t="n">
        <v>78</v>
      </c>
      <c r="C7052" s="216" t="n">
        <v>63.17</v>
      </c>
      <c r="D7052" s="216" t="n">
        <v>1.118072032928467</v>
      </c>
      <c r="E7052" s="215" t="n">
        <v>46037</v>
      </c>
      <c r="F7052" s="215" t="n">
        <v>46037</v>
      </c>
    </row>
    <row r="7053">
      <c r="A7053" s="215" t="n">
        <v>46038</v>
      </c>
      <c r="B7053" s="216" t="n">
        <v>77.3</v>
      </c>
      <c r="C7053" s="216" t="n">
        <v>61.94</v>
      </c>
      <c r="D7053" s="216" t="n">
        <v>1.119040012359619</v>
      </c>
      <c r="E7053" s="215" t="n">
        <v>46038</v>
      </c>
      <c r="F7053" s="215" t="n">
        <v>46038</v>
      </c>
    </row>
    <row r="7054">
      <c r="A7054" s="215" t="n">
        <v>46041</v>
      </c>
      <c r="B7054" s="216" t="n">
        <v>76.90000000000001</v>
      </c>
      <c r="C7054" s="216" t="n">
        <v>61.12</v>
      </c>
      <c r="D7054" s="216" t="n">
        <v>1.118916034698486</v>
      </c>
      <c r="E7054" s="215" t="n">
        <v>46041</v>
      </c>
      <c r="F7054" s="215" t="n">
        <v>46041</v>
      </c>
    </row>
    <row r="7055">
      <c r="A7055" s="215" t="n">
        <v>46042</v>
      </c>
      <c r="B7055" s="216" t="n">
        <v>73.55</v>
      </c>
      <c r="C7055" s="216" t="n">
        <v>60.5</v>
      </c>
      <c r="D7055" s="216" t="n">
        <v>1.118687987327576</v>
      </c>
      <c r="E7055" s="215" t="n">
        <v>46042</v>
      </c>
      <c r="F7055" s="215" t="n">
        <v>46042</v>
      </c>
    </row>
    <row r="7056">
      <c r="A7056" s="215" t="n">
        <v>46043</v>
      </c>
      <c r="B7056" s="216" t="n">
        <v>73.84999999999999</v>
      </c>
      <c r="C7056" s="216" t="n">
        <v>60.1</v>
      </c>
      <c r="D7056" s="216" t="n">
        <v>1.12024998664856</v>
      </c>
      <c r="E7056" s="215" t="n">
        <v>46043</v>
      </c>
      <c r="F7056" s="215" t="n">
        <v>46043</v>
      </c>
    </row>
    <row r="7057">
      <c r="A7057" s="215" t="n">
        <v>46044</v>
      </c>
      <c r="B7057" s="216" t="n">
        <v>73.75</v>
      </c>
      <c r="C7057" s="216" t="n">
        <v>59.44</v>
      </c>
      <c r="D7057" s="216" t="n">
        <v>1.11942195892334</v>
      </c>
      <c r="E7057" s="215" t="n">
        <v>46044</v>
      </c>
      <c r="F7057" s="215" t="n">
        <v>46044</v>
      </c>
    </row>
    <row r="7058">
      <c r="A7058" s="215" t="n">
        <v>46045</v>
      </c>
      <c r="B7058" s="216" t="n">
        <v>73.25</v>
      </c>
      <c r="C7058" s="216" t="n">
        <v>58.99</v>
      </c>
      <c r="D7058" s="216" t="n">
        <v>1.117977976799011</v>
      </c>
      <c r="E7058" s="215" t="n">
        <v>46045</v>
      </c>
      <c r="F7058" s="215" t="n">
        <v>46045</v>
      </c>
    </row>
    <row r="7059">
      <c r="A7059" s="215" t="n">
        <v>46048</v>
      </c>
      <c r="B7059" s="216" t="n">
        <v>71.95</v>
      </c>
      <c r="C7059" s="216" t="n">
        <v>58.16</v>
      </c>
      <c r="D7059" s="216" t="n">
        <v>1.117916941642761</v>
      </c>
      <c r="E7059" s="215" t="n">
        <v>46048</v>
      </c>
      <c r="F7059" s="215" t="n">
        <v>46048</v>
      </c>
    </row>
    <row r="7060">
      <c r="A7060" s="215" t="n">
        <v>46049</v>
      </c>
      <c r="B7060" s="216" t="n">
        <v>70.65000000000001</v>
      </c>
      <c r="C7060" s="216" t="n">
        <v>57.2</v>
      </c>
      <c r="D7060" s="216" t="n">
        <v>1.121191024780273</v>
      </c>
      <c r="E7060" s="215" t="n">
        <v>46049</v>
      </c>
      <c r="F7060" s="215" t="n">
        <v>46049</v>
      </c>
    </row>
    <row r="7061">
      <c r="A7061" s="215" t="n">
        <v>46050</v>
      </c>
      <c r="B7061" s="216" t="n">
        <v>69.45</v>
      </c>
      <c r="C7061" s="216" t="n">
        <v>56.55</v>
      </c>
      <c r="D7061" s="216" t="n">
        <v>1.121533036231995</v>
      </c>
      <c r="E7061" s="215" t="n">
        <v>46050</v>
      </c>
      <c r="F7061" s="215" t="n">
        <v>46050</v>
      </c>
    </row>
    <row r="7062">
      <c r="A7062" s="215" t="n">
        <v>46051</v>
      </c>
      <c r="B7062" s="216" t="n">
        <v>69.95</v>
      </c>
      <c r="C7062" s="216" t="n">
        <v>58.11</v>
      </c>
      <c r="D7062" s="216" t="n">
        <v>1.121621966362</v>
      </c>
      <c r="E7062" s="215" t="n">
        <v>46051</v>
      </c>
      <c r="F7062" s="215" t="n">
        <v>46051</v>
      </c>
    </row>
    <row r="7063">
      <c r="A7063" s="215" t="n">
        <v>46052</v>
      </c>
      <c r="B7063" s="216" t="n">
        <v>68.45</v>
      </c>
      <c r="C7063" s="216" t="n">
        <v>58.16</v>
      </c>
      <c r="D7063" s="216" t="n">
        <v>1.123343944549561</v>
      </c>
      <c r="E7063" s="215" t="n">
        <v>46052</v>
      </c>
      <c r="F7063" s="215" t="n">
        <v>46052</v>
      </c>
    </row>
    <row r="7064">
      <c r="A7064" s="215" t="n">
        <v>46055</v>
      </c>
      <c r="B7064" s="216" t="n">
        <v>67</v>
      </c>
      <c r="C7064" s="216" t="n">
        <v>56.49</v>
      </c>
      <c r="D7064" s="216" t="n">
        <v>1.123572945594788</v>
      </c>
      <c r="E7064" s="215" t="n">
        <v>46055</v>
      </c>
      <c r="F7064" s="215" t="n">
        <v>46055</v>
      </c>
    </row>
    <row r="7065">
      <c r="A7065" s="215" t="n">
        <v>46056</v>
      </c>
      <c r="B7065" s="216" t="n">
        <v>67</v>
      </c>
      <c r="C7065" s="216" t="n">
        <v>57.47</v>
      </c>
      <c r="D7065" s="216" t="n">
        <v>1.124274969100952</v>
      </c>
      <c r="E7065" s="215" t="n">
        <v>46056</v>
      </c>
      <c r="F7065" s="215" t="n">
        <v>46056</v>
      </c>
    </row>
    <row r="7066">
      <c r="A7066" s="215" t="n">
        <v>46057</v>
      </c>
      <c r="B7066" s="216" t="n">
        <v>66.75</v>
      </c>
      <c r="C7066" s="216" t="n">
        <v>57.6</v>
      </c>
      <c r="D7066" s="216" t="n">
        <v>1.12601101398468</v>
      </c>
      <c r="E7066" s="215" t="n">
        <v>46057</v>
      </c>
      <c r="F7066" s="215" t="n">
        <v>46057</v>
      </c>
    </row>
    <row r="7067">
      <c r="A7067" s="215" t="n">
        <v>46058</v>
      </c>
      <c r="B7067" s="216" t="n">
        <v>68.55</v>
      </c>
      <c r="C7067" s="216" t="n">
        <v>58.16</v>
      </c>
      <c r="D7067" s="216" t="n">
        <v>1.125892996788025</v>
      </c>
      <c r="E7067" s="215" t="n">
        <v>46058</v>
      </c>
      <c r="F7067" s="215" t="n">
        <v>46058</v>
      </c>
    </row>
    <row r="7068">
      <c r="A7068" s="215" t="n">
        <v>46059</v>
      </c>
      <c r="B7068" s="216" t="n">
        <v>67.65000000000001</v>
      </c>
      <c r="C7068" s="216" t="n">
        <v>57.31</v>
      </c>
      <c r="D7068" s="216" t="n">
        <v>1.126062035560608</v>
      </c>
      <c r="E7068" s="215" t="n">
        <v>46059</v>
      </c>
      <c r="F7068" s="215" t="n">
        <v>46059</v>
      </c>
    </row>
    <row r="7069">
      <c r="A7069" s="215" t="n">
        <v>46062</v>
      </c>
      <c r="B7069" s="216" t="n">
        <v>69.05</v>
      </c>
      <c r="C7069" s="216" t="n">
        <v>57.45</v>
      </c>
      <c r="D7069" s="216" t="n">
        <v>1.125753998756409</v>
      </c>
      <c r="E7069" s="215" t="n">
        <v>46062</v>
      </c>
      <c r="F7069" s="215" t="n">
        <v>46062</v>
      </c>
    </row>
    <row r="7070">
      <c r="A7070" s="215" t="n">
        <v>46063</v>
      </c>
      <c r="B7070" s="216" t="n">
        <v>69.25</v>
      </c>
      <c r="C7070" s="216" t="n">
        <v>58.4</v>
      </c>
      <c r="D7070" s="216" t="n">
        <v>1.129003047943115</v>
      </c>
      <c r="E7070" s="215" t="n">
        <v>46063</v>
      </c>
      <c r="F7070" s="215" t="n">
        <v>46063</v>
      </c>
    </row>
    <row r="7071">
      <c r="A7071" s="215" t="n">
        <v>46064</v>
      </c>
      <c r="B7071" s="216" t="n">
        <v>70.09999999999999</v>
      </c>
      <c r="C7071" s="216" t="n">
        <v>58.9</v>
      </c>
      <c r="D7071" s="216" t="n">
        <v>1.130962014198303</v>
      </c>
      <c r="E7071" s="215" t="n">
        <v>46064</v>
      </c>
      <c r="F7071" s="215" t="n">
        <v>46064</v>
      </c>
    </row>
    <row r="7072">
      <c r="A7072" s="215" t="n">
        <v>46065</v>
      </c>
      <c r="B7072" s="216" t="n">
        <v>70.59999999999999</v>
      </c>
      <c r="C7072" s="216" t="n">
        <v>58.74</v>
      </c>
      <c r="D7072" s="216" t="n">
        <v>1.130671977996826</v>
      </c>
      <c r="E7072" s="215" t="n">
        <v>46065</v>
      </c>
      <c r="F7072" s="215" t="n">
        <v>46065</v>
      </c>
    </row>
    <row r="7073">
      <c r="A7073" s="215" t="n">
        <v>46066</v>
      </c>
      <c r="B7073" s="216" t="n">
        <v>70.25</v>
      </c>
      <c r="C7073" s="216" t="n">
        <v>58.23</v>
      </c>
      <c r="D7073" s="216" t="n">
        <v>1.132490992546082</v>
      </c>
      <c r="E7073" s="215" t="n">
        <v>46066</v>
      </c>
      <c r="F7073" s="215" t="n">
        <v>46066</v>
      </c>
    </row>
    <row r="7074">
      <c r="A7074" s="215" t="n">
        <v>46069</v>
      </c>
      <c r="B7074" s="216" t="n">
        <v>70.90000000000001</v>
      </c>
      <c r="C7074" s="216" t="n">
        <v>58.23</v>
      </c>
      <c r="D7074" s="216" t="n">
        <v>1.131224036216736</v>
      </c>
      <c r="E7074" s="215" t="n">
        <v>46066</v>
      </c>
      <c r="F7074" s="215" t="n">
        <v>46069</v>
      </c>
    </row>
    <row r="7075">
      <c r="A7075" s="215" t="n">
        <v>46073</v>
      </c>
      <c r="B7075" s="216" t="n">
        <v>69.59999999999999</v>
      </c>
      <c r="C7075" s="216" t="n">
        <v>58.23</v>
      </c>
      <c r="D7075" s="216" t="n">
        <v>1.131005048751831</v>
      </c>
      <c r="E7075" s="215" t="n">
        <v>46066</v>
      </c>
      <c r="F7075" s="215" t="n">
        <v>46073</v>
      </c>
    </row>
    <row r="7076">
      <c r="A7076" s="215" t="n">
        <v>46076</v>
      </c>
      <c r="B7076" s="216" t="n">
        <v>69.65000000000001</v>
      </c>
      <c r="C7076" s="216" t="n">
        <v>58.23</v>
      </c>
      <c r="D7076" s="216" t="n">
        <v>1.130877017974854</v>
      </c>
      <c r="E7076" s="215" t="n">
        <v>46066</v>
      </c>
      <c r="F7076" s="215" t="n">
        <v>46076</v>
      </c>
    </row>
    <row r="7077">
      <c r="A7077" s="215" t="n">
        <v>46077</v>
      </c>
      <c r="B7077" s="216" t="n">
        <v>67.84999999999999</v>
      </c>
      <c r="C7077" s="216" t="n">
        <v>58.01</v>
      </c>
      <c r="D7077" s="216" t="n">
        <v>1.131631016731262</v>
      </c>
      <c r="E7077" s="215" t="n">
        <v>46077</v>
      </c>
      <c r="F7077" s="215" t="n">
        <v>46077</v>
      </c>
    </row>
    <row r="7078">
      <c r="A7078" s="215" t="n">
        <v>46078</v>
      </c>
      <c r="B7078" s="216" t="n">
        <v>68</v>
      </c>
      <c r="C7078" s="216" t="n">
        <v>57.86</v>
      </c>
      <c r="D7078" s="216" t="n">
        <v>1.136234045028687</v>
      </c>
      <c r="E7078" s="215" t="n">
        <v>46078</v>
      </c>
      <c r="F7078" s="215" t="n">
        <v>46078</v>
      </c>
    </row>
    <row r="7079">
      <c r="A7079" s="215" t="n">
        <v>46079</v>
      </c>
      <c r="B7079" s="216" t="n">
        <v>66</v>
      </c>
      <c r="C7079" s="216" t="n">
        <v>56.72</v>
      </c>
      <c r="D7079" s="216" t="n">
        <v>1.138198971748352</v>
      </c>
      <c r="E7079" s="215" t="n">
        <v>46079</v>
      </c>
      <c r="F7079" s="215" t="n">
        <v>46079</v>
      </c>
    </row>
    <row r="7080">
      <c r="A7080" s="215" t="n">
        <v>46080</v>
      </c>
      <c r="B7080" s="216" t="n">
        <v>66.5</v>
      </c>
      <c r="C7080" s="216" t="n">
        <v>56.56</v>
      </c>
      <c r="D7080" s="216" t="n">
        <v>1.143396973609924</v>
      </c>
      <c r="E7080" s="215" t="n">
        <v>46080</v>
      </c>
      <c r="F7080" s="215" t="n">
        <v>46080</v>
      </c>
    </row>
    <row r="7081">
      <c r="A7081" s="215" t="n">
        <v>46083</v>
      </c>
      <c r="B7081" s="216" t="n">
        <v>64</v>
      </c>
      <c r="C7081" s="216" t="n">
        <v>54.54</v>
      </c>
      <c r="D7081" s="216" t="n">
        <v>1.140552043914795</v>
      </c>
      <c r="E7081" s="215" t="n">
        <v>46083</v>
      </c>
      <c r="F7081" s="215" t="n">
        <v>46083</v>
      </c>
    </row>
    <row r="7082">
      <c r="A7082" s="215" t="n">
        <v>46084</v>
      </c>
      <c r="B7082" s="216" t="n">
        <v>62.5</v>
      </c>
      <c r="C7082" s="216" t="n">
        <v>53.61</v>
      </c>
      <c r="D7082" s="216" t="n">
        <v>1.136399984359741</v>
      </c>
      <c r="E7082" s="215" t="n">
        <v>46084</v>
      </c>
      <c r="F7082" s="215" t="n">
        <v>46084</v>
      </c>
    </row>
    <row r="7083">
      <c r="A7083" s="215" t="n">
        <v>46085</v>
      </c>
      <c r="B7083" s="216" t="n">
        <v>60.2</v>
      </c>
      <c r="C7083" s="216" t="n">
        <v>52.98</v>
      </c>
      <c r="D7083" s="216" t="n">
        <v>1.130928993225098</v>
      </c>
      <c r="E7083" s="215" t="n">
        <v>46085</v>
      </c>
      <c r="F7083" s="215" t="n">
        <v>46085</v>
      </c>
    </row>
    <row r="7084">
      <c r="A7084" s="215" t="n">
        <v>46086</v>
      </c>
      <c r="B7084" s="216" t="n">
        <v>62.35</v>
      </c>
      <c r="C7084" s="216" t="n">
        <v>53.72</v>
      </c>
      <c r="D7084" s="216" t="n">
        <v>1.133169054985046</v>
      </c>
      <c r="E7084" s="215" t="n">
        <v>46086</v>
      </c>
      <c r="F7084" s="215" t="n">
        <v>46086</v>
      </c>
    </row>
    <row r="7085">
      <c r="A7085" s="215" t="n">
        <v>46087</v>
      </c>
      <c r="B7085" s="216" t="n">
        <v>65.34999999999999</v>
      </c>
      <c r="C7085" s="216" t="n">
        <v>55.56</v>
      </c>
      <c r="D7085" s="216" t="n">
        <v>1.133442044258118</v>
      </c>
      <c r="E7085" s="215" t="n">
        <v>46087</v>
      </c>
      <c r="F7085" s="215" t="n">
        <v>46087</v>
      </c>
    </row>
    <row r="7086">
      <c r="A7086" s="215" t="n">
        <v>46090</v>
      </c>
      <c r="B7086" s="216" t="n">
        <v>64.75</v>
      </c>
      <c r="C7086" s="216" t="n">
        <v>54.94</v>
      </c>
      <c r="D7086" s="216" t="n">
        <v>1.133231043815613</v>
      </c>
      <c r="E7086" s="215" t="n">
        <v>46090</v>
      </c>
      <c r="F7086" s="215" t="n">
        <v>46090</v>
      </c>
    </row>
    <row r="7087">
      <c r="A7087" s="215" t="n">
        <v>46091</v>
      </c>
      <c r="B7087" s="216" t="n">
        <v>66.45</v>
      </c>
      <c r="C7087" s="216" t="n">
        <v>56.55</v>
      </c>
      <c r="D7087" s="216" t="n">
        <v>1.131595015525818</v>
      </c>
      <c r="E7087" s="215" t="n">
        <v>46091</v>
      </c>
      <c r="F7087" s="215" t="n">
        <v>46091</v>
      </c>
    </row>
    <row r="7088">
      <c r="A7088" s="215" t="n">
        <v>46092</v>
      </c>
      <c r="B7088" s="216" t="n">
        <v>65.84999999999999</v>
      </c>
      <c r="C7088" s="216" t="n">
        <v>55.83</v>
      </c>
      <c r="D7088" s="216" t="n">
        <v>1.137585043907166</v>
      </c>
      <c r="E7088" s="215" t="n">
        <v>46092</v>
      </c>
      <c r="F7088" s="215" t="n">
        <v>46092</v>
      </c>
    </row>
    <row r="7089">
      <c r="A7089" s="215" t="n">
        <v>46093</v>
      </c>
      <c r="B7089" s="216" t="n">
        <v>65.2</v>
      </c>
      <c r="C7089" s="216" t="n">
        <v>55.3</v>
      </c>
      <c r="D7089" s="216" t="n">
        <v>1.139600038528442</v>
      </c>
      <c r="E7089" s="215" t="n">
        <v>46093</v>
      </c>
      <c r="F7089" s="215" t="n">
        <v>46093</v>
      </c>
    </row>
    <row r="7090">
      <c r="A7090" s="215" t="n">
        <v>46094</v>
      </c>
      <c r="B7090" s="216" t="n">
        <v>64</v>
      </c>
      <c r="C7090" s="216" t="n">
        <v>55.11</v>
      </c>
      <c r="D7090" s="216" t="n">
        <v>1.139310002326965</v>
      </c>
      <c r="E7090" s="215" t="n">
        <v>46094</v>
      </c>
      <c r="F7090" s="215" t="n">
        <v>46094</v>
      </c>
    </row>
    <row r="7091">
      <c r="A7091" s="215" t="n">
        <v>46097</v>
      </c>
      <c r="B7091" s="216" t="n">
        <v>64.84999999999999</v>
      </c>
      <c r="C7091" s="216" t="n">
        <v>55.59</v>
      </c>
      <c r="D7091" s="216" t="n">
        <v>1.134883999824524</v>
      </c>
      <c r="E7091" s="215" t="n">
        <v>46097</v>
      </c>
      <c r="F7091" s="215" t="n">
        <v>46097</v>
      </c>
    </row>
    <row r="7092">
      <c r="A7092" s="215" t="n">
        <v>46098</v>
      </c>
      <c r="B7092" s="216" t="n">
        <v>65.45</v>
      </c>
      <c r="C7092" s="216" t="n">
        <v>56.3</v>
      </c>
      <c r="D7092" s="216" t="n">
        <v>1.125375986099243</v>
      </c>
      <c r="E7092" s="215" t="n">
        <v>46098</v>
      </c>
      <c r="F7092" s="215" t="n">
        <v>46098</v>
      </c>
    </row>
    <row r="7093">
      <c r="A7093" s="215" t="n">
        <v>46099</v>
      </c>
      <c r="B7093" s="216" t="n">
        <v>65.5</v>
      </c>
      <c r="C7093" s="216" t="n">
        <v>56.88</v>
      </c>
      <c r="D7093" s="216" t="n">
        <v>1.137819051742554</v>
      </c>
      <c r="E7093" s="215" t="n">
        <v>46099</v>
      </c>
      <c r="F7093" s="215" t="n">
        <v>46099</v>
      </c>
    </row>
    <row r="7094">
      <c r="A7094" s="215" t="n">
        <v>46100</v>
      </c>
      <c r="B7094" s="216" t="n">
        <v>65.3</v>
      </c>
      <c r="C7094" s="216" t="n">
        <v>56.02</v>
      </c>
      <c r="D7094" s="216" t="n">
        <v>1.140079021453857</v>
      </c>
      <c r="E7094" s="215" t="n">
        <v>46100</v>
      </c>
      <c r="F7094" s="215" t="n">
        <v>46100</v>
      </c>
    </row>
    <row r="7095">
      <c r="A7095" s="215" t="n">
        <v>46101</v>
      </c>
      <c r="B7095" s="216" t="n">
        <v>64.75</v>
      </c>
      <c r="C7095" s="216" t="n">
        <v>55.14</v>
      </c>
      <c r="D7095" s="216" t="n">
        <v>1.13490903377533</v>
      </c>
      <c r="E7095" s="215" t="n">
        <v>46101</v>
      </c>
      <c r="F7095" s="215" t="n">
        <v>46101</v>
      </c>
    </row>
    <row r="7096">
      <c r="A7096" s="215" t="n">
        <v>46104</v>
      </c>
      <c r="B7096" s="216" t="n">
        <v>61.8</v>
      </c>
      <c r="C7096" s="216" t="n">
        <v>52.78</v>
      </c>
      <c r="D7096" s="216" t="n">
        <v>1.137529969215393</v>
      </c>
      <c r="E7096" s="215" t="n">
        <v>46104</v>
      </c>
      <c r="F7096" s="215" t="n">
        <v>46104</v>
      </c>
    </row>
    <row r="7097">
      <c r="A7097" s="215" t="n">
        <v>46105</v>
      </c>
      <c r="B7097" s="216" t="n">
        <v>63.95</v>
      </c>
      <c r="C7097" s="216" t="n">
        <v>53.64</v>
      </c>
      <c r="D7097" s="216" t="n">
        <v>1.138481974601746</v>
      </c>
      <c r="E7097" s="215" t="n">
        <v>46105</v>
      </c>
      <c r="F7097" s="215" t="n">
        <v>46105</v>
      </c>
    </row>
    <row r="7098">
      <c r="A7098" s="215" t="n">
        <v>46106</v>
      </c>
      <c r="B7098" s="216" t="n">
        <v>63.35</v>
      </c>
      <c r="C7098" s="216" t="n">
        <v>54.1</v>
      </c>
      <c r="D7098" s="216" t="n">
        <v>1.135548949241638</v>
      </c>
      <c r="E7098" s="215" t="n">
        <v>46106</v>
      </c>
      <c r="F7098" s="215" t="n">
        <v>46106</v>
      </c>
    </row>
    <row r="7099">
      <c r="A7099" s="215" t="n">
        <v>46107</v>
      </c>
      <c r="B7099" s="216" t="n">
        <v>61.25</v>
      </c>
      <c r="C7099" s="216" t="n">
        <v>51.63</v>
      </c>
      <c r="D7099" s="216" t="n">
        <v>1.132627010345459</v>
      </c>
      <c r="E7099" s="215" t="n">
        <v>46107</v>
      </c>
      <c r="F7099" s="215" t="n">
        <v>46107</v>
      </c>
    </row>
    <row r="7100">
      <c r="A7100" s="215" t="n">
        <v>46108</v>
      </c>
      <c r="B7100" s="216" t="n">
        <v>66</v>
      </c>
      <c r="C7100" s="216" t="n">
        <v>55.18</v>
      </c>
      <c r="D7100" s="216" t="n">
        <v>1.132115960121155</v>
      </c>
      <c r="E7100" s="215" t="n">
        <v>46108</v>
      </c>
      <c r="F7100" s="215" t="n">
        <v>46108</v>
      </c>
    </row>
    <row r="7101">
      <c r="A7101" s="215" t="n">
        <v>46111</v>
      </c>
      <c r="B7101" s="216" t="n">
        <v>65.65000000000001</v>
      </c>
      <c r="C7101" s="216" t="n">
        <v>55.76</v>
      </c>
      <c r="D7101" s="216" t="n">
        <v>1.13311505317688</v>
      </c>
      <c r="E7101" s="215" t="n">
        <v>46111</v>
      </c>
      <c r="F7101" s="215" t="n">
        <v>46111</v>
      </c>
    </row>
    <row r="7102">
      <c r="A7102" s="215" t="n">
        <v>46112</v>
      </c>
      <c r="B7102" s="216" t="n">
        <v>64.5</v>
      </c>
      <c r="C7102" s="216" t="n">
        <v>55.22</v>
      </c>
      <c r="D7102" s="216" t="n">
        <v>1.133540987968445</v>
      </c>
      <c r="E7102" s="215" t="n">
        <v>46112</v>
      </c>
      <c r="F7102" s="215" t="n">
        <v>46112</v>
      </c>
    </row>
    <row r="7103">
      <c r="A7103" s="215" t="n">
        <v>46113</v>
      </c>
      <c r="B7103" s="216" t="n">
        <v>66.90000000000001</v>
      </c>
      <c r="C7103" s="216" t="n">
        <v>57.73</v>
      </c>
      <c r="D7103" s="216" t="n">
        <v>1.136669993400574</v>
      </c>
      <c r="E7103" s="215" t="n">
        <v>46113</v>
      </c>
      <c r="F7103" s="215" t="n">
        <v>46113</v>
      </c>
    </row>
    <row r="7104">
      <c r="A7104" s="215" t="n">
        <v>46114</v>
      </c>
      <c r="B7104" s="216" t="n">
        <v>66.65000000000001</v>
      </c>
      <c r="C7104" s="216" t="n">
        <v>57.37</v>
      </c>
      <c r="D7104" s="216" t="n">
        <v>1.140197992324829</v>
      </c>
      <c r="E7104" s="215" t="n">
        <v>46114</v>
      </c>
      <c r="F7104" s="215" t="n">
        <v>46114</v>
      </c>
    </row>
    <row r="7105">
      <c r="A7105" s="215" t="n">
        <v>46120</v>
      </c>
      <c r="B7105" s="216" t="n">
        <v>66.65000000000001</v>
      </c>
      <c r="C7105" s="216" t="n">
        <v>57.45</v>
      </c>
      <c r="D7105" s="216" t="n">
        <v>1.1423499584198</v>
      </c>
      <c r="E7105" s="215" t="n">
        <v>46120</v>
      </c>
      <c r="F7105" s="215" t="n">
        <v>46120</v>
      </c>
    </row>
    <row r="7106">
      <c r="A7106" s="215" t="n">
        <v>46121</v>
      </c>
      <c r="B7106" s="216" t="n">
        <v>66.65000000000001</v>
      </c>
      <c r="C7106" s="216" t="n">
        <v>56.96</v>
      </c>
      <c r="D7106" s="216" t="n">
        <v>1.146731972694397</v>
      </c>
      <c r="E7106" s="215" t="n">
        <v>46121</v>
      </c>
      <c r="F7106" s="215" t="n">
        <v>46121</v>
      </c>
    </row>
    <row r="7107">
      <c r="A7107" s="215" t="n">
        <v>46122</v>
      </c>
      <c r="B7107" s="216" t="n">
        <v>67.5</v>
      </c>
      <c r="C7107" s="216" t="n">
        <v>57.06</v>
      </c>
      <c r="D7107" s="216" t="n">
        <v>1.146558046340942</v>
      </c>
      <c r="E7107" s="215" t="n">
        <v>46122</v>
      </c>
      <c r="F7107" s="215" t="n">
        <v>46122</v>
      </c>
    </row>
    <row r="7108">
      <c r="A7108" s="215" t="n">
        <v>46125</v>
      </c>
      <c r="B7108" s="216" t="n">
        <v>64.7</v>
      </c>
      <c r="C7108" s="216" t="n">
        <v>55.2</v>
      </c>
      <c r="D7108" s="216" t="n">
        <v>1.147117972373962</v>
      </c>
      <c r="E7108" s="215" t="n">
        <v>46125</v>
      </c>
      <c r="F7108" s="215" t="n">
        <v>46125</v>
      </c>
    </row>
    <row r="7109">
      <c r="A7109" s="215" t="n">
        <v>46126</v>
      </c>
      <c r="B7109" s="216" t="n">
        <v>65.65000000000001</v>
      </c>
      <c r="C7109" s="216" t="n">
        <v>56.18</v>
      </c>
      <c r="D7109" s="216" t="n">
        <v>1.146226048469543</v>
      </c>
      <c r="E7109" s="215" t="n">
        <v>46126</v>
      </c>
      <c r="F7109" s="215" t="n">
        <v>46126</v>
      </c>
    </row>
    <row r="7110">
      <c r="A7110" s="215" t="n">
        <v>46127</v>
      </c>
      <c r="B7110" s="216" t="n">
        <v>68.3</v>
      </c>
      <c r="C7110" s="216" t="n">
        <v>57.73</v>
      </c>
      <c r="D7110" s="216" t="n">
        <v>1.149266004562378</v>
      </c>
      <c r="E7110" s="215" t="n">
        <v>46127</v>
      </c>
      <c r="F7110" s="215" t="n">
        <v>46127</v>
      </c>
    </row>
    <row r="7111">
      <c r="A7111" s="215" t="n">
        <v>46128</v>
      </c>
      <c r="B7111" s="216" t="n">
        <v>68.55</v>
      </c>
      <c r="C7111" s="216" t="n">
        <v>57.47</v>
      </c>
      <c r="D7111" s="216" t="n">
        <v>1.148550033569336</v>
      </c>
      <c r="E7111" s="215" t="n">
        <v>46128</v>
      </c>
      <c r="F7111" s="215" t="n">
        <v>46128</v>
      </c>
    </row>
    <row r="7112">
      <c r="A7112" s="215" t="n">
        <v>46129</v>
      </c>
      <c r="B7112" s="216" t="n">
        <v>66.40000000000001</v>
      </c>
      <c r="C7112" s="216" t="n">
        <v>56.33</v>
      </c>
      <c r="D7112" s="216" t="n">
        <v>1.146605014801025</v>
      </c>
      <c r="E7112" s="215" t="n">
        <v>46129</v>
      </c>
      <c r="F7112" s="215" t="n">
        <v>46129</v>
      </c>
    </row>
    <row r="7113">
      <c r="A7113" s="215" t="n">
        <v>46132</v>
      </c>
      <c r="B7113" s="216" t="n">
        <v>67.8</v>
      </c>
      <c r="C7113" s="216" t="n">
        <v>56.34</v>
      </c>
      <c r="D7113" s="216" t="n">
        <v>1.148360967636108</v>
      </c>
      <c r="E7113" s="215" t="n">
        <v>46132</v>
      </c>
      <c r="F7113" s="215" t="n">
        <v>46132</v>
      </c>
    </row>
    <row r="7114">
      <c r="A7114" s="215" t="n">
        <v>46133</v>
      </c>
      <c r="B7114" s="216" t="n">
        <v>66.90000000000001</v>
      </c>
      <c r="C7114" s="216" t="n">
        <v>55.75</v>
      </c>
      <c r="D7114" s="216" t="n">
        <v>1.148368000984192</v>
      </c>
      <c r="E7114" s="215" t="n">
        <v>46133</v>
      </c>
      <c r="F7114" s="215" t="n">
        <v>46133</v>
      </c>
    </row>
    <row r="7115">
      <c r="A7115" s="215" t="n">
        <v>46134</v>
      </c>
      <c r="B7115" s="216" t="n">
        <v>66.84999999999999</v>
      </c>
      <c r="C7115" s="216" t="n">
        <v>55.44</v>
      </c>
      <c r="D7115" s="216" t="n">
        <v>1.147838950157166</v>
      </c>
      <c r="E7115" s="215" t="n">
        <v>46134</v>
      </c>
      <c r="F7115" s="215" t="n">
        <v>46134</v>
      </c>
    </row>
    <row r="7116">
      <c r="A7116" s="215" t="n">
        <v>46135</v>
      </c>
      <c r="B7116" s="216" t="n">
        <v>68.7</v>
      </c>
      <c r="C7116" s="216" t="n">
        <v>56.4</v>
      </c>
      <c r="D7116" s="216" t="n">
        <v>1.147513031959534</v>
      </c>
      <c r="E7116" s="215" t="n">
        <v>46135</v>
      </c>
      <c r="F7116" s="215" t="n">
        <v>46135</v>
      </c>
    </row>
    <row r="7117">
      <c r="A7117" s="215" t="n">
        <v>46136</v>
      </c>
      <c r="B7117" s="216" t="n">
        <v>68.84999999999999</v>
      </c>
      <c r="C7117" s="216" t="n">
        <v>56.05</v>
      </c>
      <c r="D7117" s="216" t="n">
        <v>1.147369027137756</v>
      </c>
      <c r="E7117" s="215" t="n">
        <v>46136</v>
      </c>
      <c r="F7117" s="215" t="n">
        <v>46136</v>
      </c>
    </row>
    <row r="7118">
      <c r="A7118" s="215" t="n">
        <v>46139</v>
      </c>
      <c r="B7118" s="216" t="n">
        <v>67.59999999999999</v>
      </c>
      <c r="C7118" s="216" t="n">
        <v>55.38</v>
      </c>
      <c r="D7118" s="216" t="n">
        <v>1.146002054214478</v>
      </c>
      <c r="E7118" s="215" t="n">
        <v>46139</v>
      </c>
      <c r="F7118" s="215" t="n">
        <v>46139</v>
      </c>
    </row>
    <row r="7119">
      <c r="A7119" s="215" t="n">
        <v>46140</v>
      </c>
      <c r="B7119" s="216" t="n">
        <v>65.7</v>
      </c>
      <c r="C7119" s="216" t="n">
        <v>54.84</v>
      </c>
      <c r="D7119" s="216" t="n">
        <v>1.148522019386292</v>
      </c>
      <c r="E7119" s="215" t="n">
        <v>46140</v>
      </c>
      <c r="F7119" s="215" t="n">
        <v>46140</v>
      </c>
    </row>
    <row r="7120">
      <c r="A7120" s="215" t="n">
        <v>46141</v>
      </c>
      <c r="B7120" s="216" t="n">
        <v>66.55</v>
      </c>
      <c r="C7120" s="216" t="n">
        <v>54.99</v>
      </c>
      <c r="D7120" s="216" t="n">
        <v>1.145936012268066</v>
      </c>
      <c r="E7120" s="215" t="n">
        <v>46141</v>
      </c>
      <c r="F7120" s="215" t="n">
        <v>46141</v>
      </c>
    </row>
    <row r="7121">
      <c r="A7121" s="215" t="n">
        <v>46142</v>
      </c>
      <c r="B7121" s="216" t="n">
        <v>65</v>
      </c>
      <c r="C7121" s="216" t="n">
        <v>53.88</v>
      </c>
      <c r="D7121" s="216" t="n">
        <v>1.145792007446289</v>
      </c>
      <c r="E7121" s="215" t="n">
        <v>46142</v>
      </c>
      <c r="F7121" s="215" t="n">
        <v>46142</v>
      </c>
    </row>
    <row r="7122">
      <c r="A7122" s="215" t="n">
        <v>46146</v>
      </c>
      <c r="B7122" s="216" t="n">
        <v>67.40000000000001</v>
      </c>
      <c r="C7122" s="216" t="n">
        <v>53.88</v>
      </c>
      <c r="D7122" s="216" t="n">
        <v>1.147340059280396</v>
      </c>
      <c r="E7122" s="215" t="n">
        <v>46142</v>
      </c>
      <c r="F7122" s="215" t="n">
        <v>46146</v>
      </c>
    </row>
    <row r="7123">
      <c r="A7123" s="215" t="n">
        <v>46147</v>
      </c>
      <c r="B7123" s="216" t="n">
        <v>66.3</v>
      </c>
      <c r="C7123" s="216" t="n">
        <v>53.88</v>
      </c>
      <c r="D7123" s="216" t="n">
        <v>1.146813988685608</v>
      </c>
      <c r="E7123" s="215" t="n">
        <v>46142</v>
      </c>
      <c r="F7123" s="215" t="n">
        <v>46147</v>
      </c>
    </row>
    <row r="7124">
      <c r="A7124" s="215" t="n">
        <v>46148</v>
      </c>
      <c r="B7124" s="216" t="n">
        <v>65.45</v>
      </c>
      <c r="C7124" s="216" t="n">
        <v>53.63</v>
      </c>
      <c r="D7124" s="216" t="n">
        <v>1.14708399772644</v>
      </c>
      <c r="E7124" s="215" t="n">
        <v>46148</v>
      </c>
      <c r="F7124" s="215" t="n">
        <v>46148</v>
      </c>
    </row>
    <row r="7125">
      <c r="A7125" s="215" t="n">
        <v>46149</v>
      </c>
      <c r="B7125" s="216" t="n">
        <v>65.55</v>
      </c>
      <c r="C7125" s="216" t="n">
        <v>53.68</v>
      </c>
      <c r="D7125" s="216" t="n">
        <v>1.150125026702881</v>
      </c>
      <c r="E7125" s="215" t="n">
        <v>46149</v>
      </c>
      <c r="F7125" s="215" t="n">
        <v>46149</v>
      </c>
    </row>
    <row r="7126">
      <c r="A7126" s="215" t="n">
        <v>46150</v>
      </c>
      <c r="B7126" s="216" t="n">
        <v>64.55</v>
      </c>
      <c r="C7126" s="216" t="n">
        <v>52.8</v>
      </c>
      <c r="D7126" s="216" t="n">
        <v>1.15172004699707</v>
      </c>
      <c r="E7126" s="215" t="n">
        <v>46150</v>
      </c>
      <c r="F7126" s="215" t="n">
        <v>46150</v>
      </c>
    </row>
    <row r="7127">
      <c r="A7127" s="215" t="n">
        <v>46153</v>
      </c>
      <c r="B7127" s="216" t="n">
        <v>66.05</v>
      </c>
      <c r="C7127" s="216" t="n">
        <v>53.52</v>
      </c>
      <c r="D7127" s="216" t="n">
        <v>1.151090025901794</v>
      </c>
      <c r="E7127" s="215" t="n">
        <v>46153</v>
      </c>
      <c r="F7127" s="215" t="n">
        <v>46153</v>
      </c>
    </row>
    <row r="7128">
      <c r="A7128" s="215" t="n">
        <v>46154</v>
      </c>
      <c r="B7128" s="216" t="n">
        <v>69.25</v>
      </c>
      <c r="C7128" s="216" t="n">
        <v>56.11</v>
      </c>
      <c r="D7128" s="216" t="n">
        <v>1.152078986167908</v>
      </c>
      <c r="E7128" s="215" t="n">
        <v>46154</v>
      </c>
      <c r="F7128" s="215" t="n">
        <v>46154</v>
      </c>
    </row>
    <row r="7129">
      <c r="A7129" s="215" t="n">
        <v>46155</v>
      </c>
      <c r="B7129" s="216" t="n">
        <v>68.84999999999999</v>
      </c>
      <c r="C7129" s="216" t="n">
        <v>55.86</v>
      </c>
      <c r="D7129" s="216" t="n">
        <v>1.152537941932678</v>
      </c>
      <c r="E7129" s="215" t="n">
        <v>46155</v>
      </c>
      <c r="F7129" s="215" t="n">
        <v>46155</v>
      </c>
    </row>
    <row r="7130">
      <c r="A7130" s="215" t="n">
        <v>46156</v>
      </c>
      <c r="B7130" s="216" t="n">
        <v>66.40000000000001</v>
      </c>
      <c r="C7130" s="216" t="n">
        <v>54.32</v>
      </c>
      <c r="D7130" s="216" t="n">
        <v>1.152662992477417</v>
      </c>
      <c r="E7130" s="215" t="n">
        <v>46156</v>
      </c>
      <c r="F7130" s="215" t="n">
        <v>46156</v>
      </c>
    </row>
    <row r="7131">
      <c r="A7131" s="215" t="n">
        <v>46157</v>
      </c>
      <c r="B7131" s="216" t="n">
        <v>65.75</v>
      </c>
      <c r="C7131" s="216" t="n">
        <v>53.99</v>
      </c>
      <c r="D7131" s="216" t="n">
        <v>1.154320001602173</v>
      </c>
      <c r="E7131" s="215" t="n">
        <v>46157</v>
      </c>
      <c r="F7131" s="215" t="n">
        <v>46157</v>
      </c>
    </row>
    <row r="7132">
      <c r="A7132" s="215" t="n">
        <v>46160</v>
      </c>
      <c r="B7132" s="216" t="n">
        <v>63.2</v>
      </c>
      <c r="C7132" s="216" t="n">
        <v>52.43</v>
      </c>
      <c r="D7132" s="216" t="n">
        <v>1.149821996688843</v>
      </c>
      <c r="E7132" s="215" t="n">
        <v>46160</v>
      </c>
      <c r="F7132" s="215" t="n">
        <v>46160</v>
      </c>
    </row>
    <row r="7133">
      <c r="A7133" s="215" t="n">
        <v>46161</v>
      </c>
      <c r="B7133" s="216" t="n">
        <v>61.5</v>
      </c>
      <c r="C7133" s="216" t="n">
        <v>51.59</v>
      </c>
      <c r="D7133" s="216" t="n">
        <v>1.151532053947449</v>
      </c>
      <c r="E7133" s="215" t="n">
        <v>46161</v>
      </c>
      <c r="F7133" s="215" t="n">
        <v>46161</v>
      </c>
    </row>
    <row r="7134">
      <c r="A7134" s="215" t="n">
        <v>46162</v>
      </c>
      <c r="B7134" s="216" t="n">
        <v>61.05</v>
      </c>
      <c r="C7134" s="216" t="n">
        <v>50.95</v>
      </c>
      <c r="D7134" s="216" t="n">
        <v>1.149292945861816</v>
      </c>
      <c r="E7134" s="215" t="n">
        <v>46162</v>
      </c>
      <c r="F7134" s="215" t="n">
        <v>46162</v>
      </c>
    </row>
    <row r="7135">
      <c r="A7135" s="215" t="n">
        <v>46163</v>
      </c>
      <c r="B7135" s="216" t="n">
        <v>62.4</v>
      </c>
      <c r="C7135" s="216" t="n">
        <v>51.45</v>
      </c>
      <c r="D7135" s="216" t="n">
        <v>1.151231050491333</v>
      </c>
      <c r="E7135" s="215" t="n">
        <v>46163</v>
      </c>
      <c r="F7135" s="215" t="n">
        <v>46163</v>
      </c>
    </row>
    <row r="7136">
      <c r="A7136" s="215" t="n">
        <v>46164</v>
      </c>
      <c r="B7136" s="216" t="n">
        <v>61.35</v>
      </c>
      <c r="C7136" s="216" t="n">
        <v>50.47</v>
      </c>
      <c r="D7136" s="216" t="n">
        <v>1.151487946510315</v>
      </c>
      <c r="E7136" s="215" t="n">
        <v>46164</v>
      </c>
      <c r="F7136" s="215" t="n">
        <v>46164</v>
      </c>
    </row>
    <row r="7137">
      <c r="A7137" s="215" t="n">
        <v>46168</v>
      </c>
      <c r="B7137" s="216" t="n">
        <v>59.65</v>
      </c>
      <c r="C7137" s="216" t="n">
        <v>49.2</v>
      </c>
      <c r="D7137" s="216" t="n">
        <v>1.152968049049377</v>
      </c>
      <c r="E7137" s="215" t="n">
        <v>46168</v>
      </c>
      <c r="F7137" s="215" t="n">
        <v>46168</v>
      </c>
    </row>
    <row r="7138">
      <c r="A7138" s="215" t="n">
        <v>46169</v>
      </c>
      <c r="B7138" s="216" t="n">
        <v>60.15</v>
      </c>
      <c r="C7138" s="216" t="n">
        <v>50.37</v>
      </c>
      <c r="D7138" s="216" t="n">
        <v>1.154562950134277</v>
      </c>
      <c r="E7138" s="215" t="n">
        <v>46169</v>
      </c>
      <c r="F7138" s="215" t="n">
        <v>46169</v>
      </c>
    </row>
    <row r="7139">
      <c r="A7139" s="215" t="n">
        <v>46170</v>
      </c>
      <c r="B7139" s="216" t="n">
        <v>58.2</v>
      </c>
      <c r="C7139" s="216" t="n">
        <v>48</v>
      </c>
      <c r="D7139" s="216" t="n">
        <v>1.155385971069336</v>
      </c>
      <c r="E7139" s="215" t="n">
        <v>46170</v>
      </c>
      <c r="F7139" s="215" t="n">
        <v>46170</v>
      </c>
    </row>
    <row r="7140">
      <c r="A7140" s="215" t="n">
        <v>46171</v>
      </c>
      <c r="B7140" s="216" t="n">
        <v>60.2</v>
      </c>
      <c r="C7140" s="216" t="n">
        <v>50.19</v>
      </c>
      <c r="D7140" s="216" t="n">
        <v>1.155282974243164</v>
      </c>
      <c r="E7140" s="215" t="n">
        <v>46171</v>
      </c>
      <c r="F7140" s="215" t="n">
        <v>46171</v>
      </c>
    </row>
    <row r="7141">
      <c r="A7141" s="215" t="n">
        <v>46174</v>
      </c>
      <c r="B7141" s="216" t="n">
        <v>58.5</v>
      </c>
      <c r="C7141" s="216" t="n">
        <v>49.17</v>
      </c>
      <c r="D7141" s="216" t="n">
        <v>1.158049941062927</v>
      </c>
      <c r="E7141" s="215" t="n">
        <v>46174</v>
      </c>
      <c r="F7141" s="215" t="n">
        <v>46174</v>
      </c>
    </row>
    <row r="7142">
      <c r="A7142" s="215" t="n">
        <v>46175</v>
      </c>
      <c r="B7142" s="216" t="n">
        <v>58.85</v>
      </c>
      <c r="C7142" s="216" t="n">
        <v>48.4</v>
      </c>
      <c r="D7142" s="216" t="n">
        <v>1.158406972885132</v>
      </c>
      <c r="E7142" s="215" t="n">
        <v>46175</v>
      </c>
      <c r="F7142" s="215" t="n">
        <v>46175</v>
      </c>
    </row>
    <row r="7143">
      <c r="A7143" s="215" t="n">
        <v>46176</v>
      </c>
      <c r="B7143" s="216" t="n">
        <v>54.7</v>
      </c>
      <c r="C7143" s="216" t="n">
        <v>47.2</v>
      </c>
      <c r="D7143" s="216" t="n">
        <v>1.15879499912262</v>
      </c>
      <c r="E7143" s="215" t="n">
        <v>46176</v>
      </c>
      <c r="F7143" s="215" t="n">
        <v>46176</v>
      </c>
    </row>
    <row r="7144">
      <c r="A7144" s="215" t="n">
        <v>46177</v>
      </c>
      <c r="B7144" s="216" t="n">
        <v>53.35</v>
      </c>
      <c r="C7144" s="216" t="n">
        <v>46.63</v>
      </c>
      <c r="D7144" s="216" t="n">
        <v>1.157420039176941</v>
      </c>
      <c r="E7144" s="215" t="n">
        <v>46177</v>
      </c>
      <c r="F7144" s="215" t="n">
        <v>46177</v>
      </c>
    </row>
    <row r="7145">
      <c r="A7145" s="215" t="n">
        <v>46178</v>
      </c>
      <c r="B7145" s="216" t="n">
        <v>54.5</v>
      </c>
      <c r="C7145" s="216" t="n">
        <v>47.08</v>
      </c>
      <c r="D7145" s="216" t="n">
        <v>1.156491994857788</v>
      </c>
      <c r="E7145" s="215" t="n">
        <v>46178</v>
      </c>
      <c r="F7145" s="215" t="n">
        <v>46178</v>
      </c>
    </row>
    <row r="7146">
      <c r="A7146" s="215" t="n">
        <v>46181</v>
      </c>
      <c r="B7146" s="216" t="n">
        <v>52.45</v>
      </c>
      <c r="C7146" s="216" t="n">
        <v>45.94</v>
      </c>
      <c r="D7146" s="216" t="n">
        <v>1.157665967941284</v>
      </c>
      <c r="E7146" s="215" t="n">
        <v>46181</v>
      </c>
      <c r="F7146" s="215" t="n">
        <v>46181</v>
      </c>
    </row>
    <row r="7147">
      <c r="A7147" s="215" t="n">
        <v>46182</v>
      </c>
      <c r="B7147" s="216" t="n">
        <v>52.9</v>
      </c>
      <c r="C7147" s="216" t="n">
        <v>46.38</v>
      </c>
      <c r="D7147" s="216" t="n">
        <v>1.158027052879333</v>
      </c>
      <c r="E7147" s="215" t="n">
        <v>46182</v>
      </c>
      <c r="F7147" s="215" t="n">
        <v>46182</v>
      </c>
    </row>
    <row r="7148">
      <c r="A7148" s="215" t="n">
        <v>46183</v>
      </c>
      <c r="B7148" s="216" t="n">
        <v>53.85</v>
      </c>
      <c r="C7148" s="216" t="n">
        <v>47.01</v>
      </c>
      <c r="D7148" s="216" t="n">
        <v>1.157112002372742</v>
      </c>
      <c r="E7148" s="215" t="n">
        <v>46183</v>
      </c>
      <c r="F7148" s="215" t="n">
        <v>46183</v>
      </c>
    </row>
    <row r="7149">
      <c r="A7149" s="215" t="n">
        <v>46184</v>
      </c>
      <c r="B7149" s="216" t="n">
        <v>52.55</v>
      </c>
      <c r="C7149" s="216" t="n">
        <v>46.98</v>
      </c>
      <c r="D7149" s="216" t="n">
        <v>1.156929016113281</v>
      </c>
      <c r="E7149" s="215" t="n">
        <v>46184</v>
      </c>
      <c r="F7149" s="215" t="n">
        <v>46184</v>
      </c>
    </row>
    <row r="7150">
      <c r="A7150" s="215" t="n">
        <v>46185</v>
      </c>
      <c r="B7150" s="216" t="n">
        <v>55.15</v>
      </c>
      <c r="C7150" s="216" t="n">
        <v>48.49</v>
      </c>
      <c r="D7150" s="216" t="n">
        <v>1.156345963478088</v>
      </c>
      <c r="E7150" s="215" t="n">
        <v>46185</v>
      </c>
      <c r="F7150" s="215" t="n">
        <v>46185</v>
      </c>
    </row>
    <row r="7151">
      <c r="A7151" s="215" t="n">
        <v>46188</v>
      </c>
      <c r="B7151" s="216" t="n">
        <v>54.05</v>
      </c>
      <c r="C7151" s="216" t="n">
        <v>47.88</v>
      </c>
      <c r="D7151" s="216" t="n">
        <v>1.156880021095276</v>
      </c>
      <c r="E7151" s="215" t="n">
        <v>46188</v>
      </c>
      <c r="F7151" s="215" t="n">
        <v>46188</v>
      </c>
    </row>
    <row r="7152">
      <c r="A7152" s="215" t="n">
        <v>46189</v>
      </c>
      <c r="B7152" s="216" t="n">
        <v>54.05</v>
      </c>
      <c r="C7152" s="216" t="n">
        <v>47.35</v>
      </c>
      <c r="D7152" s="216" t="n">
        <v>1.158604025840759</v>
      </c>
      <c r="E7152" s="215" t="n">
        <v>46189</v>
      </c>
      <c r="F7152" s="215" t="n">
        <v>46189</v>
      </c>
    </row>
    <row r="7153">
      <c r="A7153" s="215" t="n">
        <v>46190</v>
      </c>
      <c r="B7153" s="216" t="n">
        <v>53</v>
      </c>
      <c r="C7153" s="216" t="n">
        <v>46.99</v>
      </c>
      <c r="D7153" s="216" t="n">
        <v>1.158974051475525</v>
      </c>
      <c r="E7153" s="215" t="n">
        <v>46190</v>
      </c>
      <c r="F7153" s="215" t="n">
        <v>46190</v>
      </c>
    </row>
    <row r="7154">
      <c r="A7154" s="215" t="n">
        <v>46191</v>
      </c>
      <c r="B7154" s="216" t="n">
        <v>54.65</v>
      </c>
      <c r="C7154" s="216" t="n">
        <v>48.42</v>
      </c>
      <c r="D7154" s="216" t="n">
        <v>1.159355998039246</v>
      </c>
      <c r="E7154" s="215" t="n">
        <v>46191</v>
      </c>
      <c r="F7154" s="215" t="n">
        <v>46191</v>
      </c>
    </row>
    <row r="7155">
      <c r="A7155" s="215" t="n">
        <v>46195</v>
      </c>
      <c r="B7155" s="216" t="n">
        <v>54.95</v>
      </c>
      <c r="C7155" s="216" t="n">
        <v>49.36</v>
      </c>
      <c r="D7155" s="216" t="n">
        <v>1.157493948936462</v>
      </c>
      <c r="E7155" s="215" t="n">
        <v>46195</v>
      </c>
      <c r="F7155" s="215" t="n">
        <v>46195</v>
      </c>
    </row>
    <row r="7156">
      <c r="A7156" s="215" t="n">
        <v>46196</v>
      </c>
      <c r="B7156" s="216" t="n">
        <v>56.15</v>
      </c>
      <c r="C7156" s="216" t="n">
        <v>48.98</v>
      </c>
      <c r="D7156" s="216" t="n">
        <v>1.156896948814392</v>
      </c>
      <c r="E7156" s="215" t="n">
        <v>46196</v>
      </c>
      <c r="F7156" s="215" t="n">
        <v>46196</v>
      </c>
    </row>
    <row r="7157">
      <c r="A7157" s="215" t="n">
        <v>46197</v>
      </c>
      <c r="B7157" s="216" t="n">
        <v>56.6</v>
      </c>
      <c r="C7157" s="216" t="n">
        <v>50.25</v>
      </c>
      <c r="D7157" s="216" t="n">
        <v>1.154508948326111</v>
      </c>
      <c r="E7157" s="215" t="n">
        <v>46197</v>
      </c>
      <c r="F7157" s="215" t="n">
        <v>46197</v>
      </c>
    </row>
    <row r="7158">
      <c r="A7158" s="215" t="n">
        <v>46198</v>
      </c>
      <c r="B7158" s="216" t="n">
        <v>56.6</v>
      </c>
      <c r="C7158" s="216" t="n">
        <v>50.04</v>
      </c>
      <c r="D7158" s="216" t="n">
        <v>1.154152035713196</v>
      </c>
      <c r="E7158" s="215" t="n">
        <v>46198</v>
      </c>
      <c r="F7158" s="215" t="n">
        <v>46198</v>
      </c>
    </row>
    <row r="7159">
      <c r="A7159" s="215" t="n">
        <v>46199</v>
      </c>
      <c r="B7159" s="216" t="n">
        <v>52.95</v>
      </c>
      <c r="C7159" s="216" t="n">
        <v>48.67</v>
      </c>
      <c r="D7159" s="216" t="n">
        <v>1.154500961303711</v>
      </c>
      <c r="E7159" s="215" t="n">
        <v>46199</v>
      </c>
      <c r="F7159" s="215" t="n">
        <v>46199</v>
      </c>
    </row>
    <row r="7160">
      <c r="A7160" s="215" t="n">
        <v>46202</v>
      </c>
      <c r="B7160" s="216" t="n">
        <v>58.15</v>
      </c>
      <c r="C7160" s="216" t="n">
        <v>52.93</v>
      </c>
      <c r="D7160" s="216" t="n">
        <v>1.153512001037598</v>
      </c>
      <c r="E7160" s="215" t="n">
        <v>46202</v>
      </c>
      <c r="F7160" s="215" t="n">
        <v>46202</v>
      </c>
    </row>
    <row r="7161">
      <c r="A7161" s="215" t="n">
        <v>46203</v>
      </c>
      <c r="B7161" s="216" t="n">
        <v>57.85</v>
      </c>
      <c r="C7161" s="216" t="n">
        <v>52.04</v>
      </c>
      <c r="D7161" s="216" t="n">
        <v>1.153959035873413</v>
      </c>
      <c r="E7161" s="215" t="n">
        <v>46203</v>
      </c>
      <c r="F7161" s="215" t="n">
        <v>46203</v>
      </c>
    </row>
    <row r="7162">
      <c r="A7162" s="215" t="n">
        <v>46205</v>
      </c>
      <c r="B7162" s="216" t="n">
        <v>59.4</v>
      </c>
      <c r="C7162" s="216" t="n">
        <v>53.49</v>
      </c>
      <c r="D7162" s="216" t="n">
        <v>1.154355049133301</v>
      </c>
      <c r="E7162" s="215" t="n">
        <v>46205</v>
      </c>
      <c r="F7162" s="215" t="n">
        <v>46205</v>
      </c>
    </row>
    <row r="7163">
      <c r="A7163" s="215" t="n">
        <v>46206</v>
      </c>
      <c r="B7163" s="216" t="n">
        <v>59.9</v>
      </c>
      <c r="C7163" s="216" t="n">
        <v>54.45</v>
      </c>
      <c r="D7163" s="216" t="n">
        <v>1.155220985412598</v>
      </c>
      <c r="E7163" s="215" t="n">
        <v>46206</v>
      </c>
      <c r="F7163" s="215" t="n">
        <v>46206</v>
      </c>
    </row>
    <row r="7164">
      <c r="A7164" s="215" t="n">
        <v>46209</v>
      </c>
      <c r="B7164" s="216" t="n">
        <v>60.75</v>
      </c>
      <c r="C7164" s="216" t="n">
        <v>56.77</v>
      </c>
      <c r="D7164" s="216" t="n">
        <v>1.155068039894104</v>
      </c>
      <c r="E7164" s="215" t="n">
        <v>46209</v>
      </c>
      <c r="F7164" s="215" t="n">
        <v>46209</v>
      </c>
    </row>
    <row r="7165">
      <c r="A7165" s="215" t="n">
        <v>46210</v>
      </c>
      <c r="B7165" s="216" t="n">
        <v>59.7</v>
      </c>
      <c r="C7165" s="216" t="n">
        <v>55.36</v>
      </c>
      <c r="D7165" s="216" t="n">
        <v>1.153807997703552</v>
      </c>
      <c r="E7165" s="215" t="n">
        <v>46210</v>
      </c>
      <c r="F7165" s="215" t="n">
        <v>46210</v>
      </c>
    </row>
    <row r="7166">
      <c r="A7166" s="215" t="n">
        <v>46211</v>
      </c>
      <c r="B7166" s="216" t="n">
        <v>59.1</v>
      </c>
      <c r="C7166" s="216" t="n">
        <v>54.01</v>
      </c>
      <c r="D7166" s="216" t="n">
        <v>1.154153943061829</v>
      </c>
      <c r="E7166" s="215" t="n">
        <v>46211</v>
      </c>
      <c r="F7166" s="215" t="n">
        <v>46211</v>
      </c>
    </row>
    <row r="7167">
      <c r="A7167" s="215" t="n">
        <v>46212</v>
      </c>
      <c r="B7167" s="216" t="n">
        <v>58.5</v>
      </c>
      <c r="C7167" s="216" t="n">
        <v>55.61</v>
      </c>
      <c r="D7167" s="216" t="n">
        <v>1.152119994163513</v>
      </c>
      <c r="E7167" s="215" t="n">
        <v>46212</v>
      </c>
      <c r="F7167" s="215" t="n">
        <v>46212</v>
      </c>
    </row>
    <row r="7168">
      <c r="A7168" s="215" t="n">
        <v>46213</v>
      </c>
      <c r="B7168" s="216" t="n">
        <v>59.25</v>
      </c>
      <c r="C7168" s="216" t="n">
        <v>55.75</v>
      </c>
      <c r="D7168" s="216" t="n">
        <v>1.153550028800964</v>
      </c>
      <c r="E7168" s="215" t="n">
        <v>46213</v>
      </c>
      <c r="F7168" s="215" t="n">
        <v>46213</v>
      </c>
    </row>
    <row r="7169">
      <c r="A7169" s="215" t="n">
        <v>46216</v>
      </c>
      <c r="B7169" s="216" t="n">
        <v>59.05</v>
      </c>
      <c r="C7169" s="216" t="n">
        <v>55.75</v>
      </c>
      <c r="D7169" s="216" t="n">
        <v>1.156761050224304</v>
      </c>
      <c r="E7169" s="215" t="n">
        <v>46216</v>
      </c>
      <c r="F7169" s="215" t="n">
        <v>46216</v>
      </c>
    </row>
    <row r="7170">
      <c r="A7170" s="215" t="n">
        <v>46217</v>
      </c>
      <c r="B7170" s="216" t="n">
        <v>58.3</v>
      </c>
      <c r="C7170" s="216" t="n">
        <v>54.82</v>
      </c>
      <c r="D7170" s="216" t="n">
        <v>1.155825972557068</v>
      </c>
      <c r="E7170" s="215" t="n">
        <v>46217</v>
      </c>
      <c r="F7170" s="215" t="n">
        <v>46217</v>
      </c>
    </row>
    <row r="7171">
      <c r="A7171" s="215" t="n">
        <v>46218</v>
      </c>
      <c r="B7171" s="216" t="n">
        <v>58.45</v>
      </c>
      <c r="C7171" s="216" t="n">
        <v>57.5</v>
      </c>
      <c r="D7171" s="216" t="n">
        <v>1.157556056976318</v>
      </c>
      <c r="E7171" s="215" t="n">
        <v>46218</v>
      </c>
      <c r="F7171" s="215" t="n">
        <v>46218</v>
      </c>
    </row>
    <row r="7172">
      <c r="A7172" s="215" t="n">
        <v>46219</v>
      </c>
      <c r="B7172" s="216" t="n">
        <v>57.95</v>
      </c>
      <c r="C7172" s="216" t="n">
        <v>55.99</v>
      </c>
      <c r="D7172" s="216" t="n">
        <v>1.157912969589233</v>
      </c>
      <c r="E7172" s="215" t="n">
        <v>46219</v>
      </c>
      <c r="F7172" s="215" t="n">
        <v>46219</v>
      </c>
    </row>
    <row r="7173">
      <c r="A7173" s="215" t="n">
        <v>46220</v>
      </c>
      <c r="B7173" s="216" t="n">
        <v>55.05</v>
      </c>
      <c r="C7173" s="216" t="n">
        <v>53.19</v>
      </c>
      <c r="D7173" s="216" t="n">
        <v>1.157472014427185</v>
      </c>
      <c r="E7173" s="215" t="n">
        <v>46220</v>
      </c>
      <c r="F7173" s="215" t="n">
        <v>46220</v>
      </c>
    </row>
    <row r="7174">
      <c r="A7174" s="215" t="n">
        <v>46223</v>
      </c>
      <c r="B7174" s="216" t="n">
        <v>57.5</v>
      </c>
      <c r="C7174" s="216" t="n">
        <v>55.57</v>
      </c>
      <c r="D7174" s="216" t="n">
        <v>1.157451033592224</v>
      </c>
      <c r="E7174" s="215" t="n">
        <v>46223</v>
      </c>
      <c r="F7174" s="215" t="n">
        <v>46223</v>
      </c>
    </row>
    <row r="7175">
      <c r="A7175" s="215" t="n">
        <v>46224</v>
      </c>
      <c r="B7175" s="216" t="n">
        <v>56.7</v>
      </c>
      <c r="C7175" s="216" t="n">
        <v>54.93</v>
      </c>
      <c r="D7175" s="216" t="n">
        <v>1.157506942749023</v>
      </c>
      <c r="E7175" s="215" t="n">
        <v>46224</v>
      </c>
      <c r="F7175" s="215" t="n">
        <v>46224</v>
      </c>
    </row>
    <row r="7176">
      <c r="A7176" s="215" t="n">
        <v>46225</v>
      </c>
      <c r="B7176" s="216" t="n">
        <v>57.5</v>
      </c>
      <c r="C7176" s="216" t="n">
        <v>55.39</v>
      </c>
      <c r="D7176" s="216" t="n">
        <v>1.158938050270081</v>
      </c>
      <c r="E7176" s="215" t="n">
        <v>46225</v>
      </c>
      <c r="F7176" s="215" t="n">
        <v>46225</v>
      </c>
    </row>
    <row r="7177">
      <c r="A7177" s="215" t="n">
        <v>46226</v>
      </c>
      <c r="B7177" s="216" t="n">
        <v>57.7</v>
      </c>
      <c r="C7177" s="216" t="n">
        <v>54.91</v>
      </c>
      <c r="D7177" s="216" t="n">
        <v>1.157410979270935</v>
      </c>
      <c r="E7177" s="215" t="n">
        <v>46226</v>
      </c>
      <c r="F7177" s="215" t="n">
        <v>46226</v>
      </c>
    </row>
    <row r="7178">
      <c r="A7178" s="215" t="n">
        <v>46227</v>
      </c>
      <c r="B7178" s="216" t="n">
        <v>56.65</v>
      </c>
      <c r="C7178" s="216" t="n">
        <v>53.45</v>
      </c>
      <c r="D7178" s="216" t="n">
        <v>1.15762197971344</v>
      </c>
      <c r="E7178" s="215" t="n">
        <v>46227</v>
      </c>
      <c r="F7178" s="215" t="n">
        <v>46227</v>
      </c>
    </row>
    <row r="7179">
      <c r="A7179" s="215" t="n">
        <v>46230</v>
      </c>
      <c r="B7179" s="216" t="n">
        <v>57.05</v>
      </c>
      <c r="C7179" s="216" t="n">
        <v>53.6</v>
      </c>
      <c r="D7179" s="216" t="n">
        <v>1.15789794921875</v>
      </c>
      <c r="E7179" s="215" t="n">
        <v>46230</v>
      </c>
      <c r="F7179" s="215" t="n">
        <v>46230</v>
      </c>
    </row>
    <row r="7180">
      <c r="A7180" s="215" t="n">
        <v>46231</v>
      </c>
      <c r="B7180" s="216" t="n">
        <v>57.6</v>
      </c>
      <c r="C7180" s="216" t="n">
        <v>53.29</v>
      </c>
      <c r="D7180" s="216" t="n">
        <v>1.158699035644531</v>
      </c>
      <c r="E7180" s="215" t="n">
        <v>46231</v>
      </c>
      <c r="F7180" s="215" t="n">
        <v>46231</v>
      </c>
    </row>
    <row r="7181">
      <c r="A7181" s="215" t="n">
        <v>46232</v>
      </c>
      <c r="B7181" s="216" t="n">
        <v>58.3</v>
      </c>
      <c r="C7181" s="216" t="n">
        <v>53.89</v>
      </c>
      <c r="D7181" s="216" t="n">
        <v>1.157909989356995</v>
      </c>
      <c r="E7181" s="215" t="n">
        <v>46232</v>
      </c>
      <c r="F7181" s="215" t="n">
        <v>46232</v>
      </c>
    </row>
    <row r="7182">
      <c r="A7182" s="215" t="n">
        <v>46233</v>
      </c>
      <c r="B7182" s="216" t="n">
        <v>57.4</v>
      </c>
      <c r="C7182" s="216" t="n">
        <v>54.65</v>
      </c>
      <c r="D7182" s="216" t="n">
        <v>1.158943057060242</v>
      </c>
      <c r="E7182" s="215" t="n">
        <v>46233</v>
      </c>
      <c r="F7182" s="215" t="n">
        <v>46233</v>
      </c>
    </row>
    <row r="7183">
      <c r="A7183" s="215" t="n">
        <v>46234</v>
      </c>
      <c r="B7183" s="216" t="n">
        <v>57.1</v>
      </c>
      <c r="C7183" s="216" t="n">
        <v>54.08</v>
      </c>
      <c r="D7183" s="216" t="n">
        <v>1.160945057868958</v>
      </c>
      <c r="E7183" s="215" t="n">
        <v>46234</v>
      </c>
      <c r="F7183" s="215" t="n">
        <v>46234</v>
      </c>
    </row>
    <row r="7184">
      <c r="A7184" s="215" t="n">
        <v>46237</v>
      </c>
      <c r="B7184" s="216" t="n">
        <v>56.7</v>
      </c>
      <c r="C7184" s="216" t="n">
        <v>53</v>
      </c>
      <c r="D7184" s="216" t="n">
        <v>1.161579966545105</v>
      </c>
      <c r="E7184" s="215" t="n">
        <v>46237</v>
      </c>
      <c r="F7184" s="215" t="n">
        <v>46237</v>
      </c>
    </row>
    <row r="7185">
      <c r="A7185" s="215" t="n">
        <v>46238</v>
      </c>
      <c r="B7185" s="216" t="n">
        <v>57.65</v>
      </c>
      <c r="C7185" s="216" t="n">
        <v>53.42</v>
      </c>
      <c r="D7185" s="216" t="n">
        <v>1.161064982414246</v>
      </c>
      <c r="E7185" s="215" t="n">
        <v>46238</v>
      </c>
      <c r="F7185" s="215" t="n">
        <v>46238</v>
      </c>
    </row>
    <row r="7186">
      <c r="A7186" s="215" t="n">
        <v>46239</v>
      </c>
      <c r="B7186" s="216" t="n">
        <v>58.3</v>
      </c>
      <c r="C7186" s="216" t="n">
        <v>53.54</v>
      </c>
      <c r="D7186" s="216" t="n">
        <v>1.161146998405457</v>
      </c>
      <c r="E7186" s="215" t="n">
        <v>46239</v>
      </c>
      <c r="F7186" s="215" t="n">
        <v>46239</v>
      </c>
    </row>
    <row r="7187">
      <c r="A7187" s="215" t="n">
        <v>46240</v>
      </c>
      <c r="B7187" s="216" t="n">
        <v>56.4</v>
      </c>
      <c r="C7187" s="216" t="n">
        <v>52.11</v>
      </c>
      <c r="D7187" s="216" t="n">
        <v>1.161936044692993</v>
      </c>
      <c r="E7187" s="215" t="n">
        <v>46240</v>
      </c>
      <c r="F7187" s="215" t="n">
        <v>46240</v>
      </c>
    </row>
    <row r="7188">
      <c r="A7188" s="215" t="n">
        <v>46241</v>
      </c>
      <c r="B7188" s="216" t="n">
        <v>58.5</v>
      </c>
      <c r="C7188" s="216" t="n">
        <v>54.62</v>
      </c>
      <c r="D7188" s="216" t="n">
        <v>1.162284016609192</v>
      </c>
      <c r="E7188" s="215" t="n">
        <v>46241</v>
      </c>
      <c r="F7188" s="215" t="n">
        <v>46241</v>
      </c>
    </row>
    <row r="7189">
      <c r="A7189" s="215" t="n">
        <v>46244</v>
      </c>
      <c r="B7189" s="216" t="n">
        <v>57.95</v>
      </c>
      <c r="C7189" s="216" t="n">
        <v>54.18</v>
      </c>
      <c r="D7189" s="216" t="n">
        <v>1.162629961967468</v>
      </c>
      <c r="E7189" s="215" t="n">
        <v>46244</v>
      </c>
      <c r="F7189" s="215" t="n">
        <v>46244</v>
      </c>
    </row>
    <row r="7190">
      <c r="A7190" s="215" t="n">
        <v>46245</v>
      </c>
      <c r="B7190" s="216" t="n">
        <v>57.6</v>
      </c>
      <c r="C7190" s="216" t="n">
        <v>54.97</v>
      </c>
      <c r="D7190" s="216" t="n">
        <v>1.162588000297546</v>
      </c>
      <c r="E7190" s="215" t="n">
        <v>46245</v>
      </c>
      <c r="F7190" s="215" t="n">
        <v>46245</v>
      </c>
    </row>
    <row r="7191">
      <c r="A7191" s="215" t="n">
        <v>46246</v>
      </c>
      <c r="B7191" s="216" t="n">
        <v>56.05</v>
      </c>
      <c r="C7191" s="216" t="n">
        <v>54.36</v>
      </c>
      <c r="D7191" s="216" t="n">
        <v>1.163135051727295</v>
      </c>
      <c r="E7191" s="215" t="n">
        <v>46246</v>
      </c>
      <c r="F7191" s="215" t="n">
        <v>46246</v>
      </c>
    </row>
    <row r="7192">
      <c r="A7192" s="215" t="n">
        <v>46247</v>
      </c>
      <c r="B7192" s="216" t="n">
        <v>54.85</v>
      </c>
      <c r="C7192" s="216" t="n">
        <v>53.76</v>
      </c>
      <c r="D7192" s="216" t="n">
        <v>1.163341045379639</v>
      </c>
      <c r="E7192" s="215" t="n">
        <v>46247</v>
      </c>
      <c r="F7192" s="215" t="n">
        <v>46247</v>
      </c>
    </row>
    <row r="7193">
      <c r="A7193" s="215" t="n">
        <v>46248</v>
      </c>
      <c r="B7193" s="216" t="n">
        <v>52.8</v>
      </c>
      <c r="C7193" s="216" t="n">
        <v>52.62</v>
      </c>
      <c r="D7193" s="216" t="n">
        <v>1.163571000099182</v>
      </c>
      <c r="E7193" s="215" t="n">
        <v>46248</v>
      </c>
      <c r="F7193" s="215" t="n">
        <v>46248</v>
      </c>
    </row>
    <row r="7194">
      <c r="A7194" s="215" t="n">
        <v>46251</v>
      </c>
      <c r="B7194" s="216" t="n">
        <v>53.7</v>
      </c>
      <c r="C7194" s="216" t="n">
        <v>52.87</v>
      </c>
      <c r="D7194" s="216" t="n">
        <v>1.163601994514465</v>
      </c>
      <c r="E7194" s="215" t="n">
        <v>46251</v>
      </c>
      <c r="F7194" s="215" t="n">
        <v>46251</v>
      </c>
    </row>
    <row r="7195">
      <c r="A7195" s="215" t="n">
        <v>46252</v>
      </c>
      <c r="B7195" s="216" t="n">
        <v>54.25</v>
      </c>
      <c r="C7195" s="216" t="n">
        <v>52.37</v>
      </c>
      <c r="D7195" s="216" t="n">
        <v>1.163733005523682</v>
      </c>
      <c r="E7195" s="215" t="n">
        <v>46252</v>
      </c>
      <c r="F7195" s="215" t="n">
        <v>46252</v>
      </c>
    </row>
    <row r="7196">
      <c r="A7196" s="215" t="n">
        <v>46253</v>
      </c>
      <c r="B7196" s="216" t="n">
        <v>54.95</v>
      </c>
      <c r="C7196" s="216" t="n">
        <v>52.66</v>
      </c>
      <c r="D7196" s="216" t="n">
        <v>1.163092017173767</v>
      </c>
      <c r="E7196" s="215" t="n">
        <v>46253</v>
      </c>
      <c r="F7196" s="215" t="n">
        <v>46253</v>
      </c>
    </row>
    <row r="7197">
      <c r="A7197" s="215" t="n">
        <v>46254</v>
      </c>
      <c r="B7197" s="216" t="n">
        <v>49.66</v>
      </c>
      <c r="C7197" s="216" t="n">
        <v>49.5</v>
      </c>
      <c r="D7197" s="216" t="n">
        <v>1.164932012557983</v>
      </c>
      <c r="E7197" s="215" t="n">
        <v>46254</v>
      </c>
      <c r="F7197" s="215" t="n">
        <v>46254</v>
      </c>
    </row>
    <row r="7198">
      <c r="A7198" s="215" t="n">
        <v>46255</v>
      </c>
      <c r="B7198" s="216" t="n">
        <v>48.2</v>
      </c>
      <c r="C7198" s="216" t="n">
        <v>47.74</v>
      </c>
      <c r="D7198" s="216" t="n">
        <v>1.166555047035217</v>
      </c>
      <c r="E7198" s="215" t="n">
        <v>46255</v>
      </c>
      <c r="F7198" s="215" t="n">
        <v>46255</v>
      </c>
    </row>
    <row r="7199">
      <c r="A7199" s="215" t="n">
        <v>46258</v>
      </c>
      <c r="B7199" s="216" t="n">
        <v>46.46</v>
      </c>
      <c r="C7199" s="216" t="n">
        <v>46.76</v>
      </c>
      <c r="D7199" s="216" t="n">
        <v>1.166316986083984</v>
      </c>
      <c r="E7199" s="215" t="n">
        <v>46258</v>
      </c>
      <c r="F7199" s="215" t="n">
        <v>46258</v>
      </c>
    </row>
    <row r="7200">
      <c r="A7200" s="215" t="n">
        <v>46259</v>
      </c>
      <c r="B7200" s="216" t="n">
        <v>46.5</v>
      </c>
      <c r="C7200" s="216" t="n">
        <v>46.49</v>
      </c>
      <c r="D7200" s="216" t="n">
        <v>1.165253043174744</v>
      </c>
      <c r="E7200" s="215" t="n">
        <v>46259</v>
      </c>
      <c r="F7200" s="215" t="n">
        <v>46259</v>
      </c>
    </row>
    <row r="7201">
      <c r="A7201" s="215" t="n">
        <v>46260</v>
      </c>
      <c r="B7201" s="216" t="n">
        <v>46.72</v>
      </c>
      <c r="C7201" s="216" t="n">
        <v>46.74</v>
      </c>
      <c r="D7201" s="216" t="n">
        <v>1.166218996047974</v>
      </c>
      <c r="E7201" s="215" t="n">
        <v>46260</v>
      </c>
      <c r="F7201" s="215" t="n">
        <v>46260</v>
      </c>
    </row>
    <row r="7202">
      <c r="A7202" s="215" t="n">
        <v>46261</v>
      </c>
      <c r="B7202" s="216" t="n">
        <v>48.86</v>
      </c>
      <c r="C7202" s="216" t="n">
        <v>47.61</v>
      </c>
      <c r="D7202" s="216" t="n">
        <v>1.165971040725708</v>
      </c>
      <c r="E7202" s="215" t="n">
        <v>46261</v>
      </c>
      <c r="F7202" s="215" t="n">
        <v>46261</v>
      </c>
    </row>
    <row r="7203">
      <c r="A7203" s="215" t="n">
        <v>46262</v>
      </c>
      <c r="B7203" s="216" t="n">
        <v>47.94</v>
      </c>
      <c r="C7203" s="216" t="n">
        <v>47.32</v>
      </c>
      <c r="D7203" s="216" t="n">
        <v>1.165799975395203</v>
      </c>
      <c r="E7203" s="215" t="n">
        <v>46262</v>
      </c>
      <c r="F7203" s="215" t="n">
        <v>46262</v>
      </c>
    </row>
    <row r="7204">
      <c r="A7204" s="215" t="n">
        <v>46265</v>
      </c>
      <c r="B7204" s="216" t="n">
        <v>46.06</v>
      </c>
      <c r="C7204" s="216" t="n">
        <v>46.07</v>
      </c>
      <c r="D7204" s="216" t="n">
        <v>1.165387988090515</v>
      </c>
      <c r="E7204" s="215" t="n">
        <v>46265</v>
      </c>
      <c r="F7204" s="215" t="n">
        <v>46265</v>
      </c>
    </row>
    <row r="7205">
      <c r="A7205" s="215" t="n">
        <v>46266</v>
      </c>
      <c r="B7205" s="216" t="n">
        <v>46.32</v>
      </c>
      <c r="C7205" s="216" t="n">
        <v>46.23</v>
      </c>
      <c r="D7205" s="216" t="n">
        <v>1.165223956108093</v>
      </c>
      <c r="E7205" s="215" t="n">
        <v>46266</v>
      </c>
      <c r="F7205" s="215" t="n">
        <v>46266</v>
      </c>
    </row>
    <row r="7206">
      <c r="A7206" s="215" t="n">
        <v>46267</v>
      </c>
      <c r="B7206" s="216" t="n">
        <v>45.5</v>
      </c>
      <c r="C7206" s="216" t="n">
        <v>45.57</v>
      </c>
      <c r="D7206" s="216" t="n">
        <v>1.166425943374634</v>
      </c>
      <c r="E7206" s="215" t="n">
        <v>46267</v>
      </c>
      <c r="F7206" s="215" t="n">
        <v>46267</v>
      </c>
    </row>
    <row r="7207">
      <c r="A7207" s="215" t="n">
        <v>46268</v>
      </c>
      <c r="B7207" s="216" t="n">
        <v>46.16</v>
      </c>
      <c r="C7207" s="216" t="n">
        <v>45.96</v>
      </c>
      <c r="D7207" s="216" t="n">
        <v>1.167057037353516</v>
      </c>
      <c r="E7207" s="215" t="n">
        <v>46268</v>
      </c>
      <c r="F7207" s="215" t="n">
        <v>46268</v>
      </c>
    </row>
    <row r="7208">
      <c r="A7208" s="215" t="n">
        <v>46269</v>
      </c>
      <c r="B7208" s="216" t="n">
        <v>46.5</v>
      </c>
      <c r="C7208" s="216" t="n">
        <v>46.02</v>
      </c>
      <c r="D7208" s="216" t="n">
        <v>1.166767954826355</v>
      </c>
      <c r="E7208" s="215" t="n">
        <v>46269</v>
      </c>
      <c r="F7208" s="215" t="n">
        <v>46269</v>
      </c>
    </row>
    <row r="7209">
      <c r="A7209" s="215" t="n">
        <v>46272</v>
      </c>
      <c r="B7209" s="216" t="n">
        <v>46.94</v>
      </c>
      <c r="C7209" s="216" t="n">
        <v>46.26</v>
      </c>
      <c r="D7209" s="216" t="n">
        <v>1.168081045150757</v>
      </c>
      <c r="E7209" s="215" t="n">
        <v>46272</v>
      </c>
      <c r="F7209" s="215" t="n">
        <v>46272</v>
      </c>
    </row>
    <row r="7210">
      <c r="A7210" s="215" t="n">
        <v>46273</v>
      </c>
      <c r="B7210" s="216" t="n">
        <v>46.32</v>
      </c>
      <c r="C7210" s="216" t="n">
        <v>45.71</v>
      </c>
      <c r="D7210" s="216" t="n">
        <v>1.168115019798279</v>
      </c>
      <c r="E7210" s="215" t="n">
        <v>46273</v>
      </c>
      <c r="F7210" s="215" t="n">
        <v>46273</v>
      </c>
    </row>
    <row r="7211">
      <c r="A7211" s="215" t="n">
        <v>46274</v>
      </c>
      <c r="B7211" s="216" t="n">
        <v>45.94</v>
      </c>
      <c r="C7211" s="216" t="n">
        <v>44.71</v>
      </c>
      <c r="D7211" s="216" t="n">
        <v>1.168408989906311</v>
      </c>
      <c r="E7211" s="215" t="n">
        <v>46274</v>
      </c>
      <c r="F7211" s="215" t="n">
        <v>46274</v>
      </c>
    </row>
    <row r="7212">
      <c r="A7212" s="215" t="n">
        <v>46275</v>
      </c>
      <c r="B7212" s="216" t="n">
        <v>43.96</v>
      </c>
      <c r="C7212" s="216" t="n">
        <v>42.93</v>
      </c>
      <c r="D7212" s="216" t="n">
        <v>1.168462991714478</v>
      </c>
      <c r="E7212" s="215" t="n">
        <v>46275</v>
      </c>
      <c r="F7212" s="215" t="n">
        <v>46275</v>
      </c>
    </row>
    <row r="7213">
      <c r="A7213" s="215" t="n">
        <v>46276</v>
      </c>
      <c r="B7213" s="216" t="n">
        <v>43.76</v>
      </c>
      <c r="C7213" s="216" t="n">
        <v>42.67</v>
      </c>
      <c r="D7213" s="216" t="n">
        <v>1.169165015220642</v>
      </c>
      <c r="E7213" s="215" t="n">
        <v>46276</v>
      </c>
      <c r="F7213" s="215" t="n">
        <v>46276</v>
      </c>
    </row>
    <row r="7214">
      <c r="A7214" s="215" t="n">
        <v>46279</v>
      </c>
      <c r="B7214" s="216" t="n">
        <v>45</v>
      </c>
      <c r="C7214" s="216" t="n">
        <v>43.15</v>
      </c>
      <c r="D7214" s="216" t="n">
        <v>1.16893994808197</v>
      </c>
      <c r="E7214" s="215" t="n">
        <v>46279</v>
      </c>
      <c r="F7214" s="215" t="n">
        <v>46279</v>
      </c>
    </row>
    <row r="7215">
      <c r="A7215" s="215" t="n">
        <v>46280</v>
      </c>
      <c r="B7215" s="216" t="n">
        <v>43.8</v>
      </c>
      <c r="C7215" s="216" t="n">
        <v>43.13</v>
      </c>
      <c r="D7215" s="216" t="n">
        <v>1.169121026992798</v>
      </c>
      <c r="E7215" s="215" t="n">
        <v>46280</v>
      </c>
      <c r="F7215" s="215" t="n">
        <v>46280</v>
      </c>
    </row>
    <row r="7216">
      <c r="A7216" s="215" t="n">
        <v>46281</v>
      </c>
      <c r="B7216" s="216" t="n">
        <v>45.6</v>
      </c>
      <c r="C7216" s="216" t="n">
        <v>43.52</v>
      </c>
      <c r="D7216" s="216" t="n">
        <v>1.168769955635071</v>
      </c>
      <c r="E7216" s="215" t="n">
        <v>46281</v>
      </c>
      <c r="F7216" s="215" t="n">
        <v>46281</v>
      </c>
    </row>
    <row r="7217">
      <c r="A7217" s="215" t="n">
        <v>46282</v>
      </c>
      <c r="B7217" s="216" t="n">
        <v>44.42</v>
      </c>
      <c r="C7217" s="216" t="n">
        <v>43.23</v>
      </c>
      <c r="D7217" s="216" t="n">
        <v>1.169389963150024</v>
      </c>
      <c r="E7217" s="215" t="n">
        <v>46282</v>
      </c>
      <c r="F7217" s="215" t="n">
        <v>46282</v>
      </c>
    </row>
    <row r="7218">
      <c r="A7218" s="215" t="n">
        <v>46283</v>
      </c>
      <c r="B7218" s="216" t="n">
        <v>46.26</v>
      </c>
      <c r="C7218" s="216" t="n">
        <v>43.91</v>
      </c>
      <c r="D7218" s="216" t="n">
        <v>1.16942298412323</v>
      </c>
      <c r="E7218" s="215" t="n">
        <v>46283</v>
      </c>
      <c r="F7218" s="215" t="n">
        <v>46283</v>
      </c>
    </row>
    <row r="7219">
      <c r="A7219" s="215" t="n">
        <v>46286</v>
      </c>
      <c r="B7219" s="216" t="n">
        <v>49.4</v>
      </c>
      <c r="C7219" s="216" t="n">
        <v>46.04</v>
      </c>
      <c r="D7219" s="216" t="n">
        <v>1.171280026435852</v>
      </c>
      <c r="E7219" s="215" t="n">
        <v>46286</v>
      </c>
      <c r="F7219" s="215" t="n">
        <v>46286</v>
      </c>
    </row>
    <row r="7220">
      <c r="A7220" s="215" t="n">
        <v>46287</v>
      </c>
      <c r="B7220" s="216" t="n">
        <v>47.32</v>
      </c>
      <c r="C7220" s="216" t="n">
        <v>45.72</v>
      </c>
      <c r="D7220" s="216" t="n">
        <v>1.171705007553101</v>
      </c>
      <c r="E7220" s="215" t="n">
        <v>46287</v>
      </c>
      <c r="F7220" s="215" t="n">
        <v>46287</v>
      </c>
    </row>
    <row r="7221">
      <c r="A7221" s="215" t="n">
        <v>46288</v>
      </c>
      <c r="B7221" s="216" t="n">
        <v>47.22</v>
      </c>
      <c r="C7221" s="216" t="n">
        <v>45.58</v>
      </c>
      <c r="D7221" s="216" t="n">
        <v>1.170611023902893</v>
      </c>
      <c r="E7221" s="215" t="n">
        <v>46288</v>
      </c>
      <c r="F7221" s="215" t="n">
        <v>46288</v>
      </c>
    </row>
    <row r="7222">
      <c r="A7222" s="215" t="n">
        <v>46289</v>
      </c>
      <c r="B7222" s="216" t="n">
        <v>45.52</v>
      </c>
      <c r="C7222" s="216" t="n">
        <v>44.86</v>
      </c>
      <c r="D7222" s="216" t="n">
        <v>1.16852605342865</v>
      </c>
      <c r="E7222" s="215" t="n">
        <v>46289</v>
      </c>
      <c r="F7222" s="215" t="n">
        <v>46289</v>
      </c>
    </row>
    <row r="7223">
      <c r="A7223" s="215" t="n">
        <v>46290</v>
      </c>
      <c r="B7223" s="216" t="n">
        <v>45.18</v>
      </c>
      <c r="C7223" s="216" t="n">
        <v>44.86</v>
      </c>
      <c r="D7223" s="216" t="n">
        <v>1.168424010276794</v>
      </c>
      <c r="E7223" s="215" t="n">
        <v>46289</v>
      </c>
      <c r="F7223" s="215" t="n">
        <v>46290</v>
      </c>
    </row>
    <row r="7224">
      <c r="A7224" s="215" t="n">
        <v>46293</v>
      </c>
      <c r="B7224" s="216" t="n">
        <v>44.76</v>
      </c>
      <c r="C7224" s="216" t="n">
        <v>44.47</v>
      </c>
      <c r="D7224" s="216" t="n">
        <v>1.168378949165344</v>
      </c>
      <c r="E7224" s="215" t="n">
        <v>46293</v>
      </c>
      <c r="F7224" s="215" t="n">
        <v>46293</v>
      </c>
    </row>
    <row r="7225">
      <c r="A7225" s="215" t="n">
        <v>46294</v>
      </c>
      <c r="B7225" s="216" t="n">
        <v>45.6</v>
      </c>
      <c r="C7225" s="216" t="n">
        <v>45.62</v>
      </c>
      <c r="D7225" s="216" t="n">
        <v>1.168815970420837</v>
      </c>
      <c r="E7225" s="215" t="n">
        <v>46294</v>
      </c>
      <c r="F7225" s="215" t="n">
        <v>46294</v>
      </c>
    </row>
    <row r="7226">
      <c r="A7226" s="215" t="n">
        <v>46295</v>
      </c>
      <c r="B7226" s="216" t="n">
        <v>50.2</v>
      </c>
      <c r="C7226" s="216" t="n">
        <v>47.2</v>
      </c>
      <c r="D7226" s="216" t="n">
        <v>1.17059600353241</v>
      </c>
      <c r="E7226" s="215" t="n">
        <v>46295</v>
      </c>
      <c r="F7226" s="215" t="n">
        <v>46295</v>
      </c>
    </row>
    <row r="7227">
      <c r="A7227" s="215" t="n">
        <v>46297</v>
      </c>
      <c r="B7227" s="216" t="n">
        <v>49.66</v>
      </c>
      <c r="C7227" s="216" t="n">
        <v>47.2</v>
      </c>
      <c r="D7227" s="216" t="n">
        <v>1.170220971107483</v>
      </c>
      <c r="E7227" s="215" t="n">
        <v>46295</v>
      </c>
      <c r="F7227" s="215" t="n">
        <v>46297</v>
      </c>
    </row>
    <row r="7228">
      <c r="A7228" s="215" t="n">
        <v>44253</v>
      </c>
      <c r="B7228" s="216" t="n">
        <v>138</v>
      </c>
      <c r="C7228" s="216" t="n">
        <v>137.63</v>
      </c>
      <c r="D7228" s="216" t="n">
        <v>1.20110297203064</v>
      </c>
      <c r="E7228" s="215" t="n">
        <v>44253</v>
      </c>
      <c r="F7228" s="215" t="n">
        <v>44253</v>
      </c>
    </row>
    <row r="7229">
      <c r="A7229" s="215" t="n">
        <v>44256</v>
      </c>
      <c r="B7229" s="216" t="n">
        <v>139.5</v>
      </c>
      <c r="C7229" s="216" t="n">
        <v>132.98</v>
      </c>
      <c r="D7229" s="216" t="n">
        <v>1.199115991592407</v>
      </c>
      <c r="E7229" s="215" t="n">
        <v>44256</v>
      </c>
      <c r="F7229" s="215" t="n">
        <v>44256</v>
      </c>
    </row>
    <row r="7230">
      <c r="A7230" s="215" t="n">
        <v>44257</v>
      </c>
      <c r="B7230" s="216" t="n">
        <v>140.5</v>
      </c>
      <c r="C7230" s="216" t="n">
        <v>132.45</v>
      </c>
      <c r="D7230" s="216" t="n">
        <v>1.199347972869873</v>
      </c>
      <c r="E7230" s="215" t="n">
        <v>44257</v>
      </c>
      <c r="F7230" s="215" t="n">
        <v>44257</v>
      </c>
    </row>
    <row r="7231">
      <c r="A7231" s="215" t="n">
        <v>44258</v>
      </c>
      <c r="B7231" s="216" t="n">
        <v>138.2</v>
      </c>
      <c r="C7231" s="216" t="n">
        <v>132.33</v>
      </c>
      <c r="D7231" s="216" t="n">
        <v>1.198490977287292</v>
      </c>
      <c r="E7231" s="215" t="n">
        <v>44258</v>
      </c>
      <c r="F7231" s="215" t="n">
        <v>44258</v>
      </c>
    </row>
    <row r="7232">
      <c r="A7232" s="215" t="n">
        <v>44259</v>
      </c>
      <c r="B7232" s="216" t="n">
        <v>137</v>
      </c>
      <c r="C7232" s="216" t="n">
        <v>124.9</v>
      </c>
      <c r="D7232" s="216" t="n">
        <v>1.198698997497559</v>
      </c>
      <c r="E7232" s="215" t="n">
        <v>44259</v>
      </c>
      <c r="F7232" s="215" t="n">
        <v>44259</v>
      </c>
    </row>
    <row r="7233">
      <c r="A7233" s="215" t="n">
        <v>44260</v>
      </c>
      <c r="B7233" s="216" t="n">
        <v>132</v>
      </c>
      <c r="C7233" s="216" t="n">
        <v>124.04</v>
      </c>
      <c r="D7233" s="216" t="n">
        <v>1.199427962303162</v>
      </c>
      <c r="E7233" s="215" t="n">
        <v>44260</v>
      </c>
      <c r="F7233" s="215" t="n">
        <v>44260</v>
      </c>
    </row>
    <row r="7234">
      <c r="A7234" s="215" t="n">
        <v>44263</v>
      </c>
      <c r="B7234" s="216" t="n">
        <v>132.6</v>
      </c>
      <c r="C7234" s="216" t="n">
        <v>115.9</v>
      </c>
      <c r="D7234" s="216" t="n">
        <v>1.19573700428009</v>
      </c>
      <c r="E7234" s="215" t="n">
        <v>44263</v>
      </c>
      <c r="F7234" s="215" t="n">
        <v>44263</v>
      </c>
    </row>
    <row r="7235">
      <c r="A7235" s="215" t="n">
        <v>44264</v>
      </c>
      <c r="B7235" s="216" t="n">
        <v>128.2</v>
      </c>
      <c r="C7235" s="216" t="n">
        <v>112.76</v>
      </c>
      <c r="D7235" s="216" t="n">
        <v>1.190508008003235</v>
      </c>
      <c r="E7235" s="215" t="n">
        <v>44264</v>
      </c>
      <c r="F7235" s="215" t="n">
        <v>44264</v>
      </c>
    </row>
    <row r="7236">
      <c r="A7236" s="215" t="n">
        <v>44265</v>
      </c>
      <c r="B7236" s="216" t="n">
        <v>130</v>
      </c>
      <c r="C7236" s="216" t="n">
        <v>120.6</v>
      </c>
      <c r="D7236" s="216" t="n">
        <v>1.192862033843994</v>
      </c>
      <c r="E7236" s="215" t="n">
        <v>44265</v>
      </c>
      <c r="F7236" s="215" t="n">
        <v>44265</v>
      </c>
    </row>
    <row r="7237">
      <c r="A7237" s="215" t="n">
        <v>44266</v>
      </c>
      <c r="B7237" s="216" t="n">
        <v>134</v>
      </c>
      <c r="C7237" s="216" t="n">
        <v>127.65</v>
      </c>
      <c r="D7237" s="216" t="n">
        <v>1.192729949951172</v>
      </c>
      <c r="E7237" s="215" t="n">
        <v>44266</v>
      </c>
      <c r="F7237" s="215" t="n">
        <v>44266</v>
      </c>
    </row>
    <row r="7238">
      <c r="A7238" s="215" t="n">
        <v>44267</v>
      </c>
      <c r="B7238" s="216" t="n">
        <v>131.5</v>
      </c>
      <c r="C7238" s="216" t="n">
        <v>129.43</v>
      </c>
      <c r="D7238" s="216" t="n">
        <v>1.194437980651855</v>
      </c>
      <c r="E7238" s="215" t="n">
        <v>44267</v>
      </c>
      <c r="F7238" s="215" t="n">
        <v>44267</v>
      </c>
    </row>
    <row r="7239">
      <c r="A7239" s="215" t="n">
        <v>44270</v>
      </c>
      <c r="B7239" s="216" t="n">
        <v>131.5</v>
      </c>
      <c r="C7239" s="216" t="n">
        <v>124.3</v>
      </c>
      <c r="D7239" s="216" t="n">
        <v>1.192193984985352</v>
      </c>
      <c r="E7239" s="215" t="n">
        <v>44270</v>
      </c>
      <c r="F7239" s="215" t="n">
        <v>44270</v>
      </c>
    </row>
    <row r="7240">
      <c r="A7240" s="215" t="n">
        <v>44271</v>
      </c>
      <c r="B7240" s="216" t="n">
        <v>133</v>
      </c>
      <c r="C7240" s="216" t="n">
        <v>129.34</v>
      </c>
      <c r="D7240" s="216" t="n">
        <v>1.19435703754425</v>
      </c>
      <c r="E7240" s="215" t="n">
        <v>44271</v>
      </c>
      <c r="F7240" s="215" t="n">
        <v>44271</v>
      </c>
    </row>
    <row r="7241">
      <c r="A7241" s="215" t="n">
        <v>44272</v>
      </c>
      <c r="B7241" s="216" t="n">
        <v>139</v>
      </c>
      <c r="C7241" s="216" t="n">
        <v>133.65</v>
      </c>
      <c r="D7241" s="216" t="n">
        <v>1.193485021591187</v>
      </c>
      <c r="E7241" s="215" t="n">
        <v>44272</v>
      </c>
      <c r="F7241" s="215" t="n">
        <v>44272</v>
      </c>
    </row>
    <row r="7242">
      <c r="A7242" s="215" t="n">
        <v>44273</v>
      </c>
      <c r="B7242" s="216" t="n">
        <v>144</v>
      </c>
      <c r="C7242" s="216" t="n">
        <v>139.29</v>
      </c>
      <c r="D7242" s="216" t="n">
        <v>1.193969011306763</v>
      </c>
      <c r="E7242" s="215" t="n">
        <v>44273</v>
      </c>
      <c r="F7242" s="215" t="n">
        <v>44273</v>
      </c>
    </row>
    <row r="7243">
      <c r="A7243" s="215" t="n">
        <v>44274</v>
      </c>
      <c r="B7243" s="216" t="n">
        <v>150.5</v>
      </c>
      <c r="C7243" s="216" t="n">
        <v>139</v>
      </c>
      <c r="D7243" s="216" t="n">
        <v>1.193438053131104</v>
      </c>
      <c r="E7243" s="215" t="n">
        <v>44274</v>
      </c>
      <c r="F7243" s="215" t="n">
        <v>44274</v>
      </c>
    </row>
    <row r="7244">
      <c r="A7244" s="215" t="n">
        <v>44277</v>
      </c>
      <c r="B7244" s="216" t="n">
        <v>137.6</v>
      </c>
      <c r="C7244" s="216" t="n">
        <v>132.88</v>
      </c>
      <c r="D7244" s="216" t="n">
        <v>1.19117796421051</v>
      </c>
      <c r="E7244" s="215" t="n">
        <v>44277</v>
      </c>
      <c r="F7244" s="215" t="n">
        <v>44277</v>
      </c>
    </row>
    <row r="7245">
      <c r="A7245" s="215" t="n">
        <v>44278</v>
      </c>
      <c r="B7245" s="216" t="n">
        <v>133.9</v>
      </c>
      <c r="C7245" s="216" t="n">
        <v>135.1</v>
      </c>
      <c r="D7245" s="216" t="n">
        <v>1.193459987640381</v>
      </c>
      <c r="E7245" s="215" t="n">
        <v>44278</v>
      </c>
      <c r="F7245" s="215" t="n">
        <v>44278</v>
      </c>
    </row>
    <row r="7246">
      <c r="A7246" s="215" t="n">
        <v>44279</v>
      </c>
      <c r="B7246" s="216" t="n">
        <v>132.1</v>
      </c>
      <c r="C7246" s="216" t="n">
        <v>135</v>
      </c>
      <c r="D7246" s="216" t="n">
        <v>1.192219018936157</v>
      </c>
      <c r="E7246" s="215" t="n">
        <v>44279</v>
      </c>
      <c r="F7246" s="215" t="n">
        <v>44279</v>
      </c>
    </row>
    <row r="7247">
      <c r="A7247" s="215" t="n">
        <v>44280</v>
      </c>
      <c r="B7247" s="216" t="n">
        <v>131</v>
      </c>
      <c r="C7247" s="216" t="n">
        <v>138.66</v>
      </c>
      <c r="D7247" s="216" t="n">
        <v>1.190415024757385</v>
      </c>
      <c r="E7247" s="215" t="n">
        <v>44280</v>
      </c>
      <c r="F7247" s="215" t="n">
        <v>44280</v>
      </c>
    </row>
    <row r="7248">
      <c r="A7248" s="215" t="n">
        <v>44281</v>
      </c>
      <c r="B7248" s="216" t="n">
        <v>137.4</v>
      </c>
      <c r="C7248" s="216" t="n">
        <v>146.84</v>
      </c>
      <c r="D7248" s="216" t="n">
        <v>1.186736941337585</v>
      </c>
      <c r="E7248" s="215" t="n">
        <v>44281</v>
      </c>
      <c r="F7248" s="215" t="n">
        <v>44281</v>
      </c>
    </row>
    <row r="7249">
      <c r="A7249" s="215" t="n">
        <v>44284</v>
      </c>
      <c r="B7249" s="216" t="n">
        <v>138.2</v>
      </c>
      <c r="C7249" s="216" t="n">
        <v>147.2</v>
      </c>
      <c r="D7249" s="216" t="n">
        <v>1.186522006988525</v>
      </c>
      <c r="E7249" s="215" t="n">
        <v>44284</v>
      </c>
      <c r="F7249" s="215" t="n">
        <v>44284</v>
      </c>
    </row>
    <row r="7250">
      <c r="A7250" s="215" t="n">
        <v>44285</v>
      </c>
      <c r="B7250" s="216" t="n">
        <v>137</v>
      </c>
      <c r="C7250" s="216" t="n">
        <v>144.03</v>
      </c>
      <c r="D7250" s="216" t="n">
        <v>1.183037996292114</v>
      </c>
      <c r="E7250" s="215" t="n">
        <v>44285</v>
      </c>
      <c r="F7250" s="215" t="n">
        <v>44285</v>
      </c>
    </row>
    <row r="7251">
      <c r="A7251" s="215" t="n">
        <v>44286</v>
      </c>
      <c r="B7251" s="216" t="n">
        <v>134.4</v>
      </c>
      <c r="C7251" s="216" t="n">
        <v>145.8</v>
      </c>
      <c r="D7251" s="216" t="n">
        <v>1.183210968971252</v>
      </c>
      <c r="E7251" s="215" t="n">
        <v>44286</v>
      </c>
      <c r="F7251" s="215" t="n">
        <v>44286</v>
      </c>
    </row>
    <row r="7252">
      <c r="A7252" s="215" t="n">
        <v>44287</v>
      </c>
      <c r="B7252" s="216" t="n">
        <v>139</v>
      </c>
      <c r="C7252" s="216" t="n">
        <v>146.6</v>
      </c>
      <c r="D7252" s="216" t="n">
        <v>1.186334013938904</v>
      </c>
      <c r="E7252" s="215" t="n">
        <v>44287</v>
      </c>
      <c r="F7252" s="215" t="n">
        <v>44287</v>
      </c>
    </row>
    <row r="7253">
      <c r="A7253" s="215" t="n">
        <v>44293</v>
      </c>
      <c r="B7253" s="216" t="n">
        <v>137.8</v>
      </c>
      <c r="C7253" s="216" t="n">
        <v>149.21</v>
      </c>
      <c r="D7253" s="216" t="n">
        <v>1.189563989639282</v>
      </c>
      <c r="E7253" s="215" t="n">
        <v>44293</v>
      </c>
      <c r="F7253" s="215" t="n">
        <v>44293</v>
      </c>
    </row>
    <row r="7254">
      <c r="A7254" s="215" t="n">
        <v>44294</v>
      </c>
      <c r="B7254" s="216" t="n">
        <v>142.5</v>
      </c>
      <c r="C7254" s="216" t="n">
        <v>151.6</v>
      </c>
      <c r="D7254" s="216" t="n">
        <v>1.189808964729309</v>
      </c>
      <c r="E7254" s="215" t="n">
        <v>44294</v>
      </c>
      <c r="F7254" s="215" t="n">
        <v>44294</v>
      </c>
    </row>
    <row r="7255">
      <c r="A7255" s="215" t="n">
        <v>44295</v>
      </c>
      <c r="B7255" s="216" t="n">
        <v>140.3</v>
      </c>
      <c r="C7255" s="216" t="n">
        <v>147.66</v>
      </c>
      <c r="D7255" s="216" t="n">
        <v>1.186974048614502</v>
      </c>
      <c r="E7255" s="215" t="n">
        <v>44295</v>
      </c>
      <c r="F7255" s="215" t="n">
        <v>44295</v>
      </c>
    </row>
    <row r="7256">
      <c r="A7256" s="215" t="n">
        <v>44298</v>
      </c>
      <c r="B7256" s="216" t="n">
        <v>137.6</v>
      </c>
      <c r="C7256" s="216" t="n">
        <v>143.62</v>
      </c>
      <c r="D7256" s="216" t="n">
        <v>1.190551042556763</v>
      </c>
      <c r="E7256" s="215" t="n">
        <v>44298</v>
      </c>
      <c r="F7256" s="215" t="n">
        <v>44298</v>
      </c>
    </row>
    <row r="7257">
      <c r="A7257" s="215" t="n">
        <v>44299</v>
      </c>
      <c r="B7257" s="216" t="n">
        <v>135</v>
      </c>
      <c r="C7257" s="216" t="n">
        <v>144.5</v>
      </c>
      <c r="D7257" s="216" t="n">
        <v>1.186725974082947</v>
      </c>
      <c r="E7257" s="215" t="n">
        <v>44299</v>
      </c>
      <c r="F7257" s="215" t="n">
        <v>44299</v>
      </c>
    </row>
    <row r="7258">
      <c r="A7258" s="215" t="n">
        <v>44300</v>
      </c>
      <c r="B7258" s="216" t="n">
        <v>132.9</v>
      </c>
      <c r="C7258" s="216" t="n">
        <v>144.53</v>
      </c>
      <c r="D7258" s="216" t="n">
        <v>1.187383055686951</v>
      </c>
      <c r="E7258" s="215" t="n">
        <v>44300</v>
      </c>
      <c r="F7258" s="215" t="n">
        <v>44300</v>
      </c>
    </row>
    <row r="7259">
      <c r="A7259" s="215" t="n">
        <v>44301</v>
      </c>
      <c r="B7259" s="216" t="n">
        <v>133.1</v>
      </c>
      <c r="C7259" s="216" t="n">
        <v>148.2</v>
      </c>
      <c r="D7259" s="216" t="n">
        <v>1.189152002334595</v>
      </c>
      <c r="E7259" s="215" t="n">
        <v>44301</v>
      </c>
      <c r="F7259" s="215" t="n">
        <v>44301</v>
      </c>
    </row>
    <row r="7260">
      <c r="A7260" s="215" t="n">
        <v>44302</v>
      </c>
      <c r="B7260" s="216" t="n">
        <v>134.1</v>
      </c>
      <c r="C7260" s="216" t="n">
        <v>145.22</v>
      </c>
      <c r="D7260" s="216" t="n">
        <v>1.190605044364929</v>
      </c>
      <c r="E7260" s="215" t="n">
        <v>44302</v>
      </c>
      <c r="F7260" s="215" t="n">
        <v>44302</v>
      </c>
    </row>
    <row r="7261">
      <c r="A7261" s="215" t="n">
        <v>44305</v>
      </c>
      <c r="B7261" s="216" t="n">
        <v>135.9</v>
      </c>
      <c r="C7261" s="216" t="n">
        <v>149.62</v>
      </c>
      <c r="D7261" s="216" t="n">
        <v>1.188281059265137</v>
      </c>
      <c r="E7261" s="215" t="n">
        <v>44305</v>
      </c>
      <c r="F7261" s="215" t="n">
        <v>44305</v>
      </c>
    </row>
    <row r="7262">
      <c r="A7262" s="215" t="n">
        <v>44306</v>
      </c>
      <c r="B7262" s="216" t="n">
        <v>139.5</v>
      </c>
      <c r="C7262" s="216" t="n">
        <v>155.65</v>
      </c>
      <c r="D7262" s="216" t="n">
        <v>1.192937016487122</v>
      </c>
      <c r="E7262" s="215" t="n">
        <v>44306</v>
      </c>
      <c r="F7262" s="215" t="n">
        <v>44306</v>
      </c>
    </row>
    <row r="7263">
      <c r="A7263" s="215" t="n">
        <v>44307</v>
      </c>
      <c r="B7263" s="216" t="n">
        <v>143.2</v>
      </c>
      <c r="C7263" s="216" t="n">
        <v>155.29</v>
      </c>
      <c r="D7263" s="216" t="n">
        <v>1.194049954414368</v>
      </c>
      <c r="E7263" s="215" t="n">
        <v>44307</v>
      </c>
      <c r="F7263" s="215" t="n">
        <v>44307</v>
      </c>
    </row>
    <row r="7264">
      <c r="A7264" s="215" t="n">
        <v>44308</v>
      </c>
      <c r="B7264" s="216" t="n">
        <v>141.3</v>
      </c>
      <c r="C7264" s="216" t="n">
        <v>155</v>
      </c>
      <c r="D7264" s="216" t="n">
        <v>1.19568395614624</v>
      </c>
      <c r="E7264" s="215" t="n">
        <v>44308</v>
      </c>
      <c r="F7264" s="215" t="n">
        <v>44308</v>
      </c>
    </row>
    <row r="7265">
      <c r="A7265" s="215" t="n">
        <v>44309</v>
      </c>
      <c r="B7265" s="216" t="n">
        <v>144</v>
      </c>
      <c r="C7265" s="216" t="n">
        <v>157.3</v>
      </c>
      <c r="D7265" s="216" t="n">
        <v>1.195209980010986</v>
      </c>
      <c r="E7265" s="215" t="n">
        <v>44309</v>
      </c>
      <c r="F7265" s="215" t="n">
        <v>44309</v>
      </c>
    </row>
    <row r="7266">
      <c r="A7266" s="215" t="n">
        <v>44312</v>
      </c>
      <c r="B7266" s="216" t="n">
        <v>141.3</v>
      </c>
      <c r="C7266" s="216" t="n">
        <v>151.98</v>
      </c>
      <c r="D7266" s="216" t="n">
        <v>1.193734049797058</v>
      </c>
      <c r="E7266" s="215" t="n">
        <v>44312</v>
      </c>
      <c r="F7266" s="215" t="n">
        <v>44312</v>
      </c>
    </row>
    <row r="7267">
      <c r="A7267" s="215" t="n">
        <v>44313</v>
      </c>
      <c r="B7267" s="216" t="n">
        <v>142.9</v>
      </c>
      <c r="C7267" s="216" t="n">
        <v>158.39</v>
      </c>
      <c r="D7267" s="216" t="n">
        <v>1.196540951728821</v>
      </c>
      <c r="E7267" s="215" t="n">
        <v>44313</v>
      </c>
      <c r="F7267" s="215" t="n">
        <v>44313</v>
      </c>
    </row>
    <row r="7268">
      <c r="A7268" s="215" t="n">
        <v>44314</v>
      </c>
      <c r="B7268" s="216" t="n">
        <v>144.2</v>
      </c>
      <c r="C7268" s="216" t="n">
        <v>163.37</v>
      </c>
      <c r="D7268" s="216" t="n">
        <v>1.197249054908752</v>
      </c>
      <c r="E7268" s="215" t="n">
        <v>44314</v>
      </c>
      <c r="F7268" s="215" t="n">
        <v>44314</v>
      </c>
    </row>
    <row r="7269">
      <c r="A7269" s="215" t="n">
        <v>44315</v>
      </c>
      <c r="B7269" s="216" t="n">
        <v>145.5</v>
      </c>
      <c r="C7269" s="216" t="n">
        <v>160.2</v>
      </c>
      <c r="D7269" s="216" t="n">
        <v>1.197950005531311</v>
      </c>
      <c r="E7269" s="215" t="n">
        <v>44315</v>
      </c>
      <c r="F7269" s="215" t="n">
        <v>44315</v>
      </c>
    </row>
    <row r="7270">
      <c r="A7270" s="215" t="n">
        <v>44316</v>
      </c>
      <c r="B7270" s="216" t="n">
        <v>140</v>
      </c>
      <c r="C7270" s="216" t="n">
        <v>152.55</v>
      </c>
      <c r="D7270" s="216" t="n">
        <v>1.199563026428223</v>
      </c>
      <c r="E7270" s="215" t="n">
        <v>44316</v>
      </c>
      <c r="F7270" s="215" t="n">
        <v>44316</v>
      </c>
    </row>
    <row r="7271">
      <c r="A7271" s="215" t="n">
        <v>44319</v>
      </c>
      <c r="B7271" s="216" t="n">
        <v>139.8</v>
      </c>
      <c r="C7271" s="216" t="n">
        <v>152.55</v>
      </c>
      <c r="D7271" s="216" t="n">
        <v>1.200216054916382</v>
      </c>
      <c r="E7271" s="215" t="n">
        <v>44316</v>
      </c>
      <c r="F7271" s="215" t="n">
        <v>44319</v>
      </c>
    </row>
    <row r="7272">
      <c r="A7272" s="215" t="n">
        <v>44320</v>
      </c>
      <c r="B7272" s="216" t="n">
        <v>139.4</v>
      </c>
      <c r="C7272" s="216" t="n">
        <v>152.55</v>
      </c>
      <c r="D7272" s="216" t="n">
        <v>1.199635982513428</v>
      </c>
      <c r="E7272" s="215" t="n">
        <v>44316</v>
      </c>
      <c r="F7272" s="215" t="n">
        <v>44320</v>
      </c>
    </row>
    <row r="7273">
      <c r="A7273" s="215" t="n">
        <v>44321</v>
      </c>
      <c r="B7273" s="216" t="n">
        <v>136.2</v>
      </c>
      <c r="C7273" s="216" t="n">
        <v>152.55</v>
      </c>
      <c r="D7273" s="216" t="n">
        <v>1.200139045715332</v>
      </c>
      <c r="E7273" s="215" t="n">
        <v>44316</v>
      </c>
      <c r="F7273" s="215" t="n">
        <v>44321</v>
      </c>
    </row>
    <row r="7274">
      <c r="A7274" s="215" t="n">
        <v>44322</v>
      </c>
      <c r="B7274" s="216" t="n">
        <v>138.9</v>
      </c>
      <c r="C7274" s="216" t="n">
        <v>144.11</v>
      </c>
      <c r="D7274" s="216" t="n">
        <v>1.20035994052887</v>
      </c>
      <c r="E7274" s="215" t="n">
        <v>44322</v>
      </c>
      <c r="F7274" s="215" t="n">
        <v>44322</v>
      </c>
    </row>
    <row r="7275">
      <c r="A7275" s="215" t="n">
        <v>44323</v>
      </c>
      <c r="B7275" s="216" t="n">
        <v>136.6</v>
      </c>
      <c r="C7275" s="216" t="n">
        <v>139.25</v>
      </c>
      <c r="D7275" s="216" t="n">
        <v>1.201549053192139</v>
      </c>
      <c r="E7275" s="215" t="n">
        <v>44323</v>
      </c>
      <c r="F7275" s="215" t="n">
        <v>44323</v>
      </c>
    </row>
    <row r="7276">
      <c r="A7276" s="215" t="n">
        <v>44326</v>
      </c>
      <c r="B7276" s="216" t="n">
        <v>137.9</v>
      </c>
      <c r="C7276" s="216" t="n">
        <v>141.45</v>
      </c>
      <c r="D7276" s="216" t="n">
        <v>1.207831978797913</v>
      </c>
      <c r="E7276" s="215" t="n">
        <v>44326</v>
      </c>
      <c r="F7276" s="215" t="n">
        <v>44326</v>
      </c>
    </row>
    <row r="7277">
      <c r="A7277" s="215" t="n">
        <v>44327</v>
      </c>
      <c r="B7277" s="216" t="n">
        <v>139</v>
      </c>
      <c r="C7277" s="216" t="n">
        <v>145.79</v>
      </c>
      <c r="D7277" s="216" t="n">
        <v>1.210186958312988</v>
      </c>
      <c r="E7277" s="215" t="n">
        <v>44327</v>
      </c>
      <c r="F7277" s="215" t="n">
        <v>44327</v>
      </c>
    </row>
    <row r="7278">
      <c r="A7278" s="215" t="n">
        <v>44328</v>
      </c>
      <c r="B7278" s="216" t="n">
        <v>139</v>
      </c>
      <c r="C7278" s="216" t="n">
        <v>152.03</v>
      </c>
      <c r="D7278" s="216" t="n">
        <v>1.20771598815918</v>
      </c>
      <c r="E7278" s="215" t="n">
        <v>44328</v>
      </c>
      <c r="F7278" s="215" t="n">
        <v>44328</v>
      </c>
    </row>
    <row r="7279">
      <c r="A7279" s="215" t="n">
        <v>44329</v>
      </c>
      <c r="B7279" s="216" t="n">
        <v>138</v>
      </c>
      <c r="C7279" s="216" t="n">
        <v>151.98</v>
      </c>
      <c r="D7279" s="216" t="n">
        <v>1.202836990356445</v>
      </c>
      <c r="E7279" s="215" t="n">
        <v>44329</v>
      </c>
      <c r="F7279" s="215" t="n">
        <v>44329</v>
      </c>
    </row>
    <row r="7280">
      <c r="A7280" s="215" t="n">
        <v>44330</v>
      </c>
      <c r="B7280" s="216" t="n">
        <v>138.8</v>
      </c>
      <c r="C7280" s="216" t="n">
        <v>153.09</v>
      </c>
      <c r="D7280" s="216" t="n">
        <v>1.203922033309937</v>
      </c>
      <c r="E7280" s="215" t="n">
        <v>44330</v>
      </c>
      <c r="F7280" s="215" t="n">
        <v>44330</v>
      </c>
    </row>
    <row r="7281">
      <c r="A7281" s="215" t="n">
        <v>44333</v>
      </c>
      <c r="B7281" s="216" t="n">
        <v>141.8</v>
      </c>
      <c r="C7281" s="216" t="n">
        <v>161.4</v>
      </c>
      <c r="D7281" s="216" t="n">
        <v>1.207257032394409</v>
      </c>
      <c r="E7281" s="215" t="n">
        <v>44333</v>
      </c>
      <c r="F7281" s="215" t="n">
        <v>44333</v>
      </c>
    </row>
    <row r="7282">
      <c r="A7282" s="215" t="n">
        <v>44334</v>
      </c>
      <c r="B7282" s="216" t="n">
        <v>139.3</v>
      </c>
      <c r="C7282" s="216" t="n">
        <v>159.9</v>
      </c>
      <c r="D7282" s="216" t="n">
        <v>1.206032037734985</v>
      </c>
      <c r="E7282" s="215" t="n">
        <v>44334</v>
      </c>
      <c r="F7282" s="215" t="n">
        <v>44334</v>
      </c>
    </row>
    <row r="7283">
      <c r="A7283" s="215" t="n">
        <v>44336</v>
      </c>
      <c r="B7283" s="216" t="n">
        <v>141.3</v>
      </c>
      <c r="C7283" s="216" t="n">
        <v>167.8</v>
      </c>
      <c r="D7283" s="216" t="n">
        <v>1.206100940704346</v>
      </c>
      <c r="E7283" s="215" t="n">
        <v>44336</v>
      </c>
      <c r="F7283" s="215" t="n">
        <v>44336</v>
      </c>
    </row>
    <row r="7284">
      <c r="A7284" s="215" t="n">
        <v>44337</v>
      </c>
      <c r="B7284" s="216" t="n">
        <v>145</v>
      </c>
      <c r="C7284" s="216" t="n">
        <v>167.99</v>
      </c>
      <c r="D7284" s="216" t="n">
        <v>1.206097006797791</v>
      </c>
      <c r="E7284" s="215" t="n">
        <v>44337</v>
      </c>
      <c r="F7284" s="215" t="n">
        <v>44337</v>
      </c>
    </row>
    <row r="7285">
      <c r="A7285" s="215" t="n">
        <v>44340</v>
      </c>
      <c r="B7285" s="216" t="n">
        <v>148.9</v>
      </c>
      <c r="C7285" s="216" t="n">
        <v>169.59</v>
      </c>
      <c r="D7285" s="216" t="n">
        <v>1.206681966781616</v>
      </c>
      <c r="E7285" s="215" t="n">
        <v>44340</v>
      </c>
      <c r="F7285" s="215" t="n">
        <v>44340</v>
      </c>
    </row>
    <row r="7286">
      <c r="A7286" s="215" t="n">
        <v>44341</v>
      </c>
      <c r="B7286" s="216" t="n">
        <v>151.5</v>
      </c>
      <c r="C7286" s="216" t="n">
        <v>172.25</v>
      </c>
      <c r="D7286" s="216" t="n">
        <v>1.209483981132507</v>
      </c>
      <c r="E7286" s="215" t="n">
        <v>44341</v>
      </c>
      <c r="F7286" s="215" t="n">
        <v>44341</v>
      </c>
    </row>
    <row r="7287">
      <c r="A7287" s="215" t="n">
        <v>44342</v>
      </c>
      <c r="B7287" s="216" t="n">
        <v>149.2</v>
      </c>
      <c r="C7287" s="216" t="n">
        <v>171.4</v>
      </c>
      <c r="D7287" s="216" t="n">
        <v>1.210641980171204</v>
      </c>
      <c r="E7287" s="215" t="n">
        <v>44342</v>
      </c>
      <c r="F7287" s="215" t="n">
        <v>44342</v>
      </c>
    </row>
    <row r="7288">
      <c r="A7288" s="215" t="n">
        <v>44343</v>
      </c>
      <c r="B7288" s="216" t="n">
        <v>152.1</v>
      </c>
      <c r="C7288" s="216" t="n">
        <v>173.45</v>
      </c>
      <c r="D7288" s="216" t="n">
        <v>1.214640974998474</v>
      </c>
      <c r="E7288" s="215" t="n">
        <v>44343</v>
      </c>
      <c r="F7288" s="215" t="n">
        <v>44343</v>
      </c>
    </row>
    <row r="7289">
      <c r="A7289" s="215" t="n">
        <v>44344</v>
      </c>
      <c r="B7289" s="216" t="n">
        <v>148.1</v>
      </c>
      <c r="C7289" s="216" t="n">
        <v>164.15</v>
      </c>
      <c r="D7289" s="216" t="n">
        <v>1.215752959251404</v>
      </c>
      <c r="E7289" s="215" t="n">
        <v>44344</v>
      </c>
      <c r="F7289" s="215" t="n">
        <v>44344</v>
      </c>
    </row>
    <row r="7290">
      <c r="A7290" s="215" t="n">
        <v>44347</v>
      </c>
      <c r="B7290" s="216" t="n">
        <v>152</v>
      </c>
      <c r="C7290" s="216" t="n">
        <v>170.15</v>
      </c>
      <c r="D7290" s="216" t="n">
        <v>1.2186199426651</v>
      </c>
      <c r="E7290" s="215" t="n">
        <v>44347</v>
      </c>
      <c r="F7290" s="215" t="n">
        <v>44347</v>
      </c>
    </row>
    <row r="7291">
      <c r="A7291" s="215" t="n">
        <v>44348</v>
      </c>
      <c r="B7291" s="216" t="n">
        <v>157.3</v>
      </c>
      <c r="C7291" s="216" t="n">
        <v>171.92</v>
      </c>
      <c r="D7291" s="216" t="n">
        <v>1.218160033226013</v>
      </c>
      <c r="E7291" s="215" t="n">
        <v>44348</v>
      </c>
      <c r="F7291" s="215" t="n">
        <v>44348</v>
      </c>
    </row>
    <row r="7292">
      <c r="A7292" s="215" t="n">
        <v>44349</v>
      </c>
      <c r="B7292" s="216" t="n">
        <v>153.8</v>
      </c>
      <c r="C7292" s="216" t="n">
        <v>170.53</v>
      </c>
      <c r="D7292" s="216" t="n">
        <v>1.21582305431366</v>
      </c>
      <c r="E7292" s="215" t="n">
        <v>44349</v>
      </c>
      <c r="F7292" s="215" t="n">
        <v>44349</v>
      </c>
    </row>
    <row r="7293">
      <c r="A7293" s="215" t="n">
        <v>44350</v>
      </c>
      <c r="B7293" s="216" t="n">
        <v>152.2</v>
      </c>
      <c r="C7293" s="216" t="n">
        <v>172.7</v>
      </c>
      <c r="D7293" s="216" t="n">
        <v>1.215476989746094</v>
      </c>
      <c r="E7293" s="215" t="n">
        <v>44350</v>
      </c>
      <c r="F7293" s="215" t="n">
        <v>44350</v>
      </c>
    </row>
    <row r="7294">
      <c r="A7294" s="215" t="n">
        <v>44351</v>
      </c>
      <c r="B7294" s="216" t="n">
        <v>151.4</v>
      </c>
      <c r="C7294" s="216" t="n">
        <v>173.6</v>
      </c>
      <c r="D7294" s="216" t="n">
        <v>1.211403012275696</v>
      </c>
      <c r="E7294" s="215" t="n">
        <v>44351</v>
      </c>
      <c r="F7294" s="215" t="n">
        <v>44351</v>
      </c>
    </row>
    <row r="7295">
      <c r="A7295" s="215" t="n">
        <v>44354</v>
      </c>
      <c r="B7295" s="216" t="n">
        <v>150.4</v>
      </c>
      <c r="C7295" s="216" t="n">
        <v>181.06</v>
      </c>
      <c r="D7295" s="216" t="n">
        <v>1.212669014930725</v>
      </c>
      <c r="E7295" s="215" t="n">
        <v>44354</v>
      </c>
      <c r="F7295" s="215" t="n">
        <v>44354</v>
      </c>
    </row>
    <row r="7296">
      <c r="A7296" s="215" t="n">
        <v>44355</v>
      </c>
      <c r="B7296" s="216" t="n">
        <v>154</v>
      </c>
      <c r="C7296" s="216" t="n">
        <v>179.68</v>
      </c>
      <c r="D7296" s="216" t="n">
        <v>1.212720990180969</v>
      </c>
      <c r="E7296" s="215" t="n">
        <v>44355</v>
      </c>
      <c r="F7296" s="215" t="n">
        <v>44355</v>
      </c>
    </row>
    <row r="7297">
      <c r="A7297" s="215" t="n">
        <v>44356</v>
      </c>
      <c r="B7297" s="216" t="n">
        <v>153.5</v>
      </c>
      <c r="C7297" s="216" t="n">
        <v>178.97</v>
      </c>
      <c r="D7297" s="216" t="n">
        <v>1.212111949920654</v>
      </c>
      <c r="E7297" s="215" t="n">
        <v>44356</v>
      </c>
      <c r="F7297" s="215" t="n">
        <v>44356</v>
      </c>
    </row>
    <row r="7298">
      <c r="A7298" s="215" t="n">
        <v>44357</v>
      </c>
      <c r="B7298" s="216" t="n">
        <v>154</v>
      </c>
      <c r="C7298" s="216" t="n">
        <v>183.17</v>
      </c>
      <c r="D7298" s="216" t="n">
        <v>1.214655041694641</v>
      </c>
      <c r="E7298" s="215" t="n">
        <v>44357</v>
      </c>
      <c r="F7298" s="215" t="n">
        <v>44357</v>
      </c>
    </row>
    <row r="7299">
      <c r="A7299" s="215" t="n">
        <v>44358</v>
      </c>
      <c r="B7299" s="216" t="n">
        <v>160</v>
      </c>
      <c r="C7299" s="216" t="n">
        <v>179.47</v>
      </c>
      <c r="D7299" s="216" t="n">
        <v>1.2136310338974</v>
      </c>
      <c r="E7299" s="215" t="n">
        <v>44358</v>
      </c>
      <c r="F7299" s="215" t="n">
        <v>44358</v>
      </c>
    </row>
    <row r="7300">
      <c r="A7300" s="215" t="n">
        <v>44362</v>
      </c>
      <c r="B7300" s="216" t="n">
        <v>159.2</v>
      </c>
      <c r="C7300" s="216" t="n">
        <v>183.5</v>
      </c>
      <c r="D7300" s="216" t="n">
        <v>1.212633013725281</v>
      </c>
      <c r="E7300" s="215" t="n">
        <v>44362</v>
      </c>
      <c r="F7300" s="215" t="n">
        <v>44362</v>
      </c>
    </row>
    <row r="7301">
      <c r="A7301" s="215" t="n">
        <v>44363</v>
      </c>
      <c r="B7301" s="216" t="n">
        <v>157.7</v>
      </c>
      <c r="C7301" s="216" t="n">
        <v>173.31</v>
      </c>
      <c r="D7301" s="216" t="n">
        <v>1.211632966995239</v>
      </c>
      <c r="E7301" s="215" t="n">
        <v>44363</v>
      </c>
      <c r="F7301" s="215" t="n">
        <v>44363</v>
      </c>
    </row>
    <row r="7302">
      <c r="A7302" s="215" t="n">
        <v>44364</v>
      </c>
      <c r="B7302" s="216" t="n">
        <v>159.3</v>
      </c>
      <c r="C7302" s="216" t="n">
        <v>177.77</v>
      </c>
      <c r="D7302" s="216" t="n">
        <v>1.214179039001465</v>
      </c>
      <c r="E7302" s="215" t="n">
        <v>44364</v>
      </c>
      <c r="F7302" s="215" t="n">
        <v>44364</v>
      </c>
    </row>
    <row r="7303">
      <c r="A7303" s="215" t="n">
        <v>44365</v>
      </c>
      <c r="B7303" s="216" t="n">
        <v>159.3</v>
      </c>
      <c r="C7303" s="216" t="n">
        <v>179.25</v>
      </c>
      <c r="D7303" s="216" t="n">
        <v>1.204177021980286</v>
      </c>
      <c r="E7303" s="215" t="n">
        <v>44365</v>
      </c>
      <c r="F7303" s="215" t="n">
        <v>44365</v>
      </c>
    </row>
    <row r="7304">
      <c r="A7304" s="215" t="n">
        <v>44368</v>
      </c>
      <c r="B7304" s="216" t="n">
        <v>165.9</v>
      </c>
      <c r="C7304" s="216" t="n">
        <v>186.04</v>
      </c>
      <c r="D7304" s="216" t="n">
        <v>1.203835964202881</v>
      </c>
      <c r="E7304" s="215" t="n">
        <v>44368</v>
      </c>
      <c r="F7304" s="215" t="n">
        <v>44368</v>
      </c>
    </row>
    <row r="7305">
      <c r="A7305" s="215" t="n">
        <v>44369</v>
      </c>
      <c r="B7305" s="216" t="n">
        <v>164.8</v>
      </c>
      <c r="C7305" s="216" t="n">
        <v>189.03</v>
      </c>
      <c r="D7305" s="216" t="n">
        <v>1.200553059577942</v>
      </c>
      <c r="E7305" s="215" t="n">
        <v>44369</v>
      </c>
      <c r="F7305" s="215" t="n">
        <v>44369</v>
      </c>
    </row>
    <row r="7306">
      <c r="A7306" s="215" t="n">
        <v>44370</v>
      </c>
      <c r="B7306" s="216" t="n">
        <v>123</v>
      </c>
      <c r="C7306" s="216" t="n">
        <v>187.64</v>
      </c>
      <c r="D7306" s="216" t="n">
        <v>1.197747945785522</v>
      </c>
      <c r="E7306" s="215" t="n">
        <v>44370</v>
      </c>
      <c r="F7306" s="215" t="n">
        <v>44370</v>
      </c>
    </row>
    <row r="7307">
      <c r="A7307" s="215" t="n">
        <v>44371</v>
      </c>
      <c r="B7307" s="216" t="n">
        <v>125</v>
      </c>
      <c r="C7307" s="216" t="n">
        <v>178.15</v>
      </c>
      <c r="D7307" s="216" t="n">
        <v>1.199615001678467</v>
      </c>
      <c r="E7307" s="215" t="n">
        <v>44371</v>
      </c>
      <c r="F7307" s="215" t="n">
        <v>44371</v>
      </c>
    </row>
    <row r="7308">
      <c r="A7308" s="215" t="n">
        <v>44372</v>
      </c>
      <c r="B7308" s="216" t="n">
        <v>127.1</v>
      </c>
      <c r="C7308" s="216" t="n">
        <v>184.36</v>
      </c>
      <c r="D7308" s="216" t="n">
        <v>1.199291944503784</v>
      </c>
      <c r="E7308" s="215" t="n">
        <v>44372</v>
      </c>
      <c r="F7308" s="215" t="n">
        <v>44372</v>
      </c>
    </row>
    <row r="7309">
      <c r="A7309" s="215" t="n">
        <v>44375</v>
      </c>
      <c r="B7309" s="216" t="n">
        <v>128.8</v>
      </c>
      <c r="C7309" s="216" t="n">
        <v>186.6</v>
      </c>
      <c r="D7309" s="216" t="n">
        <v>1.198318958282471</v>
      </c>
      <c r="E7309" s="215" t="n">
        <v>44375</v>
      </c>
      <c r="F7309" s="215" t="n">
        <v>44375</v>
      </c>
    </row>
    <row r="7310">
      <c r="A7310" s="215" t="n">
        <v>44376</v>
      </c>
      <c r="B7310" s="216" t="n">
        <v>123.3</v>
      </c>
      <c r="C7310" s="216" t="n">
        <v>184.03</v>
      </c>
      <c r="D7310" s="216" t="n">
        <v>1.202309012413025</v>
      </c>
      <c r="E7310" s="215" t="n">
        <v>44376</v>
      </c>
      <c r="F7310" s="215" t="n">
        <v>44376</v>
      </c>
    </row>
    <row r="7311">
      <c r="A7311" s="215" t="n">
        <v>44377</v>
      </c>
      <c r="B7311" s="216" t="n">
        <v>125</v>
      </c>
      <c r="C7311" s="216" t="n">
        <v>183.75</v>
      </c>
      <c r="D7311" s="216" t="n">
        <v>1.201323986053467</v>
      </c>
      <c r="E7311" s="215" t="n">
        <v>44377</v>
      </c>
      <c r="F7311" s="215" t="n">
        <v>44377</v>
      </c>
    </row>
    <row r="7312">
      <c r="A7312" s="215" t="n">
        <v>44379</v>
      </c>
      <c r="B7312" s="216" t="n">
        <v>122.5</v>
      </c>
      <c r="C7312" s="216" t="n">
        <v>172.72</v>
      </c>
      <c r="D7312" s="216" t="n">
        <v>1.200420022010803</v>
      </c>
      <c r="E7312" s="215" t="n">
        <v>44379</v>
      </c>
      <c r="F7312" s="215" t="n">
        <v>44379</v>
      </c>
    </row>
    <row r="7313">
      <c r="A7313" s="215" t="n">
        <v>44382</v>
      </c>
      <c r="B7313" s="216" t="n">
        <v>115.4</v>
      </c>
      <c r="C7313" s="216" t="n">
        <v>160.62</v>
      </c>
      <c r="D7313" s="216" t="n">
        <v>1.202847957611084</v>
      </c>
      <c r="E7313" s="215" t="n">
        <v>44382</v>
      </c>
      <c r="F7313" s="215" t="n">
        <v>44382</v>
      </c>
    </row>
    <row r="7314">
      <c r="A7314" s="215" t="n">
        <v>44383</v>
      </c>
      <c r="B7314" s="216" t="n">
        <v>112.3</v>
      </c>
      <c r="C7314" s="216" t="n">
        <v>155.01</v>
      </c>
      <c r="D7314" s="216" t="n">
        <v>1.2012779712677</v>
      </c>
      <c r="E7314" s="215" t="n">
        <v>44383</v>
      </c>
      <c r="F7314" s="215" t="n">
        <v>44383</v>
      </c>
    </row>
    <row r="7315">
      <c r="A7315" s="215" t="n">
        <v>44384</v>
      </c>
      <c r="B7315" s="216" t="n">
        <v>116.4</v>
      </c>
      <c r="C7315" s="216" t="n">
        <v>159.75</v>
      </c>
      <c r="D7315" s="216" t="n">
        <v>1.198331952095032</v>
      </c>
      <c r="E7315" s="215" t="n">
        <v>44384</v>
      </c>
      <c r="F7315" s="215" t="n">
        <v>44384</v>
      </c>
    </row>
    <row r="7316">
      <c r="A7316" s="215" t="n">
        <v>44385</v>
      </c>
      <c r="B7316" s="216" t="n">
        <v>108</v>
      </c>
      <c r="C7316" s="216" t="n">
        <v>157.93</v>
      </c>
      <c r="D7316" s="216" t="n">
        <v>1.19966995716095</v>
      </c>
      <c r="E7316" s="215" t="n">
        <v>44385</v>
      </c>
      <c r="F7316" s="215" t="n">
        <v>44385</v>
      </c>
    </row>
    <row r="7317">
      <c r="A7317" s="215" t="n">
        <v>44386</v>
      </c>
      <c r="B7317" s="216" t="n">
        <v>108.4</v>
      </c>
      <c r="C7317" s="216" t="n">
        <v>160.38</v>
      </c>
      <c r="D7317" s="216" t="n">
        <v>1.196645021438599</v>
      </c>
      <c r="E7317" s="215" t="n">
        <v>44386</v>
      </c>
      <c r="F7317" s="215" t="n">
        <v>44386</v>
      </c>
    </row>
    <row r="7318">
      <c r="A7318" s="215" t="n">
        <v>44389</v>
      </c>
      <c r="B7318" s="216" t="n">
        <v>117</v>
      </c>
      <c r="C7318" s="216" t="n">
        <v>175.65</v>
      </c>
      <c r="D7318" s="216" t="n">
        <v>1.198264002799988</v>
      </c>
      <c r="E7318" s="215" t="n">
        <v>44389</v>
      </c>
      <c r="F7318" s="215" t="n">
        <v>44389</v>
      </c>
    </row>
    <row r="7319">
      <c r="A7319" s="215" t="n">
        <v>44390</v>
      </c>
      <c r="B7319" s="216" t="n">
        <v>115.4</v>
      </c>
      <c r="C7319" s="216" t="n">
        <v>181.5</v>
      </c>
      <c r="D7319" s="216" t="n">
        <v>1.199296951293945</v>
      </c>
      <c r="E7319" s="215" t="n">
        <v>44390</v>
      </c>
      <c r="F7319" s="215" t="n">
        <v>44390</v>
      </c>
    </row>
    <row r="7320">
      <c r="A7320" s="215" t="n">
        <v>44391</v>
      </c>
      <c r="B7320" s="216" t="n">
        <v>126</v>
      </c>
      <c r="C7320" s="216" t="n">
        <v>188.51</v>
      </c>
      <c r="D7320" s="216" t="n">
        <v>1.200353026390076</v>
      </c>
      <c r="E7320" s="215" t="n">
        <v>44391</v>
      </c>
      <c r="F7320" s="215" t="n">
        <v>44391</v>
      </c>
    </row>
    <row r="7321">
      <c r="A7321" s="215" t="n">
        <v>44392</v>
      </c>
      <c r="B7321" s="216" t="n">
        <v>132.9</v>
      </c>
      <c r="C7321" s="216" t="n">
        <v>189.2</v>
      </c>
      <c r="D7321" s="216" t="n">
        <v>1.200253009796143</v>
      </c>
      <c r="E7321" s="215" t="n">
        <v>44392</v>
      </c>
      <c r="F7321" s="215" t="n">
        <v>44392</v>
      </c>
    </row>
    <row r="7322">
      <c r="A7322" s="215" t="n">
        <v>44393</v>
      </c>
      <c r="B7322" s="216" t="n">
        <v>127</v>
      </c>
      <c r="C7322" s="216" t="n">
        <v>178.71</v>
      </c>
      <c r="D7322" s="216" t="n">
        <v>1.202010035514832</v>
      </c>
      <c r="E7322" s="215" t="n">
        <v>44393</v>
      </c>
      <c r="F7322" s="215" t="n">
        <v>44393</v>
      </c>
    </row>
    <row r="7323">
      <c r="A7323" s="215" t="n">
        <v>44396</v>
      </c>
      <c r="B7323" s="216" t="n">
        <v>125.7</v>
      </c>
      <c r="C7323" s="216" t="n">
        <v>178.24</v>
      </c>
      <c r="D7323" s="216" t="n">
        <v>1.201518058776855</v>
      </c>
      <c r="E7323" s="215" t="n">
        <v>44396</v>
      </c>
      <c r="F7323" s="215" t="n">
        <v>44396</v>
      </c>
    </row>
    <row r="7324">
      <c r="A7324" s="215" t="n">
        <v>44397</v>
      </c>
      <c r="B7324" s="216" t="n">
        <v>127</v>
      </c>
      <c r="C7324" s="216" t="n">
        <v>175.05</v>
      </c>
      <c r="D7324" s="216" t="n">
        <v>1.19716203212738</v>
      </c>
      <c r="E7324" s="215" t="n">
        <v>44397</v>
      </c>
      <c r="F7324" s="215" t="n">
        <v>44397</v>
      </c>
    </row>
    <row r="7325">
      <c r="A7325" s="215" t="n">
        <v>44398</v>
      </c>
      <c r="B7325" s="216" t="n">
        <v>135.6</v>
      </c>
      <c r="C7325" s="216" t="n">
        <v>185.6</v>
      </c>
      <c r="D7325" s="216" t="n">
        <v>1.198490023612976</v>
      </c>
      <c r="E7325" s="215" t="n">
        <v>44398</v>
      </c>
      <c r="F7325" s="215" t="n">
        <v>44398</v>
      </c>
    </row>
    <row r="7326">
      <c r="A7326" s="215" t="n">
        <v>44399</v>
      </c>
      <c r="B7326" s="216" t="n">
        <v>135.2</v>
      </c>
      <c r="C7326" s="216" t="n">
        <v>181.76</v>
      </c>
      <c r="D7326" s="216" t="n">
        <v>1.201365947723389</v>
      </c>
      <c r="E7326" s="215" t="n">
        <v>44399</v>
      </c>
      <c r="F7326" s="215" t="n">
        <v>44399</v>
      </c>
    </row>
    <row r="7327">
      <c r="A7327" s="215" t="n">
        <v>44400</v>
      </c>
      <c r="B7327" s="216" t="n">
        <v>123</v>
      </c>
      <c r="C7327" s="216" t="n">
        <v>178.21</v>
      </c>
      <c r="D7327" s="216" t="n">
        <v>1.20063304901123</v>
      </c>
      <c r="E7327" s="215" t="n">
        <v>44400</v>
      </c>
      <c r="F7327" s="215" t="n">
        <v>44400</v>
      </c>
    </row>
    <row r="7328">
      <c r="A7328" s="215" t="n">
        <v>44403</v>
      </c>
      <c r="B7328" s="216" t="n">
        <v>119.3</v>
      </c>
      <c r="C7328" s="216" t="n">
        <v>177.78</v>
      </c>
      <c r="D7328" s="216" t="n">
        <v>1.198413968086243</v>
      </c>
      <c r="E7328" s="215" t="n">
        <v>44403</v>
      </c>
      <c r="F7328" s="215" t="n">
        <v>44403</v>
      </c>
    </row>
    <row r="7329">
      <c r="A7329" s="215" t="n">
        <v>44404</v>
      </c>
      <c r="B7329" s="216" t="n">
        <v>122.5</v>
      </c>
      <c r="C7329" s="216" t="n">
        <v>192.86</v>
      </c>
      <c r="D7329" s="216" t="n">
        <v>1.199846029281616</v>
      </c>
      <c r="E7329" s="215" t="n">
        <v>44404</v>
      </c>
      <c r="F7329" s="215" t="n">
        <v>44404</v>
      </c>
    </row>
    <row r="7330">
      <c r="A7330" s="215" t="n">
        <v>44405</v>
      </c>
      <c r="B7330" s="216" t="n">
        <v>124.8</v>
      </c>
      <c r="C7330" s="216" t="n">
        <v>198.3</v>
      </c>
      <c r="D7330" s="216" t="n">
        <v>1.195276021957397</v>
      </c>
      <c r="E7330" s="215" t="n">
        <v>44405</v>
      </c>
      <c r="F7330" s="215" t="n">
        <v>44405</v>
      </c>
    </row>
    <row r="7331">
      <c r="A7331" s="215" t="n">
        <v>44406</v>
      </c>
      <c r="B7331" s="216" t="n">
        <v>129.2</v>
      </c>
      <c r="C7331" s="216" t="n">
        <v>198.6</v>
      </c>
      <c r="D7331" s="216" t="n">
        <v>1.198714971542358</v>
      </c>
      <c r="E7331" s="215" t="n">
        <v>44406</v>
      </c>
      <c r="F7331" s="215" t="n">
        <v>44406</v>
      </c>
    </row>
    <row r="7332">
      <c r="A7332" s="215" t="n">
        <v>44407</v>
      </c>
      <c r="B7332" s="216" t="n">
        <v>130</v>
      </c>
      <c r="C7332" s="216" t="n">
        <v>189.8</v>
      </c>
      <c r="D7332" s="216" t="n">
        <v>1.202932953834534</v>
      </c>
      <c r="E7332" s="215" t="n">
        <v>44407</v>
      </c>
      <c r="F7332" s="215" t="n">
        <v>44407</v>
      </c>
    </row>
    <row r="7333">
      <c r="A7333" s="215" t="n">
        <v>44410</v>
      </c>
      <c r="B7333" s="216" t="n">
        <v>123.3</v>
      </c>
      <c r="C7333" s="216" t="n">
        <v>198</v>
      </c>
      <c r="D7333" s="216" t="n">
        <v>1.202278971672058</v>
      </c>
      <c r="E7333" s="215" t="n">
        <v>44410</v>
      </c>
      <c r="F7333" s="215" t="n">
        <v>44410</v>
      </c>
    </row>
    <row r="7334">
      <c r="A7334" s="215" t="n">
        <v>44411</v>
      </c>
      <c r="B7334" s="216" t="n">
        <v>128.5</v>
      </c>
      <c r="C7334" s="216" t="n">
        <v>210.3</v>
      </c>
      <c r="D7334" s="216" t="n">
        <v>1.202962040901184</v>
      </c>
      <c r="E7334" s="215" t="n">
        <v>44411</v>
      </c>
      <c r="F7334" s="215" t="n">
        <v>44411</v>
      </c>
    </row>
    <row r="7335">
      <c r="A7335" s="215" t="n">
        <v>44412</v>
      </c>
      <c r="B7335" s="216" t="n">
        <v>133.1</v>
      </c>
      <c r="C7335" s="216" t="n">
        <v>229.68</v>
      </c>
      <c r="D7335" s="216" t="n">
        <v>1.201904058456421</v>
      </c>
      <c r="E7335" s="215" t="n">
        <v>44412</v>
      </c>
      <c r="F7335" s="215" t="n">
        <v>44412</v>
      </c>
    </row>
    <row r="7336">
      <c r="A7336" s="215" t="n">
        <v>44413</v>
      </c>
      <c r="B7336" s="216" t="n">
        <v>132.5</v>
      </c>
      <c r="C7336" s="216" t="n">
        <v>161.98</v>
      </c>
      <c r="D7336" s="216" t="n">
        <v>1.202366948127747</v>
      </c>
      <c r="E7336" s="215" t="n">
        <v>44413</v>
      </c>
      <c r="F7336" s="215" t="n">
        <v>44413</v>
      </c>
    </row>
    <row r="7337">
      <c r="A7337" s="215" t="n">
        <v>44414</v>
      </c>
      <c r="B7337" s="216" t="n">
        <v>126</v>
      </c>
      <c r="C7337" s="216" t="n">
        <v>156</v>
      </c>
      <c r="D7337" s="216" t="n">
        <v>1.203461050987244</v>
      </c>
      <c r="E7337" s="215" t="n">
        <v>44414</v>
      </c>
      <c r="F7337" s="215" t="n">
        <v>44414</v>
      </c>
    </row>
    <row r="7338">
      <c r="A7338" s="215" t="n">
        <v>44417</v>
      </c>
      <c r="B7338" s="216" t="n">
        <v>125.3</v>
      </c>
      <c r="C7338" s="216" t="n">
        <v>156.5</v>
      </c>
      <c r="D7338" s="216" t="n">
        <v>1.1980060338974</v>
      </c>
      <c r="E7338" s="215" t="n">
        <v>44417</v>
      </c>
      <c r="F7338" s="215" t="n">
        <v>44417</v>
      </c>
    </row>
    <row r="7339">
      <c r="A7339" s="215" t="n">
        <v>44418</v>
      </c>
      <c r="B7339" s="216" t="n">
        <v>122.6</v>
      </c>
      <c r="C7339" s="216" t="n">
        <v>148.96</v>
      </c>
      <c r="D7339" s="216" t="n">
        <v>1.199597954750061</v>
      </c>
      <c r="E7339" s="215" t="n">
        <v>44418</v>
      </c>
      <c r="F7339" s="215" t="n">
        <v>44418</v>
      </c>
    </row>
    <row r="7340">
      <c r="A7340" s="215" t="n">
        <v>44419</v>
      </c>
      <c r="B7340" s="216" t="n">
        <v>125.3</v>
      </c>
      <c r="C7340" s="216" t="n">
        <v>160.7</v>
      </c>
      <c r="D7340" s="216" t="n">
        <v>1.199553966522217</v>
      </c>
      <c r="E7340" s="215" t="n">
        <v>44419</v>
      </c>
      <c r="F7340" s="215" t="n">
        <v>44419</v>
      </c>
    </row>
    <row r="7341">
      <c r="A7341" s="215" t="n">
        <v>44420</v>
      </c>
      <c r="B7341" s="216" t="n">
        <v>120</v>
      </c>
      <c r="C7341" s="216" t="n">
        <v>153.78</v>
      </c>
      <c r="D7341" s="216" t="n">
        <v>1.200325965881348</v>
      </c>
      <c r="E7341" s="215" t="n">
        <v>44420</v>
      </c>
      <c r="F7341" s="215" t="n">
        <v>44420</v>
      </c>
    </row>
    <row r="7342">
      <c r="A7342" s="215" t="n">
        <v>44421</v>
      </c>
      <c r="B7342" s="216" t="n">
        <v>118.7</v>
      </c>
      <c r="C7342" s="216" t="n">
        <v>151.32</v>
      </c>
      <c r="D7342" s="216" t="n">
        <v>1.200997948646545</v>
      </c>
      <c r="E7342" s="215" t="n">
        <v>44421</v>
      </c>
      <c r="F7342" s="215" t="n">
        <v>44421</v>
      </c>
    </row>
    <row r="7343">
      <c r="A7343" s="215" t="n">
        <v>44424</v>
      </c>
      <c r="B7343" s="216" t="n">
        <v>114.3</v>
      </c>
      <c r="C7343" s="216" t="n">
        <v>151.17</v>
      </c>
      <c r="D7343" s="216" t="n">
        <v>1.2012619972229</v>
      </c>
      <c r="E7343" s="215" t="n">
        <v>44424</v>
      </c>
      <c r="F7343" s="215" t="n">
        <v>44424</v>
      </c>
    </row>
    <row r="7344">
      <c r="A7344" s="215" t="n">
        <v>44425</v>
      </c>
      <c r="B7344" s="216" t="n">
        <v>105.2</v>
      </c>
      <c r="C7344" s="216" t="n">
        <v>139.7</v>
      </c>
      <c r="D7344" s="216" t="n">
        <v>1.202034950256348</v>
      </c>
      <c r="E7344" s="215" t="n">
        <v>44425</v>
      </c>
      <c r="F7344" s="215" t="n">
        <v>44425</v>
      </c>
    </row>
    <row r="7345">
      <c r="A7345" s="215" t="n">
        <v>44426</v>
      </c>
      <c r="B7345" s="216" t="n">
        <v>105</v>
      </c>
      <c r="C7345" s="216" t="n">
        <v>137.58</v>
      </c>
      <c r="D7345" s="216" t="n">
        <v>1.201297998428345</v>
      </c>
      <c r="E7345" s="215" t="n">
        <v>44426</v>
      </c>
      <c r="F7345" s="215" t="n">
        <v>44426</v>
      </c>
    </row>
    <row r="7346">
      <c r="A7346" s="215" t="n">
        <v>44427</v>
      </c>
      <c r="B7346" s="216" t="n">
        <v>102.5</v>
      </c>
      <c r="C7346" s="216" t="n">
        <v>137.93</v>
      </c>
      <c r="D7346" s="216" t="n">
        <v>1.200966000556946</v>
      </c>
      <c r="E7346" s="215" t="n">
        <v>44427</v>
      </c>
      <c r="F7346" s="215" t="n">
        <v>44427</v>
      </c>
    </row>
    <row r="7347">
      <c r="A7347" s="215" t="n">
        <v>44428</v>
      </c>
      <c r="B7347" s="216" t="n">
        <v>90.75</v>
      </c>
      <c r="C7347" s="216" t="n">
        <v>129.4</v>
      </c>
      <c r="D7347" s="216" t="n">
        <v>1.199172019958496</v>
      </c>
      <c r="E7347" s="215" t="n">
        <v>44428</v>
      </c>
      <c r="F7347" s="215" t="n">
        <v>44428</v>
      </c>
    </row>
    <row r="7348">
      <c r="A7348" s="215" t="n">
        <v>44431</v>
      </c>
      <c r="B7348" s="216" t="n">
        <v>92.05</v>
      </c>
      <c r="C7348" s="216" t="n">
        <v>129.46</v>
      </c>
      <c r="D7348" s="216" t="n">
        <v>1.200477004051208</v>
      </c>
      <c r="E7348" s="215" t="n">
        <v>44431</v>
      </c>
      <c r="F7348" s="215" t="n">
        <v>44431</v>
      </c>
    </row>
    <row r="7349">
      <c r="A7349" s="215" t="n">
        <v>44432</v>
      </c>
      <c r="B7349" s="216" t="n">
        <v>100.3</v>
      </c>
      <c r="C7349" s="216" t="n">
        <v>142.41</v>
      </c>
      <c r="D7349" s="216" t="n">
        <v>1.201900005340576</v>
      </c>
      <c r="E7349" s="215" t="n">
        <v>44432</v>
      </c>
      <c r="F7349" s="215" t="n">
        <v>44432</v>
      </c>
    </row>
    <row r="7350">
      <c r="A7350" s="215" t="n">
        <v>44433</v>
      </c>
      <c r="B7350" s="216" t="n">
        <v>102.3</v>
      </c>
      <c r="C7350" s="216" t="n">
        <v>147.99</v>
      </c>
      <c r="D7350" s="216" t="n">
        <v>1.203245997428894</v>
      </c>
      <c r="E7350" s="215" t="n">
        <v>44433</v>
      </c>
      <c r="F7350" s="215" t="n">
        <v>44433</v>
      </c>
    </row>
    <row r="7351">
      <c r="A7351" s="215" t="n">
        <v>44434</v>
      </c>
      <c r="B7351" s="216" t="n">
        <v>99.55</v>
      </c>
      <c r="C7351" s="216" t="n">
        <v>141.71</v>
      </c>
      <c r="D7351" s="216" t="n">
        <v>1.201802015304565</v>
      </c>
      <c r="E7351" s="215" t="n">
        <v>44434</v>
      </c>
      <c r="F7351" s="215" t="n">
        <v>44434</v>
      </c>
    </row>
    <row r="7352">
      <c r="A7352" s="215" t="n">
        <v>44435</v>
      </c>
      <c r="B7352" s="216" t="n">
        <v>100</v>
      </c>
      <c r="C7352" s="216" t="n">
        <v>141.95</v>
      </c>
      <c r="D7352" s="216" t="n">
        <v>1.201109051704407</v>
      </c>
      <c r="E7352" s="215" t="n">
        <v>44435</v>
      </c>
      <c r="F7352" s="215" t="n">
        <v>44435</v>
      </c>
    </row>
    <row r="7353">
      <c r="A7353" s="215" t="n">
        <v>44438</v>
      </c>
      <c r="B7353" s="216" t="n">
        <v>102.5</v>
      </c>
      <c r="C7353" s="216" t="n">
        <v>142.75</v>
      </c>
      <c r="D7353" s="216" t="n">
        <v>1.203529000282288</v>
      </c>
      <c r="E7353" s="215" t="n">
        <v>44438</v>
      </c>
      <c r="F7353" s="215" t="n">
        <v>44438</v>
      </c>
    </row>
    <row r="7354">
      <c r="A7354" s="215" t="n">
        <v>44439</v>
      </c>
      <c r="B7354" s="216" t="n">
        <v>103.2</v>
      </c>
      <c r="C7354" s="216" t="n">
        <v>142.1</v>
      </c>
      <c r="D7354" s="216" t="n">
        <v>1.204085946083069</v>
      </c>
      <c r="E7354" s="215" t="n">
        <v>44439</v>
      </c>
      <c r="F7354" s="215" t="n">
        <v>44439</v>
      </c>
    </row>
    <row r="7355">
      <c r="A7355" s="215" t="n">
        <v>44440</v>
      </c>
      <c r="B7355" s="216" t="n">
        <v>98.09999999999999</v>
      </c>
      <c r="C7355" s="216" t="n">
        <v>140.48</v>
      </c>
      <c r="D7355" s="216" t="n">
        <v>1.203971982002258</v>
      </c>
      <c r="E7355" s="215" t="n">
        <v>44440</v>
      </c>
      <c r="F7355" s="215" t="n">
        <v>44440</v>
      </c>
    </row>
    <row r="7356">
      <c r="A7356" s="215" t="n">
        <v>44441</v>
      </c>
      <c r="B7356" s="216" t="n">
        <v>99</v>
      </c>
      <c r="C7356" s="216" t="n">
        <v>136.5</v>
      </c>
      <c r="D7356" s="216" t="n">
        <v>1.203667998313904</v>
      </c>
      <c r="E7356" s="215" t="n">
        <v>44441</v>
      </c>
      <c r="F7356" s="215" t="n">
        <v>44441</v>
      </c>
    </row>
    <row r="7357">
      <c r="A7357" s="215" t="n">
        <v>44442</v>
      </c>
      <c r="B7357" s="216" t="n">
        <v>95.55</v>
      </c>
      <c r="C7357" s="216" t="n">
        <v>134.9</v>
      </c>
      <c r="D7357" s="216" t="n">
        <v>1.203598976135254</v>
      </c>
      <c r="E7357" s="215" t="n">
        <v>44442</v>
      </c>
      <c r="F7357" s="215" t="n">
        <v>44442</v>
      </c>
    </row>
    <row r="7358">
      <c r="A7358" s="215" t="n">
        <v>44445</v>
      </c>
      <c r="B7358" s="216" t="n">
        <v>100.3</v>
      </c>
      <c r="C7358" s="216" t="n">
        <v>148.39</v>
      </c>
      <c r="D7358" s="216" t="n">
        <v>1.204463005065918</v>
      </c>
      <c r="E7358" s="215" t="n">
        <v>44445</v>
      </c>
      <c r="F7358" s="215" t="n">
        <v>44445</v>
      </c>
    </row>
    <row r="7359">
      <c r="A7359" s="215" t="n">
        <v>44446</v>
      </c>
      <c r="B7359" s="216" t="n">
        <v>104</v>
      </c>
      <c r="C7359" s="216" t="n">
        <v>148.3</v>
      </c>
      <c r="D7359" s="216" t="n">
        <v>1.203871011734009</v>
      </c>
      <c r="E7359" s="215" t="n">
        <v>44446</v>
      </c>
      <c r="F7359" s="215" t="n">
        <v>44446</v>
      </c>
    </row>
    <row r="7360">
      <c r="A7360" s="215" t="n">
        <v>44447</v>
      </c>
      <c r="B7360" s="216" t="n">
        <v>103</v>
      </c>
      <c r="C7360" s="216" t="n">
        <v>146.8</v>
      </c>
      <c r="D7360" s="216" t="n">
        <v>1.202070951461792</v>
      </c>
      <c r="E7360" s="215" t="n">
        <v>44447</v>
      </c>
      <c r="F7360" s="215" t="n">
        <v>44447</v>
      </c>
    </row>
    <row r="7361">
      <c r="A7361" s="215" t="n">
        <v>44448</v>
      </c>
      <c r="B7361" s="216" t="n">
        <v>102</v>
      </c>
      <c r="C7361" s="216" t="n">
        <v>147.22</v>
      </c>
      <c r="D7361" s="216" t="n">
        <v>1.203197956085205</v>
      </c>
      <c r="E7361" s="215" t="n">
        <v>44448</v>
      </c>
      <c r="F7361" s="215" t="n">
        <v>44448</v>
      </c>
    </row>
    <row r="7362">
      <c r="A7362" s="215" t="n">
        <v>44449</v>
      </c>
      <c r="B7362" s="216" t="n">
        <v>99.40000000000001</v>
      </c>
      <c r="C7362" s="216" t="n">
        <v>143.98</v>
      </c>
      <c r="D7362" s="216" t="n">
        <v>1.204638004302979</v>
      </c>
      <c r="E7362" s="215" t="n">
        <v>44449</v>
      </c>
      <c r="F7362" s="215" t="n">
        <v>44449</v>
      </c>
    </row>
    <row r="7363">
      <c r="A7363" s="215" t="n">
        <v>44452</v>
      </c>
      <c r="B7363" s="216" t="n">
        <v>101.6</v>
      </c>
      <c r="C7363" s="216" t="n">
        <v>144.7</v>
      </c>
      <c r="D7363" s="216" t="n">
        <v>1.206537008285522</v>
      </c>
      <c r="E7363" s="215" t="n">
        <v>44452</v>
      </c>
      <c r="F7363" s="215" t="n">
        <v>44452</v>
      </c>
    </row>
    <row r="7364">
      <c r="A7364" s="215" t="n">
        <v>44453</v>
      </c>
      <c r="B7364" s="216" t="n">
        <v>103.4</v>
      </c>
      <c r="C7364" s="216" t="n">
        <v>152.09</v>
      </c>
      <c r="D7364" s="216" t="n">
        <v>1.205628037452698</v>
      </c>
      <c r="E7364" s="215" t="n">
        <v>44453</v>
      </c>
      <c r="F7364" s="215" t="n">
        <v>44453</v>
      </c>
    </row>
    <row r="7365">
      <c r="A7365" s="215" t="n">
        <v>44454</v>
      </c>
      <c r="B7365" s="216" t="n">
        <v>104.7</v>
      </c>
      <c r="C7365" s="216" t="n">
        <v>160.04</v>
      </c>
      <c r="D7365" s="216" t="n">
        <v>1.20806097984314</v>
      </c>
      <c r="E7365" s="215" t="n">
        <v>44454</v>
      </c>
      <c r="F7365" s="215" t="n">
        <v>44454</v>
      </c>
    </row>
    <row r="7366">
      <c r="A7366" s="215" t="n">
        <v>44455</v>
      </c>
      <c r="B7366" s="216" t="n">
        <v>98.8</v>
      </c>
      <c r="C7366" s="216" t="n">
        <v>164</v>
      </c>
      <c r="D7366" s="216" t="n">
        <v>1.209609985351562</v>
      </c>
      <c r="E7366" s="215" t="n">
        <v>44455</v>
      </c>
      <c r="F7366" s="215" t="n">
        <v>44455</v>
      </c>
    </row>
    <row r="7367">
      <c r="A7367" s="215" t="n">
        <v>44456</v>
      </c>
      <c r="B7367" s="216" t="n">
        <v>106</v>
      </c>
      <c r="C7367" s="216" t="n">
        <v>174.08</v>
      </c>
      <c r="D7367" s="216" t="n">
        <v>1.20517897605896</v>
      </c>
      <c r="E7367" s="215" t="n">
        <v>44456</v>
      </c>
      <c r="F7367" s="215" t="n">
        <v>44456</v>
      </c>
    </row>
    <row r="7368">
      <c r="A7368" s="215" t="n">
        <v>44459</v>
      </c>
      <c r="B7368" s="216" t="n">
        <v>108.5</v>
      </c>
      <c r="C7368" s="216" t="n">
        <v>174.08</v>
      </c>
      <c r="D7368" s="216" t="n">
        <v>1.203649044036865</v>
      </c>
      <c r="E7368" s="215" t="n">
        <v>44456</v>
      </c>
      <c r="F7368" s="215" t="n">
        <v>44459</v>
      </c>
    </row>
    <row r="7369">
      <c r="A7369" s="215" t="n">
        <v>44460</v>
      </c>
      <c r="B7369" s="216" t="n">
        <v>109.5</v>
      </c>
      <c r="C7369" s="216" t="n">
        <v>174.08</v>
      </c>
      <c r="D7369" s="216" t="n">
        <v>1.20422899723053</v>
      </c>
      <c r="E7369" s="215" t="n">
        <v>44456</v>
      </c>
      <c r="F7369" s="215" t="n">
        <v>44460</v>
      </c>
    </row>
    <row r="7370">
      <c r="A7370" s="215" t="n">
        <v>44462</v>
      </c>
      <c r="B7370" s="216" t="n">
        <v>114</v>
      </c>
      <c r="C7370" s="216" t="n">
        <v>170.98</v>
      </c>
      <c r="D7370" s="216" t="n">
        <v>1.204594969749451</v>
      </c>
      <c r="E7370" s="215" t="n">
        <v>44462</v>
      </c>
      <c r="F7370" s="215" t="n">
        <v>44462</v>
      </c>
    </row>
    <row r="7371">
      <c r="A7371" s="215" t="n">
        <v>44463</v>
      </c>
      <c r="B7371" s="216" t="n">
        <v>112.9</v>
      </c>
      <c r="C7371" s="216" t="n">
        <v>169</v>
      </c>
      <c r="D7371" s="216" t="n">
        <v>1.205196022987366</v>
      </c>
      <c r="E7371" s="215" t="n">
        <v>44463</v>
      </c>
      <c r="F7371" s="215" t="n">
        <v>44463</v>
      </c>
    </row>
    <row r="7372">
      <c r="A7372" s="215" t="n">
        <v>44466</v>
      </c>
      <c r="B7372" s="216" t="n">
        <v>112.5</v>
      </c>
      <c r="C7372" s="216" t="n">
        <v>163.5</v>
      </c>
      <c r="D7372" s="216" t="n">
        <v>1.204444050788879</v>
      </c>
      <c r="E7372" s="215" t="n">
        <v>44466</v>
      </c>
      <c r="F7372" s="215" t="n">
        <v>44466</v>
      </c>
    </row>
    <row r="7373">
      <c r="A7373" s="215" t="n">
        <v>44467</v>
      </c>
      <c r="B7373" s="216" t="n">
        <v>108</v>
      </c>
      <c r="C7373" s="216" t="n">
        <v>160.5</v>
      </c>
      <c r="D7373" s="216" t="n">
        <v>1.205273032188416</v>
      </c>
      <c r="E7373" s="215" t="n">
        <v>44467</v>
      </c>
      <c r="F7373" s="215" t="n">
        <v>44467</v>
      </c>
    </row>
    <row r="7374">
      <c r="A7374" s="215" t="n">
        <v>44468</v>
      </c>
      <c r="B7374" s="216" t="n">
        <v>106.8</v>
      </c>
      <c r="C7374" s="216" t="n">
        <v>155.5</v>
      </c>
      <c r="D7374" s="216" t="n">
        <v>1.204679012298584</v>
      </c>
      <c r="E7374" s="215" t="n">
        <v>44468</v>
      </c>
      <c r="F7374" s="215" t="n">
        <v>44468</v>
      </c>
    </row>
    <row r="7375">
      <c r="A7375" s="215" t="n">
        <v>44469</v>
      </c>
      <c r="B7375" s="216" t="n">
        <v>105.4</v>
      </c>
      <c r="C7375" s="216" t="n">
        <v>158</v>
      </c>
      <c r="D7375" s="216" t="n">
        <v>1.202803015708923</v>
      </c>
      <c r="E7375" s="215" t="n">
        <v>44469</v>
      </c>
      <c r="F7375" s="215" t="n">
        <v>44469</v>
      </c>
    </row>
    <row r="7376">
      <c r="A7376" s="215" t="n">
        <v>44473</v>
      </c>
      <c r="B7376" s="216" t="n">
        <v>106.5</v>
      </c>
      <c r="C7376" s="216" t="n">
        <v>158</v>
      </c>
      <c r="D7376" s="216" t="n">
        <v>1.208693981170654</v>
      </c>
      <c r="E7376" s="215" t="n">
        <v>44469</v>
      </c>
      <c r="F7376" s="215" t="n">
        <v>44473</v>
      </c>
    </row>
    <row r="7377">
      <c r="A7377" s="215" t="n">
        <v>44474</v>
      </c>
      <c r="B7377" s="216" t="n">
        <v>107.8</v>
      </c>
      <c r="C7377" s="216" t="n">
        <v>158</v>
      </c>
      <c r="D7377" s="216" t="n">
        <v>1.207640051841736</v>
      </c>
      <c r="E7377" s="215" t="n">
        <v>44469</v>
      </c>
      <c r="F7377" s="215" t="n">
        <v>44474</v>
      </c>
    </row>
    <row r="7378">
      <c r="A7378" s="215" t="n">
        <v>44475</v>
      </c>
      <c r="B7378" s="216" t="n">
        <v>103</v>
      </c>
      <c r="C7378" s="216" t="n">
        <v>158</v>
      </c>
      <c r="D7378" s="216" t="n">
        <v>1.207533955574036</v>
      </c>
      <c r="E7378" s="215" t="n">
        <v>44469</v>
      </c>
      <c r="F7378" s="215" t="n">
        <v>44475</v>
      </c>
    </row>
    <row r="7379">
      <c r="A7379" s="215" t="n">
        <v>44476</v>
      </c>
      <c r="B7379" s="216" t="n">
        <v>108</v>
      </c>
      <c r="C7379" s="216" t="n">
        <v>158</v>
      </c>
      <c r="D7379" s="216" t="n">
        <v>1.207844972610474</v>
      </c>
      <c r="E7379" s="215" t="n">
        <v>44469</v>
      </c>
      <c r="F7379" s="215" t="n">
        <v>44476</v>
      </c>
    </row>
    <row r="7380">
      <c r="A7380" s="215" t="n">
        <v>44477</v>
      </c>
      <c r="B7380" s="216" t="n">
        <v>107.2</v>
      </c>
      <c r="C7380" s="216" t="n">
        <v>153.61</v>
      </c>
      <c r="D7380" s="216" t="n">
        <v>1.207833051681519</v>
      </c>
      <c r="E7380" s="215" t="n">
        <v>44477</v>
      </c>
      <c r="F7380" s="215" t="n">
        <v>44477</v>
      </c>
    </row>
    <row r="7381">
      <c r="A7381" s="215" t="n">
        <v>44480</v>
      </c>
      <c r="B7381" s="216" t="n">
        <v>106.2</v>
      </c>
      <c r="C7381" s="216" t="n">
        <v>150.79</v>
      </c>
      <c r="D7381" s="216" t="n">
        <v>1.20762300491333</v>
      </c>
      <c r="E7381" s="215" t="n">
        <v>44480</v>
      </c>
      <c r="F7381" s="215" t="n">
        <v>44480</v>
      </c>
    </row>
    <row r="7382">
      <c r="A7382" s="215" t="n">
        <v>44481</v>
      </c>
      <c r="B7382" s="216" t="n">
        <v>105.7</v>
      </c>
      <c r="C7382" s="216" t="n">
        <v>153.19</v>
      </c>
      <c r="D7382" s="216" t="n">
        <v>1.205870985984802</v>
      </c>
      <c r="E7382" s="215" t="n">
        <v>44481</v>
      </c>
      <c r="F7382" s="215" t="n">
        <v>44481</v>
      </c>
    </row>
    <row r="7383">
      <c r="A7383" s="215" t="n">
        <v>44484</v>
      </c>
      <c r="B7383" s="216" t="n">
        <v>103.3</v>
      </c>
      <c r="C7383" s="216" t="n">
        <v>160</v>
      </c>
      <c r="D7383" s="216" t="n">
        <v>1.207808971405029</v>
      </c>
      <c r="E7383" s="215" t="n">
        <v>44484</v>
      </c>
      <c r="F7383" s="215" t="n">
        <v>44484</v>
      </c>
    </row>
    <row r="7384">
      <c r="A7384" s="215" t="n">
        <v>44487</v>
      </c>
      <c r="B7384" s="216" t="n">
        <v>100.8</v>
      </c>
      <c r="C7384" s="216" t="n">
        <v>155.99</v>
      </c>
      <c r="D7384" s="216" t="n">
        <v>1.207973957061768</v>
      </c>
      <c r="E7384" s="215" t="n">
        <v>44487</v>
      </c>
      <c r="F7384" s="215" t="n">
        <v>44487</v>
      </c>
    </row>
    <row r="7385">
      <c r="A7385" s="215" t="n">
        <v>44488</v>
      </c>
      <c r="B7385" s="216" t="n">
        <v>107.9</v>
      </c>
      <c r="C7385" s="216" t="n">
        <v>162.61</v>
      </c>
      <c r="D7385" s="216" t="n">
        <v>1.20955502986908</v>
      </c>
      <c r="E7385" s="215" t="n">
        <v>44488</v>
      </c>
      <c r="F7385" s="215" t="n">
        <v>44488</v>
      </c>
    </row>
    <row r="7386">
      <c r="A7386" s="215" t="n">
        <v>44489</v>
      </c>
      <c r="B7386" s="216" t="n">
        <v>105.6</v>
      </c>
      <c r="C7386" s="216" t="n">
        <v>156.72</v>
      </c>
      <c r="D7386" s="216" t="n">
        <v>1.217911005020142</v>
      </c>
      <c r="E7386" s="215" t="n">
        <v>44489</v>
      </c>
      <c r="F7386" s="215" t="n">
        <v>44489</v>
      </c>
    </row>
    <row r="7387">
      <c r="A7387" s="215" t="n">
        <v>44490</v>
      </c>
      <c r="B7387" s="216" t="n">
        <v>104.7</v>
      </c>
      <c r="C7387" s="216" t="n">
        <v>155.28</v>
      </c>
      <c r="D7387" s="216" t="n">
        <v>1.215211033821106</v>
      </c>
      <c r="E7387" s="215" t="n">
        <v>44490</v>
      </c>
      <c r="F7387" s="215" t="n">
        <v>44490</v>
      </c>
    </row>
    <row r="7388">
      <c r="A7388" s="215" t="n">
        <v>44491</v>
      </c>
      <c r="B7388" s="216" t="n">
        <v>105.3</v>
      </c>
      <c r="C7388" s="216" t="n">
        <v>153.52</v>
      </c>
      <c r="D7388" s="216" t="n">
        <v>1.216195940971375</v>
      </c>
      <c r="E7388" s="215" t="n">
        <v>44491</v>
      </c>
      <c r="F7388" s="215" t="n">
        <v>44491</v>
      </c>
    </row>
    <row r="7389">
      <c r="A7389" s="215" t="n">
        <v>44494</v>
      </c>
      <c r="B7389" s="216" t="n">
        <v>106.4</v>
      </c>
      <c r="C7389" s="216" t="n">
        <v>155</v>
      </c>
      <c r="D7389" s="216" t="n">
        <v>1.214077949523926</v>
      </c>
      <c r="E7389" s="215" t="n">
        <v>44494</v>
      </c>
      <c r="F7389" s="215" t="n">
        <v>44494</v>
      </c>
    </row>
    <row r="7390">
      <c r="A7390" s="215" t="n">
        <v>44495</v>
      </c>
      <c r="B7390" s="216" t="n">
        <v>102.5</v>
      </c>
      <c r="C7390" s="216" t="n">
        <v>150.48</v>
      </c>
      <c r="D7390" s="216" t="n">
        <v>1.217200040817261</v>
      </c>
      <c r="E7390" s="215" t="n">
        <v>44495</v>
      </c>
      <c r="F7390" s="215" t="n">
        <v>44495</v>
      </c>
    </row>
    <row r="7391">
      <c r="A7391" s="215" t="n">
        <v>44496</v>
      </c>
      <c r="B7391" s="216" t="n">
        <v>101</v>
      </c>
      <c r="C7391" s="216" t="n">
        <v>146.8</v>
      </c>
      <c r="D7391" s="216" t="n">
        <v>1.218229055404663</v>
      </c>
      <c r="E7391" s="215" t="n">
        <v>44496</v>
      </c>
      <c r="F7391" s="215" t="n">
        <v>44496</v>
      </c>
    </row>
    <row r="7392">
      <c r="A7392" s="215" t="n">
        <v>44497</v>
      </c>
      <c r="B7392" s="216" t="n">
        <v>98</v>
      </c>
      <c r="C7392" s="216" t="n">
        <v>148.15</v>
      </c>
      <c r="D7392" s="216" t="n">
        <v>1.216732025146484</v>
      </c>
      <c r="E7392" s="215" t="n">
        <v>44497</v>
      </c>
      <c r="F7392" s="215" t="n">
        <v>44497</v>
      </c>
    </row>
    <row r="7393">
      <c r="A7393" s="215" t="n">
        <v>44498</v>
      </c>
      <c r="B7393" s="216" t="n">
        <v>100.7</v>
      </c>
      <c r="C7393" s="216" t="n">
        <v>160</v>
      </c>
      <c r="D7393" s="216" t="n">
        <v>1.216634035110474</v>
      </c>
      <c r="E7393" s="215" t="n">
        <v>44498</v>
      </c>
      <c r="F7393" s="215" t="n">
        <v>44498</v>
      </c>
    </row>
    <row r="7394">
      <c r="A7394" s="215" t="n">
        <v>44501</v>
      </c>
      <c r="B7394" s="216" t="n">
        <v>96.65000000000001</v>
      </c>
      <c r="C7394" s="216" t="n">
        <v>146.4</v>
      </c>
      <c r="D7394" s="216" t="n">
        <v>1.213809013366699</v>
      </c>
      <c r="E7394" s="215" t="n">
        <v>44501</v>
      </c>
      <c r="F7394" s="215" t="n">
        <v>44501</v>
      </c>
    </row>
    <row r="7395">
      <c r="A7395" s="215" t="n">
        <v>44502</v>
      </c>
      <c r="B7395" s="216" t="n">
        <v>93</v>
      </c>
      <c r="C7395" s="216" t="n">
        <v>139.52</v>
      </c>
      <c r="D7395" s="216" t="n">
        <v>1.21633505821228</v>
      </c>
      <c r="E7395" s="215" t="n">
        <v>44502</v>
      </c>
      <c r="F7395" s="215" t="n">
        <v>44502</v>
      </c>
    </row>
    <row r="7396">
      <c r="A7396" s="215" t="n">
        <v>44503</v>
      </c>
      <c r="B7396" s="216" t="n">
        <v>85.59999999999999</v>
      </c>
      <c r="C7396" s="216" t="n">
        <v>136.88</v>
      </c>
      <c r="D7396" s="216" t="n">
        <v>1.215891003608704</v>
      </c>
      <c r="E7396" s="215" t="n">
        <v>44503</v>
      </c>
      <c r="F7396" s="215" t="n">
        <v>44503</v>
      </c>
    </row>
    <row r="7397">
      <c r="A7397" s="215" t="n">
        <v>44504</v>
      </c>
      <c r="B7397" s="216" t="n">
        <v>79.84999999999999</v>
      </c>
      <c r="C7397" s="216" t="n">
        <v>127.89</v>
      </c>
      <c r="D7397" s="216" t="n">
        <v>1.214897036552429</v>
      </c>
      <c r="E7397" s="215" t="n">
        <v>44504</v>
      </c>
      <c r="F7397" s="215" t="n">
        <v>44504</v>
      </c>
    </row>
    <row r="7398">
      <c r="A7398" s="215" t="n">
        <v>44505</v>
      </c>
      <c r="B7398" s="216" t="n">
        <v>79.2</v>
      </c>
      <c r="C7398" s="216" t="n">
        <v>128</v>
      </c>
      <c r="D7398" s="216" t="n">
        <v>1.216621041297913</v>
      </c>
      <c r="E7398" s="215" t="n">
        <v>44505</v>
      </c>
      <c r="F7398" s="215" t="n">
        <v>44505</v>
      </c>
    </row>
    <row r="7399">
      <c r="A7399" s="215" t="n">
        <v>44508</v>
      </c>
      <c r="B7399" s="216" t="n">
        <v>77.3</v>
      </c>
      <c r="C7399" s="216" t="n">
        <v>122.11</v>
      </c>
      <c r="D7399" s="216" t="n">
        <v>1.216421008110046</v>
      </c>
      <c r="E7399" s="215" t="n">
        <v>44508</v>
      </c>
      <c r="F7399" s="215" t="n">
        <v>44508</v>
      </c>
    </row>
    <row r="7400">
      <c r="A7400" s="215" t="n">
        <v>44509</v>
      </c>
      <c r="B7400" s="216" t="n">
        <v>83</v>
      </c>
      <c r="C7400" s="216" t="n">
        <v>128.78</v>
      </c>
      <c r="D7400" s="216" t="n">
        <v>1.218340992927551</v>
      </c>
      <c r="E7400" s="215" t="n">
        <v>44509</v>
      </c>
      <c r="F7400" s="215" t="n">
        <v>44509</v>
      </c>
    </row>
    <row r="7401">
      <c r="A7401" s="215" t="n">
        <v>44510</v>
      </c>
      <c r="B7401" s="216" t="n">
        <v>83</v>
      </c>
      <c r="C7401" s="216" t="n">
        <v>135.71</v>
      </c>
      <c r="D7401" s="216" t="n">
        <v>1.218425989151001</v>
      </c>
      <c r="E7401" s="215" t="n">
        <v>44510</v>
      </c>
      <c r="F7401" s="215" t="n">
        <v>44510</v>
      </c>
    </row>
    <row r="7402">
      <c r="A7402" s="215" t="n">
        <v>44511</v>
      </c>
      <c r="B7402" s="216" t="n">
        <v>79.65000000000001</v>
      </c>
      <c r="C7402" s="216" t="n">
        <v>132.65</v>
      </c>
      <c r="D7402" s="216" t="n">
        <v>1.219444036483765</v>
      </c>
      <c r="E7402" s="215" t="n">
        <v>44511</v>
      </c>
      <c r="F7402" s="215" t="n">
        <v>44511</v>
      </c>
    </row>
    <row r="7403">
      <c r="A7403" s="215" t="n">
        <v>44512</v>
      </c>
      <c r="B7403" s="216" t="n">
        <v>79.09999999999999</v>
      </c>
      <c r="C7403" s="216" t="n">
        <v>132.27</v>
      </c>
      <c r="D7403" s="216" t="n">
        <v>1.219141006469727</v>
      </c>
      <c r="E7403" s="215" t="n">
        <v>44512</v>
      </c>
      <c r="F7403" s="215" t="n">
        <v>44512</v>
      </c>
    </row>
    <row r="7404">
      <c r="A7404" s="215" t="n">
        <v>44515</v>
      </c>
      <c r="B7404" s="216" t="n">
        <v>83</v>
      </c>
      <c r="C7404" s="216" t="n">
        <v>133.26</v>
      </c>
      <c r="D7404" s="216" t="n">
        <v>1.22016704082489</v>
      </c>
      <c r="E7404" s="215" t="n">
        <v>44515</v>
      </c>
      <c r="F7404" s="215" t="n">
        <v>44515</v>
      </c>
    </row>
    <row r="7405">
      <c r="A7405" s="215" t="n">
        <v>44516</v>
      </c>
      <c r="B7405" s="216" t="n">
        <v>91.8</v>
      </c>
      <c r="C7405" s="216" t="n">
        <v>138</v>
      </c>
      <c r="D7405" s="216" t="n">
        <v>1.219931960105896</v>
      </c>
      <c r="E7405" s="215" t="n">
        <v>44516</v>
      </c>
      <c r="F7405" s="215" t="n">
        <v>44516</v>
      </c>
    </row>
    <row r="7406">
      <c r="A7406" s="215" t="n">
        <v>44517</v>
      </c>
      <c r="B7406" s="216" t="n">
        <v>96.2</v>
      </c>
      <c r="C7406" s="216" t="n">
        <v>136.38</v>
      </c>
      <c r="D7406" s="216" t="n">
        <v>1.218498945236206</v>
      </c>
      <c r="E7406" s="215" t="n">
        <v>44517</v>
      </c>
      <c r="F7406" s="215" t="n">
        <v>44517</v>
      </c>
    </row>
    <row r="7407">
      <c r="A7407" s="215" t="n">
        <v>44518</v>
      </c>
      <c r="B7407" s="216" t="n">
        <v>92.95</v>
      </c>
      <c r="C7407" s="216" t="n">
        <v>134.29</v>
      </c>
      <c r="D7407" s="216" t="n">
        <v>1.220458030700684</v>
      </c>
      <c r="E7407" s="215" t="n">
        <v>44518</v>
      </c>
      <c r="F7407" s="215" t="n">
        <v>44518</v>
      </c>
    </row>
    <row r="7408">
      <c r="A7408" s="215" t="n">
        <v>44519</v>
      </c>
      <c r="B7408" s="216" t="n">
        <v>94.90000000000001</v>
      </c>
      <c r="C7408" s="216" t="n">
        <v>134.34</v>
      </c>
      <c r="D7408" s="216" t="n">
        <v>1.219159007072449</v>
      </c>
      <c r="E7408" s="215" t="n">
        <v>44519</v>
      </c>
      <c r="F7408" s="215" t="n">
        <v>44519</v>
      </c>
    </row>
    <row r="7409">
      <c r="A7409" s="215" t="n">
        <v>44522</v>
      </c>
      <c r="B7409" s="216" t="n">
        <v>93.59999999999999</v>
      </c>
      <c r="C7409" s="216" t="n">
        <v>131.02</v>
      </c>
      <c r="D7409" s="216" t="n">
        <v>1.218229055404663</v>
      </c>
      <c r="E7409" s="215" t="n">
        <v>44522</v>
      </c>
      <c r="F7409" s="215" t="n">
        <v>44522</v>
      </c>
    </row>
    <row r="7410">
      <c r="A7410" s="215" t="n">
        <v>44523</v>
      </c>
      <c r="B7410" s="216" t="n">
        <v>95.5</v>
      </c>
      <c r="C7410" s="216" t="n">
        <v>132.99</v>
      </c>
      <c r="D7410" s="216" t="n">
        <v>1.220016002655029</v>
      </c>
      <c r="E7410" s="215" t="n">
        <v>44523</v>
      </c>
      <c r="F7410" s="215" t="n">
        <v>44523</v>
      </c>
    </row>
    <row r="7411">
      <c r="A7411" s="215" t="n">
        <v>44524</v>
      </c>
      <c r="B7411" s="216" t="n">
        <v>95.8</v>
      </c>
      <c r="C7411" s="216" t="n">
        <v>135.35</v>
      </c>
      <c r="D7411" s="216" t="n">
        <v>1.219349980354309</v>
      </c>
      <c r="E7411" s="215" t="n">
        <v>44524</v>
      </c>
      <c r="F7411" s="215" t="n">
        <v>44524</v>
      </c>
    </row>
    <row r="7412">
      <c r="A7412" s="215" t="n">
        <v>44525</v>
      </c>
      <c r="B7412" s="216" t="n">
        <v>96</v>
      </c>
      <c r="C7412" s="216" t="n">
        <v>138.68</v>
      </c>
      <c r="D7412" s="216" t="n">
        <v>1.219797015190125</v>
      </c>
      <c r="E7412" s="215" t="n">
        <v>44525</v>
      </c>
      <c r="F7412" s="215" t="n">
        <v>44525</v>
      </c>
    </row>
    <row r="7413">
      <c r="A7413" s="215" t="n">
        <v>44526</v>
      </c>
      <c r="B7413" s="216" t="n">
        <v>96.09999999999999</v>
      </c>
      <c r="C7413" s="216" t="n">
        <v>142.45</v>
      </c>
      <c r="D7413" s="216" t="n">
        <v>1.220828056335449</v>
      </c>
      <c r="E7413" s="215" t="n">
        <v>44526</v>
      </c>
      <c r="F7413" s="215" t="n">
        <v>44526</v>
      </c>
    </row>
    <row r="7414">
      <c r="A7414" s="215" t="n">
        <v>44529</v>
      </c>
      <c r="B7414" s="216" t="n">
        <v>93.5</v>
      </c>
      <c r="C7414" s="216" t="n">
        <v>140.4</v>
      </c>
      <c r="D7414" s="216" t="n">
        <v>1.216853022575378</v>
      </c>
      <c r="E7414" s="215" t="n">
        <v>44529</v>
      </c>
      <c r="F7414" s="215" t="n">
        <v>44529</v>
      </c>
    </row>
    <row r="7415">
      <c r="A7415" s="215" t="n">
        <v>44530</v>
      </c>
      <c r="B7415" s="216" t="n">
        <v>93</v>
      </c>
      <c r="C7415" s="216" t="n">
        <v>140</v>
      </c>
      <c r="D7415" s="216" t="n">
        <v>1.220422029495239</v>
      </c>
      <c r="E7415" s="215" t="n">
        <v>44530</v>
      </c>
      <c r="F7415" s="215" t="n">
        <v>44530</v>
      </c>
    </row>
    <row r="7416">
      <c r="A7416" s="215" t="n">
        <v>44531</v>
      </c>
      <c r="B7416" s="216" t="n">
        <v>93.55</v>
      </c>
      <c r="C7416" s="216" t="n">
        <v>137.26</v>
      </c>
      <c r="D7416" s="216" t="n">
        <v>1.224285960197449</v>
      </c>
      <c r="E7416" s="215" t="n">
        <v>44531</v>
      </c>
      <c r="F7416" s="215" t="n">
        <v>44531</v>
      </c>
    </row>
    <row r="7417">
      <c r="A7417" s="215" t="n">
        <v>44532</v>
      </c>
      <c r="B7417" s="216" t="n">
        <v>91.7</v>
      </c>
      <c r="C7417" s="216" t="n">
        <v>137.02</v>
      </c>
      <c r="D7417" s="216" t="n">
        <v>1.223698019981384</v>
      </c>
      <c r="E7417" s="215" t="n">
        <v>44532</v>
      </c>
      <c r="F7417" s="215" t="n">
        <v>44532</v>
      </c>
    </row>
    <row r="7418">
      <c r="A7418" s="215" t="n">
        <v>44533</v>
      </c>
      <c r="B7418" s="216" t="n">
        <v>91.40000000000001</v>
      </c>
      <c r="C7418" s="216" t="n">
        <v>132.9</v>
      </c>
      <c r="D7418" s="216" t="n">
        <v>1.221835970878601</v>
      </c>
      <c r="E7418" s="215" t="n">
        <v>44533</v>
      </c>
      <c r="F7418" s="215" t="n">
        <v>44533</v>
      </c>
    </row>
    <row r="7419">
      <c r="A7419" s="215" t="n">
        <v>44536</v>
      </c>
      <c r="B7419" s="216" t="n">
        <v>86.15000000000001</v>
      </c>
      <c r="C7419" s="216" t="n">
        <v>128.02</v>
      </c>
      <c r="D7419" s="216" t="n">
        <v>1.222514033317566</v>
      </c>
      <c r="E7419" s="215" t="n">
        <v>44536</v>
      </c>
      <c r="F7419" s="215" t="n">
        <v>44536</v>
      </c>
    </row>
    <row r="7420">
      <c r="A7420" s="215" t="n">
        <v>44537</v>
      </c>
      <c r="B7420" s="216" t="n">
        <v>85</v>
      </c>
      <c r="C7420" s="216" t="n">
        <v>128.1</v>
      </c>
      <c r="D7420" s="216" t="n">
        <v>1.223291039466858</v>
      </c>
      <c r="E7420" s="215" t="n">
        <v>44537</v>
      </c>
      <c r="F7420" s="215" t="n">
        <v>44537</v>
      </c>
    </row>
    <row r="7421">
      <c r="A7421" s="215" t="n">
        <v>44538</v>
      </c>
      <c r="B7421" s="216" t="n">
        <v>87</v>
      </c>
      <c r="C7421" s="216" t="n">
        <v>130.48</v>
      </c>
      <c r="D7421" s="216" t="n">
        <v>1.224676012992859</v>
      </c>
      <c r="E7421" s="215" t="n">
        <v>44538</v>
      </c>
      <c r="F7421" s="215" t="n">
        <v>44538</v>
      </c>
    </row>
    <row r="7422">
      <c r="A7422" s="215" t="n">
        <v>44539</v>
      </c>
      <c r="B7422" s="216" t="n">
        <v>89.2</v>
      </c>
      <c r="C7422" s="216" t="n">
        <v>133.05</v>
      </c>
      <c r="D7422" s="216" t="n">
        <v>1.22879695892334</v>
      </c>
      <c r="E7422" s="215" t="n">
        <v>44539</v>
      </c>
      <c r="F7422" s="215" t="n">
        <v>44539</v>
      </c>
    </row>
    <row r="7423">
      <c r="A7423" s="215" t="n">
        <v>44540</v>
      </c>
      <c r="B7423" s="216" t="n">
        <v>88.5</v>
      </c>
      <c r="C7423" s="216" t="n">
        <v>126.27</v>
      </c>
      <c r="D7423" s="216" t="n">
        <v>1.222399950027466</v>
      </c>
      <c r="E7423" s="215" t="n">
        <v>44540</v>
      </c>
      <c r="F7423" s="215" t="n">
        <v>44540</v>
      </c>
    </row>
    <row r="7424">
      <c r="A7424" s="215" t="n">
        <v>44543</v>
      </c>
      <c r="B7424" s="216" t="n">
        <v>86.65000000000001</v>
      </c>
      <c r="C7424" s="216" t="n">
        <v>124.18</v>
      </c>
      <c r="D7424" s="216" t="n">
        <v>1.228842973709106</v>
      </c>
      <c r="E7424" s="215" t="n">
        <v>44543</v>
      </c>
      <c r="F7424" s="215" t="n">
        <v>44543</v>
      </c>
    </row>
    <row r="7425">
      <c r="A7425" s="215" t="n">
        <v>44544</v>
      </c>
      <c r="B7425" s="216" t="n">
        <v>86.95</v>
      </c>
      <c r="C7425" s="216" t="n">
        <v>127.45</v>
      </c>
      <c r="D7425" s="216" t="n">
        <v>1.225365996360779</v>
      </c>
      <c r="E7425" s="215" t="n">
        <v>44544</v>
      </c>
      <c r="F7425" s="215" t="n">
        <v>44544</v>
      </c>
    </row>
    <row r="7426">
      <c r="A7426" s="215" t="n">
        <v>44545</v>
      </c>
      <c r="B7426" s="216" t="n">
        <v>72.8</v>
      </c>
      <c r="C7426" s="216" t="n">
        <v>119.1</v>
      </c>
      <c r="D7426" s="216" t="n">
        <v>1.224938988685608</v>
      </c>
      <c r="E7426" s="215" t="n">
        <v>44545</v>
      </c>
      <c r="F7426" s="215" t="n">
        <v>44545</v>
      </c>
    </row>
    <row r="7427">
      <c r="A7427" s="215" t="n">
        <v>44546</v>
      </c>
      <c r="B7427" s="216" t="n">
        <v>78.90000000000001</v>
      </c>
      <c r="C7427" s="216" t="n">
        <v>120.49</v>
      </c>
      <c r="D7427" s="216" t="n">
        <v>1.224815964698792</v>
      </c>
      <c r="E7427" s="215" t="n">
        <v>44546</v>
      </c>
      <c r="F7427" s="215" t="n">
        <v>44546</v>
      </c>
    </row>
    <row r="7428">
      <c r="A7428" s="215" t="n">
        <v>44547</v>
      </c>
      <c r="B7428" s="216" t="n">
        <v>71.05</v>
      </c>
      <c r="C7428" s="216" t="n">
        <v>116.3</v>
      </c>
      <c r="D7428" s="216" t="n">
        <v>1.225412011146545</v>
      </c>
      <c r="E7428" s="215" t="n">
        <v>44547</v>
      </c>
      <c r="F7428" s="215" t="n">
        <v>44547</v>
      </c>
    </row>
    <row r="7429">
      <c r="A7429" s="215" t="n">
        <v>44550</v>
      </c>
      <c r="B7429" s="216" t="n">
        <v>66.40000000000001</v>
      </c>
      <c r="C7429" s="216" t="n">
        <v>111.77</v>
      </c>
      <c r="D7429" s="216" t="n">
        <v>1.223881959915161</v>
      </c>
      <c r="E7429" s="215" t="n">
        <v>44550</v>
      </c>
      <c r="F7429" s="215" t="n">
        <v>44550</v>
      </c>
    </row>
    <row r="7430">
      <c r="A7430" s="215" t="n">
        <v>44551</v>
      </c>
      <c r="B7430" s="216" t="n">
        <v>66</v>
      </c>
      <c r="C7430" s="216" t="n">
        <v>113.31</v>
      </c>
      <c r="D7430" s="216" t="n">
        <v>1.223721981048584</v>
      </c>
      <c r="E7430" s="215" t="n">
        <v>44551</v>
      </c>
      <c r="F7430" s="215" t="n">
        <v>44551</v>
      </c>
    </row>
    <row r="7431">
      <c r="A7431" s="215" t="n">
        <v>44552</v>
      </c>
      <c r="B7431" s="216" t="n">
        <v>64.95</v>
      </c>
      <c r="C7431" s="216" t="n">
        <v>113.55</v>
      </c>
      <c r="D7431" s="216" t="n">
        <v>1.22430694103241</v>
      </c>
      <c r="E7431" s="215" t="n">
        <v>44552</v>
      </c>
      <c r="F7431" s="215" t="n">
        <v>44552</v>
      </c>
    </row>
    <row r="7432">
      <c r="A7432" s="215" t="n">
        <v>44553</v>
      </c>
      <c r="B7432" s="216" t="n">
        <v>65.2</v>
      </c>
      <c r="C7432" s="216" t="n">
        <v>111.6</v>
      </c>
      <c r="D7432" s="216" t="n">
        <v>1.2239910364151</v>
      </c>
      <c r="E7432" s="215" t="n">
        <v>44553</v>
      </c>
      <c r="F7432" s="215" t="n">
        <v>44553</v>
      </c>
    </row>
    <row r="7433">
      <c r="A7433" s="215" t="n">
        <v>44554</v>
      </c>
      <c r="B7433" s="216" t="n">
        <v>65.05</v>
      </c>
      <c r="C7433" s="216" t="n">
        <v>109.81</v>
      </c>
      <c r="D7433" s="216" t="n">
        <v>1.223767995834351</v>
      </c>
      <c r="E7433" s="215" t="n">
        <v>44554</v>
      </c>
      <c r="F7433" s="215" t="n">
        <v>44554</v>
      </c>
    </row>
    <row r="7434">
      <c r="A7434" s="215" t="n">
        <v>44558</v>
      </c>
      <c r="B7434" s="216" t="n">
        <v>61.2</v>
      </c>
      <c r="C7434" s="216" t="n">
        <v>114.68</v>
      </c>
      <c r="D7434" s="216" t="n">
        <v>1.223986029624939</v>
      </c>
      <c r="E7434" s="215" t="n">
        <v>44558</v>
      </c>
      <c r="F7434" s="215" t="n">
        <v>44558</v>
      </c>
    </row>
    <row r="7435">
      <c r="A7435" s="215" t="n">
        <v>44559</v>
      </c>
      <c r="B7435" s="216" t="n">
        <v>59.6</v>
      </c>
      <c r="C7435" s="216" t="n">
        <v>117.31</v>
      </c>
      <c r="D7435" s="216" t="n">
        <v>1.224161982536316</v>
      </c>
      <c r="E7435" s="215" t="n">
        <v>44559</v>
      </c>
      <c r="F7435" s="215" t="n">
        <v>44559</v>
      </c>
    </row>
    <row r="7436">
      <c r="A7436" s="215" t="n">
        <v>44560</v>
      </c>
      <c r="B7436" s="216" t="n">
        <v>60.6</v>
      </c>
      <c r="C7436" s="216" t="n">
        <v>118.34</v>
      </c>
      <c r="D7436" s="216" t="n">
        <v>1.22435998916626</v>
      </c>
      <c r="E7436" s="215" t="n">
        <v>44560</v>
      </c>
      <c r="F7436" s="215" t="n">
        <v>44560</v>
      </c>
    </row>
    <row r="7437">
      <c r="A7437" s="215" t="n">
        <v>44561</v>
      </c>
      <c r="B7437" s="216" t="n">
        <v>65.65000000000001</v>
      </c>
      <c r="C7437" s="216" t="n">
        <v>115.43</v>
      </c>
      <c r="D7437" s="216" t="n">
        <v>1.223677039146423</v>
      </c>
      <c r="E7437" s="215" t="n">
        <v>44561</v>
      </c>
      <c r="F7437" s="215" t="n">
        <v>44561</v>
      </c>
    </row>
    <row r="7438">
      <c r="A7438" s="215" t="n">
        <v>44564</v>
      </c>
      <c r="B7438" s="216" t="n">
        <v>61.15</v>
      </c>
      <c r="C7438" s="216" t="n">
        <v>115.43</v>
      </c>
      <c r="D7438" s="216" t="n">
        <v>1.226781010627747</v>
      </c>
      <c r="E7438" s="215" t="n">
        <v>44561</v>
      </c>
      <c r="F7438" s="215" t="n">
        <v>44564</v>
      </c>
    </row>
    <row r="7439">
      <c r="A7439" s="215" t="n">
        <v>44565</v>
      </c>
      <c r="B7439" s="216" t="n">
        <v>53.65</v>
      </c>
      <c r="C7439" s="216" t="n">
        <v>107.32</v>
      </c>
      <c r="D7439" s="216" t="n">
        <v>1.22715699672699</v>
      </c>
      <c r="E7439" s="215" t="n">
        <v>44565</v>
      </c>
      <c r="F7439" s="215" t="n">
        <v>44565</v>
      </c>
    </row>
    <row r="7440">
      <c r="A7440" s="215" t="n">
        <v>44566</v>
      </c>
      <c r="B7440" s="216" t="n">
        <v>52.7</v>
      </c>
      <c r="C7440" s="216" t="n">
        <v>104.15</v>
      </c>
      <c r="D7440" s="216" t="n">
        <v>1.222687005996704</v>
      </c>
      <c r="E7440" s="215" t="n">
        <v>44566</v>
      </c>
      <c r="F7440" s="215" t="n">
        <v>44566</v>
      </c>
    </row>
    <row r="7441">
      <c r="A7441" s="215" t="n">
        <v>44567</v>
      </c>
      <c r="B7441" s="216" t="n">
        <v>53</v>
      </c>
      <c r="C7441" s="216" t="n">
        <v>103.37</v>
      </c>
      <c r="D7441" s="216" t="n">
        <v>1.224454045295715</v>
      </c>
      <c r="E7441" s="215" t="n">
        <v>44567</v>
      </c>
      <c r="F7441" s="215" t="n">
        <v>44567</v>
      </c>
    </row>
    <row r="7442">
      <c r="A7442" s="215" t="n">
        <v>44568</v>
      </c>
      <c r="B7442" s="216" t="n">
        <v>54.7</v>
      </c>
      <c r="C7442" s="216" t="n">
        <v>101</v>
      </c>
      <c r="D7442" s="216" t="n">
        <v>1.221958994865417</v>
      </c>
      <c r="E7442" s="215" t="n">
        <v>44568</v>
      </c>
      <c r="F7442" s="215" t="n">
        <v>44568</v>
      </c>
    </row>
    <row r="7443">
      <c r="A7443" s="215" t="n">
        <v>44571</v>
      </c>
      <c r="B7443" s="216" t="n">
        <v>58.55</v>
      </c>
      <c r="C7443" s="216" t="n">
        <v>101.33</v>
      </c>
      <c r="D7443" s="216" t="n">
        <v>1.221858024597168</v>
      </c>
      <c r="E7443" s="215" t="n">
        <v>44571</v>
      </c>
      <c r="F7443" s="215" t="n">
        <v>44571</v>
      </c>
    </row>
    <row r="7444">
      <c r="A7444" s="215" t="n">
        <v>44572</v>
      </c>
      <c r="B7444" s="216" t="n">
        <v>59.4</v>
      </c>
      <c r="C7444" s="216" t="n">
        <v>100.32</v>
      </c>
      <c r="D7444" s="216" t="n">
        <v>1.222226977348328</v>
      </c>
      <c r="E7444" s="215" t="n">
        <v>44572</v>
      </c>
      <c r="F7444" s="215" t="n">
        <v>44572</v>
      </c>
    </row>
    <row r="7445">
      <c r="A7445" s="215" t="n">
        <v>44573</v>
      </c>
      <c r="B7445" s="216" t="n">
        <v>62.75</v>
      </c>
      <c r="C7445" s="216" t="n">
        <v>104.11</v>
      </c>
      <c r="D7445" s="216" t="n">
        <v>1.22298800945282</v>
      </c>
      <c r="E7445" s="215" t="n">
        <v>44573</v>
      </c>
      <c r="F7445" s="215" t="n">
        <v>44573</v>
      </c>
    </row>
    <row r="7446">
      <c r="A7446" s="215" t="n">
        <v>44574</v>
      </c>
      <c r="B7446" s="216" t="n">
        <v>61.6</v>
      </c>
      <c r="C7446" s="216" t="n">
        <v>104.11</v>
      </c>
      <c r="D7446" s="216" t="n">
        <v>1.224953055381775</v>
      </c>
      <c r="E7446" s="215" t="n">
        <v>44574</v>
      </c>
      <c r="F7446" s="215" t="n">
        <v>44574</v>
      </c>
    </row>
    <row r="7447">
      <c r="A7447" s="215" t="n">
        <v>44575</v>
      </c>
      <c r="B7447" s="216" t="n">
        <v>62.45</v>
      </c>
      <c r="C7447" s="216" t="n">
        <v>101.6</v>
      </c>
      <c r="D7447" s="216" t="n">
        <v>1.224287986755371</v>
      </c>
      <c r="E7447" s="215" t="n">
        <v>44575</v>
      </c>
      <c r="F7447" s="215" t="n">
        <v>44575</v>
      </c>
    </row>
    <row r="7448">
      <c r="A7448" s="215" t="n">
        <v>44578</v>
      </c>
      <c r="B7448" s="216" t="n">
        <v>61.85</v>
      </c>
      <c r="C7448" s="216" t="n">
        <v>102.7</v>
      </c>
      <c r="D7448" s="216" t="n">
        <v>1.224637985229492</v>
      </c>
      <c r="E7448" s="215" t="n">
        <v>44578</v>
      </c>
      <c r="F7448" s="215" t="n">
        <v>44578</v>
      </c>
    </row>
    <row r="7449">
      <c r="A7449" s="215" t="n">
        <v>44579</v>
      </c>
      <c r="B7449" s="216" t="n">
        <v>62.7</v>
      </c>
      <c r="C7449" s="216" t="n">
        <v>102.48</v>
      </c>
      <c r="D7449" s="216" t="n">
        <v>1.227324962615967</v>
      </c>
      <c r="E7449" s="215" t="n">
        <v>44579</v>
      </c>
      <c r="F7449" s="215" t="n">
        <v>44579</v>
      </c>
    </row>
    <row r="7450">
      <c r="A7450" s="215" t="n">
        <v>44580</v>
      </c>
      <c r="B7450" s="216" t="n">
        <v>60.45</v>
      </c>
      <c r="C7450" s="216" t="n">
        <v>98.52</v>
      </c>
      <c r="D7450" s="216" t="n">
        <v>1.226585984230042</v>
      </c>
      <c r="E7450" s="215" t="n">
        <v>44580</v>
      </c>
      <c r="F7450" s="215" t="n">
        <v>44580</v>
      </c>
    </row>
    <row r="7451">
      <c r="A7451" s="215" t="n">
        <v>44581</v>
      </c>
      <c r="B7451" s="216" t="n">
        <v>61.35</v>
      </c>
      <c r="C7451" s="216" t="n">
        <v>96.67</v>
      </c>
      <c r="D7451" s="216" t="n">
        <v>1.227787017822266</v>
      </c>
      <c r="E7451" s="215" t="n">
        <v>44581</v>
      </c>
      <c r="F7451" s="215" t="n">
        <v>44581</v>
      </c>
    </row>
    <row r="7452">
      <c r="A7452" s="215" t="n">
        <v>44582</v>
      </c>
      <c r="B7452" s="216" t="n">
        <v>61.8</v>
      </c>
      <c r="C7452" s="216" t="n">
        <v>96.59999999999999</v>
      </c>
      <c r="D7452" s="216" t="n">
        <v>1.227898955345154</v>
      </c>
      <c r="E7452" s="215" t="n">
        <v>44582</v>
      </c>
      <c r="F7452" s="215" t="n">
        <v>44582</v>
      </c>
    </row>
    <row r="7453">
      <c r="A7453" s="215" t="n">
        <v>44585</v>
      </c>
      <c r="B7453" s="216" t="n">
        <v>62.2</v>
      </c>
      <c r="C7453" s="216" t="n">
        <v>103.16</v>
      </c>
      <c r="D7453" s="216" t="n">
        <v>1.228338956832886</v>
      </c>
      <c r="E7453" s="215" t="n">
        <v>44585</v>
      </c>
      <c r="F7453" s="215" t="n">
        <v>44585</v>
      </c>
    </row>
    <row r="7454">
      <c r="A7454" s="215" t="n">
        <v>44586</v>
      </c>
      <c r="B7454" s="216" t="n">
        <v>62.2</v>
      </c>
      <c r="C7454" s="216" t="n">
        <v>103.27</v>
      </c>
      <c r="D7454" s="216" t="n">
        <v>1.229992985725403</v>
      </c>
      <c r="E7454" s="215" t="n">
        <v>44586</v>
      </c>
      <c r="F7454" s="215" t="n">
        <v>44586</v>
      </c>
    </row>
    <row r="7455">
      <c r="A7455" s="215" t="n">
        <v>44587</v>
      </c>
      <c r="B7455" s="216" t="n">
        <v>62</v>
      </c>
      <c r="C7455" s="216" t="n">
        <v>99.54000000000001</v>
      </c>
      <c r="D7455" s="216" t="n">
        <v>1.23039698600769</v>
      </c>
      <c r="E7455" s="215" t="n">
        <v>44587</v>
      </c>
      <c r="F7455" s="215" t="n">
        <v>44587</v>
      </c>
    </row>
    <row r="7456">
      <c r="A7456" s="215" t="n">
        <v>44588</v>
      </c>
      <c r="B7456" s="216" t="n">
        <v>55.65</v>
      </c>
      <c r="C7456" s="216" t="n">
        <v>97.23999999999999</v>
      </c>
      <c r="D7456" s="216" t="n">
        <v>1.23190701007843</v>
      </c>
      <c r="E7456" s="215" t="n">
        <v>44588</v>
      </c>
      <c r="F7456" s="215" t="n">
        <v>44588</v>
      </c>
    </row>
    <row r="7457">
      <c r="A7457" s="215" t="n">
        <v>44589</v>
      </c>
      <c r="B7457" s="216" t="n">
        <v>55.9</v>
      </c>
      <c r="C7457" s="216" t="n">
        <v>96.88</v>
      </c>
      <c r="D7457" s="216" t="n">
        <v>1.222800970077515</v>
      </c>
      <c r="E7457" s="215" t="n">
        <v>44589</v>
      </c>
      <c r="F7457" s="215" t="n">
        <v>44589</v>
      </c>
    </row>
    <row r="7458">
      <c r="A7458" s="215" t="n">
        <v>44592</v>
      </c>
      <c r="B7458" s="216" t="n">
        <v>57.4</v>
      </c>
      <c r="C7458" s="216" t="n">
        <v>96.88</v>
      </c>
      <c r="D7458" s="216" t="n">
        <v>1.224603056907654</v>
      </c>
      <c r="E7458" s="215" t="n">
        <v>44589</v>
      </c>
      <c r="F7458" s="215" t="n">
        <v>44592</v>
      </c>
    </row>
    <row r="7459">
      <c r="A7459" s="215" t="n">
        <v>44596</v>
      </c>
      <c r="B7459" s="216" t="n">
        <v>59</v>
      </c>
      <c r="C7459" s="216" t="n">
        <v>96.88</v>
      </c>
      <c r="D7459" s="216" t="n">
        <v>1.22502601146698</v>
      </c>
      <c r="E7459" s="215" t="n">
        <v>44589</v>
      </c>
      <c r="F7459" s="215" t="n">
        <v>44596</v>
      </c>
    </row>
    <row r="7460">
      <c r="A7460" s="215" t="n">
        <v>44599</v>
      </c>
      <c r="B7460" s="216" t="n">
        <v>60.35</v>
      </c>
      <c r="C7460" s="216" t="n">
        <v>99.90000000000001</v>
      </c>
      <c r="D7460" s="216" t="n">
        <v>1.224985957145691</v>
      </c>
      <c r="E7460" s="215" t="n">
        <v>44599</v>
      </c>
      <c r="F7460" s="215" t="n">
        <v>44599</v>
      </c>
    </row>
    <row r="7461">
      <c r="A7461" s="215" t="n">
        <v>44600</v>
      </c>
      <c r="B7461" s="216" t="n">
        <v>58.05</v>
      </c>
      <c r="C7461" s="216" t="n">
        <v>93.22</v>
      </c>
      <c r="D7461" s="216" t="n">
        <v>1.22487199306488</v>
      </c>
      <c r="E7461" s="215" t="n">
        <v>44600</v>
      </c>
      <c r="F7461" s="215" t="n">
        <v>44600</v>
      </c>
    </row>
    <row r="7462">
      <c r="A7462" s="215" t="n">
        <v>44601</v>
      </c>
      <c r="B7462" s="216" t="n">
        <v>58</v>
      </c>
      <c r="C7462" s="216" t="n">
        <v>91.5</v>
      </c>
      <c r="D7462" s="216" t="n">
        <v>1.224302053451538</v>
      </c>
      <c r="E7462" s="215" t="n">
        <v>44601</v>
      </c>
      <c r="F7462" s="215" t="n">
        <v>44601</v>
      </c>
    </row>
    <row r="7463">
      <c r="A7463" s="215" t="n">
        <v>44602</v>
      </c>
      <c r="B7463" s="216" t="n">
        <v>57</v>
      </c>
      <c r="C7463" s="216" t="n">
        <v>89.98999999999999</v>
      </c>
      <c r="D7463" s="216" t="n">
        <v>1.224215984344482</v>
      </c>
      <c r="E7463" s="215" t="n">
        <v>44602</v>
      </c>
      <c r="F7463" s="215" t="n">
        <v>44602</v>
      </c>
    </row>
    <row r="7464">
      <c r="A7464" s="215" t="n">
        <v>44603</v>
      </c>
      <c r="B7464" s="216" t="n">
        <v>54.85</v>
      </c>
      <c r="C7464" s="216" t="n">
        <v>89.44</v>
      </c>
      <c r="D7464" s="216" t="n">
        <v>1.226699948310852</v>
      </c>
      <c r="E7464" s="215" t="n">
        <v>44603</v>
      </c>
      <c r="F7464" s="215" t="n">
        <v>44603</v>
      </c>
    </row>
    <row r="7465">
      <c r="A7465" s="215" t="n">
        <v>44606</v>
      </c>
      <c r="B7465" s="216" t="n">
        <v>55.95</v>
      </c>
      <c r="C7465" s="216" t="n">
        <v>90.45</v>
      </c>
      <c r="D7465" s="216" t="n">
        <v>1.229004979133606</v>
      </c>
      <c r="E7465" s="215" t="n">
        <v>44606</v>
      </c>
      <c r="F7465" s="215" t="n">
        <v>44606</v>
      </c>
    </row>
    <row r="7466">
      <c r="A7466" s="215" t="n">
        <v>44607</v>
      </c>
      <c r="B7466" s="216" t="n">
        <v>63.3</v>
      </c>
      <c r="C7466" s="216" t="n">
        <v>99.5</v>
      </c>
      <c r="D7466" s="216" t="n">
        <v>1.227381944656372</v>
      </c>
      <c r="E7466" s="215" t="n">
        <v>44607</v>
      </c>
      <c r="F7466" s="215" t="n">
        <v>44607</v>
      </c>
    </row>
    <row r="7467">
      <c r="A7467" s="215" t="n">
        <v>44608</v>
      </c>
      <c r="B7467" s="216" t="n">
        <v>63.65</v>
      </c>
      <c r="C7467" s="216" t="n">
        <v>104.5</v>
      </c>
      <c r="D7467" s="216" t="n">
        <v>1.230052947998047</v>
      </c>
      <c r="E7467" s="215" t="n">
        <v>44608</v>
      </c>
      <c r="F7467" s="215" t="n">
        <v>44608</v>
      </c>
    </row>
    <row r="7468">
      <c r="A7468" s="215" t="n">
        <v>44609</v>
      </c>
      <c r="B7468" s="216" t="n">
        <v>65.59999999999999</v>
      </c>
      <c r="C7468" s="216" t="n">
        <v>103.86</v>
      </c>
      <c r="D7468" s="216" t="n">
        <v>1.230854034423828</v>
      </c>
      <c r="E7468" s="215" t="n">
        <v>44609</v>
      </c>
      <c r="F7468" s="215" t="n">
        <v>44609</v>
      </c>
    </row>
    <row r="7469">
      <c r="A7469" s="215" t="n">
        <v>44610</v>
      </c>
      <c r="B7469" s="216" t="n">
        <v>65.5</v>
      </c>
      <c r="C7469" s="216" t="n">
        <v>104.17</v>
      </c>
      <c r="D7469" s="216" t="n">
        <v>1.230208992958069</v>
      </c>
      <c r="E7469" s="215" t="n">
        <v>44610</v>
      </c>
      <c r="F7469" s="215" t="n">
        <v>44610</v>
      </c>
    </row>
    <row r="7470">
      <c r="A7470" s="215" t="n">
        <v>44613</v>
      </c>
      <c r="B7470" s="216" t="n">
        <v>62.4</v>
      </c>
      <c r="C7470" s="216" t="n">
        <v>102.16</v>
      </c>
      <c r="D7470" s="216" t="n">
        <v>1.232306957244873</v>
      </c>
      <c r="E7470" s="215" t="n">
        <v>44613</v>
      </c>
      <c r="F7470" s="215" t="n">
        <v>44613</v>
      </c>
    </row>
    <row r="7471">
      <c r="A7471" s="215" t="n">
        <v>44614</v>
      </c>
      <c r="B7471" s="216" t="n">
        <v>60.65</v>
      </c>
      <c r="C7471" s="216" t="n">
        <v>100.66</v>
      </c>
      <c r="D7471" s="216" t="n">
        <v>1.23160994052887</v>
      </c>
      <c r="E7471" s="215" t="n">
        <v>44614</v>
      </c>
      <c r="F7471" s="215" t="n">
        <v>44614</v>
      </c>
    </row>
    <row r="7472">
      <c r="A7472" s="215" t="n">
        <v>44615</v>
      </c>
      <c r="B7472" s="216" t="n">
        <v>61.8</v>
      </c>
      <c r="C7472" s="216" t="n">
        <v>107</v>
      </c>
      <c r="D7472" s="216" t="n">
        <v>1.233018040657043</v>
      </c>
      <c r="E7472" s="215" t="n">
        <v>44615</v>
      </c>
      <c r="F7472" s="215" t="n">
        <v>44615</v>
      </c>
    </row>
    <row r="7473">
      <c r="A7473" s="215" t="n">
        <v>44616</v>
      </c>
      <c r="B7473" s="216" t="n">
        <v>60</v>
      </c>
      <c r="C7473" s="216" t="n">
        <v>108.41</v>
      </c>
      <c r="D7473" s="216" t="n">
        <v>1.235846042633057</v>
      </c>
      <c r="E7473" s="215" t="n">
        <v>44616</v>
      </c>
      <c r="F7473" s="215" t="n">
        <v>44616</v>
      </c>
    </row>
    <row r="7474">
      <c r="A7474" s="215" t="n">
        <v>44617</v>
      </c>
      <c r="B7474" s="216" t="n">
        <v>64</v>
      </c>
      <c r="C7474" s="216" t="n">
        <v>117.28</v>
      </c>
      <c r="D7474" s="216" t="n">
        <v>1.233438968658447</v>
      </c>
      <c r="E7474" s="215" t="n">
        <v>44617</v>
      </c>
      <c r="F7474" s="215" t="n">
        <v>44617</v>
      </c>
    </row>
    <row r="7475">
      <c r="A7475" s="215" t="n">
        <v>44620</v>
      </c>
      <c r="B7475" s="216" t="n">
        <v>65.09999999999999</v>
      </c>
      <c r="C7475" s="216" t="n">
        <v>114.94</v>
      </c>
      <c r="D7475" s="216" t="n">
        <v>1.231897950172424</v>
      </c>
      <c r="E7475" s="215" t="n">
        <v>44620</v>
      </c>
      <c r="F7475" s="215" t="n">
        <v>44620</v>
      </c>
    </row>
    <row r="7476">
      <c r="A7476" s="215" t="n">
        <v>44621</v>
      </c>
      <c r="B7476" s="216" t="n">
        <v>67</v>
      </c>
      <c r="C7476" s="216" t="n">
        <v>115.76</v>
      </c>
      <c r="D7476" s="216" t="n">
        <v>1.237936973571777</v>
      </c>
      <c r="E7476" s="215" t="n">
        <v>44621</v>
      </c>
      <c r="F7476" s="215" t="n">
        <v>44621</v>
      </c>
    </row>
    <row r="7477">
      <c r="A7477" s="215" t="n">
        <v>44622</v>
      </c>
      <c r="B7477" s="216" t="n">
        <v>65.90000000000001</v>
      </c>
      <c r="C7477" s="216" t="n">
        <v>117.28</v>
      </c>
      <c r="D7477" s="216" t="n">
        <v>1.23852002620697</v>
      </c>
      <c r="E7477" s="215" t="n">
        <v>44622</v>
      </c>
      <c r="F7477" s="215" t="n">
        <v>44622</v>
      </c>
    </row>
    <row r="7478">
      <c r="A7478" s="215" t="n">
        <v>44623</v>
      </c>
      <c r="B7478" s="216" t="n">
        <v>63.5</v>
      </c>
      <c r="C7478" s="216" t="n">
        <v>113.58</v>
      </c>
      <c r="D7478" s="216" t="n">
        <v>1.235599040985107</v>
      </c>
      <c r="E7478" s="215" t="n">
        <v>44623</v>
      </c>
      <c r="F7478" s="215" t="n">
        <v>44623</v>
      </c>
    </row>
    <row r="7479">
      <c r="A7479" s="215" t="n">
        <v>44624</v>
      </c>
      <c r="B7479" s="216" t="n">
        <v>62.15</v>
      </c>
      <c r="C7479" s="216" t="n">
        <v>117.51</v>
      </c>
      <c r="D7479" s="216" t="n">
        <v>1.237941980361938</v>
      </c>
      <c r="E7479" s="215" t="n">
        <v>44624</v>
      </c>
      <c r="F7479" s="215" t="n">
        <v>44624</v>
      </c>
    </row>
    <row r="7480">
      <c r="A7480" s="215" t="n">
        <v>44627</v>
      </c>
      <c r="B7480" s="216" t="n">
        <v>60.05</v>
      </c>
      <c r="C7480" s="216" t="n">
        <v>111</v>
      </c>
      <c r="D7480" s="216" t="n">
        <v>1.223220944404602</v>
      </c>
      <c r="E7480" s="215" t="n">
        <v>44627</v>
      </c>
      <c r="F7480" s="215" t="n">
        <v>44627</v>
      </c>
    </row>
    <row r="7481">
      <c r="A7481" s="215" t="n">
        <v>44628</v>
      </c>
      <c r="B7481" s="216" t="n">
        <v>58.9</v>
      </c>
      <c r="C7481" s="216" t="n">
        <v>110.52</v>
      </c>
      <c r="D7481" s="216" t="n">
        <v>1.237072944641113</v>
      </c>
      <c r="E7481" s="215" t="n">
        <v>44628</v>
      </c>
      <c r="F7481" s="215" t="n">
        <v>44628</v>
      </c>
    </row>
    <row r="7482">
      <c r="A7482" s="215" t="n">
        <v>44629</v>
      </c>
      <c r="B7482" s="216" t="n">
        <v>59.2</v>
      </c>
      <c r="C7482" s="216" t="n">
        <v>106.15</v>
      </c>
      <c r="D7482" s="216" t="n">
        <v>1.237218976020813</v>
      </c>
      <c r="E7482" s="215" t="n">
        <v>44629</v>
      </c>
      <c r="F7482" s="215" t="n">
        <v>44629</v>
      </c>
    </row>
    <row r="7483">
      <c r="A7483" s="215" t="n">
        <v>44630</v>
      </c>
      <c r="B7483" s="216" t="n">
        <v>62.05</v>
      </c>
      <c r="C7483" s="216" t="n">
        <v>109.32</v>
      </c>
      <c r="D7483" s="216" t="n">
        <v>1.237866044044495</v>
      </c>
      <c r="E7483" s="215" t="n">
        <v>44630</v>
      </c>
      <c r="F7483" s="215" t="n">
        <v>44630</v>
      </c>
    </row>
    <row r="7484">
      <c r="A7484" s="215" t="n">
        <v>44631</v>
      </c>
      <c r="B7484" s="216" t="n">
        <v>60</v>
      </c>
      <c r="C7484" s="216" t="n">
        <v>111.88</v>
      </c>
      <c r="D7484" s="216" t="n">
        <v>1.237465023994446</v>
      </c>
      <c r="E7484" s="215" t="n">
        <v>44631</v>
      </c>
      <c r="F7484" s="215" t="n">
        <v>44631</v>
      </c>
    </row>
    <row r="7485">
      <c r="A7485" s="215" t="n">
        <v>44634</v>
      </c>
      <c r="B7485" s="216" t="n">
        <v>55.45</v>
      </c>
      <c r="C7485" s="216" t="n">
        <v>113</v>
      </c>
      <c r="D7485" s="216" t="n">
        <v>1.23714005947113</v>
      </c>
      <c r="E7485" s="215" t="n">
        <v>44634</v>
      </c>
      <c r="F7485" s="215" t="n">
        <v>44634</v>
      </c>
    </row>
    <row r="7486">
      <c r="A7486" s="215" t="n">
        <v>44635</v>
      </c>
      <c r="B7486" s="216" t="n">
        <v>48.85</v>
      </c>
      <c r="C7486" s="216" t="n">
        <v>108.77</v>
      </c>
      <c r="D7486" s="216" t="n">
        <v>1.230260968208313</v>
      </c>
      <c r="E7486" s="215" t="n">
        <v>44635</v>
      </c>
      <c r="F7486" s="215" t="n">
        <v>44635</v>
      </c>
    </row>
    <row r="7487">
      <c r="A7487" s="215" t="n">
        <v>44636</v>
      </c>
      <c r="B7487" s="216" t="n">
        <v>59.45</v>
      </c>
      <c r="C7487" s="216" t="n">
        <v>109.14</v>
      </c>
      <c r="D7487" s="216" t="n">
        <v>1.228589057922363</v>
      </c>
      <c r="E7487" s="215" t="n">
        <v>44636</v>
      </c>
      <c r="F7487" s="215" t="n">
        <v>44636</v>
      </c>
    </row>
    <row r="7488">
      <c r="A7488" s="215" t="n">
        <v>44637</v>
      </c>
      <c r="B7488" s="216" t="n">
        <v>60.05</v>
      </c>
      <c r="C7488" s="216" t="n">
        <v>108.24</v>
      </c>
      <c r="D7488" s="216" t="n">
        <v>1.2309410572052</v>
      </c>
      <c r="E7488" s="215" t="n">
        <v>44637</v>
      </c>
      <c r="F7488" s="215" t="n">
        <v>44637</v>
      </c>
    </row>
    <row r="7489">
      <c r="A7489" s="215" t="n">
        <v>44638</v>
      </c>
      <c r="B7489" s="216" t="n">
        <v>62.15</v>
      </c>
      <c r="C7489" s="216" t="n">
        <v>109.6</v>
      </c>
      <c r="D7489" s="216" t="n">
        <v>1.231812953948975</v>
      </c>
      <c r="E7489" s="215" t="n">
        <v>44638</v>
      </c>
      <c r="F7489" s="215" t="n">
        <v>44638</v>
      </c>
    </row>
    <row r="7490">
      <c r="A7490" s="215" t="n">
        <v>44641</v>
      </c>
      <c r="B7490" s="216" t="n">
        <v>63.1</v>
      </c>
      <c r="C7490" s="216" t="n">
        <v>109.82</v>
      </c>
      <c r="D7490" s="216" t="n">
        <v>1.228307962417603</v>
      </c>
      <c r="E7490" s="215" t="n">
        <v>44641</v>
      </c>
      <c r="F7490" s="215" t="n">
        <v>44641</v>
      </c>
    </row>
    <row r="7491">
      <c r="A7491" s="215" t="n">
        <v>44642</v>
      </c>
      <c r="B7491" s="216" t="n">
        <v>62.9</v>
      </c>
      <c r="C7491" s="216" t="n">
        <v>107.2</v>
      </c>
      <c r="D7491" s="216" t="n">
        <v>1.230851054191589</v>
      </c>
      <c r="E7491" s="215" t="n">
        <v>44642</v>
      </c>
      <c r="F7491" s="215" t="n">
        <v>44642</v>
      </c>
    </row>
    <row r="7492">
      <c r="A7492" s="215" t="n">
        <v>44643</v>
      </c>
      <c r="B7492" s="216" t="n">
        <v>67</v>
      </c>
      <c r="C7492" s="216" t="n">
        <v>115.6</v>
      </c>
      <c r="D7492" s="216" t="n">
        <v>1.229357004165649</v>
      </c>
      <c r="E7492" s="215" t="n">
        <v>44643</v>
      </c>
      <c r="F7492" s="215" t="n">
        <v>44643</v>
      </c>
    </row>
    <row r="7493">
      <c r="A7493" s="215" t="n">
        <v>44644</v>
      </c>
      <c r="B7493" s="216" t="n">
        <v>73.25</v>
      </c>
      <c r="C7493" s="216" t="n">
        <v>119.15</v>
      </c>
      <c r="D7493" s="216" t="n">
        <v>1.227481961250305</v>
      </c>
      <c r="E7493" s="215" t="n">
        <v>44644</v>
      </c>
      <c r="F7493" s="215" t="n">
        <v>44644</v>
      </c>
    </row>
    <row r="7494">
      <c r="A7494" s="215" t="n">
        <v>44645</v>
      </c>
      <c r="B7494" s="216" t="n">
        <v>69.95</v>
      </c>
      <c r="C7494" s="216" t="n">
        <v>114</v>
      </c>
      <c r="D7494" s="216" t="n">
        <v>1.228559017181396</v>
      </c>
      <c r="E7494" s="215" t="n">
        <v>44645</v>
      </c>
      <c r="F7494" s="215" t="n">
        <v>44645</v>
      </c>
    </row>
    <row r="7495">
      <c r="A7495" s="215" t="n">
        <v>44648</v>
      </c>
      <c r="B7495" s="216" t="n">
        <v>67.8</v>
      </c>
      <c r="C7495" s="216" t="n">
        <v>112.6</v>
      </c>
      <c r="D7495" s="216" t="n">
        <v>1.224017977714539</v>
      </c>
      <c r="E7495" s="215" t="n">
        <v>44648</v>
      </c>
      <c r="F7495" s="215" t="n">
        <v>44648</v>
      </c>
    </row>
    <row r="7496">
      <c r="A7496" s="215" t="n">
        <v>44649</v>
      </c>
      <c r="B7496" s="216" t="n">
        <v>70.7</v>
      </c>
      <c r="C7496" s="216" t="n">
        <v>115.53</v>
      </c>
      <c r="D7496" s="216" t="n">
        <v>1.228392958641052</v>
      </c>
      <c r="E7496" s="215" t="n">
        <v>44649</v>
      </c>
      <c r="F7496" s="215" t="n">
        <v>44649</v>
      </c>
    </row>
    <row r="7497">
      <c r="A7497" s="215" t="n">
        <v>44650</v>
      </c>
      <c r="B7497" s="216" t="n">
        <v>74.8</v>
      </c>
      <c r="C7497" s="216" t="n">
        <v>115.9</v>
      </c>
      <c r="D7497" s="216" t="n">
        <v>1.229694962501526</v>
      </c>
      <c r="E7497" s="215" t="n">
        <v>44650</v>
      </c>
      <c r="F7497" s="215" t="n">
        <v>44650</v>
      </c>
    </row>
    <row r="7498">
      <c r="A7498" s="215" t="n">
        <v>44651</v>
      </c>
      <c r="B7498" s="216" t="n">
        <v>72.45</v>
      </c>
      <c r="C7498" s="216" t="n">
        <v>115.09</v>
      </c>
      <c r="D7498" s="216" t="n">
        <v>1.233211040496826</v>
      </c>
      <c r="E7498" s="215" t="n">
        <v>44651</v>
      </c>
      <c r="F7498" s="215" t="n">
        <v>44651</v>
      </c>
    </row>
    <row r="7499">
      <c r="A7499" s="215" t="n">
        <v>44652</v>
      </c>
      <c r="B7499" s="216" t="n">
        <v>67.5</v>
      </c>
      <c r="C7499" s="216" t="n">
        <v>110.88</v>
      </c>
      <c r="D7499" s="216" t="n">
        <v>1.235550045967102</v>
      </c>
      <c r="E7499" s="215" t="n">
        <v>44652</v>
      </c>
      <c r="F7499" s="215" t="n">
        <v>44652</v>
      </c>
    </row>
    <row r="7500">
      <c r="A7500" s="215" t="n">
        <v>44655</v>
      </c>
      <c r="B7500" s="216" t="n">
        <v>72.75</v>
      </c>
      <c r="C7500" s="216" t="n">
        <v>110.88</v>
      </c>
      <c r="D7500" s="216" t="n">
        <v>1.229956030845642</v>
      </c>
      <c r="E7500" s="215" t="n">
        <v>44652</v>
      </c>
      <c r="F7500" s="215" t="n">
        <v>44655</v>
      </c>
    </row>
    <row r="7501">
      <c r="A7501" s="215" t="n">
        <v>44657</v>
      </c>
      <c r="B7501" s="216" t="n">
        <v>68.5</v>
      </c>
      <c r="C7501" s="216" t="n">
        <v>108.27</v>
      </c>
      <c r="D7501" s="216" t="n">
        <v>1.230962991714478</v>
      </c>
      <c r="E7501" s="215" t="n">
        <v>44657</v>
      </c>
      <c r="F7501" s="215" t="n">
        <v>44657</v>
      </c>
    </row>
    <row r="7502">
      <c r="A7502" s="215" t="n">
        <v>44658</v>
      </c>
      <c r="B7502" s="216" t="n">
        <v>68.59999999999999</v>
      </c>
      <c r="C7502" s="216" t="n">
        <v>106.1</v>
      </c>
      <c r="D7502" s="216" t="n">
        <v>1.232280969619751</v>
      </c>
      <c r="E7502" s="215" t="n">
        <v>44658</v>
      </c>
      <c r="F7502" s="215" t="n">
        <v>44658</v>
      </c>
    </row>
    <row r="7503">
      <c r="A7503" s="215" t="n">
        <v>44659</v>
      </c>
      <c r="B7503" s="216" t="n">
        <v>66.5</v>
      </c>
      <c r="C7503" s="216" t="n">
        <v>102.2</v>
      </c>
      <c r="D7503" s="216" t="n">
        <v>1.232202053070068</v>
      </c>
      <c r="E7503" s="215" t="n">
        <v>44659</v>
      </c>
      <c r="F7503" s="215" t="n">
        <v>44659</v>
      </c>
    </row>
    <row r="7504">
      <c r="A7504" s="215" t="n">
        <v>44662</v>
      </c>
      <c r="B7504" s="216" t="n">
        <v>62.35</v>
      </c>
      <c r="C7504" s="216" t="n">
        <v>99.45</v>
      </c>
      <c r="D7504" s="216" t="n">
        <v>1.232278943061829</v>
      </c>
      <c r="E7504" s="215" t="n">
        <v>44662</v>
      </c>
      <c r="F7504" s="215" t="n">
        <v>44662</v>
      </c>
    </row>
    <row r="7505">
      <c r="A7505" s="215" t="n">
        <v>44663</v>
      </c>
      <c r="B7505" s="216" t="n">
        <v>62.65</v>
      </c>
      <c r="C7505" s="216" t="n">
        <v>99.40000000000001</v>
      </c>
      <c r="D7505" s="216" t="n">
        <v>1.230334997177124</v>
      </c>
      <c r="E7505" s="215" t="n">
        <v>44663</v>
      </c>
      <c r="F7505" s="215" t="n">
        <v>44663</v>
      </c>
    </row>
    <row r="7506">
      <c r="A7506" s="215" t="n">
        <v>44664</v>
      </c>
      <c r="B7506" s="216" t="n">
        <v>60.35</v>
      </c>
      <c r="C7506" s="216" t="n">
        <v>96.19</v>
      </c>
      <c r="D7506" s="216" t="n">
        <v>1.231207966804504</v>
      </c>
      <c r="E7506" s="215" t="n">
        <v>44664</v>
      </c>
      <c r="F7506" s="215" t="n">
        <v>44664</v>
      </c>
    </row>
    <row r="7507">
      <c r="A7507" s="215" t="n">
        <v>44665</v>
      </c>
      <c r="B7507" s="216" t="n">
        <v>62.3</v>
      </c>
      <c r="C7507" s="216" t="n">
        <v>96.47</v>
      </c>
      <c r="D7507" s="216" t="n">
        <v>1.231024026870728</v>
      </c>
      <c r="E7507" s="215" t="n">
        <v>44665</v>
      </c>
      <c r="F7507" s="215" t="n">
        <v>44665</v>
      </c>
    </row>
    <row r="7508">
      <c r="A7508" s="215" t="n">
        <v>44670</v>
      </c>
      <c r="B7508" s="216" t="n">
        <v>60.2</v>
      </c>
      <c r="C7508" s="216" t="n">
        <v>95.89</v>
      </c>
      <c r="D7508" s="216" t="n">
        <v>1.220034956932068</v>
      </c>
      <c r="E7508" s="215" t="n">
        <v>44670</v>
      </c>
      <c r="F7508" s="215" t="n">
        <v>44670</v>
      </c>
    </row>
    <row r="7509">
      <c r="A7509" s="215" t="n">
        <v>44671</v>
      </c>
      <c r="B7509" s="216" t="n">
        <v>59.15</v>
      </c>
      <c r="C7509" s="216" t="n">
        <v>93.54000000000001</v>
      </c>
      <c r="D7509" s="216" t="n">
        <v>1.226842045783997</v>
      </c>
      <c r="E7509" s="215" t="n">
        <v>44671</v>
      </c>
      <c r="F7509" s="215" t="n">
        <v>44671</v>
      </c>
    </row>
    <row r="7510">
      <c r="A7510" s="215" t="n">
        <v>44672</v>
      </c>
      <c r="B7510" s="216" t="n">
        <v>57.6</v>
      </c>
      <c r="C7510" s="216" t="n">
        <v>92.63</v>
      </c>
      <c r="D7510" s="216" t="n">
        <v>1.221968054771423</v>
      </c>
      <c r="E7510" s="215" t="n">
        <v>44672</v>
      </c>
      <c r="F7510" s="215" t="n">
        <v>44672</v>
      </c>
    </row>
    <row r="7511">
      <c r="A7511" s="215" t="n">
        <v>44673</v>
      </c>
      <c r="B7511" s="216" t="n">
        <v>58.85</v>
      </c>
      <c r="C7511" s="216" t="n">
        <v>94.88</v>
      </c>
      <c r="D7511" s="216" t="n">
        <v>1.216025948524475</v>
      </c>
      <c r="E7511" s="215" t="n">
        <v>44673</v>
      </c>
      <c r="F7511" s="215" t="n">
        <v>44673</v>
      </c>
    </row>
    <row r="7512">
      <c r="A7512" s="215" t="n">
        <v>44676</v>
      </c>
      <c r="B7512" s="216" t="n">
        <v>55.2</v>
      </c>
      <c r="C7512" s="216" t="n">
        <v>89.5</v>
      </c>
      <c r="D7512" s="216" t="n">
        <v>1.208608031272888</v>
      </c>
      <c r="E7512" s="215" t="n">
        <v>44676</v>
      </c>
      <c r="F7512" s="215" t="n">
        <v>44676</v>
      </c>
    </row>
    <row r="7513">
      <c r="A7513" s="215" t="n">
        <v>44677</v>
      </c>
      <c r="B7513" s="216" t="n">
        <v>56.8</v>
      </c>
      <c r="C7513" s="216" t="n">
        <v>92.38</v>
      </c>
      <c r="D7513" s="216" t="n">
        <v>1.19637405872345</v>
      </c>
      <c r="E7513" s="215" t="n">
        <v>44677</v>
      </c>
      <c r="F7513" s="215" t="n">
        <v>44677</v>
      </c>
    </row>
    <row r="7514">
      <c r="A7514" s="215" t="n">
        <v>44678</v>
      </c>
      <c r="B7514" s="216" t="n">
        <v>56.95</v>
      </c>
      <c r="C7514" s="216" t="n">
        <v>94.73</v>
      </c>
      <c r="D7514" s="216" t="n">
        <v>1.1961749792099</v>
      </c>
      <c r="E7514" s="215" t="n">
        <v>44678</v>
      </c>
      <c r="F7514" s="215" t="n">
        <v>44678</v>
      </c>
    </row>
    <row r="7515">
      <c r="A7515" s="215" t="n">
        <v>44679</v>
      </c>
      <c r="B7515" s="216" t="n">
        <v>55.15</v>
      </c>
      <c r="C7515" s="216" t="n">
        <v>91.62</v>
      </c>
      <c r="D7515" s="216" t="n">
        <v>1.195773959159851</v>
      </c>
      <c r="E7515" s="215" t="n">
        <v>44679</v>
      </c>
      <c r="F7515" s="215" t="n">
        <v>44679</v>
      </c>
    </row>
    <row r="7516">
      <c r="A7516" s="215" t="n">
        <v>44680</v>
      </c>
      <c r="B7516" s="216" t="n">
        <v>58.35</v>
      </c>
      <c r="C7516" s="216" t="n">
        <v>99.48</v>
      </c>
      <c r="D7516" s="216" t="n">
        <v>1.184425950050354</v>
      </c>
      <c r="E7516" s="215" t="n">
        <v>44680</v>
      </c>
      <c r="F7516" s="215" t="n">
        <v>44680</v>
      </c>
    </row>
    <row r="7517">
      <c r="A7517" s="215" t="n">
        <v>44684</v>
      </c>
      <c r="B7517" s="216" t="n">
        <v>59.25</v>
      </c>
      <c r="C7517" s="216" t="n">
        <v>99.48</v>
      </c>
      <c r="D7517" s="216" t="n">
        <v>1.18731701374054</v>
      </c>
      <c r="E7517" s="215" t="n">
        <v>44680</v>
      </c>
      <c r="F7517" s="215" t="n">
        <v>44684</v>
      </c>
    </row>
    <row r="7518">
      <c r="A7518" s="215" t="n">
        <v>44685</v>
      </c>
      <c r="B7518" s="216" t="n">
        <v>58.8</v>
      </c>
      <c r="C7518" s="216" t="n">
        <v>99.48</v>
      </c>
      <c r="D7518" s="216" t="n">
        <v>1.188007950782776</v>
      </c>
      <c r="E7518" s="215" t="n">
        <v>44680</v>
      </c>
      <c r="F7518" s="215" t="n">
        <v>44685</v>
      </c>
    </row>
    <row r="7519">
      <c r="A7519" s="215" t="n">
        <v>44686</v>
      </c>
      <c r="B7519" s="216" t="n">
        <v>55</v>
      </c>
      <c r="C7519" s="216" t="n">
        <v>95.98</v>
      </c>
      <c r="D7519" s="216" t="n">
        <v>1.18796694278717</v>
      </c>
      <c r="E7519" s="215" t="n">
        <v>44686</v>
      </c>
      <c r="F7519" s="215" t="n">
        <v>44686</v>
      </c>
    </row>
    <row r="7520">
      <c r="A7520" s="215" t="n">
        <v>44687</v>
      </c>
      <c r="B7520" s="216" t="n">
        <v>53.15</v>
      </c>
      <c r="C7520" s="216" t="n">
        <v>93.11</v>
      </c>
      <c r="D7520" s="216" t="n">
        <v>1.17942202091217</v>
      </c>
      <c r="E7520" s="215" t="n">
        <v>44687</v>
      </c>
      <c r="F7520" s="215" t="n">
        <v>44687</v>
      </c>
    </row>
    <row r="7521">
      <c r="A7521" s="215" t="n">
        <v>44691</v>
      </c>
      <c r="B7521" s="216" t="n">
        <v>51.85</v>
      </c>
      <c r="C7521" s="216" t="n">
        <v>93.08</v>
      </c>
      <c r="D7521" s="216" t="n">
        <v>1.166296005249023</v>
      </c>
      <c r="E7521" s="215" t="n">
        <v>44691</v>
      </c>
      <c r="F7521" s="215" t="n">
        <v>44691</v>
      </c>
    </row>
    <row r="7522">
      <c r="A7522" s="215" t="n">
        <v>44692</v>
      </c>
      <c r="B7522" s="216" t="n">
        <v>54.8</v>
      </c>
      <c r="C7522" s="216" t="n">
        <v>99.7</v>
      </c>
      <c r="D7522" s="216" t="n">
        <v>1.165348052978516</v>
      </c>
      <c r="E7522" s="215" t="n">
        <v>44692</v>
      </c>
      <c r="F7522" s="215" t="n">
        <v>44692</v>
      </c>
    </row>
    <row r="7523">
      <c r="A7523" s="215" t="n">
        <v>44693</v>
      </c>
      <c r="B7523" s="216" t="n">
        <v>53</v>
      </c>
      <c r="C7523" s="216" t="n">
        <v>100.09</v>
      </c>
      <c r="D7523" s="216" t="n">
        <v>1.167407035827637</v>
      </c>
      <c r="E7523" s="215" t="n">
        <v>44693</v>
      </c>
      <c r="F7523" s="215" t="n">
        <v>44693</v>
      </c>
    </row>
    <row r="7524">
      <c r="A7524" s="215" t="n">
        <v>44694</v>
      </c>
      <c r="B7524" s="216" t="n">
        <v>53.75</v>
      </c>
      <c r="C7524" s="216" t="n">
        <v>99.06999999999999</v>
      </c>
      <c r="D7524" s="216" t="n">
        <v>1.156118035316467</v>
      </c>
      <c r="E7524" s="215" t="n">
        <v>44694</v>
      </c>
      <c r="F7524" s="215" t="n">
        <v>44694</v>
      </c>
    </row>
    <row r="7525">
      <c r="A7525" s="215" t="n">
        <v>44697</v>
      </c>
      <c r="B7525" s="216" t="n">
        <v>54.2</v>
      </c>
      <c r="C7525" s="216" t="n">
        <v>96.89</v>
      </c>
      <c r="D7525" s="216" t="n">
        <v>1.154800057411194</v>
      </c>
      <c r="E7525" s="215" t="n">
        <v>44697</v>
      </c>
      <c r="F7525" s="215" t="n">
        <v>44697</v>
      </c>
    </row>
    <row r="7526">
      <c r="A7526" s="215" t="n">
        <v>44698</v>
      </c>
      <c r="B7526" s="216" t="n">
        <v>54.85</v>
      </c>
      <c r="C7526" s="216" t="n">
        <v>97.28</v>
      </c>
      <c r="D7526" s="216" t="n">
        <v>1.156873941421509</v>
      </c>
      <c r="E7526" s="215" t="n">
        <v>44698</v>
      </c>
      <c r="F7526" s="215" t="n">
        <v>44698</v>
      </c>
    </row>
    <row r="7527">
      <c r="A7527" s="215" t="n">
        <v>44699</v>
      </c>
      <c r="B7527" s="216" t="n">
        <v>54.2</v>
      </c>
      <c r="C7527" s="216" t="n">
        <v>93.95999999999999</v>
      </c>
      <c r="D7527" s="216" t="n">
        <v>1.164849996566772</v>
      </c>
      <c r="E7527" s="215" t="n">
        <v>44699</v>
      </c>
      <c r="F7527" s="215" t="n">
        <v>44699</v>
      </c>
    </row>
    <row r="7528">
      <c r="A7528" s="215" t="n">
        <v>44700</v>
      </c>
      <c r="B7528" s="216" t="n">
        <v>54.6</v>
      </c>
      <c r="C7528" s="216" t="n">
        <v>93.97</v>
      </c>
      <c r="D7528" s="216" t="n">
        <v>1.161888957023621</v>
      </c>
      <c r="E7528" s="215" t="n">
        <v>44700</v>
      </c>
      <c r="F7528" s="215" t="n">
        <v>44700</v>
      </c>
    </row>
    <row r="7529">
      <c r="A7529" s="215" t="n">
        <v>44701</v>
      </c>
      <c r="B7529" s="216" t="n">
        <v>58</v>
      </c>
      <c r="C7529" s="216" t="n">
        <v>96.25</v>
      </c>
      <c r="D7529" s="216" t="n">
        <v>1.168822050094604</v>
      </c>
      <c r="E7529" s="215" t="n">
        <v>44701</v>
      </c>
      <c r="F7529" s="215" t="n">
        <v>44701</v>
      </c>
    </row>
    <row r="7530">
      <c r="A7530" s="215" t="n">
        <v>44704</v>
      </c>
      <c r="B7530" s="216" t="n">
        <v>57.9</v>
      </c>
      <c r="C7530" s="216" t="n">
        <v>98.25</v>
      </c>
      <c r="D7530" s="216" t="n">
        <v>1.173393964767456</v>
      </c>
      <c r="E7530" s="215" t="n">
        <v>44704</v>
      </c>
      <c r="F7530" s="215" t="n">
        <v>44704</v>
      </c>
    </row>
    <row r="7531">
      <c r="A7531" s="215" t="n">
        <v>44705</v>
      </c>
      <c r="B7531" s="216" t="n">
        <v>54.45</v>
      </c>
      <c r="C7531" s="216" t="n">
        <v>98.25</v>
      </c>
      <c r="D7531" s="216" t="n">
        <v>1.179618000984192</v>
      </c>
      <c r="E7531" s="215" t="n">
        <v>44705</v>
      </c>
      <c r="F7531" s="215" t="n">
        <v>44705</v>
      </c>
    </row>
    <row r="7532">
      <c r="A7532" s="215" t="n">
        <v>44706</v>
      </c>
      <c r="B7532" s="216" t="n">
        <v>59.85</v>
      </c>
      <c r="C7532" s="216" t="n">
        <v>100.84</v>
      </c>
      <c r="D7532" s="216" t="n">
        <v>1.179540991783142</v>
      </c>
      <c r="E7532" s="215" t="n">
        <v>44706</v>
      </c>
      <c r="F7532" s="215" t="n">
        <v>44706</v>
      </c>
    </row>
    <row r="7533">
      <c r="A7533" s="215" t="n">
        <v>44707</v>
      </c>
      <c r="B7533" s="216" t="n">
        <v>58.05</v>
      </c>
      <c r="C7533" s="216" t="n">
        <v>101.92</v>
      </c>
      <c r="D7533" s="216" t="n">
        <v>1.172242045402527</v>
      </c>
      <c r="E7533" s="215" t="n">
        <v>44707</v>
      </c>
      <c r="F7533" s="215" t="n">
        <v>44707</v>
      </c>
    </row>
    <row r="7534">
      <c r="A7534" s="215" t="n">
        <v>44708</v>
      </c>
      <c r="B7534" s="216" t="n">
        <v>58.1</v>
      </c>
      <c r="C7534" s="216" t="n">
        <v>105.2</v>
      </c>
      <c r="D7534" s="216" t="n">
        <v>1.164566993713379</v>
      </c>
      <c r="E7534" s="215" t="n">
        <v>44708</v>
      </c>
      <c r="F7534" s="215" t="n">
        <v>44708</v>
      </c>
    </row>
    <row r="7535">
      <c r="A7535" s="215" t="n">
        <v>44711</v>
      </c>
      <c r="B7535" s="216" t="n">
        <v>60.2</v>
      </c>
      <c r="C7535" s="216" t="n">
        <v>103.77</v>
      </c>
      <c r="D7535" s="216" t="n">
        <v>1.171957015991211</v>
      </c>
      <c r="E7535" s="215" t="n">
        <v>44711</v>
      </c>
      <c r="F7535" s="215" t="n">
        <v>44711</v>
      </c>
    </row>
    <row r="7536">
      <c r="A7536" s="215" t="n">
        <v>44712</v>
      </c>
      <c r="B7536" s="216" t="n">
        <v>62.6</v>
      </c>
      <c r="C7536" s="216" t="n">
        <v>106.43</v>
      </c>
      <c r="D7536" s="216" t="n">
        <v>1.178225040435791</v>
      </c>
      <c r="E7536" s="215" t="n">
        <v>44712</v>
      </c>
      <c r="F7536" s="215" t="n">
        <v>44712</v>
      </c>
    </row>
    <row r="7537">
      <c r="A7537" s="215" t="n">
        <v>44713</v>
      </c>
      <c r="B7537" s="216" t="n">
        <v>62.15</v>
      </c>
      <c r="C7537" s="216" t="n">
        <v>102.26</v>
      </c>
      <c r="D7537" s="216" t="n">
        <v>1.175742983818054</v>
      </c>
      <c r="E7537" s="215" t="n">
        <v>44713</v>
      </c>
      <c r="F7537" s="215" t="n">
        <v>44713</v>
      </c>
    </row>
    <row r="7538">
      <c r="A7538" s="215" t="n">
        <v>44714</v>
      </c>
      <c r="B7538" s="216" t="n">
        <v>61.2</v>
      </c>
      <c r="C7538" s="216" t="n">
        <v>101.6</v>
      </c>
      <c r="D7538" s="216" t="n">
        <v>1.173377990722656</v>
      </c>
      <c r="E7538" s="215" t="n">
        <v>44714</v>
      </c>
      <c r="F7538" s="215" t="n">
        <v>44714</v>
      </c>
    </row>
    <row r="7539">
      <c r="A7539" s="215" t="n">
        <v>44718</v>
      </c>
      <c r="B7539" s="216" t="n">
        <v>64.5</v>
      </c>
      <c r="C7539" s="216" t="n">
        <v>108.83</v>
      </c>
      <c r="D7539" s="216" t="n">
        <v>1.178540945053101</v>
      </c>
      <c r="E7539" s="215" t="n">
        <v>44718</v>
      </c>
      <c r="F7539" s="215" t="n">
        <v>44718</v>
      </c>
    </row>
    <row r="7540">
      <c r="A7540" s="215" t="n">
        <v>44719</v>
      </c>
      <c r="B7540" s="216" t="n">
        <v>66.15000000000001</v>
      </c>
      <c r="C7540" s="216" t="n">
        <v>113</v>
      </c>
      <c r="D7540" s="216" t="n">
        <v>1.179175019264221</v>
      </c>
      <c r="E7540" s="215" t="n">
        <v>44719</v>
      </c>
      <c r="F7540" s="215" t="n">
        <v>44719</v>
      </c>
    </row>
    <row r="7541">
      <c r="A7541" s="215" t="n">
        <v>44720</v>
      </c>
      <c r="B7541" s="216" t="n">
        <v>71.8</v>
      </c>
      <c r="C7541" s="216" t="n">
        <v>118.94</v>
      </c>
      <c r="D7541" s="216" t="n">
        <v>1.175778985023499</v>
      </c>
      <c r="E7541" s="215" t="n">
        <v>44720</v>
      </c>
      <c r="F7541" s="215" t="n">
        <v>44720</v>
      </c>
    </row>
    <row r="7542">
      <c r="A7542" s="215" t="n">
        <v>44721</v>
      </c>
      <c r="B7542" s="216" t="n">
        <v>71.40000000000001</v>
      </c>
      <c r="C7542" s="216" t="n">
        <v>117.79</v>
      </c>
      <c r="D7542" s="216" t="n">
        <v>1.174060940742493</v>
      </c>
      <c r="E7542" s="215" t="n">
        <v>44721</v>
      </c>
      <c r="F7542" s="215" t="n">
        <v>44721</v>
      </c>
    </row>
    <row r="7543">
      <c r="A7543" s="215" t="n">
        <v>44722</v>
      </c>
      <c r="B7543" s="216" t="n">
        <v>72.65000000000001</v>
      </c>
      <c r="C7543" s="216" t="n">
        <v>120</v>
      </c>
      <c r="D7543" s="216" t="n">
        <v>1.172886967658997</v>
      </c>
      <c r="E7543" s="215" t="n">
        <v>44722</v>
      </c>
      <c r="F7543" s="215" t="n">
        <v>44722</v>
      </c>
    </row>
    <row r="7544">
      <c r="A7544" s="215" t="n">
        <v>44725</v>
      </c>
      <c r="B7544" s="216" t="n">
        <v>68.8</v>
      </c>
      <c r="C7544" s="216" t="n">
        <v>113.63</v>
      </c>
      <c r="D7544" s="216" t="n">
        <v>1.16687798500061</v>
      </c>
      <c r="E7544" s="215" t="n">
        <v>44725</v>
      </c>
      <c r="F7544" s="215" t="n">
        <v>44725</v>
      </c>
    </row>
    <row r="7545">
      <c r="A7545" s="215" t="n">
        <v>44726</v>
      </c>
      <c r="B7545" s="216" t="n">
        <v>67.59999999999999</v>
      </c>
      <c r="C7545" s="216" t="n">
        <v>115.77</v>
      </c>
      <c r="D7545" s="216" t="n">
        <v>1.162642002105713</v>
      </c>
      <c r="E7545" s="215" t="n">
        <v>44726</v>
      </c>
      <c r="F7545" s="215" t="n">
        <v>44726</v>
      </c>
    </row>
    <row r="7546">
      <c r="A7546" s="215" t="n">
        <v>44727</v>
      </c>
      <c r="B7546" s="216" t="n">
        <v>68.34999999999999</v>
      </c>
      <c r="C7546" s="216" t="n">
        <v>115.77</v>
      </c>
      <c r="D7546" s="216" t="n">
        <v>1.165135025978088</v>
      </c>
      <c r="E7546" s="215" t="n">
        <v>44727</v>
      </c>
      <c r="F7546" s="215" t="n">
        <v>44727</v>
      </c>
    </row>
    <row r="7547">
      <c r="A7547" s="215" t="n">
        <v>44728</v>
      </c>
      <c r="B7547" s="216" t="n">
        <v>68.40000000000001</v>
      </c>
      <c r="C7547" s="216" t="n">
        <v>118.94</v>
      </c>
      <c r="D7547" s="216" t="n">
        <v>1.169098973274231</v>
      </c>
      <c r="E7547" s="215" t="n">
        <v>44728</v>
      </c>
      <c r="F7547" s="215" t="n">
        <v>44728</v>
      </c>
    </row>
    <row r="7548">
      <c r="A7548" s="215" t="n">
        <v>44729</v>
      </c>
      <c r="B7548" s="216" t="n">
        <v>71.7</v>
      </c>
      <c r="C7548" s="216" t="n">
        <v>125.34</v>
      </c>
      <c r="D7548" s="216" t="n">
        <v>1.170604944229126</v>
      </c>
      <c r="E7548" s="215" t="n">
        <v>44729</v>
      </c>
      <c r="F7548" s="215" t="n">
        <v>44729</v>
      </c>
    </row>
    <row r="7549">
      <c r="A7549" s="215" t="n">
        <v>44732</v>
      </c>
      <c r="B7549" s="216" t="n">
        <v>64.45</v>
      </c>
      <c r="C7549" s="216" t="n">
        <v>112.81</v>
      </c>
      <c r="D7549" s="216" t="n">
        <v>1.167651057243347</v>
      </c>
      <c r="E7549" s="215" t="n">
        <v>44732</v>
      </c>
      <c r="F7549" s="215" t="n">
        <v>44732</v>
      </c>
    </row>
    <row r="7550">
      <c r="A7550" s="215" t="n">
        <v>44733</v>
      </c>
      <c r="B7550" s="216" t="n">
        <v>65.55</v>
      </c>
      <c r="C7550" s="216" t="n">
        <v>114.15</v>
      </c>
      <c r="D7550" s="216" t="n">
        <v>1.173205971717834</v>
      </c>
      <c r="E7550" s="215" t="n">
        <v>44733</v>
      </c>
      <c r="F7550" s="215" t="n">
        <v>44733</v>
      </c>
    </row>
    <row r="7551">
      <c r="A7551" s="215" t="n">
        <v>44734</v>
      </c>
      <c r="B7551" s="216" t="n">
        <v>63.65</v>
      </c>
      <c r="C7551" s="216" t="n">
        <v>108.67</v>
      </c>
      <c r="D7551" s="216" t="n">
        <v>1.173452019691467</v>
      </c>
      <c r="E7551" s="215" t="n">
        <v>44734</v>
      </c>
      <c r="F7551" s="215" t="n">
        <v>44734</v>
      </c>
    </row>
    <row r="7552">
      <c r="A7552" s="215" t="n">
        <v>44735</v>
      </c>
      <c r="B7552" s="216" t="n">
        <v>62.85</v>
      </c>
      <c r="C7552" s="216" t="n">
        <v>104.98</v>
      </c>
      <c r="D7552" s="216" t="n">
        <v>1.171026945114136</v>
      </c>
      <c r="E7552" s="215" t="n">
        <v>44735</v>
      </c>
      <c r="F7552" s="215" t="n">
        <v>44735</v>
      </c>
    </row>
    <row r="7553">
      <c r="A7553" s="215" t="n">
        <v>44736</v>
      </c>
      <c r="B7553" s="216" t="n">
        <v>68.5</v>
      </c>
      <c r="C7553" s="216" t="n">
        <v>112.47</v>
      </c>
      <c r="D7553" s="216" t="n">
        <v>1.171391010284424</v>
      </c>
      <c r="E7553" s="215" t="n">
        <v>44736</v>
      </c>
      <c r="F7553" s="215" t="n">
        <v>44736</v>
      </c>
    </row>
    <row r="7554">
      <c r="A7554" s="215" t="n">
        <v>44739</v>
      </c>
      <c r="B7554" s="216" t="n">
        <v>69.25</v>
      </c>
      <c r="C7554" s="216" t="n">
        <v>115.53</v>
      </c>
      <c r="D7554" s="216" t="n">
        <v>1.174373030662537</v>
      </c>
      <c r="E7554" s="215" t="n">
        <v>44739</v>
      </c>
      <c r="F7554" s="215" t="n">
        <v>44739</v>
      </c>
    </row>
    <row r="7555">
      <c r="A7555" s="215" t="n">
        <v>44740</v>
      </c>
      <c r="B7555" s="216" t="n">
        <v>68.2</v>
      </c>
      <c r="C7555" s="216" t="n">
        <v>111.55</v>
      </c>
      <c r="D7555" s="216" t="n">
        <v>1.172474026679993</v>
      </c>
      <c r="E7555" s="215" t="n">
        <v>44740</v>
      </c>
      <c r="F7555" s="215" t="n">
        <v>44740</v>
      </c>
    </row>
    <row r="7556">
      <c r="A7556" s="215" t="n">
        <v>44741</v>
      </c>
      <c r="B7556" s="216" t="n">
        <v>67.15000000000001</v>
      </c>
      <c r="C7556" s="216" t="n">
        <v>111.92</v>
      </c>
      <c r="D7556" s="216" t="n">
        <v>1.169481039047241</v>
      </c>
      <c r="E7556" s="215" t="n">
        <v>44741</v>
      </c>
      <c r="F7556" s="215" t="n">
        <v>44741</v>
      </c>
    </row>
    <row r="7557">
      <c r="A7557" s="215" t="n">
        <v>44742</v>
      </c>
      <c r="B7557" s="216" t="n">
        <v>66.09999999999999</v>
      </c>
      <c r="C7557" s="216" t="n">
        <v>113.8</v>
      </c>
      <c r="D7557" s="216" t="n">
        <v>1.171028017997742</v>
      </c>
      <c r="E7557" s="215" t="n">
        <v>44742</v>
      </c>
      <c r="F7557" s="215" t="n">
        <v>44742</v>
      </c>
    </row>
    <row r="7558">
      <c r="A7558" s="215" t="n">
        <v>44746</v>
      </c>
      <c r="B7558" s="216" t="n">
        <v>71.40000000000001</v>
      </c>
      <c r="C7558" s="216" t="n">
        <v>126.61</v>
      </c>
      <c r="D7558" s="216" t="n">
        <v>1.17113995552063</v>
      </c>
      <c r="E7558" s="215" t="n">
        <v>44746</v>
      </c>
      <c r="F7558" s="215" t="n">
        <v>44746</v>
      </c>
    </row>
    <row r="7559">
      <c r="A7559" s="215" t="n">
        <v>44747</v>
      </c>
      <c r="B7559" s="216" t="n">
        <v>74.25</v>
      </c>
      <c r="C7559" s="216" t="n">
        <v>131.78</v>
      </c>
      <c r="D7559" s="216" t="n">
        <v>1.171020984649658</v>
      </c>
      <c r="E7559" s="215" t="n">
        <v>44747</v>
      </c>
      <c r="F7559" s="215" t="n">
        <v>44747</v>
      </c>
    </row>
    <row r="7560">
      <c r="A7560" s="215" t="n">
        <v>44748</v>
      </c>
      <c r="B7560" s="216" t="n">
        <v>73.95</v>
      </c>
      <c r="C7560" s="216" t="n">
        <v>134.54</v>
      </c>
      <c r="D7560" s="216" t="n">
        <v>1.167670011520386</v>
      </c>
      <c r="E7560" s="215" t="n">
        <v>44748</v>
      </c>
      <c r="F7560" s="215" t="n">
        <v>44748</v>
      </c>
    </row>
    <row r="7561">
      <c r="A7561" s="215" t="n">
        <v>44749</v>
      </c>
      <c r="B7561" s="216" t="n">
        <v>73</v>
      </c>
      <c r="C7561" s="216" t="n">
        <v>132.21</v>
      </c>
      <c r="D7561" s="216" t="n">
        <v>1.169499039649963</v>
      </c>
      <c r="E7561" s="215" t="n">
        <v>44749</v>
      </c>
      <c r="F7561" s="215" t="n">
        <v>44749</v>
      </c>
    </row>
    <row r="7562">
      <c r="A7562" s="215" t="n">
        <v>44750</v>
      </c>
      <c r="B7562" s="216" t="n">
        <v>75</v>
      </c>
      <c r="C7562" s="216" t="n">
        <v>131.85</v>
      </c>
      <c r="D7562" s="216" t="n">
        <v>1.170979976654053</v>
      </c>
      <c r="E7562" s="215" t="n">
        <v>44750</v>
      </c>
      <c r="F7562" s="215" t="n">
        <v>44750</v>
      </c>
    </row>
    <row r="7563">
      <c r="A7563" s="215" t="n">
        <v>44753</v>
      </c>
      <c r="B7563" s="216" t="n">
        <v>73.25</v>
      </c>
      <c r="C7563" s="216" t="n">
        <v>127.81</v>
      </c>
      <c r="D7563" s="216" t="n">
        <v>1.172826051712036</v>
      </c>
      <c r="E7563" s="215" t="n">
        <v>44753</v>
      </c>
      <c r="F7563" s="215" t="n">
        <v>44753</v>
      </c>
    </row>
    <row r="7564">
      <c r="A7564" s="215" t="n">
        <v>44754</v>
      </c>
      <c r="B7564" s="216" t="n">
        <v>71.55</v>
      </c>
      <c r="C7564" s="216" t="n">
        <v>122.42</v>
      </c>
      <c r="D7564" s="216" t="n">
        <v>1.168439984321594</v>
      </c>
      <c r="E7564" s="215" t="n">
        <v>44754</v>
      </c>
      <c r="F7564" s="215" t="n">
        <v>44754</v>
      </c>
    </row>
    <row r="7565">
      <c r="A7565" s="215" t="n">
        <v>44755</v>
      </c>
      <c r="B7565" s="216" t="n">
        <v>72.65000000000001</v>
      </c>
      <c r="C7565" s="216" t="n">
        <v>122.89</v>
      </c>
      <c r="D7565" s="216" t="n">
        <v>1.166862964630127</v>
      </c>
      <c r="E7565" s="215" t="n">
        <v>44755</v>
      </c>
      <c r="F7565" s="215" t="n">
        <v>44755</v>
      </c>
    </row>
    <row r="7566">
      <c r="A7566" s="215" t="n">
        <v>44756</v>
      </c>
      <c r="B7566" s="216" t="n">
        <v>79.09999999999999</v>
      </c>
      <c r="C7566" s="216" t="n">
        <v>129.89</v>
      </c>
      <c r="D7566" s="216" t="n">
        <v>1.167678952217102</v>
      </c>
      <c r="E7566" s="215" t="n">
        <v>44756</v>
      </c>
      <c r="F7566" s="215" t="n">
        <v>44756</v>
      </c>
    </row>
    <row r="7567">
      <c r="A7567" s="215" t="n">
        <v>44757</v>
      </c>
      <c r="B7567" s="216" t="n">
        <v>79.45</v>
      </c>
      <c r="C7567" s="216" t="n">
        <v>126.67</v>
      </c>
      <c r="D7567" s="216" t="n">
        <v>1.161978960037231</v>
      </c>
      <c r="E7567" s="215" t="n">
        <v>44757</v>
      </c>
      <c r="F7567" s="215" t="n">
        <v>44757</v>
      </c>
    </row>
    <row r="7568">
      <c r="A7568" s="215" t="n">
        <v>44760</v>
      </c>
      <c r="B7568" s="216" t="n">
        <v>81.05</v>
      </c>
      <c r="C7568" s="216" t="n">
        <v>123.8</v>
      </c>
      <c r="D7568" s="216" t="n">
        <v>1.162382960319519</v>
      </c>
      <c r="E7568" s="215" t="n">
        <v>44760</v>
      </c>
      <c r="F7568" s="215" t="n">
        <v>44760</v>
      </c>
    </row>
    <row r="7569">
      <c r="A7569" s="215" t="n">
        <v>44761</v>
      </c>
      <c r="B7569" s="216" t="n">
        <v>77.45</v>
      </c>
      <c r="C7569" s="216" t="n">
        <v>122.81</v>
      </c>
      <c r="D7569" s="216" t="n">
        <v>1.163684964179993</v>
      </c>
      <c r="E7569" s="215" t="n">
        <v>44761</v>
      </c>
      <c r="F7569" s="215" t="n">
        <v>44761</v>
      </c>
    </row>
    <row r="7570">
      <c r="A7570" s="215" t="n">
        <v>44762</v>
      </c>
      <c r="B7570" s="216" t="n">
        <v>77.5</v>
      </c>
      <c r="C7570" s="216" t="n">
        <v>124</v>
      </c>
      <c r="D7570" s="216" t="n">
        <v>1.163969993591309</v>
      </c>
      <c r="E7570" s="215" t="n">
        <v>44762</v>
      </c>
      <c r="F7570" s="215" t="n">
        <v>44762</v>
      </c>
    </row>
    <row r="7571">
      <c r="A7571" s="215" t="n">
        <v>44763</v>
      </c>
      <c r="B7571" s="216" t="n">
        <v>77.7</v>
      </c>
      <c r="C7571" s="216" t="n">
        <v>122</v>
      </c>
      <c r="D7571" s="216" t="n">
        <v>1.161798000335693</v>
      </c>
      <c r="E7571" s="215" t="n">
        <v>44763</v>
      </c>
      <c r="F7571" s="215" t="n">
        <v>44763</v>
      </c>
    </row>
    <row r="7572">
      <c r="A7572" s="215" t="n">
        <v>44764</v>
      </c>
      <c r="B7572" s="216" t="n">
        <v>75.40000000000001</v>
      </c>
      <c r="C7572" s="216" t="n">
        <v>119.6</v>
      </c>
      <c r="D7572" s="216" t="n">
        <v>1.159577965736389</v>
      </c>
      <c r="E7572" s="215" t="n">
        <v>44764</v>
      </c>
      <c r="F7572" s="215" t="n">
        <v>44764</v>
      </c>
    </row>
    <row r="7573">
      <c r="A7573" s="215" t="n">
        <v>44767</v>
      </c>
      <c r="B7573" s="216" t="n">
        <v>77.09999999999999</v>
      </c>
      <c r="C7573" s="216" t="n">
        <v>119.59</v>
      </c>
      <c r="D7573" s="216" t="n">
        <v>1.161067962646484</v>
      </c>
      <c r="E7573" s="215" t="n">
        <v>44767</v>
      </c>
      <c r="F7573" s="215" t="n">
        <v>44767</v>
      </c>
    </row>
    <row r="7574">
      <c r="A7574" s="215" t="n">
        <v>44768</v>
      </c>
      <c r="B7574" s="216" t="n">
        <v>77</v>
      </c>
      <c r="C7574" s="216" t="n">
        <v>119.59</v>
      </c>
      <c r="D7574" s="216" t="n">
        <v>1.162636041641235</v>
      </c>
      <c r="E7574" s="215" t="n">
        <v>44768</v>
      </c>
      <c r="F7574" s="215" t="n">
        <v>44768</v>
      </c>
    </row>
    <row r="7575">
      <c r="A7575" s="215" t="n">
        <v>44769</v>
      </c>
      <c r="B7575" s="216" t="n">
        <v>75</v>
      </c>
      <c r="C7575" s="216" t="n">
        <v>116.2</v>
      </c>
      <c r="D7575" s="216" t="n">
        <v>1.160446047782898</v>
      </c>
      <c r="E7575" s="215" t="n">
        <v>44769</v>
      </c>
      <c r="F7575" s="215" t="n">
        <v>44769</v>
      </c>
    </row>
    <row r="7576">
      <c r="A7576" s="215" t="n">
        <v>44770</v>
      </c>
      <c r="B7576" s="216" t="n">
        <v>53</v>
      </c>
      <c r="C7576" s="216" t="n">
        <v>115.09</v>
      </c>
      <c r="D7576" s="216" t="n">
        <v>1.161301970481873</v>
      </c>
      <c r="E7576" s="215" t="n">
        <v>44770</v>
      </c>
      <c r="F7576" s="215" t="n">
        <v>44770</v>
      </c>
    </row>
    <row r="7577">
      <c r="A7577" s="215" t="n">
        <v>44771</v>
      </c>
      <c r="B7577" s="216" t="n">
        <v>50.6</v>
      </c>
      <c r="C7577" s="216" t="n">
        <v>110.74</v>
      </c>
      <c r="D7577" s="216" t="n">
        <v>1.163324952125549</v>
      </c>
      <c r="E7577" s="215" t="n">
        <v>44771</v>
      </c>
      <c r="F7577" s="215" t="n">
        <v>44771</v>
      </c>
    </row>
    <row r="7578">
      <c r="A7578" s="215" t="n">
        <v>44774</v>
      </c>
      <c r="B7578" s="216" t="n">
        <v>51.3</v>
      </c>
      <c r="C7578" s="216" t="n">
        <v>111.75</v>
      </c>
      <c r="D7578" s="216" t="n">
        <v>1.162269949913025</v>
      </c>
      <c r="E7578" s="215" t="n">
        <v>44774</v>
      </c>
      <c r="F7578" s="215" t="n">
        <v>44774</v>
      </c>
    </row>
    <row r="7579">
      <c r="A7579" s="215" t="n">
        <v>44775</v>
      </c>
      <c r="B7579" s="216" t="n">
        <v>48.3</v>
      </c>
      <c r="C7579" s="216" t="n">
        <v>115.12</v>
      </c>
      <c r="D7579" s="216" t="n">
        <v>1.159325957298279</v>
      </c>
      <c r="E7579" s="215" t="n">
        <v>44775</v>
      </c>
      <c r="F7579" s="215" t="n">
        <v>44775</v>
      </c>
    </row>
    <row r="7580">
      <c r="A7580" s="215" t="n">
        <v>44776</v>
      </c>
      <c r="B7580" s="216" t="n">
        <v>48.8</v>
      </c>
      <c r="C7580" s="216" t="n">
        <v>111.5</v>
      </c>
      <c r="D7580" s="216" t="n">
        <v>1.162142992019653</v>
      </c>
      <c r="E7580" s="215" t="n">
        <v>44776</v>
      </c>
      <c r="F7580" s="215" t="n">
        <v>44776</v>
      </c>
    </row>
    <row r="7581">
      <c r="A7581" s="215" t="n">
        <v>44777</v>
      </c>
      <c r="B7581" s="216" t="n">
        <v>51.3</v>
      </c>
      <c r="C7581" s="216" t="n">
        <v>118.11</v>
      </c>
      <c r="D7581" s="216" t="n">
        <v>1.161054015159607</v>
      </c>
      <c r="E7581" s="215" t="n">
        <v>44777</v>
      </c>
      <c r="F7581" s="215" t="n">
        <v>44777</v>
      </c>
    </row>
    <row r="7582">
      <c r="A7582" s="215" t="n">
        <v>44778</v>
      </c>
      <c r="B7582" s="216" t="n">
        <v>51.1</v>
      </c>
      <c r="C7582" s="216" t="n">
        <v>119.72</v>
      </c>
      <c r="D7582" s="216" t="n">
        <v>1.163038015365601</v>
      </c>
      <c r="E7582" s="215" t="n">
        <v>44778</v>
      </c>
      <c r="F7582" s="215" t="n">
        <v>44778</v>
      </c>
    </row>
    <row r="7583">
      <c r="A7583" s="215" t="n">
        <v>44781</v>
      </c>
      <c r="B7583" s="216" t="n">
        <v>50.15</v>
      </c>
      <c r="C7583" s="216" t="n">
        <v>82.09999999999999</v>
      </c>
      <c r="D7583" s="216" t="n">
        <v>1.157068967819214</v>
      </c>
      <c r="E7583" s="215" t="n">
        <v>44781</v>
      </c>
      <c r="F7583" s="215" t="n">
        <v>44781</v>
      </c>
    </row>
    <row r="7584">
      <c r="A7584" s="215" t="n">
        <v>44782</v>
      </c>
      <c r="B7584" s="216" t="n">
        <v>48.25</v>
      </c>
      <c r="C7584" s="216" t="n">
        <v>78.29000000000001</v>
      </c>
      <c r="D7584" s="216" t="n">
        <v>1.162580013275146</v>
      </c>
      <c r="E7584" s="215" t="n">
        <v>44782</v>
      </c>
      <c r="F7584" s="215" t="n">
        <v>44782</v>
      </c>
    </row>
    <row r="7585">
      <c r="A7585" s="215" t="n">
        <v>44783</v>
      </c>
      <c r="B7585" s="216" t="n">
        <v>45.35</v>
      </c>
      <c r="C7585" s="216" t="n">
        <v>75.90000000000001</v>
      </c>
      <c r="D7585" s="216" t="n">
        <v>1.162145972251892</v>
      </c>
      <c r="E7585" s="215" t="n">
        <v>44783</v>
      </c>
      <c r="F7585" s="215" t="n">
        <v>44783</v>
      </c>
    </row>
    <row r="7586">
      <c r="A7586" s="215" t="n">
        <v>44784</v>
      </c>
      <c r="B7586" s="216" t="n">
        <v>47.2</v>
      </c>
      <c r="C7586" s="216" t="n">
        <v>81.34</v>
      </c>
      <c r="D7586" s="216" t="n">
        <v>1.1664719581604</v>
      </c>
      <c r="E7586" s="215" t="n">
        <v>44784</v>
      </c>
      <c r="F7586" s="215" t="n">
        <v>44784</v>
      </c>
    </row>
    <row r="7587">
      <c r="A7587" s="215" t="n">
        <v>44785</v>
      </c>
      <c r="B7587" s="216" t="n">
        <v>47.05</v>
      </c>
      <c r="C7587" s="216" t="n">
        <v>80.25</v>
      </c>
      <c r="D7587" s="216" t="n">
        <v>1.163048028945923</v>
      </c>
      <c r="E7587" s="215" t="n">
        <v>44785</v>
      </c>
      <c r="F7587" s="215" t="n">
        <v>44785</v>
      </c>
    </row>
    <row r="7588">
      <c r="A7588" s="215" t="n">
        <v>44788</v>
      </c>
      <c r="B7588" s="216" t="n">
        <v>47.25</v>
      </c>
      <c r="C7588" s="216" t="n">
        <v>79.70999999999999</v>
      </c>
      <c r="D7588" s="216" t="n">
        <v>1.161870002746582</v>
      </c>
      <c r="E7588" s="215" t="n">
        <v>44788</v>
      </c>
      <c r="F7588" s="215" t="n">
        <v>44788</v>
      </c>
    </row>
    <row r="7589">
      <c r="A7589" s="215" t="n">
        <v>44789</v>
      </c>
      <c r="B7589" s="216" t="n">
        <v>48.4</v>
      </c>
      <c r="C7589" s="216" t="n">
        <v>81.7</v>
      </c>
      <c r="D7589" s="216" t="n">
        <v>1.157011985778809</v>
      </c>
      <c r="E7589" s="215" t="n">
        <v>44789</v>
      </c>
      <c r="F7589" s="215" t="n">
        <v>44789</v>
      </c>
    </row>
    <row r="7590">
      <c r="A7590" s="215" t="n">
        <v>44790</v>
      </c>
      <c r="B7590" s="216" t="n">
        <v>49.3</v>
      </c>
      <c r="C7590" s="216" t="n">
        <v>82.47</v>
      </c>
      <c r="D7590" s="216" t="n">
        <v>1.154489040374756</v>
      </c>
      <c r="E7590" s="215" t="n">
        <v>44790</v>
      </c>
      <c r="F7590" s="215" t="n">
        <v>44790</v>
      </c>
    </row>
    <row r="7591">
      <c r="A7591" s="215" t="n">
        <v>44791</v>
      </c>
      <c r="B7591" s="216" t="n">
        <v>47.85</v>
      </c>
      <c r="C7591" s="216" t="n">
        <v>80.98</v>
      </c>
      <c r="D7591" s="216" t="n">
        <v>1.156353950500488</v>
      </c>
      <c r="E7591" s="215" t="n">
        <v>44791</v>
      </c>
      <c r="F7591" s="215" t="n">
        <v>44791</v>
      </c>
    </row>
    <row r="7592">
      <c r="A7592" s="215" t="n">
        <v>44792</v>
      </c>
      <c r="B7592" s="216" t="n">
        <v>46.7</v>
      </c>
      <c r="C7592" s="216" t="n">
        <v>80.09</v>
      </c>
      <c r="D7592" s="216" t="n">
        <v>1.156412959098816</v>
      </c>
      <c r="E7592" s="215" t="n">
        <v>44792</v>
      </c>
      <c r="F7592" s="215" t="n">
        <v>44792</v>
      </c>
    </row>
    <row r="7593">
      <c r="A7593" s="215" t="n">
        <v>44795</v>
      </c>
      <c r="B7593" s="216" t="n">
        <v>48.3</v>
      </c>
      <c r="C7593" s="216" t="n">
        <v>80.42</v>
      </c>
      <c r="D7593" s="216" t="n">
        <v>1.150079965591431</v>
      </c>
      <c r="E7593" s="215" t="n">
        <v>44795</v>
      </c>
      <c r="F7593" s="215" t="n">
        <v>44795</v>
      </c>
    </row>
    <row r="7594">
      <c r="A7594" s="215" t="n">
        <v>44796</v>
      </c>
      <c r="B7594" s="216" t="n">
        <v>45.7</v>
      </c>
      <c r="C7594" s="216" t="n">
        <v>79.34</v>
      </c>
      <c r="D7594" s="216" t="n">
        <v>1.145777940750122</v>
      </c>
      <c r="E7594" s="215" t="n">
        <v>44796</v>
      </c>
      <c r="F7594" s="215" t="n">
        <v>44796</v>
      </c>
    </row>
    <row r="7595">
      <c r="A7595" s="215" t="n">
        <v>44797</v>
      </c>
      <c r="B7595" s="216" t="n">
        <v>44.2</v>
      </c>
      <c r="C7595" s="216" t="n">
        <v>78.89</v>
      </c>
      <c r="D7595" s="216" t="n">
        <v>1.148229956626892</v>
      </c>
      <c r="E7595" s="215" t="n">
        <v>44797</v>
      </c>
      <c r="F7595" s="215" t="n">
        <v>44797</v>
      </c>
    </row>
    <row r="7596">
      <c r="A7596" s="215" t="n">
        <v>44798</v>
      </c>
      <c r="B7596" s="216" t="n">
        <v>43.8</v>
      </c>
      <c r="C7596" s="216" t="n">
        <v>80</v>
      </c>
      <c r="D7596" s="216" t="n">
        <v>1.143164038658142</v>
      </c>
      <c r="E7596" s="215" t="n">
        <v>44798</v>
      </c>
      <c r="F7596" s="215" t="n">
        <v>44798</v>
      </c>
    </row>
    <row r="7597">
      <c r="A7597" s="215" t="n">
        <v>44799</v>
      </c>
      <c r="B7597" s="216" t="n">
        <v>45.55</v>
      </c>
      <c r="C7597" s="216" t="n">
        <v>80</v>
      </c>
      <c r="D7597" s="216" t="n">
        <v>1.145529985427856</v>
      </c>
      <c r="E7597" s="215" t="n">
        <v>44799</v>
      </c>
      <c r="F7597" s="215" t="n">
        <v>44799</v>
      </c>
    </row>
    <row r="7598">
      <c r="A7598" s="215" t="n">
        <v>44802</v>
      </c>
      <c r="B7598" s="216" t="n">
        <v>43.8</v>
      </c>
      <c r="C7598" s="216" t="n">
        <v>78.75</v>
      </c>
      <c r="D7598" s="216" t="n">
        <v>1.136988997459412</v>
      </c>
      <c r="E7598" s="215" t="n">
        <v>44802</v>
      </c>
      <c r="F7598" s="215" t="n">
        <v>44802</v>
      </c>
    </row>
    <row r="7599">
      <c r="A7599" s="215" t="n">
        <v>44803</v>
      </c>
      <c r="B7599" s="216" t="n">
        <v>42.65</v>
      </c>
      <c r="C7599" s="216" t="n">
        <v>77.90000000000001</v>
      </c>
      <c r="D7599" s="216" t="n">
        <v>1.135977983474731</v>
      </c>
      <c r="E7599" s="215" t="n">
        <v>44803</v>
      </c>
      <c r="F7599" s="215" t="n">
        <v>44803</v>
      </c>
    </row>
    <row r="7600">
      <c r="A7600" s="215" t="n">
        <v>44804</v>
      </c>
      <c r="B7600" s="216" t="n">
        <v>42</v>
      </c>
      <c r="C7600" s="216" t="n">
        <v>77.93000000000001</v>
      </c>
      <c r="D7600" s="216" t="n">
        <v>1.135614037513733</v>
      </c>
      <c r="E7600" s="215" t="n">
        <v>44804</v>
      </c>
      <c r="F7600" s="215" t="n">
        <v>44804</v>
      </c>
    </row>
    <row r="7601">
      <c r="A7601" s="215" t="n">
        <v>44805</v>
      </c>
      <c r="B7601" s="216" t="n">
        <v>41.3</v>
      </c>
      <c r="C7601" s="216" t="n">
        <v>73.34999999999999</v>
      </c>
      <c r="D7601" s="216" t="n">
        <v>1.138682007789612</v>
      </c>
      <c r="E7601" s="215" t="n">
        <v>44805</v>
      </c>
      <c r="F7601" s="215" t="n">
        <v>44805</v>
      </c>
    </row>
    <row r="7602">
      <c r="A7602" s="215" t="n">
        <v>44806</v>
      </c>
      <c r="B7602" s="216" t="n">
        <v>39.8</v>
      </c>
      <c r="C7602" s="216" t="n">
        <v>69.68000000000001</v>
      </c>
      <c r="D7602" s="216" t="n">
        <v>1.136086940765381</v>
      </c>
      <c r="E7602" s="215" t="n">
        <v>44806</v>
      </c>
      <c r="F7602" s="215" t="n">
        <v>44806</v>
      </c>
    </row>
    <row r="7603">
      <c r="A7603" s="215" t="n">
        <v>44809</v>
      </c>
      <c r="B7603" s="216" t="n">
        <v>39.55</v>
      </c>
      <c r="C7603" s="216" t="n">
        <v>68.7</v>
      </c>
      <c r="D7603" s="216" t="n">
        <v>1.132429003715515</v>
      </c>
      <c r="E7603" s="215" t="n">
        <v>44809</v>
      </c>
      <c r="F7603" s="215" t="n">
        <v>44809</v>
      </c>
    </row>
    <row r="7604">
      <c r="A7604" s="215" t="n">
        <v>44810</v>
      </c>
      <c r="B7604" s="216" t="n">
        <v>39.5</v>
      </c>
      <c r="C7604" s="216" t="n">
        <v>68.67</v>
      </c>
      <c r="D7604" s="216" t="n">
        <v>1.13170599937439</v>
      </c>
      <c r="E7604" s="215" t="n">
        <v>44810</v>
      </c>
      <c r="F7604" s="215" t="n">
        <v>44810</v>
      </c>
    </row>
    <row r="7605">
      <c r="A7605" s="215" t="n">
        <v>44811</v>
      </c>
      <c r="B7605" s="216" t="n">
        <v>38.4</v>
      </c>
      <c r="C7605" s="216" t="n">
        <v>67</v>
      </c>
      <c r="D7605" s="216" t="n">
        <v>1.128731966018677</v>
      </c>
      <c r="E7605" s="215" t="n">
        <v>44811</v>
      </c>
      <c r="F7605" s="215" t="n">
        <v>44811</v>
      </c>
    </row>
    <row r="7606">
      <c r="A7606" s="215" t="n">
        <v>44812</v>
      </c>
      <c r="B7606" s="216" t="n">
        <v>38.7</v>
      </c>
      <c r="C7606" s="216" t="n">
        <v>65.45999999999999</v>
      </c>
      <c r="D7606" s="216" t="n">
        <v>1.126878976821899</v>
      </c>
      <c r="E7606" s="215" t="n">
        <v>44812</v>
      </c>
      <c r="F7606" s="215" t="n">
        <v>44812</v>
      </c>
    </row>
    <row r="7607">
      <c r="A7607" s="215" t="n">
        <v>44813</v>
      </c>
      <c r="B7607" s="216" t="n">
        <v>39.55</v>
      </c>
      <c r="C7607" s="216" t="n">
        <v>67.31</v>
      </c>
      <c r="D7607" s="216" t="n">
        <v>1.128111958503723</v>
      </c>
      <c r="E7607" s="215" t="n">
        <v>44813</v>
      </c>
      <c r="F7607" s="215" t="n">
        <v>44813</v>
      </c>
    </row>
    <row r="7608">
      <c r="A7608" s="215" t="n">
        <v>44817</v>
      </c>
      <c r="B7608" s="216" t="n">
        <v>38.5</v>
      </c>
      <c r="C7608" s="216" t="n">
        <v>65</v>
      </c>
      <c r="D7608" s="216" t="n">
        <v>1.133118033409119</v>
      </c>
      <c r="E7608" s="215" t="n">
        <v>44817</v>
      </c>
      <c r="F7608" s="215" t="n">
        <v>44817</v>
      </c>
    </row>
    <row r="7609">
      <c r="A7609" s="215" t="n">
        <v>44818</v>
      </c>
      <c r="B7609" s="216" t="n">
        <v>38.2</v>
      </c>
      <c r="C7609" s="216" t="n">
        <v>65.55</v>
      </c>
      <c r="D7609" s="216" t="n">
        <v>1.133923053741455</v>
      </c>
      <c r="E7609" s="215" t="n">
        <v>44818</v>
      </c>
      <c r="F7609" s="215" t="n">
        <v>44818</v>
      </c>
    </row>
    <row r="7610">
      <c r="A7610" s="215" t="n">
        <v>44819</v>
      </c>
      <c r="B7610" s="216" t="n">
        <v>38.15</v>
      </c>
      <c r="C7610" s="216" t="n">
        <v>64.25</v>
      </c>
      <c r="D7610" s="216" t="n">
        <v>1.127349972724915</v>
      </c>
      <c r="E7610" s="215" t="n">
        <v>44819</v>
      </c>
      <c r="F7610" s="215" t="n">
        <v>44819</v>
      </c>
    </row>
    <row r="7611">
      <c r="A7611" s="215" t="n">
        <v>44820</v>
      </c>
      <c r="B7611" s="216" t="n">
        <v>36.5</v>
      </c>
      <c r="C7611" s="216" t="n">
        <v>62.28</v>
      </c>
      <c r="D7611" s="216" t="n">
        <v>1.122084975242615</v>
      </c>
      <c r="E7611" s="215" t="n">
        <v>44820</v>
      </c>
      <c r="F7611" s="215" t="n">
        <v>44820</v>
      </c>
    </row>
    <row r="7612">
      <c r="A7612" s="215" t="n">
        <v>44823</v>
      </c>
      <c r="B7612" s="216" t="n">
        <v>35.6</v>
      </c>
      <c r="C7612" s="216" t="n">
        <v>62.97</v>
      </c>
      <c r="D7612" s="216" t="n">
        <v>1.128190040588379</v>
      </c>
      <c r="E7612" s="215" t="n">
        <v>44823</v>
      </c>
      <c r="F7612" s="215" t="n">
        <v>44823</v>
      </c>
    </row>
    <row r="7613">
      <c r="A7613" s="215" t="n">
        <v>44824</v>
      </c>
      <c r="B7613" s="216" t="n">
        <v>35.75</v>
      </c>
      <c r="C7613" s="216" t="n">
        <v>62.08</v>
      </c>
      <c r="D7613" s="216" t="n">
        <v>1.120393991470337</v>
      </c>
      <c r="E7613" s="215" t="n">
        <v>44824</v>
      </c>
      <c r="F7613" s="215" t="n">
        <v>44824</v>
      </c>
    </row>
    <row r="7614">
      <c r="A7614" s="215" t="n">
        <v>44825</v>
      </c>
      <c r="B7614" s="216" t="n">
        <v>33.8</v>
      </c>
      <c r="C7614" s="216" t="n">
        <v>60.21</v>
      </c>
      <c r="D7614" s="216" t="n">
        <v>1.11835503578186</v>
      </c>
      <c r="E7614" s="215" t="n">
        <v>44825</v>
      </c>
      <c r="F7614" s="215" t="n">
        <v>44825</v>
      </c>
    </row>
    <row r="7615">
      <c r="A7615" s="215" t="n">
        <v>44826</v>
      </c>
      <c r="B7615" s="216" t="n">
        <v>31.85</v>
      </c>
      <c r="C7615" s="216" t="n">
        <v>59.25</v>
      </c>
      <c r="D7615" s="216" t="n">
        <v>1.113355040550232</v>
      </c>
      <c r="E7615" s="215" t="n">
        <v>44826</v>
      </c>
      <c r="F7615" s="215" t="n">
        <v>44826</v>
      </c>
    </row>
    <row r="7616">
      <c r="A7616" s="215" t="n">
        <v>44827</v>
      </c>
      <c r="B7616" s="216" t="n">
        <v>30.15</v>
      </c>
      <c r="C7616" s="216" t="n">
        <v>58.73</v>
      </c>
      <c r="D7616" s="216" t="n">
        <v>1.10860002040863</v>
      </c>
      <c r="E7616" s="215" t="n">
        <v>44827</v>
      </c>
      <c r="F7616" s="215" t="n">
        <v>44827</v>
      </c>
    </row>
    <row r="7617">
      <c r="A7617" s="215" t="n">
        <v>44830</v>
      </c>
      <c r="B7617" s="216" t="n">
        <v>31.3</v>
      </c>
      <c r="C7617" s="216" t="n">
        <v>59</v>
      </c>
      <c r="D7617" s="216" t="n">
        <v>1.115165948867798</v>
      </c>
      <c r="E7617" s="215" t="n">
        <v>44830</v>
      </c>
      <c r="F7617" s="215" t="n">
        <v>44830</v>
      </c>
    </row>
    <row r="7618">
      <c r="A7618" s="215" t="n">
        <v>44831</v>
      </c>
      <c r="B7618" s="216" t="n">
        <v>32.1</v>
      </c>
      <c r="C7618" s="216" t="n">
        <v>59.64</v>
      </c>
      <c r="D7618" s="216" t="n">
        <v>1.114001989364624</v>
      </c>
      <c r="E7618" s="215" t="n">
        <v>44831</v>
      </c>
      <c r="F7618" s="215" t="n">
        <v>44831</v>
      </c>
    </row>
    <row r="7619">
      <c r="A7619" s="215" t="n">
        <v>44832</v>
      </c>
      <c r="B7619" s="216" t="n">
        <v>30.6</v>
      </c>
      <c r="C7619" s="216" t="n">
        <v>57.54</v>
      </c>
      <c r="D7619" s="216" t="n">
        <v>1.094223022460938</v>
      </c>
      <c r="E7619" s="215" t="n">
        <v>44832</v>
      </c>
      <c r="F7619" s="215" t="n">
        <v>44832</v>
      </c>
    </row>
    <row r="7620">
      <c r="A7620" s="215" t="n">
        <v>44833</v>
      </c>
      <c r="B7620" s="216" t="n">
        <v>30.5</v>
      </c>
      <c r="C7620" s="216" t="n">
        <v>58.03</v>
      </c>
      <c r="D7620" s="216" t="n">
        <v>1.089447975158691</v>
      </c>
      <c r="E7620" s="215" t="n">
        <v>44833</v>
      </c>
      <c r="F7620" s="215" t="n">
        <v>44833</v>
      </c>
    </row>
    <row r="7621">
      <c r="A7621" s="215" t="n">
        <v>44834</v>
      </c>
      <c r="B7621" s="216" t="n">
        <v>29.95</v>
      </c>
      <c r="C7621" s="216" t="n">
        <v>56.51</v>
      </c>
      <c r="D7621" s="216" t="n">
        <v>1.10089898109436</v>
      </c>
      <c r="E7621" s="215" t="n">
        <v>44834</v>
      </c>
      <c r="F7621" s="215" t="n">
        <v>44834</v>
      </c>
    </row>
    <row r="7622">
      <c r="A7622" s="215" t="n">
        <v>44837</v>
      </c>
      <c r="B7622" s="216" t="n">
        <v>29.85</v>
      </c>
      <c r="C7622" s="216" t="n">
        <v>56.51</v>
      </c>
      <c r="D7622" s="216" t="n">
        <v>1.102097988128662</v>
      </c>
      <c r="E7622" s="215" t="n">
        <v>44834</v>
      </c>
      <c r="F7622" s="215" t="n">
        <v>44837</v>
      </c>
    </row>
    <row r="7623">
      <c r="A7623" s="215" t="n">
        <v>44839</v>
      </c>
      <c r="B7623" s="216" t="n">
        <v>31.25</v>
      </c>
      <c r="C7623" s="216" t="n">
        <v>56.51</v>
      </c>
      <c r="D7623" s="216" t="n">
        <v>1.103346943855286</v>
      </c>
      <c r="E7623" s="215" t="n">
        <v>44834</v>
      </c>
      <c r="F7623" s="215" t="n">
        <v>44839</v>
      </c>
    </row>
    <row r="7624">
      <c r="A7624" s="215" t="n">
        <v>44840</v>
      </c>
      <c r="B7624" s="216" t="n">
        <v>30.5</v>
      </c>
      <c r="C7624" s="216" t="n">
        <v>56.51</v>
      </c>
      <c r="D7624" s="216" t="n">
        <v>1.103878021240234</v>
      </c>
      <c r="E7624" s="215" t="n">
        <v>44834</v>
      </c>
      <c r="F7624" s="215" t="n">
        <v>44840</v>
      </c>
    </row>
    <row r="7625">
      <c r="A7625" s="215" t="n">
        <v>44841</v>
      </c>
      <c r="B7625" s="216" t="n">
        <v>29</v>
      </c>
      <c r="C7625" s="216" t="n">
        <v>56.51</v>
      </c>
      <c r="D7625" s="216" t="n">
        <v>1.103150963783264</v>
      </c>
      <c r="E7625" s="215" t="n">
        <v>44834</v>
      </c>
      <c r="F7625" s="215" t="n">
        <v>44841</v>
      </c>
    </row>
    <row r="7626">
      <c r="A7626" s="215" t="n">
        <v>44844</v>
      </c>
      <c r="B7626" s="216" t="n">
        <v>28</v>
      </c>
      <c r="C7626" s="216" t="n">
        <v>54.88</v>
      </c>
      <c r="D7626" s="216" t="n">
        <v>1.098549008369446</v>
      </c>
      <c r="E7626" s="215" t="n">
        <v>44844</v>
      </c>
      <c r="F7626" s="215" t="n">
        <v>44844</v>
      </c>
    </row>
    <row r="7627">
      <c r="A7627" s="215" t="n">
        <v>44845</v>
      </c>
      <c r="B7627" s="216" t="n">
        <v>26.7</v>
      </c>
      <c r="C7627" s="216" t="n">
        <v>54.28</v>
      </c>
      <c r="D7627" s="216" t="n">
        <v>1.097115039825439</v>
      </c>
      <c r="E7627" s="215" t="n">
        <v>44845</v>
      </c>
      <c r="F7627" s="215" t="n">
        <v>44845</v>
      </c>
    </row>
    <row r="7628">
      <c r="A7628" s="215" t="n">
        <v>44846</v>
      </c>
      <c r="B7628" s="216" t="n">
        <v>26.55</v>
      </c>
      <c r="C7628" s="216" t="n">
        <v>54.39</v>
      </c>
      <c r="D7628" s="216" t="n">
        <v>1.094871997833252</v>
      </c>
      <c r="E7628" s="215" t="n">
        <v>44846</v>
      </c>
      <c r="F7628" s="215" t="n">
        <v>44846</v>
      </c>
    </row>
    <row r="7629">
      <c r="A7629" s="215" t="n">
        <v>44847</v>
      </c>
      <c r="B7629" s="216" t="n">
        <v>26</v>
      </c>
      <c r="C7629" s="216" t="n">
        <v>55.75</v>
      </c>
      <c r="D7629" s="216" t="n">
        <v>1.09404194355011</v>
      </c>
      <c r="E7629" s="215" t="n">
        <v>44847</v>
      </c>
      <c r="F7629" s="215" t="n">
        <v>44847</v>
      </c>
    </row>
    <row r="7630">
      <c r="A7630" s="215" t="n">
        <v>44848</v>
      </c>
      <c r="B7630" s="216" t="n">
        <v>27.5</v>
      </c>
      <c r="C7630" s="216" t="n">
        <v>59.82</v>
      </c>
      <c r="D7630" s="216" t="n">
        <v>1.094624042510986</v>
      </c>
      <c r="E7630" s="215" t="n">
        <v>44848</v>
      </c>
      <c r="F7630" s="215" t="n">
        <v>44848</v>
      </c>
    </row>
    <row r="7631">
      <c r="A7631" s="215" t="n">
        <v>44851</v>
      </c>
      <c r="B7631" s="216" t="n">
        <v>27.35</v>
      </c>
      <c r="C7631" s="216" t="n">
        <v>59.88</v>
      </c>
      <c r="D7631" s="216" t="n">
        <v>1.093557000160217</v>
      </c>
      <c r="E7631" s="215" t="n">
        <v>44851</v>
      </c>
      <c r="F7631" s="215" t="n">
        <v>44851</v>
      </c>
    </row>
    <row r="7632">
      <c r="A7632" s="215" t="n">
        <v>44852</v>
      </c>
      <c r="B7632" s="216" t="n">
        <v>29.3</v>
      </c>
      <c r="C7632" s="216" t="n">
        <v>61</v>
      </c>
      <c r="D7632" s="216" t="n">
        <v>1.090047001838684</v>
      </c>
      <c r="E7632" s="215" t="n">
        <v>44852</v>
      </c>
      <c r="F7632" s="215" t="n">
        <v>44852</v>
      </c>
    </row>
    <row r="7633">
      <c r="A7633" s="215" t="n">
        <v>44853</v>
      </c>
      <c r="B7633" s="216" t="n">
        <v>30.05</v>
      </c>
      <c r="C7633" s="216" t="n">
        <v>62.11</v>
      </c>
      <c r="D7633" s="216" t="n">
        <v>1.089534044265747</v>
      </c>
      <c r="E7633" s="215" t="n">
        <v>44853</v>
      </c>
      <c r="F7633" s="215" t="n">
        <v>44853</v>
      </c>
    </row>
    <row r="7634">
      <c r="A7634" s="215" t="n">
        <v>44854</v>
      </c>
      <c r="B7634" s="216" t="n">
        <v>27.2</v>
      </c>
      <c r="C7634" s="216" t="n">
        <v>59.66</v>
      </c>
      <c r="D7634" s="216" t="n">
        <v>1.086274027824402</v>
      </c>
      <c r="E7634" s="215" t="n">
        <v>44854</v>
      </c>
      <c r="F7634" s="215" t="n">
        <v>44854</v>
      </c>
    </row>
    <row r="7635">
      <c r="A7635" s="215" t="n">
        <v>44855</v>
      </c>
      <c r="B7635" s="216" t="n">
        <v>27.25</v>
      </c>
      <c r="C7635" s="216" t="n">
        <v>60.32</v>
      </c>
      <c r="D7635" s="216" t="n">
        <v>1.087515950202942</v>
      </c>
      <c r="E7635" s="215" t="n">
        <v>44855</v>
      </c>
      <c r="F7635" s="215" t="n">
        <v>44855</v>
      </c>
    </row>
    <row r="7636">
      <c r="A7636" s="215" t="n">
        <v>44858</v>
      </c>
      <c r="B7636" s="216" t="n">
        <v>24.8</v>
      </c>
      <c r="C7636" s="216" t="n">
        <v>57.66</v>
      </c>
      <c r="D7636" s="216" t="n">
        <v>1.08328104019165</v>
      </c>
      <c r="E7636" s="215" t="n">
        <v>44858</v>
      </c>
      <c r="F7636" s="215" t="n">
        <v>44858</v>
      </c>
    </row>
    <row r="7637">
      <c r="A7637" s="215" t="n">
        <v>44859</v>
      </c>
      <c r="B7637" s="216" t="n">
        <v>25.25</v>
      </c>
      <c r="C7637" s="216" t="n">
        <v>56.5</v>
      </c>
      <c r="D7637" s="216" t="n">
        <v>1.080643057823181</v>
      </c>
      <c r="E7637" s="215" t="n">
        <v>44859</v>
      </c>
      <c r="F7637" s="215" t="n">
        <v>44859</v>
      </c>
    </row>
    <row r="7638">
      <c r="A7638" s="215" t="n">
        <v>44860</v>
      </c>
      <c r="B7638" s="216" t="n">
        <v>29.85</v>
      </c>
      <c r="C7638" s="216" t="n">
        <v>62.15</v>
      </c>
      <c r="D7638" s="216" t="n">
        <v>1.079828023910522</v>
      </c>
      <c r="E7638" s="215" t="n">
        <v>44860</v>
      </c>
      <c r="F7638" s="215" t="n">
        <v>44860</v>
      </c>
    </row>
    <row r="7639">
      <c r="A7639" s="215" t="n">
        <v>44861</v>
      </c>
      <c r="B7639" s="216" t="n">
        <v>29</v>
      </c>
      <c r="C7639" s="216" t="n">
        <v>63.95</v>
      </c>
      <c r="D7639" s="216" t="n">
        <v>1.094295978546143</v>
      </c>
      <c r="E7639" s="215" t="n">
        <v>44861</v>
      </c>
      <c r="F7639" s="215" t="n">
        <v>44861</v>
      </c>
    </row>
    <row r="7640">
      <c r="A7640" s="215" t="n">
        <v>44862</v>
      </c>
      <c r="B7640" s="216" t="n">
        <v>27.8</v>
      </c>
      <c r="C7640" s="216" t="n">
        <v>61.1</v>
      </c>
      <c r="D7640" s="216" t="n">
        <v>1.085523962974548</v>
      </c>
      <c r="E7640" s="215" t="n">
        <v>44862</v>
      </c>
      <c r="F7640" s="215" t="n">
        <v>44862</v>
      </c>
    </row>
    <row r="7641">
      <c r="A7641" s="215" t="n">
        <v>44865</v>
      </c>
      <c r="B7641" s="216" t="n">
        <v>25.45</v>
      </c>
      <c r="C7641" s="216" t="n">
        <v>57.19</v>
      </c>
      <c r="D7641" s="216" t="n">
        <v>1.081084966659546</v>
      </c>
      <c r="E7641" s="215" t="n">
        <v>44865</v>
      </c>
      <c r="F7641" s="215" t="n">
        <v>44865</v>
      </c>
    </row>
    <row r="7642">
      <c r="A7642" s="215" t="n">
        <v>44866</v>
      </c>
      <c r="B7642" s="216" t="n">
        <v>27.45</v>
      </c>
      <c r="C7642" s="216" t="n">
        <v>62.04</v>
      </c>
      <c r="D7642" s="216" t="n">
        <v>1.074709057807922</v>
      </c>
      <c r="E7642" s="215" t="n">
        <v>44866</v>
      </c>
      <c r="F7642" s="215" t="n">
        <v>44866</v>
      </c>
    </row>
    <row r="7643">
      <c r="A7643" s="215" t="n">
        <v>44867</v>
      </c>
      <c r="B7643" s="216" t="n">
        <v>29.35</v>
      </c>
      <c r="C7643" s="216" t="n">
        <v>61.95</v>
      </c>
      <c r="D7643" s="216" t="n">
        <v>1.078613996505737</v>
      </c>
      <c r="E7643" s="215" t="n">
        <v>44867</v>
      </c>
      <c r="F7643" s="215" t="n">
        <v>44867</v>
      </c>
    </row>
    <row r="7644">
      <c r="A7644" s="215" t="n">
        <v>44868</v>
      </c>
      <c r="B7644" s="216" t="n">
        <v>30.5</v>
      </c>
      <c r="C7644" s="216" t="n">
        <v>63.36</v>
      </c>
      <c r="D7644" s="216" t="n">
        <v>1.076753973960876</v>
      </c>
      <c r="E7644" s="215" t="n">
        <v>44868</v>
      </c>
      <c r="F7644" s="215" t="n">
        <v>44868</v>
      </c>
    </row>
    <row r="7645">
      <c r="A7645" s="215" t="n">
        <v>44869</v>
      </c>
      <c r="B7645" s="216" t="n">
        <v>32.8</v>
      </c>
      <c r="C7645" s="216" t="n">
        <v>64.51000000000001</v>
      </c>
      <c r="D7645" s="216" t="n">
        <v>1.074813961982727</v>
      </c>
      <c r="E7645" s="215" t="n">
        <v>44869</v>
      </c>
      <c r="F7645" s="215" t="n">
        <v>44869</v>
      </c>
    </row>
    <row r="7646">
      <c r="A7646" s="215" t="n">
        <v>44872</v>
      </c>
      <c r="B7646" s="216" t="n">
        <v>35</v>
      </c>
      <c r="C7646" s="216" t="n">
        <v>64.75</v>
      </c>
      <c r="D7646" s="216" t="n">
        <v>1.096333980560303</v>
      </c>
      <c r="E7646" s="215" t="n">
        <v>44872</v>
      </c>
      <c r="F7646" s="215" t="n">
        <v>44872</v>
      </c>
    </row>
    <row r="7647">
      <c r="A7647" s="215" t="n">
        <v>44873</v>
      </c>
      <c r="B7647" s="216" t="n">
        <v>33.9</v>
      </c>
      <c r="C7647" s="216" t="n">
        <v>63.31</v>
      </c>
      <c r="D7647" s="216" t="n">
        <v>1.085438013076782</v>
      </c>
      <c r="E7647" s="215" t="n">
        <v>44873</v>
      </c>
      <c r="F7647" s="215" t="n">
        <v>44873</v>
      </c>
    </row>
    <row r="7648">
      <c r="A7648" s="215" t="n">
        <v>44874</v>
      </c>
      <c r="B7648" s="216" t="n">
        <v>33.15</v>
      </c>
      <c r="C7648" s="216" t="n">
        <v>63.2</v>
      </c>
      <c r="D7648" s="216" t="n">
        <v>1.082811951637268</v>
      </c>
      <c r="E7648" s="215" t="n">
        <v>44874</v>
      </c>
      <c r="F7648" s="215" t="n">
        <v>44874</v>
      </c>
    </row>
    <row r="7649">
      <c r="A7649" s="215" t="n">
        <v>44875</v>
      </c>
      <c r="B7649" s="216" t="n">
        <v>32.55</v>
      </c>
      <c r="C7649" s="216" t="n">
        <v>62.15</v>
      </c>
      <c r="D7649" s="216" t="n">
        <v>1.084288954734802</v>
      </c>
      <c r="E7649" s="215" t="n">
        <v>44875</v>
      </c>
      <c r="F7649" s="215" t="n">
        <v>44875</v>
      </c>
    </row>
    <row r="7650">
      <c r="A7650" s="215" t="n">
        <v>44876</v>
      </c>
      <c r="B7650" s="216" t="n">
        <v>36.15</v>
      </c>
      <c r="C7650" s="216" t="n">
        <v>66.33</v>
      </c>
      <c r="D7650" s="216" t="n">
        <v>1.091645956039429</v>
      </c>
      <c r="E7650" s="215" t="n">
        <v>44876</v>
      </c>
      <c r="F7650" s="215" t="n">
        <v>44876</v>
      </c>
    </row>
    <row r="7651">
      <c r="A7651" s="215" t="n">
        <v>44879</v>
      </c>
      <c r="B7651" s="216" t="n">
        <v>38.5</v>
      </c>
      <c r="C7651" s="216" t="n">
        <v>68.31999999999999</v>
      </c>
      <c r="D7651" s="216" t="n">
        <v>1.099599003791809</v>
      </c>
      <c r="E7651" s="215" t="n">
        <v>44879</v>
      </c>
      <c r="F7651" s="215" t="n">
        <v>44879</v>
      </c>
    </row>
    <row r="7652">
      <c r="A7652" s="215" t="n">
        <v>44880</v>
      </c>
      <c r="B7652" s="216" t="n">
        <v>38.35</v>
      </c>
      <c r="C7652" s="216" t="n">
        <v>67.61</v>
      </c>
      <c r="D7652" s="216" t="n">
        <v>1.107100009918213</v>
      </c>
      <c r="E7652" s="215" t="n">
        <v>44880</v>
      </c>
      <c r="F7652" s="215" t="n">
        <v>44880</v>
      </c>
    </row>
    <row r="7653">
      <c r="A7653" s="215" t="n">
        <v>44881</v>
      </c>
      <c r="B7653" s="216" t="n">
        <v>38.35</v>
      </c>
      <c r="C7653" s="216" t="n">
        <v>68.63</v>
      </c>
      <c r="D7653" s="216" t="n">
        <v>1.109894037246704</v>
      </c>
      <c r="E7653" s="215" t="n">
        <v>44881</v>
      </c>
      <c r="F7653" s="215" t="n">
        <v>44881</v>
      </c>
    </row>
    <row r="7654">
      <c r="A7654" s="215" t="n">
        <v>44882</v>
      </c>
      <c r="B7654" s="216" t="n">
        <v>37.15</v>
      </c>
      <c r="C7654" s="216" t="n">
        <v>65.61</v>
      </c>
      <c r="D7654" s="216" t="n">
        <v>1.103749990463257</v>
      </c>
      <c r="E7654" s="215" t="n">
        <v>44882</v>
      </c>
      <c r="F7654" s="215" t="n">
        <v>44882</v>
      </c>
    </row>
    <row r="7655">
      <c r="A7655" s="215" t="n">
        <v>44883</v>
      </c>
      <c r="B7655" s="216" t="n">
        <v>37.75</v>
      </c>
      <c r="C7655" s="216" t="n">
        <v>66.25</v>
      </c>
      <c r="D7655" s="216" t="n">
        <v>1.093418002128601</v>
      </c>
      <c r="E7655" s="215" t="n">
        <v>44883</v>
      </c>
      <c r="F7655" s="215" t="n">
        <v>44883</v>
      </c>
    </row>
    <row r="7656">
      <c r="A7656" s="215" t="n">
        <v>44886</v>
      </c>
      <c r="B7656" s="216" t="n">
        <v>36.95</v>
      </c>
      <c r="C7656" s="216" t="n">
        <v>65.7</v>
      </c>
      <c r="D7656" s="216" t="n">
        <v>1.096133947372437</v>
      </c>
      <c r="E7656" s="215" t="n">
        <v>44886</v>
      </c>
      <c r="F7656" s="215" t="n">
        <v>44886</v>
      </c>
    </row>
    <row r="7657">
      <c r="A7657" s="215" t="n">
        <v>44887</v>
      </c>
      <c r="B7657" s="216" t="n">
        <v>34.55</v>
      </c>
      <c r="C7657" s="216" t="n">
        <v>61.65</v>
      </c>
      <c r="D7657" s="216" t="n">
        <v>1.089416027069092</v>
      </c>
      <c r="E7657" s="215" t="n">
        <v>44887</v>
      </c>
      <c r="F7657" s="215" t="n">
        <v>44887</v>
      </c>
    </row>
    <row r="7658">
      <c r="A7658" s="215" t="n">
        <v>44888</v>
      </c>
      <c r="B7658" s="216" t="n">
        <v>33.5</v>
      </c>
      <c r="C7658" s="216" t="n">
        <v>60.58</v>
      </c>
      <c r="D7658" s="216" t="n">
        <v>1.095062017440796</v>
      </c>
      <c r="E7658" s="215" t="n">
        <v>44888</v>
      </c>
      <c r="F7658" s="215" t="n">
        <v>44888</v>
      </c>
    </row>
    <row r="7659">
      <c r="A7659" s="215" t="n">
        <v>44889</v>
      </c>
      <c r="B7659" s="216" t="n">
        <v>34.8</v>
      </c>
      <c r="C7659" s="216" t="n">
        <v>60.63</v>
      </c>
      <c r="D7659" s="216" t="n">
        <v>1.091977000236511</v>
      </c>
      <c r="E7659" s="215" t="n">
        <v>44889</v>
      </c>
      <c r="F7659" s="215" t="n">
        <v>44889</v>
      </c>
    </row>
    <row r="7660">
      <c r="A7660" s="215" t="n">
        <v>44890</v>
      </c>
      <c r="B7660" s="216" t="n">
        <v>33.55</v>
      </c>
      <c r="C7660" s="216" t="n">
        <v>59.16</v>
      </c>
      <c r="D7660" s="216" t="n">
        <v>1.091302990913391</v>
      </c>
      <c r="E7660" s="215" t="n">
        <v>44890</v>
      </c>
      <c r="F7660" s="215" t="n">
        <v>44890</v>
      </c>
    </row>
    <row r="7661">
      <c r="A7661" s="215" t="n">
        <v>44893</v>
      </c>
      <c r="B7661" s="216" t="n">
        <v>34</v>
      </c>
      <c r="C7661" s="216" t="n">
        <v>57.72</v>
      </c>
      <c r="D7661" s="216" t="n">
        <v>1.086598038673401</v>
      </c>
      <c r="E7661" s="215" t="n">
        <v>44893</v>
      </c>
      <c r="F7661" s="215" t="n">
        <v>44893</v>
      </c>
    </row>
    <row r="7662">
      <c r="A7662" s="215" t="n">
        <v>44894</v>
      </c>
      <c r="B7662" s="216" t="n">
        <v>35.05</v>
      </c>
      <c r="C7662" s="216" t="n">
        <v>58.7</v>
      </c>
      <c r="D7662" s="216" t="n">
        <v>1.083866000175476</v>
      </c>
      <c r="E7662" s="215" t="n">
        <v>44894</v>
      </c>
      <c r="F7662" s="215" t="n">
        <v>44894</v>
      </c>
    </row>
    <row r="7663">
      <c r="A7663" s="215" t="n">
        <v>44895</v>
      </c>
      <c r="B7663" s="216" t="n">
        <v>36.15</v>
      </c>
      <c r="C7663" s="216" t="n">
        <v>58.13</v>
      </c>
      <c r="D7663" s="216" t="n">
        <v>1.091042995452881</v>
      </c>
      <c r="E7663" s="215" t="n">
        <v>44895</v>
      </c>
      <c r="F7663" s="215" t="n">
        <v>44895</v>
      </c>
    </row>
    <row r="7664">
      <c r="A7664" s="215" t="n">
        <v>44896</v>
      </c>
      <c r="B7664" s="216" t="n">
        <v>36.5</v>
      </c>
      <c r="C7664" s="216" t="n">
        <v>59.54</v>
      </c>
      <c r="D7664" s="216" t="n">
        <v>1.100015044212341</v>
      </c>
      <c r="E7664" s="215" t="n">
        <v>44896</v>
      </c>
      <c r="F7664" s="215" t="n">
        <v>44896</v>
      </c>
    </row>
    <row r="7665">
      <c r="A7665" s="215" t="n">
        <v>44897</v>
      </c>
      <c r="B7665" s="216" t="n">
        <v>40.4</v>
      </c>
      <c r="C7665" s="216" t="n">
        <v>58.3</v>
      </c>
      <c r="D7665" s="216" t="n">
        <v>1.104261994361877</v>
      </c>
      <c r="E7665" s="215" t="n">
        <v>44897</v>
      </c>
      <c r="F7665" s="215" t="n">
        <v>44897</v>
      </c>
    </row>
    <row r="7666">
      <c r="A7666" s="215" t="n">
        <v>44900</v>
      </c>
      <c r="B7666" s="216" t="n">
        <v>41.35</v>
      </c>
      <c r="C7666" s="216" t="n">
        <v>60.18</v>
      </c>
      <c r="D7666" s="216" t="n">
        <v>1.109439969062805</v>
      </c>
      <c r="E7666" s="215" t="n">
        <v>44900</v>
      </c>
      <c r="F7666" s="215" t="n">
        <v>44900</v>
      </c>
    </row>
    <row r="7667">
      <c r="A7667" s="215" t="n">
        <v>44901</v>
      </c>
      <c r="B7667" s="216" t="n">
        <v>38.6</v>
      </c>
      <c r="C7667" s="216" t="n">
        <v>60.58</v>
      </c>
      <c r="D7667" s="216" t="n">
        <v>1.11556601524353</v>
      </c>
      <c r="E7667" s="215" t="n">
        <v>44901</v>
      </c>
      <c r="F7667" s="215" t="n">
        <v>44901</v>
      </c>
    </row>
    <row r="7668">
      <c r="A7668" s="215" t="n">
        <v>44902</v>
      </c>
      <c r="B7668" s="216" t="n">
        <v>38.35</v>
      </c>
      <c r="C7668" s="216" t="n">
        <v>60.6</v>
      </c>
      <c r="D7668" s="216" t="n">
        <v>1.111405968666077</v>
      </c>
      <c r="E7668" s="215" t="n">
        <v>44902</v>
      </c>
      <c r="F7668" s="215" t="n">
        <v>44902</v>
      </c>
    </row>
    <row r="7669">
      <c r="A7669" s="215" t="n">
        <v>44903</v>
      </c>
      <c r="B7669" s="216" t="n">
        <v>38.35</v>
      </c>
      <c r="C7669" s="216" t="n">
        <v>60.02</v>
      </c>
      <c r="D7669" s="216" t="n">
        <v>1.117617964744568</v>
      </c>
      <c r="E7669" s="215" t="n">
        <v>44903</v>
      </c>
      <c r="F7669" s="215" t="n">
        <v>44903</v>
      </c>
    </row>
    <row r="7670">
      <c r="A7670" s="215" t="n">
        <v>44904</v>
      </c>
      <c r="B7670" s="216" t="n">
        <v>38.25</v>
      </c>
      <c r="C7670" s="216" t="n">
        <v>59.47</v>
      </c>
      <c r="D7670" s="216" t="n">
        <v>1.117110013961792</v>
      </c>
      <c r="E7670" s="215" t="n">
        <v>44904</v>
      </c>
      <c r="F7670" s="215" t="n">
        <v>44904</v>
      </c>
    </row>
    <row r="7671">
      <c r="A7671" s="215" t="n">
        <v>44907</v>
      </c>
      <c r="B7671" s="216" t="n">
        <v>36.3</v>
      </c>
      <c r="C7671" s="216" t="n">
        <v>59.37</v>
      </c>
      <c r="D7671" s="216" t="n">
        <v>1.115543961524963</v>
      </c>
      <c r="E7671" s="215" t="n">
        <v>44907</v>
      </c>
      <c r="F7671" s="215" t="n">
        <v>44907</v>
      </c>
    </row>
    <row r="7672">
      <c r="A7672" s="215" t="n">
        <v>44908</v>
      </c>
      <c r="B7672" s="216" t="n">
        <v>35.35</v>
      </c>
      <c r="C7672" s="216" t="n">
        <v>58.08</v>
      </c>
      <c r="D7672" s="216" t="n">
        <v>1.11419403553009</v>
      </c>
      <c r="E7672" s="215" t="n">
        <v>44908</v>
      </c>
      <c r="F7672" s="215" t="n">
        <v>44908</v>
      </c>
    </row>
    <row r="7673">
      <c r="A7673" s="215" t="n">
        <v>44909</v>
      </c>
      <c r="B7673" s="216" t="n">
        <v>38.6</v>
      </c>
      <c r="C7673" s="216" t="n">
        <v>58.7</v>
      </c>
      <c r="D7673" s="216" t="n">
        <v>1.119148015975952</v>
      </c>
      <c r="E7673" s="215" t="n">
        <v>44909</v>
      </c>
      <c r="F7673" s="215" t="n">
        <v>44909</v>
      </c>
    </row>
    <row r="7674">
      <c r="A7674" s="215" t="n">
        <v>44910</v>
      </c>
      <c r="B7674" s="216" t="n">
        <v>36.35</v>
      </c>
      <c r="C7674" s="216" t="n">
        <v>57.66</v>
      </c>
      <c r="D7674" s="216" t="n">
        <v>1.118654012680054</v>
      </c>
      <c r="E7674" s="215" t="n">
        <v>44910</v>
      </c>
      <c r="F7674" s="215" t="n">
        <v>44910</v>
      </c>
    </row>
    <row r="7675">
      <c r="A7675" s="215" t="n">
        <v>44911</v>
      </c>
      <c r="B7675" s="216" t="n">
        <v>37.75</v>
      </c>
      <c r="C7675" s="216" t="n">
        <v>57.65</v>
      </c>
      <c r="D7675" s="216" t="n">
        <v>1.116045951843262</v>
      </c>
      <c r="E7675" s="215" t="n">
        <v>44911</v>
      </c>
      <c r="F7675" s="215" t="n">
        <v>44911</v>
      </c>
    </row>
    <row r="7676">
      <c r="A7676" s="215" t="n">
        <v>44914</v>
      </c>
      <c r="B7676" s="216" t="n">
        <v>34.9</v>
      </c>
      <c r="C7676" s="216" t="n">
        <v>54.76</v>
      </c>
      <c r="D7676" s="216" t="n">
        <v>1.115512013435364</v>
      </c>
      <c r="E7676" s="215" t="n">
        <v>44914</v>
      </c>
      <c r="F7676" s="215" t="n">
        <v>44914</v>
      </c>
    </row>
    <row r="7677">
      <c r="A7677" s="215" t="n">
        <v>44915</v>
      </c>
      <c r="B7677" s="216" t="n">
        <v>34.65</v>
      </c>
      <c r="C7677" s="216" t="n">
        <v>54.18</v>
      </c>
      <c r="D7677" s="216" t="n">
        <v>1.114526987075806</v>
      </c>
      <c r="E7677" s="215" t="n">
        <v>44915</v>
      </c>
      <c r="F7677" s="215" t="n">
        <v>44915</v>
      </c>
    </row>
    <row r="7678">
      <c r="A7678" s="215" t="n">
        <v>44916</v>
      </c>
      <c r="B7678" s="216" t="n">
        <v>35.1</v>
      </c>
      <c r="C7678" s="216" t="n">
        <v>53.96</v>
      </c>
      <c r="D7678" s="216" t="n">
        <v>1.11863899230957</v>
      </c>
      <c r="E7678" s="215" t="n">
        <v>44916</v>
      </c>
      <c r="F7678" s="215" t="n">
        <v>44916</v>
      </c>
    </row>
    <row r="7679">
      <c r="A7679" s="215" t="n">
        <v>44917</v>
      </c>
      <c r="B7679" s="216" t="n">
        <v>36.8</v>
      </c>
      <c r="C7679" s="216" t="n">
        <v>54.7</v>
      </c>
      <c r="D7679" s="216" t="n">
        <v>1.116286993026733</v>
      </c>
      <c r="E7679" s="215" t="n">
        <v>44917</v>
      </c>
      <c r="F7679" s="215" t="n">
        <v>44917</v>
      </c>
    </row>
    <row r="7680">
      <c r="A7680" s="215" t="n">
        <v>44918</v>
      </c>
      <c r="B7680" s="216" t="n">
        <v>37.75</v>
      </c>
      <c r="C7680" s="216" t="n">
        <v>55.46</v>
      </c>
      <c r="D7680" s="216" t="n">
        <v>1.115679979324341</v>
      </c>
      <c r="E7680" s="215" t="n">
        <v>44918</v>
      </c>
      <c r="F7680" s="215" t="n">
        <v>44918</v>
      </c>
    </row>
    <row r="7681">
      <c r="A7681" s="215" t="n">
        <v>44923</v>
      </c>
      <c r="B7681" s="216" t="n">
        <v>39.3</v>
      </c>
      <c r="C7681" s="216" t="n">
        <v>57.22</v>
      </c>
      <c r="D7681" s="216" t="n">
        <v>1.120296955108643</v>
      </c>
      <c r="E7681" s="215" t="n">
        <v>44923</v>
      </c>
      <c r="F7681" s="215" t="n">
        <v>44923</v>
      </c>
    </row>
    <row r="7682">
      <c r="A7682" s="215" t="n">
        <v>44924</v>
      </c>
      <c r="B7682" s="216" t="n">
        <v>41</v>
      </c>
      <c r="C7682" s="216" t="n">
        <v>58.9</v>
      </c>
      <c r="D7682" s="216" t="n">
        <v>1.11841094493866</v>
      </c>
      <c r="E7682" s="215" t="n">
        <v>44924</v>
      </c>
      <c r="F7682" s="215" t="n">
        <v>44924</v>
      </c>
    </row>
    <row r="7683">
      <c r="A7683" s="215" t="n">
        <v>44925</v>
      </c>
      <c r="B7683" s="216" t="n">
        <v>39.95</v>
      </c>
      <c r="C7683" s="216" t="n">
        <v>58.41</v>
      </c>
      <c r="D7683" s="216" t="n">
        <v>1.118479013442993</v>
      </c>
      <c r="E7683" s="215" t="n">
        <v>44925</v>
      </c>
      <c r="F7683" s="215" t="n">
        <v>44925</v>
      </c>
    </row>
    <row r="7684">
      <c r="A7684" s="215" t="n">
        <v>44929</v>
      </c>
      <c r="B7684" s="216" t="n">
        <v>41.25</v>
      </c>
      <c r="C7684" s="216" t="n">
        <v>58.04</v>
      </c>
      <c r="D7684" s="216" t="n">
        <v>1.131546974182129</v>
      </c>
      <c r="E7684" s="215" t="n">
        <v>44929</v>
      </c>
      <c r="F7684" s="215" t="n">
        <v>44929</v>
      </c>
    </row>
    <row r="7685">
      <c r="A7685" s="215" t="n">
        <v>44930</v>
      </c>
      <c r="B7685" s="216" t="n">
        <v>42.9</v>
      </c>
      <c r="C7685" s="216" t="n">
        <v>61.2</v>
      </c>
      <c r="D7685" s="216" t="n">
        <v>1.130236983299255</v>
      </c>
      <c r="E7685" s="215" t="n">
        <v>44930</v>
      </c>
      <c r="F7685" s="215" t="n">
        <v>44930</v>
      </c>
    </row>
    <row r="7686">
      <c r="A7686" s="215" t="n">
        <v>44931</v>
      </c>
      <c r="B7686" s="216" t="n">
        <v>45</v>
      </c>
      <c r="C7686" s="216" t="n">
        <v>63.25</v>
      </c>
      <c r="D7686" s="216" t="n">
        <v>1.134225010871887</v>
      </c>
      <c r="E7686" s="215" t="n">
        <v>44931</v>
      </c>
      <c r="F7686" s="215" t="n">
        <v>44931</v>
      </c>
    </row>
    <row r="7687">
      <c r="A7687" s="215" t="n">
        <v>44932</v>
      </c>
      <c r="B7687" s="216" t="n">
        <v>44.95</v>
      </c>
      <c r="C7687" s="216" t="n">
        <v>62.43</v>
      </c>
      <c r="D7687" s="216" t="n">
        <v>1.135105967521667</v>
      </c>
      <c r="E7687" s="215" t="n">
        <v>44932</v>
      </c>
      <c r="F7687" s="215" t="n">
        <v>44932</v>
      </c>
    </row>
    <row r="7688">
      <c r="A7688" s="215" t="n">
        <v>44935</v>
      </c>
      <c r="B7688" s="216" t="n">
        <v>45.55</v>
      </c>
      <c r="C7688" s="216" t="n">
        <v>63.77</v>
      </c>
      <c r="D7688" s="216" t="n">
        <v>1.142660021781921</v>
      </c>
      <c r="E7688" s="215" t="n">
        <v>44935</v>
      </c>
      <c r="F7688" s="215" t="n">
        <v>44935</v>
      </c>
    </row>
    <row r="7689">
      <c r="A7689" s="215" t="n">
        <v>44936</v>
      </c>
      <c r="B7689" s="216" t="n">
        <v>44.55</v>
      </c>
      <c r="C7689" s="216" t="n">
        <v>63.5</v>
      </c>
      <c r="D7689" s="216" t="n">
        <v>1.152361989021301</v>
      </c>
      <c r="E7689" s="215" t="n">
        <v>44936</v>
      </c>
      <c r="F7689" s="215" t="n">
        <v>44936</v>
      </c>
    </row>
    <row r="7690">
      <c r="A7690" s="215" t="n">
        <v>44937</v>
      </c>
      <c r="B7690" s="216" t="n">
        <v>45.55</v>
      </c>
      <c r="C7690" s="216" t="n">
        <v>63.14</v>
      </c>
      <c r="D7690" s="216" t="n">
        <v>1.151782989501953</v>
      </c>
      <c r="E7690" s="215" t="n">
        <v>44937</v>
      </c>
      <c r="F7690" s="215" t="n">
        <v>44937</v>
      </c>
    </row>
    <row r="7691">
      <c r="A7691" s="215" t="n">
        <v>44938</v>
      </c>
      <c r="B7691" s="216" t="n">
        <v>44.85</v>
      </c>
      <c r="C7691" s="216" t="n">
        <v>63.36</v>
      </c>
      <c r="D7691" s="216" t="n">
        <v>1.15372097492218</v>
      </c>
      <c r="E7691" s="215" t="n">
        <v>44938</v>
      </c>
      <c r="F7691" s="215" t="n">
        <v>44938</v>
      </c>
    </row>
    <row r="7692">
      <c r="A7692" s="215" t="n">
        <v>44939</v>
      </c>
      <c r="B7692" s="216" t="n">
        <v>46.75</v>
      </c>
      <c r="C7692" s="216" t="n">
        <v>64.09</v>
      </c>
      <c r="D7692" s="216" t="n">
        <v>1.158794045448303</v>
      </c>
      <c r="E7692" s="215" t="n">
        <v>44939</v>
      </c>
      <c r="F7692" s="215" t="n">
        <v>44939</v>
      </c>
    </row>
    <row r="7693">
      <c r="A7693" s="215" t="n">
        <v>44942</v>
      </c>
      <c r="B7693" s="216" t="n">
        <v>47.2</v>
      </c>
      <c r="C7693" s="216" t="n">
        <v>67.36</v>
      </c>
      <c r="D7693" s="216" t="n">
        <v>1.16464102268219</v>
      </c>
      <c r="E7693" s="215" t="n">
        <v>44942</v>
      </c>
      <c r="F7693" s="215" t="n">
        <v>44942</v>
      </c>
    </row>
    <row r="7694">
      <c r="A7694" s="215" t="n">
        <v>44943</v>
      </c>
      <c r="B7694" s="216" t="n">
        <v>46.1</v>
      </c>
      <c r="C7694" s="216" t="n">
        <v>66.05</v>
      </c>
      <c r="D7694" s="216" t="n">
        <v>1.159963011741638</v>
      </c>
      <c r="E7694" s="215" t="n">
        <v>44943</v>
      </c>
      <c r="F7694" s="215" t="n">
        <v>44943</v>
      </c>
    </row>
    <row r="7695">
      <c r="A7695" s="215" t="n">
        <v>44944</v>
      </c>
      <c r="B7695" s="216" t="n">
        <v>45.75</v>
      </c>
      <c r="C7695" s="216" t="n">
        <v>65.70999999999999</v>
      </c>
      <c r="D7695" s="216" t="n">
        <v>1.154523968696594</v>
      </c>
      <c r="E7695" s="215" t="n">
        <v>44944</v>
      </c>
      <c r="F7695" s="215" t="n">
        <v>44944</v>
      </c>
    </row>
    <row r="7696">
      <c r="A7696" s="215" t="n">
        <v>44945</v>
      </c>
      <c r="B7696" s="216" t="n">
        <v>45.9</v>
      </c>
      <c r="C7696" s="216" t="n">
        <v>67.14</v>
      </c>
      <c r="D7696" s="216" t="n">
        <v>1.15931499004364</v>
      </c>
      <c r="E7696" s="215" t="n">
        <v>44945</v>
      </c>
      <c r="F7696" s="215" t="n">
        <v>44945</v>
      </c>
    </row>
    <row r="7697">
      <c r="A7697" s="215" t="n">
        <v>44946</v>
      </c>
      <c r="B7697" s="216" t="n">
        <v>46.1</v>
      </c>
      <c r="C7697" s="216" t="n">
        <v>66.43000000000001</v>
      </c>
      <c r="D7697" s="216" t="n">
        <v>1.154749989509583</v>
      </c>
      <c r="E7697" s="215" t="n">
        <v>44946</v>
      </c>
      <c r="F7697" s="215" t="n">
        <v>44946</v>
      </c>
    </row>
    <row r="7698">
      <c r="A7698" s="215" t="n">
        <v>44952</v>
      </c>
      <c r="B7698" s="216" t="n">
        <v>46.1</v>
      </c>
      <c r="C7698" s="216" t="n">
        <v>66.43000000000001</v>
      </c>
      <c r="D7698" s="216" t="n">
        <v>1.153751969337463</v>
      </c>
      <c r="E7698" s="215" t="n">
        <v>44946</v>
      </c>
      <c r="F7698" s="215" t="n">
        <v>44952</v>
      </c>
    </row>
    <row r="7699">
      <c r="A7699" s="215" t="n">
        <v>44953</v>
      </c>
      <c r="B7699" s="216" t="n">
        <v>46</v>
      </c>
      <c r="C7699" s="216" t="n">
        <v>66.43000000000001</v>
      </c>
      <c r="D7699" s="216" t="n">
        <v>1.153638958930969</v>
      </c>
      <c r="E7699" s="215" t="n">
        <v>44946</v>
      </c>
      <c r="F7699" s="215" t="n">
        <v>44953</v>
      </c>
    </row>
    <row r="7700">
      <c r="A7700" s="215" t="n">
        <v>44956</v>
      </c>
      <c r="B7700" s="216" t="n">
        <v>43.6</v>
      </c>
      <c r="C7700" s="216" t="n">
        <v>65.65000000000001</v>
      </c>
      <c r="D7700" s="216" t="n">
        <v>1.154070019721985</v>
      </c>
      <c r="E7700" s="215" t="n">
        <v>44956</v>
      </c>
      <c r="F7700" s="215" t="n">
        <v>44956</v>
      </c>
    </row>
    <row r="7701">
      <c r="A7701" s="215" t="n">
        <v>44957</v>
      </c>
      <c r="B7701" s="216" t="n">
        <v>41.05</v>
      </c>
      <c r="C7701" s="216" t="n">
        <v>63.58</v>
      </c>
      <c r="D7701" s="216" t="n">
        <v>1.160927057266235</v>
      </c>
      <c r="E7701" s="215" t="n">
        <v>44957</v>
      </c>
      <c r="F7701" s="215" t="n">
        <v>44957</v>
      </c>
    </row>
    <row r="7702">
      <c r="A7702" s="215" t="n">
        <v>44958</v>
      </c>
      <c r="B7702" s="216" t="n">
        <v>41.2</v>
      </c>
      <c r="C7702" s="216" t="n">
        <v>63.97</v>
      </c>
      <c r="D7702" s="216" t="n">
        <v>1.160451054573059</v>
      </c>
      <c r="E7702" s="215" t="n">
        <v>44958</v>
      </c>
      <c r="F7702" s="215" t="n">
        <v>44958</v>
      </c>
    </row>
    <row r="7703">
      <c r="A7703" s="215" t="n">
        <v>44959</v>
      </c>
      <c r="B7703" s="216" t="n">
        <v>40.7</v>
      </c>
      <c r="C7703" s="216" t="n">
        <v>64.62</v>
      </c>
      <c r="D7703" s="216" t="n">
        <v>1.162333965301514</v>
      </c>
      <c r="E7703" s="215" t="n">
        <v>44959</v>
      </c>
      <c r="F7703" s="215" t="n">
        <v>44959</v>
      </c>
    </row>
    <row r="7704">
      <c r="A7704" s="215" t="n">
        <v>44960</v>
      </c>
      <c r="B7704" s="216" t="n">
        <v>40.05</v>
      </c>
      <c r="C7704" s="216" t="n">
        <v>63.21</v>
      </c>
      <c r="D7704" s="216" t="n">
        <v>1.165007948875427</v>
      </c>
      <c r="E7704" s="215" t="n">
        <v>44960</v>
      </c>
      <c r="F7704" s="215" t="n">
        <v>44960</v>
      </c>
    </row>
    <row r="7705">
      <c r="A7705" s="215" t="n">
        <v>44963</v>
      </c>
      <c r="B7705" s="216" t="n">
        <v>38.7</v>
      </c>
      <c r="C7705" s="216" t="n">
        <v>62.13</v>
      </c>
      <c r="D7705" s="216" t="n">
        <v>1.157632946968079</v>
      </c>
      <c r="E7705" s="215" t="n">
        <v>44963</v>
      </c>
      <c r="F7705" s="215" t="n">
        <v>44963</v>
      </c>
    </row>
    <row r="7706">
      <c r="A7706" s="215" t="n">
        <v>44964</v>
      </c>
      <c r="B7706" s="216" t="n">
        <v>38.7</v>
      </c>
      <c r="C7706" s="216" t="n">
        <v>61.44</v>
      </c>
      <c r="D7706" s="216" t="n">
        <v>1.154948949813843</v>
      </c>
      <c r="E7706" s="215" t="n">
        <v>44964</v>
      </c>
      <c r="F7706" s="215" t="n">
        <v>44964</v>
      </c>
    </row>
    <row r="7707">
      <c r="A7707" s="215" t="n">
        <v>44965</v>
      </c>
      <c r="B7707" s="216" t="n">
        <v>38.8</v>
      </c>
      <c r="C7707" s="216" t="n">
        <v>61.85</v>
      </c>
      <c r="D7707" s="216" t="n">
        <v>1.155540943145752</v>
      </c>
      <c r="E7707" s="215" t="n">
        <v>44965</v>
      </c>
      <c r="F7707" s="215" t="n">
        <v>44965</v>
      </c>
    </row>
    <row r="7708">
      <c r="A7708" s="215" t="n">
        <v>44966</v>
      </c>
      <c r="B7708" s="216" t="n">
        <v>38.4</v>
      </c>
      <c r="C7708" s="216" t="n">
        <v>62.13</v>
      </c>
      <c r="D7708" s="216" t="n">
        <v>1.156080961227417</v>
      </c>
      <c r="E7708" s="215" t="n">
        <v>44966</v>
      </c>
      <c r="F7708" s="215" t="n">
        <v>44966</v>
      </c>
    </row>
    <row r="7709">
      <c r="A7709" s="215" t="n">
        <v>44967</v>
      </c>
      <c r="B7709" s="216" t="n">
        <v>38</v>
      </c>
      <c r="C7709" s="216" t="n">
        <v>61.55</v>
      </c>
      <c r="D7709" s="216" t="n">
        <v>1.157587051391602</v>
      </c>
      <c r="E7709" s="215" t="n">
        <v>44967</v>
      </c>
      <c r="F7709" s="215" t="n">
        <v>44967</v>
      </c>
    </row>
    <row r="7710">
      <c r="A7710" s="215" t="n">
        <v>44970</v>
      </c>
      <c r="B7710" s="216" t="n">
        <v>37</v>
      </c>
      <c r="C7710" s="216" t="n">
        <v>61.33</v>
      </c>
      <c r="D7710" s="216" t="n">
        <v>1.152721047401428</v>
      </c>
      <c r="E7710" s="215" t="n">
        <v>44970</v>
      </c>
      <c r="F7710" s="215" t="n">
        <v>44970</v>
      </c>
    </row>
    <row r="7711">
      <c r="A7711" s="215" t="n">
        <v>44971</v>
      </c>
      <c r="B7711" s="216" t="n">
        <v>37.1</v>
      </c>
      <c r="C7711" s="216" t="n">
        <v>61.76</v>
      </c>
      <c r="D7711" s="216" t="n">
        <v>1.150822043418884</v>
      </c>
      <c r="E7711" s="215" t="n">
        <v>44971</v>
      </c>
      <c r="F7711" s="215" t="n">
        <v>44971</v>
      </c>
    </row>
    <row r="7712">
      <c r="A7712" s="215" t="n">
        <v>44972</v>
      </c>
      <c r="B7712" s="216" t="n">
        <v>35.55</v>
      </c>
      <c r="C7712" s="216" t="n">
        <v>57.65</v>
      </c>
      <c r="D7712" s="216" t="n">
        <v>1.149250030517578</v>
      </c>
      <c r="E7712" s="215" t="n">
        <v>44972</v>
      </c>
      <c r="F7712" s="215" t="n">
        <v>44972</v>
      </c>
    </row>
    <row r="7713">
      <c r="A7713" s="215" t="n">
        <v>44973</v>
      </c>
      <c r="B7713" s="216" t="n">
        <v>35</v>
      </c>
      <c r="C7713" s="216" t="n">
        <v>57.9</v>
      </c>
      <c r="D7713" s="216" t="n">
        <v>1.144971013069153</v>
      </c>
      <c r="E7713" s="215" t="n">
        <v>44973</v>
      </c>
      <c r="F7713" s="215" t="n">
        <v>44973</v>
      </c>
    </row>
    <row r="7714">
      <c r="A7714" s="215" t="n">
        <v>44974</v>
      </c>
      <c r="B7714" s="216" t="n">
        <v>35.2</v>
      </c>
      <c r="C7714" s="216" t="n">
        <v>57.42</v>
      </c>
      <c r="D7714" s="216" t="n">
        <v>1.144101023674011</v>
      </c>
      <c r="E7714" s="215" t="n">
        <v>44974</v>
      </c>
      <c r="F7714" s="215" t="n">
        <v>44974</v>
      </c>
    </row>
    <row r="7715">
      <c r="A7715" s="215" t="n">
        <v>44977</v>
      </c>
      <c r="B7715" s="216" t="n">
        <v>35.8</v>
      </c>
      <c r="C7715" s="216" t="n">
        <v>58.42</v>
      </c>
      <c r="D7715" s="216" t="n">
        <v>1.141230940818787</v>
      </c>
      <c r="E7715" s="215" t="n">
        <v>44977</v>
      </c>
      <c r="F7715" s="215" t="n">
        <v>44977</v>
      </c>
    </row>
    <row r="7716">
      <c r="A7716" s="215" t="n">
        <v>44978</v>
      </c>
      <c r="B7716" s="216" t="n">
        <v>35.4</v>
      </c>
      <c r="C7716" s="216" t="n">
        <v>58.28</v>
      </c>
      <c r="D7716" s="216" t="n">
        <v>1.142338037490845</v>
      </c>
      <c r="E7716" s="215" t="n">
        <v>44978</v>
      </c>
      <c r="F7716" s="215" t="n">
        <v>44978</v>
      </c>
    </row>
    <row r="7717">
      <c r="A7717" s="215" t="n">
        <v>44979</v>
      </c>
      <c r="B7717" s="216" t="n">
        <v>34.7</v>
      </c>
      <c r="C7717" s="216" t="n">
        <v>57.88</v>
      </c>
      <c r="D7717" s="216" t="n">
        <v>1.141216993331909</v>
      </c>
      <c r="E7717" s="215" t="n">
        <v>44979</v>
      </c>
      <c r="F7717" s="215" t="n">
        <v>44979</v>
      </c>
    </row>
    <row r="7718">
      <c r="A7718" s="215" t="n">
        <v>44980</v>
      </c>
      <c r="B7718" s="216" t="n">
        <v>34.8</v>
      </c>
      <c r="C7718" s="216" t="n">
        <v>58.75</v>
      </c>
      <c r="D7718" s="216" t="n">
        <v>1.138142943382263</v>
      </c>
      <c r="E7718" s="215" t="n">
        <v>44980</v>
      </c>
      <c r="F7718" s="215" t="n">
        <v>44980</v>
      </c>
    </row>
    <row r="7719">
      <c r="A7719" s="215" t="n">
        <v>44981</v>
      </c>
      <c r="B7719" s="216" t="n">
        <v>33.9</v>
      </c>
      <c r="C7719" s="216" t="n">
        <v>58.21</v>
      </c>
      <c r="D7719" s="216" t="n">
        <v>1.135694026947021</v>
      </c>
      <c r="E7719" s="215" t="n">
        <v>44981</v>
      </c>
      <c r="F7719" s="215" t="n">
        <v>44981</v>
      </c>
    </row>
    <row r="7720">
      <c r="A7720" s="215" t="n">
        <v>44984</v>
      </c>
      <c r="B7720" s="216" t="n">
        <v>33.1</v>
      </c>
      <c r="C7720" s="216" t="n">
        <v>57.37</v>
      </c>
      <c r="D7720" s="216" t="n">
        <v>1.135581016540527</v>
      </c>
      <c r="E7720" s="215" t="n">
        <v>44984</v>
      </c>
      <c r="F7720" s="215" t="n">
        <v>44984</v>
      </c>
    </row>
    <row r="7721">
      <c r="A7721" s="215" t="n">
        <v>44985</v>
      </c>
      <c r="B7721" s="216" t="n">
        <v>34</v>
      </c>
      <c r="C7721" s="216" t="n">
        <v>58.75</v>
      </c>
      <c r="D7721" s="216" t="n">
        <v>1.129464983940125</v>
      </c>
      <c r="E7721" s="215" t="n">
        <v>44985</v>
      </c>
      <c r="F7721" s="215" t="n">
        <v>44985</v>
      </c>
    </row>
    <row r="7722">
      <c r="A7722" s="215" t="n">
        <v>44986</v>
      </c>
      <c r="B7722" s="216" t="n">
        <v>35.4</v>
      </c>
      <c r="C7722" s="216" t="n">
        <v>58.16</v>
      </c>
      <c r="D7722" s="216" t="n">
        <v>1.131901025772095</v>
      </c>
      <c r="E7722" s="215" t="n">
        <v>44986</v>
      </c>
      <c r="F7722" s="215" t="n">
        <v>44986</v>
      </c>
    </row>
    <row r="7723">
      <c r="A7723" s="215" t="n">
        <v>44987</v>
      </c>
      <c r="B7723" s="216" t="n">
        <v>37.25</v>
      </c>
      <c r="C7723" s="216" t="n">
        <v>57.89</v>
      </c>
      <c r="D7723" s="216" t="n">
        <v>1.142472982406616</v>
      </c>
      <c r="E7723" s="215" t="n">
        <v>44987</v>
      </c>
      <c r="F7723" s="215" t="n">
        <v>44987</v>
      </c>
    </row>
    <row r="7724">
      <c r="A7724" s="215" t="n">
        <v>44988</v>
      </c>
      <c r="B7724" s="216" t="n">
        <v>35.75</v>
      </c>
      <c r="C7724" s="216" t="n">
        <v>57.05</v>
      </c>
      <c r="D7724" s="216" t="n">
        <v>1.134973049163818</v>
      </c>
      <c r="E7724" s="215" t="n">
        <v>44988</v>
      </c>
      <c r="F7724" s="215" t="n">
        <v>44988</v>
      </c>
    </row>
    <row r="7725">
      <c r="A7725" s="215" t="n">
        <v>44991</v>
      </c>
      <c r="B7725" s="216" t="n">
        <v>35.85</v>
      </c>
      <c r="C7725" s="216" t="n">
        <v>56.81</v>
      </c>
      <c r="D7725" s="216" t="n">
        <v>1.135468006134033</v>
      </c>
      <c r="E7725" s="215" t="n">
        <v>44991</v>
      </c>
      <c r="F7725" s="215" t="n">
        <v>44991</v>
      </c>
    </row>
    <row r="7726">
      <c r="A7726" s="215" t="n">
        <v>44992</v>
      </c>
      <c r="B7726" s="216" t="n">
        <v>35.4</v>
      </c>
      <c r="C7726" s="216" t="n">
        <v>55.73</v>
      </c>
      <c r="D7726" s="216" t="n">
        <v>1.132706046104431</v>
      </c>
      <c r="E7726" s="215" t="n">
        <v>44992</v>
      </c>
      <c r="F7726" s="215" t="n">
        <v>44992</v>
      </c>
    </row>
    <row r="7727">
      <c r="A7727" s="215" t="n">
        <v>44993</v>
      </c>
      <c r="B7727" s="216" t="n">
        <v>34</v>
      </c>
      <c r="C7727" s="216" t="n">
        <v>56.01</v>
      </c>
      <c r="D7727" s="216" t="n">
        <v>1.127292037010193</v>
      </c>
      <c r="E7727" s="215" t="n">
        <v>44993</v>
      </c>
      <c r="F7727" s="215" t="n">
        <v>44993</v>
      </c>
    </row>
    <row r="7728">
      <c r="A7728" s="215" t="n">
        <v>44994</v>
      </c>
      <c r="B7728" s="216" t="n">
        <v>34.45</v>
      </c>
      <c r="C7728" s="216" t="n">
        <v>56.12</v>
      </c>
      <c r="D7728" s="216" t="n">
        <v>1.12942099571228</v>
      </c>
      <c r="E7728" s="215" t="n">
        <v>44994</v>
      </c>
      <c r="F7728" s="215" t="n">
        <v>44994</v>
      </c>
    </row>
    <row r="7729">
      <c r="A7729" s="215" t="n">
        <v>44995</v>
      </c>
      <c r="B7729" s="216" t="n">
        <v>34</v>
      </c>
      <c r="C7729" s="216" t="n">
        <v>56.88</v>
      </c>
      <c r="D7729" s="216" t="n">
        <v>1.126757979393005</v>
      </c>
      <c r="E7729" s="215" t="n">
        <v>44995</v>
      </c>
      <c r="F7729" s="215" t="n">
        <v>44995</v>
      </c>
    </row>
    <row r="7730">
      <c r="A7730" s="215" t="n">
        <v>44998</v>
      </c>
      <c r="B7730" s="216" t="n">
        <v>34.55</v>
      </c>
      <c r="C7730" s="216" t="n">
        <v>54.92</v>
      </c>
      <c r="D7730" s="216" t="n">
        <v>1.140457987785339</v>
      </c>
      <c r="E7730" s="215" t="n">
        <v>44998</v>
      </c>
      <c r="F7730" s="215" t="n">
        <v>44998</v>
      </c>
    </row>
    <row r="7731">
      <c r="A7731" s="215" t="n">
        <v>44999</v>
      </c>
      <c r="B7731" s="216" t="n">
        <v>34.2</v>
      </c>
      <c r="C7731" s="216" t="n">
        <v>55.21</v>
      </c>
      <c r="D7731" s="216" t="n">
        <v>1.14533805847168</v>
      </c>
      <c r="E7731" s="215" t="n">
        <v>44999</v>
      </c>
      <c r="F7731" s="215" t="n">
        <v>44999</v>
      </c>
    </row>
    <row r="7732">
      <c r="A7732" s="215" t="n">
        <v>45000</v>
      </c>
      <c r="B7732" s="216" t="n">
        <v>35.25</v>
      </c>
      <c r="C7732" s="216" t="n">
        <v>54.34</v>
      </c>
      <c r="D7732" s="216" t="n">
        <v>1.141839981079102</v>
      </c>
      <c r="E7732" s="215" t="n">
        <v>45000</v>
      </c>
      <c r="F7732" s="215" t="n">
        <v>45000</v>
      </c>
    </row>
    <row r="7733">
      <c r="A7733" s="215" t="n">
        <v>45001</v>
      </c>
      <c r="B7733" s="216" t="n">
        <v>33.4</v>
      </c>
      <c r="C7733" s="216" t="n">
        <v>53.76</v>
      </c>
      <c r="D7733" s="216" t="n">
        <v>1.135804057121277</v>
      </c>
      <c r="E7733" s="215" t="n">
        <v>45001</v>
      </c>
      <c r="F7733" s="215" t="n">
        <v>45001</v>
      </c>
    </row>
    <row r="7734">
      <c r="A7734" s="215" t="n">
        <v>45002</v>
      </c>
      <c r="B7734" s="216" t="n">
        <v>33.45</v>
      </c>
      <c r="C7734" s="216" t="n">
        <v>53</v>
      </c>
      <c r="D7734" s="216" t="n">
        <v>1.137447953224182</v>
      </c>
      <c r="E7734" s="215" t="n">
        <v>45002</v>
      </c>
      <c r="F7734" s="215" t="n">
        <v>45002</v>
      </c>
    </row>
    <row r="7735">
      <c r="A7735" s="215" t="n">
        <v>45005</v>
      </c>
      <c r="B7735" s="216" t="n">
        <v>32.05</v>
      </c>
      <c r="C7735" s="216" t="n">
        <v>52.19</v>
      </c>
      <c r="D7735" s="216" t="n">
        <v>1.14422595500946</v>
      </c>
      <c r="E7735" s="215" t="n">
        <v>45005</v>
      </c>
      <c r="F7735" s="215" t="n">
        <v>45005</v>
      </c>
    </row>
    <row r="7736">
      <c r="A7736" s="215" t="n">
        <v>45006</v>
      </c>
      <c r="B7736" s="216" t="n">
        <v>33.2</v>
      </c>
      <c r="C7736" s="216" t="n">
        <v>54.21</v>
      </c>
      <c r="D7736" s="216" t="n">
        <v>1.140269994735718</v>
      </c>
      <c r="E7736" s="215" t="n">
        <v>45006</v>
      </c>
      <c r="F7736" s="215" t="n">
        <v>45006</v>
      </c>
    </row>
    <row r="7737">
      <c r="A7737" s="215" t="n">
        <v>45007</v>
      </c>
      <c r="B7737" s="216" t="n">
        <v>33.2</v>
      </c>
      <c r="C7737" s="216" t="n">
        <v>54.35</v>
      </c>
      <c r="D7737" s="216" t="n">
        <v>1.139848947525024</v>
      </c>
      <c r="E7737" s="215" t="n">
        <v>45007</v>
      </c>
      <c r="F7737" s="215" t="n">
        <v>45007</v>
      </c>
    </row>
    <row r="7738">
      <c r="A7738" s="215" t="n">
        <v>45008</v>
      </c>
      <c r="B7738" s="216" t="n">
        <v>33</v>
      </c>
      <c r="C7738" s="216" t="n">
        <v>54.33</v>
      </c>
      <c r="D7738" s="216" t="n">
        <v>1.14018702507019</v>
      </c>
      <c r="E7738" s="215" t="n">
        <v>45008</v>
      </c>
      <c r="F7738" s="215" t="n">
        <v>45008</v>
      </c>
    </row>
    <row r="7739">
      <c r="A7739" s="215" t="n">
        <v>45009</v>
      </c>
      <c r="B7739" s="216" t="n">
        <v>32.05</v>
      </c>
      <c r="C7739" s="216" t="n">
        <v>53.85</v>
      </c>
      <c r="D7739" s="216" t="n">
        <v>1.150908946990967</v>
      </c>
      <c r="E7739" s="215" t="n">
        <v>45009</v>
      </c>
      <c r="F7739" s="215" t="n">
        <v>45009</v>
      </c>
    </row>
    <row r="7740">
      <c r="A7740" s="215" t="n">
        <v>45012</v>
      </c>
      <c r="B7740" s="216" t="n">
        <v>31.75</v>
      </c>
      <c r="C7740" s="216" t="n">
        <v>55.44</v>
      </c>
      <c r="D7740" s="216" t="n">
        <v>1.14452600479126</v>
      </c>
      <c r="E7740" s="215" t="n">
        <v>45012</v>
      </c>
      <c r="F7740" s="215" t="n">
        <v>45012</v>
      </c>
    </row>
    <row r="7741">
      <c r="A7741" s="215" t="n">
        <v>45013</v>
      </c>
      <c r="B7741" s="216" t="n">
        <v>30.35</v>
      </c>
      <c r="C7741" s="216" t="n">
        <v>53.27</v>
      </c>
      <c r="D7741" s="216" t="n">
        <v>1.140033960342407</v>
      </c>
      <c r="E7741" s="215" t="n">
        <v>45013</v>
      </c>
      <c r="F7741" s="215" t="n">
        <v>45013</v>
      </c>
    </row>
    <row r="7742">
      <c r="A7742" s="215" t="n">
        <v>45014</v>
      </c>
      <c r="B7742" s="216" t="n">
        <v>30.55</v>
      </c>
      <c r="C7742" s="216" t="n">
        <v>52.99</v>
      </c>
      <c r="D7742" s="216" t="n">
        <v>1.141842007637024</v>
      </c>
      <c r="E7742" s="215" t="n">
        <v>45014</v>
      </c>
      <c r="F7742" s="215" t="n">
        <v>45014</v>
      </c>
    </row>
    <row r="7743">
      <c r="A7743" s="215" t="n">
        <v>45015</v>
      </c>
      <c r="B7743" s="216" t="n">
        <v>30</v>
      </c>
      <c r="C7743" s="216" t="n">
        <v>53.32</v>
      </c>
      <c r="D7743" s="216" t="n">
        <v>1.139639973640442</v>
      </c>
      <c r="E7743" s="215" t="n">
        <v>45015</v>
      </c>
      <c r="F7743" s="215" t="n">
        <v>45015</v>
      </c>
    </row>
    <row r="7744">
      <c r="A7744" s="215" t="n">
        <v>45016</v>
      </c>
      <c r="B7744" s="216" t="n">
        <v>30.55</v>
      </c>
      <c r="C7744" s="216" t="n">
        <v>52.36</v>
      </c>
      <c r="D7744" s="216" t="n">
        <v>1.14237904548645</v>
      </c>
      <c r="E7744" s="215" t="n">
        <v>45016</v>
      </c>
      <c r="F7744" s="215" t="n">
        <v>45016</v>
      </c>
    </row>
    <row r="7745">
      <c r="A7745" s="215" t="n">
        <v>45019</v>
      </c>
      <c r="B7745" s="216" t="n">
        <v>29.6</v>
      </c>
      <c r="C7745" s="216" t="n">
        <v>51.99</v>
      </c>
      <c r="D7745" s="216" t="n">
        <v>1.138651013374329</v>
      </c>
      <c r="E7745" s="215" t="n">
        <v>45019</v>
      </c>
      <c r="F7745" s="215" t="n">
        <v>45019</v>
      </c>
    </row>
    <row r="7746">
      <c r="A7746" s="215" t="n">
        <v>45020</v>
      </c>
      <c r="B7746" s="216" t="n">
        <v>30.55</v>
      </c>
      <c r="C7746" s="216" t="n">
        <v>52.24</v>
      </c>
      <c r="D7746" s="216" t="n">
        <v>1.140889048576355</v>
      </c>
      <c r="E7746" s="215" t="n">
        <v>45020</v>
      </c>
      <c r="F7746" s="215" t="n">
        <v>45020</v>
      </c>
    </row>
    <row r="7747">
      <c r="A7747" s="215" t="n">
        <v>45022</v>
      </c>
      <c r="B7747" s="216" t="n">
        <v>31.8</v>
      </c>
      <c r="C7747" s="216" t="n">
        <v>52.55</v>
      </c>
      <c r="D7747" s="216" t="n">
        <v>1.140630006790161</v>
      </c>
      <c r="E7747" s="215" t="n">
        <v>45022</v>
      </c>
      <c r="F7747" s="215" t="n">
        <v>45022</v>
      </c>
    </row>
    <row r="7748">
      <c r="A7748" s="215" t="n">
        <v>45027</v>
      </c>
      <c r="B7748" s="216" t="n">
        <v>32.9</v>
      </c>
      <c r="C7748" s="216" t="n">
        <v>55.85</v>
      </c>
      <c r="D7748" s="216" t="n">
        <v>1.135993003845215</v>
      </c>
      <c r="E7748" s="215" t="n">
        <v>45027</v>
      </c>
      <c r="F7748" s="215" t="n">
        <v>45027</v>
      </c>
    </row>
    <row r="7749">
      <c r="A7749" s="215" t="n">
        <v>45028</v>
      </c>
      <c r="B7749" s="216" t="n">
        <v>32.6</v>
      </c>
      <c r="C7749" s="216" t="n">
        <v>56.02</v>
      </c>
      <c r="D7749" s="216" t="n">
        <v>1.139876961708069</v>
      </c>
      <c r="E7749" s="215" t="n">
        <v>45028</v>
      </c>
      <c r="F7749" s="215" t="n">
        <v>45028</v>
      </c>
    </row>
    <row r="7750">
      <c r="A7750" s="215" t="n">
        <v>45029</v>
      </c>
      <c r="B7750" s="216" t="n">
        <v>34.7</v>
      </c>
      <c r="C7750" s="216" t="n">
        <v>58.64</v>
      </c>
      <c r="D7750" s="216" t="n">
        <v>1.141221046447754</v>
      </c>
      <c r="E7750" s="215" t="n">
        <v>45029</v>
      </c>
      <c r="F7750" s="215" t="n">
        <v>45029</v>
      </c>
    </row>
    <row r="7751">
      <c r="A7751" s="215" t="n">
        <v>45030</v>
      </c>
      <c r="B7751" s="216" t="n">
        <v>35.2</v>
      </c>
      <c r="C7751" s="216" t="n">
        <v>57.91</v>
      </c>
      <c r="D7751" s="216" t="n">
        <v>1.142914056777954</v>
      </c>
      <c r="E7751" s="215" t="n">
        <v>45030</v>
      </c>
      <c r="F7751" s="215" t="n">
        <v>45030</v>
      </c>
    </row>
    <row r="7752">
      <c r="A7752" s="215" t="n">
        <v>45033</v>
      </c>
      <c r="B7752" s="216" t="n">
        <v>35.15</v>
      </c>
      <c r="C7752" s="216" t="n">
        <v>58.33</v>
      </c>
      <c r="D7752" s="216" t="n">
        <v>1.140508055686951</v>
      </c>
      <c r="E7752" s="215" t="n">
        <v>45033</v>
      </c>
      <c r="F7752" s="215" t="n">
        <v>45033</v>
      </c>
    </row>
    <row r="7753">
      <c r="A7753" s="215" t="n">
        <v>45034</v>
      </c>
      <c r="B7753" s="216" t="n">
        <v>34.45</v>
      </c>
      <c r="C7753" s="216" t="n">
        <v>56.32</v>
      </c>
      <c r="D7753" s="216" t="n">
        <v>1.140782952308655</v>
      </c>
      <c r="E7753" s="215" t="n">
        <v>45034</v>
      </c>
      <c r="F7753" s="215" t="n">
        <v>45034</v>
      </c>
    </row>
    <row r="7754">
      <c r="A7754" s="215" t="n">
        <v>45035</v>
      </c>
      <c r="B7754" s="216" t="n">
        <v>33.7</v>
      </c>
      <c r="C7754" s="216" t="n">
        <v>56.65</v>
      </c>
      <c r="D7754" s="216" t="n">
        <v>1.141404986381531</v>
      </c>
      <c r="E7754" s="215" t="n">
        <v>45035</v>
      </c>
      <c r="F7754" s="215" t="n">
        <v>45035</v>
      </c>
    </row>
    <row r="7755">
      <c r="A7755" s="215" t="n">
        <v>45036</v>
      </c>
      <c r="B7755" s="216" t="n">
        <v>32.9</v>
      </c>
      <c r="C7755" s="216" t="n">
        <v>55.23</v>
      </c>
      <c r="D7755" s="216" t="n">
        <v>1.139932990074158</v>
      </c>
      <c r="E7755" s="215" t="n">
        <v>45036</v>
      </c>
      <c r="F7755" s="215" t="n">
        <v>45036</v>
      </c>
    </row>
    <row r="7756">
      <c r="A7756" s="215" t="n">
        <v>45037</v>
      </c>
      <c r="B7756" s="216" t="n">
        <v>33.35</v>
      </c>
      <c r="C7756" s="216" t="n">
        <v>53.57</v>
      </c>
      <c r="D7756" s="216" t="n">
        <v>1.142052054405212</v>
      </c>
      <c r="E7756" s="215" t="n">
        <v>45037</v>
      </c>
      <c r="F7756" s="215" t="n">
        <v>45037</v>
      </c>
    </row>
    <row r="7757">
      <c r="A7757" s="215" t="n">
        <v>45040</v>
      </c>
      <c r="B7757" s="216" t="n">
        <v>32.3</v>
      </c>
      <c r="C7757" s="216" t="n">
        <v>52.58</v>
      </c>
      <c r="D7757" s="216" t="n">
        <v>1.138666033744812</v>
      </c>
      <c r="E7757" s="215" t="n">
        <v>45040</v>
      </c>
      <c r="F7757" s="215" t="n">
        <v>45040</v>
      </c>
    </row>
    <row r="7758">
      <c r="A7758" s="215" t="n">
        <v>45041</v>
      </c>
      <c r="B7758" s="216" t="n">
        <v>30</v>
      </c>
      <c r="C7758" s="216" t="n">
        <v>48.89</v>
      </c>
      <c r="D7758" s="216" t="n">
        <v>1.137948989868164</v>
      </c>
      <c r="E7758" s="215" t="n">
        <v>45041</v>
      </c>
      <c r="F7758" s="215" t="n">
        <v>45041</v>
      </c>
    </row>
    <row r="7759">
      <c r="A7759" s="215" t="n">
        <v>45042</v>
      </c>
      <c r="B7759" s="216" t="n">
        <v>30.1</v>
      </c>
      <c r="C7759" s="216" t="n">
        <v>49.63</v>
      </c>
      <c r="D7759" s="216" t="n">
        <v>1.132081031799316</v>
      </c>
      <c r="E7759" s="215" t="n">
        <v>45042</v>
      </c>
      <c r="F7759" s="215" t="n">
        <v>45042</v>
      </c>
    </row>
    <row r="7760">
      <c r="A7760" s="215" t="n">
        <v>45043</v>
      </c>
      <c r="B7760" s="216" t="n">
        <v>30</v>
      </c>
      <c r="C7760" s="216" t="n">
        <v>49.1</v>
      </c>
      <c r="D7760" s="216" t="n">
        <v>1.132995009422302</v>
      </c>
      <c r="E7760" s="215" t="n">
        <v>45043</v>
      </c>
      <c r="F7760" s="215" t="n">
        <v>45043</v>
      </c>
    </row>
    <row r="7761">
      <c r="A7761" s="215" t="n">
        <v>45044</v>
      </c>
      <c r="B7761" s="216" t="n">
        <v>30.15</v>
      </c>
      <c r="C7761" s="216" t="n">
        <v>49.49</v>
      </c>
      <c r="D7761" s="216" t="n">
        <v>1.133429050445557</v>
      </c>
      <c r="E7761" s="215" t="n">
        <v>45044</v>
      </c>
      <c r="F7761" s="215" t="n">
        <v>45044</v>
      </c>
    </row>
    <row r="7762">
      <c r="A7762" s="215" t="n">
        <v>45048</v>
      </c>
      <c r="B7762" s="216" t="n">
        <v>29.7</v>
      </c>
      <c r="C7762" s="216" t="n">
        <v>49.49</v>
      </c>
      <c r="D7762" s="216" t="n">
        <v>1.132107019424438</v>
      </c>
      <c r="E7762" s="215" t="n">
        <v>45044</v>
      </c>
      <c r="F7762" s="215" t="n">
        <v>45048</v>
      </c>
    </row>
    <row r="7763">
      <c r="A7763" s="215" t="n">
        <v>45049</v>
      </c>
      <c r="B7763" s="216" t="n">
        <v>30.1</v>
      </c>
      <c r="C7763" s="216" t="n">
        <v>49.49</v>
      </c>
      <c r="D7763" s="216" t="n">
        <v>1.135318994522095</v>
      </c>
      <c r="E7763" s="215" t="n">
        <v>45044</v>
      </c>
      <c r="F7763" s="215" t="n">
        <v>45049</v>
      </c>
    </row>
    <row r="7764">
      <c r="A7764" s="215" t="n">
        <v>45050</v>
      </c>
      <c r="B7764" s="216" t="n">
        <v>31.75</v>
      </c>
      <c r="C7764" s="216" t="n">
        <v>49.91</v>
      </c>
      <c r="D7764" s="216" t="n">
        <v>1.135159969329834</v>
      </c>
      <c r="E7764" s="215" t="n">
        <v>45050</v>
      </c>
      <c r="F7764" s="215" t="n">
        <v>45050</v>
      </c>
    </row>
    <row r="7765">
      <c r="A7765" s="215" t="n">
        <v>45051</v>
      </c>
      <c r="B7765" s="216" t="n">
        <v>32.05</v>
      </c>
      <c r="C7765" s="216" t="n">
        <v>49.4</v>
      </c>
      <c r="D7765" s="216" t="n">
        <v>1.13606595993042</v>
      </c>
      <c r="E7765" s="215" t="n">
        <v>45051</v>
      </c>
      <c r="F7765" s="215" t="n">
        <v>45051</v>
      </c>
    </row>
    <row r="7766">
      <c r="A7766" s="215" t="n">
        <v>45054</v>
      </c>
      <c r="B7766" s="216" t="n">
        <v>32.45</v>
      </c>
      <c r="C7766" s="216" t="n">
        <v>49.68</v>
      </c>
      <c r="D7766" s="216" t="n">
        <v>1.135442972183228</v>
      </c>
      <c r="E7766" s="215" t="n">
        <v>45054</v>
      </c>
      <c r="F7766" s="215" t="n">
        <v>45054</v>
      </c>
    </row>
    <row r="7767">
      <c r="A7767" s="215" t="n">
        <v>45055</v>
      </c>
      <c r="B7767" s="216" t="n">
        <v>31</v>
      </c>
      <c r="C7767" s="216" t="n">
        <v>47.66</v>
      </c>
      <c r="D7767" s="216" t="n">
        <v>1.134963989257812</v>
      </c>
      <c r="E7767" s="215" t="n">
        <v>45055</v>
      </c>
      <c r="F7767" s="215" t="n">
        <v>45055</v>
      </c>
    </row>
    <row r="7768">
      <c r="A7768" s="215" t="n">
        <v>45056</v>
      </c>
      <c r="B7768" s="216" t="n">
        <v>31.05</v>
      </c>
      <c r="C7768" s="216" t="n">
        <v>48.29</v>
      </c>
      <c r="D7768" s="216" t="n">
        <v>1.132966995239258</v>
      </c>
      <c r="E7768" s="215" t="n">
        <v>45056</v>
      </c>
      <c r="F7768" s="215" t="n">
        <v>45056</v>
      </c>
    </row>
    <row r="7769">
      <c r="A7769" s="215" t="n">
        <v>45057</v>
      </c>
      <c r="B7769" s="216" t="n">
        <v>32.1</v>
      </c>
      <c r="C7769" s="216" t="n">
        <v>48.28</v>
      </c>
      <c r="D7769" s="216" t="n">
        <v>1.129608988761902</v>
      </c>
      <c r="E7769" s="215" t="n">
        <v>45057</v>
      </c>
      <c r="F7769" s="215" t="n">
        <v>45057</v>
      </c>
    </row>
    <row r="7770">
      <c r="A7770" s="215" t="n">
        <v>45058</v>
      </c>
      <c r="B7770" s="216" t="n">
        <v>30.6</v>
      </c>
      <c r="C7770" s="216" t="n">
        <v>47.1</v>
      </c>
      <c r="D7770" s="216" t="n">
        <v>1.127804040908813</v>
      </c>
      <c r="E7770" s="215" t="n">
        <v>45058</v>
      </c>
      <c r="F7770" s="215" t="n">
        <v>45058</v>
      </c>
    </row>
    <row r="7771">
      <c r="A7771" s="215" t="n">
        <v>45061</v>
      </c>
      <c r="B7771" s="216" t="n">
        <v>30.75</v>
      </c>
      <c r="C7771" s="216" t="n">
        <v>47.88</v>
      </c>
      <c r="D7771" s="216" t="n">
        <v>1.127277016639709</v>
      </c>
      <c r="E7771" s="215" t="n">
        <v>45061</v>
      </c>
      <c r="F7771" s="215" t="n">
        <v>45061</v>
      </c>
    </row>
    <row r="7772">
      <c r="A7772" s="215" t="n">
        <v>45062</v>
      </c>
      <c r="B7772" s="216" t="n">
        <v>31.05</v>
      </c>
      <c r="C7772" s="216" t="n">
        <v>47.46</v>
      </c>
      <c r="D7772" s="216" t="n">
        <v>1.127233982086182</v>
      </c>
      <c r="E7772" s="215" t="n">
        <v>45062</v>
      </c>
      <c r="F7772" s="215" t="n">
        <v>45062</v>
      </c>
    </row>
    <row r="7773">
      <c r="A7773" s="215" t="n">
        <v>45063</v>
      </c>
      <c r="B7773" s="216" t="n">
        <v>30.25</v>
      </c>
      <c r="C7773" s="216" t="n">
        <v>46.54</v>
      </c>
      <c r="D7773" s="216" t="n">
        <v>1.123204946517944</v>
      </c>
      <c r="E7773" s="215" t="n">
        <v>45063</v>
      </c>
      <c r="F7773" s="215" t="n">
        <v>45063</v>
      </c>
    </row>
    <row r="7774">
      <c r="A7774" s="215" t="n">
        <v>45064</v>
      </c>
      <c r="B7774" s="216" t="n">
        <v>29.55</v>
      </c>
      <c r="C7774" s="216" t="n">
        <v>46.23</v>
      </c>
      <c r="D7774" s="216" t="n">
        <v>1.118651986122131</v>
      </c>
      <c r="E7774" s="215" t="n">
        <v>45064</v>
      </c>
      <c r="F7774" s="215" t="n">
        <v>45064</v>
      </c>
    </row>
    <row r="7775">
      <c r="A7775" s="215" t="n">
        <v>45065</v>
      </c>
      <c r="B7775" s="216" t="n">
        <v>29.5</v>
      </c>
      <c r="C7775" s="216" t="n">
        <v>46.97</v>
      </c>
      <c r="D7775" s="216" t="n">
        <v>1.112360954284668</v>
      </c>
      <c r="E7775" s="215" t="n">
        <v>45065</v>
      </c>
      <c r="F7775" s="215" t="n">
        <v>45065</v>
      </c>
    </row>
    <row r="7776">
      <c r="A7776" s="215" t="n">
        <v>45068</v>
      </c>
      <c r="B7776" s="216" t="n">
        <v>30</v>
      </c>
      <c r="C7776" s="216" t="n">
        <v>47.75</v>
      </c>
      <c r="D7776" s="216" t="n">
        <v>1.118953943252563</v>
      </c>
      <c r="E7776" s="215" t="n">
        <v>45068</v>
      </c>
      <c r="F7776" s="215" t="n">
        <v>45068</v>
      </c>
    </row>
    <row r="7777">
      <c r="A7777" s="215" t="n">
        <v>45069</v>
      </c>
      <c r="B7777" s="216" t="n">
        <v>30.75</v>
      </c>
      <c r="C7777" s="216" t="n">
        <v>48.08</v>
      </c>
      <c r="D7777" s="216" t="n">
        <v>1.1127769947052</v>
      </c>
      <c r="E7777" s="215" t="n">
        <v>45069</v>
      </c>
      <c r="F7777" s="215" t="n">
        <v>45069</v>
      </c>
    </row>
    <row r="7778">
      <c r="A7778" s="215" t="n">
        <v>45070</v>
      </c>
      <c r="B7778" s="216" t="n">
        <v>30.95</v>
      </c>
      <c r="C7778" s="216" t="n">
        <v>48.15</v>
      </c>
      <c r="D7778" s="216" t="n">
        <v>1.110573053359985</v>
      </c>
      <c r="E7778" s="215" t="n">
        <v>45070</v>
      </c>
      <c r="F7778" s="215" t="n">
        <v>45070</v>
      </c>
    </row>
    <row r="7779">
      <c r="A7779" s="215" t="n">
        <v>45071</v>
      </c>
      <c r="B7779" s="216" t="n">
        <v>30</v>
      </c>
      <c r="C7779" s="216" t="n">
        <v>47.45</v>
      </c>
      <c r="D7779" s="216" t="n">
        <v>1.108927965164185</v>
      </c>
      <c r="E7779" s="215" t="n">
        <v>45071</v>
      </c>
      <c r="F7779" s="215" t="n">
        <v>45071</v>
      </c>
    </row>
    <row r="7780">
      <c r="A7780" s="215" t="n">
        <v>45075</v>
      </c>
      <c r="B7780" s="216" t="n">
        <v>29.5</v>
      </c>
      <c r="C7780" s="216" t="n">
        <v>46.56</v>
      </c>
      <c r="D7780" s="216" t="n">
        <v>1.107897043228149</v>
      </c>
      <c r="E7780" s="215" t="n">
        <v>45075</v>
      </c>
      <c r="F7780" s="215" t="n">
        <v>45075</v>
      </c>
    </row>
    <row r="7781">
      <c r="A7781" s="215" t="n">
        <v>45076</v>
      </c>
      <c r="B7781" s="216" t="n">
        <v>29.6</v>
      </c>
      <c r="C7781" s="216" t="n">
        <v>45.8</v>
      </c>
      <c r="D7781" s="216" t="n">
        <v>1.10659396648407</v>
      </c>
      <c r="E7781" s="215" t="n">
        <v>45076</v>
      </c>
      <c r="F7781" s="215" t="n">
        <v>45076</v>
      </c>
    </row>
    <row r="7782">
      <c r="A7782" s="215" t="n">
        <v>45077</v>
      </c>
      <c r="B7782" s="216" t="n">
        <v>28.3</v>
      </c>
      <c r="C7782" s="216" t="n">
        <v>45.22</v>
      </c>
      <c r="D7782" s="216" t="n">
        <v>1.106397032737732</v>
      </c>
      <c r="E7782" s="215" t="n">
        <v>45077</v>
      </c>
      <c r="F7782" s="215" t="n">
        <v>45077</v>
      </c>
    </row>
    <row r="7783">
      <c r="A7783" s="215" t="n">
        <v>45078</v>
      </c>
      <c r="B7783" s="216" t="n">
        <v>28.95</v>
      </c>
      <c r="C7783" s="216" t="n">
        <v>46.59</v>
      </c>
      <c r="D7783" s="216" t="n">
        <v>1.101158976554871</v>
      </c>
      <c r="E7783" s="215" t="n">
        <v>45078</v>
      </c>
      <c r="F7783" s="215" t="n">
        <v>45078</v>
      </c>
    </row>
    <row r="7784">
      <c r="A7784" s="215" t="n">
        <v>45079</v>
      </c>
      <c r="B7784" s="216" t="n">
        <v>28.8</v>
      </c>
      <c r="C7784" s="216" t="n">
        <v>46.43</v>
      </c>
      <c r="D7784" s="216" t="n">
        <v>1.103572010993958</v>
      </c>
      <c r="E7784" s="215" t="n">
        <v>45079</v>
      </c>
      <c r="F7784" s="215" t="n">
        <v>45079</v>
      </c>
    </row>
    <row r="7785">
      <c r="A7785" s="215" t="n">
        <v>45082</v>
      </c>
      <c r="B7785" s="216" t="n">
        <v>28.6</v>
      </c>
      <c r="C7785" s="216" t="n">
        <v>44.98</v>
      </c>
      <c r="D7785" s="216" t="n">
        <v>1.10276198387146</v>
      </c>
      <c r="E7785" s="215" t="n">
        <v>45082</v>
      </c>
      <c r="F7785" s="215" t="n">
        <v>45082</v>
      </c>
    </row>
    <row r="7786">
      <c r="A7786" s="215" t="n">
        <v>45083</v>
      </c>
      <c r="B7786" s="216" t="n">
        <v>28.3</v>
      </c>
      <c r="C7786" s="216" t="n">
        <v>43.53</v>
      </c>
      <c r="D7786" s="216" t="n">
        <v>1.103441953659058</v>
      </c>
      <c r="E7786" s="215" t="n">
        <v>45083</v>
      </c>
      <c r="F7786" s="215" t="n">
        <v>45083</v>
      </c>
    </row>
    <row r="7787">
      <c r="A7787" s="215" t="n">
        <v>45084</v>
      </c>
      <c r="B7787" s="216" t="n">
        <v>28.75</v>
      </c>
      <c r="C7787" s="216" t="n">
        <v>43.38</v>
      </c>
      <c r="D7787" s="216" t="n">
        <v>1.10180401802063</v>
      </c>
      <c r="E7787" s="215" t="n">
        <v>45084</v>
      </c>
      <c r="F7787" s="215" t="n">
        <v>45084</v>
      </c>
    </row>
    <row r="7788">
      <c r="A7788" s="215" t="n">
        <v>45085</v>
      </c>
      <c r="B7788" s="216" t="n">
        <v>28.75</v>
      </c>
      <c r="C7788" s="216" t="n">
        <v>43.56</v>
      </c>
      <c r="D7788" s="216" t="n">
        <v>1.099845051765442</v>
      </c>
      <c r="E7788" s="215" t="n">
        <v>45085</v>
      </c>
      <c r="F7788" s="215" t="n">
        <v>45085</v>
      </c>
    </row>
    <row r="7789">
      <c r="A7789" s="215" t="n">
        <v>45086</v>
      </c>
      <c r="B7789" s="216" t="n">
        <v>30.15</v>
      </c>
      <c r="C7789" s="216" t="n">
        <v>45.3</v>
      </c>
      <c r="D7789" s="216" t="n">
        <v>1.101685047149658</v>
      </c>
      <c r="E7789" s="215" t="n">
        <v>45086</v>
      </c>
      <c r="F7789" s="215" t="n">
        <v>45086</v>
      </c>
    </row>
    <row r="7790">
      <c r="A7790" s="215" t="n">
        <v>45089</v>
      </c>
      <c r="B7790" s="216" t="n">
        <v>29.85</v>
      </c>
      <c r="C7790" s="216" t="n">
        <v>45.2</v>
      </c>
      <c r="D7790" s="216" t="n">
        <v>1.099730968475342</v>
      </c>
      <c r="E7790" s="215" t="n">
        <v>45089</v>
      </c>
      <c r="F7790" s="215" t="n">
        <v>45089</v>
      </c>
    </row>
    <row r="7791">
      <c r="A7791" s="215" t="n">
        <v>45090</v>
      </c>
      <c r="B7791" s="216" t="n">
        <v>29.5</v>
      </c>
      <c r="C7791" s="216" t="n">
        <v>44.61</v>
      </c>
      <c r="D7791" s="216" t="n">
        <v>1.096243977546692</v>
      </c>
      <c r="E7791" s="215" t="n">
        <v>45090</v>
      </c>
      <c r="F7791" s="215" t="n">
        <v>45090</v>
      </c>
    </row>
    <row r="7792">
      <c r="A7792" s="215" t="n">
        <v>45091</v>
      </c>
      <c r="B7792" s="216" t="n">
        <v>29.4</v>
      </c>
      <c r="C7792" s="216" t="n">
        <v>43.96</v>
      </c>
      <c r="D7792" s="216" t="n">
        <v>1.092831969261169</v>
      </c>
      <c r="E7792" s="215" t="n">
        <v>45091</v>
      </c>
      <c r="F7792" s="215" t="n">
        <v>45091</v>
      </c>
    </row>
    <row r="7793">
      <c r="A7793" s="215" t="n">
        <v>45092</v>
      </c>
      <c r="B7793" s="216" t="n">
        <v>30.85</v>
      </c>
      <c r="C7793" s="216" t="n">
        <v>45.72</v>
      </c>
      <c r="D7793" s="216" t="n">
        <v>1.093112945556641</v>
      </c>
      <c r="E7793" s="215" t="n">
        <v>45092</v>
      </c>
      <c r="F7793" s="215" t="n">
        <v>45092</v>
      </c>
    </row>
    <row r="7794">
      <c r="A7794" s="215" t="n">
        <v>45093</v>
      </c>
      <c r="B7794" s="216" t="n">
        <v>31.6</v>
      </c>
      <c r="C7794" s="216" t="n">
        <v>45.6</v>
      </c>
      <c r="D7794" s="216" t="n">
        <v>1.098376989364624</v>
      </c>
      <c r="E7794" s="215" t="n">
        <v>45093</v>
      </c>
      <c r="F7794" s="215" t="n">
        <v>45093</v>
      </c>
    </row>
    <row r="7795">
      <c r="A7795" s="215" t="n">
        <v>45096</v>
      </c>
      <c r="B7795" s="216" t="n">
        <v>31.2</v>
      </c>
      <c r="C7795" s="216" t="n">
        <v>44.74</v>
      </c>
      <c r="D7795" s="216" t="n">
        <v>1.097730040550232</v>
      </c>
      <c r="E7795" s="215" t="n">
        <v>45096</v>
      </c>
      <c r="F7795" s="215" t="n">
        <v>45096</v>
      </c>
    </row>
    <row r="7796">
      <c r="A7796" s="215" t="n">
        <v>45097</v>
      </c>
      <c r="B7796" s="216" t="n">
        <v>20.9</v>
      </c>
      <c r="C7796" s="216" t="n">
        <v>44.28</v>
      </c>
      <c r="D7796" s="216" t="n">
        <v>1.091591000556946</v>
      </c>
      <c r="E7796" s="215" t="n">
        <v>45097</v>
      </c>
      <c r="F7796" s="215" t="n">
        <v>45097</v>
      </c>
    </row>
    <row r="7797">
      <c r="A7797" s="215" t="n">
        <v>45098</v>
      </c>
      <c r="B7797" s="216" t="n">
        <v>20.1</v>
      </c>
      <c r="C7797" s="216" t="n">
        <v>41.79</v>
      </c>
      <c r="D7797" s="216" t="n">
        <v>1.089725017547607</v>
      </c>
      <c r="E7797" s="215" t="n">
        <v>45098</v>
      </c>
      <c r="F7797" s="215" t="n">
        <v>45098</v>
      </c>
    </row>
    <row r="7798">
      <c r="A7798" s="215" t="n">
        <v>45100</v>
      </c>
      <c r="B7798" s="216" t="n">
        <v>17.84</v>
      </c>
      <c r="C7798" s="216" t="n">
        <v>41.79</v>
      </c>
      <c r="D7798" s="216" t="n">
        <v>1.090543031692505</v>
      </c>
      <c r="E7798" s="215" t="n">
        <v>45098</v>
      </c>
      <c r="F7798" s="215" t="n">
        <v>45100</v>
      </c>
    </row>
    <row r="7799">
      <c r="A7799" s="215" t="n">
        <v>45103</v>
      </c>
      <c r="B7799" s="216" t="n">
        <v>19.48</v>
      </c>
      <c r="C7799" s="216" t="n">
        <v>41.62</v>
      </c>
      <c r="D7799" s="216" t="n">
        <v>1.092113971710205</v>
      </c>
      <c r="E7799" s="215" t="n">
        <v>45103</v>
      </c>
      <c r="F7799" s="215" t="n">
        <v>45103</v>
      </c>
    </row>
    <row r="7800">
      <c r="A7800" s="215" t="n">
        <v>45104</v>
      </c>
      <c r="B7800" s="216" t="n">
        <v>19.08</v>
      </c>
      <c r="C7800" s="216" t="n">
        <v>41.31</v>
      </c>
      <c r="D7800" s="216" t="n">
        <v>1.081884026527405</v>
      </c>
      <c r="E7800" s="215" t="n">
        <v>45104</v>
      </c>
      <c r="F7800" s="215" t="n">
        <v>45104</v>
      </c>
    </row>
    <row r="7801">
      <c r="A7801" s="215" t="n">
        <v>45105</v>
      </c>
      <c r="B7801" s="216" t="n">
        <v>18.68</v>
      </c>
      <c r="C7801" s="216" t="n">
        <v>40.8</v>
      </c>
      <c r="D7801" s="216" t="n">
        <v>1.084810972213745</v>
      </c>
      <c r="E7801" s="215" t="n">
        <v>45105</v>
      </c>
      <c r="F7801" s="215" t="n">
        <v>45105</v>
      </c>
    </row>
    <row r="7802">
      <c r="A7802" s="215" t="n">
        <v>45106</v>
      </c>
      <c r="B7802" s="216" t="n">
        <v>18.78</v>
      </c>
      <c r="C7802" s="216" t="n">
        <v>40.18</v>
      </c>
      <c r="D7802" s="216" t="n">
        <v>1.081053972244263</v>
      </c>
      <c r="E7802" s="215" t="n">
        <v>45106</v>
      </c>
      <c r="F7802" s="215" t="n">
        <v>45106</v>
      </c>
    </row>
    <row r="7803">
      <c r="A7803" s="215" t="n">
        <v>45107</v>
      </c>
      <c r="B7803" s="216" t="n">
        <v>19.7</v>
      </c>
      <c r="C7803" s="216" t="n">
        <v>40.9</v>
      </c>
      <c r="D7803" s="216" t="n">
        <v>1.080832958221436</v>
      </c>
      <c r="E7803" s="215" t="n">
        <v>45107</v>
      </c>
      <c r="F7803" s="215" t="n">
        <v>45107</v>
      </c>
    </row>
    <row r="7804">
      <c r="A7804" s="215" t="n">
        <v>45110</v>
      </c>
      <c r="B7804" s="216" t="n">
        <v>20</v>
      </c>
      <c r="C7804" s="216" t="n">
        <v>41.25</v>
      </c>
      <c r="D7804" s="216" t="n">
        <v>1.080121040344238</v>
      </c>
      <c r="E7804" s="215" t="n">
        <v>45110</v>
      </c>
      <c r="F7804" s="215" t="n">
        <v>45110</v>
      </c>
    </row>
    <row r="7805">
      <c r="A7805" s="215" t="n">
        <v>45111</v>
      </c>
      <c r="B7805" s="216" t="n">
        <v>20.95</v>
      </c>
      <c r="C7805" s="216" t="n">
        <v>41.96</v>
      </c>
      <c r="D7805" s="216" t="n">
        <v>1.08187997341156</v>
      </c>
      <c r="E7805" s="215" t="n">
        <v>45111</v>
      </c>
      <c r="F7805" s="215" t="n">
        <v>45111</v>
      </c>
    </row>
    <row r="7806">
      <c r="A7806" s="215" t="n">
        <v>45112</v>
      </c>
      <c r="B7806" s="216" t="n">
        <v>21.1</v>
      </c>
      <c r="C7806" s="216" t="n">
        <v>41.5</v>
      </c>
      <c r="D7806" s="216" t="n">
        <v>1.085320949554443</v>
      </c>
      <c r="E7806" s="215" t="n">
        <v>45112</v>
      </c>
      <c r="F7806" s="215" t="n">
        <v>45112</v>
      </c>
    </row>
    <row r="7807">
      <c r="A7807" s="215" t="n">
        <v>45113</v>
      </c>
      <c r="B7807" s="216" t="n">
        <v>20.55</v>
      </c>
      <c r="C7807" s="216" t="n">
        <v>40.84</v>
      </c>
      <c r="D7807" s="216" t="n">
        <v>1.079206943511963</v>
      </c>
      <c r="E7807" s="215" t="n">
        <v>45113</v>
      </c>
      <c r="F7807" s="215" t="n">
        <v>45113</v>
      </c>
    </row>
    <row r="7808">
      <c r="A7808" s="215" t="n">
        <v>45114</v>
      </c>
      <c r="B7808" s="216" t="n">
        <v>19.96</v>
      </c>
      <c r="C7808" s="216" t="n">
        <v>40.31</v>
      </c>
      <c r="D7808" s="216" t="n">
        <v>1.078516960144043</v>
      </c>
      <c r="E7808" s="215" t="n">
        <v>45114</v>
      </c>
      <c r="F7808" s="215" t="n">
        <v>45114</v>
      </c>
    </row>
    <row r="7809">
      <c r="A7809" s="215" t="n">
        <v>45117</v>
      </c>
      <c r="B7809" s="216" t="n">
        <v>20</v>
      </c>
      <c r="C7809" s="216" t="n">
        <v>40.53</v>
      </c>
      <c r="D7809" s="216" t="n">
        <v>1.095139026641846</v>
      </c>
      <c r="E7809" s="215" t="n">
        <v>45117</v>
      </c>
      <c r="F7809" s="215" t="n">
        <v>45117</v>
      </c>
    </row>
    <row r="7810">
      <c r="A7810" s="215" t="n">
        <v>45118</v>
      </c>
      <c r="B7810" s="216" t="n">
        <v>19.96</v>
      </c>
      <c r="C7810" s="216" t="n">
        <v>40.65</v>
      </c>
      <c r="D7810" s="216" t="n">
        <v>1.082510948181152</v>
      </c>
      <c r="E7810" s="215" t="n">
        <v>45118</v>
      </c>
      <c r="F7810" s="215" t="n">
        <v>45118</v>
      </c>
    </row>
    <row r="7811">
      <c r="A7811" s="215" t="n">
        <v>45119</v>
      </c>
      <c r="B7811" s="216" t="n">
        <v>19.9</v>
      </c>
      <c r="C7811" s="216" t="n">
        <v>39.88</v>
      </c>
      <c r="D7811" s="216" t="n">
        <v>1.085523009300232</v>
      </c>
      <c r="E7811" s="215" t="n">
        <v>45119</v>
      </c>
      <c r="F7811" s="215" t="n">
        <v>45119</v>
      </c>
    </row>
    <row r="7812">
      <c r="A7812" s="215" t="n">
        <v>45120</v>
      </c>
      <c r="B7812" s="216" t="n">
        <v>21.1</v>
      </c>
      <c r="C7812" s="216" t="n">
        <v>41.36</v>
      </c>
      <c r="D7812" s="216" t="n">
        <v>1.091933012008667</v>
      </c>
      <c r="E7812" s="215" t="n">
        <v>45120</v>
      </c>
      <c r="F7812" s="215" t="n">
        <v>45120</v>
      </c>
    </row>
    <row r="7813">
      <c r="A7813" s="215" t="n">
        <v>45121</v>
      </c>
      <c r="B7813" s="216" t="n">
        <v>21.3</v>
      </c>
      <c r="C7813" s="216" t="n">
        <v>40.95</v>
      </c>
      <c r="D7813" s="216" t="n">
        <v>1.093255996704102</v>
      </c>
      <c r="E7813" s="215" t="n">
        <v>45121</v>
      </c>
      <c r="F7813" s="215" t="n">
        <v>45121</v>
      </c>
    </row>
    <row r="7814">
      <c r="A7814" s="215" t="n">
        <v>45125</v>
      </c>
      <c r="B7814" s="216" t="n">
        <v>20.9</v>
      </c>
      <c r="C7814" s="216" t="n">
        <v>37.83</v>
      </c>
      <c r="D7814" s="216" t="n">
        <v>1.089244961738586</v>
      </c>
      <c r="E7814" s="215" t="n">
        <v>45125</v>
      </c>
      <c r="F7814" s="215" t="n">
        <v>45125</v>
      </c>
    </row>
    <row r="7815">
      <c r="A7815" s="215" t="n">
        <v>45126</v>
      </c>
      <c r="B7815" s="216" t="n">
        <v>20.25</v>
      </c>
      <c r="C7815" s="216" t="n">
        <v>37.75</v>
      </c>
      <c r="D7815" s="216" t="n">
        <v>1.088175058364868</v>
      </c>
      <c r="E7815" s="215" t="n">
        <v>45126</v>
      </c>
      <c r="F7815" s="215" t="n">
        <v>45126</v>
      </c>
    </row>
    <row r="7816">
      <c r="A7816" s="215" t="n">
        <v>45127</v>
      </c>
      <c r="B7816" s="216" t="n">
        <v>19.44</v>
      </c>
      <c r="C7816" s="216" t="n">
        <v>37.2</v>
      </c>
      <c r="D7816" s="216" t="n">
        <v>1.080250978469849</v>
      </c>
      <c r="E7816" s="215" t="n">
        <v>45127</v>
      </c>
      <c r="F7816" s="215" t="n">
        <v>45127</v>
      </c>
    </row>
    <row r="7817">
      <c r="A7817" s="215" t="n">
        <v>45128</v>
      </c>
      <c r="B7817" s="216" t="n">
        <v>18.8</v>
      </c>
      <c r="C7817" s="216" t="n">
        <v>37.2</v>
      </c>
      <c r="D7817" s="216" t="n">
        <v>1.088490962982178</v>
      </c>
      <c r="E7817" s="215" t="n">
        <v>45128</v>
      </c>
      <c r="F7817" s="215" t="n">
        <v>45128</v>
      </c>
    </row>
    <row r="7818">
      <c r="A7818" s="215" t="n">
        <v>45131</v>
      </c>
      <c r="B7818" s="216" t="n">
        <v>18.12</v>
      </c>
      <c r="C7818" s="216" t="n">
        <v>37.23</v>
      </c>
      <c r="D7818" s="216" t="n">
        <v>1.096070051193237</v>
      </c>
      <c r="E7818" s="215" t="n">
        <v>45131</v>
      </c>
      <c r="F7818" s="215" t="n">
        <v>45131</v>
      </c>
    </row>
    <row r="7819">
      <c r="A7819" s="215" t="n">
        <v>45132</v>
      </c>
      <c r="B7819" s="216" t="n">
        <v>19.06</v>
      </c>
      <c r="C7819" s="216" t="n">
        <v>26.75</v>
      </c>
      <c r="D7819" s="216" t="n">
        <v>1.087272047996521</v>
      </c>
      <c r="E7819" s="215" t="n">
        <v>45132</v>
      </c>
      <c r="F7819" s="215" t="n">
        <v>45132</v>
      </c>
    </row>
    <row r="7820">
      <c r="A7820" s="215" t="n">
        <v>45133</v>
      </c>
      <c r="B7820" s="216" t="n">
        <v>19</v>
      </c>
      <c r="C7820" s="216" t="n">
        <v>27.4</v>
      </c>
      <c r="D7820" s="216" t="n">
        <v>1.094627976417542</v>
      </c>
      <c r="E7820" s="215" t="n">
        <v>45133</v>
      </c>
      <c r="F7820" s="215" t="n">
        <v>45133</v>
      </c>
    </row>
    <row r="7821">
      <c r="A7821" s="215" t="n">
        <v>45134</v>
      </c>
      <c r="B7821" s="216" t="n">
        <v>19.54</v>
      </c>
      <c r="C7821" s="216" t="n">
        <v>27.17</v>
      </c>
      <c r="D7821" s="216" t="n">
        <v>1.090775966644287</v>
      </c>
      <c r="E7821" s="215" t="n">
        <v>45134</v>
      </c>
      <c r="F7821" s="215" t="n">
        <v>45134</v>
      </c>
    </row>
    <row r="7822">
      <c r="A7822" s="215" t="n">
        <v>45135</v>
      </c>
      <c r="B7822" s="216" t="n">
        <v>20.45</v>
      </c>
      <c r="C7822" s="216" t="n">
        <v>27.74</v>
      </c>
      <c r="D7822" s="216" t="n">
        <v>1.087054014205933</v>
      </c>
      <c r="E7822" s="215" t="n">
        <v>45135</v>
      </c>
      <c r="F7822" s="215" t="n">
        <v>45135</v>
      </c>
    </row>
    <row r="7823">
      <c r="A7823" s="215" t="n">
        <v>45138</v>
      </c>
      <c r="B7823" s="216" t="n">
        <v>20.4</v>
      </c>
      <c r="C7823" s="216" t="n">
        <v>28.03</v>
      </c>
      <c r="D7823" s="216" t="n">
        <v>1.097965002059937</v>
      </c>
      <c r="E7823" s="215" t="n">
        <v>45138</v>
      </c>
      <c r="F7823" s="215" t="n">
        <v>45138</v>
      </c>
    </row>
    <row r="7824">
      <c r="A7824" s="215" t="n">
        <v>45139</v>
      </c>
      <c r="B7824" s="216" t="n">
        <v>19.64</v>
      </c>
      <c r="C7824" s="216" t="n">
        <v>27.66</v>
      </c>
      <c r="D7824" s="216" t="n">
        <v>1.096930980682373</v>
      </c>
      <c r="E7824" s="215" t="n">
        <v>45139</v>
      </c>
      <c r="F7824" s="215" t="n">
        <v>45139</v>
      </c>
    </row>
    <row r="7825">
      <c r="A7825" s="215" t="n">
        <v>45140</v>
      </c>
      <c r="B7825" s="216" t="n">
        <v>18.94</v>
      </c>
      <c r="C7825" s="216" t="n">
        <v>27.6</v>
      </c>
      <c r="D7825" s="216" t="n">
        <v>1.092203974723816</v>
      </c>
      <c r="E7825" s="215" t="n">
        <v>45140</v>
      </c>
      <c r="F7825" s="215" t="n">
        <v>45140</v>
      </c>
    </row>
    <row r="7826">
      <c r="A7826" s="215" t="n">
        <v>45141</v>
      </c>
      <c r="B7826" s="216" t="n">
        <v>19.5</v>
      </c>
      <c r="C7826" s="216" t="n">
        <v>28.27</v>
      </c>
      <c r="D7826" s="216" t="n">
        <v>1.090474963188171</v>
      </c>
      <c r="E7826" s="215" t="n">
        <v>45141</v>
      </c>
      <c r="F7826" s="215" t="n">
        <v>45141</v>
      </c>
    </row>
    <row r="7827">
      <c r="A7827" s="215" t="n">
        <v>45142</v>
      </c>
      <c r="B7827" s="216" t="n">
        <v>19.8</v>
      </c>
      <c r="C7827" s="216" t="n">
        <v>27.74</v>
      </c>
      <c r="D7827" s="216" t="n">
        <v>1.09414005279541</v>
      </c>
      <c r="E7827" s="215" t="n">
        <v>45142</v>
      </c>
      <c r="F7827" s="215" t="n">
        <v>45142</v>
      </c>
    </row>
    <row r="7828">
      <c r="A7828" s="215" t="n">
        <v>45145</v>
      </c>
      <c r="B7828" s="216" t="n">
        <v>18.48</v>
      </c>
      <c r="C7828" s="216" t="n">
        <v>27.34</v>
      </c>
      <c r="D7828" s="216" t="n">
        <v>1.098598957061768</v>
      </c>
      <c r="E7828" s="215" t="n">
        <v>45145</v>
      </c>
      <c r="F7828" s="215" t="n">
        <v>45145</v>
      </c>
    </row>
    <row r="7829">
      <c r="A7829" s="215" t="n">
        <v>45146</v>
      </c>
      <c r="B7829" s="216" t="n">
        <v>18.14</v>
      </c>
      <c r="C7829" s="216" t="n">
        <v>27.09</v>
      </c>
      <c r="D7829" s="216" t="n">
        <v>1.091063976287842</v>
      </c>
      <c r="E7829" s="215" t="n">
        <v>45146</v>
      </c>
      <c r="F7829" s="215" t="n">
        <v>45146</v>
      </c>
    </row>
    <row r="7830">
      <c r="A7830" s="215" t="n">
        <v>45147</v>
      </c>
      <c r="B7830" s="216" t="n">
        <v>18.86</v>
      </c>
      <c r="C7830" s="216" t="n">
        <v>28.46</v>
      </c>
      <c r="D7830" s="216" t="n">
        <v>1.087746977806091</v>
      </c>
      <c r="E7830" s="215" t="n">
        <v>45147</v>
      </c>
      <c r="F7830" s="215" t="n">
        <v>45147</v>
      </c>
    </row>
    <row r="7831">
      <c r="A7831" s="215" t="n">
        <v>45148</v>
      </c>
      <c r="B7831" s="216" t="n">
        <v>18.76</v>
      </c>
      <c r="C7831" s="216" t="n">
        <v>28.28</v>
      </c>
      <c r="D7831" s="216" t="n">
        <v>1.089905977249146</v>
      </c>
      <c r="E7831" s="215" t="n">
        <v>45148</v>
      </c>
      <c r="F7831" s="215" t="n">
        <v>45148</v>
      </c>
    </row>
    <row r="7832">
      <c r="A7832" s="215" t="n">
        <v>45149</v>
      </c>
      <c r="B7832" s="216" t="n">
        <v>18.14</v>
      </c>
      <c r="C7832" s="216" t="n">
        <v>27.39</v>
      </c>
      <c r="D7832" s="216" t="n">
        <v>1.086997985839844</v>
      </c>
      <c r="E7832" s="215" t="n">
        <v>45149</v>
      </c>
      <c r="F7832" s="215" t="n">
        <v>45149</v>
      </c>
    </row>
    <row r="7833">
      <c r="A7833" s="215" t="n">
        <v>45152</v>
      </c>
      <c r="B7833" s="216" t="n">
        <v>17.8</v>
      </c>
      <c r="C7833" s="216" t="n">
        <v>26.8</v>
      </c>
      <c r="D7833" s="216" t="n">
        <v>1.081287026405334</v>
      </c>
      <c r="E7833" s="215" t="n">
        <v>45152</v>
      </c>
      <c r="F7833" s="215" t="n">
        <v>45152</v>
      </c>
    </row>
    <row r="7834">
      <c r="A7834" s="215" t="n">
        <v>45153</v>
      </c>
      <c r="B7834" s="216" t="n">
        <v>17.88</v>
      </c>
      <c r="C7834" s="216" t="n">
        <v>26.51</v>
      </c>
      <c r="D7834" s="216" t="n">
        <v>1.08362603187561</v>
      </c>
      <c r="E7834" s="215" t="n">
        <v>45153</v>
      </c>
      <c r="F7834" s="215" t="n">
        <v>45153</v>
      </c>
    </row>
    <row r="7835">
      <c r="A7835" s="215" t="n">
        <v>45154</v>
      </c>
      <c r="B7835" s="216" t="n">
        <v>17.58</v>
      </c>
      <c r="C7835" s="216" t="n">
        <v>25.99</v>
      </c>
      <c r="D7835" s="216" t="n">
        <v>1.077635049819946</v>
      </c>
      <c r="E7835" s="215" t="n">
        <v>45154</v>
      </c>
      <c r="F7835" s="215" t="n">
        <v>45154</v>
      </c>
    </row>
    <row r="7836">
      <c r="A7836" s="215" t="n">
        <v>45155</v>
      </c>
      <c r="B7836" s="216" t="n">
        <v>17.42</v>
      </c>
      <c r="C7836" s="216" t="n">
        <v>26.08</v>
      </c>
      <c r="D7836" s="216" t="n">
        <v>1.081539988517761</v>
      </c>
      <c r="E7836" s="215" t="n">
        <v>45155</v>
      </c>
      <c r="F7836" s="215" t="n">
        <v>45155</v>
      </c>
    </row>
    <row r="7837">
      <c r="A7837" s="215" t="n">
        <v>45156</v>
      </c>
      <c r="B7837" s="216" t="n">
        <v>16.9</v>
      </c>
      <c r="C7837" s="216" t="n">
        <v>25.38</v>
      </c>
      <c r="D7837" s="216" t="n">
        <v>1.085598945617676</v>
      </c>
      <c r="E7837" s="215" t="n">
        <v>45156</v>
      </c>
      <c r="F7837" s="215" t="n">
        <v>45156</v>
      </c>
    </row>
    <row r="7838">
      <c r="A7838" s="215" t="n">
        <v>45159</v>
      </c>
      <c r="B7838" s="216" t="n">
        <v>16.72</v>
      </c>
      <c r="C7838" s="216" t="n">
        <v>25.06</v>
      </c>
      <c r="D7838" s="216" t="n">
        <v>1.086933016777039</v>
      </c>
      <c r="E7838" s="215" t="n">
        <v>45159</v>
      </c>
      <c r="F7838" s="215" t="n">
        <v>45159</v>
      </c>
    </row>
    <row r="7839">
      <c r="A7839" s="215" t="n">
        <v>45160</v>
      </c>
      <c r="B7839" s="216" t="n">
        <v>16.32</v>
      </c>
      <c r="C7839" s="216" t="n">
        <v>24.93</v>
      </c>
      <c r="D7839" s="216" t="n">
        <v>1.089496970176697</v>
      </c>
      <c r="E7839" s="215" t="n">
        <v>45160</v>
      </c>
      <c r="F7839" s="215" t="n">
        <v>45160</v>
      </c>
    </row>
    <row r="7840">
      <c r="A7840" s="215" t="n">
        <v>45161</v>
      </c>
      <c r="B7840" s="216" t="n">
        <v>15.7</v>
      </c>
      <c r="C7840" s="216" t="n">
        <v>23.88</v>
      </c>
      <c r="D7840" s="216" t="n">
        <v>1.088055968284607</v>
      </c>
      <c r="E7840" s="215" t="n">
        <v>45161</v>
      </c>
      <c r="F7840" s="215" t="n">
        <v>45161</v>
      </c>
    </row>
    <row r="7841">
      <c r="A7841" s="215" t="n">
        <v>45162</v>
      </c>
      <c r="B7841" s="216" t="n">
        <v>16.5</v>
      </c>
      <c r="C7841" s="216" t="n">
        <v>24.86</v>
      </c>
      <c r="D7841" s="216" t="n">
        <v>1.091747045516968</v>
      </c>
      <c r="E7841" s="215" t="n">
        <v>45162</v>
      </c>
      <c r="F7841" s="215" t="n">
        <v>45162</v>
      </c>
    </row>
    <row r="7842">
      <c r="A7842" s="215" t="n">
        <v>45163</v>
      </c>
      <c r="B7842" s="216" t="n">
        <v>16.06</v>
      </c>
      <c r="C7842" s="216" t="n">
        <v>24.14</v>
      </c>
      <c r="D7842" s="216" t="n">
        <v>1.091843008995056</v>
      </c>
      <c r="E7842" s="215" t="n">
        <v>45163</v>
      </c>
      <c r="F7842" s="215" t="n">
        <v>45163</v>
      </c>
    </row>
    <row r="7843">
      <c r="A7843" s="215" t="n">
        <v>45166</v>
      </c>
      <c r="B7843" s="216" t="n">
        <v>15.7</v>
      </c>
      <c r="C7843" s="216" t="n">
        <v>24.34</v>
      </c>
      <c r="D7843" s="216" t="n">
        <v>1.090361952781677</v>
      </c>
      <c r="E7843" s="215" t="n">
        <v>45166</v>
      </c>
      <c r="F7843" s="215" t="n">
        <v>45166</v>
      </c>
    </row>
    <row r="7844">
      <c r="A7844" s="215" t="n">
        <v>45167</v>
      </c>
      <c r="B7844" s="216" t="n">
        <v>15.98</v>
      </c>
      <c r="C7844" s="216" t="n">
        <v>24.78</v>
      </c>
      <c r="D7844" s="216" t="n">
        <v>1.089699029922485</v>
      </c>
      <c r="E7844" s="215" t="n">
        <v>45167</v>
      </c>
      <c r="F7844" s="215" t="n">
        <v>45167</v>
      </c>
    </row>
    <row r="7845">
      <c r="A7845" s="215" t="n">
        <v>45168</v>
      </c>
      <c r="B7845" s="216" t="n">
        <v>15.96</v>
      </c>
      <c r="C7845" s="216" t="n">
        <v>24.57</v>
      </c>
      <c r="D7845" s="216" t="n">
        <v>1.094905972480774</v>
      </c>
      <c r="E7845" s="215" t="n">
        <v>45168</v>
      </c>
      <c r="F7845" s="215" t="n">
        <v>45168</v>
      </c>
    </row>
    <row r="7846">
      <c r="A7846" s="215" t="n">
        <v>45169</v>
      </c>
      <c r="B7846" s="216" t="n">
        <v>15.7</v>
      </c>
      <c r="C7846" s="216" t="n">
        <v>24</v>
      </c>
      <c r="D7846" s="216" t="n">
        <v>1.092789053916931</v>
      </c>
      <c r="E7846" s="215" t="n">
        <v>45169</v>
      </c>
      <c r="F7846" s="215" t="n">
        <v>45169</v>
      </c>
    </row>
    <row r="7847">
      <c r="A7847" s="215" t="n">
        <v>45173</v>
      </c>
      <c r="B7847" s="216" t="n">
        <v>16.18</v>
      </c>
      <c r="C7847" s="216" t="n">
        <v>24.15</v>
      </c>
      <c r="D7847" s="216" t="n">
        <v>1.090212941169739</v>
      </c>
      <c r="E7847" s="215" t="n">
        <v>45173</v>
      </c>
      <c r="F7847" s="215" t="n">
        <v>45173</v>
      </c>
    </row>
    <row r="7848">
      <c r="A7848" s="215" t="n">
        <v>45174</v>
      </c>
      <c r="B7848" s="216" t="n">
        <v>15.38</v>
      </c>
      <c r="C7848" s="216" t="n">
        <v>23.9</v>
      </c>
      <c r="D7848" s="216" t="n">
        <v>1.094616055488586</v>
      </c>
      <c r="E7848" s="215" t="n">
        <v>45174</v>
      </c>
      <c r="F7848" s="215" t="n">
        <v>45174</v>
      </c>
    </row>
    <row r="7849">
      <c r="A7849" s="215" t="n">
        <v>45175</v>
      </c>
      <c r="B7849" s="216" t="n">
        <v>14.84</v>
      </c>
      <c r="C7849" s="216" t="n">
        <v>23.58</v>
      </c>
      <c r="D7849" s="216" t="n">
        <v>1.090736985206604</v>
      </c>
      <c r="E7849" s="215" t="n">
        <v>45175</v>
      </c>
      <c r="F7849" s="215" t="n">
        <v>45175</v>
      </c>
    </row>
    <row r="7850">
      <c r="A7850" s="215" t="n">
        <v>45176</v>
      </c>
      <c r="B7850" s="216" t="n">
        <v>14.66</v>
      </c>
      <c r="C7850" s="216" t="n">
        <v>23.02</v>
      </c>
      <c r="D7850" s="216" t="n">
        <v>1.088104963302612</v>
      </c>
      <c r="E7850" s="215" t="n">
        <v>45176</v>
      </c>
      <c r="F7850" s="215" t="n">
        <v>45176</v>
      </c>
    </row>
    <row r="7851">
      <c r="A7851" s="215" t="n">
        <v>45180</v>
      </c>
      <c r="B7851" s="216" t="n">
        <v>14.86</v>
      </c>
      <c r="C7851" s="216" t="n">
        <v>23.69</v>
      </c>
      <c r="D7851" s="216" t="n">
        <v>1.085821986198425</v>
      </c>
      <c r="E7851" s="215" t="n">
        <v>45180</v>
      </c>
      <c r="F7851" s="215" t="n">
        <v>45180</v>
      </c>
    </row>
    <row r="7852">
      <c r="A7852" s="215" t="n">
        <v>45181</v>
      </c>
      <c r="B7852" s="216" t="n">
        <v>14.4</v>
      </c>
      <c r="C7852" s="216" t="n">
        <v>23.59</v>
      </c>
      <c r="D7852" s="216" t="n">
        <v>1.088567018508911</v>
      </c>
      <c r="E7852" s="215" t="n">
        <v>45181</v>
      </c>
      <c r="F7852" s="215" t="n">
        <v>45181</v>
      </c>
    </row>
    <row r="7853">
      <c r="A7853" s="215" t="n">
        <v>45182</v>
      </c>
      <c r="B7853" s="216" t="n">
        <v>14.24</v>
      </c>
      <c r="C7853" s="216" t="n">
        <v>23.11</v>
      </c>
      <c r="D7853" s="216" t="n">
        <v>1.088140964508057</v>
      </c>
      <c r="E7853" s="215" t="n">
        <v>45182</v>
      </c>
      <c r="F7853" s="215" t="n">
        <v>45182</v>
      </c>
    </row>
    <row r="7854">
      <c r="A7854" s="215" t="n">
        <v>45183</v>
      </c>
      <c r="B7854" s="216" t="n">
        <v>14.3</v>
      </c>
      <c r="C7854" s="216" t="n">
        <v>23.04</v>
      </c>
      <c r="D7854" s="216" t="n">
        <v>1.091163039207458</v>
      </c>
      <c r="E7854" s="215" t="n">
        <v>45183</v>
      </c>
      <c r="F7854" s="215" t="n">
        <v>45183</v>
      </c>
    </row>
    <row r="7855">
      <c r="A7855" s="215" t="n">
        <v>45184</v>
      </c>
      <c r="B7855" s="216" t="n">
        <v>14.7</v>
      </c>
      <c r="C7855" s="216" t="n">
        <v>23.62</v>
      </c>
      <c r="D7855" s="216" t="n">
        <v>1.088575005531311</v>
      </c>
      <c r="E7855" s="215" t="n">
        <v>45184</v>
      </c>
      <c r="F7855" s="215" t="n">
        <v>45184</v>
      </c>
    </row>
    <row r="7856">
      <c r="A7856" s="215" t="n">
        <v>45187</v>
      </c>
      <c r="B7856" s="216" t="n">
        <v>14.68</v>
      </c>
      <c r="C7856" s="216" t="n">
        <v>24.02</v>
      </c>
      <c r="D7856" s="216" t="n">
        <v>1.089876055717468</v>
      </c>
      <c r="E7856" s="215" t="n">
        <v>45187</v>
      </c>
      <c r="F7856" s="215" t="n">
        <v>45187</v>
      </c>
    </row>
    <row r="7857">
      <c r="A7857" s="215" t="n">
        <v>45188</v>
      </c>
      <c r="B7857" s="216" t="n">
        <v>14.78</v>
      </c>
      <c r="C7857" s="216" t="n">
        <v>23.6</v>
      </c>
      <c r="D7857" s="216" t="n">
        <v>1.091644048690796</v>
      </c>
      <c r="E7857" s="215" t="n">
        <v>45188</v>
      </c>
      <c r="F7857" s="215" t="n">
        <v>45188</v>
      </c>
    </row>
    <row r="7858">
      <c r="A7858" s="215" t="n">
        <v>45189</v>
      </c>
      <c r="B7858" s="216" t="n">
        <v>14.38</v>
      </c>
      <c r="C7858" s="216" t="n">
        <v>23.23</v>
      </c>
      <c r="D7858" s="216" t="n">
        <v>1.090924978256226</v>
      </c>
      <c r="E7858" s="215" t="n">
        <v>45189</v>
      </c>
      <c r="F7858" s="215" t="n">
        <v>45189</v>
      </c>
    </row>
    <row r="7859">
      <c r="A7859" s="215" t="n">
        <v>45190</v>
      </c>
      <c r="B7859" s="216" t="n">
        <v>14.1</v>
      </c>
      <c r="C7859" s="216" t="n">
        <v>22.68</v>
      </c>
      <c r="D7859" s="216" t="n">
        <v>1.08824098110199</v>
      </c>
      <c r="E7859" s="215" t="n">
        <v>45190</v>
      </c>
      <c r="F7859" s="215" t="n">
        <v>45190</v>
      </c>
    </row>
    <row r="7860">
      <c r="A7860" s="215" t="n">
        <v>45191</v>
      </c>
      <c r="B7860" s="216" t="n">
        <v>14.72</v>
      </c>
      <c r="C7860" s="216" t="n">
        <v>23.52</v>
      </c>
      <c r="D7860" s="216" t="n">
        <v>1.088595986366272</v>
      </c>
      <c r="E7860" s="215" t="n">
        <v>45191</v>
      </c>
      <c r="F7860" s="215" t="n">
        <v>45191</v>
      </c>
    </row>
    <row r="7861">
      <c r="A7861" s="215" t="n">
        <v>45194</v>
      </c>
      <c r="B7861" s="216" t="n">
        <v>14.56</v>
      </c>
      <c r="C7861" s="216" t="n">
        <v>23.86</v>
      </c>
      <c r="D7861" s="216" t="n">
        <v>1.087345004081726</v>
      </c>
      <c r="E7861" s="215" t="n">
        <v>45194</v>
      </c>
      <c r="F7861" s="215" t="n">
        <v>45194</v>
      </c>
    </row>
    <row r="7862">
      <c r="A7862" s="215" t="n">
        <v>45195</v>
      </c>
      <c r="B7862" s="216" t="n">
        <v>14.38</v>
      </c>
      <c r="C7862" s="216" t="n">
        <v>23.34</v>
      </c>
      <c r="D7862" s="216" t="n">
        <v>1.081025958061218</v>
      </c>
      <c r="E7862" s="215" t="n">
        <v>45195</v>
      </c>
      <c r="F7862" s="215" t="n">
        <v>45195</v>
      </c>
    </row>
    <row r="7863">
      <c r="A7863" s="215" t="n">
        <v>45196</v>
      </c>
      <c r="B7863" s="216" t="n">
        <v>14.82</v>
      </c>
      <c r="C7863" s="216" t="n">
        <v>24.8</v>
      </c>
      <c r="D7863" s="216" t="n">
        <v>1.079403042793274</v>
      </c>
      <c r="E7863" s="215" t="n">
        <v>45196</v>
      </c>
      <c r="F7863" s="215" t="n">
        <v>45196</v>
      </c>
    </row>
    <row r="7864">
      <c r="A7864" s="215" t="n">
        <v>45197</v>
      </c>
      <c r="B7864" s="216" t="n">
        <v>14.62</v>
      </c>
      <c r="C7864" s="216" t="n">
        <v>23.82</v>
      </c>
      <c r="D7864" s="216" t="n">
        <v>1.0728440284729</v>
      </c>
      <c r="E7864" s="215" t="n">
        <v>45197</v>
      </c>
      <c r="F7864" s="215" t="n">
        <v>45197</v>
      </c>
    </row>
    <row r="7865">
      <c r="A7865" s="215" t="n">
        <v>45198</v>
      </c>
      <c r="B7865" s="216" t="n">
        <v>13.9</v>
      </c>
      <c r="C7865" s="216" t="n">
        <v>23.82</v>
      </c>
      <c r="D7865" s="216" t="n">
        <v>1.079846978187561</v>
      </c>
      <c r="E7865" s="215" t="n">
        <v>45197</v>
      </c>
      <c r="F7865" s="215" t="n">
        <v>45198</v>
      </c>
    </row>
    <row r="7866">
      <c r="A7866" s="215" t="n">
        <v>45202</v>
      </c>
      <c r="B7866" s="216" t="n">
        <v>12.62</v>
      </c>
      <c r="C7866" s="216" t="n">
        <v>23.82</v>
      </c>
      <c r="D7866" s="216" t="n">
        <v>1.071742057800293</v>
      </c>
      <c r="E7866" s="215" t="n">
        <v>45197</v>
      </c>
      <c r="F7866" s="215" t="n">
        <v>45202</v>
      </c>
    </row>
    <row r="7867">
      <c r="A7867" s="215" t="n">
        <v>45203</v>
      </c>
      <c r="B7867" s="216" t="n">
        <v>12.72</v>
      </c>
      <c r="C7867" s="216" t="n">
        <v>23.82</v>
      </c>
      <c r="D7867" s="216" t="n">
        <v>1.070677042007446</v>
      </c>
      <c r="E7867" s="215" t="n">
        <v>45197</v>
      </c>
      <c r="F7867" s="215" t="n">
        <v>45203</v>
      </c>
    </row>
    <row r="7868">
      <c r="A7868" s="215" t="n">
        <v>45204</v>
      </c>
      <c r="B7868" s="216" t="n">
        <v>12.44</v>
      </c>
      <c r="C7868" s="216" t="n">
        <v>23.82</v>
      </c>
      <c r="D7868" s="216" t="n">
        <v>1.074022054672241</v>
      </c>
      <c r="E7868" s="215" t="n">
        <v>45197</v>
      </c>
      <c r="F7868" s="215" t="n">
        <v>45204</v>
      </c>
    </row>
    <row r="7869">
      <c r="A7869" s="215" t="n">
        <v>45205</v>
      </c>
      <c r="B7869" s="216" t="n">
        <v>12.9</v>
      </c>
      <c r="C7869" s="216" t="n">
        <v>23.82</v>
      </c>
      <c r="D7869" s="216" t="n">
        <v>1.078335046768188</v>
      </c>
      <c r="E7869" s="215" t="n">
        <v>45197</v>
      </c>
      <c r="F7869" s="215" t="n">
        <v>45205</v>
      </c>
    </row>
    <row r="7870">
      <c r="A7870" s="215" t="n">
        <v>45208</v>
      </c>
      <c r="B7870" s="216" t="n">
        <v>13.52</v>
      </c>
      <c r="C7870" s="216" t="n">
        <v>23.12</v>
      </c>
      <c r="D7870" s="216" t="n">
        <v>1.080739974975586</v>
      </c>
      <c r="E7870" s="215" t="n">
        <v>45208</v>
      </c>
      <c r="F7870" s="215" t="n">
        <v>45208</v>
      </c>
    </row>
    <row r="7871">
      <c r="A7871" s="215" t="n">
        <v>45209</v>
      </c>
      <c r="B7871" s="216" t="n">
        <v>13.74</v>
      </c>
      <c r="C7871" s="216" t="n">
        <v>22.67</v>
      </c>
      <c r="D7871" s="216" t="n">
        <v>1.081393003463745</v>
      </c>
      <c r="E7871" s="215" t="n">
        <v>45209</v>
      </c>
      <c r="F7871" s="215" t="n">
        <v>45209</v>
      </c>
    </row>
    <row r="7872">
      <c r="A7872" s="215" t="n">
        <v>45210</v>
      </c>
      <c r="B7872" s="216" t="n">
        <v>15.44</v>
      </c>
      <c r="C7872" s="216" t="n">
        <v>24.94</v>
      </c>
      <c r="D7872" s="216" t="n">
        <v>1.082736968994141</v>
      </c>
      <c r="E7872" s="215" t="n">
        <v>45210</v>
      </c>
      <c r="F7872" s="215" t="n">
        <v>45210</v>
      </c>
    </row>
    <row r="7873">
      <c r="A7873" s="215" t="n">
        <v>45211</v>
      </c>
      <c r="B7873" s="216" t="n">
        <v>15.42</v>
      </c>
      <c r="C7873" s="216" t="n">
        <v>26.13</v>
      </c>
      <c r="D7873" s="216" t="n">
        <v>1.084743976593018</v>
      </c>
      <c r="E7873" s="215" t="n">
        <v>45211</v>
      </c>
      <c r="F7873" s="215" t="n">
        <v>45211</v>
      </c>
    </row>
    <row r="7874">
      <c r="A7874" s="215" t="n">
        <v>45212</v>
      </c>
      <c r="B7874" s="216" t="n">
        <v>15.54</v>
      </c>
      <c r="C7874" s="216" t="n">
        <v>26.47</v>
      </c>
      <c r="D7874" s="216" t="n">
        <v>1.076364040374756</v>
      </c>
      <c r="E7874" s="215" t="n">
        <v>45212</v>
      </c>
      <c r="F7874" s="215" t="n">
        <v>45212</v>
      </c>
    </row>
    <row r="7875">
      <c r="A7875" s="215" t="n">
        <v>45215</v>
      </c>
      <c r="B7875" s="216" t="n">
        <v>14.7</v>
      </c>
      <c r="C7875" s="216" t="n">
        <v>25.79</v>
      </c>
      <c r="D7875" s="216" t="n">
        <v>1.074789047241211</v>
      </c>
      <c r="E7875" s="215" t="n">
        <v>45215</v>
      </c>
      <c r="F7875" s="215" t="n">
        <v>45215</v>
      </c>
    </row>
    <row r="7876">
      <c r="A7876" s="215" t="n">
        <v>45216</v>
      </c>
      <c r="B7876" s="216" t="n">
        <v>14.96</v>
      </c>
      <c r="C7876" s="216" t="n">
        <v>26.47</v>
      </c>
      <c r="D7876" s="216" t="n">
        <v>1.077306985855103</v>
      </c>
      <c r="E7876" s="215" t="n">
        <v>45216</v>
      </c>
      <c r="F7876" s="215" t="n">
        <v>45216</v>
      </c>
    </row>
    <row r="7877">
      <c r="A7877" s="215" t="n">
        <v>45217</v>
      </c>
      <c r="B7877" s="216" t="n">
        <v>14.02</v>
      </c>
      <c r="C7877" s="216" t="n">
        <v>25.83</v>
      </c>
      <c r="D7877" s="216" t="n">
        <v>1.079851984977722</v>
      </c>
      <c r="E7877" s="215" t="n">
        <v>45217</v>
      </c>
      <c r="F7877" s="215" t="n">
        <v>45217</v>
      </c>
    </row>
    <row r="7878">
      <c r="A7878" s="215" t="n">
        <v>45218</v>
      </c>
      <c r="B7878" s="216" t="n">
        <v>13.62</v>
      </c>
      <c r="C7878" s="216" t="n">
        <v>25.76</v>
      </c>
      <c r="D7878" s="216" t="n">
        <v>1.077018976211548</v>
      </c>
      <c r="E7878" s="215" t="n">
        <v>45218</v>
      </c>
      <c r="F7878" s="215" t="n">
        <v>45218</v>
      </c>
    </row>
    <row r="7879">
      <c r="A7879" s="215" t="n">
        <v>45219</v>
      </c>
      <c r="B7879" s="216" t="n">
        <v>13.42</v>
      </c>
      <c r="C7879" s="216" t="n">
        <v>24.86</v>
      </c>
      <c r="D7879" s="216" t="n">
        <v>1.081383943557739</v>
      </c>
      <c r="E7879" s="215" t="n">
        <v>45219</v>
      </c>
      <c r="F7879" s="215" t="n">
        <v>45219</v>
      </c>
    </row>
    <row r="7880">
      <c r="A7880" s="215" t="n">
        <v>45223</v>
      </c>
      <c r="B7880" s="216" t="n">
        <v>13.48</v>
      </c>
      <c r="C7880" s="216" t="n">
        <v>23.9</v>
      </c>
      <c r="D7880" s="216" t="n">
        <v>1.090018033981323</v>
      </c>
      <c r="E7880" s="215" t="n">
        <v>45223</v>
      </c>
      <c r="F7880" s="215" t="n">
        <v>45223</v>
      </c>
    </row>
    <row r="7881">
      <c r="A7881" s="215" t="n">
        <v>45224</v>
      </c>
      <c r="B7881" s="216" t="n">
        <v>13.2</v>
      </c>
      <c r="C7881" s="216" t="n">
        <v>23.34</v>
      </c>
      <c r="D7881" s="216" t="n">
        <v>1.08238697052002</v>
      </c>
      <c r="E7881" s="215" t="n">
        <v>45224</v>
      </c>
      <c r="F7881" s="215" t="n">
        <v>45224</v>
      </c>
    </row>
    <row r="7882">
      <c r="A7882" s="215" t="n">
        <v>45225</v>
      </c>
      <c r="B7882" s="216" t="n">
        <v>13.06</v>
      </c>
      <c r="C7882" s="216" t="n">
        <v>22.5</v>
      </c>
      <c r="D7882" s="216" t="n">
        <v>1.079262971878052</v>
      </c>
      <c r="E7882" s="215" t="n">
        <v>45225</v>
      </c>
      <c r="F7882" s="215" t="n">
        <v>45225</v>
      </c>
    </row>
    <row r="7883">
      <c r="A7883" s="215" t="n">
        <v>45226</v>
      </c>
      <c r="B7883" s="216" t="n">
        <v>14.36</v>
      </c>
      <c r="C7883" s="216" t="n">
        <v>24.75</v>
      </c>
      <c r="D7883" s="216" t="n">
        <v>1.078766942024231</v>
      </c>
      <c r="E7883" s="215" t="n">
        <v>45226</v>
      </c>
      <c r="F7883" s="215" t="n">
        <v>45226</v>
      </c>
    </row>
    <row r="7884">
      <c r="A7884" s="215" t="n">
        <v>45229</v>
      </c>
      <c r="B7884" s="216" t="n">
        <v>15.06</v>
      </c>
      <c r="C7884" s="216" t="n">
        <v>26.5</v>
      </c>
      <c r="D7884" s="216" t="n">
        <v>1.078732967376709</v>
      </c>
      <c r="E7884" s="215" t="n">
        <v>45229</v>
      </c>
      <c r="F7884" s="215" t="n">
        <v>45229</v>
      </c>
    </row>
    <row r="7885">
      <c r="A7885" s="215" t="n">
        <v>45230</v>
      </c>
      <c r="B7885" s="216" t="n">
        <v>14.56</v>
      </c>
      <c r="C7885" s="216" t="n">
        <v>26.77</v>
      </c>
      <c r="D7885" s="216" t="n">
        <v>1.083860993385315</v>
      </c>
      <c r="E7885" s="215" t="n">
        <v>45230</v>
      </c>
      <c r="F7885" s="215" t="n">
        <v>45230</v>
      </c>
    </row>
    <row r="7886">
      <c r="A7886" s="215" t="n">
        <v>45231</v>
      </c>
      <c r="B7886" s="216" t="n">
        <v>14.78</v>
      </c>
      <c r="C7886" s="216" t="n">
        <v>26.39</v>
      </c>
      <c r="D7886" s="216" t="n">
        <v>1.080816030502319</v>
      </c>
      <c r="E7886" s="215" t="n">
        <v>45231</v>
      </c>
      <c r="F7886" s="215" t="n">
        <v>45231</v>
      </c>
    </row>
    <row r="7887">
      <c r="A7887" s="215" t="n">
        <v>45232</v>
      </c>
      <c r="B7887" s="216" t="n">
        <v>14.28</v>
      </c>
      <c r="C7887" s="216" t="n">
        <v>26.22</v>
      </c>
      <c r="D7887" s="216" t="n">
        <v>1.081329941749573</v>
      </c>
      <c r="E7887" s="215" t="n">
        <v>45232</v>
      </c>
      <c r="F7887" s="215" t="n">
        <v>45232</v>
      </c>
    </row>
    <row r="7888">
      <c r="A7888" s="215" t="n">
        <v>45233</v>
      </c>
      <c r="B7888" s="216" t="n">
        <v>14.8</v>
      </c>
      <c r="C7888" s="216" t="n">
        <v>26.29</v>
      </c>
      <c r="D7888" s="216" t="n">
        <v>1.084671974182129</v>
      </c>
      <c r="E7888" s="215" t="n">
        <v>45233</v>
      </c>
      <c r="F7888" s="215" t="n">
        <v>45233</v>
      </c>
    </row>
    <row r="7889">
      <c r="A7889" s="215" t="n">
        <v>45236</v>
      </c>
      <c r="B7889" s="216" t="n">
        <v>15.76</v>
      </c>
      <c r="C7889" s="216" t="n">
        <v>28.31</v>
      </c>
      <c r="D7889" s="216" t="n">
        <v>1.096359014511108</v>
      </c>
      <c r="E7889" s="215" t="n">
        <v>45236</v>
      </c>
      <c r="F7889" s="215" t="n">
        <v>45236</v>
      </c>
    </row>
    <row r="7890">
      <c r="A7890" s="215" t="n">
        <v>45237</v>
      </c>
      <c r="B7890" s="216" t="n">
        <v>15.7</v>
      </c>
      <c r="C7890" s="216" t="n">
        <v>28.5</v>
      </c>
      <c r="D7890" s="216" t="n">
        <v>1.094547033309937</v>
      </c>
      <c r="E7890" s="215" t="n">
        <v>45237</v>
      </c>
      <c r="F7890" s="215" t="n">
        <v>45237</v>
      </c>
    </row>
    <row r="7891">
      <c r="A7891" s="215" t="n">
        <v>45238</v>
      </c>
      <c r="B7891" s="216" t="n">
        <v>15.68</v>
      </c>
      <c r="C7891" s="216" t="n">
        <v>28.58</v>
      </c>
      <c r="D7891" s="216" t="n">
        <v>1.092092037200928</v>
      </c>
      <c r="E7891" s="215" t="n">
        <v>45238</v>
      </c>
      <c r="F7891" s="215" t="n">
        <v>45238</v>
      </c>
    </row>
    <row r="7892">
      <c r="A7892" s="215" t="n">
        <v>45239</v>
      </c>
      <c r="B7892" s="216" t="n">
        <v>15.18</v>
      </c>
      <c r="C7892" s="216" t="n">
        <v>28.17</v>
      </c>
      <c r="D7892" s="216" t="n">
        <v>1.092741012573242</v>
      </c>
      <c r="E7892" s="215" t="n">
        <v>45239</v>
      </c>
      <c r="F7892" s="215" t="n">
        <v>45239</v>
      </c>
    </row>
    <row r="7893">
      <c r="A7893" s="215" t="n">
        <v>45240</v>
      </c>
      <c r="B7893" s="216" t="n">
        <v>14.9</v>
      </c>
      <c r="C7893" s="216" t="n">
        <v>28.24</v>
      </c>
      <c r="D7893" s="216" t="n">
        <v>1.087584972381592</v>
      </c>
      <c r="E7893" s="215" t="n">
        <v>45240</v>
      </c>
      <c r="F7893" s="215" t="n">
        <v>45240</v>
      </c>
    </row>
    <row r="7894">
      <c r="A7894" s="215" t="n">
        <v>45243</v>
      </c>
      <c r="B7894" s="216" t="n">
        <v>15.24</v>
      </c>
      <c r="C7894" s="216" t="n">
        <v>28.37</v>
      </c>
      <c r="D7894" s="216" t="n">
        <v>1.090304970741272</v>
      </c>
      <c r="E7894" s="215" t="n">
        <v>45243</v>
      </c>
      <c r="F7894" s="215" t="n">
        <v>45243</v>
      </c>
    </row>
    <row r="7895">
      <c r="A7895" s="215" t="n">
        <v>45244</v>
      </c>
      <c r="B7895" s="216" t="n">
        <v>15.2</v>
      </c>
      <c r="C7895" s="216" t="n">
        <v>28.43</v>
      </c>
      <c r="D7895" s="216" t="n">
        <v>1.091066956520081</v>
      </c>
      <c r="E7895" s="215" t="n">
        <v>45244</v>
      </c>
      <c r="F7895" s="215" t="n">
        <v>45244</v>
      </c>
    </row>
    <row r="7896">
      <c r="A7896" s="215" t="n">
        <v>45245</v>
      </c>
      <c r="B7896" s="216" t="n">
        <v>15.42</v>
      </c>
      <c r="C7896" s="216" t="n">
        <v>28.56</v>
      </c>
      <c r="D7896" s="216" t="n">
        <v>1.108688950538635</v>
      </c>
      <c r="E7896" s="215" t="n">
        <v>45245</v>
      </c>
      <c r="F7896" s="215" t="n">
        <v>45245</v>
      </c>
    </row>
    <row r="7897">
      <c r="A7897" s="215" t="n">
        <v>45246</v>
      </c>
      <c r="B7897" s="216" t="n">
        <v>14.82</v>
      </c>
      <c r="C7897" s="216" t="n">
        <v>27.51</v>
      </c>
      <c r="D7897" s="216" t="n">
        <v>1.106451988220215</v>
      </c>
      <c r="E7897" s="215" t="n">
        <v>45246</v>
      </c>
      <c r="F7897" s="215" t="n">
        <v>45246</v>
      </c>
    </row>
    <row r="7898">
      <c r="A7898" s="215" t="n">
        <v>45247</v>
      </c>
      <c r="B7898" s="216" t="n">
        <v>14.72</v>
      </c>
      <c r="C7898" s="216" t="n">
        <v>27.66</v>
      </c>
      <c r="D7898" s="216" t="n">
        <v>1.105692982673645</v>
      </c>
      <c r="E7898" s="215" t="n">
        <v>45247</v>
      </c>
      <c r="F7898" s="215" t="n">
        <v>45247</v>
      </c>
    </row>
    <row r="7899">
      <c r="A7899" s="215" t="n">
        <v>45250</v>
      </c>
      <c r="B7899" s="216" t="n">
        <v>15.06</v>
      </c>
      <c r="C7899" s="216" t="n">
        <v>27.75</v>
      </c>
      <c r="D7899" s="216" t="n">
        <v>1.110219955444336</v>
      </c>
      <c r="E7899" s="215" t="n">
        <v>45250</v>
      </c>
      <c r="F7899" s="215" t="n">
        <v>45250</v>
      </c>
    </row>
    <row r="7900">
      <c r="A7900" s="215" t="n">
        <v>45251</v>
      </c>
      <c r="B7900" s="216" t="n">
        <v>14.84</v>
      </c>
      <c r="C7900" s="216" t="n">
        <v>27.71</v>
      </c>
      <c r="D7900" s="216" t="n">
        <v>1.113530039787292</v>
      </c>
      <c r="E7900" s="215" t="n">
        <v>45251</v>
      </c>
      <c r="F7900" s="215" t="n">
        <v>45251</v>
      </c>
    </row>
    <row r="7901">
      <c r="A7901" s="215" t="n">
        <v>45252</v>
      </c>
      <c r="B7901" s="216" t="n">
        <v>14.26</v>
      </c>
      <c r="C7901" s="216" t="n">
        <v>26.95</v>
      </c>
      <c r="D7901" s="216" t="n">
        <v>1.11102294921875</v>
      </c>
      <c r="E7901" s="215" t="n">
        <v>45252</v>
      </c>
      <c r="F7901" s="215" t="n">
        <v>45252</v>
      </c>
    </row>
    <row r="7902">
      <c r="A7902" s="215" t="n">
        <v>45253</v>
      </c>
      <c r="B7902" s="216" t="n">
        <v>14.6</v>
      </c>
      <c r="C7902" s="216" t="n">
        <v>27.15</v>
      </c>
      <c r="D7902" s="216" t="n">
        <v>1.10846996307373</v>
      </c>
      <c r="E7902" s="215" t="n">
        <v>45253</v>
      </c>
      <c r="F7902" s="215" t="n">
        <v>45253</v>
      </c>
    </row>
    <row r="7903">
      <c r="A7903" s="215" t="n">
        <v>45254</v>
      </c>
      <c r="B7903" s="216" t="n">
        <v>14.28</v>
      </c>
      <c r="C7903" s="216" t="n">
        <v>26.67</v>
      </c>
      <c r="D7903" s="216" t="n">
        <v>1.110196948051453</v>
      </c>
      <c r="E7903" s="215" t="n">
        <v>45254</v>
      </c>
      <c r="F7903" s="215" t="n">
        <v>45254</v>
      </c>
    </row>
    <row r="7904">
      <c r="A7904" s="215" t="n">
        <v>45257</v>
      </c>
      <c r="B7904" s="216" t="n">
        <v>13.98</v>
      </c>
      <c r="C7904" s="216" t="n">
        <v>26.14</v>
      </c>
      <c r="D7904" s="216" t="n">
        <v>1.113034963607788</v>
      </c>
      <c r="E7904" s="215" t="n">
        <v>45257</v>
      </c>
      <c r="F7904" s="215" t="n">
        <v>45257</v>
      </c>
    </row>
    <row r="7905">
      <c r="A7905" s="215" t="n">
        <v>45258</v>
      </c>
      <c r="B7905" s="216" t="n">
        <v>14</v>
      </c>
      <c r="C7905" s="216" t="n">
        <v>26.96</v>
      </c>
      <c r="D7905" s="216" t="n">
        <v>1.114474058151245</v>
      </c>
      <c r="E7905" s="215" t="n">
        <v>45258</v>
      </c>
      <c r="F7905" s="215" t="n">
        <v>45258</v>
      </c>
    </row>
    <row r="7906">
      <c r="A7906" s="215" t="n">
        <v>45259</v>
      </c>
      <c r="B7906" s="216" t="n">
        <v>13.48</v>
      </c>
      <c r="C7906" s="216" t="n">
        <v>26.47</v>
      </c>
      <c r="D7906" s="216" t="n">
        <v>1.119948983192444</v>
      </c>
      <c r="E7906" s="215" t="n">
        <v>45259</v>
      </c>
      <c r="F7906" s="215" t="n">
        <v>45259</v>
      </c>
    </row>
    <row r="7907">
      <c r="A7907" s="215" t="n">
        <v>45260</v>
      </c>
      <c r="B7907" s="216" t="n">
        <v>13.64</v>
      </c>
      <c r="C7907" s="216" t="n">
        <v>26.61</v>
      </c>
      <c r="D7907" s="216" t="n">
        <v>1.118155956268311</v>
      </c>
      <c r="E7907" s="215" t="n">
        <v>45260</v>
      </c>
      <c r="F7907" s="215" t="n">
        <v>45260</v>
      </c>
    </row>
    <row r="7908">
      <c r="A7908" s="215" t="n">
        <v>45261</v>
      </c>
      <c r="B7908" s="216" t="n">
        <v>13.54</v>
      </c>
      <c r="C7908" s="216" t="n">
        <v>26.44</v>
      </c>
      <c r="D7908" s="216" t="n">
        <v>1.110759019851685</v>
      </c>
      <c r="E7908" s="215" t="n">
        <v>45261</v>
      </c>
      <c r="F7908" s="215" t="n">
        <v>45261</v>
      </c>
    </row>
    <row r="7909">
      <c r="A7909" s="215" t="n">
        <v>45264</v>
      </c>
      <c r="B7909" s="216" t="n">
        <v>12.7</v>
      </c>
      <c r="C7909" s="216" t="n">
        <v>24.87</v>
      </c>
      <c r="D7909" s="216" t="n">
        <v>1.110934019088745</v>
      </c>
      <c r="E7909" s="215" t="n">
        <v>45264</v>
      </c>
      <c r="F7909" s="215" t="n">
        <v>45264</v>
      </c>
    </row>
    <row r="7910">
      <c r="A7910" s="215" t="n">
        <v>45265</v>
      </c>
      <c r="B7910" s="216" t="n">
        <v>12.3</v>
      </c>
      <c r="C7910" s="216" t="n">
        <v>24.18</v>
      </c>
      <c r="D7910" s="216" t="n">
        <v>1.105996012687683</v>
      </c>
      <c r="E7910" s="215" t="n">
        <v>45265</v>
      </c>
      <c r="F7910" s="215" t="n">
        <v>45265</v>
      </c>
    </row>
    <row r="7911">
      <c r="A7911" s="215" t="n">
        <v>45266</v>
      </c>
      <c r="B7911" s="216" t="n">
        <v>12.12</v>
      </c>
      <c r="C7911" s="216" t="n">
        <v>24.3</v>
      </c>
      <c r="D7911" s="216" t="n">
        <v>1.101930975914001</v>
      </c>
      <c r="E7911" s="215" t="n">
        <v>45266</v>
      </c>
      <c r="F7911" s="215" t="n">
        <v>45266</v>
      </c>
    </row>
    <row r="7912">
      <c r="A7912" s="215" t="n">
        <v>45267</v>
      </c>
      <c r="B7912" s="216" t="n">
        <v>11.96</v>
      </c>
      <c r="C7912" s="216" t="n">
        <v>23.76</v>
      </c>
      <c r="D7912" s="216" t="n">
        <v>1.098016023635864</v>
      </c>
      <c r="E7912" s="215" t="n">
        <v>45267</v>
      </c>
      <c r="F7912" s="215" t="n">
        <v>45267</v>
      </c>
    </row>
    <row r="7913">
      <c r="A7913" s="215" t="n">
        <v>45268</v>
      </c>
      <c r="B7913" s="216" t="n">
        <v>11.68</v>
      </c>
      <c r="C7913" s="216" t="n">
        <v>23.38</v>
      </c>
      <c r="D7913" s="216" t="n">
        <v>1.100576043128967</v>
      </c>
      <c r="E7913" s="215" t="n">
        <v>45268</v>
      </c>
      <c r="F7913" s="215" t="n">
        <v>45268</v>
      </c>
    </row>
    <row r="7914">
      <c r="A7914" s="215" t="n">
        <v>45271</v>
      </c>
      <c r="B7914" s="216" t="n">
        <v>11.48</v>
      </c>
      <c r="C7914" s="216" t="n">
        <v>23.91</v>
      </c>
      <c r="D7914" s="216" t="n">
        <v>1.097795963287354</v>
      </c>
      <c r="E7914" s="215" t="n">
        <v>45271</v>
      </c>
      <c r="F7914" s="215" t="n">
        <v>45271</v>
      </c>
    </row>
    <row r="7915">
      <c r="A7915" s="215" t="n">
        <v>45272</v>
      </c>
      <c r="B7915" s="216" t="n">
        <v>11.38</v>
      </c>
      <c r="C7915" s="216" t="n">
        <v>23.61</v>
      </c>
      <c r="D7915" s="216" t="n">
        <v>1.097154974937439</v>
      </c>
      <c r="E7915" s="215" t="n">
        <v>45272</v>
      </c>
      <c r="F7915" s="215" t="n">
        <v>45272</v>
      </c>
    </row>
    <row r="7916">
      <c r="A7916" s="215" t="n">
        <v>45273</v>
      </c>
      <c r="B7916" s="216" t="n">
        <v>11.16</v>
      </c>
      <c r="C7916" s="216" t="n">
        <v>23.33</v>
      </c>
      <c r="D7916" s="216" t="n">
        <v>1.101083993911743</v>
      </c>
      <c r="E7916" s="215" t="n">
        <v>45273</v>
      </c>
      <c r="F7916" s="215" t="n">
        <v>45273</v>
      </c>
    </row>
    <row r="7917">
      <c r="A7917" s="215" t="n">
        <v>45274</v>
      </c>
      <c r="B7917" s="216" t="n">
        <v>11.7</v>
      </c>
      <c r="C7917" s="216" t="n">
        <v>23.57</v>
      </c>
      <c r="D7917" s="216" t="n">
        <v>1.109936952590942</v>
      </c>
      <c r="E7917" s="215" t="n">
        <v>45274</v>
      </c>
      <c r="F7917" s="215" t="n">
        <v>45274</v>
      </c>
    </row>
    <row r="7918">
      <c r="A7918" s="215" t="n">
        <v>45275</v>
      </c>
      <c r="B7918" s="216" t="n">
        <v>12</v>
      </c>
      <c r="C7918" s="216" t="n">
        <v>23.63</v>
      </c>
      <c r="D7918" s="216" t="n">
        <v>1.120489954948425</v>
      </c>
      <c r="E7918" s="215" t="n">
        <v>45275</v>
      </c>
      <c r="F7918" s="215" t="n">
        <v>45275</v>
      </c>
    </row>
    <row r="7919">
      <c r="A7919" s="215" t="n">
        <v>45278</v>
      </c>
      <c r="B7919" s="216" t="n">
        <v>11.86</v>
      </c>
      <c r="C7919" s="216" t="n">
        <v>23.11</v>
      </c>
      <c r="D7919" s="216" t="n">
        <v>1.110012054443359</v>
      </c>
      <c r="E7919" s="215" t="n">
        <v>45278</v>
      </c>
      <c r="F7919" s="215" t="n">
        <v>45278</v>
      </c>
    </row>
    <row r="7920">
      <c r="A7920" s="215" t="n">
        <v>45279</v>
      </c>
      <c r="B7920" s="216" t="n">
        <v>11.7</v>
      </c>
      <c r="C7920" s="216" t="n">
        <v>23.16</v>
      </c>
      <c r="D7920" s="216" t="n">
        <v>1.111768007278442</v>
      </c>
      <c r="E7920" s="215" t="n">
        <v>45279</v>
      </c>
      <c r="F7920" s="215" t="n">
        <v>45279</v>
      </c>
    </row>
    <row r="7921">
      <c r="A7921" s="215" t="n">
        <v>45280</v>
      </c>
      <c r="B7921" s="216" t="n">
        <v>12</v>
      </c>
      <c r="C7921" s="216" t="n">
        <v>22.98</v>
      </c>
      <c r="D7921" s="216" t="n">
        <v>1.118278980255127</v>
      </c>
      <c r="E7921" s="215" t="n">
        <v>45280</v>
      </c>
      <c r="F7921" s="215" t="n">
        <v>45280</v>
      </c>
    </row>
    <row r="7922">
      <c r="A7922" s="215" t="n">
        <v>45281</v>
      </c>
      <c r="B7922" s="216" t="n">
        <v>12.16</v>
      </c>
      <c r="C7922" s="216" t="n">
        <v>23.25</v>
      </c>
      <c r="D7922" s="216" t="n">
        <v>1.115596055984497</v>
      </c>
      <c r="E7922" s="215" t="n">
        <v>45281</v>
      </c>
      <c r="F7922" s="215" t="n">
        <v>45281</v>
      </c>
    </row>
    <row r="7923">
      <c r="A7923" s="215" t="n">
        <v>45282</v>
      </c>
      <c r="B7923" s="216" t="n">
        <v>12.04</v>
      </c>
      <c r="C7923" s="216" t="n">
        <v>23.38</v>
      </c>
      <c r="D7923" s="216" t="n">
        <v>1.122302055358887</v>
      </c>
      <c r="E7923" s="215" t="n">
        <v>45282</v>
      </c>
      <c r="F7923" s="215" t="n">
        <v>45282</v>
      </c>
    </row>
    <row r="7924">
      <c r="A7924" s="215" t="n">
        <v>45287</v>
      </c>
      <c r="B7924" s="216" t="n">
        <v>12.1</v>
      </c>
      <c r="C7924" s="216" t="n">
        <v>22.44</v>
      </c>
      <c r="D7924" s="216" t="n">
        <v>1.125676989555359</v>
      </c>
      <c r="E7924" s="215" t="n">
        <v>45287</v>
      </c>
      <c r="F7924" s="215" t="n">
        <v>45287</v>
      </c>
    </row>
    <row r="7925">
      <c r="A7925" s="215" t="n">
        <v>45288</v>
      </c>
      <c r="B7925" s="216" t="n">
        <v>12.92</v>
      </c>
      <c r="C7925" s="216" t="n">
        <v>23.86</v>
      </c>
      <c r="D7925" s="216" t="n">
        <v>1.132581949234009</v>
      </c>
      <c r="E7925" s="215" t="n">
        <v>45288</v>
      </c>
      <c r="F7925" s="215" t="n">
        <v>45288</v>
      </c>
    </row>
    <row r="7926">
      <c r="A7926" s="215" t="n">
        <v>45289</v>
      </c>
      <c r="B7926" s="216" t="n">
        <v>12.86</v>
      </c>
      <c r="C7926" s="216" t="n">
        <v>23.71</v>
      </c>
      <c r="D7926" s="216" t="n">
        <v>1.128918051719666</v>
      </c>
      <c r="E7926" s="215" t="n">
        <v>45289</v>
      </c>
      <c r="F7926" s="215" t="n">
        <v>45289</v>
      </c>
    </row>
    <row r="7927">
      <c r="A7927" s="215" t="n">
        <v>45293</v>
      </c>
      <c r="B7927" s="216" t="n">
        <v>12.46</v>
      </c>
      <c r="C7927" s="216" t="n">
        <v>22.96</v>
      </c>
      <c r="D7927" s="216" t="n">
        <v>1.125501990318298</v>
      </c>
      <c r="E7927" s="215" t="n">
        <v>45293</v>
      </c>
      <c r="F7927" s="215" t="n">
        <v>45293</v>
      </c>
    </row>
    <row r="7928">
      <c r="A7928" s="215" t="n">
        <v>45294</v>
      </c>
      <c r="B7928" s="216" t="n">
        <v>12.56</v>
      </c>
      <c r="C7928" s="216" t="n">
        <v>23.16</v>
      </c>
      <c r="D7928" s="216" t="n">
        <v>1.116525053977966</v>
      </c>
      <c r="E7928" s="215" t="n">
        <v>45294</v>
      </c>
      <c r="F7928" s="215" t="n">
        <v>45294</v>
      </c>
    </row>
    <row r="7929">
      <c r="A7929" s="215" t="n">
        <v>45295</v>
      </c>
      <c r="B7929" s="216" t="n">
        <v>12.3</v>
      </c>
      <c r="C7929" s="216" t="n">
        <v>22.91</v>
      </c>
      <c r="D7929" s="216" t="n">
        <v>1.113739013671875</v>
      </c>
      <c r="E7929" s="215" t="n">
        <v>45295</v>
      </c>
      <c r="F7929" s="215" t="n">
        <v>45295</v>
      </c>
    </row>
    <row r="7930">
      <c r="A7930" s="215" t="n">
        <v>45296</v>
      </c>
      <c r="B7930" s="216" t="n">
        <v>12.3</v>
      </c>
      <c r="C7930" s="216" t="n">
        <v>22.37</v>
      </c>
      <c r="D7930" s="216" t="n">
        <v>1.116189956665039</v>
      </c>
      <c r="E7930" s="215" t="n">
        <v>45296</v>
      </c>
      <c r="F7930" s="215" t="n">
        <v>45296</v>
      </c>
    </row>
    <row r="7931">
      <c r="A7931" s="215" t="n">
        <v>45299</v>
      </c>
      <c r="B7931" s="216" t="n">
        <v>12.3</v>
      </c>
      <c r="C7931" s="216" t="n">
        <v>21.32</v>
      </c>
      <c r="D7931" s="216" t="n">
        <v>1.116019010543823</v>
      </c>
      <c r="E7931" s="215" t="n">
        <v>45299</v>
      </c>
      <c r="F7931" s="215" t="n">
        <v>45299</v>
      </c>
    </row>
    <row r="7932">
      <c r="A7932" s="215" t="n">
        <v>45300</v>
      </c>
      <c r="B7932" s="216" t="n">
        <v>12.42</v>
      </c>
      <c r="C7932" s="216" t="n">
        <v>21.55</v>
      </c>
      <c r="D7932" s="216" t="n">
        <v>1.116075992584229</v>
      </c>
      <c r="E7932" s="215" t="n">
        <v>45300</v>
      </c>
      <c r="F7932" s="215" t="n">
        <v>45300</v>
      </c>
    </row>
    <row r="7933">
      <c r="A7933" s="215" t="n">
        <v>45301</v>
      </c>
      <c r="B7933" s="216" t="n">
        <v>12.2</v>
      </c>
      <c r="C7933" s="216" t="n">
        <v>21.59</v>
      </c>
      <c r="D7933" s="216" t="n">
        <v>1.115636944770813</v>
      </c>
      <c r="E7933" s="215" t="n">
        <v>45301</v>
      </c>
      <c r="F7933" s="215" t="n">
        <v>45301</v>
      </c>
    </row>
    <row r="7934">
      <c r="A7934" s="215" t="n">
        <v>45302</v>
      </c>
      <c r="B7934" s="216" t="n">
        <v>12.44</v>
      </c>
      <c r="C7934" s="216" t="n">
        <v>22.23</v>
      </c>
      <c r="D7934" s="216" t="n">
        <v>1.120515942573547</v>
      </c>
      <c r="E7934" s="215" t="n">
        <v>45302</v>
      </c>
      <c r="F7934" s="215" t="n">
        <v>45302</v>
      </c>
    </row>
    <row r="7935">
      <c r="A7935" s="215" t="n">
        <v>45303</v>
      </c>
      <c r="B7935" s="216" t="n">
        <v>12.38</v>
      </c>
      <c r="C7935" s="216" t="n">
        <v>21.67</v>
      </c>
      <c r="D7935" s="216" t="n">
        <v>1.120725035667419</v>
      </c>
      <c r="E7935" s="215" t="n">
        <v>45303</v>
      </c>
      <c r="F7935" s="215" t="n">
        <v>45303</v>
      </c>
    </row>
    <row r="7936">
      <c r="A7936" s="215" t="n">
        <v>45306</v>
      </c>
      <c r="B7936" s="216" t="n">
        <v>12.46</v>
      </c>
      <c r="C7936" s="216" t="n">
        <v>21.51</v>
      </c>
      <c r="D7936" s="216" t="n">
        <v>1.117622017860413</v>
      </c>
      <c r="E7936" s="215" t="n">
        <v>45306</v>
      </c>
      <c r="F7936" s="215" t="n">
        <v>45306</v>
      </c>
    </row>
    <row r="7937">
      <c r="A7937" s="215" t="n">
        <v>45307</v>
      </c>
      <c r="B7937" s="216" t="n">
        <v>12.48</v>
      </c>
      <c r="C7937" s="216" t="n">
        <v>21.61</v>
      </c>
      <c r="D7937" s="216" t="n">
        <v>1.118000030517578</v>
      </c>
      <c r="E7937" s="215" t="n">
        <v>45307</v>
      </c>
      <c r="F7937" s="215" t="n">
        <v>45307</v>
      </c>
    </row>
    <row r="7938">
      <c r="A7938" s="215" t="n">
        <v>45308</v>
      </c>
      <c r="B7938" s="216" t="n">
        <v>11.64</v>
      </c>
      <c r="C7938" s="216" t="n">
        <v>20.74</v>
      </c>
      <c r="D7938" s="216" t="n">
        <v>1.111650943756104</v>
      </c>
      <c r="E7938" s="215" t="n">
        <v>45308</v>
      </c>
      <c r="F7938" s="215" t="n">
        <v>45308</v>
      </c>
    </row>
    <row r="7939">
      <c r="A7939" s="215" t="n">
        <v>45309</v>
      </c>
      <c r="B7939" s="216" t="n">
        <v>11.66</v>
      </c>
      <c r="C7939" s="216" t="n">
        <v>20.97</v>
      </c>
      <c r="D7939" s="216" t="n">
        <v>1.111701965332031</v>
      </c>
      <c r="E7939" s="215" t="n">
        <v>45309</v>
      </c>
      <c r="F7939" s="215" t="n">
        <v>45309</v>
      </c>
    </row>
    <row r="7940">
      <c r="A7940" s="215" t="n">
        <v>45310</v>
      </c>
      <c r="B7940" s="216" t="n">
        <v>11.3</v>
      </c>
      <c r="C7940" s="216" t="n">
        <v>20.51</v>
      </c>
      <c r="D7940" s="216" t="n">
        <v>1.111027956008911</v>
      </c>
      <c r="E7940" s="215" t="n">
        <v>45310</v>
      </c>
      <c r="F7940" s="215" t="n">
        <v>45310</v>
      </c>
    </row>
    <row r="7941">
      <c r="A7941" s="215" t="n">
        <v>45313</v>
      </c>
      <c r="B7941" s="216" t="n">
        <v>10.78</v>
      </c>
      <c r="C7941" s="216" t="n">
        <v>19.16</v>
      </c>
      <c r="D7941" s="216" t="n">
        <v>1.111721038818359</v>
      </c>
      <c r="E7941" s="215" t="n">
        <v>45313</v>
      </c>
      <c r="F7941" s="215" t="n">
        <v>45313</v>
      </c>
    </row>
    <row r="7942">
      <c r="A7942" s="215" t="n">
        <v>45314</v>
      </c>
      <c r="B7942" s="216" t="n">
        <v>11.04</v>
      </c>
      <c r="C7942" s="216" t="n">
        <v>19.52</v>
      </c>
      <c r="D7942" s="216" t="n">
        <v>1.110329031944275</v>
      </c>
      <c r="E7942" s="215" t="n">
        <v>45314</v>
      </c>
      <c r="F7942" s="215" t="n">
        <v>45314</v>
      </c>
    </row>
    <row r="7943">
      <c r="A7943" s="215" t="n">
        <v>45315</v>
      </c>
      <c r="B7943" s="216" t="n">
        <v>10.7</v>
      </c>
      <c r="C7943" s="216" t="n">
        <v>18.9</v>
      </c>
      <c r="D7943" s="216" t="n">
        <v>1.108868002891541</v>
      </c>
      <c r="E7943" s="215" t="n">
        <v>45315</v>
      </c>
      <c r="F7943" s="215" t="n">
        <v>45315</v>
      </c>
    </row>
    <row r="7944">
      <c r="A7944" s="215" t="n">
        <v>45316</v>
      </c>
      <c r="B7944" s="216" t="n">
        <v>10.7</v>
      </c>
      <c r="C7944" s="216" t="n">
        <v>19.28</v>
      </c>
      <c r="D7944" s="216" t="n">
        <v>1.110738039016724</v>
      </c>
      <c r="E7944" s="215" t="n">
        <v>45316</v>
      </c>
      <c r="F7944" s="215" t="n">
        <v>45316</v>
      </c>
    </row>
    <row r="7945">
      <c r="A7945" s="215" t="n">
        <v>45317</v>
      </c>
      <c r="B7945" s="216" t="n">
        <v>10.12</v>
      </c>
      <c r="C7945" s="216" t="n">
        <v>18.18</v>
      </c>
      <c r="D7945" s="216" t="n">
        <v>1.10723602771759</v>
      </c>
      <c r="E7945" s="215" t="n">
        <v>45317</v>
      </c>
      <c r="F7945" s="215" t="n">
        <v>45317</v>
      </c>
    </row>
    <row r="7946">
      <c r="A7946" s="215" t="n">
        <v>45320</v>
      </c>
      <c r="B7946" s="216" t="n">
        <v>9.81</v>
      </c>
      <c r="C7946" s="216" t="n">
        <v>17.94</v>
      </c>
      <c r="D7946" s="216" t="n">
        <v>1.10621702671051</v>
      </c>
      <c r="E7946" s="215" t="n">
        <v>45320</v>
      </c>
      <c r="F7946" s="215" t="n">
        <v>45320</v>
      </c>
    </row>
    <row r="7947">
      <c r="A7947" s="215" t="n">
        <v>45321</v>
      </c>
      <c r="B7947" s="216" t="n">
        <v>9.82</v>
      </c>
      <c r="C7947" s="216" t="n">
        <v>17.26</v>
      </c>
      <c r="D7947" s="216" t="n">
        <v>1.105329036712646</v>
      </c>
      <c r="E7947" s="215" t="n">
        <v>45321</v>
      </c>
      <c r="F7947" s="215" t="n">
        <v>45321</v>
      </c>
    </row>
    <row r="7948">
      <c r="A7948" s="215" t="n">
        <v>45322</v>
      </c>
      <c r="B7948" s="216" t="n">
        <v>9.640000000000001</v>
      </c>
      <c r="C7948" s="216" t="n">
        <v>16.58</v>
      </c>
      <c r="D7948" s="216" t="n">
        <v>1.106791973114014</v>
      </c>
      <c r="E7948" s="215" t="n">
        <v>45322</v>
      </c>
      <c r="F7948" s="215" t="n">
        <v>45322</v>
      </c>
    </row>
    <row r="7949">
      <c r="A7949" s="215" t="n">
        <v>45323</v>
      </c>
      <c r="B7949" s="216" t="n">
        <v>9.699999999999999</v>
      </c>
      <c r="C7949" s="216" t="n">
        <v>16.58</v>
      </c>
      <c r="D7949" s="216" t="n">
        <v>1.102612972259521</v>
      </c>
      <c r="E7949" s="215" t="n">
        <v>45323</v>
      </c>
      <c r="F7949" s="215" t="n">
        <v>45323</v>
      </c>
    </row>
    <row r="7950">
      <c r="A7950" s="215" t="n">
        <v>45324</v>
      </c>
      <c r="B7950" s="216" t="n">
        <v>9.31</v>
      </c>
      <c r="C7950" s="216" t="n">
        <v>15.54</v>
      </c>
      <c r="D7950" s="216" t="n">
        <v>1.110376000404358</v>
      </c>
      <c r="E7950" s="215" t="n">
        <v>45324</v>
      </c>
      <c r="F7950" s="215" t="n">
        <v>45324</v>
      </c>
    </row>
    <row r="7951">
      <c r="A7951" s="215" t="n">
        <v>45327</v>
      </c>
      <c r="B7951" s="216" t="n">
        <v>9.199999999999999</v>
      </c>
      <c r="C7951" s="216" t="n">
        <v>14.58</v>
      </c>
      <c r="D7951" s="216" t="n">
        <v>1.100926041603088</v>
      </c>
      <c r="E7951" s="215" t="n">
        <v>45327</v>
      </c>
      <c r="F7951" s="215" t="n">
        <v>45327</v>
      </c>
    </row>
    <row r="7952">
      <c r="A7952" s="215" t="n">
        <v>45328</v>
      </c>
      <c r="B7952" s="216" t="n">
        <v>9.69</v>
      </c>
      <c r="C7952" s="216" t="n">
        <v>15.5</v>
      </c>
      <c r="D7952" s="216" t="n">
        <v>1.097015976905823</v>
      </c>
      <c r="E7952" s="215" t="n">
        <v>45328</v>
      </c>
      <c r="F7952" s="215" t="n">
        <v>45328</v>
      </c>
    </row>
    <row r="7953">
      <c r="A7953" s="215" t="n">
        <v>45329</v>
      </c>
      <c r="B7953" s="216" t="n">
        <v>9.93</v>
      </c>
      <c r="C7953" s="216" t="n">
        <v>17.05</v>
      </c>
      <c r="D7953" s="216" t="n">
        <v>1.098708987236023</v>
      </c>
      <c r="E7953" s="215" t="n">
        <v>45329</v>
      </c>
      <c r="F7953" s="215" t="n">
        <v>45329</v>
      </c>
    </row>
    <row r="7954">
      <c r="A7954" s="215" t="n">
        <v>45330</v>
      </c>
      <c r="B7954" s="216" t="n">
        <v>9.800000000000001</v>
      </c>
      <c r="C7954" s="216" t="n">
        <v>16.91</v>
      </c>
      <c r="D7954" s="216" t="n">
        <v>1.100044012069702</v>
      </c>
      <c r="E7954" s="215" t="n">
        <v>45330</v>
      </c>
      <c r="F7954" s="215" t="n">
        <v>45330</v>
      </c>
    </row>
    <row r="7955">
      <c r="A7955" s="215" t="n">
        <v>45331</v>
      </c>
      <c r="B7955" s="216" t="n">
        <v>9.66</v>
      </c>
      <c r="C7955" s="216" t="n">
        <v>16.91</v>
      </c>
      <c r="D7955" s="216" t="n">
        <v>1.100633025169373</v>
      </c>
      <c r="E7955" s="215" t="n">
        <v>45330</v>
      </c>
      <c r="F7955" s="215" t="n">
        <v>45331</v>
      </c>
    </row>
    <row r="7956">
      <c r="A7956" s="215" t="n">
        <v>45336</v>
      </c>
      <c r="B7956" s="216" t="n">
        <v>9.76</v>
      </c>
      <c r="C7956" s="216" t="n">
        <v>16.91</v>
      </c>
      <c r="D7956" s="216" t="n">
        <v>1.093312978744507</v>
      </c>
      <c r="E7956" s="215" t="n">
        <v>45330</v>
      </c>
      <c r="F7956" s="215" t="n">
        <v>45336</v>
      </c>
    </row>
    <row r="7957">
      <c r="A7957" s="215" t="n">
        <v>45337</v>
      </c>
      <c r="B7957" s="216" t="n">
        <v>9.859999999999999</v>
      </c>
      <c r="C7957" s="216" t="n">
        <v>16.91</v>
      </c>
      <c r="D7957" s="216" t="n">
        <v>1.095546960830688</v>
      </c>
      <c r="E7957" s="215" t="n">
        <v>45330</v>
      </c>
      <c r="F7957" s="215" t="n">
        <v>45337</v>
      </c>
    </row>
    <row r="7958">
      <c r="A7958" s="215" t="n">
        <v>45338</v>
      </c>
      <c r="B7958" s="216" t="n">
        <v>10.42</v>
      </c>
      <c r="C7958" s="216" t="n">
        <v>16.91</v>
      </c>
      <c r="D7958" s="216" t="n">
        <v>1.100026965141296</v>
      </c>
      <c r="E7958" s="215" t="n">
        <v>45330</v>
      </c>
      <c r="F7958" s="215" t="n">
        <v>45338</v>
      </c>
    </row>
    <row r="7959">
      <c r="A7959" s="215" t="n">
        <v>45341</v>
      </c>
      <c r="B7959" s="216" t="n">
        <v>10.2</v>
      </c>
      <c r="C7959" s="216" t="n">
        <v>16.95</v>
      </c>
      <c r="D7959" s="216" t="n">
        <v>1.10134494304657</v>
      </c>
      <c r="E7959" s="215" t="n">
        <v>45341</v>
      </c>
      <c r="F7959" s="215" t="n">
        <v>45341</v>
      </c>
    </row>
    <row r="7960">
      <c r="A7960" s="215" t="n">
        <v>45342</v>
      </c>
      <c r="B7960" s="216" t="n">
        <v>10.3</v>
      </c>
      <c r="C7960" s="216" t="n">
        <v>17.23</v>
      </c>
      <c r="D7960" s="216" t="n">
        <v>1.100348949432373</v>
      </c>
      <c r="E7960" s="215" t="n">
        <v>45342</v>
      </c>
      <c r="F7960" s="215" t="n">
        <v>45342</v>
      </c>
    </row>
    <row r="7961">
      <c r="A7961" s="215" t="n">
        <v>45343</v>
      </c>
      <c r="B7961" s="216" t="n">
        <v>10.34</v>
      </c>
      <c r="C7961" s="216" t="n">
        <v>17.51</v>
      </c>
      <c r="D7961" s="216" t="n">
        <v>1.104022026062012</v>
      </c>
      <c r="E7961" s="215" t="n">
        <v>45343</v>
      </c>
      <c r="F7961" s="215" t="n">
        <v>45343</v>
      </c>
    </row>
    <row r="7962">
      <c r="A7962" s="215" t="n">
        <v>45344</v>
      </c>
      <c r="B7962" s="216" t="n">
        <v>10.28</v>
      </c>
      <c r="C7962" s="216" t="n">
        <v>17.71</v>
      </c>
      <c r="D7962" s="216" t="n">
        <v>1.104943990707397</v>
      </c>
      <c r="E7962" s="215" t="n">
        <v>45344</v>
      </c>
      <c r="F7962" s="215" t="n">
        <v>45344</v>
      </c>
    </row>
    <row r="7963">
      <c r="A7963" s="215" t="n">
        <v>45345</v>
      </c>
      <c r="B7963" s="216" t="n">
        <v>10.28</v>
      </c>
      <c r="C7963" s="216" t="n">
        <v>17.89</v>
      </c>
      <c r="D7963" s="216" t="n">
        <v>1.105702996253967</v>
      </c>
      <c r="E7963" s="215" t="n">
        <v>45345</v>
      </c>
      <c r="F7963" s="215" t="n">
        <v>45345</v>
      </c>
    </row>
    <row r="7964">
      <c r="A7964" s="215" t="n">
        <v>45348</v>
      </c>
      <c r="B7964" s="216" t="n">
        <v>10.38</v>
      </c>
      <c r="C7964" s="216" t="n">
        <v>17.98</v>
      </c>
      <c r="D7964" s="216" t="n">
        <v>1.105378985404968</v>
      </c>
      <c r="E7964" s="215" t="n">
        <v>45348</v>
      </c>
      <c r="F7964" s="215" t="n">
        <v>45348</v>
      </c>
    </row>
    <row r="7965">
      <c r="A7965" s="215" t="n">
        <v>45349</v>
      </c>
      <c r="B7965" s="216" t="n">
        <v>10.24</v>
      </c>
      <c r="C7965" s="216" t="n">
        <v>18.29</v>
      </c>
      <c r="D7965" s="216" t="n">
        <v>1.108508944511414</v>
      </c>
      <c r="E7965" s="215" t="n">
        <v>45349</v>
      </c>
      <c r="F7965" s="215" t="n">
        <v>45349</v>
      </c>
    </row>
    <row r="7966">
      <c r="A7966" s="215" t="n">
        <v>45350</v>
      </c>
      <c r="B7966" s="216" t="n">
        <v>9.81</v>
      </c>
      <c r="C7966" s="216" t="n">
        <v>17.72</v>
      </c>
      <c r="D7966" s="216" t="n">
        <v>1.107692956924438</v>
      </c>
      <c r="E7966" s="215" t="n">
        <v>45350</v>
      </c>
      <c r="F7966" s="215" t="n">
        <v>45350</v>
      </c>
    </row>
    <row r="7967">
      <c r="A7967" s="215" t="n">
        <v>45351</v>
      </c>
      <c r="B7967" s="216" t="n">
        <v>9.880000000000001</v>
      </c>
      <c r="C7967" s="216" t="n">
        <v>18.2</v>
      </c>
      <c r="D7967" s="216" t="n">
        <v>1.107548952102661</v>
      </c>
      <c r="E7967" s="215" t="n">
        <v>45351</v>
      </c>
      <c r="F7967" s="215" t="n">
        <v>45351</v>
      </c>
    </row>
    <row r="7968">
      <c r="A7968" s="215" t="n">
        <v>45352</v>
      </c>
      <c r="B7968" s="216" t="n">
        <v>9.85</v>
      </c>
      <c r="C7968" s="216" t="n">
        <v>18.23</v>
      </c>
      <c r="D7968" s="216" t="n">
        <v>1.104398965835571</v>
      </c>
      <c r="E7968" s="215" t="n">
        <v>45352</v>
      </c>
      <c r="F7968" s="215" t="n">
        <v>45352</v>
      </c>
    </row>
    <row r="7969">
      <c r="A7969" s="215" t="n">
        <v>45355</v>
      </c>
      <c r="B7969" s="216" t="n">
        <v>10.1</v>
      </c>
      <c r="C7969" s="216" t="n">
        <v>18.74</v>
      </c>
      <c r="D7969" s="216" t="n">
        <v>1.108315944671631</v>
      </c>
      <c r="E7969" s="215" t="n">
        <v>45355</v>
      </c>
      <c r="F7969" s="215" t="n">
        <v>45355</v>
      </c>
    </row>
    <row r="7970">
      <c r="A7970" s="215" t="n">
        <v>45356</v>
      </c>
      <c r="B7970" s="216" t="n">
        <v>9.31</v>
      </c>
      <c r="C7970" s="216" t="n">
        <v>18.08</v>
      </c>
      <c r="D7970" s="216" t="n">
        <v>1.109019041061401</v>
      </c>
      <c r="E7970" s="215" t="n">
        <v>45356</v>
      </c>
      <c r="F7970" s="215" t="n">
        <v>45356</v>
      </c>
    </row>
    <row r="7971">
      <c r="A7971" s="215" t="n">
        <v>45357</v>
      </c>
      <c r="B7971" s="216" t="n">
        <v>9.300000000000001</v>
      </c>
      <c r="C7971" s="216" t="n">
        <v>17.92</v>
      </c>
      <c r="D7971" s="216" t="n">
        <v>1.10906994342804</v>
      </c>
      <c r="E7971" s="215" t="n">
        <v>45357</v>
      </c>
      <c r="F7971" s="215" t="n">
        <v>45357</v>
      </c>
    </row>
    <row r="7972">
      <c r="A7972" s="215" t="n">
        <v>45358</v>
      </c>
      <c r="B7972" s="216" t="n">
        <v>8.619999999999999</v>
      </c>
      <c r="C7972" s="216" t="n">
        <v>16.85</v>
      </c>
      <c r="D7972" s="216" t="n">
        <v>1.113453984260559</v>
      </c>
      <c r="E7972" s="215" t="n">
        <v>45358</v>
      </c>
      <c r="F7972" s="215" t="n">
        <v>45358</v>
      </c>
    </row>
    <row r="7973">
      <c r="A7973" s="215" t="n">
        <v>45359</v>
      </c>
      <c r="B7973" s="216" t="n">
        <v>8.75</v>
      </c>
      <c r="C7973" s="216" t="n">
        <v>16.91</v>
      </c>
      <c r="D7973" s="216" t="n">
        <v>1.118204951286316</v>
      </c>
      <c r="E7973" s="215" t="n">
        <v>45359</v>
      </c>
      <c r="F7973" s="215" t="n">
        <v>45359</v>
      </c>
    </row>
    <row r="7974">
      <c r="A7974" s="215" t="n">
        <v>45362</v>
      </c>
      <c r="B7974" s="216" t="n">
        <v>9.02</v>
      </c>
      <c r="C7974" s="216" t="n">
        <v>17.76</v>
      </c>
      <c r="D7974" s="216" t="n">
        <v>1.117454051971436</v>
      </c>
      <c r="E7974" s="215" t="n">
        <v>45362</v>
      </c>
      <c r="F7974" s="215" t="n">
        <v>45362</v>
      </c>
    </row>
    <row r="7975">
      <c r="A7975" s="215" t="n">
        <v>45363</v>
      </c>
      <c r="B7975" s="216" t="n">
        <v>9.32</v>
      </c>
      <c r="C7975" s="216" t="n">
        <v>18.24</v>
      </c>
      <c r="D7975" s="216" t="n">
        <v>1.116387009620667</v>
      </c>
      <c r="E7975" s="215" t="n">
        <v>45363</v>
      </c>
      <c r="F7975" s="215" t="n">
        <v>45363</v>
      </c>
    </row>
    <row r="7976">
      <c r="A7976" s="215" t="n">
        <v>45364</v>
      </c>
      <c r="B7976" s="216" t="n">
        <v>9.369999999999999</v>
      </c>
      <c r="C7976" s="216" t="n">
        <v>18.16</v>
      </c>
      <c r="D7976" s="216" t="n">
        <v>1.116310954093933</v>
      </c>
      <c r="E7976" s="215" t="n">
        <v>45364</v>
      </c>
      <c r="F7976" s="215" t="n">
        <v>45364</v>
      </c>
    </row>
    <row r="7977">
      <c r="A7977" s="215" t="n">
        <v>45365</v>
      </c>
      <c r="B7977" s="216" t="n">
        <v>10.52</v>
      </c>
      <c r="C7977" s="216" t="n">
        <v>19.98</v>
      </c>
      <c r="D7977" s="216" t="n">
        <v>1.118636012077332</v>
      </c>
      <c r="E7977" s="215" t="n">
        <v>45365</v>
      </c>
      <c r="F7977" s="215" t="n">
        <v>45365</v>
      </c>
    </row>
    <row r="7978">
      <c r="A7978" s="215" t="n">
        <v>45366</v>
      </c>
      <c r="B7978" s="216" t="n">
        <v>10.04</v>
      </c>
      <c r="C7978" s="216" t="n">
        <v>20.29</v>
      </c>
      <c r="D7978" s="216" t="n">
        <v>1.111673951148987</v>
      </c>
      <c r="E7978" s="215" t="n">
        <v>45366</v>
      </c>
      <c r="F7978" s="215" t="n">
        <v>45366</v>
      </c>
    </row>
    <row r="7979">
      <c r="A7979" s="215" t="n">
        <v>45369</v>
      </c>
      <c r="B7979" s="216" t="n">
        <v>10.5</v>
      </c>
      <c r="C7979" s="216" t="n">
        <v>20.85</v>
      </c>
      <c r="D7979" s="216" t="n">
        <v>1.111489057540894</v>
      </c>
      <c r="E7979" s="215" t="n">
        <v>45369</v>
      </c>
      <c r="F7979" s="215" t="n">
        <v>45369</v>
      </c>
    </row>
    <row r="7980">
      <c r="A7980" s="215" t="n">
        <v>45370</v>
      </c>
      <c r="B7980" s="216" t="n">
        <v>9.93</v>
      </c>
      <c r="C7980" s="216" t="n">
        <v>19.97</v>
      </c>
      <c r="D7980" s="216" t="n">
        <v>1.110030055046082</v>
      </c>
      <c r="E7980" s="215" t="n">
        <v>45370</v>
      </c>
      <c r="F7980" s="215" t="n">
        <v>45370</v>
      </c>
    </row>
    <row r="7981">
      <c r="A7981" s="215" t="n">
        <v>45371</v>
      </c>
      <c r="B7981" s="216" t="n">
        <v>9.699999999999999</v>
      </c>
      <c r="C7981" s="216" t="n">
        <v>20.01</v>
      </c>
      <c r="D7981" s="216" t="n">
        <v>1.101261973381042</v>
      </c>
      <c r="E7981" s="215" t="n">
        <v>45371</v>
      </c>
      <c r="F7981" s="215" t="n">
        <v>45371</v>
      </c>
    </row>
    <row r="7982">
      <c r="A7982" s="215" t="n">
        <v>45372</v>
      </c>
      <c r="B7982" s="216" t="n">
        <v>9.609999999999999</v>
      </c>
      <c r="C7982" s="216" t="n">
        <v>19.52</v>
      </c>
      <c r="D7982" s="216" t="n">
        <v>1.101251006126404</v>
      </c>
      <c r="E7982" s="215" t="n">
        <v>45372</v>
      </c>
      <c r="F7982" s="215" t="n">
        <v>45372</v>
      </c>
    </row>
    <row r="7983">
      <c r="A7983" s="215" t="n">
        <v>45373</v>
      </c>
      <c r="B7983" s="216" t="n">
        <v>9.1</v>
      </c>
      <c r="C7983" s="216" t="n">
        <v>18.73</v>
      </c>
      <c r="D7983" s="216" t="n">
        <v>1.100389957427979</v>
      </c>
      <c r="E7983" s="215" t="n">
        <v>45373</v>
      </c>
      <c r="F7983" s="215" t="n">
        <v>45373</v>
      </c>
    </row>
    <row r="7984">
      <c r="A7984" s="215" t="n">
        <v>45376</v>
      </c>
      <c r="B7984" s="216" t="n">
        <v>9.130000000000001</v>
      </c>
      <c r="C7984" s="216" t="n">
        <v>18.8</v>
      </c>
      <c r="D7984" s="216" t="n">
        <v>1.093554973602295</v>
      </c>
      <c r="E7984" s="215" t="n">
        <v>45376</v>
      </c>
      <c r="F7984" s="215" t="n">
        <v>45376</v>
      </c>
    </row>
    <row r="7985">
      <c r="A7985" s="215" t="n">
        <v>45377</v>
      </c>
      <c r="B7985" s="216" t="n">
        <v>8.960000000000001</v>
      </c>
      <c r="C7985" s="216" t="n">
        <v>18.49</v>
      </c>
      <c r="D7985" s="216" t="n">
        <v>1.097866058349609</v>
      </c>
      <c r="E7985" s="215" t="n">
        <v>45377</v>
      </c>
      <c r="F7985" s="215" t="n">
        <v>45377</v>
      </c>
    </row>
    <row r="7986">
      <c r="A7986" s="215" t="n">
        <v>45378</v>
      </c>
      <c r="B7986" s="216" t="n">
        <v>9.109999999999999</v>
      </c>
      <c r="C7986" s="216" t="n">
        <v>18.35</v>
      </c>
      <c r="D7986" s="216" t="n">
        <v>1.099439024925232</v>
      </c>
      <c r="E7986" s="215" t="n">
        <v>45378</v>
      </c>
      <c r="F7986" s="215" t="n">
        <v>45378</v>
      </c>
    </row>
    <row r="7987">
      <c r="A7987" s="215" t="n">
        <v>45379</v>
      </c>
      <c r="B7987" s="216" t="n">
        <v>9.17</v>
      </c>
      <c r="C7987" s="216" t="n">
        <v>18.53</v>
      </c>
      <c r="D7987" s="216" t="n">
        <v>1.099169969558716</v>
      </c>
      <c r="E7987" s="215" t="n">
        <v>45379</v>
      </c>
      <c r="F7987" s="215" t="n">
        <v>45379</v>
      </c>
    </row>
    <row r="7988">
      <c r="A7988" s="215" t="n">
        <v>45384</v>
      </c>
      <c r="B7988" s="216" t="n">
        <v>9.16</v>
      </c>
      <c r="C7988" s="216" t="n">
        <v>18.44</v>
      </c>
      <c r="D7988" s="216" t="n">
        <v>1.095656037330627</v>
      </c>
      <c r="E7988" s="215" t="n">
        <v>45384</v>
      </c>
      <c r="F7988" s="215" t="n">
        <v>45384</v>
      </c>
    </row>
    <row r="7989">
      <c r="A7989" s="215" t="n">
        <v>45385</v>
      </c>
      <c r="B7989" s="216" t="n">
        <v>9.25</v>
      </c>
      <c r="C7989" s="216" t="n">
        <v>18.02</v>
      </c>
      <c r="D7989" s="216" t="n">
        <v>1.103147983551025</v>
      </c>
      <c r="E7989" s="215" t="n">
        <v>45385</v>
      </c>
      <c r="F7989" s="215" t="n">
        <v>45385</v>
      </c>
    </row>
    <row r="7990">
      <c r="A7990" s="215" t="n">
        <v>45387</v>
      </c>
      <c r="B7990" s="216" t="n">
        <v>8.24</v>
      </c>
      <c r="C7990" s="216" t="n">
        <v>18.02</v>
      </c>
      <c r="D7990" s="216" t="n">
        <v>1.102897047996521</v>
      </c>
      <c r="E7990" s="215" t="n">
        <v>45385</v>
      </c>
      <c r="F7990" s="215" t="n">
        <v>45387</v>
      </c>
    </row>
    <row r="7991">
      <c r="A7991" s="215" t="n">
        <v>45390</v>
      </c>
      <c r="B7991" s="216" t="n">
        <v>8.869999999999999</v>
      </c>
      <c r="C7991" s="216" t="n">
        <v>17.24</v>
      </c>
      <c r="D7991" s="216" t="n">
        <v>1.103929996490479</v>
      </c>
      <c r="E7991" s="215" t="n">
        <v>45390</v>
      </c>
      <c r="F7991" s="215" t="n">
        <v>45390</v>
      </c>
    </row>
    <row r="7992">
      <c r="A7992" s="215" t="n">
        <v>45391</v>
      </c>
      <c r="B7992" s="216" t="n">
        <v>9.84</v>
      </c>
      <c r="C7992" s="216" t="n">
        <v>18.96</v>
      </c>
      <c r="D7992" s="216" t="n">
        <v>1.104424953460693</v>
      </c>
      <c r="E7992" s="215" t="n">
        <v>45391</v>
      </c>
      <c r="F7992" s="215" t="n">
        <v>45391</v>
      </c>
    </row>
    <row r="7993">
      <c r="A7993" s="215" t="n">
        <v>45392</v>
      </c>
      <c r="B7993" s="216" t="n">
        <v>9.83</v>
      </c>
      <c r="C7993" s="216" t="n">
        <v>19.2</v>
      </c>
      <c r="D7993" s="216" t="n">
        <v>1.10468602180481</v>
      </c>
      <c r="E7993" s="215" t="n">
        <v>45392</v>
      </c>
      <c r="F7993" s="215" t="n">
        <v>45392</v>
      </c>
    </row>
    <row r="7994">
      <c r="A7994" s="215" t="n">
        <v>45393</v>
      </c>
      <c r="B7994" s="216" t="n">
        <v>9.75</v>
      </c>
      <c r="C7994" s="216" t="n">
        <v>19.1</v>
      </c>
      <c r="D7994" s="216" t="n">
        <v>1.102126002311707</v>
      </c>
      <c r="E7994" s="215" t="n">
        <v>45393</v>
      </c>
      <c r="F7994" s="215" t="n">
        <v>45393</v>
      </c>
    </row>
    <row r="7995">
      <c r="A7995" s="215" t="n">
        <v>45394</v>
      </c>
      <c r="B7995" s="216" t="n">
        <v>9.31</v>
      </c>
      <c r="C7995" s="216" t="n">
        <v>18.35</v>
      </c>
      <c r="D7995" s="216" t="n">
        <v>1.104213953018188</v>
      </c>
      <c r="E7995" s="215" t="n">
        <v>45394</v>
      </c>
      <c r="F7995" s="215" t="n">
        <v>45394</v>
      </c>
    </row>
    <row r="7996">
      <c r="A7996" s="215" t="n">
        <v>45397</v>
      </c>
      <c r="B7996" s="216" t="n">
        <v>9.869999999999999</v>
      </c>
      <c r="C7996" s="216" t="n">
        <v>17.78</v>
      </c>
      <c r="D7996" s="216" t="n">
        <v>1.102975010871887</v>
      </c>
      <c r="E7996" s="215" t="n">
        <v>45397</v>
      </c>
      <c r="F7996" s="215" t="n">
        <v>45397</v>
      </c>
    </row>
    <row r="7997">
      <c r="A7997" s="215" t="n">
        <v>45398</v>
      </c>
      <c r="B7997" s="216" t="n">
        <v>9.33</v>
      </c>
      <c r="C7997" s="216" t="n">
        <v>16.62</v>
      </c>
      <c r="D7997" s="216" t="n">
        <v>1.102668046951294</v>
      </c>
      <c r="E7997" s="215" t="n">
        <v>45398</v>
      </c>
      <c r="F7997" s="215" t="n">
        <v>45398</v>
      </c>
    </row>
    <row r="7998">
      <c r="A7998" s="215" t="n">
        <v>45399</v>
      </c>
      <c r="B7998" s="216" t="n">
        <v>9.4</v>
      </c>
      <c r="C7998" s="216" t="n">
        <v>17.76</v>
      </c>
      <c r="D7998" s="216" t="n">
        <v>1.101709961891174</v>
      </c>
      <c r="E7998" s="215" t="n">
        <v>45399</v>
      </c>
      <c r="F7998" s="215" t="n">
        <v>45399</v>
      </c>
    </row>
    <row r="7999">
      <c r="A7999" s="215" t="n">
        <v>45400</v>
      </c>
      <c r="B7999" s="216" t="n">
        <v>9.539999999999999</v>
      </c>
      <c r="C7999" s="216" t="n">
        <v>17.47</v>
      </c>
      <c r="D7999" s="216" t="n">
        <v>1.104182004928589</v>
      </c>
      <c r="E7999" s="215" t="n">
        <v>45400</v>
      </c>
      <c r="F7999" s="215" t="n">
        <v>45400</v>
      </c>
    </row>
    <row r="8000">
      <c r="A8000" s="215" t="n">
        <v>45401</v>
      </c>
      <c r="B8000" s="216" t="n">
        <v>9.17</v>
      </c>
      <c r="C8000" s="216" t="n">
        <v>16.78</v>
      </c>
      <c r="D8000" s="216" t="n">
        <v>1.103330016136169</v>
      </c>
      <c r="E8000" s="215" t="n">
        <v>45401</v>
      </c>
      <c r="F8000" s="215" t="n">
        <v>45401</v>
      </c>
    </row>
    <row r="8001">
      <c r="A8001" s="215" t="n">
        <v>45404</v>
      </c>
      <c r="B8001" s="216" t="n">
        <v>9.300000000000001</v>
      </c>
      <c r="C8001" s="216" t="n">
        <v>16.97</v>
      </c>
      <c r="D8001" s="216" t="n">
        <v>1.104303956031799</v>
      </c>
      <c r="E8001" s="215" t="n">
        <v>45404</v>
      </c>
      <c r="F8001" s="215" t="n">
        <v>45404</v>
      </c>
    </row>
    <row r="8002">
      <c r="A8002" s="215" t="n">
        <v>45405</v>
      </c>
      <c r="B8002" s="216" t="n">
        <v>9.58</v>
      </c>
      <c r="C8002" s="216" t="n">
        <v>17.5</v>
      </c>
      <c r="D8002" s="216" t="n">
        <v>1.103582978248596</v>
      </c>
      <c r="E8002" s="215" t="n">
        <v>45405</v>
      </c>
      <c r="F8002" s="215" t="n">
        <v>45405</v>
      </c>
    </row>
    <row r="8003">
      <c r="A8003" s="215" t="n">
        <v>45406</v>
      </c>
      <c r="B8003" s="216" t="n">
        <v>9.42</v>
      </c>
      <c r="C8003" s="216" t="n">
        <v>17.05</v>
      </c>
      <c r="D8003" s="216" t="n">
        <v>1.103708982467651</v>
      </c>
      <c r="E8003" s="215" t="n">
        <v>45406</v>
      </c>
      <c r="F8003" s="215" t="n">
        <v>45406</v>
      </c>
    </row>
    <row r="8004">
      <c r="A8004" s="215" t="n">
        <v>45407</v>
      </c>
      <c r="B8004" s="216" t="n">
        <v>9.24</v>
      </c>
      <c r="C8004" s="216" t="n">
        <v>16.91</v>
      </c>
      <c r="D8004" s="216" t="n">
        <v>1.101104021072388</v>
      </c>
      <c r="E8004" s="215" t="n">
        <v>45407</v>
      </c>
      <c r="F8004" s="215" t="n">
        <v>45407</v>
      </c>
    </row>
    <row r="8005">
      <c r="A8005" s="215" t="n">
        <v>45408</v>
      </c>
      <c r="B8005" s="216" t="n">
        <v>9.68</v>
      </c>
      <c r="C8005" s="216" t="n">
        <v>17.37</v>
      </c>
      <c r="D8005" s="216" t="n">
        <v>1.103947043418884</v>
      </c>
      <c r="E8005" s="215" t="n">
        <v>45408</v>
      </c>
      <c r="F8005" s="215" t="n">
        <v>45408</v>
      </c>
    </row>
    <row r="8006">
      <c r="A8006" s="215" t="n">
        <v>45411</v>
      </c>
      <c r="B8006" s="216" t="n">
        <v>9.890000000000001</v>
      </c>
      <c r="C8006" s="216" t="n">
        <v>18.21</v>
      </c>
      <c r="D8006" s="216" t="n">
        <v>1.10208797454834</v>
      </c>
      <c r="E8006" s="215" t="n">
        <v>45411</v>
      </c>
      <c r="F8006" s="215" t="n">
        <v>45411</v>
      </c>
    </row>
    <row r="8007">
      <c r="A8007" s="215" t="n">
        <v>45412</v>
      </c>
      <c r="B8007" s="216" t="n">
        <v>8.31</v>
      </c>
      <c r="C8007" s="216" t="n">
        <v>16.39</v>
      </c>
      <c r="D8007" s="216" t="n">
        <v>1.103922009468079</v>
      </c>
      <c r="E8007" s="215" t="n">
        <v>45412</v>
      </c>
      <c r="F8007" s="215" t="n">
        <v>45412</v>
      </c>
    </row>
    <row r="8008">
      <c r="A8008" s="215" t="n">
        <v>45414</v>
      </c>
      <c r="B8008" s="216" t="n">
        <v>8.81</v>
      </c>
      <c r="C8008" s="216" t="n">
        <v>16.39</v>
      </c>
      <c r="D8008" s="216" t="n">
        <v>1.108636021614075</v>
      </c>
      <c r="E8008" s="215" t="n">
        <v>45412</v>
      </c>
      <c r="F8008" s="215" t="n">
        <v>45414</v>
      </c>
    </row>
    <row r="8009">
      <c r="A8009" s="215" t="n">
        <v>45415</v>
      </c>
      <c r="B8009" s="216" t="n">
        <v>8.94</v>
      </c>
      <c r="C8009" s="216" t="n">
        <v>16.39</v>
      </c>
      <c r="D8009" s="216" t="n">
        <v>1.106081008911133</v>
      </c>
      <c r="E8009" s="215" t="n">
        <v>45412</v>
      </c>
      <c r="F8009" s="215" t="n">
        <v>45415</v>
      </c>
    </row>
    <row r="8010">
      <c r="A8010" s="215" t="n">
        <v>45418</v>
      </c>
      <c r="B8010" s="216" t="n">
        <v>9.56</v>
      </c>
      <c r="C8010" s="216" t="n">
        <v>18.03</v>
      </c>
      <c r="D8010" s="216" t="n">
        <v>1.106592059135437</v>
      </c>
      <c r="E8010" s="215" t="n">
        <v>45418</v>
      </c>
      <c r="F8010" s="215" t="n">
        <v>45418</v>
      </c>
    </row>
    <row r="8011">
      <c r="A8011" s="215" t="n">
        <v>45419</v>
      </c>
      <c r="B8011" s="216" t="n">
        <v>9.550000000000001</v>
      </c>
      <c r="C8011" s="216" t="n">
        <v>18.06</v>
      </c>
      <c r="D8011" s="216" t="n">
        <v>1.104128956794739</v>
      </c>
      <c r="E8011" s="215" t="n">
        <v>45419</v>
      </c>
      <c r="F8011" s="215" t="n">
        <v>45419</v>
      </c>
    </row>
    <row r="8012">
      <c r="A8012" s="215" t="n">
        <v>45420</v>
      </c>
      <c r="B8012" s="216" t="n">
        <v>9.51</v>
      </c>
      <c r="C8012" s="216" t="n">
        <v>18</v>
      </c>
      <c r="D8012" s="216" t="n">
        <v>1.10300600528717</v>
      </c>
      <c r="E8012" s="215" t="n">
        <v>45420</v>
      </c>
      <c r="F8012" s="215" t="n">
        <v>45420</v>
      </c>
    </row>
    <row r="8013">
      <c r="A8013" s="215" t="n">
        <v>45421</v>
      </c>
      <c r="B8013" s="216" t="n">
        <v>9.77</v>
      </c>
      <c r="C8013" s="216" t="n">
        <v>18.17</v>
      </c>
      <c r="D8013" s="216" t="n">
        <v>1.103181958198547</v>
      </c>
      <c r="E8013" s="215" t="n">
        <v>45421</v>
      </c>
      <c r="F8013" s="215" t="n">
        <v>45421</v>
      </c>
    </row>
    <row r="8014">
      <c r="A8014" s="215" t="n">
        <v>45422</v>
      </c>
      <c r="B8014" s="216" t="n">
        <v>9.619999999999999</v>
      </c>
      <c r="C8014" s="216" t="n">
        <v>17.45</v>
      </c>
      <c r="D8014" s="216" t="n">
        <v>1.104058980941772</v>
      </c>
      <c r="E8014" s="215" t="n">
        <v>45422</v>
      </c>
      <c r="F8014" s="215" t="n">
        <v>45422</v>
      </c>
    </row>
    <row r="8015">
      <c r="A8015" s="215" t="n">
        <v>45425</v>
      </c>
      <c r="B8015" s="216" t="n">
        <v>9.699999999999999</v>
      </c>
      <c r="C8015" s="216" t="n">
        <v>17.2</v>
      </c>
      <c r="D8015" s="216" t="n">
        <v>1.10149097442627</v>
      </c>
      <c r="E8015" s="215" t="n">
        <v>45425</v>
      </c>
      <c r="F8015" s="215" t="n">
        <v>45425</v>
      </c>
    </row>
    <row r="8016">
      <c r="A8016" s="215" t="n">
        <v>45426</v>
      </c>
      <c r="B8016" s="216" t="n">
        <v>9.5</v>
      </c>
      <c r="C8016" s="216" t="n">
        <v>17.03</v>
      </c>
      <c r="D8016" s="216" t="n">
        <v>1.101179957389832</v>
      </c>
      <c r="E8016" s="215" t="n">
        <v>45426</v>
      </c>
      <c r="F8016" s="215" t="n">
        <v>45426</v>
      </c>
    </row>
    <row r="8017">
      <c r="A8017" s="215" t="n">
        <v>45428</v>
      </c>
      <c r="B8017" s="216" t="n">
        <v>9.359999999999999</v>
      </c>
      <c r="C8017" s="216" t="n">
        <v>16.71</v>
      </c>
      <c r="D8017" s="216" t="n">
        <v>1.104424953460693</v>
      </c>
      <c r="E8017" s="215" t="n">
        <v>45428</v>
      </c>
      <c r="F8017" s="215" t="n">
        <v>45428</v>
      </c>
    </row>
    <row r="8018">
      <c r="A8018" s="215" t="n">
        <v>45429</v>
      </c>
      <c r="B8018" s="216" t="n">
        <v>9.41</v>
      </c>
      <c r="C8018" s="216" t="n">
        <v>16.9</v>
      </c>
      <c r="D8018" s="216" t="n">
        <v>1.100981950759888</v>
      </c>
      <c r="E8018" s="215" t="n">
        <v>45429</v>
      </c>
      <c r="F8018" s="215" t="n">
        <v>45429</v>
      </c>
    </row>
    <row r="8019">
      <c r="A8019" s="215" t="n">
        <v>45432</v>
      </c>
      <c r="B8019" s="216" t="n">
        <v>9.369999999999999</v>
      </c>
      <c r="C8019" s="216" t="n">
        <v>17.22</v>
      </c>
      <c r="D8019" s="216" t="n">
        <v>1.103283047676086</v>
      </c>
      <c r="E8019" s="215" t="n">
        <v>45432</v>
      </c>
      <c r="F8019" s="215" t="n">
        <v>45432</v>
      </c>
    </row>
    <row r="8020">
      <c r="A8020" s="215" t="n">
        <v>45433</v>
      </c>
      <c r="B8020" s="216" t="n">
        <v>8.890000000000001</v>
      </c>
      <c r="C8020" s="216" t="n">
        <v>16.68</v>
      </c>
      <c r="D8020" s="216" t="n">
        <v>1.099310994148254</v>
      </c>
      <c r="E8020" s="215" t="n">
        <v>45433</v>
      </c>
      <c r="F8020" s="215" t="n">
        <v>45433</v>
      </c>
    </row>
    <row r="8021">
      <c r="A8021" s="215" t="n">
        <v>45434</v>
      </c>
      <c r="B8021" s="216" t="n">
        <v>8.859999999999999</v>
      </c>
      <c r="C8021" s="216" t="n">
        <v>16.85</v>
      </c>
      <c r="D8021" s="216" t="n">
        <v>1.099982023239136</v>
      </c>
      <c r="E8021" s="215" t="n">
        <v>45434</v>
      </c>
      <c r="F8021" s="215" t="n">
        <v>45434</v>
      </c>
    </row>
    <row r="8022">
      <c r="A8022" s="215" t="n">
        <v>45435</v>
      </c>
      <c r="B8022" s="216" t="n">
        <v>8.85</v>
      </c>
      <c r="C8022" s="216" t="n">
        <v>16.22</v>
      </c>
      <c r="D8022" s="216" t="n">
        <v>1.09967303276062</v>
      </c>
      <c r="E8022" s="215" t="n">
        <v>45435</v>
      </c>
      <c r="F8022" s="215" t="n">
        <v>45435</v>
      </c>
    </row>
    <row r="8023">
      <c r="A8023" s="215" t="n">
        <v>45436</v>
      </c>
      <c r="B8023" s="216" t="n">
        <v>8.69</v>
      </c>
      <c r="C8023" s="216" t="n">
        <v>15.82</v>
      </c>
      <c r="D8023" s="216" t="n">
        <v>1.09811794757843</v>
      </c>
      <c r="E8023" s="215" t="n">
        <v>45436</v>
      </c>
      <c r="F8023" s="215" t="n">
        <v>45436</v>
      </c>
    </row>
    <row r="8024">
      <c r="A8024" s="215" t="n">
        <v>45439</v>
      </c>
      <c r="B8024" s="216" t="n">
        <v>8.74</v>
      </c>
      <c r="C8024" s="216" t="n">
        <v>15.9</v>
      </c>
      <c r="D8024" s="216" t="n">
        <v>1.100759029388428</v>
      </c>
      <c r="E8024" s="215" t="n">
        <v>45439</v>
      </c>
      <c r="F8024" s="215" t="n">
        <v>45439</v>
      </c>
    </row>
    <row r="8025">
      <c r="A8025" s="215" t="n">
        <v>45440</v>
      </c>
      <c r="B8025" s="216" t="n">
        <v>8.75</v>
      </c>
      <c r="C8025" s="216" t="n">
        <v>15.78</v>
      </c>
      <c r="D8025" s="216" t="n">
        <v>1.101151943206787</v>
      </c>
      <c r="E8025" s="215" t="n">
        <v>45440</v>
      </c>
      <c r="F8025" s="215" t="n">
        <v>45440</v>
      </c>
    </row>
    <row r="8026">
      <c r="A8026" s="215" t="n">
        <v>45441</v>
      </c>
      <c r="B8026" s="216" t="n">
        <v>8.630000000000001</v>
      </c>
      <c r="C8026" s="216" t="n">
        <v>15.44</v>
      </c>
      <c r="D8026" s="216" t="n">
        <v>1.101042032241821</v>
      </c>
      <c r="E8026" s="215" t="n">
        <v>45441</v>
      </c>
      <c r="F8026" s="215" t="n">
        <v>45441</v>
      </c>
    </row>
    <row r="8027">
      <c r="A8027" s="215" t="n">
        <v>45442</v>
      </c>
      <c r="B8027" s="216" t="n">
        <v>8.380000000000001</v>
      </c>
      <c r="C8027" s="216" t="n">
        <v>15.18</v>
      </c>
      <c r="D8027" s="216" t="n">
        <v>1.096346020698547</v>
      </c>
      <c r="E8027" s="215" t="n">
        <v>45442</v>
      </c>
      <c r="F8027" s="215" t="n">
        <v>45442</v>
      </c>
    </row>
    <row r="8028">
      <c r="A8028" s="215" t="n">
        <v>45443</v>
      </c>
      <c r="B8028" s="216" t="n">
        <v>8.449999999999999</v>
      </c>
      <c r="C8028" s="216" t="n">
        <v>15.23</v>
      </c>
      <c r="D8028" s="216" t="n">
        <v>1.099722981452942</v>
      </c>
      <c r="E8028" s="215" t="n">
        <v>45443</v>
      </c>
      <c r="F8028" s="215" t="n">
        <v>45443</v>
      </c>
    </row>
    <row r="8029">
      <c r="A8029" s="215" t="n">
        <v>45446</v>
      </c>
      <c r="B8029" s="216" t="n">
        <v>8.35</v>
      </c>
      <c r="C8029" s="216" t="n">
        <v>14.9</v>
      </c>
      <c r="D8029" s="216" t="n">
        <v>1.102306008338928</v>
      </c>
      <c r="E8029" s="215" t="n">
        <v>45446</v>
      </c>
      <c r="F8029" s="215" t="n">
        <v>45446</v>
      </c>
    </row>
    <row r="8030">
      <c r="A8030" s="215" t="n">
        <v>45447</v>
      </c>
      <c r="B8030" s="216" t="n">
        <v>8.300000000000001</v>
      </c>
      <c r="C8030" s="216" t="n">
        <v>15.03</v>
      </c>
      <c r="D8030" s="216" t="n">
        <v>1.107933044433594</v>
      </c>
      <c r="E8030" s="215" t="n">
        <v>45447</v>
      </c>
      <c r="F8030" s="215" t="n">
        <v>45447</v>
      </c>
    </row>
    <row r="8031">
      <c r="A8031" s="215" t="n">
        <v>45448</v>
      </c>
      <c r="B8031" s="216" t="n">
        <v>8.32</v>
      </c>
      <c r="C8031" s="216" t="n">
        <v>14.9</v>
      </c>
      <c r="D8031" s="216" t="n">
        <v>1.104397058486938</v>
      </c>
      <c r="E8031" s="215" t="n">
        <v>45448</v>
      </c>
      <c r="F8031" s="215" t="n">
        <v>45448</v>
      </c>
    </row>
    <row r="8032">
      <c r="A8032" s="215" t="n">
        <v>45449</v>
      </c>
      <c r="B8032" s="216" t="n">
        <v>8.210000000000001</v>
      </c>
      <c r="C8032" s="216" t="n">
        <v>14.41</v>
      </c>
      <c r="D8032" s="216" t="n">
        <v>1.099522948265076</v>
      </c>
      <c r="E8032" s="215" t="n">
        <v>45449</v>
      </c>
      <c r="F8032" s="215" t="n">
        <v>45449</v>
      </c>
    </row>
    <row r="8033">
      <c r="A8033" s="215" t="n">
        <v>45450</v>
      </c>
      <c r="B8033" s="216" t="n">
        <v>8.27</v>
      </c>
      <c r="C8033" s="216" t="n">
        <v>14.5</v>
      </c>
      <c r="D8033" s="216" t="n">
        <v>1.099043965339661</v>
      </c>
      <c r="E8033" s="215" t="n">
        <v>45450</v>
      </c>
      <c r="F8033" s="215" t="n">
        <v>45450</v>
      </c>
    </row>
    <row r="8034">
      <c r="A8034" s="215" t="n">
        <v>45454</v>
      </c>
      <c r="B8034" s="216" t="n">
        <v>8.1</v>
      </c>
      <c r="C8034" s="216" t="n">
        <v>14.68</v>
      </c>
      <c r="D8034" s="216" t="n">
        <v>1.098870992660522</v>
      </c>
      <c r="E8034" s="215" t="n">
        <v>45454</v>
      </c>
      <c r="F8034" s="215" t="n">
        <v>45454</v>
      </c>
    </row>
    <row r="8035">
      <c r="A8035" s="215" t="n">
        <v>45455</v>
      </c>
      <c r="B8035" s="216" t="n">
        <v>8.16</v>
      </c>
      <c r="C8035" s="216" t="n">
        <v>15.22</v>
      </c>
      <c r="D8035" s="216" t="n">
        <v>1.098610043525696</v>
      </c>
      <c r="E8035" s="215" t="n">
        <v>45455</v>
      </c>
      <c r="F8035" s="215" t="n">
        <v>45455</v>
      </c>
    </row>
    <row r="8036">
      <c r="A8036" s="215" t="n">
        <v>45456</v>
      </c>
      <c r="B8036" s="216" t="n">
        <v>8.19</v>
      </c>
      <c r="C8036" s="216" t="n">
        <v>15.05</v>
      </c>
      <c r="D8036" s="216" t="n">
        <v>1.078271985054016</v>
      </c>
      <c r="E8036" s="215" t="n">
        <v>45456</v>
      </c>
      <c r="F8036" s="215" t="n">
        <v>45456</v>
      </c>
    </row>
    <row r="8037">
      <c r="A8037" s="215" t="n">
        <v>45457</v>
      </c>
      <c r="B8037" s="216" t="n">
        <v>8.109999999999999</v>
      </c>
      <c r="C8037" s="216" t="n">
        <v>14.79</v>
      </c>
      <c r="D8037" s="216" t="n">
        <v>1.07685399055481</v>
      </c>
      <c r="E8037" s="215" t="n">
        <v>45457</v>
      </c>
      <c r="F8037" s="215" t="n">
        <v>45457</v>
      </c>
    </row>
    <row r="8038">
      <c r="A8038" s="215" t="n">
        <v>45460</v>
      </c>
      <c r="B8038" s="216" t="n">
        <v>8.18</v>
      </c>
      <c r="C8038" s="216" t="n">
        <v>14.75</v>
      </c>
      <c r="D8038" s="216" t="n">
        <v>1.09790301322937</v>
      </c>
      <c r="E8038" s="215" t="n">
        <v>45460</v>
      </c>
      <c r="F8038" s="215" t="n">
        <v>45460</v>
      </c>
    </row>
    <row r="8039">
      <c r="A8039" s="215" t="n">
        <v>45461</v>
      </c>
      <c r="B8039" s="216" t="n">
        <v>8.130000000000001</v>
      </c>
      <c r="C8039" s="216" t="n">
        <v>14.41</v>
      </c>
      <c r="D8039" s="216" t="n">
        <v>1.076823949813843</v>
      </c>
      <c r="E8039" s="215" t="n">
        <v>45461</v>
      </c>
      <c r="F8039" s="215" t="n">
        <v>45461</v>
      </c>
    </row>
    <row r="8040">
      <c r="A8040" s="215" t="n">
        <v>45462</v>
      </c>
      <c r="B8040" s="216" t="n">
        <v>8.18</v>
      </c>
      <c r="C8040" s="216" t="n">
        <v>14.17</v>
      </c>
      <c r="D8040" s="216" t="n">
        <v>1.076231002807617</v>
      </c>
      <c r="E8040" s="215" t="n">
        <v>45462</v>
      </c>
      <c r="F8040" s="215" t="n">
        <v>45462</v>
      </c>
    </row>
    <row r="8041">
      <c r="A8041" s="215" t="n">
        <v>45463</v>
      </c>
      <c r="B8041" s="216" t="n">
        <v>8.02</v>
      </c>
      <c r="C8041" s="216" t="n">
        <v>14.04</v>
      </c>
      <c r="D8041" s="216" t="n">
        <v>1.075603008270264</v>
      </c>
      <c r="E8041" s="215" t="n">
        <v>45463</v>
      </c>
      <c r="F8041" s="215" t="n">
        <v>45463</v>
      </c>
    </row>
    <row r="8042">
      <c r="A8042" s="215" t="n">
        <v>45464</v>
      </c>
      <c r="B8042" s="216" t="n">
        <v>8.01</v>
      </c>
      <c r="C8042" s="216" t="n">
        <v>14.2</v>
      </c>
      <c r="D8042" s="216" t="n">
        <v>1.07499098777771</v>
      </c>
      <c r="E8042" s="215" t="n">
        <v>45464</v>
      </c>
      <c r="F8042" s="215" t="n">
        <v>45464</v>
      </c>
    </row>
    <row r="8043">
      <c r="A8043" s="215" t="n">
        <v>45467</v>
      </c>
      <c r="B8043" s="216" t="n">
        <v>8.050000000000001</v>
      </c>
      <c r="C8043" s="216" t="n">
        <v>13.6</v>
      </c>
      <c r="D8043" s="216" t="n">
        <v>1.0746910572052</v>
      </c>
      <c r="E8043" s="215" t="n">
        <v>45467</v>
      </c>
      <c r="F8043" s="215" t="n">
        <v>45467</v>
      </c>
    </row>
    <row r="8044">
      <c r="A8044" s="215" t="n">
        <v>45468</v>
      </c>
      <c r="B8044" s="216" t="n">
        <v>8.029999999999999</v>
      </c>
      <c r="C8044" s="216" t="n">
        <v>13.48</v>
      </c>
      <c r="D8044" s="216" t="n">
        <v>1.075618028640747</v>
      </c>
      <c r="E8044" s="215" t="n">
        <v>45468</v>
      </c>
      <c r="F8044" s="215" t="n">
        <v>45468</v>
      </c>
    </row>
    <row r="8045">
      <c r="A8045" s="215" t="n">
        <v>45469</v>
      </c>
      <c r="B8045" s="216" t="n">
        <v>8.029999999999999</v>
      </c>
      <c r="C8045" s="216" t="n">
        <v>13.85</v>
      </c>
      <c r="D8045" s="216" t="n">
        <v>1.075075030326843</v>
      </c>
      <c r="E8045" s="215" t="n">
        <v>45469</v>
      </c>
      <c r="F8045" s="215" t="n">
        <v>45469</v>
      </c>
    </row>
    <row r="8046">
      <c r="A8046" s="215" t="n">
        <v>45470</v>
      </c>
      <c r="B8046" s="216" t="n">
        <v>7.73</v>
      </c>
      <c r="C8046" s="216" t="n">
        <v>13.43</v>
      </c>
      <c r="D8046" s="216" t="n">
        <v>1.074702024459839</v>
      </c>
      <c r="E8046" s="215" t="n">
        <v>45470</v>
      </c>
      <c r="F8046" s="215" t="n">
        <v>45470</v>
      </c>
    </row>
    <row r="8047">
      <c r="A8047" s="215" t="n">
        <v>45471</v>
      </c>
      <c r="B8047" s="216" t="n">
        <v>7.5</v>
      </c>
      <c r="C8047" s="216" t="n">
        <v>13.27</v>
      </c>
      <c r="D8047" s="216" t="n">
        <v>1.07417905330658</v>
      </c>
      <c r="E8047" s="215" t="n">
        <v>45471</v>
      </c>
      <c r="F8047" s="215" t="n">
        <v>45471</v>
      </c>
    </row>
    <row r="8048">
      <c r="A8048" s="215" t="n">
        <v>45475</v>
      </c>
      <c r="B8048" s="216" t="n">
        <v>7.44</v>
      </c>
      <c r="C8048" s="216" t="n">
        <v>13.22</v>
      </c>
      <c r="D8048" s="216" t="n">
        <v>1.074753046035767</v>
      </c>
      <c r="E8048" s="215" t="n">
        <v>45475</v>
      </c>
      <c r="F8048" s="215" t="n">
        <v>45475</v>
      </c>
    </row>
    <row r="8049">
      <c r="A8049" s="215" t="n">
        <v>45476</v>
      </c>
      <c r="B8049" s="216" t="n">
        <v>7.51</v>
      </c>
      <c r="C8049" s="216" t="n">
        <v>13.33</v>
      </c>
      <c r="D8049" s="216" t="n">
        <v>1.074602007865906</v>
      </c>
      <c r="E8049" s="215" t="n">
        <v>45476</v>
      </c>
      <c r="F8049" s="215" t="n">
        <v>45476</v>
      </c>
    </row>
    <row r="8050">
      <c r="A8050" s="215" t="n">
        <v>45477</v>
      </c>
      <c r="B8050" s="216" t="n">
        <v>7.41</v>
      </c>
      <c r="C8050" s="216" t="n">
        <v>12.88</v>
      </c>
      <c r="D8050" s="216" t="n">
        <v>1.073940992355347</v>
      </c>
      <c r="E8050" s="215" t="n">
        <v>45477</v>
      </c>
      <c r="F8050" s="215" t="n">
        <v>45477</v>
      </c>
    </row>
    <row r="8051">
      <c r="A8051" s="215" t="n">
        <v>45478</v>
      </c>
      <c r="B8051" s="216" t="n">
        <v>7.47</v>
      </c>
      <c r="C8051" s="216" t="n">
        <v>13.66</v>
      </c>
      <c r="D8051" s="216" t="n">
        <v>1.07449996471405</v>
      </c>
      <c r="E8051" s="215" t="n">
        <v>45478</v>
      </c>
      <c r="F8051" s="215" t="n">
        <v>45478</v>
      </c>
    </row>
    <row r="8052">
      <c r="A8052" s="215" t="n">
        <v>45481</v>
      </c>
      <c r="B8052" s="216" t="n">
        <v>7.07</v>
      </c>
      <c r="C8052" s="216" t="n">
        <v>12.95</v>
      </c>
      <c r="D8052" s="216" t="n">
        <v>1.074715971946716</v>
      </c>
      <c r="E8052" s="215" t="n">
        <v>45481</v>
      </c>
      <c r="F8052" s="215" t="n">
        <v>45481</v>
      </c>
    </row>
    <row r="8053">
      <c r="A8053" s="215" t="n">
        <v>45482</v>
      </c>
      <c r="B8053" s="216" t="n">
        <v>6.8</v>
      </c>
      <c r="C8053" s="216" t="n">
        <v>12.6</v>
      </c>
      <c r="D8053" s="216" t="n">
        <v>1.074417948722839</v>
      </c>
      <c r="E8053" s="215" t="n">
        <v>45482</v>
      </c>
      <c r="F8053" s="215" t="n">
        <v>45482</v>
      </c>
    </row>
    <row r="8054">
      <c r="A8054" s="215" t="n">
        <v>45483</v>
      </c>
      <c r="B8054" s="216" t="n">
        <v>6.62</v>
      </c>
      <c r="C8054" s="216" t="n">
        <v>12.46</v>
      </c>
      <c r="D8054" s="216" t="n">
        <v>1.073858976364136</v>
      </c>
      <c r="E8054" s="215" t="n">
        <v>45483</v>
      </c>
      <c r="F8054" s="215" t="n">
        <v>45483</v>
      </c>
    </row>
    <row r="8055">
      <c r="A8055" s="215" t="n">
        <v>45484</v>
      </c>
      <c r="B8055" s="216" t="n">
        <v>7.29</v>
      </c>
      <c r="C8055" s="216" t="n">
        <v>13.71</v>
      </c>
      <c r="D8055" s="216" t="n">
        <v>1.073397994041443</v>
      </c>
      <c r="E8055" s="215" t="n">
        <v>45484</v>
      </c>
      <c r="F8055" s="215" t="n">
        <v>45484</v>
      </c>
    </row>
    <row r="8056">
      <c r="A8056" s="215" t="n">
        <v>45485</v>
      </c>
      <c r="B8056" s="216" t="n">
        <v>7.44</v>
      </c>
      <c r="C8056" s="216" t="n">
        <v>14.02</v>
      </c>
      <c r="D8056" s="216" t="n">
        <v>1.07601797580719</v>
      </c>
      <c r="E8056" s="215" t="n">
        <v>45485</v>
      </c>
      <c r="F8056" s="215" t="n">
        <v>45485</v>
      </c>
    </row>
    <row r="8057">
      <c r="A8057" s="215" t="n">
        <v>45488</v>
      </c>
      <c r="B8057" s="216" t="n">
        <v>7.17</v>
      </c>
      <c r="C8057" s="216" t="n">
        <v>13.85</v>
      </c>
      <c r="D8057" s="216" t="n">
        <v>1.076483964920044</v>
      </c>
      <c r="E8057" s="215" t="n">
        <v>45488</v>
      </c>
      <c r="F8057" s="215" t="n">
        <v>45488</v>
      </c>
    </row>
    <row r="8058">
      <c r="A8058" s="215" t="n">
        <v>45489</v>
      </c>
      <c r="B8058" s="216" t="n">
        <v>7.2</v>
      </c>
      <c r="C8058" s="216" t="n">
        <v>13.95</v>
      </c>
      <c r="D8058" s="216" t="n">
        <v>1.07518994808197</v>
      </c>
      <c r="E8058" s="215" t="n">
        <v>45489</v>
      </c>
      <c r="F8058" s="215" t="n">
        <v>45489</v>
      </c>
    </row>
    <row r="8059">
      <c r="A8059" s="215" t="n">
        <v>45490</v>
      </c>
      <c r="B8059" s="216" t="n">
        <v>7.57</v>
      </c>
      <c r="C8059" s="216" t="n">
        <v>14.3</v>
      </c>
      <c r="D8059" s="216" t="n">
        <v>1.093601942062378</v>
      </c>
      <c r="E8059" s="215" t="n">
        <v>45490</v>
      </c>
      <c r="F8059" s="215" t="n">
        <v>45490</v>
      </c>
    </row>
    <row r="8060">
      <c r="A8060" s="215" t="n">
        <v>45491</v>
      </c>
      <c r="B8060" s="216" t="n">
        <v>7.4</v>
      </c>
      <c r="C8060" s="216" t="n">
        <v>14.22</v>
      </c>
      <c r="D8060" s="216" t="n">
        <v>1.075235962867737</v>
      </c>
      <c r="E8060" s="215" t="n">
        <v>45491</v>
      </c>
      <c r="F8060" s="215" t="n">
        <v>45491</v>
      </c>
    </row>
    <row r="8061">
      <c r="A8061" s="215" t="n">
        <v>45492</v>
      </c>
      <c r="B8061" s="216" t="n">
        <v>7.28</v>
      </c>
      <c r="C8061" s="216" t="n">
        <v>14.31</v>
      </c>
      <c r="D8061" s="216" t="n">
        <v>1.075747013092041</v>
      </c>
      <c r="E8061" s="215" t="n">
        <v>45492</v>
      </c>
      <c r="F8061" s="215" t="n">
        <v>45492</v>
      </c>
    </row>
    <row r="8062">
      <c r="A8062" s="215" t="n">
        <v>45495</v>
      </c>
      <c r="B8062" s="216" t="n">
        <v>7.31</v>
      </c>
      <c r="C8062" s="216" t="n">
        <v>14.42</v>
      </c>
      <c r="D8062" s="216" t="n">
        <v>1.074203968048096</v>
      </c>
      <c r="E8062" s="215" t="n">
        <v>45495</v>
      </c>
      <c r="F8062" s="215" t="n">
        <v>45495</v>
      </c>
    </row>
    <row r="8063">
      <c r="A8063" s="215" t="n">
        <v>45496</v>
      </c>
      <c r="B8063" s="216" t="n">
        <v>7.02</v>
      </c>
      <c r="C8063" s="216" t="n">
        <v>13.91</v>
      </c>
      <c r="D8063" s="216" t="n">
        <v>1.073030948638916</v>
      </c>
      <c r="E8063" s="215" t="n">
        <v>45496</v>
      </c>
      <c r="F8063" s="215" t="n">
        <v>45496</v>
      </c>
    </row>
    <row r="8064">
      <c r="A8064" s="215" t="n">
        <v>45497</v>
      </c>
      <c r="B8064" s="216" t="n">
        <v>6.83</v>
      </c>
      <c r="C8064" s="216" t="n">
        <v>13.62</v>
      </c>
      <c r="D8064" s="216" t="n">
        <v>1.073214054107666</v>
      </c>
      <c r="E8064" s="215" t="n">
        <v>45497</v>
      </c>
      <c r="F8064" s="215" t="n">
        <v>45497</v>
      </c>
    </row>
    <row r="8065">
      <c r="A8065" s="215" t="n">
        <v>45498</v>
      </c>
      <c r="B8065" s="216" t="n">
        <v>6.77</v>
      </c>
      <c r="C8065" s="216" t="n">
        <v>13.96</v>
      </c>
      <c r="D8065" s="216" t="n">
        <v>1.075216054916382</v>
      </c>
      <c r="E8065" s="215" t="n">
        <v>45498</v>
      </c>
      <c r="F8065" s="215" t="n">
        <v>45498</v>
      </c>
    </row>
    <row r="8066">
      <c r="A8066" s="215" t="n">
        <v>45499</v>
      </c>
      <c r="B8066" s="216" t="n">
        <v>6.81</v>
      </c>
      <c r="C8066" s="216" t="n">
        <v>13.97</v>
      </c>
      <c r="D8066" s="216" t="n">
        <v>1.079524040222168</v>
      </c>
      <c r="E8066" s="215" t="n">
        <v>45499</v>
      </c>
      <c r="F8066" s="215" t="n">
        <v>45499</v>
      </c>
    </row>
    <row r="8067">
      <c r="A8067" s="215" t="n">
        <v>45502</v>
      </c>
      <c r="B8067" s="216" t="n">
        <v>6.8</v>
      </c>
      <c r="C8067" s="216" t="n">
        <v>13.83</v>
      </c>
      <c r="D8067" s="216" t="n">
        <v>1.076396942138672</v>
      </c>
      <c r="E8067" s="215" t="n">
        <v>45502</v>
      </c>
      <c r="F8067" s="215" t="n">
        <v>45502</v>
      </c>
    </row>
    <row r="8068">
      <c r="A8068" s="215" t="n">
        <v>45503</v>
      </c>
      <c r="B8068" s="216" t="n">
        <v>6.8</v>
      </c>
      <c r="C8068" s="216" t="n">
        <v>13.91</v>
      </c>
      <c r="D8068" s="216" t="n">
        <v>1.075829982757568</v>
      </c>
      <c r="E8068" s="215" t="n">
        <v>45503</v>
      </c>
      <c r="F8068" s="215" t="n">
        <v>45503</v>
      </c>
    </row>
    <row r="8069">
      <c r="A8069" s="215" t="n">
        <v>45504</v>
      </c>
      <c r="B8069" s="216" t="n">
        <v>7.44</v>
      </c>
      <c r="C8069" s="216" t="n">
        <v>15.13</v>
      </c>
      <c r="D8069" s="216" t="n">
        <v>1.077026009559631</v>
      </c>
      <c r="E8069" s="215" t="n">
        <v>45504</v>
      </c>
      <c r="F8069" s="215" t="n">
        <v>45504</v>
      </c>
    </row>
    <row r="8070">
      <c r="A8070" s="215" t="n">
        <v>45505</v>
      </c>
      <c r="B8070" s="216" t="n">
        <v>7.28</v>
      </c>
      <c r="C8070" s="216" t="n">
        <v>15.52</v>
      </c>
      <c r="D8070" s="216" t="n">
        <v>1.082347989082336</v>
      </c>
      <c r="E8070" s="215" t="n">
        <v>45505</v>
      </c>
      <c r="F8070" s="215" t="n">
        <v>45505</v>
      </c>
    </row>
    <row r="8071">
      <c r="A8071" s="215" t="n">
        <v>45506</v>
      </c>
      <c r="B8071" s="216" t="n">
        <v>7.58</v>
      </c>
      <c r="C8071" s="216" t="n">
        <v>15.95</v>
      </c>
      <c r="D8071" s="216" t="n">
        <v>1.078637003898621</v>
      </c>
      <c r="E8071" s="215" t="n">
        <v>45506</v>
      </c>
      <c r="F8071" s="215" t="n">
        <v>45506</v>
      </c>
    </row>
    <row r="8072">
      <c r="A8072" s="215" t="n">
        <v>45509</v>
      </c>
      <c r="B8072" s="216" t="n">
        <v>7.65</v>
      </c>
      <c r="C8072" s="216" t="n">
        <v>15.74</v>
      </c>
      <c r="D8072" s="216" t="n">
        <v>1.090283036231995</v>
      </c>
      <c r="E8072" s="215" t="n">
        <v>45509</v>
      </c>
      <c r="F8072" s="215" t="n">
        <v>45509</v>
      </c>
    </row>
    <row r="8073">
      <c r="A8073" s="215" t="n">
        <v>45510</v>
      </c>
      <c r="B8073" s="216" t="n">
        <v>7.93</v>
      </c>
      <c r="C8073" s="216" t="n">
        <v>16.09</v>
      </c>
      <c r="D8073" s="216" t="n">
        <v>1.094287037849426</v>
      </c>
      <c r="E8073" s="215" t="n">
        <v>45510</v>
      </c>
      <c r="F8073" s="215" t="n">
        <v>45510</v>
      </c>
    </row>
    <row r="8074">
      <c r="A8074" s="215" t="n">
        <v>45511</v>
      </c>
      <c r="B8074" s="216" t="n">
        <v>7.65</v>
      </c>
      <c r="C8074" s="216" t="n">
        <v>15.82</v>
      </c>
      <c r="D8074" s="216" t="n">
        <v>1.089087009429932</v>
      </c>
      <c r="E8074" s="215" t="n">
        <v>45511</v>
      </c>
      <c r="F8074" s="215" t="n">
        <v>45511</v>
      </c>
    </row>
    <row r="8075">
      <c r="A8075" s="215" t="n">
        <v>45512</v>
      </c>
      <c r="B8075" s="216" t="n">
        <v>7.76</v>
      </c>
      <c r="C8075" s="216" t="n">
        <v>15.89</v>
      </c>
      <c r="D8075" s="216" t="n">
        <v>1.084957957267761</v>
      </c>
      <c r="E8075" s="215" t="n">
        <v>45512</v>
      </c>
      <c r="F8075" s="215" t="n">
        <v>45512</v>
      </c>
    </row>
    <row r="8076">
      <c r="A8076" s="215" t="n">
        <v>45513</v>
      </c>
      <c r="B8076" s="216" t="n">
        <v>7.6</v>
      </c>
      <c r="C8076" s="216" t="n">
        <v>15.43</v>
      </c>
      <c r="D8076" s="216" t="n">
        <v>1.086197972297668</v>
      </c>
      <c r="E8076" s="215" t="n">
        <v>45513</v>
      </c>
      <c r="F8076" s="215" t="n">
        <v>45513</v>
      </c>
    </row>
    <row r="8077">
      <c r="A8077" s="215" t="n">
        <v>45516</v>
      </c>
      <c r="B8077" s="216" t="n">
        <v>7.6</v>
      </c>
      <c r="C8077" s="216" t="n">
        <v>15.34</v>
      </c>
      <c r="D8077" s="216" t="n">
        <v>1.087875008583069</v>
      </c>
      <c r="E8077" s="215" t="n">
        <v>45516</v>
      </c>
      <c r="F8077" s="215" t="n">
        <v>45516</v>
      </c>
    </row>
    <row r="8078">
      <c r="A8078" s="215" t="n">
        <v>45517</v>
      </c>
      <c r="B8078" s="216" t="n">
        <v>7.55</v>
      </c>
      <c r="C8078" s="216" t="n">
        <v>15.35</v>
      </c>
      <c r="D8078" s="216" t="n">
        <v>1.085934996604919</v>
      </c>
      <c r="E8078" s="215" t="n">
        <v>45517</v>
      </c>
      <c r="F8078" s="215" t="n">
        <v>45517</v>
      </c>
    </row>
    <row r="8079">
      <c r="A8079" s="215" t="n">
        <v>45518</v>
      </c>
      <c r="B8079" s="216" t="n">
        <v>7.29</v>
      </c>
      <c r="C8079" s="216" t="n">
        <v>14.86</v>
      </c>
      <c r="D8079" s="216" t="n">
        <v>1.088662981987</v>
      </c>
      <c r="E8079" s="215" t="n">
        <v>45518</v>
      </c>
      <c r="F8079" s="215" t="n">
        <v>45518</v>
      </c>
    </row>
    <row r="8080">
      <c r="A8080" s="215" t="n">
        <v>45519</v>
      </c>
      <c r="B8080" s="216" t="n">
        <v>7.26</v>
      </c>
      <c r="C8080" s="216" t="n">
        <v>14.7</v>
      </c>
      <c r="D8080" s="216" t="n">
        <v>1.091369986534119</v>
      </c>
      <c r="E8080" s="215" t="n">
        <v>45519</v>
      </c>
      <c r="F8080" s="215" t="n">
        <v>45519</v>
      </c>
    </row>
    <row r="8081">
      <c r="A8081" s="215" t="n">
        <v>45520</v>
      </c>
      <c r="B8081" s="216" t="n">
        <v>7.36</v>
      </c>
      <c r="C8081" s="216" t="n">
        <v>14.68</v>
      </c>
      <c r="D8081" s="216" t="n">
        <v>1.08672297000885</v>
      </c>
      <c r="E8081" s="215" t="n">
        <v>45520</v>
      </c>
      <c r="F8081" s="215" t="n">
        <v>45520</v>
      </c>
    </row>
    <row r="8082">
      <c r="A8082" s="215" t="n">
        <v>45523</v>
      </c>
      <c r="B8082" s="216" t="n">
        <v>7.25</v>
      </c>
      <c r="C8082" s="216" t="n">
        <v>14.31</v>
      </c>
      <c r="D8082" s="216" t="n">
        <v>1.087823033332825</v>
      </c>
      <c r="E8082" s="215" t="n">
        <v>45523</v>
      </c>
      <c r="F8082" s="215" t="n">
        <v>45523</v>
      </c>
    </row>
    <row r="8083">
      <c r="A8083" s="215" t="n">
        <v>45524</v>
      </c>
      <c r="B8083" s="216" t="n">
        <v>7.12</v>
      </c>
      <c r="C8083" s="216" t="n">
        <v>13.86</v>
      </c>
      <c r="D8083" s="216" t="n">
        <v>1.08710503578186</v>
      </c>
      <c r="E8083" s="215" t="n">
        <v>45524</v>
      </c>
      <c r="F8083" s="215" t="n">
        <v>45524</v>
      </c>
    </row>
    <row r="8084">
      <c r="A8084" s="215" t="n">
        <v>45525</v>
      </c>
      <c r="B8084" s="216" t="n">
        <v>6.95</v>
      </c>
      <c r="C8084" s="216" t="n">
        <v>13.73</v>
      </c>
      <c r="D8084" s="216" t="n">
        <v>1.091691970825195</v>
      </c>
      <c r="E8084" s="215" t="n">
        <v>45525</v>
      </c>
      <c r="F8084" s="215" t="n">
        <v>45525</v>
      </c>
    </row>
    <row r="8085">
      <c r="A8085" s="215" t="n">
        <v>45526</v>
      </c>
      <c r="B8085" s="216" t="n">
        <v>6.86</v>
      </c>
      <c r="C8085" s="216" t="n">
        <v>13.3</v>
      </c>
      <c r="D8085" s="216" t="n">
        <v>1.092425942420959</v>
      </c>
      <c r="E8085" s="215" t="n">
        <v>45526</v>
      </c>
      <c r="F8085" s="215" t="n">
        <v>45526</v>
      </c>
    </row>
    <row r="8086">
      <c r="A8086" s="215" t="n">
        <v>45527</v>
      </c>
      <c r="B8086" s="216" t="n">
        <v>6.92</v>
      </c>
      <c r="C8086" s="216" t="n">
        <v>13.18</v>
      </c>
      <c r="D8086" s="216" t="n">
        <v>1.091052055358887</v>
      </c>
      <c r="E8086" s="215" t="n">
        <v>45527</v>
      </c>
      <c r="F8086" s="215" t="n">
        <v>45527</v>
      </c>
    </row>
    <row r="8087">
      <c r="A8087" s="215" t="n">
        <v>45530</v>
      </c>
      <c r="B8087" s="216" t="n">
        <v>7.1</v>
      </c>
      <c r="C8087" s="216" t="n">
        <v>13.46</v>
      </c>
      <c r="D8087" s="216" t="n">
        <v>1.094154953956604</v>
      </c>
      <c r="E8087" s="215" t="n">
        <v>45530</v>
      </c>
      <c r="F8087" s="215" t="n">
        <v>45530</v>
      </c>
    </row>
    <row r="8088">
      <c r="A8088" s="215" t="n">
        <v>45531</v>
      </c>
      <c r="B8088" s="216" t="n">
        <v>7.16</v>
      </c>
      <c r="C8088" s="216" t="n">
        <v>13.35</v>
      </c>
      <c r="D8088" s="216" t="n">
        <v>1.094954967498779</v>
      </c>
      <c r="E8088" s="215" t="n">
        <v>45531</v>
      </c>
      <c r="F8088" s="215" t="n">
        <v>45531</v>
      </c>
    </row>
    <row r="8089">
      <c r="A8089" s="215" t="n">
        <v>45532</v>
      </c>
      <c r="B8089" s="216" t="n">
        <v>7.09</v>
      </c>
      <c r="C8089" s="216" t="n">
        <v>13.41</v>
      </c>
      <c r="D8089" s="216" t="n">
        <v>1.095074057579041</v>
      </c>
      <c r="E8089" s="215" t="n">
        <v>45532</v>
      </c>
      <c r="F8089" s="215" t="n">
        <v>45532</v>
      </c>
    </row>
    <row r="8090">
      <c r="A8090" s="215" t="n">
        <v>45533</v>
      </c>
      <c r="B8090" s="216" t="n">
        <v>7.27</v>
      </c>
      <c r="C8090" s="216" t="n">
        <v>13.96</v>
      </c>
      <c r="D8090" s="216" t="n">
        <v>1.094665050506592</v>
      </c>
      <c r="E8090" s="215" t="n">
        <v>45533</v>
      </c>
      <c r="F8090" s="215" t="n">
        <v>45533</v>
      </c>
    </row>
    <row r="8091">
      <c r="A8091" s="215" t="n">
        <v>45534</v>
      </c>
      <c r="B8091" s="216" t="n">
        <v>7.07</v>
      </c>
      <c r="C8091" s="216" t="n">
        <v>14.09</v>
      </c>
      <c r="D8091" s="216" t="n">
        <v>1.09866201877594</v>
      </c>
      <c r="E8091" s="215" t="n">
        <v>45534</v>
      </c>
      <c r="F8091" s="215" t="n">
        <v>45534</v>
      </c>
    </row>
    <row r="8092">
      <c r="A8092" s="215" t="n">
        <v>45537</v>
      </c>
      <c r="B8092" s="216" t="n">
        <v>6.58</v>
      </c>
      <c r="C8092" s="216" t="n">
        <v>13.18</v>
      </c>
      <c r="D8092" s="216" t="n">
        <v>1.099230051040649</v>
      </c>
      <c r="E8092" s="215" t="n">
        <v>45537</v>
      </c>
      <c r="F8092" s="215" t="n">
        <v>45537</v>
      </c>
    </row>
    <row r="8093">
      <c r="A8093" s="215" t="n">
        <v>45538</v>
      </c>
      <c r="B8093" s="216" t="n">
        <v>6.7</v>
      </c>
      <c r="C8093" s="216" t="n">
        <v>13.18</v>
      </c>
      <c r="D8093" s="216" t="n">
        <v>1.095303058624268</v>
      </c>
      <c r="E8093" s="215" t="n">
        <v>45538</v>
      </c>
      <c r="F8093" s="215" t="n">
        <v>45538</v>
      </c>
    </row>
    <row r="8094">
      <c r="A8094" s="215" t="n">
        <v>45539</v>
      </c>
      <c r="B8094" s="216" t="n">
        <v>6.53</v>
      </c>
      <c r="C8094" s="216" t="n">
        <v>13.35</v>
      </c>
      <c r="D8094" s="216" t="n">
        <v>1.094771981239319</v>
      </c>
      <c r="E8094" s="215" t="n">
        <v>45539</v>
      </c>
      <c r="F8094" s="215" t="n">
        <v>45539</v>
      </c>
    </row>
    <row r="8095">
      <c r="A8095" s="215" t="n">
        <v>45540</v>
      </c>
      <c r="B8095" s="216" t="n">
        <v>6.65</v>
      </c>
      <c r="C8095" s="216" t="n">
        <v>13.6</v>
      </c>
      <c r="D8095" s="216" t="n">
        <v>1.095960021018982</v>
      </c>
      <c r="E8095" s="215" t="n">
        <v>45540</v>
      </c>
      <c r="F8095" s="215" t="n">
        <v>45540</v>
      </c>
    </row>
    <row r="8096">
      <c r="A8096" s="215" t="n">
        <v>45544</v>
      </c>
      <c r="B8096" s="216" t="n">
        <v>6.63</v>
      </c>
      <c r="C8096" s="216" t="n">
        <v>13.57</v>
      </c>
      <c r="D8096" s="216" t="n">
        <v>1.099578022956848</v>
      </c>
      <c r="E8096" s="215" t="n">
        <v>45544</v>
      </c>
      <c r="F8096" s="215" t="n">
        <v>45544</v>
      </c>
    </row>
    <row r="8097">
      <c r="A8097" s="215" t="n">
        <v>45545</v>
      </c>
      <c r="B8097" s="216" t="n">
        <v>6.57</v>
      </c>
      <c r="C8097" s="216" t="n">
        <v>13.53</v>
      </c>
      <c r="D8097" s="216" t="n">
        <v>1.095790028572083</v>
      </c>
      <c r="E8097" s="215" t="n">
        <v>45545</v>
      </c>
      <c r="F8097" s="215" t="n">
        <v>45545</v>
      </c>
    </row>
    <row r="8098">
      <c r="A8098" s="215" t="n">
        <v>45546</v>
      </c>
      <c r="B8098" s="216" t="n">
        <v>6.8</v>
      </c>
      <c r="C8098" s="216" t="n">
        <v>13.81</v>
      </c>
      <c r="D8098" s="216" t="n">
        <v>1.094709038734436</v>
      </c>
      <c r="E8098" s="215" t="n">
        <v>45546</v>
      </c>
      <c r="F8098" s="215" t="n">
        <v>45546</v>
      </c>
    </row>
    <row r="8099">
      <c r="A8099" s="215" t="n">
        <v>45547</v>
      </c>
      <c r="B8099" s="216" t="n">
        <v>6.66</v>
      </c>
      <c r="C8099" s="216" t="n">
        <v>13.75</v>
      </c>
      <c r="D8099" s="216" t="n">
        <v>1.095039010047913</v>
      </c>
      <c r="E8099" s="215" t="n">
        <v>45547</v>
      </c>
      <c r="F8099" s="215" t="n">
        <v>45547</v>
      </c>
    </row>
    <row r="8100">
      <c r="A8100" s="215" t="n">
        <v>45548</v>
      </c>
      <c r="B8100" s="216" t="n">
        <v>6.77</v>
      </c>
      <c r="C8100" s="216" t="n">
        <v>13.5</v>
      </c>
      <c r="D8100" s="216" t="n">
        <v>1.096182942390442</v>
      </c>
      <c r="E8100" s="215" t="n">
        <v>45548</v>
      </c>
      <c r="F8100" s="215" t="n">
        <v>45548</v>
      </c>
    </row>
    <row r="8101">
      <c r="A8101" s="215" t="n">
        <v>45551</v>
      </c>
      <c r="B8101" s="216" t="n">
        <v>6.52</v>
      </c>
      <c r="C8101" s="216" t="n">
        <v>13.5</v>
      </c>
      <c r="D8101" s="216" t="n">
        <v>1.099149942398071</v>
      </c>
      <c r="E8101" s="215" t="n">
        <v>45548</v>
      </c>
      <c r="F8101" s="215" t="n">
        <v>45551</v>
      </c>
    </row>
    <row r="8102">
      <c r="A8102" s="215" t="n">
        <v>45552</v>
      </c>
      <c r="B8102" s="216" t="n">
        <v>6.52</v>
      </c>
      <c r="C8102" s="216" t="n">
        <v>13.5</v>
      </c>
      <c r="D8102" s="216" t="n">
        <v>1.098492980003357</v>
      </c>
      <c r="E8102" s="215" t="n">
        <v>45548</v>
      </c>
      <c r="F8102" s="215" t="n">
        <v>45552</v>
      </c>
    </row>
    <row r="8103">
      <c r="A8103" s="215" t="n">
        <v>45554</v>
      </c>
      <c r="B8103" s="216" t="n">
        <v>6.8</v>
      </c>
      <c r="C8103" s="216" t="n">
        <v>14.02</v>
      </c>
      <c r="D8103" s="216" t="n">
        <v>1.10042405128479</v>
      </c>
      <c r="E8103" s="215" t="n">
        <v>45554</v>
      </c>
      <c r="F8103" s="215" t="n">
        <v>45554</v>
      </c>
    </row>
    <row r="8104">
      <c r="A8104" s="215" t="n">
        <v>45555</v>
      </c>
      <c r="B8104" s="216" t="n">
        <v>7.33</v>
      </c>
      <c r="C8104" s="216" t="n">
        <v>13.65</v>
      </c>
      <c r="D8104" s="216" t="n">
        <v>1.102666974067688</v>
      </c>
      <c r="E8104" s="215" t="n">
        <v>45555</v>
      </c>
      <c r="F8104" s="215" t="n">
        <v>45555</v>
      </c>
    </row>
    <row r="8105">
      <c r="A8105" s="215" t="n">
        <v>45558</v>
      </c>
      <c r="B8105" s="216" t="n">
        <v>7.06</v>
      </c>
      <c r="C8105" s="216" t="n">
        <v>13.65</v>
      </c>
      <c r="D8105" s="216" t="n">
        <v>1.104709982872009</v>
      </c>
      <c r="E8105" s="215" t="n">
        <v>45558</v>
      </c>
      <c r="F8105" s="215" t="n">
        <v>45558</v>
      </c>
    </row>
    <row r="8106">
      <c r="A8106" s="215" t="n">
        <v>45559</v>
      </c>
      <c r="B8106" s="216" t="n">
        <v>7.23</v>
      </c>
      <c r="C8106" s="216" t="n">
        <v>14.08</v>
      </c>
      <c r="D8106" s="216" t="n">
        <v>1.104027032852173</v>
      </c>
      <c r="E8106" s="215" t="n">
        <v>45559</v>
      </c>
      <c r="F8106" s="215" t="n">
        <v>45559</v>
      </c>
    </row>
    <row r="8107">
      <c r="A8107" s="215" t="n">
        <v>45560</v>
      </c>
      <c r="B8107" s="216" t="n">
        <v>7.29</v>
      </c>
      <c r="C8107" s="216" t="n">
        <v>14.33</v>
      </c>
      <c r="D8107" s="216" t="n">
        <v>1.106814026832581</v>
      </c>
      <c r="E8107" s="215" t="n">
        <v>45560</v>
      </c>
      <c r="F8107" s="215" t="n">
        <v>45560</v>
      </c>
    </row>
    <row r="8108">
      <c r="A8108" s="215" t="n">
        <v>45561</v>
      </c>
      <c r="B8108" s="216" t="n">
        <v>7.61</v>
      </c>
      <c r="C8108" s="216" t="n">
        <v>14.92</v>
      </c>
      <c r="D8108" s="216" t="n">
        <v>1.106874942779541</v>
      </c>
      <c r="E8108" s="215" t="n">
        <v>45561</v>
      </c>
      <c r="F8108" s="215" t="n">
        <v>45561</v>
      </c>
    </row>
    <row r="8109">
      <c r="A8109" s="215" t="n">
        <v>45562</v>
      </c>
      <c r="B8109" s="216" t="n">
        <v>8.82</v>
      </c>
      <c r="C8109" s="216" t="n">
        <v>16.41</v>
      </c>
      <c r="D8109" s="216" t="n">
        <v>1.10965895652771</v>
      </c>
      <c r="E8109" s="215" t="n">
        <v>45562</v>
      </c>
      <c r="F8109" s="215" t="n">
        <v>45562</v>
      </c>
    </row>
    <row r="8110">
      <c r="A8110" s="215" t="n">
        <v>45565</v>
      </c>
      <c r="B8110" s="216" t="n">
        <v>9.789999999999999</v>
      </c>
      <c r="C8110" s="216" t="n">
        <v>18.05</v>
      </c>
      <c r="D8110" s="216" t="n">
        <v>1.10850203037262</v>
      </c>
      <c r="E8110" s="215" t="n">
        <v>45565</v>
      </c>
      <c r="F8110" s="215" t="n">
        <v>45565</v>
      </c>
    </row>
    <row r="8111">
      <c r="A8111" s="215" t="n">
        <v>45567</v>
      </c>
      <c r="B8111" s="216" t="n">
        <v>11.64</v>
      </c>
      <c r="C8111" s="216" t="n">
        <v>18.05</v>
      </c>
      <c r="D8111" s="216" t="n">
        <v>1.105224967002869</v>
      </c>
      <c r="E8111" s="215" t="n">
        <v>45565</v>
      </c>
      <c r="F8111" s="215" t="n">
        <v>45567</v>
      </c>
    </row>
    <row r="8112">
      <c r="A8112" s="215" t="n">
        <v>45568</v>
      </c>
      <c r="B8112" s="216" t="n">
        <v>10.22</v>
      </c>
      <c r="C8112" s="216" t="n">
        <v>18.05</v>
      </c>
      <c r="D8112" s="216" t="n">
        <v>1.10276198387146</v>
      </c>
      <c r="E8112" s="215" t="n">
        <v>45565</v>
      </c>
      <c r="F8112" s="215" t="n">
        <v>45568</v>
      </c>
    </row>
    <row r="8113">
      <c r="A8113" s="215" t="n">
        <v>45569</v>
      </c>
      <c r="B8113" s="216" t="n">
        <v>11.22</v>
      </c>
      <c r="C8113" s="216" t="n">
        <v>18.05</v>
      </c>
      <c r="D8113" s="216" t="n">
        <v>1.10200297832489</v>
      </c>
      <c r="E8113" s="215" t="n">
        <v>45565</v>
      </c>
      <c r="F8113" s="215" t="n">
        <v>45569</v>
      </c>
    </row>
    <row r="8114">
      <c r="A8114" s="215" t="n">
        <v>45572</v>
      </c>
      <c r="B8114" s="216" t="n">
        <v>13.96</v>
      </c>
      <c r="C8114" s="216" t="n">
        <v>18.05</v>
      </c>
      <c r="D8114" s="216" t="n">
        <v>1.10656201839447</v>
      </c>
      <c r="E8114" s="215" t="n">
        <v>45565</v>
      </c>
      <c r="F8114" s="215" t="n">
        <v>45572</v>
      </c>
    </row>
    <row r="8115">
      <c r="A8115" s="215" t="n">
        <v>45573</v>
      </c>
      <c r="B8115" s="216" t="n">
        <v>11.94</v>
      </c>
      <c r="C8115" s="216" t="n">
        <v>19.86</v>
      </c>
      <c r="D8115" s="216" t="n">
        <v>1.106070041656494</v>
      </c>
      <c r="E8115" s="215" t="n">
        <v>45573</v>
      </c>
      <c r="F8115" s="215" t="n">
        <v>45573</v>
      </c>
    </row>
    <row r="8116">
      <c r="A8116" s="215" t="n">
        <v>45574</v>
      </c>
      <c r="B8116" s="216" t="n">
        <v>10.4</v>
      </c>
      <c r="C8116" s="216" t="n">
        <v>18.05</v>
      </c>
      <c r="D8116" s="216" t="n">
        <v>1.101308941841125</v>
      </c>
      <c r="E8116" s="215" t="n">
        <v>45574</v>
      </c>
      <c r="F8116" s="215" t="n">
        <v>45574</v>
      </c>
    </row>
    <row r="8117">
      <c r="A8117" s="215" t="n">
        <v>45575</v>
      </c>
      <c r="B8117" s="216" t="n">
        <v>9.9</v>
      </c>
      <c r="C8117" s="216" t="n">
        <v>17.8</v>
      </c>
      <c r="D8117" s="216" t="n">
        <v>1.09762704372406</v>
      </c>
      <c r="E8117" s="215" t="n">
        <v>45575</v>
      </c>
      <c r="F8117" s="215" t="n">
        <v>45575</v>
      </c>
    </row>
    <row r="8118">
      <c r="A8118" s="215" t="n">
        <v>45579</v>
      </c>
      <c r="B8118" s="216" t="n">
        <v>9.199999999999999</v>
      </c>
      <c r="C8118" s="216" t="n">
        <v>16.94</v>
      </c>
      <c r="D8118" s="216" t="n">
        <v>1.099969029426575</v>
      </c>
      <c r="E8118" s="215" t="n">
        <v>45579</v>
      </c>
      <c r="F8118" s="215" t="n">
        <v>45579</v>
      </c>
    </row>
    <row r="8119">
      <c r="A8119" s="215" t="n">
        <v>45580</v>
      </c>
      <c r="B8119" s="216" t="n">
        <v>8.619999999999999</v>
      </c>
      <c r="C8119" s="216" t="n">
        <v>16.5</v>
      </c>
      <c r="D8119" s="216" t="n">
        <v>1.095134019851685</v>
      </c>
      <c r="E8119" s="215" t="n">
        <v>45580</v>
      </c>
      <c r="F8119" s="215" t="n">
        <v>45580</v>
      </c>
    </row>
    <row r="8120">
      <c r="A8120" s="215" t="n">
        <v>45581</v>
      </c>
      <c r="B8120" s="216" t="n">
        <v>8.66</v>
      </c>
      <c r="C8120" s="216" t="n">
        <v>16.32</v>
      </c>
      <c r="D8120" s="216" t="n">
        <v>1.091102957725525</v>
      </c>
      <c r="E8120" s="215" t="n">
        <v>45581</v>
      </c>
      <c r="F8120" s="215" t="n">
        <v>45581</v>
      </c>
    </row>
    <row r="8121">
      <c r="A8121" s="215" t="n">
        <v>45582</v>
      </c>
      <c r="B8121" s="216" t="n">
        <v>8.470000000000001</v>
      </c>
      <c r="C8121" s="216" t="n">
        <v>16.09</v>
      </c>
      <c r="D8121" s="216" t="n">
        <v>1.091408967971802</v>
      </c>
      <c r="E8121" s="215" t="n">
        <v>45582</v>
      </c>
      <c r="F8121" s="215" t="n">
        <v>45582</v>
      </c>
    </row>
    <row r="8122">
      <c r="A8122" s="215" t="n">
        <v>45583</v>
      </c>
      <c r="B8122" s="216" t="n">
        <v>9.15</v>
      </c>
      <c r="C8122" s="216" t="n">
        <v>16.94</v>
      </c>
      <c r="D8122" s="216" t="n">
        <v>1.090952038764954</v>
      </c>
      <c r="E8122" s="215" t="n">
        <v>45583</v>
      </c>
      <c r="F8122" s="215" t="n">
        <v>45583</v>
      </c>
    </row>
    <row r="8123">
      <c r="A8123" s="215" t="n">
        <v>45586</v>
      </c>
      <c r="B8123" s="216" t="n">
        <v>9</v>
      </c>
      <c r="C8123" s="216" t="n">
        <v>17.12</v>
      </c>
      <c r="D8123" s="216" t="n">
        <v>1.09406304359436</v>
      </c>
      <c r="E8123" s="215" t="n">
        <v>45586</v>
      </c>
      <c r="F8123" s="215" t="n">
        <v>45586</v>
      </c>
    </row>
    <row r="8124">
      <c r="A8124" s="215" t="n">
        <v>45587</v>
      </c>
      <c r="B8124" s="216" t="n">
        <v>9.109999999999999</v>
      </c>
      <c r="C8124" s="216" t="n">
        <v>17.37</v>
      </c>
      <c r="D8124" s="216" t="n">
        <v>1.091953992843628</v>
      </c>
      <c r="E8124" s="215" t="n">
        <v>45587</v>
      </c>
      <c r="F8124" s="215" t="n">
        <v>45587</v>
      </c>
    </row>
    <row r="8125">
      <c r="A8125" s="215" t="n">
        <v>45588</v>
      </c>
      <c r="B8125" s="216" t="n">
        <v>9.289999999999999</v>
      </c>
      <c r="C8125" s="216" t="n">
        <v>17.36</v>
      </c>
      <c r="D8125" s="216" t="n">
        <v>1.091060042381287</v>
      </c>
      <c r="E8125" s="215" t="n">
        <v>45588</v>
      </c>
      <c r="F8125" s="215" t="n">
        <v>45588</v>
      </c>
    </row>
    <row r="8126">
      <c r="A8126" s="215" t="n">
        <v>45589</v>
      </c>
      <c r="B8126" s="216" t="n">
        <v>8.949999999999999</v>
      </c>
      <c r="C8126" s="216" t="n">
        <v>17.29</v>
      </c>
      <c r="D8126" s="216" t="n">
        <v>1.090194940567017</v>
      </c>
      <c r="E8126" s="215" t="n">
        <v>45589</v>
      </c>
      <c r="F8126" s="215" t="n">
        <v>45589</v>
      </c>
    </row>
    <row r="8127">
      <c r="A8127" s="215" t="n">
        <v>45590</v>
      </c>
      <c r="B8127" s="216" t="n">
        <v>9.4</v>
      </c>
      <c r="C8127" s="216" t="n">
        <v>18.1</v>
      </c>
      <c r="D8127" s="216" t="n">
        <v>1.091233015060425</v>
      </c>
      <c r="E8127" s="215" t="n">
        <v>45590</v>
      </c>
      <c r="F8127" s="215" t="n">
        <v>45590</v>
      </c>
    </row>
    <row r="8128">
      <c r="A8128" s="215" t="n">
        <v>45593</v>
      </c>
      <c r="B8128" s="216" t="n">
        <v>9.699999999999999</v>
      </c>
      <c r="C8128" s="216" t="n">
        <v>18.8</v>
      </c>
      <c r="D8128" s="216" t="n">
        <v>1.091169953346252</v>
      </c>
      <c r="E8128" s="215" t="n">
        <v>45593</v>
      </c>
      <c r="F8128" s="215" t="n">
        <v>45593</v>
      </c>
    </row>
    <row r="8129">
      <c r="A8129" s="215" t="n">
        <v>45594</v>
      </c>
      <c r="B8129" s="216" t="n">
        <v>9.300000000000001</v>
      </c>
      <c r="C8129" s="216" t="n">
        <v>17.87</v>
      </c>
      <c r="D8129" s="216" t="n">
        <v>1.090175032615662</v>
      </c>
      <c r="E8129" s="215" t="n">
        <v>45594</v>
      </c>
      <c r="F8129" s="215" t="n">
        <v>45594</v>
      </c>
    </row>
    <row r="8130">
      <c r="A8130" s="215" t="n">
        <v>45595</v>
      </c>
      <c r="B8130" s="216" t="n">
        <v>8.84</v>
      </c>
      <c r="C8130" s="216" t="n">
        <v>17.42</v>
      </c>
      <c r="D8130" s="216" t="n">
        <v>1.089673042297363</v>
      </c>
      <c r="E8130" s="215" t="n">
        <v>45595</v>
      </c>
      <c r="F8130" s="215" t="n">
        <v>45595</v>
      </c>
    </row>
    <row r="8131">
      <c r="A8131" s="215" t="n">
        <v>45596</v>
      </c>
      <c r="B8131" s="216" t="n">
        <v>8.83</v>
      </c>
      <c r="C8131" s="216" t="n">
        <v>17.53</v>
      </c>
      <c r="D8131" s="216" t="n">
        <v>1.091989994049072</v>
      </c>
      <c r="E8131" s="215" t="n">
        <v>45596</v>
      </c>
      <c r="F8131" s="215" t="n">
        <v>45596</v>
      </c>
    </row>
    <row r="8132">
      <c r="A8132" s="215" t="n">
        <v>45597</v>
      </c>
      <c r="B8132" s="216" t="n">
        <v>8.73</v>
      </c>
      <c r="C8132" s="216" t="n">
        <v>16.96</v>
      </c>
      <c r="D8132" s="216" t="n">
        <v>1.091570019721985</v>
      </c>
      <c r="E8132" s="215" t="n">
        <v>45597</v>
      </c>
      <c r="F8132" s="215" t="n">
        <v>45597</v>
      </c>
    </row>
    <row r="8133">
      <c r="A8133" s="215" t="n">
        <v>45600</v>
      </c>
      <c r="B8133" s="216" t="n">
        <v>9.77</v>
      </c>
      <c r="C8133" s="216" t="n">
        <v>18.66</v>
      </c>
      <c r="D8133" s="216" t="n">
        <v>1.091678023338318</v>
      </c>
      <c r="E8133" s="215" t="n">
        <v>45600</v>
      </c>
      <c r="F8133" s="215" t="n">
        <v>45600</v>
      </c>
    </row>
    <row r="8134">
      <c r="A8134" s="215" t="n">
        <v>45601</v>
      </c>
      <c r="B8134" s="216" t="n">
        <v>9.720000000000001</v>
      </c>
      <c r="C8134" s="216" t="n">
        <v>19.1</v>
      </c>
      <c r="D8134" s="216" t="n">
        <v>1.094761967658997</v>
      </c>
      <c r="E8134" s="215" t="n">
        <v>45601</v>
      </c>
      <c r="F8134" s="215" t="n">
        <v>45601</v>
      </c>
    </row>
    <row r="8135">
      <c r="A8135" s="215" t="n">
        <v>45602</v>
      </c>
      <c r="B8135" s="216" t="n">
        <v>9.74</v>
      </c>
      <c r="C8135" s="216" t="n">
        <v>19.15</v>
      </c>
      <c r="D8135" s="216" t="n">
        <v>1.094082951545715</v>
      </c>
      <c r="E8135" s="215" t="n">
        <v>45602</v>
      </c>
      <c r="F8135" s="215" t="n">
        <v>45602</v>
      </c>
    </row>
    <row r="8136">
      <c r="A8136" s="215" t="n">
        <v>45603</v>
      </c>
      <c r="B8136" s="216" t="n">
        <v>10.34</v>
      </c>
      <c r="C8136" s="216" t="n">
        <v>19.6</v>
      </c>
      <c r="D8136" s="216" t="n">
        <v>1.083237051963806</v>
      </c>
      <c r="E8136" s="215" t="n">
        <v>45603</v>
      </c>
      <c r="F8136" s="215" t="n">
        <v>45603</v>
      </c>
    </row>
    <row r="8137">
      <c r="A8137" s="215" t="n">
        <v>45604</v>
      </c>
      <c r="B8137" s="216" t="n">
        <v>10.5</v>
      </c>
      <c r="C8137" s="216" t="n">
        <v>19.5</v>
      </c>
      <c r="D8137" s="216" t="n">
        <v>1.087854027748108</v>
      </c>
      <c r="E8137" s="215" t="n">
        <v>45604</v>
      </c>
      <c r="F8137" s="215" t="n">
        <v>45604</v>
      </c>
    </row>
    <row r="8138">
      <c r="A8138" s="215" t="n">
        <v>45607</v>
      </c>
      <c r="B8138" s="216" t="n">
        <v>10.28</v>
      </c>
      <c r="C8138" s="216" t="n">
        <v>19.81</v>
      </c>
      <c r="D8138" s="216" t="n">
        <v>1.082896947860718</v>
      </c>
      <c r="E8138" s="215" t="n">
        <v>45607</v>
      </c>
      <c r="F8138" s="215" t="n">
        <v>45607</v>
      </c>
    </row>
    <row r="8139">
      <c r="A8139" s="215" t="n">
        <v>45608</v>
      </c>
      <c r="B8139" s="216" t="n">
        <v>10.52</v>
      </c>
      <c r="C8139" s="216" t="n">
        <v>19.69</v>
      </c>
      <c r="D8139" s="216" t="n">
        <v>1.077934980392456</v>
      </c>
      <c r="E8139" s="215" t="n">
        <v>45608</v>
      </c>
      <c r="F8139" s="215" t="n">
        <v>45608</v>
      </c>
    </row>
    <row r="8140">
      <c r="A8140" s="215" t="n">
        <v>45609</v>
      </c>
      <c r="B8140" s="216" t="n">
        <v>9.960000000000001</v>
      </c>
      <c r="C8140" s="216" t="n">
        <v>19.29</v>
      </c>
      <c r="D8140" s="216" t="n">
        <v>1.075376033782959</v>
      </c>
      <c r="E8140" s="215" t="n">
        <v>45609</v>
      </c>
      <c r="F8140" s="215" t="n">
        <v>45609</v>
      </c>
    </row>
    <row r="8141">
      <c r="A8141" s="215" t="n">
        <v>45610</v>
      </c>
      <c r="B8141" s="216" t="n">
        <v>9.199999999999999</v>
      </c>
      <c r="C8141" s="216" t="n">
        <v>18.45</v>
      </c>
      <c r="D8141" s="216" t="n">
        <v>1.07691502571106</v>
      </c>
      <c r="E8141" s="215" t="n">
        <v>45610</v>
      </c>
      <c r="F8141" s="215" t="n">
        <v>45610</v>
      </c>
    </row>
    <row r="8142">
      <c r="A8142" s="215" t="n">
        <v>45611</v>
      </c>
      <c r="B8142" s="216" t="n">
        <v>9.220000000000001</v>
      </c>
      <c r="C8142" s="216" t="n">
        <v>17.78</v>
      </c>
      <c r="D8142" s="216" t="n">
        <v>1.07588803768158</v>
      </c>
      <c r="E8142" s="215" t="n">
        <v>45611</v>
      </c>
      <c r="F8142" s="215" t="n">
        <v>45611</v>
      </c>
    </row>
    <row r="8143">
      <c r="A8143" s="215" t="n">
        <v>45614</v>
      </c>
      <c r="B8143" s="216" t="n">
        <v>9.15</v>
      </c>
      <c r="C8143" s="216" t="n">
        <v>17.3</v>
      </c>
      <c r="D8143" s="216" t="n">
        <v>1.076550960540771</v>
      </c>
      <c r="E8143" s="215" t="n">
        <v>45614</v>
      </c>
      <c r="F8143" s="215" t="n">
        <v>45614</v>
      </c>
    </row>
    <row r="8144">
      <c r="A8144" s="215" t="n">
        <v>45615</v>
      </c>
      <c r="B8144" s="216" t="n">
        <v>9.59</v>
      </c>
      <c r="C8144" s="216" t="n">
        <v>18.14</v>
      </c>
      <c r="D8144" s="216" t="n">
        <v>1.075461030006409</v>
      </c>
      <c r="E8144" s="215" t="n">
        <v>45615</v>
      </c>
      <c r="F8144" s="215" t="n">
        <v>45615</v>
      </c>
    </row>
    <row r="8145">
      <c r="A8145" s="215" t="n">
        <v>45616</v>
      </c>
      <c r="B8145" s="216" t="n">
        <v>10</v>
      </c>
      <c r="C8145" s="216" t="n">
        <v>18.87</v>
      </c>
      <c r="D8145" s="216" t="n">
        <v>1.075147032737732</v>
      </c>
      <c r="E8145" s="215" t="n">
        <v>45616</v>
      </c>
      <c r="F8145" s="215" t="n">
        <v>45616</v>
      </c>
    </row>
    <row r="8146">
      <c r="A8146" s="215" t="n">
        <v>45617</v>
      </c>
      <c r="B8146" s="216" t="n">
        <v>9.85</v>
      </c>
      <c r="C8146" s="216" t="n">
        <v>18.84</v>
      </c>
      <c r="D8146" s="216" t="n">
        <v>1.074183940887451</v>
      </c>
      <c r="E8146" s="215" t="n">
        <v>45617</v>
      </c>
      <c r="F8146" s="215" t="n">
        <v>45617</v>
      </c>
    </row>
    <row r="8147">
      <c r="A8147" s="215" t="n">
        <v>45618</v>
      </c>
      <c r="B8147" s="216" t="n">
        <v>9.4</v>
      </c>
      <c r="C8147" s="216" t="n">
        <v>17.68</v>
      </c>
      <c r="D8147" s="216" t="n">
        <v>1.075669050216675</v>
      </c>
      <c r="E8147" s="215" t="n">
        <v>45618</v>
      </c>
      <c r="F8147" s="215" t="n">
        <v>45618</v>
      </c>
    </row>
    <row r="8148">
      <c r="A8148" s="215" t="n">
        <v>45621</v>
      </c>
      <c r="B8148" s="216" t="n">
        <v>9.369999999999999</v>
      </c>
      <c r="C8148" s="216" t="n">
        <v>17.87</v>
      </c>
      <c r="D8148" s="216" t="n">
        <v>1.074473023414612</v>
      </c>
      <c r="E8148" s="215" t="n">
        <v>45621</v>
      </c>
      <c r="F8148" s="215" t="n">
        <v>45621</v>
      </c>
    </row>
    <row r="8149">
      <c r="A8149" s="215" t="n">
        <v>45622</v>
      </c>
      <c r="B8149" s="216" t="n">
        <v>9.24</v>
      </c>
      <c r="C8149" s="216" t="n">
        <v>17.45</v>
      </c>
      <c r="D8149" s="216" t="n">
        <v>1.073958039283752</v>
      </c>
      <c r="E8149" s="215" t="n">
        <v>45622</v>
      </c>
      <c r="F8149" s="215" t="n">
        <v>45622</v>
      </c>
    </row>
    <row r="8150">
      <c r="A8150" s="215" t="n">
        <v>45623</v>
      </c>
      <c r="B8150" s="216" t="n">
        <v>9.68</v>
      </c>
      <c r="C8150" s="216" t="n">
        <v>18</v>
      </c>
      <c r="D8150" s="216" t="n">
        <v>1.073114991188049</v>
      </c>
      <c r="E8150" s="215" t="n">
        <v>45623</v>
      </c>
      <c r="F8150" s="215" t="n">
        <v>45623</v>
      </c>
    </row>
    <row r="8151">
      <c r="A8151" s="215" t="n">
        <v>45624</v>
      </c>
      <c r="B8151" s="216" t="n">
        <v>9.27</v>
      </c>
      <c r="C8151" s="216" t="n">
        <v>17.73</v>
      </c>
      <c r="D8151" s="216" t="n">
        <v>1.073555946350098</v>
      </c>
      <c r="E8151" s="215" t="n">
        <v>45624</v>
      </c>
      <c r="F8151" s="215" t="n">
        <v>45624</v>
      </c>
    </row>
    <row r="8152">
      <c r="A8152" s="215" t="n">
        <v>45625</v>
      </c>
      <c r="B8152" s="216" t="n">
        <v>9.199999999999999</v>
      </c>
      <c r="C8152" s="216" t="n">
        <v>17.95</v>
      </c>
      <c r="D8152" s="216" t="n">
        <v>1.074349999427795</v>
      </c>
      <c r="E8152" s="215" t="n">
        <v>45625</v>
      </c>
      <c r="F8152" s="215" t="n">
        <v>45625</v>
      </c>
    </row>
    <row r="8153">
      <c r="A8153" s="215" t="n">
        <v>45628</v>
      </c>
      <c r="B8153" s="216" t="n">
        <v>9.279999999999999</v>
      </c>
      <c r="C8153" s="216" t="n">
        <v>17.98</v>
      </c>
      <c r="D8153" s="216" t="n">
        <v>1.074655055999756</v>
      </c>
      <c r="E8153" s="215" t="n">
        <v>45628</v>
      </c>
      <c r="F8153" s="215" t="n">
        <v>45628</v>
      </c>
    </row>
    <row r="8154">
      <c r="A8154" s="215" t="n">
        <v>45629</v>
      </c>
      <c r="B8154" s="216" t="n">
        <v>9.15</v>
      </c>
      <c r="C8154" s="216" t="n">
        <v>17.74</v>
      </c>
      <c r="D8154" s="216" t="n">
        <v>1.069697022438049</v>
      </c>
      <c r="E8154" s="215" t="n">
        <v>45629</v>
      </c>
      <c r="F8154" s="215" t="n">
        <v>45629</v>
      </c>
    </row>
    <row r="8155">
      <c r="A8155" s="215" t="n">
        <v>45630</v>
      </c>
      <c r="B8155" s="216" t="n">
        <v>8.949999999999999</v>
      </c>
      <c r="C8155" s="216" t="n">
        <v>17.27</v>
      </c>
      <c r="D8155" s="216" t="n">
        <v>1.068164944648743</v>
      </c>
      <c r="E8155" s="215" t="n">
        <v>45630</v>
      </c>
      <c r="F8155" s="215" t="n">
        <v>45630</v>
      </c>
    </row>
    <row r="8156">
      <c r="A8156" s="215" t="n">
        <v>45631</v>
      </c>
      <c r="B8156" s="216" t="n">
        <v>8.9</v>
      </c>
      <c r="C8156" s="216" t="n">
        <v>17.33</v>
      </c>
      <c r="D8156" s="216" t="n">
        <v>1.071516990661621</v>
      </c>
      <c r="E8156" s="215" t="n">
        <v>45631</v>
      </c>
      <c r="F8156" s="215" t="n">
        <v>45631</v>
      </c>
    </row>
    <row r="8157">
      <c r="A8157" s="215" t="n">
        <v>45632</v>
      </c>
      <c r="B8157" s="216" t="n">
        <v>9.35</v>
      </c>
      <c r="C8157" s="216" t="n">
        <v>18.47</v>
      </c>
      <c r="D8157" s="216" t="n">
        <v>1.07178795337677</v>
      </c>
      <c r="E8157" s="215" t="n">
        <v>45632</v>
      </c>
      <c r="F8157" s="215" t="n">
        <v>45632</v>
      </c>
    </row>
    <row r="8158">
      <c r="A8158" s="215" t="n">
        <v>45635</v>
      </c>
      <c r="B8158" s="216" t="n">
        <v>9.83</v>
      </c>
      <c r="C8158" s="216" t="n">
        <v>18.41</v>
      </c>
      <c r="D8158" s="216" t="n">
        <v>1.070058941841125</v>
      </c>
      <c r="E8158" s="215" t="n">
        <v>45635</v>
      </c>
      <c r="F8158" s="215" t="n">
        <v>45635</v>
      </c>
    </row>
    <row r="8159">
      <c r="A8159" s="215" t="n">
        <v>45636</v>
      </c>
      <c r="B8159" s="216" t="n">
        <v>9.449999999999999</v>
      </c>
      <c r="C8159" s="216" t="n">
        <v>18.44</v>
      </c>
      <c r="D8159" s="216" t="n">
        <v>1.07076895236969</v>
      </c>
      <c r="E8159" s="215" t="n">
        <v>45636</v>
      </c>
      <c r="F8159" s="215" t="n">
        <v>45636</v>
      </c>
    </row>
    <row r="8160">
      <c r="A8160" s="215" t="n">
        <v>45637</v>
      </c>
      <c r="B8160" s="216" t="n">
        <v>9.49</v>
      </c>
      <c r="C8160" s="216" t="n">
        <v>18.36</v>
      </c>
      <c r="D8160" s="216" t="n">
        <v>1.072139024734497</v>
      </c>
      <c r="E8160" s="215" t="n">
        <v>45637</v>
      </c>
      <c r="F8160" s="215" t="n">
        <v>45637</v>
      </c>
    </row>
    <row r="8161">
      <c r="A8161" s="215" t="n">
        <v>45638</v>
      </c>
      <c r="B8161" s="216" t="n">
        <v>9.449999999999999</v>
      </c>
      <c r="C8161" s="216" t="n">
        <v>18.44</v>
      </c>
      <c r="D8161" s="216" t="n">
        <v>1.070543050765991</v>
      </c>
      <c r="E8161" s="215" t="n">
        <v>45638</v>
      </c>
      <c r="F8161" s="215" t="n">
        <v>45638</v>
      </c>
    </row>
    <row r="8162">
      <c r="A8162" s="215" t="n">
        <v>45639</v>
      </c>
      <c r="B8162" s="216" t="n">
        <v>9.06</v>
      </c>
      <c r="C8162" s="216" t="n">
        <v>17.66</v>
      </c>
      <c r="D8162" s="216" t="n">
        <v>1.069535970687866</v>
      </c>
      <c r="E8162" s="215" t="n">
        <v>45639</v>
      </c>
      <c r="F8162" s="215" t="n">
        <v>45639</v>
      </c>
    </row>
    <row r="8163">
      <c r="A8163" s="215" t="n">
        <v>45642</v>
      </c>
      <c r="B8163" s="216" t="n">
        <v>8.93</v>
      </c>
      <c r="C8163" s="216" t="n">
        <v>17.33</v>
      </c>
      <c r="D8163" s="216" t="n">
        <v>1.068564057350159</v>
      </c>
      <c r="E8163" s="215" t="n">
        <v>45642</v>
      </c>
      <c r="F8163" s="215" t="n">
        <v>45642</v>
      </c>
    </row>
    <row r="8164">
      <c r="A8164" s="215" t="n">
        <v>45643</v>
      </c>
      <c r="B8164" s="216" t="n">
        <v>8.93</v>
      </c>
      <c r="C8164" s="216" t="n">
        <v>17.18</v>
      </c>
      <c r="D8164" s="216" t="n">
        <v>1.06734299659729</v>
      </c>
      <c r="E8164" s="215" t="n">
        <v>45643</v>
      </c>
      <c r="F8164" s="215" t="n">
        <v>45643</v>
      </c>
    </row>
    <row r="8165">
      <c r="A8165" s="215" t="n">
        <v>45644</v>
      </c>
      <c r="B8165" s="216" t="n">
        <v>9.1</v>
      </c>
      <c r="C8165" s="216" t="n">
        <v>17.27</v>
      </c>
      <c r="D8165" s="216" t="n">
        <v>1.066388010978699</v>
      </c>
      <c r="E8165" s="215" t="n">
        <v>45644</v>
      </c>
      <c r="F8165" s="215" t="n">
        <v>45644</v>
      </c>
    </row>
    <row r="8166">
      <c r="A8166" s="215" t="n">
        <v>45645</v>
      </c>
      <c r="B8166" s="216" t="n">
        <v>9</v>
      </c>
      <c r="C8166" s="216" t="n">
        <v>17.46</v>
      </c>
      <c r="D8166" s="216" t="n">
        <v>1.066426038742065</v>
      </c>
      <c r="E8166" s="215" t="n">
        <v>45645</v>
      </c>
      <c r="F8166" s="215" t="n">
        <v>45645</v>
      </c>
    </row>
    <row r="8167">
      <c r="A8167" s="215" t="n">
        <v>45646</v>
      </c>
      <c r="B8167" s="216" t="n">
        <v>8.76</v>
      </c>
      <c r="C8167" s="216" t="n">
        <v>17.41</v>
      </c>
      <c r="D8167" s="216" t="n">
        <v>1.064751029014587</v>
      </c>
      <c r="E8167" s="215" t="n">
        <v>45646</v>
      </c>
      <c r="F8167" s="215" t="n">
        <v>45646</v>
      </c>
    </row>
    <row r="8168">
      <c r="A8168" s="215" t="n">
        <v>45649</v>
      </c>
      <c r="B8168" s="216" t="n">
        <v>8.98</v>
      </c>
      <c r="C8168" s="216" t="n">
        <v>17.12</v>
      </c>
      <c r="D8168" s="216" t="n">
        <v>1.065225005149841</v>
      </c>
      <c r="E8168" s="215" t="n">
        <v>45649</v>
      </c>
      <c r="F8168" s="215" t="n">
        <v>45649</v>
      </c>
    </row>
    <row r="8169">
      <c r="A8169" s="215" t="n">
        <v>45650</v>
      </c>
      <c r="B8169" s="216" t="n">
        <v>9.17</v>
      </c>
      <c r="C8169" s="216" t="n">
        <v>17.32</v>
      </c>
      <c r="D8169" s="216" t="n">
        <v>1.06459105014801</v>
      </c>
      <c r="E8169" s="215" t="n">
        <v>45650</v>
      </c>
      <c r="F8169" s="215" t="n">
        <v>45650</v>
      </c>
    </row>
    <row r="8170">
      <c r="A8170" s="215" t="n">
        <v>45653</v>
      </c>
      <c r="B8170" s="216" t="n">
        <v>9.09</v>
      </c>
      <c r="C8170" s="216" t="n">
        <v>16.96</v>
      </c>
      <c r="D8170" s="216" t="n">
        <v>1.064249038696289</v>
      </c>
      <c r="E8170" s="215" t="n">
        <v>45653</v>
      </c>
      <c r="F8170" s="215" t="n">
        <v>45653</v>
      </c>
    </row>
    <row r="8171">
      <c r="A8171" s="215" t="n">
        <v>45656</v>
      </c>
      <c r="B8171" s="216" t="n">
        <v>9.279999999999999</v>
      </c>
      <c r="C8171" s="216" t="n">
        <v>17.15</v>
      </c>
      <c r="D8171" s="216" t="n">
        <v>1.063662052154541</v>
      </c>
      <c r="E8171" s="215" t="n">
        <v>45656</v>
      </c>
      <c r="F8171" s="215" t="n">
        <v>45656</v>
      </c>
    </row>
    <row r="8172">
      <c r="A8172" s="215" t="n">
        <v>45657</v>
      </c>
      <c r="B8172" s="216" t="n">
        <v>9.35</v>
      </c>
      <c r="C8172" s="216" t="n">
        <v>16.63</v>
      </c>
      <c r="D8172" s="216" t="n">
        <v>1.063554048538208</v>
      </c>
      <c r="E8172" s="215" t="n">
        <v>45657</v>
      </c>
      <c r="F8172" s="215" t="n">
        <v>45657</v>
      </c>
    </row>
    <row r="8173">
      <c r="A8173" s="215" t="n">
        <v>45659</v>
      </c>
      <c r="B8173" s="216" t="n">
        <v>8.93</v>
      </c>
      <c r="C8173" s="216" t="n">
        <v>17.2</v>
      </c>
      <c r="D8173" s="216" t="n">
        <v>1.064368963241577</v>
      </c>
      <c r="E8173" s="215" t="n">
        <v>45659</v>
      </c>
      <c r="F8173" s="215" t="n">
        <v>45659</v>
      </c>
    </row>
    <row r="8174">
      <c r="A8174" s="215" t="n">
        <v>45660</v>
      </c>
      <c r="B8174" s="216" t="n">
        <v>8.699999999999999</v>
      </c>
      <c r="C8174" s="216" t="n">
        <v>16.34</v>
      </c>
      <c r="D8174" s="216" t="n">
        <v>1.065240979194641</v>
      </c>
      <c r="E8174" s="215" t="n">
        <v>45660</v>
      </c>
      <c r="F8174" s="215" t="n">
        <v>45660</v>
      </c>
    </row>
    <row r="8175">
      <c r="A8175" s="215" t="n">
        <v>45663</v>
      </c>
      <c r="B8175" s="216" t="n">
        <v>8.93</v>
      </c>
      <c r="C8175" s="216" t="n">
        <v>16.18</v>
      </c>
      <c r="D8175" s="216" t="n">
        <v>1.062374949455261</v>
      </c>
      <c r="E8175" s="215" t="n">
        <v>45663</v>
      </c>
      <c r="F8175" s="215" t="n">
        <v>45663</v>
      </c>
    </row>
    <row r="8176">
      <c r="A8176" s="215" t="n">
        <v>45664</v>
      </c>
      <c r="B8176" s="216" t="n">
        <v>8.69</v>
      </c>
      <c r="C8176" s="216" t="n">
        <v>16.2</v>
      </c>
      <c r="D8176" s="216" t="n">
        <v>1.061730027198792</v>
      </c>
      <c r="E8176" s="215" t="n">
        <v>45664</v>
      </c>
      <c r="F8176" s="215" t="n">
        <v>45664</v>
      </c>
    </row>
    <row r="8177">
      <c r="A8177" s="215" t="n">
        <v>45665</v>
      </c>
      <c r="B8177" s="216" t="n">
        <v>8.43</v>
      </c>
      <c r="C8177" s="216" t="n">
        <v>15.92</v>
      </c>
      <c r="D8177" s="216" t="n">
        <v>1.061154961585999</v>
      </c>
      <c r="E8177" s="215" t="n">
        <v>45665</v>
      </c>
      <c r="F8177" s="215" t="n">
        <v>45665</v>
      </c>
    </row>
    <row r="8178">
      <c r="A8178" s="215" t="n">
        <v>45666</v>
      </c>
      <c r="B8178" s="216" t="n">
        <v>8.44</v>
      </c>
      <c r="C8178" s="216" t="n">
        <v>15.78</v>
      </c>
      <c r="D8178" s="216" t="n">
        <v>1.061004042625427</v>
      </c>
      <c r="E8178" s="215" t="n">
        <v>45666</v>
      </c>
      <c r="F8178" s="215" t="n">
        <v>45666</v>
      </c>
    </row>
    <row r="8179">
      <c r="A8179" s="215" t="n">
        <v>45667</v>
      </c>
      <c r="B8179" s="216" t="n">
        <v>8.109999999999999</v>
      </c>
      <c r="C8179" s="216" t="n">
        <v>15.29</v>
      </c>
      <c r="D8179" s="216" t="n">
        <v>1.061197996139526</v>
      </c>
      <c r="E8179" s="215" t="n">
        <v>45667</v>
      </c>
      <c r="F8179" s="215" t="n">
        <v>45667</v>
      </c>
    </row>
    <row r="8180">
      <c r="A8180" s="215" t="n">
        <v>45670</v>
      </c>
      <c r="B8180" s="216" t="n">
        <v>8</v>
      </c>
      <c r="C8180" s="216" t="n">
        <v>15.36</v>
      </c>
      <c r="D8180" s="216" t="n">
        <v>1.061838984489441</v>
      </c>
      <c r="E8180" s="215" t="n">
        <v>45670</v>
      </c>
      <c r="F8180" s="215" t="n">
        <v>45670</v>
      </c>
    </row>
    <row r="8181">
      <c r="A8181" s="215" t="n">
        <v>45671</v>
      </c>
      <c r="B8181" s="216" t="n">
        <v>8.24</v>
      </c>
      <c r="C8181" s="216" t="n">
        <v>15.83</v>
      </c>
      <c r="D8181" s="216" t="n">
        <v>1.061681032180786</v>
      </c>
      <c r="E8181" s="215" t="n">
        <v>45671</v>
      </c>
      <c r="F8181" s="215" t="n">
        <v>45671</v>
      </c>
    </row>
    <row r="8182">
      <c r="A8182" s="215" t="n">
        <v>45672</v>
      </c>
      <c r="B8182" s="216" t="n">
        <v>8.07</v>
      </c>
      <c r="C8182" s="216" t="n">
        <v>15.61</v>
      </c>
      <c r="D8182" s="216" t="n">
        <v>1.062003970146179</v>
      </c>
      <c r="E8182" s="215" t="n">
        <v>45672</v>
      </c>
      <c r="F8182" s="215" t="n">
        <v>45672</v>
      </c>
    </row>
    <row r="8183">
      <c r="A8183" s="215" t="n">
        <v>45673</v>
      </c>
      <c r="B8183" s="216" t="n">
        <v>8.130000000000001</v>
      </c>
      <c r="C8183" s="216" t="n">
        <v>15.55</v>
      </c>
      <c r="D8183" s="216" t="n">
        <v>1.061879992485046</v>
      </c>
      <c r="E8183" s="215" t="n">
        <v>45673</v>
      </c>
      <c r="F8183" s="215" t="n">
        <v>45673</v>
      </c>
    </row>
    <row r="8184">
      <c r="A8184" s="215" t="n">
        <v>45674</v>
      </c>
      <c r="B8184" s="216" t="n">
        <v>8.130000000000001</v>
      </c>
      <c r="C8184" s="216" t="n">
        <v>15.77</v>
      </c>
      <c r="D8184" s="216" t="n">
        <v>1.06210196018219</v>
      </c>
      <c r="E8184" s="215" t="n">
        <v>45674</v>
      </c>
      <c r="F8184" s="215" t="n">
        <v>45674</v>
      </c>
    </row>
    <row r="8185">
      <c r="A8185" s="215" t="n">
        <v>45677</v>
      </c>
      <c r="B8185" s="216" t="n">
        <v>8.289999999999999</v>
      </c>
      <c r="C8185" s="216" t="n">
        <v>16.05</v>
      </c>
      <c r="D8185" s="216" t="n">
        <v>1.062587022781372</v>
      </c>
      <c r="E8185" s="215" t="n">
        <v>45677</v>
      </c>
      <c r="F8185" s="215" t="n">
        <v>45677</v>
      </c>
    </row>
    <row r="8186">
      <c r="A8186" s="215" t="n">
        <v>45678</v>
      </c>
      <c r="B8186" s="216" t="n">
        <v>8.33</v>
      </c>
      <c r="C8186" s="216" t="n">
        <v>15.95</v>
      </c>
      <c r="D8186" s="216" t="n">
        <v>1.063603043556213</v>
      </c>
      <c r="E8186" s="215" t="n">
        <v>45678</v>
      </c>
      <c r="F8186" s="215" t="n">
        <v>45678</v>
      </c>
    </row>
    <row r="8187">
      <c r="A8187" s="215" t="n">
        <v>45679</v>
      </c>
      <c r="B8187" s="216" t="n">
        <v>8.26</v>
      </c>
      <c r="C8187" s="216" t="n">
        <v>15.69</v>
      </c>
      <c r="D8187" s="216" t="n">
        <v>1.070593953132629</v>
      </c>
      <c r="E8187" s="215" t="n">
        <v>45679</v>
      </c>
      <c r="F8187" s="215" t="n">
        <v>45679</v>
      </c>
    </row>
    <row r="8188">
      <c r="A8188" s="215" t="n">
        <v>45680</v>
      </c>
      <c r="B8188" s="216" t="n">
        <v>8.210000000000001</v>
      </c>
      <c r="C8188" s="216" t="n">
        <v>15.49</v>
      </c>
      <c r="D8188" s="216" t="n">
        <v>1.070641040802002</v>
      </c>
      <c r="E8188" s="215" t="n">
        <v>45680</v>
      </c>
      <c r="F8188" s="215" t="n">
        <v>45680</v>
      </c>
    </row>
    <row r="8189">
      <c r="A8189" s="215" t="n">
        <v>45681</v>
      </c>
      <c r="B8189" s="216" t="n">
        <v>8.4</v>
      </c>
      <c r="C8189" s="216" t="n">
        <v>15.69</v>
      </c>
      <c r="D8189" s="216" t="n">
        <v>1.068833947181702</v>
      </c>
      <c r="E8189" s="215" t="n">
        <v>45681</v>
      </c>
      <c r="F8189" s="215" t="n">
        <v>45681</v>
      </c>
    </row>
    <row r="8190">
      <c r="A8190" s="215" t="n">
        <v>45684</v>
      </c>
      <c r="B8190" s="216" t="n">
        <v>8.710000000000001</v>
      </c>
      <c r="C8190" s="216" t="n">
        <v>16.08</v>
      </c>
      <c r="D8190" s="216" t="n">
        <v>1.075027942657471</v>
      </c>
      <c r="E8190" s="215" t="n">
        <v>45684</v>
      </c>
      <c r="F8190" s="215" t="n">
        <v>45684</v>
      </c>
    </row>
    <row r="8191">
      <c r="A8191" s="215" t="n">
        <v>45685</v>
      </c>
      <c r="B8191" s="216" t="n">
        <v>8.449999999999999</v>
      </c>
      <c r="C8191" s="216" t="n">
        <v>16.08</v>
      </c>
      <c r="D8191" s="216" t="n">
        <v>1.074183940887451</v>
      </c>
      <c r="E8191" s="215" t="n">
        <v>45684</v>
      </c>
      <c r="F8191" s="215" t="n">
        <v>45685</v>
      </c>
    </row>
    <row r="8192">
      <c r="A8192" s="215" t="n">
        <v>45691</v>
      </c>
      <c r="B8192" s="216" t="n">
        <v>8.779999999999999</v>
      </c>
      <c r="C8192" s="216" t="n">
        <v>16.08</v>
      </c>
      <c r="D8192" s="216" t="n">
        <v>1.084506034851074</v>
      </c>
      <c r="E8192" s="215" t="n">
        <v>45684</v>
      </c>
      <c r="F8192" s="215" t="n">
        <v>45691</v>
      </c>
    </row>
    <row r="8193">
      <c r="A8193" s="215" t="n">
        <v>45692</v>
      </c>
      <c r="B8193" s="216" t="n">
        <v>9.08</v>
      </c>
      <c r="C8193" s="216" t="n">
        <v>16.08</v>
      </c>
      <c r="D8193" s="216" t="n">
        <v>1.082739949226379</v>
      </c>
      <c r="E8193" s="215" t="n">
        <v>45684</v>
      </c>
      <c r="F8193" s="215" t="n">
        <v>45692</v>
      </c>
    </row>
    <row r="8194">
      <c r="A8194" s="215" t="n">
        <v>45693</v>
      </c>
      <c r="B8194" s="216" t="n">
        <v>9.18</v>
      </c>
      <c r="C8194" s="216" t="n">
        <v>16.96</v>
      </c>
      <c r="D8194" s="216" t="n">
        <v>1.083930015563965</v>
      </c>
      <c r="E8194" s="215" t="n">
        <v>45693</v>
      </c>
      <c r="F8194" s="215" t="n">
        <v>45693</v>
      </c>
    </row>
    <row r="8195">
      <c r="A8195" s="215" t="n">
        <v>45694</v>
      </c>
      <c r="B8195" s="216" t="n">
        <v>9.369999999999999</v>
      </c>
      <c r="C8195" s="216" t="n">
        <v>17.2</v>
      </c>
      <c r="D8195" s="216" t="n">
        <v>1.070767045021057</v>
      </c>
      <c r="E8195" s="215" t="n">
        <v>45694</v>
      </c>
      <c r="F8195" s="215" t="n">
        <v>45694</v>
      </c>
    </row>
    <row r="8196">
      <c r="A8196" s="215" t="n">
        <v>45695</v>
      </c>
      <c r="B8196" s="216" t="n">
        <v>9.58</v>
      </c>
      <c r="C8196" s="216" t="n">
        <v>17.57</v>
      </c>
      <c r="D8196" s="216" t="n">
        <v>1.068161010742188</v>
      </c>
      <c r="E8196" s="215" t="n">
        <v>45695</v>
      </c>
      <c r="F8196" s="215" t="n">
        <v>45695</v>
      </c>
    </row>
    <row r="8197">
      <c r="A8197" s="215" t="n">
        <v>45698</v>
      </c>
      <c r="B8197" s="216" t="n">
        <v>9.970000000000001</v>
      </c>
      <c r="C8197" s="216" t="n">
        <v>18.62</v>
      </c>
      <c r="D8197" s="216" t="n">
        <v>1.068833947181702</v>
      </c>
      <c r="E8197" s="215" t="n">
        <v>45698</v>
      </c>
      <c r="F8197" s="215" t="n">
        <v>45698</v>
      </c>
    </row>
    <row r="8198">
      <c r="A8198" s="215" t="n">
        <v>45699</v>
      </c>
      <c r="B8198" s="216" t="n">
        <v>9.789999999999999</v>
      </c>
      <c r="C8198" s="216" t="n">
        <v>18.43</v>
      </c>
      <c r="D8198" s="216" t="n">
        <v>1.066220045089722</v>
      </c>
      <c r="E8198" s="215" t="n">
        <v>45699</v>
      </c>
      <c r="F8198" s="215" t="n">
        <v>45699</v>
      </c>
    </row>
    <row r="8199">
      <c r="A8199" s="215" t="n">
        <v>45700</v>
      </c>
      <c r="B8199" s="216" t="n">
        <v>9.92</v>
      </c>
      <c r="C8199" s="216" t="n">
        <v>18.71</v>
      </c>
      <c r="D8199" s="216" t="n">
        <v>1.066164970397949</v>
      </c>
      <c r="E8199" s="215" t="n">
        <v>45700</v>
      </c>
      <c r="F8199" s="215" t="n">
        <v>45700</v>
      </c>
    </row>
    <row r="8200">
      <c r="A8200" s="215" t="n">
        <v>45701</v>
      </c>
      <c r="B8200" s="216" t="n">
        <v>9.6</v>
      </c>
      <c r="C8200" s="216" t="n">
        <v>18.54</v>
      </c>
      <c r="D8200" s="216" t="n">
        <v>1.065642952919006</v>
      </c>
      <c r="E8200" s="215" t="n">
        <v>45701</v>
      </c>
      <c r="F8200" s="215" t="n">
        <v>45701</v>
      </c>
    </row>
    <row r="8201">
      <c r="A8201" s="215" t="n">
        <v>45702</v>
      </c>
      <c r="B8201" s="216" t="n">
        <v>10.34</v>
      </c>
      <c r="C8201" s="216" t="n">
        <v>19.02</v>
      </c>
      <c r="D8201" s="216" t="n">
        <v>1.068236947059631</v>
      </c>
      <c r="E8201" s="215" t="n">
        <v>45702</v>
      </c>
      <c r="F8201" s="215" t="n">
        <v>45702</v>
      </c>
    </row>
    <row r="8202">
      <c r="A8202" s="215" t="n">
        <v>45705</v>
      </c>
      <c r="B8202" s="216" t="n">
        <v>10.58</v>
      </c>
      <c r="C8202" s="216" t="n">
        <v>19.06</v>
      </c>
      <c r="D8202" s="216" t="n">
        <v>1.072839021682739</v>
      </c>
      <c r="E8202" s="215" t="n">
        <v>45705</v>
      </c>
      <c r="F8202" s="215" t="n">
        <v>45705</v>
      </c>
    </row>
    <row r="8203">
      <c r="A8203" s="215" t="n">
        <v>45706</v>
      </c>
      <c r="B8203" s="216" t="n">
        <v>10.86</v>
      </c>
      <c r="C8203" s="216" t="n">
        <v>18.65</v>
      </c>
      <c r="D8203" s="216" t="n">
        <v>1.072520971298218</v>
      </c>
      <c r="E8203" s="215" t="n">
        <v>45706</v>
      </c>
      <c r="F8203" s="215" t="n">
        <v>45706</v>
      </c>
    </row>
    <row r="8204">
      <c r="A8204" s="215" t="n">
        <v>45707</v>
      </c>
      <c r="B8204" s="216" t="n">
        <v>10.88</v>
      </c>
      <c r="C8204" s="216" t="n">
        <v>19</v>
      </c>
      <c r="D8204" s="216" t="n">
        <v>1.067935943603516</v>
      </c>
      <c r="E8204" s="215" t="n">
        <v>45707</v>
      </c>
      <c r="F8204" s="215" t="n">
        <v>45707</v>
      </c>
    </row>
    <row r="8205">
      <c r="A8205" s="215" t="n">
        <v>45708</v>
      </c>
      <c r="B8205" s="216" t="n">
        <v>13.36</v>
      </c>
      <c r="C8205" s="216" t="n">
        <v>20.9</v>
      </c>
      <c r="D8205" s="216" t="n">
        <v>1.067798972129822</v>
      </c>
      <c r="E8205" s="215" t="n">
        <v>45708</v>
      </c>
      <c r="F8205" s="215" t="n">
        <v>45708</v>
      </c>
    </row>
    <row r="8206">
      <c r="A8206" s="215" t="n">
        <v>45709</v>
      </c>
      <c r="B8206" s="216" t="n">
        <v>13.54</v>
      </c>
      <c r="C8206" s="216" t="n">
        <v>21.42</v>
      </c>
      <c r="D8206" s="216" t="n">
        <v>1.071557998657227</v>
      </c>
      <c r="E8206" s="215" t="n">
        <v>45709</v>
      </c>
      <c r="F8206" s="215" t="n">
        <v>45709</v>
      </c>
    </row>
    <row r="8207">
      <c r="A8207" s="215" t="n">
        <v>45712</v>
      </c>
      <c r="B8207" s="216" t="n">
        <v>13.3</v>
      </c>
      <c r="C8207" s="216" t="n">
        <v>21.21</v>
      </c>
      <c r="D8207" s="216" t="n">
        <v>1.071457982063293</v>
      </c>
      <c r="E8207" s="215" t="n">
        <v>45712</v>
      </c>
      <c r="F8207" s="215" t="n">
        <v>45712</v>
      </c>
    </row>
    <row r="8208">
      <c r="A8208" s="215" t="n">
        <v>45713</v>
      </c>
      <c r="B8208" s="216" t="n">
        <v>13.74</v>
      </c>
      <c r="C8208" s="216" t="n">
        <v>21.09</v>
      </c>
      <c r="D8208" s="216" t="n">
        <v>1.072481989860535</v>
      </c>
      <c r="E8208" s="215" t="n">
        <v>45713</v>
      </c>
      <c r="F8208" s="215" t="n">
        <v>45713</v>
      </c>
    </row>
    <row r="8209">
      <c r="A8209" s="215" t="n">
        <v>45714</v>
      </c>
      <c r="B8209" s="216" t="n">
        <v>15.28</v>
      </c>
      <c r="C8209" s="216" t="n">
        <v>22.05</v>
      </c>
      <c r="D8209" s="216" t="n">
        <v>1.072456955909729</v>
      </c>
      <c r="E8209" s="215" t="n">
        <v>45714</v>
      </c>
      <c r="F8209" s="215" t="n">
        <v>45714</v>
      </c>
    </row>
    <row r="8210">
      <c r="A8210" s="215" t="n">
        <v>45715</v>
      </c>
      <c r="B8210" s="216" t="n">
        <v>15.56</v>
      </c>
      <c r="C8210" s="216" t="n">
        <v>22.19</v>
      </c>
      <c r="D8210" s="216" t="n">
        <v>1.070572972297668</v>
      </c>
      <c r="E8210" s="215" t="n">
        <v>45715</v>
      </c>
      <c r="F8210" s="215" t="n">
        <v>45715</v>
      </c>
    </row>
    <row r="8211">
      <c r="A8211" s="215" t="n">
        <v>45716</v>
      </c>
      <c r="B8211" s="216" t="n">
        <v>13.22</v>
      </c>
      <c r="C8211" s="216" t="n">
        <v>20.76</v>
      </c>
      <c r="D8211" s="216" t="n">
        <v>1.067088961601257</v>
      </c>
      <c r="E8211" s="215" t="n">
        <v>45716</v>
      </c>
      <c r="F8211" s="215" t="n">
        <v>45716</v>
      </c>
    </row>
    <row r="8212">
      <c r="A8212" s="215" t="n">
        <v>45719</v>
      </c>
      <c r="B8212" s="216" t="n">
        <v>13.22</v>
      </c>
      <c r="C8212" s="216" t="n">
        <v>20.99</v>
      </c>
      <c r="D8212" s="216" t="n">
        <v>1.06771194934845</v>
      </c>
      <c r="E8212" s="215" t="n">
        <v>45719</v>
      </c>
      <c r="F8212" s="215" t="n">
        <v>45719</v>
      </c>
    </row>
    <row r="8213">
      <c r="A8213" s="215" t="n">
        <v>45720</v>
      </c>
      <c r="B8213" s="216" t="n">
        <v>13.56</v>
      </c>
      <c r="C8213" s="216" t="n">
        <v>20.92</v>
      </c>
      <c r="D8213" s="216" t="n">
        <v>1.067291021347046</v>
      </c>
      <c r="E8213" s="215" t="n">
        <v>45720</v>
      </c>
      <c r="F8213" s="215" t="n">
        <v>45720</v>
      </c>
    </row>
    <row r="8214">
      <c r="A8214" s="215" t="n">
        <v>45721</v>
      </c>
      <c r="B8214" s="216" t="n">
        <v>13.98</v>
      </c>
      <c r="C8214" s="216" t="n">
        <v>20.88</v>
      </c>
      <c r="D8214" s="216" t="n">
        <v>1.069700956344604</v>
      </c>
      <c r="E8214" s="215" t="n">
        <v>45721</v>
      </c>
      <c r="F8214" s="215" t="n">
        <v>45721</v>
      </c>
    </row>
    <row r="8215">
      <c r="A8215" s="215" t="n">
        <v>45722</v>
      </c>
      <c r="B8215" s="216" t="n">
        <v>14.72</v>
      </c>
      <c r="C8215" s="216" t="n">
        <v>21.6</v>
      </c>
      <c r="D8215" s="216" t="n">
        <v>1.071586012840271</v>
      </c>
      <c r="E8215" s="215" t="n">
        <v>45722</v>
      </c>
      <c r="F8215" s="215" t="n">
        <v>45722</v>
      </c>
    </row>
    <row r="8216">
      <c r="A8216" s="215" t="n">
        <v>45723</v>
      </c>
      <c r="B8216" s="216" t="n">
        <v>14.04</v>
      </c>
      <c r="C8216" s="216" t="n">
        <v>21.12</v>
      </c>
      <c r="D8216" s="216" t="n">
        <v>1.071760058403015</v>
      </c>
      <c r="E8216" s="215" t="n">
        <v>45723</v>
      </c>
      <c r="F8216" s="215" t="n">
        <v>45723</v>
      </c>
    </row>
    <row r="8217">
      <c r="A8217" s="215" t="n">
        <v>45726</v>
      </c>
      <c r="B8217" s="216" t="n">
        <v>15.1</v>
      </c>
      <c r="C8217" s="216" t="n">
        <v>21.29</v>
      </c>
      <c r="D8217" s="216" t="n">
        <v>1.074237942695618</v>
      </c>
      <c r="E8217" s="215" t="n">
        <v>45726</v>
      </c>
      <c r="F8217" s="215" t="n">
        <v>45726</v>
      </c>
    </row>
    <row r="8218">
      <c r="A8218" s="215" t="n">
        <v>45727</v>
      </c>
      <c r="B8218" s="216" t="n">
        <v>15.64</v>
      </c>
      <c r="C8218" s="216" t="n">
        <v>21.77</v>
      </c>
      <c r="D8218" s="216" t="n">
        <v>1.069882988929749</v>
      </c>
      <c r="E8218" s="215" t="n">
        <v>45727</v>
      </c>
      <c r="F8218" s="215" t="n">
        <v>45727</v>
      </c>
    </row>
    <row r="8219">
      <c r="A8219" s="215" t="n">
        <v>45728</v>
      </c>
      <c r="B8219" s="216" t="n">
        <v>15</v>
      </c>
      <c r="C8219" s="216" t="n">
        <v>21.6</v>
      </c>
      <c r="D8219" s="216" t="n">
        <v>1.070067048072815</v>
      </c>
      <c r="E8219" s="215" t="n">
        <v>45728</v>
      </c>
      <c r="F8219" s="215" t="n">
        <v>45728</v>
      </c>
    </row>
    <row r="8220">
      <c r="A8220" s="215" t="n">
        <v>45729</v>
      </c>
      <c r="B8220" s="216" t="n">
        <v>14.9</v>
      </c>
      <c r="C8220" s="216" t="n">
        <v>21.18</v>
      </c>
      <c r="D8220" s="216" t="n">
        <v>1.07337498664856</v>
      </c>
      <c r="E8220" s="215" t="n">
        <v>45729</v>
      </c>
      <c r="F8220" s="215" t="n">
        <v>45729</v>
      </c>
    </row>
    <row r="8221">
      <c r="A8221" s="215" t="n">
        <v>45730</v>
      </c>
      <c r="B8221" s="216" t="n">
        <v>15.4</v>
      </c>
      <c r="C8221" s="216" t="n">
        <v>21.87</v>
      </c>
      <c r="D8221" s="216" t="n">
        <v>1.073752999305725</v>
      </c>
      <c r="E8221" s="215" t="n">
        <v>45730</v>
      </c>
      <c r="F8221" s="215" t="n">
        <v>45730</v>
      </c>
    </row>
    <row r="8222">
      <c r="A8222" s="215" t="n">
        <v>45733</v>
      </c>
      <c r="B8222" s="216" t="n">
        <v>15.58</v>
      </c>
      <c r="C8222" s="216" t="n">
        <v>21.62</v>
      </c>
      <c r="D8222" s="216" t="n">
        <v>1.073765993118286</v>
      </c>
      <c r="E8222" s="215" t="n">
        <v>45733</v>
      </c>
      <c r="F8222" s="215" t="n">
        <v>45733</v>
      </c>
    </row>
    <row r="8223">
      <c r="A8223" s="215" t="n">
        <v>45734</v>
      </c>
      <c r="B8223" s="216" t="n">
        <v>16.98</v>
      </c>
      <c r="C8223" s="216" t="n">
        <v>22.64</v>
      </c>
      <c r="D8223" s="216" t="n">
        <v>1.073990941047668</v>
      </c>
      <c r="E8223" s="215" t="n">
        <v>45734</v>
      </c>
      <c r="F8223" s="215" t="n">
        <v>45734</v>
      </c>
    </row>
    <row r="8224">
      <c r="A8224" s="215" t="n">
        <v>45735</v>
      </c>
      <c r="B8224" s="216" t="n">
        <v>16.5</v>
      </c>
      <c r="C8224" s="216" t="n">
        <v>22.32</v>
      </c>
      <c r="D8224" s="216" t="n">
        <v>1.074807047843933</v>
      </c>
      <c r="E8224" s="215" t="n">
        <v>45735</v>
      </c>
      <c r="F8224" s="215" t="n">
        <v>45735</v>
      </c>
    </row>
    <row r="8225">
      <c r="A8225" s="215" t="n">
        <v>45736</v>
      </c>
      <c r="B8225" s="216" t="n">
        <v>16.7</v>
      </c>
      <c r="C8225" s="216" t="n">
        <v>22.77</v>
      </c>
      <c r="D8225" s="216" t="n">
        <v>1.074540019035339</v>
      </c>
      <c r="E8225" s="215" t="n">
        <v>45736</v>
      </c>
      <c r="F8225" s="215" t="n">
        <v>45736</v>
      </c>
    </row>
    <row r="8226">
      <c r="A8226" s="215" t="n">
        <v>45737</v>
      </c>
      <c r="B8226" s="216" t="n">
        <v>15.5</v>
      </c>
      <c r="C8226" s="216" t="n">
        <v>21.05</v>
      </c>
      <c r="D8226" s="216" t="n">
        <v>1.072183012962341</v>
      </c>
      <c r="E8226" s="215" t="n">
        <v>45737</v>
      </c>
      <c r="F8226" s="215" t="n">
        <v>45737</v>
      </c>
    </row>
    <row r="8227">
      <c r="A8227" s="215" t="n">
        <v>45740</v>
      </c>
      <c r="B8227" s="216" t="n">
        <v>15.86</v>
      </c>
      <c r="C8227" s="216" t="n">
        <v>21.42</v>
      </c>
      <c r="D8227" s="216" t="n">
        <v>1.072136998176575</v>
      </c>
      <c r="E8227" s="215" t="n">
        <v>45740</v>
      </c>
      <c r="F8227" s="215" t="n">
        <v>45740</v>
      </c>
    </row>
    <row r="8228">
      <c r="A8228" s="215" t="n">
        <v>45741</v>
      </c>
      <c r="B8228" s="216" t="n">
        <v>14.84</v>
      </c>
      <c r="C8228" s="216" t="n">
        <v>20.82</v>
      </c>
      <c r="D8228" s="216" t="n">
        <v>1.071681976318359</v>
      </c>
      <c r="E8228" s="215" t="n">
        <v>45741</v>
      </c>
      <c r="F8228" s="215" t="n">
        <v>45741</v>
      </c>
    </row>
    <row r="8229">
      <c r="A8229" s="215" t="n">
        <v>45742</v>
      </c>
      <c r="B8229" s="216" t="n">
        <v>15.1</v>
      </c>
      <c r="C8229" s="216" t="n">
        <v>20.85</v>
      </c>
      <c r="D8229" s="216" t="n">
        <v>1.071272969245911</v>
      </c>
      <c r="E8229" s="215" t="n">
        <v>45742</v>
      </c>
      <c r="F8229" s="215" t="n">
        <v>45742</v>
      </c>
    </row>
    <row r="8230">
      <c r="A8230" s="215" t="n">
        <v>45743</v>
      </c>
      <c r="B8230" s="216" t="n">
        <v>16</v>
      </c>
      <c r="C8230" s="216" t="n">
        <v>21.98</v>
      </c>
      <c r="D8230" s="216" t="n">
        <v>1.071310043334961</v>
      </c>
      <c r="E8230" s="215" t="n">
        <v>45743</v>
      </c>
      <c r="F8230" s="215" t="n">
        <v>45743</v>
      </c>
    </row>
    <row r="8231">
      <c r="A8231" s="215" t="n">
        <v>45744</v>
      </c>
      <c r="B8231" s="216" t="n">
        <v>14.5</v>
      </c>
      <c r="C8231" s="216" t="n">
        <v>21.24</v>
      </c>
      <c r="D8231" s="216" t="n">
        <v>1.03395402431488</v>
      </c>
      <c r="E8231" s="215" t="n">
        <v>45744</v>
      </c>
      <c r="F8231" s="215" t="n">
        <v>45744</v>
      </c>
    </row>
    <row r="8232">
      <c r="A8232" s="215" t="n">
        <v>45747</v>
      </c>
      <c r="B8232" s="216" t="n">
        <v>13.86</v>
      </c>
      <c r="C8232" s="216" t="n">
        <v>20.34</v>
      </c>
      <c r="D8232" s="216" t="n">
        <v>1.070834994316101</v>
      </c>
      <c r="E8232" s="215" t="n">
        <v>45747</v>
      </c>
      <c r="F8232" s="215" t="n">
        <v>45747</v>
      </c>
    </row>
    <row r="8233">
      <c r="A8233" s="215" t="n">
        <v>45748</v>
      </c>
      <c r="B8233" s="216" t="n">
        <v>13.5</v>
      </c>
      <c r="C8233" s="216" t="n">
        <v>21.43</v>
      </c>
      <c r="D8233" s="216" t="n">
        <v>1.071635007858276</v>
      </c>
      <c r="E8233" s="215" t="n">
        <v>45748</v>
      </c>
      <c r="F8233" s="215" t="n">
        <v>45748</v>
      </c>
    </row>
    <row r="8234">
      <c r="A8234" s="215" t="n">
        <v>45749</v>
      </c>
      <c r="B8234" s="216" t="n">
        <v>12.56</v>
      </c>
      <c r="C8234" s="216" t="n">
        <v>20.38</v>
      </c>
      <c r="D8234" s="216" t="n">
        <v>1.070148944854736</v>
      </c>
      <c r="E8234" s="215" t="n">
        <v>45749</v>
      </c>
      <c r="F8234" s="215" t="n">
        <v>45749</v>
      </c>
    </row>
    <row r="8235">
      <c r="A8235" s="215" t="n">
        <v>45750</v>
      </c>
      <c r="B8235" s="216" t="n">
        <v>12.18</v>
      </c>
      <c r="C8235" s="216" t="n">
        <v>19.8</v>
      </c>
      <c r="D8235" s="216" t="n">
        <v>1.070878982543945</v>
      </c>
      <c r="E8235" s="215" t="n">
        <v>45750</v>
      </c>
      <c r="F8235" s="215" t="n">
        <v>45750</v>
      </c>
    </row>
    <row r="8236">
      <c r="A8236" s="215" t="n">
        <v>45754</v>
      </c>
      <c r="B8236" s="216" t="n">
        <v>10.22</v>
      </c>
      <c r="C8236" s="216" t="n">
        <v>17.82</v>
      </c>
      <c r="D8236" s="216" t="n">
        <v>1.067106008529663</v>
      </c>
      <c r="E8236" s="215" t="n">
        <v>45754</v>
      </c>
      <c r="F8236" s="215" t="n">
        <v>45754</v>
      </c>
    </row>
    <row r="8237">
      <c r="A8237" s="215" t="n">
        <v>45755</v>
      </c>
      <c r="B8237" s="216" t="n">
        <v>10.28</v>
      </c>
      <c r="C8237" s="216" t="n">
        <v>17.26</v>
      </c>
      <c r="D8237" s="216" t="n">
        <v>1.062885046005249</v>
      </c>
      <c r="E8237" s="215" t="n">
        <v>45755</v>
      </c>
      <c r="F8237" s="215" t="n">
        <v>45755</v>
      </c>
    </row>
    <row r="8238">
      <c r="A8238" s="215" t="n">
        <v>45756</v>
      </c>
      <c r="B8238" s="216" t="n">
        <v>10.68</v>
      </c>
      <c r="C8238" s="216" t="n">
        <v>17.07</v>
      </c>
      <c r="D8238" s="216" t="n">
        <v>1.058482050895691</v>
      </c>
      <c r="E8238" s="215" t="n">
        <v>45756</v>
      </c>
      <c r="F8238" s="215" t="n">
        <v>45756</v>
      </c>
    </row>
    <row r="8239">
      <c r="A8239" s="215" t="n">
        <v>45757</v>
      </c>
      <c r="B8239" s="216" t="n">
        <v>11.8</v>
      </c>
      <c r="C8239" s="216" t="n">
        <v>17.79</v>
      </c>
      <c r="D8239" s="216" t="n">
        <v>1.055835008621216</v>
      </c>
      <c r="E8239" s="215" t="n">
        <v>45757</v>
      </c>
      <c r="F8239" s="215" t="n">
        <v>45757</v>
      </c>
    </row>
    <row r="8240">
      <c r="A8240" s="215" t="n">
        <v>45758</v>
      </c>
      <c r="B8240" s="216" t="n">
        <v>10.22</v>
      </c>
      <c r="C8240" s="216" t="n">
        <v>16.03</v>
      </c>
      <c r="D8240" s="216" t="n">
        <v>1.060536980628967</v>
      </c>
      <c r="E8240" s="215" t="n">
        <v>45758</v>
      </c>
      <c r="F8240" s="215" t="n">
        <v>45758</v>
      </c>
    </row>
    <row r="8241">
      <c r="A8241" s="215" t="n">
        <v>45761</v>
      </c>
      <c r="B8241" s="216" t="n">
        <v>10.62</v>
      </c>
      <c r="C8241" s="216" t="n">
        <v>16.57</v>
      </c>
      <c r="D8241" s="216" t="n">
        <v>1.063439965248108</v>
      </c>
      <c r="E8241" s="215" t="n">
        <v>45761</v>
      </c>
      <c r="F8241" s="215" t="n">
        <v>45761</v>
      </c>
    </row>
    <row r="8242">
      <c r="A8242" s="215" t="n">
        <v>45762</v>
      </c>
      <c r="B8242" s="216" t="n">
        <v>10.2</v>
      </c>
      <c r="C8242" s="216" t="n">
        <v>16.17</v>
      </c>
      <c r="D8242" s="216" t="n">
        <v>1.06060004234314</v>
      </c>
      <c r="E8242" s="215" t="n">
        <v>45762</v>
      </c>
      <c r="F8242" s="215" t="n">
        <v>45762</v>
      </c>
    </row>
    <row r="8243">
      <c r="A8243" s="215" t="n">
        <v>45763</v>
      </c>
      <c r="B8243" s="216" t="n">
        <v>9.77</v>
      </c>
      <c r="C8243" s="216" t="n">
        <v>15.44</v>
      </c>
      <c r="D8243" s="216" t="n">
        <v>1.06060004234314</v>
      </c>
      <c r="E8243" s="215" t="n">
        <v>45763</v>
      </c>
      <c r="F8243" s="215" t="n">
        <v>45763</v>
      </c>
    </row>
    <row r="8244">
      <c r="A8244" s="215" t="n">
        <v>45764</v>
      </c>
      <c r="B8244" s="216" t="n">
        <v>9.789999999999999</v>
      </c>
      <c r="C8244" s="216" t="n">
        <v>15.45</v>
      </c>
      <c r="D8244" s="216" t="n">
        <v>1.06060004234314</v>
      </c>
      <c r="E8244" s="215" t="n">
        <v>45764</v>
      </c>
      <c r="F8244" s="215" t="n">
        <v>45764</v>
      </c>
    </row>
    <row r="8245">
      <c r="A8245" s="215" t="n">
        <v>45769</v>
      </c>
      <c r="B8245" s="216" t="n">
        <v>10.04</v>
      </c>
      <c r="C8245" s="216" t="n">
        <v>15.65</v>
      </c>
      <c r="D8245" s="216" t="n">
        <v>1.06060004234314</v>
      </c>
      <c r="E8245" s="215" t="n">
        <v>45769</v>
      </c>
      <c r="F8245" s="215" t="n">
        <v>45769</v>
      </c>
    </row>
    <row r="8246">
      <c r="A8246" s="215" t="n">
        <v>45770</v>
      </c>
      <c r="B8246" s="216" t="n">
        <v>10.22</v>
      </c>
      <c r="C8246" s="216" t="n">
        <v>15.59</v>
      </c>
      <c r="D8246" s="216" t="n">
        <v>1.06060004234314</v>
      </c>
      <c r="E8246" s="215" t="n">
        <v>45770</v>
      </c>
      <c r="F8246" s="215" t="n">
        <v>45770</v>
      </c>
    </row>
    <row r="8247">
      <c r="A8247" s="215" t="n">
        <v>45771</v>
      </c>
      <c r="B8247" s="216" t="n">
        <v>9.960000000000001</v>
      </c>
      <c r="C8247" s="216" t="n">
        <v>15.44</v>
      </c>
      <c r="D8247" s="216" t="n">
        <v>1.06060004234314</v>
      </c>
      <c r="E8247" s="215" t="n">
        <v>45771</v>
      </c>
      <c r="F8247" s="215" t="n">
        <v>45771</v>
      </c>
    </row>
    <row r="8248">
      <c r="A8248" s="215" t="n">
        <v>45772</v>
      </c>
      <c r="B8248" s="216" t="n">
        <v>10</v>
      </c>
      <c r="C8248" s="216" t="n">
        <v>15.54</v>
      </c>
      <c r="D8248" s="216" t="n">
        <v>1.061900019645691</v>
      </c>
      <c r="E8248" s="215" t="n">
        <v>45772</v>
      </c>
      <c r="F8248" s="215" t="n">
        <v>45772</v>
      </c>
    </row>
    <row r="8249">
      <c r="A8249" s="215" t="n">
        <v>45775</v>
      </c>
      <c r="B8249" s="216" t="n">
        <v>9.640000000000001</v>
      </c>
      <c r="C8249" s="216" t="n">
        <v>15.26</v>
      </c>
      <c r="D8249" s="216" t="n">
        <v>1.064350962638855</v>
      </c>
      <c r="E8249" s="215" t="n">
        <v>45775</v>
      </c>
      <c r="F8249" s="215" t="n">
        <v>45775</v>
      </c>
    </row>
    <row r="8250">
      <c r="A8250" s="215" t="n">
        <v>45776</v>
      </c>
      <c r="B8250" s="216" t="n">
        <v>9.720000000000001</v>
      </c>
      <c r="C8250" s="216" t="n">
        <v>15.49</v>
      </c>
      <c r="D8250" s="216" t="n">
        <v>1.063179969787598</v>
      </c>
      <c r="E8250" s="215" t="n">
        <v>45776</v>
      </c>
      <c r="F8250" s="215" t="n">
        <v>45776</v>
      </c>
    </row>
    <row r="8251">
      <c r="A8251" s="215" t="n">
        <v>45777</v>
      </c>
      <c r="B8251" s="216" t="n">
        <v>9.83</v>
      </c>
      <c r="C8251" s="216" t="n">
        <v>15.59</v>
      </c>
      <c r="D8251" s="216" t="n">
        <v>1.067217946052551</v>
      </c>
      <c r="E8251" s="215" t="n">
        <v>45777</v>
      </c>
      <c r="F8251" s="215" t="n">
        <v>45777</v>
      </c>
    </row>
    <row r="8252">
      <c r="A8252" s="215" t="n">
        <v>45779</v>
      </c>
      <c r="B8252" s="216" t="n">
        <v>9.859999999999999</v>
      </c>
      <c r="C8252" s="216" t="n">
        <v>15.59</v>
      </c>
      <c r="D8252" s="216" t="n">
        <v>1.066810965538025</v>
      </c>
      <c r="E8252" s="215" t="n">
        <v>45777</v>
      </c>
      <c r="F8252" s="215" t="n">
        <v>45779</v>
      </c>
    </row>
    <row r="8253">
      <c r="A8253" s="215" t="n">
        <v>45783</v>
      </c>
      <c r="B8253" s="216" t="n">
        <v>10.1</v>
      </c>
      <c r="C8253" s="216" t="n">
        <v>16.05</v>
      </c>
      <c r="D8253" s="216" t="n">
        <v>1.065811991691589</v>
      </c>
      <c r="E8253" s="215" t="n">
        <v>45783</v>
      </c>
      <c r="F8253" s="215" t="n">
        <v>45783</v>
      </c>
    </row>
    <row r="8254">
      <c r="A8254" s="215" t="n">
        <v>45784</v>
      </c>
      <c r="B8254" s="216" t="n">
        <v>9.94</v>
      </c>
      <c r="C8254" s="216" t="n">
        <v>15.89</v>
      </c>
      <c r="D8254" s="216" t="n">
        <v>1.073848009109497</v>
      </c>
      <c r="E8254" s="215" t="n">
        <v>45784</v>
      </c>
      <c r="F8254" s="215" t="n">
        <v>45784</v>
      </c>
    </row>
    <row r="8255">
      <c r="A8255" s="215" t="n">
        <v>45785</v>
      </c>
      <c r="B8255" s="216" t="n">
        <v>10.5</v>
      </c>
      <c r="C8255" s="216" t="n">
        <v>16.35</v>
      </c>
      <c r="D8255" s="216" t="n">
        <v>1.07387101650238</v>
      </c>
      <c r="E8255" s="215" t="n">
        <v>45785</v>
      </c>
      <c r="F8255" s="215" t="n">
        <v>45785</v>
      </c>
    </row>
    <row r="8256">
      <c r="A8256" s="215" t="n">
        <v>45786</v>
      </c>
      <c r="B8256" s="216" t="n">
        <v>10.28</v>
      </c>
      <c r="C8256" s="216" t="n">
        <v>16.13</v>
      </c>
      <c r="D8256" s="216" t="n">
        <v>1.076066970825195</v>
      </c>
      <c r="E8256" s="215" t="n">
        <v>45786</v>
      </c>
      <c r="F8256" s="215" t="n">
        <v>45786</v>
      </c>
    </row>
    <row r="8257">
      <c r="A8257" s="215" t="n">
        <v>45789</v>
      </c>
      <c r="B8257" s="216" t="n">
        <v>9.949999999999999</v>
      </c>
      <c r="C8257" s="216" t="n">
        <v>15.95</v>
      </c>
      <c r="D8257" s="216" t="n">
        <v>1.074246048927307</v>
      </c>
      <c r="E8257" s="215" t="n">
        <v>45789</v>
      </c>
      <c r="F8257" s="215" t="n">
        <v>45789</v>
      </c>
    </row>
    <row r="8258">
      <c r="A8258" s="215" t="n">
        <v>45790</v>
      </c>
      <c r="B8258" s="216" t="n">
        <v>9.960000000000001</v>
      </c>
      <c r="C8258" s="216" t="n">
        <v>16.22</v>
      </c>
      <c r="D8258" s="216" t="n">
        <v>1.081536054611206</v>
      </c>
      <c r="E8258" s="215" t="n">
        <v>45790</v>
      </c>
      <c r="F8258" s="215" t="n">
        <v>45790</v>
      </c>
    </row>
    <row r="8259">
      <c r="A8259" s="215" t="n">
        <v>45791</v>
      </c>
      <c r="B8259" s="216" t="n">
        <v>9.84</v>
      </c>
      <c r="C8259" s="216" t="n">
        <v>16.07</v>
      </c>
      <c r="D8259" s="216" t="n">
        <v>1.081884980201721</v>
      </c>
      <c r="E8259" s="215" t="n">
        <v>45791</v>
      </c>
      <c r="F8259" s="215" t="n">
        <v>45791</v>
      </c>
    </row>
    <row r="8260">
      <c r="A8260" s="215" t="n">
        <v>45792</v>
      </c>
      <c r="B8260" s="216" t="n">
        <v>9.67</v>
      </c>
      <c r="C8260" s="216" t="n">
        <v>15.8</v>
      </c>
      <c r="D8260" s="216" t="n">
        <v>1.082641005516052</v>
      </c>
      <c r="E8260" s="215" t="n">
        <v>45792</v>
      </c>
      <c r="F8260" s="215" t="n">
        <v>45792</v>
      </c>
    </row>
    <row r="8261">
      <c r="A8261" s="215" t="n">
        <v>45793</v>
      </c>
      <c r="B8261" s="216" t="n">
        <v>9.699999999999999</v>
      </c>
      <c r="C8261" s="216" t="n">
        <v>15.85</v>
      </c>
      <c r="D8261" s="216" t="n">
        <v>1.082918047904968</v>
      </c>
      <c r="E8261" s="215" t="n">
        <v>45793</v>
      </c>
      <c r="F8261" s="215" t="n">
        <v>45793</v>
      </c>
    </row>
    <row r="8262">
      <c r="A8262" s="215" t="n">
        <v>45796</v>
      </c>
      <c r="B8262" s="216" t="n">
        <v>9.83</v>
      </c>
      <c r="C8262" s="216" t="n">
        <v>15.99</v>
      </c>
      <c r="D8262" s="216" t="n">
        <v>1.083842992782593</v>
      </c>
      <c r="E8262" s="215" t="n">
        <v>45796</v>
      </c>
      <c r="F8262" s="215" t="n">
        <v>45796</v>
      </c>
    </row>
    <row r="8263">
      <c r="A8263" s="215" t="n">
        <v>45797</v>
      </c>
      <c r="B8263" s="216" t="n">
        <v>10.16</v>
      </c>
      <c r="C8263" s="216" t="n">
        <v>16.47</v>
      </c>
      <c r="D8263" s="216" t="n">
        <v>1.08473801612854</v>
      </c>
      <c r="E8263" s="215" t="n">
        <v>45797</v>
      </c>
      <c r="F8263" s="215" t="n">
        <v>45797</v>
      </c>
    </row>
    <row r="8264">
      <c r="A8264" s="215" t="n">
        <v>45798</v>
      </c>
      <c r="B8264" s="216" t="n">
        <v>10.86</v>
      </c>
      <c r="C8264" s="216" t="n">
        <v>16.93</v>
      </c>
      <c r="D8264" s="216" t="n">
        <v>1.084200024604797</v>
      </c>
      <c r="E8264" s="215" t="n">
        <v>45798</v>
      </c>
      <c r="F8264" s="215" t="n">
        <v>45798</v>
      </c>
    </row>
    <row r="8265">
      <c r="A8265" s="215" t="n">
        <v>45799</v>
      </c>
      <c r="B8265" s="216" t="n">
        <v>10.62</v>
      </c>
      <c r="C8265" s="216" t="n">
        <v>16.84</v>
      </c>
      <c r="D8265" s="216" t="n">
        <v>1.086825013160706</v>
      </c>
      <c r="E8265" s="215" t="n">
        <v>45799</v>
      </c>
      <c r="F8265" s="215" t="n">
        <v>45799</v>
      </c>
    </row>
    <row r="8266">
      <c r="A8266" s="215" t="n">
        <v>45800</v>
      </c>
      <c r="B8266" s="216" t="n">
        <v>11.4</v>
      </c>
      <c r="C8266" s="216" t="n">
        <v>17.3</v>
      </c>
      <c r="D8266" s="216" t="n">
        <v>1.086493015289307</v>
      </c>
      <c r="E8266" s="215" t="n">
        <v>45800</v>
      </c>
      <c r="F8266" s="215" t="n">
        <v>45800</v>
      </c>
    </row>
    <row r="8267">
      <c r="A8267" s="215" t="n">
        <v>45803</v>
      </c>
      <c r="B8267" s="216" t="n">
        <v>11.44</v>
      </c>
      <c r="C8267" s="216" t="n">
        <v>16.93</v>
      </c>
      <c r="D8267" s="216" t="n">
        <v>1.08673095703125</v>
      </c>
      <c r="E8267" s="215" t="n">
        <v>45803</v>
      </c>
      <c r="F8267" s="215" t="n">
        <v>45803</v>
      </c>
    </row>
    <row r="8268">
      <c r="A8268" s="215" t="n">
        <v>45804</v>
      </c>
      <c r="B8268" s="216" t="n">
        <v>11.52</v>
      </c>
      <c r="C8268" s="216" t="n">
        <v>17.04</v>
      </c>
      <c r="D8268" s="216" t="n">
        <v>1.087713956832886</v>
      </c>
      <c r="E8268" s="215" t="n">
        <v>45804</v>
      </c>
      <c r="F8268" s="215" t="n">
        <v>45804</v>
      </c>
    </row>
    <row r="8269">
      <c r="A8269" s="215" t="n">
        <v>45805</v>
      </c>
      <c r="B8269" s="216" t="n">
        <v>11.06</v>
      </c>
      <c r="C8269" s="216" t="n">
        <v>16.52</v>
      </c>
      <c r="D8269" s="216" t="n">
        <v>1.087921977043152</v>
      </c>
      <c r="E8269" s="215" t="n">
        <v>45805</v>
      </c>
      <c r="F8269" s="215" t="n">
        <v>45805</v>
      </c>
    </row>
    <row r="8270">
      <c r="A8270" s="215" t="n">
        <v>45806</v>
      </c>
      <c r="B8270" s="216" t="n">
        <v>12.7</v>
      </c>
      <c r="C8270" s="216" t="n">
        <v>18.17</v>
      </c>
      <c r="D8270" s="216" t="n">
        <v>1.087334990501404</v>
      </c>
      <c r="E8270" s="215" t="n">
        <v>45806</v>
      </c>
      <c r="F8270" s="215" t="n">
        <v>45806</v>
      </c>
    </row>
    <row r="8271">
      <c r="A8271" s="215" t="n">
        <v>45807</v>
      </c>
      <c r="B8271" s="216" t="n">
        <v>14.18</v>
      </c>
      <c r="C8271" s="216" t="n">
        <v>19.1</v>
      </c>
      <c r="D8271" s="216" t="n">
        <v>1.088281989097595</v>
      </c>
      <c r="E8271" s="215" t="n">
        <v>45807</v>
      </c>
      <c r="F8271" s="215" t="n">
        <v>45807</v>
      </c>
    </row>
    <row r="8272">
      <c r="A8272" s="215" t="n">
        <v>45810</v>
      </c>
      <c r="B8272" s="216" t="n">
        <v>14.7</v>
      </c>
      <c r="C8272" s="216" t="n">
        <v>19.1</v>
      </c>
      <c r="D8272" s="216" t="n">
        <v>1.088839054107666</v>
      </c>
      <c r="E8272" s="215" t="n">
        <v>45807</v>
      </c>
      <c r="F8272" s="215" t="n">
        <v>45810</v>
      </c>
    </row>
    <row r="8273">
      <c r="A8273" s="215" t="n">
        <v>45811</v>
      </c>
      <c r="B8273" s="216" t="n">
        <v>14.26</v>
      </c>
      <c r="C8273" s="216" t="n">
        <v>19.09</v>
      </c>
      <c r="D8273" s="216" t="n">
        <v>1.098875999450684</v>
      </c>
      <c r="E8273" s="215" t="n">
        <v>45811</v>
      </c>
      <c r="F8273" s="215" t="n">
        <v>45811</v>
      </c>
    </row>
    <row r="8274">
      <c r="A8274" s="215" t="n">
        <v>45812</v>
      </c>
      <c r="B8274" s="216" t="n">
        <v>14.84</v>
      </c>
      <c r="C8274" s="216" t="n">
        <v>19.41</v>
      </c>
      <c r="D8274" s="216" t="n">
        <v>1.092406988143921</v>
      </c>
      <c r="E8274" s="215" t="n">
        <v>45812</v>
      </c>
      <c r="F8274" s="215" t="n">
        <v>45812</v>
      </c>
    </row>
    <row r="8275">
      <c r="A8275" s="215" t="n">
        <v>45813</v>
      </c>
      <c r="B8275" s="216" t="n">
        <v>14.2</v>
      </c>
      <c r="C8275" s="216" t="n">
        <v>19.13</v>
      </c>
      <c r="D8275" s="216" t="n">
        <v>1.095829010009766</v>
      </c>
      <c r="E8275" s="215" t="n">
        <v>45813</v>
      </c>
      <c r="F8275" s="215" t="n">
        <v>45813</v>
      </c>
    </row>
    <row r="8276">
      <c r="A8276" s="215" t="n">
        <v>45814</v>
      </c>
      <c r="B8276" s="216" t="n">
        <v>14.1</v>
      </c>
      <c r="C8276" s="216" t="n">
        <v>18.85</v>
      </c>
      <c r="D8276" s="216" t="n">
        <v>1.093296051025391</v>
      </c>
      <c r="E8276" s="215" t="n">
        <v>45814</v>
      </c>
      <c r="F8276" s="215" t="n">
        <v>45814</v>
      </c>
    </row>
    <row r="8277">
      <c r="A8277" s="215" t="n">
        <v>45817</v>
      </c>
      <c r="B8277" s="216" t="n">
        <v>14.8</v>
      </c>
      <c r="C8277" s="216" t="n">
        <v>19.17</v>
      </c>
      <c r="D8277" s="216" t="n">
        <v>1.091297030448914</v>
      </c>
      <c r="E8277" s="215" t="n">
        <v>45817</v>
      </c>
      <c r="F8277" s="215" t="n">
        <v>45817</v>
      </c>
    </row>
    <row r="8278">
      <c r="A8278" s="215" t="n">
        <v>45818</v>
      </c>
      <c r="B8278" s="216" t="n">
        <v>15.6</v>
      </c>
      <c r="C8278" s="216" t="n">
        <v>19.83</v>
      </c>
      <c r="D8278" s="216" t="n">
        <v>1.092790007591248</v>
      </c>
      <c r="E8278" s="215" t="n">
        <v>45818</v>
      </c>
      <c r="F8278" s="215" t="n">
        <v>45818</v>
      </c>
    </row>
    <row r="8279">
      <c r="A8279" s="215" t="n">
        <v>45819</v>
      </c>
      <c r="B8279" s="216" t="n">
        <v>15.06</v>
      </c>
      <c r="C8279" s="216" t="n">
        <v>19.52</v>
      </c>
      <c r="D8279" s="216" t="n">
        <v>1.092836976051331</v>
      </c>
      <c r="E8279" s="215" t="n">
        <v>45819</v>
      </c>
      <c r="F8279" s="215" t="n">
        <v>45819</v>
      </c>
    </row>
    <row r="8280">
      <c r="A8280" s="215" t="n">
        <v>45820</v>
      </c>
      <c r="B8280" s="216" t="n">
        <v>16</v>
      </c>
      <c r="C8280" s="216" t="n">
        <v>20.32</v>
      </c>
      <c r="D8280" s="216" t="n">
        <v>1.090999960899353</v>
      </c>
      <c r="E8280" s="215" t="n">
        <v>45820</v>
      </c>
      <c r="F8280" s="215" t="n">
        <v>45820</v>
      </c>
    </row>
    <row r="8281">
      <c r="A8281" s="215" t="n">
        <v>45821</v>
      </c>
      <c r="B8281" s="216" t="n">
        <v>16.14</v>
      </c>
      <c r="C8281" s="216" t="n">
        <v>19.8</v>
      </c>
      <c r="D8281" s="216" t="n">
        <v>1.091084957122803</v>
      </c>
      <c r="E8281" s="215" t="n">
        <v>45821</v>
      </c>
      <c r="F8281" s="215" t="n">
        <v>45821</v>
      </c>
    </row>
    <row r="8282">
      <c r="A8282" s="215" t="n">
        <v>45824</v>
      </c>
      <c r="B8282" s="216" t="n">
        <v>16.68</v>
      </c>
      <c r="C8282" s="216" t="n">
        <v>20.22</v>
      </c>
      <c r="D8282" s="216" t="n">
        <v>1.092895984649658</v>
      </c>
      <c r="E8282" s="215" t="n">
        <v>45824</v>
      </c>
      <c r="F8282" s="215" t="n">
        <v>45824</v>
      </c>
    </row>
    <row r="8283">
      <c r="A8283" s="215" t="n">
        <v>45825</v>
      </c>
      <c r="B8283" s="216" t="n">
        <v>16.28</v>
      </c>
      <c r="C8283" s="216" t="n">
        <v>20.1</v>
      </c>
      <c r="D8283" s="216" t="n">
        <v>1.093256950378418</v>
      </c>
      <c r="E8283" s="215" t="n">
        <v>45825</v>
      </c>
      <c r="F8283" s="215" t="n">
        <v>45825</v>
      </c>
    </row>
    <row r="8284">
      <c r="A8284" s="215" t="n">
        <v>45826</v>
      </c>
      <c r="B8284" s="216" t="n">
        <v>15.18</v>
      </c>
      <c r="C8284" s="216" t="n">
        <v>19.49</v>
      </c>
      <c r="D8284" s="216" t="n">
        <v>1.092421054840088</v>
      </c>
      <c r="E8284" s="215" t="n">
        <v>45826</v>
      </c>
      <c r="F8284" s="215" t="n">
        <v>45826</v>
      </c>
    </row>
    <row r="8285">
      <c r="A8285" s="215" t="n">
        <v>45827</v>
      </c>
      <c r="B8285" s="216" t="n">
        <v>14.56</v>
      </c>
      <c r="C8285" s="216" t="n">
        <v>19.01</v>
      </c>
      <c r="D8285" s="216" t="n">
        <v>1.091722011566162</v>
      </c>
      <c r="E8285" s="215" t="n">
        <v>45827</v>
      </c>
      <c r="F8285" s="215" t="n">
        <v>45827</v>
      </c>
    </row>
    <row r="8286">
      <c r="A8286" s="215" t="n">
        <v>45828</v>
      </c>
      <c r="B8286" s="216" t="n">
        <v>14.42</v>
      </c>
      <c r="C8286" s="216" t="n">
        <v>18.72</v>
      </c>
      <c r="D8286" s="216" t="n">
        <v>1.091766953468323</v>
      </c>
      <c r="E8286" s="215" t="n">
        <v>45828</v>
      </c>
      <c r="F8286" s="215" t="n">
        <v>45828</v>
      </c>
    </row>
    <row r="8287">
      <c r="A8287" s="215" t="n">
        <v>45831</v>
      </c>
      <c r="B8287" s="216" t="n">
        <v>15.06</v>
      </c>
      <c r="C8287" s="216" t="n">
        <v>19.08</v>
      </c>
      <c r="D8287" s="216" t="n">
        <v>1.091856002807617</v>
      </c>
      <c r="E8287" s="215" t="n">
        <v>45831</v>
      </c>
      <c r="F8287" s="215" t="n">
        <v>45831</v>
      </c>
    </row>
    <row r="8288">
      <c r="A8288" s="215" t="n">
        <v>45832</v>
      </c>
      <c r="B8288" s="216" t="n">
        <v>15.76</v>
      </c>
      <c r="C8288" s="216" t="n">
        <v>19.25</v>
      </c>
      <c r="D8288" s="216" t="n">
        <v>1.093309044837952</v>
      </c>
      <c r="E8288" s="215" t="n">
        <v>45832</v>
      </c>
      <c r="F8288" s="215" t="n">
        <v>45832</v>
      </c>
    </row>
    <row r="8289">
      <c r="A8289" s="215" t="n">
        <v>45833</v>
      </c>
      <c r="B8289" s="216" t="n">
        <v>16</v>
      </c>
      <c r="C8289" s="216" t="n">
        <v>19.47</v>
      </c>
      <c r="D8289" s="216" t="n">
        <v>1.094483971595764</v>
      </c>
      <c r="E8289" s="215" t="n">
        <v>45833</v>
      </c>
      <c r="F8289" s="215" t="n">
        <v>45833</v>
      </c>
    </row>
    <row r="8290">
      <c r="A8290" s="215" t="n">
        <v>45834</v>
      </c>
      <c r="B8290" s="216" t="n">
        <v>15.18</v>
      </c>
      <c r="C8290" s="216" t="n">
        <v>18.98</v>
      </c>
      <c r="D8290" s="216" t="n">
        <v>1.093523025512695</v>
      </c>
      <c r="E8290" s="215" t="n">
        <v>45834</v>
      </c>
      <c r="F8290" s="215" t="n">
        <v>45834</v>
      </c>
    </row>
    <row r="8291">
      <c r="A8291" s="215" t="n">
        <v>45835</v>
      </c>
      <c r="B8291" s="216" t="n">
        <v>15.44</v>
      </c>
      <c r="C8291" s="216" t="n">
        <v>19.12</v>
      </c>
      <c r="D8291" s="216" t="n">
        <v>1.095173001289368</v>
      </c>
      <c r="E8291" s="215" t="n">
        <v>45835</v>
      </c>
      <c r="F8291" s="215" t="n">
        <v>45835</v>
      </c>
    </row>
    <row r="8292">
      <c r="A8292" s="215" t="n">
        <v>45838</v>
      </c>
      <c r="B8292" s="216" t="n">
        <v>17.4</v>
      </c>
      <c r="C8292" s="216" t="n">
        <v>21.03</v>
      </c>
      <c r="D8292" s="216" t="n">
        <v>1.094328045845032</v>
      </c>
      <c r="E8292" s="215" t="n">
        <v>45838</v>
      </c>
      <c r="F8292" s="215" t="n">
        <v>45838</v>
      </c>
    </row>
    <row r="8293">
      <c r="A8293" s="215" t="n">
        <v>45840</v>
      </c>
      <c r="B8293" s="216" t="n">
        <v>17.16</v>
      </c>
      <c r="C8293" s="216" t="n">
        <v>21.95</v>
      </c>
      <c r="D8293" s="216" t="n">
        <v>1.095211982727051</v>
      </c>
      <c r="E8293" s="215" t="n">
        <v>45840</v>
      </c>
      <c r="F8293" s="215" t="n">
        <v>45840</v>
      </c>
    </row>
    <row r="8294">
      <c r="A8294" s="215" t="n">
        <v>45841</v>
      </c>
      <c r="B8294" s="216" t="n">
        <v>17.26</v>
      </c>
      <c r="C8294" s="216" t="n">
        <v>21.93</v>
      </c>
      <c r="D8294" s="216" t="n">
        <v>1.095422029495239</v>
      </c>
      <c r="E8294" s="215" t="n">
        <v>45841</v>
      </c>
      <c r="F8294" s="215" t="n">
        <v>45841</v>
      </c>
    </row>
    <row r="8295">
      <c r="A8295" s="215" t="n">
        <v>45842</v>
      </c>
      <c r="B8295" s="216" t="n">
        <v>18.02</v>
      </c>
      <c r="C8295" s="216" t="n">
        <v>22.36</v>
      </c>
      <c r="D8295" s="216" t="n">
        <v>1.095221042633057</v>
      </c>
      <c r="E8295" s="215" t="n">
        <v>45842</v>
      </c>
      <c r="F8295" s="215" t="n">
        <v>45842</v>
      </c>
    </row>
    <row r="8296">
      <c r="A8296" s="215" t="n">
        <v>45845</v>
      </c>
      <c r="B8296" s="216" t="n">
        <v>18.28</v>
      </c>
      <c r="C8296" s="216" t="n">
        <v>22.86</v>
      </c>
      <c r="D8296" s="216" t="n">
        <v>1.095430970191956</v>
      </c>
      <c r="E8296" s="215" t="n">
        <v>45845</v>
      </c>
      <c r="F8296" s="215" t="n">
        <v>45845</v>
      </c>
    </row>
    <row r="8297">
      <c r="A8297" s="215" t="n">
        <v>45846</v>
      </c>
      <c r="B8297" s="216" t="n">
        <v>19.42</v>
      </c>
      <c r="C8297" s="216" t="n">
        <v>24.75</v>
      </c>
      <c r="D8297" s="216" t="n">
        <v>1.093924999237061</v>
      </c>
      <c r="E8297" s="215" t="n">
        <v>45846</v>
      </c>
      <c r="F8297" s="215" t="n">
        <v>45846</v>
      </c>
    </row>
    <row r="8298">
      <c r="A8298" s="215" t="n">
        <v>45847</v>
      </c>
      <c r="B8298" s="216" t="n">
        <v>19.64</v>
      </c>
      <c r="C8298" s="216" t="n">
        <v>26.52</v>
      </c>
      <c r="D8298" s="216" t="n">
        <v>1.094220995903015</v>
      </c>
      <c r="E8298" s="215" t="n">
        <v>45847</v>
      </c>
      <c r="F8298" s="215" t="n">
        <v>45847</v>
      </c>
    </row>
    <row r="8299">
      <c r="A8299" s="215" t="n">
        <v>45848</v>
      </c>
      <c r="B8299" s="216" t="n">
        <v>19.76</v>
      </c>
      <c r="C8299" s="216" t="n">
        <v>25.81</v>
      </c>
      <c r="D8299" s="216" t="n">
        <v>1.093220949172974</v>
      </c>
      <c r="E8299" s="215" t="n">
        <v>45848</v>
      </c>
      <c r="F8299" s="215" t="n">
        <v>45848</v>
      </c>
    </row>
    <row r="8300">
      <c r="A8300" s="215" t="n">
        <v>45849</v>
      </c>
      <c r="B8300" s="216" t="n">
        <v>20.85</v>
      </c>
      <c r="C8300" s="216" t="n">
        <v>26.02</v>
      </c>
      <c r="D8300" s="216" t="n">
        <v>1.093930959701538</v>
      </c>
      <c r="E8300" s="215" t="n">
        <v>45849</v>
      </c>
      <c r="F8300" s="215" t="n">
        <v>45849</v>
      </c>
    </row>
    <row r="8301">
      <c r="A8301" s="215" t="n">
        <v>45852</v>
      </c>
      <c r="B8301" s="216" t="n">
        <v>20.7</v>
      </c>
      <c r="C8301" s="216" t="n">
        <v>26.14</v>
      </c>
      <c r="D8301" s="216" t="n">
        <v>1.095023989677429</v>
      </c>
      <c r="E8301" s="215" t="n">
        <v>45852</v>
      </c>
      <c r="F8301" s="215" t="n">
        <v>45852</v>
      </c>
    </row>
    <row r="8302">
      <c r="A8302" s="215" t="n">
        <v>45853</v>
      </c>
      <c r="B8302" s="216" t="n">
        <v>20.3</v>
      </c>
      <c r="C8302" s="216" t="n">
        <v>25.48</v>
      </c>
      <c r="D8302" s="216" t="n">
        <v>1.095172047615051</v>
      </c>
      <c r="E8302" s="215" t="n">
        <v>45853</v>
      </c>
      <c r="F8302" s="215" t="n">
        <v>45853</v>
      </c>
    </row>
    <row r="8303">
      <c r="A8303" s="215" t="n">
        <v>45854</v>
      </c>
      <c r="B8303" s="216" t="n">
        <v>20.5</v>
      </c>
      <c r="C8303" s="216" t="n">
        <v>25.3</v>
      </c>
      <c r="D8303" s="216" t="n">
        <v>1.094182014465332</v>
      </c>
      <c r="E8303" s="215" t="n">
        <v>45854</v>
      </c>
      <c r="F8303" s="215" t="n">
        <v>45854</v>
      </c>
    </row>
    <row r="8304">
      <c r="A8304" s="215" t="n">
        <v>45855</v>
      </c>
      <c r="B8304" s="216" t="n">
        <v>21.7</v>
      </c>
      <c r="C8304" s="216" t="n">
        <v>26.9</v>
      </c>
      <c r="D8304" s="216" t="n">
        <v>1.093484044075012</v>
      </c>
      <c r="E8304" s="215" t="n">
        <v>45855</v>
      </c>
      <c r="F8304" s="215" t="n">
        <v>45855</v>
      </c>
    </row>
    <row r="8305">
      <c r="A8305" s="215" t="n">
        <v>45856</v>
      </c>
      <c r="B8305" s="216" t="n">
        <v>21.85</v>
      </c>
      <c r="C8305" s="216" t="n">
        <v>26.62</v>
      </c>
      <c r="D8305" s="216" t="n">
        <v>1.092442035675049</v>
      </c>
      <c r="E8305" s="215" t="n">
        <v>45856</v>
      </c>
      <c r="F8305" s="215" t="n">
        <v>45856</v>
      </c>
    </row>
    <row r="8306">
      <c r="A8306" s="215" t="n">
        <v>45859</v>
      </c>
      <c r="B8306" s="216" t="n">
        <v>21.5</v>
      </c>
      <c r="C8306" s="216" t="n">
        <v>26.2</v>
      </c>
      <c r="D8306" s="216" t="n">
        <v>1.093299984931946</v>
      </c>
      <c r="E8306" s="215" t="n">
        <v>45859</v>
      </c>
      <c r="F8306" s="215" t="n">
        <v>45859</v>
      </c>
    </row>
    <row r="8307">
      <c r="A8307" s="215" t="n">
        <v>45860</v>
      </c>
      <c r="B8307" s="216" t="n">
        <v>20.55</v>
      </c>
      <c r="C8307" s="216" t="n">
        <v>25.68</v>
      </c>
      <c r="D8307" s="216" t="n">
        <v>1.093826055526733</v>
      </c>
      <c r="E8307" s="215" t="n">
        <v>45860</v>
      </c>
      <c r="F8307" s="215" t="n">
        <v>45860</v>
      </c>
    </row>
    <row r="8308">
      <c r="A8308" s="215" t="n">
        <v>45861</v>
      </c>
      <c r="B8308" s="216" t="n">
        <v>21.35</v>
      </c>
      <c r="C8308" s="216" t="n">
        <v>27.33</v>
      </c>
      <c r="D8308" s="216" t="n">
        <v>1.094056010246277</v>
      </c>
      <c r="E8308" s="215" t="n">
        <v>45861</v>
      </c>
      <c r="F8308" s="215" t="n">
        <v>45861</v>
      </c>
    </row>
    <row r="8309">
      <c r="A8309" s="215" t="n">
        <v>45862</v>
      </c>
      <c r="B8309" s="216" t="n">
        <v>22.8</v>
      </c>
      <c r="C8309" s="216" t="n">
        <v>28.48</v>
      </c>
      <c r="D8309" s="216" t="n">
        <v>1.096284031867981</v>
      </c>
      <c r="E8309" s="215" t="n">
        <v>45862</v>
      </c>
      <c r="F8309" s="215" t="n">
        <v>45862</v>
      </c>
    </row>
    <row r="8310">
      <c r="A8310" s="215" t="n">
        <v>45863</v>
      </c>
      <c r="B8310" s="216" t="n">
        <v>24.4</v>
      </c>
      <c r="C8310" s="216" t="n">
        <v>29.9</v>
      </c>
      <c r="D8310" s="216" t="n">
        <v>1.097048044204712</v>
      </c>
      <c r="E8310" s="215" t="n">
        <v>45863</v>
      </c>
      <c r="F8310" s="215" t="n">
        <v>45863</v>
      </c>
    </row>
    <row r="8311">
      <c r="A8311" s="215" t="n">
        <v>45866</v>
      </c>
      <c r="B8311" s="216" t="n">
        <v>26.05</v>
      </c>
      <c r="C8311" s="216" t="n">
        <v>32</v>
      </c>
      <c r="D8311" s="216" t="n">
        <v>1.097200989723206</v>
      </c>
      <c r="E8311" s="215" t="n">
        <v>45866</v>
      </c>
      <c r="F8311" s="215" t="n">
        <v>45866</v>
      </c>
    </row>
    <row r="8312">
      <c r="A8312" s="215" t="n">
        <v>45867</v>
      </c>
      <c r="B8312" s="216" t="n">
        <v>27.95</v>
      </c>
      <c r="C8312" s="216" t="n">
        <v>35.18</v>
      </c>
      <c r="D8312" s="216" t="n">
        <v>1.093530058860779</v>
      </c>
      <c r="E8312" s="215" t="n">
        <v>45867</v>
      </c>
      <c r="F8312" s="215" t="n">
        <v>45867</v>
      </c>
    </row>
    <row r="8313">
      <c r="A8313" s="215" t="n">
        <v>45868</v>
      </c>
      <c r="B8313" s="216" t="n">
        <v>25.45</v>
      </c>
      <c r="C8313" s="216" t="n">
        <v>33.42</v>
      </c>
      <c r="D8313" s="216" t="n">
        <v>1.093464970588684</v>
      </c>
      <c r="E8313" s="215" t="n">
        <v>45868</v>
      </c>
      <c r="F8313" s="215" t="n">
        <v>45868</v>
      </c>
    </row>
    <row r="8314">
      <c r="A8314" s="215" t="n">
        <v>45869</v>
      </c>
      <c r="B8314" s="216" t="n">
        <v>23.95</v>
      </c>
      <c r="C8314" s="216" t="n">
        <v>31.91</v>
      </c>
      <c r="D8314" s="216" t="n">
        <v>1.093583941459656</v>
      </c>
      <c r="E8314" s="215" t="n">
        <v>45869</v>
      </c>
      <c r="F8314" s="215" t="n">
        <v>45869</v>
      </c>
    </row>
    <row r="8315">
      <c r="A8315" s="215" t="n">
        <v>45870</v>
      </c>
      <c r="B8315" s="216" t="n">
        <v>23.2</v>
      </c>
      <c r="C8315" s="216" t="n">
        <v>32.26</v>
      </c>
      <c r="D8315" s="216" t="n">
        <v>1.090090990066528</v>
      </c>
      <c r="E8315" s="215" t="n">
        <v>45870</v>
      </c>
      <c r="F8315" s="215" t="n">
        <v>45870</v>
      </c>
    </row>
    <row r="8316">
      <c r="A8316" s="215" t="n">
        <v>45873</v>
      </c>
      <c r="B8316" s="216" t="n">
        <v>23.3</v>
      </c>
      <c r="C8316" s="216" t="n">
        <v>31.28</v>
      </c>
      <c r="D8316" s="216" t="n">
        <v>1.088384985923767</v>
      </c>
      <c r="E8316" s="215" t="n">
        <v>45873</v>
      </c>
      <c r="F8316" s="215" t="n">
        <v>45873</v>
      </c>
    </row>
    <row r="8317">
      <c r="A8317" s="215" t="n">
        <v>45874</v>
      </c>
      <c r="B8317" s="216" t="n">
        <v>25.2</v>
      </c>
      <c r="C8317" s="216" t="n">
        <v>31.43</v>
      </c>
      <c r="D8317" s="216" t="n">
        <v>1.093202948570251</v>
      </c>
      <c r="E8317" s="215" t="n">
        <v>45874</v>
      </c>
      <c r="F8317" s="215" t="n">
        <v>45874</v>
      </c>
    </row>
    <row r="8318">
      <c r="A8318" s="215" t="n">
        <v>45875</v>
      </c>
      <c r="B8318" s="216" t="n">
        <v>24.5</v>
      </c>
      <c r="C8318" s="216" t="n">
        <v>31.11</v>
      </c>
      <c r="D8318" s="216" t="n">
        <v>1.092388987541199</v>
      </c>
      <c r="E8318" s="215" t="n">
        <v>45875</v>
      </c>
      <c r="F8318" s="215" t="n">
        <v>45875</v>
      </c>
    </row>
    <row r="8319">
      <c r="A8319" s="215" t="n">
        <v>45876</v>
      </c>
      <c r="B8319" s="216" t="n">
        <v>22.4</v>
      </c>
      <c r="C8319" s="216" t="n">
        <v>30.12</v>
      </c>
      <c r="D8319" s="216" t="n">
        <v>1.092599034309387</v>
      </c>
      <c r="E8319" s="215" t="n">
        <v>45876</v>
      </c>
      <c r="F8319" s="215" t="n">
        <v>45876</v>
      </c>
    </row>
    <row r="8320">
      <c r="A8320" s="215" t="n">
        <v>45877</v>
      </c>
      <c r="B8320" s="216" t="n">
        <v>21.62</v>
      </c>
      <c r="C8320" s="216" t="n">
        <v>30.2</v>
      </c>
      <c r="D8320" s="216" t="n">
        <v>1.092857956886292</v>
      </c>
      <c r="E8320" s="215" t="n">
        <v>45877</v>
      </c>
      <c r="F8320" s="215" t="n">
        <v>45877</v>
      </c>
    </row>
    <row r="8321">
      <c r="A8321" s="215" t="n">
        <v>45880</v>
      </c>
      <c r="B8321" s="216" t="n">
        <v>23.06</v>
      </c>
      <c r="C8321" s="216" t="n">
        <v>31.22</v>
      </c>
      <c r="D8321" s="216" t="n">
        <v>1.093001961708069</v>
      </c>
      <c r="E8321" s="215" t="n">
        <v>45880</v>
      </c>
      <c r="F8321" s="215" t="n">
        <v>45880</v>
      </c>
    </row>
    <row r="8322">
      <c r="A8322" s="215" t="n">
        <v>45881</v>
      </c>
      <c r="B8322" s="216" t="n">
        <v>22.54</v>
      </c>
      <c r="C8322" s="216" t="n">
        <v>31.33</v>
      </c>
      <c r="D8322" s="216" t="n">
        <v>1.091938018798828</v>
      </c>
      <c r="E8322" s="215" t="n">
        <v>45881</v>
      </c>
      <c r="F8322" s="215" t="n">
        <v>45881</v>
      </c>
    </row>
    <row r="8323">
      <c r="A8323" s="215" t="n">
        <v>45882</v>
      </c>
      <c r="B8323" s="216" t="n">
        <v>24.94</v>
      </c>
      <c r="C8323" s="216" t="n">
        <v>34.2</v>
      </c>
      <c r="D8323" s="216" t="n">
        <v>1.093171000480652</v>
      </c>
      <c r="E8323" s="215" t="n">
        <v>45882</v>
      </c>
      <c r="F8323" s="215" t="n">
        <v>45882</v>
      </c>
    </row>
    <row r="8324">
      <c r="A8324" s="215" t="n">
        <v>45883</v>
      </c>
      <c r="B8324" s="216" t="n">
        <v>24.56</v>
      </c>
      <c r="C8324" s="216" t="n">
        <v>32.21</v>
      </c>
      <c r="D8324" s="216" t="n">
        <v>1.093981027603149</v>
      </c>
      <c r="E8324" s="215" t="n">
        <v>45883</v>
      </c>
      <c r="F8324" s="215" t="n">
        <v>45883</v>
      </c>
    </row>
    <row r="8325">
      <c r="A8325" s="215" t="n">
        <v>45884</v>
      </c>
      <c r="B8325" s="216" t="n">
        <v>24.56</v>
      </c>
      <c r="C8325" s="216" t="n">
        <v>32.96</v>
      </c>
      <c r="D8325" s="216" t="n">
        <v>1.091035962104797</v>
      </c>
      <c r="E8325" s="215" t="n">
        <v>45884</v>
      </c>
      <c r="F8325" s="215" t="n">
        <v>45884</v>
      </c>
    </row>
    <row r="8326">
      <c r="A8326" s="215" t="n">
        <v>45887</v>
      </c>
      <c r="B8326" s="216" t="n">
        <v>24.2</v>
      </c>
      <c r="C8326" s="216" t="n">
        <v>33.14</v>
      </c>
      <c r="D8326" s="216" t="n">
        <v>1.089409947395325</v>
      </c>
      <c r="E8326" s="215" t="n">
        <v>45887</v>
      </c>
      <c r="F8326" s="215" t="n">
        <v>45887</v>
      </c>
    </row>
    <row r="8327">
      <c r="A8327" s="215" t="n">
        <v>45888</v>
      </c>
      <c r="B8327" s="216" t="n">
        <v>22.64</v>
      </c>
      <c r="C8327" s="216" t="n">
        <v>32.19</v>
      </c>
      <c r="D8327" s="216" t="n">
        <v>1.088366031646729</v>
      </c>
      <c r="E8327" s="215" t="n">
        <v>45888</v>
      </c>
      <c r="F8327" s="215" t="n">
        <v>45888</v>
      </c>
    </row>
    <row r="8328">
      <c r="A8328" s="215" t="n">
        <v>45889</v>
      </c>
      <c r="B8328" s="216" t="n">
        <v>22.36</v>
      </c>
      <c r="C8328" s="216" t="n">
        <v>31.14</v>
      </c>
      <c r="D8328" s="216" t="n">
        <v>1.085826992988586</v>
      </c>
      <c r="E8328" s="215" t="n">
        <v>45889</v>
      </c>
      <c r="F8328" s="215" t="n">
        <v>45889</v>
      </c>
    </row>
    <row r="8329">
      <c r="A8329" s="215" t="n">
        <v>45890</v>
      </c>
      <c r="B8329" s="216" t="n">
        <v>22.66</v>
      </c>
      <c r="C8329" s="216" t="n">
        <v>31.16</v>
      </c>
      <c r="D8329" s="216" t="n">
        <v>1.088521003723145</v>
      </c>
      <c r="E8329" s="215" t="n">
        <v>45890</v>
      </c>
      <c r="F8329" s="215" t="n">
        <v>45890</v>
      </c>
    </row>
    <row r="8330">
      <c r="A8330" s="215" t="n">
        <v>45891</v>
      </c>
      <c r="B8330" s="216" t="n">
        <v>22.46</v>
      </c>
      <c r="C8330" s="216" t="n">
        <v>31.2</v>
      </c>
      <c r="D8330" s="216" t="n">
        <v>1.08814001083374</v>
      </c>
      <c r="E8330" s="215" t="n">
        <v>45891</v>
      </c>
      <c r="F8330" s="215" t="n">
        <v>45891</v>
      </c>
    </row>
    <row r="8331">
      <c r="A8331" s="215" t="n">
        <v>45894</v>
      </c>
      <c r="B8331" s="216" t="n">
        <v>23.72</v>
      </c>
      <c r="C8331" s="216" t="n">
        <v>32.88</v>
      </c>
      <c r="D8331" s="216" t="n">
        <v>1.090230941772461</v>
      </c>
      <c r="E8331" s="215" t="n">
        <v>45894</v>
      </c>
      <c r="F8331" s="215" t="n">
        <v>45894</v>
      </c>
    </row>
    <row r="8332">
      <c r="A8332" s="215" t="n">
        <v>45895</v>
      </c>
      <c r="B8332" s="216" t="n">
        <v>22.94</v>
      </c>
      <c r="C8332" s="216" t="n">
        <v>31.93</v>
      </c>
      <c r="D8332" s="216" t="n">
        <v>1.09236204624176</v>
      </c>
      <c r="E8332" s="215" t="n">
        <v>45895</v>
      </c>
      <c r="F8332" s="215" t="n">
        <v>45895</v>
      </c>
    </row>
    <row r="8333">
      <c r="A8333" s="215" t="n">
        <v>45896</v>
      </c>
      <c r="B8333" s="216" t="n">
        <v>21.7</v>
      </c>
      <c r="C8333" s="216" t="n">
        <v>31.98</v>
      </c>
      <c r="D8333" s="216" t="n">
        <v>1.089414000511169</v>
      </c>
      <c r="E8333" s="215" t="n">
        <v>45896</v>
      </c>
      <c r="F8333" s="215" t="n">
        <v>45896</v>
      </c>
    </row>
    <row r="8334">
      <c r="A8334" s="215" t="n">
        <v>45897</v>
      </c>
      <c r="B8334" s="216" t="n">
        <v>20.34</v>
      </c>
      <c r="C8334" s="216" t="n">
        <v>30.81</v>
      </c>
      <c r="D8334" s="216" t="n">
        <v>1.088047027587891</v>
      </c>
      <c r="E8334" s="215" t="n">
        <v>45897</v>
      </c>
      <c r="F8334" s="215" t="n">
        <v>45897</v>
      </c>
    </row>
    <row r="8335">
      <c r="A8335" s="215" t="n">
        <v>45898</v>
      </c>
      <c r="B8335" s="216" t="n">
        <v>21.4</v>
      </c>
      <c r="C8335" s="216" t="n">
        <v>31.39</v>
      </c>
      <c r="D8335" s="216" t="n">
        <v>1.089478969573975</v>
      </c>
      <c r="E8335" s="215" t="n">
        <v>45898</v>
      </c>
      <c r="F8335" s="215" t="n">
        <v>45898</v>
      </c>
    </row>
    <row r="8336">
      <c r="A8336" s="215" t="n">
        <v>45901</v>
      </c>
      <c r="B8336" s="216" t="n">
        <v>22.18</v>
      </c>
      <c r="C8336" s="216" t="n">
        <v>32.71</v>
      </c>
      <c r="D8336" s="216" t="n">
        <v>1.09319794178009</v>
      </c>
      <c r="E8336" s="215" t="n">
        <v>45901</v>
      </c>
      <c r="F8336" s="215" t="n">
        <v>45901</v>
      </c>
    </row>
    <row r="8337">
      <c r="A8337" s="215" t="n">
        <v>45902</v>
      </c>
      <c r="B8337" s="216" t="n">
        <v>22</v>
      </c>
      <c r="C8337" s="216" t="n">
        <v>32.3</v>
      </c>
      <c r="D8337" s="216" t="n">
        <v>1.093255043029785</v>
      </c>
      <c r="E8337" s="215" t="n">
        <v>45902</v>
      </c>
      <c r="F8337" s="215" t="n">
        <v>45902</v>
      </c>
    </row>
    <row r="8338">
      <c r="A8338" s="215" t="n">
        <v>45903</v>
      </c>
      <c r="B8338" s="216" t="n">
        <v>22.5</v>
      </c>
      <c r="C8338" s="216" t="n">
        <v>33.42</v>
      </c>
      <c r="D8338" s="216" t="n">
        <v>1.09343695640564</v>
      </c>
      <c r="E8338" s="215" t="n">
        <v>45903</v>
      </c>
      <c r="F8338" s="215" t="n">
        <v>45903</v>
      </c>
    </row>
    <row r="8339">
      <c r="A8339" s="215" t="n">
        <v>45904</v>
      </c>
      <c r="B8339" s="216" t="n">
        <v>20.92</v>
      </c>
      <c r="C8339" s="216" t="n">
        <v>30.92</v>
      </c>
      <c r="D8339" s="216" t="n">
        <v>1.092192053794861</v>
      </c>
      <c r="E8339" s="215" t="n">
        <v>45904</v>
      </c>
      <c r="F8339" s="215" t="n">
        <v>45904</v>
      </c>
    </row>
    <row r="8340">
      <c r="A8340" s="215" t="n">
        <v>45905</v>
      </c>
      <c r="B8340" s="216" t="n">
        <v>22.78</v>
      </c>
      <c r="C8340" s="216" t="n">
        <v>34.01</v>
      </c>
      <c r="D8340" s="216" t="n">
        <v>1.092169046401978</v>
      </c>
      <c r="E8340" s="215" t="n">
        <v>45905</v>
      </c>
      <c r="F8340" s="215" t="n">
        <v>45905</v>
      </c>
    </row>
    <row r="8341">
      <c r="A8341" s="215" t="n">
        <v>45908</v>
      </c>
      <c r="B8341" s="216" t="n">
        <v>22.62</v>
      </c>
      <c r="C8341" s="216" t="n">
        <v>34.65</v>
      </c>
      <c r="D8341" s="216" t="n">
        <v>1.093217015266418</v>
      </c>
      <c r="E8341" s="215" t="n">
        <v>45908</v>
      </c>
      <c r="F8341" s="215" t="n">
        <v>45908</v>
      </c>
    </row>
    <row r="8342">
      <c r="A8342" s="215" t="n">
        <v>45909</v>
      </c>
      <c r="B8342" s="216" t="n">
        <v>20.74</v>
      </c>
      <c r="C8342" s="216" t="n">
        <v>32.22</v>
      </c>
      <c r="D8342" s="216" t="n">
        <v>1.092916965484619</v>
      </c>
      <c r="E8342" s="215" t="n">
        <v>45909</v>
      </c>
      <c r="F8342" s="215" t="n">
        <v>45909</v>
      </c>
    </row>
    <row r="8343">
      <c r="A8343" s="215" t="n">
        <v>45910</v>
      </c>
      <c r="B8343" s="216" t="n">
        <v>21.8</v>
      </c>
      <c r="C8343" s="216" t="n">
        <v>35.44</v>
      </c>
      <c r="D8343" s="216" t="n">
        <v>1.093482971191406</v>
      </c>
      <c r="E8343" s="215" t="n">
        <v>45910</v>
      </c>
      <c r="F8343" s="215" t="n">
        <v>45910</v>
      </c>
    </row>
    <row r="8344">
      <c r="A8344" s="215" t="n">
        <v>45911</v>
      </c>
      <c r="B8344" s="216" t="n">
        <v>20.5</v>
      </c>
      <c r="C8344" s="216" t="n">
        <v>34.42</v>
      </c>
      <c r="D8344" s="216" t="n">
        <v>1.093762993812561</v>
      </c>
      <c r="E8344" s="215" t="n">
        <v>45911</v>
      </c>
      <c r="F8344" s="215" t="n">
        <v>45911</v>
      </c>
    </row>
    <row r="8345">
      <c r="A8345" s="215" t="n">
        <v>45912</v>
      </c>
      <c r="B8345" s="216" t="n">
        <v>23.3</v>
      </c>
      <c r="C8345" s="216" t="n">
        <v>37.86</v>
      </c>
      <c r="D8345" s="216" t="n">
        <v>1.094014048576355</v>
      </c>
      <c r="E8345" s="215" t="n">
        <v>45912</v>
      </c>
      <c r="F8345" s="215" t="n">
        <v>45912</v>
      </c>
    </row>
    <row r="8346">
      <c r="A8346" s="215" t="n">
        <v>45915</v>
      </c>
      <c r="B8346" s="216" t="n">
        <v>25.18</v>
      </c>
      <c r="C8346" s="216" t="n">
        <v>41.65</v>
      </c>
      <c r="D8346" s="216" t="n">
        <v>1.091848969459534</v>
      </c>
      <c r="E8346" s="215" t="n">
        <v>45915</v>
      </c>
      <c r="F8346" s="215" t="n">
        <v>45915</v>
      </c>
    </row>
    <row r="8347">
      <c r="A8347" s="215" t="n">
        <v>45916</v>
      </c>
      <c r="B8347" s="216" t="n">
        <v>25.62</v>
      </c>
      <c r="C8347" s="216" t="n">
        <v>42.2</v>
      </c>
      <c r="D8347" s="216" t="n">
        <v>1.092795968055725</v>
      </c>
      <c r="E8347" s="215" t="n">
        <v>45916</v>
      </c>
      <c r="F8347" s="215" t="n">
        <v>45916</v>
      </c>
    </row>
    <row r="8348">
      <c r="A8348" s="215" t="n">
        <v>45917</v>
      </c>
      <c r="B8348" s="216" t="n">
        <v>24.88</v>
      </c>
      <c r="C8348" s="216" t="n">
        <v>40.4</v>
      </c>
      <c r="D8348" s="216" t="n">
        <v>1.093690991401672</v>
      </c>
      <c r="E8348" s="215" t="n">
        <v>45917</v>
      </c>
      <c r="F8348" s="215" t="n">
        <v>45917</v>
      </c>
    </row>
    <row r="8349">
      <c r="A8349" s="215" t="n">
        <v>45918</v>
      </c>
      <c r="B8349" s="216" t="n">
        <v>24.06</v>
      </c>
      <c r="C8349" s="216" t="n">
        <v>40.16</v>
      </c>
      <c r="D8349" s="216" t="n">
        <v>1.094727993011475</v>
      </c>
      <c r="E8349" s="215" t="n">
        <v>45918</v>
      </c>
      <c r="F8349" s="215" t="n">
        <v>45918</v>
      </c>
    </row>
    <row r="8350">
      <c r="A8350" s="215" t="n">
        <v>45919</v>
      </c>
      <c r="B8350" s="216" t="n">
        <v>23.38</v>
      </c>
      <c r="C8350" s="216" t="n">
        <v>38.38</v>
      </c>
      <c r="D8350" s="216" t="n">
        <v>1.093201994895935</v>
      </c>
      <c r="E8350" s="215" t="n">
        <v>45919</v>
      </c>
      <c r="F8350" s="215" t="n">
        <v>45919</v>
      </c>
    </row>
    <row r="8351">
      <c r="A8351" s="215" t="n">
        <v>45922</v>
      </c>
      <c r="B8351" s="216" t="n">
        <v>23.78</v>
      </c>
      <c r="C8351" s="216" t="n">
        <v>38.88</v>
      </c>
      <c r="D8351" s="216" t="n">
        <v>1.092589020729065</v>
      </c>
      <c r="E8351" s="215" t="n">
        <v>45922</v>
      </c>
      <c r="F8351" s="215" t="n">
        <v>45922</v>
      </c>
    </row>
    <row r="8352">
      <c r="A8352" s="215" t="n">
        <v>45923</v>
      </c>
      <c r="B8352" s="216" t="n">
        <v>22.52</v>
      </c>
      <c r="C8352" s="216" t="n">
        <v>36.53</v>
      </c>
      <c r="D8352" s="216" t="n">
        <v>1.0920250415802</v>
      </c>
      <c r="E8352" s="215" t="n">
        <v>45923</v>
      </c>
      <c r="F8352" s="215" t="n">
        <v>45923</v>
      </c>
    </row>
    <row r="8353">
      <c r="A8353" s="215" t="n">
        <v>45924</v>
      </c>
      <c r="B8353" s="216" t="n">
        <v>23.4</v>
      </c>
      <c r="C8353" s="216" t="n">
        <v>37.24</v>
      </c>
      <c r="D8353" s="216" t="n">
        <v>1.093196988105774</v>
      </c>
      <c r="E8353" s="215" t="n">
        <v>45924</v>
      </c>
      <c r="F8353" s="215" t="n">
        <v>45924</v>
      </c>
    </row>
    <row r="8354">
      <c r="A8354" s="215" t="n">
        <v>45925</v>
      </c>
      <c r="B8354" s="216" t="n">
        <v>24.24</v>
      </c>
      <c r="C8354" s="216" t="n">
        <v>38.3</v>
      </c>
      <c r="D8354" s="216" t="n">
        <v>1.090371012687683</v>
      </c>
      <c r="E8354" s="215" t="n">
        <v>45925</v>
      </c>
      <c r="F8354" s="215" t="n">
        <v>45925</v>
      </c>
    </row>
    <row r="8355">
      <c r="A8355" s="215" t="n">
        <v>45926</v>
      </c>
      <c r="B8355" s="216" t="n">
        <v>23.1</v>
      </c>
      <c r="C8355" s="216" t="n">
        <v>36.93</v>
      </c>
      <c r="D8355" s="216" t="n">
        <v>1.090574979782104</v>
      </c>
      <c r="E8355" s="215" t="n">
        <v>45926</v>
      </c>
      <c r="F8355" s="215" t="n">
        <v>45926</v>
      </c>
    </row>
    <row r="8356">
      <c r="A8356" s="215" t="n">
        <v>45929</v>
      </c>
      <c r="B8356" s="216" t="n">
        <v>22.92</v>
      </c>
      <c r="C8356" s="216" t="n">
        <v>35.31</v>
      </c>
      <c r="D8356" s="216" t="n">
        <v>1.090520024299622</v>
      </c>
      <c r="E8356" s="215" t="n">
        <v>45929</v>
      </c>
      <c r="F8356" s="215" t="n">
        <v>45929</v>
      </c>
    </row>
    <row r="8357">
      <c r="A8357" s="215" t="n">
        <v>45930</v>
      </c>
      <c r="B8357" s="216" t="n">
        <v>23.04</v>
      </c>
      <c r="C8357" s="216" t="n">
        <v>35.3</v>
      </c>
      <c r="D8357" s="216" t="n">
        <v>1.093106031417847</v>
      </c>
      <c r="E8357" s="215" t="n">
        <v>45930</v>
      </c>
      <c r="F8357" s="215" t="n">
        <v>45930</v>
      </c>
    </row>
    <row r="8358">
      <c r="A8358" s="215" t="n">
        <v>45932</v>
      </c>
      <c r="B8358" s="216" t="n">
        <v>23.5</v>
      </c>
      <c r="C8358" s="216" t="n">
        <v>35.3</v>
      </c>
      <c r="D8358" s="216" t="n">
        <v>1.092823028564453</v>
      </c>
      <c r="E8358" s="215" t="n">
        <v>45930</v>
      </c>
      <c r="F8358" s="215" t="n">
        <v>45932</v>
      </c>
    </row>
    <row r="8359">
      <c r="A8359" s="215" t="n">
        <v>45933</v>
      </c>
      <c r="B8359" s="216" t="n">
        <v>22.62</v>
      </c>
      <c r="C8359" s="216" t="n">
        <v>35.3</v>
      </c>
      <c r="D8359" s="216" t="n">
        <v>1.09303605556488</v>
      </c>
      <c r="E8359" s="215" t="n">
        <v>45930</v>
      </c>
      <c r="F8359" s="215" t="n">
        <v>45933</v>
      </c>
    </row>
    <row r="8360">
      <c r="A8360" s="215" t="n">
        <v>45936</v>
      </c>
      <c r="B8360" s="216" t="n">
        <v>22.36</v>
      </c>
      <c r="C8360" s="216" t="n">
        <v>35.3</v>
      </c>
      <c r="D8360" s="216" t="n">
        <v>1.092857956886292</v>
      </c>
      <c r="E8360" s="215" t="n">
        <v>45930</v>
      </c>
      <c r="F8360" s="215" t="n">
        <v>45936</v>
      </c>
    </row>
    <row r="8361">
      <c r="A8361" s="215" t="n">
        <v>45938</v>
      </c>
      <c r="B8361" s="216" t="n">
        <v>22.4</v>
      </c>
      <c r="C8361" s="216" t="n">
        <v>35.3</v>
      </c>
      <c r="D8361" s="216" t="n">
        <v>1.093148946762085</v>
      </c>
      <c r="E8361" s="215" t="n">
        <v>45930</v>
      </c>
      <c r="F8361" s="215" t="n">
        <v>45938</v>
      </c>
    </row>
    <row r="8362">
      <c r="A8362" s="215" t="n">
        <v>45939</v>
      </c>
      <c r="B8362" s="216" t="n">
        <v>21.6</v>
      </c>
      <c r="C8362" s="216" t="n">
        <v>35.63</v>
      </c>
      <c r="D8362" s="216" t="n">
        <v>1.092933058738708</v>
      </c>
      <c r="E8362" s="215" t="n">
        <v>45939</v>
      </c>
      <c r="F8362" s="215" t="n">
        <v>45939</v>
      </c>
    </row>
    <row r="8363">
      <c r="A8363" s="215" t="n">
        <v>45940</v>
      </c>
      <c r="B8363" s="216" t="n">
        <v>20.04</v>
      </c>
      <c r="C8363" s="216" t="n">
        <v>33.7</v>
      </c>
      <c r="D8363" s="216" t="n">
        <v>1.091662049293518</v>
      </c>
      <c r="E8363" s="215" t="n">
        <v>45940</v>
      </c>
      <c r="F8363" s="215" t="n">
        <v>45940</v>
      </c>
    </row>
    <row r="8364">
      <c r="A8364" s="215" t="n">
        <v>45943</v>
      </c>
      <c r="B8364" s="216" t="n">
        <v>19.7</v>
      </c>
      <c r="C8364" s="216" t="n">
        <v>32.6</v>
      </c>
      <c r="D8364" s="216" t="n">
        <v>1.093768000602722</v>
      </c>
      <c r="E8364" s="215" t="n">
        <v>45943</v>
      </c>
      <c r="F8364" s="215" t="n">
        <v>45943</v>
      </c>
    </row>
    <row r="8365">
      <c r="A8365" s="215" t="n">
        <v>45944</v>
      </c>
      <c r="B8365" s="216" t="n">
        <v>19.18</v>
      </c>
      <c r="C8365" s="216" t="n">
        <v>31.98</v>
      </c>
      <c r="D8365" s="216" t="n">
        <v>1.093292951583862</v>
      </c>
      <c r="E8365" s="215" t="n">
        <v>45944</v>
      </c>
      <c r="F8365" s="215" t="n">
        <v>45944</v>
      </c>
    </row>
    <row r="8366">
      <c r="A8366" s="215" t="n">
        <v>45945</v>
      </c>
      <c r="B8366" s="216" t="n">
        <v>19.9</v>
      </c>
      <c r="C8366" s="216" t="n">
        <v>33.32</v>
      </c>
      <c r="D8366" s="216" t="n">
        <v>1.088750958442688</v>
      </c>
      <c r="E8366" s="215" t="n">
        <v>45945</v>
      </c>
      <c r="F8366" s="215" t="n">
        <v>45945</v>
      </c>
    </row>
    <row r="8367">
      <c r="A8367" s="215" t="n">
        <v>45946</v>
      </c>
      <c r="B8367" s="216" t="n">
        <v>19.94</v>
      </c>
      <c r="C8367" s="216" t="n">
        <v>33.1</v>
      </c>
      <c r="D8367" s="216" t="n">
        <v>1.090903043746948</v>
      </c>
      <c r="E8367" s="215" t="n">
        <v>45946</v>
      </c>
      <c r="F8367" s="215" t="n">
        <v>45946</v>
      </c>
    </row>
    <row r="8368">
      <c r="A8368" s="215" t="n">
        <v>45947</v>
      </c>
      <c r="B8368" s="216" t="n">
        <v>18.77</v>
      </c>
      <c r="C8368" s="216" t="n">
        <v>32.5</v>
      </c>
      <c r="D8368" s="216" t="n">
        <v>1.09073805809021</v>
      </c>
      <c r="E8368" s="215" t="n">
        <v>45947</v>
      </c>
      <c r="F8368" s="215" t="n">
        <v>45947</v>
      </c>
    </row>
    <row r="8369">
      <c r="A8369" s="215" t="n">
        <v>45950</v>
      </c>
      <c r="B8369" s="216" t="n">
        <v>18.95</v>
      </c>
      <c r="C8369" s="216" t="n">
        <v>33.2</v>
      </c>
      <c r="D8369" s="216" t="n">
        <v>1.089843988418579</v>
      </c>
      <c r="E8369" s="215" t="n">
        <v>45950</v>
      </c>
      <c r="F8369" s="215" t="n">
        <v>45950</v>
      </c>
    </row>
    <row r="8370">
      <c r="A8370" s="215" t="n">
        <v>45951</v>
      </c>
      <c r="B8370" s="216" t="n">
        <v>19.17</v>
      </c>
      <c r="C8370" s="216" t="n">
        <v>33.28</v>
      </c>
      <c r="D8370" s="216" t="n">
        <v>1.091038942337036</v>
      </c>
      <c r="E8370" s="215" t="n">
        <v>45951</v>
      </c>
      <c r="F8370" s="215" t="n">
        <v>45951</v>
      </c>
    </row>
    <row r="8371">
      <c r="A8371" s="215" t="n">
        <v>45952</v>
      </c>
      <c r="B8371" s="216" t="n">
        <v>18.65</v>
      </c>
      <c r="C8371" s="216" t="n">
        <v>32.67</v>
      </c>
      <c r="D8371" s="216" t="n">
        <v>1.091071009635925</v>
      </c>
      <c r="E8371" s="215" t="n">
        <v>45952</v>
      </c>
      <c r="F8371" s="215" t="n">
        <v>45952</v>
      </c>
    </row>
    <row r="8372">
      <c r="A8372" s="215" t="n">
        <v>45953</v>
      </c>
      <c r="B8372" s="216" t="n">
        <v>18</v>
      </c>
      <c r="C8372" s="216" t="n">
        <v>32.06</v>
      </c>
      <c r="D8372" s="216" t="n">
        <v>1.090343952178955</v>
      </c>
      <c r="E8372" s="215" t="n">
        <v>45953</v>
      </c>
      <c r="F8372" s="215" t="n">
        <v>45953</v>
      </c>
    </row>
    <row r="8373">
      <c r="A8373" s="215" t="n">
        <v>45954</v>
      </c>
      <c r="B8373" s="216" t="n">
        <v>18.25</v>
      </c>
      <c r="C8373" s="216" t="n">
        <v>32.45</v>
      </c>
      <c r="D8373" s="216" t="n">
        <v>1.090456962585449</v>
      </c>
      <c r="E8373" s="215" t="n">
        <v>45954</v>
      </c>
      <c r="F8373" s="215" t="n">
        <v>45954</v>
      </c>
    </row>
    <row r="8374">
      <c r="A8374" s="215" t="n">
        <v>45957</v>
      </c>
      <c r="B8374" s="216" t="n">
        <v>19.83</v>
      </c>
      <c r="C8374" s="216" t="n">
        <v>33.69</v>
      </c>
      <c r="D8374" s="216" t="n">
        <v>1.090957045555115</v>
      </c>
      <c r="E8374" s="215" t="n">
        <v>45957</v>
      </c>
      <c r="F8374" s="215" t="n">
        <v>45957</v>
      </c>
    </row>
    <row r="8375">
      <c r="A8375" s="215" t="n">
        <v>45958</v>
      </c>
      <c r="B8375" s="216" t="n">
        <v>19.25</v>
      </c>
      <c r="C8375" s="216" t="n">
        <v>33.4</v>
      </c>
      <c r="D8375" s="216" t="n">
        <v>1.092440009117126</v>
      </c>
      <c r="E8375" s="215" t="n">
        <v>45958</v>
      </c>
      <c r="F8375" s="215" t="n">
        <v>45958</v>
      </c>
    </row>
    <row r="8376">
      <c r="A8376" s="215" t="n">
        <v>45960</v>
      </c>
      <c r="B8376" s="216" t="n">
        <v>20.76</v>
      </c>
      <c r="C8376" s="216" t="n">
        <v>35.37</v>
      </c>
      <c r="D8376" s="216" t="n">
        <v>1.09463894367218</v>
      </c>
      <c r="E8376" s="215" t="n">
        <v>45960</v>
      </c>
      <c r="F8376" s="215" t="n">
        <v>45960</v>
      </c>
    </row>
    <row r="8377">
      <c r="A8377" s="215" t="n">
        <v>45961</v>
      </c>
      <c r="B8377" s="216" t="n">
        <v>21.44</v>
      </c>
      <c r="C8377" s="216" t="n">
        <v>36.99</v>
      </c>
      <c r="D8377" s="216" t="n">
        <v>1.092543959617615</v>
      </c>
      <c r="E8377" s="215" t="n">
        <v>45961</v>
      </c>
      <c r="F8377" s="215" t="n">
        <v>45961</v>
      </c>
    </row>
    <row r="8378">
      <c r="A8378" s="215" t="n">
        <v>45964</v>
      </c>
      <c r="B8378" s="216" t="n">
        <v>20.74</v>
      </c>
      <c r="C8378" s="216" t="n">
        <v>36.18</v>
      </c>
      <c r="D8378" s="216" t="n">
        <v>1.091722965240479</v>
      </c>
      <c r="E8378" s="215" t="n">
        <v>45964</v>
      </c>
      <c r="F8378" s="215" t="n">
        <v>45964</v>
      </c>
    </row>
    <row r="8379">
      <c r="A8379" s="215" t="n">
        <v>45965</v>
      </c>
      <c r="B8379" s="216" t="n">
        <v>19.66</v>
      </c>
      <c r="C8379" s="216" t="n">
        <v>34.44</v>
      </c>
      <c r="D8379" s="216" t="n">
        <v>1.083533048629761</v>
      </c>
      <c r="E8379" s="215" t="n">
        <v>45965</v>
      </c>
      <c r="F8379" s="215" t="n">
        <v>45965</v>
      </c>
    </row>
    <row r="8380">
      <c r="A8380" s="215" t="n">
        <v>45966</v>
      </c>
      <c r="B8380" s="216" t="n">
        <v>19.01</v>
      </c>
      <c r="C8380" s="216" t="n">
        <v>33.18</v>
      </c>
      <c r="D8380" s="216" t="n">
        <v>1.090273976325989</v>
      </c>
      <c r="E8380" s="215" t="n">
        <v>45966</v>
      </c>
      <c r="F8380" s="215" t="n">
        <v>45966</v>
      </c>
    </row>
    <row r="8381">
      <c r="A8381" s="215" t="n">
        <v>45967</v>
      </c>
      <c r="B8381" s="216" t="n">
        <v>19.74</v>
      </c>
      <c r="C8381" s="216" t="n">
        <v>33.6</v>
      </c>
      <c r="D8381" s="216" t="n">
        <v>1.090808033943176</v>
      </c>
      <c r="E8381" s="215" t="n">
        <v>45967</v>
      </c>
      <c r="F8381" s="215" t="n">
        <v>45967</v>
      </c>
    </row>
    <row r="8382">
      <c r="A8382" s="215" t="n">
        <v>45968</v>
      </c>
      <c r="B8382" s="216" t="n">
        <v>18.88</v>
      </c>
      <c r="C8382" s="216" t="n">
        <v>32.49</v>
      </c>
      <c r="D8382" s="216" t="n">
        <v>1.092054009437561</v>
      </c>
      <c r="E8382" s="215" t="n">
        <v>45968</v>
      </c>
      <c r="F8382" s="215" t="n">
        <v>45968</v>
      </c>
    </row>
    <row r="8383">
      <c r="A8383" s="215" t="n">
        <v>45971</v>
      </c>
      <c r="B8383" s="216" t="n">
        <v>19.57</v>
      </c>
      <c r="C8383" s="216" t="n">
        <v>33.03</v>
      </c>
      <c r="D8383" s="216" t="n">
        <v>1.092267036437988</v>
      </c>
      <c r="E8383" s="215" t="n">
        <v>45971</v>
      </c>
      <c r="F8383" s="215" t="n">
        <v>45971</v>
      </c>
    </row>
    <row r="8384">
      <c r="A8384" s="215" t="n">
        <v>45972</v>
      </c>
      <c r="B8384" s="216" t="n">
        <v>19.1</v>
      </c>
      <c r="C8384" s="216" t="n">
        <v>32.42</v>
      </c>
      <c r="D8384" s="216" t="n">
        <v>1.091644048690796</v>
      </c>
      <c r="E8384" s="215" t="n">
        <v>45972</v>
      </c>
      <c r="F8384" s="215" t="n">
        <v>45972</v>
      </c>
    </row>
    <row r="8385">
      <c r="A8385" s="215" t="n">
        <v>45973</v>
      </c>
      <c r="B8385" s="216" t="n">
        <v>19.72</v>
      </c>
      <c r="C8385" s="216" t="n">
        <v>33.07</v>
      </c>
      <c r="D8385" s="216" t="n">
        <v>1.091495990753174</v>
      </c>
      <c r="E8385" s="215" t="n">
        <v>45973</v>
      </c>
      <c r="F8385" s="215" t="n">
        <v>45973</v>
      </c>
    </row>
    <row r="8386">
      <c r="A8386" s="215" t="n">
        <v>45974</v>
      </c>
      <c r="B8386" s="216" t="n">
        <v>19.88</v>
      </c>
      <c r="C8386" s="216" t="n">
        <v>33.54</v>
      </c>
      <c r="D8386" s="216" t="n">
        <v>1.092489004135132</v>
      </c>
      <c r="E8386" s="215" t="n">
        <v>45974</v>
      </c>
      <c r="F8386" s="215" t="n">
        <v>45974</v>
      </c>
    </row>
    <row r="8387">
      <c r="A8387" s="215" t="n">
        <v>45975</v>
      </c>
      <c r="B8387" s="216" t="n">
        <v>19.43</v>
      </c>
      <c r="C8387" s="216" t="n">
        <v>33.1</v>
      </c>
      <c r="D8387" s="216" t="n">
        <v>1.092411994934082</v>
      </c>
      <c r="E8387" s="215" t="n">
        <v>45975</v>
      </c>
      <c r="F8387" s="215" t="n">
        <v>45975</v>
      </c>
    </row>
    <row r="8388">
      <c r="A8388" s="215" t="n">
        <v>45978</v>
      </c>
      <c r="B8388" s="216" t="n">
        <v>18.38</v>
      </c>
      <c r="C8388" s="216" t="n">
        <v>31.81</v>
      </c>
      <c r="D8388" s="216" t="n">
        <v>1.094588041305542</v>
      </c>
      <c r="E8388" s="215" t="n">
        <v>45978</v>
      </c>
      <c r="F8388" s="215" t="n">
        <v>45978</v>
      </c>
    </row>
    <row r="8389">
      <c r="A8389" s="215" t="n">
        <v>45979</v>
      </c>
      <c r="B8389" s="216" t="n">
        <v>17.86</v>
      </c>
      <c r="C8389" s="216" t="n">
        <v>31.33</v>
      </c>
      <c r="D8389" s="216" t="n">
        <v>1.093616008758545</v>
      </c>
      <c r="E8389" s="215" t="n">
        <v>45979</v>
      </c>
      <c r="F8389" s="215" t="n">
        <v>45979</v>
      </c>
    </row>
    <row r="8390">
      <c r="A8390" s="215" t="n">
        <v>45980</v>
      </c>
      <c r="B8390" s="216" t="n">
        <v>17.17</v>
      </c>
      <c r="C8390" s="216" t="n">
        <v>29.74</v>
      </c>
      <c r="D8390" s="216" t="n">
        <v>1.095010995864868</v>
      </c>
      <c r="E8390" s="215" t="n">
        <v>45980</v>
      </c>
      <c r="F8390" s="215" t="n">
        <v>45980</v>
      </c>
    </row>
    <row r="8391">
      <c r="A8391" s="215" t="n">
        <v>45981</v>
      </c>
      <c r="B8391" s="216" t="n">
        <v>16.77</v>
      </c>
      <c r="C8391" s="216" t="n">
        <v>28.28</v>
      </c>
      <c r="D8391" s="216" t="n">
        <v>1.095402002334595</v>
      </c>
      <c r="E8391" s="215" t="n">
        <v>45981</v>
      </c>
      <c r="F8391" s="215" t="n">
        <v>45981</v>
      </c>
    </row>
    <row r="8392">
      <c r="A8392" s="215" t="n">
        <v>45982</v>
      </c>
      <c r="B8392" s="216" t="n">
        <v>16.44</v>
      </c>
      <c r="C8392" s="216" t="n">
        <v>27.4</v>
      </c>
      <c r="D8392" s="216" t="n">
        <v>1.094982981681824</v>
      </c>
      <c r="E8392" s="215" t="n">
        <v>45982</v>
      </c>
      <c r="F8392" s="215" t="n">
        <v>45982</v>
      </c>
    </row>
    <row r="8393">
      <c r="A8393" s="215" t="n">
        <v>45985</v>
      </c>
      <c r="B8393" s="216" t="n">
        <v>16.64</v>
      </c>
      <c r="C8393" s="216" t="n">
        <v>27.67</v>
      </c>
      <c r="D8393" s="216" t="n">
        <v>1.094988942146301</v>
      </c>
      <c r="E8393" s="215" t="n">
        <v>45985</v>
      </c>
      <c r="F8393" s="215" t="n">
        <v>45985</v>
      </c>
    </row>
    <row r="8394">
      <c r="A8394" s="215" t="n">
        <v>45986</v>
      </c>
      <c r="B8394" s="216" t="n">
        <v>16.46</v>
      </c>
      <c r="C8394" s="216" t="n">
        <v>27.86</v>
      </c>
      <c r="D8394" s="216" t="n">
        <v>1.095428943634033</v>
      </c>
      <c r="E8394" s="215" t="n">
        <v>45986</v>
      </c>
      <c r="F8394" s="215" t="n">
        <v>45986</v>
      </c>
    </row>
    <row r="8395">
      <c r="A8395" s="215" t="n">
        <v>45987</v>
      </c>
      <c r="B8395" s="216" t="n">
        <v>16.85</v>
      </c>
      <c r="C8395" s="216" t="n">
        <v>28.31</v>
      </c>
      <c r="D8395" s="216" t="n">
        <v>1.097422003746033</v>
      </c>
      <c r="E8395" s="215" t="n">
        <v>45987</v>
      </c>
      <c r="F8395" s="215" t="n">
        <v>45987</v>
      </c>
    </row>
    <row r="8396">
      <c r="A8396" s="215" t="n">
        <v>45988</v>
      </c>
      <c r="B8396" s="216" t="n">
        <v>16.64</v>
      </c>
      <c r="C8396" s="216" t="n">
        <v>27.9</v>
      </c>
      <c r="D8396" s="216" t="n">
        <v>1.098397016525269</v>
      </c>
      <c r="E8396" s="215" t="n">
        <v>45988</v>
      </c>
      <c r="F8396" s="215" t="n">
        <v>45988</v>
      </c>
    </row>
    <row r="8397">
      <c r="A8397" s="215" t="n">
        <v>45989</v>
      </c>
      <c r="B8397" s="216" t="n">
        <v>16.62</v>
      </c>
      <c r="C8397" s="216" t="n">
        <v>27.93</v>
      </c>
      <c r="D8397" s="216" t="n">
        <v>1.098330020904541</v>
      </c>
      <c r="E8397" s="215" t="n">
        <v>45989</v>
      </c>
      <c r="F8397" s="215" t="n">
        <v>45989</v>
      </c>
    </row>
    <row r="8398">
      <c r="A8398" s="215" t="n">
        <v>45992</v>
      </c>
      <c r="B8398" s="216" t="n">
        <v>16.64</v>
      </c>
      <c r="C8398" s="216" t="n">
        <v>28.33</v>
      </c>
      <c r="D8398" s="216" t="n">
        <v>1.10015594959259</v>
      </c>
      <c r="E8398" s="215" t="n">
        <v>45992</v>
      </c>
      <c r="F8398" s="215" t="n">
        <v>45992</v>
      </c>
    </row>
    <row r="8399">
      <c r="A8399" s="215" t="n">
        <v>45993</v>
      </c>
      <c r="B8399" s="216" t="n">
        <v>16.26</v>
      </c>
      <c r="C8399" s="216" t="n">
        <v>27.7</v>
      </c>
      <c r="D8399" s="216" t="n">
        <v>1.101189017295837</v>
      </c>
      <c r="E8399" s="215" t="n">
        <v>45993</v>
      </c>
      <c r="F8399" s="215" t="n">
        <v>45993</v>
      </c>
    </row>
    <row r="8400">
      <c r="A8400" s="215" t="n">
        <v>45994</v>
      </c>
      <c r="B8400" s="216" t="n">
        <v>16.11</v>
      </c>
      <c r="C8400" s="216" t="n">
        <v>27.64</v>
      </c>
      <c r="D8400" s="216" t="n">
        <v>1.100834012031555</v>
      </c>
      <c r="E8400" s="215" t="n">
        <v>45994</v>
      </c>
      <c r="F8400" s="215" t="n">
        <v>45994</v>
      </c>
    </row>
    <row r="8401">
      <c r="A8401" s="215" t="n">
        <v>45995</v>
      </c>
      <c r="B8401" s="216" t="n">
        <v>16.25</v>
      </c>
      <c r="C8401" s="216" t="n">
        <v>27.86</v>
      </c>
      <c r="D8401" s="216" t="n">
        <v>1.101611018180847</v>
      </c>
      <c r="E8401" s="215" t="n">
        <v>45995</v>
      </c>
      <c r="F8401" s="215" t="n">
        <v>45995</v>
      </c>
    </row>
    <row r="8402">
      <c r="A8402" s="215" t="n">
        <v>45996</v>
      </c>
      <c r="B8402" s="216" t="n">
        <v>16.3</v>
      </c>
      <c r="C8402" s="216" t="n">
        <v>27.84</v>
      </c>
      <c r="D8402" s="216" t="n">
        <v>1.100373983383179</v>
      </c>
      <c r="E8402" s="215" t="n">
        <v>45996</v>
      </c>
      <c r="F8402" s="215" t="n">
        <v>45996</v>
      </c>
    </row>
    <row r="8403">
      <c r="A8403" s="215" t="n">
        <v>45999</v>
      </c>
      <c r="B8403" s="216" t="n">
        <v>16.24</v>
      </c>
      <c r="C8403" s="216" t="n">
        <v>27.97</v>
      </c>
      <c r="D8403" s="216" t="n">
        <v>1.1008620262146</v>
      </c>
      <c r="E8403" s="215" t="n">
        <v>45999</v>
      </c>
      <c r="F8403" s="215" t="n">
        <v>45999</v>
      </c>
    </row>
    <row r="8404">
      <c r="A8404" s="215" t="n">
        <v>46000</v>
      </c>
      <c r="B8404" s="216" t="n">
        <v>17.2</v>
      </c>
      <c r="C8404" s="216" t="n">
        <v>29.96</v>
      </c>
      <c r="D8404" s="216" t="n">
        <v>1.10008704662323</v>
      </c>
      <c r="E8404" s="215" t="n">
        <v>46000</v>
      </c>
      <c r="F8404" s="215" t="n">
        <v>46000</v>
      </c>
    </row>
    <row r="8405">
      <c r="A8405" s="215" t="n">
        <v>46001</v>
      </c>
      <c r="B8405" s="216" t="n">
        <v>17.33</v>
      </c>
      <c r="C8405" s="216" t="n">
        <v>30.32</v>
      </c>
      <c r="D8405" s="216" t="n">
        <v>1.101711988449097</v>
      </c>
      <c r="E8405" s="215" t="n">
        <v>46001</v>
      </c>
      <c r="F8405" s="215" t="n">
        <v>46001</v>
      </c>
    </row>
    <row r="8406">
      <c r="A8406" s="215" t="n">
        <v>46002</v>
      </c>
      <c r="B8406" s="216" t="n">
        <v>17.77</v>
      </c>
      <c r="C8406" s="216" t="n">
        <v>31.23</v>
      </c>
      <c r="D8406" s="216" t="n">
        <v>1.10112202167511</v>
      </c>
      <c r="E8406" s="215" t="n">
        <v>46002</v>
      </c>
      <c r="F8406" s="215" t="n">
        <v>46002</v>
      </c>
    </row>
    <row r="8407">
      <c r="A8407" s="215" t="n">
        <v>46003</v>
      </c>
      <c r="B8407" s="216" t="n">
        <v>21.28</v>
      </c>
      <c r="C8407" s="216" t="n">
        <v>34.35</v>
      </c>
      <c r="D8407" s="216" t="n">
        <v>1.102499008178711</v>
      </c>
      <c r="E8407" s="215" t="n">
        <v>46003</v>
      </c>
      <c r="F8407" s="215" t="n">
        <v>46003</v>
      </c>
    </row>
    <row r="8408">
      <c r="A8408" s="215" t="n">
        <v>46006</v>
      </c>
      <c r="B8408" s="216" t="n">
        <v>21.7</v>
      </c>
      <c r="C8408" s="216" t="n">
        <v>35.5</v>
      </c>
      <c r="D8408" s="216" t="n">
        <v>1.103397965431213</v>
      </c>
      <c r="E8408" s="215" t="n">
        <v>46006</v>
      </c>
      <c r="F8408" s="215" t="n">
        <v>46006</v>
      </c>
    </row>
    <row r="8409">
      <c r="A8409" s="215" t="n">
        <v>46007</v>
      </c>
      <c r="B8409" s="216" t="n">
        <v>20.46</v>
      </c>
      <c r="C8409" s="216" t="n">
        <v>34.38</v>
      </c>
      <c r="D8409" s="216" t="n">
        <v>1.104179978370667</v>
      </c>
      <c r="E8409" s="215" t="n">
        <v>46007</v>
      </c>
      <c r="F8409" s="215" t="n">
        <v>46007</v>
      </c>
    </row>
    <row r="8410">
      <c r="A8410" s="215" t="n">
        <v>46008</v>
      </c>
      <c r="B8410" s="216" t="n">
        <v>22.58</v>
      </c>
      <c r="C8410" s="216" t="n">
        <v>36.85</v>
      </c>
      <c r="D8410" s="216" t="n">
        <v>1.104655981063843</v>
      </c>
      <c r="E8410" s="215" t="n">
        <v>46008</v>
      </c>
      <c r="F8410" s="215" t="n">
        <v>46008</v>
      </c>
    </row>
    <row r="8411">
      <c r="A8411" s="215" t="n">
        <v>46009</v>
      </c>
      <c r="B8411" s="216" t="n">
        <v>22.42</v>
      </c>
      <c r="C8411" s="216" t="n">
        <v>35.7</v>
      </c>
      <c r="D8411" s="216" t="n">
        <v>1.104357004165649</v>
      </c>
      <c r="E8411" s="215" t="n">
        <v>46009</v>
      </c>
      <c r="F8411" s="215" t="n">
        <v>46009</v>
      </c>
    </row>
    <row r="8412">
      <c r="A8412" s="215" t="n">
        <v>46010</v>
      </c>
      <c r="B8412" s="216" t="n">
        <v>21.88</v>
      </c>
      <c r="C8412" s="216" t="n">
        <v>35.42</v>
      </c>
      <c r="D8412" s="216" t="n">
        <v>1.104962944984436</v>
      </c>
      <c r="E8412" s="215" t="n">
        <v>46010</v>
      </c>
      <c r="F8412" s="215" t="n">
        <v>46010</v>
      </c>
    </row>
    <row r="8413">
      <c r="A8413" s="215" t="n">
        <v>46013</v>
      </c>
      <c r="B8413" s="216" t="n">
        <v>21.28</v>
      </c>
      <c r="C8413" s="216" t="n">
        <v>35.4</v>
      </c>
      <c r="D8413" s="216" t="n">
        <v>1.105054020881653</v>
      </c>
      <c r="E8413" s="215" t="n">
        <v>46013</v>
      </c>
      <c r="F8413" s="215" t="n">
        <v>46013</v>
      </c>
    </row>
    <row r="8414">
      <c r="A8414" s="215" t="n">
        <v>46014</v>
      </c>
      <c r="B8414" s="216" t="n">
        <v>22.18</v>
      </c>
      <c r="C8414" s="216" t="n">
        <v>35.85</v>
      </c>
      <c r="D8414" s="216" t="n">
        <v>1.104820013046265</v>
      </c>
      <c r="E8414" s="215" t="n">
        <v>46014</v>
      </c>
      <c r="F8414" s="215" t="n">
        <v>46014</v>
      </c>
    </row>
    <row r="8415">
      <c r="A8415" s="215" t="n">
        <v>46015</v>
      </c>
      <c r="B8415" s="216" t="n">
        <v>21.64</v>
      </c>
      <c r="C8415" s="216" t="n">
        <v>35.86</v>
      </c>
      <c r="D8415" s="216" t="n">
        <v>1.106441974639893</v>
      </c>
      <c r="E8415" s="215" t="n">
        <v>46015</v>
      </c>
      <c r="F8415" s="215" t="n">
        <v>46015</v>
      </c>
    </row>
    <row r="8416">
      <c r="A8416" s="215" t="n">
        <v>46020</v>
      </c>
      <c r="B8416" s="216" t="n">
        <v>21.12</v>
      </c>
      <c r="C8416" s="216" t="n">
        <v>37.1</v>
      </c>
      <c r="D8416" s="216" t="n">
        <v>1.10552704334259</v>
      </c>
      <c r="E8416" s="215" t="n">
        <v>46020</v>
      </c>
      <c r="F8416" s="215" t="n">
        <v>46020</v>
      </c>
    </row>
    <row r="8417">
      <c r="A8417" s="215" t="n">
        <v>46021</v>
      </c>
      <c r="B8417" s="216" t="n">
        <v>19.97</v>
      </c>
      <c r="C8417" s="216" t="n">
        <v>34.8</v>
      </c>
      <c r="D8417" s="216" t="n">
        <v>1.109460949897766</v>
      </c>
      <c r="E8417" s="215" t="n">
        <v>46021</v>
      </c>
      <c r="F8417" s="215" t="n">
        <v>46021</v>
      </c>
    </row>
    <row r="8418">
      <c r="A8418" s="215" t="n">
        <v>46022</v>
      </c>
      <c r="B8418" s="216" t="n">
        <v>20.6</v>
      </c>
      <c r="C8418" s="216" t="n">
        <v>35.01</v>
      </c>
      <c r="D8418" s="216" t="n">
        <v>1.111927032470703</v>
      </c>
      <c r="E8418" s="215" t="n">
        <v>46022</v>
      </c>
      <c r="F8418" s="215" t="n">
        <v>46022</v>
      </c>
    </row>
    <row r="8419">
      <c r="A8419" s="215" t="n">
        <v>46024</v>
      </c>
      <c r="B8419" s="216" t="n">
        <v>19.96</v>
      </c>
      <c r="C8419" s="216" t="n">
        <v>35.01</v>
      </c>
      <c r="D8419" s="216" t="n">
        <v>1.112754940986633</v>
      </c>
      <c r="E8419" s="215" t="n">
        <v>46022</v>
      </c>
      <c r="F8419" s="215" t="n">
        <v>46024</v>
      </c>
    </row>
    <row r="8420">
      <c r="A8420" s="215" t="n">
        <v>46027</v>
      </c>
      <c r="B8420" s="216" t="n">
        <v>22.7</v>
      </c>
      <c r="C8420" s="216" t="n">
        <v>38.51</v>
      </c>
      <c r="D8420" s="216" t="n">
        <v>1.113860011100769</v>
      </c>
      <c r="E8420" s="215" t="n">
        <v>46027</v>
      </c>
      <c r="F8420" s="215" t="n">
        <v>46027</v>
      </c>
    </row>
    <row r="8421">
      <c r="A8421" s="215" t="n">
        <v>46028</v>
      </c>
      <c r="B8421" s="216" t="n">
        <v>22.36</v>
      </c>
      <c r="C8421" s="216" t="n">
        <v>38.45</v>
      </c>
      <c r="D8421" s="216" t="n">
        <v>1.11367404460907</v>
      </c>
      <c r="E8421" s="215" t="n">
        <v>46028</v>
      </c>
      <c r="F8421" s="215" t="n">
        <v>46028</v>
      </c>
    </row>
    <row r="8422">
      <c r="A8422" s="215" t="n">
        <v>46029</v>
      </c>
      <c r="B8422" s="216" t="n">
        <v>23.22</v>
      </c>
      <c r="C8422" s="216" t="n">
        <v>41.3</v>
      </c>
      <c r="D8422" s="216" t="n">
        <v>1.114913940429688</v>
      </c>
      <c r="E8422" s="215" t="n">
        <v>46029</v>
      </c>
      <c r="F8422" s="215" t="n">
        <v>46029</v>
      </c>
    </row>
    <row r="8423">
      <c r="A8423" s="215" t="n">
        <v>46030</v>
      </c>
      <c r="B8423" s="216" t="n">
        <v>24.22</v>
      </c>
      <c r="C8423" s="216" t="n">
        <v>42.18</v>
      </c>
      <c r="D8423" s="216" t="n">
        <v>1.112563014030457</v>
      </c>
      <c r="E8423" s="215" t="n">
        <v>46030</v>
      </c>
      <c r="F8423" s="215" t="n">
        <v>46030</v>
      </c>
    </row>
    <row r="8424">
      <c r="A8424" s="215" t="n">
        <v>46031</v>
      </c>
      <c r="B8424" s="216" t="n">
        <v>26.1</v>
      </c>
      <c r="C8424" s="216" t="n">
        <v>42.11</v>
      </c>
      <c r="D8424" s="216" t="n">
        <v>1.115561008453369</v>
      </c>
      <c r="E8424" s="215" t="n">
        <v>46031</v>
      </c>
      <c r="F8424" s="215" t="n">
        <v>46031</v>
      </c>
    </row>
    <row r="8425">
      <c r="A8425" s="215" t="n">
        <v>46034</v>
      </c>
      <c r="B8425" s="216" t="n">
        <v>24.98</v>
      </c>
      <c r="C8425" s="216" t="n">
        <v>40.38</v>
      </c>
      <c r="D8425" s="216" t="n">
        <v>1.117015957832336</v>
      </c>
      <c r="E8425" s="215" t="n">
        <v>46034</v>
      </c>
      <c r="F8425" s="215" t="n">
        <v>46034</v>
      </c>
    </row>
    <row r="8426">
      <c r="A8426" s="215" t="n">
        <v>46035</v>
      </c>
      <c r="B8426" s="216" t="n">
        <v>25.28</v>
      </c>
      <c r="C8426" s="216" t="n">
        <v>41.83</v>
      </c>
      <c r="D8426" s="216" t="n">
        <v>1.117892026901245</v>
      </c>
      <c r="E8426" s="215" t="n">
        <v>46035</v>
      </c>
      <c r="F8426" s="215" t="n">
        <v>46035</v>
      </c>
    </row>
    <row r="8427">
      <c r="A8427" s="215" t="n">
        <v>46036</v>
      </c>
      <c r="B8427" s="216" t="n">
        <v>26.12</v>
      </c>
      <c r="C8427" s="216" t="n">
        <v>43.01</v>
      </c>
      <c r="D8427" s="216" t="n">
        <v>1.117897987365723</v>
      </c>
      <c r="E8427" s="215" t="n">
        <v>46036</v>
      </c>
      <c r="F8427" s="215" t="n">
        <v>46036</v>
      </c>
    </row>
    <row r="8428">
      <c r="A8428" s="215" t="n">
        <v>46037</v>
      </c>
      <c r="B8428" s="216" t="n">
        <v>25.72</v>
      </c>
      <c r="C8428" s="216" t="n">
        <v>42.82</v>
      </c>
      <c r="D8428" s="216" t="n">
        <v>1.118072032928467</v>
      </c>
      <c r="E8428" s="215" t="n">
        <v>46037</v>
      </c>
      <c r="F8428" s="215" t="n">
        <v>46037</v>
      </c>
    </row>
    <row r="8429">
      <c r="A8429" s="215" t="n">
        <v>46038</v>
      </c>
      <c r="B8429" s="216" t="n">
        <v>25.68</v>
      </c>
      <c r="C8429" s="216" t="n">
        <v>42.03</v>
      </c>
      <c r="D8429" s="216" t="n">
        <v>1.119040012359619</v>
      </c>
      <c r="E8429" s="215" t="n">
        <v>46038</v>
      </c>
      <c r="F8429" s="215" t="n">
        <v>46038</v>
      </c>
    </row>
    <row r="8430">
      <c r="A8430" s="215" t="n">
        <v>46041</v>
      </c>
      <c r="B8430" s="216" t="n">
        <v>25.72</v>
      </c>
      <c r="C8430" s="216" t="n">
        <v>41.88</v>
      </c>
      <c r="D8430" s="216" t="n">
        <v>1.118916034698486</v>
      </c>
      <c r="E8430" s="215" t="n">
        <v>46041</v>
      </c>
      <c r="F8430" s="215" t="n">
        <v>46041</v>
      </c>
    </row>
    <row r="8431">
      <c r="A8431" s="215" t="n">
        <v>46042</v>
      </c>
      <c r="B8431" s="216" t="n">
        <v>24.9</v>
      </c>
      <c r="C8431" s="216" t="n">
        <v>40.25</v>
      </c>
      <c r="D8431" s="216" t="n">
        <v>1.118687987327576</v>
      </c>
      <c r="E8431" s="215" t="n">
        <v>46042</v>
      </c>
      <c r="F8431" s="215" t="n">
        <v>46042</v>
      </c>
    </row>
    <row r="8432">
      <c r="A8432" s="215" t="n">
        <v>46043</v>
      </c>
      <c r="B8432" s="216" t="n">
        <v>25.16</v>
      </c>
      <c r="C8432" s="216" t="n">
        <v>40.7</v>
      </c>
      <c r="D8432" s="216" t="n">
        <v>1.12024998664856</v>
      </c>
      <c r="E8432" s="215" t="n">
        <v>46043</v>
      </c>
      <c r="F8432" s="215" t="n">
        <v>46043</v>
      </c>
    </row>
    <row r="8433">
      <c r="A8433" s="215" t="n">
        <v>46044</v>
      </c>
      <c r="B8433" s="216" t="n">
        <v>24.5</v>
      </c>
      <c r="C8433" s="216" t="n">
        <v>39.78</v>
      </c>
      <c r="D8433" s="216" t="n">
        <v>1.11942195892334</v>
      </c>
      <c r="E8433" s="215" t="n">
        <v>46044</v>
      </c>
      <c r="F8433" s="215" t="n">
        <v>46044</v>
      </c>
    </row>
    <row r="8434">
      <c r="A8434" s="215" t="n">
        <v>46045</v>
      </c>
      <c r="B8434" s="216" t="n">
        <v>25.66</v>
      </c>
      <c r="C8434" s="216" t="n">
        <v>41.07</v>
      </c>
      <c r="D8434" s="216" t="n">
        <v>1.117977976799011</v>
      </c>
      <c r="E8434" s="215" t="n">
        <v>46045</v>
      </c>
      <c r="F8434" s="215" t="n">
        <v>46045</v>
      </c>
    </row>
    <row r="8435">
      <c r="A8435" s="215" t="n">
        <v>46048</v>
      </c>
      <c r="B8435" s="216" t="n">
        <v>25.74</v>
      </c>
      <c r="C8435" s="216" t="n">
        <v>41.39</v>
      </c>
      <c r="D8435" s="216" t="n">
        <v>1.117916941642761</v>
      </c>
      <c r="E8435" s="215" t="n">
        <v>46048</v>
      </c>
      <c r="F8435" s="215" t="n">
        <v>46048</v>
      </c>
    </row>
    <row r="8436">
      <c r="A8436" s="215" t="n">
        <v>46049</v>
      </c>
      <c r="B8436" s="216" t="n">
        <v>23.96</v>
      </c>
      <c r="C8436" s="216" t="n">
        <v>38.64</v>
      </c>
      <c r="D8436" s="216" t="n">
        <v>1.121191024780273</v>
      </c>
      <c r="E8436" s="215" t="n">
        <v>46049</v>
      </c>
      <c r="F8436" s="215" t="n">
        <v>46049</v>
      </c>
    </row>
    <row r="8437">
      <c r="A8437" s="215" t="n">
        <v>46050</v>
      </c>
      <c r="B8437" s="216" t="n">
        <v>23.42</v>
      </c>
      <c r="C8437" s="216" t="n">
        <v>37.93</v>
      </c>
      <c r="D8437" s="216" t="n">
        <v>1.121533036231995</v>
      </c>
      <c r="E8437" s="215" t="n">
        <v>46050</v>
      </c>
      <c r="F8437" s="215" t="n">
        <v>46050</v>
      </c>
    </row>
    <row r="8438">
      <c r="A8438" s="215" t="n">
        <v>46051</v>
      </c>
      <c r="B8438" s="216" t="n">
        <v>23.3</v>
      </c>
      <c r="C8438" s="216" t="n">
        <v>37.41</v>
      </c>
      <c r="D8438" s="216" t="n">
        <v>1.121621966362</v>
      </c>
      <c r="E8438" s="215" t="n">
        <v>46051</v>
      </c>
      <c r="F8438" s="215" t="n">
        <v>46051</v>
      </c>
    </row>
    <row r="8439">
      <c r="A8439" s="215" t="n">
        <v>46052</v>
      </c>
      <c r="B8439" s="216" t="n">
        <v>24.32</v>
      </c>
      <c r="C8439" s="216" t="n">
        <v>38.01</v>
      </c>
      <c r="D8439" s="216" t="n">
        <v>1.123343944549561</v>
      </c>
      <c r="E8439" s="215" t="n">
        <v>46052</v>
      </c>
      <c r="F8439" s="215" t="n">
        <v>46052</v>
      </c>
    </row>
    <row r="8440">
      <c r="A8440" s="215" t="n">
        <v>46055</v>
      </c>
      <c r="B8440" s="216" t="n">
        <v>21.68</v>
      </c>
      <c r="C8440" s="216" t="n">
        <v>35.86</v>
      </c>
      <c r="D8440" s="216" t="n">
        <v>1.123572945594788</v>
      </c>
      <c r="E8440" s="215" t="n">
        <v>46055</v>
      </c>
      <c r="F8440" s="215" t="n">
        <v>46055</v>
      </c>
    </row>
    <row r="8441">
      <c r="A8441" s="215" t="n">
        <v>46056</v>
      </c>
      <c r="B8441" s="216" t="n">
        <v>22.14</v>
      </c>
      <c r="C8441" s="216" t="n">
        <v>37.78</v>
      </c>
      <c r="D8441" s="216" t="n">
        <v>1.124274969100952</v>
      </c>
      <c r="E8441" s="215" t="n">
        <v>46056</v>
      </c>
      <c r="F8441" s="215" t="n">
        <v>46056</v>
      </c>
    </row>
    <row r="8442">
      <c r="A8442" s="215" t="n">
        <v>46057</v>
      </c>
      <c r="B8442" s="216" t="n">
        <v>22.56</v>
      </c>
      <c r="C8442" s="216" t="n">
        <v>38.02</v>
      </c>
      <c r="D8442" s="216" t="n">
        <v>1.12601101398468</v>
      </c>
      <c r="E8442" s="215" t="n">
        <v>46057</v>
      </c>
      <c r="F8442" s="215" t="n">
        <v>46057</v>
      </c>
    </row>
    <row r="8443">
      <c r="A8443" s="215" t="n">
        <v>46058</v>
      </c>
      <c r="B8443" s="216" t="n">
        <v>22.18</v>
      </c>
      <c r="C8443" s="216" t="n">
        <v>37.46</v>
      </c>
      <c r="D8443" s="216" t="n">
        <v>1.125892996788025</v>
      </c>
      <c r="E8443" s="215" t="n">
        <v>46058</v>
      </c>
      <c r="F8443" s="215" t="n">
        <v>46058</v>
      </c>
    </row>
    <row r="8444">
      <c r="A8444" s="215" t="n">
        <v>46059</v>
      </c>
      <c r="B8444" s="216" t="n">
        <v>22.56</v>
      </c>
      <c r="C8444" s="216" t="n">
        <v>37.81</v>
      </c>
      <c r="D8444" s="216" t="n">
        <v>1.126062035560608</v>
      </c>
      <c r="E8444" s="215" t="n">
        <v>46059</v>
      </c>
      <c r="F8444" s="215" t="n">
        <v>46059</v>
      </c>
    </row>
    <row r="8445">
      <c r="A8445" s="215" t="n">
        <v>46062</v>
      </c>
      <c r="B8445" s="216" t="n">
        <v>22.48</v>
      </c>
      <c r="C8445" s="216" t="n">
        <v>37.3</v>
      </c>
      <c r="D8445" s="216" t="n">
        <v>1.125753998756409</v>
      </c>
      <c r="E8445" s="215" t="n">
        <v>46062</v>
      </c>
      <c r="F8445" s="215" t="n">
        <v>46062</v>
      </c>
    </row>
    <row r="8446">
      <c r="A8446" s="215" t="n">
        <v>46063</v>
      </c>
      <c r="B8446" s="216" t="n">
        <v>22.78</v>
      </c>
      <c r="C8446" s="216" t="n">
        <v>37.32</v>
      </c>
      <c r="D8446" s="216" t="n">
        <v>1.129003047943115</v>
      </c>
      <c r="E8446" s="215" t="n">
        <v>46063</v>
      </c>
      <c r="F8446" s="215" t="n">
        <v>46063</v>
      </c>
    </row>
    <row r="8447">
      <c r="A8447" s="215" t="n">
        <v>46064</v>
      </c>
      <c r="B8447" s="216" t="n">
        <v>22.62</v>
      </c>
      <c r="C8447" s="216" t="n">
        <v>37.06</v>
      </c>
      <c r="D8447" s="216" t="n">
        <v>1.130962014198303</v>
      </c>
      <c r="E8447" s="215" t="n">
        <v>46064</v>
      </c>
      <c r="F8447" s="215" t="n">
        <v>46064</v>
      </c>
    </row>
    <row r="8448">
      <c r="A8448" s="215" t="n">
        <v>46065</v>
      </c>
      <c r="B8448" s="216" t="n">
        <v>22.44</v>
      </c>
      <c r="C8448" s="216" t="n">
        <v>37.6</v>
      </c>
      <c r="D8448" s="216" t="n">
        <v>1.130671977996826</v>
      </c>
      <c r="E8448" s="215" t="n">
        <v>46065</v>
      </c>
      <c r="F8448" s="215" t="n">
        <v>46065</v>
      </c>
    </row>
    <row r="8449">
      <c r="A8449" s="215" t="n">
        <v>46066</v>
      </c>
      <c r="B8449" s="216" t="n">
        <v>21.58</v>
      </c>
      <c r="C8449" s="216" t="n">
        <v>36.06</v>
      </c>
      <c r="D8449" s="216" t="n">
        <v>1.132490992546082</v>
      </c>
      <c r="E8449" s="215" t="n">
        <v>46066</v>
      </c>
      <c r="F8449" s="215" t="n">
        <v>46066</v>
      </c>
    </row>
    <row r="8450">
      <c r="A8450" s="215" t="n">
        <v>46069</v>
      </c>
      <c r="B8450" s="216" t="n">
        <v>22.12</v>
      </c>
      <c r="C8450" s="216" t="n">
        <v>36.06</v>
      </c>
      <c r="D8450" s="216" t="n">
        <v>1.131224036216736</v>
      </c>
      <c r="E8450" s="215" t="n">
        <v>46066</v>
      </c>
      <c r="F8450" s="215" t="n">
        <v>46069</v>
      </c>
    </row>
    <row r="8451">
      <c r="A8451" s="215" t="n">
        <v>46073</v>
      </c>
      <c r="B8451" s="216" t="n">
        <v>21.62</v>
      </c>
      <c r="C8451" s="216" t="n">
        <v>36.06</v>
      </c>
      <c r="D8451" s="216" t="n">
        <v>1.131005048751831</v>
      </c>
      <c r="E8451" s="215" t="n">
        <v>46066</v>
      </c>
      <c r="F8451" s="215" t="n">
        <v>46073</v>
      </c>
    </row>
    <row r="8452">
      <c r="A8452" s="215" t="n">
        <v>46076</v>
      </c>
      <c r="B8452" s="216" t="n">
        <v>22</v>
      </c>
      <c r="C8452" s="216" t="n">
        <v>36.06</v>
      </c>
      <c r="D8452" s="216" t="n">
        <v>1.130877017974854</v>
      </c>
      <c r="E8452" s="215" t="n">
        <v>46066</v>
      </c>
      <c r="F8452" s="215" t="n">
        <v>46076</v>
      </c>
    </row>
    <row r="8453">
      <c r="A8453" s="215" t="n">
        <v>46077</v>
      </c>
      <c r="B8453" s="216" t="n">
        <v>20.38</v>
      </c>
      <c r="C8453" s="216" t="n">
        <v>34.77</v>
      </c>
      <c r="D8453" s="216" t="n">
        <v>1.131631016731262</v>
      </c>
      <c r="E8453" s="215" t="n">
        <v>46077</v>
      </c>
      <c r="F8453" s="215" t="n">
        <v>46077</v>
      </c>
    </row>
    <row r="8454">
      <c r="A8454" s="215" t="n">
        <v>46078</v>
      </c>
      <c r="B8454" s="216" t="n">
        <v>20.7</v>
      </c>
      <c r="C8454" s="216" t="n">
        <v>35.23</v>
      </c>
      <c r="D8454" s="216" t="n">
        <v>1.136234045028687</v>
      </c>
      <c r="E8454" s="215" t="n">
        <v>46078</v>
      </c>
      <c r="F8454" s="215" t="n">
        <v>46078</v>
      </c>
    </row>
    <row r="8455">
      <c r="A8455" s="215" t="n">
        <v>46079</v>
      </c>
      <c r="B8455" s="216" t="n">
        <v>20.2</v>
      </c>
      <c r="C8455" s="216" t="n">
        <v>35.92</v>
      </c>
      <c r="D8455" s="216" t="n">
        <v>1.138198971748352</v>
      </c>
      <c r="E8455" s="215" t="n">
        <v>46079</v>
      </c>
      <c r="F8455" s="215" t="n">
        <v>46079</v>
      </c>
    </row>
    <row r="8456">
      <c r="A8456" s="215" t="n">
        <v>46080</v>
      </c>
      <c r="B8456" s="216" t="n">
        <v>21.4</v>
      </c>
      <c r="C8456" s="216" t="n">
        <v>36.73</v>
      </c>
      <c r="D8456" s="216" t="n">
        <v>1.143396973609924</v>
      </c>
      <c r="E8456" s="215" t="n">
        <v>46080</v>
      </c>
      <c r="F8456" s="215" t="n">
        <v>46080</v>
      </c>
    </row>
    <row r="8457">
      <c r="A8457" s="215" t="n">
        <v>46083</v>
      </c>
      <c r="B8457" s="216" t="n">
        <v>19.74</v>
      </c>
      <c r="C8457" s="216" t="n">
        <v>35.08</v>
      </c>
      <c r="D8457" s="216" t="n">
        <v>1.140552043914795</v>
      </c>
      <c r="E8457" s="215" t="n">
        <v>46083</v>
      </c>
      <c r="F8457" s="215" t="n">
        <v>46083</v>
      </c>
    </row>
    <row r="8458">
      <c r="A8458" s="215" t="n">
        <v>46084</v>
      </c>
      <c r="B8458" s="216" t="n">
        <v>18.33</v>
      </c>
      <c r="C8458" s="216" t="n">
        <v>31.82</v>
      </c>
      <c r="D8458" s="216" t="n">
        <v>1.136399984359741</v>
      </c>
      <c r="E8458" s="215" t="n">
        <v>46084</v>
      </c>
      <c r="F8458" s="215" t="n">
        <v>46084</v>
      </c>
    </row>
    <row r="8459">
      <c r="A8459" s="215" t="n">
        <v>46085</v>
      </c>
      <c r="B8459" s="216" t="n">
        <v>18.76</v>
      </c>
      <c r="C8459" s="216" t="n">
        <v>31.81</v>
      </c>
      <c r="D8459" s="216" t="n">
        <v>1.130928993225098</v>
      </c>
      <c r="E8459" s="215" t="n">
        <v>46085</v>
      </c>
      <c r="F8459" s="215" t="n">
        <v>46085</v>
      </c>
    </row>
    <row r="8460">
      <c r="A8460" s="215" t="n">
        <v>46086</v>
      </c>
      <c r="B8460" s="216" t="n">
        <v>19.16</v>
      </c>
      <c r="C8460" s="216" t="n">
        <v>32.2</v>
      </c>
      <c r="D8460" s="216" t="n">
        <v>1.133169054985046</v>
      </c>
      <c r="E8460" s="215" t="n">
        <v>46086</v>
      </c>
      <c r="F8460" s="215" t="n">
        <v>46086</v>
      </c>
    </row>
    <row r="8461">
      <c r="A8461" s="215" t="n">
        <v>46087</v>
      </c>
      <c r="B8461" s="216" t="n">
        <v>20.12</v>
      </c>
      <c r="C8461" s="216" t="n">
        <v>33.36</v>
      </c>
      <c r="D8461" s="216" t="n">
        <v>1.133442044258118</v>
      </c>
      <c r="E8461" s="215" t="n">
        <v>46087</v>
      </c>
      <c r="F8461" s="215" t="n">
        <v>46087</v>
      </c>
    </row>
    <row r="8462">
      <c r="A8462" s="215" t="n">
        <v>46090</v>
      </c>
      <c r="B8462" s="216" t="n">
        <v>19.42</v>
      </c>
      <c r="C8462" s="216" t="n">
        <v>33.18</v>
      </c>
      <c r="D8462" s="216" t="n">
        <v>1.133231043815613</v>
      </c>
      <c r="E8462" s="215" t="n">
        <v>46090</v>
      </c>
      <c r="F8462" s="215" t="n">
        <v>46090</v>
      </c>
    </row>
    <row r="8463">
      <c r="A8463" s="215" t="n">
        <v>46091</v>
      </c>
      <c r="B8463" s="216" t="n">
        <v>20.34</v>
      </c>
      <c r="C8463" s="216" t="n">
        <v>34.33</v>
      </c>
      <c r="D8463" s="216" t="n">
        <v>1.131595015525818</v>
      </c>
      <c r="E8463" s="215" t="n">
        <v>46091</v>
      </c>
      <c r="F8463" s="215" t="n">
        <v>46091</v>
      </c>
    </row>
    <row r="8464">
      <c r="A8464" s="215" t="n">
        <v>46092</v>
      </c>
      <c r="B8464" s="216" t="n">
        <v>20.78</v>
      </c>
      <c r="C8464" s="216" t="n">
        <v>33.9</v>
      </c>
      <c r="D8464" s="216" t="n">
        <v>1.137585043907166</v>
      </c>
      <c r="E8464" s="215" t="n">
        <v>46092</v>
      </c>
      <c r="F8464" s="215" t="n">
        <v>46092</v>
      </c>
    </row>
    <row r="8465">
      <c r="A8465" s="215" t="n">
        <v>46093</v>
      </c>
      <c r="B8465" s="216" t="n">
        <v>20.64</v>
      </c>
      <c r="C8465" s="216" t="n">
        <v>33.38</v>
      </c>
      <c r="D8465" s="216" t="n">
        <v>1.139600038528442</v>
      </c>
      <c r="E8465" s="215" t="n">
        <v>46093</v>
      </c>
      <c r="F8465" s="215" t="n">
        <v>46093</v>
      </c>
    </row>
    <row r="8466">
      <c r="A8466" s="215" t="n">
        <v>46094</v>
      </c>
      <c r="B8466" s="216" t="n">
        <v>19.45</v>
      </c>
      <c r="C8466" s="216" t="n">
        <v>32.41</v>
      </c>
      <c r="D8466" s="216" t="n">
        <v>1.139310002326965</v>
      </c>
      <c r="E8466" s="215" t="n">
        <v>46094</v>
      </c>
      <c r="F8466" s="215" t="n">
        <v>46094</v>
      </c>
    </row>
    <row r="8467">
      <c r="A8467" s="215" t="n">
        <v>46097</v>
      </c>
      <c r="B8467" s="216" t="n">
        <v>19.01</v>
      </c>
      <c r="C8467" s="216" t="n">
        <v>32.58</v>
      </c>
      <c r="D8467" s="216" t="n">
        <v>1.134883999824524</v>
      </c>
      <c r="E8467" s="215" t="n">
        <v>46097</v>
      </c>
      <c r="F8467" s="215" t="n">
        <v>46097</v>
      </c>
    </row>
    <row r="8468">
      <c r="A8468" s="215" t="n">
        <v>46098</v>
      </c>
      <c r="B8468" s="216" t="n">
        <v>16.78</v>
      </c>
      <c r="C8468" s="216" t="n">
        <v>29.32</v>
      </c>
      <c r="D8468" s="216" t="n">
        <v>1.125375986099243</v>
      </c>
      <c r="E8468" s="215" t="n">
        <v>46098</v>
      </c>
      <c r="F8468" s="215" t="n">
        <v>46098</v>
      </c>
    </row>
    <row r="8469">
      <c r="A8469" s="215" t="n">
        <v>46099</v>
      </c>
      <c r="B8469" s="216" t="n">
        <v>17.11</v>
      </c>
      <c r="C8469" s="216" t="n">
        <v>29.28</v>
      </c>
      <c r="D8469" s="216" t="n">
        <v>1.137819051742554</v>
      </c>
      <c r="E8469" s="215" t="n">
        <v>46099</v>
      </c>
      <c r="F8469" s="215" t="n">
        <v>46099</v>
      </c>
    </row>
    <row r="8470">
      <c r="A8470" s="215" t="n">
        <v>46100</v>
      </c>
      <c r="B8470" s="216" t="n">
        <v>16.7</v>
      </c>
      <c r="C8470" s="216" t="n">
        <v>28.55</v>
      </c>
      <c r="D8470" s="216" t="n">
        <v>1.140079021453857</v>
      </c>
      <c r="E8470" s="215" t="n">
        <v>46100</v>
      </c>
      <c r="F8470" s="215" t="n">
        <v>46100</v>
      </c>
    </row>
    <row r="8471">
      <c r="A8471" s="215" t="n">
        <v>46101</v>
      </c>
      <c r="B8471" s="216" t="n">
        <v>16.5</v>
      </c>
      <c r="C8471" s="216" t="n">
        <v>28.1</v>
      </c>
      <c r="D8471" s="216" t="n">
        <v>1.13490903377533</v>
      </c>
      <c r="E8471" s="215" t="n">
        <v>46101</v>
      </c>
      <c r="F8471" s="215" t="n">
        <v>46101</v>
      </c>
    </row>
    <row r="8472">
      <c r="A8472" s="215" t="n">
        <v>46104</v>
      </c>
      <c r="B8472" s="216" t="n">
        <v>15.71</v>
      </c>
      <c r="C8472" s="216" t="n">
        <v>26.5</v>
      </c>
      <c r="D8472" s="216" t="n">
        <v>1.137529969215393</v>
      </c>
      <c r="E8472" s="215" t="n">
        <v>46104</v>
      </c>
      <c r="F8472" s="215" t="n">
        <v>46104</v>
      </c>
    </row>
    <row r="8473">
      <c r="A8473" s="215" t="n">
        <v>46105</v>
      </c>
      <c r="B8473" s="216" t="n">
        <v>16.24</v>
      </c>
      <c r="C8473" s="216" t="n">
        <v>26.97</v>
      </c>
      <c r="D8473" s="216" t="n">
        <v>1.138481974601746</v>
      </c>
      <c r="E8473" s="215" t="n">
        <v>46105</v>
      </c>
      <c r="F8473" s="215" t="n">
        <v>46105</v>
      </c>
    </row>
    <row r="8474">
      <c r="A8474" s="215" t="n">
        <v>46106</v>
      </c>
      <c r="B8474" s="216" t="n">
        <v>17</v>
      </c>
      <c r="C8474" s="216" t="n">
        <v>28.09</v>
      </c>
      <c r="D8474" s="216" t="n">
        <v>1.135548949241638</v>
      </c>
      <c r="E8474" s="215" t="n">
        <v>46106</v>
      </c>
      <c r="F8474" s="215" t="n">
        <v>46106</v>
      </c>
    </row>
    <row r="8475">
      <c r="A8475" s="215" t="n">
        <v>46107</v>
      </c>
      <c r="B8475" s="216" t="n">
        <v>16.87</v>
      </c>
      <c r="C8475" s="216" t="n">
        <v>27.49</v>
      </c>
      <c r="D8475" s="216" t="n">
        <v>1.132627010345459</v>
      </c>
      <c r="E8475" s="215" t="n">
        <v>46107</v>
      </c>
      <c r="F8475" s="215" t="n">
        <v>46107</v>
      </c>
    </row>
    <row r="8476">
      <c r="A8476" s="215" t="n">
        <v>46108</v>
      </c>
      <c r="B8476" s="216" t="n">
        <v>18.96</v>
      </c>
      <c r="C8476" s="216" t="n">
        <v>30.24</v>
      </c>
      <c r="D8476" s="216" t="n">
        <v>1.132115960121155</v>
      </c>
      <c r="E8476" s="215" t="n">
        <v>46108</v>
      </c>
      <c r="F8476" s="215" t="n">
        <v>46108</v>
      </c>
    </row>
    <row r="8477">
      <c r="A8477" s="215" t="n">
        <v>46111</v>
      </c>
      <c r="B8477" s="216" t="n">
        <v>19.47</v>
      </c>
      <c r="C8477" s="216" t="n">
        <v>32.1</v>
      </c>
      <c r="D8477" s="216" t="n">
        <v>1.13311505317688</v>
      </c>
      <c r="E8477" s="215" t="n">
        <v>46111</v>
      </c>
      <c r="F8477" s="215" t="n">
        <v>46111</v>
      </c>
    </row>
    <row r="8478">
      <c r="A8478" s="215" t="n">
        <v>46112</v>
      </c>
      <c r="B8478" s="216" t="n">
        <v>19.6</v>
      </c>
      <c r="C8478" s="216" t="n">
        <v>34.2</v>
      </c>
      <c r="D8478" s="216" t="n">
        <v>1.133540987968445</v>
      </c>
      <c r="E8478" s="215" t="n">
        <v>46112</v>
      </c>
      <c r="F8478" s="215" t="n">
        <v>46112</v>
      </c>
    </row>
    <row r="8479">
      <c r="A8479" s="215" t="n">
        <v>46113</v>
      </c>
      <c r="B8479" s="216" t="n">
        <v>20.92</v>
      </c>
      <c r="C8479" s="216" t="n">
        <v>36.96</v>
      </c>
      <c r="D8479" s="216" t="n">
        <v>1.136669993400574</v>
      </c>
      <c r="E8479" s="215" t="n">
        <v>46113</v>
      </c>
      <c r="F8479" s="215" t="n">
        <v>46113</v>
      </c>
    </row>
    <row r="8480">
      <c r="A8480" s="215" t="n">
        <v>46114</v>
      </c>
      <c r="B8480" s="216" t="n">
        <v>21.22</v>
      </c>
      <c r="C8480" s="216" t="n">
        <v>36.45</v>
      </c>
      <c r="D8480" s="216" t="n">
        <v>1.140197992324829</v>
      </c>
      <c r="E8480" s="215" t="n">
        <v>46114</v>
      </c>
      <c r="F8480" s="215" t="n">
        <v>46114</v>
      </c>
    </row>
    <row r="8481">
      <c r="A8481" s="215" t="n">
        <v>46120</v>
      </c>
      <c r="B8481" s="216" t="n">
        <v>21.22</v>
      </c>
      <c r="C8481" s="216" t="n">
        <v>35.95</v>
      </c>
      <c r="D8481" s="216" t="n">
        <v>1.1423499584198</v>
      </c>
      <c r="E8481" s="215" t="n">
        <v>46120</v>
      </c>
      <c r="F8481" s="215" t="n">
        <v>46120</v>
      </c>
    </row>
    <row r="8482">
      <c r="A8482" s="215" t="n">
        <v>46121</v>
      </c>
      <c r="B8482" s="216" t="n">
        <v>21.68</v>
      </c>
      <c r="C8482" s="216" t="n">
        <v>37</v>
      </c>
      <c r="D8482" s="216" t="n">
        <v>1.146731972694397</v>
      </c>
      <c r="E8482" s="215" t="n">
        <v>46121</v>
      </c>
      <c r="F8482" s="215" t="n">
        <v>46121</v>
      </c>
    </row>
    <row r="8483">
      <c r="A8483" s="215" t="n">
        <v>46122</v>
      </c>
      <c r="B8483" s="216" t="n">
        <v>22.48</v>
      </c>
      <c r="C8483" s="216" t="n">
        <v>38.28</v>
      </c>
      <c r="D8483" s="216" t="n">
        <v>1.146558046340942</v>
      </c>
      <c r="E8483" s="215" t="n">
        <v>46122</v>
      </c>
      <c r="F8483" s="215" t="n">
        <v>46122</v>
      </c>
    </row>
    <row r="8484">
      <c r="A8484" s="215" t="n">
        <v>46125</v>
      </c>
      <c r="B8484" s="216" t="n">
        <v>21.64</v>
      </c>
      <c r="C8484" s="216" t="n">
        <v>36.34</v>
      </c>
      <c r="D8484" s="216" t="n">
        <v>1.147117972373962</v>
      </c>
      <c r="E8484" s="215" t="n">
        <v>46125</v>
      </c>
      <c r="F8484" s="215" t="n">
        <v>46125</v>
      </c>
    </row>
    <row r="8485">
      <c r="A8485" s="215" t="n">
        <v>46126</v>
      </c>
      <c r="B8485" s="216" t="n">
        <v>22.84</v>
      </c>
      <c r="C8485" s="216" t="n">
        <v>38.38</v>
      </c>
      <c r="D8485" s="216" t="n">
        <v>1.146226048469543</v>
      </c>
      <c r="E8485" s="215" t="n">
        <v>46126</v>
      </c>
      <c r="F8485" s="215" t="n">
        <v>46126</v>
      </c>
    </row>
    <row r="8486">
      <c r="A8486" s="215" t="n">
        <v>46127</v>
      </c>
      <c r="B8486" s="216" t="n">
        <v>22.82</v>
      </c>
      <c r="C8486" s="216" t="n">
        <v>39.27</v>
      </c>
      <c r="D8486" s="216" t="n">
        <v>1.149266004562378</v>
      </c>
      <c r="E8486" s="215" t="n">
        <v>46127</v>
      </c>
      <c r="F8486" s="215" t="n">
        <v>46127</v>
      </c>
    </row>
    <row r="8487">
      <c r="A8487" s="215" t="n">
        <v>46128</v>
      </c>
      <c r="B8487" s="216" t="n">
        <v>23.04</v>
      </c>
      <c r="C8487" s="216" t="n">
        <v>38.53</v>
      </c>
      <c r="D8487" s="216" t="n">
        <v>1.148550033569336</v>
      </c>
      <c r="E8487" s="215" t="n">
        <v>46128</v>
      </c>
      <c r="F8487" s="215" t="n">
        <v>46128</v>
      </c>
    </row>
    <row r="8488">
      <c r="A8488" s="215" t="n">
        <v>46129</v>
      </c>
      <c r="B8488" s="216" t="n">
        <v>21.98</v>
      </c>
      <c r="C8488" s="216" t="n">
        <v>36.93</v>
      </c>
      <c r="D8488" s="216" t="n">
        <v>1.146605014801025</v>
      </c>
      <c r="E8488" s="215" t="n">
        <v>46129</v>
      </c>
      <c r="F8488" s="215" t="n">
        <v>46129</v>
      </c>
    </row>
    <row r="8489">
      <c r="A8489" s="215" t="n">
        <v>46132</v>
      </c>
      <c r="B8489" s="216" t="n">
        <v>22.76</v>
      </c>
      <c r="C8489" s="216" t="n">
        <v>37.66</v>
      </c>
      <c r="D8489" s="216" t="n">
        <v>1.148360967636108</v>
      </c>
      <c r="E8489" s="215" t="n">
        <v>46132</v>
      </c>
      <c r="F8489" s="215" t="n">
        <v>46132</v>
      </c>
    </row>
    <row r="8490">
      <c r="A8490" s="215" t="n">
        <v>46133</v>
      </c>
      <c r="B8490" s="216" t="n">
        <v>22.76</v>
      </c>
      <c r="C8490" s="216" t="n">
        <v>37.38</v>
      </c>
      <c r="D8490" s="216" t="n">
        <v>1.148368000984192</v>
      </c>
      <c r="E8490" s="215" t="n">
        <v>46133</v>
      </c>
      <c r="F8490" s="215" t="n">
        <v>46133</v>
      </c>
    </row>
    <row r="8491">
      <c r="A8491" s="215" t="n">
        <v>46134</v>
      </c>
      <c r="B8491" s="216" t="n">
        <v>23</v>
      </c>
      <c r="C8491" s="216" t="n">
        <v>37.72</v>
      </c>
      <c r="D8491" s="216" t="n">
        <v>1.147838950157166</v>
      </c>
      <c r="E8491" s="215" t="n">
        <v>46134</v>
      </c>
      <c r="F8491" s="215" t="n">
        <v>46134</v>
      </c>
    </row>
    <row r="8492">
      <c r="A8492" s="215" t="n">
        <v>46135</v>
      </c>
      <c r="B8492" s="216" t="n">
        <v>22.08</v>
      </c>
      <c r="C8492" s="216" t="n">
        <v>37.3</v>
      </c>
      <c r="D8492" s="216" t="n">
        <v>1.147513031959534</v>
      </c>
      <c r="E8492" s="215" t="n">
        <v>46135</v>
      </c>
      <c r="F8492" s="215" t="n">
        <v>46135</v>
      </c>
    </row>
    <row r="8493">
      <c r="A8493" s="215" t="n">
        <v>46136</v>
      </c>
      <c r="B8493" s="216" t="n">
        <v>22.12</v>
      </c>
      <c r="C8493" s="216" t="n">
        <v>37.61</v>
      </c>
      <c r="D8493" s="216" t="n">
        <v>1.147369027137756</v>
      </c>
      <c r="E8493" s="215" t="n">
        <v>46136</v>
      </c>
      <c r="F8493" s="215" t="n">
        <v>46136</v>
      </c>
    </row>
    <row r="8494">
      <c r="A8494" s="215" t="n">
        <v>46139</v>
      </c>
      <c r="B8494" s="216" t="n">
        <v>21.6</v>
      </c>
      <c r="C8494" s="216" t="n">
        <v>37.23</v>
      </c>
      <c r="D8494" s="216" t="n">
        <v>1.146002054214478</v>
      </c>
      <c r="E8494" s="215" t="n">
        <v>46139</v>
      </c>
      <c r="F8494" s="215" t="n">
        <v>46139</v>
      </c>
    </row>
    <row r="8495">
      <c r="A8495" s="215" t="n">
        <v>46140</v>
      </c>
      <c r="B8495" s="216" t="n">
        <v>23.6</v>
      </c>
      <c r="C8495" s="216" t="n">
        <v>39.95</v>
      </c>
      <c r="D8495" s="216" t="n">
        <v>1.148522019386292</v>
      </c>
      <c r="E8495" s="215" t="n">
        <v>46140</v>
      </c>
      <c r="F8495" s="215" t="n">
        <v>46140</v>
      </c>
    </row>
    <row r="8496">
      <c r="A8496" s="215" t="n">
        <v>46141</v>
      </c>
      <c r="B8496" s="216" t="n">
        <v>23.26</v>
      </c>
      <c r="C8496" s="216" t="n">
        <v>38.64</v>
      </c>
      <c r="D8496" s="216" t="n">
        <v>1.145936012268066</v>
      </c>
      <c r="E8496" s="215" t="n">
        <v>46141</v>
      </c>
      <c r="F8496" s="215" t="n">
        <v>46141</v>
      </c>
    </row>
    <row r="8497">
      <c r="A8497" s="215" t="n">
        <v>46142</v>
      </c>
      <c r="B8497" s="216" t="n">
        <v>21.5</v>
      </c>
      <c r="C8497" s="216" t="n">
        <v>38.87</v>
      </c>
      <c r="D8497" s="216" t="n">
        <v>1.145792007446289</v>
      </c>
      <c r="E8497" s="215" t="n">
        <v>46142</v>
      </c>
      <c r="F8497" s="215" t="n">
        <v>46142</v>
      </c>
    </row>
    <row r="8498">
      <c r="A8498" s="215" t="n">
        <v>46146</v>
      </c>
      <c r="B8498" s="216" t="n">
        <v>21.04</v>
      </c>
      <c r="C8498" s="216" t="n">
        <v>38.87</v>
      </c>
      <c r="D8498" s="216" t="n">
        <v>1.147340059280396</v>
      </c>
      <c r="E8498" s="215" t="n">
        <v>46142</v>
      </c>
      <c r="F8498" s="215" t="n">
        <v>46146</v>
      </c>
    </row>
    <row r="8499">
      <c r="A8499" s="215" t="n">
        <v>46147</v>
      </c>
      <c r="B8499" s="216" t="n">
        <v>20.62</v>
      </c>
      <c r="C8499" s="216" t="n">
        <v>38.87</v>
      </c>
      <c r="D8499" s="216" t="n">
        <v>1.146813988685608</v>
      </c>
      <c r="E8499" s="215" t="n">
        <v>46142</v>
      </c>
      <c r="F8499" s="215" t="n">
        <v>46147</v>
      </c>
    </row>
    <row r="8500">
      <c r="A8500" s="215" t="n">
        <v>46148</v>
      </c>
      <c r="B8500" s="216" t="n">
        <v>20.88</v>
      </c>
      <c r="C8500" s="216" t="n">
        <v>39.7</v>
      </c>
      <c r="D8500" s="216" t="n">
        <v>1.14708399772644</v>
      </c>
      <c r="E8500" s="215" t="n">
        <v>46148</v>
      </c>
      <c r="F8500" s="215" t="n">
        <v>46148</v>
      </c>
    </row>
    <row r="8501">
      <c r="A8501" s="215" t="n">
        <v>46149</v>
      </c>
      <c r="B8501" s="216" t="n">
        <v>21.72</v>
      </c>
      <c r="C8501" s="216" t="n">
        <v>39.37</v>
      </c>
      <c r="D8501" s="216" t="n">
        <v>1.150125026702881</v>
      </c>
      <c r="E8501" s="215" t="n">
        <v>46149</v>
      </c>
      <c r="F8501" s="215" t="n">
        <v>46149</v>
      </c>
    </row>
    <row r="8502">
      <c r="A8502" s="215" t="n">
        <v>46150</v>
      </c>
      <c r="B8502" s="216" t="n">
        <v>20.5</v>
      </c>
      <c r="C8502" s="216" t="n">
        <v>38.61</v>
      </c>
      <c r="D8502" s="216" t="n">
        <v>1.15172004699707</v>
      </c>
      <c r="E8502" s="215" t="n">
        <v>46150</v>
      </c>
      <c r="F8502" s="215" t="n">
        <v>46150</v>
      </c>
    </row>
    <row r="8503">
      <c r="A8503" s="215" t="n">
        <v>46153</v>
      </c>
      <c r="B8503" s="216" t="n">
        <v>21.34</v>
      </c>
      <c r="C8503" s="216" t="n">
        <v>40.13</v>
      </c>
      <c r="D8503" s="216" t="n">
        <v>1.151090025901794</v>
      </c>
      <c r="E8503" s="215" t="n">
        <v>46153</v>
      </c>
      <c r="F8503" s="215" t="n">
        <v>46153</v>
      </c>
    </row>
    <row r="8504">
      <c r="A8504" s="215" t="n">
        <v>46154</v>
      </c>
      <c r="B8504" s="216" t="n">
        <v>20.84</v>
      </c>
      <c r="C8504" s="216" t="n">
        <v>39.2</v>
      </c>
      <c r="D8504" s="216" t="n">
        <v>1.152078986167908</v>
      </c>
      <c r="E8504" s="215" t="n">
        <v>46154</v>
      </c>
      <c r="F8504" s="215" t="n">
        <v>46154</v>
      </c>
    </row>
    <row r="8505">
      <c r="A8505" s="215" t="n">
        <v>46155</v>
      </c>
      <c r="B8505" s="216" t="n">
        <v>20.58</v>
      </c>
      <c r="C8505" s="216" t="n">
        <v>39.48</v>
      </c>
      <c r="D8505" s="216" t="n">
        <v>1.152537941932678</v>
      </c>
      <c r="E8505" s="215" t="n">
        <v>46155</v>
      </c>
      <c r="F8505" s="215" t="n">
        <v>46155</v>
      </c>
    </row>
    <row r="8506">
      <c r="A8506" s="215" t="n">
        <v>46156</v>
      </c>
      <c r="B8506" s="216" t="n">
        <v>19.81</v>
      </c>
      <c r="C8506" s="216" t="n">
        <v>37.95</v>
      </c>
      <c r="D8506" s="216" t="n">
        <v>1.152662992477417</v>
      </c>
      <c r="E8506" s="215" t="n">
        <v>46156</v>
      </c>
      <c r="F8506" s="215" t="n">
        <v>46156</v>
      </c>
    </row>
    <row r="8507">
      <c r="A8507" s="215" t="n">
        <v>46157</v>
      </c>
      <c r="B8507" s="216" t="n">
        <v>20.52</v>
      </c>
      <c r="C8507" s="216" t="n">
        <v>39.96</v>
      </c>
      <c r="D8507" s="216" t="n">
        <v>1.154320001602173</v>
      </c>
      <c r="E8507" s="215" t="n">
        <v>46157</v>
      </c>
      <c r="F8507" s="215" t="n">
        <v>46157</v>
      </c>
    </row>
    <row r="8508">
      <c r="A8508" s="215" t="n">
        <v>46160</v>
      </c>
      <c r="B8508" s="216" t="n">
        <v>19.73</v>
      </c>
      <c r="C8508" s="216" t="n">
        <v>39.17</v>
      </c>
      <c r="D8508" s="216" t="n">
        <v>1.149821996688843</v>
      </c>
      <c r="E8508" s="215" t="n">
        <v>46160</v>
      </c>
      <c r="F8508" s="215" t="n">
        <v>46160</v>
      </c>
    </row>
    <row r="8509">
      <c r="A8509" s="215" t="n">
        <v>46161</v>
      </c>
      <c r="B8509" s="216" t="n">
        <v>18.99</v>
      </c>
      <c r="C8509" s="216" t="n">
        <v>38.43</v>
      </c>
      <c r="D8509" s="216" t="n">
        <v>1.151532053947449</v>
      </c>
      <c r="E8509" s="215" t="n">
        <v>46161</v>
      </c>
      <c r="F8509" s="215" t="n">
        <v>46161</v>
      </c>
    </row>
    <row r="8510">
      <c r="A8510" s="215" t="n">
        <v>46162</v>
      </c>
      <c r="B8510" s="216" t="n">
        <v>19.63</v>
      </c>
      <c r="C8510" s="216" t="n">
        <v>38.88</v>
      </c>
      <c r="D8510" s="216" t="n">
        <v>1.149292945861816</v>
      </c>
      <c r="E8510" s="215" t="n">
        <v>46162</v>
      </c>
      <c r="F8510" s="215" t="n">
        <v>46162</v>
      </c>
    </row>
    <row r="8511">
      <c r="A8511" s="215" t="n">
        <v>46163</v>
      </c>
      <c r="B8511" s="216" t="n">
        <v>20.68</v>
      </c>
      <c r="C8511" s="216" t="n">
        <v>42.77</v>
      </c>
      <c r="D8511" s="216" t="n">
        <v>1.151231050491333</v>
      </c>
      <c r="E8511" s="215" t="n">
        <v>46163</v>
      </c>
      <c r="F8511" s="215" t="n">
        <v>46163</v>
      </c>
    </row>
    <row r="8512">
      <c r="A8512" s="215" t="n">
        <v>46164</v>
      </c>
      <c r="B8512" s="216" t="n">
        <v>19.86</v>
      </c>
      <c r="C8512" s="216" t="n">
        <v>41.35</v>
      </c>
      <c r="D8512" s="216" t="n">
        <v>1.151487946510315</v>
      </c>
      <c r="E8512" s="215" t="n">
        <v>46164</v>
      </c>
      <c r="F8512" s="215" t="n">
        <v>46164</v>
      </c>
    </row>
    <row r="8513">
      <c r="A8513" s="215" t="n">
        <v>46168</v>
      </c>
      <c r="B8513" s="216" t="n">
        <v>18.94</v>
      </c>
      <c r="C8513" s="216" t="n">
        <v>37.48</v>
      </c>
      <c r="D8513" s="216" t="n">
        <v>1.152968049049377</v>
      </c>
      <c r="E8513" s="215" t="n">
        <v>46168</v>
      </c>
      <c r="F8513" s="215" t="n">
        <v>46168</v>
      </c>
    </row>
    <row r="8514">
      <c r="A8514" s="215" t="n">
        <v>46169</v>
      </c>
      <c r="B8514" s="216" t="n">
        <v>18.28</v>
      </c>
      <c r="C8514" s="216" t="n">
        <v>36.84</v>
      </c>
      <c r="D8514" s="216" t="n">
        <v>1.154562950134277</v>
      </c>
      <c r="E8514" s="215" t="n">
        <v>46169</v>
      </c>
      <c r="F8514" s="215" t="n">
        <v>46169</v>
      </c>
    </row>
    <row r="8515">
      <c r="A8515" s="215" t="n">
        <v>46170</v>
      </c>
      <c r="B8515" s="216" t="n">
        <v>17.75</v>
      </c>
      <c r="C8515" s="216" t="n">
        <v>36.46</v>
      </c>
      <c r="D8515" s="216" t="n">
        <v>1.155385971069336</v>
      </c>
      <c r="E8515" s="215" t="n">
        <v>46170</v>
      </c>
      <c r="F8515" s="215" t="n">
        <v>46170</v>
      </c>
    </row>
    <row r="8516">
      <c r="A8516" s="215" t="n">
        <v>46171</v>
      </c>
      <c r="B8516" s="216" t="n">
        <v>17.99</v>
      </c>
      <c r="C8516" s="216" t="n">
        <v>35.17</v>
      </c>
      <c r="D8516" s="216" t="n">
        <v>1.155282974243164</v>
      </c>
      <c r="E8516" s="215" t="n">
        <v>46171</v>
      </c>
      <c r="F8516" s="215" t="n">
        <v>46171</v>
      </c>
    </row>
    <row r="8517">
      <c r="A8517" s="215" t="n">
        <v>46174</v>
      </c>
      <c r="B8517" s="216" t="n">
        <v>17.47</v>
      </c>
      <c r="C8517" s="216" t="n">
        <v>33.56</v>
      </c>
      <c r="D8517" s="216" t="n">
        <v>1.158049941062927</v>
      </c>
      <c r="E8517" s="215" t="n">
        <v>46174</v>
      </c>
      <c r="F8517" s="215" t="n">
        <v>46174</v>
      </c>
    </row>
    <row r="8518">
      <c r="A8518" s="215" t="n">
        <v>46175</v>
      </c>
      <c r="B8518" s="216" t="n">
        <v>17.63</v>
      </c>
      <c r="C8518" s="216" t="n">
        <v>32.97</v>
      </c>
      <c r="D8518" s="216" t="n">
        <v>1.158406972885132</v>
      </c>
      <c r="E8518" s="215" t="n">
        <v>46175</v>
      </c>
      <c r="F8518" s="215" t="n">
        <v>46175</v>
      </c>
    </row>
    <row r="8519">
      <c r="A8519" s="215" t="n">
        <v>46176</v>
      </c>
      <c r="B8519" s="216" t="n">
        <v>18.18</v>
      </c>
      <c r="C8519" s="216" t="n">
        <v>33.71</v>
      </c>
      <c r="D8519" s="216" t="n">
        <v>1.15879499912262</v>
      </c>
      <c r="E8519" s="215" t="n">
        <v>46176</v>
      </c>
      <c r="F8519" s="215" t="n">
        <v>46176</v>
      </c>
    </row>
    <row r="8520">
      <c r="A8520" s="215" t="n">
        <v>46177</v>
      </c>
      <c r="B8520" s="216" t="n">
        <v>17.42</v>
      </c>
      <c r="C8520" s="216" t="n">
        <v>33.42</v>
      </c>
      <c r="D8520" s="216" t="n">
        <v>1.157420039176941</v>
      </c>
      <c r="E8520" s="215" t="n">
        <v>46177</v>
      </c>
      <c r="F8520" s="215" t="n">
        <v>46177</v>
      </c>
    </row>
    <row r="8521">
      <c r="A8521" s="215" t="n">
        <v>46178</v>
      </c>
      <c r="B8521" s="216" t="n">
        <v>17</v>
      </c>
      <c r="C8521" s="216" t="n">
        <v>32.6</v>
      </c>
      <c r="D8521" s="216" t="n">
        <v>1.156491994857788</v>
      </c>
      <c r="E8521" s="215" t="n">
        <v>46178</v>
      </c>
      <c r="F8521" s="215" t="n">
        <v>46178</v>
      </c>
    </row>
    <row r="8522">
      <c r="A8522" s="215" t="n">
        <v>46181</v>
      </c>
      <c r="B8522" s="216" t="n">
        <v>15.91</v>
      </c>
      <c r="C8522" s="216" t="n">
        <v>31.37</v>
      </c>
      <c r="D8522" s="216" t="n">
        <v>1.157665967941284</v>
      </c>
      <c r="E8522" s="215" t="n">
        <v>46181</v>
      </c>
      <c r="F8522" s="215" t="n">
        <v>46181</v>
      </c>
    </row>
    <row r="8523">
      <c r="A8523" s="215" t="n">
        <v>46182</v>
      </c>
      <c r="B8523" s="216" t="n">
        <v>16.23</v>
      </c>
      <c r="C8523" s="216" t="n">
        <v>31.43</v>
      </c>
      <c r="D8523" s="216" t="n">
        <v>1.158027052879333</v>
      </c>
      <c r="E8523" s="215" t="n">
        <v>46182</v>
      </c>
      <c r="F8523" s="215" t="n">
        <v>46182</v>
      </c>
    </row>
    <row r="8524">
      <c r="A8524" s="215" t="n">
        <v>46183</v>
      </c>
      <c r="B8524" s="216" t="n">
        <v>16.5</v>
      </c>
      <c r="C8524" s="216" t="n">
        <v>31.91</v>
      </c>
      <c r="D8524" s="216" t="n">
        <v>1.157112002372742</v>
      </c>
      <c r="E8524" s="215" t="n">
        <v>46183</v>
      </c>
      <c r="F8524" s="215" t="n">
        <v>46183</v>
      </c>
    </row>
    <row r="8525">
      <c r="A8525" s="215" t="n">
        <v>46184</v>
      </c>
      <c r="B8525" s="216" t="n">
        <v>16.07</v>
      </c>
      <c r="C8525" s="216" t="n">
        <v>31.39</v>
      </c>
      <c r="D8525" s="216" t="n">
        <v>1.156929016113281</v>
      </c>
      <c r="E8525" s="215" t="n">
        <v>46184</v>
      </c>
      <c r="F8525" s="215" t="n">
        <v>46184</v>
      </c>
    </row>
    <row r="8526">
      <c r="A8526" s="215" t="n">
        <v>46185</v>
      </c>
      <c r="B8526" s="216" t="n">
        <v>16.42</v>
      </c>
      <c r="C8526" s="216" t="n">
        <v>32.52</v>
      </c>
      <c r="D8526" s="216" t="n">
        <v>1.156345963478088</v>
      </c>
      <c r="E8526" s="215" t="n">
        <v>46185</v>
      </c>
      <c r="F8526" s="215" t="n">
        <v>46185</v>
      </c>
    </row>
    <row r="8527">
      <c r="A8527" s="215" t="n">
        <v>46188</v>
      </c>
      <c r="B8527" s="216" t="n">
        <v>16.53</v>
      </c>
      <c r="C8527" s="216" t="n">
        <v>32.74</v>
      </c>
      <c r="D8527" s="216" t="n">
        <v>1.156880021095276</v>
      </c>
      <c r="E8527" s="215" t="n">
        <v>46188</v>
      </c>
      <c r="F8527" s="215" t="n">
        <v>46188</v>
      </c>
    </row>
    <row r="8528">
      <c r="A8528" s="215" t="n">
        <v>46189</v>
      </c>
      <c r="B8528" s="216" t="n">
        <v>16.32</v>
      </c>
      <c r="C8528" s="216" t="n">
        <v>32.38</v>
      </c>
      <c r="D8528" s="216" t="n">
        <v>1.158604025840759</v>
      </c>
      <c r="E8528" s="215" t="n">
        <v>46189</v>
      </c>
      <c r="F8528" s="215" t="n">
        <v>46189</v>
      </c>
    </row>
    <row r="8529">
      <c r="A8529" s="215" t="n">
        <v>46190</v>
      </c>
      <c r="B8529" s="216" t="n">
        <v>16.34</v>
      </c>
      <c r="C8529" s="216" t="n">
        <v>32.42</v>
      </c>
      <c r="D8529" s="216" t="n">
        <v>1.158974051475525</v>
      </c>
      <c r="E8529" s="215" t="n">
        <v>46190</v>
      </c>
      <c r="F8529" s="215" t="n">
        <v>46190</v>
      </c>
    </row>
    <row r="8530">
      <c r="A8530" s="215" t="n">
        <v>46191</v>
      </c>
      <c r="B8530" s="216" t="n">
        <v>17.44</v>
      </c>
      <c r="C8530" s="216" t="n">
        <v>35.66</v>
      </c>
      <c r="D8530" s="216" t="n">
        <v>1.159355998039246</v>
      </c>
      <c r="E8530" s="215" t="n">
        <v>46191</v>
      </c>
      <c r="F8530" s="215" t="n">
        <v>46191</v>
      </c>
    </row>
    <row r="8531">
      <c r="A8531" s="215" t="n">
        <v>46195</v>
      </c>
      <c r="B8531" s="216" t="n">
        <v>16.82</v>
      </c>
      <c r="C8531" s="216" t="n">
        <v>36.67</v>
      </c>
      <c r="D8531" s="216" t="n">
        <v>1.157493948936462</v>
      </c>
      <c r="E8531" s="215" t="n">
        <v>46195</v>
      </c>
      <c r="F8531" s="215" t="n">
        <v>46195</v>
      </c>
    </row>
    <row r="8532">
      <c r="A8532" s="215" t="n">
        <v>46196</v>
      </c>
      <c r="B8532" s="216" t="n">
        <v>16.77</v>
      </c>
      <c r="C8532" s="216" t="n">
        <v>36.53</v>
      </c>
      <c r="D8532" s="216" t="n">
        <v>1.156896948814392</v>
      </c>
      <c r="E8532" s="215" t="n">
        <v>46196</v>
      </c>
      <c r="F8532" s="215" t="n">
        <v>46196</v>
      </c>
    </row>
    <row r="8533">
      <c r="A8533" s="215" t="n">
        <v>46197</v>
      </c>
      <c r="B8533" s="216" t="n">
        <v>17.14</v>
      </c>
      <c r="C8533" s="216" t="n">
        <v>38.08</v>
      </c>
      <c r="D8533" s="216" t="n">
        <v>1.154508948326111</v>
      </c>
      <c r="E8533" s="215" t="n">
        <v>46197</v>
      </c>
      <c r="F8533" s="215" t="n">
        <v>46197</v>
      </c>
    </row>
    <row r="8534">
      <c r="A8534" s="215" t="n">
        <v>46198</v>
      </c>
      <c r="B8534" s="216" t="n">
        <v>17.7</v>
      </c>
      <c r="C8534" s="216" t="n">
        <v>38.61</v>
      </c>
      <c r="D8534" s="216" t="n">
        <v>1.154152035713196</v>
      </c>
      <c r="E8534" s="215" t="n">
        <v>46198</v>
      </c>
      <c r="F8534" s="215" t="n">
        <v>46198</v>
      </c>
    </row>
    <row r="8535">
      <c r="A8535" s="215" t="n">
        <v>46199</v>
      </c>
      <c r="B8535" s="216" t="n">
        <v>18.12</v>
      </c>
      <c r="C8535" s="216" t="n">
        <v>37.08</v>
      </c>
      <c r="D8535" s="216" t="n">
        <v>1.154500961303711</v>
      </c>
      <c r="E8535" s="215" t="n">
        <v>46199</v>
      </c>
      <c r="F8535" s="215" t="n">
        <v>46199</v>
      </c>
    </row>
    <row r="8536">
      <c r="A8536" s="215" t="n">
        <v>46202</v>
      </c>
      <c r="B8536" s="216" t="n">
        <v>19.5</v>
      </c>
      <c r="C8536" s="216" t="n">
        <v>39.6</v>
      </c>
      <c r="D8536" s="216" t="n">
        <v>1.153512001037598</v>
      </c>
      <c r="E8536" s="215" t="n">
        <v>46202</v>
      </c>
      <c r="F8536" s="215" t="n">
        <v>46202</v>
      </c>
    </row>
    <row r="8537">
      <c r="A8537" s="215" t="n">
        <v>46203</v>
      </c>
      <c r="B8537" s="216" t="n">
        <v>18.59</v>
      </c>
      <c r="C8537" s="216" t="n">
        <v>38.22</v>
      </c>
      <c r="D8537" s="216" t="n">
        <v>1.153959035873413</v>
      </c>
      <c r="E8537" s="215" t="n">
        <v>46203</v>
      </c>
      <c r="F8537" s="215" t="n">
        <v>46203</v>
      </c>
    </row>
    <row r="8538">
      <c r="A8538" s="215" t="n">
        <v>46205</v>
      </c>
      <c r="B8538" s="216" t="n">
        <v>19</v>
      </c>
      <c r="C8538" s="216" t="n">
        <v>39.62</v>
      </c>
      <c r="D8538" s="216" t="n">
        <v>1.154355049133301</v>
      </c>
      <c r="E8538" s="215" t="n">
        <v>46205</v>
      </c>
      <c r="F8538" s="215" t="n">
        <v>46205</v>
      </c>
    </row>
    <row r="8539">
      <c r="A8539" s="215" t="n">
        <v>46206</v>
      </c>
      <c r="B8539" s="216" t="n">
        <v>19.49</v>
      </c>
      <c r="C8539" s="216" t="n">
        <v>40.56</v>
      </c>
      <c r="D8539" s="216" t="n">
        <v>1.155220985412598</v>
      </c>
      <c r="E8539" s="215" t="n">
        <v>46206</v>
      </c>
      <c r="F8539" s="215" t="n">
        <v>46206</v>
      </c>
    </row>
    <row r="8540">
      <c r="A8540" s="215" t="n">
        <v>46209</v>
      </c>
      <c r="B8540" s="216" t="n">
        <v>19.7</v>
      </c>
      <c r="C8540" s="216" t="n">
        <v>41.24</v>
      </c>
      <c r="D8540" s="216" t="n">
        <v>1.155068039894104</v>
      </c>
      <c r="E8540" s="215" t="n">
        <v>46209</v>
      </c>
      <c r="F8540" s="215" t="n">
        <v>46209</v>
      </c>
    </row>
    <row r="8541">
      <c r="A8541" s="215" t="n">
        <v>46210</v>
      </c>
      <c r="B8541" s="216" t="n">
        <v>18.5</v>
      </c>
      <c r="C8541" s="216" t="n">
        <v>39.23</v>
      </c>
      <c r="D8541" s="216" t="n">
        <v>1.153807997703552</v>
      </c>
      <c r="E8541" s="215" t="n">
        <v>46210</v>
      </c>
      <c r="F8541" s="215" t="n">
        <v>46210</v>
      </c>
    </row>
    <row r="8542">
      <c r="A8542" s="215" t="n">
        <v>46211</v>
      </c>
      <c r="B8542" s="216" t="n">
        <v>17.97</v>
      </c>
      <c r="C8542" s="216" t="n">
        <v>37.9</v>
      </c>
      <c r="D8542" s="216" t="n">
        <v>1.154153943061829</v>
      </c>
      <c r="E8542" s="215" t="n">
        <v>46211</v>
      </c>
      <c r="F8542" s="215" t="n">
        <v>46211</v>
      </c>
    </row>
    <row r="8543">
      <c r="A8543" s="215" t="n">
        <v>46212</v>
      </c>
      <c r="B8543" s="216" t="n">
        <v>18.23</v>
      </c>
      <c r="C8543" s="216" t="n">
        <v>39.29</v>
      </c>
      <c r="D8543" s="216" t="n">
        <v>1.152119994163513</v>
      </c>
      <c r="E8543" s="215" t="n">
        <v>46212</v>
      </c>
      <c r="F8543" s="215" t="n">
        <v>46212</v>
      </c>
    </row>
    <row r="8544">
      <c r="A8544" s="215" t="n">
        <v>46213</v>
      </c>
      <c r="B8544" s="216" t="n">
        <v>20.32</v>
      </c>
      <c r="C8544" s="216" t="n">
        <v>43.22</v>
      </c>
      <c r="D8544" s="216" t="n">
        <v>1.153550028800964</v>
      </c>
      <c r="E8544" s="215" t="n">
        <v>46213</v>
      </c>
      <c r="F8544" s="215" t="n">
        <v>46213</v>
      </c>
    </row>
    <row r="8545">
      <c r="A8545" s="215" t="n">
        <v>46216</v>
      </c>
      <c r="B8545" s="216" t="n">
        <v>20.62</v>
      </c>
      <c r="C8545" s="216" t="n">
        <v>43.01</v>
      </c>
      <c r="D8545" s="216" t="n">
        <v>1.156761050224304</v>
      </c>
      <c r="E8545" s="215" t="n">
        <v>46216</v>
      </c>
      <c r="F8545" s="215" t="n">
        <v>46216</v>
      </c>
    </row>
    <row r="8546">
      <c r="A8546" s="215" t="n">
        <v>46217</v>
      </c>
      <c r="B8546" s="216" t="n">
        <v>22.2</v>
      </c>
      <c r="C8546" s="216" t="n">
        <v>46.02</v>
      </c>
      <c r="D8546" s="216" t="n">
        <v>1.155825972557068</v>
      </c>
      <c r="E8546" s="215" t="n">
        <v>46217</v>
      </c>
      <c r="F8546" s="215" t="n">
        <v>46217</v>
      </c>
    </row>
    <row r="8547">
      <c r="A8547" s="215" t="n">
        <v>46218</v>
      </c>
      <c r="B8547" s="216" t="n">
        <v>27.48</v>
      </c>
      <c r="C8547" s="216" t="n">
        <v>50.62</v>
      </c>
      <c r="D8547" s="216" t="n">
        <v>1.157556056976318</v>
      </c>
      <c r="E8547" s="215" t="n">
        <v>46218</v>
      </c>
      <c r="F8547" s="215" t="n">
        <v>46218</v>
      </c>
    </row>
    <row r="8548">
      <c r="A8548" s="215" t="n">
        <v>46219</v>
      </c>
      <c r="B8548" s="216" t="n">
        <v>25.82</v>
      </c>
      <c r="C8548" s="216" t="n">
        <v>53.25</v>
      </c>
      <c r="D8548" s="216" t="n">
        <v>1.157912969589233</v>
      </c>
      <c r="E8548" s="215" t="n">
        <v>46219</v>
      </c>
      <c r="F8548" s="215" t="n">
        <v>46219</v>
      </c>
    </row>
    <row r="8549">
      <c r="A8549" s="215" t="n">
        <v>46220</v>
      </c>
      <c r="B8549" s="216" t="n">
        <v>23.76</v>
      </c>
      <c r="C8549" s="216" t="n">
        <v>47.93</v>
      </c>
      <c r="D8549" s="216" t="n">
        <v>1.157472014427185</v>
      </c>
      <c r="E8549" s="215" t="n">
        <v>46220</v>
      </c>
      <c r="F8549" s="215" t="n">
        <v>46220</v>
      </c>
    </row>
    <row r="8550">
      <c r="A8550" s="215" t="n">
        <v>46223</v>
      </c>
      <c r="B8550" s="216" t="n">
        <v>23.56</v>
      </c>
      <c r="C8550" s="216" t="n">
        <v>47</v>
      </c>
      <c r="D8550" s="216" t="n">
        <v>1.157451033592224</v>
      </c>
      <c r="E8550" s="215" t="n">
        <v>46223</v>
      </c>
      <c r="F8550" s="215" t="n">
        <v>46223</v>
      </c>
    </row>
    <row r="8551">
      <c r="A8551" s="215" t="n">
        <v>46224</v>
      </c>
      <c r="B8551" s="216" t="n">
        <v>24.8</v>
      </c>
      <c r="C8551" s="216" t="n">
        <v>49.12</v>
      </c>
      <c r="D8551" s="216" t="n">
        <v>1.157506942749023</v>
      </c>
      <c r="E8551" s="215" t="n">
        <v>46224</v>
      </c>
      <c r="F8551" s="215" t="n">
        <v>46224</v>
      </c>
    </row>
    <row r="8552">
      <c r="A8552" s="215" t="n">
        <v>46225</v>
      </c>
      <c r="B8552" s="216" t="n">
        <v>25.06</v>
      </c>
      <c r="C8552" s="216" t="n">
        <v>48.06</v>
      </c>
      <c r="D8552" s="216" t="n">
        <v>1.158938050270081</v>
      </c>
      <c r="E8552" s="215" t="n">
        <v>46225</v>
      </c>
      <c r="F8552" s="215" t="n">
        <v>46225</v>
      </c>
    </row>
    <row r="8553">
      <c r="A8553" s="215" t="n">
        <v>46226</v>
      </c>
      <c r="B8553" s="216" t="n">
        <v>25.04</v>
      </c>
      <c r="C8553" s="216" t="n">
        <v>48.49</v>
      </c>
      <c r="D8553" s="216" t="n">
        <v>1.157410979270935</v>
      </c>
      <c r="E8553" s="215" t="n">
        <v>46226</v>
      </c>
      <c r="F8553" s="215" t="n">
        <v>46226</v>
      </c>
    </row>
    <row r="8554">
      <c r="A8554" s="215" t="n">
        <v>46227</v>
      </c>
      <c r="B8554" s="216" t="n">
        <v>24.46</v>
      </c>
      <c r="C8554" s="216" t="n">
        <v>45.26</v>
      </c>
      <c r="D8554" s="216" t="n">
        <v>1.15762197971344</v>
      </c>
      <c r="E8554" s="215" t="n">
        <v>46227</v>
      </c>
      <c r="F8554" s="215" t="n">
        <v>46227</v>
      </c>
    </row>
    <row r="8555">
      <c r="A8555" s="215" t="n">
        <v>46230</v>
      </c>
      <c r="B8555" s="216" t="n">
        <v>25.02</v>
      </c>
      <c r="C8555" s="216" t="n">
        <v>49.7</v>
      </c>
      <c r="D8555" s="216" t="n">
        <v>1.15789794921875</v>
      </c>
      <c r="E8555" s="215" t="n">
        <v>46230</v>
      </c>
      <c r="F8555" s="215" t="n">
        <v>46230</v>
      </c>
    </row>
    <row r="8556">
      <c r="A8556" s="215" t="n">
        <v>46231</v>
      </c>
      <c r="B8556" s="216" t="n">
        <v>23.9</v>
      </c>
      <c r="C8556" s="216" t="n">
        <v>45.57</v>
      </c>
      <c r="D8556" s="216" t="n">
        <v>1.158699035644531</v>
      </c>
      <c r="E8556" s="215" t="n">
        <v>46231</v>
      </c>
      <c r="F8556" s="215" t="n">
        <v>46231</v>
      </c>
    </row>
    <row r="8557">
      <c r="A8557" s="215" t="n">
        <v>46232</v>
      </c>
      <c r="B8557" s="216" t="n">
        <v>23.6</v>
      </c>
      <c r="C8557" s="216" t="n">
        <v>43.94</v>
      </c>
      <c r="D8557" s="216" t="n">
        <v>1.157909989356995</v>
      </c>
      <c r="E8557" s="215" t="n">
        <v>46232</v>
      </c>
      <c r="F8557" s="215" t="n">
        <v>46232</v>
      </c>
    </row>
    <row r="8558">
      <c r="A8558" s="215" t="n">
        <v>46233</v>
      </c>
      <c r="B8558" s="216" t="n">
        <v>22.18</v>
      </c>
      <c r="C8558" s="216" t="n">
        <v>40.05</v>
      </c>
      <c r="D8558" s="216" t="n">
        <v>1.158943057060242</v>
      </c>
      <c r="E8558" s="215" t="n">
        <v>46233</v>
      </c>
      <c r="F8558" s="215" t="n">
        <v>46233</v>
      </c>
    </row>
    <row r="8559">
      <c r="A8559" s="215" t="n">
        <v>46234</v>
      </c>
      <c r="B8559" s="216" t="n">
        <v>22.18</v>
      </c>
      <c r="C8559" s="216" t="n">
        <v>41.54</v>
      </c>
      <c r="D8559" s="216" t="n">
        <v>1.160945057868958</v>
      </c>
      <c r="E8559" s="215" t="n">
        <v>46234</v>
      </c>
      <c r="F8559" s="215" t="n">
        <v>46234</v>
      </c>
    </row>
    <row r="8560">
      <c r="A8560" s="215" t="n">
        <v>46237</v>
      </c>
      <c r="B8560" s="216" t="n">
        <v>22.72</v>
      </c>
      <c r="C8560" s="216" t="n">
        <v>41.05</v>
      </c>
      <c r="D8560" s="216" t="n">
        <v>1.161579966545105</v>
      </c>
      <c r="E8560" s="215" t="n">
        <v>46237</v>
      </c>
      <c r="F8560" s="215" t="n">
        <v>46237</v>
      </c>
    </row>
    <row r="8561">
      <c r="A8561" s="215" t="n">
        <v>46238</v>
      </c>
      <c r="B8561" s="216" t="n">
        <v>23.32</v>
      </c>
      <c r="C8561" s="216" t="n">
        <v>44.35</v>
      </c>
      <c r="D8561" s="216" t="n">
        <v>1.161064982414246</v>
      </c>
      <c r="E8561" s="215" t="n">
        <v>46238</v>
      </c>
      <c r="F8561" s="215" t="n">
        <v>46238</v>
      </c>
    </row>
    <row r="8562">
      <c r="A8562" s="215" t="n">
        <v>46239</v>
      </c>
      <c r="B8562" s="216" t="n">
        <v>24.58</v>
      </c>
      <c r="C8562" s="216" t="n">
        <v>46.3</v>
      </c>
      <c r="D8562" s="216" t="n">
        <v>1.161146998405457</v>
      </c>
      <c r="E8562" s="215" t="n">
        <v>46239</v>
      </c>
      <c r="F8562" s="215" t="n">
        <v>46239</v>
      </c>
    </row>
    <row r="8563">
      <c r="A8563" s="215" t="n">
        <v>46240</v>
      </c>
      <c r="B8563" s="216" t="n">
        <v>24.52</v>
      </c>
      <c r="C8563" s="216" t="n">
        <v>46.26</v>
      </c>
      <c r="D8563" s="216" t="n">
        <v>1.161936044692993</v>
      </c>
      <c r="E8563" s="215" t="n">
        <v>46240</v>
      </c>
      <c r="F8563" s="215" t="n">
        <v>46240</v>
      </c>
    </row>
    <row r="8564">
      <c r="A8564" s="215" t="n">
        <v>46241</v>
      </c>
      <c r="B8564" s="216" t="n">
        <v>27.5</v>
      </c>
      <c r="C8564" s="216" t="n">
        <v>50.89</v>
      </c>
      <c r="D8564" s="216" t="n">
        <v>1.162284016609192</v>
      </c>
      <c r="E8564" s="215" t="n">
        <v>46241</v>
      </c>
      <c r="F8564" s="215" t="n">
        <v>46241</v>
      </c>
    </row>
    <row r="8565">
      <c r="A8565" s="215" t="n">
        <v>46244</v>
      </c>
      <c r="B8565" s="216" t="n">
        <v>26.64</v>
      </c>
      <c r="C8565" s="216" t="n">
        <v>52.8</v>
      </c>
      <c r="D8565" s="216" t="n">
        <v>1.162629961967468</v>
      </c>
      <c r="E8565" s="215" t="n">
        <v>46244</v>
      </c>
      <c r="F8565" s="215" t="n">
        <v>46244</v>
      </c>
    </row>
    <row r="8566">
      <c r="A8566" s="215" t="n">
        <v>46245</v>
      </c>
      <c r="B8566" s="216" t="n">
        <v>25.7</v>
      </c>
      <c r="C8566" s="216" t="n">
        <v>51.2</v>
      </c>
      <c r="D8566" s="216" t="n">
        <v>1.162588000297546</v>
      </c>
      <c r="E8566" s="215" t="n">
        <v>46245</v>
      </c>
      <c r="F8566" s="215" t="n">
        <v>46245</v>
      </c>
    </row>
    <row r="8567">
      <c r="A8567" s="215" t="n">
        <v>46246</v>
      </c>
      <c r="B8567" s="216" t="n">
        <v>25.92</v>
      </c>
      <c r="C8567" s="216" t="n">
        <v>51.15</v>
      </c>
      <c r="D8567" s="216" t="n">
        <v>1.163135051727295</v>
      </c>
      <c r="E8567" s="215" t="n">
        <v>46246</v>
      </c>
      <c r="F8567" s="215" t="n">
        <v>46246</v>
      </c>
    </row>
    <row r="8568">
      <c r="A8568" s="215" t="n">
        <v>46247</v>
      </c>
      <c r="B8568" s="216" t="n">
        <v>25.36</v>
      </c>
      <c r="C8568" s="216" t="n">
        <v>51.9</v>
      </c>
      <c r="D8568" s="216" t="n">
        <v>1.163341045379639</v>
      </c>
      <c r="E8568" s="215" t="n">
        <v>46247</v>
      </c>
      <c r="F8568" s="215" t="n">
        <v>46247</v>
      </c>
    </row>
    <row r="8569">
      <c r="A8569" s="215" t="n">
        <v>46248</v>
      </c>
      <c r="B8569" s="216" t="n">
        <v>25.08</v>
      </c>
      <c r="C8569" s="216" t="n">
        <v>51.3</v>
      </c>
      <c r="D8569" s="216" t="n">
        <v>1.163571000099182</v>
      </c>
      <c r="E8569" s="215" t="n">
        <v>46248</v>
      </c>
      <c r="F8569" s="215" t="n">
        <v>46248</v>
      </c>
    </row>
    <row r="8570">
      <c r="A8570" s="215" t="n">
        <v>46251</v>
      </c>
      <c r="B8570" s="216" t="n">
        <v>26.66</v>
      </c>
      <c r="C8570" s="216" t="n">
        <v>53.48</v>
      </c>
      <c r="D8570" s="216" t="n">
        <v>1.163601994514465</v>
      </c>
      <c r="E8570" s="215" t="n">
        <v>46251</v>
      </c>
      <c r="F8570" s="215" t="n">
        <v>46251</v>
      </c>
    </row>
    <row r="8571">
      <c r="A8571" s="215" t="n">
        <v>46252</v>
      </c>
      <c r="B8571" s="216" t="n">
        <v>26.92</v>
      </c>
      <c r="C8571" s="216" t="n">
        <v>53.9</v>
      </c>
      <c r="D8571" s="216" t="n">
        <v>1.163733005523682</v>
      </c>
      <c r="E8571" s="215" t="n">
        <v>46252</v>
      </c>
      <c r="F8571" s="215" t="n">
        <v>46252</v>
      </c>
    </row>
    <row r="8572">
      <c r="A8572" s="215" t="n">
        <v>46253</v>
      </c>
      <c r="B8572" s="216" t="n">
        <v>25.38</v>
      </c>
      <c r="C8572" s="216" t="n">
        <v>49.8</v>
      </c>
      <c r="D8572" s="216" t="n">
        <v>1.163092017173767</v>
      </c>
      <c r="E8572" s="215" t="n">
        <v>46253</v>
      </c>
      <c r="F8572" s="215" t="n">
        <v>46253</v>
      </c>
    </row>
    <row r="8573">
      <c r="A8573" s="215" t="n">
        <v>46254</v>
      </c>
      <c r="B8573" s="216" t="n">
        <v>25.92</v>
      </c>
      <c r="C8573" s="216" t="n">
        <v>52.57</v>
      </c>
      <c r="D8573" s="216" t="n">
        <v>1.164932012557983</v>
      </c>
      <c r="E8573" s="215" t="n">
        <v>46254</v>
      </c>
      <c r="F8573" s="215" t="n">
        <v>46254</v>
      </c>
    </row>
    <row r="8574">
      <c r="A8574" s="215" t="n">
        <v>46255</v>
      </c>
      <c r="B8574" s="216" t="n">
        <v>25.3</v>
      </c>
      <c r="C8574" s="216" t="n">
        <v>49.27</v>
      </c>
      <c r="D8574" s="216" t="n">
        <v>1.166555047035217</v>
      </c>
      <c r="E8574" s="215" t="n">
        <v>46255</v>
      </c>
      <c r="F8574" s="215" t="n">
        <v>46255</v>
      </c>
    </row>
    <row r="8575">
      <c r="A8575" s="215" t="n">
        <v>46258</v>
      </c>
      <c r="B8575" s="216" t="n">
        <v>24.02</v>
      </c>
      <c r="C8575" s="216" t="n">
        <v>46.39</v>
      </c>
      <c r="D8575" s="216" t="n">
        <v>1.166316986083984</v>
      </c>
      <c r="E8575" s="215" t="n">
        <v>46258</v>
      </c>
      <c r="F8575" s="215" t="n">
        <v>46258</v>
      </c>
    </row>
    <row r="8576">
      <c r="A8576" s="215" t="n">
        <v>46259</v>
      </c>
      <c r="B8576" s="216" t="n">
        <v>25.26</v>
      </c>
      <c r="C8576" s="216" t="n">
        <v>48.29</v>
      </c>
      <c r="D8576" s="216" t="n">
        <v>1.165253043174744</v>
      </c>
      <c r="E8576" s="215" t="n">
        <v>46259</v>
      </c>
      <c r="F8576" s="215" t="n">
        <v>46259</v>
      </c>
    </row>
    <row r="8577">
      <c r="A8577" s="215" t="n">
        <v>46260</v>
      </c>
      <c r="B8577" s="216" t="n">
        <v>24.94</v>
      </c>
      <c r="C8577" s="216" t="n">
        <v>46.91</v>
      </c>
      <c r="D8577" s="216" t="n">
        <v>1.166218996047974</v>
      </c>
      <c r="E8577" s="215" t="n">
        <v>46260</v>
      </c>
      <c r="F8577" s="215" t="n">
        <v>46260</v>
      </c>
    </row>
    <row r="8578">
      <c r="A8578" s="215" t="n">
        <v>46261</v>
      </c>
      <c r="B8578" s="216" t="n">
        <v>25.82</v>
      </c>
      <c r="C8578" s="216" t="n">
        <v>48.14</v>
      </c>
      <c r="D8578" s="216" t="n">
        <v>1.165971040725708</v>
      </c>
      <c r="E8578" s="215" t="n">
        <v>46261</v>
      </c>
      <c r="F8578" s="215" t="n">
        <v>46261</v>
      </c>
    </row>
    <row r="8579">
      <c r="A8579" s="215" t="n">
        <v>46262</v>
      </c>
      <c r="B8579" s="216" t="n">
        <v>25.3</v>
      </c>
      <c r="C8579" s="216" t="n">
        <v>47.54</v>
      </c>
      <c r="D8579" s="216" t="n">
        <v>1.165799975395203</v>
      </c>
      <c r="E8579" s="215" t="n">
        <v>46262</v>
      </c>
      <c r="F8579" s="215" t="n">
        <v>46262</v>
      </c>
    </row>
    <row r="8580">
      <c r="A8580" s="215" t="n">
        <v>46265</v>
      </c>
      <c r="B8580" s="216" t="n">
        <v>24.46</v>
      </c>
      <c r="C8580" s="216" t="n">
        <v>46.47</v>
      </c>
      <c r="D8580" s="216" t="n">
        <v>1.165387988090515</v>
      </c>
      <c r="E8580" s="215" t="n">
        <v>46265</v>
      </c>
      <c r="F8580" s="215" t="n">
        <v>46265</v>
      </c>
    </row>
    <row r="8581">
      <c r="A8581" s="215" t="n">
        <v>46266</v>
      </c>
      <c r="B8581" s="216" t="n">
        <v>23.42</v>
      </c>
      <c r="C8581" s="216" t="n">
        <v>45.18</v>
      </c>
      <c r="D8581" s="216" t="n">
        <v>1.165223956108093</v>
      </c>
      <c r="E8581" s="215" t="n">
        <v>46266</v>
      </c>
      <c r="F8581" s="215" t="n">
        <v>46266</v>
      </c>
    </row>
    <row r="8582">
      <c r="A8582" s="215" t="n">
        <v>46267</v>
      </c>
      <c r="B8582" s="216" t="n">
        <v>23</v>
      </c>
      <c r="C8582" s="216" t="n">
        <v>44.6</v>
      </c>
      <c r="D8582" s="216" t="n">
        <v>1.166425943374634</v>
      </c>
      <c r="E8582" s="215" t="n">
        <v>46267</v>
      </c>
      <c r="F8582" s="215" t="n">
        <v>46267</v>
      </c>
    </row>
    <row r="8583">
      <c r="A8583" s="215" t="n">
        <v>46268</v>
      </c>
      <c r="B8583" s="216" t="n">
        <v>23.62</v>
      </c>
      <c r="C8583" s="216" t="n">
        <v>44.6</v>
      </c>
      <c r="D8583" s="216" t="n">
        <v>1.167057037353516</v>
      </c>
      <c r="E8583" s="215" t="n">
        <v>46268</v>
      </c>
      <c r="F8583" s="215" t="n">
        <v>46268</v>
      </c>
    </row>
    <row r="8584">
      <c r="A8584" s="215" t="n">
        <v>46269</v>
      </c>
      <c r="B8584" s="216" t="n">
        <v>22.74</v>
      </c>
      <c r="C8584" s="216" t="n">
        <v>42.94</v>
      </c>
      <c r="D8584" s="216" t="n">
        <v>1.166767954826355</v>
      </c>
      <c r="E8584" s="215" t="n">
        <v>46269</v>
      </c>
      <c r="F8584" s="215" t="n">
        <v>46269</v>
      </c>
    </row>
    <row r="8585">
      <c r="A8585" s="215" t="n">
        <v>46272</v>
      </c>
      <c r="B8585" s="216" t="n">
        <v>22.54</v>
      </c>
      <c r="C8585" s="216" t="n">
        <v>42.82</v>
      </c>
      <c r="D8585" s="216" t="n">
        <v>1.168081045150757</v>
      </c>
      <c r="E8585" s="215" t="n">
        <v>46272</v>
      </c>
      <c r="F8585" s="215" t="n">
        <v>46272</v>
      </c>
    </row>
    <row r="8586">
      <c r="A8586" s="215" t="n">
        <v>46273</v>
      </c>
      <c r="B8586" s="216" t="n">
        <v>22.48</v>
      </c>
      <c r="C8586" s="216" t="n">
        <v>43.62</v>
      </c>
      <c r="D8586" s="216" t="n">
        <v>1.168115019798279</v>
      </c>
      <c r="E8586" s="215" t="n">
        <v>46273</v>
      </c>
      <c r="F8586" s="215" t="n">
        <v>46273</v>
      </c>
    </row>
    <row r="8587">
      <c r="A8587" s="215" t="n">
        <v>46274</v>
      </c>
      <c r="B8587" s="216" t="n">
        <v>22.64</v>
      </c>
      <c r="C8587" s="216" t="n">
        <v>43.74</v>
      </c>
      <c r="D8587" s="216" t="n">
        <v>1.168408989906311</v>
      </c>
      <c r="E8587" s="215" t="n">
        <v>46274</v>
      </c>
      <c r="F8587" s="215" t="n">
        <v>46274</v>
      </c>
    </row>
    <row r="8588">
      <c r="A8588" s="215" t="n">
        <v>46275</v>
      </c>
      <c r="B8588" s="216" t="n">
        <v>21.84</v>
      </c>
      <c r="C8588" s="216" t="n">
        <v>42.57</v>
      </c>
      <c r="D8588" s="216" t="n">
        <v>1.168462991714478</v>
      </c>
      <c r="E8588" s="215" t="n">
        <v>46275</v>
      </c>
      <c r="F8588" s="215" t="n">
        <v>46275</v>
      </c>
    </row>
    <row r="8589">
      <c r="A8589" s="215" t="n">
        <v>46276</v>
      </c>
      <c r="B8589" s="216" t="n">
        <v>21.2</v>
      </c>
      <c r="C8589" s="216" t="n">
        <v>41.37</v>
      </c>
      <c r="D8589" s="216" t="n">
        <v>1.169165015220642</v>
      </c>
      <c r="E8589" s="215" t="n">
        <v>46276</v>
      </c>
      <c r="F8589" s="215" t="n">
        <v>46276</v>
      </c>
    </row>
    <row r="8590">
      <c r="A8590" s="215" t="n">
        <v>46279</v>
      </c>
      <c r="B8590" s="216" t="n">
        <v>22.34</v>
      </c>
      <c r="C8590" s="216" t="n">
        <v>42.8</v>
      </c>
      <c r="D8590" s="216" t="n">
        <v>1.16893994808197</v>
      </c>
      <c r="E8590" s="215" t="n">
        <v>46279</v>
      </c>
      <c r="F8590" s="215" t="n">
        <v>46279</v>
      </c>
    </row>
    <row r="8591">
      <c r="A8591" s="215" t="n">
        <v>46280</v>
      </c>
      <c r="B8591" s="216" t="n">
        <v>22.1</v>
      </c>
      <c r="C8591" s="216" t="n">
        <v>42.32</v>
      </c>
      <c r="D8591" s="216" t="n">
        <v>1.169121026992798</v>
      </c>
      <c r="E8591" s="215" t="n">
        <v>46280</v>
      </c>
      <c r="F8591" s="215" t="n">
        <v>46280</v>
      </c>
    </row>
    <row r="8592">
      <c r="A8592" s="215" t="n">
        <v>46281</v>
      </c>
      <c r="B8592" s="216" t="n">
        <v>22.16</v>
      </c>
      <c r="C8592" s="216" t="n">
        <v>43.83</v>
      </c>
      <c r="D8592" s="216" t="n">
        <v>1.168769955635071</v>
      </c>
      <c r="E8592" s="215" t="n">
        <v>46281</v>
      </c>
      <c r="F8592" s="215" t="n">
        <v>46281</v>
      </c>
    </row>
    <row r="8593">
      <c r="A8593" s="215" t="n">
        <v>46282</v>
      </c>
      <c r="B8593" s="216" t="n">
        <v>23.06</v>
      </c>
      <c r="C8593" s="216" t="n">
        <v>44.12</v>
      </c>
      <c r="D8593" s="216" t="n">
        <v>1.169389963150024</v>
      </c>
      <c r="E8593" s="215" t="n">
        <v>46282</v>
      </c>
      <c r="F8593" s="215" t="n">
        <v>46282</v>
      </c>
    </row>
    <row r="8594">
      <c r="A8594" s="215" t="n">
        <v>46283</v>
      </c>
      <c r="B8594" s="216" t="n">
        <v>25.4</v>
      </c>
      <c r="C8594" s="216" t="n">
        <v>45.76</v>
      </c>
      <c r="D8594" s="216" t="n">
        <v>1.16942298412323</v>
      </c>
      <c r="E8594" s="215" t="n">
        <v>46283</v>
      </c>
      <c r="F8594" s="215" t="n">
        <v>46283</v>
      </c>
    </row>
    <row r="8595">
      <c r="A8595" s="215" t="n">
        <v>46286</v>
      </c>
      <c r="B8595" s="216" t="n">
        <v>26.5</v>
      </c>
      <c r="C8595" s="216" t="n">
        <v>46.74</v>
      </c>
      <c r="D8595" s="216" t="n">
        <v>1.171280026435852</v>
      </c>
      <c r="E8595" s="215" t="n">
        <v>46286</v>
      </c>
      <c r="F8595" s="215" t="n">
        <v>46286</v>
      </c>
    </row>
    <row r="8596">
      <c r="A8596" s="215" t="n">
        <v>46287</v>
      </c>
      <c r="B8596" s="216" t="n">
        <v>26.52</v>
      </c>
      <c r="C8596" s="216" t="n">
        <v>46.12</v>
      </c>
      <c r="D8596" s="216" t="n">
        <v>1.171705007553101</v>
      </c>
      <c r="E8596" s="215" t="n">
        <v>46287</v>
      </c>
      <c r="F8596" s="215" t="n">
        <v>46287</v>
      </c>
    </row>
    <row r="8597">
      <c r="A8597" s="215" t="n">
        <v>46288</v>
      </c>
      <c r="B8597" s="216" t="n">
        <v>27.56</v>
      </c>
      <c r="C8597" s="216" t="n">
        <v>47.77</v>
      </c>
      <c r="D8597" s="216" t="n">
        <v>1.170611023902893</v>
      </c>
      <c r="E8597" s="215" t="n">
        <v>46288</v>
      </c>
      <c r="F8597" s="215" t="n">
        <v>46288</v>
      </c>
    </row>
    <row r="8598">
      <c r="A8598" s="215" t="n">
        <v>46289</v>
      </c>
      <c r="B8598" s="216" t="n">
        <v>27.24</v>
      </c>
      <c r="C8598" s="216" t="n">
        <v>46.39</v>
      </c>
      <c r="D8598" s="216" t="n">
        <v>1.16852605342865</v>
      </c>
      <c r="E8598" s="215" t="n">
        <v>46289</v>
      </c>
      <c r="F8598" s="215" t="n">
        <v>46289</v>
      </c>
    </row>
    <row r="8599">
      <c r="A8599" s="215" t="n">
        <v>46290</v>
      </c>
      <c r="B8599" s="216" t="n">
        <v>27.44</v>
      </c>
      <c r="C8599" s="216" t="n">
        <v>46.39</v>
      </c>
      <c r="D8599" s="216" t="n">
        <v>1.168424010276794</v>
      </c>
      <c r="E8599" s="215" t="n">
        <v>46289</v>
      </c>
      <c r="F8599" s="215" t="n">
        <v>46290</v>
      </c>
    </row>
    <row r="8600">
      <c r="A8600" s="215" t="n">
        <v>46293</v>
      </c>
      <c r="B8600" s="216" t="n">
        <v>26.52</v>
      </c>
      <c r="C8600" s="216" t="n">
        <v>45.44</v>
      </c>
      <c r="D8600" s="216" t="n">
        <v>1.168378949165344</v>
      </c>
      <c r="E8600" s="215" t="n">
        <v>46293</v>
      </c>
      <c r="F8600" s="215" t="n">
        <v>46293</v>
      </c>
    </row>
    <row r="8601">
      <c r="A8601" s="215" t="n">
        <v>46294</v>
      </c>
      <c r="B8601" s="216" t="n">
        <v>26.64</v>
      </c>
      <c r="C8601" s="216" t="n">
        <v>44.82</v>
      </c>
      <c r="D8601" s="216" t="n">
        <v>1.168815970420837</v>
      </c>
      <c r="E8601" s="215" t="n">
        <v>46294</v>
      </c>
      <c r="F8601" s="215" t="n">
        <v>46294</v>
      </c>
    </row>
    <row r="8602">
      <c r="A8602" s="215" t="n">
        <v>46295</v>
      </c>
      <c r="B8602" s="216" t="n">
        <v>30.8</v>
      </c>
      <c r="C8602" s="216" t="n">
        <v>49.3</v>
      </c>
      <c r="D8602" s="216" t="n">
        <v>1.17059600353241</v>
      </c>
      <c r="E8602" s="215" t="n">
        <v>46295</v>
      </c>
      <c r="F8602" s="215" t="n">
        <v>46295</v>
      </c>
    </row>
    <row r="8603">
      <c r="A8603" s="215" t="n">
        <v>46297</v>
      </c>
      <c r="B8603" s="216" t="n">
        <v>30.42</v>
      </c>
      <c r="C8603" s="216" t="n">
        <v>49.3</v>
      </c>
      <c r="D8603" s="216" t="n">
        <v>1.170220971107483</v>
      </c>
      <c r="E8603" s="215" t="n">
        <v>46295</v>
      </c>
      <c r="F8603" s="215" t="n">
        <v>46297</v>
      </c>
    </row>
    <row r="8604">
      <c r="A8604" s="215" t="n">
        <v>46140</v>
      </c>
      <c r="B8604" s="216" t="n">
        <v>27.8</v>
      </c>
      <c r="C8604" s="216" t="n">
        <v>35.07</v>
      </c>
      <c r="D8604" s="216" t="n">
        <v>1.148522019386292</v>
      </c>
      <c r="E8604" s="215" t="n">
        <v>46140</v>
      </c>
      <c r="F8604" s="215" t="n">
        <v>46140</v>
      </c>
    </row>
    <row r="8605">
      <c r="A8605" s="215" t="n">
        <v>46141</v>
      </c>
      <c r="B8605" s="216" t="n">
        <v>25.48</v>
      </c>
      <c r="C8605" s="216" t="n">
        <v>34.45</v>
      </c>
      <c r="D8605" s="216" t="n">
        <v>1.145936012268066</v>
      </c>
      <c r="E8605" s="215" t="n">
        <v>46141</v>
      </c>
      <c r="F8605" s="215" t="n">
        <v>46141</v>
      </c>
    </row>
    <row r="8606">
      <c r="A8606" s="215" t="n">
        <v>46142</v>
      </c>
      <c r="B8606" s="216" t="n">
        <v>25.96</v>
      </c>
      <c r="C8606" s="216" t="n">
        <v>35.73</v>
      </c>
      <c r="D8606" s="216" t="n">
        <v>1.145792007446289</v>
      </c>
      <c r="E8606" s="215" t="n">
        <v>46142</v>
      </c>
      <c r="F8606" s="215" t="n">
        <v>46142</v>
      </c>
    </row>
    <row r="8607">
      <c r="A8607" s="215" t="n">
        <v>46146</v>
      </c>
      <c r="B8607" s="216" t="n">
        <v>27.84</v>
      </c>
      <c r="C8607" s="216" t="n">
        <v>35.73</v>
      </c>
      <c r="D8607" s="216" t="n">
        <v>1.147340059280396</v>
      </c>
      <c r="E8607" s="215" t="n">
        <v>46142</v>
      </c>
      <c r="F8607" s="215" t="n">
        <v>46146</v>
      </c>
    </row>
    <row r="8608">
      <c r="A8608" s="215" t="n">
        <v>46147</v>
      </c>
      <c r="B8608" s="216" t="n">
        <v>27.24</v>
      </c>
      <c r="C8608" s="216" t="n">
        <v>35.73</v>
      </c>
      <c r="D8608" s="216" t="n">
        <v>1.146813988685608</v>
      </c>
      <c r="E8608" s="215" t="n">
        <v>46142</v>
      </c>
      <c r="F8608" s="215" t="n">
        <v>46147</v>
      </c>
    </row>
    <row r="8609">
      <c r="A8609" s="215" t="n">
        <v>46148</v>
      </c>
      <c r="B8609" s="216" t="n">
        <v>27.08</v>
      </c>
      <c r="C8609" s="216" t="n">
        <v>35.36</v>
      </c>
      <c r="D8609" s="216" t="n">
        <v>1.14708399772644</v>
      </c>
      <c r="E8609" s="215" t="n">
        <v>46148</v>
      </c>
      <c r="F8609" s="215" t="n">
        <v>46148</v>
      </c>
    </row>
    <row r="8610">
      <c r="A8610" s="215" t="n">
        <v>46149</v>
      </c>
      <c r="B8610" s="216" t="n">
        <v>26.54</v>
      </c>
      <c r="C8610" s="216" t="n">
        <v>35.58</v>
      </c>
      <c r="D8610" s="216" t="n">
        <v>1.150125026702881</v>
      </c>
      <c r="E8610" s="215" t="n">
        <v>46149</v>
      </c>
      <c r="F8610" s="215" t="n">
        <v>46149</v>
      </c>
    </row>
    <row r="8611">
      <c r="A8611" s="215" t="n">
        <v>46150</v>
      </c>
      <c r="B8611" s="216" t="n">
        <v>26.58</v>
      </c>
      <c r="C8611" s="216" t="n">
        <v>35.16</v>
      </c>
      <c r="D8611" s="216" t="n">
        <v>1.15172004699707</v>
      </c>
      <c r="E8611" s="215" t="n">
        <v>46150</v>
      </c>
      <c r="F8611" s="215" t="n">
        <v>46150</v>
      </c>
    </row>
    <row r="8612">
      <c r="A8612" s="215" t="n">
        <v>46153</v>
      </c>
      <c r="B8612" s="216" t="n">
        <v>26.64</v>
      </c>
      <c r="C8612" s="216" t="n">
        <v>37.2</v>
      </c>
      <c r="D8612" s="216" t="n">
        <v>1.151090025901794</v>
      </c>
      <c r="E8612" s="215" t="n">
        <v>46153</v>
      </c>
      <c r="F8612" s="215" t="n">
        <v>46153</v>
      </c>
    </row>
    <row r="8613">
      <c r="A8613" s="215" t="n">
        <v>46154</v>
      </c>
      <c r="B8613" s="216" t="n">
        <v>26.02</v>
      </c>
      <c r="C8613" s="216" t="n">
        <v>35.98</v>
      </c>
      <c r="D8613" s="216" t="n">
        <v>1.152078986167908</v>
      </c>
      <c r="E8613" s="215" t="n">
        <v>46154</v>
      </c>
      <c r="F8613" s="215" t="n">
        <v>46154</v>
      </c>
    </row>
    <row r="8614">
      <c r="A8614" s="215" t="n">
        <v>46155</v>
      </c>
      <c r="B8614" s="216" t="n">
        <v>25.14</v>
      </c>
      <c r="C8614" s="216" t="n">
        <v>35.2</v>
      </c>
      <c r="D8614" s="216" t="n">
        <v>1.152537941932678</v>
      </c>
      <c r="E8614" s="215" t="n">
        <v>46155</v>
      </c>
      <c r="F8614" s="215" t="n">
        <v>46155</v>
      </c>
    </row>
    <row r="8615">
      <c r="A8615" s="215" t="n">
        <v>46156</v>
      </c>
      <c r="B8615" s="216" t="n">
        <v>25.38</v>
      </c>
      <c r="C8615" s="216" t="n">
        <v>34.65</v>
      </c>
      <c r="D8615" s="216" t="n">
        <v>1.152662992477417</v>
      </c>
      <c r="E8615" s="215" t="n">
        <v>46156</v>
      </c>
      <c r="F8615" s="215" t="n">
        <v>46156</v>
      </c>
    </row>
    <row r="8616">
      <c r="A8616" s="215" t="n">
        <v>46157</v>
      </c>
      <c r="B8616" s="216" t="n">
        <v>25.4</v>
      </c>
      <c r="C8616" s="216" t="n">
        <v>34.34</v>
      </c>
      <c r="D8616" s="216" t="n">
        <v>1.154320001602173</v>
      </c>
      <c r="E8616" s="215" t="n">
        <v>46157</v>
      </c>
      <c r="F8616" s="215" t="n">
        <v>46157</v>
      </c>
    </row>
    <row r="8617">
      <c r="A8617" s="215" t="n">
        <v>46160</v>
      </c>
      <c r="B8617" s="216" t="n">
        <v>24.86</v>
      </c>
      <c r="C8617" s="216" t="n">
        <v>33.4</v>
      </c>
      <c r="D8617" s="216" t="n">
        <v>1.149821996688843</v>
      </c>
      <c r="E8617" s="215" t="n">
        <v>46160</v>
      </c>
      <c r="F8617" s="215" t="n">
        <v>46160</v>
      </c>
    </row>
    <row r="8618">
      <c r="A8618" s="215" t="n">
        <v>46161</v>
      </c>
      <c r="B8618" s="216" t="n">
        <v>24.92</v>
      </c>
      <c r="C8618" s="216" t="n">
        <v>33.4</v>
      </c>
      <c r="D8618" s="216" t="n">
        <v>1.151532053947449</v>
      </c>
      <c r="E8618" s="215" t="n">
        <v>46161</v>
      </c>
      <c r="F8618" s="215" t="n">
        <v>46161</v>
      </c>
    </row>
    <row r="8619">
      <c r="A8619" s="215" t="n">
        <v>46162</v>
      </c>
      <c r="B8619" s="216" t="n">
        <v>24.06</v>
      </c>
      <c r="C8619" s="216" t="n">
        <v>33.12</v>
      </c>
      <c r="D8619" s="216" t="n">
        <v>1.149292945861816</v>
      </c>
      <c r="E8619" s="215" t="n">
        <v>46162</v>
      </c>
      <c r="F8619" s="215" t="n">
        <v>46162</v>
      </c>
    </row>
    <row r="8620">
      <c r="A8620" s="215" t="n">
        <v>46163</v>
      </c>
      <c r="B8620" s="216" t="n">
        <v>24.52</v>
      </c>
      <c r="C8620" s="216" t="n">
        <v>33.48</v>
      </c>
      <c r="D8620" s="216" t="n">
        <v>1.151231050491333</v>
      </c>
      <c r="E8620" s="215" t="n">
        <v>46163</v>
      </c>
      <c r="F8620" s="215" t="n">
        <v>46163</v>
      </c>
    </row>
    <row r="8621">
      <c r="A8621" s="215" t="n">
        <v>46164</v>
      </c>
      <c r="B8621" s="216" t="n">
        <v>24.42</v>
      </c>
      <c r="C8621" s="216" t="n">
        <v>33.31</v>
      </c>
      <c r="D8621" s="216" t="n">
        <v>1.151487946510315</v>
      </c>
      <c r="E8621" s="215" t="n">
        <v>46164</v>
      </c>
      <c r="F8621" s="215" t="n">
        <v>46164</v>
      </c>
    </row>
    <row r="8622">
      <c r="A8622" s="215" t="n">
        <v>46168</v>
      </c>
      <c r="B8622" s="216" t="n">
        <v>23.4</v>
      </c>
      <c r="C8622" s="216" t="n">
        <v>32.12</v>
      </c>
      <c r="D8622" s="216" t="n">
        <v>1.152968049049377</v>
      </c>
      <c r="E8622" s="215" t="n">
        <v>46168</v>
      </c>
      <c r="F8622" s="215" t="n">
        <v>46168</v>
      </c>
    </row>
    <row r="8623">
      <c r="A8623" s="215" t="n">
        <v>46169</v>
      </c>
      <c r="B8623" s="216" t="n">
        <v>23.56</v>
      </c>
      <c r="C8623" s="216" t="n">
        <v>32.11</v>
      </c>
      <c r="D8623" s="216" t="n">
        <v>1.154562950134277</v>
      </c>
      <c r="E8623" s="215" t="n">
        <v>46169</v>
      </c>
      <c r="F8623" s="215" t="n">
        <v>46169</v>
      </c>
    </row>
    <row r="8624">
      <c r="A8624" s="215" t="n">
        <v>46170</v>
      </c>
      <c r="B8624" s="216" t="n">
        <v>22.82</v>
      </c>
      <c r="C8624" s="216" t="n">
        <v>30.59</v>
      </c>
      <c r="D8624" s="216" t="n">
        <v>1.155385971069336</v>
      </c>
      <c r="E8624" s="215" t="n">
        <v>46170</v>
      </c>
      <c r="F8624" s="215" t="n">
        <v>46170</v>
      </c>
    </row>
    <row r="8625">
      <c r="A8625" s="215" t="n">
        <v>46171</v>
      </c>
      <c r="B8625" s="216" t="n">
        <v>22.78</v>
      </c>
      <c r="C8625" s="216" t="n">
        <v>30.4</v>
      </c>
      <c r="D8625" s="216" t="n">
        <v>1.155282974243164</v>
      </c>
      <c r="E8625" s="215" t="n">
        <v>46171</v>
      </c>
      <c r="F8625" s="215" t="n">
        <v>46171</v>
      </c>
    </row>
    <row r="8626">
      <c r="A8626" s="215" t="n">
        <v>46174</v>
      </c>
      <c r="B8626" s="216" t="n">
        <v>22.44</v>
      </c>
      <c r="C8626" s="216" t="n">
        <v>28.98</v>
      </c>
      <c r="D8626" s="216" t="n">
        <v>1.158049941062927</v>
      </c>
      <c r="E8626" s="215" t="n">
        <v>46174</v>
      </c>
      <c r="F8626" s="215" t="n">
        <v>46174</v>
      </c>
    </row>
    <row r="8627">
      <c r="A8627" s="215" t="n">
        <v>46175</v>
      </c>
      <c r="B8627" s="216" t="n">
        <v>22.7</v>
      </c>
      <c r="C8627" s="216" t="n">
        <v>28.51</v>
      </c>
      <c r="D8627" s="216" t="n">
        <v>1.158406972885132</v>
      </c>
      <c r="E8627" s="215" t="n">
        <v>46175</v>
      </c>
      <c r="F8627" s="215" t="n">
        <v>46175</v>
      </c>
    </row>
    <row r="8628">
      <c r="A8628" s="215" t="n">
        <v>46176</v>
      </c>
      <c r="B8628" s="216" t="n">
        <v>22.22</v>
      </c>
      <c r="C8628" s="216" t="n">
        <v>27.39</v>
      </c>
      <c r="D8628" s="216" t="n">
        <v>1.15879499912262</v>
      </c>
      <c r="E8628" s="215" t="n">
        <v>46176</v>
      </c>
      <c r="F8628" s="215" t="n">
        <v>46176</v>
      </c>
    </row>
    <row r="8629">
      <c r="A8629" s="215" t="n">
        <v>46177</v>
      </c>
      <c r="B8629" s="216" t="n">
        <v>22.66</v>
      </c>
      <c r="C8629" s="216" t="n">
        <v>26.93</v>
      </c>
      <c r="D8629" s="216" t="n">
        <v>1.157420039176941</v>
      </c>
      <c r="E8629" s="215" t="n">
        <v>46177</v>
      </c>
      <c r="F8629" s="215" t="n">
        <v>46177</v>
      </c>
    </row>
    <row r="8630">
      <c r="A8630" s="215" t="n">
        <v>46178</v>
      </c>
      <c r="B8630" s="216" t="n">
        <v>22.4</v>
      </c>
      <c r="C8630" s="216" t="n">
        <v>26.6</v>
      </c>
      <c r="D8630" s="216" t="n">
        <v>1.156491994857788</v>
      </c>
      <c r="E8630" s="215" t="n">
        <v>46178</v>
      </c>
      <c r="F8630" s="215" t="n">
        <v>46178</v>
      </c>
    </row>
    <row r="8631">
      <c r="A8631" s="215" t="n">
        <v>46181</v>
      </c>
      <c r="B8631" s="216" t="n">
        <v>21.32</v>
      </c>
      <c r="C8631" s="216" t="n">
        <v>25.91</v>
      </c>
      <c r="D8631" s="216" t="n">
        <v>1.157665967941284</v>
      </c>
      <c r="E8631" s="215" t="n">
        <v>46181</v>
      </c>
      <c r="F8631" s="215" t="n">
        <v>46181</v>
      </c>
    </row>
    <row r="8632">
      <c r="A8632" s="215" t="n">
        <v>46182</v>
      </c>
      <c r="B8632" s="216" t="n">
        <v>22.32</v>
      </c>
      <c r="C8632" s="216" t="n">
        <v>26.43</v>
      </c>
      <c r="D8632" s="216" t="n">
        <v>1.158027052879333</v>
      </c>
      <c r="E8632" s="215" t="n">
        <v>46182</v>
      </c>
      <c r="F8632" s="215" t="n">
        <v>46182</v>
      </c>
    </row>
    <row r="8633">
      <c r="A8633" s="215" t="n">
        <v>46183</v>
      </c>
      <c r="B8633" s="216" t="n">
        <v>24.5</v>
      </c>
      <c r="C8633" s="216" t="n">
        <v>27.27</v>
      </c>
      <c r="D8633" s="216" t="n">
        <v>1.157112002372742</v>
      </c>
      <c r="E8633" s="215" t="n">
        <v>46183</v>
      </c>
      <c r="F8633" s="215" t="n">
        <v>46183</v>
      </c>
    </row>
    <row r="8634">
      <c r="A8634" s="215" t="n">
        <v>46184</v>
      </c>
      <c r="B8634" s="216" t="n">
        <v>25.56</v>
      </c>
      <c r="C8634" s="216" t="n">
        <v>27.23</v>
      </c>
      <c r="D8634" s="216" t="n">
        <v>1.156929016113281</v>
      </c>
      <c r="E8634" s="215" t="n">
        <v>46184</v>
      </c>
      <c r="F8634" s="215" t="n">
        <v>46184</v>
      </c>
    </row>
    <row r="8635">
      <c r="A8635" s="215" t="n">
        <v>46185</v>
      </c>
      <c r="B8635" s="216" t="n">
        <v>25.1</v>
      </c>
      <c r="C8635" s="216" t="n">
        <v>28.53</v>
      </c>
      <c r="D8635" s="216" t="n">
        <v>1.156345963478088</v>
      </c>
      <c r="E8635" s="215" t="n">
        <v>46185</v>
      </c>
      <c r="F8635" s="215" t="n">
        <v>46185</v>
      </c>
    </row>
    <row r="8636">
      <c r="A8636" s="215" t="n">
        <v>46188</v>
      </c>
      <c r="B8636" s="216" t="n">
        <v>26.74</v>
      </c>
      <c r="C8636" s="216" t="n">
        <v>27.66</v>
      </c>
      <c r="D8636" s="216" t="n">
        <v>1.156880021095276</v>
      </c>
      <c r="E8636" s="215" t="n">
        <v>46188</v>
      </c>
      <c r="F8636" s="215" t="n">
        <v>46188</v>
      </c>
    </row>
    <row r="8637">
      <c r="A8637" s="215" t="n">
        <v>46189</v>
      </c>
      <c r="B8637" s="216" t="n">
        <v>25.78</v>
      </c>
      <c r="C8637" s="216" t="n">
        <v>27.03</v>
      </c>
      <c r="D8637" s="216" t="n">
        <v>1.158604025840759</v>
      </c>
      <c r="E8637" s="215" t="n">
        <v>46189</v>
      </c>
      <c r="F8637" s="215" t="n">
        <v>46189</v>
      </c>
    </row>
    <row r="8638">
      <c r="A8638" s="215" t="n">
        <v>46190</v>
      </c>
      <c r="B8638" s="216" t="n">
        <v>25.5</v>
      </c>
      <c r="C8638" s="216" t="n">
        <v>27.11</v>
      </c>
      <c r="D8638" s="216" t="n">
        <v>1.158974051475525</v>
      </c>
      <c r="E8638" s="215" t="n">
        <v>46190</v>
      </c>
      <c r="F8638" s="215" t="n">
        <v>46190</v>
      </c>
    </row>
    <row r="8639">
      <c r="A8639" s="215" t="n">
        <v>46191</v>
      </c>
      <c r="B8639" s="216" t="n">
        <v>25.28</v>
      </c>
      <c r="C8639" s="216" t="n">
        <v>27.42</v>
      </c>
      <c r="D8639" s="216" t="n">
        <v>1.159355998039246</v>
      </c>
      <c r="E8639" s="215" t="n">
        <v>46191</v>
      </c>
      <c r="F8639" s="215" t="n">
        <v>46191</v>
      </c>
    </row>
    <row r="8640">
      <c r="A8640" s="215" t="n">
        <v>46195</v>
      </c>
      <c r="B8640" s="216" t="n">
        <v>26.4</v>
      </c>
      <c r="C8640" s="216" t="n">
        <v>27.08</v>
      </c>
      <c r="D8640" s="216" t="n">
        <v>1.157493948936462</v>
      </c>
      <c r="E8640" s="215" t="n">
        <v>46195</v>
      </c>
      <c r="F8640" s="215" t="n">
        <v>46195</v>
      </c>
    </row>
    <row r="8641">
      <c r="A8641" s="215" t="n">
        <v>46196</v>
      </c>
      <c r="B8641" s="216" t="n">
        <v>26</v>
      </c>
      <c r="C8641" s="216" t="n">
        <v>27.58</v>
      </c>
      <c r="D8641" s="216" t="n">
        <v>1.156896948814392</v>
      </c>
      <c r="E8641" s="215" t="n">
        <v>46196</v>
      </c>
      <c r="F8641" s="215" t="n">
        <v>46196</v>
      </c>
    </row>
    <row r="8642">
      <c r="A8642" s="215" t="n">
        <v>46197</v>
      </c>
      <c r="B8642" s="216" t="n">
        <v>25.06</v>
      </c>
      <c r="C8642" s="216" t="n">
        <v>27.68</v>
      </c>
      <c r="D8642" s="216" t="n">
        <v>1.154508948326111</v>
      </c>
      <c r="E8642" s="215" t="n">
        <v>46197</v>
      </c>
      <c r="F8642" s="215" t="n">
        <v>46197</v>
      </c>
    </row>
    <row r="8643">
      <c r="A8643" s="215" t="n">
        <v>46198</v>
      </c>
      <c r="B8643" s="216" t="n">
        <v>22.84</v>
      </c>
      <c r="C8643" s="216" t="n">
        <v>27.72</v>
      </c>
      <c r="D8643" s="216" t="n">
        <v>1.154152035713196</v>
      </c>
      <c r="E8643" s="215" t="n">
        <v>46198</v>
      </c>
      <c r="F8643" s="215" t="n">
        <v>46198</v>
      </c>
    </row>
    <row r="8644">
      <c r="A8644" s="215" t="n">
        <v>46199</v>
      </c>
      <c r="B8644" s="216" t="n">
        <v>22.78</v>
      </c>
      <c r="C8644" s="216" t="n">
        <v>25.82</v>
      </c>
      <c r="D8644" s="216" t="n">
        <v>1.154500961303711</v>
      </c>
      <c r="E8644" s="215" t="n">
        <v>46199</v>
      </c>
      <c r="F8644" s="215" t="n">
        <v>46199</v>
      </c>
    </row>
    <row r="8645">
      <c r="A8645" s="215" t="n">
        <v>46202</v>
      </c>
      <c r="B8645" s="216" t="n">
        <v>23.9</v>
      </c>
      <c r="C8645" s="216" t="n">
        <v>28.47</v>
      </c>
      <c r="D8645" s="216" t="n">
        <v>1.153512001037598</v>
      </c>
      <c r="E8645" s="215" t="n">
        <v>46202</v>
      </c>
      <c r="F8645" s="215" t="n">
        <v>46202</v>
      </c>
    </row>
    <row r="8646">
      <c r="A8646" s="215" t="n">
        <v>46203</v>
      </c>
      <c r="B8646" s="216" t="n">
        <v>23.32</v>
      </c>
      <c r="C8646" s="216" t="n">
        <v>28.25</v>
      </c>
      <c r="D8646" s="216" t="n">
        <v>1.153959035873413</v>
      </c>
      <c r="E8646" s="215" t="n">
        <v>46203</v>
      </c>
      <c r="F8646" s="215" t="n">
        <v>46203</v>
      </c>
    </row>
    <row r="8647">
      <c r="A8647" s="215" t="n">
        <v>46205</v>
      </c>
      <c r="B8647" s="216" t="n">
        <v>23.9</v>
      </c>
      <c r="C8647" s="216" t="n">
        <v>30.58</v>
      </c>
      <c r="D8647" s="216" t="n">
        <v>1.154355049133301</v>
      </c>
      <c r="E8647" s="215" t="n">
        <v>46205</v>
      </c>
      <c r="F8647" s="215" t="n">
        <v>46205</v>
      </c>
    </row>
    <row r="8648">
      <c r="A8648" s="215" t="n">
        <v>46206</v>
      </c>
      <c r="B8648" s="216" t="n">
        <v>24.56</v>
      </c>
      <c r="C8648" s="216" t="n">
        <v>32.06</v>
      </c>
      <c r="D8648" s="216" t="n">
        <v>1.155220985412598</v>
      </c>
      <c r="E8648" s="215" t="n">
        <v>46206</v>
      </c>
      <c r="F8648" s="215" t="n">
        <v>46206</v>
      </c>
    </row>
    <row r="8649">
      <c r="A8649" s="215" t="n">
        <v>46209</v>
      </c>
      <c r="B8649" s="216" t="n">
        <v>25.28</v>
      </c>
      <c r="C8649" s="216" t="n">
        <v>33.88</v>
      </c>
      <c r="D8649" s="216" t="n">
        <v>1.155068039894104</v>
      </c>
      <c r="E8649" s="215" t="n">
        <v>46209</v>
      </c>
      <c r="F8649" s="215" t="n">
        <v>46209</v>
      </c>
    </row>
    <row r="8650">
      <c r="A8650" s="215" t="n">
        <v>46210</v>
      </c>
      <c r="B8650" s="216" t="n">
        <v>24</v>
      </c>
      <c r="C8650" s="216" t="n">
        <v>32.41</v>
      </c>
      <c r="D8650" s="216" t="n">
        <v>1.153807997703552</v>
      </c>
      <c r="E8650" s="215" t="n">
        <v>46210</v>
      </c>
      <c r="F8650" s="215" t="n">
        <v>46210</v>
      </c>
    </row>
    <row r="8651">
      <c r="A8651" s="215" t="n">
        <v>46211</v>
      </c>
      <c r="B8651" s="216" t="n">
        <v>22.8</v>
      </c>
      <c r="C8651" s="216" t="n">
        <v>31.27</v>
      </c>
      <c r="D8651" s="216" t="n">
        <v>1.154153943061829</v>
      </c>
      <c r="E8651" s="215" t="n">
        <v>46211</v>
      </c>
      <c r="F8651" s="215" t="n">
        <v>46211</v>
      </c>
    </row>
    <row r="8652">
      <c r="A8652" s="215" t="n">
        <v>46212</v>
      </c>
      <c r="B8652" s="216" t="n">
        <v>22.5</v>
      </c>
      <c r="C8652" s="216" t="n">
        <v>31.05</v>
      </c>
      <c r="D8652" s="216" t="n">
        <v>1.152119994163513</v>
      </c>
      <c r="E8652" s="215" t="n">
        <v>46212</v>
      </c>
      <c r="F8652" s="215" t="n">
        <v>46212</v>
      </c>
    </row>
    <row r="8653">
      <c r="A8653" s="215" t="n">
        <v>46213</v>
      </c>
      <c r="B8653" s="216" t="n">
        <v>23.5</v>
      </c>
      <c r="C8653" s="216" t="n">
        <v>31.87</v>
      </c>
      <c r="D8653" s="216" t="n">
        <v>1.153550028800964</v>
      </c>
      <c r="E8653" s="215" t="n">
        <v>46213</v>
      </c>
      <c r="F8653" s="215" t="n">
        <v>46213</v>
      </c>
    </row>
    <row r="8654">
      <c r="A8654" s="215" t="n">
        <v>46216</v>
      </c>
      <c r="B8654" s="216" t="n">
        <v>23</v>
      </c>
      <c r="C8654" s="216" t="n">
        <v>31.72</v>
      </c>
      <c r="D8654" s="216" t="n">
        <v>1.156761050224304</v>
      </c>
      <c r="E8654" s="215" t="n">
        <v>46216</v>
      </c>
      <c r="F8654" s="215" t="n">
        <v>46216</v>
      </c>
    </row>
    <row r="8655">
      <c r="A8655" s="215" t="n">
        <v>46217</v>
      </c>
      <c r="B8655" s="216" t="n">
        <v>23.28</v>
      </c>
      <c r="C8655" s="216" t="n">
        <v>32.86</v>
      </c>
      <c r="D8655" s="216" t="n">
        <v>1.155825972557068</v>
      </c>
      <c r="E8655" s="215" t="n">
        <v>46217</v>
      </c>
      <c r="F8655" s="215" t="n">
        <v>46217</v>
      </c>
    </row>
    <row r="8656">
      <c r="A8656" s="215" t="n">
        <v>46218</v>
      </c>
      <c r="B8656" s="216" t="n">
        <v>24.78</v>
      </c>
      <c r="C8656" s="216" t="n">
        <v>35.38</v>
      </c>
      <c r="D8656" s="216" t="n">
        <v>1.157556056976318</v>
      </c>
      <c r="E8656" s="215" t="n">
        <v>46218</v>
      </c>
      <c r="F8656" s="215" t="n">
        <v>46218</v>
      </c>
    </row>
    <row r="8657">
      <c r="A8657" s="215" t="n">
        <v>46219</v>
      </c>
      <c r="B8657" s="216" t="n">
        <v>24.66</v>
      </c>
      <c r="C8657" s="216" t="n">
        <v>34.52</v>
      </c>
      <c r="D8657" s="216" t="n">
        <v>1.157912969589233</v>
      </c>
      <c r="E8657" s="215" t="n">
        <v>46219</v>
      </c>
      <c r="F8657" s="215" t="n">
        <v>46219</v>
      </c>
    </row>
    <row r="8658">
      <c r="A8658" s="215" t="n">
        <v>46220</v>
      </c>
      <c r="B8658" s="216" t="n">
        <v>22.32</v>
      </c>
      <c r="C8658" s="216" t="n">
        <v>31</v>
      </c>
      <c r="D8658" s="216" t="n">
        <v>1.157472014427185</v>
      </c>
      <c r="E8658" s="215" t="n">
        <v>46220</v>
      </c>
      <c r="F8658" s="215" t="n">
        <v>46220</v>
      </c>
    </row>
    <row r="8659">
      <c r="A8659" s="215" t="n">
        <v>46223</v>
      </c>
      <c r="B8659" s="216" t="n">
        <v>23.46</v>
      </c>
      <c r="C8659" s="216" t="n">
        <v>33.29</v>
      </c>
      <c r="D8659" s="216" t="n">
        <v>1.157451033592224</v>
      </c>
      <c r="E8659" s="215" t="n">
        <v>46223</v>
      </c>
      <c r="F8659" s="215" t="n">
        <v>46223</v>
      </c>
    </row>
    <row r="8660">
      <c r="A8660" s="215" t="n">
        <v>46224</v>
      </c>
      <c r="B8660" s="216" t="n">
        <v>23.2</v>
      </c>
      <c r="C8660" s="216" t="n">
        <v>32.68</v>
      </c>
      <c r="D8660" s="216" t="n">
        <v>1.157506942749023</v>
      </c>
      <c r="E8660" s="215" t="n">
        <v>46224</v>
      </c>
      <c r="F8660" s="215" t="n">
        <v>46224</v>
      </c>
    </row>
    <row r="8661">
      <c r="A8661" s="215" t="n">
        <v>46225</v>
      </c>
      <c r="B8661" s="216" t="n">
        <v>22.84</v>
      </c>
      <c r="C8661" s="216" t="n">
        <v>33.69</v>
      </c>
      <c r="D8661" s="216" t="n">
        <v>1.158938050270081</v>
      </c>
      <c r="E8661" s="215" t="n">
        <v>46225</v>
      </c>
      <c r="F8661" s="215" t="n">
        <v>46225</v>
      </c>
    </row>
    <row r="8662">
      <c r="A8662" s="215" t="n">
        <v>46226</v>
      </c>
      <c r="B8662" s="216" t="n">
        <v>23.12</v>
      </c>
      <c r="C8662" s="216" t="n">
        <v>33.15</v>
      </c>
      <c r="D8662" s="216" t="n">
        <v>1.157410979270935</v>
      </c>
      <c r="E8662" s="215" t="n">
        <v>46226</v>
      </c>
      <c r="F8662" s="215" t="n">
        <v>46226</v>
      </c>
    </row>
    <row r="8663">
      <c r="A8663" s="215" t="n">
        <v>46227</v>
      </c>
      <c r="B8663" s="216" t="n">
        <v>22</v>
      </c>
      <c r="C8663" s="216" t="n">
        <v>31.09</v>
      </c>
      <c r="D8663" s="216" t="n">
        <v>1.15762197971344</v>
      </c>
      <c r="E8663" s="215" t="n">
        <v>46227</v>
      </c>
      <c r="F8663" s="215" t="n">
        <v>46227</v>
      </c>
    </row>
    <row r="8664">
      <c r="A8664" s="215" t="n">
        <v>46230</v>
      </c>
      <c r="B8664" s="216" t="n">
        <v>21.96</v>
      </c>
      <c r="C8664" s="216" t="n">
        <v>31.61</v>
      </c>
      <c r="D8664" s="216" t="n">
        <v>1.15789794921875</v>
      </c>
      <c r="E8664" s="215" t="n">
        <v>46230</v>
      </c>
      <c r="F8664" s="215" t="n">
        <v>46230</v>
      </c>
    </row>
    <row r="8665">
      <c r="A8665" s="215" t="n">
        <v>46231</v>
      </c>
      <c r="B8665" s="216" t="n">
        <v>21.18</v>
      </c>
      <c r="C8665" s="216" t="n">
        <v>29.45</v>
      </c>
      <c r="D8665" s="216" t="n">
        <v>1.158699035644531</v>
      </c>
      <c r="E8665" s="215" t="n">
        <v>46231</v>
      </c>
      <c r="F8665" s="215" t="n">
        <v>46231</v>
      </c>
    </row>
    <row r="8666">
      <c r="A8666" s="215" t="n">
        <v>46232</v>
      </c>
      <c r="B8666" s="216" t="n">
        <v>21.1</v>
      </c>
      <c r="C8666" s="216" t="n">
        <v>30.04</v>
      </c>
      <c r="D8666" s="216" t="n">
        <v>1.157909989356995</v>
      </c>
      <c r="E8666" s="215" t="n">
        <v>46232</v>
      </c>
      <c r="F8666" s="215" t="n">
        <v>46232</v>
      </c>
    </row>
    <row r="8667">
      <c r="A8667" s="215" t="n">
        <v>46233</v>
      </c>
      <c r="B8667" s="216" t="n">
        <v>20.96</v>
      </c>
      <c r="C8667" s="216" t="n">
        <v>28.55</v>
      </c>
      <c r="D8667" s="216" t="n">
        <v>1.158943057060242</v>
      </c>
      <c r="E8667" s="215" t="n">
        <v>46233</v>
      </c>
      <c r="F8667" s="215" t="n">
        <v>46233</v>
      </c>
    </row>
    <row r="8668">
      <c r="A8668" s="215" t="n">
        <v>46234</v>
      </c>
      <c r="B8668" s="216" t="n">
        <v>21.02</v>
      </c>
      <c r="C8668" s="216" t="n">
        <v>28.68</v>
      </c>
      <c r="D8668" s="216" t="n">
        <v>1.160945057868958</v>
      </c>
      <c r="E8668" s="215" t="n">
        <v>46234</v>
      </c>
      <c r="F8668" s="215" t="n">
        <v>46234</v>
      </c>
    </row>
    <row r="8669">
      <c r="A8669" s="215" t="n">
        <v>46237</v>
      </c>
      <c r="B8669" s="216" t="n">
        <v>20.8</v>
      </c>
      <c r="C8669" s="216" t="n">
        <v>26.81</v>
      </c>
      <c r="D8669" s="216" t="n">
        <v>1.161579966545105</v>
      </c>
      <c r="E8669" s="215" t="n">
        <v>46237</v>
      </c>
      <c r="F8669" s="215" t="n">
        <v>46237</v>
      </c>
    </row>
    <row r="8670">
      <c r="A8670" s="215" t="n">
        <v>46238</v>
      </c>
      <c r="B8670" s="216" t="n">
        <v>20.8</v>
      </c>
      <c r="C8670" s="216" t="n">
        <v>27.12</v>
      </c>
      <c r="D8670" s="216" t="n">
        <v>1.161064982414246</v>
      </c>
      <c r="E8670" s="215" t="n">
        <v>46238</v>
      </c>
      <c r="F8670" s="215" t="n">
        <v>46238</v>
      </c>
    </row>
    <row r="8671">
      <c r="A8671" s="215" t="n">
        <v>46239</v>
      </c>
      <c r="B8671" s="216" t="n">
        <v>21.4</v>
      </c>
      <c r="C8671" s="216" t="n">
        <v>28.51</v>
      </c>
      <c r="D8671" s="216" t="n">
        <v>1.161146998405457</v>
      </c>
      <c r="E8671" s="215" t="n">
        <v>46239</v>
      </c>
      <c r="F8671" s="215" t="n">
        <v>46239</v>
      </c>
    </row>
    <row r="8672">
      <c r="A8672" s="215" t="n">
        <v>46240</v>
      </c>
      <c r="B8672" s="216" t="n">
        <v>21.76</v>
      </c>
      <c r="C8672" s="216" t="n">
        <v>28.35</v>
      </c>
      <c r="D8672" s="216" t="n">
        <v>1.161936044692993</v>
      </c>
      <c r="E8672" s="215" t="n">
        <v>46240</v>
      </c>
      <c r="F8672" s="215" t="n">
        <v>46240</v>
      </c>
    </row>
    <row r="8673">
      <c r="A8673" s="215" t="n">
        <v>46241</v>
      </c>
      <c r="B8673" s="216" t="n">
        <v>22.74</v>
      </c>
      <c r="C8673" s="216" t="n">
        <v>30.51</v>
      </c>
      <c r="D8673" s="216" t="n">
        <v>1.162284016609192</v>
      </c>
      <c r="E8673" s="215" t="n">
        <v>46241</v>
      </c>
      <c r="F8673" s="215" t="n">
        <v>46241</v>
      </c>
    </row>
    <row r="8674">
      <c r="A8674" s="215" t="n">
        <v>46244</v>
      </c>
      <c r="B8674" s="216" t="n">
        <v>22.5</v>
      </c>
      <c r="C8674" s="216" t="n">
        <v>30.9</v>
      </c>
      <c r="D8674" s="216" t="n">
        <v>1.162629961967468</v>
      </c>
      <c r="E8674" s="215" t="n">
        <v>46244</v>
      </c>
      <c r="F8674" s="215" t="n">
        <v>46244</v>
      </c>
    </row>
    <row r="8675">
      <c r="A8675" s="215" t="n">
        <v>46245</v>
      </c>
      <c r="B8675" s="216" t="n">
        <v>24.02</v>
      </c>
      <c r="C8675" s="216" t="n">
        <v>33.19</v>
      </c>
      <c r="D8675" s="216" t="n">
        <v>1.162588000297546</v>
      </c>
      <c r="E8675" s="215" t="n">
        <v>46245</v>
      </c>
      <c r="F8675" s="215" t="n">
        <v>46245</v>
      </c>
    </row>
    <row r="8676">
      <c r="A8676" s="215" t="n">
        <v>46246</v>
      </c>
      <c r="B8676" s="216" t="n">
        <v>23.08</v>
      </c>
      <c r="C8676" s="216" t="n">
        <v>32.65</v>
      </c>
      <c r="D8676" s="216" t="n">
        <v>1.163135051727295</v>
      </c>
      <c r="E8676" s="215" t="n">
        <v>46246</v>
      </c>
      <c r="F8676" s="215" t="n">
        <v>46246</v>
      </c>
    </row>
    <row r="8677">
      <c r="A8677" s="215" t="n">
        <v>46247</v>
      </c>
      <c r="B8677" s="216" t="n">
        <v>23.3</v>
      </c>
      <c r="C8677" s="216" t="n">
        <v>34.12</v>
      </c>
      <c r="D8677" s="216" t="n">
        <v>1.163341045379639</v>
      </c>
      <c r="E8677" s="215" t="n">
        <v>46247</v>
      </c>
      <c r="F8677" s="215" t="n">
        <v>46247</v>
      </c>
    </row>
    <row r="8678">
      <c r="A8678" s="215" t="n">
        <v>46248</v>
      </c>
      <c r="B8678" s="216" t="n">
        <v>23.6</v>
      </c>
      <c r="C8678" s="216" t="n">
        <v>34</v>
      </c>
      <c r="D8678" s="216" t="n">
        <v>1.163571000099182</v>
      </c>
      <c r="E8678" s="215" t="n">
        <v>46248</v>
      </c>
      <c r="F8678" s="215" t="n">
        <v>46248</v>
      </c>
    </row>
    <row r="8679">
      <c r="A8679" s="215" t="n">
        <v>46251</v>
      </c>
      <c r="B8679" s="216" t="n">
        <v>23.38</v>
      </c>
      <c r="C8679" s="216" t="n">
        <v>33.8</v>
      </c>
      <c r="D8679" s="216" t="n">
        <v>1.163601994514465</v>
      </c>
      <c r="E8679" s="215" t="n">
        <v>46251</v>
      </c>
      <c r="F8679" s="215" t="n">
        <v>46251</v>
      </c>
    </row>
    <row r="8680">
      <c r="A8680" s="215" t="n">
        <v>46252</v>
      </c>
      <c r="B8680" s="216" t="n">
        <v>21.98</v>
      </c>
      <c r="C8680" s="216" t="n">
        <v>33.19</v>
      </c>
      <c r="D8680" s="216" t="n">
        <v>1.163733005523682</v>
      </c>
      <c r="E8680" s="215" t="n">
        <v>46252</v>
      </c>
      <c r="F8680" s="215" t="n">
        <v>46252</v>
      </c>
    </row>
    <row r="8681">
      <c r="A8681" s="215" t="n">
        <v>46253</v>
      </c>
      <c r="B8681" s="216" t="n">
        <v>21.04</v>
      </c>
      <c r="C8681" s="216" t="n">
        <v>31.38</v>
      </c>
      <c r="D8681" s="216" t="n">
        <v>1.163092017173767</v>
      </c>
      <c r="E8681" s="215" t="n">
        <v>46253</v>
      </c>
      <c r="F8681" s="215" t="n">
        <v>46253</v>
      </c>
    </row>
    <row r="8682">
      <c r="A8682" s="215" t="n">
        <v>46254</v>
      </c>
      <c r="B8682" s="216" t="n">
        <v>22.08</v>
      </c>
      <c r="C8682" s="216" t="n">
        <v>34.1</v>
      </c>
      <c r="D8682" s="216" t="n">
        <v>1.164932012557983</v>
      </c>
      <c r="E8682" s="215" t="n">
        <v>46254</v>
      </c>
      <c r="F8682" s="215" t="n">
        <v>46254</v>
      </c>
    </row>
    <row r="8683">
      <c r="A8683" s="215" t="n">
        <v>46255</v>
      </c>
      <c r="B8683" s="216" t="n">
        <v>21.94</v>
      </c>
      <c r="C8683" s="216" t="n">
        <v>31.17</v>
      </c>
      <c r="D8683" s="216" t="n">
        <v>1.166555047035217</v>
      </c>
      <c r="E8683" s="215" t="n">
        <v>46255</v>
      </c>
      <c r="F8683" s="215" t="n">
        <v>46255</v>
      </c>
    </row>
    <row r="8684">
      <c r="A8684" s="215" t="n">
        <v>46258</v>
      </c>
      <c r="B8684" s="216" t="n">
        <v>21.46</v>
      </c>
      <c r="C8684" s="216" t="n">
        <v>29.23</v>
      </c>
      <c r="D8684" s="216" t="n">
        <v>1.166316986083984</v>
      </c>
      <c r="E8684" s="215" t="n">
        <v>46258</v>
      </c>
      <c r="F8684" s="215" t="n">
        <v>46258</v>
      </c>
    </row>
    <row r="8685">
      <c r="A8685" s="215" t="n">
        <v>46259</v>
      </c>
      <c r="B8685" s="216" t="n">
        <v>22.1</v>
      </c>
      <c r="C8685" s="216" t="n">
        <v>29.99</v>
      </c>
      <c r="D8685" s="216" t="n">
        <v>1.165253043174744</v>
      </c>
      <c r="E8685" s="215" t="n">
        <v>46259</v>
      </c>
      <c r="F8685" s="215" t="n">
        <v>46259</v>
      </c>
    </row>
    <row r="8686">
      <c r="A8686" s="215" t="n">
        <v>46260</v>
      </c>
      <c r="B8686" s="216" t="n">
        <v>22.02</v>
      </c>
      <c r="C8686" s="216" t="n">
        <v>29.75</v>
      </c>
      <c r="D8686" s="216" t="n">
        <v>1.166218996047974</v>
      </c>
      <c r="E8686" s="215" t="n">
        <v>46260</v>
      </c>
      <c r="F8686" s="215" t="n">
        <v>46260</v>
      </c>
    </row>
    <row r="8687">
      <c r="A8687" s="215" t="n">
        <v>46261</v>
      </c>
      <c r="B8687" s="216" t="n">
        <v>21.84</v>
      </c>
      <c r="C8687" s="216" t="n">
        <v>29.73</v>
      </c>
      <c r="D8687" s="216" t="n">
        <v>1.165971040725708</v>
      </c>
      <c r="E8687" s="215" t="n">
        <v>46261</v>
      </c>
      <c r="F8687" s="215" t="n">
        <v>46261</v>
      </c>
    </row>
    <row r="8688">
      <c r="A8688" s="215" t="n">
        <v>46262</v>
      </c>
      <c r="B8688" s="216" t="n">
        <v>21.7</v>
      </c>
      <c r="C8688" s="216" t="n">
        <v>29.49</v>
      </c>
      <c r="D8688" s="216" t="n">
        <v>1.165799975395203</v>
      </c>
      <c r="E8688" s="215" t="n">
        <v>46262</v>
      </c>
      <c r="F8688" s="215" t="n">
        <v>46262</v>
      </c>
    </row>
    <row r="8689">
      <c r="A8689" s="215" t="n">
        <v>46265</v>
      </c>
      <c r="B8689" s="216" t="n">
        <v>20.7</v>
      </c>
      <c r="C8689" s="216" t="n">
        <v>28.33</v>
      </c>
      <c r="D8689" s="216" t="n">
        <v>1.165387988090515</v>
      </c>
      <c r="E8689" s="215" t="n">
        <v>46265</v>
      </c>
      <c r="F8689" s="215" t="n">
        <v>46265</v>
      </c>
    </row>
    <row r="8690">
      <c r="A8690" s="215" t="n">
        <v>46266</v>
      </c>
      <c r="B8690" s="216" t="n">
        <v>20.52</v>
      </c>
      <c r="C8690" s="216" t="n">
        <v>27.87</v>
      </c>
      <c r="D8690" s="216" t="n">
        <v>1.165223956108093</v>
      </c>
      <c r="E8690" s="215" t="n">
        <v>46266</v>
      </c>
      <c r="F8690" s="215" t="n">
        <v>46266</v>
      </c>
    </row>
    <row r="8691">
      <c r="A8691" s="215" t="n">
        <v>46267</v>
      </c>
      <c r="B8691" s="216" t="n">
        <v>20.78</v>
      </c>
      <c r="C8691" s="216" t="n">
        <v>27.53</v>
      </c>
      <c r="D8691" s="216" t="n">
        <v>1.166425943374634</v>
      </c>
      <c r="E8691" s="215" t="n">
        <v>46267</v>
      </c>
      <c r="F8691" s="215" t="n">
        <v>46267</v>
      </c>
    </row>
    <row r="8692">
      <c r="A8692" s="215" t="n">
        <v>46268</v>
      </c>
      <c r="B8692" s="216" t="n">
        <v>20.84</v>
      </c>
      <c r="C8692" s="216" t="n">
        <v>28.16</v>
      </c>
      <c r="D8692" s="216" t="n">
        <v>1.167057037353516</v>
      </c>
      <c r="E8692" s="215" t="n">
        <v>46268</v>
      </c>
      <c r="F8692" s="215" t="n">
        <v>46268</v>
      </c>
    </row>
    <row r="8693">
      <c r="A8693" s="215" t="n">
        <v>46269</v>
      </c>
      <c r="B8693" s="216" t="n">
        <v>20.76</v>
      </c>
      <c r="C8693" s="216" t="n">
        <v>27.42</v>
      </c>
      <c r="D8693" s="216" t="n">
        <v>1.166767954826355</v>
      </c>
      <c r="E8693" s="215" t="n">
        <v>46269</v>
      </c>
      <c r="F8693" s="215" t="n">
        <v>46269</v>
      </c>
    </row>
    <row r="8694">
      <c r="A8694" s="215" t="n">
        <v>46272</v>
      </c>
      <c r="B8694" s="216" t="n">
        <v>20.66</v>
      </c>
      <c r="C8694" s="216" t="n">
        <v>27.1</v>
      </c>
      <c r="D8694" s="216" t="n">
        <v>1.168081045150757</v>
      </c>
      <c r="E8694" s="215" t="n">
        <v>46272</v>
      </c>
      <c r="F8694" s="215" t="n">
        <v>46272</v>
      </c>
    </row>
    <row r="8695">
      <c r="A8695" s="215" t="n">
        <v>46273</v>
      </c>
      <c r="B8695" s="216" t="n">
        <v>20.84</v>
      </c>
      <c r="C8695" s="216" t="n">
        <v>26.58</v>
      </c>
      <c r="D8695" s="216" t="n">
        <v>1.168115019798279</v>
      </c>
      <c r="E8695" s="215" t="n">
        <v>46273</v>
      </c>
      <c r="F8695" s="215" t="n">
        <v>46273</v>
      </c>
    </row>
    <row r="8696">
      <c r="A8696" s="215" t="n">
        <v>46274</v>
      </c>
      <c r="B8696" s="216" t="n">
        <v>20.6</v>
      </c>
      <c r="C8696" s="216" t="n">
        <v>26.02</v>
      </c>
      <c r="D8696" s="216" t="n">
        <v>1.168408989906311</v>
      </c>
      <c r="E8696" s="215" t="n">
        <v>46274</v>
      </c>
      <c r="F8696" s="215" t="n">
        <v>46274</v>
      </c>
    </row>
    <row r="8697">
      <c r="A8697" s="215" t="n">
        <v>46275</v>
      </c>
      <c r="B8697" s="216" t="n">
        <v>20.58</v>
      </c>
      <c r="C8697" s="216" t="n">
        <v>25.6</v>
      </c>
      <c r="D8697" s="216" t="n">
        <v>1.168462991714478</v>
      </c>
      <c r="E8697" s="215" t="n">
        <v>46275</v>
      </c>
      <c r="F8697" s="215" t="n">
        <v>46275</v>
      </c>
    </row>
    <row r="8698">
      <c r="A8698" s="215" t="n">
        <v>46276</v>
      </c>
      <c r="B8698" s="216" t="n">
        <v>20.3</v>
      </c>
      <c r="C8698" s="216" t="n">
        <v>24.06</v>
      </c>
      <c r="D8698" s="216" t="n">
        <v>1.169165015220642</v>
      </c>
      <c r="E8698" s="215" t="n">
        <v>46276</v>
      </c>
      <c r="F8698" s="215" t="n">
        <v>46276</v>
      </c>
    </row>
    <row r="8699">
      <c r="A8699" s="215" t="n">
        <v>46279</v>
      </c>
      <c r="B8699" s="216" t="n">
        <v>20.62</v>
      </c>
      <c r="C8699" s="216" t="n">
        <v>25.79</v>
      </c>
      <c r="D8699" s="216" t="n">
        <v>1.16893994808197</v>
      </c>
      <c r="E8699" s="215" t="n">
        <v>46279</v>
      </c>
      <c r="F8699" s="215" t="n">
        <v>46279</v>
      </c>
    </row>
    <row r="8700">
      <c r="A8700" s="215" t="n">
        <v>46280</v>
      </c>
      <c r="B8700" s="216" t="n">
        <v>20.62</v>
      </c>
      <c r="C8700" s="216" t="n">
        <v>25.24</v>
      </c>
      <c r="D8700" s="216" t="n">
        <v>1.169121026992798</v>
      </c>
      <c r="E8700" s="215" t="n">
        <v>46280</v>
      </c>
      <c r="F8700" s="215" t="n">
        <v>46280</v>
      </c>
    </row>
    <row r="8701">
      <c r="A8701" s="215" t="n">
        <v>46281</v>
      </c>
      <c r="B8701" s="216" t="n">
        <v>20.62</v>
      </c>
      <c r="C8701" s="216" t="n">
        <v>25.3</v>
      </c>
      <c r="D8701" s="216" t="n">
        <v>1.168769955635071</v>
      </c>
      <c r="E8701" s="215" t="n">
        <v>46281</v>
      </c>
      <c r="F8701" s="215" t="n">
        <v>46281</v>
      </c>
    </row>
    <row r="8702">
      <c r="A8702" s="215" t="n">
        <v>46282</v>
      </c>
      <c r="B8702" s="216" t="n">
        <v>20.66</v>
      </c>
      <c r="C8702" s="216" t="n">
        <v>25.73</v>
      </c>
      <c r="D8702" s="216" t="n">
        <v>1.169389963150024</v>
      </c>
      <c r="E8702" s="215" t="n">
        <v>46282</v>
      </c>
      <c r="F8702" s="215" t="n">
        <v>46282</v>
      </c>
    </row>
    <row r="8703">
      <c r="A8703" s="215" t="n">
        <v>46283</v>
      </c>
      <c r="B8703" s="216" t="n">
        <v>20.78</v>
      </c>
      <c r="C8703" s="216" t="n">
        <v>26.62</v>
      </c>
      <c r="D8703" s="216" t="n">
        <v>1.16942298412323</v>
      </c>
      <c r="E8703" s="215" t="n">
        <v>46283</v>
      </c>
      <c r="F8703" s="215" t="n">
        <v>46283</v>
      </c>
    </row>
    <row r="8704">
      <c r="A8704" s="215" t="n">
        <v>46286</v>
      </c>
      <c r="B8704" s="216" t="n">
        <v>21.2</v>
      </c>
      <c r="C8704" s="216" t="n">
        <v>28.06</v>
      </c>
      <c r="D8704" s="216" t="n">
        <v>1.171280026435852</v>
      </c>
      <c r="E8704" s="215" t="n">
        <v>46286</v>
      </c>
      <c r="F8704" s="215" t="n">
        <v>46286</v>
      </c>
    </row>
    <row r="8705">
      <c r="A8705" s="215" t="n">
        <v>46287</v>
      </c>
      <c r="B8705" s="216" t="n">
        <v>21.38</v>
      </c>
      <c r="C8705" s="216" t="n">
        <v>28.2</v>
      </c>
      <c r="D8705" s="216" t="n">
        <v>1.171705007553101</v>
      </c>
      <c r="E8705" s="215" t="n">
        <v>46287</v>
      </c>
      <c r="F8705" s="215" t="n">
        <v>46287</v>
      </c>
    </row>
    <row r="8706">
      <c r="A8706" s="215" t="n">
        <v>46288</v>
      </c>
      <c r="B8706" s="216" t="n">
        <v>21.08</v>
      </c>
      <c r="C8706" s="216" t="n">
        <v>27.8</v>
      </c>
      <c r="D8706" s="216" t="n">
        <v>1.170611023902893</v>
      </c>
      <c r="E8706" s="215" t="n">
        <v>46288</v>
      </c>
      <c r="F8706" s="215" t="n">
        <v>46288</v>
      </c>
    </row>
    <row r="8707">
      <c r="A8707" s="215" t="n">
        <v>46289</v>
      </c>
      <c r="B8707" s="216" t="n">
        <v>20.5</v>
      </c>
      <c r="C8707" s="216" t="n">
        <v>26.47</v>
      </c>
      <c r="D8707" s="216" t="n">
        <v>1.16852605342865</v>
      </c>
      <c r="E8707" s="215" t="n">
        <v>46289</v>
      </c>
      <c r="F8707" s="215" t="n">
        <v>46289</v>
      </c>
    </row>
    <row r="8708">
      <c r="A8708" s="215" t="n">
        <v>46290</v>
      </c>
      <c r="B8708" s="216" t="n">
        <v>21.18</v>
      </c>
      <c r="C8708" s="216" t="n">
        <v>26.47</v>
      </c>
      <c r="D8708" s="216" t="n">
        <v>1.168424010276794</v>
      </c>
      <c r="E8708" s="215" t="n">
        <v>46289</v>
      </c>
      <c r="F8708" s="215" t="n">
        <v>46290</v>
      </c>
    </row>
    <row r="8709">
      <c r="A8709" s="215" t="n">
        <v>46293</v>
      </c>
      <c r="B8709" s="216" t="n">
        <v>20.58</v>
      </c>
      <c r="C8709" s="216" t="n">
        <v>26</v>
      </c>
      <c r="D8709" s="216" t="n">
        <v>1.168378949165344</v>
      </c>
      <c r="E8709" s="215" t="n">
        <v>46293</v>
      </c>
      <c r="F8709" s="215" t="n">
        <v>46293</v>
      </c>
    </row>
    <row r="8710">
      <c r="A8710" s="215" t="n">
        <v>46294</v>
      </c>
      <c r="B8710" s="216" t="n">
        <v>20.64</v>
      </c>
      <c r="C8710" s="216" t="n">
        <v>26.01</v>
      </c>
      <c r="D8710" s="216" t="n">
        <v>1.168815970420837</v>
      </c>
      <c r="E8710" s="215" t="n">
        <v>46294</v>
      </c>
      <c r="F8710" s="215" t="n">
        <v>46294</v>
      </c>
    </row>
    <row r="8711">
      <c r="A8711" s="215" t="n">
        <v>46295</v>
      </c>
      <c r="B8711" s="216" t="n">
        <v>20.7</v>
      </c>
      <c r="C8711" s="216" t="n">
        <v>27.04</v>
      </c>
      <c r="D8711" s="216" t="n">
        <v>1.17059600353241</v>
      </c>
      <c r="E8711" s="215" t="n">
        <v>46295</v>
      </c>
      <c r="F8711" s="215" t="n">
        <v>46295</v>
      </c>
    </row>
    <row r="8712">
      <c r="A8712" s="215" t="n">
        <v>46297</v>
      </c>
      <c r="B8712" s="216" t="n">
        <v>20.88</v>
      </c>
      <c r="C8712" s="216" t="n">
        <v>27.04</v>
      </c>
      <c r="D8712" s="216" t="n">
        <v>1.170220971107483</v>
      </c>
      <c r="E8712" s="215" t="n">
        <v>46295</v>
      </c>
      <c r="F8712" s="215" t="n">
        <v>46297</v>
      </c>
    </row>
    <row r="8713">
      <c r="A8713" s="215" t="n">
        <v>45842</v>
      </c>
      <c r="B8713" s="216" t="n">
        <v>57</v>
      </c>
      <c r="C8713" s="216" t="n">
        <v>76.40000000000001</v>
      </c>
      <c r="D8713" s="216" t="n">
        <v>1.095221042633057</v>
      </c>
      <c r="E8713" s="215" t="n">
        <v>45842</v>
      </c>
      <c r="F8713" s="215" t="n">
        <v>45842</v>
      </c>
    </row>
    <row r="8714">
      <c r="A8714" s="215" t="n">
        <v>45845</v>
      </c>
      <c r="B8714" s="216" t="n">
        <v>59.95</v>
      </c>
      <c r="C8714" s="216" t="n">
        <v>76.12</v>
      </c>
      <c r="D8714" s="216" t="n">
        <v>1.095430970191956</v>
      </c>
      <c r="E8714" s="215" t="n">
        <v>45845</v>
      </c>
      <c r="F8714" s="215" t="n">
        <v>45845</v>
      </c>
    </row>
    <row r="8715">
      <c r="A8715" s="215" t="n">
        <v>45846</v>
      </c>
      <c r="B8715" s="216" t="n">
        <v>59.9</v>
      </c>
      <c r="C8715" s="216" t="n">
        <v>76.51000000000001</v>
      </c>
      <c r="D8715" s="216" t="n">
        <v>1.093924999237061</v>
      </c>
      <c r="E8715" s="215" t="n">
        <v>45846</v>
      </c>
      <c r="F8715" s="215" t="n">
        <v>45846</v>
      </c>
    </row>
    <row r="8716">
      <c r="A8716" s="215" t="n">
        <v>45847</v>
      </c>
      <c r="B8716" s="216" t="n">
        <v>58.9</v>
      </c>
      <c r="C8716" s="216" t="n">
        <v>76.25</v>
      </c>
      <c r="D8716" s="216" t="n">
        <v>1.094220995903015</v>
      </c>
      <c r="E8716" s="215" t="n">
        <v>45847</v>
      </c>
      <c r="F8716" s="215" t="n">
        <v>45847</v>
      </c>
    </row>
    <row r="8717">
      <c r="A8717" s="215" t="n">
        <v>45848</v>
      </c>
      <c r="B8717" s="216" t="n">
        <v>58.5</v>
      </c>
      <c r="C8717" s="216" t="n">
        <v>76.44</v>
      </c>
      <c r="D8717" s="216" t="n">
        <v>1.093220949172974</v>
      </c>
      <c r="E8717" s="215" t="n">
        <v>45848</v>
      </c>
      <c r="F8717" s="215" t="n">
        <v>45848</v>
      </c>
    </row>
    <row r="8718">
      <c r="A8718" s="215" t="n">
        <v>45849</v>
      </c>
      <c r="B8718" s="216" t="n">
        <v>60.05</v>
      </c>
      <c r="C8718" s="216" t="n">
        <v>76.34</v>
      </c>
      <c r="D8718" s="216" t="n">
        <v>1.093930959701538</v>
      </c>
      <c r="E8718" s="215" t="n">
        <v>45849</v>
      </c>
      <c r="F8718" s="215" t="n">
        <v>45849</v>
      </c>
    </row>
    <row r="8719">
      <c r="A8719" s="215" t="n">
        <v>45852</v>
      </c>
      <c r="B8719" s="216" t="n">
        <v>59.75</v>
      </c>
      <c r="C8719" s="216" t="n">
        <v>76.20999999999999</v>
      </c>
      <c r="D8719" s="216" t="n">
        <v>1.095023989677429</v>
      </c>
      <c r="E8719" s="215" t="n">
        <v>45852</v>
      </c>
      <c r="F8719" s="215" t="n">
        <v>45852</v>
      </c>
    </row>
    <row r="8720">
      <c r="A8720" s="215" t="n">
        <v>45853</v>
      </c>
      <c r="B8720" s="216" t="n">
        <v>58.45</v>
      </c>
      <c r="C8720" s="216" t="n">
        <v>74.90000000000001</v>
      </c>
      <c r="D8720" s="216" t="n">
        <v>1.095172047615051</v>
      </c>
      <c r="E8720" s="215" t="n">
        <v>45853</v>
      </c>
      <c r="F8720" s="215" t="n">
        <v>45853</v>
      </c>
    </row>
    <row r="8721">
      <c r="A8721" s="215" t="n">
        <v>45854</v>
      </c>
      <c r="B8721" s="216" t="n">
        <v>57.8</v>
      </c>
      <c r="C8721" s="216" t="n">
        <v>74.56999999999999</v>
      </c>
      <c r="D8721" s="216" t="n">
        <v>1.094182014465332</v>
      </c>
      <c r="E8721" s="215" t="n">
        <v>45854</v>
      </c>
      <c r="F8721" s="215" t="n">
        <v>45854</v>
      </c>
    </row>
    <row r="8722">
      <c r="A8722" s="215" t="n">
        <v>45855</v>
      </c>
      <c r="B8722" s="216" t="n">
        <v>57.6</v>
      </c>
      <c r="C8722" s="216" t="n">
        <v>74.22</v>
      </c>
      <c r="D8722" s="216" t="n">
        <v>1.093484044075012</v>
      </c>
      <c r="E8722" s="215" t="n">
        <v>45855</v>
      </c>
      <c r="F8722" s="215" t="n">
        <v>45855</v>
      </c>
    </row>
    <row r="8723">
      <c r="A8723" s="215" t="n">
        <v>45856</v>
      </c>
      <c r="B8723" s="216" t="n">
        <v>58.15</v>
      </c>
      <c r="C8723" s="216" t="n">
        <v>73.89</v>
      </c>
      <c r="D8723" s="216" t="n">
        <v>1.092442035675049</v>
      </c>
      <c r="E8723" s="215" t="n">
        <v>45856</v>
      </c>
      <c r="F8723" s="215" t="n">
        <v>45856</v>
      </c>
    </row>
    <row r="8724">
      <c r="A8724" s="215" t="n">
        <v>45859</v>
      </c>
      <c r="B8724" s="216" t="n">
        <v>58.3</v>
      </c>
      <c r="C8724" s="216" t="n">
        <v>73.51000000000001</v>
      </c>
      <c r="D8724" s="216" t="n">
        <v>1.093299984931946</v>
      </c>
      <c r="E8724" s="215" t="n">
        <v>45859</v>
      </c>
      <c r="F8724" s="215" t="n">
        <v>45859</v>
      </c>
    </row>
    <row r="8725">
      <c r="A8725" s="215" t="n">
        <v>45860</v>
      </c>
      <c r="B8725" s="216" t="n">
        <v>58.5</v>
      </c>
      <c r="C8725" s="216" t="n">
        <v>74.43000000000001</v>
      </c>
      <c r="D8725" s="216" t="n">
        <v>1.093826055526733</v>
      </c>
      <c r="E8725" s="215" t="n">
        <v>45860</v>
      </c>
      <c r="F8725" s="215" t="n">
        <v>45860</v>
      </c>
    </row>
    <row r="8726">
      <c r="A8726" s="215" t="n">
        <v>45861</v>
      </c>
      <c r="B8726" s="216" t="n">
        <v>58.7</v>
      </c>
      <c r="C8726" s="216" t="n">
        <v>74.58</v>
      </c>
      <c r="D8726" s="216" t="n">
        <v>1.094056010246277</v>
      </c>
      <c r="E8726" s="215" t="n">
        <v>45861</v>
      </c>
      <c r="F8726" s="215" t="n">
        <v>45861</v>
      </c>
    </row>
    <row r="8727">
      <c r="A8727" s="215" t="n">
        <v>45862</v>
      </c>
      <c r="B8727" s="216" t="n">
        <v>58.4</v>
      </c>
      <c r="C8727" s="216" t="n">
        <v>75.59</v>
      </c>
      <c r="D8727" s="216" t="n">
        <v>1.096284031867981</v>
      </c>
      <c r="E8727" s="215" t="n">
        <v>45862</v>
      </c>
      <c r="F8727" s="215" t="n">
        <v>45862</v>
      </c>
    </row>
    <row r="8728">
      <c r="A8728" s="215" t="n">
        <v>45863</v>
      </c>
      <c r="B8728" s="216" t="n">
        <v>58.7</v>
      </c>
      <c r="C8728" s="216" t="n">
        <v>75.45</v>
      </c>
      <c r="D8728" s="216" t="n">
        <v>1.097048044204712</v>
      </c>
      <c r="E8728" s="215" t="n">
        <v>45863</v>
      </c>
      <c r="F8728" s="215" t="n">
        <v>45863</v>
      </c>
    </row>
    <row r="8729">
      <c r="A8729" s="215" t="n">
        <v>45866</v>
      </c>
      <c r="B8729" s="216" t="n">
        <v>59.15</v>
      </c>
      <c r="C8729" s="216" t="n">
        <v>75.03</v>
      </c>
      <c r="D8729" s="216" t="n">
        <v>1.097200989723206</v>
      </c>
      <c r="E8729" s="215" t="n">
        <v>45866</v>
      </c>
      <c r="F8729" s="215" t="n">
        <v>45866</v>
      </c>
    </row>
    <row r="8730">
      <c r="A8730" s="215" t="n">
        <v>45867</v>
      </c>
      <c r="B8730" s="216" t="n">
        <v>59.95</v>
      </c>
      <c r="C8730" s="216" t="n">
        <v>74.81</v>
      </c>
      <c r="D8730" s="216" t="n">
        <v>1.093530058860779</v>
      </c>
      <c r="E8730" s="215" t="n">
        <v>45867</v>
      </c>
      <c r="F8730" s="215" t="n">
        <v>45867</v>
      </c>
    </row>
    <row r="8731">
      <c r="A8731" s="215" t="n">
        <v>45868</v>
      </c>
      <c r="B8731" s="216" t="n">
        <v>59.85</v>
      </c>
      <c r="C8731" s="216" t="n">
        <v>75.09999999999999</v>
      </c>
      <c r="D8731" s="216" t="n">
        <v>1.093464970588684</v>
      </c>
      <c r="E8731" s="215" t="n">
        <v>45868</v>
      </c>
      <c r="F8731" s="215" t="n">
        <v>45868</v>
      </c>
    </row>
    <row r="8732">
      <c r="A8732" s="215" t="n">
        <v>45869</v>
      </c>
      <c r="B8732" s="216" t="n">
        <v>59.65</v>
      </c>
      <c r="C8732" s="216" t="n">
        <v>73.8</v>
      </c>
      <c r="D8732" s="216" t="n">
        <v>1.093583941459656</v>
      </c>
      <c r="E8732" s="215" t="n">
        <v>45869</v>
      </c>
      <c r="F8732" s="215" t="n">
        <v>45869</v>
      </c>
    </row>
    <row r="8733">
      <c r="A8733" s="215" t="n">
        <v>45870</v>
      </c>
      <c r="B8733" s="216" t="n">
        <v>60.55</v>
      </c>
      <c r="C8733" s="216" t="n">
        <v>74.25</v>
      </c>
      <c r="D8733" s="216" t="n">
        <v>1.090090990066528</v>
      </c>
      <c r="E8733" s="215" t="n">
        <v>45870</v>
      </c>
      <c r="F8733" s="215" t="n">
        <v>45870</v>
      </c>
    </row>
    <row r="8734">
      <c r="A8734" s="215" t="n">
        <v>45873</v>
      </c>
      <c r="B8734" s="216" t="n">
        <v>60</v>
      </c>
      <c r="C8734" s="216" t="n">
        <v>74.05</v>
      </c>
      <c r="D8734" s="216" t="n">
        <v>1.088384985923767</v>
      </c>
      <c r="E8734" s="215" t="n">
        <v>45873</v>
      </c>
      <c r="F8734" s="215" t="n">
        <v>45873</v>
      </c>
    </row>
    <row r="8735">
      <c r="A8735" s="215" t="n">
        <v>45874</v>
      </c>
      <c r="B8735" s="216" t="n">
        <v>59.5</v>
      </c>
      <c r="C8735" s="216" t="n">
        <v>74.13</v>
      </c>
      <c r="D8735" s="216" t="n">
        <v>1.093202948570251</v>
      </c>
      <c r="E8735" s="215" t="n">
        <v>45874</v>
      </c>
      <c r="F8735" s="215" t="n">
        <v>45874</v>
      </c>
    </row>
    <row r="8736">
      <c r="A8736" s="215" t="n">
        <v>45875</v>
      </c>
      <c r="B8736" s="216" t="n">
        <v>59.25</v>
      </c>
      <c r="C8736" s="216" t="n">
        <v>73.81999999999999</v>
      </c>
      <c r="D8736" s="216" t="n">
        <v>1.092388987541199</v>
      </c>
      <c r="E8736" s="215" t="n">
        <v>45875</v>
      </c>
      <c r="F8736" s="215" t="n">
        <v>45875</v>
      </c>
    </row>
    <row r="8737">
      <c r="A8737" s="215" t="n">
        <v>45876</v>
      </c>
      <c r="B8737" s="216" t="n">
        <v>60.05</v>
      </c>
      <c r="C8737" s="216" t="n">
        <v>73.95</v>
      </c>
      <c r="D8737" s="216" t="n">
        <v>1.092599034309387</v>
      </c>
      <c r="E8737" s="215" t="n">
        <v>45876</v>
      </c>
      <c r="F8737" s="215" t="n">
        <v>45876</v>
      </c>
    </row>
    <row r="8738">
      <c r="A8738" s="215" t="n">
        <v>45877</v>
      </c>
      <c r="B8738" s="216" t="n">
        <v>60.35</v>
      </c>
      <c r="C8738" s="216" t="n">
        <v>73.48999999999999</v>
      </c>
      <c r="D8738" s="216" t="n">
        <v>1.092857956886292</v>
      </c>
      <c r="E8738" s="215" t="n">
        <v>45877</v>
      </c>
      <c r="F8738" s="215" t="n">
        <v>45877</v>
      </c>
    </row>
    <row r="8739">
      <c r="A8739" s="215" t="n">
        <v>45880</v>
      </c>
      <c r="B8739" s="216" t="n">
        <v>60.3</v>
      </c>
      <c r="C8739" s="216" t="n">
        <v>73.68000000000001</v>
      </c>
      <c r="D8739" s="216" t="n">
        <v>1.093001961708069</v>
      </c>
      <c r="E8739" s="215" t="n">
        <v>45880</v>
      </c>
      <c r="F8739" s="215" t="n">
        <v>45880</v>
      </c>
    </row>
    <row r="8740">
      <c r="A8740" s="215" t="n">
        <v>45881</v>
      </c>
      <c r="B8740" s="216" t="n">
        <v>60.3</v>
      </c>
      <c r="C8740" s="216" t="n">
        <v>73.43000000000001</v>
      </c>
      <c r="D8740" s="216" t="n">
        <v>1.091938018798828</v>
      </c>
      <c r="E8740" s="215" t="n">
        <v>45881</v>
      </c>
      <c r="F8740" s="215" t="n">
        <v>45881</v>
      </c>
    </row>
    <row r="8741">
      <c r="A8741" s="215" t="n">
        <v>45882</v>
      </c>
      <c r="B8741" s="216" t="n">
        <v>60.2</v>
      </c>
      <c r="C8741" s="216" t="n">
        <v>73.37</v>
      </c>
      <c r="D8741" s="216" t="n">
        <v>1.093171000480652</v>
      </c>
      <c r="E8741" s="215" t="n">
        <v>45882</v>
      </c>
      <c r="F8741" s="215" t="n">
        <v>45882</v>
      </c>
    </row>
    <row r="8742">
      <c r="A8742" s="215" t="n">
        <v>45883</v>
      </c>
      <c r="B8742" s="216" t="n">
        <v>60.45</v>
      </c>
      <c r="C8742" s="216" t="n">
        <v>73.63</v>
      </c>
      <c r="D8742" s="216" t="n">
        <v>1.093981027603149</v>
      </c>
      <c r="E8742" s="215" t="n">
        <v>45883</v>
      </c>
      <c r="F8742" s="215" t="n">
        <v>45883</v>
      </c>
    </row>
    <row r="8743">
      <c r="A8743" s="215" t="n">
        <v>45884</v>
      </c>
      <c r="B8743" s="216" t="n">
        <v>60.65</v>
      </c>
      <c r="C8743" s="216" t="n">
        <v>73.75</v>
      </c>
      <c r="D8743" s="216" t="n">
        <v>1.091035962104797</v>
      </c>
      <c r="E8743" s="215" t="n">
        <v>45884</v>
      </c>
      <c r="F8743" s="215" t="n">
        <v>45884</v>
      </c>
    </row>
    <row r="8744">
      <c r="A8744" s="215" t="n">
        <v>45887</v>
      </c>
      <c r="B8744" s="216" t="n">
        <v>60.65</v>
      </c>
      <c r="C8744" s="216" t="n">
        <v>74.62</v>
      </c>
      <c r="D8744" s="216" t="n">
        <v>1.089409947395325</v>
      </c>
      <c r="E8744" s="215" t="n">
        <v>45887</v>
      </c>
      <c r="F8744" s="215" t="n">
        <v>45887</v>
      </c>
    </row>
    <row r="8745">
      <c r="A8745" s="215" t="n">
        <v>45888</v>
      </c>
      <c r="B8745" s="216" t="n">
        <v>61.4</v>
      </c>
      <c r="C8745" s="216" t="n">
        <v>74.54000000000001</v>
      </c>
      <c r="D8745" s="216" t="n">
        <v>1.088366031646729</v>
      </c>
      <c r="E8745" s="215" t="n">
        <v>45888</v>
      </c>
      <c r="F8745" s="215" t="n">
        <v>45888</v>
      </c>
    </row>
    <row r="8746">
      <c r="A8746" s="215" t="n">
        <v>45889</v>
      </c>
      <c r="B8746" s="216" t="n">
        <v>61.15</v>
      </c>
      <c r="C8746" s="216" t="n">
        <v>74.92</v>
      </c>
      <c r="D8746" s="216" t="n">
        <v>1.085826992988586</v>
      </c>
      <c r="E8746" s="215" t="n">
        <v>45889</v>
      </c>
      <c r="F8746" s="215" t="n">
        <v>45889</v>
      </c>
    </row>
    <row r="8747">
      <c r="A8747" s="215" t="n">
        <v>45890</v>
      </c>
      <c r="B8747" s="216" t="n">
        <v>60.95</v>
      </c>
      <c r="C8747" s="216" t="n">
        <v>74.84999999999999</v>
      </c>
      <c r="D8747" s="216" t="n">
        <v>1.088521003723145</v>
      </c>
      <c r="E8747" s="215" t="n">
        <v>45890</v>
      </c>
      <c r="F8747" s="215" t="n">
        <v>45890</v>
      </c>
    </row>
    <row r="8748">
      <c r="A8748" s="215" t="n">
        <v>45891</v>
      </c>
      <c r="B8748" s="216" t="n">
        <v>60.8</v>
      </c>
      <c r="C8748" s="216" t="n">
        <v>75.03</v>
      </c>
      <c r="D8748" s="216" t="n">
        <v>1.08814001083374</v>
      </c>
      <c r="E8748" s="215" t="n">
        <v>45891</v>
      </c>
      <c r="F8748" s="215" t="n">
        <v>45891</v>
      </c>
    </row>
    <row r="8749">
      <c r="A8749" s="215" t="n">
        <v>45894</v>
      </c>
      <c r="B8749" s="216" t="n">
        <v>62.35</v>
      </c>
      <c r="C8749" s="216" t="n">
        <v>77.06</v>
      </c>
      <c r="D8749" s="216" t="n">
        <v>1.090230941772461</v>
      </c>
      <c r="E8749" s="215" t="n">
        <v>45894</v>
      </c>
      <c r="F8749" s="215" t="n">
        <v>45894</v>
      </c>
    </row>
    <row r="8750">
      <c r="A8750" s="215" t="n">
        <v>45895</v>
      </c>
      <c r="B8750" s="216" t="n">
        <v>60.8</v>
      </c>
      <c r="C8750" s="216" t="n">
        <v>76.08</v>
      </c>
      <c r="D8750" s="216" t="n">
        <v>1.09236204624176</v>
      </c>
      <c r="E8750" s="215" t="n">
        <v>45895</v>
      </c>
      <c r="F8750" s="215" t="n">
        <v>45895</v>
      </c>
    </row>
    <row r="8751">
      <c r="A8751" s="215" t="n">
        <v>45896</v>
      </c>
      <c r="B8751" s="216" t="n">
        <v>59.25</v>
      </c>
      <c r="C8751" s="216" t="n">
        <v>74.73999999999999</v>
      </c>
      <c r="D8751" s="216" t="n">
        <v>1.089414000511169</v>
      </c>
      <c r="E8751" s="215" t="n">
        <v>45896</v>
      </c>
      <c r="F8751" s="215" t="n">
        <v>45896</v>
      </c>
    </row>
    <row r="8752">
      <c r="A8752" s="215" t="n">
        <v>45897</v>
      </c>
      <c r="B8752" s="216" t="n">
        <v>59.65</v>
      </c>
      <c r="C8752" s="216" t="n">
        <v>74.06999999999999</v>
      </c>
      <c r="D8752" s="216" t="n">
        <v>1.088047027587891</v>
      </c>
      <c r="E8752" s="215" t="n">
        <v>45897</v>
      </c>
      <c r="F8752" s="215" t="n">
        <v>45897</v>
      </c>
    </row>
    <row r="8753">
      <c r="A8753" s="215" t="n">
        <v>45898</v>
      </c>
      <c r="B8753" s="216" t="n">
        <v>59.45</v>
      </c>
      <c r="C8753" s="216" t="n">
        <v>74.3</v>
      </c>
      <c r="D8753" s="216" t="n">
        <v>1.089478969573975</v>
      </c>
      <c r="E8753" s="215" t="n">
        <v>45898</v>
      </c>
      <c r="F8753" s="215" t="n">
        <v>45898</v>
      </c>
    </row>
    <row r="8754">
      <c r="A8754" s="215" t="n">
        <v>45901</v>
      </c>
      <c r="B8754" s="216" t="n">
        <v>59.85</v>
      </c>
      <c r="C8754" s="216" t="n">
        <v>74.88</v>
      </c>
      <c r="D8754" s="216" t="n">
        <v>1.09319794178009</v>
      </c>
      <c r="E8754" s="215" t="n">
        <v>45901</v>
      </c>
      <c r="F8754" s="215" t="n">
        <v>45901</v>
      </c>
    </row>
    <row r="8755">
      <c r="A8755" s="215" t="n">
        <v>45902</v>
      </c>
      <c r="B8755" s="216" t="n">
        <v>58.6</v>
      </c>
      <c r="C8755" s="216" t="n">
        <v>74.40000000000001</v>
      </c>
      <c r="D8755" s="216" t="n">
        <v>1.093255043029785</v>
      </c>
      <c r="E8755" s="215" t="n">
        <v>45902</v>
      </c>
      <c r="F8755" s="215" t="n">
        <v>45902</v>
      </c>
    </row>
    <row r="8756">
      <c r="A8756" s="215" t="n">
        <v>45903</v>
      </c>
      <c r="B8756" s="216" t="n">
        <v>58</v>
      </c>
      <c r="C8756" s="216" t="n">
        <v>73.45</v>
      </c>
      <c r="D8756" s="216" t="n">
        <v>1.09343695640564</v>
      </c>
      <c r="E8756" s="215" t="n">
        <v>45903</v>
      </c>
      <c r="F8756" s="215" t="n">
        <v>45903</v>
      </c>
    </row>
    <row r="8757">
      <c r="A8757" s="215" t="n">
        <v>45904</v>
      </c>
      <c r="B8757" s="216" t="n">
        <v>59.6</v>
      </c>
      <c r="C8757" s="216" t="n">
        <v>73.88</v>
      </c>
      <c r="D8757" s="216" t="n">
        <v>1.092192053794861</v>
      </c>
      <c r="E8757" s="215" t="n">
        <v>45904</v>
      </c>
      <c r="F8757" s="215" t="n">
        <v>45904</v>
      </c>
    </row>
    <row r="8758">
      <c r="A8758" s="215" t="n">
        <v>45905</v>
      </c>
      <c r="B8758" s="216" t="n">
        <v>59.75</v>
      </c>
      <c r="C8758" s="216" t="n">
        <v>74.03</v>
      </c>
      <c r="D8758" s="216" t="n">
        <v>1.092169046401978</v>
      </c>
      <c r="E8758" s="215" t="n">
        <v>45905</v>
      </c>
      <c r="F8758" s="215" t="n">
        <v>45905</v>
      </c>
    </row>
    <row r="8759">
      <c r="A8759" s="215" t="n">
        <v>45908</v>
      </c>
      <c r="B8759" s="216" t="n">
        <v>58.95</v>
      </c>
      <c r="C8759" s="216" t="n">
        <v>75.18000000000001</v>
      </c>
      <c r="D8759" s="216" t="n">
        <v>1.093217015266418</v>
      </c>
      <c r="E8759" s="215" t="n">
        <v>45908</v>
      </c>
      <c r="F8759" s="215" t="n">
        <v>45908</v>
      </c>
    </row>
    <row r="8760">
      <c r="A8760" s="215" t="n">
        <v>45909</v>
      </c>
      <c r="B8760" s="216" t="n">
        <v>57.7</v>
      </c>
      <c r="C8760" s="216" t="n">
        <v>74.95999999999999</v>
      </c>
      <c r="D8760" s="216" t="n">
        <v>1.092916965484619</v>
      </c>
      <c r="E8760" s="215" t="n">
        <v>45909</v>
      </c>
      <c r="F8760" s="215" t="n">
        <v>45909</v>
      </c>
    </row>
    <row r="8761">
      <c r="A8761" s="215" t="n">
        <v>45910</v>
      </c>
      <c r="B8761" s="216" t="n">
        <v>57.7</v>
      </c>
      <c r="C8761" s="216" t="n">
        <v>74.48999999999999</v>
      </c>
      <c r="D8761" s="216" t="n">
        <v>1.093482971191406</v>
      </c>
      <c r="E8761" s="215" t="n">
        <v>45910</v>
      </c>
      <c r="F8761" s="215" t="n">
        <v>45910</v>
      </c>
    </row>
    <row r="8762">
      <c r="A8762" s="215" t="n">
        <v>45911</v>
      </c>
      <c r="B8762" s="216" t="n">
        <v>57.5</v>
      </c>
      <c r="C8762" s="216" t="n">
        <v>75.11</v>
      </c>
      <c r="D8762" s="216" t="n">
        <v>1.093762993812561</v>
      </c>
      <c r="E8762" s="215" t="n">
        <v>45911</v>
      </c>
      <c r="F8762" s="215" t="n">
        <v>45911</v>
      </c>
    </row>
    <row r="8763">
      <c r="A8763" s="215" t="n">
        <v>45912</v>
      </c>
      <c r="B8763" s="216" t="n">
        <v>57.1</v>
      </c>
      <c r="C8763" s="216" t="n">
        <v>74.01000000000001</v>
      </c>
      <c r="D8763" s="216" t="n">
        <v>1.094014048576355</v>
      </c>
      <c r="E8763" s="215" t="n">
        <v>45912</v>
      </c>
      <c r="F8763" s="215" t="n">
        <v>45912</v>
      </c>
    </row>
    <row r="8764">
      <c r="A8764" s="215" t="n">
        <v>45915</v>
      </c>
      <c r="B8764" s="216" t="n">
        <v>58.5</v>
      </c>
      <c r="C8764" s="216" t="n">
        <v>74.58</v>
      </c>
      <c r="D8764" s="216" t="n">
        <v>1.091848969459534</v>
      </c>
      <c r="E8764" s="215" t="n">
        <v>45915</v>
      </c>
      <c r="F8764" s="215" t="n">
        <v>45915</v>
      </c>
    </row>
    <row r="8765">
      <c r="A8765" s="215" t="n">
        <v>45916</v>
      </c>
      <c r="B8765" s="216" t="n">
        <v>58.45</v>
      </c>
      <c r="C8765" s="216" t="n">
        <v>74.08</v>
      </c>
      <c r="D8765" s="216" t="n">
        <v>1.092795968055725</v>
      </c>
      <c r="E8765" s="215" t="n">
        <v>45916</v>
      </c>
      <c r="F8765" s="215" t="n">
        <v>45916</v>
      </c>
    </row>
    <row r="8766">
      <c r="A8766" s="215" t="n">
        <v>45917</v>
      </c>
      <c r="B8766" s="216" t="n">
        <v>58.85</v>
      </c>
      <c r="C8766" s="216" t="n">
        <v>73.78</v>
      </c>
      <c r="D8766" s="216" t="n">
        <v>1.093690991401672</v>
      </c>
      <c r="E8766" s="215" t="n">
        <v>45917</v>
      </c>
      <c r="F8766" s="215" t="n">
        <v>45917</v>
      </c>
    </row>
    <row r="8767">
      <c r="A8767" s="215" t="n">
        <v>45918</v>
      </c>
      <c r="B8767" s="216" t="n">
        <v>58.45</v>
      </c>
      <c r="C8767" s="216" t="n">
        <v>73.26000000000001</v>
      </c>
      <c r="D8767" s="216" t="n">
        <v>1.094727993011475</v>
      </c>
      <c r="E8767" s="215" t="n">
        <v>45918</v>
      </c>
      <c r="F8767" s="215" t="n">
        <v>45918</v>
      </c>
    </row>
    <row r="8768">
      <c r="A8768" s="215" t="n">
        <v>45919</v>
      </c>
      <c r="B8768" s="216" t="n">
        <v>59.85</v>
      </c>
      <c r="C8768" s="216" t="n">
        <v>74.04000000000001</v>
      </c>
      <c r="D8768" s="216" t="n">
        <v>1.093201994895935</v>
      </c>
      <c r="E8768" s="215" t="n">
        <v>45919</v>
      </c>
      <c r="F8768" s="215" t="n">
        <v>45919</v>
      </c>
    </row>
    <row r="8769">
      <c r="A8769" s="215" t="n">
        <v>45922</v>
      </c>
      <c r="B8769" s="216" t="n">
        <v>60.8</v>
      </c>
      <c r="C8769" s="216" t="n">
        <v>73.42</v>
      </c>
      <c r="D8769" s="216" t="n">
        <v>1.092589020729065</v>
      </c>
      <c r="E8769" s="215" t="n">
        <v>45922</v>
      </c>
      <c r="F8769" s="215" t="n">
        <v>45922</v>
      </c>
    </row>
    <row r="8770">
      <c r="A8770" s="215" t="n">
        <v>45923</v>
      </c>
      <c r="B8770" s="216" t="n">
        <v>60.9</v>
      </c>
      <c r="C8770" s="216" t="n">
        <v>70.77</v>
      </c>
      <c r="D8770" s="216" t="n">
        <v>1.0920250415802</v>
      </c>
      <c r="E8770" s="215" t="n">
        <v>45923</v>
      </c>
      <c r="F8770" s="215" t="n">
        <v>45923</v>
      </c>
    </row>
    <row r="8771">
      <c r="A8771" s="215" t="n">
        <v>45924</v>
      </c>
      <c r="B8771" s="216" t="n">
        <v>60.75</v>
      </c>
      <c r="C8771" s="216" t="n">
        <v>70.59999999999999</v>
      </c>
      <c r="D8771" s="216" t="n">
        <v>1.093196988105774</v>
      </c>
      <c r="E8771" s="215" t="n">
        <v>45924</v>
      </c>
      <c r="F8771" s="215" t="n">
        <v>45924</v>
      </c>
    </row>
    <row r="8772">
      <c r="A8772" s="215" t="n">
        <v>45925</v>
      </c>
      <c r="B8772" s="216" t="n">
        <v>59.3</v>
      </c>
      <c r="C8772" s="216" t="n">
        <v>70.27</v>
      </c>
      <c r="D8772" s="216" t="n">
        <v>1.090371012687683</v>
      </c>
      <c r="E8772" s="215" t="n">
        <v>45925</v>
      </c>
      <c r="F8772" s="215" t="n">
        <v>45925</v>
      </c>
    </row>
    <row r="8773">
      <c r="A8773" s="215" t="n">
        <v>45926</v>
      </c>
      <c r="B8773" s="216" t="n">
        <v>59.4</v>
      </c>
      <c r="C8773" s="216" t="n">
        <v>70.53</v>
      </c>
      <c r="D8773" s="216" t="n">
        <v>1.090574979782104</v>
      </c>
      <c r="E8773" s="215" t="n">
        <v>45926</v>
      </c>
      <c r="F8773" s="215" t="n">
        <v>45926</v>
      </c>
    </row>
    <row r="8774">
      <c r="A8774" s="215" t="n">
        <v>45929</v>
      </c>
      <c r="B8774" s="216" t="n">
        <v>59.85</v>
      </c>
      <c r="C8774" s="216" t="n">
        <v>70.25</v>
      </c>
      <c r="D8774" s="216" t="n">
        <v>1.090520024299622</v>
      </c>
      <c r="E8774" s="215" t="n">
        <v>45929</v>
      </c>
      <c r="F8774" s="215" t="n">
        <v>45929</v>
      </c>
    </row>
    <row r="8775">
      <c r="A8775" s="215" t="n">
        <v>45930</v>
      </c>
      <c r="B8775" s="216" t="n">
        <v>60.8</v>
      </c>
      <c r="C8775" s="216" t="n">
        <v>70.51000000000001</v>
      </c>
      <c r="D8775" s="216" t="n">
        <v>1.093106031417847</v>
      </c>
      <c r="E8775" s="215" t="n">
        <v>45930</v>
      </c>
      <c r="F8775" s="215" t="n">
        <v>45930</v>
      </c>
    </row>
    <row r="8776">
      <c r="A8776" s="215" t="n">
        <v>45932</v>
      </c>
      <c r="B8776" s="216" t="n">
        <v>58.45</v>
      </c>
      <c r="C8776" s="216" t="n">
        <v>70.51000000000001</v>
      </c>
      <c r="D8776" s="216" t="n">
        <v>1.092823028564453</v>
      </c>
      <c r="E8776" s="215" t="n">
        <v>45930</v>
      </c>
      <c r="F8776" s="215" t="n">
        <v>45932</v>
      </c>
    </row>
    <row r="8777">
      <c r="A8777" s="215" t="n">
        <v>45933</v>
      </c>
      <c r="B8777" s="216" t="n">
        <v>58</v>
      </c>
      <c r="C8777" s="216" t="n">
        <v>70.51000000000001</v>
      </c>
      <c r="D8777" s="216" t="n">
        <v>1.09303605556488</v>
      </c>
      <c r="E8777" s="215" t="n">
        <v>45930</v>
      </c>
      <c r="F8777" s="215" t="n">
        <v>45933</v>
      </c>
    </row>
    <row r="8778">
      <c r="A8778" s="215" t="n">
        <v>45936</v>
      </c>
      <c r="B8778" s="216" t="n">
        <v>58</v>
      </c>
      <c r="C8778" s="216" t="n">
        <v>70.51000000000001</v>
      </c>
      <c r="D8778" s="216" t="n">
        <v>1.092857956886292</v>
      </c>
      <c r="E8778" s="215" t="n">
        <v>45930</v>
      </c>
      <c r="F8778" s="215" t="n">
        <v>45936</v>
      </c>
    </row>
    <row r="8779">
      <c r="A8779" s="215" t="n">
        <v>45938</v>
      </c>
      <c r="B8779" s="216" t="n">
        <v>57.4</v>
      </c>
      <c r="C8779" s="216" t="n">
        <v>70.51000000000001</v>
      </c>
      <c r="D8779" s="216" t="n">
        <v>1.093148946762085</v>
      </c>
      <c r="E8779" s="215" t="n">
        <v>45930</v>
      </c>
      <c r="F8779" s="215" t="n">
        <v>45938</v>
      </c>
    </row>
    <row r="8780">
      <c r="A8780" s="215" t="n">
        <v>45939</v>
      </c>
      <c r="B8780" s="216" t="n">
        <v>57.65</v>
      </c>
      <c r="C8780" s="216" t="n">
        <v>70.25</v>
      </c>
      <c r="D8780" s="216" t="n">
        <v>1.092933058738708</v>
      </c>
      <c r="E8780" s="215" t="n">
        <v>45939</v>
      </c>
      <c r="F8780" s="215" t="n">
        <v>45939</v>
      </c>
    </row>
    <row r="8781">
      <c r="A8781" s="215" t="n">
        <v>45940</v>
      </c>
      <c r="B8781" s="216" t="n">
        <v>58.3</v>
      </c>
      <c r="C8781" s="216" t="n">
        <v>70.70999999999999</v>
      </c>
      <c r="D8781" s="216" t="n">
        <v>1.091662049293518</v>
      </c>
      <c r="E8781" s="215" t="n">
        <v>45940</v>
      </c>
      <c r="F8781" s="215" t="n">
        <v>45940</v>
      </c>
    </row>
    <row r="8782">
      <c r="A8782" s="215" t="n">
        <v>45943</v>
      </c>
      <c r="B8782" s="216" t="n">
        <v>58.1</v>
      </c>
      <c r="C8782" s="216" t="n">
        <v>69.93000000000001</v>
      </c>
      <c r="D8782" s="216" t="n">
        <v>1.093768000602722</v>
      </c>
      <c r="E8782" s="215" t="n">
        <v>45943</v>
      </c>
      <c r="F8782" s="215" t="n">
        <v>45943</v>
      </c>
    </row>
    <row r="8783">
      <c r="A8783" s="215" t="n">
        <v>45944</v>
      </c>
      <c r="B8783" s="216" t="n">
        <v>58</v>
      </c>
      <c r="C8783" s="216" t="n">
        <v>70.05</v>
      </c>
      <c r="D8783" s="216" t="n">
        <v>1.093292951583862</v>
      </c>
      <c r="E8783" s="215" t="n">
        <v>45944</v>
      </c>
      <c r="F8783" s="215" t="n">
        <v>45944</v>
      </c>
    </row>
    <row r="8784">
      <c r="A8784" s="215" t="n">
        <v>45945</v>
      </c>
      <c r="B8784" s="216" t="n">
        <v>59</v>
      </c>
      <c r="C8784" s="216" t="n">
        <v>70.56999999999999</v>
      </c>
      <c r="D8784" s="216" t="n">
        <v>1.088750958442688</v>
      </c>
      <c r="E8784" s="215" t="n">
        <v>45945</v>
      </c>
      <c r="F8784" s="215" t="n">
        <v>45945</v>
      </c>
    </row>
    <row r="8785">
      <c r="A8785" s="215" t="n">
        <v>45946</v>
      </c>
      <c r="B8785" s="216" t="n">
        <v>60.2</v>
      </c>
      <c r="C8785" s="216" t="n">
        <v>70.7</v>
      </c>
      <c r="D8785" s="216" t="n">
        <v>1.090903043746948</v>
      </c>
      <c r="E8785" s="215" t="n">
        <v>45946</v>
      </c>
      <c r="F8785" s="215" t="n">
        <v>45946</v>
      </c>
    </row>
    <row r="8786">
      <c r="A8786" s="215" t="n">
        <v>45947</v>
      </c>
      <c r="B8786" s="216" t="n">
        <v>58.75</v>
      </c>
      <c r="C8786" s="216" t="n">
        <v>70.18000000000001</v>
      </c>
      <c r="D8786" s="216" t="n">
        <v>1.09073805809021</v>
      </c>
      <c r="E8786" s="215" t="n">
        <v>45947</v>
      </c>
      <c r="F8786" s="215" t="n">
        <v>45947</v>
      </c>
    </row>
    <row r="8787">
      <c r="A8787" s="215" t="n">
        <v>45950</v>
      </c>
      <c r="B8787" s="216" t="n">
        <v>59.2</v>
      </c>
      <c r="C8787" s="216" t="n">
        <v>70.67</v>
      </c>
      <c r="D8787" s="216" t="n">
        <v>1.089843988418579</v>
      </c>
      <c r="E8787" s="215" t="n">
        <v>45950</v>
      </c>
      <c r="F8787" s="215" t="n">
        <v>45950</v>
      </c>
    </row>
    <row r="8788">
      <c r="A8788" s="215" t="n">
        <v>45951</v>
      </c>
      <c r="B8788" s="216" t="n">
        <v>58.95</v>
      </c>
      <c r="C8788" s="216" t="n">
        <v>70.83</v>
      </c>
      <c r="D8788" s="216" t="n">
        <v>1.091038942337036</v>
      </c>
      <c r="E8788" s="215" t="n">
        <v>45951</v>
      </c>
      <c r="F8788" s="215" t="n">
        <v>45951</v>
      </c>
    </row>
    <row r="8789">
      <c r="A8789" s="215" t="n">
        <v>45952</v>
      </c>
      <c r="B8789" s="216" t="n">
        <v>59.4</v>
      </c>
      <c r="C8789" s="216" t="n">
        <v>70.81999999999999</v>
      </c>
      <c r="D8789" s="216" t="n">
        <v>1.091071009635925</v>
      </c>
      <c r="E8789" s="215" t="n">
        <v>45952</v>
      </c>
      <c r="F8789" s="215" t="n">
        <v>45952</v>
      </c>
    </row>
    <row r="8790">
      <c r="A8790" s="215" t="n">
        <v>45953</v>
      </c>
      <c r="B8790" s="216" t="n">
        <v>58.65</v>
      </c>
      <c r="C8790" s="216" t="n">
        <v>70.5</v>
      </c>
      <c r="D8790" s="216" t="n">
        <v>1.090343952178955</v>
      </c>
      <c r="E8790" s="215" t="n">
        <v>45953</v>
      </c>
      <c r="F8790" s="215" t="n">
        <v>45953</v>
      </c>
    </row>
    <row r="8791">
      <c r="A8791" s="215" t="n">
        <v>45954</v>
      </c>
      <c r="B8791" s="216" t="n">
        <v>58.55</v>
      </c>
      <c r="C8791" s="216" t="n">
        <v>70.09</v>
      </c>
      <c r="D8791" s="216" t="n">
        <v>1.090456962585449</v>
      </c>
      <c r="E8791" s="215" t="n">
        <v>45954</v>
      </c>
      <c r="F8791" s="215" t="n">
        <v>45954</v>
      </c>
    </row>
    <row r="8792">
      <c r="A8792" s="215" t="n">
        <v>45957</v>
      </c>
      <c r="B8792" s="216" t="n">
        <v>58</v>
      </c>
      <c r="C8792" s="216" t="n">
        <v>70.08</v>
      </c>
      <c r="D8792" s="216" t="n">
        <v>1.090957045555115</v>
      </c>
      <c r="E8792" s="215" t="n">
        <v>45957</v>
      </c>
      <c r="F8792" s="215" t="n">
        <v>45957</v>
      </c>
    </row>
    <row r="8793">
      <c r="A8793" s="215" t="n">
        <v>45958</v>
      </c>
      <c r="B8793" s="216" t="n">
        <v>57.7</v>
      </c>
      <c r="C8793" s="216" t="n">
        <v>69.83</v>
      </c>
      <c r="D8793" s="216" t="n">
        <v>1.092440009117126</v>
      </c>
      <c r="E8793" s="215" t="n">
        <v>45958</v>
      </c>
      <c r="F8793" s="215" t="n">
        <v>45958</v>
      </c>
    </row>
    <row r="8794">
      <c r="A8794" s="215" t="n">
        <v>45960</v>
      </c>
      <c r="B8794" s="216" t="n">
        <v>62.05</v>
      </c>
      <c r="C8794" s="216" t="n">
        <v>73.11</v>
      </c>
      <c r="D8794" s="216" t="n">
        <v>1.09463894367218</v>
      </c>
      <c r="E8794" s="215" t="n">
        <v>45960</v>
      </c>
      <c r="F8794" s="215" t="n">
        <v>45960</v>
      </c>
    </row>
    <row r="8795">
      <c r="A8795" s="215" t="n">
        <v>45961</v>
      </c>
      <c r="B8795" s="216" t="n">
        <v>62</v>
      </c>
      <c r="C8795" s="216" t="n">
        <v>73.89</v>
      </c>
      <c r="D8795" s="216" t="n">
        <v>1.092543959617615</v>
      </c>
      <c r="E8795" s="215" t="n">
        <v>45961</v>
      </c>
      <c r="F8795" s="215" t="n">
        <v>45961</v>
      </c>
    </row>
    <row r="8796">
      <c r="A8796" s="215" t="n">
        <v>45964</v>
      </c>
      <c r="B8796" s="216" t="n">
        <v>65.8</v>
      </c>
      <c r="C8796" s="216" t="n">
        <v>74.87</v>
      </c>
      <c r="D8796" s="216" t="n">
        <v>1.091722965240479</v>
      </c>
      <c r="E8796" s="215" t="n">
        <v>45964</v>
      </c>
      <c r="F8796" s="215" t="n">
        <v>45964</v>
      </c>
    </row>
    <row r="8797">
      <c r="A8797" s="215" t="n">
        <v>45965</v>
      </c>
      <c r="B8797" s="216" t="n">
        <v>64.5</v>
      </c>
      <c r="C8797" s="216" t="n">
        <v>73.81999999999999</v>
      </c>
      <c r="D8797" s="216" t="n">
        <v>1.083533048629761</v>
      </c>
      <c r="E8797" s="215" t="n">
        <v>45965</v>
      </c>
      <c r="F8797" s="215" t="n">
        <v>45965</v>
      </c>
    </row>
    <row r="8798">
      <c r="A8798" s="215" t="n">
        <v>45966</v>
      </c>
      <c r="B8798" s="216" t="n">
        <v>66.3</v>
      </c>
      <c r="C8798" s="216" t="n">
        <v>74.81</v>
      </c>
      <c r="D8798" s="216" t="n">
        <v>1.090273976325989</v>
      </c>
      <c r="E8798" s="215" t="n">
        <v>45966</v>
      </c>
      <c r="F8798" s="215" t="n">
        <v>45966</v>
      </c>
    </row>
    <row r="8799">
      <c r="A8799" s="215" t="n">
        <v>45967</v>
      </c>
      <c r="B8799" s="216" t="n">
        <v>64.15000000000001</v>
      </c>
      <c r="C8799" s="216" t="n">
        <v>74.5</v>
      </c>
      <c r="D8799" s="216" t="n">
        <v>1.090808033943176</v>
      </c>
      <c r="E8799" s="215" t="n">
        <v>45967</v>
      </c>
      <c r="F8799" s="215" t="n">
        <v>45967</v>
      </c>
    </row>
    <row r="8800">
      <c r="A8800" s="215" t="n">
        <v>45968</v>
      </c>
      <c r="B8800" s="216" t="n">
        <v>64.8</v>
      </c>
      <c r="C8800" s="216" t="n">
        <v>74.18000000000001</v>
      </c>
      <c r="D8800" s="216" t="n">
        <v>1.092054009437561</v>
      </c>
      <c r="E8800" s="215" t="n">
        <v>45968</v>
      </c>
      <c r="F8800" s="215" t="n">
        <v>45968</v>
      </c>
    </row>
    <row r="8801">
      <c r="A8801" s="215" t="n">
        <v>45971</v>
      </c>
      <c r="B8801" s="216" t="n">
        <v>68.09999999999999</v>
      </c>
      <c r="C8801" s="216" t="n">
        <v>78.08</v>
      </c>
      <c r="D8801" s="216" t="n">
        <v>1.092267036437988</v>
      </c>
      <c r="E8801" s="215" t="n">
        <v>45971</v>
      </c>
      <c r="F8801" s="215" t="n">
        <v>45971</v>
      </c>
    </row>
    <row r="8802">
      <c r="A8802" s="215" t="n">
        <v>45972</v>
      </c>
      <c r="B8802" s="216" t="n">
        <v>67.45</v>
      </c>
      <c r="C8802" s="216" t="n">
        <v>77.20999999999999</v>
      </c>
      <c r="D8802" s="216" t="n">
        <v>1.091644048690796</v>
      </c>
      <c r="E8802" s="215" t="n">
        <v>45972</v>
      </c>
      <c r="F8802" s="215" t="n">
        <v>45972</v>
      </c>
    </row>
    <row r="8803">
      <c r="A8803" s="215" t="n">
        <v>45973</v>
      </c>
      <c r="B8803" s="216" t="n">
        <v>70.59999999999999</v>
      </c>
      <c r="C8803" s="216" t="n">
        <v>81.22</v>
      </c>
      <c r="D8803" s="216" t="n">
        <v>1.091495990753174</v>
      </c>
      <c r="E8803" s="215" t="n">
        <v>45973</v>
      </c>
      <c r="F8803" s="215" t="n">
        <v>45973</v>
      </c>
    </row>
    <row r="8804">
      <c r="A8804" s="215" t="n">
        <v>45974</v>
      </c>
      <c r="B8804" s="216" t="n">
        <v>71.5</v>
      </c>
      <c r="C8804" s="216" t="n">
        <v>83.5</v>
      </c>
      <c r="D8804" s="216" t="n">
        <v>1.092489004135132</v>
      </c>
      <c r="E8804" s="215" t="n">
        <v>45974</v>
      </c>
      <c r="F8804" s="215" t="n">
        <v>45974</v>
      </c>
    </row>
    <row r="8805">
      <c r="A8805" s="215" t="n">
        <v>45975</v>
      </c>
      <c r="B8805" s="216" t="n">
        <v>68.40000000000001</v>
      </c>
      <c r="C8805" s="216" t="n">
        <v>81.53</v>
      </c>
      <c r="D8805" s="216" t="n">
        <v>1.092411994934082</v>
      </c>
      <c r="E8805" s="215" t="n">
        <v>45975</v>
      </c>
      <c r="F8805" s="215" t="n">
        <v>45975</v>
      </c>
    </row>
    <row r="8806">
      <c r="A8806" s="215" t="n">
        <v>45978</v>
      </c>
      <c r="B8806" s="216" t="n">
        <v>69.5</v>
      </c>
      <c r="C8806" s="216" t="n">
        <v>82.09999999999999</v>
      </c>
      <c r="D8806" s="216" t="n">
        <v>1.094588041305542</v>
      </c>
      <c r="E8806" s="215" t="n">
        <v>45978</v>
      </c>
      <c r="F8806" s="215" t="n">
        <v>45978</v>
      </c>
    </row>
    <row r="8807">
      <c r="A8807" s="215" t="n">
        <v>45979</v>
      </c>
      <c r="B8807" s="216" t="n">
        <v>67.5</v>
      </c>
      <c r="C8807" s="216" t="n">
        <v>80.5</v>
      </c>
      <c r="D8807" s="216" t="n">
        <v>1.093616008758545</v>
      </c>
      <c r="E8807" s="215" t="n">
        <v>45979</v>
      </c>
      <c r="F8807" s="215" t="n">
        <v>45979</v>
      </c>
    </row>
    <row r="8808">
      <c r="A8808" s="215" t="n">
        <v>45980</v>
      </c>
      <c r="B8808" s="216" t="n">
        <v>70.05</v>
      </c>
      <c r="C8808" s="216" t="n">
        <v>80.22</v>
      </c>
      <c r="D8808" s="216" t="n">
        <v>1.095010995864868</v>
      </c>
      <c r="E8808" s="215" t="n">
        <v>45980</v>
      </c>
      <c r="F8808" s="215" t="n">
        <v>45980</v>
      </c>
    </row>
    <row r="8809">
      <c r="A8809" s="215" t="n">
        <v>45981</v>
      </c>
      <c r="B8809" s="216" t="n">
        <v>67.90000000000001</v>
      </c>
      <c r="C8809" s="216" t="n">
        <v>78.73999999999999</v>
      </c>
      <c r="D8809" s="216" t="n">
        <v>1.095402002334595</v>
      </c>
      <c r="E8809" s="215" t="n">
        <v>45981</v>
      </c>
      <c r="F8809" s="215" t="n">
        <v>45981</v>
      </c>
    </row>
    <row r="8810">
      <c r="A8810" s="215" t="n">
        <v>45982</v>
      </c>
      <c r="B8810" s="216" t="n">
        <v>67</v>
      </c>
      <c r="C8810" s="216" t="n">
        <v>78.53</v>
      </c>
      <c r="D8810" s="216" t="n">
        <v>1.094982981681824</v>
      </c>
      <c r="E8810" s="215" t="n">
        <v>45982</v>
      </c>
      <c r="F8810" s="215" t="n">
        <v>45982</v>
      </c>
    </row>
    <row r="8811">
      <c r="A8811" s="215" t="n">
        <v>45985</v>
      </c>
      <c r="B8811" s="216" t="n">
        <v>68.15000000000001</v>
      </c>
      <c r="C8811" s="216" t="n">
        <v>78.83</v>
      </c>
      <c r="D8811" s="216" t="n">
        <v>1.094988942146301</v>
      </c>
      <c r="E8811" s="215" t="n">
        <v>45985</v>
      </c>
      <c r="F8811" s="215" t="n">
        <v>45985</v>
      </c>
    </row>
    <row r="8812">
      <c r="A8812" s="215" t="n">
        <v>45986</v>
      </c>
      <c r="B8812" s="216" t="n">
        <v>71.2</v>
      </c>
      <c r="C8812" s="216" t="n">
        <v>80.55</v>
      </c>
      <c r="D8812" s="216" t="n">
        <v>1.095428943634033</v>
      </c>
      <c r="E8812" s="215" t="n">
        <v>45986</v>
      </c>
      <c r="F8812" s="215" t="n">
        <v>45986</v>
      </c>
    </row>
    <row r="8813">
      <c r="A8813" s="215" t="n">
        <v>45987</v>
      </c>
      <c r="B8813" s="216" t="n">
        <v>71.05</v>
      </c>
      <c r="C8813" s="216" t="n">
        <v>80.38</v>
      </c>
      <c r="D8813" s="216" t="n">
        <v>1.097422003746033</v>
      </c>
      <c r="E8813" s="215" t="n">
        <v>45987</v>
      </c>
      <c r="F8813" s="215" t="n">
        <v>45987</v>
      </c>
    </row>
    <row r="8814">
      <c r="A8814" s="215" t="n">
        <v>45988</v>
      </c>
      <c r="B8814" s="216" t="n">
        <v>70.75</v>
      </c>
      <c r="C8814" s="216" t="n">
        <v>79.78</v>
      </c>
      <c r="D8814" s="216" t="n">
        <v>1.098397016525269</v>
      </c>
      <c r="E8814" s="215" t="n">
        <v>45988</v>
      </c>
      <c r="F8814" s="215" t="n">
        <v>45988</v>
      </c>
    </row>
    <row r="8815">
      <c r="A8815" s="215" t="n">
        <v>45989</v>
      </c>
      <c r="B8815" s="216" t="n">
        <v>73.09999999999999</v>
      </c>
      <c r="C8815" s="216" t="n">
        <v>81.45</v>
      </c>
      <c r="D8815" s="216" t="n">
        <v>1.098330020904541</v>
      </c>
      <c r="E8815" s="215" t="n">
        <v>45989</v>
      </c>
      <c r="F8815" s="215" t="n">
        <v>45989</v>
      </c>
    </row>
    <row r="8816">
      <c r="A8816" s="215" t="n">
        <v>45992</v>
      </c>
      <c r="B8816" s="216" t="n">
        <v>76.34999999999999</v>
      </c>
      <c r="C8816" s="216" t="n">
        <v>83.84999999999999</v>
      </c>
      <c r="D8816" s="216" t="n">
        <v>1.10015594959259</v>
      </c>
      <c r="E8816" s="215" t="n">
        <v>45992</v>
      </c>
      <c r="F8816" s="215" t="n">
        <v>45992</v>
      </c>
    </row>
    <row r="8817">
      <c r="A8817" s="215" t="n">
        <v>45993</v>
      </c>
      <c r="B8817" s="216" t="n">
        <v>73.84999999999999</v>
      </c>
      <c r="C8817" s="216" t="n">
        <v>83.75</v>
      </c>
      <c r="D8817" s="216" t="n">
        <v>1.101189017295837</v>
      </c>
      <c r="E8817" s="215" t="n">
        <v>45993</v>
      </c>
      <c r="F8817" s="215" t="n">
        <v>45993</v>
      </c>
    </row>
    <row r="8818">
      <c r="A8818" s="215" t="n">
        <v>45994</v>
      </c>
      <c r="B8818" s="216" t="n">
        <v>71.8</v>
      </c>
      <c r="C8818" s="216" t="n">
        <v>81.48999999999999</v>
      </c>
      <c r="D8818" s="216" t="n">
        <v>1.100834012031555</v>
      </c>
      <c r="E8818" s="215" t="n">
        <v>45994</v>
      </c>
      <c r="F8818" s="215" t="n">
        <v>45994</v>
      </c>
    </row>
    <row r="8819">
      <c r="A8819" s="215" t="n">
        <v>45995</v>
      </c>
      <c r="B8819" s="216" t="n">
        <v>71.5</v>
      </c>
      <c r="C8819" s="216" t="n">
        <v>80.06999999999999</v>
      </c>
      <c r="D8819" s="216" t="n">
        <v>1.101611018180847</v>
      </c>
      <c r="E8819" s="215" t="n">
        <v>45995</v>
      </c>
      <c r="F8819" s="215" t="n">
        <v>45995</v>
      </c>
    </row>
    <row r="8820">
      <c r="A8820" s="215" t="n">
        <v>45996</v>
      </c>
      <c r="B8820" s="216" t="n">
        <v>70.84999999999999</v>
      </c>
      <c r="C8820" s="216" t="n">
        <v>80.04000000000001</v>
      </c>
      <c r="D8820" s="216" t="n">
        <v>1.100373983383179</v>
      </c>
      <c r="E8820" s="215" t="n">
        <v>45996</v>
      </c>
      <c r="F8820" s="215" t="n">
        <v>45996</v>
      </c>
    </row>
    <row r="8821">
      <c r="A8821" s="215" t="n">
        <v>45999</v>
      </c>
      <c r="B8821" s="216" t="n">
        <v>70.7</v>
      </c>
      <c r="C8821" s="216" t="n">
        <v>80.45</v>
      </c>
      <c r="D8821" s="216" t="n">
        <v>1.1008620262146</v>
      </c>
      <c r="E8821" s="215" t="n">
        <v>45999</v>
      </c>
      <c r="F8821" s="215" t="n">
        <v>45999</v>
      </c>
    </row>
    <row r="8822">
      <c r="A8822" s="215" t="n">
        <v>46000</v>
      </c>
      <c r="B8822" s="216" t="n">
        <v>69.15000000000001</v>
      </c>
      <c r="C8822" s="216" t="n">
        <v>79.78</v>
      </c>
      <c r="D8822" s="216" t="n">
        <v>1.10008704662323</v>
      </c>
      <c r="E8822" s="215" t="n">
        <v>46000</v>
      </c>
      <c r="F8822" s="215" t="n">
        <v>46000</v>
      </c>
    </row>
    <row r="8823">
      <c r="A8823" s="215" t="n">
        <v>46001</v>
      </c>
      <c r="B8823" s="216" t="n">
        <v>69.7</v>
      </c>
      <c r="C8823" s="216" t="n">
        <v>79.5</v>
      </c>
      <c r="D8823" s="216" t="n">
        <v>1.101711988449097</v>
      </c>
      <c r="E8823" s="215" t="n">
        <v>46001</v>
      </c>
      <c r="F8823" s="215" t="n">
        <v>46001</v>
      </c>
    </row>
    <row r="8824">
      <c r="A8824" s="215" t="n">
        <v>46002</v>
      </c>
      <c r="B8824" s="216" t="n">
        <v>67.59999999999999</v>
      </c>
      <c r="C8824" s="216" t="n">
        <v>78.09999999999999</v>
      </c>
      <c r="D8824" s="216" t="n">
        <v>1.10112202167511</v>
      </c>
      <c r="E8824" s="215" t="n">
        <v>46002</v>
      </c>
      <c r="F8824" s="215" t="n">
        <v>46002</v>
      </c>
    </row>
    <row r="8825">
      <c r="A8825" s="215" t="n">
        <v>46003</v>
      </c>
      <c r="B8825" s="216" t="n">
        <v>70.95</v>
      </c>
      <c r="C8825" s="216" t="n">
        <v>79.38</v>
      </c>
      <c r="D8825" s="216" t="n">
        <v>1.102499008178711</v>
      </c>
      <c r="E8825" s="215" t="n">
        <v>46003</v>
      </c>
      <c r="F8825" s="215" t="n">
        <v>46003</v>
      </c>
    </row>
    <row r="8826">
      <c r="A8826" s="215" t="n">
        <v>46006</v>
      </c>
      <c r="B8826" s="216" t="n">
        <v>70</v>
      </c>
      <c r="C8826" s="216" t="n">
        <v>78.75</v>
      </c>
      <c r="D8826" s="216" t="n">
        <v>1.103397965431213</v>
      </c>
      <c r="E8826" s="215" t="n">
        <v>46006</v>
      </c>
      <c r="F8826" s="215" t="n">
        <v>46006</v>
      </c>
    </row>
    <row r="8827">
      <c r="A8827" s="215" t="n">
        <v>46007</v>
      </c>
      <c r="B8827" s="216" t="n">
        <v>69.55</v>
      </c>
      <c r="C8827" s="216" t="n">
        <v>79.98999999999999</v>
      </c>
      <c r="D8827" s="216" t="n">
        <v>1.104179978370667</v>
      </c>
      <c r="E8827" s="215" t="n">
        <v>46007</v>
      </c>
      <c r="F8827" s="215" t="n">
        <v>46007</v>
      </c>
    </row>
    <row r="8828">
      <c r="A8828" s="215" t="n">
        <v>46008</v>
      </c>
      <c r="B8828" s="216" t="n">
        <v>69.90000000000001</v>
      </c>
      <c r="C8828" s="216" t="n">
        <v>82.2</v>
      </c>
      <c r="D8828" s="216" t="n">
        <v>1.104655981063843</v>
      </c>
      <c r="E8828" s="215" t="n">
        <v>46008</v>
      </c>
      <c r="F8828" s="215" t="n">
        <v>46008</v>
      </c>
    </row>
    <row r="8829">
      <c r="A8829" s="215" t="n">
        <v>46009</v>
      </c>
      <c r="B8829" s="216" t="n">
        <v>70.55</v>
      </c>
      <c r="C8829" s="216" t="n">
        <v>81.83</v>
      </c>
      <c r="D8829" s="216" t="n">
        <v>1.104357004165649</v>
      </c>
      <c r="E8829" s="215" t="n">
        <v>46009</v>
      </c>
      <c r="F8829" s="215" t="n">
        <v>46009</v>
      </c>
    </row>
    <row r="8830">
      <c r="A8830" s="215" t="n">
        <v>46010</v>
      </c>
      <c r="B8830" s="216" t="n">
        <v>68.59999999999999</v>
      </c>
      <c r="C8830" s="216" t="n">
        <v>83.20999999999999</v>
      </c>
      <c r="D8830" s="216" t="n">
        <v>1.104962944984436</v>
      </c>
      <c r="E8830" s="215" t="n">
        <v>46010</v>
      </c>
      <c r="F8830" s="215" t="n">
        <v>46010</v>
      </c>
    </row>
    <row r="8831">
      <c r="A8831" s="215" t="n">
        <v>46013</v>
      </c>
      <c r="B8831" s="216" t="n">
        <v>70</v>
      </c>
      <c r="C8831" s="216" t="n">
        <v>82.95999999999999</v>
      </c>
      <c r="D8831" s="216" t="n">
        <v>1.105054020881653</v>
      </c>
      <c r="E8831" s="215" t="n">
        <v>46013</v>
      </c>
      <c r="F8831" s="215" t="n">
        <v>46013</v>
      </c>
    </row>
    <row r="8832">
      <c r="A8832" s="215" t="n">
        <v>46014</v>
      </c>
      <c r="B8832" s="216" t="n">
        <v>68.8</v>
      </c>
      <c r="C8832" s="216" t="n">
        <v>82</v>
      </c>
      <c r="D8832" s="216" t="n">
        <v>1.104820013046265</v>
      </c>
      <c r="E8832" s="215" t="n">
        <v>46014</v>
      </c>
      <c r="F8832" s="215" t="n">
        <v>46014</v>
      </c>
    </row>
    <row r="8833">
      <c r="A8833" s="215" t="n">
        <v>46015</v>
      </c>
      <c r="B8833" s="216" t="n">
        <v>68.05</v>
      </c>
      <c r="C8833" s="216" t="n">
        <v>80.84999999999999</v>
      </c>
      <c r="D8833" s="216" t="n">
        <v>1.106441974639893</v>
      </c>
      <c r="E8833" s="215" t="n">
        <v>46015</v>
      </c>
      <c r="F8833" s="215" t="n">
        <v>46015</v>
      </c>
    </row>
    <row r="8834">
      <c r="A8834" s="215" t="n">
        <v>46020</v>
      </c>
      <c r="B8834" s="216" t="n">
        <v>67.90000000000001</v>
      </c>
      <c r="C8834" s="216" t="n">
        <v>79.92</v>
      </c>
      <c r="D8834" s="216" t="n">
        <v>1.10552704334259</v>
      </c>
      <c r="E8834" s="215" t="n">
        <v>46020</v>
      </c>
      <c r="F8834" s="215" t="n">
        <v>46020</v>
      </c>
    </row>
    <row r="8835">
      <c r="A8835" s="215" t="n">
        <v>46021</v>
      </c>
      <c r="B8835" s="216" t="n">
        <v>66.59999999999999</v>
      </c>
      <c r="C8835" s="216" t="n">
        <v>79.79000000000001</v>
      </c>
      <c r="D8835" s="216" t="n">
        <v>1.109460949897766</v>
      </c>
      <c r="E8835" s="215" t="n">
        <v>46021</v>
      </c>
      <c r="F8835" s="215" t="n">
        <v>46021</v>
      </c>
    </row>
    <row r="8836">
      <c r="A8836" s="215" t="n">
        <v>46022</v>
      </c>
      <c r="B8836" s="216" t="n">
        <v>66.15000000000001</v>
      </c>
      <c r="C8836" s="216" t="n">
        <v>79.28</v>
      </c>
      <c r="D8836" s="216" t="n">
        <v>1.111927032470703</v>
      </c>
      <c r="E8836" s="215" t="n">
        <v>46022</v>
      </c>
      <c r="F8836" s="215" t="n">
        <v>46022</v>
      </c>
    </row>
    <row r="8837">
      <c r="A8837" s="215" t="n">
        <v>46024</v>
      </c>
      <c r="B8837" s="216" t="n">
        <v>67.3</v>
      </c>
      <c r="C8837" s="216" t="n">
        <v>79.28</v>
      </c>
      <c r="D8837" s="216" t="n">
        <v>1.112754940986633</v>
      </c>
      <c r="E8837" s="215" t="n">
        <v>46022</v>
      </c>
      <c r="F8837" s="215" t="n">
        <v>46024</v>
      </c>
    </row>
    <row r="8838">
      <c r="A8838" s="215" t="n">
        <v>46027</v>
      </c>
      <c r="B8838" s="216" t="n">
        <v>67.55</v>
      </c>
      <c r="C8838" s="216" t="n">
        <v>81.41</v>
      </c>
      <c r="D8838" s="216" t="n">
        <v>1.113860011100769</v>
      </c>
      <c r="E8838" s="215" t="n">
        <v>46027</v>
      </c>
      <c r="F8838" s="215" t="n">
        <v>46027</v>
      </c>
    </row>
    <row r="8839">
      <c r="A8839" s="215" t="n">
        <v>46028</v>
      </c>
      <c r="B8839" s="216" t="n">
        <v>68.75</v>
      </c>
      <c r="C8839" s="216" t="n">
        <v>82.73</v>
      </c>
      <c r="D8839" s="216" t="n">
        <v>1.11367404460907</v>
      </c>
      <c r="E8839" s="215" t="n">
        <v>46028</v>
      </c>
      <c r="F8839" s="215" t="n">
        <v>46028</v>
      </c>
    </row>
    <row r="8840">
      <c r="A8840" s="215" t="n">
        <v>46029</v>
      </c>
      <c r="B8840" s="216" t="n">
        <v>68</v>
      </c>
      <c r="C8840" s="216" t="n">
        <v>81.89</v>
      </c>
      <c r="D8840" s="216" t="n">
        <v>1.114913940429688</v>
      </c>
      <c r="E8840" s="215" t="n">
        <v>46029</v>
      </c>
      <c r="F8840" s="215" t="n">
        <v>46029</v>
      </c>
    </row>
    <row r="8841">
      <c r="A8841" s="215" t="n">
        <v>46030</v>
      </c>
      <c r="B8841" s="216" t="n">
        <v>69.95</v>
      </c>
      <c r="C8841" s="216" t="n">
        <v>84.81</v>
      </c>
      <c r="D8841" s="216" t="n">
        <v>1.112563014030457</v>
      </c>
      <c r="E8841" s="215" t="n">
        <v>46030</v>
      </c>
      <c r="F8841" s="215" t="n">
        <v>46030</v>
      </c>
    </row>
    <row r="8842">
      <c r="A8842" s="215" t="n">
        <v>46031</v>
      </c>
      <c r="B8842" s="216" t="n">
        <v>70.5</v>
      </c>
      <c r="C8842" s="216" t="n">
        <v>86.15000000000001</v>
      </c>
      <c r="D8842" s="216" t="n">
        <v>1.115561008453369</v>
      </c>
      <c r="E8842" s="215" t="n">
        <v>46031</v>
      </c>
      <c r="F8842" s="215" t="n">
        <v>46031</v>
      </c>
    </row>
    <row r="8843">
      <c r="A8843" s="215" t="n">
        <v>46034</v>
      </c>
      <c r="B8843" s="216" t="n">
        <v>72.8</v>
      </c>
      <c r="C8843" s="216" t="n">
        <v>87.95999999999999</v>
      </c>
      <c r="D8843" s="216" t="n">
        <v>1.117015957832336</v>
      </c>
      <c r="E8843" s="215" t="n">
        <v>46034</v>
      </c>
      <c r="F8843" s="215" t="n">
        <v>46034</v>
      </c>
    </row>
    <row r="8844">
      <c r="A8844" s="215" t="n">
        <v>46035</v>
      </c>
      <c r="B8844" s="216" t="n">
        <v>71.90000000000001</v>
      </c>
      <c r="C8844" s="216" t="n">
        <v>85.94</v>
      </c>
      <c r="D8844" s="216" t="n">
        <v>1.117892026901245</v>
      </c>
      <c r="E8844" s="215" t="n">
        <v>46035</v>
      </c>
      <c r="F8844" s="215" t="n">
        <v>46035</v>
      </c>
    </row>
    <row r="8845">
      <c r="A8845" s="215" t="n">
        <v>46036</v>
      </c>
      <c r="B8845" s="216" t="n">
        <v>74.3</v>
      </c>
      <c r="C8845" s="216" t="n">
        <v>85.98</v>
      </c>
      <c r="D8845" s="216" t="n">
        <v>1.117897987365723</v>
      </c>
      <c r="E8845" s="215" t="n">
        <v>46036</v>
      </c>
      <c r="F8845" s="215" t="n">
        <v>46036</v>
      </c>
    </row>
    <row r="8846">
      <c r="A8846" s="215" t="n">
        <v>46037</v>
      </c>
      <c r="B8846" s="216" t="n">
        <v>74</v>
      </c>
      <c r="C8846" s="216" t="n">
        <v>84.93000000000001</v>
      </c>
      <c r="D8846" s="216" t="n">
        <v>1.118072032928467</v>
      </c>
      <c r="E8846" s="215" t="n">
        <v>46037</v>
      </c>
      <c r="F8846" s="215" t="n">
        <v>46037</v>
      </c>
    </row>
    <row r="8847">
      <c r="A8847" s="215" t="n">
        <v>46038</v>
      </c>
      <c r="B8847" s="216" t="n">
        <v>72.3</v>
      </c>
      <c r="C8847" s="216" t="n">
        <v>84.65000000000001</v>
      </c>
      <c r="D8847" s="216" t="n">
        <v>1.119040012359619</v>
      </c>
      <c r="E8847" s="215" t="n">
        <v>46038</v>
      </c>
      <c r="F8847" s="215" t="n">
        <v>46038</v>
      </c>
    </row>
    <row r="8848">
      <c r="A8848" s="215" t="n">
        <v>46041</v>
      </c>
      <c r="B8848" s="216" t="n">
        <v>75.8</v>
      </c>
      <c r="C8848" s="216" t="n">
        <v>89.38</v>
      </c>
      <c r="D8848" s="216" t="n">
        <v>1.118916034698486</v>
      </c>
      <c r="E8848" s="215" t="n">
        <v>46041</v>
      </c>
      <c r="F8848" s="215" t="n">
        <v>46041</v>
      </c>
    </row>
    <row r="8849">
      <c r="A8849" s="215" t="n">
        <v>46042</v>
      </c>
      <c r="B8849" s="216" t="n">
        <v>77.65000000000001</v>
      </c>
      <c r="C8849" s="216" t="n">
        <v>90.51000000000001</v>
      </c>
      <c r="D8849" s="216" t="n">
        <v>1.118687987327576</v>
      </c>
      <c r="E8849" s="215" t="n">
        <v>46042</v>
      </c>
      <c r="F8849" s="215" t="n">
        <v>46042</v>
      </c>
    </row>
    <row r="8850">
      <c r="A8850" s="215" t="n">
        <v>46043</v>
      </c>
      <c r="B8850" s="216" t="n">
        <v>76.90000000000001</v>
      </c>
      <c r="C8850" s="216" t="n">
        <v>89</v>
      </c>
      <c r="D8850" s="216" t="n">
        <v>1.12024998664856</v>
      </c>
      <c r="E8850" s="215" t="n">
        <v>46043</v>
      </c>
      <c r="F8850" s="215" t="n">
        <v>46043</v>
      </c>
    </row>
    <row r="8851">
      <c r="A8851" s="215" t="n">
        <v>46044</v>
      </c>
      <c r="B8851" s="216" t="n">
        <v>77.5</v>
      </c>
      <c r="C8851" s="216" t="n">
        <v>89.34</v>
      </c>
      <c r="D8851" s="216" t="n">
        <v>1.11942195892334</v>
      </c>
      <c r="E8851" s="215" t="n">
        <v>46044</v>
      </c>
      <c r="F8851" s="215" t="n">
        <v>46044</v>
      </c>
    </row>
    <row r="8852">
      <c r="A8852" s="215" t="n">
        <v>46045</v>
      </c>
      <c r="B8852" s="216" t="n">
        <v>75.84999999999999</v>
      </c>
      <c r="C8852" s="216" t="n">
        <v>89.51000000000001</v>
      </c>
      <c r="D8852" s="216" t="n">
        <v>1.117977976799011</v>
      </c>
      <c r="E8852" s="215" t="n">
        <v>46045</v>
      </c>
      <c r="F8852" s="215" t="n">
        <v>46045</v>
      </c>
    </row>
    <row r="8853">
      <c r="A8853" s="215" t="n">
        <v>46048</v>
      </c>
      <c r="B8853" s="216" t="n">
        <v>77.05</v>
      </c>
      <c r="C8853" s="216" t="n">
        <v>89.68000000000001</v>
      </c>
      <c r="D8853" s="216" t="n">
        <v>1.117916941642761</v>
      </c>
      <c r="E8853" s="215" t="n">
        <v>46048</v>
      </c>
      <c r="F8853" s="215" t="n">
        <v>46048</v>
      </c>
    </row>
    <row r="8854">
      <c r="A8854" s="215" t="n">
        <v>46049</v>
      </c>
      <c r="B8854" s="216" t="n">
        <v>75.65000000000001</v>
      </c>
      <c r="C8854" s="216" t="n">
        <v>87.90000000000001</v>
      </c>
      <c r="D8854" s="216" t="n">
        <v>1.121191024780273</v>
      </c>
      <c r="E8854" s="215" t="n">
        <v>46049</v>
      </c>
      <c r="F8854" s="215" t="n">
        <v>46049</v>
      </c>
    </row>
    <row r="8855">
      <c r="A8855" s="215" t="n">
        <v>46050</v>
      </c>
      <c r="B8855" s="216" t="n">
        <v>77.05</v>
      </c>
      <c r="C8855" s="216" t="n">
        <v>88.7</v>
      </c>
      <c r="D8855" s="216" t="n">
        <v>1.121533036231995</v>
      </c>
      <c r="E8855" s="215" t="n">
        <v>46050</v>
      </c>
      <c r="F8855" s="215" t="n">
        <v>46050</v>
      </c>
    </row>
    <row r="8856">
      <c r="A8856" s="215" t="n">
        <v>46051</v>
      </c>
      <c r="B8856" s="216" t="n">
        <v>79.15000000000001</v>
      </c>
      <c r="C8856" s="216" t="n">
        <v>91.09999999999999</v>
      </c>
      <c r="D8856" s="216" t="n">
        <v>1.121621966362</v>
      </c>
      <c r="E8856" s="215" t="n">
        <v>46051</v>
      </c>
      <c r="F8856" s="215" t="n">
        <v>46051</v>
      </c>
    </row>
    <row r="8857">
      <c r="A8857" s="215" t="n">
        <v>46052</v>
      </c>
      <c r="B8857" s="216" t="n">
        <v>76.59999999999999</v>
      </c>
      <c r="C8857" s="216" t="n">
        <v>89.31</v>
      </c>
      <c r="D8857" s="216" t="n">
        <v>1.123343944549561</v>
      </c>
      <c r="E8857" s="215" t="n">
        <v>46052</v>
      </c>
      <c r="F8857" s="215" t="n">
        <v>46052</v>
      </c>
    </row>
    <row r="8858">
      <c r="A8858" s="215" t="n">
        <v>46055</v>
      </c>
      <c r="B8858" s="216" t="n">
        <v>77.05</v>
      </c>
      <c r="C8858" s="216" t="n">
        <v>87.02</v>
      </c>
      <c r="D8858" s="216" t="n">
        <v>1.123572945594788</v>
      </c>
      <c r="E8858" s="215" t="n">
        <v>46055</v>
      </c>
      <c r="F8858" s="215" t="n">
        <v>46055</v>
      </c>
    </row>
    <row r="8859">
      <c r="A8859" s="215" t="n">
        <v>46056</v>
      </c>
      <c r="B8859" s="216" t="n">
        <v>75.55</v>
      </c>
      <c r="C8859" s="216" t="n">
        <v>87.22</v>
      </c>
      <c r="D8859" s="216" t="n">
        <v>1.124274969100952</v>
      </c>
      <c r="E8859" s="215" t="n">
        <v>46056</v>
      </c>
      <c r="F8859" s="215" t="n">
        <v>46056</v>
      </c>
    </row>
    <row r="8860">
      <c r="A8860" s="215" t="n">
        <v>46057</v>
      </c>
      <c r="B8860" s="216" t="n">
        <v>77.95</v>
      </c>
      <c r="C8860" s="216" t="n">
        <v>89.34</v>
      </c>
      <c r="D8860" s="216" t="n">
        <v>1.12601101398468</v>
      </c>
      <c r="E8860" s="215" t="n">
        <v>46057</v>
      </c>
      <c r="F8860" s="215" t="n">
        <v>46057</v>
      </c>
    </row>
    <row r="8861">
      <c r="A8861" s="215" t="n">
        <v>46058</v>
      </c>
      <c r="B8861" s="216" t="n">
        <v>77.65000000000001</v>
      </c>
      <c r="C8861" s="216" t="n">
        <v>90.39</v>
      </c>
      <c r="D8861" s="216" t="n">
        <v>1.125892996788025</v>
      </c>
      <c r="E8861" s="215" t="n">
        <v>46058</v>
      </c>
      <c r="F8861" s="215" t="n">
        <v>46058</v>
      </c>
    </row>
    <row r="8862">
      <c r="A8862" s="215" t="n">
        <v>46059</v>
      </c>
      <c r="B8862" s="216" t="n">
        <v>79.15000000000001</v>
      </c>
      <c r="C8862" s="216" t="n">
        <v>91.73</v>
      </c>
      <c r="D8862" s="216" t="n">
        <v>1.126062035560608</v>
      </c>
      <c r="E8862" s="215" t="n">
        <v>46059</v>
      </c>
      <c r="F8862" s="215" t="n">
        <v>46059</v>
      </c>
    </row>
    <row r="8863">
      <c r="A8863" s="215" t="n">
        <v>46062</v>
      </c>
      <c r="B8863" s="216" t="n">
        <v>80.75</v>
      </c>
      <c r="C8863" s="216" t="n">
        <v>93.56999999999999</v>
      </c>
      <c r="D8863" s="216" t="n">
        <v>1.125753998756409</v>
      </c>
      <c r="E8863" s="215" t="n">
        <v>46062</v>
      </c>
      <c r="F8863" s="215" t="n">
        <v>46062</v>
      </c>
    </row>
    <row r="8864">
      <c r="A8864" s="215" t="n">
        <v>46063</v>
      </c>
      <c r="B8864" s="216" t="n">
        <v>79.40000000000001</v>
      </c>
      <c r="C8864" s="216" t="n">
        <v>90.01000000000001</v>
      </c>
      <c r="D8864" s="216" t="n">
        <v>1.129003047943115</v>
      </c>
      <c r="E8864" s="215" t="n">
        <v>46063</v>
      </c>
      <c r="F8864" s="215" t="n">
        <v>46063</v>
      </c>
    </row>
    <row r="8865">
      <c r="A8865" s="215" t="n">
        <v>46064</v>
      </c>
      <c r="B8865" s="216" t="n">
        <v>80.2</v>
      </c>
      <c r="C8865" s="216" t="n">
        <v>89.88</v>
      </c>
      <c r="D8865" s="216" t="n">
        <v>1.130962014198303</v>
      </c>
      <c r="E8865" s="215" t="n">
        <v>46064</v>
      </c>
      <c r="F8865" s="215" t="n">
        <v>46064</v>
      </c>
    </row>
    <row r="8866">
      <c r="A8866" s="215" t="n">
        <v>46065</v>
      </c>
      <c r="B8866" s="216" t="n">
        <v>79.5</v>
      </c>
      <c r="C8866" s="216" t="n">
        <v>88.12</v>
      </c>
      <c r="D8866" s="216" t="n">
        <v>1.130671977996826</v>
      </c>
      <c r="E8866" s="215" t="n">
        <v>46065</v>
      </c>
      <c r="F8866" s="215" t="n">
        <v>46065</v>
      </c>
    </row>
    <row r="8867">
      <c r="A8867" s="215" t="n">
        <v>46066</v>
      </c>
      <c r="B8867" s="216" t="n">
        <v>78.84999999999999</v>
      </c>
      <c r="C8867" s="216" t="n">
        <v>87.7</v>
      </c>
      <c r="D8867" s="216" t="n">
        <v>1.132490992546082</v>
      </c>
      <c r="E8867" s="215" t="n">
        <v>46066</v>
      </c>
      <c r="F8867" s="215" t="n">
        <v>46066</v>
      </c>
    </row>
    <row r="8868">
      <c r="A8868" s="215" t="n">
        <v>46069</v>
      </c>
      <c r="B8868" s="216" t="n">
        <v>80</v>
      </c>
      <c r="C8868" s="216" t="n">
        <v>87.7</v>
      </c>
      <c r="D8868" s="216" t="n">
        <v>1.131224036216736</v>
      </c>
      <c r="E8868" s="215" t="n">
        <v>46066</v>
      </c>
      <c r="F8868" s="215" t="n">
        <v>46069</v>
      </c>
    </row>
    <row r="8869">
      <c r="A8869" s="215" t="n">
        <v>46073</v>
      </c>
      <c r="B8869" s="216" t="n">
        <v>77.40000000000001</v>
      </c>
      <c r="C8869" s="216" t="n">
        <v>87.7</v>
      </c>
      <c r="D8869" s="216" t="n">
        <v>1.131005048751831</v>
      </c>
      <c r="E8869" s="215" t="n">
        <v>46066</v>
      </c>
      <c r="F8869" s="215" t="n">
        <v>46073</v>
      </c>
    </row>
    <row r="8870">
      <c r="A8870" s="215" t="n">
        <v>46076</v>
      </c>
      <c r="B8870" s="216" t="n">
        <v>80.3</v>
      </c>
      <c r="C8870" s="216" t="n">
        <v>87.7</v>
      </c>
      <c r="D8870" s="216" t="n">
        <v>1.130877017974854</v>
      </c>
      <c r="E8870" s="215" t="n">
        <v>46066</v>
      </c>
      <c r="F8870" s="215" t="n">
        <v>46076</v>
      </c>
    </row>
    <row r="8871">
      <c r="A8871" s="215" t="n">
        <v>46077</v>
      </c>
      <c r="B8871" s="216" t="n">
        <v>78.3</v>
      </c>
      <c r="C8871" s="216" t="n">
        <v>88.13</v>
      </c>
      <c r="D8871" s="216" t="n">
        <v>1.131631016731262</v>
      </c>
      <c r="E8871" s="215" t="n">
        <v>46077</v>
      </c>
      <c r="F8871" s="215" t="n">
        <v>46077</v>
      </c>
    </row>
    <row r="8872">
      <c r="A8872" s="215" t="n">
        <v>46078</v>
      </c>
      <c r="B8872" s="216" t="n">
        <v>80.7</v>
      </c>
      <c r="C8872" s="216" t="n">
        <v>90.11</v>
      </c>
      <c r="D8872" s="216" t="n">
        <v>1.136234045028687</v>
      </c>
      <c r="E8872" s="215" t="n">
        <v>46078</v>
      </c>
      <c r="F8872" s="215" t="n">
        <v>46078</v>
      </c>
    </row>
    <row r="8873">
      <c r="A8873" s="215" t="n">
        <v>46079</v>
      </c>
      <c r="B8873" s="216" t="n">
        <v>83.34999999999999</v>
      </c>
      <c r="C8873" s="216" t="n">
        <v>92.5</v>
      </c>
      <c r="D8873" s="216" t="n">
        <v>1.138198971748352</v>
      </c>
      <c r="E8873" s="215" t="n">
        <v>46079</v>
      </c>
      <c r="F8873" s="215" t="n">
        <v>46079</v>
      </c>
    </row>
    <row r="8874">
      <c r="A8874" s="215" t="n">
        <v>46080</v>
      </c>
      <c r="B8874" s="216" t="n">
        <v>80.75</v>
      </c>
      <c r="C8874" s="216" t="n">
        <v>95.91</v>
      </c>
      <c r="D8874" s="216" t="n">
        <v>1.143396973609924</v>
      </c>
      <c r="E8874" s="215" t="n">
        <v>46080</v>
      </c>
      <c r="F8874" s="215" t="n">
        <v>46080</v>
      </c>
    </row>
    <row r="8875">
      <c r="A8875" s="215" t="n">
        <v>46083</v>
      </c>
      <c r="B8875" s="216" t="n">
        <v>80.5</v>
      </c>
      <c r="C8875" s="216" t="n">
        <v>96.90000000000001</v>
      </c>
      <c r="D8875" s="216" t="n">
        <v>1.140552043914795</v>
      </c>
      <c r="E8875" s="215" t="n">
        <v>46083</v>
      </c>
      <c r="F8875" s="215" t="n">
        <v>46083</v>
      </c>
    </row>
    <row r="8876">
      <c r="A8876" s="215" t="n">
        <v>46084</v>
      </c>
      <c r="B8876" s="216" t="n">
        <v>77.5</v>
      </c>
      <c r="C8876" s="216" t="n">
        <v>94.36</v>
      </c>
      <c r="D8876" s="216" t="n">
        <v>1.136399984359741</v>
      </c>
      <c r="E8876" s="215" t="n">
        <v>46084</v>
      </c>
      <c r="F8876" s="215" t="n">
        <v>46084</v>
      </c>
    </row>
    <row r="8877">
      <c r="A8877" s="215" t="n">
        <v>46085</v>
      </c>
      <c r="B8877" s="216" t="n">
        <v>78</v>
      </c>
      <c r="C8877" s="216" t="n">
        <v>92.58</v>
      </c>
      <c r="D8877" s="216" t="n">
        <v>1.130928993225098</v>
      </c>
      <c r="E8877" s="215" t="n">
        <v>46085</v>
      </c>
      <c r="F8877" s="215" t="n">
        <v>46085</v>
      </c>
    </row>
    <row r="8878">
      <c r="A8878" s="215" t="n">
        <v>46086</v>
      </c>
      <c r="B8878" s="216" t="n">
        <v>75.7</v>
      </c>
      <c r="C8878" s="216" t="n">
        <v>91.8</v>
      </c>
      <c r="D8878" s="216" t="n">
        <v>1.133169054985046</v>
      </c>
      <c r="E8878" s="215" t="n">
        <v>46086</v>
      </c>
      <c r="F8878" s="215" t="n">
        <v>46086</v>
      </c>
    </row>
    <row r="8879">
      <c r="A8879" s="215" t="n">
        <v>46087</v>
      </c>
      <c r="B8879" s="216" t="n">
        <v>74.84999999999999</v>
      </c>
      <c r="C8879" s="216" t="n">
        <v>92.13</v>
      </c>
      <c r="D8879" s="216" t="n">
        <v>1.133442044258118</v>
      </c>
      <c r="E8879" s="215" t="n">
        <v>46087</v>
      </c>
      <c r="F8879" s="215" t="n">
        <v>46087</v>
      </c>
    </row>
    <row r="8880">
      <c r="A8880" s="215" t="n">
        <v>46090</v>
      </c>
      <c r="B8880" s="216" t="n">
        <v>75.55</v>
      </c>
      <c r="C8880" s="216" t="n">
        <v>89.12</v>
      </c>
      <c r="D8880" s="216" t="n">
        <v>1.133231043815613</v>
      </c>
      <c r="E8880" s="215" t="n">
        <v>46090</v>
      </c>
      <c r="F8880" s="215" t="n">
        <v>46090</v>
      </c>
    </row>
    <row r="8881">
      <c r="A8881" s="215" t="n">
        <v>46091</v>
      </c>
      <c r="B8881" s="216" t="n">
        <v>77.95</v>
      </c>
      <c r="C8881" s="216" t="n">
        <v>90.27</v>
      </c>
      <c r="D8881" s="216" t="n">
        <v>1.131595015525818</v>
      </c>
      <c r="E8881" s="215" t="n">
        <v>46091</v>
      </c>
      <c r="F8881" s="215" t="n">
        <v>46091</v>
      </c>
    </row>
    <row r="8882">
      <c r="A8882" s="215" t="n">
        <v>46092</v>
      </c>
      <c r="B8882" s="216" t="n">
        <v>78</v>
      </c>
      <c r="C8882" s="216" t="n">
        <v>91.52</v>
      </c>
      <c r="D8882" s="216" t="n">
        <v>1.137585043907166</v>
      </c>
      <c r="E8882" s="215" t="n">
        <v>46092</v>
      </c>
      <c r="F8882" s="215" t="n">
        <v>46092</v>
      </c>
    </row>
    <row r="8883">
      <c r="A8883" s="215" t="n">
        <v>46093</v>
      </c>
      <c r="B8883" s="216" t="n">
        <v>76.90000000000001</v>
      </c>
      <c r="C8883" s="216" t="n">
        <v>87.79000000000001</v>
      </c>
      <c r="D8883" s="216" t="n">
        <v>1.139600038528442</v>
      </c>
      <c r="E8883" s="215" t="n">
        <v>46093</v>
      </c>
      <c r="F8883" s="215" t="n">
        <v>46093</v>
      </c>
    </row>
    <row r="8884">
      <c r="A8884" s="215" t="n">
        <v>46094</v>
      </c>
      <c r="B8884" s="216" t="n">
        <v>73.34999999999999</v>
      </c>
      <c r="C8884" s="216" t="n">
        <v>86.79000000000001</v>
      </c>
      <c r="D8884" s="216" t="n">
        <v>1.139310002326965</v>
      </c>
      <c r="E8884" s="215" t="n">
        <v>46094</v>
      </c>
      <c r="F8884" s="215" t="n">
        <v>46094</v>
      </c>
    </row>
    <row r="8885">
      <c r="A8885" s="215" t="n">
        <v>46097</v>
      </c>
      <c r="B8885" s="216" t="n">
        <v>74.3</v>
      </c>
      <c r="C8885" s="216" t="n">
        <v>87.84999999999999</v>
      </c>
      <c r="D8885" s="216" t="n">
        <v>1.134883999824524</v>
      </c>
      <c r="E8885" s="215" t="n">
        <v>46097</v>
      </c>
      <c r="F8885" s="215" t="n">
        <v>46097</v>
      </c>
    </row>
    <row r="8886">
      <c r="A8886" s="215" t="n">
        <v>46098</v>
      </c>
      <c r="B8886" s="216" t="n">
        <v>72.90000000000001</v>
      </c>
      <c r="C8886" s="216" t="n">
        <v>87.66</v>
      </c>
      <c r="D8886" s="216" t="n">
        <v>1.125375986099243</v>
      </c>
      <c r="E8886" s="215" t="n">
        <v>46098</v>
      </c>
      <c r="F8886" s="215" t="n">
        <v>46098</v>
      </c>
    </row>
    <row r="8887">
      <c r="A8887" s="215" t="n">
        <v>46099</v>
      </c>
      <c r="B8887" s="216" t="n">
        <v>72.09999999999999</v>
      </c>
      <c r="C8887" s="216" t="n">
        <v>86.42</v>
      </c>
      <c r="D8887" s="216" t="n">
        <v>1.137819051742554</v>
      </c>
      <c r="E8887" s="215" t="n">
        <v>46099</v>
      </c>
      <c r="F8887" s="215" t="n">
        <v>46099</v>
      </c>
    </row>
    <row r="8888">
      <c r="A8888" s="215" t="n">
        <v>46100</v>
      </c>
      <c r="B8888" s="216" t="n">
        <v>70.45</v>
      </c>
      <c r="C8888" s="216" t="n">
        <v>84.40000000000001</v>
      </c>
      <c r="D8888" s="216" t="n">
        <v>1.140079021453857</v>
      </c>
      <c r="E8888" s="215" t="n">
        <v>46100</v>
      </c>
      <c r="F8888" s="215" t="n">
        <v>46100</v>
      </c>
    </row>
    <row r="8889">
      <c r="A8889" s="215" t="n">
        <v>46101</v>
      </c>
      <c r="B8889" s="216" t="n">
        <v>69.5</v>
      </c>
      <c r="C8889" s="216" t="n">
        <v>82.29000000000001</v>
      </c>
      <c r="D8889" s="216" t="n">
        <v>1.13490903377533</v>
      </c>
      <c r="E8889" s="215" t="n">
        <v>46101</v>
      </c>
      <c r="F8889" s="215" t="n">
        <v>46101</v>
      </c>
    </row>
    <row r="8890">
      <c r="A8890" s="215" t="n">
        <v>46104</v>
      </c>
      <c r="B8890" s="216" t="n">
        <v>70.34999999999999</v>
      </c>
      <c r="C8890" s="216" t="n">
        <v>81.8</v>
      </c>
      <c r="D8890" s="216" t="n">
        <v>1.137529969215393</v>
      </c>
      <c r="E8890" s="215" t="n">
        <v>46104</v>
      </c>
      <c r="F8890" s="215" t="n">
        <v>46104</v>
      </c>
    </row>
    <row r="8891">
      <c r="A8891" s="215" t="n">
        <v>46105</v>
      </c>
      <c r="B8891" s="216" t="n">
        <v>71.8</v>
      </c>
      <c r="C8891" s="216" t="n">
        <v>83.02</v>
      </c>
      <c r="D8891" s="216" t="n">
        <v>1.138481974601746</v>
      </c>
      <c r="E8891" s="215" t="n">
        <v>46105</v>
      </c>
      <c r="F8891" s="215" t="n">
        <v>46105</v>
      </c>
    </row>
    <row r="8892">
      <c r="A8892" s="215" t="n">
        <v>46106</v>
      </c>
      <c r="B8892" s="216" t="n">
        <v>73.2</v>
      </c>
      <c r="C8892" s="216" t="n">
        <v>84.11</v>
      </c>
      <c r="D8892" s="216" t="n">
        <v>1.135548949241638</v>
      </c>
      <c r="E8892" s="215" t="n">
        <v>46106</v>
      </c>
      <c r="F8892" s="215" t="n">
        <v>46106</v>
      </c>
    </row>
    <row r="8893">
      <c r="A8893" s="215" t="n">
        <v>46107</v>
      </c>
      <c r="B8893" s="216" t="n">
        <v>72</v>
      </c>
      <c r="C8893" s="216" t="n">
        <v>84.48</v>
      </c>
      <c r="D8893" s="216" t="n">
        <v>1.132627010345459</v>
      </c>
      <c r="E8893" s="215" t="n">
        <v>46107</v>
      </c>
      <c r="F8893" s="215" t="n">
        <v>46107</v>
      </c>
    </row>
    <row r="8894">
      <c r="A8894" s="215" t="n">
        <v>46108</v>
      </c>
      <c r="B8894" s="216" t="n">
        <v>75.7</v>
      </c>
      <c r="C8894" s="216" t="n">
        <v>87.44</v>
      </c>
      <c r="D8894" s="216" t="n">
        <v>1.132115960121155</v>
      </c>
      <c r="E8894" s="215" t="n">
        <v>46108</v>
      </c>
      <c r="F8894" s="215" t="n">
        <v>46108</v>
      </c>
    </row>
    <row r="8895">
      <c r="A8895" s="215" t="n">
        <v>46111</v>
      </c>
      <c r="B8895" s="216" t="n">
        <v>75.7</v>
      </c>
      <c r="C8895" s="216" t="n">
        <v>90</v>
      </c>
      <c r="D8895" s="216" t="n">
        <v>1.13311505317688</v>
      </c>
      <c r="E8895" s="215" t="n">
        <v>46111</v>
      </c>
      <c r="F8895" s="215" t="n">
        <v>46111</v>
      </c>
    </row>
    <row r="8896">
      <c r="A8896" s="215" t="n">
        <v>46112</v>
      </c>
      <c r="B8896" s="216" t="n">
        <v>79</v>
      </c>
      <c r="C8896" s="216" t="n">
        <v>93.26000000000001</v>
      </c>
      <c r="D8896" s="216" t="n">
        <v>1.133540987968445</v>
      </c>
      <c r="E8896" s="215" t="n">
        <v>46112</v>
      </c>
      <c r="F8896" s="215" t="n">
        <v>46112</v>
      </c>
    </row>
    <row r="8897">
      <c r="A8897" s="215" t="n">
        <v>46113</v>
      </c>
      <c r="B8897" s="216" t="n">
        <v>79</v>
      </c>
      <c r="C8897" s="216" t="n">
        <v>94.3</v>
      </c>
      <c r="D8897" s="216" t="n">
        <v>1.136669993400574</v>
      </c>
      <c r="E8897" s="215" t="n">
        <v>46113</v>
      </c>
      <c r="F8897" s="215" t="n">
        <v>46113</v>
      </c>
    </row>
    <row r="8898">
      <c r="A8898" s="215" t="n">
        <v>46114</v>
      </c>
      <c r="B8898" s="216" t="n">
        <v>80.7</v>
      </c>
      <c r="C8898" s="216" t="n">
        <v>96.37</v>
      </c>
      <c r="D8898" s="216" t="n">
        <v>1.140197992324829</v>
      </c>
      <c r="E8898" s="215" t="n">
        <v>46114</v>
      </c>
      <c r="F8898" s="215" t="n">
        <v>46114</v>
      </c>
    </row>
    <row r="8899">
      <c r="A8899" s="215" t="n">
        <v>46120</v>
      </c>
      <c r="B8899" s="216" t="n">
        <v>83.09999999999999</v>
      </c>
      <c r="C8899" s="216" t="n">
        <v>96.5</v>
      </c>
      <c r="D8899" s="216" t="n">
        <v>1.1423499584198</v>
      </c>
      <c r="E8899" s="215" t="n">
        <v>46120</v>
      </c>
      <c r="F8899" s="215" t="n">
        <v>46120</v>
      </c>
    </row>
    <row r="8900">
      <c r="A8900" s="215" t="n">
        <v>46121</v>
      </c>
      <c r="B8900" s="216" t="n">
        <v>83.75</v>
      </c>
      <c r="C8900" s="216" t="n">
        <v>97.83</v>
      </c>
      <c r="D8900" s="216" t="n">
        <v>1.146731972694397</v>
      </c>
      <c r="E8900" s="215" t="n">
        <v>46121</v>
      </c>
      <c r="F8900" s="215" t="n">
        <v>46121</v>
      </c>
    </row>
    <row r="8901">
      <c r="A8901" s="215" t="n">
        <v>46122</v>
      </c>
      <c r="B8901" s="216" t="n">
        <v>79.65000000000001</v>
      </c>
      <c r="C8901" s="216" t="n">
        <v>96.91</v>
      </c>
      <c r="D8901" s="216" t="n">
        <v>1.146558046340942</v>
      </c>
      <c r="E8901" s="215" t="n">
        <v>46122</v>
      </c>
      <c r="F8901" s="215" t="n">
        <v>46122</v>
      </c>
    </row>
    <row r="8902">
      <c r="A8902" s="215" t="n">
        <v>46125</v>
      </c>
      <c r="B8902" s="216" t="n">
        <v>79</v>
      </c>
      <c r="C8902" s="216" t="n">
        <v>96.18000000000001</v>
      </c>
      <c r="D8902" s="216" t="n">
        <v>1.147117972373962</v>
      </c>
      <c r="E8902" s="215" t="n">
        <v>46125</v>
      </c>
      <c r="F8902" s="215" t="n">
        <v>46125</v>
      </c>
    </row>
    <row r="8903">
      <c r="A8903" s="215" t="n">
        <v>46126</v>
      </c>
      <c r="B8903" s="216" t="n">
        <v>80.65000000000001</v>
      </c>
      <c r="C8903" s="216" t="n">
        <v>95.5</v>
      </c>
      <c r="D8903" s="216" t="n">
        <v>1.146226048469543</v>
      </c>
      <c r="E8903" s="215" t="n">
        <v>46126</v>
      </c>
      <c r="F8903" s="215" t="n">
        <v>46126</v>
      </c>
    </row>
    <row r="8904">
      <c r="A8904" s="215" t="n">
        <v>46127</v>
      </c>
      <c r="B8904" s="216" t="n">
        <v>80.3</v>
      </c>
      <c r="C8904" s="216" t="n">
        <v>94.8</v>
      </c>
      <c r="D8904" s="216" t="n">
        <v>1.149266004562378</v>
      </c>
      <c r="E8904" s="215" t="n">
        <v>46127</v>
      </c>
      <c r="F8904" s="215" t="n">
        <v>46127</v>
      </c>
    </row>
    <row r="8905">
      <c r="A8905" s="215" t="n">
        <v>46128</v>
      </c>
      <c r="B8905" s="216" t="n">
        <v>79.2</v>
      </c>
      <c r="C8905" s="216" t="n">
        <v>94.89</v>
      </c>
      <c r="D8905" s="216" t="n">
        <v>1.148550033569336</v>
      </c>
      <c r="E8905" s="215" t="n">
        <v>46128</v>
      </c>
      <c r="F8905" s="215" t="n">
        <v>46128</v>
      </c>
    </row>
    <row r="8906">
      <c r="A8906" s="215" t="n">
        <v>46129</v>
      </c>
      <c r="B8906" s="216" t="n">
        <v>78.2</v>
      </c>
      <c r="C8906" s="216" t="n">
        <v>92.79000000000001</v>
      </c>
      <c r="D8906" s="216" t="n">
        <v>1.146605014801025</v>
      </c>
      <c r="E8906" s="215" t="n">
        <v>46129</v>
      </c>
      <c r="F8906" s="215" t="n">
        <v>46129</v>
      </c>
    </row>
    <row r="8907">
      <c r="A8907" s="215" t="n">
        <v>46132</v>
      </c>
      <c r="B8907" s="216" t="n">
        <v>78.84999999999999</v>
      </c>
      <c r="C8907" s="216" t="n">
        <v>92.77</v>
      </c>
      <c r="D8907" s="216" t="n">
        <v>1.148360967636108</v>
      </c>
      <c r="E8907" s="215" t="n">
        <v>46132</v>
      </c>
      <c r="F8907" s="215" t="n">
        <v>46132</v>
      </c>
    </row>
    <row r="8908">
      <c r="A8908" s="215" t="n">
        <v>46133</v>
      </c>
      <c r="B8908" s="216" t="n">
        <v>78.90000000000001</v>
      </c>
      <c r="C8908" s="216" t="n">
        <v>95.53</v>
      </c>
      <c r="D8908" s="216" t="n">
        <v>1.148368000984192</v>
      </c>
      <c r="E8908" s="215" t="n">
        <v>46133</v>
      </c>
      <c r="F8908" s="215" t="n">
        <v>46133</v>
      </c>
    </row>
    <row r="8909">
      <c r="A8909" s="215" t="n">
        <v>46134</v>
      </c>
      <c r="B8909" s="216" t="n">
        <v>78.7</v>
      </c>
      <c r="C8909" s="216" t="n">
        <v>94.59999999999999</v>
      </c>
      <c r="D8909" s="216" t="n">
        <v>1.147838950157166</v>
      </c>
      <c r="E8909" s="215" t="n">
        <v>46134</v>
      </c>
      <c r="F8909" s="215" t="n">
        <v>46134</v>
      </c>
    </row>
    <row r="8910">
      <c r="A8910" s="215" t="n">
        <v>46135</v>
      </c>
      <c r="B8910" s="216" t="n">
        <v>81</v>
      </c>
      <c r="C8910" s="216" t="n">
        <v>96.73</v>
      </c>
      <c r="D8910" s="216" t="n">
        <v>1.147513031959534</v>
      </c>
      <c r="E8910" s="215" t="n">
        <v>46135</v>
      </c>
      <c r="F8910" s="215" t="n">
        <v>46135</v>
      </c>
    </row>
    <row r="8911">
      <c r="A8911" s="215" t="n">
        <v>46136</v>
      </c>
      <c r="B8911" s="216" t="n">
        <v>82.15000000000001</v>
      </c>
      <c r="C8911" s="216" t="n">
        <v>98.8</v>
      </c>
      <c r="D8911" s="216" t="n">
        <v>1.147369027137756</v>
      </c>
      <c r="E8911" s="215" t="n">
        <v>46136</v>
      </c>
      <c r="F8911" s="215" t="n">
        <v>46136</v>
      </c>
    </row>
    <row r="8912">
      <c r="A8912" s="215" t="n">
        <v>46139</v>
      </c>
      <c r="B8912" s="216" t="n">
        <v>82.84999999999999</v>
      </c>
      <c r="C8912" s="216" t="n">
        <v>99.5</v>
      </c>
      <c r="D8912" s="216" t="n">
        <v>1.146002054214478</v>
      </c>
      <c r="E8912" s="215" t="n">
        <v>46139</v>
      </c>
      <c r="F8912" s="215" t="n">
        <v>46139</v>
      </c>
    </row>
    <row r="8913">
      <c r="A8913" s="215" t="n">
        <v>46140</v>
      </c>
      <c r="B8913" s="216" t="n">
        <v>83</v>
      </c>
      <c r="C8913" s="216" t="n">
        <v>99.84</v>
      </c>
      <c r="D8913" s="216" t="n">
        <v>1.148522019386292</v>
      </c>
      <c r="E8913" s="215" t="n">
        <v>46140</v>
      </c>
      <c r="F8913" s="215" t="n">
        <v>46140</v>
      </c>
    </row>
    <row r="8914">
      <c r="A8914" s="215" t="n">
        <v>46141</v>
      </c>
      <c r="B8914" s="216" t="n">
        <v>90.09999999999999</v>
      </c>
      <c r="C8914" s="216" t="n">
        <v>109.82</v>
      </c>
      <c r="D8914" s="216" t="n">
        <v>1.145936012268066</v>
      </c>
      <c r="E8914" s="215" t="n">
        <v>46141</v>
      </c>
      <c r="F8914" s="215" t="n">
        <v>46141</v>
      </c>
    </row>
    <row r="8915">
      <c r="A8915" s="215" t="n">
        <v>46142</v>
      </c>
      <c r="B8915" s="216" t="n">
        <v>91.05</v>
      </c>
      <c r="C8915" s="216" t="n">
        <v>109.39</v>
      </c>
      <c r="D8915" s="216" t="n">
        <v>1.145792007446289</v>
      </c>
      <c r="E8915" s="215" t="n">
        <v>46142</v>
      </c>
      <c r="F8915" s="215" t="n">
        <v>46142</v>
      </c>
    </row>
    <row r="8916">
      <c r="A8916" s="215" t="n">
        <v>46146</v>
      </c>
      <c r="B8916" s="216" t="n">
        <v>90.05</v>
      </c>
      <c r="C8916" s="216" t="n">
        <v>109.39</v>
      </c>
      <c r="D8916" s="216" t="n">
        <v>1.147340059280396</v>
      </c>
      <c r="E8916" s="215" t="n">
        <v>46142</v>
      </c>
      <c r="F8916" s="215" t="n">
        <v>46146</v>
      </c>
    </row>
    <row r="8917">
      <c r="A8917" s="215" t="n">
        <v>46147</v>
      </c>
      <c r="B8917" s="216" t="n">
        <v>90</v>
      </c>
      <c r="C8917" s="216" t="n">
        <v>109.39</v>
      </c>
      <c r="D8917" s="216" t="n">
        <v>1.146813988685608</v>
      </c>
      <c r="E8917" s="215" t="n">
        <v>46142</v>
      </c>
      <c r="F8917" s="215" t="n">
        <v>46147</v>
      </c>
    </row>
    <row r="8918">
      <c r="A8918" s="215" t="n">
        <v>46148</v>
      </c>
      <c r="B8918" s="216" t="n">
        <v>87.7</v>
      </c>
      <c r="C8918" s="216" t="n">
        <v>109.46</v>
      </c>
      <c r="D8918" s="216" t="n">
        <v>1.14708399772644</v>
      </c>
      <c r="E8918" s="215" t="n">
        <v>46148</v>
      </c>
      <c r="F8918" s="215" t="n">
        <v>46148</v>
      </c>
    </row>
    <row r="8919">
      <c r="A8919" s="215" t="n">
        <v>46149</v>
      </c>
      <c r="B8919" s="216" t="n">
        <v>86.65000000000001</v>
      </c>
      <c r="C8919" s="216" t="n">
        <v>104.26</v>
      </c>
      <c r="D8919" s="216" t="n">
        <v>1.150125026702881</v>
      </c>
      <c r="E8919" s="215" t="n">
        <v>46149</v>
      </c>
      <c r="F8919" s="215" t="n">
        <v>46149</v>
      </c>
    </row>
    <row r="8920">
      <c r="A8920" s="215" t="n">
        <v>46150</v>
      </c>
      <c r="B8920" s="216" t="n">
        <v>87</v>
      </c>
      <c r="C8920" s="216" t="n">
        <v>103</v>
      </c>
      <c r="D8920" s="216" t="n">
        <v>1.15172004699707</v>
      </c>
      <c r="E8920" s="215" t="n">
        <v>46150</v>
      </c>
      <c r="F8920" s="215" t="n">
        <v>46150</v>
      </c>
    </row>
    <row r="8921">
      <c r="A8921" s="215" t="n">
        <v>46153</v>
      </c>
      <c r="B8921" s="216" t="n">
        <v>85</v>
      </c>
      <c r="C8921" s="216" t="n">
        <v>103.1</v>
      </c>
      <c r="D8921" s="216" t="n">
        <v>1.151090025901794</v>
      </c>
      <c r="E8921" s="215" t="n">
        <v>46153</v>
      </c>
      <c r="F8921" s="215" t="n">
        <v>46153</v>
      </c>
    </row>
    <row r="8922">
      <c r="A8922" s="215" t="n">
        <v>46154</v>
      </c>
      <c r="B8922" s="216" t="n">
        <v>84.45</v>
      </c>
      <c r="C8922" s="216" t="n">
        <v>102.5</v>
      </c>
      <c r="D8922" s="216" t="n">
        <v>1.152078986167908</v>
      </c>
      <c r="E8922" s="215" t="n">
        <v>46154</v>
      </c>
      <c r="F8922" s="215" t="n">
        <v>46154</v>
      </c>
    </row>
    <row r="8923">
      <c r="A8923" s="215" t="n">
        <v>46155</v>
      </c>
      <c r="B8923" s="216" t="n">
        <v>84.75</v>
      </c>
      <c r="C8923" s="216" t="n">
        <v>102.82</v>
      </c>
      <c r="D8923" s="216" t="n">
        <v>1.152537941932678</v>
      </c>
      <c r="E8923" s="215" t="n">
        <v>46155</v>
      </c>
      <c r="F8923" s="215" t="n">
        <v>46155</v>
      </c>
    </row>
    <row r="8924">
      <c r="A8924" s="215" t="n">
        <v>46156</v>
      </c>
      <c r="B8924" s="216" t="n">
        <v>83.7</v>
      </c>
      <c r="C8924" s="216" t="n">
        <v>103.36</v>
      </c>
      <c r="D8924" s="216" t="n">
        <v>1.152662992477417</v>
      </c>
      <c r="E8924" s="215" t="n">
        <v>46156</v>
      </c>
      <c r="F8924" s="215" t="n">
        <v>46156</v>
      </c>
    </row>
    <row r="8925">
      <c r="A8925" s="215" t="n">
        <v>46157</v>
      </c>
      <c r="B8925" s="216" t="n">
        <v>81.59999999999999</v>
      </c>
      <c r="C8925" s="216" t="n">
        <v>100.25</v>
      </c>
      <c r="D8925" s="216" t="n">
        <v>1.154320001602173</v>
      </c>
      <c r="E8925" s="215" t="n">
        <v>46157</v>
      </c>
      <c r="F8925" s="215" t="n">
        <v>46157</v>
      </c>
    </row>
    <row r="8926">
      <c r="A8926" s="215" t="n">
        <v>46160</v>
      </c>
      <c r="B8926" s="216" t="n">
        <v>82</v>
      </c>
      <c r="C8926" s="216" t="n">
        <v>99.25</v>
      </c>
      <c r="D8926" s="216" t="n">
        <v>1.149821996688843</v>
      </c>
      <c r="E8926" s="215" t="n">
        <v>46160</v>
      </c>
      <c r="F8926" s="215" t="n">
        <v>46160</v>
      </c>
    </row>
    <row r="8927">
      <c r="A8927" s="215" t="n">
        <v>46161</v>
      </c>
      <c r="B8927" s="216" t="n">
        <v>83.2</v>
      </c>
      <c r="C8927" s="216" t="n">
        <v>98</v>
      </c>
      <c r="D8927" s="216" t="n">
        <v>1.151532053947449</v>
      </c>
      <c r="E8927" s="215" t="n">
        <v>46161</v>
      </c>
      <c r="F8927" s="215" t="n">
        <v>46161</v>
      </c>
    </row>
    <row r="8928">
      <c r="A8928" s="215" t="n">
        <v>46162</v>
      </c>
      <c r="B8928" s="216" t="n">
        <v>83.5</v>
      </c>
      <c r="C8928" s="216" t="n">
        <v>98.52</v>
      </c>
      <c r="D8928" s="216" t="n">
        <v>1.149292945861816</v>
      </c>
      <c r="E8928" s="215" t="n">
        <v>46162</v>
      </c>
      <c r="F8928" s="215" t="n">
        <v>46162</v>
      </c>
    </row>
    <row r="8929">
      <c r="A8929" s="215" t="n">
        <v>46163</v>
      </c>
      <c r="B8929" s="216" t="n">
        <v>84</v>
      </c>
      <c r="C8929" s="216" t="n">
        <v>98.20999999999999</v>
      </c>
      <c r="D8929" s="216" t="n">
        <v>1.151231050491333</v>
      </c>
      <c r="E8929" s="215" t="n">
        <v>46163</v>
      </c>
      <c r="F8929" s="215" t="n">
        <v>46163</v>
      </c>
    </row>
    <row r="8930">
      <c r="A8930" s="215" t="n">
        <v>46164</v>
      </c>
      <c r="B8930" s="216" t="n">
        <v>84.25</v>
      </c>
      <c r="C8930" s="216" t="n">
        <v>99.43000000000001</v>
      </c>
      <c r="D8930" s="216" t="n">
        <v>1.151487946510315</v>
      </c>
      <c r="E8930" s="215" t="n">
        <v>46164</v>
      </c>
      <c r="F8930" s="215" t="n">
        <v>46164</v>
      </c>
    </row>
    <row r="8931">
      <c r="A8931" s="215" t="n">
        <v>46168</v>
      </c>
      <c r="B8931" s="216" t="n">
        <v>79.59999999999999</v>
      </c>
      <c r="C8931" s="216" t="n">
        <v>96.03</v>
      </c>
      <c r="D8931" s="216" t="n">
        <v>1.152968049049377</v>
      </c>
      <c r="E8931" s="215" t="n">
        <v>46168</v>
      </c>
      <c r="F8931" s="215" t="n">
        <v>46168</v>
      </c>
    </row>
    <row r="8932">
      <c r="A8932" s="215" t="n">
        <v>46169</v>
      </c>
      <c r="B8932" s="216" t="n">
        <v>81.05</v>
      </c>
      <c r="C8932" s="216" t="n">
        <v>98.06</v>
      </c>
      <c r="D8932" s="216" t="n">
        <v>1.154562950134277</v>
      </c>
      <c r="E8932" s="215" t="n">
        <v>46169</v>
      </c>
      <c r="F8932" s="215" t="n">
        <v>46169</v>
      </c>
    </row>
    <row r="8933">
      <c r="A8933" s="215" t="n">
        <v>46170</v>
      </c>
      <c r="B8933" s="216" t="n">
        <v>80.5</v>
      </c>
      <c r="C8933" s="216" t="n">
        <v>97.33</v>
      </c>
      <c r="D8933" s="216" t="n">
        <v>1.155385971069336</v>
      </c>
      <c r="E8933" s="215" t="n">
        <v>46170</v>
      </c>
      <c r="F8933" s="215" t="n">
        <v>46170</v>
      </c>
    </row>
    <row r="8934">
      <c r="A8934" s="215" t="n">
        <v>46171</v>
      </c>
      <c r="B8934" s="216" t="n">
        <v>83.15000000000001</v>
      </c>
      <c r="C8934" s="216" t="n">
        <v>99.65000000000001</v>
      </c>
      <c r="D8934" s="216" t="n">
        <v>1.155282974243164</v>
      </c>
      <c r="E8934" s="215" t="n">
        <v>46171</v>
      </c>
      <c r="F8934" s="215" t="n">
        <v>46171</v>
      </c>
    </row>
    <row r="8935">
      <c r="A8935" s="215" t="n">
        <v>46174</v>
      </c>
      <c r="B8935" s="216" t="n">
        <v>83.2</v>
      </c>
      <c r="C8935" s="216" t="n">
        <v>100</v>
      </c>
      <c r="D8935" s="216" t="n">
        <v>1.158049941062927</v>
      </c>
      <c r="E8935" s="215" t="n">
        <v>46174</v>
      </c>
      <c r="F8935" s="215" t="n">
        <v>46174</v>
      </c>
    </row>
    <row r="8936">
      <c r="A8936" s="215" t="n">
        <v>46175</v>
      </c>
      <c r="B8936" s="216" t="n">
        <v>75.8</v>
      </c>
      <c r="C8936" s="216" t="n">
        <v>93.97</v>
      </c>
      <c r="D8936" s="216" t="n">
        <v>1.158406972885132</v>
      </c>
      <c r="E8936" s="215" t="n">
        <v>46175</v>
      </c>
      <c r="F8936" s="215" t="n">
        <v>46175</v>
      </c>
    </row>
    <row r="8937">
      <c r="A8937" s="215" t="n">
        <v>46176</v>
      </c>
      <c r="B8937" s="216" t="n">
        <v>69.05</v>
      </c>
      <c r="C8937" s="216" t="n">
        <v>89.78</v>
      </c>
      <c r="D8937" s="216" t="n">
        <v>1.15879499912262</v>
      </c>
      <c r="E8937" s="215" t="n">
        <v>46176</v>
      </c>
      <c r="F8937" s="215" t="n">
        <v>46176</v>
      </c>
    </row>
    <row r="8938">
      <c r="A8938" s="215" t="n">
        <v>46177</v>
      </c>
      <c r="B8938" s="216" t="n">
        <v>67.59999999999999</v>
      </c>
      <c r="C8938" s="216" t="n">
        <v>86.88</v>
      </c>
      <c r="D8938" s="216" t="n">
        <v>1.157420039176941</v>
      </c>
      <c r="E8938" s="215" t="n">
        <v>46177</v>
      </c>
      <c r="F8938" s="215" t="n">
        <v>46177</v>
      </c>
    </row>
    <row r="8939">
      <c r="A8939" s="215" t="n">
        <v>46178</v>
      </c>
      <c r="B8939" s="216" t="n">
        <v>70</v>
      </c>
      <c r="C8939" s="216" t="n">
        <v>86.68000000000001</v>
      </c>
      <c r="D8939" s="216" t="n">
        <v>1.156491994857788</v>
      </c>
      <c r="E8939" s="215" t="n">
        <v>46178</v>
      </c>
      <c r="F8939" s="215" t="n">
        <v>46178</v>
      </c>
    </row>
    <row r="8940">
      <c r="A8940" s="215" t="n">
        <v>46181</v>
      </c>
      <c r="B8940" s="216" t="n">
        <v>74.34999999999999</v>
      </c>
      <c r="C8940" s="216" t="n">
        <v>88.09999999999999</v>
      </c>
      <c r="D8940" s="216" t="n">
        <v>1.157665967941284</v>
      </c>
      <c r="E8940" s="215" t="n">
        <v>46181</v>
      </c>
      <c r="F8940" s="215" t="n">
        <v>46181</v>
      </c>
    </row>
    <row r="8941">
      <c r="A8941" s="215" t="n">
        <v>46182</v>
      </c>
      <c r="B8941" s="216" t="n">
        <v>73.09999999999999</v>
      </c>
      <c r="C8941" s="216" t="n">
        <v>89.01000000000001</v>
      </c>
      <c r="D8941" s="216" t="n">
        <v>1.158027052879333</v>
      </c>
      <c r="E8941" s="215" t="n">
        <v>46182</v>
      </c>
      <c r="F8941" s="215" t="n">
        <v>46182</v>
      </c>
    </row>
    <row r="8942">
      <c r="A8942" s="215" t="n">
        <v>46183</v>
      </c>
      <c r="B8942" s="216" t="n">
        <v>73.5</v>
      </c>
      <c r="C8942" s="216" t="n">
        <v>89.91</v>
      </c>
      <c r="D8942" s="216" t="n">
        <v>1.157112002372742</v>
      </c>
      <c r="E8942" s="215" t="n">
        <v>46183</v>
      </c>
      <c r="F8942" s="215" t="n">
        <v>46183</v>
      </c>
    </row>
    <row r="8943">
      <c r="A8943" s="215" t="n">
        <v>46184</v>
      </c>
      <c r="B8943" s="216" t="n">
        <v>73.25</v>
      </c>
      <c r="C8943" s="216" t="n">
        <v>88.5</v>
      </c>
      <c r="D8943" s="216" t="n">
        <v>1.156929016113281</v>
      </c>
      <c r="E8943" s="215" t="n">
        <v>46184</v>
      </c>
      <c r="F8943" s="215" t="n">
        <v>46184</v>
      </c>
    </row>
    <row r="8944">
      <c r="A8944" s="215" t="n">
        <v>46185</v>
      </c>
      <c r="B8944" s="216" t="n">
        <v>74.09999999999999</v>
      </c>
      <c r="C8944" s="216" t="n">
        <v>90.18000000000001</v>
      </c>
      <c r="D8944" s="216" t="n">
        <v>1.156345963478088</v>
      </c>
      <c r="E8944" s="215" t="n">
        <v>46185</v>
      </c>
      <c r="F8944" s="215" t="n">
        <v>46185</v>
      </c>
    </row>
    <row r="8945">
      <c r="A8945" s="215" t="n">
        <v>46188</v>
      </c>
      <c r="B8945" s="216" t="n">
        <v>73.25</v>
      </c>
      <c r="C8945" s="216" t="n">
        <v>88.84999999999999</v>
      </c>
      <c r="D8945" s="216" t="n">
        <v>1.156880021095276</v>
      </c>
      <c r="E8945" s="215" t="n">
        <v>46188</v>
      </c>
      <c r="F8945" s="215" t="n">
        <v>46188</v>
      </c>
    </row>
    <row r="8946">
      <c r="A8946" s="215" t="n">
        <v>46189</v>
      </c>
      <c r="B8946" s="216" t="n">
        <v>69.55</v>
      </c>
      <c r="C8946" s="216" t="n">
        <v>86.36</v>
      </c>
      <c r="D8946" s="216" t="n">
        <v>1.158604025840759</v>
      </c>
      <c r="E8946" s="215" t="n">
        <v>46189</v>
      </c>
      <c r="F8946" s="215" t="n">
        <v>46189</v>
      </c>
    </row>
    <row r="8947">
      <c r="A8947" s="215" t="n">
        <v>46190</v>
      </c>
      <c r="B8947" s="216" t="n">
        <v>67.95</v>
      </c>
      <c r="C8947" s="216" t="n">
        <v>84.94</v>
      </c>
      <c r="D8947" s="216" t="n">
        <v>1.158974051475525</v>
      </c>
      <c r="E8947" s="215" t="n">
        <v>46190</v>
      </c>
      <c r="F8947" s="215" t="n">
        <v>46190</v>
      </c>
    </row>
    <row r="8948">
      <c r="A8948" s="215" t="n">
        <v>46191</v>
      </c>
      <c r="B8948" s="216" t="n">
        <v>67.55</v>
      </c>
      <c r="C8948" s="216" t="n">
        <v>83.93000000000001</v>
      </c>
      <c r="D8948" s="216" t="n">
        <v>1.159355998039246</v>
      </c>
      <c r="E8948" s="215" t="n">
        <v>46191</v>
      </c>
      <c r="F8948" s="215" t="n">
        <v>46191</v>
      </c>
    </row>
    <row r="8949">
      <c r="A8949" s="215" t="n">
        <v>46195</v>
      </c>
      <c r="B8949" s="216" t="n">
        <v>67.55</v>
      </c>
      <c r="C8949" s="216" t="n">
        <v>85.5</v>
      </c>
      <c r="D8949" s="216" t="n">
        <v>1.157493948936462</v>
      </c>
      <c r="E8949" s="215" t="n">
        <v>46195</v>
      </c>
      <c r="F8949" s="215" t="n">
        <v>46195</v>
      </c>
    </row>
    <row r="8950">
      <c r="A8950" s="215" t="n">
        <v>46196</v>
      </c>
      <c r="B8950" s="216" t="n">
        <v>68.40000000000001</v>
      </c>
      <c r="C8950" s="216" t="n">
        <v>83.40000000000001</v>
      </c>
      <c r="D8950" s="216" t="n">
        <v>1.156896948814392</v>
      </c>
      <c r="E8950" s="215" t="n">
        <v>46196</v>
      </c>
      <c r="F8950" s="215" t="n">
        <v>46196</v>
      </c>
    </row>
    <row r="8951">
      <c r="A8951" s="215" t="n">
        <v>46197</v>
      </c>
      <c r="B8951" s="216" t="n">
        <v>68.59999999999999</v>
      </c>
      <c r="C8951" s="216" t="n">
        <v>84.5</v>
      </c>
      <c r="D8951" s="216" t="n">
        <v>1.154508948326111</v>
      </c>
      <c r="E8951" s="215" t="n">
        <v>46197</v>
      </c>
      <c r="F8951" s="215" t="n">
        <v>46197</v>
      </c>
    </row>
    <row r="8952">
      <c r="A8952" s="215" t="n">
        <v>46198</v>
      </c>
      <c r="B8952" s="216" t="n">
        <v>67.45</v>
      </c>
      <c r="C8952" s="216" t="n">
        <v>82.84999999999999</v>
      </c>
      <c r="D8952" s="216" t="n">
        <v>1.154152035713196</v>
      </c>
      <c r="E8952" s="215" t="n">
        <v>46198</v>
      </c>
      <c r="F8952" s="215" t="n">
        <v>46198</v>
      </c>
    </row>
    <row r="8953">
      <c r="A8953" s="215" t="n">
        <v>46199</v>
      </c>
      <c r="B8953" s="216" t="n">
        <v>65.25</v>
      </c>
      <c r="C8953" s="216" t="n">
        <v>79.77</v>
      </c>
      <c r="D8953" s="216" t="n">
        <v>1.154500961303711</v>
      </c>
      <c r="E8953" s="215" t="n">
        <v>46199</v>
      </c>
      <c r="F8953" s="215" t="n">
        <v>46199</v>
      </c>
    </row>
    <row r="8954">
      <c r="A8954" s="215" t="n">
        <v>46202</v>
      </c>
      <c r="B8954" s="216" t="n">
        <v>68.34999999999999</v>
      </c>
      <c r="C8954" s="216" t="n">
        <v>82.81</v>
      </c>
      <c r="D8954" s="216" t="n">
        <v>1.153512001037598</v>
      </c>
      <c r="E8954" s="215" t="n">
        <v>46202</v>
      </c>
      <c r="F8954" s="215" t="n">
        <v>46202</v>
      </c>
    </row>
    <row r="8955">
      <c r="A8955" s="215" t="n">
        <v>46203</v>
      </c>
      <c r="B8955" s="216" t="n">
        <v>65.15000000000001</v>
      </c>
      <c r="C8955" s="216" t="n">
        <v>80.19</v>
      </c>
      <c r="D8955" s="216" t="n">
        <v>1.153959035873413</v>
      </c>
      <c r="E8955" s="215" t="n">
        <v>46203</v>
      </c>
      <c r="F8955" s="215" t="n">
        <v>46203</v>
      </c>
    </row>
    <row r="8956">
      <c r="A8956" s="215" t="n">
        <v>46205</v>
      </c>
      <c r="B8956" s="216" t="n">
        <v>65.90000000000001</v>
      </c>
      <c r="C8956" s="216" t="n">
        <v>78.91</v>
      </c>
      <c r="D8956" s="216" t="n">
        <v>1.154355049133301</v>
      </c>
      <c r="E8956" s="215" t="n">
        <v>46205</v>
      </c>
      <c r="F8956" s="215" t="n">
        <v>46205</v>
      </c>
    </row>
    <row r="8957">
      <c r="A8957" s="215" t="n">
        <v>46206</v>
      </c>
      <c r="B8957" s="216" t="n">
        <v>68.3</v>
      </c>
      <c r="C8957" s="216" t="n">
        <v>81.2</v>
      </c>
      <c r="D8957" s="216" t="n">
        <v>1.155220985412598</v>
      </c>
      <c r="E8957" s="215" t="n">
        <v>46206</v>
      </c>
      <c r="F8957" s="215" t="n">
        <v>46206</v>
      </c>
    </row>
    <row r="8958">
      <c r="A8958" s="215" t="n">
        <v>46209</v>
      </c>
      <c r="B8958" s="216" t="n">
        <v>70.65000000000001</v>
      </c>
      <c r="C8958" s="216" t="n">
        <v>84.19</v>
      </c>
      <c r="D8958" s="216" t="n">
        <v>1.155068039894104</v>
      </c>
      <c r="E8958" s="215" t="n">
        <v>46209</v>
      </c>
      <c r="F8958" s="215" t="n">
        <v>46209</v>
      </c>
    </row>
    <row r="8959">
      <c r="A8959" s="215" t="n">
        <v>46210</v>
      </c>
      <c r="B8959" s="216" t="n">
        <v>69.34999999999999</v>
      </c>
      <c r="C8959" s="216" t="n">
        <v>82.78</v>
      </c>
      <c r="D8959" s="216" t="n">
        <v>1.153807997703552</v>
      </c>
      <c r="E8959" s="215" t="n">
        <v>46210</v>
      </c>
      <c r="F8959" s="215" t="n">
        <v>46210</v>
      </c>
    </row>
    <row r="8960">
      <c r="A8960" s="215" t="n">
        <v>46211</v>
      </c>
      <c r="B8960" s="216" t="n">
        <v>69.3</v>
      </c>
      <c r="C8960" s="216" t="n">
        <v>82.03</v>
      </c>
      <c r="D8960" s="216" t="n">
        <v>1.154153943061829</v>
      </c>
      <c r="E8960" s="215" t="n">
        <v>46211</v>
      </c>
      <c r="F8960" s="215" t="n">
        <v>46211</v>
      </c>
    </row>
    <row r="8961">
      <c r="A8961" s="215" t="n">
        <v>46212</v>
      </c>
      <c r="B8961" s="216" t="n">
        <v>65.05</v>
      </c>
      <c r="C8961" s="216" t="n">
        <v>79.75</v>
      </c>
      <c r="D8961" s="216" t="n">
        <v>1.152119994163513</v>
      </c>
      <c r="E8961" s="215" t="n">
        <v>46212</v>
      </c>
      <c r="F8961" s="215" t="n">
        <v>46212</v>
      </c>
    </row>
    <row r="8962">
      <c r="A8962" s="215" t="n">
        <v>46213</v>
      </c>
      <c r="B8962" s="216" t="n">
        <v>66.90000000000001</v>
      </c>
      <c r="C8962" s="216" t="n">
        <v>81.51000000000001</v>
      </c>
      <c r="D8962" s="216" t="n">
        <v>1.153550028800964</v>
      </c>
      <c r="E8962" s="215" t="n">
        <v>46213</v>
      </c>
      <c r="F8962" s="215" t="n">
        <v>46213</v>
      </c>
    </row>
    <row r="8963">
      <c r="A8963" s="215" t="n">
        <v>46216</v>
      </c>
      <c r="B8963" s="216" t="n">
        <v>68</v>
      </c>
      <c r="C8963" s="216" t="n">
        <v>83.86</v>
      </c>
      <c r="D8963" s="216" t="n">
        <v>1.156761050224304</v>
      </c>
      <c r="E8963" s="215" t="n">
        <v>46216</v>
      </c>
      <c r="F8963" s="215" t="n">
        <v>46216</v>
      </c>
    </row>
    <row r="8964">
      <c r="A8964" s="215" t="n">
        <v>46217</v>
      </c>
      <c r="B8964" s="216" t="n">
        <v>68.5</v>
      </c>
      <c r="C8964" s="216" t="n">
        <v>84.75</v>
      </c>
      <c r="D8964" s="216" t="n">
        <v>1.155825972557068</v>
      </c>
      <c r="E8964" s="215" t="n">
        <v>46217</v>
      </c>
      <c r="F8964" s="215" t="n">
        <v>46217</v>
      </c>
    </row>
    <row r="8965">
      <c r="A8965" s="215" t="n">
        <v>46218</v>
      </c>
      <c r="B8965" s="216" t="n">
        <v>73.84999999999999</v>
      </c>
      <c r="C8965" s="216" t="n">
        <v>90.05</v>
      </c>
      <c r="D8965" s="216" t="n">
        <v>1.157556056976318</v>
      </c>
      <c r="E8965" s="215" t="n">
        <v>46218</v>
      </c>
      <c r="F8965" s="215" t="n">
        <v>46218</v>
      </c>
    </row>
    <row r="8966">
      <c r="A8966" s="215" t="n">
        <v>46219</v>
      </c>
      <c r="B8966" s="216" t="n">
        <v>72.55</v>
      </c>
      <c r="C8966" s="216" t="n">
        <v>88.90000000000001</v>
      </c>
      <c r="D8966" s="216" t="n">
        <v>1.157912969589233</v>
      </c>
      <c r="E8966" s="215" t="n">
        <v>46219</v>
      </c>
      <c r="F8966" s="215" t="n">
        <v>46219</v>
      </c>
    </row>
    <row r="8967">
      <c r="A8967" s="215" t="n">
        <v>46220</v>
      </c>
      <c r="B8967" s="216" t="n">
        <v>70.55</v>
      </c>
      <c r="C8967" s="216" t="n">
        <v>85.75</v>
      </c>
      <c r="D8967" s="216" t="n">
        <v>1.157472014427185</v>
      </c>
      <c r="E8967" s="215" t="n">
        <v>46220</v>
      </c>
      <c r="F8967" s="215" t="n">
        <v>46220</v>
      </c>
    </row>
    <row r="8968">
      <c r="A8968" s="215" t="n">
        <v>46223</v>
      </c>
      <c r="B8968" s="216" t="n">
        <v>72.45</v>
      </c>
      <c r="C8968" s="216" t="n">
        <v>87.78</v>
      </c>
      <c r="D8968" s="216" t="n">
        <v>1.157451033592224</v>
      </c>
      <c r="E8968" s="215" t="n">
        <v>46223</v>
      </c>
      <c r="F8968" s="215" t="n">
        <v>46223</v>
      </c>
    </row>
    <row r="8969">
      <c r="A8969" s="215" t="n">
        <v>46224</v>
      </c>
      <c r="B8969" s="216" t="n">
        <v>71.40000000000001</v>
      </c>
      <c r="C8969" s="216" t="n">
        <v>86.8</v>
      </c>
      <c r="D8969" s="216" t="n">
        <v>1.157506942749023</v>
      </c>
      <c r="E8969" s="215" t="n">
        <v>46224</v>
      </c>
      <c r="F8969" s="215" t="n">
        <v>46224</v>
      </c>
    </row>
    <row r="8970">
      <c r="A8970" s="215" t="n">
        <v>46225</v>
      </c>
      <c r="B8970" s="216" t="n">
        <v>73.8</v>
      </c>
      <c r="C8970" s="216" t="n">
        <v>87.7</v>
      </c>
      <c r="D8970" s="216" t="n">
        <v>1.158938050270081</v>
      </c>
      <c r="E8970" s="215" t="n">
        <v>46225</v>
      </c>
      <c r="F8970" s="215" t="n">
        <v>46225</v>
      </c>
    </row>
    <row r="8971">
      <c r="A8971" s="215" t="n">
        <v>46226</v>
      </c>
      <c r="B8971" s="216" t="n">
        <v>73.95</v>
      </c>
      <c r="C8971" s="216" t="n">
        <v>87.12</v>
      </c>
      <c r="D8971" s="216" t="n">
        <v>1.157410979270935</v>
      </c>
      <c r="E8971" s="215" t="n">
        <v>46226</v>
      </c>
      <c r="F8971" s="215" t="n">
        <v>46226</v>
      </c>
    </row>
    <row r="8972">
      <c r="A8972" s="215" t="n">
        <v>46227</v>
      </c>
      <c r="B8972" s="216" t="n">
        <v>72.5</v>
      </c>
      <c r="C8972" s="216" t="n">
        <v>84.59999999999999</v>
      </c>
      <c r="D8972" s="216" t="n">
        <v>1.15762197971344</v>
      </c>
      <c r="E8972" s="215" t="n">
        <v>46227</v>
      </c>
      <c r="F8972" s="215" t="n">
        <v>46227</v>
      </c>
    </row>
    <row r="8973">
      <c r="A8973" s="215" t="n">
        <v>46230</v>
      </c>
      <c r="B8973" s="216" t="n">
        <v>73.45</v>
      </c>
      <c r="C8973" s="216" t="n">
        <v>85.48</v>
      </c>
      <c r="D8973" s="216" t="n">
        <v>1.15789794921875</v>
      </c>
      <c r="E8973" s="215" t="n">
        <v>46230</v>
      </c>
      <c r="F8973" s="215" t="n">
        <v>46230</v>
      </c>
    </row>
    <row r="8974">
      <c r="A8974" s="215" t="n">
        <v>46231</v>
      </c>
      <c r="B8974" s="216" t="n">
        <v>73.2</v>
      </c>
      <c r="C8974" s="216" t="n">
        <v>86.65000000000001</v>
      </c>
      <c r="D8974" s="216" t="n">
        <v>1.158699035644531</v>
      </c>
      <c r="E8974" s="215" t="n">
        <v>46231</v>
      </c>
      <c r="F8974" s="215" t="n">
        <v>46231</v>
      </c>
    </row>
    <row r="8975">
      <c r="A8975" s="215" t="n">
        <v>46232</v>
      </c>
      <c r="B8975" s="216" t="n">
        <v>75.5</v>
      </c>
      <c r="C8975" s="216" t="n">
        <v>89.26000000000001</v>
      </c>
      <c r="D8975" s="216" t="n">
        <v>1.157909989356995</v>
      </c>
      <c r="E8975" s="215" t="n">
        <v>46232</v>
      </c>
      <c r="F8975" s="215" t="n">
        <v>46232</v>
      </c>
    </row>
    <row r="8976">
      <c r="A8976" s="215" t="n">
        <v>46233</v>
      </c>
      <c r="B8976" s="216" t="n">
        <v>76.8</v>
      </c>
      <c r="C8976" s="216" t="n">
        <v>90.84999999999999</v>
      </c>
      <c r="D8976" s="216" t="n">
        <v>1.158943057060242</v>
      </c>
      <c r="E8976" s="215" t="n">
        <v>46233</v>
      </c>
      <c r="F8976" s="215" t="n">
        <v>46233</v>
      </c>
    </row>
    <row r="8977">
      <c r="A8977" s="215" t="n">
        <v>46234</v>
      </c>
      <c r="B8977" s="216" t="n">
        <v>75.2</v>
      </c>
      <c r="C8977" s="216" t="n">
        <v>89.89</v>
      </c>
      <c r="D8977" s="216" t="n">
        <v>1.160945057868958</v>
      </c>
      <c r="E8977" s="215" t="n">
        <v>46234</v>
      </c>
      <c r="F8977" s="215" t="n">
        <v>46234</v>
      </c>
    </row>
    <row r="8978">
      <c r="A8978" s="215" t="n">
        <v>46237</v>
      </c>
      <c r="B8978" s="216" t="n">
        <v>72.65000000000001</v>
      </c>
      <c r="C8978" s="216" t="n">
        <v>86.53</v>
      </c>
      <c r="D8978" s="216" t="n">
        <v>1.161579966545105</v>
      </c>
      <c r="E8978" s="215" t="n">
        <v>46237</v>
      </c>
      <c r="F8978" s="215" t="n">
        <v>46237</v>
      </c>
    </row>
    <row r="8979">
      <c r="A8979" s="215" t="n">
        <v>46238</v>
      </c>
      <c r="B8979" s="216" t="n">
        <v>71.75</v>
      </c>
      <c r="C8979" s="216" t="n">
        <v>85.8</v>
      </c>
      <c r="D8979" s="216" t="n">
        <v>1.161064982414246</v>
      </c>
      <c r="E8979" s="215" t="n">
        <v>46238</v>
      </c>
      <c r="F8979" s="215" t="n">
        <v>46238</v>
      </c>
    </row>
    <row r="8980">
      <c r="A8980" s="215" t="n">
        <v>46239</v>
      </c>
      <c r="B8980" s="216" t="n">
        <v>70.7</v>
      </c>
      <c r="C8980" s="216" t="n">
        <v>85.11</v>
      </c>
      <c r="D8980" s="216" t="n">
        <v>1.161146998405457</v>
      </c>
      <c r="E8980" s="215" t="n">
        <v>46239</v>
      </c>
      <c r="F8980" s="215" t="n">
        <v>46239</v>
      </c>
    </row>
    <row r="8981">
      <c r="A8981" s="215" t="n">
        <v>46240</v>
      </c>
      <c r="B8981" s="216" t="n">
        <v>70.90000000000001</v>
      </c>
      <c r="C8981" s="216" t="n">
        <v>84.02</v>
      </c>
      <c r="D8981" s="216" t="n">
        <v>1.161936044692993</v>
      </c>
      <c r="E8981" s="215" t="n">
        <v>46240</v>
      </c>
      <c r="F8981" s="215" t="n">
        <v>46240</v>
      </c>
    </row>
    <row r="8982">
      <c r="A8982" s="215" t="n">
        <v>46241</v>
      </c>
      <c r="B8982" s="216" t="n">
        <v>70.34999999999999</v>
      </c>
      <c r="C8982" s="216" t="n">
        <v>85.2</v>
      </c>
      <c r="D8982" s="216" t="n">
        <v>1.162284016609192</v>
      </c>
      <c r="E8982" s="215" t="n">
        <v>46241</v>
      </c>
      <c r="F8982" s="215" t="n">
        <v>46241</v>
      </c>
    </row>
    <row r="8983">
      <c r="A8983" s="215" t="n">
        <v>46244</v>
      </c>
      <c r="B8983" s="216" t="n">
        <v>72.15000000000001</v>
      </c>
      <c r="C8983" s="216" t="n">
        <v>85.89</v>
      </c>
      <c r="D8983" s="216" t="n">
        <v>1.162629961967468</v>
      </c>
      <c r="E8983" s="215" t="n">
        <v>46244</v>
      </c>
      <c r="F8983" s="215" t="n">
        <v>46244</v>
      </c>
    </row>
    <row r="8984">
      <c r="A8984" s="215" t="n">
        <v>46245</v>
      </c>
      <c r="B8984" s="216" t="n">
        <v>70.84999999999999</v>
      </c>
      <c r="C8984" s="216" t="n">
        <v>84.81999999999999</v>
      </c>
      <c r="D8984" s="216" t="n">
        <v>1.162588000297546</v>
      </c>
      <c r="E8984" s="215" t="n">
        <v>46245</v>
      </c>
      <c r="F8984" s="215" t="n">
        <v>46245</v>
      </c>
    </row>
    <row r="8985">
      <c r="A8985" s="215" t="n">
        <v>46246</v>
      </c>
      <c r="B8985" s="216" t="n">
        <v>70.25</v>
      </c>
      <c r="C8985" s="216" t="n">
        <v>85.05</v>
      </c>
      <c r="D8985" s="216" t="n">
        <v>1.163135051727295</v>
      </c>
      <c r="E8985" s="215" t="n">
        <v>46246</v>
      </c>
      <c r="F8985" s="215" t="n">
        <v>46246</v>
      </c>
    </row>
    <row r="8986">
      <c r="A8986" s="215" t="n">
        <v>46247</v>
      </c>
      <c r="B8986" s="216" t="n">
        <v>69.3</v>
      </c>
      <c r="C8986" s="216" t="n">
        <v>84.12</v>
      </c>
      <c r="D8986" s="216" t="n">
        <v>1.163341045379639</v>
      </c>
      <c r="E8986" s="215" t="n">
        <v>46247</v>
      </c>
      <c r="F8986" s="215" t="n">
        <v>46247</v>
      </c>
    </row>
    <row r="8987">
      <c r="A8987" s="215" t="n">
        <v>46248</v>
      </c>
      <c r="B8987" s="216" t="n">
        <v>69.75</v>
      </c>
      <c r="C8987" s="216" t="n">
        <v>84.2</v>
      </c>
      <c r="D8987" s="216" t="n">
        <v>1.163571000099182</v>
      </c>
      <c r="E8987" s="215" t="n">
        <v>46248</v>
      </c>
      <c r="F8987" s="215" t="n">
        <v>46248</v>
      </c>
    </row>
    <row r="8988">
      <c r="A8988" s="215" t="n">
        <v>46251</v>
      </c>
      <c r="B8988" s="216" t="n">
        <v>70.05</v>
      </c>
      <c r="C8988" s="216" t="n">
        <v>84.23</v>
      </c>
      <c r="D8988" s="216" t="n">
        <v>1.163601994514465</v>
      </c>
      <c r="E8988" s="215" t="n">
        <v>46251</v>
      </c>
      <c r="F8988" s="215" t="n">
        <v>46251</v>
      </c>
    </row>
    <row r="8989">
      <c r="A8989" s="215" t="n">
        <v>46252</v>
      </c>
      <c r="B8989" s="216" t="n">
        <v>68.34999999999999</v>
      </c>
      <c r="C8989" s="216" t="n">
        <v>82.31</v>
      </c>
      <c r="D8989" s="216" t="n">
        <v>1.163733005523682</v>
      </c>
      <c r="E8989" s="215" t="n">
        <v>46252</v>
      </c>
      <c r="F8989" s="215" t="n">
        <v>46252</v>
      </c>
    </row>
    <row r="8990">
      <c r="A8990" s="215" t="n">
        <v>46253</v>
      </c>
      <c r="B8990" s="216" t="n">
        <v>67.05</v>
      </c>
      <c r="C8990" s="216" t="n">
        <v>81</v>
      </c>
      <c r="D8990" s="216" t="n">
        <v>1.163092017173767</v>
      </c>
      <c r="E8990" s="215" t="n">
        <v>46253</v>
      </c>
      <c r="F8990" s="215" t="n">
        <v>46253</v>
      </c>
    </row>
    <row r="8991">
      <c r="A8991" s="215" t="n">
        <v>46254</v>
      </c>
      <c r="B8991" s="216" t="n">
        <v>65.95</v>
      </c>
      <c r="C8991" s="216" t="n">
        <v>81.45999999999999</v>
      </c>
      <c r="D8991" s="216" t="n">
        <v>1.164932012557983</v>
      </c>
      <c r="E8991" s="215" t="n">
        <v>46254</v>
      </c>
      <c r="F8991" s="215" t="n">
        <v>46254</v>
      </c>
    </row>
    <row r="8992">
      <c r="A8992" s="215" t="n">
        <v>46255</v>
      </c>
      <c r="B8992" s="216" t="n">
        <v>64.09999999999999</v>
      </c>
      <c r="C8992" s="216" t="n">
        <v>79</v>
      </c>
      <c r="D8992" s="216" t="n">
        <v>1.166555047035217</v>
      </c>
      <c r="E8992" s="215" t="n">
        <v>46255</v>
      </c>
      <c r="F8992" s="215" t="n">
        <v>46255</v>
      </c>
    </row>
    <row r="8993">
      <c r="A8993" s="215" t="n">
        <v>46258</v>
      </c>
      <c r="B8993" s="216" t="n">
        <v>64.75</v>
      </c>
      <c r="C8993" s="216" t="n">
        <v>78.59</v>
      </c>
      <c r="D8993" s="216" t="n">
        <v>1.166316986083984</v>
      </c>
      <c r="E8993" s="215" t="n">
        <v>46258</v>
      </c>
      <c r="F8993" s="215" t="n">
        <v>46258</v>
      </c>
    </row>
    <row r="8994">
      <c r="A8994" s="215" t="n">
        <v>46259</v>
      </c>
      <c r="B8994" s="216" t="n">
        <v>63.6</v>
      </c>
      <c r="C8994" s="216" t="n">
        <v>77.25</v>
      </c>
      <c r="D8994" s="216" t="n">
        <v>1.165253043174744</v>
      </c>
      <c r="E8994" s="215" t="n">
        <v>46259</v>
      </c>
      <c r="F8994" s="215" t="n">
        <v>46259</v>
      </c>
    </row>
    <row r="8995">
      <c r="A8995" s="215" t="n">
        <v>46260</v>
      </c>
      <c r="B8995" s="216" t="n">
        <v>65.8</v>
      </c>
      <c r="C8995" s="216" t="n">
        <v>77.22</v>
      </c>
      <c r="D8995" s="216" t="n">
        <v>1.166218996047974</v>
      </c>
      <c r="E8995" s="215" t="n">
        <v>46260</v>
      </c>
      <c r="F8995" s="215" t="n">
        <v>46260</v>
      </c>
    </row>
    <row r="8996">
      <c r="A8996" s="215" t="n">
        <v>46261</v>
      </c>
      <c r="B8996" s="216" t="n">
        <v>66.59999999999999</v>
      </c>
      <c r="C8996" s="216" t="n">
        <v>77.48</v>
      </c>
      <c r="D8996" s="216" t="n">
        <v>1.165971040725708</v>
      </c>
      <c r="E8996" s="215" t="n">
        <v>46261</v>
      </c>
      <c r="F8996" s="215" t="n">
        <v>46261</v>
      </c>
    </row>
    <row r="8997">
      <c r="A8997" s="215" t="n">
        <v>46262</v>
      </c>
      <c r="B8997" s="216" t="n">
        <v>67</v>
      </c>
      <c r="C8997" s="216" t="n">
        <v>77.52</v>
      </c>
      <c r="D8997" s="216" t="n">
        <v>1.165799975395203</v>
      </c>
      <c r="E8997" s="215" t="n">
        <v>46262</v>
      </c>
      <c r="F8997" s="215" t="n">
        <v>46262</v>
      </c>
    </row>
    <row r="8998">
      <c r="A8998" s="215" t="n">
        <v>46265</v>
      </c>
      <c r="B8998" s="216" t="n">
        <v>64.8</v>
      </c>
      <c r="C8998" s="216" t="n">
        <v>74.91</v>
      </c>
      <c r="D8998" s="216" t="n">
        <v>1.165387988090515</v>
      </c>
      <c r="E8998" s="215" t="n">
        <v>46265</v>
      </c>
      <c r="F8998" s="215" t="n">
        <v>46265</v>
      </c>
    </row>
    <row r="8999">
      <c r="A8999" s="215" t="n">
        <v>46266</v>
      </c>
      <c r="B8999" s="216" t="n">
        <v>63.8</v>
      </c>
      <c r="C8999" s="216" t="n">
        <v>75.78</v>
      </c>
      <c r="D8999" s="216" t="n">
        <v>1.165223956108093</v>
      </c>
      <c r="E8999" s="215" t="n">
        <v>46266</v>
      </c>
      <c r="F8999" s="215" t="n">
        <v>46266</v>
      </c>
    </row>
    <row r="9000">
      <c r="A9000" s="215" t="n">
        <v>46267</v>
      </c>
      <c r="B9000" s="216" t="n">
        <v>63.5</v>
      </c>
      <c r="C9000" s="216" t="n">
        <v>75.8</v>
      </c>
      <c r="D9000" s="216" t="n">
        <v>1.166425943374634</v>
      </c>
      <c r="E9000" s="215" t="n">
        <v>46267</v>
      </c>
      <c r="F9000" s="215" t="n">
        <v>46267</v>
      </c>
    </row>
    <row r="9001">
      <c r="A9001" s="215" t="n">
        <v>46268</v>
      </c>
      <c r="B9001" s="216" t="n">
        <v>63.6</v>
      </c>
      <c r="C9001" s="216" t="n">
        <v>75.72</v>
      </c>
      <c r="D9001" s="216" t="n">
        <v>1.167057037353516</v>
      </c>
      <c r="E9001" s="215" t="n">
        <v>46268</v>
      </c>
      <c r="F9001" s="215" t="n">
        <v>46268</v>
      </c>
    </row>
    <row r="9002">
      <c r="A9002" s="215" t="n">
        <v>46269</v>
      </c>
      <c r="B9002" s="216" t="n">
        <v>63</v>
      </c>
      <c r="C9002" s="216" t="n">
        <v>76.63</v>
      </c>
      <c r="D9002" s="216" t="n">
        <v>1.166767954826355</v>
      </c>
      <c r="E9002" s="215" t="n">
        <v>46269</v>
      </c>
      <c r="F9002" s="215" t="n">
        <v>46269</v>
      </c>
    </row>
    <row r="9003">
      <c r="A9003" s="215" t="n">
        <v>46272</v>
      </c>
      <c r="B9003" s="216" t="n">
        <v>63.3</v>
      </c>
      <c r="C9003" s="216" t="n">
        <v>76.23</v>
      </c>
      <c r="D9003" s="216" t="n">
        <v>1.168081045150757</v>
      </c>
      <c r="E9003" s="215" t="n">
        <v>46272</v>
      </c>
      <c r="F9003" s="215" t="n">
        <v>46272</v>
      </c>
    </row>
    <row r="9004">
      <c r="A9004" s="215" t="n">
        <v>46273</v>
      </c>
      <c r="B9004" s="216" t="n">
        <v>63.45</v>
      </c>
      <c r="C9004" s="216" t="n">
        <v>76.52</v>
      </c>
      <c r="D9004" s="216" t="n">
        <v>1.168115019798279</v>
      </c>
      <c r="E9004" s="215" t="n">
        <v>46273</v>
      </c>
      <c r="F9004" s="215" t="n">
        <v>46273</v>
      </c>
    </row>
    <row r="9005">
      <c r="A9005" s="215" t="n">
        <v>46274</v>
      </c>
      <c r="B9005" s="216" t="n">
        <v>60.25</v>
      </c>
      <c r="C9005" s="216" t="n">
        <v>74.34999999999999</v>
      </c>
      <c r="D9005" s="216" t="n">
        <v>1.168408989906311</v>
      </c>
      <c r="E9005" s="215" t="n">
        <v>46274</v>
      </c>
      <c r="F9005" s="215" t="n">
        <v>46274</v>
      </c>
    </row>
    <row r="9006">
      <c r="A9006" s="215" t="n">
        <v>46275</v>
      </c>
      <c r="B9006" s="216" t="n">
        <v>61.5</v>
      </c>
      <c r="C9006" s="216" t="n">
        <v>75.64</v>
      </c>
      <c r="D9006" s="216" t="n">
        <v>1.168462991714478</v>
      </c>
      <c r="E9006" s="215" t="n">
        <v>46275</v>
      </c>
      <c r="F9006" s="215" t="n">
        <v>46275</v>
      </c>
    </row>
    <row r="9007">
      <c r="A9007" s="215" t="n">
        <v>46276</v>
      </c>
      <c r="B9007" s="216" t="n">
        <v>60.75</v>
      </c>
      <c r="C9007" s="216" t="n">
        <v>74.75</v>
      </c>
      <c r="D9007" s="216" t="n">
        <v>1.169165015220642</v>
      </c>
      <c r="E9007" s="215" t="n">
        <v>46276</v>
      </c>
      <c r="F9007" s="215" t="n">
        <v>46276</v>
      </c>
    </row>
    <row r="9008">
      <c r="A9008" s="215" t="n">
        <v>46279</v>
      </c>
      <c r="B9008" s="216" t="n">
        <v>60.65</v>
      </c>
      <c r="C9008" s="216" t="n">
        <v>74.36</v>
      </c>
      <c r="D9008" s="216" t="n">
        <v>1.16893994808197</v>
      </c>
      <c r="E9008" s="215" t="n">
        <v>46279</v>
      </c>
      <c r="F9008" s="215" t="n">
        <v>46279</v>
      </c>
    </row>
    <row r="9009">
      <c r="A9009" s="215" t="n">
        <v>46280</v>
      </c>
      <c r="B9009" s="216" t="n">
        <v>60.4</v>
      </c>
      <c r="C9009" s="216" t="n">
        <v>74.56</v>
      </c>
      <c r="D9009" s="216" t="n">
        <v>1.169121026992798</v>
      </c>
      <c r="E9009" s="215" t="n">
        <v>46280</v>
      </c>
      <c r="F9009" s="215" t="n">
        <v>46280</v>
      </c>
    </row>
    <row r="9010">
      <c r="A9010" s="215" t="n">
        <v>46281</v>
      </c>
      <c r="B9010" s="216" t="n">
        <v>61</v>
      </c>
      <c r="C9010" s="216" t="n">
        <v>75.65000000000001</v>
      </c>
      <c r="D9010" s="216" t="n">
        <v>1.168769955635071</v>
      </c>
      <c r="E9010" s="215" t="n">
        <v>46281</v>
      </c>
      <c r="F9010" s="215" t="n">
        <v>46281</v>
      </c>
    </row>
    <row r="9011">
      <c r="A9011" s="215" t="n">
        <v>46282</v>
      </c>
      <c r="B9011" s="216" t="n">
        <v>60.3</v>
      </c>
      <c r="C9011" s="216" t="n">
        <v>74.43000000000001</v>
      </c>
      <c r="D9011" s="216" t="n">
        <v>1.169389963150024</v>
      </c>
      <c r="E9011" s="215" t="n">
        <v>46282</v>
      </c>
      <c r="F9011" s="215" t="n">
        <v>46282</v>
      </c>
    </row>
    <row r="9012">
      <c r="A9012" s="215" t="n">
        <v>46283</v>
      </c>
      <c r="B9012" s="216" t="n">
        <v>64.8</v>
      </c>
      <c r="C9012" s="216" t="n">
        <v>79.48</v>
      </c>
      <c r="D9012" s="216" t="n">
        <v>1.16942298412323</v>
      </c>
      <c r="E9012" s="215" t="n">
        <v>46283</v>
      </c>
      <c r="F9012" s="215" t="n">
        <v>46283</v>
      </c>
    </row>
    <row r="9013">
      <c r="A9013" s="215" t="n">
        <v>46286</v>
      </c>
      <c r="B9013" s="216" t="n">
        <v>65.40000000000001</v>
      </c>
      <c r="C9013" s="216" t="n">
        <v>80.91</v>
      </c>
      <c r="D9013" s="216" t="n">
        <v>1.171280026435852</v>
      </c>
      <c r="E9013" s="215" t="n">
        <v>46286</v>
      </c>
      <c r="F9013" s="215" t="n">
        <v>46286</v>
      </c>
    </row>
    <row r="9014">
      <c r="A9014" s="215" t="n">
        <v>46287</v>
      </c>
      <c r="B9014" s="216" t="n">
        <v>63.9</v>
      </c>
      <c r="C9014" s="216" t="n">
        <v>79.66</v>
      </c>
      <c r="D9014" s="216" t="n">
        <v>1.171705007553101</v>
      </c>
      <c r="E9014" s="215" t="n">
        <v>46287</v>
      </c>
      <c r="F9014" s="215" t="n">
        <v>46287</v>
      </c>
    </row>
    <row r="9015">
      <c r="A9015" s="215" t="n">
        <v>46288</v>
      </c>
      <c r="B9015" s="216" t="n">
        <v>64.2</v>
      </c>
      <c r="C9015" s="216" t="n">
        <v>79.48</v>
      </c>
      <c r="D9015" s="216" t="n">
        <v>1.170611023902893</v>
      </c>
      <c r="E9015" s="215" t="n">
        <v>46288</v>
      </c>
      <c r="F9015" s="215" t="n">
        <v>46288</v>
      </c>
    </row>
    <row r="9016">
      <c r="A9016" s="215" t="n">
        <v>46289</v>
      </c>
      <c r="B9016" s="216" t="n">
        <v>63.55</v>
      </c>
      <c r="C9016" s="216" t="n">
        <v>76.93000000000001</v>
      </c>
      <c r="D9016" s="216" t="n">
        <v>1.16852605342865</v>
      </c>
      <c r="E9016" s="215" t="n">
        <v>46289</v>
      </c>
      <c r="F9016" s="215" t="n">
        <v>46289</v>
      </c>
    </row>
    <row r="9017">
      <c r="A9017" s="215" t="n">
        <v>46290</v>
      </c>
      <c r="B9017" s="216" t="n">
        <v>62.7</v>
      </c>
      <c r="C9017" s="216" t="n">
        <v>76.93000000000001</v>
      </c>
      <c r="D9017" s="216" t="n">
        <v>1.168424010276794</v>
      </c>
      <c r="E9017" s="215" t="n">
        <v>46289</v>
      </c>
      <c r="F9017" s="215" t="n">
        <v>46290</v>
      </c>
    </row>
    <row r="9018">
      <c r="A9018" s="215" t="n">
        <v>46293</v>
      </c>
      <c r="B9018" s="216" t="n">
        <v>63.55</v>
      </c>
      <c r="C9018" s="216" t="n">
        <v>77.23999999999999</v>
      </c>
      <c r="D9018" s="216" t="n">
        <v>1.168378949165344</v>
      </c>
      <c r="E9018" s="215" t="n">
        <v>46293</v>
      </c>
      <c r="F9018" s="215" t="n">
        <v>46293</v>
      </c>
    </row>
    <row r="9019">
      <c r="A9019" s="215" t="n">
        <v>46294</v>
      </c>
      <c r="B9019" s="216" t="n">
        <v>65.15000000000001</v>
      </c>
      <c r="C9019" s="216" t="n">
        <v>79.05</v>
      </c>
      <c r="D9019" s="216" t="n">
        <v>1.168815970420837</v>
      </c>
      <c r="E9019" s="215" t="n">
        <v>46294</v>
      </c>
      <c r="F9019" s="215" t="n">
        <v>46294</v>
      </c>
    </row>
    <row r="9020">
      <c r="A9020" s="215" t="n">
        <v>46295</v>
      </c>
      <c r="B9020" s="216" t="n">
        <v>63.35</v>
      </c>
      <c r="C9020" s="216" t="n">
        <v>79.40000000000001</v>
      </c>
      <c r="D9020" s="216" t="n">
        <v>1.17059600353241</v>
      </c>
      <c r="E9020" s="215" t="n">
        <v>46295</v>
      </c>
      <c r="F9020" s="215" t="n">
        <v>46295</v>
      </c>
    </row>
    <row r="9021">
      <c r="A9021" s="215" t="n">
        <v>46297</v>
      </c>
      <c r="B9021" s="216" t="n">
        <v>60.65</v>
      </c>
      <c r="C9021" s="216" t="n">
        <v>79.40000000000001</v>
      </c>
      <c r="D9021" s="216" t="n">
        <v>1.170220971107483</v>
      </c>
      <c r="E9021" s="215" t="n">
        <v>46295</v>
      </c>
      <c r="F9021" s="215" t="n">
        <v>46297</v>
      </c>
    </row>
    <row r="9022">
      <c r="A9022" s="215" t="n">
        <v>44798</v>
      </c>
      <c r="B9022" s="216" t="n">
        <v>158</v>
      </c>
      <c r="C9022" s="216" t="n">
        <v>192.82</v>
      </c>
      <c r="D9022" s="216" t="n">
        <v>1.143164038658142</v>
      </c>
      <c r="E9022" s="215" t="n">
        <v>44798</v>
      </c>
      <c r="F9022" s="215" t="n">
        <v>44798</v>
      </c>
    </row>
    <row r="9023">
      <c r="A9023" s="215" t="n">
        <v>44799</v>
      </c>
      <c r="B9023" s="216" t="n">
        <v>164.4</v>
      </c>
      <c r="C9023" s="216" t="n">
        <v>192.41</v>
      </c>
      <c r="D9023" s="216" t="n">
        <v>1.145529985427856</v>
      </c>
      <c r="E9023" s="215" t="n">
        <v>44799</v>
      </c>
      <c r="F9023" s="215" t="n">
        <v>44799</v>
      </c>
    </row>
    <row r="9024">
      <c r="A9024" s="215" t="n">
        <v>44802</v>
      </c>
      <c r="B9024" s="216" t="n">
        <v>173.8</v>
      </c>
      <c r="C9024" s="216" t="n">
        <v>192.25</v>
      </c>
      <c r="D9024" s="216" t="n">
        <v>1.136988997459412</v>
      </c>
      <c r="E9024" s="215" t="n">
        <v>44802</v>
      </c>
      <c r="F9024" s="215" t="n">
        <v>44802</v>
      </c>
    </row>
    <row r="9025">
      <c r="A9025" s="215" t="n">
        <v>44803</v>
      </c>
      <c r="B9025" s="216" t="n">
        <v>170</v>
      </c>
      <c r="C9025" s="216" t="n">
        <v>190.4</v>
      </c>
      <c r="D9025" s="216" t="n">
        <v>1.135977983474731</v>
      </c>
      <c r="E9025" s="215" t="n">
        <v>44803</v>
      </c>
      <c r="F9025" s="215" t="n">
        <v>44803</v>
      </c>
    </row>
    <row r="9026">
      <c r="A9026" s="215" t="n">
        <v>44804</v>
      </c>
      <c r="B9026" s="216" t="n">
        <v>182</v>
      </c>
      <c r="C9026" s="216" t="n">
        <v>195.5</v>
      </c>
      <c r="D9026" s="216" t="n">
        <v>1.135614037513733</v>
      </c>
      <c r="E9026" s="215" t="n">
        <v>44804</v>
      </c>
      <c r="F9026" s="215" t="n">
        <v>44804</v>
      </c>
    </row>
    <row r="9027">
      <c r="A9027" s="215" t="n">
        <v>44805</v>
      </c>
      <c r="B9027" s="216" t="n">
        <v>171</v>
      </c>
      <c r="C9027" s="216" t="n">
        <v>186.8</v>
      </c>
      <c r="D9027" s="216" t="n">
        <v>1.138682007789612</v>
      </c>
      <c r="E9027" s="215" t="n">
        <v>44805</v>
      </c>
      <c r="F9027" s="215" t="n">
        <v>44805</v>
      </c>
    </row>
    <row r="9028">
      <c r="A9028" s="215" t="n">
        <v>44806</v>
      </c>
      <c r="B9028" s="216" t="n">
        <v>170.5</v>
      </c>
      <c r="C9028" s="216" t="n">
        <v>180.31</v>
      </c>
      <c r="D9028" s="216" t="n">
        <v>1.136086940765381</v>
      </c>
      <c r="E9028" s="215" t="n">
        <v>44806</v>
      </c>
      <c r="F9028" s="215" t="n">
        <v>44806</v>
      </c>
    </row>
    <row r="9029">
      <c r="A9029" s="215" t="n">
        <v>44809</v>
      </c>
      <c r="B9029" s="216" t="n">
        <v>172</v>
      </c>
      <c r="C9029" s="216" t="n">
        <v>180.1</v>
      </c>
      <c r="D9029" s="216" t="n">
        <v>1.132429003715515</v>
      </c>
      <c r="E9029" s="215" t="n">
        <v>44809</v>
      </c>
      <c r="F9029" s="215" t="n">
        <v>44809</v>
      </c>
    </row>
    <row r="9030">
      <c r="A9030" s="215" t="n">
        <v>44810</v>
      </c>
      <c r="B9030" s="216" t="n">
        <v>171</v>
      </c>
      <c r="C9030" s="216" t="n">
        <v>182.72</v>
      </c>
      <c r="D9030" s="216" t="n">
        <v>1.13170599937439</v>
      </c>
      <c r="E9030" s="215" t="n">
        <v>44810</v>
      </c>
      <c r="F9030" s="215" t="n">
        <v>44810</v>
      </c>
    </row>
    <row r="9031">
      <c r="A9031" s="215" t="n">
        <v>44811</v>
      </c>
      <c r="B9031" s="216" t="n">
        <v>170.6</v>
      </c>
      <c r="C9031" s="216" t="n">
        <v>183.95</v>
      </c>
      <c r="D9031" s="216" t="n">
        <v>1.128731966018677</v>
      </c>
      <c r="E9031" s="215" t="n">
        <v>44811</v>
      </c>
      <c r="F9031" s="215" t="n">
        <v>44811</v>
      </c>
    </row>
    <row r="9032">
      <c r="A9032" s="215" t="n">
        <v>44812</v>
      </c>
      <c r="B9032" s="216" t="n">
        <v>173</v>
      </c>
      <c r="C9032" s="216" t="n">
        <v>186</v>
      </c>
      <c r="D9032" s="216" t="n">
        <v>1.126878976821899</v>
      </c>
      <c r="E9032" s="215" t="n">
        <v>44812</v>
      </c>
      <c r="F9032" s="215" t="n">
        <v>44812</v>
      </c>
    </row>
    <row r="9033">
      <c r="A9033" s="215" t="n">
        <v>44813</v>
      </c>
      <c r="B9033" s="216" t="n">
        <v>176</v>
      </c>
      <c r="C9033" s="216" t="n">
        <v>191.09</v>
      </c>
      <c r="D9033" s="216" t="n">
        <v>1.128111958503723</v>
      </c>
      <c r="E9033" s="215" t="n">
        <v>44813</v>
      </c>
      <c r="F9033" s="215" t="n">
        <v>44813</v>
      </c>
    </row>
    <row r="9034">
      <c r="A9034" s="215" t="n">
        <v>44817</v>
      </c>
      <c r="B9034" s="216" t="n">
        <v>179.1</v>
      </c>
      <c r="C9034" s="216" t="n">
        <v>192.47</v>
      </c>
      <c r="D9034" s="216" t="n">
        <v>1.133118033409119</v>
      </c>
      <c r="E9034" s="215" t="n">
        <v>44817</v>
      </c>
      <c r="F9034" s="215" t="n">
        <v>44817</v>
      </c>
    </row>
    <row r="9035">
      <c r="A9035" s="215" t="n">
        <v>44818</v>
      </c>
      <c r="B9035" s="216" t="n">
        <v>181</v>
      </c>
      <c r="C9035" s="216" t="n">
        <v>191.55</v>
      </c>
      <c r="D9035" s="216" t="n">
        <v>1.133923053741455</v>
      </c>
      <c r="E9035" s="215" t="n">
        <v>44818</v>
      </c>
      <c r="F9035" s="215" t="n">
        <v>44818</v>
      </c>
    </row>
    <row r="9036">
      <c r="A9036" s="215" t="n">
        <v>44819</v>
      </c>
      <c r="B9036" s="216" t="n">
        <v>180.9</v>
      </c>
      <c r="C9036" s="216" t="n">
        <v>191.35</v>
      </c>
      <c r="D9036" s="216" t="n">
        <v>1.127349972724915</v>
      </c>
      <c r="E9036" s="215" t="n">
        <v>44819</v>
      </c>
      <c r="F9036" s="215" t="n">
        <v>44819</v>
      </c>
    </row>
    <row r="9037">
      <c r="A9037" s="215" t="n">
        <v>44820</v>
      </c>
      <c r="B9037" s="216" t="n">
        <v>180.1</v>
      </c>
      <c r="C9037" s="216" t="n">
        <v>188.51</v>
      </c>
      <c r="D9037" s="216" t="n">
        <v>1.122084975242615</v>
      </c>
      <c r="E9037" s="215" t="n">
        <v>44820</v>
      </c>
      <c r="F9037" s="215" t="n">
        <v>44820</v>
      </c>
    </row>
    <row r="9038">
      <c r="A9038" s="215" t="n">
        <v>44823</v>
      </c>
      <c r="B9038" s="216" t="n">
        <v>181</v>
      </c>
      <c r="C9038" s="216" t="n">
        <v>188.45</v>
      </c>
      <c r="D9038" s="216" t="n">
        <v>1.128190040588379</v>
      </c>
      <c r="E9038" s="215" t="n">
        <v>44823</v>
      </c>
      <c r="F9038" s="215" t="n">
        <v>44823</v>
      </c>
    </row>
    <row r="9039">
      <c r="A9039" s="215" t="n">
        <v>44824</v>
      </c>
      <c r="B9039" s="216" t="n">
        <v>188.4</v>
      </c>
      <c r="C9039" s="216" t="n">
        <v>194.23</v>
      </c>
      <c r="D9039" s="216" t="n">
        <v>1.120393991470337</v>
      </c>
      <c r="E9039" s="215" t="n">
        <v>44824</v>
      </c>
      <c r="F9039" s="215" t="n">
        <v>44824</v>
      </c>
    </row>
    <row r="9040">
      <c r="A9040" s="215" t="n">
        <v>44825</v>
      </c>
      <c r="B9040" s="216" t="n">
        <v>178</v>
      </c>
      <c r="C9040" s="216" t="n">
        <v>185.54</v>
      </c>
      <c r="D9040" s="216" t="n">
        <v>1.11835503578186</v>
      </c>
      <c r="E9040" s="215" t="n">
        <v>44825</v>
      </c>
      <c r="F9040" s="215" t="n">
        <v>44825</v>
      </c>
    </row>
    <row r="9041">
      <c r="A9041" s="215" t="n">
        <v>44826</v>
      </c>
      <c r="B9041" s="216" t="n">
        <v>181</v>
      </c>
      <c r="C9041" s="216" t="n">
        <v>187.1</v>
      </c>
      <c r="D9041" s="216" t="n">
        <v>1.113355040550232</v>
      </c>
      <c r="E9041" s="215" t="n">
        <v>44826</v>
      </c>
      <c r="F9041" s="215" t="n">
        <v>44826</v>
      </c>
    </row>
    <row r="9042">
      <c r="A9042" s="215" t="n">
        <v>44827</v>
      </c>
      <c r="B9042" s="216" t="n">
        <v>180</v>
      </c>
      <c r="C9042" s="216" t="n">
        <v>185.41</v>
      </c>
      <c r="D9042" s="216" t="n">
        <v>1.10860002040863</v>
      </c>
      <c r="E9042" s="215" t="n">
        <v>44827</v>
      </c>
      <c r="F9042" s="215" t="n">
        <v>44827</v>
      </c>
    </row>
    <row r="9043">
      <c r="A9043" s="215" t="n">
        <v>44830</v>
      </c>
      <c r="B9043" s="216" t="n">
        <v>185</v>
      </c>
      <c r="C9043" s="216" t="n">
        <v>194.51</v>
      </c>
      <c r="D9043" s="216" t="n">
        <v>1.115165948867798</v>
      </c>
      <c r="E9043" s="215" t="n">
        <v>44830</v>
      </c>
      <c r="F9043" s="215" t="n">
        <v>44830</v>
      </c>
    </row>
    <row r="9044">
      <c r="A9044" s="215" t="n">
        <v>44831</v>
      </c>
      <c r="B9044" s="216" t="n">
        <v>191</v>
      </c>
      <c r="C9044" s="216" t="n">
        <v>202.45</v>
      </c>
      <c r="D9044" s="216" t="n">
        <v>1.114001989364624</v>
      </c>
      <c r="E9044" s="215" t="n">
        <v>44831</v>
      </c>
      <c r="F9044" s="215" t="n">
        <v>44831</v>
      </c>
    </row>
    <row r="9045">
      <c r="A9045" s="215" t="n">
        <v>44832</v>
      </c>
      <c r="B9045" s="216" t="n">
        <v>190</v>
      </c>
      <c r="C9045" s="216" t="n">
        <v>202.48</v>
      </c>
      <c r="D9045" s="216" t="n">
        <v>1.094223022460938</v>
      </c>
      <c r="E9045" s="215" t="n">
        <v>44832</v>
      </c>
      <c r="F9045" s="215" t="n">
        <v>44832</v>
      </c>
    </row>
    <row r="9046">
      <c r="A9046" s="215" t="n">
        <v>44833</v>
      </c>
      <c r="B9046" s="216" t="n">
        <v>183.6</v>
      </c>
      <c r="C9046" s="216" t="n">
        <v>197.25</v>
      </c>
      <c r="D9046" s="216" t="n">
        <v>1.089447975158691</v>
      </c>
      <c r="E9046" s="215" t="n">
        <v>44833</v>
      </c>
      <c r="F9046" s="215" t="n">
        <v>44833</v>
      </c>
    </row>
    <row r="9047">
      <c r="A9047" s="215" t="n">
        <v>44834</v>
      </c>
      <c r="B9047" s="216" t="n">
        <v>197.3</v>
      </c>
      <c r="C9047" s="216" t="n">
        <v>198.25</v>
      </c>
      <c r="D9047" s="216" t="n">
        <v>1.10089898109436</v>
      </c>
      <c r="E9047" s="215" t="n">
        <v>44834</v>
      </c>
      <c r="F9047" s="215" t="n">
        <v>44834</v>
      </c>
    </row>
    <row r="9048">
      <c r="A9048" s="215" t="n">
        <v>44837</v>
      </c>
      <c r="B9048" s="216" t="n">
        <v>208.8</v>
      </c>
      <c r="C9048" s="216" t="n">
        <v>198.25</v>
      </c>
      <c r="D9048" s="216" t="n">
        <v>1.102097988128662</v>
      </c>
      <c r="E9048" s="215" t="n">
        <v>44834</v>
      </c>
      <c r="F9048" s="215" t="n">
        <v>44837</v>
      </c>
    </row>
    <row r="9049">
      <c r="A9049" s="215" t="n">
        <v>44839</v>
      </c>
      <c r="B9049" s="216" t="n">
        <v>209.8</v>
      </c>
      <c r="C9049" s="216" t="n">
        <v>198.25</v>
      </c>
      <c r="D9049" s="216" t="n">
        <v>1.103346943855286</v>
      </c>
      <c r="E9049" s="215" t="n">
        <v>44834</v>
      </c>
      <c r="F9049" s="215" t="n">
        <v>44839</v>
      </c>
    </row>
    <row r="9050">
      <c r="A9050" s="215" t="n">
        <v>44840</v>
      </c>
      <c r="B9050" s="216" t="n">
        <v>206.6</v>
      </c>
      <c r="C9050" s="216" t="n">
        <v>198.25</v>
      </c>
      <c r="D9050" s="216" t="n">
        <v>1.103878021240234</v>
      </c>
      <c r="E9050" s="215" t="n">
        <v>44834</v>
      </c>
      <c r="F9050" s="215" t="n">
        <v>44840</v>
      </c>
    </row>
    <row r="9051">
      <c r="A9051" s="215" t="n">
        <v>44841</v>
      </c>
      <c r="B9051" s="216" t="n">
        <v>199</v>
      </c>
      <c r="C9051" s="216" t="n">
        <v>198.25</v>
      </c>
      <c r="D9051" s="216" t="n">
        <v>1.103150963783264</v>
      </c>
      <c r="E9051" s="215" t="n">
        <v>44834</v>
      </c>
      <c r="F9051" s="215" t="n">
        <v>44841</v>
      </c>
    </row>
    <row r="9052">
      <c r="A9052" s="215" t="n">
        <v>44844</v>
      </c>
      <c r="B9052" s="216" t="n">
        <v>188.5</v>
      </c>
      <c r="C9052" s="216" t="n">
        <v>187.8</v>
      </c>
      <c r="D9052" s="216" t="n">
        <v>1.098549008369446</v>
      </c>
      <c r="E9052" s="215" t="n">
        <v>44844</v>
      </c>
      <c r="F9052" s="215" t="n">
        <v>44844</v>
      </c>
    </row>
    <row r="9053">
      <c r="A9053" s="215" t="n">
        <v>44845</v>
      </c>
      <c r="B9053" s="216" t="n">
        <v>187</v>
      </c>
      <c r="C9053" s="216" t="n">
        <v>185.63</v>
      </c>
      <c r="D9053" s="216" t="n">
        <v>1.097115039825439</v>
      </c>
      <c r="E9053" s="215" t="n">
        <v>44845</v>
      </c>
      <c r="F9053" s="215" t="n">
        <v>44845</v>
      </c>
    </row>
    <row r="9054">
      <c r="A9054" s="215" t="n">
        <v>44846</v>
      </c>
      <c r="B9054" s="216" t="n">
        <v>182</v>
      </c>
      <c r="C9054" s="216" t="n">
        <v>181.03</v>
      </c>
      <c r="D9054" s="216" t="n">
        <v>1.094871997833252</v>
      </c>
      <c r="E9054" s="215" t="n">
        <v>44846</v>
      </c>
      <c r="F9054" s="215" t="n">
        <v>44846</v>
      </c>
    </row>
    <row r="9055">
      <c r="A9055" s="215" t="n">
        <v>44847</v>
      </c>
      <c r="B9055" s="216" t="n">
        <v>185</v>
      </c>
      <c r="C9055" s="216" t="n">
        <v>180.15</v>
      </c>
      <c r="D9055" s="216" t="n">
        <v>1.09404194355011</v>
      </c>
      <c r="E9055" s="215" t="n">
        <v>44847</v>
      </c>
      <c r="F9055" s="215" t="n">
        <v>44847</v>
      </c>
    </row>
    <row r="9056">
      <c r="A9056" s="215" t="n">
        <v>44848</v>
      </c>
      <c r="B9056" s="216" t="n">
        <v>194</v>
      </c>
      <c r="C9056" s="216" t="n">
        <v>185.46</v>
      </c>
      <c r="D9056" s="216" t="n">
        <v>1.094624042510986</v>
      </c>
      <c r="E9056" s="215" t="n">
        <v>44848</v>
      </c>
      <c r="F9056" s="215" t="n">
        <v>44848</v>
      </c>
    </row>
    <row r="9057">
      <c r="A9057" s="215" t="n">
        <v>44851</v>
      </c>
      <c r="B9057" s="216" t="n">
        <v>193.4</v>
      </c>
      <c r="C9057" s="216" t="n">
        <v>186.93</v>
      </c>
      <c r="D9057" s="216" t="n">
        <v>1.093557000160217</v>
      </c>
      <c r="E9057" s="215" t="n">
        <v>44851</v>
      </c>
      <c r="F9057" s="215" t="n">
        <v>44851</v>
      </c>
    </row>
    <row r="9058">
      <c r="A9058" s="215" t="n">
        <v>44852</v>
      </c>
      <c r="B9058" s="216" t="n">
        <v>193.4</v>
      </c>
      <c r="C9058" s="216" t="n">
        <v>189</v>
      </c>
      <c r="D9058" s="216" t="n">
        <v>1.090047001838684</v>
      </c>
      <c r="E9058" s="215" t="n">
        <v>44852</v>
      </c>
      <c r="F9058" s="215" t="n">
        <v>44852</v>
      </c>
    </row>
    <row r="9059">
      <c r="A9059" s="215" t="n">
        <v>44853</v>
      </c>
      <c r="B9059" s="216" t="n">
        <v>181.1</v>
      </c>
      <c r="C9059" s="216" t="n">
        <v>179.6</v>
      </c>
      <c r="D9059" s="216" t="n">
        <v>1.089534044265747</v>
      </c>
      <c r="E9059" s="215" t="n">
        <v>44853</v>
      </c>
      <c r="F9059" s="215" t="n">
        <v>44853</v>
      </c>
    </row>
    <row r="9060">
      <c r="A9060" s="215" t="n">
        <v>44854</v>
      </c>
      <c r="B9060" s="216" t="n">
        <v>174.6</v>
      </c>
      <c r="C9060" s="216" t="n">
        <v>179.4</v>
      </c>
      <c r="D9060" s="216" t="n">
        <v>1.086274027824402</v>
      </c>
      <c r="E9060" s="215" t="n">
        <v>44854</v>
      </c>
      <c r="F9060" s="215" t="n">
        <v>44854</v>
      </c>
    </row>
    <row r="9061">
      <c r="A9061" s="215" t="n">
        <v>44855</v>
      </c>
      <c r="B9061" s="216" t="n">
        <v>176</v>
      </c>
      <c r="C9061" s="216" t="n">
        <v>175.57</v>
      </c>
      <c r="D9061" s="216" t="n">
        <v>1.087515950202942</v>
      </c>
      <c r="E9061" s="215" t="n">
        <v>44855</v>
      </c>
      <c r="F9061" s="215" t="n">
        <v>44855</v>
      </c>
    </row>
    <row r="9062">
      <c r="A9062" s="215" t="n">
        <v>44858</v>
      </c>
      <c r="B9062" s="216" t="n">
        <v>173.5</v>
      </c>
      <c r="C9062" s="216" t="n">
        <v>167</v>
      </c>
      <c r="D9062" s="216" t="n">
        <v>1.08328104019165</v>
      </c>
      <c r="E9062" s="215" t="n">
        <v>44858</v>
      </c>
      <c r="F9062" s="215" t="n">
        <v>44858</v>
      </c>
    </row>
    <row r="9063">
      <c r="A9063" s="215" t="n">
        <v>44859</v>
      </c>
      <c r="B9063" s="216" t="n">
        <v>181.5</v>
      </c>
      <c r="C9063" s="216" t="n">
        <v>171.39</v>
      </c>
      <c r="D9063" s="216" t="n">
        <v>1.080643057823181</v>
      </c>
      <c r="E9063" s="215" t="n">
        <v>44859</v>
      </c>
      <c r="F9063" s="215" t="n">
        <v>44859</v>
      </c>
    </row>
    <row r="9064">
      <c r="A9064" s="215" t="n">
        <v>44860</v>
      </c>
      <c r="B9064" s="216" t="n">
        <v>180</v>
      </c>
      <c r="C9064" s="216" t="n">
        <v>173.01</v>
      </c>
      <c r="D9064" s="216" t="n">
        <v>1.079828023910522</v>
      </c>
      <c r="E9064" s="215" t="n">
        <v>44860</v>
      </c>
      <c r="F9064" s="215" t="n">
        <v>44860</v>
      </c>
    </row>
    <row r="9065">
      <c r="A9065" s="215" t="n">
        <v>44861</v>
      </c>
      <c r="B9065" s="216" t="n">
        <v>177.2</v>
      </c>
      <c r="C9065" s="216" t="n">
        <v>169</v>
      </c>
      <c r="D9065" s="216" t="n">
        <v>1.094295978546143</v>
      </c>
      <c r="E9065" s="215" t="n">
        <v>44861</v>
      </c>
      <c r="F9065" s="215" t="n">
        <v>44861</v>
      </c>
    </row>
    <row r="9066">
      <c r="A9066" s="215" t="n">
        <v>44862</v>
      </c>
      <c r="B9066" s="216" t="n">
        <v>169.5</v>
      </c>
      <c r="C9066" s="216" t="n">
        <v>167.45</v>
      </c>
      <c r="D9066" s="216" t="n">
        <v>1.085523962974548</v>
      </c>
      <c r="E9066" s="215" t="n">
        <v>44862</v>
      </c>
      <c r="F9066" s="215" t="n">
        <v>44862</v>
      </c>
    </row>
    <row r="9067">
      <c r="A9067" s="215" t="n">
        <v>44865</v>
      </c>
      <c r="B9067" s="216" t="n">
        <v>155.3</v>
      </c>
      <c r="C9067" s="216" t="n">
        <v>160.36</v>
      </c>
      <c r="D9067" s="216" t="n">
        <v>1.081084966659546</v>
      </c>
      <c r="E9067" s="215" t="n">
        <v>44865</v>
      </c>
      <c r="F9067" s="215" t="n">
        <v>44865</v>
      </c>
    </row>
    <row r="9068">
      <c r="A9068" s="215" t="n">
        <v>44866</v>
      </c>
      <c r="B9068" s="216" t="n">
        <v>163.5</v>
      </c>
      <c r="C9068" s="216" t="n">
        <v>176.4</v>
      </c>
      <c r="D9068" s="216" t="n">
        <v>1.074709057807922</v>
      </c>
      <c r="E9068" s="215" t="n">
        <v>44866</v>
      </c>
      <c r="F9068" s="215" t="n">
        <v>44866</v>
      </c>
    </row>
    <row r="9069">
      <c r="A9069" s="215" t="n">
        <v>44867</v>
      </c>
      <c r="B9069" s="216" t="n">
        <v>174.2</v>
      </c>
      <c r="C9069" s="216" t="n">
        <v>182.3</v>
      </c>
      <c r="D9069" s="216" t="n">
        <v>1.078613996505737</v>
      </c>
      <c r="E9069" s="215" t="n">
        <v>44867</v>
      </c>
      <c r="F9069" s="215" t="n">
        <v>44867</v>
      </c>
    </row>
    <row r="9070">
      <c r="A9070" s="215" t="n">
        <v>44868</v>
      </c>
      <c r="B9070" s="216" t="n">
        <v>171.5</v>
      </c>
      <c r="C9070" s="216" t="n">
        <v>182.61</v>
      </c>
      <c r="D9070" s="216" t="n">
        <v>1.076753973960876</v>
      </c>
      <c r="E9070" s="215" t="n">
        <v>44868</v>
      </c>
      <c r="F9070" s="215" t="n">
        <v>44868</v>
      </c>
    </row>
    <row r="9071">
      <c r="A9071" s="215" t="n">
        <v>44869</v>
      </c>
      <c r="B9071" s="216" t="n">
        <v>183</v>
      </c>
      <c r="C9071" s="216" t="n">
        <v>197.09</v>
      </c>
      <c r="D9071" s="216" t="n">
        <v>1.074813961982727</v>
      </c>
      <c r="E9071" s="215" t="n">
        <v>44869</v>
      </c>
      <c r="F9071" s="215" t="n">
        <v>44869</v>
      </c>
    </row>
    <row r="9072">
      <c r="A9072" s="215" t="n">
        <v>44872</v>
      </c>
      <c r="B9072" s="216" t="n">
        <v>176</v>
      </c>
      <c r="C9072" s="216" t="n">
        <v>191.3</v>
      </c>
      <c r="D9072" s="216" t="n">
        <v>1.096333980560303</v>
      </c>
      <c r="E9072" s="215" t="n">
        <v>44872</v>
      </c>
      <c r="F9072" s="215" t="n">
        <v>44872</v>
      </c>
    </row>
    <row r="9073">
      <c r="A9073" s="215" t="n">
        <v>44873</v>
      </c>
      <c r="B9073" s="216" t="n">
        <v>177.6</v>
      </c>
      <c r="C9073" s="216" t="n">
        <v>191.35</v>
      </c>
      <c r="D9073" s="216" t="n">
        <v>1.085438013076782</v>
      </c>
      <c r="E9073" s="215" t="n">
        <v>44873</v>
      </c>
      <c r="F9073" s="215" t="n">
        <v>44873</v>
      </c>
    </row>
    <row r="9074">
      <c r="A9074" s="215" t="n">
        <v>44874</v>
      </c>
      <c r="B9074" s="216" t="n">
        <v>178.4</v>
      </c>
      <c r="C9074" s="216" t="n">
        <v>189.11</v>
      </c>
      <c r="D9074" s="216" t="n">
        <v>1.082811951637268</v>
      </c>
      <c r="E9074" s="215" t="n">
        <v>44874</v>
      </c>
      <c r="F9074" s="215" t="n">
        <v>44874</v>
      </c>
    </row>
    <row r="9075">
      <c r="A9075" s="215" t="n">
        <v>44875</v>
      </c>
      <c r="B9075" s="216" t="n">
        <v>168.8</v>
      </c>
      <c r="C9075" s="216" t="n">
        <v>188.99</v>
      </c>
      <c r="D9075" s="216" t="n">
        <v>1.084288954734802</v>
      </c>
      <c r="E9075" s="215" t="n">
        <v>44875</v>
      </c>
      <c r="F9075" s="215" t="n">
        <v>44875</v>
      </c>
    </row>
    <row r="9076">
      <c r="A9076" s="215" t="n">
        <v>44876</v>
      </c>
      <c r="B9076" s="216" t="n">
        <v>181</v>
      </c>
      <c r="C9076" s="216" t="n">
        <v>195.88</v>
      </c>
      <c r="D9076" s="216" t="n">
        <v>1.091645956039429</v>
      </c>
      <c r="E9076" s="215" t="n">
        <v>44876</v>
      </c>
      <c r="F9076" s="215" t="n">
        <v>44876</v>
      </c>
    </row>
    <row r="9077">
      <c r="A9077" s="215" t="n">
        <v>44879</v>
      </c>
      <c r="B9077" s="216" t="n">
        <v>170</v>
      </c>
      <c r="C9077" s="216" t="n">
        <v>187.5</v>
      </c>
      <c r="D9077" s="216" t="n">
        <v>1.099599003791809</v>
      </c>
      <c r="E9077" s="215" t="n">
        <v>44879</v>
      </c>
      <c r="F9077" s="215" t="n">
        <v>44879</v>
      </c>
    </row>
    <row r="9078">
      <c r="A9078" s="215" t="n">
        <v>44880</v>
      </c>
      <c r="B9078" s="216" t="n">
        <v>175</v>
      </c>
      <c r="C9078" s="216" t="n">
        <v>191</v>
      </c>
      <c r="D9078" s="216" t="n">
        <v>1.107100009918213</v>
      </c>
      <c r="E9078" s="215" t="n">
        <v>44880</v>
      </c>
      <c r="F9078" s="215" t="n">
        <v>44880</v>
      </c>
    </row>
    <row r="9079">
      <c r="A9079" s="215" t="n">
        <v>44881</v>
      </c>
      <c r="B9079" s="216" t="n">
        <v>179.5</v>
      </c>
      <c r="C9079" s="216" t="n">
        <v>194.2</v>
      </c>
      <c r="D9079" s="216" t="n">
        <v>1.109894037246704</v>
      </c>
      <c r="E9079" s="215" t="n">
        <v>44881</v>
      </c>
      <c r="F9079" s="215" t="n">
        <v>44881</v>
      </c>
    </row>
    <row r="9080">
      <c r="A9080" s="215" t="n">
        <v>44882</v>
      </c>
      <c r="B9080" s="216" t="n">
        <v>177.4</v>
      </c>
      <c r="C9080" s="216" t="n">
        <v>192.99</v>
      </c>
      <c r="D9080" s="216" t="n">
        <v>1.103749990463257</v>
      </c>
      <c r="E9080" s="215" t="n">
        <v>44882</v>
      </c>
      <c r="F9080" s="215" t="n">
        <v>44882</v>
      </c>
    </row>
    <row r="9081">
      <c r="A9081" s="215" t="n">
        <v>44883</v>
      </c>
      <c r="B9081" s="216" t="n">
        <v>178.8</v>
      </c>
      <c r="C9081" s="216" t="n">
        <v>190.8</v>
      </c>
      <c r="D9081" s="216" t="n">
        <v>1.093418002128601</v>
      </c>
      <c r="E9081" s="215" t="n">
        <v>44883</v>
      </c>
      <c r="F9081" s="215" t="n">
        <v>44883</v>
      </c>
    </row>
    <row r="9082">
      <c r="A9082" s="215" t="n">
        <v>44886</v>
      </c>
      <c r="B9082" s="216" t="n">
        <v>174.3</v>
      </c>
      <c r="C9082" s="216" t="n">
        <v>184.52</v>
      </c>
      <c r="D9082" s="216" t="n">
        <v>1.096133947372437</v>
      </c>
      <c r="E9082" s="215" t="n">
        <v>44886</v>
      </c>
      <c r="F9082" s="215" t="n">
        <v>44886</v>
      </c>
    </row>
    <row r="9083">
      <c r="A9083" s="215" t="n">
        <v>44887</v>
      </c>
      <c r="B9083" s="216" t="n">
        <v>174.9</v>
      </c>
      <c r="C9083" s="216" t="n">
        <v>183.25</v>
      </c>
      <c r="D9083" s="216" t="n">
        <v>1.089416027069092</v>
      </c>
      <c r="E9083" s="215" t="n">
        <v>44887</v>
      </c>
      <c r="F9083" s="215" t="n">
        <v>44887</v>
      </c>
    </row>
    <row r="9084">
      <c r="A9084" s="215" t="n">
        <v>44888</v>
      </c>
      <c r="B9084" s="216" t="n">
        <v>172.8</v>
      </c>
      <c r="C9084" s="216" t="n">
        <v>181.16</v>
      </c>
      <c r="D9084" s="216" t="n">
        <v>1.095062017440796</v>
      </c>
      <c r="E9084" s="215" t="n">
        <v>44888</v>
      </c>
      <c r="F9084" s="215" t="n">
        <v>44888</v>
      </c>
    </row>
    <row r="9085">
      <c r="A9085" s="215" t="n">
        <v>44889</v>
      </c>
      <c r="B9085" s="216" t="n">
        <v>172.7</v>
      </c>
      <c r="C9085" s="216" t="n">
        <v>179.1</v>
      </c>
      <c r="D9085" s="216" t="n">
        <v>1.091977000236511</v>
      </c>
      <c r="E9085" s="215" t="n">
        <v>44889</v>
      </c>
      <c r="F9085" s="215" t="n">
        <v>44889</v>
      </c>
    </row>
    <row r="9086">
      <c r="A9086" s="215" t="n">
        <v>44890</v>
      </c>
      <c r="B9086" s="216" t="n">
        <v>168</v>
      </c>
      <c r="C9086" s="216" t="n">
        <v>178.66</v>
      </c>
      <c r="D9086" s="216" t="n">
        <v>1.091302990913391</v>
      </c>
      <c r="E9086" s="215" t="n">
        <v>44890</v>
      </c>
      <c r="F9086" s="215" t="n">
        <v>44890</v>
      </c>
    </row>
    <row r="9087">
      <c r="A9087" s="215" t="n">
        <v>44893</v>
      </c>
      <c r="B9087" s="216" t="n">
        <v>172.2</v>
      </c>
      <c r="C9087" s="216" t="n">
        <v>183.86</v>
      </c>
      <c r="D9087" s="216" t="n">
        <v>1.086598038673401</v>
      </c>
      <c r="E9087" s="215" t="n">
        <v>44893</v>
      </c>
      <c r="F9087" s="215" t="n">
        <v>44893</v>
      </c>
    </row>
    <row r="9088">
      <c r="A9088" s="215" t="n">
        <v>44894</v>
      </c>
      <c r="B9088" s="216" t="n">
        <v>181.5</v>
      </c>
      <c r="C9088" s="216" t="n">
        <v>194.97</v>
      </c>
      <c r="D9088" s="216" t="n">
        <v>1.083866000175476</v>
      </c>
      <c r="E9088" s="215" t="n">
        <v>44894</v>
      </c>
      <c r="F9088" s="215" t="n">
        <v>44894</v>
      </c>
    </row>
    <row r="9089">
      <c r="A9089" s="215" t="n">
        <v>44895</v>
      </c>
      <c r="B9089" s="216" t="n">
        <v>196.2</v>
      </c>
      <c r="C9089" s="216" t="n">
        <v>197.48</v>
      </c>
      <c r="D9089" s="216" t="n">
        <v>1.091042995452881</v>
      </c>
      <c r="E9089" s="215" t="n">
        <v>44895</v>
      </c>
      <c r="F9089" s="215" t="n">
        <v>44895</v>
      </c>
    </row>
    <row r="9090">
      <c r="A9090" s="215" t="n">
        <v>44896</v>
      </c>
      <c r="B9090" s="216" t="n">
        <v>201</v>
      </c>
      <c r="C9090" s="216" t="n">
        <v>204</v>
      </c>
      <c r="D9090" s="216" t="n">
        <v>1.100015044212341</v>
      </c>
      <c r="E9090" s="215" t="n">
        <v>44896</v>
      </c>
      <c r="F9090" s="215" t="n">
        <v>44896</v>
      </c>
    </row>
    <row r="9091">
      <c r="A9091" s="215" t="n">
        <v>44897</v>
      </c>
      <c r="B9091" s="216" t="n">
        <v>195</v>
      </c>
      <c r="C9091" s="216" t="n">
        <v>199.4</v>
      </c>
      <c r="D9091" s="216" t="n">
        <v>1.104261994361877</v>
      </c>
      <c r="E9091" s="215" t="n">
        <v>44897</v>
      </c>
      <c r="F9091" s="215" t="n">
        <v>44897</v>
      </c>
    </row>
    <row r="9092">
      <c r="A9092" s="215" t="n">
        <v>44900</v>
      </c>
      <c r="B9092" s="216" t="n">
        <v>204.8</v>
      </c>
      <c r="C9092" s="216" t="n">
        <v>204.92</v>
      </c>
      <c r="D9092" s="216" t="n">
        <v>1.109439969062805</v>
      </c>
      <c r="E9092" s="215" t="n">
        <v>44900</v>
      </c>
      <c r="F9092" s="215" t="n">
        <v>44900</v>
      </c>
    </row>
    <row r="9093">
      <c r="A9093" s="215" t="n">
        <v>44901</v>
      </c>
      <c r="B9093" s="216" t="n">
        <v>199.9</v>
      </c>
      <c r="C9093" s="216" t="n">
        <v>210</v>
      </c>
      <c r="D9093" s="216" t="n">
        <v>1.11556601524353</v>
      </c>
      <c r="E9093" s="215" t="n">
        <v>44901</v>
      </c>
      <c r="F9093" s="215" t="n">
        <v>44901</v>
      </c>
    </row>
    <row r="9094">
      <c r="A9094" s="215" t="n">
        <v>44902</v>
      </c>
      <c r="B9094" s="216" t="n">
        <v>200</v>
      </c>
      <c r="C9094" s="216" t="n">
        <v>214.4</v>
      </c>
      <c r="D9094" s="216" t="n">
        <v>1.111405968666077</v>
      </c>
      <c r="E9094" s="215" t="n">
        <v>44902</v>
      </c>
      <c r="F9094" s="215" t="n">
        <v>44902</v>
      </c>
    </row>
    <row r="9095">
      <c r="A9095" s="215" t="n">
        <v>44903</v>
      </c>
      <c r="B9095" s="216" t="n">
        <v>210.8</v>
      </c>
      <c r="C9095" s="216" t="n">
        <v>214.5</v>
      </c>
      <c r="D9095" s="216" t="n">
        <v>1.117617964744568</v>
      </c>
      <c r="E9095" s="215" t="n">
        <v>44903</v>
      </c>
      <c r="F9095" s="215" t="n">
        <v>44903</v>
      </c>
    </row>
    <row r="9096">
      <c r="A9096" s="215" t="n">
        <v>44904</v>
      </c>
      <c r="B9096" s="216" t="n">
        <v>213.4</v>
      </c>
      <c r="C9096" s="216" t="n">
        <v>213.23</v>
      </c>
      <c r="D9096" s="216" t="n">
        <v>1.117110013961792</v>
      </c>
      <c r="E9096" s="215" t="n">
        <v>44904</v>
      </c>
      <c r="F9096" s="215" t="n">
        <v>44904</v>
      </c>
    </row>
    <row r="9097">
      <c r="A9097" s="215" t="n">
        <v>44907</v>
      </c>
      <c r="B9097" s="216" t="n">
        <v>212</v>
      </c>
      <c r="C9097" s="216" t="n">
        <v>215.77</v>
      </c>
      <c r="D9097" s="216" t="n">
        <v>1.115543961524963</v>
      </c>
      <c r="E9097" s="215" t="n">
        <v>44907</v>
      </c>
      <c r="F9097" s="215" t="n">
        <v>44907</v>
      </c>
    </row>
    <row r="9098">
      <c r="A9098" s="215" t="n">
        <v>44908</v>
      </c>
      <c r="B9098" s="216" t="n">
        <v>208.6</v>
      </c>
      <c r="C9098" s="216" t="n">
        <v>213.74</v>
      </c>
      <c r="D9098" s="216" t="n">
        <v>1.11419403553009</v>
      </c>
      <c r="E9098" s="215" t="n">
        <v>44908</v>
      </c>
      <c r="F9098" s="215" t="n">
        <v>44908</v>
      </c>
    </row>
    <row r="9099">
      <c r="A9099" s="215" t="n">
        <v>44909</v>
      </c>
      <c r="B9099" s="216" t="n">
        <v>215</v>
      </c>
      <c r="C9099" s="216" t="n">
        <v>218.84</v>
      </c>
      <c r="D9099" s="216" t="n">
        <v>1.119148015975952</v>
      </c>
      <c r="E9099" s="215" t="n">
        <v>44909</v>
      </c>
      <c r="F9099" s="215" t="n">
        <v>44909</v>
      </c>
    </row>
    <row r="9100">
      <c r="A9100" s="215" t="n">
        <v>44910</v>
      </c>
      <c r="B9100" s="216" t="n">
        <v>217</v>
      </c>
      <c r="C9100" s="216" t="n">
        <v>219.7</v>
      </c>
      <c r="D9100" s="216" t="n">
        <v>1.118654012680054</v>
      </c>
      <c r="E9100" s="215" t="n">
        <v>44910</v>
      </c>
      <c r="F9100" s="215" t="n">
        <v>44910</v>
      </c>
    </row>
    <row r="9101">
      <c r="A9101" s="215" t="n">
        <v>44911</v>
      </c>
      <c r="B9101" s="216" t="n">
        <v>220.4</v>
      </c>
      <c r="C9101" s="216" t="n">
        <v>221.7</v>
      </c>
      <c r="D9101" s="216" t="n">
        <v>1.116045951843262</v>
      </c>
      <c r="E9101" s="215" t="n">
        <v>44911</v>
      </c>
      <c r="F9101" s="215" t="n">
        <v>44911</v>
      </c>
    </row>
    <row r="9102">
      <c r="A9102" s="215" t="n">
        <v>44914</v>
      </c>
      <c r="B9102" s="216" t="n">
        <v>214.8</v>
      </c>
      <c r="C9102" s="216" t="n">
        <v>218</v>
      </c>
      <c r="D9102" s="216" t="n">
        <v>1.115512013435364</v>
      </c>
      <c r="E9102" s="215" t="n">
        <v>44914</v>
      </c>
      <c r="F9102" s="215" t="n">
        <v>44914</v>
      </c>
    </row>
    <row r="9103">
      <c r="A9103" s="215" t="n">
        <v>44915</v>
      </c>
      <c r="B9103" s="216" t="n">
        <v>212.6</v>
      </c>
      <c r="C9103" s="216" t="n">
        <v>213.2</v>
      </c>
      <c r="D9103" s="216" t="n">
        <v>1.114526987075806</v>
      </c>
      <c r="E9103" s="215" t="n">
        <v>44915</v>
      </c>
      <c r="F9103" s="215" t="n">
        <v>44915</v>
      </c>
    </row>
    <row r="9104">
      <c r="A9104" s="215" t="n">
        <v>44916</v>
      </c>
      <c r="B9104" s="216" t="n">
        <v>216.2</v>
      </c>
      <c r="C9104" s="216" t="n">
        <v>215.09</v>
      </c>
      <c r="D9104" s="216" t="n">
        <v>1.11863899230957</v>
      </c>
      <c r="E9104" s="215" t="n">
        <v>44916</v>
      </c>
      <c r="F9104" s="215" t="n">
        <v>44916</v>
      </c>
    </row>
    <row r="9105">
      <c r="A9105" s="215" t="n">
        <v>44917</v>
      </c>
      <c r="B9105" s="216" t="n">
        <v>224.4</v>
      </c>
      <c r="C9105" s="216" t="n">
        <v>221.04</v>
      </c>
      <c r="D9105" s="216" t="n">
        <v>1.116286993026733</v>
      </c>
      <c r="E9105" s="215" t="n">
        <v>44917</v>
      </c>
      <c r="F9105" s="215" t="n">
        <v>44917</v>
      </c>
    </row>
    <row r="9106">
      <c r="A9106" s="215" t="n">
        <v>44918</v>
      </c>
      <c r="B9106" s="216" t="n">
        <v>228.8</v>
      </c>
      <c r="C9106" s="216" t="n">
        <v>223.33</v>
      </c>
      <c r="D9106" s="216" t="n">
        <v>1.115679979324341</v>
      </c>
      <c r="E9106" s="215" t="n">
        <v>44918</v>
      </c>
      <c r="F9106" s="215" t="n">
        <v>44918</v>
      </c>
    </row>
    <row r="9107">
      <c r="A9107" s="215" t="n">
        <v>44923</v>
      </c>
      <c r="B9107" s="216" t="n">
        <v>228.4</v>
      </c>
      <c r="C9107" s="216" t="n">
        <v>218.8</v>
      </c>
      <c r="D9107" s="216" t="n">
        <v>1.120296955108643</v>
      </c>
      <c r="E9107" s="215" t="n">
        <v>44923</v>
      </c>
      <c r="F9107" s="215" t="n">
        <v>44923</v>
      </c>
    </row>
    <row r="9108">
      <c r="A9108" s="215" t="n">
        <v>44924</v>
      </c>
      <c r="B9108" s="216" t="n">
        <v>233.6</v>
      </c>
      <c r="C9108" s="216" t="n">
        <v>216.15</v>
      </c>
      <c r="D9108" s="216" t="n">
        <v>1.11841094493866</v>
      </c>
      <c r="E9108" s="215" t="n">
        <v>44924</v>
      </c>
      <c r="F9108" s="215" t="n">
        <v>44924</v>
      </c>
    </row>
    <row r="9109">
      <c r="A9109" s="215" t="n">
        <v>44925</v>
      </c>
      <c r="B9109" s="216" t="n">
        <v>230</v>
      </c>
      <c r="C9109" s="216" t="n">
        <v>216.03</v>
      </c>
      <c r="D9109" s="216" t="n">
        <v>1.118479013442993</v>
      </c>
      <c r="E9109" s="215" t="n">
        <v>44925</v>
      </c>
      <c r="F9109" s="215" t="n">
        <v>44925</v>
      </c>
    </row>
    <row r="9110">
      <c r="A9110" s="215" t="n">
        <v>44929</v>
      </c>
      <c r="B9110" s="216" t="n">
        <v>224</v>
      </c>
      <c r="C9110" s="216" t="n">
        <v>214.1</v>
      </c>
      <c r="D9110" s="216" t="n">
        <v>1.131546974182129</v>
      </c>
      <c r="E9110" s="215" t="n">
        <v>44929</v>
      </c>
      <c r="F9110" s="215" t="n">
        <v>44929</v>
      </c>
    </row>
    <row r="9111">
      <c r="A9111" s="215" t="n">
        <v>44930</v>
      </c>
      <c r="B9111" s="216" t="n">
        <v>228.8</v>
      </c>
      <c r="C9111" s="216" t="n">
        <v>215.11</v>
      </c>
      <c r="D9111" s="216" t="n">
        <v>1.130236983299255</v>
      </c>
      <c r="E9111" s="215" t="n">
        <v>44930</v>
      </c>
      <c r="F9111" s="215" t="n">
        <v>44930</v>
      </c>
    </row>
    <row r="9112">
      <c r="A9112" s="215" t="n">
        <v>44931</v>
      </c>
      <c r="B9112" s="216" t="n">
        <v>243.2</v>
      </c>
      <c r="C9112" s="216" t="n">
        <v>225.9</v>
      </c>
      <c r="D9112" s="216" t="n">
        <v>1.134225010871887</v>
      </c>
      <c r="E9112" s="215" t="n">
        <v>44931</v>
      </c>
      <c r="F9112" s="215" t="n">
        <v>44931</v>
      </c>
    </row>
    <row r="9113">
      <c r="A9113" s="215" t="n">
        <v>44932</v>
      </c>
      <c r="B9113" s="216" t="n">
        <v>240.6</v>
      </c>
      <c r="C9113" s="216" t="n">
        <v>224.67</v>
      </c>
      <c r="D9113" s="216" t="n">
        <v>1.135105967521667</v>
      </c>
      <c r="E9113" s="215" t="n">
        <v>44932</v>
      </c>
      <c r="F9113" s="215" t="n">
        <v>44932</v>
      </c>
    </row>
    <row r="9114">
      <c r="A9114" s="215" t="n">
        <v>44935</v>
      </c>
      <c r="B9114" s="216" t="n">
        <v>244</v>
      </c>
      <c r="C9114" s="216" t="n">
        <v>225.68</v>
      </c>
      <c r="D9114" s="216" t="n">
        <v>1.142660021781921</v>
      </c>
      <c r="E9114" s="215" t="n">
        <v>44935</v>
      </c>
      <c r="F9114" s="215" t="n">
        <v>44935</v>
      </c>
    </row>
    <row r="9115">
      <c r="A9115" s="215" t="n">
        <v>44936</v>
      </c>
      <c r="B9115" s="216" t="n">
        <v>251.4</v>
      </c>
      <c r="C9115" s="216" t="n">
        <v>231.98</v>
      </c>
      <c r="D9115" s="216" t="n">
        <v>1.152361989021301</v>
      </c>
      <c r="E9115" s="215" t="n">
        <v>44936</v>
      </c>
      <c r="F9115" s="215" t="n">
        <v>44936</v>
      </c>
    </row>
    <row r="9116">
      <c r="A9116" s="215" t="n">
        <v>44937</v>
      </c>
      <c r="B9116" s="216" t="n">
        <v>244.6</v>
      </c>
      <c r="C9116" s="216" t="n">
        <v>228.6</v>
      </c>
      <c r="D9116" s="216" t="n">
        <v>1.151782989501953</v>
      </c>
      <c r="E9116" s="215" t="n">
        <v>44937</v>
      </c>
      <c r="F9116" s="215" t="n">
        <v>44937</v>
      </c>
    </row>
    <row r="9117">
      <c r="A9117" s="215" t="n">
        <v>44938</v>
      </c>
      <c r="B9117" s="216" t="n">
        <v>232</v>
      </c>
      <c r="C9117" s="216" t="n">
        <v>225.02</v>
      </c>
      <c r="D9117" s="216" t="n">
        <v>1.15372097492218</v>
      </c>
      <c r="E9117" s="215" t="n">
        <v>44938</v>
      </c>
      <c r="F9117" s="215" t="n">
        <v>44938</v>
      </c>
    </row>
    <row r="9118">
      <c r="A9118" s="215" t="n">
        <v>44939</v>
      </c>
      <c r="B9118" s="216" t="n">
        <v>238</v>
      </c>
      <c r="C9118" s="216" t="n">
        <v>228.5</v>
      </c>
      <c r="D9118" s="216" t="n">
        <v>1.158794045448303</v>
      </c>
      <c r="E9118" s="215" t="n">
        <v>44939</v>
      </c>
      <c r="F9118" s="215" t="n">
        <v>44939</v>
      </c>
    </row>
    <row r="9119">
      <c r="A9119" s="215" t="n">
        <v>44942</v>
      </c>
      <c r="B9119" s="216" t="n">
        <v>241.4</v>
      </c>
      <c r="C9119" s="216" t="n">
        <v>232.8</v>
      </c>
      <c r="D9119" s="216" t="n">
        <v>1.16464102268219</v>
      </c>
      <c r="E9119" s="215" t="n">
        <v>44942</v>
      </c>
      <c r="F9119" s="215" t="n">
        <v>44942</v>
      </c>
    </row>
    <row r="9120">
      <c r="A9120" s="215" t="n">
        <v>44943</v>
      </c>
      <c r="B9120" s="216" t="n">
        <v>241.2</v>
      </c>
      <c r="C9120" s="216" t="n">
        <v>230.99</v>
      </c>
      <c r="D9120" s="216" t="n">
        <v>1.159963011741638</v>
      </c>
      <c r="E9120" s="215" t="n">
        <v>44943</v>
      </c>
      <c r="F9120" s="215" t="n">
        <v>44943</v>
      </c>
    </row>
    <row r="9121">
      <c r="A9121" s="215" t="n">
        <v>44944</v>
      </c>
      <c r="B9121" s="216" t="n">
        <v>242.6</v>
      </c>
      <c r="C9121" s="216" t="n">
        <v>229.3</v>
      </c>
      <c r="D9121" s="216" t="n">
        <v>1.154523968696594</v>
      </c>
      <c r="E9121" s="215" t="n">
        <v>44944</v>
      </c>
      <c r="F9121" s="215" t="n">
        <v>44944</v>
      </c>
    </row>
    <row r="9122">
      <c r="A9122" s="215" t="n">
        <v>44945</v>
      </c>
      <c r="B9122" s="216" t="n">
        <v>251.2</v>
      </c>
      <c r="C9122" s="216" t="n">
        <v>231.64</v>
      </c>
      <c r="D9122" s="216" t="n">
        <v>1.15931499004364</v>
      </c>
      <c r="E9122" s="215" t="n">
        <v>44945</v>
      </c>
      <c r="F9122" s="215" t="n">
        <v>44945</v>
      </c>
    </row>
    <row r="9123">
      <c r="A9123" s="215" t="n">
        <v>44946</v>
      </c>
      <c r="B9123" s="216" t="n">
        <v>254</v>
      </c>
      <c r="C9123" s="216" t="n">
        <v>230.5</v>
      </c>
      <c r="D9123" s="216" t="n">
        <v>1.154749989509583</v>
      </c>
      <c r="E9123" s="215" t="n">
        <v>44946</v>
      </c>
      <c r="F9123" s="215" t="n">
        <v>44946</v>
      </c>
    </row>
    <row r="9124">
      <c r="A9124" s="215" t="n">
        <v>44952</v>
      </c>
      <c r="B9124" s="216" t="n">
        <v>274.4</v>
      </c>
      <c r="C9124" s="216" t="n">
        <v>230.5</v>
      </c>
      <c r="D9124" s="216" t="n">
        <v>1.153751969337463</v>
      </c>
      <c r="E9124" s="215" t="n">
        <v>44946</v>
      </c>
      <c r="F9124" s="215" t="n">
        <v>44952</v>
      </c>
    </row>
    <row r="9125">
      <c r="A9125" s="215" t="n">
        <v>44953</v>
      </c>
      <c r="B9125" s="216" t="n">
        <v>276.2</v>
      </c>
      <c r="C9125" s="216" t="n">
        <v>230.5</v>
      </c>
      <c r="D9125" s="216" t="n">
        <v>1.153638958930969</v>
      </c>
      <c r="E9125" s="215" t="n">
        <v>44946</v>
      </c>
      <c r="F9125" s="215" t="n">
        <v>44953</v>
      </c>
    </row>
    <row r="9126">
      <c r="A9126" s="215" t="n">
        <v>44956</v>
      </c>
      <c r="B9126" s="216" t="n">
        <v>238.2</v>
      </c>
      <c r="C9126" s="216" t="n">
        <v>217.49</v>
      </c>
      <c r="D9126" s="216" t="n">
        <v>1.154070019721985</v>
      </c>
      <c r="E9126" s="215" t="n">
        <v>44956</v>
      </c>
      <c r="F9126" s="215" t="n">
        <v>44956</v>
      </c>
    </row>
    <row r="9127">
      <c r="A9127" s="215" t="n">
        <v>44957</v>
      </c>
      <c r="B9127" s="216" t="n">
        <v>239.8</v>
      </c>
      <c r="C9127" s="216" t="n">
        <v>212.3</v>
      </c>
      <c r="D9127" s="216" t="n">
        <v>1.160927057266235</v>
      </c>
      <c r="E9127" s="215" t="n">
        <v>44957</v>
      </c>
      <c r="F9127" s="215" t="n">
        <v>44957</v>
      </c>
    </row>
    <row r="9128">
      <c r="A9128" s="215" t="n">
        <v>44958</v>
      </c>
      <c r="B9128" s="216" t="n">
        <v>237.8</v>
      </c>
      <c r="C9128" s="216" t="n">
        <v>212.85</v>
      </c>
      <c r="D9128" s="216" t="n">
        <v>1.160451054573059</v>
      </c>
      <c r="E9128" s="215" t="n">
        <v>44958</v>
      </c>
      <c r="F9128" s="215" t="n">
        <v>44958</v>
      </c>
    </row>
    <row r="9129">
      <c r="A9129" s="215" t="n">
        <v>44959</v>
      </c>
      <c r="B9129" s="216" t="n">
        <v>236.8</v>
      </c>
      <c r="C9129" s="216" t="n">
        <v>215.22</v>
      </c>
      <c r="D9129" s="216" t="n">
        <v>1.162333965301514</v>
      </c>
      <c r="E9129" s="215" t="n">
        <v>44959</v>
      </c>
      <c r="F9129" s="215" t="n">
        <v>44959</v>
      </c>
    </row>
    <row r="9130">
      <c r="A9130" s="215" t="n">
        <v>44960</v>
      </c>
      <c r="B9130" s="216" t="n">
        <v>229</v>
      </c>
      <c r="C9130" s="216" t="n">
        <v>210.96</v>
      </c>
      <c r="D9130" s="216" t="n">
        <v>1.165007948875427</v>
      </c>
      <c r="E9130" s="215" t="n">
        <v>44960</v>
      </c>
      <c r="F9130" s="215" t="n">
        <v>44960</v>
      </c>
    </row>
    <row r="9131">
      <c r="A9131" s="215" t="n">
        <v>44963</v>
      </c>
      <c r="B9131" s="216" t="n">
        <v>219.6</v>
      </c>
      <c r="C9131" s="216" t="n">
        <v>206.16</v>
      </c>
      <c r="D9131" s="216" t="n">
        <v>1.157632946968079</v>
      </c>
      <c r="E9131" s="215" t="n">
        <v>44963</v>
      </c>
      <c r="F9131" s="215" t="n">
        <v>44963</v>
      </c>
    </row>
    <row r="9132">
      <c r="A9132" s="215" t="n">
        <v>44964</v>
      </c>
      <c r="B9132" s="216" t="n">
        <v>217.6</v>
      </c>
      <c r="C9132" s="216" t="n">
        <v>205.56</v>
      </c>
      <c r="D9132" s="216" t="n">
        <v>1.154948949813843</v>
      </c>
      <c r="E9132" s="215" t="n">
        <v>44964</v>
      </c>
      <c r="F9132" s="215" t="n">
        <v>44964</v>
      </c>
    </row>
    <row r="9133">
      <c r="A9133" s="215" t="n">
        <v>44965</v>
      </c>
      <c r="B9133" s="216" t="n">
        <v>214</v>
      </c>
      <c r="C9133" s="216" t="n">
        <v>204.31</v>
      </c>
      <c r="D9133" s="216" t="n">
        <v>1.155540943145752</v>
      </c>
      <c r="E9133" s="215" t="n">
        <v>44965</v>
      </c>
      <c r="F9133" s="215" t="n">
        <v>44965</v>
      </c>
    </row>
    <row r="9134">
      <c r="A9134" s="215" t="n">
        <v>44966</v>
      </c>
      <c r="B9134" s="216" t="n">
        <v>219.6</v>
      </c>
      <c r="C9134" s="216" t="n">
        <v>205.69</v>
      </c>
      <c r="D9134" s="216" t="n">
        <v>1.156080961227417</v>
      </c>
      <c r="E9134" s="215" t="n">
        <v>44966</v>
      </c>
      <c r="F9134" s="215" t="n">
        <v>44966</v>
      </c>
    </row>
    <row r="9135">
      <c r="A9135" s="215" t="n">
        <v>44967</v>
      </c>
      <c r="B9135" s="216" t="n">
        <v>216.6</v>
      </c>
      <c r="C9135" s="216" t="n">
        <v>204.42</v>
      </c>
      <c r="D9135" s="216" t="n">
        <v>1.157587051391602</v>
      </c>
      <c r="E9135" s="215" t="n">
        <v>44967</v>
      </c>
      <c r="F9135" s="215" t="n">
        <v>44967</v>
      </c>
    </row>
    <row r="9136">
      <c r="A9136" s="215" t="n">
        <v>44970</v>
      </c>
      <c r="B9136" s="216" t="n">
        <v>221.2</v>
      </c>
      <c r="C9136" s="216" t="n">
        <v>208</v>
      </c>
      <c r="D9136" s="216" t="n">
        <v>1.152721047401428</v>
      </c>
      <c r="E9136" s="215" t="n">
        <v>44970</v>
      </c>
      <c r="F9136" s="215" t="n">
        <v>44970</v>
      </c>
    </row>
    <row r="9137">
      <c r="A9137" s="215" t="n">
        <v>44971</v>
      </c>
      <c r="B9137" s="216" t="n">
        <v>218</v>
      </c>
      <c r="C9137" s="216" t="n">
        <v>205.45</v>
      </c>
      <c r="D9137" s="216" t="n">
        <v>1.150822043418884</v>
      </c>
      <c r="E9137" s="215" t="n">
        <v>44971</v>
      </c>
      <c r="F9137" s="215" t="n">
        <v>44971</v>
      </c>
    </row>
    <row r="9138">
      <c r="A9138" s="215" t="n">
        <v>44972</v>
      </c>
      <c r="B9138" s="216" t="n">
        <v>213.8</v>
      </c>
      <c r="C9138" s="216" t="n">
        <v>200.5</v>
      </c>
      <c r="D9138" s="216" t="n">
        <v>1.149250030517578</v>
      </c>
      <c r="E9138" s="215" t="n">
        <v>44972</v>
      </c>
      <c r="F9138" s="215" t="n">
        <v>44972</v>
      </c>
    </row>
    <row r="9139">
      <c r="A9139" s="215" t="n">
        <v>44973</v>
      </c>
      <c r="B9139" s="216" t="n">
        <v>218</v>
      </c>
      <c r="C9139" s="216" t="n">
        <v>204.18</v>
      </c>
      <c r="D9139" s="216" t="n">
        <v>1.144971013069153</v>
      </c>
      <c r="E9139" s="215" t="n">
        <v>44973</v>
      </c>
      <c r="F9139" s="215" t="n">
        <v>44973</v>
      </c>
    </row>
    <row r="9140">
      <c r="A9140" s="215" t="n">
        <v>44974</v>
      </c>
      <c r="B9140" s="216" t="n">
        <v>213.6</v>
      </c>
      <c r="C9140" s="216" t="n">
        <v>200.54</v>
      </c>
      <c r="D9140" s="216" t="n">
        <v>1.144101023674011</v>
      </c>
      <c r="E9140" s="215" t="n">
        <v>44974</v>
      </c>
      <c r="F9140" s="215" t="n">
        <v>44974</v>
      </c>
    </row>
    <row r="9141">
      <c r="A9141" s="215" t="n">
        <v>44977</v>
      </c>
      <c r="B9141" s="216" t="n">
        <v>215</v>
      </c>
      <c r="C9141" s="216" t="n">
        <v>205.97</v>
      </c>
      <c r="D9141" s="216" t="n">
        <v>1.141230940818787</v>
      </c>
      <c r="E9141" s="215" t="n">
        <v>44977</v>
      </c>
      <c r="F9141" s="215" t="n">
        <v>44977</v>
      </c>
    </row>
    <row r="9142">
      <c r="A9142" s="215" t="n">
        <v>44978</v>
      </c>
      <c r="B9142" s="216" t="n">
        <v>207.8</v>
      </c>
      <c r="C9142" s="216" t="n">
        <v>203.5</v>
      </c>
      <c r="D9142" s="216" t="n">
        <v>1.142338037490845</v>
      </c>
      <c r="E9142" s="215" t="n">
        <v>44978</v>
      </c>
      <c r="F9142" s="215" t="n">
        <v>44978</v>
      </c>
    </row>
    <row r="9143">
      <c r="A9143" s="215" t="n">
        <v>44979</v>
      </c>
      <c r="B9143" s="216" t="n">
        <v>203.8</v>
      </c>
      <c r="C9143" s="216" t="n">
        <v>200.54</v>
      </c>
      <c r="D9143" s="216" t="n">
        <v>1.141216993331909</v>
      </c>
      <c r="E9143" s="215" t="n">
        <v>44979</v>
      </c>
      <c r="F9143" s="215" t="n">
        <v>44979</v>
      </c>
    </row>
    <row r="9144">
      <c r="A9144" s="215" t="n">
        <v>44980</v>
      </c>
      <c r="B9144" s="216" t="n">
        <v>202.2</v>
      </c>
      <c r="C9144" s="216" t="n">
        <v>199.99</v>
      </c>
      <c r="D9144" s="216" t="n">
        <v>1.138142943382263</v>
      </c>
      <c r="E9144" s="215" t="n">
        <v>44980</v>
      </c>
      <c r="F9144" s="215" t="n">
        <v>44980</v>
      </c>
    </row>
    <row r="9145">
      <c r="A9145" s="215" t="n">
        <v>44981</v>
      </c>
      <c r="B9145" s="216" t="n">
        <v>204.4</v>
      </c>
      <c r="C9145" s="216" t="n">
        <v>197.51</v>
      </c>
      <c r="D9145" s="216" t="n">
        <v>1.135694026947021</v>
      </c>
      <c r="E9145" s="215" t="n">
        <v>44981</v>
      </c>
      <c r="F9145" s="215" t="n">
        <v>44981</v>
      </c>
    </row>
    <row r="9146">
      <c r="A9146" s="215" t="n">
        <v>44984</v>
      </c>
      <c r="B9146" s="216" t="n">
        <v>201.2</v>
      </c>
      <c r="C9146" s="216" t="n">
        <v>197.31</v>
      </c>
      <c r="D9146" s="216" t="n">
        <v>1.135581016540527</v>
      </c>
      <c r="E9146" s="215" t="n">
        <v>44984</v>
      </c>
      <c r="F9146" s="215" t="n">
        <v>44984</v>
      </c>
    </row>
    <row r="9147">
      <c r="A9147" s="215" t="n">
        <v>44985</v>
      </c>
      <c r="B9147" s="216" t="n">
        <v>198.1</v>
      </c>
      <c r="C9147" s="216" t="n">
        <v>197.58</v>
      </c>
      <c r="D9147" s="216" t="n">
        <v>1.129464983940125</v>
      </c>
      <c r="E9147" s="215" t="n">
        <v>44985</v>
      </c>
      <c r="F9147" s="215" t="n">
        <v>44985</v>
      </c>
    </row>
    <row r="9148">
      <c r="A9148" s="215" t="n">
        <v>44986</v>
      </c>
      <c r="B9148" s="216" t="n">
        <v>203.6</v>
      </c>
      <c r="C9148" s="216" t="n">
        <v>196.85</v>
      </c>
      <c r="D9148" s="216" t="n">
        <v>1.131901025772095</v>
      </c>
      <c r="E9148" s="215" t="n">
        <v>44986</v>
      </c>
      <c r="F9148" s="215" t="n">
        <v>44986</v>
      </c>
    </row>
    <row r="9149">
      <c r="A9149" s="215" t="n">
        <v>44987</v>
      </c>
      <c r="B9149" s="216" t="n">
        <v>205.4</v>
      </c>
      <c r="C9149" s="216" t="n">
        <v>195.52</v>
      </c>
      <c r="D9149" s="216" t="n">
        <v>1.142472982406616</v>
      </c>
      <c r="E9149" s="215" t="n">
        <v>44987</v>
      </c>
      <c r="F9149" s="215" t="n">
        <v>44987</v>
      </c>
    </row>
    <row r="9150">
      <c r="A9150" s="215" t="n">
        <v>44988</v>
      </c>
      <c r="B9150" s="216" t="n">
        <v>208</v>
      </c>
      <c r="C9150" s="216" t="n">
        <v>196.06</v>
      </c>
      <c r="D9150" s="216" t="n">
        <v>1.134973049163818</v>
      </c>
      <c r="E9150" s="215" t="n">
        <v>44988</v>
      </c>
      <c r="F9150" s="215" t="n">
        <v>44988</v>
      </c>
    </row>
    <row r="9151">
      <c r="A9151" s="215" t="n">
        <v>44991</v>
      </c>
      <c r="B9151" s="216" t="n">
        <v>206.2</v>
      </c>
      <c r="C9151" s="216" t="n">
        <v>191.93</v>
      </c>
      <c r="D9151" s="216" t="n">
        <v>1.135468006134033</v>
      </c>
      <c r="E9151" s="215" t="n">
        <v>44991</v>
      </c>
      <c r="F9151" s="215" t="n">
        <v>44991</v>
      </c>
    </row>
    <row r="9152">
      <c r="A9152" s="215" t="n">
        <v>44992</v>
      </c>
      <c r="B9152" s="216" t="n">
        <v>200.2</v>
      </c>
      <c r="C9152" s="216" t="n">
        <v>188.6</v>
      </c>
      <c r="D9152" s="216" t="n">
        <v>1.132706046104431</v>
      </c>
      <c r="E9152" s="215" t="n">
        <v>44992</v>
      </c>
      <c r="F9152" s="215" t="n">
        <v>44992</v>
      </c>
    </row>
    <row r="9153">
      <c r="A9153" s="215" t="n">
        <v>44993</v>
      </c>
      <c r="B9153" s="216" t="n">
        <v>197.9</v>
      </c>
      <c r="C9153" s="216" t="n">
        <v>187.65</v>
      </c>
      <c r="D9153" s="216" t="n">
        <v>1.127292037010193</v>
      </c>
      <c r="E9153" s="215" t="n">
        <v>44993</v>
      </c>
      <c r="F9153" s="215" t="n">
        <v>44993</v>
      </c>
    </row>
    <row r="9154">
      <c r="A9154" s="215" t="n">
        <v>44994</v>
      </c>
      <c r="B9154" s="216" t="n">
        <v>196.6</v>
      </c>
      <c r="C9154" s="216" t="n">
        <v>184.49</v>
      </c>
      <c r="D9154" s="216" t="n">
        <v>1.12942099571228</v>
      </c>
      <c r="E9154" s="215" t="n">
        <v>44994</v>
      </c>
      <c r="F9154" s="215" t="n">
        <v>44994</v>
      </c>
    </row>
    <row r="9155">
      <c r="A9155" s="215" t="n">
        <v>44995</v>
      </c>
      <c r="B9155" s="216" t="n">
        <v>189.1</v>
      </c>
      <c r="C9155" s="216" t="n">
        <v>181.73</v>
      </c>
      <c r="D9155" s="216" t="n">
        <v>1.126757979393005</v>
      </c>
      <c r="E9155" s="215" t="n">
        <v>44995</v>
      </c>
      <c r="F9155" s="215" t="n">
        <v>44995</v>
      </c>
    </row>
    <row r="9156">
      <c r="A9156" s="215" t="n">
        <v>44998</v>
      </c>
      <c r="B9156" s="216" t="n">
        <v>196.6</v>
      </c>
      <c r="C9156" s="216" t="n">
        <v>186.81</v>
      </c>
      <c r="D9156" s="216" t="n">
        <v>1.140457987785339</v>
      </c>
      <c r="E9156" s="215" t="n">
        <v>44998</v>
      </c>
      <c r="F9156" s="215" t="n">
        <v>44998</v>
      </c>
    </row>
    <row r="9157">
      <c r="A9157" s="215" t="n">
        <v>44999</v>
      </c>
      <c r="B9157" s="216" t="n">
        <v>192</v>
      </c>
      <c r="C9157" s="216" t="n">
        <v>186.35</v>
      </c>
      <c r="D9157" s="216" t="n">
        <v>1.14533805847168</v>
      </c>
      <c r="E9157" s="215" t="n">
        <v>44999</v>
      </c>
      <c r="F9157" s="215" t="n">
        <v>44999</v>
      </c>
    </row>
    <row r="9158">
      <c r="A9158" s="215" t="n">
        <v>45000</v>
      </c>
      <c r="B9158" s="216" t="n">
        <v>192.2</v>
      </c>
      <c r="C9158" s="216" t="n">
        <v>182.95</v>
      </c>
      <c r="D9158" s="216" t="n">
        <v>1.141839981079102</v>
      </c>
      <c r="E9158" s="215" t="n">
        <v>45000</v>
      </c>
      <c r="F9158" s="215" t="n">
        <v>45000</v>
      </c>
    </row>
    <row r="9159">
      <c r="A9159" s="215" t="n">
        <v>45001</v>
      </c>
      <c r="B9159" s="216" t="n">
        <v>191</v>
      </c>
      <c r="C9159" s="216" t="n">
        <v>184.26</v>
      </c>
      <c r="D9159" s="216" t="n">
        <v>1.135804057121277</v>
      </c>
      <c r="E9159" s="215" t="n">
        <v>45001</v>
      </c>
      <c r="F9159" s="215" t="n">
        <v>45001</v>
      </c>
    </row>
    <row r="9160">
      <c r="A9160" s="215" t="n">
        <v>45002</v>
      </c>
      <c r="B9160" s="216" t="n">
        <v>197.5</v>
      </c>
      <c r="C9160" s="216" t="n">
        <v>185.3</v>
      </c>
      <c r="D9160" s="216" t="n">
        <v>1.137447953224182</v>
      </c>
      <c r="E9160" s="215" t="n">
        <v>45002</v>
      </c>
      <c r="F9160" s="215" t="n">
        <v>45002</v>
      </c>
    </row>
    <row r="9161">
      <c r="A9161" s="215" t="n">
        <v>45005</v>
      </c>
      <c r="B9161" s="216" t="n">
        <v>191.9</v>
      </c>
      <c r="C9161" s="216" t="n">
        <v>182.67</v>
      </c>
      <c r="D9161" s="216" t="n">
        <v>1.14422595500946</v>
      </c>
      <c r="E9161" s="215" t="n">
        <v>45005</v>
      </c>
      <c r="F9161" s="215" t="n">
        <v>45005</v>
      </c>
    </row>
    <row r="9162">
      <c r="A9162" s="215" t="n">
        <v>45006</v>
      </c>
      <c r="B9162" s="216" t="n">
        <v>198.1</v>
      </c>
      <c r="C9162" s="216" t="n">
        <v>188</v>
      </c>
      <c r="D9162" s="216" t="n">
        <v>1.140269994735718</v>
      </c>
      <c r="E9162" s="215" t="n">
        <v>45006</v>
      </c>
      <c r="F9162" s="215" t="n">
        <v>45006</v>
      </c>
    </row>
    <row r="9163">
      <c r="A9163" s="215" t="n">
        <v>45007</v>
      </c>
      <c r="B9163" s="216" t="n">
        <v>193.3</v>
      </c>
      <c r="C9163" s="216" t="n">
        <v>184.69</v>
      </c>
      <c r="D9163" s="216" t="n">
        <v>1.139848947525024</v>
      </c>
      <c r="E9163" s="215" t="n">
        <v>45007</v>
      </c>
      <c r="F9163" s="215" t="n">
        <v>45007</v>
      </c>
    </row>
    <row r="9164">
      <c r="A9164" s="215" t="n">
        <v>45008</v>
      </c>
      <c r="B9164" s="216" t="n">
        <v>195</v>
      </c>
      <c r="C9164" s="216" t="n">
        <v>184.56</v>
      </c>
      <c r="D9164" s="216" t="n">
        <v>1.14018702507019</v>
      </c>
      <c r="E9164" s="215" t="n">
        <v>45008</v>
      </c>
      <c r="F9164" s="215" t="n">
        <v>45008</v>
      </c>
    </row>
    <row r="9165">
      <c r="A9165" s="215" t="n">
        <v>45009</v>
      </c>
      <c r="B9165" s="216" t="n">
        <v>196</v>
      </c>
      <c r="C9165" s="216" t="n">
        <v>186.32</v>
      </c>
      <c r="D9165" s="216" t="n">
        <v>1.150908946990967</v>
      </c>
      <c r="E9165" s="215" t="n">
        <v>45009</v>
      </c>
      <c r="F9165" s="215" t="n">
        <v>45009</v>
      </c>
    </row>
    <row r="9166">
      <c r="A9166" s="215" t="n">
        <v>45012</v>
      </c>
      <c r="B9166" s="216" t="n">
        <v>191.9</v>
      </c>
      <c r="C9166" s="216" t="n">
        <v>184.75</v>
      </c>
      <c r="D9166" s="216" t="n">
        <v>1.14452600479126</v>
      </c>
      <c r="E9166" s="215" t="n">
        <v>45012</v>
      </c>
      <c r="F9166" s="215" t="n">
        <v>45012</v>
      </c>
    </row>
    <row r="9167">
      <c r="A9167" s="215" t="n">
        <v>45013</v>
      </c>
      <c r="B9167" s="216" t="n">
        <v>190</v>
      </c>
      <c r="C9167" s="216" t="n">
        <v>182.61</v>
      </c>
      <c r="D9167" s="216" t="n">
        <v>1.140033960342407</v>
      </c>
      <c r="E9167" s="215" t="n">
        <v>45013</v>
      </c>
      <c r="F9167" s="215" t="n">
        <v>45013</v>
      </c>
    </row>
    <row r="9168">
      <c r="A9168" s="215" t="n">
        <v>45014</v>
      </c>
      <c r="B9168" s="216" t="n">
        <v>192.4</v>
      </c>
      <c r="C9168" s="216" t="n">
        <v>182.54</v>
      </c>
      <c r="D9168" s="216" t="n">
        <v>1.141842007637024</v>
      </c>
      <c r="E9168" s="215" t="n">
        <v>45014</v>
      </c>
      <c r="F9168" s="215" t="n">
        <v>45014</v>
      </c>
    </row>
    <row r="9169">
      <c r="A9169" s="215" t="n">
        <v>45015</v>
      </c>
      <c r="B9169" s="216" t="n">
        <v>200.8</v>
      </c>
      <c r="C9169" s="216" t="n">
        <v>187.47</v>
      </c>
      <c r="D9169" s="216" t="n">
        <v>1.139639973640442</v>
      </c>
      <c r="E9169" s="215" t="n">
        <v>45015</v>
      </c>
      <c r="F9169" s="215" t="n">
        <v>45015</v>
      </c>
    </row>
    <row r="9170">
      <c r="A9170" s="215" t="n">
        <v>45016</v>
      </c>
      <c r="B9170" s="216" t="n">
        <v>194.1</v>
      </c>
      <c r="C9170" s="216" t="n">
        <v>183.24</v>
      </c>
      <c r="D9170" s="216" t="n">
        <v>1.14237904548645</v>
      </c>
      <c r="E9170" s="215" t="n">
        <v>45016</v>
      </c>
      <c r="F9170" s="215" t="n">
        <v>45016</v>
      </c>
    </row>
    <row r="9171">
      <c r="A9171" s="215" t="n">
        <v>45019</v>
      </c>
      <c r="B9171" s="216" t="n">
        <v>193.8</v>
      </c>
      <c r="C9171" s="216" t="n">
        <v>184.39</v>
      </c>
      <c r="D9171" s="216" t="n">
        <v>1.138651013374329</v>
      </c>
      <c r="E9171" s="215" t="n">
        <v>45019</v>
      </c>
      <c r="F9171" s="215" t="n">
        <v>45019</v>
      </c>
    </row>
    <row r="9172">
      <c r="A9172" s="215" t="n">
        <v>45020</v>
      </c>
      <c r="B9172" s="216" t="n">
        <v>182</v>
      </c>
      <c r="C9172" s="216" t="n">
        <v>178.04</v>
      </c>
      <c r="D9172" s="216" t="n">
        <v>1.140889048576355</v>
      </c>
      <c r="E9172" s="215" t="n">
        <v>45020</v>
      </c>
      <c r="F9172" s="215" t="n">
        <v>45020</v>
      </c>
    </row>
    <row r="9173">
      <c r="A9173" s="215" t="n">
        <v>45022</v>
      </c>
      <c r="B9173" s="216" t="n">
        <v>187.5</v>
      </c>
      <c r="C9173" s="216" t="n">
        <v>176.82</v>
      </c>
      <c r="D9173" s="216" t="n">
        <v>1.140630006790161</v>
      </c>
      <c r="E9173" s="215" t="n">
        <v>45022</v>
      </c>
      <c r="F9173" s="215" t="n">
        <v>45022</v>
      </c>
    </row>
    <row r="9174">
      <c r="A9174" s="215" t="n">
        <v>45027</v>
      </c>
      <c r="B9174" s="216" t="n">
        <v>186.8</v>
      </c>
      <c r="C9174" s="216" t="n">
        <v>179.27</v>
      </c>
      <c r="D9174" s="216" t="n">
        <v>1.135993003845215</v>
      </c>
      <c r="E9174" s="215" t="n">
        <v>45027</v>
      </c>
      <c r="F9174" s="215" t="n">
        <v>45027</v>
      </c>
    </row>
    <row r="9175">
      <c r="A9175" s="215" t="n">
        <v>45028</v>
      </c>
      <c r="B9175" s="216" t="n">
        <v>184.3</v>
      </c>
      <c r="C9175" s="216" t="n">
        <v>176</v>
      </c>
      <c r="D9175" s="216" t="n">
        <v>1.139876961708069</v>
      </c>
      <c r="E9175" s="215" t="n">
        <v>45028</v>
      </c>
      <c r="F9175" s="215" t="n">
        <v>45028</v>
      </c>
    </row>
    <row r="9176">
      <c r="A9176" s="215" t="n">
        <v>45029</v>
      </c>
      <c r="B9176" s="216" t="n">
        <v>186.4</v>
      </c>
      <c r="C9176" s="216" t="n">
        <v>176.65</v>
      </c>
      <c r="D9176" s="216" t="n">
        <v>1.141221046447754</v>
      </c>
      <c r="E9176" s="215" t="n">
        <v>45029</v>
      </c>
      <c r="F9176" s="215" t="n">
        <v>45029</v>
      </c>
    </row>
    <row r="9177">
      <c r="A9177" s="215" t="n">
        <v>45030</v>
      </c>
      <c r="B9177" s="216" t="n">
        <v>185</v>
      </c>
      <c r="C9177" s="216" t="n">
        <v>174.78</v>
      </c>
      <c r="D9177" s="216" t="n">
        <v>1.142914056777954</v>
      </c>
      <c r="E9177" s="215" t="n">
        <v>45030</v>
      </c>
      <c r="F9177" s="215" t="n">
        <v>45030</v>
      </c>
    </row>
    <row r="9178">
      <c r="A9178" s="215" t="n">
        <v>45033</v>
      </c>
      <c r="B9178" s="216" t="n">
        <v>190.8</v>
      </c>
      <c r="C9178" s="216" t="n">
        <v>179.81</v>
      </c>
      <c r="D9178" s="216" t="n">
        <v>1.140508055686951</v>
      </c>
      <c r="E9178" s="215" t="n">
        <v>45033</v>
      </c>
      <c r="F9178" s="215" t="n">
        <v>45033</v>
      </c>
    </row>
    <row r="9179">
      <c r="A9179" s="215" t="n">
        <v>45034</v>
      </c>
      <c r="B9179" s="216" t="n">
        <v>190</v>
      </c>
      <c r="C9179" s="216" t="n">
        <v>180.3</v>
      </c>
      <c r="D9179" s="216" t="n">
        <v>1.140782952308655</v>
      </c>
      <c r="E9179" s="215" t="n">
        <v>45034</v>
      </c>
      <c r="F9179" s="215" t="n">
        <v>45034</v>
      </c>
    </row>
    <row r="9180">
      <c r="A9180" s="215" t="n">
        <v>45035</v>
      </c>
      <c r="B9180" s="216" t="n">
        <v>187.5</v>
      </c>
      <c r="C9180" s="216" t="n">
        <v>176.96</v>
      </c>
      <c r="D9180" s="216" t="n">
        <v>1.141404986381531</v>
      </c>
      <c r="E9180" s="215" t="n">
        <v>45035</v>
      </c>
      <c r="F9180" s="215" t="n">
        <v>45035</v>
      </c>
    </row>
    <row r="9181">
      <c r="A9181" s="215" t="n">
        <v>45036</v>
      </c>
      <c r="B9181" s="216" t="n">
        <v>182.8</v>
      </c>
      <c r="C9181" s="216" t="n">
        <v>171</v>
      </c>
      <c r="D9181" s="216" t="n">
        <v>1.139932990074158</v>
      </c>
      <c r="E9181" s="215" t="n">
        <v>45036</v>
      </c>
      <c r="F9181" s="215" t="n">
        <v>45036</v>
      </c>
    </row>
    <row r="9182">
      <c r="A9182" s="215" t="n">
        <v>45037</v>
      </c>
      <c r="B9182" s="216" t="n">
        <v>177.2</v>
      </c>
      <c r="C9182" s="216" t="n">
        <v>167.17</v>
      </c>
      <c r="D9182" s="216" t="n">
        <v>1.142052054405212</v>
      </c>
      <c r="E9182" s="215" t="n">
        <v>45037</v>
      </c>
      <c r="F9182" s="215" t="n">
        <v>45037</v>
      </c>
    </row>
    <row r="9183">
      <c r="A9183" s="215" t="n">
        <v>45040</v>
      </c>
      <c r="B9183" s="216" t="n">
        <v>172.3</v>
      </c>
      <c r="C9183" s="216" t="n">
        <v>163.89</v>
      </c>
      <c r="D9183" s="216" t="n">
        <v>1.138666033744812</v>
      </c>
      <c r="E9183" s="215" t="n">
        <v>45040</v>
      </c>
      <c r="F9183" s="215" t="n">
        <v>45040</v>
      </c>
    </row>
    <row r="9184">
      <c r="A9184" s="215" t="n">
        <v>45041</v>
      </c>
      <c r="B9184" s="216" t="n">
        <v>170</v>
      </c>
      <c r="C9184" s="216" t="n">
        <v>161.95</v>
      </c>
      <c r="D9184" s="216" t="n">
        <v>1.137948989868164</v>
      </c>
      <c r="E9184" s="215" t="n">
        <v>45041</v>
      </c>
      <c r="F9184" s="215" t="n">
        <v>45041</v>
      </c>
    </row>
    <row r="9185">
      <c r="A9185" s="215" t="n">
        <v>45042</v>
      </c>
      <c r="B9185" s="216" t="n">
        <v>172</v>
      </c>
      <c r="C9185" s="216" t="n">
        <v>162</v>
      </c>
      <c r="D9185" s="216" t="n">
        <v>1.132081031799316</v>
      </c>
      <c r="E9185" s="215" t="n">
        <v>45042</v>
      </c>
      <c r="F9185" s="215" t="n">
        <v>45042</v>
      </c>
    </row>
    <row r="9186">
      <c r="A9186" s="215" t="n">
        <v>45043</v>
      </c>
      <c r="B9186" s="216" t="n">
        <v>173.5</v>
      </c>
      <c r="C9186" s="216" t="n">
        <v>161.6</v>
      </c>
      <c r="D9186" s="216" t="n">
        <v>1.132995009422302</v>
      </c>
      <c r="E9186" s="215" t="n">
        <v>45043</v>
      </c>
      <c r="F9186" s="215" t="n">
        <v>45043</v>
      </c>
    </row>
    <row r="9187">
      <c r="A9187" s="215" t="n">
        <v>45044</v>
      </c>
      <c r="B9187" s="216" t="n">
        <v>167.4</v>
      </c>
      <c r="C9187" s="216" t="n">
        <v>160.98</v>
      </c>
      <c r="D9187" s="216" t="n">
        <v>1.133429050445557</v>
      </c>
      <c r="E9187" s="215" t="n">
        <v>45044</v>
      </c>
      <c r="F9187" s="215" t="n">
        <v>45044</v>
      </c>
    </row>
    <row r="9188">
      <c r="A9188" s="215" t="n">
        <v>45048</v>
      </c>
      <c r="B9188" s="216" t="n">
        <v>160.4</v>
      </c>
      <c r="C9188" s="216" t="n">
        <v>160.98</v>
      </c>
      <c r="D9188" s="216" t="n">
        <v>1.132107019424438</v>
      </c>
      <c r="E9188" s="215" t="n">
        <v>45044</v>
      </c>
      <c r="F9188" s="215" t="n">
        <v>45048</v>
      </c>
    </row>
    <row r="9189">
      <c r="A9189" s="215" t="n">
        <v>45049</v>
      </c>
      <c r="B9189" s="216" t="n">
        <v>161</v>
      </c>
      <c r="C9189" s="216" t="n">
        <v>160.98</v>
      </c>
      <c r="D9189" s="216" t="n">
        <v>1.135318994522095</v>
      </c>
      <c r="E9189" s="215" t="n">
        <v>45044</v>
      </c>
      <c r="F9189" s="215" t="n">
        <v>45049</v>
      </c>
    </row>
    <row r="9190">
      <c r="A9190" s="215" t="n">
        <v>45050</v>
      </c>
      <c r="B9190" s="216" t="n">
        <v>153.6</v>
      </c>
      <c r="C9190" s="216" t="n">
        <v>153.32</v>
      </c>
      <c r="D9190" s="216" t="n">
        <v>1.135159969329834</v>
      </c>
      <c r="E9190" s="215" t="n">
        <v>45050</v>
      </c>
      <c r="F9190" s="215" t="n">
        <v>45050</v>
      </c>
    </row>
    <row r="9191">
      <c r="A9191" s="215" t="n">
        <v>45051</v>
      </c>
      <c r="B9191" s="216" t="n">
        <v>154.4</v>
      </c>
      <c r="C9191" s="216" t="n">
        <v>152.88</v>
      </c>
      <c r="D9191" s="216" t="n">
        <v>1.13606595993042</v>
      </c>
      <c r="E9191" s="215" t="n">
        <v>45051</v>
      </c>
      <c r="F9191" s="215" t="n">
        <v>45051</v>
      </c>
    </row>
    <row r="9192">
      <c r="A9192" s="215" t="n">
        <v>45054</v>
      </c>
      <c r="B9192" s="216" t="n">
        <v>153</v>
      </c>
      <c r="C9192" s="216" t="n">
        <v>149.86</v>
      </c>
      <c r="D9192" s="216" t="n">
        <v>1.135442972183228</v>
      </c>
      <c r="E9192" s="215" t="n">
        <v>45054</v>
      </c>
      <c r="F9192" s="215" t="n">
        <v>45054</v>
      </c>
    </row>
    <row r="9193">
      <c r="A9193" s="215" t="n">
        <v>45055</v>
      </c>
      <c r="B9193" s="216" t="n">
        <v>150.2</v>
      </c>
      <c r="C9193" s="216" t="n">
        <v>147.61</v>
      </c>
      <c r="D9193" s="216" t="n">
        <v>1.134963989257812</v>
      </c>
      <c r="E9193" s="215" t="n">
        <v>45055</v>
      </c>
      <c r="F9193" s="215" t="n">
        <v>45055</v>
      </c>
    </row>
    <row r="9194">
      <c r="A9194" s="215" t="n">
        <v>45056</v>
      </c>
      <c r="B9194" s="216" t="n">
        <v>146.2</v>
      </c>
      <c r="C9194" s="216" t="n">
        <v>144.98</v>
      </c>
      <c r="D9194" s="216" t="n">
        <v>1.132966995239258</v>
      </c>
      <c r="E9194" s="215" t="n">
        <v>45056</v>
      </c>
      <c r="F9194" s="215" t="n">
        <v>45056</v>
      </c>
    </row>
    <row r="9195">
      <c r="A9195" s="215" t="n">
        <v>45057</v>
      </c>
      <c r="B9195" s="216" t="n">
        <v>149.4</v>
      </c>
      <c r="C9195" s="216" t="n">
        <v>144.05</v>
      </c>
      <c r="D9195" s="216" t="n">
        <v>1.129608988761902</v>
      </c>
      <c r="E9195" s="215" t="n">
        <v>45057</v>
      </c>
      <c r="F9195" s="215" t="n">
        <v>45057</v>
      </c>
    </row>
    <row r="9196">
      <c r="A9196" s="215" t="n">
        <v>45058</v>
      </c>
      <c r="B9196" s="216" t="n">
        <v>142.4</v>
      </c>
      <c r="C9196" s="216" t="n">
        <v>139.7</v>
      </c>
      <c r="D9196" s="216" t="n">
        <v>1.127804040908813</v>
      </c>
      <c r="E9196" s="215" t="n">
        <v>45058</v>
      </c>
      <c r="F9196" s="215" t="n">
        <v>45058</v>
      </c>
    </row>
    <row r="9197">
      <c r="A9197" s="215" t="n">
        <v>45061</v>
      </c>
      <c r="B9197" s="216" t="n">
        <v>146.5</v>
      </c>
      <c r="C9197" s="216" t="n">
        <v>142</v>
      </c>
      <c r="D9197" s="216" t="n">
        <v>1.127277016639709</v>
      </c>
      <c r="E9197" s="215" t="n">
        <v>45061</v>
      </c>
      <c r="F9197" s="215" t="n">
        <v>45061</v>
      </c>
    </row>
    <row r="9198">
      <c r="A9198" s="215" t="n">
        <v>45062</v>
      </c>
      <c r="B9198" s="216" t="n">
        <v>143.8</v>
      </c>
      <c r="C9198" s="216" t="n">
        <v>138.78</v>
      </c>
      <c r="D9198" s="216" t="n">
        <v>1.127233982086182</v>
      </c>
      <c r="E9198" s="215" t="n">
        <v>45062</v>
      </c>
      <c r="F9198" s="215" t="n">
        <v>45062</v>
      </c>
    </row>
    <row r="9199">
      <c r="A9199" s="215" t="n">
        <v>45063</v>
      </c>
      <c r="B9199" s="216" t="n">
        <v>138.7</v>
      </c>
      <c r="C9199" s="216" t="n">
        <v>136.44</v>
      </c>
      <c r="D9199" s="216" t="n">
        <v>1.123204946517944</v>
      </c>
      <c r="E9199" s="215" t="n">
        <v>45063</v>
      </c>
      <c r="F9199" s="215" t="n">
        <v>45063</v>
      </c>
    </row>
    <row r="9200">
      <c r="A9200" s="215" t="n">
        <v>45064</v>
      </c>
      <c r="B9200" s="216" t="n">
        <v>137.3</v>
      </c>
      <c r="C9200" s="216" t="n">
        <v>133.88</v>
      </c>
      <c r="D9200" s="216" t="n">
        <v>1.118651986122131</v>
      </c>
      <c r="E9200" s="215" t="n">
        <v>45064</v>
      </c>
      <c r="F9200" s="215" t="n">
        <v>45064</v>
      </c>
    </row>
    <row r="9201">
      <c r="A9201" s="215" t="n">
        <v>45065</v>
      </c>
      <c r="B9201" s="216" t="n">
        <v>136.5</v>
      </c>
      <c r="C9201" s="216" t="n">
        <v>135.16</v>
      </c>
      <c r="D9201" s="216" t="n">
        <v>1.112360954284668</v>
      </c>
      <c r="E9201" s="215" t="n">
        <v>45065</v>
      </c>
      <c r="F9201" s="215" t="n">
        <v>45065</v>
      </c>
    </row>
    <row r="9202">
      <c r="A9202" s="215" t="n">
        <v>45068</v>
      </c>
      <c r="B9202" s="216" t="n">
        <v>141.5</v>
      </c>
      <c r="C9202" s="216" t="n">
        <v>138.87</v>
      </c>
      <c r="D9202" s="216" t="n">
        <v>1.118953943252563</v>
      </c>
      <c r="E9202" s="215" t="n">
        <v>45068</v>
      </c>
      <c r="F9202" s="215" t="n">
        <v>45068</v>
      </c>
    </row>
    <row r="9203">
      <c r="A9203" s="215" t="n">
        <v>45069</v>
      </c>
      <c r="B9203" s="216" t="n">
        <v>138.4</v>
      </c>
      <c r="C9203" s="216" t="n">
        <v>136.51</v>
      </c>
      <c r="D9203" s="216" t="n">
        <v>1.1127769947052</v>
      </c>
      <c r="E9203" s="215" t="n">
        <v>45069</v>
      </c>
      <c r="F9203" s="215" t="n">
        <v>45069</v>
      </c>
    </row>
    <row r="9204">
      <c r="A9204" s="215" t="n">
        <v>45070</v>
      </c>
      <c r="B9204" s="216" t="n">
        <v>135</v>
      </c>
      <c r="C9204" s="216" t="n">
        <v>133.51</v>
      </c>
      <c r="D9204" s="216" t="n">
        <v>1.110573053359985</v>
      </c>
      <c r="E9204" s="215" t="n">
        <v>45070</v>
      </c>
      <c r="F9204" s="215" t="n">
        <v>45070</v>
      </c>
    </row>
    <row r="9205">
      <c r="A9205" s="215" t="n">
        <v>45071</v>
      </c>
      <c r="B9205" s="216" t="n">
        <v>134.2</v>
      </c>
      <c r="C9205" s="216" t="n">
        <v>131.4</v>
      </c>
      <c r="D9205" s="216" t="n">
        <v>1.108927965164185</v>
      </c>
      <c r="E9205" s="215" t="n">
        <v>45071</v>
      </c>
      <c r="F9205" s="215" t="n">
        <v>45071</v>
      </c>
    </row>
    <row r="9206">
      <c r="A9206" s="215" t="n">
        <v>45075</v>
      </c>
      <c r="B9206" s="216" t="n">
        <v>129.1</v>
      </c>
      <c r="C9206" s="216" t="n">
        <v>127.44</v>
      </c>
      <c r="D9206" s="216" t="n">
        <v>1.107897043228149</v>
      </c>
      <c r="E9206" s="215" t="n">
        <v>45075</v>
      </c>
      <c r="F9206" s="215" t="n">
        <v>45075</v>
      </c>
    </row>
    <row r="9207">
      <c r="A9207" s="215" t="n">
        <v>45076</v>
      </c>
      <c r="B9207" s="216" t="n">
        <v>128.7</v>
      </c>
      <c r="C9207" s="216" t="n">
        <v>127.8</v>
      </c>
      <c r="D9207" s="216" t="n">
        <v>1.10659396648407</v>
      </c>
      <c r="E9207" s="215" t="n">
        <v>45076</v>
      </c>
      <c r="F9207" s="215" t="n">
        <v>45076</v>
      </c>
    </row>
    <row r="9208">
      <c r="A9208" s="215" t="n">
        <v>45077</v>
      </c>
      <c r="B9208" s="216" t="n">
        <v>124.6</v>
      </c>
      <c r="C9208" s="216" t="n">
        <v>123.1</v>
      </c>
      <c r="D9208" s="216" t="n">
        <v>1.106397032737732</v>
      </c>
      <c r="E9208" s="215" t="n">
        <v>45077</v>
      </c>
      <c r="F9208" s="215" t="n">
        <v>45077</v>
      </c>
    </row>
    <row r="9209">
      <c r="A9209" s="215" t="n">
        <v>45078</v>
      </c>
      <c r="B9209" s="216" t="n">
        <v>121.3</v>
      </c>
      <c r="C9209" s="216" t="n">
        <v>120.95</v>
      </c>
      <c r="D9209" s="216" t="n">
        <v>1.101158976554871</v>
      </c>
      <c r="E9209" s="215" t="n">
        <v>45078</v>
      </c>
      <c r="F9209" s="215" t="n">
        <v>45078</v>
      </c>
    </row>
    <row r="9210">
      <c r="A9210" s="215" t="n">
        <v>45079</v>
      </c>
      <c r="B9210" s="216" t="n">
        <v>125.5</v>
      </c>
      <c r="C9210" s="216" t="n">
        <v>122.81</v>
      </c>
      <c r="D9210" s="216" t="n">
        <v>1.103572010993958</v>
      </c>
      <c r="E9210" s="215" t="n">
        <v>45079</v>
      </c>
      <c r="F9210" s="215" t="n">
        <v>45079</v>
      </c>
    </row>
    <row r="9211">
      <c r="A9211" s="215" t="n">
        <v>45082</v>
      </c>
      <c r="B9211" s="216" t="n">
        <v>123.1</v>
      </c>
      <c r="C9211" s="216" t="n">
        <v>119.55</v>
      </c>
      <c r="D9211" s="216" t="n">
        <v>1.10276198387146</v>
      </c>
      <c r="E9211" s="215" t="n">
        <v>45082</v>
      </c>
      <c r="F9211" s="215" t="n">
        <v>45082</v>
      </c>
    </row>
    <row r="9212">
      <c r="A9212" s="215" t="n">
        <v>45083</v>
      </c>
      <c r="B9212" s="216" t="n">
        <v>118.7</v>
      </c>
      <c r="C9212" s="216" t="n">
        <v>117.71</v>
      </c>
      <c r="D9212" s="216" t="n">
        <v>1.103441953659058</v>
      </c>
      <c r="E9212" s="215" t="n">
        <v>45083</v>
      </c>
      <c r="F9212" s="215" t="n">
        <v>45083</v>
      </c>
    </row>
    <row r="9213">
      <c r="A9213" s="215" t="n">
        <v>45084</v>
      </c>
      <c r="B9213" s="216" t="n">
        <v>119.7</v>
      </c>
      <c r="C9213" s="216" t="n">
        <v>116.58</v>
      </c>
      <c r="D9213" s="216" t="n">
        <v>1.10180401802063</v>
      </c>
      <c r="E9213" s="215" t="n">
        <v>45084</v>
      </c>
      <c r="F9213" s="215" t="n">
        <v>45084</v>
      </c>
    </row>
    <row r="9214">
      <c r="A9214" s="215" t="n">
        <v>45085</v>
      </c>
      <c r="B9214" s="216" t="n">
        <v>121.2</v>
      </c>
      <c r="C9214" s="216" t="n">
        <v>117.58</v>
      </c>
      <c r="D9214" s="216" t="n">
        <v>1.099845051765442</v>
      </c>
      <c r="E9214" s="215" t="n">
        <v>45085</v>
      </c>
      <c r="F9214" s="215" t="n">
        <v>45085</v>
      </c>
    </row>
    <row r="9215">
      <c r="A9215" s="215" t="n">
        <v>45086</v>
      </c>
      <c r="B9215" s="216" t="n">
        <v>121.2</v>
      </c>
      <c r="C9215" s="216" t="n">
        <v>116.8</v>
      </c>
      <c r="D9215" s="216" t="n">
        <v>1.101685047149658</v>
      </c>
      <c r="E9215" s="215" t="n">
        <v>45086</v>
      </c>
      <c r="F9215" s="215" t="n">
        <v>45086</v>
      </c>
    </row>
    <row r="9216">
      <c r="A9216" s="215" t="n">
        <v>45089</v>
      </c>
      <c r="B9216" s="216" t="n">
        <v>123.6</v>
      </c>
      <c r="C9216" s="216" t="n">
        <v>120.01</v>
      </c>
      <c r="D9216" s="216" t="n">
        <v>1.099730968475342</v>
      </c>
      <c r="E9216" s="215" t="n">
        <v>45089</v>
      </c>
      <c r="F9216" s="215" t="n">
        <v>45089</v>
      </c>
    </row>
    <row r="9217">
      <c r="A9217" s="215" t="n">
        <v>45090</v>
      </c>
      <c r="B9217" s="216" t="n">
        <v>123.4</v>
      </c>
      <c r="C9217" s="216" t="n">
        <v>120.8</v>
      </c>
      <c r="D9217" s="216" t="n">
        <v>1.096243977546692</v>
      </c>
      <c r="E9217" s="215" t="n">
        <v>45090</v>
      </c>
      <c r="F9217" s="215" t="n">
        <v>45090</v>
      </c>
    </row>
    <row r="9218">
      <c r="A9218" s="215" t="n">
        <v>45091</v>
      </c>
      <c r="B9218" s="216" t="n">
        <v>124.4</v>
      </c>
      <c r="C9218" s="216" t="n">
        <v>121.13</v>
      </c>
      <c r="D9218" s="216" t="n">
        <v>1.092831969261169</v>
      </c>
      <c r="E9218" s="215" t="n">
        <v>45091</v>
      </c>
      <c r="F9218" s="215" t="n">
        <v>45091</v>
      </c>
    </row>
    <row r="9219">
      <c r="A9219" s="215" t="n">
        <v>45092</v>
      </c>
      <c r="B9219" s="216" t="n">
        <v>133.7</v>
      </c>
      <c r="C9219" s="216" t="n">
        <v>130</v>
      </c>
      <c r="D9219" s="216" t="n">
        <v>1.093112945556641</v>
      </c>
      <c r="E9219" s="215" t="n">
        <v>45092</v>
      </c>
      <c r="F9219" s="215" t="n">
        <v>45092</v>
      </c>
    </row>
    <row r="9220">
      <c r="A9220" s="215" t="n">
        <v>45093</v>
      </c>
      <c r="B9220" s="216" t="n">
        <v>134.2</v>
      </c>
      <c r="C9220" s="216" t="n">
        <v>130.16</v>
      </c>
      <c r="D9220" s="216" t="n">
        <v>1.098376989364624</v>
      </c>
      <c r="E9220" s="215" t="n">
        <v>45093</v>
      </c>
      <c r="F9220" s="215" t="n">
        <v>45093</v>
      </c>
    </row>
    <row r="9221">
      <c r="A9221" s="215" t="n">
        <v>45096</v>
      </c>
      <c r="B9221" s="216" t="n">
        <v>132.3</v>
      </c>
      <c r="C9221" s="216" t="n">
        <v>127.3</v>
      </c>
      <c r="D9221" s="216" t="n">
        <v>1.097730040550232</v>
      </c>
      <c r="E9221" s="215" t="n">
        <v>45096</v>
      </c>
      <c r="F9221" s="215" t="n">
        <v>45096</v>
      </c>
    </row>
    <row r="9222">
      <c r="A9222" s="215" t="n">
        <v>45097</v>
      </c>
      <c r="B9222" s="216" t="n">
        <v>129</v>
      </c>
      <c r="C9222" s="216" t="n">
        <v>126.28</v>
      </c>
      <c r="D9222" s="216" t="n">
        <v>1.091591000556946</v>
      </c>
      <c r="E9222" s="215" t="n">
        <v>45097</v>
      </c>
      <c r="F9222" s="215" t="n">
        <v>45097</v>
      </c>
    </row>
    <row r="9223">
      <c r="A9223" s="215" t="n">
        <v>45098</v>
      </c>
      <c r="B9223" s="216" t="n">
        <v>121.4</v>
      </c>
      <c r="C9223" s="216" t="n">
        <v>122.15</v>
      </c>
      <c r="D9223" s="216" t="n">
        <v>1.089725017547607</v>
      </c>
      <c r="E9223" s="215" t="n">
        <v>45098</v>
      </c>
      <c r="F9223" s="215" t="n">
        <v>45098</v>
      </c>
    </row>
    <row r="9224">
      <c r="A9224" s="215" t="n">
        <v>45100</v>
      </c>
      <c r="B9224" s="216" t="n">
        <v>119.5</v>
      </c>
      <c r="C9224" s="216" t="n">
        <v>122.15</v>
      </c>
      <c r="D9224" s="216" t="n">
        <v>1.090543031692505</v>
      </c>
      <c r="E9224" s="215" t="n">
        <v>45098</v>
      </c>
      <c r="F9224" s="215" t="n">
        <v>45100</v>
      </c>
    </row>
    <row r="9225">
      <c r="A9225" s="215" t="n">
        <v>45103</v>
      </c>
      <c r="B9225" s="216" t="n">
        <v>115.5</v>
      </c>
      <c r="C9225" s="216" t="n">
        <v>117.44</v>
      </c>
      <c r="D9225" s="216" t="n">
        <v>1.092113971710205</v>
      </c>
      <c r="E9225" s="215" t="n">
        <v>45103</v>
      </c>
      <c r="F9225" s="215" t="n">
        <v>45103</v>
      </c>
    </row>
    <row r="9226">
      <c r="A9226" s="215" t="n">
        <v>45104</v>
      </c>
      <c r="B9226" s="216" t="n">
        <v>116.3</v>
      </c>
      <c r="C9226" s="216" t="n">
        <v>116.69</v>
      </c>
      <c r="D9226" s="216" t="n">
        <v>1.081884026527405</v>
      </c>
      <c r="E9226" s="215" t="n">
        <v>45104</v>
      </c>
      <c r="F9226" s="215" t="n">
        <v>45104</v>
      </c>
    </row>
    <row r="9227">
      <c r="A9227" s="215" t="n">
        <v>45105</v>
      </c>
      <c r="B9227" s="216" t="n">
        <v>115.9</v>
      </c>
      <c r="C9227" s="216" t="n">
        <v>115.79</v>
      </c>
      <c r="D9227" s="216" t="n">
        <v>1.084810972213745</v>
      </c>
      <c r="E9227" s="215" t="n">
        <v>45105</v>
      </c>
      <c r="F9227" s="215" t="n">
        <v>45105</v>
      </c>
    </row>
    <row r="9228">
      <c r="A9228" s="215" t="n">
        <v>45106</v>
      </c>
      <c r="B9228" s="216" t="n">
        <v>107.1</v>
      </c>
      <c r="C9228" s="216" t="n">
        <v>110.89</v>
      </c>
      <c r="D9228" s="216" t="n">
        <v>1.081053972244263</v>
      </c>
      <c r="E9228" s="215" t="n">
        <v>45106</v>
      </c>
      <c r="F9228" s="215" t="n">
        <v>45106</v>
      </c>
    </row>
    <row r="9229">
      <c r="A9229" s="215" t="n">
        <v>45107</v>
      </c>
      <c r="B9229" s="216" t="n">
        <v>106</v>
      </c>
      <c r="C9229" s="216" t="n">
        <v>110.53</v>
      </c>
      <c r="D9229" s="216" t="n">
        <v>1.080832958221436</v>
      </c>
      <c r="E9229" s="215" t="n">
        <v>45107</v>
      </c>
      <c r="F9229" s="215" t="n">
        <v>45107</v>
      </c>
    </row>
    <row r="9230">
      <c r="A9230" s="215" t="n">
        <v>45110</v>
      </c>
      <c r="B9230" s="216" t="n">
        <v>110.1</v>
      </c>
      <c r="C9230" s="216" t="n">
        <v>115.23</v>
      </c>
      <c r="D9230" s="216" t="n">
        <v>1.080121040344238</v>
      </c>
      <c r="E9230" s="215" t="n">
        <v>45110</v>
      </c>
      <c r="F9230" s="215" t="n">
        <v>45110</v>
      </c>
    </row>
    <row r="9231">
      <c r="A9231" s="215" t="n">
        <v>45111</v>
      </c>
      <c r="B9231" s="216" t="n">
        <v>111.2</v>
      </c>
      <c r="C9231" s="216" t="n">
        <v>115.29</v>
      </c>
      <c r="D9231" s="216" t="n">
        <v>1.08187997341156</v>
      </c>
      <c r="E9231" s="215" t="n">
        <v>45111</v>
      </c>
      <c r="F9231" s="215" t="n">
        <v>45111</v>
      </c>
    </row>
    <row r="9232">
      <c r="A9232" s="215" t="n">
        <v>45112</v>
      </c>
      <c r="B9232" s="216" t="n">
        <v>107.5</v>
      </c>
      <c r="C9232" s="216" t="n">
        <v>112.82</v>
      </c>
      <c r="D9232" s="216" t="n">
        <v>1.085320949554443</v>
      </c>
      <c r="E9232" s="215" t="n">
        <v>45112</v>
      </c>
      <c r="F9232" s="215" t="n">
        <v>45112</v>
      </c>
    </row>
    <row r="9233">
      <c r="A9233" s="215" t="n">
        <v>45113</v>
      </c>
      <c r="B9233" s="216" t="n">
        <v>105.1</v>
      </c>
      <c r="C9233" s="216" t="n">
        <v>111.01</v>
      </c>
      <c r="D9233" s="216" t="n">
        <v>1.079206943511963</v>
      </c>
      <c r="E9233" s="215" t="n">
        <v>45113</v>
      </c>
      <c r="F9233" s="215" t="n">
        <v>45113</v>
      </c>
    </row>
    <row r="9234">
      <c r="A9234" s="215" t="n">
        <v>45114</v>
      </c>
      <c r="B9234" s="216" t="n">
        <v>103.7</v>
      </c>
      <c r="C9234" s="216" t="n">
        <v>109.66</v>
      </c>
      <c r="D9234" s="216" t="n">
        <v>1.078516960144043</v>
      </c>
      <c r="E9234" s="215" t="n">
        <v>45114</v>
      </c>
      <c r="F9234" s="215" t="n">
        <v>45114</v>
      </c>
    </row>
    <row r="9235">
      <c r="A9235" s="215" t="n">
        <v>45117</v>
      </c>
      <c r="B9235" s="216" t="n">
        <v>110.5</v>
      </c>
      <c r="C9235" s="216" t="n">
        <v>117.56</v>
      </c>
      <c r="D9235" s="216" t="n">
        <v>1.095139026641846</v>
      </c>
      <c r="E9235" s="215" t="n">
        <v>45117</v>
      </c>
      <c r="F9235" s="215" t="n">
        <v>45117</v>
      </c>
    </row>
    <row r="9236">
      <c r="A9236" s="215" t="n">
        <v>45118</v>
      </c>
      <c r="B9236" s="216" t="n">
        <v>110.6</v>
      </c>
      <c r="C9236" s="216" t="n">
        <v>115.87</v>
      </c>
      <c r="D9236" s="216" t="n">
        <v>1.082510948181152</v>
      </c>
      <c r="E9236" s="215" t="n">
        <v>45118</v>
      </c>
      <c r="F9236" s="215" t="n">
        <v>45118</v>
      </c>
    </row>
    <row r="9237">
      <c r="A9237" s="215" t="n">
        <v>45119</v>
      </c>
      <c r="B9237" s="216" t="n">
        <v>110.5</v>
      </c>
      <c r="C9237" s="216" t="n">
        <v>116.15</v>
      </c>
      <c r="D9237" s="216" t="n">
        <v>1.085523009300232</v>
      </c>
      <c r="E9237" s="215" t="n">
        <v>45119</v>
      </c>
      <c r="F9237" s="215" t="n">
        <v>45119</v>
      </c>
    </row>
    <row r="9238">
      <c r="A9238" s="215" t="n">
        <v>45120</v>
      </c>
      <c r="B9238" s="216" t="n">
        <v>114.3</v>
      </c>
      <c r="C9238" s="216" t="n">
        <v>119.1</v>
      </c>
      <c r="D9238" s="216" t="n">
        <v>1.091933012008667</v>
      </c>
      <c r="E9238" s="215" t="n">
        <v>45120</v>
      </c>
      <c r="F9238" s="215" t="n">
        <v>45120</v>
      </c>
    </row>
    <row r="9239">
      <c r="A9239" s="215" t="n">
        <v>45121</v>
      </c>
      <c r="B9239" s="216" t="n">
        <v>112.8</v>
      </c>
      <c r="C9239" s="216" t="n">
        <v>117.05</v>
      </c>
      <c r="D9239" s="216" t="n">
        <v>1.093255996704102</v>
      </c>
      <c r="E9239" s="215" t="n">
        <v>45121</v>
      </c>
      <c r="F9239" s="215" t="n">
        <v>45121</v>
      </c>
    </row>
    <row r="9240">
      <c r="A9240" s="215" t="n">
        <v>45125</v>
      </c>
      <c r="B9240" s="216" t="n">
        <v>108.9</v>
      </c>
      <c r="C9240" s="216" t="n">
        <v>114.51</v>
      </c>
      <c r="D9240" s="216" t="n">
        <v>1.089244961738586</v>
      </c>
      <c r="E9240" s="215" t="n">
        <v>45125</v>
      </c>
      <c r="F9240" s="215" t="n">
        <v>45125</v>
      </c>
    </row>
    <row r="9241">
      <c r="A9241" s="215" t="n">
        <v>45126</v>
      </c>
      <c r="B9241" s="216" t="n">
        <v>108.2</v>
      </c>
      <c r="C9241" s="216" t="n">
        <v>114.23</v>
      </c>
      <c r="D9241" s="216" t="n">
        <v>1.088175058364868</v>
      </c>
      <c r="E9241" s="215" t="n">
        <v>45126</v>
      </c>
      <c r="F9241" s="215" t="n">
        <v>45126</v>
      </c>
    </row>
    <row r="9242">
      <c r="A9242" s="215" t="n">
        <v>45127</v>
      </c>
      <c r="B9242" s="216" t="n">
        <v>105.9</v>
      </c>
      <c r="C9242" s="216" t="n">
        <v>113.15</v>
      </c>
      <c r="D9242" s="216" t="n">
        <v>1.080250978469849</v>
      </c>
      <c r="E9242" s="215" t="n">
        <v>45127</v>
      </c>
      <c r="F9242" s="215" t="n">
        <v>45127</v>
      </c>
    </row>
    <row r="9243">
      <c r="A9243" s="215" t="n">
        <v>45128</v>
      </c>
      <c r="B9243" s="216" t="n">
        <v>106.3</v>
      </c>
      <c r="C9243" s="216" t="n">
        <v>113.72</v>
      </c>
      <c r="D9243" s="216" t="n">
        <v>1.088490962982178</v>
      </c>
      <c r="E9243" s="215" t="n">
        <v>45128</v>
      </c>
      <c r="F9243" s="215" t="n">
        <v>45128</v>
      </c>
    </row>
    <row r="9244">
      <c r="A9244" s="215" t="n">
        <v>45131</v>
      </c>
      <c r="B9244" s="216" t="n">
        <v>102.7</v>
      </c>
      <c r="C9244" s="216" t="n">
        <v>111.27</v>
      </c>
      <c r="D9244" s="216" t="n">
        <v>1.096070051193237</v>
      </c>
      <c r="E9244" s="215" t="n">
        <v>45131</v>
      </c>
      <c r="F9244" s="215" t="n">
        <v>45131</v>
      </c>
    </row>
    <row r="9245">
      <c r="A9245" s="215" t="n">
        <v>45132</v>
      </c>
      <c r="B9245" s="216" t="n">
        <v>111.7</v>
      </c>
      <c r="C9245" s="216" t="n">
        <v>118.21</v>
      </c>
      <c r="D9245" s="216" t="n">
        <v>1.087272047996521</v>
      </c>
      <c r="E9245" s="215" t="n">
        <v>45132</v>
      </c>
      <c r="F9245" s="215" t="n">
        <v>45132</v>
      </c>
    </row>
    <row r="9246">
      <c r="A9246" s="215" t="n">
        <v>45133</v>
      </c>
      <c r="B9246" s="216" t="n">
        <v>114.4</v>
      </c>
      <c r="C9246" s="216" t="n">
        <v>118.3</v>
      </c>
      <c r="D9246" s="216" t="n">
        <v>1.094627976417542</v>
      </c>
      <c r="E9246" s="215" t="n">
        <v>45133</v>
      </c>
      <c r="F9246" s="215" t="n">
        <v>45133</v>
      </c>
    </row>
    <row r="9247">
      <c r="A9247" s="215" t="n">
        <v>45134</v>
      </c>
      <c r="B9247" s="216" t="n">
        <v>118</v>
      </c>
      <c r="C9247" s="216" t="n">
        <v>120.99</v>
      </c>
      <c r="D9247" s="216" t="n">
        <v>1.090775966644287</v>
      </c>
      <c r="E9247" s="215" t="n">
        <v>45134</v>
      </c>
      <c r="F9247" s="215" t="n">
        <v>45134</v>
      </c>
    </row>
    <row r="9248">
      <c r="A9248" s="215" t="n">
        <v>45135</v>
      </c>
      <c r="B9248" s="216" t="n">
        <v>125.8</v>
      </c>
      <c r="C9248" s="216" t="n">
        <v>125.97</v>
      </c>
      <c r="D9248" s="216" t="n">
        <v>1.087054014205933</v>
      </c>
      <c r="E9248" s="215" t="n">
        <v>45135</v>
      </c>
      <c r="F9248" s="215" t="n">
        <v>45135</v>
      </c>
    </row>
    <row r="9249">
      <c r="A9249" s="215" t="n">
        <v>45138</v>
      </c>
      <c r="B9249" s="216" t="n">
        <v>124.3</v>
      </c>
      <c r="C9249" s="216" t="n">
        <v>125.77</v>
      </c>
      <c r="D9249" s="216" t="n">
        <v>1.097965002059937</v>
      </c>
      <c r="E9249" s="215" t="n">
        <v>45138</v>
      </c>
      <c r="F9249" s="215" t="n">
        <v>45138</v>
      </c>
    </row>
    <row r="9250">
      <c r="A9250" s="215" t="n">
        <v>45139</v>
      </c>
      <c r="B9250" s="216" t="n">
        <v>120.5</v>
      </c>
      <c r="C9250" s="216" t="n">
        <v>123.64</v>
      </c>
      <c r="D9250" s="216" t="n">
        <v>1.096930980682373</v>
      </c>
      <c r="E9250" s="215" t="n">
        <v>45139</v>
      </c>
      <c r="F9250" s="215" t="n">
        <v>45139</v>
      </c>
    </row>
    <row r="9251">
      <c r="A9251" s="215" t="n">
        <v>45140</v>
      </c>
      <c r="B9251" s="216" t="n">
        <v>119.6</v>
      </c>
      <c r="C9251" s="216" t="n">
        <v>122.94</v>
      </c>
      <c r="D9251" s="216" t="n">
        <v>1.092203974723816</v>
      </c>
      <c r="E9251" s="215" t="n">
        <v>45140</v>
      </c>
      <c r="F9251" s="215" t="n">
        <v>45140</v>
      </c>
    </row>
    <row r="9252">
      <c r="A9252" s="215" t="n">
        <v>45141</v>
      </c>
      <c r="B9252" s="216" t="n">
        <v>120.2</v>
      </c>
      <c r="C9252" s="216" t="n">
        <v>124.13</v>
      </c>
      <c r="D9252" s="216" t="n">
        <v>1.090474963188171</v>
      </c>
      <c r="E9252" s="215" t="n">
        <v>45141</v>
      </c>
      <c r="F9252" s="215" t="n">
        <v>45141</v>
      </c>
    </row>
    <row r="9253">
      <c r="A9253" s="215" t="n">
        <v>45142</v>
      </c>
      <c r="B9253" s="216" t="n">
        <v>125.4</v>
      </c>
      <c r="C9253" s="216" t="n">
        <v>125.86</v>
      </c>
      <c r="D9253" s="216" t="n">
        <v>1.09414005279541</v>
      </c>
      <c r="E9253" s="215" t="n">
        <v>45142</v>
      </c>
      <c r="F9253" s="215" t="n">
        <v>45142</v>
      </c>
    </row>
    <row r="9254">
      <c r="A9254" s="215" t="n">
        <v>45145</v>
      </c>
      <c r="B9254" s="216" t="n">
        <v>121.5</v>
      </c>
      <c r="C9254" s="216" t="n">
        <v>124.96</v>
      </c>
      <c r="D9254" s="216" t="n">
        <v>1.098598957061768</v>
      </c>
      <c r="E9254" s="215" t="n">
        <v>45145</v>
      </c>
      <c r="F9254" s="215" t="n">
        <v>45145</v>
      </c>
    </row>
    <row r="9255">
      <c r="A9255" s="215" t="n">
        <v>45146</v>
      </c>
      <c r="B9255" s="216" t="n">
        <v>119.8</v>
      </c>
      <c r="C9255" s="216" t="n">
        <v>123.85</v>
      </c>
      <c r="D9255" s="216" t="n">
        <v>1.091063976287842</v>
      </c>
      <c r="E9255" s="215" t="n">
        <v>45146</v>
      </c>
      <c r="F9255" s="215" t="n">
        <v>45146</v>
      </c>
    </row>
    <row r="9256">
      <c r="A9256" s="215" t="n">
        <v>45147</v>
      </c>
      <c r="B9256" s="216" t="n">
        <v>120</v>
      </c>
      <c r="C9256" s="216" t="n">
        <v>123.47</v>
      </c>
      <c r="D9256" s="216" t="n">
        <v>1.087746977806091</v>
      </c>
      <c r="E9256" s="215" t="n">
        <v>45147</v>
      </c>
      <c r="F9256" s="215" t="n">
        <v>45147</v>
      </c>
    </row>
    <row r="9257">
      <c r="A9257" s="215" t="n">
        <v>45148</v>
      </c>
      <c r="B9257" s="216" t="n">
        <v>116.4</v>
      </c>
      <c r="C9257" s="216" t="n">
        <v>122.62</v>
      </c>
      <c r="D9257" s="216" t="n">
        <v>1.089905977249146</v>
      </c>
      <c r="E9257" s="215" t="n">
        <v>45148</v>
      </c>
      <c r="F9257" s="215" t="n">
        <v>45148</v>
      </c>
    </row>
    <row r="9258">
      <c r="A9258" s="215" t="n">
        <v>45149</v>
      </c>
      <c r="B9258" s="216" t="n">
        <v>112.6</v>
      </c>
      <c r="C9258" s="216" t="n">
        <v>120.5</v>
      </c>
      <c r="D9258" s="216" t="n">
        <v>1.086997985839844</v>
      </c>
      <c r="E9258" s="215" t="n">
        <v>45149</v>
      </c>
      <c r="F9258" s="215" t="n">
        <v>45149</v>
      </c>
    </row>
    <row r="9259">
      <c r="A9259" s="215" t="n">
        <v>45152</v>
      </c>
      <c r="B9259" s="216" t="n">
        <v>110.3</v>
      </c>
      <c r="C9259" s="216" t="n">
        <v>118.28</v>
      </c>
      <c r="D9259" s="216" t="n">
        <v>1.081287026405334</v>
      </c>
      <c r="E9259" s="215" t="n">
        <v>45152</v>
      </c>
      <c r="F9259" s="215" t="n">
        <v>45152</v>
      </c>
    </row>
    <row r="9260">
      <c r="A9260" s="215" t="n">
        <v>45153</v>
      </c>
      <c r="B9260" s="216" t="n">
        <v>108.7</v>
      </c>
      <c r="C9260" s="216" t="n">
        <v>116.1</v>
      </c>
      <c r="D9260" s="216" t="n">
        <v>1.08362603187561</v>
      </c>
      <c r="E9260" s="215" t="n">
        <v>45153</v>
      </c>
      <c r="F9260" s="215" t="n">
        <v>45153</v>
      </c>
    </row>
    <row r="9261">
      <c r="A9261" s="215" t="n">
        <v>45154</v>
      </c>
      <c r="B9261" s="216" t="n">
        <v>111.1</v>
      </c>
      <c r="C9261" s="216" t="n">
        <v>116.81</v>
      </c>
      <c r="D9261" s="216" t="n">
        <v>1.077635049819946</v>
      </c>
      <c r="E9261" s="215" t="n">
        <v>45154</v>
      </c>
      <c r="F9261" s="215" t="n">
        <v>45154</v>
      </c>
    </row>
    <row r="9262">
      <c r="A9262" s="215" t="n">
        <v>45155</v>
      </c>
      <c r="B9262" s="216" t="n">
        <v>115.5</v>
      </c>
      <c r="C9262" s="216" t="n">
        <v>120.03</v>
      </c>
      <c r="D9262" s="216" t="n">
        <v>1.081539988517761</v>
      </c>
      <c r="E9262" s="215" t="n">
        <v>45155</v>
      </c>
      <c r="F9262" s="215" t="n">
        <v>45155</v>
      </c>
    </row>
    <row r="9263">
      <c r="A9263" s="215" t="n">
        <v>45156</v>
      </c>
      <c r="B9263" s="216" t="n">
        <v>111.1</v>
      </c>
      <c r="C9263" s="216" t="n">
        <v>114.09</v>
      </c>
      <c r="D9263" s="216" t="n">
        <v>1.085598945617676</v>
      </c>
      <c r="E9263" s="215" t="n">
        <v>45156</v>
      </c>
      <c r="F9263" s="215" t="n">
        <v>45156</v>
      </c>
    </row>
    <row r="9264">
      <c r="A9264" s="215" t="n">
        <v>45159</v>
      </c>
      <c r="B9264" s="216" t="n">
        <v>112.1</v>
      </c>
      <c r="C9264" s="216" t="n">
        <v>116</v>
      </c>
      <c r="D9264" s="216" t="n">
        <v>1.086933016777039</v>
      </c>
      <c r="E9264" s="215" t="n">
        <v>45159</v>
      </c>
      <c r="F9264" s="215" t="n">
        <v>45159</v>
      </c>
    </row>
    <row r="9265">
      <c r="A9265" s="215" t="n">
        <v>45160</v>
      </c>
      <c r="B9265" s="216" t="n">
        <v>110.7</v>
      </c>
      <c r="C9265" s="216" t="n">
        <v>113.09</v>
      </c>
      <c r="D9265" s="216" t="n">
        <v>1.089496970176697</v>
      </c>
      <c r="E9265" s="215" t="n">
        <v>45160</v>
      </c>
      <c r="F9265" s="215" t="n">
        <v>45160</v>
      </c>
    </row>
    <row r="9266">
      <c r="A9266" s="215" t="n">
        <v>45161</v>
      </c>
      <c r="B9266" s="216" t="n">
        <v>107.6</v>
      </c>
      <c r="C9266" s="216" t="n">
        <v>110.34</v>
      </c>
      <c r="D9266" s="216" t="n">
        <v>1.088055968284607</v>
      </c>
      <c r="E9266" s="215" t="n">
        <v>45161</v>
      </c>
      <c r="F9266" s="215" t="n">
        <v>45161</v>
      </c>
    </row>
    <row r="9267">
      <c r="A9267" s="215" t="n">
        <v>45162</v>
      </c>
      <c r="B9267" s="216" t="n">
        <v>108.8</v>
      </c>
      <c r="C9267" s="216" t="n">
        <v>111.95</v>
      </c>
      <c r="D9267" s="216" t="n">
        <v>1.091747045516968</v>
      </c>
      <c r="E9267" s="215" t="n">
        <v>45162</v>
      </c>
      <c r="F9267" s="215" t="n">
        <v>45162</v>
      </c>
    </row>
    <row r="9268">
      <c r="A9268" s="215" t="n">
        <v>45163</v>
      </c>
      <c r="B9268" s="216" t="n">
        <v>105.8</v>
      </c>
      <c r="C9268" s="216" t="n">
        <v>107.5</v>
      </c>
      <c r="D9268" s="216" t="n">
        <v>1.091843008995056</v>
      </c>
      <c r="E9268" s="215" t="n">
        <v>45163</v>
      </c>
      <c r="F9268" s="215" t="n">
        <v>45163</v>
      </c>
    </row>
    <row r="9269">
      <c r="A9269" s="215" t="n">
        <v>45166</v>
      </c>
      <c r="B9269" s="216" t="n">
        <v>107.9</v>
      </c>
      <c r="C9269" s="216" t="n">
        <v>109.78</v>
      </c>
      <c r="D9269" s="216" t="n">
        <v>1.090361952781677</v>
      </c>
      <c r="E9269" s="215" t="n">
        <v>45166</v>
      </c>
      <c r="F9269" s="215" t="n">
        <v>45166</v>
      </c>
    </row>
    <row r="9270">
      <c r="A9270" s="215" t="n">
        <v>45167</v>
      </c>
      <c r="B9270" s="216" t="n">
        <v>110.1</v>
      </c>
      <c r="C9270" s="216" t="n">
        <v>112.15</v>
      </c>
      <c r="D9270" s="216" t="n">
        <v>1.089699029922485</v>
      </c>
      <c r="E9270" s="215" t="n">
        <v>45167</v>
      </c>
      <c r="F9270" s="215" t="n">
        <v>45167</v>
      </c>
    </row>
    <row r="9271">
      <c r="A9271" s="215" t="n">
        <v>45168</v>
      </c>
      <c r="B9271" s="216" t="n">
        <v>108.7</v>
      </c>
      <c r="C9271" s="216" t="n">
        <v>111.4</v>
      </c>
      <c r="D9271" s="216" t="n">
        <v>1.094905972480774</v>
      </c>
      <c r="E9271" s="215" t="n">
        <v>45168</v>
      </c>
      <c r="F9271" s="215" t="n">
        <v>45168</v>
      </c>
    </row>
    <row r="9272">
      <c r="A9272" s="215" t="n">
        <v>45169</v>
      </c>
      <c r="B9272" s="216" t="n">
        <v>105.3</v>
      </c>
      <c r="C9272" s="216" t="n">
        <v>108.92</v>
      </c>
      <c r="D9272" s="216" t="n">
        <v>1.092789053916931</v>
      </c>
      <c r="E9272" s="215" t="n">
        <v>45169</v>
      </c>
      <c r="F9272" s="215" t="n">
        <v>45169</v>
      </c>
    </row>
    <row r="9273">
      <c r="A9273" s="215" t="n">
        <v>45173</v>
      </c>
      <c r="B9273" s="216" t="n">
        <v>114.9</v>
      </c>
      <c r="C9273" s="216" t="n">
        <v>115.92</v>
      </c>
      <c r="D9273" s="216" t="n">
        <v>1.090212941169739</v>
      </c>
      <c r="E9273" s="215" t="n">
        <v>45173</v>
      </c>
      <c r="F9273" s="215" t="n">
        <v>45173</v>
      </c>
    </row>
    <row r="9274">
      <c r="A9274" s="215" t="n">
        <v>45174</v>
      </c>
      <c r="B9274" s="216" t="n">
        <v>114.1</v>
      </c>
      <c r="C9274" s="216" t="n">
        <v>114.5</v>
      </c>
      <c r="D9274" s="216" t="n">
        <v>1.094616055488586</v>
      </c>
      <c r="E9274" s="215" t="n">
        <v>45174</v>
      </c>
      <c r="F9274" s="215" t="n">
        <v>45174</v>
      </c>
    </row>
    <row r="9275">
      <c r="A9275" s="215" t="n">
        <v>45175</v>
      </c>
      <c r="B9275" s="216" t="n">
        <v>111.1</v>
      </c>
      <c r="C9275" s="216" t="n">
        <v>113</v>
      </c>
      <c r="D9275" s="216" t="n">
        <v>1.090736985206604</v>
      </c>
      <c r="E9275" s="215" t="n">
        <v>45175</v>
      </c>
      <c r="F9275" s="215" t="n">
        <v>45175</v>
      </c>
    </row>
    <row r="9276">
      <c r="A9276" s="215" t="n">
        <v>45176</v>
      </c>
      <c r="B9276" s="216" t="n">
        <v>107.6</v>
      </c>
      <c r="C9276" s="216" t="n">
        <v>110.24</v>
      </c>
      <c r="D9276" s="216" t="n">
        <v>1.088104963302612</v>
      </c>
      <c r="E9276" s="215" t="n">
        <v>45176</v>
      </c>
      <c r="F9276" s="215" t="n">
        <v>45176</v>
      </c>
    </row>
    <row r="9277">
      <c r="A9277" s="215" t="n">
        <v>45180</v>
      </c>
      <c r="B9277" s="216" t="n">
        <v>109</v>
      </c>
      <c r="C9277" s="216" t="n">
        <v>110.23</v>
      </c>
      <c r="D9277" s="216" t="n">
        <v>1.085821986198425</v>
      </c>
      <c r="E9277" s="215" t="n">
        <v>45180</v>
      </c>
      <c r="F9277" s="215" t="n">
        <v>45180</v>
      </c>
    </row>
    <row r="9278">
      <c r="A9278" s="215" t="n">
        <v>45181</v>
      </c>
      <c r="B9278" s="216" t="n">
        <v>107.4</v>
      </c>
      <c r="C9278" s="216" t="n">
        <v>109</v>
      </c>
      <c r="D9278" s="216" t="n">
        <v>1.088567018508911</v>
      </c>
      <c r="E9278" s="215" t="n">
        <v>45181</v>
      </c>
      <c r="F9278" s="215" t="n">
        <v>45181</v>
      </c>
    </row>
    <row r="9279">
      <c r="A9279" s="215" t="n">
        <v>45182</v>
      </c>
      <c r="B9279" s="216" t="n">
        <v>106</v>
      </c>
      <c r="C9279" s="216" t="n">
        <v>107.52</v>
      </c>
      <c r="D9279" s="216" t="n">
        <v>1.088140964508057</v>
      </c>
      <c r="E9279" s="215" t="n">
        <v>45182</v>
      </c>
      <c r="F9279" s="215" t="n">
        <v>45182</v>
      </c>
    </row>
    <row r="9280">
      <c r="A9280" s="215" t="n">
        <v>45183</v>
      </c>
      <c r="B9280" s="216" t="n">
        <v>105.1</v>
      </c>
      <c r="C9280" s="216" t="n">
        <v>105.45</v>
      </c>
      <c r="D9280" s="216" t="n">
        <v>1.091163039207458</v>
      </c>
      <c r="E9280" s="215" t="n">
        <v>45183</v>
      </c>
      <c r="F9280" s="215" t="n">
        <v>45183</v>
      </c>
    </row>
    <row r="9281">
      <c r="A9281" s="215" t="n">
        <v>45184</v>
      </c>
      <c r="B9281" s="216" t="n">
        <v>107.9</v>
      </c>
      <c r="C9281" s="216" t="n">
        <v>106.06</v>
      </c>
      <c r="D9281" s="216" t="n">
        <v>1.088575005531311</v>
      </c>
      <c r="E9281" s="215" t="n">
        <v>45184</v>
      </c>
      <c r="F9281" s="215" t="n">
        <v>45184</v>
      </c>
    </row>
    <row r="9282">
      <c r="A9282" s="215" t="n">
        <v>45187</v>
      </c>
      <c r="B9282" s="216" t="n">
        <v>111.2</v>
      </c>
      <c r="C9282" s="216" t="n">
        <v>111.78</v>
      </c>
      <c r="D9282" s="216" t="n">
        <v>1.089876055717468</v>
      </c>
      <c r="E9282" s="215" t="n">
        <v>45187</v>
      </c>
      <c r="F9282" s="215" t="n">
        <v>45187</v>
      </c>
    </row>
    <row r="9283">
      <c r="A9283" s="215" t="n">
        <v>45188</v>
      </c>
      <c r="B9283" s="216" t="n">
        <v>108.1</v>
      </c>
      <c r="C9283" s="216" t="n">
        <v>109.68</v>
      </c>
      <c r="D9283" s="216" t="n">
        <v>1.091644048690796</v>
      </c>
      <c r="E9283" s="215" t="n">
        <v>45188</v>
      </c>
      <c r="F9283" s="215" t="n">
        <v>45188</v>
      </c>
    </row>
    <row r="9284">
      <c r="A9284" s="215" t="n">
        <v>45189</v>
      </c>
      <c r="B9284" s="216" t="n">
        <v>106.8</v>
      </c>
      <c r="C9284" s="216" t="n">
        <v>109.6</v>
      </c>
      <c r="D9284" s="216" t="n">
        <v>1.090924978256226</v>
      </c>
      <c r="E9284" s="215" t="n">
        <v>45189</v>
      </c>
      <c r="F9284" s="215" t="n">
        <v>45189</v>
      </c>
    </row>
    <row r="9285">
      <c r="A9285" s="215" t="n">
        <v>45190</v>
      </c>
      <c r="B9285" s="216" t="n">
        <v>102</v>
      </c>
      <c r="C9285" s="216" t="n">
        <v>105.95</v>
      </c>
      <c r="D9285" s="216" t="n">
        <v>1.08824098110199</v>
      </c>
      <c r="E9285" s="215" t="n">
        <v>45190</v>
      </c>
      <c r="F9285" s="215" t="n">
        <v>45190</v>
      </c>
    </row>
    <row r="9286">
      <c r="A9286" s="215" t="n">
        <v>45191</v>
      </c>
      <c r="B9286" s="216" t="n">
        <v>106.1</v>
      </c>
      <c r="C9286" s="216" t="n">
        <v>109.3</v>
      </c>
      <c r="D9286" s="216" t="n">
        <v>1.088595986366272</v>
      </c>
      <c r="E9286" s="215" t="n">
        <v>45191</v>
      </c>
      <c r="F9286" s="215" t="n">
        <v>45191</v>
      </c>
    </row>
    <row r="9287">
      <c r="A9287" s="215" t="n">
        <v>45194</v>
      </c>
      <c r="B9287" s="216" t="n">
        <v>104.3</v>
      </c>
      <c r="C9287" s="216" t="n">
        <v>107.72</v>
      </c>
      <c r="D9287" s="216" t="n">
        <v>1.087345004081726</v>
      </c>
      <c r="E9287" s="215" t="n">
        <v>45194</v>
      </c>
      <c r="F9287" s="215" t="n">
        <v>45194</v>
      </c>
    </row>
    <row r="9288">
      <c r="A9288" s="215" t="n">
        <v>45195</v>
      </c>
      <c r="B9288" s="216" t="n">
        <v>102.7</v>
      </c>
      <c r="C9288" s="216" t="n">
        <v>106.83</v>
      </c>
      <c r="D9288" s="216" t="n">
        <v>1.081025958061218</v>
      </c>
      <c r="E9288" s="215" t="n">
        <v>45195</v>
      </c>
      <c r="F9288" s="215" t="n">
        <v>45195</v>
      </c>
    </row>
    <row r="9289">
      <c r="A9289" s="215" t="n">
        <v>45196</v>
      </c>
      <c r="B9289" s="216" t="n">
        <v>103.5</v>
      </c>
      <c r="C9289" s="216" t="n">
        <v>107.5</v>
      </c>
      <c r="D9289" s="216" t="n">
        <v>1.079403042793274</v>
      </c>
      <c r="E9289" s="215" t="n">
        <v>45196</v>
      </c>
      <c r="F9289" s="215" t="n">
        <v>45196</v>
      </c>
    </row>
    <row r="9290">
      <c r="A9290" s="215" t="n">
        <v>45197</v>
      </c>
      <c r="B9290" s="216" t="n">
        <v>100.7</v>
      </c>
      <c r="C9290" s="216" t="n">
        <v>105.97</v>
      </c>
      <c r="D9290" s="216" t="n">
        <v>1.0728440284729</v>
      </c>
      <c r="E9290" s="215" t="n">
        <v>45197</v>
      </c>
      <c r="F9290" s="215" t="n">
        <v>45197</v>
      </c>
    </row>
    <row r="9291">
      <c r="A9291" s="215" t="n">
        <v>45198</v>
      </c>
      <c r="B9291" s="216" t="n">
        <v>103.9</v>
      </c>
      <c r="C9291" s="216" t="n">
        <v>105.97</v>
      </c>
      <c r="D9291" s="216" t="n">
        <v>1.079846978187561</v>
      </c>
      <c r="E9291" s="215" t="n">
        <v>45197</v>
      </c>
      <c r="F9291" s="215" t="n">
        <v>45198</v>
      </c>
    </row>
    <row r="9292">
      <c r="A9292" s="215" t="n">
        <v>45202</v>
      </c>
      <c r="B9292" s="216" t="n">
        <v>96.09999999999999</v>
      </c>
      <c r="C9292" s="216" t="n">
        <v>105.97</v>
      </c>
      <c r="D9292" s="216" t="n">
        <v>1.071742057800293</v>
      </c>
      <c r="E9292" s="215" t="n">
        <v>45197</v>
      </c>
      <c r="F9292" s="215" t="n">
        <v>45202</v>
      </c>
    </row>
    <row r="9293">
      <c r="A9293" s="215" t="n">
        <v>45203</v>
      </c>
      <c r="B9293" s="216" t="n">
        <v>93.34999999999999</v>
      </c>
      <c r="C9293" s="216" t="n">
        <v>105.97</v>
      </c>
      <c r="D9293" s="216" t="n">
        <v>1.070677042007446</v>
      </c>
      <c r="E9293" s="215" t="n">
        <v>45197</v>
      </c>
      <c r="F9293" s="215" t="n">
        <v>45203</v>
      </c>
    </row>
    <row r="9294">
      <c r="A9294" s="215" t="n">
        <v>45204</v>
      </c>
      <c r="B9294" s="216" t="n">
        <v>95.34999999999999</v>
      </c>
      <c r="C9294" s="216" t="n">
        <v>105.97</v>
      </c>
      <c r="D9294" s="216" t="n">
        <v>1.074022054672241</v>
      </c>
      <c r="E9294" s="215" t="n">
        <v>45197</v>
      </c>
      <c r="F9294" s="215" t="n">
        <v>45204</v>
      </c>
    </row>
    <row r="9295">
      <c r="A9295" s="215" t="n">
        <v>45205</v>
      </c>
      <c r="B9295" s="216" t="n">
        <v>98.5</v>
      </c>
      <c r="C9295" s="216" t="n">
        <v>105.97</v>
      </c>
      <c r="D9295" s="216" t="n">
        <v>1.078335046768188</v>
      </c>
      <c r="E9295" s="215" t="n">
        <v>45197</v>
      </c>
      <c r="F9295" s="215" t="n">
        <v>45205</v>
      </c>
    </row>
    <row r="9296">
      <c r="A9296" s="215" t="n">
        <v>45208</v>
      </c>
      <c r="B9296" s="216" t="n">
        <v>93.90000000000001</v>
      </c>
      <c r="C9296" s="216" t="n">
        <v>100.4</v>
      </c>
      <c r="D9296" s="216" t="n">
        <v>1.080739974975586</v>
      </c>
      <c r="E9296" s="215" t="n">
        <v>45208</v>
      </c>
      <c r="F9296" s="215" t="n">
        <v>45208</v>
      </c>
    </row>
    <row r="9297">
      <c r="A9297" s="215" t="n">
        <v>45209</v>
      </c>
      <c r="B9297" s="216" t="n">
        <v>94.5</v>
      </c>
      <c r="C9297" s="216" t="n">
        <v>100.87</v>
      </c>
      <c r="D9297" s="216" t="n">
        <v>1.081393003463745</v>
      </c>
      <c r="E9297" s="215" t="n">
        <v>45209</v>
      </c>
      <c r="F9297" s="215" t="n">
        <v>45209</v>
      </c>
    </row>
    <row r="9298">
      <c r="A9298" s="215" t="n">
        <v>45210</v>
      </c>
      <c r="B9298" s="216" t="n">
        <v>94.84999999999999</v>
      </c>
      <c r="C9298" s="216" t="n">
        <v>100.23</v>
      </c>
      <c r="D9298" s="216" t="n">
        <v>1.082736968994141</v>
      </c>
      <c r="E9298" s="215" t="n">
        <v>45210</v>
      </c>
      <c r="F9298" s="215" t="n">
        <v>45210</v>
      </c>
    </row>
    <row r="9299">
      <c r="A9299" s="215" t="n">
        <v>45211</v>
      </c>
      <c r="B9299" s="216" t="n">
        <v>97.59999999999999</v>
      </c>
      <c r="C9299" s="216" t="n">
        <v>101.06</v>
      </c>
      <c r="D9299" s="216" t="n">
        <v>1.084743976593018</v>
      </c>
      <c r="E9299" s="215" t="n">
        <v>45211</v>
      </c>
      <c r="F9299" s="215" t="n">
        <v>45211</v>
      </c>
    </row>
    <row r="9300">
      <c r="A9300" s="215" t="n">
        <v>45212</v>
      </c>
      <c r="B9300" s="216" t="n">
        <v>92.34999999999999</v>
      </c>
      <c r="C9300" s="216" t="n">
        <v>97.18000000000001</v>
      </c>
      <c r="D9300" s="216" t="n">
        <v>1.076364040374756</v>
      </c>
      <c r="E9300" s="215" t="n">
        <v>45212</v>
      </c>
      <c r="F9300" s="215" t="n">
        <v>45212</v>
      </c>
    </row>
    <row r="9301">
      <c r="A9301" s="215" t="n">
        <v>45215</v>
      </c>
      <c r="B9301" s="216" t="n">
        <v>88.90000000000001</v>
      </c>
      <c r="C9301" s="216" t="n">
        <v>94.88</v>
      </c>
      <c r="D9301" s="216" t="n">
        <v>1.074789047241211</v>
      </c>
      <c r="E9301" s="215" t="n">
        <v>45215</v>
      </c>
      <c r="F9301" s="215" t="n">
        <v>45215</v>
      </c>
    </row>
    <row r="9302">
      <c r="A9302" s="215" t="n">
        <v>45216</v>
      </c>
      <c r="B9302" s="216" t="n">
        <v>90.84999999999999</v>
      </c>
      <c r="C9302" s="216" t="n">
        <v>95.93000000000001</v>
      </c>
      <c r="D9302" s="216" t="n">
        <v>1.077306985855103</v>
      </c>
      <c r="E9302" s="215" t="n">
        <v>45216</v>
      </c>
      <c r="F9302" s="215" t="n">
        <v>45216</v>
      </c>
    </row>
    <row r="9303">
      <c r="A9303" s="215" t="n">
        <v>45217</v>
      </c>
      <c r="B9303" s="216" t="n">
        <v>88.5</v>
      </c>
      <c r="C9303" s="216" t="n">
        <v>94.25</v>
      </c>
      <c r="D9303" s="216" t="n">
        <v>1.079851984977722</v>
      </c>
      <c r="E9303" s="215" t="n">
        <v>45217</v>
      </c>
      <c r="F9303" s="215" t="n">
        <v>45217</v>
      </c>
    </row>
    <row r="9304">
      <c r="A9304" s="215" t="n">
        <v>45218</v>
      </c>
      <c r="B9304" s="216" t="n">
        <v>86.8</v>
      </c>
      <c r="C9304" s="216" t="n">
        <v>92.83</v>
      </c>
      <c r="D9304" s="216" t="n">
        <v>1.077018976211548</v>
      </c>
      <c r="E9304" s="215" t="n">
        <v>45218</v>
      </c>
      <c r="F9304" s="215" t="n">
        <v>45218</v>
      </c>
    </row>
    <row r="9305">
      <c r="A9305" s="215" t="n">
        <v>45219</v>
      </c>
      <c r="B9305" s="216" t="n">
        <v>85.8</v>
      </c>
      <c r="C9305" s="216" t="n">
        <v>92.36</v>
      </c>
      <c r="D9305" s="216" t="n">
        <v>1.081383943557739</v>
      </c>
      <c r="E9305" s="215" t="n">
        <v>45219</v>
      </c>
      <c r="F9305" s="215" t="n">
        <v>45219</v>
      </c>
    </row>
    <row r="9306">
      <c r="A9306" s="215" t="n">
        <v>45223</v>
      </c>
      <c r="B9306" s="216" t="n">
        <v>84.05</v>
      </c>
      <c r="C9306" s="216" t="n">
        <v>90.2</v>
      </c>
      <c r="D9306" s="216" t="n">
        <v>1.090018033981323</v>
      </c>
      <c r="E9306" s="215" t="n">
        <v>45223</v>
      </c>
      <c r="F9306" s="215" t="n">
        <v>45223</v>
      </c>
    </row>
    <row r="9307">
      <c r="A9307" s="215" t="n">
        <v>45224</v>
      </c>
      <c r="B9307" s="216" t="n">
        <v>84.95</v>
      </c>
      <c r="C9307" s="216" t="n">
        <v>90.20999999999999</v>
      </c>
      <c r="D9307" s="216" t="n">
        <v>1.08238697052002</v>
      </c>
      <c r="E9307" s="215" t="n">
        <v>45224</v>
      </c>
      <c r="F9307" s="215" t="n">
        <v>45224</v>
      </c>
    </row>
    <row r="9308">
      <c r="A9308" s="215" t="n">
        <v>45225</v>
      </c>
      <c r="B9308" s="216" t="n">
        <v>82.34999999999999</v>
      </c>
      <c r="C9308" s="216" t="n">
        <v>89.62</v>
      </c>
      <c r="D9308" s="216" t="n">
        <v>1.079262971878052</v>
      </c>
      <c r="E9308" s="215" t="n">
        <v>45225</v>
      </c>
      <c r="F9308" s="215" t="n">
        <v>45225</v>
      </c>
    </row>
    <row r="9309">
      <c r="A9309" s="215" t="n">
        <v>45226</v>
      </c>
      <c r="B9309" s="216" t="n">
        <v>86</v>
      </c>
      <c r="C9309" s="216" t="n">
        <v>93.90000000000001</v>
      </c>
      <c r="D9309" s="216" t="n">
        <v>1.078766942024231</v>
      </c>
      <c r="E9309" s="215" t="n">
        <v>45226</v>
      </c>
      <c r="F9309" s="215" t="n">
        <v>45226</v>
      </c>
    </row>
    <row r="9310">
      <c r="A9310" s="215" t="n">
        <v>45229</v>
      </c>
      <c r="B9310" s="216" t="n">
        <v>89.59999999999999</v>
      </c>
      <c r="C9310" s="216" t="n">
        <v>95.42</v>
      </c>
      <c r="D9310" s="216" t="n">
        <v>1.078732967376709</v>
      </c>
      <c r="E9310" s="215" t="n">
        <v>45229</v>
      </c>
      <c r="F9310" s="215" t="n">
        <v>45229</v>
      </c>
    </row>
    <row r="9311">
      <c r="A9311" s="215" t="n">
        <v>45230</v>
      </c>
      <c r="B9311" s="216" t="n">
        <v>88.34999999999999</v>
      </c>
      <c r="C9311" s="216" t="n">
        <v>94.59999999999999</v>
      </c>
      <c r="D9311" s="216" t="n">
        <v>1.083860993385315</v>
      </c>
      <c r="E9311" s="215" t="n">
        <v>45230</v>
      </c>
      <c r="F9311" s="215" t="n">
        <v>45230</v>
      </c>
    </row>
    <row r="9312">
      <c r="A9312" s="215" t="n">
        <v>45231</v>
      </c>
      <c r="B9312" s="216" t="n">
        <v>87.2</v>
      </c>
      <c r="C9312" s="216" t="n">
        <v>93.84</v>
      </c>
      <c r="D9312" s="216" t="n">
        <v>1.080816030502319</v>
      </c>
      <c r="E9312" s="215" t="n">
        <v>45231</v>
      </c>
      <c r="F9312" s="215" t="n">
        <v>45231</v>
      </c>
    </row>
    <row r="9313">
      <c r="A9313" s="215" t="n">
        <v>45232</v>
      </c>
      <c r="B9313" s="216" t="n">
        <v>87.45</v>
      </c>
      <c r="C9313" s="216" t="n">
        <v>92.73</v>
      </c>
      <c r="D9313" s="216" t="n">
        <v>1.081329941749573</v>
      </c>
      <c r="E9313" s="215" t="n">
        <v>45232</v>
      </c>
      <c r="F9313" s="215" t="n">
        <v>45232</v>
      </c>
    </row>
    <row r="9314">
      <c r="A9314" s="215" t="n">
        <v>45233</v>
      </c>
      <c r="B9314" s="216" t="n">
        <v>90.55</v>
      </c>
      <c r="C9314" s="216" t="n">
        <v>94.58</v>
      </c>
      <c r="D9314" s="216" t="n">
        <v>1.084671974182129</v>
      </c>
      <c r="E9314" s="215" t="n">
        <v>45233</v>
      </c>
      <c r="F9314" s="215" t="n">
        <v>45233</v>
      </c>
    </row>
    <row r="9315">
      <c r="A9315" s="215" t="n">
        <v>45236</v>
      </c>
      <c r="B9315" s="216" t="n">
        <v>92.25</v>
      </c>
      <c r="C9315" s="216" t="n">
        <v>96.19</v>
      </c>
      <c r="D9315" s="216" t="n">
        <v>1.096359014511108</v>
      </c>
      <c r="E9315" s="215" t="n">
        <v>45236</v>
      </c>
      <c r="F9315" s="215" t="n">
        <v>45236</v>
      </c>
    </row>
    <row r="9316">
      <c r="A9316" s="215" t="n">
        <v>45237</v>
      </c>
      <c r="B9316" s="216" t="n">
        <v>92.09999999999999</v>
      </c>
      <c r="C9316" s="216" t="n">
        <v>95.61</v>
      </c>
      <c r="D9316" s="216" t="n">
        <v>1.094547033309937</v>
      </c>
      <c r="E9316" s="215" t="n">
        <v>45237</v>
      </c>
      <c r="F9316" s="215" t="n">
        <v>45237</v>
      </c>
    </row>
    <row r="9317">
      <c r="A9317" s="215" t="n">
        <v>45238</v>
      </c>
      <c r="B9317" s="216" t="n">
        <v>92.40000000000001</v>
      </c>
      <c r="C9317" s="216" t="n">
        <v>96.3</v>
      </c>
      <c r="D9317" s="216" t="n">
        <v>1.092092037200928</v>
      </c>
      <c r="E9317" s="215" t="n">
        <v>45238</v>
      </c>
      <c r="F9317" s="215" t="n">
        <v>45238</v>
      </c>
    </row>
    <row r="9318">
      <c r="A9318" s="215" t="n">
        <v>45239</v>
      </c>
      <c r="B9318" s="216" t="n">
        <v>91.05</v>
      </c>
      <c r="C9318" s="216" t="n">
        <v>95.98</v>
      </c>
      <c r="D9318" s="216" t="n">
        <v>1.092741012573242</v>
      </c>
      <c r="E9318" s="215" t="n">
        <v>45239</v>
      </c>
      <c r="F9318" s="215" t="n">
        <v>45239</v>
      </c>
    </row>
    <row r="9319">
      <c r="A9319" s="215" t="n">
        <v>45240</v>
      </c>
      <c r="B9319" s="216" t="n">
        <v>89.34999999999999</v>
      </c>
      <c r="C9319" s="216" t="n">
        <v>94.40000000000001</v>
      </c>
      <c r="D9319" s="216" t="n">
        <v>1.087584972381592</v>
      </c>
      <c r="E9319" s="215" t="n">
        <v>45240</v>
      </c>
      <c r="F9319" s="215" t="n">
        <v>45240</v>
      </c>
    </row>
    <row r="9320">
      <c r="A9320" s="215" t="n">
        <v>45243</v>
      </c>
      <c r="B9320" s="216" t="n">
        <v>91.5</v>
      </c>
      <c r="C9320" s="216" t="n">
        <v>95.12</v>
      </c>
      <c r="D9320" s="216" t="n">
        <v>1.090304970741272</v>
      </c>
      <c r="E9320" s="215" t="n">
        <v>45243</v>
      </c>
      <c r="F9320" s="215" t="n">
        <v>45243</v>
      </c>
    </row>
    <row r="9321">
      <c r="A9321" s="215" t="n">
        <v>45244</v>
      </c>
      <c r="B9321" s="216" t="n">
        <v>91.8</v>
      </c>
      <c r="C9321" s="216" t="n">
        <v>95.23999999999999</v>
      </c>
      <c r="D9321" s="216" t="n">
        <v>1.091066956520081</v>
      </c>
      <c r="E9321" s="215" t="n">
        <v>45244</v>
      </c>
      <c r="F9321" s="215" t="n">
        <v>45244</v>
      </c>
    </row>
    <row r="9322">
      <c r="A9322" s="215" t="n">
        <v>45245</v>
      </c>
      <c r="B9322" s="216" t="n">
        <v>94.65000000000001</v>
      </c>
      <c r="C9322" s="216" t="n">
        <v>96.15000000000001</v>
      </c>
      <c r="D9322" s="216" t="n">
        <v>1.108688950538635</v>
      </c>
      <c r="E9322" s="215" t="n">
        <v>45245</v>
      </c>
      <c r="F9322" s="215" t="n">
        <v>45245</v>
      </c>
    </row>
    <row r="9323">
      <c r="A9323" s="215" t="n">
        <v>45246</v>
      </c>
      <c r="B9323" s="216" t="n">
        <v>90.65000000000001</v>
      </c>
      <c r="C9323" s="216" t="n">
        <v>94.36</v>
      </c>
      <c r="D9323" s="216" t="n">
        <v>1.106451988220215</v>
      </c>
      <c r="E9323" s="215" t="n">
        <v>45246</v>
      </c>
      <c r="F9323" s="215" t="n">
        <v>45246</v>
      </c>
    </row>
    <row r="9324">
      <c r="A9324" s="215" t="n">
        <v>45247</v>
      </c>
      <c r="B9324" s="216" t="n">
        <v>89.3</v>
      </c>
      <c r="C9324" s="216" t="n">
        <v>93.58</v>
      </c>
      <c r="D9324" s="216" t="n">
        <v>1.105692982673645</v>
      </c>
      <c r="E9324" s="215" t="n">
        <v>45247</v>
      </c>
      <c r="F9324" s="215" t="n">
        <v>45247</v>
      </c>
    </row>
    <row r="9325">
      <c r="A9325" s="215" t="n">
        <v>45250</v>
      </c>
      <c r="B9325" s="216" t="n">
        <v>91.8</v>
      </c>
      <c r="C9325" s="216" t="n">
        <v>94.45999999999999</v>
      </c>
      <c r="D9325" s="216" t="n">
        <v>1.110219955444336</v>
      </c>
      <c r="E9325" s="215" t="n">
        <v>45250</v>
      </c>
      <c r="F9325" s="215" t="n">
        <v>45250</v>
      </c>
    </row>
    <row r="9326">
      <c r="A9326" s="215" t="n">
        <v>45251</v>
      </c>
      <c r="B9326" s="216" t="n">
        <v>92.09999999999999</v>
      </c>
      <c r="C9326" s="216" t="n">
        <v>95.03</v>
      </c>
      <c r="D9326" s="216" t="n">
        <v>1.113530039787292</v>
      </c>
      <c r="E9326" s="215" t="n">
        <v>45251</v>
      </c>
      <c r="F9326" s="215" t="n">
        <v>45251</v>
      </c>
    </row>
    <row r="9327">
      <c r="A9327" s="215" t="n">
        <v>45252</v>
      </c>
      <c r="B9327" s="216" t="n">
        <v>90.8</v>
      </c>
      <c r="C9327" s="216" t="n">
        <v>93.27</v>
      </c>
      <c r="D9327" s="216" t="n">
        <v>1.11102294921875</v>
      </c>
      <c r="E9327" s="215" t="n">
        <v>45252</v>
      </c>
      <c r="F9327" s="215" t="n">
        <v>45252</v>
      </c>
    </row>
    <row r="9328">
      <c r="A9328" s="215" t="n">
        <v>45253</v>
      </c>
      <c r="B9328" s="216" t="n">
        <v>93.5</v>
      </c>
      <c r="C9328" s="216" t="n">
        <v>93.84</v>
      </c>
      <c r="D9328" s="216" t="n">
        <v>1.10846996307373</v>
      </c>
      <c r="E9328" s="215" t="n">
        <v>45253</v>
      </c>
      <c r="F9328" s="215" t="n">
        <v>45253</v>
      </c>
    </row>
    <row r="9329">
      <c r="A9329" s="215" t="n">
        <v>45254</v>
      </c>
      <c r="B9329" s="216" t="n">
        <v>89.3</v>
      </c>
      <c r="C9329" s="216" t="n">
        <v>92</v>
      </c>
      <c r="D9329" s="216" t="n">
        <v>1.110196948051453</v>
      </c>
      <c r="E9329" s="215" t="n">
        <v>45254</v>
      </c>
      <c r="F9329" s="215" t="n">
        <v>45254</v>
      </c>
    </row>
    <row r="9330">
      <c r="A9330" s="215" t="n">
        <v>45257</v>
      </c>
      <c r="B9330" s="216" t="n">
        <v>89</v>
      </c>
      <c r="C9330" s="216" t="n">
        <v>90.89</v>
      </c>
      <c r="D9330" s="216" t="n">
        <v>1.113034963607788</v>
      </c>
      <c r="E9330" s="215" t="n">
        <v>45257</v>
      </c>
      <c r="F9330" s="215" t="n">
        <v>45257</v>
      </c>
    </row>
    <row r="9331">
      <c r="A9331" s="215" t="n">
        <v>45258</v>
      </c>
      <c r="B9331" s="216" t="n">
        <v>87.7</v>
      </c>
      <c r="C9331" s="216" t="n">
        <v>91</v>
      </c>
      <c r="D9331" s="216" t="n">
        <v>1.114474058151245</v>
      </c>
      <c r="E9331" s="215" t="n">
        <v>45258</v>
      </c>
      <c r="F9331" s="215" t="n">
        <v>45258</v>
      </c>
    </row>
    <row r="9332">
      <c r="A9332" s="215" t="n">
        <v>45259</v>
      </c>
      <c r="B9332" s="216" t="n">
        <v>85.2</v>
      </c>
      <c r="C9332" s="216" t="n">
        <v>89.5</v>
      </c>
      <c r="D9332" s="216" t="n">
        <v>1.119948983192444</v>
      </c>
      <c r="E9332" s="215" t="n">
        <v>45259</v>
      </c>
      <c r="F9332" s="215" t="n">
        <v>45259</v>
      </c>
    </row>
    <row r="9333">
      <c r="A9333" s="215" t="n">
        <v>45260</v>
      </c>
      <c r="B9333" s="216" t="n">
        <v>85</v>
      </c>
      <c r="C9333" s="216" t="n">
        <v>89.15000000000001</v>
      </c>
      <c r="D9333" s="216" t="n">
        <v>1.118155956268311</v>
      </c>
      <c r="E9333" s="215" t="n">
        <v>45260</v>
      </c>
      <c r="F9333" s="215" t="n">
        <v>45260</v>
      </c>
    </row>
    <row r="9334">
      <c r="A9334" s="215" t="n">
        <v>45261</v>
      </c>
      <c r="B9334" s="216" t="n">
        <v>83.84999999999999</v>
      </c>
      <c r="C9334" s="216" t="n">
        <v>87.90000000000001</v>
      </c>
      <c r="D9334" s="216" t="n">
        <v>1.110759019851685</v>
      </c>
      <c r="E9334" s="215" t="n">
        <v>45261</v>
      </c>
      <c r="F9334" s="215" t="n">
        <v>45261</v>
      </c>
    </row>
    <row r="9335">
      <c r="A9335" s="215" t="n">
        <v>45264</v>
      </c>
      <c r="B9335" s="216" t="n">
        <v>81.5</v>
      </c>
      <c r="C9335" s="216" t="n">
        <v>86.59999999999999</v>
      </c>
      <c r="D9335" s="216" t="n">
        <v>1.110934019088745</v>
      </c>
      <c r="E9335" s="215" t="n">
        <v>45264</v>
      </c>
      <c r="F9335" s="215" t="n">
        <v>45264</v>
      </c>
    </row>
    <row r="9336">
      <c r="A9336" s="215" t="n">
        <v>45265</v>
      </c>
      <c r="B9336" s="216" t="n">
        <v>79.55</v>
      </c>
      <c r="C9336" s="216" t="n">
        <v>84</v>
      </c>
      <c r="D9336" s="216" t="n">
        <v>1.105996012687683</v>
      </c>
      <c r="E9336" s="215" t="n">
        <v>45265</v>
      </c>
      <c r="F9336" s="215" t="n">
        <v>45265</v>
      </c>
    </row>
    <row r="9337">
      <c r="A9337" s="215" t="n">
        <v>45266</v>
      </c>
      <c r="B9337" s="216" t="n">
        <v>79.8</v>
      </c>
      <c r="C9337" s="216" t="n">
        <v>84.48</v>
      </c>
      <c r="D9337" s="216" t="n">
        <v>1.101930975914001</v>
      </c>
      <c r="E9337" s="215" t="n">
        <v>45266</v>
      </c>
      <c r="F9337" s="215" t="n">
        <v>45266</v>
      </c>
    </row>
    <row r="9338">
      <c r="A9338" s="215" t="n">
        <v>45267</v>
      </c>
      <c r="B9338" s="216" t="n">
        <v>77.8</v>
      </c>
      <c r="C9338" s="216" t="n">
        <v>82.88</v>
      </c>
      <c r="D9338" s="216" t="n">
        <v>1.098016023635864</v>
      </c>
      <c r="E9338" s="215" t="n">
        <v>45267</v>
      </c>
      <c r="F9338" s="215" t="n">
        <v>45267</v>
      </c>
    </row>
    <row r="9339">
      <c r="A9339" s="215" t="n">
        <v>45268</v>
      </c>
      <c r="B9339" s="216" t="n">
        <v>75.7</v>
      </c>
      <c r="C9339" s="216" t="n">
        <v>82.3</v>
      </c>
      <c r="D9339" s="216" t="n">
        <v>1.100576043128967</v>
      </c>
      <c r="E9339" s="215" t="n">
        <v>45268</v>
      </c>
      <c r="F9339" s="215" t="n">
        <v>45268</v>
      </c>
    </row>
    <row r="9340">
      <c r="A9340" s="215" t="n">
        <v>45271</v>
      </c>
      <c r="B9340" s="216" t="n">
        <v>76.09999999999999</v>
      </c>
      <c r="C9340" s="216" t="n">
        <v>82.40000000000001</v>
      </c>
      <c r="D9340" s="216" t="n">
        <v>1.097795963287354</v>
      </c>
      <c r="E9340" s="215" t="n">
        <v>45271</v>
      </c>
      <c r="F9340" s="215" t="n">
        <v>45271</v>
      </c>
    </row>
    <row r="9341">
      <c r="A9341" s="215" t="n">
        <v>45272</v>
      </c>
      <c r="B9341" s="216" t="n">
        <v>75.2</v>
      </c>
      <c r="C9341" s="216" t="n">
        <v>82.14</v>
      </c>
      <c r="D9341" s="216" t="n">
        <v>1.097154974937439</v>
      </c>
      <c r="E9341" s="215" t="n">
        <v>45272</v>
      </c>
      <c r="F9341" s="215" t="n">
        <v>45272</v>
      </c>
    </row>
    <row r="9342">
      <c r="A9342" s="215" t="n">
        <v>45273</v>
      </c>
      <c r="B9342" s="216" t="n">
        <v>70.55</v>
      </c>
      <c r="C9342" s="216" t="n">
        <v>78.90000000000001</v>
      </c>
      <c r="D9342" s="216" t="n">
        <v>1.101083993911743</v>
      </c>
      <c r="E9342" s="215" t="n">
        <v>45273</v>
      </c>
      <c r="F9342" s="215" t="n">
        <v>45273</v>
      </c>
    </row>
    <row r="9343">
      <c r="A9343" s="215" t="n">
        <v>45274</v>
      </c>
      <c r="B9343" s="216" t="n">
        <v>70.25</v>
      </c>
      <c r="C9343" s="216" t="n">
        <v>78.5</v>
      </c>
      <c r="D9343" s="216" t="n">
        <v>1.109936952590942</v>
      </c>
      <c r="E9343" s="215" t="n">
        <v>45274</v>
      </c>
      <c r="F9343" s="215" t="n">
        <v>45274</v>
      </c>
    </row>
    <row r="9344">
      <c r="A9344" s="215" t="n">
        <v>45275</v>
      </c>
      <c r="B9344" s="216" t="n">
        <v>70.90000000000001</v>
      </c>
      <c r="C9344" s="216" t="n">
        <v>78.19</v>
      </c>
      <c r="D9344" s="216" t="n">
        <v>1.120489954948425</v>
      </c>
      <c r="E9344" s="215" t="n">
        <v>45275</v>
      </c>
      <c r="F9344" s="215" t="n">
        <v>45275</v>
      </c>
    </row>
    <row r="9345">
      <c r="A9345" s="215" t="n">
        <v>45278</v>
      </c>
      <c r="B9345" s="216" t="n">
        <v>70.34999999999999</v>
      </c>
      <c r="C9345" s="216" t="n">
        <v>76.45999999999999</v>
      </c>
      <c r="D9345" s="216" t="n">
        <v>1.110012054443359</v>
      </c>
      <c r="E9345" s="215" t="n">
        <v>45278</v>
      </c>
      <c r="F9345" s="215" t="n">
        <v>45278</v>
      </c>
    </row>
    <row r="9346">
      <c r="A9346" s="215" t="n">
        <v>45279</v>
      </c>
      <c r="B9346" s="216" t="n">
        <v>68.84999999999999</v>
      </c>
      <c r="C9346" s="216" t="n">
        <v>76.89</v>
      </c>
      <c r="D9346" s="216" t="n">
        <v>1.111768007278442</v>
      </c>
      <c r="E9346" s="215" t="n">
        <v>45279</v>
      </c>
      <c r="F9346" s="215" t="n">
        <v>45279</v>
      </c>
    </row>
    <row r="9347">
      <c r="A9347" s="215" t="n">
        <v>45280</v>
      </c>
      <c r="B9347" s="216" t="n">
        <v>68.75</v>
      </c>
      <c r="C9347" s="216" t="n">
        <v>75.83</v>
      </c>
      <c r="D9347" s="216" t="n">
        <v>1.118278980255127</v>
      </c>
      <c r="E9347" s="215" t="n">
        <v>45280</v>
      </c>
      <c r="F9347" s="215" t="n">
        <v>45280</v>
      </c>
    </row>
    <row r="9348">
      <c r="A9348" s="215" t="n">
        <v>45281</v>
      </c>
      <c r="B9348" s="216" t="n">
        <v>70.7</v>
      </c>
      <c r="C9348" s="216" t="n">
        <v>79.75</v>
      </c>
      <c r="D9348" s="216" t="n">
        <v>1.115596055984497</v>
      </c>
      <c r="E9348" s="215" t="n">
        <v>45281</v>
      </c>
      <c r="F9348" s="215" t="n">
        <v>45281</v>
      </c>
    </row>
    <row r="9349">
      <c r="A9349" s="215" t="n">
        <v>45282</v>
      </c>
      <c r="B9349" s="216" t="n">
        <v>69.2</v>
      </c>
      <c r="C9349" s="216" t="n">
        <v>79.09999999999999</v>
      </c>
      <c r="D9349" s="216" t="n">
        <v>1.122302055358887</v>
      </c>
      <c r="E9349" s="215" t="n">
        <v>45282</v>
      </c>
      <c r="F9349" s="215" t="n">
        <v>45282</v>
      </c>
    </row>
    <row r="9350">
      <c r="A9350" s="215" t="n">
        <v>45287</v>
      </c>
      <c r="B9350" s="216" t="n">
        <v>68.75</v>
      </c>
      <c r="C9350" s="216" t="n">
        <v>78.37</v>
      </c>
      <c r="D9350" s="216" t="n">
        <v>1.125676989555359</v>
      </c>
      <c r="E9350" s="215" t="n">
        <v>45287</v>
      </c>
      <c r="F9350" s="215" t="n">
        <v>45287</v>
      </c>
    </row>
    <row r="9351">
      <c r="A9351" s="215" t="n">
        <v>45288</v>
      </c>
      <c r="B9351" s="216" t="n">
        <v>76.34999999999999</v>
      </c>
      <c r="C9351" s="216" t="n">
        <v>85.02</v>
      </c>
      <c r="D9351" s="216" t="n">
        <v>1.132581949234009</v>
      </c>
      <c r="E9351" s="215" t="n">
        <v>45288</v>
      </c>
      <c r="F9351" s="215" t="n">
        <v>45288</v>
      </c>
    </row>
    <row r="9352">
      <c r="A9352" s="215" t="n">
        <v>45289</v>
      </c>
      <c r="B9352" s="216" t="n">
        <v>76.65000000000001</v>
      </c>
      <c r="C9352" s="216" t="n">
        <v>83.69</v>
      </c>
      <c r="D9352" s="216" t="n">
        <v>1.128918051719666</v>
      </c>
      <c r="E9352" s="215" t="n">
        <v>45289</v>
      </c>
      <c r="F9352" s="215" t="n">
        <v>45289</v>
      </c>
    </row>
    <row r="9353">
      <c r="A9353" s="215" t="n">
        <v>45293</v>
      </c>
      <c r="B9353" s="216" t="n">
        <v>72.95</v>
      </c>
      <c r="C9353" s="216" t="n">
        <v>80.59999999999999</v>
      </c>
      <c r="D9353" s="216" t="n">
        <v>1.125501990318298</v>
      </c>
      <c r="E9353" s="215" t="n">
        <v>45293</v>
      </c>
      <c r="F9353" s="215" t="n">
        <v>45293</v>
      </c>
    </row>
    <row r="9354">
      <c r="A9354" s="215" t="n">
        <v>45294</v>
      </c>
      <c r="B9354" s="216" t="n">
        <v>73.7</v>
      </c>
      <c r="C9354" s="216" t="n">
        <v>80.43000000000001</v>
      </c>
      <c r="D9354" s="216" t="n">
        <v>1.116525053977966</v>
      </c>
      <c r="E9354" s="215" t="n">
        <v>45294</v>
      </c>
      <c r="F9354" s="215" t="n">
        <v>45294</v>
      </c>
    </row>
    <row r="9355">
      <c r="A9355" s="215" t="n">
        <v>45295</v>
      </c>
      <c r="B9355" s="216" t="n">
        <v>72.7</v>
      </c>
      <c r="C9355" s="216" t="n">
        <v>78.59999999999999</v>
      </c>
      <c r="D9355" s="216" t="n">
        <v>1.113739013671875</v>
      </c>
      <c r="E9355" s="215" t="n">
        <v>45295</v>
      </c>
      <c r="F9355" s="215" t="n">
        <v>45295</v>
      </c>
    </row>
    <row r="9356">
      <c r="A9356" s="215" t="n">
        <v>45296</v>
      </c>
      <c r="B9356" s="216" t="n">
        <v>71.95</v>
      </c>
      <c r="C9356" s="216" t="n">
        <v>77.02</v>
      </c>
      <c r="D9356" s="216" t="n">
        <v>1.116189956665039</v>
      </c>
      <c r="E9356" s="215" t="n">
        <v>45296</v>
      </c>
      <c r="F9356" s="215" t="n">
        <v>45296</v>
      </c>
    </row>
    <row r="9357">
      <c r="A9357" s="215" t="n">
        <v>45299</v>
      </c>
      <c r="B9357" s="216" t="n">
        <v>68.40000000000001</v>
      </c>
      <c r="C9357" s="216" t="n">
        <v>75.40000000000001</v>
      </c>
      <c r="D9357" s="216" t="n">
        <v>1.116019010543823</v>
      </c>
      <c r="E9357" s="215" t="n">
        <v>45299</v>
      </c>
      <c r="F9357" s="215" t="n">
        <v>45299</v>
      </c>
    </row>
    <row r="9358">
      <c r="A9358" s="215" t="n">
        <v>45300</v>
      </c>
      <c r="B9358" s="216" t="n">
        <v>71.25</v>
      </c>
      <c r="C9358" s="216" t="n">
        <v>80.22</v>
      </c>
      <c r="D9358" s="216" t="n">
        <v>1.116075992584229</v>
      </c>
      <c r="E9358" s="215" t="n">
        <v>45300</v>
      </c>
      <c r="F9358" s="215" t="n">
        <v>45300</v>
      </c>
    </row>
    <row r="9359">
      <c r="A9359" s="215" t="n">
        <v>45301</v>
      </c>
      <c r="B9359" s="216" t="n">
        <v>70.15000000000001</v>
      </c>
      <c r="C9359" s="216" t="n">
        <v>81.7</v>
      </c>
      <c r="D9359" s="216" t="n">
        <v>1.115636944770813</v>
      </c>
      <c r="E9359" s="215" t="n">
        <v>45301</v>
      </c>
      <c r="F9359" s="215" t="n">
        <v>45301</v>
      </c>
    </row>
    <row r="9360">
      <c r="A9360" s="215" t="n">
        <v>45302</v>
      </c>
      <c r="B9360" s="216" t="n">
        <v>72.40000000000001</v>
      </c>
      <c r="C9360" s="216" t="n">
        <v>82.06999999999999</v>
      </c>
      <c r="D9360" s="216" t="n">
        <v>1.120515942573547</v>
      </c>
      <c r="E9360" s="215" t="n">
        <v>45302</v>
      </c>
      <c r="F9360" s="215" t="n">
        <v>45302</v>
      </c>
    </row>
    <row r="9361">
      <c r="A9361" s="215" t="n">
        <v>45303</v>
      </c>
      <c r="B9361" s="216" t="n">
        <v>72.15000000000001</v>
      </c>
      <c r="C9361" s="216" t="n">
        <v>80.81</v>
      </c>
      <c r="D9361" s="216" t="n">
        <v>1.120725035667419</v>
      </c>
      <c r="E9361" s="215" t="n">
        <v>45303</v>
      </c>
      <c r="F9361" s="215" t="n">
        <v>45303</v>
      </c>
    </row>
    <row r="9362">
      <c r="A9362" s="215" t="n">
        <v>45306</v>
      </c>
      <c r="B9362" s="216" t="n">
        <v>74.09999999999999</v>
      </c>
      <c r="C9362" s="216" t="n">
        <v>82.25</v>
      </c>
      <c r="D9362" s="216" t="n">
        <v>1.117622017860413</v>
      </c>
      <c r="E9362" s="215" t="n">
        <v>45306</v>
      </c>
      <c r="F9362" s="215" t="n">
        <v>45306</v>
      </c>
    </row>
    <row r="9363">
      <c r="A9363" s="215" t="n">
        <v>45307</v>
      </c>
      <c r="B9363" s="216" t="n">
        <v>73.55</v>
      </c>
      <c r="C9363" s="216" t="n">
        <v>82.40000000000001</v>
      </c>
      <c r="D9363" s="216" t="n">
        <v>1.118000030517578</v>
      </c>
      <c r="E9363" s="215" t="n">
        <v>45307</v>
      </c>
      <c r="F9363" s="215" t="n">
        <v>45307</v>
      </c>
    </row>
    <row r="9364">
      <c r="A9364" s="215" t="n">
        <v>45308</v>
      </c>
      <c r="B9364" s="216" t="n">
        <v>68.05</v>
      </c>
      <c r="C9364" s="216" t="n">
        <v>79</v>
      </c>
      <c r="D9364" s="216" t="n">
        <v>1.111650943756104</v>
      </c>
      <c r="E9364" s="215" t="n">
        <v>45308</v>
      </c>
      <c r="F9364" s="215" t="n">
        <v>45308</v>
      </c>
    </row>
    <row r="9365">
      <c r="A9365" s="215" t="n">
        <v>45309</v>
      </c>
      <c r="B9365" s="216" t="n">
        <v>71</v>
      </c>
      <c r="C9365" s="216" t="n">
        <v>84</v>
      </c>
      <c r="D9365" s="216" t="n">
        <v>1.111701965332031</v>
      </c>
      <c r="E9365" s="215" t="n">
        <v>45309</v>
      </c>
      <c r="F9365" s="215" t="n">
        <v>45309</v>
      </c>
    </row>
    <row r="9366">
      <c r="A9366" s="215" t="n">
        <v>45310</v>
      </c>
      <c r="B9366" s="216" t="n">
        <v>71.45</v>
      </c>
      <c r="C9366" s="216" t="n">
        <v>84.01000000000001</v>
      </c>
      <c r="D9366" s="216" t="n">
        <v>1.111027956008911</v>
      </c>
      <c r="E9366" s="215" t="n">
        <v>45310</v>
      </c>
      <c r="F9366" s="215" t="n">
        <v>45310</v>
      </c>
    </row>
    <row r="9367">
      <c r="A9367" s="215" t="n">
        <v>45313</v>
      </c>
      <c r="B9367" s="216" t="n">
        <v>67.84999999999999</v>
      </c>
      <c r="C9367" s="216" t="n">
        <v>81.97</v>
      </c>
      <c r="D9367" s="216" t="n">
        <v>1.111721038818359</v>
      </c>
      <c r="E9367" s="215" t="n">
        <v>45313</v>
      </c>
      <c r="F9367" s="215" t="n">
        <v>45313</v>
      </c>
    </row>
    <row r="9368">
      <c r="A9368" s="215" t="n">
        <v>45314</v>
      </c>
      <c r="B9368" s="216" t="n">
        <v>68.55</v>
      </c>
      <c r="C9368" s="216" t="n">
        <v>81.15000000000001</v>
      </c>
      <c r="D9368" s="216" t="n">
        <v>1.110329031944275</v>
      </c>
      <c r="E9368" s="215" t="n">
        <v>45314</v>
      </c>
      <c r="F9368" s="215" t="n">
        <v>45314</v>
      </c>
    </row>
    <row r="9369">
      <c r="A9369" s="215" t="n">
        <v>45315</v>
      </c>
      <c r="B9369" s="216" t="n">
        <v>70.09999999999999</v>
      </c>
      <c r="C9369" s="216" t="n">
        <v>81.93000000000001</v>
      </c>
      <c r="D9369" s="216" t="n">
        <v>1.108868002891541</v>
      </c>
      <c r="E9369" s="215" t="n">
        <v>45315</v>
      </c>
      <c r="F9369" s="215" t="n">
        <v>45315</v>
      </c>
    </row>
    <row r="9370">
      <c r="A9370" s="215" t="n">
        <v>45316</v>
      </c>
      <c r="B9370" s="216" t="n">
        <v>75.40000000000001</v>
      </c>
      <c r="C9370" s="216" t="n">
        <v>86.90000000000001</v>
      </c>
      <c r="D9370" s="216" t="n">
        <v>1.110738039016724</v>
      </c>
      <c r="E9370" s="215" t="n">
        <v>45316</v>
      </c>
      <c r="F9370" s="215" t="n">
        <v>45316</v>
      </c>
    </row>
    <row r="9371">
      <c r="A9371" s="215" t="n">
        <v>45317</v>
      </c>
      <c r="B9371" s="216" t="n">
        <v>73.25</v>
      </c>
      <c r="C9371" s="216" t="n">
        <v>85.62</v>
      </c>
      <c r="D9371" s="216" t="n">
        <v>1.10723602771759</v>
      </c>
      <c r="E9371" s="215" t="n">
        <v>45317</v>
      </c>
      <c r="F9371" s="215" t="n">
        <v>45317</v>
      </c>
    </row>
    <row r="9372">
      <c r="A9372" s="215" t="n">
        <v>45320</v>
      </c>
      <c r="B9372" s="216" t="n">
        <v>73.95</v>
      </c>
      <c r="C9372" s="216" t="n">
        <v>84.92</v>
      </c>
      <c r="D9372" s="216" t="n">
        <v>1.10621702671051</v>
      </c>
      <c r="E9372" s="215" t="n">
        <v>45320</v>
      </c>
      <c r="F9372" s="215" t="n">
        <v>45320</v>
      </c>
    </row>
    <row r="9373">
      <c r="A9373" s="215" t="n">
        <v>45321</v>
      </c>
      <c r="B9373" s="216" t="n">
        <v>70</v>
      </c>
      <c r="C9373" s="216" t="n">
        <v>82.25</v>
      </c>
      <c r="D9373" s="216" t="n">
        <v>1.105329036712646</v>
      </c>
      <c r="E9373" s="215" t="n">
        <v>45321</v>
      </c>
      <c r="F9373" s="215" t="n">
        <v>45321</v>
      </c>
    </row>
    <row r="9374">
      <c r="A9374" s="215" t="n">
        <v>45322</v>
      </c>
      <c r="B9374" s="216" t="n">
        <v>68.3</v>
      </c>
      <c r="C9374" s="216" t="n">
        <v>79.81</v>
      </c>
      <c r="D9374" s="216" t="n">
        <v>1.106791973114014</v>
      </c>
      <c r="E9374" s="215" t="n">
        <v>45322</v>
      </c>
      <c r="F9374" s="215" t="n">
        <v>45322</v>
      </c>
    </row>
    <row r="9375">
      <c r="A9375" s="215" t="n">
        <v>45323</v>
      </c>
      <c r="B9375" s="216" t="n">
        <v>71.09999999999999</v>
      </c>
      <c r="C9375" s="216" t="n">
        <v>80.95</v>
      </c>
      <c r="D9375" s="216" t="n">
        <v>1.102612972259521</v>
      </c>
      <c r="E9375" s="215" t="n">
        <v>45323</v>
      </c>
      <c r="F9375" s="215" t="n">
        <v>45323</v>
      </c>
    </row>
    <row r="9376">
      <c r="A9376" s="215" t="n">
        <v>45324</v>
      </c>
      <c r="B9376" s="216" t="n">
        <v>69</v>
      </c>
      <c r="C9376" s="216" t="n">
        <v>78.52</v>
      </c>
      <c r="D9376" s="216" t="n">
        <v>1.110376000404358</v>
      </c>
      <c r="E9376" s="215" t="n">
        <v>45324</v>
      </c>
      <c r="F9376" s="215" t="n">
        <v>45324</v>
      </c>
    </row>
    <row r="9377">
      <c r="A9377" s="215" t="n">
        <v>45327</v>
      </c>
      <c r="B9377" s="216" t="n">
        <v>69.25</v>
      </c>
      <c r="C9377" s="216" t="n">
        <v>77.87</v>
      </c>
      <c r="D9377" s="216" t="n">
        <v>1.100926041603088</v>
      </c>
      <c r="E9377" s="215" t="n">
        <v>45327</v>
      </c>
      <c r="F9377" s="215" t="n">
        <v>45327</v>
      </c>
    </row>
    <row r="9378">
      <c r="A9378" s="215" t="n">
        <v>45328</v>
      </c>
      <c r="B9378" s="216" t="n">
        <v>72.95</v>
      </c>
      <c r="C9378" s="216" t="n">
        <v>82.7</v>
      </c>
      <c r="D9378" s="216" t="n">
        <v>1.097015976905823</v>
      </c>
      <c r="E9378" s="215" t="n">
        <v>45328</v>
      </c>
      <c r="F9378" s="215" t="n">
        <v>45328</v>
      </c>
    </row>
    <row r="9379">
      <c r="A9379" s="215" t="n">
        <v>45329</v>
      </c>
      <c r="B9379" s="216" t="n">
        <v>73.40000000000001</v>
      </c>
      <c r="C9379" s="216" t="n">
        <v>84</v>
      </c>
      <c r="D9379" s="216" t="n">
        <v>1.098708987236023</v>
      </c>
      <c r="E9379" s="215" t="n">
        <v>45329</v>
      </c>
      <c r="F9379" s="215" t="n">
        <v>45329</v>
      </c>
    </row>
    <row r="9380">
      <c r="A9380" s="215" t="n">
        <v>45330</v>
      </c>
      <c r="B9380" s="216" t="n">
        <v>74.25</v>
      </c>
      <c r="C9380" s="216" t="n">
        <v>84.45</v>
      </c>
      <c r="D9380" s="216" t="n">
        <v>1.100044012069702</v>
      </c>
      <c r="E9380" s="215" t="n">
        <v>45330</v>
      </c>
      <c r="F9380" s="215" t="n">
        <v>45330</v>
      </c>
    </row>
    <row r="9381">
      <c r="A9381" s="215" t="n">
        <v>45331</v>
      </c>
      <c r="B9381" s="216" t="n">
        <v>74.90000000000001</v>
      </c>
      <c r="C9381" s="216" t="n">
        <v>84.45</v>
      </c>
      <c r="D9381" s="216" t="n">
        <v>1.100633025169373</v>
      </c>
      <c r="E9381" s="215" t="n">
        <v>45330</v>
      </c>
      <c r="F9381" s="215" t="n">
        <v>45331</v>
      </c>
    </row>
    <row r="9382">
      <c r="A9382" s="215" t="n">
        <v>45336</v>
      </c>
      <c r="B9382" s="216" t="n">
        <v>78.7</v>
      </c>
      <c r="C9382" s="216" t="n">
        <v>84.45</v>
      </c>
      <c r="D9382" s="216" t="n">
        <v>1.093312978744507</v>
      </c>
      <c r="E9382" s="215" t="n">
        <v>45330</v>
      </c>
      <c r="F9382" s="215" t="n">
        <v>45336</v>
      </c>
    </row>
    <row r="9383">
      <c r="A9383" s="215" t="n">
        <v>45337</v>
      </c>
      <c r="B9383" s="216" t="n">
        <v>81.59999999999999</v>
      </c>
      <c r="C9383" s="216" t="n">
        <v>84.45</v>
      </c>
      <c r="D9383" s="216" t="n">
        <v>1.095546960830688</v>
      </c>
      <c r="E9383" s="215" t="n">
        <v>45330</v>
      </c>
      <c r="F9383" s="215" t="n">
        <v>45337</v>
      </c>
    </row>
    <row r="9384">
      <c r="A9384" s="215" t="n">
        <v>45338</v>
      </c>
      <c r="B9384" s="216" t="n">
        <v>86.25</v>
      </c>
      <c r="C9384" s="216" t="n">
        <v>84.45</v>
      </c>
      <c r="D9384" s="216" t="n">
        <v>1.100026965141296</v>
      </c>
      <c r="E9384" s="215" t="n">
        <v>45330</v>
      </c>
      <c r="F9384" s="215" t="n">
        <v>45338</v>
      </c>
    </row>
    <row r="9385">
      <c r="A9385" s="215" t="n">
        <v>45341</v>
      </c>
      <c r="B9385" s="216" t="n">
        <v>77.59999999999999</v>
      </c>
      <c r="C9385" s="216" t="n">
        <v>85.29000000000001</v>
      </c>
      <c r="D9385" s="216" t="n">
        <v>1.10134494304657</v>
      </c>
      <c r="E9385" s="215" t="n">
        <v>45341</v>
      </c>
      <c r="F9385" s="215" t="n">
        <v>45341</v>
      </c>
    </row>
    <row r="9386">
      <c r="A9386" s="215" t="n">
        <v>45342</v>
      </c>
      <c r="B9386" s="216" t="n">
        <v>76.25</v>
      </c>
      <c r="C9386" s="216" t="n">
        <v>84.53</v>
      </c>
      <c r="D9386" s="216" t="n">
        <v>1.100348949432373</v>
      </c>
      <c r="E9386" s="215" t="n">
        <v>45342</v>
      </c>
      <c r="F9386" s="215" t="n">
        <v>45342</v>
      </c>
    </row>
    <row r="9387">
      <c r="A9387" s="215" t="n">
        <v>45343</v>
      </c>
      <c r="B9387" s="216" t="n">
        <v>80.05</v>
      </c>
      <c r="C9387" s="216" t="n">
        <v>86.86</v>
      </c>
      <c r="D9387" s="216" t="n">
        <v>1.104022026062012</v>
      </c>
      <c r="E9387" s="215" t="n">
        <v>45343</v>
      </c>
      <c r="F9387" s="215" t="n">
        <v>45343</v>
      </c>
    </row>
    <row r="9388">
      <c r="A9388" s="215" t="n">
        <v>45344</v>
      </c>
      <c r="B9388" s="216" t="n">
        <v>80.8</v>
      </c>
      <c r="C9388" s="216" t="n">
        <v>87.51000000000001</v>
      </c>
      <c r="D9388" s="216" t="n">
        <v>1.104943990707397</v>
      </c>
      <c r="E9388" s="215" t="n">
        <v>45344</v>
      </c>
      <c r="F9388" s="215" t="n">
        <v>45344</v>
      </c>
    </row>
    <row r="9389">
      <c r="A9389" s="215" t="n">
        <v>45345</v>
      </c>
      <c r="B9389" s="216" t="n">
        <v>81.15000000000001</v>
      </c>
      <c r="C9389" s="216" t="n">
        <v>87.58</v>
      </c>
      <c r="D9389" s="216" t="n">
        <v>1.105702996253967</v>
      </c>
      <c r="E9389" s="215" t="n">
        <v>45345</v>
      </c>
      <c r="F9389" s="215" t="n">
        <v>45345</v>
      </c>
    </row>
    <row r="9390">
      <c r="A9390" s="215" t="n">
        <v>45348</v>
      </c>
      <c r="B9390" s="216" t="n">
        <v>79</v>
      </c>
      <c r="C9390" s="216" t="n">
        <v>85.64</v>
      </c>
      <c r="D9390" s="216" t="n">
        <v>1.105378985404968</v>
      </c>
      <c r="E9390" s="215" t="n">
        <v>45348</v>
      </c>
      <c r="F9390" s="215" t="n">
        <v>45348</v>
      </c>
    </row>
    <row r="9391">
      <c r="A9391" s="215" t="n">
        <v>45349</v>
      </c>
      <c r="B9391" s="216" t="n">
        <v>78.59999999999999</v>
      </c>
      <c r="C9391" s="216" t="n">
        <v>86.19</v>
      </c>
      <c r="D9391" s="216" t="n">
        <v>1.108508944511414</v>
      </c>
      <c r="E9391" s="215" t="n">
        <v>45349</v>
      </c>
      <c r="F9391" s="215" t="n">
        <v>45349</v>
      </c>
    </row>
    <row r="9392">
      <c r="A9392" s="215" t="n">
        <v>45350</v>
      </c>
      <c r="B9392" s="216" t="n">
        <v>76.75</v>
      </c>
      <c r="C9392" s="216" t="n">
        <v>85.23</v>
      </c>
      <c r="D9392" s="216" t="n">
        <v>1.107692956924438</v>
      </c>
      <c r="E9392" s="215" t="n">
        <v>45350</v>
      </c>
      <c r="F9392" s="215" t="n">
        <v>45350</v>
      </c>
    </row>
    <row r="9393">
      <c r="A9393" s="215" t="n">
        <v>45351</v>
      </c>
      <c r="B9393" s="216" t="n">
        <v>76.90000000000001</v>
      </c>
      <c r="C9393" s="216" t="n">
        <v>87.09999999999999</v>
      </c>
      <c r="D9393" s="216" t="n">
        <v>1.107548952102661</v>
      </c>
      <c r="E9393" s="215" t="n">
        <v>45351</v>
      </c>
      <c r="F9393" s="215" t="n">
        <v>45351</v>
      </c>
    </row>
    <row r="9394">
      <c r="A9394" s="215" t="n">
        <v>45352</v>
      </c>
      <c r="B9394" s="216" t="n">
        <v>77.3</v>
      </c>
      <c r="C9394" s="216" t="n">
        <v>86.65000000000001</v>
      </c>
      <c r="D9394" s="216" t="n">
        <v>1.104398965835571</v>
      </c>
      <c r="E9394" s="215" t="n">
        <v>45352</v>
      </c>
      <c r="F9394" s="215" t="n">
        <v>45352</v>
      </c>
    </row>
    <row r="9395">
      <c r="A9395" s="215" t="n">
        <v>45355</v>
      </c>
      <c r="B9395" s="216" t="n">
        <v>75</v>
      </c>
      <c r="C9395" s="216" t="n">
        <v>85.13</v>
      </c>
      <c r="D9395" s="216" t="n">
        <v>1.108315944671631</v>
      </c>
      <c r="E9395" s="215" t="n">
        <v>45355</v>
      </c>
      <c r="F9395" s="215" t="n">
        <v>45355</v>
      </c>
    </row>
    <row r="9396">
      <c r="A9396" s="215" t="n">
        <v>45356</v>
      </c>
      <c r="B9396" s="216" t="n">
        <v>73</v>
      </c>
      <c r="C9396" s="216" t="n">
        <v>85</v>
      </c>
      <c r="D9396" s="216" t="n">
        <v>1.109019041061401</v>
      </c>
      <c r="E9396" s="215" t="n">
        <v>45356</v>
      </c>
      <c r="F9396" s="215" t="n">
        <v>45356</v>
      </c>
    </row>
    <row r="9397">
      <c r="A9397" s="215" t="n">
        <v>45357</v>
      </c>
      <c r="B9397" s="216" t="n">
        <v>74.55</v>
      </c>
      <c r="C9397" s="216" t="n">
        <v>84.84999999999999</v>
      </c>
      <c r="D9397" s="216" t="n">
        <v>1.10906994342804</v>
      </c>
      <c r="E9397" s="215" t="n">
        <v>45357</v>
      </c>
      <c r="F9397" s="215" t="n">
        <v>45357</v>
      </c>
    </row>
    <row r="9398">
      <c r="A9398" s="215" t="n">
        <v>45358</v>
      </c>
      <c r="B9398" s="216" t="n">
        <v>72.09999999999999</v>
      </c>
      <c r="C9398" s="216" t="n">
        <v>82.3</v>
      </c>
      <c r="D9398" s="216" t="n">
        <v>1.113453984260559</v>
      </c>
      <c r="E9398" s="215" t="n">
        <v>45358</v>
      </c>
      <c r="F9398" s="215" t="n">
        <v>45358</v>
      </c>
    </row>
    <row r="9399">
      <c r="A9399" s="215" t="n">
        <v>45359</v>
      </c>
      <c r="B9399" s="216" t="n">
        <v>71.15000000000001</v>
      </c>
      <c r="C9399" s="216" t="n">
        <v>81.37</v>
      </c>
      <c r="D9399" s="216" t="n">
        <v>1.118204951286316</v>
      </c>
      <c r="E9399" s="215" t="n">
        <v>45359</v>
      </c>
      <c r="F9399" s="215" t="n">
        <v>45359</v>
      </c>
    </row>
    <row r="9400">
      <c r="A9400" s="215" t="n">
        <v>45362</v>
      </c>
      <c r="B9400" s="216" t="n">
        <v>73.90000000000001</v>
      </c>
      <c r="C9400" s="216" t="n">
        <v>84.89</v>
      </c>
      <c r="D9400" s="216" t="n">
        <v>1.117454051971436</v>
      </c>
      <c r="E9400" s="215" t="n">
        <v>45362</v>
      </c>
      <c r="F9400" s="215" t="n">
        <v>45362</v>
      </c>
    </row>
    <row r="9401">
      <c r="A9401" s="215" t="n">
        <v>45363</v>
      </c>
      <c r="B9401" s="216" t="n">
        <v>77.25</v>
      </c>
      <c r="C9401" s="216" t="n">
        <v>87.62</v>
      </c>
      <c r="D9401" s="216" t="n">
        <v>1.116387009620667</v>
      </c>
      <c r="E9401" s="215" t="n">
        <v>45363</v>
      </c>
      <c r="F9401" s="215" t="n">
        <v>45363</v>
      </c>
    </row>
    <row r="9402">
      <c r="A9402" s="215" t="n">
        <v>45364</v>
      </c>
      <c r="B9402" s="216" t="n">
        <v>79.40000000000001</v>
      </c>
      <c r="C9402" s="216" t="n">
        <v>87.34</v>
      </c>
      <c r="D9402" s="216" t="n">
        <v>1.116310954093933</v>
      </c>
      <c r="E9402" s="215" t="n">
        <v>45364</v>
      </c>
      <c r="F9402" s="215" t="n">
        <v>45364</v>
      </c>
    </row>
    <row r="9403">
      <c r="A9403" s="215" t="n">
        <v>45365</v>
      </c>
      <c r="B9403" s="216" t="n">
        <v>78.84999999999999</v>
      </c>
      <c r="C9403" s="216" t="n">
        <v>88.05</v>
      </c>
      <c r="D9403" s="216" t="n">
        <v>1.118636012077332</v>
      </c>
      <c r="E9403" s="215" t="n">
        <v>45365</v>
      </c>
      <c r="F9403" s="215" t="n">
        <v>45365</v>
      </c>
    </row>
    <row r="9404">
      <c r="A9404" s="215" t="n">
        <v>45366</v>
      </c>
      <c r="B9404" s="216" t="n">
        <v>80.59999999999999</v>
      </c>
      <c r="C9404" s="216" t="n">
        <v>89.34999999999999</v>
      </c>
      <c r="D9404" s="216" t="n">
        <v>1.111673951148987</v>
      </c>
      <c r="E9404" s="215" t="n">
        <v>45366</v>
      </c>
      <c r="F9404" s="215" t="n">
        <v>45366</v>
      </c>
    </row>
    <row r="9405">
      <c r="A9405" s="215" t="n">
        <v>45369</v>
      </c>
      <c r="B9405" s="216" t="n">
        <v>81.5</v>
      </c>
      <c r="C9405" s="216" t="n">
        <v>89.68000000000001</v>
      </c>
      <c r="D9405" s="216" t="n">
        <v>1.111489057540894</v>
      </c>
      <c r="E9405" s="215" t="n">
        <v>45369</v>
      </c>
      <c r="F9405" s="215" t="n">
        <v>45369</v>
      </c>
    </row>
    <row r="9406">
      <c r="A9406" s="215" t="n">
        <v>45370</v>
      </c>
      <c r="B9406" s="216" t="n">
        <v>78.40000000000001</v>
      </c>
      <c r="C9406" s="216" t="n">
        <v>87.5</v>
      </c>
      <c r="D9406" s="216" t="n">
        <v>1.110030055046082</v>
      </c>
      <c r="E9406" s="215" t="n">
        <v>45370</v>
      </c>
      <c r="F9406" s="215" t="n">
        <v>45370</v>
      </c>
    </row>
    <row r="9407">
      <c r="A9407" s="215" t="n">
        <v>45371</v>
      </c>
      <c r="B9407" s="216" t="n">
        <v>77.2</v>
      </c>
      <c r="C9407" s="216" t="n">
        <v>87.53</v>
      </c>
      <c r="D9407" s="216" t="n">
        <v>1.101261973381042</v>
      </c>
      <c r="E9407" s="215" t="n">
        <v>45371</v>
      </c>
      <c r="F9407" s="215" t="n">
        <v>45371</v>
      </c>
    </row>
    <row r="9408">
      <c r="A9408" s="215" t="n">
        <v>45372</v>
      </c>
      <c r="B9408" s="216" t="n">
        <v>77.55</v>
      </c>
      <c r="C9408" s="216" t="n">
        <v>86.55</v>
      </c>
      <c r="D9408" s="216" t="n">
        <v>1.101251006126404</v>
      </c>
      <c r="E9408" s="215" t="n">
        <v>45372</v>
      </c>
      <c r="F9408" s="215" t="n">
        <v>45372</v>
      </c>
    </row>
    <row r="9409">
      <c r="A9409" s="215" t="n">
        <v>45373</v>
      </c>
      <c r="B9409" s="216" t="n">
        <v>75.05</v>
      </c>
      <c r="C9409" s="216" t="n">
        <v>84.31</v>
      </c>
      <c r="D9409" s="216" t="n">
        <v>1.100389957427979</v>
      </c>
      <c r="E9409" s="215" t="n">
        <v>45373</v>
      </c>
      <c r="F9409" s="215" t="n">
        <v>45373</v>
      </c>
    </row>
    <row r="9410">
      <c r="A9410" s="215" t="n">
        <v>45376</v>
      </c>
      <c r="B9410" s="216" t="n">
        <v>76.05</v>
      </c>
      <c r="C9410" s="216" t="n">
        <v>84.81</v>
      </c>
      <c r="D9410" s="216" t="n">
        <v>1.093554973602295</v>
      </c>
      <c r="E9410" s="215" t="n">
        <v>45376</v>
      </c>
      <c r="F9410" s="215" t="n">
        <v>45376</v>
      </c>
    </row>
    <row r="9411">
      <c r="A9411" s="215" t="n">
        <v>45377</v>
      </c>
      <c r="B9411" s="216" t="n">
        <v>75.8</v>
      </c>
      <c r="C9411" s="216" t="n">
        <v>85.06</v>
      </c>
      <c r="D9411" s="216" t="n">
        <v>1.097866058349609</v>
      </c>
      <c r="E9411" s="215" t="n">
        <v>45377</v>
      </c>
      <c r="F9411" s="215" t="n">
        <v>45377</v>
      </c>
    </row>
    <row r="9412">
      <c r="A9412" s="215" t="n">
        <v>45378</v>
      </c>
      <c r="B9412" s="216" t="n">
        <v>72.7</v>
      </c>
      <c r="C9412" s="216" t="n">
        <v>83.18000000000001</v>
      </c>
      <c r="D9412" s="216" t="n">
        <v>1.099439024925232</v>
      </c>
      <c r="E9412" s="215" t="n">
        <v>45378</v>
      </c>
      <c r="F9412" s="215" t="n">
        <v>45378</v>
      </c>
    </row>
    <row r="9413">
      <c r="A9413" s="215" t="n">
        <v>45379</v>
      </c>
      <c r="B9413" s="216" t="n">
        <v>78</v>
      </c>
      <c r="C9413" s="216" t="n">
        <v>86.18000000000001</v>
      </c>
      <c r="D9413" s="216" t="n">
        <v>1.099169969558716</v>
      </c>
      <c r="E9413" s="215" t="n">
        <v>45379</v>
      </c>
      <c r="F9413" s="215" t="n">
        <v>45379</v>
      </c>
    </row>
    <row r="9414">
      <c r="A9414" s="215" t="n">
        <v>45384</v>
      </c>
      <c r="B9414" s="216" t="n">
        <v>77.75</v>
      </c>
      <c r="C9414" s="216" t="n">
        <v>85.69</v>
      </c>
      <c r="D9414" s="216" t="n">
        <v>1.095656037330627</v>
      </c>
      <c r="E9414" s="215" t="n">
        <v>45384</v>
      </c>
      <c r="F9414" s="215" t="n">
        <v>45384</v>
      </c>
    </row>
    <row r="9415">
      <c r="A9415" s="215" t="n">
        <v>45385</v>
      </c>
      <c r="B9415" s="216" t="n">
        <v>77.45</v>
      </c>
      <c r="C9415" s="216" t="n">
        <v>84.5</v>
      </c>
      <c r="D9415" s="216" t="n">
        <v>1.103147983551025</v>
      </c>
      <c r="E9415" s="215" t="n">
        <v>45385</v>
      </c>
      <c r="F9415" s="215" t="n">
        <v>45385</v>
      </c>
    </row>
    <row r="9416">
      <c r="A9416" s="215" t="n">
        <v>45387</v>
      </c>
      <c r="B9416" s="216" t="n">
        <v>75.90000000000001</v>
      </c>
      <c r="C9416" s="216" t="n">
        <v>84.5</v>
      </c>
      <c r="D9416" s="216" t="n">
        <v>1.102897047996521</v>
      </c>
      <c r="E9416" s="215" t="n">
        <v>45385</v>
      </c>
      <c r="F9416" s="215" t="n">
        <v>45387</v>
      </c>
    </row>
    <row r="9417">
      <c r="A9417" s="215" t="n">
        <v>45390</v>
      </c>
      <c r="B9417" s="216" t="n">
        <v>74.40000000000001</v>
      </c>
      <c r="C9417" s="216" t="n">
        <v>81.87</v>
      </c>
      <c r="D9417" s="216" t="n">
        <v>1.103929996490479</v>
      </c>
      <c r="E9417" s="215" t="n">
        <v>45390</v>
      </c>
      <c r="F9417" s="215" t="n">
        <v>45390</v>
      </c>
    </row>
    <row r="9418">
      <c r="A9418" s="215" t="n">
        <v>45391</v>
      </c>
      <c r="B9418" s="216" t="n">
        <v>74.90000000000001</v>
      </c>
      <c r="C9418" s="216" t="n">
        <v>82.01000000000001</v>
      </c>
      <c r="D9418" s="216" t="n">
        <v>1.104424953460693</v>
      </c>
      <c r="E9418" s="215" t="n">
        <v>45391</v>
      </c>
      <c r="F9418" s="215" t="n">
        <v>45391</v>
      </c>
    </row>
    <row r="9419">
      <c r="A9419" s="215" t="n">
        <v>45392</v>
      </c>
      <c r="B9419" s="216" t="n">
        <v>72.5</v>
      </c>
      <c r="C9419" s="216" t="n">
        <v>79.03</v>
      </c>
      <c r="D9419" s="216" t="n">
        <v>1.10468602180481</v>
      </c>
      <c r="E9419" s="215" t="n">
        <v>45392</v>
      </c>
      <c r="F9419" s="215" t="n">
        <v>45392</v>
      </c>
    </row>
    <row r="9420">
      <c r="A9420" s="215" t="n">
        <v>45393</v>
      </c>
      <c r="B9420" s="216" t="n">
        <v>71.65000000000001</v>
      </c>
      <c r="C9420" s="216" t="n">
        <v>78.23999999999999</v>
      </c>
      <c r="D9420" s="216" t="n">
        <v>1.102126002311707</v>
      </c>
      <c r="E9420" s="215" t="n">
        <v>45393</v>
      </c>
      <c r="F9420" s="215" t="n">
        <v>45393</v>
      </c>
    </row>
    <row r="9421">
      <c r="A9421" s="215" t="n">
        <v>45394</v>
      </c>
      <c r="B9421" s="216" t="n">
        <v>68.2</v>
      </c>
      <c r="C9421" s="216" t="n">
        <v>75.98</v>
      </c>
      <c r="D9421" s="216" t="n">
        <v>1.104213953018188</v>
      </c>
      <c r="E9421" s="215" t="n">
        <v>45394</v>
      </c>
      <c r="F9421" s="215" t="n">
        <v>45394</v>
      </c>
    </row>
    <row r="9422">
      <c r="A9422" s="215" t="n">
        <v>45397</v>
      </c>
      <c r="B9422" s="216" t="n">
        <v>68.05</v>
      </c>
      <c r="C9422" s="216" t="n">
        <v>77.33</v>
      </c>
      <c r="D9422" s="216" t="n">
        <v>1.102975010871887</v>
      </c>
      <c r="E9422" s="215" t="n">
        <v>45397</v>
      </c>
      <c r="F9422" s="215" t="n">
        <v>45397</v>
      </c>
    </row>
    <row r="9423">
      <c r="A9423" s="215" t="n">
        <v>45398</v>
      </c>
      <c r="B9423" s="216" t="n">
        <v>65.5</v>
      </c>
      <c r="C9423" s="216" t="n">
        <v>75.84999999999999</v>
      </c>
      <c r="D9423" s="216" t="n">
        <v>1.102668046951294</v>
      </c>
      <c r="E9423" s="215" t="n">
        <v>45398</v>
      </c>
      <c r="F9423" s="215" t="n">
        <v>45398</v>
      </c>
    </row>
    <row r="9424">
      <c r="A9424" s="215" t="n">
        <v>45399</v>
      </c>
      <c r="B9424" s="216" t="n">
        <v>66.2</v>
      </c>
      <c r="C9424" s="216" t="n">
        <v>77.17</v>
      </c>
      <c r="D9424" s="216" t="n">
        <v>1.101709961891174</v>
      </c>
      <c r="E9424" s="215" t="n">
        <v>45399</v>
      </c>
      <c r="F9424" s="215" t="n">
        <v>45399</v>
      </c>
    </row>
    <row r="9425">
      <c r="A9425" s="215" t="n">
        <v>45400</v>
      </c>
      <c r="B9425" s="216" t="n">
        <v>66.45</v>
      </c>
      <c r="C9425" s="216" t="n">
        <v>76.41</v>
      </c>
      <c r="D9425" s="216" t="n">
        <v>1.104182004928589</v>
      </c>
      <c r="E9425" s="215" t="n">
        <v>45400</v>
      </c>
      <c r="F9425" s="215" t="n">
        <v>45400</v>
      </c>
    </row>
    <row r="9426">
      <c r="A9426" s="215" t="n">
        <v>45401</v>
      </c>
      <c r="B9426" s="216" t="n">
        <v>63.25</v>
      </c>
      <c r="C9426" s="216" t="n">
        <v>72.34999999999999</v>
      </c>
      <c r="D9426" s="216" t="n">
        <v>1.103330016136169</v>
      </c>
      <c r="E9426" s="215" t="n">
        <v>45401</v>
      </c>
      <c r="F9426" s="215" t="n">
        <v>45401</v>
      </c>
    </row>
    <row r="9427">
      <c r="A9427" s="215" t="n">
        <v>45404</v>
      </c>
      <c r="B9427" s="216" t="n">
        <v>64.09999999999999</v>
      </c>
      <c r="C9427" s="216" t="n">
        <v>72.54000000000001</v>
      </c>
      <c r="D9427" s="216" t="n">
        <v>1.104303956031799</v>
      </c>
      <c r="E9427" s="215" t="n">
        <v>45404</v>
      </c>
      <c r="F9427" s="215" t="n">
        <v>45404</v>
      </c>
    </row>
    <row r="9428">
      <c r="A9428" s="215" t="n">
        <v>45405</v>
      </c>
      <c r="B9428" s="216" t="n">
        <v>64.59999999999999</v>
      </c>
      <c r="C9428" s="216" t="n">
        <v>71.72</v>
      </c>
      <c r="D9428" s="216" t="n">
        <v>1.103582978248596</v>
      </c>
      <c r="E9428" s="215" t="n">
        <v>45405</v>
      </c>
      <c r="F9428" s="215" t="n">
        <v>45405</v>
      </c>
    </row>
    <row r="9429">
      <c r="A9429" s="215" t="n">
        <v>45406</v>
      </c>
      <c r="B9429" s="216" t="n">
        <v>66.34999999999999</v>
      </c>
      <c r="C9429" s="216" t="n">
        <v>72.29000000000001</v>
      </c>
      <c r="D9429" s="216" t="n">
        <v>1.103708982467651</v>
      </c>
      <c r="E9429" s="215" t="n">
        <v>45406</v>
      </c>
      <c r="F9429" s="215" t="n">
        <v>45406</v>
      </c>
    </row>
    <row r="9430">
      <c r="A9430" s="215" t="n">
        <v>45407</v>
      </c>
      <c r="B9430" s="216" t="n">
        <v>67.40000000000001</v>
      </c>
      <c r="C9430" s="216" t="n">
        <v>71.93000000000001</v>
      </c>
      <c r="D9430" s="216" t="n">
        <v>1.101104021072388</v>
      </c>
      <c r="E9430" s="215" t="n">
        <v>45407</v>
      </c>
      <c r="F9430" s="215" t="n">
        <v>45407</v>
      </c>
    </row>
    <row r="9431">
      <c r="A9431" s="215" t="n">
        <v>45408</v>
      </c>
      <c r="B9431" s="216" t="n">
        <v>69</v>
      </c>
      <c r="C9431" s="216" t="n">
        <v>74.26000000000001</v>
      </c>
      <c r="D9431" s="216" t="n">
        <v>1.103947043418884</v>
      </c>
      <c r="E9431" s="215" t="n">
        <v>45408</v>
      </c>
      <c r="F9431" s="215" t="n">
        <v>45408</v>
      </c>
    </row>
    <row r="9432">
      <c r="A9432" s="215" t="n">
        <v>45411</v>
      </c>
      <c r="B9432" s="216" t="n">
        <v>70.2</v>
      </c>
      <c r="C9432" s="216" t="n">
        <v>76.42</v>
      </c>
      <c r="D9432" s="216" t="n">
        <v>1.10208797454834</v>
      </c>
      <c r="E9432" s="215" t="n">
        <v>45411</v>
      </c>
      <c r="F9432" s="215" t="n">
        <v>45411</v>
      </c>
    </row>
    <row r="9433">
      <c r="A9433" s="215" t="n">
        <v>45412</v>
      </c>
      <c r="B9433" s="216" t="n">
        <v>69.55</v>
      </c>
      <c r="C9433" s="216" t="n">
        <v>74.90000000000001</v>
      </c>
      <c r="D9433" s="216" t="n">
        <v>1.103922009468079</v>
      </c>
      <c r="E9433" s="215" t="n">
        <v>45412</v>
      </c>
      <c r="F9433" s="215" t="n">
        <v>45412</v>
      </c>
    </row>
    <row r="9434">
      <c r="A9434" s="215" t="n">
        <v>45414</v>
      </c>
      <c r="B9434" s="216" t="n">
        <v>71.7</v>
      </c>
      <c r="C9434" s="216" t="n">
        <v>74.90000000000001</v>
      </c>
      <c r="D9434" s="216" t="n">
        <v>1.108636021614075</v>
      </c>
      <c r="E9434" s="215" t="n">
        <v>45412</v>
      </c>
      <c r="F9434" s="215" t="n">
        <v>45414</v>
      </c>
    </row>
    <row r="9435">
      <c r="A9435" s="215" t="n">
        <v>45415</v>
      </c>
      <c r="B9435" s="216" t="n">
        <v>69</v>
      </c>
      <c r="C9435" s="216" t="n">
        <v>74.90000000000001</v>
      </c>
      <c r="D9435" s="216" t="n">
        <v>1.106081008911133</v>
      </c>
      <c r="E9435" s="215" t="n">
        <v>45412</v>
      </c>
      <c r="F9435" s="215" t="n">
        <v>45415</v>
      </c>
    </row>
    <row r="9436">
      <c r="A9436" s="215" t="n">
        <v>45418</v>
      </c>
      <c r="B9436" s="216" t="n">
        <v>69.25</v>
      </c>
      <c r="C9436" s="216" t="n">
        <v>76.26000000000001</v>
      </c>
      <c r="D9436" s="216" t="n">
        <v>1.106592059135437</v>
      </c>
      <c r="E9436" s="215" t="n">
        <v>45418</v>
      </c>
      <c r="F9436" s="215" t="n">
        <v>45418</v>
      </c>
    </row>
    <row r="9437">
      <c r="A9437" s="215" t="n">
        <v>45419</v>
      </c>
      <c r="B9437" s="216" t="n">
        <v>68.15000000000001</v>
      </c>
      <c r="C9437" s="216" t="n">
        <v>75.72</v>
      </c>
      <c r="D9437" s="216" t="n">
        <v>1.104128956794739</v>
      </c>
      <c r="E9437" s="215" t="n">
        <v>45419</v>
      </c>
      <c r="F9437" s="215" t="n">
        <v>45419</v>
      </c>
    </row>
    <row r="9438">
      <c r="A9438" s="215" t="n">
        <v>45420</v>
      </c>
      <c r="B9438" s="216" t="n">
        <v>64.75</v>
      </c>
      <c r="C9438" s="216" t="n">
        <v>73.36</v>
      </c>
      <c r="D9438" s="216" t="n">
        <v>1.10300600528717</v>
      </c>
      <c r="E9438" s="215" t="n">
        <v>45420</v>
      </c>
      <c r="F9438" s="215" t="n">
        <v>45420</v>
      </c>
    </row>
    <row r="9439">
      <c r="A9439" s="215" t="n">
        <v>45421</v>
      </c>
      <c r="B9439" s="216" t="n">
        <v>66.59999999999999</v>
      </c>
      <c r="C9439" s="216" t="n">
        <v>74.38</v>
      </c>
      <c r="D9439" s="216" t="n">
        <v>1.103181958198547</v>
      </c>
      <c r="E9439" s="215" t="n">
        <v>45421</v>
      </c>
      <c r="F9439" s="215" t="n">
        <v>45421</v>
      </c>
    </row>
    <row r="9440">
      <c r="A9440" s="215" t="n">
        <v>45422</v>
      </c>
      <c r="B9440" s="216" t="n">
        <v>69</v>
      </c>
      <c r="C9440" s="216" t="n">
        <v>74.03</v>
      </c>
      <c r="D9440" s="216" t="n">
        <v>1.104058980941772</v>
      </c>
      <c r="E9440" s="215" t="n">
        <v>45422</v>
      </c>
      <c r="F9440" s="215" t="n">
        <v>45422</v>
      </c>
    </row>
    <row r="9441">
      <c r="A9441" s="215" t="n">
        <v>45425</v>
      </c>
      <c r="B9441" s="216" t="n">
        <v>68.15000000000001</v>
      </c>
      <c r="C9441" s="216" t="n">
        <v>73.47</v>
      </c>
      <c r="D9441" s="216" t="n">
        <v>1.10149097442627</v>
      </c>
      <c r="E9441" s="215" t="n">
        <v>45425</v>
      </c>
      <c r="F9441" s="215" t="n">
        <v>45425</v>
      </c>
    </row>
    <row r="9442">
      <c r="A9442" s="215" t="n">
        <v>45426</v>
      </c>
      <c r="B9442" s="216" t="n">
        <v>68.3</v>
      </c>
      <c r="C9442" s="216" t="n">
        <v>73.68000000000001</v>
      </c>
      <c r="D9442" s="216" t="n">
        <v>1.101179957389832</v>
      </c>
      <c r="E9442" s="215" t="n">
        <v>45426</v>
      </c>
      <c r="F9442" s="215" t="n">
        <v>45426</v>
      </c>
    </row>
    <row r="9443">
      <c r="A9443" s="215" t="n">
        <v>45428</v>
      </c>
      <c r="B9443" s="216" t="n">
        <v>70.8</v>
      </c>
      <c r="C9443" s="216" t="n">
        <v>73.79000000000001</v>
      </c>
      <c r="D9443" s="216" t="n">
        <v>1.104424953460693</v>
      </c>
      <c r="E9443" s="215" t="n">
        <v>45428</v>
      </c>
      <c r="F9443" s="215" t="n">
        <v>45428</v>
      </c>
    </row>
    <row r="9444">
      <c r="A9444" s="215" t="n">
        <v>45429</v>
      </c>
      <c r="B9444" s="216" t="n">
        <v>74.59999999999999</v>
      </c>
      <c r="C9444" s="216" t="n">
        <v>76.48999999999999</v>
      </c>
      <c r="D9444" s="216" t="n">
        <v>1.100981950759888</v>
      </c>
      <c r="E9444" s="215" t="n">
        <v>45429</v>
      </c>
      <c r="F9444" s="215" t="n">
        <v>45429</v>
      </c>
    </row>
    <row r="9445">
      <c r="A9445" s="215" t="n">
        <v>45432</v>
      </c>
      <c r="B9445" s="216" t="n">
        <v>76</v>
      </c>
      <c r="C9445" s="216" t="n">
        <v>78.22</v>
      </c>
      <c r="D9445" s="216" t="n">
        <v>1.103283047676086</v>
      </c>
      <c r="E9445" s="215" t="n">
        <v>45432</v>
      </c>
      <c r="F9445" s="215" t="n">
        <v>45432</v>
      </c>
    </row>
    <row r="9446">
      <c r="A9446" s="215" t="n">
        <v>45433</v>
      </c>
      <c r="B9446" s="216" t="n">
        <v>73.3</v>
      </c>
      <c r="C9446" s="216" t="n">
        <v>77.41</v>
      </c>
      <c r="D9446" s="216" t="n">
        <v>1.099310994148254</v>
      </c>
      <c r="E9446" s="215" t="n">
        <v>45433</v>
      </c>
      <c r="F9446" s="215" t="n">
        <v>45433</v>
      </c>
    </row>
    <row r="9447">
      <c r="A9447" s="215" t="n">
        <v>45434</v>
      </c>
      <c r="B9447" s="216" t="n">
        <v>74</v>
      </c>
      <c r="C9447" s="216" t="n">
        <v>78.01000000000001</v>
      </c>
      <c r="D9447" s="216" t="n">
        <v>1.099982023239136</v>
      </c>
      <c r="E9447" s="215" t="n">
        <v>45434</v>
      </c>
      <c r="F9447" s="215" t="n">
        <v>45434</v>
      </c>
    </row>
    <row r="9448">
      <c r="A9448" s="215" t="n">
        <v>45435</v>
      </c>
      <c r="B9448" s="216" t="n">
        <v>70.75</v>
      </c>
      <c r="C9448" s="216" t="n">
        <v>75.81</v>
      </c>
      <c r="D9448" s="216" t="n">
        <v>1.09967303276062</v>
      </c>
      <c r="E9448" s="215" t="n">
        <v>45435</v>
      </c>
      <c r="F9448" s="215" t="n">
        <v>45435</v>
      </c>
    </row>
    <row r="9449">
      <c r="A9449" s="215" t="n">
        <v>45436</v>
      </c>
      <c r="B9449" s="216" t="n">
        <v>68.75</v>
      </c>
      <c r="C9449" s="216" t="n">
        <v>73.66</v>
      </c>
      <c r="D9449" s="216" t="n">
        <v>1.09811794757843</v>
      </c>
      <c r="E9449" s="215" t="n">
        <v>45436</v>
      </c>
      <c r="F9449" s="215" t="n">
        <v>45436</v>
      </c>
    </row>
    <row r="9450">
      <c r="A9450" s="215" t="n">
        <v>45439</v>
      </c>
      <c r="B9450" s="216" t="n">
        <v>68.40000000000001</v>
      </c>
      <c r="C9450" s="216" t="n">
        <v>73.41</v>
      </c>
      <c r="D9450" s="216" t="n">
        <v>1.100759029388428</v>
      </c>
      <c r="E9450" s="215" t="n">
        <v>45439</v>
      </c>
      <c r="F9450" s="215" t="n">
        <v>45439</v>
      </c>
    </row>
    <row r="9451">
      <c r="A9451" s="215" t="n">
        <v>45440</v>
      </c>
      <c r="B9451" s="216" t="n">
        <v>68.45</v>
      </c>
      <c r="C9451" s="216" t="n">
        <v>72.48</v>
      </c>
      <c r="D9451" s="216" t="n">
        <v>1.101151943206787</v>
      </c>
      <c r="E9451" s="215" t="n">
        <v>45440</v>
      </c>
      <c r="F9451" s="215" t="n">
        <v>45440</v>
      </c>
    </row>
    <row r="9452">
      <c r="A9452" s="215" t="n">
        <v>45441</v>
      </c>
      <c r="B9452" s="216" t="n">
        <v>67.45</v>
      </c>
      <c r="C9452" s="216" t="n">
        <v>72.75</v>
      </c>
      <c r="D9452" s="216" t="n">
        <v>1.101042032241821</v>
      </c>
      <c r="E9452" s="215" t="n">
        <v>45441</v>
      </c>
      <c r="F9452" s="215" t="n">
        <v>45441</v>
      </c>
    </row>
    <row r="9453">
      <c r="A9453" s="215" t="n">
        <v>45442</v>
      </c>
      <c r="B9453" s="216" t="n">
        <v>63.95</v>
      </c>
      <c r="C9453" s="216" t="n">
        <v>71.39</v>
      </c>
      <c r="D9453" s="216" t="n">
        <v>1.096346020698547</v>
      </c>
      <c r="E9453" s="215" t="n">
        <v>45442</v>
      </c>
      <c r="F9453" s="215" t="n">
        <v>45442</v>
      </c>
    </row>
    <row r="9454">
      <c r="A9454" s="215" t="n">
        <v>45443</v>
      </c>
      <c r="B9454" s="216" t="n">
        <v>62.35</v>
      </c>
      <c r="C9454" s="216" t="n">
        <v>71</v>
      </c>
      <c r="D9454" s="216" t="n">
        <v>1.099722981452942</v>
      </c>
      <c r="E9454" s="215" t="n">
        <v>45443</v>
      </c>
      <c r="F9454" s="215" t="n">
        <v>45443</v>
      </c>
    </row>
    <row r="9455">
      <c r="A9455" s="215" t="n">
        <v>45446</v>
      </c>
      <c r="B9455" s="216" t="n">
        <v>61.35</v>
      </c>
      <c r="C9455" s="216" t="n">
        <v>70.47</v>
      </c>
      <c r="D9455" s="216" t="n">
        <v>1.102306008338928</v>
      </c>
      <c r="E9455" s="215" t="n">
        <v>45446</v>
      </c>
      <c r="F9455" s="215" t="n">
        <v>45446</v>
      </c>
    </row>
    <row r="9456">
      <c r="A9456" s="215" t="n">
        <v>45447</v>
      </c>
      <c r="B9456" s="216" t="n">
        <v>65.09999999999999</v>
      </c>
      <c r="C9456" s="216" t="n">
        <v>73.41</v>
      </c>
      <c r="D9456" s="216" t="n">
        <v>1.107933044433594</v>
      </c>
      <c r="E9456" s="215" t="n">
        <v>45447</v>
      </c>
      <c r="F9456" s="215" t="n">
        <v>45447</v>
      </c>
    </row>
    <row r="9457">
      <c r="A9457" s="215" t="n">
        <v>45448</v>
      </c>
      <c r="B9457" s="216" t="n">
        <v>64.5</v>
      </c>
      <c r="C9457" s="216" t="n">
        <v>73.34</v>
      </c>
      <c r="D9457" s="216" t="n">
        <v>1.104397058486938</v>
      </c>
      <c r="E9457" s="215" t="n">
        <v>45448</v>
      </c>
      <c r="F9457" s="215" t="n">
        <v>45448</v>
      </c>
    </row>
    <row r="9458">
      <c r="A9458" s="215" t="n">
        <v>45449</v>
      </c>
      <c r="B9458" s="216" t="n">
        <v>63.1</v>
      </c>
      <c r="C9458" s="216" t="n">
        <v>72.41</v>
      </c>
      <c r="D9458" s="216" t="n">
        <v>1.099522948265076</v>
      </c>
      <c r="E9458" s="215" t="n">
        <v>45449</v>
      </c>
      <c r="F9458" s="215" t="n">
        <v>45449</v>
      </c>
    </row>
    <row r="9459">
      <c r="A9459" s="215" t="n">
        <v>45450</v>
      </c>
      <c r="B9459" s="216" t="n">
        <v>63.1</v>
      </c>
      <c r="C9459" s="216" t="n">
        <v>72.59999999999999</v>
      </c>
      <c r="D9459" s="216" t="n">
        <v>1.099043965339661</v>
      </c>
      <c r="E9459" s="215" t="n">
        <v>45450</v>
      </c>
      <c r="F9459" s="215" t="n">
        <v>45450</v>
      </c>
    </row>
    <row r="9460">
      <c r="A9460" s="215" t="n">
        <v>45454</v>
      </c>
      <c r="B9460" s="216" t="n">
        <v>60.15</v>
      </c>
      <c r="C9460" s="216" t="n">
        <v>71.05</v>
      </c>
      <c r="D9460" s="216" t="n">
        <v>1.098870992660522</v>
      </c>
      <c r="E9460" s="215" t="n">
        <v>45454</v>
      </c>
      <c r="F9460" s="215" t="n">
        <v>45454</v>
      </c>
    </row>
    <row r="9461">
      <c r="A9461" s="215" t="n">
        <v>45455</v>
      </c>
      <c r="B9461" s="216" t="n">
        <v>59.4</v>
      </c>
      <c r="C9461" s="216" t="n">
        <v>71.23</v>
      </c>
      <c r="D9461" s="216" t="n">
        <v>1.098610043525696</v>
      </c>
      <c r="E9461" s="215" t="n">
        <v>45455</v>
      </c>
      <c r="F9461" s="215" t="n">
        <v>45455</v>
      </c>
    </row>
    <row r="9462">
      <c r="A9462" s="215" t="n">
        <v>45456</v>
      </c>
      <c r="B9462" s="216" t="n">
        <v>58</v>
      </c>
      <c r="C9462" s="216" t="n">
        <v>70.8</v>
      </c>
      <c r="D9462" s="216" t="n">
        <v>1.078271985054016</v>
      </c>
      <c r="E9462" s="215" t="n">
        <v>45456</v>
      </c>
      <c r="F9462" s="215" t="n">
        <v>45456</v>
      </c>
    </row>
    <row r="9463">
      <c r="A9463" s="215" t="n">
        <v>45457</v>
      </c>
      <c r="B9463" s="216" t="n">
        <v>55.85</v>
      </c>
      <c r="C9463" s="216" t="n">
        <v>69.28</v>
      </c>
      <c r="D9463" s="216" t="n">
        <v>1.07685399055481</v>
      </c>
      <c r="E9463" s="215" t="n">
        <v>45457</v>
      </c>
      <c r="F9463" s="215" t="n">
        <v>45457</v>
      </c>
    </row>
    <row r="9464">
      <c r="A9464" s="215" t="n">
        <v>45460</v>
      </c>
      <c r="B9464" s="216" t="n">
        <v>54.75</v>
      </c>
      <c r="C9464" s="216" t="n">
        <v>68.78</v>
      </c>
      <c r="D9464" s="216" t="n">
        <v>1.09790301322937</v>
      </c>
      <c r="E9464" s="215" t="n">
        <v>45460</v>
      </c>
      <c r="F9464" s="215" t="n">
        <v>45460</v>
      </c>
    </row>
    <row r="9465">
      <c r="A9465" s="215" t="n">
        <v>45461</v>
      </c>
      <c r="B9465" s="216" t="n">
        <v>54.35</v>
      </c>
      <c r="C9465" s="216" t="n">
        <v>69.29000000000001</v>
      </c>
      <c r="D9465" s="216" t="n">
        <v>1.076823949813843</v>
      </c>
      <c r="E9465" s="215" t="n">
        <v>45461</v>
      </c>
      <c r="F9465" s="215" t="n">
        <v>45461</v>
      </c>
    </row>
    <row r="9466">
      <c r="A9466" s="215" t="n">
        <v>45462</v>
      </c>
      <c r="B9466" s="216" t="n">
        <v>53.8</v>
      </c>
      <c r="C9466" s="216" t="n">
        <v>67.51000000000001</v>
      </c>
      <c r="D9466" s="216" t="n">
        <v>1.076231002807617</v>
      </c>
      <c r="E9466" s="215" t="n">
        <v>45462</v>
      </c>
      <c r="F9466" s="215" t="n">
        <v>45462</v>
      </c>
    </row>
    <row r="9467">
      <c r="A9467" s="215" t="n">
        <v>45463</v>
      </c>
      <c r="B9467" s="216" t="n">
        <v>52.1</v>
      </c>
      <c r="C9467" s="216" t="n">
        <v>65.36</v>
      </c>
      <c r="D9467" s="216" t="n">
        <v>1.075603008270264</v>
      </c>
      <c r="E9467" s="215" t="n">
        <v>45463</v>
      </c>
      <c r="F9467" s="215" t="n">
        <v>45463</v>
      </c>
    </row>
    <row r="9468">
      <c r="A9468" s="215" t="n">
        <v>45464</v>
      </c>
      <c r="B9468" s="216" t="n">
        <v>52.3</v>
      </c>
      <c r="C9468" s="216" t="n">
        <v>64.66</v>
      </c>
      <c r="D9468" s="216" t="n">
        <v>1.07499098777771</v>
      </c>
      <c r="E9468" s="215" t="n">
        <v>45464</v>
      </c>
      <c r="F9468" s="215" t="n">
        <v>45464</v>
      </c>
    </row>
    <row r="9469">
      <c r="A9469" s="215" t="n">
        <v>45467</v>
      </c>
      <c r="B9469" s="216" t="n">
        <v>52.1</v>
      </c>
      <c r="C9469" s="216" t="n">
        <v>64.48</v>
      </c>
      <c r="D9469" s="216" t="n">
        <v>1.0746910572052</v>
      </c>
      <c r="E9469" s="215" t="n">
        <v>45467</v>
      </c>
      <c r="F9469" s="215" t="n">
        <v>45467</v>
      </c>
    </row>
    <row r="9470">
      <c r="A9470" s="215" t="n">
        <v>45468</v>
      </c>
      <c r="B9470" s="216" t="n">
        <v>50.25</v>
      </c>
      <c r="C9470" s="216" t="n">
        <v>63</v>
      </c>
      <c r="D9470" s="216" t="n">
        <v>1.075618028640747</v>
      </c>
      <c r="E9470" s="215" t="n">
        <v>45468</v>
      </c>
      <c r="F9470" s="215" t="n">
        <v>45468</v>
      </c>
    </row>
    <row r="9471">
      <c r="A9471" s="215" t="n">
        <v>45469</v>
      </c>
      <c r="B9471" s="216" t="n">
        <v>51.7</v>
      </c>
      <c r="C9471" s="216" t="n">
        <v>64.41</v>
      </c>
      <c r="D9471" s="216" t="n">
        <v>1.075075030326843</v>
      </c>
      <c r="E9471" s="215" t="n">
        <v>45469</v>
      </c>
      <c r="F9471" s="215" t="n">
        <v>45469</v>
      </c>
    </row>
    <row r="9472">
      <c r="A9472" s="215" t="n">
        <v>45470</v>
      </c>
      <c r="B9472" s="216" t="n">
        <v>49.45</v>
      </c>
      <c r="C9472" s="216" t="n">
        <v>62.95</v>
      </c>
      <c r="D9472" s="216" t="n">
        <v>1.074702024459839</v>
      </c>
      <c r="E9472" s="215" t="n">
        <v>45470</v>
      </c>
      <c r="F9472" s="215" t="n">
        <v>45470</v>
      </c>
    </row>
    <row r="9473">
      <c r="A9473" s="215" t="n">
        <v>45471</v>
      </c>
      <c r="B9473" s="216" t="n">
        <v>47.85</v>
      </c>
      <c r="C9473" s="216" t="n">
        <v>62.49</v>
      </c>
      <c r="D9473" s="216" t="n">
        <v>1.07417905330658</v>
      </c>
      <c r="E9473" s="215" t="n">
        <v>45471</v>
      </c>
      <c r="F9473" s="215" t="n">
        <v>45471</v>
      </c>
    </row>
    <row r="9474">
      <c r="A9474" s="215" t="n">
        <v>45475</v>
      </c>
      <c r="B9474" s="216" t="n">
        <v>47.95</v>
      </c>
      <c r="C9474" s="216" t="n">
        <v>61.81</v>
      </c>
      <c r="D9474" s="216" t="n">
        <v>1.074753046035767</v>
      </c>
      <c r="E9474" s="215" t="n">
        <v>45475</v>
      </c>
      <c r="F9474" s="215" t="n">
        <v>45475</v>
      </c>
    </row>
    <row r="9475">
      <c r="A9475" s="215" t="n">
        <v>45476</v>
      </c>
      <c r="B9475" s="216" t="n">
        <v>53.8</v>
      </c>
      <c r="C9475" s="216" t="n">
        <v>67.98</v>
      </c>
      <c r="D9475" s="216" t="n">
        <v>1.074602007865906</v>
      </c>
      <c r="E9475" s="215" t="n">
        <v>45476</v>
      </c>
      <c r="F9475" s="215" t="n">
        <v>45476</v>
      </c>
    </row>
    <row r="9476">
      <c r="A9476" s="215" t="n">
        <v>45477</v>
      </c>
      <c r="B9476" s="216" t="n">
        <v>52.35</v>
      </c>
      <c r="C9476" s="216" t="n">
        <v>64.75</v>
      </c>
      <c r="D9476" s="216" t="n">
        <v>1.073940992355347</v>
      </c>
      <c r="E9476" s="215" t="n">
        <v>45477</v>
      </c>
      <c r="F9476" s="215" t="n">
        <v>45477</v>
      </c>
    </row>
    <row r="9477">
      <c r="A9477" s="215" t="n">
        <v>45478</v>
      </c>
      <c r="B9477" s="216" t="n">
        <v>54.35</v>
      </c>
      <c r="C9477" s="216" t="n">
        <v>65.73</v>
      </c>
      <c r="D9477" s="216" t="n">
        <v>1.07449996471405</v>
      </c>
      <c r="E9477" s="215" t="n">
        <v>45478</v>
      </c>
      <c r="F9477" s="215" t="n">
        <v>45478</v>
      </c>
    </row>
    <row r="9478">
      <c r="A9478" s="215" t="n">
        <v>45481</v>
      </c>
      <c r="B9478" s="216" t="n">
        <v>51.8</v>
      </c>
      <c r="C9478" s="216" t="n">
        <v>63.1</v>
      </c>
      <c r="D9478" s="216" t="n">
        <v>1.074715971946716</v>
      </c>
      <c r="E9478" s="215" t="n">
        <v>45481</v>
      </c>
      <c r="F9478" s="215" t="n">
        <v>45481</v>
      </c>
    </row>
    <row r="9479">
      <c r="A9479" s="215" t="n">
        <v>45482</v>
      </c>
      <c r="B9479" s="216" t="n">
        <v>51</v>
      </c>
      <c r="C9479" s="216" t="n">
        <v>63.15</v>
      </c>
      <c r="D9479" s="216" t="n">
        <v>1.074417948722839</v>
      </c>
      <c r="E9479" s="215" t="n">
        <v>45482</v>
      </c>
      <c r="F9479" s="215" t="n">
        <v>45482</v>
      </c>
    </row>
    <row r="9480">
      <c r="A9480" s="215" t="n">
        <v>45483</v>
      </c>
      <c r="B9480" s="216" t="n">
        <v>51</v>
      </c>
      <c r="C9480" s="216" t="n">
        <v>63.35</v>
      </c>
      <c r="D9480" s="216" t="n">
        <v>1.073858976364136</v>
      </c>
      <c r="E9480" s="215" t="n">
        <v>45483</v>
      </c>
      <c r="F9480" s="215" t="n">
        <v>45483</v>
      </c>
    </row>
    <row r="9481">
      <c r="A9481" s="215" t="n">
        <v>45484</v>
      </c>
      <c r="B9481" s="216" t="n">
        <v>54.9</v>
      </c>
      <c r="C9481" s="216" t="n">
        <v>67.33</v>
      </c>
      <c r="D9481" s="216" t="n">
        <v>1.073397994041443</v>
      </c>
      <c r="E9481" s="215" t="n">
        <v>45484</v>
      </c>
      <c r="F9481" s="215" t="n">
        <v>45484</v>
      </c>
    </row>
    <row r="9482">
      <c r="A9482" s="215" t="n">
        <v>45485</v>
      </c>
      <c r="B9482" s="216" t="n">
        <v>55.15</v>
      </c>
      <c r="C9482" s="216" t="n">
        <v>67.75</v>
      </c>
      <c r="D9482" s="216" t="n">
        <v>1.07601797580719</v>
      </c>
      <c r="E9482" s="215" t="n">
        <v>45485</v>
      </c>
      <c r="F9482" s="215" t="n">
        <v>45485</v>
      </c>
    </row>
    <row r="9483">
      <c r="A9483" s="215" t="n">
        <v>45488</v>
      </c>
      <c r="B9483" s="216" t="n">
        <v>53.4</v>
      </c>
      <c r="C9483" s="216" t="n">
        <v>66.88</v>
      </c>
      <c r="D9483" s="216" t="n">
        <v>1.076483964920044</v>
      </c>
      <c r="E9483" s="215" t="n">
        <v>45488</v>
      </c>
      <c r="F9483" s="215" t="n">
        <v>45488</v>
      </c>
    </row>
    <row r="9484">
      <c r="A9484" s="215" t="n">
        <v>45489</v>
      </c>
      <c r="B9484" s="216" t="n">
        <v>54.55</v>
      </c>
      <c r="C9484" s="216" t="n">
        <v>67.47</v>
      </c>
      <c r="D9484" s="216" t="n">
        <v>1.07518994808197</v>
      </c>
      <c r="E9484" s="215" t="n">
        <v>45489</v>
      </c>
      <c r="F9484" s="215" t="n">
        <v>45489</v>
      </c>
    </row>
    <row r="9485">
      <c r="A9485" s="215" t="n">
        <v>45490</v>
      </c>
      <c r="B9485" s="216" t="n">
        <v>57</v>
      </c>
      <c r="C9485" s="216" t="n">
        <v>70.51000000000001</v>
      </c>
      <c r="D9485" s="216" t="n">
        <v>1.093601942062378</v>
      </c>
      <c r="E9485" s="215" t="n">
        <v>45490</v>
      </c>
      <c r="F9485" s="215" t="n">
        <v>45490</v>
      </c>
    </row>
    <row r="9486">
      <c r="A9486" s="215" t="n">
        <v>45491</v>
      </c>
      <c r="B9486" s="216" t="n">
        <v>55.85</v>
      </c>
      <c r="C9486" s="216" t="n">
        <v>70.17</v>
      </c>
      <c r="D9486" s="216" t="n">
        <v>1.075235962867737</v>
      </c>
      <c r="E9486" s="215" t="n">
        <v>45491</v>
      </c>
      <c r="F9486" s="215" t="n">
        <v>45491</v>
      </c>
    </row>
    <row r="9487">
      <c r="A9487" s="215" t="n">
        <v>45492</v>
      </c>
      <c r="B9487" s="216" t="n">
        <v>56.1</v>
      </c>
      <c r="C9487" s="216" t="n">
        <v>69.83</v>
      </c>
      <c r="D9487" s="216" t="n">
        <v>1.075747013092041</v>
      </c>
      <c r="E9487" s="215" t="n">
        <v>45492</v>
      </c>
      <c r="F9487" s="215" t="n">
        <v>45492</v>
      </c>
    </row>
    <row r="9488">
      <c r="A9488" s="215" t="n">
        <v>45495</v>
      </c>
      <c r="B9488" s="216" t="n">
        <v>54.9</v>
      </c>
      <c r="C9488" s="216" t="n">
        <v>68.68000000000001</v>
      </c>
      <c r="D9488" s="216" t="n">
        <v>1.074203968048096</v>
      </c>
      <c r="E9488" s="215" t="n">
        <v>45495</v>
      </c>
      <c r="F9488" s="215" t="n">
        <v>45495</v>
      </c>
    </row>
    <row r="9489">
      <c r="A9489" s="215" t="n">
        <v>45496</v>
      </c>
      <c r="B9489" s="216" t="n">
        <v>52.8</v>
      </c>
      <c r="C9489" s="216" t="n">
        <v>66.73</v>
      </c>
      <c r="D9489" s="216" t="n">
        <v>1.073030948638916</v>
      </c>
      <c r="E9489" s="215" t="n">
        <v>45496</v>
      </c>
      <c r="F9489" s="215" t="n">
        <v>45496</v>
      </c>
    </row>
    <row r="9490">
      <c r="A9490" s="215" t="n">
        <v>45497</v>
      </c>
      <c r="B9490" s="216" t="n">
        <v>52.7</v>
      </c>
      <c r="C9490" s="216" t="n">
        <v>65.19</v>
      </c>
      <c r="D9490" s="216" t="n">
        <v>1.073214054107666</v>
      </c>
      <c r="E9490" s="215" t="n">
        <v>45497</v>
      </c>
      <c r="F9490" s="215" t="n">
        <v>45497</v>
      </c>
    </row>
    <row r="9491">
      <c r="A9491" s="215" t="n">
        <v>45498</v>
      </c>
      <c r="B9491" s="216" t="n">
        <v>53.3</v>
      </c>
      <c r="C9491" s="216" t="n">
        <v>66.75</v>
      </c>
      <c r="D9491" s="216" t="n">
        <v>1.075216054916382</v>
      </c>
      <c r="E9491" s="215" t="n">
        <v>45498</v>
      </c>
      <c r="F9491" s="215" t="n">
        <v>45498</v>
      </c>
    </row>
    <row r="9492">
      <c r="A9492" s="215" t="n">
        <v>45499</v>
      </c>
      <c r="B9492" s="216" t="n">
        <v>55.05</v>
      </c>
      <c r="C9492" s="216" t="n">
        <v>67.12</v>
      </c>
      <c r="D9492" s="216" t="n">
        <v>1.079524040222168</v>
      </c>
      <c r="E9492" s="215" t="n">
        <v>45499</v>
      </c>
      <c r="F9492" s="215" t="n">
        <v>45499</v>
      </c>
    </row>
    <row r="9493">
      <c r="A9493" s="215" t="n">
        <v>45502</v>
      </c>
      <c r="B9493" s="216" t="n">
        <v>53.7</v>
      </c>
      <c r="C9493" s="216" t="n">
        <v>64.89</v>
      </c>
      <c r="D9493" s="216" t="n">
        <v>1.076396942138672</v>
      </c>
      <c r="E9493" s="215" t="n">
        <v>45502</v>
      </c>
      <c r="F9493" s="215" t="n">
        <v>45502</v>
      </c>
    </row>
    <row r="9494">
      <c r="A9494" s="215" t="n">
        <v>45503</v>
      </c>
      <c r="B9494" s="216" t="n">
        <v>52.15</v>
      </c>
      <c r="C9494" s="216" t="n">
        <v>64.94</v>
      </c>
      <c r="D9494" s="216" t="n">
        <v>1.075829982757568</v>
      </c>
      <c r="E9494" s="215" t="n">
        <v>45503</v>
      </c>
      <c r="F9494" s="215" t="n">
        <v>45503</v>
      </c>
    </row>
    <row r="9495">
      <c r="A9495" s="215" t="n">
        <v>45504</v>
      </c>
      <c r="B9495" s="216" t="n">
        <v>55.2</v>
      </c>
      <c r="C9495" s="216" t="n">
        <v>68.61</v>
      </c>
      <c r="D9495" s="216" t="n">
        <v>1.077026009559631</v>
      </c>
      <c r="E9495" s="215" t="n">
        <v>45504</v>
      </c>
      <c r="F9495" s="215" t="n">
        <v>45504</v>
      </c>
    </row>
    <row r="9496">
      <c r="A9496" s="215" t="n">
        <v>45505</v>
      </c>
      <c r="B9496" s="216" t="n">
        <v>54.1</v>
      </c>
      <c r="C9496" s="216" t="n">
        <v>67.2</v>
      </c>
      <c r="D9496" s="216" t="n">
        <v>1.082347989082336</v>
      </c>
      <c r="E9496" s="215" t="n">
        <v>45505</v>
      </c>
      <c r="F9496" s="215" t="n">
        <v>45505</v>
      </c>
    </row>
    <row r="9497">
      <c r="A9497" s="215" t="n">
        <v>45506</v>
      </c>
      <c r="B9497" s="216" t="n">
        <v>54.15</v>
      </c>
      <c r="C9497" s="216" t="n">
        <v>66.59999999999999</v>
      </c>
      <c r="D9497" s="216" t="n">
        <v>1.078637003898621</v>
      </c>
      <c r="E9497" s="215" t="n">
        <v>45506</v>
      </c>
      <c r="F9497" s="215" t="n">
        <v>45506</v>
      </c>
    </row>
    <row r="9498">
      <c r="A9498" s="215" t="n">
        <v>45509</v>
      </c>
      <c r="B9498" s="216" t="n">
        <v>52.95</v>
      </c>
      <c r="C9498" s="216" t="n">
        <v>66.43000000000001</v>
      </c>
      <c r="D9498" s="216" t="n">
        <v>1.090283036231995</v>
      </c>
      <c r="E9498" s="215" t="n">
        <v>45509</v>
      </c>
      <c r="F9498" s="215" t="n">
        <v>45509</v>
      </c>
    </row>
    <row r="9499">
      <c r="A9499" s="215" t="n">
        <v>45510</v>
      </c>
      <c r="B9499" s="216" t="n">
        <v>55.25</v>
      </c>
      <c r="C9499" s="216" t="n">
        <v>68.04000000000001</v>
      </c>
      <c r="D9499" s="216" t="n">
        <v>1.094287037849426</v>
      </c>
      <c r="E9499" s="215" t="n">
        <v>45510</v>
      </c>
      <c r="F9499" s="215" t="n">
        <v>45510</v>
      </c>
    </row>
    <row r="9500">
      <c r="A9500" s="215" t="n">
        <v>45511</v>
      </c>
      <c r="B9500" s="216" t="n">
        <v>55.45</v>
      </c>
      <c r="C9500" s="216" t="n">
        <v>66.63</v>
      </c>
      <c r="D9500" s="216" t="n">
        <v>1.089087009429932</v>
      </c>
      <c r="E9500" s="215" t="n">
        <v>45511</v>
      </c>
      <c r="F9500" s="215" t="n">
        <v>45511</v>
      </c>
    </row>
    <row r="9501">
      <c r="A9501" s="215" t="n">
        <v>45512</v>
      </c>
      <c r="B9501" s="216" t="n">
        <v>55.35</v>
      </c>
      <c r="C9501" s="216" t="n">
        <v>66.02</v>
      </c>
      <c r="D9501" s="216" t="n">
        <v>1.084957957267761</v>
      </c>
      <c r="E9501" s="215" t="n">
        <v>45512</v>
      </c>
      <c r="F9501" s="215" t="n">
        <v>45512</v>
      </c>
    </row>
    <row r="9502">
      <c r="A9502" s="215" t="n">
        <v>45513</v>
      </c>
      <c r="B9502" s="216" t="n">
        <v>54.4</v>
      </c>
      <c r="C9502" s="216" t="n">
        <v>64.83</v>
      </c>
      <c r="D9502" s="216" t="n">
        <v>1.086197972297668</v>
      </c>
      <c r="E9502" s="215" t="n">
        <v>45513</v>
      </c>
      <c r="F9502" s="215" t="n">
        <v>45513</v>
      </c>
    </row>
    <row r="9503">
      <c r="A9503" s="215" t="n">
        <v>45516</v>
      </c>
      <c r="B9503" s="216" t="n">
        <v>52</v>
      </c>
      <c r="C9503" s="216" t="n">
        <v>63.95</v>
      </c>
      <c r="D9503" s="216" t="n">
        <v>1.087875008583069</v>
      </c>
      <c r="E9503" s="215" t="n">
        <v>45516</v>
      </c>
      <c r="F9503" s="215" t="n">
        <v>45516</v>
      </c>
    </row>
    <row r="9504">
      <c r="A9504" s="215" t="n">
        <v>45517</v>
      </c>
      <c r="B9504" s="216" t="n">
        <v>52.45</v>
      </c>
      <c r="C9504" s="216" t="n">
        <v>64.17</v>
      </c>
      <c r="D9504" s="216" t="n">
        <v>1.085934996604919</v>
      </c>
      <c r="E9504" s="215" t="n">
        <v>45517</v>
      </c>
      <c r="F9504" s="215" t="n">
        <v>45517</v>
      </c>
    </row>
    <row r="9505">
      <c r="A9505" s="215" t="n">
        <v>45518</v>
      </c>
      <c r="B9505" s="216" t="n">
        <v>50.75</v>
      </c>
      <c r="C9505" s="216" t="n">
        <v>63.24</v>
      </c>
      <c r="D9505" s="216" t="n">
        <v>1.088662981987</v>
      </c>
      <c r="E9505" s="215" t="n">
        <v>45518</v>
      </c>
      <c r="F9505" s="215" t="n">
        <v>45518</v>
      </c>
    </row>
    <row r="9506">
      <c r="A9506" s="215" t="n">
        <v>45519</v>
      </c>
      <c r="B9506" s="216" t="n">
        <v>50.75</v>
      </c>
      <c r="C9506" s="216" t="n">
        <v>63.9</v>
      </c>
      <c r="D9506" s="216" t="n">
        <v>1.091369986534119</v>
      </c>
      <c r="E9506" s="215" t="n">
        <v>45519</v>
      </c>
      <c r="F9506" s="215" t="n">
        <v>45519</v>
      </c>
    </row>
    <row r="9507">
      <c r="A9507" s="215" t="n">
        <v>45520</v>
      </c>
      <c r="B9507" s="216" t="n">
        <v>50.15</v>
      </c>
      <c r="C9507" s="216" t="n">
        <v>63.49</v>
      </c>
      <c r="D9507" s="216" t="n">
        <v>1.08672297000885</v>
      </c>
      <c r="E9507" s="215" t="n">
        <v>45520</v>
      </c>
      <c r="F9507" s="215" t="n">
        <v>45520</v>
      </c>
    </row>
    <row r="9508">
      <c r="A9508" s="215" t="n">
        <v>45523</v>
      </c>
      <c r="B9508" s="216" t="n">
        <v>50.15</v>
      </c>
      <c r="C9508" s="216" t="n">
        <v>63.4</v>
      </c>
      <c r="D9508" s="216" t="n">
        <v>1.087823033332825</v>
      </c>
      <c r="E9508" s="215" t="n">
        <v>45523</v>
      </c>
      <c r="F9508" s="215" t="n">
        <v>45523</v>
      </c>
    </row>
    <row r="9509">
      <c r="A9509" s="215" t="n">
        <v>45524</v>
      </c>
      <c r="B9509" s="216" t="n">
        <v>49.45</v>
      </c>
      <c r="C9509" s="216" t="n">
        <v>62.18</v>
      </c>
      <c r="D9509" s="216" t="n">
        <v>1.08710503578186</v>
      </c>
      <c r="E9509" s="215" t="n">
        <v>45524</v>
      </c>
      <c r="F9509" s="215" t="n">
        <v>45524</v>
      </c>
    </row>
    <row r="9510">
      <c r="A9510" s="215" t="n">
        <v>45525</v>
      </c>
      <c r="B9510" s="216" t="n">
        <v>49.6</v>
      </c>
      <c r="C9510" s="216" t="n">
        <v>61.34</v>
      </c>
      <c r="D9510" s="216" t="n">
        <v>1.091691970825195</v>
      </c>
      <c r="E9510" s="215" t="n">
        <v>45525</v>
      </c>
      <c r="F9510" s="215" t="n">
        <v>45525</v>
      </c>
    </row>
    <row r="9511">
      <c r="A9511" s="215" t="n">
        <v>45526</v>
      </c>
      <c r="B9511" s="216" t="n">
        <v>49.15</v>
      </c>
      <c r="C9511" s="216" t="n">
        <v>60.27</v>
      </c>
      <c r="D9511" s="216" t="n">
        <v>1.092425942420959</v>
      </c>
      <c r="E9511" s="215" t="n">
        <v>45526</v>
      </c>
      <c r="F9511" s="215" t="n">
        <v>45526</v>
      </c>
    </row>
    <row r="9512">
      <c r="A9512" s="215" t="n">
        <v>45527</v>
      </c>
      <c r="B9512" s="216" t="n">
        <v>49</v>
      </c>
      <c r="C9512" s="216" t="n">
        <v>60.95</v>
      </c>
      <c r="D9512" s="216" t="n">
        <v>1.091052055358887</v>
      </c>
      <c r="E9512" s="215" t="n">
        <v>45527</v>
      </c>
      <c r="F9512" s="215" t="n">
        <v>45527</v>
      </c>
    </row>
    <row r="9513">
      <c r="A9513" s="215" t="n">
        <v>45530</v>
      </c>
      <c r="B9513" s="216" t="n">
        <v>49.7</v>
      </c>
      <c r="C9513" s="216" t="n">
        <v>60.8</v>
      </c>
      <c r="D9513" s="216" t="n">
        <v>1.094154953956604</v>
      </c>
      <c r="E9513" s="215" t="n">
        <v>45530</v>
      </c>
      <c r="F9513" s="215" t="n">
        <v>45530</v>
      </c>
    </row>
    <row r="9514">
      <c r="A9514" s="215" t="n">
        <v>45531</v>
      </c>
      <c r="B9514" s="216" t="n">
        <v>49</v>
      </c>
      <c r="C9514" s="216" t="n">
        <v>59.68</v>
      </c>
      <c r="D9514" s="216" t="n">
        <v>1.094954967498779</v>
      </c>
      <c r="E9514" s="215" t="n">
        <v>45531</v>
      </c>
      <c r="F9514" s="215" t="n">
        <v>45531</v>
      </c>
    </row>
    <row r="9515">
      <c r="A9515" s="215" t="n">
        <v>45532</v>
      </c>
      <c r="B9515" s="216" t="n">
        <v>48.75</v>
      </c>
      <c r="C9515" s="216" t="n">
        <v>60.41</v>
      </c>
      <c r="D9515" s="216" t="n">
        <v>1.095074057579041</v>
      </c>
      <c r="E9515" s="215" t="n">
        <v>45532</v>
      </c>
      <c r="F9515" s="215" t="n">
        <v>45532</v>
      </c>
    </row>
    <row r="9516">
      <c r="A9516" s="215" t="n">
        <v>45533</v>
      </c>
      <c r="B9516" s="216" t="n">
        <v>46.4</v>
      </c>
      <c r="C9516" s="216" t="n">
        <v>59.48</v>
      </c>
      <c r="D9516" s="216" t="n">
        <v>1.094665050506592</v>
      </c>
      <c r="E9516" s="215" t="n">
        <v>45533</v>
      </c>
      <c r="F9516" s="215" t="n">
        <v>45533</v>
      </c>
    </row>
    <row r="9517">
      <c r="A9517" s="215" t="n">
        <v>45534</v>
      </c>
      <c r="B9517" s="216" t="n">
        <v>45.75</v>
      </c>
      <c r="C9517" s="216" t="n">
        <v>61.01</v>
      </c>
      <c r="D9517" s="216" t="n">
        <v>1.09866201877594</v>
      </c>
      <c r="E9517" s="215" t="n">
        <v>45534</v>
      </c>
      <c r="F9517" s="215" t="n">
        <v>45534</v>
      </c>
    </row>
    <row r="9518">
      <c r="A9518" s="215" t="n">
        <v>45537</v>
      </c>
      <c r="B9518" s="216" t="n">
        <v>43.7</v>
      </c>
      <c r="C9518" s="216" t="n">
        <v>58.93</v>
      </c>
      <c r="D9518" s="216" t="n">
        <v>1.099230051040649</v>
      </c>
      <c r="E9518" s="215" t="n">
        <v>45537</v>
      </c>
      <c r="F9518" s="215" t="n">
        <v>45537</v>
      </c>
    </row>
    <row r="9519">
      <c r="A9519" s="215" t="n">
        <v>45538</v>
      </c>
      <c r="B9519" s="216" t="n">
        <v>43.4</v>
      </c>
      <c r="C9519" s="216" t="n">
        <v>59.14</v>
      </c>
      <c r="D9519" s="216" t="n">
        <v>1.095303058624268</v>
      </c>
      <c r="E9519" s="215" t="n">
        <v>45538</v>
      </c>
      <c r="F9519" s="215" t="n">
        <v>45538</v>
      </c>
    </row>
    <row r="9520">
      <c r="A9520" s="215" t="n">
        <v>45539</v>
      </c>
      <c r="B9520" s="216" t="n">
        <v>42.5</v>
      </c>
      <c r="C9520" s="216" t="n">
        <v>58.55</v>
      </c>
      <c r="D9520" s="216" t="n">
        <v>1.094771981239319</v>
      </c>
      <c r="E9520" s="215" t="n">
        <v>45539</v>
      </c>
      <c r="F9520" s="215" t="n">
        <v>45539</v>
      </c>
    </row>
    <row r="9521">
      <c r="A9521" s="215" t="n">
        <v>45540</v>
      </c>
      <c r="B9521" s="216" t="n">
        <v>42.55</v>
      </c>
      <c r="C9521" s="216" t="n">
        <v>58.73</v>
      </c>
      <c r="D9521" s="216" t="n">
        <v>1.095960021018982</v>
      </c>
      <c r="E9521" s="215" t="n">
        <v>45540</v>
      </c>
      <c r="F9521" s="215" t="n">
        <v>45540</v>
      </c>
    </row>
    <row r="9522">
      <c r="A9522" s="215" t="n">
        <v>45544</v>
      </c>
      <c r="B9522" s="216" t="n">
        <v>40.65</v>
      </c>
      <c r="C9522" s="216" t="n">
        <v>55.59</v>
      </c>
      <c r="D9522" s="216" t="n">
        <v>1.099578022956848</v>
      </c>
      <c r="E9522" s="215" t="n">
        <v>45544</v>
      </c>
      <c r="F9522" s="215" t="n">
        <v>45544</v>
      </c>
    </row>
    <row r="9523">
      <c r="A9523" s="215" t="n">
        <v>45545</v>
      </c>
      <c r="B9523" s="216" t="n">
        <v>40</v>
      </c>
      <c r="C9523" s="216" t="n">
        <v>55.08</v>
      </c>
      <c r="D9523" s="216" t="n">
        <v>1.095790028572083</v>
      </c>
      <c r="E9523" s="215" t="n">
        <v>45545</v>
      </c>
      <c r="F9523" s="215" t="n">
        <v>45545</v>
      </c>
    </row>
    <row r="9524">
      <c r="A9524" s="215" t="n">
        <v>45546</v>
      </c>
      <c r="B9524" s="216" t="n">
        <v>40.1</v>
      </c>
      <c r="C9524" s="216" t="n">
        <v>55.18</v>
      </c>
      <c r="D9524" s="216" t="n">
        <v>1.094709038734436</v>
      </c>
      <c r="E9524" s="215" t="n">
        <v>45546</v>
      </c>
      <c r="F9524" s="215" t="n">
        <v>45546</v>
      </c>
    </row>
    <row r="9525">
      <c r="A9525" s="215" t="n">
        <v>45547</v>
      </c>
      <c r="B9525" s="216" t="n">
        <v>40.1</v>
      </c>
      <c r="C9525" s="216" t="n">
        <v>54.79</v>
      </c>
      <c r="D9525" s="216" t="n">
        <v>1.095039010047913</v>
      </c>
      <c r="E9525" s="215" t="n">
        <v>45547</v>
      </c>
      <c r="F9525" s="215" t="n">
        <v>45547</v>
      </c>
    </row>
    <row r="9526">
      <c r="A9526" s="215" t="n">
        <v>45548</v>
      </c>
      <c r="B9526" s="216" t="n">
        <v>39.85</v>
      </c>
      <c r="C9526" s="216" t="n">
        <v>54.84</v>
      </c>
      <c r="D9526" s="216" t="n">
        <v>1.096182942390442</v>
      </c>
      <c r="E9526" s="215" t="n">
        <v>45548</v>
      </c>
      <c r="F9526" s="215" t="n">
        <v>45548</v>
      </c>
    </row>
    <row r="9527">
      <c r="A9527" s="215" t="n">
        <v>45551</v>
      </c>
      <c r="B9527" s="216" t="n">
        <v>39.65</v>
      </c>
      <c r="C9527" s="216" t="n">
        <v>54.84</v>
      </c>
      <c r="D9527" s="216" t="n">
        <v>1.099149942398071</v>
      </c>
      <c r="E9527" s="215" t="n">
        <v>45548</v>
      </c>
      <c r="F9527" s="215" t="n">
        <v>45551</v>
      </c>
    </row>
    <row r="9528">
      <c r="A9528" s="215" t="n">
        <v>45552</v>
      </c>
      <c r="B9528" s="216" t="n">
        <v>39.6</v>
      </c>
      <c r="C9528" s="216" t="n">
        <v>54.84</v>
      </c>
      <c r="D9528" s="216" t="n">
        <v>1.098492980003357</v>
      </c>
      <c r="E9528" s="215" t="n">
        <v>45548</v>
      </c>
      <c r="F9528" s="215" t="n">
        <v>45552</v>
      </c>
    </row>
    <row r="9529">
      <c r="A9529" s="215" t="n">
        <v>45554</v>
      </c>
      <c r="B9529" s="216" t="n">
        <v>41.2</v>
      </c>
      <c r="C9529" s="216" t="n">
        <v>55.14</v>
      </c>
      <c r="D9529" s="216" t="n">
        <v>1.10042405128479</v>
      </c>
      <c r="E9529" s="215" t="n">
        <v>45554</v>
      </c>
      <c r="F9529" s="215" t="n">
        <v>45554</v>
      </c>
    </row>
    <row r="9530">
      <c r="A9530" s="215" t="n">
        <v>45555</v>
      </c>
      <c r="B9530" s="216" t="n">
        <v>41.35</v>
      </c>
      <c r="C9530" s="216" t="n">
        <v>54.31</v>
      </c>
      <c r="D9530" s="216" t="n">
        <v>1.102666974067688</v>
      </c>
      <c r="E9530" s="215" t="n">
        <v>45555</v>
      </c>
      <c r="F9530" s="215" t="n">
        <v>45555</v>
      </c>
    </row>
    <row r="9531">
      <c r="A9531" s="215" t="n">
        <v>45558</v>
      </c>
      <c r="B9531" s="216" t="n">
        <v>41.9</v>
      </c>
      <c r="C9531" s="216" t="n">
        <v>54.3</v>
      </c>
      <c r="D9531" s="216" t="n">
        <v>1.104709982872009</v>
      </c>
      <c r="E9531" s="215" t="n">
        <v>45558</v>
      </c>
      <c r="F9531" s="215" t="n">
        <v>45558</v>
      </c>
    </row>
    <row r="9532">
      <c r="A9532" s="215" t="n">
        <v>45559</v>
      </c>
      <c r="B9532" s="216" t="n">
        <v>44.6</v>
      </c>
      <c r="C9532" s="216" t="n">
        <v>57.32</v>
      </c>
      <c r="D9532" s="216" t="n">
        <v>1.104027032852173</v>
      </c>
      <c r="E9532" s="215" t="n">
        <v>45559</v>
      </c>
      <c r="F9532" s="215" t="n">
        <v>45559</v>
      </c>
    </row>
    <row r="9533">
      <c r="A9533" s="215" t="n">
        <v>45560</v>
      </c>
      <c r="B9533" s="216" t="n">
        <v>44.7</v>
      </c>
      <c r="C9533" s="216" t="n">
        <v>58.01</v>
      </c>
      <c r="D9533" s="216" t="n">
        <v>1.106814026832581</v>
      </c>
      <c r="E9533" s="215" t="n">
        <v>45560</v>
      </c>
      <c r="F9533" s="215" t="n">
        <v>45560</v>
      </c>
    </row>
    <row r="9534">
      <c r="A9534" s="215" t="n">
        <v>45561</v>
      </c>
      <c r="B9534" s="216" t="n">
        <v>51.65</v>
      </c>
      <c r="C9534" s="216" t="n">
        <v>63.81</v>
      </c>
      <c r="D9534" s="216" t="n">
        <v>1.106874942779541</v>
      </c>
      <c r="E9534" s="215" t="n">
        <v>45561</v>
      </c>
      <c r="F9534" s="215" t="n">
        <v>45561</v>
      </c>
    </row>
    <row r="9535">
      <c r="A9535" s="215" t="n">
        <v>45562</v>
      </c>
      <c r="B9535" s="216" t="n">
        <v>58.8</v>
      </c>
      <c r="C9535" s="216" t="n">
        <v>70.18000000000001</v>
      </c>
      <c r="D9535" s="216" t="n">
        <v>1.10965895652771</v>
      </c>
      <c r="E9535" s="215" t="n">
        <v>45562</v>
      </c>
      <c r="F9535" s="215" t="n">
        <v>45562</v>
      </c>
    </row>
    <row r="9536">
      <c r="A9536" s="215" t="n">
        <v>45565</v>
      </c>
      <c r="B9536" s="216" t="n">
        <v>75.3</v>
      </c>
      <c r="C9536" s="216" t="n">
        <v>77.2</v>
      </c>
      <c r="D9536" s="216" t="n">
        <v>1.10850203037262</v>
      </c>
      <c r="E9536" s="215" t="n">
        <v>45565</v>
      </c>
      <c r="F9536" s="215" t="n">
        <v>45565</v>
      </c>
    </row>
    <row r="9537">
      <c r="A9537" s="215" t="n">
        <v>45567</v>
      </c>
      <c r="B9537" s="216" t="n">
        <v>77.40000000000001</v>
      </c>
      <c r="C9537" s="216" t="n">
        <v>77.2</v>
      </c>
      <c r="D9537" s="216" t="n">
        <v>1.105224967002869</v>
      </c>
      <c r="E9537" s="215" t="n">
        <v>45565</v>
      </c>
      <c r="F9537" s="215" t="n">
        <v>45567</v>
      </c>
    </row>
    <row r="9538">
      <c r="A9538" s="215" t="n">
        <v>45568</v>
      </c>
      <c r="B9538" s="216" t="n">
        <v>71.59999999999999</v>
      </c>
      <c r="C9538" s="216" t="n">
        <v>77.2</v>
      </c>
      <c r="D9538" s="216" t="n">
        <v>1.10276198387146</v>
      </c>
      <c r="E9538" s="215" t="n">
        <v>45565</v>
      </c>
      <c r="F9538" s="215" t="n">
        <v>45568</v>
      </c>
    </row>
    <row r="9539">
      <c r="A9539" s="215" t="n">
        <v>45569</v>
      </c>
      <c r="B9539" s="216" t="n">
        <v>75.3</v>
      </c>
      <c r="C9539" s="216" t="n">
        <v>77.2</v>
      </c>
      <c r="D9539" s="216" t="n">
        <v>1.10200297832489</v>
      </c>
      <c r="E9539" s="215" t="n">
        <v>45565</v>
      </c>
      <c r="F9539" s="215" t="n">
        <v>45569</v>
      </c>
    </row>
    <row r="9540">
      <c r="A9540" s="215" t="n">
        <v>45572</v>
      </c>
      <c r="B9540" s="216" t="n">
        <v>78.3</v>
      </c>
      <c r="C9540" s="216" t="n">
        <v>77.2</v>
      </c>
      <c r="D9540" s="216" t="n">
        <v>1.10656201839447</v>
      </c>
      <c r="E9540" s="215" t="n">
        <v>45565</v>
      </c>
      <c r="F9540" s="215" t="n">
        <v>45572</v>
      </c>
    </row>
    <row r="9541">
      <c r="A9541" s="215" t="n">
        <v>45573</v>
      </c>
      <c r="B9541" s="216" t="n">
        <v>64</v>
      </c>
      <c r="C9541" s="216" t="n">
        <v>84.89</v>
      </c>
      <c r="D9541" s="216" t="n">
        <v>1.106070041656494</v>
      </c>
      <c r="E9541" s="215" t="n">
        <v>45573</v>
      </c>
      <c r="F9541" s="215" t="n">
        <v>45573</v>
      </c>
    </row>
    <row r="9542">
      <c r="A9542" s="215" t="n">
        <v>45574</v>
      </c>
      <c r="B9542" s="216" t="n">
        <v>60.4</v>
      </c>
      <c r="C9542" s="216" t="n">
        <v>76.40000000000001</v>
      </c>
      <c r="D9542" s="216" t="n">
        <v>1.101308941841125</v>
      </c>
      <c r="E9542" s="215" t="n">
        <v>45574</v>
      </c>
      <c r="F9542" s="215" t="n">
        <v>45574</v>
      </c>
    </row>
    <row r="9543">
      <c r="A9543" s="215" t="n">
        <v>45575</v>
      </c>
      <c r="B9543" s="216" t="n">
        <v>62</v>
      </c>
      <c r="C9543" s="216" t="n">
        <v>74.55</v>
      </c>
      <c r="D9543" s="216" t="n">
        <v>1.09762704372406</v>
      </c>
      <c r="E9543" s="215" t="n">
        <v>45575</v>
      </c>
      <c r="F9543" s="215" t="n">
        <v>45575</v>
      </c>
    </row>
    <row r="9544">
      <c r="A9544" s="215" t="n">
        <v>45579</v>
      </c>
      <c r="B9544" s="216" t="n">
        <v>58.45</v>
      </c>
      <c r="C9544" s="216" t="n">
        <v>71.36</v>
      </c>
      <c r="D9544" s="216" t="n">
        <v>1.099969029426575</v>
      </c>
      <c r="E9544" s="215" t="n">
        <v>45579</v>
      </c>
      <c r="F9544" s="215" t="n">
        <v>45579</v>
      </c>
    </row>
    <row r="9545">
      <c r="A9545" s="215" t="n">
        <v>45580</v>
      </c>
      <c r="B9545" s="216" t="n">
        <v>53.85</v>
      </c>
      <c r="C9545" s="216" t="n">
        <v>69.03</v>
      </c>
      <c r="D9545" s="216" t="n">
        <v>1.095134019851685</v>
      </c>
      <c r="E9545" s="215" t="n">
        <v>45580</v>
      </c>
      <c r="F9545" s="215" t="n">
        <v>45580</v>
      </c>
    </row>
    <row r="9546">
      <c r="A9546" s="215" t="n">
        <v>45581</v>
      </c>
      <c r="B9546" s="216" t="n">
        <v>50.85</v>
      </c>
      <c r="C9546" s="216" t="n">
        <v>66.09999999999999</v>
      </c>
      <c r="D9546" s="216" t="n">
        <v>1.091102957725525</v>
      </c>
      <c r="E9546" s="215" t="n">
        <v>45581</v>
      </c>
      <c r="F9546" s="215" t="n">
        <v>45581</v>
      </c>
    </row>
    <row r="9547">
      <c r="A9547" s="215" t="n">
        <v>45582</v>
      </c>
      <c r="B9547" s="216" t="n">
        <v>48.9</v>
      </c>
      <c r="C9547" s="216" t="n">
        <v>65.44</v>
      </c>
      <c r="D9547" s="216" t="n">
        <v>1.091408967971802</v>
      </c>
      <c r="E9547" s="215" t="n">
        <v>45582</v>
      </c>
      <c r="F9547" s="215" t="n">
        <v>45582</v>
      </c>
    </row>
    <row r="9548">
      <c r="A9548" s="215" t="n">
        <v>45583</v>
      </c>
      <c r="B9548" s="216" t="n">
        <v>52.85</v>
      </c>
      <c r="C9548" s="216" t="n">
        <v>68.02</v>
      </c>
      <c r="D9548" s="216" t="n">
        <v>1.090952038764954</v>
      </c>
      <c r="E9548" s="215" t="n">
        <v>45583</v>
      </c>
      <c r="F9548" s="215" t="n">
        <v>45583</v>
      </c>
    </row>
    <row r="9549">
      <c r="A9549" s="215" t="n">
        <v>45586</v>
      </c>
      <c r="B9549" s="216" t="n">
        <v>52.05</v>
      </c>
      <c r="C9549" s="216" t="n">
        <v>68.19</v>
      </c>
      <c r="D9549" s="216" t="n">
        <v>1.09406304359436</v>
      </c>
      <c r="E9549" s="215" t="n">
        <v>45586</v>
      </c>
      <c r="F9549" s="215" t="n">
        <v>45586</v>
      </c>
    </row>
    <row r="9550">
      <c r="A9550" s="215" t="n">
        <v>45587</v>
      </c>
      <c r="B9550" s="216" t="n">
        <v>52.8</v>
      </c>
      <c r="C9550" s="216" t="n">
        <v>69.14</v>
      </c>
      <c r="D9550" s="216" t="n">
        <v>1.091953992843628</v>
      </c>
      <c r="E9550" s="215" t="n">
        <v>45587</v>
      </c>
      <c r="F9550" s="215" t="n">
        <v>45587</v>
      </c>
    </row>
    <row r="9551">
      <c r="A9551" s="215" t="n">
        <v>45588</v>
      </c>
      <c r="B9551" s="216" t="n">
        <v>56</v>
      </c>
      <c r="C9551" s="216" t="n">
        <v>69.5</v>
      </c>
      <c r="D9551" s="216" t="n">
        <v>1.091060042381287</v>
      </c>
      <c r="E9551" s="215" t="n">
        <v>45588</v>
      </c>
      <c r="F9551" s="215" t="n">
        <v>45588</v>
      </c>
    </row>
    <row r="9552">
      <c r="A9552" s="215" t="n">
        <v>45589</v>
      </c>
      <c r="B9552" s="216" t="n">
        <v>53.75</v>
      </c>
      <c r="C9552" s="216" t="n">
        <v>67.8</v>
      </c>
      <c r="D9552" s="216" t="n">
        <v>1.090194940567017</v>
      </c>
      <c r="E9552" s="215" t="n">
        <v>45589</v>
      </c>
      <c r="F9552" s="215" t="n">
        <v>45589</v>
      </c>
    </row>
    <row r="9553">
      <c r="A9553" s="215" t="n">
        <v>45590</v>
      </c>
      <c r="B9553" s="216" t="n">
        <v>54.35</v>
      </c>
      <c r="C9553" s="216" t="n">
        <v>68.98999999999999</v>
      </c>
      <c r="D9553" s="216" t="n">
        <v>1.091233015060425</v>
      </c>
      <c r="E9553" s="215" t="n">
        <v>45590</v>
      </c>
      <c r="F9553" s="215" t="n">
        <v>45590</v>
      </c>
    </row>
    <row r="9554">
      <c r="A9554" s="215" t="n">
        <v>45593</v>
      </c>
      <c r="B9554" s="216" t="n">
        <v>55.95</v>
      </c>
      <c r="C9554" s="216" t="n">
        <v>70.3</v>
      </c>
      <c r="D9554" s="216" t="n">
        <v>1.091169953346252</v>
      </c>
      <c r="E9554" s="215" t="n">
        <v>45593</v>
      </c>
      <c r="F9554" s="215" t="n">
        <v>45593</v>
      </c>
    </row>
    <row r="9555">
      <c r="A9555" s="215" t="n">
        <v>45594</v>
      </c>
      <c r="B9555" s="216" t="n">
        <v>54.1</v>
      </c>
      <c r="C9555" s="216" t="n">
        <v>68.83</v>
      </c>
      <c r="D9555" s="216" t="n">
        <v>1.090175032615662</v>
      </c>
      <c r="E9555" s="215" t="n">
        <v>45594</v>
      </c>
      <c r="F9555" s="215" t="n">
        <v>45594</v>
      </c>
    </row>
    <row r="9556">
      <c r="A9556" s="215" t="n">
        <v>45595</v>
      </c>
      <c r="B9556" s="216" t="n">
        <v>53.45</v>
      </c>
      <c r="C9556" s="216" t="n">
        <v>67.90000000000001</v>
      </c>
      <c r="D9556" s="216" t="n">
        <v>1.089673042297363</v>
      </c>
      <c r="E9556" s="215" t="n">
        <v>45595</v>
      </c>
      <c r="F9556" s="215" t="n">
        <v>45595</v>
      </c>
    </row>
    <row r="9557">
      <c r="A9557" s="215" t="n">
        <v>45596</v>
      </c>
      <c r="B9557" s="216" t="n">
        <v>53.05</v>
      </c>
      <c r="C9557" s="216" t="n">
        <v>67.83</v>
      </c>
      <c r="D9557" s="216" t="n">
        <v>1.091989994049072</v>
      </c>
      <c r="E9557" s="215" t="n">
        <v>45596</v>
      </c>
      <c r="F9557" s="215" t="n">
        <v>45596</v>
      </c>
    </row>
    <row r="9558">
      <c r="A9558" s="215" t="n">
        <v>45597</v>
      </c>
      <c r="B9558" s="216" t="n">
        <v>53.5</v>
      </c>
      <c r="C9558" s="216" t="n">
        <v>68.31999999999999</v>
      </c>
      <c r="D9558" s="216" t="n">
        <v>1.091570019721985</v>
      </c>
      <c r="E9558" s="215" t="n">
        <v>45597</v>
      </c>
      <c r="F9558" s="215" t="n">
        <v>45597</v>
      </c>
    </row>
    <row r="9559">
      <c r="A9559" s="215" t="n">
        <v>45600</v>
      </c>
      <c r="B9559" s="216" t="n">
        <v>55</v>
      </c>
      <c r="C9559" s="216" t="n">
        <v>70.20999999999999</v>
      </c>
      <c r="D9559" s="216" t="n">
        <v>1.091678023338318</v>
      </c>
      <c r="E9559" s="215" t="n">
        <v>45600</v>
      </c>
      <c r="F9559" s="215" t="n">
        <v>45600</v>
      </c>
    </row>
    <row r="9560">
      <c r="A9560" s="215" t="n">
        <v>45601</v>
      </c>
      <c r="B9560" s="216" t="n">
        <v>57.7</v>
      </c>
      <c r="C9560" s="216" t="n">
        <v>72.90000000000001</v>
      </c>
      <c r="D9560" s="216" t="n">
        <v>1.094761967658997</v>
      </c>
      <c r="E9560" s="215" t="n">
        <v>45601</v>
      </c>
      <c r="F9560" s="215" t="n">
        <v>45601</v>
      </c>
    </row>
    <row r="9561">
      <c r="A9561" s="215" t="n">
        <v>45602</v>
      </c>
      <c r="B9561" s="216" t="n">
        <v>56.65</v>
      </c>
      <c r="C9561" s="216" t="n">
        <v>72.65000000000001</v>
      </c>
      <c r="D9561" s="216" t="n">
        <v>1.094082951545715</v>
      </c>
      <c r="E9561" s="215" t="n">
        <v>45602</v>
      </c>
      <c r="F9561" s="215" t="n">
        <v>45602</v>
      </c>
    </row>
    <row r="9562">
      <c r="A9562" s="215" t="n">
        <v>45603</v>
      </c>
      <c r="B9562" s="216" t="n">
        <v>61.65</v>
      </c>
      <c r="C9562" s="216" t="n">
        <v>76.92</v>
      </c>
      <c r="D9562" s="216" t="n">
        <v>1.083237051963806</v>
      </c>
      <c r="E9562" s="215" t="n">
        <v>45603</v>
      </c>
      <c r="F9562" s="215" t="n">
        <v>45603</v>
      </c>
    </row>
    <row r="9563">
      <c r="A9563" s="215" t="n">
        <v>45604</v>
      </c>
      <c r="B9563" s="216" t="n">
        <v>58.75</v>
      </c>
      <c r="C9563" s="216" t="n">
        <v>75.8</v>
      </c>
      <c r="D9563" s="216" t="n">
        <v>1.087854027748108</v>
      </c>
      <c r="E9563" s="215" t="n">
        <v>45604</v>
      </c>
      <c r="F9563" s="215" t="n">
        <v>45604</v>
      </c>
    </row>
    <row r="9564">
      <c r="A9564" s="215" t="n">
        <v>45607</v>
      </c>
      <c r="B9564" s="216" t="n">
        <v>56.85</v>
      </c>
      <c r="C9564" s="216" t="n">
        <v>74.43000000000001</v>
      </c>
      <c r="D9564" s="216" t="n">
        <v>1.082896947860718</v>
      </c>
      <c r="E9564" s="215" t="n">
        <v>45607</v>
      </c>
      <c r="F9564" s="215" t="n">
        <v>45607</v>
      </c>
    </row>
    <row r="9565">
      <c r="A9565" s="215" t="n">
        <v>45608</v>
      </c>
      <c r="B9565" s="216" t="n">
        <v>55</v>
      </c>
      <c r="C9565" s="216" t="n">
        <v>74.2</v>
      </c>
      <c r="D9565" s="216" t="n">
        <v>1.077934980392456</v>
      </c>
      <c r="E9565" s="215" t="n">
        <v>45608</v>
      </c>
      <c r="F9565" s="215" t="n">
        <v>45608</v>
      </c>
    </row>
    <row r="9566">
      <c r="A9566" s="215" t="n">
        <v>45609</v>
      </c>
      <c r="B9566" s="216" t="n">
        <v>54.4</v>
      </c>
      <c r="C9566" s="216" t="n">
        <v>74.16</v>
      </c>
      <c r="D9566" s="216" t="n">
        <v>1.075376033782959</v>
      </c>
      <c r="E9566" s="215" t="n">
        <v>45609</v>
      </c>
      <c r="F9566" s="215" t="n">
        <v>45609</v>
      </c>
    </row>
    <row r="9567">
      <c r="A9567" s="215" t="n">
        <v>45610</v>
      </c>
      <c r="B9567" s="216" t="n">
        <v>51.9</v>
      </c>
      <c r="C9567" s="216" t="n">
        <v>72.09</v>
      </c>
      <c r="D9567" s="216" t="n">
        <v>1.07691502571106</v>
      </c>
      <c r="E9567" s="215" t="n">
        <v>45610</v>
      </c>
      <c r="F9567" s="215" t="n">
        <v>45610</v>
      </c>
    </row>
    <row r="9568">
      <c r="A9568" s="215" t="n">
        <v>45611</v>
      </c>
      <c r="B9568" s="216" t="n">
        <v>52.8</v>
      </c>
      <c r="C9568" s="216" t="n">
        <v>70.72</v>
      </c>
      <c r="D9568" s="216" t="n">
        <v>1.07588803768158</v>
      </c>
      <c r="E9568" s="215" t="n">
        <v>45611</v>
      </c>
      <c r="F9568" s="215" t="n">
        <v>45611</v>
      </c>
    </row>
    <row r="9569">
      <c r="A9569" s="215" t="n">
        <v>45614</v>
      </c>
      <c r="B9569" s="216" t="n">
        <v>52.25</v>
      </c>
      <c r="C9569" s="216" t="n">
        <v>69.77</v>
      </c>
      <c r="D9569" s="216" t="n">
        <v>1.076550960540771</v>
      </c>
      <c r="E9569" s="215" t="n">
        <v>45614</v>
      </c>
      <c r="F9569" s="215" t="n">
        <v>45614</v>
      </c>
    </row>
    <row r="9570">
      <c r="A9570" s="215" t="n">
        <v>45615</v>
      </c>
      <c r="B9570" s="216" t="n">
        <v>52.25</v>
      </c>
      <c r="C9570" s="216" t="n">
        <v>70.31</v>
      </c>
      <c r="D9570" s="216" t="n">
        <v>1.075461030006409</v>
      </c>
      <c r="E9570" s="215" t="n">
        <v>45615</v>
      </c>
      <c r="F9570" s="215" t="n">
        <v>45615</v>
      </c>
    </row>
    <row r="9571">
      <c r="A9571" s="215" t="n">
        <v>45616</v>
      </c>
      <c r="B9571" s="216" t="n">
        <v>52.75</v>
      </c>
      <c r="C9571" s="216" t="n">
        <v>70.40000000000001</v>
      </c>
      <c r="D9571" s="216" t="n">
        <v>1.075147032737732</v>
      </c>
      <c r="E9571" s="215" t="n">
        <v>45616</v>
      </c>
      <c r="F9571" s="215" t="n">
        <v>45616</v>
      </c>
    </row>
    <row r="9572">
      <c r="A9572" s="215" t="n">
        <v>45617</v>
      </c>
      <c r="B9572" s="216" t="n">
        <v>51.6</v>
      </c>
      <c r="C9572" s="216" t="n">
        <v>70.01000000000001</v>
      </c>
      <c r="D9572" s="216" t="n">
        <v>1.074183940887451</v>
      </c>
      <c r="E9572" s="215" t="n">
        <v>45617</v>
      </c>
      <c r="F9572" s="215" t="n">
        <v>45617</v>
      </c>
    </row>
    <row r="9573">
      <c r="A9573" s="215" t="n">
        <v>45618</v>
      </c>
      <c r="B9573" s="216" t="n">
        <v>49.35</v>
      </c>
      <c r="C9573" s="216" t="n">
        <v>67.40000000000001</v>
      </c>
      <c r="D9573" s="216" t="n">
        <v>1.075669050216675</v>
      </c>
      <c r="E9573" s="215" t="n">
        <v>45618</v>
      </c>
      <c r="F9573" s="215" t="n">
        <v>45618</v>
      </c>
    </row>
    <row r="9574">
      <c r="A9574" s="215" t="n">
        <v>45621</v>
      </c>
      <c r="B9574" s="216" t="n">
        <v>50.25</v>
      </c>
      <c r="C9574" s="216" t="n">
        <v>68</v>
      </c>
      <c r="D9574" s="216" t="n">
        <v>1.074473023414612</v>
      </c>
      <c r="E9574" s="215" t="n">
        <v>45621</v>
      </c>
      <c r="F9574" s="215" t="n">
        <v>45621</v>
      </c>
    </row>
    <row r="9575">
      <c r="A9575" s="215" t="n">
        <v>45622</v>
      </c>
      <c r="B9575" s="216" t="n">
        <v>49.95</v>
      </c>
      <c r="C9575" s="216" t="n">
        <v>67.84</v>
      </c>
      <c r="D9575" s="216" t="n">
        <v>1.073958039283752</v>
      </c>
      <c r="E9575" s="215" t="n">
        <v>45622</v>
      </c>
      <c r="F9575" s="215" t="n">
        <v>45622</v>
      </c>
    </row>
    <row r="9576">
      <c r="A9576" s="215" t="n">
        <v>45623</v>
      </c>
      <c r="B9576" s="216" t="n">
        <v>51.15</v>
      </c>
      <c r="C9576" s="216" t="n">
        <v>68.68000000000001</v>
      </c>
      <c r="D9576" s="216" t="n">
        <v>1.073114991188049</v>
      </c>
      <c r="E9576" s="215" t="n">
        <v>45623</v>
      </c>
      <c r="F9576" s="215" t="n">
        <v>45623</v>
      </c>
    </row>
    <row r="9577">
      <c r="A9577" s="215" t="n">
        <v>45624</v>
      </c>
      <c r="B9577" s="216" t="n">
        <v>50.1</v>
      </c>
      <c r="C9577" s="216" t="n">
        <v>68.28</v>
      </c>
      <c r="D9577" s="216" t="n">
        <v>1.073555946350098</v>
      </c>
      <c r="E9577" s="215" t="n">
        <v>45624</v>
      </c>
      <c r="F9577" s="215" t="n">
        <v>45624</v>
      </c>
    </row>
    <row r="9578">
      <c r="A9578" s="215" t="n">
        <v>45625</v>
      </c>
      <c r="B9578" s="216" t="n">
        <v>51.65</v>
      </c>
      <c r="C9578" s="216" t="n">
        <v>69.55</v>
      </c>
      <c r="D9578" s="216" t="n">
        <v>1.074349999427795</v>
      </c>
      <c r="E9578" s="215" t="n">
        <v>45625</v>
      </c>
      <c r="F9578" s="215" t="n">
        <v>45625</v>
      </c>
    </row>
    <row r="9579">
      <c r="A9579" s="215" t="n">
        <v>45628</v>
      </c>
      <c r="B9579" s="216" t="n">
        <v>53.8</v>
      </c>
      <c r="C9579" s="216" t="n">
        <v>72.62</v>
      </c>
      <c r="D9579" s="216" t="n">
        <v>1.074655055999756</v>
      </c>
      <c r="E9579" s="215" t="n">
        <v>45628</v>
      </c>
      <c r="F9579" s="215" t="n">
        <v>45628</v>
      </c>
    </row>
    <row r="9580">
      <c r="A9580" s="215" t="n">
        <v>45629</v>
      </c>
      <c r="B9580" s="216" t="n">
        <v>52.7</v>
      </c>
      <c r="C9580" s="216" t="n">
        <v>71.63</v>
      </c>
      <c r="D9580" s="216" t="n">
        <v>1.069697022438049</v>
      </c>
      <c r="E9580" s="215" t="n">
        <v>45629</v>
      </c>
      <c r="F9580" s="215" t="n">
        <v>45629</v>
      </c>
    </row>
    <row r="9581">
      <c r="A9581" s="215" t="n">
        <v>45630</v>
      </c>
      <c r="B9581" s="216" t="n">
        <v>51.6</v>
      </c>
      <c r="C9581" s="216" t="n">
        <v>70.06999999999999</v>
      </c>
      <c r="D9581" s="216" t="n">
        <v>1.068164944648743</v>
      </c>
      <c r="E9581" s="215" t="n">
        <v>45630</v>
      </c>
      <c r="F9581" s="215" t="n">
        <v>45630</v>
      </c>
    </row>
    <row r="9582">
      <c r="A9582" s="215" t="n">
        <v>45631</v>
      </c>
      <c r="B9582" s="216" t="n">
        <v>50.95</v>
      </c>
      <c r="C9582" s="216" t="n">
        <v>69.90000000000001</v>
      </c>
      <c r="D9582" s="216" t="n">
        <v>1.071516990661621</v>
      </c>
      <c r="E9582" s="215" t="n">
        <v>45631</v>
      </c>
      <c r="F9582" s="215" t="n">
        <v>45631</v>
      </c>
    </row>
    <row r="9583">
      <c r="A9583" s="215" t="n">
        <v>45632</v>
      </c>
      <c r="B9583" s="216" t="n">
        <v>52.1</v>
      </c>
      <c r="C9583" s="216" t="n">
        <v>70.56</v>
      </c>
      <c r="D9583" s="216" t="n">
        <v>1.07178795337677</v>
      </c>
      <c r="E9583" s="215" t="n">
        <v>45632</v>
      </c>
      <c r="F9583" s="215" t="n">
        <v>45632</v>
      </c>
    </row>
    <row r="9584">
      <c r="A9584" s="215" t="n">
        <v>45635</v>
      </c>
      <c r="B9584" s="216" t="n">
        <v>55.2</v>
      </c>
      <c r="C9584" s="216" t="n">
        <v>69.29000000000001</v>
      </c>
      <c r="D9584" s="216" t="n">
        <v>1.070058941841125</v>
      </c>
      <c r="E9584" s="215" t="n">
        <v>45635</v>
      </c>
      <c r="F9584" s="215" t="n">
        <v>45635</v>
      </c>
    </row>
    <row r="9585">
      <c r="A9585" s="215" t="n">
        <v>45636</v>
      </c>
      <c r="B9585" s="216" t="n">
        <v>53.8</v>
      </c>
      <c r="C9585" s="216" t="n">
        <v>70.65000000000001</v>
      </c>
      <c r="D9585" s="216" t="n">
        <v>1.07076895236969</v>
      </c>
      <c r="E9585" s="215" t="n">
        <v>45636</v>
      </c>
      <c r="F9585" s="215" t="n">
        <v>45636</v>
      </c>
    </row>
    <row r="9586">
      <c r="A9586" s="215" t="n">
        <v>45637</v>
      </c>
      <c r="B9586" s="216" t="n">
        <v>53.3</v>
      </c>
      <c r="C9586" s="216" t="n">
        <v>71.84999999999999</v>
      </c>
      <c r="D9586" s="216" t="n">
        <v>1.072139024734497</v>
      </c>
      <c r="E9586" s="215" t="n">
        <v>45637</v>
      </c>
      <c r="F9586" s="215" t="n">
        <v>45637</v>
      </c>
    </row>
    <row r="9587">
      <c r="A9587" s="215" t="n">
        <v>45638</v>
      </c>
      <c r="B9587" s="216" t="n">
        <v>57.35</v>
      </c>
      <c r="C9587" s="216" t="n">
        <v>73.81</v>
      </c>
      <c r="D9587" s="216" t="n">
        <v>1.070543050765991</v>
      </c>
      <c r="E9587" s="215" t="n">
        <v>45638</v>
      </c>
      <c r="F9587" s="215" t="n">
        <v>45638</v>
      </c>
    </row>
    <row r="9588">
      <c r="A9588" s="215" t="n">
        <v>45639</v>
      </c>
      <c r="B9588" s="216" t="n">
        <v>54.35</v>
      </c>
      <c r="C9588" s="216" t="n">
        <v>71.3</v>
      </c>
      <c r="D9588" s="216" t="n">
        <v>1.069535970687866</v>
      </c>
      <c r="E9588" s="215" t="n">
        <v>45639</v>
      </c>
      <c r="F9588" s="215" t="n">
        <v>45639</v>
      </c>
    </row>
    <row r="9589">
      <c r="A9589" s="215" t="n">
        <v>45642</v>
      </c>
      <c r="B9589" s="216" t="n">
        <v>54.85</v>
      </c>
      <c r="C9589" s="216" t="n">
        <v>71.8</v>
      </c>
      <c r="D9589" s="216" t="n">
        <v>1.068564057350159</v>
      </c>
      <c r="E9589" s="215" t="n">
        <v>45642</v>
      </c>
      <c r="F9589" s="215" t="n">
        <v>45642</v>
      </c>
    </row>
    <row r="9590">
      <c r="A9590" s="215" t="n">
        <v>45643</v>
      </c>
      <c r="B9590" s="216" t="n">
        <v>54.9</v>
      </c>
      <c r="C9590" s="216" t="n">
        <v>70.97</v>
      </c>
      <c r="D9590" s="216" t="n">
        <v>1.06734299659729</v>
      </c>
      <c r="E9590" s="215" t="n">
        <v>45643</v>
      </c>
      <c r="F9590" s="215" t="n">
        <v>45643</v>
      </c>
    </row>
    <row r="9591">
      <c r="A9591" s="215" t="n">
        <v>45644</v>
      </c>
      <c r="B9591" s="216" t="n">
        <v>55.4</v>
      </c>
      <c r="C9591" s="216" t="n">
        <v>70.63</v>
      </c>
      <c r="D9591" s="216" t="n">
        <v>1.066388010978699</v>
      </c>
      <c r="E9591" s="215" t="n">
        <v>45644</v>
      </c>
      <c r="F9591" s="215" t="n">
        <v>45644</v>
      </c>
    </row>
    <row r="9592">
      <c r="A9592" s="215" t="n">
        <v>45645</v>
      </c>
      <c r="B9592" s="216" t="n">
        <v>55.8</v>
      </c>
      <c r="C9592" s="216" t="n">
        <v>70.03</v>
      </c>
      <c r="D9592" s="216" t="n">
        <v>1.066426038742065</v>
      </c>
      <c r="E9592" s="215" t="n">
        <v>45645</v>
      </c>
      <c r="F9592" s="215" t="n">
        <v>45645</v>
      </c>
    </row>
    <row r="9593">
      <c r="A9593" s="215" t="n">
        <v>45646</v>
      </c>
      <c r="B9593" s="216" t="n">
        <v>55.25</v>
      </c>
      <c r="C9593" s="216" t="n">
        <v>69.42</v>
      </c>
      <c r="D9593" s="216" t="n">
        <v>1.064751029014587</v>
      </c>
      <c r="E9593" s="215" t="n">
        <v>45646</v>
      </c>
      <c r="F9593" s="215" t="n">
        <v>45646</v>
      </c>
    </row>
    <row r="9594">
      <c r="A9594" s="215" t="n">
        <v>45649</v>
      </c>
      <c r="B9594" s="216" t="n">
        <v>55.45</v>
      </c>
      <c r="C9594" s="216" t="n">
        <v>68.7</v>
      </c>
      <c r="D9594" s="216" t="n">
        <v>1.065225005149841</v>
      </c>
      <c r="E9594" s="215" t="n">
        <v>45649</v>
      </c>
      <c r="F9594" s="215" t="n">
        <v>45649</v>
      </c>
    </row>
    <row r="9595">
      <c r="A9595" s="215" t="n">
        <v>45650</v>
      </c>
      <c r="B9595" s="216" t="n">
        <v>56.6</v>
      </c>
      <c r="C9595" s="216" t="n">
        <v>69.43000000000001</v>
      </c>
      <c r="D9595" s="216" t="n">
        <v>1.06459105014801</v>
      </c>
      <c r="E9595" s="215" t="n">
        <v>45650</v>
      </c>
      <c r="F9595" s="215" t="n">
        <v>45650</v>
      </c>
    </row>
    <row r="9596">
      <c r="A9596" s="215" t="n">
        <v>45653</v>
      </c>
      <c r="B9596" s="216" t="n">
        <v>54.7</v>
      </c>
      <c r="C9596" s="216" t="n">
        <v>68.88</v>
      </c>
      <c r="D9596" s="216" t="n">
        <v>1.064249038696289</v>
      </c>
      <c r="E9596" s="215" t="n">
        <v>45653</v>
      </c>
      <c r="F9596" s="215" t="n">
        <v>45653</v>
      </c>
    </row>
    <row r="9597">
      <c r="A9597" s="215" t="n">
        <v>45656</v>
      </c>
      <c r="B9597" s="216" t="n">
        <v>53.1</v>
      </c>
      <c r="C9597" s="216" t="n">
        <v>68.26000000000001</v>
      </c>
      <c r="D9597" s="216" t="n">
        <v>1.063662052154541</v>
      </c>
      <c r="E9597" s="215" t="n">
        <v>45656</v>
      </c>
      <c r="F9597" s="215" t="n">
        <v>45656</v>
      </c>
    </row>
    <row r="9598">
      <c r="A9598" s="215" t="n">
        <v>45657</v>
      </c>
      <c r="B9598" s="216" t="n">
        <v>53.1</v>
      </c>
      <c r="C9598" s="216" t="n">
        <v>67.01000000000001</v>
      </c>
      <c r="D9598" s="216" t="n">
        <v>1.063554048538208</v>
      </c>
      <c r="E9598" s="215" t="n">
        <v>45657</v>
      </c>
      <c r="F9598" s="215" t="n">
        <v>45657</v>
      </c>
    </row>
    <row r="9599">
      <c r="A9599" s="215" t="n">
        <v>45659</v>
      </c>
      <c r="B9599" s="216" t="n">
        <v>50.7</v>
      </c>
      <c r="C9599" s="216" t="n">
        <v>64.7</v>
      </c>
      <c r="D9599" s="216" t="n">
        <v>1.064368963241577</v>
      </c>
      <c r="E9599" s="215" t="n">
        <v>45659</v>
      </c>
      <c r="F9599" s="215" t="n">
        <v>45659</v>
      </c>
    </row>
    <row r="9600">
      <c r="A9600" s="215" t="n">
        <v>45660</v>
      </c>
      <c r="B9600" s="216" t="n">
        <v>49.8</v>
      </c>
      <c r="C9600" s="216" t="n">
        <v>62.83</v>
      </c>
      <c r="D9600" s="216" t="n">
        <v>1.065240979194641</v>
      </c>
      <c r="E9600" s="215" t="n">
        <v>45660</v>
      </c>
      <c r="F9600" s="215" t="n">
        <v>45660</v>
      </c>
    </row>
    <row r="9601">
      <c r="A9601" s="215" t="n">
        <v>45663</v>
      </c>
      <c r="B9601" s="216" t="n">
        <v>49.25</v>
      </c>
      <c r="C9601" s="216" t="n">
        <v>62.54</v>
      </c>
      <c r="D9601" s="216" t="n">
        <v>1.062374949455261</v>
      </c>
      <c r="E9601" s="215" t="n">
        <v>45663</v>
      </c>
      <c r="F9601" s="215" t="n">
        <v>45663</v>
      </c>
    </row>
    <row r="9602">
      <c r="A9602" s="215" t="n">
        <v>45664</v>
      </c>
      <c r="B9602" s="216" t="n">
        <v>49.55</v>
      </c>
      <c r="C9602" s="216" t="n">
        <v>62.47</v>
      </c>
      <c r="D9602" s="216" t="n">
        <v>1.061730027198792</v>
      </c>
      <c r="E9602" s="215" t="n">
        <v>45664</v>
      </c>
      <c r="F9602" s="215" t="n">
        <v>45664</v>
      </c>
    </row>
    <row r="9603">
      <c r="A9603" s="215" t="n">
        <v>45665</v>
      </c>
      <c r="B9603" s="216" t="n">
        <v>48</v>
      </c>
      <c r="C9603" s="216" t="n">
        <v>61.79</v>
      </c>
      <c r="D9603" s="216" t="n">
        <v>1.061154961585999</v>
      </c>
      <c r="E9603" s="215" t="n">
        <v>45665</v>
      </c>
      <c r="F9603" s="215" t="n">
        <v>45665</v>
      </c>
    </row>
    <row r="9604">
      <c r="A9604" s="215" t="n">
        <v>45666</v>
      </c>
      <c r="B9604" s="216" t="n">
        <v>47.6</v>
      </c>
      <c r="C9604" s="216" t="n">
        <v>61.01</v>
      </c>
      <c r="D9604" s="216" t="n">
        <v>1.061004042625427</v>
      </c>
      <c r="E9604" s="215" t="n">
        <v>45666</v>
      </c>
      <c r="F9604" s="215" t="n">
        <v>45666</v>
      </c>
    </row>
    <row r="9605">
      <c r="A9605" s="215" t="n">
        <v>45667</v>
      </c>
      <c r="B9605" s="216" t="n">
        <v>46.65</v>
      </c>
      <c r="C9605" s="216" t="n">
        <v>59.98</v>
      </c>
      <c r="D9605" s="216" t="n">
        <v>1.061197996139526</v>
      </c>
      <c r="E9605" s="215" t="n">
        <v>45667</v>
      </c>
      <c r="F9605" s="215" t="n">
        <v>45667</v>
      </c>
    </row>
    <row r="9606">
      <c r="A9606" s="215" t="n">
        <v>45670</v>
      </c>
      <c r="B9606" s="216" t="n">
        <v>46.1</v>
      </c>
      <c r="C9606" s="216" t="n">
        <v>60.17</v>
      </c>
      <c r="D9606" s="216" t="n">
        <v>1.061838984489441</v>
      </c>
      <c r="E9606" s="215" t="n">
        <v>45670</v>
      </c>
      <c r="F9606" s="215" t="n">
        <v>45670</v>
      </c>
    </row>
    <row r="9607">
      <c r="A9607" s="215" t="n">
        <v>45671</v>
      </c>
      <c r="B9607" s="216" t="n">
        <v>47.75</v>
      </c>
      <c r="C9607" s="216" t="n">
        <v>61.87</v>
      </c>
      <c r="D9607" s="216" t="n">
        <v>1.061681032180786</v>
      </c>
      <c r="E9607" s="215" t="n">
        <v>45671</v>
      </c>
      <c r="F9607" s="215" t="n">
        <v>45671</v>
      </c>
    </row>
    <row r="9608">
      <c r="A9608" s="215" t="n">
        <v>45672</v>
      </c>
      <c r="B9608" s="216" t="n">
        <v>47.45</v>
      </c>
      <c r="C9608" s="216" t="n">
        <v>61.29</v>
      </c>
      <c r="D9608" s="216" t="n">
        <v>1.062003970146179</v>
      </c>
      <c r="E9608" s="215" t="n">
        <v>45672</v>
      </c>
      <c r="F9608" s="215" t="n">
        <v>45672</v>
      </c>
    </row>
    <row r="9609">
      <c r="A9609" s="215" t="n">
        <v>45673</v>
      </c>
      <c r="B9609" s="216" t="n">
        <v>48.6</v>
      </c>
      <c r="C9609" s="216" t="n">
        <v>61.6</v>
      </c>
      <c r="D9609" s="216" t="n">
        <v>1.061879992485046</v>
      </c>
      <c r="E9609" s="215" t="n">
        <v>45673</v>
      </c>
      <c r="F9609" s="215" t="n">
        <v>45673</v>
      </c>
    </row>
    <row r="9610">
      <c r="A9610" s="215" t="n">
        <v>45674</v>
      </c>
      <c r="B9610" s="216" t="n">
        <v>47.4</v>
      </c>
      <c r="C9610" s="216" t="n">
        <v>61.02</v>
      </c>
      <c r="D9610" s="216" t="n">
        <v>1.06210196018219</v>
      </c>
      <c r="E9610" s="215" t="n">
        <v>45674</v>
      </c>
      <c r="F9610" s="215" t="n">
        <v>45674</v>
      </c>
    </row>
    <row r="9611">
      <c r="A9611" s="215" t="n">
        <v>45677</v>
      </c>
      <c r="B9611" s="216" t="n">
        <v>48.3</v>
      </c>
      <c r="C9611" s="216" t="n">
        <v>61.88</v>
      </c>
      <c r="D9611" s="216" t="n">
        <v>1.062587022781372</v>
      </c>
      <c r="E9611" s="215" t="n">
        <v>45677</v>
      </c>
      <c r="F9611" s="215" t="n">
        <v>45677</v>
      </c>
    </row>
    <row r="9612">
      <c r="A9612" s="215" t="n">
        <v>45678</v>
      </c>
      <c r="B9612" s="216" t="n">
        <v>48.6</v>
      </c>
      <c r="C9612" s="216" t="n">
        <v>61.53</v>
      </c>
      <c r="D9612" s="216" t="n">
        <v>1.063603043556213</v>
      </c>
      <c r="E9612" s="215" t="n">
        <v>45678</v>
      </c>
      <c r="F9612" s="215" t="n">
        <v>45678</v>
      </c>
    </row>
    <row r="9613">
      <c r="A9613" s="215" t="n">
        <v>45679</v>
      </c>
      <c r="B9613" s="216" t="n">
        <v>46.8</v>
      </c>
      <c r="C9613" s="216" t="n">
        <v>60.38</v>
      </c>
      <c r="D9613" s="216" t="n">
        <v>1.070593953132629</v>
      </c>
      <c r="E9613" s="215" t="n">
        <v>45679</v>
      </c>
      <c r="F9613" s="215" t="n">
        <v>45679</v>
      </c>
    </row>
    <row r="9614">
      <c r="A9614" s="215" t="n">
        <v>45680</v>
      </c>
      <c r="B9614" s="216" t="n">
        <v>46</v>
      </c>
      <c r="C9614" s="216" t="n">
        <v>60.52</v>
      </c>
      <c r="D9614" s="216" t="n">
        <v>1.070641040802002</v>
      </c>
      <c r="E9614" s="215" t="n">
        <v>45680</v>
      </c>
      <c r="F9614" s="215" t="n">
        <v>45680</v>
      </c>
    </row>
    <row r="9615">
      <c r="A9615" s="215" t="n">
        <v>45681</v>
      </c>
      <c r="B9615" s="216" t="n">
        <v>46.8</v>
      </c>
      <c r="C9615" s="216" t="n">
        <v>61.25</v>
      </c>
      <c r="D9615" s="216" t="n">
        <v>1.068833947181702</v>
      </c>
      <c r="E9615" s="215" t="n">
        <v>45681</v>
      </c>
      <c r="F9615" s="215" t="n">
        <v>45681</v>
      </c>
    </row>
    <row r="9616">
      <c r="A9616" s="215" t="n">
        <v>45684</v>
      </c>
      <c r="B9616" s="216" t="n">
        <v>47.45</v>
      </c>
      <c r="C9616" s="216" t="n">
        <v>60.7</v>
      </c>
      <c r="D9616" s="216" t="n">
        <v>1.075027942657471</v>
      </c>
      <c r="E9616" s="215" t="n">
        <v>45684</v>
      </c>
      <c r="F9616" s="215" t="n">
        <v>45684</v>
      </c>
    </row>
    <row r="9617">
      <c r="A9617" s="215" t="n">
        <v>45685</v>
      </c>
      <c r="B9617" s="216" t="n">
        <v>46.7</v>
      </c>
      <c r="C9617" s="216" t="n">
        <v>60.7</v>
      </c>
      <c r="D9617" s="216" t="n">
        <v>1.074183940887451</v>
      </c>
      <c r="E9617" s="215" t="n">
        <v>45684</v>
      </c>
      <c r="F9617" s="215" t="n">
        <v>45685</v>
      </c>
    </row>
    <row r="9618">
      <c r="A9618" s="215" t="n">
        <v>45691</v>
      </c>
      <c r="B9618" s="216" t="n">
        <v>45.75</v>
      </c>
      <c r="C9618" s="216" t="n">
        <v>60.7</v>
      </c>
      <c r="D9618" s="216" t="n">
        <v>1.084506034851074</v>
      </c>
      <c r="E9618" s="215" t="n">
        <v>45684</v>
      </c>
      <c r="F9618" s="215" t="n">
        <v>45691</v>
      </c>
    </row>
    <row r="9619">
      <c r="A9619" s="215" t="n">
        <v>45692</v>
      </c>
      <c r="B9619" s="216" t="n">
        <v>48.7</v>
      </c>
      <c r="C9619" s="216" t="n">
        <v>60.7</v>
      </c>
      <c r="D9619" s="216" t="n">
        <v>1.082739949226379</v>
      </c>
      <c r="E9619" s="215" t="n">
        <v>45684</v>
      </c>
      <c r="F9619" s="215" t="n">
        <v>45692</v>
      </c>
    </row>
    <row r="9620">
      <c r="A9620" s="215" t="n">
        <v>45693</v>
      </c>
      <c r="B9620" s="216" t="n">
        <v>46.5</v>
      </c>
      <c r="C9620" s="216" t="n">
        <v>60.22</v>
      </c>
      <c r="D9620" s="216" t="n">
        <v>1.083930015563965</v>
      </c>
      <c r="E9620" s="215" t="n">
        <v>45693</v>
      </c>
      <c r="F9620" s="215" t="n">
        <v>45693</v>
      </c>
    </row>
    <row r="9621">
      <c r="A9621" s="215" t="n">
        <v>45694</v>
      </c>
      <c r="B9621" s="216" t="n">
        <v>47.6</v>
      </c>
      <c r="C9621" s="216" t="n">
        <v>60.95</v>
      </c>
      <c r="D9621" s="216" t="n">
        <v>1.070767045021057</v>
      </c>
      <c r="E9621" s="215" t="n">
        <v>45694</v>
      </c>
      <c r="F9621" s="215" t="n">
        <v>45694</v>
      </c>
    </row>
    <row r="9622">
      <c r="A9622" s="215" t="n">
        <v>45695</v>
      </c>
      <c r="B9622" s="216" t="n">
        <v>49.15</v>
      </c>
      <c r="C9622" s="216" t="n">
        <v>61.64</v>
      </c>
      <c r="D9622" s="216" t="n">
        <v>1.068161010742188</v>
      </c>
      <c r="E9622" s="215" t="n">
        <v>45695</v>
      </c>
      <c r="F9622" s="215" t="n">
        <v>45695</v>
      </c>
    </row>
    <row r="9623">
      <c r="A9623" s="215" t="n">
        <v>45698</v>
      </c>
      <c r="B9623" s="216" t="n">
        <v>50.15</v>
      </c>
      <c r="C9623" s="216" t="n">
        <v>62.05</v>
      </c>
      <c r="D9623" s="216" t="n">
        <v>1.068833947181702</v>
      </c>
      <c r="E9623" s="215" t="n">
        <v>45698</v>
      </c>
      <c r="F9623" s="215" t="n">
        <v>45698</v>
      </c>
    </row>
    <row r="9624">
      <c r="A9624" s="215" t="n">
        <v>45699</v>
      </c>
      <c r="B9624" s="216" t="n">
        <v>47.8</v>
      </c>
      <c r="C9624" s="216" t="n">
        <v>60.97</v>
      </c>
      <c r="D9624" s="216" t="n">
        <v>1.066220045089722</v>
      </c>
      <c r="E9624" s="215" t="n">
        <v>45699</v>
      </c>
      <c r="F9624" s="215" t="n">
        <v>45699</v>
      </c>
    </row>
    <row r="9625">
      <c r="A9625" s="215" t="n">
        <v>45700</v>
      </c>
      <c r="B9625" s="216" t="n">
        <v>47.6</v>
      </c>
      <c r="C9625" s="216" t="n">
        <v>61.48</v>
      </c>
      <c r="D9625" s="216" t="n">
        <v>1.066164970397949</v>
      </c>
      <c r="E9625" s="215" t="n">
        <v>45700</v>
      </c>
      <c r="F9625" s="215" t="n">
        <v>45700</v>
      </c>
    </row>
    <row r="9626">
      <c r="A9626" s="215" t="n">
        <v>45701</v>
      </c>
      <c r="B9626" s="216" t="n">
        <v>47</v>
      </c>
      <c r="C9626" s="216" t="n">
        <v>61.99</v>
      </c>
      <c r="D9626" s="216" t="n">
        <v>1.065642952919006</v>
      </c>
      <c r="E9626" s="215" t="n">
        <v>45701</v>
      </c>
      <c r="F9626" s="215" t="n">
        <v>45701</v>
      </c>
    </row>
    <row r="9627">
      <c r="A9627" s="215" t="n">
        <v>45702</v>
      </c>
      <c r="B9627" s="216" t="n">
        <v>48.95</v>
      </c>
      <c r="C9627" s="216" t="n">
        <v>62.09</v>
      </c>
      <c r="D9627" s="216" t="n">
        <v>1.068236947059631</v>
      </c>
      <c r="E9627" s="215" t="n">
        <v>45702</v>
      </c>
      <c r="F9627" s="215" t="n">
        <v>45702</v>
      </c>
    </row>
    <row r="9628">
      <c r="A9628" s="215" t="n">
        <v>45705</v>
      </c>
      <c r="B9628" s="216" t="n">
        <v>48.2</v>
      </c>
      <c r="C9628" s="216" t="n">
        <v>61.75</v>
      </c>
      <c r="D9628" s="216" t="n">
        <v>1.072839021682739</v>
      </c>
      <c r="E9628" s="215" t="n">
        <v>45705</v>
      </c>
      <c r="F9628" s="215" t="n">
        <v>45705</v>
      </c>
    </row>
    <row r="9629">
      <c r="A9629" s="215" t="n">
        <v>45706</v>
      </c>
      <c r="B9629" s="216" t="n">
        <v>47.7</v>
      </c>
      <c r="C9629" s="216" t="n">
        <v>60.31</v>
      </c>
      <c r="D9629" s="216" t="n">
        <v>1.072520971298218</v>
      </c>
      <c r="E9629" s="215" t="n">
        <v>45706</v>
      </c>
      <c r="F9629" s="215" t="n">
        <v>45706</v>
      </c>
    </row>
    <row r="9630">
      <c r="A9630" s="215" t="n">
        <v>45707</v>
      </c>
      <c r="B9630" s="216" t="n">
        <v>47.9</v>
      </c>
      <c r="C9630" s="216" t="n">
        <v>60.86</v>
      </c>
      <c r="D9630" s="216" t="n">
        <v>1.067935943603516</v>
      </c>
      <c r="E9630" s="215" t="n">
        <v>45707</v>
      </c>
      <c r="F9630" s="215" t="n">
        <v>45707</v>
      </c>
    </row>
    <row r="9631">
      <c r="A9631" s="215" t="n">
        <v>45708</v>
      </c>
      <c r="B9631" s="216" t="n">
        <v>46.35</v>
      </c>
      <c r="C9631" s="216" t="n">
        <v>60.47</v>
      </c>
      <c r="D9631" s="216" t="n">
        <v>1.067798972129822</v>
      </c>
      <c r="E9631" s="215" t="n">
        <v>45708</v>
      </c>
      <c r="F9631" s="215" t="n">
        <v>45708</v>
      </c>
    </row>
    <row r="9632">
      <c r="A9632" s="215" t="n">
        <v>45709</v>
      </c>
      <c r="B9632" s="216" t="n">
        <v>47.4</v>
      </c>
      <c r="C9632" s="216" t="n">
        <v>61.05</v>
      </c>
      <c r="D9632" s="216" t="n">
        <v>1.071557998657227</v>
      </c>
      <c r="E9632" s="215" t="n">
        <v>45709</v>
      </c>
      <c r="F9632" s="215" t="n">
        <v>45709</v>
      </c>
    </row>
    <row r="9633">
      <c r="A9633" s="215" t="n">
        <v>45712</v>
      </c>
      <c r="B9633" s="216" t="n">
        <v>47.3</v>
      </c>
      <c r="C9633" s="216" t="n">
        <v>60.72</v>
      </c>
      <c r="D9633" s="216" t="n">
        <v>1.071457982063293</v>
      </c>
      <c r="E9633" s="215" t="n">
        <v>45712</v>
      </c>
      <c r="F9633" s="215" t="n">
        <v>45712</v>
      </c>
    </row>
    <row r="9634">
      <c r="A9634" s="215" t="n">
        <v>45713</v>
      </c>
      <c r="B9634" s="216" t="n">
        <v>45.65</v>
      </c>
      <c r="C9634" s="216" t="n">
        <v>60.05</v>
      </c>
      <c r="D9634" s="216" t="n">
        <v>1.072481989860535</v>
      </c>
      <c r="E9634" s="215" t="n">
        <v>45713</v>
      </c>
      <c r="F9634" s="215" t="n">
        <v>45713</v>
      </c>
    </row>
    <row r="9635">
      <c r="A9635" s="215" t="n">
        <v>45714</v>
      </c>
      <c r="B9635" s="216" t="n">
        <v>47.85</v>
      </c>
      <c r="C9635" s="216" t="n">
        <v>61.04</v>
      </c>
      <c r="D9635" s="216" t="n">
        <v>1.072456955909729</v>
      </c>
      <c r="E9635" s="215" t="n">
        <v>45714</v>
      </c>
      <c r="F9635" s="215" t="n">
        <v>45714</v>
      </c>
    </row>
    <row r="9636">
      <c r="A9636" s="215" t="n">
        <v>45715</v>
      </c>
      <c r="B9636" s="216" t="n">
        <v>50.6</v>
      </c>
      <c r="C9636" s="216" t="n">
        <v>62.67</v>
      </c>
      <c r="D9636" s="216" t="n">
        <v>1.070572972297668</v>
      </c>
      <c r="E9636" s="215" t="n">
        <v>45715</v>
      </c>
      <c r="F9636" s="215" t="n">
        <v>45715</v>
      </c>
    </row>
    <row r="9637">
      <c r="A9637" s="215" t="n">
        <v>45716</v>
      </c>
      <c r="B9637" s="216" t="n">
        <v>47</v>
      </c>
      <c r="C9637" s="216" t="n">
        <v>61.17</v>
      </c>
      <c r="D9637" s="216" t="n">
        <v>1.067088961601257</v>
      </c>
      <c r="E9637" s="215" t="n">
        <v>45716</v>
      </c>
      <c r="F9637" s="215" t="n">
        <v>45716</v>
      </c>
    </row>
    <row r="9638">
      <c r="A9638" s="215" t="n">
        <v>45719</v>
      </c>
      <c r="B9638" s="216" t="n">
        <v>47.35</v>
      </c>
      <c r="C9638" s="216" t="n">
        <v>61.11</v>
      </c>
      <c r="D9638" s="216" t="n">
        <v>1.06771194934845</v>
      </c>
      <c r="E9638" s="215" t="n">
        <v>45719</v>
      </c>
      <c r="F9638" s="215" t="n">
        <v>45719</v>
      </c>
    </row>
    <row r="9639">
      <c r="A9639" s="215" t="n">
        <v>45720</v>
      </c>
      <c r="B9639" s="216" t="n">
        <v>47.85</v>
      </c>
      <c r="C9639" s="216" t="n">
        <v>61.13</v>
      </c>
      <c r="D9639" s="216" t="n">
        <v>1.067291021347046</v>
      </c>
      <c r="E9639" s="215" t="n">
        <v>45720</v>
      </c>
      <c r="F9639" s="215" t="n">
        <v>45720</v>
      </c>
    </row>
    <row r="9640">
      <c r="A9640" s="215" t="n">
        <v>45721</v>
      </c>
      <c r="B9640" s="216" t="n">
        <v>48.35</v>
      </c>
      <c r="C9640" s="216" t="n">
        <v>61.23</v>
      </c>
      <c r="D9640" s="216" t="n">
        <v>1.069700956344604</v>
      </c>
      <c r="E9640" s="215" t="n">
        <v>45721</v>
      </c>
      <c r="F9640" s="215" t="n">
        <v>45721</v>
      </c>
    </row>
    <row r="9641">
      <c r="A9641" s="215" t="n">
        <v>45722</v>
      </c>
      <c r="B9641" s="216" t="n">
        <v>50.3</v>
      </c>
      <c r="C9641" s="216" t="n">
        <v>62.34</v>
      </c>
      <c r="D9641" s="216" t="n">
        <v>1.071586012840271</v>
      </c>
      <c r="E9641" s="215" t="n">
        <v>45722</v>
      </c>
      <c r="F9641" s="215" t="n">
        <v>45722</v>
      </c>
    </row>
    <row r="9642">
      <c r="A9642" s="215" t="n">
        <v>45723</v>
      </c>
      <c r="B9642" s="216" t="n">
        <v>50.35</v>
      </c>
      <c r="C9642" s="216" t="n">
        <v>61.92</v>
      </c>
      <c r="D9642" s="216" t="n">
        <v>1.071760058403015</v>
      </c>
      <c r="E9642" s="215" t="n">
        <v>45723</v>
      </c>
      <c r="F9642" s="215" t="n">
        <v>45723</v>
      </c>
    </row>
    <row r="9643">
      <c r="A9643" s="215" t="n">
        <v>45726</v>
      </c>
      <c r="B9643" s="216" t="n">
        <v>49.6</v>
      </c>
      <c r="C9643" s="216" t="n">
        <v>61.27</v>
      </c>
      <c r="D9643" s="216" t="n">
        <v>1.074237942695618</v>
      </c>
      <c r="E9643" s="215" t="n">
        <v>45726</v>
      </c>
      <c r="F9643" s="215" t="n">
        <v>45726</v>
      </c>
    </row>
    <row r="9644">
      <c r="A9644" s="215" t="n">
        <v>45727</v>
      </c>
      <c r="B9644" s="216" t="n">
        <v>51.9</v>
      </c>
      <c r="C9644" s="216" t="n">
        <v>62.2</v>
      </c>
      <c r="D9644" s="216" t="n">
        <v>1.069882988929749</v>
      </c>
      <c r="E9644" s="215" t="n">
        <v>45727</v>
      </c>
      <c r="F9644" s="215" t="n">
        <v>45727</v>
      </c>
    </row>
    <row r="9645">
      <c r="A9645" s="215" t="n">
        <v>45728</v>
      </c>
      <c r="B9645" s="216" t="n">
        <v>51.6</v>
      </c>
      <c r="C9645" s="216" t="n">
        <v>61.72</v>
      </c>
      <c r="D9645" s="216" t="n">
        <v>1.070067048072815</v>
      </c>
      <c r="E9645" s="215" t="n">
        <v>45728</v>
      </c>
      <c r="F9645" s="215" t="n">
        <v>45728</v>
      </c>
    </row>
    <row r="9646">
      <c r="A9646" s="215" t="n">
        <v>45729</v>
      </c>
      <c r="B9646" s="216" t="n">
        <v>51.15</v>
      </c>
      <c r="C9646" s="216" t="n">
        <v>62.12</v>
      </c>
      <c r="D9646" s="216" t="n">
        <v>1.07337498664856</v>
      </c>
      <c r="E9646" s="215" t="n">
        <v>45729</v>
      </c>
      <c r="F9646" s="215" t="n">
        <v>45729</v>
      </c>
    </row>
    <row r="9647">
      <c r="A9647" s="215" t="n">
        <v>45730</v>
      </c>
      <c r="B9647" s="216" t="n">
        <v>53.5</v>
      </c>
      <c r="C9647" s="216" t="n">
        <v>64.08</v>
      </c>
      <c r="D9647" s="216" t="n">
        <v>1.073752999305725</v>
      </c>
      <c r="E9647" s="215" t="n">
        <v>45730</v>
      </c>
      <c r="F9647" s="215" t="n">
        <v>45730</v>
      </c>
    </row>
    <row r="9648">
      <c r="A9648" s="215" t="n">
        <v>45733</v>
      </c>
      <c r="B9648" s="216" t="n">
        <v>53.55</v>
      </c>
      <c r="C9648" s="216" t="n">
        <v>64.12</v>
      </c>
      <c r="D9648" s="216" t="n">
        <v>1.073765993118286</v>
      </c>
      <c r="E9648" s="215" t="n">
        <v>45733</v>
      </c>
      <c r="F9648" s="215" t="n">
        <v>45733</v>
      </c>
    </row>
    <row r="9649">
      <c r="A9649" s="215" t="n">
        <v>45734</v>
      </c>
      <c r="B9649" s="216" t="n">
        <v>53.05</v>
      </c>
      <c r="C9649" s="216" t="n">
        <v>63.59</v>
      </c>
      <c r="D9649" s="216" t="n">
        <v>1.073990941047668</v>
      </c>
      <c r="E9649" s="215" t="n">
        <v>45734</v>
      </c>
      <c r="F9649" s="215" t="n">
        <v>45734</v>
      </c>
    </row>
    <row r="9650">
      <c r="A9650" s="215" t="n">
        <v>45735</v>
      </c>
      <c r="B9650" s="216" t="n">
        <v>52.6</v>
      </c>
      <c r="C9650" s="216" t="n">
        <v>63.34</v>
      </c>
      <c r="D9650" s="216" t="n">
        <v>1.074807047843933</v>
      </c>
      <c r="E9650" s="215" t="n">
        <v>45735</v>
      </c>
      <c r="F9650" s="215" t="n">
        <v>45735</v>
      </c>
    </row>
    <row r="9651">
      <c r="A9651" s="215" t="n">
        <v>45736</v>
      </c>
      <c r="B9651" s="216" t="n">
        <v>51.4</v>
      </c>
      <c r="C9651" s="216" t="n">
        <v>62.72</v>
      </c>
      <c r="D9651" s="216" t="n">
        <v>1.074540019035339</v>
      </c>
      <c r="E9651" s="215" t="n">
        <v>45736</v>
      </c>
      <c r="F9651" s="215" t="n">
        <v>45736</v>
      </c>
    </row>
    <row r="9652">
      <c r="A9652" s="215" t="n">
        <v>45737</v>
      </c>
      <c r="B9652" s="216" t="n">
        <v>50.2</v>
      </c>
      <c r="C9652" s="216" t="n">
        <v>61.82</v>
      </c>
      <c r="D9652" s="216" t="n">
        <v>1.072183012962341</v>
      </c>
      <c r="E9652" s="215" t="n">
        <v>45737</v>
      </c>
      <c r="F9652" s="215" t="n">
        <v>45737</v>
      </c>
    </row>
    <row r="9653">
      <c r="A9653" s="215" t="n">
        <v>45740</v>
      </c>
      <c r="B9653" s="216" t="n">
        <v>50.8</v>
      </c>
      <c r="C9653" s="216" t="n">
        <v>62.02</v>
      </c>
      <c r="D9653" s="216" t="n">
        <v>1.072136998176575</v>
      </c>
      <c r="E9653" s="215" t="n">
        <v>45740</v>
      </c>
      <c r="F9653" s="215" t="n">
        <v>45740</v>
      </c>
    </row>
    <row r="9654">
      <c r="A9654" s="215" t="n">
        <v>45741</v>
      </c>
      <c r="B9654" s="216" t="n">
        <v>50.85</v>
      </c>
      <c r="C9654" s="216" t="n">
        <v>62.15</v>
      </c>
      <c r="D9654" s="216" t="n">
        <v>1.071681976318359</v>
      </c>
      <c r="E9654" s="215" t="n">
        <v>45741</v>
      </c>
      <c r="F9654" s="215" t="n">
        <v>45741</v>
      </c>
    </row>
    <row r="9655">
      <c r="A9655" s="215" t="n">
        <v>45742</v>
      </c>
      <c r="B9655" s="216" t="n">
        <v>50.3</v>
      </c>
      <c r="C9655" s="216" t="n">
        <v>62.38</v>
      </c>
      <c r="D9655" s="216" t="n">
        <v>1.071272969245911</v>
      </c>
      <c r="E9655" s="215" t="n">
        <v>45742</v>
      </c>
      <c r="F9655" s="215" t="n">
        <v>45742</v>
      </c>
    </row>
    <row r="9656">
      <c r="A9656" s="215" t="n">
        <v>45743</v>
      </c>
      <c r="B9656" s="216" t="n">
        <v>50.3</v>
      </c>
      <c r="C9656" s="216" t="n">
        <v>62.39</v>
      </c>
      <c r="D9656" s="216" t="n">
        <v>1.071310043334961</v>
      </c>
      <c r="E9656" s="215" t="n">
        <v>45743</v>
      </c>
      <c r="F9656" s="215" t="n">
        <v>45743</v>
      </c>
    </row>
    <row r="9657">
      <c r="A9657" s="215" t="n">
        <v>45744</v>
      </c>
      <c r="B9657" s="216" t="n">
        <v>49.9</v>
      </c>
      <c r="C9657" s="216" t="n">
        <v>61.61</v>
      </c>
      <c r="D9657" s="216" t="n">
        <v>1.03395402431488</v>
      </c>
      <c r="E9657" s="215" t="n">
        <v>45744</v>
      </c>
      <c r="F9657" s="215" t="n">
        <v>45744</v>
      </c>
    </row>
    <row r="9658">
      <c r="A9658" s="215" t="n">
        <v>45747</v>
      </c>
      <c r="B9658" s="216" t="n">
        <v>48.65</v>
      </c>
      <c r="C9658" s="216" t="n">
        <v>60.2</v>
      </c>
      <c r="D9658" s="216" t="n">
        <v>1.070834994316101</v>
      </c>
      <c r="E9658" s="215" t="n">
        <v>45747</v>
      </c>
      <c r="F9658" s="215" t="n">
        <v>45747</v>
      </c>
    </row>
    <row r="9659">
      <c r="A9659" s="215" t="n">
        <v>45748</v>
      </c>
      <c r="B9659" s="216" t="n">
        <v>49.15</v>
      </c>
      <c r="C9659" s="216" t="n">
        <v>60.43</v>
      </c>
      <c r="D9659" s="216" t="n">
        <v>1.071635007858276</v>
      </c>
      <c r="E9659" s="215" t="n">
        <v>45748</v>
      </c>
      <c r="F9659" s="215" t="n">
        <v>45748</v>
      </c>
    </row>
    <row r="9660">
      <c r="A9660" s="215" t="n">
        <v>45749</v>
      </c>
      <c r="B9660" s="216" t="n">
        <v>49.3</v>
      </c>
      <c r="C9660" s="216" t="n">
        <v>60.42</v>
      </c>
      <c r="D9660" s="216" t="n">
        <v>1.070148944854736</v>
      </c>
      <c r="E9660" s="215" t="n">
        <v>45749</v>
      </c>
      <c r="F9660" s="215" t="n">
        <v>45749</v>
      </c>
    </row>
    <row r="9661">
      <c r="A9661" s="215" t="n">
        <v>45750</v>
      </c>
      <c r="B9661" s="216" t="n">
        <v>49.3</v>
      </c>
      <c r="C9661" s="216" t="n">
        <v>60.6</v>
      </c>
      <c r="D9661" s="216" t="n">
        <v>1.070878982543945</v>
      </c>
      <c r="E9661" s="215" t="n">
        <v>45750</v>
      </c>
      <c r="F9661" s="215" t="n">
        <v>45750</v>
      </c>
    </row>
    <row r="9662">
      <c r="A9662" s="215" t="n">
        <v>45754</v>
      </c>
      <c r="B9662" s="216" t="n">
        <v>43.6</v>
      </c>
      <c r="C9662" s="216" t="n">
        <v>56.57</v>
      </c>
      <c r="D9662" s="216" t="n">
        <v>1.067106008529663</v>
      </c>
      <c r="E9662" s="215" t="n">
        <v>45754</v>
      </c>
      <c r="F9662" s="215" t="n">
        <v>45754</v>
      </c>
    </row>
    <row r="9663">
      <c r="A9663" s="215" t="n">
        <v>45755</v>
      </c>
      <c r="B9663" s="216" t="n">
        <v>45.85</v>
      </c>
      <c r="C9663" s="216" t="n">
        <v>60.79</v>
      </c>
      <c r="D9663" s="216" t="n">
        <v>1.062885046005249</v>
      </c>
      <c r="E9663" s="215" t="n">
        <v>45755</v>
      </c>
      <c r="F9663" s="215" t="n">
        <v>45755</v>
      </c>
    </row>
    <row r="9664">
      <c r="A9664" s="215" t="n">
        <v>45756</v>
      </c>
      <c r="B9664" s="216" t="n">
        <v>56.7</v>
      </c>
      <c r="C9664" s="216" t="n">
        <v>66.87</v>
      </c>
      <c r="D9664" s="216" t="n">
        <v>1.058482050895691</v>
      </c>
      <c r="E9664" s="215" t="n">
        <v>45756</v>
      </c>
      <c r="F9664" s="215" t="n">
        <v>45756</v>
      </c>
    </row>
    <row r="9665">
      <c r="A9665" s="215" t="n">
        <v>45757</v>
      </c>
      <c r="B9665" s="216" t="n">
        <v>55.95</v>
      </c>
      <c r="C9665" s="216" t="n">
        <v>70.20999999999999</v>
      </c>
      <c r="D9665" s="216" t="n">
        <v>1.055835008621216</v>
      </c>
      <c r="E9665" s="215" t="n">
        <v>45757</v>
      </c>
      <c r="F9665" s="215" t="n">
        <v>45757</v>
      </c>
    </row>
    <row r="9666">
      <c r="A9666" s="215" t="n">
        <v>45758</v>
      </c>
      <c r="B9666" s="216" t="n">
        <v>54</v>
      </c>
      <c r="C9666" s="216" t="n">
        <v>67.95</v>
      </c>
      <c r="D9666" s="216" t="n">
        <v>1.060536980628967</v>
      </c>
      <c r="E9666" s="215" t="n">
        <v>45758</v>
      </c>
      <c r="F9666" s="215" t="n">
        <v>45758</v>
      </c>
    </row>
    <row r="9667">
      <c r="A9667" s="215" t="n">
        <v>45761</v>
      </c>
      <c r="B9667" s="216" t="n">
        <v>55</v>
      </c>
      <c r="C9667" s="216" t="n">
        <v>67.98</v>
      </c>
      <c r="D9667" s="216" t="n">
        <v>1.063439965248108</v>
      </c>
      <c r="E9667" s="215" t="n">
        <v>45761</v>
      </c>
      <c r="F9667" s="215" t="n">
        <v>45761</v>
      </c>
    </row>
    <row r="9668">
      <c r="A9668" s="215" t="n">
        <v>45762</v>
      </c>
      <c r="B9668" s="216" t="n">
        <v>52.35</v>
      </c>
      <c r="C9668" s="216" t="n">
        <v>65.68000000000001</v>
      </c>
      <c r="D9668" s="216" t="n">
        <v>1.06060004234314</v>
      </c>
      <c r="E9668" s="215" t="n">
        <v>45762</v>
      </c>
      <c r="F9668" s="215" t="n">
        <v>45762</v>
      </c>
    </row>
    <row r="9669">
      <c r="A9669" s="215" t="n">
        <v>45763</v>
      </c>
      <c r="B9669" s="216" t="n">
        <v>54.2</v>
      </c>
      <c r="C9669" s="216" t="n">
        <v>67.40000000000001</v>
      </c>
      <c r="D9669" s="216" t="n">
        <v>1.06060004234314</v>
      </c>
      <c r="E9669" s="215" t="n">
        <v>45763</v>
      </c>
      <c r="F9669" s="215" t="n">
        <v>45763</v>
      </c>
    </row>
    <row r="9670">
      <c r="A9670" s="215" t="n">
        <v>45764</v>
      </c>
      <c r="B9670" s="216" t="n">
        <v>53.55</v>
      </c>
      <c r="C9670" s="216" t="n">
        <v>66.02</v>
      </c>
      <c r="D9670" s="216" t="n">
        <v>1.06060004234314</v>
      </c>
      <c r="E9670" s="215" t="n">
        <v>45764</v>
      </c>
      <c r="F9670" s="215" t="n">
        <v>45764</v>
      </c>
    </row>
    <row r="9671">
      <c r="A9671" s="215" t="n">
        <v>45769</v>
      </c>
      <c r="B9671" s="216" t="n">
        <v>51.9</v>
      </c>
      <c r="C9671" s="216" t="n">
        <v>64.31999999999999</v>
      </c>
      <c r="D9671" s="216" t="n">
        <v>1.06060004234314</v>
      </c>
      <c r="E9671" s="215" t="n">
        <v>45769</v>
      </c>
      <c r="F9671" s="215" t="n">
        <v>45769</v>
      </c>
    </row>
    <row r="9672">
      <c r="A9672" s="215" t="n">
        <v>45770</v>
      </c>
      <c r="B9672" s="216" t="n">
        <v>50.45</v>
      </c>
      <c r="C9672" s="216" t="n">
        <v>62.96</v>
      </c>
      <c r="D9672" s="216" t="n">
        <v>1.06060004234314</v>
      </c>
      <c r="E9672" s="215" t="n">
        <v>45770</v>
      </c>
      <c r="F9672" s="215" t="n">
        <v>45770</v>
      </c>
    </row>
    <row r="9673">
      <c r="A9673" s="215" t="n">
        <v>45771</v>
      </c>
      <c r="B9673" s="216" t="n">
        <v>50.2</v>
      </c>
      <c r="C9673" s="216" t="n">
        <v>62.66</v>
      </c>
      <c r="D9673" s="216" t="n">
        <v>1.06060004234314</v>
      </c>
      <c r="E9673" s="215" t="n">
        <v>45771</v>
      </c>
      <c r="F9673" s="215" t="n">
        <v>45771</v>
      </c>
    </row>
    <row r="9674">
      <c r="A9674" s="215" t="n">
        <v>45772</v>
      </c>
      <c r="B9674" s="216" t="n">
        <v>50.85</v>
      </c>
      <c r="C9674" s="216" t="n">
        <v>63</v>
      </c>
      <c r="D9674" s="216" t="n">
        <v>1.061900019645691</v>
      </c>
      <c r="E9674" s="215" t="n">
        <v>45772</v>
      </c>
      <c r="F9674" s="215" t="n">
        <v>45772</v>
      </c>
    </row>
    <row r="9675">
      <c r="A9675" s="215" t="n">
        <v>45775</v>
      </c>
      <c r="B9675" s="216" t="n">
        <v>51.15</v>
      </c>
      <c r="C9675" s="216" t="n">
        <v>63.05</v>
      </c>
      <c r="D9675" s="216" t="n">
        <v>1.064350962638855</v>
      </c>
      <c r="E9675" s="215" t="n">
        <v>45775</v>
      </c>
      <c r="F9675" s="215" t="n">
        <v>45775</v>
      </c>
    </row>
    <row r="9676">
      <c r="A9676" s="215" t="n">
        <v>45776</v>
      </c>
      <c r="B9676" s="216" t="n">
        <v>51.1</v>
      </c>
      <c r="C9676" s="216" t="n">
        <v>62.32</v>
      </c>
      <c r="D9676" s="216" t="n">
        <v>1.063179969787598</v>
      </c>
      <c r="E9676" s="215" t="n">
        <v>45776</v>
      </c>
      <c r="F9676" s="215" t="n">
        <v>45776</v>
      </c>
    </row>
    <row r="9677">
      <c r="A9677" s="215" t="n">
        <v>45777</v>
      </c>
      <c r="B9677" s="216" t="n">
        <v>52.85</v>
      </c>
      <c r="C9677" s="216" t="n">
        <v>63.4</v>
      </c>
      <c r="D9677" s="216" t="n">
        <v>1.067217946052551</v>
      </c>
      <c r="E9677" s="215" t="n">
        <v>45777</v>
      </c>
      <c r="F9677" s="215" t="n">
        <v>45777</v>
      </c>
    </row>
    <row r="9678">
      <c r="A9678" s="215" t="n">
        <v>45779</v>
      </c>
      <c r="B9678" s="216" t="n">
        <v>52.95</v>
      </c>
      <c r="C9678" s="216" t="n">
        <v>63.4</v>
      </c>
      <c r="D9678" s="216" t="n">
        <v>1.066810965538025</v>
      </c>
      <c r="E9678" s="215" t="n">
        <v>45777</v>
      </c>
      <c r="F9678" s="215" t="n">
        <v>45779</v>
      </c>
    </row>
    <row r="9679">
      <c r="A9679" s="215" t="n">
        <v>45783</v>
      </c>
      <c r="B9679" s="216" t="n">
        <v>51.85</v>
      </c>
      <c r="C9679" s="216" t="n">
        <v>63.56</v>
      </c>
      <c r="D9679" s="216" t="n">
        <v>1.065811991691589</v>
      </c>
      <c r="E9679" s="215" t="n">
        <v>45783</v>
      </c>
      <c r="F9679" s="215" t="n">
        <v>45783</v>
      </c>
    </row>
    <row r="9680">
      <c r="A9680" s="215" t="n">
        <v>45784</v>
      </c>
      <c r="B9680" s="216" t="n">
        <v>51</v>
      </c>
      <c r="C9680" s="216" t="n">
        <v>63.4</v>
      </c>
      <c r="D9680" s="216" t="n">
        <v>1.073848009109497</v>
      </c>
      <c r="E9680" s="215" t="n">
        <v>45784</v>
      </c>
      <c r="F9680" s="215" t="n">
        <v>45784</v>
      </c>
    </row>
    <row r="9681">
      <c r="A9681" s="215" t="n">
        <v>45785</v>
      </c>
      <c r="B9681" s="216" t="n">
        <v>50.7</v>
      </c>
      <c r="C9681" s="216" t="n">
        <v>63.27</v>
      </c>
      <c r="D9681" s="216" t="n">
        <v>1.07387101650238</v>
      </c>
      <c r="E9681" s="215" t="n">
        <v>45785</v>
      </c>
      <c r="F9681" s="215" t="n">
        <v>45785</v>
      </c>
    </row>
    <row r="9682">
      <c r="A9682" s="215" t="n">
        <v>45786</v>
      </c>
      <c r="B9682" s="216" t="n">
        <v>50.7</v>
      </c>
      <c r="C9682" s="216" t="n">
        <v>62.72</v>
      </c>
      <c r="D9682" s="216" t="n">
        <v>1.076066970825195</v>
      </c>
      <c r="E9682" s="215" t="n">
        <v>45786</v>
      </c>
      <c r="F9682" s="215" t="n">
        <v>45786</v>
      </c>
    </row>
    <row r="9683">
      <c r="A9683" s="215" t="n">
        <v>45789</v>
      </c>
      <c r="B9683" s="216" t="n">
        <v>51.1</v>
      </c>
      <c r="C9683" s="216" t="n">
        <v>62.57</v>
      </c>
      <c r="D9683" s="216" t="n">
        <v>1.074246048927307</v>
      </c>
      <c r="E9683" s="215" t="n">
        <v>45789</v>
      </c>
      <c r="F9683" s="215" t="n">
        <v>45789</v>
      </c>
    </row>
    <row r="9684">
      <c r="A9684" s="215" t="n">
        <v>45790</v>
      </c>
      <c r="B9684" s="216" t="n">
        <v>50.65</v>
      </c>
      <c r="C9684" s="216" t="n">
        <v>62.51</v>
      </c>
      <c r="D9684" s="216" t="n">
        <v>1.081536054611206</v>
      </c>
      <c r="E9684" s="215" t="n">
        <v>45790</v>
      </c>
      <c r="F9684" s="215" t="n">
        <v>45790</v>
      </c>
    </row>
    <row r="9685">
      <c r="A9685" s="215" t="n">
        <v>45791</v>
      </c>
      <c r="B9685" s="216" t="n">
        <v>50.95</v>
      </c>
      <c r="C9685" s="216" t="n">
        <v>62.58</v>
      </c>
      <c r="D9685" s="216" t="n">
        <v>1.081884980201721</v>
      </c>
      <c r="E9685" s="215" t="n">
        <v>45791</v>
      </c>
      <c r="F9685" s="215" t="n">
        <v>45791</v>
      </c>
    </row>
    <row r="9686">
      <c r="A9686" s="215" t="n">
        <v>45792</v>
      </c>
      <c r="B9686" s="216" t="n">
        <v>50.45</v>
      </c>
      <c r="C9686" s="216" t="n">
        <v>61.73</v>
      </c>
      <c r="D9686" s="216" t="n">
        <v>1.082641005516052</v>
      </c>
      <c r="E9686" s="215" t="n">
        <v>45792</v>
      </c>
      <c r="F9686" s="215" t="n">
        <v>45792</v>
      </c>
    </row>
    <row r="9687">
      <c r="A9687" s="215" t="n">
        <v>45793</v>
      </c>
      <c r="B9687" s="216" t="n">
        <v>51.4</v>
      </c>
      <c r="C9687" s="216" t="n">
        <v>62.87</v>
      </c>
      <c r="D9687" s="216" t="n">
        <v>1.082918047904968</v>
      </c>
      <c r="E9687" s="215" t="n">
        <v>45793</v>
      </c>
      <c r="F9687" s="215" t="n">
        <v>45793</v>
      </c>
    </row>
    <row r="9688">
      <c r="A9688" s="215" t="n">
        <v>45796</v>
      </c>
      <c r="B9688" s="216" t="n">
        <v>50.75</v>
      </c>
      <c r="C9688" s="216" t="n">
        <v>61.88</v>
      </c>
      <c r="D9688" s="216" t="n">
        <v>1.083842992782593</v>
      </c>
      <c r="E9688" s="215" t="n">
        <v>45796</v>
      </c>
      <c r="F9688" s="215" t="n">
        <v>45796</v>
      </c>
    </row>
    <row r="9689">
      <c r="A9689" s="215" t="n">
        <v>45797</v>
      </c>
      <c r="B9689" s="216" t="n">
        <v>51</v>
      </c>
      <c r="C9689" s="216" t="n">
        <v>61.91</v>
      </c>
      <c r="D9689" s="216" t="n">
        <v>1.08473801612854</v>
      </c>
      <c r="E9689" s="215" t="n">
        <v>45797</v>
      </c>
      <c r="F9689" s="215" t="n">
        <v>45797</v>
      </c>
    </row>
    <row r="9690">
      <c r="A9690" s="215" t="n">
        <v>45798</v>
      </c>
      <c r="B9690" s="216" t="n">
        <v>50.8</v>
      </c>
      <c r="C9690" s="216" t="n">
        <v>61.9</v>
      </c>
      <c r="D9690" s="216" t="n">
        <v>1.084200024604797</v>
      </c>
      <c r="E9690" s="215" t="n">
        <v>45798</v>
      </c>
      <c r="F9690" s="215" t="n">
        <v>45798</v>
      </c>
    </row>
    <row r="9691">
      <c r="A9691" s="215" t="n">
        <v>45799</v>
      </c>
      <c r="B9691" s="216" t="n">
        <v>49.95</v>
      </c>
      <c r="C9691" s="216" t="n">
        <v>61.24</v>
      </c>
      <c r="D9691" s="216" t="n">
        <v>1.086825013160706</v>
      </c>
      <c r="E9691" s="215" t="n">
        <v>45799</v>
      </c>
      <c r="F9691" s="215" t="n">
        <v>45799</v>
      </c>
    </row>
    <row r="9692">
      <c r="A9692" s="215" t="n">
        <v>45800</v>
      </c>
      <c r="B9692" s="216" t="n">
        <v>49.8</v>
      </c>
      <c r="C9692" s="216" t="n">
        <v>60.88</v>
      </c>
      <c r="D9692" s="216" t="n">
        <v>1.086493015289307</v>
      </c>
      <c r="E9692" s="215" t="n">
        <v>45800</v>
      </c>
      <c r="F9692" s="215" t="n">
        <v>45800</v>
      </c>
    </row>
    <row r="9693">
      <c r="A9693" s="215" t="n">
        <v>45803</v>
      </c>
      <c r="B9693" s="216" t="n">
        <v>49.45</v>
      </c>
      <c r="C9693" s="216" t="n">
        <v>61.15</v>
      </c>
      <c r="D9693" s="216" t="n">
        <v>1.08673095703125</v>
      </c>
      <c r="E9693" s="215" t="n">
        <v>45803</v>
      </c>
      <c r="F9693" s="215" t="n">
        <v>45803</v>
      </c>
    </row>
    <row r="9694">
      <c r="A9694" s="215" t="n">
        <v>45804</v>
      </c>
      <c r="B9694" s="216" t="n">
        <v>49.95</v>
      </c>
      <c r="C9694" s="216" t="n">
        <v>61.18</v>
      </c>
      <c r="D9694" s="216" t="n">
        <v>1.087713956832886</v>
      </c>
      <c r="E9694" s="215" t="n">
        <v>45804</v>
      </c>
      <c r="F9694" s="215" t="n">
        <v>45804</v>
      </c>
    </row>
    <row r="9695">
      <c r="A9695" s="215" t="n">
        <v>45805</v>
      </c>
      <c r="B9695" s="216" t="n">
        <v>50.45</v>
      </c>
      <c r="C9695" s="216" t="n">
        <v>61.23</v>
      </c>
      <c r="D9695" s="216" t="n">
        <v>1.087921977043152</v>
      </c>
      <c r="E9695" s="215" t="n">
        <v>45805</v>
      </c>
      <c r="F9695" s="215" t="n">
        <v>45805</v>
      </c>
    </row>
    <row r="9696">
      <c r="A9696" s="215" t="n">
        <v>45806</v>
      </c>
      <c r="B9696" s="216" t="n">
        <v>50.95</v>
      </c>
      <c r="C9696" s="216" t="n">
        <v>61.63</v>
      </c>
      <c r="D9696" s="216" t="n">
        <v>1.087334990501404</v>
      </c>
      <c r="E9696" s="215" t="n">
        <v>45806</v>
      </c>
      <c r="F9696" s="215" t="n">
        <v>45806</v>
      </c>
    </row>
    <row r="9697">
      <c r="A9697" s="215" t="n">
        <v>45807</v>
      </c>
      <c r="B9697" s="216" t="n">
        <v>49.8</v>
      </c>
      <c r="C9697" s="216" t="n">
        <v>60.59</v>
      </c>
      <c r="D9697" s="216" t="n">
        <v>1.088281989097595</v>
      </c>
      <c r="E9697" s="215" t="n">
        <v>45807</v>
      </c>
      <c r="F9697" s="215" t="n">
        <v>45807</v>
      </c>
    </row>
    <row r="9698">
      <c r="A9698" s="215" t="n">
        <v>45810</v>
      </c>
      <c r="B9698" s="216" t="n">
        <v>49.5</v>
      </c>
      <c r="C9698" s="216" t="n">
        <v>60.59</v>
      </c>
      <c r="D9698" s="216" t="n">
        <v>1.088839054107666</v>
      </c>
      <c r="E9698" s="215" t="n">
        <v>45807</v>
      </c>
      <c r="F9698" s="215" t="n">
        <v>45810</v>
      </c>
    </row>
    <row r="9699">
      <c r="A9699" s="215" t="n">
        <v>45811</v>
      </c>
      <c r="B9699" s="216" t="n">
        <v>49.8</v>
      </c>
      <c r="C9699" s="216" t="n">
        <v>60.92</v>
      </c>
      <c r="D9699" s="216" t="n">
        <v>1.098875999450684</v>
      </c>
      <c r="E9699" s="215" t="n">
        <v>45811</v>
      </c>
      <c r="F9699" s="215" t="n">
        <v>45811</v>
      </c>
    </row>
    <row r="9700">
      <c r="A9700" s="215" t="n">
        <v>45812</v>
      </c>
      <c r="B9700" s="216" t="n">
        <v>50.2</v>
      </c>
      <c r="C9700" s="216" t="n">
        <v>61.64</v>
      </c>
      <c r="D9700" s="216" t="n">
        <v>1.092406988143921</v>
      </c>
      <c r="E9700" s="215" t="n">
        <v>45812</v>
      </c>
      <c r="F9700" s="215" t="n">
        <v>45812</v>
      </c>
    </row>
    <row r="9701">
      <c r="A9701" s="215" t="n">
        <v>45813</v>
      </c>
      <c r="B9701" s="216" t="n">
        <v>50.45</v>
      </c>
      <c r="C9701" s="216" t="n">
        <v>61.35</v>
      </c>
      <c r="D9701" s="216" t="n">
        <v>1.095829010009766</v>
      </c>
      <c r="E9701" s="215" t="n">
        <v>45813</v>
      </c>
      <c r="F9701" s="215" t="n">
        <v>45813</v>
      </c>
    </row>
    <row r="9702">
      <c r="A9702" s="215" t="n">
        <v>45814</v>
      </c>
      <c r="B9702" s="216" t="n">
        <v>50.45</v>
      </c>
      <c r="C9702" s="216" t="n">
        <v>61.61</v>
      </c>
      <c r="D9702" s="216" t="n">
        <v>1.093296051025391</v>
      </c>
      <c r="E9702" s="215" t="n">
        <v>45814</v>
      </c>
      <c r="F9702" s="215" t="n">
        <v>45814</v>
      </c>
    </row>
    <row r="9703">
      <c r="A9703" s="215" t="n">
        <v>45817</v>
      </c>
      <c r="B9703" s="216" t="n">
        <v>51.15</v>
      </c>
      <c r="C9703" s="216" t="n">
        <v>61.66</v>
      </c>
      <c r="D9703" s="216" t="n">
        <v>1.091297030448914</v>
      </c>
      <c r="E9703" s="215" t="n">
        <v>45817</v>
      </c>
      <c r="F9703" s="215" t="n">
        <v>45817</v>
      </c>
    </row>
    <row r="9704">
      <c r="A9704" s="215" t="n">
        <v>45818</v>
      </c>
      <c r="B9704" s="216" t="n">
        <v>51.2</v>
      </c>
      <c r="C9704" s="216" t="n">
        <v>61.16</v>
      </c>
      <c r="D9704" s="216" t="n">
        <v>1.092790007591248</v>
      </c>
      <c r="E9704" s="215" t="n">
        <v>45818</v>
      </c>
      <c r="F9704" s="215" t="n">
        <v>45818</v>
      </c>
    </row>
    <row r="9705">
      <c r="A9705" s="215" t="n">
        <v>45819</v>
      </c>
      <c r="B9705" s="216" t="n">
        <v>51.55</v>
      </c>
      <c r="C9705" s="216" t="n">
        <v>61.38</v>
      </c>
      <c r="D9705" s="216" t="n">
        <v>1.092836976051331</v>
      </c>
      <c r="E9705" s="215" t="n">
        <v>45819</v>
      </c>
      <c r="F9705" s="215" t="n">
        <v>45819</v>
      </c>
    </row>
    <row r="9706">
      <c r="A9706" s="215" t="n">
        <v>45820</v>
      </c>
      <c r="B9706" s="216" t="n">
        <v>51.85</v>
      </c>
      <c r="C9706" s="216" t="n">
        <v>61.18</v>
      </c>
      <c r="D9706" s="216" t="n">
        <v>1.090999960899353</v>
      </c>
      <c r="E9706" s="215" t="n">
        <v>45820</v>
      </c>
      <c r="F9706" s="215" t="n">
        <v>45820</v>
      </c>
    </row>
    <row r="9707">
      <c r="A9707" s="215" t="n">
        <v>45821</v>
      </c>
      <c r="B9707" s="216" t="n">
        <v>50.3</v>
      </c>
      <c r="C9707" s="216" t="n">
        <v>60.4</v>
      </c>
      <c r="D9707" s="216" t="n">
        <v>1.091084957122803</v>
      </c>
      <c r="E9707" s="215" t="n">
        <v>45821</v>
      </c>
      <c r="F9707" s="215" t="n">
        <v>45821</v>
      </c>
    </row>
    <row r="9708">
      <c r="A9708" s="215" t="n">
        <v>45824</v>
      </c>
      <c r="B9708" s="216" t="n">
        <v>50.7</v>
      </c>
      <c r="C9708" s="216" t="n">
        <v>60.45</v>
      </c>
      <c r="D9708" s="216" t="n">
        <v>1.092895984649658</v>
      </c>
      <c r="E9708" s="215" t="n">
        <v>45824</v>
      </c>
      <c r="F9708" s="215" t="n">
        <v>45824</v>
      </c>
    </row>
    <row r="9709">
      <c r="A9709" s="215" t="n">
        <v>45825</v>
      </c>
      <c r="B9709" s="216" t="n">
        <v>51.6</v>
      </c>
      <c r="C9709" s="216" t="n">
        <v>60.63</v>
      </c>
      <c r="D9709" s="216" t="n">
        <v>1.093256950378418</v>
      </c>
      <c r="E9709" s="215" t="n">
        <v>45825</v>
      </c>
      <c r="F9709" s="215" t="n">
        <v>45825</v>
      </c>
    </row>
    <row r="9710">
      <c r="A9710" s="215" t="n">
        <v>45826</v>
      </c>
      <c r="B9710" s="216" t="n">
        <v>51.6</v>
      </c>
      <c r="C9710" s="216" t="n">
        <v>60.66</v>
      </c>
      <c r="D9710" s="216" t="n">
        <v>1.092421054840088</v>
      </c>
      <c r="E9710" s="215" t="n">
        <v>45826</v>
      </c>
      <c r="F9710" s="215" t="n">
        <v>45826</v>
      </c>
    </row>
    <row r="9711">
      <c r="A9711" s="215" t="n">
        <v>45827</v>
      </c>
      <c r="B9711" s="216" t="n">
        <v>52.4</v>
      </c>
      <c r="C9711" s="216" t="n">
        <v>60.81</v>
      </c>
      <c r="D9711" s="216" t="n">
        <v>1.091722011566162</v>
      </c>
      <c r="E9711" s="215" t="n">
        <v>45827</v>
      </c>
      <c r="F9711" s="215" t="n">
        <v>45827</v>
      </c>
    </row>
    <row r="9712">
      <c r="A9712" s="215" t="n">
        <v>45828</v>
      </c>
      <c r="B9712" s="216" t="n">
        <v>53.55</v>
      </c>
      <c r="C9712" s="216" t="n">
        <v>60.18</v>
      </c>
      <c r="D9712" s="216" t="n">
        <v>1.091766953468323</v>
      </c>
      <c r="E9712" s="215" t="n">
        <v>45828</v>
      </c>
      <c r="F9712" s="215" t="n">
        <v>45828</v>
      </c>
    </row>
    <row r="9713">
      <c r="A9713" s="215" t="n">
        <v>45831</v>
      </c>
      <c r="B9713" s="216" t="n">
        <v>52.75</v>
      </c>
      <c r="C9713" s="216" t="n">
        <v>59.71</v>
      </c>
      <c r="D9713" s="216" t="n">
        <v>1.091856002807617</v>
      </c>
      <c r="E9713" s="215" t="n">
        <v>45831</v>
      </c>
      <c r="F9713" s="215" t="n">
        <v>45831</v>
      </c>
    </row>
    <row r="9714">
      <c r="A9714" s="215" t="n">
        <v>45832</v>
      </c>
      <c r="B9714" s="216" t="n">
        <v>53.55</v>
      </c>
      <c r="C9714" s="216" t="n">
        <v>60.88</v>
      </c>
      <c r="D9714" s="216" t="n">
        <v>1.093309044837952</v>
      </c>
      <c r="E9714" s="215" t="n">
        <v>45832</v>
      </c>
      <c r="F9714" s="215" t="n">
        <v>45832</v>
      </c>
    </row>
    <row r="9715">
      <c r="A9715" s="215" t="n">
        <v>45833</v>
      </c>
      <c r="B9715" s="216" t="n">
        <v>53.5</v>
      </c>
      <c r="C9715" s="216" t="n">
        <v>61.3</v>
      </c>
      <c r="D9715" s="216" t="n">
        <v>1.094483971595764</v>
      </c>
      <c r="E9715" s="215" t="n">
        <v>45833</v>
      </c>
      <c r="F9715" s="215" t="n">
        <v>45833</v>
      </c>
    </row>
    <row r="9716">
      <c r="A9716" s="215" t="n">
        <v>45834</v>
      </c>
      <c r="B9716" s="216" t="n">
        <v>54</v>
      </c>
      <c r="C9716" s="216" t="n">
        <v>61.1</v>
      </c>
      <c r="D9716" s="216" t="n">
        <v>1.093523025512695</v>
      </c>
      <c r="E9716" s="215" t="n">
        <v>45834</v>
      </c>
      <c r="F9716" s="215" t="n">
        <v>45834</v>
      </c>
    </row>
    <row r="9717">
      <c r="A9717" s="215" t="n">
        <v>45835</v>
      </c>
      <c r="B9717" s="216" t="n">
        <v>52.3</v>
      </c>
      <c r="C9717" s="216" t="n">
        <v>60.59</v>
      </c>
      <c r="D9717" s="216" t="n">
        <v>1.095173001289368</v>
      </c>
      <c r="E9717" s="215" t="n">
        <v>45835</v>
      </c>
      <c r="F9717" s="215" t="n">
        <v>45835</v>
      </c>
    </row>
    <row r="9718">
      <c r="A9718" s="215" t="n">
        <v>45838</v>
      </c>
      <c r="B9718" s="216" t="n">
        <v>52.1</v>
      </c>
      <c r="C9718" s="216" t="n">
        <v>60.97</v>
      </c>
      <c r="D9718" s="216" t="n">
        <v>1.094328045845032</v>
      </c>
      <c r="E9718" s="215" t="n">
        <v>45838</v>
      </c>
      <c r="F9718" s="215" t="n">
        <v>45838</v>
      </c>
    </row>
    <row r="9719">
      <c r="A9719" s="215" t="n">
        <v>45840</v>
      </c>
      <c r="B9719" s="216" t="n">
        <v>53.3</v>
      </c>
      <c r="C9719" s="216" t="n">
        <v>60.68</v>
      </c>
      <c r="D9719" s="216" t="n">
        <v>1.095211982727051</v>
      </c>
      <c r="E9719" s="215" t="n">
        <v>45840</v>
      </c>
      <c r="F9719" s="215" t="n">
        <v>45840</v>
      </c>
    </row>
    <row r="9720">
      <c r="A9720" s="215" t="n">
        <v>45841</v>
      </c>
      <c r="B9720" s="216" t="n">
        <v>53.8</v>
      </c>
      <c r="C9720" s="216" t="n">
        <v>60.73</v>
      </c>
      <c r="D9720" s="216" t="n">
        <v>1.095422029495239</v>
      </c>
      <c r="E9720" s="215" t="n">
        <v>45841</v>
      </c>
      <c r="F9720" s="215" t="n">
        <v>45841</v>
      </c>
    </row>
    <row r="9721">
      <c r="A9721" s="215" t="n">
        <v>45842</v>
      </c>
      <c r="B9721" s="216" t="n">
        <v>53.95</v>
      </c>
      <c r="C9721" s="216" t="n">
        <v>61.03</v>
      </c>
      <c r="D9721" s="216" t="n">
        <v>1.095221042633057</v>
      </c>
      <c r="E9721" s="215" t="n">
        <v>45842</v>
      </c>
      <c r="F9721" s="215" t="n">
        <v>45842</v>
      </c>
    </row>
    <row r="9722">
      <c r="A9722" s="215" t="n">
        <v>45845</v>
      </c>
      <c r="B9722" s="216" t="n">
        <v>53.55</v>
      </c>
      <c r="C9722" s="216" t="n">
        <v>60.8</v>
      </c>
      <c r="D9722" s="216" t="n">
        <v>1.095430970191956</v>
      </c>
      <c r="E9722" s="215" t="n">
        <v>45845</v>
      </c>
      <c r="F9722" s="215" t="n">
        <v>45845</v>
      </c>
    </row>
    <row r="9723">
      <c r="A9723" s="215" t="n">
        <v>45846</v>
      </c>
      <c r="B9723" s="216" t="n">
        <v>54</v>
      </c>
      <c r="C9723" s="216" t="n">
        <v>61.34</v>
      </c>
      <c r="D9723" s="216" t="n">
        <v>1.093924999237061</v>
      </c>
      <c r="E9723" s="215" t="n">
        <v>45846</v>
      </c>
      <c r="F9723" s="215" t="n">
        <v>45846</v>
      </c>
    </row>
    <row r="9724">
      <c r="A9724" s="215" t="n">
        <v>45847</v>
      </c>
      <c r="B9724" s="216" t="n">
        <v>53.7</v>
      </c>
      <c r="C9724" s="216" t="n">
        <v>61.18</v>
      </c>
      <c r="D9724" s="216" t="n">
        <v>1.094220995903015</v>
      </c>
      <c r="E9724" s="215" t="n">
        <v>45847</v>
      </c>
      <c r="F9724" s="215" t="n">
        <v>45847</v>
      </c>
    </row>
    <row r="9725">
      <c r="A9725" s="215" t="n">
        <v>45848</v>
      </c>
      <c r="B9725" s="216" t="n">
        <v>54.15</v>
      </c>
      <c r="C9725" s="216" t="n">
        <v>61.86</v>
      </c>
      <c r="D9725" s="216" t="n">
        <v>1.093220949172974</v>
      </c>
      <c r="E9725" s="215" t="n">
        <v>45848</v>
      </c>
      <c r="F9725" s="215" t="n">
        <v>45848</v>
      </c>
    </row>
    <row r="9726">
      <c r="A9726" s="215" t="n">
        <v>45849</v>
      </c>
      <c r="B9726" s="216" t="n">
        <v>54.55</v>
      </c>
      <c r="C9726" s="216" t="n">
        <v>62.25</v>
      </c>
      <c r="D9726" s="216" t="n">
        <v>1.093930959701538</v>
      </c>
      <c r="E9726" s="215" t="n">
        <v>45849</v>
      </c>
      <c r="F9726" s="215" t="n">
        <v>45849</v>
      </c>
    </row>
    <row r="9727">
      <c r="A9727" s="215" t="n">
        <v>45852</v>
      </c>
      <c r="B9727" s="216" t="n">
        <v>54.45</v>
      </c>
      <c r="C9727" s="216" t="n">
        <v>61.6</v>
      </c>
      <c r="D9727" s="216" t="n">
        <v>1.095023989677429</v>
      </c>
      <c r="E9727" s="215" t="n">
        <v>45852</v>
      </c>
      <c r="F9727" s="215" t="n">
        <v>45852</v>
      </c>
    </row>
    <row r="9728">
      <c r="A9728" s="215" t="n">
        <v>45853</v>
      </c>
      <c r="B9728" s="216" t="n">
        <v>53.6</v>
      </c>
      <c r="C9728" s="216" t="n">
        <v>61.08</v>
      </c>
      <c r="D9728" s="216" t="n">
        <v>1.095172047615051</v>
      </c>
      <c r="E9728" s="215" t="n">
        <v>45853</v>
      </c>
      <c r="F9728" s="215" t="n">
        <v>45853</v>
      </c>
    </row>
    <row r="9729">
      <c r="A9729" s="215" t="n">
        <v>45854</v>
      </c>
      <c r="B9729" s="216" t="n">
        <v>52.8</v>
      </c>
      <c r="C9729" s="216" t="n">
        <v>61.15</v>
      </c>
      <c r="D9729" s="216" t="n">
        <v>1.094182014465332</v>
      </c>
      <c r="E9729" s="215" t="n">
        <v>45854</v>
      </c>
      <c r="F9729" s="215" t="n">
        <v>45854</v>
      </c>
    </row>
    <row r="9730">
      <c r="A9730" s="215" t="n">
        <v>45855</v>
      </c>
      <c r="B9730" s="216" t="n">
        <v>53.25</v>
      </c>
      <c r="C9730" s="216" t="n">
        <v>61.65</v>
      </c>
      <c r="D9730" s="216" t="n">
        <v>1.093484044075012</v>
      </c>
      <c r="E9730" s="215" t="n">
        <v>45855</v>
      </c>
      <c r="F9730" s="215" t="n">
        <v>45855</v>
      </c>
    </row>
    <row r="9731">
      <c r="A9731" s="215" t="n">
        <v>45856</v>
      </c>
      <c r="B9731" s="216" t="n">
        <v>53.85</v>
      </c>
      <c r="C9731" s="216" t="n">
        <v>62.77</v>
      </c>
      <c r="D9731" s="216" t="n">
        <v>1.092442035675049</v>
      </c>
      <c r="E9731" s="215" t="n">
        <v>45856</v>
      </c>
      <c r="F9731" s="215" t="n">
        <v>45856</v>
      </c>
    </row>
    <row r="9732">
      <c r="A9732" s="215" t="n">
        <v>45859</v>
      </c>
      <c r="B9732" s="216" t="n">
        <v>56.55</v>
      </c>
      <c r="C9732" s="216" t="n">
        <v>63.78</v>
      </c>
      <c r="D9732" s="216" t="n">
        <v>1.093299984931946</v>
      </c>
      <c r="E9732" s="215" t="n">
        <v>45859</v>
      </c>
      <c r="F9732" s="215" t="n">
        <v>45859</v>
      </c>
    </row>
    <row r="9733">
      <c r="A9733" s="215" t="n">
        <v>45860</v>
      </c>
      <c r="B9733" s="216" t="n">
        <v>58.4</v>
      </c>
      <c r="C9733" s="216" t="n">
        <v>65.43000000000001</v>
      </c>
      <c r="D9733" s="216" t="n">
        <v>1.093826055526733</v>
      </c>
      <c r="E9733" s="215" t="n">
        <v>45860</v>
      </c>
      <c r="F9733" s="215" t="n">
        <v>45860</v>
      </c>
    </row>
    <row r="9734">
      <c r="A9734" s="215" t="n">
        <v>45861</v>
      </c>
      <c r="B9734" s="216" t="n">
        <v>55.9</v>
      </c>
      <c r="C9734" s="216" t="n">
        <v>64.40000000000001</v>
      </c>
      <c r="D9734" s="216" t="n">
        <v>1.094056010246277</v>
      </c>
      <c r="E9734" s="215" t="n">
        <v>45861</v>
      </c>
      <c r="F9734" s="215" t="n">
        <v>45861</v>
      </c>
    </row>
    <row r="9735">
      <c r="A9735" s="215" t="n">
        <v>45862</v>
      </c>
      <c r="B9735" s="216" t="n">
        <v>64.40000000000001</v>
      </c>
      <c r="C9735" s="216" t="n">
        <v>70.84</v>
      </c>
      <c r="D9735" s="216" t="n">
        <v>1.096284031867981</v>
      </c>
      <c r="E9735" s="215" t="n">
        <v>45862</v>
      </c>
      <c r="F9735" s="215" t="n">
        <v>45862</v>
      </c>
    </row>
    <row r="9736">
      <c r="A9736" s="215" t="n">
        <v>45863</v>
      </c>
      <c r="B9736" s="216" t="n">
        <v>61.3</v>
      </c>
      <c r="C9736" s="216" t="n">
        <v>68.05</v>
      </c>
      <c r="D9736" s="216" t="n">
        <v>1.097048044204712</v>
      </c>
      <c r="E9736" s="215" t="n">
        <v>45863</v>
      </c>
      <c r="F9736" s="215" t="n">
        <v>45863</v>
      </c>
    </row>
    <row r="9737">
      <c r="A9737" s="215" t="n">
        <v>45866</v>
      </c>
      <c r="B9737" s="216" t="n">
        <v>57.9</v>
      </c>
      <c r="C9737" s="216" t="n">
        <v>66.37</v>
      </c>
      <c r="D9737" s="216" t="n">
        <v>1.097200989723206</v>
      </c>
      <c r="E9737" s="215" t="n">
        <v>45866</v>
      </c>
      <c r="F9737" s="215" t="n">
        <v>45866</v>
      </c>
    </row>
    <row r="9738">
      <c r="A9738" s="215" t="n">
        <v>45867</v>
      </c>
      <c r="B9738" s="216" t="n">
        <v>58.05</v>
      </c>
      <c r="C9738" s="216" t="n">
        <v>66.23</v>
      </c>
      <c r="D9738" s="216" t="n">
        <v>1.093530058860779</v>
      </c>
      <c r="E9738" s="215" t="n">
        <v>45867</v>
      </c>
      <c r="F9738" s="215" t="n">
        <v>45867</v>
      </c>
    </row>
    <row r="9739">
      <c r="A9739" s="215" t="n">
        <v>45868</v>
      </c>
      <c r="B9739" s="216" t="n">
        <v>58.5</v>
      </c>
      <c r="C9739" s="216" t="n">
        <v>66.28</v>
      </c>
      <c r="D9739" s="216" t="n">
        <v>1.093464970588684</v>
      </c>
      <c r="E9739" s="215" t="n">
        <v>45868</v>
      </c>
      <c r="F9739" s="215" t="n">
        <v>45868</v>
      </c>
    </row>
    <row r="9740">
      <c r="A9740" s="215" t="n">
        <v>45869</v>
      </c>
      <c r="B9740" s="216" t="n">
        <v>56.9</v>
      </c>
      <c r="C9740" s="216" t="n">
        <v>64.95999999999999</v>
      </c>
      <c r="D9740" s="216" t="n">
        <v>1.093583941459656</v>
      </c>
      <c r="E9740" s="215" t="n">
        <v>45869</v>
      </c>
      <c r="F9740" s="215" t="n">
        <v>45869</v>
      </c>
    </row>
    <row r="9741">
      <c r="A9741" s="215" t="n">
        <v>45870</v>
      </c>
      <c r="B9741" s="216" t="n">
        <v>56.3</v>
      </c>
      <c r="C9741" s="216" t="n">
        <v>64.59</v>
      </c>
      <c r="D9741" s="216" t="n">
        <v>1.090090990066528</v>
      </c>
      <c r="E9741" s="215" t="n">
        <v>45870</v>
      </c>
      <c r="F9741" s="215" t="n">
        <v>45870</v>
      </c>
    </row>
    <row r="9742">
      <c r="A9742" s="215" t="n">
        <v>45873</v>
      </c>
      <c r="B9742" s="216" t="n">
        <v>56.85</v>
      </c>
      <c r="C9742" s="216" t="n">
        <v>64.63</v>
      </c>
      <c r="D9742" s="216" t="n">
        <v>1.088384985923767</v>
      </c>
      <c r="E9742" s="215" t="n">
        <v>45873</v>
      </c>
      <c r="F9742" s="215" t="n">
        <v>45873</v>
      </c>
    </row>
    <row r="9743">
      <c r="A9743" s="215" t="n">
        <v>45874</v>
      </c>
      <c r="B9743" s="216" t="n">
        <v>57.55</v>
      </c>
      <c r="C9743" s="216" t="n">
        <v>64.88</v>
      </c>
      <c r="D9743" s="216" t="n">
        <v>1.093202948570251</v>
      </c>
      <c r="E9743" s="215" t="n">
        <v>45874</v>
      </c>
      <c r="F9743" s="215" t="n">
        <v>45874</v>
      </c>
    </row>
    <row r="9744">
      <c r="A9744" s="215" t="n">
        <v>45875</v>
      </c>
      <c r="B9744" s="216" t="n">
        <v>57.95</v>
      </c>
      <c r="C9744" s="216" t="n">
        <v>64.86</v>
      </c>
      <c r="D9744" s="216" t="n">
        <v>1.092388987541199</v>
      </c>
      <c r="E9744" s="215" t="n">
        <v>45875</v>
      </c>
      <c r="F9744" s="215" t="n">
        <v>45875</v>
      </c>
    </row>
    <row r="9745">
      <c r="A9745" s="215" t="n">
        <v>45876</v>
      </c>
      <c r="B9745" s="216" t="n">
        <v>58.05</v>
      </c>
      <c r="C9745" s="216" t="n">
        <v>64.89</v>
      </c>
      <c r="D9745" s="216" t="n">
        <v>1.092599034309387</v>
      </c>
      <c r="E9745" s="215" t="n">
        <v>45876</v>
      </c>
      <c r="F9745" s="215" t="n">
        <v>45876</v>
      </c>
    </row>
    <row r="9746">
      <c r="A9746" s="215" t="n">
        <v>45877</v>
      </c>
      <c r="B9746" s="216" t="n">
        <v>58.7</v>
      </c>
      <c r="C9746" s="216" t="n">
        <v>65.04000000000001</v>
      </c>
      <c r="D9746" s="216" t="n">
        <v>1.092857956886292</v>
      </c>
      <c r="E9746" s="215" t="n">
        <v>45877</v>
      </c>
      <c r="F9746" s="215" t="n">
        <v>45877</v>
      </c>
    </row>
    <row r="9747">
      <c r="A9747" s="215" t="n">
        <v>45880</v>
      </c>
      <c r="B9747" s="216" t="n">
        <v>60.65</v>
      </c>
      <c r="C9747" s="216" t="n">
        <v>65.64</v>
      </c>
      <c r="D9747" s="216" t="n">
        <v>1.093001961708069</v>
      </c>
      <c r="E9747" s="215" t="n">
        <v>45880</v>
      </c>
      <c r="F9747" s="215" t="n">
        <v>45880</v>
      </c>
    </row>
    <row r="9748">
      <c r="A9748" s="215" t="n">
        <v>45881</v>
      </c>
      <c r="B9748" s="216" t="n">
        <v>60.05</v>
      </c>
      <c r="C9748" s="216" t="n">
        <v>65.65000000000001</v>
      </c>
      <c r="D9748" s="216" t="n">
        <v>1.091938018798828</v>
      </c>
      <c r="E9748" s="215" t="n">
        <v>45881</v>
      </c>
      <c r="F9748" s="215" t="n">
        <v>45881</v>
      </c>
    </row>
    <row r="9749">
      <c r="A9749" s="215" t="n">
        <v>45882</v>
      </c>
      <c r="B9749" s="216" t="n">
        <v>60.1</v>
      </c>
      <c r="C9749" s="216" t="n">
        <v>65.63</v>
      </c>
      <c r="D9749" s="216" t="n">
        <v>1.093171000480652</v>
      </c>
      <c r="E9749" s="215" t="n">
        <v>45882</v>
      </c>
      <c r="F9749" s="215" t="n">
        <v>45882</v>
      </c>
    </row>
    <row r="9750">
      <c r="A9750" s="215" t="n">
        <v>45883</v>
      </c>
      <c r="B9750" s="216" t="n">
        <v>59.1</v>
      </c>
      <c r="C9750" s="216" t="n">
        <v>64.43000000000001</v>
      </c>
      <c r="D9750" s="216" t="n">
        <v>1.093981027603149</v>
      </c>
      <c r="E9750" s="215" t="n">
        <v>45883</v>
      </c>
      <c r="F9750" s="215" t="n">
        <v>45883</v>
      </c>
    </row>
    <row r="9751">
      <c r="A9751" s="215" t="n">
        <v>45884</v>
      </c>
      <c r="B9751" s="216" t="n">
        <v>59.15</v>
      </c>
      <c r="C9751" s="216" t="n">
        <v>64.66</v>
      </c>
      <c r="D9751" s="216" t="n">
        <v>1.091035962104797</v>
      </c>
      <c r="E9751" s="215" t="n">
        <v>45884</v>
      </c>
      <c r="F9751" s="215" t="n">
        <v>45884</v>
      </c>
    </row>
    <row r="9752">
      <c r="A9752" s="215" t="n">
        <v>45887</v>
      </c>
      <c r="B9752" s="216" t="n">
        <v>60</v>
      </c>
      <c r="C9752" s="216" t="n">
        <v>65.41</v>
      </c>
      <c r="D9752" s="216" t="n">
        <v>1.089409947395325</v>
      </c>
      <c r="E9752" s="215" t="n">
        <v>45887</v>
      </c>
      <c r="F9752" s="215" t="n">
        <v>45887</v>
      </c>
    </row>
    <row r="9753">
      <c r="A9753" s="215" t="n">
        <v>45888</v>
      </c>
      <c r="B9753" s="216" t="n">
        <v>60.4</v>
      </c>
      <c r="C9753" s="216" t="n">
        <v>65.73</v>
      </c>
      <c r="D9753" s="216" t="n">
        <v>1.088366031646729</v>
      </c>
      <c r="E9753" s="215" t="n">
        <v>45888</v>
      </c>
      <c r="F9753" s="215" t="n">
        <v>45888</v>
      </c>
    </row>
    <row r="9754">
      <c r="A9754" s="215" t="n">
        <v>45889</v>
      </c>
      <c r="B9754" s="216" t="n">
        <v>61.15</v>
      </c>
      <c r="C9754" s="216" t="n">
        <v>66.65000000000001</v>
      </c>
      <c r="D9754" s="216" t="n">
        <v>1.085826992988586</v>
      </c>
      <c r="E9754" s="215" t="n">
        <v>45889</v>
      </c>
      <c r="F9754" s="215" t="n">
        <v>45889</v>
      </c>
    </row>
    <row r="9755">
      <c r="A9755" s="215" t="n">
        <v>45890</v>
      </c>
      <c r="B9755" s="216" t="n">
        <v>61.05</v>
      </c>
      <c r="C9755" s="216" t="n">
        <v>67.13</v>
      </c>
      <c r="D9755" s="216" t="n">
        <v>1.088521003723145</v>
      </c>
      <c r="E9755" s="215" t="n">
        <v>45890</v>
      </c>
      <c r="F9755" s="215" t="n">
        <v>45890</v>
      </c>
    </row>
    <row r="9756">
      <c r="A9756" s="215" t="n">
        <v>45891</v>
      </c>
      <c r="B9756" s="216" t="n">
        <v>60.75</v>
      </c>
      <c r="C9756" s="216" t="n">
        <v>67.48</v>
      </c>
      <c r="D9756" s="216" t="n">
        <v>1.08814001083374</v>
      </c>
      <c r="E9756" s="215" t="n">
        <v>45891</v>
      </c>
      <c r="F9756" s="215" t="n">
        <v>45891</v>
      </c>
    </row>
    <row r="9757">
      <c r="A9757" s="215" t="n">
        <v>45894</v>
      </c>
      <c r="B9757" s="216" t="n">
        <v>62.7</v>
      </c>
      <c r="C9757" s="216" t="n">
        <v>69.23999999999999</v>
      </c>
      <c r="D9757" s="216" t="n">
        <v>1.090230941772461</v>
      </c>
      <c r="E9757" s="215" t="n">
        <v>45894</v>
      </c>
      <c r="F9757" s="215" t="n">
        <v>45894</v>
      </c>
    </row>
    <row r="9758">
      <c r="A9758" s="215" t="n">
        <v>45895</v>
      </c>
      <c r="B9758" s="216" t="n">
        <v>64.95</v>
      </c>
      <c r="C9758" s="216" t="n">
        <v>71.41</v>
      </c>
      <c r="D9758" s="216" t="n">
        <v>1.09236204624176</v>
      </c>
      <c r="E9758" s="215" t="n">
        <v>45895</v>
      </c>
      <c r="F9758" s="215" t="n">
        <v>45895</v>
      </c>
    </row>
    <row r="9759">
      <c r="A9759" s="215" t="n">
        <v>45896</v>
      </c>
      <c r="B9759" s="216" t="n">
        <v>61.6</v>
      </c>
      <c r="C9759" s="216" t="n">
        <v>68.69</v>
      </c>
      <c r="D9759" s="216" t="n">
        <v>1.089414000511169</v>
      </c>
      <c r="E9759" s="215" t="n">
        <v>45896</v>
      </c>
      <c r="F9759" s="215" t="n">
        <v>45896</v>
      </c>
    </row>
    <row r="9760">
      <c r="A9760" s="215" t="n">
        <v>45897</v>
      </c>
      <c r="B9760" s="216" t="n">
        <v>62.55</v>
      </c>
      <c r="C9760" s="216" t="n">
        <v>68.92</v>
      </c>
      <c r="D9760" s="216" t="n">
        <v>1.088047027587891</v>
      </c>
      <c r="E9760" s="215" t="n">
        <v>45897</v>
      </c>
      <c r="F9760" s="215" t="n">
        <v>45897</v>
      </c>
    </row>
    <row r="9761">
      <c r="A9761" s="215" t="n">
        <v>45898</v>
      </c>
      <c r="B9761" s="216" t="n">
        <v>62.8</v>
      </c>
      <c r="C9761" s="216" t="n">
        <v>69.29000000000001</v>
      </c>
      <c r="D9761" s="216" t="n">
        <v>1.089478969573975</v>
      </c>
      <c r="E9761" s="215" t="n">
        <v>45898</v>
      </c>
      <c r="F9761" s="215" t="n">
        <v>45898</v>
      </c>
    </row>
    <row r="9762">
      <c r="A9762" s="215" t="n">
        <v>45901</v>
      </c>
      <c r="B9762" s="216" t="n">
        <v>63</v>
      </c>
      <c r="C9762" s="216" t="n">
        <v>69.31</v>
      </c>
      <c r="D9762" s="216" t="n">
        <v>1.09319794178009</v>
      </c>
      <c r="E9762" s="215" t="n">
        <v>45901</v>
      </c>
      <c r="F9762" s="215" t="n">
        <v>45901</v>
      </c>
    </row>
    <row r="9763">
      <c r="A9763" s="215" t="n">
        <v>45902</v>
      </c>
      <c r="B9763" s="216" t="n">
        <v>61</v>
      </c>
      <c r="C9763" s="216" t="n">
        <v>68.79000000000001</v>
      </c>
      <c r="D9763" s="216" t="n">
        <v>1.093255043029785</v>
      </c>
      <c r="E9763" s="215" t="n">
        <v>45902</v>
      </c>
      <c r="F9763" s="215" t="n">
        <v>45902</v>
      </c>
    </row>
    <row r="9764">
      <c r="A9764" s="215" t="n">
        <v>45903</v>
      </c>
      <c r="B9764" s="216" t="n">
        <v>59.25</v>
      </c>
      <c r="C9764" s="216" t="n">
        <v>67.45</v>
      </c>
      <c r="D9764" s="216" t="n">
        <v>1.09343695640564</v>
      </c>
      <c r="E9764" s="215" t="n">
        <v>45903</v>
      </c>
      <c r="F9764" s="215" t="n">
        <v>45903</v>
      </c>
    </row>
    <row r="9765">
      <c r="A9765" s="215" t="n">
        <v>45904</v>
      </c>
      <c r="B9765" s="216" t="n">
        <v>59.1</v>
      </c>
      <c r="C9765" s="216" t="n">
        <v>67.75</v>
      </c>
      <c r="D9765" s="216" t="n">
        <v>1.092192053794861</v>
      </c>
      <c r="E9765" s="215" t="n">
        <v>45904</v>
      </c>
      <c r="F9765" s="215" t="n">
        <v>45904</v>
      </c>
    </row>
    <row r="9766">
      <c r="A9766" s="215" t="n">
        <v>45905</v>
      </c>
      <c r="B9766" s="216" t="n">
        <v>61.4</v>
      </c>
      <c r="C9766" s="216" t="n">
        <v>70.48999999999999</v>
      </c>
      <c r="D9766" s="216" t="n">
        <v>1.092169046401978</v>
      </c>
      <c r="E9766" s="215" t="n">
        <v>45905</v>
      </c>
      <c r="F9766" s="215" t="n">
        <v>45905</v>
      </c>
    </row>
    <row r="9767">
      <c r="A9767" s="215" t="n">
        <v>45908</v>
      </c>
      <c r="B9767" s="216" t="n">
        <v>62.3</v>
      </c>
      <c r="C9767" s="216" t="n">
        <v>71.5</v>
      </c>
      <c r="D9767" s="216" t="n">
        <v>1.093217015266418</v>
      </c>
      <c r="E9767" s="215" t="n">
        <v>45908</v>
      </c>
      <c r="F9767" s="215" t="n">
        <v>45908</v>
      </c>
    </row>
    <row r="9768">
      <c r="A9768" s="215" t="n">
        <v>45909</v>
      </c>
      <c r="B9768" s="216" t="n">
        <v>61.65</v>
      </c>
      <c r="C9768" s="216" t="n">
        <v>71.02</v>
      </c>
      <c r="D9768" s="216" t="n">
        <v>1.092916965484619</v>
      </c>
      <c r="E9768" s="215" t="n">
        <v>45909</v>
      </c>
      <c r="F9768" s="215" t="n">
        <v>45909</v>
      </c>
    </row>
    <row r="9769">
      <c r="A9769" s="215" t="n">
        <v>45910</v>
      </c>
      <c r="B9769" s="216" t="n">
        <v>61.3</v>
      </c>
      <c r="C9769" s="216" t="n">
        <v>70.68000000000001</v>
      </c>
      <c r="D9769" s="216" t="n">
        <v>1.093482971191406</v>
      </c>
      <c r="E9769" s="215" t="n">
        <v>45910</v>
      </c>
      <c r="F9769" s="215" t="n">
        <v>45910</v>
      </c>
    </row>
    <row r="9770">
      <c r="A9770" s="215" t="n">
        <v>45911</v>
      </c>
      <c r="B9770" s="216" t="n">
        <v>62</v>
      </c>
      <c r="C9770" s="216" t="n">
        <v>71.34999999999999</v>
      </c>
      <c r="D9770" s="216" t="n">
        <v>1.093762993812561</v>
      </c>
      <c r="E9770" s="215" t="n">
        <v>45911</v>
      </c>
      <c r="F9770" s="215" t="n">
        <v>45911</v>
      </c>
    </row>
    <row r="9771">
      <c r="A9771" s="215" t="n">
        <v>45912</v>
      </c>
      <c r="B9771" s="216" t="n">
        <v>61.65</v>
      </c>
      <c r="C9771" s="216" t="n">
        <v>70.40000000000001</v>
      </c>
      <c r="D9771" s="216" t="n">
        <v>1.094014048576355</v>
      </c>
      <c r="E9771" s="215" t="n">
        <v>45912</v>
      </c>
      <c r="F9771" s="215" t="n">
        <v>45912</v>
      </c>
    </row>
    <row r="9772">
      <c r="A9772" s="215" t="n">
        <v>45915</v>
      </c>
      <c r="B9772" s="216" t="n">
        <v>60.1</v>
      </c>
      <c r="C9772" s="216" t="n">
        <v>69.94</v>
      </c>
      <c r="D9772" s="216" t="n">
        <v>1.091848969459534</v>
      </c>
      <c r="E9772" s="215" t="n">
        <v>45915</v>
      </c>
      <c r="F9772" s="215" t="n">
        <v>45915</v>
      </c>
    </row>
    <row r="9773">
      <c r="A9773" s="215" t="n">
        <v>45916</v>
      </c>
      <c r="B9773" s="216" t="n">
        <v>61.35</v>
      </c>
      <c r="C9773" s="216" t="n">
        <v>71.54000000000001</v>
      </c>
      <c r="D9773" s="216" t="n">
        <v>1.092795968055725</v>
      </c>
      <c r="E9773" s="215" t="n">
        <v>45916</v>
      </c>
      <c r="F9773" s="215" t="n">
        <v>45916</v>
      </c>
    </row>
    <row r="9774">
      <c r="A9774" s="215" t="n">
        <v>45917</v>
      </c>
      <c r="B9774" s="216" t="n">
        <v>62.25</v>
      </c>
      <c r="C9774" s="216" t="n">
        <v>71.15000000000001</v>
      </c>
      <c r="D9774" s="216" t="n">
        <v>1.093690991401672</v>
      </c>
      <c r="E9774" s="215" t="n">
        <v>45917</v>
      </c>
      <c r="F9774" s="215" t="n">
        <v>45917</v>
      </c>
    </row>
    <row r="9775">
      <c r="A9775" s="215" t="n">
        <v>45918</v>
      </c>
      <c r="B9775" s="216" t="n">
        <v>63.6</v>
      </c>
      <c r="C9775" s="216" t="n">
        <v>71.68000000000001</v>
      </c>
      <c r="D9775" s="216" t="n">
        <v>1.094727993011475</v>
      </c>
      <c r="E9775" s="215" t="n">
        <v>45918</v>
      </c>
      <c r="F9775" s="215" t="n">
        <v>45918</v>
      </c>
    </row>
    <row r="9776">
      <c r="A9776" s="215" t="n">
        <v>45919</v>
      </c>
      <c r="B9776" s="216" t="n">
        <v>66.2</v>
      </c>
      <c r="C9776" s="216" t="n">
        <v>73.97</v>
      </c>
      <c r="D9776" s="216" t="n">
        <v>1.093201994895935</v>
      </c>
      <c r="E9776" s="215" t="n">
        <v>45919</v>
      </c>
      <c r="F9776" s="215" t="n">
        <v>45919</v>
      </c>
    </row>
    <row r="9777">
      <c r="A9777" s="215" t="n">
        <v>45922</v>
      </c>
      <c r="B9777" s="216" t="n">
        <v>64.7</v>
      </c>
      <c r="C9777" s="216" t="n">
        <v>73.04000000000001</v>
      </c>
      <c r="D9777" s="216" t="n">
        <v>1.092589020729065</v>
      </c>
      <c r="E9777" s="215" t="n">
        <v>45922</v>
      </c>
      <c r="F9777" s="215" t="n">
        <v>45922</v>
      </c>
    </row>
    <row r="9778">
      <c r="A9778" s="215" t="n">
        <v>45923</v>
      </c>
      <c r="B9778" s="216" t="n">
        <v>62.65</v>
      </c>
      <c r="C9778" s="216" t="n">
        <v>70.01000000000001</v>
      </c>
      <c r="D9778" s="216" t="n">
        <v>1.0920250415802</v>
      </c>
      <c r="E9778" s="215" t="n">
        <v>45923</v>
      </c>
      <c r="F9778" s="215" t="n">
        <v>45923</v>
      </c>
    </row>
    <row r="9779">
      <c r="A9779" s="215" t="n">
        <v>45924</v>
      </c>
      <c r="B9779" s="216" t="n">
        <v>62.5</v>
      </c>
      <c r="C9779" s="216" t="n">
        <v>70.26000000000001</v>
      </c>
      <c r="D9779" s="216" t="n">
        <v>1.093196988105774</v>
      </c>
      <c r="E9779" s="215" t="n">
        <v>45924</v>
      </c>
      <c r="F9779" s="215" t="n">
        <v>45924</v>
      </c>
    </row>
    <row r="9780">
      <c r="A9780" s="215" t="n">
        <v>45925</v>
      </c>
      <c r="B9780" s="216" t="n">
        <v>62.05</v>
      </c>
      <c r="C9780" s="216" t="n">
        <v>70.15000000000001</v>
      </c>
      <c r="D9780" s="216" t="n">
        <v>1.090371012687683</v>
      </c>
      <c r="E9780" s="215" t="n">
        <v>45925</v>
      </c>
      <c r="F9780" s="215" t="n">
        <v>45925</v>
      </c>
    </row>
    <row r="9781">
      <c r="A9781" s="215" t="n">
        <v>45926</v>
      </c>
      <c r="B9781" s="216" t="n">
        <v>61.5</v>
      </c>
      <c r="C9781" s="216" t="n">
        <v>70.2</v>
      </c>
      <c r="D9781" s="216" t="n">
        <v>1.090574979782104</v>
      </c>
      <c r="E9781" s="215" t="n">
        <v>45926</v>
      </c>
      <c r="F9781" s="215" t="n">
        <v>45926</v>
      </c>
    </row>
    <row r="9782">
      <c r="A9782" s="215" t="n">
        <v>45929</v>
      </c>
      <c r="B9782" s="216" t="n">
        <v>63.4</v>
      </c>
      <c r="C9782" s="216" t="n">
        <v>70.7</v>
      </c>
      <c r="D9782" s="216" t="n">
        <v>1.090520024299622</v>
      </c>
      <c r="E9782" s="215" t="n">
        <v>45929</v>
      </c>
      <c r="F9782" s="215" t="n">
        <v>45929</v>
      </c>
    </row>
    <row r="9783">
      <c r="A9783" s="215" t="n">
        <v>45930</v>
      </c>
      <c r="B9783" s="216" t="n">
        <v>65.95</v>
      </c>
      <c r="C9783" s="216" t="n">
        <v>71.56999999999999</v>
      </c>
      <c r="D9783" s="216" t="n">
        <v>1.093106031417847</v>
      </c>
      <c r="E9783" s="215" t="n">
        <v>45930</v>
      </c>
      <c r="F9783" s="215" t="n">
        <v>45930</v>
      </c>
    </row>
    <row r="9784">
      <c r="A9784" s="215" t="n">
        <v>45932</v>
      </c>
      <c r="B9784" s="216" t="n">
        <v>64.09999999999999</v>
      </c>
      <c r="C9784" s="216" t="n">
        <v>71.56999999999999</v>
      </c>
      <c r="D9784" s="216" t="n">
        <v>1.092823028564453</v>
      </c>
      <c r="E9784" s="215" t="n">
        <v>45930</v>
      </c>
      <c r="F9784" s="215" t="n">
        <v>45932</v>
      </c>
    </row>
    <row r="9785">
      <c r="A9785" s="215" t="n">
        <v>45933</v>
      </c>
      <c r="B9785" s="216" t="n">
        <v>63.3</v>
      </c>
      <c r="C9785" s="216" t="n">
        <v>71.56999999999999</v>
      </c>
      <c r="D9785" s="216" t="n">
        <v>1.09303605556488</v>
      </c>
      <c r="E9785" s="215" t="n">
        <v>45930</v>
      </c>
      <c r="F9785" s="215" t="n">
        <v>45933</v>
      </c>
    </row>
    <row r="9786">
      <c r="A9786" s="215" t="n">
        <v>45936</v>
      </c>
      <c r="B9786" s="216" t="n">
        <v>62.15</v>
      </c>
      <c r="C9786" s="216" t="n">
        <v>71.56999999999999</v>
      </c>
      <c r="D9786" s="216" t="n">
        <v>1.092857956886292</v>
      </c>
      <c r="E9786" s="215" t="n">
        <v>45930</v>
      </c>
      <c r="F9786" s="215" t="n">
        <v>45936</v>
      </c>
    </row>
    <row r="9787">
      <c r="A9787" s="215" t="n">
        <v>45938</v>
      </c>
      <c r="B9787" s="216" t="n">
        <v>62.5</v>
      </c>
      <c r="C9787" s="216" t="n">
        <v>71.56999999999999</v>
      </c>
      <c r="D9787" s="216" t="n">
        <v>1.093148946762085</v>
      </c>
      <c r="E9787" s="215" t="n">
        <v>45930</v>
      </c>
      <c r="F9787" s="215" t="n">
        <v>45938</v>
      </c>
    </row>
    <row r="9788">
      <c r="A9788" s="215" t="n">
        <v>45939</v>
      </c>
      <c r="B9788" s="216" t="n">
        <v>61.25</v>
      </c>
      <c r="C9788" s="216" t="n">
        <v>69.66</v>
      </c>
      <c r="D9788" s="216" t="n">
        <v>1.092933058738708</v>
      </c>
      <c r="E9788" s="215" t="n">
        <v>45939</v>
      </c>
      <c r="F9788" s="215" t="n">
        <v>45939</v>
      </c>
    </row>
    <row r="9789">
      <c r="A9789" s="215" t="n">
        <v>45940</v>
      </c>
      <c r="B9789" s="216" t="n">
        <v>59.15</v>
      </c>
      <c r="C9789" s="216" t="n">
        <v>68.59999999999999</v>
      </c>
      <c r="D9789" s="216" t="n">
        <v>1.091662049293518</v>
      </c>
      <c r="E9789" s="215" t="n">
        <v>45940</v>
      </c>
      <c r="F9789" s="215" t="n">
        <v>45940</v>
      </c>
    </row>
    <row r="9790">
      <c r="A9790" s="215" t="n">
        <v>45943</v>
      </c>
      <c r="B9790" s="216" t="n">
        <v>58.55</v>
      </c>
      <c r="C9790" s="216" t="n">
        <v>68.06999999999999</v>
      </c>
      <c r="D9790" s="216" t="n">
        <v>1.093768000602722</v>
      </c>
      <c r="E9790" s="215" t="n">
        <v>45943</v>
      </c>
      <c r="F9790" s="215" t="n">
        <v>45943</v>
      </c>
    </row>
    <row r="9791">
      <c r="A9791" s="215" t="n">
        <v>45944</v>
      </c>
      <c r="B9791" s="216" t="n">
        <v>57.9</v>
      </c>
      <c r="C9791" s="216" t="n">
        <v>68.45999999999999</v>
      </c>
      <c r="D9791" s="216" t="n">
        <v>1.093292951583862</v>
      </c>
      <c r="E9791" s="215" t="n">
        <v>45944</v>
      </c>
      <c r="F9791" s="215" t="n">
        <v>45944</v>
      </c>
    </row>
    <row r="9792">
      <c r="A9792" s="215" t="n">
        <v>45945</v>
      </c>
      <c r="B9792" s="216" t="n">
        <v>59.15</v>
      </c>
      <c r="C9792" s="216" t="n">
        <v>69.48999999999999</v>
      </c>
      <c r="D9792" s="216" t="n">
        <v>1.088750958442688</v>
      </c>
      <c r="E9792" s="215" t="n">
        <v>45945</v>
      </c>
      <c r="F9792" s="215" t="n">
        <v>45945</v>
      </c>
    </row>
    <row r="9793">
      <c r="A9793" s="215" t="n">
        <v>45946</v>
      </c>
      <c r="B9793" s="216" t="n">
        <v>61</v>
      </c>
      <c r="C9793" s="216" t="n">
        <v>69.95999999999999</v>
      </c>
      <c r="D9793" s="216" t="n">
        <v>1.090903043746948</v>
      </c>
      <c r="E9793" s="215" t="n">
        <v>45946</v>
      </c>
      <c r="F9793" s="215" t="n">
        <v>45946</v>
      </c>
    </row>
    <row r="9794">
      <c r="A9794" s="215" t="n">
        <v>45947</v>
      </c>
      <c r="B9794" s="216" t="n">
        <v>62.25</v>
      </c>
      <c r="C9794" s="216" t="n">
        <v>70.02</v>
      </c>
      <c r="D9794" s="216" t="n">
        <v>1.09073805809021</v>
      </c>
      <c r="E9794" s="215" t="n">
        <v>45947</v>
      </c>
      <c r="F9794" s="215" t="n">
        <v>45947</v>
      </c>
    </row>
    <row r="9795">
      <c r="A9795" s="215" t="n">
        <v>45950</v>
      </c>
      <c r="B9795" s="216" t="n">
        <v>61.35</v>
      </c>
      <c r="C9795" s="216" t="n">
        <v>70.31999999999999</v>
      </c>
      <c r="D9795" s="216" t="n">
        <v>1.089843988418579</v>
      </c>
      <c r="E9795" s="215" t="n">
        <v>45950</v>
      </c>
      <c r="F9795" s="215" t="n">
        <v>45950</v>
      </c>
    </row>
    <row r="9796">
      <c r="A9796" s="215" t="n">
        <v>45951</v>
      </c>
      <c r="B9796" s="216" t="n">
        <v>61.7</v>
      </c>
      <c r="C9796" s="216" t="n">
        <v>70.70999999999999</v>
      </c>
      <c r="D9796" s="216" t="n">
        <v>1.091038942337036</v>
      </c>
      <c r="E9796" s="215" t="n">
        <v>45951</v>
      </c>
      <c r="F9796" s="215" t="n">
        <v>45951</v>
      </c>
    </row>
    <row r="9797">
      <c r="A9797" s="215" t="n">
        <v>45952</v>
      </c>
      <c r="B9797" s="216" t="n">
        <v>60.85</v>
      </c>
      <c r="C9797" s="216" t="n">
        <v>69.67</v>
      </c>
      <c r="D9797" s="216" t="n">
        <v>1.091071009635925</v>
      </c>
      <c r="E9797" s="215" t="n">
        <v>45952</v>
      </c>
      <c r="F9797" s="215" t="n">
        <v>45952</v>
      </c>
    </row>
    <row r="9798">
      <c r="A9798" s="215" t="n">
        <v>45953</v>
      </c>
      <c r="B9798" s="216" t="n">
        <v>60.8</v>
      </c>
      <c r="C9798" s="216" t="n">
        <v>70.09999999999999</v>
      </c>
      <c r="D9798" s="216" t="n">
        <v>1.090343952178955</v>
      </c>
      <c r="E9798" s="215" t="n">
        <v>45953</v>
      </c>
      <c r="F9798" s="215" t="n">
        <v>45953</v>
      </c>
    </row>
    <row r="9799">
      <c r="A9799" s="215" t="n">
        <v>45954</v>
      </c>
      <c r="B9799" s="216" t="n">
        <v>60.95</v>
      </c>
      <c r="C9799" s="216" t="n">
        <v>70.52</v>
      </c>
      <c r="D9799" s="216" t="n">
        <v>1.090456962585449</v>
      </c>
      <c r="E9799" s="215" t="n">
        <v>45954</v>
      </c>
      <c r="F9799" s="215" t="n">
        <v>45954</v>
      </c>
    </row>
    <row r="9800">
      <c r="A9800" s="215" t="n">
        <v>45957</v>
      </c>
      <c r="B9800" s="216" t="n">
        <v>60.1</v>
      </c>
      <c r="C9800" s="216" t="n">
        <v>69.93000000000001</v>
      </c>
      <c r="D9800" s="216" t="n">
        <v>1.090957045555115</v>
      </c>
      <c r="E9800" s="215" t="n">
        <v>45957</v>
      </c>
      <c r="F9800" s="215" t="n">
        <v>45957</v>
      </c>
    </row>
    <row r="9801">
      <c r="A9801" s="215" t="n">
        <v>45958</v>
      </c>
      <c r="B9801" s="216" t="n">
        <v>60.3</v>
      </c>
      <c r="C9801" s="216" t="n">
        <v>69.45999999999999</v>
      </c>
      <c r="D9801" s="216" t="n">
        <v>1.092440009117126</v>
      </c>
      <c r="E9801" s="215" t="n">
        <v>45958</v>
      </c>
      <c r="F9801" s="215" t="n">
        <v>45958</v>
      </c>
    </row>
    <row r="9802">
      <c r="A9802" s="215" t="n">
        <v>45960</v>
      </c>
      <c r="B9802" s="216" t="n">
        <v>63.15</v>
      </c>
      <c r="C9802" s="216" t="n">
        <v>73.09999999999999</v>
      </c>
      <c r="D9802" s="216" t="n">
        <v>1.09463894367218</v>
      </c>
      <c r="E9802" s="215" t="n">
        <v>45960</v>
      </c>
      <c r="F9802" s="215" t="n">
        <v>45960</v>
      </c>
    </row>
    <row r="9803">
      <c r="A9803" s="215" t="n">
        <v>45961</v>
      </c>
      <c r="B9803" s="216" t="n">
        <v>66.8</v>
      </c>
      <c r="C9803" s="216" t="n">
        <v>76.06999999999999</v>
      </c>
      <c r="D9803" s="216" t="n">
        <v>1.092543959617615</v>
      </c>
      <c r="E9803" s="215" t="n">
        <v>45961</v>
      </c>
      <c r="F9803" s="215" t="n">
        <v>45961</v>
      </c>
    </row>
    <row r="9804">
      <c r="A9804" s="215" t="n">
        <v>45964</v>
      </c>
      <c r="B9804" s="216" t="n">
        <v>67.59999999999999</v>
      </c>
      <c r="C9804" s="216" t="n">
        <v>76.67</v>
      </c>
      <c r="D9804" s="216" t="n">
        <v>1.091722965240479</v>
      </c>
      <c r="E9804" s="215" t="n">
        <v>45964</v>
      </c>
      <c r="F9804" s="215" t="n">
        <v>45964</v>
      </c>
    </row>
    <row r="9805">
      <c r="A9805" s="215" t="n">
        <v>45965</v>
      </c>
      <c r="B9805" s="216" t="n">
        <v>64.40000000000001</v>
      </c>
      <c r="C9805" s="216" t="n">
        <v>75.45</v>
      </c>
      <c r="D9805" s="216" t="n">
        <v>1.083533048629761</v>
      </c>
      <c r="E9805" s="215" t="n">
        <v>45965</v>
      </c>
      <c r="F9805" s="215" t="n">
        <v>45965</v>
      </c>
    </row>
    <row r="9806">
      <c r="A9806" s="215" t="n">
        <v>45966</v>
      </c>
      <c r="B9806" s="216" t="n">
        <v>66.95</v>
      </c>
      <c r="C9806" s="216" t="n">
        <v>77.59999999999999</v>
      </c>
      <c r="D9806" s="216" t="n">
        <v>1.090273976325989</v>
      </c>
      <c r="E9806" s="215" t="n">
        <v>45966</v>
      </c>
      <c r="F9806" s="215" t="n">
        <v>45966</v>
      </c>
    </row>
    <row r="9807">
      <c r="A9807" s="215" t="n">
        <v>45967</v>
      </c>
      <c r="B9807" s="216" t="n">
        <v>67.8</v>
      </c>
      <c r="C9807" s="216" t="n">
        <v>75.34</v>
      </c>
      <c r="D9807" s="216" t="n">
        <v>1.090808033943176</v>
      </c>
      <c r="E9807" s="215" t="n">
        <v>45967</v>
      </c>
      <c r="F9807" s="215" t="n">
        <v>45967</v>
      </c>
    </row>
    <row r="9808">
      <c r="A9808" s="215" t="n">
        <v>45968</v>
      </c>
      <c r="B9808" s="216" t="n">
        <v>70.75</v>
      </c>
      <c r="C9808" s="216" t="n">
        <v>78.98999999999999</v>
      </c>
      <c r="D9808" s="216" t="n">
        <v>1.092054009437561</v>
      </c>
      <c r="E9808" s="215" t="n">
        <v>45968</v>
      </c>
      <c r="F9808" s="215" t="n">
        <v>45968</v>
      </c>
    </row>
    <row r="9809">
      <c r="A9809" s="215" t="n">
        <v>45971</v>
      </c>
      <c r="B9809" s="216" t="n">
        <v>81.59999999999999</v>
      </c>
      <c r="C9809" s="216" t="n">
        <v>86.89</v>
      </c>
      <c r="D9809" s="216" t="n">
        <v>1.092267036437988</v>
      </c>
      <c r="E9809" s="215" t="n">
        <v>45971</v>
      </c>
      <c r="F9809" s="215" t="n">
        <v>45971</v>
      </c>
    </row>
    <row r="9810">
      <c r="A9810" s="215" t="n">
        <v>45972</v>
      </c>
      <c r="B9810" s="216" t="n">
        <v>80.65000000000001</v>
      </c>
      <c r="C9810" s="216" t="n">
        <v>90.53</v>
      </c>
      <c r="D9810" s="216" t="n">
        <v>1.091644048690796</v>
      </c>
      <c r="E9810" s="215" t="n">
        <v>45972</v>
      </c>
      <c r="F9810" s="215" t="n">
        <v>45972</v>
      </c>
    </row>
    <row r="9811">
      <c r="A9811" s="215" t="n">
        <v>45973</v>
      </c>
      <c r="B9811" s="216" t="n">
        <v>78.90000000000001</v>
      </c>
      <c r="C9811" s="216" t="n">
        <v>89.20999999999999</v>
      </c>
      <c r="D9811" s="216" t="n">
        <v>1.091495990753174</v>
      </c>
      <c r="E9811" s="215" t="n">
        <v>45973</v>
      </c>
      <c r="F9811" s="215" t="n">
        <v>45973</v>
      </c>
    </row>
    <row r="9812">
      <c r="A9812" s="215" t="n">
        <v>45974</v>
      </c>
      <c r="B9812" s="216" t="n">
        <v>79</v>
      </c>
      <c r="C9812" s="216" t="n">
        <v>90.52</v>
      </c>
      <c r="D9812" s="216" t="n">
        <v>1.092489004135132</v>
      </c>
      <c r="E9812" s="215" t="n">
        <v>45974</v>
      </c>
      <c r="F9812" s="215" t="n">
        <v>45974</v>
      </c>
    </row>
    <row r="9813">
      <c r="A9813" s="215" t="n">
        <v>45975</v>
      </c>
      <c r="B9813" s="216" t="n">
        <v>77.09999999999999</v>
      </c>
      <c r="C9813" s="216" t="n">
        <v>88.28</v>
      </c>
      <c r="D9813" s="216" t="n">
        <v>1.092411994934082</v>
      </c>
      <c r="E9813" s="215" t="n">
        <v>45975</v>
      </c>
      <c r="F9813" s="215" t="n">
        <v>45975</v>
      </c>
    </row>
    <row r="9814">
      <c r="A9814" s="215" t="n">
        <v>45978</v>
      </c>
      <c r="B9814" s="216" t="n">
        <v>77.65000000000001</v>
      </c>
      <c r="C9814" s="216" t="n">
        <v>87.8</v>
      </c>
      <c r="D9814" s="216" t="n">
        <v>1.094588041305542</v>
      </c>
      <c r="E9814" s="215" t="n">
        <v>45978</v>
      </c>
      <c r="F9814" s="215" t="n">
        <v>45978</v>
      </c>
    </row>
    <row r="9815">
      <c r="A9815" s="215" t="n">
        <v>45979</v>
      </c>
      <c r="B9815" s="216" t="n">
        <v>73.05</v>
      </c>
      <c r="C9815" s="216" t="n">
        <v>85.04000000000001</v>
      </c>
      <c r="D9815" s="216" t="n">
        <v>1.093616008758545</v>
      </c>
      <c r="E9815" s="215" t="n">
        <v>45979</v>
      </c>
      <c r="F9815" s="215" t="n">
        <v>45979</v>
      </c>
    </row>
    <row r="9816">
      <c r="A9816" s="215" t="n">
        <v>45980</v>
      </c>
      <c r="B9816" s="216" t="n">
        <v>71.2</v>
      </c>
      <c r="C9816" s="216" t="n">
        <v>82.40000000000001</v>
      </c>
      <c r="D9816" s="216" t="n">
        <v>1.095010995864868</v>
      </c>
      <c r="E9816" s="215" t="n">
        <v>45980</v>
      </c>
      <c r="F9816" s="215" t="n">
        <v>45980</v>
      </c>
    </row>
    <row r="9817">
      <c r="A9817" s="215" t="n">
        <v>45981</v>
      </c>
      <c r="B9817" s="216" t="n">
        <v>73.3</v>
      </c>
      <c r="C9817" s="216" t="n">
        <v>81.73</v>
      </c>
      <c r="D9817" s="216" t="n">
        <v>1.095402002334595</v>
      </c>
      <c r="E9817" s="215" t="n">
        <v>45981</v>
      </c>
      <c r="F9817" s="215" t="n">
        <v>45981</v>
      </c>
    </row>
    <row r="9818">
      <c r="A9818" s="215" t="n">
        <v>45982</v>
      </c>
      <c r="B9818" s="216" t="n">
        <v>70.25</v>
      </c>
      <c r="C9818" s="216" t="n">
        <v>79.05</v>
      </c>
      <c r="D9818" s="216" t="n">
        <v>1.094982981681824</v>
      </c>
      <c r="E9818" s="215" t="n">
        <v>45982</v>
      </c>
      <c r="F9818" s="215" t="n">
        <v>45982</v>
      </c>
    </row>
    <row r="9819">
      <c r="A9819" s="215" t="n">
        <v>45985</v>
      </c>
      <c r="B9819" s="216" t="n">
        <v>70.15000000000001</v>
      </c>
      <c r="C9819" s="216" t="n">
        <v>78.53</v>
      </c>
      <c r="D9819" s="216" t="n">
        <v>1.094988942146301</v>
      </c>
      <c r="E9819" s="215" t="n">
        <v>45985</v>
      </c>
      <c r="F9819" s="215" t="n">
        <v>45985</v>
      </c>
    </row>
    <row r="9820">
      <c r="A9820" s="215" t="n">
        <v>45986</v>
      </c>
      <c r="B9820" s="216" t="n">
        <v>71.8</v>
      </c>
      <c r="C9820" s="216" t="n">
        <v>79.69</v>
      </c>
      <c r="D9820" s="216" t="n">
        <v>1.095428943634033</v>
      </c>
      <c r="E9820" s="215" t="n">
        <v>45986</v>
      </c>
      <c r="F9820" s="215" t="n">
        <v>45986</v>
      </c>
    </row>
    <row r="9821">
      <c r="A9821" s="215" t="n">
        <v>45987</v>
      </c>
      <c r="B9821" s="216" t="n">
        <v>74.2</v>
      </c>
      <c r="C9821" s="216" t="n">
        <v>80.34</v>
      </c>
      <c r="D9821" s="216" t="n">
        <v>1.097422003746033</v>
      </c>
      <c r="E9821" s="215" t="n">
        <v>45987</v>
      </c>
      <c r="F9821" s="215" t="n">
        <v>45987</v>
      </c>
    </row>
    <row r="9822">
      <c r="A9822" s="215" t="n">
        <v>45988</v>
      </c>
      <c r="B9822" s="216" t="n">
        <v>73.75</v>
      </c>
      <c r="C9822" s="216" t="n">
        <v>78.5</v>
      </c>
      <c r="D9822" s="216" t="n">
        <v>1.098397016525269</v>
      </c>
      <c r="E9822" s="215" t="n">
        <v>45988</v>
      </c>
      <c r="F9822" s="215" t="n">
        <v>45988</v>
      </c>
    </row>
    <row r="9823">
      <c r="A9823" s="215" t="n">
        <v>45989</v>
      </c>
      <c r="B9823" s="216" t="n">
        <v>72.8</v>
      </c>
      <c r="C9823" s="216" t="n">
        <v>79.03</v>
      </c>
      <c r="D9823" s="216" t="n">
        <v>1.098330020904541</v>
      </c>
      <c r="E9823" s="215" t="n">
        <v>45989</v>
      </c>
      <c r="F9823" s="215" t="n">
        <v>45989</v>
      </c>
    </row>
    <row r="9824">
      <c r="A9824" s="215" t="n">
        <v>45992</v>
      </c>
      <c r="B9824" s="216" t="n">
        <v>76.7</v>
      </c>
      <c r="C9824" s="216" t="n">
        <v>84.45999999999999</v>
      </c>
      <c r="D9824" s="216" t="n">
        <v>1.10015594959259</v>
      </c>
      <c r="E9824" s="215" t="n">
        <v>45992</v>
      </c>
      <c r="F9824" s="215" t="n">
        <v>45992</v>
      </c>
    </row>
    <row r="9825">
      <c r="A9825" s="215" t="n">
        <v>45993</v>
      </c>
      <c r="B9825" s="216" t="n">
        <v>75.95</v>
      </c>
      <c r="C9825" s="216" t="n">
        <v>83.42</v>
      </c>
      <c r="D9825" s="216" t="n">
        <v>1.101189017295837</v>
      </c>
      <c r="E9825" s="215" t="n">
        <v>45993</v>
      </c>
      <c r="F9825" s="215" t="n">
        <v>45993</v>
      </c>
    </row>
    <row r="9826">
      <c r="A9826" s="215" t="n">
        <v>45994</v>
      </c>
      <c r="B9826" s="216" t="n">
        <v>75.65000000000001</v>
      </c>
      <c r="C9826" s="216" t="n">
        <v>81.83</v>
      </c>
      <c r="D9826" s="216" t="n">
        <v>1.100834012031555</v>
      </c>
      <c r="E9826" s="215" t="n">
        <v>45994</v>
      </c>
      <c r="F9826" s="215" t="n">
        <v>45994</v>
      </c>
    </row>
    <row r="9827">
      <c r="A9827" s="215" t="n">
        <v>45995</v>
      </c>
      <c r="B9827" s="216" t="n">
        <v>74.84999999999999</v>
      </c>
      <c r="C9827" s="216" t="n">
        <v>81.22</v>
      </c>
      <c r="D9827" s="216" t="n">
        <v>1.101611018180847</v>
      </c>
      <c r="E9827" s="215" t="n">
        <v>45995</v>
      </c>
      <c r="F9827" s="215" t="n">
        <v>45995</v>
      </c>
    </row>
    <row r="9828">
      <c r="A9828" s="215" t="n">
        <v>45996</v>
      </c>
      <c r="B9828" s="216" t="n">
        <v>74.2</v>
      </c>
      <c r="C9828" s="216" t="n">
        <v>81.02</v>
      </c>
      <c r="D9828" s="216" t="n">
        <v>1.100373983383179</v>
      </c>
      <c r="E9828" s="215" t="n">
        <v>45996</v>
      </c>
      <c r="F9828" s="215" t="n">
        <v>45996</v>
      </c>
    </row>
    <row r="9829">
      <c r="A9829" s="215" t="n">
        <v>45999</v>
      </c>
      <c r="B9829" s="216" t="n">
        <v>75.05</v>
      </c>
      <c r="C9829" s="216" t="n">
        <v>82.11</v>
      </c>
      <c r="D9829" s="216" t="n">
        <v>1.1008620262146</v>
      </c>
      <c r="E9829" s="215" t="n">
        <v>45999</v>
      </c>
      <c r="F9829" s="215" t="n">
        <v>45999</v>
      </c>
    </row>
    <row r="9830">
      <c r="A9830" s="215" t="n">
        <v>46000</v>
      </c>
      <c r="B9830" s="216" t="n">
        <v>72.2</v>
      </c>
      <c r="C9830" s="216" t="n">
        <v>80.23999999999999</v>
      </c>
      <c r="D9830" s="216" t="n">
        <v>1.10008704662323</v>
      </c>
      <c r="E9830" s="215" t="n">
        <v>46000</v>
      </c>
      <c r="F9830" s="215" t="n">
        <v>46000</v>
      </c>
    </row>
    <row r="9831">
      <c r="A9831" s="215" t="n">
        <v>46001</v>
      </c>
      <c r="B9831" s="216" t="n">
        <v>74.45</v>
      </c>
      <c r="C9831" s="216" t="n">
        <v>82.83</v>
      </c>
      <c r="D9831" s="216" t="n">
        <v>1.101711988449097</v>
      </c>
      <c r="E9831" s="215" t="n">
        <v>46001</v>
      </c>
      <c r="F9831" s="215" t="n">
        <v>46001</v>
      </c>
    </row>
    <row r="9832">
      <c r="A9832" s="215" t="n">
        <v>46002</v>
      </c>
      <c r="B9832" s="216" t="n">
        <v>70.90000000000001</v>
      </c>
      <c r="C9832" s="216" t="n">
        <v>79.48</v>
      </c>
      <c r="D9832" s="216" t="n">
        <v>1.10112202167511</v>
      </c>
      <c r="E9832" s="215" t="n">
        <v>46002</v>
      </c>
      <c r="F9832" s="215" t="n">
        <v>46002</v>
      </c>
    </row>
    <row r="9833">
      <c r="A9833" s="215" t="n">
        <v>46003</v>
      </c>
      <c r="B9833" s="216" t="n">
        <v>71.40000000000001</v>
      </c>
      <c r="C9833" s="216" t="n">
        <v>79.2</v>
      </c>
      <c r="D9833" s="216" t="n">
        <v>1.102499008178711</v>
      </c>
      <c r="E9833" s="215" t="n">
        <v>46003</v>
      </c>
      <c r="F9833" s="215" t="n">
        <v>46003</v>
      </c>
    </row>
    <row r="9834">
      <c r="A9834" s="215" t="n">
        <v>46006</v>
      </c>
      <c r="B9834" s="216" t="n">
        <v>72.3</v>
      </c>
      <c r="C9834" s="216" t="n">
        <v>79.42</v>
      </c>
      <c r="D9834" s="216" t="n">
        <v>1.103397965431213</v>
      </c>
      <c r="E9834" s="215" t="n">
        <v>46006</v>
      </c>
      <c r="F9834" s="215" t="n">
        <v>46006</v>
      </c>
    </row>
    <row r="9835">
      <c r="A9835" s="215" t="n">
        <v>46007</v>
      </c>
      <c r="B9835" s="216" t="n">
        <v>71.5</v>
      </c>
      <c r="C9835" s="216" t="n">
        <v>80.09999999999999</v>
      </c>
      <c r="D9835" s="216" t="n">
        <v>1.104179978370667</v>
      </c>
      <c r="E9835" s="215" t="n">
        <v>46007</v>
      </c>
      <c r="F9835" s="215" t="n">
        <v>46007</v>
      </c>
    </row>
    <row r="9836">
      <c r="A9836" s="215" t="n">
        <v>46008</v>
      </c>
      <c r="B9836" s="216" t="n">
        <v>70.2</v>
      </c>
      <c r="C9836" s="216" t="n">
        <v>79.72</v>
      </c>
      <c r="D9836" s="216" t="n">
        <v>1.104655981063843</v>
      </c>
      <c r="E9836" s="215" t="n">
        <v>46008</v>
      </c>
      <c r="F9836" s="215" t="n">
        <v>46008</v>
      </c>
    </row>
    <row r="9837">
      <c r="A9837" s="215" t="n">
        <v>46009</v>
      </c>
      <c r="B9837" s="216" t="n">
        <v>66.15000000000001</v>
      </c>
      <c r="C9837" s="216" t="n">
        <v>76.5</v>
      </c>
      <c r="D9837" s="216" t="n">
        <v>1.104357004165649</v>
      </c>
      <c r="E9837" s="215" t="n">
        <v>46009</v>
      </c>
      <c r="F9837" s="215" t="n">
        <v>46009</v>
      </c>
    </row>
    <row r="9838">
      <c r="A9838" s="215" t="n">
        <v>46010</v>
      </c>
      <c r="B9838" s="216" t="n">
        <v>70.7</v>
      </c>
      <c r="C9838" s="216" t="n">
        <v>82.81</v>
      </c>
      <c r="D9838" s="216" t="n">
        <v>1.104962944984436</v>
      </c>
      <c r="E9838" s="215" t="n">
        <v>46010</v>
      </c>
      <c r="F9838" s="215" t="n">
        <v>46010</v>
      </c>
    </row>
    <row r="9839">
      <c r="A9839" s="215" t="n">
        <v>46013</v>
      </c>
      <c r="B9839" s="216" t="n">
        <v>81.84999999999999</v>
      </c>
      <c r="C9839" s="216" t="n">
        <v>91.09</v>
      </c>
      <c r="D9839" s="216" t="n">
        <v>1.105054020881653</v>
      </c>
      <c r="E9839" s="215" t="n">
        <v>46013</v>
      </c>
      <c r="F9839" s="215" t="n">
        <v>46013</v>
      </c>
    </row>
    <row r="9840">
      <c r="A9840" s="215" t="n">
        <v>46014</v>
      </c>
      <c r="B9840" s="216" t="n">
        <v>78.25</v>
      </c>
      <c r="C9840" s="216" t="n">
        <v>88.91</v>
      </c>
      <c r="D9840" s="216" t="n">
        <v>1.104820013046265</v>
      </c>
      <c r="E9840" s="215" t="n">
        <v>46014</v>
      </c>
      <c r="F9840" s="215" t="n">
        <v>46014</v>
      </c>
    </row>
    <row r="9841">
      <c r="A9841" s="215" t="n">
        <v>46015</v>
      </c>
      <c r="B9841" s="216" t="n">
        <v>75.95</v>
      </c>
      <c r="C9841" s="216" t="n">
        <v>87.86</v>
      </c>
      <c r="D9841" s="216" t="n">
        <v>1.106441974639893</v>
      </c>
      <c r="E9841" s="215" t="n">
        <v>46015</v>
      </c>
      <c r="F9841" s="215" t="n">
        <v>46015</v>
      </c>
    </row>
    <row r="9842">
      <c r="A9842" s="215" t="n">
        <v>46020</v>
      </c>
      <c r="B9842" s="216" t="n">
        <v>78.25</v>
      </c>
      <c r="C9842" s="216" t="n">
        <v>91.48</v>
      </c>
      <c r="D9842" s="216" t="n">
        <v>1.10552704334259</v>
      </c>
      <c r="E9842" s="215" t="n">
        <v>46020</v>
      </c>
      <c r="F9842" s="215" t="n">
        <v>46020</v>
      </c>
    </row>
    <row r="9843">
      <c r="A9843" s="215" t="n">
        <v>46021</v>
      </c>
      <c r="B9843" s="216" t="n">
        <v>77.8</v>
      </c>
      <c r="C9843" s="216" t="n">
        <v>90.20999999999999</v>
      </c>
      <c r="D9843" s="216" t="n">
        <v>1.109460949897766</v>
      </c>
      <c r="E9843" s="215" t="n">
        <v>46021</v>
      </c>
      <c r="F9843" s="215" t="n">
        <v>46021</v>
      </c>
    </row>
    <row r="9844">
      <c r="A9844" s="215" t="n">
        <v>46022</v>
      </c>
      <c r="B9844" s="216" t="n">
        <v>78.84999999999999</v>
      </c>
      <c r="C9844" s="216" t="n">
        <v>94.56</v>
      </c>
      <c r="D9844" s="216" t="n">
        <v>1.111927032470703</v>
      </c>
      <c r="E9844" s="215" t="n">
        <v>46022</v>
      </c>
      <c r="F9844" s="215" t="n">
        <v>46022</v>
      </c>
    </row>
    <row r="9845">
      <c r="A9845" s="215" t="n">
        <v>46024</v>
      </c>
      <c r="B9845" s="216" t="n">
        <v>80.59999999999999</v>
      </c>
      <c r="C9845" s="216" t="n">
        <v>94.56</v>
      </c>
      <c r="D9845" s="216" t="n">
        <v>1.112754940986633</v>
      </c>
      <c r="E9845" s="215" t="n">
        <v>46022</v>
      </c>
      <c r="F9845" s="215" t="n">
        <v>46024</v>
      </c>
    </row>
    <row r="9846">
      <c r="A9846" s="215" t="n">
        <v>46027</v>
      </c>
      <c r="B9846" s="216" t="n">
        <v>76.59999999999999</v>
      </c>
      <c r="C9846" s="216" t="n">
        <v>90.29000000000001</v>
      </c>
      <c r="D9846" s="216" t="n">
        <v>1.113860011100769</v>
      </c>
      <c r="E9846" s="215" t="n">
        <v>46027</v>
      </c>
      <c r="F9846" s="215" t="n">
        <v>46027</v>
      </c>
    </row>
    <row r="9847">
      <c r="A9847" s="215" t="n">
        <v>46028</v>
      </c>
      <c r="B9847" s="216" t="n">
        <v>78.3</v>
      </c>
      <c r="C9847" s="216" t="n">
        <v>90.59</v>
      </c>
      <c r="D9847" s="216" t="n">
        <v>1.11367404460907</v>
      </c>
      <c r="E9847" s="215" t="n">
        <v>46028</v>
      </c>
      <c r="F9847" s="215" t="n">
        <v>46028</v>
      </c>
    </row>
    <row r="9848">
      <c r="A9848" s="215" t="n">
        <v>46029</v>
      </c>
      <c r="B9848" s="216" t="n">
        <v>83</v>
      </c>
      <c r="C9848" s="216" t="n">
        <v>93.41</v>
      </c>
      <c r="D9848" s="216" t="n">
        <v>1.114913940429688</v>
      </c>
      <c r="E9848" s="215" t="n">
        <v>46029</v>
      </c>
      <c r="F9848" s="215" t="n">
        <v>46029</v>
      </c>
    </row>
    <row r="9849">
      <c r="A9849" s="215" t="n">
        <v>46030</v>
      </c>
      <c r="B9849" s="216" t="n">
        <v>81</v>
      </c>
      <c r="C9849" s="216" t="n">
        <v>92.95</v>
      </c>
      <c r="D9849" s="216" t="n">
        <v>1.112563014030457</v>
      </c>
      <c r="E9849" s="215" t="n">
        <v>46030</v>
      </c>
      <c r="F9849" s="215" t="n">
        <v>46030</v>
      </c>
    </row>
    <row r="9850">
      <c r="A9850" s="215" t="n">
        <v>46031</v>
      </c>
      <c r="B9850" s="216" t="n">
        <v>85.2</v>
      </c>
      <c r="C9850" s="216" t="n">
        <v>95.78</v>
      </c>
      <c r="D9850" s="216" t="n">
        <v>1.115561008453369</v>
      </c>
      <c r="E9850" s="215" t="n">
        <v>46031</v>
      </c>
      <c r="F9850" s="215" t="n">
        <v>46031</v>
      </c>
    </row>
    <row r="9851">
      <c r="A9851" s="215" t="n">
        <v>46034</v>
      </c>
      <c r="B9851" s="216" t="n">
        <v>88.09999999999999</v>
      </c>
      <c r="C9851" s="216" t="n">
        <v>95.40000000000001</v>
      </c>
      <c r="D9851" s="216" t="n">
        <v>1.117015957832336</v>
      </c>
      <c r="E9851" s="215" t="n">
        <v>46034</v>
      </c>
      <c r="F9851" s="215" t="n">
        <v>46034</v>
      </c>
    </row>
    <row r="9852">
      <c r="A9852" s="215" t="n">
        <v>46035</v>
      </c>
      <c r="B9852" s="216" t="n">
        <v>85.45</v>
      </c>
      <c r="C9852" s="216" t="n">
        <v>91.91</v>
      </c>
      <c r="D9852" s="216" t="n">
        <v>1.117892026901245</v>
      </c>
      <c r="E9852" s="215" t="n">
        <v>46035</v>
      </c>
      <c r="F9852" s="215" t="n">
        <v>46035</v>
      </c>
    </row>
    <row r="9853">
      <c r="A9853" s="215" t="n">
        <v>46036</v>
      </c>
      <c r="B9853" s="216" t="n">
        <v>83.09999999999999</v>
      </c>
      <c r="C9853" s="216" t="n">
        <v>90.05</v>
      </c>
      <c r="D9853" s="216" t="n">
        <v>1.117897987365723</v>
      </c>
      <c r="E9853" s="215" t="n">
        <v>46036</v>
      </c>
      <c r="F9853" s="215" t="n">
        <v>46036</v>
      </c>
    </row>
    <row r="9854">
      <c r="A9854" s="215" t="n">
        <v>46037</v>
      </c>
      <c r="B9854" s="216" t="n">
        <v>82.59999999999999</v>
      </c>
      <c r="C9854" s="216" t="n">
        <v>89.61</v>
      </c>
      <c r="D9854" s="216" t="n">
        <v>1.118072032928467</v>
      </c>
      <c r="E9854" s="215" t="n">
        <v>46037</v>
      </c>
      <c r="F9854" s="215" t="n">
        <v>46037</v>
      </c>
    </row>
    <row r="9855">
      <c r="A9855" s="215" t="n">
        <v>46038</v>
      </c>
      <c r="B9855" s="216" t="n">
        <v>81.95</v>
      </c>
      <c r="C9855" s="216" t="n">
        <v>88.43000000000001</v>
      </c>
      <c r="D9855" s="216" t="n">
        <v>1.119040012359619</v>
      </c>
      <c r="E9855" s="215" t="n">
        <v>46038</v>
      </c>
      <c r="F9855" s="215" t="n">
        <v>46038</v>
      </c>
    </row>
    <row r="9856">
      <c r="A9856" s="215" t="n">
        <v>46041</v>
      </c>
      <c r="B9856" s="216" t="n">
        <v>87.40000000000001</v>
      </c>
      <c r="C9856" s="216" t="n">
        <v>93.40000000000001</v>
      </c>
      <c r="D9856" s="216" t="n">
        <v>1.118916034698486</v>
      </c>
      <c r="E9856" s="215" t="n">
        <v>46041</v>
      </c>
      <c r="F9856" s="215" t="n">
        <v>46041</v>
      </c>
    </row>
    <row r="9857">
      <c r="A9857" s="215" t="n">
        <v>46042</v>
      </c>
      <c r="B9857" s="216" t="n">
        <v>90.65000000000001</v>
      </c>
      <c r="C9857" s="216" t="n">
        <v>96.09</v>
      </c>
      <c r="D9857" s="216" t="n">
        <v>1.118687987327576</v>
      </c>
      <c r="E9857" s="215" t="n">
        <v>46042</v>
      </c>
      <c r="F9857" s="215" t="n">
        <v>46042</v>
      </c>
    </row>
    <row r="9858">
      <c r="A9858" s="215" t="n">
        <v>46043</v>
      </c>
      <c r="B9858" s="216" t="n">
        <v>91.09999999999999</v>
      </c>
      <c r="C9858" s="216" t="n">
        <v>95.09</v>
      </c>
      <c r="D9858" s="216" t="n">
        <v>1.12024998664856</v>
      </c>
      <c r="E9858" s="215" t="n">
        <v>46043</v>
      </c>
      <c r="F9858" s="215" t="n">
        <v>46043</v>
      </c>
    </row>
    <row r="9859">
      <c r="A9859" s="215" t="n">
        <v>46044</v>
      </c>
      <c r="B9859" s="216" t="n">
        <v>89.55</v>
      </c>
      <c r="C9859" s="216" t="n">
        <v>93.61</v>
      </c>
      <c r="D9859" s="216" t="n">
        <v>1.11942195892334</v>
      </c>
      <c r="E9859" s="215" t="n">
        <v>46044</v>
      </c>
      <c r="F9859" s="215" t="n">
        <v>46044</v>
      </c>
    </row>
    <row r="9860">
      <c r="A9860" s="215" t="n">
        <v>46045</v>
      </c>
      <c r="B9860" s="216" t="n">
        <v>91.59999999999999</v>
      </c>
      <c r="C9860" s="216" t="n">
        <v>93.31999999999999</v>
      </c>
      <c r="D9860" s="216" t="n">
        <v>1.117977976799011</v>
      </c>
      <c r="E9860" s="215" t="n">
        <v>46045</v>
      </c>
      <c r="F9860" s="215" t="n">
        <v>46045</v>
      </c>
    </row>
    <row r="9861">
      <c r="A9861" s="215" t="n">
        <v>46048</v>
      </c>
      <c r="B9861" s="216" t="n">
        <v>92.75</v>
      </c>
      <c r="C9861" s="216" t="n">
        <v>92.66</v>
      </c>
      <c r="D9861" s="216" t="n">
        <v>1.117916941642761</v>
      </c>
      <c r="E9861" s="215" t="n">
        <v>46048</v>
      </c>
      <c r="F9861" s="215" t="n">
        <v>46048</v>
      </c>
    </row>
    <row r="9862">
      <c r="A9862" s="215" t="n">
        <v>46049</v>
      </c>
      <c r="B9862" s="216" t="n">
        <v>90.09999999999999</v>
      </c>
      <c r="C9862" s="216" t="n">
        <v>90.8</v>
      </c>
      <c r="D9862" s="216" t="n">
        <v>1.121191024780273</v>
      </c>
      <c r="E9862" s="215" t="n">
        <v>46049</v>
      </c>
      <c r="F9862" s="215" t="n">
        <v>46049</v>
      </c>
    </row>
    <row r="9863">
      <c r="A9863" s="215" t="n">
        <v>46050</v>
      </c>
      <c r="B9863" s="216" t="n">
        <v>89.65000000000001</v>
      </c>
      <c r="C9863" s="216" t="n">
        <v>89.84</v>
      </c>
      <c r="D9863" s="216" t="n">
        <v>1.121533036231995</v>
      </c>
      <c r="E9863" s="215" t="n">
        <v>46050</v>
      </c>
      <c r="F9863" s="215" t="n">
        <v>46050</v>
      </c>
    </row>
    <row r="9864">
      <c r="A9864" s="215" t="n">
        <v>46051</v>
      </c>
      <c r="B9864" s="216" t="n">
        <v>96.8</v>
      </c>
      <c r="C9864" s="216" t="n">
        <v>92.3</v>
      </c>
      <c r="D9864" s="216" t="n">
        <v>1.121621966362</v>
      </c>
      <c r="E9864" s="215" t="n">
        <v>46051</v>
      </c>
      <c r="F9864" s="215" t="n">
        <v>46051</v>
      </c>
    </row>
    <row r="9865">
      <c r="A9865" s="215" t="n">
        <v>46052</v>
      </c>
      <c r="B9865" s="216" t="n">
        <v>90.7</v>
      </c>
      <c r="C9865" s="216" t="n">
        <v>89.37</v>
      </c>
      <c r="D9865" s="216" t="n">
        <v>1.123343944549561</v>
      </c>
      <c r="E9865" s="215" t="n">
        <v>46052</v>
      </c>
      <c r="F9865" s="215" t="n">
        <v>46052</v>
      </c>
    </row>
    <row r="9866">
      <c r="A9866" s="215" t="n">
        <v>46055</v>
      </c>
      <c r="B9866" s="216" t="n">
        <v>90</v>
      </c>
      <c r="C9866" s="216" t="n">
        <v>88.95</v>
      </c>
      <c r="D9866" s="216" t="n">
        <v>1.123572945594788</v>
      </c>
      <c r="E9866" s="215" t="n">
        <v>46055</v>
      </c>
      <c r="F9866" s="215" t="n">
        <v>46055</v>
      </c>
    </row>
    <row r="9867">
      <c r="A9867" s="215" t="n">
        <v>46056</v>
      </c>
      <c r="B9867" s="216" t="n">
        <v>92.55</v>
      </c>
      <c r="C9867" s="216" t="n">
        <v>91.59999999999999</v>
      </c>
      <c r="D9867" s="216" t="n">
        <v>1.124274969100952</v>
      </c>
      <c r="E9867" s="215" t="n">
        <v>46056</v>
      </c>
      <c r="F9867" s="215" t="n">
        <v>46056</v>
      </c>
    </row>
    <row r="9868">
      <c r="A9868" s="215" t="n">
        <v>46057</v>
      </c>
      <c r="B9868" s="216" t="n">
        <v>91.75</v>
      </c>
      <c r="C9868" s="216" t="n">
        <v>91.48999999999999</v>
      </c>
      <c r="D9868" s="216" t="n">
        <v>1.12601101398468</v>
      </c>
      <c r="E9868" s="215" t="n">
        <v>46057</v>
      </c>
      <c r="F9868" s="215" t="n">
        <v>46057</v>
      </c>
    </row>
    <row r="9869">
      <c r="A9869" s="215" t="n">
        <v>46058</v>
      </c>
      <c r="B9869" s="216" t="n">
        <v>92.15000000000001</v>
      </c>
      <c r="C9869" s="216" t="n">
        <v>92.47</v>
      </c>
      <c r="D9869" s="216" t="n">
        <v>1.125892996788025</v>
      </c>
      <c r="E9869" s="215" t="n">
        <v>46058</v>
      </c>
      <c r="F9869" s="215" t="n">
        <v>46058</v>
      </c>
    </row>
    <row r="9870">
      <c r="A9870" s="215" t="n">
        <v>46059</v>
      </c>
      <c r="B9870" s="216" t="n">
        <v>93.90000000000001</v>
      </c>
      <c r="C9870" s="216" t="n">
        <v>92.34999999999999</v>
      </c>
      <c r="D9870" s="216" t="n">
        <v>1.126062035560608</v>
      </c>
      <c r="E9870" s="215" t="n">
        <v>46059</v>
      </c>
      <c r="F9870" s="215" t="n">
        <v>46059</v>
      </c>
    </row>
    <row r="9871">
      <c r="A9871" s="215" t="n">
        <v>46062</v>
      </c>
      <c r="B9871" s="216" t="n">
        <v>101.7</v>
      </c>
      <c r="C9871" s="216" t="n">
        <v>97.09999999999999</v>
      </c>
      <c r="D9871" s="216" t="n">
        <v>1.125753998756409</v>
      </c>
      <c r="E9871" s="215" t="n">
        <v>46062</v>
      </c>
      <c r="F9871" s="215" t="n">
        <v>46062</v>
      </c>
    </row>
    <row r="9872">
      <c r="A9872" s="215" t="n">
        <v>46063</v>
      </c>
      <c r="B9872" s="216" t="n">
        <v>98.55</v>
      </c>
      <c r="C9872" s="216" t="n">
        <v>95.09999999999999</v>
      </c>
      <c r="D9872" s="216" t="n">
        <v>1.129003047943115</v>
      </c>
      <c r="E9872" s="215" t="n">
        <v>46063</v>
      </c>
      <c r="F9872" s="215" t="n">
        <v>46063</v>
      </c>
    </row>
    <row r="9873">
      <c r="A9873" s="215" t="n">
        <v>46064</v>
      </c>
      <c r="B9873" s="216" t="n">
        <v>101.6</v>
      </c>
      <c r="C9873" s="216" t="n">
        <v>97</v>
      </c>
      <c r="D9873" s="216" t="n">
        <v>1.130962014198303</v>
      </c>
      <c r="E9873" s="215" t="n">
        <v>46064</v>
      </c>
      <c r="F9873" s="215" t="n">
        <v>46064</v>
      </c>
    </row>
    <row r="9874">
      <c r="A9874" s="215" t="n">
        <v>46065</v>
      </c>
      <c r="B9874" s="216" t="n">
        <v>99.7</v>
      </c>
      <c r="C9874" s="216" t="n">
        <v>94.17</v>
      </c>
      <c r="D9874" s="216" t="n">
        <v>1.130671977996826</v>
      </c>
      <c r="E9874" s="215" t="n">
        <v>46065</v>
      </c>
      <c r="F9874" s="215" t="n">
        <v>46065</v>
      </c>
    </row>
    <row r="9875">
      <c r="A9875" s="215" t="n">
        <v>46066</v>
      </c>
      <c r="B9875" s="216" t="n">
        <v>103.5</v>
      </c>
      <c r="C9875" s="216" t="n">
        <v>94.64</v>
      </c>
      <c r="D9875" s="216" t="n">
        <v>1.132490992546082</v>
      </c>
      <c r="E9875" s="215" t="n">
        <v>46066</v>
      </c>
      <c r="F9875" s="215" t="n">
        <v>46066</v>
      </c>
    </row>
    <row r="9876">
      <c r="A9876" s="215" t="n">
        <v>46069</v>
      </c>
      <c r="B9876" s="216" t="n">
        <v>106.6</v>
      </c>
      <c r="C9876" s="216" t="n">
        <v>94.64</v>
      </c>
      <c r="D9876" s="216" t="n">
        <v>1.131224036216736</v>
      </c>
      <c r="E9876" s="215" t="n">
        <v>46066</v>
      </c>
      <c r="F9876" s="215" t="n">
        <v>46069</v>
      </c>
    </row>
    <row r="9877">
      <c r="A9877" s="215" t="n">
        <v>46073</v>
      </c>
      <c r="B9877" s="216" t="n">
        <v>100.8</v>
      </c>
      <c r="C9877" s="216" t="n">
        <v>94.64</v>
      </c>
      <c r="D9877" s="216" t="n">
        <v>1.131005048751831</v>
      </c>
      <c r="E9877" s="215" t="n">
        <v>46066</v>
      </c>
      <c r="F9877" s="215" t="n">
        <v>46073</v>
      </c>
    </row>
    <row r="9878">
      <c r="A9878" s="215" t="n">
        <v>46076</v>
      </c>
      <c r="B9878" s="216" t="n">
        <v>91.84999999999999</v>
      </c>
      <c r="C9878" s="216" t="n">
        <v>94.64</v>
      </c>
      <c r="D9878" s="216" t="n">
        <v>1.130877017974854</v>
      </c>
      <c r="E9878" s="215" t="n">
        <v>46066</v>
      </c>
      <c r="F9878" s="215" t="n">
        <v>46076</v>
      </c>
    </row>
    <row r="9879">
      <c r="A9879" s="215" t="n">
        <v>46077</v>
      </c>
      <c r="B9879" s="216" t="n">
        <v>82.2</v>
      </c>
      <c r="C9879" s="216" t="n">
        <v>85.18000000000001</v>
      </c>
      <c r="D9879" s="216" t="n">
        <v>1.131631016731262</v>
      </c>
      <c r="E9879" s="215" t="n">
        <v>46077</v>
      </c>
      <c r="F9879" s="215" t="n">
        <v>46077</v>
      </c>
    </row>
    <row r="9880">
      <c r="A9880" s="215" t="n">
        <v>46078</v>
      </c>
      <c r="B9880" s="216" t="n">
        <v>82.3</v>
      </c>
      <c r="C9880" s="216" t="n">
        <v>82.09999999999999</v>
      </c>
      <c r="D9880" s="216" t="n">
        <v>1.136234045028687</v>
      </c>
      <c r="E9880" s="215" t="n">
        <v>46078</v>
      </c>
      <c r="F9880" s="215" t="n">
        <v>46078</v>
      </c>
    </row>
    <row r="9881">
      <c r="A9881" s="215" t="n">
        <v>46079</v>
      </c>
      <c r="B9881" s="216" t="n">
        <v>79.15000000000001</v>
      </c>
      <c r="C9881" s="216" t="n">
        <v>80.09999999999999</v>
      </c>
      <c r="D9881" s="216" t="n">
        <v>1.138198971748352</v>
      </c>
      <c r="E9881" s="215" t="n">
        <v>46079</v>
      </c>
      <c r="F9881" s="215" t="n">
        <v>46079</v>
      </c>
    </row>
    <row r="9882">
      <c r="A9882" s="215" t="n">
        <v>46080</v>
      </c>
      <c r="B9882" s="216" t="n">
        <v>78.90000000000001</v>
      </c>
      <c r="C9882" s="216" t="n">
        <v>80.58</v>
      </c>
      <c r="D9882" s="216" t="n">
        <v>1.143396973609924</v>
      </c>
      <c r="E9882" s="215" t="n">
        <v>46080</v>
      </c>
      <c r="F9882" s="215" t="n">
        <v>46080</v>
      </c>
    </row>
    <row r="9883">
      <c r="A9883" s="215" t="n">
        <v>46083</v>
      </c>
      <c r="B9883" s="216" t="n">
        <v>75.8</v>
      </c>
      <c r="C9883" s="216" t="n">
        <v>78.09999999999999</v>
      </c>
      <c r="D9883" s="216" t="n">
        <v>1.140552043914795</v>
      </c>
      <c r="E9883" s="215" t="n">
        <v>46083</v>
      </c>
      <c r="F9883" s="215" t="n">
        <v>46083</v>
      </c>
    </row>
    <row r="9884">
      <c r="A9884" s="215" t="n">
        <v>46084</v>
      </c>
      <c r="B9884" s="216" t="n">
        <v>73.09999999999999</v>
      </c>
      <c r="C9884" s="216" t="n">
        <v>75.73</v>
      </c>
      <c r="D9884" s="216" t="n">
        <v>1.136399984359741</v>
      </c>
      <c r="E9884" s="215" t="n">
        <v>46084</v>
      </c>
      <c r="F9884" s="215" t="n">
        <v>46084</v>
      </c>
    </row>
    <row r="9885">
      <c r="A9885" s="215" t="n">
        <v>46085</v>
      </c>
      <c r="B9885" s="216" t="n">
        <v>73.34999999999999</v>
      </c>
      <c r="C9885" s="216" t="n">
        <v>76.76000000000001</v>
      </c>
      <c r="D9885" s="216" t="n">
        <v>1.130928993225098</v>
      </c>
      <c r="E9885" s="215" t="n">
        <v>46085</v>
      </c>
      <c r="F9885" s="215" t="n">
        <v>46085</v>
      </c>
    </row>
    <row r="9886">
      <c r="A9886" s="215" t="n">
        <v>46086</v>
      </c>
      <c r="B9886" s="216" t="n">
        <v>72.75</v>
      </c>
      <c r="C9886" s="216" t="n">
        <v>76.45</v>
      </c>
      <c r="D9886" s="216" t="n">
        <v>1.133169054985046</v>
      </c>
      <c r="E9886" s="215" t="n">
        <v>46086</v>
      </c>
      <c r="F9886" s="215" t="n">
        <v>46086</v>
      </c>
    </row>
    <row r="9887">
      <c r="A9887" s="215" t="n">
        <v>46087</v>
      </c>
      <c r="B9887" s="216" t="n">
        <v>73.7</v>
      </c>
      <c r="C9887" s="216" t="n">
        <v>76.62</v>
      </c>
      <c r="D9887" s="216" t="n">
        <v>1.133442044258118</v>
      </c>
      <c r="E9887" s="215" t="n">
        <v>46087</v>
      </c>
      <c r="F9887" s="215" t="n">
        <v>46087</v>
      </c>
    </row>
    <row r="9888">
      <c r="A9888" s="215" t="n">
        <v>46090</v>
      </c>
      <c r="B9888" s="216" t="n">
        <v>72.5</v>
      </c>
      <c r="C9888" s="216" t="n">
        <v>75.09999999999999</v>
      </c>
      <c r="D9888" s="216" t="n">
        <v>1.133231043815613</v>
      </c>
      <c r="E9888" s="215" t="n">
        <v>46090</v>
      </c>
      <c r="F9888" s="215" t="n">
        <v>46090</v>
      </c>
    </row>
    <row r="9889">
      <c r="A9889" s="215" t="n">
        <v>46091</v>
      </c>
      <c r="B9889" s="216" t="n">
        <v>72.5</v>
      </c>
      <c r="C9889" s="216" t="n">
        <v>75.40000000000001</v>
      </c>
      <c r="D9889" s="216" t="n">
        <v>1.131595015525818</v>
      </c>
      <c r="E9889" s="215" t="n">
        <v>46091</v>
      </c>
      <c r="F9889" s="215" t="n">
        <v>46091</v>
      </c>
    </row>
    <row r="9890">
      <c r="A9890" s="215" t="n">
        <v>46092</v>
      </c>
      <c r="B9890" s="216" t="n">
        <v>71.09999999999999</v>
      </c>
      <c r="C9890" s="216" t="n">
        <v>74.33</v>
      </c>
      <c r="D9890" s="216" t="n">
        <v>1.137585043907166</v>
      </c>
      <c r="E9890" s="215" t="n">
        <v>46092</v>
      </c>
      <c r="F9890" s="215" t="n">
        <v>46092</v>
      </c>
    </row>
    <row r="9891">
      <c r="A9891" s="215" t="n">
        <v>46093</v>
      </c>
      <c r="B9891" s="216" t="n">
        <v>69.8</v>
      </c>
      <c r="C9891" s="216" t="n">
        <v>73.73999999999999</v>
      </c>
      <c r="D9891" s="216" t="n">
        <v>1.139600038528442</v>
      </c>
      <c r="E9891" s="215" t="n">
        <v>46093</v>
      </c>
      <c r="F9891" s="215" t="n">
        <v>46093</v>
      </c>
    </row>
    <row r="9892">
      <c r="A9892" s="215" t="n">
        <v>46094</v>
      </c>
      <c r="B9892" s="216" t="n">
        <v>69</v>
      </c>
      <c r="C9892" s="216" t="n">
        <v>73.29000000000001</v>
      </c>
      <c r="D9892" s="216" t="n">
        <v>1.139310002326965</v>
      </c>
      <c r="E9892" s="215" t="n">
        <v>46094</v>
      </c>
      <c r="F9892" s="215" t="n">
        <v>46094</v>
      </c>
    </row>
    <row r="9893">
      <c r="A9893" s="215" t="n">
        <v>46097</v>
      </c>
      <c r="B9893" s="216" t="n">
        <v>72.75</v>
      </c>
      <c r="C9893" s="216" t="n">
        <v>75.17</v>
      </c>
      <c r="D9893" s="216" t="n">
        <v>1.134883999824524</v>
      </c>
      <c r="E9893" s="215" t="n">
        <v>46097</v>
      </c>
      <c r="F9893" s="215" t="n">
        <v>46097</v>
      </c>
    </row>
    <row r="9894">
      <c r="A9894" s="215" t="n">
        <v>46098</v>
      </c>
      <c r="B9894" s="216" t="n">
        <v>71.3</v>
      </c>
      <c r="C9894" s="216" t="n">
        <v>75.34999999999999</v>
      </c>
      <c r="D9894" s="216" t="n">
        <v>1.125375986099243</v>
      </c>
      <c r="E9894" s="215" t="n">
        <v>46098</v>
      </c>
      <c r="F9894" s="215" t="n">
        <v>46098</v>
      </c>
    </row>
    <row r="9895">
      <c r="A9895" s="215" t="n">
        <v>46099</v>
      </c>
      <c r="B9895" s="216" t="n">
        <v>70.65000000000001</v>
      </c>
      <c r="C9895" s="216" t="n">
        <v>74.95999999999999</v>
      </c>
      <c r="D9895" s="216" t="n">
        <v>1.137819051742554</v>
      </c>
      <c r="E9895" s="215" t="n">
        <v>46099</v>
      </c>
      <c r="F9895" s="215" t="n">
        <v>46099</v>
      </c>
    </row>
    <row r="9896">
      <c r="A9896" s="215" t="n">
        <v>46100</v>
      </c>
      <c r="B9896" s="216" t="n">
        <v>68.3</v>
      </c>
      <c r="C9896" s="216" t="n">
        <v>72.56</v>
      </c>
      <c r="D9896" s="216" t="n">
        <v>1.140079021453857</v>
      </c>
      <c r="E9896" s="215" t="n">
        <v>46100</v>
      </c>
      <c r="F9896" s="215" t="n">
        <v>46100</v>
      </c>
    </row>
    <row r="9897">
      <c r="A9897" s="215" t="n">
        <v>46101</v>
      </c>
      <c r="B9897" s="216" t="n">
        <v>69.5</v>
      </c>
      <c r="C9897" s="216" t="n">
        <v>72.2</v>
      </c>
      <c r="D9897" s="216" t="n">
        <v>1.13490903377533</v>
      </c>
      <c r="E9897" s="215" t="n">
        <v>46101</v>
      </c>
      <c r="F9897" s="215" t="n">
        <v>46101</v>
      </c>
    </row>
    <row r="9898">
      <c r="A9898" s="215" t="n">
        <v>46104</v>
      </c>
      <c r="B9898" s="216" t="n">
        <v>66.75</v>
      </c>
      <c r="C9898" s="216" t="n">
        <v>70.77</v>
      </c>
      <c r="D9898" s="216" t="n">
        <v>1.137529969215393</v>
      </c>
      <c r="E9898" s="215" t="n">
        <v>46104</v>
      </c>
      <c r="F9898" s="215" t="n">
        <v>46104</v>
      </c>
    </row>
    <row r="9899">
      <c r="A9899" s="215" t="n">
        <v>46105</v>
      </c>
      <c r="B9899" s="216" t="n">
        <v>66.8</v>
      </c>
      <c r="C9899" s="216" t="n">
        <v>70.81999999999999</v>
      </c>
      <c r="D9899" s="216" t="n">
        <v>1.138481974601746</v>
      </c>
      <c r="E9899" s="215" t="n">
        <v>46105</v>
      </c>
      <c r="F9899" s="215" t="n">
        <v>46105</v>
      </c>
    </row>
    <row r="9900">
      <c r="A9900" s="215" t="n">
        <v>46106</v>
      </c>
      <c r="B9900" s="216" t="n">
        <v>66.40000000000001</v>
      </c>
      <c r="C9900" s="216" t="n">
        <v>71.81999999999999</v>
      </c>
      <c r="D9900" s="216" t="n">
        <v>1.135548949241638</v>
      </c>
      <c r="E9900" s="215" t="n">
        <v>46106</v>
      </c>
      <c r="F9900" s="215" t="n">
        <v>46106</v>
      </c>
    </row>
    <row r="9901">
      <c r="A9901" s="215" t="n">
        <v>46107</v>
      </c>
      <c r="B9901" s="216" t="n">
        <v>64.2</v>
      </c>
      <c r="C9901" s="216" t="n">
        <v>70.69</v>
      </c>
      <c r="D9901" s="216" t="n">
        <v>1.132627010345459</v>
      </c>
      <c r="E9901" s="215" t="n">
        <v>46107</v>
      </c>
      <c r="F9901" s="215" t="n">
        <v>46107</v>
      </c>
    </row>
    <row r="9902">
      <c r="A9902" s="215" t="n">
        <v>46108</v>
      </c>
      <c r="B9902" s="216" t="n">
        <v>65.09999999999999</v>
      </c>
      <c r="C9902" s="216" t="n">
        <v>71.65000000000001</v>
      </c>
      <c r="D9902" s="216" t="n">
        <v>1.132115960121155</v>
      </c>
      <c r="E9902" s="215" t="n">
        <v>46108</v>
      </c>
      <c r="F9902" s="215" t="n">
        <v>46108</v>
      </c>
    </row>
    <row r="9903">
      <c r="A9903" s="215" t="n">
        <v>46111</v>
      </c>
      <c r="B9903" s="216" t="n">
        <v>64</v>
      </c>
      <c r="C9903" s="216" t="n">
        <v>70.86</v>
      </c>
      <c r="D9903" s="216" t="n">
        <v>1.13311505317688</v>
      </c>
      <c r="E9903" s="215" t="n">
        <v>46111</v>
      </c>
      <c r="F9903" s="215" t="n">
        <v>46111</v>
      </c>
    </row>
    <row r="9904">
      <c r="A9904" s="215" t="n">
        <v>46112</v>
      </c>
      <c r="B9904" s="216" t="n">
        <v>64.95</v>
      </c>
      <c r="C9904" s="216" t="n">
        <v>70.38</v>
      </c>
      <c r="D9904" s="216" t="n">
        <v>1.133540987968445</v>
      </c>
      <c r="E9904" s="215" t="n">
        <v>46112</v>
      </c>
      <c r="F9904" s="215" t="n">
        <v>46112</v>
      </c>
    </row>
    <row r="9905">
      <c r="A9905" s="215" t="n">
        <v>46113</v>
      </c>
      <c r="B9905" s="216" t="n">
        <v>66.45</v>
      </c>
      <c r="C9905" s="216" t="n">
        <v>71.40000000000001</v>
      </c>
      <c r="D9905" s="216" t="n">
        <v>1.136669993400574</v>
      </c>
      <c r="E9905" s="215" t="n">
        <v>46113</v>
      </c>
      <c r="F9905" s="215" t="n">
        <v>46113</v>
      </c>
    </row>
    <row r="9906">
      <c r="A9906" s="215" t="n">
        <v>46114</v>
      </c>
      <c r="B9906" s="216" t="n">
        <v>66.55</v>
      </c>
      <c r="C9906" s="216" t="n">
        <v>70</v>
      </c>
      <c r="D9906" s="216" t="n">
        <v>1.140197992324829</v>
      </c>
      <c r="E9906" s="215" t="n">
        <v>46114</v>
      </c>
      <c r="F9906" s="215" t="n">
        <v>46114</v>
      </c>
    </row>
    <row r="9907">
      <c r="A9907" s="215" t="n">
        <v>46120</v>
      </c>
      <c r="B9907" s="216" t="n">
        <v>67.90000000000001</v>
      </c>
      <c r="C9907" s="216" t="n">
        <v>69.98999999999999</v>
      </c>
      <c r="D9907" s="216" t="n">
        <v>1.1423499584198</v>
      </c>
      <c r="E9907" s="215" t="n">
        <v>46120</v>
      </c>
      <c r="F9907" s="215" t="n">
        <v>46120</v>
      </c>
    </row>
    <row r="9908">
      <c r="A9908" s="215" t="n">
        <v>46121</v>
      </c>
      <c r="B9908" s="216" t="n">
        <v>64.84999999999999</v>
      </c>
      <c r="C9908" s="216" t="n">
        <v>67.89</v>
      </c>
      <c r="D9908" s="216" t="n">
        <v>1.146731972694397</v>
      </c>
      <c r="E9908" s="215" t="n">
        <v>46121</v>
      </c>
      <c r="F9908" s="215" t="n">
        <v>46121</v>
      </c>
    </row>
    <row r="9909">
      <c r="A9909" s="215" t="n">
        <v>46122</v>
      </c>
      <c r="B9909" s="216" t="n">
        <v>64.95</v>
      </c>
      <c r="C9909" s="216" t="n">
        <v>69.04000000000001</v>
      </c>
      <c r="D9909" s="216" t="n">
        <v>1.146558046340942</v>
      </c>
      <c r="E9909" s="215" t="n">
        <v>46122</v>
      </c>
      <c r="F9909" s="215" t="n">
        <v>46122</v>
      </c>
    </row>
    <row r="9910">
      <c r="A9910" s="215" t="n">
        <v>46125</v>
      </c>
      <c r="B9910" s="216" t="n">
        <v>64.59999999999999</v>
      </c>
      <c r="C9910" s="216" t="n">
        <v>68.90000000000001</v>
      </c>
      <c r="D9910" s="216" t="n">
        <v>1.147117972373962</v>
      </c>
      <c r="E9910" s="215" t="n">
        <v>46125</v>
      </c>
      <c r="F9910" s="215" t="n">
        <v>46125</v>
      </c>
    </row>
    <row r="9911">
      <c r="A9911" s="215" t="n">
        <v>46126</v>
      </c>
      <c r="B9911" s="216" t="n">
        <v>65.09999999999999</v>
      </c>
      <c r="C9911" s="216" t="n">
        <v>69.08</v>
      </c>
      <c r="D9911" s="216" t="n">
        <v>1.146226048469543</v>
      </c>
      <c r="E9911" s="215" t="n">
        <v>46126</v>
      </c>
      <c r="F9911" s="215" t="n">
        <v>46126</v>
      </c>
    </row>
    <row r="9912">
      <c r="A9912" s="215" t="n">
        <v>46127</v>
      </c>
      <c r="B9912" s="216" t="n">
        <v>65.7</v>
      </c>
      <c r="C9912" s="216" t="n">
        <v>68.38</v>
      </c>
      <c r="D9912" s="216" t="n">
        <v>1.149266004562378</v>
      </c>
      <c r="E9912" s="215" t="n">
        <v>46127</v>
      </c>
      <c r="F9912" s="215" t="n">
        <v>46127</v>
      </c>
    </row>
    <row r="9913">
      <c r="A9913" s="215" t="n">
        <v>46128</v>
      </c>
      <c r="B9913" s="216" t="n">
        <v>67.05</v>
      </c>
      <c r="C9913" s="216" t="n">
        <v>68.48999999999999</v>
      </c>
      <c r="D9913" s="216" t="n">
        <v>1.148550033569336</v>
      </c>
      <c r="E9913" s="215" t="n">
        <v>46128</v>
      </c>
      <c r="F9913" s="215" t="n">
        <v>46128</v>
      </c>
    </row>
    <row r="9914">
      <c r="A9914" s="215" t="n">
        <v>46129</v>
      </c>
      <c r="B9914" s="216" t="n">
        <v>65.65000000000001</v>
      </c>
      <c r="C9914" s="216" t="n">
        <v>66.79000000000001</v>
      </c>
      <c r="D9914" s="216" t="n">
        <v>1.146605014801025</v>
      </c>
      <c r="E9914" s="215" t="n">
        <v>46129</v>
      </c>
      <c r="F9914" s="215" t="n">
        <v>46129</v>
      </c>
    </row>
    <row r="9915">
      <c r="A9915" s="215" t="n">
        <v>46132</v>
      </c>
      <c r="B9915" s="216" t="n">
        <v>66.90000000000001</v>
      </c>
      <c r="C9915" s="216" t="n">
        <v>67.69</v>
      </c>
      <c r="D9915" s="216" t="n">
        <v>1.148360967636108</v>
      </c>
      <c r="E9915" s="215" t="n">
        <v>46132</v>
      </c>
      <c r="F9915" s="215" t="n">
        <v>46132</v>
      </c>
    </row>
    <row r="9916">
      <c r="A9916" s="215" t="n">
        <v>46133</v>
      </c>
      <c r="B9916" s="216" t="n">
        <v>66.90000000000001</v>
      </c>
      <c r="C9916" s="216" t="n">
        <v>67.27</v>
      </c>
      <c r="D9916" s="216" t="n">
        <v>1.148368000984192</v>
      </c>
      <c r="E9916" s="215" t="n">
        <v>46133</v>
      </c>
      <c r="F9916" s="215" t="n">
        <v>46133</v>
      </c>
    </row>
    <row r="9917">
      <c r="A9917" s="215" t="n">
        <v>46134</v>
      </c>
      <c r="B9917" s="216" t="n">
        <v>66.65000000000001</v>
      </c>
      <c r="C9917" s="216" t="n">
        <v>66.63</v>
      </c>
      <c r="D9917" s="216" t="n">
        <v>1.147838950157166</v>
      </c>
      <c r="E9917" s="215" t="n">
        <v>46134</v>
      </c>
      <c r="F9917" s="215" t="n">
        <v>46134</v>
      </c>
    </row>
    <row r="9918">
      <c r="A9918" s="215" t="n">
        <v>46135</v>
      </c>
      <c r="B9918" s="216" t="n">
        <v>65.5</v>
      </c>
      <c r="C9918" s="216" t="n">
        <v>66.28</v>
      </c>
      <c r="D9918" s="216" t="n">
        <v>1.147513031959534</v>
      </c>
      <c r="E9918" s="215" t="n">
        <v>46135</v>
      </c>
      <c r="F9918" s="215" t="n">
        <v>46135</v>
      </c>
    </row>
    <row r="9919">
      <c r="A9919" s="215" t="n">
        <v>46136</v>
      </c>
      <c r="B9919" s="216" t="n">
        <v>64.3</v>
      </c>
      <c r="C9919" s="216" t="n">
        <v>65.42</v>
      </c>
      <c r="D9919" s="216" t="n">
        <v>1.147369027137756</v>
      </c>
      <c r="E9919" s="215" t="n">
        <v>46136</v>
      </c>
      <c r="F9919" s="215" t="n">
        <v>46136</v>
      </c>
    </row>
    <row r="9920">
      <c r="A9920" s="215" t="n">
        <v>46139</v>
      </c>
      <c r="B9920" s="216" t="n">
        <v>63.6</v>
      </c>
      <c r="C9920" s="216" t="n">
        <v>65.62</v>
      </c>
      <c r="D9920" s="216" t="n">
        <v>1.146002054214478</v>
      </c>
      <c r="E9920" s="215" t="n">
        <v>46139</v>
      </c>
      <c r="F9920" s="215" t="n">
        <v>46139</v>
      </c>
    </row>
    <row r="9921">
      <c r="A9921" s="215" t="n">
        <v>46140</v>
      </c>
      <c r="B9921" s="216" t="n">
        <v>62.3</v>
      </c>
      <c r="C9921" s="216" t="n">
        <v>64.56</v>
      </c>
      <c r="D9921" s="216" t="n">
        <v>1.148522019386292</v>
      </c>
      <c r="E9921" s="215" t="n">
        <v>46140</v>
      </c>
      <c r="F9921" s="215" t="n">
        <v>46140</v>
      </c>
    </row>
    <row r="9922">
      <c r="A9922" s="215" t="n">
        <v>46141</v>
      </c>
      <c r="B9922" s="216" t="n">
        <v>65.34999999999999</v>
      </c>
      <c r="C9922" s="216" t="n">
        <v>65.95</v>
      </c>
      <c r="D9922" s="216" t="n">
        <v>1.145936012268066</v>
      </c>
      <c r="E9922" s="215" t="n">
        <v>46141</v>
      </c>
      <c r="F9922" s="215" t="n">
        <v>46141</v>
      </c>
    </row>
    <row r="9923">
      <c r="A9923" s="215" t="n">
        <v>46142</v>
      </c>
      <c r="B9923" s="216" t="n">
        <v>63.45</v>
      </c>
      <c r="C9923" s="216" t="n">
        <v>65.62</v>
      </c>
      <c r="D9923" s="216" t="n">
        <v>1.145792007446289</v>
      </c>
      <c r="E9923" s="215" t="n">
        <v>46142</v>
      </c>
      <c r="F9923" s="215" t="n">
        <v>46142</v>
      </c>
    </row>
    <row r="9924">
      <c r="A9924" s="215" t="n">
        <v>46146</v>
      </c>
      <c r="B9924" s="216" t="n">
        <v>63.15</v>
      </c>
      <c r="C9924" s="216" t="n">
        <v>65.62</v>
      </c>
      <c r="D9924" s="216" t="n">
        <v>1.147340059280396</v>
      </c>
      <c r="E9924" s="215" t="n">
        <v>46142</v>
      </c>
      <c r="F9924" s="215" t="n">
        <v>46146</v>
      </c>
    </row>
    <row r="9925">
      <c r="A9925" s="215" t="n">
        <v>46147</v>
      </c>
      <c r="B9925" s="216" t="n">
        <v>60.35</v>
      </c>
      <c r="C9925" s="216" t="n">
        <v>65.62</v>
      </c>
      <c r="D9925" s="216" t="n">
        <v>1.146813988685608</v>
      </c>
      <c r="E9925" s="215" t="n">
        <v>46142</v>
      </c>
      <c r="F9925" s="215" t="n">
        <v>46147</v>
      </c>
    </row>
    <row r="9926">
      <c r="A9926" s="215" t="n">
        <v>46148</v>
      </c>
      <c r="B9926" s="216" t="n">
        <v>58.05</v>
      </c>
      <c r="C9926" s="216" t="n">
        <v>63.03</v>
      </c>
      <c r="D9926" s="216" t="n">
        <v>1.14708399772644</v>
      </c>
      <c r="E9926" s="215" t="n">
        <v>46148</v>
      </c>
      <c r="F9926" s="215" t="n">
        <v>46148</v>
      </c>
    </row>
    <row r="9927">
      <c r="A9927" s="215" t="n">
        <v>46149</v>
      </c>
      <c r="B9927" s="216" t="n">
        <v>59.3</v>
      </c>
      <c r="C9927" s="216" t="n">
        <v>63.05</v>
      </c>
      <c r="D9927" s="216" t="n">
        <v>1.150125026702881</v>
      </c>
      <c r="E9927" s="215" t="n">
        <v>46149</v>
      </c>
      <c r="F9927" s="215" t="n">
        <v>46149</v>
      </c>
    </row>
    <row r="9928">
      <c r="A9928" s="215" t="n">
        <v>46150</v>
      </c>
      <c r="B9928" s="216" t="n">
        <v>58.45</v>
      </c>
      <c r="C9928" s="216" t="n">
        <v>62.68</v>
      </c>
      <c r="D9928" s="216" t="n">
        <v>1.15172004699707</v>
      </c>
      <c r="E9928" s="215" t="n">
        <v>46150</v>
      </c>
      <c r="F9928" s="215" t="n">
        <v>46150</v>
      </c>
    </row>
    <row r="9929">
      <c r="A9929" s="215" t="n">
        <v>46153</v>
      </c>
      <c r="B9929" s="216" t="n">
        <v>58.65</v>
      </c>
      <c r="C9929" s="216" t="n">
        <v>62.69</v>
      </c>
      <c r="D9929" s="216" t="n">
        <v>1.151090025901794</v>
      </c>
      <c r="E9929" s="215" t="n">
        <v>46153</v>
      </c>
      <c r="F9929" s="215" t="n">
        <v>46153</v>
      </c>
    </row>
    <row r="9930">
      <c r="A9930" s="215" t="n">
        <v>46154</v>
      </c>
      <c r="B9930" s="216" t="n">
        <v>58.25</v>
      </c>
      <c r="C9930" s="216" t="n">
        <v>61.55</v>
      </c>
      <c r="D9930" s="216" t="n">
        <v>1.152078986167908</v>
      </c>
      <c r="E9930" s="215" t="n">
        <v>46154</v>
      </c>
      <c r="F9930" s="215" t="n">
        <v>46154</v>
      </c>
    </row>
    <row r="9931">
      <c r="A9931" s="215" t="n">
        <v>46155</v>
      </c>
      <c r="B9931" s="216" t="n">
        <v>57.3</v>
      </c>
      <c r="C9931" s="216" t="n">
        <v>61.38</v>
      </c>
      <c r="D9931" s="216" t="n">
        <v>1.152537941932678</v>
      </c>
      <c r="E9931" s="215" t="n">
        <v>46155</v>
      </c>
      <c r="F9931" s="215" t="n">
        <v>46155</v>
      </c>
    </row>
    <row r="9932">
      <c r="A9932" s="215" t="n">
        <v>46156</v>
      </c>
      <c r="B9932" s="216" t="n">
        <v>57.4</v>
      </c>
      <c r="C9932" s="216" t="n">
        <v>60.8</v>
      </c>
      <c r="D9932" s="216" t="n">
        <v>1.152662992477417</v>
      </c>
      <c r="E9932" s="215" t="n">
        <v>46156</v>
      </c>
      <c r="F9932" s="215" t="n">
        <v>46156</v>
      </c>
    </row>
    <row r="9933">
      <c r="A9933" s="215" t="n">
        <v>46157</v>
      </c>
      <c r="B9933" s="216" t="n">
        <v>57.1</v>
      </c>
      <c r="C9933" s="216" t="n">
        <v>59</v>
      </c>
      <c r="D9933" s="216" t="n">
        <v>1.154320001602173</v>
      </c>
      <c r="E9933" s="215" t="n">
        <v>46157</v>
      </c>
      <c r="F9933" s="215" t="n">
        <v>46157</v>
      </c>
    </row>
    <row r="9934">
      <c r="A9934" s="215" t="n">
        <v>46160</v>
      </c>
      <c r="B9934" s="216" t="n">
        <v>56.05</v>
      </c>
      <c r="C9934" s="216" t="n">
        <v>58.11</v>
      </c>
      <c r="D9934" s="216" t="n">
        <v>1.149821996688843</v>
      </c>
      <c r="E9934" s="215" t="n">
        <v>46160</v>
      </c>
      <c r="F9934" s="215" t="n">
        <v>46160</v>
      </c>
    </row>
    <row r="9935">
      <c r="A9935" s="215" t="n">
        <v>46161</v>
      </c>
      <c r="B9935" s="216" t="n">
        <v>55.95</v>
      </c>
      <c r="C9935" s="216" t="n">
        <v>58.36</v>
      </c>
      <c r="D9935" s="216" t="n">
        <v>1.151532053947449</v>
      </c>
      <c r="E9935" s="215" t="n">
        <v>46161</v>
      </c>
      <c r="F9935" s="215" t="n">
        <v>46161</v>
      </c>
    </row>
    <row r="9936">
      <c r="A9936" s="215" t="n">
        <v>46162</v>
      </c>
      <c r="B9936" s="216" t="n">
        <v>55.1</v>
      </c>
      <c r="C9936" s="216" t="n">
        <v>57.81</v>
      </c>
      <c r="D9936" s="216" t="n">
        <v>1.149292945861816</v>
      </c>
      <c r="E9936" s="215" t="n">
        <v>46162</v>
      </c>
      <c r="F9936" s="215" t="n">
        <v>46162</v>
      </c>
    </row>
    <row r="9937">
      <c r="A9937" s="215" t="n">
        <v>46163</v>
      </c>
      <c r="B9937" s="216" t="n">
        <v>54.6</v>
      </c>
      <c r="C9937" s="216" t="n">
        <v>57.1</v>
      </c>
      <c r="D9937" s="216" t="n">
        <v>1.151231050491333</v>
      </c>
      <c r="E9937" s="215" t="n">
        <v>46163</v>
      </c>
      <c r="F9937" s="215" t="n">
        <v>46163</v>
      </c>
    </row>
    <row r="9938">
      <c r="A9938" s="215" t="n">
        <v>46164</v>
      </c>
      <c r="B9938" s="216" t="n">
        <v>54.45</v>
      </c>
      <c r="C9938" s="216" t="n">
        <v>56.65</v>
      </c>
      <c r="D9938" s="216" t="n">
        <v>1.151487946510315</v>
      </c>
      <c r="E9938" s="215" t="n">
        <v>46164</v>
      </c>
      <c r="F9938" s="215" t="n">
        <v>46164</v>
      </c>
    </row>
    <row r="9939">
      <c r="A9939" s="215" t="n">
        <v>46168</v>
      </c>
      <c r="B9939" s="216" t="n">
        <v>54.25</v>
      </c>
      <c r="C9939" s="216" t="n">
        <v>56.53</v>
      </c>
      <c r="D9939" s="216" t="n">
        <v>1.152968049049377</v>
      </c>
      <c r="E9939" s="215" t="n">
        <v>46168</v>
      </c>
      <c r="F9939" s="215" t="n">
        <v>46168</v>
      </c>
    </row>
    <row r="9940">
      <c r="A9940" s="215" t="n">
        <v>46169</v>
      </c>
      <c r="B9940" s="216" t="n">
        <v>53.75</v>
      </c>
      <c r="C9940" s="216" t="n">
        <v>56.23</v>
      </c>
      <c r="D9940" s="216" t="n">
        <v>1.154562950134277</v>
      </c>
      <c r="E9940" s="215" t="n">
        <v>46169</v>
      </c>
      <c r="F9940" s="215" t="n">
        <v>46169</v>
      </c>
    </row>
    <row r="9941">
      <c r="A9941" s="215" t="n">
        <v>46170</v>
      </c>
      <c r="B9941" s="216" t="n">
        <v>52.1</v>
      </c>
      <c r="C9941" s="216" t="n">
        <v>54.76</v>
      </c>
      <c r="D9941" s="216" t="n">
        <v>1.155385971069336</v>
      </c>
      <c r="E9941" s="215" t="n">
        <v>46170</v>
      </c>
      <c r="F9941" s="215" t="n">
        <v>46170</v>
      </c>
    </row>
    <row r="9942">
      <c r="A9942" s="215" t="n">
        <v>46171</v>
      </c>
      <c r="B9942" s="216" t="n">
        <v>55.95</v>
      </c>
      <c r="C9942" s="216" t="n">
        <v>59.58</v>
      </c>
      <c r="D9942" s="216" t="n">
        <v>1.155282974243164</v>
      </c>
      <c r="E9942" s="215" t="n">
        <v>46171</v>
      </c>
      <c r="F9942" s="215" t="n">
        <v>46171</v>
      </c>
    </row>
    <row r="9943">
      <c r="A9943" s="215" t="n">
        <v>46174</v>
      </c>
      <c r="B9943" s="216" t="n">
        <v>57.1</v>
      </c>
      <c r="C9943" s="216" t="n">
        <v>58.68</v>
      </c>
      <c r="D9943" s="216" t="n">
        <v>1.158049941062927</v>
      </c>
      <c r="E9943" s="215" t="n">
        <v>46174</v>
      </c>
      <c r="F9943" s="215" t="n">
        <v>46174</v>
      </c>
    </row>
    <row r="9944">
      <c r="A9944" s="215" t="n">
        <v>46175</v>
      </c>
      <c r="B9944" s="216" t="n">
        <v>56.65</v>
      </c>
      <c r="C9944" s="216" t="n">
        <v>56.94</v>
      </c>
      <c r="D9944" s="216" t="n">
        <v>1.158406972885132</v>
      </c>
      <c r="E9944" s="215" t="n">
        <v>46175</v>
      </c>
      <c r="F9944" s="215" t="n">
        <v>46175</v>
      </c>
    </row>
    <row r="9945">
      <c r="A9945" s="215" t="n">
        <v>46176</v>
      </c>
      <c r="B9945" s="216" t="n">
        <v>56.1</v>
      </c>
      <c r="C9945" s="216" t="n">
        <v>57.05</v>
      </c>
      <c r="D9945" s="216" t="n">
        <v>1.15879499912262</v>
      </c>
      <c r="E9945" s="215" t="n">
        <v>46176</v>
      </c>
      <c r="F9945" s="215" t="n">
        <v>46176</v>
      </c>
    </row>
    <row r="9946">
      <c r="A9946" s="215" t="n">
        <v>46177</v>
      </c>
      <c r="B9946" s="216" t="n">
        <v>54.95</v>
      </c>
      <c r="C9946" s="216" t="n">
        <v>55.59</v>
      </c>
      <c r="D9946" s="216" t="n">
        <v>1.157420039176941</v>
      </c>
      <c r="E9946" s="215" t="n">
        <v>46177</v>
      </c>
      <c r="F9946" s="215" t="n">
        <v>46177</v>
      </c>
    </row>
    <row r="9947">
      <c r="A9947" s="215" t="n">
        <v>46178</v>
      </c>
      <c r="B9947" s="216" t="n">
        <v>55.8</v>
      </c>
      <c r="C9947" s="216" t="n">
        <v>57.2</v>
      </c>
      <c r="D9947" s="216" t="n">
        <v>1.156491994857788</v>
      </c>
      <c r="E9947" s="215" t="n">
        <v>46178</v>
      </c>
      <c r="F9947" s="215" t="n">
        <v>46178</v>
      </c>
    </row>
    <row r="9948">
      <c r="A9948" s="215" t="n">
        <v>46181</v>
      </c>
      <c r="B9948" s="216" t="n">
        <v>54.5</v>
      </c>
      <c r="C9948" s="216" t="n">
        <v>57.45</v>
      </c>
      <c r="D9948" s="216" t="n">
        <v>1.157665967941284</v>
      </c>
      <c r="E9948" s="215" t="n">
        <v>46181</v>
      </c>
      <c r="F9948" s="215" t="n">
        <v>46181</v>
      </c>
    </row>
    <row r="9949">
      <c r="A9949" s="215" t="n">
        <v>46182</v>
      </c>
      <c r="B9949" s="216" t="n">
        <v>54.05</v>
      </c>
      <c r="C9949" s="216" t="n">
        <v>57.38</v>
      </c>
      <c r="D9949" s="216" t="n">
        <v>1.158027052879333</v>
      </c>
      <c r="E9949" s="215" t="n">
        <v>46182</v>
      </c>
      <c r="F9949" s="215" t="n">
        <v>46182</v>
      </c>
    </row>
    <row r="9950">
      <c r="A9950" s="215" t="n">
        <v>46183</v>
      </c>
      <c r="B9950" s="216" t="n">
        <v>55</v>
      </c>
      <c r="C9950" s="216" t="n">
        <v>58.05</v>
      </c>
      <c r="D9950" s="216" t="n">
        <v>1.157112002372742</v>
      </c>
      <c r="E9950" s="215" t="n">
        <v>46183</v>
      </c>
      <c r="F9950" s="215" t="n">
        <v>46183</v>
      </c>
    </row>
    <row r="9951">
      <c r="A9951" s="215" t="n">
        <v>46184</v>
      </c>
      <c r="B9951" s="216" t="n">
        <v>54.3</v>
      </c>
      <c r="C9951" s="216" t="n">
        <v>57.01</v>
      </c>
      <c r="D9951" s="216" t="n">
        <v>1.156929016113281</v>
      </c>
      <c r="E9951" s="215" t="n">
        <v>46184</v>
      </c>
      <c r="F9951" s="215" t="n">
        <v>46184</v>
      </c>
    </row>
    <row r="9952">
      <c r="A9952" s="215" t="n">
        <v>46185</v>
      </c>
      <c r="B9952" s="216" t="n">
        <v>55.85</v>
      </c>
      <c r="C9952" s="216" t="n">
        <v>58.49</v>
      </c>
      <c r="D9952" s="216" t="n">
        <v>1.156345963478088</v>
      </c>
      <c r="E9952" s="215" t="n">
        <v>46185</v>
      </c>
      <c r="F9952" s="215" t="n">
        <v>46185</v>
      </c>
    </row>
    <row r="9953">
      <c r="A9953" s="215" t="n">
        <v>46188</v>
      </c>
      <c r="B9953" s="216" t="n">
        <v>56.75</v>
      </c>
      <c r="C9953" s="216" t="n">
        <v>59.08</v>
      </c>
      <c r="D9953" s="216" t="n">
        <v>1.156880021095276</v>
      </c>
      <c r="E9953" s="215" t="n">
        <v>46188</v>
      </c>
      <c r="F9953" s="215" t="n">
        <v>46188</v>
      </c>
    </row>
    <row r="9954">
      <c r="A9954" s="215" t="n">
        <v>46189</v>
      </c>
      <c r="B9954" s="216" t="n">
        <v>55.4</v>
      </c>
      <c r="C9954" s="216" t="n">
        <v>58.4</v>
      </c>
      <c r="D9954" s="216" t="n">
        <v>1.158604025840759</v>
      </c>
      <c r="E9954" s="215" t="n">
        <v>46189</v>
      </c>
      <c r="F9954" s="215" t="n">
        <v>46189</v>
      </c>
    </row>
    <row r="9955">
      <c r="A9955" s="215" t="n">
        <v>46190</v>
      </c>
      <c r="B9955" s="216" t="n">
        <v>53.95</v>
      </c>
      <c r="C9955" s="216" t="n">
        <v>56.83</v>
      </c>
      <c r="D9955" s="216" t="n">
        <v>1.158974051475525</v>
      </c>
      <c r="E9955" s="215" t="n">
        <v>46190</v>
      </c>
      <c r="F9955" s="215" t="n">
        <v>46190</v>
      </c>
    </row>
    <row r="9956">
      <c r="A9956" s="215" t="n">
        <v>46191</v>
      </c>
      <c r="B9956" s="216" t="n">
        <v>51.7</v>
      </c>
      <c r="C9956" s="216" t="n">
        <v>55.33</v>
      </c>
      <c r="D9956" s="216" t="n">
        <v>1.159355998039246</v>
      </c>
      <c r="E9956" s="215" t="n">
        <v>46191</v>
      </c>
      <c r="F9956" s="215" t="n">
        <v>46191</v>
      </c>
    </row>
    <row r="9957">
      <c r="A9957" s="215" t="n">
        <v>46195</v>
      </c>
      <c r="B9957" s="216" t="n">
        <v>52.95</v>
      </c>
      <c r="C9957" s="216" t="n">
        <v>56.79</v>
      </c>
      <c r="D9957" s="216" t="n">
        <v>1.157493948936462</v>
      </c>
      <c r="E9957" s="215" t="n">
        <v>46195</v>
      </c>
      <c r="F9957" s="215" t="n">
        <v>46195</v>
      </c>
    </row>
    <row r="9958">
      <c r="A9958" s="215" t="n">
        <v>46196</v>
      </c>
      <c r="B9958" s="216" t="n">
        <v>51.75</v>
      </c>
      <c r="C9958" s="216" t="n">
        <v>56</v>
      </c>
      <c r="D9958" s="216" t="n">
        <v>1.156896948814392</v>
      </c>
      <c r="E9958" s="215" t="n">
        <v>46196</v>
      </c>
      <c r="F9958" s="215" t="n">
        <v>46196</v>
      </c>
    </row>
    <row r="9959">
      <c r="A9959" s="215" t="n">
        <v>46197</v>
      </c>
      <c r="B9959" s="216" t="n">
        <v>50.15</v>
      </c>
      <c r="C9959" s="216" t="n">
        <v>54.62</v>
      </c>
      <c r="D9959" s="216" t="n">
        <v>1.154508948326111</v>
      </c>
      <c r="E9959" s="215" t="n">
        <v>46197</v>
      </c>
      <c r="F9959" s="215" t="n">
        <v>46197</v>
      </c>
    </row>
    <row r="9960">
      <c r="A9960" s="215" t="n">
        <v>46198</v>
      </c>
      <c r="B9960" s="216" t="n">
        <v>49.74</v>
      </c>
      <c r="C9960" s="216" t="n">
        <v>55.66</v>
      </c>
      <c r="D9960" s="216" t="n">
        <v>1.154152035713196</v>
      </c>
      <c r="E9960" s="215" t="n">
        <v>46198</v>
      </c>
      <c r="F9960" s="215" t="n">
        <v>46198</v>
      </c>
    </row>
    <row r="9961">
      <c r="A9961" s="215" t="n">
        <v>46199</v>
      </c>
      <c r="B9961" s="216" t="n">
        <v>47.74</v>
      </c>
      <c r="C9961" s="216" t="n">
        <v>53.32</v>
      </c>
      <c r="D9961" s="216" t="n">
        <v>1.154500961303711</v>
      </c>
      <c r="E9961" s="215" t="n">
        <v>46199</v>
      </c>
      <c r="F9961" s="215" t="n">
        <v>46199</v>
      </c>
    </row>
    <row r="9962">
      <c r="A9962" s="215" t="n">
        <v>46202</v>
      </c>
      <c r="B9962" s="216" t="n">
        <v>48.24</v>
      </c>
      <c r="C9962" s="216" t="n">
        <v>53.6</v>
      </c>
      <c r="D9962" s="216" t="n">
        <v>1.153512001037598</v>
      </c>
      <c r="E9962" s="215" t="n">
        <v>46202</v>
      </c>
      <c r="F9962" s="215" t="n">
        <v>46202</v>
      </c>
    </row>
    <row r="9963">
      <c r="A9963" s="215" t="n">
        <v>46203</v>
      </c>
      <c r="B9963" s="216" t="n">
        <v>47.56</v>
      </c>
      <c r="C9963" s="216" t="n">
        <v>53.71</v>
      </c>
      <c r="D9963" s="216" t="n">
        <v>1.153959035873413</v>
      </c>
      <c r="E9963" s="215" t="n">
        <v>46203</v>
      </c>
      <c r="F9963" s="215" t="n">
        <v>46203</v>
      </c>
    </row>
    <row r="9964">
      <c r="A9964" s="215" t="n">
        <v>46205</v>
      </c>
      <c r="B9964" s="216" t="n">
        <v>48.02</v>
      </c>
      <c r="C9964" s="216" t="n">
        <v>53.69</v>
      </c>
      <c r="D9964" s="216" t="n">
        <v>1.154355049133301</v>
      </c>
      <c r="E9964" s="215" t="n">
        <v>46205</v>
      </c>
      <c r="F9964" s="215" t="n">
        <v>46205</v>
      </c>
    </row>
    <row r="9965">
      <c r="A9965" s="215" t="n">
        <v>46206</v>
      </c>
      <c r="B9965" s="216" t="n">
        <v>48.2</v>
      </c>
      <c r="C9965" s="216" t="n">
        <v>53.11</v>
      </c>
      <c r="D9965" s="216" t="n">
        <v>1.155220985412598</v>
      </c>
      <c r="E9965" s="215" t="n">
        <v>46206</v>
      </c>
      <c r="F9965" s="215" t="n">
        <v>46206</v>
      </c>
    </row>
    <row r="9966">
      <c r="A9966" s="215" t="n">
        <v>46209</v>
      </c>
      <c r="B9966" s="216" t="n">
        <v>48</v>
      </c>
      <c r="C9966" s="216" t="n">
        <v>53.02</v>
      </c>
      <c r="D9966" s="216" t="n">
        <v>1.155068039894104</v>
      </c>
      <c r="E9966" s="215" t="n">
        <v>46209</v>
      </c>
      <c r="F9966" s="215" t="n">
        <v>46209</v>
      </c>
    </row>
    <row r="9967">
      <c r="A9967" s="215" t="n">
        <v>46210</v>
      </c>
      <c r="B9967" s="216" t="n">
        <v>46.52</v>
      </c>
      <c r="C9967" s="216" t="n">
        <v>50.97</v>
      </c>
      <c r="D9967" s="216" t="n">
        <v>1.153807997703552</v>
      </c>
      <c r="E9967" s="215" t="n">
        <v>46210</v>
      </c>
      <c r="F9967" s="215" t="n">
        <v>46210</v>
      </c>
    </row>
    <row r="9968">
      <c r="A9968" s="215" t="n">
        <v>46211</v>
      </c>
      <c r="B9968" s="216" t="n">
        <v>48</v>
      </c>
      <c r="C9968" s="216" t="n">
        <v>51.53</v>
      </c>
      <c r="D9968" s="216" t="n">
        <v>1.154153943061829</v>
      </c>
      <c r="E9968" s="215" t="n">
        <v>46211</v>
      </c>
      <c r="F9968" s="215" t="n">
        <v>46211</v>
      </c>
    </row>
    <row r="9969">
      <c r="A9969" s="215" t="n">
        <v>46212</v>
      </c>
      <c r="B9969" s="216" t="n">
        <v>46.9</v>
      </c>
      <c r="C9969" s="216" t="n">
        <v>50.99</v>
      </c>
      <c r="D9969" s="216" t="n">
        <v>1.152119994163513</v>
      </c>
      <c r="E9969" s="215" t="n">
        <v>46212</v>
      </c>
      <c r="F9969" s="215" t="n">
        <v>46212</v>
      </c>
    </row>
    <row r="9970">
      <c r="A9970" s="215" t="n">
        <v>46213</v>
      </c>
      <c r="B9970" s="216" t="n">
        <v>48.4</v>
      </c>
      <c r="C9970" s="216" t="n">
        <v>52.73</v>
      </c>
      <c r="D9970" s="216" t="n">
        <v>1.153550028800964</v>
      </c>
      <c r="E9970" s="215" t="n">
        <v>46213</v>
      </c>
      <c r="F9970" s="215" t="n">
        <v>46213</v>
      </c>
    </row>
    <row r="9971">
      <c r="A9971" s="215" t="n">
        <v>46216</v>
      </c>
      <c r="B9971" s="216" t="n">
        <v>47.48</v>
      </c>
      <c r="C9971" s="216" t="n">
        <v>50.91</v>
      </c>
      <c r="D9971" s="216" t="n">
        <v>1.156761050224304</v>
      </c>
      <c r="E9971" s="215" t="n">
        <v>46216</v>
      </c>
      <c r="F9971" s="215" t="n">
        <v>46216</v>
      </c>
    </row>
    <row r="9972">
      <c r="A9972" s="215" t="n">
        <v>46217</v>
      </c>
      <c r="B9972" s="216" t="n">
        <v>47.94</v>
      </c>
      <c r="C9972" s="216" t="n">
        <v>50.92</v>
      </c>
      <c r="D9972" s="216" t="n">
        <v>1.155825972557068</v>
      </c>
      <c r="E9972" s="215" t="n">
        <v>46217</v>
      </c>
      <c r="F9972" s="215" t="n">
        <v>46217</v>
      </c>
    </row>
    <row r="9973">
      <c r="A9973" s="215" t="n">
        <v>46218</v>
      </c>
      <c r="B9973" s="216" t="n">
        <v>50.55</v>
      </c>
      <c r="C9973" s="216" t="n">
        <v>54.41</v>
      </c>
      <c r="D9973" s="216" t="n">
        <v>1.157556056976318</v>
      </c>
      <c r="E9973" s="215" t="n">
        <v>46218</v>
      </c>
      <c r="F9973" s="215" t="n">
        <v>46218</v>
      </c>
    </row>
    <row r="9974">
      <c r="A9974" s="215" t="n">
        <v>46219</v>
      </c>
      <c r="B9974" s="216" t="n">
        <v>50.7</v>
      </c>
      <c r="C9974" s="216" t="n">
        <v>54.52</v>
      </c>
      <c r="D9974" s="216" t="n">
        <v>1.157912969589233</v>
      </c>
      <c r="E9974" s="215" t="n">
        <v>46219</v>
      </c>
      <c r="F9974" s="215" t="n">
        <v>46219</v>
      </c>
    </row>
    <row r="9975">
      <c r="A9975" s="215" t="n">
        <v>46220</v>
      </c>
      <c r="B9975" s="216" t="n">
        <v>49.46</v>
      </c>
      <c r="C9975" s="216" t="n">
        <v>52.9</v>
      </c>
      <c r="D9975" s="216" t="n">
        <v>1.157472014427185</v>
      </c>
      <c r="E9975" s="215" t="n">
        <v>46220</v>
      </c>
      <c r="F9975" s="215" t="n">
        <v>46220</v>
      </c>
    </row>
    <row r="9976">
      <c r="A9976" s="215" t="n">
        <v>46223</v>
      </c>
      <c r="B9976" s="216" t="n">
        <v>50.8</v>
      </c>
      <c r="C9976" s="216" t="n">
        <v>54.67</v>
      </c>
      <c r="D9976" s="216" t="n">
        <v>1.157451033592224</v>
      </c>
      <c r="E9976" s="215" t="n">
        <v>46223</v>
      </c>
      <c r="F9976" s="215" t="n">
        <v>46223</v>
      </c>
    </row>
    <row r="9977">
      <c r="A9977" s="215" t="n">
        <v>46224</v>
      </c>
      <c r="B9977" s="216" t="n">
        <v>50.15</v>
      </c>
      <c r="C9977" s="216" t="n">
        <v>54.08</v>
      </c>
      <c r="D9977" s="216" t="n">
        <v>1.157506942749023</v>
      </c>
      <c r="E9977" s="215" t="n">
        <v>46224</v>
      </c>
      <c r="F9977" s="215" t="n">
        <v>46224</v>
      </c>
    </row>
    <row r="9978">
      <c r="A9978" s="215" t="n">
        <v>46225</v>
      </c>
      <c r="B9978" s="216" t="n">
        <v>50.05</v>
      </c>
      <c r="C9978" s="216" t="n">
        <v>55.7</v>
      </c>
      <c r="D9978" s="216" t="n">
        <v>1.158938050270081</v>
      </c>
      <c r="E9978" s="215" t="n">
        <v>46225</v>
      </c>
      <c r="F9978" s="215" t="n">
        <v>46225</v>
      </c>
    </row>
    <row r="9979">
      <c r="A9979" s="215" t="n">
        <v>46226</v>
      </c>
      <c r="B9979" s="216" t="n">
        <v>50.05</v>
      </c>
      <c r="C9979" s="216" t="n">
        <v>55.24</v>
      </c>
      <c r="D9979" s="216" t="n">
        <v>1.157410979270935</v>
      </c>
      <c r="E9979" s="215" t="n">
        <v>46226</v>
      </c>
      <c r="F9979" s="215" t="n">
        <v>46226</v>
      </c>
    </row>
    <row r="9980">
      <c r="A9980" s="215" t="n">
        <v>46227</v>
      </c>
      <c r="B9980" s="216" t="n">
        <v>48.84</v>
      </c>
      <c r="C9980" s="216" t="n">
        <v>53.2</v>
      </c>
      <c r="D9980" s="216" t="n">
        <v>1.15762197971344</v>
      </c>
      <c r="E9980" s="215" t="n">
        <v>46227</v>
      </c>
      <c r="F9980" s="215" t="n">
        <v>46227</v>
      </c>
    </row>
    <row r="9981">
      <c r="A9981" s="215" t="n">
        <v>46230</v>
      </c>
      <c r="B9981" s="216" t="n">
        <v>49.64</v>
      </c>
      <c r="C9981" s="216" t="n">
        <v>54.44</v>
      </c>
      <c r="D9981" s="216" t="n">
        <v>1.15789794921875</v>
      </c>
      <c r="E9981" s="215" t="n">
        <v>46230</v>
      </c>
      <c r="F9981" s="215" t="n">
        <v>46230</v>
      </c>
    </row>
    <row r="9982">
      <c r="A9982" s="215" t="n">
        <v>46231</v>
      </c>
      <c r="B9982" s="216" t="n">
        <v>50.65</v>
      </c>
      <c r="C9982" s="216" t="n">
        <v>55.51</v>
      </c>
      <c r="D9982" s="216" t="n">
        <v>1.158699035644531</v>
      </c>
      <c r="E9982" s="215" t="n">
        <v>46231</v>
      </c>
      <c r="F9982" s="215" t="n">
        <v>46231</v>
      </c>
    </row>
    <row r="9983">
      <c r="A9983" s="215" t="n">
        <v>46232</v>
      </c>
      <c r="B9983" s="216" t="n">
        <v>52.8</v>
      </c>
      <c r="C9983" s="216" t="n">
        <v>57.38</v>
      </c>
      <c r="D9983" s="216" t="n">
        <v>1.157909989356995</v>
      </c>
      <c r="E9983" s="215" t="n">
        <v>46232</v>
      </c>
      <c r="F9983" s="215" t="n">
        <v>46232</v>
      </c>
    </row>
    <row r="9984">
      <c r="A9984" s="215" t="n">
        <v>46233</v>
      </c>
      <c r="B9984" s="216" t="n">
        <v>52.85</v>
      </c>
      <c r="C9984" s="216" t="n">
        <v>58.08</v>
      </c>
      <c r="D9984" s="216" t="n">
        <v>1.158943057060242</v>
      </c>
      <c r="E9984" s="215" t="n">
        <v>46233</v>
      </c>
      <c r="F9984" s="215" t="n">
        <v>46233</v>
      </c>
    </row>
    <row r="9985">
      <c r="A9985" s="215" t="n">
        <v>46234</v>
      </c>
      <c r="B9985" s="216" t="n">
        <v>53.6</v>
      </c>
      <c r="C9985" s="216" t="n">
        <v>58.01</v>
      </c>
      <c r="D9985" s="216" t="n">
        <v>1.160945057868958</v>
      </c>
      <c r="E9985" s="215" t="n">
        <v>46234</v>
      </c>
      <c r="F9985" s="215" t="n">
        <v>46234</v>
      </c>
    </row>
    <row r="9986">
      <c r="A9986" s="215" t="n">
        <v>46237</v>
      </c>
      <c r="B9986" s="216" t="n">
        <v>52.4</v>
      </c>
      <c r="C9986" s="216" t="n">
        <v>57.97</v>
      </c>
      <c r="D9986" s="216" t="n">
        <v>1.161579966545105</v>
      </c>
      <c r="E9986" s="215" t="n">
        <v>46237</v>
      </c>
      <c r="F9986" s="215" t="n">
        <v>46237</v>
      </c>
    </row>
    <row r="9987">
      <c r="A9987" s="215" t="n">
        <v>46238</v>
      </c>
      <c r="B9987" s="216" t="n">
        <v>51.85</v>
      </c>
      <c r="C9987" s="216" t="n">
        <v>56.82</v>
      </c>
      <c r="D9987" s="216" t="n">
        <v>1.161064982414246</v>
      </c>
      <c r="E9987" s="215" t="n">
        <v>46238</v>
      </c>
      <c r="F9987" s="215" t="n">
        <v>46238</v>
      </c>
    </row>
    <row r="9988">
      <c r="A9988" s="215" t="n">
        <v>46239</v>
      </c>
      <c r="B9988" s="216" t="n">
        <v>51.8</v>
      </c>
      <c r="C9988" s="216" t="n">
        <v>56.39</v>
      </c>
      <c r="D9988" s="216" t="n">
        <v>1.161146998405457</v>
      </c>
      <c r="E9988" s="215" t="n">
        <v>46239</v>
      </c>
      <c r="F9988" s="215" t="n">
        <v>46239</v>
      </c>
    </row>
    <row r="9989">
      <c r="A9989" s="215" t="n">
        <v>46240</v>
      </c>
      <c r="B9989" s="216" t="n">
        <v>51</v>
      </c>
      <c r="C9989" s="216" t="n">
        <v>55.56</v>
      </c>
      <c r="D9989" s="216" t="n">
        <v>1.161936044692993</v>
      </c>
      <c r="E9989" s="215" t="n">
        <v>46240</v>
      </c>
      <c r="F9989" s="215" t="n">
        <v>46240</v>
      </c>
    </row>
    <row r="9990">
      <c r="A9990" s="215" t="n">
        <v>46241</v>
      </c>
      <c r="B9990" s="216" t="n">
        <v>51.45</v>
      </c>
      <c r="C9990" s="216" t="n">
        <v>55.82</v>
      </c>
      <c r="D9990" s="216" t="n">
        <v>1.162284016609192</v>
      </c>
      <c r="E9990" s="215" t="n">
        <v>46241</v>
      </c>
      <c r="F9990" s="215" t="n">
        <v>46241</v>
      </c>
    </row>
    <row r="9991">
      <c r="A9991" s="215" t="n">
        <v>46244</v>
      </c>
      <c r="B9991" s="216" t="n">
        <v>52.1</v>
      </c>
      <c r="C9991" s="216" t="n">
        <v>56.24</v>
      </c>
      <c r="D9991" s="216" t="n">
        <v>1.162629961967468</v>
      </c>
      <c r="E9991" s="215" t="n">
        <v>46244</v>
      </c>
      <c r="F9991" s="215" t="n">
        <v>46244</v>
      </c>
    </row>
    <row r="9992">
      <c r="A9992" s="215" t="n">
        <v>46245</v>
      </c>
      <c r="B9992" s="216" t="n">
        <v>50.75</v>
      </c>
      <c r="C9992" s="216" t="n">
        <v>55.45</v>
      </c>
      <c r="D9992" s="216" t="n">
        <v>1.162588000297546</v>
      </c>
      <c r="E9992" s="215" t="n">
        <v>46245</v>
      </c>
      <c r="F9992" s="215" t="n">
        <v>46245</v>
      </c>
    </row>
    <row r="9993">
      <c r="A9993" s="215" t="n">
        <v>46246</v>
      </c>
      <c r="B9993" s="216" t="n">
        <v>50.7</v>
      </c>
      <c r="C9993" s="216" t="n">
        <v>55.59</v>
      </c>
      <c r="D9993" s="216" t="n">
        <v>1.163135051727295</v>
      </c>
      <c r="E9993" s="215" t="n">
        <v>46246</v>
      </c>
      <c r="F9993" s="215" t="n">
        <v>46246</v>
      </c>
    </row>
    <row r="9994">
      <c r="A9994" s="215" t="n">
        <v>46247</v>
      </c>
      <c r="B9994" s="216" t="n">
        <v>50.45</v>
      </c>
      <c r="C9994" s="216" t="n">
        <v>54.97</v>
      </c>
      <c r="D9994" s="216" t="n">
        <v>1.163341045379639</v>
      </c>
      <c r="E9994" s="215" t="n">
        <v>46247</v>
      </c>
      <c r="F9994" s="215" t="n">
        <v>46247</v>
      </c>
    </row>
    <row r="9995">
      <c r="A9995" s="215" t="n">
        <v>46248</v>
      </c>
      <c r="B9995" s="216" t="n">
        <v>49.7</v>
      </c>
      <c r="C9995" s="216" t="n">
        <v>54.06</v>
      </c>
      <c r="D9995" s="216" t="n">
        <v>1.163571000099182</v>
      </c>
      <c r="E9995" s="215" t="n">
        <v>46248</v>
      </c>
      <c r="F9995" s="215" t="n">
        <v>46248</v>
      </c>
    </row>
    <row r="9996">
      <c r="A9996" s="215" t="n">
        <v>46251</v>
      </c>
      <c r="B9996" s="216" t="n">
        <v>49.4</v>
      </c>
      <c r="C9996" s="216" t="n">
        <v>54.03</v>
      </c>
      <c r="D9996" s="216" t="n">
        <v>1.163601994514465</v>
      </c>
      <c r="E9996" s="215" t="n">
        <v>46251</v>
      </c>
      <c r="F9996" s="215" t="n">
        <v>46251</v>
      </c>
    </row>
    <row r="9997">
      <c r="A9997" s="215" t="n">
        <v>46252</v>
      </c>
      <c r="B9997" s="216" t="n">
        <v>48.86</v>
      </c>
      <c r="C9997" s="216" t="n">
        <v>53.88</v>
      </c>
      <c r="D9997" s="216" t="n">
        <v>1.163733005523682</v>
      </c>
      <c r="E9997" s="215" t="n">
        <v>46252</v>
      </c>
      <c r="F9997" s="215" t="n">
        <v>46252</v>
      </c>
    </row>
    <row r="9998">
      <c r="A9998" s="215" t="n">
        <v>46253</v>
      </c>
      <c r="B9998" s="216" t="n">
        <v>48.42</v>
      </c>
      <c r="C9998" s="216" t="n">
        <v>52.88</v>
      </c>
      <c r="D9998" s="216" t="n">
        <v>1.163092017173767</v>
      </c>
      <c r="E9998" s="215" t="n">
        <v>46253</v>
      </c>
      <c r="F9998" s="215" t="n">
        <v>46253</v>
      </c>
    </row>
    <row r="9999">
      <c r="A9999" s="215" t="n">
        <v>46254</v>
      </c>
      <c r="B9999" s="216" t="n">
        <v>49.08</v>
      </c>
      <c r="C9999" s="216" t="n">
        <v>53.1</v>
      </c>
      <c r="D9999" s="216" t="n">
        <v>1.164932012557983</v>
      </c>
      <c r="E9999" s="215" t="n">
        <v>46254</v>
      </c>
      <c r="F9999" s="215" t="n">
        <v>46254</v>
      </c>
    </row>
    <row r="10000">
      <c r="A10000" s="215" t="n">
        <v>46255</v>
      </c>
      <c r="B10000" s="216" t="n">
        <v>48.76</v>
      </c>
      <c r="C10000" s="216" t="n">
        <v>52.29</v>
      </c>
      <c r="D10000" s="216" t="n">
        <v>1.166555047035217</v>
      </c>
      <c r="E10000" s="215" t="n">
        <v>46255</v>
      </c>
      <c r="F10000" s="215" t="n">
        <v>46255</v>
      </c>
    </row>
    <row r="10001">
      <c r="A10001" s="215" t="n">
        <v>46258</v>
      </c>
      <c r="B10001" s="216" t="n">
        <v>48.48</v>
      </c>
      <c r="C10001" s="216" t="n">
        <v>52.06</v>
      </c>
      <c r="D10001" s="216" t="n">
        <v>1.166316986083984</v>
      </c>
      <c r="E10001" s="215" t="n">
        <v>46258</v>
      </c>
      <c r="F10001" s="215" t="n">
        <v>46258</v>
      </c>
    </row>
    <row r="10002">
      <c r="A10002" s="215" t="n">
        <v>46259</v>
      </c>
      <c r="B10002" s="216" t="n">
        <v>48.94</v>
      </c>
      <c r="C10002" s="216" t="n">
        <v>52.61</v>
      </c>
      <c r="D10002" s="216" t="n">
        <v>1.165253043174744</v>
      </c>
      <c r="E10002" s="215" t="n">
        <v>46259</v>
      </c>
      <c r="F10002" s="215" t="n">
        <v>46259</v>
      </c>
    </row>
    <row r="10003">
      <c r="A10003" s="215" t="n">
        <v>46260</v>
      </c>
      <c r="B10003" s="216" t="n">
        <v>49.26</v>
      </c>
      <c r="C10003" s="216" t="n">
        <v>53.08</v>
      </c>
      <c r="D10003" s="216" t="n">
        <v>1.166218996047974</v>
      </c>
      <c r="E10003" s="215" t="n">
        <v>46260</v>
      </c>
      <c r="F10003" s="215" t="n">
        <v>46260</v>
      </c>
    </row>
    <row r="10004">
      <c r="A10004" s="215" t="n">
        <v>46261</v>
      </c>
      <c r="B10004" s="216" t="n">
        <v>49.16</v>
      </c>
      <c r="C10004" s="216" t="n">
        <v>53.15</v>
      </c>
      <c r="D10004" s="216" t="n">
        <v>1.165971040725708</v>
      </c>
      <c r="E10004" s="215" t="n">
        <v>46261</v>
      </c>
      <c r="F10004" s="215" t="n">
        <v>46261</v>
      </c>
    </row>
    <row r="10005">
      <c r="A10005" s="215" t="n">
        <v>46262</v>
      </c>
      <c r="B10005" s="216" t="n">
        <v>49.48</v>
      </c>
      <c r="C10005" s="216" t="n">
        <v>53.35</v>
      </c>
      <c r="D10005" s="216" t="n">
        <v>1.165799975395203</v>
      </c>
      <c r="E10005" s="215" t="n">
        <v>46262</v>
      </c>
      <c r="F10005" s="215" t="n">
        <v>46262</v>
      </c>
    </row>
    <row r="10006">
      <c r="A10006" s="215" t="n">
        <v>46265</v>
      </c>
      <c r="B10006" s="216" t="n">
        <v>48.32</v>
      </c>
      <c r="C10006" s="216" t="n">
        <v>52.48</v>
      </c>
      <c r="D10006" s="216" t="n">
        <v>1.165387988090515</v>
      </c>
      <c r="E10006" s="215" t="n">
        <v>46265</v>
      </c>
      <c r="F10006" s="215" t="n">
        <v>46265</v>
      </c>
    </row>
    <row r="10007">
      <c r="A10007" s="215" t="n">
        <v>46266</v>
      </c>
      <c r="B10007" s="216" t="n">
        <v>49.34</v>
      </c>
      <c r="C10007" s="216" t="n">
        <v>53.51</v>
      </c>
      <c r="D10007" s="216" t="n">
        <v>1.165223956108093</v>
      </c>
      <c r="E10007" s="215" t="n">
        <v>46266</v>
      </c>
      <c r="F10007" s="215" t="n">
        <v>46266</v>
      </c>
    </row>
    <row r="10008">
      <c r="A10008" s="215" t="n">
        <v>46267</v>
      </c>
      <c r="B10008" s="216" t="n">
        <v>48.2</v>
      </c>
      <c r="C10008" s="216" t="n">
        <v>52.68</v>
      </c>
      <c r="D10008" s="216" t="n">
        <v>1.166425943374634</v>
      </c>
      <c r="E10008" s="215" t="n">
        <v>46267</v>
      </c>
      <c r="F10008" s="215" t="n">
        <v>46267</v>
      </c>
    </row>
    <row r="10009">
      <c r="A10009" s="215" t="n">
        <v>46268</v>
      </c>
      <c r="B10009" s="216" t="n">
        <v>48.68</v>
      </c>
      <c r="C10009" s="216" t="n">
        <v>53.72</v>
      </c>
      <c r="D10009" s="216" t="n">
        <v>1.167057037353516</v>
      </c>
      <c r="E10009" s="215" t="n">
        <v>46268</v>
      </c>
      <c r="F10009" s="215" t="n">
        <v>46268</v>
      </c>
    </row>
    <row r="10010">
      <c r="A10010" s="215" t="n">
        <v>46269</v>
      </c>
      <c r="B10010" s="216" t="n">
        <v>50</v>
      </c>
      <c r="C10010" s="216" t="n">
        <v>54.6</v>
      </c>
      <c r="D10010" s="216" t="n">
        <v>1.166767954826355</v>
      </c>
      <c r="E10010" s="215" t="n">
        <v>46269</v>
      </c>
      <c r="F10010" s="215" t="n">
        <v>46269</v>
      </c>
    </row>
    <row r="10011">
      <c r="A10011" s="215" t="n">
        <v>46272</v>
      </c>
      <c r="B10011" s="216" t="n">
        <v>50.25</v>
      </c>
      <c r="C10011" s="216" t="n">
        <v>54.83</v>
      </c>
      <c r="D10011" s="216" t="n">
        <v>1.168081045150757</v>
      </c>
      <c r="E10011" s="215" t="n">
        <v>46272</v>
      </c>
      <c r="F10011" s="215" t="n">
        <v>46272</v>
      </c>
    </row>
    <row r="10012">
      <c r="A10012" s="215" t="n">
        <v>46273</v>
      </c>
      <c r="B10012" s="216" t="n">
        <v>49.8</v>
      </c>
      <c r="C10012" s="216" t="n">
        <v>54.59</v>
      </c>
      <c r="D10012" s="216" t="n">
        <v>1.168115019798279</v>
      </c>
      <c r="E10012" s="215" t="n">
        <v>46273</v>
      </c>
      <c r="F10012" s="215" t="n">
        <v>46273</v>
      </c>
    </row>
    <row r="10013">
      <c r="A10013" s="215" t="n">
        <v>46274</v>
      </c>
      <c r="B10013" s="216" t="n">
        <v>48.86</v>
      </c>
      <c r="C10013" s="216" t="n">
        <v>53.74</v>
      </c>
      <c r="D10013" s="216" t="n">
        <v>1.168408989906311</v>
      </c>
      <c r="E10013" s="215" t="n">
        <v>46274</v>
      </c>
      <c r="F10013" s="215" t="n">
        <v>46274</v>
      </c>
    </row>
    <row r="10014">
      <c r="A10014" s="215" t="n">
        <v>46275</v>
      </c>
      <c r="B10014" s="216" t="n">
        <v>47.72</v>
      </c>
      <c r="C10014" s="216" t="n">
        <v>52.58</v>
      </c>
      <c r="D10014" s="216" t="n">
        <v>1.168462991714478</v>
      </c>
      <c r="E10014" s="215" t="n">
        <v>46275</v>
      </c>
      <c r="F10014" s="215" t="n">
        <v>46275</v>
      </c>
    </row>
    <row r="10015">
      <c r="A10015" s="215" t="n">
        <v>46276</v>
      </c>
      <c r="B10015" s="216" t="n">
        <v>46.8</v>
      </c>
      <c r="C10015" s="216" t="n">
        <v>51.67</v>
      </c>
      <c r="D10015" s="216" t="n">
        <v>1.169165015220642</v>
      </c>
      <c r="E10015" s="215" t="n">
        <v>46276</v>
      </c>
      <c r="F10015" s="215" t="n">
        <v>46276</v>
      </c>
    </row>
    <row r="10016">
      <c r="A10016" s="215" t="n">
        <v>46279</v>
      </c>
      <c r="B10016" s="216" t="n">
        <v>46.36</v>
      </c>
      <c r="C10016" s="216" t="n">
        <v>51.71</v>
      </c>
      <c r="D10016" s="216" t="n">
        <v>1.16893994808197</v>
      </c>
      <c r="E10016" s="215" t="n">
        <v>46279</v>
      </c>
      <c r="F10016" s="215" t="n">
        <v>46279</v>
      </c>
    </row>
    <row r="10017">
      <c r="A10017" s="215" t="n">
        <v>46280</v>
      </c>
      <c r="B10017" s="216" t="n">
        <v>45.96</v>
      </c>
      <c r="C10017" s="216" t="n">
        <v>51.05</v>
      </c>
      <c r="D10017" s="216" t="n">
        <v>1.169121026992798</v>
      </c>
      <c r="E10017" s="215" t="n">
        <v>46280</v>
      </c>
      <c r="F10017" s="215" t="n">
        <v>46280</v>
      </c>
    </row>
    <row r="10018">
      <c r="A10018" s="215" t="n">
        <v>46281</v>
      </c>
      <c r="B10018" s="216" t="n">
        <v>46.52</v>
      </c>
      <c r="C10018" s="216" t="n">
        <v>51.2</v>
      </c>
      <c r="D10018" s="216" t="n">
        <v>1.168769955635071</v>
      </c>
      <c r="E10018" s="215" t="n">
        <v>46281</v>
      </c>
      <c r="F10018" s="215" t="n">
        <v>46281</v>
      </c>
    </row>
    <row r="10019">
      <c r="A10019" s="215" t="n">
        <v>46282</v>
      </c>
      <c r="B10019" s="216" t="n">
        <v>46.14</v>
      </c>
      <c r="C10019" s="216" t="n">
        <v>51.15</v>
      </c>
      <c r="D10019" s="216" t="n">
        <v>1.169389963150024</v>
      </c>
      <c r="E10019" s="215" t="n">
        <v>46282</v>
      </c>
      <c r="F10019" s="215" t="n">
        <v>46282</v>
      </c>
    </row>
    <row r="10020">
      <c r="A10020" s="215" t="n">
        <v>46283</v>
      </c>
      <c r="B10020" s="216" t="n">
        <v>46.22</v>
      </c>
      <c r="C10020" s="216" t="n">
        <v>52</v>
      </c>
      <c r="D10020" s="216" t="n">
        <v>1.16942298412323</v>
      </c>
      <c r="E10020" s="215" t="n">
        <v>46283</v>
      </c>
      <c r="F10020" s="215" t="n">
        <v>46283</v>
      </c>
    </row>
    <row r="10021">
      <c r="A10021" s="215" t="n">
        <v>46286</v>
      </c>
      <c r="B10021" s="216" t="n">
        <v>46.72</v>
      </c>
      <c r="C10021" s="216" t="n">
        <v>52.23</v>
      </c>
      <c r="D10021" s="216" t="n">
        <v>1.171280026435852</v>
      </c>
      <c r="E10021" s="215" t="n">
        <v>46286</v>
      </c>
      <c r="F10021" s="215" t="n">
        <v>46286</v>
      </c>
    </row>
    <row r="10022">
      <c r="A10022" s="215" t="n">
        <v>46287</v>
      </c>
      <c r="B10022" s="216" t="n">
        <v>46.72</v>
      </c>
      <c r="C10022" s="216" t="n">
        <v>52.27</v>
      </c>
      <c r="D10022" s="216" t="n">
        <v>1.171705007553101</v>
      </c>
      <c r="E10022" s="215" t="n">
        <v>46287</v>
      </c>
      <c r="F10022" s="215" t="n">
        <v>46287</v>
      </c>
    </row>
    <row r="10023">
      <c r="A10023" s="215" t="n">
        <v>46288</v>
      </c>
      <c r="B10023" s="216" t="n">
        <v>46.6</v>
      </c>
      <c r="C10023" s="216" t="n">
        <v>52.19</v>
      </c>
      <c r="D10023" s="216" t="n">
        <v>1.170611023902893</v>
      </c>
      <c r="E10023" s="215" t="n">
        <v>46288</v>
      </c>
      <c r="F10023" s="215" t="n">
        <v>46288</v>
      </c>
    </row>
    <row r="10024">
      <c r="A10024" s="215" t="n">
        <v>46289</v>
      </c>
      <c r="B10024" s="216" t="n">
        <v>46.26</v>
      </c>
      <c r="C10024" s="216" t="n">
        <v>51.46</v>
      </c>
      <c r="D10024" s="216" t="n">
        <v>1.16852605342865</v>
      </c>
      <c r="E10024" s="215" t="n">
        <v>46289</v>
      </c>
      <c r="F10024" s="215" t="n">
        <v>46289</v>
      </c>
    </row>
    <row r="10025">
      <c r="A10025" s="215" t="n">
        <v>46290</v>
      </c>
      <c r="B10025" s="216" t="n">
        <v>45.64</v>
      </c>
      <c r="C10025" s="216" t="n">
        <v>51.46</v>
      </c>
      <c r="D10025" s="216" t="n">
        <v>1.168424010276794</v>
      </c>
      <c r="E10025" s="215" t="n">
        <v>46289</v>
      </c>
      <c r="F10025" s="215" t="n">
        <v>46290</v>
      </c>
    </row>
    <row r="10026">
      <c r="A10026" s="215" t="n">
        <v>46293</v>
      </c>
      <c r="B10026" s="216" t="n">
        <v>45.64</v>
      </c>
      <c r="C10026" s="216" t="n">
        <v>50.79</v>
      </c>
      <c r="D10026" s="216" t="n">
        <v>1.168378949165344</v>
      </c>
      <c r="E10026" s="215" t="n">
        <v>46293</v>
      </c>
      <c r="F10026" s="215" t="n">
        <v>46293</v>
      </c>
    </row>
    <row r="10027">
      <c r="A10027" s="215" t="n">
        <v>46294</v>
      </c>
      <c r="B10027" s="216" t="n">
        <v>46.22</v>
      </c>
      <c r="C10027" s="216" t="n">
        <v>50.93</v>
      </c>
      <c r="D10027" s="216" t="n">
        <v>1.168815970420837</v>
      </c>
      <c r="E10027" s="215" t="n">
        <v>46294</v>
      </c>
      <c r="F10027" s="215" t="n">
        <v>46294</v>
      </c>
    </row>
    <row r="10028">
      <c r="A10028" s="215" t="n">
        <v>46295</v>
      </c>
      <c r="B10028" s="216" t="n">
        <v>46.78</v>
      </c>
      <c r="C10028" s="216" t="n">
        <v>51.44</v>
      </c>
      <c r="D10028" s="216" t="n">
        <v>1.17059600353241</v>
      </c>
      <c r="E10028" s="215" t="n">
        <v>46295</v>
      </c>
      <c r="F10028" s="215" t="n">
        <v>46295</v>
      </c>
    </row>
    <row r="10029">
      <c r="A10029" s="215" t="n">
        <v>46297</v>
      </c>
      <c r="B10029" s="216" t="n">
        <v>45.86</v>
      </c>
      <c r="C10029" s="216" t="n">
        <v>51.44</v>
      </c>
      <c r="D10029" s="216" t="n">
        <v>1.170220971107483</v>
      </c>
      <c r="E10029" s="215" t="n">
        <v>46295</v>
      </c>
      <c r="F10029" s="215" t="n">
        <v>46297</v>
      </c>
    </row>
    <row r="10030">
      <c r="A10030" s="215" t="n">
        <v>46056</v>
      </c>
      <c r="B10030" s="216" t="n">
        <v>251.8</v>
      </c>
      <c r="C10030" s="216" t="n">
        <v>253.96</v>
      </c>
      <c r="D10030" s="216" t="n">
        <v>1.124274969100952</v>
      </c>
      <c r="E10030" s="215" t="n">
        <v>46056</v>
      </c>
      <c r="F10030" s="215" t="n">
        <v>46056</v>
      </c>
    </row>
    <row r="10031">
      <c r="A10031" s="215" t="n">
        <v>46057</v>
      </c>
      <c r="B10031" s="216" t="n">
        <v>275.8</v>
      </c>
      <c r="C10031" s="216" t="n">
        <v>268.65</v>
      </c>
      <c r="D10031" s="216" t="n">
        <v>1.12601101398468</v>
      </c>
      <c r="E10031" s="215" t="n">
        <v>46057</v>
      </c>
      <c r="F10031" s="215" t="n">
        <v>46057</v>
      </c>
    </row>
    <row r="10032">
      <c r="A10032" s="215" t="n">
        <v>46058</v>
      </c>
      <c r="B10032" s="216" t="n">
        <v>275.8</v>
      </c>
      <c r="C10032" s="216" t="n">
        <v>274.51</v>
      </c>
      <c r="D10032" s="216" t="n">
        <v>1.125892996788025</v>
      </c>
      <c r="E10032" s="215" t="n">
        <v>46058</v>
      </c>
      <c r="F10032" s="215" t="n">
        <v>46058</v>
      </c>
    </row>
    <row r="10033">
      <c r="A10033" s="215" t="n">
        <v>46059</v>
      </c>
      <c r="B10033" s="216" t="n">
        <v>268.4</v>
      </c>
      <c r="C10033" s="216" t="n">
        <v>275.79</v>
      </c>
      <c r="D10033" s="216" t="n">
        <v>1.126062035560608</v>
      </c>
      <c r="E10033" s="215" t="n">
        <v>46059</v>
      </c>
      <c r="F10033" s="215" t="n">
        <v>46059</v>
      </c>
    </row>
    <row r="10034">
      <c r="A10034" s="215" t="n">
        <v>46062</v>
      </c>
      <c r="B10034" s="216" t="n">
        <v>258</v>
      </c>
      <c r="C10034" s="216" t="n">
        <v>274</v>
      </c>
      <c r="D10034" s="216" t="n">
        <v>1.125753998756409</v>
      </c>
      <c r="E10034" s="215" t="n">
        <v>46062</v>
      </c>
      <c r="F10034" s="215" t="n">
        <v>46062</v>
      </c>
    </row>
    <row r="10035">
      <c r="A10035" s="215" t="n">
        <v>46063</v>
      </c>
      <c r="B10035" s="216" t="n">
        <v>250</v>
      </c>
      <c r="C10035" s="216" t="n">
        <v>270.73</v>
      </c>
      <c r="D10035" s="216" t="n">
        <v>1.129003047943115</v>
      </c>
      <c r="E10035" s="215" t="n">
        <v>46063</v>
      </c>
      <c r="F10035" s="215" t="n">
        <v>46063</v>
      </c>
    </row>
    <row r="10036">
      <c r="A10036" s="215" t="n">
        <v>46064</v>
      </c>
      <c r="B10036" s="216" t="n">
        <v>260</v>
      </c>
      <c r="C10036" s="216" t="n">
        <v>269.18</v>
      </c>
      <c r="D10036" s="216" t="n">
        <v>1.130962014198303</v>
      </c>
      <c r="E10036" s="215" t="n">
        <v>46064</v>
      </c>
      <c r="F10036" s="215" t="n">
        <v>46064</v>
      </c>
    </row>
    <row r="10037">
      <c r="A10037" s="215" t="n">
        <v>46065</v>
      </c>
      <c r="B10037" s="216" t="n">
        <v>262.8</v>
      </c>
      <c r="C10037" s="216" t="n">
        <v>267.9</v>
      </c>
      <c r="D10037" s="216" t="n">
        <v>1.130671977996826</v>
      </c>
      <c r="E10037" s="215" t="n">
        <v>46065</v>
      </c>
      <c r="F10037" s="215" t="n">
        <v>46065</v>
      </c>
    </row>
    <row r="10038">
      <c r="A10038" s="215" t="n">
        <v>46066</v>
      </c>
      <c r="B10038" s="216" t="n">
        <v>257.2</v>
      </c>
      <c r="C10038" s="216" t="n">
        <v>264.8</v>
      </c>
      <c r="D10038" s="216" t="n">
        <v>1.132490992546082</v>
      </c>
      <c r="E10038" s="215" t="n">
        <v>46066</v>
      </c>
      <c r="F10038" s="215" t="n">
        <v>46066</v>
      </c>
    </row>
    <row r="10039">
      <c r="A10039" s="215" t="n">
        <v>46069</v>
      </c>
      <c r="B10039" s="216" t="n">
        <v>252</v>
      </c>
      <c r="C10039" s="216" t="n">
        <v>264.8</v>
      </c>
      <c r="D10039" s="216" t="n">
        <v>1.131224036216736</v>
      </c>
      <c r="E10039" s="215" t="n">
        <v>46066</v>
      </c>
      <c r="F10039" s="215" t="n">
        <v>46069</v>
      </c>
    </row>
    <row r="10040">
      <c r="A10040" s="215" t="n">
        <v>46073</v>
      </c>
      <c r="B10040" s="216" t="n">
        <v>250</v>
      </c>
      <c r="C10040" s="216" t="n">
        <v>264.8</v>
      </c>
      <c r="D10040" s="216" t="n">
        <v>1.131005048751831</v>
      </c>
      <c r="E10040" s="215" t="n">
        <v>46066</v>
      </c>
      <c r="F10040" s="215" t="n">
        <v>46073</v>
      </c>
    </row>
    <row r="10041">
      <c r="A10041" s="215" t="n">
        <v>46076</v>
      </c>
      <c r="B10041" s="216" t="n">
        <v>254</v>
      </c>
      <c r="C10041" s="216" t="n">
        <v>264.8</v>
      </c>
      <c r="D10041" s="216" t="n">
        <v>1.130877017974854</v>
      </c>
      <c r="E10041" s="215" t="n">
        <v>46066</v>
      </c>
      <c r="F10041" s="215" t="n">
        <v>46076</v>
      </c>
    </row>
    <row r="10042">
      <c r="A10042" s="215" t="n">
        <v>46077</v>
      </c>
      <c r="B10042" s="216" t="n">
        <v>249</v>
      </c>
      <c r="C10042" s="216" t="n">
        <v>260.9</v>
      </c>
      <c r="D10042" s="216" t="n">
        <v>1.131631016731262</v>
      </c>
      <c r="E10042" s="215" t="n">
        <v>46077</v>
      </c>
      <c r="F10042" s="215" t="n">
        <v>46077</v>
      </c>
    </row>
    <row r="10043">
      <c r="A10043" s="215" t="n">
        <v>46078</v>
      </c>
      <c r="B10043" s="216" t="n">
        <v>252</v>
      </c>
      <c r="C10043" s="216" t="n">
        <v>260.49</v>
      </c>
      <c r="D10043" s="216" t="n">
        <v>1.136234045028687</v>
      </c>
      <c r="E10043" s="215" t="n">
        <v>46078</v>
      </c>
      <c r="F10043" s="215" t="n">
        <v>46078</v>
      </c>
    </row>
    <row r="10044">
      <c r="A10044" s="215" t="n">
        <v>46079</v>
      </c>
      <c r="B10044" s="216" t="n">
        <v>248</v>
      </c>
      <c r="C10044" s="216" t="n">
        <v>253.76</v>
      </c>
      <c r="D10044" s="216" t="n">
        <v>1.138198971748352</v>
      </c>
      <c r="E10044" s="215" t="n">
        <v>46079</v>
      </c>
      <c r="F10044" s="215" t="n">
        <v>46079</v>
      </c>
    </row>
    <row r="10045">
      <c r="A10045" s="215" t="n">
        <v>46080</v>
      </c>
      <c r="B10045" s="216" t="n">
        <v>248</v>
      </c>
      <c r="C10045" s="216" t="n">
        <v>241.56</v>
      </c>
      <c r="D10045" s="216" t="n">
        <v>1.143396973609924</v>
      </c>
      <c r="E10045" s="215" t="n">
        <v>46080</v>
      </c>
      <c r="F10045" s="215" t="n">
        <v>46080</v>
      </c>
    </row>
    <row r="10046">
      <c r="A10046" s="215" t="n">
        <v>46083</v>
      </c>
      <c r="B10046" s="216" t="n">
        <v>233.8</v>
      </c>
      <c r="C10046" s="216" t="n">
        <v>237.29</v>
      </c>
      <c r="D10046" s="216" t="n">
        <v>1.140552043914795</v>
      </c>
      <c r="E10046" s="215" t="n">
        <v>46083</v>
      </c>
      <c r="F10046" s="215" t="n">
        <v>46083</v>
      </c>
    </row>
    <row r="10047">
      <c r="A10047" s="215" t="n">
        <v>46084</v>
      </c>
      <c r="B10047" s="216" t="n">
        <v>229</v>
      </c>
      <c r="C10047" s="216" t="n">
        <v>234.98</v>
      </c>
      <c r="D10047" s="216" t="n">
        <v>1.136399984359741</v>
      </c>
      <c r="E10047" s="215" t="n">
        <v>46084</v>
      </c>
      <c r="F10047" s="215" t="n">
        <v>46084</v>
      </c>
    </row>
    <row r="10048">
      <c r="A10048" s="215" t="n">
        <v>46085</v>
      </c>
      <c r="B10048" s="216" t="n">
        <v>210.4</v>
      </c>
      <c r="C10048" s="216" t="n">
        <v>230.4</v>
      </c>
      <c r="D10048" s="216" t="n">
        <v>1.130928993225098</v>
      </c>
      <c r="E10048" s="215" t="n">
        <v>46085</v>
      </c>
      <c r="F10048" s="215" t="n">
        <v>46085</v>
      </c>
    </row>
    <row r="10049">
      <c r="A10049" s="215" t="n">
        <v>46086</v>
      </c>
      <c r="B10049" s="216" t="n">
        <v>223.6</v>
      </c>
      <c r="C10049" s="216" t="n">
        <v>234.31</v>
      </c>
      <c r="D10049" s="216" t="n">
        <v>1.133169054985046</v>
      </c>
      <c r="E10049" s="215" t="n">
        <v>46086</v>
      </c>
      <c r="F10049" s="215" t="n">
        <v>46086</v>
      </c>
    </row>
    <row r="10050">
      <c r="A10050" s="215" t="n">
        <v>46087</v>
      </c>
      <c r="B10050" s="216" t="n">
        <v>219</v>
      </c>
      <c r="C10050" s="216" t="n">
        <v>235</v>
      </c>
      <c r="D10050" s="216" t="n">
        <v>1.133442044258118</v>
      </c>
      <c r="E10050" s="215" t="n">
        <v>46087</v>
      </c>
      <c r="F10050" s="215" t="n">
        <v>46087</v>
      </c>
    </row>
    <row r="10051">
      <c r="A10051" s="215" t="n">
        <v>46090</v>
      </c>
      <c r="B10051" s="216" t="n">
        <v>213.6</v>
      </c>
      <c r="C10051" s="216" t="n">
        <v>235.84</v>
      </c>
      <c r="D10051" s="216" t="n">
        <v>1.133231043815613</v>
      </c>
      <c r="E10051" s="215" t="n">
        <v>46090</v>
      </c>
      <c r="F10051" s="215" t="n">
        <v>46090</v>
      </c>
    </row>
    <row r="10052">
      <c r="A10052" s="215" t="n">
        <v>46091</v>
      </c>
      <c r="B10052" s="216" t="n">
        <v>235</v>
      </c>
      <c r="C10052" s="216" t="n">
        <v>239.08</v>
      </c>
      <c r="D10052" s="216" t="n">
        <v>1.131595015525818</v>
      </c>
      <c r="E10052" s="215" t="n">
        <v>46091</v>
      </c>
      <c r="F10052" s="215" t="n">
        <v>46091</v>
      </c>
    </row>
    <row r="10053">
      <c r="A10053" s="215" t="n">
        <v>46092</v>
      </c>
      <c r="B10053" s="216" t="n">
        <v>229</v>
      </c>
      <c r="C10053" s="216" t="n">
        <v>237.53</v>
      </c>
      <c r="D10053" s="216" t="n">
        <v>1.137585043907166</v>
      </c>
      <c r="E10053" s="215" t="n">
        <v>46092</v>
      </c>
      <c r="F10053" s="215" t="n">
        <v>46092</v>
      </c>
    </row>
    <row r="10054">
      <c r="A10054" s="215" t="n">
        <v>46093</v>
      </c>
      <c r="B10054" s="216" t="n">
        <v>221.8</v>
      </c>
      <c r="C10054" s="216" t="n">
        <v>226.62</v>
      </c>
      <c r="D10054" s="216" t="n">
        <v>1.139600038528442</v>
      </c>
      <c r="E10054" s="215" t="n">
        <v>46093</v>
      </c>
      <c r="F10054" s="215" t="n">
        <v>46093</v>
      </c>
    </row>
    <row r="10055">
      <c r="A10055" s="215" t="n">
        <v>46094</v>
      </c>
      <c r="B10055" s="216" t="n">
        <v>214.4</v>
      </c>
      <c r="C10055" s="216" t="n">
        <v>227.2</v>
      </c>
      <c r="D10055" s="216" t="n">
        <v>1.139310002326965</v>
      </c>
      <c r="E10055" s="215" t="n">
        <v>46094</v>
      </c>
      <c r="F10055" s="215" t="n">
        <v>46094</v>
      </c>
    </row>
    <row r="10056">
      <c r="A10056" s="215" t="n">
        <v>46097</v>
      </c>
      <c r="B10056" s="216" t="n">
        <v>223</v>
      </c>
      <c r="C10056" s="216" t="n">
        <v>238.95</v>
      </c>
      <c r="D10056" s="216" t="n">
        <v>1.134883999824524</v>
      </c>
      <c r="E10056" s="215" t="n">
        <v>46097</v>
      </c>
      <c r="F10056" s="215" t="n">
        <v>46097</v>
      </c>
    </row>
    <row r="10057">
      <c r="A10057" s="215" t="n">
        <v>46098</v>
      </c>
      <c r="B10057" s="216" t="n">
        <v>218.2</v>
      </c>
      <c r="C10057" s="216" t="n">
        <v>237.5</v>
      </c>
      <c r="D10057" s="216" t="n">
        <v>1.125375986099243</v>
      </c>
      <c r="E10057" s="215" t="n">
        <v>46098</v>
      </c>
      <c r="F10057" s="215" t="n">
        <v>46098</v>
      </c>
    </row>
    <row r="10058">
      <c r="A10058" s="215" t="n">
        <v>46099</v>
      </c>
      <c r="B10058" s="216" t="n">
        <v>216.4</v>
      </c>
      <c r="C10058" s="216" t="n">
        <v>234.3</v>
      </c>
      <c r="D10058" s="216" t="n">
        <v>1.137819051742554</v>
      </c>
      <c r="E10058" s="215" t="n">
        <v>46099</v>
      </c>
      <c r="F10058" s="215" t="n">
        <v>46099</v>
      </c>
    </row>
    <row r="10059">
      <c r="A10059" s="215" t="n">
        <v>46100</v>
      </c>
      <c r="B10059" s="216" t="n">
        <v>214</v>
      </c>
      <c r="C10059" s="216" t="n">
        <v>229.95</v>
      </c>
      <c r="D10059" s="216" t="n">
        <v>1.140079021453857</v>
      </c>
      <c r="E10059" s="215" t="n">
        <v>46100</v>
      </c>
      <c r="F10059" s="215" t="n">
        <v>46100</v>
      </c>
    </row>
    <row r="10060">
      <c r="A10060" s="215" t="n">
        <v>46101</v>
      </c>
      <c r="B10060" s="216" t="n">
        <v>210</v>
      </c>
      <c r="C10060" s="216" t="n">
        <v>228.09</v>
      </c>
      <c r="D10060" s="216" t="n">
        <v>1.13490903377533</v>
      </c>
      <c r="E10060" s="215" t="n">
        <v>46101</v>
      </c>
      <c r="F10060" s="215" t="n">
        <v>46101</v>
      </c>
    </row>
    <row r="10061">
      <c r="A10061" s="215" t="n">
        <v>46104</v>
      </c>
      <c r="B10061" s="216" t="n">
        <v>208.4</v>
      </c>
      <c r="C10061" s="216" t="n">
        <v>219.46</v>
      </c>
      <c r="D10061" s="216" t="n">
        <v>1.137529969215393</v>
      </c>
      <c r="E10061" s="215" t="n">
        <v>46104</v>
      </c>
      <c r="F10061" s="215" t="n">
        <v>46104</v>
      </c>
    </row>
    <row r="10062">
      <c r="A10062" s="215" t="n">
        <v>46105</v>
      </c>
      <c r="B10062" s="216" t="n">
        <v>228.8</v>
      </c>
      <c r="C10062" s="216" t="n">
        <v>224.5</v>
      </c>
      <c r="D10062" s="216" t="n">
        <v>1.138481974601746</v>
      </c>
      <c r="E10062" s="215" t="n">
        <v>46105</v>
      </c>
      <c r="F10062" s="215" t="n">
        <v>46105</v>
      </c>
    </row>
    <row r="10063">
      <c r="A10063" s="215" t="n">
        <v>46106</v>
      </c>
      <c r="B10063" s="216" t="n">
        <v>237</v>
      </c>
      <c r="C10063" s="216" t="n">
        <v>228.9</v>
      </c>
      <c r="D10063" s="216" t="n">
        <v>1.135548949241638</v>
      </c>
      <c r="E10063" s="215" t="n">
        <v>46106</v>
      </c>
      <c r="F10063" s="215" t="n">
        <v>46106</v>
      </c>
    </row>
    <row r="10064">
      <c r="A10064" s="215" t="n">
        <v>46107</v>
      </c>
      <c r="B10064" s="216" t="n">
        <v>215.2</v>
      </c>
      <c r="C10064" s="216" t="n">
        <v>218.75</v>
      </c>
      <c r="D10064" s="216" t="n">
        <v>1.132627010345459</v>
      </c>
      <c r="E10064" s="215" t="n">
        <v>46107</v>
      </c>
      <c r="F10064" s="215" t="n">
        <v>46107</v>
      </c>
    </row>
    <row r="10065">
      <c r="A10065" s="215" t="n">
        <v>46108</v>
      </c>
      <c r="B10065" s="216" t="n">
        <v>212.6</v>
      </c>
      <c r="C10065" s="216" t="n">
        <v>225</v>
      </c>
      <c r="D10065" s="216" t="n">
        <v>1.132115960121155</v>
      </c>
      <c r="E10065" s="215" t="n">
        <v>46108</v>
      </c>
      <c r="F10065" s="215" t="n">
        <v>46108</v>
      </c>
    </row>
    <row r="10066">
      <c r="A10066" s="215" t="n">
        <v>46111</v>
      </c>
      <c r="B10066" s="216" t="n">
        <v>215.2</v>
      </c>
      <c r="C10066" s="216" t="n">
        <v>227.99</v>
      </c>
      <c r="D10066" s="216" t="n">
        <v>1.13311505317688</v>
      </c>
      <c r="E10066" s="215" t="n">
        <v>46111</v>
      </c>
      <c r="F10066" s="215" t="n">
        <v>46111</v>
      </c>
    </row>
    <row r="10067">
      <c r="A10067" s="215" t="n">
        <v>46112</v>
      </c>
      <c r="B10067" s="216" t="n">
        <v>201.8</v>
      </c>
      <c r="C10067" s="216" t="n">
        <v>205.27</v>
      </c>
      <c r="D10067" s="216" t="n">
        <v>1.133540987968445</v>
      </c>
      <c r="E10067" s="215" t="n">
        <v>46112</v>
      </c>
      <c r="F10067" s="215" t="n">
        <v>46112</v>
      </c>
    </row>
    <row r="10068">
      <c r="A10068" s="215" t="n">
        <v>46113</v>
      </c>
      <c r="B10068" s="216" t="n">
        <v>216.6</v>
      </c>
      <c r="C10068" s="216" t="n">
        <v>210.4</v>
      </c>
      <c r="D10068" s="216" t="n">
        <v>1.136669993400574</v>
      </c>
      <c r="E10068" s="215" t="n">
        <v>46113</v>
      </c>
      <c r="F10068" s="215" t="n">
        <v>46113</v>
      </c>
    </row>
    <row r="10069">
      <c r="A10069" s="215" t="n">
        <v>46114</v>
      </c>
      <c r="B10069" s="216" t="n">
        <v>203.6</v>
      </c>
      <c r="C10069" s="216" t="n">
        <v>206.88</v>
      </c>
      <c r="D10069" s="216" t="n">
        <v>1.140197992324829</v>
      </c>
      <c r="E10069" s="215" t="n">
        <v>46114</v>
      </c>
      <c r="F10069" s="215" t="n">
        <v>46114</v>
      </c>
    </row>
    <row r="10070">
      <c r="A10070" s="215" t="n">
        <v>46120</v>
      </c>
      <c r="B10070" s="216" t="n">
        <v>206.8</v>
      </c>
      <c r="C10070" s="216" t="n">
        <v>206.33</v>
      </c>
      <c r="D10070" s="216" t="n">
        <v>1.1423499584198</v>
      </c>
      <c r="E10070" s="215" t="n">
        <v>46120</v>
      </c>
      <c r="F10070" s="215" t="n">
        <v>46120</v>
      </c>
    </row>
    <row r="10071">
      <c r="A10071" s="215" t="n">
        <v>46121</v>
      </c>
      <c r="B10071" s="216" t="n">
        <v>205</v>
      </c>
      <c r="C10071" s="216" t="n">
        <v>201.61</v>
      </c>
      <c r="D10071" s="216" t="n">
        <v>1.146731972694397</v>
      </c>
      <c r="E10071" s="215" t="n">
        <v>46121</v>
      </c>
      <c r="F10071" s="215" t="n">
        <v>46121</v>
      </c>
    </row>
    <row r="10072">
      <c r="A10072" s="215" t="n">
        <v>46122</v>
      </c>
      <c r="B10072" s="216" t="n">
        <v>199</v>
      </c>
      <c r="C10072" s="216" t="n">
        <v>200.12</v>
      </c>
      <c r="D10072" s="216" t="n">
        <v>1.146558046340942</v>
      </c>
      <c r="E10072" s="215" t="n">
        <v>46122</v>
      </c>
      <c r="F10072" s="215" t="n">
        <v>46122</v>
      </c>
    </row>
    <row r="10073">
      <c r="A10073" s="215" t="n">
        <v>46125</v>
      </c>
      <c r="B10073" s="216" t="n">
        <v>200</v>
      </c>
      <c r="C10073" s="216" t="n">
        <v>193.95</v>
      </c>
      <c r="D10073" s="216" t="n">
        <v>1.147117972373962</v>
      </c>
      <c r="E10073" s="215" t="n">
        <v>46125</v>
      </c>
      <c r="F10073" s="215" t="n">
        <v>46125</v>
      </c>
    </row>
    <row r="10074">
      <c r="A10074" s="215" t="n">
        <v>46126</v>
      </c>
      <c r="B10074" s="216" t="n">
        <v>201</v>
      </c>
      <c r="C10074" s="216" t="n">
        <v>191.23</v>
      </c>
      <c r="D10074" s="216" t="n">
        <v>1.146226048469543</v>
      </c>
      <c r="E10074" s="215" t="n">
        <v>46126</v>
      </c>
      <c r="F10074" s="215" t="n">
        <v>46126</v>
      </c>
    </row>
    <row r="10075">
      <c r="A10075" s="215" t="n">
        <v>46127</v>
      </c>
      <c r="B10075" s="216" t="n">
        <v>206</v>
      </c>
      <c r="C10075" s="216" t="n">
        <v>193.5</v>
      </c>
      <c r="D10075" s="216" t="n">
        <v>1.149266004562378</v>
      </c>
      <c r="E10075" s="215" t="n">
        <v>46127</v>
      </c>
      <c r="F10075" s="215" t="n">
        <v>46127</v>
      </c>
    </row>
    <row r="10076">
      <c r="A10076" s="215" t="n">
        <v>46128</v>
      </c>
      <c r="B10076" s="216" t="n">
        <v>207</v>
      </c>
      <c r="C10076" s="216" t="n">
        <v>194.26</v>
      </c>
      <c r="D10076" s="216" t="n">
        <v>1.148550033569336</v>
      </c>
      <c r="E10076" s="215" t="n">
        <v>46128</v>
      </c>
      <c r="F10076" s="215" t="n">
        <v>46128</v>
      </c>
    </row>
    <row r="10077">
      <c r="A10077" s="215" t="n">
        <v>46129</v>
      </c>
      <c r="B10077" s="216" t="n">
        <v>208.6</v>
      </c>
      <c r="C10077" s="216" t="n">
        <v>199.8</v>
      </c>
      <c r="D10077" s="216" t="n">
        <v>1.146605014801025</v>
      </c>
      <c r="E10077" s="215" t="n">
        <v>46129</v>
      </c>
      <c r="F10077" s="215" t="n">
        <v>46129</v>
      </c>
    </row>
    <row r="10078">
      <c r="A10078" s="215" t="n">
        <v>46132</v>
      </c>
      <c r="B10078" s="216" t="n">
        <v>215</v>
      </c>
      <c r="C10078" s="216" t="n">
        <v>203.71</v>
      </c>
      <c r="D10078" s="216" t="n">
        <v>1.148360967636108</v>
      </c>
      <c r="E10078" s="215" t="n">
        <v>46132</v>
      </c>
      <c r="F10078" s="215" t="n">
        <v>46132</v>
      </c>
    </row>
    <row r="10079">
      <c r="A10079" s="215" t="n">
        <v>46133</v>
      </c>
      <c r="B10079" s="216" t="n">
        <v>210</v>
      </c>
      <c r="C10079" s="216" t="n">
        <v>201.33</v>
      </c>
      <c r="D10079" s="216" t="n">
        <v>1.148368000984192</v>
      </c>
      <c r="E10079" s="215" t="n">
        <v>46133</v>
      </c>
      <c r="F10079" s="215" t="n">
        <v>46133</v>
      </c>
    </row>
    <row r="10080">
      <c r="A10080" s="215" t="n">
        <v>46134</v>
      </c>
      <c r="B10080" s="216" t="n">
        <v>205.6</v>
      </c>
      <c r="C10080" s="216" t="n">
        <v>201.4</v>
      </c>
      <c r="D10080" s="216" t="n">
        <v>1.147838950157166</v>
      </c>
      <c r="E10080" s="215" t="n">
        <v>46134</v>
      </c>
      <c r="F10080" s="215" t="n">
        <v>46134</v>
      </c>
    </row>
    <row r="10081">
      <c r="A10081" s="215" t="n">
        <v>46135</v>
      </c>
      <c r="B10081" s="216" t="n">
        <v>205.6</v>
      </c>
      <c r="C10081" s="216" t="n">
        <v>204.18</v>
      </c>
      <c r="D10081" s="216" t="n">
        <v>1.147513031959534</v>
      </c>
      <c r="E10081" s="215" t="n">
        <v>46135</v>
      </c>
      <c r="F10081" s="215" t="n">
        <v>46135</v>
      </c>
    </row>
    <row r="10082">
      <c r="A10082" s="215" t="n">
        <v>46136</v>
      </c>
      <c r="B10082" s="216" t="n">
        <v>205.2</v>
      </c>
      <c r="C10082" s="216" t="n">
        <v>199.96</v>
      </c>
      <c r="D10082" s="216" t="n">
        <v>1.147369027137756</v>
      </c>
      <c r="E10082" s="215" t="n">
        <v>46136</v>
      </c>
      <c r="F10082" s="215" t="n">
        <v>46136</v>
      </c>
    </row>
    <row r="10083">
      <c r="A10083" s="215" t="n">
        <v>46139</v>
      </c>
      <c r="B10083" s="216" t="n">
        <v>207</v>
      </c>
      <c r="C10083" s="216" t="n">
        <v>197.75</v>
      </c>
      <c r="D10083" s="216" t="n">
        <v>1.146002054214478</v>
      </c>
      <c r="E10083" s="215" t="n">
        <v>46139</v>
      </c>
      <c r="F10083" s="215" t="n">
        <v>46139</v>
      </c>
    </row>
    <row r="10084">
      <c r="A10084" s="215" t="n">
        <v>46140</v>
      </c>
      <c r="B10084" s="216" t="n">
        <v>206.2</v>
      </c>
      <c r="C10084" s="216" t="n">
        <v>196.58</v>
      </c>
      <c r="D10084" s="216" t="n">
        <v>1.148522019386292</v>
      </c>
      <c r="E10084" s="215" t="n">
        <v>46140</v>
      </c>
      <c r="F10084" s="215" t="n">
        <v>46140</v>
      </c>
    </row>
    <row r="10085">
      <c r="A10085" s="215" t="n">
        <v>46141</v>
      </c>
      <c r="B10085" s="216" t="n">
        <v>224</v>
      </c>
      <c r="C10085" s="216" t="n">
        <v>208.33</v>
      </c>
      <c r="D10085" s="216" t="n">
        <v>1.145936012268066</v>
      </c>
      <c r="E10085" s="215" t="n">
        <v>46141</v>
      </c>
      <c r="F10085" s="215" t="n">
        <v>46141</v>
      </c>
    </row>
    <row r="10086">
      <c r="A10086" s="215" t="n">
        <v>46142</v>
      </c>
      <c r="B10086" s="216" t="n">
        <v>202.2</v>
      </c>
      <c r="C10086" s="216" t="n">
        <v>203.84</v>
      </c>
      <c r="D10086" s="216" t="n">
        <v>1.145792007446289</v>
      </c>
      <c r="E10086" s="215" t="n">
        <v>46142</v>
      </c>
      <c r="F10086" s="215" t="n">
        <v>46142</v>
      </c>
    </row>
    <row r="10087">
      <c r="A10087" s="215" t="n">
        <v>46146</v>
      </c>
      <c r="B10087" s="216" t="n">
        <v>211</v>
      </c>
      <c r="C10087" s="216" t="n">
        <v>203.84</v>
      </c>
      <c r="D10087" s="216" t="n">
        <v>1.147340059280396</v>
      </c>
      <c r="E10087" s="215" t="n">
        <v>46142</v>
      </c>
      <c r="F10087" s="215" t="n">
        <v>46146</v>
      </c>
    </row>
    <row r="10088">
      <c r="A10088" s="215" t="n">
        <v>46147</v>
      </c>
      <c r="B10088" s="216" t="n">
        <v>164.1</v>
      </c>
      <c r="C10088" s="216" t="n">
        <v>203.84</v>
      </c>
      <c r="D10088" s="216" t="n">
        <v>1.146813988685608</v>
      </c>
      <c r="E10088" s="215" t="n">
        <v>46142</v>
      </c>
      <c r="F10088" s="215" t="n">
        <v>46147</v>
      </c>
    </row>
    <row r="10089">
      <c r="A10089" s="215" t="n">
        <v>46148</v>
      </c>
      <c r="B10089" s="216" t="n">
        <v>166.6</v>
      </c>
      <c r="C10089" s="216" t="n">
        <v>200.65</v>
      </c>
      <c r="D10089" s="216" t="n">
        <v>1.14708399772644</v>
      </c>
      <c r="E10089" s="215" t="n">
        <v>46148</v>
      </c>
      <c r="F10089" s="215" t="n">
        <v>46148</v>
      </c>
    </row>
    <row r="10090">
      <c r="A10090" s="215" t="n">
        <v>46149</v>
      </c>
      <c r="B10090" s="216" t="n">
        <v>172.6</v>
      </c>
      <c r="C10090" s="216" t="n">
        <v>201.45</v>
      </c>
      <c r="D10090" s="216" t="n">
        <v>1.150125026702881</v>
      </c>
      <c r="E10090" s="215" t="n">
        <v>46149</v>
      </c>
      <c r="F10090" s="215" t="n">
        <v>46149</v>
      </c>
    </row>
    <row r="10091">
      <c r="A10091" s="215" t="n">
        <v>46150</v>
      </c>
      <c r="B10091" s="216" t="n">
        <v>168.5</v>
      </c>
      <c r="C10091" s="216" t="n">
        <v>199.98</v>
      </c>
      <c r="D10091" s="216" t="n">
        <v>1.15172004699707</v>
      </c>
      <c r="E10091" s="215" t="n">
        <v>46150</v>
      </c>
      <c r="F10091" s="215" t="n">
        <v>46150</v>
      </c>
    </row>
    <row r="10092">
      <c r="A10092" s="215" t="n">
        <v>46153</v>
      </c>
      <c r="B10092" s="216" t="n">
        <v>167.5</v>
      </c>
      <c r="C10092" s="216" t="n">
        <v>197.75</v>
      </c>
      <c r="D10092" s="216" t="n">
        <v>1.151090025901794</v>
      </c>
      <c r="E10092" s="215" t="n">
        <v>46153</v>
      </c>
      <c r="F10092" s="215" t="n">
        <v>46153</v>
      </c>
    </row>
    <row r="10093">
      <c r="A10093" s="215" t="n">
        <v>46154</v>
      </c>
      <c r="B10093" s="216" t="n">
        <v>167</v>
      </c>
      <c r="C10093" s="216" t="n">
        <v>194.72</v>
      </c>
      <c r="D10093" s="216" t="n">
        <v>1.152078986167908</v>
      </c>
      <c r="E10093" s="215" t="n">
        <v>46154</v>
      </c>
      <c r="F10093" s="215" t="n">
        <v>46154</v>
      </c>
    </row>
    <row r="10094">
      <c r="A10094" s="215" t="n">
        <v>46155</v>
      </c>
      <c r="B10094" s="216" t="n">
        <v>169.3</v>
      </c>
      <c r="C10094" s="216" t="n">
        <v>192.83</v>
      </c>
      <c r="D10094" s="216" t="n">
        <v>1.152537941932678</v>
      </c>
      <c r="E10094" s="215" t="n">
        <v>46155</v>
      </c>
      <c r="F10094" s="215" t="n">
        <v>46155</v>
      </c>
    </row>
    <row r="10095">
      <c r="A10095" s="215" t="n">
        <v>46156</v>
      </c>
      <c r="B10095" s="216" t="n">
        <v>173.4</v>
      </c>
      <c r="C10095" s="216" t="n">
        <v>193.5</v>
      </c>
      <c r="D10095" s="216" t="n">
        <v>1.152662992477417</v>
      </c>
      <c r="E10095" s="215" t="n">
        <v>46156</v>
      </c>
      <c r="F10095" s="215" t="n">
        <v>46156</v>
      </c>
    </row>
    <row r="10096">
      <c r="A10096" s="215" t="n">
        <v>46157</v>
      </c>
      <c r="B10096" s="216" t="n">
        <v>169.1</v>
      </c>
      <c r="C10096" s="216" t="n">
        <v>186.09</v>
      </c>
      <c r="D10096" s="216" t="n">
        <v>1.154320001602173</v>
      </c>
      <c r="E10096" s="215" t="n">
        <v>46157</v>
      </c>
      <c r="F10096" s="215" t="n">
        <v>46157</v>
      </c>
    </row>
    <row r="10097">
      <c r="A10097" s="215" t="n">
        <v>46160</v>
      </c>
      <c r="B10097" s="216" t="n">
        <v>165.6</v>
      </c>
      <c r="C10097" s="216" t="n">
        <v>142.2</v>
      </c>
      <c r="D10097" s="216" t="n">
        <v>1.149821996688843</v>
      </c>
      <c r="E10097" s="215" t="n">
        <v>46160</v>
      </c>
      <c r="F10097" s="215" t="n">
        <v>46160</v>
      </c>
    </row>
    <row r="10098">
      <c r="A10098" s="215" t="n">
        <v>46161</v>
      </c>
      <c r="B10098" s="216" t="n">
        <v>158.4</v>
      </c>
      <c r="C10098" s="216" t="n">
        <v>145.61</v>
      </c>
      <c r="D10098" s="216" t="n">
        <v>1.151532053947449</v>
      </c>
      <c r="E10098" s="215" t="n">
        <v>46161</v>
      </c>
      <c r="F10098" s="215" t="n">
        <v>46161</v>
      </c>
    </row>
    <row r="10099">
      <c r="A10099" s="215" t="n">
        <v>46162</v>
      </c>
      <c r="B10099" s="216" t="n">
        <v>155.3</v>
      </c>
      <c r="C10099" s="216" t="n">
        <v>149</v>
      </c>
      <c r="D10099" s="216" t="n">
        <v>1.149292945861816</v>
      </c>
      <c r="E10099" s="215" t="n">
        <v>46162</v>
      </c>
      <c r="F10099" s="215" t="n">
        <v>46162</v>
      </c>
    </row>
    <row r="10100">
      <c r="A10100" s="215" t="n">
        <v>46163</v>
      </c>
      <c r="B10100" s="216" t="n">
        <v>155</v>
      </c>
      <c r="C10100" s="216" t="n">
        <v>147.23</v>
      </c>
      <c r="D10100" s="216" t="n">
        <v>1.151231050491333</v>
      </c>
      <c r="E10100" s="215" t="n">
        <v>46163</v>
      </c>
      <c r="F10100" s="215" t="n">
        <v>46163</v>
      </c>
    </row>
    <row r="10101">
      <c r="A10101" s="215" t="n">
        <v>46164</v>
      </c>
      <c r="B10101" s="216" t="n">
        <v>150.3</v>
      </c>
      <c r="C10101" s="216" t="n">
        <v>144.58</v>
      </c>
      <c r="D10101" s="216" t="n">
        <v>1.151487946510315</v>
      </c>
      <c r="E10101" s="215" t="n">
        <v>46164</v>
      </c>
      <c r="F10101" s="215" t="n">
        <v>46164</v>
      </c>
    </row>
    <row r="10102">
      <c r="A10102" s="215" t="n">
        <v>46168</v>
      </c>
      <c r="B10102" s="216" t="n">
        <v>136.9</v>
      </c>
      <c r="C10102" s="216" t="n">
        <v>141.62</v>
      </c>
      <c r="D10102" s="216" t="n">
        <v>1.152968049049377</v>
      </c>
      <c r="E10102" s="215" t="n">
        <v>46168</v>
      </c>
      <c r="F10102" s="215" t="n">
        <v>46168</v>
      </c>
    </row>
    <row r="10103">
      <c r="A10103" s="215" t="n">
        <v>46169</v>
      </c>
      <c r="B10103" s="216" t="n">
        <v>129.9</v>
      </c>
      <c r="C10103" s="216" t="n">
        <v>139.1</v>
      </c>
      <c r="D10103" s="216" t="n">
        <v>1.154562950134277</v>
      </c>
      <c r="E10103" s="215" t="n">
        <v>46169</v>
      </c>
      <c r="F10103" s="215" t="n">
        <v>46169</v>
      </c>
    </row>
    <row r="10104">
      <c r="A10104" s="215" t="n">
        <v>46170</v>
      </c>
      <c r="B10104" s="216" t="n">
        <v>129</v>
      </c>
      <c r="C10104" s="216" t="n">
        <v>141.01</v>
      </c>
      <c r="D10104" s="216" t="n">
        <v>1.155385971069336</v>
      </c>
      <c r="E10104" s="215" t="n">
        <v>46170</v>
      </c>
      <c r="F10104" s="215" t="n">
        <v>46170</v>
      </c>
    </row>
    <row r="10105">
      <c r="A10105" s="215" t="n">
        <v>46171</v>
      </c>
      <c r="B10105" s="216" t="n">
        <v>132.3</v>
      </c>
      <c r="C10105" s="216" t="n">
        <v>142.44</v>
      </c>
      <c r="D10105" s="216" t="n">
        <v>1.155282974243164</v>
      </c>
      <c r="E10105" s="215" t="n">
        <v>46171</v>
      </c>
      <c r="F10105" s="215" t="n">
        <v>46171</v>
      </c>
    </row>
    <row r="10106">
      <c r="A10106" s="215" t="n">
        <v>46174</v>
      </c>
      <c r="B10106" s="216" t="n">
        <v>144.4</v>
      </c>
      <c r="C10106" s="216" t="n">
        <v>152.3</v>
      </c>
      <c r="D10106" s="216" t="n">
        <v>1.158049941062927</v>
      </c>
      <c r="E10106" s="215" t="n">
        <v>46174</v>
      </c>
      <c r="F10106" s="215" t="n">
        <v>46174</v>
      </c>
    </row>
    <row r="10107">
      <c r="A10107" s="215" t="n">
        <v>46175</v>
      </c>
      <c r="B10107" s="216" t="n">
        <v>144.4</v>
      </c>
      <c r="C10107" s="216" t="n">
        <v>149.6</v>
      </c>
      <c r="D10107" s="216" t="n">
        <v>1.158406972885132</v>
      </c>
      <c r="E10107" s="215" t="n">
        <v>46175</v>
      </c>
      <c r="F10107" s="215" t="n">
        <v>46175</v>
      </c>
    </row>
    <row r="10108">
      <c r="A10108" s="215" t="n">
        <v>46176</v>
      </c>
      <c r="B10108" s="216" t="n">
        <v>139.2</v>
      </c>
      <c r="C10108" s="216" t="n">
        <v>143.96</v>
      </c>
      <c r="D10108" s="216" t="n">
        <v>1.15879499912262</v>
      </c>
      <c r="E10108" s="215" t="n">
        <v>46176</v>
      </c>
      <c r="F10108" s="215" t="n">
        <v>46176</v>
      </c>
    </row>
    <row r="10109">
      <c r="A10109" s="215" t="n">
        <v>46177</v>
      </c>
      <c r="B10109" s="216" t="n">
        <v>138.2</v>
      </c>
      <c r="C10109" s="216" t="n">
        <v>139.43</v>
      </c>
      <c r="D10109" s="216" t="n">
        <v>1.157420039176941</v>
      </c>
      <c r="E10109" s="215" t="n">
        <v>46177</v>
      </c>
      <c r="F10109" s="215" t="n">
        <v>46177</v>
      </c>
    </row>
    <row r="10110">
      <c r="A10110" s="215" t="n">
        <v>46178</v>
      </c>
      <c r="B10110" s="216" t="n">
        <v>129.8</v>
      </c>
      <c r="C10110" s="216" t="n">
        <v>134.39</v>
      </c>
      <c r="D10110" s="216" t="n">
        <v>1.156491994857788</v>
      </c>
      <c r="E10110" s="215" t="n">
        <v>46178</v>
      </c>
      <c r="F10110" s="215" t="n">
        <v>46178</v>
      </c>
    </row>
    <row r="10111">
      <c r="A10111" s="215" t="n">
        <v>46181</v>
      </c>
      <c r="B10111" s="216" t="n">
        <v>131.7</v>
      </c>
      <c r="C10111" s="216" t="n">
        <v>136.23</v>
      </c>
      <c r="D10111" s="216" t="n">
        <v>1.157665967941284</v>
      </c>
      <c r="E10111" s="215" t="n">
        <v>46181</v>
      </c>
      <c r="F10111" s="215" t="n">
        <v>46181</v>
      </c>
    </row>
    <row r="10112">
      <c r="A10112" s="215" t="n">
        <v>46182</v>
      </c>
      <c r="B10112" s="216" t="n">
        <v>128.8</v>
      </c>
      <c r="C10112" s="216" t="n">
        <v>133.2</v>
      </c>
      <c r="D10112" s="216" t="n">
        <v>1.158027052879333</v>
      </c>
      <c r="E10112" s="215" t="n">
        <v>46182</v>
      </c>
      <c r="F10112" s="215" t="n">
        <v>46182</v>
      </c>
    </row>
    <row r="10113">
      <c r="A10113" s="215" t="n">
        <v>46183</v>
      </c>
      <c r="B10113" s="216" t="n">
        <v>128.6</v>
      </c>
      <c r="C10113" s="216" t="n">
        <v>131.88</v>
      </c>
      <c r="D10113" s="216" t="n">
        <v>1.157112002372742</v>
      </c>
      <c r="E10113" s="215" t="n">
        <v>46183</v>
      </c>
      <c r="F10113" s="215" t="n">
        <v>46183</v>
      </c>
    </row>
    <row r="10114">
      <c r="A10114" s="215" t="n">
        <v>46184</v>
      </c>
      <c r="B10114" s="216" t="n">
        <v>131.6</v>
      </c>
      <c r="C10114" s="216" t="n">
        <v>133.12</v>
      </c>
      <c r="D10114" s="216" t="n">
        <v>1.156929016113281</v>
      </c>
      <c r="E10114" s="215" t="n">
        <v>46184</v>
      </c>
      <c r="F10114" s="215" t="n">
        <v>46184</v>
      </c>
    </row>
    <row r="10115">
      <c r="A10115" s="215" t="n">
        <v>46185</v>
      </c>
      <c r="B10115" s="216" t="n">
        <v>128.1</v>
      </c>
      <c r="C10115" s="216" t="n">
        <v>131.84</v>
      </c>
      <c r="D10115" s="216" t="n">
        <v>1.156345963478088</v>
      </c>
      <c r="E10115" s="215" t="n">
        <v>46185</v>
      </c>
      <c r="F10115" s="215" t="n">
        <v>46185</v>
      </c>
    </row>
    <row r="10116">
      <c r="A10116" s="215" t="n">
        <v>46188</v>
      </c>
      <c r="B10116" s="216" t="n">
        <v>125.2</v>
      </c>
      <c r="C10116" s="216" t="n">
        <v>128.26</v>
      </c>
      <c r="D10116" s="216" t="n">
        <v>1.156880021095276</v>
      </c>
      <c r="E10116" s="215" t="n">
        <v>46188</v>
      </c>
      <c r="F10116" s="215" t="n">
        <v>46188</v>
      </c>
    </row>
    <row r="10117">
      <c r="A10117" s="215" t="n">
        <v>46189</v>
      </c>
      <c r="B10117" s="216" t="n">
        <v>120.3</v>
      </c>
      <c r="C10117" s="216" t="n">
        <v>124.78</v>
      </c>
      <c r="D10117" s="216" t="n">
        <v>1.158604025840759</v>
      </c>
      <c r="E10117" s="215" t="n">
        <v>46189</v>
      </c>
      <c r="F10117" s="215" t="n">
        <v>46189</v>
      </c>
    </row>
    <row r="10118">
      <c r="A10118" s="215" t="n">
        <v>46190</v>
      </c>
      <c r="B10118" s="216" t="n">
        <v>118.3</v>
      </c>
      <c r="C10118" s="216" t="n">
        <v>125.39</v>
      </c>
      <c r="D10118" s="216" t="n">
        <v>1.158974051475525</v>
      </c>
      <c r="E10118" s="215" t="n">
        <v>46190</v>
      </c>
      <c r="F10118" s="215" t="n">
        <v>46190</v>
      </c>
    </row>
    <row r="10119">
      <c r="A10119" s="215" t="n">
        <v>46191</v>
      </c>
      <c r="B10119" s="216" t="n">
        <v>115</v>
      </c>
      <c r="C10119" s="216" t="n">
        <v>120.6</v>
      </c>
      <c r="D10119" s="216" t="n">
        <v>1.159355998039246</v>
      </c>
      <c r="E10119" s="215" t="n">
        <v>46191</v>
      </c>
      <c r="F10119" s="215" t="n">
        <v>46191</v>
      </c>
    </row>
    <row r="10120">
      <c r="A10120" s="215" t="n">
        <v>46195</v>
      </c>
      <c r="B10120" s="216" t="n">
        <v>108.9</v>
      </c>
      <c r="C10120" s="216" t="n">
        <v>120.63</v>
      </c>
      <c r="D10120" s="216" t="n">
        <v>1.157493948936462</v>
      </c>
      <c r="E10120" s="215" t="n">
        <v>46195</v>
      </c>
      <c r="F10120" s="215" t="n">
        <v>46195</v>
      </c>
    </row>
    <row r="10121">
      <c r="A10121" s="215" t="n">
        <v>46196</v>
      </c>
      <c r="B10121" s="216" t="n">
        <v>109.8</v>
      </c>
      <c r="C10121" s="216" t="n">
        <v>116.15</v>
      </c>
      <c r="D10121" s="216" t="n">
        <v>1.156896948814392</v>
      </c>
      <c r="E10121" s="215" t="n">
        <v>46196</v>
      </c>
      <c r="F10121" s="215" t="n">
        <v>46196</v>
      </c>
    </row>
    <row r="10122">
      <c r="A10122" s="215" t="n">
        <v>46197</v>
      </c>
      <c r="B10122" s="216" t="n">
        <v>106.3</v>
      </c>
      <c r="C10122" s="216" t="n">
        <v>114.05</v>
      </c>
      <c r="D10122" s="216" t="n">
        <v>1.154508948326111</v>
      </c>
      <c r="E10122" s="215" t="n">
        <v>46197</v>
      </c>
      <c r="F10122" s="215" t="n">
        <v>46197</v>
      </c>
    </row>
    <row r="10123">
      <c r="A10123" s="215" t="n">
        <v>46198</v>
      </c>
      <c r="B10123" s="216" t="n">
        <v>106.1</v>
      </c>
      <c r="C10123" s="216" t="n">
        <v>112.73</v>
      </c>
      <c r="D10123" s="216" t="n">
        <v>1.154152035713196</v>
      </c>
      <c r="E10123" s="215" t="n">
        <v>46198</v>
      </c>
      <c r="F10123" s="215" t="n">
        <v>46198</v>
      </c>
    </row>
    <row r="10124">
      <c r="A10124" s="215" t="n">
        <v>46199</v>
      </c>
      <c r="B10124" s="216" t="n">
        <v>104.4</v>
      </c>
      <c r="C10124" s="216" t="n">
        <v>110.9</v>
      </c>
      <c r="D10124" s="216" t="n">
        <v>1.154500961303711</v>
      </c>
      <c r="E10124" s="215" t="n">
        <v>46199</v>
      </c>
      <c r="F10124" s="215" t="n">
        <v>46199</v>
      </c>
    </row>
    <row r="10125">
      <c r="A10125" s="215" t="n">
        <v>46202</v>
      </c>
      <c r="B10125" s="216" t="n">
        <v>110</v>
      </c>
      <c r="C10125" s="216" t="n">
        <v>121.99</v>
      </c>
      <c r="D10125" s="216" t="n">
        <v>1.153512001037598</v>
      </c>
      <c r="E10125" s="215" t="n">
        <v>46202</v>
      </c>
      <c r="F10125" s="215" t="n">
        <v>46202</v>
      </c>
    </row>
    <row r="10126">
      <c r="A10126" s="215" t="n">
        <v>46203</v>
      </c>
      <c r="B10126" s="216" t="n">
        <v>107.2</v>
      </c>
      <c r="C10126" s="216" t="n">
        <v>123.43</v>
      </c>
      <c r="D10126" s="216" t="n">
        <v>1.153959035873413</v>
      </c>
      <c r="E10126" s="215" t="n">
        <v>46203</v>
      </c>
      <c r="F10126" s="215" t="n">
        <v>46203</v>
      </c>
    </row>
    <row r="10127">
      <c r="A10127" s="215" t="n">
        <v>46205</v>
      </c>
      <c r="B10127" s="216" t="n">
        <v>107.1</v>
      </c>
      <c r="C10127" s="216" t="n">
        <v>124.08</v>
      </c>
      <c r="D10127" s="216" t="n">
        <v>1.154355049133301</v>
      </c>
      <c r="E10127" s="215" t="n">
        <v>46205</v>
      </c>
      <c r="F10127" s="215" t="n">
        <v>46205</v>
      </c>
    </row>
    <row r="10128">
      <c r="A10128" s="215" t="n">
        <v>46206</v>
      </c>
      <c r="B10128" s="216" t="n">
        <v>112.8</v>
      </c>
      <c r="C10128" s="216" t="n">
        <v>126.35</v>
      </c>
      <c r="D10128" s="216" t="n">
        <v>1.155220985412598</v>
      </c>
      <c r="E10128" s="215" t="n">
        <v>46206</v>
      </c>
      <c r="F10128" s="215" t="n">
        <v>46206</v>
      </c>
    </row>
    <row r="10129">
      <c r="A10129" s="215" t="n">
        <v>46209</v>
      </c>
      <c r="B10129" s="216" t="n">
        <v>112</v>
      </c>
      <c r="C10129" s="216" t="n">
        <v>127.9</v>
      </c>
      <c r="D10129" s="216" t="n">
        <v>1.155068039894104</v>
      </c>
      <c r="E10129" s="215" t="n">
        <v>46209</v>
      </c>
      <c r="F10129" s="215" t="n">
        <v>46209</v>
      </c>
    </row>
    <row r="10130">
      <c r="A10130" s="215" t="n">
        <v>46210</v>
      </c>
      <c r="B10130" s="216" t="n">
        <v>111</v>
      </c>
      <c r="C10130" s="216" t="n">
        <v>124.45</v>
      </c>
      <c r="D10130" s="216" t="n">
        <v>1.153807997703552</v>
      </c>
      <c r="E10130" s="215" t="n">
        <v>46210</v>
      </c>
      <c r="F10130" s="215" t="n">
        <v>46210</v>
      </c>
    </row>
    <row r="10131">
      <c r="A10131" s="215" t="n">
        <v>46211</v>
      </c>
      <c r="B10131" s="216" t="n">
        <v>114.5</v>
      </c>
      <c r="C10131" s="216" t="n">
        <v>127.81</v>
      </c>
      <c r="D10131" s="216" t="n">
        <v>1.154153943061829</v>
      </c>
      <c r="E10131" s="215" t="n">
        <v>46211</v>
      </c>
      <c r="F10131" s="215" t="n">
        <v>46211</v>
      </c>
    </row>
    <row r="10132">
      <c r="A10132" s="215" t="n">
        <v>46212</v>
      </c>
      <c r="B10132" s="216" t="n">
        <v>107.3</v>
      </c>
      <c r="C10132" s="216" t="n">
        <v>121.44</v>
      </c>
      <c r="D10132" s="216" t="n">
        <v>1.152119994163513</v>
      </c>
      <c r="E10132" s="215" t="n">
        <v>46212</v>
      </c>
      <c r="F10132" s="215" t="n">
        <v>46212</v>
      </c>
    </row>
    <row r="10133">
      <c r="A10133" s="215" t="n">
        <v>46213</v>
      </c>
      <c r="B10133" s="216" t="n">
        <v>108.1</v>
      </c>
      <c r="C10133" s="216" t="n">
        <v>121.51</v>
      </c>
      <c r="D10133" s="216" t="n">
        <v>1.153550028800964</v>
      </c>
      <c r="E10133" s="215" t="n">
        <v>46213</v>
      </c>
      <c r="F10133" s="215" t="n">
        <v>46213</v>
      </c>
    </row>
    <row r="10134">
      <c r="A10134" s="215" t="n">
        <v>46216</v>
      </c>
      <c r="B10134" s="216" t="n">
        <v>107</v>
      </c>
      <c r="C10134" s="216" t="n">
        <v>120.6</v>
      </c>
      <c r="D10134" s="216" t="n">
        <v>1.156761050224304</v>
      </c>
      <c r="E10134" s="215" t="n">
        <v>46216</v>
      </c>
      <c r="F10134" s="215" t="n">
        <v>46216</v>
      </c>
    </row>
    <row r="10135">
      <c r="A10135" s="215" t="n">
        <v>46217</v>
      </c>
      <c r="B10135" s="216" t="n">
        <v>106</v>
      </c>
      <c r="C10135" s="216" t="n">
        <v>119.18</v>
      </c>
      <c r="D10135" s="216" t="n">
        <v>1.155825972557068</v>
      </c>
      <c r="E10135" s="215" t="n">
        <v>46217</v>
      </c>
      <c r="F10135" s="215" t="n">
        <v>46217</v>
      </c>
    </row>
    <row r="10136">
      <c r="A10136" s="215" t="n">
        <v>46218</v>
      </c>
      <c r="B10136" s="216" t="n">
        <v>112.4</v>
      </c>
      <c r="C10136" s="216" t="n">
        <v>127.45</v>
      </c>
      <c r="D10136" s="216" t="n">
        <v>1.157556056976318</v>
      </c>
      <c r="E10136" s="215" t="n">
        <v>46218</v>
      </c>
      <c r="F10136" s="215" t="n">
        <v>46218</v>
      </c>
    </row>
    <row r="10137">
      <c r="A10137" s="215" t="n">
        <v>46219</v>
      </c>
      <c r="B10137" s="216" t="n">
        <v>114.9</v>
      </c>
      <c r="C10137" s="216" t="n">
        <v>129.65</v>
      </c>
      <c r="D10137" s="216" t="n">
        <v>1.157912969589233</v>
      </c>
      <c r="E10137" s="215" t="n">
        <v>46219</v>
      </c>
      <c r="F10137" s="215" t="n">
        <v>46219</v>
      </c>
    </row>
    <row r="10138">
      <c r="A10138" s="215" t="n">
        <v>46220</v>
      </c>
      <c r="B10138" s="216" t="n">
        <v>109.8</v>
      </c>
      <c r="C10138" s="216" t="n">
        <v>124.43</v>
      </c>
      <c r="D10138" s="216" t="n">
        <v>1.157472014427185</v>
      </c>
      <c r="E10138" s="215" t="n">
        <v>46220</v>
      </c>
      <c r="F10138" s="215" t="n">
        <v>46220</v>
      </c>
    </row>
    <row r="10139">
      <c r="A10139" s="215" t="n">
        <v>46223</v>
      </c>
      <c r="B10139" s="216" t="n">
        <v>112.6</v>
      </c>
      <c r="C10139" s="216" t="n">
        <v>126.57</v>
      </c>
      <c r="D10139" s="216" t="n">
        <v>1.157451033592224</v>
      </c>
      <c r="E10139" s="215" t="n">
        <v>46223</v>
      </c>
      <c r="F10139" s="215" t="n">
        <v>46223</v>
      </c>
    </row>
    <row r="10140">
      <c r="A10140" s="215" t="n">
        <v>46224</v>
      </c>
      <c r="B10140" s="216" t="n">
        <v>112.6</v>
      </c>
      <c r="C10140" s="216" t="n">
        <v>130.8</v>
      </c>
      <c r="D10140" s="216" t="n">
        <v>1.157506942749023</v>
      </c>
      <c r="E10140" s="215" t="n">
        <v>46224</v>
      </c>
      <c r="F10140" s="215" t="n">
        <v>46224</v>
      </c>
    </row>
    <row r="10141">
      <c r="A10141" s="215" t="n">
        <v>46225</v>
      </c>
      <c r="B10141" s="216" t="n">
        <v>112.4</v>
      </c>
      <c r="C10141" s="216" t="n">
        <v>130.8</v>
      </c>
      <c r="D10141" s="216" t="n">
        <v>1.158938050270081</v>
      </c>
      <c r="E10141" s="215" t="n">
        <v>46225</v>
      </c>
      <c r="F10141" s="215" t="n">
        <v>46225</v>
      </c>
    </row>
    <row r="10142">
      <c r="A10142" s="215" t="n">
        <v>46226</v>
      </c>
      <c r="B10142" s="216" t="n">
        <v>109.8</v>
      </c>
      <c r="C10142" s="216" t="n">
        <v>128.17</v>
      </c>
      <c r="D10142" s="216" t="n">
        <v>1.157410979270935</v>
      </c>
      <c r="E10142" s="215" t="n">
        <v>46226</v>
      </c>
      <c r="F10142" s="215" t="n">
        <v>46226</v>
      </c>
    </row>
    <row r="10143">
      <c r="A10143" s="215" t="n">
        <v>46227</v>
      </c>
      <c r="B10143" s="216" t="n">
        <v>108.6</v>
      </c>
      <c r="C10143" s="216" t="n">
        <v>125.82</v>
      </c>
      <c r="D10143" s="216" t="n">
        <v>1.15762197971344</v>
      </c>
      <c r="E10143" s="215" t="n">
        <v>46227</v>
      </c>
      <c r="F10143" s="215" t="n">
        <v>46227</v>
      </c>
    </row>
    <row r="10144">
      <c r="A10144" s="215" t="n">
        <v>46230</v>
      </c>
      <c r="B10144" s="216" t="n">
        <v>109.9</v>
      </c>
      <c r="C10144" s="216" t="n">
        <v>128.38</v>
      </c>
      <c r="D10144" s="216" t="n">
        <v>1.15789794921875</v>
      </c>
      <c r="E10144" s="215" t="n">
        <v>46230</v>
      </c>
      <c r="F10144" s="215" t="n">
        <v>46230</v>
      </c>
    </row>
    <row r="10145">
      <c r="A10145" s="215" t="n">
        <v>46231</v>
      </c>
      <c r="B10145" s="216" t="n">
        <v>117.7</v>
      </c>
      <c r="C10145" s="216" t="n">
        <v>135.16</v>
      </c>
      <c r="D10145" s="216" t="n">
        <v>1.158699035644531</v>
      </c>
      <c r="E10145" s="215" t="n">
        <v>46231</v>
      </c>
      <c r="F10145" s="215" t="n">
        <v>46231</v>
      </c>
    </row>
    <row r="10146">
      <c r="A10146" s="215" t="n">
        <v>46232</v>
      </c>
      <c r="B10146" s="216" t="n">
        <v>125.2</v>
      </c>
      <c r="C10146" s="216" t="n">
        <v>142.56</v>
      </c>
      <c r="D10146" s="216" t="n">
        <v>1.157909989356995</v>
      </c>
      <c r="E10146" s="215" t="n">
        <v>46232</v>
      </c>
      <c r="F10146" s="215" t="n">
        <v>46232</v>
      </c>
    </row>
    <row r="10147">
      <c r="A10147" s="215" t="n">
        <v>46233</v>
      </c>
      <c r="B10147" s="216" t="n">
        <v>124</v>
      </c>
      <c r="C10147" s="216" t="n">
        <v>138.2</v>
      </c>
      <c r="D10147" s="216" t="n">
        <v>1.158943057060242</v>
      </c>
      <c r="E10147" s="215" t="n">
        <v>46233</v>
      </c>
      <c r="F10147" s="215" t="n">
        <v>46233</v>
      </c>
    </row>
    <row r="10148">
      <c r="A10148" s="215" t="n">
        <v>46234</v>
      </c>
      <c r="B10148" s="216" t="n">
        <v>125</v>
      </c>
      <c r="C10148" s="216" t="n">
        <v>135.9</v>
      </c>
      <c r="D10148" s="216" t="n">
        <v>1.160945057868958</v>
      </c>
      <c r="E10148" s="215" t="n">
        <v>46234</v>
      </c>
      <c r="F10148" s="215" t="n">
        <v>46234</v>
      </c>
    </row>
    <row r="10149">
      <c r="A10149" s="215" t="n">
        <v>46237</v>
      </c>
      <c r="B10149" s="216" t="n">
        <v>119.3</v>
      </c>
      <c r="C10149" s="216" t="n">
        <v>129.64</v>
      </c>
      <c r="D10149" s="216" t="n">
        <v>1.161579966545105</v>
      </c>
      <c r="E10149" s="215" t="n">
        <v>46237</v>
      </c>
      <c r="F10149" s="215" t="n">
        <v>46237</v>
      </c>
    </row>
    <row r="10150">
      <c r="A10150" s="215" t="n">
        <v>46238</v>
      </c>
      <c r="B10150" s="216" t="n">
        <v>119.3</v>
      </c>
      <c r="C10150" s="216" t="n">
        <v>126.45</v>
      </c>
      <c r="D10150" s="216" t="n">
        <v>1.161064982414246</v>
      </c>
      <c r="E10150" s="215" t="n">
        <v>46238</v>
      </c>
      <c r="F10150" s="215" t="n">
        <v>46238</v>
      </c>
    </row>
    <row r="10151">
      <c r="A10151" s="215" t="n">
        <v>46239</v>
      </c>
      <c r="B10151" s="216" t="n">
        <v>115.4</v>
      </c>
      <c r="C10151" s="216" t="n">
        <v>122.54</v>
      </c>
      <c r="D10151" s="216" t="n">
        <v>1.161146998405457</v>
      </c>
      <c r="E10151" s="215" t="n">
        <v>46239</v>
      </c>
      <c r="F10151" s="215" t="n">
        <v>46239</v>
      </c>
    </row>
    <row r="10152">
      <c r="A10152" s="215" t="n">
        <v>46240</v>
      </c>
      <c r="B10152" s="216" t="n">
        <v>114.5</v>
      </c>
      <c r="C10152" s="216" t="n">
        <v>120.89</v>
      </c>
      <c r="D10152" s="216" t="n">
        <v>1.161936044692993</v>
      </c>
      <c r="E10152" s="215" t="n">
        <v>46240</v>
      </c>
      <c r="F10152" s="215" t="n">
        <v>46240</v>
      </c>
    </row>
    <row r="10153">
      <c r="A10153" s="215" t="n">
        <v>46241</v>
      </c>
      <c r="B10153" s="216" t="n">
        <v>118.9</v>
      </c>
      <c r="C10153" s="216" t="n">
        <v>122.8</v>
      </c>
      <c r="D10153" s="216" t="n">
        <v>1.162284016609192</v>
      </c>
      <c r="E10153" s="215" t="n">
        <v>46241</v>
      </c>
      <c r="F10153" s="215" t="n">
        <v>46241</v>
      </c>
    </row>
    <row r="10154">
      <c r="A10154" s="215" t="n">
        <v>46244</v>
      </c>
      <c r="B10154" s="216" t="n">
        <v>125.3</v>
      </c>
      <c r="C10154" s="216" t="n">
        <v>130.83</v>
      </c>
      <c r="D10154" s="216" t="n">
        <v>1.162629961967468</v>
      </c>
      <c r="E10154" s="215" t="n">
        <v>46244</v>
      </c>
      <c r="F10154" s="215" t="n">
        <v>46244</v>
      </c>
    </row>
    <row r="10155">
      <c r="A10155" s="215" t="n">
        <v>46245</v>
      </c>
      <c r="B10155" s="216" t="n">
        <v>118.5</v>
      </c>
      <c r="C10155" s="216" t="n">
        <v>126.37</v>
      </c>
      <c r="D10155" s="216" t="n">
        <v>1.162588000297546</v>
      </c>
      <c r="E10155" s="215" t="n">
        <v>46245</v>
      </c>
      <c r="F10155" s="215" t="n">
        <v>46245</v>
      </c>
    </row>
    <row r="10156">
      <c r="A10156" s="215" t="n">
        <v>46246</v>
      </c>
      <c r="B10156" s="216" t="n">
        <v>119.9</v>
      </c>
      <c r="C10156" s="216" t="n">
        <v>127.9</v>
      </c>
      <c r="D10156" s="216" t="n">
        <v>1.163135051727295</v>
      </c>
      <c r="E10156" s="215" t="n">
        <v>46246</v>
      </c>
      <c r="F10156" s="215" t="n">
        <v>46246</v>
      </c>
    </row>
    <row r="10157">
      <c r="A10157" s="215" t="n">
        <v>46247</v>
      </c>
      <c r="B10157" s="216" t="n">
        <v>118.3</v>
      </c>
      <c r="C10157" s="216" t="n">
        <v>125.97</v>
      </c>
      <c r="D10157" s="216" t="n">
        <v>1.163341045379639</v>
      </c>
      <c r="E10157" s="215" t="n">
        <v>46247</v>
      </c>
      <c r="F10157" s="215" t="n">
        <v>46247</v>
      </c>
    </row>
    <row r="10158">
      <c r="A10158" s="215" t="n">
        <v>46248</v>
      </c>
      <c r="B10158" s="216" t="n">
        <v>117.2</v>
      </c>
      <c r="C10158" s="216" t="n">
        <v>122.93</v>
      </c>
      <c r="D10158" s="216" t="n">
        <v>1.163571000099182</v>
      </c>
      <c r="E10158" s="215" t="n">
        <v>46248</v>
      </c>
      <c r="F10158" s="215" t="n">
        <v>46248</v>
      </c>
    </row>
    <row r="10159">
      <c r="A10159" s="215" t="n">
        <v>46251</v>
      </c>
      <c r="B10159" s="216" t="n">
        <v>117.8</v>
      </c>
      <c r="C10159" s="216" t="n">
        <v>123.47</v>
      </c>
      <c r="D10159" s="216" t="n">
        <v>1.163601994514465</v>
      </c>
      <c r="E10159" s="215" t="n">
        <v>46251</v>
      </c>
      <c r="F10159" s="215" t="n">
        <v>46251</v>
      </c>
    </row>
    <row r="10160">
      <c r="A10160" s="215" t="n">
        <v>46252</v>
      </c>
      <c r="B10160" s="216" t="n">
        <v>114.6</v>
      </c>
      <c r="C10160" s="216" t="n">
        <v>122.57</v>
      </c>
      <c r="D10160" s="216" t="n">
        <v>1.163733005523682</v>
      </c>
      <c r="E10160" s="215" t="n">
        <v>46252</v>
      </c>
      <c r="F10160" s="215" t="n">
        <v>46252</v>
      </c>
    </row>
    <row r="10161">
      <c r="A10161" s="215" t="n">
        <v>46253</v>
      </c>
      <c r="B10161" s="216" t="n">
        <v>117.2</v>
      </c>
      <c r="C10161" s="216" t="n">
        <v>122.75</v>
      </c>
      <c r="D10161" s="216" t="n">
        <v>1.163092017173767</v>
      </c>
      <c r="E10161" s="215" t="n">
        <v>46253</v>
      </c>
      <c r="F10161" s="215" t="n">
        <v>46253</v>
      </c>
    </row>
    <row r="10162">
      <c r="A10162" s="215" t="n">
        <v>46254</v>
      </c>
      <c r="B10162" s="216" t="n">
        <v>116.4</v>
      </c>
      <c r="C10162" s="216" t="n">
        <v>123.07</v>
      </c>
      <c r="D10162" s="216" t="n">
        <v>1.164932012557983</v>
      </c>
      <c r="E10162" s="215" t="n">
        <v>46254</v>
      </c>
      <c r="F10162" s="215" t="n">
        <v>46254</v>
      </c>
    </row>
    <row r="10163">
      <c r="A10163" s="215" t="n">
        <v>46255</v>
      </c>
      <c r="B10163" s="216" t="n">
        <v>115.3</v>
      </c>
      <c r="C10163" s="216" t="n">
        <v>120.03</v>
      </c>
      <c r="D10163" s="216" t="n">
        <v>1.166555047035217</v>
      </c>
      <c r="E10163" s="215" t="n">
        <v>46255</v>
      </c>
      <c r="F10163" s="215" t="n">
        <v>46255</v>
      </c>
    </row>
    <row r="10164">
      <c r="A10164" s="215" t="n">
        <v>46258</v>
      </c>
      <c r="B10164" s="216" t="n">
        <v>118.2</v>
      </c>
      <c r="C10164" s="216" t="n">
        <v>120.99</v>
      </c>
      <c r="D10164" s="216" t="n">
        <v>1.166316986083984</v>
      </c>
      <c r="E10164" s="215" t="n">
        <v>46258</v>
      </c>
      <c r="F10164" s="215" t="n">
        <v>46258</v>
      </c>
    </row>
    <row r="10165">
      <c r="A10165" s="215" t="n">
        <v>46259</v>
      </c>
      <c r="B10165" s="216" t="n">
        <v>119.1</v>
      </c>
      <c r="C10165" s="216" t="n">
        <v>123.7</v>
      </c>
      <c r="D10165" s="216" t="n">
        <v>1.165253043174744</v>
      </c>
      <c r="E10165" s="215" t="n">
        <v>46259</v>
      </c>
      <c r="F10165" s="215" t="n">
        <v>46259</v>
      </c>
    </row>
    <row r="10166">
      <c r="A10166" s="215" t="n">
        <v>46260</v>
      </c>
      <c r="B10166" s="216" t="n">
        <v>112.8</v>
      </c>
      <c r="C10166" s="216" t="n">
        <v>121.3</v>
      </c>
      <c r="D10166" s="216" t="n">
        <v>1.166218996047974</v>
      </c>
      <c r="E10166" s="215" t="n">
        <v>46260</v>
      </c>
      <c r="F10166" s="215" t="n">
        <v>46260</v>
      </c>
    </row>
    <row r="10167">
      <c r="A10167" s="215" t="n">
        <v>46261</v>
      </c>
      <c r="B10167" s="216" t="n">
        <v>112.4</v>
      </c>
      <c r="C10167" s="216" t="n">
        <v>120.38</v>
      </c>
      <c r="D10167" s="216" t="n">
        <v>1.165971040725708</v>
      </c>
      <c r="E10167" s="215" t="n">
        <v>46261</v>
      </c>
      <c r="F10167" s="215" t="n">
        <v>46261</v>
      </c>
    </row>
    <row r="10168">
      <c r="A10168" s="215" t="n">
        <v>46262</v>
      </c>
      <c r="B10168" s="216" t="n">
        <v>112</v>
      </c>
      <c r="C10168" s="216" t="n">
        <v>120.81</v>
      </c>
      <c r="D10168" s="216" t="n">
        <v>1.165799975395203</v>
      </c>
      <c r="E10168" s="215" t="n">
        <v>46262</v>
      </c>
      <c r="F10168" s="215" t="n">
        <v>46262</v>
      </c>
    </row>
    <row r="10169">
      <c r="A10169" s="215" t="n">
        <v>46265</v>
      </c>
      <c r="B10169" s="216" t="n">
        <v>109</v>
      </c>
      <c r="C10169" s="216" t="n">
        <v>119.98</v>
      </c>
      <c r="D10169" s="216" t="n">
        <v>1.165387988090515</v>
      </c>
      <c r="E10169" s="215" t="n">
        <v>46265</v>
      </c>
      <c r="F10169" s="215" t="n">
        <v>46265</v>
      </c>
    </row>
    <row r="10170">
      <c r="A10170" s="215" t="n">
        <v>46266</v>
      </c>
      <c r="B10170" s="216" t="n">
        <v>110.4</v>
      </c>
      <c r="C10170" s="216" t="n">
        <v>122.73</v>
      </c>
      <c r="D10170" s="216" t="n">
        <v>1.165223956108093</v>
      </c>
      <c r="E10170" s="215" t="n">
        <v>46266</v>
      </c>
      <c r="F10170" s="215" t="n">
        <v>46266</v>
      </c>
    </row>
    <row r="10171">
      <c r="A10171" s="215" t="n">
        <v>46267</v>
      </c>
      <c r="B10171" s="216" t="n">
        <v>106.2</v>
      </c>
      <c r="C10171" s="216" t="n">
        <v>120.12</v>
      </c>
      <c r="D10171" s="216" t="n">
        <v>1.166425943374634</v>
      </c>
      <c r="E10171" s="215" t="n">
        <v>46267</v>
      </c>
      <c r="F10171" s="215" t="n">
        <v>46267</v>
      </c>
    </row>
    <row r="10172">
      <c r="A10172" s="215" t="n">
        <v>46268</v>
      </c>
      <c r="B10172" s="216" t="n">
        <v>102.6</v>
      </c>
      <c r="C10172" s="216" t="n">
        <v>118.92</v>
      </c>
      <c r="D10172" s="216" t="n">
        <v>1.167057037353516</v>
      </c>
      <c r="E10172" s="215" t="n">
        <v>46268</v>
      </c>
      <c r="F10172" s="215" t="n">
        <v>46268</v>
      </c>
    </row>
    <row r="10173">
      <c r="A10173" s="215" t="n">
        <v>46269</v>
      </c>
      <c r="B10173" s="216" t="n">
        <v>103.2</v>
      </c>
      <c r="C10173" s="216" t="n">
        <v>120.41</v>
      </c>
      <c r="D10173" s="216" t="n">
        <v>1.166767954826355</v>
      </c>
      <c r="E10173" s="215" t="n">
        <v>46269</v>
      </c>
      <c r="F10173" s="215" t="n">
        <v>46269</v>
      </c>
    </row>
    <row r="10174">
      <c r="A10174" s="215" t="n">
        <v>46272</v>
      </c>
      <c r="B10174" s="216" t="n">
        <v>104.6</v>
      </c>
      <c r="C10174" s="216" t="n">
        <v>121.98</v>
      </c>
      <c r="D10174" s="216" t="n">
        <v>1.168081045150757</v>
      </c>
      <c r="E10174" s="215" t="n">
        <v>46272</v>
      </c>
      <c r="F10174" s="215" t="n">
        <v>46272</v>
      </c>
    </row>
    <row r="10175">
      <c r="A10175" s="215" t="n">
        <v>46273</v>
      </c>
      <c r="B10175" s="216" t="n">
        <v>101.7</v>
      </c>
      <c r="C10175" s="216" t="n">
        <v>120.2</v>
      </c>
      <c r="D10175" s="216" t="n">
        <v>1.168115019798279</v>
      </c>
      <c r="E10175" s="215" t="n">
        <v>46273</v>
      </c>
      <c r="F10175" s="215" t="n">
        <v>46273</v>
      </c>
    </row>
    <row r="10176">
      <c r="A10176" s="215" t="n">
        <v>46274</v>
      </c>
      <c r="B10176" s="216" t="n">
        <v>102.2</v>
      </c>
      <c r="C10176" s="216" t="n">
        <v>117.25</v>
      </c>
      <c r="D10176" s="216" t="n">
        <v>1.168408989906311</v>
      </c>
      <c r="E10176" s="215" t="n">
        <v>46274</v>
      </c>
      <c r="F10176" s="215" t="n">
        <v>46274</v>
      </c>
    </row>
    <row r="10177">
      <c r="A10177" s="215" t="n">
        <v>46275</v>
      </c>
      <c r="B10177" s="216" t="n">
        <v>100.3</v>
      </c>
      <c r="C10177" s="216" t="n">
        <v>113.43</v>
      </c>
      <c r="D10177" s="216" t="n">
        <v>1.168462991714478</v>
      </c>
      <c r="E10177" s="215" t="n">
        <v>46275</v>
      </c>
      <c r="F10177" s="215" t="n">
        <v>46275</v>
      </c>
    </row>
    <row r="10178">
      <c r="A10178" s="215" t="n">
        <v>46276</v>
      </c>
      <c r="B10178" s="216" t="n">
        <v>101.2</v>
      </c>
      <c r="C10178" s="216" t="n">
        <v>112.77</v>
      </c>
      <c r="D10178" s="216" t="n">
        <v>1.169165015220642</v>
      </c>
      <c r="E10178" s="215" t="n">
        <v>46276</v>
      </c>
      <c r="F10178" s="215" t="n">
        <v>46276</v>
      </c>
    </row>
    <row r="10179">
      <c r="A10179" s="215" t="n">
        <v>46279</v>
      </c>
      <c r="B10179" s="216" t="n">
        <v>100</v>
      </c>
      <c r="C10179" s="216" t="n">
        <v>112.63</v>
      </c>
      <c r="D10179" s="216" t="n">
        <v>1.16893994808197</v>
      </c>
      <c r="E10179" s="215" t="n">
        <v>46279</v>
      </c>
      <c r="F10179" s="215" t="n">
        <v>46279</v>
      </c>
    </row>
    <row r="10180">
      <c r="A10180" s="215" t="n">
        <v>46280</v>
      </c>
      <c r="B10180" s="216" t="n">
        <v>100.5</v>
      </c>
      <c r="C10180" s="216" t="n">
        <v>111.53</v>
      </c>
      <c r="D10180" s="216" t="n">
        <v>1.169121026992798</v>
      </c>
      <c r="E10180" s="215" t="n">
        <v>46280</v>
      </c>
      <c r="F10180" s="215" t="n">
        <v>46280</v>
      </c>
    </row>
    <row r="10181">
      <c r="A10181" s="215" t="n">
        <v>46281</v>
      </c>
      <c r="B10181" s="216" t="n">
        <v>99.65000000000001</v>
      </c>
      <c r="C10181" s="216" t="n">
        <v>111.55</v>
      </c>
      <c r="D10181" s="216" t="n">
        <v>1.168769955635071</v>
      </c>
      <c r="E10181" s="215" t="n">
        <v>46281</v>
      </c>
      <c r="F10181" s="215" t="n">
        <v>46281</v>
      </c>
    </row>
    <row r="10182">
      <c r="A10182" s="215" t="n">
        <v>46282</v>
      </c>
      <c r="B10182" s="216" t="n">
        <v>96.2</v>
      </c>
      <c r="C10182" s="216" t="n">
        <v>110.84</v>
      </c>
      <c r="D10182" s="216" t="n">
        <v>1.169389963150024</v>
      </c>
      <c r="E10182" s="215" t="n">
        <v>46282</v>
      </c>
      <c r="F10182" s="215" t="n">
        <v>46282</v>
      </c>
    </row>
    <row r="10183">
      <c r="A10183" s="215" t="n">
        <v>46283</v>
      </c>
      <c r="B10183" s="216" t="n">
        <v>95</v>
      </c>
      <c r="C10183" s="216" t="n">
        <v>111.54</v>
      </c>
      <c r="D10183" s="216" t="n">
        <v>1.16942298412323</v>
      </c>
      <c r="E10183" s="215" t="n">
        <v>46283</v>
      </c>
      <c r="F10183" s="215" t="n">
        <v>46283</v>
      </c>
    </row>
    <row r="10184">
      <c r="A10184" s="215" t="n">
        <v>46286</v>
      </c>
      <c r="B10184" s="216" t="n">
        <v>95.75</v>
      </c>
      <c r="C10184" s="216" t="n">
        <v>113.18</v>
      </c>
      <c r="D10184" s="216" t="n">
        <v>1.171280026435852</v>
      </c>
      <c r="E10184" s="215" t="n">
        <v>46286</v>
      </c>
      <c r="F10184" s="215" t="n">
        <v>46286</v>
      </c>
    </row>
    <row r="10185">
      <c r="A10185" s="215" t="n">
        <v>46287</v>
      </c>
      <c r="B10185" s="216" t="n">
        <v>97.84999999999999</v>
      </c>
      <c r="C10185" s="216" t="n">
        <v>115.45</v>
      </c>
      <c r="D10185" s="216" t="n">
        <v>1.171705007553101</v>
      </c>
      <c r="E10185" s="215" t="n">
        <v>46287</v>
      </c>
      <c r="F10185" s="215" t="n">
        <v>46287</v>
      </c>
    </row>
    <row r="10186">
      <c r="A10186" s="215" t="n">
        <v>46288</v>
      </c>
      <c r="B10186" s="216" t="n">
        <v>96.34999999999999</v>
      </c>
      <c r="C10186" s="216" t="n">
        <v>114.45</v>
      </c>
      <c r="D10186" s="216" t="n">
        <v>1.170611023902893</v>
      </c>
      <c r="E10186" s="215" t="n">
        <v>46288</v>
      </c>
      <c r="F10186" s="215" t="n">
        <v>46288</v>
      </c>
    </row>
    <row r="10187">
      <c r="A10187" s="215" t="n">
        <v>46289</v>
      </c>
      <c r="B10187" s="216" t="n">
        <v>96.84999999999999</v>
      </c>
      <c r="C10187" s="216" t="n">
        <v>110.83</v>
      </c>
      <c r="D10187" s="216" t="n">
        <v>1.16852605342865</v>
      </c>
      <c r="E10187" s="215" t="n">
        <v>46289</v>
      </c>
      <c r="F10187" s="215" t="n">
        <v>46289</v>
      </c>
    </row>
    <row r="10188">
      <c r="A10188" s="215" t="n">
        <v>46290</v>
      </c>
      <c r="B10188" s="216" t="n">
        <v>94.2</v>
      </c>
      <c r="C10188" s="216" t="n">
        <v>110.83</v>
      </c>
      <c r="D10188" s="216" t="n">
        <v>1.168424010276794</v>
      </c>
      <c r="E10188" s="215" t="n">
        <v>46289</v>
      </c>
      <c r="F10188" s="215" t="n">
        <v>46290</v>
      </c>
    </row>
    <row r="10189">
      <c r="A10189" s="215" t="n">
        <v>46293</v>
      </c>
      <c r="B10189" s="216" t="n">
        <v>96.34999999999999</v>
      </c>
      <c r="C10189" s="216" t="n">
        <v>111.12</v>
      </c>
      <c r="D10189" s="216" t="n">
        <v>1.168378949165344</v>
      </c>
      <c r="E10189" s="215" t="n">
        <v>46293</v>
      </c>
      <c r="F10189" s="215" t="n">
        <v>46293</v>
      </c>
    </row>
    <row r="10190">
      <c r="A10190" s="215" t="n">
        <v>46294</v>
      </c>
      <c r="B10190" s="216" t="n">
        <v>94.2</v>
      </c>
      <c r="C10190" s="216" t="n">
        <v>110.19</v>
      </c>
      <c r="D10190" s="216" t="n">
        <v>1.168815970420837</v>
      </c>
      <c r="E10190" s="215" t="n">
        <v>46294</v>
      </c>
      <c r="F10190" s="215" t="n">
        <v>46294</v>
      </c>
    </row>
    <row r="10191">
      <c r="A10191" s="215" t="n">
        <v>46295</v>
      </c>
      <c r="B10191" s="216" t="n">
        <v>95.59999999999999</v>
      </c>
      <c r="C10191" s="216" t="n">
        <v>112.25</v>
      </c>
      <c r="D10191" s="216" t="n">
        <v>1.17059600353241</v>
      </c>
      <c r="E10191" s="215" t="n">
        <v>46295</v>
      </c>
      <c r="F10191" s="215" t="n">
        <v>46295</v>
      </c>
    </row>
    <row r="10192">
      <c r="A10192" s="215" t="n">
        <v>46297</v>
      </c>
      <c r="B10192" s="216" t="n">
        <v>94</v>
      </c>
      <c r="C10192" s="216" t="n">
        <v>112.25</v>
      </c>
      <c r="D10192" s="216" t="n">
        <v>1.170220971107483</v>
      </c>
      <c r="E10192" s="215" t="n">
        <v>46295</v>
      </c>
      <c r="F10192" s="215" t="n">
        <v>46297</v>
      </c>
    </row>
    <row r="10193">
      <c r="A10193" s="215" t="n">
        <v>45827</v>
      </c>
      <c r="B10193" s="216" t="n">
        <v>36.5</v>
      </c>
      <c r="C10193" s="216" t="n">
        <v>38.69</v>
      </c>
      <c r="D10193" s="216" t="n">
        <v>1.091722011566162</v>
      </c>
      <c r="E10193" s="215" t="n">
        <v>45827</v>
      </c>
      <c r="F10193" s="215" t="n">
        <v>45827</v>
      </c>
    </row>
    <row r="10194">
      <c r="A10194" s="215" t="n">
        <v>45828</v>
      </c>
      <c r="B10194" s="216" t="n">
        <v>35.75</v>
      </c>
      <c r="C10194" s="216" t="n">
        <v>38.51</v>
      </c>
      <c r="D10194" s="216" t="n">
        <v>1.091766953468323</v>
      </c>
      <c r="E10194" s="215" t="n">
        <v>45828</v>
      </c>
      <c r="F10194" s="215" t="n">
        <v>45828</v>
      </c>
    </row>
    <row r="10195">
      <c r="A10195" s="215" t="n">
        <v>45831</v>
      </c>
      <c r="B10195" s="216" t="n">
        <v>35</v>
      </c>
      <c r="C10195" s="216" t="n">
        <v>38.44</v>
      </c>
      <c r="D10195" s="216" t="n">
        <v>1.091856002807617</v>
      </c>
      <c r="E10195" s="215" t="n">
        <v>45831</v>
      </c>
      <c r="F10195" s="215" t="n">
        <v>45831</v>
      </c>
    </row>
    <row r="10196">
      <c r="A10196" s="215" t="n">
        <v>45832</v>
      </c>
      <c r="B10196" s="216" t="n">
        <v>36.5</v>
      </c>
      <c r="C10196" s="216" t="n">
        <v>38.98</v>
      </c>
      <c r="D10196" s="216" t="n">
        <v>1.093309044837952</v>
      </c>
      <c r="E10196" s="215" t="n">
        <v>45832</v>
      </c>
      <c r="F10196" s="215" t="n">
        <v>45832</v>
      </c>
    </row>
    <row r="10197">
      <c r="A10197" s="215" t="n">
        <v>45833</v>
      </c>
      <c r="B10197" s="216" t="n">
        <v>36.3</v>
      </c>
      <c r="C10197" s="216" t="n">
        <v>39.46</v>
      </c>
      <c r="D10197" s="216" t="n">
        <v>1.094483971595764</v>
      </c>
      <c r="E10197" s="215" t="n">
        <v>45833</v>
      </c>
      <c r="F10197" s="215" t="n">
        <v>45833</v>
      </c>
    </row>
    <row r="10198">
      <c r="A10198" s="215" t="n">
        <v>45834</v>
      </c>
      <c r="B10198" s="216" t="n">
        <v>35.05</v>
      </c>
      <c r="C10198" s="216" t="n">
        <v>38.95</v>
      </c>
      <c r="D10198" s="216" t="n">
        <v>1.093523025512695</v>
      </c>
      <c r="E10198" s="215" t="n">
        <v>45834</v>
      </c>
      <c r="F10198" s="215" t="n">
        <v>45834</v>
      </c>
    </row>
    <row r="10199">
      <c r="A10199" s="215" t="n">
        <v>45835</v>
      </c>
      <c r="B10199" s="216" t="n">
        <v>35.05</v>
      </c>
      <c r="C10199" s="216" t="n">
        <v>38.76</v>
      </c>
      <c r="D10199" s="216" t="n">
        <v>1.095173001289368</v>
      </c>
      <c r="E10199" s="215" t="n">
        <v>45835</v>
      </c>
      <c r="F10199" s="215" t="n">
        <v>45835</v>
      </c>
    </row>
    <row r="10200">
      <c r="A10200" s="215" t="n">
        <v>45838</v>
      </c>
      <c r="B10200" s="216" t="n">
        <v>35.05</v>
      </c>
      <c r="C10200" s="216" t="n">
        <v>38.91</v>
      </c>
      <c r="D10200" s="216" t="n">
        <v>1.094328045845032</v>
      </c>
      <c r="E10200" s="215" t="n">
        <v>45838</v>
      </c>
      <c r="F10200" s="215" t="n">
        <v>45838</v>
      </c>
    </row>
    <row r="10201">
      <c r="A10201" s="215" t="n">
        <v>45840</v>
      </c>
      <c r="B10201" s="216" t="n">
        <v>35.05</v>
      </c>
      <c r="C10201" s="216" t="n">
        <v>38.9</v>
      </c>
      <c r="D10201" s="216" t="n">
        <v>1.095211982727051</v>
      </c>
      <c r="E10201" s="215" t="n">
        <v>45840</v>
      </c>
      <c r="F10201" s="215" t="n">
        <v>45840</v>
      </c>
    </row>
    <row r="10202">
      <c r="A10202" s="215" t="n">
        <v>45841</v>
      </c>
      <c r="B10202" s="216" t="n">
        <v>34.8</v>
      </c>
      <c r="C10202" s="216" t="n">
        <v>38.92</v>
      </c>
      <c r="D10202" s="216" t="n">
        <v>1.095422029495239</v>
      </c>
      <c r="E10202" s="215" t="n">
        <v>45841</v>
      </c>
      <c r="F10202" s="215" t="n">
        <v>45841</v>
      </c>
    </row>
    <row r="10203">
      <c r="A10203" s="215" t="n">
        <v>45842</v>
      </c>
      <c r="B10203" s="216" t="n">
        <v>34.9</v>
      </c>
      <c r="C10203" s="216" t="n">
        <v>38.86</v>
      </c>
      <c r="D10203" s="216" t="n">
        <v>1.095221042633057</v>
      </c>
      <c r="E10203" s="215" t="n">
        <v>45842</v>
      </c>
      <c r="F10203" s="215" t="n">
        <v>45842</v>
      </c>
    </row>
    <row r="10204">
      <c r="A10204" s="215" t="n">
        <v>45845</v>
      </c>
      <c r="B10204" s="216" t="n">
        <v>35.75</v>
      </c>
      <c r="C10204" s="216" t="n">
        <v>38.6</v>
      </c>
      <c r="D10204" s="216" t="n">
        <v>1.095430970191956</v>
      </c>
      <c r="E10204" s="215" t="n">
        <v>45845</v>
      </c>
      <c r="F10204" s="215" t="n">
        <v>45845</v>
      </c>
    </row>
    <row r="10205">
      <c r="A10205" s="215" t="n">
        <v>45846</v>
      </c>
      <c r="B10205" s="216" t="n">
        <v>36</v>
      </c>
      <c r="C10205" s="216" t="n">
        <v>38.88</v>
      </c>
      <c r="D10205" s="216" t="n">
        <v>1.093924999237061</v>
      </c>
      <c r="E10205" s="215" t="n">
        <v>45846</v>
      </c>
      <c r="F10205" s="215" t="n">
        <v>45846</v>
      </c>
    </row>
    <row r="10206">
      <c r="A10206" s="215" t="n">
        <v>45847</v>
      </c>
      <c r="B10206" s="216" t="n">
        <v>36</v>
      </c>
      <c r="C10206" s="216" t="n">
        <v>38.6</v>
      </c>
      <c r="D10206" s="216" t="n">
        <v>1.094220995903015</v>
      </c>
      <c r="E10206" s="215" t="n">
        <v>45847</v>
      </c>
      <c r="F10206" s="215" t="n">
        <v>45847</v>
      </c>
    </row>
    <row r="10207">
      <c r="A10207" s="215" t="n">
        <v>45848</v>
      </c>
      <c r="B10207" s="216" t="n">
        <v>35.9</v>
      </c>
      <c r="C10207" s="216" t="n">
        <v>38.69</v>
      </c>
      <c r="D10207" s="216" t="n">
        <v>1.093220949172974</v>
      </c>
      <c r="E10207" s="215" t="n">
        <v>45848</v>
      </c>
      <c r="F10207" s="215" t="n">
        <v>45848</v>
      </c>
    </row>
    <row r="10208">
      <c r="A10208" s="215" t="n">
        <v>45849</v>
      </c>
      <c r="B10208" s="216" t="n">
        <v>36.15</v>
      </c>
      <c r="C10208" s="216" t="n">
        <v>38.69</v>
      </c>
      <c r="D10208" s="216" t="n">
        <v>1.093930959701538</v>
      </c>
      <c r="E10208" s="215" t="n">
        <v>45849</v>
      </c>
      <c r="F10208" s="215" t="n">
        <v>45849</v>
      </c>
    </row>
    <row r="10209">
      <c r="A10209" s="215" t="n">
        <v>45852</v>
      </c>
      <c r="B10209" s="216" t="n">
        <v>36.35</v>
      </c>
      <c r="C10209" s="216" t="n">
        <v>38.52</v>
      </c>
      <c r="D10209" s="216" t="n">
        <v>1.095023989677429</v>
      </c>
      <c r="E10209" s="215" t="n">
        <v>45852</v>
      </c>
      <c r="F10209" s="215" t="n">
        <v>45852</v>
      </c>
    </row>
    <row r="10210">
      <c r="A10210" s="215" t="n">
        <v>45853</v>
      </c>
      <c r="B10210" s="216" t="n">
        <v>36.3</v>
      </c>
      <c r="C10210" s="216" t="n">
        <v>38.39</v>
      </c>
      <c r="D10210" s="216" t="n">
        <v>1.095172047615051</v>
      </c>
      <c r="E10210" s="215" t="n">
        <v>45853</v>
      </c>
      <c r="F10210" s="215" t="n">
        <v>45853</v>
      </c>
    </row>
    <row r="10211">
      <c r="A10211" s="215" t="n">
        <v>45854</v>
      </c>
      <c r="B10211" s="216" t="n">
        <v>36.4</v>
      </c>
      <c r="C10211" s="216" t="n">
        <v>38.38</v>
      </c>
      <c r="D10211" s="216" t="n">
        <v>1.094182014465332</v>
      </c>
      <c r="E10211" s="215" t="n">
        <v>45854</v>
      </c>
      <c r="F10211" s="215" t="n">
        <v>45854</v>
      </c>
    </row>
    <row r="10212">
      <c r="A10212" s="215" t="n">
        <v>45855</v>
      </c>
      <c r="B10212" s="216" t="n">
        <v>35.5</v>
      </c>
      <c r="C10212" s="216" t="n">
        <v>38.52</v>
      </c>
      <c r="D10212" s="216" t="n">
        <v>1.093484044075012</v>
      </c>
      <c r="E10212" s="215" t="n">
        <v>45855</v>
      </c>
      <c r="F10212" s="215" t="n">
        <v>45855</v>
      </c>
    </row>
    <row r="10213">
      <c r="A10213" s="215" t="n">
        <v>45856</v>
      </c>
      <c r="B10213" s="216" t="n">
        <v>35.7</v>
      </c>
      <c r="C10213" s="216" t="n">
        <v>38.8</v>
      </c>
      <c r="D10213" s="216" t="n">
        <v>1.092442035675049</v>
      </c>
      <c r="E10213" s="215" t="n">
        <v>45856</v>
      </c>
      <c r="F10213" s="215" t="n">
        <v>45856</v>
      </c>
    </row>
    <row r="10214">
      <c r="A10214" s="215" t="n">
        <v>45859</v>
      </c>
      <c r="B10214" s="216" t="n">
        <v>35.7</v>
      </c>
      <c r="C10214" s="216" t="n">
        <v>38.9</v>
      </c>
      <c r="D10214" s="216" t="n">
        <v>1.093299984931946</v>
      </c>
      <c r="E10214" s="215" t="n">
        <v>45859</v>
      </c>
      <c r="F10214" s="215" t="n">
        <v>45859</v>
      </c>
    </row>
    <row r="10215">
      <c r="A10215" s="215" t="n">
        <v>45860</v>
      </c>
      <c r="B10215" s="216" t="n">
        <v>35.9</v>
      </c>
      <c r="C10215" s="216" t="n">
        <v>39.5</v>
      </c>
      <c r="D10215" s="216" t="n">
        <v>1.093826055526733</v>
      </c>
      <c r="E10215" s="215" t="n">
        <v>45860</v>
      </c>
      <c r="F10215" s="215" t="n">
        <v>45860</v>
      </c>
    </row>
    <row r="10216">
      <c r="A10216" s="215" t="n">
        <v>45861</v>
      </c>
      <c r="B10216" s="216" t="n">
        <v>35.2</v>
      </c>
      <c r="C10216" s="216" t="n">
        <v>39.43</v>
      </c>
      <c r="D10216" s="216" t="n">
        <v>1.094056010246277</v>
      </c>
      <c r="E10216" s="215" t="n">
        <v>45861</v>
      </c>
      <c r="F10216" s="215" t="n">
        <v>45861</v>
      </c>
    </row>
    <row r="10217">
      <c r="A10217" s="215" t="n">
        <v>45862</v>
      </c>
      <c r="B10217" s="216" t="n">
        <v>35.95</v>
      </c>
      <c r="C10217" s="216" t="n">
        <v>39.91</v>
      </c>
      <c r="D10217" s="216" t="n">
        <v>1.096284031867981</v>
      </c>
      <c r="E10217" s="215" t="n">
        <v>45862</v>
      </c>
      <c r="F10217" s="215" t="n">
        <v>45862</v>
      </c>
    </row>
    <row r="10218">
      <c r="A10218" s="215" t="n">
        <v>45863</v>
      </c>
      <c r="B10218" s="216" t="n">
        <v>35.85</v>
      </c>
      <c r="C10218" s="216" t="n">
        <v>39.32</v>
      </c>
      <c r="D10218" s="216" t="n">
        <v>1.097048044204712</v>
      </c>
      <c r="E10218" s="215" t="n">
        <v>45863</v>
      </c>
      <c r="F10218" s="215" t="n">
        <v>45863</v>
      </c>
    </row>
    <row r="10219">
      <c r="A10219" s="215" t="n">
        <v>45866</v>
      </c>
      <c r="B10219" s="216" t="n">
        <v>35.4</v>
      </c>
      <c r="C10219" s="216" t="n">
        <v>39.05</v>
      </c>
      <c r="D10219" s="216" t="n">
        <v>1.097200989723206</v>
      </c>
      <c r="E10219" s="215" t="n">
        <v>45866</v>
      </c>
      <c r="F10219" s="215" t="n">
        <v>45866</v>
      </c>
    </row>
    <row r="10220">
      <c r="A10220" s="215" t="n">
        <v>45867</v>
      </c>
      <c r="B10220" s="216" t="n">
        <v>35.1</v>
      </c>
      <c r="C10220" s="216" t="n">
        <v>38.87</v>
      </c>
      <c r="D10220" s="216" t="n">
        <v>1.093530058860779</v>
      </c>
      <c r="E10220" s="215" t="n">
        <v>45867</v>
      </c>
      <c r="F10220" s="215" t="n">
        <v>45867</v>
      </c>
    </row>
    <row r="10221">
      <c r="A10221" s="215" t="n">
        <v>45868</v>
      </c>
      <c r="B10221" s="216" t="n">
        <v>35.5</v>
      </c>
      <c r="C10221" s="216" t="n">
        <v>39.2</v>
      </c>
      <c r="D10221" s="216" t="n">
        <v>1.093464970588684</v>
      </c>
      <c r="E10221" s="215" t="n">
        <v>45868</v>
      </c>
      <c r="F10221" s="215" t="n">
        <v>45868</v>
      </c>
    </row>
    <row r="10222">
      <c r="A10222" s="215" t="n">
        <v>45869</v>
      </c>
      <c r="B10222" s="216" t="n">
        <v>34.2</v>
      </c>
      <c r="C10222" s="216" t="n">
        <v>38.35</v>
      </c>
      <c r="D10222" s="216" t="n">
        <v>1.093583941459656</v>
      </c>
      <c r="E10222" s="215" t="n">
        <v>45869</v>
      </c>
      <c r="F10222" s="215" t="n">
        <v>45869</v>
      </c>
    </row>
    <row r="10223">
      <c r="A10223" s="215" t="n">
        <v>45870</v>
      </c>
      <c r="B10223" s="216" t="n">
        <v>34</v>
      </c>
      <c r="C10223" s="216" t="n">
        <v>38.09</v>
      </c>
      <c r="D10223" s="216" t="n">
        <v>1.090090990066528</v>
      </c>
      <c r="E10223" s="215" t="n">
        <v>45870</v>
      </c>
      <c r="F10223" s="215" t="n">
        <v>45870</v>
      </c>
    </row>
    <row r="10224">
      <c r="A10224" s="215" t="n">
        <v>45873</v>
      </c>
      <c r="B10224" s="216" t="n">
        <v>33.94</v>
      </c>
      <c r="C10224" s="216" t="n">
        <v>38.26</v>
      </c>
      <c r="D10224" s="216" t="n">
        <v>1.088384985923767</v>
      </c>
      <c r="E10224" s="215" t="n">
        <v>45873</v>
      </c>
      <c r="F10224" s="215" t="n">
        <v>45873</v>
      </c>
    </row>
    <row r="10225">
      <c r="A10225" s="215" t="n">
        <v>45874</v>
      </c>
      <c r="B10225" s="216" t="n">
        <v>33.36</v>
      </c>
      <c r="C10225" s="216" t="n">
        <v>38.4</v>
      </c>
      <c r="D10225" s="216" t="n">
        <v>1.093202948570251</v>
      </c>
      <c r="E10225" s="215" t="n">
        <v>45874</v>
      </c>
      <c r="F10225" s="215" t="n">
        <v>45874</v>
      </c>
    </row>
    <row r="10226">
      <c r="A10226" s="215" t="n">
        <v>45875</v>
      </c>
      <c r="B10226" s="216" t="n">
        <v>33.28</v>
      </c>
      <c r="C10226" s="216" t="n">
        <v>38.35</v>
      </c>
      <c r="D10226" s="216" t="n">
        <v>1.092388987541199</v>
      </c>
      <c r="E10226" s="215" t="n">
        <v>45875</v>
      </c>
      <c r="F10226" s="215" t="n">
        <v>45875</v>
      </c>
    </row>
    <row r="10227">
      <c r="A10227" s="215" t="n">
        <v>45876</v>
      </c>
      <c r="B10227" s="216" t="n">
        <v>33.3</v>
      </c>
      <c r="C10227" s="216" t="n">
        <v>38.35</v>
      </c>
      <c r="D10227" s="216" t="n">
        <v>1.092599034309387</v>
      </c>
      <c r="E10227" s="215" t="n">
        <v>45876</v>
      </c>
      <c r="F10227" s="215" t="n">
        <v>45876</v>
      </c>
    </row>
    <row r="10228">
      <c r="A10228" s="215" t="n">
        <v>45877</v>
      </c>
      <c r="B10228" s="216" t="n">
        <v>33.72</v>
      </c>
      <c r="C10228" s="216" t="n">
        <v>38.26</v>
      </c>
      <c r="D10228" s="216" t="n">
        <v>1.092857956886292</v>
      </c>
      <c r="E10228" s="215" t="n">
        <v>45877</v>
      </c>
      <c r="F10228" s="215" t="n">
        <v>45877</v>
      </c>
    </row>
    <row r="10229">
      <c r="A10229" s="215" t="n">
        <v>45880</v>
      </c>
      <c r="B10229" s="216" t="n">
        <v>33.56</v>
      </c>
      <c r="C10229" s="216" t="n">
        <v>38.49</v>
      </c>
      <c r="D10229" s="216" t="n">
        <v>1.093001961708069</v>
      </c>
      <c r="E10229" s="215" t="n">
        <v>45880</v>
      </c>
      <c r="F10229" s="215" t="n">
        <v>45880</v>
      </c>
    </row>
    <row r="10230">
      <c r="A10230" s="215" t="n">
        <v>45881</v>
      </c>
      <c r="B10230" s="216" t="n">
        <v>33.6</v>
      </c>
      <c r="C10230" s="216" t="n">
        <v>38.56</v>
      </c>
      <c r="D10230" s="216" t="n">
        <v>1.091938018798828</v>
      </c>
      <c r="E10230" s="215" t="n">
        <v>45881</v>
      </c>
      <c r="F10230" s="215" t="n">
        <v>45881</v>
      </c>
    </row>
    <row r="10231">
      <c r="A10231" s="215" t="n">
        <v>45882</v>
      </c>
      <c r="B10231" s="216" t="n">
        <v>33.78</v>
      </c>
      <c r="C10231" s="216" t="n">
        <v>38.59</v>
      </c>
      <c r="D10231" s="216" t="n">
        <v>1.093171000480652</v>
      </c>
      <c r="E10231" s="215" t="n">
        <v>45882</v>
      </c>
      <c r="F10231" s="215" t="n">
        <v>45882</v>
      </c>
    </row>
    <row r="10232">
      <c r="A10232" s="215" t="n">
        <v>45883</v>
      </c>
      <c r="B10232" s="216" t="n">
        <v>33.58</v>
      </c>
      <c r="C10232" s="216" t="n">
        <v>38.77</v>
      </c>
      <c r="D10232" s="216" t="n">
        <v>1.093981027603149</v>
      </c>
      <c r="E10232" s="215" t="n">
        <v>45883</v>
      </c>
      <c r="F10232" s="215" t="n">
        <v>45883</v>
      </c>
    </row>
    <row r="10233">
      <c r="A10233" s="215" t="n">
        <v>45884</v>
      </c>
      <c r="B10233" s="216" t="n">
        <v>33.72</v>
      </c>
      <c r="C10233" s="216" t="n">
        <v>38.89</v>
      </c>
      <c r="D10233" s="216" t="n">
        <v>1.091035962104797</v>
      </c>
      <c r="E10233" s="215" t="n">
        <v>45884</v>
      </c>
      <c r="F10233" s="215" t="n">
        <v>45884</v>
      </c>
    </row>
    <row r="10234">
      <c r="A10234" s="215" t="n">
        <v>45887</v>
      </c>
      <c r="B10234" s="216" t="n">
        <v>34.34</v>
      </c>
      <c r="C10234" s="216" t="n">
        <v>39.32</v>
      </c>
      <c r="D10234" s="216" t="n">
        <v>1.089409947395325</v>
      </c>
      <c r="E10234" s="215" t="n">
        <v>45887</v>
      </c>
      <c r="F10234" s="215" t="n">
        <v>45887</v>
      </c>
    </row>
    <row r="10235">
      <c r="A10235" s="215" t="n">
        <v>45888</v>
      </c>
      <c r="B10235" s="216" t="n">
        <v>34.5</v>
      </c>
      <c r="C10235" s="216" t="n">
        <v>39.26</v>
      </c>
      <c r="D10235" s="216" t="n">
        <v>1.088366031646729</v>
      </c>
      <c r="E10235" s="215" t="n">
        <v>45888</v>
      </c>
      <c r="F10235" s="215" t="n">
        <v>45888</v>
      </c>
    </row>
    <row r="10236">
      <c r="A10236" s="215" t="n">
        <v>45889</v>
      </c>
      <c r="B10236" s="216" t="n">
        <v>34.5</v>
      </c>
      <c r="C10236" s="216" t="n">
        <v>39.49</v>
      </c>
      <c r="D10236" s="216" t="n">
        <v>1.085826992988586</v>
      </c>
      <c r="E10236" s="215" t="n">
        <v>45889</v>
      </c>
      <c r="F10236" s="215" t="n">
        <v>45889</v>
      </c>
    </row>
    <row r="10237">
      <c r="A10237" s="215" t="n">
        <v>45890</v>
      </c>
      <c r="B10237" s="216" t="n">
        <v>34.38</v>
      </c>
      <c r="C10237" s="216" t="n">
        <v>39.75</v>
      </c>
      <c r="D10237" s="216" t="n">
        <v>1.088521003723145</v>
      </c>
      <c r="E10237" s="215" t="n">
        <v>45890</v>
      </c>
      <c r="F10237" s="215" t="n">
        <v>45890</v>
      </c>
    </row>
    <row r="10238">
      <c r="A10238" s="215" t="n">
        <v>45891</v>
      </c>
      <c r="B10238" s="216" t="n">
        <v>34.22</v>
      </c>
      <c r="C10238" s="216" t="n">
        <v>39.85</v>
      </c>
      <c r="D10238" s="216" t="n">
        <v>1.08814001083374</v>
      </c>
      <c r="E10238" s="215" t="n">
        <v>45891</v>
      </c>
      <c r="F10238" s="215" t="n">
        <v>45891</v>
      </c>
    </row>
    <row r="10239">
      <c r="A10239" s="215" t="n">
        <v>45894</v>
      </c>
      <c r="B10239" s="216" t="n">
        <v>34.92</v>
      </c>
      <c r="C10239" s="216" t="n">
        <v>41.1</v>
      </c>
      <c r="D10239" s="216" t="n">
        <v>1.090230941772461</v>
      </c>
      <c r="E10239" s="215" t="n">
        <v>45894</v>
      </c>
      <c r="F10239" s="215" t="n">
        <v>45894</v>
      </c>
    </row>
    <row r="10240">
      <c r="A10240" s="215" t="n">
        <v>45895</v>
      </c>
      <c r="B10240" s="216" t="n">
        <v>34.72</v>
      </c>
      <c r="C10240" s="216" t="n">
        <v>41.07</v>
      </c>
      <c r="D10240" s="216" t="n">
        <v>1.09236204624176</v>
      </c>
      <c r="E10240" s="215" t="n">
        <v>45895</v>
      </c>
      <c r="F10240" s="215" t="n">
        <v>45895</v>
      </c>
    </row>
    <row r="10241">
      <c r="A10241" s="215" t="n">
        <v>45896</v>
      </c>
      <c r="B10241" s="216" t="n">
        <v>34.26</v>
      </c>
      <c r="C10241" s="216" t="n">
        <v>40.4</v>
      </c>
      <c r="D10241" s="216" t="n">
        <v>1.089414000511169</v>
      </c>
      <c r="E10241" s="215" t="n">
        <v>45896</v>
      </c>
      <c r="F10241" s="215" t="n">
        <v>45896</v>
      </c>
    </row>
    <row r="10242">
      <c r="A10242" s="215" t="n">
        <v>45897</v>
      </c>
      <c r="B10242" s="216" t="n">
        <v>34.16</v>
      </c>
      <c r="C10242" s="216" t="n">
        <v>40.08</v>
      </c>
      <c r="D10242" s="216" t="n">
        <v>1.088047027587891</v>
      </c>
      <c r="E10242" s="215" t="n">
        <v>45897</v>
      </c>
      <c r="F10242" s="215" t="n">
        <v>45897</v>
      </c>
    </row>
    <row r="10243">
      <c r="A10243" s="215" t="n">
        <v>45898</v>
      </c>
      <c r="B10243" s="216" t="n">
        <v>35.96</v>
      </c>
      <c r="C10243" s="216" t="n">
        <v>41.44</v>
      </c>
      <c r="D10243" s="216" t="n">
        <v>1.089478969573975</v>
      </c>
      <c r="E10243" s="215" t="n">
        <v>45898</v>
      </c>
      <c r="F10243" s="215" t="n">
        <v>45898</v>
      </c>
    </row>
    <row r="10244">
      <c r="A10244" s="215" t="n">
        <v>45901</v>
      </c>
      <c r="B10244" s="216" t="n">
        <v>35</v>
      </c>
      <c r="C10244" s="216" t="n">
        <v>41.22</v>
      </c>
      <c r="D10244" s="216" t="n">
        <v>1.09319794178009</v>
      </c>
      <c r="E10244" s="215" t="n">
        <v>45901</v>
      </c>
      <c r="F10244" s="215" t="n">
        <v>45901</v>
      </c>
    </row>
    <row r="10245">
      <c r="A10245" s="215" t="n">
        <v>45902</v>
      </c>
      <c r="B10245" s="216" t="n">
        <v>35.64</v>
      </c>
      <c r="C10245" s="216" t="n">
        <v>40.94</v>
      </c>
      <c r="D10245" s="216" t="n">
        <v>1.093255043029785</v>
      </c>
      <c r="E10245" s="215" t="n">
        <v>45902</v>
      </c>
      <c r="F10245" s="215" t="n">
        <v>45902</v>
      </c>
    </row>
    <row r="10246">
      <c r="A10246" s="215" t="n">
        <v>45903</v>
      </c>
      <c r="B10246" s="216" t="n">
        <v>34.82</v>
      </c>
      <c r="C10246" s="216" t="n">
        <v>40.18</v>
      </c>
      <c r="D10246" s="216" t="n">
        <v>1.09343695640564</v>
      </c>
      <c r="E10246" s="215" t="n">
        <v>45903</v>
      </c>
      <c r="F10246" s="215" t="n">
        <v>45903</v>
      </c>
    </row>
    <row r="10247">
      <c r="A10247" s="215" t="n">
        <v>45904</v>
      </c>
      <c r="B10247" s="216" t="n">
        <v>34.46</v>
      </c>
      <c r="C10247" s="216" t="n">
        <v>40.42</v>
      </c>
      <c r="D10247" s="216" t="n">
        <v>1.092192053794861</v>
      </c>
      <c r="E10247" s="215" t="n">
        <v>45904</v>
      </c>
      <c r="F10247" s="215" t="n">
        <v>45904</v>
      </c>
    </row>
    <row r="10248">
      <c r="A10248" s="215" t="n">
        <v>45905</v>
      </c>
      <c r="B10248" s="216" t="n">
        <v>34.54</v>
      </c>
      <c r="C10248" s="216" t="n">
        <v>40.44</v>
      </c>
      <c r="D10248" s="216" t="n">
        <v>1.092169046401978</v>
      </c>
      <c r="E10248" s="215" t="n">
        <v>45905</v>
      </c>
      <c r="F10248" s="215" t="n">
        <v>45905</v>
      </c>
    </row>
    <row r="10249">
      <c r="A10249" s="215" t="n">
        <v>45908</v>
      </c>
      <c r="B10249" s="216" t="n">
        <v>34.98</v>
      </c>
      <c r="C10249" s="216" t="n">
        <v>41.17</v>
      </c>
      <c r="D10249" s="216" t="n">
        <v>1.093217015266418</v>
      </c>
      <c r="E10249" s="215" t="n">
        <v>45908</v>
      </c>
      <c r="F10249" s="215" t="n">
        <v>45908</v>
      </c>
    </row>
    <row r="10250">
      <c r="A10250" s="215" t="n">
        <v>45909</v>
      </c>
      <c r="B10250" s="216" t="n">
        <v>34.9</v>
      </c>
      <c r="C10250" s="216" t="n">
        <v>41.33</v>
      </c>
      <c r="D10250" s="216" t="n">
        <v>1.092916965484619</v>
      </c>
      <c r="E10250" s="215" t="n">
        <v>45909</v>
      </c>
      <c r="F10250" s="215" t="n">
        <v>45909</v>
      </c>
    </row>
    <row r="10251">
      <c r="A10251" s="215" t="n">
        <v>45910</v>
      </c>
      <c r="B10251" s="216" t="n">
        <v>35.1</v>
      </c>
      <c r="C10251" s="216" t="n">
        <v>40.95</v>
      </c>
      <c r="D10251" s="216" t="n">
        <v>1.093482971191406</v>
      </c>
      <c r="E10251" s="215" t="n">
        <v>45910</v>
      </c>
      <c r="F10251" s="215" t="n">
        <v>45910</v>
      </c>
    </row>
    <row r="10252">
      <c r="A10252" s="215" t="n">
        <v>45911</v>
      </c>
      <c r="B10252" s="216" t="n">
        <v>34.88</v>
      </c>
      <c r="C10252" s="216" t="n">
        <v>41.29</v>
      </c>
      <c r="D10252" s="216" t="n">
        <v>1.093762993812561</v>
      </c>
      <c r="E10252" s="215" t="n">
        <v>45911</v>
      </c>
      <c r="F10252" s="215" t="n">
        <v>45911</v>
      </c>
    </row>
    <row r="10253">
      <c r="A10253" s="215" t="n">
        <v>45912</v>
      </c>
      <c r="B10253" s="216" t="n">
        <v>34.72</v>
      </c>
      <c r="C10253" s="216" t="n">
        <v>40.65</v>
      </c>
      <c r="D10253" s="216" t="n">
        <v>1.094014048576355</v>
      </c>
      <c r="E10253" s="215" t="n">
        <v>45912</v>
      </c>
      <c r="F10253" s="215" t="n">
        <v>45912</v>
      </c>
    </row>
    <row r="10254">
      <c r="A10254" s="215" t="n">
        <v>45915</v>
      </c>
      <c r="B10254" s="216" t="n">
        <v>34.6</v>
      </c>
      <c r="C10254" s="216" t="n">
        <v>40.84</v>
      </c>
      <c r="D10254" s="216" t="n">
        <v>1.091848969459534</v>
      </c>
      <c r="E10254" s="215" t="n">
        <v>45915</v>
      </c>
      <c r="F10254" s="215" t="n">
        <v>45915</v>
      </c>
    </row>
    <row r="10255">
      <c r="A10255" s="215" t="n">
        <v>45916</v>
      </c>
      <c r="B10255" s="216" t="n">
        <v>34.46</v>
      </c>
      <c r="C10255" s="216" t="n">
        <v>40.33</v>
      </c>
      <c r="D10255" s="216" t="n">
        <v>1.092795968055725</v>
      </c>
      <c r="E10255" s="215" t="n">
        <v>45916</v>
      </c>
      <c r="F10255" s="215" t="n">
        <v>45916</v>
      </c>
    </row>
    <row r="10256">
      <c r="A10256" s="215" t="n">
        <v>45917</v>
      </c>
      <c r="B10256" s="216" t="n">
        <v>33.94</v>
      </c>
      <c r="C10256" s="216" t="n">
        <v>40.29</v>
      </c>
      <c r="D10256" s="216" t="n">
        <v>1.093690991401672</v>
      </c>
      <c r="E10256" s="215" t="n">
        <v>45917</v>
      </c>
      <c r="F10256" s="215" t="n">
        <v>45917</v>
      </c>
    </row>
    <row r="10257">
      <c r="A10257" s="215" t="n">
        <v>45918</v>
      </c>
      <c r="B10257" s="216" t="n">
        <v>33.5</v>
      </c>
      <c r="C10257" s="216" t="n">
        <v>39.79</v>
      </c>
      <c r="D10257" s="216" t="n">
        <v>1.094727993011475</v>
      </c>
      <c r="E10257" s="215" t="n">
        <v>45918</v>
      </c>
      <c r="F10257" s="215" t="n">
        <v>45918</v>
      </c>
    </row>
    <row r="10258">
      <c r="A10258" s="215" t="n">
        <v>45919</v>
      </c>
      <c r="B10258" s="216" t="n">
        <v>33.34</v>
      </c>
      <c r="C10258" s="216" t="n">
        <v>39.8</v>
      </c>
      <c r="D10258" s="216" t="n">
        <v>1.093201994895935</v>
      </c>
      <c r="E10258" s="215" t="n">
        <v>45919</v>
      </c>
      <c r="F10258" s="215" t="n">
        <v>45919</v>
      </c>
    </row>
    <row r="10259">
      <c r="A10259" s="215" t="n">
        <v>45922</v>
      </c>
      <c r="B10259" s="216" t="n">
        <v>33</v>
      </c>
      <c r="C10259" s="216" t="n">
        <v>39.51</v>
      </c>
      <c r="D10259" s="216" t="n">
        <v>1.092589020729065</v>
      </c>
      <c r="E10259" s="215" t="n">
        <v>45922</v>
      </c>
      <c r="F10259" s="215" t="n">
        <v>45922</v>
      </c>
    </row>
    <row r="10260">
      <c r="A10260" s="215" t="n">
        <v>45923</v>
      </c>
      <c r="B10260" s="216" t="n">
        <v>32.82</v>
      </c>
      <c r="C10260" s="216" t="n">
        <v>39.3</v>
      </c>
      <c r="D10260" s="216" t="n">
        <v>1.0920250415802</v>
      </c>
      <c r="E10260" s="215" t="n">
        <v>45923</v>
      </c>
      <c r="F10260" s="215" t="n">
        <v>45923</v>
      </c>
    </row>
    <row r="10261">
      <c r="A10261" s="215" t="n">
        <v>45924</v>
      </c>
      <c r="B10261" s="216" t="n">
        <v>32.82</v>
      </c>
      <c r="C10261" s="216" t="n">
        <v>38.8</v>
      </c>
      <c r="D10261" s="216" t="n">
        <v>1.093196988105774</v>
      </c>
      <c r="E10261" s="215" t="n">
        <v>45924</v>
      </c>
      <c r="F10261" s="215" t="n">
        <v>45924</v>
      </c>
    </row>
    <row r="10262">
      <c r="A10262" s="215" t="n">
        <v>45925</v>
      </c>
      <c r="B10262" s="216" t="n">
        <v>32.3</v>
      </c>
      <c r="C10262" s="216" t="n">
        <v>38.6</v>
      </c>
      <c r="D10262" s="216" t="n">
        <v>1.090371012687683</v>
      </c>
      <c r="E10262" s="215" t="n">
        <v>45925</v>
      </c>
      <c r="F10262" s="215" t="n">
        <v>45925</v>
      </c>
    </row>
    <row r="10263">
      <c r="A10263" s="215" t="n">
        <v>45926</v>
      </c>
      <c r="B10263" s="216" t="n">
        <v>32.66</v>
      </c>
      <c r="C10263" s="216" t="n">
        <v>38.8</v>
      </c>
      <c r="D10263" s="216" t="n">
        <v>1.090574979782104</v>
      </c>
      <c r="E10263" s="215" t="n">
        <v>45926</v>
      </c>
      <c r="F10263" s="215" t="n">
        <v>45926</v>
      </c>
    </row>
    <row r="10264">
      <c r="A10264" s="215" t="n">
        <v>45929</v>
      </c>
      <c r="B10264" s="216" t="n">
        <v>32.9</v>
      </c>
      <c r="C10264" s="216" t="n">
        <v>38.88</v>
      </c>
      <c r="D10264" s="216" t="n">
        <v>1.090520024299622</v>
      </c>
      <c r="E10264" s="215" t="n">
        <v>45929</v>
      </c>
      <c r="F10264" s="215" t="n">
        <v>45929</v>
      </c>
    </row>
    <row r="10265">
      <c r="A10265" s="215" t="n">
        <v>45930</v>
      </c>
      <c r="B10265" s="216" t="n">
        <v>33.36</v>
      </c>
      <c r="C10265" s="216" t="n">
        <v>38.96</v>
      </c>
      <c r="D10265" s="216" t="n">
        <v>1.093106031417847</v>
      </c>
      <c r="E10265" s="215" t="n">
        <v>45930</v>
      </c>
      <c r="F10265" s="215" t="n">
        <v>45930</v>
      </c>
    </row>
    <row r="10266">
      <c r="A10266" s="215" t="n">
        <v>45932</v>
      </c>
      <c r="B10266" s="216" t="n">
        <v>32.7</v>
      </c>
      <c r="C10266" s="216" t="n">
        <v>38.96</v>
      </c>
      <c r="D10266" s="216" t="n">
        <v>1.092823028564453</v>
      </c>
      <c r="E10266" s="215" t="n">
        <v>45930</v>
      </c>
      <c r="F10266" s="215" t="n">
        <v>45932</v>
      </c>
    </row>
    <row r="10267">
      <c r="A10267" s="215" t="n">
        <v>45933</v>
      </c>
      <c r="B10267" s="216" t="n">
        <v>32.8</v>
      </c>
      <c r="C10267" s="216" t="n">
        <v>38.96</v>
      </c>
      <c r="D10267" s="216" t="n">
        <v>1.09303605556488</v>
      </c>
      <c r="E10267" s="215" t="n">
        <v>45930</v>
      </c>
      <c r="F10267" s="215" t="n">
        <v>45933</v>
      </c>
    </row>
    <row r="10268">
      <c r="A10268" s="215" t="n">
        <v>45936</v>
      </c>
      <c r="B10268" s="216" t="n">
        <v>32.64</v>
      </c>
      <c r="C10268" s="216" t="n">
        <v>38.96</v>
      </c>
      <c r="D10268" s="216" t="n">
        <v>1.092857956886292</v>
      </c>
      <c r="E10268" s="215" t="n">
        <v>45930</v>
      </c>
      <c r="F10268" s="215" t="n">
        <v>45936</v>
      </c>
    </row>
    <row r="10269">
      <c r="A10269" s="215" t="n">
        <v>45938</v>
      </c>
      <c r="B10269" s="216" t="n">
        <v>32.84</v>
      </c>
      <c r="C10269" s="216" t="n">
        <v>38.96</v>
      </c>
      <c r="D10269" s="216" t="n">
        <v>1.093148946762085</v>
      </c>
      <c r="E10269" s="215" t="n">
        <v>45930</v>
      </c>
      <c r="F10269" s="215" t="n">
        <v>45938</v>
      </c>
    </row>
    <row r="10270">
      <c r="A10270" s="215" t="n">
        <v>45939</v>
      </c>
      <c r="B10270" s="216" t="n">
        <v>32.82</v>
      </c>
      <c r="C10270" s="216" t="n">
        <v>39.34</v>
      </c>
      <c r="D10270" s="216" t="n">
        <v>1.092933058738708</v>
      </c>
      <c r="E10270" s="215" t="n">
        <v>45939</v>
      </c>
      <c r="F10270" s="215" t="n">
        <v>45939</v>
      </c>
    </row>
    <row r="10271">
      <c r="A10271" s="215" t="n">
        <v>45940</v>
      </c>
      <c r="B10271" s="216" t="n">
        <v>32.76</v>
      </c>
      <c r="C10271" s="216" t="n">
        <v>39.28</v>
      </c>
      <c r="D10271" s="216" t="n">
        <v>1.091662049293518</v>
      </c>
      <c r="E10271" s="215" t="n">
        <v>45940</v>
      </c>
      <c r="F10271" s="215" t="n">
        <v>45940</v>
      </c>
    </row>
    <row r="10272">
      <c r="A10272" s="215" t="n">
        <v>45943</v>
      </c>
      <c r="B10272" s="216" t="n">
        <v>32.46</v>
      </c>
      <c r="C10272" s="216" t="n">
        <v>38.9</v>
      </c>
      <c r="D10272" s="216" t="n">
        <v>1.093768000602722</v>
      </c>
      <c r="E10272" s="215" t="n">
        <v>45943</v>
      </c>
      <c r="F10272" s="215" t="n">
        <v>45943</v>
      </c>
    </row>
    <row r="10273">
      <c r="A10273" s="215" t="n">
        <v>45944</v>
      </c>
      <c r="B10273" s="216" t="n">
        <v>32.48</v>
      </c>
      <c r="C10273" s="216" t="n">
        <v>39.1</v>
      </c>
      <c r="D10273" s="216" t="n">
        <v>1.093292951583862</v>
      </c>
      <c r="E10273" s="215" t="n">
        <v>45944</v>
      </c>
      <c r="F10273" s="215" t="n">
        <v>45944</v>
      </c>
    </row>
    <row r="10274">
      <c r="A10274" s="215" t="n">
        <v>45945</v>
      </c>
      <c r="B10274" s="216" t="n">
        <v>32.84</v>
      </c>
      <c r="C10274" s="216" t="n">
        <v>39.49</v>
      </c>
      <c r="D10274" s="216" t="n">
        <v>1.088750958442688</v>
      </c>
      <c r="E10274" s="215" t="n">
        <v>45945</v>
      </c>
      <c r="F10274" s="215" t="n">
        <v>45945</v>
      </c>
    </row>
    <row r="10275">
      <c r="A10275" s="215" t="n">
        <v>45946</v>
      </c>
      <c r="B10275" s="216" t="n">
        <v>32.7</v>
      </c>
      <c r="C10275" s="216" t="n">
        <v>39.77</v>
      </c>
      <c r="D10275" s="216" t="n">
        <v>1.090903043746948</v>
      </c>
      <c r="E10275" s="215" t="n">
        <v>45946</v>
      </c>
      <c r="F10275" s="215" t="n">
        <v>45946</v>
      </c>
    </row>
    <row r="10276">
      <c r="A10276" s="215" t="n">
        <v>45947</v>
      </c>
      <c r="B10276" s="216" t="n">
        <v>32.56</v>
      </c>
      <c r="C10276" s="216" t="n">
        <v>39.08</v>
      </c>
      <c r="D10276" s="216" t="n">
        <v>1.09073805809021</v>
      </c>
      <c r="E10276" s="215" t="n">
        <v>45947</v>
      </c>
      <c r="F10276" s="215" t="n">
        <v>45947</v>
      </c>
    </row>
    <row r="10277">
      <c r="A10277" s="215" t="n">
        <v>45950</v>
      </c>
      <c r="B10277" s="216" t="n">
        <v>32.86</v>
      </c>
      <c r="C10277" s="216" t="n">
        <v>38.94</v>
      </c>
      <c r="D10277" s="216" t="n">
        <v>1.089843988418579</v>
      </c>
      <c r="E10277" s="215" t="n">
        <v>45950</v>
      </c>
      <c r="F10277" s="215" t="n">
        <v>45950</v>
      </c>
    </row>
    <row r="10278">
      <c r="A10278" s="215" t="n">
        <v>45951</v>
      </c>
      <c r="B10278" s="216" t="n">
        <v>32.78</v>
      </c>
      <c r="C10278" s="216" t="n">
        <v>38.95</v>
      </c>
      <c r="D10278" s="216" t="n">
        <v>1.091038942337036</v>
      </c>
      <c r="E10278" s="215" t="n">
        <v>45951</v>
      </c>
      <c r="F10278" s="215" t="n">
        <v>45951</v>
      </c>
    </row>
    <row r="10279">
      <c r="A10279" s="215" t="n">
        <v>45952</v>
      </c>
      <c r="B10279" s="216" t="n">
        <v>32.54</v>
      </c>
      <c r="C10279" s="216" t="n">
        <v>38.65</v>
      </c>
      <c r="D10279" s="216" t="n">
        <v>1.091071009635925</v>
      </c>
      <c r="E10279" s="215" t="n">
        <v>45952</v>
      </c>
      <c r="F10279" s="215" t="n">
        <v>45952</v>
      </c>
    </row>
    <row r="10280">
      <c r="A10280" s="215" t="n">
        <v>45953</v>
      </c>
      <c r="B10280" s="216" t="n">
        <v>32.48</v>
      </c>
      <c r="C10280" s="216" t="n">
        <v>38.63</v>
      </c>
      <c r="D10280" s="216" t="n">
        <v>1.090343952178955</v>
      </c>
      <c r="E10280" s="215" t="n">
        <v>45953</v>
      </c>
      <c r="F10280" s="215" t="n">
        <v>45953</v>
      </c>
    </row>
    <row r="10281">
      <c r="A10281" s="215" t="n">
        <v>45954</v>
      </c>
      <c r="B10281" s="216" t="n">
        <v>32.44</v>
      </c>
      <c r="C10281" s="216" t="n">
        <v>38.6</v>
      </c>
      <c r="D10281" s="216" t="n">
        <v>1.090456962585449</v>
      </c>
      <c r="E10281" s="215" t="n">
        <v>45954</v>
      </c>
      <c r="F10281" s="215" t="n">
        <v>45954</v>
      </c>
    </row>
    <row r="10282">
      <c r="A10282" s="215" t="n">
        <v>45957</v>
      </c>
      <c r="B10282" s="216" t="n">
        <v>32.62</v>
      </c>
      <c r="C10282" s="216" t="n">
        <v>38.71</v>
      </c>
      <c r="D10282" s="216" t="n">
        <v>1.090957045555115</v>
      </c>
      <c r="E10282" s="215" t="n">
        <v>45957</v>
      </c>
      <c r="F10282" s="215" t="n">
        <v>45957</v>
      </c>
    </row>
    <row r="10283">
      <c r="A10283" s="215" t="n">
        <v>45958</v>
      </c>
      <c r="B10283" s="216" t="n">
        <v>32.62</v>
      </c>
      <c r="C10283" s="216" t="n">
        <v>38.4</v>
      </c>
      <c r="D10283" s="216" t="n">
        <v>1.092440009117126</v>
      </c>
      <c r="E10283" s="215" t="n">
        <v>45958</v>
      </c>
      <c r="F10283" s="215" t="n">
        <v>45958</v>
      </c>
    </row>
    <row r="10284">
      <c r="A10284" s="215" t="n">
        <v>45960</v>
      </c>
      <c r="B10284" s="216" t="n">
        <v>32.1</v>
      </c>
      <c r="C10284" s="216" t="n">
        <v>37.98</v>
      </c>
      <c r="D10284" s="216" t="n">
        <v>1.09463894367218</v>
      </c>
      <c r="E10284" s="215" t="n">
        <v>45960</v>
      </c>
      <c r="F10284" s="215" t="n">
        <v>45960</v>
      </c>
    </row>
    <row r="10285">
      <c r="A10285" s="215" t="n">
        <v>45961</v>
      </c>
      <c r="B10285" s="216" t="n">
        <v>32</v>
      </c>
      <c r="C10285" s="216" t="n">
        <v>38.11</v>
      </c>
      <c r="D10285" s="216" t="n">
        <v>1.092543959617615</v>
      </c>
      <c r="E10285" s="215" t="n">
        <v>45961</v>
      </c>
      <c r="F10285" s="215" t="n">
        <v>45961</v>
      </c>
    </row>
    <row r="10286">
      <c r="A10286" s="215" t="n">
        <v>45964</v>
      </c>
      <c r="B10286" s="216" t="n">
        <v>32.06</v>
      </c>
      <c r="C10286" s="216" t="n">
        <v>38.15</v>
      </c>
      <c r="D10286" s="216" t="n">
        <v>1.091722965240479</v>
      </c>
      <c r="E10286" s="215" t="n">
        <v>45964</v>
      </c>
      <c r="F10286" s="215" t="n">
        <v>45964</v>
      </c>
    </row>
    <row r="10287">
      <c r="A10287" s="215" t="n">
        <v>45965</v>
      </c>
      <c r="B10287" s="216" t="n">
        <v>32</v>
      </c>
      <c r="C10287" s="216" t="n">
        <v>37.75</v>
      </c>
      <c r="D10287" s="216" t="n">
        <v>1.083533048629761</v>
      </c>
      <c r="E10287" s="215" t="n">
        <v>45965</v>
      </c>
      <c r="F10287" s="215" t="n">
        <v>45965</v>
      </c>
    </row>
    <row r="10288">
      <c r="A10288" s="215" t="n">
        <v>45966</v>
      </c>
      <c r="B10288" s="216" t="n">
        <v>32.56</v>
      </c>
      <c r="C10288" s="216" t="n">
        <v>37.69</v>
      </c>
      <c r="D10288" s="216" t="n">
        <v>1.090273976325989</v>
      </c>
      <c r="E10288" s="215" t="n">
        <v>45966</v>
      </c>
      <c r="F10288" s="215" t="n">
        <v>45966</v>
      </c>
    </row>
    <row r="10289">
      <c r="A10289" s="215" t="n">
        <v>45967</v>
      </c>
      <c r="B10289" s="216" t="n">
        <v>32.04</v>
      </c>
      <c r="C10289" s="216" t="n">
        <v>37.71</v>
      </c>
      <c r="D10289" s="216" t="n">
        <v>1.090808033943176</v>
      </c>
      <c r="E10289" s="215" t="n">
        <v>45967</v>
      </c>
      <c r="F10289" s="215" t="n">
        <v>45967</v>
      </c>
    </row>
    <row r="10290">
      <c r="A10290" s="215" t="n">
        <v>45968</v>
      </c>
      <c r="B10290" s="216" t="n">
        <v>32.64</v>
      </c>
      <c r="C10290" s="216" t="n">
        <v>37.97</v>
      </c>
      <c r="D10290" s="216" t="n">
        <v>1.092054009437561</v>
      </c>
      <c r="E10290" s="215" t="n">
        <v>45968</v>
      </c>
      <c r="F10290" s="215" t="n">
        <v>45968</v>
      </c>
    </row>
    <row r="10291">
      <c r="A10291" s="215" t="n">
        <v>45971</v>
      </c>
      <c r="B10291" s="216" t="n">
        <v>33.46</v>
      </c>
      <c r="C10291" s="216" t="n">
        <v>38.65</v>
      </c>
      <c r="D10291" s="216" t="n">
        <v>1.092267036437988</v>
      </c>
      <c r="E10291" s="215" t="n">
        <v>45971</v>
      </c>
      <c r="F10291" s="215" t="n">
        <v>45971</v>
      </c>
    </row>
    <row r="10292">
      <c r="A10292" s="215" t="n">
        <v>45972</v>
      </c>
      <c r="B10292" s="216" t="n">
        <v>33.26</v>
      </c>
      <c r="C10292" s="216" t="n">
        <v>38.62</v>
      </c>
      <c r="D10292" s="216" t="n">
        <v>1.091644048690796</v>
      </c>
      <c r="E10292" s="215" t="n">
        <v>45972</v>
      </c>
      <c r="F10292" s="215" t="n">
        <v>45972</v>
      </c>
    </row>
    <row r="10293">
      <c r="A10293" s="215" t="n">
        <v>45973</v>
      </c>
      <c r="B10293" s="216" t="n">
        <v>33.58</v>
      </c>
      <c r="C10293" s="216" t="n">
        <v>38.46</v>
      </c>
      <c r="D10293" s="216" t="n">
        <v>1.091495990753174</v>
      </c>
      <c r="E10293" s="215" t="n">
        <v>45973</v>
      </c>
      <c r="F10293" s="215" t="n">
        <v>45973</v>
      </c>
    </row>
    <row r="10294">
      <c r="A10294" s="215" t="n">
        <v>45974</v>
      </c>
      <c r="B10294" s="216" t="n">
        <v>33.76</v>
      </c>
      <c r="C10294" s="216" t="n">
        <v>38.6</v>
      </c>
      <c r="D10294" s="216" t="n">
        <v>1.092489004135132</v>
      </c>
      <c r="E10294" s="215" t="n">
        <v>45974</v>
      </c>
      <c r="F10294" s="215" t="n">
        <v>45974</v>
      </c>
    </row>
    <row r="10295">
      <c r="A10295" s="215" t="n">
        <v>45975</v>
      </c>
      <c r="B10295" s="216" t="n">
        <v>33.4</v>
      </c>
      <c r="C10295" s="216" t="n">
        <v>38.42</v>
      </c>
      <c r="D10295" s="216" t="n">
        <v>1.092411994934082</v>
      </c>
      <c r="E10295" s="215" t="n">
        <v>45975</v>
      </c>
      <c r="F10295" s="215" t="n">
        <v>45975</v>
      </c>
    </row>
    <row r="10296">
      <c r="A10296" s="215" t="n">
        <v>45978</v>
      </c>
      <c r="B10296" s="216" t="n">
        <v>33.26</v>
      </c>
      <c r="C10296" s="216" t="n">
        <v>38.19</v>
      </c>
      <c r="D10296" s="216" t="n">
        <v>1.094588041305542</v>
      </c>
      <c r="E10296" s="215" t="n">
        <v>45978</v>
      </c>
      <c r="F10296" s="215" t="n">
        <v>45978</v>
      </c>
    </row>
    <row r="10297">
      <c r="A10297" s="215" t="n">
        <v>45979</v>
      </c>
      <c r="B10297" s="216" t="n">
        <v>32.98</v>
      </c>
      <c r="C10297" s="216" t="n">
        <v>37.97</v>
      </c>
      <c r="D10297" s="216" t="n">
        <v>1.093616008758545</v>
      </c>
      <c r="E10297" s="215" t="n">
        <v>45979</v>
      </c>
      <c r="F10297" s="215" t="n">
        <v>45979</v>
      </c>
    </row>
    <row r="10298">
      <c r="A10298" s="215" t="n">
        <v>45980</v>
      </c>
      <c r="B10298" s="216" t="n">
        <v>32.7</v>
      </c>
      <c r="C10298" s="216" t="n">
        <v>37.8</v>
      </c>
      <c r="D10298" s="216" t="n">
        <v>1.095010995864868</v>
      </c>
      <c r="E10298" s="215" t="n">
        <v>45980</v>
      </c>
      <c r="F10298" s="215" t="n">
        <v>45980</v>
      </c>
    </row>
    <row r="10299">
      <c r="A10299" s="215" t="n">
        <v>45981</v>
      </c>
      <c r="B10299" s="216" t="n">
        <v>33.04</v>
      </c>
      <c r="C10299" s="216" t="n">
        <v>37.75</v>
      </c>
      <c r="D10299" s="216" t="n">
        <v>1.095402002334595</v>
      </c>
      <c r="E10299" s="215" t="n">
        <v>45981</v>
      </c>
      <c r="F10299" s="215" t="n">
        <v>45981</v>
      </c>
    </row>
    <row r="10300">
      <c r="A10300" s="215" t="n">
        <v>45982</v>
      </c>
      <c r="B10300" s="216" t="n">
        <v>32.5</v>
      </c>
      <c r="C10300" s="216" t="n">
        <v>37.29</v>
      </c>
      <c r="D10300" s="216" t="n">
        <v>1.094982981681824</v>
      </c>
      <c r="E10300" s="215" t="n">
        <v>45982</v>
      </c>
      <c r="F10300" s="215" t="n">
        <v>45982</v>
      </c>
    </row>
    <row r="10301">
      <c r="A10301" s="215" t="n">
        <v>45985</v>
      </c>
      <c r="B10301" s="216" t="n">
        <v>32.06</v>
      </c>
      <c r="C10301" s="216" t="n">
        <v>36.88</v>
      </c>
      <c r="D10301" s="216" t="n">
        <v>1.094988942146301</v>
      </c>
      <c r="E10301" s="215" t="n">
        <v>45985</v>
      </c>
      <c r="F10301" s="215" t="n">
        <v>45985</v>
      </c>
    </row>
    <row r="10302">
      <c r="A10302" s="215" t="n">
        <v>45986</v>
      </c>
      <c r="B10302" s="216" t="n">
        <v>32.26</v>
      </c>
      <c r="C10302" s="216" t="n">
        <v>37.1</v>
      </c>
      <c r="D10302" s="216" t="n">
        <v>1.095428943634033</v>
      </c>
      <c r="E10302" s="215" t="n">
        <v>45986</v>
      </c>
      <c r="F10302" s="215" t="n">
        <v>45986</v>
      </c>
    </row>
    <row r="10303">
      <c r="A10303" s="215" t="n">
        <v>45987</v>
      </c>
      <c r="B10303" s="216" t="n">
        <v>32.06</v>
      </c>
      <c r="C10303" s="216" t="n">
        <v>36.83</v>
      </c>
      <c r="D10303" s="216" t="n">
        <v>1.097422003746033</v>
      </c>
      <c r="E10303" s="215" t="n">
        <v>45987</v>
      </c>
      <c r="F10303" s="215" t="n">
        <v>45987</v>
      </c>
    </row>
    <row r="10304">
      <c r="A10304" s="215" t="n">
        <v>45988</v>
      </c>
      <c r="B10304" s="216" t="n">
        <v>32.2</v>
      </c>
      <c r="C10304" s="216" t="n">
        <v>36.99</v>
      </c>
      <c r="D10304" s="216" t="n">
        <v>1.098397016525269</v>
      </c>
      <c r="E10304" s="215" t="n">
        <v>45988</v>
      </c>
      <c r="F10304" s="215" t="n">
        <v>45988</v>
      </c>
    </row>
    <row r="10305">
      <c r="A10305" s="215" t="n">
        <v>45989</v>
      </c>
      <c r="B10305" s="216" t="n">
        <v>32.24</v>
      </c>
      <c r="C10305" s="216" t="n">
        <v>36.96</v>
      </c>
      <c r="D10305" s="216" t="n">
        <v>1.098330020904541</v>
      </c>
      <c r="E10305" s="215" t="n">
        <v>45989</v>
      </c>
      <c r="F10305" s="215" t="n">
        <v>45989</v>
      </c>
    </row>
    <row r="10306">
      <c r="A10306" s="215" t="n">
        <v>45992</v>
      </c>
      <c r="B10306" s="216" t="n">
        <v>32.3</v>
      </c>
      <c r="C10306" s="216" t="n">
        <v>37.16</v>
      </c>
      <c r="D10306" s="216" t="n">
        <v>1.10015594959259</v>
      </c>
      <c r="E10306" s="215" t="n">
        <v>45992</v>
      </c>
      <c r="F10306" s="215" t="n">
        <v>45992</v>
      </c>
    </row>
    <row r="10307">
      <c r="A10307" s="215" t="n">
        <v>45993</v>
      </c>
      <c r="B10307" s="216" t="n">
        <v>32.28</v>
      </c>
      <c r="C10307" s="216" t="n">
        <v>36.87</v>
      </c>
      <c r="D10307" s="216" t="n">
        <v>1.101189017295837</v>
      </c>
      <c r="E10307" s="215" t="n">
        <v>45993</v>
      </c>
      <c r="F10307" s="215" t="n">
        <v>45993</v>
      </c>
    </row>
    <row r="10308">
      <c r="A10308" s="215" t="n">
        <v>45994</v>
      </c>
      <c r="B10308" s="216" t="n">
        <v>32.18</v>
      </c>
      <c r="C10308" s="216" t="n">
        <v>36.41</v>
      </c>
      <c r="D10308" s="216" t="n">
        <v>1.100834012031555</v>
      </c>
      <c r="E10308" s="215" t="n">
        <v>45994</v>
      </c>
      <c r="F10308" s="215" t="n">
        <v>45994</v>
      </c>
    </row>
    <row r="10309">
      <c r="A10309" s="215" t="n">
        <v>45995</v>
      </c>
      <c r="B10309" s="216" t="n">
        <v>32.12</v>
      </c>
      <c r="C10309" s="216" t="n">
        <v>36.22</v>
      </c>
      <c r="D10309" s="216" t="n">
        <v>1.101611018180847</v>
      </c>
      <c r="E10309" s="215" t="n">
        <v>45995</v>
      </c>
      <c r="F10309" s="215" t="n">
        <v>45995</v>
      </c>
    </row>
    <row r="10310">
      <c r="A10310" s="215" t="n">
        <v>45996</v>
      </c>
      <c r="B10310" s="216" t="n">
        <v>31.82</v>
      </c>
      <c r="C10310" s="216" t="n">
        <v>36.51</v>
      </c>
      <c r="D10310" s="216" t="n">
        <v>1.100373983383179</v>
      </c>
      <c r="E10310" s="215" t="n">
        <v>45996</v>
      </c>
      <c r="F10310" s="215" t="n">
        <v>45996</v>
      </c>
    </row>
    <row r="10311">
      <c r="A10311" s="215" t="n">
        <v>45999</v>
      </c>
      <c r="B10311" s="216" t="n">
        <v>31.78</v>
      </c>
      <c r="C10311" s="216" t="n">
        <v>36.51</v>
      </c>
      <c r="D10311" s="216" t="n">
        <v>1.1008620262146</v>
      </c>
      <c r="E10311" s="215" t="n">
        <v>45999</v>
      </c>
      <c r="F10311" s="215" t="n">
        <v>45999</v>
      </c>
    </row>
    <row r="10312">
      <c r="A10312" s="215" t="n">
        <v>46000</v>
      </c>
      <c r="B10312" s="216" t="n">
        <v>32.14</v>
      </c>
      <c r="C10312" s="216" t="n">
        <v>36.47</v>
      </c>
      <c r="D10312" s="216" t="n">
        <v>1.10008704662323</v>
      </c>
      <c r="E10312" s="215" t="n">
        <v>46000</v>
      </c>
      <c r="F10312" s="215" t="n">
        <v>46000</v>
      </c>
    </row>
    <row r="10313">
      <c r="A10313" s="215" t="n">
        <v>46001</v>
      </c>
      <c r="B10313" s="216" t="n">
        <v>31.62</v>
      </c>
      <c r="C10313" s="216" t="n">
        <v>36.42</v>
      </c>
      <c r="D10313" s="216" t="n">
        <v>1.101711988449097</v>
      </c>
      <c r="E10313" s="215" t="n">
        <v>46001</v>
      </c>
      <c r="F10313" s="215" t="n">
        <v>46001</v>
      </c>
    </row>
    <row r="10314">
      <c r="A10314" s="215" t="n">
        <v>46002</v>
      </c>
      <c r="B10314" s="216" t="n">
        <v>31.6</v>
      </c>
      <c r="C10314" s="216" t="n">
        <v>36.34</v>
      </c>
      <c r="D10314" s="216" t="n">
        <v>1.10112202167511</v>
      </c>
      <c r="E10314" s="215" t="n">
        <v>46002</v>
      </c>
      <c r="F10314" s="215" t="n">
        <v>46002</v>
      </c>
    </row>
    <row r="10315">
      <c r="A10315" s="215" t="n">
        <v>46003</v>
      </c>
      <c r="B10315" s="216" t="n">
        <v>31.76</v>
      </c>
      <c r="C10315" s="216" t="n">
        <v>36.49</v>
      </c>
      <c r="D10315" s="216" t="n">
        <v>1.102499008178711</v>
      </c>
      <c r="E10315" s="215" t="n">
        <v>46003</v>
      </c>
      <c r="F10315" s="215" t="n">
        <v>46003</v>
      </c>
    </row>
    <row r="10316">
      <c r="A10316" s="215" t="n">
        <v>46006</v>
      </c>
      <c r="B10316" s="216" t="n">
        <v>31.9</v>
      </c>
      <c r="C10316" s="216" t="n">
        <v>36.51</v>
      </c>
      <c r="D10316" s="216" t="n">
        <v>1.103397965431213</v>
      </c>
      <c r="E10316" s="215" t="n">
        <v>46006</v>
      </c>
      <c r="F10316" s="215" t="n">
        <v>46006</v>
      </c>
    </row>
    <row r="10317">
      <c r="A10317" s="215" t="n">
        <v>46007</v>
      </c>
      <c r="B10317" s="216" t="n">
        <v>31.66</v>
      </c>
      <c r="C10317" s="216" t="n">
        <v>36.74</v>
      </c>
      <c r="D10317" s="216" t="n">
        <v>1.104179978370667</v>
      </c>
      <c r="E10317" s="215" t="n">
        <v>46007</v>
      </c>
      <c r="F10317" s="215" t="n">
        <v>46007</v>
      </c>
    </row>
    <row r="10318">
      <c r="A10318" s="215" t="n">
        <v>46008</v>
      </c>
      <c r="B10318" s="216" t="n">
        <v>32.04</v>
      </c>
      <c r="C10318" s="216" t="n">
        <v>37.03</v>
      </c>
      <c r="D10318" s="216" t="n">
        <v>1.104655981063843</v>
      </c>
      <c r="E10318" s="215" t="n">
        <v>46008</v>
      </c>
      <c r="F10318" s="215" t="n">
        <v>46008</v>
      </c>
    </row>
    <row r="10319">
      <c r="A10319" s="215" t="n">
        <v>46009</v>
      </c>
      <c r="B10319" s="216" t="n">
        <v>32.46</v>
      </c>
      <c r="C10319" s="216" t="n">
        <v>37.01</v>
      </c>
      <c r="D10319" s="216" t="n">
        <v>1.104357004165649</v>
      </c>
      <c r="E10319" s="215" t="n">
        <v>46009</v>
      </c>
      <c r="F10319" s="215" t="n">
        <v>46009</v>
      </c>
    </row>
    <row r="10320">
      <c r="A10320" s="215" t="n">
        <v>46010</v>
      </c>
      <c r="B10320" s="216" t="n">
        <v>33.4</v>
      </c>
      <c r="C10320" s="216" t="n">
        <v>37.78</v>
      </c>
      <c r="D10320" s="216" t="n">
        <v>1.104962944984436</v>
      </c>
      <c r="E10320" s="215" t="n">
        <v>46010</v>
      </c>
      <c r="F10320" s="215" t="n">
        <v>46010</v>
      </c>
    </row>
    <row r="10321">
      <c r="A10321" s="215" t="n">
        <v>46013</v>
      </c>
      <c r="B10321" s="216" t="n">
        <v>33.7</v>
      </c>
      <c r="C10321" s="216" t="n">
        <v>37.85</v>
      </c>
      <c r="D10321" s="216" t="n">
        <v>1.105054020881653</v>
      </c>
      <c r="E10321" s="215" t="n">
        <v>46013</v>
      </c>
      <c r="F10321" s="215" t="n">
        <v>46013</v>
      </c>
    </row>
    <row r="10322">
      <c r="A10322" s="215" t="n">
        <v>46014</v>
      </c>
      <c r="B10322" s="216" t="n">
        <v>33.68</v>
      </c>
      <c r="C10322" s="216" t="n">
        <v>37.78</v>
      </c>
      <c r="D10322" s="216" t="n">
        <v>1.104820013046265</v>
      </c>
      <c r="E10322" s="215" t="n">
        <v>46014</v>
      </c>
      <c r="F10322" s="215" t="n">
        <v>46014</v>
      </c>
    </row>
    <row r="10323">
      <c r="A10323" s="215" t="n">
        <v>46015</v>
      </c>
      <c r="B10323" s="216" t="n">
        <v>33.26</v>
      </c>
      <c r="C10323" s="216" t="n">
        <v>37.35</v>
      </c>
      <c r="D10323" s="216" t="n">
        <v>1.106441974639893</v>
      </c>
      <c r="E10323" s="215" t="n">
        <v>46015</v>
      </c>
      <c r="F10323" s="215" t="n">
        <v>46015</v>
      </c>
    </row>
    <row r="10324">
      <c r="A10324" s="215" t="n">
        <v>46020</v>
      </c>
      <c r="B10324" s="216" t="n">
        <v>32.92</v>
      </c>
      <c r="C10324" s="216" t="n">
        <v>37.22</v>
      </c>
      <c r="D10324" s="216" t="n">
        <v>1.10552704334259</v>
      </c>
      <c r="E10324" s="215" t="n">
        <v>46020</v>
      </c>
      <c r="F10324" s="215" t="n">
        <v>46020</v>
      </c>
    </row>
    <row r="10325">
      <c r="A10325" s="215" t="n">
        <v>46021</v>
      </c>
      <c r="B10325" s="216" t="n">
        <v>32.82</v>
      </c>
      <c r="C10325" s="216" t="n">
        <v>37.28</v>
      </c>
      <c r="D10325" s="216" t="n">
        <v>1.109460949897766</v>
      </c>
      <c r="E10325" s="215" t="n">
        <v>46021</v>
      </c>
      <c r="F10325" s="215" t="n">
        <v>46021</v>
      </c>
    </row>
    <row r="10326">
      <c r="A10326" s="215" t="n">
        <v>46022</v>
      </c>
      <c r="B10326" s="216" t="n">
        <v>32.4</v>
      </c>
      <c r="C10326" s="216" t="n">
        <v>37.02</v>
      </c>
      <c r="D10326" s="216" t="n">
        <v>1.111927032470703</v>
      </c>
      <c r="E10326" s="215" t="n">
        <v>46022</v>
      </c>
      <c r="F10326" s="215" t="n">
        <v>46022</v>
      </c>
    </row>
    <row r="10327">
      <c r="A10327" s="215" t="n">
        <v>46024</v>
      </c>
      <c r="B10327" s="216" t="n">
        <v>32.4</v>
      </c>
      <c r="C10327" s="216" t="n">
        <v>37.02</v>
      </c>
      <c r="D10327" s="216" t="n">
        <v>1.112754940986633</v>
      </c>
      <c r="E10327" s="215" t="n">
        <v>46022</v>
      </c>
      <c r="F10327" s="215" t="n">
        <v>46024</v>
      </c>
    </row>
    <row r="10328">
      <c r="A10328" s="215" t="n">
        <v>46027</v>
      </c>
      <c r="B10328" s="216" t="n">
        <v>32.78</v>
      </c>
      <c r="C10328" s="216" t="n">
        <v>37.93</v>
      </c>
      <c r="D10328" s="216" t="n">
        <v>1.113860011100769</v>
      </c>
      <c r="E10328" s="215" t="n">
        <v>46027</v>
      </c>
      <c r="F10328" s="215" t="n">
        <v>46027</v>
      </c>
    </row>
    <row r="10329">
      <c r="A10329" s="215" t="n">
        <v>46028</v>
      </c>
      <c r="B10329" s="216" t="n">
        <v>32.88</v>
      </c>
      <c r="C10329" s="216" t="n">
        <v>38.38</v>
      </c>
      <c r="D10329" s="216" t="n">
        <v>1.11367404460907</v>
      </c>
      <c r="E10329" s="215" t="n">
        <v>46028</v>
      </c>
      <c r="F10329" s="215" t="n">
        <v>46028</v>
      </c>
    </row>
    <row r="10330">
      <c r="A10330" s="215" t="n">
        <v>46029</v>
      </c>
      <c r="B10330" s="216" t="n">
        <v>33.26</v>
      </c>
      <c r="C10330" s="216" t="n">
        <v>38.19</v>
      </c>
      <c r="D10330" s="216" t="n">
        <v>1.114913940429688</v>
      </c>
      <c r="E10330" s="215" t="n">
        <v>46029</v>
      </c>
      <c r="F10330" s="215" t="n">
        <v>46029</v>
      </c>
    </row>
    <row r="10331">
      <c r="A10331" s="215" t="n">
        <v>46030</v>
      </c>
      <c r="B10331" s="216" t="n">
        <v>32.88</v>
      </c>
      <c r="C10331" s="216" t="n">
        <v>38.02</v>
      </c>
      <c r="D10331" s="216" t="n">
        <v>1.112563014030457</v>
      </c>
      <c r="E10331" s="215" t="n">
        <v>46030</v>
      </c>
      <c r="F10331" s="215" t="n">
        <v>46030</v>
      </c>
    </row>
    <row r="10332">
      <c r="A10332" s="215" t="n">
        <v>46031</v>
      </c>
      <c r="B10332" s="216" t="n">
        <v>32.06</v>
      </c>
      <c r="C10332" s="216" t="n">
        <v>37.89</v>
      </c>
      <c r="D10332" s="216" t="n">
        <v>1.115561008453369</v>
      </c>
      <c r="E10332" s="215" t="n">
        <v>46031</v>
      </c>
      <c r="F10332" s="215" t="n">
        <v>46031</v>
      </c>
    </row>
    <row r="10333">
      <c r="A10333" s="215" t="n">
        <v>46034</v>
      </c>
      <c r="B10333" s="216" t="n">
        <v>32.66</v>
      </c>
      <c r="C10333" s="216" t="n">
        <v>38.32</v>
      </c>
      <c r="D10333" s="216" t="n">
        <v>1.117015957832336</v>
      </c>
      <c r="E10333" s="215" t="n">
        <v>46034</v>
      </c>
      <c r="F10333" s="215" t="n">
        <v>46034</v>
      </c>
    </row>
    <row r="10334">
      <c r="A10334" s="215" t="n">
        <v>46035</v>
      </c>
      <c r="B10334" s="216" t="n">
        <v>32.72</v>
      </c>
      <c r="C10334" s="216" t="n">
        <v>38.18</v>
      </c>
      <c r="D10334" s="216" t="n">
        <v>1.117892026901245</v>
      </c>
      <c r="E10334" s="215" t="n">
        <v>46035</v>
      </c>
      <c r="F10334" s="215" t="n">
        <v>46035</v>
      </c>
    </row>
    <row r="10335">
      <c r="A10335" s="215" t="n">
        <v>46036</v>
      </c>
      <c r="B10335" s="216" t="n">
        <v>33.4</v>
      </c>
      <c r="C10335" s="216" t="n">
        <v>37.79</v>
      </c>
      <c r="D10335" s="216" t="n">
        <v>1.117897987365723</v>
      </c>
      <c r="E10335" s="215" t="n">
        <v>46036</v>
      </c>
      <c r="F10335" s="215" t="n">
        <v>46036</v>
      </c>
    </row>
    <row r="10336">
      <c r="A10336" s="215" t="n">
        <v>46037</v>
      </c>
      <c r="B10336" s="216" t="n">
        <v>33.5</v>
      </c>
      <c r="C10336" s="216" t="n">
        <v>37.59</v>
      </c>
      <c r="D10336" s="216" t="n">
        <v>1.118072032928467</v>
      </c>
      <c r="E10336" s="215" t="n">
        <v>46037</v>
      </c>
      <c r="F10336" s="215" t="n">
        <v>46037</v>
      </c>
    </row>
    <row r="10337">
      <c r="A10337" s="215" t="n">
        <v>46038</v>
      </c>
      <c r="B10337" s="216" t="n">
        <v>32.66</v>
      </c>
      <c r="C10337" s="216" t="n">
        <v>36.99</v>
      </c>
      <c r="D10337" s="216" t="n">
        <v>1.119040012359619</v>
      </c>
      <c r="E10337" s="215" t="n">
        <v>46038</v>
      </c>
      <c r="F10337" s="215" t="n">
        <v>46038</v>
      </c>
    </row>
    <row r="10338">
      <c r="A10338" s="215" t="n">
        <v>46041</v>
      </c>
      <c r="B10338" s="216" t="n">
        <v>32.52</v>
      </c>
      <c r="C10338" s="216" t="n">
        <v>36.86</v>
      </c>
      <c r="D10338" s="216" t="n">
        <v>1.118916034698486</v>
      </c>
      <c r="E10338" s="215" t="n">
        <v>46041</v>
      </c>
      <c r="F10338" s="215" t="n">
        <v>46041</v>
      </c>
    </row>
    <row r="10339">
      <c r="A10339" s="215" t="n">
        <v>46042</v>
      </c>
      <c r="B10339" s="216" t="n">
        <v>33.1</v>
      </c>
      <c r="C10339" s="216" t="n">
        <v>36.88</v>
      </c>
      <c r="D10339" s="216" t="n">
        <v>1.118687987327576</v>
      </c>
      <c r="E10339" s="215" t="n">
        <v>46042</v>
      </c>
      <c r="F10339" s="215" t="n">
        <v>46042</v>
      </c>
    </row>
    <row r="10340">
      <c r="A10340" s="215" t="n">
        <v>46043</v>
      </c>
      <c r="B10340" s="216" t="n">
        <v>32.92</v>
      </c>
      <c r="C10340" s="216" t="n">
        <v>36.5</v>
      </c>
      <c r="D10340" s="216" t="n">
        <v>1.12024998664856</v>
      </c>
      <c r="E10340" s="215" t="n">
        <v>46043</v>
      </c>
      <c r="F10340" s="215" t="n">
        <v>46043</v>
      </c>
    </row>
    <row r="10341">
      <c r="A10341" s="215" t="n">
        <v>46044</v>
      </c>
      <c r="B10341" s="216" t="n">
        <v>32.42</v>
      </c>
      <c r="C10341" s="216" t="n">
        <v>36.14</v>
      </c>
      <c r="D10341" s="216" t="n">
        <v>1.11942195892334</v>
      </c>
      <c r="E10341" s="215" t="n">
        <v>46044</v>
      </c>
      <c r="F10341" s="215" t="n">
        <v>46044</v>
      </c>
    </row>
    <row r="10342">
      <c r="A10342" s="215" t="n">
        <v>46045</v>
      </c>
      <c r="B10342" s="216" t="n">
        <v>32.24</v>
      </c>
      <c r="C10342" s="216" t="n">
        <v>35.84</v>
      </c>
      <c r="D10342" s="216" t="n">
        <v>1.117977976799011</v>
      </c>
      <c r="E10342" s="215" t="n">
        <v>46045</v>
      </c>
      <c r="F10342" s="215" t="n">
        <v>46045</v>
      </c>
    </row>
    <row r="10343">
      <c r="A10343" s="215" t="n">
        <v>46048</v>
      </c>
      <c r="B10343" s="216" t="n">
        <v>31.72</v>
      </c>
      <c r="C10343" s="216" t="n">
        <v>35.68</v>
      </c>
      <c r="D10343" s="216" t="n">
        <v>1.117916941642761</v>
      </c>
      <c r="E10343" s="215" t="n">
        <v>46048</v>
      </c>
      <c r="F10343" s="215" t="n">
        <v>46048</v>
      </c>
    </row>
    <row r="10344">
      <c r="A10344" s="215" t="n">
        <v>46049</v>
      </c>
      <c r="B10344" s="216" t="n">
        <v>31.48</v>
      </c>
      <c r="C10344" s="216" t="n">
        <v>35.41</v>
      </c>
      <c r="D10344" s="216" t="n">
        <v>1.121191024780273</v>
      </c>
      <c r="E10344" s="215" t="n">
        <v>46049</v>
      </c>
      <c r="F10344" s="215" t="n">
        <v>46049</v>
      </c>
    </row>
    <row r="10345">
      <c r="A10345" s="215" t="n">
        <v>46050</v>
      </c>
      <c r="B10345" s="216" t="n">
        <v>30.82</v>
      </c>
      <c r="C10345" s="216" t="n">
        <v>34.97</v>
      </c>
      <c r="D10345" s="216" t="n">
        <v>1.121533036231995</v>
      </c>
      <c r="E10345" s="215" t="n">
        <v>46050</v>
      </c>
      <c r="F10345" s="215" t="n">
        <v>46050</v>
      </c>
    </row>
    <row r="10346">
      <c r="A10346" s="215" t="n">
        <v>46051</v>
      </c>
      <c r="B10346" s="216" t="n">
        <v>31.92</v>
      </c>
      <c r="C10346" s="216" t="n">
        <v>36.4</v>
      </c>
      <c r="D10346" s="216" t="n">
        <v>1.121621966362</v>
      </c>
      <c r="E10346" s="215" t="n">
        <v>46051</v>
      </c>
      <c r="F10346" s="215" t="n">
        <v>46051</v>
      </c>
    </row>
    <row r="10347">
      <c r="A10347" s="215" t="n">
        <v>46052</v>
      </c>
      <c r="B10347" s="216" t="n">
        <v>30.12</v>
      </c>
      <c r="C10347" s="216" t="n">
        <v>35.3</v>
      </c>
      <c r="D10347" s="216" t="n">
        <v>1.123343944549561</v>
      </c>
      <c r="E10347" s="215" t="n">
        <v>46052</v>
      </c>
      <c r="F10347" s="215" t="n">
        <v>46052</v>
      </c>
    </row>
    <row r="10348">
      <c r="A10348" s="215" t="n">
        <v>46055</v>
      </c>
      <c r="B10348" s="216" t="n">
        <v>30.86</v>
      </c>
      <c r="C10348" s="216" t="n">
        <v>35.57</v>
      </c>
      <c r="D10348" s="216" t="n">
        <v>1.123572945594788</v>
      </c>
      <c r="E10348" s="215" t="n">
        <v>46055</v>
      </c>
      <c r="F10348" s="215" t="n">
        <v>46055</v>
      </c>
    </row>
    <row r="10349">
      <c r="A10349" s="215" t="n">
        <v>46056</v>
      </c>
      <c r="B10349" s="216" t="n">
        <v>31.58</v>
      </c>
      <c r="C10349" s="216" t="n">
        <v>35.87</v>
      </c>
      <c r="D10349" s="216" t="n">
        <v>1.124274969100952</v>
      </c>
      <c r="E10349" s="215" t="n">
        <v>46056</v>
      </c>
      <c r="F10349" s="215" t="n">
        <v>46056</v>
      </c>
    </row>
    <row r="10350">
      <c r="A10350" s="215" t="n">
        <v>46057</v>
      </c>
      <c r="B10350" s="216" t="n">
        <v>31.5</v>
      </c>
      <c r="C10350" s="216" t="n">
        <v>36.28</v>
      </c>
      <c r="D10350" s="216" t="n">
        <v>1.12601101398468</v>
      </c>
      <c r="E10350" s="215" t="n">
        <v>46057</v>
      </c>
      <c r="F10350" s="215" t="n">
        <v>46057</v>
      </c>
    </row>
    <row r="10351">
      <c r="A10351" s="215" t="n">
        <v>46058</v>
      </c>
      <c r="B10351" s="216" t="n">
        <v>33.26</v>
      </c>
      <c r="C10351" s="216" t="n">
        <v>37.96</v>
      </c>
      <c r="D10351" s="216" t="n">
        <v>1.125892996788025</v>
      </c>
      <c r="E10351" s="215" t="n">
        <v>46058</v>
      </c>
      <c r="F10351" s="215" t="n">
        <v>46058</v>
      </c>
    </row>
    <row r="10352">
      <c r="A10352" s="215" t="n">
        <v>46059</v>
      </c>
      <c r="B10352" s="216" t="n">
        <v>32.8</v>
      </c>
      <c r="C10352" s="216" t="n">
        <v>37.09</v>
      </c>
      <c r="D10352" s="216" t="n">
        <v>1.126062035560608</v>
      </c>
      <c r="E10352" s="215" t="n">
        <v>46059</v>
      </c>
      <c r="F10352" s="215" t="n">
        <v>46059</v>
      </c>
    </row>
    <row r="10353">
      <c r="A10353" s="215" t="n">
        <v>46062</v>
      </c>
      <c r="B10353" s="216" t="n">
        <v>33.68</v>
      </c>
      <c r="C10353" s="216" t="n">
        <v>37.16</v>
      </c>
      <c r="D10353" s="216" t="n">
        <v>1.125753998756409</v>
      </c>
      <c r="E10353" s="215" t="n">
        <v>46062</v>
      </c>
      <c r="F10353" s="215" t="n">
        <v>46062</v>
      </c>
    </row>
    <row r="10354">
      <c r="A10354" s="215" t="n">
        <v>46063</v>
      </c>
      <c r="B10354" s="216" t="n">
        <v>33.04</v>
      </c>
      <c r="C10354" s="216" t="n">
        <v>36.62</v>
      </c>
      <c r="D10354" s="216" t="n">
        <v>1.129003047943115</v>
      </c>
      <c r="E10354" s="215" t="n">
        <v>46063</v>
      </c>
      <c r="F10354" s="215" t="n">
        <v>46063</v>
      </c>
    </row>
    <row r="10355">
      <c r="A10355" s="215" t="n">
        <v>46064</v>
      </c>
      <c r="B10355" s="216" t="n">
        <v>33.52</v>
      </c>
      <c r="C10355" s="216" t="n">
        <v>36.42</v>
      </c>
      <c r="D10355" s="216" t="n">
        <v>1.130962014198303</v>
      </c>
      <c r="E10355" s="215" t="n">
        <v>46064</v>
      </c>
      <c r="F10355" s="215" t="n">
        <v>46064</v>
      </c>
    </row>
    <row r="10356">
      <c r="A10356" s="215" t="n">
        <v>46065</v>
      </c>
      <c r="B10356" s="216" t="n">
        <v>33.5</v>
      </c>
      <c r="C10356" s="216" t="n">
        <v>35.94</v>
      </c>
      <c r="D10356" s="216" t="n">
        <v>1.130671977996826</v>
      </c>
      <c r="E10356" s="215" t="n">
        <v>46065</v>
      </c>
      <c r="F10356" s="215" t="n">
        <v>46065</v>
      </c>
    </row>
    <row r="10357">
      <c r="A10357" s="215" t="n">
        <v>46066</v>
      </c>
      <c r="B10357" s="216" t="n">
        <v>32.94</v>
      </c>
      <c r="C10357" s="216" t="n">
        <v>35.64</v>
      </c>
      <c r="D10357" s="216" t="n">
        <v>1.132490992546082</v>
      </c>
      <c r="E10357" s="215" t="n">
        <v>46066</v>
      </c>
      <c r="F10357" s="215" t="n">
        <v>46066</v>
      </c>
    </row>
    <row r="10358">
      <c r="A10358" s="215" t="n">
        <v>46069</v>
      </c>
      <c r="B10358" s="216" t="n">
        <v>33.32</v>
      </c>
      <c r="C10358" s="216" t="n">
        <v>35.64</v>
      </c>
      <c r="D10358" s="216" t="n">
        <v>1.131224036216736</v>
      </c>
      <c r="E10358" s="215" t="n">
        <v>46066</v>
      </c>
      <c r="F10358" s="215" t="n">
        <v>46069</v>
      </c>
    </row>
    <row r="10359">
      <c r="A10359" s="215" t="n">
        <v>46073</v>
      </c>
      <c r="B10359" s="216" t="n">
        <v>32.86</v>
      </c>
      <c r="C10359" s="216" t="n">
        <v>35.64</v>
      </c>
      <c r="D10359" s="216" t="n">
        <v>1.131005048751831</v>
      </c>
      <c r="E10359" s="215" t="n">
        <v>46066</v>
      </c>
      <c r="F10359" s="215" t="n">
        <v>46073</v>
      </c>
    </row>
    <row r="10360">
      <c r="A10360" s="215" t="n">
        <v>46076</v>
      </c>
      <c r="B10360" s="216" t="n">
        <v>33.68</v>
      </c>
      <c r="C10360" s="216" t="n">
        <v>35.64</v>
      </c>
      <c r="D10360" s="216" t="n">
        <v>1.130877017974854</v>
      </c>
      <c r="E10360" s="215" t="n">
        <v>46066</v>
      </c>
      <c r="F10360" s="215" t="n">
        <v>46076</v>
      </c>
    </row>
    <row r="10361">
      <c r="A10361" s="215" t="n">
        <v>46077</v>
      </c>
      <c r="B10361" s="216" t="n">
        <v>34.98</v>
      </c>
      <c r="C10361" s="216" t="n">
        <v>36.17</v>
      </c>
      <c r="D10361" s="216" t="n">
        <v>1.131631016731262</v>
      </c>
      <c r="E10361" s="215" t="n">
        <v>46077</v>
      </c>
      <c r="F10361" s="215" t="n">
        <v>46077</v>
      </c>
    </row>
    <row r="10362">
      <c r="A10362" s="215" t="n">
        <v>46078</v>
      </c>
      <c r="B10362" s="216" t="n">
        <v>34.8</v>
      </c>
      <c r="C10362" s="216" t="n">
        <v>35.88</v>
      </c>
      <c r="D10362" s="216" t="n">
        <v>1.136234045028687</v>
      </c>
      <c r="E10362" s="215" t="n">
        <v>46078</v>
      </c>
      <c r="F10362" s="215" t="n">
        <v>46078</v>
      </c>
    </row>
    <row r="10363">
      <c r="A10363" s="215" t="n">
        <v>46079</v>
      </c>
      <c r="B10363" s="216" t="n">
        <v>34.32</v>
      </c>
      <c r="C10363" s="216" t="n">
        <v>35.84</v>
      </c>
      <c r="D10363" s="216" t="n">
        <v>1.138198971748352</v>
      </c>
      <c r="E10363" s="215" t="n">
        <v>46079</v>
      </c>
      <c r="F10363" s="215" t="n">
        <v>46079</v>
      </c>
    </row>
    <row r="10364">
      <c r="A10364" s="215" t="n">
        <v>46080</v>
      </c>
      <c r="B10364" s="216" t="n">
        <v>33.78</v>
      </c>
      <c r="C10364" s="216" t="n">
        <v>35.96</v>
      </c>
      <c r="D10364" s="216" t="n">
        <v>1.143396973609924</v>
      </c>
      <c r="E10364" s="215" t="n">
        <v>46080</v>
      </c>
      <c r="F10364" s="215" t="n">
        <v>46080</v>
      </c>
    </row>
    <row r="10365">
      <c r="A10365" s="215" t="n">
        <v>46083</v>
      </c>
      <c r="B10365" s="216" t="n">
        <v>33.44</v>
      </c>
      <c r="C10365" s="216" t="n">
        <v>35.65</v>
      </c>
      <c r="D10365" s="216" t="n">
        <v>1.140552043914795</v>
      </c>
      <c r="E10365" s="215" t="n">
        <v>46083</v>
      </c>
      <c r="F10365" s="215" t="n">
        <v>46083</v>
      </c>
    </row>
    <row r="10366">
      <c r="A10366" s="215" t="n">
        <v>46084</v>
      </c>
      <c r="B10366" s="216" t="n">
        <v>33.5</v>
      </c>
      <c r="C10366" s="216" t="n">
        <v>36.06</v>
      </c>
      <c r="D10366" s="216" t="n">
        <v>1.136399984359741</v>
      </c>
      <c r="E10366" s="215" t="n">
        <v>46084</v>
      </c>
      <c r="F10366" s="215" t="n">
        <v>46084</v>
      </c>
    </row>
    <row r="10367">
      <c r="A10367" s="215" t="n">
        <v>46085</v>
      </c>
      <c r="B10367" s="216" t="n">
        <v>32.88</v>
      </c>
      <c r="C10367" s="216" t="n">
        <v>35.5</v>
      </c>
      <c r="D10367" s="216" t="n">
        <v>1.130928993225098</v>
      </c>
      <c r="E10367" s="215" t="n">
        <v>46085</v>
      </c>
      <c r="F10367" s="215" t="n">
        <v>46085</v>
      </c>
    </row>
    <row r="10368">
      <c r="A10368" s="215" t="n">
        <v>46086</v>
      </c>
      <c r="B10368" s="216" t="n">
        <v>33.8</v>
      </c>
      <c r="C10368" s="216" t="n">
        <v>35.98</v>
      </c>
      <c r="D10368" s="216" t="n">
        <v>1.133169054985046</v>
      </c>
      <c r="E10368" s="215" t="n">
        <v>46086</v>
      </c>
      <c r="F10368" s="215" t="n">
        <v>46086</v>
      </c>
    </row>
    <row r="10369">
      <c r="A10369" s="215" t="n">
        <v>46087</v>
      </c>
      <c r="B10369" s="216" t="n">
        <v>34.32</v>
      </c>
      <c r="C10369" s="216" t="n">
        <v>37.02</v>
      </c>
      <c r="D10369" s="216" t="n">
        <v>1.133442044258118</v>
      </c>
      <c r="E10369" s="215" t="n">
        <v>46087</v>
      </c>
      <c r="F10369" s="215" t="n">
        <v>46087</v>
      </c>
    </row>
    <row r="10370">
      <c r="A10370" s="215" t="n">
        <v>46090</v>
      </c>
      <c r="B10370" s="216" t="n">
        <v>34.24</v>
      </c>
      <c r="C10370" s="216" t="n">
        <v>37.31</v>
      </c>
      <c r="D10370" s="216" t="n">
        <v>1.133231043815613</v>
      </c>
      <c r="E10370" s="215" t="n">
        <v>46090</v>
      </c>
      <c r="F10370" s="215" t="n">
        <v>46090</v>
      </c>
    </row>
    <row r="10371">
      <c r="A10371" s="215" t="n">
        <v>46091</v>
      </c>
      <c r="B10371" s="216" t="n">
        <v>34.24</v>
      </c>
      <c r="C10371" s="216" t="n">
        <v>37.28</v>
      </c>
      <c r="D10371" s="216" t="n">
        <v>1.131595015525818</v>
      </c>
      <c r="E10371" s="215" t="n">
        <v>46091</v>
      </c>
      <c r="F10371" s="215" t="n">
        <v>46091</v>
      </c>
    </row>
    <row r="10372">
      <c r="A10372" s="215" t="n">
        <v>46092</v>
      </c>
      <c r="B10372" s="216" t="n">
        <v>34.2</v>
      </c>
      <c r="C10372" s="216" t="n">
        <v>37.39</v>
      </c>
      <c r="D10372" s="216" t="n">
        <v>1.137585043907166</v>
      </c>
      <c r="E10372" s="215" t="n">
        <v>46092</v>
      </c>
      <c r="F10372" s="215" t="n">
        <v>46092</v>
      </c>
    </row>
    <row r="10373">
      <c r="A10373" s="215" t="n">
        <v>46093</v>
      </c>
      <c r="B10373" s="216" t="n">
        <v>32.94</v>
      </c>
      <c r="C10373" s="216" t="n">
        <v>37.02</v>
      </c>
      <c r="D10373" s="216" t="n">
        <v>1.139600038528442</v>
      </c>
      <c r="E10373" s="215" t="n">
        <v>46093</v>
      </c>
      <c r="F10373" s="215" t="n">
        <v>46093</v>
      </c>
    </row>
    <row r="10374">
      <c r="A10374" s="215" t="n">
        <v>46094</v>
      </c>
      <c r="B10374" s="216" t="n">
        <v>33.32</v>
      </c>
      <c r="C10374" s="216" t="n">
        <v>37.79</v>
      </c>
      <c r="D10374" s="216" t="n">
        <v>1.139310002326965</v>
      </c>
      <c r="E10374" s="215" t="n">
        <v>46094</v>
      </c>
      <c r="F10374" s="215" t="n">
        <v>46094</v>
      </c>
    </row>
    <row r="10375">
      <c r="A10375" s="215" t="n">
        <v>46097</v>
      </c>
      <c r="B10375" s="216" t="n">
        <v>35.24</v>
      </c>
      <c r="C10375" s="216" t="n">
        <v>38.51</v>
      </c>
      <c r="D10375" s="216" t="n">
        <v>1.134883999824524</v>
      </c>
      <c r="E10375" s="215" t="n">
        <v>46097</v>
      </c>
      <c r="F10375" s="215" t="n">
        <v>46097</v>
      </c>
    </row>
    <row r="10376">
      <c r="A10376" s="215" t="n">
        <v>46098</v>
      </c>
      <c r="B10376" s="216" t="n">
        <v>35.76</v>
      </c>
      <c r="C10376" s="216" t="n">
        <v>38.95</v>
      </c>
      <c r="D10376" s="216" t="n">
        <v>1.125375986099243</v>
      </c>
      <c r="E10376" s="215" t="n">
        <v>46098</v>
      </c>
      <c r="F10376" s="215" t="n">
        <v>46098</v>
      </c>
    </row>
    <row r="10377">
      <c r="A10377" s="215" t="n">
        <v>46099</v>
      </c>
      <c r="B10377" s="216" t="n">
        <v>35.5</v>
      </c>
      <c r="C10377" s="216" t="n">
        <v>38.56</v>
      </c>
      <c r="D10377" s="216" t="n">
        <v>1.137819051742554</v>
      </c>
      <c r="E10377" s="215" t="n">
        <v>46099</v>
      </c>
      <c r="F10377" s="215" t="n">
        <v>46099</v>
      </c>
    </row>
    <row r="10378">
      <c r="A10378" s="215" t="n">
        <v>46100</v>
      </c>
      <c r="B10378" s="216" t="n">
        <v>33.84</v>
      </c>
      <c r="C10378" s="216" t="n">
        <v>38.21</v>
      </c>
      <c r="D10378" s="216" t="n">
        <v>1.140079021453857</v>
      </c>
      <c r="E10378" s="215" t="n">
        <v>46100</v>
      </c>
      <c r="F10378" s="215" t="n">
        <v>46100</v>
      </c>
    </row>
    <row r="10379">
      <c r="A10379" s="215" t="n">
        <v>46101</v>
      </c>
      <c r="B10379" s="216" t="n">
        <v>34.6</v>
      </c>
      <c r="C10379" s="216" t="n">
        <v>37.85</v>
      </c>
      <c r="D10379" s="216" t="n">
        <v>1.13490903377533</v>
      </c>
      <c r="E10379" s="215" t="n">
        <v>46101</v>
      </c>
      <c r="F10379" s="215" t="n">
        <v>46101</v>
      </c>
    </row>
    <row r="10380">
      <c r="A10380" s="215" t="n">
        <v>46104</v>
      </c>
      <c r="B10380" s="216" t="n">
        <v>33.6</v>
      </c>
      <c r="C10380" s="216" t="n">
        <v>36.29</v>
      </c>
      <c r="D10380" s="216" t="n">
        <v>1.137529969215393</v>
      </c>
      <c r="E10380" s="215" t="n">
        <v>46104</v>
      </c>
      <c r="F10380" s="215" t="n">
        <v>46104</v>
      </c>
    </row>
    <row r="10381">
      <c r="A10381" s="215" t="n">
        <v>46105</v>
      </c>
      <c r="B10381" s="216" t="n">
        <v>34.12</v>
      </c>
      <c r="C10381" s="216" t="n">
        <v>36.65</v>
      </c>
      <c r="D10381" s="216" t="n">
        <v>1.138481974601746</v>
      </c>
      <c r="E10381" s="215" t="n">
        <v>46105</v>
      </c>
      <c r="F10381" s="215" t="n">
        <v>46105</v>
      </c>
    </row>
    <row r="10382">
      <c r="A10382" s="215" t="n">
        <v>46106</v>
      </c>
      <c r="B10382" s="216" t="n">
        <v>34.12</v>
      </c>
      <c r="C10382" s="216" t="n">
        <v>37</v>
      </c>
      <c r="D10382" s="216" t="n">
        <v>1.135548949241638</v>
      </c>
      <c r="E10382" s="215" t="n">
        <v>46106</v>
      </c>
      <c r="F10382" s="215" t="n">
        <v>46106</v>
      </c>
    </row>
    <row r="10383">
      <c r="A10383" s="215" t="n">
        <v>46107</v>
      </c>
      <c r="B10383" s="216" t="n">
        <v>33.58</v>
      </c>
      <c r="C10383" s="216" t="n">
        <v>36.95</v>
      </c>
      <c r="D10383" s="216" t="n">
        <v>1.132627010345459</v>
      </c>
      <c r="E10383" s="215" t="n">
        <v>46107</v>
      </c>
      <c r="F10383" s="215" t="n">
        <v>46107</v>
      </c>
    </row>
    <row r="10384">
      <c r="A10384" s="215" t="n">
        <v>46108</v>
      </c>
      <c r="B10384" s="216" t="n">
        <v>36.3</v>
      </c>
      <c r="C10384" s="216" t="n">
        <v>39.7</v>
      </c>
      <c r="D10384" s="216" t="n">
        <v>1.132115960121155</v>
      </c>
      <c r="E10384" s="215" t="n">
        <v>46108</v>
      </c>
      <c r="F10384" s="215" t="n">
        <v>46108</v>
      </c>
    </row>
    <row r="10385">
      <c r="A10385" s="215" t="n">
        <v>46111</v>
      </c>
      <c r="B10385" s="216" t="n">
        <v>36.84</v>
      </c>
      <c r="C10385" s="216" t="n">
        <v>40.34</v>
      </c>
      <c r="D10385" s="216" t="n">
        <v>1.13311505317688</v>
      </c>
      <c r="E10385" s="215" t="n">
        <v>46111</v>
      </c>
      <c r="F10385" s="215" t="n">
        <v>46111</v>
      </c>
    </row>
    <row r="10386">
      <c r="A10386" s="215" t="n">
        <v>46112</v>
      </c>
      <c r="B10386" s="216" t="n">
        <v>36.54</v>
      </c>
      <c r="C10386" s="216" t="n">
        <v>41</v>
      </c>
      <c r="D10386" s="216" t="n">
        <v>1.133540987968445</v>
      </c>
      <c r="E10386" s="215" t="n">
        <v>46112</v>
      </c>
      <c r="F10386" s="215" t="n">
        <v>46112</v>
      </c>
    </row>
    <row r="10387">
      <c r="A10387" s="215" t="n">
        <v>46113</v>
      </c>
      <c r="B10387" s="216" t="n">
        <v>37.36</v>
      </c>
      <c r="C10387" s="216" t="n">
        <v>41.76</v>
      </c>
      <c r="D10387" s="216" t="n">
        <v>1.136669993400574</v>
      </c>
      <c r="E10387" s="215" t="n">
        <v>46113</v>
      </c>
      <c r="F10387" s="215" t="n">
        <v>46113</v>
      </c>
    </row>
    <row r="10388">
      <c r="A10388" s="215" t="n">
        <v>46114</v>
      </c>
      <c r="B10388" s="216" t="n">
        <v>38.14</v>
      </c>
      <c r="C10388" s="216" t="n">
        <v>42.22</v>
      </c>
      <c r="D10388" s="216" t="n">
        <v>1.140197992324829</v>
      </c>
      <c r="E10388" s="215" t="n">
        <v>46114</v>
      </c>
      <c r="F10388" s="215" t="n">
        <v>46114</v>
      </c>
    </row>
    <row r="10389">
      <c r="A10389" s="215" t="n">
        <v>46120</v>
      </c>
      <c r="B10389" s="216" t="n">
        <v>37.8</v>
      </c>
      <c r="C10389" s="216" t="n">
        <v>41.15</v>
      </c>
      <c r="D10389" s="216" t="n">
        <v>1.1423499584198</v>
      </c>
      <c r="E10389" s="215" t="n">
        <v>46120</v>
      </c>
      <c r="F10389" s="215" t="n">
        <v>46120</v>
      </c>
    </row>
    <row r="10390">
      <c r="A10390" s="215" t="n">
        <v>46121</v>
      </c>
      <c r="B10390" s="216" t="n">
        <v>37.44</v>
      </c>
      <c r="C10390" s="216" t="n">
        <v>41.15</v>
      </c>
      <c r="D10390" s="216" t="n">
        <v>1.146731972694397</v>
      </c>
      <c r="E10390" s="215" t="n">
        <v>46121</v>
      </c>
      <c r="F10390" s="215" t="n">
        <v>46121</v>
      </c>
    </row>
    <row r="10391">
      <c r="A10391" s="215" t="n">
        <v>46122</v>
      </c>
      <c r="B10391" s="216" t="n">
        <v>37.82</v>
      </c>
      <c r="C10391" s="216" t="n">
        <v>41.35</v>
      </c>
      <c r="D10391" s="216" t="n">
        <v>1.146558046340942</v>
      </c>
      <c r="E10391" s="215" t="n">
        <v>46122</v>
      </c>
      <c r="F10391" s="215" t="n">
        <v>46122</v>
      </c>
    </row>
    <row r="10392">
      <c r="A10392" s="215" t="n">
        <v>46125</v>
      </c>
      <c r="B10392" s="216" t="n">
        <v>37.14</v>
      </c>
      <c r="C10392" s="216" t="n">
        <v>40.99</v>
      </c>
      <c r="D10392" s="216" t="n">
        <v>1.147117972373962</v>
      </c>
      <c r="E10392" s="215" t="n">
        <v>46125</v>
      </c>
      <c r="F10392" s="215" t="n">
        <v>46125</v>
      </c>
    </row>
    <row r="10393">
      <c r="A10393" s="215" t="n">
        <v>46126</v>
      </c>
      <c r="B10393" s="216" t="n">
        <v>36.8</v>
      </c>
      <c r="C10393" s="216" t="n">
        <v>40.77</v>
      </c>
      <c r="D10393" s="216" t="n">
        <v>1.146226048469543</v>
      </c>
      <c r="E10393" s="215" t="n">
        <v>46126</v>
      </c>
      <c r="F10393" s="215" t="n">
        <v>46126</v>
      </c>
    </row>
    <row r="10394">
      <c r="A10394" s="215" t="n">
        <v>46127</v>
      </c>
      <c r="B10394" s="216" t="n">
        <v>36.5</v>
      </c>
      <c r="C10394" s="216" t="n">
        <v>40.92</v>
      </c>
      <c r="D10394" s="216" t="n">
        <v>1.149266004562378</v>
      </c>
      <c r="E10394" s="215" t="n">
        <v>46127</v>
      </c>
      <c r="F10394" s="215" t="n">
        <v>46127</v>
      </c>
    </row>
    <row r="10395">
      <c r="A10395" s="215" t="n">
        <v>46128</v>
      </c>
      <c r="B10395" s="216" t="n">
        <v>36.38</v>
      </c>
      <c r="C10395" s="216" t="n">
        <v>40.74</v>
      </c>
      <c r="D10395" s="216" t="n">
        <v>1.148550033569336</v>
      </c>
      <c r="E10395" s="215" t="n">
        <v>46128</v>
      </c>
      <c r="F10395" s="215" t="n">
        <v>46128</v>
      </c>
    </row>
    <row r="10396">
      <c r="A10396" s="215" t="n">
        <v>46129</v>
      </c>
      <c r="B10396" s="216" t="n">
        <v>36.06</v>
      </c>
      <c r="C10396" s="216" t="n">
        <v>39.94</v>
      </c>
      <c r="D10396" s="216" t="n">
        <v>1.146605014801025</v>
      </c>
      <c r="E10396" s="215" t="n">
        <v>46129</v>
      </c>
      <c r="F10396" s="215" t="n">
        <v>46129</v>
      </c>
    </row>
    <row r="10397">
      <c r="A10397" s="215" t="n">
        <v>46132</v>
      </c>
      <c r="B10397" s="216" t="n">
        <v>36.92</v>
      </c>
      <c r="C10397" s="216" t="n">
        <v>40.29</v>
      </c>
      <c r="D10397" s="216" t="n">
        <v>1.148360967636108</v>
      </c>
      <c r="E10397" s="215" t="n">
        <v>46132</v>
      </c>
      <c r="F10397" s="215" t="n">
        <v>46132</v>
      </c>
    </row>
    <row r="10398">
      <c r="A10398" s="215" t="n">
        <v>46133</v>
      </c>
      <c r="B10398" s="216" t="n">
        <v>36.9</v>
      </c>
      <c r="C10398" s="216" t="n">
        <v>40.65</v>
      </c>
      <c r="D10398" s="216" t="n">
        <v>1.148368000984192</v>
      </c>
      <c r="E10398" s="215" t="n">
        <v>46133</v>
      </c>
      <c r="F10398" s="215" t="n">
        <v>46133</v>
      </c>
    </row>
    <row r="10399">
      <c r="A10399" s="215" t="n">
        <v>46134</v>
      </c>
      <c r="B10399" s="216" t="n">
        <v>36.36</v>
      </c>
      <c r="C10399" s="216" t="n">
        <v>39.83</v>
      </c>
      <c r="D10399" s="216" t="n">
        <v>1.147838950157166</v>
      </c>
      <c r="E10399" s="215" t="n">
        <v>46134</v>
      </c>
      <c r="F10399" s="215" t="n">
        <v>46134</v>
      </c>
    </row>
    <row r="10400">
      <c r="A10400" s="215" t="n">
        <v>46135</v>
      </c>
      <c r="B10400" s="216" t="n">
        <v>36.1</v>
      </c>
      <c r="C10400" s="216" t="n">
        <v>39.58</v>
      </c>
      <c r="D10400" s="216" t="n">
        <v>1.147513031959534</v>
      </c>
      <c r="E10400" s="215" t="n">
        <v>46135</v>
      </c>
      <c r="F10400" s="215" t="n">
        <v>46135</v>
      </c>
    </row>
    <row r="10401">
      <c r="A10401" s="215" t="n">
        <v>46136</v>
      </c>
      <c r="B10401" s="216" t="n">
        <v>36.14</v>
      </c>
      <c r="C10401" s="216" t="n">
        <v>39.92</v>
      </c>
      <c r="D10401" s="216" t="n">
        <v>1.147369027137756</v>
      </c>
      <c r="E10401" s="215" t="n">
        <v>46136</v>
      </c>
      <c r="F10401" s="215" t="n">
        <v>46136</v>
      </c>
    </row>
    <row r="10402">
      <c r="A10402" s="215" t="n">
        <v>46139</v>
      </c>
      <c r="B10402" s="216" t="n">
        <v>36.56</v>
      </c>
      <c r="C10402" s="216" t="n">
        <v>39.85</v>
      </c>
      <c r="D10402" s="216" t="n">
        <v>1.146002054214478</v>
      </c>
      <c r="E10402" s="215" t="n">
        <v>46139</v>
      </c>
      <c r="F10402" s="215" t="n">
        <v>46139</v>
      </c>
    </row>
    <row r="10403">
      <c r="A10403" s="215" t="n">
        <v>46140</v>
      </c>
      <c r="B10403" s="216" t="n">
        <v>36.7</v>
      </c>
      <c r="C10403" s="216" t="n">
        <v>39.26</v>
      </c>
      <c r="D10403" s="216" t="n">
        <v>1.148522019386292</v>
      </c>
      <c r="E10403" s="215" t="n">
        <v>46140</v>
      </c>
      <c r="F10403" s="215" t="n">
        <v>46140</v>
      </c>
    </row>
    <row r="10404">
      <c r="A10404" s="215" t="n">
        <v>46141</v>
      </c>
      <c r="B10404" s="216" t="n">
        <v>36.5</v>
      </c>
      <c r="C10404" s="216" t="n">
        <v>39.27</v>
      </c>
      <c r="D10404" s="216" t="n">
        <v>1.145936012268066</v>
      </c>
      <c r="E10404" s="215" t="n">
        <v>46141</v>
      </c>
      <c r="F10404" s="215" t="n">
        <v>46141</v>
      </c>
    </row>
    <row r="10405">
      <c r="A10405" s="215" t="n">
        <v>46142</v>
      </c>
      <c r="B10405" s="216" t="n">
        <v>35</v>
      </c>
      <c r="C10405" s="216" t="n">
        <v>38.64</v>
      </c>
      <c r="D10405" s="216" t="n">
        <v>1.145792007446289</v>
      </c>
      <c r="E10405" s="215" t="n">
        <v>46142</v>
      </c>
      <c r="F10405" s="215" t="n">
        <v>46142</v>
      </c>
    </row>
    <row r="10406">
      <c r="A10406" s="215" t="n">
        <v>46146</v>
      </c>
      <c r="B10406" s="216" t="n">
        <v>34.8</v>
      </c>
      <c r="C10406" s="216" t="n">
        <v>38.64</v>
      </c>
      <c r="D10406" s="216" t="n">
        <v>1.147340059280396</v>
      </c>
      <c r="E10406" s="215" t="n">
        <v>46142</v>
      </c>
      <c r="F10406" s="215" t="n">
        <v>46146</v>
      </c>
    </row>
    <row r="10407">
      <c r="A10407" s="215" t="n">
        <v>46147</v>
      </c>
      <c r="B10407" s="216" t="n">
        <v>34.44</v>
      </c>
      <c r="C10407" s="216" t="n">
        <v>38.64</v>
      </c>
      <c r="D10407" s="216" t="n">
        <v>1.146813988685608</v>
      </c>
      <c r="E10407" s="215" t="n">
        <v>46142</v>
      </c>
      <c r="F10407" s="215" t="n">
        <v>46147</v>
      </c>
    </row>
    <row r="10408">
      <c r="A10408" s="215" t="n">
        <v>46148</v>
      </c>
      <c r="B10408" s="216" t="n">
        <v>34.34</v>
      </c>
      <c r="C10408" s="216" t="n">
        <v>38.74</v>
      </c>
      <c r="D10408" s="216" t="n">
        <v>1.14708399772644</v>
      </c>
      <c r="E10408" s="215" t="n">
        <v>46148</v>
      </c>
      <c r="F10408" s="215" t="n">
        <v>46148</v>
      </c>
    </row>
    <row r="10409">
      <c r="A10409" s="215" t="n">
        <v>46149</v>
      </c>
      <c r="B10409" s="216" t="n">
        <v>34.48</v>
      </c>
      <c r="C10409" s="216" t="n">
        <v>38.73</v>
      </c>
      <c r="D10409" s="216" t="n">
        <v>1.150125026702881</v>
      </c>
      <c r="E10409" s="215" t="n">
        <v>46149</v>
      </c>
      <c r="F10409" s="215" t="n">
        <v>46149</v>
      </c>
    </row>
    <row r="10410">
      <c r="A10410" s="215" t="n">
        <v>46150</v>
      </c>
      <c r="B10410" s="216" t="n">
        <v>34.1</v>
      </c>
      <c r="C10410" s="216" t="n">
        <v>38.18</v>
      </c>
      <c r="D10410" s="216" t="n">
        <v>1.15172004699707</v>
      </c>
      <c r="E10410" s="215" t="n">
        <v>46150</v>
      </c>
      <c r="F10410" s="215" t="n">
        <v>46150</v>
      </c>
    </row>
    <row r="10411">
      <c r="A10411" s="215" t="n">
        <v>46153</v>
      </c>
      <c r="B10411" s="216" t="n">
        <v>34.2</v>
      </c>
      <c r="C10411" s="216" t="n">
        <v>38.15</v>
      </c>
      <c r="D10411" s="216" t="n">
        <v>1.151090025901794</v>
      </c>
      <c r="E10411" s="215" t="n">
        <v>46153</v>
      </c>
      <c r="F10411" s="215" t="n">
        <v>46153</v>
      </c>
    </row>
    <row r="10412">
      <c r="A10412" s="215" t="n">
        <v>46154</v>
      </c>
      <c r="B10412" s="216" t="n">
        <v>33.98</v>
      </c>
      <c r="C10412" s="216" t="n">
        <v>37.84</v>
      </c>
      <c r="D10412" s="216" t="n">
        <v>1.152078986167908</v>
      </c>
      <c r="E10412" s="215" t="n">
        <v>46154</v>
      </c>
      <c r="F10412" s="215" t="n">
        <v>46154</v>
      </c>
    </row>
    <row r="10413">
      <c r="A10413" s="215" t="n">
        <v>46155</v>
      </c>
      <c r="B10413" s="216" t="n">
        <v>32.9</v>
      </c>
      <c r="C10413" s="216" t="n">
        <v>37.74</v>
      </c>
      <c r="D10413" s="216" t="n">
        <v>1.152537941932678</v>
      </c>
      <c r="E10413" s="215" t="n">
        <v>46155</v>
      </c>
      <c r="F10413" s="215" t="n">
        <v>46155</v>
      </c>
    </row>
    <row r="10414">
      <c r="A10414" s="215" t="n">
        <v>46156</v>
      </c>
      <c r="B10414" s="216" t="n">
        <v>32.5</v>
      </c>
      <c r="C10414" s="216" t="n">
        <v>37.35</v>
      </c>
      <c r="D10414" s="216" t="n">
        <v>1.152662992477417</v>
      </c>
      <c r="E10414" s="215" t="n">
        <v>46156</v>
      </c>
      <c r="F10414" s="215" t="n">
        <v>46156</v>
      </c>
    </row>
    <row r="10415">
      <c r="A10415" s="215" t="n">
        <v>46157</v>
      </c>
      <c r="B10415" s="216" t="n">
        <v>32.42</v>
      </c>
      <c r="C10415" s="216" t="n">
        <v>36.81</v>
      </c>
      <c r="D10415" s="216" t="n">
        <v>1.154320001602173</v>
      </c>
      <c r="E10415" s="215" t="n">
        <v>46157</v>
      </c>
      <c r="F10415" s="215" t="n">
        <v>46157</v>
      </c>
    </row>
    <row r="10416">
      <c r="A10416" s="215" t="n">
        <v>46160</v>
      </c>
      <c r="B10416" s="216" t="n">
        <v>31.9</v>
      </c>
      <c r="C10416" s="216" t="n">
        <v>36.38</v>
      </c>
      <c r="D10416" s="216" t="n">
        <v>1.149821996688843</v>
      </c>
      <c r="E10416" s="215" t="n">
        <v>46160</v>
      </c>
      <c r="F10416" s="215" t="n">
        <v>46160</v>
      </c>
    </row>
    <row r="10417">
      <c r="A10417" s="215" t="n">
        <v>46161</v>
      </c>
      <c r="B10417" s="216" t="n">
        <v>31.36</v>
      </c>
      <c r="C10417" s="216" t="n">
        <v>36.19</v>
      </c>
      <c r="D10417" s="216" t="n">
        <v>1.151532053947449</v>
      </c>
      <c r="E10417" s="215" t="n">
        <v>46161</v>
      </c>
      <c r="F10417" s="215" t="n">
        <v>46161</v>
      </c>
    </row>
    <row r="10418">
      <c r="A10418" s="215" t="n">
        <v>46162</v>
      </c>
      <c r="B10418" s="216" t="n">
        <v>31.32</v>
      </c>
      <c r="C10418" s="216" t="n">
        <v>35.88</v>
      </c>
      <c r="D10418" s="216" t="n">
        <v>1.149292945861816</v>
      </c>
      <c r="E10418" s="215" t="n">
        <v>46162</v>
      </c>
      <c r="F10418" s="215" t="n">
        <v>46162</v>
      </c>
    </row>
    <row r="10419">
      <c r="A10419" s="215" t="n">
        <v>46163</v>
      </c>
      <c r="B10419" s="216" t="n">
        <v>30.92</v>
      </c>
      <c r="C10419" s="216" t="n">
        <v>35.34</v>
      </c>
      <c r="D10419" s="216" t="n">
        <v>1.151231050491333</v>
      </c>
      <c r="E10419" s="215" t="n">
        <v>46163</v>
      </c>
      <c r="F10419" s="215" t="n">
        <v>46163</v>
      </c>
    </row>
    <row r="10420">
      <c r="A10420" s="215" t="n">
        <v>46164</v>
      </c>
      <c r="B10420" s="216" t="n">
        <v>30.88</v>
      </c>
      <c r="C10420" s="216" t="n">
        <v>35.29</v>
      </c>
      <c r="D10420" s="216" t="n">
        <v>1.151487946510315</v>
      </c>
      <c r="E10420" s="215" t="n">
        <v>46164</v>
      </c>
      <c r="F10420" s="215" t="n">
        <v>46164</v>
      </c>
    </row>
    <row r="10421">
      <c r="A10421" s="215" t="n">
        <v>46168</v>
      </c>
      <c r="B10421" s="216" t="n">
        <v>31.56</v>
      </c>
      <c r="C10421" s="216" t="n">
        <v>35.63</v>
      </c>
      <c r="D10421" s="216" t="n">
        <v>1.152968049049377</v>
      </c>
      <c r="E10421" s="215" t="n">
        <v>46168</v>
      </c>
      <c r="F10421" s="215" t="n">
        <v>46168</v>
      </c>
    </row>
    <row r="10422">
      <c r="A10422" s="215" t="n">
        <v>46169</v>
      </c>
      <c r="B10422" s="216" t="n">
        <v>31</v>
      </c>
      <c r="C10422" s="216" t="n">
        <v>35.85</v>
      </c>
      <c r="D10422" s="216" t="n">
        <v>1.154562950134277</v>
      </c>
      <c r="E10422" s="215" t="n">
        <v>46169</v>
      </c>
      <c r="F10422" s="215" t="n">
        <v>46169</v>
      </c>
    </row>
    <row r="10423">
      <c r="A10423" s="215" t="n">
        <v>46170</v>
      </c>
      <c r="B10423" s="216" t="n">
        <v>31.66</v>
      </c>
      <c r="C10423" s="216" t="n">
        <v>35.29</v>
      </c>
      <c r="D10423" s="216" t="n">
        <v>1.155385971069336</v>
      </c>
      <c r="E10423" s="215" t="n">
        <v>46170</v>
      </c>
      <c r="F10423" s="215" t="n">
        <v>46170</v>
      </c>
    </row>
    <row r="10424">
      <c r="A10424" s="215" t="n">
        <v>46171</v>
      </c>
      <c r="B10424" s="216" t="n">
        <v>32.62</v>
      </c>
      <c r="C10424" s="216" t="n">
        <v>35.92</v>
      </c>
      <c r="D10424" s="216" t="n">
        <v>1.155282974243164</v>
      </c>
      <c r="E10424" s="215" t="n">
        <v>46171</v>
      </c>
      <c r="F10424" s="215" t="n">
        <v>46171</v>
      </c>
    </row>
    <row r="10425">
      <c r="A10425" s="215" t="n">
        <v>46174</v>
      </c>
      <c r="B10425" s="216" t="n">
        <v>31.9</v>
      </c>
      <c r="C10425" s="216" t="n">
        <v>35.71</v>
      </c>
      <c r="D10425" s="216" t="n">
        <v>1.158049941062927</v>
      </c>
      <c r="E10425" s="215" t="n">
        <v>46174</v>
      </c>
      <c r="F10425" s="215" t="n">
        <v>46174</v>
      </c>
    </row>
    <row r="10426">
      <c r="A10426" s="215" t="n">
        <v>46175</v>
      </c>
      <c r="B10426" s="216" t="n">
        <v>31.2</v>
      </c>
      <c r="C10426" s="216" t="n">
        <v>34.68</v>
      </c>
      <c r="D10426" s="216" t="n">
        <v>1.158406972885132</v>
      </c>
      <c r="E10426" s="215" t="n">
        <v>46175</v>
      </c>
      <c r="F10426" s="215" t="n">
        <v>46175</v>
      </c>
    </row>
    <row r="10427">
      <c r="A10427" s="215" t="n">
        <v>46176</v>
      </c>
      <c r="B10427" s="216" t="n">
        <v>30.84</v>
      </c>
      <c r="C10427" s="216" t="n">
        <v>34.4</v>
      </c>
      <c r="D10427" s="216" t="n">
        <v>1.15879499912262</v>
      </c>
      <c r="E10427" s="215" t="n">
        <v>46176</v>
      </c>
      <c r="F10427" s="215" t="n">
        <v>46176</v>
      </c>
    </row>
    <row r="10428">
      <c r="A10428" s="215" t="n">
        <v>46177</v>
      </c>
      <c r="B10428" s="216" t="n">
        <v>30.44</v>
      </c>
      <c r="C10428" s="216" t="n">
        <v>33.8</v>
      </c>
      <c r="D10428" s="216" t="n">
        <v>1.157420039176941</v>
      </c>
      <c r="E10428" s="215" t="n">
        <v>46177</v>
      </c>
      <c r="F10428" s="215" t="n">
        <v>46177</v>
      </c>
    </row>
    <row r="10429">
      <c r="A10429" s="215" t="n">
        <v>46178</v>
      </c>
      <c r="B10429" s="216" t="n">
        <v>30.54</v>
      </c>
      <c r="C10429" s="216" t="n">
        <v>34.03</v>
      </c>
      <c r="D10429" s="216" t="n">
        <v>1.156491994857788</v>
      </c>
      <c r="E10429" s="215" t="n">
        <v>46178</v>
      </c>
      <c r="F10429" s="215" t="n">
        <v>46178</v>
      </c>
    </row>
    <row r="10430">
      <c r="A10430" s="215" t="n">
        <v>46181</v>
      </c>
      <c r="B10430" s="216" t="n">
        <v>31.2</v>
      </c>
      <c r="C10430" s="216" t="n">
        <v>34.07</v>
      </c>
      <c r="D10430" s="216" t="n">
        <v>1.157665967941284</v>
      </c>
      <c r="E10430" s="215" t="n">
        <v>46181</v>
      </c>
      <c r="F10430" s="215" t="n">
        <v>46181</v>
      </c>
    </row>
    <row r="10431">
      <c r="A10431" s="215" t="n">
        <v>46182</v>
      </c>
      <c r="B10431" s="216" t="n">
        <v>31.76</v>
      </c>
      <c r="C10431" s="216" t="n">
        <v>34.89</v>
      </c>
      <c r="D10431" s="216" t="n">
        <v>1.158027052879333</v>
      </c>
      <c r="E10431" s="215" t="n">
        <v>46182</v>
      </c>
      <c r="F10431" s="215" t="n">
        <v>46182</v>
      </c>
    </row>
    <row r="10432">
      <c r="A10432" s="215" t="n">
        <v>46183</v>
      </c>
      <c r="B10432" s="216" t="n">
        <v>31.62</v>
      </c>
      <c r="C10432" s="216" t="n">
        <v>35.1</v>
      </c>
      <c r="D10432" s="216" t="n">
        <v>1.157112002372742</v>
      </c>
      <c r="E10432" s="215" t="n">
        <v>46183</v>
      </c>
      <c r="F10432" s="215" t="n">
        <v>46183</v>
      </c>
    </row>
    <row r="10433">
      <c r="A10433" s="215" t="n">
        <v>46184</v>
      </c>
      <c r="B10433" s="216" t="n">
        <v>31.9</v>
      </c>
      <c r="C10433" s="216" t="n">
        <v>35.17</v>
      </c>
      <c r="D10433" s="216" t="n">
        <v>1.156929016113281</v>
      </c>
      <c r="E10433" s="215" t="n">
        <v>46184</v>
      </c>
      <c r="F10433" s="215" t="n">
        <v>46184</v>
      </c>
    </row>
    <row r="10434">
      <c r="A10434" s="215" t="n">
        <v>46185</v>
      </c>
      <c r="B10434" s="216" t="n">
        <v>31.94</v>
      </c>
      <c r="C10434" s="216" t="n">
        <v>35.53</v>
      </c>
      <c r="D10434" s="216" t="n">
        <v>1.156345963478088</v>
      </c>
      <c r="E10434" s="215" t="n">
        <v>46185</v>
      </c>
      <c r="F10434" s="215" t="n">
        <v>46185</v>
      </c>
    </row>
    <row r="10435">
      <c r="A10435" s="215" t="n">
        <v>46188</v>
      </c>
      <c r="B10435" s="216" t="n">
        <v>31.48</v>
      </c>
      <c r="C10435" s="216" t="n">
        <v>34.14</v>
      </c>
      <c r="D10435" s="216" t="n">
        <v>1.156880021095276</v>
      </c>
      <c r="E10435" s="215" t="n">
        <v>46188</v>
      </c>
      <c r="F10435" s="215" t="n">
        <v>46188</v>
      </c>
    </row>
    <row r="10436">
      <c r="A10436" s="215" t="n">
        <v>46189</v>
      </c>
      <c r="B10436" s="216" t="n">
        <v>31.22</v>
      </c>
      <c r="C10436" s="216" t="n">
        <v>33.79</v>
      </c>
      <c r="D10436" s="216" t="n">
        <v>1.158604025840759</v>
      </c>
      <c r="E10436" s="215" t="n">
        <v>46189</v>
      </c>
      <c r="F10436" s="215" t="n">
        <v>46189</v>
      </c>
    </row>
    <row r="10437">
      <c r="A10437" s="215" t="n">
        <v>46190</v>
      </c>
      <c r="B10437" s="216" t="n">
        <v>30</v>
      </c>
      <c r="C10437" s="216" t="n">
        <v>33.32</v>
      </c>
      <c r="D10437" s="216" t="n">
        <v>1.158974051475525</v>
      </c>
      <c r="E10437" s="215" t="n">
        <v>46190</v>
      </c>
      <c r="F10437" s="215" t="n">
        <v>46190</v>
      </c>
    </row>
    <row r="10438">
      <c r="A10438" s="215" t="n">
        <v>46191</v>
      </c>
      <c r="B10438" s="216" t="n">
        <v>29.56</v>
      </c>
      <c r="C10438" s="216" t="n">
        <v>32.44</v>
      </c>
      <c r="D10438" s="216" t="n">
        <v>1.159355998039246</v>
      </c>
      <c r="E10438" s="215" t="n">
        <v>46191</v>
      </c>
      <c r="F10438" s="215" t="n">
        <v>46191</v>
      </c>
    </row>
    <row r="10439">
      <c r="A10439" s="215" t="n">
        <v>46195</v>
      </c>
      <c r="B10439" s="216" t="n">
        <v>29.14</v>
      </c>
      <c r="C10439" s="216" t="n">
        <v>33.04</v>
      </c>
      <c r="D10439" s="216" t="n">
        <v>1.157493948936462</v>
      </c>
      <c r="E10439" s="215" t="n">
        <v>46195</v>
      </c>
      <c r="F10439" s="215" t="n">
        <v>46195</v>
      </c>
    </row>
    <row r="10440">
      <c r="A10440" s="215" t="n">
        <v>46196</v>
      </c>
      <c r="B10440" s="216" t="n">
        <v>30</v>
      </c>
      <c r="C10440" s="216" t="n">
        <v>34.18</v>
      </c>
      <c r="D10440" s="216" t="n">
        <v>1.156896948814392</v>
      </c>
      <c r="E10440" s="215" t="n">
        <v>46196</v>
      </c>
      <c r="F10440" s="215" t="n">
        <v>46196</v>
      </c>
    </row>
    <row r="10441">
      <c r="A10441" s="215" t="n">
        <v>46197</v>
      </c>
      <c r="B10441" s="216" t="n">
        <v>30.1</v>
      </c>
      <c r="C10441" s="216" t="n">
        <v>35.01</v>
      </c>
      <c r="D10441" s="216" t="n">
        <v>1.154508948326111</v>
      </c>
      <c r="E10441" s="215" t="n">
        <v>46197</v>
      </c>
      <c r="F10441" s="215" t="n">
        <v>46197</v>
      </c>
    </row>
    <row r="10442">
      <c r="A10442" s="215" t="n">
        <v>46198</v>
      </c>
      <c r="B10442" s="216" t="n">
        <v>29.64</v>
      </c>
      <c r="C10442" s="216" t="n">
        <v>33.92</v>
      </c>
      <c r="D10442" s="216" t="n">
        <v>1.154152035713196</v>
      </c>
      <c r="E10442" s="215" t="n">
        <v>46198</v>
      </c>
      <c r="F10442" s="215" t="n">
        <v>46198</v>
      </c>
    </row>
    <row r="10443">
      <c r="A10443" s="215" t="n">
        <v>46199</v>
      </c>
      <c r="B10443" s="216" t="n">
        <v>29</v>
      </c>
      <c r="C10443" s="216" t="n">
        <v>32.98</v>
      </c>
      <c r="D10443" s="216" t="n">
        <v>1.154500961303711</v>
      </c>
      <c r="E10443" s="215" t="n">
        <v>46199</v>
      </c>
      <c r="F10443" s="215" t="n">
        <v>46199</v>
      </c>
    </row>
    <row r="10444">
      <c r="A10444" s="215" t="n">
        <v>46202</v>
      </c>
      <c r="B10444" s="216" t="n">
        <v>30.8</v>
      </c>
      <c r="C10444" s="216" t="n">
        <v>34.08</v>
      </c>
      <c r="D10444" s="216" t="n">
        <v>1.153512001037598</v>
      </c>
      <c r="E10444" s="215" t="n">
        <v>46202</v>
      </c>
      <c r="F10444" s="215" t="n">
        <v>46202</v>
      </c>
    </row>
    <row r="10445">
      <c r="A10445" s="215" t="n">
        <v>46203</v>
      </c>
      <c r="B10445" s="216" t="n">
        <v>29.88</v>
      </c>
      <c r="C10445" s="216" t="n">
        <v>33.16</v>
      </c>
      <c r="D10445" s="216" t="n">
        <v>1.153959035873413</v>
      </c>
      <c r="E10445" s="215" t="n">
        <v>46203</v>
      </c>
      <c r="F10445" s="215" t="n">
        <v>46203</v>
      </c>
    </row>
    <row r="10446">
      <c r="A10446" s="215" t="n">
        <v>46205</v>
      </c>
      <c r="B10446" s="216" t="n">
        <v>30.26</v>
      </c>
      <c r="C10446" s="216" t="n">
        <v>33.56</v>
      </c>
      <c r="D10446" s="216" t="n">
        <v>1.154355049133301</v>
      </c>
      <c r="E10446" s="215" t="n">
        <v>46205</v>
      </c>
      <c r="F10446" s="215" t="n">
        <v>46205</v>
      </c>
    </row>
    <row r="10447">
      <c r="A10447" s="215" t="n">
        <v>46206</v>
      </c>
      <c r="B10447" s="216" t="n">
        <v>30.88</v>
      </c>
      <c r="C10447" s="216" t="n">
        <v>34.01</v>
      </c>
      <c r="D10447" s="216" t="n">
        <v>1.155220985412598</v>
      </c>
      <c r="E10447" s="215" t="n">
        <v>46206</v>
      </c>
      <c r="F10447" s="215" t="n">
        <v>46206</v>
      </c>
    </row>
    <row r="10448">
      <c r="A10448" s="215" t="n">
        <v>46209</v>
      </c>
      <c r="B10448" s="216" t="n">
        <v>31.22</v>
      </c>
      <c r="C10448" s="216" t="n">
        <v>34.36</v>
      </c>
      <c r="D10448" s="216" t="n">
        <v>1.155068039894104</v>
      </c>
      <c r="E10448" s="215" t="n">
        <v>46209</v>
      </c>
      <c r="F10448" s="215" t="n">
        <v>46209</v>
      </c>
    </row>
    <row r="10449">
      <c r="A10449" s="215" t="n">
        <v>46210</v>
      </c>
      <c r="B10449" s="216" t="n">
        <v>30.54</v>
      </c>
      <c r="C10449" s="216" t="n">
        <v>34.11</v>
      </c>
      <c r="D10449" s="216" t="n">
        <v>1.153807997703552</v>
      </c>
      <c r="E10449" s="215" t="n">
        <v>46210</v>
      </c>
      <c r="F10449" s="215" t="n">
        <v>46210</v>
      </c>
    </row>
    <row r="10450">
      <c r="A10450" s="215" t="n">
        <v>46211</v>
      </c>
      <c r="B10450" s="216" t="n">
        <v>30.04</v>
      </c>
      <c r="C10450" s="216" t="n">
        <v>34.1</v>
      </c>
      <c r="D10450" s="216" t="n">
        <v>1.154153943061829</v>
      </c>
      <c r="E10450" s="215" t="n">
        <v>46211</v>
      </c>
      <c r="F10450" s="215" t="n">
        <v>46211</v>
      </c>
    </row>
    <row r="10451">
      <c r="A10451" s="215" t="n">
        <v>46212</v>
      </c>
      <c r="B10451" s="216" t="n">
        <v>29.52</v>
      </c>
      <c r="C10451" s="216" t="n">
        <v>33.33</v>
      </c>
      <c r="D10451" s="216" t="n">
        <v>1.152119994163513</v>
      </c>
      <c r="E10451" s="215" t="n">
        <v>46212</v>
      </c>
      <c r="F10451" s="215" t="n">
        <v>46212</v>
      </c>
    </row>
    <row r="10452">
      <c r="A10452" s="215" t="n">
        <v>46213</v>
      </c>
      <c r="B10452" s="216" t="n">
        <v>30.16</v>
      </c>
      <c r="C10452" s="216" t="n">
        <v>33.72</v>
      </c>
      <c r="D10452" s="216" t="n">
        <v>1.153550028800964</v>
      </c>
      <c r="E10452" s="215" t="n">
        <v>46213</v>
      </c>
      <c r="F10452" s="215" t="n">
        <v>46213</v>
      </c>
    </row>
    <row r="10453">
      <c r="A10453" s="215" t="n">
        <v>46216</v>
      </c>
      <c r="B10453" s="216" t="n">
        <v>30.32</v>
      </c>
      <c r="C10453" s="216" t="n">
        <v>34.4</v>
      </c>
      <c r="D10453" s="216" t="n">
        <v>1.156761050224304</v>
      </c>
      <c r="E10453" s="215" t="n">
        <v>46216</v>
      </c>
      <c r="F10453" s="215" t="n">
        <v>46216</v>
      </c>
    </row>
    <row r="10454">
      <c r="A10454" s="215" t="n">
        <v>46217</v>
      </c>
      <c r="B10454" s="216" t="n">
        <v>30.48</v>
      </c>
      <c r="C10454" s="216" t="n">
        <v>34.56</v>
      </c>
      <c r="D10454" s="216" t="n">
        <v>1.155825972557068</v>
      </c>
      <c r="E10454" s="215" t="n">
        <v>46217</v>
      </c>
      <c r="F10454" s="215" t="n">
        <v>46217</v>
      </c>
    </row>
    <row r="10455">
      <c r="A10455" s="215" t="n">
        <v>46218</v>
      </c>
      <c r="B10455" s="216" t="n">
        <v>31.42</v>
      </c>
      <c r="C10455" s="216" t="n">
        <v>35.55</v>
      </c>
      <c r="D10455" s="216" t="n">
        <v>1.157556056976318</v>
      </c>
      <c r="E10455" s="215" t="n">
        <v>46218</v>
      </c>
      <c r="F10455" s="215" t="n">
        <v>46218</v>
      </c>
    </row>
    <row r="10456">
      <c r="A10456" s="215" t="n">
        <v>46219</v>
      </c>
      <c r="B10456" s="216" t="n">
        <v>31.9</v>
      </c>
      <c r="C10456" s="216" t="n">
        <v>36.32</v>
      </c>
      <c r="D10456" s="216" t="n">
        <v>1.157912969589233</v>
      </c>
      <c r="E10456" s="215" t="n">
        <v>46219</v>
      </c>
      <c r="F10456" s="215" t="n">
        <v>46219</v>
      </c>
    </row>
    <row r="10457">
      <c r="A10457" s="215" t="n">
        <v>46220</v>
      </c>
      <c r="B10457" s="216" t="n">
        <v>31.44</v>
      </c>
      <c r="C10457" s="216" t="n">
        <v>36</v>
      </c>
      <c r="D10457" s="216" t="n">
        <v>1.157472014427185</v>
      </c>
      <c r="E10457" s="215" t="n">
        <v>46220</v>
      </c>
      <c r="F10457" s="215" t="n">
        <v>46220</v>
      </c>
    </row>
    <row r="10458">
      <c r="A10458" s="215" t="n">
        <v>46223</v>
      </c>
      <c r="B10458" s="216" t="n">
        <v>32.4</v>
      </c>
      <c r="C10458" s="216" t="n">
        <v>37</v>
      </c>
      <c r="D10458" s="216" t="n">
        <v>1.157451033592224</v>
      </c>
      <c r="E10458" s="215" t="n">
        <v>46223</v>
      </c>
      <c r="F10458" s="215" t="n">
        <v>46223</v>
      </c>
    </row>
    <row r="10459">
      <c r="A10459" s="215" t="n">
        <v>46224</v>
      </c>
      <c r="B10459" s="216" t="n">
        <v>32</v>
      </c>
      <c r="C10459" s="216" t="n">
        <v>36.52</v>
      </c>
      <c r="D10459" s="216" t="n">
        <v>1.157506942749023</v>
      </c>
      <c r="E10459" s="215" t="n">
        <v>46224</v>
      </c>
      <c r="F10459" s="215" t="n">
        <v>46224</v>
      </c>
    </row>
    <row r="10460">
      <c r="A10460" s="215" t="n">
        <v>46225</v>
      </c>
      <c r="B10460" s="216" t="n">
        <v>31.82</v>
      </c>
      <c r="C10460" s="216" t="n">
        <v>36.45</v>
      </c>
      <c r="D10460" s="216" t="n">
        <v>1.158938050270081</v>
      </c>
      <c r="E10460" s="215" t="n">
        <v>46225</v>
      </c>
      <c r="F10460" s="215" t="n">
        <v>46225</v>
      </c>
    </row>
    <row r="10461">
      <c r="A10461" s="215" t="n">
        <v>46226</v>
      </c>
      <c r="B10461" s="216" t="n">
        <v>31.88</v>
      </c>
      <c r="C10461" s="216" t="n">
        <v>36.65</v>
      </c>
      <c r="D10461" s="216" t="n">
        <v>1.157410979270935</v>
      </c>
      <c r="E10461" s="215" t="n">
        <v>46226</v>
      </c>
      <c r="F10461" s="215" t="n">
        <v>46226</v>
      </c>
    </row>
    <row r="10462">
      <c r="A10462" s="215" t="n">
        <v>46227</v>
      </c>
      <c r="B10462" s="216" t="n">
        <v>31.52</v>
      </c>
      <c r="C10462" s="216" t="n">
        <v>35.85</v>
      </c>
      <c r="D10462" s="216" t="n">
        <v>1.15762197971344</v>
      </c>
      <c r="E10462" s="215" t="n">
        <v>46227</v>
      </c>
      <c r="F10462" s="215" t="n">
        <v>46227</v>
      </c>
    </row>
    <row r="10463">
      <c r="A10463" s="215" t="n">
        <v>46230</v>
      </c>
      <c r="B10463" s="216" t="n">
        <v>31.88</v>
      </c>
      <c r="C10463" s="216" t="n">
        <v>36.02</v>
      </c>
      <c r="D10463" s="216" t="n">
        <v>1.15789794921875</v>
      </c>
      <c r="E10463" s="215" t="n">
        <v>46230</v>
      </c>
      <c r="F10463" s="215" t="n">
        <v>46230</v>
      </c>
    </row>
    <row r="10464">
      <c r="A10464" s="215" t="n">
        <v>46231</v>
      </c>
      <c r="B10464" s="216" t="n">
        <v>32.54</v>
      </c>
      <c r="C10464" s="216" t="n">
        <v>37.01</v>
      </c>
      <c r="D10464" s="216" t="n">
        <v>1.158699035644531</v>
      </c>
      <c r="E10464" s="215" t="n">
        <v>46231</v>
      </c>
      <c r="F10464" s="215" t="n">
        <v>46231</v>
      </c>
    </row>
    <row r="10465">
      <c r="A10465" s="215" t="n">
        <v>46232</v>
      </c>
      <c r="B10465" s="216" t="n">
        <v>33.14</v>
      </c>
      <c r="C10465" s="216" t="n">
        <v>37.64</v>
      </c>
      <c r="D10465" s="216" t="n">
        <v>1.157909989356995</v>
      </c>
      <c r="E10465" s="215" t="n">
        <v>46232</v>
      </c>
      <c r="F10465" s="215" t="n">
        <v>46232</v>
      </c>
    </row>
    <row r="10466">
      <c r="A10466" s="215" t="n">
        <v>46233</v>
      </c>
      <c r="B10466" s="216" t="n">
        <v>33.78</v>
      </c>
      <c r="C10466" s="216" t="n">
        <v>38.66</v>
      </c>
      <c r="D10466" s="216" t="n">
        <v>1.158943057060242</v>
      </c>
      <c r="E10466" s="215" t="n">
        <v>46233</v>
      </c>
      <c r="F10466" s="215" t="n">
        <v>46233</v>
      </c>
    </row>
    <row r="10467">
      <c r="A10467" s="215" t="n">
        <v>46234</v>
      </c>
      <c r="B10467" s="216" t="n">
        <v>32.88</v>
      </c>
      <c r="C10467" s="216" t="n">
        <v>38.44</v>
      </c>
      <c r="D10467" s="216" t="n">
        <v>1.160945057868958</v>
      </c>
      <c r="E10467" s="215" t="n">
        <v>46234</v>
      </c>
      <c r="F10467" s="215" t="n">
        <v>46234</v>
      </c>
    </row>
    <row r="10468">
      <c r="A10468" s="215" t="n">
        <v>46237</v>
      </c>
      <c r="B10468" s="216" t="n">
        <v>32.72</v>
      </c>
      <c r="C10468" s="216" t="n">
        <v>38.02</v>
      </c>
      <c r="D10468" s="216" t="n">
        <v>1.161579966545105</v>
      </c>
      <c r="E10468" s="215" t="n">
        <v>46237</v>
      </c>
      <c r="F10468" s="215" t="n">
        <v>46237</v>
      </c>
    </row>
    <row r="10469">
      <c r="A10469" s="215" t="n">
        <v>46238</v>
      </c>
      <c r="B10469" s="216" t="n">
        <v>32.24</v>
      </c>
      <c r="C10469" s="216" t="n">
        <v>37.33</v>
      </c>
      <c r="D10469" s="216" t="n">
        <v>1.161064982414246</v>
      </c>
      <c r="E10469" s="215" t="n">
        <v>46238</v>
      </c>
      <c r="F10469" s="215" t="n">
        <v>46238</v>
      </c>
    </row>
    <row r="10470">
      <c r="A10470" s="215" t="n">
        <v>46239</v>
      </c>
      <c r="B10470" s="216" t="n">
        <v>32.34</v>
      </c>
      <c r="C10470" s="216" t="n">
        <v>36.97</v>
      </c>
      <c r="D10470" s="216" t="n">
        <v>1.161146998405457</v>
      </c>
      <c r="E10470" s="215" t="n">
        <v>46239</v>
      </c>
      <c r="F10470" s="215" t="n">
        <v>46239</v>
      </c>
    </row>
    <row r="10471">
      <c r="A10471" s="215" t="n">
        <v>46240</v>
      </c>
      <c r="B10471" s="216" t="n">
        <v>32.18</v>
      </c>
      <c r="C10471" s="216" t="n">
        <v>36.55</v>
      </c>
      <c r="D10471" s="216" t="n">
        <v>1.161936044692993</v>
      </c>
      <c r="E10471" s="215" t="n">
        <v>46240</v>
      </c>
      <c r="F10471" s="215" t="n">
        <v>46240</v>
      </c>
    </row>
    <row r="10472">
      <c r="A10472" s="215" t="n">
        <v>46241</v>
      </c>
      <c r="B10472" s="216" t="n">
        <v>31.8</v>
      </c>
      <c r="C10472" s="216" t="n">
        <v>36.42</v>
      </c>
      <c r="D10472" s="216" t="n">
        <v>1.162284016609192</v>
      </c>
      <c r="E10472" s="215" t="n">
        <v>46241</v>
      </c>
      <c r="F10472" s="215" t="n">
        <v>46241</v>
      </c>
    </row>
    <row r="10473">
      <c r="A10473" s="215" t="n">
        <v>46244</v>
      </c>
      <c r="B10473" s="216" t="n">
        <v>32.74</v>
      </c>
      <c r="C10473" s="216" t="n">
        <v>36.78</v>
      </c>
      <c r="D10473" s="216" t="n">
        <v>1.162629961967468</v>
      </c>
      <c r="E10473" s="215" t="n">
        <v>46244</v>
      </c>
      <c r="F10473" s="215" t="n">
        <v>46244</v>
      </c>
    </row>
    <row r="10474">
      <c r="A10474" s="215" t="n">
        <v>46245</v>
      </c>
      <c r="B10474" s="216" t="n">
        <v>32.3</v>
      </c>
      <c r="C10474" s="216" t="n">
        <v>36.17</v>
      </c>
      <c r="D10474" s="216" t="n">
        <v>1.162588000297546</v>
      </c>
      <c r="E10474" s="215" t="n">
        <v>46245</v>
      </c>
      <c r="F10474" s="215" t="n">
        <v>46245</v>
      </c>
    </row>
    <row r="10475">
      <c r="A10475" s="215" t="n">
        <v>46246</v>
      </c>
      <c r="B10475" s="216" t="n">
        <v>32.42</v>
      </c>
      <c r="C10475" s="216" t="n">
        <v>36.24</v>
      </c>
      <c r="D10475" s="216" t="n">
        <v>1.163135051727295</v>
      </c>
      <c r="E10475" s="215" t="n">
        <v>46246</v>
      </c>
      <c r="F10475" s="215" t="n">
        <v>46246</v>
      </c>
    </row>
    <row r="10476">
      <c r="A10476" s="215" t="n">
        <v>46247</v>
      </c>
      <c r="B10476" s="216" t="n">
        <v>32.3</v>
      </c>
      <c r="C10476" s="216" t="n">
        <v>36.2</v>
      </c>
      <c r="D10476" s="216" t="n">
        <v>1.163341045379639</v>
      </c>
      <c r="E10476" s="215" t="n">
        <v>46247</v>
      </c>
      <c r="F10476" s="215" t="n">
        <v>46247</v>
      </c>
    </row>
    <row r="10477">
      <c r="A10477" s="215" t="n">
        <v>46248</v>
      </c>
      <c r="B10477" s="216" t="n">
        <v>32.16</v>
      </c>
      <c r="C10477" s="216" t="n">
        <v>35.82</v>
      </c>
      <c r="D10477" s="216" t="n">
        <v>1.163571000099182</v>
      </c>
      <c r="E10477" s="215" t="n">
        <v>46248</v>
      </c>
      <c r="F10477" s="215" t="n">
        <v>46248</v>
      </c>
    </row>
    <row r="10478">
      <c r="A10478" s="215" t="n">
        <v>46251</v>
      </c>
      <c r="B10478" s="216" t="n">
        <v>31.88</v>
      </c>
      <c r="C10478" s="216" t="n">
        <v>35.42</v>
      </c>
      <c r="D10478" s="216" t="n">
        <v>1.163601994514465</v>
      </c>
      <c r="E10478" s="215" t="n">
        <v>46251</v>
      </c>
      <c r="F10478" s="215" t="n">
        <v>46251</v>
      </c>
    </row>
    <row r="10479">
      <c r="A10479" s="215" t="n">
        <v>46252</v>
      </c>
      <c r="B10479" s="216" t="n">
        <v>32.06</v>
      </c>
      <c r="C10479" s="216" t="n">
        <v>35.55</v>
      </c>
      <c r="D10479" s="216" t="n">
        <v>1.163733005523682</v>
      </c>
      <c r="E10479" s="215" t="n">
        <v>46252</v>
      </c>
      <c r="F10479" s="215" t="n">
        <v>46252</v>
      </c>
    </row>
    <row r="10480">
      <c r="A10480" s="215" t="n">
        <v>46253</v>
      </c>
      <c r="B10480" s="216" t="n">
        <v>31.96</v>
      </c>
      <c r="C10480" s="216" t="n">
        <v>35.32</v>
      </c>
      <c r="D10480" s="216" t="n">
        <v>1.163092017173767</v>
      </c>
      <c r="E10480" s="215" t="n">
        <v>46253</v>
      </c>
      <c r="F10480" s="215" t="n">
        <v>46253</v>
      </c>
    </row>
    <row r="10481">
      <c r="A10481" s="215" t="n">
        <v>46254</v>
      </c>
      <c r="B10481" s="216" t="n">
        <v>32.2</v>
      </c>
      <c r="C10481" s="216" t="n">
        <v>35.75</v>
      </c>
      <c r="D10481" s="216" t="n">
        <v>1.164932012557983</v>
      </c>
      <c r="E10481" s="215" t="n">
        <v>46254</v>
      </c>
      <c r="F10481" s="215" t="n">
        <v>46254</v>
      </c>
    </row>
    <row r="10482">
      <c r="A10482" s="215" t="n">
        <v>46255</v>
      </c>
      <c r="B10482" s="216" t="n">
        <v>32.04</v>
      </c>
      <c r="C10482" s="216" t="n">
        <v>35.05</v>
      </c>
      <c r="D10482" s="216" t="n">
        <v>1.166555047035217</v>
      </c>
      <c r="E10482" s="215" t="n">
        <v>46255</v>
      </c>
      <c r="F10482" s="215" t="n">
        <v>46255</v>
      </c>
    </row>
    <row r="10483">
      <c r="A10483" s="215" t="n">
        <v>46258</v>
      </c>
      <c r="B10483" s="216" t="n">
        <v>32.08</v>
      </c>
      <c r="C10483" s="216" t="n">
        <v>35.67</v>
      </c>
      <c r="D10483" s="216" t="n">
        <v>1.166316986083984</v>
      </c>
      <c r="E10483" s="215" t="n">
        <v>46258</v>
      </c>
      <c r="F10483" s="215" t="n">
        <v>46258</v>
      </c>
    </row>
    <row r="10484">
      <c r="A10484" s="215" t="n">
        <v>46259</v>
      </c>
      <c r="B10484" s="216" t="n">
        <v>32.36</v>
      </c>
      <c r="C10484" s="216" t="n">
        <v>35.96</v>
      </c>
      <c r="D10484" s="216" t="n">
        <v>1.165253043174744</v>
      </c>
      <c r="E10484" s="215" t="n">
        <v>46259</v>
      </c>
      <c r="F10484" s="215" t="n">
        <v>46259</v>
      </c>
    </row>
    <row r="10485">
      <c r="A10485" s="215" t="n">
        <v>46260</v>
      </c>
      <c r="B10485" s="216" t="n">
        <v>32.66</v>
      </c>
      <c r="C10485" s="216" t="n">
        <v>35.93</v>
      </c>
      <c r="D10485" s="216" t="n">
        <v>1.166218996047974</v>
      </c>
      <c r="E10485" s="215" t="n">
        <v>46260</v>
      </c>
      <c r="F10485" s="215" t="n">
        <v>46260</v>
      </c>
    </row>
    <row r="10486">
      <c r="A10486" s="215" t="n">
        <v>46261</v>
      </c>
      <c r="B10486" s="216" t="n">
        <v>29</v>
      </c>
      <c r="C10486" s="216" t="n">
        <v>34.1</v>
      </c>
      <c r="D10486" s="216" t="n">
        <v>1.165971040725708</v>
      </c>
      <c r="E10486" s="215" t="n">
        <v>46261</v>
      </c>
      <c r="F10486" s="215" t="n">
        <v>46261</v>
      </c>
    </row>
    <row r="10487">
      <c r="A10487" s="215" t="n">
        <v>46262</v>
      </c>
      <c r="B10487" s="216" t="n">
        <v>28.68</v>
      </c>
      <c r="C10487" s="216" t="n">
        <v>34.12</v>
      </c>
      <c r="D10487" s="216" t="n">
        <v>1.165799975395203</v>
      </c>
      <c r="E10487" s="215" t="n">
        <v>46262</v>
      </c>
      <c r="F10487" s="215" t="n">
        <v>46262</v>
      </c>
    </row>
    <row r="10488">
      <c r="A10488" s="215" t="n">
        <v>46265</v>
      </c>
      <c r="B10488" s="216" t="n">
        <v>28.14</v>
      </c>
      <c r="C10488" s="216" t="n">
        <v>33.63</v>
      </c>
      <c r="D10488" s="216" t="n">
        <v>1.165387988090515</v>
      </c>
      <c r="E10488" s="215" t="n">
        <v>46265</v>
      </c>
      <c r="F10488" s="215" t="n">
        <v>46265</v>
      </c>
    </row>
    <row r="10489">
      <c r="A10489" s="215" t="n">
        <v>46266</v>
      </c>
      <c r="B10489" s="216" t="n">
        <v>28.08</v>
      </c>
      <c r="C10489" s="216" t="n">
        <v>34</v>
      </c>
      <c r="D10489" s="216" t="n">
        <v>1.165223956108093</v>
      </c>
      <c r="E10489" s="215" t="n">
        <v>46266</v>
      </c>
      <c r="F10489" s="215" t="n">
        <v>46266</v>
      </c>
    </row>
    <row r="10490">
      <c r="A10490" s="215" t="n">
        <v>46267</v>
      </c>
      <c r="B10490" s="216" t="n">
        <v>27.82</v>
      </c>
      <c r="C10490" s="216" t="n">
        <v>33.87</v>
      </c>
      <c r="D10490" s="216" t="n">
        <v>1.166425943374634</v>
      </c>
      <c r="E10490" s="215" t="n">
        <v>46267</v>
      </c>
      <c r="F10490" s="215" t="n">
        <v>46267</v>
      </c>
    </row>
    <row r="10491">
      <c r="A10491" s="215" t="n">
        <v>46268</v>
      </c>
      <c r="B10491" s="216" t="n">
        <v>27.96</v>
      </c>
      <c r="C10491" s="216" t="n">
        <v>34.12</v>
      </c>
      <c r="D10491" s="216" t="n">
        <v>1.167057037353516</v>
      </c>
      <c r="E10491" s="215" t="n">
        <v>46268</v>
      </c>
      <c r="F10491" s="215" t="n">
        <v>46268</v>
      </c>
    </row>
    <row r="10492">
      <c r="A10492" s="215" t="n">
        <v>46269</v>
      </c>
      <c r="B10492" s="216" t="n">
        <v>28.5</v>
      </c>
      <c r="C10492" s="216" t="n">
        <v>34.4</v>
      </c>
      <c r="D10492" s="216" t="n">
        <v>1.166767954826355</v>
      </c>
      <c r="E10492" s="215" t="n">
        <v>46269</v>
      </c>
      <c r="F10492" s="215" t="n">
        <v>46269</v>
      </c>
    </row>
    <row r="10493">
      <c r="A10493" s="215" t="n">
        <v>46272</v>
      </c>
      <c r="B10493" s="216" t="n">
        <v>28.34</v>
      </c>
      <c r="C10493" s="216" t="n">
        <v>34.2</v>
      </c>
      <c r="D10493" s="216" t="n">
        <v>1.168081045150757</v>
      </c>
      <c r="E10493" s="215" t="n">
        <v>46272</v>
      </c>
      <c r="F10493" s="215" t="n">
        <v>46272</v>
      </c>
    </row>
    <row r="10494">
      <c r="A10494" s="215" t="n">
        <v>46273</v>
      </c>
      <c r="B10494" s="216" t="n">
        <v>28.3</v>
      </c>
      <c r="C10494" s="216" t="n">
        <v>34.06</v>
      </c>
      <c r="D10494" s="216" t="n">
        <v>1.168115019798279</v>
      </c>
      <c r="E10494" s="215" t="n">
        <v>46273</v>
      </c>
      <c r="F10494" s="215" t="n">
        <v>46273</v>
      </c>
    </row>
    <row r="10495">
      <c r="A10495" s="215" t="n">
        <v>46274</v>
      </c>
      <c r="B10495" s="216" t="n">
        <v>27.92</v>
      </c>
      <c r="C10495" s="216" t="n">
        <v>34.36</v>
      </c>
      <c r="D10495" s="216" t="n">
        <v>1.168408989906311</v>
      </c>
      <c r="E10495" s="215" t="n">
        <v>46274</v>
      </c>
      <c r="F10495" s="215" t="n">
        <v>46274</v>
      </c>
    </row>
    <row r="10496">
      <c r="A10496" s="215" t="n">
        <v>46275</v>
      </c>
      <c r="B10496" s="216" t="n">
        <v>27.2</v>
      </c>
      <c r="C10496" s="216" t="n">
        <v>33.9</v>
      </c>
      <c r="D10496" s="216" t="n">
        <v>1.168462991714478</v>
      </c>
      <c r="E10496" s="215" t="n">
        <v>46275</v>
      </c>
      <c r="F10496" s="215" t="n">
        <v>46275</v>
      </c>
    </row>
    <row r="10497">
      <c r="A10497" s="215" t="n">
        <v>46276</v>
      </c>
      <c r="B10497" s="216" t="n">
        <v>27.08</v>
      </c>
      <c r="C10497" s="216" t="n">
        <v>34.18</v>
      </c>
      <c r="D10497" s="216" t="n">
        <v>1.169165015220642</v>
      </c>
      <c r="E10497" s="215" t="n">
        <v>46276</v>
      </c>
      <c r="F10497" s="215" t="n">
        <v>46276</v>
      </c>
    </row>
    <row r="10498">
      <c r="A10498" s="215" t="n">
        <v>46279</v>
      </c>
      <c r="B10498" s="216" t="n">
        <v>27.1</v>
      </c>
      <c r="C10498" s="216" t="n">
        <v>34.15</v>
      </c>
      <c r="D10498" s="216" t="n">
        <v>1.16893994808197</v>
      </c>
      <c r="E10498" s="215" t="n">
        <v>46279</v>
      </c>
      <c r="F10498" s="215" t="n">
        <v>46279</v>
      </c>
    </row>
    <row r="10499">
      <c r="A10499" s="215" t="n">
        <v>46280</v>
      </c>
      <c r="B10499" s="216" t="n">
        <v>26.92</v>
      </c>
      <c r="C10499" s="216" t="n">
        <v>34.07</v>
      </c>
      <c r="D10499" s="216" t="n">
        <v>1.169121026992798</v>
      </c>
      <c r="E10499" s="215" t="n">
        <v>46280</v>
      </c>
      <c r="F10499" s="215" t="n">
        <v>46280</v>
      </c>
    </row>
    <row r="10500">
      <c r="A10500" s="215" t="n">
        <v>46281</v>
      </c>
      <c r="B10500" s="216" t="n">
        <v>26.9</v>
      </c>
      <c r="C10500" s="216" t="n">
        <v>33.93</v>
      </c>
      <c r="D10500" s="216" t="n">
        <v>1.168769955635071</v>
      </c>
      <c r="E10500" s="215" t="n">
        <v>46281</v>
      </c>
      <c r="F10500" s="215" t="n">
        <v>46281</v>
      </c>
    </row>
    <row r="10501">
      <c r="A10501" s="215" t="n">
        <v>46282</v>
      </c>
      <c r="B10501" s="216" t="n">
        <v>26.6</v>
      </c>
      <c r="C10501" s="216" t="n">
        <v>33.89</v>
      </c>
      <c r="D10501" s="216" t="n">
        <v>1.169389963150024</v>
      </c>
      <c r="E10501" s="215" t="n">
        <v>46282</v>
      </c>
      <c r="F10501" s="215" t="n">
        <v>46282</v>
      </c>
    </row>
    <row r="10502">
      <c r="A10502" s="215" t="n">
        <v>46283</v>
      </c>
      <c r="B10502" s="216" t="n">
        <v>26.8</v>
      </c>
      <c r="C10502" s="216" t="n">
        <v>33.85</v>
      </c>
      <c r="D10502" s="216" t="n">
        <v>1.16942298412323</v>
      </c>
      <c r="E10502" s="215" t="n">
        <v>46283</v>
      </c>
      <c r="F10502" s="215" t="n">
        <v>46283</v>
      </c>
    </row>
    <row r="10503">
      <c r="A10503" s="215" t="n">
        <v>46286</v>
      </c>
      <c r="B10503" s="216" t="n">
        <v>27.12</v>
      </c>
      <c r="C10503" s="216" t="n">
        <v>33.83</v>
      </c>
      <c r="D10503" s="216" t="n">
        <v>1.171280026435852</v>
      </c>
      <c r="E10503" s="215" t="n">
        <v>46286</v>
      </c>
      <c r="F10503" s="215" t="n">
        <v>46286</v>
      </c>
    </row>
    <row r="10504">
      <c r="A10504" s="215" t="n">
        <v>46287</v>
      </c>
      <c r="B10504" s="216" t="n">
        <v>27.22</v>
      </c>
      <c r="C10504" s="216" t="n">
        <v>34.29</v>
      </c>
      <c r="D10504" s="216" t="n">
        <v>1.171705007553101</v>
      </c>
      <c r="E10504" s="215" t="n">
        <v>46287</v>
      </c>
      <c r="F10504" s="215" t="n">
        <v>46287</v>
      </c>
    </row>
    <row r="10505">
      <c r="A10505" s="215" t="n">
        <v>46288</v>
      </c>
      <c r="B10505" s="216" t="n">
        <v>27.16</v>
      </c>
      <c r="C10505" s="216" t="n">
        <v>34.27</v>
      </c>
      <c r="D10505" s="216" t="n">
        <v>1.170611023902893</v>
      </c>
      <c r="E10505" s="215" t="n">
        <v>46288</v>
      </c>
      <c r="F10505" s="215" t="n">
        <v>46288</v>
      </c>
    </row>
    <row r="10506">
      <c r="A10506" s="215" t="n">
        <v>46289</v>
      </c>
      <c r="B10506" s="216" t="n">
        <v>27.44</v>
      </c>
      <c r="C10506" s="216" t="n">
        <v>33.93</v>
      </c>
      <c r="D10506" s="216" t="n">
        <v>1.16852605342865</v>
      </c>
      <c r="E10506" s="215" t="n">
        <v>46289</v>
      </c>
      <c r="F10506" s="215" t="n">
        <v>46289</v>
      </c>
    </row>
    <row r="10507">
      <c r="A10507" s="215" t="n">
        <v>46290</v>
      </c>
      <c r="B10507" s="216" t="n">
        <v>26.92</v>
      </c>
      <c r="C10507" s="216" t="n">
        <v>33.93</v>
      </c>
      <c r="D10507" s="216" t="n">
        <v>1.168424010276794</v>
      </c>
      <c r="E10507" s="215" t="n">
        <v>46289</v>
      </c>
      <c r="F10507" s="215" t="n">
        <v>46290</v>
      </c>
    </row>
    <row r="10508">
      <c r="A10508" s="215" t="n">
        <v>46293</v>
      </c>
      <c r="B10508" s="216" t="n">
        <v>26.98</v>
      </c>
      <c r="C10508" s="216" t="n">
        <v>32.93</v>
      </c>
      <c r="D10508" s="216" t="n">
        <v>1.168378949165344</v>
      </c>
      <c r="E10508" s="215" t="n">
        <v>46293</v>
      </c>
      <c r="F10508" s="215" t="n">
        <v>46293</v>
      </c>
    </row>
    <row r="10509">
      <c r="A10509" s="215" t="n">
        <v>46294</v>
      </c>
      <c r="B10509" s="216" t="n">
        <v>26.78</v>
      </c>
      <c r="C10509" s="216" t="n">
        <v>32.91</v>
      </c>
      <c r="D10509" s="216" t="n">
        <v>1.168815970420837</v>
      </c>
      <c r="E10509" s="215" t="n">
        <v>46294</v>
      </c>
      <c r="F10509" s="215" t="n">
        <v>46294</v>
      </c>
    </row>
    <row r="10510">
      <c r="A10510" s="215" t="n">
        <v>46295</v>
      </c>
      <c r="B10510" s="216" t="n">
        <v>26.24</v>
      </c>
      <c r="C10510" s="216" t="n">
        <v>33.17</v>
      </c>
      <c r="D10510" s="216" t="n">
        <v>1.17059600353241</v>
      </c>
      <c r="E10510" s="215" t="n">
        <v>46295</v>
      </c>
      <c r="F10510" s="215" t="n">
        <v>46295</v>
      </c>
    </row>
    <row r="10511">
      <c r="A10511" s="215" t="n">
        <v>46297</v>
      </c>
      <c r="B10511" s="216" t="n">
        <v>25.28</v>
      </c>
      <c r="C10511" s="216" t="n">
        <v>33.17</v>
      </c>
      <c r="D10511" s="216" t="n">
        <v>1.170220971107483</v>
      </c>
      <c r="E10511" s="215" t="n">
        <v>46295</v>
      </c>
      <c r="F10511" s="215" t="n">
        <v>46297</v>
      </c>
    </row>
    <row r="10512">
      <c r="A10512" s="215" t="n">
        <v>45967</v>
      </c>
      <c r="B10512" s="216" t="n">
        <v>20.24</v>
      </c>
      <c r="C10512" s="216" t="n">
        <v>30.07</v>
      </c>
      <c r="D10512" s="216" t="n">
        <v>1.090808033943176</v>
      </c>
      <c r="E10512" s="215" t="n">
        <v>45967</v>
      </c>
      <c r="F10512" s="215" t="n">
        <v>45967</v>
      </c>
    </row>
    <row r="10513">
      <c r="A10513" s="215" t="n">
        <v>45968</v>
      </c>
      <c r="B10513" s="216" t="n">
        <v>18.5</v>
      </c>
      <c r="C10513" s="216" t="n">
        <v>28.93</v>
      </c>
      <c r="D10513" s="216" t="n">
        <v>1.092054009437561</v>
      </c>
      <c r="E10513" s="215" t="n">
        <v>45968</v>
      </c>
      <c r="F10513" s="215" t="n">
        <v>45968</v>
      </c>
    </row>
    <row r="10514">
      <c r="A10514" s="215" t="n">
        <v>45971</v>
      </c>
      <c r="B10514" s="216" t="n">
        <v>18.31</v>
      </c>
      <c r="C10514" s="216" t="n">
        <v>28.55</v>
      </c>
      <c r="D10514" s="216" t="n">
        <v>1.092267036437988</v>
      </c>
      <c r="E10514" s="215" t="n">
        <v>45971</v>
      </c>
      <c r="F10514" s="215" t="n">
        <v>45971</v>
      </c>
    </row>
    <row r="10515">
      <c r="A10515" s="215" t="n">
        <v>45972</v>
      </c>
      <c r="B10515" s="216" t="n">
        <v>17.66</v>
      </c>
      <c r="C10515" s="216" t="n">
        <v>28.15</v>
      </c>
      <c r="D10515" s="216" t="n">
        <v>1.091644048690796</v>
      </c>
      <c r="E10515" s="215" t="n">
        <v>45972</v>
      </c>
      <c r="F10515" s="215" t="n">
        <v>45972</v>
      </c>
    </row>
    <row r="10516">
      <c r="A10516" s="215" t="n">
        <v>45973</v>
      </c>
      <c r="B10516" s="216" t="n">
        <v>17.44</v>
      </c>
      <c r="C10516" s="216" t="n">
        <v>27.61</v>
      </c>
      <c r="D10516" s="216" t="n">
        <v>1.091495990753174</v>
      </c>
      <c r="E10516" s="215" t="n">
        <v>45973</v>
      </c>
      <c r="F10516" s="215" t="n">
        <v>45973</v>
      </c>
    </row>
    <row r="10517">
      <c r="A10517" s="215" t="n">
        <v>45974</v>
      </c>
      <c r="B10517" s="216" t="n">
        <v>17.5</v>
      </c>
      <c r="C10517" s="216" t="n">
        <v>27.73</v>
      </c>
      <c r="D10517" s="216" t="n">
        <v>1.092489004135132</v>
      </c>
      <c r="E10517" s="215" t="n">
        <v>45974</v>
      </c>
      <c r="F10517" s="215" t="n">
        <v>45974</v>
      </c>
    </row>
    <row r="10518">
      <c r="A10518" s="215" t="n">
        <v>45975</v>
      </c>
      <c r="B10518" s="216" t="n">
        <v>16.87</v>
      </c>
      <c r="C10518" s="216" t="n">
        <v>27.01</v>
      </c>
      <c r="D10518" s="216" t="n">
        <v>1.092411994934082</v>
      </c>
      <c r="E10518" s="215" t="n">
        <v>45975</v>
      </c>
      <c r="F10518" s="215" t="n">
        <v>45975</v>
      </c>
    </row>
    <row r="10519">
      <c r="A10519" s="215" t="n">
        <v>45978</v>
      </c>
      <c r="B10519" s="216" t="n">
        <v>17.01</v>
      </c>
      <c r="C10519" s="216" t="n">
        <v>26.95</v>
      </c>
      <c r="D10519" s="216" t="n">
        <v>1.094588041305542</v>
      </c>
      <c r="E10519" s="215" t="n">
        <v>45978</v>
      </c>
      <c r="F10519" s="215" t="n">
        <v>45978</v>
      </c>
    </row>
    <row r="10520">
      <c r="A10520" s="215" t="n">
        <v>45979</v>
      </c>
      <c r="B10520" s="216" t="n">
        <v>15.72</v>
      </c>
      <c r="C10520" s="216" t="n">
        <v>26.67</v>
      </c>
      <c r="D10520" s="216" t="n">
        <v>1.093616008758545</v>
      </c>
      <c r="E10520" s="215" t="n">
        <v>45979</v>
      </c>
      <c r="F10520" s="215" t="n">
        <v>45979</v>
      </c>
    </row>
    <row r="10521">
      <c r="A10521" s="215" t="n">
        <v>45980</v>
      </c>
      <c r="B10521" s="216" t="n">
        <v>15.2</v>
      </c>
      <c r="C10521" s="216" t="n">
        <v>26.65</v>
      </c>
      <c r="D10521" s="216" t="n">
        <v>1.095010995864868</v>
      </c>
      <c r="E10521" s="215" t="n">
        <v>45980</v>
      </c>
      <c r="F10521" s="215" t="n">
        <v>45980</v>
      </c>
    </row>
    <row r="10522">
      <c r="A10522" s="215" t="n">
        <v>45981</v>
      </c>
      <c r="B10522" s="216" t="n">
        <v>15.11</v>
      </c>
      <c r="C10522" s="216" t="n">
        <v>26.25</v>
      </c>
      <c r="D10522" s="216" t="n">
        <v>1.095402002334595</v>
      </c>
      <c r="E10522" s="215" t="n">
        <v>45981</v>
      </c>
      <c r="F10522" s="215" t="n">
        <v>45981</v>
      </c>
    </row>
    <row r="10523">
      <c r="A10523" s="215" t="n">
        <v>45982</v>
      </c>
      <c r="B10523" s="216" t="n">
        <v>14.75</v>
      </c>
      <c r="C10523" s="216" t="n">
        <v>25.71</v>
      </c>
      <c r="D10523" s="216" t="n">
        <v>1.094982981681824</v>
      </c>
      <c r="E10523" s="215" t="n">
        <v>45982</v>
      </c>
      <c r="F10523" s="215" t="n">
        <v>45982</v>
      </c>
    </row>
    <row r="10524">
      <c r="A10524" s="215" t="n">
        <v>45985</v>
      </c>
      <c r="B10524" s="216" t="n">
        <v>14.62</v>
      </c>
      <c r="C10524" s="216" t="n">
        <v>25.96</v>
      </c>
      <c r="D10524" s="216" t="n">
        <v>1.094988942146301</v>
      </c>
      <c r="E10524" s="215" t="n">
        <v>45985</v>
      </c>
      <c r="F10524" s="215" t="n">
        <v>45985</v>
      </c>
    </row>
    <row r="10525">
      <c r="A10525" s="215" t="n">
        <v>45986</v>
      </c>
      <c r="B10525" s="216" t="n">
        <v>15.7</v>
      </c>
      <c r="C10525" s="216" t="n">
        <v>26.35</v>
      </c>
      <c r="D10525" s="216" t="n">
        <v>1.095428943634033</v>
      </c>
      <c r="E10525" s="215" t="n">
        <v>45986</v>
      </c>
      <c r="F10525" s="215" t="n">
        <v>45986</v>
      </c>
    </row>
    <row r="10526">
      <c r="A10526" s="215" t="n">
        <v>45987</v>
      </c>
      <c r="B10526" s="216" t="n">
        <v>16.08</v>
      </c>
      <c r="C10526" s="216" t="n">
        <v>26.5</v>
      </c>
      <c r="D10526" s="216" t="n">
        <v>1.097422003746033</v>
      </c>
      <c r="E10526" s="215" t="n">
        <v>45987</v>
      </c>
      <c r="F10526" s="215" t="n">
        <v>45987</v>
      </c>
    </row>
    <row r="10527">
      <c r="A10527" s="215" t="n">
        <v>45988</v>
      </c>
      <c r="B10527" s="216" t="n">
        <v>15.7</v>
      </c>
      <c r="C10527" s="216" t="n">
        <v>26.46</v>
      </c>
      <c r="D10527" s="216" t="n">
        <v>1.098397016525269</v>
      </c>
      <c r="E10527" s="215" t="n">
        <v>45988</v>
      </c>
      <c r="F10527" s="215" t="n">
        <v>45988</v>
      </c>
    </row>
    <row r="10528">
      <c r="A10528" s="215" t="n">
        <v>45989</v>
      </c>
      <c r="B10528" s="216" t="n">
        <v>16.57</v>
      </c>
      <c r="C10528" s="216" t="n">
        <v>26.72</v>
      </c>
      <c r="D10528" s="216" t="n">
        <v>1.098330020904541</v>
      </c>
      <c r="E10528" s="215" t="n">
        <v>45989</v>
      </c>
      <c r="F10528" s="215" t="n">
        <v>45989</v>
      </c>
    </row>
    <row r="10529">
      <c r="A10529" s="215" t="n">
        <v>45992</v>
      </c>
      <c r="B10529" s="216" t="n">
        <v>17.61</v>
      </c>
      <c r="C10529" s="216" t="n">
        <v>27.4</v>
      </c>
      <c r="D10529" s="216" t="n">
        <v>1.10015594959259</v>
      </c>
      <c r="E10529" s="215" t="n">
        <v>45992</v>
      </c>
      <c r="F10529" s="215" t="n">
        <v>45992</v>
      </c>
    </row>
    <row r="10530">
      <c r="A10530" s="215" t="n">
        <v>45993</v>
      </c>
      <c r="B10530" s="216" t="n">
        <v>17.85</v>
      </c>
      <c r="C10530" s="216" t="n">
        <v>26.98</v>
      </c>
      <c r="D10530" s="216" t="n">
        <v>1.101189017295837</v>
      </c>
      <c r="E10530" s="215" t="n">
        <v>45993</v>
      </c>
      <c r="F10530" s="215" t="n">
        <v>45993</v>
      </c>
    </row>
    <row r="10531">
      <c r="A10531" s="215" t="n">
        <v>45994</v>
      </c>
      <c r="B10531" s="216" t="n">
        <v>17.8</v>
      </c>
      <c r="C10531" s="216" t="n">
        <v>26.57</v>
      </c>
      <c r="D10531" s="216" t="n">
        <v>1.100834012031555</v>
      </c>
      <c r="E10531" s="215" t="n">
        <v>45994</v>
      </c>
      <c r="F10531" s="215" t="n">
        <v>45994</v>
      </c>
    </row>
    <row r="10532">
      <c r="A10532" s="215" t="n">
        <v>45995</v>
      </c>
      <c r="B10532" s="216" t="n">
        <v>17.42</v>
      </c>
      <c r="C10532" s="216" t="n">
        <v>26.9</v>
      </c>
      <c r="D10532" s="216" t="n">
        <v>1.101611018180847</v>
      </c>
      <c r="E10532" s="215" t="n">
        <v>45995</v>
      </c>
      <c r="F10532" s="215" t="n">
        <v>45995</v>
      </c>
    </row>
    <row r="10533">
      <c r="A10533" s="215" t="n">
        <v>45996</v>
      </c>
      <c r="B10533" s="216" t="n">
        <v>17.42</v>
      </c>
      <c r="C10533" s="216" t="n">
        <v>27.08</v>
      </c>
      <c r="D10533" s="216" t="n">
        <v>1.100373983383179</v>
      </c>
      <c r="E10533" s="215" t="n">
        <v>45996</v>
      </c>
      <c r="F10533" s="215" t="n">
        <v>45996</v>
      </c>
    </row>
    <row r="10534">
      <c r="A10534" s="215" t="n">
        <v>45999</v>
      </c>
      <c r="B10534" s="216" t="n">
        <v>17.37</v>
      </c>
      <c r="C10534" s="216" t="n">
        <v>27.28</v>
      </c>
      <c r="D10534" s="216" t="n">
        <v>1.1008620262146</v>
      </c>
      <c r="E10534" s="215" t="n">
        <v>45999</v>
      </c>
      <c r="F10534" s="215" t="n">
        <v>45999</v>
      </c>
    </row>
    <row r="10535">
      <c r="A10535" s="215" t="n">
        <v>46000</v>
      </c>
      <c r="B10535" s="216" t="n">
        <v>16.81</v>
      </c>
      <c r="C10535" s="216" t="n">
        <v>26.99</v>
      </c>
      <c r="D10535" s="216" t="n">
        <v>1.10008704662323</v>
      </c>
      <c r="E10535" s="215" t="n">
        <v>46000</v>
      </c>
      <c r="F10535" s="215" t="n">
        <v>46000</v>
      </c>
    </row>
    <row r="10536">
      <c r="A10536" s="215" t="n">
        <v>46001</v>
      </c>
      <c r="B10536" s="216" t="n">
        <v>16.99</v>
      </c>
      <c r="C10536" s="216" t="n">
        <v>27.3</v>
      </c>
      <c r="D10536" s="216" t="n">
        <v>1.101711988449097</v>
      </c>
      <c r="E10536" s="215" t="n">
        <v>46001</v>
      </c>
      <c r="F10536" s="215" t="n">
        <v>46001</v>
      </c>
    </row>
    <row r="10537">
      <c r="A10537" s="215" t="n">
        <v>46002</v>
      </c>
      <c r="B10537" s="216" t="n">
        <v>16.48</v>
      </c>
      <c r="C10537" s="216" t="n">
        <v>26.77</v>
      </c>
      <c r="D10537" s="216" t="n">
        <v>1.10112202167511</v>
      </c>
      <c r="E10537" s="215" t="n">
        <v>46002</v>
      </c>
      <c r="F10537" s="215" t="n">
        <v>46002</v>
      </c>
    </row>
    <row r="10538">
      <c r="A10538" s="215" t="n">
        <v>46003</v>
      </c>
      <c r="B10538" s="216" t="n">
        <v>16.55</v>
      </c>
      <c r="C10538" s="216" t="n">
        <v>26.95</v>
      </c>
      <c r="D10538" s="216" t="n">
        <v>1.102499008178711</v>
      </c>
      <c r="E10538" s="215" t="n">
        <v>46003</v>
      </c>
      <c r="F10538" s="215" t="n">
        <v>46003</v>
      </c>
    </row>
    <row r="10539">
      <c r="A10539" s="215" t="n">
        <v>46006</v>
      </c>
      <c r="B10539" s="216" t="n">
        <v>16.3</v>
      </c>
      <c r="C10539" s="216" t="n">
        <v>26.55</v>
      </c>
      <c r="D10539" s="216" t="n">
        <v>1.103397965431213</v>
      </c>
      <c r="E10539" s="215" t="n">
        <v>46006</v>
      </c>
      <c r="F10539" s="215" t="n">
        <v>46006</v>
      </c>
    </row>
    <row r="10540">
      <c r="A10540" s="215" t="n">
        <v>46007</v>
      </c>
      <c r="B10540" s="216" t="n">
        <v>16.57</v>
      </c>
      <c r="C10540" s="216" t="n">
        <v>27.14</v>
      </c>
      <c r="D10540" s="216" t="n">
        <v>1.104179978370667</v>
      </c>
      <c r="E10540" s="215" t="n">
        <v>46007</v>
      </c>
      <c r="F10540" s="215" t="n">
        <v>46007</v>
      </c>
    </row>
    <row r="10541">
      <c r="A10541" s="215" t="n">
        <v>46008</v>
      </c>
      <c r="B10541" s="216" t="n">
        <v>17.19</v>
      </c>
      <c r="C10541" s="216" t="n">
        <v>28.5</v>
      </c>
      <c r="D10541" s="216" t="n">
        <v>1.104655981063843</v>
      </c>
      <c r="E10541" s="215" t="n">
        <v>46008</v>
      </c>
      <c r="F10541" s="215" t="n">
        <v>46008</v>
      </c>
    </row>
    <row r="10542">
      <c r="A10542" s="215" t="n">
        <v>46009</v>
      </c>
      <c r="B10542" s="216" t="n">
        <v>16.97</v>
      </c>
      <c r="C10542" s="216" t="n">
        <v>27.65</v>
      </c>
      <c r="D10542" s="216" t="n">
        <v>1.104357004165649</v>
      </c>
      <c r="E10542" s="215" t="n">
        <v>46009</v>
      </c>
      <c r="F10542" s="215" t="n">
        <v>46009</v>
      </c>
    </row>
    <row r="10543">
      <c r="A10543" s="215" t="n">
        <v>46010</v>
      </c>
      <c r="B10543" s="216" t="n">
        <v>17.92</v>
      </c>
      <c r="C10543" s="216" t="n">
        <v>29.68</v>
      </c>
      <c r="D10543" s="216" t="n">
        <v>1.104962944984436</v>
      </c>
      <c r="E10543" s="215" t="n">
        <v>46010</v>
      </c>
      <c r="F10543" s="215" t="n">
        <v>46010</v>
      </c>
    </row>
    <row r="10544">
      <c r="A10544" s="215" t="n">
        <v>46013</v>
      </c>
      <c r="B10544" s="216" t="n">
        <v>17.91</v>
      </c>
      <c r="C10544" s="216" t="n">
        <v>30.1</v>
      </c>
      <c r="D10544" s="216" t="n">
        <v>1.105054020881653</v>
      </c>
      <c r="E10544" s="215" t="n">
        <v>46013</v>
      </c>
      <c r="F10544" s="215" t="n">
        <v>46013</v>
      </c>
    </row>
    <row r="10545">
      <c r="A10545" s="215" t="n">
        <v>46014</v>
      </c>
      <c r="B10545" s="216" t="n">
        <v>18</v>
      </c>
      <c r="C10545" s="216" t="n">
        <v>29.19</v>
      </c>
      <c r="D10545" s="216" t="n">
        <v>1.104820013046265</v>
      </c>
      <c r="E10545" s="215" t="n">
        <v>46014</v>
      </c>
      <c r="F10545" s="215" t="n">
        <v>46014</v>
      </c>
    </row>
    <row r="10546">
      <c r="A10546" s="215" t="n">
        <v>46015</v>
      </c>
      <c r="B10546" s="216" t="n">
        <v>17.98</v>
      </c>
      <c r="C10546" s="216" t="n">
        <v>29.34</v>
      </c>
      <c r="D10546" s="216" t="n">
        <v>1.106441974639893</v>
      </c>
      <c r="E10546" s="215" t="n">
        <v>46015</v>
      </c>
      <c r="F10546" s="215" t="n">
        <v>46015</v>
      </c>
    </row>
    <row r="10547">
      <c r="A10547" s="215" t="n">
        <v>46020</v>
      </c>
      <c r="B10547" s="216" t="n">
        <v>18.19</v>
      </c>
      <c r="C10547" s="216" t="n">
        <v>29.73</v>
      </c>
      <c r="D10547" s="216" t="n">
        <v>1.10552704334259</v>
      </c>
      <c r="E10547" s="215" t="n">
        <v>46020</v>
      </c>
      <c r="F10547" s="215" t="n">
        <v>46020</v>
      </c>
    </row>
    <row r="10548">
      <c r="A10548" s="215" t="n">
        <v>46021</v>
      </c>
      <c r="B10548" s="216" t="n">
        <v>19.2</v>
      </c>
      <c r="C10548" s="216" t="n">
        <v>30.99</v>
      </c>
      <c r="D10548" s="216" t="n">
        <v>1.109460949897766</v>
      </c>
      <c r="E10548" s="215" t="n">
        <v>46021</v>
      </c>
      <c r="F10548" s="215" t="n">
        <v>46021</v>
      </c>
    </row>
    <row r="10549">
      <c r="A10549" s="215" t="n">
        <v>46022</v>
      </c>
      <c r="B10549" s="216" t="n">
        <v>19.2</v>
      </c>
      <c r="C10549" s="216" t="n">
        <v>31.36</v>
      </c>
      <c r="D10549" s="216" t="n">
        <v>1.111927032470703</v>
      </c>
      <c r="E10549" s="215" t="n">
        <v>46022</v>
      </c>
      <c r="F10549" s="215" t="n">
        <v>46022</v>
      </c>
    </row>
    <row r="10550">
      <c r="A10550" s="215" t="n">
        <v>46024</v>
      </c>
      <c r="B10550" s="216" t="n">
        <v>19.11</v>
      </c>
      <c r="C10550" s="216" t="n">
        <v>31.36</v>
      </c>
      <c r="D10550" s="216" t="n">
        <v>1.112754940986633</v>
      </c>
      <c r="E10550" s="215" t="n">
        <v>46022</v>
      </c>
      <c r="F10550" s="215" t="n">
        <v>46024</v>
      </c>
    </row>
    <row r="10551">
      <c r="A10551" s="215" t="n">
        <v>46027</v>
      </c>
      <c r="B10551" s="216" t="n">
        <v>18.86</v>
      </c>
      <c r="C10551" s="216" t="n">
        <v>31.27</v>
      </c>
      <c r="D10551" s="216" t="n">
        <v>1.113860011100769</v>
      </c>
      <c r="E10551" s="215" t="n">
        <v>46027</v>
      </c>
      <c r="F10551" s="215" t="n">
        <v>46027</v>
      </c>
    </row>
    <row r="10552">
      <c r="A10552" s="215" t="n">
        <v>46028</v>
      </c>
      <c r="B10552" s="216" t="n">
        <v>19.53</v>
      </c>
      <c r="C10552" s="216" t="n">
        <v>32.71</v>
      </c>
      <c r="D10552" s="216" t="n">
        <v>1.11367404460907</v>
      </c>
      <c r="E10552" s="215" t="n">
        <v>46028</v>
      </c>
      <c r="F10552" s="215" t="n">
        <v>46028</v>
      </c>
    </row>
    <row r="10553">
      <c r="A10553" s="215" t="n">
        <v>46029</v>
      </c>
      <c r="B10553" s="216" t="n">
        <v>18.75</v>
      </c>
      <c r="C10553" s="216" t="n">
        <v>31.82</v>
      </c>
      <c r="D10553" s="216" t="n">
        <v>1.114913940429688</v>
      </c>
      <c r="E10553" s="215" t="n">
        <v>46029</v>
      </c>
      <c r="F10553" s="215" t="n">
        <v>46029</v>
      </c>
    </row>
    <row r="10554">
      <c r="A10554" s="215" t="n">
        <v>46030</v>
      </c>
      <c r="B10554" s="216" t="n">
        <v>18.68</v>
      </c>
      <c r="C10554" s="216" t="n">
        <v>31.67</v>
      </c>
      <c r="D10554" s="216" t="n">
        <v>1.112563014030457</v>
      </c>
      <c r="E10554" s="215" t="n">
        <v>46030</v>
      </c>
      <c r="F10554" s="215" t="n">
        <v>46030</v>
      </c>
    </row>
    <row r="10555">
      <c r="A10555" s="215" t="n">
        <v>46031</v>
      </c>
      <c r="B10555" s="216" t="n">
        <v>18.54</v>
      </c>
      <c r="C10555" s="216" t="n">
        <v>31.52</v>
      </c>
      <c r="D10555" s="216" t="n">
        <v>1.115561008453369</v>
      </c>
      <c r="E10555" s="215" t="n">
        <v>46031</v>
      </c>
      <c r="F10555" s="215" t="n">
        <v>46031</v>
      </c>
    </row>
    <row r="10556">
      <c r="A10556" s="215" t="n">
        <v>46034</v>
      </c>
      <c r="B10556" s="216" t="n">
        <v>18.37</v>
      </c>
      <c r="C10556" s="216" t="n">
        <v>30.6</v>
      </c>
      <c r="D10556" s="216" t="n">
        <v>1.117015957832336</v>
      </c>
      <c r="E10556" s="215" t="n">
        <v>46034</v>
      </c>
      <c r="F10556" s="215" t="n">
        <v>46034</v>
      </c>
    </row>
    <row r="10557">
      <c r="A10557" s="215" t="n">
        <v>46035</v>
      </c>
      <c r="B10557" s="216" t="n">
        <v>18.18</v>
      </c>
      <c r="C10557" s="216" t="n">
        <v>30.16</v>
      </c>
      <c r="D10557" s="216" t="n">
        <v>1.117892026901245</v>
      </c>
      <c r="E10557" s="215" t="n">
        <v>46035</v>
      </c>
      <c r="F10557" s="215" t="n">
        <v>46035</v>
      </c>
    </row>
    <row r="10558">
      <c r="A10558" s="215" t="n">
        <v>46036</v>
      </c>
      <c r="B10558" s="216" t="n">
        <v>18.16</v>
      </c>
      <c r="C10558" s="216" t="n">
        <v>29.61</v>
      </c>
      <c r="D10558" s="216" t="n">
        <v>1.117897987365723</v>
      </c>
      <c r="E10558" s="215" t="n">
        <v>46036</v>
      </c>
      <c r="F10558" s="215" t="n">
        <v>46036</v>
      </c>
    </row>
    <row r="10559">
      <c r="A10559" s="215" t="n">
        <v>46037</v>
      </c>
      <c r="B10559" s="216" t="n">
        <v>18.12</v>
      </c>
      <c r="C10559" s="216" t="n">
        <v>29.85</v>
      </c>
      <c r="D10559" s="216" t="n">
        <v>1.118072032928467</v>
      </c>
      <c r="E10559" s="215" t="n">
        <v>46037</v>
      </c>
      <c r="F10559" s="215" t="n">
        <v>46037</v>
      </c>
    </row>
    <row r="10560">
      <c r="A10560" s="215" t="n">
        <v>46038</v>
      </c>
      <c r="B10560" s="216" t="n">
        <v>19.02</v>
      </c>
      <c r="C10560" s="216" t="n">
        <v>30.98</v>
      </c>
      <c r="D10560" s="216" t="n">
        <v>1.119040012359619</v>
      </c>
      <c r="E10560" s="215" t="n">
        <v>46038</v>
      </c>
      <c r="F10560" s="215" t="n">
        <v>46038</v>
      </c>
    </row>
    <row r="10561">
      <c r="A10561" s="215" t="n">
        <v>46041</v>
      </c>
      <c r="B10561" s="216" t="n">
        <v>18.98</v>
      </c>
      <c r="C10561" s="216" t="n">
        <v>30.87</v>
      </c>
      <c r="D10561" s="216" t="n">
        <v>1.118916034698486</v>
      </c>
      <c r="E10561" s="215" t="n">
        <v>46041</v>
      </c>
      <c r="F10561" s="215" t="n">
        <v>46041</v>
      </c>
    </row>
    <row r="10562">
      <c r="A10562" s="215" t="n">
        <v>46042</v>
      </c>
      <c r="B10562" s="216" t="n">
        <v>18.31</v>
      </c>
      <c r="C10562" s="216" t="n">
        <v>30.38</v>
      </c>
      <c r="D10562" s="216" t="n">
        <v>1.118687987327576</v>
      </c>
      <c r="E10562" s="215" t="n">
        <v>46042</v>
      </c>
      <c r="F10562" s="215" t="n">
        <v>46042</v>
      </c>
    </row>
    <row r="10563">
      <c r="A10563" s="215" t="n">
        <v>46043</v>
      </c>
      <c r="B10563" s="216" t="n">
        <v>18.42</v>
      </c>
      <c r="C10563" s="216" t="n">
        <v>30.83</v>
      </c>
      <c r="D10563" s="216" t="n">
        <v>1.12024998664856</v>
      </c>
      <c r="E10563" s="215" t="n">
        <v>46043</v>
      </c>
      <c r="F10563" s="215" t="n">
        <v>46043</v>
      </c>
    </row>
    <row r="10564">
      <c r="A10564" s="215" t="n">
        <v>46044</v>
      </c>
      <c r="B10564" s="216" t="n">
        <v>18.19</v>
      </c>
      <c r="C10564" s="216" t="n">
        <v>30.26</v>
      </c>
      <c r="D10564" s="216" t="n">
        <v>1.11942195892334</v>
      </c>
      <c r="E10564" s="215" t="n">
        <v>46044</v>
      </c>
      <c r="F10564" s="215" t="n">
        <v>46044</v>
      </c>
    </row>
    <row r="10565">
      <c r="A10565" s="215" t="n">
        <v>46045</v>
      </c>
      <c r="B10565" s="216" t="n">
        <v>19.07</v>
      </c>
      <c r="C10565" s="216" t="n">
        <v>31.25</v>
      </c>
      <c r="D10565" s="216" t="n">
        <v>1.117977976799011</v>
      </c>
      <c r="E10565" s="215" t="n">
        <v>46045</v>
      </c>
      <c r="F10565" s="215" t="n">
        <v>46045</v>
      </c>
    </row>
    <row r="10566">
      <c r="A10566" s="215" t="n">
        <v>46048</v>
      </c>
      <c r="B10566" s="216" t="n">
        <v>17.82</v>
      </c>
      <c r="C10566" s="216" t="n">
        <v>29.68</v>
      </c>
      <c r="D10566" s="216" t="n">
        <v>1.117916941642761</v>
      </c>
      <c r="E10566" s="215" t="n">
        <v>46048</v>
      </c>
      <c r="F10566" s="215" t="n">
        <v>46048</v>
      </c>
    </row>
    <row r="10567">
      <c r="A10567" s="215" t="n">
        <v>46049</v>
      </c>
      <c r="B10567" s="216" t="n">
        <v>17.97</v>
      </c>
      <c r="C10567" s="216" t="n">
        <v>30.04</v>
      </c>
      <c r="D10567" s="216" t="n">
        <v>1.121191024780273</v>
      </c>
      <c r="E10567" s="215" t="n">
        <v>46049</v>
      </c>
      <c r="F10567" s="215" t="n">
        <v>46049</v>
      </c>
    </row>
    <row r="10568">
      <c r="A10568" s="215" t="n">
        <v>46050</v>
      </c>
      <c r="B10568" s="216" t="n">
        <v>17.51</v>
      </c>
      <c r="C10568" s="216" t="n">
        <v>29.09</v>
      </c>
      <c r="D10568" s="216" t="n">
        <v>1.121533036231995</v>
      </c>
      <c r="E10568" s="215" t="n">
        <v>46050</v>
      </c>
      <c r="F10568" s="215" t="n">
        <v>46050</v>
      </c>
    </row>
    <row r="10569">
      <c r="A10569" s="215" t="n">
        <v>46051</v>
      </c>
      <c r="B10569" s="216" t="n">
        <v>17.19</v>
      </c>
      <c r="C10569" s="216" t="n">
        <v>28.18</v>
      </c>
      <c r="D10569" s="216" t="n">
        <v>1.121621966362</v>
      </c>
      <c r="E10569" s="215" t="n">
        <v>46051</v>
      </c>
      <c r="F10569" s="215" t="n">
        <v>46051</v>
      </c>
    </row>
    <row r="10570">
      <c r="A10570" s="215" t="n">
        <v>46052</v>
      </c>
      <c r="B10570" s="216" t="n">
        <v>16.86</v>
      </c>
      <c r="C10570" s="216" t="n">
        <v>27.98</v>
      </c>
      <c r="D10570" s="216" t="n">
        <v>1.123343944549561</v>
      </c>
      <c r="E10570" s="215" t="n">
        <v>46052</v>
      </c>
      <c r="F10570" s="215" t="n">
        <v>46052</v>
      </c>
    </row>
    <row r="10571">
      <c r="A10571" s="215" t="n">
        <v>46055</v>
      </c>
      <c r="B10571" s="216" t="n">
        <v>16.77</v>
      </c>
      <c r="C10571" s="216" t="n">
        <v>27.21</v>
      </c>
      <c r="D10571" s="216" t="n">
        <v>1.123572945594788</v>
      </c>
      <c r="E10571" s="215" t="n">
        <v>46055</v>
      </c>
      <c r="F10571" s="215" t="n">
        <v>46055</v>
      </c>
    </row>
    <row r="10572">
      <c r="A10572" s="215" t="n">
        <v>46056</v>
      </c>
      <c r="B10572" s="216" t="n">
        <v>16.92</v>
      </c>
      <c r="C10572" s="216" t="n">
        <v>28.15</v>
      </c>
      <c r="D10572" s="216" t="n">
        <v>1.124274969100952</v>
      </c>
      <c r="E10572" s="215" t="n">
        <v>46056</v>
      </c>
      <c r="F10572" s="215" t="n">
        <v>46056</v>
      </c>
    </row>
    <row r="10573">
      <c r="A10573" s="215" t="n">
        <v>46057</v>
      </c>
      <c r="B10573" s="216" t="n">
        <v>17.19</v>
      </c>
      <c r="C10573" s="216" t="n">
        <v>28.54</v>
      </c>
      <c r="D10573" s="216" t="n">
        <v>1.12601101398468</v>
      </c>
      <c r="E10573" s="215" t="n">
        <v>46057</v>
      </c>
      <c r="F10573" s="215" t="n">
        <v>46057</v>
      </c>
    </row>
    <row r="10574">
      <c r="A10574" s="215" t="n">
        <v>46058</v>
      </c>
      <c r="B10574" s="216" t="n">
        <v>17</v>
      </c>
      <c r="C10574" s="216" t="n">
        <v>27.79</v>
      </c>
      <c r="D10574" s="216" t="n">
        <v>1.125892996788025</v>
      </c>
      <c r="E10574" s="215" t="n">
        <v>46058</v>
      </c>
      <c r="F10574" s="215" t="n">
        <v>46058</v>
      </c>
    </row>
    <row r="10575">
      <c r="A10575" s="215" t="n">
        <v>46059</v>
      </c>
      <c r="B10575" s="216" t="n">
        <v>16.97</v>
      </c>
      <c r="C10575" s="216" t="n">
        <v>27.91</v>
      </c>
      <c r="D10575" s="216" t="n">
        <v>1.126062035560608</v>
      </c>
      <c r="E10575" s="215" t="n">
        <v>46059</v>
      </c>
      <c r="F10575" s="215" t="n">
        <v>46059</v>
      </c>
    </row>
    <row r="10576">
      <c r="A10576" s="215" t="n">
        <v>46062</v>
      </c>
      <c r="B10576" s="216" t="n">
        <v>17.09</v>
      </c>
      <c r="C10576" s="216" t="n">
        <v>27.94</v>
      </c>
      <c r="D10576" s="216" t="n">
        <v>1.125753998756409</v>
      </c>
      <c r="E10576" s="215" t="n">
        <v>46062</v>
      </c>
      <c r="F10576" s="215" t="n">
        <v>46062</v>
      </c>
    </row>
    <row r="10577">
      <c r="A10577" s="215" t="n">
        <v>46063</v>
      </c>
      <c r="B10577" s="216" t="n">
        <v>16.59</v>
      </c>
      <c r="C10577" s="216" t="n">
        <v>27.57</v>
      </c>
      <c r="D10577" s="216" t="n">
        <v>1.129003047943115</v>
      </c>
      <c r="E10577" s="215" t="n">
        <v>46063</v>
      </c>
      <c r="F10577" s="215" t="n">
        <v>46063</v>
      </c>
    </row>
    <row r="10578">
      <c r="A10578" s="215" t="n">
        <v>46064</v>
      </c>
      <c r="B10578" s="216" t="n">
        <v>16.76</v>
      </c>
      <c r="C10578" s="216" t="n">
        <v>27.52</v>
      </c>
      <c r="D10578" s="216" t="n">
        <v>1.130962014198303</v>
      </c>
      <c r="E10578" s="215" t="n">
        <v>46064</v>
      </c>
      <c r="F10578" s="215" t="n">
        <v>46064</v>
      </c>
    </row>
    <row r="10579">
      <c r="A10579" s="215" t="n">
        <v>46065</v>
      </c>
      <c r="B10579" s="216" t="n">
        <v>17.38</v>
      </c>
      <c r="C10579" s="216" t="n">
        <v>27.93</v>
      </c>
      <c r="D10579" s="216" t="n">
        <v>1.130671977996826</v>
      </c>
      <c r="E10579" s="215" t="n">
        <v>46065</v>
      </c>
      <c r="F10579" s="215" t="n">
        <v>46065</v>
      </c>
    </row>
    <row r="10580">
      <c r="A10580" s="215" t="n">
        <v>46066</v>
      </c>
      <c r="B10580" s="216" t="n">
        <v>17.52</v>
      </c>
      <c r="C10580" s="216" t="n">
        <v>27.9</v>
      </c>
      <c r="D10580" s="216" t="n">
        <v>1.132490992546082</v>
      </c>
      <c r="E10580" s="215" t="n">
        <v>46066</v>
      </c>
      <c r="F10580" s="215" t="n">
        <v>46066</v>
      </c>
    </row>
    <row r="10581">
      <c r="A10581" s="215" t="n">
        <v>46069</v>
      </c>
      <c r="B10581" s="216" t="n">
        <v>17.11</v>
      </c>
      <c r="C10581" s="216" t="n">
        <v>27.9</v>
      </c>
      <c r="D10581" s="216" t="n">
        <v>1.131224036216736</v>
      </c>
      <c r="E10581" s="215" t="n">
        <v>46066</v>
      </c>
      <c r="F10581" s="215" t="n">
        <v>46069</v>
      </c>
    </row>
    <row r="10582">
      <c r="A10582" s="215" t="n">
        <v>46073</v>
      </c>
      <c r="B10582" s="216" t="n">
        <v>17.25</v>
      </c>
      <c r="C10582" s="216" t="n">
        <v>27.9</v>
      </c>
      <c r="D10582" s="216" t="n">
        <v>1.131005048751831</v>
      </c>
      <c r="E10582" s="215" t="n">
        <v>46066</v>
      </c>
      <c r="F10582" s="215" t="n">
        <v>46073</v>
      </c>
    </row>
    <row r="10583">
      <c r="A10583" s="215" t="n">
        <v>46076</v>
      </c>
      <c r="B10583" s="216" t="n">
        <v>17.7</v>
      </c>
      <c r="C10583" s="216" t="n">
        <v>27.9</v>
      </c>
      <c r="D10583" s="216" t="n">
        <v>1.130877017974854</v>
      </c>
      <c r="E10583" s="215" t="n">
        <v>46066</v>
      </c>
      <c r="F10583" s="215" t="n">
        <v>46076</v>
      </c>
    </row>
    <row r="10584">
      <c r="A10584" s="215" t="n">
        <v>46077</v>
      </c>
      <c r="B10584" s="216" t="n">
        <v>17.27</v>
      </c>
      <c r="C10584" s="216" t="n">
        <v>27.77</v>
      </c>
      <c r="D10584" s="216" t="n">
        <v>1.131631016731262</v>
      </c>
      <c r="E10584" s="215" t="n">
        <v>46077</v>
      </c>
      <c r="F10584" s="215" t="n">
        <v>46077</v>
      </c>
    </row>
    <row r="10585">
      <c r="A10585" s="215" t="n">
        <v>46078</v>
      </c>
      <c r="B10585" s="216" t="n">
        <v>17.49</v>
      </c>
      <c r="C10585" s="216" t="n">
        <v>28.26</v>
      </c>
      <c r="D10585" s="216" t="n">
        <v>1.136234045028687</v>
      </c>
      <c r="E10585" s="215" t="n">
        <v>46078</v>
      </c>
      <c r="F10585" s="215" t="n">
        <v>46078</v>
      </c>
    </row>
    <row r="10586">
      <c r="A10586" s="215" t="n">
        <v>46079</v>
      </c>
      <c r="B10586" s="216" t="n">
        <v>17.42</v>
      </c>
      <c r="C10586" s="216" t="n">
        <v>27.96</v>
      </c>
      <c r="D10586" s="216" t="n">
        <v>1.138198971748352</v>
      </c>
      <c r="E10586" s="215" t="n">
        <v>46079</v>
      </c>
      <c r="F10586" s="215" t="n">
        <v>46079</v>
      </c>
    </row>
    <row r="10587">
      <c r="A10587" s="215" t="n">
        <v>46080</v>
      </c>
      <c r="B10587" s="216" t="n">
        <v>16.94</v>
      </c>
      <c r="C10587" s="216" t="n">
        <v>27.99</v>
      </c>
      <c r="D10587" s="216" t="n">
        <v>1.143396973609924</v>
      </c>
      <c r="E10587" s="215" t="n">
        <v>46080</v>
      </c>
      <c r="F10587" s="215" t="n">
        <v>46080</v>
      </c>
    </row>
    <row r="10588">
      <c r="A10588" s="215" t="n">
        <v>46083</v>
      </c>
      <c r="B10588" s="216" t="n">
        <v>16.42</v>
      </c>
      <c r="C10588" s="216" t="n">
        <v>27.37</v>
      </c>
      <c r="D10588" s="216" t="n">
        <v>1.140552043914795</v>
      </c>
      <c r="E10588" s="215" t="n">
        <v>46083</v>
      </c>
      <c r="F10588" s="215" t="n">
        <v>46083</v>
      </c>
    </row>
    <row r="10589">
      <c r="A10589" s="215" t="n">
        <v>46084</v>
      </c>
      <c r="B10589" s="216" t="n">
        <v>15.78</v>
      </c>
      <c r="C10589" s="216" t="n">
        <v>26.3</v>
      </c>
      <c r="D10589" s="216" t="n">
        <v>1.136399984359741</v>
      </c>
      <c r="E10589" s="215" t="n">
        <v>46084</v>
      </c>
      <c r="F10589" s="215" t="n">
        <v>46084</v>
      </c>
    </row>
    <row r="10590">
      <c r="A10590" s="215" t="n">
        <v>46085</v>
      </c>
      <c r="B10590" s="216" t="n">
        <v>15.46</v>
      </c>
      <c r="C10590" s="216" t="n">
        <v>25.94</v>
      </c>
      <c r="D10590" s="216" t="n">
        <v>1.130928993225098</v>
      </c>
      <c r="E10590" s="215" t="n">
        <v>46085</v>
      </c>
      <c r="F10590" s="215" t="n">
        <v>46085</v>
      </c>
    </row>
    <row r="10591">
      <c r="A10591" s="215" t="n">
        <v>46086</v>
      </c>
      <c r="B10591" s="216" t="n">
        <v>15.62</v>
      </c>
      <c r="C10591" s="216" t="n">
        <v>26.49</v>
      </c>
      <c r="D10591" s="216" t="n">
        <v>1.133169054985046</v>
      </c>
      <c r="E10591" s="215" t="n">
        <v>46086</v>
      </c>
      <c r="F10591" s="215" t="n">
        <v>46086</v>
      </c>
    </row>
    <row r="10592">
      <c r="A10592" s="215" t="n">
        <v>46087</v>
      </c>
      <c r="B10592" s="216" t="n">
        <v>15.8</v>
      </c>
      <c r="C10592" s="216" t="n">
        <v>26.44</v>
      </c>
      <c r="D10592" s="216" t="n">
        <v>1.133442044258118</v>
      </c>
      <c r="E10592" s="215" t="n">
        <v>46087</v>
      </c>
      <c r="F10592" s="215" t="n">
        <v>46087</v>
      </c>
    </row>
    <row r="10593">
      <c r="A10593" s="215" t="n">
        <v>46090</v>
      </c>
      <c r="B10593" s="216" t="n">
        <v>15.61</v>
      </c>
      <c r="C10593" s="216" t="n">
        <v>25.9</v>
      </c>
      <c r="D10593" s="216" t="n">
        <v>1.133231043815613</v>
      </c>
      <c r="E10593" s="215" t="n">
        <v>46090</v>
      </c>
      <c r="F10593" s="215" t="n">
        <v>46090</v>
      </c>
    </row>
    <row r="10594">
      <c r="A10594" s="215" t="n">
        <v>46091</v>
      </c>
      <c r="B10594" s="216" t="n">
        <v>16.08</v>
      </c>
      <c r="C10594" s="216" t="n">
        <v>26.54</v>
      </c>
      <c r="D10594" s="216" t="n">
        <v>1.131595015525818</v>
      </c>
      <c r="E10594" s="215" t="n">
        <v>46091</v>
      </c>
      <c r="F10594" s="215" t="n">
        <v>46091</v>
      </c>
    </row>
    <row r="10595">
      <c r="A10595" s="215" t="n">
        <v>46092</v>
      </c>
      <c r="B10595" s="216" t="n">
        <v>16</v>
      </c>
      <c r="C10595" s="216" t="n">
        <v>26.36</v>
      </c>
      <c r="D10595" s="216" t="n">
        <v>1.137585043907166</v>
      </c>
      <c r="E10595" s="215" t="n">
        <v>46092</v>
      </c>
      <c r="F10595" s="215" t="n">
        <v>46092</v>
      </c>
    </row>
    <row r="10596">
      <c r="A10596" s="215" t="n">
        <v>46093</v>
      </c>
      <c r="B10596" s="216" t="n">
        <v>16.09</v>
      </c>
      <c r="C10596" s="216" t="n">
        <v>26</v>
      </c>
      <c r="D10596" s="216" t="n">
        <v>1.139600038528442</v>
      </c>
      <c r="E10596" s="215" t="n">
        <v>46093</v>
      </c>
      <c r="F10596" s="215" t="n">
        <v>46093</v>
      </c>
    </row>
    <row r="10597">
      <c r="A10597" s="215" t="n">
        <v>46094</v>
      </c>
      <c r="B10597" s="216" t="n">
        <v>15.91</v>
      </c>
      <c r="C10597" s="216" t="n">
        <v>25.44</v>
      </c>
      <c r="D10597" s="216" t="n">
        <v>1.139310002326965</v>
      </c>
      <c r="E10597" s="215" t="n">
        <v>46094</v>
      </c>
      <c r="F10597" s="215" t="n">
        <v>46094</v>
      </c>
    </row>
    <row r="10598">
      <c r="A10598" s="215" t="n">
        <v>46097</v>
      </c>
      <c r="B10598" s="216" t="n">
        <v>15.54</v>
      </c>
      <c r="C10598" s="216" t="n">
        <v>25.15</v>
      </c>
      <c r="D10598" s="216" t="n">
        <v>1.134883999824524</v>
      </c>
      <c r="E10598" s="215" t="n">
        <v>46097</v>
      </c>
      <c r="F10598" s="215" t="n">
        <v>46097</v>
      </c>
    </row>
    <row r="10599">
      <c r="A10599" s="215" t="n">
        <v>46098</v>
      </c>
      <c r="B10599" s="216" t="n">
        <v>15.54</v>
      </c>
      <c r="C10599" s="216" t="n">
        <v>24.93</v>
      </c>
      <c r="D10599" s="216" t="n">
        <v>1.125375986099243</v>
      </c>
      <c r="E10599" s="215" t="n">
        <v>46098</v>
      </c>
      <c r="F10599" s="215" t="n">
        <v>46098</v>
      </c>
    </row>
    <row r="10600">
      <c r="A10600" s="215" t="n">
        <v>46099</v>
      </c>
      <c r="B10600" s="216" t="n">
        <v>15.67</v>
      </c>
      <c r="C10600" s="216" t="n">
        <v>25.01</v>
      </c>
      <c r="D10600" s="216" t="n">
        <v>1.137819051742554</v>
      </c>
      <c r="E10600" s="215" t="n">
        <v>46099</v>
      </c>
      <c r="F10600" s="215" t="n">
        <v>46099</v>
      </c>
    </row>
    <row r="10601">
      <c r="A10601" s="215" t="n">
        <v>46100</v>
      </c>
      <c r="B10601" s="216" t="n">
        <v>15.42</v>
      </c>
      <c r="C10601" s="216" t="n">
        <v>24.12</v>
      </c>
      <c r="D10601" s="216" t="n">
        <v>1.140079021453857</v>
      </c>
      <c r="E10601" s="215" t="n">
        <v>46100</v>
      </c>
      <c r="F10601" s="215" t="n">
        <v>46100</v>
      </c>
    </row>
    <row r="10602">
      <c r="A10602" s="215" t="n">
        <v>46101</v>
      </c>
      <c r="B10602" s="216" t="n">
        <v>15.14</v>
      </c>
      <c r="C10602" s="216" t="n">
        <v>23.75</v>
      </c>
      <c r="D10602" s="216" t="n">
        <v>1.13490903377533</v>
      </c>
      <c r="E10602" s="215" t="n">
        <v>46101</v>
      </c>
      <c r="F10602" s="215" t="n">
        <v>46101</v>
      </c>
    </row>
    <row r="10603">
      <c r="A10603" s="215" t="n">
        <v>46104</v>
      </c>
      <c r="B10603" s="216" t="n">
        <v>14.53</v>
      </c>
      <c r="C10603" s="216" t="n">
        <v>23.06</v>
      </c>
      <c r="D10603" s="216" t="n">
        <v>1.137529969215393</v>
      </c>
      <c r="E10603" s="215" t="n">
        <v>46104</v>
      </c>
      <c r="F10603" s="215" t="n">
        <v>46104</v>
      </c>
    </row>
    <row r="10604">
      <c r="A10604" s="215" t="n">
        <v>46105</v>
      </c>
      <c r="B10604" s="216" t="n">
        <v>14.5</v>
      </c>
      <c r="C10604" s="216" t="n">
        <v>23.19</v>
      </c>
      <c r="D10604" s="216" t="n">
        <v>1.138481974601746</v>
      </c>
      <c r="E10604" s="215" t="n">
        <v>46105</v>
      </c>
      <c r="F10604" s="215" t="n">
        <v>46105</v>
      </c>
    </row>
    <row r="10605">
      <c r="A10605" s="215" t="n">
        <v>46106</v>
      </c>
      <c r="B10605" s="216" t="n">
        <v>14.85</v>
      </c>
      <c r="C10605" s="216" t="n">
        <v>24.68</v>
      </c>
      <c r="D10605" s="216" t="n">
        <v>1.135548949241638</v>
      </c>
      <c r="E10605" s="215" t="n">
        <v>46106</v>
      </c>
      <c r="F10605" s="215" t="n">
        <v>46106</v>
      </c>
    </row>
    <row r="10606">
      <c r="A10606" s="215" t="n">
        <v>46107</v>
      </c>
      <c r="B10606" s="216" t="n">
        <v>14.26</v>
      </c>
      <c r="C10606" s="216" t="n">
        <v>24.26</v>
      </c>
      <c r="D10606" s="216" t="n">
        <v>1.132627010345459</v>
      </c>
      <c r="E10606" s="215" t="n">
        <v>46107</v>
      </c>
      <c r="F10606" s="215" t="n">
        <v>46107</v>
      </c>
    </row>
    <row r="10607">
      <c r="A10607" s="215" t="n">
        <v>46108</v>
      </c>
      <c r="B10607" s="216" t="n">
        <v>14.86</v>
      </c>
      <c r="C10607" s="216" t="n">
        <v>24.36</v>
      </c>
      <c r="D10607" s="216" t="n">
        <v>1.132115960121155</v>
      </c>
      <c r="E10607" s="215" t="n">
        <v>46108</v>
      </c>
      <c r="F10607" s="215" t="n">
        <v>46108</v>
      </c>
    </row>
    <row r="10608">
      <c r="A10608" s="215" t="n">
        <v>46111</v>
      </c>
      <c r="B10608" s="216" t="n">
        <v>15.45</v>
      </c>
      <c r="C10608" s="216" t="n">
        <v>25.52</v>
      </c>
      <c r="D10608" s="216" t="n">
        <v>1.13311505317688</v>
      </c>
      <c r="E10608" s="215" t="n">
        <v>46111</v>
      </c>
      <c r="F10608" s="215" t="n">
        <v>46111</v>
      </c>
    </row>
    <row r="10609">
      <c r="A10609" s="215" t="n">
        <v>46112</v>
      </c>
      <c r="B10609" s="216" t="n">
        <v>14.85</v>
      </c>
      <c r="C10609" s="216" t="n">
        <v>24.78</v>
      </c>
      <c r="D10609" s="216" t="n">
        <v>1.133540987968445</v>
      </c>
      <c r="E10609" s="215" t="n">
        <v>46112</v>
      </c>
      <c r="F10609" s="215" t="n">
        <v>46112</v>
      </c>
    </row>
    <row r="10610">
      <c r="A10610" s="215" t="n">
        <v>46113</v>
      </c>
      <c r="B10610" s="216" t="n">
        <v>15.49</v>
      </c>
      <c r="C10610" s="216" t="n">
        <v>25.2</v>
      </c>
      <c r="D10610" s="216" t="n">
        <v>1.136669993400574</v>
      </c>
      <c r="E10610" s="215" t="n">
        <v>46113</v>
      </c>
      <c r="F10610" s="215" t="n">
        <v>46113</v>
      </c>
    </row>
    <row r="10611">
      <c r="A10611" s="215" t="n">
        <v>46114</v>
      </c>
      <c r="B10611" s="216" t="n">
        <v>15.6</v>
      </c>
      <c r="C10611" s="216" t="n">
        <v>25.23</v>
      </c>
      <c r="D10611" s="216" t="n">
        <v>1.140197992324829</v>
      </c>
      <c r="E10611" s="215" t="n">
        <v>46114</v>
      </c>
      <c r="F10611" s="215" t="n">
        <v>46114</v>
      </c>
    </row>
    <row r="10612">
      <c r="A10612" s="215" t="n">
        <v>46120</v>
      </c>
      <c r="B10612" s="216" t="n">
        <v>16.36</v>
      </c>
      <c r="C10612" s="216" t="n">
        <v>26.18</v>
      </c>
      <c r="D10612" s="216" t="n">
        <v>1.1423499584198</v>
      </c>
      <c r="E10612" s="215" t="n">
        <v>46120</v>
      </c>
      <c r="F10612" s="215" t="n">
        <v>46120</v>
      </c>
    </row>
    <row r="10613">
      <c r="A10613" s="215" t="n">
        <v>46121</v>
      </c>
      <c r="B10613" s="216" t="n">
        <v>16.31</v>
      </c>
      <c r="C10613" s="216" t="n">
        <v>26.62</v>
      </c>
      <c r="D10613" s="216" t="n">
        <v>1.146731972694397</v>
      </c>
      <c r="E10613" s="215" t="n">
        <v>46121</v>
      </c>
      <c r="F10613" s="215" t="n">
        <v>46121</v>
      </c>
    </row>
    <row r="10614">
      <c r="A10614" s="215" t="n">
        <v>46122</v>
      </c>
      <c r="B10614" s="216" t="n">
        <v>16.36</v>
      </c>
      <c r="C10614" s="216" t="n">
        <v>26.33</v>
      </c>
      <c r="D10614" s="216" t="n">
        <v>1.146558046340942</v>
      </c>
      <c r="E10614" s="215" t="n">
        <v>46122</v>
      </c>
      <c r="F10614" s="215" t="n">
        <v>46122</v>
      </c>
    </row>
    <row r="10615">
      <c r="A10615" s="215" t="n">
        <v>46125</v>
      </c>
      <c r="B10615" s="216" t="n">
        <v>16.09</v>
      </c>
      <c r="C10615" s="216" t="n">
        <v>25.86</v>
      </c>
      <c r="D10615" s="216" t="n">
        <v>1.147117972373962</v>
      </c>
      <c r="E10615" s="215" t="n">
        <v>46125</v>
      </c>
      <c r="F10615" s="215" t="n">
        <v>46125</v>
      </c>
    </row>
    <row r="10616">
      <c r="A10616" s="215" t="n">
        <v>46126</v>
      </c>
      <c r="B10616" s="216" t="n">
        <v>16.22</v>
      </c>
      <c r="C10616" s="216" t="n">
        <v>25.81</v>
      </c>
      <c r="D10616" s="216" t="n">
        <v>1.146226048469543</v>
      </c>
      <c r="E10616" s="215" t="n">
        <v>46126</v>
      </c>
      <c r="F10616" s="215" t="n">
        <v>46126</v>
      </c>
    </row>
    <row r="10617">
      <c r="A10617" s="215" t="n">
        <v>46127</v>
      </c>
      <c r="B10617" s="216" t="n">
        <v>16.06</v>
      </c>
      <c r="C10617" s="216" t="n">
        <v>25.55</v>
      </c>
      <c r="D10617" s="216" t="n">
        <v>1.149266004562378</v>
      </c>
      <c r="E10617" s="215" t="n">
        <v>46127</v>
      </c>
      <c r="F10617" s="215" t="n">
        <v>46127</v>
      </c>
    </row>
    <row r="10618">
      <c r="A10618" s="215" t="n">
        <v>46128</v>
      </c>
      <c r="B10618" s="216" t="n">
        <v>16.35</v>
      </c>
      <c r="C10618" s="216" t="n">
        <v>25.98</v>
      </c>
      <c r="D10618" s="216" t="n">
        <v>1.148550033569336</v>
      </c>
      <c r="E10618" s="215" t="n">
        <v>46128</v>
      </c>
      <c r="F10618" s="215" t="n">
        <v>46128</v>
      </c>
    </row>
    <row r="10619">
      <c r="A10619" s="215" t="n">
        <v>46129</v>
      </c>
      <c r="B10619" s="216" t="n">
        <v>16.3</v>
      </c>
      <c r="C10619" s="216" t="n">
        <v>26.5</v>
      </c>
      <c r="D10619" s="216" t="n">
        <v>1.146605014801025</v>
      </c>
      <c r="E10619" s="215" t="n">
        <v>46129</v>
      </c>
      <c r="F10619" s="215" t="n">
        <v>46129</v>
      </c>
    </row>
    <row r="10620">
      <c r="A10620" s="215" t="n">
        <v>46132</v>
      </c>
      <c r="B10620" s="216" t="n">
        <v>15.8</v>
      </c>
      <c r="C10620" s="216" t="n">
        <v>26.1</v>
      </c>
      <c r="D10620" s="216" t="n">
        <v>1.148360967636108</v>
      </c>
      <c r="E10620" s="215" t="n">
        <v>46132</v>
      </c>
      <c r="F10620" s="215" t="n">
        <v>46132</v>
      </c>
    </row>
    <row r="10621">
      <c r="A10621" s="215" t="n">
        <v>46133</v>
      </c>
      <c r="B10621" s="216" t="n">
        <v>18.11</v>
      </c>
      <c r="C10621" s="216" t="n">
        <v>28.71</v>
      </c>
      <c r="D10621" s="216" t="n">
        <v>1.148368000984192</v>
      </c>
      <c r="E10621" s="215" t="n">
        <v>46133</v>
      </c>
      <c r="F10621" s="215" t="n">
        <v>46133</v>
      </c>
    </row>
    <row r="10622">
      <c r="A10622" s="215" t="n">
        <v>46134</v>
      </c>
      <c r="B10622" s="216" t="n">
        <v>17.59</v>
      </c>
      <c r="C10622" s="216" t="n">
        <v>29.18</v>
      </c>
      <c r="D10622" s="216" t="n">
        <v>1.147838950157166</v>
      </c>
      <c r="E10622" s="215" t="n">
        <v>46134</v>
      </c>
      <c r="F10622" s="215" t="n">
        <v>46134</v>
      </c>
    </row>
    <row r="10623">
      <c r="A10623" s="215" t="n">
        <v>46135</v>
      </c>
      <c r="B10623" s="216" t="n">
        <v>17.38</v>
      </c>
      <c r="C10623" s="216" t="n">
        <v>29.51</v>
      </c>
      <c r="D10623" s="216" t="n">
        <v>1.147513031959534</v>
      </c>
      <c r="E10623" s="215" t="n">
        <v>46135</v>
      </c>
      <c r="F10623" s="215" t="n">
        <v>46135</v>
      </c>
    </row>
    <row r="10624">
      <c r="A10624" s="215" t="n">
        <v>46136</v>
      </c>
      <c r="B10624" s="216" t="n">
        <v>17.09</v>
      </c>
      <c r="C10624" s="216" t="n">
        <v>28.88</v>
      </c>
      <c r="D10624" s="216" t="n">
        <v>1.147369027137756</v>
      </c>
      <c r="E10624" s="215" t="n">
        <v>46136</v>
      </c>
      <c r="F10624" s="215" t="n">
        <v>46136</v>
      </c>
    </row>
    <row r="10625">
      <c r="A10625" s="215" t="n">
        <v>46139</v>
      </c>
      <c r="B10625" s="216" t="n">
        <v>17.18</v>
      </c>
      <c r="C10625" s="216" t="n">
        <v>28.59</v>
      </c>
      <c r="D10625" s="216" t="n">
        <v>1.146002054214478</v>
      </c>
      <c r="E10625" s="215" t="n">
        <v>46139</v>
      </c>
      <c r="F10625" s="215" t="n">
        <v>46139</v>
      </c>
    </row>
    <row r="10626">
      <c r="A10626" s="215" t="n">
        <v>46140</v>
      </c>
      <c r="B10626" s="216" t="n">
        <v>16.8</v>
      </c>
      <c r="C10626" s="216" t="n">
        <v>28.18</v>
      </c>
      <c r="D10626" s="216" t="n">
        <v>1.148522019386292</v>
      </c>
      <c r="E10626" s="215" t="n">
        <v>46140</v>
      </c>
      <c r="F10626" s="215" t="n">
        <v>46140</v>
      </c>
    </row>
    <row r="10627">
      <c r="A10627" s="215" t="n">
        <v>46141</v>
      </c>
      <c r="B10627" s="216" t="n">
        <v>17.1</v>
      </c>
      <c r="C10627" s="216" t="n">
        <v>28.47</v>
      </c>
      <c r="D10627" s="216" t="n">
        <v>1.145936012268066</v>
      </c>
      <c r="E10627" s="215" t="n">
        <v>46141</v>
      </c>
      <c r="F10627" s="215" t="n">
        <v>46141</v>
      </c>
    </row>
    <row r="10628">
      <c r="A10628" s="215" t="n">
        <v>46142</v>
      </c>
      <c r="B10628" s="216" t="n">
        <v>16.71</v>
      </c>
      <c r="C10628" s="216" t="n">
        <v>28.52</v>
      </c>
      <c r="D10628" s="216" t="n">
        <v>1.145792007446289</v>
      </c>
      <c r="E10628" s="215" t="n">
        <v>46142</v>
      </c>
      <c r="F10628" s="215" t="n">
        <v>46142</v>
      </c>
    </row>
    <row r="10629">
      <c r="A10629" s="215" t="n">
        <v>46146</v>
      </c>
      <c r="B10629" s="216" t="n">
        <v>16.59</v>
      </c>
      <c r="C10629" s="216" t="n">
        <v>28.52</v>
      </c>
      <c r="D10629" s="216" t="n">
        <v>1.147340059280396</v>
      </c>
      <c r="E10629" s="215" t="n">
        <v>46142</v>
      </c>
      <c r="F10629" s="215" t="n">
        <v>46146</v>
      </c>
    </row>
    <row r="10630">
      <c r="A10630" s="215" t="n">
        <v>46147</v>
      </c>
      <c r="B10630" s="216" t="n">
        <v>16.9</v>
      </c>
      <c r="C10630" s="216" t="n">
        <v>28.52</v>
      </c>
      <c r="D10630" s="216" t="n">
        <v>1.146813988685608</v>
      </c>
      <c r="E10630" s="215" t="n">
        <v>46142</v>
      </c>
      <c r="F10630" s="215" t="n">
        <v>46147</v>
      </c>
    </row>
    <row r="10631">
      <c r="A10631" s="215" t="n">
        <v>46148</v>
      </c>
      <c r="B10631" s="216" t="n">
        <v>17.57</v>
      </c>
      <c r="C10631" s="216" t="n">
        <v>29.73</v>
      </c>
      <c r="D10631" s="216" t="n">
        <v>1.14708399772644</v>
      </c>
      <c r="E10631" s="215" t="n">
        <v>46148</v>
      </c>
      <c r="F10631" s="215" t="n">
        <v>46148</v>
      </c>
    </row>
    <row r="10632">
      <c r="A10632" s="215" t="n">
        <v>46149</v>
      </c>
      <c r="B10632" s="216" t="n">
        <v>17.6</v>
      </c>
      <c r="C10632" s="216" t="n">
        <v>29.46</v>
      </c>
      <c r="D10632" s="216" t="n">
        <v>1.150125026702881</v>
      </c>
      <c r="E10632" s="215" t="n">
        <v>46149</v>
      </c>
      <c r="F10632" s="215" t="n">
        <v>46149</v>
      </c>
    </row>
    <row r="10633">
      <c r="A10633" s="215" t="n">
        <v>46150</v>
      </c>
      <c r="B10633" s="216" t="n">
        <v>17.37</v>
      </c>
      <c r="C10633" s="216" t="n">
        <v>29.63</v>
      </c>
      <c r="D10633" s="216" t="n">
        <v>1.15172004699707</v>
      </c>
      <c r="E10633" s="215" t="n">
        <v>46150</v>
      </c>
      <c r="F10633" s="215" t="n">
        <v>46150</v>
      </c>
    </row>
    <row r="10634">
      <c r="A10634" s="215" t="n">
        <v>46153</v>
      </c>
      <c r="B10634" s="216" t="n">
        <v>17.46</v>
      </c>
      <c r="C10634" s="216" t="n">
        <v>28.93</v>
      </c>
      <c r="D10634" s="216" t="n">
        <v>1.151090025901794</v>
      </c>
      <c r="E10634" s="215" t="n">
        <v>46153</v>
      </c>
      <c r="F10634" s="215" t="n">
        <v>46153</v>
      </c>
    </row>
    <row r="10635">
      <c r="A10635" s="215" t="n">
        <v>46154</v>
      </c>
      <c r="B10635" s="216" t="n">
        <v>17</v>
      </c>
      <c r="C10635" s="216" t="n">
        <v>28.34</v>
      </c>
      <c r="D10635" s="216" t="n">
        <v>1.152078986167908</v>
      </c>
      <c r="E10635" s="215" t="n">
        <v>46154</v>
      </c>
      <c r="F10635" s="215" t="n">
        <v>46154</v>
      </c>
    </row>
    <row r="10636">
      <c r="A10636" s="215" t="n">
        <v>46155</v>
      </c>
      <c r="B10636" s="216" t="n">
        <v>17.91</v>
      </c>
      <c r="C10636" s="216" t="n">
        <v>30</v>
      </c>
      <c r="D10636" s="216" t="n">
        <v>1.152537941932678</v>
      </c>
      <c r="E10636" s="215" t="n">
        <v>46155</v>
      </c>
      <c r="F10636" s="215" t="n">
        <v>46155</v>
      </c>
    </row>
    <row r="10637">
      <c r="A10637" s="215" t="n">
        <v>46156</v>
      </c>
      <c r="B10637" s="216" t="n">
        <v>17.45</v>
      </c>
      <c r="C10637" s="216" t="n">
        <v>29.18</v>
      </c>
      <c r="D10637" s="216" t="n">
        <v>1.152662992477417</v>
      </c>
      <c r="E10637" s="215" t="n">
        <v>46156</v>
      </c>
      <c r="F10637" s="215" t="n">
        <v>46156</v>
      </c>
    </row>
    <row r="10638">
      <c r="A10638" s="215" t="n">
        <v>46157</v>
      </c>
      <c r="B10638" s="216" t="n">
        <v>18.35</v>
      </c>
      <c r="C10638" s="216" t="n">
        <v>30.37</v>
      </c>
      <c r="D10638" s="216" t="n">
        <v>1.154320001602173</v>
      </c>
      <c r="E10638" s="215" t="n">
        <v>46157</v>
      </c>
      <c r="F10638" s="215" t="n">
        <v>46157</v>
      </c>
    </row>
    <row r="10639">
      <c r="A10639" s="215" t="n">
        <v>46160</v>
      </c>
      <c r="B10639" s="216" t="n">
        <v>18.2</v>
      </c>
      <c r="C10639" s="216" t="n">
        <v>30.93</v>
      </c>
      <c r="D10639" s="216" t="n">
        <v>1.149821996688843</v>
      </c>
      <c r="E10639" s="215" t="n">
        <v>46160</v>
      </c>
      <c r="F10639" s="215" t="n">
        <v>46160</v>
      </c>
    </row>
    <row r="10640">
      <c r="A10640" s="215" t="n">
        <v>46161</v>
      </c>
      <c r="B10640" s="216" t="n">
        <v>17.66</v>
      </c>
      <c r="C10640" s="216" t="n">
        <v>30.17</v>
      </c>
      <c r="D10640" s="216" t="n">
        <v>1.151532053947449</v>
      </c>
      <c r="E10640" s="215" t="n">
        <v>46161</v>
      </c>
      <c r="F10640" s="215" t="n">
        <v>46161</v>
      </c>
    </row>
    <row r="10641">
      <c r="A10641" s="215" t="n">
        <v>46162</v>
      </c>
      <c r="B10641" s="216" t="n">
        <v>17</v>
      </c>
      <c r="C10641" s="216" t="n">
        <v>28.79</v>
      </c>
      <c r="D10641" s="216" t="n">
        <v>1.149292945861816</v>
      </c>
      <c r="E10641" s="215" t="n">
        <v>46162</v>
      </c>
      <c r="F10641" s="215" t="n">
        <v>46162</v>
      </c>
    </row>
    <row r="10642">
      <c r="A10642" s="215" t="n">
        <v>46163</v>
      </c>
      <c r="B10642" s="216" t="n">
        <v>17.46</v>
      </c>
      <c r="C10642" s="216" t="n">
        <v>30.18</v>
      </c>
      <c r="D10642" s="216" t="n">
        <v>1.151231050491333</v>
      </c>
      <c r="E10642" s="215" t="n">
        <v>46163</v>
      </c>
      <c r="F10642" s="215" t="n">
        <v>46163</v>
      </c>
    </row>
    <row r="10643">
      <c r="A10643" s="215" t="n">
        <v>46164</v>
      </c>
      <c r="B10643" s="216" t="n">
        <v>18.19</v>
      </c>
      <c r="C10643" s="216" t="n">
        <v>30.82</v>
      </c>
      <c r="D10643" s="216" t="n">
        <v>1.151487946510315</v>
      </c>
      <c r="E10643" s="215" t="n">
        <v>46164</v>
      </c>
      <c r="F10643" s="215" t="n">
        <v>46164</v>
      </c>
    </row>
    <row r="10644">
      <c r="A10644" s="215" t="n">
        <v>46168</v>
      </c>
      <c r="B10644" s="216" t="n">
        <v>18.37</v>
      </c>
      <c r="C10644" s="216" t="n">
        <v>31.95</v>
      </c>
      <c r="D10644" s="216" t="n">
        <v>1.152968049049377</v>
      </c>
      <c r="E10644" s="215" t="n">
        <v>46168</v>
      </c>
      <c r="F10644" s="215" t="n">
        <v>46168</v>
      </c>
    </row>
    <row r="10645">
      <c r="A10645" s="215" t="n">
        <v>46169</v>
      </c>
      <c r="B10645" s="216" t="n">
        <v>17.71</v>
      </c>
      <c r="C10645" s="216" t="n">
        <v>30.22</v>
      </c>
      <c r="D10645" s="216" t="n">
        <v>1.154562950134277</v>
      </c>
      <c r="E10645" s="215" t="n">
        <v>46169</v>
      </c>
      <c r="F10645" s="215" t="n">
        <v>46169</v>
      </c>
    </row>
    <row r="10646">
      <c r="A10646" s="215" t="n">
        <v>46170</v>
      </c>
      <c r="B10646" s="216" t="n">
        <v>16.94</v>
      </c>
      <c r="C10646" s="216" t="n">
        <v>28.31</v>
      </c>
      <c r="D10646" s="216" t="n">
        <v>1.155385971069336</v>
      </c>
      <c r="E10646" s="215" t="n">
        <v>46170</v>
      </c>
      <c r="F10646" s="215" t="n">
        <v>46170</v>
      </c>
    </row>
    <row r="10647">
      <c r="A10647" s="215" t="n">
        <v>46171</v>
      </c>
      <c r="B10647" s="216" t="n">
        <v>16.06</v>
      </c>
      <c r="C10647" s="216" t="n">
        <v>26.22</v>
      </c>
      <c r="D10647" s="216" t="n">
        <v>1.155282974243164</v>
      </c>
      <c r="E10647" s="215" t="n">
        <v>46171</v>
      </c>
      <c r="F10647" s="215" t="n">
        <v>46171</v>
      </c>
    </row>
    <row r="10648">
      <c r="A10648" s="215" t="n">
        <v>46174</v>
      </c>
      <c r="B10648" s="216" t="n">
        <v>16.12</v>
      </c>
      <c r="C10648" s="216" t="n">
        <v>26.17</v>
      </c>
      <c r="D10648" s="216" t="n">
        <v>1.158049941062927</v>
      </c>
      <c r="E10648" s="215" t="n">
        <v>46174</v>
      </c>
      <c r="F10648" s="215" t="n">
        <v>46174</v>
      </c>
    </row>
    <row r="10649">
      <c r="A10649" s="215" t="n">
        <v>46175</v>
      </c>
      <c r="B10649" s="216" t="n">
        <v>16.51</v>
      </c>
      <c r="C10649" s="216" t="n">
        <v>26.35</v>
      </c>
      <c r="D10649" s="216" t="n">
        <v>1.158406972885132</v>
      </c>
      <c r="E10649" s="215" t="n">
        <v>46175</v>
      </c>
      <c r="F10649" s="215" t="n">
        <v>46175</v>
      </c>
    </row>
    <row r="10650">
      <c r="A10650" s="215" t="n">
        <v>46176</v>
      </c>
      <c r="B10650" s="216" t="n">
        <v>16.8</v>
      </c>
      <c r="C10650" s="216" t="n">
        <v>26.93</v>
      </c>
      <c r="D10650" s="216" t="n">
        <v>1.15879499912262</v>
      </c>
      <c r="E10650" s="215" t="n">
        <v>46176</v>
      </c>
      <c r="F10650" s="215" t="n">
        <v>46176</v>
      </c>
    </row>
    <row r="10651">
      <c r="A10651" s="215" t="n">
        <v>46177</v>
      </c>
      <c r="B10651" s="216" t="n">
        <v>16.43</v>
      </c>
      <c r="C10651" s="216" t="n">
        <v>26.53</v>
      </c>
      <c r="D10651" s="216" t="n">
        <v>1.157420039176941</v>
      </c>
      <c r="E10651" s="215" t="n">
        <v>46177</v>
      </c>
      <c r="F10651" s="215" t="n">
        <v>46177</v>
      </c>
    </row>
    <row r="10652">
      <c r="A10652" s="215" t="n">
        <v>46178</v>
      </c>
      <c r="B10652" s="216" t="n">
        <v>16.18</v>
      </c>
      <c r="C10652" s="216" t="n">
        <v>26.4</v>
      </c>
      <c r="D10652" s="216" t="n">
        <v>1.156491994857788</v>
      </c>
      <c r="E10652" s="215" t="n">
        <v>46178</v>
      </c>
      <c r="F10652" s="215" t="n">
        <v>46178</v>
      </c>
    </row>
    <row r="10653">
      <c r="A10653" s="215" t="n">
        <v>46181</v>
      </c>
      <c r="B10653" s="216" t="n">
        <v>15.81</v>
      </c>
      <c r="C10653" s="216" t="n">
        <v>25.37</v>
      </c>
      <c r="D10653" s="216" t="n">
        <v>1.157665967941284</v>
      </c>
      <c r="E10653" s="215" t="n">
        <v>46181</v>
      </c>
      <c r="F10653" s="215" t="n">
        <v>46181</v>
      </c>
    </row>
    <row r="10654">
      <c r="A10654" s="215" t="n">
        <v>46182</v>
      </c>
      <c r="B10654" s="216" t="n">
        <v>15.99</v>
      </c>
      <c r="C10654" s="216" t="n">
        <v>25.81</v>
      </c>
      <c r="D10654" s="216" t="n">
        <v>1.158027052879333</v>
      </c>
      <c r="E10654" s="215" t="n">
        <v>46182</v>
      </c>
      <c r="F10654" s="215" t="n">
        <v>46182</v>
      </c>
    </row>
    <row r="10655">
      <c r="A10655" s="215" t="n">
        <v>46183</v>
      </c>
      <c r="B10655" s="216" t="n">
        <v>15.22</v>
      </c>
      <c r="C10655" s="216" t="n">
        <v>24.2</v>
      </c>
      <c r="D10655" s="216" t="n">
        <v>1.157112002372742</v>
      </c>
      <c r="E10655" s="215" t="n">
        <v>46183</v>
      </c>
      <c r="F10655" s="215" t="n">
        <v>46183</v>
      </c>
    </row>
    <row r="10656">
      <c r="A10656" s="215" t="n">
        <v>46184</v>
      </c>
      <c r="B10656" s="216" t="n">
        <v>15.07</v>
      </c>
      <c r="C10656" s="216" t="n">
        <v>23.53</v>
      </c>
      <c r="D10656" s="216" t="n">
        <v>1.156929016113281</v>
      </c>
      <c r="E10656" s="215" t="n">
        <v>46184</v>
      </c>
      <c r="F10656" s="215" t="n">
        <v>46184</v>
      </c>
    </row>
    <row r="10657">
      <c r="A10657" s="215" t="n">
        <v>46185</v>
      </c>
      <c r="B10657" s="216" t="n">
        <v>15.17</v>
      </c>
      <c r="C10657" s="216" t="n">
        <v>23.86</v>
      </c>
      <c r="D10657" s="216" t="n">
        <v>1.156345963478088</v>
      </c>
      <c r="E10657" s="215" t="n">
        <v>46185</v>
      </c>
      <c r="F10657" s="215" t="n">
        <v>46185</v>
      </c>
    </row>
    <row r="10658">
      <c r="A10658" s="215" t="n">
        <v>46188</v>
      </c>
      <c r="B10658" s="216" t="n">
        <v>15.65</v>
      </c>
      <c r="C10658" s="216" t="n">
        <v>24.65</v>
      </c>
      <c r="D10658" s="216" t="n">
        <v>1.156880021095276</v>
      </c>
      <c r="E10658" s="215" t="n">
        <v>46188</v>
      </c>
      <c r="F10658" s="215" t="n">
        <v>46188</v>
      </c>
    </row>
    <row r="10659">
      <c r="A10659" s="215" t="n">
        <v>46189</v>
      </c>
      <c r="B10659" s="216" t="n">
        <v>15.35</v>
      </c>
      <c r="C10659" s="216" t="n">
        <v>24.88</v>
      </c>
      <c r="D10659" s="216" t="n">
        <v>1.158604025840759</v>
      </c>
      <c r="E10659" s="215" t="n">
        <v>46189</v>
      </c>
      <c r="F10659" s="215" t="n">
        <v>46189</v>
      </c>
    </row>
    <row r="10660">
      <c r="A10660" s="215" t="n">
        <v>46190</v>
      </c>
      <c r="B10660" s="216" t="n">
        <v>14.89</v>
      </c>
      <c r="C10660" s="216" t="n">
        <v>24.84</v>
      </c>
      <c r="D10660" s="216" t="n">
        <v>1.158974051475525</v>
      </c>
      <c r="E10660" s="215" t="n">
        <v>46190</v>
      </c>
      <c r="F10660" s="215" t="n">
        <v>46190</v>
      </c>
    </row>
    <row r="10661">
      <c r="A10661" s="215" t="n">
        <v>46191</v>
      </c>
      <c r="B10661" s="216" t="n">
        <v>14.39</v>
      </c>
      <c r="C10661" s="216" t="n">
        <v>24.67</v>
      </c>
      <c r="D10661" s="216" t="n">
        <v>1.159355998039246</v>
      </c>
      <c r="E10661" s="215" t="n">
        <v>46191</v>
      </c>
      <c r="F10661" s="215" t="n">
        <v>46191</v>
      </c>
    </row>
    <row r="10662">
      <c r="A10662" s="215" t="n">
        <v>46195</v>
      </c>
      <c r="B10662" s="216" t="n">
        <v>14.08</v>
      </c>
      <c r="C10662" s="216" t="n">
        <v>23.79</v>
      </c>
      <c r="D10662" s="216" t="n">
        <v>1.157493948936462</v>
      </c>
      <c r="E10662" s="215" t="n">
        <v>46195</v>
      </c>
      <c r="F10662" s="215" t="n">
        <v>46195</v>
      </c>
    </row>
    <row r="10663">
      <c r="A10663" s="215" t="n">
        <v>46196</v>
      </c>
      <c r="B10663" s="216" t="n">
        <v>13.86</v>
      </c>
      <c r="C10663" s="216" t="n">
        <v>22.99</v>
      </c>
      <c r="D10663" s="216" t="n">
        <v>1.156896948814392</v>
      </c>
      <c r="E10663" s="215" t="n">
        <v>46196</v>
      </c>
      <c r="F10663" s="215" t="n">
        <v>46196</v>
      </c>
    </row>
    <row r="10664">
      <c r="A10664" s="215" t="n">
        <v>46197</v>
      </c>
      <c r="B10664" s="216" t="n">
        <v>13.69</v>
      </c>
      <c r="C10664" s="216" t="n">
        <v>22.76</v>
      </c>
      <c r="D10664" s="216" t="n">
        <v>1.154508948326111</v>
      </c>
      <c r="E10664" s="215" t="n">
        <v>46197</v>
      </c>
      <c r="F10664" s="215" t="n">
        <v>46197</v>
      </c>
    </row>
    <row r="10665">
      <c r="A10665" s="215" t="n">
        <v>46198</v>
      </c>
      <c r="B10665" s="216" t="n">
        <v>13.16</v>
      </c>
      <c r="C10665" s="216" t="n">
        <v>22.77</v>
      </c>
      <c r="D10665" s="216" t="n">
        <v>1.154152035713196</v>
      </c>
      <c r="E10665" s="215" t="n">
        <v>46198</v>
      </c>
      <c r="F10665" s="215" t="n">
        <v>46198</v>
      </c>
    </row>
    <row r="10666">
      <c r="A10666" s="215" t="n">
        <v>46199</v>
      </c>
      <c r="B10666" s="216" t="n">
        <v>12.51</v>
      </c>
      <c r="C10666" s="216" t="n">
        <v>21.1</v>
      </c>
      <c r="D10666" s="216" t="n">
        <v>1.154500961303711</v>
      </c>
      <c r="E10666" s="215" t="n">
        <v>46199</v>
      </c>
      <c r="F10666" s="215" t="n">
        <v>46199</v>
      </c>
    </row>
    <row r="10667">
      <c r="A10667" s="215" t="n">
        <v>46202</v>
      </c>
      <c r="B10667" s="216" t="n">
        <v>12.43</v>
      </c>
      <c r="C10667" s="216" t="n">
        <v>20.9</v>
      </c>
      <c r="D10667" s="216" t="n">
        <v>1.153512001037598</v>
      </c>
      <c r="E10667" s="215" t="n">
        <v>46202</v>
      </c>
      <c r="F10667" s="215" t="n">
        <v>46202</v>
      </c>
    </row>
    <row r="10668">
      <c r="A10668" s="215" t="n">
        <v>46203</v>
      </c>
      <c r="B10668" s="216" t="n">
        <v>12.81</v>
      </c>
      <c r="C10668" s="216" t="n">
        <v>21.61</v>
      </c>
      <c r="D10668" s="216" t="n">
        <v>1.153959035873413</v>
      </c>
      <c r="E10668" s="215" t="n">
        <v>46203</v>
      </c>
      <c r="F10668" s="215" t="n">
        <v>46203</v>
      </c>
    </row>
    <row r="10669">
      <c r="A10669" s="215" t="n">
        <v>46205</v>
      </c>
      <c r="B10669" s="216" t="n">
        <v>12.92</v>
      </c>
      <c r="C10669" s="216" t="n">
        <v>21.86</v>
      </c>
      <c r="D10669" s="216" t="n">
        <v>1.154355049133301</v>
      </c>
      <c r="E10669" s="215" t="n">
        <v>46205</v>
      </c>
      <c r="F10669" s="215" t="n">
        <v>46205</v>
      </c>
    </row>
    <row r="10670">
      <c r="A10670" s="215" t="n">
        <v>46206</v>
      </c>
      <c r="B10670" s="216" t="n">
        <v>14.13</v>
      </c>
      <c r="C10670" s="216" t="n">
        <v>23.45</v>
      </c>
      <c r="D10670" s="216" t="n">
        <v>1.155220985412598</v>
      </c>
      <c r="E10670" s="215" t="n">
        <v>46206</v>
      </c>
      <c r="F10670" s="215" t="n">
        <v>46206</v>
      </c>
    </row>
    <row r="10671">
      <c r="A10671" s="215" t="n">
        <v>46209</v>
      </c>
      <c r="B10671" s="216" t="n">
        <v>13.59</v>
      </c>
      <c r="C10671" s="216" t="n">
        <v>22.77</v>
      </c>
      <c r="D10671" s="216" t="n">
        <v>1.155068039894104</v>
      </c>
      <c r="E10671" s="215" t="n">
        <v>46209</v>
      </c>
      <c r="F10671" s="215" t="n">
        <v>46209</v>
      </c>
    </row>
    <row r="10672">
      <c r="A10672" s="215" t="n">
        <v>46210</v>
      </c>
      <c r="B10672" s="216" t="n">
        <v>13.27</v>
      </c>
      <c r="C10672" s="216" t="n">
        <v>22.29</v>
      </c>
      <c r="D10672" s="216" t="n">
        <v>1.153807997703552</v>
      </c>
      <c r="E10672" s="215" t="n">
        <v>46210</v>
      </c>
      <c r="F10672" s="215" t="n">
        <v>46210</v>
      </c>
    </row>
    <row r="10673">
      <c r="A10673" s="215" t="n">
        <v>46211</v>
      </c>
      <c r="B10673" s="216" t="n">
        <v>12.91</v>
      </c>
      <c r="C10673" s="216" t="n">
        <v>21.08</v>
      </c>
      <c r="D10673" s="216" t="n">
        <v>1.154153943061829</v>
      </c>
      <c r="E10673" s="215" t="n">
        <v>46211</v>
      </c>
      <c r="F10673" s="215" t="n">
        <v>46211</v>
      </c>
    </row>
    <row r="10674">
      <c r="A10674" s="215" t="n">
        <v>46212</v>
      </c>
      <c r="B10674" s="216" t="n">
        <v>12.84</v>
      </c>
      <c r="C10674" s="216" t="n">
        <v>21.21</v>
      </c>
      <c r="D10674" s="216" t="n">
        <v>1.152119994163513</v>
      </c>
      <c r="E10674" s="215" t="n">
        <v>46212</v>
      </c>
      <c r="F10674" s="215" t="n">
        <v>46212</v>
      </c>
    </row>
    <row r="10675">
      <c r="A10675" s="215" t="n">
        <v>46213</v>
      </c>
      <c r="B10675" s="216" t="n">
        <v>12.99</v>
      </c>
      <c r="C10675" s="216" t="n">
        <v>21.55</v>
      </c>
      <c r="D10675" s="216" t="n">
        <v>1.153550028800964</v>
      </c>
      <c r="E10675" s="215" t="n">
        <v>46213</v>
      </c>
      <c r="F10675" s="215" t="n">
        <v>46213</v>
      </c>
    </row>
    <row r="10676">
      <c r="A10676" s="215" t="n">
        <v>46216</v>
      </c>
      <c r="B10676" s="216" t="n">
        <v>12.34</v>
      </c>
      <c r="C10676" s="216" t="n">
        <v>20.06</v>
      </c>
      <c r="D10676" s="216" t="n">
        <v>1.156761050224304</v>
      </c>
      <c r="E10676" s="215" t="n">
        <v>46216</v>
      </c>
      <c r="F10676" s="215" t="n">
        <v>46216</v>
      </c>
    </row>
    <row r="10677">
      <c r="A10677" s="215" t="n">
        <v>46217</v>
      </c>
      <c r="B10677" s="216" t="n">
        <v>12.45</v>
      </c>
      <c r="C10677" s="216" t="n">
        <v>20.29</v>
      </c>
      <c r="D10677" s="216" t="n">
        <v>1.155825972557068</v>
      </c>
      <c r="E10677" s="215" t="n">
        <v>46217</v>
      </c>
      <c r="F10677" s="215" t="n">
        <v>46217</v>
      </c>
    </row>
    <row r="10678">
      <c r="A10678" s="215" t="n">
        <v>46218</v>
      </c>
      <c r="B10678" s="216" t="n">
        <v>12.75</v>
      </c>
      <c r="C10678" s="216" t="n">
        <v>20.84</v>
      </c>
      <c r="D10678" s="216" t="n">
        <v>1.157556056976318</v>
      </c>
      <c r="E10678" s="215" t="n">
        <v>46218</v>
      </c>
      <c r="F10678" s="215" t="n">
        <v>46218</v>
      </c>
    </row>
    <row r="10679">
      <c r="A10679" s="215" t="n">
        <v>46219</v>
      </c>
      <c r="B10679" s="216" t="n">
        <v>13.1</v>
      </c>
      <c r="C10679" s="216" t="n">
        <v>20.95</v>
      </c>
      <c r="D10679" s="216" t="n">
        <v>1.157912969589233</v>
      </c>
      <c r="E10679" s="215" t="n">
        <v>46219</v>
      </c>
      <c r="F10679" s="215" t="n">
        <v>46219</v>
      </c>
    </row>
    <row r="10680">
      <c r="A10680" s="215" t="n">
        <v>46220</v>
      </c>
      <c r="B10680" s="216" t="n">
        <v>12.39</v>
      </c>
      <c r="C10680" s="216" t="n">
        <v>20</v>
      </c>
      <c r="D10680" s="216" t="n">
        <v>1.157472014427185</v>
      </c>
      <c r="E10680" s="215" t="n">
        <v>46220</v>
      </c>
      <c r="F10680" s="215" t="n">
        <v>46220</v>
      </c>
    </row>
    <row r="10681">
      <c r="A10681" s="215" t="n">
        <v>46223</v>
      </c>
      <c r="B10681" s="216" t="n">
        <v>12.58</v>
      </c>
      <c r="C10681" s="216" t="n">
        <v>19.97</v>
      </c>
      <c r="D10681" s="216" t="n">
        <v>1.157451033592224</v>
      </c>
      <c r="E10681" s="215" t="n">
        <v>46223</v>
      </c>
      <c r="F10681" s="215" t="n">
        <v>46223</v>
      </c>
    </row>
    <row r="10682">
      <c r="A10682" s="215" t="n">
        <v>46224</v>
      </c>
      <c r="B10682" s="216" t="n">
        <v>12.9</v>
      </c>
      <c r="C10682" s="216" t="n">
        <v>20.4</v>
      </c>
      <c r="D10682" s="216" t="n">
        <v>1.157506942749023</v>
      </c>
      <c r="E10682" s="215" t="n">
        <v>46224</v>
      </c>
      <c r="F10682" s="215" t="n">
        <v>46224</v>
      </c>
    </row>
    <row r="10683">
      <c r="A10683" s="215" t="n">
        <v>46225</v>
      </c>
      <c r="B10683" s="216" t="n">
        <v>12.71</v>
      </c>
      <c r="C10683" s="216" t="n">
        <v>19.95</v>
      </c>
      <c r="D10683" s="216" t="n">
        <v>1.158938050270081</v>
      </c>
      <c r="E10683" s="215" t="n">
        <v>46225</v>
      </c>
      <c r="F10683" s="215" t="n">
        <v>46225</v>
      </c>
    </row>
    <row r="10684">
      <c r="A10684" s="215" t="n">
        <v>46226</v>
      </c>
      <c r="B10684" s="216" t="n">
        <v>12.94</v>
      </c>
      <c r="C10684" s="216" t="n">
        <v>20.12</v>
      </c>
      <c r="D10684" s="216" t="n">
        <v>1.157410979270935</v>
      </c>
      <c r="E10684" s="215" t="n">
        <v>46226</v>
      </c>
      <c r="F10684" s="215" t="n">
        <v>46226</v>
      </c>
    </row>
    <row r="10685">
      <c r="A10685" s="215" t="n">
        <v>46227</v>
      </c>
      <c r="B10685" s="216" t="n">
        <v>12.87</v>
      </c>
      <c r="C10685" s="216" t="n">
        <v>19.19</v>
      </c>
      <c r="D10685" s="216" t="n">
        <v>1.15762197971344</v>
      </c>
      <c r="E10685" s="215" t="n">
        <v>46227</v>
      </c>
      <c r="F10685" s="215" t="n">
        <v>46227</v>
      </c>
    </row>
    <row r="10686">
      <c r="A10686" s="215" t="n">
        <v>46230</v>
      </c>
      <c r="B10686" s="216" t="n">
        <v>13.17</v>
      </c>
      <c r="C10686" s="216" t="n">
        <v>20.16</v>
      </c>
      <c r="D10686" s="216" t="n">
        <v>1.15789794921875</v>
      </c>
      <c r="E10686" s="215" t="n">
        <v>46230</v>
      </c>
      <c r="F10686" s="215" t="n">
        <v>46230</v>
      </c>
    </row>
    <row r="10687">
      <c r="A10687" s="215" t="n">
        <v>46231</v>
      </c>
      <c r="B10687" s="216" t="n">
        <v>12.93</v>
      </c>
      <c r="C10687" s="216" t="n">
        <v>19.97</v>
      </c>
      <c r="D10687" s="216" t="n">
        <v>1.158699035644531</v>
      </c>
      <c r="E10687" s="215" t="n">
        <v>46231</v>
      </c>
      <c r="F10687" s="215" t="n">
        <v>46231</v>
      </c>
    </row>
    <row r="10688">
      <c r="A10688" s="215" t="n">
        <v>46232</v>
      </c>
      <c r="B10688" s="216" t="n">
        <v>13.03</v>
      </c>
      <c r="C10688" s="216" t="n">
        <v>20.31</v>
      </c>
      <c r="D10688" s="216" t="n">
        <v>1.157909989356995</v>
      </c>
      <c r="E10688" s="215" t="n">
        <v>46232</v>
      </c>
      <c r="F10688" s="215" t="n">
        <v>46232</v>
      </c>
    </row>
    <row r="10689">
      <c r="A10689" s="215" t="n">
        <v>46233</v>
      </c>
      <c r="B10689" s="216" t="n">
        <v>13.01</v>
      </c>
      <c r="C10689" s="216" t="n">
        <v>20.02</v>
      </c>
      <c r="D10689" s="216" t="n">
        <v>1.158943057060242</v>
      </c>
      <c r="E10689" s="215" t="n">
        <v>46233</v>
      </c>
      <c r="F10689" s="215" t="n">
        <v>46233</v>
      </c>
    </row>
    <row r="10690">
      <c r="A10690" s="215" t="n">
        <v>46234</v>
      </c>
      <c r="B10690" s="216" t="n">
        <v>13.3</v>
      </c>
      <c r="C10690" s="216" t="n">
        <v>20.6</v>
      </c>
      <c r="D10690" s="216" t="n">
        <v>1.160945057868958</v>
      </c>
      <c r="E10690" s="215" t="n">
        <v>46234</v>
      </c>
      <c r="F10690" s="215" t="n">
        <v>46234</v>
      </c>
    </row>
    <row r="10691">
      <c r="A10691" s="215" t="n">
        <v>46237</v>
      </c>
      <c r="B10691" s="216" t="n">
        <v>13.31</v>
      </c>
      <c r="C10691" s="216" t="n">
        <v>21</v>
      </c>
      <c r="D10691" s="216" t="n">
        <v>1.161579966545105</v>
      </c>
      <c r="E10691" s="215" t="n">
        <v>46237</v>
      </c>
      <c r="F10691" s="215" t="n">
        <v>46237</v>
      </c>
    </row>
    <row r="10692">
      <c r="A10692" s="215" t="n">
        <v>46238</v>
      </c>
      <c r="B10692" s="216" t="n">
        <v>13.27</v>
      </c>
      <c r="C10692" s="216" t="n">
        <v>21.14</v>
      </c>
      <c r="D10692" s="216" t="n">
        <v>1.161064982414246</v>
      </c>
      <c r="E10692" s="215" t="n">
        <v>46238</v>
      </c>
      <c r="F10692" s="215" t="n">
        <v>46238</v>
      </c>
    </row>
    <row r="10693">
      <c r="A10693" s="215" t="n">
        <v>46239</v>
      </c>
      <c r="B10693" s="216" t="n">
        <v>13.64</v>
      </c>
      <c r="C10693" s="216" t="n">
        <v>21.62</v>
      </c>
      <c r="D10693" s="216" t="n">
        <v>1.161146998405457</v>
      </c>
      <c r="E10693" s="215" t="n">
        <v>46239</v>
      </c>
      <c r="F10693" s="215" t="n">
        <v>46239</v>
      </c>
    </row>
    <row r="10694">
      <c r="A10694" s="215" t="n">
        <v>46240</v>
      </c>
      <c r="B10694" s="216" t="n">
        <v>13.43</v>
      </c>
      <c r="C10694" s="216" t="n">
        <v>21.28</v>
      </c>
      <c r="D10694" s="216" t="n">
        <v>1.161936044692993</v>
      </c>
      <c r="E10694" s="215" t="n">
        <v>46240</v>
      </c>
      <c r="F10694" s="215" t="n">
        <v>46240</v>
      </c>
    </row>
    <row r="10695">
      <c r="A10695" s="215" t="n">
        <v>46241</v>
      </c>
      <c r="B10695" s="216" t="n">
        <v>13.47</v>
      </c>
      <c r="C10695" s="216" t="n">
        <v>21.2</v>
      </c>
      <c r="D10695" s="216" t="n">
        <v>1.162284016609192</v>
      </c>
      <c r="E10695" s="215" t="n">
        <v>46241</v>
      </c>
      <c r="F10695" s="215" t="n">
        <v>46241</v>
      </c>
    </row>
    <row r="10696">
      <c r="A10696" s="215" t="n">
        <v>46244</v>
      </c>
      <c r="B10696" s="216" t="n">
        <v>13.37</v>
      </c>
      <c r="C10696" s="216" t="n">
        <v>21.18</v>
      </c>
      <c r="D10696" s="216" t="n">
        <v>1.162629961967468</v>
      </c>
      <c r="E10696" s="215" t="n">
        <v>46244</v>
      </c>
      <c r="F10696" s="215" t="n">
        <v>46244</v>
      </c>
    </row>
    <row r="10697">
      <c r="A10697" s="215" t="n">
        <v>46245</v>
      </c>
      <c r="B10697" s="216" t="n">
        <v>13.23</v>
      </c>
      <c r="C10697" s="216" t="n">
        <v>21.32</v>
      </c>
      <c r="D10697" s="216" t="n">
        <v>1.162588000297546</v>
      </c>
      <c r="E10697" s="215" t="n">
        <v>46245</v>
      </c>
      <c r="F10697" s="215" t="n">
        <v>46245</v>
      </c>
    </row>
    <row r="10698">
      <c r="A10698" s="215" t="n">
        <v>46246</v>
      </c>
      <c r="B10698" s="216" t="n">
        <v>13.44</v>
      </c>
      <c r="C10698" s="216" t="n">
        <v>21.23</v>
      </c>
      <c r="D10698" s="216" t="n">
        <v>1.163135051727295</v>
      </c>
      <c r="E10698" s="215" t="n">
        <v>46246</v>
      </c>
      <c r="F10698" s="215" t="n">
        <v>46246</v>
      </c>
    </row>
    <row r="10699">
      <c r="A10699" s="215" t="n">
        <v>46247</v>
      </c>
      <c r="B10699" s="216" t="n">
        <v>13.24</v>
      </c>
      <c r="C10699" s="216" t="n">
        <v>20.95</v>
      </c>
      <c r="D10699" s="216" t="n">
        <v>1.163341045379639</v>
      </c>
      <c r="E10699" s="215" t="n">
        <v>46247</v>
      </c>
      <c r="F10699" s="215" t="n">
        <v>46247</v>
      </c>
    </row>
    <row r="10700">
      <c r="A10700" s="215" t="n">
        <v>46248</v>
      </c>
      <c r="B10700" s="216" t="n">
        <v>13.18</v>
      </c>
      <c r="C10700" s="216" t="n">
        <v>20.84</v>
      </c>
      <c r="D10700" s="216" t="n">
        <v>1.163571000099182</v>
      </c>
      <c r="E10700" s="215" t="n">
        <v>46248</v>
      </c>
      <c r="F10700" s="215" t="n">
        <v>46248</v>
      </c>
    </row>
    <row r="10701">
      <c r="A10701" s="215" t="n">
        <v>46251</v>
      </c>
      <c r="B10701" s="216" t="n">
        <v>13.29</v>
      </c>
      <c r="C10701" s="216" t="n">
        <v>20.98</v>
      </c>
      <c r="D10701" s="216" t="n">
        <v>1.163601994514465</v>
      </c>
      <c r="E10701" s="215" t="n">
        <v>46251</v>
      </c>
      <c r="F10701" s="215" t="n">
        <v>46251</v>
      </c>
    </row>
    <row r="10702">
      <c r="A10702" s="215" t="n">
        <v>46252</v>
      </c>
      <c r="B10702" s="216" t="n">
        <v>13.39</v>
      </c>
      <c r="C10702" s="216" t="n">
        <v>21.1</v>
      </c>
      <c r="D10702" s="216" t="n">
        <v>1.163733005523682</v>
      </c>
      <c r="E10702" s="215" t="n">
        <v>46252</v>
      </c>
      <c r="F10702" s="215" t="n">
        <v>46252</v>
      </c>
    </row>
    <row r="10703">
      <c r="A10703" s="215" t="n">
        <v>46253</v>
      </c>
      <c r="B10703" s="216" t="n">
        <v>12.5</v>
      </c>
      <c r="C10703" s="216" t="n">
        <v>19.42</v>
      </c>
      <c r="D10703" s="216" t="n">
        <v>1.163092017173767</v>
      </c>
      <c r="E10703" s="215" t="n">
        <v>46253</v>
      </c>
      <c r="F10703" s="215" t="n">
        <v>46253</v>
      </c>
    </row>
    <row r="10704">
      <c r="A10704" s="215" t="n">
        <v>46254</v>
      </c>
      <c r="B10704" s="216" t="n">
        <v>12.81</v>
      </c>
      <c r="C10704" s="216" t="n">
        <v>19.31</v>
      </c>
      <c r="D10704" s="216" t="n">
        <v>1.164932012557983</v>
      </c>
      <c r="E10704" s="215" t="n">
        <v>46254</v>
      </c>
      <c r="F10704" s="215" t="n">
        <v>46254</v>
      </c>
    </row>
    <row r="10705">
      <c r="A10705" s="215" t="n">
        <v>46255</v>
      </c>
      <c r="B10705" s="216" t="n">
        <v>12.94</v>
      </c>
      <c r="C10705" s="216" t="n">
        <v>19.42</v>
      </c>
      <c r="D10705" s="216" t="n">
        <v>1.166555047035217</v>
      </c>
      <c r="E10705" s="215" t="n">
        <v>46255</v>
      </c>
      <c r="F10705" s="215" t="n">
        <v>46255</v>
      </c>
    </row>
    <row r="10706">
      <c r="A10706" s="215" t="n">
        <v>46258</v>
      </c>
      <c r="B10706" s="216" t="n">
        <v>12.45</v>
      </c>
      <c r="C10706" s="216" t="n">
        <v>19.09</v>
      </c>
      <c r="D10706" s="216" t="n">
        <v>1.166316986083984</v>
      </c>
      <c r="E10706" s="215" t="n">
        <v>46258</v>
      </c>
      <c r="F10706" s="215" t="n">
        <v>46258</v>
      </c>
    </row>
    <row r="10707">
      <c r="A10707" s="215" t="n">
        <v>46259</v>
      </c>
      <c r="B10707" s="216" t="n">
        <v>12.39</v>
      </c>
      <c r="C10707" s="216" t="n">
        <v>19.14</v>
      </c>
      <c r="D10707" s="216" t="n">
        <v>1.165253043174744</v>
      </c>
      <c r="E10707" s="215" t="n">
        <v>46259</v>
      </c>
      <c r="F10707" s="215" t="n">
        <v>46259</v>
      </c>
    </row>
    <row r="10708">
      <c r="A10708" s="215" t="n">
        <v>46260</v>
      </c>
      <c r="B10708" s="216" t="n">
        <v>12.19</v>
      </c>
      <c r="C10708" s="216" t="n">
        <v>18.98</v>
      </c>
      <c r="D10708" s="216" t="n">
        <v>1.166218996047974</v>
      </c>
      <c r="E10708" s="215" t="n">
        <v>46260</v>
      </c>
      <c r="F10708" s="215" t="n">
        <v>46260</v>
      </c>
    </row>
    <row r="10709">
      <c r="A10709" s="215" t="n">
        <v>46261</v>
      </c>
      <c r="B10709" s="216" t="n">
        <v>12.38</v>
      </c>
      <c r="C10709" s="216" t="n">
        <v>19.2</v>
      </c>
      <c r="D10709" s="216" t="n">
        <v>1.165971040725708</v>
      </c>
      <c r="E10709" s="215" t="n">
        <v>46261</v>
      </c>
      <c r="F10709" s="215" t="n">
        <v>46261</v>
      </c>
    </row>
    <row r="10710">
      <c r="A10710" s="215" t="n">
        <v>46262</v>
      </c>
      <c r="B10710" s="216" t="n">
        <v>12.2</v>
      </c>
      <c r="C10710" s="216" t="n">
        <v>19.01</v>
      </c>
      <c r="D10710" s="216" t="n">
        <v>1.165799975395203</v>
      </c>
      <c r="E10710" s="215" t="n">
        <v>46262</v>
      </c>
      <c r="F10710" s="215" t="n">
        <v>46262</v>
      </c>
    </row>
    <row r="10711">
      <c r="A10711" s="215" t="n">
        <v>46265</v>
      </c>
      <c r="B10711" s="216" t="n">
        <v>12.1</v>
      </c>
      <c r="C10711" s="216" t="n">
        <v>19.16</v>
      </c>
      <c r="D10711" s="216" t="n">
        <v>1.165387988090515</v>
      </c>
      <c r="E10711" s="215" t="n">
        <v>46265</v>
      </c>
      <c r="F10711" s="215" t="n">
        <v>46265</v>
      </c>
    </row>
    <row r="10712">
      <c r="A10712" s="215" t="n">
        <v>46266</v>
      </c>
      <c r="B10712" s="216" t="n">
        <v>12.05</v>
      </c>
      <c r="C10712" s="216" t="n">
        <v>19.43</v>
      </c>
      <c r="D10712" s="216" t="n">
        <v>1.165223956108093</v>
      </c>
      <c r="E10712" s="215" t="n">
        <v>46266</v>
      </c>
      <c r="F10712" s="215" t="n">
        <v>46266</v>
      </c>
    </row>
    <row r="10713">
      <c r="A10713" s="215" t="n">
        <v>46267</v>
      </c>
      <c r="B10713" s="216" t="n">
        <v>11.94</v>
      </c>
      <c r="C10713" s="216" t="n">
        <v>19.59</v>
      </c>
      <c r="D10713" s="216" t="n">
        <v>1.166425943374634</v>
      </c>
      <c r="E10713" s="215" t="n">
        <v>46267</v>
      </c>
      <c r="F10713" s="215" t="n">
        <v>46267</v>
      </c>
    </row>
    <row r="10714">
      <c r="A10714" s="215" t="n">
        <v>46268</v>
      </c>
      <c r="B10714" s="216" t="n">
        <v>12.01</v>
      </c>
      <c r="C10714" s="216" t="n">
        <v>19.52</v>
      </c>
      <c r="D10714" s="216" t="n">
        <v>1.167057037353516</v>
      </c>
      <c r="E10714" s="215" t="n">
        <v>46268</v>
      </c>
      <c r="F10714" s="215" t="n">
        <v>46268</v>
      </c>
    </row>
    <row r="10715">
      <c r="A10715" s="215" t="n">
        <v>46269</v>
      </c>
      <c r="B10715" s="216" t="n">
        <v>12.03</v>
      </c>
      <c r="C10715" s="216" t="n">
        <v>19.12</v>
      </c>
      <c r="D10715" s="216" t="n">
        <v>1.166767954826355</v>
      </c>
      <c r="E10715" s="215" t="n">
        <v>46269</v>
      </c>
      <c r="F10715" s="215" t="n">
        <v>46269</v>
      </c>
    </row>
    <row r="10716">
      <c r="A10716" s="215" t="n">
        <v>46272</v>
      </c>
      <c r="B10716" s="216" t="n">
        <v>12.25</v>
      </c>
      <c r="C10716" s="216" t="n">
        <v>19.57</v>
      </c>
      <c r="D10716" s="216" t="n">
        <v>1.168081045150757</v>
      </c>
      <c r="E10716" s="215" t="n">
        <v>46272</v>
      </c>
      <c r="F10716" s="215" t="n">
        <v>46272</v>
      </c>
    </row>
    <row r="10717">
      <c r="A10717" s="215" t="n">
        <v>46273</v>
      </c>
      <c r="B10717" s="216" t="n">
        <v>12.36</v>
      </c>
      <c r="C10717" s="216" t="n">
        <v>20.09</v>
      </c>
      <c r="D10717" s="216" t="n">
        <v>1.168115019798279</v>
      </c>
      <c r="E10717" s="215" t="n">
        <v>46273</v>
      </c>
      <c r="F10717" s="215" t="n">
        <v>46273</v>
      </c>
    </row>
    <row r="10718">
      <c r="A10718" s="215" t="n">
        <v>46274</v>
      </c>
      <c r="B10718" s="216" t="n">
        <v>12.13</v>
      </c>
      <c r="C10718" s="216" t="n">
        <v>19.87</v>
      </c>
      <c r="D10718" s="216" t="n">
        <v>1.168408989906311</v>
      </c>
      <c r="E10718" s="215" t="n">
        <v>46274</v>
      </c>
      <c r="F10718" s="215" t="n">
        <v>46274</v>
      </c>
    </row>
    <row r="10719">
      <c r="A10719" s="215" t="n">
        <v>46275</v>
      </c>
      <c r="B10719" s="216" t="n">
        <v>11.45</v>
      </c>
      <c r="C10719" s="216" t="n">
        <v>19.16</v>
      </c>
      <c r="D10719" s="216" t="n">
        <v>1.168462991714478</v>
      </c>
      <c r="E10719" s="215" t="n">
        <v>46275</v>
      </c>
      <c r="F10719" s="215" t="n">
        <v>46275</v>
      </c>
    </row>
    <row r="10720">
      <c r="A10720" s="215" t="n">
        <v>46276</v>
      </c>
      <c r="B10720" s="216" t="n">
        <v>11.3</v>
      </c>
      <c r="C10720" s="216" t="n">
        <v>18.55</v>
      </c>
      <c r="D10720" s="216" t="n">
        <v>1.169165015220642</v>
      </c>
      <c r="E10720" s="215" t="n">
        <v>46276</v>
      </c>
      <c r="F10720" s="215" t="n">
        <v>46276</v>
      </c>
    </row>
    <row r="10721">
      <c r="A10721" s="215" t="n">
        <v>46279</v>
      </c>
      <c r="B10721" s="216" t="n">
        <v>11.4</v>
      </c>
      <c r="C10721" s="216" t="n">
        <v>18.56</v>
      </c>
      <c r="D10721" s="216" t="n">
        <v>1.16893994808197</v>
      </c>
      <c r="E10721" s="215" t="n">
        <v>46279</v>
      </c>
      <c r="F10721" s="215" t="n">
        <v>46279</v>
      </c>
    </row>
    <row r="10722">
      <c r="A10722" s="215" t="n">
        <v>46280</v>
      </c>
      <c r="B10722" s="216" t="n">
        <v>11.3</v>
      </c>
      <c r="C10722" s="216" t="n">
        <v>18.02</v>
      </c>
      <c r="D10722" s="216" t="n">
        <v>1.169121026992798</v>
      </c>
      <c r="E10722" s="215" t="n">
        <v>46280</v>
      </c>
      <c r="F10722" s="215" t="n">
        <v>46280</v>
      </c>
    </row>
    <row r="10723">
      <c r="A10723" s="215" t="n">
        <v>46281</v>
      </c>
      <c r="B10723" s="216" t="n">
        <v>11.27</v>
      </c>
      <c r="C10723" s="216" t="n">
        <v>18.06</v>
      </c>
      <c r="D10723" s="216" t="n">
        <v>1.168769955635071</v>
      </c>
      <c r="E10723" s="215" t="n">
        <v>46281</v>
      </c>
      <c r="F10723" s="215" t="n">
        <v>46281</v>
      </c>
    </row>
    <row r="10724">
      <c r="A10724" s="215" t="n">
        <v>46282</v>
      </c>
      <c r="B10724" s="216" t="n">
        <v>11.9</v>
      </c>
      <c r="C10724" s="216" t="n">
        <v>19.87</v>
      </c>
      <c r="D10724" s="216" t="n">
        <v>1.169389963150024</v>
      </c>
      <c r="E10724" s="215" t="n">
        <v>46282</v>
      </c>
      <c r="F10724" s="215" t="n">
        <v>46282</v>
      </c>
    </row>
    <row r="10725">
      <c r="A10725" s="215" t="n">
        <v>46283</v>
      </c>
      <c r="B10725" s="216" t="n">
        <v>11.9</v>
      </c>
      <c r="C10725" s="216" t="n">
        <v>20.14</v>
      </c>
      <c r="D10725" s="216" t="n">
        <v>1.16942298412323</v>
      </c>
      <c r="E10725" s="215" t="n">
        <v>46283</v>
      </c>
      <c r="F10725" s="215" t="n">
        <v>46283</v>
      </c>
    </row>
    <row r="10726">
      <c r="A10726" s="215" t="n">
        <v>46286</v>
      </c>
      <c r="B10726" s="216" t="n">
        <v>12.21</v>
      </c>
      <c r="C10726" s="216" t="n">
        <v>20.95</v>
      </c>
      <c r="D10726" s="216" t="n">
        <v>1.171280026435852</v>
      </c>
      <c r="E10726" s="215" t="n">
        <v>46286</v>
      </c>
      <c r="F10726" s="215" t="n">
        <v>46286</v>
      </c>
    </row>
    <row r="10727">
      <c r="A10727" s="215" t="n">
        <v>46287</v>
      </c>
      <c r="B10727" s="216" t="n">
        <v>11.87</v>
      </c>
      <c r="C10727" s="216" t="n">
        <v>20.8</v>
      </c>
      <c r="D10727" s="216" t="n">
        <v>1.171705007553101</v>
      </c>
      <c r="E10727" s="215" t="n">
        <v>46287</v>
      </c>
      <c r="F10727" s="215" t="n">
        <v>46287</v>
      </c>
    </row>
    <row r="10728">
      <c r="A10728" s="215" t="n">
        <v>46288</v>
      </c>
      <c r="B10728" s="216" t="n">
        <v>12.2</v>
      </c>
      <c r="C10728" s="216" t="n">
        <v>21.53</v>
      </c>
      <c r="D10728" s="216" t="n">
        <v>1.170611023902893</v>
      </c>
      <c r="E10728" s="215" t="n">
        <v>46288</v>
      </c>
      <c r="F10728" s="215" t="n">
        <v>46288</v>
      </c>
    </row>
    <row r="10729">
      <c r="A10729" s="215" t="n">
        <v>46289</v>
      </c>
      <c r="B10729" s="216" t="n">
        <v>12.65</v>
      </c>
      <c r="C10729" s="216" t="n">
        <v>22.62</v>
      </c>
      <c r="D10729" s="216" t="n">
        <v>1.16852605342865</v>
      </c>
      <c r="E10729" s="215" t="n">
        <v>46289</v>
      </c>
      <c r="F10729" s="215" t="n">
        <v>46289</v>
      </c>
    </row>
    <row r="10730">
      <c r="A10730" s="215" t="n">
        <v>46290</v>
      </c>
      <c r="B10730" s="216" t="n">
        <v>12.24</v>
      </c>
      <c r="C10730" s="216" t="n">
        <v>22.62</v>
      </c>
      <c r="D10730" s="216" t="n">
        <v>1.168424010276794</v>
      </c>
      <c r="E10730" s="215" t="n">
        <v>46289</v>
      </c>
      <c r="F10730" s="215" t="n">
        <v>46290</v>
      </c>
    </row>
    <row r="10731">
      <c r="A10731" s="215" t="n">
        <v>46293</v>
      </c>
      <c r="B10731" s="216" t="n">
        <v>12.6</v>
      </c>
      <c r="C10731" s="216" t="n">
        <v>24.02</v>
      </c>
      <c r="D10731" s="216" t="n">
        <v>1.168378949165344</v>
      </c>
      <c r="E10731" s="215" t="n">
        <v>46293</v>
      </c>
      <c r="F10731" s="215" t="n">
        <v>46293</v>
      </c>
    </row>
    <row r="10732">
      <c r="A10732" s="215" t="n">
        <v>46294</v>
      </c>
      <c r="B10732" s="216" t="n">
        <v>11.94</v>
      </c>
      <c r="C10732" s="216" t="n">
        <v>22.75</v>
      </c>
      <c r="D10732" s="216" t="n">
        <v>1.168815970420837</v>
      </c>
      <c r="E10732" s="215" t="n">
        <v>46294</v>
      </c>
      <c r="F10732" s="215" t="n">
        <v>46294</v>
      </c>
    </row>
    <row r="10733">
      <c r="A10733" s="215" t="n">
        <v>46295</v>
      </c>
      <c r="B10733" s="216" t="n">
        <v>12.48</v>
      </c>
      <c r="C10733" s="216" t="n">
        <v>23.46</v>
      </c>
      <c r="D10733" s="216" t="n">
        <v>1.17059600353241</v>
      </c>
      <c r="E10733" s="215" t="n">
        <v>46295</v>
      </c>
      <c r="F10733" s="215" t="n">
        <v>46295</v>
      </c>
    </row>
    <row r="10734">
      <c r="A10734" s="215" t="n">
        <v>46297</v>
      </c>
      <c r="B10734" s="216" t="n">
        <v>12.19</v>
      </c>
      <c r="C10734" s="216" t="n">
        <v>23.46</v>
      </c>
      <c r="D10734" s="216" t="n">
        <v>1.170220971107483</v>
      </c>
      <c r="E10734" s="215" t="n">
        <v>46295</v>
      </c>
      <c r="F10734" s="215" t="n">
        <v>46297</v>
      </c>
    </row>
    <row r="10735">
      <c r="A10735" s="215" t="n">
        <v>46059</v>
      </c>
      <c r="B10735" s="216" t="n">
        <v>40.52</v>
      </c>
      <c r="C10735" s="216" t="n">
        <v>46.41</v>
      </c>
      <c r="D10735" s="216" t="n">
        <v>1.126062035560608</v>
      </c>
      <c r="E10735" s="215" t="n">
        <v>46059</v>
      </c>
      <c r="F10735" s="215" t="n">
        <v>46059</v>
      </c>
    </row>
    <row r="10736">
      <c r="A10736" s="215" t="n">
        <v>46062</v>
      </c>
      <c r="B10736" s="216" t="n">
        <v>40.04</v>
      </c>
      <c r="C10736" s="216" t="n">
        <v>46.65</v>
      </c>
      <c r="D10736" s="216" t="n">
        <v>1.125753998756409</v>
      </c>
      <c r="E10736" s="215" t="n">
        <v>46062</v>
      </c>
      <c r="F10736" s="215" t="n">
        <v>46062</v>
      </c>
    </row>
    <row r="10737">
      <c r="A10737" s="215" t="n">
        <v>46063</v>
      </c>
      <c r="B10737" s="216" t="n">
        <v>40.16</v>
      </c>
      <c r="C10737" s="216" t="n">
        <v>45.92</v>
      </c>
      <c r="D10737" s="216" t="n">
        <v>1.129003047943115</v>
      </c>
      <c r="E10737" s="215" t="n">
        <v>46063</v>
      </c>
      <c r="F10737" s="215" t="n">
        <v>46063</v>
      </c>
    </row>
    <row r="10738">
      <c r="A10738" s="215" t="n">
        <v>46064</v>
      </c>
      <c r="B10738" s="216" t="n">
        <v>40.26</v>
      </c>
      <c r="C10738" s="216" t="n">
        <v>46.03</v>
      </c>
      <c r="D10738" s="216" t="n">
        <v>1.130962014198303</v>
      </c>
      <c r="E10738" s="215" t="n">
        <v>46064</v>
      </c>
      <c r="F10738" s="215" t="n">
        <v>46064</v>
      </c>
    </row>
    <row r="10739">
      <c r="A10739" s="215" t="n">
        <v>46065</v>
      </c>
      <c r="B10739" s="216" t="n">
        <v>39.2</v>
      </c>
      <c r="C10739" s="216" t="n">
        <v>45.24</v>
      </c>
      <c r="D10739" s="216" t="n">
        <v>1.130671977996826</v>
      </c>
      <c r="E10739" s="215" t="n">
        <v>46065</v>
      </c>
      <c r="F10739" s="215" t="n">
        <v>46065</v>
      </c>
    </row>
    <row r="10740">
      <c r="A10740" s="215" t="n">
        <v>46066</v>
      </c>
      <c r="B10740" s="216" t="n">
        <v>39.2</v>
      </c>
      <c r="C10740" s="216" t="n">
        <v>45.35</v>
      </c>
      <c r="D10740" s="216" t="n">
        <v>1.132490992546082</v>
      </c>
      <c r="E10740" s="215" t="n">
        <v>46066</v>
      </c>
      <c r="F10740" s="215" t="n">
        <v>46066</v>
      </c>
    </row>
    <row r="10741">
      <c r="A10741" s="215" t="n">
        <v>46069</v>
      </c>
      <c r="B10741" s="216" t="n">
        <v>39.34</v>
      </c>
      <c r="C10741" s="216" t="n">
        <v>45.35</v>
      </c>
      <c r="D10741" s="216" t="n">
        <v>1.131224036216736</v>
      </c>
      <c r="E10741" s="215" t="n">
        <v>46066</v>
      </c>
      <c r="F10741" s="215" t="n">
        <v>46069</v>
      </c>
    </row>
    <row r="10742">
      <c r="A10742" s="215" t="n">
        <v>46073</v>
      </c>
      <c r="B10742" s="216" t="n">
        <v>39</v>
      </c>
      <c r="C10742" s="216" t="n">
        <v>45.35</v>
      </c>
      <c r="D10742" s="216" t="n">
        <v>1.131005048751831</v>
      </c>
      <c r="E10742" s="215" t="n">
        <v>46066</v>
      </c>
      <c r="F10742" s="215" t="n">
        <v>46073</v>
      </c>
    </row>
    <row r="10743">
      <c r="A10743" s="215" t="n">
        <v>46076</v>
      </c>
      <c r="B10743" s="216" t="n">
        <v>39.16</v>
      </c>
      <c r="C10743" s="216" t="n">
        <v>45.35</v>
      </c>
      <c r="D10743" s="216" t="n">
        <v>1.130877017974854</v>
      </c>
      <c r="E10743" s="215" t="n">
        <v>46066</v>
      </c>
      <c r="F10743" s="215" t="n">
        <v>46076</v>
      </c>
    </row>
    <row r="10744">
      <c r="A10744" s="215" t="n">
        <v>46077</v>
      </c>
      <c r="B10744" s="216" t="n">
        <v>39.1</v>
      </c>
      <c r="C10744" s="216" t="n">
        <v>44.56</v>
      </c>
      <c r="D10744" s="216" t="n">
        <v>1.131631016731262</v>
      </c>
      <c r="E10744" s="215" t="n">
        <v>46077</v>
      </c>
      <c r="F10744" s="215" t="n">
        <v>46077</v>
      </c>
    </row>
    <row r="10745">
      <c r="A10745" s="215" t="n">
        <v>46078</v>
      </c>
      <c r="B10745" s="216" t="n">
        <v>39.28</v>
      </c>
      <c r="C10745" s="216" t="n">
        <v>44.79</v>
      </c>
      <c r="D10745" s="216" t="n">
        <v>1.136234045028687</v>
      </c>
      <c r="E10745" s="215" t="n">
        <v>46078</v>
      </c>
      <c r="F10745" s="215" t="n">
        <v>46078</v>
      </c>
    </row>
    <row r="10746">
      <c r="A10746" s="215" t="n">
        <v>46079</v>
      </c>
      <c r="B10746" s="216" t="n">
        <v>39.88</v>
      </c>
      <c r="C10746" s="216" t="n">
        <v>45.13</v>
      </c>
      <c r="D10746" s="216" t="n">
        <v>1.138198971748352</v>
      </c>
      <c r="E10746" s="215" t="n">
        <v>46079</v>
      </c>
      <c r="F10746" s="215" t="n">
        <v>46079</v>
      </c>
    </row>
    <row r="10747">
      <c r="A10747" s="215" t="n">
        <v>46080</v>
      </c>
      <c r="B10747" s="216" t="n">
        <v>40.84</v>
      </c>
      <c r="C10747" s="216" t="n">
        <v>46.9</v>
      </c>
      <c r="D10747" s="216" t="n">
        <v>1.143396973609924</v>
      </c>
      <c r="E10747" s="215" t="n">
        <v>46080</v>
      </c>
      <c r="F10747" s="215" t="n">
        <v>46080</v>
      </c>
    </row>
    <row r="10748">
      <c r="A10748" s="215" t="n">
        <v>46083</v>
      </c>
      <c r="B10748" s="216" t="n">
        <v>40.88</v>
      </c>
      <c r="C10748" s="216" t="n">
        <v>46.81</v>
      </c>
      <c r="D10748" s="216" t="n">
        <v>1.140552043914795</v>
      </c>
      <c r="E10748" s="215" t="n">
        <v>46083</v>
      </c>
      <c r="F10748" s="215" t="n">
        <v>46083</v>
      </c>
    </row>
    <row r="10749">
      <c r="A10749" s="215" t="n">
        <v>46084</v>
      </c>
      <c r="B10749" s="216" t="n">
        <v>39.58</v>
      </c>
      <c r="C10749" s="216" t="n">
        <v>46.53</v>
      </c>
      <c r="D10749" s="216" t="n">
        <v>1.136399984359741</v>
      </c>
      <c r="E10749" s="215" t="n">
        <v>46084</v>
      </c>
      <c r="F10749" s="215" t="n">
        <v>46084</v>
      </c>
    </row>
    <row r="10750">
      <c r="A10750" s="215" t="n">
        <v>46085</v>
      </c>
      <c r="B10750" s="216" t="n">
        <v>41.5</v>
      </c>
      <c r="C10750" s="216" t="n">
        <v>47.13</v>
      </c>
      <c r="D10750" s="216" t="n">
        <v>1.130928993225098</v>
      </c>
      <c r="E10750" s="215" t="n">
        <v>46085</v>
      </c>
      <c r="F10750" s="215" t="n">
        <v>46085</v>
      </c>
    </row>
    <row r="10751">
      <c r="A10751" s="215" t="n">
        <v>46086</v>
      </c>
      <c r="B10751" s="216" t="n">
        <v>42.36</v>
      </c>
      <c r="C10751" s="216" t="n">
        <v>46.8</v>
      </c>
      <c r="D10751" s="216" t="n">
        <v>1.133169054985046</v>
      </c>
      <c r="E10751" s="215" t="n">
        <v>46086</v>
      </c>
      <c r="F10751" s="215" t="n">
        <v>46086</v>
      </c>
    </row>
    <row r="10752">
      <c r="A10752" s="215" t="n">
        <v>46087</v>
      </c>
      <c r="B10752" s="216" t="n">
        <v>44.72</v>
      </c>
      <c r="C10752" s="216" t="n">
        <v>49.34</v>
      </c>
      <c r="D10752" s="216" t="n">
        <v>1.133442044258118</v>
      </c>
      <c r="E10752" s="215" t="n">
        <v>46087</v>
      </c>
      <c r="F10752" s="215" t="n">
        <v>46087</v>
      </c>
    </row>
    <row r="10753">
      <c r="A10753" s="215" t="n">
        <v>46090</v>
      </c>
      <c r="B10753" s="216" t="n">
        <v>46.06</v>
      </c>
      <c r="C10753" s="216" t="n">
        <v>49.41</v>
      </c>
      <c r="D10753" s="216" t="n">
        <v>1.133231043815613</v>
      </c>
      <c r="E10753" s="215" t="n">
        <v>46090</v>
      </c>
      <c r="F10753" s="215" t="n">
        <v>46090</v>
      </c>
    </row>
    <row r="10754">
      <c r="A10754" s="215" t="n">
        <v>46091</v>
      </c>
      <c r="B10754" s="216" t="n">
        <v>45.02</v>
      </c>
      <c r="C10754" s="216" t="n">
        <v>48.33</v>
      </c>
      <c r="D10754" s="216" t="n">
        <v>1.131595015525818</v>
      </c>
      <c r="E10754" s="215" t="n">
        <v>46091</v>
      </c>
      <c r="F10754" s="215" t="n">
        <v>46091</v>
      </c>
    </row>
    <row r="10755">
      <c r="A10755" s="215" t="n">
        <v>46092</v>
      </c>
      <c r="B10755" s="216" t="n">
        <v>45.76</v>
      </c>
      <c r="C10755" s="216" t="n">
        <v>49.31</v>
      </c>
      <c r="D10755" s="216" t="n">
        <v>1.137585043907166</v>
      </c>
      <c r="E10755" s="215" t="n">
        <v>46092</v>
      </c>
      <c r="F10755" s="215" t="n">
        <v>46092</v>
      </c>
    </row>
    <row r="10756">
      <c r="A10756" s="215" t="n">
        <v>46093</v>
      </c>
      <c r="B10756" s="216" t="n">
        <v>46.68</v>
      </c>
      <c r="C10756" s="216" t="n">
        <v>50.59</v>
      </c>
      <c r="D10756" s="216" t="n">
        <v>1.139600038528442</v>
      </c>
      <c r="E10756" s="215" t="n">
        <v>46093</v>
      </c>
      <c r="F10756" s="215" t="n">
        <v>46093</v>
      </c>
    </row>
    <row r="10757">
      <c r="A10757" s="215" t="n">
        <v>46094</v>
      </c>
      <c r="B10757" s="216" t="n">
        <v>45.8</v>
      </c>
      <c r="C10757" s="216" t="n">
        <v>49.79</v>
      </c>
      <c r="D10757" s="216" t="n">
        <v>1.139310002326965</v>
      </c>
      <c r="E10757" s="215" t="n">
        <v>46094</v>
      </c>
      <c r="F10757" s="215" t="n">
        <v>46094</v>
      </c>
    </row>
    <row r="10758">
      <c r="A10758" s="215" t="n">
        <v>46097</v>
      </c>
      <c r="B10758" s="216" t="n">
        <v>46.48</v>
      </c>
      <c r="C10758" s="216" t="n">
        <v>49.74</v>
      </c>
      <c r="D10758" s="216" t="n">
        <v>1.134883999824524</v>
      </c>
      <c r="E10758" s="215" t="n">
        <v>46097</v>
      </c>
      <c r="F10758" s="215" t="n">
        <v>46097</v>
      </c>
    </row>
    <row r="10759">
      <c r="A10759" s="215" t="n">
        <v>46098</v>
      </c>
      <c r="B10759" s="216" t="n">
        <v>47.4</v>
      </c>
      <c r="C10759" s="216" t="n">
        <v>50.24</v>
      </c>
      <c r="D10759" s="216" t="n">
        <v>1.125375986099243</v>
      </c>
      <c r="E10759" s="215" t="n">
        <v>46098</v>
      </c>
      <c r="F10759" s="215" t="n">
        <v>46098</v>
      </c>
    </row>
    <row r="10760">
      <c r="A10760" s="215" t="n">
        <v>46099</v>
      </c>
      <c r="B10760" s="216" t="n">
        <v>45.64</v>
      </c>
      <c r="C10760" s="216" t="n">
        <v>49.69</v>
      </c>
      <c r="D10760" s="216" t="n">
        <v>1.137819051742554</v>
      </c>
      <c r="E10760" s="215" t="n">
        <v>46099</v>
      </c>
      <c r="F10760" s="215" t="n">
        <v>46099</v>
      </c>
    </row>
    <row r="10761">
      <c r="A10761" s="215" t="n">
        <v>46100</v>
      </c>
      <c r="B10761" s="216" t="n">
        <v>44.78</v>
      </c>
      <c r="C10761" s="216" t="n">
        <v>48.8</v>
      </c>
      <c r="D10761" s="216" t="n">
        <v>1.140079021453857</v>
      </c>
      <c r="E10761" s="215" t="n">
        <v>46100</v>
      </c>
      <c r="F10761" s="215" t="n">
        <v>46100</v>
      </c>
    </row>
    <row r="10762">
      <c r="A10762" s="215" t="n">
        <v>46101</v>
      </c>
      <c r="B10762" s="216" t="n">
        <v>44.7</v>
      </c>
      <c r="C10762" s="216" t="n">
        <v>49.45</v>
      </c>
      <c r="D10762" s="216" t="n">
        <v>1.13490903377533</v>
      </c>
      <c r="E10762" s="215" t="n">
        <v>46101</v>
      </c>
      <c r="F10762" s="215" t="n">
        <v>46101</v>
      </c>
    </row>
    <row r="10763">
      <c r="A10763" s="215" t="n">
        <v>46104</v>
      </c>
      <c r="B10763" s="216" t="n">
        <v>41.36</v>
      </c>
      <c r="C10763" s="216" t="n">
        <v>45.2</v>
      </c>
      <c r="D10763" s="216" t="n">
        <v>1.137529969215393</v>
      </c>
      <c r="E10763" s="215" t="n">
        <v>46104</v>
      </c>
      <c r="F10763" s="215" t="n">
        <v>46104</v>
      </c>
    </row>
    <row r="10764">
      <c r="A10764" s="215" t="n">
        <v>46105</v>
      </c>
      <c r="B10764" s="216" t="n">
        <v>42.52</v>
      </c>
      <c r="C10764" s="216" t="n">
        <v>43.5</v>
      </c>
      <c r="D10764" s="216" t="n">
        <v>1.138481974601746</v>
      </c>
      <c r="E10764" s="215" t="n">
        <v>46105</v>
      </c>
      <c r="F10764" s="215" t="n">
        <v>46105</v>
      </c>
    </row>
    <row r="10765">
      <c r="A10765" s="215" t="n">
        <v>46106</v>
      </c>
      <c r="B10765" s="216" t="n">
        <v>42.5</v>
      </c>
      <c r="C10765" s="216" t="n">
        <v>44.52</v>
      </c>
      <c r="D10765" s="216" t="n">
        <v>1.135548949241638</v>
      </c>
      <c r="E10765" s="215" t="n">
        <v>46106</v>
      </c>
      <c r="F10765" s="215" t="n">
        <v>46106</v>
      </c>
    </row>
    <row r="10766">
      <c r="A10766" s="215" t="n">
        <v>46107</v>
      </c>
      <c r="B10766" s="216" t="n">
        <v>40.66</v>
      </c>
      <c r="C10766" s="216" t="n">
        <v>44</v>
      </c>
      <c r="D10766" s="216" t="n">
        <v>1.132627010345459</v>
      </c>
      <c r="E10766" s="215" t="n">
        <v>46107</v>
      </c>
      <c r="F10766" s="215" t="n">
        <v>46107</v>
      </c>
    </row>
    <row r="10767">
      <c r="A10767" s="215" t="n">
        <v>46108</v>
      </c>
      <c r="B10767" s="216" t="n">
        <v>41.38</v>
      </c>
      <c r="C10767" s="216" t="n">
        <v>45.2</v>
      </c>
      <c r="D10767" s="216" t="n">
        <v>1.132115960121155</v>
      </c>
      <c r="E10767" s="215" t="n">
        <v>46108</v>
      </c>
      <c r="F10767" s="215" t="n">
        <v>46108</v>
      </c>
    </row>
    <row r="10768">
      <c r="A10768" s="215" t="n">
        <v>46111</v>
      </c>
      <c r="B10768" s="216" t="n">
        <v>38.88</v>
      </c>
      <c r="C10768" s="216" t="n">
        <v>43.23</v>
      </c>
      <c r="D10768" s="216" t="n">
        <v>1.13311505317688</v>
      </c>
      <c r="E10768" s="215" t="n">
        <v>46111</v>
      </c>
      <c r="F10768" s="215" t="n">
        <v>46111</v>
      </c>
    </row>
    <row r="10769">
      <c r="A10769" s="215" t="n">
        <v>46112</v>
      </c>
      <c r="B10769" s="216" t="n">
        <v>37.82</v>
      </c>
      <c r="C10769" s="216" t="n">
        <v>41.71</v>
      </c>
      <c r="D10769" s="216" t="n">
        <v>1.133540987968445</v>
      </c>
      <c r="E10769" s="215" t="n">
        <v>46112</v>
      </c>
      <c r="F10769" s="215" t="n">
        <v>46112</v>
      </c>
    </row>
    <row r="10770">
      <c r="A10770" s="215" t="n">
        <v>46113</v>
      </c>
      <c r="B10770" s="216" t="n">
        <v>38.54</v>
      </c>
      <c r="C10770" s="216" t="n">
        <v>42.2</v>
      </c>
      <c r="D10770" s="216" t="n">
        <v>1.136669993400574</v>
      </c>
      <c r="E10770" s="215" t="n">
        <v>46113</v>
      </c>
      <c r="F10770" s="215" t="n">
        <v>46113</v>
      </c>
    </row>
    <row r="10771">
      <c r="A10771" s="215" t="n">
        <v>46114</v>
      </c>
      <c r="B10771" s="216" t="n">
        <v>40.2</v>
      </c>
      <c r="C10771" s="216" t="n">
        <v>43.65</v>
      </c>
      <c r="D10771" s="216" t="n">
        <v>1.140197992324829</v>
      </c>
      <c r="E10771" s="215" t="n">
        <v>46114</v>
      </c>
      <c r="F10771" s="215" t="n">
        <v>46114</v>
      </c>
    </row>
    <row r="10772">
      <c r="A10772" s="215" t="n">
        <v>46120</v>
      </c>
      <c r="B10772" s="216" t="n">
        <v>40.4</v>
      </c>
      <c r="C10772" s="216" t="n">
        <v>44.34</v>
      </c>
      <c r="D10772" s="216" t="n">
        <v>1.1423499584198</v>
      </c>
      <c r="E10772" s="215" t="n">
        <v>46120</v>
      </c>
      <c r="F10772" s="215" t="n">
        <v>46120</v>
      </c>
    </row>
    <row r="10773">
      <c r="A10773" s="215" t="n">
        <v>46121</v>
      </c>
      <c r="B10773" s="216" t="n">
        <v>39.66</v>
      </c>
      <c r="C10773" s="216" t="n">
        <v>43.8</v>
      </c>
      <c r="D10773" s="216" t="n">
        <v>1.146731972694397</v>
      </c>
      <c r="E10773" s="215" t="n">
        <v>46121</v>
      </c>
      <c r="F10773" s="215" t="n">
        <v>46121</v>
      </c>
    </row>
    <row r="10774">
      <c r="A10774" s="215" t="n">
        <v>46122</v>
      </c>
      <c r="B10774" s="216" t="n">
        <v>40.1</v>
      </c>
      <c r="C10774" s="216" t="n">
        <v>43.01</v>
      </c>
      <c r="D10774" s="216" t="n">
        <v>1.146558046340942</v>
      </c>
      <c r="E10774" s="215" t="n">
        <v>46122</v>
      </c>
      <c r="F10774" s="215" t="n">
        <v>46122</v>
      </c>
    </row>
    <row r="10775">
      <c r="A10775" s="215" t="n">
        <v>46125</v>
      </c>
      <c r="B10775" s="216" t="n">
        <v>40.88</v>
      </c>
      <c r="C10775" s="216" t="n">
        <v>44.17</v>
      </c>
      <c r="D10775" s="216" t="n">
        <v>1.147117972373962</v>
      </c>
      <c r="E10775" s="215" t="n">
        <v>46125</v>
      </c>
      <c r="F10775" s="215" t="n">
        <v>46125</v>
      </c>
    </row>
    <row r="10776">
      <c r="A10776" s="215" t="n">
        <v>46126</v>
      </c>
      <c r="B10776" s="216" t="n">
        <v>42.5</v>
      </c>
      <c r="C10776" s="216" t="n">
        <v>45.78</v>
      </c>
      <c r="D10776" s="216" t="n">
        <v>1.146226048469543</v>
      </c>
      <c r="E10776" s="215" t="n">
        <v>46126</v>
      </c>
      <c r="F10776" s="215" t="n">
        <v>46126</v>
      </c>
    </row>
    <row r="10777">
      <c r="A10777" s="215" t="n">
        <v>46127</v>
      </c>
      <c r="B10777" s="216" t="n">
        <v>43</v>
      </c>
      <c r="C10777" s="216" t="n">
        <v>46.05</v>
      </c>
      <c r="D10777" s="216" t="n">
        <v>1.149266004562378</v>
      </c>
      <c r="E10777" s="215" t="n">
        <v>46127</v>
      </c>
      <c r="F10777" s="215" t="n">
        <v>46127</v>
      </c>
    </row>
    <row r="10778">
      <c r="A10778" s="215" t="n">
        <v>46128</v>
      </c>
      <c r="B10778" s="216" t="n">
        <v>43.04</v>
      </c>
      <c r="C10778" s="216" t="n">
        <v>46.44</v>
      </c>
      <c r="D10778" s="216" t="n">
        <v>1.148550033569336</v>
      </c>
      <c r="E10778" s="215" t="n">
        <v>46128</v>
      </c>
      <c r="F10778" s="215" t="n">
        <v>46128</v>
      </c>
    </row>
    <row r="10779">
      <c r="A10779" s="215" t="n">
        <v>46129</v>
      </c>
      <c r="B10779" s="216" t="n">
        <v>41.72</v>
      </c>
      <c r="C10779" s="216" t="n">
        <v>45.53</v>
      </c>
      <c r="D10779" s="216" t="n">
        <v>1.146605014801025</v>
      </c>
      <c r="E10779" s="215" t="n">
        <v>46129</v>
      </c>
      <c r="F10779" s="215" t="n">
        <v>46129</v>
      </c>
    </row>
    <row r="10780">
      <c r="A10780" s="215" t="n">
        <v>46132</v>
      </c>
      <c r="B10780" s="216" t="n">
        <v>40.44</v>
      </c>
      <c r="C10780" s="216" t="n">
        <v>45.32</v>
      </c>
      <c r="D10780" s="216" t="n">
        <v>1.148360967636108</v>
      </c>
      <c r="E10780" s="215" t="n">
        <v>46132</v>
      </c>
      <c r="F10780" s="215" t="n">
        <v>46132</v>
      </c>
    </row>
    <row r="10781">
      <c r="A10781" s="215" t="n">
        <v>46133</v>
      </c>
      <c r="B10781" s="216" t="n">
        <v>42.64</v>
      </c>
      <c r="C10781" s="216" t="n">
        <v>45.48</v>
      </c>
      <c r="D10781" s="216" t="n">
        <v>1.148368000984192</v>
      </c>
      <c r="E10781" s="215" t="n">
        <v>46133</v>
      </c>
      <c r="F10781" s="215" t="n">
        <v>46133</v>
      </c>
    </row>
    <row r="10782">
      <c r="A10782" s="215" t="n">
        <v>46134</v>
      </c>
      <c r="B10782" s="216" t="n">
        <v>40.02</v>
      </c>
      <c r="C10782" s="216" t="n">
        <v>44.72</v>
      </c>
      <c r="D10782" s="216" t="n">
        <v>1.147838950157166</v>
      </c>
      <c r="E10782" s="215" t="n">
        <v>46134</v>
      </c>
      <c r="F10782" s="215" t="n">
        <v>46134</v>
      </c>
    </row>
    <row r="10783">
      <c r="A10783" s="215" t="n">
        <v>46135</v>
      </c>
      <c r="B10783" s="216" t="n">
        <v>39.58</v>
      </c>
      <c r="C10783" s="216" t="n">
        <v>43.49</v>
      </c>
      <c r="D10783" s="216" t="n">
        <v>1.147513031959534</v>
      </c>
      <c r="E10783" s="215" t="n">
        <v>46135</v>
      </c>
      <c r="F10783" s="215" t="n">
        <v>46135</v>
      </c>
    </row>
    <row r="10784">
      <c r="A10784" s="215" t="n">
        <v>46136</v>
      </c>
      <c r="B10784" s="216" t="n">
        <v>39.12</v>
      </c>
      <c r="C10784" s="216" t="n">
        <v>43.14</v>
      </c>
      <c r="D10784" s="216" t="n">
        <v>1.147369027137756</v>
      </c>
      <c r="E10784" s="215" t="n">
        <v>46136</v>
      </c>
      <c r="F10784" s="215" t="n">
        <v>46136</v>
      </c>
    </row>
    <row r="10785">
      <c r="A10785" s="215" t="n">
        <v>46139</v>
      </c>
      <c r="B10785" s="216" t="n">
        <v>39</v>
      </c>
      <c r="C10785" s="216" t="n">
        <v>42.26</v>
      </c>
      <c r="D10785" s="216" t="n">
        <v>1.146002054214478</v>
      </c>
      <c r="E10785" s="215" t="n">
        <v>46139</v>
      </c>
      <c r="F10785" s="215" t="n">
        <v>46139</v>
      </c>
    </row>
    <row r="10786">
      <c r="A10786" s="215" t="n">
        <v>46140</v>
      </c>
      <c r="B10786" s="216" t="n">
        <v>40.8</v>
      </c>
      <c r="C10786" s="216" t="n">
        <v>43.3</v>
      </c>
      <c r="D10786" s="216" t="n">
        <v>1.148522019386292</v>
      </c>
      <c r="E10786" s="215" t="n">
        <v>46140</v>
      </c>
      <c r="F10786" s="215" t="n">
        <v>46140</v>
      </c>
    </row>
    <row r="10787">
      <c r="A10787" s="215" t="n">
        <v>46141</v>
      </c>
      <c r="B10787" s="216" t="n">
        <v>41.82</v>
      </c>
      <c r="C10787" s="216" t="n">
        <v>44.62</v>
      </c>
      <c r="D10787" s="216" t="n">
        <v>1.145936012268066</v>
      </c>
      <c r="E10787" s="215" t="n">
        <v>46141</v>
      </c>
      <c r="F10787" s="215" t="n">
        <v>46141</v>
      </c>
    </row>
    <row r="10788">
      <c r="A10788" s="215" t="n">
        <v>46142</v>
      </c>
      <c r="B10788" s="216" t="n">
        <v>41.46</v>
      </c>
      <c r="C10788" s="216" t="n">
        <v>44.7</v>
      </c>
      <c r="D10788" s="216" t="n">
        <v>1.145792007446289</v>
      </c>
      <c r="E10788" s="215" t="n">
        <v>46142</v>
      </c>
      <c r="F10788" s="215" t="n">
        <v>46142</v>
      </c>
    </row>
    <row r="10789">
      <c r="A10789" s="215" t="n">
        <v>46146</v>
      </c>
      <c r="B10789" s="216" t="n">
        <v>41.06</v>
      </c>
      <c r="C10789" s="216" t="n">
        <v>44.7</v>
      </c>
      <c r="D10789" s="216" t="n">
        <v>1.147340059280396</v>
      </c>
      <c r="E10789" s="215" t="n">
        <v>46142</v>
      </c>
      <c r="F10789" s="215" t="n">
        <v>46146</v>
      </c>
    </row>
    <row r="10790">
      <c r="A10790" s="215" t="n">
        <v>46147</v>
      </c>
      <c r="B10790" s="216" t="n">
        <v>40.88</v>
      </c>
      <c r="C10790" s="216" t="n">
        <v>44.7</v>
      </c>
      <c r="D10790" s="216" t="n">
        <v>1.146813988685608</v>
      </c>
      <c r="E10790" s="215" t="n">
        <v>46142</v>
      </c>
      <c r="F10790" s="215" t="n">
        <v>46147</v>
      </c>
    </row>
    <row r="10791">
      <c r="A10791" s="215" t="n">
        <v>46148</v>
      </c>
      <c r="B10791" s="216" t="n">
        <v>41.34</v>
      </c>
      <c r="C10791" s="216" t="n">
        <v>44.64</v>
      </c>
      <c r="D10791" s="216" t="n">
        <v>1.14708399772644</v>
      </c>
      <c r="E10791" s="215" t="n">
        <v>46148</v>
      </c>
      <c r="F10791" s="215" t="n">
        <v>46148</v>
      </c>
    </row>
    <row r="10792">
      <c r="A10792" s="215" t="n">
        <v>46149</v>
      </c>
      <c r="B10792" s="216" t="n">
        <v>43.94</v>
      </c>
      <c r="C10792" s="216" t="n">
        <v>44.07</v>
      </c>
      <c r="D10792" s="216" t="n">
        <v>1.150125026702881</v>
      </c>
      <c r="E10792" s="215" t="n">
        <v>46149</v>
      </c>
      <c r="F10792" s="215" t="n">
        <v>46149</v>
      </c>
    </row>
    <row r="10793">
      <c r="A10793" s="215" t="n">
        <v>46150</v>
      </c>
      <c r="B10793" s="216" t="n">
        <v>41.78</v>
      </c>
      <c r="C10793" s="216" t="n">
        <v>43.51</v>
      </c>
      <c r="D10793" s="216" t="n">
        <v>1.15172004699707</v>
      </c>
      <c r="E10793" s="215" t="n">
        <v>46150</v>
      </c>
      <c r="F10793" s="215" t="n">
        <v>46150</v>
      </c>
    </row>
    <row r="10794">
      <c r="A10794" s="215" t="n">
        <v>46153</v>
      </c>
      <c r="B10794" s="216" t="n">
        <v>41.3</v>
      </c>
      <c r="C10794" s="216" t="n">
        <v>44.32</v>
      </c>
      <c r="D10794" s="216" t="n">
        <v>1.151090025901794</v>
      </c>
      <c r="E10794" s="215" t="n">
        <v>46153</v>
      </c>
      <c r="F10794" s="215" t="n">
        <v>46153</v>
      </c>
    </row>
    <row r="10795">
      <c r="A10795" s="215" t="n">
        <v>46154</v>
      </c>
      <c r="B10795" s="216" t="n">
        <v>40.24</v>
      </c>
      <c r="C10795" s="216" t="n">
        <v>42.93</v>
      </c>
      <c r="D10795" s="216" t="n">
        <v>1.152078986167908</v>
      </c>
      <c r="E10795" s="215" t="n">
        <v>46154</v>
      </c>
      <c r="F10795" s="215" t="n">
        <v>46154</v>
      </c>
    </row>
    <row r="10796">
      <c r="A10796" s="215" t="n">
        <v>46155</v>
      </c>
      <c r="B10796" s="216" t="n">
        <v>39.36</v>
      </c>
      <c r="C10796" s="216" t="n">
        <v>42.38</v>
      </c>
      <c r="D10796" s="216" t="n">
        <v>1.152537941932678</v>
      </c>
      <c r="E10796" s="215" t="n">
        <v>46155</v>
      </c>
      <c r="F10796" s="215" t="n">
        <v>46155</v>
      </c>
    </row>
    <row r="10797">
      <c r="A10797" s="215" t="n">
        <v>46156</v>
      </c>
      <c r="B10797" s="216" t="n">
        <v>39.2</v>
      </c>
      <c r="C10797" s="216" t="n">
        <v>42.63</v>
      </c>
      <c r="D10797" s="216" t="n">
        <v>1.152662992477417</v>
      </c>
      <c r="E10797" s="215" t="n">
        <v>46156</v>
      </c>
      <c r="F10797" s="215" t="n">
        <v>46156</v>
      </c>
    </row>
    <row r="10798">
      <c r="A10798" s="215" t="n">
        <v>46157</v>
      </c>
      <c r="B10798" s="216" t="n">
        <v>39.26</v>
      </c>
      <c r="C10798" s="216" t="n">
        <v>42.5</v>
      </c>
      <c r="D10798" s="216" t="n">
        <v>1.154320001602173</v>
      </c>
      <c r="E10798" s="215" t="n">
        <v>46157</v>
      </c>
      <c r="F10798" s="215" t="n">
        <v>46157</v>
      </c>
    </row>
    <row r="10799">
      <c r="A10799" s="215" t="n">
        <v>46160</v>
      </c>
      <c r="B10799" s="216" t="n">
        <v>37.32</v>
      </c>
      <c r="C10799" s="216" t="n">
        <v>40.43</v>
      </c>
      <c r="D10799" s="216" t="n">
        <v>1.149821996688843</v>
      </c>
      <c r="E10799" s="215" t="n">
        <v>46160</v>
      </c>
      <c r="F10799" s="215" t="n">
        <v>46160</v>
      </c>
    </row>
    <row r="10800">
      <c r="A10800" s="215" t="n">
        <v>46161</v>
      </c>
      <c r="B10800" s="216" t="n">
        <v>36.42</v>
      </c>
      <c r="C10800" s="216" t="n">
        <v>40.3</v>
      </c>
      <c r="D10800" s="216" t="n">
        <v>1.151532053947449</v>
      </c>
      <c r="E10800" s="215" t="n">
        <v>46161</v>
      </c>
      <c r="F10800" s="215" t="n">
        <v>46161</v>
      </c>
    </row>
    <row r="10801">
      <c r="A10801" s="215" t="n">
        <v>46162</v>
      </c>
      <c r="B10801" s="216" t="n">
        <v>34.78</v>
      </c>
      <c r="C10801" s="216" t="n">
        <v>39.54</v>
      </c>
      <c r="D10801" s="216" t="n">
        <v>1.149292945861816</v>
      </c>
      <c r="E10801" s="215" t="n">
        <v>46162</v>
      </c>
      <c r="F10801" s="215" t="n">
        <v>46162</v>
      </c>
    </row>
    <row r="10802">
      <c r="A10802" s="215" t="n">
        <v>46163</v>
      </c>
      <c r="B10802" s="216" t="n">
        <v>35.24</v>
      </c>
      <c r="C10802" s="216" t="n">
        <v>39.49</v>
      </c>
      <c r="D10802" s="216" t="n">
        <v>1.151231050491333</v>
      </c>
      <c r="E10802" s="215" t="n">
        <v>46163</v>
      </c>
      <c r="F10802" s="215" t="n">
        <v>46163</v>
      </c>
    </row>
    <row r="10803">
      <c r="A10803" s="215" t="n">
        <v>46164</v>
      </c>
      <c r="B10803" s="216" t="n">
        <v>35.24</v>
      </c>
      <c r="C10803" s="216" t="n">
        <v>38.84</v>
      </c>
      <c r="D10803" s="216" t="n">
        <v>1.151487946510315</v>
      </c>
      <c r="E10803" s="215" t="n">
        <v>46164</v>
      </c>
      <c r="F10803" s="215" t="n">
        <v>46164</v>
      </c>
    </row>
    <row r="10804">
      <c r="A10804" s="215" t="n">
        <v>46168</v>
      </c>
      <c r="B10804" s="216" t="n">
        <v>35.66</v>
      </c>
      <c r="C10804" s="216" t="n">
        <v>38.71</v>
      </c>
      <c r="D10804" s="216" t="n">
        <v>1.152968049049377</v>
      </c>
      <c r="E10804" s="215" t="n">
        <v>46168</v>
      </c>
      <c r="F10804" s="215" t="n">
        <v>46168</v>
      </c>
    </row>
    <row r="10805">
      <c r="A10805" s="215" t="n">
        <v>46169</v>
      </c>
      <c r="B10805" s="216" t="n">
        <v>34.6</v>
      </c>
      <c r="C10805" s="216" t="n">
        <v>37.76</v>
      </c>
      <c r="D10805" s="216" t="n">
        <v>1.154562950134277</v>
      </c>
      <c r="E10805" s="215" t="n">
        <v>46169</v>
      </c>
      <c r="F10805" s="215" t="n">
        <v>46169</v>
      </c>
    </row>
    <row r="10806">
      <c r="A10806" s="215" t="n">
        <v>46170</v>
      </c>
      <c r="B10806" s="216" t="n">
        <v>34.56</v>
      </c>
      <c r="C10806" s="216" t="n">
        <v>37.05</v>
      </c>
      <c r="D10806" s="216" t="n">
        <v>1.155385971069336</v>
      </c>
      <c r="E10806" s="215" t="n">
        <v>46170</v>
      </c>
      <c r="F10806" s="215" t="n">
        <v>46170</v>
      </c>
    </row>
    <row r="10807">
      <c r="A10807" s="215" t="n">
        <v>46171</v>
      </c>
      <c r="B10807" s="216" t="n">
        <v>35.3</v>
      </c>
      <c r="C10807" s="216" t="n">
        <v>38.07</v>
      </c>
      <c r="D10807" s="216" t="n">
        <v>1.155282974243164</v>
      </c>
      <c r="E10807" s="215" t="n">
        <v>46171</v>
      </c>
      <c r="F10807" s="215" t="n">
        <v>46171</v>
      </c>
    </row>
    <row r="10808">
      <c r="A10808" s="215" t="n">
        <v>46174</v>
      </c>
      <c r="B10808" s="216" t="n">
        <v>35.76</v>
      </c>
      <c r="C10808" s="216" t="n">
        <v>37.82</v>
      </c>
      <c r="D10808" s="216" t="n">
        <v>1.158049941062927</v>
      </c>
      <c r="E10808" s="215" t="n">
        <v>46174</v>
      </c>
      <c r="F10808" s="215" t="n">
        <v>46174</v>
      </c>
    </row>
    <row r="10809">
      <c r="A10809" s="215" t="n">
        <v>46175</v>
      </c>
      <c r="B10809" s="216" t="n">
        <v>35.26</v>
      </c>
      <c r="C10809" s="216" t="n">
        <v>36.76</v>
      </c>
      <c r="D10809" s="216" t="n">
        <v>1.158406972885132</v>
      </c>
      <c r="E10809" s="215" t="n">
        <v>46175</v>
      </c>
      <c r="F10809" s="215" t="n">
        <v>46175</v>
      </c>
    </row>
    <row r="10810">
      <c r="A10810" s="215" t="n">
        <v>46176</v>
      </c>
      <c r="B10810" s="216" t="n">
        <v>34.7</v>
      </c>
      <c r="C10810" s="216" t="n">
        <v>36.2</v>
      </c>
      <c r="D10810" s="216" t="n">
        <v>1.15879499912262</v>
      </c>
      <c r="E10810" s="215" t="n">
        <v>46176</v>
      </c>
      <c r="F10810" s="215" t="n">
        <v>46176</v>
      </c>
    </row>
    <row r="10811">
      <c r="A10811" s="215" t="n">
        <v>46177</v>
      </c>
      <c r="B10811" s="216" t="n">
        <v>32.6</v>
      </c>
      <c r="C10811" s="216" t="n">
        <v>35.13</v>
      </c>
      <c r="D10811" s="216" t="n">
        <v>1.157420039176941</v>
      </c>
      <c r="E10811" s="215" t="n">
        <v>46177</v>
      </c>
      <c r="F10811" s="215" t="n">
        <v>46177</v>
      </c>
    </row>
    <row r="10812">
      <c r="A10812" s="215" t="n">
        <v>46178</v>
      </c>
      <c r="B10812" s="216" t="n">
        <v>32.34</v>
      </c>
      <c r="C10812" s="216" t="n">
        <v>35.06</v>
      </c>
      <c r="D10812" s="216" t="n">
        <v>1.156491994857788</v>
      </c>
      <c r="E10812" s="215" t="n">
        <v>46178</v>
      </c>
      <c r="F10812" s="215" t="n">
        <v>46178</v>
      </c>
    </row>
    <row r="10813">
      <c r="A10813" s="215" t="n">
        <v>46181</v>
      </c>
      <c r="B10813" s="216" t="n">
        <v>31.56</v>
      </c>
      <c r="C10813" s="216" t="n">
        <v>34.15</v>
      </c>
      <c r="D10813" s="216" t="n">
        <v>1.157665967941284</v>
      </c>
      <c r="E10813" s="215" t="n">
        <v>46181</v>
      </c>
      <c r="F10813" s="215" t="n">
        <v>46181</v>
      </c>
    </row>
    <row r="10814">
      <c r="A10814" s="215" t="n">
        <v>46182</v>
      </c>
      <c r="B10814" s="216" t="n">
        <v>31.96</v>
      </c>
      <c r="C10814" s="216" t="n">
        <v>34.23</v>
      </c>
      <c r="D10814" s="216" t="n">
        <v>1.158027052879333</v>
      </c>
      <c r="E10814" s="215" t="n">
        <v>46182</v>
      </c>
      <c r="F10814" s="215" t="n">
        <v>46182</v>
      </c>
    </row>
    <row r="10815">
      <c r="A10815" s="215" t="n">
        <v>46183</v>
      </c>
      <c r="B10815" s="216" t="n">
        <v>32.22</v>
      </c>
      <c r="C10815" s="216" t="n">
        <v>34.43</v>
      </c>
      <c r="D10815" s="216" t="n">
        <v>1.157112002372742</v>
      </c>
      <c r="E10815" s="215" t="n">
        <v>46183</v>
      </c>
      <c r="F10815" s="215" t="n">
        <v>46183</v>
      </c>
    </row>
    <row r="10816">
      <c r="A10816" s="215" t="n">
        <v>46184</v>
      </c>
      <c r="B10816" s="216" t="n">
        <v>31.68</v>
      </c>
      <c r="C10816" s="216" t="n">
        <v>34.16</v>
      </c>
      <c r="D10816" s="216" t="n">
        <v>1.156929016113281</v>
      </c>
      <c r="E10816" s="215" t="n">
        <v>46184</v>
      </c>
      <c r="F10816" s="215" t="n">
        <v>46184</v>
      </c>
    </row>
    <row r="10817">
      <c r="A10817" s="215" t="n">
        <v>46185</v>
      </c>
      <c r="B10817" s="216" t="n">
        <v>32.26</v>
      </c>
      <c r="C10817" s="216" t="n">
        <v>34.86</v>
      </c>
      <c r="D10817" s="216" t="n">
        <v>1.156345963478088</v>
      </c>
      <c r="E10817" s="215" t="n">
        <v>46185</v>
      </c>
      <c r="F10817" s="215" t="n">
        <v>46185</v>
      </c>
    </row>
    <row r="10818">
      <c r="A10818" s="215" t="n">
        <v>46188</v>
      </c>
      <c r="B10818" s="216" t="n">
        <v>32.18</v>
      </c>
      <c r="C10818" s="216" t="n">
        <v>35.28</v>
      </c>
      <c r="D10818" s="216" t="n">
        <v>1.156880021095276</v>
      </c>
      <c r="E10818" s="215" t="n">
        <v>46188</v>
      </c>
      <c r="F10818" s="215" t="n">
        <v>46188</v>
      </c>
    </row>
    <row r="10819">
      <c r="A10819" s="215" t="n">
        <v>46189</v>
      </c>
      <c r="B10819" s="216" t="n">
        <v>31.32</v>
      </c>
      <c r="C10819" s="216" t="n">
        <v>35.05</v>
      </c>
      <c r="D10819" s="216" t="n">
        <v>1.158604025840759</v>
      </c>
      <c r="E10819" s="215" t="n">
        <v>46189</v>
      </c>
      <c r="F10819" s="215" t="n">
        <v>46189</v>
      </c>
    </row>
    <row r="10820">
      <c r="A10820" s="215" t="n">
        <v>46190</v>
      </c>
      <c r="B10820" s="216" t="n">
        <v>30.8</v>
      </c>
      <c r="C10820" s="216" t="n">
        <v>34.66</v>
      </c>
      <c r="D10820" s="216" t="n">
        <v>1.158974051475525</v>
      </c>
      <c r="E10820" s="215" t="n">
        <v>46190</v>
      </c>
      <c r="F10820" s="215" t="n">
        <v>46190</v>
      </c>
    </row>
    <row r="10821">
      <c r="A10821" s="215" t="n">
        <v>46191</v>
      </c>
      <c r="B10821" s="216" t="n">
        <v>29.62</v>
      </c>
      <c r="C10821" s="216" t="n">
        <v>33.63</v>
      </c>
      <c r="D10821" s="216" t="n">
        <v>1.159355998039246</v>
      </c>
      <c r="E10821" s="215" t="n">
        <v>46191</v>
      </c>
      <c r="F10821" s="215" t="n">
        <v>46191</v>
      </c>
    </row>
    <row r="10822">
      <c r="A10822" s="215" t="n">
        <v>46195</v>
      </c>
      <c r="B10822" s="216" t="n">
        <v>29.62</v>
      </c>
      <c r="C10822" s="216" t="n">
        <v>33.95</v>
      </c>
      <c r="D10822" s="216" t="n">
        <v>1.157493948936462</v>
      </c>
      <c r="E10822" s="215" t="n">
        <v>46195</v>
      </c>
      <c r="F10822" s="215" t="n">
        <v>46195</v>
      </c>
    </row>
    <row r="10823">
      <c r="A10823" s="215" t="n">
        <v>46196</v>
      </c>
      <c r="B10823" s="216" t="n">
        <v>29.48</v>
      </c>
      <c r="C10823" s="216" t="n">
        <v>33.02</v>
      </c>
      <c r="D10823" s="216" t="n">
        <v>1.156896948814392</v>
      </c>
      <c r="E10823" s="215" t="n">
        <v>46196</v>
      </c>
      <c r="F10823" s="215" t="n">
        <v>46196</v>
      </c>
    </row>
    <row r="10824">
      <c r="A10824" s="215" t="n">
        <v>46197</v>
      </c>
      <c r="B10824" s="216" t="n">
        <v>28.48</v>
      </c>
      <c r="C10824" s="216" t="n">
        <v>32.53</v>
      </c>
      <c r="D10824" s="216" t="n">
        <v>1.154508948326111</v>
      </c>
      <c r="E10824" s="215" t="n">
        <v>46197</v>
      </c>
      <c r="F10824" s="215" t="n">
        <v>46197</v>
      </c>
    </row>
    <row r="10825">
      <c r="A10825" s="215" t="n">
        <v>46198</v>
      </c>
      <c r="B10825" s="216" t="n">
        <v>27.96</v>
      </c>
      <c r="C10825" s="216" t="n">
        <v>32.36</v>
      </c>
      <c r="D10825" s="216" t="n">
        <v>1.154152035713196</v>
      </c>
      <c r="E10825" s="215" t="n">
        <v>46198</v>
      </c>
      <c r="F10825" s="215" t="n">
        <v>46198</v>
      </c>
    </row>
    <row r="10826">
      <c r="A10826" s="215" t="n">
        <v>46199</v>
      </c>
      <c r="B10826" s="216" t="n">
        <v>29.06</v>
      </c>
      <c r="C10826" s="216" t="n">
        <v>33.56</v>
      </c>
      <c r="D10826" s="216" t="n">
        <v>1.154500961303711</v>
      </c>
      <c r="E10826" s="215" t="n">
        <v>46199</v>
      </c>
      <c r="F10826" s="215" t="n">
        <v>46199</v>
      </c>
    </row>
    <row r="10827">
      <c r="A10827" s="215" t="n">
        <v>46202</v>
      </c>
      <c r="B10827" s="216" t="n">
        <v>30.26</v>
      </c>
      <c r="C10827" s="216" t="n">
        <v>35.99</v>
      </c>
      <c r="D10827" s="216" t="n">
        <v>1.153512001037598</v>
      </c>
      <c r="E10827" s="215" t="n">
        <v>46202</v>
      </c>
      <c r="F10827" s="215" t="n">
        <v>46202</v>
      </c>
    </row>
    <row r="10828">
      <c r="A10828" s="215" t="n">
        <v>46203</v>
      </c>
      <c r="B10828" s="216" t="n">
        <v>29.04</v>
      </c>
      <c r="C10828" s="216" t="n">
        <v>34.99</v>
      </c>
      <c r="D10828" s="216" t="n">
        <v>1.153959035873413</v>
      </c>
      <c r="E10828" s="215" t="n">
        <v>46203</v>
      </c>
      <c r="F10828" s="215" t="n">
        <v>46203</v>
      </c>
    </row>
    <row r="10829">
      <c r="A10829" s="215" t="n">
        <v>46205</v>
      </c>
      <c r="B10829" s="216" t="n">
        <v>31.94</v>
      </c>
      <c r="C10829" s="216" t="n">
        <v>37.35</v>
      </c>
      <c r="D10829" s="216" t="n">
        <v>1.154355049133301</v>
      </c>
      <c r="E10829" s="215" t="n">
        <v>46205</v>
      </c>
      <c r="F10829" s="215" t="n">
        <v>46205</v>
      </c>
    </row>
    <row r="10830">
      <c r="A10830" s="215" t="n">
        <v>46206</v>
      </c>
      <c r="B10830" s="216" t="n">
        <v>31.62</v>
      </c>
      <c r="C10830" s="216" t="n">
        <v>36.9</v>
      </c>
      <c r="D10830" s="216" t="n">
        <v>1.155220985412598</v>
      </c>
      <c r="E10830" s="215" t="n">
        <v>46206</v>
      </c>
      <c r="F10830" s="215" t="n">
        <v>46206</v>
      </c>
    </row>
    <row r="10831">
      <c r="A10831" s="215" t="n">
        <v>46209</v>
      </c>
      <c r="B10831" s="216" t="n">
        <v>32.82</v>
      </c>
      <c r="C10831" s="216" t="n">
        <v>38.68</v>
      </c>
      <c r="D10831" s="216" t="n">
        <v>1.155068039894104</v>
      </c>
      <c r="E10831" s="215" t="n">
        <v>46209</v>
      </c>
      <c r="F10831" s="215" t="n">
        <v>46209</v>
      </c>
    </row>
    <row r="10832">
      <c r="A10832" s="215" t="n">
        <v>46210</v>
      </c>
      <c r="B10832" s="216" t="n">
        <v>32.28</v>
      </c>
      <c r="C10832" s="216" t="n">
        <v>38.49</v>
      </c>
      <c r="D10832" s="216" t="n">
        <v>1.153807997703552</v>
      </c>
      <c r="E10832" s="215" t="n">
        <v>46210</v>
      </c>
      <c r="F10832" s="215" t="n">
        <v>46210</v>
      </c>
    </row>
    <row r="10833">
      <c r="A10833" s="215" t="n">
        <v>46211</v>
      </c>
      <c r="B10833" s="216" t="n">
        <v>31.06</v>
      </c>
      <c r="C10833" s="216" t="n">
        <v>36.8</v>
      </c>
      <c r="D10833" s="216" t="n">
        <v>1.154153943061829</v>
      </c>
      <c r="E10833" s="215" t="n">
        <v>46211</v>
      </c>
      <c r="F10833" s="215" t="n">
        <v>46211</v>
      </c>
    </row>
    <row r="10834">
      <c r="A10834" s="215" t="n">
        <v>46212</v>
      </c>
      <c r="B10834" s="216" t="n">
        <v>31.3</v>
      </c>
      <c r="C10834" s="216" t="n">
        <v>37.11</v>
      </c>
      <c r="D10834" s="216" t="n">
        <v>1.152119994163513</v>
      </c>
      <c r="E10834" s="215" t="n">
        <v>46212</v>
      </c>
      <c r="F10834" s="215" t="n">
        <v>46212</v>
      </c>
    </row>
    <row r="10835">
      <c r="A10835" s="215" t="n">
        <v>46213</v>
      </c>
      <c r="B10835" s="216" t="n">
        <v>32.4</v>
      </c>
      <c r="C10835" s="216" t="n">
        <v>38.14</v>
      </c>
      <c r="D10835" s="216" t="n">
        <v>1.153550028800964</v>
      </c>
      <c r="E10835" s="215" t="n">
        <v>46213</v>
      </c>
      <c r="F10835" s="215" t="n">
        <v>46213</v>
      </c>
    </row>
    <row r="10836">
      <c r="A10836" s="215" t="n">
        <v>46216</v>
      </c>
      <c r="B10836" s="216" t="n">
        <v>32.16</v>
      </c>
      <c r="C10836" s="216" t="n">
        <v>38.55</v>
      </c>
      <c r="D10836" s="216" t="n">
        <v>1.156761050224304</v>
      </c>
      <c r="E10836" s="215" t="n">
        <v>46216</v>
      </c>
      <c r="F10836" s="215" t="n">
        <v>46216</v>
      </c>
    </row>
    <row r="10837">
      <c r="A10837" s="215" t="n">
        <v>46217</v>
      </c>
      <c r="B10837" s="216" t="n">
        <v>31.88</v>
      </c>
      <c r="C10837" s="216" t="n">
        <v>38.08</v>
      </c>
      <c r="D10837" s="216" t="n">
        <v>1.155825972557068</v>
      </c>
      <c r="E10837" s="215" t="n">
        <v>46217</v>
      </c>
      <c r="F10837" s="215" t="n">
        <v>46217</v>
      </c>
    </row>
    <row r="10838">
      <c r="A10838" s="215" t="n">
        <v>46218</v>
      </c>
      <c r="B10838" s="216" t="n">
        <v>32.94</v>
      </c>
      <c r="C10838" s="216" t="n">
        <v>39.65</v>
      </c>
      <c r="D10838" s="216" t="n">
        <v>1.157556056976318</v>
      </c>
      <c r="E10838" s="215" t="n">
        <v>46218</v>
      </c>
      <c r="F10838" s="215" t="n">
        <v>46218</v>
      </c>
    </row>
    <row r="10839">
      <c r="A10839" s="215" t="n">
        <v>46219</v>
      </c>
      <c r="B10839" s="216" t="n">
        <v>34.1</v>
      </c>
      <c r="C10839" s="216" t="n">
        <v>40.9</v>
      </c>
      <c r="D10839" s="216" t="n">
        <v>1.157912969589233</v>
      </c>
      <c r="E10839" s="215" t="n">
        <v>46219</v>
      </c>
      <c r="F10839" s="215" t="n">
        <v>46219</v>
      </c>
    </row>
    <row r="10840">
      <c r="A10840" s="215" t="n">
        <v>46220</v>
      </c>
      <c r="B10840" s="216" t="n">
        <v>33.66</v>
      </c>
      <c r="C10840" s="216" t="n">
        <v>39.83</v>
      </c>
      <c r="D10840" s="216" t="n">
        <v>1.157472014427185</v>
      </c>
      <c r="E10840" s="215" t="n">
        <v>46220</v>
      </c>
      <c r="F10840" s="215" t="n">
        <v>46220</v>
      </c>
    </row>
    <row r="10841">
      <c r="A10841" s="215" t="n">
        <v>46223</v>
      </c>
      <c r="B10841" s="216" t="n">
        <v>33.88</v>
      </c>
      <c r="C10841" s="216" t="n">
        <v>40.61</v>
      </c>
      <c r="D10841" s="216" t="n">
        <v>1.157451033592224</v>
      </c>
      <c r="E10841" s="215" t="n">
        <v>46223</v>
      </c>
      <c r="F10841" s="215" t="n">
        <v>46223</v>
      </c>
    </row>
    <row r="10842">
      <c r="A10842" s="215" t="n">
        <v>46224</v>
      </c>
      <c r="B10842" s="216" t="n">
        <v>33.9</v>
      </c>
      <c r="C10842" s="216" t="n">
        <v>39.42</v>
      </c>
      <c r="D10842" s="216" t="n">
        <v>1.157506942749023</v>
      </c>
      <c r="E10842" s="215" t="n">
        <v>46224</v>
      </c>
      <c r="F10842" s="215" t="n">
        <v>46224</v>
      </c>
    </row>
    <row r="10843">
      <c r="A10843" s="215" t="n">
        <v>46225</v>
      </c>
      <c r="B10843" s="216" t="n">
        <v>33.5</v>
      </c>
      <c r="C10843" s="216" t="n">
        <v>39.44</v>
      </c>
      <c r="D10843" s="216" t="n">
        <v>1.158938050270081</v>
      </c>
      <c r="E10843" s="215" t="n">
        <v>46225</v>
      </c>
      <c r="F10843" s="215" t="n">
        <v>46225</v>
      </c>
    </row>
    <row r="10844">
      <c r="A10844" s="215" t="n">
        <v>46226</v>
      </c>
      <c r="B10844" s="216" t="n">
        <v>33.36</v>
      </c>
      <c r="C10844" s="216" t="n">
        <v>39.7</v>
      </c>
      <c r="D10844" s="216" t="n">
        <v>1.157410979270935</v>
      </c>
      <c r="E10844" s="215" t="n">
        <v>46226</v>
      </c>
      <c r="F10844" s="215" t="n">
        <v>46226</v>
      </c>
    </row>
    <row r="10845">
      <c r="A10845" s="215" t="n">
        <v>46227</v>
      </c>
      <c r="B10845" s="216" t="n">
        <v>32.44</v>
      </c>
      <c r="C10845" s="216" t="n">
        <v>38.68</v>
      </c>
      <c r="D10845" s="216" t="n">
        <v>1.15762197971344</v>
      </c>
      <c r="E10845" s="215" t="n">
        <v>46227</v>
      </c>
      <c r="F10845" s="215" t="n">
        <v>46227</v>
      </c>
    </row>
    <row r="10846">
      <c r="A10846" s="215" t="n">
        <v>46230</v>
      </c>
      <c r="B10846" s="216" t="n">
        <v>32.5</v>
      </c>
      <c r="C10846" s="216" t="n">
        <v>39.33</v>
      </c>
      <c r="D10846" s="216" t="n">
        <v>1.15789794921875</v>
      </c>
      <c r="E10846" s="215" t="n">
        <v>46230</v>
      </c>
      <c r="F10846" s="215" t="n">
        <v>46230</v>
      </c>
    </row>
    <row r="10847">
      <c r="A10847" s="215" t="n">
        <v>46231</v>
      </c>
      <c r="B10847" s="216" t="n">
        <v>32.98</v>
      </c>
      <c r="C10847" s="216" t="n">
        <v>39.3</v>
      </c>
      <c r="D10847" s="216" t="n">
        <v>1.158699035644531</v>
      </c>
      <c r="E10847" s="215" t="n">
        <v>46231</v>
      </c>
      <c r="F10847" s="215" t="n">
        <v>46231</v>
      </c>
    </row>
    <row r="10848">
      <c r="A10848" s="215" t="n">
        <v>46232</v>
      </c>
      <c r="B10848" s="216" t="n">
        <v>32.24</v>
      </c>
      <c r="C10848" s="216" t="n">
        <v>38.88</v>
      </c>
      <c r="D10848" s="216" t="n">
        <v>1.157909989356995</v>
      </c>
      <c r="E10848" s="215" t="n">
        <v>46232</v>
      </c>
      <c r="F10848" s="215" t="n">
        <v>46232</v>
      </c>
    </row>
    <row r="10849">
      <c r="A10849" s="215" t="n">
        <v>46233</v>
      </c>
      <c r="B10849" s="216" t="n">
        <v>33.58</v>
      </c>
      <c r="C10849" s="216" t="n">
        <v>39.92</v>
      </c>
      <c r="D10849" s="216" t="n">
        <v>1.158943057060242</v>
      </c>
      <c r="E10849" s="215" t="n">
        <v>46233</v>
      </c>
      <c r="F10849" s="215" t="n">
        <v>46233</v>
      </c>
    </row>
    <row r="10850">
      <c r="A10850" s="215" t="n">
        <v>46234</v>
      </c>
      <c r="B10850" s="216" t="n">
        <v>33.12</v>
      </c>
      <c r="C10850" s="216" t="n">
        <v>39.26</v>
      </c>
      <c r="D10850" s="216" t="n">
        <v>1.160945057868958</v>
      </c>
      <c r="E10850" s="215" t="n">
        <v>46234</v>
      </c>
      <c r="F10850" s="215" t="n">
        <v>46234</v>
      </c>
    </row>
    <row r="10851">
      <c r="A10851" s="215" t="n">
        <v>46237</v>
      </c>
      <c r="B10851" s="216" t="n">
        <v>32.8</v>
      </c>
      <c r="C10851" s="216" t="n">
        <v>38.93</v>
      </c>
      <c r="D10851" s="216" t="n">
        <v>1.161579966545105</v>
      </c>
      <c r="E10851" s="215" t="n">
        <v>46237</v>
      </c>
      <c r="F10851" s="215" t="n">
        <v>46237</v>
      </c>
    </row>
    <row r="10852">
      <c r="A10852" s="215" t="n">
        <v>46238</v>
      </c>
      <c r="B10852" s="216" t="n">
        <v>31.62</v>
      </c>
      <c r="C10852" s="216" t="n">
        <v>38.02</v>
      </c>
      <c r="D10852" s="216" t="n">
        <v>1.161064982414246</v>
      </c>
      <c r="E10852" s="215" t="n">
        <v>46238</v>
      </c>
      <c r="F10852" s="215" t="n">
        <v>46238</v>
      </c>
    </row>
    <row r="10853">
      <c r="A10853" s="215" t="n">
        <v>46239</v>
      </c>
      <c r="B10853" s="216" t="n">
        <v>31.4</v>
      </c>
      <c r="C10853" s="216" t="n">
        <v>38.36</v>
      </c>
      <c r="D10853" s="216" t="n">
        <v>1.161146998405457</v>
      </c>
      <c r="E10853" s="215" t="n">
        <v>46239</v>
      </c>
      <c r="F10853" s="215" t="n">
        <v>46239</v>
      </c>
    </row>
    <row r="10854">
      <c r="A10854" s="215" t="n">
        <v>46240</v>
      </c>
      <c r="B10854" s="216" t="n">
        <v>31.52</v>
      </c>
      <c r="C10854" s="216" t="n">
        <v>38.37</v>
      </c>
      <c r="D10854" s="216" t="n">
        <v>1.161936044692993</v>
      </c>
      <c r="E10854" s="215" t="n">
        <v>46240</v>
      </c>
      <c r="F10854" s="215" t="n">
        <v>46240</v>
      </c>
    </row>
    <row r="10855">
      <c r="A10855" s="215" t="n">
        <v>46241</v>
      </c>
      <c r="B10855" s="216" t="n">
        <v>32.04</v>
      </c>
      <c r="C10855" s="216" t="n">
        <v>38.47</v>
      </c>
      <c r="D10855" s="216" t="n">
        <v>1.162284016609192</v>
      </c>
      <c r="E10855" s="215" t="n">
        <v>46241</v>
      </c>
      <c r="F10855" s="215" t="n">
        <v>46241</v>
      </c>
    </row>
    <row r="10856">
      <c r="A10856" s="215" t="n">
        <v>46244</v>
      </c>
      <c r="B10856" s="216" t="n">
        <v>33.7</v>
      </c>
      <c r="C10856" s="216" t="n">
        <v>40.24</v>
      </c>
      <c r="D10856" s="216" t="n">
        <v>1.162629961967468</v>
      </c>
      <c r="E10856" s="215" t="n">
        <v>46244</v>
      </c>
      <c r="F10856" s="215" t="n">
        <v>46244</v>
      </c>
    </row>
    <row r="10857">
      <c r="A10857" s="215" t="n">
        <v>46245</v>
      </c>
      <c r="B10857" s="216" t="n">
        <v>34.44</v>
      </c>
      <c r="C10857" s="216" t="n">
        <v>40.11</v>
      </c>
      <c r="D10857" s="216" t="n">
        <v>1.162588000297546</v>
      </c>
      <c r="E10857" s="215" t="n">
        <v>46245</v>
      </c>
      <c r="F10857" s="215" t="n">
        <v>46245</v>
      </c>
    </row>
    <row r="10858">
      <c r="A10858" s="215" t="n">
        <v>46246</v>
      </c>
      <c r="B10858" s="216" t="n">
        <v>34.48</v>
      </c>
      <c r="C10858" s="216" t="n">
        <v>39.93</v>
      </c>
      <c r="D10858" s="216" t="n">
        <v>1.163135051727295</v>
      </c>
      <c r="E10858" s="215" t="n">
        <v>46246</v>
      </c>
      <c r="F10858" s="215" t="n">
        <v>46246</v>
      </c>
    </row>
    <row r="10859">
      <c r="A10859" s="215" t="n">
        <v>46247</v>
      </c>
      <c r="B10859" s="216" t="n">
        <v>34.66</v>
      </c>
      <c r="C10859" s="216" t="n">
        <v>40.15</v>
      </c>
      <c r="D10859" s="216" t="n">
        <v>1.163341045379639</v>
      </c>
      <c r="E10859" s="215" t="n">
        <v>46247</v>
      </c>
      <c r="F10859" s="215" t="n">
        <v>46247</v>
      </c>
    </row>
    <row r="10860">
      <c r="A10860" s="215" t="n">
        <v>46248</v>
      </c>
      <c r="B10860" s="216" t="n">
        <v>34</v>
      </c>
      <c r="C10860" s="216" t="n">
        <v>39.29</v>
      </c>
      <c r="D10860" s="216" t="n">
        <v>1.163571000099182</v>
      </c>
      <c r="E10860" s="215" t="n">
        <v>46248</v>
      </c>
      <c r="F10860" s="215" t="n">
        <v>46248</v>
      </c>
    </row>
    <row r="10861">
      <c r="A10861" s="215" t="n">
        <v>46251</v>
      </c>
      <c r="B10861" s="216" t="n">
        <v>33.32</v>
      </c>
      <c r="C10861" s="216" t="n">
        <v>39.29</v>
      </c>
      <c r="D10861" s="216" t="n">
        <v>1.163601994514465</v>
      </c>
      <c r="E10861" s="215" t="n">
        <v>46251</v>
      </c>
      <c r="F10861" s="215" t="n">
        <v>46251</v>
      </c>
    </row>
    <row r="10862">
      <c r="A10862" s="215" t="n">
        <v>46252</v>
      </c>
      <c r="B10862" s="216" t="n">
        <v>34.84</v>
      </c>
      <c r="C10862" s="216" t="n">
        <v>39.93</v>
      </c>
      <c r="D10862" s="216" t="n">
        <v>1.163733005523682</v>
      </c>
      <c r="E10862" s="215" t="n">
        <v>46252</v>
      </c>
      <c r="F10862" s="215" t="n">
        <v>46252</v>
      </c>
    </row>
    <row r="10863">
      <c r="A10863" s="215" t="n">
        <v>46253</v>
      </c>
      <c r="B10863" s="216" t="n">
        <v>34.1</v>
      </c>
      <c r="C10863" s="216" t="n">
        <v>38.84</v>
      </c>
      <c r="D10863" s="216" t="n">
        <v>1.163092017173767</v>
      </c>
      <c r="E10863" s="215" t="n">
        <v>46253</v>
      </c>
      <c r="F10863" s="215" t="n">
        <v>46253</v>
      </c>
    </row>
    <row r="10864">
      <c r="A10864" s="215" t="n">
        <v>46254</v>
      </c>
      <c r="B10864" s="216" t="n">
        <v>35.5</v>
      </c>
      <c r="C10864" s="216" t="n">
        <v>39.82</v>
      </c>
      <c r="D10864" s="216" t="n">
        <v>1.164932012557983</v>
      </c>
      <c r="E10864" s="215" t="n">
        <v>46254</v>
      </c>
      <c r="F10864" s="215" t="n">
        <v>46254</v>
      </c>
    </row>
    <row r="10865">
      <c r="A10865" s="215" t="n">
        <v>46255</v>
      </c>
      <c r="B10865" s="216" t="n">
        <v>33.7</v>
      </c>
      <c r="C10865" s="216" t="n">
        <v>39.07</v>
      </c>
      <c r="D10865" s="216" t="n">
        <v>1.166555047035217</v>
      </c>
      <c r="E10865" s="215" t="n">
        <v>46255</v>
      </c>
      <c r="F10865" s="215" t="n">
        <v>46255</v>
      </c>
    </row>
    <row r="10866">
      <c r="A10866" s="215" t="n">
        <v>46258</v>
      </c>
      <c r="B10866" s="216" t="n">
        <v>32.82</v>
      </c>
      <c r="C10866" s="216" t="n">
        <v>38.83</v>
      </c>
      <c r="D10866" s="216" t="n">
        <v>1.166316986083984</v>
      </c>
      <c r="E10866" s="215" t="n">
        <v>46258</v>
      </c>
      <c r="F10866" s="215" t="n">
        <v>46258</v>
      </c>
    </row>
    <row r="10867">
      <c r="A10867" s="215" t="n">
        <v>46259</v>
      </c>
      <c r="B10867" s="216" t="n">
        <v>33.36</v>
      </c>
      <c r="C10867" s="216" t="n">
        <v>39.93</v>
      </c>
      <c r="D10867" s="216" t="n">
        <v>1.165253043174744</v>
      </c>
      <c r="E10867" s="215" t="n">
        <v>46259</v>
      </c>
      <c r="F10867" s="215" t="n">
        <v>46259</v>
      </c>
    </row>
    <row r="10868">
      <c r="A10868" s="215" t="n">
        <v>46260</v>
      </c>
      <c r="B10868" s="216" t="n">
        <v>33.62</v>
      </c>
      <c r="C10868" s="216" t="n">
        <v>39.99</v>
      </c>
      <c r="D10868" s="216" t="n">
        <v>1.166218996047974</v>
      </c>
      <c r="E10868" s="215" t="n">
        <v>46260</v>
      </c>
      <c r="F10868" s="215" t="n">
        <v>46260</v>
      </c>
    </row>
    <row r="10869">
      <c r="A10869" s="215" t="n">
        <v>46261</v>
      </c>
      <c r="B10869" s="216" t="n">
        <v>34.1</v>
      </c>
      <c r="C10869" s="216" t="n">
        <v>40.8</v>
      </c>
      <c r="D10869" s="216" t="n">
        <v>1.165971040725708</v>
      </c>
      <c r="E10869" s="215" t="n">
        <v>46261</v>
      </c>
      <c r="F10869" s="215" t="n">
        <v>46261</v>
      </c>
    </row>
    <row r="10870">
      <c r="A10870" s="215" t="n">
        <v>46262</v>
      </c>
      <c r="B10870" s="216" t="n">
        <v>35.48</v>
      </c>
      <c r="C10870" s="216" t="n">
        <v>41.68</v>
      </c>
      <c r="D10870" s="216" t="n">
        <v>1.165799975395203</v>
      </c>
      <c r="E10870" s="215" t="n">
        <v>46262</v>
      </c>
      <c r="F10870" s="215" t="n">
        <v>46262</v>
      </c>
    </row>
    <row r="10871">
      <c r="A10871" s="215" t="n">
        <v>46265</v>
      </c>
      <c r="B10871" s="216" t="n">
        <v>35.54</v>
      </c>
      <c r="C10871" s="216" t="n">
        <v>42.31</v>
      </c>
      <c r="D10871" s="216" t="n">
        <v>1.165387988090515</v>
      </c>
      <c r="E10871" s="215" t="n">
        <v>46265</v>
      </c>
      <c r="F10871" s="215" t="n">
        <v>46265</v>
      </c>
    </row>
    <row r="10872">
      <c r="A10872" s="215" t="n">
        <v>46266</v>
      </c>
      <c r="B10872" s="216" t="n">
        <v>36.18</v>
      </c>
      <c r="C10872" s="216" t="n">
        <v>42.4</v>
      </c>
      <c r="D10872" s="216" t="n">
        <v>1.165223956108093</v>
      </c>
      <c r="E10872" s="215" t="n">
        <v>46266</v>
      </c>
      <c r="F10872" s="215" t="n">
        <v>46266</v>
      </c>
    </row>
    <row r="10873">
      <c r="A10873" s="215" t="n">
        <v>46267</v>
      </c>
      <c r="B10873" s="216" t="n">
        <v>36.48</v>
      </c>
      <c r="C10873" s="216" t="n">
        <v>42.03</v>
      </c>
      <c r="D10873" s="216" t="n">
        <v>1.166425943374634</v>
      </c>
      <c r="E10873" s="215" t="n">
        <v>46267</v>
      </c>
      <c r="F10873" s="215" t="n">
        <v>46267</v>
      </c>
    </row>
    <row r="10874">
      <c r="A10874" s="215" t="n">
        <v>46268</v>
      </c>
      <c r="B10874" s="216" t="n">
        <v>35.82</v>
      </c>
      <c r="C10874" s="216" t="n">
        <v>42.08</v>
      </c>
      <c r="D10874" s="216" t="n">
        <v>1.167057037353516</v>
      </c>
      <c r="E10874" s="215" t="n">
        <v>46268</v>
      </c>
      <c r="F10874" s="215" t="n">
        <v>46268</v>
      </c>
    </row>
    <row r="10875">
      <c r="A10875" s="215" t="n">
        <v>46269</v>
      </c>
      <c r="B10875" s="216" t="n">
        <v>39.12</v>
      </c>
      <c r="C10875" s="216" t="n">
        <v>43.97</v>
      </c>
      <c r="D10875" s="216" t="n">
        <v>1.166767954826355</v>
      </c>
      <c r="E10875" s="215" t="n">
        <v>46269</v>
      </c>
      <c r="F10875" s="215" t="n">
        <v>46269</v>
      </c>
    </row>
    <row r="10876">
      <c r="A10876" s="215" t="n">
        <v>46272</v>
      </c>
      <c r="B10876" s="216" t="n">
        <v>39.88</v>
      </c>
      <c r="C10876" s="216" t="n">
        <v>43.91</v>
      </c>
      <c r="D10876" s="216" t="n">
        <v>1.168081045150757</v>
      </c>
      <c r="E10876" s="215" t="n">
        <v>46272</v>
      </c>
      <c r="F10876" s="215" t="n">
        <v>46272</v>
      </c>
    </row>
    <row r="10877">
      <c r="A10877" s="215" t="n">
        <v>46273</v>
      </c>
      <c r="B10877" s="216" t="n">
        <v>39.52</v>
      </c>
      <c r="C10877" s="216" t="n">
        <v>43.23</v>
      </c>
      <c r="D10877" s="216" t="n">
        <v>1.168115019798279</v>
      </c>
      <c r="E10877" s="215" t="n">
        <v>46273</v>
      </c>
      <c r="F10877" s="215" t="n">
        <v>46273</v>
      </c>
    </row>
    <row r="10878">
      <c r="A10878" s="215" t="n">
        <v>46274</v>
      </c>
      <c r="B10878" s="216" t="n">
        <v>39.42</v>
      </c>
      <c r="C10878" s="216" t="n">
        <v>43.25</v>
      </c>
      <c r="D10878" s="216" t="n">
        <v>1.168408989906311</v>
      </c>
      <c r="E10878" s="215" t="n">
        <v>46274</v>
      </c>
      <c r="F10878" s="215" t="n">
        <v>46274</v>
      </c>
    </row>
    <row r="10879">
      <c r="A10879" s="215" t="n">
        <v>46275</v>
      </c>
      <c r="B10879" s="216" t="n">
        <v>37.94</v>
      </c>
      <c r="C10879" s="216" t="n">
        <v>42.22</v>
      </c>
      <c r="D10879" s="216" t="n">
        <v>1.168462991714478</v>
      </c>
      <c r="E10879" s="215" t="n">
        <v>46275</v>
      </c>
      <c r="F10879" s="215" t="n">
        <v>46275</v>
      </c>
    </row>
    <row r="10880">
      <c r="A10880" s="215" t="n">
        <v>46276</v>
      </c>
      <c r="B10880" s="216" t="n">
        <v>38.08</v>
      </c>
      <c r="C10880" s="216" t="n">
        <v>42.18</v>
      </c>
      <c r="D10880" s="216" t="n">
        <v>1.169165015220642</v>
      </c>
      <c r="E10880" s="215" t="n">
        <v>46276</v>
      </c>
      <c r="F10880" s="215" t="n">
        <v>46276</v>
      </c>
    </row>
    <row r="10881">
      <c r="A10881" s="215" t="n">
        <v>46279</v>
      </c>
      <c r="B10881" s="216" t="n">
        <v>38.2</v>
      </c>
      <c r="C10881" s="216" t="n">
        <v>42.59</v>
      </c>
      <c r="D10881" s="216" t="n">
        <v>1.16893994808197</v>
      </c>
      <c r="E10881" s="215" t="n">
        <v>46279</v>
      </c>
      <c r="F10881" s="215" t="n">
        <v>46279</v>
      </c>
    </row>
    <row r="10882">
      <c r="A10882" s="215" t="n">
        <v>46280</v>
      </c>
      <c r="B10882" s="216" t="n">
        <v>38.4</v>
      </c>
      <c r="C10882" s="216" t="n">
        <v>42.37</v>
      </c>
      <c r="D10882" s="216" t="n">
        <v>1.169121026992798</v>
      </c>
      <c r="E10882" s="215" t="n">
        <v>46280</v>
      </c>
      <c r="F10882" s="215" t="n">
        <v>46280</v>
      </c>
    </row>
    <row r="10883">
      <c r="A10883" s="215" t="n">
        <v>46281</v>
      </c>
      <c r="B10883" s="216" t="n">
        <v>37.28</v>
      </c>
      <c r="C10883" s="216" t="n">
        <v>41.08</v>
      </c>
      <c r="D10883" s="216" t="n">
        <v>1.168769955635071</v>
      </c>
      <c r="E10883" s="215" t="n">
        <v>46281</v>
      </c>
      <c r="F10883" s="215" t="n">
        <v>46281</v>
      </c>
    </row>
    <row r="10884">
      <c r="A10884" s="215" t="n">
        <v>46282</v>
      </c>
      <c r="B10884" s="216" t="n">
        <v>37.52</v>
      </c>
      <c r="C10884" s="216" t="n">
        <v>41.28</v>
      </c>
      <c r="D10884" s="216" t="n">
        <v>1.169389963150024</v>
      </c>
      <c r="E10884" s="215" t="n">
        <v>46282</v>
      </c>
      <c r="F10884" s="215" t="n">
        <v>46282</v>
      </c>
    </row>
    <row r="10885">
      <c r="A10885" s="215" t="n">
        <v>46283</v>
      </c>
      <c r="B10885" s="216" t="n">
        <v>37.2</v>
      </c>
      <c r="C10885" s="216" t="n">
        <v>41.35</v>
      </c>
      <c r="D10885" s="216" t="n">
        <v>1.16942298412323</v>
      </c>
      <c r="E10885" s="215" t="n">
        <v>46283</v>
      </c>
      <c r="F10885" s="215" t="n">
        <v>46283</v>
      </c>
    </row>
    <row r="10886">
      <c r="A10886" s="215" t="n">
        <v>46286</v>
      </c>
      <c r="B10886" s="216" t="n">
        <v>38.42</v>
      </c>
      <c r="C10886" s="216" t="n">
        <v>42.38</v>
      </c>
      <c r="D10886" s="216" t="n">
        <v>1.171280026435852</v>
      </c>
      <c r="E10886" s="215" t="n">
        <v>46286</v>
      </c>
      <c r="F10886" s="215" t="n">
        <v>46286</v>
      </c>
    </row>
    <row r="10887">
      <c r="A10887" s="215" t="n">
        <v>46287</v>
      </c>
      <c r="B10887" s="216" t="n">
        <v>37.7</v>
      </c>
      <c r="C10887" s="216" t="n">
        <v>41.86</v>
      </c>
      <c r="D10887" s="216" t="n">
        <v>1.171705007553101</v>
      </c>
      <c r="E10887" s="215" t="n">
        <v>46287</v>
      </c>
      <c r="F10887" s="215" t="n">
        <v>46287</v>
      </c>
    </row>
    <row r="10888">
      <c r="A10888" s="215" t="n">
        <v>46288</v>
      </c>
      <c r="B10888" s="216" t="n">
        <v>37.82</v>
      </c>
      <c r="C10888" s="216" t="n">
        <v>41.4</v>
      </c>
      <c r="D10888" s="216" t="n">
        <v>1.170611023902893</v>
      </c>
      <c r="E10888" s="215" t="n">
        <v>46288</v>
      </c>
      <c r="F10888" s="215" t="n">
        <v>46288</v>
      </c>
    </row>
    <row r="10889">
      <c r="A10889" s="215" t="n">
        <v>46289</v>
      </c>
      <c r="B10889" s="216" t="n">
        <v>36.3</v>
      </c>
      <c r="C10889" s="216" t="n">
        <v>40.48</v>
      </c>
      <c r="D10889" s="216" t="n">
        <v>1.16852605342865</v>
      </c>
      <c r="E10889" s="215" t="n">
        <v>46289</v>
      </c>
      <c r="F10889" s="215" t="n">
        <v>46289</v>
      </c>
    </row>
    <row r="10890">
      <c r="A10890" s="215" t="n">
        <v>46290</v>
      </c>
      <c r="B10890" s="216" t="n">
        <v>35.84</v>
      </c>
      <c r="C10890" s="216" t="n">
        <v>40.48</v>
      </c>
      <c r="D10890" s="216" t="n">
        <v>1.168424010276794</v>
      </c>
      <c r="E10890" s="215" t="n">
        <v>46289</v>
      </c>
      <c r="F10890" s="215" t="n">
        <v>46290</v>
      </c>
    </row>
    <row r="10891">
      <c r="A10891" s="215" t="n">
        <v>46293</v>
      </c>
      <c r="B10891" s="216" t="n">
        <v>37.12</v>
      </c>
      <c r="C10891" s="216" t="n">
        <v>41.71</v>
      </c>
      <c r="D10891" s="216" t="n">
        <v>1.168378949165344</v>
      </c>
      <c r="E10891" s="215" t="n">
        <v>46293</v>
      </c>
      <c r="F10891" s="215" t="n">
        <v>46293</v>
      </c>
    </row>
    <row r="10892">
      <c r="A10892" s="215" t="n">
        <v>46294</v>
      </c>
      <c r="B10892" s="216" t="n">
        <v>37.66</v>
      </c>
      <c r="C10892" s="216" t="n">
        <v>42.29</v>
      </c>
      <c r="D10892" s="216" t="n">
        <v>1.168815970420837</v>
      </c>
      <c r="E10892" s="215" t="n">
        <v>46294</v>
      </c>
      <c r="F10892" s="215" t="n">
        <v>46294</v>
      </c>
    </row>
    <row r="10893">
      <c r="A10893" s="215" t="n">
        <v>46295</v>
      </c>
      <c r="B10893" s="216" t="n">
        <v>37.84</v>
      </c>
      <c r="C10893" s="216" t="n">
        <v>42.45</v>
      </c>
      <c r="D10893" s="216" t="n">
        <v>1.17059600353241</v>
      </c>
      <c r="E10893" s="215" t="n">
        <v>46295</v>
      </c>
      <c r="F10893" s="215" t="n">
        <v>46295</v>
      </c>
    </row>
    <row r="10894">
      <c r="A10894" s="215" t="n">
        <v>46297</v>
      </c>
      <c r="B10894" s="216" t="n">
        <v>36.78</v>
      </c>
      <c r="C10894" s="216" t="n">
        <v>42.45</v>
      </c>
      <c r="D10894" s="216" t="n">
        <v>1.170220971107483</v>
      </c>
      <c r="E10894" s="215" t="n">
        <v>46295</v>
      </c>
      <c r="F10894" s="215" t="n">
        <v>46297</v>
      </c>
    </row>
    <row r="10895">
      <c r="A10895" s="215" t="n">
        <v>45831</v>
      </c>
      <c r="B10895" s="216" t="n">
        <v>22.5</v>
      </c>
      <c r="C10895" s="216" t="n">
        <v>24.5</v>
      </c>
      <c r="D10895" s="216" t="n">
        <v>1.091856002807617</v>
      </c>
      <c r="E10895" s="215" t="n">
        <v>45831</v>
      </c>
      <c r="F10895" s="215" t="n">
        <v>45831</v>
      </c>
    </row>
    <row r="10896">
      <c r="A10896" s="215" t="n">
        <v>45832</v>
      </c>
      <c r="B10896" s="216" t="n">
        <v>24.85</v>
      </c>
      <c r="C10896" s="216" t="n">
        <v>25.7</v>
      </c>
      <c r="D10896" s="216" t="n">
        <v>1.093309044837952</v>
      </c>
      <c r="E10896" s="215" t="n">
        <v>45832</v>
      </c>
      <c r="F10896" s="215" t="n">
        <v>45832</v>
      </c>
    </row>
    <row r="10897">
      <c r="A10897" s="215" t="n">
        <v>45833</v>
      </c>
      <c r="B10897" s="216" t="n">
        <v>26.35</v>
      </c>
      <c r="C10897" s="216" t="n">
        <v>26.49</v>
      </c>
      <c r="D10897" s="216" t="n">
        <v>1.094483971595764</v>
      </c>
      <c r="E10897" s="215" t="n">
        <v>45833</v>
      </c>
      <c r="F10897" s="215" t="n">
        <v>45833</v>
      </c>
    </row>
    <row r="10898">
      <c r="A10898" s="215" t="n">
        <v>45834</v>
      </c>
      <c r="B10898" s="216" t="n">
        <v>25</v>
      </c>
      <c r="C10898" s="216" t="n">
        <v>26.12</v>
      </c>
      <c r="D10898" s="216" t="n">
        <v>1.093523025512695</v>
      </c>
      <c r="E10898" s="215" t="n">
        <v>45834</v>
      </c>
      <c r="F10898" s="215" t="n">
        <v>45834</v>
      </c>
    </row>
    <row r="10899">
      <c r="A10899" s="215" t="n">
        <v>45835</v>
      </c>
      <c r="B10899" s="216" t="n">
        <v>24.3</v>
      </c>
      <c r="C10899" s="216" t="n">
        <v>26.04</v>
      </c>
      <c r="D10899" s="216" t="n">
        <v>1.095173001289368</v>
      </c>
      <c r="E10899" s="215" t="n">
        <v>45835</v>
      </c>
      <c r="F10899" s="215" t="n">
        <v>45835</v>
      </c>
    </row>
    <row r="10900">
      <c r="A10900" s="215" t="n">
        <v>45838</v>
      </c>
      <c r="B10900" s="216" t="n">
        <v>25.15</v>
      </c>
      <c r="C10900" s="216" t="n">
        <v>26.38</v>
      </c>
      <c r="D10900" s="216" t="n">
        <v>1.094328045845032</v>
      </c>
      <c r="E10900" s="215" t="n">
        <v>45838</v>
      </c>
      <c r="F10900" s="215" t="n">
        <v>45838</v>
      </c>
    </row>
    <row r="10901">
      <c r="A10901" s="215" t="n">
        <v>45840</v>
      </c>
      <c r="B10901" s="216" t="n">
        <v>24.2</v>
      </c>
      <c r="C10901" s="216" t="n">
        <v>25.76</v>
      </c>
      <c r="D10901" s="216" t="n">
        <v>1.095211982727051</v>
      </c>
      <c r="E10901" s="215" t="n">
        <v>45840</v>
      </c>
      <c r="F10901" s="215" t="n">
        <v>45840</v>
      </c>
    </row>
    <row r="10902">
      <c r="A10902" s="215" t="n">
        <v>45841</v>
      </c>
      <c r="B10902" s="216" t="n">
        <v>24.3</v>
      </c>
      <c r="C10902" s="216" t="n">
        <v>25.96</v>
      </c>
      <c r="D10902" s="216" t="n">
        <v>1.095422029495239</v>
      </c>
      <c r="E10902" s="215" t="n">
        <v>45841</v>
      </c>
      <c r="F10902" s="215" t="n">
        <v>45841</v>
      </c>
    </row>
    <row r="10903">
      <c r="A10903" s="215" t="n">
        <v>45842</v>
      </c>
      <c r="B10903" s="216" t="n">
        <v>23.1</v>
      </c>
      <c r="C10903" s="216" t="n">
        <v>25.67</v>
      </c>
      <c r="D10903" s="216" t="n">
        <v>1.095221042633057</v>
      </c>
      <c r="E10903" s="215" t="n">
        <v>45842</v>
      </c>
      <c r="F10903" s="215" t="n">
        <v>45842</v>
      </c>
    </row>
    <row r="10904">
      <c r="A10904" s="215" t="n">
        <v>45845</v>
      </c>
      <c r="B10904" s="216" t="n">
        <v>22.95</v>
      </c>
      <c r="C10904" s="216" t="n">
        <v>25.17</v>
      </c>
      <c r="D10904" s="216" t="n">
        <v>1.095430970191956</v>
      </c>
      <c r="E10904" s="215" t="n">
        <v>45845</v>
      </c>
      <c r="F10904" s="215" t="n">
        <v>45845</v>
      </c>
    </row>
    <row r="10905">
      <c r="A10905" s="215" t="n">
        <v>45846</v>
      </c>
      <c r="B10905" s="216" t="n">
        <v>23</v>
      </c>
      <c r="C10905" s="216" t="n">
        <v>25.47</v>
      </c>
      <c r="D10905" s="216" t="n">
        <v>1.093924999237061</v>
      </c>
      <c r="E10905" s="215" t="n">
        <v>45846</v>
      </c>
      <c r="F10905" s="215" t="n">
        <v>45846</v>
      </c>
    </row>
    <row r="10906">
      <c r="A10906" s="215" t="n">
        <v>45847</v>
      </c>
      <c r="B10906" s="216" t="n">
        <v>23.7</v>
      </c>
      <c r="C10906" s="216" t="n">
        <v>25.47</v>
      </c>
      <c r="D10906" s="216" t="n">
        <v>1.094220995903015</v>
      </c>
      <c r="E10906" s="215" t="n">
        <v>45847</v>
      </c>
      <c r="F10906" s="215" t="n">
        <v>45847</v>
      </c>
    </row>
    <row r="10907">
      <c r="A10907" s="215" t="n">
        <v>45848</v>
      </c>
      <c r="B10907" s="216" t="n">
        <v>23.3</v>
      </c>
      <c r="C10907" s="216" t="n">
        <v>25.42</v>
      </c>
      <c r="D10907" s="216" t="n">
        <v>1.093220949172974</v>
      </c>
      <c r="E10907" s="215" t="n">
        <v>45848</v>
      </c>
      <c r="F10907" s="215" t="n">
        <v>45848</v>
      </c>
    </row>
    <row r="10908">
      <c r="A10908" s="215" t="n">
        <v>45849</v>
      </c>
      <c r="B10908" s="216" t="n">
        <v>23.25</v>
      </c>
      <c r="C10908" s="216" t="n">
        <v>25.75</v>
      </c>
      <c r="D10908" s="216" t="n">
        <v>1.093930959701538</v>
      </c>
      <c r="E10908" s="215" t="n">
        <v>45849</v>
      </c>
      <c r="F10908" s="215" t="n">
        <v>45849</v>
      </c>
    </row>
    <row r="10909">
      <c r="A10909" s="215" t="n">
        <v>45852</v>
      </c>
      <c r="B10909" s="216" t="n">
        <v>23</v>
      </c>
      <c r="C10909" s="216" t="n">
        <v>25.87</v>
      </c>
      <c r="D10909" s="216" t="n">
        <v>1.095023989677429</v>
      </c>
      <c r="E10909" s="215" t="n">
        <v>45852</v>
      </c>
      <c r="F10909" s="215" t="n">
        <v>45852</v>
      </c>
    </row>
    <row r="10910">
      <c r="A10910" s="215" t="n">
        <v>45853</v>
      </c>
      <c r="B10910" s="216" t="n">
        <v>23.9</v>
      </c>
      <c r="C10910" s="216" t="n">
        <v>26.7</v>
      </c>
      <c r="D10910" s="216" t="n">
        <v>1.095172047615051</v>
      </c>
      <c r="E10910" s="215" t="n">
        <v>45853</v>
      </c>
      <c r="F10910" s="215" t="n">
        <v>45853</v>
      </c>
    </row>
    <row r="10911">
      <c r="A10911" s="215" t="n">
        <v>45854</v>
      </c>
      <c r="B10911" s="216" t="n">
        <v>25.9</v>
      </c>
      <c r="C10911" s="216" t="n">
        <v>27.53</v>
      </c>
      <c r="D10911" s="216" t="n">
        <v>1.094182014465332</v>
      </c>
      <c r="E10911" s="215" t="n">
        <v>45854</v>
      </c>
      <c r="F10911" s="215" t="n">
        <v>45854</v>
      </c>
    </row>
    <row r="10912">
      <c r="A10912" s="215" t="n">
        <v>45855</v>
      </c>
      <c r="B10912" s="216" t="n">
        <v>27.85</v>
      </c>
      <c r="C10912" s="216" t="n">
        <v>27.9</v>
      </c>
      <c r="D10912" s="216" t="n">
        <v>1.093484044075012</v>
      </c>
      <c r="E10912" s="215" t="n">
        <v>45855</v>
      </c>
      <c r="F10912" s="215" t="n">
        <v>45855</v>
      </c>
    </row>
    <row r="10913">
      <c r="A10913" s="215" t="n">
        <v>45856</v>
      </c>
      <c r="B10913" s="216" t="n">
        <v>28.1</v>
      </c>
      <c r="C10913" s="216" t="n">
        <v>27.68</v>
      </c>
      <c r="D10913" s="216" t="n">
        <v>1.092442035675049</v>
      </c>
      <c r="E10913" s="215" t="n">
        <v>45856</v>
      </c>
      <c r="F10913" s="215" t="n">
        <v>45856</v>
      </c>
    </row>
    <row r="10914">
      <c r="A10914" s="215" t="n">
        <v>45859</v>
      </c>
      <c r="B10914" s="216" t="n">
        <v>28</v>
      </c>
      <c r="C10914" s="216" t="n">
        <v>27.8</v>
      </c>
      <c r="D10914" s="216" t="n">
        <v>1.093299984931946</v>
      </c>
      <c r="E10914" s="215" t="n">
        <v>45859</v>
      </c>
      <c r="F10914" s="215" t="n">
        <v>45859</v>
      </c>
    </row>
    <row r="10915">
      <c r="A10915" s="215" t="n">
        <v>45860</v>
      </c>
      <c r="B10915" s="216" t="n">
        <v>27.85</v>
      </c>
      <c r="C10915" s="216" t="n">
        <v>27.62</v>
      </c>
      <c r="D10915" s="216" t="n">
        <v>1.093826055526733</v>
      </c>
      <c r="E10915" s="215" t="n">
        <v>45860</v>
      </c>
      <c r="F10915" s="215" t="n">
        <v>45860</v>
      </c>
    </row>
    <row r="10916">
      <c r="A10916" s="215" t="n">
        <v>45861</v>
      </c>
      <c r="B10916" s="216" t="n">
        <v>28.5</v>
      </c>
      <c r="C10916" s="216" t="n">
        <v>27.46</v>
      </c>
      <c r="D10916" s="216" t="n">
        <v>1.094056010246277</v>
      </c>
      <c r="E10916" s="215" t="n">
        <v>45861</v>
      </c>
      <c r="F10916" s="215" t="n">
        <v>45861</v>
      </c>
    </row>
    <row r="10917">
      <c r="A10917" s="215" t="n">
        <v>45862</v>
      </c>
      <c r="B10917" s="216" t="n">
        <v>28.5</v>
      </c>
      <c r="C10917" s="216" t="n">
        <v>27.79</v>
      </c>
      <c r="D10917" s="216" t="n">
        <v>1.096284031867981</v>
      </c>
      <c r="E10917" s="215" t="n">
        <v>45862</v>
      </c>
      <c r="F10917" s="215" t="n">
        <v>45862</v>
      </c>
    </row>
    <row r="10918">
      <c r="A10918" s="215" t="n">
        <v>45863</v>
      </c>
      <c r="B10918" s="216" t="n">
        <v>26.9</v>
      </c>
      <c r="C10918" s="216" t="n">
        <v>27.07</v>
      </c>
      <c r="D10918" s="216" t="n">
        <v>1.097048044204712</v>
      </c>
      <c r="E10918" s="215" t="n">
        <v>45863</v>
      </c>
      <c r="F10918" s="215" t="n">
        <v>45863</v>
      </c>
    </row>
    <row r="10919">
      <c r="A10919" s="215" t="n">
        <v>45866</v>
      </c>
      <c r="B10919" s="216" t="n">
        <v>26.65</v>
      </c>
      <c r="C10919" s="216" t="n">
        <v>27.34</v>
      </c>
      <c r="D10919" s="216" t="n">
        <v>1.097200989723206</v>
      </c>
      <c r="E10919" s="215" t="n">
        <v>45866</v>
      </c>
      <c r="F10919" s="215" t="n">
        <v>45866</v>
      </c>
    </row>
    <row r="10920">
      <c r="A10920" s="215" t="n">
        <v>45867</v>
      </c>
      <c r="B10920" s="216" t="n">
        <v>26.6</v>
      </c>
      <c r="C10920" s="216" t="n">
        <v>27.16</v>
      </c>
      <c r="D10920" s="216" t="n">
        <v>1.093530058860779</v>
      </c>
      <c r="E10920" s="215" t="n">
        <v>45867</v>
      </c>
      <c r="F10920" s="215" t="n">
        <v>45867</v>
      </c>
    </row>
    <row r="10921">
      <c r="A10921" s="215" t="n">
        <v>45868</v>
      </c>
      <c r="B10921" s="216" t="n">
        <v>25.8</v>
      </c>
      <c r="C10921" s="216" t="n">
        <v>26.62</v>
      </c>
      <c r="D10921" s="216" t="n">
        <v>1.093464970588684</v>
      </c>
      <c r="E10921" s="215" t="n">
        <v>45868</v>
      </c>
      <c r="F10921" s="215" t="n">
        <v>45868</v>
      </c>
    </row>
    <row r="10922">
      <c r="A10922" s="215" t="n">
        <v>45869</v>
      </c>
      <c r="B10922" s="216" t="n">
        <v>26.15</v>
      </c>
      <c r="C10922" s="216" t="n">
        <v>26.45</v>
      </c>
      <c r="D10922" s="216" t="n">
        <v>1.093583941459656</v>
      </c>
      <c r="E10922" s="215" t="n">
        <v>45869</v>
      </c>
      <c r="F10922" s="215" t="n">
        <v>45869</v>
      </c>
    </row>
    <row r="10923">
      <c r="A10923" s="215" t="n">
        <v>45870</v>
      </c>
      <c r="B10923" s="216" t="n">
        <v>26.15</v>
      </c>
      <c r="C10923" s="216" t="n">
        <v>26.31</v>
      </c>
      <c r="D10923" s="216" t="n">
        <v>1.090090990066528</v>
      </c>
      <c r="E10923" s="215" t="n">
        <v>45870</v>
      </c>
      <c r="F10923" s="215" t="n">
        <v>45870</v>
      </c>
    </row>
    <row r="10924">
      <c r="A10924" s="215" t="n">
        <v>45873</v>
      </c>
      <c r="B10924" s="216" t="n">
        <v>27.06</v>
      </c>
      <c r="C10924" s="216" t="n">
        <v>26.86</v>
      </c>
      <c r="D10924" s="216" t="n">
        <v>1.088384985923767</v>
      </c>
      <c r="E10924" s="215" t="n">
        <v>45873</v>
      </c>
      <c r="F10924" s="215" t="n">
        <v>45873</v>
      </c>
    </row>
    <row r="10925">
      <c r="A10925" s="215" t="n">
        <v>45874</v>
      </c>
      <c r="B10925" s="216" t="n">
        <v>26.8</v>
      </c>
      <c r="C10925" s="216" t="n">
        <v>26.92</v>
      </c>
      <c r="D10925" s="216" t="n">
        <v>1.093202948570251</v>
      </c>
      <c r="E10925" s="215" t="n">
        <v>45874</v>
      </c>
      <c r="F10925" s="215" t="n">
        <v>45874</v>
      </c>
    </row>
    <row r="10926">
      <c r="A10926" s="215" t="n">
        <v>45875</v>
      </c>
      <c r="B10926" s="216" t="n">
        <v>27.88</v>
      </c>
      <c r="C10926" s="216" t="n">
        <v>27.65</v>
      </c>
      <c r="D10926" s="216" t="n">
        <v>1.092388987541199</v>
      </c>
      <c r="E10926" s="215" t="n">
        <v>45875</v>
      </c>
      <c r="F10926" s="215" t="n">
        <v>45875</v>
      </c>
    </row>
    <row r="10927">
      <c r="A10927" s="215" t="n">
        <v>45876</v>
      </c>
      <c r="B10927" s="216" t="n">
        <v>28.18</v>
      </c>
      <c r="C10927" s="216" t="n">
        <v>27.37</v>
      </c>
      <c r="D10927" s="216" t="n">
        <v>1.092599034309387</v>
      </c>
      <c r="E10927" s="215" t="n">
        <v>45876</v>
      </c>
      <c r="F10927" s="215" t="n">
        <v>45876</v>
      </c>
    </row>
    <row r="10928">
      <c r="A10928" s="215" t="n">
        <v>45877</v>
      </c>
      <c r="B10928" s="216" t="n">
        <v>27.5</v>
      </c>
      <c r="C10928" s="216" t="n">
        <v>26.85</v>
      </c>
      <c r="D10928" s="216" t="n">
        <v>1.092857956886292</v>
      </c>
      <c r="E10928" s="215" t="n">
        <v>45877</v>
      </c>
      <c r="F10928" s="215" t="n">
        <v>45877</v>
      </c>
    </row>
    <row r="10929">
      <c r="A10929" s="215" t="n">
        <v>45880</v>
      </c>
      <c r="B10929" s="216" t="n">
        <v>27.5</v>
      </c>
      <c r="C10929" s="216" t="n">
        <v>27.01</v>
      </c>
      <c r="D10929" s="216" t="n">
        <v>1.093001961708069</v>
      </c>
      <c r="E10929" s="215" t="n">
        <v>45880</v>
      </c>
      <c r="F10929" s="215" t="n">
        <v>45880</v>
      </c>
    </row>
    <row r="10930">
      <c r="A10930" s="215" t="n">
        <v>45881</v>
      </c>
      <c r="B10930" s="216" t="n">
        <v>27.26</v>
      </c>
      <c r="C10930" s="216" t="n">
        <v>26.91</v>
      </c>
      <c r="D10930" s="216" t="n">
        <v>1.091938018798828</v>
      </c>
      <c r="E10930" s="215" t="n">
        <v>45881</v>
      </c>
      <c r="F10930" s="215" t="n">
        <v>45881</v>
      </c>
    </row>
    <row r="10931">
      <c r="A10931" s="215" t="n">
        <v>45882</v>
      </c>
      <c r="B10931" s="216" t="n">
        <v>27.76</v>
      </c>
      <c r="C10931" s="216" t="n">
        <v>27.63</v>
      </c>
      <c r="D10931" s="216" t="n">
        <v>1.093171000480652</v>
      </c>
      <c r="E10931" s="215" t="n">
        <v>45882</v>
      </c>
      <c r="F10931" s="215" t="n">
        <v>45882</v>
      </c>
    </row>
    <row r="10932">
      <c r="A10932" s="215" t="n">
        <v>45883</v>
      </c>
      <c r="B10932" s="216" t="n">
        <v>27.1</v>
      </c>
      <c r="C10932" s="216" t="n">
        <v>27.17</v>
      </c>
      <c r="D10932" s="216" t="n">
        <v>1.093981027603149</v>
      </c>
      <c r="E10932" s="215" t="n">
        <v>45883</v>
      </c>
      <c r="F10932" s="215" t="n">
        <v>45883</v>
      </c>
    </row>
    <row r="10933">
      <c r="A10933" s="215" t="n">
        <v>45884</v>
      </c>
      <c r="B10933" s="216" t="n">
        <v>28.3</v>
      </c>
      <c r="C10933" s="216" t="n">
        <v>28.53</v>
      </c>
      <c r="D10933" s="216" t="n">
        <v>1.091035962104797</v>
      </c>
      <c r="E10933" s="215" t="n">
        <v>45884</v>
      </c>
      <c r="F10933" s="215" t="n">
        <v>45884</v>
      </c>
    </row>
    <row r="10934">
      <c r="A10934" s="215" t="n">
        <v>45887</v>
      </c>
      <c r="B10934" s="216" t="n">
        <v>28.4</v>
      </c>
      <c r="C10934" s="216" t="n">
        <v>28.92</v>
      </c>
      <c r="D10934" s="216" t="n">
        <v>1.089409947395325</v>
      </c>
      <c r="E10934" s="215" t="n">
        <v>45887</v>
      </c>
      <c r="F10934" s="215" t="n">
        <v>45887</v>
      </c>
    </row>
    <row r="10935">
      <c r="A10935" s="215" t="n">
        <v>45888</v>
      </c>
      <c r="B10935" s="216" t="n">
        <v>30.1</v>
      </c>
      <c r="C10935" s="216" t="n">
        <v>30.46</v>
      </c>
      <c r="D10935" s="216" t="n">
        <v>1.088366031646729</v>
      </c>
      <c r="E10935" s="215" t="n">
        <v>45888</v>
      </c>
      <c r="F10935" s="215" t="n">
        <v>45888</v>
      </c>
    </row>
    <row r="10936">
      <c r="A10936" s="215" t="n">
        <v>45889</v>
      </c>
      <c r="B10936" s="216" t="n">
        <v>29.14</v>
      </c>
      <c r="C10936" s="216" t="n">
        <v>30.36</v>
      </c>
      <c r="D10936" s="216" t="n">
        <v>1.085826992988586</v>
      </c>
      <c r="E10936" s="215" t="n">
        <v>45889</v>
      </c>
      <c r="F10936" s="215" t="n">
        <v>45889</v>
      </c>
    </row>
    <row r="10937">
      <c r="A10937" s="215" t="n">
        <v>45890</v>
      </c>
      <c r="B10937" s="216" t="n">
        <v>29.68</v>
      </c>
      <c r="C10937" s="216" t="n">
        <v>30.81</v>
      </c>
      <c r="D10937" s="216" t="n">
        <v>1.088521003723145</v>
      </c>
      <c r="E10937" s="215" t="n">
        <v>45890</v>
      </c>
      <c r="F10937" s="215" t="n">
        <v>45890</v>
      </c>
    </row>
    <row r="10938">
      <c r="A10938" s="215" t="n">
        <v>45891</v>
      </c>
      <c r="B10938" s="216" t="n">
        <v>29.8</v>
      </c>
      <c r="C10938" s="216" t="n">
        <v>30.88</v>
      </c>
      <c r="D10938" s="216" t="n">
        <v>1.08814001083374</v>
      </c>
      <c r="E10938" s="215" t="n">
        <v>45891</v>
      </c>
      <c r="F10938" s="215" t="n">
        <v>45891</v>
      </c>
    </row>
    <row r="10939">
      <c r="A10939" s="215" t="n">
        <v>45894</v>
      </c>
      <c r="B10939" s="216" t="n">
        <v>29.64</v>
      </c>
      <c r="C10939" s="216" t="n">
        <v>31.01</v>
      </c>
      <c r="D10939" s="216" t="n">
        <v>1.090230941772461</v>
      </c>
      <c r="E10939" s="215" t="n">
        <v>45894</v>
      </c>
      <c r="F10939" s="215" t="n">
        <v>45894</v>
      </c>
    </row>
    <row r="10940">
      <c r="A10940" s="215" t="n">
        <v>45895</v>
      </c>
      <c r="B10940" s="216" t="n">
        <v>29.9</v>
      </c>
      <c r="C10940" s="216" t="n">
        <v>30.66</v>
      </c>
      <c r="D10940" s="216" t="n">
        <v>1.09236204624176</v>
      </c>
      <c r="E10940" s="215" t="n">
        <v>45895</v>
      </c>
      <c r="F10940" s="215" t="n">
        <v>45895</v>
      </c>
    </row>
    <row r="10941">
      <c r="A10941" s="215" t="n">
        <v>45896</v>
      </c>
      <c r="B10941" s="216" t="n">
        <v>30.4</v>
      </c>
      <c r="C10941" s="216" t="n">
        <v>30.44</v>
      </c>
      <c r="D10941" s="216" t="n">
        <v>1.089414000511169</v>
      </c>
      <c r="E10941" s="215" t="n">
        <v>45896</v>
      </c>
      <c r="F10941" s="215" t="n">
        <v>45896</v>
      </c>
    </row>
    <row r="10942">
      <c r="A10942" s="215" t="n">
        <v>45897</v>
      </c>
      <c r="B10942" s="216" t="n">
        <v>31.82</v>
      </c>
      <c r="C10942" s="216" t="n">
        <v>31.68</v>
      </c>
      <c r="D10942" s="216" t="n">
        <v>1.088047027587891</v>
      </c>
      <c r="E10942" s="215" t="n">
        <v>45897</v>
      </c>
      <c r="F10942" s="215" t="n">
        <v>45897</v>
      </c>
    </row>
    <row r="10943">
      <c r="A10943" s="215" t="n">
        <v>45898</v>
      </c>
      <c r="B10943" s="216" t="n">
        <v>31.16</v>
      </c>
      <c r="C10943" s="216" t="n">
        <v>31.88</v>
      </c>
      <c r="D10943" s="216" t="n">
        <v>1.089478969573975</v>
      </c>
      <c r="E10943" s="215" t="n">
        <v>45898</v>
      </c>
      <c r="F10943" s="215" t="n">
        <v>45898</v>
      </c>
    </row>
    <row r="10944">
      <c r="A10944" s="215" t="n">
        <v>45901</v>
      </c>
      <c r="B10944" s="216" t="n">
        <v>30.82</v>
      </c>
      <c r="C10944" s="216" t="n">
        <v>31.89</v>
      </c>
      <c r="D10944" s="216" t="n">
        <v>1.09319794178009</v>
      </c>
      <c r="E10944" s="215" t="n">
        <v>45901</v>
      </c>
      <c r="F10944" s="215" t="n">
        <v>45901</v>
      </c>
    </row>
    <row r="10945">
      <c r="A10945" s="215" t="n">
        <v>45902</v>
      </c>
      <c r="B10945" s="216" t="n">
        <v>31.22</v>
      </c>
      <c r="C10945" s="216" t="n">
        <v>33</v>
      </c>
      <c r="D10945" s="216" t="n">
        <v>1.093255043029785</v>
      </c>
      <c r="E10945" s="215" t="n">
        <v>45902</v>
      </c>
      <c r="F10945" s="215" t="n">
        <v>45902</v>
      </c>
    </row>
    <row r="10946">
      <c r="A10946" s="215" t="n">
        <v>45903</v>
      </c>
      <c r="B10946" s="216" t="n">
        <v>30.04</v>
      </c>
      <c r="C10946" s="216" t="n">
        <v>31.25</v>
      </c>
      <c r="D10946" s="216" t="n">
        <v>1.09343695640564</v>
      </c>
      <c r="E10946" s="215" t="n">
        <v>45903</v>
      </c>
      <c r="F10946" s="215" t="n">
        <v>45903</v>
      </c>
    </row>
    <row r="10947">
      <c r="A10947" s="215" t="n">
        <v>45904</v>
      </c>
      <c r="B10947" s="216" t="n">
        <v>28.58</v>
      </c>
      <c r="C10947" s="216" t="n">
        <v>29.79</v>
      </c>
      <c r="D10947" s="216" t="n">
        <v>1.092192053794861</v>
      </c>
      <c r="E10947" s="215" t="n">
        <v>45904</v>
      </c>
      <c r="F10947" s="215" t="n">
        <v>45904</v>
      </c>
    </row>
    <row r="10948">
      <c r="A10948" s="215" t="n">
        <v>45905</v>
      </c>
      <c r="B10948" s="216" t="n">
        <v>29.32</v>
      </c>
      <c r="C10948" s="216" t="n">
        <v>30.7</v>
      </c>
      <c r="D10948" s="216" t="n">
        <v>1.092169046401978</v>
      </c>
      <c r="E10948" s="215" t="n">
        <v>45905</v>
      </c>
      <c r="F10948" s="215" t="n">
        <v>45905</v>
      </c>
    </row>
    <row r="10949">
      <c r="A10949" s="215" t="n">
        <v>45908</v>
      </c>
      <c r="B10949" s="216" t="n">
        <v>33.76</v>
      </c>
      <c r="C10949" s="216" t="n">
        <v>33.77</v>
      </c>
      <c r="D10949" s="216" t="n">
        <v>1.093217015266418</v>
      </c>
      <c r="E10949" s="215" t="n">
        <v>45908</v>
      </c>
      <c r="F10949" s="215" t="n">
        <v>45908</v>
      </c>
    </row>
    <row r="10950">
      <c r="A10950" s="215" t="n">
        <v>45909</v>
      </c>
      <c r="B10950" s="216" t="n">
        <v>32.04</v>
      </c>
      <c r="C10950" s="216" t="n">
        <v>34.04</v>
      </c>
      <c r="D10950" s="216" t="n">
        <v>1.092916965484619</v>
      </c>
      <c r="E10950" s="215" t="n">
        <v>45909</v>
      </c>
      <c r="F10950" s="215" t="n">
        <v>45909</v>
      </c>
    </row>
    <row r="10951">
      <c r="A10951" s="215" t="n">
        <v>45910</v>
      </c>
      <c r="B10951" s="216" t="n">
        <v>31.44</v>
      </c>
      <c r="C10951" s="216" t="n">
        <v>33.5</v>
      </c>
      <c r="D10951" s="216" t="n">
        <v>1.093482971191406</v>
      </c>
      <c r="E10951" s="215" t="n">
        <v>45910</v>
      </c>
      <c r="F10951" s="215" t="n">
        <v>45910</v>
      </c>
    </row>
    <row r="10952">
      <c r="A10952" s="215" t="n">
        <v>45911</v>
      </c>
      <c r="B10952" s="216" t="n">
        <v>32.44</v>
      </c>
      <c r="C10952" s="216" t="n">
        <v>34.76</v>
      </c>
      <c r="D10952" s="216" t="n">
        <v>1.093762993812561</v>
      </c>
      <c r="E10952" s="215" t="n">
        <v>45911</v>
      </c>
      <c r="F10952" s="215" t="n">
        <v>45911</v>
      </c>
    </row>
    <row r="10953">
      <c r="A10953" s="215" t="n">
        <v>45912</v>
      </c>
      <c r="B10953" s="216" t="n">
        <v>32.12</v>
      </c>
      <c r="C10953" s="216" t="n">
        <v>34.5</v>
      </c>
      <c r="D10953" s="216" t="n">
        <v>1.094014048576355</v>
      </c>
      <c r="E10953" s="215" t="n">
        <v>45912</v>
      </c>
      <c r="F10953" s="215" t="n">
        <v>45912</v>
      </c>
    </row>
    <row r="10954">
      <c r="A10954" s="215" t="n">
        <v>45915</v>
      </c>
      <c r="B10954" s="216" t="n">
        <v>32.9</v>
      </c>
      <c r="C10954" s="216" t="n">
        <v>35.66</v>
      </c>
      <c r="D10954" s="216" t="n">
        <v>1.091848969459534</v>
      </c>
      <c r="E10954" s="215" t="n">
        <v>45915</v>
      </c>
      <c r="F10954" s="215" t="n">
        <v>45915</v>
      </c>
    </row>
    <row r="10955">
      <c r="A10955" s="215" t="n">
        <v>45916</v>
      </c>
      <c r="B10955" s="216" t="n">
        <v>37.12</v>
      </c>
      <c r="C10955" s="216" t="n">
        <v>39.23</v>
      </c>
      <c r="D10955" s="216" t="n">
        <v>1.092795968055725</v>
      </c>
      <c r="E10955" s="215" t="n">
        <v>45916</v>
      </c>
      <c r="F10955" s="215" t="n">
        <v>45916</v>
      </c>
    </row>
    <row r="10956">
      <c r="A10956" s="215" t="n">
        <v>45917</v>
      </c>
      <c r="B10956" s="216" t="n">
        <v>39.02</v>
      </c>
      <c r="C10956" s="216" t="n">
        <v>41.9</v>
      </c>
      <c r="D10956" s="216" t="n">
        <v>1.093690991401672</v>
      </c>
      <c r="E10956" s="215" t="n">
        <v>45917</v>
      </c>
      <c r="F10956" s="215" t="n">
        <v>45917</v>
      </c>
    </row>
    <row r="10957">
      <c r="A10957" s="215" t="n">
        <v>45918</v>
      </c>
      <c r="B10957" s="216" t="n">
        <v>40.92</v>
      </c>
      <c r="C10957" s="216" t="n">
        <v>45.55</v>
      </c>
      <c r="D10957" s="216" t="n">
        <v>1.094727993011475</v>
      </c>
      <c r="E10957" s="215" t="n">
        <v>45918</v>
      </c>
      <c r="F10957" s="215" t="n">
        <v>45918</v>
      </c>
    </row>
    <row r="10958">
      <c r="A10958" s="215" t="n">
        <v>45919</v>
      </c>
      <c r="B10958" s="216" t="n">
        <v>38.38</v>
      </c>
      <c r="C10958" s="216" t="n">
        <v>41.65</v>
      </c>
      <c r="D10958" s="216" t="n">
        <v>1.093201994895935</v>
      </c>
      <c r="E10958" s="215" t="n">
        <v>45919</v>
      </c>
      <c r="F10958" s="215" t="n">
        <v>45919</v>
      </c>
    </row>
    <row r="10959">
      <c r="A10959" s="215" t="n">
        <v>45922</v>
      </c>
      <c r="B10959" s="216" t="n">
        <v>39.8</v>
      </c>
      <c r="C10959" s="216" t="n">
        <v>42.97</v>
      </c>
      <c r="D10959" s="216" t="n">
        <v>1.092589020729065</v>
      </c>
      <c r="E10959" s="215" t="n">
        <v>45922</v>
      </c>
      <c r="F10959" s="215" t="n">
        <v>45922</v>
      </c>
    </row>
    <row r="10960">
      <c r="A10960" s="215" t="n">
        <v>45923</v>
      </c>
      <c r="B10960" s="216" t="n">
        <v>40.02</v>
      </c>
      <c r="C10960" s="216" t="n">
        <v>45.03</v>
      </c>
      <c r="D10960" s="216" t="n">
        <v>1.0920250415802</v>
      </c>
      <c r="E10960" s="215" t="n">
        <v>45923</v>
      </c>
      <c r="F10960" s="215" t="n">
        <v>45923</v>
      </c>
    </row>
    <row r="10961">
      <c r="A10961" s="215" t="n">
        <v>45924</v>
      </c>
      <c r="B10961" s="216" t="n">
        <v>39.48</v>
      </c>
      <c r="C10961" s="216" t="n">
        <v>44.55</v>
      </c>
      <c r="D10961" s="216" t="n">
        <v>1.093196988105774</v>
      </c>
      <c r="E10961" s="215" t="n">
        <v>45924</v>
      </c>
      <c r="F10961" s="215" t="n">
        <v>45924</v>
      </c>
    </row>
    <row r="10962">
      <c r="A10962" s="215" t="n">
        <v>45925</v>
      </c>
      <c r="B10962" s="216" t="n">
        <v>39.1</v>
      </c>
      <c r="C10962" s="216" t="n">
        <v>44.05</v>
      </c>
      <c r="D10962" s="216" t="n">
        <v>1.090371012687683</v>
      </c>
      <c r="E10962" s="215" t="n">
        <v>45925</v>
      </c>
      <c r="F10962" s="215" t="n">
        <v>45925</v>
      </c>
    </row>
    <row r="10963">
      <c r="A10963" s="215" t="n">
        <v>45926</v>
      </c>
      <c r="B10963" s="216" t="n">
        <v>37.84</v>
      </c>
      <c r="C10963" s="216" t="n">
        <v>43.12</v>
      </c>
      <c r="D10963" s="216" t="n">
        <v>1.090574979782104</v>
      </c>
      <c r="E10963" s="215" t="n">
        <v>45926</v>
      </c>
      <c r="F10963" s="215" t="n">
        <v>45926</v>
      </c>
    </row>
    <row r="10964">
      <c r="A10964" s="215" t="n">
        <v>45929</v>
      </c>
      <c r="B10964" s="216" t="n">
        <v>41.1</v>
      </c>
      <c r="C10964" s="216" t="n">
        <v>46.6</v>
      </c>
      <c r="D10964" s="216" t="n">
        <v>1.090520024299622</v>
      </c>
      <c r="E10964" s="215" t="n">
        <v>45929</v>
      </c>
      <c r="F10964" s="215" t="n">
        <v>45929</v>
      </c>
    </row>
    <row r="10965">
      <c r="A10965" s="215" t="n">
        <v>45930</v>
      </c>
      <c r="B10965" s="216" t="n">
        <v>43.82</v>
      </c>
      <c r="C10965" s="216" t="n">
        <v>48.43</v>
      </c>
      <c r="D10965" s="216" t="n">
        <v>1.093106031417847</v>
      </c>
      <c r="E10965" s="215" t="n">
        <v>45930</v>
      </c>
      <c r="F10965" s="215" t="n">
        <v>45930</v>
      </c>
    </row>
    <row r="10966">
      <c r="A10966" s="215" t="n">
        <v>45932</v>
      </c>
      <c r="B10966" s="216" t="n">
        <v>45.66</v>
      </c>
      <c r="C10966" s="216" t="n">
        <v>48.43</v>
      </c>
      <c r="D10966" s="216" t="n">
        <v>1.092823028564453</v>
      </c>
      <c r="E10966" s="215" t="n">
        <v>45930</v>
      </c>
      <c r="F10966" s="215" t="n">
        <v>45932</v>
      </c>
    </row>
    <row r="10967">
      <c r="A10967" s="215" t="n">
        <v>45933</v>
      </c>
      <c r="B10967" s="216" t="n">
        <v>44.86</v>
      </c>
      <c r="C10967" s="216" t="n">
        <v>48.43</v>
      </c>
      <c r="D10967" s="216" t="n">
        <v>1.09303605556488</v>
      </c>
      <c r="E10967" s="215" t="n">
        <v>45930</v>
      </c>
      <c r="F10967" s="215" t="n">
        <v>45933</v>
      </c>
    </row>
    <row r="10968">
      <c r="A10968" s="215" t="n">
        <v>45936</v>
      </c>
      <c r="B10968" s="216" t="n">
        <v>44.7</v>
      </c>
      <c r="C10968" s="216" t="n">
        <v>48.43</v>
      </c>
      <c r="D10968" s="216" t="n">
        <v>1.092857956886292</v>
      </c>
      <c r="E10968" s="215" t="n">
        <v>45930</v>
      </c>
      <c r="F10968" s="215" t="n">
        <v>45936</v>
      </c>
    </row>
    <row r="10969">
      <c r="A10969" s="215" t="n">
        <v>45938</v>
      </c>
      <c r="B10969" s="216" t="n">
        <v>45.12</v>
      </c>
      <c r="C10969" s="216" t="n">
        <v>48.43</v>
      </c>
      <c r="D10969" s="216" t="n">
        <v>1.093148946762085</v>
      </c>
      <c r="E10969" s="215" t="n">
        <v>45930</v>
      </c>
      <c r="F10969" s="215" t="n">
        <v>45938</v>
      </c>
    </row>
    <row r="10970">
      <c r="A10970" s="215" t="n">
        <v>45939</v>
      </c>
      <c r="B10970" s="216" t="n">
        <v>43.2</v>
      </c>
      <c r="C10970" s="216" t="n">
        <v>49.39</v>
      </c>
      <c r="D10970" s="216" t="n">
        <v>1.092933058738708</v>
      </c>
      <c r="E10970" s="215" t="n">
        <v>45939</v>
      </c>
      <c r="F10970" s="215" t="n">
        <v>45939</v>
      </c>
    </row>
    <row r="10971">
      <c r="A10971" s="215" t="n">
        <v>45940</v>
      </c>
      <c r="B10971" s="216" t="n">
        <v>40.2</v>
      </c>
      <c r="C10971" s="216" t="n">
        <v>45.54</v>
      </c>
      <c r="D10971" s="216" t="n">
        <v>1.091662049293518</v>
      </c>
      <c r="E10971" s="215" t="n">
        <v>45940</v>
      </c>
      <c r="F10971" s="215" t="n">
        <v>45940</v>
      </c>
    </row>
    <row r="10972">
      <c r="A10972" s="215" t="n">
        <v>45943</v>
      </c>
      <c r="B10972" s="216" t="n">
        <v>37.9</v>
      </c>
      <c r="C10972" s="216" t="n">
        <v>43.16</v>
      </c>
      <c r="D10972" s="216" t="n">
        <v>1.093768000602722</v>
      </c>
      <c r="E10972" s="215" t="n">
        <v>45943</v>
      </c>
      <c r="F10972" s="215" t="n">
        <v>45943</v>
      </c>
    </row>
    <row r="10973">
      <c r="A10973" s="215" t="n">
        <v>45944</v>
      </c>
      <c r="B10973" s="216" t="n">
        <v>34.98</v>
      </c>
      <c r="C10973" s="216" t="n">
        <v>40.16</v>
      </c>
      <c r="D10973" s="216" t="n">
        <v>1.093292951583862</v>
      </c>
      <c r="E10973" s="215" t="n">
        <v>45944</v>
      </c>
      <c r="F10973" s="215" t="n">
        <v>45944</v>
      </c>
    </row>
    <row r="10974">
      <c r="A10974" s="215" t="n">
        <v>45945</v>
      </c>
      <c r="B10974" s="216" t="n">
        <v>39.5</v>
      </c>
      <c r="C10974" s="216" t="n">
        <v>44.18</v>
      </c>
      <c r="D10974" s="216" t="n">
        <v>1.088750958442688</v>
      </c>
      <c r="E10974" s="215" t="n">
        <v>45945</v>
      </c>
      <c r="F10974" s="215" t="n">
        <v>45945</v>
      </c>
    </row>
    <row r="10975">
      <c r="A10975" s="215" t="n">
        <v>45946</v>
      </c>
      <c r="B10975" s="216" t="n">
        <v>37.08</v>
      </c>
      <c r="C10975" s="216" t="n">
        <v>42.92</v>
      </c>
      <c r="D10975" s="216" t="n">
        <v>1.090903043746948</v>
      </c>
      <c r="E10975" s="215" t="n">
        <v>45946</v>
      </c>
      <c r="F10975" s="215" t="n">
        <v>45946</v>
      </c>
    </row>
    <row r="10976">
      <c r="A10976" s="215" t="n">
        <v>45947</v>
      </c>
      <c r="B10976" s="216" t="n">
        <v>35.94</v>
      </c>
      <c r="C10976" s="216" t="n">
        <v>43.32</v>
      </c>
      <c r="D10976" s="216" t="n">
        <v>1.09073805809021</v>
      </c>
      <c r="E10976" s="215" t="n">
        <v>45947</v>
      </c>
      <c r="F10976" s="215" t="n">
        <v>45947</v>
      </c>
    </row>
    <row r="10977">
      <c r="A10977" s="215" t="n">
        <v>45950</v>
      </c>
      <c r="B10977" s="216" t="n">
        <v>38.98</v>
      </c>
      <c r="C10977" s="216" t="n">
        <v>46.1</v>
      </c>
      <c r="D10977" s="216" t="n">
        <v>1.089843988418579</v>
      </c>
      <c r="E10977" s="215" t="n">
        <v>45950</v>
      </c>
      <c r="F10977" s="215" t="n">
        <v>45950</v>
      </c>
    </row>
    <row r="10978">
      <c r="A10978" s="215" t="n">
        <v>45951</v>
      </c>
      <c r="B10978" s="216" t="n">
        <v>39.94</v>
      </c>
      <c r="C10978" s="216" t="n">
        <v>46.93</v>
      </c>
      <c r="D10978" s="216" t="n">
        <v>1.091038942337036</v>
      </c>
      <c r="E10978" s="215" t="n">
        <v>45951</v>
      </c>
      <c r="F10978" s="215" t="n">
        <v>45951</v>
      </c>
    </row>
    <row r="10979">
      <c r="A10979" s="215" t="n">
        <v>45952</v>
      </c>
      <c r="B10979" s="216" t="n">
        <v>40.4</v>
      </c>
      <c r="C10979" s="216" t="n">
        <v>48.1</v>
      </c>
      <c r="D10979" s="216" t="n">
        <v>1.091071009635925</v>
      </c>
      <c r="E10979" s="215" t="n">
        <v>45952</v>
      </c>
      <c r="F10979" s="215" t="n">
        <v>45952</v>
      </c>
    </row>
    <row r="10980">
      <c r="A10980" s="215" t="n">
        <v>45953</v>
      </c>
      <c r="B10980" s="216" t="n">
        <v>39.26</v>
      </c>
      <c r="C10980" s="216" t="n">
        <v>47.96</v>
      </c>
      <c r="D10980" s="216" t="n">
        <v>1.090343952178955</v>
      </c>
      <c r="E10980" s="215" t="n">
        <v>45953</v>
      </c>
      <c r="F10980" s="215" t="n">
        <v>45953</v>
      </c>
    </row>
    <row r="10981">
      <c r="A10981" s="215" t="n">
        <v>45954</v>
      </c>
      <c r="B10981" s="216" t="n">
        <v>40.06</v>
      </c>
      <c r="C10981" s="216" t="n">
        <v>48.63</v>
      </c>
      <c r="D10981" s="216" t="n">
        <v>1.090456962585449</v>
      </c>
      <c r="E10981" s="215" t="n">
        <v>45954</v>
      </c>
      <c r="F10981" s="215" t="n">
        <v>45954</v>
      </c>
    </row>
    <row r="10982">
      <c r="A10982" s="215" t="n">
        <v>45957</v>
      </c>
      <c r="B10982" s="216" t="n">
        <v>40.12</v>
      </c>
      <c r="C10982" s="216" t="n">
        <v>48.62</v>
      </c>
      <c r="D10982" s="216" t="n">
        <v>1.090957045555115</v>
      </c>
      <c r="E10982" s="215" t="n">
        <v>45957</v>
      </c>
      <c r="F10982" s="215" t="n">
        <v>45957</v>
      </c>
    </row>
    <row r="10983">
      <c r="A10983" s="215" t="n">
        <v>45958</v>
      </c>
      <c r="B10983" s="216" t="n">
        <v>42.2</v>
      </c>
      <c r="C10983" s="216" t="n">
        <v>52.61</v>
      </c>
      <c r="D10983" s="216" t="n">
        <v>1.092440009117126</v>
      </c>
      <c r="E10983" s="215" t="n">
        <v>45958</v>
      </c>
      <c r="F10983" s="215" t="n">
        <v>45958</v>
      </c>
    </row>
    <row r="10984">
      <c r="A10984" s="215" t="n">
        <v>45960</v>
      </c>
      <c r="B10984" s="216" t="n">
        <v>41.7</v>
      </c>
      <c r="C10984" s="216" t="n">
        <v>51.22</v>
      </c>
      <c r="D10984" s="216" t="n">
        <v>1.09463894367218</v>
      </c>
      <c r="E10984" s="215" t="n">
        <v>45960</v>
      </c>
      <c r="F10984" s="215" t="n">
        <v>45960</v>
      </c>
    </row>
    <row r="10985">
      <c r="A10985" s="215" t="n">
        <v>45961</v>
      </c>
      <c r="B10985" s="216" t="n">
        <v>40.88</v>
      </c>
      <c r="C10985" s="216" t="n">
        <v>49.93</v>
      </c>
      <c r="D10985" s="216" t="n">
        <v>1.092543959617615</v>
      </c>
      <c r="E10985" s="215" t="n">
        <v>45961</v>
      </c>
      <c r="F10985" s="215" t="n">
        <v>45961</v>
      </c>
    </row>
    <row r="10986">
      <c r="A10986" s="215" t="n">
        <v>45964</v>
      </c>
      <c r="B10986" s="216" t="n">
        <v>38.46</v>
      </c>
      <c r="C10986" s="216" t="n">
        <v>48.79</v>
      </c>
      <c r="D10986" s="216" t="n">
        <v>1.091722965240479</v>
      </c>
      <c r="E10986" s="215" t="n">
        <v>45964</v>
      </c>
      <c r="F10986" s="215" t="n">
        <v>45964</v>
      </c>
    </row>
    <row r="10987">
      <c r="A10987" s="215" t="n">
        <v>45965</v>
      </c>
      <c r="B10987" s="216" t="n">
        <v>36</v>
      </c>
      <c r="C10987" s="216" t="n">
        <v>46.95</v>
      </c>
      <c r="D10987" s="216" t="n">
        <v>1.083533048629761</v>
      </c>
      <c r="E10987" s="215" t="n">
        <v>45965</v>
      </c>
      <c r="F10987" s="215" t="n">
        <v>45965</v>
      </c>
    </row>
    <row r="10988">
      <c r="A10988" s="215" t="n">
        <v>45966</v>
      </c>
      <c r="B10988" s="216" t="n">
        <v>35.9</v>
      </c>
      <c r="C10988" s="216" t="n">
        <v>46.62</v>
      </c>
      <c r="D10988" s="216" t="n">
        <v>1.090273976325989</v>
      </c>
      <c r="E10988" s="215" t="n">
        <v>45966</v>
      </c>
      <c r="F10988" s="215" t="n">
        <v>45966</v>
      </c>
    </row>
    <row r="10989">
      <c r="A10989" s="215" t="n">
        <v>45967</v>
      </c>
      <c r="B10989" s="216" t="n">
        <v>38.54</v>
      </c>
      <c r="C10989" s="216" t="n">
        <v>50.36</v>
      </c>
      <c r="D10989" s="216" t="n">
        <v>1.090808033943176</v>
      </c>
      <c r="E10989" s="215" t="n">
        <v>45967</v>
      </c>
      <c r="F10989" s="215" t="n">
        <v>45967</v>
      </c>
    </row>
    <row r="10990">
      <c r="A10990" s="215" t="n">
        <v>45968</v>
      </c>
      <c r="B10990" s="216" t="n">
        <v>37.68</v>
      </c>
      <c r="C10990" s="216" t="n">
        <v>48.42</v>
      </c>
      <c r="D10990" s="216" t="n">
        <v>1.092054009437561</v>
      </c>
      <c r="E10990" s="215" t="n">
        <v>45968</v>
      </c>
      <c r="F10990" s="215" t="n">
        <v>45968</v>
      </c>
    </row>
    <row r="10991">
      <c r="A10991" s="215" t="n">
        <v>45971</v>
      </c>
      <c r="B10991" s="216" t="n">
        <v>36.32</v>
      </c>
      <c r="C10991" s="216" t="n">
        <v>45.51</v>
      </c>
      <c r="D10991" s="216" t="n">
        <v>1.092267036437988</v>
      </c>
      <c r="E10991" s="215" t="n">
        <v>45971</v>
      </c>
      <c r="F10991" s="215" t="n">
        <v>45971</v>
      </c>
    </row>
    <row r="10992">
      <c r="A10992" s="215" t="n">
        <v>45972</v>
      </c>
      <c r="B10992" s="216" t="n">
        <v>35.72</v>
      </c>
      <c r="C10992" s="216" t="n">
        <v>43.9</v>
      </c>
      <c r="D10992" s="216" t="n">
        <v>1.091644048690796</v>
      </c>
      <c r="E10992" s="215" t="n">
        <v>45972</v>
      </c>
      <c r="F10992" s="215" t="n">
        <v>45972</v>
      </c>
    </row>
    <row r="10993">
      <c r="A10993" s="215" t="n">
        <v>45973</v>
      </c>
      <c r="B10993" s="216" t="n">
        <v>35.44</v>
      </c>
      <c r="C10993" s="216" t="n">
        <v>43.88</v>
      </c>
      <c r="D10993" s="216" t="n">
        <v>1.091495990753174</v>
      </c>
      <c r="E10993" s="215" t="n">
        <v>45973</v>
      </c>
      <c r="F10993" s="215" t="n">
        <v>45973</v>
      </c>
    </row>
    <row r="10994">
      <c r="A10994" s="215" t="n">
        <v>45974</v>
      </c>
      <c r="B10994" s="216" t="n">
        <v>35.62</v>
      </c>
      <c r="C10994" s="216" t="n">
        <v>44.29</v>
      </c>
      <c r="D10994" s="216" t="n">
        <v>1.092489004135132</v>
      </c>
      <c r="E10994" s="215" t="n">
        <v>45974</v>
      </c>
      <c r="F10994" s="215" t="n">
        <v>45974</v>
      </c>
    </row>
    <row r="10995">
      <c r="A10995" s="215" t="n">
        <v>45975</v>
      </c>
      <c r="B10995" s="216" t="n">
        <v>33.56</v>
      </c>
      <c r="C10995" s="216" t="n">
        <v>42.48</v>
      </c>
      <c r="D10995" s="216" t="n">
        <v>1.092411994934082</v>
      </c>
      <c r="E10995" s="215" t="n">
        <v>45975</v>
      </c>
      <c r="F10995" s="215" t="n">
        <v>45975</v>
      </c>
    </row>
    <row r="10996">
      <c r="A10996" s="215" t="n">
        <v>45978</v>
      </c>
      <c r="B10996" s="216" t="n">
        <v>33.34</v>
      </c>
      <c r="C10996" s="216" t="n">
        <v>41.85</v>
      </c>
      <c r="D10996" s="216" t="n">
        <v>1.094588041305542</v>
      </c>
      <c r="E10996" s="215" t="n">
        <v>45978</v>
      </c>
      <c r="F10996" s="215" t="n">
        <v>45978</v>
      </c>
    </row>
    <row r="10997">
      <c r="A10997" s="215" t="n">
        <v>45979</v>
      </c>
      <c r="B10997" s="216" t="n">
        <v>32.96</v>
      </c>
      <c r="C10997" s="216" t="n">
        <v>42.14</v>
      </c>
      <c r="D10997" s="216" t="n">
        <v>1.093616008758545</v>
      </c>
      <c r="E10997" s="215" t="n">
        <v>45979</v>
      </c>
      <c r="F10997" s="215" t="n">
        <v>45979</v>
      </c>
    </row>
    <row r="10998">
      <c r="A10998" s="215" t="n">
        <v>45980</v>
      </c>
      <c r="B10998" s="216" t="n">
        <v>32.28</v>
      </c>
      <c r="C10998" s="216" t="n">
        <v>42.03</v>
      </c>
      <c r="D10998" s="216" t="n">
        <v>1.095010995864868</v>
      </c>
      <c r="E10998" s="215" t="n">
        <v>45980</v>
      </c>
      <c r="F10998" s="215" t="n">
        <v>45980</v>
      </c>
    </row>
    <row r="10999">
      <c r="A10999" s="215" t="n">
        <v>45981</v>
      </c>
      <c r="B10999" s="216" t="n">
        <v>31.78</v>
      </c>
      <c r="C10999" s="216" t="n">
        <v>41.17</v>
      </c>
      <c r="D10999" s="216" t="n">
        <v>1.095402002334595</v>
      </c>
      <c r="E10999" s="215" t="n">
        <v>45981</v>
      </c>
      <c r="F10999" s="215" t="n">
        <v>45981</v>
      </c>
    </row>
    <row r="11000">
      <c r="A11000" s="215" t="n">
        <v>45982</v>
      </c>
      <c r="B11000" s="216" t="n">
        <v>31.46</v>
      </c>
      <c r="C11000" s="216" t="n">
        <v>41.9</v>
      </c>
      <c r="D11000" s="216" t="n">
        <v>1.094982981681824</v>
      </c>
      <c r="E11000" s="215" t="n">
        <v>45982</v>
      </c>
      <c r="F11000" s="215" t="n">
        <v>45982</v>
      </c>
    </row>
    <row r="11001">
      <c r="A11001" s="215" t="n">
        <v>45985</v>
      </c>
      <c r="B11001" s="216" t="n">
        <v>31.5</v>
      </c>
      <c r="C11001" s="216" t="n">
        <v>41.39</v>
      </c>
      <c r="D11001" s="216" t="n">
        <v>1.094988942146301</v>
      </c>
      <c r="E11001" s="215" t="n">
        <v>45985</v>
      </c>
      <c r="F11001" s="215" t="n">
        <v>45985</v>
      </c>
    </row>
    <row r="11002">
      <c r="A11002" s="215" t="n">
        <v>45986</v>
      </c>
      <c r="B11002" s="216" t="n">
        <v>32.44</v>
      </c>
      <c r="C11002" s="216" t="n">
        <v>42.17</v>
      </c>
      <c r="D11002" s="216" t="n">
        <v>1.095428943634033</v>
      </c>
      <c r="E11002" s="215" t="n">
        <v>45986</v>
      </c>
      <c r="F11002" s="215" t="n">
        <v>45986</v>
      </c>
    </row>
    <row r="11003">
      <c r="A11003" s="215" t="n">
        <v>45987</v>
      </c>
      <c r="B11003" s="216" t="n">
        <v>33.72</v>
      </c>
      <c r="C11003" s="216" t="n">
        <v>43.19</v>
      </c>
      <c r="D11003" s="216" t="n">
        <v>1.097422003746033</v>
      </c>
      <c r="E11003" s="215" t="n">
        <v>45987</v>
      </c>
      <c r="F11003" s="215" t="n">
        <v>45987</v>
      </c>
    </row>
    <row r="11004">
      <c r="A11004" s="215" t="n">
        <v>45988</v>
      </c>
      <c r="B11004" s="216" t="n">
        <v>34</v>
      </c>
      <c r="C11004" s="216" t="n">
        <v>42.79</v>
      </c>
      <c r="D11004" s="216" t="n">
        <v>1.098397016525269</v>
      </c>
      <c r="E11004" s="215" t="n">
        <v>45988</v>
      </c>
      <c r="F11004" s="215" t="n">
        <v>45988</v>
      </c>
    </row>
    <row r="11005">
      <c r="A11005" s="215" t="n">
        <v>45989</v>
      </c>
      <c r="B11005" s="216" t="n">
        <v>34.8</v>
      </c>
      <c r="C11005" s="216" t="n">
        <v>42.98</v>
      </c>
      <c r="D11005" s="216" t="n">
        <v>1.098330020904541</v>
      </c>
      <c r="E11005" s="215" t="n">
        <v>45989</v>
      </c>
      <c r="F11005" s="215" t="n">
        <v>45989</v>
      </c>
    </row>
    <row r="11006">
      <c r="A11006" s="215" t="n">
        <v>45992</v>
      </c>
      <c r="B11006" s="216" t="n">
        <v>35.06</v>
      </c>
      <c r="C11006" s="216" t="n">
        <v>43.79</v>
      </c>
      <c r="D11006" s="216" t="n">
        <v>1.10015594959259</v>
      </c>
      <c r="E11006" s="215" t="n">
        <v>45992</v>
      </c>
      <c r="F11006" s="215" t="n">
        <v>45992</v>
      </c>
    </row>
    <row r="11007">
      <c r="A11007" s="215" t="n">
        <v>45993</v>
      </c>
      <c r="B11007" s="216" t="n">
        <v>33.78</v>
      </c>
      <c r="C11007" s="216" t="n">
        <v>42.03</v>
      </c>
      <c r="D11007" s="216" t="n">
        <v>1.101189017295837</v>
      </c>
      <c r="E11007" s="215" t="n">
        <v>45993</v>
      </c>
      <c r="F11007" s="215" t="n">
        <v>45993</v>
      </c>
    </row>
    <row r="11008">
      <c r="A11008" s="215" t="n">
        <v>45994</v>
      </c>
      <c r="B11008" s="216" t="n">
        <v>32.46</v>
      </c>
      <c r="C11008" s="216" t="n">
        <v>41.66</v>
      </c>
      <c r="D11008" s="216" t="n">
        <v>1.100834012031555</v>
      </c>
      <c r="E11008" s="215" t="n">
        <v>45994</v>
      </c>
      <c r="F11008" s="215" t="n">
        <v>45994</v>
      </c>
    </row>
    <row r="11009">
      <c r="A11009" s="215" t="n">
        <v>45995</v>
      </c>
      <c r="B11009" s="216" t="n">
        <v>34.96</v>
      </c>
      <c r="C11009" s="216" t="n">
        <v>44.79</v>
      </c>
      <c r="D11009" s="216" t="n">
        <v>1.101611018180847</v>
      </c>
      <c r="E11009" s="215" t="n">
        <v>45995</v>
      </c>
      <c r="F11009" s="215" t="n">
        <v>45995</v>
      </c>
    </row>
    <row r="11010">
      <c r="A11010" s="215" t="n">
        <v>45996</v>
      </c>
      <c r="B11010" s="216" t="n">
        <v>35.86</v>
      </c>
      <c r="C11010" s="216" t="n">
        <v>45.1</v>
      </c>
      <c r="D11010" s="216" t="n">
        <v>1.100373983383179</v>
      </c>
      <c r="E11010" s="215" t="n">
        <v>45996</v>
      </c>
      <c r="F11010" s="215" t="n">
        <v>45996</v>
      </c>
    </row>
    <row r="11011">
      <c r="A11011" s="215" t="n">
        <v>45999</v>
      </c>
      <c r="B11011" s="216" t="n">
        <v>36.92</v>
      </c>
      <c r="C11011" s="216" t="n">
        <v>46.8</v>
      </c>
      <c r="D11011" s="216" t="n">
        <v>1.1008620262146</v>
      </c>
      <c r="E11011" s="215" t="n">
        <v>45999</v>
      </c>
      <c r="F11011" s="215" t="n">
        <v>45999</v>
      </c>
    </row>
    <row r="11012">
      <c r="A11012" s="215" t="n">
        <v>46000</v>
      </c>
      <c r="B11012" s="216" t="n">
        <v>36.28</v>
      </c>
      <c r="C11012" s="216" t="n">
        <v>45.96</v>
      </c>
      <c r="D11012" s="216" t="n">
        <v>1.10008704662323</v>
      </c>
      <c r="E11012" s="215" t="n">
        <v>46000</v>
      </c>
      <c r="F11012" s="215" t="n">
        <v>46000</v>
      </c>
    </row>
    <row r="11013">
      <c r="A11013" s="215" t="n">
        <v>46001</v>
      </c>
      <c r="B11013" s="216" t="n">
        <v>36.7</v>
      </c>
      <c r="C11013" s="216" t="n">
        <v>46.6</v>
      </c>
      <c r="D11013" s="216" t="n">
        <v>1.101711988449097</v>
      </c>
      <c r="E11013" s="215" t="n">
        <v>46001</v>
      </c>
      <c r="F11013" s="215" t="n">
        <v>46001</v>
      </c>
    </row>
    <row r="11014">
      <c r="A11014" s="215" t="n">
        <v>46002</v>
      </c>
      <c r="B11014" s="216" t="n">
        <v>36.36</v>
      </c>
      <c r="C11014" s="216" t="n">
        <v>45.17</v>
      </c>
      <c r="D11014" s="216" t="n">
        <v>1.10112202167511</v>
      </c>
      <c r="E11014" s="215" t="n">
        <v>46002</v>
      </c>
      <c r="F11014" s="215" t="n">
        <v>46002</v>
      </c>
    </row>
    <row r="11015">
      <c r="A11015" s="215" t="n">
        <v>46003</v>
      </c>
      <c r="B11015" s="216" t="n">
        <v>36.42</v>
      </c>
      <c r="C11015" s="216" t="n">
        <v>45.04</v>
      </c>
      <c r="D11015" s="216" t="n">
        <v>1.102499008178711</v>
      </c>
      <c r="E11015" s="215" t="n">
        <v>46003</v>
      </c>
      <c r="F11015" s="215" t="n">
        <v>46003</v>
      </c>
    </row>
    <row r="11016">
      <c r="A11016" s="215" t="n">
        <v>46006</v>
      </c>
      <c r="B11016" s="216" t="n">
        <v>33.78</v>
      </c>
      <c r="C11016" s="216" t="n">
        <v>43.54</v>
      </c>
      <c r="D11016" s="216" t="n">
        <v>1.103397965431213</v>
      </c>
      <c r="E11016" s="215" t="n">
        <v>46006</v>
      </c>
      <c r="F11016" s="215" t="n">
        <v>46006</v>
      </c>
    </row>
    <row r="11017">
      <c r="A11017" s="215" t="n">
        <v>46007</v>
      </c>
      <c r="B11017" s="216" t="n">
        <v>32.58</v>
      </c>
      <c r="C11017" s="216" t="n">
        <v>42.87</v>
      </c>
      <c r="D11017" s="216" t="n">
        <v>1.104179978370667</v>
      </c>
      <c r="E11017" s="215" t="n">
        <v>46007</v>
      </c>
      <c r="F11017" s="215" t="n">
        <v>46007</v>
      </c>
    </row>
    <row r="11018">
      <c r="A11018" s="215" t="n">
        <v>46008</v>
      </c>
      <c r="B11018" s="216" t="n">
        <v>33.76</v>
      </c>
      <c r="C11018" s="216" t="n">
        <v>44.02</v>
      </c>
      <c r="D11018" s="216" t="n">
        <v>1.104655981063843</v>
      </c>
      <c r="E11018" s="215" t="n">
        <v>46008</v>
      </c>
      <c r="F11018" s="215" t="n">
        <v>46008</v>
      </c>
    </row>
    <row r="11019">
      <c r="A11019" s="215" t="n">
        <v>46009</v>
      </c>
      <c r="B11019" s="216" t="n">
        <v>33.3</v>
      </c>
      <c r="C11019" s="216" t="n">
        <v>42.88</v>
      </c>
      <c r="D11019" s="216" t="n">
        <v>1.104357004165649</v>
      </c>
      <c r="E11019" s="215" t="n">
        <v>46009</v>
      </c>
      <c r="F11019" s="215" t="n">
        <v>46009</v>
      </c>
    </row>
    <row r="11020">
      <c r="A11020" s="215" t="n">
        <v>46010</v>
      </c>
      <c r="B11020" s="216" t="n">
        <v>34.8</v>
      </c>
      <c r="C11020" s="216" t="n">
        <v>43.47</v>
      </c>
      <c r="D11020" s="216" t="n">
        <v>1.104962944984436</v>
      </c>
      <c r="E11020" s="215" t="n">
        <v>46010</v>
      </c>
      <c r="F11020" s="215" t="n">
        <v>46010</v>
      </c>
    </row>
    <row r="11021">
      <c r="A11021" s="215" t="n">
        <v>46013</v>
      </c>
      <c r="B11021" s="216" t="n">
        <v>35.42</v>
      </c>
      <c r="C11021" s="216" t="n">
        <v>45.42</v>
      </c>
      <c r="D11021" s="216" t="n">
        <v>1.105054020881653</v>
      </c>
      <c r="E11021" s="215" t="n">
        <v>46013</v>
      </c>
      <c r="F11021" s="215" t="n">
        <v>46013</v>
      </c>
    </row>
    <row r="11022">
      <c r="A11022" s="215" t="n">
        <v>46014</v>
      </c>
      <c r="B11022" s="216" t="n">
        <v>33.1</v>
      </c>
      <c r="C11022" s="216" t="n">
        <v>44.88</v>
      </c>
      <c r="D11022" s="216" t="n">
        <v>1.104820013046265</v>
      </c>
      <c r="E11022" s="215" t="n">
        <v>46014</v>
      </c>
      <c r="F11022" s="215" t="n">
        <v>46014</v>
      </c>
    </row>
    <row r="11023">
      <c r="A11023" s="215" t="n">
        <v>46015</v>
      </c>
      <c r="B11023" s="216" t="n">
        <v>33.46</v>
      </c>
      <c r="C11023" s="216" t="n">
        <v>45.08</v>
      </c>
      <c r="D11023" s="216" t="n">
        <v>1.106441974639893</v>
      </c>
      <c r="E11023" s="215" t="n">
        <v>46015</v>
      </c>
      <c r="F11023" s="215" t="n">
        <v>46015</v>
      </c>
    </row>
    <row r="11024">
      <c r="A11024" s="215" t="n">
        <v>46020</v>
      </c>
      <c r="B11024" s="216" t="n">
        <v>34.16</v>
      </c>
      <c r="C11024" s="216" t="n">
        <v>47.73</v>
      </c>
      <c r="D11024" s="216" t="n">
        <v>1.10552704334259</v>
      </c>
      <c r="E11024" s="215" t="n">
        <v>46020</v>
      </c>
      <c r="F11024" s="215" t="n">
        <v>46020</v>
      </c>
    </row>
    <row r="11025">
      <c r="A11025" s="215" t="n">
        <v>46021</v>
      </c>
      <c r="B11025" s="216" t="n">
        <v>38.44</v>
      </c>
      <c r="C11025" s="216" t="n">
        <v>52.5</v>
      </c>
      <c r="D11025" s="216" t="n">
        <v>1.109460949897766</v>
      </c>
      <c r="E11025" s="215" t="n">
        <v>46021</v>
      </c>
      <c r="F11025" s="215" t="n">
        <v>46021</v>
      </c>
    </row>
    <row r="11026">
      <c r="A11026" s="215" t="n">
        <v>46022</v>
      </c>
      <c r="B11026" s="216" t="n">
        <v>38.32</v>
      </c>
      <c r="C11026" s="216" t="n">
        <v>55.31</v>
      </c>
      <c r="D11026" s="216" t="n">
        <v>1.111927032470703</v>
      </c>
      <c r="E11026" s="215" t="n">
        <v>46022</v>
      </c>
      <c r="F11026" s="215" t="n">
        <v>46022</v>
      </c>
    </row>
    <row r="11027">
      <c r="A11027" s="215" t="n">
        <v>46024</v>
      </c>
      <c r="B11027" s="216" t="n">
        <v>40.04</v>
      </c>
      <c r="C11027" s="216" t="n">
        <v>55.31</v>
      </c>
      <c r="D11027" s="216" t="n">
        <v>1.112754940986633</v>
      </c>
      <c r="E11027" s="215" t="n">
        <v>46022</v>
      </c>
      <c r="F11027" s="215" t="n">
        <v>46024</v>
      </c>
    </row>
    <row r="11028">
      <c r="A11028" s="215" t="n">
        <v>46027</v>
      </c>
      <c r="B11028" s="216" t="n">
        <v>39.4</v>
      </c>
      <c r="C11028" s="216" t="n">
        <v>56.28</v>
      </c>
      <c r="D11028" s="216" t="n">
        <v>1.113860011100769</v>
      </c>
      <c r="E11028" s="215" t="n">
        <v>46027</v>
      </c>
      <c r="F11028" s="215" t="n">
        <v>46027</v>
      </c>
    </row>
    <row r="11029">
      <c r="A11029" s="215" t="n">
        <v>46028</v>
      </c>
      <c r="B11029" s="216" t="n">
        <v>39.74</v>
      </c>
      <c r="C11029" s="216" t="n">
        <v>56.84</v>
      </c>
      <c r="D11029" s="216" t="n">
        <v>1.11367404460907</v>
      </c>
      <c r="E11029" s="215" t="n">
        <v>46028</v>
      </c>
      <c r="F11029" s="215" t="n">
        <v>46028</v>
      </c>
    </row>
    <row r="11030">
      <c r="A11030" s="215" t="n">
        <v>46029</v>
      </c>
      <c r="B11030" s="216" t="n">
        <v>38.84</v>
      </c>
      <c r="C11030" s="216" t="n">
        <v>55.75</v>
      </c>
      <c r="D11030" s="216" t="n">
        <v>1.114913940429688</v>
      </c>
      <c r="E11030" s="215" t="n">
        <v>46029</v>
      </c>
      <c r="F11030" s="215" t="n">
        <v>46029</v>
      </c>
    </row>
    <row r="11031">
      <c r="A11031" s="215" t="n">
        <v>46030</v>
      </c>
      <c r="B11031" s="216" t="n">
        <v>38.02</v>
      </c>
      <c r="C11031" s="216" t="n">
        <v>54.37</v>
      </c>
      <c r="D11031" s="216" t="n">
        <v>1.112563014030457</v>
      </c>
      <c r="E11031" s="215" t="n">
        <v>46030</v>
      </c>
      <c r="F11031" s="215" t="n">
        <v>46030</v>
      </c>
    </row>
    <row r="11032">
      <c r="A11032" s="215" t="n">
        <v>46031</v>
      </c>
      <c r="B11032" s="216" t="n">
        <v>39.02</v>
      </c>
      <c r="C11032" s="216" t="n">
        <v>57.14</v>
      </c>
      <c r="D11032" s="216" t="n">
        <v>1.115561008453369</v>
      </c>
      <c r="E11032" s="215" t="n">
        <v>46031</v>
      </c>
      <c r="F11032" s="215" t="n">
        <v>46031</v>
      </c>
    </row>
    <row r="11033">
      <c r="A11033" s="215" t="n">
        <v>46034</v>
      </c>
      <c r="B11033" s="216" t="n">
        <v>38.8</v>
      </c>
      <c r="C11033" s="216" t="n">
        <v>57</v>
      </c>
      <c r="D11033" s="216" t="n">
        <v>1.117015957832336</v>
      </c>
      <c r="E11033" s="215" t="n">
        <v>46034</v>
      </c>
      <c r="F11033" s="215" t="n">
        <v>46034</v>
      </c>
    </row>
    <row r="11034">
      <c r="A11034" s="215" t="n">
        <v>46035</v>
      </c>
      <c r="B11034" s="216" t="n">
        <v>38.66</v>
      </c>
      <c r="C11034" s="216" t="n">
        <v>57.15</v>
      </c>
      <c r="D11034" s="216" t="n">
        <v>1.117892026901245</v>
      </c>
      <c r="E11034" s="215" t="n">
        <v>46035</v>
      </c>
      <c r="F11034" s="215" t="n">
        <v>46035</v>
      </c>
    </row>
    <row r="11035">
      <c r="A11035" s="215" t="n">
        <v>46036</v>
      </c>
      <c r="B11035" s="216" t="n">
        <v>37.82</v>
      </c>
      <c r="C11035" s="216" t="n">
        <v>54.86</v>
      </c>
      <c r="D11035" s="216" t="n">
        <v>1.117897987365723</v>
      </c>
      <c r="E11035" s="215" t="n">
        <v>46036</v>
      </c>
      <c r="F11035" s="215" t="n">
        <v>46036</v>
      </c>
    </row>
    <row r="11036">
      <c r="A11036" s="215" t="n">
        <v>46037</v>
      </c>
      <c r="B11036" s="216" t="n">
        <v>37.52</v>
      </c>
      <c r="C11036" s="216" t="n">
        <v>54.59</v>
      </c>
      <c r="D11036" s="216" t="n">
        <v>1.118072032928467</v>
      </c>
      <c r="E11036" s="215" t="n">
        <v>46037</v>
      </c>
      <c r="F11036" s="215" t="n">
        <v>46037</v>
      </c>
    </row>
    <row r="11037">
      <c r="A11037" s="215" t="n">
        <v>46038</v>
      </c>
      <c r="B11037" s="216" t="n">
        <v>38.52</v>
      </c>
      <c r="C11037" s="216" t="n">
        <v>57.46</v>
      </c>
      <c r="D11037" s="216" t="n">
        <v>1.119040012359619</v>
      </c>
      <c r="E11037" s="215" t="n">
        <v>46038</v>
      </c>
      <c r="F11037" s="215" t="n">
        <v>46038</v>
      </c>
    </row>
    <row r="11038">
      <c r="A11038" s="215" t="n">
        <v>46041</v>
      </c>
      <c r="B11038" s="216" t="n">
        <v>38.26</v>
      </c>
      <c r="C11038" s="216" t="n">
        <v>58.56</v>
      </c>
      <c r="D11038" s="216" t="n">
        <v>1.118916034698486</v>
      </c>
      <c r="E11038" s="215" t="n">
        <v>46041</v>
      </c>
      <c r="F11038" s="215" t="n">
        <v>46041</v>
      </c>
    </row>
    <row r="11039">
      <c r="A11039" s="215" t="n">
        <v>46042</v>
      </c>
      <c r="B11039" s="216" t="n">
        <v>37.54</v>
      </c>
      <c r="C11039" s="216" t="n">
        <v>57.87</v>
      </c>
      <c r="D11039" s="216" t="n">
        <v>1.118687987327576</v>
      </c>
      <c r="E11039" s="215" t="n">
        <v>46042</v>
      </c>
      <c r="F11039" s="215" t="n">
        <v>46042</v>
      </c>
    </row>
    <row r="11040">
      <c r="A11040" s="215" t="n">
        <v>46043</v>
      </c>
      <c r="B11040" s="216" t="n">
        <v>38.22</v>
      </c>
      <c r="C11040" s="216" t="n">
        <v>57.95</v>
      </c>
      <c r="D11040" s="216" t="n">
        <v>1.12024998664856</v>
      </c>
      <c r="E11040" s="215" t="n">
        <v>46043</v>
      </c>
      <c r="F11040" s="215" t="n">
        <v>46043</v>
      </c>
    </row>
    <row r="11041">
      <c r="A11041" s="215" t="n">
        <v>46044</v>
      </c>
      <c r="B11041" s="216" t="n">
        <v>37.46</v>
      </c>
      <c r="C11041" s="216" t="n">
        <v>56.03</v>
      </c>
      <c r="D11041" s="216" t="n">
        <v>1.11942195892334</v>
      </c>
      <c r="E11041" s="215" t="n">
        <v>46044</v>
      </c>
      <c r="F11041" s="215" t="n">
        <v>46044</v>
      </c>
    </row>
    <row r="11042">
      <c r="A11042" s="215" t="n">
        <v>46045</v>
      </c>
      <c r="B11042" s="216" t="n">
        <v>36.4</v>
      </c>
      <c r="C11042" s="216" t="n">
        <v>54.04</v>
      </c>
      <c r="D11042" s="216" t="n">
        <v>1.117977976799011</v>
      </c>
      <c r="E11042" s="215" t="n">
        <v>46045</v>
      </c>
      <c r="F11042" s="215" t="n">
        <v>46045</v>
      </c>
    </row>
    <row r="11043">
      <c r="A11043" s="215" t="n">
        <v>46048</v>
      </c>
      <c r="B11043" s="216" t="n">
        <v>36</v>
      </c>
      <c r="C11043" s="216" t="n">
        <v>51.94</v>
      </c>
      <c r="D11043" s="216" t="n">
        <v>1.117916941642761</v>
      </c>
      <c r="E11043" s="215" t="n">
        <v>46048</v>
      </c>
      <c r="F11043" s="215" t="n">
        <v>46048</v>
      </c>
    </row>
    <row r="11044">
      <c r="A11044" s="215" t="n">
        <v>46049</v>
      </c>
      <c r="B11044" s="216" t="n">
        <v>35.72</v>
      </c>
      <c r="C11044" s="216" t="n">
        <v>52.27</v>
      </c>
      <c r="D11044" s="216" t="n">
        <v>1.121191024780273</v>
      </c>
      <c r="E11044" s="215" t="n">
        <v>46049</v>
      </c>
      <c r="F11044" s="215" t="n">
        <v>46049</v>
      </c>
    </row>
    <row r="11045">
      <c r="A11045" s="215" t="n">
        <v>46050</v>
      </c>
      <c r="B11045" s="216" t="n">
        <v>35.24</v>
      </c>
      <c r="C11045" s="216" t="n">
        <v>51.41</v>
      </c>
      <c r="D11045" s="216" t="n">
        <v>1.121533036231995</v>
      </c>
      <c r="E11045" s="215" t="n">
        <v>46050</v>
      </c>
      <c r="F11045" s="215" t="n">
        <v>46050</v>
      </c>
    </row>
    <row r="11046">
      <c r="A11046" s="215" t="n">
        <v>46051</v>
      </c>
      <c r="B11046" s="216" t="n">
        <v>34.8</v>
      </c>
      <c r="C11046" s="216" t="n">
        <v>50.07</v>
      </c>
      <c r="D11046" s="216" t="n">
        <v>1.121621966362</v>
      </c>
      <c r="E11046" s="215" t="n">
        <v>46051</v>
      </c>
      <c r="F11046" s="215" t="n">
        <v>46051</v>
      </c>
    </row>
    <row r="11047">
      <c r="A11047" s="215" t="n">
        <v>46052</v>
      </c>
      <c r="B11047" s="216" t="n">
        <v>35.2</v>
      </c>
      <c r="C11047" s="216" t="n">
        <v>50.94</v>
      </c>
      <c r="D11047" s="216" t="n">
        <v>1.123343944549561</v>
      </c>
      <c r="E11047" s="215" t="n">
        <v>46052</v>
      </c>
      <c r="F11047" s="215" t="n">
        <v>46052</v>
      </c>
    </row>
    <row r="11048">
      <c r="A11048" s="215" t="n">
        <v>46055</v>
      </c>
      <c r="B11048" s="216" t="n">
        <v>34.48</v>
      </c>
      <c r="C11048" s="216" t="n">
        <v>50.74</v>
      </c>
      <c r="D11048" s="216" t="n">
        <v>1.123572945594788</v>
      </c>
      <c r="E11048" s="215" t="n">
        <v>46055</v>
      </c>
      <c r="F11048" s="215" t="n">
        <v>46055</v>
      </c>
    </row>
    <row r="11049">
      <c r="A11049" s="215" t="n">
        <v>46056</v>
      </c>
      <c r="B11049" s="216" t="n">
        <v>35.3</v>
      </c>
      <c r="C11049" s="216" t="n">
        <v>52.33</v>
      </c>
      <c r="D11049" s="216" t="n">
        <v>1.124274969100952</v>
      </c>
      <c r="E11049" s="215" t="n">
        <v>46056</v>
      </c>
      <c r="F11049" s="215" t="n">
        <v>46056</v>
      </c>
    </row>
    <row r="11050">
      <c r="A11050" s="215" t="n">
        <v>46057</v>
      </c>
      <c r="B11050" s="216" t="n">
        <v>33.9</v>
      </c>
      <c r="C11050" s="216" t="n">
        <v>51.66</v>
      </c>
      <c r="D11050" s="216" t="n">
        <v>1.12601101398468</v>
      </c>
      <c r="E11050" s="215" t="n">
        <v>46057</v>
      </c>
      <c r="F11050" s="215" t="n">
        <v>46057</v>
      </c>
    </row>
    <row r="11051">
      <c r="A11051" s="215" t="n">
        <v>46058</v>
      </c>
      <c r="B11051" s="216" t="n">
        <v>33.2</v>
      </c>
      <c r="C11051" s="216" t="n">
        <v>50.09</v>
      </c>
      <c r="D11051" s="216" t="n">
        <v>1.125892996788025</v>
      </c>
      <c r="E11051" s="215" t="n">
        <v>46058</v>
      </c>
      <c r="F11051" s="215" t="n">
        <v>46058</v>
      </c>
    </row>
    <row r="11052">
      <c r="A11052" s="215" t="n">
        <v>46059</v>
      </c>
      <c r="B11052" s="216" t="n">
        <v>33.3</v>
      </c>
      <c r="C11052" s="216" t="n">
        <v>51.12</v>
      </c>
      <c r="D11052" s="216" t="n">
        <v>1.126062035560608</v>
      </c>
      <c r="E11052" s="215" t="n">
        <v>46059</v>
      </c>
      <c r="F11052" s="215" t="n">
        <v>46059</v>
      </c>
    </row>
    <row r="11053">
      <c r="A11053" s="215" t="n">
        <v>46062</v>
      </c>
      <c r="B11053" s="216" t="n">
        <v>34.18</v>
      </c>
      <c r="C11053" s="216" t="n">
        <v>51.58</v>
      </c>
      <c r="D11053" s="216" t="n">
        <v>1.125753998756409</v>
      </c>
      <c r="E11053" s="215" t="n">
        <v>46062</v>
      </c>
      <c r="F11053" s="215" t="n">
        <v>46062</v>
      </c>
    </row>
    <row r="11054">
      <c r="A11054" s="215" t="n">
        <v>46063</v>
      </c>
      <c r="B11054" s="216" t="n">
        <v>35</v>
      </c>
      <c r="C11054" s="216" t="n">
        <v>53.3</v>
      </c>
      <c r="D11054" s="216" t="n">
        <v>1.129003047943115</v>
      </c>
      <c r="E11054" s="215" t="n">
        <v>46063</v>
      </c>
      <c r="F11054" s="215" t="n">
        <v>46063</v>
      </c>
    </row>
    <row r="11055">
      <c r="A11055" s="215" t="n">
        <v>46064</v>
      </c>
      <c r="B11055" s="216" t="n">
        <v>35.02</v>
      </c>
      <c r="C11055" s="216" t="n">
        <v>52.16</v>
      </c>
      <c r="D11055" s="216" t="n">
        <v>1.130962014198303</v>
      </c>
      <c r="E11055" s="215" t="n">
        <v>46064</v>
      </c>
      <c r="F11055" s="215" t="n">
        <v>46064</v>
      </c>
    </row>
    <row r="11056">
      <c r="A11056" s="215" t="n">
        <v>46065</v>
      </c>
      <c r="B11056" s="216" t="n">
        <v>35.34</v>
      </c>
      <c r="C11056" s="216" t="n">
        <v>52.67</v>
      </c>
      <c r="D11056" s="216" t="n">
        <v>1.130671977996826</v>
      </c>
      <c r="E11056" s="215" t="n">
        <v>46065</v>
      </c>
      <c r="F11056" s="215" t="n">
        <v>46065</v>
      </c>
    </row>
    <row r="11057">
      <c r="A11057" s="215" t="n">
        <v>46066</v>
      </c>
      <c r="B11057" s="216" t="n">
        <v>36.1</v>
      </c>
      <c r="C11057" s="216" t="n">
        <v>53.48</v>
      </c>
      <c r="D11057" s="216" t="n">
        <v>1.132490992546082</v>
      </c>
      <c r="E11057" s="215" t="n">
        <v>46066</v>
      </c>
      <c r="F11057" s="215" t="n">
        <v>46066</v>
      </c>
    </row>
    <row r="11058">
      <c r="A11058" s="215" t="n">
        <v>46069</v>
      </c>
      <c r="B11058" s="216" t="n">
        <v>35.52</v>
      </c>
      <c r="C11058" s="216" t="n">
        <v>53.48</v>
      </c>
      <c r="D11058" s="216" t="n">
        <v>1.131224036216736</v>
      </c>
      <c r="E11058" s="215" t="n">
        <v>46066</v>
      </c>
      <c r="F11058" s="215" t="n">
        <v>46069</v>
      </c>
    </row>
    <row r="11059">
      <c r="A11059" s="215" t="n">
        <v>46073</v>
      </c>
      <c r="B11059" s="216" t="n">
        <v>37.5</v>
      </c>
      <c r="C11059" s="216" t="n">
        <v>53.48</v>
      </c>
      <c r="D11059" s="216" t="n">
        <v>1.131005048751831</v>
      </c>
      <c r="E11059" s="215" t="n">
        <v>46066</v>
      </c>
      <c r="F11059" s="215" t="n">
        <v>46073</v>
      </c>
    </row>
    <row r="11060">
      <c r="A11060" s="215" t="n">
        <v>46076</v>
      </c>
      <c r="B11060" s="216" t="n">
        <v>38.34</v>
      </c>
      <c r="C11060" s="216" t="n">
        <v>53.48</v>
      </c>
      <c r="D11060" s="216" t="n">
        <v>1.130877017974854</v>
      </c>
      <c r="E11060" s="215" t="n">
        <v>46066</v>
      </c>
      <c r="F11060" s="215" t="n">
        <v>46076</v>
      </c>
    </row>
    <row r="11061">
      <c r="A11061" s="215" t="n">
        <v>46077</v>
      </c>
      <c r="B11061" s="216" t="n">
        <v>35.8</v>
      </c>
      <c r="C11061" s="216" t="n">
        <v>52.73</v>
      </c>
      <c r="D11061" s="216" t="n">
        <v>1.131631016731262</v>
      </c>
      <c r="E11061" s="215" t="n">
        <v>46077</v>
      </c>
      <c r="F11061" s="215" t="n">
        <v>46077</v>
      </c>
    </row>
    <row r="11062">
      <c r="A11062" s="215" t="n">
        <v>46078</v>
      </c>
      <c r="B11062" s="216" t="n">
        <v>36.48</v>
      </c>
      <c r="C11062" s="216" t="n">
        <v>52.15</v>
      </c>
      <c r="D11062" s="216" t="n">
        <v>1.136234045028687</v>
      </c>
      <c r="E11062" s="215" t="n">
        <v>46078</v>
      </c>
      <c r="F11062" s="215" t="n">
        <v>46078</v>
      </c>
    </row>
    <row r="11063">
      <c r="A11063" s="215" t="n">
        <v>46079</v>
      </c>
      <c r="B11063" s="216" t="n">
        <v>34.78</v>
      </c>
      <c r="C11063" s="216" t="n">
        <v>51.94</v>
      </c>
      <c r="D11063" s="216" t="n">
        <v>1.138198971748352</v>
      </c>
      <c r="E11063" s="215" t="n">
        <v>46079</v>
      </c>
      <c r="F11063" s="215" t="n">
        <v>46079</v>
      </c>
    </row>
    <row r="11064">
      <c r="A11064" s="215" t="n">
        <v>46080</v>
      </c>
      <c r="B11064" s="216" t="n">
        <v>33.84</v>
      </c>
      <c r="C11064" s="216" t="n">
        <v>51.21</v>
      </c>
      <c r="D11064" s="216" t="n">
        <v>1.143396973609924</v>
      </c>
      <c r="E11064" s="215" t="n">
        <v>46080</v>
      </c>
      <c r="F11064" s="215" t="n">
        <v>46080</v>
      </c>
    </row>
    <row r="11065">
      <c r="A11065" s="215" t="n">
        <v>46083</v>
      </c>
      <c r="B11065" s="216" t="n">
        <v>32.46</v>
      </c>
      <c r="C11065" s="216" t="n">
        <v>49.4</v>
      </c>
      <c r="D11065" s="216" t="n">
        <v>1.140552043914795</v>
      </c>
      <c r="E11065" s="215" t="n">
        <v>46083</v>
      </c>
      <c r="F11065" s="215" t="n">
        <v>46083</v>
      </c>
    </row>
    <row r="11066">
      <c r="A11066" s="215" t="n">
        <v>46084</v>
      </c>
      <c r="B11066" s="216" t="n">
        <v>29.58</v>
      </c>
      <c r="C11066" s="216" t="n">
        <v>46.58</v>
      </c>
      <c r="D11066" s="216" t="n">
        <v>1.136399984359741</v>
      </c>
      <c r="E11066" s="215" t="n">
        <v>46084</v>
      </c>
      <c r="F11066" s="215" t="n">
        <v>46084</v>
      </c>
    </row>
    <row r="11067">
      <c r="A11067" s="215" t="n">
        <v>46085</v>
      </c>
      <c r="B11067" s="216" t="n">
        <v>29.66</v>
      </c>
      <c r="C11067" s="216" t="n">
        <v>47.5</v>
      </c>
      <c r="D11067" s="216" t="n">
        <v>1.130928993225098</v>
      </c>
      <c r="E11067" s="215" t="n">
        <v>46085</v>
      </c>
      <c r="F11067" s="215" t="n">
        <v>46085</v>
      </c>
    </row>
    <row r="11068">
      <c r="A11068" s="215" t="n">
        <v>46086</v>
      </c>
      <c r="B11068" s="216" t="n">
        <v>30.42</v>
      </c>
      <c r="C11068" s="216" t="n">
        <v>47.59</v>
      </c>
      <c r="D11068" s="216" t="n">
        <v>1.133169054985046</v>
      </c>
      <c r="E11068" s="215" t="n">
        <v>46086</v>
      </c>
      <c r="F11068" s="215" t="n">
        <v>46086</v>
      </c>
    </row>
    <row r="11069">
      <c r="A11069" s="215" t="n">
        <v>46087</v>
      </c>
      <c r="B11069" s="216" t="n">
        <v>31.2</v>
      </c>
      <c r="C11069" s="216" t="n">
        <v>47.71</v>
      </c>
      <c r="D11069" s="216" t="n">
        <v>1.133442044258118</v>
      </c>
      <c r="E11069" s="215" t="n">
        <v>46087</v>
      </c>
      <c r="F11069" s="215" t="n">
        <v>46087</v>
      </c>
    </row>
    <row r="11070">
      <c r="A11070" s="215" t="n">
        <v>46090</v>
      </c>
      <c r="B11070" s="216" t="n">
        <v>30.58</v>
      </c>
      <c r="C11070" s="216" t="n">
        <v>46.99</v>
      </c>
      <c r="D11070" s="216" t="n">
        <v>1.133231043815613</v>
      </c>
      <c r="E11070" s="215" t="n">
        <v>46090</v>
      </c>
      <c r="F11070" s="215" t="n">
        <v>46090</v>
      </c>
    </row>
    <row r="11071">
      <c r="A11071" s="215" t="n">
        <v>46091</v>
      </c>
      <c r="B11071" s="216" t="n">
        <v>31.86</v>
      </c>
      <c r="C11071" s="216" t="n">
        <v>48.44</v>
      </c>
      <c r="D11071" s="216" t="n">
        <v>1.131595015525818</v>
      </c>
      <c r="E11071" s="215" t="n">
        <v>46091</v>
      </c>
      <c r="F11071" s="215" t="n">
        <v>46091</v>
      </c>
    </row>
    <row r="11072">
      <c r="A11072" s="215" t="n">
        <v>46092</v>
      </c>
      <c r="B11072" s="216" t="n">
        <v>31.4</v>
      </c>
      <c r="C11072" s="216" t="n">
        <v>48.21</v>
      </c>
      <c r="D11072" s="216" t="n">
        <v>1.137585043907166</v>
      </c>
      <c r="E11072" s="215" t="n">
        <v>46092</v>
      </c>
      <c r="F11072" s="215" t="n">
        <v>46092</v>
      </c>
    </row>
    <row r="11073">
      <c r="A11073" s="215" t="n">
        <v>46093</v>
      </c>
      <c r="B11073" s="216" t="n">
        <v>31.98</v>
      </c>
      <c r="C11073" s="216" t="n">
        <v>48.78</v>
      </c>
      <c r="D11073" s="216" t="n">
        <v>1.139600038528442</v>
      </c>
      <c r="E11073" s="215" t="n">
        <v>46093</v>
      </c>
      <c r="F11073" s="215" t="n">
        <v>46093</v>
      </c>
    </row>
    <row r="11074">
      <c r="A11074" s="215" t="n">
        <v>46094</v>
      </c>
      <c r="B11074" s="216" t="n">
        <v>30.86</v>
      </c>
      <c r="C11074" s="216" t="n">
        <v>47.3</v>
      </c>
      <c r="D11074" s="216" t="n">
        <v>1.139310002326965</v>
      </c>
      <c r="E11074" s="215" t="n">
        <v>46094</v>
      </c>
      <c r="F11074" s="215" t="n">
        <v>46094</v>
      </c>
    </row>
    <row r="11075">
      <c r="A11075" s="215" t="n">
        <v>46097</v>
      </c>
      <c r="B11075" s="216" t="n">
        <v>30.38</v>
      </c>
      <c r="C11075" s="216" t="n">
        <v>46.67</v>
      </c>
      <c r="D11075" s="216" t="n">
        <v>1.134883999824524</v>
      </c>
      <c r="E11075" s="215" t="n">
        <v>46097</v>
      </c>
      <c r="F11075" s="215" t="n">
        <v>46097</v>
      </c>
    </row>
    <row r="11076">
      <c r="A11076" s="215" t="n">
        <v>46098</v>
      </c>
      <c r="B11076" s="216" t="n">
        <v>29.8</v>
      </c>
      <c r="C11076" s="216" t="n">
        <v>45.89</v>
      </c>
      <c r="D11076" s="216" t="n">
        <v>1.125375986099243</v>
      </c>
      <c r="E11076" s="215" t="n">
        <v>46098</v>
      </c>
      <c r="F11076" s="215" t="n">
        <v>46098</v>
      </c>
    </row>
    <row r="11077">
      <c r="A11077" s="215" t="n">
        <v>46099</v>
      </c>
      <c r="B11077" s="216" t="n">
        <v>30.44</v>
      </c>
      <c r="C11077" s="216" t="n">
        <v>46.41</v>
      </c>
      <c r="D11077" s="216" t="n">
        <v>1.137819051742554</v>
      </c>
      <c r="E11077" s="215" t="n">
        <v>46099</v>
      </c>
      <c r="F11077" s="215" t="n">
        <v>46099</v>
      </c>
    </row>
    <row r="11078">
      <c r="A11078" s="215" t="n">
        <v>46100</v>
      </c>
      <c r="B11078" s="216" t="n">
        <v>29.46</v>
      </c>
      <c r="C11078" s="216" t="n">
        <v>44.98</v>
      </c>
      <c r="D11078" s="216" t="n">
        <v>1.140079021453857</v>
      </c>
      <c r="E11078" s="215" t="n">
        <v>46100</v>
      </c>
      <c r="F11078" s="215" t="n">
        <v>46100</v>
      </c>
    </row>
    <row r="11079">
      <c r="A11079" s="215" t="n">
        <v>46101</v>
      </c>
      <c r="B11079" s="216" t="n">
        <v>29.86</v>
      </c>
      <c r="C11079" s="216" t="n">
        <v>44.23</v>
      </c>
      <c r="D11079" s="216" t="n">
        <v>1.13490903377533</v>
      </c>
      <c r="E11079" s="215" t="n">
        <v>46101</v>
      </c>
      <c r="F11079" s="215" t="n">
        <v>46101</v>
      </c>
    </row>
    <row r="11080">
      <c r="A11080" s="215" t="n">
        <v>46104</v>
      </c>
      <c r="B11080" s="216" t="n">
        <v>28.76</v>
      </c>
      <c r="C11080" s="216" t="n">
        <v>43</v>
      </c>
      <c r="D11080" s="216" t="n">
        <v>1.137529969215393</v>
      </c>
      <c r="E11080" s="215" t="n">
        <v>46104</v>
      </c>
      <c r="F11080" s="215" t="n">
        <v>46104</v>
      </c>
    </row>
    <row r="11081">
      <c r="A11081" s="215" t="n">
        <v>46105</v>
      </c>
      <c r="B11081" s="216" t="n">
        <v>28.86</v>
      </c>
      <c r="C11081" s="216" t="n">
        <v>42.57</v>
      </c>
      <c r="D11081" s="216" t="n">
        <v>1.138481974601746</v>
      </c>
      <c r="E11081" s="215" t="n">
        <v>46105</v>
      </c>
      <c r="F11081" s="215" t="n">
        <v>46105</v>
      </c>
    </row>
    <row r="11082">
      <c r="A11082" s="215" t="n">
        <v>46106</v>
      </c>
      <c r="B11082" s="216" t="n">
        <v>29.8</v>
      </c>
      <c r="C11082" s="216" t="n">
        <v>43.49</v>
      </c>
      <c r="D11082" s="216" t="n">
        <v>1.135548949241638</v>
      </c>
      <c r="E11082" s="215" t="n">
        <v>46106</v>
      </c>
      <c r="F11082" s="215" t="n">
        <v>46106</v>
      </c>
    </row>
    <row r="11083">
      <c r="A11083" s="215" t="n">
        <v>46107</v>
      </c>
      <c r="B11083" s="216" t="n">
        <v>29.12</v>
      </c>
      <c r="C11083" s="216" t="n">
        <v>43.87</v>
      </c>
      <c r="D11083" s="216" t="n">
        <v>1.132627010345459</v>
      </c>
      <c r="E11083" s="215" t="n">
        <v>46107</v>
      </c>
      <c r="F11083" s="215" t="n">
        <v>46107</v>
      </c>
    </row>
    <row r="11084">
      <c r="A11084" s="215" t="n">
        <v>46108</v>
      </c>
      <c r="B11084" s="216" t="n">
        <v>28.98</v>
      </c>
      <c r="C11084" s="216" t="n">
        <v>43.35</v>
      </c>
      <c r="D11084" s="216" t="n">
        <v>1.132115960121155</v>
      </c>
      <c r="E11084" s="215" t="n">
        <v>46108</v>
      </c>
      <c r="F11084" s="215" t="n">
        <v>46108</v>
      </c>
    </row>
    <row r="11085">
      <c r="A11085" s="215" t="n">
        <v>46111</v>
      </c>
      <c r="B11085" s="216" t="n">
        <v>28.3</v>
      </c>
      <c r="C11085" s="216" t="n">
        <v>43.03</v>
      </c>
      <c r="D11085" s="216" t="n">
        <v>1.13311505317688</v>
      </c>
      <c r="E11085" s="215" t="n">
        <v>46111</v>
      </c>
      <c r="F11085" s="215" t="n">
        <v>46111</v>
      </c>
    </row>
    <row r="11086">
      <c r="A11086" s="215" t="n">
        <v>46112</v>
      </c>
      <c r="B11086" s="216" t="n">
        <v>28.04</v>
      </c>
      <c r="C11086" s="216" t="n">
        <v>42.53</v>
      </c>
      <c r="D11086" s="216" t="n">
        <v>1.133540987968445</v>
      </c>
      <c r="E11086" s="215" t="n">
        <v>46112</v>
      </c>
      <c r="F11086" s="215" t="n">
        <v>46112</v>
      </c>
    </row>
    <row r="11087">
      <c r="A11087" s="215" t="n">
        <v>46113</v>
      </c>
      <c r="B11087" s="216" t="n">
        <v>29.54</v>
      </c>
      <c r="C11087" s="216" t="n">
        <v>43.59</v>
      </c>
      <c r="D11087" s="216" t="n">
        <v>1.136669993400574</v>
      </c>
      <c r="E11087" s="215" t="n">
        <v>46113</v>
      </c>
      <c r="F11087" s="215" t="n">
        <v>46113</v>
      </c>
    </row>
    <row r="11088">
      <c r="A11088" s="215" t="n">
        <v>46114</v>
      </c>
      <c r="B11088" s="216" t="n">
        <v>29.8</v>
      </c>
      <c r="C11088" s="216" t="n">
        <v>42.81</v>
      </c>
      <c r="D11088" s="216" t="n">
        <v>1.140197992324829</v>
      </c>
      <c r="E11088" s="215" t="n">
        <v>46114</v>
      </c>
      <c r="F11088" s="215" t="n">
        <v>46114</v>
      </c>
    </row>
    <row r="11089">
      <c r="A11089" s="215" t="n">
        <v>46120</v>
      </c>
      <c r="B11089" s="216" t="n">
        <v>31.2</v>
      </c>
      <c r="C11089" s="216" t="n">
        <v>44.28</v>
      </c>
      <c r="D11089" s="216" t="n">
        <v>1.1423499584198</v>
      </c>
      <c r="E11089" s="215" t="n">
        <v>46120</v>
      </c>
      <c r="F11089" s="215" t="n">
        <v>46120</v>
      </c>
    </row>
    <row r="11090">
      <c r="A11090" s="215" t="n">
        <v>46121</v>
      </c>
      <c r="B11090" s="216" t="n">
        <v>30.82</v>
      </c>
      <c r="C11090" s="216" t="n">
        <v>43.78</v>
      </c>
      <c r="D11090" s="216" t="n">
        <v>1.146731972694397</v>
      </c>
      <c r="E11090" s="215" t="n">
        <v>46121</v>
      </c>
      <c r="F11090" s="215" t="n">
        <v>46121</v>
      </c>
    </row>
    <row r="11091">
      <c r="A11091" s="215" t="n">
        <v>46122</v>
      </c>
      <c r="B11091" s="216" t="n">
        <v>30.84</v>
      </c>
      <c r="C11091" s="216" t="n">
        <v>44.87</v>
      </c>
      <c r="D11091" s="216" t="n">
        <v>1.146558046340942</v>
      </c>
      <c r="E11091" s="215" t="n">
        <v>46122</v>
      </c>
      <c r="F11091" s="215" t="n">
        <v>46122</v>
      </c>
    </row>
    <row r="11092">
      <c r="A11092" s="215" t="n">
        <v>46125</v>
      </c>
      <c r="B11092" s="216" t="n">
        <v>30.16</v>
      </c>
      <c r="C11092" s="216" t="n">
        <v>44.45</v>
      </c>
      <c r="D11092" s="216" t="n">
        <v>1.147117972373962</v>
      </c>
      <c r="E11092" s="215" t="n">
        <v>46125</v>
      </c>
      <c r="F11092" s="215" t="n">
        <v>46125</v>
      </c>
    </row>
    <row r="11093">
      <c r="A11093" s="215" t="n">
        <v>46126</v>
      </c>
      <c r="B11093" s="216" t="n">
        <v>31.02</v>
      </c>
      <c r="C11093" s="216" t="n">
        <v>45.54</v>
      </c>
      <c r="D11093" s="216" t="n">
        <v>1.146226048469543</v>
      </c>
      <c r="E11093" s="215" t="n">
        <v>46126</v>
      </c>
      <c r="F11093" s="215" t="n">
        <v>46126</v>
      </c>
    </row>
    <row r="11094">
      <c r="A11094" s="215" t="n">
        <v>46127</v>
      </c>
      <c r="B11094" s="216" t="n">
        <v>31.04</v>
      </c>
      <c r="C11094" s="216" t="n">
        <v>45.11</v>
      </c>
      <c r="D11094" s="216" t="n">
        <v>1.149266004562378</v>
      </c>
      <c r="E11094" s="215" t="n">
        <v>46127</v>
      </c>
      <c r="F11094" s="215" t="n">
        <v>46127</v>
      </c>
    </row>
    <row r="11095">
      <c r="A11095" s="215" t="n">
        <v>46128</v>
      </c>
      <c r="B11095" s="216" t="n">
        <v>31.62</v>
      </c>
      <c r="C11095" s="216" t="n">
        <v>45.78</v>
      </c>
      <c r="D11095" s="216" t="n">
        <v>1.148550033569336</v>
      </c>
      <c r="E11095" s="215" t="n">
        <v>46128</v>
      </c>
      <c r="F11095" s="215" t="n">
        <v>46128</v>
      </c>
    </row>
    <row r="11096">
      <c r="A11096" s="215" t="n">
        <v>46129</v>
      </c>
      <c r="B11096" s="216" t="n">
        <v>31.84</v>
      </c>
      <c r="C11096" s="216" t="n">
        <v>45.54</v>
      </c>
      <c r="D11096" s="216" t="n">
        <v>1.146605014801025</v>
      </c>
      <c r="E11096" s="215" t="n">
        <v>46129</v>
      </c>
      <c r="F11096" s="215" t="n">
        <v>46129</v>
      </c>
    </row>
    <row r="11097">
      <c r="A11097" s="215" t="n">
        <v>46132</v>
      </c>
      <c r="B11097" s="216" t="n">
        <v>31.7</v>
      </c>
      <c r="C11097" s="216" t="n">
        <v>45.94</v>
      </c>
      <c r="D11097" s="216" t="n">
        <v>1.148360967636108</v>
      </c>
      <c r="E11097" s="215" t="n">
        <v>46132</v>
      </c>
      <c r="F11097" s="215" t="n">
        <v>46132</v>
      </c>
    </row>
    <row r="11098">
      <c r="A11098" s="215" t="n">
        <v>46133</v>
      </c>
      <c r="B11098" s="216" t="n">
        <v>31.52</v>
      </c>
      <c r="C11098" s="216" t="n">
        <v>46.11</v>
      </c>
      <c r="D11098" s="216" t="n">
        <v>1.148368000984192</v>
      </c>
      <c r="E11098" s="215" t="n">
        <v>46133</v>
      </c>
      <c r="F11098" s="215" t="n">
        <v>46133</v>
      </c>
    </row>
    <row r="11099">
      <c r="A11099" s="215" t="n">
        <v>46134</v>
      </c>
      <c r="B11099" s="216" t="n">
        <v>30.86</v>
      </c>
      <c r="C11099" s="216" t="n">
        <v>46.09</v>
      </c>
      <c r="D11099" s="216" t="n">
        <v>1.147838950157166</v>
      </c>
      <c r="E11099" s="215" t="n">
        <v>46134</v>
      </c>
      <c r="F11099" s="215" t="n">
        <v>46134</v>
      </c>
    </row>
    <row r="11100">
      <c r="A11100" s="215" t="n">
        <v>46135</v>
      </c>
      <c r="B11100" s="216" t="n">
        <v>30</v>
      </c>
      <c r="C11100" s="216" t="n">
        <v>45.16</v>
      </c>
      <c r="D11100" s="216" t="n">
        <v>1.147513031959534</v>
      </c>
      <c r="E11100" s="215" t="n">
        <v>46135</v>
      </c>
      <c r="F11100" s="215" t="n">
        <v>46135</v>
      </c>
    </row>
    <row r="11101">
      <c r="A11101" s="215" t="n">
        <v>46136</v>
      </c>
      <c r="B11101" s="216" t="n">
        <v>30.66</v>
      </c>
      <c r="C11101" s="216" t="n">
        <v>44.94</v>
      </c>
      <c r="D11101" s="216" t="n">
        <v>1.147369027137756</v>
      </c>
      <c r="E11101" s="215" t="n">
        <v>46136</v>
      </c>
      <c r="F11101" s="215" t="n">
        <v>46136</v>
      </c>
    </row>
    <row r="11102">
      <c r="A11102" s="215" t="n">
        <v>46139</v>
      </c>
      <c r="B11102" s="216" t="n">
        <v>31.9</v>
      </c>
      <c r="C11102" s="216" t="n">
        <v>45.91</v>
      </c>
      <c r="D11102" s="216" t="n">
        <v>1.146002054214478</v>
      </c>
      <c r="E11102" s="215" t="n">
        <v>46139</v>
      </c>
      <c r="F11102" s="215" t="n">
        <v>46139</v>
      </c>
    </row>
    <row r="11103">
      <c r="A11103" s="215" t="n">
        <v>46140</v>
      </c>
      <c r="B11103" s="216" t="n">
        <v>31.18</v>
      </c>
      <c r="C11103" s="216" t="n">
        <v>44.16</v>
      </c>
      <c r="D11103" s="216" t="n">
        <v>1.148522019386292</v>
      </c>
      <c r="E11103" s="215" t="n">
        <v>46140</v>
      </c>
      <c r="F11103" s="215" t="n">
        <v>46140</v>
      </c>
    </row>
    <row r="11104">
      <c r="A11104" s="215" t="n">
        <v>46141</v>
      </c>
      <c r="B11104" s="216" t="n">
        <v>31.88</v>
      </c>
      <c r="C11104" s="216" t="n">
        <v>44.82</v>
      </c>
      <c r="D11104" s="216" t="n">
        <v>1.145936012268066</v>
      </c>
      <c r="E11104" s="215" t="n">
        <v>46141</v>
      </c>
      <c r="F11104" s="215" t="n">
        <v>46141</v>
      </c>
    </row>
    <row r="11105">
      <c r="A11105" s="215" t="n">
        <v>46142</v>
      </c>
      <c r="B11105" s="216" t="n">
        <v>33.2</v>
      </c>
      <c r="C11105" s="216" t="n">
        <v>46.92</v>
      </c>
      <c r="D11105" s="216" t="n">
        <v>1.145792007446289</v>
      </c>
      <c r="E11105" s="215" t="n">
        <v>46142</v>
      </c>
      <c r="F11105" s="215" t="n">
        <v>46142</v>
      </c>
    </row>
    <row r="11106">
      <c r="A11106" s="215" t="n">
        <v>46146</v>
      </c>
      <c r="B11106" s="216" t="n">
        <v>34.4</v>
      </c>
      <c r="C11106" s="216" t="n">
        <v>46.92</v>
      </c>
      <c r="D11106" s="216" t="n">
        <v>1.147340059280396</v>
      </c>
      <c r="E11106" s="215" t="n">
        <v>46142</v>
      </c>
      <c r="F11106" s="215" t="n">
        <v>46146</v>
      </c>
    </row>
    <row r="11107">
      <c r="A11107" s="215" t="n">
        <v>46147</v>
      </c>
      <c r="B11107" s="216" t="n">
        <v>34.82</v>
      </c>
      <c r="C11107" s="216" t="n">
        <v>46.92</v>
      </c>
      <c r="D11107" s="216" t="n">
        <v>1.146813988685608</v>
      </c>
      <c r="E11107" s="215" t="n">
        <v>46142</v>
      </c>
      <c r="F11107" s="215" t="n">
        <v>46147</v>
      </c>
    </row>
    <row r="11108">
      <c r="A11108" s="215" t="n">
        <v>46148</v>
      </c>
      <c r="B11108" s="216" t="n">
        <v>33.46</v>
      </c>
      <c r="C11108" s="216" t="n">
        <v>48.16</v>
      </c>
      <c r="D11108" s="216" t="n">
        <v>1.14708399772644</v>
      </c>
      <c r="E11108" s="215" t="n">
        <v>46148</v>
      </c>
      <c r="F11108" s="215" t="n">
        <v>46148</v>
      </c>
    </row>
    <row r="11109">
      <c r="A11109" s="215" t="n">
        <v>46149</v>
      </c>
      <c r="B11109" s="216" t="n">
        <v>35.4</v>
      </c>
      <c r="C11109" s="216" t="n">
        <v>50.32</v>
      </c>
      <c r="D11109" s="216" t="n">
        <v>1.150125026702881</v>
      </c>
      <c r="E11109" s="215" t="n">
        <v>46149</v>
      </c>
      <c r="F11109" s="215" t="n">
        <v>46149</v>
      </c>
    </row>
    <row r="11110">
      <c r="A11110" s="215" t="n">
        <v>46150</v>
      </c>
      <c r="B11110" s="216" t="n">
        <v>35.54</v>
      </c>
      <c r="C11110" s="216" t="n">
        <v>51.69</v>
      </c>
      <c r="D11110" s="216" t="n">
        <v>1.15172004699707</v>
      </c>
      <c r="E11110" s="215" t="n">
        <v>46150</v>
      </c>
      <c r="F11110" s="215" t="n">
        <v>46150</v>
      </c>
    </row>
    <row r="11111">
      <c r="A11111" s="215" t="n">
        <v>46153</v>
      </c>
      <c r="B11111" s="216" t="n">
        <v>35.22</v>
      </c>
      <c r="C11111" s="216" t="n">
        <v>51.21</v>
      </c>
      <c r="D11111" s="216" t="n">
        <v>1.151090025901794</v>
      </c>
      <c r="E11111" s="215" t="n">
        <v>46153</v>
      </c>
      <c r="F11111" s="215" t="n">
        <v>46153</v>
      </c>
    </row>
    <row r="11112">
      <c r="A11112" s="215" t="n">
        <v>46154</v>
      </c>
      <c r="B11112" s="216" t="n">
        <v>34.64</v>
      </c>
      <c r="C11112" s="216" t="n">
        <v>50.92</v>
      </c>
      <c r="D11112" s="216" t="n">
        <v>1.152078986167908</v>
      </c>
      <c r="E11112" s="215" t="n">
        <v>46154</v>
      </c>
      <c r="F11112" s="215" t="n">
        <v>46154</v>
      </c>
    </row>
    <row r="11113">
      <c r="A11113" s="215" t="n">
        <v>46155</v>
      </c>
      <c r="B11113" s="216" t="n">
        <v>35</v>
      </c>
      <c r="C11113" s="216" t="n">
        <v>51.5</v>
      </c>
      <c r="D11113" s="216" t="n">
        <v>1.152537941932678</v>
      </c>
      <c r="E11113" s="215" t="n">
        <v>46155</v>
      </c>
      <c r="F11113" s="215" t="n">
        <v>46155</v>
      </c>
    </row>
    <row r="11114">
      <c r="A11114" s="215" t="n">
        <v>46156</v>
      </c>
      <c r="B11114" s="216" t="n">
        <v>33.62</v>
      </c>
      <c r="C11114" s="216" t="n">
        <v>49.43</v>
      </c>
      <c r="D11114" s="216" t="n">
        <v>1.152662992477417</v>
      </c>
      <c r="E11114" s="215" t="n">
        <v>46156</v>
      </c>
      <c r="F11114" s="215" t="n">
        <v>46156</v>
      </c>
    </row>
    <row r="11115">
      <c r="A11115" s="215" t="n">
        <v>46157</v>
      </c>
      <c r="B11115" s="216" t="n">
        <v>35.92</v>
      </c>
      <c r="C11115" s="216" t="n">
        <v>52.06</v>
      </c>
      <c r="D11115" s="216" t="n">
        <v>1.154320001602173</v>
      </c>
      <c r="E11115" s="215" t="n">
        <v>46157</v>
      </c>
      <c r="F11115" s="215" t="n">
        <v>46157</v>
      </c>
    </row>
    <row r="11116">
      <c r="A11116" s="215" t="n">
        <v>46160</v>
      </c>
      <c r="B11116" s="216" t="n">
        <v>34.94</v>
      </c>
      <c r="C11116" s="216" t="n">
        <v>52.92</v>
      </c>
      <c r="D11116" s="216" t="n">
        <v>1.149821996688843</v>
      </c>
      <c r="E11116" s="215" t="n">
        <v>46160</v>
      </c>
      <c r="F11116" s="215" t="n">
        <v>46160</v>
      </c>
    </row>
    <row r="11117">
      <c r="A11117" s="215" t="n">
        <v>46161</v>
      </c>
      <c r="B11117" s="216" t="n">
        <v>34.34</v>
      </c>
      <c r="C11117" s="216" t="n">
        <v>52.33</v>
      </c>
      <c r="D11117" s="216" t="n">
        <v>1.151532053947449</v>
      </c>
      <c r="E11117" s="215" t="n">
        <v>46161</v>
      </c>
      <c r="F11117" s="215" t="n">
        <v>46161</v>
      </c>
    </row>
    <row r="11118">
      <c r="A11118" s="215" t="n">
        <v>46162</v>
      </c>
      <c r="B11118" s="216" t="n">
        <v>33.68</v>
      </c>
      <c r="C11118" s="216" t="n">
        <v>50.55</v>
      </c>
      <c r="D11118" s="216" t="n">
        <v>1.149292945861816</v>
      </c>
      <c r="E11118" s="215" t="n">
        <v>46162</v>
      </c>
      <c r="F11118" s="215" t="n">
        <v>46162</v>
      </c>
    </row>
    <row r="11119">
      <c r="A11119" s="215" t="n">
        <v>46163</v>
      </c>
      <c r="B11119" s="216" t="n">
        <v>34.7</v>
      </c>
      <c r="C11119" s="216" t="n">
        <v>52.83</v>
      </c>
      <c r="D11119" s="216" t="n">
        <v>1.151231050491333</v>
      </c>
      <c r="E11119" s="215" t="n">
        <v>46163</v>
      </c>
      <c r="F11119" s="215" t="n">
        <v>46163</v>
      </c>
    </row>
    <row r="11120">
      <c r="A11120" s="215" t="n">
        <v>46164</v>
      </c>
      <c r="B11120" s="216" t="n">
        <v>36.18</v>
      </c>
      <c r="C11120" s="216" t="n">
        <v>54.05</v>
      </c>
      <c r="D11120" s="216" t="n">
        <v>1.151487946510315</v>
      </c>
      <c r="E11120" s="215" t="n">
        <v>46164</v>
      </c>
      <c r="F11120" s="215" t="n">
        <v>46164</v>
      </c>
    </row>
    <row r="11121">
      <c r="A11121" s="215" t="n">
        <v>46168</v>
      </c>
      <c r="B11121" s="216" t="n">
        <v>36.4</v>
      </c>
      <c r="C11121" s="216" t="n">
        <v>54.44</v>
      </c>
      <c r="D11121" s="216" t="n">
        <v>1.152968049049377</v>
      </c>
      <c r="E11121" s="215" t="n">
        <v>46168</v>
      </c>
      <c r="F11121" s="215" t="n">
        <v>46168</v>
      </c>
    </row>
    <row r="11122">
      <c r="A11122" s="215" t="n">
        <v>46169</v>
      </c>
      <c r="B11122" s="216" t="n">
        <v>34.62</v>
      </c>
      <c r="C11122" s="216" t="n">
        <v>51.02</v>
      </c>
      <c r="D11122" s="216" t="n">
        <v>1.154562950134277</v>
      </c>
      <c r="E11122" s="215" t="n">
        <v>46169</v>
      </c>
      <c r="F11122" s="215" t="n">
        <v>46169</v>
      </c>
    </row>
    <row r="11123">
      <c r="A11123" s="215" t="n">
        <v>46170</v>
      </c>
      <c r="B11123" s="216" t="n">
        <v>32.92</v>
      </c>
      <c r="C11123" s="216" t="n">
        <v>48.61</v>
      </c>
      <c r="D11123" s="216" t="n">
        <v>1.155385971069336</v>
      </c>
      <c r="E11123" s="215" t="n">
        <v>46170</v>
      </c>
      <c r="F11123" s="215" t="n">
        <v>46170</v>
      </c>
    </row>
    <row r="11124">
      <c r="A11124" s="215" t="n">
        <v>46171</v>
      </c>
      <c r="B11124" s="216" t="n">
        <v>31.42</v>
      </c>
      <c r="C11124" s="216" t="n">
        <v>46.34</v>
      </c>
      <c r="D11124" s="216" t="n">
        <v>1.155282974243164</v>
      </c>
      <c r="E11124" s="215" t="n">
        <v>46171</v>
      </c>
      <c r="F11124" s="215" t="n">
        <v>46171</v>
      </c>
    </row>
    <row r="11125">
      <c r="A11125" s="215" t="n">
        <v>46174</v>
      </c>
      <c r="B11125" s="216" t="n">
        <v>30.72</v>
      </c>
      <c r="C11125" s="216" t="n">
        <v>44.57</v>
      </c>
      <c r="D11125" s="216" t="n">
        <v>1.158049941062927</v>
      </c>
      <c r="E11125" s="215" t="n">
        <v>46174</v>
      </c>
      <c r="F11125" s="215" t="n">
        <v>46174</v>
      </c>
    </row>
    <row r="11126">
      <c r="A11126" s="215" t="n">
        <v>46175</v>
      </c>
      <c r="B11126" s="216" t="n">
        <v>31.24</v>
      </c>
      <c r="C11126" s="216" t="n">
        <v>45.17</v>
      </c>
      <c r="D11126" s="216" t="n">
        <v>1.158406972885132</v>
      </c>
      <c r="E11126" s="215" t="n">
        <v>46175</v>
      </c>
      <c r="F11126" s="215" t="n">
        <v>46175</v>
      </c>
    </row>
    <row r="11127">
      <c r="A11127" s="215" t="n">
        <v>46176</v>
      </c>
      <c r="B11127" s="216" t="n">
        <v>31</v>
      </c>
      <c r="C11127" s="216" t="n">
        <v>45.08</v>
      </c>
      <c r="D11127" s="216" t="n">
        <v>1.15879499912262</v>
      </c>
      <c r="E11127" s="215" t="n">
        <v>46176</v>
      </c>
      <c r="F11127" s="215" t="n">
        <v>46176</v>
      </c>
    </row>
    <row r="11128">
      <c r="A11128" s="215" t="n">
        <v>46177</v>
      </c>
      <c r="B11128" s="216" t="n">
        <v>31.62</v>
      </c>
      <c r="C11128" s="216" t="n">
        <v>47.01</v>
      </c>
      <c r="D11128" s="216" t="n">
        <v>1.157420039176941</v>
      </c>
      <c r="E11128" s="215" t="n">
        <v>46177</v>
      </c>
      <c r="F11128" s="215" t="n">
        <v>46177</v>
      </c>
    </row>
    <row r="11129">
      <c r="A11129" s="215" t="n">
        <v>46178</v>
      </c>
      <c r="B11129" s="216" t="n">
        <v>30.72</v>
      </c>
      <c r="C11129" s="216" t="n">
        <v>47.51</v>
      </c>
      <c r="D11129" s="216" t="n">
        <v>1.156491994857788</v>
      </c>
      <c r="E11129" s="215" t="n">
        <v>46178</v>
      </c>
      <c r="F11129" s="215" t="n">
        <v>46178</v>
      </c>
    </row>
    <row r="11130">
      <c r="A11130" s="215" t="n">
        <v>46181</v>
      </c>
      <c r="B11130" s="216" t="n">
        <v>30.3</v>
      </c>
      <c r="C11130" s="216" t="n">
        <v>47.38</v>
      </c>
      <c r="D11130" s="216" t="n">
        <v>1.157665967941284</v>
      </c>
      <c r="E11130" s="215" t="n">
        <v>46181</v>
      </c>
      <c r="F11130" s="215" t="n">
        <v>46181</v>
      </c>
    </row>
    <row r="11131">
      <c r="A11131" s="215" t="n">
        <v>46182</v>
      </c>
      <c r="B11131" s="216" t="n">
        <v>30.3</v>
      </c>
      <c r="C11131" s="216" t="n">
        <v>47.49</v>
      </c>
      <c r="D11131" s="216" t="n">
        <v>1.158027052879333</v>
      </c>
      <c r="E11131" s="215" t="n">
        <v>46182</v>
      </c>
      <c r="F11131" s="215" t="n">
        <v>46182</v>
      </c>
    </row>
    <row r="11132">
      <c r="A11132" s="215" t="n">
        <v>46183</v>
      </c>
      <c r="B11132" s="216" t="n">
        <v>29.28</v>
      </c>
      <c r="C11132" s="216" t="n">
        <v>45.36</v>
      </c>
      <c r="D11132" s="216" t="n">
        <v>1.157112002372742</v>
      </c>
      <c r="E11132" s="215" t="n">
        <v>46183</v>
      </c>
      <c r="F11132" s="215" t="n">
        <v>46183</v>
      </c>
    </row>
    <row r="11133">
      <c r="A11133" s="215" t="n">
        <v>46184</v>
      </c>
      <c r="B11133" s="216" t="n">
        <v>28.74</v>
      </c>
      <c r="C11133" s="216" t="n">
        <v>45.69</v>
      </c>
      <c r="D11133" s="216" t="n">
        <v>1.156929016113281</v>
      </c>
      <c r="E11133" s="215" t="n">
        <v>46184</v>
      </c>
      <c r="F11133" s="215" t="n">
        <v>46184</v>
      </c>
    </row>
    <row r="11134">
      <c r="A11134" s="215" t="n">
        <v>46185</v>
      </c>
      <c r="B11134" s="216" t="n">
        <v>28.38</v>
      </c>
      <c r="C11134" s="216" t="n">
        <v>44.81</v>
      </c>
      <c r="D11134" s="216" t="n">
        <v>1.156345963478088</v>
      </c>
      <c r="E11134" s="215" t="n">
        <v>46185</v>
      </c>
      <c r="F11134" s="215" t="n">
        <v>46185</v>
      </c>
    </row>
    <row r="11135">
      <c r="A11135" s="215" t="n">
        <v>46188</v>
      </c>
      <c r="B11135" s="216" t="n">
        <v>29.3</v>
      </c>
      <c r="C11135" s="216" t="n">
        <v>45.75</v>
      </c>
      <c r="D11135" s="216" t="n">
        <v>1.156880021095276</v>
      </c>
      <c r="E11135" s="215" t="n">
        <v>46188</v>
      </c>
      <c r="F11135" s="215" t="n">
        <v>46188</v>
      </c>
    </row>
    <row r="11136">
      <c r="A11136" s="215" t="n">
        <v>46189</v>
      </c>
      <c r="B11136" s="216" t="n">
        <v>28.1</v>
      </c>
      <c r="C11136" s="216" t="n">
        <v>45.12</v>
      </c>
      <c r="D11136" s="216" t="n">
        <v>1.158604025840759</v>
      </c>
      <c r="E11136" s="215" t="n">
        <v>46189</v>
      </c>
      <c r="F11136" s="215" t="n">
        <v>46189</v>
      </c>
    </row>
    <row r="11137">
      <c r="A11137" s="215" t="n">
        <v>46190</v>
      </c>
      <c r="B11137" s="216" t="n">
        <v>27.5</v>
      </c>
      <c r="C11137" s="216" t="n">
        <v>44.6</v>
      </c>
      <c r="D11137" s="216" t="n">
        <v>1.158974051475525</v>
      </c>
      <c r="E11137" s="215" t="n">
        <v>46190</v>
      </c>
      <c r="F11137" s="215" t="n">
        <v>46190</v>
      </c>
    </row>
    <row r="11138">
      <c r="A11138" s="215" t="n">
        <v>46191</v>
      </c>
      <c r="B11138" s="216" t="n">
        <v>27.76</v>
      </c>
      <c r="C11138" s="216" t="n">
        <v>45.74</v>
      </c>
      <c r="D11138" s="216" t="n">
        <v>1.159355998039246</v>
      </c>
      <c r="E11138" s="215" t="n">
        <v>46191</v>
      </c>
      <c r="F11138" s="215" t="n">
        <v>46191</v>
      </c>
    </row>
    <row r="11139">
      <c r="A11139" s="215" t="n">
        <v>46195</v>
      </c>
      <c r="B11139" s="216" t="n">
        <v>26.7</v>
      </c>
      <c r="C11139" s="216" t="n">
        <v>45.23</v>
      </c>
      <c r="D11139" s="216" t="n">
        <v>1.157493948936462</v>
      </c>
      <c r="E11139" s="215" t="n">
        <v>46195</v>
      </c>
      <c r="F11139" s="215" t="n">
        <v>46195</v>
      </c>
    </row>
    <row r="11140">
      <c r="A11140" s="215" t="n">
        <v>46196</v>
      </c>
      <c r="B11140" s="216" t="n">
        <v>25.72</v>
      </c>
      <c r="C11140" s="216" t="n">
        <v>43.19</v>
      </c>
      <c r="D11140" s="216" t="n">
        <v>1.156896948814392</v>
      </c>
      <c r="E11140" s="215" t="n">
        <v>46196</v>
      </c>
      <c r="F11140" s="215" t="n">
        <v>46196</v>
      </c>
    </row>
    <row r="11141">
      <c r="A11141" s="215" t="n">
        <v>46197</v>
      </c>
      <c r="B11141" s="216" t="n">
        <v>25.5</v>
      </c>
      <c r="C11141" s="216" t="n">
        <v>43.9</v>
      </c>
      <c r="D11141" s="216" t="n">
        <v>1.154508948326111</v>
      </c>
      <c r="E11141" s="215" t="n">
        <v>46197</v>
      </c>
      <c r="F11141" s="215" t="n">
        <v>46197</v>
      </c>
    </row>
    <row r="11142">
      <c r="A11142" s="215" t="n">
        <v>46198</v>
      </c>
      <c r="B11142" s="216" t="n">
        <v>25.8</v>
      </c>
      <c r="C11142" s="216" t="n">
        <v>43.94</v>
      </c>
      <c r="D11142" s="216" t="n">
        <v>1.154152035713196</v>
      </c>
      <c r="E11142" s="215" t="n">
        <v>46198</v>
      </c>
      <c r="F11142" s="215" t="n">
        <v>46198</v>
      </c>
    </row>
    <row r="11143">
      <c r="A11143" s="215" t="n">
        <v>46199</v>
      </c>
      <c r="B11143" s="216" t="n">
        <v>24.42</v>
      </c>
      <c r="C11143" s="216" t="n">
        <v>41.5</v>
      </c>
      <c r="D11143" s="216" t="n">
        <v>1.154500961303711</v>
      </c>
      <c r="E11143" s="215" t="n">
        <v>46199</v>
      </c>
      <c r="F11143" s="215" t="n">
        <v>46199</v>
      </c>
    </row>
    <row r="11144">
      <c r="A11144" s="215" t="n">
        <v>46202</v>
      </c>
      <c r="B11144" s="216" t="n">
        <v>25.16</v>
      </c>
      <c r="C11144" s="216" t="n">
        <v>41.27</v>
      </c>
      <c r="D11144" s="216" t="n">
        <v>1.153512001037598</v>
      </c>
      <c r="E11144" s="215" t="n">
        <v>46202</v>
      </c>
      <c r="F11144" s="215" t="n">
        <v>46202</v>
      </c>
    </row>
    <row r="11145">
      <c r="A11145" s="215" t="n">
        <v>46203</v>
      </c>
      <c r="B11145" s="216" t="n">
        <v>26.44</v>
      </c>
      <c r="C11145" s="216" t="n">
        <v>43.83</v>
      </c>
      <c r="D11145" s="216" t="n">
        <v>1.153959035873413</v>
      </c>
      <c r="E11145" s="215" t="n">
        <v>46203</v>
      </c>
      <c r="F11145" s="215" t="n">
        <v>46203</v>
      </c>
    </row>
    <row r="11146">
      <c r="A11146" s="215" t="n">
        <v>46205</v>
      </c>
      <c r="B11146" s="216" t="n">
        <v>27.48</v>
      </c>
      <c r="C11146" s="216" t="n">
        <v>44.92</v>
      </c>
      <c r="D11146" s="216" t="n">
        <v>1.154355049133301</v>
      </c>
      <c r="E11146" s="215" t="n">
        <v>46205</v>
      </c>
      <c r="F11146" s="215" t="n">
        <v>46205</v>
      </c>
    </row>
    <row r="11147">
      <c r="A11147" s="215" t="n">
        <v>46206</v>
      </c>
      <c r="B11147" s="216" t="n">
        <v>30.32</v>
      </c>
      <c r="C11147" s="216" t="n">
        <v>48.99</v>
      </c>
      <c r="D11147" s="216" t="n">
        <v>1.155220985412598</v>
      </c>
      <c r="E11147" s="215" t="n">
        <v>46206</v>
      </c>
      <c r="F11147" s="215" t="n">
        <v>46206</v>
      </c>
    </row>
    <row r="11148">
      <c r="A11148" s="215" t="n">
        <v>46209</v>
      </c>
      <c r="B11148" s="216" t="n">
        <v>28.96</v>
      </c>
      <c r="C11148" s="216" t="n">
        <v>46.15</v>
      </c>
      <c r="D11148" s="216" t="n">
        <v>1.155068039894104</v>
      </c>
      <c r="E11148" s="215" t="n">
        <v>46209</v>
      </c>
      <c r="F11148" s="215" t="n">
        <v>46209</v>
      </c>
    </row>
    <row r="11149">
      <c r="A11149" s="215" t="n">
        <v>46210</v>
      </c>
      <c r="B11149" s="216" t="n">
        <v>28.54</v>
      </c>
      <c r="C11149" s="216" t="n">
        <v>45.51</v>
      </c>
      <c r="D11149" s="216" t="n">
        <v>1.153807997703552</v>
      </c>
      <c r="E11149" s="215" t="n">
        <v>46210</v>
      </c>
      <c r="F11149" s="215" t="n">
        <v>46210</v>
      </c>
    </row>
    <row r="11150">
      <c r="A11150" s="215" t="n">
        <v>46211</v>
      </c>
      <c r="B11150" s="216" t="n">
        <v>27.86</v>
      </c>
      <c r="C11150" s="216" t="n">
        <v>42.01</v>
      </c>
      <c r="D11150" s="216" t="n">
        <v>1.154153943061829</v>
      </c>
      <c r="E11150" s="215" t="n">
        <v>46211</v>
      </c>
      <c r="F11150" s="215" t="n">
        <v>46211</v>
      </c>
    </row>
    <row r="11151">
      <c r="A11151" s="215" t="n">
        <v>46212</v>
      </c>
      <c r="B11151" s="216" t="n">
        <v>27.7</v>
      </c>
      <c r="C11151" s="216" t="n">
        <v>42.85</v>
      </c>
      <c r="D11151" s="216" t="n">
        <v>1.152119994163513</v>
      </c>
      <c r="E11151" s="215" t="n">
        <v>46212</v>
      </c>
      <c r="F11151" s="215" t="n">
        <v>46212</v>
      </c>
    </row>
    <row r="11152">
      <c r="A11152" s="215" t="n">
        <v>46213</v>
      </c>
      <c r="B11152" s="216" t="n">
        <v>28.1</v>
      </c>
      <c r="C11152" s="216" t="n">
        <v>43.2</v>
      </c>
      <c r="D11152" s="216" t="n">
        <v>1.153550028800964</v>
      </c>
      <c r="E11152" s="215" t="n">
        <v>46213</v>
      </c>
      <c r="F11152" s="215" t="n">
        <v>46213</v>
      </c>
    </row>
    <row r="11153">
      <c r="A11153" s="215" t="n">
        <v>46216</v>
      </c>
      <c r="B11153" s="216" t="n">
        <v>27.56</v>
      </c>
      <c r="C11153" s="216" t="n">
        <v>41.6</v>
      </c>
      <c r="D11153" s="216" t="n">
        <v>1.156761050224304</v>
      </c>
      <c r="E11153" s="215" t="n">
        <v>46216</v>
      </c>
      <c r="F11153" s="215" t="n">
        <v>46216</v>
      </c>
    </row>
    <row r="11154">
      <c r="A11154" s="215" t="n">
        <v>46217</v>
      </c>
      <c r="B11154" s="216" t="n">
        <v>27.3</v>
      </c>
      <c r="C11154" s="216" t="n">
        <v>41.94</v>
      </c>
      <c r="D11154" s="216" t="n">
        <v>1.155825972557068</v>
      </c>
      <c r="E11154" s="215" t="n">
        <v>46217</v>
      </c>
      <c r="F11154" s="215" t="n">
        <v>46217</v>
      </c>
    </row>
    <row r="11155">
      <c r="A11155" s="215" t="n">
        <v>46218</v>
      </c>
      <c r="B11155" s="216" t="n">
        <v>27.5</v>
      </c>
      <c r="C11155" s="216" t="n">
        <v>41.5</v>
      </c>
      <c r="D11155" s="216" t="n">
        <v>1.157556056976318</v>
      </c>
      <c r="E11155" s="215" t="n">
        <v>46218</v>
      </c>
      <c r="F11155" s="215" t="n">
        <v>46218</v>
      </c>
    </row>
    <row r="11156">
      <c r="A11156" s="215" t="n">
        <v>46219</v>
      </c>
      <c r="B11156" s="216" t="n">
        <v>27.72</v>
      </c>
      <c r="C11156" s="216" t="n">
        <v>41.83</v>
      </c>
      <c r="D11156" s="216" t="n">
        <v>1.157912969589233</v>
      </c>
      <c r="E11156" s="215" t="n">
        <v>46219</v>
      </c>
      <c r="F11156" s="215" t="n">
        <v>46219</v>
      </c>
    </row>
    <row r="11157">
      <c r="A11157" s="215" t="n">
        <v>46220</v>
      </c>
      <c r="B11157" s="216" t="n">
        <v>26.06</v>
      </c>
      <c r="C11157" s="216" t="n">
        <v>39.75</v>
      </c>
      <c r="D11157" s="216" t="n">
        <v>1.157472014427185</v>
      </c>
      <c r="E11157" s="215" t="n">
        <v>46220</v>
      </c>
      <c r="F11157" s="215" t="n">
        <v>46220</v>
      </c>
    </row>
    <row r="11158">
      <c r="A11158" s="215" t="n">
        <v>46223</v>
      </c>
      <c r="B11158" s="216" t="n">
        <v>25.58</v>
      </c>
      <c r="C11158" s="216" t="n">
        <v>36.12</v>
      </c>
      <c r="D11158" s="216" t="n">
        <v>1.157451033592224</v>
      </c>
      <c r="E11158" s="215" t="n">
        <v>46223</v>
      </c>
      <c r="F11158" s="215" t="n">
        <v>46223</v>
      </c>
    </row>
    <row r="11159">
      <c r="A11159" s="215" t="n">
        <v>46224</v>
      </c>
      <c r="B11159" s="216" t="n">
        <v>26.22</v>
      </c>
      <c r="C11159" s="216" t="n">
        <v>38.1</v>
      </c>
      <c r="D11159" s="216" t="n">
        <v>1.157506942749023</v>
      </c>
      <c r="E11159" s="215" t="n">
        <v>46224</v>
      </c>
      <c r="F11159" s="215" t="n">
        <v>46224</v>
      </c>
    </row>
    <row r="11160">
      <c r="A11160" s="215" t="n">
        <v>46225</v>
      </c>
      <c r="B11160" s="216" t="n">
        <v>26.04</v>
      </c>
      <c r="C11160" s="216" t="n">
        <v>38.36</v>
      </c>
      <c r="D11160" s="216" t="n">
        <v>1.158938050270081</v>
      </c>
      <c r="E11160" s="215" t="n">
        <v>46225</v>
      </c>
      <c r="F11160" s="215" t="n">
        <v>46225</v>
      </c>
    </row>
    <row r="11161">
      <c r="A11161" s="215" t="n">
        <v>46226</v>
      </c>
      <c r="B11161" s="216" t="n">
        <v>25.98</v>
      </c>
      <c r="C11161" s="216" t="n">
        <v>37.19</v>
      </c>
      <c r="D11161" s="216" t="n">
        <v>1.157410979270935</v>
      </c>
      <c r="E11161" s="215" t="n">
        <v>46226</v>
      </c>
      <c r="F11161" s="215" t="n">
        <v>46226</v>
      </c>
    </row>
    <row r="11162">
      <c r="A11162" s="215" t="n">
        <v>46227</v>
      </c>
      <c r="B11162" s="216" t="n">
        <v>25.02</v>
      </c>
      <c r="C11162" s="216" t="n">
        <v>35.05</v>
      </c>
      <c r="D11162" s="216" t="n">
        <v>1.15762197971344</v>
      </c>
      <c r="E11162" s="215" t="n">
        <v>46227</v>
      </c>
      <c r="F11162" s="215" t="n">
        <v>46227</v>
      </c>
    </row>
    <row r="11163">
      <c r="A11163" s="215" t="n">
        <v>46230</v>
      </c>
      <c r="B11163" s="216" t="n">
        <v>25.82</v>
      </c>
      <c r="C11163" s="216" t="n">
        <v>36.03</v>
      </c>
      <c r="D11163" s="216" t="n">
        <v>1.15789794921875</v>
      </c>
      <c r="E11163" s="215" t="n">
        <v>46230</v>
      </c>
      <c r="F11163" s="215" t="n">
        <v>46230</v>
      </c>
    </row>
    <row r="11164">
      <c r="A11164" s="215" t="n">
        <v>46231</v>
      </c>
      <c r="B11164" s="216" t="n">
        <v>24.96</v>
      </c>
      <c r="C11164" s="216" t="n">
        <v>35.58</v>
      </c>
      <c r="D11164" s="216" t="n">
        <v>1.158699035644531</v>
      </c>
      <c r="E11164" s="215" t="n">
        <v>46231</v>
      </c>
      <c r="F11164" s="215" t="n">
        <v>46231</v>
      </c>
    </row>
    <row r="11165">
      <c r="A11165" s="215" t="n">
        <v>46232</v>
      </c>
      <c r="B11165" s="216" t="n">
        <v>25.56</v>
      </c>
      <c r="C11165" s="216" t="n">
        <v>36.02</v>
      </c>
      <c r="D11165" s="216" t="n">
        <v>1.157909989356995</v>
      </c>
      <c r="E11165" s="215" t="n">
        <v>46232</v>
      </c>
      <c r="F11165" s="215" t="n">
        <v>46232</v>
      </c>
    </row>
    <row r="11166">
      <c r="A11166" s="215" t="n">
        <v>46233</v>
      </c>
      <c r="B11166" s="216" t="n">
        <v>24.78</v>
      </c>
      <c r="C11166" s="216" t="n">
        <v>35.46</v>
      </c>
      <c r="D11166" s="216" t="n">
        <v>1.158943057060242</v>
      </c>
      <c r="E11166" s="215" t="n">
        <v>46233</v>
      </c>
      <c r="F11166" s="215" t="n">
        <v>46233</v>
      </c>
    </row>
    <row r="11167">
      <c r="A11167" s="215" t="n">
        <v>46234</v>
      </c>
      <c r="B11167" s="216" t="n">
        <v>26.18</v>
      </c>
      <c r="C11167" s="216" t="n">
        <v>37.53</v>
      </c>
      <c r="D11167" s="216" t="n">
        <v>1.160945057868958</v>
      </c>
      <c r="E11167" s="215" t="n">
        <v>46234</v>
      </c>
      <c r="F11167" s="215" t="n">
        <v>46234</v>
      </c>
    </row>
    <row r="11168">
      <c r="A11168" s="215" t="n">
        <v>46237</v>
      </c>
      <c r="B11168" s="216" t="n">
        <v>26.54</v>
      </c>
      <c r="C11168" s="216" t="n">
        <v>38.3</v>
      </c>
      <c r="D11168" s="216" t="n">
        <v>1.161579966545105</v>
      </c>
      <c r="E11168" s="215" t="n">
        <v>46237</v>
      </c>
      <c r="F11168" s="215" t="n">
        <v>46237</v>
      </c>
    </row>
    <row r="11169">
      <c r="A11169" s="215" t="n">
        <v>46238</v>
      </c>
      <c r="B11169" s="216" t="n">
        <v>26.68</v>
      </c>
      <c r="C11169" s="216" t="n">
        <v>38.74</v>
      </c>
      <c r="D11169" s="216" t="n">
        <v>1.161064982414246</v>
      </c>
      <c r="E11169" s="215" t="n">
        <v>46238</v>
      </c>
      <c r="F11169" s="215" t="n">
        <v>46238</v>
      </c>
    </row>
    <row r="11170">
      <c r="A11170" s="215" t="n">
        <v>46239</v>
      </c>
      <c r="B11170" s="216" t="n">
        <v>27</v>
      </c>
      <c r="C11170" s="216" t="n">
        <v>39.41</v>
      </c>
      <c r="D11170" s="216" t="n">
        <v>1.161146998405457</v>
      </c>
      <c r="E11170" s="215" t="n">
        <v>46239</v>
      </c>
      <c r="F11170" s="215" t="n">
        <v>46239</v>
      </c>
    </row>
    <row r="11171">
      <c r="A11171" s="215" t="n">
        <v>46240</v>
      </c>
      <c r="B11171" s="216" t="n">
        <v>26.38</v>
      </c>
      <c r="C11171" s="216" t="n">
        <v>38.71</v>
      </c>
      <c r="D11171" s="216" t="n">
        <v>1.161936044692993</v>
      </c>
      <c r="E11171" s="215" t="n">
        <v>46240</v>
      </c>
      <c r="F11171" s="215" t="n">
        <v>46240</v>
      </c>
    </row>
    <row r="11172">
      <c r="A11172" s="215" t="n">
        <v>46241</v>
      </c>
      <c r="B11172" s="216" t="n">
        <v>26.86</v>
      </c>
      <c r="C11172" s="216" t="n">
        <v>39.12</v>
      </c>
      <c r="D11172" s="216" t="n">
        <v>1.162284016609192</v>
      </c>
      <c r="E11172" s="215" t="n">
        <v>46241</v>
      </c>
      <c r="F11172" s="215" t="n">
        <v>46241</v>
      </c>
    </row>
    <row r="11173">
      <c r="A11173" s="215" t="n">
        <v>46244</v>
      </c>
      <c r="B11173" s="216" t="n">
        <v>26.1</v>
      </c>
      <c r="C11173" s="216" t="n">
        <v>38.53</v>
      </c>
      <c r="D11173" s="216" t="n">
        <v>1.162629961967468</v>
      </c>
      <c r="E11173" s="215" t="n">
        <v>46244</v>
      </c>
      <c r="F11173" s="215" t="n">
        <v>46244</v>
      </c>
    </row>
    <row r="11174">
      <c r="A11174" s="215" t="n">
        <v>46245</v>
      </c>
      <c r="B11174" s="216" t="n">
        <v>26.54</v>
      </c>
      <c r="C11174" s="216" t="n">
        <v>39.7</v>
      </c>
      <c r="D11174" s="216" t="n">
        <v>1.162588000297546</v>
      </c>
      <c r="E11174" s="215" t="n">
        <v>46245</v>
      </c>
      <c r="F11174" s="215" t="n">
        <v>46245</v>
      </c>
    </row>
    <row r="11175">
      <c r="A11175" s="215" t="n">
        <v>46246</v>
      </c>
      <c r="B11175" s="216" t="n">
        <v>26.38</v>
      </c>
      <c r="C11175" s="216" t="n">
        <v>39.17</v>
      </c>
      <c r="D11175" s="216" t="n">
        <v>1.163135051727295</v>
      </c>
      <c r="E11175" s="215" t="n">
        <v>46246</v>
      </c>
      <c r="F11175" s="215" t="n">
        <v>46246</v>
      </c>
    </row>
    <row r="11176">
      <c r="A11176" s="215" t="n">
        <v>46247</v>
      </c>
      <c r="B11176" s="216" t="n">
        <v>26.32</v>
      </c>
      <c r="C11176" s="216" t="n">
        <v>38.53</v>
      </c>
      <c r="D11176" s="216" t="n">
        <v>1.163341045379639</v>
      </c>
      <c r="E11176" s="215" t="n">
        <v>46247</v>
      </c>
      <c r="F11176" s="215" t="n">
        <v>46247</v>
      </c>
    </row>
    <row r="11177">
      <c r="A11177" s="215" t="n">
        <v>46248</v>
      </c>
      <c r="B11177" s="216" t="n">
        <v>26.14</v>
      </c>
      <c r="C11177" s="216" t="n">
        <v>38.3</v>
      </c>
      <c r="D11177" s="216" t="n">
        <v>1.163571000099182</v>
      </c>
      <c r="E11177" s="215" t="n">
        <v>46248</v>
      </c>
      <c r="F11177" s="215" t="n">
        <v>46248</v>
      </c>
    </row>
    <row r="11178">
      <c r="A11178" s="215" t="n">
        <v>46251</v>
      </c>
      <c r="B11178" s="216" t="n">
        <v>27</v>
      </c>
      <c r="C11178" s="216" t="n">
        <v>39.02</v>
      </c>
      <c r="D11178" s="216" t="n">
        <v>1.163601994514465</v>
      </c>
      <c r="E11178" s="215" t="n">
        <v>46251</v>
      </c>
      <c r="F11178" s="215" t="n">
        <v>46251</v>
      </c>
    </row>
    <row r="11179">
      <c r="A11179" s="215" t="n">
        <v>46252</v>
      </c>
      <c r="B11179" s="216" t="n">
        <v>28.38</v>
      </c>
      <c r="C11179" s="216" t="n">
        <v>39.6</v>
      </c>
      <c r="D11179" s="216" t="n">
        <v>1.163733005523682</v>
      </c>
      <c r="E11179" s="215" t="n">
        <v>46252</v>
      </c>
      <c r="F11179" s="215" t="n">
        <v>46252</v>
      </c>
    </row>
    <row r="11180">
      <c r="A11180" s="215" t="n">
        <v>46253</v>
      </c>
      <c r="B11180" s="216" t="n">
        <v>26.74</v>
      </c>
      <c r="C11180" s="216" t="n">
        <v>36.79</v>
      </c>
      <c r="D11180" s="216" t="n">
        <v>1.163092017173767</v>
      </c>
      <c r="E11180" s="215" t="n">
        <v>46253</v>
      </c>
      <c r="F11180" s="215" t="n">
        <v>46253</v>
      </c>
    </row>
    <row r="11181">
      <c r="A11181" s="215" t="n">
        <v>46254</v>
      </c>
      <c r="B11181" s="216" t="n">
        <v>26.54</v>
      </c>
      <c r="C11181" s="216" t="n">
        <v>36.14</v>
      </c>
      <c r="D11181" s="216" t="n">
        <v>1.164932012557983</v>
      </c>
      <c r="E11181" s="215" t="n">
        <v>46254</v>
      </c>
      <c r="F11181" s="215" t="n">
        <v>46254</v>
      </c>
    </row>
    <row r="11182">
      <c r="A11182" s="215" t="n">
        <v>46255</v>
      </c>
      <c r="B11182" s="216" t="n">
        <v>27.52</v>
      </c>
      <c r="C11182" s="216" t="n">
        <v>36.71</v>
      </c>
      <c r="D11182" s="216" t="n">
        <v>1.166555047035217</v>
      </c>
      <c r="E11182" s="215" t="n">
        <v>46255</v>
      </c>
      <c r="F11182" s="215" t="n">
        <v>46255</v>
      </c>
    </row>
    <row r="11183">
      <c r="A11183" s="215" t="n">
        <v>46258</v>
      </c>
      <c r="B11183" s="216" t="n">
        <v>26.4</v>
      </c>
      <c r="C11183" s="216" t="n">
        <v>35.71</v>
      </c>
      <c r="D11183" s="216" t="n">
        <v>1.166316986083984</v>
      </c>
      <c r="E11183" s="215" t="n">
        <v>46258</v>
      </c>
      <c r="F11183" s="215" t="n">
        <v>46258</v>
      </c>
    </row>
    <row r="11184">
      <c r="A11184" s="215" t="n">
        <v>46259</v>
      </c>
      <c r="B11184" s="216" t="n">
        <v>26.32</v>
      </c>
      <c r="C11184" s="216" t="n">
        <v>35.95</v>
      </c>
      <c r="D11184" s="216" t="n">
        <v>1.165253043174744</v>
      </c>
      <c r="E11184" s="215" t="n">
        <v>46259</v>
      </c>
      <c r="F11184" s="215" t="n">
        <v>46259</v>
      </c>
    </row>
    <row r="11185">
      <c r="A11185" s="215" t="n">
        <v>46260</v>
      </c>
      <c r="B11185" s="216" t="n">
        <v>26.16</v>
      </c>
      <c r="C11185" s="216" t="n">
        <v>36.14</v>
      </c>
      <c r="D11185" s="216" t="n">
        <v>1.166218996047974</v>
      </c>
      <c r="E11185" s="215" t="n">
        <v>46260</v>
      </c>
      <c r="F11185" s="215" t="n">
        <v>46260</v>
      </c>
    </row>
    <row r="11186">
      <c r="A11186" s="215" t="n">
        <v>46261</v>
      </c>
      <c r="B11186" s="216" t="n">
        <v>26.06</v>
      </c>
      <c r="C11186" s="216" t="n">
        <v>36.82</v>
      </c>
      <c r="D11186" s="216" t="n">
        <v>1.165971040725708</v>
      </c>
      <c r="E11186" s="215" t="n">
        <v>46261</v>
      </c>
      <c r="F11186" s="215" t="n">
        <v>46261</v>
      </c>
    </row>
    <row r="11187">
      <c r="A11187" s="215" t="n">
        <v>46262</v>
      </c>
      <c r="B11187" s="216" t="n">
        <v>25.64</v>
      </c>
      <c r="C11187" s="216" t="n">
        <v>36.17</v>
      </c>
      <c r="D11187" s="216" t="n">
        <v>1.165799975395203</v>
      </c>
      <c r="E11187" s="215" t="n">
        <v>46262</v>
      </c>
      <c r="F11187" s="215" t="n">
        <v>46262</v>
      </c>
    </row>
    <row r="11188">
      <c r="A11188" s="215" t="n">
        <v>46265</v>
      </c>
      <c r="B11188" s="216" t="n">
        <v>25.12</v>
      </c>
      <c r="C11188" s="216" t="n">
        <v>36.3</v>
      </c>
      <c r="D11188" s="216" t="n">
        <v>1.165387988090515</v>
      </c>
      <c r="E11188" s="215" t="n">
        <v>46265</v>
      </c>
      <c r="F11188" s="215" t="n">
        <v>46265</v>
      </c>
    </row>
    <row r="11189">
      <c r="A11189" s="215" t="n">
        <v>46266</v>
      </c>
      <c r="B11189" s="216" t="n">
        <v>25.16</v>
      </c>
      <c r="C11189" s="216" t="n">
        <v>35.96</v>
      </c>
      <c r="D11189" s="216" t="n">
        <v>1.165223956108093</v>
      </c>
      <c r="E11189" s="215" t="n">
        <v>46266</v>
      </c>
      <c r="F11189" s="215" t="n">
        <v>46266</v>
      </c>
    </row>
    <row r="11190">
      <c r="A11190" s="215" t="n">
        <v>46267</v>
      </c>
      <c r="B11190" s="216" t="n">
        <v>24.9</v>
      </c>
      <c r="C11190" s="216" t="n">
        <v>35.62</v>
      </c>
      <c r="D11190" s="216" t="n">
        <v>1.166425943374634</v>
      </c>
      <c r="E11190" s="215" t="n">
        <v>46267</v>
      </c>
      <c r="F11190" s="215" t="n">
        <v>46267</v>
      </c>
    </row>
    <row r="11191">
      <c r="A11191" s="215" t="n">
        <v>46268</v>
      </c>
      <c r="B11191" s="216" t="n">
        <v>24.74</v>
      </c>
      <c r="C11191" s="216" t="n">
        <v>36.3</v>
      </c>
      <c r="D11191" s="216" t="n">
        <v>1.167057037353516</v>
      </c>
      <c r="E11191" s="215" t="n">
        <v>46268</v>
      </c>
      <c r="F11191" s="215" t="n">
        <v>46268</v>
      </c>
    </row>
    <row r="11192">
      <c r="A11192" s="215" t="n">
        <v>46269</v>
      </c>
      <c r="B11192" s="216" t="n">
        <v>24.66</v>
      </c>
      <c r="C11192" s="216" t="n">
        <v>35.46</v>
      </c>
      <c r="D11192" s="216" t="n">
        <v>1.166767954826355</v>
      </c>
      <c r="E11192" s="215" t="n">
        <v>46269</v>
      </c>
      <c r="F11192" s="215" t="n">
        <v>46269</v>
      </c>
    </row>
    <row r="11193">
      <c r="A11193" s="215" t="n">
        <v>46272</v>
      </c>
      <c r="B11193" s="216" t="n">
        <v>25.62</v>
      </c>
      <c r="C11193" s="216" t="n">
        <v>36.5</v>
      </c>
      <c r="D11193" s="216" t="n">
        <v>1.168081045150757</v>
      </c>
      <c r="E11193" s="215" t="n">
        <v>46272</v>
      </c>
      <c r="F11193" s="215" t="n">
        <v>46272</v>
      </c>
    </row>
    <row r="11194">
      <c r="A11194" s="215" t="n">
        <v>46273</v>
      </c>
      <c r="B11194" s="216" t="n">
        <v>25.18</v>
      </c>
      <c r="C11194" s="216" t="n">
        <v>36.22</v>
      </c>
      <c r="D11194" s="216" t="n">
        <v>1.168115019798279</v>
      </c>
      <c r="E11194" s="215" t="n">
        <v>46273</v>
      </c>
      <c r="F11194" s="215" t="n">
        <v>46273</v>
      </c>
    </row>
    <row r="11195">
      <c r="A11195" s="215" t="n">
        <v>46274</v>
      </c>
      <c r="B11195" s="216" t="n">
        <v>25.48</v>
      </c>
      <c r="C11195" s="216" t="n">
        <v>36.19</v>
      </c>
      <c r="D11195" s="216" t="n">
        <v>1.168408989906311</v>
      </c>
      <c r="E11195" s="215" t="n">
        <v>46274</v>
      </c>
      <c r="F11195" s="215" t="n">
        <v>46274</v>
      </c>
    </row>
    <row r="11196">
      <c r="A11196" s="215" t="n">
        <v>46275</v>
      </c>
      <c r="B11196" s="216" t="n">
        <v>24.6</v>
      </c>
      <c r="C11196" s="216" t="n">
        <v>35.46</v>
      </c>
      <c r="D11196" s="216" t="n">
        <v>1.168462991714478</v>
      </c>
      <c r="E11196" s="215" t="n">
        <v>46275</v>
      </c>
      <c r="F11196" s="215" t="n">
        <v>46275</v>
      </c>
    </row>
    <row r="11197">
      <c r="A11197" s="215" t="n">
        <v>46276</v>
      </c>
      <c r="B11197" s="216" t="n">
        <v>24.42</v>
      </c>
      <c r="C11197" s="216" t="n">
        <v>34.87</v>
      </c>
      <c r="D11197" s="216" t="n">
        <v>1.169165015220642</v>
      </c>
      <c r="E11197" s="215" t="n">
        <v>46276</v>
      </c>
      <c r="F11197" s="215" t="n">
        <v>46276</v>
      </c>
    </row>
    <row r="11198">
      <c r="A11198" s="215" t="n">
        <v>46279</v>
      </c>
      <c r="B11198" s="216" t="n">
        <v>24.16</v>
      </c>
      <c r="C11198" s="216" t="n">
        <v>34.7</v>
      </c>
      <c r="D11198" s="216" t="n">
        <v>1.16893994808197</v>
      </c>
      <c r="E11198" s="215" t="n">
        <v>46279</v>
      </c>
      <c r="F11198" s="215" t="n">
        <v>46279</v>
      </c>
    </row>
    <row r="11199">
      <c r="A11199" s="215" t="n">
        <v>46280</v>
      </c>
      <c r="B11199" s="216" t="n">
        <v>23.32</v>
      </c>
      <c r="C11199" s="216" t="n">
        <v>33.8</v>
      </c>
      <c r="D11199" s="216" t="n">
        <v>1.169121026992798</v>
      </c>
      <c r="E11199" s="215" t="n">
        <v>46280</v>
      </c>
      <c r="F11199" s="215" t="n">
        <v>46280</v>
      </c>
    </row>
    <row r="11200">
      <c r="A11200" s="215" t="n">
        <v>46281</v>
      </c>
      <c r="B11200" s="216" t="n">
        <v>23.78</v>
      </c>
      <c r="C11200" s="216" t="n">
        <v>33.73</v>
      </c>
      <c r="D11200" s="216" t="n">
        <v>1.168769955635071</v>
      </c>
      <c r="E11200" s="215" t="n">
        <v>46281</v>
      </c>
      <c r="F11200" s="215" t="n">
        <v>46281</v>
      </c>
    </row>
    <row r="11201">
      <c r="A11201" s="215" t="n">
        <v>46282</v>
      </c>
      <c r="B11201" s="216" t="n">
        <v>24.4</v>
      </c>
      <c r="C11201" s="216" t="n">
        <v>34.64</v>
      </c>
      <c r="D11201" s="216" t="n">
        <v>1.169389963150024</v>
      </c>
      <c r="E11201" s="215" t="n">
        <v>46282</v>
      </c>
      <c r="F11201" s="215" t="n">
        <v>46282</v>
      </c>
    </row>
    <row r="11202">
      <c r="A11202" s="215" t="n">
        <v>46283</v>
      </c>
      <c r="B11202" s="216" t="n">
        <v>24.9</v>
      </c>
      <c r="C11202" s="216" t="n">
        <v>35.31</v>
      </c>
      <c r="D11202" s="216" t="n">
        <v>1.16942298412323</v>
      </c>
      <c r="E11202" s="215" t="n">
        <v>46283</v>
      </c>
      <c r="F11202" s="215" t="n">
        <v>46283</v>
      </c>
    </row>
    <row r="11203">
      <c r="A11203" s="215" t="n">
        <v>46286</v>
      </c>
      <c r="B11203" s="216" t="n">
        <v>25.04</v>
      </c>
      <c r="C11203" s="216" t="n">
        <v>36.18</v>
      </c>
      <c r="D11203" s="216" t="n">
        <v>1.171280026435852</v>
      </c>
      <c r="E11203" s="215" t="n">
        <v>46286</v>
      </c>
      <c r="F11203" s="215" t="n">
        <v>46286</v>
      </c>
    </row>
    <row r="11204">
      <c r="A11204" s="215" t="n">
        <v>46287</v>
      </c>
      <c r="B11204" s="216" t="n">
        <v>24.78</v>
      </c>
      <c r="C11204" s="216" t="n">
        <v>36.2</v>
      </c>
      <c r="D11204" s="216" t="n">
        <v>1.171705007553101</v>
      </c>
      <c r="E11204" s="215" t="n">
        <v>46287</v>
      </c>
      <c r="F11204" s="215" t="n">
        <v>46287</v>
      </c>
    </row>
    <row r="11205">
      <c r="A11205" s="215" t="n">
        <v>46288</v>
      </c>
      <c r="B11205" s="216" t="n">
        <v>24.46</v>
      </c>
      <c r="C11205" s="216" t="n">
        <v>35.99</v>
      </c>
      <c r="D11205" s="216" t="n">
        <v>1.170611023902893</v>
      </c>
      <c r="E11205" s="215" t="n">
        <v>46288</v>
      </c>
      <c r="F11205" s="215" t="n">
        <v>46288</v>
      </c>
    </row>
    <row r="11206">
      <c r="A11206" s="215" t="n">
        <v>46289</v>
      </c>
      <c r="B11206" s="216" t="n">
        <v>24.58</v>
      </c>
      <c r="C11206" s="216" t="n">
        <v>36.08</v>
      </c>
      <c r="D11206" s="216" t="n">
        <v>1.16852605342865</v>
      </c>
      <c r="E11206" s="215" t="n">
        <v>46289</v>
      </c>
      <c r="F11206" s="215" t="n">
        <v>46289</v>
      </c>
    </row>
    <row r="11207">
      <c r="A11207" s="215" t="n">
        <v>46290</v>
      </c>
      <c r="B11207" s="216" t="n">
        <v>24.4</v>
      </c>
      <c r="C11207" s="216" t="n">
        <v>36.08</v>
      </c>
      <c r="D11207" s="216" t="n">
        <v>1.168424010276794</v>
      </c>
      <c r="E11207" s="215" t="n">
        <v>46289</v>
      </c>
      <c r="F11207" s="215" t="n">
        <v>46290</v>
      </c>
    </row>
    <row r="11208">
      <c r="A11208" s="215" t="n">
        <v>46293</v>
      </c>
      <c r="B11208" s="216" t="n">
        <v>23.96</v>
      </c>
      <c r="C11208" s="216" t="n">
        <v>35.44</v>
      </c>
      <c r="D11208" s="216" t="n">
        <v>1.168378949165344</v>
      </c>
      <c r="E11208" s="215" t="n">
        <v>46293</v>
      </c>
      <c r="F11208" s="215" t="n">
        <v>46293</v>
      </c>
    </row>
    <row r="11209">
      <c r="A11209" s="215" t="n">
        <v>46294</v>
      </c>
      <c r="B11209" s="216" t="n">
        <v>24.3</v>
      </c>
      <c r="C11209" s="216" t="n">
        <v>35.65</v>
      </c>
      <c r="D11209" s="216" t="n">
        <v>1.168815970420837</v>
      </c>
      <c r="E11209" s="215" t="n">
        <v>46294</v>
      </c>
      <c r="F11209" s="215" t="n">
        <v>46294</v>
      </c>
    </row>
    <row r="11210">
      <c r="A11210" s="215" t="n">
        <v>46295</v>
      </c>
      <c r="B11210" s="216" t="n">
        <v>24.44</v>
      </c>
      <c r="C11210" s="216" t="n">
        <v>35.71</v>
      </c>
      <c r="D11210" s="216" t="n">
        <v>1.17059600353241</v>
      </c>
      <c r="E11210" s="215" t="n">
        <v>46295</v>
      </c>
      <c r="F11210" s="215" t="n">
        <v>46295</v>
      </c>
    </row>
    <row r="11211">
      <c r="A11211" s="215" t="n">
        <v>46297</v>
      </c>
      <c r="B11211" s="216" t="n">
        <v>24.16</v>
      </c>
      <c r="C11211" s="216" t="n">
        <v>35.71</v>
      </c>
      <c r="D11211" s="216" t="n">
        <v>1.170220971107483</v>
      </c>
      <c r="E11211" s="215" t="n">
        <v>46295</v>
      </c>
      <c r="F11211" s="215" t="n">
        <v>46297</v>
      </c>
    </row>
    <row r="11212">
      <c r="A11212" s="215" t="n">
        <v>45966</v>
      </c>
      <c r="B11212" s="216" t="n">
        <v>131.5</v>
      </c>
      <c r="C11212" s="216" t="n">
        <v>146.03</v>
      </c>
      <c r="D11212" s="216" t="n">
        <v>1.090273976325989</v>
      </c>
      <c r="E11212" s="215" t="n">
        <v>45966</v>
      </c>
      <c r="F11212" s="215" t="n">
        <v>45966</v>
      </c>
    </row>
    <row r="11213">
      <c r="A11213" s="215" t="n">
        <v>45967</v>
      </c>
      <c r="B11213" s="216" t="n">
        <v>123.9</v>
      </c>
      <c r="C11213" s="216" t="n">
        <v>142.13</v>
      </c>
      <c r="D11213" s="216" t="n">
        <v>1.090808033943176</v>
      </c>
      <c r="E11213" s="215" t="n">
        <v>45967</v>
      </c>
      <c r="F11213" s="215" t="n">
        <v>45967</v>
      </c>
    </row>
    <row r="11214">
      <c r="A11214" s="215" t="n">
        <v>45968</v>
      </c>
      <c r="B11214" s="216" t="n">
        <v>114</v>
      </c>
      <c r="C11214" s="216" t="n">
        <v>138.57</v>
      </c>
      <c r="D11214" s="216" t="n">
        <v>1.092054009437561</v>
      </c>
      <c r="E11214" s="215" t="n">
        <v>45968</v>
      </c>
      <c r="F11214" s="215" t="n">
        <v>45968</v>
      </c>
    </row>
    <row r="11215">
      <c r="A11215" s="215" t="n">
        <v>45971</v>
      </c>
      <c r="B11215" s="216" t="n">
        <v>115.6</v>
      </c>
      <c r="C11215" s="216" t="n">
        <v>138.65</v>
      </c>
      <c r="D11215" s="216" t="n">
        <v>1.092267036437988</v>
      </c>
      <c r="E11215" s="215" t="n">
        <v>45971</v>
      </c>
      <c r="F11215" s="215" t="n">
        <v>45971</v>
      </c>
    </row>
    <row r="11216">
      <c r="A11216" s="215" t="n">
        <v>45972</v>
      </c>
      <c r="B11216" s="216" t="n">
        <v>110</v>
      </c>
      <c r="C11216" s="216" t="n">
        <v>133.84</v>
      </c>
      <c r="D11216" s="216" t="n">
        <v>1.091644048690796</v>
      </c>
      <c r="E11216" s="215" t="n">
        <v>45972</v>
      </c>
      <c r="F11216" s="215" t="n">
        <v>45972</v>
      </c>
    </row>
    <row r="11217">
      <c r="A11217" s="215" t="n">
        <v>45973</v>
      </c>
      <c r="B11217" s="216" t="n">
        <v>115.5</v>
      </c>
      <c r="C11217" s="216" t="n">
        <v>135.69</v>
      </c>
      <c r="D11217" s="216" t="n">
        <v>1.091495990753174</v>
      </c>
      <c r="E11217" s="215" t="n">
        <v>45973</v>
      </c>
      <c r="F11217" s="215" t="n">
        <v>45973</v>
      </c>
    </row>
    <row r="11218">
      <c r="A11218" s="215" t="n">
        <v>45974</v>
      </c>
      <c r="B11218" s="216" t="n">
        <v>119.6</v>
      </c>
      <c r="C11218" s="216" t="n">
        <v>136.35</v>
      </c>
      <c r="D11218" s="216" t="n">
        <v>1.092489004135132</v>
      </c>
      <c r="E11218" s="215" t="n">
        <v>45974</v>
      </c>
      <c r="F11218" s="215" t="n">
        <v>45974</v>
      </c>
    </row>
    <row r="11219">
      <c r="A11219" s="215" t="n">
        <v>45975</v>
      </c>
      <c r="B11219" s="216" t="n">
        <v>120.3</v>
      </c>
      <c r="C11219" s="216" t="n">
        <v>135.2</v>
      </c>
      <c r="D11219" s="216" t="n">
        <v>1.092411994934082</v>
      </c>
      <c r="E11219" s="215" t="n">
        <v>45975</v>
      </c>
      <c r="F11219" s="215" t="n">
        <v>45975</v>
      </c>
    </row>
    <row r="11220">
      <c r="A11220" s="215" t="n">
        <v>45978</v>
      </c>
      <c r="B11220" s="216" t="n">
        <v>120.1</v>
      </c>
      <c r="C11220" s="216" t="n">
        <v>133.62</v>
      </c>
      <c r="D11220" s="216" t="n">
        <v>1.094588041305542</v>
      </c>
      <c r="E11220" s="215" t="n">
        <v>45978</v>
      </c>
      <c r="F11220" s="215" t="n">
        <v>45978</v>
      </c>
    </row>
    <row r="11221">
      <c r="A11221" s="215" t="n">
        <v>45979</v>
      </c>
      <c r="B11221" s="216" t="n">
        <v>114.7</v>
      </c>
      <c r="C11221" s="216" t="n">
        <v>131.37</v>
      </c>
      <c r="D11221" s="216" t="n">
        <v>1.093616008758545</v>
      </c>
      <c r="E11221" s="215" t="n">
        <v>45979</v>
      </c>
      <c r="F11221" s="215" t="n">
        <v>45979</v>
      </c>
    </row>
    <row r="11222">
      <c r="A11222" s="215" t="n">
        <v>45980</v>
      </c>
      <c r="B11222" s="216" t="n">
        <v>116.7</v>
      </c>
      <c r="C11222" s="216" t="n">
        <v>129.93</v>
      </c>
      <c r="D11222" s="216" t="n">
        <v>1.095010995864868</v>
      </c>
      <c r="E11222" s="215" t="n">
        <v>45980</v>
      </c>
      <c r="F11222" s="215" t="n">
        <v>45980</v>
      </c>
    </row>
    <row r="11223">
      <c r="A11223" s="215" t="n">
        <v>45981</v>
      </c>
      <c r="B11223" s="216" t="n">
        <v>115.2</v>
      </c>
      <c r="C11223" s="216" t="n">
        <v>126.67</v>
      </c>
      <c r="D11223" s="216" t="n">
        <v>1.095402002334595</v>
      </c>
      <c r="E11223" s="215" t="n">
        <v>45981</v>
      </c>
      <c r="F11223" s="215" t="n">
        <v>45981</v>
      </c>
    </row>
    <row r="11224">
      <c r="A11224" s="215" t="n">
        <v>45982</v>
      </c>
      <c r="B11224" s="216" t="n">
        <v>109.5</v>
      </c>
      <c r="C11224" s="216" t="n">
        <v>123.4</v>
      </c>
      <c r="D11224" s="216" t="n">
        <v>1.094982981681824</v>
      </c>
      <c r="E11224" s="215" t="n">
        <v>45982</v>
      </c>
      <c r="F11224" s="215" t="n">
        <v>45982</v>
      </c>
    </row>
    <row r="11225">
      <c r="A11225" s="215" t="n">
        <v>45985</v>
      </c>
      <c r="B11225" s="216" t="n">
        <v>110.2</v>
      </c>
      <c r="C11225" s="216" t="n">
        <v>124.5</v>
      </c>
      <c r="D11225" s="216" t="n">
        <v>1.094988942146301</v>
      </c>
      <c r="E11225" s="215" t="n">
        <v>45985</v>
      </c>
      <c r="F11225" s="215" t="n">
        <v>45985</v>
      </c>
    </row>
    <row r="11226">
      <c r="A11226" s="215" t="n">
        <v>45986</v>
      </c>
      <c r="B11226" s="216" t="n">
        <v>114.4</v>
      </c>
      <c r="C11226" s="216" t="n">
        <v>124.85</v>
      </c>
      <c r="D11226" s="216" t="n">
        <v>1.095428943634033</v>
      </c>
      <c r="E11226" s="215" t="n">
        <v>45986</v>
      </c>
      <c r="F11226" s="215" t="n">
        <v>45986</v>
      </c>
    </row>
    <row r="11227">
      <c r="A11227" s="215" t="n">
        <v>45987</v>
      </c>
      <c r="B11227" s="216" t="n">
        <v>114</v>
      </c>
      <c r="C11227" s="216" t="n">
        <v>125.1</v>
      </c>
      <c r="D11227" s="216" t="n">
        <v>1.097422003746033</v>
      </c>
      <c r="E11227" s="215" t="n">
        <v>45987</v>
      </c>
      <c r="F11227" s="215" t="n">
        <v>45987</v>
      </c>
    </row>
    <row r="11228">
      <c r="A11228" s="215" t="n">
        <v>45988</v>
      </c>
      <c r="B11228" s="216" t="n">
        <v>125.2</v>
      </c>
      <c r="C11228" s="216" t="n">
        <v>125.57</v>
      </c>
      <c r="D11228" s="216" t="n">
        <v>1.098397016525269</v>
      </c>
      <c r="E11228" s="215" t="n">
        <v>45988</v>
      </c>
      <c r="F11228" s="215" t="n">
        <v>45988</v>
      </c>
    </row>
    <row r="11229">
      <c r="A11229" s="215" t="n">
        <v>45989</v>
      </c>
      <c r="B11229" s="216" t="n">
        <v>115</v>
      </c>
      <c r="C11229" s="216" t="n">
        <v>126.19</v>
      </c>
      <c r="D11229" s="216" t="n">
        <v>1.098330020904541</v>
      </c>
      <c r="E11229" s="215" t="n">
        <v>45989</v>
      </c>
      <c r="F11229" s="215" t="n">
        <v>45989</v>
      </c>
    </row>
    <row r="11230">
      <c r="A11230" s="215" t="n">
        <v>45992</v>
      </c>
      <c r="B11230" s="216" t="n">
        <v>121</v>
      </c>
      <c r="C11230" s="216" t="n">
        <v>131.22</v>
      </c>
      <c r="D11230" s="216" t="n">
        <v>1.10015594959259</v>
      </c>
      <c r="E11230" s="215" t="n">
        <v>45992</v>
      </c>
      <c r="F11230" s="215" t="n">
        <v>45992</v>
      </c>
    </row>
    <row r="11231">
      <c r="A11231" s="215" t="n">
        <v>45993</v>
      </c>
      <c r="B11231" s="216" t="n">
        <v>117.2</v>
      </c>
      <c r="C11231" s="216" t="n">
        <v>128.9</v>
      </c>
      <c r="D11231" s="216" t="n">
        <v>1.101189017295837</v>
      </c>
      <c r="E11231" s="215" t="n">
        <v>45993</v>
      </c>
      <c r="F11231" s="215" t="n">
        <v>45993</v>
      </c>
    </row>
    <row r="11232">
      <c r="A11232" s="215" t="n">
        <v>45994</v>
      </c>
      <c r="B11232" s="216" t="n">
        <v>116.5</v>
      </c>
      <c r="C11232" s="216" t="n">
        <v>126.87</v>
      </c>
      <c r="D11232" s="216" t="n">
        <v>1.100834012031555</v>
      </c>
      <c r="E11232" s="215" t="n">
        <v>45994</v>
      </c>
      <c r="F11232" s="215" t="n">
        <v>45994</v>
      </c>
    </row>
    <row r="11233">
      <c r="A11233" s="215" t="n">
        <v>45995</v>
      </c>
      <c r="B11233" s="216" t="n">
        <v>115.8</v>
      </c>
      <c r="C11233" s="216" t="n">
        <v>125.99</v>
      </c>
      <c r="D11233" s="216" t="n">
        <v>1.101611018180847</v>
      </c>
      <c r="E11233" s="215" t="n">
        <v>45995</v>
      </c>
      <c r="F11233" s="215" t="n">
        <v>45995</v>
      </c>
    </row>
    <row r="11234">
      <c r="A11234" s="215" t="n">
        <v>45996</v>
      </c>
      <c r="B11234" s="216" t="n">
        <v>114.6</v>
      </c>
      <c r="C11234" s="216" t="n">
        <v>126.11</v>
      </c>
      <c r="D11234" s="216" t="n">
        <v>1.100373983383179</v>
      </c>
      <c r="E11234" s="215" t="n">
        <v>45996</v>
      </c>
      <c r="F11234" s="215" t="n">
        <v>45996</v>
      </c>
    </row>
    <row r="11235">
      <c r="A11235" s="215" t="n">
        <v>45999</v>
      </c>
      <c r="B11235" s="216" t="n">
        <v>115</v>
      </c>
      <c r="C11235" s="216" t="n">
        <v>125.58</v>
      </c>
      <c r="D11235" s="216" t="n">
        <v>1.1008620262146</v>
      </c>
      <c r="E11235" s="215" t="n">
        <v>45999</v>
      </c>
      <c r="F11235" s="215" t="n">
        <v>45999</v>
      </c>
    </row>
    <row r="11236">
      <c r="A11236" s="215" t="n">
        <v>46000</v>
      </c>
      <c r="B11236" s="216" t="n">
        <v>111</v>
      </c>
      <c r="C11236" s="216" t="n">
        <v>124</v>
      </c>
      <c r="D11236" s="216" t="n">
        <v>1.10008704662323</v>
      </c>
      <c r="E11236" s="215" t="n">
        <v>46000</v>
      </c>
      <c r="F11236" s="215" t="n">
        <v>46000</v>
      </c>
    </row>
    <row r="11237">
      <c r="A11237" s="215" t="n">
        <v>46001</v>
      </c>
      <c r="B11237" s="216" t="n">
        <v>111</v>
      </c>
      <c r="C11237" s="216" t="n">
        <v>124.44</v>
      </c>
      <c r="D11237" s="216" t="n">
        <v>1.101711988449097</v>
      </c>
      <c r="E11237" s="215" t="n">
        <v>46001</v>
      </c>
      <c r="F11237" s="215" t="n">
        <v>46001</v>
      </c>
    </row>
    <row r="11238">
      <c r="A11238" s="215" t="n">
        <v>46002</v>
      </c>
      <c r="B11238" s="216" t="n">
        <v>109.9</v>
      </c>
      <c r="C11238" s="216" t="n">
        <v>122.3</v>
      </c>
      <c r="D11238" s="216" t="n">
        <v>1.10112202167511</v>
      </c>
      <c r="E11238" s="215" t="n">
        <v>46002</v>
      </c>
      <c r="F11238" s="215" t="n">
        <v>46002</v>
      </c>
    </row>
    <row r="11239">
      <c r="A11239" s="215" t="n">
        <v>46003</v>
      </c>
      <c r="B11239" s="216" t="n">
        <v>111.6</v>
      </c>
      <c r="C11239" s="216" t="n">
        <v>122.37</v>
      </c>
      <c r="D11239" s="216" t="n">
        <v>1.102499008178711</v>
      </c>
      <c r="E11239" s="215" t="n">
        <v>46003</v>
      </c>
      <c r="F11239" s="215" t="n">
        <v>46003</v>
      </c>
    </row>
    <row r="11240">
      <c r="A11240" s="215" t="n">
        <v>46006</v>
      </c>
      <c r="B11240" s="216" t="n">
        <v>110.5</v>
      </c>
      <c r="C11240" s="216" t="n">
        <v>119.5</v>
      </c>
      <c r="D11240" s="216" t="n">
        <v>1.103397965431213</v>
      </c>
      <c r="E11240" s="215" t="n">
        <v>46006</v>
      </c>
      <c r="F11240" s="215" t="n">
        <v>46006</v>
      </c>
    </row>
    <row r="11241">
      <c r="A11241" s="215" t="n">
        <v>46007</v>
      </c>
      <c r="B11241" s="216" t="n">
        <v>108.8</v>
      </c>
      <c r="C11241" s="216" t="n">
        <v>123.31</v>
      </c>
      <c r="D11241" s="216" t="n">
        <v>1.104179978370667</v>
      </c>
      <c r="E11241" s="215" t="n">
        <v>46007</v>
      </c>
      <c r="F11241" s="215" t="n">
        <v>46007</v>
      </c>
    </row>
    <row r="11242">
      <c r="A11242" s="215" t="n">
        <v>46008</v>
      </c>
      <c r="B11242" s="216" t="n">
        <v>108.1</v>
      </c>
      <c r="C11242" s="216" t="n">
        <v>121.55</v>
      </c>
      <c r="D11242" s="216" t="n">
        <v>1.104655981063843</v>
      </c>
      <c r="E11242" s="215" t="n">
        <v>46008</v>
      </c>
      <c r="F11242" s="215" t="n">
        <v>46008</v>
      </c>
    </row>
    <row r="11243">
      <c r="A11243" s="215" t="n">
        <v>46009</v>
      </c>
      <c r="B11243" s="216" t="n">
        <v>105</v>
      </c>
      <c r="C11243" s="216" t="n">
        <v>119.5</v>
      </c>
      <c r="D11243" s="216" t="n">
        <v>1.104357004165649</v>
      </c>
      <c r="E11243" s="215" t="n">
        <v>46009</v>
      </c>
      <c r="F11243" s="215" t="n">
        <v>46009</v>
      </c>
    </row>
    <row r="11244">
      <c r="A11244" s="215" t="n">
        <v>46010</v>
      </c>
      <c r="B11244" s="216" t="n">
        <v>108.2</v>
      </c>
      <c r="C11244" s="216" t="n">
        <v>120.6</v>
      </c>
      <c r="D11244" s="216" t="n">
        <v>1.104962944984436</v>
      </c>
      <c r="E11244" s="215" t="n">
        <v>46010</v>
      </c>
      <c r="F11244" s="215" t="n">
        <v>46010</v>
      </c>
    </row>
    <row r="11245">
      <c r="A11245" s="215" t="n">
        <v>46013</v>
      </c>
      <c r="B11245" s="216" t="n">
        <v>107.1</v>
      </c>
      <c r="C11245" s="216" t="n">
        <v>121.42</v>
      </c>
      <c r="D11245" s="216" t="n">
        <v>1.105054020881653</v>
      </c>
      <c r="E11245" s="215" t="n">
        <v>46013</v>
      </c>
      <c r="F11245" s="215" t="n">
        <v>46013</v>
      </c>
    </row>
    <row r="11246">
      <c r="A11246" s="215" t="n">
        <v>46014</v>
      </c>
      <c r="B11246" s="216" t="n">
        <v>105.9</v>
      </c>
      <c r="C11246" s="216" t="n">
        <v>119.64</v>
      </c>
      <c r="D11246" s="216" t="n">
        <v>1.104820013046265</v>
      </c>
      <c r="E11246" s="215" t="n">
        <v>46014</v>
      </c>
      <c r="F11246" s="215" t="n">
        <v>46014</v>
      </c>
    </row>
    <row r="11247">
      <c r="A11247" s="215" t="n">
        <v>46015</v>
      </c>
      <c r="B11247" s="216" t="n">
        <v>104.7</v>
      </c>
      <c r="C11247" s="216" t="n">
        <v>119.7</v>
      </c>
      <c r="D11247" s="216" t="n">
        <v>1.106441974639893</v>
      </c>
      <c r="E11247" s="215" t="n">
        <v>46015</v>
      </c>
      <c r="F11247" s="215" t="n">
        <v>46015</v>
      </c>
    </row>
    <row r="11248">
      <c r="A11248" s="215" t="n">
        <v>46020</v>
      </c>
      <c r="B11248" s="216" t="n">
        <v>106.8</v>
      </c>
      <c r="C11248" s="216" t="n">
        <v>120.36</v>
      </c>
      <c r="D11248" s="216" t="n">
        <v>1.10552704334259</v>
      </c>
      <c r="E11248" s="215" t="n">
        <v>46020</v>
      </c>
      <c r="F11248" s="215" t="n">
        <v>46020</v>
      </c>
    </row>
    <row r="11249">
      <c r="A11249" s="215" t="n">
        <v>46021</v>
      </c>
      <c r="B11249" s="216" t="n">
        <v>108.3</v>
      </c>
      <c r="C11249" s="216" t="n">
        <v>121.34</v>
      </c>
      <c r="D11249" s="216" t="n">
        <v>1.109460949897766</v>
      </c>
      <c r="E11249" s="215" t="n">
        <v>46021</v>
      </c>
      <c r="F11249" s="215" t="n">
        <v>46021</v>
      </c>
    </row>
    <row r="11250">
      <c r="A11250" s="215" t="n">
        <v>46022</v>
      </c>
      <c r="B11250" s="216" t="n">
        <v>107.1</v>
      </c>
      <c r="C11250" s="216" t="n">
        <v>120.96</v>
      </c>
      <c r="D11250" s="216" t="n">
        <v>1.111927032470703</v>
      </c>
      <c r="E11250" s="215" t="n">
        <v>46022</v>
      </c>
      <c r="F11250" s="215" t="n">
        <v>46022</v>
      </c>
    </row>
    <row r="11251">
      <c r="A11251" s="215" t="n">
        <v>46024</v>
      </c>
      <c r="B11251" s="216" t="n">
        <v>107.2</v>
      </c>
      <c r="C11251" s="216" t="n">
        <v>120.96</v>
      </c>
      <c r="D11251" s="216" t="n">
        <v>1.112754940986633</v>
      </c>
      <c r="E11251" s="215" t="n">
        <v>46022</v>
      </c>
      <c r="F11251" s="215" t="n">
        <v>46024</v>
      </c>
    </row>
    <row r="11252">
      <c r="A11252" s="215" t="n">
        <v>46027</v>
      </c>
      <c r="B11252" s="216" t="n">
        <v>105.9</v>
      </c>
      <c r="C11252" s="216" t="n">
        <v>121.31</v>
      </c>
      <c r="D11252" s="216" t="n">
        <v>1.113860011100769</v>
      </c>
      <c r="E11252" s="215" t="n">
        <v>46027</v>
      </c>
      <c r="F11252" s="215" t="n">
        <v>46027</v>
      </c>
    </row>
    <row r="11253">
      <c r="A11253" s="215" t="n">
        <v>46028</v>
      </c>
      <c r="B11253" s="216" t="n">
        <v>109.5</v>
      </c>
      <c r="C11253" s="216" t="n">
        <v>125.32</v>
      </c>
      <c r="D11253" s="216" t="n">
        <v>1.11367404460907</v>
      </c>
      <c r="E11253" s="215" t="n">
        <v>46028</v>
      </c>
      <c r="F11253" s="215" t="n">
        <v>46028</v>
      </c>
    </row>
    <row r="11254">
      <c r="A11254" s="215" t="n">
        <v>46029</v>
      </c>
      <c r="B11254" s="216" t="n">
        <v>110.6</v>
      </c>
      <c r="C11254" s="216" t="n">
        <v>128.35</v>
      </c>
      <c r="D11254" s="216" t="n">
        <v>1.114913940429688</v>
      </c>
      <c r="E11254" s="215" t="n">
        <v>46029</v>
      </c>
      <c r="F11254" s="215" t="n">
        <v>46029</v>
      </c>
    </row>
    <row r="11255">
      <c r="A11255" s="215" t="n">
        <v>46030</v>
      </c>
      <c r="B11255" s="216" t="n">
        <v>108.7</v>
      </c>
      <c r="C11255" s="216" t="n">
        <v>125.3</v>
      </c>
      <c r="D11255" s="216" t="n">
        <v>1.112563014030457</v>
      </c>
      <c r="E11255" s="215" t="n">
        <v>46030</v>
      </c>
      <c r="F11255" s="215" t="n">
        <v>46030</v>
      </c>
    </row>
    <row r="11256">
      <c r="A11256" s="215" t="n">
        <v>46031</v>
      </c>
      <c r="B11256" s="216" t="n">
        <v>107.8</v>
      </c>
      <c r="C11256" s="216" t="n">
        <v>124.72</v>
      </c>
      <c r="D11256" s="216" t="n">
        <v>1.115561008453369</v>
      </c>
      <c r="E11256" s="215" t="n">
        <v>46031</v>
      </c>
      <c r="F11256" s="215" t="n">
        <v>46031</v>
      </c>
    </row>
    <row r="11257">
      <c r="A11257" s="215" t="n">
        <v>46034</v>
      </c>
      <c r="B11257" s="216" t="n">
        <v>107.4</v>
      </c>
      <c r="C11257" s="216" t="n">
        <v>124.03</v>
      </c>
      <c r="D11257" s="216" t="n">
        <v>1.117015957832336</v>
      </c>
      <c r="E11257" s="215" t="n">
        <v>46034</v>
      </c>
      <c r="F11257" s="215" t="n">
        <v>46034</v>
      </c>
    </row>
    <row r="11258">
      <c r="A11258" s="215" t="n">
        <v>46035</v>
      </c>
      <c r="B11258" s="216" t="n">
        <v>107.4</v>
      </c>
      <c r="C11258" s="216" t="n">
        <v>122.7</v>
      </c>
      <c r="D11258" s="216" t="n">
        <v>1.117892026901245</v>
      </c>
      <c r="E11258" s="215" t="n">
        <v>46035</v>
      </c>
      <c r="F11258" s="215" t="n">
        <v>46035</v>
      </c>
    </row>
    <row r="11259">
      <c r="A11259" s="215" t="n">
        <v>46036</v>
      </c>
      <c r="B11259" s="216" t="n">
        <v>106.9</v>
      </c>
      <c r="C11259" s="216" t="n">
        <v>121.7</v>
      </c>
      <c r="D11259" s="216" t="n">
        <v>1.117897987365723</v>
      </c>
      <c r="E11259" s="215" t="n">
        <v>46036</v>
      </c>
      <c r="F11259" s="215" t="n">
        <v>46036</v>
      </c>
    </row>
    <row r="11260">
      <c r="A11260" s="215" t="n">
        <v>46037</v>
      </c>
      <c r="B11260" s="216" t="n">
        <v>107.5</v>
      </c>
      <c r="C11260" s="216" t="n">
        <v>121.32</v>
      </c>
      <c r="D11260" s="216" t="n">
        <v>1.118072032928467</v>
      </c>
      <c r="E11260" s="215" t="n">
        <v>46037</v>
      </c>
      <c r="F11260" s="215" t="n">
        <v>46037</v>
      </c>
    </row>
    <row r="11261">
      <c r="A11261" s="215" t="n">
        <v>46038</v>
      </c>
      <c r="B11261" s="216" t="n">
        <v>107.7</v>
      </c>
      <c r="C11261" s="216" t="n">
        <v>120.92</v>
      </c>
      <c r="D11261" s="216" t="n">
        <v>1.119040012359619</v>
      </c>
      <c r="E11261" s="215" t="n">
        <v>46038</v>
      </c>
      <c r="F11261" s="215" t="n">
        <v>46038</v>
      </c>
    </row>
    <row r="11262">
      <c r="A11262" s="215" t="n">
        <v>46041</v>
      </c>
      <c r="B11262" s="216" t="n">
        <v>108.1</v>
      </c>
      <c r="C11262" s="216" t="n">
        <v>121.15</v>
      </c>
      <c r="D11262" s="216" t="n">
        <v>1.118916034698486</v>
      </c>
      <c r="E11262" s="215" t="n">
        <v>46041</v>
      </c>
      <c r="F11262" s="215" t="n">
        <v>46041</v>
      </c>
    </row>
    <row r="11263">
      <c r="A11263" s="215" t="n">
        <v>46042</v>
      </c>
      <c r="B11263" s="216" t="n">
        <v>107</v>
      </c>
      <c r="C11263" s="216" t="n">
        <v>119.18</v>
      </c>
      <c r="D11263" s="216" t="n">
        <v>1.118687987327576</v>
      </c>
      <c r="E11263" s="215" t="n">
        <v>46042</v>
      </c>
      <c r="F11263" s="215" t="n">
        <v>46042</v>
      </c>
    </row>
    <row r="11264">
      <c r="A11264" s="215" t="n">
        <v>46043</v>
      </c>
      <c r="B11264" s="216" t="n">
        <v>105.4</v>
      </c>
      <c r="C11264" s="216" t="n">
        <v>118.27</v>
      </c>
      <c r="D11264" s="216" t="n">
        <v>1.12024998664856</v>
      </c>
      <c r="E11264" s="215" t="n">
        <v>46043</v>
      </c>
      <c r="F11264" s="215" t="n">
        <v>46043</v>
      </c>
    </row>
    <row r="11265">
      <c r="A11265" s="215" t="n">
        <v>46044</v>
      </c>
      <c r="B11265" s="216" t="n">
        <v>102.5</v>
      </c>
      <c r="C11265" s="216" t="n">
        <v>115.12</v>
      </c>
      <c r="D11265" s="216" t="n">
        <v>1.11942195892334</v>
      </c>
      <c r="E11265" s="215" t="n">
        <v>46044</v>
      </c>
      <c r="F11265" s="215" t="n">
        <v>46044</v>
      </c>
    </row>
    <row r="11266">
      <c r="A11266" s="215" t="n">
        <v>46045</v>
      </c>
      <c r="B11266" s="216" t="n">
        <v>104.5</v>
      </c>
      <c r="C11266" s="216" t="n">
        <v>118</v>
      </c>
      <c r="D11266" s="216" t="n">
        <v>1.117977976799011</v>
      </c>
      <c r="E11266" s="215" t="n">
        <v>46045</v>
      </c>
      <c r="F11266" s="215" t="n">
        <v>46045</v>
      </c>
    </row>
    <row r="11267">
      <c r="A11267" s="215" t="n">
        <v>46048</v>
      </c>
      <c r="B11267" s="216" t="n">
        <v>101.1</v>
      </c>
      <c r="C11267" s="216" t="n">
        <v>114.6</v>
      </c>
      <c r="D11267" s="216" t="n">
        <v>1.117916941642761</v>
      </c>
      <c r="E11267" s="215" t="n">
        <v>46048</v>
      </c>
      <c r="F11267" s="215" t="n">
        <v>46048</v>
      </c>
    </row>
    <row r="11268">
      <c r="A11268" s="215" t="n">
        <v>46049</v>
      </c>
      <c r="B11268" s="216" t="n">
        <v>98.65000000000001</v>
      </c>
      <c r="C11268" s="216" t="n">
        <v>112.58</v>
      </c>
      <c r="D11268" s="216" t="n">
        <v>1.121191024780273</v>
      </c>
      <c r="E11268" s="215" t="n">
        <v>46049</v>
      </c>
      <c r="F11268" s="215" t="n">
        <v>46049</v>
      </c>
    </row>
    <row r="11269">
      <c r="A11269" s="215" t="n">
        <v>46050</v>
      </c>
      <c r="B11269" s="216" t="n">
        <v>97.25</v>
      </c>
      <c r="C11269" s="216" t="n">
        <v>108.36</v>
      </c>
      <c r="D11269" s="216" t="n">
        <v>1.121533036231995</v>
      </c>
      <c r="E11269" s="215" t="n">
        <v>46050</v>
      </c>
      <c r="F11269" s="215" t="n">
        <v>46050</v>
      </c>
    </row>
    <row r="11270">
      <c r="A11270" s="215" t="n">
        <v>46051</v>
      </c>
      <c r="B11270" s="216" t="n">
        <v>97.84999999999999</v>
      </c>
      <c r="C11270" s="216" t="n">
        <v>108.95</v>
      </c>
      <c r="D11270" s="216" t="n">
        <v>1.121621966362</v>
      </c>
      <c r="E11270" s="215" t="n">
        <v>46051</v>
      </c>
      <c r="F11270" s="215" t="n">
        <v>46051</v>
      </c>
    </row>
    <row r="11271">
      <c r="A11271" s="215" t="n">
        <v>46052</v>
      </c>
      <c r="B11271" s="216" t="n">
        <v>95.8</v>
      </c>
      <c r="C11271" s="216" t="n">
        <v>104.09</v>
      </c>
      <c r="D11271" s="216" t="n">
        <v>1.123343944549561</v>
      </c>
      <c r="E11271" s="215" t="n">
        <v>46052</v>
      </c>
      <c r="F11271" s="215" t="n">
        <v>46052</v>
      </c>
    </row>
    <row r="11272">
      <c r="A11272" s="215" t="n">
        <v>46055</v>
      </c>
      <c r="B11272" s="216" t="n">
        <v>95.7</v>
      </c>
      <c r="C11272" s="216" t="n">
        <v>104.45</v>
      </c>
      <c r="D11272" s="216" t="n">
        <v>1.123572945594788</v>
      </c>
      <c r="E11272" s="215" t="n">
        <v>46055</v>
      </c>
      <c r="F11272" s="215" t="n">
        <v>46055</v>
      </c>
    </row>
    <row r="11273">
      <c r="A11273" s="215" t="n">
        <v>46056</v>
      </c>
      <c r="B11273" s="216" t="n">
        <v>97</v>
      </c>
      <c r="C11273" s="216" t="n">
        <v>107.4</v>
      </c>
      <c r="D11273" s="216" t="n">
        <v>1.124274969100952</v>
      </c>
      <c r="E11273" s="215" t="n">
        <v>46056</v>
      </c>
      <c r="F11273" s="215" t="n">
        <v>46056</v>
      </c>
    </row>
    <row r="11274">
      <c r="A11274" s="215" t="n">
        <v>46057</v>
      </c>
      <c r="B11274" s="216" t="n">
        <v>97.90000000000001</v>
      </c>
      <c r="C11274" s="216" t="n">
        <v>110.29</v>
      </c>
      <c r="D11274" s="216" t="n">
        <v>1.12601101398468</v>
      </c>
      <c r="E11274" s="215" t="n">
        <v>46057</v>
      </c>
      <c r="F11274" s="215" t="n">
        <v>46057</v>
      </c>
    </row>
    <row r="11275">
      <c r="A11275" s="215" t="n">
        <v>46058</v>
      </c>
      <c r="B11275" s="216" t="n">
        <v>97.05</v>
      </c>
      <c r="C11275" s="216" t="n">
        <v>109.3</v>
      </c>
      <c r="D11275" s="216" t="n">
        <v>1.125892996788025</v>
      </c>
      <c r="E11275" s="215" t="n">
        <v>46058</v>
      </c>
      <c r="F11275" s="215" t="n">
        <v>46058</v>
      </c>
    </row>
    <row r="11276">
      <c r="A11276" s="215" t="n">
        <v>46059</v>
      </c>
      <c r="B11276" s="216" t="n">
        <v>96.8</v>
      </c>
      <c r="C11276" s="216" t="n">
        <v>109.08</v>
      </c>
      <c r="D11276" s="216" t="n">
        <v>1.126062035560608</v>
      </c>
      <c r="E11276" s="215" t="n">
        <v>46059</v>
      </c>
      <c r="F11276" s="215" t="n">
        <v>46059</v>
      </c>
    </row>
    <row r="11277">
      <c r="A11277" s="215" t="n">
        <v>46062</v>
      </c>
      <c r="B11277" s="216" t="n">
        <v>99.40000000000001</v>
      </c>
      <c r="C11277" s="216" t="n">
        <v>110.98</v>
      </c>
      <c r="D11277" s="216" t="n">
        <v>1.125753998756409</v>
      </c>
      <c r="E11277" s="215" t="n">
        <v>46062</v>
      </c>
      <c r="F11277" s="215" t="n">
        <v>46062</v>
      </c>
    </row>
    <row r="11278">
      <c r="A11278" s="215" t="n">
        <v>46063</v>
      </c>
      <c r="B11278" s="216" t="n">
        <v>99</v>
      </c>
      <c r="C11278" s="216" t="n">
        <v>110.36</v>
      </c>
      <c r="D11278" s="216" t="n">
        <v>1.129003047943115</v>
      </c>
      <c r="E11278" s="215" t="n">
        <v>46063</v>
      </c>
      <c r="F11278" s="215" t="n">
        <v>46063</v>
      </c>
    </row>
    <row r="11279">
      <c r="A11279" s="215" t="n">
        <v>46064</v>
      </c>
      <c r="B11279" s="216" t="n">
        <v>99.25</v>
      </c>
      <c r="C11279" s="216" t="n">
        <v>110.45</v>
      </c>
      <c r="D11279" s="216" t="n">
        <v>1.130962014198303</v>
      </c>
      <c r="E11279" s="215" t="n">
        <v>46064</v>
      </c>
      <c r="F11279" s="215" t="n">
        <v>46064</v>
      </c>
    </row>
    <row r="11280">
      <c r="A11280" s="215" t="n">
        <v>46065</v>
      </c>
      <c r="B11280" s="216" t="n">
        <v>99.2</v>
      </c>
      <c r="C11280" s="216" t="n">
        <v>108.88</v>
      </c>
      <c r="D11280" s="216" t="n">
        <v>1.130671977996826</v>
      </c>
      <c r="E11280" s="215" t="n">
        <v>46065</v>
      </c>
      <c r="F11280" s="215" t="n">
        <v>46065</v>
      </c>
    </row>
    <row r="11281">
      <c r="A11281" s="215" t="n">
        <v>46066</v>
      </c>
      <c r="B11281" s="216" t="n">
        <v>100.1</v>
      </c>
      <c r="C11281" s="216" t="n">
        <v>109.22</v>
      </c>
      <c r="D11281" s="216" t="n">
        <v>1.132490992546082</v>
      </c>
      <c r="E11281" s="215" t="n">
        <v>46066</v>
      </c>
      <c r="F11281" s="215" t="n">
        <v>46066</v>
      </c>
    </row>
    <row r="11282">
      <c r="A11282" s="215" t="n">
        <v>46069</v>
      </c>
      <c r="B11282" s="216" t="n">
        <v>96.90000000000001</v>
      </c>
      <c r="C11282" s="216" t="n">
        <v>109.22</v>
      </c>
      <c r="D11282" s="216" t="n">
        <v>1.131224036216736</v>
      </c>
      <c r="E11282" s="215" t="n">
        <v>46066</v>
      </c>
      <c r="F11282" s="215" t="n">
        <v>46069</v>
      </c>
    </row>
    <row r="11283">
      <c r="A11283" s="215" t="n">
        <v>46073</v>
      </c>
      <c r="B11283" s="216" t="n">
        <v>92.34999999999999</v>
      </c>
      <c r="C11283" s="216" t="n">
        <v>109.22</v>
      </c>
      <c r="D11283" s="216" t="n">
        <v>1.131005048751831</v>
      </c>
      <c r="E11283" s="215" t="n">
        <v>46066</v>
      </c>
      <c r="F11283" s="215" t="n">
        <v>46073</v>
      </c>
    </row>
    <row r="11284">
      <c r="A11284" s="215" t="n">
        <v>46076</v>
      </c>
      <c r="B11284" s="216" t="n">
        <v>95.75</v>
      </c>
      <c r="C11284" s="216" t="n">
        <v>109.22</v>
      </c>
      <c r="D11284" s="216" t="n">
        <v>1.130877017974854</v>
      </c>
      <c r="E11284" s="215" t="n">
        <v>46066</v>
      </c>
      <c r="F11284" s="215" t="n">
        <v>46076</v>
      </c>
    </row>
    <row r="11285">
      <c r="A11285" s="215" t="n">
        <v>46077</v>
      </c>
      <c r="B11285" s="216" t="n">
        <v>97</v>
      </c>
      <c r="C11285" s="216" t="n">
        <v>108.04</v>
      </c>
      <c r="D11285" s="216" t="n">
        <v>1.131631016731262</v>
      </c>
      <c r="E11285" s="215" t="n">
        <v>46077</v>
      </c>
      <c r="F11285" s="215" t="n">
        <v>46077</v>
      </c>
    </row>
    <row r="11286">
      <c r="A11286" s="215" t="n">
        <v>46078</v>
      </c>
      <c r="B11286" s="216" t="n">
        <v>96.7</v>
      </c>
      <c r="C11286" s="216" t="n">
        <v>109.14</v>
      </c>
      <c r="D11286" s="216" t="n">
        <v>1.136234045028687</v>
      </c>
      <c r="E11286" s="215" t="n">
        <v>46078</v>
      </c>
      <c r="F11286" s="215" t="n">
        <v>46078</v>
      </c>
    </row>
    <row r="11287">
      <c r="A11287" s="215" t="n">
        <v>46079</v>
      </c>
      <c r="B11287" s="216" t="n">
        <v>93.59999999999999</v>
      </c>
      <c r="C11287" s="216" t="n">
        <v>106.08</v>
      </c>
      <c r="D11287" s="216" t="n">
        <v>1.138198971748352</v>
      </c>
      <c r="E11287" s="215" t="n">
        <v>46079</v>
      </c>
      <c r="F11287" s="215" t="n">
        <v>46079</v>
      </c>
    </row>
    <row r="11288">
      <c r="A11288" s="215" t="n">
        <v>46080</v>
      </c>
      <c r="B11288" s="216" t="n">
        <v>95.25</v>
      </c>
      <c r="C11288" s="216" t="n">
        <v>107.32</v>
      </c>
      <c r="D11288" s="216" t="n">
        <v>1.143396973609924</v>
      </c>
      <c r="E11288" s="215" t="n">
        <v>46080</v>
      </c>
      <c r="F11288" s="215" t="n">
        <v>46080</v>
      </c>
    </row>
    <row r="11289">
      <c r="A11289" s="215" t="n">
        <v>46083</v>
      </c>
      <c r="B11289" s="216" t="n">
        <v>92.05</v>
      </c>
      <c r="C11289" s="216" t="n">
        <v>106.19</v>
      </c>
      <c r="D11289" s="216" t="n">
        <v>1.140552043914795</v>
      </c>
      <c r="E11289" s="215" t="n">
        <v>46083</v>
      </c>
      <c r="F11289" s="215" t="n">
        <v>46083</v>
      </c>
    </row>
    <row r="11290">
      <c r="A11290" s="215" t="n">
        <v>46084</v>
      </c>
      <c r="B11290" s="216" t="n">
        <v>90.09999999999999</v>
      </c>
      <c r="C11290" s="216" t="n">
        <v>102.4</v>
      </c>
      <c r="D11290" s="216" t="n">
        <v>1.136399984359741</v>
      </c>
      <c r="E11290" s="215" t="n">
        <v>46084</v>
      </c>
      <c r="F11290" s="215" t="n">
        <v>46084</v>
      </c>
    </row>
    <row r="11291">
      <c r="A11291" s="215" t="n">
        <v>46085</v>
      </c>
      <c r="B11291" s="216" t="n">
        <v>87.09999999999999</v>
      </c>
      <c r="C11291" s="216" t="n">
        <v>101.51</v>
      </c>
      <c r="D11291" s="216" t="n">
        <v>1.130928993225098</v>
      </c>
      <c r="E11291" s="215" t="n">
        <v>46085</v>
      </c>
      <c r="F11291" s="215" t="n">
        <v>46085</v>
      </c>
    </row>
    <row r="11292">
      <c r="A11292" s="215" t="n">
        <v>46086</v>
      </c>
      <c r="B11292" s="216" t="n">
        <v>87.3</v>
      </c>
      <c r="C11292" s="216" t="n">
        <v>101</v>
      </c>
      <c r="D11292" s="216" t="n">
        <v>1.133169054985046</v>
      </c>
      <c r="E11292" s="215" t="n">
        <v>46086</v>
      </c>
      <c r="F11292" s="215" t="n">
        <v>46086</v>
      </c>
    </row>
    <row r="11293">
      <c r="A11293" s="215" t="n">
        <v>46087</v>
      </c>
      <c r="B11293" s="216" t="n">
        <v>88</v>
      </c>
      <c r="C11293" s="216" t="n">
        <v>100.25</v>
      </c>
      <c r="D11293" s="216" t="n">
        <v>1.133442044258118</v>
      </c>
      <c r="E11293" s="215" t="n">
        <v>46087</v>
      </c>
      <c r="F11293" s="215" t="n">
        <v>46087</v>
      </c>
    </row>
    <row r="11294">
      <c r="A11294" s="215" t="n">
        <v>46090</v>
      </c>
      <c r="B11294" s="216" t="n">
        <v>86.7</v>
      </c>
      <c r="C11294" s="216" t="n">
        <v>97.8</v>
      </c>
      <c r="D11294" s="216" t="n">
        <v>1.133231043815613</v>
      </c>
      <c r="E11294" s="215" t="n">
        <v>46090</v>
      </c>
      <c r="F11294" s="215" t="n">
        <v>46090</v>
      </c>
    </row>
    <row r="11295">
      <c r="A11295" s="215" t="n">
        <v>46091</v>
      </c>
      <c r="B11295" s="216" t="n">
        <v>89.05</v>
      </c>
      <c r="C11295" s="216" t="n">
        <v>99.51000000000001</v>
      </c>
      <c r="D11295" s="216" t="n">
        <v>1.131595015525818</v>
      </c>
      <c r="E11295" s="215" t="n">
        <v>46091</v>
      </c>
      <c r="F11295" s="215" t="n">
        <v>46091</v>
      </c>
    </row>
    <row r="11296">
      <c r="A11296" s="215" t="n">
        <v>46092</v>
      </c>
      <c r="B11296" s="216" t="n">
        <v>92.2</v>
      </c>
      <c r="C11296" s="216" t="n">
        <v>101.52</v>
      </c>
      <c r="D11296" s="216" t="n">
        <v>1.137585043907166</v>
      </c>
      <c r="E11296" s="215" t="n">
        <v>46092</v>
      </c>
      <c r="F11296" s="215" t="n">
        <v>46092</v>
      </c>
    </row>
    <row r="11297">
      <c r="A11297" s="215" t="n">
        <v>46093</v>
      </c>
      <c r="B11297" s="216" t="n">
        <v>89.95</v>
      </c>
      <c r="C11297" s="216" t="n">
        <v>99.88</v>
      </c>
      <c r="D11297" s="216" t="n">
        <v>1.139600038528442</v>
      </c>
      <c r="E11297" s="215" t="n">
        <v>46093</v>
      </c>
      <c r="F11297" s="215" t="n">
        <v>46093</v>
      </c>
    </row>
    <row r="11298">
      <c r="A11298" s="215" t="n">
        <v>46094</v>
      </c>
      <c r="B11298" s="216" t="n">
        <v>90.5</v>
      </c>
      <c r="C11298" s="216" t="n">
        <v>100.23</v>
      </c>
      <c r="D11298" s="216" t="n">
        <v>1.139310002326965</v>
      </c>
      <c r="E11298" s="215" t="n">
        <v>46094</v>
      </c>
      <c r="F11298" s="215" t="n">
        <v>46094</v>
      </c>
    </row>
    <row r="11299">
      <c r="A11299" s="215" t="n">
        <v>46097</v>
      </c>
      <c r="B11299" s="216" t="n">
        <v>92.59999999999999</v>
      </c>
      <c r="C11299" s="216" t="n">
        <v>103.24</v>
      </c>
      <c r="D11299" s="216" t="n">
        <v>1.134883999824524</v>
      </c>
      <c r="E11299" s="215" t="n">
        <v>46097</v>
      </c>
      <c r="F11299" s="215" t="n">
        <v>46097</v>
      </c>
    </row>
    <row r="11300">
      <c r="A11300" s="215" t="n">
        <v>46098</v>
      </c>
      <c r="B11300" s="216" t="n">
        <v>93.05</v>
      </c>
      <c r="C11300" s="216" t="n">
        <v>102.9</v>
      </c>
      <c r="D11300" s="216" t="n">
        <v>1.125375986099243</v>
      </c>
      <c r="E11300" s="215" t="n">
        <v>46098</v>
      </c>
      <c r="F11300" s="215" t="n">
        <v>46098</v>
      </c>
    </row>
    <row r="11301">
      <c r="A11301" s="215" t="n">
        <v>46099</v>
      </c>
      <c r="B11301" s="216" t="n">
        <v>91.90000000000001</v>
      </c>
      <c r="C11301" s="216" t="n">
        <v>101.47</v>
      </c>
      <c r="D11301" s="216" t="n">
        <v>1.137819051742554</v>
      </c>
      <c r="E11301" s="215" t="n">
        <v>46099</v>
      </c>
      <c r="F11301" s="215" t="n">
        <v>46099</v>
      </c>
    </row>
    <row r="11302">
      <c r="A11302" s="215" t="n">
        <v>46100</v>
      </c>
      <c r="B11302" s="216" t="n">
        <v>90.95</v>
      </c>
      <c r="C11302" s="216" t="n">
        <v>100.9</v>
      </c>
      <c r="D11302" s="216" t="n">
        <v>1.140079021453857</v>
      </c>
      <c r="E11302" s="215" t="n">
        <v>46100</v>
      </c>
      <c r="F11302" s="215" t="n">
        <v>46100</v>
      </c>
    </row>
    <row r="11303">
      <c r="A11303" s="215" t="n">
        <v>46101</v>
      </c>
      <c r="B11303" s="216" t="n">
        <v>90.3</v>
      </c>
      <c r="C11303" s="216" t="n">
        <v>99.76000000000001</v>
      </c>
      <c r="D11303" s="216" t="n">
        <v>1.13490903377533</v>
      </c>
      <c r="E11303" s="215" t="n">
        <v>46101</v>
      </c>
      <c r="F11303" s="215" t="n">
        <v>46101</v>
      </c>
    </row>
    <row r="11304">
      <c r="A11304" s="215" t="n">
        <v>46104</v>
      </c>
      <c r="B11304" s="216" t="n">
        <v>87.8</v>
      </c>
      <c r="C11304" s="216" t="n">
        <v>99.27</v>
      </c>
      <c r="D11304" s="216" t="n">
        <v>1.137529969215393</v>
      </c>
      <c r="E11304" s="215" t="n">
        <v>46104</v>
      </c>
      <c r="F11304" s="215" t="n">
        <v>46104</v>
      </c>
    </row>
    <row r="11305">
      <c r="A11305" s="215" t="n">
        <v>46105</v>
      </c>
      <c r="B11305" s="216" t="n">
        <v>89.5</v>
      </c>
      <c r="C11305" s="216" t="n">
        <v>97.06999999999999</v>
      </c>
      <c r="D11305" s="216" t="n">
        <v>1.138481974601746</v>
      </c>
      <c r="E11305" s="215" t="n">
        <v>46105</v>
      </c>
      <c r="F11305" s="215" t="n">
        <v>46105</v>
      </c>
    </row>
    <row r="11306">
      <c r="A11306" s="215" t="n">
        <v>46106</v>
      </c>
      <c r="B11306" s="216" t="n">
        <v>89</v>
      </c>
      <c r="C11306" s="216" t="n">
        <v>96.55</v>
      </c>
      <c r="D11306" s="216" t="n">
        <v>1.135548949241638</v>
      </c>
      <c r="E11306" s="215" t="n">
        <v>46106</v>
      </c>
      <c r="F11306" s="215" t="n">
        <v>46106</v>
      </c>
    </row>
    <row r="11307">
      <c r="A11307" s="215" t="n">
        <v>46107</v>
      </c>
      <c r="B11307" s="216" t="n">
        <v>87.05</v>
      </c>
      <c r="C11307" s="216" t="n">
        <v>94</v>
      </c>
      <c r="D11307" s="216" t="n">
        <v>1.132627010345459</v>
      </c>
      <c r="E11307" s="215" t="n">
        <v>46107</v>
      </c>
      <c r="F11307" s="215" t="n">
        <v>46107</v>
      </c>
    </row>
    <row r="11308">
      <c r="A11308" s="215" t="n">
        <v>46108</v>
      </c>
      <c r="B11308" s="216" t="n">
        <v>86.95</v>
      </c>
      <c r="C11308" s="216" t="n">
        <v>95.42</v>
      </c>
      <c r="D11308" s="216" t="n">
        <v>1.132115960121155</v>
      </c>
      <c r="E11308" s="215" t="n">
        <v>46108</v>
      </c>
      <c r="F11308" s="215" t="n">
        <v>46108</v>
      </c>
    </row>
    <row r="11309">
      <c r="A11309" s="215" t="n">
        <v>46111</v>
      </c>
      <c r="B11309" s="216" t="n">
        <v>84.25</v>
      </c>
      <c r="C11309" s="216" t="n">
        <v>94.23999999999999</v>
      </c>
      <c r="D11309" s="216" t="n">
        <v>1.13311505317688</v>
      </c>
      <c r="E11309" s="215" t="n">
        <v>46111</v>
      </c>
      <c r="F11309" s="215" t="n">
        <v>46111</v>
      </c>
    </row>
    <row r="11310">
      <c r="A11310" s="215" t="n">
        <v>46112</v>
      </c>
      <c r="B11310" s="216" t="n">
        <v>80.65000000000001</v>
      </c>
      <c r="C11310" s="216" t="n">
        <v>90.83</v>
      </c>
      <c r="D11310" s="216" t="n">
        <v>1.133540987968445</v>
      </c>
      <c r="E11310" s="215" t="n">
        <v>46112</v>
      </c>
      <c r="F11310" s="215" t="n">
        <v>46112</v>
      </c>
    </row>
    <row r="11311">
      <c r="A11311" s="215" t="n">
        <v>46113</v>
      </c>
      <c r="B11311" s="216" t="n">
        <v>81.7</v>
      </c>
      <c r="C11311" s="216" t="n">
        <v>91.76000000000001</v>
      </c>
      <c r="D11311" s="216" t="n">
        <v>1.136669993400574</v>
      </c>
      <c r="E11311" s="215" t="n">
        <v>46113</v>
      </c>
      <c r="F11311" s="215" t="n">
        <v>46113</v>
      </c>
    </row>
    <row r="11312">
      <c r="A11312" s="215" t="n">
        <v>46114</v>
      </c>
      <c r="B11312" s="216" t="n">
        <v>78.8</v>
      </c>
      <c r="C11312" s="216" t="n">
        <v>89.08</v>
      </c>
      <c r="D11312" s="216" t="n">
        <v>1.140197992324829</v>
      </c>
      <c r="E11312" s="215" t="n">
        <v>46114</v>
      </c>
      <c r="F11312" s="215" t="n">
        <v>46114</v>
      </c>
    </row>
    <row r="11313">
      <c r="A11313" s="215" t="n">
        <v>46120</v>
      </c>
      <c r="B11313" s="216" t="n">
        <v>82</v>
      </c>
      <c r="C11313" s="216" t="n">
        <v>90</v>
      </c>
      <c r="D11313" s="216" t="n">
        <v>1.1423499584198</v>
      </c>
      <c r="E11313" s="215" t="n">
        <v>46120</v>
      </c>
      <c r="F11313" s="215" t="n">
        <v>46120</v>
      </c>
    </row>
    <row r="11314">
      <c r="A11314" s="215" t="n">
        <v>46121</v>
      </c>
      <c r="B11314" s="216" t="n">
        <v>79.59999999999999</v>
      </c>
      <c r="C11314" s="216" t="n">
        <v>88.58</v>
      </c>
      <c r="D11314" s="216" t="n">
        <v>1.146731972694397</v>
      </c>
      <c r="E11314" s="215" t="n">
        <v>46121</v>
      </c>
      <c r="F11314" s="215" t="n">
        <v>46121</v>
      </c>
    </row>
    <row r="11315">
      <c r="A11315" s="215" t="n">
        <v>46122</v>
      </c>
      <c r="B11315" s="216" t="n">
        <v>79.95</v>
      </c>
      <c r="C11315" s="216" t="n">
        <v>90.06999999999999</v>
      </c>
      <c r="D11315" s="216" t="n">
        <v>1.146558046340942</v>
      </c>
      <c r="E11315" s="215" t="n">
        <v>46122</v>
      </c>
      <c r="F11315" s="215" t="n">
        <v>46122</v>
      </c>
    </row>
    <row r="11316">
      <c r="A11316" s="215" t="n">
        <v>46125</v>
      </c>
      <c r="B11316" s="216" t="n">
        <v>80.5</v>
      </c>
      <c r="C11316" s="216" t="n">
        <v>90.11</v>
      </c>
      <c r="D11316" s="216" t="n">
        <v>1.147117972373962</v>
      </c>
      <c r="E11316" s="215" t="n">
        <v>46125</v>
      </c>
      <c r="F11316" s="215" t="n">
        <v>46125</v>
      </c>
    </row>
    <row r="11317">
      <c r="A11317" s="215" t="n">
        <v>46126</v>
      </c>
      <c r="B11317" s="216" t="n">
        <v>80.34999999999999</v>
      </c>
      <c r="C11317" s="216" t="n">
        <v>89.89</v>
      </c>
      <c r="D11317" s="216" t="n">
        <v>1.146226048469543</v>
      </c>
      <c r="E11317" s="215" t="n">
        <v>46126</v>
      </c>
      <c r="F11317" s="215" t="n">
        <v>46126</v>
      </c>
    </row>
    <row r="11318">
      <c r="A11318" s="215" t="n">
        <v>46127</v>
      </c>
      <c r="B11318" s="216" t="n">
        <v>79.09999999999999</v>
      </c>
      <c r="C11318" s="216" t="n">
        <v>88.31999999999999</v>
      </c>
      <c r="D11318" s="216" t="n">
        <v>1.149266004562378</v>
      </c>
      <c r="E11318" s="215" t="n">
        <v>46127</v>
      </c>
      <c r="F11318" s="215" t="n">
        <v>46127</v>
      </c>
    </row>
    <row r="11319">
      <c r="A11319" s="215" t="n">
        <v>46128</v>
      </c>
      <c r="B11319" s="216" t="n">
        <v>81.40000000000001</v>
      </c>
      <c r="C11319" s="216" t="n">
        <v>89.91</v>
      </c>
      <c r="D11319" s="216" t="n">
        <v>1.148550033569336</v>
      </c>
      <c r="E11319" s="215" t="n">
        <v>46128</v>
      </c>
      <c r="F11319" s="215" t="n">
        <v>46128</v>
      </c>
    </row>
    <row r="11320">
      <c r="A11320" s="215" t="n">
        <v>46129</v>
      </c>
      <c r="B11320" s="216" t="n">
        <v>80.55</v>
      </c>
      <c r="C11320" s="216" t="n">
        <v>89.47</v>
      </c>
      <c r="D11320" s="216" t="n">
        <v>1.146605014801025</v>
      </c>
      <c r="E11320" s="215" t="n">
        <v>46129</v>
      </c>
      <c r="F11320" s="215" t="n">
        <v>46129</v>
      </c>
    </row>
    <row r="11321">
      <c r="A11321" s="215" t="n">
        <v>46132</v>
      </c>
      <c r="B11321" s="216" t="n">
        <v>81.2</v>
      </c>
      <c r="C11321" s="216" t="n">
        <v>90.06999999999999</v>
      </c>
      <c r="D11321" s="216" t="n">
        <v>1.148360967636108</v>
      </c>
      <c r="E11321" s="215" t="n">
        <v>46132</v>
      </c>
      <c r="F11321" s="215" t="n">
        <v>46132</v>
      </c>
    </row>
    <row r="11322">
      <c r="A11322" s="215" t="n">
        <v>46133</v>
      </c>
      <c r="B11322" s="216" t="n">
        <v>80.90000000000001</v>
      </c>
      <c r="C11322" s="216" t="n">
        <v>89.95</v>
      </c>
      <c r="D11322" s="216" t="n">
        <v>1.148368000984192</v>
      </c>
      <c r="E11322" s="215" t="n">
        <v>46133</v>
      </c>
      <c r="F11322" s="215" t="n">
        <v>46133</v>
      </c>
    </row>
    <row r="11323">
      <c r="A11323" s="215" t="n">
        <v>46134</v>
      </c>
      <c r="B11323" s="216" t="n">
        <v>80.05</v>
      </c>
      <c r="C11323" s="216" t="n">
        <v>90.47</v>
      </c>
      <c r="D11323" s="216" t="n">
        <v>1.147838950157166</v>
      </c>
      <c r="E11323" s="215" t="n">
        <v>46134</v>
      </c>
      <c r="F11323" s="215" t="n">
        <v>46134</v>
      </c>
    </row>
    <row r="11324">
      <c r="A11324" s="215" t="n">
        <v>46135</v>
      </c>
      <c r="B11324" s="216" t="n">
        <v>81.2</v>
      </c>
      <c r="C11324" s="216" t="n">
        <v>92.48</v>
      </c>
      <c r="D11324" s="216" t="n">
        <v>1.147513031959534</v>
      </c>
      <c r="E11324" s="215" t="n">
        <v>46135</v>
      </c>
      <c r="F11324" s="215" t="n">
        <v>46135</v>
      </c>
    </row>
    <row r="11325">
      <c r="A11325" s="215" t="n">
        <v>46136</v>
      </c>
      <c r="B11325" s="216" t="n">
        <v>79.25</v>
      </c>
      <c r="C11325" s="216" t="n">
        <v>90.84999999999999</v>
      </c>
      <c r="D11325" s="216" t="n">
        <v>1.147369027137756</v>
      </c>
      <c r="E11325" s="215" t="n">
        <v>46136</v>
      </c>
      <c r="F11325" s="215" t="n">
        <v>46136</v>
      </c>
    </row>
    <row r="11326">
      <c r="A11326" s="215" t="n">
        <v>46139</v>
      </c>
      <c r="B11326" s="216" t="n">
        <v>79.5</v>
      </c>
      <c r="C11326" s="216" t="n">
        <v>90.68000000000001</v>
      </c>
      <c r="D11326" s="216" t="n">
        <v>1.146002054214478</v>
      </c>
      <c r="E11326" s="215" t="n">
        <v>46139</v>
      </c>
      <c r="F11326" s="215" t="n">
        <v>46139</v>
      </c>
    </row>
    <row r="11327">
      <c r="A11327" s="215" t="n">
        <v>46140</v>
      </c>
      <c r="B11327" s="216" t="n">
        <v>77.55</v>
      </c>
      <c r="C11327" s="216" t="n">
        <v>88.95</v>
      </c>
      <c r="D11327" s="216" t="n">
        <v>1.148522019386292</v>
      </c>
      <c r="E11327" s="215" t="n">
        <v>46140</v>
      </c>
      <c r="F11327" s="215" t="n">
        <v>46140</v>
      </c>
    </row>
    <row r="11328">
      <c r="A11328" s="215" t="n">
        <v>46141</v>
      </c>
      <c r="B11328" s="216" t="n">
        <v>79.40000000000001</v>
      </c>
      <c r="C11328" s="216" t="n">
        <v>90.45</v>
      </c>
      <c r="D11328" s="216" t="n">
        <v>1.145936012268066</v>
      </c>
      <c r="E11328" s="215" t="n">
        <v>46141</v>
      </c>
      <c r="F11328" s="215" t="n">
        <v>46141</v>
      </c>
    </row>
    <row r="11329">
      <c r="A11329" s="215" t="n">
        <v>46142</v>
      </c>
      <c r="B11329" s="216" t="n">
        <v>76.40000000000001</v>
      </c>
      <c r="C11329" s="216" t="n">
        <v>88.75</v>
      </c>
      <c r="D11329" s="216" t="n">
        <v>1.145792007446289</v>
      </c>
      <c r="E11329" s="215" t="n">
        <v>46142</v>
      </c>
      <c r="F11329" s="215" t="n">
        <v>46142</v>
      </c>
    </row>
    <row r="11330">
      <c r="A11330" s="215" t="n">
        <v>46146</v>
      </c>
      <c r="B11330" s="216" t="n">
        <v>75.34999999999999</v>
      </c>
      <c r="C11330" s="216" t="n">
        <v>88.75</v>
      </c>
      <c r="D11330" s="216" t="n">
        <v>1.147340059280396</v>
      </c>
      <c r="E11330" s="215" t="n">
        <v>46142</v>
      </c>
      <c r="F11330" s="215" t="n">
        <v>46146</v>
      </c>
    </row>
    <row r="11331">
      <c r="A11331" s="215" t="n">
        <v>46147</v>
      </c>
      <c r="B11331" s="216" t="n">
        <v>70.09999999999999</v>
      </c>
      <c r="C11331" s="216" t="n">
        <v>88.75</v>
      </c>
      <c r="D11331" s="216" t="n">
        <v>1.146813988685608</v>
      </c>
      <c r="E11331" s="215" t="n">
        <v>46142</v>
      </c>
      <c r="F11331" s="215" t="n">
        <v>46147</v>
      </c>
    </row>
    <row r="11332">
      <c r="A11332" s="215" t="n">
        <v>46148</v>
      </c>
      <c r="B11332" s="216" t="n">
        <v>70.05</v>
      </c>
      <c r="C11332" s="216" t="n">
        <v>88.06999999999999</v>
      </c>
      <c r="D11332" s="216" t="n">
        <v>1.14708399772644</v>
      </c>
      <c r="E11332" s="215" t="n">
        <v>46148</v>
      </c>
      <c r="F11332" s="215" t="n">
        <v>46148</v>
      </c>
    </row>
    <row r="11333">
      <c r="A11333" s="215" t="n">
        <v>46149</v>
      </c>
      <c r="B11333" s="216" t="n">
        <v>71.8</v>
      </c>
      <c r="C11333" s="216" t="n">
        <v>89.19</v>
      </c>
      <c r="D11333" s="216" t="n">
        <v>1.150125026702881</v>
      </c>
      <c r="E11333" s="215" t="n">
        <v>46149</v>
      </c>
      <c r="F11333" s="215" t="n">
        <v>46149</v>
      </c>
    </row>
    <row r="11334">
      <c r="A11334" s="215" t="n">
        <v>46150</v>
      </c>
      <c r="B11334" s="216" t="n">
        <v>73.45</v>
      </c>
      <c r="C11334" s="216" t="n">
        <v>90.3</v>
      </c>
      <c r="D11334" s="216" t="n">
        <v>1.15172004699707</v>
      </c>
      <c r="E11334" s="215" t="n">
        <v>46150</v>
      </c>
      <c r="F11334" s="215" t="n">
        <v>46150</v>
      </c>
    </row>
    <row r="11335">
      <c r="A11335" s="215" t="n">
        <v>46153</v>
      </c>
      <c r="B11335" s="216" t="n">
        <v>71.3</v>
      </c>
      <c r="C11335" s="216" t="n">
        <v>89.19</v>
      </c>
      <c r="D11335" s="216" t="n">
        <v>1.151090025901794</v>
      </c>
      <c r="E11335" s="215" t="n">
        <v>46153</v>
      </c>
      <c r="F11335" s="215" t="n">
        <v>46153</v>
      </c>
    </row>
    <row r="11336">
      <c r="A11336" s="215" t="n">
        <v>46154</v>
      </c>
      <c r="B11336" s="216" t="n">
        <v>71.34999999999999</v>
      </c>
      <c r="C11336" s="216" t="n">
        <v>86.75</v>
      </c>
      <c r="D11336" s="216" t="n">
        <v>1.152078986167908</v>
      </c>
      <c r="E11336" s="215" t="n">
        <v>46154</v>
      </c>
      <c r="F11336" s="215" t="n">
        <v>46154</v>
      </c>
    </row>
    <row r="11337">
      <c r="A11337" s="215" t="n">
        <v>46155</v>
      </c>
      <c r="B11337" s="216" t="n">
        <v>70.7</v>
      </c>
      <c r="C11337" s="216" t="n">
        <v>87.45999999999999</v>
      </c>
      <c r="D11337" s="216" t="n">
        <v>1.152537941932678</v>
      </c>
      <c r="E11337" s="215" t="n">
        <v>46155</v>
      </c>
      <c r="F11337" s="215" t="n">
        <v>46155</v>
      </c>
    </row>
    <row r="11338">
      <c r="A11338" s="215" t="n">
        <v>46156</v>
      </c>
      <c r="B11338" s="216" t="n">
        <v>68.7</v>
      </c>
      <c r="C11338" s="216" t="n">
        <v>85.05</v>
      </c>
      <c r="D11338" s="216" t="n">
        <v>1.152662992477417</v>
      </c>
      <c r="E11338" s="215" t="n">
        <v>46156</v>
      </c>
      <c r="F11338" s="215" t="n">
        <v>46156</v>
      </c>
    </row>
    <row r="11339">
      <c r="A11339" s="215" t="n">
        <v>46157</v>
      </c>
      <c r="B11339" s="216" t="n">
        <v>67.59999999999999</v>
      </c>
      <c r="C11339" s="216" t="n">
        <v>83.26000000000001</v>
      </c>
      <c r="D11339" s="216" t="n">
        <v>1.154320001602173</v>
      </c>
      <c r="E11339" s="215" t="n">
        <v>46157</v>
      </c>
      <c r="F11339" s="215" t="n">
        <v>46157</v>
      </c>
    </row>
    <row r="11340">
      <c r="A11340" s="215" t="n">
        <v>46160</v>
      </c>
      <c r="B11340" s="216" t="n">
        <v>66.90000000000001</v>
      </c>
      <c r="C11340" s="216" t="n">
        <v>81.8</v>
      </c>
      <c r="D11340" s="216" t="n">
        <v>1.149821996688843</v>
      </c>
      <c r="E11340" s="215" t="n">
        <v>46160</v>
      </c>
      <c r="F11340" s="215" t="n">
        <v>46160</v>
      </c>
    </row>
    <row r="11341">
      <c r="A11341" s="215" t="n">
        <v>46161</v>
      </c>
      <c r="B11341" s="216" t="n">
        <v>67.55</v>
      </c>
      <c r="C11341" s="216" t="n">
        <v>80.08</v>
      </c>
      <c r="D11341" s="216" t="n">
        <v>1.151532053947449</v>
      </c>
      <c r="E11341" s="215" t="n">
        <v>46161</v>
      </c>
      <c r="F11341" s="215" t="n">
        <v>46161</v>
      </c>
    </row>
    <row r="11342">
      <c r="A11342" s="215" t="n">
        <v>46162</v>
      </c>
      <c r="B11342" s="216" t="n">
        <v>66.8</v>
      </c>
      <c r="C11342" s="216" t="n">
        <v>78.56</v>
      </c>
      <c r="D11342" s="216" t="n">
        <v>1.149292945861816</v>
      </c>
      <c r="E11342" s="215" t="n">
        <v>46162</v>
      </c>
      <c r="F11342" s="215" t="n">
        <v>46162</v>
      </c>
    </row>
    <row r="11343">
      <c r="A11343" s="215" t="n">
        <v>46163</v>
      </c>
      <c r="B11343" s="216" t="n">
        <v>70.2</v>
      </c>
      <c r="C11343" s="216" t="n">
        <v>83.38</v>
      </c>
      <c r="D11343" s="216" t="n">
        <v>1.151231050491333</v>
      </c>
      <c r="E11343" s="215" t="n">
        <v>46163</v>
      </c>
      <c r="F11343" s="215" t="n">
        <v>46163</v>
      </c>
    </row>
    <row r="11344">
      <c r="A11344" s="215" t="n">
        <v>46164</v>
      </c>
      <c r="B11344" s="216" t="n">
        <v>70.2</v>
      </c>
      <c r="C11344" s="216" t="n">
        <v>82.03</v>
      </c>
      <c r="D11344" s="216" t="n">
        <v>1.151487946510315</v>
      </c>
      <c r="E11344" s="215" t="n">
        <v>46164</v>
      </c>
      <c r="F11344" s="215" t="n">
        <v>46164</v>
      </c>
    </row>
    <row r="11345">
      <c r="A11345" s="215" t="n">
        <v>46168</v>
      </c>
      <c r="B11345" s="216" t="n">
        <v>73.7</v>
      </c>
      <c r="C11345" s="216" t="n">
        <v>86.41</v>
      </c>
      <c r="D11345" s="216" t="n">
        <v>1.152968049049377</v>
      </c>
      <c r="E11345" s="215" t="n">
        <v>46168</v>
      </c>
      <c r="F11345" s="215" t="n">
        <v>46168</v>
      </c>
    </row>
    <row r="11346">
      <c r="A11346" s="215" t="n">
        <v>46169</v>
      </c>
      <c r="B11346" s="216" t="n">
        <v>72.5</v>
      </c>
      <c r="C11346" s="216" t="n">
        <v>84.62</v>
      </c>
      <c r="D11346" s="216" t="n">
        <v>1.154562950134277</v>
      </c>
      <c r="E11346" s="215" t="n">
        <v>46169</v>
      </c>
      <c r="F11346" s="215" t="n">
        <v>46169</v>
      </c>
    </row>
    <row r="11347">
      <c r="A11347" s="215" t="n">
        <v>46170</v>
      </c>
      <c r="B11347" s="216" t="n">
        <v>70.5</v>
      </c>
      <c r="C11347" s="216" t="n">
        <v>82.98</v>
      </c>
      <c r="D11347" s="216" t="n">
        <v>1.155385971069336</v>
      </c>
      <c r="E11347" s="215" t="n">
        <v>46170</v>
      </c>
      <c r="F11347" s="215" t="n">
        <v>46170</v>
      </c>
    </row>
    <row r="11348">
      <c r="A11348" s="215" t="n">
        <v>46171</v>
      </c>
      <c r="B11348" s="216" t="n">
        <v>67.7</v>
      </c>
      <c r="C11348" s="216" t="n">
        <v>81.45999999999999</v>
      </c>
      <c r="D11348" s="216" t="n">
        <v>1.155282974243164</v>
      </c>
      <c r="E11348" s="215" t="n">
        <v>46171</v>
      </c>
      <c r="F11348" s="215" t="n">
        <v>46171</v>
      </c>
    </row>
    <row r="11349">
      <c r="A11349" s="215" t="n">
        <v>46174</v>
      </c>
      <c r="B11349" s="216" t="n">
        <v>68.8</v>
      </c>
      <c r="C11349" s="216" t="n">
        <v>80.09</v>
      </c>
      <c r="D11349" s="216" t="n">
        <v>1.158049941062927</v>
      </c>
      <c r="E11349" s="215" t="n">
        <v>46174</v>
      </c>
      <c r="F11349" s="215" t="n">
        <v>46174</v>
      </c>
    </row>
    <row r="11350">
      <c r="A11350" s="215" t="n">
        <v>46175</v>
      </c>
      <c r="B11350" s="216" t="n">
        <v>70.3</v>
      </c>
      <c r="C11350" s="216" t="n">
        <v>82.01000000000001</v>
      </c>
      <c r="D11350" s="216" t="n">
        <v>1.158406972885132</v>
      </c>
      <c r="E11350" s="215" t="n">
        <v>46175</v>
      </c>
      <c r="F11350" s="215" t="n">
        <v>46175</v>
      </c>
    </row>
    <row r="11351">
      <c r="A11351" s="215" t="n">
        <v>46176</v>
      </c>
      <c r="B11351" s="216" t="n">
        <v>66.95</v>
      </c>
      <c r="C11351" s="216" t="n">
        <v>79.09999999999999</v>
      </c>
      <c r="D11351" s="216" t="n">
        <v>1.15879499912262</v>
      </c>
      <c r="E11351" s="215" t="n">
        <v>46176</v>
      </c>
      <c r="F11351" s="215" t="n">
        <v>46176</v>
      </c>
    </row>
    <row r="11352">
      <c r="A11352" s="215" t="n">
        <v>46177</v>
      </c>
      <c r="B11352" s="216" t="n">
        <v>63.95</v>
      </c>
      <c r="C11352" s="216" t="n">
        <v>76.37</v>
      </c>
      <c r="D11352" s="216" t="n">
        <v>1.157420039176941</v>
      </c>
      <c r="E11352" s="215" t="n">
        <v>46177</v>
      </c>
      <c r="F11352" s="215" t="n">
        <v>46177</v>
      </c>
    </row>
    <row r="11353">
      <c r="A11353" s="215" t="n">
        <v>46178</v>
      </c>
      <c r="B11353" s="216" t="n">
        <v>61.8</v>
      </c>
      <c r="C11353" s="216" t="n">
        <v>75.01000000000001</v>
      </c>
      <c r="D11353" s="216" t="n">
        <v>1.156491994857788</v>
      </c>
      <c r="E11353" s="215" t="n">
        <v>46178</v>
      </c>
      <c r="F11353" s="215" t="n">
        <v>46178</v>
      </c>
    </row>
    <row r="11354">
      <c r="A11354" s="215" t="n">
        <v>46181</v>
      </c>
      <c r="B11354" s="216" t="n">
        <v>61.05</v>
      </c>
      <c r="C11354" s="216" t="n">
        <v>72.90000000000001</v>
      </c>
      <c r="D11354" s="216" t="n">
        <v>1.157665967941284</v>
      </c>
      <c r="E11354" s="215" t="n">
        <v>46181</v>
      </c>
      <c r="F11354" s="215" t="n">
        <v>46181</v>
      </c>
    </row>
    <row r="11355">
      <c r="A11355" s="215" t="n">
        <v>46182</v>
      </c>
      <c r="B11355" s="216" t="n">
        <v>59.9</v>
      </c>
      <c r="C11355" s="216" t="n">
        <v>71.70999999999999</v>
      </c>
      <c r="D11355" s="216" t="n">
        <v>1.158027052879333</v>
      </c>
      <c r="E11355" s="215" t="n">
        <v>46182</v>
      </c>
      <c r="F11355" s="215" t="n">
        <v>46182</v>
      </c>
    </row>
    <row r="11356">
      <c r="A11356" s="215" t="n">
        <v>46183</v>
      </c>
      <c r="B11356" s="216" t="n">
        <v>58.8</v>
      </c>
      <c r="C11356" s="216" t="n">
        <v>68.88</v>
      </c>
      <c r="D11356" s="216" t="n">
        <v>1.157112002372742</v>
      </c>
      <c r="E11356" s="215" t="n">
        <v>46183</v>
      </c>
      <c r="F11356" s="215" t="n">
        <v>46183</v>
      </c>
    </row>
    <row r="11357">
      <c r="A11357" s="215" t="n">
        <v>46184</v>
      </c>
      <c r="B11357" s="216" t="n">
        <v>57</v>
      </c>
      <c r="C11357" s="216" t="n">
        <v>67.70999999999999</v>
      </c>
      <c r="D11357" s="216" t="n">
        <v>1.156929016113281</v>
      </c>
      <c r="E11357" s="215" t="n">
        <v>46184</v>
      </c>
      <c r="F11357" s="215" t="n">
        <v>46184</v>
      </c>
    </row>
    <row r="11358">
      <c r="A11358" s="215" t="n">
        <v>46185</v>
      </c>
      <c r="B11358" s="216" t="n">
        <v>58.8</v>
      </c>
      <c r="C11358" s="216" t="n">
        <v>68.67</v>
      </c>
      <c r="D11358" s="216" t="n">
        <v>1.156345963478088</v>
      </c>
      <c r="E11358" s="215" t="n">
        <v>46185</v>
      </c>
      <c r="F11358" s="215" t="n">
        <v>46185</v>
      </c>
    </row>
    <row r="11359">
      <c r="A11359" s="215" t="n">
        <v>46188</v>
      </c>
      <c r="B11359" s="216" t="n">
        <v>57.6</v>
      </c>
      <c r="C11359" s="216" t="n">
        <v>68.2</v>
      </c>
      <c r="D11359" s="216" t="n">
        <v>1.156880021095276</v>
      </c>
      <c r="E11359" s="215" t="n">
        <v>46188</v>
      </c>
      <c r="F11359" s="215" t="n">
        <v>46188</v>
      </c>
    </row>
    <row r="11360">
      <c r="A11360" s="215" t="n">
        <v>46189</v>
      </c>
      <c r="B11360" s="216" t="n">
        <v>57.95</v>
      </c>
      <c r="C11360" s="216" t="n">
        <v>68.78</v>
      </c>
      <c r="D11360" s="216" t="n">
        <v>1.158604025840759</v>
      </c>
      <c r="E11360" s="215" t="n">
        <v>46189</v>
      </c>
      <c r="F11360" s="215" t="n">
        <v>46189</v>
      </c>
    </row>
    <row r="11361">
      <c r="A11361" s="215" t="n">
        <v>46190</v>
      </c>
      <c r="B11361" s="216" t="n">
        <v>54.75</v>
      </c>
      <c r="C11361" s="216" t="n">
        <v>66.14</v>
      </c>
      <c r="D11361" s="216" t="n">
        <v>1.158974051475525</v>
      </c>
      <c r="E11361" s="215" t="n">
        <v>46190</v>
      </c>
      <c r="F11361" s="215" t="n">
        <v>46190</v>
      </c>
    </row>
    <row r="11362">
      <c r="A11362" s="215" t="n">
        <v>46191</v>
      </c>
      <c r="B11362" s="216" t="n">
        <v>52.65</v>
      </c>
      <c r="C11362" s="216" t="n">
        <v>64.81</v>
      </c>
      <c r="D11362" s="216" t="n">
        <v>1.159355998039246</v>
      </c>
      <c r="E11362" s="215" t="n">
        <v>46191</v>
      </c>
      <c r="F11362" s="215" t="n">
        <v>46191</v>
      </c>
    </row>
    <row r="11363">
      <c r="A11363" s="215" t="n">
        <v>46195</v>
      </c>
      <c r="B11363" s="216" t="n">
        <v>50.35</v>
      </c>
      <c r="C11363" s="216" t="n">
        <v>65.3</v>
      </c>
      <c r="D11363" s="216" t="n">
        <v>1.157493948936462</v>
      </c>
      <c r="E11363" s="215" t="n">
        <v>46195</v>
      </c>
      <c r="F11363" s="215" t="n">
        <v>46195</v>
      </c>
    </row>
    <row r="11364">
      <c r="A11364" s="215" t="n">
        <v>46196</v>
      </c>
      <c r="B11364" s="216" t="n">
        <v>49.56</v>
      </c>
      <c r="C11364" s="216" t="n">
        <v>63</v>
      </c>
      <c r="D11364" s="216" t="n">
        <v>1.156896948814392</v>
      </c>
      <c r="E11364" s="215" t="n">
        <v>46196</v>
      </c>
      <c r="F11364" s="215" t="n">
        <v>46196</v>
      </c>
    </row>
    <row r="11365">
      <c r="A11365" s="215" t="n">
        <v>46197</v>
      </c>
      <c r="B11365" s="216" t="n">
        <v>48.98</v>
      </c>
      <c r="C11365" s="216" t="n">
        <v>61.8</v>
      </c>
      <c r="D11365" s="216" t="n">
        <v>1.154508948326111</v>
      </c>
      <c r="E11365" s="215" t="n">
        <v>46197</v>
      </c>
      <c r="F11365" s="215" t="n">
        <v>46197</v>
      </c>
    </row>
    <row r="11366">
      <c r="A11366" s="215" t="n">
        <v>46198</v>
      </c>
      <c r="B11366" s="216" t="n">
        <v>48.8</v>
      </c>
      <c r="C11366" s="216" t="n">
        <v>62.7</v>
      </c>
      <c r="D11366" s="216" t="n">
        <v>1.154152035713196</v>
      </c>
      <c r="E11366" s="215" t="n">
        <v>46198</v>
      </c>
      <c r="F11366" s="215" t="n">
        <v>46198</v>
      </c>
    </row>
    <row r="11367">
      <c r="A11367" s="215" t="n">
        <v>46199</v>
      </c>
      <c r="B11367" s="216" t="n">
        <v>46.46</v>
      </c>
      <c r="C11367" s="216" t="n">
        <v>59.8</v>
      </c>
      <c r="D11367" s="216" t="n">
        <v>1.154500961303711</v>
      </c>
      <c r="E11367" s="215" t="n">
        <v>46199</v>
      </c>
      <c r="F11367" s="215" t="n">
        <v>46199</v>
      </c>
    </row>
    <row r="11368">
      <c r="A11368" s="215" t="n">
        <v>46202</v>
      </c>
      <c r="B11368" s="216" t="n">
        <v>46.16</v>
      </c>
      <c r="C11368" s="216" t="n">
        <v>60.72</v>
      </c>
      <c r="D11368" s="216" t="n">
        <v>1.153512001037598</v>
      </c>
      <c r="E11368" s="215" t="n">
        <v>46202</v>
      </c>
      <c r="F11368" s="215" t="n">
        <v>46202</v>
      </c>
    </row>
    <row r="11369">
      <c r="A11369" s="215" t="n">
        <v>46203</v>
      </c>
      <c r="B11369" s="216" t="n">
        <v>45.96</v>
      </c>
      <c r="C11369" s="216" t="n">
        <v>61.25</v>
      </c>
      <c r="D11369" s="216" t="n">
        <v>1.153959035873413</v>
      </c>
      <c r="E11369" s="215" t="n">
        <v>46203</v>
      </c>
      <c r="F11369" s="215" t="n">
        <v>46203</v>
      </c>
    </row>
    <row r="11370">
      <c r="A11370" s="215" t="n">
        <v>46205</v>
      </c>
      <c r="B11370" s="216" t="n">
        <v>45.92</v>
      </c>
      <c r="C11370" s="216" t="n">
        <v>60.38</v>
      </c>
      <c r="D11370" s="216" t="n">
        <v>1.154355049133301</v>
      </c>
      <c r="E11370" s="215" t="n">
        <v>46205</v>
      </c>
      <c r="F11370" s="215" t="n">
        <v>46205</v>
      </c>
    </row>
    <row r="11371">
      <c r="A11371" s="215" t="n">
        <v>46206</v>
      </c>
      <c r="B11371" s="216" t="n">
        <v>48.56</v>
      </c>
      <c r="C11371" s="216" t="n">
        <v>61.84</v>
      </c>
      <c r="D11371" s="216" t="n">
        <v>1.155220985412598</v>
      </c>
      <c r="E11371" s="215" t="n">
        <v>46206</v>
      </c>
      <c r="F11371" s="215" t="n">
        <v>46206</v>
      </c>
    </row>
    <row r="11372">
      <c r="A11372" s="215" t="n">
        <v>46209</v>
      </c>
      <c r="B11372" s="216" t="n">
        <v>47.08</v>
      </c>
      <c r="C11372" s="216" t="n">
        <v>59.98</v>
      </c>
      <c r="D11372" s="216" t="n">
        <v>1.155068039894104</v>
      </c>
      <c r="E11372" s="215" t="n">
        <v>46209</v>
      </c>
      <c r="F11372" s="215" t="n">
        <v>46209</v>
      </c>
    </row>
    <row r="11373">
      <c r="A11373" s="215" t="n">
        <v>46210</v>
      </c>
      <c r="B11373" s="216" t="n">
        <v>47</v>
      </c>
      <c r="C11373" s="216" t="n">
        <v>59.04</v>
      </c>
      <c r="D11373" s="216" t="n">
        <v>1.153807997703552</v>
      </c>
      <c r="E11373" s="215" t="n">
        <v>46210</v>
      </c>
      <c r="F11373" s="215" t="n">
        <v>46210</v>
      </c>
    </row>
    <row r="11374">
      <c r="A11374" s="215" t="n">
        <v>46211</v>
      </c>
      <c r="B11374" s="216" t="n">
        <v>47.7</v>
      </c>
      <c r="C11374" s="216" t="n">
        <v>58.53</v>
      </c>
      <c r="D11374" s="216" t="n">
        <v>1.154153943061829</v>
      </c>
      <c r="E11374" s="215" t="n">
        <v>46211</v>
      </c>
      <c r="F11374" s="215" t="n">
        <v>46211</v>
      </c>
    </row>
    <row r="11375">
      <c r="A11375" s="215" t="n">
        <v>46212</v>
      </c>
      <c r="B11375" s="216" t="n">
        <v>47.66</v>
      </c>
      <c r="C11375" s="216" t="n">
        <v>58.97</v>
      </c>
      <c r="D11375" s="216" t="n">
        <v>1.152119994163513</v>
      </c>
      <c r="E11375" s="215" t="n">
        <v>46212</v>
      </c>
      <c r="F11375" s="215" t="n">
        <v>46212</v>
      </c>
    </row>
    <row r="11376">
      <c r="A11376" s="215" t="n">
        <v>46213</v>
      </c>
      <c r="B11376" s="216" t="n">
        <v>47.8</v>
      </c>
      <c r="C11376" s="216" t="n">
        <v>59.9</v>
      </c>
      <c r="D11376" s="216" t="n">
        <v>1.153550028800964</v>
      </c>
      <c r="E11376" s="215" t="n">
        <v>46213</v>
      </c>
      <c r="F11376" s="215" t="n">
        <v>46213</v>
      </c>
    </row>
    <row r="11377">
      <c r="A11377" s="215" t="n">
        <v>46216</v>
      </c>
      <c r="B11377" s="216" t="n">
        <v>41.32</v>
      </c>
      <c r="C11377" s="216" t="n">
        <v>53.91</v>
      </c>
      <c r="D11377" s="216" t="n">
        <v>1.156761050224304</v>
      </c>
      <c r="E11377" s="215" t="n">
        <v>46216</v>
      </c>
      <c r="F11377" s="215" t="n">
        <v>46216</v>
      </c>
    </row>
    <row r="11378">
      <c r="A11378" s="215" t="n">
        <v>46217</v>
      </c>
      <c r="B11378" s="216" t="n">
        <v>41.4</v>
      </c>
      <c r="C11378" s="216" t="n">
        <v>53.38</v>
      </c>
      <c r="D11378" s="216" t="n">
        <v>1.155825972557068</v>
      </c>
      <c r="E11378" s="215" t="n">
        <v>46217</v>
      </c>
      <c r="F11378" s="215" t="n">
        <v>46217</v>
      </c>
    </row>
    <row r="11379">
      <c r="A11379" s="215" t="n">
        <v>46218</v>
      </c>
      <c r="B11379" s="216" t="n">
        <v>43.56</v>
      </c>
      <c r="C11379" s="216" t="n">
        <v>55.89</v>
      </c>
      <c r="D11379" s="216" t="n">
        <v>1.157556056976318</v>
      </c>
      <c r="E11379" s="215" t="n">
        <v>46218</v>
      </c>
      <c r="F11379" s="215" t="n">
        <v>46218</v>
      </c>
    </row>
    <row r="11380">
      <c r="A11380" s="215" t="n">
        <v>46219</v>
      </c>
      <c r="B11380" s="216" t="n">
        <v>45.22</v>
      </c>
      <c r="C11380" s="216" t="n">
        <v>56.37</v>
      </c>
      <c r="D11380" s="216" t="n">
        <v>1.157912969589233</v>
      </c>
      <c r="E11380" s="215" t="n">
        <v>46219</v>
      </c>
      <c r="F11380" s="215" t="n">
        <v>46219</v>
      </c>
    </row>
    <row r="11381">
      <c r="A11381" s="215" t="n">
        <v>46220</v>
      </c>
      <c r="B11381" s="216" t="n">
        <v>42.08</v>
      </c>
      <c r="C11381" s="216" t="n">
        <v>54.3</v>
      </c>
      <c r="D11381" s="216" t="n">
        <v>1.157472014427185</v>
      </c>
      <c r="E11381" s="215" t="n">
        <v>46220</v>
      </c>
      <c r="F11381" s="215" t="n">
        <v>46220</v>
      </c>
    </row>
    <row r="11382">
      <c r="A11382" s="215" t="n">
        <v>46223</v>
      </c>
      <c r="B11382" s="216" t="n">
        <v>43.58</v>
      </c>
      <c r="C11382" s="216" t="n">
        <v>55.61</v>
      </c>
      <c r="D11382" s="216" t="n">
        <v>1.157451033592224</v>
      </c>
      <c r="E11382" s="215" t="n">
        <v>46223</v>
      </c>
      <c r="F11382" s="215" t="n">
        <v>46223</v>
      </c>
    </row>
    <row r="11383">
      <c r="A11383" s="215" t="n">
        <v>46224</v>
      </c>
      <c r="B11383" s="216" t="n">
        <v>43.78</v>
      </c>
      <c r="C11383" s="216" t="n">
        <v>55.51</v>
      </c>
      <c r="D11383" s="216" t="n">
        <v>1.157506942749023</v>
      </c>
      <c r="E11383" s="215" t="n">
        <v>46224</v>
      </c>
      <c r="F11383" s="215" t="n">
        <v>46224</v>
      </c>
    </row>
    <row r="11384">
      <c r="A11384" s="215" t="n">
        <v>46225</v>
      </c>
      <c r="B11384" s="216" t="n">
        <v>43.62</v>
      </c>
      <c r="C11384" s="216" t="n">
        <v>55.98</v>
      </c>
      <c r="D11384" s="216" t="n">
        <v>1.158938050270081</v>
      </c>
      <c r="E11384" s="215" t="n">
        <v>46225</v>
      </c>
      <c r="F11384" s="215" t="n">
        <v>46225</v>
      </c>
    </row>
    <row r="11385">
      <c r="A11385" s="215" t="n">
        <v>46226</v>
      </c>
      <c r="B11385" s="216" t="n">
        <v>43.72</v>
      </c>
      <c r="C11385" s="216" t="n">
        <v>56.38</v>
      </c>
      <c r="D11385" s="216" t="n">
        <v>1.157410979270935</v>
      </c>
      <c r="E11385" s="215" t="n">
        <v>46226</v>
      </c>
      <c r="F11385" s="215" t="n">
        <v>46226</v>
      </c>
    </row>
    <row r="11386">
      <c r="A11386" s="215" t="n">
        <v>46227</v>
      </c>
      <c r="B11386" s="216" t="n">
        <v>42.1</v>
      </c>
      <c r="C11386" s="216" t="n">
        <v>54.33</v>
      </c>
      <c r="D11386" s="216" t="n">
        <v>1.15762197971344</v>
      </c>
      <c r="E11386" s="215" t="n">
        <v>46227</v>
      </c>
      <c r="F11386" s="215" t="n">
        <v>46227</v>
      </c>
    </row>
    <row r="11387">
      <c r="A11387" s="215" t="n">
        <v>46230</v>
      </c>
      <c r="B11387" s="216" t="n">
        <v>43.5</v>
      </c>
      <c r="C11387" s="216" t="n">
        <v>55.41</v>
      </c>
      <c r="D11387" s="216" t="n">
        <v>1.15789794921875</v>
      </c>
      <c r="E11387" s="215" t="n">
        <v>46230</v>
      </c>
      <c r="F11387" s="215" t="n">
        <v>46230</v>
      </c>
    </row>
    <row r="11388">
      <c r="A11388" s="215" t="n">
        <v>46231</v>
      </c>
      <c r="B11388" s="216" t="n">
        <v>43.16</v>
      </c>
      <c r="C11388" s="216" t="n">
        <v>55.93</v>
      </c>
      <c r="D11388" s="216" t="n">
        <v>1.158699035644531</v>
      </c>
      <c r="E11388" s="215" t="n">
        <v>46231</v>
      </c>
      <c r="F11388" s="215" t="n">
        <v>46231</v>
      </c>
    </row>
    <row r="11389">
      <c r="A11389" s="215" t="n">
        <v>46232</v>
      </c>
      <c r="B11389" s="216" t="n">
        <v>44.76</v>
      </c>
      <c r="C11389" s="216" t="n">
        <v>58</v>
      </c>
      <c r="D11389" s="216" t="n">
        <v>1.157909989356995</v>
      </c>
      <c r="E11389" s="215" t="n">
        <v>46232</v>
      </c>
      <c r="F11389" s="215" t="n">
        <v>46232</v>
      </c>
    </row>
    <row r="11390">
      <c r="A11390" s="215" t="n">
        <v>46233</v>
      </c>
      <c r="B11390" s="216" t="n">
        <v>48.04</v>
      </c>
      <c r="C11390" s="216" t="n">
        <v>61.45</v>
      </c>
      <c r="D11390" s="216" t="n">
        <v>1.158943057060242</v>
      </c>
      <c r="E11390" s="215" t="n">
        <v>46233</v>
      </c>
      <c r="F11390" s="215" t="n">
        <v>46233</v>
      </c>
    </row>
    <row r="11391">
      <c r="A11391" s="215" t="n">
        <v>46234</v>
      </c>
      <c r="B11391" s="216" t="n">
        <v>47.8</v>
      </c>
      <c r="C11391" s="216" t="n">
        <v>62.25</v>
      </c>
      <c r="D11391" s="216" t="n">
        <v>1.160945057868958</v>
      </c>
      <c r="E11391" s="215" t="n">
        <v>46234</v>
      </c>
      <c r="F11391" s="215" t="n">
        <v>46234</v>
      </c>
    </row>
    <row r="11392">
      <c r="A11392" s="215" t="n">
        <v>46237</v>
      </c>
      <c r="B11392" s="216" t="n">
        <v>46.04</v>
      </c>
      <c r="C11392" s="216" t="n">
        <v>60.64</v>
      </c>
      <c r="D11392" s="216" t="n">
        <v>1.161579966545105</v>
      </c>
      <c r="E11392" s="215" t="n">
        <v>46237</v>
      </c>
      <c r="F11392" s="215" t="n">
        <v>46237</v>
      </c>
    </row>
    <row r="11393">
      <c r="A11393" s="215" t="n">
        <v>46238</v>
      </c>
      <c r="B11393" s="216" t="n">
        <v>44.04</v>
      </c>
      <c r="C11393" s="216" t="n">
        <v>58.62</v>
      </c>
      <c r="D11393" s="216" t="n">
        <v>1.161064982414246</v>
      </c>
      <c r="E11393" s="215" t="n">
        <v>46238</v>
      </c>
      <c r="F11393" s="215" t="n">
        <v>46238</v>
      </c>
    </row>
    <row r="11394">
      <c r="A11394" s="215" t="n">
        <v>46239</v>
      </c>
      <c r="B11394" s="216" t="n">
        <v>45.22</v>
      </c>
      <c r="C11394" s="216" t="n">
        <v>58.85</v>
      </c>
      <c r="D11394" s="216" t="n">
        <v>1.161146998405457</v>
      </c>
      <c r="E11394" s="215" t="n">
        <v>46239</v>
      </c>
      <c r="F11394" s="215" t="n">
        <v>46239</v>
      </c>
    </row>
    <row r="11395">
      <c r="A11395" s="215" t="n">
        <v>46240</v>
      </c>
      <c r="B11395" s="216" t="n">
        <v>43</v>
      </c>
      <c r="C11395" s="216" t="n">
        <v>57.11</v>
      </c>
      <c r="D11395" s="216" t="n">
        <v>1.161936044692993</v>
      </c>
      <c r="E11395" s="215" t="n">
        <v>46240</v>
      </c>
      <c r="F11395" s="215" t="n">
        <v>46240</v>
      </c>
    </row>
    <row r="11396">
      <c r="A11396" s="215" t="n">
        <v>46241</v>
      </c>
      <c r="B11396" s="216" t="n">
        <v>43.2</v>
      </c>
      <c r="C11396" s="216" t="n">
        <v>56.82</v>
      </c>
      <c r="D11396" s="216" t="n">
        <v>1.162284016609192</v>
      </c>
      <c r="E11396" s="215" t="n">
        <v>46241</v>
      </c>
      <c r="F11396" s="215" t="n">
        <v>46241</v>
      </c>
    </row>
    <row r="11397">
      <c r="A11397" s="215" t="n">
        <v>46244</v>
      </c>
      <c r="B11397" s="216" t="n">
        <v>43.44</v>
      </c>
      <c r="C11397" s="216" t="n">
        <v>56.03</v>
      </c>
      <c r="D11397" s="216" t="n">
        <v>1.162629961967468</v>
      </c>
      <c r="E11397" s="215" t="n">
        <v>46244</v>
      </c>
      <c r="F11397" s="215" t="n">
        <v>46244</v>
      </c>
    </row>
    <row r="11398">
      <c r="A11398" s="215" t="n">
        <v>46245</v>
      </c>
      <c r="B11398" s="216" t="n">
        <v>42.72</v>
      </c>
      <c r="C11398" s="216" t="n">
        <v>55.21</v>
      </c>
      <c r="D11398" s="216" t="n">
        <v>1.162588000297546</v>
      </c>
      <c r="E11398" s="215" t="n">
        <v>46245</v>
      </c>
      <c r="F11398" s="215" t="n">
        <v>46245</v>
      </c>
    </row>
    <row r="11399">
      <c r="A11399" s="215" t="n">
        <v>46246</v>
      </c>
      <c r="B11399" s="216" t="n">
        <v>42.98</v>
      </c>
      <c r="C11399" s="216" t="n">
        <v>55.83</v>
      </c>
      <c r="D11399" s="216" t="n">
        <v>1.163135051727295</v>
      </c>
      <c r="E11399" s="215" t="n">
        <v>46246</v>
      </c>
      <c r="F11399" s="215" t="n">
        <v>46246</v>
      </c>
    </row>
    <row r="11400">
      <c r="A11400" s="215" t="n">
        <v>46247</v>
      </c>
      <c r="B11400" s="216" t="n">
        <v>42.12</v>
      </c>
      <c r="C11400" s="216" t="n">
        <v>54.28</v>
      </c>
      <c r="D11400" s="216" t="n">
        <v>1.163341045379639</v>
      </c>
      <c r="E11400" s="215" t="n">
        <v>46247</v>
      </c>
      <c r="F11400" s="215" t="n">
        <v>46247</v>
      </c>
    </row>
    <row r="11401">
      <c r="A11401" s="215" t="n">
        <v>46248</v>
      </c>
      <c r="B11401" s="216" t="n">
        <v>41.5</v>
      </c>
      <c r="C11401" s="216" t="n">
        <v>53.2</v>
      </c>
      <c r="D11401" s="216" t="n">
        <v>1.163571000099182</v>
      </c>
      <c r="E11401" s="215" t="n">
        <v>46248</v>
      </c>
      <c r="F11401" s="215" t="n">
        <v>46248</v>
      </c>
    </row>
    <row r="11402">
      <c r="A11402" s="215" t="n">
        <v>46251</v>
      </c>
      <c r="B11402" s="216" t="n">
        <v>41.5</v>
      </c>
      <c r="C11402" s="216" t="n">
        <v>53.14</v>
      </c>
      <c r="D11402" s="216" t="n">
        <v>1.163601994514465</v>
      </c>
      <c r="E11402" s="215" t="n">
        <v>46251</v>
      </c>
      <c r="F11402" s="215" t="n">
        <v>46251</v>
      </c>
    </row>
    <row r="11403">
      <c r="A11403" s="215" t="n">
        <v>46252</v>
      </c>
      <c r="B11403" s="216" t="n">
        <v>41.02</v>
      </c>
      <c r="C11403" s="216" t="n">
        <v>51.84</v>
      </c>
      <c r="D11403" s="216" t="n">
        <v>1.163733005523682</v>
      </c>
      <c r="E11403" s="215" t="n">
        <v>46252</v>
      </c>
      <c r="F11403" s="215" t="n">
        <v>46252</v>
      </c>
    </row>
    <row r="11404">
      <c r="A11404" s="215" t="n">
        <v>46253</v>
      </c>
      <c r="B11404" s="216" t="n">
        <v>40.14</v>
      </c>
      <c r="C11404" s="216" t="n">
        <v>50.48</v>
      </c>
      <c r="D11404" s="216" t="n">
        <v>1.163092017173767</v>
      </c>
      <c r="E11404" s="215" t="n">
        <v>46253</v>
      </c>
      <c r="F11404" s="215" t="n">
        <v>46253</v>
      </c>
    </row>
    <row r="11405">
      <c r="A11405" s="215" t="n">
        <v>46254</v>
      </c>
      <c r="B11405" s="216" t="n">
        <v>41.82</v>
      </c>
      <c r="C11405" s="216" t="n">
        <v>51.49</v>
      </c>
      <c r="D11405" s="216" t="n">
        <v>1.164932012557983</v>
      </c>
      <c r="E11405" s="215" t="n">
        <v>46254</v>
      </c>
      <c r="F11405" s="215" t="n">
        <v>46254</v>
      </c>
    </row>
    <row r="11406">
      <c r="A11406" s="215" t="n">
        <v>46255</v>
      </c>
      <c r="B11406" s="216" t="n">
        <v>41.14</v>
      </c>
      <c r="C11406" s="216" t="n">
        <v>50.5</v>
      </c>
      <c r="D11406" s="216" t="n">
        <v>1.166555047035217</v>
      </c>
      <c r="E11406" s="215" t="n">
        <v>46255</v>
      </c>
      <c r="F11406" s="215" t="n">
        <v>46255</v>
      </c>
    </row>
    <row r="11407">
      <c r="A11407" s="215" t="n">
        <v>46258</v>
      </c>
      <c r="B11407" s="216" t="n">
        <v>39.78</v>
      </c>
      <c r="C11407" s="216" t="n">
        <v>49.75</v>
      </c>
      <c r="D11407" s="216" t="n">
        <v>1.166316986083984</v>
      </c>
      <c r="E11407" s="215" t="n">
        <v>46258</v>
      </c>
      <c r="F11407" s="215" t="n">
        <v>46258</v>
      </c>
    </row>
    <row r="11408">
      <c r="A11408" s="215" t="n">
        <v>46259</v>
      </c>
      <c r="B11408" s="216" t="n">
        <v>40.26</v>
      </c>
      <c r="C11408" s="216" t="n">
        <v>50.73</v>
      </c>
      <c r="D11408" s="216" t="n">
        <v>1.165253043174744</v>
      </c>
      <c r="E11408" s="215" t="n">
        <v>46259</v>
      </c>
      <c r="F11408" s="215" t="n">
        <v>46259</v>
      </c>
    </row>
    <row r="11409">
      <c r="A11409" s="215" t="n">
        <v>46260</v>
      </c>
      <c r="B11409" s="216" t="n">
        <v>40.76</v>
      </c>
      <c r="C11409" s="216" t="n">
        <v>50.61</v>
      </c>
      <c r="D11409" s="216" t="n">
        <v>1.166218996047974</v>
      </c>
      <c r="E11409" s="215" t="n">
        <v>46260</v>
      </c>
      <c r="F11409" s="215" t="n">
        <v>46260</v>
      </c>
    </row>
    <row r="11410">
      <c r="A11410" s="215" t="n">
        <v>46261</v>
      </c>
      <c r="B11410" s="216" t="n">
        <v>40.62</v>
      </c>
      <c r="C11410" s="216" t="n">
        <v>50.52</v>
      </c>
      <c r="D11410" s="216" t="n">
        <v>1.165971040725708</v>
      </c>
      <c r="E11410" s="215" t="n">
        <v>46261</v>
      </c>
      <c r="F11410" s="215" t="n">
        <v>46261</v>
      </c>
    </row>
    <row r="11411">
      <c r="A11411" s="215" t="n">
        <v>46262</v>
      </c>
      <c r="B11411" s="216" t="n">
        <v>40.8</v>
      </c>
      <c r="C11411" s="216" t="n">
        <v>50.59</v>
      </c>
      <c r="D11411" s="216" t="n">
        <v>1.165799975395203</v>
      </c>
      <c r="E11411" s="215" t="n">
        <v>46262</v>
      </c>
      <c r="F11411" s="215" t="n">
        <v>46262</v>
      </c>
    </row>
    <row r="11412">
      <c r="A11412" s="215" t="n">
        <v>46265</v>
      </c>
      <c r="B11412" s="216" t="n">
        <v>39.48</v>
      </c>
      <c r="C11412" s="216" t="n">
        <v>49.6</v>
      </c>
      <c r="D11412" s="216" t="n">
        <v>1.165387988090515</v>
      </c>
      <c r="E11412" s="215" t="n">
        <v>46265</v>
      </c>
      <c r="F11412" s="215" t="n">
        <v>46265</v>
      </c>
    </row>
    <row r="11413">
      <c r="A11413" s="215" t="n">
        <v>46266</v>
      </c>
      <c r="B11413" s="216" t="n">
        <v>39.98</v>
      </c>
      <c r="C11413" s="216" t="n">
        <v>50.55</v>
      </c>
      <c r="D11413" s="216" t="n">
        <v>1.165223956108093</v>
      </c>
      <c r="E11413" s="215" t="n">
        <v>46266</v>
      </c>
      <c r="F11413" s="215" t="n">
        <v>46266</v>
      </c>
    </row>
    <row r="11414">
      <c r="A11414" s="215" t="n">
        <v>46267</v>
      </c>
      <c r="B11414" s="216" t="n">
        <v>38.58</v>
      </c>
      <c r="C11414" s="216" t="n">
        <v>48.93</v>
      </c>
      <c r="D11414" s="216" t="n">
        <v>1.166425943374634</v>
      </c>
      <c r="E11414" s="215" t="n">
        <v>46267</v>
      </c>
      <c r="F11414" s="215" t="n">
        <v>46267</v>
      </c>
    </row>
    <row r="11415">
      <c r="A11415" s="215" t="n">
        <v>46268</v>
      </c>
      <c r="B11415" s="216" t="n">
        <v>38.3</v>
      </c>
      <c r="C11415" s="216" t="n">
        <v>48.9</v>
      </c>
      <c r="D11415" s="216" t="n">
        <v>1.167057037353516</v>
      </c>
      <c r="E11415" s="215" t="n">
        <v>46268</v>
      </c>
      <c r="F11415" s="215" t="n">
        <v>46268</v>
      </c>
    </row>
    <row r="11416">
      <c r="A11416" s="215" t="n">
        <v>46269</v>
      </c>
      <c r="B11416" s="216" t="n">
        <v>38.58</v>
      </c>
      <c r="C11416" s="216" t="n">
        <v>49.52</v>
      </c>
      <c r="D11416" s="216" t="n">
        <v>1.166767954826355</v>
      </c>
      <c r="E11416" s="215" t="n">
        <v>46269</v>
      </c>
      <c r="F11416" s="215" t="n">
        <v>46269</v>
      </c>
    </row>
    <row r="11417">
      <c r="A11417" s="215" t="n">
        <v>46272</v>
      </c>
      <c r="B11417" s="216" t="n">
        <v>38</v>
      </c>
      <c r="C11417" s="216" t="n">
        <v>49.24</v>
      </c>
      <c r="D11417" s="216" t="n">
        <v>1.168081045150757</v>
      </c>
      <c r="E11417" s="215" t="n">
        <v>46272</v>
      </c>
      <c r="F11417" s="215" t="n">
        <v>46272</v>
      </c>
    </row>
    <row r="11418">
      <c r="A11418" s="215" t="n">
        <v>46273</v>
      </c>
      <c r="B11418" s="216" t="n">
        <v>37.5</v>
      </c>
      <c r="C11418" s="216" t="n">
        <v>49.28</v>
      </c>
      <c r="D11418" s="216" t="n">
        <v>1.168115019798279</v>
      </c>
      <c r="E11418" s="215" t="n">
        <v>46273</v>
      </c>
      <c r="F11418" s="215" t="n">
        <v>46273</v>
      </c>
    </row>
    <row r="11419">
      <c r="A11419" s="215" t="n">
        <v>46274</v>
      </c>
      <c r="B11419" s="216" t="n">
        <v>36.46</v>
      </c>
      <c r="C11419" s="216" t="n">
        <v>48.42</v>
      </c>
      <c r="D11419" s="216" t="n">
        <v>1.168408989906311</v>
      </c>
      <c r="E11419" s="215" t="n">
        <v>46274</v>
      </c>
      <c r="F11419" s="215" t="n">
        <v>46274</v>
      </c>
    </row>
    <row r="11420">
      <c r="A11420" s="215" t="n">
        <v>46275</v>
      </c>
      <c r="B11420" s="216" t="n">
        <v>35.94</v>
      </c>
      <c r="C11420" s="216" t="n">
        <v>47.07</v>
      </c>
      <c r="D11420" s="216" t="n">
        <v>1.168462991714478</v>
      </c>
      <c r="E11420" s="215" t="n">
        <v>46275</v>
      </c>
      <c r="F11420" s="215" t="n">
        <v>46275</v>
      </c>
    </row>
    <row r="11421">
      <c r="A11421" s="215" t="n">
        <v>46276</v>
      </c>
      <c r="B11421" s="216" t="n">
        <v>35.98</v>
      </c>
      <c r="C11421" s="216" t="n">
        <v>46.38</v>
      </c>
      <c r="D11421" s="216" t="n">
        <v>1.169165015220642</v>
      </c>
      <c r="E11421" s="215" t="n">
        <v>46276</v>
      </c>
      <c r="F11421" s="215" t="n">
        <v>46276</v>
      </c>
    </row>
    <row r="11422">
      <c r="A11422" s="215" t="n">
        <v>46279</v>
      </c>
      <c r="B11422" s="216" t="n">
        <v>36.94</v>
      </c>
      <c r="C11422" s="216" t="n">
        <v>47.9</v>
      </c>
      <c r="D11422" s="216" t="n">
        <v>1.16893994808197</v>
      </c>
      <c r="E11422" s="215" t="n">
        <v>46279</v>
      </c>
      <c r="F11422" s="215" t="n">
        <v>46279</v>
      </c>
    </row>
    <row r="11423">
      <c r="A11423" s="215" t="n">
        <v>46280</v>
      </c>
      <c r="B11423" s="216" t="n">
        <v>34.68</v>
      </c>
      <c r="C11423" s="216" t="n">
        <v>45.46</v>
      </c>
      <c r="D11423" s="216" t="n">
        <v>1.169121026992798</v>
      </c>
      <c r="E11423" s="215" t="n">
        <v>46280</v>
      </c>
      <c r="F11423" s="215" t="n">
        <v>46280</v>
      </c>
    </row>
    <row r="11424">
      <c r="A11424" s="215" t="n">
        <v>46281</v>
      </c>
      <c r="B11424" s="216" t="n">
        <v>33.5</v>
      </c>
      <c r="C11424" s="216" t="n">
        <v>45.52</v>
      </c>
      <c r="D11424" s="216" t="n">
        <v>1.168769955635071</v>
      </c>
      <c r="E11424" s="215" t="n">
        <v>46281</v>
      </c>
      <c r="F11424" s="215" t="n">
        <v>46281</v>
      </c>
    </row>
    <row r="11425">
      <c r="A11425" s="215" t="n">
        <v>46282</v>
      </c>
      <c r="B11425" s="216" t="n">
        <v>35</v>
      </c>
      <c r="C11425" s="216" t="n">
        <v>47.12</v>
      </c>
      <c r="D11425" s="216" t="n">
        <v>1.169389963150024</v>
      </c>
      <c r="E11425" s="215" t="n">
        <v>46282</v>
      </c>
      <c r="F11425" s="215" t="n">
        <v>46282</v>
      </c>
    </row>
    <row r="11426">
      <c r="A11426" s="215" t="n">
        <v>46283</v>
      </c>
      <c r="B11426" s="216" t="n">
        <v>34.8</v>
      </c>
      <c r="C11426" s="216" t="n">
        <v>47.19</v>
      </c>
      <c r="D11426" s="216" t="n">
        <v>1.16942298412323</v>
      </c>
      <c r="E11426" s="215" t="n">
        <v>46283</v>
      </c>
      <c r="F11426" s="215" t="n">
        <v>46283</v>
      </c>
    </row>
    <row r="11427">
      <c r="A11427" s="215" t="n">
        <v>46286</v>
      </c>
      <c r="B11427" s="216" t="n">
        <v>34.84</v>
      </c>
      <c r="C11427" s="216" t="n">
        <v>47.76</v>
      </c>
      <c r="D11427" s="216" t="n">
        <v>1.171280026435852</v>
      </c>
      <c r="E11427" s="215" t="n">
        <v>46286</v>
      </c>
      <c r="F11427" s="215" t="n">
        <v>46286</v>
      </c>
    </row>
    <row r="11428">
      <c r="A11428" s="215" t="n">
        <v>46287</v>
      </c>
      <c r="B11428" s="216" t="n">
        <v>35.14</v>
      </c>
      <c r="C11428" s="216" t="n">
        <v>47.78</v>
      </c>
      <c r="D11428" s="216" t="n">
        <v>1.171705007553101</v>
      </c>
      <c r="E11428" s="215" t="n">
        <v>46287</v>
      </c>
      <c r="F11428" s="215" t="n">
        <v>46287</v>
      </c>
    </row>
    <row r="11429">
      <c r="A11429" s="215" t="n">
        <v>46288</v>
      </c>
      <c r="B11429" s="216" t="n">
        <v>34.22</v>
      </c>
      <c r="C11429" s="216" t="n">
        <v>47.2</v>
      </c>
      <c r="D11429" s="216" t="n">
        <v>1.170611023902893</v>
      </c>
      <c r="E11429" s="215" t="n">
        <v>46288</v>
      </c>
      <c r="F11429" s="215" t="n">
        <v>46288</v>
      </c>
    </row>
    <row r="11430">
      <c r="A11430" s="215" t="n">
        <v>46289</v>
      </c>
      <c r="B11430" s="216" t="n">
        <v>34.3</v>
      </c>
      <c r="C11430" s="216" t="n">
        <v>46.33</v>
      </c>
      <c r="D11430" s="216" t="n">
        <v>1.16852605342865</v>
      </c>
      <c r="E11430" s="215" t="n">
        <v>46289</v>
      </c>
      <c r="F11430" s="215" t="n">
        <v>46289</v>
      </c>
    </row>
    <row r="11431">
      <c r="A11431" s="215" t="n">
        <v>46290</v>
      </c>
      <c r="B11431" s="216" t="n">
        <v>32.54</v>
      </c>
      <c r="C11431" s="216" t="n">
        <v>46.33</v>
      </c>
      <c r="D11431" s="216" t="n">
        <v>1.168424010276794</v>
      </c>
      <c r="E11431" s="215" t="n">
        <v>46289</v>
      </c>
      <c r="F11431" s="215" t="n">
        <v>46290</v>
      </c>
    </row>
    <row r="11432">
      <c r="A11432" s="215" t="n">
        <v>46293</v>
      </c>
      <c r="B11432" s="216" t="n">
        <v>32.56</v>
      </c>
      <c r="C11432" s="216" t="n">
        <v>45.09</v>
      </c>
      <c r="D11432" s="216" t="n">
        <v>1.168378949165344</v>
      </c>
      <c r="E11432" s="215" t="n">
        <v>46293</v>
      </c>
      <c r="F11432" s="215" t="n">
        <v>46293</v>
      </c>
    </row>
    <row r="11433">
      <c r="A11433" s="215" t="n">
        <v>46294</v>
      </c>
      <c r="B11433" s="216" t="n">
        <v>34.28</v>
      </c>
      <c r="C11433" s="216" t="n">
        <v>46.81</v>
      </c>
      <c r="D11433" s="216" t="n">
        <v>1.168815970420837</v>
      </c>
      <c r="E11433" s="215" t="n">
        <v>46294</v>
      </c>
      <c r="F11433" s="215" t="n">
        <v>46294</v>
      </c>
    </row>
    <row r="11434">
      <c r="A11434" s="215" t="n">
        <v>46295</v>
      </c>
      <c r="B11434" s="216" t="n">
        <v>35.08</v>
      </c>
      <c r="C11434" s="216" t="n">
        <v>46.94</v>
      </c>
      <c r="D11434" s="216" t="n">
        <v>1.17059600353241</v>
      </c>
      <c r="E11434" s="215" t="n">
        <v>46295</v>
      </c>
      <c r="F11434" s="215" t="n">
        <v>46295</v>
      </c>
    </row>
    <row r="11435">
      <c r="A11435" s="215" t="n">
        <v>46297</v>
      </c>
      <c r="B11435" s="216" t="n">
        <v>37.34</v>
      </c>
      <c r="C11435" s="216" t="n">
        <v>46.94</v>
      </c>
      <c r="D11435" s="216" t="n">
        <v>1.170220971107483</v>
      </c>
      <c r="E11435" s="215" t="n">
        <v>46295</v>
      </c>
      <c r="F11435" s="215" t="n">
        <v>46297</v>
      </c>
    </row>
    <row r="11436">
      <c r="A11436" s="215" t="n">
        <v>46013</v>
      </c>
      <c r="B11436" s="216" t="n">
        <v>9.1</v>
      </c>
      <c r="C11436" s="216" t="n">
        <v>19.61</v>
      </c>
      <c r="D11436" s="216" t="n">
        <v>1.105054020881653</v>
      </c>
      <c r="E11436" s="215" t="n">
        <v>46013</v>
      </c>
      <c r="F11436" s="215" t="n">
        <v>46013</v>
      </c>
    </row>
    <row r="11437">
      <c r="A11437" s="215" t="n">
        <v>46014</v>
      </c>
      <c r="B11437" s="216" t="n">
        <v>9.130000000000001</v>
      </c>
      <c r="C11437" s="216" t="n">
        <v>18.86</v>
      </c>
      <c r="D11437" s="216" t="n">
        <v>1.104820013046265</v>
      </c>
      <c r="E11437" s="215" t="n">
        <v>46014</v>
      </c>
      <c r="F11437" s="215" t="n">
        <v>46014</v>
      </c>
    </row>
    <row r="11438">
      <c r="A11438" s="215" t="n">
        <v>46015</v>
      </c>
      <c r="B11438" s="216" t="n">
        <v>9.43</v>
      </c>
      <c r="C11438" s="216" t="n">
        <v>19.39</v>
      </c>
      <c r="D11438" s="216" t="n">
        <v>1.106441974639893</v>
      </c>
      <c r="E11438" s="215" t="n">
        <v>46015</v>
      </c>
      <c r="F11438" s="215" t="n">
        <v>46015</v>
      </c>
    </row>
    <row r="11439">
      <c r="A11439" s="215" t="n">
        <v>46020</v>
      </c>
      <c r="B11439" s="216" t="n">
        <v>10.33</v>
      </c>
      <c r="C11439" s="216" t="n">
        <v>19.66</v>
      </c>
      <c r="D11439" s="216" t="n">
        <v>1.10552704334259</v>
      </c>
      <c r="E11439" s="215" t="n">
        <v>46020</v>
      </c>
      <c r="F11439" s="215" t="n">
        <v>46020</v>
      </c>
    </row>
    <row r="11440">
      <c r="A11440" s="215" t="n">
        <v>46021</v>
      </c>
      <c r="B11440" s="216" t="n">
        <v>9.85</v>
      </c>
      <c r="C11440" s="216" t="n">
        <v>19.75</v>
      </c>
      <c r="D11440" s="216" t="n">
        <v>1.109460949897766</v>
      </c>
      <c r="E11440" s="215" t="n">
        <v>46021</v>
      </c>
      <c r="F11440" s="215" t="n">
        <v>46021</v>
      </c>
    </row>
    <row r="11441">
      <c r="A11441" s="215" t="n">
        <v>46022</v>
      </c>
      <c r="B11441" s="216" t="n">
        <v>9.91</v>
      </c>
      <c r="C11441" s="216" t="n">
        <v>19.49</v>
      </c>
      <c r="D11441" s="216" t="n">
        <v>1.111927032470703</v>
      </c>
      <c r="E11441" s="215" t="n">
        <v>46022</v>
      </c>
      <c r="F11441" s="215" t="n">
        <v>46022</v>
      </c>
    </row>
    <row r="11442">
      <c r="A11442" s="215" t="n">
        <v>46024</v>
      </c>
      <c r="B11442" s="216" t="n">
        <v>10.16</v>
      </c>
      <c r="C11442" s="216" t="n">
        <v>19.49</v>
      </c>
      <c r="D11442" s="216" t="n">
        <v>1.112754940986633</v>
      </c>
      <c r="E11442" s="215" t="n">
        <v>46022</v>
      </c>
      <c r="F11442" s="215" t="n">
        <v>46024</v>
      </c>
    </row>
    <row r="11443">
      <c r="A11443" s="215" t="n">
        <v>46027</v>
      </c>
      <c r="B11443" s="216" t="n">
        <v>10.6</v>
      </c>
      <c r="C11443" s="216" t="n">
        <v>19.67</v>
      </c>
      <c r="D11443" s="216" t="n">
        <v>1.113860011100769</v>
      </c>
      <c r="E11443" s="215" t="n">
        <v>46027</v>
      </c>
      <c r="F11443" s="215" t="n">
        <v>46027</v>
      </c>
    </row>
    <row r="11444">
      <c r="A11444" s="215" t="n">
        <v>46028</v>
      </c>
      <c r="B11444" s="216" t="n">
        <v>11.04</v>
      </c>
      <c r="C11444" s="216" t="n">
        <v>20.39</v>
      </c>
      <c r="D11444" s="216" t="n">
        <v>1.11367404460907</v>
      </c>
      <c r="E11444" s="215" t="n">
        <v>46028</v>
      </c>
      <c r="F11444" s="215" t="n">
        <v>46028</v>
      </c>
    </row>
    <row r="11445">
      <c r="A11445" s="215" t="n">
        <v>46029</v>
      </c>
      <c r="B11445" s="216" t="n">
        <v>11.6</v>
      </c>
      <c r="C11445" s="216" t="n">
        <v>20</v>
      </c>
      <c r="D11445" s="216" t="n">
        <v>1.114913940429688</v>
      </c>
      <c r="E11445" s="215" t="n">
        <v>46029</v>
      </c>
      <c r="F11445" s="215" t="n">
        <v>46029</v>
      </c>
    </row>
    <row r="11446">
      <c r="A11446" s="215" t="n">
        <v>46030</v>
      </c>
      <c r="B11446" s="216" t="n">
        <v>11.11</v>
      </c>
      <c r="C11446" s="216" t="n">
        <v>19.75</v>
      </c>
      <c r="D11446" s="216" t="n">
        <v>1.112563014030457</v>
      </c>
      <c r="E11446" s="215" t="n">
        <v>46030</v>
      </c>
      <c r="F11446" s="215" t="n">
        <v>46030</v>
      </c>
    </row>
    <row r="11447">
      <c r="A11447" s="215" t="n">
        <v>46031</v>
      </c>
      <c r="B11447" s="216" t="n">
        <v>11.33</v>
      </c>
      <c r="C11447" s="216" t="n">
        <v>19.84</v>
      </c>
      <c r="D11447" s="216" t="n">
        <v>1.115561008453369</v>
      </c>
      <c r="E11447" s="215" t="n">
        <v>46031</v>
      </c>
      <c r="F11447" s="215" t="n">
        <v>46031</v>
      </c>
    </row>
    <row r="11448">
      <c r="A11448" s="215" t="n">
        <v>46034</v>
      </c>
      <c r="B11448" s="216" t="n">
        <v>11.91</v>
      </c>
      <c r="C11448" s="216" t="n">
        <v>20.15</v>
      </c>
      <c r="D11448" s="216" t="n">
        <v>1.117015957832336</v>
      </c>
      <c r="E11448" s="215" t="n">
        <v>46034</v>
      </c>
      <c r="F11448" s="215" t="n">
        <v>46034</v>
      </c>
    </row>
    <row r="11449">
      <c r="A11449" s="215" t="n">
        <v>46035</v>
      </c>
      <c r="B11449" s="216" t="n">
        <v>11.33</v>
      </c>
      <c r="C11449" s="216" t="n">
        <v>19.54</v>
      </c>
      <c r="D11449" s="216" t="n">
        <v>1.117892026901245</v>
      </c>
      <c r="E11449" s="215" t="n">
        <v>46035</v>
      </c>
      <c r="F11449" s="215" t="n">
        <v>46035</v>
      </c>
    </row>
    <row r="11450">
      <c r="A11450" s="215" t="n">
        <v>46036</v>
      </c>
      <c r="B11450" s="216" t="n">
        <v>11.79</v>
      </c>
      <c r="C11450" s="216" t="n">
        <v>19.77</v>
      </c>
      <c r="D11450" s="216" t="n">
        <v>1.117897987365723</v>
      </c>
      <c r="E11450" s="215" t="n">
        <v>46036</v>
      </c>
      <c r="F11450" s="215" t="n">
        <v>46036</v>
      </c>
    </row>
    <row r="11451">
      <c r="A11451" s="215" t="n">
        <v>46037</v>
      </c>
      <c r="B11451" s="216" t="n">
        <v>12.18</v>
      </c>
      <c r="C11451" s="216" t="n">
        <v>19.06</v>
      </c>
      <c r="D11451" s="216" t="n">
        <v>1.118072032928467</v>
      </c>
      <c r="E11451" s="215" t="n">
        <v>46037</v>
      </c>
      <c r="F11451" s="215" t="n">
        <v>46037</v>
      </c>
    </row>
    <row r="11452">
      <c r="A11452" s="215" t="n">
        <v>46038</v>
      </c>
      <c r="B11452" s="216" t="n">
        <v>12.29</v>
      </c>
      <c r="C11452" s="216" t="n">
        <v>18.75</v>
      </c>
      <c r="D11452" s="216" t="n">
        <v>1.119040012359619</v>
      </c>
      <c r="E11452" s="215" t="n">
        <v>46038</v>
      </c>
      <c r="F11452" s="215" t="n">
        <v>46038</v>
      </c>
    </row>
    <row r="11453">
      <c r="A11453" s="215" t="n">
        <v>46041</v>
      </c>
      <c r="B11453" s="216" t="n">
        <v>11.41</v>
      </c>
      <c r="C11453" s="216" t="n">
        <v>19.06</v>
      </c>
      <c r="D11453" s="216" t="n">
        <v>1.118916034698486</v>
      </c>
      <c r="E11453" s="215" t="n">
        <v>46041</v>
      </c>
      <c r="F11453" s="215" t="n">
        <v>46041</v>
      </c>
    </row>
    <row r="11454">
      <c r="A11454" s="215" t="n">
        <v>46042</v>
      </c>
      <c r="B11454" s="216" t="n">
        <v>11.04</v>
      </c>
      <c r="C11454" s="216" t="n">
        <v>18.69</v>
      </c>
      <c r="D11454" s="216" t="n">
        <v>1.118687987327576</v>
      </c>
      <c r="E11454" s="215" t="n">
        <v>46042</v>
      </c>
      <c r="F11454" s="215" t="n">
        <v>46042</v>
      </c>
    </row>
    <row r="11455">
      <c r="A11455" s="215" t="n">
        <v>46043</v>
      </c>
      <c r="B11455" s="216" t="n">
        <v>10.6</v>
      </c>
      <c r="C11455" s="216" t="n">
        <v>18.42</v>
      </c>
      <c r="D11455" s="216" t="n">
        <v>1.12024998664856</v>
      </c>
      <c r="E11455" s="215" t="n">
        <v>46043</v>
      </c>
      <c r="F11455" s="215" t="n">
        <v>46043</v>
      </c>
    </row>
    <row r="11456">
      <c r="A11456" s="215" t="n">
        <v>46044</v>
      </c>
      <c r="B11456" s="216" t="n">
        <v>10.63</v>
      </c>
      <c r="C11456" s="216" t="n">
        <v>18.47</v>
      </c>
      <c r="D11456" s="216" t="n">
        <v>1.11942195892334</v>
      </c>
      <c r="E11456" s="215" t="n">
        <v>46044</v>
      </c>
      <c r="F11456" s="215" t="n">
        <v>46044</v>
      </c>
    </row>
    <row r="11457">
      <c r="A11457" s="215" t="n">
        <v>46045</v>
      </c>
      <c r="B11457" s="216" t="n">
        <v>10.47</v>
      </c>
      <c r="C11457" s="216" t="n">
        <v>18.63</v>
      </c>
      <c r="D11457" s="216" t="n">
        <v>1.117977976799011</v>
      </c>
      <c r="E11457" s="215" t="n">
        <v>46045</v>
      </c>
      <c r="F11457" s="215" t="n">
        <v>46045</v>
      </c>
    </row>
    <row r="11458">
      <c r="A11458" s="215" t="n">
        <v>46048</v>
      </c>
      <c r="B11458" s="216" t="n">
        <v>11.37</v>
      </c>
      <c r="C11458" s="216" t="n">
        <v>19.24</v>
      </c>
      <c r="D11458" s="216" t="n">
        <v>1.117916941642761</v>
      </c>
      <c r="E11458" s="215" t="n">
        <v>46048</v>
      </c>
      <c r="F11458" s="215" t="n">
        <v>46048</v>
      </c>
    </row>
    <row r="11459">
      <c r="A11459" s="215" t="n">
        <v>46049</v>
      </c>
      <c r="B11459" s="216" t="n">
        <v>11.99</v>
      </c>
      <c r="C11459" s="216" t="n">
        <v>19.29</v>
      </c>
      <c r="D11459" s="216" t="n">
        <v>1.121191024780273</v>
      </c>
      <c r="E11459" s="215" t="n">
        <v>46049</v>
      </c>
      <c r="F11459" s="215" t="n">
        <v>46049</v>
      </c>
    </row>
    <row r="11460">
      <c r="A11460" s="215" t="n">
        <v>46050</v>
      </c>
      <c r="B11460" s="216" t="n">
        <v>12.01</v>
      </c>
      <c r="C11460" s="216" t="n">
        <v>18.97</v>
      </c>
      <c r="D11460" s="216" t="n">
        <v>1.121533036231995</v>
      </c>
      <c r="E11460" s="215" t="n">
        <v>46050</v>
      </c>
      <c r="F11460" s="215" t="n">
        <v>46050</v>
      </c>
    </row>
    <row r="11461">
      <c r="A11461" s="215" t="n">
        <v>46051</v>
      </c>
      <c r="B11461" s="216" t="n">
        <v>11.86</v>
      </c>
      <c r="C11461" s="216" t="n">
        <v>18.94</v>
      </c>
      <c r="D11461" s="216" t="n">
        <v>1.121621966362</v>
      </c>
      <c r="E11461" s="215" t="n">
        <v>46051</v>
      </c>
      <c r="F11461" s="215" t="n">
        <v>46051</v>
      </c>
    </row>
    <row r="11462">
      <c r="A11462" s="215" t="n">
        <v>46052</v>
      </c>
      <c r="B11462" s="216" t="n">
        <v>11.56</v>
      </c>
      <c r="C11462" s="216" t="n">
        <v>18.44</v>
      </c>
      <c r="D11462" s="216" t="n">
        <v>1.123343944549561</v>
      </c>
      <c r="E11462" s="215" t="n">
        <v>46052</v>
      </c>
      <c r="F11462" s="215" t="n">
        <v>46052</v>
      </c>
    </row>
    <row r="11463">
      <c r="A11463" s="215" t="n">
        <v>46055</v>
      </c>
      <c r="B11463" s="216" t="n">
        <v>12</v>
      </c>
      <c r="C11463" s="216" t="n">
        <v>18.32</v>
      </c>
      <c r="D11463" s="216" t="n">
        <v>1.123572945594788</v>
      </c>
      <c r="E11463" s="215" t="n">
        <v>46055</v>
      </c>
      <c r="F11463" s="215" t="n">
        <v>46055</v>
      </c>
    </row>
    <row r="11464">
      <c r="A11464" s="215" t="n">
        <v>46056</v>
      </c>
      <c r="B11464" s="216" t="n">
        <v>11.78</v>
      </c>
      <c r="C11464" s="216" t="n">
        <v>18.3</v>
      </c>
      <c r="D11464" s="216" t="n">
        <v>1.124274969100952</v>
      </c>
      <c r="E11464" s="215" t="n">
        <v>46056</v>
      </c>
      <c r="F11464" s="215" t="n">
        <v>46056</v>
      </c>
    </row>
    <row r="11465">
      <c r="A11465" s="215" t="n">
        <v>46057</v>
      </c>
      <c r="B11465" s="216" t="n">
        <v>11.7</v>
      </c>
      <c r="C11465" s="216" t="n">
        <v>18.2</v>
      </c>
      <c r="D11465" s="216" t="n">
        <v>1.12601101398468</v>
      </c>
      <c r="E11465" s="215" t="n">
        <v>46057</v>
      </c>
      <c r="F11465" s="215" t="n">
        <v>46057</v>
      </c>
    </row>
    <row r="11466">
      <c r="A11466" s="215" t="n">
        <v>46058</v>
      </c>
      <c r="B11466" s="216" t="n">
        <v>11.54</v>
      </c>
      <c r="C11466" s="216" t="n">
        <v>18.15</v>
      </c>
      <c r="D11466" s="216" t="n">
        <v>1.125892996788025</v>
      </c>
      <c r="E11466" s="215" t="n">
        <v>46058</v>
      </c>
      <c r="F11466" s="215" t="n">
        <v>46058</v>
      </c>
    </row>
    <row r="11467">
      <c r="A11467" s="215" t="n">
        <v>46059</v>
      </c>
      <c r="B11467" s="216" t="n">
        <v>11.39</v>
      </c>
      <c r="C11467" s="216" t="n">
        <v>18.13</v>
      </c>
      <c r="D11467" s="216" t="n">
        <v>1.126062035560608</v>
      </c>
      <c r="E11467" s="215" t="n">
        <v>46059</v>
      </c>
      <c r="F11467" s="215" t="n">
        <v>46059</v>
      </c>
    </row>
    <row r="11468">
      <c r="A11468" s="215" t="n">
        <v>46062</v>
      </c>
      <c r="B11468" s="216" t="n">
        <v>11.7</v>
      </c>
      <c r="C11468" s="216" t="n">
        <v>18.23</v>
      </c>
      <c r="D11468" s="216" t="n">
        <v>1.125753998756409</v>
      </c>
      <c r="E11468" s="215" t="n">
        <v>46062</v>
      </c>
      <c r="F11468" s="215" t="n">
        <v>46062</v>
      </c>
    </row>
    <row r="11469">
      <c r="A11469" s="215" t="n">
        <v>46063</v>
      </c>
      <c r="B11469" s="216" t="n">
        <v>11.78</v>
      </c>
      <c r="C11469" s="216" t="n">
        <v>18.28</v>
      </c>
      <c r="D11469" s="216" t="n">
        <v>1.129003047943115</v>
      </c>
      <c r="E11469" s="215" t="n">
        <v>46063</v>
      </c>
      <c r="F11469" s="215" t="n">
        <v>46063</v>
      </c>
    </row>
    <row r="11470">
      <c r="A11470" s="215" t="n">
        <v>46064</v>
      </c>
      <c r="B11470" s="216" t="n">
        <v>11.23</v>
      </c>
      <c r="C11470" s="216" t="n">
        <v>18.04</v>
      </c>
      <c r="D11470" s="216" t="n">
        <v>1.130962014198303</v>
      </c>
      <c r="E11470" s="215" t="n">
        <v>46064</v>
      </c>
      <c r="F11470" s="215" t="n">
        <v>46064</v>
      </c>
    </row>
    <row r="11471">
      <c r="A11471" s="215" t="n">
        <v>46065</v>
      </c>
      <c r="B11471" s="216" t="n">
        <v>10.7</v>
      </c>
      <c r="C11471" s="216" t="n">
        <v>17.88</v>
      </c>
      <c r="D11471" s="216" t="n">
        <v>1.130671977996826</v>
      </c>
      <c r="E11471" s="215" t="n">
        <v>46065</v>
      </c>
      <c r="F11471" s="215" t="n">
        <v>46065</v>
      </c>
    </row>
    <row r="11472">
      <c r="A11472" s="215" t="n">
        <v>46066</v>
      </c>
      <c r="B11472" s="216" t="n">
        <v>10.66</v>
      </c>
      <c r="C11472" s="216" t="n">
        <v>17.68</v>
      </c>
      <c r="D11472" s="216" t="n">
        <v>1.132490992546082</v>
      </c>
      <c r="E11472" s="215" t="n">
        <v>46066</v>
      </c>
      <c r="F11472" s="215" t="n">
        <v>46066</v>
      </c>
    </row>
    <row r="11473">
      <c r="A11473" s="215" t="n">
        <v>46069</v>
      </c>
      <c r="B11473" s="216" t="n">
        <v>10.24</v>
      </c>
      <c r="C11473" s="216" t="n">
        <v>17.68</v>
      </c>
      <c r="D11473" s="216" t="n">
        <v>1.131224036216736</v>
      </c>
      <c r="E11473" s="215" t="n">
        <v>46066</v>
      </c>
      <c r="F11473" s="215" t="n">
        <v>46069</v>
      </c>
    </row>
    <row r="11474">
      <c r="A11474" s="215" t="n">
        <v>46073</v>
      </c>
      <c r="B11474" s="216" t="n">
        <v>10.2</v>
      </c>
      <c r="C11474" s="216" t="n">
        <v>17.68</v>
      </c>
      <c r="D11474" s="216" t="n">
        <v>1.131005048751831</v>
      </c>
      <c r="E11474" s="215" t="n">
        <v>46066</v>
      </c>
      <c r="F11474" s="215" t="n">
        <v>46073</v>
      </c>
    </row>
    <row r="11475">
      <c r="A11475" s="215" t="n">
        <v>46076</v>
      </c>
      <c r="B11475" s="216" t="n">
        <v>10.63</v>
      </c>
      <c r="C11475" s="216" t="n">
        <v>17.68</v>
      </c>
      <c r="D11475" s="216" t="n">
        <v>1.130877017974854</v>
      </c>
      <c r="E11475" s="215" t="n">
        <v>46066</v>
      </c>
      <c r="F11475" s="215" t="n">
        <v>46076</v>
      </c>
    </row>
    <row r="11476">
      <c r="A11476" s="215" t="n">
        <v>46077</v>
      </c>
      <c r="B11476" s="216" t="n">
        <v>11</v>
      </c>
      <c r="C11476" s="216" t="n">
        <v>17.76</v>
      </c>
      <c r="D11476" s="216" t="n">
        <v>1.131631016731262</v>
      </c>
      <c r="E11476" s="215" t="n">
        <v>46077</v>
      </c>
      <c r="F11476" s="215" t="n">
        <v>46077</v>
      </c>
    </row>
    <row r="11477">
      <c r="A11477" s="215" t="n">
        <v>46078</v>
      </c>
      <c r="B11477" s="216" t="n">
        <v>10.92</v>
      </c>
      <c r="C11477" s="216" t="n">
        <v>18.05</v>
      </c>
      <c r="D11477" s="216" t="n">
        <v>1.136234045028687</v>
      </c>
      <c r="E11477" s="215" t="n">
        <v>46078</v>
      </c>
      <c r="F11477" s="215" t="n">
        <v>46078</v>
      </c>
    </row>
    <row r="11478">
      <c r="A11478" s="215" t="n">
        <v>46079</v>
      </c>
      <c r="B11478" s="216" t="n">
        <v>10.6</v>
      </c>
      <c r="C11478" s="216" t="n">
        <v>17.87</v>
      </c>
      <c r="D11478" s="216" t="n">
        <v>1.138198971748352</v>
      </c>
      <c r="E11478" s="215" t="n">
        <v>46079</v>
      </c>
      <c r="F11478" s="215" t="n">
        <v>46079</v>
      </c>
    </row>
    <row r="11479">
      <c r="A11479" s="215" t="n">
        <v>46080</v>
      </c>
      <c r="B11479" s="216" t="n">
        <v>11.68</v>
      </c>
      <c r="C11479" s="216" t="n">
        <v>19.66</v>
      </c>
      <c r="D11479" s="216" t="n">
        <v>1.143396973609924</v>
      </c>
      <c r="E11479" s="215" t="n">
        <v>46080</v>
      </c>
      <c r="F11479" s="215" t="n">
        <v>46080</v>
      </c>
    </row>
    <row r="11480">
      <c r="A11480" s="215" t="n">
        <v>46083</v>
      </c>
      <c r="B11480" s="216" t="n">
        <v>11.55</v>
      </c>
      <c r="C11480" s="216" t="n">
        <v>21</v>
      </c>
      <c r="D11480" s="216" t="n">
        <v>1.140552043914795</v>
      </c>
      <c r="E11480" s="215" t="n">
        <v>46083</v>
      </c>
      <c r="F11480" s="215" t="n">
        <v>46083</v>
      </c>
    </row>
    <row r="11481">
      <c r="A11481" s="215" t="n">
        <v>46084</v>
      </c>
      <c r="B11481" s="216" t="n">
        <v>11.01</v>
      </c>
      <c r="C11481" s="216" t="n">
        <v>21.16</v>
      </c>
      <c r="D11481" s="216" t="n">
        <v>1.136399984359741</v>
      </c>
      <c r="E11481" s="215" t="n">
        <v>46084</v>
      </c>
      <c r="F11481" s="215" t="n">
        <v>46084</v>
      </c>
    </row>
    <row r="11482">
      <c r="A11482" s="215" t="n">
        <v>46085</v>
      </c>
      <c r="B11482" s="216" t="n">
        <v>10.72</v>
      </c>
      <c r="C11482" s="216" t="n">
        <v>21.62</v>
      </c>
      <c r="D11482" s="216" t="n">
        <v>1.130928993225098</v>
      </c>
      <c r="E11482" s="215" t="n">
        <v>46085</v>
      </c>
      <c r="F11482" s="215" t="n">
        <v>46085</v>
      </c>
    </row>
    <row r="11483">
      <c r="A11483" s="215" t="n">
        <v>46086</v>
      </c>
      <c r="B11483" s="216" t="n">
        <v>11.6</v>
      </c>
      <c r="C11483" s="216" t="n">
        <v>21.7</v>
      </c>
      <c r="D11483" s="216" t="n">
        <v>1.133169054985046</v>
      </c>
      <c r="E11483" s="215" t="n">
        <v>46086</v>
      </c>
      <c r="F11483" s="215" t="n">
        <v>46086</v>
      </c>
    </row>
    <row r="11484">
      <c r="A11484" s="215" t="n">
        <v>46087</v>
      </c>
      <c r="B11484" s="216" t="n">
        <v>11.9</v>
      </c>
      <c r="C11484" s="216" t="n">
        <v>22.31</v>
      </c>
      <c r="D11484" s="216" t="n">
        <v>1.133442044258118</v>
      </c>
      <c r="E11484" s="215" t="n">
        <v>46087</v>
      </c>
      <c r="F11484" s="215" t="n">
        <v>46087</v>
      </c>
    </row>
    <row r="11485">
      <c r="A11485" s="215" t="n">
        <v>46090</v>
      </c>
      <c r="B11485" s="216" t="n">
        <v>12</v>
      </c>
      <c r="C11485" s="216" t="n">
        <v>21.93</v>
      </c>
      <c r="D11485" s="216" t="n">
        <v>1.133231043815613</v>
      </c>
      <c r="E11485" s="215" t="n">
        <v>46090</v>
      </c>
      <c r="F11485" s="215" t="n">
        <v>46090</v>
      </c>
    </row>
    <row r="11486">
      <c r="A11486" s="215" t="n">
        <v>46091</v>
      </c>
      <c r="B11486" s="216" t="n">
        <v>11.8</v>
      </c>
      <c r="C11486" s="216" t="n">
        <v>21.35</v>
      </c>
      <c r="D11486" s="216" t="n">
        <v>1.131595015525818</v>
      </c>
      <c r="E11486" s="215" t="n">
        <v>46091</v>
      </c>
      <c r="F11486" s="215" t="n">
        <v>46091</v>
      </c>
    </row>
    <row r="11487">
      <c r="A11487" s="215" t="n">
        <v>46092</v>
      </c>
      <c r="B11487" s="216" t="n">
        <v>11.81</v>
      </c>
      <c r="C11487" s="216" t="n">
        <v>21.37</v>
      </c>
      <c r="D11487" s="216" t="n">
        <v>1.137585043907166</v>
      </c>
      <c r="E11487" s="215" t="n">
        <v>46092</v>
      </c>
      <c r="F11487" s="215" t="n">
        <v>46092</v>
      </c>
    </row>
    <row r="11488">
      <c r="A11488" s="215" t="n">
        <v>46093</v>
      </c>
      <c r="B11488" s="216" t="n">
        <v>11.96</v>
      </c>
      <c r="C11488" s="216" t="n">
        <v>22.97</v>
      </c>
      <c r="D11488" s="216" t="n">
        <v>1.139600038528442</v>
      </c>
      <c r="E11488" s="215" t="n">
        <v>46093</v>
      </c>
      <c r="F11488" s="215" t="n">
        <v>46093</v>
      </c>
    </row>
    <row r="11489">
      <c r="A11489" s="215" t="n">
        <v>46094</v>
      </c>
      <c r="B11489" s="216" t="n">
        <v>11.34</v>
      </c>
      <c r="C11489" s="216" t="n">
        <v>21.24</v>
      </c>
      <c r="D11489" s="216" t="n">
        <v>1.139310002326965</v>
      </c>
      <c r="E11489" s="215" t="n">
        <v>46094</v>
      </c>
      <c r="F11489" s="215" t="n">
        <v>46094</v>
      </c>
    </row>
    <row r="11490">
      <c r="A11490" s="215" t="n">
        <v>46097</v>
      </c>
      <c r="B11490" s="216" t="n">
        <v>11.5</v>
      </c>
      <c r="C11490" s="216" t="n">
        <v>20.49</v>
      </c>
      <c r="D11490" s="216" t="n">
        <v>1.134883999824524</v>
      </c>
      <c r="E11490" s="215" t="n">
        <v>46097</v>
      </c>
      <c r="F11490" s="215" t="n">
        <v>46097</v>
      </c>
    </row>
    <row r="11491">
      <c r="A11491" s="215" t="n">
        <v>46098</v>
      </c>
      <c r="B11491" s="216" t="n">
        <v>11.88</v>
      </c>
      <c r="C11491" s="216" t="n">
        <v>21.83</v>
      </c>
      <c r="D11491" s="216" t="n">
        <v>1.125375986099243</v>
      </c>
      <c r="E11491" s="215" t="n">
        <v>46098</v>
      </c>
      <c r="F11491" s="215" t="n">
        <v>46098</v>
      </c>
    </row>
    <row r="11492">
      <c r="A11492" s="215" t="n">
        <v>46099</v>
      </c>
      <c r="B11492" s="216" t="n">
        <v>11.66</v>
      </c>
      <c r="C11492" s="216" t="n">
        <v>21.25</v>
      </c>
      <c r="D11492" s="216" t="n">
        <v>1.137819051742554</v>
      </c>
      <c r="E11492" s="215" t="n">
        <v>46099</v>
      </c>
      <c r="F11492" s="215" t="n">
        <v>46099</v>
      </c>
    </row>
    <row r="11493">
      <c r="A11493" s="215" t="n">
        <v>46100</v>
      </c>
      <c r="B11493" s="216" t="n">
        <v>11.85</v>
      </c>
      <c r="C11493" s="216" t="n">
        <v>20.93</v>
      </c>
      <c r="D11493" s="216" t="n">
        <v>1.140079021453857</v>
      </c>
      <c r="E11493" s="215" t="n">
        <v>46100</v>
      </c>
      <c r="F11493" s="215" t="n">
        <v>46100</v>
      </c>
    </row>
    <row r="11494">
      <c r="A11494" s="215" t="n">
        <v>46101</v>
      </c>
      <c r="B11494" s="216" t="n">
        <v>11.47</v>
      </c>
      <c r="C11494" s="216" t="n">
        <v>19.91</v>
      </c>
      <c r="D11494" s="216" t="n">
        <v>1.13490903377533</v>
      </c>
      <c r="E11494" s="215" t="n">
        <v>46101</v>
      </c>
      <c r="F11494" s="215" t="n">
        <v>46101</v>
      </c>
    </row>
    <row r="11495">
      <c r="A11495" s="215" t="n">
        <v>46104</v>
      </c>
      <c r="B11495" s="216" t="n">
        <v>11.5</v>
      </c>
      <c r="C11495" s="216" t="n">
        <v>20.5</v>
      </c>
      <c r="D11495" s="216" t="n">
        <v>1.137529969215393</v>
      </c>
      <c r="E11495" s="215" t="n">
        <v>46104</v>
      </c>
      <c r="F11495" s="215" t="n">
        <v>46104</v>
      </c>
    </row>
    <row r="11496">
      <c r="A11496" s="215" t="n">
        <v>46105</v>
      </c>
      <c r="B11496" s="216" t="n">
        <v>11.54</v>
      </c>
      <c r="C11496" s="216" t="n">
        <v>20.34</v>
      </c>
      <c r="D11496" s="216" t="n">
        <v>1.138481974601746</v>
      </c>
      <c r="E11496" s="215" t="n">
        <v>46105</v>
      </c>
      <c r="F11496" s="215" t="n">
        <v>46105</v>
      </c>
    </row>
    <row r="11497">
      <c r="A11497" s="215" t="n">
        <v>46106</v>
      </c>
      <c r="B11497" s="216" t="n">
        <v>11.63</v>
      </c>
      <c r="C11497" s="216" t="n">
        <v>20.4</v>
      </c>
      <c r="D11497" s="216" t="n">
        <v>1.135548949241638</v>
      </c>
      <c r="E11497" s="215" t="n">
        <v>46106</v>
      </c>
      <c r="F11497" s="215" t="n">
        <v>46106</v>
      </c>
    </row>
    <row r="11498">
      <c r="A11498" s="215" t="n">
        <v>46107</v>
      </c>
      <c r="B11498" s="216" t="n">
        <v>11.05</v>
      </c>
      <c r="C11498" s="216" t="n">
        <v>19.75</v>
      </c>
      <c r="D11498" s="216" t="n">
        <v>1.132627010345459</v>
      </c>
      <c r="E11498" s="215" t="n">
        <v>46107</v>
      </c>
      <c r="F11498" s="215" t="n">
        <v>46107</v>
      </c>
    </row>
    <row r="11499">
      <c r="A11499" s="215" t="n">
        <v>46108</v>
      </c>
      <c r="B11499" s="216" t="n">
        <v>10.86</v>
      </c>
      <c r="C11499" s="216" t="n">
        <v>19.76</v>
      </c>
      <c r="D11499" s="216" t="n">
        <v>1.132115960121155</v>
      </c>
      <c r="E11499" s="215" t="n">
        <v>46108</v>
      </c>
      <c r="F11499" s="215" t="n">
        <v>46108</v>
      </c>
    </row>
    <row r="11500">
      <c r="A11500" s="215" t="n">
        <v>46111</v>
      </c>
      <c r="B11500" s="216" t="n">
        <v>11.04</v>
      </c>
      <c r="C11500" s="216" t="n">
        <v>20.45</v>
      </c>
      <c r="D11500" s="216" t="n">
        <v>1.13311505317688</v>
      </c>
      <c r="E11500" s="215" t="n">
        <v>46111</v>
      </c>
      <c r="F11500" s="215" t="n">
        <v>46111</v>
      </c>
    </row>
    <row r="11501">
      <c r="A11501" s="215" t="n">
        <v>46112</v>
      </c>
      <c r="B11501" s="216" t="n">
        <v>10.94</v>
      </c>
      <c r="C11501" s="216" t="n">
        <v>19.54</v>
      </c>
      <c r="D11501" s="216" t="n">
        <v>1.133540987968445</v>
      </c>
      <c r="E11501" s="215" t="n">
        <v>46112</v>
      </c>
      <c r="F11501" s="215" t="n">
        <v>46112</v>
      </c>
    </row>
    <row r="11502">
      <c r="A11502" s="215" t="n">
        <v>46113</v>
      </c>
      <c r="B11502" s="216" t="n">
        <v>11.25</v>
      </c>
      <c r="C11502" s="216" t="n">
        <v>19.9</v>
      </c>
      <c r="D11502" s="216" t="n">
        <v>1.136669993400574</v>
      </c>
      <c r="E11502" s="215" t="n">
        <v>46113</v>
      </c>
      <c r="F11502" s="215" t="n">
        <v>46113</v>
      </c>
    </row>
    <row r="11503">
      <c r="A11503" s="215" t="n">
        <v>46114</v>
      </c>
      <c r="B11503" s="216" t="n">
        <v>10.6</v>
      </c>
      <c r="C11503" s="216" t="n">
        <v>19.02</v>
      </c>
      <c r="D11503" s="216" t="n">
        <v>1.140197992324829</v>
      </c>
      <c r="E11503" s="215" t="n">
        <v>46114</v>
      </c>
      <c r="F11503" s="215" t="n">
        <v>46114</v>
      </c>
    </row>
    <row r="11504">
      <c r="A11504" s="215" t="n">
        <v>46120</v>
      </c>
      <c r="B11504" s="216" t="n">
        <v>11</v>
      </c>
      <c r="C11504" s="216" t="n">
        <v>17.82</v>
      </c>
      <c r="D11504" s="216" t="n">
        <v>1.1423499584198</v>
      </c>
      <c r="E11504" s="215" t="n">
        <v>46120</v>
      </c>
      <c r="F11504" s="215" t="n">
        <v>46120</v>
      </c>
    </row>
    <row r="11505">
      <c r="A11505" s="215" t="n">
        <v>46121</v>
      </c>
      <c r="B11505" s="216" t="n">
        <v>10.9</v>
      </c>
      <c r="C11505" s="216" t="n">
        <v>17.55</v>
      </c>
      <c r="D11505" s="216" t="n">
        <v>1.146731972694397</v>
      </c>
      <c r="E11505" s="215" t="n">
        <v>46121</v>
      </c>
      <c r="F11505" s="215" t="n">
        <v>46121</v>
      </c>
    </row>
    <row r="11506">
      <c r="A11506" s="215" t="n">
        <v>46122</v>
      </c>
      <c r="B11506" s="216" t="n">
        <v>11.51</v>
      </c>
      <c r="C11506" s="216" t="n">
        <v>19.31</v>
      </c>
      <c r="D11506" s="216" t="n">
        <v>1.146558046340942</v>
      </c>
      <c r="E11506" s="215" t="n">
        <v>46122</v>
      </c>
      <c r="F11506" s="215" t="n">
        <v>46122</v>
      </c>
    </row>
    <row r="11507">
      <c r="A11507" s="215" t="n">
        <v>46125</v>
      </c>
      <c r="B11507" s="216" t="n">
        <v>10.69</v>
      </c>
      <c r="C11507" s="216" t="n">
        <v>19.12</v>
      </c>
      <c r="D11507" s="216" t="n">
        <v>1.147117972373962</v>
      </c>
      <c r="E11507" s="215" t="n">
        <v>46125</v>
      </c>
      <c r="F11507" s="215" t="n">
        <v>46125</v>
      </c>
    </row>
    <row r="11508">
      <c r="A11508" s="215" t="n">
        <v>46126</v>
      </c>
      <c r="B11508" s="216" t="n">
        <v>10.96</v>
      </c>
      <c r="C11508" s="216" t="n">
        <v>19.7</v>
      </c>
      <c r="D11508" s="216" t="n">
        <v>1.146226048469543</v>
      </c>
      <c r="E11508" s="215" t="n">
        <v>46126</v>
      </c>
      <c r="F11508" s="215" t="n">
        <v>46126</v>
      </c>
    </row>
    <row r="11509">
      <c r="A11509" s="215" t="n">
        <v>46127</v>
      </c>
      <c r="B11509" s="216" t="n">
        <v>10.89</v>
      </c>
      <c r="C11509" s="216" t="n">
        <v>19.4</v>
      </c>
      <c r="D11509" s="216" t="n">
        <v>1.149266004562378</v>
      </c>
      <c r="E11509" s="215" t="n">
        <v>46127</v>
      </c>
      <c r="F11509" s="215" t="n">
        <v>46127</v>
      </c>
    </row>
    <row r="11510">
      <c r="A11510" s="215" t="n">
        <v>46128</v>
      </c>
      <c r="B11510" s="216" t="n">
        <v>11.07</v>
      </c>
      <c r="C11510" s="216" t="n">
        <v>19.9</v>
      </c>
      <c r="D11510" s="216" t="n">
        <v>1.148550033569336</v>
      </c>
      <c r="E11510" s="215" t="n">
        <v>46128</v>
      </c>
      <c r="F11510" s="215" t="n">
        <v>46128</v>
      </c>
    </row>
    <row r="11511">
      <c r="A11511" s="215" t="n">
        <v>46129</v>
      </c>
      <c r="B11511" s="216" t="n">
        <v>11.31</v>
      </c>
      <c r="C11511" s="216" t="n">
        <v>20.18</v>
      </c>
      <c r="D11511" s="216" t="n">
        <v>1.146605014801025</v>
      </c>
      <c r="E11511" s="215" t="n">
        <v>46129</v>
      </c>
      <c r="F11511" s="215" t="n">
        <v>46129</v>
      </c>
    </row>
    <row r="11512">
      <c r="A11512" s="215" t="n">
        <v>46132</v>
      </c>
      <c r="B11512" s="216" t="n">
        <v>11.42</v>
      </c>
      <c r="C11512" s="216" t="n">
        <v>20.39</v>
      </c>
      <c r="D11512" s="216" t="n">
        <v>1.148360967636108</v>
      </c>
      <c r="E11512" s="215" t="n">
        <v>46132</v>
      </c>
      <c r="F11512" s="215" t="n">
        <v>46132</v>
      </c>
    </row>
    <row r="11513">
      <c r="A11513" s="215" t="n">
        <v>46133</v>
      </c>
      <c r="B11513" s="216" t="n">
        <v>10.86</v>
      </c>
      <c r="C11513" s="216" t="n">
        <v>20.48</v>
      </c>
      <c r="D11513" s="216" t="n">
        <v>1.148368000984192</v>
      </c>
      <c r="E11513" s="215" t="n">
        <v>46133</v>
      </c>
      <c r="F11513" s="215" t="n">
        <v>46133</v>
      </c>
    </row>
    <row r="11514">
      <c r="A11514" s="215" t="n">
        <v>46134</v>
      </c>
      <c r="B11514" s="216" t="n">
        <v>10.91</v>
      </c>
      <c r="C11514" s="216" t="n">
        <v>21.29</v>
      </c>
      <c r="D11514" s="216" t="n">
        <v>1.147838950157166</v>
      </c>
      <c r="E11514" s="215" t="n">
        <v>46134</v>
      </c>
      <c r="F11514" s="215" t="n">
        <v>46134</v>
      </c>
    </row>
    <row r="11515">
      <c r="A11515" s="215" t="n">
        <v>46135</v>
      </c>
      <c r="B11515" s="216" t="n">
        <v>10.79</v>
      </c>
      <c r="C11515" s="216" t="n">
        <v>20.66</v>
      </c>
      <c r="D11515" s="216" t="n">
        <v>1.147513031959534</v>
      </c>
      <c r="E11515" s="215" t="n">
        <v>46135</v>
      </c>
      <c r="F11515" s="215" t="n">
        <v>46135</v>
      </c>
    </row>
    <row r="11516">
      <c r="A11516" s="215" t="n">
        <v>46136</v>
      </c>
      <c r="B11516" s="216" t="n">
        <v>10.38</v>
      </c>
      <c r="C11516" s="216" t="n">
        <v>20.33</v>
      </c>
      <c r="D11516" s="216" t="n">
        <v>1.147369027137756</v>
      </c>
      <c r="E11516" s="215" t="n">
        <v>46136</v>
      </c>
      <c r="F11516" s="215" t="n">
        <v>46136</v>
      </c>
    </row>
    <row r="11517">
      <c r="A11517" s="215" t="n">
        <v>46139</v>
      </c>
      <c r="B11517" s="216" t="n">
        <v>10.3</v>
      </c>
      <c r="C11517" s="216" t="n">
        <v>20.69</v>
      </c>
      <c r="D11517" s="216" t="n">
        <v>1.146002054214478</v>
      </c>
      <c r="E11517" s="215" t="n">
        <v>46139</v>
      </c>
      <c r="F11517" s="215" t="n">
        <v>46139</v>
      </c>
    </row>
    <row r="11518">
      <c r="A11518" s="215" t="n">
        <v>46140</v>
      </c>
      <c r="B11518" s="216" t="n">
        <v>10.18</v>
      </c>
      <c r="C11518" s="216" t="n">
        <v>20.51</v>
      </c>
      <c r="D11518" s="216" t="n">
        <v>1.148522019386292</v>
      </c>
      <c r="E11518" s="215" t="n">
        <v>46140</v>
      </c>
      <c r="F11518" s="215" t="n">
        <v>46140</v>
      </c>
    </row>
    <row r="11519">
      <c r="A11519" s="215" t="n">
        <v>46141</v>
      </c>
      <c r="B11519" s="216" t="n">
        <v>10.3</v>
      </c>
      <c r="C11519" s="216" t="n">
        <v>20.71</v>
      </c>
      <c r="D11519" s="216" t="n">
        <v>1.145936012268066</v>
      </c>
      <c r="E11519" s="215" t="n">
        <v>46141</v>
      </c>
      <c r="F11519" s="215" t="n">
        <v>46141</v>
      </c>
    </row>
    <row r="11520">
      <c r="A11520" s="215" t="n">
        <v>46142</v>
      </c>
      <c r="B11520" s="216" t="n">
        <v>10.14</v>
      </c>
      <c r="C11520" s="216" t="n">
        <v>20.95</v>
      </c>
      <c r="D11520" s="216" t="n">
        <v>1.145792007446289</v>
      </c>
      <c r="E11520" s="215" t="n">
        <v>46142</v>
      </c>
      <c r="F11520" s="215" t="n">
        <v>46142</v>
      </c>
    </row>
    <row r="11521">
      <c r="A11521" s="215" t="n">
        <v>46146</v>
      </c>
      <c r="B11521" s="216" t="n">
        <v>9.890000000000001</v>
      </c>
      <c r="C11521" s="216" t="n">
        <v>20.95</v>
      </c>
      <c r="D11521" s="216" t="n">
        <v>1.147340059280396</v>
      </c>
      <c r="E11521" s="215" t="n">
        <v>46142</v>
      </c>
      <c r="F11521" s="215" t="n">
        <v>46146</v>
      </c>
    </row>
    <row r="11522">
      <c r="A11522" s="215" t="n">
        <v>46147</v>
      </c>
      <c r="B11522" s="216" t="n">
        <v>9.859999999999999</v>
      </c>
      <c r="C11522" s="216" t="n">
        <v>20.95</v>
      </c>
      <c r="D11522" s="216" t="n">
        <v>1.146813988685608</v>
      </c>
      <c r="E11522" s="215" t="n">
        <v>46142</v>
      </c>
      <c r="F11522" s="215" t="n">
        <v>46147</v>
      </c>
    </row>
    <row r="11523">
      <c r="A11523" s="215" t="n">
        <v>46148</v>
      </c>
      <c r="B11523" s="216" t="n">
        <v>9.800000000000001</v>
      </c>
      <c r="C11523" s="216" t="n">
        <v>21.08</v>
      </c>
      <c r="D11523" s="216" t="n">
        <v>1.14708399772644</v>
      </c>
      <c r="E11523" s="215" t="n">
        <v>46148</v>
      </c>
      <c r="F11523" s="215" t="n">
        <v>46148</v>
      </c>
    </row>
    <row r="11524">
      <c r="A11524" s="215" t="n">
        <v>46149</v>
      </c>
      <c r="B11524" s="216" t="n">
        <v>9.99</v>
      </c>
      <c r="C11524" s="216" t="n">
        <v>21.27</v>
      </c>
      <c r="D11524" s="216" t="n">
        <v>1.150125026702881</v>
      </c>
      <c r="E11524" s="215" t="n">
        <v>46149</v>
      </c>
      <c r="F11524" s="215" t="n">
        <v>46149</v>
      </c>
    </row>
    <row r="11525">
      <c r="A11525" s="215" t="n">
        <v>46150</v>
      </c>
      <c r="B11525" s="216" t="n">
        <v>9.93</v>
      </c>
      <c r="C11525" s="216" t="n">
        <v>21.74</v>
      </c>
      <c r="D11525" s="216" t="n">
        <v>1.15172004699707</v>
      </c>
      <c r="E11525" s="215" t="n">
        <v>46150</v>
      </c>
      <c r="F11525" s="215" t="n">
        <v>46150</v>
      </c>
    </row>
    <row r="11526">
      <c r="A11526" s="215" t="n">
        <v>46153</v>
      </c>
      <c r="B11526" s="216" t="n">
        <v>10.05</v>
      </c>
      <c r="C11526" s="216" t="n">
        <v>21.94</v>
      </c>
      <c r="D11526" s="216" t="n">
        <v>1.151090025901794</v>
      </c>
      <c r="E11526" s="215" t="n">
        <v>46153</v>
      </c>
      <c r="F11526" s="215" t="n">
        <v>46153</v>
      </c>
    </row>
    <row r="11527">
      <c r="A11527" s="215" t="n">
        <v>46154</v>
      </c>
      <c r="B11527" s="216" t="n">
        <v>9.880000000000001</v>
      </c>
      <c r="C11527" s="216" t="n">
        <v>21.4</v>
      </c>
      <c r="D11527" s="216" t="n">
        <v>1.152078986167908</v>
      </c>
      <c r="E11527" s="215" t="n">
        <v>46154</v>
      </c>
      <c r="F11527" s="215" t="n">
        <v>46154</v>
      </c>
    </row>
    <row r="11528">
      <c r="A11528" s="215" t="n">
        <v>46155</v>
      </c>
      <c r="B11528" s="216" t="n">
        <v>11.28</v>
      </c>
      <c r="C11528" s="216" t="n">
        <v>23.54</v>
      </c>
      <c r="D11528" s="216" t="n">
        <v>1.152537941932678</v>
      </c>
      <c r="E11528" s="215" t="n">
        <v>46155</v>
      </c>
      <c r="F11528" s="215" t="n">
        <v>46155</v>
      </c>
    </row>
    <row r="11529">
      <c r="A11529" s="215" t="n">
        <v>46156</v>
      </c>
      <c r="B11529" s="216" t="n">
        <v>10.7</v>
      </c>
      <c r="C11529" s="216" t="n">
        <v>25.89</v>
      </c>
      <c r="D11529" s="216" t="n">
        <v>1.152662992477417</v>
      </c>
      <c r="E11529" s="215" t="n">
        <v>46156</v>
      </c>
      <c r="F11529" s="215" t="n">
        <v>46156</v>
      </c>
    </row>
    <row r="11530">
      <c r="A11530" s="215" t="n">
        <v>46157</v>
      </c>
      <c r="B11530" s="216" t="n">
        <v>10.08</v>
      </c>
      <c r="C11530" s="216" t="n">
        <v>23.3</v>
      </c>
      <c r="D11530" s="216" t="n">
        <v>1.154320001602173</v>
      </c>
      <c r="E11530" s="215" t="n">
        <v>46157</v>
      </c>
      <c r="F11530" s="215" t="n">
        <v>46157</v>
      </c>
    </row>
    <row r="11531">
      <c r="A11531" s="215" t="n">
        <v>46160</v>
      </c>
      <c r="B11531" s="216" t="n">
        <v>10.19</v>
      </c>
      <c r="C11531" s="216" t="n">
        <v>23.66</v>
      </c>
      <c r="D11531" s="216" t="n">
        <v>1.149821996688843</v>
      </c>
      <c r="E11531" s="215" t="n">
        <v>46160</v>
      </c>
      <c r="F11531" s="215" t="n">
        <v>46160</v>
      </c>
    </row>
    <row r="11532">
      <c r="A11532" s="215" t="n">
        <v>46161</v>
      </c>
      <c r="B11532" s="216" t="n">
        <v>10.04</v>
      </c>
      <c r="C11532" s="216" t="n">
        <v>23.33</v>
      </c>
      <c r="D11532" s="216" t="n">
        <v>1.151532053947449</v>
      </c>
      <c r="E11532" s="215" t="n">
        <v>46161</v>
      </c>
      <c r="F11532" s="215" t="n">
        <v>46161</v>
      </c>
    </row>
    <row r="11533">
      <c r="A11533" s="215" t="n">
        <v>46162</v>
      </c>
      <c r="B11533" s="216" t="n">
        <v>9.859999999999999</v>
      </c>
      <c r="C11533" s="216" t="n">
        <v>22.86</v>
      </c>
      <c r="D11533" s="216" t="n">
        <v>1.149292945861816</v>
      </c>
      <c r="E11533" s="215" t="n">
        <v>46162</v>
      </c>
      <c r="F11533" s="215" t="n">
        <v>46162</v>
      </c>
    </row>
    <row r="11534">
      <c r="A11534" s="215" t="n">
        <v>46163</v>
      </c>
      <c r="B11534" s="216" t="n">
        <v>10.04</v>
      </c>
      <c r="C11534" s="216" t="n">
        <v>22.04</v>
      </c>
      <c r="D11534" s="216" t="n">
        <v>1.151231050491333</v>
      </c>
      <c r="E11534" s="215" t="n">
        <v>46163</v>
      </c>
      <c r="F11534" s="215" t="n">
        <v>46163</v>
      </c>
    </row>
    <row r="11535">
      <c r="A11535" s="215" t="n">
        <v>46164</v>
      </c>
      <c r="B11535" s="216" t="n">
        <v>9.869999999999999</v>
      </c>
      <c r="C11535" s="216" t="n">
        <v>21.58</v>
      </c>
      <c r="D11535" s="216" t="n">
        <v>1.151487946510315</v>
      </c>
      <c r="E11535" s="215" t="n">
        <v>46164</v>
      </c>
      <c r="F11535" s="215" t="n">
        <v>46164</v>
      </c>
    </row>
    <row r="11536">
      <c r="A11536" s="215" t="n">
        <v>46168</v>
      </c>
      <c r="B11536" s="216" t="n">
        <v>9.869999999999999</v>
      </c>
      <c r="C11536" s="216" t="n">
        <v>22.25</v>
      </c>
      <c r="D11536" s="216" t="n">
        <v>1.152968049049377</v>
      </c>
      <c r="E11536" s="215" t="n">
        <v>46168</v>
      </c>
      <c r="F11536" s="215" t="n">
        <v>46168</v>
      </c>
    </row>
    <row r="11537">
      <c r="A11537" s="215" t="n">
        <v>46169</v>
      </c>
      <c r="B11537" s="216" t="n">
        <v>9.300000000000001</v>
      </c>
      <c r="C11537" s="216" t="n">
        <v>21.04</v>
      </c>
      <c r="D11537" s="216" t="n">
        <v>1.154562950134277</v>
      </c>
      <c r="E11537" s="215" t="n">
        <v>46169</v>
      </c>
      <c r="F11537" s="215" t="n">
        <v>46169</v>
      </c>
    </row>
    <row r="11538">
      <c r="A11538" s="215" t="n">
        <v>46170</v>
      </c>
      <c r="B11538" s="216" t="n">
        <v>9.19</v>
      </c>
      <c r="C11538" s="216" t="n">
        <v>20.66</v>
      </c>
      <c r="D11538" s="216" t="n">
        <v>1.155385971069336</v>
      </c>
      <c r="E11538" s="215" t="n">
        <v>46170</v>
      </c>
      <c r="F11538" s="215" t="n">
        <v>46170</v>
      </c>
    </row>
    <row r="11539">
      <c r="A11539" s="215" t="n">
        <v>46171</v>
      </c>
      <c r="B11539" s="216" t="n">
        <v>9.52</v>
      </c>
      <c r="C11539" s="216" t="n">
        <v>22</v>
      </c>
      <c r="D11539" s="216" t="n">
        <v>1.155282974243164</v>
      </c>
      <c r="E11539" s="215" t="n">
        <v>46171</v>
      </c>
      <c r="F11539" s="215" t="n">
        <v>46171</v>
      </c>
    </row>
    <row r="11540">
      <c r="A11540" s="215" t="n">
        <v>46174</v>
      </c>
      <c r="B11540" s="216" t="n">
        <v>9.550000000000001</v>
      </c>
      <c r="C11540" s="216" t="n">
        <v>21.8</v>
      </c>
      <c r="D11540" s="216" t="n">
        <v>1.158049941062927</v>
      </c>
      <c r="E11540" s="215" t="n">
        <v>46174</v>
      </c>
      <c r="F11540" s="215" t="n">
        <v>46174</v>
      </c>
    </row>
    <row r="11541">
      <c r="A11541" s="215" t="n">
        <v>46175</v>
      </c>
      <c r="B11541" s="216" t="n">
        <v>9.380000000000001</v>
      </c>
      <c r="C11541" s="216" t="n">
        <v>21.48</v>
      </c>
      <c r="D11541" s="216" t="n">
        <v>1.158406972885132</v>
      </c>
      <c r="E11541" s="215" t="n">
        <v>46175</v>
      </c>
      <c r="F11541" s="215" t="n">
        <v>46175</v>
      </c>
    </row>
    <row r="11542">
      <c r="A11542" s="215" t="n">
        <v>46176</v>
      </c>
      <c r="B11542" s="216" t="n">
        <v>9.27</v>
      </c>
      <c r="C11542" s="216" t="n">
        <v>20.26</v>
      </c>
      <c r="D11542" s="216" t="n">
        <v>1.15879499912262</v>
      </c>
      <c r="E11542" s="215" t="n">
        <v>46176</v>
      </c>
      <c r="F11542" s="215" t="n">
        <v>46176</v>
      </c>
    </row>
    <row r="11543">
      <c r="A11543" s="215" t="n">
        <v>46177</v>
      </c>
      <c r="B11543" s="216" t="n">
        <v>8.81</v>
      </c>
      <c r="C11543" s="216" t="n">
        <v>19.24</v>
      </c>
      <c r="D11543" s="216" t="n">
        <v>1.157420039176941</v>
      </c>
      <c r="E11543" s="215" t="n">
        <v>46177</v>
      </c>
      <c r="F11543" s="215" t="n">
        <v>46177</v>
      </c>
    </row>
    <row r="11544">
      <c r="A11544" s="215" t="n">
        <v>46178</v>
      </c>
      <c r="B11544" s="216" t="n">
        <v>8.789999999999999</v>
      </c>
      <c r="C11544" s="216" t="n">
        <v>18.84</v>
      </c>
      <c r="D11544" s="216" t="n">
        <v>1.156491994857788</v>
      </c>
      <c r="E11544" s="215" t="n">
        <v>46178</v>
      </c>
      <c r="F11544" s="215" t="n">
        <v>46178</v>
      </c>
    </row>
    <row r="11545">
      <c r="A11545" s="215" t="n">
        <v>46181</v>
      </c>
      <c r="B11545" s="216" t="n">
        <v>8.68</v>
      </c>
      <c r="C11545" s="216" t="n">
        <v>18.14</v>
      </c>
      <c r="D11545" s="216" t="n">
        <v>1.157665967941284</v>
      </c>
      <c r="E11545" s="215" t="n">
        <v>46181</v>
      </c>
      <c r="F11545" s="215" t="n">
        <v>46181</v>
      </c>
    </row>
    <row r="11546">
      <c r="A11546" s="215" t="n">
        <v>46182</v>
      </c>
      <c r="B11546" s="216" t="n">
        <v>8.619999999999999</v>
      </c>
      <c r="C11546" s="216" t="n">
        <v>18</v>
      </c>
      <c r="D11546" s="216" t="n">
        <v>1.158027052879333</v>
      </c>
      <c r="E11546" s="215" t="n">
        <v>46182</v>
      </c>
      <c r="F11546" s="215" t="n">
        <v>46182</v>
      </c>
    </row>
    <row r="11547">
      <c r="A11547" s="215" t="n">
        <v>46183</v>
      </c>
      <c r="B11547" s="216" t="n">
        <v>8.74</v>
      </c>
      <c r="C11547" s="216" t="n">
        <v>18.19</v>
      </c>
      <c r="D11547" s="216" t="n">
        <v>1.157112002372742</v>
      </c>
      <c r="E11547" s="215" t="n">
        <v>46183</v>
      </c>
      <c r="F11547" s="215" t="n">
        <v>46183</v>
      </c>
    </row>
    <row r="11548">
      <c r="A11548" s="215" t="n">
        <v>46184</v>
      </c>
      <c r="B11548" s="216" t="n">
        <v>8.65</v>
      </c>
      <c r="C11548" s="216" t="n">
        <v>18.07</v>
      </c>
      <c r="D11548" s="216" t="n">
        <v>1.156929016113281</v>
      </c>
      <c r="E11548" s="215" t="n">
        <v>46184</v>
      </c>
      <c r="F11548" s="215" t="n">
        <v>46184</v>
      </c>
    </row>
    <row r="11549">
      <c r="A11549" s="215" t="n">
        <v>46185</v>
      </c>
      <c r="B11549" s="216" t="n">
        <v>8.6</v>
      </c>
      <c r="C11549" s="216" t="n">
        <v>19.12</v>
      </c>
      <c r="D11549" s="216" t="n">
        <v>1.156345963478088</v>
      </c>
      <c r="E11549" s="215" t="n">
        <v>46185</v>
      </c>
      <c r="F11549" s="215" t="n">
        <v>46185</v>
      </c>
    </row>
    <row r="11550">
      <c r="A11550" s="215" t="n">
        <v>46188</v>
      </c>
      <c r="B11550" s="216" t="n">
        <v>9.27</v>
      </c>
      <c r="C11550" s="216" t="n">
        <v>21.03</v>
      </c>
      <c r="D11550" s="216" t="n">
        <v>1.156880021095276</v>
      </c>
      <c r="E11550" s="215" t="n">
        <v>46188</v>
      </c>
      <c r="F11550" s="215" t="n">
        <v>46188</v>
      </c>
    </row>
    <row r="11551">
      <c r="A11551" s="215" t="n">
        <v>46189</v>
      </c>
      <c r="B11551" s="216" t="n">
        <v>9.23</v>
      </c>
      <c r="C11551" s="216" t="n">
        <v>21.65</v>
      </c>
      <c r="D11551" s="216" t="n">
        <v>1.158604025840759</v>
      </c>
      <c r="E11551" s="215" t="n">
        <v>46189</v>
      </c>
      <c r="F11551" s="215" t="n">
        <v>46189</v>
      </c>
    </row>
    <row r="11552">
      <c r="A11552" s="215" t="n">
        <v>46190</v>
      </c>
      <c r="B11552" s="216" t="n">
        <v>6.42</v>
      </c>
      <c r="C11552" s="216" t="n">
        <v>20.77</v>
      </c>
      <c r="D11552" s="216" t="n">
        <v>1.158974051475525</v>
      </c>
      <c r="E11552" s="215" t="n">
        <v>46190</v>
      </c>
      <c r="F11552" s="215" t="n">
        <v>46190</v>
      </c>
    </row>
    <row r="11553">
      <c r="A11553" s="215" t="n">
        <v>46191</v>
      </c>
      <c r="B11553" s="216" t="n">
        <v>6.14</v>
      </c>
      <c r="C11553" s="216" t="n">
        <v>20.22</v>
      </c>
      <c r="D11553" s="216" t="n">
        <v>1.159355998039246</v>
      </c>
      <c r="E11553" s="215" t="n">
        <v>46191</v>
      </c>
      <c r="F11553" s="215" t="n">
        <v>46191</v>
      </c>
    </row>
    <row r="11554">
      <c r="A11554" s="215" t="n">
        <v>46195</v>
      </c>
      <c r="B11554" s="216" t="n">
        <v>6.4</v>
      </c>
      <c r="C11554" s="216" t="n">
        <v>21.88</v>
      </c>
      <c r="D11554" s="216" t="n">
        <v>1.157493948936462</v>
      </c>
      <c r="E11554" s="215" t="n">
        <v>46195</v>
      </c>
      <c r="F11554" s="215" t="n">
        <v>46195</v>
      </c>
    </row>
    <row r="11555">
      <c r="A11555" s="215" t="n">
        <v>46196</v>
      </c>
      <c r="B11555" s="216" t="n">
        <v>6.19</v>
      </c>
      <c r="C11555" s="216" t="n">
        <v>21.17</v>
      </c>
      <c r="D11555" s="216" t="n">
        <v>1.156896948814392</v>
      </c>
      <c r="E11555" s="215" t="n">
        <v>46196</v>
      </c>
      <c r="F11555" s="215" t="n">
        <v>46196</v>
      </c>
    </row>
    <row r="11556">
      <c r="A11556" s="215" t="n">
        <v>46197</v>
      </c>
      <c r="B11556" s="216" t="n">
        <v>6.17</v>
      </c>
      <c r="C11556" s="216" t="n">
        <v>20.72</v>
      </c>
      <c r="D11556" s="216" t="n">
        <v>1.154508948326111</v>
      </c>
      <c r="E11556" s="215" t="n">
        <v>46197</v>
      </c>
      <c r="F11556" s="215" t="n">
        <v>46197</v>
      </c>
    </row>
    <row r="11557">
      <c r="A11557" s="215" t="n">
        <v>46198</v>
      </c>
      <c r="B11557" s="216" t="n">
        <v>6.28</v>
      </c>
      <c r="C11557" s="216" t="n">
        <v>20.39</v>
      </c>
      <c r="D11557" s="216" t="n">
        <v>1.154152035713196</v>
      </c>
      <c r="E11557" s="215" t="n">
        <v>46198</v>
      </c>
      <c r="F11557" s="215" t="n">
        <v>46198</v>
      </c>
    </row>
    <row r="11558">
      <c r="A11558" s="215" t="n">
        <v>46199</v>
      </c>
      <c r="B11558" s="216" t="n">
        <v>6.02</v>
      </c>
      <c r="C11558" s="216" t="n">
        <v>18.5</v>
      </c>
      <c r="D11558" s="216" t="n">
        <v>1.154500961303711</v>
      </c>
      <c r="E11558" s="215" t="n">
        <v>46199</v>
      </c>
      <c r="F11558" s="215" t="n">
        <v>46199</v>
      </c>
    </row>
    <row r="11559">
      <c r="A11559" s="215" t="n">
        <v>46202</v>
      </c>
      <c r="B11559" s="216" t="n">
        <v>6.1</v>
      </c>
      <c r="C11559" s="216" t="n">
        <v>18.34</v>
      </c>
      <c r="D11559" s="216" t="n">
        <v>1.153512001037598</v>
      </c>
      <c r="E11559" s="215" t="n">
        <v>46202</v>
      </c>
      <c r="F11559" s="215" t="n">
        <v>46202</v>
      </c>
    </row>
    <row r="11560">
      <c r="A11560" s="215" t="n">
        <v>46203</v>
      </c>
      <c r="B11560" s="216" t="n">
        <v>6.09</v>
      </c>
      <c r="C11560" s="216" t="n">
        <v>18.15</v>
      </c>
      <c r="D11560" s="216" t="n">
        <v>1.153959035873413</v>
      </c>
      <c r="E11560" s="215" t="n">
        <v>46203</v>
      </c>
      <c r="F11560" s="215" t="n">
        <v>46203</v>
      </c>
    </row>
    <row r="11561">
      <c r="A11561" s="215" t="n">
        <v>46205</v>
      </c>
      <c r="B11561" s="216" t="n">
        <v>6.1</v>
      </c>
      <c r="C11561" s="216" t="n">
        <v>18.4</v>
      </c>
      <c r="D11561" s="216" t="n">
        <v>1.154355049133301</v>
      </c>
      <c r="E11561" s="215" t="n">
        <v>46205</v>
      </c>
      <c r="F11561" s="215" t="n">
        <v>46205</v>
      </c>
    </row>
    <row r="11562">
      <c r="A11562" s="215" t="n">
        <v>46206</v>
      </c>
      <c r="B11562" s="216" t="n">
        <v>6.18</v>
      </c>
      <c r="C11562" s="216" t="n">
        <v>18.7</v>
      </c>
      <c r="D11562" s="216" t="n">
        <v>1.155220985412598</v>
      </c>
      <c r="E11562" s="215" t="n">
        <v>46206</v>
      </c>
      <c r="F11562" s="215" t="n">
        <v>46206</v>
      </c>
    </row>
    <row r="11563">
      <c r="A11563" s="215" t="n">
        <v>46209</v>
      </c>
      <c r="B11563" s="216" t="n">
        <v>6.12</v>
      </c>
      <c r="C11563" s="216" t="n">
        <v>18.41</v>
      </c>
      <c r="D11563" s="216" t="n">
        <v>1.155068039894104</v>
      </c>
      <c r="E11563" s="215" t="n">
        <v>46209</v>
      </c>
      <c r="F11563" s="215" t="n">
        <v>46209</v>
      </c>
    </row>
    <row r="11564">
      <c r="A11564" s="215" t="n">
        <v>46210</v>
      </c>
      <c r="B11564" s="216" t="n">
        <v>6.03</v>
      </c>
      <c r="C11564" s="216" t="n">
        <v>17.43</v>
      </c>
      <c r="D11564" s="216" t="n">
        <v>1.153807997703552</v>
      </c>
      <c r="E11564" s="215" t="n">
        <v>46210</v>
      </c>
      <c r="F11564" s="215" t="n">
        <v>46210</v>
      </c>
    </row>
    <row r="11565">
      <c r="A11565" s="215" t="n">
        <v>46211</v>
      </c>
      <c r="B11565" s="216" t="n">
        <v>6.09</v>
      </c>
      <c r="C11565" s="216" t="n">
        <v>17.2</v>
      </c>
      <c r="D11565" s="216" t="n">
        <v>1.154153943061829</v>
      </c>
      <c r="E11565" s="215" t="n">
        <v>46211</v>
      </c>
      <c r="F11565" s="215" t="n">
        <v>46211</v>
      </c>
    </row>
    <row r="11566">
      <c r="A11566" s="215" t="n">
        <v>46212</v>
      </c>
      <c r="B11566" s="216" t="n">
        <v>6.05</v>
      </c>
      <c r="C11566" s="216" t="n">
        <v>17.06</v>
      </c>
      <c r="D11566" s="216" t="n">
        <v>1.152119994163513</v>
      </c>
      <c r="E11566" s="215" t="n">
        <v>46212</v>
      </c>
      <c r="F11566" s="215" t="n">
        <v>46212</v>
      </c>
    </row>
    <row r="11567">
      <c r="A11567" s="215" t="n">
        <v>46213</v>
      </c>
      <c r="B11567" s="216" t="n">
        <v>5.98</v>
      </c>
      <c r="C11567" s="216" t="n">
        <v>17.04</v>
      </c>
      <c r="D11567" s="216" t="n">
        <v>1.153550028800964</v>
      </c>
      <c r="E11567" s="215" t="n">
        <v>46213</v>
      </c>
      <c r="F11567" s="215" t="n">
        <v>46213</v>
      </c>
    </row>
    <row r="11568">
      <c r="A11568" s="215" t="n">
        <v>46216</v>
      </c>
      <c r="B11568" s="216" t="n">
        <v>5.95</v>
      </c>
      <c r="C11568" s="216" t="n">
        <v>16.72</v>
      </c>
      <c r="D11568" s="216" t="n">
        <v>1.156761050224304</v>
      </c>
      <c r="E11568" s="215" t="n">
        <v>46216</v>
      </c>
      <c r="F11568" s="215" t="n">
        <v>46216</v>
      </c>
    </row>
    <row r="11569">
      <c r="A11569" s="215" t="n">
        <v>46217</v>
      </c>
      <c r="B11569" s="216" t="n">
        <v>6.11</v>
      </c>
      <c r="C11569" s="216" t="n">
        <v>16.79</v>
      </c>
      <c r="D11569" s="216" t="n">
        <v>1.155825972557068</v>
      </c>
      <c r="E11569" s="215" t="n">
        <v>46217</v>
      </c>
      <c r="F11569" s="215" t="n">
        <v>46217</v>
      </c>
    </row>
    <row r="11570">
      <c r="A11570" s="215" t="n">
        <v>46218</v>
      </c>
      <c r="B11570" s="216" t="n">
        <v>6.21</v>
      </c>
      <c r="C11570" s="216" t="n">
        <v>17.05</v>
      </c>
      <c r="D11570" s="216" t="n">
        <v>1.157556056976318</v>
      </c>
      <c r="E11570" s="215" t="n">
        <v>46218</v>
      </c>
      <c r="F11570" s="215" t="n">
        <v>46218</v>
      </c>
    </row>
    <row r="11571">
      <c r="A11571" s="215" t="n">
        <v>46219</v>
      </c>
      <c r="B11571" s="216" t="n">
        <v>6.41</v>
      </c>
      <c r="C11571" s="216" t="n">
        <v>16.93</v>
      </c>
      <c r="D11571" s="216" t="n">
        <v>1.157912969589233</v>
      </c>
      <c r="E11571" s="215" t="n">
        <v>46219</v>
      </c>
      <c r="F11571" s="215" t="n">
        <v>46219</v>
      </c>
    </row>
    <row r="11572">
      <c r="A11572" s="215" t="n">
        <v>46220</v>
      </c>
      <c r="B11572" s="216" t="n">
        <v>6.45</v>
      </c>
      <c r="C11572" s="216" t="n">
        <v>16.58</v>
      </c>
      <c r="D11572" s="216" t="n">
        <v>1.157472014427185</v>
      </c>
      <c r="E11572" s="215" t="n">
        <v>46220</v>
      </c>
      <c r="F11572" s="215" t="n">
        <v>46220</v>
      </c>
    </row>
    <row r="11573">
      <c r="A11573" s="215" t="n">
        <v>46223</v>
      </c>
      <c r="B11573" s="216" t="n">
        <v>6.49</v>
      </c>
      <c r="C11573" s="216" t="n">
        <v>16.46</v>
      </c>
      <c r="D11573" s="216" t="n">
        <v>1.157451033592224</v>
      </c>
      <c r="E11573" s="215" t="n">
        <v>46223</v>
      </c>
      <c r="F11573" s="215" t="n">
        <v>46223</v>
      </c>
    </row>
    <row r="11574">
      <c r="A11574" s="215" t="n">
        <v>46224</v>
      </c>
      <c r="B11574" s="216" t="n">
        <v>6.59</v>
      </c>
      <c r="C11574" s="216" t="n">
        <v>16.81</v>
      </c>
      <c r="D11574" s="216" t="n">
        <v>1.157506942749023</v>
      </c>
      <c r="E11574" s="215" t="n">
        <v>46224</v>
      </c>
      <c r="F11574" s="215" t="n">
        <v>46224</v>
      </c>
    </row>
    <row r="11575">
      <c r="A11575" s="215" t="n">
        <v>46225</v>
      </c>
      <c r="B11575" s="216" t="n">
        <v>6.6</v>
      </c>
      <c r="C11575" s="216" t="n">
        <v>16.54</v>
      </c>
      <c r="D11575" s="216" t="n">
        <v>1.158938050270081</v>
      </c>
      <c r="E11575" s="215" t="n">
        <v>46225</v>
      </c>
      <c r="F11575" s="215" t="n">
        <v>46225</v>
      </c>
    </row>
    <row r="11576">
      <c r="A11576" s="215" t="n">
        <v>46226</v>
      </c>
      <c r="B11576" s="216" t="n">
        <v>6.87</v>
      </c>
      <c r="C11576" s="216" t="n">
        <v>17.12</v>
      </c>
      <c r="D11576" s="216" t="n">
        <v>1.157410979270935</v>
      </c>
      <c r="E11576" s="215" t="n">
        <v>46226</v>
      </c>
      <c r="F11576" s="215" t="n">
        <v>46226</v>
      </c>
    </row>
    <row r="11577">
      <c r="A11577" s="215" t="n">
        <v>46227</v>
      </c>
      <c r="B11577" s="216" t="n">
        <v>6.64</v>
      </c>
      <c r="C11577" s="216" t="n">
        <v>16.39</v>
      </c>
      <c r="D11577" s="216" t="n">
        <v>1.15762197971344</v>
      </c>
      <c r="E11577" s="215" t="n">
        <v>46227</v>
      </c>
      <c r="F11577" s="215" t="n">
        <v>46227</v>
      </c>
    </row>
    <row r="11578">
      <c r="A11578" s="215" t="n">
        <v>46230</v>
      </c>
      <c r="B11578" s="216" t="n">
        <v>6.65</v>
      </c>
      <c r="C11578" s="216" t="n">
        <v>16.69</v>
      </c>
      <c r="D11578" s="216" t="n">
        <v>1.15789794921875</v>
      </c>
      <c r="E11578" s="215" t="n">
        <v>46230</v>
      </c>
      <c r="F11578" s="215" t="n">
        <v>46230</v>
      </c>
    </row>
    <row r="11579">
      <c r="A11579" s="215" t="n">
        <v>46231</v>
      </c>
      <c r="B11579" s="216" t="n">
        <v>6.44</v>
      </c>
      <c r="C11579" s="216" t="n">
        <v>16.59</v>
      </c>
      <c r="D11579" s="216" t="n">
        <v>1.158699035644531</v>
      </c>
      <c r="E11579" s="215" t="n">
        <v>46231</v>
      </c>
      <c r="F11579" s="215" t="n">
        <v>46231</v>
      </c>
    </row>
    <row r="11580">
      <c r="A11580" s="215" t="n">
        <v>46232</v>
      </c>
      <c r="B11580" s="216" t="n">
        <v>6.95</v>
      </c>
      <c r="C11580" s="216" t="n">
        <v>17.27</v>
      </c>
      <c r="D11580" s="216" t="n">
        <v>1.157909989356995</v>
      </c>
      <c r="E11580" s="215" t="n">
        <v>46232</v>
      </c>
      <c r="F11580" s="215" t="n">
        <v>46232</v>
      </c>
    </row>
    <row r="11581">
      <c r="A11581" s="215" t="n">
        <v>46233</v>
      </c>
      <c r="B11581" s="216" t="n">
        <v>6.74</v>
      </c>
      <c r="C11581" s="216" t="n">
        <v>17.52</v>
      </c>
      <c r="D11581" s="216" t="n">
        <v>1.158943057060242</v>
      </c>
      <c r="E11581" s="215" t="n">
        <v>46233</v>
      </c>
      <c r="F11581" s="215" t="n">
        <v>46233</v>
      </c>
    </row>
    <row r="11582">
      <c r="A11582" s="215" t="n">
        <v>46234</v>
      </c>
      <c r="B11582" s="216" t="n">
        <v>7.09</v>
      </c>
      <c r="C11582" s="216" t="n">
        <v>17.42</v>
      </c>
      <c r="D11582" s="216" t="n">
        <v>1.160945057868958</v>
      </c>
      <c r="E11582" s="215" t="n">
        <v>46234</v>
      </c>
      <c r="F11582" s="215" t="n">
        <v>46234</v>
      </c>
    </row>
    <row r="11583">
      <c r="A11583" s="215" t="n">
        <v>46237</v>
      </c>
      <c r="B11583" s="216" t="n">
        <v>7.7</v>
      </c>
      <c r="C11583" s="216" t="n">
        <v>17.87</v>
      </c>
      <c r="D11583" s="216" t="n">
        <v>1.161579966545105</v>
      </c>
      <c r="E11583" s="215" t="n">
        <v>46237</v>
      </c>
      <c r="F11583" s="215" t="n">
        <v>46237</v>
      </c>
    </row>
    <row r="11584">
      <c r="A11584" s="215" t="n">
        <v>46238</v>
      </c>
      <c r="B11584" s="216" t="n">
        <v>7.735</v>
      </c>
      <c r="C11584" s="216" t="n">
        <v>17.81</v>
      </c>
      <c r="D11584" s="216" t="n">
        <v>1.161064982414246</v>
      </c>
      <c r="E11584" s="215" t="n">
        <v>46238</v>
      </c>
      <c r="F11584" s="215" t="n">
        <v>46238</v>
      </c>
    </row>
    <row r="11585">
      <c r="A11585" s="215" t="n">
        <v>46239</v>
      </c>
      <c r="B11585" s="216" t="n">
        <v>7.915</v>
      </c>
      <c r="C11585" s="216" t="n">
        <v>18.19</v>
      </c>
      <c r="D11585" s="216" t="n">
        <v>1.161146998405457</v>
      </c>
      <c r="E11585" s="215" t="n">
        <v>46239</v>
      </c>
      <c r="F11585" s="215" t="n">
        <v>46239</v>
      </c>
    </row>
    <row r="11586">
      <c r="A11586" s="215" t="n">
        <v>46240</v>
      </c>
      <c r="B11586" s="216" t="n">
        <v>7.12</v>
      </c>
      <c r="C11586" s="216" t="n">
        <v>18.03</v>
      </c>
      <c r="D11586" s="216" t="n">
        <v>1.161936044692993</v>
      </c>
      <c r="E11586" s="215" t="n">
        <v>46240</v>
      </c>
      <c r="F11586" s="215" t="n">
        <v>46240</v>
      </c>
    </row>
    <row r="11587">
      <c r="A11587" s="215" t="n">
        <v>46241</v>
      </c>
      <c r="B11587" s="216" t="n">
        <v>6.8</v>
      </c>
      <c r="C11587" s="216" t="n">
        <v>18.05</v>
      </c>
      <c r="D11587" s="216" t="n">
        <v>1.162284016609192</v>
      </c>
      <c r="E11587" s="215" t="n">
        <v>46241</v>
      </c>
      <c r="F11587" s="215" t="n">
        <v>46241</v>
      </c>
    </row>
    <row r="11588">
      <c r="A11588" s="215" t="n">
        <v>46244</v>
      </c>
      <c r="B11588" s="216" t="n">
        <v>6.895</v>
      </c>
      <c r="C11588" s="216" t="n">
        <v>12.5</v>
      </c>
      <c r="D11588" s="216" t="n">
        <v>1.162629961967468</v>
      </c>
      <c r="E11588" s="215" t="n">
        <v>46244</v>
      </c>
      <c r="F11588" s="215" t="n">
        <v>46244</v>
      </c>
    </row>
    <row r="11589">
      <c r="A11589" s="215" t="n">
        <v>46245</v>
      </c>
      <c r="B11589" s="216" t="n">
        <v>6.66</v>
      </c>
      <c r="C11589" s="216" t="n">
        <v>12.18</v>
      </c>
      <c r="D11589" s="216" t="n">
        <v>1.162588000297546</v>
      </c>
      <c r="E11589" s="215" t="n">
        <v>46245</v>
      </c>
      <c r="F11589" s="215" t="n">
        <v>46245</v>
      </c>
    </row>
    <row r="11590">
      <c r="A11590" s="215" t="n">
        <v>46246</v>
      </c>
      <c r="B11590" s="216" t="n">
        <v>6.6</v>
      </c>
      <c r="C11590" s="216" t="n">
        <v>12.53</v>
      </c>
      <c r="D11590" s="216" t="n">
        <v>1.163135051727295</v>
      </c>
      <c r="E11590" s="215" t="n">
        <v>46246</v>
      </c>
      <c r="F11590" s="215" t="n">
        <v>46246</v>
      </c>
    </row>
    <row r="11591">
      <c r="A11591" s="215" t="n">
        <v>46247</v>
      </c>
      <c r="B11591" s="216" t="n">
        <v>6.38</v>
      </c>
      <c r="C11591" s="216" t="n">
        <v>12.2</v>
      </c>
      <c r="D11591" s="216" t="n">
        <v>1.163341045379639</v>
      </c>
      <c r="E11591" s="215" t="n">
        <v>46247</v>
      </c>
      <c r="F11591" s="215" t="n">
        <v>46247</v>
      </c>
    </row>
    <row r="11592">
      <c r="A11592" s="215" t="n">
        <v>46248</v>
      </c>
      <c r="B11592" s="216" t="n">
        <v>6.37</v>
      </c>
      <c r="C11592" s="216" t="n">
        <v>11.89</v>
      </c>
      <c r="D11592" s="216" t="n">
        <v>1.163571000099182</v>
      </c>
      <c r="E11592" s="215" t="n">
        <v>46248</v>
      </c>
      <c r="F11592" s="215" t="n">
        <v>46248</v>
      </c>
    </row>
    <row r="11593">
      <c r="A11593" s="215" t="n">
        <v>46251</v>
      </c>
      <c r="B11593" s="216" t="n">
        <v>6.6</v>
      </c>
      <c r="C11593" s="216" t="n">
        <v>12.21</v>
      </c>
      <c r="D11593" s="216" t="n">
        <v>1.163601994514465</v>
      </c>
      <c r="E11593" s="215" t="n">
        <v>46251</v>
      </c>
      <c r="F11593" s="215" t="n">
        <v>46251</v>
      </c>
    </row>
    <row r="11594">
      <c r="A11594" s="215" t="n">
        <v>46252</v>
      </c>
      <c r="B11594" s="216" t="n">
        <v>6.595</v>
      </c>
      <c r="C11594" s="216" t="n">
        <v>11.8</v>
      </c>
      <c r="D11594" s="216" t="n">
        <v>1.163733005523682</v>
      </c>
      <c r="E11594" s="215" t="n">
        <v>46252</v>
      </c>
      <c r="F11594" s="215" t="n">
        <v>46252</v>
      </c>
    </row>
    <row r="11595">
      <c r="A11595" s="215" t="n">
        <v>46253</v>
      </c>
      <c r="B11595" s="216" t="n">
        <v>6.395</v>
      </c>
      <c r="C11595" s="216" t="n">
        <v>11.22</v>
      </c>
      <c r="D11595" s="216" t="n">
        <v>1.163092017173767</v>
      </c>
      <c r="E11595" s="215" t="n">
        <v>46253</v>
      </c>
      <c r="F11595" s="215" t="n">
        <v>46253</v>
      </c>
    </row>
    <row r="11596">
      <c r="A11596" s="215" t="n">
        <v>46254</v>
      </c>
      <c r="B11596" s="216" t="n">
        <v>6.51</v>
      </c>
      <c r="C11596" s="216" t="n">
        <v>11.27</v>
      </c>
      <c r="D11596" s="216" t="n">
        <v>1.164932012557983</v>
      </c>
      <c r="E11596" s="215" t="n">
        <v>46254</v>
      </c>
      <c r="F11596" s="215" t="n">
        <v>46254</v>
      </c>
    </row>
    <row r="11597">
      <c r="A11597" s="215" t="n">
        <v>46255</v>
      </c>
      <c r="B11597" s="216" t="n">
        <v>6.62</v>
      </c>
      <c r="C11597" s="216" t="n">
        <v>11.3</v>
      </c>
      <c r="D11597" s="216" t="n">
        <v>1.166555047035217</v>
      </c>
      <c r="E11597" s="215" t="n">
        <v>46255</v>
      </c>
      <c r="F11597" s="215" t="n">
        <v>46255</v>
      </c>
    </row>
    <row r="11598">
      <c r="A11598" s="215" t="n">
        <v>46258</v>
      </c>
      <c r="B11598" s="216" t="n">
        <v>6.475</v>
      </c>
      <c r="C11598" s="216" t="n">
        <v>11.31</v>
      </c>
      <c r="D11598" s="216" t="n">
        <v>1.166316986083984</v>
      </c>
      <c r="E11598" s="215" t="n">
        <v>46258</v>
      </c>
      <c r="F11598" s="215" t="n">
        <v>46258</v>
      </c>
    </row>
    <row r="11599">
      <c r="A11599" s="215" t="n">
        <v>46259</v>
      </c>
      <c r="B11599" s="216" t="n">
        <v>6.44</v>
      </c>
      <c r="C11599" s="216" t="n">
        <v>11.55</v>
      </c>
      <c r="D11599" s="216" t="n">
        <v>1.165253043174744</v>
      </c>
      <c r="E11599" s="215" t="n">
        <v>46259</v>
      </c>
      <c r="F11599" s="215" t="n">
        <v>46259</v>
      </c>
    </row>
    <row r="11600">
      <c r="A11600" s="215" t="n">
        <v>46260</v>
      </c>
      <c r="B11600" s="216" t="n">
        <v>6.61</v>
      </c>
      <c r="C11600" s="216" t="n">
        <v>12.29</v>
      </c>
      <c r="D11600" s="216" t="n">
        <v>1.166218996047974</v>
      </c>
      <c r="E11600" s="215" t="n">
        <v>46260</v>
      </c>
      <c r="F11600" s="215" t="n">
        <v>46260</v>
      </c>
    </row>
    <row r="11601">
      <c r="A11601" s="215" t="n">
        <v>46261</v>
      </c>
      <c r="B11601" s="216" t="n">
        <v>6.9</v>
      </c>
      <c r="C11601" s="216" t="n">
        <v>13.52</v>
      </c>
      <c r="D11601" s="216" t="n">
        <v>1.165971040725708</v>
      </c>
      <c r="E11601" s="215" t="n">
        <v>46261</v>
      </c>
      <c r="F11601" s="215" t="n">
        <v>46261</v>
      </c>
    </row>
    <row r="11602">
      <c r="A11602" s="215" t="n">
        <v>46262</v>
      </c>
      <c r="B11602" s="216" t="n">
        <v>6.765</v>
      </c>
      <c r="C11602" s="216" t="n">
        <v>13.22</v>
      </c>
      <c r="D11602" s="216" t="n">
        <v>1.165799975395203</v>
      </c>
      <c r="E11602" s="215" t="n">
        <v>46262</v>
      </c>
      <c r="F11602" s="215" t="n">
        <v>46262</v>
      </c>
    </row>
    <row r="11603">
      <c r="A11603" s="215" t="n">
        <v>46265</v>
      </c>
      <c r="B11603" s="216" t="n">
        <v>6.605</v>
      </c>
      <c r="C11603" s="216" t="n">
        <v>13.27</v>
      </c>
      <c r="D11603" s="216" t="n">
        <v>1.165387988090515</v>
      </c>
      <c r="E11603" s="215" t="n">
        <v>46265</v>
      </c>
      <c r="F11603" s="215" t="n">
        <v>46265</v>
      </c>
    </row>
    <row r="11604">
      <c r="A11604" s="215" t="n">
        <v>46266</v>
      </c>
      <c r="B11604" s="216" t="n">
        <v>6.8</v>
      </c>
      <c r="C11604" s="216" t="n">
        <v>13.87</v>
      </c>
      <c r="D11604" s="216" t="n">
        <v>1.165223956108093</v>
      </c>
      <c r="E11604" s="215" t="n">
        <v>46266</v>
      </c>
      <c r="F11604" s="215" t="n">
        <v>46266</v>
      </c>
    </row>
    <row r="11605">
      <c r="A11605" s="215" t="n">
        <v>46267</v>
      </c>
      <c r="B11605" s="216" t="n">
        <v>6.635</v>
      </c>
      <c r="C11605" s="216" t="n">
        <v>13.53</v>
      </c>
      <c r="D11605" s="216" t="n">
        <v>1.166425943374634</v>
      </c>
      <c r="E11605" s="215" t="n">
        <v>46267</v>
      </c>
      <c r="F11605" s="215" t="n">
        <v>46267</v>
      </c>
    </row>
    <row r="11606">
      <c r="A11606" s="215" t="n">
        <v>46268</v>
      </c>
      <c r="B11606" s="216" t="n">
        <v>6.625</v>
      </c>
      <c r="C11606" s="216" t="n">
        <v>13.24</v>
      </c>
      <c r="D11606" s="216" t="n">
        <v>1.167057037353516</v>
      </c>
      <c r="E11606" s="215" t="n">
        <v>46268</v>
      </c>
      <c r="F11606" s="215" t="n">
        <v>46268</v>
      </c>
    </row>
    <row r="11607">
      <c r="A11607" s="215" t="n">
        <v>46269</v>
      </c>
      <c r="B11607" s="216" t="n">
        <v>7.08</v>
      </c>
      <c r="C11607" s="216" t="n">
        <v>13.49</v>
      </c>
      <c r="D11607" s="216" t="n">
        <v>1.166767954826355</v>
      </c>
      <c r="E11607" s="215" t="n">
        <v>46269</v>
      </c>
      <c r="F11607" s="215" t="n">
        <v>46269</v>
      </c>
    </row>
    <row r="11608">
      <c r="A11608" s="215" t="n">
        <v>46272</v>
      </c>
      <c r="B11608" s="216" t="n">
        <v>6.875</v>
      </c>
      <c r="C11608" s="216" t="n">
        <v>13.14</v>
      </c>
      <c r="D11608" s="216" t="n">
        <v>1.168081045150757</v>
      </c>
      <c r="E11608" s="215" t="n">
        <v>46272</v>
      </c>
      <c r="F11608" s="215" t="n">
        <v>46272</v>
      </c>
    </row>
    <row r="11609">
      <c r="A11609" s="215" t="n">
        <v>46273</v>
      </c>
      <c r="B11609" s="216" t="n">
        <v>6.975</v>
      </c>
      <c r="C11609" s="216" t="n">
        <v>13.29</v>
      </c>
      <c r="D11609" s="216" t="n">
        <v>1.168115019798279</v>
      </c>
      <c r="E11609" s="215" t="n">
        <v>46273</v>
      </c>
      <c r="F11609" s="215" t="n">
        <v>46273</v>
      </c>
    </row>
    <row r="11610">
      <c r="A11610" s="215" t="n">
        <v>46274</v>
      </c>
      <c r="B11610" s="216" t="n">
        <v>6.9</v>
      </c>
      <c r="C11610" s="216" t="n">
        <v>13.33</v>
      </c>
      <c r="D11610" s="216" t="n">
        <v>1.168408989906311</v>
      </c>
      <c r="E11610" s="215" t="n">
        <v>46274</v>
      </c>
      <c r="F11610" s="215" t="n">
        <v>46274</v>
      </c>
    </row>
    <row r="11611">
      <c r="A11611" s="215" t="n">
        <v>46275</v>
      </c>
      <c r="B11611" s="216" t="n">
        <v>6.875</v>
      </c>
      <c r="C11611" s="216" t="n">
        <v>13.57</v>
      </c>
      <c r="D11611" s="216" t="n">
        <v>1.168462991714478</v>
      </c>
      <c r="E11611" s="215" t="n">
        <v>46275</v>
      </c>
      <c r="F11611" s="215" t="n">
        <v>46275</v>
      </c>
    </row>
    <row r="11612">
      <c r="A11612" s="215" t="n">
        <v>46276</v>
      </c>
      <c r="B11612" s="216" t="n">
        <v>6.67</v>
      </c>
      <c r="C11612" s="216" t="n">
        <v>12.42</v>
      </c>
      <c r="D11612" s="216" t="n">
        <v>1.169165015220642</v>
      </c>
      <c r="E11612" s="215" t="n">
        <v>46276</v>
      </c>
      <c r="F11612" s="215" t="n">
        <v>46276</v>
      </c>
    </row>
    <row r="11613">
      <c r="A11613" s="215" t="n">
        <v>46279</v>
      </c>
      <c r="B11613" s="216" t="n">
        <v>6.625</v>
      </c>
      <c r="C11613" s="216" t="n">
        <v>12.02</v>
      </c>
      <c r="D11613" s="216" t="n">
        <v>1.16893994808197</v>
      </c>
      <c r="E11613" s="215" t="n">
        <v>46279</v>
      </c>
      <c r="F11613" s="215" t="n">
        <v>46279</v>
      </c>
    </row>
    <row r="11614">
      <c r="A11614" s="215" t="n">
        <v>46280</v>
      </c>
      <c r="B11614" s="216" t="n">
        <v>6.55</v>
      </c>
      <c r="C11614" s="216" t="n">
        <v>12.13</v>
      </c>
      <c r="D11614" s="216" t="n">
        <v>1.169121026992798</v>
      </c>
      <c r="E11614" s="215" t="n">
        <v>46280</v>
      </c>
      <c r="F11614" s="215" t="n">
        <v>46280</v>
      </c>
    </row>
    <row r="11615">
      <c r="A11615" s="215" t="n">
        <v>46281</v>
      </c>
      <c r="B11615" s="216" t="n">
        <v>6.64</v>
      </c>
      <c r="C11615" s="216" t="n">
        <v>12.61</v>
      </c>
      <c r="D11615" s="216" t="n">
        <v>1.168769955635071</v>
      </c>
      <c r="E11615" s="215" t="n">
        <v>46281</v>
      </c>
      <c r="F11615" s="215" t="n">
        <v>46281</v>
      </c>
    </row>
    <row r="11616">
      <c r="A11616" s="215" t="n">
        <v>46282</v>
      </c>
      <c r="B11616" s="216" t="n">
        <v>6.52</v>
      </c>
      <c r="C11616" s="216" t="n">
        <v>12.64</v>
      </c>
      <c r="D11616" s="216" t="n">
        <v>1.169389963150024</v>
      </c>
      <c r="E11616" s="215" t="n">
        <v>46282</v>
      </c>
      <c r="F11616" s="215" t="n">
        <v>46282</v>
      </c>
    </row>
    <row r="11617">
      <c r="A11617" s="215" t="n">
        <v>46283</v>
      </c>
      <c r="B11617" s="216" t="n">
        <v>6.59</v>
      </c>
      <c r="C11617" s="216" t="n">
        <v>12.72</v>
      </c>
      <c r="D11617" s="216" t="n">
        <v>1.16942298412323</v>
      </c>
      <c r="E11617" s="215" t="n">
        <v>46283</v>
      </c>
      <c r="F11617" s="215" t="n">
        <v>46283</v>
      </c>
    </row>
    <row r="11618">
      <c r="A11618" s="215" t="n">
        <v>46286</v>
      </c>
      <c r="B11618" s="216" t="n">
        <v>6.81</v>
      </c>
      <c r="C11618" s="216" t="n">
        <v>13.99</v>
      </c>
      <c r="D11618" s="216" t="n">
        <v>1.171280026435852</v>
      </c>
      <c r="E11618" s="215" t="n">
        <v>46286</v>
      </c>
      <c r="F11618" s="215" t="n">
        <v>46286</v>
      </c>
    </row>
    <row r="11619">
      <c r="A11619" s="215" t="n">
        <v>46287</v>
      </c>
      <c r="B11619" s="216" t="n">
        <v>6.71</v>
      </c>
      <c r="C11619" s="216" t="n">
        <v>13.76</v>
      </c>
      <c r="D11619" s="216" t="n">
        <v>1.171705007553101</v>
      </c>
      <c r="E11619" s="215" t="n">
        <v>46287</v>
      </c>
      <c r="F11619" s="215" t="n">
        <v>46287</v>
      </c>
    </row>
    <row r="11620">
      <c r="A11620" s="215" t="n">
        <v>46288</v>
      </c>
      <c r="B11620" s="216" t="n">
        <v>6.61</v>
      </c>
      <c r="C11620" s="216" t="n">
        <v>13.6</v>
      </c>
      <c r="D11620" s="216" t="n">
        <v>1.170611023902893</v>
      </c>
      <c r="E11620" s="215" t="n">
        <v>46288</v>
      </c>
      <c r="F11620" s="215" t="n">
        <v>46288</v>
      </c>
    </row>
    <row r="11621">
      <c r="A11621" s="215" t="n">
        <v>46289</v>
      </c>
      <c r="B11621" s="216" t="n">
        <v>6.52</v>
      </c>
      <c r="C11621" s="216" t="n">
        <v>13.4</v>
      </c>
      <c r="D11621" s="216" t="n">
        <v>1.16852605342865</v>
      </c>
      <c r="E11621" s="215" t="n">
        <v>46289</v>
      </c>
      <c r="F11621" s="215" t="n">
        <v>46289</v>
      </c>
    </row>
    <row r="11622">
      <c r="A11622" s="215" t="n">
        <v>46290</v>
      </c>
      <c r="B11622" s="216" t="n">
        <v>6.4</v>
      </c>
      <c r="C11622" s="216" t="n">
        <v>13.4</v>
      </c>
      <c r="D11622" s="216" t="n">
        <v>1.168424010276794</v>
      </c>
      <c r="E11622" s="215" t="n">
        <v>46289</v>
      </c>
      <c r="F11622" s="215" t="n">
        <v>46290</v>
      </c>
    </row>
    <row r="11623">
      <c r="A11623" s="215" t="n">
        <v>46293</v>
      </c>
      <c r="B11623" s="216" t="n">
        <v>6.24</v>
      </c>
      <c r="C11623" s="216" t="n">
        <v>13.4</v>
      </c>
      <c r="D11623" s="216" t="n">
        <v>1.168378949165344</v>
      </c>
      <c r="E11623" s="215" t="n">
        <v>46293</v>
      </c>
      <c r="F11623" s="215" t="n">
        <v>46293</v>
      </c>
    </row>
    <row r="11624">
      <c r="A11624" s="215" t="n">
        <v>46294</v>
      </c>
      <c r="B11624" s="216" t="n">
        <v>6.13</v>
      </c>
      <c r="C11624" s="216" t="n">
        <v>13.31</v>
      </c>
      <c r="D11624" s="216" t="n">
        <v>1.168815970420837</v>
      </c>
      <c r="E11624" s="215" t="n">
        <v>46294</v>
      </c>
      <c r="F11624" s="215" t="n">
        <v>46294</v>
      </c>
    </row>
    <row r="11625">
      <c r="A11625" s="215" t="n">
        <v>46295</v>
      </c>
      <c r="B11625" s="216" t="n">
        <v>6.095</v>
      </c>
      <c r="C11625" s="216" t="n">
        <v>13.16</v>
      </c>
      <c r="D11625" s="216" t="n">
        <v>1.17059600353241</v>
      </c>
      <c r="E11625" s="215" t="n">
        <v>46295</v>
      </c>
      <c r="F11625" s="215" t="n">
        <v>46295</v>
      </c>
    </row>
    <row r="11626">
      <c r="A11626" s="215" t="n">
        <v>46297</v>
      </c>
      <c r="B11626" s="216" t="n">
        <v>5.88</v>
      </c>
      <c r="C11626" s="216" t="n">
        <v>13.16</v>
      </c>
      <c r="D11626" s="216" t="n">
        <v>1.170220971107483</v>
      </c>
      <c r="E11626" s="215" t="n">
        <v>46295</v>
      </c>
      <c r="F11626" s="215" t="n">
        <v>46297</v>
      </c>
    </row>
    <row r="11627">
      <c r="A11627" s="215" t="n">
        <v>45797</v>
      </c>
      <c r="B11627" s="216" t="n">
        <v>306.2</v>
      </c>
      <c r="C11627" s="216" t="n">
        <v>263</v>
      </c>
      <c r="D11627" s="216" t="n">
        <v>1.08473801612854</v>
      </c>
      <c r="E11627" s="215" t="n">
        <v>45797</v>
      </c>
      <c r="F11627" s="215" t="n">
        <v>45797</v>
      </c>
    </row>
    <row r="11628">
      <c r="A11628" s="215" t="n">
        <v>45798</v>
      </c>
      <c r="B11628" s="216" t="n">
        <v>337.4</v>
      </c>
      <c r="C11628" s="216" t="n">
        <v>274.08</v>
      </c>
      <c r="D11628" s="216" t="n">
        <v>1.084200024604797</v>
      </c>
      <c r="E11628" s="215" t="n">
        <v>45798</v>
      </c>
      <c r="F11628" s="215" t="n">
        <v>45798</v>
      </c>
    </row>
    <row r="11629">
      <c r="A11629" s="215" t="n">
        <v>45799</v>
      </c>
      <c r="B11629" s="216" t="n">
        <v>329.8</v>
      </c>
      <c r="C11629" s="216" t="n">
        <v>270.37</v>
      </c>
      <c r="D11629" s="216" t="n">
        <v>1.086825013160706</v>
      </c>
      <c r="E11629" s="215" t="n">
        <v>45799</v>
      </c>
      <c r="F11629" s="215" t="n">
        <v>45799</v>
      </c>
    </row>
    <row r="11630">
      <c r="A11630" s="215" t="n">
        <v>45800</v>
      </c>
      <c r="B11630" s="216" t="n">
        <v>322.4</v>
      </c>
      <c r="C11630" s="216" t="n">
        <v>266.99</v>
      </c>
      <c r="D11630" s="216" t="n">
        <v>1.086493015289307</v>
      </c>
      <c r="E11630" s="215" t="n">
        <v>45800</v>
      </c>
      <c r="F11630" s="215" t="n">
        <v>45800</v>
      </c>
    </row>
    <row r="11631">
      <c r="A11631" s="215" t="n">
        <v>45803</v>
      </c>
      <c r="B11631" s="216" t="n">
        <v>314</v>
      </c>
      <c r="C11631" s="216" t="n">
        <v>255.9</v>
      </c>
      <c r="D11631" s="216" t="n">
        <v>1.08673095703125</v>
      </c>
      <c r="E11631" s="215" t="n">
        <v>45803</v>
      </c>
      <c r="F11631" s="215" t="n">
        <v>45803</v>
      </c>
    </row>
    <row r="11632">
      <c r="A11632" s="215" t="n">
        <v>45804</v>
      </c>
      <c r="B11632" s="216" t="n">
        <v>309</v>
      </c>
      <c r="C11632" s="216" t="n">
        <v>253.99</v>
      </c>
      <c r="D11632" s="216" t="n">
        <v>1.087713956832886</v>
      </c>
      <c r="E11632" s="215" t="n">
        <v>45804</v>
      </c>
      <c r="F11632" s="215" t="n">
        <v>45804</v>
      </c>
    </row>
    <row r="11633">
      <c r="A11633" s="215" t="n">
        <v>45805</v>
      </c>
      <c r="B11633" s="216" t="n">
        <v>312</v>
      </c>
      <c r="C11633" s="216" t="n">
        <v>253.6</v>
      </c>
      <c r="D11633" s="216" t="n">
        <v>1.087921977043152</v>
      </c>
      <c r="E11633" s="215" t="n">
        <v>45805</v>
      </c>
      <c r="F11633" s="215" t="n">
        <v>45805</v>
      </c>
    </row>
    <row r="11634">
      <c r="A11634" s="215" t="n">
        <v>45806</v>
      </c>
      <c r="B11634" s="216" t="n">
        <v>308.6</v>
      </c>
      <c r="C11634" s="216" t="n">
        <v>251.85</v>
      </c>
      <c r="D11634" s="216" t="n">
        <v>1.087334990501404</v>
      </c>
      <c r="E11634" s="215" t="n">
        <v>45806</v>
      </c>
      <c r="F11634" s="215" t="n">
        <v>45806</v>
      </c>
    </row>
    <row r="11635">
      <c r="A11635" s="215" t="n">
        <v>45807</v>
      </c>
      <c r="B11635" s="216" t="n">
        <v>303.4</v>
      </c>
      <c r="C11635" s="216" t="n">
        <v>250</v>
      </c>
      <c r="D11635" s="216" t="n">
        <v>1.088281989097595</v>
      </c>
      <c r="E11635" s="215" t="n">
        <v>45807</v>
      </c>
      <c r="F11635" s="215" t="n">
        <v>45807</v>
      </c>
    </row>
    <row r="11636">
      <c r="A11636" s="215" t="n">
        <v>45810</v>
      </c>
      <c r="B11636" s="216" t="n">
        <v>309.6</v>
      </c>
      <c r="C11636" s="216" t="n">
        <v>250</v>
      </c>
      <c r="D11636" s="216" t="n">
        <v>1.088839054107666</v>
      </c>
      <c r="E11636" s="215" t="n">
        <v>45807</v>
      </c>
      <c r="F11636" s="215" t="n">
        <v>45810</v>
      </c>
    </row>
    <row r="11637">
      <c r="A11637" s="215" t="n">
        <v>45811</v>
      </c>
      <c r="B11637" s="216" t="n">
        <v>307</v>
      </c>
      <c r="C11637" s="216" t="n">
        <v>251.15</v>
      </c>
      <c r="D11637" s="216" t="n">
        <v>1.098875999450684</v>
      </c>
      <c r="E11637" s="215" t="n">
        <v>45811</v>
      </c>
      <c r="F11637" s="215" t="n">
        <v>45811</v>
      </c>
    </row>
    <row r="11638">
      <c r="A11638" s="215" t="n">
        <v>45812</v>
      </c>
      <c r="B11638" s="216" t="n">
        <v>306.4</v>
      </c>
      <c r="C11638" s="216" t="n">
        <v>251.05</v>
      </c>
      <c r="D11638" s="216" t="n">
        <v>1.092406988143921</v>
      </c>
      <c r="E11638" s="215" t="n">
        <v>45812</v>
      </c>
      <c r="F11638" s="215" t="n">
        <v>45812</v>
      </c>
    </row>
    <row r="11639">
      <c r="A11639" s="215" t="n">
        <v>45813</v>
      </c>
      <c r="B11639" s="216" t="n">
        <v>309</v>
      </c>
      <c r="C11639" s="216" t="n">
        <v>251.5</v>
      </c>
      <c r="D11639" s="216" t="n">
        <v>1.095829010009766</v>
      </c>
      <c r="E11639" s="215" t="n">
        <v>45813</v>
      </c>
      <c r="F11639" s="215" t="n">
        <v>45813</v>
      </c>
    </row>
    <row r="11640">
      <c r="A11640" s="215" t="n">
        <v>45814</v>
      </c>
      <c r="B11640" s="216" t="n">
        <v>305</v>
      </c>
      <c r="C11640" s="216" t="n">
        <v>248.88</v>
      </c>
      <c r="D11640" s="216" t="n">
        <v>1.093296051025391</v>
      </c>
      <c r="E11640" s="215" t="n">
        <v>45814</v>
      </c>
      <c r="F11640" s="215" t="n">
        <v>45814</v>
      </c>
    </row>
    <row r="11641">
      <c r="A11641" s="215" t="n">
        <v>45817</v>
      </c>
      <c r="B11641" s="216" t="n">
        <v>302.6</v>
      </c>
      <c r="C11641" s="216" t="n">
        <v>245.58</v>
      </c>
      <c r="D11641" s="216" t="n">
        <v>1.091297030448914</v>
      </c>
      <c r="E11641" s="215" t="n">
        <v>45817</v>
      </c>
      <c r="F11641" s="215" t="n">
        <v>45817</v>
      </c>
    </row>
    <row r="11642">
      <c r="A11642" s="215" t="n">
        <v>45818</v>
      </c>
      <c r="B11642" s="216" t="n">
        <v>299.6</v>
      </c>
      <c r="C11642" s="216" t="n">
        <v>243.14</v>
      </c>
      <c r="D11642" s="216" t="n">
        <v>1.092790007591248</v>
      </c>
      <c r="E11642" s="215" t="n">
        <v>45818</v>
      </c>
      <c r="F11642" s="215" t="n">
        <v>45818</v>
      </c>
    </row>
    <row r="11643">
      <c r="A11643" s="215" t="n">
        <v>45819</v>
      </c>
      <c r="B11643" s="216" t="n">
        <v>308.4</v>
      </c>
      <c r="C11643" s="216" t="n">
        <v>250.5</v>
      </c>
      <c r="D11643" s="216" t="n">
        <v>1.092836976051331</v>
      </c>
      <c r="E11643" s="215" t="n">
        <v>45819</v>
      </c>
      <c r="F11643" s="215" t="n">
        <v>45819</v>
      </c>
    </row>
    <row r="11644">
      <c r="A11644" s="215" t="n">
        <v>45820</v>
      </c>
      <c r="B11644" s="216" t="n">
        <v>309.2</v>
      </c>
      <c r="C11644" s="216" t="n">
        <v>249.81</v>
      </c>
      <c r="D11644" s="216" t="n">
        <v>1.090999960899353</v>
      </c>
      <c r="E11644" s="215" t="n">
        <v>45820</v>
      </c>
      <c r="F11644" s="215" t="n">
        <v>45820</v>
      </c>
    </row>
    <row r="11645">
      <c r="A11645" s="215" t="n">
        <v>45821</v>
      </c>
      <c r="B11645" s="216" t="n">
        <v>313</v>
      </c>
      <c r="C11645" s="216" t="n">
        <v>248.2</v>
      </c>
      <c r="D11645" s="216" t="n">
        <v>1.091084957122803</v>
      </c>
      <c r="E11645" s="215" t="n">
        <v>45821</v>
      </c>
      <c r="F11645" s="215" t="n">
        <v>45821</v>
      </c>
    </row>
    <row r="11646">
      <c r="A11646" s="215" t="n">
        <v>45824</v>
      </c>
      <c r="B11646" s="216" t="n">
        <v>308.4</v>
      </c>
      <c r="C11646" s="216" t="n">
        <v>246.66</v>
      </c>
      <c r="D11646" s="216" t="n">
        <v>1.092895984649658</v>
      </c>
      <c r="E11646" s="215" t="n">
        <v>45824</v>
      </c>
      <c r="F11646" s="215" t="n">
        <v>45824</v>
      </c>
    </row>
    <row r="11647">
      <c r="A11647" s="215" t="n">
        <v>45825</v>
      </c>
      <c r="B11647" s="216" t="n">
        <v>310</v>
      </c>
      <c r="C11647" s="216" t="n">
        <v>246.26</v>
      </c>
      <c r="D11647" s="216" t="n">
        <v>1.093256950378418</v>
      </c>
      <c r="E11647" s="215" t="n">
        <v>45825</v>
      </c>
      <c r="F11647" s="215" t="n">
        <v>45825</v>
      </c>
    </row>
    <row r="11648">
      <c r="A11648" s="215" t="n">
        <v>45826</v>
      </c>
      <c r="B11648" s="216" t="n">
        <v>306.4</v>
      </c>
      <c r="C11648" s="216" t="n">
        <v>245.57</v>
      </c>
      <c r="D11648" s="216" t="n">
        <v>1.092421054840088</v>
      </c>
      <c r="E11648" s="215" t="n">
        <v>45826</v>
      </c>
      <c r="F11648" s="215" t="n">
        <v>45826</v>
      </c>
    </row>
    <row r="11649">
      <c r="A11649" s="215" t="n">
        <v>45827</v>
      </c>
      <c r="B11649" s="216" t="n">
        <v>298.4</v>
      </c>
      <c r="C11649" s="216" t="n">
        <v>242.1</v>
      </c>
      <c r="D11649" s="216" t="n">
        <v>1.091722011566162</v>
      </c>
      <c r="E11649" s="215" t="n">
        <v>45827</v>
      </c>
      <c r="F11649" s="215" t="n">
        <v>45827</v>
      </c>
    </row>
    <row r="11650">
      <c r="A11650" s="215" t="n">
        <v>45828</v>
      </c>
      <c r="B11650" s="216" t="n">
        <v>299.8</v>
      </c>
      <c r="C11650" s="216" t="n">
        <v>240.26</v>
      </c>
      <c r="D11650" s="216" t="n">
        <v>1.091766953468323</v>
      </c>
      <c r="E11650" s="215" t="n">
        <v>45828</v>
      </c>
      <c r="F11650" s="215" t="n">
        <v>45828</v>
      </c>
    </row>
    <row r="11651">
      <c r="A11651" s="215" t="n">
        <v>45831</v>
      </c>
      <c r="B11651" s="216" t="n">
        <v>296.4</v>
      </c>
      <c r="C11651" s="216" t="n">
        <v>239.61</v>
      </c>
      <c r="D11651" s="216" t="n">
        <v>1.091856002807617</v>
      </c>
      <c r="E11651" s="215" t="n">
        <v>45831</v>
      </c>
      <c r="F11651" s="215" t="n">
        <v>45831</v>
      </c>
    </row>
    <row r="11652">
      <c r="A11652" s="215" t="n">
        <v>45832</v>
      </c>
      <c r="B11652" s="216" t="n">
        <v>303</v>
      </c>
      <c r="C11652" s="216" t="n">
        <v>245.92</v>
      </c>
      <c r="D11652" s="216" t="n">
        <v>1.093309044837952</v>
      </c>
      <c r="E11652" s="215" t="n">
        <v>45832</v>
      </c>
      <c r="F11652" s="215" t="n">
        <v>45832</v>
      </c>
    </row>
    <row r="11653">
      <c r="A11653" s="215" t="n">
        <v>45833</v>
      </c>
      <c r="B11653" s="216" t="n">
        <v>319</v>
      </c>
      <c r="C11653" s="216" t="n">
        <v>254.9</v>
      </c>
      <c r="D11653" s="216" t="n">
        <v>1.094483971595764</v>
      </c>
      <c r="E11653" s="215" t="n">
        <v>45833</v>
      </c>
      <c r="F11653" s="215" t="n">
        <v>45833</v>
      </c>
    </row>
    <row r="11654">
      <c r="A11654" s="215" t="n">
        <v>45834</v>
      </c>
      <c r="B11654" s="216" t="n">
        <v>324.6</v>
      </c>
      <c r="C11654" s="216" t="n">
        <v>252.79</v>
      </c>
      <c r="D11654" s="216" t="n">
        <v>1.093523025512695</v>
      </c>
      <c r="E11654" s="215" t="n">
        <v>45834</v>
      </c>
      <c r="F11654" s="215" t="n">
        <v>45834</v>
      </c>
    </row>
    <row r="11655">
      <c r="A11655" s="215" t="n">
        <v>45835</v>
      </c>
      <c r="B11655" s="216" t="n">
        <v>327</v>
      </c>
      <c r="C11655" s="216" t="n">
        <v>250.99</v>
      </c>
      <c r="D11655" s="216" t="n">
        <v>1.095173001289368</v>
      </c>
      <c r="E11655" s="215" t="n">
        <v>45835</v>
      </c>
      <c r="F11655" s="215" t="n">
        <v>45835</v>
      </c>
    </row>
    <row r="11656">
      <c r="A11656" s="215" t="n">
        <v>45838</v>
      </c>
      <c r="B11656" s="216" t="n">
        <v>329.2</v>
      </c>
      <c r="C11656" s="216" t="n">
        <v>252.22</v>
      </c>
      <c r="D11656" s="216" t="n">
        <v>1.094328045845032</v>
      </c>
      <c r="E11656" s="215" t="n">
        <v>45838</v>
      </c>
      <c r="F11656" s="215" t="n">
        <v>45838</v>
      </c>
    </row>
    <row r="11657">
      <c r="A11657" s="215" t="n">
        <v>45840</v>
      </c>
      <c r="B11657" s="216" t="n">
        <v>334.6</v>
      </c>
      <c r="C11657" s="216" t="n">
        <v>250.45</v>
      </c>
      <c r="D11657" s="216" t="n">
        <v>1.095211982727051</v>
      </c>
      <c r="E11657" s="215" t="n">
        <v>45840</v>
      </c>
      <c r="F11657" s="215" t="n">
        <v>45840</v>
      </c>
    </row>
    <row r="11658">
      <c r="A11658" s="215" t="n">
        <v>45841</v>
      </c>
      <c r="B11658" s="216" t="n">
        <v>343.6</v>
      </c>
      <c r="C11658" s="216" t="n">
        <v>262.59</v>
      </c>
      <c r="D11658" s="216" t="n">
        <v>1.095422029495239</v>
      </c>
      <c r="E11658" s="215" t="n">
        <v>45841</v>
      </c>
      <c r="F11658" s="215" t="n">
        <v>45841</v>
      </c>
    </row>
    <row r="11659">
      <c r="A11659" s="215" t="n">
        <v>45842</v>
      </c>
      <c r="B11659" s="216" t="n">
        <v>357</v>
      </c>
      <c r="C11659" s="216" t="n">
        <v>265.8</v>
      </c>
      <c r="D11659" s="216" t="n">
        <v>1.095221042633057</v>
      </c>
      <c r="E11659" s="215" t="n">
        <v>45842</v>
      </c>
      <c r="F11659" s="215" t="n">
        <v>45842</v>
      </c>
    </row>
    <row r="11660">
      <c r="A11660" s="215" t="n">
        <v>45845</v>
      </c>
      <c r="B11660" s="216" t="n">
        <v>354</v>
      </c>
      <c r="C11660" s="216" t="n">
        <v>260.89</v>
      </c>
      <c r="D11660" s="216" t="n">
        <v>1.095430970191956</v>
      </c>
      <c r="E11660" s="215" t="n">
        <v>45845</v>
      </c>
      <c r="F11660" s="215" t="n">
        <v>45845</v>
      </c>
    </row>
    <row r="11661">
      <c r="A11661" s="215" t="n">
        <v>45846</v>
      </c>
      <c r="B11661" s="216" t="n">
        <v>359.2</v>
      </c>
      <c r="C11661" s="216" t="n">
        <v>263.31</v>
      </c>
      <c r="D11661" s="216" t="n">
        <v>1.093924999237061</v>
      </c>
      <c r="E11661" s="215" t="n">
        <v>45846</v>
      </c>
      <c r="F11661" s="215" t="n">
        <v>45846</v>
      </c>
    </row>
    <row r="11662">
      <c r="A11662" s="215" t="n">
        <v>45847</v>
      </c>
      <c r="B11662" s="216" t="n">
        <v>385</v>
      </c>
      <c r="C11662" s="216" t="n">
        <v>270.8</v>
      </c>
      <c r="D11662" s="216" t="n">
        <v>1.094220995903015</v>
      </c>
      <c r="E11662" s="215" t="n">
        <v>45847</v>
      </c>
      <c r="F11662" s="215" t="n">
        <v>45847</v>
      </c>
    </row>
    <row r="11663">
      <c r="A11663" s="215" t="n">
        <v>45848</v>
      </c>
      <c r="B11663" s="216" t="n">
        <v>382.4</v>
      </c>
      <c r="C11663" s="216" t="n">
        <v>272</v>
      </c>
      <c r="D11663" s="216" t="n">
        <v>1.093220949172974</v>
      </c>
      <c r="E11663" s="215" t="n">
        <v>45848</v>
      </c>
      <c r="F11663" s="215" t="n">
        <v>45848</v>
      </c>
    </row>
    <row r="11664">
      <c r="A11664" s="215" t="n">
        <v>45849</v>
      </c>
      <c r="B11664" s="216" t="n">
        <v>377.4</v>
      </c>
      <c r="C11664" s="216" t="n">
        <v>271.5</v>
      </c>
      <c r="D11664" s="216" t="n">
        <v>1.093930959701538</v>
      </c>
      <c r="E11664" s="215" t="n">
        <v>45849</v>
      </c>
      <c r="F11664" s="215" t="n">
        <v>45849</v>
      </c>
    </row>
    <row r="11665">
      <c r="A11665" s="215" t="n">
        <v>45852</v>
      </c>
      <c r="B11665" s="216" t="n">
        <v>374</v>
      </c>
      <c r="C11665" s="216" t="n">
        <v>268.5</v>
      </c>
      <c r="D11665" s="216" t="n">
        <v>1.095023989677429</v>
      </c>
      <c r="E11665" s="215" t="n">
        <v>45852</v>
      </c>
      <c r="F11665" s="215" t="n">
        <v>45852</v>
      </c>
    </row>
    <row r="11666">
      <c r="A11666" s="215" t="n">
        <v>45853</v>
      </c>
      <c r="B11666" s="216" t="n">
        <v>377.2</v>
      </c>
      <c r="C11666" s="216" t="n">
        <v>267.75</v>
      </c>
      <c r="D11666" s="216" t="n">
        <v>1.095172047615051</v>
      </c>
      <c r="E11666" s="215" t="n">
        <v>45853</v>
      </c>
      <c r="F11666" s="215" t="n">
        <v>45853</v>
      </c>
    </row>
    <row r="11667">
      <c r="A11667" s="215" t="n">
        <v>45854</v>
      </c>
      <c r="B11667" s="216" t="n">
        <v>375</v>
      </c>
      <c r="C11667" s="216" t="n">
        <v>264.4</v>
      </c>
      <c r="D11667" s="216" t="n">
        <v>1.094182014465332</v>
      </c>
      <c r="E11667" s="215" t="n">
        <v>45854</v>
      </c>
      <c r="F11667" s="215" t="n">
        <v>45854</v>
      </c>
    </row>
    <row r="11668">
      <c r="A11668" s="215" t="n">
        <v>45855</v>
      </c>
      <c r="B11668" s="216" t="n">
        <v>374</v>
      </c>
      <c r="C11668" s="216" t="n">
        <v>265.5</v>
      </c>
      <c r="D11668" s="216" t="n">
        <v>1.093484044075012</v>
      </c>
      <c r="E11668" s="215" t="n">
        <v>45855</v>
      </c>
      <c r="F11668" s="215" t="n">
        <v>45855</v>
      </c>
    </row>
    <row r="11669">
      <c r="A11669" s="215" t="n">
        <v>45856</v>
      </c>
      <c r="B11669" s="216" t="n">
        <v>395</v>
      </c>
      <c r="C11669" s="216" t="n">
        <v>271.2</v>
      </c>
      <c r="D11669" s="216" t="n">
        <v>1.092442035675049</v>
      </c>
      <c r="E11669" s="215" t="n">
        <v>45856</v>
      </c>
      <c r="F11669" s="215" t="n">
        <v>45856</v>
      </c>
    </row>
    <row r="11670">
      <c r="A11670" s="215" t="n">
        <v>45859</v>
      </c>
      <c r="B11670" s="216" t="n">
        <v>418.2</v>
      </c>
      <c r="C11670" s="216" t="n">
        <v>279.66</v>
      </c>
      <c r="D11670" s="216" t="n">
        <v>1.093299984931946</v>
      </c>
      <c r="E11670" s="215" t="n">
        <v>45859</v>
      </c>
      <c r="F11670" s="215" t="n">
        <v>45859</v>
      </c>
    </row>
    <row r="11671">
      <c r="A11671" s="215" t="n">
        <v>45860</v>
      </c>
      <c r="B11671" s="216" t="n">
        <v>428</v>
      </c>
      <c r="C11671" s="216" t="n">
        <v>286.66</v>
      </c>
      <c r="D11671" s="216" t="n">
        <v>1.093826055526733</v>
      </c>
      <c r="E11671" s="215" t="n">
        <v>45860</v>
      </c>
      <c r="F11671" s="215" t="n">
        <v>45860</v>
      </c>
    </row>
    <row r="11672">
      <c r="A11672" s="215" t="n">
        <v>45861</v>
      </c>
      <c r="B11672" s="216" t="n">
        <v>434</v>
      </c>
      <c r="C11672" s="216" t="n">
        <v>287.02</v>
      </c>
      <c r="D11672" s="216" t="n">
        <v>1.094056010246277</v>
      </c>
      <c r="E11672" s="215" t="n">
        <v>45861</v>
      </c>
      <c r="F11672" s="215" t="n">
        <v>45861</v>
      </c>
    </row>
    <row r="11673">
      <c r="A11673" s="215" t="n">
        <v>45862</v>
      </c>
      <c r="B11673" s="216" t="n">
        <v>428.6</v>
      </c>
      <c r="C11673" s="216" t="n">
        <v>285.2</v>
      </c>
      <c r="D11673" s="216" t="n">
        <v>1.096284031867981</v>
      </c>
      <c r="E11673" s="215" t="n">
        <v>45862</v>
      </c>
      <c r="F11673" s="215" t="n">
        <v>45862</v>
      </c>
    </row>
    <row r="11674">
      <c r="A11674" s="215" t="n">
        <v>45863</v>
      </c>
      <c r="B11674" s="216" t="n">
        <v>423</v>
      </c>
      <c r="C11674" s="216" t="n">
        <v>282.8</v>
      </c>
      <c r="D11674" s="216" t="n">
        <v>1.097048044204712</v>
      </c>
      <c r="E11674" s="215" t="n">
        <v>45863</v>
      </c>
      <c r="F11674" s="215" t="n">
        <v>45863</v>
      </c>
    </row>
    <row r="11675">
      <c r="A11675" s="215" t="n">
        <v>45866</v>
      </c>
      <c r="B11675" s="216" t="n">
        <v>449.4</v>
      </c>
      <c r="C11675" s="216" t="n">
        <v>286.3</v>
      </c>
      <c r="D11675" s="216" t="n">
        <v>1.097200989723206</v>
      </c>
      <c r="E11675" s="215" t="n">
        <v>45866</v>
      </c>
      <c r="F11675" s="215" t="n">
        <v>45866</v>
      </c>
    </row>
    <row r="11676">
      <c r="A11676" s="215" t="n">
        <v>45867</v>
      </c>
      <c r="B11676" s="216" t="n">
        <v>462</v>
      </c>
      <c r="C11676" s="216" t="n">
        <v>291.82</v>
      </c>
      <c r="D11676" s="216" t="n">
        <v>1.093530058860779</v>
      </c>
      <c r="E11676" s="215" t="n">
        <v>45867</v>
      </c>
      <c r="F11676" s="215" t="n">
        <v>45867</v>
      </c>
    </row>
    <row r="11677">
      <c r="A11677" s="215" t="n">
        <v>45868</v>
      </c>
      <c r="B11677" s="216" t="n">
        <v>426.6</v>
      </c>
      <c r="C11677" s="216" t="n">
        <v>277.09</v>
      </c>
      <c r="D11677" s="216" t="n">
        <v>1.093464970588684</v>
      </c>
      <c r="E11677" s="215" t="n">
        <v>45868</v>
      </c>
      <c r="F11677" s="215" t="n">
        <v>45868</v>
      </c>
    </row>
    <row r="11678">
      <c r="A11678" s="215" t="n">
        <v>45869</v>
      </c>
      <c r="B11678" s="216" t="n">
        <v>406.2</v>
      </c>
      <c r="C11678" s="216" t="n">
        <v>264.62</v>
      </c>
      <c r="D11678" s="216" t="n">
        <v>1.093583941459656</v>
      </c>
      <c r="E11678" s="215" t="n">
        <v>45869</v>
      </c>
      <c r="F11678" s="215" t="n">
        <v>45869</v>
      </c>
    </row>
    <row r="11679">
      <c r="A11679" s="215" t="n">
        <v>45870</v>
      </c>
      <c r="B11679" s="216" t="n">
        <v>403</v>
      </c>
      <c r="C11679" s="216" t="n">
        <v>263.07</v>
      </c>
      <c r="D11679" s="216" t="n">
        <v>1.090090990066528</v>
      </c>
      <c r="E11679" s="215" t="n">
        <v>45870</v>
      </c>
      <c r="F11679" s="215" t="n">
        <v>45870</v>
      </c>
    </row>
    <row r="11680">
      <c r="A11680" s="215" t="n">
        <v>45873</v>
      </c>
      <c r="B11680" s="216" t="n">
        <v>417.4</v>
      </c>
      <c r="C11680" s="216" t="n">
        <v>266.48</v>
      </c>
      <c r="D11680" s="216" t="n">
        <v>1.088384985923767</v>
      </c>
      <c r="E11680" s="215" t="n">
        <v>45873</v>
      </c>
      <c r="F11680" s="215" t="n">
        <v>45873</v>
      </c>
    </row>
    <row r="11681">
      <c r="A11681" s="215" t="n">
        <v>45874</v>
      </c>
      <c r="B11681" s="216" t="n">
        <v>412</v>
      </c>
      <c r="C11681" s="216" t="n">
        <v>265.7</v>
      </c>
      <c r="D11681" s="216" t="n">
        <v>1.093202948570251</v>
      </c>
      <c r="E11681" s="215" t="n">
        <v>45874</v>
      </c>
      <c r="F11681" s="215" t="n">
        <v>45874</v>
      </c>
    </row>
    <row r="11682">
      <c r="A11682" s="215" t="n">
        <v>45875</v>
      </c>
      <c r="B11682" s="216" t="n">
        <v>412.2</v>
      </c>
      <c r="C11682" s="216" t="n">
        <v>265</v>
      </c>
      <c r="D11682" s="216" t="n">
        <v>1.092388987541199</v>
      </c>
      <c r="E11682" s="215" t="n">
        <v>45875</v>
      </c>
      <c r="F11682" s="215" t="n">
        <v>45875</v>
      </c>
    </row>
    <row r="11683">
      <c r="A11683" s="215" t="n">
        <v>45876</v>
      </c>
      <c r="B11683" s="216" t="n">
        <v>402</v>
      </c>
      <c r="C11683" s="216" t="n">
        <v>263.05</v>
      </c>
      <c r="D11683" s="216" t="n">
        <v>1.092599034309387</v>
      </c>
      <c r="E11683" s="215" t="n">
        <v>45876</v>
      </c>
      <c r="F11683" s="215" t="n">
        <v>45876</v>
      </c>
    </row>
    <row r="11684">
      <c r="A11684" s="215" t="n">
        <v>45877</v>
      </c>
      <c r="B11684" s="216" t="n">
        <v>407</v>
      </c>
      <c r="C11684" s="216" t="n">
        <v>263.48</v>
      </c>
      <c r="D11684" s="216" t="n">
        <v>1.092857956886292</v>
      </c>
      <c r="E11684" s="215" t="n">
        <v>45877</v>
      </c>
      <c r="F11684" s="215" t="n">
        <v>45877</v>
      </c>
    </row>
    <row r="11685">
      <c r="A11685" s="215" t="n">
        <v>45880</v>
      </c>
      <c r="B11685" s="216" t="n">
        <v>416.4</v>
      </c>
      <c r="C11685" s="216" t="n">
        <v>263.66</v>
      </c>
      <c r="D11685" s="216" t="n">
        <v>1.093001961708069</v>
      </c>
      <c r="E11685" s="215" t="n">
        <v>45880</v>
      </c>
      <c r="F11685" s="215" t="n">
        <v>45880</v>
      </c>
    </row>
    <row r="11686">
      <c r="A11686" s="215" t="n">
        <v>45881</v>
      </c>
      <c r="B11686" s="216" t="n">
        <v>415.8</v>
      </c>
      <c r="C11686" s="216" t="n">
        <v>263.25</v>
      </c>
      <c r="D11686" s="216" t="n">
        <v>1.091938018798828</v>
      </c>
      <c r="E11686" s="215" t="n">
        <v>45881</v>
      </c>
      <c r="F11686" s="215" t="n">
        <v>45881</v>
      </c>
    </row>
    <row r="11687">
      <c r="A11687" s="215" t="n">
        <v>45882</v>
      </c>
      <c r="B11687" s="216" t="n">
        <v>422.6</v>
      </c>
      <c r="C11687" s="216" t="n">
        <v>273.6</v>
      </c>
      <c r="D11687" s="216" t="n">
        <v>1.093171000480652</v>
      </c>
      <c r="E11687" s="215" t="n">
        <v>45882</v>
      </c>
      <c r="F11687" s="215" t="n">
        <v>45882</v>
      </c>
    </row>
    <row r="11688">
      <c r="A11688" s="215" t="n">
        <v>45883</v>
      </c>
      <c r="B11688" s="216" t="n">
        <v>419.8</v>
      </c>
      <c r="C11688" s="216" t="n">
        <v>279.89</v>
      </c>
      <c r="D11688" s="216" t="n">
        <v>1.093981027603149</v>
      </c>
      <c r="E11688" s="215" t="n">
        <v>45883</v>
      </c>
      <c r="F11688" s="215" t="n">
        <v>45883</v>
      </c>
    </row>
    <row r="11689">
      <c r="A11689" s="215" t="n">
        <v>45884</v>
      </c>
      <c r="B11689" s="216" t="n">
        <v>415.8</v>
      </c>
      <c r="C11689" s="216" t="n">
        <v>280.67</v>
      </c>
      <c r="D11689" s="216" t="n">
        <v>1.091035962104797</v>
      </c>
      <c r="E11689" s="215" t="n">
        <v>45884</v>
      </c>
      <c r="F11689" s="215" t="n">
        <v>45884</v>
      </c>
    </row>
    <row r="11690">
      <c r="A11690" s="215" t="n">
        <v>45887</v>
      </c>
      <c r="B11690" s="216" t="n">
        <v>414</v>
      </c>
      <c r="C11690" s="216" t="n">
        <v>283</v>
      </c>
      <c r="D11690" s="216" t="n">
        <v>1.089409947395325</v>
      </c>
      <c r="E11690" s="215" t="n">
        <v>45887</v>
      </c>
      <c r="F11690" s="215" t="n">
        <v>45887</v>
      </c>
    </row>
    <row r="11691">
      <c r="A11691" s="215" t="n">
        <v>45888</v>
      </c>
      <c r="B11691" s="216" t="n">
        <v>404.8</v>
      </c>
      <c r="C11691" s="216" t="n">
        <v>277.8</v>
      </c>
      <c r="D11691" s="216" t="n">
        <v>1.088366031646729</v>
      </c>
      <c r="E11691" s="215" t="n">
        <v>45888</v>
      </c>
      <c r="F11691" s="215" t="n">
        <v>45888</v>
      </c>
    </row>
    <row r="11692">
      <c r="A11692" s="215" t="n">
        <v>45889</v>
      </c>
      <c r="B11692" s="216" t="n">
        <v>406.8</v>
      </c>
      <c r="C11692" s="216" t="n">
        <v>279.2</v>
      </c>
      <c r="D11692" s="216" t="n">
        <v>1.085826992988586</v>
      </c>
      <c r="E11692" s="215" t="n">
        <v>45889</v>
      </c>
      <c r="F11692" s="215" t="n">
        <v>45889</v>
      </c>
    </row>
    <row r="11693">
      <c r="A11693" s="215" t="n">
        <v>45890</v>
      </c>
      <c r="B11693" s="216" t="n">
        <v>406</v>
      </c>
      <c r="C11693" s="216" t="n">
        <v>279</v>
      </c>
      <c r="D11693" s="216" t="n">
        <v>1.088521003723145</v>
      </c>
      <c r="E11693" s="215" t="n">
        <v>45890</v>
      </c>
      <c r="F11693" s="215" t="n">
        <v>45890</v>
      </c>
    </row>
    <row r="11694">
      <c r="A11694" s="215" t="n">
        <v>45891</v>
      </c>
      <c r="B11694" s="216" t="n">
        <v>418</v>
      </c>
      <c r="C11694" s="216" t="n">
        <v>287.18</v>
      </c>
      <c r="D11694" s="216" t="n">
        <v>1.08814001083374</v>
      </c>
      <c r="E11694" s="215" t="n">
        <v>45891</v>
      </c>
      <c r="F11694" s="215" t="n">
        <v>45891</v>
      </c>
    </row>
    <row r="11695">
      <c r="A11695" s="215" t="n">
        <v>45894</v>
      </c>
      <c r="B11695" s="216" t="n">
        <v>413</v>
      </c>
      <c r="C11695" s="216" t="n">
        <v>290.28</v>
      </c>
      <c r="D11695" s="216" t="n">
        <v>1.090230941772461</v>
      </c>
      <c r="E11695" s="215" t="n">
        <v>45894</v>
      </c>
      <c r="F11695" s="215" t="n">
        <v>45894</v>
      </c>
    </row>
    <row r="11696">
      <c r="A11696" s="215" t="n">
        <v>45895</v>
      </c>
      <c r="B11696" s="216" t="n">
        <v>414.6</v>
      </c>
      <c r="C11696" s="216" t="n">
        <v>289.5</v>
      </c>
      <c r="D11696" s="216" t="n">
        <v>1.09236204624176</v>
      </c>
      <c r="E11696" s="215" t="n">
        <v>45895</v>
      </c>
      <c r="F11696" s="215" t="n">
        <v>45895</v>
      </c>
    </row>
    <row r="11697">
      <c r="A11697" s="215" t="n">
        <v>45896</v>
      </c>
      <c r="B11697" s="216" t="n">
        <v>410.2</v>
      </c>
      <c r="C11697" s="216" t="n">
        <v>278.3</v>
      </c>
      <c r="D11697" s="216" t="n">
        <v>1.089414000511169</v>
      </c>
      <c r="E11697" s="215" t="n">
        <v>45896</v>
      </c>
      <c r="F11697" s="215" t="n">
        <v>45896</v>
      </c>
    </row>
    <row r="11698">
      <c r="A11698" s="215" t="n">
        <v>45897</v>
      </c>
      <c r="B11698" s="216" t="n">
        <v>407.2</v>
      </c>
      <c r="C11698" s="216" t="n">
        <v>277.41</v>
      </c>
      <c r="D11698" s="216" t="n">
        <v>1.088047027587891</v>
      </c>
      <c r="E11698" s="215" t="n">
        <v>45897</v>
      </c>
      <c r="F11698" s="215" t="n">
        <v>45897</v>
      </c>
    </row>
    <row r="11699">
      <c r="A11699" s="215" t="n">
        <v>45898</v>
      </c>
      <c r="B11699" s="216" t="n">
        <v>424.2</v>
      </c>
      <c r="C11699" s="216" t="n">
        <v>306.18</v>
      </c>
      <c r="D11699" s="216" t="n">
        <v>1.089478969573975</v>
      </c>
      <c r="E11699" s="215" t="n">
        <v>45898</v>
      </c>
      <c r="F11699" s="215" t="n">
        <v>45898</v>
      </c>
    </row>
    <row r="11700">
      <c r="A11700" s="215" t="n">
        <v>45901</v>
      </c>
      <c r="B11700" s="216" t="n">
        <v>421</v>
      </c>
      <c r="C11700" s="216" t="n">
        <v>304</v>
      </c>
      <c r="D11700" s="216" t="n">
        <v>1.09319794178009</v>
      </c>
      <c r="E11700" s="215" t="n">
        <v>45901</v>
      </c>
      <c r="F11700" s="215" t="n">
        <v>45901</v>
      </c>
    </row>
    <row r="11701">
      <c r="A11701" s="215" t="n">
        <v>45902</v>
      </c>
      <c r="B11701" s="216" t="n">
        <v>417.6</v>
      </c>
      <c r="C11701" s="216" t="n">
        <v>302.87</v>
      </c>
      <c r="D11701" s="216" t="n">
        <v>1.093255043029785</v>
      </c>
      <c r="E11701" s="215" t="n">
        <v>45902</v>
      </c>
      <c r="F11701" s="215" t="n">
        <v>45902</v>
      </c>
    </row>
    <row r="11702">
      <c r="A11702" s="215" t="n">
        <v>45903</v>
      </c>
      <c r="B11702" s="216" t="n">
        <v>422</v>
      </c>
      <c r="C11702" s="216" t="n">
        <v>309</v>
      </c>
      <c r="D11702" s="216" t="n">
        <v>1.09343695640564</v>
      </c>
      <c r="E11702" s="215" t="n">
        <v>45903</v>
      </c>
      <c r="F11702" s="215" t="n">
        <v>45903</v>
      </c>
    </row>
    <row r="11703">
      <c r="A11703" s="215" t="n">
        <v>45904</v>
      </c>
      <c r="B11703" s="216" t="n">
        <v>420</v>
      </c>
      <c r="C11703" s="216" t="n">
        <v>304.03</v>
      </c>
      <c r="D11703" s="216" t="n">
        <v>1.092192053794861</v>
      </c>
      <c r="E11703" s="215" t="n">
        <v>45904</v>
      </c>
      <c r="F11703" s="215" t="n">
        <v>45904</v>
      </c>
    </row>
    <row r="11704">
      <c r="A11704" s="215" t="n">
        <v>45905</v>
      </c>
      <c r="B11704" s="216" t="n">
        <v>432.2</v>
      </c>
      <c r="C11704" s="216" t="n">
        <v>325.11</v>
      </c>
      <c r="D11704" s="216" t="n">
        <v>1.092169046401978</v>
      </c>
      <c r="E11704" s="215" t="n">
        <v>45905</v>
      </c>
      <c r="F11704" s="215" t="n">
        <v>45905</v>
      </c>
    </row>
    <row r="11705">
      <c r="A11705" s="215" t="n">
        <v>45908</v>
      </c>
      <c r="B11705" s="216" t="n">
        <v>430.4</v>
      </c>
      <c r="C11705" s="216" t="n">
        <v>325.37</v>
      </c>
      <c r="D11705" s="216" t="n">
        <v>1.093217015266418</v>
      </c>
      <c r="E11705" s="215" t="n">
        <v>45908</v>
      </c>
      <c r="F11705" s="215" t="n">
        <v>45908</v>
      </c>
    </row>
    <row r="11706">
      <c r="A11706" s="215" t="n">
        <v>45909</v>
      </c>
      <c r="B11706" s="216" t="n">
        <v>431</v>
      </c>
      <c r="C11706" s="216" t="n">
        <v>320</v>
      </c>
      <c r="D11706" s="216" t="n">
        <v>1.092916965484619</v>
      </c>
      <c r="E11706" s="215" t="n">
        <v>45909</v>
      </c>
      <c r="F11706" s="215" t="n">
        <v>45909</v>
      </c>
    </row>
    <row r="11707">
      <c r="A11707" s="215" t="n">
        <v>45910</v>
      </c>
      <c r="B11707" s="216" t="n">
        <v>426</v>
      </c>
      <c r="C11707" s="216" t="n">
        <v>316.04</v>
      </c>
      <c r="D11707" s="216" t="n">
        <v>1.093482971191406</v>
      </c>
      <c r="E11707" s="215" t="n">
        <v>45910</v>
      </c>
      <c r="F11707" s="215" t="n">
        <v>45910</v>
      </c>
    </row>
    <row r="11708">
      <c r="A11708" s="215" t="n">
        <v>45911</v>
      </c>
      <c r="B11708" s="216" t="n">
        <v>428.8</v>
      </c>
      <c r="C11708" s="216" t="n">
        <v>322.55</v>
      </c>
      <c r="D11708" s="216" t="n">
        <v>1.093762993812561</v>
      </c>
      <c r="E11708" s="215" t="n">
        <v>45911</v>
      </c>
      <c r="F11708" s="215" t="n">
        <v>45911</v>
      </c>
    </row>
    <row r="11709">
      <c r="A11709" s="215" t="n">
        <v>45912</v>
      </c>
      <c r="B11709" s="216" t="n">
        <v>432.8</v>
      </c>
      <c r="C11709" s="216" t="n">
        <v>325</v>
      </c>
      <c r="D11709" s="216" t="n">
        <v>1.094014048576355</v>
      </c>
      <c r="E11709" s="215" t="n">
        <v>45912</v>
      </c>
      <c r="F11709" s="215" t="n">
        <v>45912</v>
      </c>
    </row>
    <row r="11710">
      <c r="A11710" s="215" t="n">
        <v>45915</v>
      </c>
      <c r="B11710" s="216" t="n">
        <v>465</v>
      </c>
      <c r="C11710" s="216" t="n">
        <v>354.7</v>
      </c>
      <c r="D11710" s="216" t="n">
        <v>1.091848969459534</v>
      </c>
      <c r="E11710" s="215" t="n">
        <v>45915</v>
      </c>
      <c r="F11710" s="215" t="n">
        <v>45915</v>
      </c>
    </row>
    <row r="11711">
      <c r="A11711" s="215" t="n">
        <v>45916</v>
      </c>
      <c r="B11711" s="216" t="n">
        <v>477</v>
      </c>
      <c r="C11711" s="216" t="n">
        <v>353.42</v>
      </c>
      <c r="D11711" s="216" t="n">
        <v>1.092795968055725</v>
      </c>
      <c r="E11711" s="215" t="n">
        <v>45916</v>
      </c>
      <c r="F11711" s="215" t="n">
        <v>45916</v>
      </c>
    </row>
    <row r="11712">
      <c r="A11712" s="215" t="n">
        <v>45917</v>
      </c>
      <c r="B11712" s="216" t="n">
        <v>502.5</v>
      </c>
      <c r="C11712" s="216" t="n">
        <v>377.1</v>
      </c>
      <c r="D11712" s="216" t="n">
        <v>1.093690991401672</v>
      </c>
      <c r="E11712" s="215" t="n">
        <v>45917</v>
      </c>
      <c r="F11712" s="215" t="n">
        <v>45917</v>
      </c>
    </row>
    <row r="11713">
      <c r="A11713" s="215" t="n">
        <v>45918</v>
      </c>
      <c r="B11713" s="216" t="n">
        <v>505</v>
      </c>
      <c r="C11713" s="216" t="n">
        <v>366.89</v>
      </c>
      <c r="D11713" s="216" t="n">
        <v>1.094727993011475</v>
      </c>
      <c r="E11713" s="215" t="n">
        <v>45918</v>
      </c>
      <c r="F11713" s="215" t="n">
        <v>45918</v>
      </c>
    </row>
    <row r="11714">
      <c r="A11714" s="215" t="n">
        <v>45919</v>
      </c>
      <c r="B11714" s="216" t="n">
        <v>515.5</v>
      </c>
      <c r="C11714" s="216" t="n">
        <v>368.49</v>
      </c>
      <c r="D11714" s="216" t="n">
        <v>1.093201994895935</v>
      </c>
      <c r="E11714" s="215" t="n">
        <v>45919</v>
      </c>
      <c r="F11714" s="215" t="n">
        <v>45919</v>
      </c>
    </row>
    <row r="11715">
      <c r="A11715" s="215" t="n">
        <v>45922</v>
      </c>
      <c r="B11715" s="216" t="n">
        <v>511</v>
      </c>
      <c r="C11715" s="216" t="n">
        <v>370.05</v>
      </c>
      <c r="D11715" s="216" t="n">
        <v>1.092589020729065</v>
      </c>
      <c r="E11715" s="215" t="n">
        <v>45922</v>
      </c>
      <c r="F11715" s="215" t="n">
        <v>45922</v>
      </c>
    </row>
    <row r="11716">
      <c r="A11716" s="215" t="n">
        <v>45923</v>
      </c>
      <c r="B11716" s="216" t="n">
        <v>501.5</v>
      </c>
      <c r="C11716" s="216" t="n">
        <v>368.15</v>
      </c>
      <c r="D11716" s="216" t="n">
        <v>1.0920250415802</v>
      </c>
      <c r="E11716" s="215" t="n">
        <v>45923</v>
      </c>
      <c r="F11716" s="215" t="n">
        <v>45923</v>
      </c>
    </row>
    <row r="11717">
      <c r="A11717" s="215" t="n">
        <v>45924</v>
      </c>
      <c r="B11717" s="216" t="n">
        <v>506</v>
      </c>
      <c r="C11717" s="216" t="n">
        <v>379.93</v>
      </c>
      <c r="D11717" s="216" t="n">
        <v>1.093196988105774</v>
      </c>
      <c r="E11717" s="215" t="n">
        <v>45924</v>
      </c>
      <c r="F11717" s="215" t="n">
        <v>45924</v>
      </c>
    </row>
    <row r="11718">
      <c r="A11718" s="215" t="n">
        <v>45925</v>
      </c>
      <c r="B11718" s="216" t="n">
        <v>532</v>
      </c>
      <c r="C11718" s="216" t="n">
        <v>392.85</v>
      </c>
      <c r="D11718" s="216" t="n">
        <v>1.090371012687683</v>
      </c>
      <c r="E11718" s="215" t="n">
        <v>45925</v>
      </c>
      <c r="F11718" s="215" t="n">
        <v>45925</v>
      </c>
    </row>
    <row r="11719">
      <c r="A11719" s="215" t="n">
        <v>45926</v>
      </c>
      <c r="B11719" s="216" t="n">
        <v>530.5</v>
      </c>
      <c r="C11719" s="216" t="n">
        <v>380.4</v>
      </c>
      <c r="D11719" s="216" t="n">
        <v>1.090574979782104</v>
      </c>
      <c r="E11719" s="215" t="n">
        <v>45926</v>
      </c>
      <c r="F11719" s="215" t="n">
        <v>45926</v>
      </c>
    </row>
    <row r="11720">
      <c r="A11720" s="215" t="n">
        <v>45929</v>
      </c>
      <c r="B11720" s="216" t="n">
        <v>547</v>
      </c>
      <c r="C11720" s="216" t="n">
        <v>397.37</v>
      </c>
      <c r="D11720" s="216" t="n">
        <v>1.090520024299622</v>
      </c>
      <c r="E11720" s="215" t="n">
        <v>45929</v>
      </c>
      <c r="F11720" s="215" t="n">
        <v>45929</v>
      </c>
    </row>
    <row r="11721">
      <c r="A11721" s="215" t="n">
        <v>45930</v>
      </c>
      <c r="B11721" s="216" t="n">
        <v>571.5</v>
      </c>
      <c r="C11721" s="216" t="n">
        <v>402</v>
      </c>
      <c r="D11721" s="216" t="n">
        <v>1.093106031417847</v>
      </c>
      <c r="E11721" s="215" t="n">
        <v>45930</v>
      </c>
      <c r="F11721" s="215" t="n">
        <v>45930</v>
      </c>
    </row>
    <row r="11722">
      <c r="A11722" s="215" t="n">
        <v>45932</v>
      </c>
      <c r="B11722" s="216" t="n">
        <v>605.5</v>
      </c>
      <c r="C11722" s="216" t="n">
        <v>402</v>
      </c>
      <c r="D11722" s="216" t="n">
        <v>1.092823028564453</v>
      </c>
      <c r="E11722" s="215" t="n">
        <v>45930</v>
      </c>
      <c r="F11722" s="215" t="n">
        <v>45932</v>
      </c>
    </row>
    <row r="11723">
      <c r="A11723" s="215" t="n">
        <v>45933</v>
      </c>
      <c r="B11723" s="216" t="n">
        <v>610.5</v>
      </c>
      <c r="C11723" s="216" t="n">
        <v>402</v>
      </c>
      <c r="D11723" s="216" t="n">
        <v>1.09303605556488</v>
      </c>
      <c r="E11723" s="215" t="n">
        <v>45930</v>
      </c>
      <c r="F11723" s="215" t="n">
        <v>45933</v>
      </c>
    </row>
    <row r="11724">
      <c r="A11724" s="215" t="n">
        <v>45936</v>
      </c>
      <c r="B11724" s="216" t="n">
        <v>596.5</v>
      </c>
      <c r="C11724" s="216" t="n">
        <v>402</v>
      </c>
      <c r="D11724" s="216" t="n">
        <v>1.092857956886292</v>
      </c>
      <c r="E11724" s="215" t="n">
        <v>45930</v>
      </c>
      <c r="F11724" s="215" t="n">
        <v>45936</v>
      </c>
    </row>
    <row r="11725">
      <c r="A11725" s="215" t="n">
        <v>45938</v>
      </c>
      <c r="B11725" s="216" t="n">
        <v>581</v>
      </c>
      <c r="C11725" s="216" t="n">
        <v>402</v>
      </c>
      <c r="D11725" s="216" t="n">
        <v>1.093148946762085</v>
      </c>
      <c r="E11725" s="215" t="n">
        <v>45930</v>
      </c>
      <c r="F11725" s="215" t="n">
        <v>45938</v>
      </c>
    </row>
    <row r="11726">
      <c r="A11726" s="215" t="n">
        <v>45939</v>
      </c>
      <c r="B11726" s="216" t="n">
        <v>585</v>
      </c>
      <c r="C11726" s="216" t="n">
        <v>409.89</v>
      </c>
      <c r="D11726" s="216" t="n">
        <v>1.092933058738708</v>
      </c>
      <c r="E11726" s="215" t="n">
        <v>45939</v>
      </c>
      <c r="F11726" s="215" t="n">
        <v>45939</v>
      </c>
    </row>
    <row r="11727">
      <c r="A11727" s="215" t="n">
        <v>45940</v>
      </c>
      <c r="B11727" s="216" t="n">
        <v>543</v>
      </c>
      <c r="C11727" s="216" t="n">
        <v>381.95</v>
      </c>
      <c r="D11727" s="216" t="n">
        <v>1.091662049293518</v>
      </c>
      <c r="E11727" s="215" t="n">
        <v>45940</v>
      </c>
      <c r="F11727" s="215" t="n">
        <v>45940</v>
      </c>
    </row>
    <row r="11728">
      <c r="A11728" s="215" t="n">
        <v>45943</v>
      </c>
      <c r="B11728" s="216" t="n">
        <v>547.5</v>
      </c>
      <c r="C11728" s="216" t="n">
        <v>374.5</v>
      </c>
      <c r="D11728" s="216" t="n">
        <v>1.093768000602722</v>
      </c>
      <c r="E11728" s="215" t="n">
        <v>45943</v>
      </c>
      <c r="F11728" s="215" t="n">
        <v>45943</v>
      </c>
    </row>
    <row r="11729">
      <c r="A11729" s="215" t="n">
        <v>45944</v>
      </c>
      <c r="B11729" s="216" t="n">
        <v>532.5</v>
      </c>
      <c r="C11729" s="216" t="n">
        <v>358</v>
      </c>
      <c r="D11729" s="216" t="n">
        <v>1.093292951583862</v>
      </c>
      <c r="E11729" s="215" t="n">
        <v>45944</v>
      </c>
      <c r="F11729" s="215" t="n">
        <v>45944</v>
      </c>
    </row>
    <row r="11730">
      <c r="A11730" s="215" t="n">
        <v>45945</v>
      </c>
      <c r="B11730" s="216" t="n">
        <v>542</v>
      </c>
      <c r="C11730" s="216" t="n">
        <v>369.3</v>
      </c>
      <c r="D11730" s="216" t="n">
        <v>1.088750958442688</v>
      </c>
      <c r="E11730" s="215" t="n">
        <v>45945</v>
      </c>
      <c r="F11730" s="215" t="n">
        <v>45945</v>
      </c>
    </row>
    <row r="11731">
      <c r="A11731" s="215" t="n">
        <v>45946</v>
      </c>
      <c r="B11731" s="216" t="n">
        <v>535.5</v>
      </c>
      <c r="C11731" s="216" t="n">
        <v>368.5</v>
      </c>
      <c r="D11731" s="216" t="n">
        <v>1.090903043746948</v>
      </c>
      <c r="E11731" s="215" t="n">
        <v>45946</v>
      </c>
      <c r="F11731" s="215" t="n">
        <v>45946</v>
      </c>
    </row>
    <row r="11732">
      <c r="A11732" s="215" t="n">
        <v>45947</v>
      </c>
      <c r="B11732" s="216" t="n">
        <v>521.5</v>
      </c>
      <c r="C11732" s="216" t="n">
        <v>358.14</v>
      </c>
      <c r="D11732" s="216" t="n">
        <v>1.09073805809021</v>
      </c>
      <c r="E11732" s="215" t="n">
        <v>45947</v>
      </c>
      <c r="F11732" s="215" t="n">
        <v>45947</v>
      </c>
    </row>
    <row r="11733">
      <c r="A11733" s="215" t="n">
        <v>45950</v>
      </c>
      <c r="B11733" s="216" t="n">
        <v>528</v>
      </c>
      <c r="C11733" s="216" t="n">
        <v>366.5</v>
      </c>
      <c r="D11733" s="216" t="n">
        <v>1.089843988418579</v>
      </c>
      <c r="E11733" s="215" t="n">
        <v>45950</v>
      </c>
      <c r="F11733" s="215" t="n">
        <v>45950</v>
      </c>
    </row>
    <row r="11734">
      <c r="A11734" s="215" t="n">
        <v>45951</v>
      </c>
      <c r="B11734" s="216" t="n">
        <v>544</v>
      </c>
      <c r="C11734" s="216" t="n">
        <v>375.9</v>
      </c>
      <c r="D11734" s="216" t="n">
        <v>1.091038942337036</v>
      </c>
      <c r="E11734" s="215" t="n">
        <v>45951</v>
      </c>
      <c r="F11734" s="215" t="n">
        <v>45951</v>
      </c>
    </row>
    <row r="11735">
      <c r="A11735" s="215" t="n">
        <v>45952</v>
      </c>
      <c r="B11735" s="216" t="n">
        <v>546</v>
      </c>
      <c r="C11735" s="216" t="n">
        <v>372.86</v>
      </c>
      <c r="D11735" s="216" t="n">
        <v>1.091071009635925</v>
      </c>
      <c r="E11735" s="215" t="n">
        <v>45952</v>
      </c>
      <c r="F11735" s="215" t="n">
        <v>45952</v>
      </c>
    </row>
    <row r="11736">
      <c r="A11736" s="215" t="n">
        <v>45953</v>
      </c>
      <c r="B11736" s="216" t="n">
        <v>535</v>
      </c>
      <c r="C11736" s="216" t="n">
        <v>376.45</v>
      </c>
      <c r="D11736" s="216" t="n">
        <v>1.090343952178955</v>
      </c>
      <c r="E11736" s="215" t="n">
        <v>45953</v>
      </c>
      <c r="F11736" s="215" t="n">
        <v>45953</v>
      </c>
    </row>
    <row r="11737">
      <c r="A11737" s="215" t="n">
        <v>45954</v>
      </c>
      <c r="B11737" s="216" t="n">
        <v>553.5</v>
      </c>
      <c r="C11737" s="216" t="n">
        <v>385.77</v>
      </c>
      <c r="D11737" s="216" t="n">
        <v>1.090456962585449</v>
      </c>
      <c r="E11737" s="215" t="n">
        <v>45954</v>
      </c>
      <c r="F11737" s="215" t="n">
        <v>45954</v>
      </c>
    </row>
    <row r="11738">
      <c r="A11738" s="215" t="n">
        <v>45957</v>
      </c>
      <c r="B11738" s="216" t="n">
        <v>561.5</v>
      </c>
      <c r="C11738" s="216" t="n">
        <v>386.18</v>
      </c>
      <c r="D11738" s="216" t="n">
        <v>1.090957045555115</v>
      </c>
      <c r="E11738" s="215" t="n">
        <v>45957</v>
      </c>
      <c r="F11738" s="215" t="n">
        <v>45957</v>
      </c>
    </row>
    <row r="11739">
      <c r="A11739" s="215" t="n">
        <v>45958</v>
      </c>
      <c r="B11739" s="216" t="n">
        <v>560.5</v>
      </c>
      <c r="C11739" s="216" t="n">
        <v>386.48</v>
      </c>
      <c r="D11739" s="216" t="n">
        <v>1.092440009117126</v>
      </c>
      <c r="E11739" s="215" t="n">
        <v>45958</v>
      </c>
      <c r="F11739" s="215" t="n">
        <v>45958</v>
      </c>
    </row>
    <row r="11740">
      <c r="A11740" s="215" t="n">
        <v>45960</v>
      </c>
      <c r="B11740" s="216" t="n">
        <v>574.5</v>
      </c>
      <c r="C11740" s="216" t="n">
        <v>398.29</v>
      </c>
      <c r="D11740" s="216" t="n">
        <v>1.09463894367218</v>
      </c>
      <c r="E11740" s="215" t="n">
        <v>45960</v>
      </c>
      <c r="F11740" s="215" t="n">
        <v>45960</v>
      </c>
    </row>
    <row r="11741">
      <c r="A11741" s="215" t="n">
        <v>45961</v>
      </c>
      <c r="B11741" s="216" t="n">
        <v>558.5</v>
      </c>
      <c r="C11741" s="216" t="n">
        <v>388.77</v>
      </c>
      <c r="D11741" s="216" t="n">
        <v>1.092543959617615</v>
      </c>
      <c r="E11741" s="215" t="n">
        <v>45961</v>
      </c>
      <c r="F11741" s="215" t="n">
        <v>45961</v>
      </c>
    </row>
    <row r="11742">
      <c r="A11742" s="215" t="n">
        <v>45964</v>
      </c>
      <c r="B11742" s="216" t="n">
        <v>555</v>
      </c>
      <c r="C11742" s="216" t="n">
        <v>386.86</v>
      </c>
      <c r="D11742" s="216" t="n">
        <v>1.091722965240479</v>
      </c>
      <c r="E11742" s="215" t="n">
        <v>45964</v>
      </c>
      <c r="F11742" s="215" t="n">
        <v>45964</v>
      </c>
    </row>
    <row r="11743">
      <c r="A11743" s="215" t="n">
        <v>45965</v>
      </c>
      <c r="B11743" s="216" t="n">
        <v>548</v>
      </c>
      <c r="C11743" s="216" t="n">
        <v>378.95</v>
      </c>
      <c r="D11743" s="216" t="n">
        <v>1.083533048629761</v>
      </c>
      <c r="E11743" s="215" t="n">
        <v>45965</v>
      </c>
      <c r="F11743" s="215" t="n">
        <v>45965</v>
      </c>
    </row>
    <row r="11744">
      <c r="A11744" s="215" t="n">
        <v>45966</v>
      </c>
      <c r="B11744" s="216" t="n">
        <v>547.5</v>
      </c>
      <c r="C11744" s="216" t="n">
        <v>388.7</v>
      </c>
      <c r="D11744" s="216" t="n">
        <v>1.090273976325989</v>
      </c>
      <c r="E11744" s="215" t="n">
        <v>45966</v>
      </c>
      <c r="F11744" s="215" t="n">
        <v>45966</v>
      </c>
    </row>
    <row r="11745">
      <c r="A11745" s="215" t="n">
        <v>45967</v>
      </c>
      <c r="B11745" s="216" t="n">
        <v>554.5</v>
      </c>
      <c r="C11745" s="216" t="n">
        <v>394.68</v>
      </c>
      <c r="D11745" s="216" t="n">
        <v>1.090808033943176</v>
      </c>
      <c r="E11745" s="215" t="n">
        <v>45967</v>
      </c>
      <c r="F11745" s="215" t="n">
        <v>45967</v>
      </c>
    </row>
    <row r="11746">
      <c r="A11746" s="215" t="n">
        <v>45968</v>
      </c>
      <c r="B11746" s="216" t="n">
        <v>558.5</v>
      </c>
      <c r="C11746" s="216" t="n">
        <v>395.37</v>
      </c>
      <c r="D11746" s="216" t="n">
        <v>1.092054009437561</v>
      </c>
      <c r="E11746" s="215" t="n">
        <v>45968</v>
      </c>
      <c r="F11746" s="215" t="n">
        <v>45968</v>
      </c>
    </row>
    <row r="11747">
      <c r="A11747" s="215" t="n">
        <v>45971</v>
      </c>
      <c r="B11747" s="216" t="n">
        <v>548</v>
      </c>
      <c r="C11747" s="216" t="n">
        <v>384.51</v>
      </c>
      <c r="D11747" s="216" t="n">
        <v>1.092267036437988</v>
      </c>
      <c r="E11747" s="215" t="n">
        <v>45971</v>
      </c>
      <c r="F11747" s="215" t="n">
        <v>45971</v>
      </c>
    </row>
    <row r="11748">
      <c r="A11748" s="215" t="n">
        <v>45972</v>
      </c>
      <c r="B11748" s="216" t="n">
        <v>542.5</v>
      </c>
      <c r="C11748" s="216" t="n">
        <v>385.6</v>
      </c>
      <c r="D11748" s="216" t="n">
        <v>1.091644048690796</v>
      </c>
      <c r="E11748" s="215" t="n">
        <v>45972</v>
      </c>
      <c r="F11748" s="215" t="n">
        <v>45972</v>
      </c>
    </row>
    <row r="11749">
      <c r="A11749" s="215" t="n">
        <v>45973</v>
      </c>
      <c r="B11749" s="216" t="n">
        <v>550</v>
      </c>
      <c r="C11749" s="216" t="n">
        <v>386.38</v>
      </c>
      <c r="D11749" s="216" t="n">
        <v>1.091495990753174</v>
      </c>
      <c r="E11749" s="215" t="n">
        <v>45973</v>
      </c>
      <c r="F11749" s="215" t="n">
        <v>45973</v>
      </c>
    </row>
    <row r="11750">
      <c r="A11750" s="215" t="n">
        <v>45974</v>
      </c>
      <c r="B11750" s="216" t="n">
        <v>567.5</v>
      </c>
      <c r="C11750" s="216" t="n">
        <v>415.6</v>
      </c>
      <c r="D11750" s="216" t="n">
        <v>1.092489004135132</v>
      </c>
      <c r="E11750" s="215" t="n">
        <v>45974</v>
      </c>
      <c r="F11750" s="215" t="n">
        <v>45974</v>
      </c>
    </row>
    <row r="11751">
      <c r="A11751" s="215" t="n">
        <v>45975</v>
      </c>
      <c r="B11751" s="216" t="n">
        <v>542</v>
      </c>
      <c r="C11751" s="216" t="n">
        <v>404.12</v>
      </c>
      <c r="D11751" s="216" t="n">
        <v>1.092411994934082</v>
      </c>
      <c r="E11751" s="215" t="n">
        <v>45975</v>
      </c>
      <c r="F11751" s="215" t="n">
        <v>45975</v>
      </c>
    </row>
    <row r="11752">
      <c r="A11752" s="215" t="n">
        <v>45978</v>
      </c>
      <c r="B11752" s="216" t="n">
        <v>526</v>
      </c>
      <c r="C11752" s="216" t="n">
        <v>390.78</v>
      </c>
      <c r="D11752" s="216" t="n">
        <v>1.094588041305542</v>
      </c>
      <c r="E11752" s="215" t="n">
        <v>45978</v>
      </c>
      <c r="F11752" s="215" t="n">
        <v>45978</v>
      </c>
    </row>
    <row r="11753">
      <c r="A11753" s="215" t="n">
        <v>45979</v>
      </c>
      <c r="B11753" s="216" t="n">
        <v>504</v>
      </c>
      <c r="C11753" s="216" t="n">
        <v>385</v>
      </c>
      <c r="D11753" s="216" t="n">
        <v>1.093616008758545</v>
      </c>
      <c r="E11753" s="215" t="n">
        <v>45979</v>
      </c>
      <c r="F11753" s="215" t="n">
        <v>45979</v>
      </c>
    </row>
    <row r="11754">
      <c r="A11754" s="215" t="n">
        <v>45980</v>
      </c>
      <c r="B11754" s="216" t="n">
        <v>512</v>
      </c>
      <c r="C11754" s="216" t="n">
        <v>391.1</v>
      </c>
      <c r="D11754" s="216" t="n">
        <v>1.095010995864868</v>
      </c>
      <c r="E11754" s="215" t="n">
        <v>45980</v>
      </c>
      <c r="F11754" s="215" t="n">
        <v>45980</v>
      </c>
    </row>
    <row r="11755">
      <c r="A11755" s="215" t="n">
        <v>45981</v>
      </c>
      <c r="B11755" s="216" t="n">
        <v>483</v>
      </c>
      <c r="C11755" s="216" t="n">
        <v>379.39</v>
      </c>
      <c r="D11755" s="216" t="n">
        <v>1.095402002334595</v>
      </c>
      <c r="E11755" s="215" t="n">
        <v>45981</v>
      </c>
      <c r="F11755" s="215" t="n">
        <v>45981</v>
      </c>
    </row>
    <row r="11756">
      <c r="A11756" s="215" t="n">
        <v>45982</v>
      </c>
      <c r="B11756" s="216" t="n">
        <v>465</v>
      </c>
      <c r="C11756" s="216" t="n">
        <v>370</v>
      </c>
      <c r="D11756" s="216" t="n">
        <v>1.094982981681824</v>
      </c>
      <c r="E11756" s="215" t="n">
        <v>45982</v>
      </c>
      <c r="F11756" s="215" t="n">
        <v>45982</v>
      </c>
    </row>
    <row r="11757">
      <c r="A11757" s="215" t="n">
        <v>45985</v>
      </c>
      <c r="B11757" s="216" t="n">
        <v>465</v>
      </c>
      <c r="C11757" s="216" t="n">
        <v>370.55</v>
      </c>
      <c r="D11757" s="216" t="n">
        <v>1.094988942146301</v>
      </c>
      <c r="E11757" s="215" t="n">
        <v>45985</v>
      </c>
      <c r="F11757" s="215" t="n">
        <v>45985</v>
      </c>
    </row>
    <row r="11758">
      <c r="A11758" s="215" t="n">
        <v>45986</v>
      </c>
      <c r="B11758" s="216" t="n">
        <v>468.2</v>
      </c>
      <c r="C11758" s="216" t="n">
        <v>372.36</v>
      </c>
      <c r="D11758" s="216" t="n">
        <v>1.095428943634033</v>
      </c>
      <c r="E11758" s="215" t="n">
        <v>45986</v>
      </c>
      <c r="F11758" s="215" t="n">
        <v>45986</v>
      </c>
    </row>
    <row r="11759">
      <c r="A11759" s="215" t="n">
        <v>45987</v>
      </c>
      <c r="B11759" s="216" t="n">
        <v>467.2</v>
      </c>
      <c r="C11759" s="216" t="n">
        <v>372.82</v>
      </c>
      <c r="D11759" s="216" t="n">
        <v>1.097422003746033</v>
      </c>
      <c r="E11759" s="215" t="n">
        <v>45987</v>
      </c>
      <c r="F11759" s="215" t="n">
        <v>45987</v>
      </c>
    </row>
    <row r="11760">
      <c r="A11760" s="215" t="n">
        <v>45988</v>
      </c>
      <c r="B11760" s="216" t="n">
        <v>470</v>
      </c>
      <c r="C11760" s="216" t="n">
        <v>371.2</v>
      </c>
      <c r="D11760" s="216" t="n">
        <v>1.098397016525269</v>
      </c>
      <c r="E11760" s="215" t="n">
        <v>45988</v>
      </c>
      <c r="F11760" s="215" t="n">
        <v>45988</v>
      </c>
    </row>
    <row r="11761">
      <c r="A11761" s="215" t="n">
        <v>45989</v>
      </c>
      <c r="B11761" s="216" t="n">
        <v>472</v>
      </c>
      <c r="C11761" s="216" t="n">
        <v>373.2</v>
      </c>
      <c r="D11761" s="216" t="n">
        <v>1.098330020904541</v>
      </c>
      <c r="E11761" s="215" t="n">
        <v>45989</v>
      </c>
      <c r="F11761" s="215" t="n">
        <v>45989</v>
      </c>
    </row>
    <row r="11762">
      <c r="A11762" s="215" t="n">
        <v>45992</v>
      </c>
      <c r="B11762" s="216" t="n">
        <v>483</v>
      </c>
      <c r="C11762" s="216" t="n">
        <v>382.97</v>
      </c>
      <c r="D11762" s="216" t="n">
        <v>1.10015594959259</v>
      </c>
      <c r="E11762" s="215" t="n">
        <v>45992</v>
      </c>
      <c r="F11762" s="215" t="n">
        <v>45992</v>
      </c>
    </row>
    <row r="11763">
      <c r="A11763" s="215" t="n">
        <v>45993</v>
      </c>
      <c r="B11763" s="216" t="n">
        <v>477.8</v>
      </c>
      <c r="C11763" s="216" t="n">
        <v>380.08</v>
      </c>
      <c r="D11763" s="216" t="n">
        <v>1.101189017295837</v>
      </c>
      <c r="E11763" s="215" t="n">
        <v>45993</v>
      </c>
      <c r="F11763" s="215" t="n">
        <v>45993</v>
      </c>
    </row>
    <row r="11764">
      <c r="A11764" s="215" t="n">
        <v>45994</v>
      </c>
      <c r="B11764" s="216" t="n">
        <v>473.6</v>
      </c>
      <c r="C11764" s="216" t="n">
        <v>376.08</v>
      </c>
      <c r="D11764" s="216" t="n">
        <v>1.100834012031555</v>
      </c>
      <c r="E11764" s="215" t="n">
        <v>45994</v>
      </c>
      <c r="F11764" s="215" t="n">
        <v>45994</v>
      </c>
    </row>
    <row r="11765">
      <c r="A11765" s="215" t="n">
        <v>45995</v>
      </c>
      <c r="B11765" s="216" t="n">
        <v>483</v>
      </c>
      <c r="C11765" s="216" t="n">
        <v>383.35</v>
      </c>
      <c r="D11765" s="216" t="n">
        <v>1.101611018180847</v>
      </c>
      <c r="E11765" s="215" t="n">
        <v>45995</v>
      </c>
      <c r="F11765" s="215" t="n">
        <v>45995</v>
      </c>
    </row>
    <row r="11766">
      <c r="A11766" s="215" t="n">
        <v>45996</v>
      </c>
      <c r="B11766" s="216" t="n">
        <v>490.4</v>
      </c>
      <c r="C11766" s="216" t="n">
        <v>389.09</v>
      </c>
      <c r="D11766" s="216" t="n">
        <v>1.100373983383179</v>
      </c>
      <c r="E11766" s="215" t="n">
        <v>45996</v>
      </c>
      <c r="F11766" s="215" t="n">
        <v>45996</v>
      </c>
    </row>
    <row r="11767">
      <c r="A11767" s="215" t="n">
        <v>45999</v>
      </c>
      <c r="B11767" s="216" t="n">
        <v>506.5</v>
      </c>
      <c r="C11767" s="216" t="n">
        <v>392.5</v>
      </c>
      <c r="D11767" s="216" t="n">
        <v>1.1008620262146</v>
      </c>
      <c r="E11767" s="215" t="n">
        <v>45999</v>
      </c>
      <c r="F11767" s="215" t="n">
        <v>45999</v>
      </c>
    </row>
    <row r="11768">
      <c r="A11768" s="215" t="n">
        <v>46000</v>
      </c>
      <c r="B11768" s="216" t="n">
        <v>496</v>
      </c>
      <c r="C11768" s="216" t="n">
        <v>387.59</v>
      </c>
      <c r="D11768" s="216" t="n">
        <v>1.10008704662323</v>
      </c>
      <c r="E11768" s="215" t="n">
        <v>46000</v>
      </c>
      <c r="F11768" s="215" t="n">
        <v>46000</v>
      </c>
    </row>
    <row r="11769">
      <c r="A11769" s="215" t="n">
        <v>46001</v>
      </c>
      <c r="B11769" s="216" t="n">
        <v>498.4</v>
      </c>
      <c r="C11769" s="216" t="n">
        <v>382.38</v>
      </c>
      <c r="D11769" s="216" t="n">
        <v>1.101711988449097</v>
      </c>
      <c r="E11769" s="215" t="n">
        <v>46001</v>
      </c>
      <c r="F11769" s="215" t="n">
        <v>46001</v>
      </c>
    </row>
    <row r="11770">
      <c r="A11770" s="215" t="n">
        <v>46002</v>
      </c>
      <c r="B11770" s="216" t="n">
        <v>508</v>
      </c>
      <c r="C11770" s="216" t="n">
        <v>388.99</v>
      </c>
      <c r="D11770" s="216" t="n">
        <v>1.10112202167511</v>
      </c>
      <c r="E11770" s="215" t="n">
        <v>46002</v>
      </c>
      <c r="F11770" s="215" t="n">
        <v>46002</v>
      </c>
    </row>
    <row r="11771">
      <c r="A11771" s="215" t="n">
        <v>46003</v>
      </c>
      <c r="B11771" s="216" t="n">
        <v>516</v>
      </c>
      <c r="C11771" s="216" t="n">
        <v>391.8</v>
      </c>
      <c r="D11771" s="216" t="n">
        <v>1.102499008178711</v>
      </c>
      <c r="E11771" s="215" t="n">
        <v>46003</v>
      </c>
      <c r="F11771" s="215" t="n">
        <v>46003</v>
      </c>
    </row>
    <row r="11772">
      <c r="A11772" s="215" t="n">
        <v>46006</v>
      </c>
      <c r="B11772" s="216" t="n">
        <v>519</v>
      </c>
      <c r="C11772" s="216" t="n">
        <v>385.5</v>
      </c>
      <c r="D11772" s="216" t="n">
        <v>1.103397965431213</v>
      </c>
      <c r="E11772" s="215" t="n">
        <v>46006</v>
      </c>
      <c r="F11772" s="215" t="n">
        <v>46006</v>
      </c>
    </row>
    <row r="11773">
      <c r="A11773" s="215" t="n">
        <v>46007</v>
      </c>
      <c r="B11773" s="216" t="n">
        <v>506</v>
      </c>
      <c r="C11773" s="216" t="n">
        <v>378.41</v>
      </c>
      <c r="D11773" s="216" t="n">
        <v>1.104179978370667</v>
      </c>
      <c r="E11773" s="215" t="n">
        <v>46007</v>
      </c>
      <c r="F11773" s="215" t="n">
        <v>46007</v>
      </c>
    </row>
    <row r="11774">
      <c r="A11774" s="215" t="n">
        <v>46008</v>
      </c>
      <c r="B11774" s="216" t="n">
        <v>511</v>
      </c>
      <c r="C11774" s="216" t="n">
        <v>383.42</v>
      </c>
      <c r="D11774" s="216" t="n">
        <v>1.104655981063843</v>
      </c>
      <c r="E11774" s="215" t="n">
        <v>46008</v>
      </c>
      <c r="F11774" s="215" t="n">
        <v>46008</v>
      </c>
    </row>
    <row r="11775">
      <c r="A11775" s="215" t="n">
        <v>46009</v>
      </c>
      <c r="B11775" s="216" t="n">
        <v>494</v>
      </c>
      <c r="C11775" s="216" t="n">
        <v>372</v>
      </c>
      <c r="D11775" s="216" t="n">
        <v>1.104357004165649</v>
      </c>
      <c r="E11775" s="215" t="n">
        <v>46009</v>
      </c>
      <c r="F11775" s="215" t="n">
        <v>46009</v>
      </c>
    </row>
    <row r="11776">
      <c r="A11776" s="215" t="n">
        <v>46010</v>
      </c>
      <c r="B11776" s="216" t="n">
        <v>505</v>
      </c>
      <c r="C11776" s="216" t="n">
        <v>374</v>
      </c>
      <c r="D11776" s="216" t="n">
        <v>1.104962944984436</v>
      </c>
      <c r="E11776" s="215" t="n">
        <v>46010</v>
      </c>
      <c r="F11776" s="215" t="n">
        <v>46010</v>
      </c>
    </row>
    <row r="11777">
      <c r="A11777" s="215" t="n">
        <v>46013</v>
      </c>
      <c r="B11777" s="216" t="n">
        <v>509.5</v>
      </c>
      <c r="C11777" s="216" t="n">
        <v>371.84</v>
      </c>
      <c r="D11777" s="216" t="n">
        <v>1.105054020881653</v>
      </c>
      <c r="E11777" s="215" t="n">
        <v>46013</v>
      </c>
      <c r="F11777" s="215" t="n">
        <v>46013</v>
      </c>
    </row>
    <row r="11778">
      <c r="A11778" s="215" t="n">
        <v>46014</v>
      </c>
      <c r="B11778" s="216" t="n">
        <v>515</v>
      </c>
      <c r="C11778" s="216" t="n">
        <v>378.1</v>
      </c>
      <c r="D11778" s="216" t="n">
        <v>1.104820013046265</v>
      </c>
      <c r="E11778" s="215" t="n">
        <v>46014</v>
      </c>
      <c r="F11778" s="215" t="n">
        <v>46014</v>
      </c>
    </row>
    <row r="11779">
      <c r="A11779" s="215" t="n">
        <v>46015</v>
      </c>
      <c r="B11779" s="216" t="n">
        <v>508.5</v>
      </c>
      <c r="C11779" s="216" t="n">
        <v>375.6</v>
      </c>
      <c r="D11779" s="216" t="n">
        <v>1.106441974639893</v>
      </c>
      <c r="E11779" s="215" t="n">
        <v>46015</v>
      </c>
      <c r="F11779" s="215" t="n">
        <v>46015</v>
      </c>
    </row>
    <row r="11780">
      <c r="A11780" s="215" t="n">
        <v>46020</v>
      </c>
      <c r="B11780" s="216" t="n">
        <v>497.8</v>
      </c>
      <c r="C11780" s="216" t="n">
        <v>369.31</v>
      </c>
      <c r="D11780" s="216" t="n">
        <v>1.10552704334259</v>
      </c>
      <c r="E11780" s="215" t="n">
        <v>46020</v>
      </c>
      <c r="F11780" s="215" t="n">
        <v>46020</v>
      </c>
    </row>
    <row r="11781">
      <c r="A11781" s="215" t="n">
        <v>46021</v>
      </c>
      <c r="B11781" s="216" t="n">
        <v>503</v>
      </c>
      <c r="C11781" s="216" t="n">
        <v>369.2</v>
      </c>
      <c r="D11781" s="216" t="n">
        <v>1.109460949897766</v>
      </c>
      <c r="E11781" s="215" t="n">
        <v>46021</v>
      </c>
      <c r="F11781" s="215" t="n">
        <v>46021</v>
      </c>
    </row>
    <row r="11782">
      <c r="A11782" s="215" t="n">
        <v>46022</v>
      </c>
      <c r="B11782" s="216" t="n">
        <v>505.5</v>
      </c>
      <c r="C11782" s="216" t="n">
        <v>367.26</v>
      </c>
      <c r="D11782" s="216" t="n">
        <v>1.111927032470703</v>
      </c>
      <c r="E11782" s="215" t="n">
        <v>46022</v>
      </c>
      <c r="F11782" s="215" t="n">
        <v>46022</v>
      </c>
    </row>
    <row r="11783">
      <c r="A11783" s="215" t="n">
        <v>46024</v>
      </c>
      <c r="B11783" s="216" t="n">
        <v>514.5</v>
      </c>
      <c r="C11783" s="216" t="n">
        <v>367.26</v>
      </c>
      <c r="D11783" s="216" t="n">
        <v>1.112754940986633</v>
      </c>
      <c r="E11783" s="215" t="n">
        <v>46022</v>
      </c>
      <c r="F11783" s="215" t="n">
        <v>46024</v>
      </c>
    </row>
    <row r="11784">
      <c r="A11784" s="215" t="n">
        <v>46027</v>
      </c>
      <c r="B11784" s="216" t="n">
        <v>514.5</v>
      </c>
      <c r="C11784" s="216" t="n">
        <v>377.5</v>
      </c>
      <c r="D11784" s="216" t="n">
        <v>1.113860011100769</v>
      </c>
      <c r="E11784" s="215" t="n">
        <v>46027</v>
      </c>
      <c r="F11784" s="215" t="n">
        <v>46027</v>
      </c>
    </row>
    <row r="11785">
      <c r="A11785" s="215" t="n">
        <v>46028</v>
      </c>
      <c r="B11785" s="216" t="n">
        <v>510.5</v>
      </c>
      <c r="C11785" s="216" t="n">
        <v>373.99</v>
      </c>
      <c r="D11785" s="216" t="n">
        <v>1.11367404460907</v>
      </c>
      <c r="E11785" s="215" t="n">
        <v>46028</v>
      </c>
      <c r="F11785" s="215" t="n">
        <v>46028</v>
      </c>
    </row>
    <row r="11786">
      <c r="A11786" s="215" t="n">
        <v>46029</v>
      </c>
      <c r="B11786" s="216" t="n">
        <v>506</v>
      </c>
      <c r="C11786" s="216" t="n">
        <v>371.01</v>
      </c>
      <c r="D11786" s="216" t="n">
        <v>1.114913940429688</v>
      </c>
      <c r="E11786" s="215" t="n">
        <v>46029</v>
      </c>
      <c r="F11786" s="215" t="n">
        <v>46029</v>
      </c>
    </row>
    <row r="11787">
      <c r="A11787" s="215" t="n">
        <v>46030</v>
      </c>
      <c r="B11787" s="216" t="n">
        <v>503.5</v>
      </c>
      <c r="C11787" s="216" t="n">
        <v>369.21</v>
      </c>
      <c r="D11787" s="216" t="n">
        <v>1.112563014030457</v>
      </c>
      <c r="E11787" s="215" t="n">
        <v>46030</v>
      </c>
      <c r="F11787" s="215" t="n">
        <v>46030</v>
      </c>
    </row>
    <row r="11788">
      <c r="A11788" s="215" t="n">
        <v>46031</v>
      </c>
      <c r="B11788" s="216" t="n">
        <v>497.4</v>
      </c>
      <c r="C11788" s="216" t="n">
        <v>369.23</v>
      </c>
      <c r="D11788" s="216" t="n">
        <v>1.115561008453369</v>
      </c>
      <c r="E11788" s="215" t="n">
        <v>46031</v>
      </c>
      <c r="F11788" s="215" t="n">
        <v>46031</v>
      </c>
    </row>
    <row r="11789">
      <c r="A11789" s="215" t="n">
        <v>46034</v>
      </c>
      <c r="B11789" s="216" t="n">
        <v>485.2</v>
      </c>
      <c r="C11789" s="216" t="n">
        <v>361.68</v>
      </c>
      <c r="D11789" s="216" t="n">
        <v>1.117015957832336</v>
      </c>
      <c r="E11789" s="215" t="n">
        <v>46034</v>
      </c>
      <c r="F11789" s="215" t="n">
        <v>46034</v>
      </c>
    </row>
    <row r="11790">
      <c r="A11790" s="215" t="n">
        <v>46035</v>
      </c>
      <c r="B11790" s="216" t="n">
        <v>489.8</v>
      </c>
      <c r="C11790" s="216" t="n">
        <v>359</v>
      </c>
      <c r="D11790" s="216" t="n">
        <v>1.117892026901245</v>
      </c>
      <c r="E11790" s="215" t="n">
        <v>46035</v>
      </c>
      <c r="F11790" s="215" t="n">
        <v>46035</v>
      </c>
    </row>
    <row r="11791">
      <c r="A11791" s="215" t="n">
        <v>46036</v>
      </c>
      <c r="B11791" s="216" t="n">
        <v>484</v>
      </c>
      <c r="C11791" s="216" t="n">
        <v>353.98</v>
      </c>
      <c r="D11791" s="216" t="n">
        <v>1.117897987365723</v>
      </c>
      <c r="E11791" s="215" t="n">
        <v>46036</v>
      </c>
      <c r="F11791" s="215" t="n">
        <v>46036</v>
      </c>
    </row>
    <row r="11792">
      <c r="A11792" s="215" t="n">
        <v>46037</v>
      </c>
      <c r="B11792" s="216" t="n">
        <v>487.4</v>
      </c>
      <c r="C11792" s="216" t="n">
        <v>353.75</v>
      </c>
      <c r="D11792" s="216" t="n">
        <v>1.118072032928467</v>
      </c>
      <c r="E11792" s="215" t="n">
        <v>46037</v>
      </c>
      <c r="F11792" s="215" t="n">
        <v>46037</v>
      </c>
    </row>
    <row r="11793">
      <c r="A11793" s="215" t="n">
        <v>46038</v>
      </c>
      <c r="B11793" s="216" t="n">
        <v>484.6</v>
      </c>
      <c r="C11793" s="216" t="n">
        <v>352.32</v>
      </c>
      <c r="D11793" s="216" t="n">
        <v>1.119040012359619</v>
      </c>
      <c r="E11793" s="215" t="n">
        <v>46038</v>
      </c>
      <c r="F11793" s="215" t="n">
        <v>46038</v>
      </c>
    </row>
    <row r="11794">
      <c r="A11794" s="215" t="n">
        <v>46041</v>
      </c>
      <c r="B11794" s="216" t="n">
        <v>477.6</v>
      </c>
      <c r="C11794" s="216" t="n">
        <v>348.9</v>
      </c>
      <c r="D11794" s="216" t="n">
        <v>1.118916034698486</v>
      </c>
      <c r="E11794" s="215" t="n">
        <v>46041</v>
      </c>
      <c r="F11794" s="215" t="n">
        <v>46041</v>
      </c>
    </row>
    <row r="11795">
      <c r="A11795" s="215" t="n">
        <v>46042</v>
      </c>
      <c r="B11795" s="216" t="n">
        <v>479.6</v>
      </c>
      <c r="C11795" s="216" t="n">
        <v>349.6</v>
      </c>
      <c r="D11795" s="216" t="n">
        <v>1.118687987327576</v>
      </c>
      <c r="E11795" s="215" t="n">
        <v>46042</v>
      </c>
      <c r="F11795" s="215" t="n">
        <v>46042</v>
      </c>
    </row>
    <row r="11796">
      <c r="A11796" s="215" t="n">
        <v>46043</v>
      </c>
      <c r="B11796" s="216" t="n">
        <v>486</v>
      </c>
      <c r="C11796" s="216" t="n">
        <v>349.81</v>
      </c>
      <c r="D11796" s="216" t="n">
        <v>1.12024998664856</v>
      </c>
      <c r="E11796" s="215" t="n">
        <v>46043</v>
      </c>
      <c r="F11796" s="215" t="n">
        <v>46043</v>
      </c>
    </row>
    <row r="11797">
      <c r="A11797" s="215" t="n">
        <v>46044</v>
      </c>
      <c r="B11797" s="216" t="n">
        <v>472.2</v>
      </c>
      <c r="C11797" s="216" t="n">
        <v>345.8</v>
      </c>
      <c r="D11797" s="216" t="n">
        <v>1.11942195892334</v>
      </c>
      <c r="E11797" s="215" t="n">
        <v>46044</v>
      </c>
      <c r="F11797" s="215" t="n">
        <v>46044</v>
      </c>
    </row>
    <row r="11798">
      <c r="A11798" s="215" t="n">
        <v>46045</v>
      </c>
      <c r="B11798" s="216" t="n">
        <v>471.4</v>
      </c>
      <c r="C11798" s="216" t="n">
        <v>347</v>
      </c>
      <c r="D11798" s="216" t="n">
        <v>1.117977976799011</v>
      </c>
      <c r="E11798" s="215" t="n">
        <v>46045</v>
      </c>
      <c r="F11798" s="215" t="n">
        <v>46045</v>
      </c>
    </row>
    <row r="11799">
      <c r="A11799" s="215" t="n">
        <v>46048</v>
      </c>
      <c r="B11799" s="216" t="n">
        <v>466</v>
      </c>
      <c r="C11799" s="216" t="n">
        <v>342.05</v>
      </c>
      <c r="D11799" s="216" t="n">
        <v>1.117916941642761</v>
      </c>
      <c r="E11799" s="215" t="n">
        <v>46048</v>
      </c>
      <c r="F11799" s="215" t="n">
        <v>46048</v>
      </c>
    </row>
    <row r="11800">
      <c r="A11800" s="215" t="n">
        <v>46049</v>
      </c>
      <c r="B11800" s="216" t="n">
        <v>467</v>
      </c>
      <c r="C11800" s="216" t="n">
        <v>339.4</v>
      </c>
      <c r="D11800" s="216" t="n">
        <v>1.121191024780273</v>
      </c>
      <c r="E11800" s="215" t="n">
        <v>46049</v>
      </c>
      <c r="F11800" s="215" t="n">
        <v>46049</v>
      </c>
    </row>
    <row r="11801">
      <c r="A11801" s="215" t="n">
        <v>46050</v>
      </c>
      <c r="B11801" s="216" t="n">
        <v>475.4</v>
      </c>
      <c r="C11801" s="216" t="n">
        <v>339.99</v>
      </c>
      <c r="D11801" s="216" t="n">
        <v>1.121533036231995</v>
      </c>
      <c r="E11801" s="215" t="n">
        <v>46050</v>
      </c>
      <c r="F11801" s="215" t="n">
        <v>46050</v>
      </c>
    </row>
    <row r="11802">
      <c r="A11802" s="215" t="n">
        <v>46051</v>
      </c>
      <c r="B11802" s="216" t="n">
        <v>477.4</v>
      </c>
      <c r="C11802" s="216" t="n">
        <v>341.89</v>
      </c>
      <c r="D11802" s="216" t="n">
        <v>1.121621966362</v>
      </c>
      <c r="E11802" s="215" t="n">
        <v>46051</v>
      </c>
      <c r="F11802" s="215" t="n">
        <v>46051</v>
      </c>
    </row>
    <row r="11803">
      <c r="A11803" s="215" t="n">
        <v>46052</v>
      </c>
      <c r="B11803" s="216" t="n">
        <v>491</v>
      </c>
      <c r="C11803" s="216" t="n">
        <v>350</v>
      </c>
      <c r="D11803" s="216" t="n">
        <v>1.123343944549561</v>
      </c>
      <c r="E11803" s="215" t="n">
        <v>46052</v>
      </c>
      <c r="F11803" s="215" t="n">
        <v>46052</v>
      </c>
    </row>
    <row r="11804">
      <c r="A11804" s="215" t="n">
        <v>46055</v>
      </c>
      <c r="B11804" s="216" t="n">
        <v>486.6</v>
      </c>
      <c r="C11804" s="216" t="n">
        <v>348.98</v>
      </c>
      <c r="D11804" s="216" t="n">
        <v>1.123572945594788</v>
      </c>
      <c r="E11804" s="215" t="n">
        <v>46055</v>
      </c>
      <c r="F11804" s="215" t="n">
        <v>46055</v>
      </c>
    </row>
    <row r="11805">
      <c r="A11805" s="215" t="n">
        <v>46056</v>
      </c>
      <c r="B11805" s="216" t="n">
        <v>481.6</v>
      </c>
      <c r="C11805" s="216" t="n">
        <v>347.91</v>
      </c>
      <c r="D11805" s="216" t="n">
        <v>1.124274969100952</v>
      </c>
      <c r="E11805" s="215" t="n">
        <v>46056</v>
      </c>
      <c r="F11805" s="215" t="n">
        <v>46056</v>
      </c>
    </row>
    <row r="11806">
      <c r="A11806" s="215" t="n">
        <v>46057</v>
      </c>
      <c r="B11806" s="216" t="n">
        <v>502.5</v>
      </c>
      <c r="C11806" s="216" t="n">
        <v>365.03</v>
      </c>
      <c r="D11806" s="216" t="n">
        <v>1.12601101398468</v>
      </c>
      <c r="E11806" s="215" t="n">
        <v>46057</v>
      </c>
      <c r="F11806" s="215" t="n">
        <v>46057</v>
      </c>
    </row>
    <row r="11807">
      <c r="A11807" s="215" t="n">
        <v>46058</v>
      </c>
      <c r="B11807" s="216" t="n">
        <v>492.8</v>
      </c>
      <c r="C11807" s="216" t="n">
        <v>362.94</v>
      </c>
      <c r="D11807" s="216" t="n">
        <v>1.125892996788025</v>
      </c>
      <c r="E11807" s="215" t="n">
        <v>46058</v>
      </c>
      <c r="F11807" s="215" t="n">
        <v>46058</v>
      </c>
    </row>
    <row r="11808">
      <c r="A11808" s="215" t="n">
        <v>46059</v>
      </c>
      <c r="B11808" s="216" t="n">
        <v>501.5</v>
      </c>
      <c r="C11808" s="216" t="n">
        <v>369.11</v>
      </c>
      <c r="D11808" s="216" t="n">
        <v>1.126062035560608</v>
      </c>
      <c r="E11808" s="215" t="n">
        <v>46059</v>
      </c>
      <c r="F11808" s="215" t="n">
        <v>46059</v>
      </c>
    </row>
    <row r="11809">
      <c r="A11809" s="215" t="n">
        <v>46062</v>
      </c>
      <c r="B11809" s="216" t="n">
        <v>513.5</v>
      </c>
      <c r="C11809" s="216" t="n">
        <v>368.82</v>
      </c>
      <c r="D11809" s="216" t="n">
        <v>1.125753998756409</v>
      </c>
      <c r="E11809" s="215" t="n">
        <v>46062</v>
      </c>
      <c r="F11809" s="215" t="n">
        <v>46062</v>
      </c>
    </row>
    <row r="11810">
      <c r="A11810" s="215" t="n">
        <v>46063</v>
      </c>
      <c r="B11810" s="216" t="n">
        <v>511</v>
      </c>
      <c r="C11810" s="216" t="n">
        <v>364.97</v>
      </c>
      <c r="D11810" s="216" t="n">
        <v>1.129003047943115</v>
      </c>
      <c r="E11810" s="215" t="n">
        <v>46063</v>
      </c>
      <c r="F11810" s="215" t="n">
        <v>46063</v>
      </c>
    </row>
    <row r="11811">
      <c r="A11811" s="215" t="n">
        <v>46064</v>
      </c>
      <c r="B11811" s="216" t="n">
        <v>507</v>
      </c>
      <c r="C11811" s="216" t="n">
        <v>368</v>
      </c>
      <c r="D11811" s="216" t="n">
        <v>1.130962014198303</v>
      </c>
      <c r="E11811" s="215" t="n">
        <v>46064</v>
      </c>
      <c r="F11811" s="215" t="n">
        <v>46064</v>
      </c>
    </row>
    <row r="11812">
      <c r="A11812" s="215" t="n">
        <v>46065</v>
      </c>
      <c r="B11812" s="216" t="n">
        <v>528</v>
      </c>
      <c r="C11812" s="216" t="n">
        <v>375.87</v>
      </c>
      <c r="D11812" s="216" t="n">
        <v>1.130671977996826</v>
      </c>
      <c r="E11812" s="215" t="n">
        <v>46065</v>
      </c>
      <c r="F11812" s="215" t="n">
        <v>46065</v>
      </c>
    </row>
    <row r="11813">
      <c r="A11813" s="215" t="n">
        <v>46066</v>
      </c>
      <c r="B11813" s="216" t="n">
        <v>517.5</v>
      </c>
      <c r="C11813" s="216" t="n">
        <v>365.34</v>
      </c>
      <c r="D11813" s="216" t="n">
        <v>1.132490992546082</v>
      </c>
      <c r="E11813" s="215" t="n">
        <v>46066</v>
      </c>
      <c r="F11813" s="215" t="n">
        <v>46066</v>
      </c>
    </row>
    <row r="11814">
      <c r="A11814" s="215" t="n">
        <v>46069</v>
      </c>
      <c r="B11814" s="216" t="n">
        <v>531.5</v>
      </c>
      <c r="C11814" s="216" t="n">
        <v>365.34</v>
      </c>
      <c r="D11814" s="216" t="n">
        <v>1.131224036216736</v>
      </c>
      <c r="E11814" s="215" t="n">
        <v>46066</v>
      </c>
      <c r="F11814" s="215" t="n">
        <v>46069</v>
      </c>
    </row>
    <row r="11815">
      <c r="A11815" s="215" t="n">
        <v>46073</v>
      </c>
      <c r="B11815" s="216" t="n">
        <v>526</v>
      </c>
      <c r="C11815" s="216" t="n">
        <v>365.34</v>
      </c>
      <c r="D11815" s="216" t="n">
        <v>1.131005048751831</v>
      </c>
      <c r="E11815" s="215" t="n">
        <v>46066</v>
      </c>
      <c r="F11815" s="215" t="n">
        <v>46073</v>
      </c>
    </row>
    <row r="11816">
      <c r="A11816" s="215" t="n">
        <v>46076</v>
      </c>
      <c r="B11816" s="216" t="n">
        <v>542.5</v>
      </c>
      <c r="C11816" s="216" t="n">
        <v>365.34</v>
      </c>
      <c r="D11816" s="216" t="n">
        <v>1.130877017974854</v>
      </c>
      <c r="E11816" s="215" t="n">
        <v>46066</v>
      </c>
      <c r="F11816" s="215" t="n">
        <v>46076</v>
      </c>
    </row>
    <row r="11817">
      <c r="A11817" s="215" t="n">
        <v>46077</v>
      </c>
      <c r="B11817" s="216" t="n">
        <v>525.5</v>
      </c>
      <c r="C11817" s="216" t="n">
        <v>361.95</v>
      </c>
      <c r="D11817" s="216" t="n">
        <v>1.131631016731262</v>
      </c>
      <c r="E11817" s="215" t="n">
        <v>46077</v>
      </c>
      <c r="F11817" s="215" t="n">
        <v>46077</v>
      </c>
    </row>
    <row r="11818">
      <c r="A11818" s="215" t="n">
        <v>46078</v>
      </c>
      <c r="B11818" s="216" t="n">
        <v>533</v>
      </c>
      <c r="C11818" s="216" t="n">
        <v>362.18</v>
      </c>
      <c r="D11818" s="216" t="n">
        <v>1.136234045028687</v>
      </c>
      <c r="E11818" s="215" t="n">
        <v>46078</v>
      </c>
      <c r="F11818" s="215" t="n">
        <v>46078</v>
      </c>
    </row>
    <row r="11819">
      <c r="A11819" s="215" t="n">
        <v>46079</v>
      </c>
      <c r="B11819" s="216" t="n">
        <v>498.4</v>
      </c>
      <c r="C11819" s="216" t="n">
        <v>346</v>
      </c>
      <c r="D11819" s="216" t="n">
        <v>1.138198971748352</v>
      </c>
      <c r="E11819" s="215" t="n">
        <v>46079</v>
      </c>
      <c r="F11819" s="215" t="n">
        <v>46079</v>
      </c>
    </row>
    <row r="11820">
      <c r="A11820" s="215" t="n">
        <v>46080</v>
      </c>
      <c r="B11820" s="216" t="n">
        <v>496</v>
      </c>
      <c r="C11820" s="216" t="n">
        <v>342.01</v>
      </c>
      <c r="D11820" s="216" t="n">
        <v>1.143396973609924</v>
      </c>
      <c r="E11820" s="215" t="n">
        <v>46080</v>
      </c>
      <c r="F11820" s="215" t="n">
        <v>46080</v>
      </c>
    </row>
    <row r="11821">
      <c r="A11821" s="215" t="n">
        <v>46083</v>
      </c>
      <c r="B11821" s="216" t="n">
        <v>484.4</v>
      </c>
      <c r="C11821" s="216" t="n">
        <v>340.22</v>
      </c>
      <c r="D11821" s="216" t="n">
        <v>1.140552043914795</v>
      </c>
      <c r="E11821" s="215" t="n">
        <v>46083</v>
      </c>
      <c r="F11821" s="215" t="n">
        <v>46083</v>
      </c>
    </row>
    <row r="11822">
      <c r="A11822" s="215" t="n">
        <v>46084</v>
      </c>
      <c r="B11822" s="216" t="n">
        <v>487</v>
      </c>
      <c r="C11822" s="216" t="n">
        <v>344.07</v>
      </c>
      <c r="D11822" s="216" t="n">
        <v>1.136399984359741</v>
      </c>
      <c r="E11822" s="215" t="n">
        <v>46084</v>
      </c>
      <c r="F11822" s="215" t="n">
        <v>46084</v>
      </c>
    </row>
    <row r="11823">
      <c r="A11823" s="215" t="n">
        <v>46085</v>
      </c>
      <c r="B11823" s="216" t="n">
        <v>479.2</v>
      </c>
      <c r="C11823" s="216" t="n">
        <v>338.9</v>
      </c>
      <c r="D11823" s="216" t="n">
        <v>1.130928993225098</v>
      </c>
      <c r="E11823" s="215" t="n">
        <v>46085</v>
      </c>
      <c r="F11823" s="215" t="n">
        <v>46085</v>
      </c>
    </row>
    <row r="11824">
      <c r="A11824" s="215" t="n">
        <v>46086</v>
      </c>
      <c r="B11824" s="216" t="n">
        <v>499.8</v>
      </c>
      <c r="C11824" s="216" t="n">
        <v>350.25</v>
      </c>
      <c r="D11824" s="216" t="n">
        <v>1.133169054985046</v>
      </c>
      <c r="E11824" s="215" t="n">
        <v>46086</v>
      </c>
      <c r="F11824" s="215" t="n">
        <v>46086</v>
      </c>
    </row>
    <row r="11825">
      <c r="A11825" s="215" t="n">
        <v>46087</v>
      </c>
      <c r="B11825" s="216" t="n">
        <v>513</v>
      </c>
      <c r="C11825" s="216" t="n">
        <v>354.77</v>
      </c>
      <c r="D11825" s="216" t="n">
        <v>1.133442044258118</v>
      </c>
      <c r="E11825" s="215" t="n">
        <v>46087</v>
      </c>
      <c r="F11825" s="215" t="n">
        <v>46087</v>
      </c>
    </row>
    <row r="11826">
      <c r="A11826" s="215" t="n">
        <v>46090</v>
      </c>
      <c r="B11826" s="216" t="n">
        <v>503</v>
      </c>
      <c r="C11826" s="216" t="n">
        <v>357.5</v>
      </c>
      <c r="D11826" s="216" t="n">
        <v>1.133231043815613</v>
      </c>
      <c r="E11826" s="215" t="n">
        <v>46090</v>
      </c>
      <c r="F11826" s="215" t="n">
        <v>46090</v>
      </c>
    </row>
    <row r="11827">
      <c r="A11827" s="215" t="n">
        <v>46091</v>
      </c>
      <c r="B11827" s="216" t="n">
        <v>550</v>
      </c>
      <c r="C11827" s="216" t="n">
        <v>376.3</v>
      </c>
      <c r="D11827" s="216" t="n">
        <v>1.131595015525818</v>
      </c>
      <c r="E11827" s="215" t="n">
        <v>46091</v>
      </c>
      <c r="F11827" s="215" t="n">
        <v>46091</v>
      </c>
    </row>
    <row r="11828">
      <c r="A11828" s="215" t="n">
        <v>46092</v>
      </c>
      <c r="B11828" s="216" t="n">
        <v>599.5</v>
      </c>
      <c r="C11828" s="216" t="n">
        <v>396.8</v>
      </c>
      <c r="D11828" s="216" t="n">
        <v>1.137585043907166</v>
      </c>
      <c r="E11828" s="215" t="n">
        <v>46092</v>
      </c>
      <c r="F11828" s="215" t="n">
        <v>46092</v>
      </c>
    </row>
    <row r="11829">
      <c r="A11829" s="215" t="n">
        <v>46093</v>
      </c>
      <c r="B11829" s="216" t="n">
        <v>610</v>
      </c>
      <c r="C11829" s="216" t="n">
        <v>395.5</v>
      </c>
      <c r="D11829" s="216" t="n">
        <v>1.139600038528442</v>
      </c>
      <c r="E11829" s="215" t="n">
        <v>46093</v>
      </c>
      <c r="F11829" s="215" t="n">
        <v>46093</v>
      </c>
    </row>
    <row r="11830">
      <c r="A11830" s="215" t="n">
        <v>46094</v>
      </c>
      <c r="B11830" s="216" t="n">
        <v>621</v>
      </c>
      <c r="C11830" s="216" t="n">
        <v>397</v>
      </c>
      <c r="D11830" s="216" t="n">
        <v>1.139310002326965</v>
      </c>
      <c r="E11830" s="215" t="n">
        <v>46094</v>
      </c>
      <c r="F11830" s="215" t="n">
        <v>46094</v>
      </c>
    </row>
    <row r="11831">
      <c r="A11831" s="215" t="n">
        <v>46097</v>
      </c>
      <c r="B11831" s="216" t="n">
        <v>670</v>
      </c>
      <c r="C11831" s="216" t="n">
        <v>408.4</v>
      </c>
      <c r="D11831" s="216" t="n">
        <v>1.134883999824524</v>
      </c>
      <c r="E11831" s="215" t="n">
        <v>46097</v>
      </c>
      <c r="F11831" s="215" t="n">
        <v>46097</v>
      </c>
    </row>
    <row r="11832">
      <c r="A11832" s="215" t="n">
        <v>46098</v>
      </c>
      <c r="B11832" s="216" t="n">
        <v>648</v>
      </c>
      <c r="C11832" s="216" t="n">
        <v>405</v>
      </c>
      <c r="D11832" s="216" t="n">
        <v>1.125375986099243</v>
      </c>
      <c r="E11832" s="215" t="n">
        <v>46098</v>
      </c>
      <c r="F11832" s="215" t="n">
        <v>46098</v>
      </c>
    </row>
    <row r="11833">
      <c r="A11833" s="215" t="n">
        <v>46099</v>
      </c>
      <c r="B11833" s="216" t="n">
        <v>650.5</v>
      </c>
      <c r="C11833" s="216" t="n">
        <v>402.02</v>
      </c>
      <c r="D11833" s="216" t="n">
        <v>1.137819051742554</v>
      </c>
      <c r="E11833" s="215" t="n">
        <v>46099</v>
      </c>
      <c r="F11833" s="215" t="n">
        <v>46099</v>
      </c>
    </row>
    <row r="11834">
      <c r="A11834" s="215" t="n">
        <v>46100</v>
      </c>
      <c r="B11834" s="216" t="n">
        <v>644</v>
      </c>
      <c r="C11834" s="216" t="n">
        <v>400.5</v>
      </c>
      <c r="D11834" s="216" t="n">
        <v>1.140079021453857</v>
      </c>
      <c r="E11834" s="215" t="n">
        <v>46100</v>
      </c>
      <c r="F11834" s="215" t="n">
        <v>46100</v>
      </c>
    </row>
    <row r="11835">
      <c r="A11835" s="215" t="n">
        <v>46101</v>
      </c>
      <c r="B11835" s="216" t="n">
        <v>698</v>
      </c>
      <c r="C11835" s="216" t="n">
        <v>413</v>
      </c>
      <c r="D11835" s="216" t="n">
        <v>1.13490903377533</v>
      </c>
      <c r="E11835" s="215" t="n">
        <v>46101</v>
      </c>
      <c r="F11835" s="215" t="n">
        <v>46101</v>
      </c>
    </row>
    <row r="11836">
      <c r="A11836" s="215" t="n">
        <v>46104</v>
      </c>
      <c r="B11836" s="216" t="n">
        <v>662</v>
      </c>
      <c r="C11836" s="216" t="n">
        <v>401.99</v>
      </c>
      <c r="D11836" s="216" t="n">
        <v>1.137529969215393</v>
      </c>
      <c r="E11836" s="215" t="n">
        <v>46104</v>
      </c>
      <c r="F11836" s="215" t="n">
        <v>46104</v>
      </c>
    </row>
    <row r="11837">
      <c r="A11837" s="215" t="n">
        <v>46105</v>
      </c>
      <c r="B11837" s="216" t="n">
        <v>645</v>
      </c>
      <c r="C11837" s="216" t="n">
        <v>396.99</v>
      </c>
      <c r="D11837" s="216" t="n">
        <v>1.138481974601746</v>
      </c>
      <c r="E11837" s="215" t="n">
        <v>46105</v>
      </c>
      <c r="F11837" s="215" t="n">
        <v>46105</v>
      </c>
    </row>
    <row r="11838">
      <c r="A11838" s="215" t="n">
        <v>46106</v>
      </c>
      <c r="B11838" s="216" t="n">
        <v>637.5</v>
      </c>
      <c r="C11838" s="216" t="n">
        <v>397.81</v>
      </c>
      <c r="D11838" s="216" t="n">
        <v>1.135548949241638</v>
      </c>
      <c r="E11838" s="215" t="n">
        <v>46106</v>
      </c>
      <c r="F11838" s="215" t="n">
        <v>46106</v>
      </c>
    </row>
    <row r="11839">
      <c r="A11839" s="215" t="n">
        <v>46107</v>
      </c>
      <c r="B11839" s="216" t="n">
        <v>616</v>
      </c>
      <c r="C11839" s="216" t="n">
        <v>402.5</v>
      </c>
      <c r="D11839" s="216" t="n">
        <v>1.132627010345459</v>
      </c>
      <c r="E11839" s="215" t="n">
        <v>46107</v>
      </c>
      <c r="F11839" s="215" t="n">
        <v>46107</v>
      </c>
    </row>
    <row r="11840">
      <c r="A11840" s="215" t="n">
        <v>46108</v>
      </c>
      <c r="B11840" s="216" t="n">
        <v>634</v>
      </c>
      <c r="C11840" s="216" t="n">
        <v>416.18</v>
      </c>
      <c r="D11840" s="216" t="n">
        <v>1.132115960121155</v>
      </c>
      <c r="E11840" s="215" t="n">
        <v>46108</v>
      </c>
      <c r="F11840" s="215" t="n">
        <v>46108</v>
      </c>
    </row>
    <row r="11841">
      <c r="A11841" s="215" t="n">
        <v>46111</v>
      </c>
      <c r="B11841" s="216" t="n">
        <v>632</v>
      </c>
      <c r="C11841" s="216" t="n">
        <v>413</v>
      </c>
      <c r="D11841" s="216" t="n">
        <v>1.13311505317688</v>
      </c>
      <c r="E11841" s="215" t="n">
        <v>46111</v>
      </c>
      <c r="F11841" s="215" t="n">
        <v>46111</v>
      </c>
    </row>
    <row r="11842">
      <c r="A11842" s="215" t="n">
        <v>46112</v>
      </c>
      <c r="B11842" s="216" t="n">
        <v>613.5</v>
      </c>
      <c r="C11842" s="216" t="n">
        <v>401.7</v>
      </c>
      <c r="D11842" s="216" t="n">
        <v>1.133540987968445</v>
      </c>
      <c r="E11842" s="215" t="n">
        <v>46112</v>
      </c>
      <c r="F11842" s="215" t="n">
        <v>46112</v>
      </c>
    </row>
    <row r="11843">
      <c r="A11843" s="215" t="n">
        <v>46113</v>
      </c>
      <c r="B11843" s="216" t="n">
        <v>632.5</v>
      </c>
      <c r="C11843" s="216" t="n">
        <v>405.71</v>
      </c>
      <c r="D11843" s="216" t="n">
        <v>1.136669993400574</v>
      </c>
      <c r="E11843" s="215" t="n">
        <v>46113</v>
      </c>
      <c r="F11843" s="215" t="n">
        <v>46113</v>
      </c>
    </row>
    <row r="11844">
      <c r="A11844" s="215" t="n">
        <v>46114</v>
      </c>
      <c r="B11844" s="216" t="n">
        <v>627.5</v>
      </c>
      <c r="C11844" s="216" t="n">
        <v>401.17</v>
      </c>
      <c r="D11844" s="216" t="n">
        <v>1.140197992324829</v>
      </c>
      <c r="E11844" s="215" t="n">
        <v>46114</v>
      </c>
      <c r="F11844" s="215" t="n">
        <v>46114</v>
      </c>
    </row>
    <row r="11845">
      <c r="A11845" s="215" t="n">
        <v>46120</v>
      </c>
      <c r="B11845" s="216" t="n">
        <v>639.5</v>
      </c>
      <c r="C11845" s="216" t="n">
        <v>391.3</v>
      </c>
      <c r="D11845" s="216" t="n">
        <v>1.1423499584198</v>
      </c>
      <c r="E11845" s="215" t="n">
        <v>46120</v>
      </c>
      <c r="F11845" s="215" t="n">
        <v>46120</v>
      </c>
    </row>
    <row r="11846">
      <c r="A11846" s="215" t="n">
        <v>46121</v>
      </c>
      <c r="B11846" s="216" t="n">
        <v>633</v>
      </c>
      <c r="C11846" s="216" t="n">
        <v>389.99</v>
      </c>
      <c r="D11846" s="216" t="n">
        <v>1.146731972694397</v>
      </c>
      <c r="E11846" s="215" t="n">
        <v>46121</v>
      </c>
      <c r="F11846" s="215" t="n">
        <v>46121</v>
      </c>
    </row>
    <row r="11847">
      <c r="A11847" s="215" t="n">
        <v>46122</v>
      </c>
      <c r="B11847" s="216" t="n">
        <v>681.5</v>
      </c>
      <c r="C11847" s="216" t="n">
        <v>416</v>
      </c>
      <c r="D11847" s="216" t="n">
        <v>1.146558046340942</v>
      </c>
      <c r="E11847" s="215" t="n">
        <v>46122</v>
      </c>
      <c r="F11847" s="215" t="n">
        <v>46122</v>
      </c>
    </row>
    <row r="11848">
      <c r="A11848" s="215" t="n">
        <v>46125</v>
      </c>
      <c r="B11848" s="216" t="n">
        <v>682.5</v>
      </c>
      <c r="C11848" s="216" t="n">
        <v>427.13</v>
      </c>
      <c r="D11848" s="216" t="n">
        <v>1.147117972373962</v>
      </c>
      <c r="E11848" s="215" t="n">
        <v>46125</v>
      </c>
      <c r="F11848" s="215" t="n">
        <v>46125</v>
      </c>
    </row>
    <row r="11849">
      <c r="A11849" s="215" t="n">
        <v>46126</v>
      </c>
      <c r="B11849" s="216" t="n">
        <v>660</v>
      </c>
      <c r="C11849" s="216" t="n">
        <v>430.79</v>
      </c>
      <c r="D11849" s="216" t="n">
        <v>1.146226048469543</v>
      </c>
      <c r="E11849" s="215" t="n">
        <v>46126</v>
      </c>
      <c r="F11849" s="215" t="n">
        <v>46126</v>
      </c>
    </row>
    <row r="11850">
      <c r="A11850" s="215" t="n">
        <v>46127</v>
      </c>
      <c r="B11850" s="216" t="n">
        <v>655.5</v>
      </c>
      <c r="C11850" s="216" t="n">
        <v>431</v>
      </c>
      <c r="D11850" s="216" t="n">
        <v>1.149266004562378</v>
      </c>
      <c r="E11850" s="215" t="n">
        <v>46127</v>
      </c>
      <c r="F11850" s="215" t="n">
        <v>46127</v>
      </c>
    </row>
    <row r="11851">
      <c r="A11851" s="215" t="n">
        <v>46128</v>
      </c>
      <c r="B11851" s="216" t="n">
        <v>714.5</v>
      </c>
      <c r="C11851" s="216" t="n">
        <v>453.98</v>
      </c>
      <c r="D11851" s="216" t="n">
        <v>1.148550033569336</v>
      </c>
      <c r="E11851" s="215" t="n">
        <v>46128</v>
      </c>
      <c r="F11851" s="215" t="n">
        <v>46128</v>
      </c>
    </row>
    <row r="11852">
      <c r="A11852" s="215" t="n">
        <v>46129</v>
      </c>
      <c r="B11852" s="216" t="n">
        <v>692</v>
      </c>
      <c r="C11852" s="216" t="n">
        <v>444.2</v>
      </c>
      <c r="D11852" s="216" t="n">
        <v>1.146605014801025</v>
      </c>
      <c r="E11852" s="215" t="n">
        <v>46129</v>
      </c>
      <c r="F11852" s="215" t="n">
        <v>46129</v>
      </c>
    </row>
    <row r="11853">
      <c r="A11853" s="215" t="n">
        <v>46132</v>
      </c>
      <c r="B11853" s="216" t="n">
        <v>702.5</v>
      </c>
      <c r="C11853" s="216" t="n">
        <v>432.5</v>
      </c>
      <c r="D11853" s="216" t="n">
        <v>1.148360967636108</v>
      </c>
      <c r="E11853" s="215" t="n">
        <v>46132</v>
      </c>
      <c r="F11853" s="215" t="n">
        <v>46132</v>
      </c>
    </row>
    <row r="11854">
      <c r="A11854" s="215" t="n">
        <v>46133</v>
      </c>
      <c r="B11854" s="216" t="n">
        <v>736</v>
      </c>
      <c r="C11854" s="216" t="n">
        <v>447.6</v>
      </c>
      <c r="D11854" s="216" t="n">
        <v>1.148368000984192</v>
      </c>
      <c r="E11854" s="215" t="n">
        <v>46133</v>
      </c>
      <c r="F11854" s="215" t="n">
        <v>46133</v>
      </c>
    </row>
    <row r="11855">
      <c r="A11855" s="215" t="n">
        <v>46134</v>
      </c>
      <c r="B11855" s="216" t="n">
        <v>699</v>
      </c>
      <c r="C11855" s="216" t="n">
        <v>436.35</v>
      </c>
      <c r="D11855" s="216" t="n">
        <v>1.147838950157166</v>
      </c>
      <c r="E11855" s="215" t="n">
        <v>46134</v>
      </c>
      <c r="F11855" s="215" t="n">
        <v>46134</v>
      </c>
    </row>
    <row r="11856">
      <c r="A11856" s="215" t="n">
        <v>46135</v>
      </c>
      <c r="B11856" s="216" t="n">
        <v>702.5</v>
      </c>
      <c r="C11856" s="216" t="n">
        <v>438.9</v>
      </c>
      <c r="D11856" s="216" t="n">
        <v>1.147513031959534</v>
      </c>
      <c r="E11856" s="215" t="n">
        <v>46135</v>
      </c>
      <c r="F11856" s="215" t="n">
        <v>46135</v>
      </c>
    </row>
    <row r="11857">
      <c r="A11857" s="215" t="n">
        <v>46136</v>
      </c>
      <c r="B11857" s="216" t="n">
        <v>695</v>
      </c>
      <c r="C11857" s="216" t="n">
        <v>444.9</v>
      </c>
      <c r="D11857" s="216" t="n">
        <v>1.147369027137756</v>
      </c>
      <c r="E11857" s="215" t="n">
        <v>46136</v>
      </c>
      <c r="F11857" s="215" t="n">
        <v>46136</v>
      </c>
    </row>
    <row r="11858">
      <c r="A11858" s="215" t="n">
        <v>46139</v>
      </c>
      <c r="B11858" s="216" t="n">
        <v>675.5</v>
      </c>
      <c r="C11858" s="216" t="n">
        <v>434.88</v>
      </c>
      <c r="D11858" s="216" t="n">
        <v>1.146002054214478</v>
      </c>
      <c r="E11858" s="215" t="n">
        <v>46139</v>
      </c>
      <c r="F11858" s="215" t="n">
        <v>46139</v>
      </c>
    </row>
    <row r="11859">
      <c r="A11859" s="215" t="n">
        <v>46140</v>
      </c>
      <c r="B11859" s="216" t="n">
        <v>629</v>
      </c>
      <c r="C11859" s="216" t="n">
        <v>427.67</v>
      </c>
      <c r="D11859" s="216" t="n">
        <v>1.148522019386292</v>
      </c>
      <c r="E11859" s="215" t="n">
        <v>46140</v>
      </c>
      <c r="F11859" s="215" t="n">
        <v>46140</v>
      </c>
    </row>
    <row r="11860">
      <c r="A11860" s="215" t="n">
        <v>46141</v>
      </c>
      <c r="B11860" s="216" t="n">
        <v>627.5</v>
      </c>
      <c r="C11860" s="216" t="n">
        <v>445</v>
      </c>
      <c r="D11860" s="216" t="n">
        <v>1.145936012268066</v>
      </c>
      <c r="E11860" s="215" t="n">
        <v>46141</v>
      </c>
      <c r="F11860" s="215" t="n">
        <v>46141</v>
      </c>
    </row>
    <row r="11861">
      <c r="A11861" s="215" t="n">
        <v>46142</v>
      </c>
      <c r="B11861" s="216" t="n">
        <v>608</v>
      </c>
      <c r="C11861" s="216" t="n">
        <v>436</v>
      </c>
      <c r="D11861" s="216" t="n">
        <v>1.145792007446289</v>
      </c>
      <c r="E11861" s="215" t="n">
        <v>46142</v>
      </c>
      <c r="F11861" s="215" t="n">
        <v>46142</v>
      </c>
    </row>
    <row r="11862">
      <c r="A11862" s="215" t="n">
        <v>46146</v>
      </c>
      <c r="B11862" s="216" t="n">
        <v>631.5</v>
      </c>
      <c r="C11862" s="216" t="n">
        <v>436</v>
      </c>
      <c r="D11862" s="216" t="n">
        <v>1.147340059280396</v>
      </c>
      <c r="E11862" s="215" t="n">
        <v>46142</v>
      </c>
      <c r="F11862" s="215" t="n">
        <v>46146</v>
      </c>
    </row>
    <row r="11863">
      <c r="A11863" s="215" t="n">
        <v>46147</v>
      </c>
      <c r="B11863" s="216" t="n">
        <v>655</v>
      </c>
      <c r="C11863" s="216" t="n">
        <v>436</v>
      </c>
      <c r="D11863" s="216" t="n">
        <v>1.146813988685608</v>
      </c>
      <c r="E11863" s="215" t="n">
        <v>46142</v>
      </c>
      <c r="F11863" s="215" t="n">
        <v>46147</v>
      </c>
    </row>
    <row r="11864">
      <c r="A11864" s="215" t="n">
        <v>46148</v>
      </c>
      <c r="B11864" s="216" t="n">
        <v>669</v>
      </c>
      <c r="C11864" s="216" t="n">
        <v>460</v>
      </c>
      <c r="D11864" s="216" t="n">
        <v>1.14708399772644</v>
      </c>
      <c r="E11864" s="215" t="n">
        <v>46148</v>
      </c>
      <c r="F11864" s="215" t="n">
        <v>46148</v>
      </c>
    </row>
    <row r="11865">
      <c r="A11865" s="215" t="n">
        <v>46149</v>
      </c>
      <c r="B11865" s="216" t="n">
        <v>665</v>
      </c>
      <c r="C11865" s="216" t="n">
        <v>451.64</v>
      </c>
      <c r="D11865" s="216" t="n">
        <v>1.150125026702881</v>
      </c>
      <c r="E11865" s="215" t="n">
        <v>46149</v>
      </c>
      <c r="F11865" s="215" t="n">
        <v>46149</v>
      </c>
    </row>
    <row r="11866">
      <c r="A11866" s="215" t="n">
        <v>46150</v>
      </c>
      <c r="B11866" s="216" t="n">
        <v>651</v>
      </c>
      <c r="C11866" s="216" t="n">
        <v>437</v>
      </c>
      <c r="D11866" s="216" t="n">
        <v>1.15172004699707</v>
      </c>
      <c r="E11866" s="215" t="n">
        <v>46150</v>
      </c>
      <c r="F11866" s="215" t="n">
        <v>46150</v>
      </c>
    </row>
    <row r="11867">
      <c r="A11867" s="215" t="n">
        <v>46153</v>
      </c>
      <c r="B11867" s="216" t="n">
        <v>657.5</v>
      </c>
      <c r="C11867" s="216" t="n">
        <v>446.11</v>
      </c>
      <c r="D11867" s="216" t="n">
        <v>1.151090025901794</v>
      </c>
      <c r="E11867" s="215" t="n">
        <v>46153</v>
      </c>
      <c r="F11867" s="215" t="n">
        <v>46153</v>
      </c>
    </row>
    <row r="11868">
      <c r="A11868" s="215" t="n">
        <v>46154</v>
      </c>
      <c r="B11868" s="216" t="n">
        <v>651.5</v>
      </c>
      <c r="C11868" s="216" t="n">
        <v>431.25</v>
      </c>
      <c r="D11868" s="216" t="n">
        <v>1.152078986167908</v>
      </c>
      <c r="E11868" s="215" t="n">
        <v>46154</v>
      </c>
      <c r="F11868" s="215" t="n">
        <v>46154</v>
      </c>
    </row>
    <row r="11869">
      <c r="A11869" s="215" t="n">
        <v>46155</v>
      </c>
      <c r="B11869" s="216" t="n">
        <v>673</v>
      </c>
      <c r="C11869" s="216" t="n">
        <v>434.05</v>
      </c>
      <c r="D11869" s="216" t="n">
        <v>1.152537941932678</v>
      </c>
      <c r="E11869" s="215" t="n">
        <v>46155</v>
      </c>
      <c r="F11869" s="215" t="n">
        <v>46155</v>
      </c>
    </row>
    <row r="11870">
      <c r="A11870" s="215" t="n">
        <v>46156</v>
      </c>
      <c r="B11870" s="216" t="n">
        <v>686</v>
      </c>
      <c r="C11870" s="216" t="n">
        <v>427</v>
      </c>
      <c r="D11870" s="216" t="n">
        <v>1.152662992477417</v>
      </c>
      <c r="E11870" s="215" t="n">
        <v>46156</v>
      </c>
      <c r="F11870" s="215" t="n">
        <v>46156</v>
      </c>
    </row>
    <row r="11871">
      <c r="A11871" s="215" t="n">
        <v>46157</v>
      </c>
      <c r="B11871" s="216" t="n">
        <v>680</v>
      </c>
      <c r="C11871" s="216" t="n">
        <v>423.6</v>
      </c>
      <c r="D11871" s="216" t="n">
        <v>1.154320001602173</v>
      </c>
      <c r="E11871" s="215" t="n">
        <v>46157</v>
      </c>
      <c r="F11871" s="215" t="n">
        <v>46157</v>
      </c>
    </row>
    <row r="11872">
      <c r="A11872" s="215" t="n">
        <v>46160</v>
      </c>
      <c r="B11872" s="216" t="n">
        <v>674.5</v>
      </c>
      <c r="C11872" s="216" t="n">
        <v>417.23</v>
      </c>
      <c r="D11872" s="216" t="n">
        <v>1.149821996688843</v>
      </c>
      <c r="E11872" s="215" t="n">
        <v>46160</v>
      </c>
      <c r="F11872" s="215" t="n">
        <v>46160</v>
      </c>
    </row>
    <row r="11873">
      <c r="A11873" s="215" t="n">
        <v>46161</v>
      </c>
      <c r="B11873" s="216" t="n">
        <v>660</v>
      </c>
      <c r="C11873" s="216" t="n">
        <v>417.92</v>
      </c>
      <c r="D11873" s="216" t="n">
        <v>1.151532053947449</v>
      </c>
      <c r="E11873" s="215" t="n">
        <v>46161</v>
      </c>
      <c r="F11873" s="215" t="n">
        <v>46161</v>
      </c>
    </row>
    <row r="11874">
      <c r="A11874" s="215" t="n">
        <v>46162</v>
      </c>
      <c r="B11874" s="216" t="n">
        <v>662.5</v>
      </c>
      <c r="C11874" s="216" t="n">
        <v>414.75</v>
      </c>
      <c r="D11874" s="216" t="n">
        <v>1.149292945861816</v>
      </c>
      <c r="E11874" s="215" t="n">
        <v>46162</v>
      </c>
      <c r="F11874" s="215" t="n">
        <v>46162</v>
      </c>
    </row>
    <row r="11875">
      <c r="A11875" s="215" t="n">
        <v>46163</v>
      </c>
      <c r="B11875" s="216" t="n">
        <v>673.5</v>
      </c>
      <c r="C11875" s="216" t="n">
        <v>411.63</v>
      </c>
      <c r="D11875" s="216" t="n">
        <v>1.151231050491333</v>
      </c>
      <c r="E11875" s="215" t="n">
        <v>46163</v>
      </c>
      <c r="F11875" s="215" t="n">
        <v>46163</v>
      </c>
    </row>
    <row r="11876">
      <c r="A11876" s="215" t="n">
        <v>46164</v>
      </c>
      <c r="B11876" s="216" t="n">
        <v>686</v>
      </c>
      <c r="C11876" s="216" t="n">
        <v>411.16</v>
      </c>
      <c r="D11876" s="216" t="n">
        <v>1.151487946510315</v>
      </c>
      <c r="E11876" s="215" t="n">
        <v>46164</v>
      </c>
      <c r="F11876" s="215" t="n">
        <v>46164</v>
      </c>
    </row>
    <row r="11877">
      <c r="A11877" s="215" t="n">
        <v>46168</v>
      </c>
      <c r="B11877" s="216" t="n">
        <v>658</v>
      </c>
      <c r="C11877" s="216" t="n">
        <v>402.5</v>
      </c>
      <c r="D11877" s="216" t="n">
        <v>1.152968049049377</v>
      </c>
      <c r="E11877" s="215" t="n">
        <v>46168</v>
      </c>
      <c r="F11877" s="215" t="n">
        <v>46168</v>
      </c>
    </row>
    <row r="11878">
      <c r="A11878" s="215" t="n">
        <v>46169</v>
      </c>
      <c r="B11878" s="216" t="n">
        <v>700</v>
      </c>
      <c r="C11878" s="216" t="n">
        <v>414.8</v>
      </c>
      <c r="D11878" s="216" t="n">
        <v>1.154562950134277</v>
      </c>
      <c r="E11878" s="215" t="n">
        <v>46169</v>
      </c>
      <c r="F11878" s="215" t="n">
        <v>46169</v>
      </c>
    </row>
    <row r="11879">
      <c r="A11879" s="215" t="n">
        <v>46170</v>
      </c>
      <c r="B11879" s="216" t="n">
        <v>717</v>
      </c>
      <c r="C11879" s="216" t="n">
        <v>415.68</v>
      </c>
      <c r="D11879" s="216" t="n">
        <v>1.155385971069336</v>
      </c>
      <c r="E11879" s="215" t="n">
        <v>46170</v>
      </c>
      <c r="F11879" s="215" t="n">
        <v>46170</v>
      </c>
    </row>
    <row r="11880">
      <c r="A11880" s="215" t="n">
        <v>46171</v>
      </c>
      <c r="B11880" s="216" t="n">
        <v>744.5</v>
      </c>
      <c r="C11880" s="216" t="n">
        <v>424</v>
      </c>
      <c r="D11880" s="216" t="n">
        <v>1.155282974243164</v>
      </c>
      <c r="E11880" s="215" t="n">
        <v>46171</v>
      </c>
      <c r="F11880" s="215" t="n">
        <v>46171</v>
      </c>
    </row>
    <row r="11881">
      <c r="A11881" s="215" t="n">
        <v>46174</v>
      </c>
      <c r="B11881" s="216" t="n">
        <v>753.5</v>
      </c>
      <c r="C11881" s="216" t="n">
        <v>420.1</v>
      </c>
      <c r="D11881" s="216" t="n">
        <v>1.158049941062927</v>
      </c>
      <c r="E11881" s="215" t="n">
        <v>46174</v>
      </c>
      <c r="F11881" s="215" t="n">
        <v>46174</v>
      </c>
    </row>
    <row r="11882">
      <c r="A11882" s="215" t="n">
        <v>46175</v>
      </c>
      <c r="B11882" s="216" t="n">
        <v>779.5</v>
      </c>
      <c r="C11882" s="216" t="n">
        <v>433.89</v>
      </c>
      <c r="D11882" s="216" t="n">
        <v>1.158406972885132</v>
      </c>
      <c r="E11882" s="215" t="n">
        <v>46175</v>
      </c>
      <c r="F11882" s="215" t="n">
        <v>46175</v>
      </c>
    </row>
    <row r="11883">
      <c r="A11883" s="215" t="n">
        <v>46176</v>
      </c>
      <c r="B11883" s="216" t="n">
        <v>778</v>
      </c>
      <c r="C11883" s="216" t="n">
        <v>426.42</v>
      </c>
      <c r="D11883" s="216" t="n">
        <v>1.15879499912262</v>
      </c>
      <c r="E11883" s="215" t="n">
        <v>46176</v>
      </c>
      <c r="F11883" s="215" t="n">
        <v>46176</v>
      </c>
    </row>
    <row r="11884">
      <c r="A11884" s="215" t="n">
        <v>46177</v>
      </c>
      <c r="B11884" s="216" t="n">
        <v>723.5</v>
      </c>
      <c r="C11884" s="216" t="n">
        <v>408.2</v>
      </c>
      <c r="D11884" s="216" t="n">
        <v>1.157420039176941</v>
      </c>
      <c r="E11884" s="215" t="n">
        <v>46177</v>
      </c>
      <c r="F11884" s="215" t="n">
        <v>46177</v>
      </c>
    </row>
    <row r="11885">
      <c r="A11885" s="215" t="n">
        <v>46178</v>
      </c>
      <c r="B11885" s="216" t="n">
        <v>711</v>
      </c>
      <c r="C11885" s="216" t="n">
        <v>403</v>
      </c>
      <c r="D11885" s="216" t="n">
        <v>1.156491994857788</v>
      </c>
      <c r="E11885" s="215" t="n">
        <v>46178</v>
      </c>
      <c r="F11885" s="215" t="n">
        <v>46178</v>
      </c>
    </row>
    <row r="11886">
      <c r="A11886" s="215" t="n">
        <v>46181</v>
      </c>
      <c r="B11886" s="216" t="n">
        <v>683</v>
      </c>
      <c r="C11886" s="216" t="n">
        <v>393.02</v>
      </c>
      <c r="D11886" s="216" t="n">
        <v>1.157665967941284</v>
      </c>
      <c r="E11886" s="215" t="n">
        <v>46181</v>
      </c>
      <c r="F11886" s="215" t="n">
        <v>46181</v>
      </c>
    </row>
    <row r="11887">
      <c r="A11887" s="215" t="n">
        <v>46182</v>
      </c>
      <c r="B11887" s="216" t="n">
        <v>691</v>
      </c>
      <c r="C11887" s="216" t="n">
        <v>399.5</v>
      </c>
      <c r="D11887" s="216" t="n">
        <v>1.158027052879333</v>
      </c>
      <c r="E11887" s="215" t="n">
        <v>46182</v>
      </c>
      <c r="F11887" s="215" t="n">
        <v>46182</v>
      </c>
    </row>
    <row r="11888">
      <c r="A11888" s="215" t="n">
        <v>46183</v>
      </c>
      <c r="B11888" s="216" t="n">
        <v>653.5</v>
      </c>
      <c r="C11888" s="216" t="n">
        <v>388.5</v>
      </c>
      <c r="D11888" s="216" t="n">
        <v>1.157112002372742</v>
      </c>
      <c r="E11888" s="215" t="n">
        <v>46183</v>
      </c>
      <c r="F11888" s="215" t="n">
        <v>46183</v>
      </c>
    </row>
    <row r="11889">
      <c r="A11889" s="215" t="n">
        <v>46184</v>
      </c>
      <c r="B11889" s="216" t="n">
        <v>662</v>
      </c>
      <c r="C11889" s="216" t="n">
        <v>382.2</v>
      </c>
      <c r="D11889" s="216" t="n">
        <v>1.156929016113281</v>
      </c>
      <c r="E11889" s="215" t="n">
        <v>46184</v>
      </c>
      <c r="F11889" s="215" t="n">
        <v>46184</v>
      </c>
    </row>
    <row r="11890">
      <c r="A11890" s="215" t="n">
        <v>46185</v>
      </c>
      <c r="B11890" s="216" t="n">
        <v>672.5</v>
      </c>
      <c r="C11890" s="216" t="n">
        <v>394.85</v>
      </c>
      <c r="D11890" s="216" t="n">
        <v>1.156345963478088</v>
      </c>
      <c r="E11890" s="215" t="n">
        <v>46185</v>
      </c>
      <c r="F11890" s="215" t="n">
        <v>46185</v>
      </c>
    </row>
    <row r="11891">
      <c r="A11891" s="215" t="n">
        <v>46188</v>
      </c>
      <c r="B11891" s="216" t="n">
        <v>705</v>
      </c>
      <c r="C11891" s="216" t="n">
        <v>398.1</v>
      </c>
      <c r="D11891" s="216" t="n">
        <v>1.156880021095276</v>
      </c>
      <c r="E11891" s="215" t="n">
        <v>46188</v>
      </c>
      <c r="F11891" s="215" t="n">
        <v>46188</v>
      </c>
    </row>
    <row r="11892">
      <c r="A11892" s="215" t="n">
        <v>46189</v>
      </c>
      <c r="B11892" s="216" t="n">
        <v>716</v>
      </c>
      <c r="C11892" s="216" t="n">
        <v>403.53</v>
      </c>
      <c r="D11892" s="216" t="n">
        <v>1.158604025840759</v>
      </c>
      <c r="E11892" s="215" t="n">
        <v>46189</v>
      </c>
      <c r="F11892" s="215" t="n">
        <v>46189</v>
      </c>
    </row>
    <row r="11893">
      <c r="A11893" s="215" t="n">
        <v>46190</v>
      </c>
      <c r="B11893" s="216" t="n">
        <v>711</v>
      </c>
      <c r="C11893" s="216" t="n">
        <v>399</v>
      </c>
      <c r="D11893" s="216" t="n">
        <v>1.158974051475525</v>
      </c>
      <c r="E11893" s="215" t="n">
        <v>46190</v>
      </c>
      <c r="F11893" s="215" t="n">
        <v>46190</v>
      </c>
    </row>
    <row r="11894">
      <c r="A11894" s="215" t="n">
        <v>46191</v>
      </c>
      <c r="B11894" s="216" t="n">
        <v>708.5</v>
      </c>
      <c r="C11894" s="216" t="n">
        <v>391.55</v>
      </c>
      <c r="D11894" s="216" t="n">
        <v>1.159355998039246</v>
      </c>
      <c r="E11894" s="215" t="n">
        <v>46191</v>
      </c>
      <c r="F11894" s="215" t="n">
        <v>46191</v>
      </c>
    </row>
    <row r="11895">
      <c r="A11895" s="215" t="n">
        <v>46195</v>
      </c>
      <c r="B11895" s="216" t="n">
        <v>742</v>
      </c>
      <c r="C11895" s="216" t="n">
        <v>408.98</v>
      </c>
      <c r="D11895" s="216" t="n">
        <v>1.157493948936462</v>
      </c>
      <c r="E11895" s="215" t="n">
        <v>46195</v>
      </c>
      <c r="F11895" s="215" t="n">
        <v>46195</v>
      </c>
    </row>
    <row r="11896">
      <c r="A11896" s="215" t="n">
        <v>46196</v>
      </c>
      <c r="B11896" s="216" t="n">
        <v>704</v>
      </c>
      <c r="C11896" s="216" t="n">
        <v>392.51</v>
      </c>
      <c r="D11896" s="216" t="n">
        <v>1.156896948814392</v>
      </c>
      <c r="E11896" s="215" t="n">
        <v>46196</v>
      </c>
      <c r="F11896" s="215" t="n">
        <v>46196</v>
      </c>
    </row>
    <row r="11897">
      <c r="A11897" s="215" t="n">
        <v>46197</v>
      </c>
      <c r="B11897" s="216" t="n">
        <v>721.5</v>
      </c>
      <c r="C11897" s="216" t="n">
        <v>395.36</v>
      </c>
      <c r="D11897" s="216" t="n">
        <v>1.154508948326111</v>
      </c>
      <c r="E11897" s="215" t="n">
        <v>46197</v>
      </c>
      <c r="F11897" s="215" t="n">
        <v>46197</v>
      </c>
    </row>
    <row r="11898">
      <c r="A11898" s="215" t="n">
        <v>46198</v>
      </c>
      <c r="B11898" s="216" t="n">
        <v>716.5</v>
      </c>
      <c r="C11898" s="216" t="n">
        <v>401.9</v>
      </c>
      <c r="D11898" s="216" t="n">
        <v>1.154152035713196</v>
      </c>
      <c r="E11898" s="215" t="n">
        <v>46198</v>
      </c>
      <c r="F11898" s="215" t="n">
        <v>46198</v>
      </c>
    </row>
    <row r="11899">
      <c r="A11899" s="215" t="n">
        <v>46199</v>
      </c>
      <c r="B11899" s="216" t="n">
        <v>680.5</v>
      </c>
      <c r="C11899" s="216" t="n">
        <v>381</v>
      </c>
      <c r="D11899" s="216" t="n">
        <v>1.154500961303711</v>
      </c>
      <c r="E11899" s="215" t="n">
        <v>46199</v>
      </c>
      <c r="F11899" s="215" t="n">
        <v>46199</v>
      </c>
    </row>
    <row r="11900">
      <c r="A11900" s="215" t="n">
        <v>46202</v>
      </c>
      <c r="B11900" s="216" t="n">
        <v>695</v>
      </c>
      <c r="C11900" s="216" t="n">
        <v>392.36</v>
      </c>
      <c r="D11900" s="216" t="n">
        <v>1.153512001037598</v>
      </c>
      <c r="E11900" s="215" t="n">
        <v>46202</v>
      </c>
      <c r="F11900" s="215" t="n">
        <v>46202</v>
      </c>
    </row>
    <row r="11901">
      <c r="A11901" s="215" t="n">
        <v>46203</v>
      </c>
      <c r="B11901" s="216" t="n">
        <v>702</v>
      </c>
      <c r="C11901" s="216" t="n">
        <v>393.01</v>
      </c>
      <c r="D11901" s="216" t="n">
        <v>1.153959035873413</v>
      </c>
      <c r="E11901" s="215" t="n">
        <v>46203</v>
      </c>
      <c r="F11901" s="215" t="n">
        <v>46203</v>
      </c>
    </row>
    <row r="11902">
      <c r="A11902" s="215" t="n">
        <v>46205</v>
      </c>
      <c r="B11902" s="216" t="n">
        <v>681</v>
      </c>
      <c r="C11902" s="216" t="n">
        <v>382.35</v>
      </c>
      <c r="D11902" s="216" t="n">
        <v>1.154355049133301</v>
      </c>
      <c r="E11902" s="215" t="n">
        <v>46205</v>
      </c>
      <c r="F11902" s="215" t="n">
        <v>46205</v>
      </c>
    </row>
    <row r="11903">
      <c r="A11903" s="215" t="n">
        <v>46206</v>
      </c>
      <c r="B11903" s="216" t="n">
        <v>675.5</v>
      </c>
      <c r="C11903" s="216" t="n">
        <v>380</v>
      </c>
      <c r="D11903" s="216" t="n">
        <v>1.155220985412598</v>
      </c>
      <c r="E11903" s="215" t="n">
        <v>46206</v>
      </c>
      <c r="F11903" s="215" t="n">
        <v>46206</v>
      </c>
    </row>
    <row r="11904">
      <c r="A11904" s="215" t="n">
        <v>46209</v>
      </c>
      <c r="B11904" s="216" t="n">
        <v>668</v>
      </c>
      <c r="C11904" s="216" t="n">
        <v>374.51</v>
      </c>
      <c r="D11904" s="216" t="n">
        <v>1.155068039894104</v>
      </c>
      <c r="E11904" s="215" t="n">
        <v>46209</v>
      </c>
      <c r="F11904" s="215" t="n">
        <v>46209</v>
      </c>
    </row>
    <row r="11905">
      <c r="A11905" s="215" t="n">
        <v>46210</v>
      </c>
      <c r="B11905" s="216" t="n">
        <v>652</v>
      </c>
      <c r="C11905" s="216" t="n">
        <v>372.49</v>
      </c>
      <c r="D11905" s="216" t="n">
        <v>1.153807997703552</v>
      </c>
      <c r="E11905" s="215" t="n">
        <v>46210</v>
      </c>
      <c r="F11905" s="215" t="n">
        <v>46210</v>
      </c>
    </row>
    <row r="11906">
      <c r="A11906" s="215" t="n">
        <v>46211</v>
      </c>
      <c r="B11906" s="216" t="n">
        <v>628</v>
      </c>
      <c r="C11906" s="216" t="n">
        <v>361</v>
      </c>
      <c r="D11906" s="216" t="n">
        <v>1.154153943061829</v>
      </c>
      <c r="E11906" s="215" t="n">
        <v>46211</v>
      </c>
      <c r="F11906" s="215" t="n">
        <v>46211</v>
      </c>
    </row>
    <row r="11907">
      <c r="A11907" s="215" t="n">
        <v>46212</v>
      </c>
      <c r="B11907" s="216" t="n">
        <v>637.5</v>
      </c>
      <c r="C11907" s="216" t="n">
        <v>375.5</v>
      </c>
      <c r="D11907" s="216" t="n">
        <v>1.152119994163513</v>
      </c>
      <c r="E11907" s="215" t="n">
        <v>46212</v>
      </c>
      <c r="F11907" s="215" t="n">
        <v>46212</v>
      </c>
    </row>
    <row r="11908">
      <c r="A11908" s="215" t="n">
        <v>46213</v>
      </c>
      <c r="B11908" s="216" t="n">
        <v>587</v>
      </c>
      <c r="C11908" s="216" t="n">
        <v>348.76</v>
      </c>
      <c r="D11908" s="216" t="n">
        <v>1.153550028800964</v>
      </c>
      <c r="E11908" s="215" t="n">
        <v>46213</v>
      </c>
      <c r="F11908" s="215" t="n">
        <v>46213</v>
      </c>
    </row>
    <row r="11909">
      <c r="A11909" s="215" t="n">
        <v>46216</v>
      </c>
      <c r="B11909" s="216" t="n">
        <v>603</v>
      </c>
      <c r="C11909" s="216" t="n">
        <v>359.06</v>
      </c>
      <c r="D11909" s="216" t="n">
        <v>1.156761050224304</v>
      </c>
      <c r="E11909" s="215" t="n">
        <v>46216</v>
      </c>
      <c r="F11909" s="215" t="n">
        <v>46216</v>
      </c>
    </row>
    <row r="11910">
      <c r="A11910" s="215" t="n">
        <v>46217</v>
      </c>
      <c r="B11910" s="216" t="n">
        <v>605.5</v>
      </c>
      <c r="C11910" s="216" t="n">
        <v>364.01</v>
      </c>
      <c r="D11910" s="216" t="n">
        <v>1.155825972557068</v>
      </c>
      <c r="E11910" s="215" t="n">
        <v>46217</v>
      </c>
      <c r="F11910" s="215" t="n">
        <v>46217</v>
      </c>
    </row>
    <row r="11911">
      <c r="A11911" s="215" t="n">
        <v>46218</v>
      </c>
      <c r="B11911" s="216" t="n">
        <v>622</v>
      </c>
      <c r="C11911" s="216" t="n">
        <v>373</v>
      </c>
      <c r="D11911" s="216" t="n">
        <v>1.157556056976318</v>
      </c>
      <c r="E11911" s="215" t="n">
        <v>46218</v>
      </c>
      <c r="F11911" s="215" t="n">
        <v>46218</v>
      </c>
    </row>
    <row r="11912">
      <c r="A11912" s="215" t="n">
        <v>46219</v>
      </c>
      <c r="B11912" s="216" t="n">
        <v>621</v>
      </c>
      <c r="C11912" s="216" t="n">
        <v>366.2</v>
      </c>
      <c r="D11912" s="216" t="n">
        <v>1.157912969589233</v>
      </c>
      <c r="E11912" s="215" t="n">
        <v>46219</v>
      </c>
      <c r="F11912" s="215" t="n">
        <v>46219</v>
      </c>
    </row>
    <row r="11913">
      <c r="A11913" s="215" t="n">
        <v>46220</v>
      </c>
      <c r="B11913" s="216" t="n">
        <v>606.5</v>
      </c>
      <c r="C11913" s="216" t="n">
        <v>360</v>
      </c>
      <c r="D11913" s="216" t="n">
        <v>1.157472014427185</v>
      </c>
      <c r="E11913" s="215" t="n">
        <v>46220</v>
      </c>
      <c r="F11913" s="215" t="n">
        <v>46220</v>
      </c>
    </row>
    <row r="11914">
      <c r="A11914" s="215" t="n">
        <v>46223</v>
      </c>
      <c r="B11914" s="216" t="n">
        <v>618.5</v>
      </c>
      <c r="C11914" s="216" t="n">
        <v>376.43</v>
      </c>
      <c r="D11914" s="216" t="n">
        <v>1.157451033592224</v>
      </c>
      <c r="E11914" s="215" t="n">
        <v>46223</v>
      </c>
      <c r="F11914" s="215" t="n">
        <v>46223</v>
      </c>
    </row>
    <row r="11915">
      <c r="A11915" s="215" t="n">
        <v>46224</v>
      </c>
      <c r="B11915" s="216" t="n">
        <v>626</v>
      </c>
      <c r="C11915" s="216" t="n">
        <v>382.2</v>
      </c>
      <c r="D11915" s="216" t="n">
        <v>1.157506942749023</v>
      </c>
      <c r="E11915" s="215" t="n">
        <v>46224</v>
      </c>
      <c r="F11915" s="215" t="n">
        <v>46224</v>
      </c>
    </row>
    <row r="11916">
      <c r="A11916" s="215" t="n">
        <v>46225</v>
      </c>
      <c r="B11916" s="216" t="n">
        <v>609.5</v>
      </c>
      <c r="C11916" s="216" t="n">
        <v>372.26</v>
      </c>
      <c r="D11916" s="216" t="n">
        <v>1.158938050270081</v>
      </c>
      <c r="E11916" s="215" t="n">
        <v>46225</v>
      </c>
      <c r="F11916" s="215" t="n">
        <v>46225</v>
      </c>
    </row>
    <row r="11917">
      <c r="A11917" s="215" t="n">
        <v>46226</v>
      </c>
      <c r="B11917" s="216" t="n">
        <v>626.5</v>
      </c>
      <c r="C11917" s="216" t="n">
        <v>385.99</v>
      </c>
      <c r="D11917" s="216" t="n">
        <v>1.157410979270935</v>
      </c>
      <c r="E11917" s="215" t="n">
        <v>46226</v>
      </c>
      <c r="F11917" s="215" t="n">
        <v>46226</v>
      </c>
    </row>
    <row r="11918">
      <c r="A11918" s="215" t="n">
        <v>46227</v>
      </c>
      <c r="B11918" s="216" t="n">
        <v>622</v>
      </c>
      <c r="C11918" s="216" t="n">
        <v>383.01</v>
      </c>
      <c r="D11918" s="216" t="n">
        <v>1.15762197971344</v>
      </c>
      <c r="E11918" s="215" t="n">
        <v>46227</v>
      </c>
      <c r="F11918" s="215" t="n">
        <v>46227</v>
      </c>
    </row>
    <row r="11919">
      <c r="A11919" s="215" t="n">
        <v>46230</v>
      </c>
      <c r="B11919" s="216" t="n">
        <v>635</v>
      </c>
      <c r="C11919" s="216" t="n">
        <v>400</v>
      </c>
      <c r="D11919" s="216" t="n">
        <v>1.15789794921875</v>
      </c>
      <c r="E11919" s="215" t="n">
        <v>46230</v>
      </c>
      <c r="F11919" s="215" t="n">
        <v>46230</v>
      </c>
    </row>
    <row r="11920">
      <c r="A11920" s="215" t="n">
        <v>46231</v>
      </c>
      <c r="B11920" s="216" t="n">
        <v>603.5</v>
      </c>
      <c r="C11920" s="216" t="n">
        <v>390.86</v>
      </c>
      <c r="D11920" s="216" t="n">
        <v>1.158699035644531</v>
      </c>
      <c r="E11920" s="215" t="n">
        <v>46231</v>
      </c>
      <c r="F11920" s="215" t="n">
        <v>46231</v>
      </c>
    </row>
    <row r="11921">
      <c r="A11921" s="215" t="n">
        <v>46232</v>
      </c>
      <c r="B11921" s="216" t="n">
        <v>619.5</v>
      </c>
      <c r="C11921" s="216" t="n">
        <v>396.84</v>
      </c>
      <c r="D11921" s="216" t="n">
        <v>1.157909989356995</v>
      </c>
      <c r="E11921" s="215" t="n">
        <v>46232</v>
      </c>
      <c r="F11921" s="215" t="n">
        <v>46232</v>
      </c>
    </row>
    <row r="11922">
      <c r="A11922" s="215" t="n">
        <v>46233</v>
      </c>
      <c r="B11922" s="216" t="n">
        <v>621</v>
      </c>
      <c r="C11922" s="216" t="n">
        <v>401.88</v>
      </c>
      <c r="D11922" s="216" t="n">
        <v>1.158943057060242</v>
      </c>
      <c r="E11922" s="215" t="n">
        <v>46233</v>
      </c>
      <c r="F11922" s="215" t="n">
        <v>46233</v>
      </c>
    </row>
    <row r="11923">
      <c r="A11923" s="215" t="n">
        <v>46234</v>
      </c>
      <c r="B11923" s="216" t="n">
        <v>622.5</v>
      </c>
      <c r="C11923" s="216" t="n">
        <v>395.3</v>
      </c>
      <c r="D11923" s="216" t="n">
        <v>1.160945057868958</v>
      </c>
      <c r="E11923" s="215" t="n">
        <v>46234</v>
      </c>
      <c r="F11923" s="215" t="n">
        <v>46234</v>
      </c>
    </row>
    <row r="11924">
      <c r="A11924" s="215" t="n">
        <v>46237</v>
      </c>
      <c r="B11924" s="216" t="n">
        <v>625</v>
      </c>
      <c r="C11924" s="216" t="n">
        <v>394.4</v>
      </c>
      <c r="D11924" s="216" t="n">
        <v>1.161579966545105</v>
      </c>
      <c r="E11924" s="215" t="n">
        <v>46237</v>
      </c>
      <c r="F11924" s="215" t="n">
        <v>46237</v>
      </c>
    </row>
    <row r="11925">
      <c r="A11925" s="215" t="n">
        <v>46238</v>
      </c>
      <c r="B11925" s="216" t="n">
        <v>649.5</v>
      </c>
      <c r="C11925" s="216" t="n">
        <v>395.1</v>
      </c>
      <c r="D11925" s="216" t="n">
        <v>1.161064982414246</v>
      </c>
      <c r="E11925" s="215" t="n">
        <v>46238</v>
      </c>
      <c r="F11925" s="215" t="n">
        <v>46238</v>
      </c>
    </row>
    <row r="11926">
      <c r="A11926" s="215" t="n">
        <v>46239</v>
      </c>
      <c r="B11926" s="216" t="n">
        <v>663</v>
      </c>
      <c r="C11926" s="216" t="n">
        <v>405.2</v>
      </c>
      <c r="D11926" s="216" t="n">
        <v>1.161146998405457</v>
      </c>
      <c r="E11926" s="215" t="n">
        <v>46239</v>
      </c>
      <c r="F11926" s="215" t="n">
        <v>46239</v>
      </c>
    </row>
    <row r="11927">
      <c r="A11927" s="215" t="n">
        <v>46240</v>
      </c>
      <c r="B11927" s="216" t="n">
        <v>628</v>
      </c>
      <c r="C11927" s="216" t="n">
        <v>388</v>
      </c>
      <c r="D11927" s="216" t="n">
        <v>1.161936044692993</v>
      </c>
      <c r="E11927" s="215" t="n">
        <v>46240</v>
      </c>
      <c r="F11927" s="215" t="n">
        <v>46240</v>
      </c>
    </row>
    <row r="11928">
      <c r="A11928" s="215" t="n">
        <v>46241</v>
      </c>
      <c r="B11928" s="216" t="n">
        <v>632.5</v>
      </c>
      <c r="C11928" s="216" t="n">
        <v>388.07</v>
      </c>
      <c r="D11928" s="216" t="n">
        <v>1.162284016609192</v>
      </c>
      <c r="E11928" s="215" t="n">
        <v>46241</v>
      </c>
      <c r="F11928" s="215" t="n">
        <v>46241</v>
      </c>
    </row>
    <row r="11929">
      <c r="A11929" s="215" t="n">
        <v>46244</v>
      </c>
      <c r="B11929" s="216" t="n">
        <v>641</v>
      </c>
      <c r="C11929" s="216" t="n">
        <v>393.87</v>
      </c>
      <c r="D11929" s="216" t="n">
        <v>1.162629961967468</v>
      </c>
      <c r="E11929" s="215" t="n">
        <v>46244</v>
      </c>
      <c r="F11929" s="215" t="n">
        <v>46244</v>
      </c>
    </row>
    <row r="11930">
      <c r="A11930" s="215" t="n">
        <v>46245</v>
      </c>
      <c r="B11930" s="216" t="n">
        <v>651.5</v>
      </c>
      <c r="C11930" s="216" t="n">
        <v>390.4</v>
      </c>
      <c r="D11930" s="216" t="n">
        <v>1.162588000297546</v>
      </c>
      <c r="E11930" s="215" t="n">
        <v>46245</v>
      </c>
      <c r="F11930" s="215" t="n">
        <v>46245</v>
      </c>
    </row>
    <row r="11931">
      <c r="A11931" s="215" t="n">
        <v>46246</v>
      </c>
      <c r="B11931" s="216" t="n">
        <v>654</v>
      </c>
      <c r="C11931" s="216" t="n">
        <v>393.93</v>
      </c>
      <c r="D11931" s="216" t="n">
        <v>1.163135051727295</v>
      </c>
      <c r="E11931" s="215" t="n">
        <v>46246</v>
      </c>
      <c r="F11931" s="215" t="n">
        <v>46246</v>
      </c>
    </row>
    <row r="11932">
      <c r="A11932" s="215" t="n">
        <v>46247</v>
      </c>
      <c r="B11932" s="216" t="n">
        <v>652.5</v>
      </c>
      <c r="C11932" s="216" t="n">
        <v>396.3</v>
      </c>
      <c r="D11932" s="216" t="n">
        <v>1.163341045379639</v>
      </c>
      <c r="E11932" s="215" t="n">
        <v>46247</v>
      </c>
      <c r="F11932" s="215" t="n">
        <v>46247</v>
      </c>
    </row>
    <row r="11933">
      <c r="A11933" s="215" t="n">
        <v>46248</v>
      </c>
      <c r="B11933" s="216" t="n">
        <v>641.5</v>
      </c>
      <c r="C11933" s="216" t="n">
        <v>393.93</v>
      </c>
      <c r="D11933" s="216" t="n">
        <v>1.163571000099182</v>
      </c>
      <c r="E11933" s="215" t="n">
        <v>46248</v>
      </c>
      <c r="F11933" s="215" t="n">
        <v>46248</v>
      </c>
    </row>
    <row r="11934">
      <c r="A11934" s="215" t="n">
        <v>46251</v>
      </c>
      <c r="B11934" s="216" t="n">
        <v>652</v>
      </c>
      <c r="C11934" s="216" t="n">
        <v>399.98</v>
      </c>
      <c r="D11934" s="216" t="n">
        <v>1.163601994514465</v>
      </c>
      <c r="E11934" s="215" t="n">
        <v>46251</v>
      </c>
      <c r="F11934" s="215" t="n">
        <v>46251</v>
      </c>
    </row>
    <row r="11935">
      <c r="A11935" s="215" t="n">
        <v>46252</v>
      </c>
      <c r="B11935" s="216" t="n">
        <v>650.5</v>
      </c>
      <c r="C11935" s="216" t="n">
        <v>396.26</v>
      </c>
      <c r="D11935" s="216" t="n">
        <v>1.163733005523682</v>
      </c>
      <c r="E11935" s="215" t="n">
        <v>46252</v>
      </c>
      <c r="F11935" s="215" t="n">
        <v>46252</v>
      </c>
    </row>
    <row r="11936">
      <c r="A11936" s="215" t="n">
        <v>46253</v>
      </c>
      <c r="B11936" s="216" t="n">
        <v>628.5</v>
      </c>
      <c r="C11936" s="216" t="n">
        <v>389</v>
      </c>
      <c r="D11936" s="216" t="n">
        <v>1.163092017173767</v>
      </c>
      <c r="E11936" s="215" t="n">
        <v>46253</v>
      </c>
      <c r="F11936" s="215" t="n">
        <v>46253</v>
      </c>
    </row>
    <row r="11937">
      <c r="A11937" s="215" t="n">
        <v>46254</v>
      </c>
      <c r="B11937" s="216" t="n">
        <v>629</v>
      </c>
      <c r="C11937" s="216" t="n">
        <v>385</v>
      </c>
      <c r="D11937" s="216" t="n">
        <v>1.164932012557983</v>
      </c>
      <c r="E11937" s="215" t="n">
        <v>46254</v>
      </c>
      <c r="F11937" s="215" t="n">
        <v>46254</v>
      </c>
    </row>
    <row r="11938">
      <c r="A11938" s="215" t="n">
        <v>46255</v>
      </c>
      <c r="B11938" s="216" t="n">
        <v>652.5</v>
      </c>
      <c r="C11938" s="216" t="n">
        <v>391.15</v>
      </c>
      <c r="D11938" s="216" t="n">
        <v>1.166555047035217</v>
      </c>
      <c r="E11938" s="215" t="n">
        <v>46255</v>
      </c>
      <c r="F11938" s="215" t="n">
        <v>46255</v>
      </c>
    </row>
    <row r="11939">
      <c r="A11939" s="215" t="n">
        <v>46258</v>
      </c>
      <c r="B11939" s="216" t="n">
        <v>638.5</v>
      </c>
      <c r="C11939" s="216" t="n">
        <v>387.89</v>
      </c>
      <c r="D11939" s="216" t="n">
        <v>1.166316986083984</v>
      </c>
      <c r="E11939" s="215" t="n">
        <v>46258</v>
      </c>
      <c r="F11939" s="215" t="n">
        <v>46258</v>
      </c>
    </row>
    <row r="11940">
      <c r="A11940" s="215" t="n">
        <v>46259</v>
      </c>
      <c r="B11940" s="216" t="n">
        <v>621</v>
      </c>
      <c r="C11940" s="216" t="n">
        <v>376.73</v>
      </c>
      <c r="D11940" s="216" t="n">
        <v>1.165253043174744</v>
      </c>
      <c r="E11940" s="215" t="n">
        <v>46259</v>
      </c>
      <c r="F11940" s="215" t="n">
        <v>46259</v>
      </c>
    </row>
    <row r="11941">
      <c r="A11941" s="215" t="n">
        <v>46260</v>
      </c>
      <c r="B11941" s="216" t="n">
        <v>618</v>
      </c>
      <c r="C11941" s="216" t="n">
        <v>379</v>
      </c>
      <c r="D11941" s="216" t="n">
        <v>1.166218996047974</v>
      </c>
      <c r="E11941" s="215" t="n">
        <v>46260</v>
      </c>
      <c r="F11941" s="215" t="n">
        <v>46260</v>
      </c>
    </row>
    <row r="11942">
      <c r="A11942" s="215" t="n">
        <v>46261</v>
      </c>
      <c r="B11942" s="216" t="n">
        <v>613.5</v>
      </c>
      <c r="C11942" s="216" t="n">
        <v>373</v>
      </c>
      <c r="D11942" s="216" t="n">
        <v>1.165971040725708</v>
      </c>
      <c r="E11942" s="215" t="n">
        <v>46261</v>
      </c>
      <c r="F11942" s="215" t="n">
        <v>46261</v>
      </c>
    </row>
    <row r="11943">
      <c r="A11943" s="215" t="n">
        <v>46262</v>
      </c>
      <c r="B11943" s="216" t="n">
        <v>616.5</v>
      </c>
      <c r="C11943" s="216" t="n">
        <v>368.5</v>
      </c>
      <c r="D11943" s="216" t="n">
        <v>1.165799975395203</v>
      </c>
      <c r="E11943" s="215" t="n">
        <v>46262</v>
      </c>
      <c r="F11943" s="215" t="n">
        <v>46262</v>
      </c>
    </row>
    <row r="11944">
      <c r="A11944" s="215" t="n">
        <v>46265</v>
      </c>
      <c r="B11944" s="216" t="n">
        <v>599.5</v>
      </c>
      <c r="C11944" s="216" t="n">
        <v>363.55</v>
      </c>
      <c r="D11944" s="216" t="n">
        <v>1.165387988090515</v>
      </c>
      <c r="E11944" s="215" t="n">
        <v>46265</v>
      </c>
      <c r="F11944" s="215" t="n">
        <v>46265</v>
      </c>
    </row>
    <row r="11945">
      <c r="A11945" s="215" t="n">
        <v>46266</v>
      </c>
      <c r="B11945" s="216" t="n">
        <v>592</v>
      </c>
      <c r="C11945" s="216" t="n">
        <v>358.1</v>
      </c>
      <c r="D11945" s="216" t="n">
        <v>1.165223956108093</v>
      </c>
      <c r="E11945" s="215" t="n">
        <v>46266</v>
      </c>
      <c r="F11945" s="215" t="n">
        <v>46266</v>
      </c>
    </row>
    <row r="11946">
      <c r="A11946" s="215" t="n">
        <v>46267</v>
      </c>
      <c r="B11946" s="216" t="n">
        <v>564.5</v>
      </c>
      <c r="C11946" s="216" t="n">
        <v>348.29</v>
      </c>
      <c r="D11946" s="216" t="n">
        <v>1.166425943374634</v>
      </c>
      <c r="E11946" s="215" t="n">
        <v>46267</v>
      </c>
      <c r="F11946" s="215" t="n">
        <v>46267</v>
      </c>
    </row>
    <row r="11947">
      <c r="A11947" s="215" t="n">
        <v>46268</v>
      </c>
      <c r="B11947" s="216" t="n">
        <v>567.5</v>
      </c>
      <c r="C11947" s="216" t="n">
        <v>349.5</v>
      </c>
      <c r="D11947" s="216" t="n">
        <v>1.167057037353516</v>
      </c>
      <c r="E11947" s="215" t="n">
        <v>46268</v>
      </c>
      <c r="F11947" s="215" t="n">
        <v>46268</v>
      </c>
    </row>
    <row r="11948">
      <c r="A11948" s="215" t="n">
        <v>46269</v>
      </c>
      <c r="B11948" s="216" t="n">
        <v>574.5</v>
      </c>
      <c r="C11948" s="216" t="n">
        <v>351</v>
      </c>
      <c r="D11948" s="216" t="n">
        <v>1.166767954826355</v>
      </c>
      <c r="E11948" s="215" t="n">
        <v>46269</v>
      </c>
      <c r="F11948" s="215" t="n">
        <v>46269</v>
      </c>
    </row>
    <row r="11949">
      <c r="A11949" s="215" t="n">
        <v>46272</v>
      </c>
      <c r="B11949" s="216" t="n">
        <v>572.5</v>
      </c>
      <c r="C11949" s="216" t="n">
        <v>348.2</v>
      </c>
      <c r="D11949" s="216" t="n">
        <v>1.168081045150757</v>
      </c>
      <c r="E11949" s="215" t="n">
        <v>46272</v>
      </c>
      <c r="F11949" s="215" t="n">
        <v>46272</v>
      </c>
    </row>
    <row r="11950">
      <c r="A11950" s="215" t="n">
        <v>46273</v>
      </c>
      <c r="B11950" s="216" t="n">
        <v>562</v>
      </c>
      <c r="C11950" s="216" t="n">
        <v>335.49</v>
      </c>
      <c r="D11950" s="216" t="n">
        <v>1.168115019798279</v>
      </c>
      <c r="E11950" s="215" t="n">
        <v>46273</v>
      </c>
      <c r="F11950" s="215" t="n">
        <v>46273</v>
      </c>
    </row>
    <row r="11951">
      <c r="A11951" s="215" t="n">
        <v>46274</v>
      </c>
      <c r="B11951" s="216" t="n">
        <v>562</v>
      </c>
      <c r="C11951" s="216" t="n">
        <v>336.84</v>
      </c>
      <c r="D11951" s="216" t="n">
        <v>1.168408989906311</v>
      </c>
      <c r="E11951" s="215" t="n">
        <v>46274</v>
      </c>
      <c r="F11951" s="215" t="n">
        <v>46274</v>
      </c>
    </row>
    <row r="11952">
      <c r="A11952" s="215" t="n">
        <v>46275</v>
      </c>
      <c r="B11952" s="216" t="n">
        <v>561.5</v>
      </c>
      <c r="C11952" s="216" t="n">
        <v>338.06</v>
      </c>
      <c r="D11952" s="216" t="n">
        <v>1.168462991714478</v>
      </c>
      <c r="E11952" s="215" t="n">
        <v>46275</v>
      </c>
      <c r="F11952" s="215" t="n">
        <v>46275</v>
      </c>
    </row>
    <row r="11953">
      <c r="A11953" s="215" t="n">
        <v>46276</v>
      </c>
      <c r="B11953" s="216" t="n">
        <v>547.5</v>
      </c>
      <c r="C11953" s="216" t="n">
        <v>330.51</v>
      </c>
      <c r="D11953" s="216" t="n">
        <v>1.169165015220642</v>
      </c>
      <c r="E11953" s="215" t="n">
        <v>46276</v>
      </c>
      <c r="F11953" s="215" t="n">
        <v>46276</v>
      </c>
    </row>
    <row r="11954">
      <c r="A11954" s="215" t="n">
        <v>46279</v>
      </c>
      <c r="B11954" s="216" t="n">
        <v>549</v>
      </c>
      <c r="C11954" s="216" t="n">
        <v>337.11</v>
      </c>
      <c r="D11954" s="216" t="n">
        <v>1.16893994808197</v>
      </c>
      <c r="E11954" s="215" t="n">
        <v>46279</v>
      </c>
      <c r="F11954" s="215" t="n">
        <v>46279</v>
      </c>
    </row>
    <row r="11955">
      <c r="A11955" s="215" t="n">
        <v>46280</v>
      </c>
      <c r="B11955" s="216" t="n">
        <v>516</v>
      </c>
      <c r="C11955" s="216" t="n">
        <v>316.36</v>
      </c>
      <c r="D11955" s="216" t="n">
        <v>1.169121026992798</v>
      </c>
      <c r="E11955" s="215" t="n">
        <v>46280</v>
      </c>
      <c r="F11955" s="215" t="n">
        <v>46280</v>
      </c>
    </row>
    <row r="11956">
      <c r="A11956" s="215" t="n">
        <v>46281</v>
      </c>
      <c r="B11956" s="216" t="n">
        <v>501</v>
      </c>
      <c r="C11956" s="216" t="n">
        <v>305.48</v>
      </c>
      <c r="D11956" s="216" t="n">
        <v>1.168769955635071</v>
      </c>
      <c r="E11956" s="215" t="n">
        <v>46281</v>
      </c>
      <c r="F11956" s="215" t="n">
        <v>46281</v>
      </c>
    </row>
    <row r="11957">
      <c r="A11957" s="215" t="n">
        <v>46282</v>
      </c>
      <c r="B11957" s="216" t="n">
        <v>507</v>
      </c>
      <c r="C11957" s="216" t="n">
        <v>304.3</v>
      </c>
      <c r="D11957" s="216" t="n">
        <v>1.169389963150024</v>
      </c>
      <c r="E11957" s="215" t="n">
        <v>46282</v>
      </c>
      <c r="F11957" s="215" t="n">
        <v>46282</v>
      </c>
    </row>
    <row r="11958">
      <c r="A11958" s="215" t="n">
        <v>46283</v>
      </c>
      <c r="B11958" s="216" t="n">
        <v>507</v>
      </c>
      <c r="C11958" s="216" t="n">
        <v>301.95</v>
      </c>
      <c r="D11958" s="216" t="n">
        <v>1.16942298412323</v>
      </c>
      <c r="E11958" s="215" t="n">
        <v>46283</v>
      </c>
      <c r="F11958" s="215" t="n">
        <v>46283</v>
      </c>
    </row>
    <row r="11959">
      <c r="A11959" s="215" t="n">
        <v>46286</v>
      </c>
      <c r="B11959" s="216" t="n">
        <v>504</v>
      </c>
      <c r="C11959" s="216" t="n">
        <v>297.1</v>
      </c>
      <c r="D11959" s="216" t="n">
        <v>1.171280026435852</v>
      </c>
      <c r="E11959" s="215" t="n">
        <v>46286</v>
      </c>
      <c r="F11959" s="215" t="n">
        <v>46286</v>
      </c>
    </row>
    <row r="11960">
      <c r="A11960" s="215" t="n">
        <v>46287</v>
      </c>
      <c r="B11960" s="216" t="n">
        <v>507</v>
      </c>
      <c r="C11960" s="216" t="n">
        <v>304.63</v>
      </c>
      <c r="D11960" s="216" t="n">
        <v>1.171705007553101</v>
      </c>
      <c r="E11960" s="215" t="n">
        <v>46287</v>
      </c>
      <c r="F11960" s="215" t="n">
        <v>46287</v>
      </c>
    </row>
    <row r="11961">
      <c r="A11961" s="215" t="n">
        <v>46288</v>
      </c>
      <c r="B11961" s="216" t="n">
        <v>511.5</v>
      </c>
      <c r="C11961" s="216" t="n">
        <v>301</v>
      </c>
      <c r="D11961" s="216" t="n">
        <v>1.170611023902893</v>
      </c>
      <c r="E11961" s="215" t="n">
        <v>46288</v>
      </c>
      <c r="F11961" s="215" t="n">
        <v>46288</v>
      </c>
    </row>
    <row r="11962">
      <c r="A11962" s="215" t="n">
        <v>46289</v>
      </c>
      <c r="B11962" s="216" t="n">
        <v>492.8</v>
      </c>
      <c r="C11962" s="216" t="n">
        <v>293.5</v>
      </c>
      <c r="D11962" s="216" t="n">
        <v>1.16852605342865</v>
      </c>
      <c r="E11962" s="215" t="n">
        <v>46289</v>
      </c>
      <c r="F11962" s="215" t="n">
        <v>46289</v>
      </c>
    </row>
    <row r="11963">
      <c r="A11963" s="215" t="n">
        <v>46290</v>
      </c>
      <c r="B11963" s="216" t="n">
        <v>489.4</v>
      </c>
      <c r="C11963" s="216" t="n">
        <v>293.5</v>
      </c>
      <c r="D11963" s="216" t="n">
        <v>1.168424010276794</v>
      </c>
      <c r="E11963" s="215" t="n">
        <v>46289</v>
      </c>
      <c r="F11963" s="215" t="n">
        <v>46290</v>
      </c>
    </row>
    <row r="11964">
      <c r="A11964" s="215" t="n">
        <v>46293</v>
      </c>
      <c r="B11964" s="216" t="n">
        <v>484.6</v>
      </c>
      <c r="C11964" s="216" t="n">
        <v>291.99</v>
      </c>
      <c r="D11964" s="216" t="n">
        <v>1.168378949165344</v>
      </c>
      <c r="E11964" s="215" t="n">
        <v>46293</v>
      </c>
      <c r="F11964" s="215" t="n">
        <v>46293</v>
      </c>
    </row>
    <row r="11965">
      <c r="A11965" s="215" t="n">
        <v>46294</v>
      </c>
      <c r="B11965" s="216" t="n">
        <v>482.2</v>
      </c>
      <c r="C11965" s="216" t="n">
        <v>286.8</v>
      </c>
      <c r="D11965" s="216" t="n">
        <v>1.168815970420837</v>
      </c>
      <c r="E11965" s="215" t="n">
        <v>46294</v>
      </c>
      <c r="F11965" s="215" t="n">
        <v>46294</v>
      </c>
    </row>
    <row r="11966">
      <c r="A11966" s="215" t="n">
        <v>46295</v>
      </c>
      <c r="B11966" s="216" t="n">
        <v>484.2</v>
      </c>
      <c r="C11966" s="216" t="n">
        <v>291.11</v>
      </c>
      <c r="D11966" s="216" t="n">
        <v>1.17059600353241</v>
      </c>
      <c r="E11966" s="215" t="n">
        <v>46295</v>
      </c>
      <c r="F11966" s="215" t="n">
        <v>46295</v>
      </c>
    </row>
    <row r="11967">
      <c r="A11967" s="215" t="n">
        <v>46297</v>
      </c>
      <c r="B11967" s="216" t="n">
        <v>476.8</v>
      </c>
      <c r="C11967" s="216" t="n">
        <v>291.11</v>
      </c>
      <c r="D11967" s="216" t="n">
        <v>1.170220971107483</v>
      </c>
      <c r="E11967" s="215" t="n">
        <v>46295</v>
      </c>
      <c r="F11967" s="215" t="n">
        <v>46297</v>
      </c>
    </row>
    <row r="11968">
      <c r="A11968" s="215" t="n">
        <v>45978</v>
      </c>
      <c r="B11968" s="216" t="n">
        <v>33.96</v>
      </c>
      <c r="C11968" s="216" t="n">
        <v>50.22</v>
      </c>
      <c r="D11968" s="216" t="n">
        <v>1.094588041305542</v>
      </c>
      <c r="E11968" s="215" t="n">
        <v>45978</v>
      </c>
      <c r="F11968" s="215" t="n">
        <v>45978</v>
      </c>
    </row>
    <row r="11969">
      <c r="A11969" s="215" t="n">
        <v>45979</v>
      </c>
      <c r="B11969" s="216" t="n">
        <v>32.4</v>
      </c>
      <c r="C11969" s="216" t="n">
        <v>47.42</v>
      </c>
      <c r="D11969" s="216" t="n">
        <v>1.093616008758545</v>
      </c>
      <c r="E11969" s="215" t="n">
        <v>45979</v>
      </c>
      <c r="F11969" s="215" t="n">
        <v>45979</v>
      </c>
    </row>
    <row r="11970">
      <c r="A11970" s="215" t="n">
        <v>45980</v>
      </c>
      <c r="B11970" s="216" t="n">
        <v>30.24</v>
      </c>
      <c r="C11970" s="216" t="n">
        <v>46.9</v>
      </c>
      <c r="D11970" s="216" t="n">
        <v>1.095010995864868</v>
      </c>
      <c r="E11970" s="215" t="n">
        <v>45980</v>
      </c>
      <c r="F11970" s="215" t="n">
        <v>45980</v>
      </c>
    </row>
    <row r="11971">
      <c r="A11971" s="215" t="n">
        <v>45981</v>
      </c>
      <c r="B11971" s="216" t="n">
        <v>30.3</v>
      </c>
      <c r="C11971" s="216" t="n">
        <v>45.63</v>
      </c>
      <c r="D11971" s="216" t="n">
        <v>1.095402002334595</v>
      </c>
      <c r="E11971" s="215" t="n">
        <v>45981</v>
      </c>
      <c r="F11971" s="215" t="n">
        <v>45981</v>
      </c>
    </row>
    <row r="11972">
      <c r="A11972" s="215" t="n">
        <v>45982</v>
      </c>
      <c r="B11972" s="216" t="n">
        <v>28.56</v>
      </c>
      <c r="C11972" s="216" t="n">
        <v>41.13</v>
      </c>
      <c r="D11972" s="216" t="n">
        <v>1.094982981681824</v>
      </c>
      <c r="E11972" s="215" t="n">
        <v>45982</v>
      </c>
      <c r="F11972" s="215" t="n">
        <v>45982</v>
      </c>
    </row>
    <row r="11973">
      <c r="A11973" s="215" t="n">
        <v>45985</v>
      </c>
      <c r="B11973" s="216" t="n">
        <v>30.3</v>
      </c>
      <c r="C11973" s="216" t="n">
        <v>41.41</v>
      </c>
      <c r="D11973" s="216" t="n">
        <v>1.094988942146301</v>
      </c>
      <c r="E11973" s="215" t="n">
        <v>45985</v>
      </c>
      <c r="F11973" s="215" t="n">
        <v>45985</v>
      </c>
    </row>
    <row r="11974">
      <c r="A11974" s="215" t="n">
        <v>45986</v>
      </c>
      <c r="B11974" s="216" t="n">
        <v>28.76</v>
      </c>
      <c r="C11974" s="216" t="n">
        <v>42.83</v>
      </c>
      <c r="D11974" s="216" t="n">
        <v>1.095428943634033</v>
      </c>
      <c r="E11974" s="215" t="n">
        <v>45986</v>
      </c>
      <c r="F11974" s="215" t="n">
        <v>45986</v>
      </c>
    </row>
    <row r="11975">
      <c r="A11975" s="215" t="n">
        <v>45987</v>
      </c>
      <c r="B11975" s="216" t="n">
        <v>28.48</v>
      </c>
      <c r="C11975" s="216" t="n">
        <v>41.77</v>
      </c>
      <c r="D11975" s="216" t="n">
        <v>1.097422003746033</v>
      </c>
      <c r="E11975" s="215" t="n">
        <v>45987</v>
      </c>
      <c r="F11975" s="215" t="n">
        <v>45987</v>
      </c>
    </row>
    <row r="11976">
      <c r="A11976" s="215" t="n">
        <v>45988</v>
      </c>
      <c r="B11976" s="216" t="n">
        <v>28.5</v>
      </c>
      <c r="C11976" s="216" t="n">
        <v>41.62</v>
      </c>
      <c r="D11976" s="216" t="n">
        <v>1.098397016525269</v>
      </c>
      <c r="E11976" s="215" t="n">
        <v>45988</v>
      </c>
      <c r="F11976" s="215" t="n">
        <v>45988</v>
      </c>
    </row>
    <row r="11977">
      <c r="A11977" s="215" t="n">
        <v>45989</v>
      </c>
      <c r="B11977" s="216" t="n">
        <v>29.52</v>
      </c>
      <c r="C11977" s="216" t="n">
        <v>42.06</v>
      </c>
      <c r="D11977" s="216" t="n">
        <v>1.098330020904541</v>
      </c>
      <c r="E11977" s="215" t="n">
        <v>45989</v>
      </c>
      <c r="F11977" s="215" t="n">
        <v>45989</v>
      </c>
    </row>
    <row r="11978">
      <c r="A11978" s="215" t="n">
        <v>45992</v>
      </c>
      <c r="B11978" s="216" t="n">
        <v>28.88</v>
      </c>
      <c r="C11978" s="216" t="n">
        <v>41.59</v>
      </c>
      <c r="D11978" s="216" t="n">
        <v>1.10015594959259</v>
      </c>
      <c r="E11978" s="215" t="n">
        <v>45992</v>
      </c>
      <c r="F11978" s="215" t="n">
        <v>45992</v>
      </c>
    </row>
    <row r="11979">
      <c r="A11979" s="215" t="n">
        <v>45993</v>
      </c>
      <c r="B11979" s="216" t="n">
        <v>27.76</v>
      </c>
      <c r="C11979" s="216" t="n">
        <v>40.89</v>
      </c>
      <c r="D11979" s="216" t="n">
        <v>1.101189017295837</v>
      </c>
      <c r="E11979" s="215" t="n">
        <v>45993</v>
      </c>
      <c r="F11979" s="215" t="n">
        <v>45993</v>
      </c>
    </row>
    <row r="11980">
      <c r="A11980" s="215" t="n">
        <v>45994</v>
      </c>
      <c r="B11980" s="216" t="n">
        <v>27.1</v>
      </c>
      <c r="C11980" s="216" t="n">
        <v>39.91</v>
      </c>
      <c r="D11980" s="216" t="n">
        <v>1.100834012031555</v>
      </c>
      <c r="E11980" s="215" t="n">
        <v>45994</v>
      </c>
      <c r="F11980" s="215" t="n">
        <v>45994</v>
      </c>
    </row>
    <row r="11981">
      <c r="A11981" s="215" t="n">
        <v>45995</v>
      </c>
      <c r="B11981" s="216" t="n">
        <v>28.08</v>
      </c>
      <c r="C11981" s="216" t="n">
        <v>40.47</v>
      </c>
      <c r="D11981" s="216" t="n">
        <v>1.101611018180847</v>
      </c>
      <c r="E11981" s="215" t="n">
        <v>45995</v>
      </c>
      <c r="F11981" s="215" t="n">
        <v>45995</v>
      </c>
    </row>
    <row r="11982">
      <c r="A11982" s="215" t="n">
        <v>45996</v>
      </c>
      <c r="B11982" s="216" t="n">
        <v>27.88</v>
      </c>
      <c r="C11982" s="216" t="n">
        <v>40.8</v>
      </c>
      <c r="D11982" s="216" t="n">
        <v>1.100373983383179</v>
      </c>
      <c r="E11982" s="215" t="n">
        <v>45996</v>
      </c>
      <c r="F11982" s="215" t="n">
        <v>45996</v>
      </c>
    </row>
    <row r="11983">
      <c r="A11983" s="215" t="n">
        <v>45999</v>
      </c>
      <c r="B11983" s="216" t="n">
        <v>26.7</v>
      </c>
      <c r="C11983" s="216" t="n">
        <v>41.12</v>
      </c>
      <c r="D11983" s="216" t="n">
        <v>1.1008620262146</v>
      </c>
      <c r="E11983" s="215" t="n">
        <v>45999</v>
      </c>
      <c r="F11983" s="215" t="n">
        <v>45999</v>
      </c>
    </row>
    <row r="11984">
      <c r="A11984" s="215" t="n">
        <v>46000</v>
      </c>
      <c r="B11984" s="216" t="n">
        <v>27.08</v>
      </c>
      <c r="C11984" s="216" t="n">
        <v>40.57</v>
      </c>
      <c r="D11984" s="216" t="n">
        <v>1.10008704662323</v>
      </c>
      <c r="E11984" s="215" t="n">
        <v>46000</v>
      </c>
      <c r="F11984" s="215" t="n">
        <v>46000</v>
      </c>
    </row>
    <row r="11985">
      <c r="A11985" s="215" t="n">
        <v>46001</v>
      </c>
      <c r="B11985" s="216" t="n">
        <v>27.16</v>
      </c>
      <c r="C11985" s="216" t="n">
        <v>40.31</v>
      </c>
      <c r="D11985" s="216" t="n">
        <v>1.101711988449097</v>
      </c>
      <c r="E11985" s="215" t="n">
        <v>46001</v>
      </c>
      <c r="F11985" s="215" t="n">
        <v>46001</v>
      </c>
    </row>
    <row r="11986">
      <c r="A11986" s="215" t="n">
        <v>46002</v>
      </c>
      <c r="B11986" s="216" t="n">
        <v>26.86</v>
      </c>
      <c r="C11986" s="216" t="n">
        <v>39.72</v>
      </c>
      <c r="D11986" s="216" t="n">
        <v>1.10112202167511</v>
      </c>
      <c r="E11986" s="215" t="n">
        <v>46002</v>
      </c>
      <c r="F11986" s="215" t="n">
        <v>46002</v>
      </c>
    </row>
    <row r="11987">
      <c r="A11987" s="215" t="n">
        <v>46003</v>
      </c>
      <c r="B11987" s="216" t="n">
        <v>27</v>
      </c>
      <c r="C11987" s="216" t="n">
        <v>40.1</v>
      </c>
      <c r="D11987" s="216" t="n">
        <v>1.102499008178711</v>
      </c>
      <c r="E11987" s="215" t="n">
        <v>46003</v>
      </c>
      <c r="F11987" s="215" t="n">
        <v>46003</v>
      </c>
    </row>
    <row r="11988">
      <c r="A11988" s="215" t="n">
        <v>46006</v>
      </c>
      <c r="B11988" s="216" t="n">
        <v>26.44</v>
      </c>
      <c r="C11988" s="216" t="n">
        <v>39.17</v>
      </c>
      <c r="D11988" s="216" t="n">
        <v>1.103397965431213</v>
      </c>
      <c r="E11988" s="215" t="n">
        <v>46006</v>
      </c>
      <c r="F11988" s="215" t="n">
        <v>46006</v>
      </c>
    </row>
    <row r="11989">
      <c r="A11989" s="215" t="n">
        <v>46007</v>
      </c>
      <c r="B11989" s="216" t="n">
        <v>26.3</v>
      </c>
      <c r="C11989" s="216" t="n">
        <v>39.38</v>
      </c>
      <c r="D11989" s="216" t="n">
        <v>1.104179978370667</v>
      </c>
      <c r="E11989" s="215" t="n">
        <v>46007</v>
      </c>
      <c r="F11989" s="215" t="n">
        <v>46007</v>
      </c>
    </row>
    <row r="11990">
      <c r="A11990" s="215" t="n">
        <v>46008</v>
      </c>
      <c r="B11990" s="216" t="n">
        <v>26.88</v>
      </c>
      <c r="C11990" s="216" t="n">
        <v>40.87</v>
      </c>
      <c r="D11990" s="216" t="n">
        <v>1.104655981063843</v>
      </c>
      <c r="E11990" s="215" t="n">
        <v>46008</v>
      </c>
      <c r="F11990" s="215" t="n">
        <v>46008</v>
      </c>
    </row>
    <row r="11991">
      <c r="A11991" s="215" t="n">
        <v>46009</v>
      </c>
      <c r="B11991" s="216" t="n">
        <v>26.38</v>
      </c>
      <c r="C11991" s="216" t="n">
        <v>40.11</v>
      </c>
      <c r="D11991" s="216" t="n">
        <v>1.104357004165649</v>
      </c>
      <c r="E11991" s="215" t="n">
        <v>46009</v>
      </c>
      <c r="F11991" s="215" t="n">
        <v>46009</v>
      </c>
    </row>
    <row r="11992">
      <c r="A11992" s="215" t="n">
        <v>46010</v>
      </c>
      <c r="B11992" s="216" t="n">
        <v>26.9</v>
      </c>
      <c r="C11992" s="216" t="n">
        <v>41</v>
      </c>
      <c r="D11992" s="216" t="n">
        <v>1.104962944984436</v>
      </c>
      <c r="E11992" s="215" t="n">
        <v>46010</v>
      </c>
      <c r="F11992" s="215" t="n">
        <v>46010</v>
      </c>
    </row>
    <row r="11993">
      <c r="A11993" s="215" t="n">
        <v>46013</v>
      </c>
      <c r="B11993" s="216" t="n">
        <v>27.04</v>
      </c>
      <c r="C11993" s="216" t="n">
        <v>41.53</v>
      </c>
      <c r="D11993" s="216" t="n">
        <v>1.105054020881653</v>
      </c>
      <c r="E11993" s="215" t="n">
        <v>46013</v>
      </c>
      <c r="F11993" s="215" t="n">
        <v>46013</v>
      </c>
    </row>
    <row r="11994">
      <c r="A11994" s="215" t="n">
        <v>46014</v>
      </c>
      <c r="B11994" s="216" t="n">
        <v>28.6</v>
      </c>
      <c r="C11994" s="216" t="n">
        <v>42.32</v>
      </c>
      <c r="D11994" s="216" t="n">
        <v>1.104820013046265</v>
      </c>
      <c r="E11994" s="215" t="n">
        <v>46014</v>
      </c>
      <c r="F11994" s="215" t="n">
        <v>46014</v>
      </c>
    </row>
    <row r="11995">
      <c r="A11995" s="215" t="n">
        <v>46015</v>
      </c>
      <c r="B11995" s="216" t="n">
        <v>31.2</v>
      </c>
      <c r="C11995" s="216" t="n">
        <v>45.77</v>
      </c>
      <c r="D11995" s="216" t="n">
        <v>1.106441974639893</v>
      </c>
      <c r="E11995" s="215" t="n">
        <v>46015</v>
      </c>
      <c r="F11995" s="215" t="n">
        <v>46015</v>
      </c>
    </row>
    <row r="11996">
      <c r="A11996" s="215" t="n">
        <v>46020</v>
      </c>
      <c r="B11996" s="216" t="n">
        <v>29.8</v>
      </c>
      <c r="C11996" s="216" t="n">
        <v>44.45</v>
      </c>
      <c r="D11996" s="216" t="n">
        <v>1.10552704334259</v>
      </c>
      <c r="E11996" s="215" t="n">
        <v>46020</v>
      </c>
      <c r="F11996" s="215" t="n">
        <v>46020</v>
      </c>
    </row>
    <row r="11997">
      <c r="A11997" s="215" t="n">
        <v>46021</v>
      </c>
      <c r="B11997" s="216" t="n">
        <v>31.88</v>
      </c>
      <c r="C11997" s="216" t="n">
        <v>45.75</v>
      </c>
      <c r="D11997" s="216" t="n">
        <v>1.109460949897766</v>
      </c>
      <c r="E11997" s="215" t="n">
        <v>46021</v>
      </c>
      <c r="F11997" s="215" t="n">
        <v>46021</v>
      </c>
    </row>
    <row r="11998">
      <c r="A11998" s="215" t="n">
        <v>46022</v>
      </c>
      <c r="B11998" s="216" t="n">
        <v>32.92</v>
      </c>
      <c r="C11998" s="216" t="n">
        <v>46.33</v>
      </c>
      <c r="D11998" s="216" t="n">
        <v>1.111927032470703</v>
      </c>
      <c r="E11998" s="215" t="n">
        <v>46022</v>
      </c>
      <c r="F11998" s="215" t="n">
        <v>46022</v>
      </c>
    </row>
    <row r="11999">
      <c r="A11999" s="215" t="n">
        <v>46024</v>
      </c>
      <c r="B11999" s="216" t="n">
        <v>32.4</v>
      </c>
      <c r="C11999" s="216" t="n">
        <v>46.33</v>
      </c>
      <c r="D11999" s="216" t="n">
        <v>1.112754940986633</v>
      </c>
      <c r="E11999" s="215" t="n">
        <v>46022</v>
      </c>
      <c r="F11999" s="215" t="n">
        <v>46024</v>
      </c>
    </row>
    <row r="12000">
      <c r="A12000" s="215" t="n">
        <v>46027</v>
      </c>
      <c r="B12000" s="216" t="n">
        <v>31.9</v>
      </c>
      <c r="C12000" s="216" t="n">
        <v>46.65</v>
      </c>
      <c r="D12000" s="216" t="n">
        <v>1.113860011100769</v>
      </c>
      <c r="E12000" s="215" t="n">
        <v>46027</v>
      </c>
      <c r="F12000" s="215" t="n">
        <v>46027</v>
      </c>
    </row>
    <row r="12001">
      <c r="A12001" s="215" t="n">
        <v>46028</v>
      </c>
      <c r="B12001" s="216" t="n">
        <v>34</v>
      </c>
      <c r="C12001" s="216" t="n">
        <v>51.04</v>
      </c>
      <c r="D12001" s="216" t="n">
        <v>1.11367404460907</v>
      </c>
      <c r="E12001" s="215" t="n">
        <v>46028</v>
      </c>
      <c r="F12001" s="215" t="n">
        <v>46028</v>
      </c>
    </row>
    <row r="12002">
      <c r="A12002" s="215" t="n">
        <v>46029</v>
      </c>
      <c r="B12002" s="216" t="n">
        <v>37.4</v>
      </c>
      <c r="C12002" s="216" t="n">
        <v>57.15</v>
      </c>
      <c r="D12002" s="216" t="n">
        <v>1.114913940429688</v>
      </c>
      <c r="E12002" s="215" t="n">
        <v>46029</v>
      </c>
      <c r="F12002" s="215" t="n">
        <v>46029</v>
      </c>
    </row>
    <row r="12003">
      <c r="A12003" s="215" t="n">
        <v>46030</v>
      </c>
      <c r="B12003" s="216" t="n">
        <v>34.28</v>
      </c>
      <c r="C12003" s="216" t="n">
        <v>53.9</v>
      </c>
      <c r="D12003" s="216" t="n">
        <v>1.112563014030457</v>
      </c>
      <c r="E12003" s="215" t="n">
        <v>46030</v>
      </c>
      <c r="F12003" s="215" t="n">
        <v>46030</v>
      </c>
    </row>
    <row r="12004">
      <c r="A12004" s="215" t="n">
        <v>46031</v>
      </c>
      <c r="B12004" s="216" t="n">
        <v>36</v>
      </c>
      <c r="C12004" s="216" t="n">
        <v>54.08</v>
      </c>
      <c r="D12004" s="216" t="n">
        <v>1.115561008453369</v>
      </c>
      <c r="E12004" s="215" t="n">
        <v>46031</v>
      </c>
      <c r="F12004" s="215" t="n">
        <v>46031</v>
      </c>
    </row>
    <row r="12005">
      <c r="A12005" s="215" t="n">
        <v>46034</v>
      </c>
      <c r="B12005" s="216" t="n">
        <v>35.86</v>
      </c>
      <c r="C12005" s="216" t="n">
        <v>53.78</v>
      </c>
      <c r="D12005" s="216" t="n">
        <v>1.117015957832336</v>
      </c>
      <c r="E12005" s="215" t="n">
        <v>46034</v>
      </c>
      <c r="F12005" s="215" t="n">
        <v>46034</v>
      </c>
    </row>
    <row r="12006">
      <c r="A12006" s="215" t="n">
        <v>46035</v>
      </c>
      <c r="B12006" s="216" t="n">
        <v>36</v>
      </c>
      <c r="C12006" s="216" t="n">
        <v>52.79</v>
      </c>
      <c r="D12006" s="216" t="n">
        <v>1.117892026901245</v>
      </c>
      <c r="E12006" s="215" t="n">
        <v>46035</v>
      </c>
      <c r="F12006" s="215" t="n">
        <v>46035</v>
      </c>
    </row>
    <row r="12007">
      <c r="A12007" s="215" t="n">
        <v>46036</v>
      </c>
      <c r="B12007" s="216" t="n">
        <v>35.88</v>
      </c>
      <c r="C12007" s="216" t="n">
        <v>51.88</v>
      </c>
      <c r="D12007" s="216" t="n">
        <v>1.117897987365723</v>
      </c>
      <c r="E12007" s="215" t="n">
        <v>46036</v>
      </c>
      <c r="F12007" s="215" t="n">
        <v>46036</v>
      </c>
    </row>
    <row r="12008">
      <c r="A12008" s="215" t="n">
        <v>46037</v>
      </c>
      <c r="B12008" s="216" t="n">
        <v>37.72</v>
      </c>
      <c r="C12008" s="216" t="n">
        <v>55.69</v>
      </c>
      <c r="D12008" s="216" t="n">
        <v>1.118072032928467</v>
      </c>
      <c r="E12008" s="215" t="n">
        <v>46037</v>
      </c>
      <c r="F12008" s="215" t="n">
        <v>46037</v>
      </c>
    </row>
    <row r="12009">
      <c r="A12009" s="215" t="n">
        <v>46038</v>
      </c>
      <c r="B12009" s="216" t="n">
        <v>38.32</v>
      </c>
      <c r="C12009" s="216" t="n">
        <v>54.27</v>
      </c>
      <c r="D12009" s="216" t="n">
        <v>1.119040012359619</v>
      </c>
      <c r="E12009" s="215" t="n">
        <v>46038</v>
      </c>
      <c r="F12009" s="215" t="n">
        <v>46038</v>
      </c>
    </row>
    <row r="12010">
      <c r="A12010" s="215" t="n">
        <v>46041</v>
      </c>
      <c r="B12010" s="216" t="n">
        <v>37.76</v>
      </c>
      <c r="C12010" s="216" t="n">
        <v>53.7</v>
      </c>
      <c r="D12010" s="216" t="n">
        <v>1.118916034698486</v>
      </c>
      <c r="E12010" s="215" t="n">
        <v>46041</v>
      </c>
      <c r="F12010" s="215" t="n">
        <v>46041</v>
      </c>
    </row>
    <row r="12011">
      <c r="A12011" s="215" t="n">
        <v>46042</v>
      </c>
      <c r="B12011" s="216" t="n">
        <v>36.1</v>
      </c>
      <c r="C12011" s="216" t="n">
        <v>52.99</v>
      </c>
      <c r="D12011" s="216" t="n">
        <v>1.118687987327576</v>
      </c>
      <c r="E12011" s="215" t="n">
        <v>46042</v>
      </c>
      <c r="F12011" s="215" t="n">
        <v>46042</v>
      </c>
    </row>
    <row r="12012">
      <c r="A12012" s="215" t="n">
        <v>46043</v>
      </c>
      <c r="B12012" s="216" t="n">
        <v>36.8</v>
      </c>
      <c r="C12012" s="216" t="n">
        <v>53.91</v>
      </c>
      <c r="D12012" s="216" t="n">
        <v>1.12024998664856</v>
      </c>
      <c r="E12012" s="215" t="n">
        <v>46043</v>
      </c>
      <c r="F12012" s="215" t="n">
        <v>46043</v>
      </c>
    </row>
    <row r="12013">
      <c r="A12013" s="215" t="n">
        <v>46044</v>
      </c>
      <c r="B12013" s="216" t="n">
        <v>35.98</v>
      </c>
      <c r="C12013" s="216" t="n">
        <v>53.36</v>
      </c>
      <c r="D12013" s="216" t="n">
        <v>1.11942195892334</v>
      </c>
      <c r="E12013" s="215" t="n">
        <v>46044</v>
      </c>
      <c r="F12013" s="215" t="n">
        <v>46044</v>
      </c>
    </row>
    <row r="12014">
      <c r="A12014" s="215" t="n">
        <v>46045</v>
      </c>
      <c r="B12014" s="216" t="n">
        <v>38.2</v>
      </c>
      <c r="C12014" s="216" t="n">
        <v>57.89</v>
      </c>
      <c r="D12014" s="216" t="n">
        <v>1.117977976799011</v>
      </c>
      <c r="E12014" s="215" t="n">
        <v>46045</v>
      </c>
      <c r="F12014" s="215" t="n">
        <v>46045</v>
      </c>
    </row>
    <row r="12015">
      <c r="A12015" s="215" t="n">
        <v>46048</v>
      </c>
      <c r="B12015" s="216" t="n">
        <v>39.74</v>
      </c>
      <c r="C12015" s="216" t="n">
        <v>57.69</v>
      </c>
      <c r="D12015" s="216" t="n">
        <v>1.117916941642761</v>
      </c>
      <c r="E12015" s="215" t="n">
        <v>46048</v>
      </c>
      <c r="F12015" s="215" t="n">
        <v>46048</v>
      </c>
    </row>
    <row r="12016">
      <c r="A12016" s="215" t="n">
        <v>46049</v>
      </c>
      <c r="B12016" s="216" t="n">
        <v>38.48</v>
      </c>
      <c r="C12016" s="216" t="n">
        <v>56.17</v>
      </c>
      <c r="D12016" s="216" t="n">
        <v>1.121191024780273</v>
      </c>
      <c r="E12016" s="215" t="n">
        <v>46049</v>
      </c>
      <c r="F12016" s="215" t="n">
        <v>46049</v>
      </c>
    </row>
    <row r="12017">
      <c r="A12017" s="215" t="n">
        <v>46050</v>
      </c>
      <c r="B12017" s="216" t="n">
        <v>38.94</v>
      </c>
      <c r="C12017" s="216" t="n">
        <v>56.54</v>
      </c>
      <c r="D12017" s="216" t="n">
        <v>1.121533036231995</v>
      </c>
      <c r="E12017" s="215" t="n">
        <v>46050</v>
      </c>
      <c r="F12017" s="215" t="n">
        <v>46050</v>
      </c>
    </row>
    <row r="12018">
      <c r="A12018" s="215" t="n">
        <v>46051</v>
      </c>
      <c r="B12018" s="216" t="n">
        <v>41.6</v>
      </c>
      <c r="C12018" s="216" t="n">
        <v>59.49</v>
      </c>
      <c r="D12018" s="216" t="n">
        <v>1.121621966362</v>
      </c>
      <c r="E12018" s="215" t="n">
        <v>46051</v>
      </c>
      <c r="F12018" s="215" t="n">
        <v>46051</v>
      </c>
    </row>
    <row r="12019">
      <c r="A12019" s="215" t="n">
        <v>46052</v>
      </c>
      <c r="B12019" s="216" t="n">
        <v>38.64</v>
      </c>
      <c r="C12019" s="216" t="n">
        <v>54.77</v>
      </c>
      <c r="D12019" s="216" t="n">
        <v>1.123343944549561</v>
      </c>
      <c r="E12019" s="215" t="n">
        <v>46052</v>
      </c>
      <c r="F12019" s="215" t="n">
        <v>46052</v>
      </c>
    </row>
    <row r="12020">
      <c r="A12020" s="215" t="n">
        <v>46055</v>
      </c>
      <c r="B12020" s="216" t="n">
        <v>34.5</v>
      </c>
      <c r="C12020" s="216" t="n">
        <v>51.59</v>
      </c>
      <c r="D12020" s="216" t="n">
        <v>1.123572945594788</v>
      </c>
      <c r="E12020" s="215" t="n">
        <v>46055</v>
      </c>
      <c r="F12020" s="215" t="n">
        <v>46055</v>
      </c>
    </row>
    <row r="12021">
      <c r="A12021" s="215" t="n">
        <v>46056</v>
      </c>
      <c r="B12021" s="216" t="n">
        <v>35.14</v>
      </c>
      <c r="C12021" s="216" t="n">
        <v>52.92</v>
      </c>
      <c r="D12021" s="216" t="n">
        <v>1.124274969100952</v>
      </c>
      <c r="E12021" s="215" t="n">
        <v>46056</v>
      </c>
      <c r="F12021" s="215" t="n">
        <v>46056</v>
      </c>
    </row>
    <row r="12022">
      <c r="A12022" s="215" t="n">
        <v>46057</v>
      </c>
      <c r="B12022" s="216" t="n">
        <v>36.64</v>
      </c>
      <c r="C12022" s="216" t="n">
        <v>53.26</v>
      </c>
      <c r="D12022" s="216" t="n">
        <v>1.12601101398468</v>
      </c>
      <c r="E12022" s="215" t="n">
        <v>46057</v>
      </c>
      <c r="F12022" s="215" t="n">
        <v>46057</v>
      </c>
    </row>
    <row r="12023">
      <c r="A12023" s="215" t="n">
        <v>46058</v>
      </c>
      <c r="B12023" s="216" t="n">
        <v>33.36</v>
      </c>
      <c r="C12023" s="216" t="n">
        <v>50.51</v>
      </c>
      <c r="D12023" s="216" t="n">
        <v>1.125892996788025</v>
      </c>
      <c r="E12023" s="215" t="n">
        <v>46058</v>
      </c>
      <c r="F12023" s="215" t="n">
        <v>46058</v>
      </c>
    </row>
    <row r="12024">
      <c r="A12024" s="215" t="n">
        <v>46059</v>
      </c>
      <c r="B12024" s="216" t="n">
        <v>32.98</v>
      </c>
      <c r="C12024" s="216" t="n">
        <v>51.18</v>
      </c>
      <c r="D12024" s="216" t="n">
        <v>1.126062035560608</v>
      </c>
      <c r="E12024" s="215" t="n">
        <v>46059</v>
      </c>
      <c r="F12024" s="215" t="n">
        <v>46059</v>
      </c>
    </row>
    <row r="12025">
      <c r="A12025" s="215" t="n">
        <v>46062</v>
      </c>
      <c r="B12025" s="216" t="n">
        <v>34.84</v>
      </c>
      <c r="C12025" s="216" t="n">
        <v>51.8</v>
      </c>
      <c r="D12025" s="216" t="n">
        <v>1.125753998756409</v>
      </c>
      <c r="E12025" s="215" t="n">
        <v>46062</v>
      </c>
      <c r="F12025" s="215" t="n">
        <v>46062</v>
      </c>
    </row>
    <row r="12026">
      <c r="A12026" s="215" t="n">
        <v>46063</v>
      </c>
      <c r="B12026" s="216" t="n">
        <v>33.92</v>
      </c>
      <c r="C12026" s="216" t="n">
        <v>50.66</v>
      </c>
      <c r="D12026" s="216" t="n">
        <v>1.129003047943115</v>
      </c>
      <c r="E12026" s="215" t="n">
        <v>46063</v>
      </c>
      <c r="F12026" s="215" t="n">
        <v>46063</v>
      </c>
    </row>
    <row r="12027">
      <c r="A12027" s="215" t="n">
        <v>46064</v>
      </c>
      <c r="B12027" s="216" t="n">
        <v>37.82</v>
      </c>
      <c r="C12027" s="216" t="n">
        <v>55.06</v>
      </c>
      <c r="D12027" s="216" t="n">
        <v>1.130962014198303</v>
      </c>
      <c r="E12027" s="215" t="n">
        <v>46064</v>
      </c>
      <c r="F12027" s="215" t="n">
        <v>46064</v>
      </c>
    </row>
    <row r="12028">
      <c r="A12028" s="215" t="n">
        <v>46065</v>
      </c>
      <c r="B12028" s="216" t="n">
        <v>37.38</v>
      </c>
      <c r="C12028" s="216" t="n">
        <v>55.39</v>
      </c>
      <c r="D12028" s="216" t="n">
        <v>1.130671977996826</v>
      </c>
      <c r="E12028" s="215" t="n">
        <v>46065</v>
      </c>
      <c r="F12028" s="215" t="n">
        <v>46065</v>
      </c>
    </row>
    <row r="12029">
      <c r="A12029" s="215" t="n">
        <v>46066</v>
      </c>
      <c r="B12029" s="216" t="n">
        <v>36.16</v>
      </c>
      <c r="C12029" s="216" t="n">
        <v>54.81</v>
      </c>
      <c r="D12029" s="216" t="n">
        <v>1.132490992546082</v>
      </c>
      <c r="E12029" s="215" t="n">
        <v>46066</v>
      </c>
      <c r="F12029" s="215" t="n">
        <v>46066</v>
      </c>
    </row>
    <row r="12030">
      <c r="A12030" s="215" t="n">
        <v>46069</v>
      </c>
      <c r="B12030" s="216" t="n">
        <v>35.7</v>
      </c>
      <c r="C12030" s="216" t="n">
        <v>54.81</v>
      </c>
      <c r="D12030" s="216" t="n">
        <v>1.131224036216736</v>
      </c>
      <c r="E12030" s="215" t="n">
        <v>46066</v>
      </c>
      <c r="F12030" s="215" t="n">
        <v>46069</v>
      </c>
    </row>
    <row r="12031">
      <c r="A12031" s="215" t="n">
        <v>46073</v>
      </c>
      <c r="B12031" s="216" t="n">
        <v>34.86</v>
      </c>
      <c r="C12031" s="216" t="n">
        <v>54.81</v>
      </c>
      <c r="D12031" s="216" t="n">
        <v>1.131005048751831</v>
      </c>
      <c r="E12031" s="215" t="n">
        <v>46066</v>
      </c>
      <c r="F12031" s="215" t="n">
        <v>46073</v>
      </c>
    </row>
    <row r="12032">
      <c r="A12032" s="215" t="n">
        <v>46076</v>
      </c>
      <c r="B12032" s="216" t="n">
        <v>36.4</v>
      </c>
      <c r="C12032" s="216" t="n">
        <v>54.81</v>
      </c>
      <c r="D12032" s="216" t="n">
        <v>1.130877017974854</v>
      </c>
      <c r="E12032" s="215" t="n">
        <v>46066</v>
      </c>
      <c r="F12032" s="215" t="n">
        <v>46076</v>
      </c>
    </row>
    <row r="12033">
      <c r="A12033" s="215" t="n">
        <v>46077</v>
      </c>
      <c r="B12033" s="216" t="n">
        <v>37.02</v>
      </c>
      <c r="C12033" s="216" t="n">
        <v>54</v>
      </c>
      <c r="D12033" s="216" t="n">
        <v>1.131631016731262</v>
      </c>
      <c r="E12033" s="215" t="n">
        <v>46077</v>
      </c>
      <c r="F12033" s="215" t="n">
        <v>46077</v>
      </c>
    </row>
    <row r="12034">
      <c r="A12034" s="215" t="n">
        <v>46078</v>
      </c>
      <c r="B12034" s="216" t="n">
        <v>37.62</v>
      </c>
      <c r="C12034" s="216" t="n">
        <v>57.11</v>
      </c>
      <c r="D12034" s="216" t="n">
        <v>1.136234045028687</v>
      </c>
      <c r="E12034" s="215" t="n">
        <v>46078</v>
      </c>
      <c r="F12034" s="215" t="n">
        <v>46078</v>
      </c>
    </row>
    <row r="12035">
      <c r="A12035" s="215" t="n">
        <v>46079</v>
      </c>
      <c r="B12035" s="216" t="n">
        <v>37.52</v>
      </c>
      <c r="C12035" s="216" t="n">
        <v>56.34</v>
      </c>
      <c r="D12035" s="216" t="n">
        <v>1.138198971748352</v>
      </c>
      <c r="E12035" s="215" t="n">
        <v>46079</v>
      </c>
      <c r="F12035" s="215" t="n">
        <v>46079</v>
      </c>
    </row>
    <row r="12036">
      <c r="A12036" s="215" t="n">
        <v>46080</v>
      </c>
      <c r="B12036" s="216" t="n">
        <v>37.68</v>
      </c>
      <c r="C12036" s="216" t="n">
        <v>57.39</v>
      </c>
      <c r="D12036" s="216" t="n">
        <v>1.143396973609924</v>
      </c>
      <c r="E12036" s="215" t="n">
        <v>46080</v>
      </c>
      <c r="F12036" s="215" t="n">
        <v>46080</v>
      </c>
    </row>
    <row r="12037">
      <c r="A12037" s="215" t="n">
        <v>46083</v>
      </c>
      <c r="B12037" s="216" t="n">
        <v>36.82</v>
      </c>
      <c r="C12037" s="216" t="n">
        <v>56.11</v>
      </c>
      <c r="D12037" s="216" t="n">
        <v>1.140552043914795</v>
      </c>
      <c r="E12037" s="215" t="n">
        <v>46083</v>
      </c>
      <c r="F12037" s="215" t="n">
        <v>46083</v>
      </c>
    </row>
    <row r="12038">
      <c r="A12038" s="215" t="n">
        <v>46084</v>
      </c>
      <c r="B12038" s="216" t="n">
        <v>34</v>
      </c>
      <c r="C12038" s="216" t="n">
        <v>52.98</v>
      </c>
      <c r="D12038" s="216" t="n">
        <v>1.136399984359741</v>
      </c>
      <c r="E12038" s="215" t="n">
        <v>46084</v>
      </c>
      <c r="F12038" s="215" t="n">
        <v>46084</v>
      </c>
    </row>
    <row r="12039">
      <c r="A12039" s="215" t="n">
        <v>46085</v>
      </c>
      <c r="B12039" s="216" t="n">
        <v>33.44</v>
      </c>
      <c r="C12039" s="216" t="n">
        <v>52.76</v>
      </c>
      <c r="D12039" s="216" t="n">
        <v>1.130928993225098</v>
      </c>
      <c r="E12039" s="215" t="n">
        <v>46085</v>
      </c>
      <c r="F12039" s="215" t="n">
        <v>46085</v>
      </c>
    </row>
    <row r="12040">
      <c r="A12040" s="215" t="n">
        <v>46086</v>
      </c>
      <c r="B12040" s="216" t="n">
        <v>33.58</v>
      </c>
      <c r="C12040" s="216" t="n">
        <v>52.4</v>
      </c>
      <c r="D12040" s="216" t="n">
        <v>1.133169054985046</v>
      </c>
      <c r="E12040" s="215" t="n">
        <v>46086</v>
      </c>
      <c r="F12040" s="215" t="n">
        <v>46086</v>
      </c>
    </row>
    <row r="12041">
      <c r="A12041" s="215" t="n">
        <v>46087</v>
      </c>
      <c r="B12041" s="216" t="n">
        <v>33.08</v>
      </c>
      <c r="C12041" s="216" t="n">
        <v>51.53</v>
      </c>
      <c r="D12041" s="216" t="n">
        <v>1.133442044258118</v>
      </c>
      <c r="E12041" s="215" t="n">
        <v>46087</v>
      </c>
      <c r="F12041" s="215" t="n">
        <v>46087</v>
      </c>
    </row>
    <row r="12042">
      <c r="A12042" s="215" t="n">
        <v>46090</v>
      </c>
      <c r="B12042" s="216" t="n">
        <v>33.34</v>
      </c>
      <c r="C12042" s="216" t="n">
        <v>52.2</v>
      </c>
      <c r="D12042" s="216" t="n">
        <v>1.133231043815613</v>
      </c>
      <c r="E12042" s="215" t="n">
        <v>46090</v>
      </c>
      <c r="F12042" s="215" t="n">
        <v>46090</v>
      </c>
    </row>
    <row r="12043">
      <c r="A12043" s="215" t="n">
        <v>46091</v>
      </c>
      <c r="B12043" s="216" t="n">
        <v>33.76</v>
      </c>
      <c r="C12043" s="216" t="n">
        <v>52.6</v>
      </c>
      <c r="D12043" s="216" t="n">
        <v>1.131595015525818</v>
      </c>
      <c r="E12043" s="215" t="n">
        <v>46091</v>
      </c>
      <c r="F12043" s="215" t="n">
        <v>46091</v>
      </c>
    </row>
    <row r="12044">
      <c r="A12044" s="215" t="n">
        <v>46092</v>
      </c>
      <c r="B12044" s="216" t="n">
        <v>34.84</v>
      </c>
      <c r="C12044" s="216" t="n">
        <v>53.75</v>
      </c>
      <c r="D12044" s="216" t="n">
        <v>1.137585043907166</v>
      </c>
      <c r="E12044" s="215" t="n">
        <v>46092</v>
      </c>
      <c r="F12044" s="215" t="n">
        <v>46092</v>
      </c>
    </row>
    <row r="12045">
      <c r="A12045" s="215" t="n">
        <v>46093</v>
      </c>
      <c r="B12045" s="216" t="n">
        <v>34.28</v>
      </c>
      <c r="C12045" s="216" t="n">
        <v>53.55</v>
      </c>
      <c r="D12045" s="216" t="n">
        <v>1.139600038528442</v>
      </c>
      <c r="E12045" s="215" t="n">
        <v>46093</v>
      </c>
      <c r="F12045" s="215" t="n">
        <v>46093</v>
      </c>
    </row>
    <row r="12046">
      <c r="A12046" s="215" t="n">
        <v>46094</v>
      </c>
      <c r="B12046" s="216" t="n">
        <v>34.14</v>
      </c>
      <c r="C12046" s="216" t="n">
        <v>54.01</v>
      </c>
      <c r="D12046" s="216" t="n">
        <v>1.139310002326965</v>
      </c>
      <c r="E12046" s="215" t="n">
        <v>46094</v>
      </c>
      <c r="F12046" s="215" t="n">
        <v>46094</v>
      </c>
    </row>
    <row r="12047">
      <c r="A12047" s="215" t="n">
        <v>46097</v>
      </c>
      <c r="B12047" s="216" t="n">
        <v>33.16</v>
      </c>
      <c r="C12047" s="216" t="n">
        <v>52.73</v>
      </c>
      <c r="D12047" s="216" t="n">
        <v>1.134883999824524</v>
      </c>
      <c r="E12047" s="215" t="n">
        <v>46097</v>
      </c>
      <c r="F12047" s="215" t="n">
        <v>46097</v>
      </c>
    </row>
    <row r="12048">
      <c r="A12048" s="215" t="n">
        <v>46098</v>
      </c>
      <c r="B12048" s="216" t="n">
        <v>33.14</v>
      </c>
      <c r="C12048" s="216" t="n">
        <v>50.55</v>
      </c>
      <c r="D12048" s="216" t="n">
        <v>1.125375986099243</v>
      </c>
      <c r="E12048" s="215" t="n">
        <v>46098</v>
      </c>
      <c r="F12048" s="215" t="n">
        <v>46098</v>
      </c>
    </row>
    <row r="12049">
      <c r="A12049" s="215" t="n">
        <v>46099</v>
      </c>
      <c r="B12049" s="216" t="n">
        <v>33.56</v>
      </c>
      <c r="C12049" s="216" t="n">
        <v>49.8</v>
      </c>
      <c r="D12049" s="216" t="n">
        <v>1.137819051742554</v>
      </c>
      <c r="E12049" s="215" t="n">
        <v>46099</v>
      </c>
      <c r="F12049" s="215" t="n">
        <v>46099</v>
      </c>
    </row>
    <row r="12050">
      <c r="A12050" s="215" t="n">
        <v>46100</v>
      </c>
      <c r="B12050" s="216" t="n">
        <v>32</v>
      </c>
      <c r="C12050" s="216" t="n">
        <v>47.85</v>
      </c>
      <c r="D12050" s="216" t="n">
        <v>1.140079021453857</v>
      </c>
      <c r="E12050" s="215" t="n">
        <v>46100</v>
      </c>
      <c r="F12050" s="215" t="n">
        <v>46100</v>
      </c>
    </row>
    <row r="12051">
      <c r="A12051" s="215" t="n">
        <v>46101</v>
      </c>
      <c r="B12051" s="216" t="n">
        <v>32.38</v>
      </c>
      <c r="C12051" s="216" t="n">
        <v>48.15</v>
      </c>
      <c r="D12051" s="216" t="n">
        <v>1.13490903377533</v>
      </c>
      <c r="E12051" s="215" t="n">
        <v>46101</v>
      </c>
      <c r="F12051" s="215" t="n">
        <v>46101</v>
      </c>
    </row>
    <row r="12052">
      <c r="A12052" s="215" t="n">
        <v>46104</v>
      </c>
      <c r="B12052" s="216" t="n">
        <v>31.32</v>
      </c>
      <c r="C12052" s="216" t="n">
        <v>46.77</v>
      </c>
      <c r="D12052" s="216" t="n">
        <v>1.137529969215393</v>
      </c>
      <c r="E12052" s="215" t="n">
        <v>46104</v>
      </c>
      <c r="F12052" s="215" t="n">
        <v>46104</v>
      </c>
    </row>
    <row r="12053">
      <c r="A12053" s="215" t="n">
        <v>46105</v>
      </c>
      <c r="B12053" s="216" t="n">
        <v>31.82</v>
      </c>
      <c r="C12053" s="216" t="n">
        <v>47.35</v>
      </c>
      <c r="D12053" s="216" t="n">
        <v>1.138481974601746</v>
      </c>
      <c r="E12053" s="215" t="n">
        <v>46105</v>
      </c>
      <c r="F12053" s="215" t="n">
        <v>46105</v>
      </c>
    </row>
    <row r="12054">
      <c r="A12054" s="215" t="n">
        <v>46106</v>
      </c>
      <c r="B12054" s="216" t="n">
        <v>32.4</v>
      </c>
      <c r="C12054" s="216" t="n">
        <v>47.62</v>
      </c>
      <c r="D12054" s="216" t="n">
        <v>1.135548949241638</v>
      </c>
      <c r="E12054" s="215" t="n">
        <v>46106</v>
      </c>
      <c r="F12054" s="215" t="n">
        <v>46106</v>
      </c>
    </row>
    <row r="12055">
      <c r="A12055" s="215" t="n">
        <v>46107</v>
      </c>
      <c r="B12055" s="216" t="n">
        <v>31.6</v>
      </c>
      <c r="C12055" s="216" t="n">
        <v>47.76</v>
      </c>
      <c r="D12055" s="216" t="n">
        <v>1.132627010345459</v>
      </c>
      <c r="E12055" s="215" t="n">
        <v>46107</v>
      </c>
      <c r="F12055" s="215" t="n">
        <v>46107</v>
      </c>
    </row>
    <row r="12056">
      <c r="A12056" s="215" t="n">
        <v>46108</v>
      </c>
      <c r="B12056" s="216" t="n">
        <v>33.88</v>
      </c>
      <c r="C12056" s="216" t="n">
        <v>51.11</v>
      </c>
      <c r="D12056" s="216" t="n">
        <v>1.132115960121155</v>
      </c>
      <c r="E12056" s="215" t="n">
        <v>46108</v>
      </c>
      <c r="F12056" s="215" t="n">
        <v>46108</v>
      </c>
    </row>
    <row r="12057">
      <c r="A12057" s="215" t="n">
        <v>46111</v>
      </c>
      <c r="B12057" s="216" t="n">
        <v>33.7</v>
      </c>
      <c r="C12057" s="216" t="n">
        <v>50.37</v>
      </c>
      <c r="D12057" s="216" t="n">
        <v>1.13311505317688</v>
      </c>
      <c r="E12057" s="215" t="n">
        <v>46111</v>
      </c>
      <c r="F12057" s="215" t="n">
        <v>46111</v>
      </c>
    </row>
    <row r="12058">
      <c r="A12058" s="215" t="n">
        <v>46112</v>
      </c>
      <c r="B12058" s="216" t="n">
        <v>32.62</v>
      </c>
      <c r="C12058" s="216" t="n">
        <v>49.4</v>
      </c>
      <c r="D12058" s="216" t="n">
        <v>1.133540987968445</v>
      </c>
      <c r="E12058" s="215" t="n">
        <v>46112</v>
      </c>
      <c r="F12058" s="215" t="n">
        <v>46112</v>
      </c>
    </row>
    <row r="12059">
      <c r="A12059" s="215" t="n">
        <v>46113</v>
      </c>
      <c r="B12059" s="216" t="n">
        <v>33.38</v>
      </c>
      <c r="C12059" s="216" t="n">
        <v>49.98</v>
      </c>
      <c r="D12059" s="216" t="n">
        <v>1.136669993400574</v>
      </c>
      <c r="E12059" s="215" t="n">
        <v>46113</v>
      </c>
      <c r="F12059" s="215" t="n">
        <v>46113</v>
      </c>
    </row>
    <row r="12060">
      <c r="A12060" s="215" t="n">
        <v>46114</v>
      </c>
      <c r="B12060" s="216" t="n">
        <v>33</v>
      </c>
      <c r="C12060" s="216" t="n">
        <v>47.89</v>
      </c>
      <c r="D12060" s="216" t="n">
        <v>1.140197992324829</v>
      </c>
      <c r="E12060" s="215" t="n">
        <v>46114</v>
      </c>
      <c r="F12060" s="215" t="n">
        <v>46114</v>
      </c>
    </row>
    <row r="12061">
      <c r="A12061" s="215" t="n">
        <v>46120</v>
      </c>
      <c r="B12061" s="216" t="n">
        <v>36.36</v>
      </c>
      <c r="C12061" s="216" t="n">
        <v>50.5</v>
      </c>
      <c r="D12061" s="216" t="n">
        <v>1.1423499584198</v>
      </c>
      <c r="E12061" s="215" t="n">
        <v>46120</v>
      </c>
      <c r="F12061" s="215" t="n">
        <v>46120</v>
      </c>
    </row>
    <row r="12062">
      <c r="A12062" s="215" t="n">
        <v>46121</v>
      </c>
      <c r="B12062" s="216" t="n">
        <v>36.5</v>
      </c>
      <c r="C12062" s="216" t="n">
        <v>51.2</v>
      </c>
      <c r="D12062" s="216" t="n">
        <v>1.146731972694397</v>
      </c>
      <c r="E12062" s="215" t="n">
        <v>46121</v>
      </c>
      <c r="F12062" s="215" t="n">
        <v>46121</v>
      </c>
    </row>
    <row r="12063">
      <c r="A12063" s="215" t="n">
        <v>46122</v>
      </c>
      <c r="B12063" s="216" t="n">
        <v>36.6</v>
      </c>
      <c r="C12063" s="216" t="n">
        <v>52.53</v>
      </c>
      <c r="D12063" s="216" t="n">
        <v>1.146558046340942</v>
      </c>
      <c r="E12063" s="215" t="n">
        <v>46122</v>
      </c>
      <c r="F12063" s="215" t="n">
        <v>46122</v>
      </c>
    </row>
    <row r="12064">
      <c r="A12064" s="215" t="n">
        <v>46125</v>
      </c>
      <c r="B12064" s="216" t="n">
        <v>38</v>
      </c>
      <c r="C12064" s="216" t="n">
        <v>54.52</v>
      </c>
      <c r="D12064" s="216" t="n">
        <v>1.147117972373962</v>
      </c>
      <c r="E12064" s="215" t="n">
        <v>46125</v>
      </c>
      <c r="F12064" s="215" t="n">
        <v>46125</v>
      </c>
    </row>
    <row r="12065">
      <c r="A12065" s="215" t="n">
        <v>46126</v>
      </c>
      <c r="B12065" s="216" t="n">
        <v>39.1</v>
      </c>
      <c r="C12065" s="216" t="n">
        <v>56.49</v>
      </c>
      <c r="D12065" s="216" t="n">
        <v>1.146226048469543</v>
      </c>
      <c r="E12065" s="215" t="n">
        <v>46126</v>
      </c>
      <c r="F12065" s="215" t="n">
        <v>46126</v>
      </c>
    </row>
    <row r="12066">
      <c r="A12066" s="215" t="n">
        <v>46127</v>
      </c>
      <c r="B12066" s="216" t="n">
        <v>38.3</v>
      </c>
      <c r="C12066" s="216" t="n">
        <v>55.87</v>
      </c>
      <c r="D12066" s="216" t="n">
        <v>1.149266004562378</v>
      </c>
      <c r="E12066" s="215" t="n">
        <v>46127</v>
      </c>
      <c r="F12066" s="215" t="n">
        <v>46127</v>
      </c>
    </row>
    <row r="12067">
      <c r="A12067" s="215" t="n">
        <v>46128</v>
      </c>
      <c r="B12067" s="216" t="n">
        <v>38.78</v>
      </c>
      <c r="C12067" s="216" t="n">
        <v>56.49</v>
      </c>
      <c r="D12067" s="216" t="n">
        <v>1.148550033569336</v>
      </c>
      <c r="E12067" s="215" t="n">
        <v>46128</v>
      </c>
      <c r="F12067" s="215" t="n">
        <v>46128</v>
      </c>
    </row>
    <row r="12068">
      <c r="A12068" s="215" t="n">
        <v>46129</v>
      </c>
      <c r="B12068" s="216" t="n">
        <v>39.34</v>
      </c>
      <c r="C12068" s="216" t="n">
        <v>57.94</v>
      </c>
      <c r="D12068" s="216" t="n">
        <v>1.146605014801025</v>
      </c>
      <c r="E12068" s="215" t="n">
        <v>46129</v>
      </c>
      <c r="F12068" s="215" t="n">
        <v>46129</v>
      </c>
    </row>
    <row r="12069">
      <c r="A12069" s="215" t="n">
        <v>46132</v>
      </c>
      <c r="B12069" s="216" t="n">
        <v>37.86</v>
      </c>
      <c r="C12069" s="216" t="n">
        <v>56.64</v>
      </c>
      <c r="D12069" s="216" t="n">
        <v>1.148360967636108</v>
      </c>
      <c r="E12069" s="215" t="n">
        <v>46132</v>
      </c>
      <c r="F12069" s="215" t="n">
        <v>46132</v>
      </c>
    </row>
    <row r="12070">
      <c r="A12070" s="215" t="n">
        <v>46133</v>
      </c>
      <c r="B12070" s="216" t="n">
        <v>37.72</v>
      </c>
      <c r="C12070" s="216" t="n">
        <v>57.65</v>
      </c>
      <c r="D12070" s="216" t="n">
        <v>1.148368000984192</v>
      </c>
      <c r="E12070" s="215" t="n">
        <v>46133</v>
      </c>
      <c r="F12070" s="215" t="n">
        <v>46133</v>
      </c>
    </row>
    <row r="12071">
      <c r="A12071" s="215" t="n">
        <v>46134</v>
      </c>
      <c r="B12071" s="216" t="n">
        <v>37.48</v>
      </c>
      <c r="C12071" s="216" t="n">
        <v>58.2</v>
      </c>
      <c r="D12071" s="216" t="n">
        <v>1.147838950157166</v>
      </c>
      <c r="E12071" s="215" t="n">
        <v>46134</v>
      </c>
      <c r="F12071" s="215" t="n">
        <v>46134</v>
      </c>
    </row>
    <row r="12072">
      <c r="A12072" s="215" t="n">
        <v>46135</v>
      </c>
      <c r="B12072" s="216" t="n">
        <v>36.22</v>
      </c>
      <c r="C12072" s="216" t="n">
        <v>57.1</v>
      </c>
      <c r="D12072" s="216" t="n">
        <v>1.147513031959534</v>
      </c>
      <c r="E12072" s="215" t="n">
        <v>46135</v>
      </c>
      <c r="F12072" s="215" t="n">
        <v>46135</v>
      </c>
    </row>
    <row r="12073">
      <c r="A12073" s="215" t="n">
        <v>46136</v>
      </c>
      <c r="B12073" s="216" t="n">
        <v>39.48</v>
      </c>
      <c r="C12073" s="216" t="n">
        <v>61.38</v>
      </c>
      <c r="D12073" s="216" t="n">
        <v>1.147369027137756</v>
      </c>
      <c r="E12073" s="215" t="n">
        <v>46136</v>
      </c>
      <c r="F12073" s="215" t="n">
        <v>46136</v>
      </c>
    </row>
    <row r="12074">
      <c r="A12074" s="215" t="n">
        <v>46139</v>
      </c>
      <c r="B12074" s="216" t="n">
        <v>43</v>
      </c>
      <c r="C12074" s="216" t="n">
        <v>61.86</v>
      </c>
      <c r="D12074" s="216" t="n">
        <v>1.146002054214478</v>
      </c>
      <c r="E12074" s="215" t="n">
        <v>46139</v>
      </c>
      <c r="F12074" s="215" t="n">
        <v>46139</v>
      </c>
    </row>
    <row r="12075">
      <c r="A12075" s="215" t="n">
        <v>46140</v>
      </c>
      <c r="B12075" s="216" t="n">
        <v>43</v>
      </c>
      <c r="C12075" s="216" t="n">
        <v>60.94</v>
      </c>
      <c r="D12075" s="216" t="n">
        <v>1.148522019386292</v>
      </c>
      <c r="E12075" s="215" t="n">
        <v>46140</v>
      </c>
      <c r="F12075" s="215" t="n">
        <v>46140</v>
      </c>
    </row>
    <row r="12076">
      <c r="A12076" s="215" t="n">
        <v>46141</v>
      </c>
      <c r="B12076" s="216" t="n">
        <v>45.8</v>
      </c>
      <c r="C12076" s="216" t="n">
        <v>65.36</v>
      </c>
      <c r="D12076" s="216" t="n">
        <v>1.145936012268066</v>
      </c>
      <c r="E12076" s="215" t="n">
        <v>46141</v>
      </c>
      <c r="F12076" s="215" t="n">
        <v>46141</v>
      </c>
    </row>
    <row r="12077">
      <c r="A12077" s="215" t="n">
        <v>46142</v>
      </c>
      <c r="B12077" s="216" t="n">
        <v>44.1</v>
      </c>
      <c r="C12077" s="216" t="n">
        <v>63.73</v>
      </c>
      <c r="D12077" s="216" t="n">
        <v>1.145792007446289</v>
      </c>
      <c r="E12077" s="215" t="n">
        <v>46142</v>
      </c>
      <c r="F12077" s="215" t="n">
        <v>46142</v>
      </c>
    </row>
    <row r="12078">
      <c r="A12078" s="215" t="n">
        <v>46146</v>
      </c>
      <c r="B12078" s="216" t="n">
        <v>44.54</v>
      </c>
      <c r="C12078" s="216" t="n">
        <v>63.73</v>
      </c>
      <c r="D12078" s="216" t="n">
        <v>1.147340059280396</v>
      </c>
      <c r="E12078" s="215" t="n">
        <v>46142</v>
      </c>
      <c r="F12078" s="215" t="n">
        <v>46146</v>
      </c>
    </row>
    <row r="12079">
      <c r="A12079" s="215" t="n">
        <v>46147</v>
      </c>
      <c r="B12079" s="216" t="n">
        <v>43.14</v>
      </c>
      <c r="C12079" s="216" t="n">
        <v>63.73</v>
      </c>
      <c r="D12079" s="216" t="n">
        <v>1.146813988685608</v>
      </c>
      <c r="E12079" s="215" t="n">
        <v>46142</v>
      </c>
      <c r="F12079" s="215" t="n">
        <v>46147</v>
      </c>
    </row>
    <row r="12080">
      <c r="A12080" s="215" t="n">
        <v>46148</v>
      </c>
      <c r="B12080" s="216" t="n">
        <v>45.04</v>
      </c>
      <c r="C12080" s="216" t="n">
        <v>65.15000000000001</v>
      </c>
      <c r="D12080" s="216" t="n">
        <v>1.14708399772644</v>
      </c>
      <c r="E12080" s="215" t="n">
        <v>46148</v>
      </c>
      <c r="F12080" s="215" t="n">
        <v>46148</v>
      </c>
    </row>
    <row r="12081">
      <c r="A12081" s="215" t="n">
        <v>46149</v>
      </c>
      <c r="B12081" s="216" t="n">
        <v>41.12</v>
      </c>
      <c r="C12081" s="216" t="n">
        <v>63.58</v>
      </c>
      <c r="D12081" s="216" t="n">
        <v>1.150125026702881</v>
      </c>
      <c r="E12081" s="215" t="n">
        <v>46149</v>
      </c>
      <c r="F12081" s="215" t="n">
        <v>46149</v>
      </c>
    </row>
    <row r="12082">
      <c r="A12082" s="215" t="n">
        <v>46150</v>
      </c>
      <c r="B12082" s="216" t="n">
        <v>38.1</v>
      </c>
      <c r="C12082" s="216" t="n">
        <v>60.94</v>
      </c>
      <c r="D12082" s="216" t="n">
        <v>1.15172004699707</v>
      </c>
      <c r="E12082" s="215" t="n">
        <v>46150</v>
      </c>
      <c r="F12082" s="215" t="n">
        <v>46150</v>
      </c>
    </row>
    <row r="12083">
      <c r="A12083" s="215" t="n">
        <v>46153</v>
      </c>
      <c r="B12083" s="216" t="n">
        <v>38.46</v>
      </c>
      <c r="C12083" s="216" t="n">
        <v>61.8</v>
      </c>
      <c r="D12083" s="216" t="n">
        <v>1.151090025901794</v>
      </c>
      <c r="E12083" s="215" t="n">
        <v>46153</v>
      </c>
      <c r="F12083" s="215" t="n">
        <v>46153</v>
      </c>
    </row>
    <row r="12084">
      <c r="A12084" s="215" t="n">
        <v>46154</v>
      </c>
      <c r="B12084" s="216" t="n">
        <v>39.26</v>
      </c>
      <c r="C12084" s="216" t="n">
        <v>60.4</v>
      </c>
      <c r="D12084" s="216" t="n">
        <v>1.152078986167908</v>
      </c>
      <c r="E12084" s="215" t="n">
        <v>46154</v>
      </c>
      <c r="F12084" s="215" t="n">
        <v>46154</v>
      </c>
    </row>
    <row r="12085">
      <c r="A12085" s="215" t="n">
        <v>46155</v>
      </c>
      <c r="B12085" s="216" t="n">
        <v>39.48</v>
      </c>
      <c r="C12085" s="216" t="n">
        <v>61</v>
      </c>
      <c r="D12085" s="216" t="n">
        <v>1.152537941932678</v>
      </c>
      <c r="E12085" s="215" t="n">
        <v>46155</v>
      </c>
      <c r="F12085" s="215" t="n">
        <v>46155</v>
      </c>
    </row>
    <row r="12086">
      <c r="A12086" s="215" t="n">
        <v>46156</v>
      </c>
      <c r="B12086" s="216" t="n">
        <v>38.32</v>
      </c>
      <c r="C12086" s="216" t="n">
        <v>58.5</v>
      </c>
      <c r="D12086" s="216" t="n">
        <v>1.152662992477417</v>
      </c>
      <c r="E12086" s="215" t="n">
        <v>46156</v>
      </c>
      <c r="F12086" s="215" t="n">
        <v>46156</v>
      </c>
    </row>
    <row r="12087">
      <c r="A12087" s="215" t="n">
        <v>46157</v>
      </c>
      <c r="B12087" s="216" t="n">
        <v>37.18</v>
      </c>
      <c r="C12087" s="216" t="n">
        <v>56.41</v>
      </c>
      <c r="D12087" s="216" t="n">
        <v>1.154320001602173</v>
      </c>
      <c r="E12087" s="215" t="n">
        <v>46157</v>
      </c>
      <c r="F12087" s="215" t="n">
        <v>46157</v>
      </c>
    </row>
    <row r="12088">
      <c r="A12088" s="215" t="n">
        <v>46160</v>
      </c>
      <c r="B12088" s="216" t="n">
        <v>36.98</v>
      </c>
      <c r="C12088" s="216" t="n">
        <v>56.22</v>
      </c>
      <c r="D12088" s="216" t="n">
        <v>1.149821996688843</v>
      </c>
      <c r="E12088" s="215" t="n">
        <v>46160</v>
      </c>
      <c r="F12088" s="215" t="n">
        <v>46160</v>
      </c>
    </row>
    <row r="12089">
      <c r="A12089" s="215" t="n">
        <v>46161</v>
      </c>
      <c r="B12089" s="216" t="n">
        <v>35.84</v>
      </c>
      <c r="C12089" s="216" t="n">
        <v>55.4</v>
      </c>
      <c r="D12089" s="216" t="n">
        <v>1.151532053947449</v>
      </c>
      <c r="E12089" s="215" t="n">
        <v>46161</v>
      </c>
      <c r="F12089" s="215" t="n">
        <v>46161</v>
      </c>
    </row>
    <row r="12090">
      <c r="A12090" s="215" t="n">
        <v>46162</v>
      </c>
      <c r="B12090" s="216" t="n">
        <v>37.14</v>
      </c>
      <c r="C12090" s="216" t="n">
        <v>56.87</v>
      </c>
      <c r="D12090" s="216" t="n">
        <v>1.149292945861816</v>
      </c>
      <c r="E12090" s="215" t="n">
        <v>46162</v>
      </c>
      <c r="F12090" s="215" t="n">
        <v>46162</v>
      </c>
    </row>
    <row r="12091">
      <c r="A12091" s="215" t="n">
        <v>46163</v>
      </c>
      <c r="B12091" s="216" t="n">
        <v>35.9</v>
      </c>
      <c r="C12091" s="216" t="n">
        <v>54.51</v>
      </c>
      <c r="D12091" s="216" t="n">
        <v>1.151231050491333</v>
      </c>
      <c r="E12091" s="215" t="n">
        <v>46163</v>
      </c>
      <c r="F12091" s="215" t="n">
        <v>46163</v>
      </c>
    </row>
    <row r="12092">
      <c r="A12092" s="215" t="n">
        <v>46164</v>
      </c>
      <c r="B12092" s="216" t="n">
        <v>36.46</v>
      </c>
      <c r="C12092" s="216" t="n">
        <v>54.99</v>
      </c>
      <c r="D12092" s="216" t="n">
        <v>1.151487946510315</v>
      </c>
      <c r="E12092" s="215" t="n">
        <v>46164</v>
      </c>
      <c r="F12092" s="215" t="n">
        <v>46164</v>
      </c>
    </row>
    <row r="12093">
      <c r="A12093" s="215" t="n">
        <v>46168</v>
      </c>
      <c r="B12093" s="216" t="n">
        <v>36.34</v>
      </c>
      <c r="C12093" s="216" t="n">
        <v>54.4</v>
      </c>
      <c r="D12093" s="216" t="n">
        <v>1.152968049049377</v>
      </c>
      <c r="E12093" s="215" t="n">
        <v>46168</v>
      </c>
      <c r="F12093" s="215" t="n">
        <v>46168</v>
      </c>
    </row>
    <row r="12094">
      <c r="A12094" s="215" t="n">
        <v>46169</v>
      </c>
      <c r="B12094" s="216" t="n">
        <v>35.66</v>
      </c>
      <c r="C12094" s="216" t="n">
        <v>54.93</v>
      </c>
      <c r="D12094" s="216" t="n">
        <v>1.154562950134277</v>
      </c>
      <c r="E12094" s="215" t="n">
        <v>46169</v>
      </c>
      <c r="F12094" s="215" t="n">
        <v>46169</v>
      </c>
    </row>
    <row r="12095">
      <c r="A12095" s="215" t="n">
        <v>46170</v>
      </c>
      <c r="B12095" s="216" t="n">
        <v>34.6</v>
      </c>
      <c r="C12095" s="216" t="n">
        <v>54.52</v>
      </c>
      <c r="D12095" s="216" t="n">
        <v>1.155385971069336</v>
      </c>
      <c r="E12095" s="215" t="n">
        <v>46170</v>
      </c>
      <c r="F12095" s="215" t="n">
        <v>46170</v>
      </c>
    </row>
    <row r="12096">
      <c r="A12096" s="215" t="n">
        <v>46171</v>
      </c>
      <c r="B12096" s="216" t="n">
        <v>33.16</v>
      </c>
      <c r="C12096" s="216" t="n">
        <v>52.36</v>
      </c>
      <c r="D12096" s="216" t="n">
        <v>1.155282974243164</v>
      </c>
      <c r="E12096" s="215" t="n">
        <v>46171</v>
      </c>
      <c r="F12096" s="215" t="n">
        <v>46171</v>
      </c>
    </row>
    <row r="12097">
      <c r="A12097" s="215" t="n">
        <v>46174</v>
      </c>
      <c r="B12097" s="216" t="n">
        <v>33.54</v>
      </c>
      <c r="C12097" s="216" t="n">
        <v>51.9</v>
      </c>
      <c r="D12097" s="216" t="n">
        <v>1.158049941062927</v>
      </c>
      <c r="E12097" s="215" t="n">
        <v>46174</v>
      </c>
      <c r="F12097" s="215" t="n">
        <v>46174</v>
      </c>
    </row>
    <row r="12098">
      <c r="A12098" s="215" t="n">
        <v>46175</v>
      </c>
      <c r="B12098" s="216" t="n">
        <v>33.92</v>
      </c>
      <c r="C12098" s="216" t="n">
        <v>51.29</v>
      </c>
      <c r="D12098" s="216" t="n">
        <v>1.158406972885132</v>
      </c>
      <c r="E12098" s="215" t="n">
        <v>46175</v>
      </c>
      <c r="F12098" s="215" t="n">
        <v>46175</v>
      </c>
    </row>
    <row r="12099">
      <c r="A12099" s="215" t="n">
        <v>46176</v>
      </c>
      <c r="B12099" s="216" t="n">
        <v>33.22</v>
      </c>
      <c r="C12099" s="216" t="n">
        <v>50.78</v>
      </c>
      <c r="D12099" s="216" t="n">
        <v>1.15879499912262</v>
      </c>
      <c r="E12099" s="215" t="n">
        <v>46176</v>
      </c>
      <c r="F12099" s="215" t="n">
        <v>46176</v>
      </c>
    </row>
    <row r="12100">
      <c r="A12100" s="215" t="n">
        <v>46177</v>
      </c>
      <c r="B12100" s="216" t="n">
        <v>33.62</v>
      </c>
      <c r="C12100" s="216" t="n">
        <v>49.35</v>
      </c>
      <c r="D12100" s="216" t="n">
        <v>1.157420039176941</v>
      </c>
      <c r="E12100" s="215" t="n">
        <v>46177</v>
      </c>
      <c r="F12100" s="215" t="n">
        <v>46177</v>
      </c>
    </row>
    <row r="12101">
      <c r="A12101" s="215" t="n">
        <v>46178</v>
      </c>
      <c r="B12101" s="216" t="n">
        <v>31.62</v>
      </c>
      <c r="C12101" s="216" t="n">
        <v>48.58</v>
      </c>
      <c r="D12101" s="216" t="n">
        <v>1.156491994857788</v>
      </c>
      <c r="E12101" s="215" t="n">
        <v>46178</v>
      </c>
      <c r="F12101" s="215" t="n">
        <v>46178</v>
      </c>
    </row>
    <row r="12102">
      <c r="A12102" s="215" t="n">
        <v>46181</v>
      </c>
      <c r="B12102" s="216" t="n">
        <v>30.26</v>
      </c>
      <c r="C12102" s="216" t="n">
        <v>45.6</v>
      </c>
      <c r="D12102" s="216" t="n">
        <v>1.157665967941284</v>
      </c>
      <c r="E12102" s="215" t="n">
        <v>46181</v>
      </c>
      <c r="F12102" s="215" t="n">
        <v>46181</v>
      </c>
    </row>
    <row r="12103">
      <c r="A12103" s="215" t="n">
        <v>46182</v>
      </c>
      <c r="B12103" s="216" t="n">
        <v>30.56</v>
      </c>
      <c r="C12103" s="216" t="n">
        <v>47.08</v>
      </c>
      <c r="D12103" s="216" t="n">
        <v>1.158027052879333</v>
      </c>
      <c r="E12103" s="215" t="n">
        <v>46182</v>
      </c>
      <c r="F12103" s="215" t="n">
        <v>46182</v>
      </c>
    </row>
    <row r="12104">
      <c r="A12104" s="215" t="n">
        <v>46183</v>
      </c>
      <c r="B12104" s="216" t="n">
        <v>29.52</v>
      </c>
      <c r="C12104" s="216" t="n">
        <v>45.84</v>
      </c>
      <c r="D12104" s="216" t="n">
        <v>1.157112002372742</v>
      </c>
      <c r="E12104" s="215" t="n">
        <v>46183</v>
      </c>
      <c r="F12104" s="215" t="n">
        <v>46183</v>
      </c>
    </row>
    <row r="12105">
      <c r="A12105" s="215" t="n">
        <v>46184</v>
      </c>
      <c r="B12105" s="216" t="n">
        <v>29.3</v>
      </c>
      <c r="C12105" s="216" t="n">
        <v>45.65</v>
      </c>
      <c r="D12105" s="216" t="n">
        <v>1.156929016113281</v>
      </c>
      <c r="E12105" s="215" t="n">
        <v>46184</v>
      </c>
      <c r="F12105" s="215" t="n">
        <v>46184</v>
      </c>
    </row>
    <row r="12106">
      <c r="A12106" s="215" t="n">
        <v>46185</v>
      </c>
      <c r="B12106" s="216" t="n">
        <v>30.1</v>
      </c>
      <c r="C12106" s="216" t="n">
        <v>47.59</v>
      </c>
      <c r="D12106" s="216" t="n">
        <v>1.156345963478088</v>
      </c>
      <c r="E12106" s="215" t="n">
        <v>46185</v>
      </c>
      <c r="F12106" s="215" t="n">
        <v>46185</v>
      </c>
    </row>
    <row r="12107">
      <c r="A12107" s="215" t="n">
        <v>46188</v>
      </c>
      <c r="B12107" s="216" t="n">
        <v>31.24</v>
      </c>
      <c r="C12107" s="216" t="n">
        <v>48.79</v>
      </c>
      <c r="D12107" s="216" t="n">
        <v>1.156880021095276</v>
      </c>
      <c r="E12107" s="215" t="n">
        <v>46188</v>
      </c>
      <c r="F12107" s="215" t="n">
        <v>46188</v>
      </c>
    </row>
    <row r="12108">
      <c r="A12108" s="215" t="n">
        <v>46189</v>
      </c>
      <c r="B12108" s="216" t="n">
        <v>31.14</v>
      </c>
      <c r="C12108" s="216" t="n">
        <v>49.92</v>
      </c>
      <c r="D12108" s="216" t="n">
        <v>1.158604025840759</v>
      </c>
      <c r="E12108" s="215" t="n">
        <v>46189</v>
      </c>
      <c r="F12108" s="215" t="n">
        <v>46189</v>
      </c>
    </row>
    <row r="12109">
      <c r="A12109" s="215" t="n">
        <v>46190</v>
      </c>
      <c r="B12109" s="216" t="n">
        <v>29.94</v>
      </c>
      <c r="C12109" s="216" t="n">
        <v>49.27</v>
      </c>
      <c r="D12109" s="216" t="n">
        <v>1.158974051475525</v>
      </c>
      <c r="E12109" s="215" t="n">
        <v>46190</v>
      </c>
      <c r="F12109" s="215" t="n">
        <v>46190</v>
      </c>
    </row>
    <row r="12110">
      <c r="A12110" s="215" t="n">
        <v>46191</v>
      </c>
      <c r="B12110" s="216" t="n">
        <v>28.84</v>
      </c>
      <c r="C12110" s="216" t="n">
        <v>48.64</v>
      </c>
      <c r="D12110" s="216" t="n">
        <v>1.159355998039246</v>
      </c>
      <c r="E12110" s="215" t="n">
        <v>46191</v>
      </c>
      <c r="F12110" s="215" t="n">
        <v>46191</v>
      </c>
    </row>
    <row r="12111">
      <c r="A12111" s="215" t="n">
        <v>46195</v>
      </c>
      <c r="B12111" s="216" t="n">
        <v>29.4</v>
      </c>
      <c r="C12111" s="216" t="n">
        <v>51.23</v>
      </c>
      <c r="D12111" s="216" t="n">
        <v>1.157493948936462</v>
      </c>
      <c r="E12111" s="215" t="n">
        <v>46195</v>
      </c>
      <c r="F12111" s="215" t="n">
        <v>46195</v>
      </c>
    </row>
    <row r="12112">
      <c r="A12112" s="215" t="n">
        <v>46196</v>
      </c>
      <c r="B12112" s="216" t="n">
        <v>28.4</v>
      </c>
      <c r="C12112" s="216" t="n">
        <v>48.01</v>
      </c>
      <c r="D12112" s="216" t="n">
        <v>1.156896948814392</v>
      </c>
      <c r="E12112" s="215" t="n">
        <v>46196</v>
      </c>
      <c r="F12112" s="215" t="n">
        <v>46196</v>
      </c>
    </row>
    <row r="12113">
      <c r="A12113" s="215" t="n">
        <v>46197</v>
      </c>
      <c r="B12113" s="216" t="n">
        <v>27.8</v>
      </c>
      <c r="C12113" s="216" t="n">
        <v>48.43</v>
      </c>
      <c r="D12113" s="216" t="n">
        <v>1.154508948326111</v>
      </c>
      <c r="E12113" s="215" t="n">
        <v>46197</v>
      </c>
      <c r="F12113" s="215" t="n">
        <v>46197</v>
      </c>
    </row>
    <row r="12114">
      <c r="A12114" s="215" t="n">
        <v>46198</v>
      </c>
      <c r="B12114" s="216" t="n">
        <v>25.82</v>
      </c>
      <c r="C12114" s="216" t="n">
        <v>46.77</v>
      </c>
      <c r="D12114" s="216" t="n">
        <v>1.154152035713196</v>
      </c>
      <c r="E12114" s="215" t="n">
        <v>46198</v>
      </c>
      <c r="F12114" s="215" t="n">
        <v>46198</v>
      </c>
    </row>
    <row r="12115">
      <c r="A12115" s="215" t="n">
        <v>46199</v>
      </c>
      <c r="B12115" s="216" t="n">
        <v>24.36</v>
      </c>
      <c r="C12115" s="216" t="n">
        <v>42.72</v>
      </c>
      <c r="D12115" s="216" t="n">
        <v>1.154500961303711</v>
      </c>
      <c r="E12115" s="215" t="n">
        <v>46199</v>
      </c>
      <c r="F12115" s="215" t="n">
        <v>46199</v>
      </c>
    </row>
    <row r="12116">
      <c r="A12116" s="215" t="n">
        <v>46202</v>
      </c>
      <c r="B12116" s="216" t="n">
        <v>25.22</v>
      </c>
      <c r="C12116" s="216" t="n">
        <v>42.93</v>
      </c>
      <c r="D12116" s="216" t="n">
        <v>1.153512001037598</v>
      </c>
      <c r="E12116" s="215" t="n">
        <v>46202</v>
      </c>
      <c r="F12116" s="215" t="n">
        <v>46202</v>
      </c>
    </row>
    <row r="12117">
      <c r="A12117" s="215" t="n">
        <v>46203</v>
      </c>
      <c r="B12117" s="216" t="n">
        <v>25.44</v>
      </c>
      <c r="C12117" s="216" t="n">
        <v>43.75</v>
      </c>
      <c r="D12117" s="216" t="n">
        <v>1.153959035873413</v>
      </c>
      <c r="E12117" s="215" t="n">
        <v>46203</v>
      </c>
      <c r="F12117" s="215" t="n">
        <v>46203</v>
      </c>
    </row>
    <row r="12118">
      <c r="A12118" s="215" t="n">
        <v>46205</v>
      </c>
      <c r="B12118" s="216" t="n">
        <v>24.74</v>
      </c>
      <c r="C12118" s="216" t="n">
        <v>41.85</v>
      </c>
      <c r="D12118" s="216" t="n">
        <v>1.154355049133301</v>
      </c>
      <c r="E12118" s="215" t="n">
        <v>46205</v>
      </c>
      <c r="F12118" s="215" t="n">
        <v>46205</v>
      </c>
    </row>
    <row r="12119">
      <c r="A12119" s="215" t="n">
        <v>46206</v>
      </c>
      <c r="B12119" s="216" t="n">
        <v>25.48</v>
      </c>
      <c r="C12119" s="216" t="n">
        <v>41.95</v>
      </c>
      <c r="D12119" s="216" t="n">
        <v>1.155220985412598</v>
      </c>
      <c r="E12119" s="215" t="n">
        <v>46206</v>
      </c>
      <c r="F12119" s="215" t="n">
        <v>46206</v>
      </c>
    </row>
    <row r="12120">
      <c r="A12120" s="215" t="n">
        <v>46209</v>
      </c>
      <c r="B12120" s="216" t="n">
        <v>25.5</v>
      </c>
      <c r="C12120" s="216" t="n">
        <v>41.97</v>
      </c>
      <c r="D12120" s="216" t="n">
        <v>1.155068039894104</v>
      </c>
      <c r="E12120" s="215" t="n">
        <v>46209</v>
      </c>
      <c r="F12120" s="215" t="n">
        <v>46209</v>
      </c>
    </row>
    <row r="12121">
      <c r="A12121" s="215" t="n">
        <v>46210</v>
      </c>
      <c r="B12121" s="216" t="n">
        <v>25.02</v>
      </c>
      <c r="C12121" s="216" t="n">
        <v>41.97</v>
      </c>
      <c r="D12121" s="216" t="n">
        <v>1.153807997703552</v>
      </c>
      <c r="E12121" s="215" t="n">
        <v>46210</v>
      </c>
      <c r="F12121" s="215" t="n">
        <v>46210</v>
      </c>
    </row>
    <row r="12122">
      <c r="A12122" s="215" t="n">
        <v>46211</v>
      </c>
      <c r="B12122" s="216" t="n">
        <v>24.3</v>
      </c>
      <c r="C12122" s="216" t="n">
        <v>39.7</v>
      </c>
      <c r="D12122" s="216" t="n">
        <v>1.154153943061829</v>
      </c>
      <c r="E12122" s="215" t="n">
        <v>46211</v>
      </c>
      <c r="F12122" s="215" t="n">
        <v>46211</v>
      </c>
    </row>
    <row r="12123">
      <c r="A12123" s="215" t="n">
        <v>46212</v>
      </c>
      <c r="B12123" s="216" t="n">
        <v>24.22</v>
      </c>
      <c r="C12123" s="216" t="n">
        <v>39.55</v>
      </c>
      <c r="D12123" s="216" t="n">
        <v>1.152119994163513</v>
      </c>
      <c r="E12123" s="215" t="n">
        <v>46212</v>
      </c>
      <c r="F12123" s="215" t="n">
        <v>46212</v>
      </c>
    </row>
    <row r="12124">
      <c r="A12124" s="215" t="n">
        <v>46213</v>
      </c>
      <c r="B12124" s="216" t="n">
        <v>24.2</v>
      </c>
      <c r="C12124" s="216" t="n">
        <v>38.6</v>
      </c>
      <c r="D12124" s="216" t="n">
        <v>1.153550028800964</v>
      </c>
      <c r="E12124" s="215" t="n">
        <v>46213</v>
      </c>
      <c r="F12124" s="215" t="n">
        <v>46213</v>
      </c>
    </row>
    <row r="12125">
      <c r="A12125" s="215" t="n">
        <v>46216</v>
      </c>
      <c r="B12125" s="216" t="n">
        <v>23.46</v>
      </c>
      <c r="C12125" s="216" t="n">
        <v>37.4</v>
      </c>
      <c r="D12125" s="216" t="n">
        <v>1.156761050224304</v>
      </c>
      <c r="E12125" s="215" t="n">
        <v>46216</v>
      </c>
      <c r="F12125" s="215" t="n">
        <v>46216</v>
      </c>
    </row>
    <row r="12126">
      <c r="A12126" s="215" t="n">
        <v>46217</v>
      </c>
      <c r="B12126" s="216" t="n">
        <v>25.38</v>
      </c>
      <c r="C12126" s="216" t="n">
        <v>38.27</v>
      </c>
      <c r="D12126" s="216" t="n">
        <v>1.155825972557068</v>
      </c>
      <c r="E12126" s="215" t="n">
        <v>46217</v>
      </c>
      <c r="F12126" s="215" t="n">
        <v>46217</v>
      </c>
    </row>
    <row r="12127">
      <c r="A12127" s="215" t="n">
        <v>46218</v>
      </c>
      <c r="B12127" s="216" t="n">
        <v>24.78</v>
      </c>
      <c r="C12127" s="216" t="n">
        <v>38.96</v>
      </c>
      <c r="D12127" s="216" t="n">
        <v>1.157556056976318</v>
      </c>
      <c r="E12127" s="215" t="n">
        <v>46218</v>
      </c>
      <c r="F12127" s="215" t="n">
        <v>46218</v>
      </c>
    </row>
    <row r="12128">
      <c r="A12128" s="215" t="n">
        <v>46219</v>
      </c>
      <c r="B12128" s="216" t="n">
        <v>24.78</v>
      </c>
      <c r="C12128" s="216" t="n">
        <v>37.84</v>
      </c>
      <c r="D12128" s="216" t="n">
        <v>1.157912969589233</v>
      </c>
      <c r="E12128" s="215" t="n">
        <v>46219</v>
      </c>
      <c r="F12128" s="215" t="n">
        <v>46219</v>
      </c>
    </row>
    <row r="12129">
      <c r="A12129" s="215" t="n">
        <v>46220</v>
      </c>
      <c r="B12129" s="216" t="n">
        <v>24</v>
      </c>
      <c r="C12129" s="216" t="n">
        <v>36.62</v>
      </c>
      <c r="D12129" s="216" t="n">
        <v>1.157472014427185</v>
      </c>
      <c r="E12129" s="215" t="n">
        <v>46220</v>
      </c>
      <c r="F12129" s="215" t="n">
        <v>46220</v>
      </c>
    </row>
    <row r="12130">
      <c r="A12130" s="215" t="n">
        <v>46223</v>
      </c>
      <c r="B12130" s="216" t="n">
        <v>23.76</v>
      </c>
      <c r="C12130" s="216" t="n">
        <v>36.6</v>
      </c>
      <c r="D12130" s="216" t="n">
        <v>1.157451033592224</v>
      </c>
      <c r="E12130" s="215" t="n">
        <v>46223</v>
      </c>
      <c r="F12130" s="215" t="n">
        <v>46223</v>
      </c>
    </row>
    <row r="12131">
      <c r="A12131" s="215" t="n">
        <v>46224</v>
      </c>
      <c r="B12131" s="216" t="n">
        <v>24.68</v>
      </c>
      <c r="C12131" s="216" t="n">
        <v>38.98</v>
      </c>
      <c r="D12131" s="216" t="n">
        <v>1.157506942749023</v>
      </c>
      <c r="E12131" s="215" t="n">
        <v>46224</v>
      </c>
      <c r="F12131" s="215" t="n">
        <v>46224</v>
      </c>
    </row>
    <row r="12132">
      <c r="A12132" s="215" t="n">
        <v>46225</v>
      </c>
      <c r="B12132" s="216" t="n">
        <v>24.7</v>
      </c>
      <c r="C12132" s="216" t="n">
        <v>38.2</v>
      </c>
      <c r="D12132" s="216" t="n">
        <v>1.158938050270081</v>
      </c>
      <c r="E12132" s="215" t="n">
        <v>46225</v>
      </c>
      <c r="F12132" s="215" t="n">
        <v>46225</v>
      </c>
    </row>
    <row r="12133">
      <c r="A12133" s="215" t="n">
        <v>46226</v>
      </c>
      <c r="B12133" s="216" t="n">
        <v>26.94</v>
      </c>
      <c r="C12133" s="216" t="n">
        <v>41.13</v>
      </c>
      <c r="D12133" s="216" t="n">
        <v>1.157410979270935</v>
      </c>
      <c r="E12133" s="215" t="n">
        <v>46226</v>
      </c>
      <c r="F12133" s="215" t="n">
        <v>46226</v>
      </c>
    </row>
    <row r="12134">
      <c r="A12134" s="215" t="n">
        <v>46227</v>
      </c>
      <c r="B12134" s="216" t="n">
        <v>26.32</v>
      </c>
      <c r="C12134" s="216" t="n">
        <v>39.96</v>
      </c>
      <c r="D12134" s="216" t="n">
        <v>1.15762197971344</v>
      </c>
      <c r="E12134" s="215" t="n">
        <v>46227</v>
      </c>
      <c r="F12134" s="215" t="n">
        <v>46227</v>
      </c>
    </row>
    <row r="12135">
      <c r="A12135" s="215" t="n">
        <v>46230</v>
      </c>
      <c r="B12135" s="216" t="n">
        <v>26.7</v>
      </c>
      <c r="C12135" s="216" t="n">
        <v>40.68</v>
      </c>
      <c r="D12135" s="216" t="n">
        <v>1.15789794921875</v>
      </c>
      <c r="E12135" s="215" t="n">
        <v>46230</v>
      </c>
      <c r="F12135" s="215" t="n">
        <v>46230</v>
      </c>
    </row>
    <row r="12136">
      <c r="A12136" s="215" t="n">
        <v>46231</v>
      </c>
      <c r="B12136" s="216" t="n">
        <v>25.72</v>
      </c>
      <c r="C12136" s="216" t="n">
        <v>40.27</v>
      </c>
      <c r="D12136" s="216" t="n">
        <v>1.158699035644531</v>
      </c>
      <c r="E12136" s="215" t="n">
        <v>46231</v>
      </c>
      <c r="F12136" s="215" t="n">
        <v>46231</v>
      </c>
    </row>
    <row r="12137">
      <c r="A12137" s="215" t="n">
        <v>46232</v>
      </c>
      <c r="B12137" s="216" t="n">
        <v>25.86</v>
      </c>
      <c r="C12137" s="216" t="n">
        <v>40.91</v>
      </c>
      <c r="D12137" s="216" t="n">
        <v>1.157909989356995</v>
      </c>
      <c r="E12137" s="215" t="n">
        <v>46232</v>
      </c>
      <c r="F12137" s="215" t="n">
        <v>46232</v>
      </c>
    </row>
    <row r="12138">
      <c r="A12138" s="215" t="n">
        <v>46233</v>
      </c>
      <c r="B12138" s="216" t="n">
        <v>26.08</v>
      </c>
      <c r="C12138" s="216" t="n">
        <v>41.08</v>
      </c>
      <c r="D12138" s="216" t="n">
        <v>1.158943057060242</v>
      </c>
      <c r="E12138" s="215" t="n">
        <v>46233</v>
      </c>
      <c r="F12138" s="215" t="n">
        <v>46233</v>
      </c>
    </row>
    <row r="12139">
      <c r="A12139" s="215" t="n">
        <v>46234</v>
      </c>
      <c r="B12139" s="216" t="n">
        <v>25.84</v>
      </c>
      <c r="C12139" s="216" t="n">
        <v>40.7</v>
      </c>
      <c r="D12139" s="216" t="n">
        <v>1.160945057868958</v>
      </c>
      <c r="E12139" s="215" t="n">
        <v>46234</v>
      </c>
      <c r="F12139" s="215" t="n">
        <v>46234</v>
      </c>
    </row>
    <row r="12140">
      <c r="A12140" s="215" t="n">
        <v>46237</v>
      </c>
      <c r="B12140" s="216" t="n">
        <v>25.78</v>
      </c>
      <c r="C12140" s="216" t="n">
        <v>40.5</v>
      </c>
      <c r="D12140" s="216" t="n">
        <v>1.161579966545105</v>
      </c>
      <c r="E12140" s="215" t="n">
        <v>46237</v>
      </c>
      <c r="F12140" s="215" t="n">
        <v>46237</v>
      </c>
    </row>
    <row r="12141">
      <c r="A12141" s="215" t="n">
        <v>46238</v>
      </c>
      <c r="B12141" s="216" t="n">
        <v>26.14</v>
      </c>
      <c r="C12141" s="216" t="n">
        <v>41.05</v>
      </c>
      <c r="D12141" s="216" t="n">
        <v>1.161064982414246</v>
      </c>
      <c r="E12141" s="215" t="n">
        <v>46238</v>
      </c>
      <c r="F12141" s="215" t="n">
        <v>46238</v>
      </c>
    </row>
    <row r="12142">
      <c r="A12142" s="215" t="n">
        <v>46239</v>
      </c>
      <c r="B12142" s="216" t="n">
        <v>26.66</v>
      </c>
      <c r="C12142" s="216" t="n">
        <v>41.65</v>
      </c>
      <c r="D12142" s="216" t="n">
        <v>1.161146998405457</v>
      </c>
      <c r="E12142" s="215" t="n">
        <v>46239</v>
      </c>
      <c r="F12142" s="215" t="n">
        <v>46239</v>
      </c>
    </row>
    <row r="12143">
      <c r="A12143" s="215" t="n">
        <v>46240</v>
      </c>
      <c r="B12143" s="216" t="n">
        <v>25.66</v>
      </c>
      <c r="C12143" s="216" t="n">
        <v>40.85</v>
      </c>
      <c r="D12143" s="216" t="n">
        <v>1.161936044692993</v>
      </c>
      <c r="E12143" s="215" t="n">
        <v>46240</v>
      </c>
      <c r="F12143" s="215" t="n">
        <v>46240</v>
      </c>
    </row>
    <row r="12144">
      <c r="A12144" s="215" t="n">
        <v>46241</v>
      </c>
      <c r="B12144" s="216" t="n">
        <v>26.1</v>
      </c>
      <c r="C12144" s="216" t="n">
        <v>41.41</v>
      </c>
      <c r="D12144" s="216" t="n">
        <v>1.162284016609192</v>
      </c>
      <c r="E12144" s="215" t="n">
        <v>46241</v>
      </c>
      <c r="F12144" s="215" t="n">
        <v>46241</v>
      </c>
    </row>
    <row r="12145">
      <c r="A12145" s="215" t="n">
        <v>46244</v>
      </c>
      <c r="B12145" s="216" t="n">
        <v>26.56</v>
      </c>
      <c r="C12145" s="216" t="n">
        <v>41.8</v>
      </c>
      <c r="D12145" s="216" t="n">
        <v>1.162629961967468</v>
      </c>
      <c r="E12145" s="215" t="n">
        <v>46244</v>
      </c>
      <c r="F12145" s="215" t="n">
        <v>46244</v>
      </c>
    </row>
    <row r="12146">
      <c r="A12146" s="215" t="n">
        <v>46245</v>
      </c>
      <c r="B12146" s="216" t="n">
        <v>25.76</v>
      </c>
      <c r="C12146" s="216" t="n">
        <v>41.25</v>
      </c>
      <c r="D12146" s="216" t="n">
        <v>1.162588000297546</v>
      </c>
      <c r="E12146" s="215" t="n">
        <v>46245</v>
      </c>
      <c r="F12146" s="215" t="n">
        <v>46245</v>
      </c>
    </row>
    <row r="12147">
      <c r="A12147" s="215" t="n">
        <v>46246</v>
      </c>
      <c r="B12147" s="216" t="n">
        <v>26.08</v>
      </c>
      <c r="C12147" s="216" t="n">
        <v>41.56</v>
      </c>
      <c r="D12147" s="216" t="n">
        <v>1.163135051727295</v>
      </c>
      <c r="E12147" s="215" t="n">
        <v>46246</v>
      </c>
      <c r="F12147" s="215" t="n">
        <v>46246</v>
      </c>
    </row>
    <row r="12148">
      <c r="A12148" s="215" t="n">
        <v>46247</v>
      </c>
      <c r="B12148" s="216" t="n">
        <v>25.18</v>
      </c>
      <c r="C12148" s="216" t="n">
        <v>40.88</v>
      </c>
      <c r="D12148" s="216" t="n">
        <v>1.163341045379639</v>
      </c>
      <c r="E12148" s="215" t="n">
        <v>46247</v>
      </c>
      <c r="F12148" s="215" t="n">
        <v>46247</v>
      </c>
    </row>
    <row r="12149">
      <c r="A12149" s="215" t="n">
        <v>46248</v>
      </c>
      <c r="B12149" s="216" t="n">
        <v>25.16</v>
      </c>
      <c r="C12149" s="216" t="n">
        <v>40.99</v>
      </c>
      <c r="D12149" s="216" t="n">
        <v>1.163571000099182</v>
      </c>
      <c r="E12149" s="215" t="n">
        <v>46248</v>
      </c>
      <c r="F12149" s="215" t="n">
        <v>46248</v>
      </c>
    </row>
    <row r="12150">
      <c r="A12150" s="215" t="n">
        <v>46251</v>
      </c>
      <c r="B12150" s="216" t="n">
        <v>25.68</v>
      </c>
      <c r="C12150" s="216" t="n">
        <v>41.53</v>
      </c>
      <c r="D12150" s="216" t="n">
        <v>1.163601994514465</v>
      </c>
      <c r="E12150" s="215" t="n">
        <v>46251</v>
      </c>
      <c r="F12150" s="215" t="n">
        <v>46251</v>
      </c>
    </row>
    <row r="12151">
      <c r="A12151" s="215" t="n">
        <v>46252</v>
      </c>
      <c r="B12151" s="216" t="n">
        <v>25</v>
      </c>
      <c r="C12151" s="216" t="n">
        <v>40.79</v>
      </c>
      <c r="D12151" s="216" t="n">
        <v>1.163733005523682</v>
      </c>
      <c r="E12151" s="215" t="n">
        <v>46252</v>
      </c>
      <c r="F12151" s="215" t="n">
        <v>46252</v>
      </c>
    </row>
    <row r="12152">
      <c r="A12152" s="215" t="n">
        <v>46253</v>
      </c>
      <c r="B12152" s="216" t="n">
        <v>24.32</v>
      </c>
      <c r="C12152" s="216" t="n">
        <v>39.77</v>
      </c>
      <c r="D12152" s="216" t="n">
        <v>1.163092017173767</v>
      </c>
      <c r="E12152" s="215" t="n">
        <v>46253</v>
      </c>
      <c r="F12152" s="215" t="n">
        <v>46253</v>
      </c>
    </row>
    <row r="12153">
      <c r="A12153" s="215" t="n">
        <v>46254</v>
      </c>
      <c r="B12153" s="216" t="n">
        <v>24.58</v>
      </c>
      <c r="C12153" s="216" t="n">
        <v>39.75</v>
      </c>
      <c r="D12153" s="216" t="n">
        <v>1.164932012557983</v>
      </c>
      <c r="E12153" s="215" t="n">
        <v>46254</v>
      </c>
      <c r="F12153" s="215" t="n">
        <v>46254</v>
      </c>
    </row>
    <row r="12154">
      <c r="A12154" s="215" t="n">
        <v>46255</v>
      </c>
      <c r="B12154" s="216" t="n">
        <v>25.82</v>
      </c>
      <c r="C12154" s="216" t="n">
        <v>40.47</v>
      </c>
      <c r="D12154" s="216" t="n">
        <v>1.166555047035217</v>
      </c>
      <c r="E12154" s="215" t="n">
        <v>46255</v>
      </c>
      <c r="F12154" s="215" t="n">
        <v>46255</v>
      </c>
    </row>
    <row r="12155">
      <c r="A12155" s="215" t="n">
        <v>46258</v>
      </c>
      <c r="B12155" s="216" t="n">
        <v>25.28</v>
      </c>
      <c r="C12155" s="216" t="n">
        <v>40</v>
      </c>
      <c r="D12155" s="216" t="n">
        <v>1.166316986083984</v>
      </c>
      <c r="E12155" s="215" t="n">
        <v>46258</v>
      </c>
      <c r="F12155" s="215" t="n">
        <v>46258</v>
      </c>
    </row>
    <row r="12156">
      <c r="A12156" s="215" t="n">
        <v>46259</v>
      </c>
      <c r="B12156" s="216" t="n">
        <v>25.54</v>
      </c>
      <c r="C12156" s="216" t="n">
        <v>40.13</v>
      </c>
      <c r="D12156" s="216" t="n">
        <v>1.165253043174744</v>
      </c>
      <c r="E12156" s="215" t="n">
        <v>46259</v>
      </c>
      <c r="F12156" s="215" t="n">
        <v>46259</v>
      </c>
    </row>
    <row r="12157">
      <c r="A12157" s="215" t="n">
        <v>46260</v>
      </c>
      <c r="B12157" s="216" t="n">
        <v>25.84</v>
      </c>
      <c r="C12157" s="216" t="n">
        <v>40.53</v>
      </c>
      <c r="D12157" s="216" t="n">
        <v>1.166218996047974</v>
      </c>
      <c r="E12157" s="215" t="n">
        <v>46260</v>
      </c>
      <c r="F12157" s="215" t="n">
        <v>46260</v>
      </c>
    </row>
    <row r="12158">
      <c r="A12158" s="215" t="n">
        <v>46261</v>
      </c>
      <c r="B12158" s="216" t="n">
        <v>26.04</v>
      </c>
      <c r="C12158" s="216" t="n">
        <v>40.66</v>
      </c>
      <c r="D12158" s="216" t="n">
        <v>1.165971040725708</v>
      </c>
      <c r="E12158" s="215" t="n">
        <v>46261</v>
      </c>
      <c r="F12158" s="215" t="n">
        <v>46261</v>
      </c>
    </row>
    <row r="12159">
      <c r="A12159" s="215" t="n">
        <v>46262</v>
      </c>
      <c r="B12159" s="216" t="n">
        <v>26.38</v>
      </c>
      <c r="C12159" s="216" t="n">
        <v>40.71</v>
      </c>
      <c r="D12159" s="216" t="n">
        <v>1.165799975395203</v>
      </c>
      <c r="E12159" s="215" t="n">
        <v>46262</v>
      </c>
      <c r="F12159" s="215" t="n">
        <v>46262</v>
      </c>
    </row>
    <row r="12160">
      <c r="A12160" s="215" t="n">
        <v>46265</v>
      </c>
      <c r="B12160" s="216" t="n">
        <v>25.32</v>
      </c>
      <c r="C12160" s="216" t="n">
        <v>39.98</v>
      </c>
      <c r="D12160" s="216" t="n">
        <v>1.165387988090515</v>
      </c>
      <c r="E12160" s="215" t="n">
        <v>46265</v>
      </c>
      <c r="F12160" s="215" t="n">
        <v>46265</v>
      </c>
    </row>
    <row r="12161">
      <c r="A12161" s="215" t="n">
        <v>46266</v>
      </c>
      <c r="B12161" s="216" t="n">
        <v>26.36</v>
      </c>
      <c r="C12161" s="216" t="n">
        <v>40.1</v>
      </c>
      <c r="D12161" s="216" t="n">
        <v>1.165223956108093</v>
      </c>
      <c r="E12161" s="215" t="n">
        <v>46266</v>
      </c>
      <c r="F12161" s="215" t="n">
        <v>46266</v>
      </c>
    </row>
    <row r="12162">
      <c r="A12162" s="215" t="n">
        <v>46267</v>
      </c>
      <c r="B12162" s="216" t="n">
        <v>24.9</v>
      </c>
      <c r="C12162" s="216" t="n">
        <v>38.9</v>
      </c>
      <c r="D12162" s="216" t="n">
        <v>1.166425943374634</v>
      </c>
      <c r="E12162" s="215" t="n">
        <v>46267</v>
      </c>
      <c r="F12162" s="215" t="n">
        <v>46267</v>
      </c>
    </row>
    <row r="12163">
      <c r="A12163" s="215" t="n">
        <v>46268</v>
      </c>
      <c r="B12163" s="216" t="n">
        <v>25.6</v>
      </c>
      <c r="C12163" s="216" t="n">
        <v>40.08</v>
      </c>
      <c r="D12163" s="216" t="n">
        <v>1.167057037353516</v>
      </c>
      <c r="E12163" s="215" t="n">
        <v>46268</v>
      </c>
      <c r="F12163" s="215" t="n">
        <v>46268</v>
      </c>
    </row>
    <row r="12164">
      <c r="A12164" s="215" t="n">
        <v>46269</v>
      </c>
      <c r="B12164" s="216" t="n">
        <v>25.24</v>
      </c>
      <c r="C12164" s="216" t="n">
        <v>39.4</v>
      </c>
      <c r="D12164" s="216" t="n">
        <v>1.166767954826355</v>
      </c>
      <c r="E12164" s="215" t="n">
        <v>46269</v>
      </c>
      <c r="F12164" s="215" t="n">
        <v>46269</v>
      </c>
    </row>
    <row r="12165">
      <c r="A12165" s="215" t="n">
        <v>46272</v>
      </c>
      <c r="B12165" s="216" t="n">
        <v>24.78</v>
      </c>
      <c r="C12165" s="216" t="n">
        <v>38.95</v>
      </c>
      <c r="D12165" s="216" t="n">
        <v>1.168081045150757</v>
      </c>
      <c r="E12165" s="215" t="n">
        <v>46272</v>
      </c>
      <c r="F12165" s="215" t="n">
        <v>46272</v>
      </c>
    </row>
    <row r="12166">
      <c r="A12166" s="215" t="n">
        <v>46273</v>
      </c>
      <c r="B12166" s="216" t="n">
        <v>24.62</v>
      </c>
      <c r="C12166" s="216" t="n">
        <v>38.69</v>
      </c>
      <c r="D12166" s="216" t="n">
        <v>1.168115019798279</v>
      </c>
      <c r="E12166" s="215" t="n">
        <v>46273</v>
      </c>
      <c r="F12166" s="215" t="n">
        <v>46273</v>
      </c>
    </row>
    <row r="12167">
      <c r="A12167" s="215" t="n">
        <v>46274</v>
      </c>
      <c r="B12167" s="216" t="n">
        <v>24.54</v>
      </c>
      <c r="C12167" s="216" t="n">
        <v>39.26</v>
      </c>
      <c r="D12167" s="216" t="n">
        <v>1.168408989906311</v>
      </c>
      <c r="E12167" s="215" t="n">
        <v>46274</v>
      </c>
      <c r="F12167" s="215" t="n">
        <v>46274</v>
      </c>
    </row>
    <row r="12168">
      <c r="A12168" s="215" t="n">
        <v>46275</v>
      </c>
      <c r="B12168" s="216" t="n">
        <v>23.76</v>
      </c>
      <c r="C12168" s="216" t="n">
        <v>38.65</v>
      </c>
      <c r="D12168" s="216" t="n">
        <v>1.168462991714478</v>
      </c>
      <c r="E12168" s="215" t="n">
        <v>46275</v>
      </c>
      <c r="F12168" s="215" t="n">
        <v>46275</v>
      </c>
    </row>
    <row r="12169">
      <c r="A12169" s="215" t="n">
        <v>46276</v>
      </c>
      <c r="B12169" s="216" t="n">
        <v>23</v>
      </c>
      <c r="C12169" s="216" t="n">
        <v>37.62</v>
      </c>
      <c r="D12169" s="216" t="n">
        <v>1.169165015220642</v>
      </c>
      <c r="E12169" s="215" t="n">
        <v>46276</v>
      </c>
      <c r="F12169" s="215" t="n">
        <v>46276</v>
      </c>
    </row>
    <row r="12170">
      <c r="A12170" s="215" t="n">
        <v>46279</v>
      </c>
      <c r="B12170" s="216" t="n">
        <v>22.76</v>
      </c>
      <c r="C12170" s="216" t="n">
        <v>37.81</v>
      </c>
      <c r="D12170" s="216" t="n">
        <v>1.16893994808197</v>
      </c>
      <c r="E12170" s="215" t="n">
        <v>46279</v>
      </c>
      <c r="F12170" s="215" t="n">
        <v>46279</v>
      </c>
    </row>
    <row r="12171">
      <c r="A12171" s="215" t="n">
        <v>46280</v>
      </c>
      <c r="B12171" s="216" t="n">
        <v>22.42</v>
      </c>
      <c r="C12171" s="216" t="n">
        <v>38.01</v>
      </c>
      <c r="D12171" s="216" t="n">
        <v>1.169121026992798</v>
      </c>
      <c r="E12171" s="215" t="n">
        <v>46280</v>
      </c>
      <c r="F12171" s="215" t="n">
        <v>46280</v>
      </c>
    </row>
    <row r="12172">
      <c r="A12172" s="215" t="n">
        <v>46281</v>
      </c>
      <c r="B12172" s="216" t="n">
        <v>22.1</v>
      </c>
      <c r="C12172" s="216" t="n">
        <v>37.71</v>
      </c>
      <c r="D12172" s="216" t="n">
        <v>1.168769955635071</v>
      </c>
      <c r="E12172" s="215" t="n">
        <v>46281</v>
      </c>
      <c r="F12172" s="215" t="n">
        <v>46281</v>
      </c>
    </row>
    <row r="12173">
      <c r="A12173" s="215" t="n">
        <v>46282</v>
      </c>
      <c r="B12173" s="216" t="n">
        <v>21.86</v>
      </c>
      <c r="C12173" s="216" t="n">
        <v>37.49</v>
      </c>
      <c r="D12173" s="216" t="n">
        <v>1.169389963150024</v>
      </c>
      <c r="E12173" s="215" t="n">
        <v>46282</v>
      </c>
      <c r="F12173" s="215" t="n">
        <v>46282</v>
      </c>
    </row>
    <row r="12174">
      <c r="A12174" s="215" t="n">
        <v>46283</v>
      </c>
      <c r="B12174" s="216" t="n">
        <v>21.94</v>
      </c>
      <c r="C12174" s="216" t="n">
        <v>38.03</v>
      </c>
      <c r="D12174" s="216" t="n">
        <v>1.16942298412323</v>
      </c>
      <c r="E12174" s="215" t="n">
        <v>46283</v>
      </c>
      <c r="F12174" s="215" t="n">
        <v>46283</v>
      </c>
    </row>
    <row r="12175">
      <c r="A12175" s="215" t="n">
        <v>46286</v>
      </c>
      <c r="B12175" s="216" t="n">
        <v>22.58</v>
      </c>
      <c r="C12175" s="216" t="n">
        <v>38.15</v>
      </c>
      <c r="D12175" s="216" t="n">
        <v>1.171280026435852</v>
      </c>
      <c r="E12175" s="215" t="n">
        <v>46286</v>
      </c>
      <c r="F12175" s="215" t="n">
        <v>46286</v>
      </c>
    </row>
    <row r="12176">
      <c r="A12176" s="215" t="n">
        <v>46287</v>
      </c>
      <c r="B12176" s="216" t="n">
        <v>22.48</v>
      </c>
      <c r="C12176" s="216" t="n">
        <v>38.28</v>
      </c>
      <c r="D12176" s="216" t="n">
        <v>1.171705007553101</v>
      </c>
      <c r="E12176" s="215" t="n">
        <v>46287</v>
      </c>
      <c r="F12176" s="215" t="n">
        <v>46287</v>
      </c>
    </row>
    <row r="12177">
      <c r="A12177" s="215" t="n">
        <v>46288</v>
      </c>
      <c r="B12177" s="216" t="n">
        <v>22.42</v>
      </c>
      <c r="C12177" s="216" t="n">
        <v>38.31</v>
      </c>
      <c r="D12177" s="216" t="n">
        <v>1.170611023902893</v>
      </c>
      <c r="E12177" s="215" t="n">
        <v>46288</v>
      </c>
      <c r="F12177" s="215" t="n">
        <v>46288</v>
      </c>
    </row>
    <row r="12178">
      <c r="A12178" s="215" t="n">
        <v>46289</v>
      </c>
      <c r="B12178" s="216" t="n">
        <v>21.54</v>
      </c>
      <c r="C12178" s="216" t="n">
        <v>37.6</v>
      </c>
      <c r="D12178" s="216" t="n">
        <v>1.16852605342865</v>
      </c>
      <c r="E12178" s="215" t="n">
        <v>46289</v>
      </c>
      <c r="F12178" s="215" t="n">
        <v>46289</v>
      </c>
    </row>
    <row r="12179">
      <c r="A12179" s="215" t="n">
        <v>46290</v>
      </c>
      <c r="B12179" s="216" t="n">
        <v>21.34</v>
      </c>
      <c r="C12179" s="216" t="n">
        <v>37.6</v>
      </c>
      <c r="D12179" s="216" t="n">
        <v>1.168424010276794</v>
      </c>
      <c r="E12179" s="215" t="n">
        <v>46289</v>
      </c>
      <c r="F12179" s="215" t="n">
        <v>46290</v>
      </c>
    </row>
    <row r="12180">
      <c r="A12180" s="215" t="n">
        <v>46293</v>
      </c>
      <c r="B12180" s="216" t="n">
        <v>20.58</v>
      </c>
      <c r="C12180" s="216" t="n">
        <v>36.17</v>
      </c>
      <c r="D12180" s="216" t="n">
        <v>1.168378949165344</v>
      </c>
      <c r="E12180" s="215" t="n">
        <v>46293</v>
      </c>
      <c r="F12180" s="215" t="n">
        <v>46293</v>
      </c>
    </row>
    <row r="12181">
      <c r="A12181" s="215" t="n">
        <v>46294</v>
      </c>
      <c r="B12181" s="216" t="n">
        <v>21.36</v>
      </c>
      <c r="C12181" s="216" t="n">
        <v>37.22</v>
      </c>
      <c r="D12181" s="216" t="n">
        <v>1.168815970420837</v>
      </c>
      <c r="E12181" s="215" t="n">
        <v>46294</v>
      </c>
      <c r="F12181" s="215" t="n">
        <v>46294</v>
      </c>
    </row>
    <row r="12182">
      <c r="A12182" s="215" t="n">
        <v>46295</v>
      </c>
      <c r="B12182" s="216" t="n">
        <v>21.4</v>
      </c>
      <c r="C12182" s="216" t="n">
        <v>37.24</v>
      </c>
      <c r="D12182" s="216" t="n">
        <v>1.17059600353241</v>
      </c>
      <c r="E12182" s="215" t="n">
        <v>46295</v>
      </c>
      <c r="F12182" s="215" t="n">
        <v>46295</v>
      </c>
    </row>
    <row r="12183">
      <c r="A12183" s="215" t="n">
        <v>46297</v>
      </c>
      <c r="B12183" s="216" t="n">
        <v>20.7</v>
      </c>
      <c r="C12183" s="216" t="n">
        <v>37.24</v>
      </c>
      <c r="D12183" s="216" t="n">
        <v>1.170220971107483</v>
      </c>
      <c r="E12183" s="215" t="n">
        <v>46295</v>
      </c>
      <c r="F12183" s="215" t="n">
        <v>46297</v>
      </c>
    </row>
    <row r="12184">
      <c r="A12184" s="215" t="n">
        <v>46178</v>
      </c>
      <c r="B12184" s="216" t="n">
        <v>66.40000000000001</v>
      </c>
      <c r="C12184" s="216" t="n">
        <v>63.67</v>
      </c>
      <c r="D12184" s="216" t="n">
        <v>1.156491994857788</v>
      </c>
      <c r="E12184" s="215" t="n">
        <v>46178</v>
      </c>
      <c r="F12184" s="215" t="n">
        <v>46178</v>
      </c>
    </row>
    <row r="12185">
      <c r="A12185" s="215" t="n">
        <v>46181</v>
      </c>
      <c r="B12185" s="216" t="n">
        <v>63</v>
      </c>
      <c r="C12185" s="216" t="n">
        <v>59.15</v>
      </c>
      <c r="D12185" s="216" t="n">
        <v>1.157665967941284</v>
      </c>
      <c r="E12185" s="215" t="n">
        <v>46181</v>
      </c>
      <c r="F12185" s="215" t="n">
        <v>46181</v>
      </c>
    </row>
    <row r="12186">
      <c r="A12186" s="215" t="n">
        <v>46182</v>
      </c>
      <c r="B12186" s="216" t="n">
        <v>63.4</v>
      </c>
      <c r="C12186" s="216" t="n">
        <v>61.37</v>
      </c>
      <c r="D12186" s="216" t="n">
        <v>1.158027052879333</v>
      </c>
      <c r="E12186" s="215" t="n">
        <v>46182</v>
      </c>
      <c r="F12186" s="215" t="n">
        <v>46182</v>
      </c>
    </row>
    <row r="12187">
      <c r="A12187" s="215" t="n">
        <v>46183</v>
      </c>
      <c r="B12187" s="216" t="n">
        <v>62.6</v>
      </c>
      <c r="C12187" s="216" t="n">
        <v>59.64</v>
      </c>
      <c r="D12187" s="216" t="n">
        <v>1.157112002372742</v>
      </c>
      <c r="E12187" s="215" t="n">
        <v>46183</v>
      </c>
      <c r="F12187" s="215" t="n">
        <v>46183</v>
      </c>
    </row>
    <row r="12188">
      <c r="A12188" s="215" t="n">
        <v>46184</v>
      </c>
      <c r="B12188" s="216" t="n">
        <v>59.9</v>
      </c>
      <c r="C12188" s="216" t="n">
        <v>58.48</v>
      </c>
      <c r="D12188" s="216" t="n">
        <v>1.156929016113281</v>
      </c>
      <c r="E12188" s="215" t="n">
        <v>46184</v>
      </c>
      <c r="F12188" s="215" t="n">
        <v>46184</v>
      </c>
    </row>
    <row r="12189">
      <c r="A12189" s="215" t="n">
        <v>46185</v>
      </c>
      <c r="B12189" s="216" t="n">
        <v>63.95</v>
      </c>
      <c r="C12189" s="216" t="n">
        <v>59.55</v>
      </c>
      <c r="D12189" s="216" t="n">
        <v>1.156345963478088</v>
      </c>
      <c r="E12189" s="215" t="n">
        <v>46185</v>
      </c>
      <c r="F12189" s="215" t="n">
        <v>46185</v>
      </c>
    </row>
    <row r="12190">
      <c r="A12190" s="215" t="n">
        <v>46188</v>
      </c>
      <c r="B12190" s="216" t="n">
        <v>64.2</v>
      </c>
      <c r="C12190" s="216" t="n">
        <v>59.32</v>
      </c>
      <c r="D12190" s="216" t="n">
        <v>1.156880021095276</v>
      </c>
      <c r="E12190" s="215" t="n">
        <v>46188</v>
      </c>
      <c r="F12190" s="215" t="n">
        <v>46188</v>
      </c>
    </row>
    <row r="12191">
      <c r="A12191" s="215" t="n">
        <v>46189</v>
      </c>
      <c r="B12191" s="216" t="n">
        <v>64.34999999999999</v>
      </c>
      <c r="C12191" s="216" t="n">
        <v>60.2</v>
      </c>
      <c r="D12191" s="216" t="n">
        <v>1.158604025840759</v>
      </c>
      <c r="E12191" s="215" t="n">
        <v>46189</v>
      </c>
      <c r="F12191" s="215" t="n">
        <v>46189</v>
      </c>
    </row>
    <row r="12192">
      <c r="A12192" s="215" t="n">
        <v>46190</v>
      </c>
      <c r="B12192" s="216" t="n">
        <v>65.25</v>
      </c>
      <c r="C12192" s="216" t="n">
        <v>60.57</v>
      </c>
      <c r="D12192" s="216" t="n">
        <v>1.158974051475525</v>
      </c>
      <c r="E12192" s="215" t="n">
        <v>46190</v>
      </c>
      <c r="F12192" s="215" t="n">
        <v>46190</v>
      </c>
    </row>
    <row r="12193">
      <c r="A12193" s="215" t="n">
        <v>46191</v>
      </c>
      <c r="B12193" s="216" t="n">
        <v>63.6</v>
      </c>
      <c r="C12193" s="216" t="n">
        <v>58.32</v>
      </c>
      <c r="D12193" s="216" t="n">
        <v>1.159355998039246</v>
      </c>
      <c r="E12193" s="215" t="n">
        <v>46191</v>
      </c>
      <c r="F12193" s="215" t="n">
        <v>46191</v>
      </c>
    </row>
    <row r="12194">
      <c r="A12194" s="215" t="n">
        <v>46195</v>
      </c>
      <c r="B12194" s="216" t="n">
        <v>66.75</v>
      </c>
      <c r="C12194" s="216" t="n">
        <v>60.95</v>
      </c>
      <c r="D12194" s="216" t="n">
        <v>1.157493948936462</v>
      </c>
      <c r="E12194" s="215" t="n">
        <v>46195</v>
      </c>
      <c r="F12194" s="215" t="n">
        <v>46195</v>
      </c>
    </row>
    <row r="12195">
      <c r="A12195" s="215" t="n">
        <v>46196</v>
      </c>
      <c r="B12195" s="216" t="n">
        <v>64.40000000000001</v>
      </c>
      <c r="C12195" s="216" t="n">
        <v>59.79</v>
      </c>
      <c r="D12195" s="216" t="n">
        <v>1.156896948814392</v>
      </c>
      <c r="E12195" s="215" t="n">
        <v>46196</v>
      </c>
      <c r="F12195" s="215" t="n">
        <v>46196</v>
      </c>
    </row>
    <row r="12196">
      <c r="A12196" s="215" t="n">
        <v>46197</v>
      </c>
      <c r="B12196" s="216" t="n">
        <v>64.55</v>
      </c>
      <c r="C12196" s="216" t="n">
        <v>58.2</v>
      </c>
      <c r="D12196" s="216" t="n">
        <v>1.154508948326111</v>
      </c>
      <c r="E12196" s="215" t="n">
        <v>46197</v>
      </c>
      <c r="F12196" s="215" t="n">
        <v>46197</v>
      </c>
    </row>
    <row r="12197">
      <c r="A12197" s="215" t="n">
        <v>46198</v>
      </c>
      <c r="B12197" s="216" t="n">
        <v>64.15000000000001</v>
      </c>
      <c r="C12197" s="216" t="n">
        <v>56.6</v>
      </c>
      <c r="D12197" s="216" t="n">
        <v>1.154152035713196</v>
      </c>
      <c r="E12197" s="215" t="n">
        <v>46198</v>
      </c>
      <c r="F12197" s="215" t="n">
        <v>46198</v>
      </c>
    </row>
    <row r="12198">
      <c r="A12198" s="215" t="n">
        <v>46199</v>
      </c>
      <c r="B12198" s="216" t="n">
        <v>64.55</v>
      </c>
      <c r="C12198" s="216" t="n">
        <v>55.55</v>
      </c>
      <c r="D12198" s="216" t="n">
        <v>1.154500961303711</v>
      </c>
      <c r="E12198" s="215" t="n">
        <v>46199</v>
      </c>
      <c r="F12198" s="215" t="n">
        <v>46199</v>
      </c>
    </row>
    <row r="12199">
      <c r="A12199" s="215" t="n">
        <v>46202</v>
      </c>
      <c r="B12199" s="216" t="n">
        <v>63.25</v>
      </c>
      <c r="C12199" s="216" t="n">
        <v>57.17</v>
      </c>
      <c r="D12199" s="216" t="n">
        <v>1.153512001037598</v>
      </c>
      <c r="E12199" s="215" t="n">
        <v>46202</v>
      </c>
      <c r="F12199" s="215" t="n">
        <v>46202</v>
      </c>
    </row>
    <row r="12200">
      <c r="A12200" s="215" t="n">
        <v>46203</v>
      </c>
      <c r="B12200" s="216" t="n">
        <v>63.55</v>
      </c>
      <c r="C12200" s="216" t="n">
        <v>57.97</v>
      </c>
      <c r="D12200" s="216" t="n">
        <v>1.153959035873413</v>
      </c>
      <c r="E12200" s="215" t="n">
        <v>46203</v>
      </c>
      <c r="F12200" s="215" t="n">
        <v>46203</v>
      </c>
    </row>
    <row r="12201">
      <c r="A12201" s="215" t="n">
        <v>46205</v>
      </c>
      <c r="B12201" s="216" t="n">
        <v>63.75</v>
      </c>
      <c r="C12201" s="216" t="n">
        <v>54.67</v>
      </c>
      <c r="D12201" s="216" t="n">
        <v>1.154355049133301</v>
      </c>
      <c r="E12201" s="215" t="n">
        <v>46205</v>
      </c>
      <c r="F12201" s="215" t="n">
        <v>46205</v>
      </c>
    </row>
    <row r="12202">
      <c r="A12202" s="215" t="n">
        <v>46206</v>
      </c>
      <c r="B12202" s="216" t="n">
        <v>57.4</v>
      </c>
      <c r="C12202" s="216" t="n">
        <v>56.05</v>
      </c>
      <c r="D12202" s="216" t="n">
        <v>1.155220985412598</v>
      </c>
      <c r="E12202" s="215" t="n">
        <v>46206</v>
      </c>
      <c r="F12202" s="215" t="n">
        <v>46206</v>
      </c>
    </row>
    <row r="12203">
      <c r="A12203" s="215" t="n">
        <v>46209</v>
      </c>
      <c r="B12203" s="216" t="n">
        <v>50.85</v>
      </c>
      <c r="C12203" s="216" t="n">
        <v>52.14</v>
      </c>
      <c r="D12203" s="216" t="n">
        <v>1.155068039894104</v>
      </c>
      <c r="E12203" s="215" t="n">
        <v>46209</v>
      </c>
      <c r="F12203" s="215" t="n">
        <v>46209</v>
      </c>
    </row>
    <row r="12204">
      <c r="A12204" s="215" t="n">
        <v>46210</v>
      </c>
      <c r="B12204" s="216" t="n">
        <v>47.8</v>
      </c>
      <c r="C12204" s="216" t="n">
        <v>49.7</v>
      </c>
      <c r="D12204" s="216" t="n">
        <v>1.153807997703552</v>
      </c>
      <c r="E12204" s="215" t="n">
        <v>46210</v>
      </c>
      <c r="F12204" s="215" t="n">
        <v>46210</v>
      </c>
    </row>
    <row r="12205">
      <c r="A12205" s="215" t="n">
        <v>46211</v>
      </c>
      <c r="B12205" s="216" t="n">
        <v>46</v>
      </c>
      <c r="C12205" s="216" t="n">
        <v>46.7</v>
      </c>
      <c r="D12205" s="216" t="n">
        <v>1.154153943061829</v>
      </c>
      <c r="E12205" s="215" t="n">
        <v>46211</v>
      </c>
      <c r="F12205" s="215" t="n">
        <v>46211</v>
      </c>
    </row>
    <row r="12206">
      <c r="A12206" s="215" t="n">
        <v>46212</v>
      </c>
      <c r="B12206" s="216" t="n">
        <v>46.92</v>
      </c>
      <c r="C12206" s="216" t="n">
        <v>47</v>
      </c>
      <c r="D12206" s="216" t="n">
        <v>1.152119994163513</v>
      </c>
      <c r="E12206" s="215" t="n">
        <v>46212</v>
      </c>
      <c r="F12206" s="215" t="n">
        <v>46212</v>
      </c>
    </row>
    <row r="12207">
      <c r="A12207" s="215" t="n">
        <v>46213</v>
      </c>
      <c r="B12207" s="216" t="n">
        <v>45.4</v>
      </c>
      <c r="C12207" s="216" t="n">
        <v>46.21</v>
      </c>
      <c r="D12207" s="216" t="n">
        <v>1.153550028800964</v>
      </c>
      <c r="E12207" s="215" t="n">
        <v>46213</v>
      </c>
      <c r="F12207" s="215" t="n">
        <v>46213</v>
      </c>
    </row>
    <row r="12208">
      <c r="A12208" s="215" t="n">
        <v>46216</v>
      </c>
      <c r="B12208" s="216" t="n">
        <v>42</v>
      </c>
      <c r="C12208" s="216" t="n">
        <v>42.45</v>
      </c>
      <c r="D12208" s="216" t="n">
        <v>1.156761050224304</v>
      </c>
      <c r="E12208" s="215" t="n">
        <v>46216</v>
      </c>
      <c r="F12208" s="215" t="n">
        <v>46216</v>
      </c>
    </row>
    <row r="12209">
      <c r="A12209" s="215" t="n">
        <v>46217</v>
      </c>
      <c r="B12209" s="216" t="n">
        <v>39.16</v>
      </c>
      <c r="C12209" s="216" t="n">
        <v>43.7</v>
      </c>
      <c r="D12209" s="216" t="n">
        <v>1.155825972557068</v>
      </c>
      <c r="E12209" s="215" t="n">
        <v>46217</v>
      </c>
      <c r="F12209" s="215" t="n">
        <v>46217</v>
      </c>
    </row>
    <row r="12210">
      <c r="A12210" s="215" t="n">
        <v>46218</v>
      </c>
      <c r="B12210" s="216" t="n">
        <v>39.28</v>
      </c>
      <c r="C12210" s="216" t="n">
        <v>42.99</v>
      </c>
      <c r="D12210" s="216" t="n">
        <v>1.157556056976318</v>
      </c>
      <c r="E12210" s="215" t="n">
        <v>46218</v>
      </c>
      <c r="F12210" s="215" t="n">
        <v>46218</v>
      </c>
    </row>
    <row r="12211">
      <c r="A12211" s="215" t="n">
        <v>46219</v>
      </c>
      <c r="B12211" s="216" t="n">
        <v>38.04</v>
      </c>
      <c r="C12211" s="216" t="n">
        <v>40.95</v>
      </c>
      <c r="D12211" s="216" t="n">
        <v>1.157912969589233</v>
      </c>
      <c r="E12211" s="215" t="n">
        <v>46219</v>
      </c>
      <c r="F12211" s="215" t="n">
        <v>46219</v>
      </c>
    </row>
    <row r="12212">
      <c r="A12212" s="215" t="n">
        <v>46220</v>
      </c>
      <c r="B12212" s="216" t="n">
        <v>31.6</v>
      </c>
      <c r="C12212" s="216" t="n">
        <v>37.37</v>
      </c>
      <c r="D12212" s="216" t="n">
        <v>1.157472014427185</v>
      </c>
      <c r="E12212" s="215" t="n">
        <v>46220</v>
      </c>
      <c r="F12212" s="215" t="n">
        <v>46220</v>
      </c>
    </row>
    <row r="12213">
      <c r="A12213" s="215" t="n">
        <v>46223</v>
      </c>
      <c r="B12213" s="216" t="n">
        <v>32.78</v>
      </c>
      <c r="C12213" s="216" t="n">
        <v>36.61</v>
      </c>
      <c r="D12213" s="216" t="n">
        <v>1.157451033592224</v>
      </c>
      <c r="E12213" s="215" t="n">
        <v>46223</v>
      </c>
      <c r="F12213" s="215" t="n">
        <v>46223</v>
      </c>
    </row>
    <row r="12214">
      <c r="A12214" s="215" t="n">
        <v>46224</v>
      </c>
      <c r="B12214" s="216" t="n">
        <v>33.92</v>
      </c>
      <c r="C12214" s="216" t="n">
        <v>38.36</v>
      </c>
      <c r="D12214" s="216" t="n">
        <v>1.157506942749023</v>
      </c>
      <c r="E12214" s="215" t="n">
        <v>46224</v>
      </c>
      <c r="F12214" s="215" t="n">
        <v>46224</v>
      </c>
    </row>
    <row r="12215">
      <c r="A12215" s="215" t="n">
        <v>46225</v>
      </c>
      <c r="B12215" s="216" t="n">
        <v>31.6</v>
      </c>
      <c r="C12215" s="216" t="n">
        <v>37.12</v>
      </c>
      <c r="D12215" s="216" t="n">
        <v>1.158938050270081</v>
      </c>
      <c r="E12215" s="215" t="n">
        <v>46225</v>
      </c>
      <c r="F12215" s="215" t="n">
        <v>46225</v>
      </c>
    </row>
    <row r="12216">
      <c r="A12216" s="215" t="n">
        <v>46226</v>
      </c>
      <c r="B12216" s="216" t="n">
        <v>37.72</v>
      </c>
      <c r="C12216" s="216" t="n">
        <v>39.55</v>
      </c>
      <c r="D12216" s="216" t="n">
        <v>1.157410979270935</v>
      </c>
      <c r="E12216" s="215" t="n">
        <v>46226</v>
      </c>
      <c r="F12216" s="215" t="n">
        <v>46226</v>
      </c>
    </row>
    <row r="12217">
      <c r="A12217" s="215" t="n">
        <v>46227</v>
      </c>
      <c r="B12217" s="216" t="n">
        <v>32.8</v>
      </c>
      <c r="C12217" s="216" t="n">
        <v>38.19</v>
      </c>
      <c r="D12217" s="216" t="n">
        <v>1.15762197971344</v>
      </c>
      <c r="E12217" s="215" t="n">
        <v>46227</v>
      </c>
      <c r="F12217" s="215" t="n">
        <v>46227</v>
      </c>
    </row>
    <row r="12218">
      <c r="A12218" s="215" t="n">
        <v>46230</v>
      </c>
      <c r="B12218" s="216" t="n">
        <v>36.6</v>
      </c>
      <c r="C12218" s="216" t="n">
        <v>40.54</v>
      </c>
      <c r="D12218" s="216" t="n">
        <v>1.15789794921875</v>
      </c>
      <c r="E12218" s="215" t="n">
        <v>46230</v>
      </c>
      <c r="F12218" s="215" t="n">
        <v>46230</v>
      </c>
    </row>
    <row r="12219">
      <c r="A12219" s="215" t="n">
        <v>46231</v>
      </c>
      <c r="B12219" s="216" t="n">
        <v>34.18</v>
      </c>
      <c r="C12219" s="216" t="n">
        <v>40.06</v>
      </c>
      <c r="D12219" s="216" t="n">
        <v>1.158699035644531</v>
      </c>
      <c r="E12219" s="215" t="n">
        <v>46231</v>
      </c>
      <c r="F12219" s="215" t="n">
        <v>46231</v>
      </c>
    </row>
    <row r="12220">
      <c r="A12220" s="215" t="n">
        <v>46232</v>
      </c>
      <c r="B12220" s="216" t="n">
        <v>36</v>
      </c>
      <c r="C12220" s="216" t="n">
        <v>40.4</v>
      </c>
      <c r="D12220" s="216" t="n">
        <v>1.157909989356995</v>
      </c>
      <c r="E12220" s="215" t="n">
        <v>46232</v>
      </c>
      <c r="F12220" s="215" t="n">
        <v>46232</v>
      </c>
    </row>
    <row r="12221">
      <c r="A12221" s="215" t="n">
        <v>46233</v>
      </c>
      <c r="B12221" s="216" t="n">
        <v>35.58</v>
      </c>
      <c r="C12221" s="216" t="n">
        <v>39.8</v>
      </c>
      <c r="D12221" s="216" t="n">
        <v>1.158943057060242</v>
      </c>
      <c r="E12221" s="215" t="n">
        <v>46233</v>
      </c>
      <c r="F12221" s="215" t="n">
        <v>46233</v>
      </c>
    </row>
    <row r="12222">
      <c r="A12222" s="215" t="n">
        <v>46234</v>
      </c>
      <c r="B12222" s="216" t="n">
        <v>36</v>
      </c>
      <c r="C12222" s="216" t="n">
        <v>39.41</v>
      </c>
      <c r="D12222" s="216" t="n">
        <v>1.160945057868958</v>
      </c>
      <c r="E12222" s="215" t="n">
        <v>46234</v>
      </c>
      <c r="F12222" s="215" t="n">
        <v>46234</v>
      </c>
    </row>
    <row r="12223">
      <c r="A12223" s="215" t="n">
        <v>46237</v>
      </c>
      <c r="B12223" s="216" t="n">
        <v>38.1</v>
      </c>
      <c r="C12223" s="216" t="n">
        <v>40.8</v>
      </c>
      <c r="D12223" s="216" t="n">
        <v>1.161579966545105</v>
      </c>
      <c r="E12223" s="215" t="n">
        <v>46237</v>
      </c>
      <c r="F12223" s="215" t="n">
        <v>46237</v>
      </c>
    </row>
    <row r="12224">
      <c r="A12224" s="215" t="n">
        <v>46238</v>
      </c>
      <c r="B12224" s="216" t="n">
        <v>38.58</v>
      </c>
      <c r="C12224" s="216" t="n">
        <v>41.57</v>
      </c>
      <c r="D12224" s="216" t="n">
        <v>1.161064982414246</v>
      </c>
      <c r="E12224" s="215" t="n">
        <v>46238</v>
      </c>
      <c r="F12224" s="215" t="n">
        <v>46238</v>
      </c>
    </row>
    <row r="12225">
      <c r="A12225" s="215" t="n">
        <v>46239</v>
      </c>
      <c r="B12225" s="216" t="n">
        <v>39.06</v>
      </c>
      <c r="C12225" s="216" t="n">
        <v>42.56</v>
      </c>
      <c r="D12225" s="216" t="n">
        <v>1.161146998405457</v>
      </c>
      <c r="E12225" s="215" t="n">
        <v>46239</v>
      </c>
      <c r="F12225" s="215" t="n">
        <v>46239</v>
      </c>
    </row>
    <row r="12226">
      <c r="A12226" s="215" t="n">
        <v>46240</v>
      </c>
      <c r="B12226" s="216" t="n">
        <v>38.12</v>
      </c>
      <c r="C12226" s="216" t="n">
        <v>41.76</v>
      </c>
      <c r="D12226" s="216" t="n">
        <v>1.161936044692993</v>
      </c>
      <c r="E12226" s="215" t="n">
        <v>46240</v>
      </c>
      <c r="F12226" s="215" t="n">
        <v>46240</v>
      </c>
    </row>
    <row r="12227">
      <c r="A12227" s="215" t="n">
        <v>46241</v>
      </c>
      <c r="B12227" s="216" t="n">
        <v>38.54</v>
      </c>
      <c r="C12227" s="216" t="n">
        <v>42.12</v>
      </c>
      <c r="D12227" s="216" t="n">
        <v>1.162284016609192</v>
      </c>
      <c r="E12227" s="215" t="n">
        <v>46241</v>
      </c>
      <c r="F12227" s="215" t="n">
        <v>46241</v>
      </c>
    </row>
    <row r="12228">
      <c r="A12228" s="215" t="n">
        <v>46244</v>
      </c>
      <c r="B12228" s="216" t="n">
        <v>36.8</v>
      </c>
      <c r="C12228" s="216" t="n">
        <v>42.1</v>
      </c>
      <c r="D12228" s="216" t="n">
        <v>1.162629961967468</v>
      </c>
      <c r="E12228" s="215" t="n">
        <v>46244</v>
      </c>
      <c r="F12228" s="215" t="n">
        <v>46244</v>
      </c>
    </row>
    <row r="12229">
      <c r="A12229" s="215" t="n">
        <v>46245</v>
      </c>
      <c r="B12229" s="216" t="n">
        <v>35.68</v>
      </c>
      <c r="C12229" s="216" t="n">
        <v>41.65</v>
      </c>
      <c r="D12229" s="216" t="n">
        <v>1.162588000297546</v>
      </c>
      <c r="E12229" s="215" t="n">
        <v>46245</v>
      </c>
      <c r="F12229" s="215" t="n">
        <v>46245</v>
      </c>
    </row>
    <row r="12230">
      <c r="A12230" s="215" t="n">
        <v>46246</v>
      </c>
      <c r="B12230" s="216" t="n">
        <v>37.14</v>
      </c>
      <c r="C12230" s="216" t="n">
        <v>43.63</v>
      </c>
      <c r="D12230" s="216" t="n">
        <v>1.163135051727295</v>
      </c>
      <c r="E12230" s="215" t="n">
        <v>46246</v>
      </c>
      <c r="F12230" s="215" t="n">
        <v>46246</v>
      </c>
    </row>
    <row r="12231">
      <c r="A12231" s="215" t="n">
        <v>46247</v>
      </c>
      <c r="B12231" s="216" t="n">
        <v>35.46</v>
      </c>
      <c r="C12231" s="216" t="n">
        <v>42.55</v>
      </c>
      <c r="D12231" s="216" t="n">
        <v>1.163341045379639</v>
      </c>
      <c r="E12231" s="215" t="n">
        <v>46247</v>
      </c>
      <c r="F12231" s="215" t="n">
        <v>46247</v>
      </c>
    </row>
    <row r="12232">
      <c r="A12232" s="215" t="n">
        <v>46248</v>
      </c>
      <c r="B12232" s="216" t="n">
        <v>34.66</v>
      </c>
      <c r="C12232" s="216" t="n">
        <v>41.85</v>
      </c>
      <c r="D12232" s="216" t="n">
        <v>1.163571000099182</v>
      </c>
      <c r="E12232" s="215" t="n">
        <v>46248</v>
      </c>
      <c r="F12232" s="215" t="n">
        <v>46248</v>
      </c>
    </row>
    <row r="12233">
      <c r="A12233" s="215" t="n">
        <v>46251</v>
      </c>
      <c r="B12233" s="216" t="n">
        <v>35.8</v>
      </c>
      <c r="C12233" s="216" t="n">
        <v>41.92</v>
      </c>
      <c r="D12233" s="216" t="n">
        <v>1.163601994514465</v>
      </c>
      <c r="E12233" s="215" t="n">
        <v>46251</v>
      </c>
      <c r="F12233" s="215" t="n">
        <v>46251</v>
      </c>
    </row>
    <row r="12234">
      <c r="A12234" s="215" t="n">
        <v>46252</v>
      </c>
      <c r="B12234" s="216" t="n">
        <v>34</v>
      </c>
      <c r="C12234" s="216" t="n">
        <v>41.34</v>
      </c>
      <c r="D12234" s="216" t="n">
        <v>1.163733005523682</v>
      </c>
      <c r="E12234" s="215" t="n">
        <v>46252</v>
      </c>
      <c r="F12234" s="215" t="n">
        <v>46252</v>
      </c>
    </row>
    <row r="12235">
      <c r="A12235" s="215" t="n">
        <v>46253</v>
      </c>
      <c r="B12235" s="216" t="n">
        <v>32.02</v>
      </c>
      <c r="C12235" s="216" t="n">
        <v>38.82</v>
      </c>
      <c r="D12235" s="216" t="n">
        <v>1.163092017173767</v>
      </c>
      <c r="E12235" s="215" t="n">
        <v>46253</v>
      </c>
      <c r="F12235" s="215" t="n">
        <v>46253</v>
      </c>
    </row>
    <row r="12236">
      <c r="A12236" s="215" t="n">
        <v>46254</v>
      </c>
      <c r="B12236" s="216" t="n">
        <v>32.96</v>
      </c>
      <c r="C12236" s="216" t="n">
        <v>39.19</v>
      </c>
      <c r="D12236" s="216" t="n">
        <v>1.164932012557983</v>
      </c>
      <c r="E12236" s="215" t="n">
        <v>46254</v>
      </c>
      <c r="F12236" s="215" t="n">
        <v>46254</v>
      </c>
    </row>
    <row r="12237">
      <c r="A12237" s="215" t="n">
        <v>46255</v>
      </c>
      <c r="B12237" s="216" t="n">
        <v>32.78</v>
      </c>
      <c r="C12237" s="216" t="n">
        <v>39.18</v>
      </c>
      <c r="D12237" s="216" t="n">
        <v>1.166555047035217</v>
      </c>
      <c r="E12237" s="215" t="n">
        <v>46255</v>
      </c>
      <c r="F12237" s="215" t="n">
        <v>46255</v>
      </c>
    </row>
    <row r="12238">
      <c r="A12238" s="215" t="n">
        <v>46258</v>
      </c>
      <c r="B12238" s="216" t="n">
        <v>29.5</v>
      </c>
      <c r="C12238" s="216" t="n">
        <v>35.26</v>
      </c>
      <c r="D12238" s="216" t="n">
        <v>1.166316986083984</v>
      </c>
      <c r="E12238" s="215" t="n">
        <v>46258</v>
      </c>
      <c r="F12238" s="215" t="n">
        <v>46258</v>
      </c>
    </row>
    <row r="12239">
      <c r="A12239" s="215" t="n">
        <v>46259</v>
      </c>
      <c r="B12239" s="216" t="n">
        <v>31.8</v>
      </c>
      <c r="C12239" s="216" t="n">
        <v>35.16</v>
      </c>
      <c r="D12239" s="216" t="n">
        <v>1.165253043174744</v>
      </c>
      <c r="E12239" s="215" t="n">
        <v>46259</v>
      </c>
      <c r="F12239" s="215" t="n">
        <v>46259</v>
      </c>
    </row>
    <row r="12240">
      <c r="A12240" s="215" t="n">
        <v>46260</v>
      </c>
      <c r="B12240" s="216" t="n">
        <v>31.36</v>
      </c>
      <c r="C12240" s="216" t="n">
        <v>35.26</v>
      </c>
      <c r="D12240" s="216" t="n">
        <v>1.166218996047974</v>
      </c>
      <c r="E12240" s="215" t="n">
        <v>46260</v>
      </c>
      <c r="F12240" s="215" t="n">
        <v>46260</v>
      </c>
    </row>
    <row r="12241">
      <c r="A12241" s="215" t="n">
        <v>46261</v>
      </c>
      <c r="B12241" s="216" t="n">
        <v>30.88</v>
      </c>
      <c r="C12241" s="216" t="n">
        <v>35.41</v>
      </c>
      <c r="D12241" s="216" t="n">
        <v>1.165971040725708</v>
      </c>
      <c r="E12241" s="215" t="n">
        <v>46261</v>
      </c>
      <c r="F12241" s="215" t="n">
        <v>46261</v>
      </c>
    </row>
    <row r="12242">
      <c r="A12242" s="215" t="n">
        <v>46262</v>
      </c>
      <c r="B12242" s="216" t="n">
        <v>30.52</v>
      </c>
      <c r="C12242" s="216" t="n">
        <v>35.76</v>
      </c>
      <c r="D12242" s="216" t="n">
        <v>1.165799975395203</v>
      </c>
      <c r="E12242" s="215" t="n">
        <v>46262</v>
      </c>
      <c r="F12242" s="215" t="n">
        <v>46262</v>
      </c>
    </row>
    <row r="12243">
      <c r="A12243" s="215" t="n">
        <v>46265</v>
      </c>
      <c r="B12243" s="216" t="n">
        <v>29.78</v>
      </c>
      <c r="C12243" s="216" t="n">
        <v>35.25</v>
      </c>
      <c r="D12243" s="216" t="n">
        <v>1.165387988090515</v>
      </c>
      <c r="E12243" s="215" t="n">
        <v>46265</v>
      </c>
      <c r="F12243" s="215" t="n">
        <v>46265</v>
      </c>
    </row>
    <row r="12244">
      <c r="A12244" s="215" t="n">
        <v>46266</v>
      </c>
      <c r="B12244" s="216" t="n">
        <v>28.42</v>
      </c>
      <c r="C12244" s="216" t="n">
        <v>34.2</v>
      </c>
      <c r="D12244" s="216" t="n">
        <v>1.165223956108093</v>
      </c>
      <c r="E12244" s="215" t="n">
        <v>46266</v>
      </c>
      <c r="F12244" s="215" t="n">
        <v>46266</v>
      </c>
    </row>
    <row r="12245">
      <c r="A12245" s="215" t="n">
        <v>46267</v>
      </c>
      <c r="B12245" s="216" t="n">
        <v>27.82</v>
      </c>
      <c r="C12245" s="216" t="n">
        <v>33.25</v>
      </c>
      <c r="D12245" s="216" t="n">
        <v>1.166425943374634</v>
      </c>
      <c r="E12245" s="215" t="n">
        <v>46267</v>
      </c>
      <c r="F12245" s="215" t="n">
        <v>46267</v>
      </c>
    </row>
    <row r="12246">
      <c r="A12246" s="215" t="n">
        <v>46268</v>
      </c>
      <c r="B12246" s="216" t="n">
        <v>28.34</v>
      </c>
      <c r="C12246" s="216" t="n">
        <v>33.35</v>
      </c>
      <c r="D12246" s="216" t="n">
        <v>1.167057037353516</v>
      </c>
      <c r="E12246" s="215" t="n">
        <v>46268</v>
      </c>
      <c r="F12246" s="215" t="n">
        <v>46268</v>
      </c>
    </row>
    <row r="12247">
      <c r="A12247" s="215" t="n">
        <v>46269</v>
      </c>
      <c r="B12247" s="216" t="n">
        <v>28.54</v>
      </c>
      <c r="C12247" s="216" t="n">
        <v>33.22</v>
      </c>
      <c r="D12247" s="216" t="n">
        <v>1.166767954826355</v>
      </c>
      <c r="E12247" s="215" t="n">
        <v>46269</v>
      </c>
      <c r="F12247" s="215" t="n">
        <v>46269</v>
      </c>
    </row>
    <row r="12248">
      <c r="A12248" s="215" t="n">
        <v>46272</v>
      </c>
      <c r="B12248" s="216" t="n">
        <v>27.92</v>
      </c>
      <c r="C12248" s="216" t="n">
        <v>33.24</v>
      </c>
      <c r="D12248" s="216" t="n">
        <v>1.168081045150757</v>
      </c>
      <c r="E12248" s="215" t="n">
        <v>46272</v>
      </c>
      <c r="F12248" s="215" t="n">
        <v>46272</v>
      </c>
    </row>
    <row r="12249">
      <c r="A12249" s="215" t="n">
        <v>46273</v>
      </c>
      <c r="B12249" s="216" t="n">
        <v>27.4</v>
      </c>
      <c r="C12249" s="216" t="n">
        <v>33.11</v>
      </c>
      <c r="D12249" s="216" t="n">
        <v>1.168115019798279</v>
      </c>
      <c r="E12249" s="215" t="n">
        <v>46273</v>
      </c>
      <c r="F12249" s="215" t="n">
        <v>46273</v>
      </c>
    </row>
    <row r="12250">
      <c r="A12250" s="215" t="n">
        <v>46274</v>
      </c>
      <c r="B12250" s="216" t="n">
        <v>26.94</v>
      </c>
      <c r="C12250" s="216" t="n">
        <v>32.57</v>
      </c>
      <c r="D12250" s="216" t="n">
        <v>1.168408989906311</v>
      </c>
      <c r="E12250" s="215" t="n">
        <v>46274</v>
      </c>
      <c r="F12250" s="215" t="n">
        <v>46274</v>
      </c>
    </row>
    <row r="12251">
      <c r="A12251" s="215" t="n">
        <v>46275</v>
      </c>
      <c r="B12251" s="216" t="n">
        <v>28.58</v>
      </c>
      <c r="C12251" s="216" t="n">
        <v>33.54</v>
      </c>
      <c r="D12251" s="216" t="n">
        <v>1.168462991714478</v>
      </c>
      <c r="E12251" s="215" t="n">
        <v>46275</v>
      </c>
      <c r="F12251" s="215" t="n">
        <v>46275</v>
      </c>
    </row>
    <row r="12252">
      <c r="A12252" s="215" t="n">
        <v>46276</v>
      </c>
      <c r="B12252" s="216" t="n">
        <v>31.66</v>
      </c>
      <c r="C12252" s="216" t="n">
        <v>35.3</v>
      </c>
      <c r="D12252" s="216" t="n">
        <v>1.169165015220642</v>
      </c>
      <c r="E12252" s="215" t="n">
        <v>46276</v>
      </c>
      <c r="F12252" s="215" t="n">
        <v>46276</v>
      </c>
    </row>
    <row r="12253">
      <c r="A12253" s="215" t="n">
        <v>46279</v>
      </c>
      <c r="B12253" s="216" t="n">
        <v>30.46</v>
      </c>
      <c r="C12253" s="216" t="n">
        <v>35.85</v>
      </c>
      <c r="D12253" s="216" t="n">
        <v>1.16893994808197</v>
      </c>
      <c r="E12253" s="215" t="n">
        <v>46279</v>
      </c>
      <c r="F12253" s="215" t="n">
        <v>46279</v>
      </c>
    </row>
    <row r="12254">
      <c r="A12254" s="215" t="n">
        <v>46280</v>
      </c>
      <c r="B12254" s="216" t="n">
        <v>33.78</v>
      </c>
      <c r="C12254" s="216" t="n">
        <v>39.44</v>
      </c>
      <c r="D12254" s="216" t="n">
        <v>1.169121026992798</v>
      </c>
      <c r="E12254" s="215" t="n">
        <v>46280</v>
      </c>
      <c r="F12254" s="215" t="n">
        <v>46280</v>
      </c>
    </row>
    <row r="12255">
      <c r="A12255" s="215" t="n">
        <v>46281</v>
      </c>
      <c r="B12255" s="216" t="n">
        <v>32.6</v>
      </c>
      <c r="C12255" s="216" t="n">
        <v>39.16</v>
      </c>
      <c r="D12255" s="216" t="n">
        <v>1.168769955635071</v>
      </c>
      <c r="E12255" s="215" t="n">
        <v>46281</v>
      </c>
      <c r="F12255" s="215" t="n">
        <v>46281</v>
      </c>
    </row>
    <row r="12256">
      <c r="A12256" s="215" t="n">
        <v>46282</v>
      </c>
      <c r="B12256" s="216" t="n">
        <v>33.74</v>
      </c>
      <c r="C12256" s="216" t="n">
        <v>41.21</v>
      </c>
      <c r="D12256" s="216" t="n">
        <v>1.169389963150024</v>
      </c>
      <c r="E12256" s="215" t="n">
        <v>46282</v>
      </c>
      <c r="F12256" s="215" t="n">
        <v>46282</v>
      </c>
    </row>
    <row r="12257">
      <c r="A12257" s="215" t="n">
        <v>46283</v>
      </c>
      <c r="B12257" s="216" t="n">
        <v>33.22</v>
      </c>
      <c r="C12257" s="216" t="n">
        <v>39.6</v>
      </c>
      <c r="D12257" s="216" t="n">
        <v>1.16942298412323</v>
      </c>
      <c r="E12257" s="215" t="n">
        <v>46283</v>
      </c>
      <c r="F12257" s="215" t="n">
        <v>46283</v>
      </c>
    </row>
    <row r="12258">
      <c r="A12258" s="215" t="n">
        <v>46286</v>
      </c>
      <c r="B12258" s="216" t="n">
        <v>31.62</v>
      </c>
      <c r="C12258" s="216" t="n">
        <v>39.7</v>
      </c>
      <c r="D12258" s="216" t="n">
        <v>1.171280026435852</v>
      </c>
      <c r="E12258" s="215" t="n">
        <v>46286</v>
      </c>
      <c r="F12258" s="215" t="n">
        <v>46286</v>
      </c>
    </row>
    <row r="12259">
      <c r="A12259" s="215" t="n">
        <v>46287</v>
      </c>
      <c r="B12259" s="216" t="n">
        <v>29.82</v>
      </c>
      <c r="C12259" s="216" t="n">
        <v>38.08</v>
      </c>
      <c r="D12259" s="216" t="n">
        <v>1.171705007553101</v>
      </c>
      <c r="E12259" s="215" t="n">
        <v>46287</v>
      </c>
      <c r="F12259" s="215" t="n">
        <v>46287</v>
      </c>
    </row>
    <row r="12260">
      <c r="A12260" s="215" t="n">
        <v>46288</v>
      </c>
      <c r="B12260" s="216" t="n">
        <v>29.66</v>
      </c>
      <c r="C12260" s="216" t="n">
        <v>37.89</v>
      </c>
      <c r="D12260" s="216" t="n">
        <v>1.170611023902893</v>
      </c>
      <c r="E12260" s="215" t="n">
        <v>46288</v>
      </c>
      <c r="F12260" s="215" t="n">
        <v>46288</v>
      </c>
    </row>
    <row r="12261">
      <c r="A12261" s="215" t="n">
        <v>46289</v>
      </c>
      <c r="B12261" s="216" t="n">
        <v>30.7</v>
      </c>
      <c r="C12261" s="216" t="n">
        <v>39.77</v>
      </c>
      <c r="D12261" s="216" t="n">
        <v>1.16852605342865</v>
      </c>
      <c r="E12261" s="215" t="n">
        <v>46289</v>
      </c>
      <c r="F12261" s="215" t="n">
        <v>46289</v>
      </c>
    </row>
    <row r="12262">
      <c r="A12262" s="215" t="n">
        <v>46290</v>
      </c>
      <c r="B12262" s="216" t="n">
        <v>30.3</v>
      </c>
      <c r="C12262" s="216" t="n">
        <v>39.77</v>
      </c>
      <c r="D12262" s="216" t="n">
        <v>1.168424010276794</v>
      </c>
      <c r="E12262" s="215" t="n">
        <v>46289</v>
      </c>
      <c r="F12262" s="215" t="n">
        <v>46290</v>
      </c>
    </row>
    <row r="12263">
      <c r="A12263" s="215" t="n">
        <v>46293</v>
      </c>
      <c r="B12263" s="216" t="n">
        <v>30.98</v>
      </c>
      <c r="C12263" s="216" t="n">
        <v>41.38</v>
      </c>
      <c r="D12263" s="216" t="n">
        <v>1.168378949165344</v>
      </c>
      <c r="E12263" s="215" t="n">
        <v>46293</v>
      </c>
      <c r="F12263" s="215" t="n">
        <v>46293</v>
      </c>
    </row>
    <row r="12264">
      <c r="A12264" s="215" t="n">
        <v>46294</v>
      </c>
      <c r="B12264" s="216" t="n">
        <v>31.78</v>
      </c>
      <c r="C12264" s="216" t="n">
        <v>42.93</v>
      </c>
      <c r="D12264" s="216" t="n">
        <v>1.168815970420837</v>
      </c>
      <c r="E12264" s="215" t="n">
        <v>46294</v>
      </c>
      <c r="F12264" s="215" t="n">
        <v>46294</v>
      </c>
    </row>
    <row r="12265">
      <c r="A12265" s="215" t="n">
        <v>46295</v>
      </c>
      <c r="B12265" s="216" t="n">
        <v>34.32</v>
      </c>
      <c r="C12265" s="216" t="n">
        <v>46.29</v>
      </c>
      <c r="D12265" s="216" t="n">
        <v>1.17059600353241</v>
      </c>
      <c r="E12265" s="215" t="n">
        <v>46295</v>
      </c>
      <c r="F12265" s="215" t="n">
        <v>46295</v>
      </c>
    </row>
    <row r="12266">
      <c r="A12266" s="215" t="n">
        <v>46297</v>
      </c>
      <c r="B12266" s="216" t="n">
        <v>31.86</v>
      </c>
      <c r="C12266" s="216" t="n">
        <v>46.29</v>
      </c>
      <c r="D12266" s="216" t="n">
        <v>1.170220971107483</v>
      </c>
      <c r="E12266" s="215" t="n">
        <v>46295</v>
      </c>
      <c r="F12266" s="215" t="n">
        <v>46297</v>
      </c>
    </row>
    <row r="12267">
      <c r="A12267" s="215" t="n">
        <v>45785</v>
      </c>
      <c r="B12267" s="216" t="n">
        <v>26.6</v>
      </c>
      <c r="C12267" s="216" t="n">
        <v>42.09</v>
      </c>
      <c r="D12267" s="216" t="n">
        <v>1.07387101650238</v>
      </c>
      <c r="E12267" s="215" t="n">
        <v>45785</v>
      </c>
      <c r="F12267" s="215" t="n">
        <v>45785</v>
      </c>
    </row>
    <row r="12268">
      <c r="A12268" s="215" t="n">
        <v>45786</v>
      </c>
      <c r="B12268" s="216" t="n">
        <v>24.6</v>
      </c>
      <c r="C12268" s="216" t="n">
        <v>40.4</v>
      </c>
      <c r="D12268" s="216" t="n">
        <v>1.076066970825195</v>
      </c>
      <c r="E12268" s="215" t="n">
        <v>45786</v>
      </c>
      <c r="F12268" s="215" t="n">
        <v>45786</v>
      </c>
    </row>
    <row r="12269">
      <c r="A12269" s="215" t="n">
        <v>45789</v>
      </c>
      <c r="B12269" s="216" t="n">
        <v>24.3</v>
      </c>
      <c r="C12269" s="216" t="n">
        <v>41.55</v>
      </c>
      <c r="D12269" s="216" t="n">
        <v>1.074246048927307</v>
      </c>
      <c r="E12269" s="215" t="n">
        <v>45789</v>
      </c>
      <c r="F12269" s="215" t="n">
        <v>45789</v>
      </c>
    </row>
    <row r="12270">
      <c r="A12270" s="215" t="n">
        <v>45790</v>
      </c>
      <c r="B12270" s="216" t="n">
        <v>24.65</v>
      </c>
      <c r="C12270" s="216" t="n">
        <v>43.53</v>
      </c>
      <c r="D12270" s="216" t="n">
        <v>1.081536054611206</v>
      </c>
      <c r="E12270" s="215" t="n">
        <v>45790</v>
      </c>
      <c r="F12270" s="215" t="n">
        <v>45790</v>
      </c>
    </row>
    <row r="12271">
      <c r="A12271" s="215" t="n">
        <v>45791</v>
      </c>
      <c r="B12271" s="216" t="n">
        <v>24.2</v>
      </c>
      <c r="C12271" s="216" t="n">
        <v>41.92</v>
      </c>
      <c r="D12271" s="216" t="n">
        <v>1.081884980201721</v>
      </c>
      <c r="E12271" s="215" t="n">
        <v>45791</v>
      </c>
      <c r="F12271" s="215" t="n">
        <v>45791</v>
      </c>
    </row>
    <row r="12272">
      <c r="A12272" s="215" t="n">
        <v>45792</v>
      </c>
      <c r="B12272" s="216" t="n">
        <v>22.95</v>
      </c>
      <c r="C12272" s="216" t="n">
        <v>40.58</v>
      </c>
      <c r="D12272" s="216" t="n">
        <v>1.082641005516052</v>
      </c>
      <c r="E12272" s="215" t="n">
        <v>45792</v>
      </c>
      <c r="F12272" s="215" t="n">
        <v>45792</v>
      </c>
    </row>
    <row r="12273">
      <c r="A12273" s="215" t="n">
        <v>45793</v>
      </c>
      <c r="B12273" s="216" t="n">
        <v>23.25</v>
      </c>
      <c r="C12273" s="216" t="n">
        <v>40.55</v>
      </c>
      <c r="D12273" s="216" t="n">
        <v>1.082918047904968</v>
      </c>
      <c r="E12273" s="215" t="n">
        <v>45793</v>
      </c>
      <c r="F12273" s="215" t="n">
        <v>45793</v>
      </c>
    </row>
    <row r="12274">
      <c r="A12274" s="215" t="n">
        <v>45796</v>
      </c>
      <c r="B12274" s="216" t="n">
        <v>24.7</v>
      </c>
      <c r="C12274" s="216" t="n">
        <v>40.77</v>
      </c>
      <c r="D12274" s="216" t="n">
        <v>1.083842992782593</v>
      </c>
      <c r="E12274" s="215" t="n">
        <v>45796</v>
      </c>
      <c r="F12274" s="215" t="n">
        <v>45796</v>
      </c>
    </row>
    <row r="12275">
      <c r="A12275" s="215" t="n">
        <v>45797</v>
      </c>
      <c r="B12275" s="216" t="n">
        <v>26</v>
      </c>
      <c r="C12275" s="216" t="n">
        <v>40.77</v>
      </c>
      <c r="D12275" s="216" t="n">
        <v>1.08473801612854</v>
      </c>
      <c r="E12275" s="215" t="n">
        <v>45797</v>
      </c>
      <c r="F12275" s="215" t="n">
        <v>45797</v>
      </c>
    </row>
    <row r="12276">
      <c r="A12276" s="215" t="n">
        <v>45798</v>
      </c>
      <c r="B12276" s="216" t="n">
        <v>26.4</v>
      </c>
      <c r="C12276" s="216" t="n">
        <v>40.99</v>
      </c>
      <c r="D12276" s="216" t="n">
        <v>1.084200024604797</v>
      </c>
      <c r="E12276" s="215" t="n">
        <v>45798</v>
      </c>
      <c r="F12276" s="215" t="n">
        <v>45798</v>
      </c>
    </row>
    <row r="12277">
      <c r="A12277" s="215" t="n">
        <v>45799</v>
      </c>
      <c r="B12277" s="216" t="n">
        <v>26</v>
      </c>
      <c r="C12277" s="216" t="n">
        <v>39.95</v>
      </c>
      <c r="D12277" s="216" t="n">
        <v>1.086825013160706</v>
      </c>
      <c r="E12277" s="215" t="n">
        <v>45799</v>
      </c>
      <c r="F12277" s="215" t="n">
        <v>45799</v>
      </c>
    </row>
    <row r="12278">
      <c r="A12278" s="215" t="n">
        <v>45800</v>
      </c>
      <c r="B12278" s="216" t="n">
        <v>25.8</v>
      </c>
      <c r="C12278" s="216" t="n">
        <v>39.17</v>
      </c>
      <c r="D12278" s="216" t="n">
        <v>1.086493015289307</v>
      </c>
      <c r="E12278" s="215" t="n">
        <v>45800</v>
      </c>
      <c r="F12278" s="215" t="n">
        <v>45800</v>
      </c>
    </row>
    <row r="12279">
      <c r="A12279" s="215" t="n">
        <v>45803</v>
      </c>
      <c r="B12279" s="216" t="n">
        <v>27.35</v>
      </c>
      <c r="C12279" s="216" t="n">
        <v>39.16</v>
      </c>
      <c r="D12279" s="216" t="n">
        <v>1.08673095703125</v>
      </c>
      <c r="E12279" s="215" t="n">
        <v>45803</v>
      </c>
      <c r="F12279" s="215" t="n">
        <v>45803</v>
      </c>
    </row>
    <row r="12280">
      <c r="A12280" s="215" t="n">
        <v>45804</v>
      </c>
      <c r="B12280" s="216" t="n">
        <v>28.65</v>
      </c>
      <c r="C12280" s="216" t="n">
        <v>39.66</v>
      </c>
      <c r="D12280" s="216" t="n">
        <v>1.087713956832886</v>
      </c>
      <c r="E12280" s="215" t="n">
        <v>45804</v>
      </c>
      <c r="F12280" s="215" t="n">
        <v>45804</v>
      </c>
    </row>
    <row r="12281">
      <c r="A12281" s="215" t="n">
        <v>45805</v>
      </c>
      <c r="B12281" s="216" t="n">
        <v>28.55</v>
      </c>
      <c r="C12281" s="216" t="n">
        <v>38.63</v>
      </c>
      <c r="D12281" s="216" t="n">
        <v>1.087921977043152</v>
      </c>
      <c r="E12281" s="215" t="n">
        <v>45805</v>
      </c>
      <c r="F12281" s="215" t="n">
        <v>45805</v>
      </c>
    </row>
    <row r="12282">
      <c r="A12282" s="215" t="n">
        <v>45806</v>
      </c>
      <c r="B12282" s="216" t="n">
        <v>28.45</v>
      </c>
      <c r="C12282" s="216" t="n">
        <v>38.94</v>
      </c>
      <c r="D12282" s="216" t="n">
        <v>1.087334990501404</v>
      </c>
      <c r="E12282" s="215" t="n">
        <v>45806</v>
      </c>
      <c r="F12282" s="215" t="n">
        <v>45806</v>
      </c>
    </row>
    <row r="12283">
      <c r="A12283" s="215" t="n">
        <v>45807</v>
      </c>
      <c r="B12283" s="216" t="n">
        <v>28.7</v>
      </c>
      <c r="C12283" s="216" t="n">
        <v>37.93</v>
      </c>
      <c r="D12283" s="216" t="n">
        <v>1.088281989097595</v>
      </c>
      <c r="E12283" s="215" t="n">
        <v>45807</v>
      </c>
      <c r="F12283" s="215" t="n">
        <v>45807</v>
      </c>
    </row>
    <row r="12284">
      <c r="A12284" s="215" t="n">
        <v>45810</v>
      </c>
      <c r="B12284" s="216" t="n">
        <v>29.15</v>
      </c>
      <c r="C12284" s="216" t="n">
        <v>37.93</v>
      </c>
      <c r="D12284" s="216" t="n">
        <v>1.088839054107666</v>
      </c>
      <c r="E12284" s="215" t="n">
        <v>45807</v>
      </c>
      <c r="F12284" s="215" t="n">
        <v>45810</v>
      </c>
    </row>
    <row r="12285">
      <c r="A12285" s="215" t="n">
        <v>45811</v>
      </c>
      <c r="B12285" s="216" t="n">
        <v>25.4</v>
      </c>
      <c r="C12285" s="216" t="n">
        <v>37.49</v>
      </c>
      <c r="D12285" s="216" t="n">
        <v>1.098875999450684</v>
      </c>
      <c r="E12285" s="215" t="n">
        <v>45811</v>
      </c>
      <c r="F12285" s="215" t="n">
        <v>45811</v>
      </c>
    </row>
    <row r="12286">
      <c r="A12286" s="215" t="n">
        <v>45812</v>
      </c>
      <c r="B12286" s="216" t="n">
        <v>25.25</v>
      </c>
      <c r="C12286" s="216" t="n">
        <v>38.08</v>
      </c>
      <c r="D12286" s="216" t="n">
        <v>1.092406988143921</v>
      </c>
      <c r="E12286" s="215" t="n">
        <v>45812</v>
      </c>
      <c r="F12286" s="215" t="n">
        <v>45812</v>
      </c>
    </row>
    <row r="12287">
      <c r="A12287" s="215" t="n">
        <v>45813</v>
      </c>
      <c r="B12287" s="216" t="n">
        <v>24.1</v>
      </c>
      <c r="C12287" s="216" t="n">
        <v>37.9</v>
      </c>
      <c r="D12287" s="216" t="n">
        <v>1.095829010009766</v>
      </c>
      <c r="E12287" s="215" t="n">
        <v>45813</v>
      </c>
      <c r="F12287" s="215" t="n">
        <v>45813</v>
      </c>
    </row>
    <row r="12288">
      <c r="A12288" s="215" t="n">
        <v>45814</v>
      </c>
      <c r="B12288" s="216" t="n">
        <v>23.95</v>
      </c>
      <c r="C12288" s="216" t="n">
        <v>37.81</v>
      </c>
      <c r="D12288" s="216" t="n">
        <v>1.093296051025391</v>
      </c>
      <c r="E12288" s="215" t="n">
        <v>45814</v>
      </c>
      <c r="F12288" s="215" t="n">
        <v>45814</v>
      </c>
    </row>
    <row r="12289">
      <c r="A12289" s="215" t="n">
        <v>45817</v>
      </c>
      <c r="B12289" s="216" t="n">
        <v>23.4</v>
      </c>
      <c r="C12289" s="216" t="n">
        <v>38.45</v>
      </c>
      <c r="D12289" s="216" t="n">
        <v>1.091297030448914</v>
      </c>
      <c r="E12289" s="215" t="n">
        <v>45817</v>
      </c>
      <c r="F12289" s="215" t="n">
        <v>45817</v>
      </c>
    </row>
    <row r="12290">
      <c r="A12290" s="215" t="n">
        <v>45818</v>
      </c>
      <c r="B12290" s="216" t="n">
        <v>23.1</v>
      </c>
      <c r="C12290" s="216" t="n">
        <v>37.34</v>
      </c>
      <c r="D12290" s="216" t="n">
        <v>1.092790007591248</v>
      </c>
      <c r="E12290" s="215" t="n">
        <v>45818</v>
      </c>
      <c r="F12290" s="215" t="n">
        <v>45818</v>
      </c>
    </row>
    <row r="12291">
      <c r="A12291" s="215" t="n">
        <v>45819</v>
      </c>
      <c r="B12291" s="216" t="n">
        <v>23.55</v>
      </c>
      <c r="C12291" s="216" t="n">
        <v>38.15</v>
      </c>
      <c r="D12291" s="216" t="n">
        <v>1.092836976051331</v>
      </c>
      <c r="E12291" s="215" t="n">
        <v>45819</v>
      </c>
      <c r="F12291" s="215" t="n">
        <v>45819</v>
      </c>
    </row>
    <row r="12292">
      <c r="A12292" s="215" t="n">
        <v>45820</v>
      </c>
      <c r="B12292" s="216" t="n">
        <v>23.2</v>
      </c>
      <c r="C12292" s="216" t="n">
        <v>37.45</v>
      </c>
      <c r="D12292" s="216" t="n">
        <v>1.090999960899353</v>
      </c>
      <c r="E12292" s="215" t="n">
        <v>45820</v>
      </c>
      <c r="F12292" s="215" t="n">
        <v>45820</v>
      </c>
    </row>
    <row r="12293">
      <c r="A12293" s="215" t="n">
        <v>45821</v>
      </c>
      <c r="B12293" s="216" t="n">
        <v>21.8</v>
      </c>
      <c r="C12293" s="216" t="n">
        <v>36.23</v>
      </c>
      <c r="D12293" s="216" t="n">
        <v>1.091084957122803</v>
      </c>
      <c r="E12293" s="215" t="n">
        <v>45821</v>
      </c>
      <c r="F12293" s="215" t="n">
        <v>45821</v>
      </c>
    </row>
    <row r="12294">
      <c r="A12294" s="215" t="n">
        <v>45824</v>
      </c>
      <c r="B12294" s="216" t="n">
        <v>22.15</v>
      </c>
      <c r="C12294" s="216" t="n">
        <v>36.6</v>
      </c>
      <c r="D12294" s="216" t="n">
        <v>1.092895984649658</v>
      </c>
      <c r="E12294" s="215" t="n">
        <v>45824</v>
      </c>
      <c r="F12294" s="215" t="n">
        <v>45824</v>
      </c>
    </row>
    <row r="12295">
      <c r="A12295" s="215" t="n">
        <v>45825</v>
      </c>
      <c r="B12295" s="216" t="n">
        <v>21.8</v>
      </c>
      <c r="C12295" s="216" t="n">
        <v>36.48</v>
      </c>
      <c r="D12295" s="216" t="n">
        <v>1.093256950378418</v>
      </c>
      <c r="E12295" s="215" t="n">
        <v>45825</v>
      </c>
      <c r="F12295" s="215" t="n">
        <v>45825</v>
      </c>
    </row>
    <row r="12296">
      <c r="A12296" s="215" t="n">
        <v>45826</v>
      </c>
      <c r="B12296" s="216" t="n">
        <v>21.3</v>
      </c>
      <c r="C12296" s="216" t="n">
        <v>36.19</v>
      </c>
      <c r="D12296" s="216" t="n">
        <v>1.092421054840088</v>
      </c>
      <c r="E12296" s="215" t="n">
        <v>45826</v>
      </c>
      <c r="F12296" s="215" t="n">
        <v>45826</v>
      </c>
    </row>
    <row r="12297">
      <c r="A12297" s="215" t="n">
        <v>45827</v>
      </c>
      <c r="B12297" s="216" t="n">
        <v>21.95</v>
      </c>
      <c r="C12297" s="216" t="n">
        <v>36.08</v>
      </c>
      <c r="D12297" s="216" t="n">
        <v>1.091722011566162</v>
      </c>
      <c r="E12297" s="215" t="n">
        <v>45827</v>
      </c>
      <c r="F12297" s="215" t="n">
        <v>45827</v>
      </c>
    </row>
    <row r="12298">
      <c r="A12298" s="215" t="n">
        <v>45828</v>
      </c>
      <c r="B12298" s="216" t="n">
        <v>21.6</v>
      </c>
      <c r="C12298" s="216" t="n">
        <v>36.35</v>
      </c>
      <c r="D12298" s="216" t="n">
        <v>1.091766953468323</v>
      </c>
      <c r="E12298" s="215" t="n">
        <v>45828</v>
      </c>
      <c r="F12298" s="215" t="n">
        <v>45828</v>
      </c>
    </row>
    <row r="12299">
      <c r="A12299" s="215" t="n">
        <v>45831</v>
      </c>
      <c r="B12299" s="216" t="n">
        <v>20.95</v>
      </c>
      <c r="C12299" s="216" t="n">
        <v>36.12</v>
      </c>
      <c r="D12299" s="216" t="n">
        <v>1.091856002807617</v>
      </c>
      <c r="E12299" s="215" t="n">
        <v>45831</v>
      </c>
      <c r="F12299" s="215" t="n">
        <v>45831</v>
      </c>
    </row>
    <row r="12300">
      <c r="A12300" s="215" t="n">
        <v>45832</v>
      </c>
      <c r="B12300" s="216" t="n">
        <v>21</v>
      </c>
      <c r="C12300" s="216" t="n">
        <v>37.22</v>
      </c>
      <c r="D12300" s="216" t="n">
        <v>1.093309044837952</v>
      </c>
      <c r="E12300" s="215" t="n">
        <v>45832</v>
      </c>
      <c r="F12300" s="215" t="n">
        <v>45832</v>
      </c>
    </row>
    <row r="12301">
      <c r="A12301" s="215" t="n">
        <v>45833</v>
      </c>
      <c r="B12301" s="216" t="n">
        <v>20.65</v>
      </c>
      <c r="C12301" s="216" t="n">
        <v>37.51</v>
      </c>
      <c r="D12301" s="216" t="n">
        <v>1.094483971595764</v>
      </c>
      <c r="E12301" s="215" t="n">
        <v>45833</v>
      </c>
      <c r="F12301" s="215" t="n">
        <v>45833</v>
      </c>
    </row>
    <row r="12302">
      <c r="A12302" s="215" t="n">
        <v>45834</v>
      </c>
      <c r="B12302" s="216" t="n">
        <v>20.5</v>
      </c>
      <c r="C12302" s="216" t="n">
        <v>36.93</v>
      </c>
      <c r="D12302" s="216" t="n">
        <v>1.093523025512695</v>
      </c>
      <c r="E12302" s="215" t="n">
        <v>45834</v>
      </c>
      <c r="F12302" s="215" t="n">
        <v>45834</v>
      </c>
    </row>
    <row r="12303">
      <c r="A12303" s="215" t="n">
        <v>45835</v>
      </c>
      <c r="B12303" s="216" t="n">
        <v>20.55</v>
      </c>
      <c r="C12303" s="216" t="n">
        <v>37.39</v>
      </c>
      <c r="D12303" s="216" t="n">
        <v>1.095173001289368</v>
      </c>
      <c r="E12303" s="215" t="n">
        <v>45835</v>
      </c>
      <c r="F12303" s="215" t="n">
        <v>45835</v>
      </c>
    </row>
    <row r="12304">
      <c r="A12304" s="215" t="n">
        <v>45838</v>
      </c>
      <c r="B12304" s="216" t="n">
        <v>20.9</v>
      </c>
      <c r="C12304" s="216" t="n">
        <v>39</v>
      </c>
      <c r="D12304" s="216" t="n">
        <v>1.094328045845032</v>
      </c>
      <c r="E12304" s="215" t="n">
        <v>45838</v>
      </c>
      <c r="F12304" s="215" t="n">
        <v>45838</v>
      </c>
    </row>
    <row r="12305">
      <c r="A12305" s="215" t="n">
        <v>45840</v>
      </c>
      <c r="B12305" s="216" t="n">
        <v>21.9</v>
      </c>
      <c r="C12305" s="216" t="n">
        <v>40.23</v>
      </c>
      <c r="D12305" s="216" t="n">
        <v>1.095211982727051</v>
      </c>
      <c r="E12305" s="215" t="n">
        <v>45840</v>
      </c>
      <c r="F12305" s="215" t="n">
        <v>45840</v>
      </c>
    </row>
    <row r="12306">
      <c r="A12306" s="215" t="n">
        <v>45841</v>
      </c>
      <c r="B12306" s="216" t="n">
        <v>21.45</v>
      </c>
      <c r="C12306" s="216" t="n">
        <v>39.5</v>
      </c>
      <c r="D12306" s="216" t="n">
        <v>1.095422029495239</v>
      </c>
      <c r="E12306" s="215" t="n">
        <v>45841</v>
      </c>
      <c r="F12306" s="215" t="n">
        <v>45841</v>
      </c>
    </row>
    <row r="12307">
      <c r="A12307" s="215" t="n">
        <v>45842</v>
      </c>
      <c r="B12307" s="216" t="n">
        <v>21.9</v>
      </c>
      <c r="C12307" s="216" t="n">
        <v>39.18</v>
      </c>
      <c r="D12307" s="216" t="n">
        <v>1.095221042633057</v>
      </c>
      <c r="E12307" s="215" t="n">
        <v>45842</v>
      </c>
      <c r="F12307" s="215" t="n">
        <v>45842</v>
      </c>
    </row>
    <row r="12308">
      <c r="A12308" s="215" t="n">
        <v>45845</v>
      </c>
      <c r="B12308" s="216" t="n">
        <v>21.3</v>
      </c>
      <c r="C12308" s="216" t="n">
        <v>38.81</v>
      </c>
      <c r="D12308" s="216" t="n">
        <v>1.095430970191956</v>
      </c>
      <c r="E12308" s="215" t="n">
        <v>45845</v>
      </c>
      <c r="F12308" s="215" t="n">
        <v>45845</v>
      </c>
    </row>
    <row r="12309">
      <c r="A12309" s="215" t="n">
        <v>45846</v>
      </c>
      <c r="B12309" s="216" t="n">
        <v>22.9</v>
      </c>
      <c r="C12309" s="216" t="n">
        <v>42.69</v>
      </c>
      <c r="D12309" s="216" t="n">
        <v>1.093924999237061</v>
      </c>
      <c r="E12309" s="215" t="n">
        <v>45846</v>
      </c>
      <c r="F12309" s="215" t="n">
        <v>45846</v>
      </c>
    </row>
    <row r="12310">
      <c r="A12310" s="215" t="n">
        <v>45847</v>
      </c>
      <c r="B12310" s="216" t="n">
        <v>22.35</v>
      </c>
      <c r="C12310" s="216" t="n">
        <v>43.28</v>
      </c>
      <c r="D12310" s="216" t="n">
        <v>1.094220995903015</v>
      </c>
      <c r="E12310" s="215" t="n">
        <v>45847</v>
      </c>
      <c r="F12310" s="215" t="n">
        <v>45847</v>
      </c>
    </row>
    <row r="12311">
      <c r="A12311" s="215" t="n">
        <v>45848</v>
      </c>
      <c r="B12311" s="216" t="n">
        <v>22.95</v>
      </c>
      <c r="C12311" s="216" t="n">
        <v>44.98</v>
      </c>
      <c r="D12311" s="216" t="n">
        <v>1.093220949172974</v>
      </c>
      <c r="E12311" s="215" t="n">
        <v>45848</v>
      </c>
      <c r="F12311" s="215" t="n">
        <v>45848</v>
      </c>
    </row>
    <row r="12312">
      <c r="A12312" s="215" t="n">
        <v>45849</v>
      </c>
      <c r="B12312" s="216" t="n">
        <v>22.85</v>
      </c>
      <c r="C12312" s="216" t="n">
        <v>44.03</v>
      </c>
      <c r="D12312" s="216" t="n">
        <v>1.093930959701538</v>
      </c>
      <c r="E12312" s="215" t="n">
        <v>45849</v>
      </c>
      <c r="F12312" s="215" t="n">
        <v>45849</v>
      </c>
    </row>
    <row r="12313">
      <c r="A12313" s="215" t="n">
        <v>45852</v>
      </c>
      <c r="B12313" s="216" t="n">
        <v>22.1</v>
      </c>
      <c r="C12313" s="216" t="n">
        <v>43.62</v>
      </c>
      <c r="D12313" s="216" t="n">
        <v>1.095023989677429</v>
      </c>
      <c r="E12313" s="215" t="n">
        <v>45852</v>
      </c>
      <c r="F12313" s="215" t="n">
        <v>45852</v>
      </c>
    </row>
    <row r="12314">
      <c r="A12314" s="215" t="n">
        <v>45853</v>
      </c>
      <c r="B12314" s="216" t="n">
        <v>21.25</v>
      </c>
      <c r="C12314" s="216" t="n">
        <v>42.75</v>
      </c>
      <c r="D12314" s="216" t="n">
        <v>1.095172047615051</v>
      </c>
      <c r="E12314" s="215" t="n">
        <v>45853</v>
      </c>
      <c r="F12314" s="215" t="n">
        <v>45853</v>
      </c>
    </row>
    <row r="12315">
      <c r="A12315" s="215" t="n">
        <v>45854</v>
      </c>
      <c r="B12315" s="216" t="n">
        <v>21.3</v>
      </c>
      <c r="C12315" s="216" t="n">
        <v>43.14</v>
      </c>
      <c r="D12315" s="216" t="n">
        <v>1.094182014465332</v>
      </c>
      <c r="E12315" s="215" t="n">
        <v>45854</v>
      </c>
      <c r="F12315" s="215" t="n">
        <v>45854</v>
      </c>
    </row>
    <row r="12316">
      <c r="A12316" s="215" t="n">
        <v>45855</v>
      </c>
      <c r="B12316" s="216" t="n">
        <v>22.1</v>
      </c>
      <c r="C12316" s="216" t="n">
        <v>44.01</v>
      </c>
      <c r="D12316" s="216" t="n">
        <v>1.093484044075012</v>
      </c>
      <c r="E12316" s="215" t="n">
        <v>45855</v>
      </c>
      <c r="F12316" s="215" t="n">
        <v>45855</v>
      </c>
    </row>
    <row r="12317">
      <c r="A12317" s="215" t="n">
        <v>45856</v>
      </c>
      <c r="B12317" s="216" t="n">
        <v>21.85</v>
      </c>
      <c r="C12317" s="216" t="n">
        <v>42.76</v>
      </c>
      <c r="D12317" s="216" t="n">
        <v>1.092442035675049</v>
      </c>
      <c r="E12317" s="215" t="n">
        <v>45856</v>
      </c>
      <c r="F12317" s="215" t="n">
        <v>45856</v>
      </c>
    </row>
    <row r="12318">
      <c r="A12318" s="215" t="n">
        <v>45859</v>
      </c>
      <c r="B12318" s="216" t="n">
        <v>22.7</v>
      </c>
      <c r="C12318" s="216" t="n">
        <v>44.49</v>
      </c>
      <c r="D12318" s="216" t="n">
        <v>1.093299984931946</v>
      </c>
      <c r="E12318" s="215" t="n">
        <v>45859</v>
      </c>
      <c r="F12318" s="215" t="n">
        <v>45859</v>
      </c>
    </row>
    <row r="12319">
      <c r="A12319" s="215" t="n">
        <v>45860</v>
      </c>
      <c r="B12319" s="216" t="n">
        <v>23.55</v>
      </c>
      <c r="C12319" s="216" t="n">
        <v>45.91</v>
      </c>
      <c r="D12319" s="216" t="n">
        <v>1.093826055526733</v>
      </c>
      <c r="E12319" s="215" t="n">
        <v>45860</v>
      </c>
      <c r="F12319" s="215" t="n">
        <v>45860</v>
      </c>
    </row>
    <row r="12320">
      <c r="A12320" s="215" t="n">
        <v>45861</v>
      </c>
      <c r="B12320" s="216" t="n">
        <v>22.65</v>
      </c>
      <c r="C12320" s="216" t="n">
        <v>44.59</v>
      </c>
      <c r="D12320" s="216" t="n">
        <v>1.094056010246277</v>
      </c>
      <c r="E12320" s="215" t="n">
        <v>45861</v>
      </c>
      <c r="F12320" s="215" t="n">
        <v>45861</v>
      </c>
    </row>
    <row r="12321">
      <c r="A12321" s="215" t="n">
        <v>45862</v>
      </c>
      <c r="B12321" s="216" t="n">
        <v>23.3</v>
      </c>
      <c r="C12321" s="216" t="n">
        <v>47.47</v>
      </c>
      <c r="D12321" s="216" t="n">
        <v>1.096284031867981</v>
      </c>
      <c r="E12321" s="215" t="n">
        <v>45862</v>
      </c>
      <c r="F12321" s="215" t="n">
        <v>45862</v>
      </c>
    </row>
    <row r="12322">
      <c r="A12322" s="215" t="n">
        <v>45863</v>
      </c>
      <c r="B12322" s="216" t="n">
        <v>22.85</v>
      </c>
      <c r="C12322" s="216" t="n">
        <v>45.87</v>
      </c>
      <c r="D12322" s="216" t="n">
        <v>1.097048044204712</v>
      </c>
      <c r="E12322" s="215" t="n">
        <v>45863</v>
      </c>
      <c r="F12322" s="215" t="n">
        <v>45863</v>
      </c>
    </row>
    <row r="12323">
      <c r="A12323" s="215" t="n">
        <v>45866</v>
      </c>
      <c r="B12323" s="216" t="n">
        <v>22.35</v>
      </c>
      <c r="C12323" s="216" t="n">
        <v>45.7</v>
      </c>
      <c r="D12323" s="216" t="n">
        <v>1.097200989723206</v>
      </c>
      <c r="E12323" s="215" t="n">
        <v>45866</v>
      </c>
      <c r="F12323" s="215" t="n">
        <v>45866</v>
      </c>
    </row>
    <row r="12324">
      <c r="A12324" s="215" t="n">
        <v>45867</v>
      </c>
      <c r="B12324" s="216" t="n">
        <v>23.65</v>
      </c>
      <c r="C12324" s="216" t="n">
        <v>46.18</v>
      </c>
      <c r="D12324" s="216" t="n">
        <v>1.093530058860779</v>
      </c>
      <c r="E12324" s="215" t="n">
        <v>45867</v>
      </c>
      <c r="F12324" s="215" t="n">
        <v>45867</v>
      </c>
    </row>
    <row r="12325">
      <c r="A12325" s="215" t="n">
        <v>45868</v>
      </c>
      <c r="B12325" s="216" t="n">
        <v>22.6</v>
      </c>
      <c r="C12325" s="216" t="n">
        <v>45.16</v>
      </c>
      <c r="D12325" s="216" t="n">
        <v>1.093464970588684</v>
      </c>
      <c r="E12325" s="215" t="n">
        <v>45868</v>
      </c>
      <c r="F12325" s="215" t="n">
        <v>45868</v>
      </c>
    </row>
    <row r="12326">
      <c r="A12326" s="215" t="n">
        <v>45869</v>
      </c>
      <c r="B12326" s="216" t="n">
        <v>22.25</v>
      </c>
      <c r="C12326" s="216" t="n">
        <v>43.21</v>
      </c>
      <c r="D12326" s="216" t="n">
        <v>1.093583941459656</v>
      </c>
      <c r="E12326" s="215" t="n">
        <v>45869</v>
      </c>
      <c r="F12326" s="215" t="n">
        <v>45869</v>
      </c>
    </row>
    <row r="12327">
      <c r="A12327" s="215" t="n">
        <v>45870</v>
      </c>
      <c r="B12327" s="216" t="n">
        <v>22.2</v>
      </c>
      <c r="C12327" s="216" t="n">
        <v>43.38</v>
      </c>
      <c r="D12327" s="216" t="n">
        <v>1.090090990066528</v>
      </c>
      <c r="E12327" s="215" t="n">
        <v>45870</v>
      </c>
      <c r="F12327" s="215" t="n">
        <v>45870</v>
      </c>
    </row>
    <row r="12328">
      <c r="A12328" s="215" t="n">
        <v>45873</v>
      </c>
      <c r="B12328" s="216" t="n">
        <v>21.78</v>
      </c>
      <c r="C12328" s="216" t="n">
        <v>43.42</v>
      </c>
      <c r="D12328" s="216" t="n">
        <v>1.088384985923767</v>
      </c>
      <c r="E12328" s="215" t="n">
        <v>45873</v>
      </c>
      <c r="F12328" s="215" t="n">
        <v>45873</v>
      </c>
    </row>
    <row r="12329">
      <c r="A12329" s="215" t="n">
        <v>45874</v>
      </c>
      <c r="B12329" s="216" t="n">
        <v>21.7</v>
      </c>
      <c r="C12329" s="216" t="n">
        <v>43.55</v>
      </c>
      <c r="D12329" s="216" t="n">
        <v>1.093202948570251</v>
      </c>
      <c r="E12329" s="215" t="n">
        <v>45874</v>
      </c>
      <c r="F12329" s="215" t="n">
        <v>45874</v>
      </c>
    </row>
    <row r="12330">
      <c r="A12330" s="215" t="n">
        <v>45875</v>
      </c>
      <c r="B12330" s="216" t="n">
        <v>21.6</v>
      </c>
      <c r="C12330" s="216" t="n">
        <v>43.2</v>
      </c>
      <c r="D12330" s="216" t="n">
        <v>1.092388987541199</v>
      </c>
      <c r="E12330" s="215" t="n">
        <v>45875</v>
      </c>
      <c r="F12330" s="215" t="n">
        <v>45875</v>
      </c>
    </row>
    <row r="12331">
      <c r="A12331" s="215" t="n">
        <v>45876</v>
      </c>
      <c r="B12331" s="216" t="n">
        <v>21.68</v>
      </c>
      <c r="C12331" s="216" t="n">
        <v>42.6</v>
      </c>
      <c r="D12331" s="216" t="n">
        <v>1.092599034309387</v>
      </c>
      <c r="E12331" s="215" t="n">
        <v>45876</v>
      </c>
      <c r="F12331" s="215" t="n">
        <v>45876</v>
      </c>
    </row>
    <row r="12332">
      <c r="A12332" s="215" t="n">
        <v>45877</v>
      </c>
      <c r="B12332" s="216" t="n">
        <v>21.4</v>
      </c>
      <c r="C12332" s="216" t="n">
        <v>42.65</v>
      </c>
      <c r="D12332" s="216" t="n">
        <v>1.092857956886292</v>
      </c>
      <c r="E12332" s="215" t="n">
        <v>45877</v>
      </c>
      <c r="F12332" s="215" t="n">
        <v>45877</v>
      </c>
    </row>
    <row r="12333">
      <c r="A12333" s="215" t="n">
        <v>45880</v>
      </c>
      <c r="B12333" s="216" t="n">
        <v>21.68</v>
      </c>
      <c r="C12333" s="216" t="n">
        <v>43.61</v>
      </c>
      <c r="D12333" s="216" t="n">
        <v>1.093001961708069</v>
      </c>
      <c r="E12333" s="215" t="n">
        <v>45880</v>
      </c>
      <c r="F12333" s="215" t="n">
        <v>45880</v>
      </c>
    </row>
    <row r="12334">
      <c r="A12334" s="215" t="n">
        <v>45881</v>
      </c>
      <c r="B12334" s="216" t="n">
        <v>21.54</v>
      </c>
      <c r="C12334" s="216" t="n">
        <v>43.26</v>
      </c>
      <c r="D12334" s="216" t="n">
        <v>1.091938018798828</v>
      </c>
      <c r="E12334" s="215" t="n">
        <v>45881</v>
      </c>
      <c r="F12334" s="215" t="n">
        <v>45881</v>
      </c>
    </row>
    <row r="12335">
      <c r="A12335" s="215" t="n">
        <v>45882</v>
      </c>
      <c r="B12335" s="216" t="n">
        <v>21.74</v>
      </c>
      <c r="C12335" s="216" t="n">
        <v>43.89</v>
      </c>
      <c r="D12335" s="216" t="n">
        <v>1.093171000480652</v>
      </c>
      <c r="E12335" s="215" t="n">
        <v>45882</v>
      </c>
      <c r="F12335" s="215" t="n">
        <v>45882</v>
      </c>
    </row>
    <row r="12336">
      <c r="A12336" s="215" t="n">
        <v>45883</v>
      </c>
      <c r="B12336" s="216" t="n">
        <v>21.14</v>
      </c>
      <c r="C12336" s="216" t="n">
        <v>42.4</v>
      </c>
      <c r="D12336" s="216" t="n">
        <v>1.093981027603149</v>
      </c>
      <c r="E12336" s="215" t="n">
        <v>45883</v>
      </c>
      <c r="F12336" s="215" t="n">
        <v>45883</v>
      </c>
    </row>
    <row r="12337">
      <c r="A12337" s="215" t="n">
        <v>45884</v>
      </c>
      <c r="B12337" s="216" t="n">
        <v>21.9</v>
      </c>
      <c r="C12337" s="216" t="n">
        <v>44.4</v>
      </c>
      <c r="D12337" s="216" t="n">
        <v>1.091035962104797</v>
      </c>
      <c r="E12337" s="215" t="n">
        <v>45884</v>
      </c>
      <c r="F12337" s="215" t="n">
        <v>45884</v>
      </c>
    </row>
    <row r="12338">
      <c r="A12338" s="215" t="n">
        <v>45887</v>
      </c>
      <c r="B12338" s="216" t="n">
        <v>22.56</v>
      </c>
      <c r="C12338" s="216" t="n">
        <v>45.29</v>
      </c>
      <c r="D12338" s="216" t="n">
        <v>1.089409947395325</v>
      </c>
      <c r="E12338" s="215" t="n">
        <v>45887</v>
      </c>
      <c r="F12338" s="215" t="n">
        <v>45887</v>
      </c>
    </row>
    <row r="12339">
      <c r="A12339" s="215" t="n">
        <v>45888</v>
      </c>
      <c r="B12339" s="216" t="n">
        <v>22.72</v>
      </c>
      <c r="C12339" s="216" t="n">
        <v>47.86</v>
      </c>
      <c r="D12339" s="216" t="n">
        <v>1.088366031646729</v>
      </c>
      <c r="E12339" s="215" t="n">
        <v>45888</v>
      </c>
      <c r="F12339" s="215" t="n">
        <v>45888</v>
      </c>
    </row>
    <row r="12340">
      <c r="A12340" s="215" t="n">
        <v>45889</v>
      </c>
      <c r="B12340" s="216" t="n">
        <v>22.56</v>
      </c>
      <c r="C12340" s="216" t="n">
        <v>47.88</v>
      </c>
      <c r="D12340" s="216" t="n">
        <v>1.085826992988586</v>
      </c>
      <c r="E12340" s="215" t="n">
        <v>45889</v>
      </c>
      <c r="F12340" s="215" t="n">
        <v>45889</v>
      </c>
    </row>
    <row r="12341">
      <c r="A12341" s="215" t="n">
        <v>45890</v>
      </c>
      <c r="B12341" s="216" t="n">
        <v>22.46</v>
      </c>
      <c r="C12341" s="216" t="n">
        <v>48.23</v>
      </c>
      <c r="D12341" s="216" t="n">
        <v>1.088521003723145</v>
      </c>
      <c r="E12341" s="215" t="n">
        <v>45890</v>
      </c>
      <c r="F12341" s="215" t="n">
        <v>45890</v>
      </c>
    </row>
    <row r="12342">
      <c r="A12342" s="215" t="n">
        <v>45891</v>
      </c>
      <c r="B12342" s="216" t="n">
        <v>22.98</v>
      </c>
      <c r="C12342" s="216" t="n">
        <v>48.21</v>
      </c>
      <c r="D12342" s="216" t="n">
        <v>1.08814001083374</v>
      </c>
      <c r="E12342" s="215" t="n">
        <v>45891</v>
      </c>
      <c r="F12342" s="215" t="n">
        <v>45891</v>
      </c>
    </row>
    <row r="12343">
      <c r="A12343" s="215" t="n">
        <v>45894</v>
      </c>
      <c r="B12343" s="216" t="n">
        <v>23.24</v>
      </c>
      <c r="C12343" s="216" t="n">
        <v>49.68</v>
      </c>
      <c r="D12343" s="216" t="n">
        <v>1.090230941772461</v>
      </c>
      <c r="E12343" s="215" t="n">
        <v>45894</v>
      </c>
      <c r="F12343" s="215" t="n">
        <v>45894</v>
      </c>
    </row>
    <row r="12344">
      <c r="A12344" s="215" t="n">
        <v>45895</v>
      </c>
      <c r="B12344" s="216" t="n">
        <v>22.6</v>
      </c>
      <c r="C12344" s="216" t="n">
        <v>47.36</v>
      </c>
      <c r="D12344" s="216" t="n">
        <v>1.09236204624176</v>
      </c>
      <c r="E12344" s="215" t="n">
        <v>45895</v>
      </c>
      <c r="F12344" s="215" t="n">
        <v>45895</v>
      </c>
    </row>
    <row r="12345">
      <c r="A12345" s="215" t="n">
        <v>45896</v>
      </c>
      <c r="B12345" s="216" t="n">
        <v>22.26</v>
      </c>
      <c r="C12345" s="216" t="n">
        <v>46.06</v>
      </c>
      <c r="D12345" s="216" t="n">
        <v>1.089414000511169</v>
      </c>
      <c r="E12345" s="215" t="n">
        <v>45896</v>
      </c>
      <c r="F12345" s="215" t="n">
        <v>45896</v>
      </c>
    </row>
    <row r="12346">
      <c r="A12346" s="215" t="n">
        <v>45897</v>
      </c>
      <c r="B12346" s="216" t="n">
        <v>22.5</v>
      </c>
      <c r="C12346" s="216" t="n">
        <v>46.22</v>
      </c>
      <c r="D12346" s="216" t="n">
        <v>1.088047027587891</v>
      </c>
      <c r="E12346" s="215" t="n">
        <v>45897</v>
      </c>
      <c r="F12346" s="215" t="n">
        <v>45897</v>
      </c>
    </row>
    <row r="12347">
      <c r="A12347" s="215" t="n">
        <v>45898</v>
      </c>
      <c r="B12347" s="216" t="n">
        <v>22.44</v>
      </c>
      <c r="C12347" s="216" t="n">
        <v>46.39</v>
      </c>
      <c r="D12347" s="216" t="n">
        <v>1.089478969573975</v>
      </c>
      <c r="E12347" s="215" t="n">
        <v>45898</v>
      </c>
      <c r="F12347" s="215" t="n">
        <v>45898</v>
      </c>
    </row>
    <row r="12348">
      <c r="A12348" s="215" t="n">
        <v>45901</v>
      </c>
      <c r="B12348" s="216" t="n">
        <v>22.46</v>
      </c>
      <c r="C12348" s="216" t="n">
        <v>46.4</v>
      </c>
      <c r="D12348" s="216" t="n">
        <v>1.09319794178009</v>
      </c>
      <c r="E12348" s="215" t="n">
        <v>45901</v>
      </c>
      <c r="F12348" s="215" t="n">
        <v>45901</v>
      </c>
    </row>
    <row r="12349">
      <c r="A12349" s="215" t="n">
        <v>45902</v>
      </c>
      <c r="B12349" s="216" t="n">
        <v>21.78</v>
      </c>
      <c r="C12349" s="216" t="n">
        <v>45.24</v>
      </c>
      <c r="D12349" s="216" t="n">
        <v>1.093255043029785</v>
      </c>
      <c r="E12349" s="215" t="n">
        <v>45902</v>
      </c>
      <c r="F12349" s="215" t="n">
        <v>45902</v>
      </c>
    </row>
    <row r="12350">
      <c r="A12350" s="215" t="n">
        <v>45903</v>
      </c>
      <c r="B12350" s="216" t="n">
        <v>22.06</v>
      </c>
      <c r="C12350" s="216" t="n">
        <v>45.12</v>
      </c>
      <c r="D12350" s="216" t="n">
        <v>1.09343695640564</v>
      </c>
      <c r="E12350" s="215" t="n">
        <v>45903</v>
      </c>
      <c r="F12350" s="215" t="n">
        <v>45903</v>
      </c>
    </row>
    <row r="12351">
      <c r="A12351" s="215" t="n">
        <v>45904</v>
      </c>
      <c r="B12351" s="216" t="n">
        <v>22.16</v>
      </c>
      <c r="C12351" s="216" t="n">
        <v>46.2</v>
      </c>
      <c r="D12351" s="216" t="n">
        <v>1.092192053794861</v>
      </c>
      <c r="E12351" s="215" t="n">
        <v>45904</v>
      </c>
      <c r="F12351" s="215" t="n">
        <v>45904</v>
      </c>
    </row>
    <row r="12352">
      <c r="A12352" s="215" t="n">
        <v>45905</v>
      </c>
      <c r="B12352" s="216" t="n">
        <v>23.32</v>
      </c>
      <c r="C12352" s="216" t="n">
        <v>48</v>
      </c>
      <c r="D12352" s="216" t="n">
        <v>1.092169046401978</v>
      </c>
      <c r="E12352" s="215" t="n">
        <v>45905</v>
      </c>
      <c r="F12352" s="215" t="n">
        <v>45905</v>
      </c>
    </row>
    <row r="12353">
      <c r="A12353" s="215" t="n">
        <v>45908</v>
      </c>
      <c r="B12353" s="216" t="n">
        <v>23.08</v>
      </c>
      <c r="C12353" s="216" t="n">
        <v>48.11</v>
      </c>
      <c r="D12353" s="216" t="n">
        <v>1.093217015266418</v>
      </c>
      <c r="E12353" s="215" t="n">
        <v>45908</v>
      </c>
      <c r="F12353" s="215" t="n">
        <v>45908</v>
      </c>
    </row>
    <row r="12354">
      <c r="A12354" s="215" t="n">
        <v>45909</v>
      </c>
      <c r="B12354" s="216" t="n">
        <v>21.94</v>
      </c>
      <c r="C12354" s="216" t="n">
        <v>46.08</v>
      </c>
      <c r="D12354" s="216" t="n">
        <v>1.092916965484619</v>
      </c>
      <c r="E12354" s="215" t="n">
        <v>45909</v>
      </c>
      <c r="F12354" s="215" t="n">
        <v>45909</v>
      </c>
    </row>
    <row r="12355">
      <c r="A12355" s="215" t="n">
        <v>45910</v>
      </c>
      <c r="B12355" s="216" t="n">
        <v>21.78</v>
      </c>
      <c r="C12355" s="216" t="n">
        <v>45.64</v>
      </c>
      <c r="D12355" s="216" t="n">
        <v>1.093482971191406</v>
      </c>
      <c r="E12355" s="215" t="n">
        <v>45910</v>
      </c>
      <c r="F12355" s="215" t="n">
        <v>45910</v>
      </c>
    </row>
    <row r="12356">
      <c r="A12356" s="215" t="n">
        <v>45911</v>
      </c>
      <c r="B12356" s="216" t="n">
        <v>21.76</v>
      </c>
      <c r="C12356" s="216" t="n">
        <v>45.9</v>
      </c>
      <c r="D12356" s="216" t="n">
        <v>1.093762993812561</v>
      </c>
      <c r="E12356" s="215" t="n">
        <v>45911</v>
      </c>
      <c r="F12356" s="215" t="n">
        <v>45911</v>
      </c>
    </row>
    <row r="12357">
      <c r="A12357" s="215" t="n">
        <v>45912</v>
      </c>
      <c r="B12357" s="216" t="n">
        <v>21.6</v>
      </c>
      <c r="C12357" s="216" t="n">
        <v>45.3</v>
      </c>
      <c r="D12357" s="216" t="n">
        <v>1.094014048576355</v>
      </c>
      <c r="E12357" s="215" t="n">
        <v>45912</v>
      </c>
      <c r="F12357" s="215" t="n">
        <v>45912</v>
      </c>
    </row>
    <row r="12358">
      <c r="A12358" s="215" t="n">
        <v>45915</v>
      </c>
      <c r="B12358" s="216" t="n">
        <v>21.86</v>
      </c>
      <c r="C12358" s="216" t="n">
        <v>45.91</v>
      </c>
      <c r="D12358" s="216" t="n">
        <v>1.091848969459534</v>
      </c>
      <c r="E12358" s="215" t="n">
        <v>45915</v>
      </c>
      <c r="F12358" s="215" t="n">
        <v>45915</v>
      </c>
    </row>
    <row r="12359">
      <c r="A12359" s="215" t="n">
        <v>45916</v>
      </c>
      <c r="B12359" s="216" t="n">
        <v>21.68</v>
      </c>
      <c r="C12359" s="216" t="n">
        <v>44.81</v>
      </c>
      <c r="D12359" s="216" t="n">
        <v>1.092795968055725</v>
      </c>
      <c r="E12359" s="215" t="n">
        <v>45916</v>
      </c>
      <c r="F12359" s="215" t="n">
        <v>45916</v>
      </c>
    </row>
    <row r="12360">
      <c r="A12360" s="215" t="n">
        <v>45917</v>
      </c>
      <c r="B12360" s="216" t="n">
        <v>21.84</v>
      </c>
      <c r="C12360" s="216" t="n">
        <v>45.08</v>
      </c>
      <c r="D12360" s="216" t="n">
        <v>1.093690991401672</v>
      </c>
      <c r="E12360" s="215" t="n">
        <v>45917</v>
      </c>
      <c r="F12360" s="215" t="n">
        <v>45917</v>
      </c>
    </row>
    <row r="12361">
      <c r="A12361" s="215" t="n">
        <v>45918</v>
      </c>
      <c r="B12361" s="216" t="n">
        <v>21.2</v>
      </c>
      <c r="C12361" s="216" t="n">
        <v>43.63</v>
      </c>
      <c r="D12361" s="216" t="n">
        <v>1.094727993011475</v>
      </c>
      <c r="E12361" s="215" t="n">
        <v>45918</v>
      </c>
      <c r="F12361" s="215" t="n">
        <v>45918</v>
      </c>
    </row>
    <row r="12362">
      <c r="A12362" s="215" t="n">
        <v>45919</v>
      </c>
      <c r="B12362" s="216" t="n">
        <v>21.06</v>
      </c>
      <c r="C12362" s="216" t="n">
        <v>42.74</v>
      </c>
      <c r="D12362" s="216" t="n">
        <v>1.093201994895935</v>
      </c>
      <c r="E12362" s="215" t="n">
        <v>45919</v>
      </c>
      <c r="F12362" s="215" t="n">
        <v>45919</v>
      </c>
    </row>
    <row r="12363">
      <c r="A12363" s="215" t="n">
        <v>45922</v>
      </c>
      <c r="B12363" s="216" t="n">
        <v>20.5</v>
      </c>
      <c r="C12363" s="216" t="n">
        <v>42.02</v>
      </c>
      <c r="D12363" s="216" t="n">
        <v>1.092589020729065</v>
      </c>
      <c r="E12363" s="215" t="n">
        <v>45922</v>
      </c>
      <c r="F12363" s="215" t="n">
        <v>45922</v>
      </c>
    </row>
    <row r="12364">
      <c r="A12364" s="215" t="n">
        <v>45923</v>
      </c>
      <c r="B12364" s="216" t="n">
        <v>19.8</v>
      </c>
      <c r="C12364" s="216" t="n">
        <v>40.6</v>
      </c>
      <c r="D12364" s="216" t="n">
        <v>1.0920250415802</v>
      </c>
      <c r="E12364" s="215" t="n">
        <v>45923</v>
      </c>
      <c r="F12364" s="215" t="n">
        <v>45923</v>
      </c>
    </row>
    <row r="12365">
      <c r="A12365" s="215" t="n">
        <v>45924</v>
      </c>
      <c r="B12365" s="216" t="n">
        <v>20.02</v>
      </c>
      <c r="C12365" s="216" t="n">
        <v>42.07</v>
      </c>
      <c r="D12365" s="216" t="n">
        <v>1.093196988105774</v>
      </c>
      <c r="E12365" s="215" t="n">
        <v>45924</v>
      </c>
      <c r="F12365" s="215" t="n">
        <v>45924</v>
      </c>
    </row>
    <row r="12366">
      <c r="A12366" s="215" t="n">
        <v>45925</v>
      </c>
      <c r="B12366" s="216" t="n">
        <v>19.75</v>
      </c>
      <c r="C12366" s="216" t="n">
        <v>42.11</v>
      </c>
      <c r="D12366" s="216" t="n">
        <v>1.090371012687683</v>
      </c>
      <c r="E12366" s="215" t="n">
        <v>45925</v>
      </c>
      <c r="F12366" s="215" t="n">
        <v>45925</v>
      </c>
    </row>
    <row r="12367">
      <c r="A12367" s="215" t="n">
        <v>45926</v>
      </c>
      <c r="B12367" s="216" t="n">
        <v>19.28</v>
      </c>
      <c r="C12367" s="216" t="n">
        <v>41.46</v>
      </c>
      <c r="D12367" s="216" t="n">
        <v>1.090574979782104</v>
      </c>
      <c r="E12367" s="215" t="n">
        <v>45926</v>
      </c>
      <c r="F12367" s="215" t="n">
        <v>45926</v>
      </c>
    </row>
    <row r="12368">
      <c r="A12368" s="215" t="n">
        <v>45929</v>
      </c>
      <c r="B12368" s="216" t="n">
        <v>19.75</v>
      </c>
      <c r="C12368" s="216" t="n">
        <v>41.81</v>
      </c>
      <c r="D12368" s="216" t="n">
        <v>1.090520024299622</v>
      </c>
      <c r="E12368" s="215" t="n">
        <v>45929</v>
      </c>
      <c r="F12368" s="215" t="n">
        <v>45929</v>
      </c>
    </row>
    <row r="12369">
      <c r="A12369" s="215" t="n">
        <v>45930</v>
      </c>
      <c r="B12369" s="216" t="n">
        <v>19.99</v>
      </c>
      <c r="C12369" s="216" t="n">
        <v>42.43</v>
      </c>
      <c r="D12369" s="216" t="n">
        <v>1.093106031417847</v>
      </c>
      <c r="E12369" s="215" t="n">
        <v>45930</v>
      </c>
      <c r="F12369" s="215" t="n">
        <v>45930</v>
      </c>
    </row>
    <row r="12370">
      <c r="A12370" s="215" t="n">
        <v>45932</v>
      </c>
      <c r="B12370" s="216" t="n">
        <v>20.3</v>
      </c>
      <c r="C12370" s="216" t="n">
        <v>42.43</v>
      </c>
      <c r="D12370" s="216" t="n">
        <v>1.092823028564453</v>
      </c>
      <c r="E12370" s="215" t="n">
        <v>45930</v>
      </c>
      <c r="F12370" s="215" t="n">
        <v>45932</v>
      </c>
    </row>
    <row r="12371">
      <c r="A12371" s="215" t="n">
        <v>45933</v>
      </c>
      <c r="B12371" s="216" t="n">
        <v>20</v>
      </c>
      <c r="C12371" s="216" t="n">
        <v>42.43</v>
      </c>
      <c r="D12371" s="216" t="n">
        <v>1.09303605556488</v>
      </c>
      <c r="E12371" s="215" t="n">
        <v>45930</v>
      </c>
      <c r="F12371" s="215" t="n">
        <v>45933</v>
      </c>
    </row>
    <row r="12372">
      <c r="A12372" s="215" t="n">
        <v>45936</v>
      </c>
      <c r="B12372" s="216" t="n">
        <v>19.82</v>
      </c>
      <c r="C12372" s="216" t="n">
        <v>42.43</v>
      </c>
      <c r="D12372" s="216" t="n">
        <v>1.092857956886292</v>
      </c>
      <c r="E12372" s="215" t="n">
        <v>45930</v>
      </c>
      <c r="F12372" s="215" t="n">
        <v>45936</v>
      </c>
    </row>
    <row r="12373">
      <c r="A12373" s="215" t="n">
        <v>45938</v>
      </c>
      <c r="B12373" s="216" t="n">
        <v>19.32</v>
      </c>
      <c r="C12373" s="216" t="n">
        <v>42.43</v>
      </c>
      <c r="D12373" s="216" t="n">
        <v>1.093148946762085</v>
      </c>
      <c r="E12373" s="215" t="n">
        <v>45930</v>
      </c>
      <c r="F12373" s="215" t="n">
        <v>45938</v>
      </c>
    </row>
    <row r="12374">
      <c r="A12374" s="215" t="n">
        <v>45939</v>
      </c>
      <c r="B12374" s="216" t="n">
        <v>20.1</v>
      </c>
      <c r="C12374" s="216" t="n">
        <v>42.8</v>
      </c>
      <c r="D12374" s="216" t="n">
        <v>1.092933058738708</v>
      </c>
      <c r="E12374" s="215" t="n">
        <v>45939</v>
      </c>
      <c r="F12374" s="215" t="n">
        <v>45939</v>
      </c>
    </row>
    <row r="12375">
      <c r="A12375" s="215" t="n">
        <v>45940</v>
      </c>
      <c r="B12375" s="216" t="n">
        <v>19.3</v>
      </c>
      <c r="C12375" s="216" t="n">
        <v>41.48</v>
      </c>
      <c r="D12375" s="216" t="n">
        <v>1.091662049293518</v>
      </c>
      <c r="E12375" s="215" t="n">
        <v>45940</v>
      </c>
      <c r="F12375" s="215" t="n">
        <v>45940</v>
      </c>
    </row>
    <row r="12376">
      <c r="A12376" s="215" t="n">
        <v>45943</v>
      </c>
      <c r="B12376" s="216" t="n">
        <v>18.62</v>
      </c>
      <c r="C12376" s="216" t="n">
        <v>40.95</v>
      </c>
      <c r="D12376" s="216" t="n">
        <v>1.093768000602722</v>
      </c>
      <c r="E12376" s="215" t="n">
        <v>45943</v>
      </c>
      <c r="F12376" s="215" t="n">
        <v>45943</v>
      </c>
    </row>
    <row r="12377">
      <c r="A12377" s="215" t="n">
        <v>45944</v>
      </c>
      <c r="B12377" s="216" t="n">
        <v>19.26</v>
      </c>
      <c r="C12377" s="216" t="n">
        <v>41.6</v>
      </c>
      <c r="D12377" s="216" t="n">
        <v>1.093292951583862</v>
      </c>
      <c r="E12377" s="215" t="n">
        <v>45944</v>
      </c>
      <c r="F12377" s="215" t="n">
        <v>45944</v>
      </c>
    </row>
    <row r="12378">
      <c r="A12378" s="215" t="n">
        <v>45945</v>
      </c>
      <c r="B12378" s="216" t="n">
        <v>19.46</v>
      </c>
      <c r="C12378" s="216" t="n">
        <v>42.92</v>
      </c>
      <c r="D12378" s="216" t="n">
        <v>1.088750958442688</v>
      </c>
      <c r="E12378" s="215" t="n">
        <v>45945</v>
      </c>
      <c r="F12378" s="215" t="n">
        <v>45945</v>
      </c>
    </row>
    <row r="12379">
      <c r="A12379" s="215" t="n">
        <v>45946</v>
      </c>
      <c r="B12379" s="216" t="n">
        <v>18.95</v>
      </c>
      <c r="C12379" s="216" t="n">
        <v>42.39</v>
      </c>
      <c r="D12379" s="216" t="n">
        <v>1.090903043746948</v>
      </c>
      <c r="E12379" s="215" t="n">
        <v>45946</v>
      </c>
      <c r="F12379" s="215" t="n">
        <v>45946</v>
      </c>
    </row>
    <row r="12380">
      <c r="A12380" s="215" t="n">
        <v>45947</v>
      </c>
      <c r="B12380" s="216" t="n">
        <v>18.1</v>
      </c>
      <c r="C12380" s="216" t="n">
        <v>40.41</v>
      </c>
      <c r="D12380" s="216" t="n">
        <v>1.09073805809021</v>
      </c>
      <c r="E12380" s="215" t="n">
        <v>45947</v>
      </c>
      <c r="F12380" s="215" t="n">
        <v>45947</v>
      </c>
    </row>
    <row r="12381">
      <c r="A12381" s="215" t="n">
        <v>45950</v>
      </c>
      <c r="B12381" s="216" t="n">
        <v>18.2</v>
      </c>
      <c r="C12381" s="216" t="n">
        <v>40.7</v>
      </c>
      <c r="D12381" s="216" t="n">
        <v>1.089843988418579</v>
      </c>
      <c r="E12381" s="215" t="n">
        <v>45950</v>
      </c>
      <c r="F12381" s="215" t="n">
        <v>45950</v>
      </c>
    </row>
    <row r="12382">
      <c r="A12382" s="215" t="n">
        <v>45951</v>
      </c>
      <c r="B12382" s="216" t="n">
        <v>18.05</v>
      </c>
      <c r="C12382" s="216" t="n">
        <v>40.43</v>
      </c>
      <c r="D12382" s="216" t="n">
        <v>1.091038942337036</v>
      </c>
      <c r="E12382" s="215" t="n">
        <v>45951</v>
      </c>
      <c r="F12382" s="215" t="n">
        <v>45951</v>
      </c>
    </row>
    <row r="12383">
      <c r="A12383" s="215" t="n">
        <v>45952</v>
      </c>
      <c r="B12383" s="216" t="n">
        <v>17.63</v>
      </c>
      <c r="C12383" s="216" t="n">
        <v>39.9</v>
      </c>
      <c r="D12383" s="216" t="n">
        <v>1.091071009635925</v>
      </c>
      <c r="E12383" s="215" t="n">
        <v>45952</v>
      </c>
      <c r="F12383" s="215" t="n">
        <v>45952</v>
      </c>
    </row>
    <row r="12384">
      <c r="A12384" s="215" t="n">
        <v>45953</v>
      </c>
      <c r="B12384" s="216" t="n">
        <v>17.25</v>
      </c>
      <c r="C12384" s="216" t="n">
        <v>39.6</v>
      </c>
      <c r="D12384" s="216" t="n">
        <v>1.090343952178955</v>
      </c>
      <c r="E12384" s="215" t="n">
        <v>45953</v>
      </c>
      <c r="F12384" s="215" t="n">
        <v>45953</v>
      </c>
    </row>
    <row r="12385">
      <c r="A12385" s="215" t="n">
        <v>45954</v>
      </c>
      <c r="B12385" s="216" t="n">
        <v>17.41</v>
      </c>
      <c r="C12385" s="216" t="n">
        <v>39.6</v>
      </c>
      <c r="D12385" s="216" t="n">
        <v>1.090456962585449</v>
      </c>
      <c r="E12385" s="215" t="n">
        <v>45954</v>
      </c>
      <c r="F12385" s="215" t="n">
        <v>45954</v>
      </c>
    </row>
    <row r="12386">
      <c r="A12386" s="215" t="n">
        <v>45957</v>
      </c>
      <c r="B12386" s="216" t="n">
        <v>18.12</v>
      </c>
      <c r="C12386" s="216" t="n">
        <v>40.25</v>
      </c>
      <c r="D12386" s="216" t="n">
        <v>1.090957045555115</v>
      </c>
      <c r="E12386" s="215" t="n">
        <v>45957</v>
      </c>
      <c r="F12386" s="215" t="n">
        <v>45957</v>
      </c>
    </row>
    <row r="12387">
      <c r="A12387" s="215" t="n">
        <v>45958</v>
      </c>
      <c r="B12387" s="216" t="n">
        <v>17.9</v>
      </c>
      <c r="C12387" s="216" t="n">
        <v>40.02</v>
      </c>
      <c r="D12387" s="216" t="n">
        <v>1.092440009117126</v>
      </c>
      <c r="E12387" s="215" t="n">
        <v>45958</v>
      </c>
      <c r="F12387" s="215" t="n">
        <v>45958</v>
      </c>
    </row>
    <row r="12388">
      <c r="A12388" s="215" t="n">
        <v>45960</v>
      </c>
      <c r="B12388" s="216" t="n">
        <v>18.51</v>
      </c>
      <c r="C12388" s="216" t="n">
        <v>41.51</v>
      </c>
      <c r="D12388" s="216" t="n">
        <v>1.09463894367218</v>
      </c>
      <c r="E12388" s="215" t="n">
        <v>45960</v>
      </c>
      <c r="F12388" s="215" t="n">
        <v>45960</v>
      </c>
    </row>
    <row r="12389">
      <c r="A12389" s="215" t="n">
        <v>45961</v>
      </c>
      <c r="B12389" s="216" t="n">
        <v>19.06</v>
      </c>
      <c r="C12389" s="216" t="n">
        <v>42.32</v>
      </c>
      <c r="D12389" s="216" t="n">
        <v>1.092543959617615</v>
      </c>
      <c r="E12389" s="215" t="n">
        <v>45961</v>
      </c>
      <c r="F12389" s="215" t="n">
        <v>45961</v>
      </c>
    </row>
    <row r="12390">
      <c r="A12390" s="215" t="n">
        <v>45964</v>
      </c>
      <c r="B12390" s="216" t="n">
        <v>19.43</v>
      </c>
      <c r="C12390" s="216" t="n">
        <v>43.15</v>
      </c>
      <c r="D12390" s="216" t="n">
        <v>1.091722965240479</v>
      </c>
      <c r="E12390" s="215" t="n">
        <v>45964</v>
      </c>
      <c r="F12390" s="215" t="n">
        <v>45964</v>
      </c>
    </row>
    <row r="12391">
      <c r="A12391" s="215" t="n">
        <v>45965</v>
      </c>
      <c r="B12391" s="216" t="n">
        <v>18.63</v>
      </c>
      <c r="C12391" s="216" t="n">
        <v>41.96</v>
      </c>
      <c r="D12391" s="216" t="n">
        <v>1.083533048629761</v>
      </c>
      <c r="E12391" s="215" t="n">
        <v>45965</v>
      </c>
      <c r="F12391" s="215" t="n">
        <v>45965</v>
      </c>
    </row>
    <row r="12392">
      <c r="A12392" s="215" t="n">
        <v>45966</v>
      </c>
      <c r="B12392" s="216" t="n">
        <v>19.1</v>
      </c>
      <c r="C12392" s="216" t="n">
        <v>43.5</v>
      </c>
      <c r="D12392" s="216" t="n">
        <v>1.090273976325989</v>
      </c>
      <c r="E12392" s="215" t="n">
        <v>45966</v>
      </c>
      <c r="F12392" s="215" t="n">
        <v>45966</v>
      </c>
    </row>
    <row r="12393">
      <c r="A12393" s="215" t="n">
        <v>45967</v>
      </c>
      <c r="B12393" s="216" t="n">
        <v>18.87</v>
      </c>
      <c r="C12393" s="216" t="n">
        <v>42.88</v>
      </c>
      <c r="D12393" s="216" t="n">
        <v>1.090808033943176</v>
      </c>
      <c r="E12393" s="215" t="n">
        <v>45967</v>
      </c>
      <c r="F12393" s="215" t="n">
        <v>45967</v>
      </c>
    </row>
    <row r="12394">
      <c r="A12394" s="215" t="n">
        <v>45968</v>
      </c>
      <c r="B12394" s="216" t="n">
        <v>19.03</v>
      </c>
      <c r="C12394" s="216" t="n">
        <v>43.23</v>
      </c>
      <c r="D12394" s="216" t="n">
        <v>1.092054009437561</v>
      </c>
      <c r="E12394" s="215" t="n">
        <v>45968</v>
      </c>
      <c r="F12394" s="215" t="n">
        <v>45968</v>
      </c>
    </row>
    <row r="12395">
      <c r="A12395" s="215" t="n">
        <v>45971</v>
      </c>
      <c r="B12395" s="216" t="n">
        <v>19.45</v>
      </c>
      <c r="C12395" s="216" t="n">
        <v>44.07</v>
      </c>
      <c r="D12395" s="216" t="n">
        <v>1.092267036437988</v>
      </c>
      <c r="E12395" s="215" t="n">
        <v>45971</v>
      </c>
      <c r="F12395" s="215" t="n">
        <v>45971</v>
      </c>
    </row>
    <row r="12396">
      <c r="A12396" s="215" t="n">
        <v>45972</v>
      </c>
      <c r="B12396" s="216" t="n">
        <v>19.62</v>
      </c>
      <c r="C12396" s="216" t="n">
        <v>44.12</v>
      </c>
      <c r="D12396" s="216" t="n">
        <v>1.091644048690796</v>
      </c>
      <c r="E12396" s="215" t="n">
        <v>45972</v>
      </c>
      <c r="F12396" s="215" t="n">
        <v>45972</v>
      </c>
    </row>
    <row r="12397">
      <c r="A12397" s="215" t="n">
        <v>45973</v>
      </c>
      <c r="B12397" s="216" t="n">
        <v>18.75</v>
      </c>
      <c r="C12397" s="216" t="n">
        <v>42.27</v>
      </c>
      <c r="D12397" s="216" t="n">
        <v>1.091495990753174</v>
      </c>
      <c r="E12397" s="215" t="n">
        <v>45973</v>
      </c>
      <c r="F12397" s="215" t="n">
        <v>45973</v>
      </c>
    </row>
    <row r="12398">
      <c r="A12398" s="215" t="n">
        <v>45974</v>
      </c>
      <c r="B12398" s="216" t="n">
        <v>18.84</v>
      </c>
      <c r="C12398" s="216" t="n">
        <v>42.52</v>
      </c>
      <c r="D12398" s="216" t="n">
        <v>1.092489004135132</v>
      </c>
      <c r="E12398" s="215" t="n">
        <v>45974</v>
      </c>
      <c r="F12398" s="215" t="n">
        <v>45974</v>
      </c>
    </row>
    <row r="12399">
      <c r="A12399" s="215" t="n">
        <v>45975</v>
      </c>
      <c r="B12399" s="216" t="n">
        <v>18.91</v>
      </c>
      <c r="C12399" s="216" t="n">
        <v>43.21</v>
      </c>
      <c r="D12399" s="216" t="n">
        <v>1.092411994934082</v>
      </c>
      <c r="E12399" s="215" t="n">
        <v>45975</v>
      </c>
      <c r="F12399" s="215" t="n">
        <v>45975</v>
      </c>
    </row>
    <row r="12400">
      <c r="A12400" s="215" t="n">
        <v>45978</v>
      </c>
      <c r="B12400" s="216" t="n">
        <v>18.46</v>
      </c>
      <c r="C12400" s="216" t="n">
        <v>42.53</v>
      </c>
      <c r="D12400" s="216" t="n">
        <v>1.094588041305542</v>
      </c>
      <c r="E12400" s="215" t="n">
        <v>45978</v>
      </c>
      <c r="F12400" s="215" t="n">
        <v>45978</v>
      </c>
    </row>
    <row r="12401">
      <c r="A12401" s="215" t="n">
        <v>45979</v>
      </c>
      <c r="B12401" s="216" t="n">
        <v>18.25</v>
      </c>
      <c r="C12401" s="216" t="n">
        <v>43.07</v>
      </c>
      <c r="D12401" s="216" t="n">
        <v>1.093616008758545</v>
      </c>
      <c r="E12401" s="215" t="n">
        <v>45979</v>
      </c>
      <c r="F12401" s="215" t="n">
        <v>45979</v>
      </c>
    </row>
    <row r="12402">
      <c r="A12402" s="215" t="n">
        <v>45980</v>
      </c>
      <c r="B12402" s="216" t="n">
        <v>18.05</v>
      </c>
      <c r="C12402" s="216" t="n">
        <v>43.4</v>
      </c>
      <c r="D12402" s="216" t="n">
        <v>1.095010995864868</v>
      </c>
      <c r="E12402" s="215" t="n">
        <v>45980</v>
      </c>
      <c r="F12402" s="215" t="n">
        <v>45980</v>
      </c>
    </row>
    <row r="12403">
      <c r="A12403" s="215" t="n">
        <v>45981</v>
      </c>
      <c r="B12403" s="216" t="n">
        <v>18.17</v>
      </c>
      <c r="C12403" s="216" t="n">
        <v>44.29</v>
      </c>
      <c r="D12403" s="216" t="n">
        <v>1.095402002334595</v>
      </c>
      <c r="E12403" s="215" t="n">
        <v>45981</v>
      </c>
      <c r="F12403" s="215" t="n">
        <v>45981</v>
      </c>
    </row>
    <row r="12404">
      <c r="A12404" s="215" t="n">
        <v>45982</v>
      </c>
      <c r="B12404" s="216" t="n">
        <v>17.35</v>
      </c>
      <c r="C12404" s="216" t="n">
        <v>41.2</v>
      </c>
      <c r="D12404" s="216" t="n">
        <v>1.094982981681824</v>
      </c>
      <c r="E12404" s="215" t="n">
        <v>45982</v>
      </c>
      <c r="F12404" s="215" t="n">
        <v>45982</v>
      </c>
    </row>
    <row r="12405">
      <c r="A12405" s="215" t="n">
        <v>45985</v>
      </c>
      <c r="B12405" s="216" t="n">
        <v>17.07</v>
      </c>
      <c r="C12405" s="216" t="n">
        <v>39.41</v>
      </c>
      <c r="D12405" s="216" t="n">
        <v>1.094988942146301</v>
      </c>
      <c r="E12405" s="215" t="n">
        <v>45985</v>
      </c>
      <c r="F12405" s="215" t="n">
        <v>45985</v>
      </c>
    </row>
    <row r="12406">
      <c r="A12406" s="215" t="n">
        <v>45986</v>
      </c>
      <c r="B12406" s="216" t="n">
        <v>17.18</v>
      </c>
      <c r="C12406" s="216" t="n">
        <v>40.34</v>
      </c>
      <c r="D12406" s="216" t="n">
        <v>1.095428943634033</v>
      </c>
      <c r="E12406" s="215" t="n">
        <v>45986</v>
      </c>
      <c r="F12406" s="215" t="n">
        <v>45986</v>
      </c>
    </row>
    <row r="12407">
      <c r="A12407" s="215" t="n">
        <v>45987</v>
      </c>
      <c r="B12407" s="216" t="n">
        <v>17.05</v>
      </c>
      <c r="C12407" s="216" t="n">
        <v>39.79</v>
      </c>
      <c r="D12407" s="216" t="n">
        <v>1.097422003746033</v>
      </c>
      <c r="E12407" s="215" t="n">
        <v>45987</v>
      </c>
      <c r="F12407" s="215" t="n">
        <v>45987</v>
      </c>
    </row>
    <row r="12408">
      <c r="A12408" s="215" t="n">
        <v>45988</v>
      </c>
      <c r="B12408" s="216" t="n">
        <v>17.04</v>
      </c>
      <c r="C12408" s="216" t="n">
        <v>39.5</v>
      </c>
      <c r="D12408" s="216" t="n">
        <v>1.098397016525269</v>
      </c>
      <c r="E12408" s="215" t="n">
        <v>45988</v>
      </c>
      <c r="F12408" s="215" t="n">
        <v>45988</v>
      </c>
    </row>
    <row r="12409">
      <c r="A12409" s="215" t="n">
        <v>45989</v>
      </c>
      <c r="B12409" s="216" t="n">
        <v>17.19</v>
      </c>
      <c r="C12409" s="216" t="n">
        <v>39.66</v>
      </c>
      <c r="D12409" s="216" t="n">
        <v>1.098330020904541</v>
      </c>
      <c r="E12409" s="215" t="n">
        <v>45989</v>
      </c>
      <c r="F12409" s="215" t="n">
        <v>45989</v>
      </c>
    </row>
    <row r="12410">
      <c r="A12410" s="215" t="n">
        <v>45992</v>
      </c>
      <c r="B12410" s="216" t="n">
        <v>17.13</v>
      </c>
      <c r="C12410" s="216" t="n">
        <v>39.34</v>
      </c>
      <c r="D12410" s="216" t="n">
        <v>1.10015594959259</v>
      </c>
      <c r="E12410" s="215" t="n">
        <v>45992</v>
      </c>
      <c r="F12410" s="215" t="n">
        <v>45992</v>
      </c>
    </row>
    <row r="12411">
      <c r="A12411" s="215" t="n">
        <v>45993</v>
      </c>
      <c r="B12411" s="216" t="n">
        <v>16.57</v>
      </c>
      <c r="C12411" s="216" t="n">
        <v>37.77</v>
      </c>
      <c r="D12411" s="216" t="n">
        <v>1.101189017295837</v>
      </c>
      <c r="E12411" s="215" t="n">
        <v>45993</v>
      </c>
      <c r="F12411" s="215" t="n">
        <v>45993</v>
      </c>
    </row>
    <row r="12412">
      <c r="A12412" s="215" t="n">
        <v>45994</v>
      </c>
      <c r="B12412" s="216" t="n">
        <v>16.09</v>
      </c>
      <c r="C12412" s="216" t="n">
        <v>36.84</v>
      </c>
      <c r="D12412" s="216" t="n">
        <v>1.100834012031555</v>
      </c>
      <c r="E12412" s="215" t="n">
        <v>45994</v>
      </c>
      <c r="F12412" s="215" t="n">
        <v>45994</v>
      </c>
    </row>
    <row r="12413">
      <c r="A12413" s="215" t="n">
        <v>45995</v>
      </c>
      <c r="B12413" s="216" t="n">
        <v>15.74</v>
      </c>
      <c r="C12413" s="216" t="n">
        <v>36.14</v>
      </c>
      <c r="D12413" s="216" t="n">
        <v>1.101611018180847</v>
      </c>
      <c r="E12413" s="215" t="n">
        <v>45995</v>
      </c>
      <c r="F12413" s="215" t="n">
        <v>45995</v>
      </c>
    </row>
    <row r="12414">
      <c r="A12414" s="215" t="n">
        <v>45996</v>
      </c>
      <c r="B12414" s="216" t="n">
        <v>15.99</v>
      </c>
      <c r="C12414" s="216" t="n">
        <v>36.68</v>
      </c>
      <c r="D12414" s="216" t="n">
        <v>1.100373983383179</v>
      </c>
      <c r="E12414" s="215" t="n">
        <v>45996</v>
      </c>
      <c r="F12414" s="215" t="n">
        <v>45996</v>
      </c>
    </row>
    <row r="12415">
      <c r="A12415" s="215" t="n">
        <v>45999</v>
      </c>
      <c r="B12415" s="216" t="n">
        <v>16.01</v>
      </c>
      <c r="C12415" s="216" t="n">
        <v>36.87</v>
      </c>
      <c r="D12415" s="216" t="n">
        <v>1.1008620262146</v>
      </c>
      <c r="E12415" s="215" t="n">
        <v>45999</v>
      </c>
      <c r="F12415" s="215" t="n">
        <v>45999</v>
      </c>
    </row>
    <row r="12416">
      <c r="A12416" s="215" t="n">
        <v>46000</v>
      </c>
      <c r="B12416" s="216" t="n">
        <v>15.85</v>
      </c>
      <c r="C12416" s="216" t="n">
        <v>36.68</v>
      </c>
      <c r="D12416" s="216" t="n">
        <v>1.10008704662323</v>
      </c>
      <c r="E12416" s="215" t="n">
        <v>46000</v>
      </c>
      <c r="F12416" s="215" t="n">
        <v>46000</v>
      </c>
    </row>
    <row r="12417">
      <c r="A12417" s="215" t="n">
        <v>46001</v>
      </c>
      <c r="B12417" s="216" t="n">
        <v>15.96</v>
      </c>
      <c r="C12417" s="216" t="n">
        <v>37.59</v>
      </c>
      <c r="D12417" s="216" t="n">
        <v>1.101711988449097</v>
      </c>
      <c r="E12417" s="215" t="n">
        <v>46001</v>
      </c>
      <c r="F12417" s="215" t="n">
        <v>46001</v>
      </c>
    </row>
    <row r="12418">
      <c r="A12418" s="215" t="n">
        <v>46002</v>
      </c>
      <c r="B12418" s="216" t="n">
        <v>15.57</v>
      </c>
      <c r="C12418" s="216" t="n">
        <v>36.66</v>
      </c>
      <c r="D12418" s="216" t="n">
        <v>1.10112202167511</v>
      </c>
      <c r="E12418" s="215" t="n">
        <v>46002</v>
      </c>
      <c r="F12418" s="215" t="n">
        <v>46002</v>
      </c>
    </row>
    <row r="12419">
      <c r="A12419" s="215" t="n">
        <v>46003</v>
      </c>
      <c r="B12419" s="216" t="n">
        <v>16.86</v>
      </c>
      <c r="C12419" s="216" t="n">
        <v>40.33</v>
      </c>
      <c r="D12419" s="216" t="n">
        <v>1.102499008178711</v>
      </c>
      <c r="E12419" s="215" t="n">
        <v>46003</v>
      </c>
      <c r="F12419" s="215" t="n">
        <v>46003</v>
      </c>
    </row>
    <row r="12420">
      <c r="A12420" s="215" t="n">
        <v>46006</v>
      </c>
      <c r="B12420" s="216" t="n">
        <v>16.44</v>
      </c>
      <c r="C12420" s="216" t="n">
        <v>40.77</v>
      </c>
      <c r="D12420" s="216" t="n">
        <v>1.103397965431213</v>
      </c>
      <c r="E12420" s="215" t="n">
        <v>46006</v>
      </c>
      <c r="F12420" s="215" t="n">
        <v>46006</v>
      </c>
    </row>
    <row r="12421">
      <c r="A12421" s="215" t="n">
        <v>46007</v>
      </c>
      <c r="B12421" s="216" t="n">
        <v>15.95</v>
      </c>
      <c r="C12421" s="216" t="n">
        <v>39.37</v>
      </c>
      <c r="D12421" s="216" t="n">
        <v>1.104179978370667</v>
      </c>
      <c r="E12421" s="215" t="n">
        <v>46007</v>
      </c>
      <c r="F12421" s="215" t="n">
        <v>46007</v>
      </c>
    </row>
    <row r="12422">
      <c r="A12422" s="215" t="n">
        <v>46008</v>
      </c>
      <c r="B12422" s="216" t="n">
        <v>17.85</v>
      </c>
      <c r="C12422" s="216" t="n">
        <v>43.31</v>
      </c>
      <c r="D12422" s="216" t="n">
        <v>1.104655981063843</v>
      </c>
      <c r="E12422" s="215" t="n">
        <v>46008</v>
      </c>
      <c r="F12422" s="215" t="n">
        <v>46008</v>
      </c>
    </row>
    <row r="12423">
      <c r="A12423" s="215" t="n">
        <v>46009</v>
      </c>
      <c r="B12423" s="216" t="n">
        <v>18.52</v>
      </c>
      <c r="C12423" s="216" t="n">
        <v>47.64</v>
      </c>
      <c r="D12423" s="216" t="n">
        <v>1.104357004165649</v>
      </c>
      <c r="E12423" s="215" t="n">
        <v>46009</v>
      </c>
      <c r="F12423" s="215" t="n">
        <v>46009</v>
      </c>
    </row>
    <row r="12424">
      <c r="A12424" s="215" t="n">
        <v>46010</v>
      </c>
      <c r="B12424" s="216" t="n">
        <v>18.31</v>
      </c>
      <c r="C12424" s="216" t="n">
        <v>48.05</v>
      </c>
      <c r="D12424" s="216" t="n">
        <v>1.104962944984436</v>
      </c>
      <c r="E12424" s="215" t="n">
        <v>46010</v>
      </c>
      <c r="F12424" s="215" t="n">
        <v>46010</v>
      </c>
    </row>
    <row r="12425">
      <c r="A12425" s="215" t="n">
        <v>46013</v>
      </c>
      <c r="B12425" s="216" t="n">
        <v>18.01</v>
      </c>
      <c r="C12425" s="216" t="n">
        <v>49.5</v>
      </c>
      <c r="D12425" s="216" t="n">
        <v>1.105054020881653</v>
      </c>
      <c r="E12425" s="215" t="n">
        <v>46013</v>
      </c>
      <c r="F12425" s="215" t="n">
        <v>46013</v>
      </c>
    </row>
    <row r="12426">
      <c r="A12426" s="215" t="n">
        <v>46014</v>
      </c>
      <c r="B12426" s="216" t="n">
        <v>16.24</v>
      </c>
      <c r="C12426" s="216" t="n">
        <v>44.55</v>
      </c>
      <c r="D12426" s="216" t="n">
        <v>1.104820013046265</v>
      </c>
      <c r="E12426" s="215" t="n">
        <v>46014</v>
      </c>
      <c r="F12426" s="215" t="n">
        <v>46014</v>
      </c>
    </row>
    <row r="12427">
      <c r="A12427" s="215" t="n">
        <v>46015</v>
      </c>
      <c r="B12427" s="216" t="n">
        <v>17</v>
      </c>
      <c r="C12427" s="216" t="n">
        <v>49.01</v>
      </c>
      <c r="D12427" s="216" t="n">
        <v>1.106441974639893</v>
      </c>
      <c r="E12427" s="215" t="n">
        <v>46015</v>
      </c>
      <c r="F12427" s="215" t="n">
        <v>46015</v>
      </c>
    </row>
    <row r="12428">
      <c r="A12428" s="215" t="n">
        <v>46020</v>
      </c>
      <c r="B12428" s="216" t="n">
        <v>20.68</v>
      </c>
      <c r="C12428" s="216" t="n">
        <v>58</v>
      </c>
      <c r="D12428" s="216" t="n">
        <v>1.10552704334259</v>
      </c>
      <c r="E12428" s="215" t="n">
        <v>46020</v>
      </c>
      <c r="F12428" s="215" t="n">
        <v>46020</v>
      </c>
    </row>
    <row r="12429">
      <c r="A12429" s="215" t="n">
        <v>46021</v>
      </c>
      <c r="B12429" s="216" t="n">
        <v>20.5</v>
      </c>
      <c r="C12429" s="216" t="n">
        <v>53.63</v>
      </c>
      <c r="D12429" s="216" t="n">
        <v>1.109460949897766</v>
      </c>
      <c r="E12429" s="215" t="n">
        <v>46021</v>
      </c>
      <c r="F12429" s="215" t="n">
        <v>46021</v>
      </c>
    </row>
    <row r="12430">
      <c r="A12430" s="215" t="n">
        <v>46022</v>
      </c>
      <c r="B12430" s="216" t="n">
        <v>21.5</v>
      </c>
      <c r="C12430" s="216" t="n">
        <v>54.61</v>
      </c>
      <c r="D12430" s="216" t="n">
        <v>1.111927032470703</v>
      </c>
      <c r="E12430" s="215" t="n">
        <v>46022</v>
      </c>
      <c r="F12430" s="215" t="n">
        <v>46022</v>
      </c>
    </row>
    <row r="12431">
      <c r="A12431" s="215" t="n">
        <v>46024</v>
      </c>
      <c r="B12431" s="216" t="n">
        <v>22</v>
      </c>
      <c r="C12431" s="216" t="n">
        <v>54.61</v>
      </c>
      <c r="D12431" s="216" t="n">
        <v>1.112754940986633</v>
      </c>
      <c r="E12431" s="215" t="n">
        <v>46022</v>
      </c>
      <c r="F12431" s="215" t="n">
        <v>46024</v>
      </c>
    </row>
    <row r="12432">
      <c r="A12432" s="215" t="n">
        <v>46027</v>
      </c>
      <c r="B12432" s="216" t="n">
        <v>20.72</v>
      </c>
      <c r="C12432" s="216" t="n">
        <v>52.7</v>
      </c>
      <c r="D12432" s="216" t="n">
        <v>1.113860011100769</v>
      </c>
      <c r="E12432" s="215" t="n">
        <v>46027</v>
      </c>
      <c r="F12432" s="215" t="n">
        <v>46027</v>
      </c>
    </row>
    <row r="12433">
      <c r="A12433" s="215" t="n">
        <v>46028</v>
      </c>
      <c r="B12433" s="216" t="n">
        <v>22.38</v>
      </c>
      <c r="C12433" s="216" t="n">
        <v>57.97</v>
      </c>
      <c r="D12433" s="216" t="n">
        <v>1.11367404460907</v>
      </c>
      <c r="E12433" s="215" t="n">
        <v>46028</v>
      </c>
      <c r="F12433" s="215" t="n">
        <v>46028</v>
      </c>
    </row>
    <row r="12434">
      <c r="A12434" s="215" t="n">
        <v>46029</v>
      </c>
      <c r="B12434" s="216" t="n">
        <v>23.78</v>
      </c>
      <c r="C12434" s="216" t="n">
        <v>62.3</v>
      </c>
      <c r="D12434" s="216" t="n">
        <v>1.114913940429688</v>
      </c>
      <c r="E12434" s="215" t="n">
        <v>46029</v>
      </c>
      <c r="F12434" s="215" t="n">
        <v>46029</v>
      </c>
    </row>
    <row r="12435">
      <c r="A12435" s="215" t="n">
        <v>46030</v>
      </c>
      <c r="B12435" s="216" t="n">
        <v>26.94</v>
      </c>
      <c r="C12435" s="216" t="n">
        <v>68.53</v>
      </c>
      <c r="D12435" s="216" t="n">
        <v>1.112563014030457</v>
      </c>
      <c r="E12435" s="215" t="n">
        <v>46030</v>
      </c>
      <c r="F12435" s="215" t="n">
        <v>46030</v>
      </c>
    </row>
    <row r="12436">
      <c r="A12436" s="215" t="n">
        <v>46031</v>
      </c>
      <c r="B12436" s="216" t="n">
        <v>25.38</v>
      </c>
      <c r="C12436" s="216" t="n">
        <v>70.66</v>
      </c>
      <c r="D12436" s="216" t="n">
        <v>1.115561008453369</v>
      </c>
      <c r="E12436" s="215" t="n">
        <v>46031</v>
      </c>
      <c r="F12436" s="215" t="n">
        <v>46031</v>
      </c>
    </row>
    <row r="12437">
      <c r="A12437" s="215" t="n">
        <v>46034</v>
      </c>
      <c r="B12437" s="216" t="n">
        <v>25.32</v>
      </c>
      <c r="C12437" s="216" t="n">
        <v>72.81</v>
      </c>
      <c r="D12437" s="216" t="n">
        <v>1.117015957832336</v>
      </c>
      <c r="E12437" s="215" t="n">
        <v>46034</v>
      </c>
      <c r="F12437" s="215" t="n">
        <v>46034</v>
      </c>
    </row>
    <row r="12438">
      <c r="A12438" s="215" t="n">
        <v>46035</v>
      </c>
      <c r="B12438" s="216" t="n">
        <v>25.66</v>
      </c>
      <c r="C12438" s="216" t="n">
        <v>80.09</v>
      </c>
      <c r="D12438" s="216" t="n">
        <v>1.117892026901245</v>
      </c>
      <c r="E12438" s="215" t="n">
        <v>46035</v>
      </c>
      <c r="F12438" s="215" t="n">
        <v>46035</v>
      </c>
    </row>
    <row r="12439">
      <c r="A12439" s="215" t="n">
        <v>46036</v>
      </c>
      <c r="B12439" s="216" t="n">
        <v>24.56</v>
      </c>
      <c r="C12439" s="216" t="n">
        <v>82.34999999999999</v>
      </c>
      <c r="D12439" s="216" t="n">
        <v>1.117897987365723</v>
      </c>
      <c r="E12439" s="215" t="n">
        <v>46036</v>
      </c>
      <c r="F12439" s="215" t="n">
        <v>46036</v>
      </c>
    </row>
    <row r="12440">
      <c r="A12440" s="215" t="n">
        <v>46037</v>
      </c>
      <c r="B12440" s="216" t="n">
        <v>24.32</v>
      </c>
      <c r="C12440" s="216" t="n">
        <v>82.62</v>
      </c>
      <c r="D12440" s="216" t="n">
        <v>1.118072032928467</v>
      </c>
      <c r="E12440" s="215" t="n">
        <v>46037</v>
      </c>
      <c r="F12440" s="215" t="n">
        <v>46037</v>
      </c>
    </row>
    <row r="12441">
      <c r="A12441" s="215" t="n">
        <v>46038</v>
      </c>
      <c r="B12441" s="216" t="n">
        <v>25</v>
      </c>
      <c r="C12441" s="216" t="n">
        <v>89.7</v>
      </c>
      <c r="D12441" s="216" t="n">
        <v>1.119040012359619</v>
      </c>
      <c r="E12441" s="215" t="n">
        <v>46038</v>
      </c>
      <c r="F12441" s="215" t="n">
        <v>46038</v>
      </c>
    </row>
    <row r="12442">
      <c r="A12442" s="215" t="n">
        <v>46041</v>
      </c>
      <c r="B12442" s="216" t="n">
        <v>23.66</v>
      </c>
      <c r="C12442" s="216" t="n">
        <v>90.8</v>
      </c>
      <c r="D12442" s="216" t="n">
        <v>1.118916034698486</v>
      </c>
      <c r="E12442" s="215" t="n">
        <v>46041</v>
      </c>
      <c r="F12442" s="215" t="n">
        <v>46041</v>
      </c>
    </row>
    <row r="12443">
      <c r="A12443" s="215" t="n">
        <v>46042</v>
      </c>
      <c r="B12443" s="216" t="n">
        <v>22.24</v>
      </c>
      <c r="C12443" s="216" t="n">
        <v>84.25</v>
      </c>
      <c r="D12443" s="216" t="n">
        <v>1.118687987327576</v>
      </c>
      <c r="E12443" s="215" t="n">
        <v>46042</v>
      </c>
      <c r="F12443" s="215" t="n">
        <v>46042</v>
      </c>
    </row>
    <row r="12444">
      <c r="A12444" s="215" t="n">
        <v>46043</v>
      </c>
      <c r="B12444" s="216" t="n">
        <v>22.24</v>
      </c>
      <c r="C12444" s="216" t="n">
        <v>82.18000000000001</v>
      </c>
      <c r="D12444" s="216" t="n">
        <v>1.12024998664856</v>
      </c>
      <c r="E12444" s="215" t="n">
        <v>46043</v>
      </c>
      <c r="F12444" s="215" t="n">
        <v>46043</v>
      </c>
    </row>
    <row r="12445">
      <c r="A12445" s="215" t="n">
        <v>46044</v>
      </c>
      <c r="B12445" s="216" t="n">
        <v>25.76</v>
      </c>
      <c r="C12445" s="216" t="n">
        <v>90.40000000000001</v>
      </c>
      <c r="D12445" s="216" t="n">
        <v>1.11942195892334</v>
      </c>
      <c r="E12445" s="215" t="n">
        <v>46044</v>
      </c>
      <c r="F12445" s="215" t="n">
        <v>46044</v>
      </c>
    </row>
    <row r="12446">
      <c r="A12446" s="215" t="n">
        <v>46045</v>
      </c>
      <c r="B12446" s="216" t="n">
        <v>39</v>
      </c>
      <c r="C12446" s="216" t="n">
        <v>99.44</v>
      </c>
      <c r="D12446" s="216" t="n">
        <v>1.117977976799011</v>
      </c>
      <c r="E12446" s="215" t="n">
        <v>46045</v>
      </c>
      <c r="F12446" s="215" t="n">
        <v>46045</v>
      </c>
    </row>
    <row r="12447">
      <c r="A12447" s="215" t="n">
        <v>46048</v>
      </c>
      <c r="B12447" s="216" t="n">
        <v>36.44</v>
      </c>
      <c r="C12447" s="216" t="n">
        <v>107.4</v>
      </c>
      <c r="D12447" s="216" t="n">
        <v>1.117916941642761</v>
      </c>
      <c r="E12447" s="215" t="n">
        <v>46048</v>
      </c>
      <c r="F12447" s="215" t="n">
        <v>46048</v>
      </c>
    </row>
    <row r="12448">
      <c r="A12448" s="215" t="n">
        <v>46049</v>
      </c>
      <c r="B12448" s="216" t="n">
        <v>35.26</v>
      </c>
      <c r="C12448" s="216" t="n">
        <v>104.12</v>
      </c>
      <c r="D12448" s="216" t="n">
        <v>1.121191024780273</v>
      </c>
      <c r="E12448" s="215" t="n">
        <v>46049</v>
      </c>
      <c r="F12448" s="215" t="n">
        <v>46049</v>
      </c>
    </row>
    <row r="12449">
      <c r="A12449" s="215" t="n">
        <v>46050</v>
      </c>
      <c r="B12449" s="216" t="n">
        <v>34.7</v>
      </c>
      <c r="C12449" s="216" t="n">
        <v>98.7</v>
      </c>
      <c r="D12449" s="216" t="n">
        <v>1.121533036231995</v>
      </c>
      <c r="E12449" s="215" t="n">
        <v>46050</v>
      </c>
      <c r="F12449" s="215" t="n">
        <v>46050</v>
      </c>
    </row>
    <row r="12450">
      <c r="A12450" s="215" t="n">
        <v>46051</v>
      </c>
      <c r="B12450" s="216" t="n">
        <v>36.78</v>
      </c>
      <c r="C12450" s="216" t="n">
        <v>105.03</v>
      </c>
      <c r="D12450" s="216" t="n">
        <v>1.121621966362</v>
      </c>
      <c r="E12450" s="215" t="n">
        <v>46051</v>
      </c>
      <c r="F12450" s="215" t="n">
        <v>46051</v>
      </c>
    </row>
    <row r="12451">
      <c r="A12451" s="215" t="n">
        <v>46052</v>
      </c>
      <c r="B12451" s="216" t="n">
        <v>35.98</v>
      </c>
      <c r="C12451" s="216" t="n">
        <v>100.82</v>
      </c>
      <c r="D12451" s="216" t="n">
        <v>1.123343944549561</v>
      </c>
      <c r="E12451" s="215" t="n">
        <v>46052</v>
      </c>
      <c r="F12451" s="215" t="n">
        <v>46052</v>
      </c>
    </row>
    <row r="12452">
      <c r="A12452" s="215" t="n">
        <v>46055</v>
      </c>
      <c r="B12452" s="216" t="n">
        <v>36.9</v>
      </c>
      <c r="C12452" s="216" t="n">
        <v>100.2</v>
      </c>
      <c r="D12452" s="216" t="n">
        <v>1.123572945594788</v>
      </c>
      <c r="E12452" s="215" t="n">
        <v>46055</v>
      </c>
      <c r="F12452" s="215" t="n">
        <v>46055</v>
      </c>
    </row>
    <row r="12453">
      <c r="A12453" s="215" t="n">
        <v>46056</v>
      </c>
      <c r="B12453" s="216" t="n">
        <v>45.7</v>
      </c>
      <c r="C12453" s="216" t="n">
        <v>110.22</v>
      </c>
      <c r="D12453" s="216" t="n">
        <v>1.124274969100952</v>
      </c>
      <c r="E12453" s="215" t="n">
        <v>46056</v>
      </c>
      <c r="F12453" s="215" t="n">
        <v>46056</v>
      </c>
    </row>
    <row r="12454">
      <c r="A12454" s="215" t="n">
        <v>46057</v>
      </c>
      <c r="B12454" s="216" t="n">
        <v>45.02</v>
      </c>
      <c r="C12454" s="216" t="n">
        <v>114.29</v>
      </c>
      <c r="D12454" s="216" t="n">
        <v>1.12601101398468</v>
      </c>
      <c r="E12454" s="215" t="n">
        <v>46057</v>
      </c>
      <c r="F12454" s="215" t="n">
        <v>46057</v>
      </c>
    </row>
    <row r="12455">
      <c r="A12455" s="215" t="n">
        <v>46058</v>
      </c>
      <c r="B12455" s="216" t="n">
        <v>39.46</v>
      </c>
      <c r="C12455" s="216" t="n">
        <v>102.86</v>
      </c>
      <c r="D12455" s="216" t="n">
        <v>1.125892996788025</v>
      </c>
      <c r="E12455" s="215" t="n">
        <v>46058</v>
      </c>
      <c r="F12455" s="215" t="n">
        <v>46058</v>
      </c>
    </row>
    <row r="12456">
      <c r="A12456" s="215" t="n">
        <v>46059</v>
      </c>
      <c r="B12456" s="216" t="n">
        <v>37.22</v>
      </c>
      <c r="C12456" s="216" t="n">
        <v>97.83</v>
      </c>
      <c r="D12456" s="216" t="n">
        <v>1.126062035560608</v>
      </c>
      <c r="E12456" s="215" t="n">
        <v>46059</v>
      </c>
      <c r="F12456" s="215" t="n">
        <v>46059</v>
      </c>
    </row>
    <row r="12457">
      <c r="A12457" s="215" t="n">
        <v>46062</v>
      </c>
      <c r="B12457" s="216" t="n">
        <v>41.26</v>
      </c>
      <c r="C12457" s="216" t="n">
        <v>97.15000000000001</v>
      </c>
      <c r="D12457" s="216" t="n">
        <v>1.125753998756409</v>
      </c>
      <c r="E12457" s="215" t="n">
        <v>46062</v>
      </c>
      <c r="F12457" s="215" t="n">
        <v>46062</v>
      </c>
    </row>
    <row r="12458">
      <c r="A12458" s="215" t="n">
        <v>46063</v>
      </c>
      <c r="B12458" s="216" t="n">
        <v>42.14</v>
      </c>
      <c r="C12458" s="216" t="n">
        <v>98.31</v>
      </c>
      <c r="D12458" s="216" t="n">
        <v>1.129003047943115</v>
      </c>
      <c r="E12458" s="215" t="n">
        <v>46063</v>
      </c>
      <c r="F12458" s="215" t="n">
        <v>46063</v>
      </c>
    </row>
    <row r="12459">
      <c r="A12459" s="215" t="n">
        <v>46064</v>
      </c>
      <c r="B12459" s="216" t="n">
        <v>40.84</v>
      </c>
      <c r="C12459" s="216" t="n">
        <v>96.5</v>
      </c>
      <c r="D12459" s="216" t="n">
        <v>1.130962014198303</v>
      </c>
      <c r="E12459" s="215" t="n">
        <v>46064</v>
      </c>
      <c r="F12459" s="215" t="n">
        <v>46064</v>
      </c>
    </row>
    <row r="12460">
      <c r="A12460" s="215" t="n">
        <v>46065</v>
      </c>
      <c r="B12460" s="216" t="n">
        <v>40.38</v>
      </c>
      <c r="C12460" s="216" t="n">
        <v>93.7</v>
      </c>
      <c r="D12460" s="216" t="n">
        <v>1.130671977996826</v>
      </c>
      <c r="E12460" s="215" t="n">
        <v>46065</v>
      </c>
      <c r="F12460" s="215" t="n">
        <v>46065</v>
      </c>
    </row>
    <row r="12461">
      <c r="A12461" s="215" t="n">
        <v>46066</v>
      </c>
      <c r="B12461" s="216" t="n">
        <v>36.76</v>
      </c>
      <c r="C12461" s="216" t="n">
        <v>89.48999999999999</v>
      </c>
      <c r="D12461" s="216" t="n">
        <v>1.132490992546082</v>
      </c>
      <c r="E12461" s="215" t="n">
        <v>46066</v>
      </c>
      <c r="F12461" s="215" t="n">
        <v>46066</v>
      </c>
    </row>
    <row r="12462">
      <c r="A12462" s="215" t="n">
        <v>46069</v>
      </c>
      <c r="B12462" s="216" t="n">
        <v>37.44</v>
      </c>
      <c r="C12462" s="216" t="n">
        <v>89.48999999999999</v>
      </c>
      <c r="D12462" s="216" t="n">
        <v>1.131224036216736</v>
      </c>
      <c r="E12462" s="215" t="n">
        <v>46066</v>
      </c>
      <c r="F12462" s="215" t="n">
        <v>46069</v>
      </c>
    </row>
    <row r="12463">
      <c r="A12463" s="215" t="n">
        <v>46073</v>
      </c>
      <c r="B12463" s="216" t="n">
        <v>36.4</v>
      </c>
      <c r="C12463" s="216" t="n">
        <v>89.48999999999999</v>
      </c>
      <c r="D12463" s="216" t="n">
        <v>1.131005048751831</v>
      </c>
      <c r="E12463" s="215" t="n">
        <v>46066</v>
      </c>
      <c r="F12463" s="215" t="n">
        <v>46073</v>
      </c>
    </row>
    <row r="12464">
      <c r="A12464" s="215" t="n">
        <v>46076</v>
      </c>
      <c r="B12464" s="216" t="n">
        <v>38.16</v>
      </c>
      <c r="C12464" s="216" t="n">
        <v>89.48999999999999</v>
      </c>
      <c r="D12464" s="216" t="n">
        <v>1.130877017974854</v>
      </c>
      <c r="E12464" s="215" t="n">
        <v>46066</v>
      </c>
      <c r="F12464" s="215" t="n">
        <v>46076</v>
      </c>
    </row>
    <row r="12465">
      <c r="A12465" s="215" t="n">
        <v>46077</v>
      </c>
      <c r="B12465" s="216" t="n">
        <v>35.7</v>
      </c>
      <c r="C12465" s="216" t="n">
        <v>86.17</v>
      </c>
      <c r="D12465" s="216" t="n">
        <v>1.131631016731262</v>
      </c>
      <c r="E12465" s="215" t="n">
        <v>46077</v>
      </c>
      <c r="F12465" s="215" t="n">
        <v>46077</v>
      </c>
    </row>
    <row r="12466">
      <c r="A12466" s="215" t="n">
        <v>46078</v>
      </c>
      <c r="B12466" s="216" t="n">
        <v>35.84</v>
      </c>
      <c r="C12466" s="216" t="n">
        <v>86.17</v>
      </c>
      <c r="D12466" s="216" t="n">
        <v>1.136234045028687</v>
      </c>
      <c r="E12466" s="215" t="n">
        <v>46078</v>
      </c>
      <c r="F12466" s="215" t="n">
        <v>46078</v>
      </c>
    </row>
    <row r="12467">
      <c r="A12467" s="215" t="n">
        <v>46079</v>
      </c>
      <c r="B12467" s="216" t="n">
        <v>32.5</v>
      </c>
      <c r="C12467" s="216" t="n">
        <v>84.48999999999999</v>
      </c>
      <c r="D12467" s="216" t="n">
        <v>1.138198971748352</v>
      </c>
      <c r="E12467" s="215" t="n">
        <v>46079</v>
      </c>
      <c r="F12467" s="215" t="n">
        <v>46079</v>
      </c>
    </row>
    <row r="12468">
      <c r="A12468" s="215" t="n">
        <v>46080</v>
      </c>
      <c r="B12468" s="216" t="n">
        <v>40.2</v>
      </c>
      <c r="C12468" s="216" t="n">
        <v>92.94</v>
      </c>
      <c r="D12468" s="216" t="n">
        <v>1.143396973609924</v>
      </c>
      <c r="E12468" s="215" t="n">
        <v>46080</v>
      </c>
      <c r="F12468" s="215" t="n">
        <v>46080</v>
      </c>
    </row>
    <row r="12469">
      <c r="A12469" s="215" t="n">
        <v>46083</v>
      </c>
      <c r="B12469" s="216" t="n">
        <v>38.9</v>
      </c>
      <c r="C12469" s="216" t="n">
        <v>90.3</v>
      </c>
      <c r="D12469" s="216" t="n">
        <v>1.140552043914795</v>
      </c>
      <c r="E12469" s="215" t="n">
        <v>46083</v>
      </c>
      <c r="F12469" s="215" t="n">
        <v>46083</v>
      </c>
    </row>
    <row r="12470">
      <c r="A12470" s="215" t="n">
        <v>46084</v>
      </c>
      <c r="B12470" s="216" t="n">
        <v>35.2</v>
      </c>
      <c r="C12470" s="216" t="n">
        <v>83.02</v>
      </c>
      <c r="D12470" s="216" t="n">
        <v>1.136399984359741</v>
      </c>
      <c r="E12470" s="215" t="n">
        <v>46084</v>
      </c>
      <c r="F12470" s="215" t="n">
        <v>46084</v>
      </c>
    </row>
    <row r="12471">
      <c r="A12471" s="215" t="n">
        <v>46085</v>
      </c>
      <c r="B12471" s="216" t="n">
        <v>35.22</v>
      </c>
      <c r="C12471" s="216" t="n">
        <v>83.58</v>
      </c>
      <c r="D12471" s="216" t="n">
        <v>1.130928993225098</v>
      </c>
      <c r="E12471" s="215" t="n">
        <v>46085</v>
      </c>
      <c r="F12471" s="215" t="n">
        <v>46085</v>
      </c>
    </row>
    <row r="12472">
      <c r="A12472" s="215" t="n">
        <v>46086</v>
      </c>
      <c r="B12472" s="216" t="n">
        <v>36.02</v>
      </c>
      <c r="C12472" s="216" t="n">
        <v>87.02</v>
      </c>
      <c r="D12472" s="216" t="n">
        <v>1.133169054985046</v>
      </c>
      <c r="E12472" s="215" t="n">
        <v>46086</v>
      </c>
      <c r="F12472" s="215" t="n">
        <v>46086</v>
      </c>
    </row>
    <row r="12473">
      <c r="A12473" s="215" t="n">
        <v>46087</v>
      </c>
      <c r="B12473" s="216" t="n">
        <v>38.52</v>
      </c>
      <c r="C12473" s="216" t="n">
        <v>92</v>
      </c>
      <c r="D12473" s="216" t="n">
        <v>1.133442044258118</v>
      </c>
      <c r="E12473" s="215" t="n">
        <v>46087</v>
      </c>
      <c r="F12473" s="215" t="n">
        <v>46087</v>
      </c>
    </row>
    <row r="12474">
      <c r="A12474" s="215" t="n">
        <v>46090</v>
      </c>
      <c r="B12474" s="216" t="n">
        <v>38.28</v>
      </c>
      <c r="C12474" s="216" t="n">
        <v>87.42</v>
      </c>
      <c r="D12474" s="216" t="n">
        <v>1.133231043815613</v>
      </c>
      <c r="E12474" s="215" t="n">
        <v>46090</v>
      </c>
      <c r="F12474" s="215" t="n">
        <v>46090</v>
      </c>
    </row>
    <row r="12475">
      <c r="A12475" s="215" t="n">
        <v>46091</v>
      </c>
      <c r="B12475" s="216" t="n">
        <v>39.56</v>
      </c>
      <c r="C12475" s="216" t="n">
        <v>91.02</v>
      </c>
      <c r="D12475" s="216" t="n">
        <v>1.131595015525818</v>
      </c>
      <c r="E12475" s="215" t="n">
        <v>46091</v>
      </c>
      <c r="F12475" s="215" t="n">
        <v>46091</v>
      </c>
    </row>
    <row r="12476">
      <c r="A12476" s="215" t="n">
        <v>46092</v>
      </c>
      <c r="B12476" s="216" t="n">
        <v>39.56</v>
      </c>
      <c r="C12476" s="216" t="n">
        <v>89.15000000000001</v>
      </c>
      <c r="D12476" s="216" t="n">
        <v>1.137585043907166</v>
      </c>
      <c r="E12476" s="215" t="n">
        <v>46092</v>
      </c>
      <c r="F12476" s="215" t="n">
        <v>46092</v>
      </c>
    </row>
    <row r="12477">
      <c r="A12477" s="215" t="n">
        <v>46093</v>
      </c>
      <c r="B12477" s="216" t="n">
        <v>37</v>
      </c>
      <c r="C12477" s="216" t="n">
        <v>84.88</v>
      </c>
      <c r="D12477" s="216" t="n">
        <v>1.139600038528442</v>
      </c>
      <c r="E12477" s="215" t="n">
        <v>46093</v>
      </c>
      <c r="F12477" s="215" t="n">
        <v>46093</v>
      </c>
    </row>
    <row r="12478">
      <c r="A12478" s="215" t="n">
        <v>46094</v>
      </c>
      <c r="B12478" s="216" t="n">
        <v>36</v>
      </c>
      <c r="C12478" s="216" t="n">
        <v>82.89</v>
      </c>
      <c r="D12478" s="216" t="n">
        <v>1.139310002326965</v>
      </c>
      <c r="E12478" s="215" t="n">
        <v>46094</v>
      </c>
      <c r="F12478" s="215" t="n">
        <v>46094</v>
      </c>
    </row>
    <row r="12479">
      <c r="A12479" s="215" t="n">
        <v>46097</v>
      </c>
      <c r="B12479" s="216" t="n">
        <v>35.14</v>
      </c>
      <c r="C12479" s="216" t="n">
        <v>81.2</v>
      </c>
      <c r="D12479" s="216" t="n">
        <v>1.134883999824524</v>
      </c>
      <c r="E12479" s="215" t="n">
        <v>46097</v>
      </c>
      <c r="F12479" s="215" t="n">
        <v>46097</v>
      </c>
    </row>
    <row r="12480">
      <c r="A12480" s="215" t="n">
        <v>46098</v>
      </c>
      <c r="B12480" s="216" t="n">
        <v>36.2</v>
      </c>
      <c r="C12480" s="216" t="n">
        <v>82.45</v>
      </c>
      <c r="D12480" s="216" t="n">
        <v>1.125375986099243</v>
      </c>
      <c r="E12480" s="215" t="n">
        <v>46098</v>
      </c>
      <c r="F12480" s="215" t="n">
        <v>46098</v>
      </c>
    </row>
    <row r="12481">
      <c r="A12481" s="215" t="n">
        <v>46099</v>
      </c>
      <c r="B12481" s="216" t="n">
        <v>37.18</v>
      </c>
      <c r="C12481" s="216" t="n">
        <v>85.65000000000001</v>
      </c>
      <c r="D12481" s="216" t="n">
        <v>1.137819051742554</v>
      </c>
      <c r="E12481" s="215" t="n">
        <v>46099</v>
      </c>
      <c r="F12481" s="215" t="n">
        <v>46099</v>
      </c>
    </row>
    <row r="12482">
      <c r="A12482" s="215" t="n">
        <v>46100</v>
      </c>
      <c r="B12482" s="216" t="n">
        <v>35.2</v>
      </c>
      <c r="C12482" s="216" t="n">
        <v>82.92</v>
      </c>
      <c r="D12482" s="216" t="n">
        <v>1.140079021453857</v>
      </c>
      <c r="E12482" s="215" t="n">
        <v>46100</v>
      </c>
      <c r="F12482" s="215" t="n">
        <v>46100</v>
      </c>
    </row>
    <row r="12483">
      <c r="A12483" s="215" t="n">
        <v>46101</v>
      </c>
      <c r="B12483" s="216" t="n">
        <v>35.64</v>
      </c>
      <c r="C12483" s="216" t="n">
        <v>84.77</v>
      </c>
      <c r="D12483" s="216" t="n">
        <v>1.13490903377533</v>
      </c>
      <c r="E12483" s="215" t="n">
        <v>46101</v>
      </c>
      <c r="F12483" s="215" t="n">
        <v>46101</v>
      </c>
    </row>
    <row r="12484">
      <c r="A12484" s="215" t="n">
        <v>46104</v>
      </c>
      <c r="B12484" s="216" t="n">
        <v>34.24</v>
      </c>
      <c r="C12484" s="216" t="n">
        <v>78.55</v>
      </c>
      <c r="D12484" s="216" t="n">
        <v>1.137529969215393</v>
      </c>
      <c r="E12484" s="215" t="n">
        <v>46104</v>
      </c>
      <c r="F12484" s="215" t="n">
        <v>46104</v>
      </c>
    </row>
    <row r="12485">
      <c r="A12485" s="215" t="n">
        <v>46105</v>
      </c>
      <c r="B12485" s="216" t="n">
        <v>33.58</v>
      </c>
      <c r="C12485" s="216" t="n">
        <v>76.51000000000001</v>
      </c>
      <c r="D12485" s="216" t="n">
        <v>1.138481974601746</v>
      </c>
      <c r="E12485" s="215" t="n">
        <v>46105</v>
      </c>
      <c r="F12485" s="215" t="n">
        <v>46105</v>
      </c>
    </row>
    <row r="12486">
      <c r="A12486" s="215" t="n">
        <v>46106</v>
      </c>
      <c r="B12486" s="216" t="n">
        <v>33.48</v>
      </c>
      <c r="C12486" s="216" t="n">
        <v>75.84</v>
      </c>
      <c r="D12486" s="216" t="n">
        <v>1.135548949241638</v>
      </c>
      <c r="E12486" s="215" t="n">
        <v>46106</v>
      </c>
      <c r="F12486" s="215" t="n">
        <v>46106</v>
      </c>
    </row>
    <row r="12487">
      <c r="A12487" s="215" t="n">
        <v>46107</v>
      </c>
      <c r="B12487" s="216" t="n">
        <v>31.52</v>
      </c>
      <c r="C12487" s="216" t="n">
        <v>73.31</v>
      </c>
      <c r="D12487" s="216" t="n">
        <v>1.132627010345459</v>
      </c>
      <c r="E12487" s="215" t="n">
        <v>46107</v>
      </c>
      <c r="F12487" s="215" t="n">
        <v>46107</v>
      </c>
    </row>
    <row r="12488">
      <c r="A12488" s="215" t="n">
        <v>46108</v>
      </c>
      <c r="B12488" s="216" t="n">
        <v>28.58</v>
      </c>
      <c r="C12488" s="216" t="n">
        <v>71.91</v>
      </c>
      <c r="D12488" s="216" t="n">
        <v>1.132115960121155</v>
      </c>
      <c r="E12488" s="215" t="n">
        <v>46108</v>
      </c>
      <c r="F12488" s="215" t="n">
        <v>46108</v>
      </c>
    </row>
    <row r="12489">
      <c r="A12489" s="215" t="n">
        <v>46111</v>
      </c>
      <c r="B12489" s="216" t="n">
        <v>27.58</v>
      </c>
      <c r="C12489" s="216" t="n">
        <v>72.61</v>
      </c>
      <c r="D12489" s="216" t="n">
        <v>1.13311505317688</v>
      </c>
      <c r="E12489" s="215" t="n">
        <v>46111</v>
      </c>
      <c r="F12489" s="215" t="n">
        <v>46111</v>
      </c>
    </row>
    <row r="12490">
      <c r="A12490" s="215" t="n">
        <v>46112</v>
      </c>
      <c r="B12490" s="216" t="n">
        <v>27.22</v>
      </c>
      <c r="C12490" s="216" t="n">
        <v>71.98</v>
      </c>
      <c r="D12490" s="216" t="n">
        <v>1.133540987968445</v>
      </c>
      <c r="E12490" s="215" t="n">
        <v>46112</v>
      </c>
      <c r="F12490" s="215" t="n">
        <v>46112</v>
      </c>
    </row>
    <row r="12491">
      <c r="A12491" s="215" t="n">
        <v>46113</v>
      </c>
      <c r="B12491" s="216" t="n">
        <v>28.4</v>
      </c>
      <c r="C12491" s="216" t="n">
        <v>73.18000000000001</v>
      </c>
      <c r="D12491" s="216" t="n">
        <v>1.136669993400574</v>
      </c>
      <c r="E12491" s="215" t="n">
        <v>46113</v>
      </c>
      <c r="F12491" s="215" t="n">
        <v>46113</v>
      </c>
    </row>
    <row r="12492">
      <c r="A12492" s="215" t="n">
        <v>46114</v>
      </c>
      <c r="B12492" s="216" t="n">
        <v>27.08</v>
      </c>
      <c r="C12492" s="216" t="n">
        <v>71.61</v>
      </c>
      <c r="D12492" s="216" t="n">
        <v>1.140197992324829</v>
      </c>
      <c r="E12492" s="215" t="n">
        <v>46114</v>
      </c>
      <c r="F12492" s="215" t="n">
        <v>46114</v>
      </c>
    </row>
    <row r="12493">
      <c r="A12493" s="215" t="n">
        <v>46120</v>
      </c>
      <c r="B12493" s="216" t="n">
        <v>28.46</v>
      </c>
      <c r="C12493" s="216" t="n">
        <v>72.92</v>
      </c>
      <c r="D12493" s="216" t="n">
        <v>1.1423499584198</v>
      </c>
      <c r="E12493" s="215" t="n">
        <v>46120</v>
      </c>
      <c r="F12493" s="215" t="n">
        <v>46120</v>
      </c>
    </row>
    <row r="12494">
      <c r="A12494" s="215" t="n">
        <v>46121</v>
      </c>
      <c r="B12494" s="216" t="n">
        <v>29.12</v>
      </c>
      <c r="C12494" s="216" t="n">
        <v>75.53</v>
      </c>
      <c r="D12494" s="216" t="n">
        <v>1.146731972694397</v>
      </c>
      <c r="E12494" s="215" t="n">
        <v>46121</v>
      </c>
      <c r="F12494" s="215" t="n">
        <v>46121</v>
      </c>
    </row>
    <row r="12495">
      <c r="A12495" s="215" t="n">
        <v>46122</v>
      </c>
      <c r="B12495" s="216" t="n">
        <v>29.4</v>
      </c>
      <c r="C12495" s="216" t="n">
        <v>74.09999999999999</v>
      </c>
      <c r="D12495" s="216" t="n">
        <v>1.146558046340942</v>
      </c>
      <c r="E12495" s="215" t="n">
        <v>46122</v>
      </c>
      <c r="F12495" s="215" t="n">
        <v>46122</v>
      </c>
    </row>
    <row r="12496">
      <c r="A12496" s="215" t="n">
        <v>46125</v>
      </c>
      <c r="B12496" s="216" t="n">
        <v>29.94</v>
      </c>
      <c r="C12496" s="216" t="n">
        <v>73.09</v>
      </c>
      <c r="D12496" s="216" t="n">
        <v>1.147117972373962</v>
      </c>
      <c r="E12496" s="215" t="n">
        <v>46125</v>
      </c>
      <c r="F12496" s="215" t="n">
        <v>46125</v>
      </c>
    </row>
    <row r="12497">
      <c r="A12497" s="215" t="n">
        <v>46126</v>
      </c>
      <c r="B12497" s="216" t="n">
        <v>30.8</v>
      </c>
      <c r="C12497" s="216" t="n">
        <v>71.14</v>
      </c>
      <c r="D12497" s="216" t="n">
        <v>1.146226048469543</v>
      </c>
      <c r="E12497" s="215" t="n">
        <v>46126</v>
      </c>
      <c r="F12497" s="215" t="n">
        <v>46126</v>
      </c>
    </row>
    <row r="12498">
      <c r="A12498" s="215" t="n">
        <v>46127</v>
      </c>
      <c r="B12498" s="216" t="n">
        <v>31.78</v>
      </c>
      <c r="C12498" s="216" t="n">
        <v>72.95999999999999</v>
      </c>
      <c r="D12498" s="216" t="n">
        <v>1.149266004562378</v>
      </c>
      <c r="E12498" s="215" t="n">
        <v>46127</v>
      </c>
      <c r="F12498" s="215" t="n">
        <v>46127</v>
      </c>
    </row>
    <row r="12499">
      <c r="A12499" s="215" t="n">
        <v>46128</v>
      </c>
      <c r="B12499" s="216" t="n">
        <v>33.14</v>
      </c>
      <c r="C12499" s="216" t="n">
        <v>75.11</v>
      </c>
      <c r="D12499" s="216" t="n">
        <v>1.148550033569336</v>
      </c>
      <c r="E12499" s="215" t="n">
        <v>46128</v>
      </c>
      <c r="F12499" s="215" t="n">
        <v>46128</v>
      </c>
    </row>
    <row r="12500">
      <c r="A12500" s="215" t="n">
        <v>46129</v>
      </c>
      <c r="B12500" s="216" t="n">
        <v>32.12</v>
      </c>
      <c r="C12500" s="216" t="n">
        <v>74.29000000000001</v>
      </c>
      <c r="D12500" s="216" t="n">
        <v>1.146605014801025</v>
      </c>
      <c r="E12500" s="215" t="n">
        <v>46129</v>
      </c>
      <c r="F12500" s="215" t="n">
        <v>46129</v>
      </c>
    </row>
    <row r="12501">
      <c r="A12501" s="215" t="n">
        <v>46132</v>
      </c>
      <c r="B12501" s="216" t="n">
        <v>33.36</v>
      </c>
      <c r="C12501" s="216" t="n">
        <v>78.2</v>
      </c>
      <c r="D12501" s="216" t="n">
        <v>1.148360967636108</v>
      </c>
      <c r="E12501" s="215" t="n">
        <v>46132</v>
      </c>
      <c r="F12501" s="215" t="n">
        <v>46132</v>
      </c>
    </row>
    <row r="12502">
      <c r="A12502" s="215" t="n">
        <v>46133</v>
      </c>
      <c r="B12502" s="216" t="n">
        <v>34.1</v>
      </c>
      <c r="C12502" s="216" t="n">
        <v>81.25</v>
      </c>
      <c r="D12502" s="216" t="n">
        <v>1.148368000984192</v>
      </c>
      <c r="E12502" s="215" t="n">
        <v>46133</v>
      </c>
      <c r="F12502" s="215" t="n">
        <v>46133</v>
      </c>
    </row>
    <row r="12503">
      <c r="A12503" s="215" t="n">
        <v>46134</v>
      </c>
      <c r="B12503" s="216" t="n">
        <v>32.36</v>
      </c>
      <c r="C12503" s="216" t="n">
        <v>79.09999999999999</v>
      </c>
      <c r="D12503" s="216" t="n">
        <v>1.147838950157166</v>
      </c>
      <c r="E12503" s="215" t="n">
        <v>46134</v>
      </c>
      <c r="F12503" s="215" t="n">
        <v>46134</v>
      </c>
    </row>
    <row r="12504">
      <c r="A12504" s="215" t="n">
        <v>46135</v>
      </c>
      <c r="B12504" s="216" t="n">
        <v>30.8</v>
      </c>
      <c r="C12504" s="216" t="n">
        <v>76.38</v>
      </c>
      <c r="D12504" s="216" t="n">
        <v>1.147513031959534</v>
      </c>
      <c r="E12504" s="215" t="n">
        <v>46135</v>
      </c>
      <c r="F12504" s="215" t="n">
        <v>46135</v>
      </c>
    </row>
    <row r="12505">
      <c r="A12505" s="215" t="n">
        <v>46136</v>
      </c>
      <c r="B12505" s="216" t="n">
        <v>30.46</v>
      </c>
      <c r="C12505" s="216" t="n">
        <v>74.87</v>
      </c>
      <c r="D12505" s="216" t="n">
        <v>1.147369027137756</v>
      </c>
      <c r="E12505" s="215" t="n">
        <v>46136</v>
      </c>
      <c r="F12505" s="215" t="n">
        <v>46136</v>
      </c>
    </row>
    <row r="12506">
      <c r="A12506" s="215" t="n">
        <v>46139</v>
      </c>
      <c r="B12506" s="216" t="n">
        <v>31.42</v>
      </c>
      <c r="C12506" s="216" t="n">
        <v>74.7</v>
      </c>
      <c r="D12506" s="216" t="n">
        <v>1.146002054214478</v>
      </c>
      <c r="E12506" s="215" t="n">
        <v>46139</v>
      </c>
      <c r="F12506" s="215" t="n">
        <v>46139</v>
      </c>
    </row>
    <row r="12507">
      <c r="A12507" s="215" t="n">
        <v>46140</v>
      </c>
      <c r="B12507" s="216" t="n">
        <v>31.1</v>
      </c>
      <c r="C12507" s="216" t="n">
        <v>72.87</v>
      </c>
      <c r="D12507" s="216" t="n">
        <v>1.148522019386292</v>
      </c>
      <c r="E12507" s="215" t="n">
        <v>46140</v>
      </c>
      <c r="F12507" s="215" t="n">
        <v>46140</v>
      </c>
    </row>
    <row r="12508">
      <c r="A12508" s="215" t="n">
        <v>46141</v>
      </c>
      <c r="B12508" s="216" t="n">
        <v>33.1</v>
      </c>
      <c r="C12508" s="216" t="n">
        <v>76.86</v>
      </c>
      <c r="D12508" s="216" t="n">
        <v>1.145936012268066</v>
      </c>
      <c r="E12508" s="215" t="n">
        <v>46141</v>
      </c>
      <c r="F12508" s="215" t="n">
        <v>46141</v>
      </c>
    </row>
    <row r="12509">
      <c r="A12509" s="215" t="n">
        <v>46142</v>
      </c>
      <c r="B12509" s="216" t="n">
        <v>33.74</v>
      </c>
      <c r="C12509" s="216" t="n">
        <v>80.65000000000001</v>
      </c>
      <c r="D12509" s="216" t="n">
        <v>1.145792007446289</v>
      </c>
      <c r="E12509" s="215" t="n">
        <v>46142</v>
      </c>
      <c r="F12509" s="215" t="n">
        <v>46142</v>
      </c>
    </row>
    <row r="12510">
      <c r="A12510" s="215" t="n">
        <v>46146</v>
      </c>
      <c r="B12510" s="216" t="n">
        <v>35.2</v>
      </c>
      <c r="C12510" s="216" t="n">
        <v>80.65000000000001</v>
      </c>
      <c r="D12510" s="216" t="n">
        <v>1.147340059280396</v>
      </c>
      <c r="E12510" s="215" t="n">
        <v>46142</v>
      </c>
      <c r="F12510" s="215" t="n">
        <v>46146</v>
      </c>
    </row>
    <row r="12511">
      <c r="A12511" s="215" t="n">
        <v>46147</v>
      </c>
      <c r="B12511" s="216" t="n">
        <v>34.16</v>
      </c>
      <c r="C12511" s="216" t="n">
        <v>80.65000000000001</v>
      </c>
      <c r="D12511" s="216" t="n">
        <v>1.146813988685608</v>
      </c>
      <c r="E12511" s="215" t="n">
        <v>46142</v>
      </c>
      <c r="F12511" s="215" t="n">
        <v>46147</v>
      </c>
    </row>
    <row r="12512">
      <c r="A12512" s="215" t="n">
        <v>46148</v>
      </c>
      <c r="B12512" s="216" t="n">
        <v>35.1</v>
      </c>
      <c r="C12512" s="216" t="n">
        <v>81.87</v>
      </c>
      <c r="D12512" s="216" t="n">
        <v>1.14708399772644</v>
      </c>
      <c r="E12512" s="215" t="n">
        <v>46148</v>
      </c>
      <c r="F12512" s="215" t="n">
        <v>46148</v>
      </c>
    </row>
    <row r="12513">
      <c r="A12513" s="215" t="n">
        <v>46149</v>
      </c>
      <c r="B12513" s="216" t="n">
        <v>38.12</v>
      </c>
      <c r="C12513" s="216" t="n">
        <v>87.75</v>
      </c>
      <c r="D12513" s="216" t="n">
        <v>1.150125026702881</v>
      </c>
      <c r="E12513" s="215" t="n">
        <v>46149</v>
      </c>
      <c r="F12513" s="215" t="n">
        <v>46149</v>
      </c>
    </row>
    <row r="12514">
      <c r="A12514" s="215" t="n">
        <v>46150</v>
      </c>
      <c r="B12514" s="216" t="n">
        <v>44.22</v>
      </c>
      <c r="C12514" s="216" t="n">
        <v>96.53</v>
      </c>
      <c r="D12514" s="216" t="n">
        <v>1.15172004699707</v>
      </c>
      <c r="E12514" s="215" t="n">
        <v>46150</v>
      </c>
      <c r="F12514" s="215" t="n">
        <v>46150</v>
      </c>
    </row>
    <row r="12515">
      <c r="A12515" s="215" t="n">
        <v>46153</v>
      </c>
      <c r="B12515" s="216" t="n">
        <v>44.64</v>
      </c>
      <c r="C12515" s="216" t="n">
        <v>106.18</v>
      </c>
      <c r="D12515" s="216" t="n">
        <v>1.151090025901794</v>
      </c>
      <c r="E12515" s="215" t="n">
        <v>46153</v>
      </c>
      <c r="F12515" s="215" t="n">
        <v>46153</v>
      </c>
    </row>
    <row r="12516">
      <c r="A12516" s="215" t="n">
        <v>46154</v>
      </c>
      <c r="B12516" s="216" t="n">
        <v>43.42</v>
      </c>
      <c r="C12516" s="216" t="n">
        <v>103.92</v>
      </c>
      <c r="D12516" s="216" t="n">
        <v>1.152078986167908</v>
      </c>
      <c r="E12516" s="215" t="n">
        <v>46154</v>
      </c>
      <c r="F12516" s="215" t="n">
        <v>46154</v>
      </c>
    </row>
    <row r="12517">
      <c r="A12517" s="215" t="n">
        <v>46155</v>
      </c>
      <c r="B12517" s="216" t="n">
        <v>43.46</v>
      </c>
      <c r="C12517" s="216" t="n">
        <v>101.5</v>
      </c>
      <c r="D12517" s="216" t="n">
        <v>1.152537941932678</v>
      </c>
      <c r="E12517" s="215" t="n">
        <v>46155</v>
      </c>
      <c r="F12517" s="215" t="n">
        <v>46155</v>
      </c>
    </row>
    <row r="12518">
      <c r="A12518" s="215" t="n">
        <v>46156</v>
      </c>
      <c r="B12518" s="216" t="n">
        <v>42.26</v>
      </c>
      <c r="C12518" s="216" t="n">
        <v>100.28</v>
      </c>
      <c r="D12518" s="216" t="n">
        <v>1.152662992477417</v>
      </c>
      <c r="E12518" s="215" t="n">
        <v>46156</v>
      </c>
      <c r="F12518" s="215" t="n">
        <v>46156</v>
      </c>
    </row>
    <row r="12519">
      <c r="A12519" s="215" t="n">
        <v>46157</v>
      </c>
      <c r="B12519" s="216" t="n">
        <v>42.6</v>
      </c>
      <c r="C12519" s="216" t="n">
        <v>97.20999999999999</v>
      </c>
      <c r="D12519" s="216" t="n">
        <v>1.154320001602173</v>
      </c>
      <c r="E12519" s="215" t="n">
        <v>46157</v>
      </c>
      <c r="F12519" s="215" t="n">
        <v>46157</v>
      </c>
    </row>
    <row r="12520">
      <c r="A12520" s="215" t="n">
        <v>46160</v>
      </c>
      <c r="B12520" s="216" t="n">
        <v>41.76</v>
      </c>
      <c r="C12520" s="216" t="n">
        <v>99.5</v>
      </c>
      <c r="D12520" s="216" t="n">
        <v>1.149821996688843</v>
      </c>
      <c r="E12520" s="215" t="n">
        <v>46160</v>
      </c>
      <c r="F12520" s="215" t="n">
        <v>46160</v>
      </c>
    </row>
    <row r="12521">
      <c r="A12521" s="215" t="n">
        <v>46161</v>
      </c>
      <c r="B12521" s="216" t="n">
        <v>40</v>
      </c>
      <c r="C12521" s="216" t="n">
        <v>95.12</v>
      </c>
      <c r="D12521" s="216" t="n">
        <v>1.151532053947449</v>
      </c>
      <c r="E12521" s="215" t="n">
        <v>46161</v>
      </c>
      <c r="F12521" s="215" t="n">
        <v>46161</v>
      </c>
    </row>
    <row r="12522">
      <c r="A12522" s="215" t="n">
        <v>46162</v>
      </c>
      <c r="B12522" s="216" t="n">
        <v>39.76</v>
      </c>
      <c r="C12522" s="216" t="n">
        <v>98.86</v>
      </c>
      <c r="D12522" s="216" t="n">
        <v>1.149292945861816</v>
      </c>
      <c r="E12522" s="215" t="n">
        <v>46162</v>
      </c>
      <c r="F12522" s="215" t="n">
        <v>46162</v>
      </c>
    </row>
    <row r="12523">
      <c r="A12523" s="215" t="n">
        <v>46163</v>
      </c>
      <c r="B12523" s="216" t="n">
        <v>38.52</v>
      </c>
      <c r="C12523" s="216" t="n">
        <v>97.66</v>
      </c>
      <c r="D12523" s="216" t="n">
        <v>1.151231050491333</v>
      </c>
      <c r="E12523" s="215" t="n">
        <v>46163</v>
      </c>
      <c r="F12523" s="215" t="n">
        <v>46163</v>
      </c>
    </row>
    <row r="12524">
      <c r="A12524" s="215" t="n">
        <v>46164</v>
      </c>
      <c r="B12524" s="216" t="n">
        <v>39.9</v>
      </c>
      <c r="C12524" s="216" t="n">
        <v>99.39</v>
      </c>
      <c r="D12524" s="216" t="n">
        <v>1.151487946510315</v>
      </c>
      <c r="E12524" s="215" t="n">
        <v>46164</v>
      </c>
      <c r="F12524" s="215" t="n">
        <v>46164</v>
      </c>
    </row>
    <row r="12525">
      <c r="A12525" s="215" t="n">
        <v>46168</v>
      </c>
      <c r="B12525" s="216" t="n">
        <v>36.2</v>
      </c>
      <c r="C12525" s="216" t="n">
        <v>88</v>
      </c>
      <c r="D12525" s="216" t="n">
        <v>1.152968049049377</v>
      </c>
      <c r="E12525" s="215" t="n">
        <v>46168</v>
      </c>
      <c r="F12525" s="215" t="n">
        <v>46168</v>
      </c>
    </row>
    <row r="12526">
      <c r="A12526" s="215" t="n">
        <v>46169</v>
      </c>
      <c r="B12526" s="216" t="n">
        <v>34.74</v>
      </c>
      <c r="C12526" s="216" t="n">
        <v>85.65000000000001</v>
      </c>
      <c r="D12526" s="216" t="n">
        <v>1.154562950134277</v>
      </c>
      <c r="E12526" s="215" t="n">
        <v>46169</v>
      </c>
      <c r="F12526" s="215" t="n">
        <v>46169</v>
      </c>
    </row>
    <row r="12527">
      <c r="A12527" s="215" t="n">
        <v>46170</v>
      </c>
      <c r="B12527" s="216" t="n">
        <v>33.6</v>
      </c>
      <c r="C12527" s="216" t="n">
        <v>84.09</v>
      </c>
      <c r="D12527" s="216" t="n">
        <v>1.155385971069336</v>
      </c>
      <c r="E12527" s="215" t="n">
        <v>46170</v>
      </c>
      <c r="F12527" s="215" t="n">
        <v>46170</v>
      </c>
    </row>
    <row r="12528">
      <c r="A12528" s="215" t="n">
        <v>46171</v>
      </c>
      <c r="B12528" s="216" t="n">
        <v>31.28</v>
      </c>
      <c r="C12528" s="216" t="n">
        <v>77.05</v>
      </c>
      <c r="D12528" s="216" t="n">
        <v>1.155282974243164</v>
      </c>
      <c r="E12528" s="215" t="n">
        <v>46171</v>
      </c>
      <c r="F12528" s="215" t="n">
        <v>46171</v>
      </c>
    </row>
    <row r="12529">
      <c r="A12529" s="215" t="n">
        <v>46174</v>
      </c>
      <c r="B12529" s="216" t="n">
        <v>30.54</v>
      </c>
      <c r="C12529" s="216" t="n">
        <v>75.06999999999999</v>
      </c>
      <c r="D12529" s="216" t="n">
        <v>1.158049941062927</v>
      </c>
      <c r="E12529" s="215" t="n">
        <v>46174</v>
      </c>
      <c r="F12529" s="215" t="n">
        <v>46174</v>
      </c>
    </row>
    <row r="12530">
      <c r="A12530" s="215" t="n">
        <v>46175</v>
      </c>
      <c r="B12530" s="216" t="n">
        <v>31.7</v>
      </c>
      <c r="C12530" s="216" t="n">
        <v>72.52</v>
      </c>
      <c r="D12530" s="216" t="n">
        <v>1.158406972885132</v>
      </c>
      <c r="E12530" s="215" t="n">
        <v>46175</v>
      </c>
      <c r="F12530" s="215" t="n">
        <v>46175</v>
      </c>
    </row>
    <row r="12531">
      <c r="A12531" s="215" t="n">
        <v>46176</v>
      </c>
      <c r="B12531" s="216" t="n">
        <v>32.34</v>
      </c>
      <c r="C12531" s="216" t="n">
        <v>74.06999999999999</v>
      </c>
      <c r="D12531" s="216" t="n">
        <v>1.15879499912262</v>
      </c>
      <c r="E12531" s="215" t="n">
        <v>46176</v>
      </c>
      <c r="F12531" s="215" t="n">
        <v>46176</v>
      </c>
    </row>
    <row r="12532">
      <c r="A12532" s="215" t="n">
        <v>46177</v>
      </c>
      <c r="B12532" s="216" t="n">
        <v>31.02</v>
      </c>
      <c r="C12532" s="216" t="n">
        <v>73.47</v>
      </c>
      <c r="D12532" s="216" t="n">
        <v>1.157420039176941</v>
      </c>
      <c r="E12532" s="215" t="n">
        <v>46177</v>
      </c>
      <c r="F12532" s="215" t="n">
        <v>46177</v>
      </c>
    </row>
    <row r="12533">
      <c r="A12533" s="215" t="n">
        <v>46178</v>
      </c>
      <c r="B12533" s="216" t="n">
        <v>30.44</v>
      </c>
      <c r="C12533" s="216" t="n">
        <v>72.86</v>
      </c>
      <c r="D12533" s="216" t="n">
        <v>1.156491994857788</v>
      </c>
      <c r="E12533" s="215" t="n">
        <v>46178</v>
      </c>
      <c r="F12533" s="215" t="n">
        <v>46178</v>
      </c>
    </row>
    <row r="12534">
      <c r="A12534" s="215" t="n">
        <v>46181</v>
      </c>
      <c r="B12534" s="216" t="n">
        <v>27.84</v>
      </c>
      <c r="C12534" s="216" t="n">
        <v>67.08</v>
      </c>
      <c r="D12534" s="216" t="n">
        <v>1.157665967941284</v>
      </c>
      <c r="E12534" s="215" t="n">
        <v>46181</v>
      </c>
      <c r="F12534" s="215" t="n">
        <v>46181</v>
      </c>
    </row>
    <row r="12535">
      <c r="A12535" s="215" t="n">
        <v>46182</v>
      </c>
      <c r="B12535" s="216" t="n">
        <v>27.58</v>
      </c>
      <c r="C12535" s="216" t="n">
        <v>68.86</v>
      </c>
      <c r="D12535" s="216" t="n">
        <v>1.158027052879333</v>
      </c>
      <c r="E12535" s="215" t="n">
        <v>46182</v>
      </c>
      <c r="F12535" s="215" t="n">
        <v>46182</v>
      </c>
    </row>
    <row r="12536">
      <c r="A12536" s="215" t="n">
        <v>46183</v>
      </c>
      <c r="B12536" s="216" t="n">
        <v>26.22</v>
      </c>
      <c r="C12536" s="216" t="n">
        <v>64.79000000000001</v>
      </c>
      <c r="D12536" s="216" t="n">
        <v>1.157112002372742</v>
      </c>
      <c r="E12536" s="215" t="n">
        <v>46183</v>
      </c>
      <c r="F12536" s="215" t="n">
        <v>46183</v>
      </c>
    </row>
    <row r="12537">
      <c r="A12537" s="215" t="n">
        <v>46184</v>
      </c>
      <c r="B12537" s="216" t="n">
        <v>26.74</v>
      </c>
      <c r="C12537" s="216" t="n">
        <v>63.88</v>
      </c>
      <c r="D12537" s="216" t="n">
        <v>1.156929016113281</v>
      </c>
      <c r="E12537" s="215" t="n">
        <v>46184</v>
      </c>
      <c r="F12537" s="215" t="n">
        <v>46184</v>
      </c>
    </row>
    <row r="12538">
      <c r="A12538" s="215" t="n">
        <v>46185</v>
      </c>
      <c r="B12538" s="216" t="n">
        <v>26.84</v>
      </c>
      <c r="C12538" s="216" t="n">
        <v>64.22</v>
      </c>
      <c r="D12538" s="216" t="n">
        <v>1.156345963478088</v>
      </c>
      <c r="E12538" s="215" t="n">
        <v>46185</v>
      </c>
      <c r="F12538" s="215" t="n">
        <v>46185</v>
      </c>
    </row>
    <row r="12539">
      <c r="A12539" s="215" t="n">
        <v>46188</v>
      </c>
      <c r="B12539" s="216" t="n">
        <v>27.44</v>
      </c>
      <c r="C12539" s="216" t="n">
        <v>65.17</v>
      </c>
      <c r="D12539" s="216" t="n">
        <v>1.156880021095276</v>
      </c>
      <c r="E12539" s="215" t="n">
        <v>46188</v>
      </c>
      <c r="F12539" s="215" t="n">
        <v>46188</v>
      </c>
    </row>
    <row r="12540">
      <c r="A12540" s="215" t="n">
        <v>46189</v>
      </c>
      <c r="B12540" s="216" t="n">
        <v>29.56</v>
      </c>
      <c r="C12540" s="216" t="n">
        <v>67.70999999999999</v>
      </c>
      <c r="D12540" s="216" t="n">
        <v>1.158604025840759</v>
      </c>
      <c r="E12540" s="215" t="n">
        <v>46189</v>
      </c>
      <c r="F12540" s="215" t="n">
        <v>46189</v>
      </c>
    </row>
    <row r="12541">
      <c r="A12541" s="215" t="n">
        <v>46190</v>
      </c>
      <c r="B12541" s="216" t="n">
        <v>27.64</v>
      </c>
      <c r="C12541" s="216" t="n">
        <v>66.83</v>
      </c>
      <c r="D12541" s="216" t="n">
        <v>1.158974051475525</v>
      </c>
      <c r="E12541" s="215" t="n">
        <v>46190</v>
      </c>
      <c r="F12541" s="215" t="n">
        <v>46190</v>
      </c>
    </row>
    <row r="12542">
      <c r="A12542" s="215" t="n">
        <v>46191</v>
      </c>
      <c r="B12542" s="216" t="n">
        <v>25.16</v>
      </c>
      <c r="C12542" s="216" t="n">
        <v>63.88</v>
      </c>
      <c r="D12542" s="216" t="n">
        <v>1.159355998039246</v>
      </c>
      <c r="E12542" s="215" t="n">
        <v>46191</v>
      </c>
      <c r="F12542" s="215" t="n">
        <v>46191</v>
      </c>
    </row>
    <row r="12543">
      <c r="A12543" s="215" t="n">
        <v>46195</v>
      </c>
      <c r="B12543" s="216" t="n">
        <v>23.6</v>
      </c>
      <c r="C12543" s="216" t="n">
        <v>63.06</v>
      </c>
      <c r="D12543" s="216" t="n">
        <v>1.157493948936462</v>
      </c>
      <c r="E12543" s="215" t="n">
        <v>46195</v>
      </c>
      <c r="F12543" s="215" t="n">
        <v>46195</v>
      </c>
    </row>
    <row r="12544">
      <c r="A12544" s="215" t="n">
        <v>46196</v>
      </c>
      <c r="B12544" s="216" t="n">
        <v>21.9</v>
      </c>
      <c r="C12544" s="216" t="n">
        <v>59.35</v>
      </c>
      <c r="D12544" s="216" t="n">
        <v>1.156896948814392</v>
      </c>
      <c r="E12544" s="215" t="n">
        <v>46196</v>
      </c>
      <c r="F12544" s="215" t="n">
        <v>46196</v>
      </c>
    </row>
    <row r="12545">
      <c r="A12545" s="215" t="n">
        <v>46197</v>
      </c>
      <c r="B12545" s="216" t="n">
        <v>22.26</v>
      </c>
      <c r="C12545" s="216" t="n">
        <v>60.05</v>
      </c>
      <c r="D12545" s="216" t="n">
        <v>1.154508948326111</v>
      </c>
      <c r="E12545" s="215" t="n">
        <v>46197</v>
      </c>
      <c r="F12545" s="215" t="n">
        <v>46197</v>
      </c>
    </row>
    <row r="12546">
      <c r="A12546" s="215" t="n">
        <v>46198</v>
      </c>
      <c r="B12546" s="216" t="n">
        <v>21.3</v>
      </c>
      <c r="C12546" s="216" t="n">
        <v>58.1</v>
      </c>
      <c r="D12546" s="216" t="n">
        <v>1.154152035713196</v>
      </c>
      <c r="E12546" s="215" t="n">
        <v>46198</v>
      </c>
      <c r="F12546" s="215" t="n">
        <v>46198</v>
      </c>
    </row>
    <row r="12547">
      <c r="A12547" s="215" t="n">
        <v>46199</v>
      </c>
      <c r="B12547" s="216" t="n">
        <v>20.46</v>
      </c>
      <c r="C12547" s="216" t="n">
        <v>57.13</v>
      </c>
      <c r="D12547" s="216" t="n">
        <v>1.154500961303711</v>
      </c>
      <c r="E12547" s="215" t="n">
        <v>46199</v>
      </c>
      <c r="F12547" s="215" t="n">
        <v>46199</v>
      </c>
    </row>
    <row r="12548">
      <c r="A12548" s="215" t="n">
        <v>46202</v>
      </c>
      <c r="B12548" s="216" t="n">
        <v>20.56</v>
      </c>
      <c r="C12548" s="216" t="n">
        <v>56.55</v>
      </c>
      <c r="D12548" s="216" t="n">
        <v>1.153512001037598</v>
      </c>
      <c r="E12548" s="215" t="n">
        <v>46202</v>
      </c>
      <c r="F12548" s="215" t="n">
        <v>46202</v>
      </c>
    </row>
    <row r="12549">
      <c r="A12549" s="215" t="n">
        <v>46203</v>
      </c>
      <c r="B12549" s="216" t="n">
        <v>21.42</v>
      </c>
      <c r="C12549" s="216" t="n">
        <v>59.68</v>
      </c>
      <c r="D12549" s="216" t="n">
        <v>1.153959035873413</v>
      </c>
      <c r="E12549" s="215" t="n">
        <v>46203</v>
      </c>
      <c r="F12549" s="215" t="n">
        <v>46203</v>
      </c>
    </row>
    <row r="12550">
      <c r="A12550" s="215" t="n">
        <v>46205</v>
      </c>
      <c r="B12550" s="216" t="n">
        <v>20.14</v>
      </c>
      <c r="C12550" s="216" t="n">
        <v>57.94</v>
      </c>
      <c r="D12550" s="216" t="n">
        <v>1.154355049133301</v>
      </c>
      <c r="E12550" s="215" t="n">
        <v>46205</v>
      </c>
      <c r="F12550" s="215" t="n">
        <v>46205</v>
      </c>
    </row>
    <row r="12551">
      <c r="A12551" s="215" t="n">
        <v>46206</v>
      </c>
      <c r="B12551" s="216" t="n">
        <v>21.36</v>
      </c>
      <c r="C12551" s="216" t="n">
        <v>58.99</v>
      </c>
      <c r="D12551" s="216" t="n">
        <v>1.155220985412598</v>
      </c>
      <c r="E12551" s="215" t="n">
        <v>46206</v>
      </c>
      <c r="F12551" s="215" t="n">
        <v>46206</v>
      </c>
    </row>
    <row r="12552">
      <c r="A12552" s="215" t="n">
        <v>46209</v>
      </c>
      <c r="B12552" s="216" t="n">
        <v>19.96</v>
      </c>
      <c r="C12552" s="216" t="n">
        <v>54.88</v>
      </c>
      <c r="D12552" s="216" t="n">
        <v>1.155068039894104</v>
      </c>
      <c r="E12552" s="215" t="n">
        <v>46209</v>
      </c>
      <c r="F12552" s="215" t="n">
        <v>46209</v>
      </c>
    </row>
    <row r="12553">
      <c r="A12553" s="215" t="n">
        <v>46210</v>
      </c>
      <c r="B12553" s="216" t="n">
        <v>19.24</v>
      </c>
      <c r="C12553" s="216" t="n">
        <v>53.33</v>
      </c>
      <c r="D12553" s="216" t="n">
        <v>1.153807997703552</v>
      </c>
      <c r="E12553" s="215" t="n">
        <v>46210</v>
      </c>
      <c r="F12553" s="215" t="n">
        <v>46210</v>
      </c>
    </row>
    <row r="12554">
      <c r="A12554" s="215" t="n">
        <v>46211</v>
      </c>
      <c r="B12554" s="216" t="n">
        <v>18.77</v>
      </c>
      <c r="C12554" s="216" t="n">
        <v>50.4</v>
      </c>
      <c r="D12554" s="216" t="n">
        <v>1.154153943061829</v>
      </c>
      <c r="E12554" s="215" t="n">
        <v>46211</v>
      </c>
      <c r="F12554" s="215" t="n">
        <v>46211</v>
      </c>
    </row>
    <row r="12555">
      <c r="A12555" s="215" t="n">
        <v>46212</v>
      </c>
      <c r="B12555" s="216" t="n">
        <v>18.68</v>
      </c>
      <c r="C12555" s="216" t="n">
        <v>50.85</v>
      </c>
      <c r="D12555" s="216" t="n">
        <v>1.152119994163513</v>
      </c>
      <c r="E12555" s="215" t="n">
        <v>46212</v>
      </c>
      <c r="F12555" s="215" t="n">
        <v>46212</v>
      </c>
    </row>
    <row r="12556">
      <c r="A12556" s="215" t="n">
        <v>46213</v>
      </c>
      <c r="B12556" s="216" t="n">
        <v>23.2</v>
      </c>
      <c r="C12556" s="216" t="n">
        <v>55.94</v>
      </c>
      <c r="D12556" s="216" t="n">
        <v>1.153550028800964</v>
      </c>
      <c r="E12556" s="215" t="n">
        <v>46213</v>
      </c>
      <c r="F12556" s="215" t="n">
        <v>46213</v>
      </c>
    </row>
    <row r="12557">
      <c r="A12557" s="215" t="n">
        <v>46216</v>
      </c>
      <c r="B12557" s="216" t="n">
        <v>18.9</v>
      </c>
      <c r="C12557" s="216" t="n">
        <v>50.35</v>
      </c>
      <c r="D12557" s="216" t="n">
        <v>1.156761050224304</v>
      </c>
      <c r="E12557" s="215" t="n">
        <v>46216</v>
      </c>
      <c r="F12557" s="215" t="n">
        <v>46216</v>
      </c>
    </row>
    <row r="12558">
      <c r="A12558" s="215" t="n">
        <v>46217</v>
      </c>
      <c r="B12558" s="216" t="n">
        <v>17.85</v>
      </c>
      <c r="C12558" s="216" t="n">
        <v>47.66</v>
      </c>
      <c r="D12558" s="216" t="n">
        <v>1.155825972557068</v>
      </c>
      <c r="E12558" s="215" t="n">
        <v>46217</v>
      </c>
      <c r="F12558" s="215" t="n">
        <v>46217</v>
      </c>
    </row>
    <row r="12559">
      <c r="A12559" s="215" t="n">
        <v>46218</v>
      </c>
      <c r="B12559" s="216" t="n">
        <v>17.02</v>
      </c>
      <c r="C12559" s="216" t="n">
        <v>46.27</v>
      </c>
      <c r="D12559" s="216" t="n">
        <v>1.157556056976318</v>
      </c>
      <c r="E12559" s="215" t="n">
        <v>46218</v>
      </c>
      <c r="F12559" s="215" t="n">
        <v>46218</v>
      </c>
    </row>
    <row r="12560">
      <c r="A12560" s="215" t="n">
        <v>46219</v>
      </c>
      <c r="B12560" s="216" t="n">
        <v>16.76</v>
      </c>
      <c r="C12560" s="216" t="n">
        <v>44.88</v>
      </c>
      <c r="D12560" s="216" t="n">
        <v>1.157912969589233</v>
      </c>
      <c r="E12560" s="215" t="n">
        <v>46219</v>
      </c>
      <c r="F12560" s="215" t="n">
        <v>46219</v>
      </c>
    </row>
    <row r="12561">
      <c r="A12561" s="215" t="n">
        <v>46220</v>
      </c>
      <c r="B12561" s="216" t="n">
        <v>15.12</v>
      </c>
      <c r="C12561" s="216" t="n">
        <v>41.52</v>
      </c>
      <c r="D12561" s="216" t="n">
        <v>1.157472014427185</v>
      </c>
      <c r="E12561" s="215" t="n">
        <v>46220</v>
      </c>
      <c r="F12561" s="215" t="n">
        <v>46220</v>
      </c>
    </row>
    <row r="12562">
      <c r="A12562" s="215" t="n">
        <v>46223</v>
      </c>
      <c r="B12562" s="216" t="n">
        <v>15.65</v>
      </c>
      <c r="C12562" s="216" t="n">
        <v>40.62</v>
      </c>
      <c r="D12562" s="216" t="n">
        <v>1.157451033592224</v>
      </c>
      <c r="E12562" s="215" t="n">
        <v>46223</v>
      </c>
      <c r="F12562" s="215" t="n">
        <v>46223</v>
      </c>
    </row>
    <row r="12563">
      <c r="A12563" s="215" t="n">
        <v>46224</v>
      </c>
      <c r="B12563" s="216" t="n">
        <v>16.28</v>
      </c>
      <c r="C12563" s="216" t="n">
        <v>41.36</v>
      </c>
      <c r="D12563" s="216" t="n">
        <v>1.157506942749023</v>
      </c>
      <c r="E12563" s="215" t="n">
        <v>46224</v>
      </c>
      <c r="F12563" s="215" t="n">
        <v>46224</v>
      </c>
    </row>
    <row r="12564">
      <c r="A12564" s="215" t="n">
        <v>46225</v>
      </c>
      <c r="B12564" s="216" t="n">
        <v>16.78</v>
      </c>
      <c r="C12564" s="216" t="n">
        <v>41.63</v>
      </c>
      <c r="D12564" s="216" t="n">
        <v>1.158938050270081</v>
      </c>
      <c r="E12564" s="215" t="n">
        <v>46225</v>
      </c>
      <c r="F12564" s="215" t="n">
        <v>46225</v>
      </c>
    </row>
    <row r="12565">
      <c r="A12565" s="215" t="n">
        <v>46226</v>
      </c>
      <c r="B12565" s="216" t="n">
        <v>17</v>
      </c>
      <c r="C12565" s="216" t="n">
        <v>43.25</v>
      </c>
      <c r="D12565" s="216" t="n">
        <v>1.157410979270935</v>
      </c>
      <c r="E12565" s="215" t="n">
        <v>46226</v>
      </c>
      <c r="F12565" s="215" t="n">
        <v>46226</v>
      </c>
    </row>
    <row r="12566">
      <c r="A12566" s="215" t="n">
        <v>46227</v>
      </c>
      <c r="B12566" s="216" t="n">
        <v>16.09</v>
      </c>
      <c r="C12566" s="216" t="n">
        <v>41.34</v>
      </c>
      <c r="D12566" s="216" t="n">
        <v>1.15762197971344</v>
      </c>
      <c r="E12566" s="215" t="n">
        <v>46227</v>
      </c>
      <c r="F12566" s="215" t="n">
        <v>46227</v>
      </c>
    </row>
    <row r="12567">
      <c r="A12567" s="215" t="n">
        <v>46230</v>
      </c>
      <c r="B12567" s="216" t="n">
        <v>16.49</v>
      </c>
      <c r="C12567" s="216" t="n">
        <v>42.7</v>
      </c>
      <c r="D12567" s="216" t="n">
        <v>1.15789794921875</v>
      </c>
      <c r="E12567" s="215" t="n">
        <v>46230</v>
      </c>
      <c r="F12567" s="215" t="n">
        <v>46230</v>
      </c>
    </row>
    <row r="12568">
      <c r="A12568" s="215" t="n">
        <v>46231</v>
      </c>
      <c r="B12568" s="216" t="n">
        <v>15.68</v>
      </c>
      <c r="C12568" s="216" t="n">
        <v>41.85</v>
      </c>
      <c r="D12568" s="216" t="n">
        <v>1.158699035644531</v>
      </c>
      <c r="E12568" s="215" t="n">
        <v>46231</v>
      </c>
      <c r="F12568" s="215" t="n">
        <v>46231</v>
      </c>
    </row>
    <row r="12569">
      <c r="A12569" s="215" t="n">
        <v>46232</v>
      </c>
      <c r="B12569" s="216" t="n">
        <v>15.61</v>
      </c>
      <c r="C12569" s="216" t="n">
        <v>41.5</v>
      </c>
      <c r="D12569" s="216" t="n">
        <v>1.157909989356995</v>
      </c>
      <c r="E12569" s="215" t="n">
        <v>46232</v>
      </c>
      <c r="F12569" s="215" t="n">
        <v>46232</v>
      </c>
    </row>
    <row r="12570">
      <c r="A12570" s="215" t="n">
        <v>46233</v>
      </c>
      <c r="B12570" s="216" t="n">
        <v>15.22</v>
      </c>
      <c r="C12570" s="216" t="n">
        <v>39.53</v>
      </c>
      <c r="D12570" s="216" t="n">
        <v>1.158943057060242</v>
      </c>
      <c r="E12570" s="215" t="n">
        <v>46233</v>
      </c>
      <c r="F12570" s="215" t="n">
        <v>46233</v>
      </c>
    </row>
    <row r="12571">
      <c r="A12571" s="215" t="n">
        <v>46234</v>
      </c>
      <c r="B12571" s="216" t="n">
        <v>15.09</v>
      </c>
      <c r="C12571" s="216" t="n">
        <v>40.27</v>
      </c>
      <c r="D12571" s="216" t="n">
        <v>1.160945057868958</v>
      </c>
      <c r="E12571" s="215" t="n">
        <v>46234</v>
      </c>
      <c r="F12571" s="215" t="n">
        <v>46234</v>
      </c>
    </row>
    <row r="12572">
      <c r="A12572" s="215" t="n">
        <v>46237</v>
      </c>
      <c r="B12572" s="216" t="n">
        <v>15.99</v>
      </c>
      <c r="C12572" s="216" t="n">
        <v>41.83</v>
      </c>
      <c r="D12572" s="216" t="n">
        <v>1.161579966545105</v>
      </c>
      <c r="E12572" s="215" t="n">
        <v>46237</v>
      </c>
      <c r="F12572" s="215" t="n">
        <v>46237</v>
      </c>
    </row>
    <row r="12573">
      <c r="A12573" s="215" t="n">
        <v>46238</v>
      </c>
      <c r="B12573" s="216" t="n">
        <v>16.35</v>
      </c>
      <c r="C12573" s="216" t="n">
        <v>42.95</v>
      </c>
      <c r="D12573" s="216" t="n">
        <v>1.161064982414246</v>
      </c>
      <c r="E12573" s="215" t="n">
        <v>46238</v>
      </c>
      <c r="F12573" s="215" t="n">
        <v>46238</v>
      </c>
    </row>
    <row r="12574">
      <c r="A12574" s="215" t="n">
        <v>46239</v>
      </c>
      <c r="B12574" s="216" t="n">
        <v>16.78</v>
      </c>
      <c r="C12574" s="216" t="n">
        <v>44.3</v>
      </c>
      <c r="D12574" s="216" t="n">
        <v>1.161146998405457</v>
      </c>
      <c r="E12574" s="215" t="n">
        <v>46239</v>
      </c>
      <c r="F12574" s="215" t="n">
        <v>46239</v>
      </c>
    </row>
    <row r="12575">
      <c r="A12575" s="215" t="n">
        <v>46240</v>
      </c>
      <c r="B12575" s="216" t="n">
        <v>16.41</v>
      </c>
      <c r="C12575" s="216" t="n">
        <v>44.22</v>
      </c>
      <c r="D12575" s="216" t="n">
        <v>1.161936044692993</v>
      </c>
      <c r="E12575" s="215" t="n">
        <v>46240</v>
      </c>
      <c r="F12575" s="215" t="n">
        <v>46240</v>
      </c>
    </row>
    <row r="12576">
      <c r="A12576" s="215" t="n">
        <v>46241</v>
      </c>
      <c r="B12576" s="216" t="n">
        <v>17.13</v>
      </c>
      <c r="C12576" s="216" t="n">
        <v>45.5</v>
      </c>
      <c r="D12576" s="216" t="n">
        <v>1.162284016609192</v>
      </c>
      <c r="E12576" s="215" t="n">
        <v>46241</v>
      </c>
      <c r="F12576" s="215" t="n">
        <v>46241</v>
      </c>
    </row>
    <row r="12577">
      <c r="A12577" s="215" t="n">
        <v>46244</v>
      </c>
      <c r="B12577" s="216" t="n">
        <v>18.35</v>
      </c>
      <c r="C12577" s="216" t="n">
        <v>46.02</v>
      </c>
      <c r="D12577" s="216" t="n">
        <v>1.162629961967468</v>
      </c>
      <c r="E12577" s="215" t="n">
        <v>46244</v>
      </c>
      <c r="F12577" s="215" t="n">
        <v>46244</v>
      </c>
    </row>
    <row r="12578">
      <c r="A12578" s="215" t="n">
        <v>46245</v>
      </c>
      <c r="B12578" s="216" t="n">
        <v>17.24</v>
      </c>
      <c r="C12578" s="216" t="n">
        <v>44.85</v>
      </c>
      <c r="D12578" s="216" t="n">
        <v>1.162588000297546</v>
      </c>
      <c r="E12578" s="215" t="n">
        <v>46245</v>
      </c>
      <c r="F12578" s="215" t="n">
        <v>46245</v>
      </c>
    </row>
    <row r="12579">
      <c r="A12579" s="215" t="n">
        <v>46246</v>
      </c>
      <c r="B12579" s="216" t="n">
        <v>18.6</v>
      </c>
      <c r="C12579" s="216" t="n">
        <v>46.5</v>
      </c>
      <c r="D12579" s="216" t="n">
        <v>1.163135051727295</v>
      </c>
      <c r="E12579" s="215" t="n">
        <v>46246</v>
      </c>
      <c r="F12579" s="215" t="n">
        <v>46246</v>
      </c>
    </row>
    <row r="12580">
      <c r="A12580" s="215" t="n">
        <v>46247</v>
      </c>
      <c r="B12580" s="216" t="n">
        <v>18.13</v>
      </c>
      <c r="C12580" s="216" t="n">
        <v>45.31</v>
      </c>
      <c r="D12580" s="216" t="n">
        <v>1.163341045379639</v>
      </c>
      <c r="E12580" s="215" t="n">
        <v>46247</v>
      </c>
      <c r="F12580" s="215" t="n">
        <v>46247</v>
      </c>
    </row>
    <row r="12581">
      <c r="A12581" s="215" t="n">
        <v>46248</v>
      </c>
      <c r="B12581" s="216" t="n">
        <v>18.1</v>
      </c>
      <c r="C12581" s="216" t="n">
        <v>44.95</v>
      </c>
      <c r="D12581" s="216" t="n">
        <v>1.163571000099182</v>
      </c>
      <c r="E12581" s="215" t="n">
        <v>46248</v>
      </c>
      <c r="F12581" s="215" t="n">
        <v>46248</v>
      </c>
    </row>
    <row r="12582">
      <c r="A12582" s="215" t="n">
        <v>46251</v>
      </c>
      <c r="B12582" s="216" t="n">
        <v>19.18</v>
      </c>
      <c r="C12582" s="216" t="n">
        <v>46.63</v>
      </c>
      <c r="D12582" s="216" t="n">
        <v>1.163601994514465</v>
      </c>
      <c r="E12582" s="215" t="n">
        <v>46251</v>
      </c>
      <c r="F12582" s="215" t="n">
        <v>46251</v>
      </c>
    </row>
    <row r="12583">
      <c r="A12583" s="215" t="n">
        <v>46252</v>
      </c>
      <c r="B12583" s="216" t="n">
        <v>19.12</v>
      </c>
      <c r="C12583" s="216" t="n">
        <v>46.98</v>
      </c>
      <c r="D12583" s="216" t="n">
        <v>1.163733005523682</v>
      </c>
      <c r="E12583" s="215" t="n">
        <v>46252</v>
      </c>
      <c r="F12583" s="215" t="n">
        <v>46252</v>
      </c>
    </row>
    <row r="12584">
      <c r="A12584" s="215" t="n">
        <v>46253</v>
      </c>
      <c r="B12584" s="216" t="n">
        <v>17.45</v>
      </c>
      <c r="C12584" s="216" t="n">
        <v>42.28</v>
      </c>
      <c r="D12584" s="216" t="n">
        <v>1.163092017173767</v>
      </c>
      <c r="E12584" s="215" t="n">
        <v>46253</v>
      </c>
      <c r="F12584" s="215" t="n">
        <v>46253</v>
      </c>
    </row>
    <row r="12585">
      <c r="A12585" s="215" t="n">
        <v>46254</v>
      </c>
      <c r="B12585" s="216" t="n">
        <v>16.7</v>
      </c>
      <c r="C12585" s="216" t="n">
        <v>41.68</v>
      </c>
      <c r="D12585" s="216" t="n">
        <v>1.164932012557983</v>
      </c>
      <c r="E12585" s="215" t="n">
        <v>46254</v>
      </c>
      <c r="F12585" s="215" t="n">
        <v>46254</v>
      </c>
    </row>
    <row r="12586">
      <c r="A12586" s="215" t="n">
        <v>46255</v>
      </c>
      <c r="B12586" s="216" t="n">
        <v>16.61</v>
      </c>
      <c r="C12586" s="216" t="n">
        <v>41.9</v>
      </c>
      <c r="D12586" s="216" t="n">
        <v>1.166555047035217</v>
      </c>
      <c r="E12586" s="215" t="n">
        <v>46255</v>
      </c>
      <c r="F12586" s="215" t="n">
        <v>46255</v>
      </c>
    </row>
    <row r="12587">
      <c r="A12587" s="215" t="n">
        <v>46258</v>
      </c>
      <c r="B12587" s="216" t="n">
        <v>15.75</v>
      </c>
      <c r="C12587" s="216" t="n">
        <v>39.8</v>
      </c>
      <c r="D12587" s="216" t="n">
        <v>1.166316986083984</v>
      </c>
      <c r="E12587" s="215" t="n">
        <v>46258</v>
      </c>
      <c r="F12587" s="215" t="n">
        <v>46258</v>
      </c>
    </row>
    <row r="12588">
      <c r="A12588" s="215" t="n">
        <v>46259</v>
      </c>
      <c r="B12588" s="216" t="n">
        <v>15.95</v>
      </c>
      <c r="C12588" s="216" t="n">
        <v>40.18</v>
      </c>
      <c r="D12588" s="216" t="n">
        <v>1.165253043174744</v>
      </c>
      <c r="E12588" s="215" t="n">
        <v>46259</v>
      </c>
      <c r="F12588" s="215" t="n">
        <v>46259</v>
      </c>
    </row>
    <row r="12589">
      <c r="A12589" s="215" t="n">
        <v>46260</v>
      </c>
      <c r="B12589" s="216" t="n">
        <v>15.59</v>
      </c>
      <c r="C12589" s="216" t="n">
        <v>40.1</v>
      </c>
      <c r="D12589" s="216" t="n">
        <v>1.166218996047974</v>
      </c>
      <c r="E12589" s="215" t="n">
        <v>46260</v>
      </c>
      <c r="F12589" s="215" t="n">
        <v>46260</v>
      </c>
    </row>
    <row r="12590">
      <c r="A12590" s="215" t="n">
        <v>46261</v>
      </c>
      <c r="B12590" s="216" t="n">
        <v>15.69</v>
      </c>
      <c r="C12590" s="216" t="n">
        <v>40.44</v>
      </c>
      <c r="D12590" s="216" t="n">
        <v>1.165971040725708</v>
      </c>
      <c r="E12590" s="215" t="n">
        <v>46261</v>
      </c>
      <c r="F12590" s="215" t="n">
        <v>46261</v>
      </c>
    </row>
    <row r="12591">
      <c r="A12591" s="215" t="n">
        <v>46262</v>
      </c>
      <c r="B12591" s="216" t="n">
        <v>15.85</v>
      </c>
      <c r="C12591" s="216" t="n">
        <v>40.57</v>
      </c>
      <c r="D12591" s="216" t="n">
        <v>1.165799975395203</v>
      </c>
      <c r="E12591" s="215" t="n">
        <v>46262</v>
      </c>
      <c r="F12591" s="215" t="n">
        <v>46262</v>
      </c>
    </row>
    <row r="12592">
      <c r="A12592" s="215" t="n">
        <v>46265</v>
      </c>
      <c r="B12592" s="216" t="n">
        <v>15.42</v>
      </c>
      <c r="C12592" s="216" t="n">
        <v>39.75</v>
      </c>
      <c r="D12592" s="216" t="n">
        <v>1.165387988090515</v>
      </c>
      <c r="E12592" s="215" t="n">
        <v>46265</v>
      </c>
      <c r="F12592" s="215" t="n">
        <v>46265</v>
      </c>
    </row>
    <row r="12593">
      <c r="A12593" s="215" t="n">
        <v>46266</v>
      </c>
      <c r="B12593" s="216" t="n">
        <v>15.83</v>
      </c>
      <c r="C12593" s="216" t="n">
        <v>39.24</v>
      </c>
      <c r="D12593" s="216" t="n">
        <v>1.165223956108093</v>
      </c>
      <c r="E12593" s="215" t="n">
        <v>46266</v>
      </c>
      <c r="F12593" s="215" t="n">
        <v>46266</v>
      </c>
    </row>
    <row r="12594">
      <c r="A12594" s="215" t="n">
        <v>46267</v>
      </c>
      <c r="B12594" s="216" t="n">
        <v>15.2</v>
      </c>
      <c r="C12594" s="216" t="n">
        <v>38.59</v>
      </c>
      <c r="D12594" s="216" t="n">
        <v>1.166425943374634</v>
      </c>
      <c r="E12594" s="215" t="n">
        <v>46267</v>
      </c>
      <c r="F12594" s="215" t="n">
        <v>46267</v>
      </c>
    </row>
    <row r="12595">
      <c r="A12595" s="215" t="n">
        <v>46268</v>
      </c>
      <c r="B12595" s="216" t="n">
        <v>14.95</v>
      </c>
      <c r="C12595" s="216" t="n">
        <v>38.28</v>
      </c>
      <c r="D12595" s="216" t="n">
        <v>1.167057037353516</v>
      </c>
      <c r="E12595" s="215" t="n">
        <v>46268</v>
      </c>
      <c r="F12595" s="215" t="n">
        <v>46268</v>
      </c>
    </row>
    <row r="12596">
      <c r="A12596" s="215" t="n">
        <v>46269</v>
      </c>
      <c r="B12596" s="216" t="n">
        <v>14.68</v>
      </c>
      <c r="C12596" s="216" t="n">
        <v>38.23</v>
      </c>
      <c r="D12596" s="216" t="n">
        <v>1.166767954826355</v>
      </c>
      <c r="E12596" s="215" t="n">
        <v>46269</v>
      </c>
      <c r="F12596" s="215" t="n">
        <v>46269</v>
      </c>
    </row>
    <row r="12597">
      <c r="A12597" s="215" t="n">
        <v>46272</v>
      </c>
      <c r="B12597" s="216" t="n">
        <v>14.17</v>
      </c>
      <c r="C12597" s="216" t="n">
        <v>38.31</v>
      </c>
      <c r="D12597" s="216" t="n">
        <v>1.168081045150757</v>
      </c>
      <c r="E12597" s="215" t="n">
        <v>46272</v>
      </c>
      <c r="F12597" s="215" t="n">
        <v>46272</v>
      </c>
    </row>
    <row r="12598">
      <c r="A12598" s="215" t="n">
        <v>46273</v>
      </c>
      <c r="B12598" s="216" t="n">
        <v>13.96</v>
      </c>
      <c r="C12598" s="216" t="n">
        <v>39.09</v>
      </c>
      <c r="D12598" s="216" t="n">
        <v>1.168115019798279</v>
      </c>
      <c r="E12598" s="215" t="n">
        <v>46273</v>
      </c>
      <c r="F12598" s="215" t="n">
        <v>46273</v>
      </c>
    </row>
    <row r="12599">
      <c r="A12599" s="215" t="n">
        <v>46274</v>
      </c>
      <c r="B12599" s="216" t="n">
        <v>13.73</v>
      </c>
      <c r="C12599" s="216" t="n">
        <v>38.6</v>
      </c>
      <c r="D12599" s="216" t="n">
        <v>1.168408989906311</v>
      </c>
      <c r="E12599" s="215" t="n">
        <v>46274</v>
      </c>
      <c r="F12599" s="215" t="n">
        <v>46274</v>
      </c>
    </row>
    <row r="12600">
      <c r="A12600" s="215" t="n">
        <v>46275</v>
      </c>
      <c r="B12600" s="216" t="n">
        <v>12.74</v>
      </c>
      <c r="C12600" s="216" t="n">
        <v>37.89</v>
      </c>
      <c r="D12600" s="216" t="n">
        <v>1.168462991714478</v>
      </c>
      <c r="E12600" s="215" t="n">
        <v>46275</v>
      </c>
      <c r="F12600" s="215" t="n">
        <v>46275</v>
      </c>
    </row>
    <row r="12601">
      <c r="A12601" s="215" t="n">
        <v>46276</v>
      </c>
      <c r="B12601" s="216" t="n">
        <v>11.92</v>
      </c>
      <c r="C12601" s="216" t="n">
        <v>36.7</v>
      </c>
      <c r="D12601" s="216" t="n">
        <v>1.169165015220642</v>
      </c>
      <c r="E12601" s="215" t="n">
        <v>46276</v>
      </c>
      <c r="F12601" s="215" t="n">
        <v>46276</v>
      </c>
    </row>
    <row r="12602">
      <c r="A12602" s="215" t="n">
        <v>46279</v>
      </c>
      <c r="B12602" s="216" t="n">
        <v>11.78</v>
      </c>
      <c r="C12602" s="216" t="n">
        <v>36.92</v>
      </c>
      <c r="D12602" s="216" t="n">
        <v>1.16893994808197</v>
      </c>
      <c r="E12602" s="215" t="n">
        <v>46279</v>
      </c>
      <c r="F12602" s="215" t="n">
        <v>46279</v>
      </c>
    </row>
    <row r="12603">
      <c r="A12603" s="215" t="n">
        <v>46280</v>
      </c>
      <c r="B12603" s="216" t="n">
        <v>11.54</v>
      </c>
      <c r="C12603" s="216" t="n">
        <v>36.68</v>
      </c>
      <c r="D12603" s="216" t="n">
        <v>1.169121026992798</v>
      </c>
      <c r="E12603" s="215" t="n">
        <v>46280</v>
      </c>
      <c r="F12603" s="215" t="n">
        <v>46280</v>
      </c>
    </row>
    <row r="12604">
      <c r="A12604" s="215" t="n">
        <v>46281</v>
      </c>
      <c r="B12604" s="216" t="n">
        <v>11.97</v>
      </c>
      <c r="C12604" s="216" t="n">
        <v>37.54</v>
      </c>
      <c r="D12604" s="216" t="n">
        <v>1.168769955635071</v>
      </c>
      <c r="E12604" s="215" t="n">
        <v>46281</v>
      </c>
      <c r="F12604" s="215" t="n">
        <v>46281</v>
      </c>
    </row>
    <row r="12605">
      <c r="A12605" s="215" t="n">
        <v>46282</v>
      </c>
      <c r="B12605" s="216" t="n">
        <v>11.71</v>
      </c>
      <c r="C12605" s="216" t="n">
        <v>37.13</v>
      </c>
      <c r="D12605" s="216" t="n">
        <v>1.169389963150024</v>
      </c>
      <c r="E12605" s="215" t="n">
        <v>46282</v>
      </c>
      <c r="F12605" s="215" t="n">
        <v>46282</v>
      </c>
    </row>
    <row r="12606">
      <c r="A12606" s="215" t="n">
        <v>46283</v>
      </c>
      <c r="B12606" s="216" t="n">
        <v>12.3</v>
      </c>
      <c r="C12606" s="216" t="n">
        <v>38.47</v>
      </c>
      <c r="D12606" s="216" t="n">
        <v>1.16942298412323</v>
      </c>
      <c r="E12606" s="215" t="n">
        <v>46283</v>
      </c>
      <c r="F12606" s="215" t="n">
        <v>46283</v>
      </c>
    </row>
    <row r="12607">
      <c r="A12607" s="215" t="n">
        <v>46286</v>
      </c>
      <c r="B12607" s="216" t="n">
        <v>12.42</v>
      </c>
      <c r="C12607" s="216" t="n">
        <v>38.8</v>
      </c>
      <c r="D12607" s="216" t="n">
        <v>1.171280026435852</v>
      </c>
      <c r="E12607" s="215" t="n">
        <v>46286</v>
      </c>
      <c r="F12607" s="215" t="n">
        <v>46286</v>
      </c>
    </row>
    <row r="12608">
      <c r="A12608" s="215" t="n">
        <v>46287</v>
      </c>
      <c r="B12608" s="216" t="n">
        <v>12.28</v>
      </c>
      <c r="C12608" s="216" t="n">
        <v>38.59</v>
      </c>
      <c r="D12608" s="216" t="n">
        <v>1.171705007553101</v>
      </c>
      <c r="E12608" s="215" t="n">
        <v>46287</v>
      </c>
      <c r="F12608" s="215" t="n">
        <v>46287</v>
      </c>
    </row>
    <row r="12609">
      <c r="A12609" s="215" t="n">
        <v>46288</v>
      </c>
      <c r="B12609" s="216" t="n">
        <v>12.04</v>
      </c>
      <c r="C12609" s="216" t="n">
        <v>38.28</v>
      </c>
      <c r="D12609" s="216" t="n">
        <v>1.170611023902893</v>
      </c>
      <c r="E12609" s="215" t="n">
        <v>46288</v>
      </c>
      <c r="F12609" s="215" t="n">
        <v>46288</v>
      </c>
    </row>
    <row r="12610">
      <c r="A12610" s="215" t="n">
        <v>46289</v>
      </c>
      <c r="B12610" s="216" t="n">
        <v>12</v>
      </c>
      <c r="C12610" s="216" t="n">
        <v>37.6</v>
      </c>
      <c r="D12610" s="216" t="n">
        <v>1.16852605342865</v>
      </c>
      <c r="E12610" s="215" t="n">
        <v>46289</v>
      </c>
      <c r="F12610" s="215" t="n">
        <v>46289</v>
      </c>
    </row>
    <row r="12611">
      <c r="A12611" s="215" t="n">
        <v>46290</v>
      </c>
      <c r="B12611" s="216" t="n">
        <v>11.66</v>
      </c>
      <c r="C12611" s="216" t="n">
        <v>37.6</v>
      </c>
      <c r="D12611" s="216" t="n">
        <v>1.168424010276794</v>
      </c>
      <c r="E12611" s="215" t="n">
        <v>46289</v>
      </c>
      <c r="F12611" s="215" t="n">
        <v>46290</v>
      </c>
    </row>
    <row r="12612">
      <c r="A12612" s="215" t="n">
        <v>46293</v>
      </c>
      <c r="B12612" s="216" t="n">
        <v>11.37</v>
      </c>
      <c r="C12612" s="216" t="n">
        <v>36.14</v>
      </c>
      <c r="D12612" s="216" t="n">
        <v>1.168378949165344</v>
      </c>
      <c r="E12612" s="215" t="n">
        <v>46293</v>
      </c>
      <c r="F12612" s="215" t="n">
        <v>46293</v>
      </c>
    </row>
    <row r="12613">
      <c r="A12613" s="215" t="n">
        <v>46294</v>
      </c>
      <c r="B12613" s="216" t="n">
        <v>11.47</v>
      </c>
      <c r="C12613" s="216" t="n">
        <v>36.01</v>
      </c>
      <c r="D12613" s="216" t="n">
        <v>1.168815970420837</v>
      </c>
      <c r="E12613" s="215" t="n">
        <v>46294</v>
      </c>
      <c r="F12613" s="215" t="n">
        <v>46294</v>
      </c>
    </row>
    <row r="12614">
      <c r="A12614" s="215" t="n">
        <v>46295</v>
      </c>
      <c r="B12614" s="216" t="n">
        <v>11.99</v>
      </c>
      <c r="C12614" s="216" t="n">
        <v>36.44</v>
      </c>
      <c r="D12614" s="216" t="n">
        <v>1.17059600353241</v>
      </c>
      <c r="E12614" s="215" t="n">
        <v>46295</v>
      </c>
      <c r="F12614" s="215" t="n">
        <v>46295</v>
      </c>
    </row>
    <row r="12615">
      <c r="A12615" s="215" t="n">
        <v>46297</v>
      </c>
      <c r="B12615" s="216" t="n">
        <v>11.39</v>
      </c>
      <c r="C12615" s="216" t="n">
        <v>36.44</v>
      </c>
      <c r="D12615" s="216" t="n">
        <v>1.170220971107483</v>
      </c>
      <c r="E12615" s="215" t="n">
        <v>46295</v>
      </c>
      <c r="F12615" s="215" t="n">
        <v>46297</v>
      </c>
    </row>
    <row r="12616">
      <c r="A12616" s="215" t="n">
        <v>46059</v>
      </c>
      <c r="B12616" s="216" t="n">
        <v>110</v>
      </c>
      <c r="C12616" s="216" t="n">
        <v>147.16</v>
      </c>
      <c r="D12616" s="216" t="n">
        <v>1.126062035560608</v>
      </c>
      <c r="E12616" s="215" t="n">
        <v>46059</v>
      </c>
      <c r="F12616" s="215" t="n">
        <v>46059</v>
      </c>
    </row>
    <row r="12617">
      <c r="A12617" s="215" t="n">
        <v>46062</v>
      </c>
      <c r="B12617" s="216" t="n">
        <v>120.8</v>
      </c>
      <c r="C12617" s="216" t="n">
        <v>149.62</v>
      </c>
      <c r="D12617" s="216" t="n">
        <v>1.125753998756409</v>
      </c>
      <c r="E12617" s="215" t="n">
        <v>46062</v>
      </c>
      <c r="F12617" s="215" t="n">
        <v>46062</v>
      </c>
    </row>
    <row r="12618">
      <c r="A12618" s="215" t="n">
        <v>46063</v>
      </c>
      <c r="B12618" s="216" t="n">
        <v>118.8</v>
      </c>
      <c r="C12618" s="216" t="n">
        <v>148.7</v>
      </c>
      <c r="D12618" s="216" t="n">
        <v>1.129003047943115</v>
      </c>
      <c r="E12618" s="215" t="n">
        <v>46063</v>
      </c>
      <c r="F12618" s="215" t="n">
        <v>46063</v>
      </c>
    </row>
    <row r="12619">
      <c r="A12619" s="215" t="n">
        <v>46064</v>
      </c>
      <c r="B12619" s="216" t="n">
        <v>122.2</v>
      </c>
      <c r="C12619" s="216" t="n">
        <v>150.7</v>
      </c>
      <c r="D12619" s="216" t="n">
        <v>1.130962014198303</v>
      </c>
      <c r="E12619" s="215" t="n">
        <v>46064</v>
      </c>
      <c r="F12619" s="215" t="n">
        <v>46064</v>
      </c>
    </row>
    <row r="12620">
      <c r="A12620" s="215" t="n">
        <v>46065</v>
      </c>
      <c r="B12620" s="216" t="n">
        <v>118.8</v>
      </c>
      <c r="C12620" s="216" t="n">
        <v>151.7</v>
      </c>
      <c r="D12620" s="216" t="n">
        <v>1.130671977996826</v>
      </c>
      <c r="E12620" s="215" t="n">
        <v>46065</v>
      </c>
      <c r="F12620" s="215" t="n">
        <v>46065</v>
      </c>
    </row>
    <row r="12621">
      <c r="A12621" s="215" t="n">
        <v>46066</v>
      </c>
      <c r="B12621" s="216" t="n">
        <v>112.6</v>
      </c>
      <c r="C12621" s="216" t="n">
        <v>149</v>
      </c>
      <c r="D12621" s="216" t="n">
        <v>1.132490992546082</v>
      </c>
      <c r="E12621" s="215" t="n">
        <v>46066</v>
      </c>
      <c r="F12621" s="215" t="n">
        <v>46066</v>
      </c>
    </row>
    <row r="12622">
      <c r="A12622" s="215" t="n">
        <v>46069</v>
      </c>
      <c r="B12622" s="216" t="n">
        <v>117.2</v>
      </c>
      <c r="C12622" s="216" t="n">
        <v>149</v>
      </c>
      <c r="D12622" s="216" t="n">
        <v>1.131224036216736</v>
      </c>
      <c r="E12622" s="215" t="n">
        <v>46066</v>
      </c>
      <c r="F12622" s="215" t="n">
        <v>46069</v>
      </c>
    </row>
    <row r="12623">
      <c r="A12623" s="215" t="n">
        <v>46073</v>
      </c>
      <c r="B12623" s="216" t="n">
        <v>114.2</v>
      </c>
      <c r="C12623" s="216" t="n">
        <v>149</v>
      </c>
      <c r="D12623" s="216" t="n">
        <v>1.131005048751831</v>
      </c>
      <c r="E12623" s="215" t="n">
        <v>46066</v>
      </c>
      <c r="F12623" s="215" t="n">
        <v>46073</v>
      </c>
    </row>
    <row r="12624">
      <c r="A12624" s="215" t="n">
        <v>46076</v>
      </c>
      <c r="B12624" s="216" t="n">
        <v>118.5</v>
      </c>
      <c r="C12624" s="216" t="n">
        <v>149</v>
      </c>
      <c r="D12624" s="216" t="n">
        <v>1.130877017974854</v>
      </c>
      <c r="E12624" s="215" t="n">
        <v>46066</v>
      </c>
      <c r="F12624" s="215" t="n">
        <v>46076</v>
      </c>
    </row>
    <row r="12625">
      <c r="A12625" s="215" t="n">
        <v>46077</v>
      </c>
      <c r="B12625" s="216" t="n">
        <v>120.7</v>
      </c>
      <c r="C12625" s="216" t="n">
        <v>153.92</v>
      </c>
      <c r="D12625" s="216" t="n">
        <v>1.131631016731262</v>
      </c>
      <c r="E12625" s="215" t="n">
        <v>46077</v>
      </c>
      <c r="F12625" s="215" t="n">
        <v>46077</v>
      </c>
    </row>
    <row r="12626">
      <c r="A12626" s="215" t="n">
        <v>46078</v>
      </c>
      <c r="B12626" s="216" t="n">
        <v>126.5</v>
      </c>
      <c r="C12626" s="216" t="n">
        <v>162.3</v>
      </c>
      <c r="D12626" s="216" t="n">
        <v>1.136234045028687</v>
      </c>
      <c r="E12626" s="215" t="n">
        <v>46078</v>
      </c>
      <c r="F12626" s="215" t="n">
        <v>46078</v>
      </c>
    </row>
    <row r="12627">
      <c r="A12627" s="215" t="n">
        <v>46079</v>
      </c>
      <c r="B12627" s="216" t="n">
        <v>128.6</v>
      </c>
      <c r="C12627" s="216" t="n">
        <v>165.91</v>
      </c>
      <c r="D12627" s="216" t="n">
        <v>1.138198971748352</v>
      </c>
      <c r="E12627" s="215" t="n">
        <v>46079</v>
      </c>
      <c r="F12627" s="215" t="n">
        <v>46079</v>
      </c>
    </row>
    <row r="12628">
      <c r="A12628" s="215" t="n">
        <v>46080</v>
      </c>
      <c r="B12628" s="216" t="n">
        <v>125.8</v>
      </c>
      <c r="C12628" s="216" t="n">
        <v>156.41</v>
      </c>
      <c r="D12628" s="216" t="n">
        <v>1.143396973609924</v>
      </c>
      <c r="E12628" s="215" t="n">
        <v>46080</v>
      </c>
      <c r="F12628" s="215" t="n">
        <v>46080</v>
      </c>
    </row>
    <row r="12629">
      <c r="A12629" s="215" t="n">
        <v>46083</v>
      </c>
      <c r="B12629" s="216" t="n">
        <v>125.6</v>
      </c>
      <c r="C12629" s="216" t="n">
        <v>153.38</v>
      </c>
      <c r="D12629" s="216" t="n">
        <v>1.140552043914795</v>
      </c>
      <c r="E12629" s="215" t="n">
        <v>46083</v>
      </c>
      <c r="F12629" s="215" t="n">
        <v>46083</v>
      </c>
    </row>
    <row r="12630">
      <c r="A12630" s="215" t="n">
        <v>46084</v>
      </c>
      <c r="B12630" s="216" t="n">
        <v>113.5</v>
      </c>
      <c r="C12630" s="216" t="n">
        <v>144.11</v>
      </c>
      <c r="D12630" s="216" t="n">
        <v>1.136399984359741</v>
      </c>
      <c r="E12630" s="215" t="n">
        <v>46084</v>
      </c>
      <c r="F12630" s="215" t="n">
        <v>46084</v>
      </c>
    </row>
    <row r="12631">
      <c r="A12631" s="215" t="n">
        <v>46085</v>
      </c>
      <c r="B12631" s="216" t="n">
        <v>109.8</v>
      </c>
      <c r="C12631" s="216" t="n">
        <v>144.46</v>
      </c>
      <c r="D12631" s="216" t="n">
        <v>1.130928993225098</v>
      </c>
      <c r="E12631" s="215" t="n">
        <v>46085</v>
      </c>
      <c r="F12631" s="215" t="n">
        <v>46085</v>
      </c>
    </row>
    <row r="12632">
      <c r="A12632" s="215" t="n">
        <v>46086</v>
      </c>
      <c r="B12632" s="216" t="n">
        <v>118.8</v>
      </c>
      <c r="C12632" s="216" t="n">
        <v>147.64</v>
      </c>
      <c r="D12632" s="216" t="n">
        <v>1.133169054985046</v>
      </c>
      <c r="E12632" s="215" t="n">
        <v>46086</v>
      </c>
      <c r="F12632" s="215" t="n">
        <v>46086</v>
      </c>
    </row>
    <row r="12633">
      <c r="A12633" s="215" t="n">
        <v>46087</v>
      </c>
      <c r="B12633" s="216" t="n">
        <v>120</v>
      </c>
      <c r="C12633" s="216" t="n">
        <v>147.3</v>
      </c>
      <c r="D12633" s="216" t="n">
        <v>1.133442044258118</v>
      </c>
      <c r="E12633" s="215" t="n">
        <v>46087</v>
      </c>
      <c r="F12633" s="215" t="n">
        <v>46087</v>
      </c>
    </row>
    <row r="12634">
      <c r="A12634" s="215" t="n">
        <v>46090</v>
      </c>
      <c r="B12634" s="216" t="n">
        <v>112.7</v>
      </c>
      <c r="C12634" s="216" t="n">
        <v>142.88</v>
      </c>
      <c r="D12634" s="216" t="n">
        <v>1.133231043815613</v>
      </c>
      <c r="E12634" s="215" t="n">
        <v>46090</v>
      </c>
      <c r="F12634" s="215" t="n">
        <v>46090</v>
      </c>
    </row>
    <row r="12635">
      <c r="A12635" s="215" t="n">
        <v>46091</v>
      </c>
      <c r="B12635" s="216" t="n">
        <v>118.6</v>
      </c>
      <c r="C12635" s="216" t="n">
        <v>149.93</v>
      </c>
      <c r="D12635" s="216" t="n">
        <v>1.131595015525818</v>
      </c>
      <c r="E12635" s="215" t="n">
        <v>46091</v>
      </c>
      <c r="F12635" s="215" t="n">
        <v>46091</v>
      </c>
    </row>
    <row r="12636">
      <c r="A12636" s="215" t="n">
        <v>46092</v>
      </c>
      <c r="B12636" s="216" t="n">
        <v>115.5</v>
      </c>
      <c r="C12636" s="216" t="n">
        <v>151.6</v>
      </c>
      <c r="D12636" s="216" t="n">
        <v>1.137585043907166</v>
      </c>
      <c r="E12636" s="215" t="n">
        <v>46092</v>
      </c>
      <c r="F12636" s="215" t="n">
        <v>46092</v>
      </c>
    </row>
    <row r="12637">
      <c r="A12637" s="215" t="n">
        <v>46093</v>
      </c>
      <c r="B12637" s="216" t="n">
        <v>116.8</v>
      </c>
      <c r="C12637" s="216" t="n">
        <v>147.7</v>
      </c>
      <c r="D12637" s="216" t="n">
        <v>1.139600038528442</v>
      </c>
      <c r="E12637" s="215" t="n">
        <v>46093</v>
      </c>
      <c r="F12637" s="215" t="n">
        <v>46093</v>
      </c>
    </row>
    <row r="12638">
      <c r="A12638" s="215" t="n">
        <v>46094</v>
      </c>
      <c r="B12638" s="216" t="n">
        <v>109</v>
      </c>
      <c r="C12638" s="216" t="n">
        <v>149.42</v>
      </c>
      <c r="D12638" s="216" t="n">
        <v>1.139310002326965</v>
      </c>
      <c r="E12638" s="215" t="n">
        <v>46094</v>
      </c>
      <c r="F12638" s="215" t="n">
        <v>46094</v>
      </c>
    </row>
    <row r="12639">
      <c r="A12639" s="215" t="n">
        <v>46097</v>
      </c>
      <c r="B12639" s="216" t="n">
        <v>113.2</v>
      </c>
      <c r="C12639" s="216" t="n">
        <v>155.26</v>
      </c>
      <c r="D12639" s="216" t="n">
        <v>1.134883999824524</v>
      </c>
      <c r="E12639" s="215" t="n">
        <v>46097</v>
      </c>
      <c r="F12639" s="215" t="n">
        <v>46097</v>
      </c>
    </row>
    <row r="12640">
      <c r="A12640" s="215" t="n">
        <v>46098</v>
      </c>
      <c r="B12640" s="216" t="n">
        <v>110.1</v>
      </c>
      <c r="C12640" s="216" t="n">
        <v>149.48</v>
      </c>
      <c r="D12640" s="216" t="n">
        <v>1.125375986099243</v>
      </c>
      <c r="E12640" s="215" t="n">
        <v>46098</v>
      </c>
      <c r="F12640" s="215" t="n">
        <v>46098</v>
      </c>
    </row>
    <row r="12641">
      <c r="A12641" s="215" t="n">
        <v>46099</v>
      </c>
      <c r="B12641" s="216" t="n">
        <v>117</v>
      </c>
      <c r="C12641" s="216" t="n">
        <v>157.99</v>
      </c>
      <c r="D12641" s="216" t="n">
        <v>1.137819051742554</v>
      </c>
      <c r="E12641" s="215" t="n">
        <v>46099</v>
      </c>
      <c r="F12641" s="215" t="n">
        <v>46099</v>
      </c>
    </row>
    <row r="12642">
      <c r="A12642" s="215" t="n">
        <v>46100</v>
      </c>
      <c r="B12642" s="216" t="n">
        <v>112.8</v>
      </c>
      <c r="C12642" s="216" t="n">
        <v>152.81</v>
      </c>
      <c r="D12642" s="216" t="n">
        <v>1.140079021453857</v>
      </c>
      <c r="E12642" s="215" t="n">
        <v>46100</v>
      </c>
      <c r="F12642" s="215" t="n">
        <v>46100</v>
      </c>
    </row>
    <row r="12643">
      <c r="A12643" s="215" t="n">
        <v>46101</v>
      </c>
      <c r="B12643" s="216" t="n">
        <v>112.5</v>
      </c>
      <c r="C12643" s="216" t="n">
        <v>159.15</v>
      </c>
      <c r="D12643" s="216" t="n">
        <v>1.13490903377533</v>
      </c>
      <c r="E12643" s="215" t="n">
        <v>46101</v>
      </c>
      <c r="F12643" s="215" t="n">
        <v>46101</v>
      </c>
    </row>
    <row r="12644">
      <c r="A12644" s="215" t="n">
        <v>46104</v>
      </c>
      <c r="B12644" s="216" t="n">
        <v>102.4</v>
      </c>
      <c r="C12644" s="216" t="n">
        <v>144.9</v>
      </c>
      <c r="D12644" s="216" t="n">
        <v>1.137529969215393</v>
      </c>
      <c r="E12644" s="215" t="n">
        <v>46104</v>
      </c>
      <c r="F12644" s="215" t="n">
        <v>46104</v>
      </c>
    </row>
    <row r="12645">
      <c r="A12645" s="215" t="n">
        <v>46105</v>
      </c>
      <c r="B12645" s="216" t="n">
        <v>105.3</v>
      </c>
      <c r="C12645" s="216" t="n">
        <v>159.5</v>
      </c>
      <c r="D12645" s="216" t="n">
        <v>1.138481974601746</v>
      </c>
      <c r="E12645" s="215" t="n">
        <v>46105</v>
      </c>
      <c r="F12645" s="215" t="n">
        <v>46105</v>
      </c>
    </row>
    <row r="12646">
      <c r="A12646" s="215" t="n">
        <v>46106</v>
      </c>
      <c r="B12646" s="216" t="n">
        <v>109.6</v>
      </c>
      <c r="C12646" s="216" t="n">
        <v>162</v>
      </c>
      <c r="D12646" s="216" t="n">
        <v>1.135548949241638</v>
      </c>
      <c r="E12646" s="215" t="n">
        <v>46106</v>
      </c>
      <c r="F12646" s="215" t="n">
        <v>46106</v>
      </c>
    </row>
    <row r="12647">
      <c r="A12647" s="215" t="n">
        <v>46107</v>
      </c>
      <c r="B12647" s="216" t="n">
        <v>103.2</v>
      </c>
      <c r="C12647" s="216" t="n">
        <v>164.15</v>
      </c>
      <c r="D12647" s="216" t="n">
        <v>1.132627010345459</v>
      </c>
      <c r="E12647" s="215" t="n">
        <v>46107</v>
      </c>
      <c r="F12647" s="215" t="n">
        <v>46107</v>
      </c>
    </row>
    <row r="12648">
      <c r="A12648" s="215" t="n">
        <v>46108</v>
      </c>
      <c r="B12648" s="216" t="n">
        <v>99.09999999999999</v>
      </c>
      <c r="C12648" s="216" t="n">
        <v>168.69</v>
      </c>
      <c r="D12648" s="216" t="n">
        <v>1.132115960121155</v>
      </c>
      <c r="E12648" s="215" t="n">
        <v>46108</v>
      </c>
      <c r="F12648" s="215" t="n">
        <v>46108</v>
      </c>
    </row>
    <row r="12649">
      <c r="A12649" s="215" t="n">
        <v>46111</v>
      </c>
      <c r="B12649" s="216" t="n">
        <v>103.9</v>
      </c>
      <c r="C12649" s="216" t="n">
        <v>176.17</v>
      </c>
      <c r="D12649" s="216" t="n">
        <v>1.13311505317688</v>
      </c>
      <c r="E12649" s="215" t="n">
        <v>46111</v>
      </c>
      <c r="F12649" s="215" t="n">
        <v>46111</v>
      </c>
    </row>
    <row r="12650">
      <c r="A12650" s="215" t="n">
        <v>46112</v>
      </c>
      <c r="B12650" s="216" t="n">
        <v>98</v>
      </c>
      <c r="C12650" s="216" t="n">
        <v>162.2</v>
      </c>
      <c r="D12650" s="216" t="n">
        <v>1.133540987968445</v>
      </c>
      <c r="E12650" s="215" t="n">
        <v>46112</v>
      </c>
      <c r="F12650" s="215" t="n">
        <v>46112</v>
      </c>
    </row>
    <row r="12651">
      <c r="A12651" s="215" t="n">
        <v>46113</v>
      </c>
      <c r="B12651" s="216" t="n">
        <v>104.3</v>
      </c>
      <c r="C12651" s="216" t="n">
        <v>159.76</v>
      </c>
      <c r="D12651" s="216" t="n">
        <v>1.136669993400574</v>
      </c>
      <c r="E12651" s="215" t="n">
        <v>46113</v>
      </c>
      <c r="F12651" s="215" t="n">
        <v>46113</v>
      </c>
    </row>
    <row r="12652">
      <c r="A12652" s="215" t="n">
        <v>46114</v>
      </c>
      <c r="B12652" s="216" t="n">
        <v>107</v>
      </c>
      <c r="C12652" s="216" t="n">
        <v>157.05</v>
      </c>
      <c r="D12652" s="216" t="n">
        <v>1.140197992324829</v>
      </c>
      <c r="E12652" s="215" t="n">
        <v>46114</v>
      </c>
      <c r="F12652" s="215" t="n">
        <v>46114</v>
      </c>
    </row>
    <row r="12653">
      <c r="A12653" s="215" t="n">
        <v>46120</v>
      </c>
      <c r="B12653" s="216" t="n">
        <v>119.8</v>
      </c>
      <c r="C12653" s="216" t="n">
        <v>174.73</v>
      </c>
      <c r="D12653" s="216" t="n">
        <v>1.1423499584198</v>
      </c>
      <c r="E12653" s="215" t="n">
        <v>46120</v>
      </c>
      <c r="F12653" s="215" t="n">
        <v>46120</v>
      </c>
    </row>
    <row r="12654">
      <c r="A12654" s="215" t="n">
        <v>46121</v>
      </c>
      <c r="B12654" s="216" t="n">
        <v>119.8</v>
      </c>
      <c r="C12654" s="216" t="n">
        <v>182.89</v>
      </c>
      <c r="D12654" s="216" t="n">
        <v>1.146731972694397</v>
      </c>
      <c r="E12654" s="215" t="n">
        <v>46121</v>
      </c>
      <c r="F12654" s="215" t="n">
        <v>46121</v>
      </c>
    </row>
    <row r="12655">
      <c r="A12655" s="215" t="n">
        <v>46122</v>
      </c>
      <c r="B12655" s="216" t="n">
        <v>119.8</v>
      </c>
      <c r="C12655" s="216" t="n">
        <v>181.82</v>
      </c>
      <c r="D12655" s="216" t="n">
        <v>1.146558046340942</v>
      </c>
      <c r="E12655" s="215" t="n">
        <v>46122</v>
      </c>
      <c r="F12655" s="215" t="n">
        <v>46122</v>
      </c>
    </row>
    <row r="12656">
      <c r="A12656" s="215" t="n">
        <v>46125</v>
      </c>
      <c r="B12656" s="216" t="n">
        <v>125</v>
      </c>
      <c r="C12656" s="216" t="n">
        <v>183.25</v>
      </c>
      <c r="D12656" s="216" t="n">
        <v>1.147117972373962</v>
      </c>
      <c r="E12656" s="215" t="n">
        <v>46125</v>
      </c>
      <c r="F12656" s="215" t="n">
        <v>46125</v>
      </c>
    </row>
    <row r="12657">
      <c r="A12657" s="215" t="n">
        <v>46126</v>
      </c>
      <c r="B12657" s="216" t="n">
        <v>135</v>
      </c>
      <c r="C12657" s="216" t="n">
        <v>192.44</v>
      </c>
      <c r="D12657" s="216" t="n">
        <v>1.146226048469543</v>
      </c>
      <c r="E12657" s="215" t="n">
        <v>46126</v>
      </c>
      <c r="F12657" s="215" t="n">
        <v>46126</v>
      </c>
    </row>
    <row r="12658">
      <c r="A12658" s="215" t="n">
        <v>46127</v>
      </c>
      <c r="B12658" s="216" t="n">
        <v>130</v>
      </c>
      <c r="C12658" s="216" t="n">
        <v>188.77</v>
      </c>
      <c r="D12658" s="216" t="n">
        <v>1.149266004562378</v>
      </c>
      <c r="E12658" s="215" t="n">
        <v>46127</v>
      </c>
      <c r="F12658" s="215" t="n">
        <v>46127</v>
      </c>
    </row>
    <row r="12659">
      <c r="A12659" s="215" t="n">
        <v>46128</v>
      </c>
      <c r="B12659" s="216" t="n">
        <v>145</v>
      </c>
      <c r="C12659" s="216" t="n">
        <v>196.26</v>
      </c>
      <c r="D12659" s="216" t="n">
        <v>1.148550033569336</v>
      </c>
      <c r="E12659" s="215" t="n">
        <v>46128</v>
      </c>
      <c r="F12659" s="215" t="n">
        <v>46128</v>
      </c>
    </row>
    <row r="12660">
      <c r="A12660" s="215" t="n">
        <v>46129</v>
      </c>
      <c r="B12660" s="216" t="n">
        <v>147.1</v>
      </c>
      <c r="C12660" s="216" t="n">
        <v>202.79</v>
      </c>
      <c r="D12660" s="216" t="n">
        <v>1.146605014801025</v>
      </c>
      <c r="E12660" s="215" t="n">
        <v>46129</v>
      </c>
      <c r="F12660" s="215" t="n">
        <v>46129</v>
      </c>
    </row>
    <row r="12661">
      <c r="A12661" s="215" t="n">
        <v>46132</v>
      </c>
      <c r="B12661" s="216" t="n">
        <v>148.8</v>
      </c>
      <c r="C12661" s="216" t="n">
        <v>206.12</v>
      </c>
      <c r="D12661" s="216" t="n">
        <v>1.148360967636108</v>
      </c>
      <c r="E12661" s="215" t="n">
        <v>46132</v>
      </c>
      <c r="F12661" s="215" t="n">
        <v>46132</v>
      </c>
    </row>
    <row r="12662">
      <c r="A12662" s="215" t="n">
        <v>46133</v>
      </c>
      <c r="B12662" s="216" t="n">
        <v>141.8</v>
      </c>
      <c r="C12662" s="216" t="n">
        <v>200.6</v>
      </c>
      <c r="D12662" s="216" t="n">
        <v>1.148368000984192</v>
      </c>
      <c r="E12662" s="215" t="n">
        <v>46133</v>
      </c>
      <c r="F12662" s="215" t="n">
        <v>46133</v>
      </c>
    </row>
    <row r="12663">
      <c r="A12663" s="215" t="n">
        <v>46134</v>
      </c>
      <c r="B12663" s="216" t="n">
        <v>140.4</v>
      </c>
      <c r="C12663" s="216" t="n">
        <v>198.32</v>
      </c>
      <c r="D12663" s="216" t="n">
        <v>1.147838950157166</v>
      </c>
      <c r="E12663" s="215" t="n">
        <v>46134</v>
      </c>
      <c r="F12663" s="215" t="n">
        <v>46134</v>
      </c>
    </row>
    <row r="12664">
      <c r="A12664" s="215" t="n">
        <v>46135</v>
      </c>
      <c r="B12664" s="216" t="n">
        <v>132.5</v>
      </c>
      <c r="C12664" s="216" t="n">
        <v>191.1</v>
      </c>
      <c r="D12664" s="216" t="n">
        <v>1.147513031959534</v>
      </c>
      <c r="E12664" s="215" t="n">
        <v>46135</v>
      </c>
      <c r="F12664" s="215" t="n">
        <v>46135</v>
      </c>
    </row>
    <row r="12665">
      <c r="A12665" s="215" t="n">
        <v>46136</v>
      </c>
      <c r="B12665" s="216" t="n">
        <v>139.1</v>
      </c>
      <c r="C12665" s="216" t="n">
        <v>186.56</v>
      </c>
      <c r="D12665" s="216" t="n">
        <v>1.147369027137756</v>
      </c>
      <c r="E12665" s="215" t="n">
        <v>46136</v>
      </c>
      <c r="F12665" s="215" t="n">
        <v>46136</v>
      </c>
    </row>
    <row r="12666">
      <c r="A12666" s="215" t="n">
        <v>46139</v>
      </c>
      <c r="B12666" s="216" t="n">
        <v>140.6</v>
      </c>
      <c r="C12666" s="216" t="n">
        <v>188.26</v>
      </c>
      <c r="D12666" s="216" t="n">
        <v>1.146002054214478</v>
      </c>
      <c r="E12666" s="215" t="n">
        <v>46139</v>
      </c>
      <c r="F12666" s="215" t="n">
        <v>46139</v>
      </c>
    </row>
    <row r="12667">
      <c r="A12667" s="215" t="n">
        <v>46140</v>
      </c>
      <c r="B12667" s="216" t="n">
        <v>137.7</v>
      </c>
      <c r="C12667" s="216" t="n">
        <v>185.1</v>
      </c>
      <c r="D12667" s="216" t="n">
        <v>1.148522019386292</v>
      </c>
      <c r="E12667" s="215" t="n">
        <v>46140</v>
      </c>
      <c r="F12667" s="215" t="n">
        <v>46140</v>
      </c>
    </row>
    <row r="12668">
      <c r="A12668" s="215" t="n">
        <v>46141</v>
      </c>
      <c r="B12668" s="216" t="n">
        <v>139.1</v>
      </c>
      <c r="C12668" s="216" t="n">
        <v>185.11</v>
      </c>
      <c r="D12668" s="216" t="n">
        <v>1.145936012268066</v>
      </c>
      <c r="E12668" s="215" t="n">
        <v>46141</v>
      </c>
      <c r="F12668" s="215" t="n">
        <v>46141</v>
      </c>
    </row>
    <row r="12669">
      <c r="A12669" s="215" t="n">
        <v>46142</v>
      </c>
      <c r="B12669" s="216" t="n">
        <v>140.3</v>
      </c>
      <c r="C12669" s="216" t="n">
        <v>182.59</v>
      </c>
      <c r="D12669" s="216" t="n">
        <v>1.145792007446289</v>
      </c>
      <c r="E12669" s="215" t="n">
        <v>46142</v>
      </c>
      <c r="F12669" s="215" t="n">
        <v>46142</v>
      </c>
    </row>
    <row r="12670">
      <c r="A12670" s="215" t="n">
        <v>46146</v>
      </c>
      <c r="B12670" s="216" t="n">
        <v>140.6</v>
      </c>
      <c r="C12670" s="216" t="n">
        <v>182.59</v>
      </c>
      <c r="D12670" s="216" t="n">
        <v>1.147340059280396</v>
      </c>
      <c r="E12670" s="215" t="n">
        <v>46142</v>
      </c>
      <c r="F12670" s="215" t="n">
        <v>46146</v>
      </c>
    </row>
    <row r="12671">
      <c r="A12671" s="215" t="n">
        <v>46147</v>
      </c>
      <c r="B12671" s="216" t="n">
        <v>137.8</v>
      </c>
      <c r="C12671" s="216" t="n">
        <v>182.59</v>
      </c>
      <c r="D12671" s="216" t="n">
        <v>1.146813988685608</v>
      </c>
      <c r="E12671" s="215" t="n">
        <v>46142</v>
      </c>
      <c r="F12671" s="215" t="n">
        <v>46147</v>
      </c>
    </row>
    <row r="12672">
      <c r="A12672" s="215" t="n">
        <v>46148</v>
      </c>
      <c r="B12672" s="216" t="n">
        <v>141.3</v>
      </c>
      <c r="C12672" s="216" t="n">
        <v>184.74</v>
      </c>
      <c r="D12672" s="216" t="n">
        <v>1.14708399772644</v>
      </c>
      <c r="E12672" s="215" t="n">
        <v>46148</v>
      </c>
      <c r="F12672" s="215" t="n">
        <v>46148</v>
      </c>
    </row>
    <row r="12673">
      <c r="A12673" s="215" t="n">
        <v>46149</v>
      </c>
      <c r="B12673" s="216" t="n">
        <v>142.6</v>
      </c>
      <c r="C12673" s="216" t="n">
        <v>193.95</v>
      </c>
      <c r="D12673" s="216" t="n">
        <v>1.150125026702881</v>
      </c>
      <c r="E12673" s="215" t="n">
        <v>46149</v>
      </c>
      <c r="F12673" s="215" t="n">
        <v>46149</v>
      </c>
    </row>
    <row r="12674">
      <c r="A12674" s="215" t="n">
        <v>46150</v>
      </c>
      <c r="B12674" s="216" t="n">
        <v>142.6</v>
      </c>
      <c r="C12674" s="216" t="n">
        <v>187.78</v>
      </c>
      <c r="D12674" s="216" t="n">
        <v>1.15172004699707</v>
      </c>
      <c r="E12674" s="215" t="n">
        <v>46150</v>
      </c>
      <c r="F12674" s="215" t="n">
        <v>46150</v>
      </c>
    </row>
    <row r="12675">
      <c r="A12675" s="215" t="n">
        <v>46153</v>
      </c>
      <c r="B12675" s="216" t="n">
        <v>140.6</v>
      </c>
      <c r="C12675" s="216" t="n">
        <v>201.91</v>
      </c>
      <c r="D12675" s="216" t="n">
        <v>1.151090025901794</v>
      </c>
      <c r="E12675" s="215" t="n">
        <v>46153</v>
      </c>
      <c r="F12675" s="215" t="n">
        <v>46153</v>
      </c>
    </row>
    <row r="12676">
      <c r="A12676" s="215" t="n">
        <v>46154</v>
      </c>
      <c r="B12676" s="216" t="n">
        <v>142</v>
      </c>
      <c r="C12676" s="216" t="n">
        <v>210.2</v>
      </c>
      <c r="D12676" s="216" t="n">
        <v>1.152078986167908</v>
      </c>
      <c r="E12676" s="215" t="n">
        <v>46154</v>
      </c>
      <c r="F12676" s="215" t="n">
        <v>46154</v>
      </c>
    </row>
    <row r="12677">
      <c r="A12677" s="215" t="n">
        <v>46155</v>
      </c>
      <c r="B12677" s="216" t="n">
        <v>185</v>
      </c>
      <c r="C12677" s="216" t="n">
        <v>233.97</v>
      </c>
      <c r="D12677" s="216" t="n">
        <v>1.152537941932678</v>
      </c>
      <c r="E12677" s="215" t="n">
        <v>46155</v>
      </c>
      <c r="F12677" s="215" t="n">
        <v>46155</v>
      </c>
    </row>
    <row r="12678">
      <c r="A12678" s="215" t="n">
        <v>46156</v>
      </c>
      <c r="B12678" s="216" t="n">
        <v>162.3</v>
      </c>
      <c r="C12678" s="216" t="n">
        <v>218.39</v>
      </c>
      <c r="D12678" s="216" t="n">
        <v>1.152662992477417</v>
      </c>
      <c r="E12678" s="215" t="n">
        <v>46156</v>
      </c>
      <c r="F12678" s="215" t="n">
        <v>46156</v>
      </c>
    </row>
    <row r="12679">
      <c r="A12679" s="215" t="n">
        <v>46157</v>
      </c>
      <c r="B12679" s="216" t="n">
        <v>162.3</v>
      </c>
      <c r="C12679" s="216" t="n">
        <v>221.95</v>
      </c>
      <c r="D12679" s="216" t="n">
        <v>1.154320001602173</v>
      </c>
      <c r="E12679" s="215" t="n">
        <v>46157</v>
      </c>
      <c r="F12679" s="215" t="n">
        <v>46157</v>
      </c>
    </row>
    <row r="12680">
      <c r="A12680" s="215" t="n">
        <v>46160</v>
      </c>
      <c r="B12680" s="216" t="n">
        <v>156.8</v>
      </c>
      <c r="C12680" s="216" t="n">
        <v>216.55</v>
      </c>
      <c r="D12680" s="216" t="n">
        <v>1.149821996688843</v>
      </c>
      <c r="E12680" s="215" t="n">
        <v>46160</v>
      </c>
      <c r="F12680" s="215" t="n">
        <v>46160</v>
      </c>
    </row>
    <row r="12681">
      <c r="A12681" s="215" t="n">
        <v>46161</v>
      </c>
      <c r="B12681" s="216" t="n">
        <v>159.5</v>
      </c>
      <c r="C12681" s="216" t="n">
        <v>218.31</v>
      </c>
      <c r="D12681" s="216" t="n">
        <v>1.151532053947449</v>
      </c>
      <c r="E12681" s="215" t="n">
        <v>46161</v>
      </c>
      <c r="F12681" s="215" t="n">
        <v>46161</v>
      </c>
    </row>
    <row r="12682">
      <c r="A12682" s="215" t="n">
        <v>46162</v>
      </c>
      <c r="B12682" s="216" t="n">
        <v>164.5</v>
      </c>
      <c r="C12682" s="216" t="n">
        <v>224</v>
      </c>
      <c r="D12682" s="216" t="n">
        <v>1.149292945861816</v>
      </c>
      <c r="E12682" s="215" t="n">
        <v>46162</v>
      </c>
      <c r="F12682" s="215" t="n">
        <v>46162</v>
      </c>
    </row>
    <row r="12683">
      <c r="A12683" s="215" t="n">
        <v>46163</v>
      </c>
      <c r="B12683" s="216" t="n">
        <v>179.2</v>
      </c>
      <c r="C12683" s="216" t="n">
        <v>249.46</v>
      </c>
      <c r="D12683" s="216" t="n">
        <v>1.151231050491333</v>
      </c>
      <c r="E12683" s="215" t="n">
        <v>46163</v>
      </c>
      <c r="F12683" s="215" t="n">
        <v>46163</v>
      </c>
    </row>
    <row r="12684">
      <c r="A12684" s="215" t="n">
        <v>46164</v>
      </c>
      <c r="B12684" s="216" t="n">
        <v>188</v>
      </c>
      <c r="C12684" s="216" t="n">
        <v>274</v>
      </c>
      <c r="D12684" s="216" t="n">
        <v>1.151487946510315</v>
      </c>
      <c r="E12684" s="215" t="n">
        <v>46164</v>
      </c>
      <c r="F12684" s="215" t="n">
        <v>46164</v>
      </c>
    </row>
    <row r="12685">
      <c r="A12685" s="215" t="n">
        <v>46168</v>
      </c>
      <c r="B12685" s="216" t="n">
        <v>192.4</v>
      </c>
      <c r="C12685" s="216" t="n">
        <v>285.36</v>
      </c>
      <c r="D12685" s="216" t="n">
        <v>1.152968049049377</v>
      </c>
      <c r="E12685" s="215" t="n">
        <v>46168</v>
      </c>
      <c r="F12685" s="215" t="n">
        <v>46168</v>
      </c>
    </row>
    <row r="12686">
      <c r="A12686" s="215" t="n">
        <v>46169</v>
      </c>
      <c r="B12686" s="216" t="n">
        <v>191.3</v>
      </c>
      <c r="C12686" s="216" t="n">
        <v>303</v>
      </c>
      <c r="D12686" s="216" t="n">
        <v>1.154562950134277</v>
      </c>
      <c r="E12686" s="215" t="n">
        <v>46169</v>
      </c>
      <c r="F12686" s="215" t="n">
        <v>46169</v>
      </c>
    </row>
    <row r="12687">
      <c r="A12687" s="215" t="n">
        <v>46170</v>
      </c>
      <c r="B12687" s="216" t="n">
        <v>187.2</v>
      </c>
      <c r="C12687" s="216" t="n">
        <v>294.99</v>
      </c>
      <c r="D12687" s="216" t="n">
        <v>1.155385971069336</v>
      </c>
      <c r="E12687" s="215" t="n">
        <v>46170</v>
      </c>
      <c r="F12687" s="215" t="n">
        <v>46170</v>
      </c>
    </row>
    <row r="12688">
      <c r="A12688" s="215" t="n">
        <v>46171</v>
      </c>
      <c r="B12688" s="216" t="n">
        <v>180</v>
      </c>
      <c r="C12688" s="216" t="n">
        <v>279</v>
      </c>
      <c r="D12688" s="216" t="n">
        <v>1.155282974243164</v>
      </c>
      <c r="E12688" s="215" t="n">
        <v>46171</v>
      </c>
      <c r="F12688" s="215" t="n">
        <v>46171</v>
      </c>
    </row>
    <row r="12689">
      <c r="A12689" s="215" t="n">
        <v>46174</v>
      </c>
      <c r="B12689" s="216" t="n">
        <v>180.3</v>
      </c>
      <c r="C12689" s="216" t="n">
        <v>275.8</v>
      </c>
      <c r="D12689" s="216" t="n">
        <v>1.158049941062927</v>
      </c>
      <c r="E12689" s="215" t="n">
        <v>46174</v>
      </c>
      <c r="F12689" s="215" t="n">
        <v>46174</v>
      </c>
    </row>
    <row r="12690">
      <c r="A12690" s="215" t="n">
        <v>46175</v>
      </c>
      <c r="B12690" s="216" t="n">
        <v>174</v>
      </c>
      <c r="C12690" s="216" t="n">
        <v>279.1</v>
      </c>
      <c r="D12690" s="216" t="n">
        <v>1.158406972885132</v>
      </c>
      <c r="E12690" s="215" t="n">
        <v>46175</v>
      </c>
      <c r="F12690" s="215" t="n">
        <v>46175</v>
      </c>
    </row>
    <row r="12691">
      <c r="A12691" s="215" t="n">
        <v>46176</v>
      </c>
      <c r="B12691" s="216" t="n">
        <v>173</v>
      </c>
      <c r="C12691" s="216" t="n">
        <v>285.99</v>
      </c>
      <c r="D12691" s="216" t="n">
        <v>1.15879499912262</v>
      </c>
      <c r="E12691" s="215" t="n">
        <v>46176</v>
      </c>
      <c r="F12691" s="215" t="n">
        <v>46176</v>
      </c>
    </row>
    <row r="12692">
      <c r="A12692" s="215" t="n">
        <v>46177</v>
      </c>
      <c r="B12692" s="216" t="n">
        <v>176</v>
      </c>
      <c r="C12692" s="216" t="n">
        <v>298.8</v>
      </c>
      <c r="D12692" s="216" t="n">
        <v>1.157420039176941</v>
      </c>
      <c r="E12692" s="215" t="n">
        <v>46177</v>
      </c>
      <c r="F12692" s="215" t="n">
        <v>46177</v>
      </c>
    </row>
    <row r="12693">
      <c r="A12693" s="215" t="n">
        <v>46178</v>
      </c>
      <c r="B12693" s="216" t="n">
        <v>166.9</v>
      </c>
      <c r="C12693" s="216" t="n">
        <v>277.2</v>
      </c>
      <c r="D12693" s="216" t="n">
        <v>1.156491994857788</v>
      </c>
      <c r="E12693" s="215" t="n">
        <v>46178</v>
      </c>
      <c r="F12693" s="215" t="n">
        <v>46178</v>
      </c>
    </row>
    <row r="12694">
      <c r="A12694" s="215" t="n">
        <v>46181</v>
      </c>
      <c r="B12694" s="216" t="n">
        <v>165</v>
      </c>
      <c r="C12694" s="216" t="n">
        <v>277.67</v>
      </c>
      <c r="D12694" s="216" t="n">
        <v>1.157665967941284</v>
      </c>
      <c r="E12694" s="215" t="n">
        <v>46181</v>
      </c>
      <c r="F12694" s="215" t="n">
        <v>46181</v>
      </c>
    </row>
    <row r="12695">
      <c r="A12695" s="215" t="n">
        <v>46182</v>
      </c>
      <c r="B12695" s="216" t="n">
        <v>162.6</v>
      </c>
      <c r="C12695" s="216" t="n">
        <v>288.68</v>
      </c>
      <c r="D12695" s="216" t="n">
        <v>1.158027052879333</v>
      </c>
      <c r="E12695" s="215" t="n">
        <v>46182</v>
      </c>
      <c r="F12695" s="215" t="n">
        <v>46182</v>
      </c>
    </row>
    <row r="12696">
      <c r="A12696" s="215" t="n">
        <v>46183</v>
      </c>
      <c r="B12696" s="216" t="n">
        <v>155.8</v>
      </c>
      <c r="C12696" s="216" t="n">
        <v>270.81</v>
      </c>
      <c r="D12696" s="216" t="n">
        <v>1.157112002372742</v>
      </c>
      <c r="E12696" s="215" t="n">
        <v>46183</v>
      </c>
      <c r="F12696" s="215" t="n">
        <v>46183</v>
      </c>
    </row>
    <row r="12697">
      <c r="A12697" s="215" t="n">
        <v>46184</v>
      </c>
      <c r="B12697" s="216" t="n">
        <v>151.5</v>
      </c>
      <c r="C12697" s="216" t="n">
        <v>263.09</v>
      </c>
      <c r="D12697" s="216" t="n">
        <v>1.156929016113281</v>
      </c>
      <c r="E12697" s="215" t="n">
        <v>46184</v>
      </c>
      <c r="F12697" s="215" t="n">
        <v>46184</v>
      </c>
    </row>
    <row r="12698">
      <c r="A12698" s="215" t="n">
        <v>46185</v>
      </c>
      <c r="B12698" s="216" t="n">
        <v>154.2</v>
      </c>
      <c r="C12698" s="216" t="n">
        <v>277</v>
      </c>
      <c r="D12698" s="216" t="n">
        <v>1.156345963478088</v>
      </c>
      <c r="E12698" s="215" t="n">
        <v>46185</v>
      </c>
      <c r="F12698" s="215" t="n">
        <v>46185</v>
      </c>
    </row>
    <row r="12699">
      <c r="A12699" s="215" t="n">
        <v>46188</v>
      </c>
      <c r="B12699" s="216" t="n">
        <v>171.2</v>
      </c>
      <c r="C12699" s="216" t="n">
        <v>304.4</v>
      </c>
      <c r="D12699" s="216" t="n">
        <v>1.156880021095276</v>
      </c>
      <c r="E12699" s="215" t="n">
        <v>46188</v>
      </c>
      <c r="F12699" s="215" t="n">
        <v>46188</v>
      </c>
    </row>
    <row r="12700">
      <c r="A12700" s="215" t="n">
        <v>46189</v>
      </c>
      <c r="B12700" s="216" t="n">
        <v>174.2</v>
      </c>
      <c r="C12700" s="216" t="n">
        <v>326</v>
      </c>
      <c r="D12700" s="216" t="n">
        <v>1.158604025840759</v>
      </c>
      <c r="E12700" s="215" t="n">
        <v>46189</v>
      </c>
      <c r="F12700" s="215" t="n">
        <v>46189</v>
      </c>
    </row>
    <row r="12701">
      <c r="A12701" s="215" t="n">
        <v>46190</v>
      </c>
      <c r="B12701" s="216" t="n">
        <v>182</v>
      </c>
      <c r="C12701" s="216" t="n">
        <v>328.08</v>
      </c>
      <c r="D12701" s="216" t="n">
        <v>1.158974051475525</v>
      </c>
      <c r="E12701" s="215" t="n">
        <v>46190</v>
      </c>
      <c r="F12701" s="215" t="n">
        <v>46190</v>
      </c>
    </row>
    <row r="12702">
      <c r="A12702" s="215" t="n">
        <v>46191</v>
      </c>
      <c r="B12702" s="216" t="n">
        <v>192.4</v>
      </c>
      <c r="C12702" s="216" t="n">
        <v>337</v>
      </c>
      <c r="D12702" s="216" t="n">
        <v>1.159355998039246</v>
      </c>
      <c r="E12702" s="215" t="n">
        <v>46191</v>
      </c>
      <c r="F12702" s="215" t="n">
        <v>46191</v>
      </c>
    </row>
    <row r="12703">
      <c r="A12703" s="215" t="n">
        <v>46195</v>
      </c>
      <c r="B12703" s="216" t="n">
        <v>193</v>
      </c>
      <c r="C12703" s="216" t="n">
        <v>338.96</v>
      </c>
      <c r="D12703" s="216" t="n">
        <v>1.157493948936462</v>
      </c>
      <c r="E12703" s="215" t="n">
        <v>46195</v>
      </c>
      <c r="F12703" s="215" t="n">
        <v>46195</v>
      </c>
    </row>
    <row r="12704">
      <c r="A12704" s="215" t="n">
        <v>46196</v>
      </c>
      <c r="B12704" s="216" t="n">
        <v>180.7</v>
      </c>
      <c r="C12704" s="216" t="n">
        <v>346.44</v>
      </c>
      <c r="D12704" s="216" t="n">
        <v>1.156896948814392</v>
      </c>
      <c r="E12704" s="215" t="n">
        <v>46196</v>
      </c>
      <c r="F12704" s="215" t="n">
        <v>46196</v>
      </c>
    </row>
    <row r="12705">
      <c r="A12705" s="215" t="n">
        <v>46197</v>
      </c>
      <c r="B12705" s="216" t="n">
        <v>184.3</v>
      </c>
      <c r="C12705" s="216" t="n">
        <v>357.46</v>
      </c>
      <c r="D12705" s="216" t="n">
        <v>1.154508948326111</v>
      </c>
      <c r="E12705" s="215" t="n">
        <v>46197</v>
      </c>
      <c r="F12705" s="215" t="n">
        <v>46197</v>
      </c>
    </row>
    <row r="12706">
      <c r="A12706" s="215" t="n">
        <v>46198</v>
      </c>
      <c r="B12706" s="216" t="n">
        <v>195.5</v>
      </c>
      <c r="C12706" s="216" t="n">
        <v>387.54</v>
      </c>
      <c r="D12706" s="216" t="n">
        <v>1.154152035713196</v>
      </c>
      <c r="E12706" s="215" t="n">
        <v>46198</v>
      </c>
      <c r="F12706" s="215" t="n">
        <v>46198</v>
      </c>
    </row>
    <row r="12707">
      <c r="A12707" s="215" t="n">
        <v>46199</v>
      </c>
      <c r="B12707" s="216" t="n">
        <v>180</v>
      </c>
      <c r="C12707" s="216" t="n">
        <v>370.78</v>
      </c>
      <c r="D12707" s="216" t="n">
        <v>1.154500961303711</v>
      </c>
      <c r="E12707" s="215" t="n">
        <v>46199</v>
      </c>
      <c r="F12707" s="215" t="n">
        <v>46199</v>
      </c>
    </row>
    <row r="12708">
      <c r="A12708" s="215" t="n">
        <v>46202</v>
      </c>
      <c r="B12708" s="216" t="n">
        <v>173.4</v>
      </c>
      <c r="C12708" s="216" t="n">
        <v>343.45</v>
      </c>
      <c r="D12708" s="216" t="n">
        <v>1.153512001037598</v>
      </c>
      <c r="E12708" s="215" t="n">
        <v>46202</v>
      </c>
      <c r="F12708" s="215" t="n">
        <v>46202</v>
      </c>
    </row>
    <row r="12709">
      <c r="A12709" s="215" t="n">
        <v>46203</v>
      </c>
      <c r="B12709" s="216" t="n">
        <v>181.7</v>
      </c>
      <c r="C12709" s="216" t="n">
        <v>360.65</v>
      </c>
      <c r="D12709" s="216" t="n">
        <v>1.153959035873413</v>
      </c>
      <c r="E12709" s="215" t="n">
        <v>46203</v>
      </c>
      <c r="F12709" s="215" t="n">
        <v>46203</v>
      </c>
    </row>
    <row r="12710">
      <c r="A12710" s="215" t="n">
        <v>46205</v>
      </c>
      <c r="B12710" s="216" t="n">
        <v>163.3</v>
      </c>
      <c r="C12710" s="216" t="n">
        <v>348.6</v>
      </c>
      <c r="D12710" s="216" t="n">
        <v>1.154355049133301</v>
      </c>
      <c r="E12710" s="215" t="n">
        <v>46205</v>
      </c>
      <c r="F12710" s="215" t="n">
        <v>46205</v>
      </c>
    </row>
    <row r="12711">
      <c r="A12711" s="215" t="n">
        <v>46206</v>
      </c>
      <c r="B12711" s="216" t="n">
        <v>160</v>
      </c>
      <c r="C12711" s="216" t="n">
        <v>343</v>
      </c>
      <c r="D12711" s="216" t="n">
        <v>1.155220985412598</v>
      </c>
      <c r="E12711" s="215" t="n">
        <v>46206</v>
      </c>
      <c r="F12711" s="215" t="n">
        <v>46206</v>
      </c>
    </row>
    <row r="12712">
      <c r="A12712" s="215" t="n">
        <v>46209</v>
      </c>
      <c r="B12712" s="216" t="n">
        <v>148.8</v>
      </c>
      <c r="C12712" s="216" t="n">
        <v>342.9</v>
      </c>
      <c r="D12712" s="216" t="n">
        <v>1.155068039894104</v>
      </c>
      <c r="E12712" s="215" t="n">
        <v>46209</v>
      </c>
      <c r="F12712" s="215" t="n">
        <v>46209</v>
      </c>
    </row>
    <row r="12713">
      <c r="A12713" s="215" t="n">
        <v>46210</v>
      </c>
      <c r="B12713" s="216" t="n">
        <v>136.3</v>
      </c>
      <c r="C12713" s="216" t="n">
        <v>336.63</v>
      </c>
      <c r="D12713" s="216" t="n">
        <v>1.153807997703552</v>
      </c>
      <c r="E12713" s="215" t="n">
        <v>46210</v>
      </c>
      <c r="F12713" s="215" t="n">
        <v>46210</v>
      </c>
    </row>
    <row r="12714">
      <c r="A12714" s="215" t="n">
        <v>46211</v>
      </c>
      <c r="B12714" s="216" t="n">
        <v>133.3</v>
      </c>
      <c r="C12714" s="216" t="n">
        <v>314</v>
      </c>
      <c r="D12714" s="216" t="n">
        <v>1.154153943061829</v>
      </c>
      <c r="E12714" s="215" t="n">
        <v>46211</v>
      </c>
      <c r="F12714" s="215" t="n">
        <v>46211</v>
      </c>
    </row>
    <row r="12715">
      <c r="A12715" s="215" t="n">
        <v>46212</v>
      </c>
      <c r="B12715" s="216" t="n">
        <v>145</v>
      </c>
      <c r="C12715" s="216" t="n">
        <v>328</v>
      </c>
      <c r="D12715" s="216" t="n">
        <v>1.152119994163513</v>
      </c>
      <c r="E12715" s="215" t="n">
        <v>46212</v>
      </c>
      <c r="F12715" s="215" t="n">
        <v>46212</v>
      </c>
    </row>
    <row r="12716">
      <c r="A12716" s="215" t="n">
        <v>46213</v>
      </c>
      <c r="B12716" s="216" t="n">
        <v>137</v>
      </c>
      <c r="C12716" s="216" t="n">
        <v>336</v>
      </c>
      <c r="D12716" s="216" t="n">
        <v>1.153550028800964</v>
      </c>
      <c r="E12716" s="215" t="n">
        <v>46213</v>
      </c>
      <c r="F12716" s="215" t="n">
        <v>46213</v>
      </c>
    </row>
    <row r="12717">
      <c r="A12717" s="215" t="n">
        <v>46216</v>
      </c>
      <c r="B12717" s="216" t="n">
        <v>121.1</v>
      </c>
      <c r="C12717" s="216" t="n">
        <v>303.01</v>
      </c>
      <c r="D12717" s="216" t="n">
        <v>1.156761050224304</v>
      </c>
      <c r="E12717" s="215" t="n">
        <v>46216</v>
      </c>
      <c r="F12717" s="215" t="n">
        <v>46216</v>
      </c>
    </row>
    <row r="12718">
      <c r="A12718" s="215" t="n">
        <v>46217</v>
      </c>
      <c r="B12718" s="216" t="n">
        <v>126.9</v>
      </c>
      <c r="C12718" s="216" t="n">
        <v>327</v>
      </c>
      <c r="D12718" s="216" t="n">
        <v>1.155825972557068</v>
      </c>
      <c r="E12718" s="215" t="n">
        <v>46217</v>
      </c>
      <c r="F12718" s="215" t="n">
        <v>46217</v>
      </c>
    </row>
    <row r="12719">
      <c r="A12719" s="215" t="n">
        <v>46218</v>
      </c>
      <c r="B12719" s="216" t="n">
        <v>126.7</v>
      </c>
      <c r="C12719" s="216" t="n">
        <v>312</v>
      </c>
      <c r="D12719" s="216" t="n">
        <v>1.157556056976318</v>
      </c>
      <c r="E12719" s="215" t="n">
        <v>46218</v>
      </c>
      <c r="F12719" s="215" t="n">
        <v>46218</v>
      </c>
    </row>
    <row r="12720">
      <c r="A12720" s="215" t="n">
        <v>46219</v>
      </c>
      <c r="B12720" s="216" t="n">
        <v>116.3</v>
      </c>
      <c r="C12720" s="216" t="n">
        <v>287.88</v>
      </c>
      <c r="D12720" s="216" t="n">
        <v>1.157912969589233</v>
      </c>
      <c r="E12720" s="215" t="n">
        <v>46219</v>
      </c>
      <c r="F12720" s="215" t="n">
        <v>46219</v>
      </c>
    </row>
    <row r="12721">
      <c r="A12721" s="215" t="n">
        <v>46220</v>
      </c>
      <c r="B12721" s="216" t="n">
        <v>109.2</v>
      </c>
      <c r="C12721" s="216" t="n">
        <v>256.3</v>
      </c>
      <c r="D12721" s="216" t="n">
        <v>1.157472014427185</v>
      </c>
      <c r="E12721" s="215" t="n">
        <v>46220</v>
      </c>
      <c r="F12721" s="215" t="n">
        <v>46220</v>
      </c>
    </row>
    <row r="12722">
      <c r="A12722" s="215" t="n">
        <v>46223</v>
      </c>
      <c r="B12722" s="216" t="n">
        <v>110</v>
      </c>
      <c r="C12722" s="216" t="n">
        <v>225.5</v>
      </c>
      <c r="D12722" s="216" t="n">
        <v>1.157451033592224</v>
      </c>
      <c r="E12722" s="215" t="n">
        <v>46223</v>
      </c>
      <c r="F12722" s="215" t="n">
        <v>46223</v>
      </c>
    </row>
    <row r="12723">
      <c r="A12723" s="215" t="n">
        <v>46224</v>
      </c>
      <c r="B12723" s="216" t="n">
        <v>119.7</v>
      </c>
      <c r="C12723" s="216" t="n">
        <v>259.46</v>
      </c>
      <c r="D12723" s="216" t="n">
        <v>1.157506942749023</v>
      </c>
      <c r="E12723" s="215" t="n">
        <v>46224</v>
      </c>
      <c r="F12723" s="215" t="n">
        <v>46224</v>
      </c>
    </row>
    <row r="12724">
      <c r="A12724" s="215" t="n">
        <v>46225</v>
      </c>
      <c r="B12724" s="216" t="n">
        <v>115.6</v>
      </c>
      <c r="C12724" s="216" t="n">
        <v>250.05</v>
      </c>
      <c r="D12724" s="216" t="n">
        <v>1.158938050270081</v>
      </c>
      <c r="E12724" s="215" t="n">
        <v>46225</v>
      </c>
      <c r="F12724" s="215" t="n">
        <v>46225</v>
      </c>
    </row>
    <row r="12725">
      <c r="A12725" s="215" t="n">
        <v>46226</v>
      </c>
      <c r="B12725" s="216" t="n">
        <v>113</v>
      </c>
      <c r="C12725" s="216" t="n">
        <v>249.58</v>
      </c>
      <c r="D12725" s="216" t="n">
        <v>1.157410979270935</v>
      </c>
      <c r="E12725" s="215" t="n">
        <v>46226</v>
      </c>
      <c r="F12725" s="215" t="n">
        <v>46226</v>
      </c>
    </row>
    <row r="12726">
      <c r="A12726" s="215" t="n">
        <v>46227</v>
      </c>
      <c r="B12726" s="216" t="n">
        <v>107</v>
      </c>
      <c r="C12726" s="216" t="n">
        <v>260.34</v>
      </c>
      <c r="D12726" s="216" t="n">
        <v>1.15762197971344</v>
      </c>
      <c r="E12726" s="215" t="n">
        <v>46227</v>
      </c>
      <c r="F12726" s="215" t="n">
        <v>46227</v>
      </c>
    </row>
    <row r="12727">
      <c r="A12727" s="215" t="n">
        <v>46230</v>
      </c>
      <c r="B12727" s="216" t="n">
        <v>111.7</v>
      </c>
      <c r="C12727" s="216" t="n">
        <v>265.17</v>
      </c>
      <c r="D12727" s="216" t="n">
        <v>1.15789794921875</v>
      </c>
      <c r="E12727" s="215" t="n">
        <v>46230</v>
      </c>
      <c r="F12727" s="215" t="n">
        <v>46230</v>
      </c>
    </row>
    <row r="12728">
      <c r="A12728" s="215" t="n">
        <v>46231</v>
      </c>
      <c r="B12728" s="216" t="n">
        <v>97.7</v>
      </c>
      <c r="C12728" s="216" t="n">
        <v>236.32</v>
      </c>
      <c r="D12728" s="216" t="n">
        <v>1.158699035644531</v>
      </c>
      <c r="E12728" s="215" t="n">
        <v>46231</v>
      </c>
      <c r="F12728" s="215" t="n">
        <v>46231</v>
      </c>
    </row>
    <row r="12729">
      <c r="A12729" s="215" t="n">
        <v>46232</v>
      </c>
      <c r="B12729" s="216" t="n">
        <v>94.65000000000001</v>
      </c>
      <c r="C12729" s="216" t="n">
        <v>230.56</v>
      </c>
      <c r="D12729" s="216" t="n">
        <v>1.157909989356995</v>
      </c>
      <c r="E12729" s="215" t="n">
        <v>46232</v>
      </c>
      <c r="F12729" s="215" t="n">
        <v>46232</v>
      </c>
    </row>
    <row r="12730">
      <c r="A12730" s="215" t="n">
        <v>46233</v>
      </c>
      <c r="B12730" s="216" t="n">
        <v>84.25</v>
      </c>
      <c r="C12730" s="216" t="n">
        <v>211.4</v>
      </c>
      <c r="D12730" s="216" t="n">
        <v>1.158943057060242</v>
      </c>
      <c r="E12730" s="215" t="n">
        <v>46233</v>
      </c>
      <c r="F12730" s="215" t="n">
        <v>46233</v>
      </c>
    </row>
    <row r="12731">
      <c r="A12731" s="215" t="n">
        <v>46234</v>
      </c>
      <c r="B12731" s="216" t="n">
        <v>94.3</v>
      </c>
      <c r="C12731" s="216" t="n">
        <v>233</v>
      </c>
      <c r="D12731" s="216" t="n">
        <v>1.160945057868958</v>
      </c>
      <c r="E12731" s="215" t="n">
        <v>46234</v>
      </c>
      <c r="F12731" s="215" t="n">
        <v>46234</v>
      </c>
    </row>
    <row r="12732">
      <c r="A12732" s="215" t="n">
        <v>46237</v>
      </c>
      <c r="B12732" s="216" t="n">
        <v>90.05</v>
      </c>
      <c r="C12732" s="216" t="n">
        <v>223.27</v>
      </c>
      <c r="D12732" s="216" t="n">
        <v>1.161579966545105</v>
      </c>
      <c r="E12732" s="215" t="n">
        <v>46237</v>
      </c>
      <c r="F12732" s="215" t="n">
        <v>46237</v>
      </c>
    </row>
    <row r="12733">
      <c r="A12733" s="215" t="n">
        <v>46238</v>
      </c>
      <c r="B12733" s="216" t="n">
        <v>104.4</v>
      </c>
      <c r="C12733" s="216" t="n">
        <v>247.49</v>
      </c>
      <c r="D12733" s="216" t="n">
        <v>1.161064982414246</v>
      </c>
      <c r="E12733" s="215" t="n">
        <v>46238</v>
      </c>
      <c r="F12733" s="215" t="n">
        <v>46238</v>
      </c>
    </row>
    <row r="12734">
      <c r="A12734" s="215" t="n">
        <v>46239</v>
      </c>
      <c r="B12734" s="216" t="n">
        <v>108.6</v>
      </c>
      <c r="C12734" s="216" t="n">
        <v>261.39</v>
      </c>
      <c r="D12734" s="216" t="n">
        <v>1.161146998405457</v>
      </c>
      <c r="E12734" s="215" t="n">
        <v>46239</v>
      </c>
      <c r="F12734" s="215" t="n">
        <v>46239</v>
      </c>
    </row>
    <row r="12735">
      <c r="A12735" s="215" t="n">
        <v>46240</v>
      </c>
      <c r="B12735" s="216" t="n">
        <v>102.5</v>
      </c>
      <c r="C12735" s="216" t="n">
        <v>269.31</v>
      </c>
      <c r="D12735" s="216" t="n">
        <v>1.161936044692993</v>
      </c>
      <c r="E12735" s="215" t="n">
        <v>46240</v>
      </c>
      <c r="F12735" s="215" t="n">
        <v>46240</v>
      </c>
    </row>
    <row r="12736">
      <c r="A12736" s="215" t="n">
        <v>46241</v>
      </c>
      <c r="B12736" s="216" t="n">
        <v>109.6</v>
      </c>
      <c r="C12736" s="216" t="n">
        <v>283.8</v>
      </c>
      <c r="D12736" s="216" t="n">
        <v>1.162284016609192</v>
      </c>
      <c r="E12736" s="215" t="n">
        <v>46241</v>
      </c>
      <c r="F12736" s="215" t="n">
        <v>46241</v>
      </c>
    </row>
    <row r="12737">
      <c r="A12737" s="215" t="n">
        <v>46244</v>
      </c>
      <c r="B12737" s="216" t="n">
        <v>107.4</v>
      </c>
      <c r="C12737" s="216" t="n">
        <v>276.01</v>
      </c>
      <c r="D12737" s="216" t="n">
        <v>1.162629961967468</v>
      </c>
      <c r="E12737" s="215" t="n">
        <v>46244</v>
      </c>
      <c r="F12737" s="215" t="n">
        <v>46244</v>
      </c>
    </row>
    <row r="12738">
      <c r="A12738" s="215" t="n">
        <v>46245</v>
      </c>
      <c r="B12738" s="216" t="n">
        <v>104.7</v>
      </c>
      <c r="C12738" s="216" t="n">
        <v>272.76</v>
      </c>
      <c r="D12738" s="216" t="n">
        <v>1.162588000297546</v>
      </c>
      <c r="E12738" s="215" t="n">
        <v>46245</v>
      </c>
      <c r="F12738" s="215" t="n">
        <v>46245</v>
      </c>
    </row>
    <row r="12739">
      <c r="A12739" s="215" t="n">
        <v>46246</v>
      </c>
      <c r="B12739" s="216" t="n">
        <v>108.1</v>
      </c>
      <c r="C12739" s="216" t="n">
        <v>281.16</v>
      </c>
      <c r="D12739" s="216" t="n">
        <v>1.163135051727295</v>
      </c>
      <c r="E12739" s="215" t="n">
        <v>46246</v>
      </c>
      <c r="F12739" s="215" t="n">
        <v>46246</v>
      </c>
    </row>
    <row r="12740">
      <c r="A12740" s="215" t="n">
        <v>46247</v>
      </c>
      <c r="B12740" s="216" t="n">
        <v>111.3</v>
      </c>
      <c r="C12740" s="216" t="n">
        <v>287.06</v>
      </c>
      <c r="D12740" s="216" t="n">
        <v>1.163341045379639</v>
      </c>
      <c r="E12740" s="215" t="n">
        <v>46247</v>
      </c>
      <c r="F12740" s="215" t="n">
        <v>46247</v>
      </c>
    </row>
    <row r="12741">
      <c r="A12741" s="215" t="n">
        <v>46248</v>
      </c>
      <c r="B12741" s="216" t="n">
        <v>109.6</v>
      </c>
      <c r="C12741" s="216" t="n">
        <v>290.09</v>
      </c>
      <c r="D12741" s="216" t="n">
        <v>1.163571000099182</v>
      </c>
      <c r="E12741" s="215" t="n">
        <v>46248</v>
      </c>
      <c r="F12741" s="215" t="n">
        <v>46248</v>
      </c>
    </row>
    <row r="12742">
      <c r="A12742" s="215" t="n">
        <v>46251</v>
      </c>
      <c r="B12742" s="216" t="n">
        <v>113.9</v>
      </c>
      <c r="C12742" s="216" t="n">
        <v>300.88</v>
      </c>
      <c r="D12742" s="216" t="n">
        <v>1.163601994514465</v>
      </c>
      <c r="E12742" s="215" t="n">
        <v>46251</v>
      </c>
      <c r="F12742" s="215" t="n">
        <v>46251</v>
      </c>
    </row>
    <row r="12743">
      <c r="A12743" s="215" t="n">
        <v>46252</v>
      </c>
      <c r="B12743" s="216" t="n">
        <v>114.3</v>
      </c>
      <c r="C12743" s="216" t="n">
        <v>309</v>
      </c>
      <c r="D12743" s="216" t="n">
        <v>1.163733005523682</v>
      </c>
      <c r="E12743" s="215" t="n">
        <v>46252</v>
      </c>
      <c r="F12743" s="215" t="n">
        <v>46252</v>
      </c>
    </row>
    <row r="12744">
      <c r="A12744" s="215" t="n">
        <v>46253</v>
      </c>
      <c r="B12744" s="216" t="n">
        <v>105.6</v>
      </c>
      <c r="C12744" s="216" t="n">
        <v>294.01</v>
      </c>
      <c r="D12744" s="216" t="n">
        <v>1.163092017173767</v>
      </c>
      <c r="E12744" s="215" t="n">
        <v>46253</v>
      </c>
      <c r="F12744" s="215" t="n">
        <v>46253</v>
      </c>
    </row>
    <row r="12745">
      <c r="A12745" s="215" t="n">
        <v>46254</v>
      </c>
      <c r="B12745" s="216" t="n">
        <v>104.8</v>
      </c>
      <c r="C12745" s="216" t="n">
        <v>286.93</v>
      </c>
      <c r="D12745" s="216" t="n">
        <v>1.164932012557983</v>
      </c>
      <c r="E12745" s="215" t="n">
        <v>46254</v>
      </c>
      <c r="F12745" s="215" t="n">
        <v>46254</v>
      </c>
    </row>
    <row r="12746">
      <c r="A12746" s="215" t="n">
        <v>46255</v>
      </c>
      <c r="B12746" s="216" t="n">
        <v>104.5</v>
      </c>
      <c r="C12746" s="216" t="n">
        <v>282.01</v>
      </c>
      <c r="D12746" s="216" t="n">
        <v>1.166555047035217</v>
      </c>
      <c r="E12746" s="215" t="n">
        <v>46255</v>
      </c>
      <c r="F12746" s="215" t="n">
        <v>46255</v>
      </c>
    </row>
    <row r="12747">
      <c r="A12747" s="215" t="n">
        <v>46258</v>
      </c>
      <c r="B12747" s="216" t="n">
        <v>93.95</v>
      </c>
      <c r="C12747" s="216" t="n">
        <v>267</v>
      </c>
      <c r="D12747" s="216" t="n">
        <v>1.166316986083984</v>
      </c>
      <c r="E12747" s="215" t="n">
        <v>46258</v>
      </c>
      <c r="F12747" s="215" t="n">
        <v>46258</v>
      </c>
    </row>
    <row r="12748">
      <c r="A12748" s="215" t="n">
        <v>46259</v>
      </c>
      <c r="B12748" s="216" t="n">
        <v>100.8</v>
      </c>
      <c r="C12748" s="216" t="n">
        <v>269.06</v>
      </c>
      <c r="D12748" s="216" t="n">
        <v>1.165253043174744</v>
      </c>
      <c r="E12748" s="215" t="n">
        <v>46259</v>
      </c>
      <c r="F12748" s="215" t="n">
        <v>46259</v>
      </c>
    </row>
    <row r="12749">
      <c r="A12749" s="215" t="n">
        <v>46260</v>
      </c>
      <c r="B12749" s="216" t="n">
        <v>100.5</v>
      </c>
      <c r="C12749" s="216" t="n">
        <v>268.6</v>
      </c>
      <c r="D12749" s="216" t="n">
        <v>1.166218996047974</v>
      </c>
      <c r="E12749" s="215" t="n">
        <v>46260</v>
      </c>
      <c r="F12749" s="215" t="n">
        <v>46260</v>
      </c>
    </row>
    <row r="12750">
      <c r="A12750" s="215" t="n">
        <v>46261</v>
      </c>
      <c r="B12750" s="216" t="n">
        <v>106.6</v>
      </c>
      <c r="C12750" s="216" t="n">
        <v>282.4</v>
      </c>
      <c r="D12750" s="216" t="n">
        <v>1.165971040725708</v>
      </c>
      <c r="E12750" s="215" t="n">
        <v>46261</v>
      </c>
      <c r="F12750" s="215" t="n">
        <v>46261</v>
      </c>
    </row>
    <row r="12751">
      <c r="A12751" s="215" t="n">
        <v>46262</v>
      </c>
      <c r="B12751" s="216" t="n">
        <v>102.1</v>
      </c>
      <c r="C12751" s="216" t="n">
        <v>268.36</v>
      </c>
      <c r="D12751" s="216" t="n">
        <v>1.165799975395203</v>
      </c>
      <c r="E12751" s="215" t="n">
        <v>46262</v>
      </c>
      <c r="F12751" s="215" t="n">
        <v>46262</v>
      </c>
    </row>
    <row r="12752">
      <c r="A12752" s="215" t="n">
        <v>46265</v>
      </c>
      <c r="B12752" s="216" t="n">
        <v>114</v>
      </c>
      <c r="C12752" s="216" t="n">
        <v>280</v>
      </c>
      <c r="D12752" s="216" t="n">
        <v>1.165387988090515</v>
      </c>
      <c r="E12752" s="215" t="n">
        <v>46265</v>
      </c>
      <c r="F12752" s="215" t="n">
        <v>46265</v>
      </c>
    </row>
    <row r="12753">
      <c r="A12753" s="215" t="n">
        <v>46266</v>
      </c>
      <c r="B12753" s="216" t="n">
        <v>105.1</v>
      </c>
      <c r="C12753" s="216" t="n">
        <v>268</v>
      </c>
      <c r="D12753" s="216" t="n">
        <v>1.165223956108093</v>
      </c>
      <c r="E12753" s="215" t="n">
        <v>46266</v>
      </c>
      <c r="F12753" s="215" t="n">
        <v>46266</v>
      </c>
    </row>
    <row r="12754">
      <c r="A12754" s="215" t="n">
        <v>46267</v>
      </c>
      <c r="B12754" s="216" t="n">
        <v>102.6</v>
      </c>
      <c r="C12754" s="216" t="n">
        <v>260.6</v>
      </c>
      <c r="D12754" s="216" t="n">
        <v>1.166425943374634</v>
      </c>
      <c r="E12754" s="215" t="n">
        <v>46267</v>
      </c>
      <c r="F12754" s="215" t="n">
        <v>46267</v>
      </c>
    </row>
    <row r="12755">
      <c r="A12755" s="215" t="n">
        <v>46268</v>
      </c>
      <c r="B12755" s="216" t="n">
        <v>105.1</v>
      </c>
      <c r="C12755" s="216" t="n">
        <v>269.17</v>
      </c>
      <c r="D12755" s="216" t="n">
        <v>1.167057037353516</v>
      </c>
      <c r="E12755" s="215" t="n">
        <v>46268</v>
      </c>
      <c r="F12755" s="215" t="n">
        <v>46268</v>
      </c>
    </row>
    <row r="12756">
      <c r="A12756" s="215" t="n">
        <v>46269</v>
      </c>
      <c r="B12756" s="216" t="n">
        <v>100.8</v>
      </c>
      <c r="C12756" s="216" t="n">
        <v>254.4</v>
      </c>
      <c r="D12756" s="216" t="n">
        <v>1.166767954826355</v>
      </c>
      <c r="E12756" s="215" t="n">
        <v>46269</v>
      </c>
      <c r="F12756" s="215" t="n">
        <v>46269</v>
      </c>
    </row>
    <row r="12757">
      <c r="A12757" s="215" t="n">
        <v>46272</v>
      </c>
      <c r="B12757" s="216" t="n">
        <v>108.8</v>
      </c>
      <c r="C12757" s="216" t="n">
        <v>267.9</v>
      </c>
      <c r="D12757" s="216" t="n">
        <v>1.168081045150757</v>
      </c>
      <c r="E12757" s="215" t="n">
        <v>46272</v>
      </c>
      <c r="F12757" s="215" t="n">
        <v>46272</v>
      </c>
    </row>
    <row r="12758">
      <c r="A12758" s="215" t="n">
        <v>46273</v>
      </c>
      <c r="B12758" s="216" t="n">
        <v>106</v>
      </c>
      <c r="C12758" s="216" t="n">
        <v>264.27</v>
      </c>
      <c r="D12758" s="216" t="n">
        <v>1.168115019798279</v>
      </c>
      <c r="E12758" s="215" t="n">
        <v>46273</v>
      </c>
      <c r="F12758" s="215" t="n">
        <v>46273</v>
      </c>
    </row>
    <row r="12759">
      <c r="A12759" s="215" t="n">
        <v>46274</v>
      </c>
      <c r="B12759" s="216" t="n">
        <v>107</v>
      </c>
      <c r="C12759" s="216" t="n">
        <v>263.04</v>
      </c>
      <c r="D12759" s="216" t="n">
        <v>1.168408989906311</v>
      </c>
      <c r="E12759" s="215" t="n">
        <v>46274</v>
      </c>
      <c r="F12759" s="215" t="n">
        <v>46274</v>
      </c>
    </row>
    <row r="12760">
      <c r="A12760" s="215" t="n">
        <v>46275</v>
      </c>
      <c r="B12760" s="216" t="n">
        <v>105.7</v>
      </c>
      <c r="C12760" s="216" t="n">
        <v>260.89</v>
      </c>
      <c r="D12760" s="216" t="n">
        <v>1.168462991714478</v>
      </c>
      <c r="E12760" s="215" t="n">
        <v>46275</v>
      </c>
      <c r="F12760" s="215" t="n">
        <v>46275</v>
      </c>
    </row>
    <row r="12761">
      <c r="A12761" s="215" t="n">
        <v>46276</v>
      </c>
      <c r="B12761" s="216" t="n">
        <v>103.6</v>
      </c>
      <c r="C12761" s="216" t="n">
        <v>259.21</v>
      </c>
      <c r="D12761" s="216" t="n">
        <v>1.169165015220642</v>
      </c>
      <c r="E12761" s="215" t="n">
        <v>46276</v>
      </c>
      <c r="F12761" s="215" t="n">
        <v>46276</v>
      </c>
    </row>
    <row r="12762">
      <c r="A12762" s="215" t="n">
        <v>46279</v>
      </c>
      <c r="B12762" s="216" t="n">
        <v>99.34999999999999</v>
      </c>
      <c r="C12762" s="216" t="n">
        <v>256.08</v>
      </c>
      <c r="D12762" s="216" t="n">
        <v>1.16893994808197</v>
      </c>
      <c r="E12762" s="215" t="n">
        <v>46279</v>
      </c>
      <c r="F12762" s="215" t="n">
        <v>46279</v>
      </c>
    </row>
    <row r="12763">
      <c r="A12763" s="215" t="n">
        <v>46280</v>
      </c>
      <c r="B12763" s="216" t="n">
        <v>104.2</v>
      </c>
      <c r="C12763" s="216" t="n">
        <v>258.4</v>
      </c>
      <c r="D12763" s="216" t="n">
        <v>1.169121026992798</v>
      </c>
      <c r="E12763" s="215" t="n">
        <v>46280</v>
      </c>
      <c r="F12763" s="215" t="n">
        <v>46280</v>
      </c>
    </row>
    <row r="12764">
      <c r="A12764" s="215" t="n">
        <v>46281</v>
      </c>
      <c r="B12764" s="216" t="n">
        <v>110</v>
      </c>
      <c r="C12764" s="216" t="n">
        <v>265.15</v>
      </c>
      <c r="D12764" s="216" t="n">
        <v>1.168769955635071</v>
      </c>
      <c r="E12764" s="215" t="n">
        <v>46281</v>
      </c>
      <c r="F12764" s="215" t="n">
        <v>46281</v>
      </c>
    </row>
    <row r="12765">
      <c r="A12765" s="215" t="n">
        <v>46282</v>
      </c>
      <c r="B12765" s="216" t="n">
        <v>107.1</v>
      </c>
      <c r="C12765" s="216" t="n">
        <v>258.88</v>
      </c>
      <c r="D12765" s="216" t="n">
        <v>1.169389963150024</v>
      </c>
      <c r="E12765" s="215" t="n">
        <v>46282</v>
      </c>
      <c r="F12765" s="215" t="n">
        <v>46282</v>
      </c>
    </row>
    <row r="12766">
      <c r="A12766" s="215" t="n">
        <v>46283</v>
      </c>
      <c r="B12766" s="216" t="n">
        <v>113.8</v>
      </c>
      <c r="C12766" s="216" t="n">
        <v>271.17</v>
      </c>
      <c r="D12766" s="216" t="n">
        <v>1.16942298412323</v>
      </c>
      <c r="E12766" s="215" t="n">
        <v>46283</v>
      </c>
      <c r="F12766" s="215" t="n">
        <v>46283</v>
      </c>
    </row>
    <row r="12767">
      <c r="A12767" s="215" t="n">
        <v>46286</v>
      </c>
      <c r="B12767" s="216" t="n">
        <v>111.6</v>
      </c>
      <c r="C12767" s="216" t="n">
        <v>261.96</v>
      </c>
      <c r="D12767" s="216" t="n">
        <v>1.171280026435852</v>
      </c>
      <c r="E12767" s="215" t="n">
        <v>46286</v>
      </c>
      <c r="F12767" s="215" t="n">
        <v>46286</v>
      </c>
    </row>
    <row r="12768">
      <c r="A12768" s="215" t="n">
        <v>46287</v>
      </c>
      <c r="B12768" s="216" t="n">
        <v>109.3</v>
      </c>
      <c r="C12768" s="216" t="n">
        <v>258.93</v>
      </c>
      <c r="D12768" s="216" t="n">
        <v>1.171705007553101</v>
      </c>
      <c r="E12768" s="215" t="n">
        <v>46287</v>
      </c>
      <c r="F12768" s="215" t="n">
        <v>46287</v>
      </c>
    </row>
    <row r="12769">
      <c r="A12769" s="215" t="n">
        <v>46288</v>
      </c>
      <c r="B12769" s="216" t="n">
        <v>108.8</v>
      </c>
      <c r="C12769" s="216" t="n">
        <v>256.98</v>
      </c>
      <c r="D12769" s="216" t="n">
        <v>1.170611023902893</v>
      </c>
      <c r="E12769" s="215" t="n">
        <v>46288</v>
      </c>
      <c r="F12769" s="215" t="n">
        <v>46288</v>
      </c>
    </row>
    <row r="12770">
      <c r="A12770" s="215" t="n">
        <v>46289</v>
      </c>
      <c r="B12770" s="216" t="n">
        <v>103.9</v>
      </c>
      <c r="C12770" s="216" t="n">
        <v>243.52</v>
      </c>
      <c r="D12770" s="216" t="n">
        <v>1.16852605342865</v>
      </c>
      <c r="E12770" s="215" t="n">
        <v>46289</v>
      </c>
      <c r="F12770" s="215" t="n">
        <v>46289</v>
      </c>
    </row>
    <row r="12771">
      <c r="A12771" s="215" t="n">
        <v>46290</v>
      </c>
      <c r="B12771" s="216" t="n">
        <v>103.5</v>
      </c>
      <c r="C12771" s="216" t="n">
        <v>243.52</v>
      </c>
      <c r="D12771" s="216" t="n">
        <v>1.168424010276794</v>
      </c>
      <c r="E12771" s="215" t="n">
        <v>46289</v>
      </c>
      <c r="F12771" s="215" t="n">
        <v>46290</v>
      </c>
    </row>
    <row r="12772">
      <c r="A12772" s="215" t="n">
        <v>46293</v>
      </c>
      <c r="B12772" s="216" t="n">
        <v>93.8</v>
      </c>
      <c r="C12772" s="216" t="n">
        <v>233.38</v>
      </c>
      <c r="D12772" s="216" t="n">
        <v>1.168378949165344</v>
      </c>
      <c r="E12772" s="215" t="n">
        <v>46293</v>
      </c>
      <c r="F12772" s="215" t="n">
        <v>46293</v>
      </c>
    </row>
    <row r="12773">
      <c r="A12773" s="215" t="n">
        <v>46294</v>
      </c>
      <c r="B12773" s="216" t="n">
        <v>96.05</v>
      </c>
      <c r="C12773" s="216" t="n">
        <v>230.9</v>
      </c>
      <c r="D12773" s="216" t="n">
        <v>1.168815970420837</v>
      </c>
      <c r="E12773" s="215" t="n">
        <v>46294</v>
      </c>
      <c r="F12773" s="215" t="n">
        <v>46294</v>
      </c>
    </row>
    <row r="12774">
      <c r="A12774" s="215" t="n">
        <v>46295</v>
      </c>
      <c r="B12774" s="216" t="n">
        <v>96.59999999999999</v>
      </c>
      <c r="C12774" s="216" t="n">
        <v>224.79</v>
      </c>
      <c r="D12774" s="216" t="n">
        <v>1.17059600353241</v>
      </c>
      <c r="E12774" s="215" t="n">
        <v>46295</v>
      </c>
      <c r="F12774" s="215" t="n">
        <v>46295</v>
      </c>
    </row>
    <row r="12775">
      <c r="A12775" s="215" t="n">
        <v>46297</v>
      </c>
      <c r="B12775" s="216" t="n">
        <v>94</v>
      </c>
      <c r="C12775" s="216" t="n">
        <v>224.79</v>
      </c>
      <c r="D12775" s="216" t="n">
        <v>1.170220971107483</v>
      </c>
      <c r="E12775" s="215" t="n">
        <v>46295</v>
      </c>
      <c r="F12775" s="215" t="n">
        <v>46297</v>
      </c>
    </row>
    <row r="12776">
      <c r="A12776" s="215" t="n">
        <v>44575</v>
      </c>
      <c r="B12776" s="216" t="n">
        <v>28.2</v>
      </c>
      <c r="C12776" s="216" t="n">
        <v>37.68</v>
      </c>
      <c r="D12776" s="216" t="n">
        <v>1.224287986755371</v>
      </c>
      <c r="E12776" s="215" t="n">
        <v>44575</v>
      </c>
      <c r="F12776" s="215" t="n">
        <v>44575</v>
      </c>
    </row>
    <row r="12777">
      <c r="A12777" s="215" t="n">
        <v>44578</v>
      </c>
      <c r="B12777" s="216" t="n">
        <v>26.75</v>
      </c>
      <c r="C12777" s="216" t="n">
        <v>37.57</v>
      </c>
      <c r="D12777" s="216" t="n">
        <v>1.224637985229492</v>
      </c>
      <c r="E12777" s="215" t="n">
        <v>44578</v>
      </c>
      <c r="F12777" s="215" t="n">
        <v>44578</v>
      </c>
    </row>
    <row r="12778">
      <c r="A12778" s="215" t="n">
        <v>44579</v>
      </c>
      <c r="B12778" s="216" t="n">
        <v>26.35</v>
      </c>
      <c r="C12778" s="216" t="n">
        <v>37.5</v>
      </c>
      <c r="D12778" s="216" t="n">
        <v>1.227324962615967</v>
      </c>
      <c r="E12778" s="215" t="n">
        <v>44579</v>
      </c>
      <c r="F12778" s="215" t="n">
        <v>44579</v>
      </c>
    </row>
    <row r="12779">
      <c r="A12779" s="215" t="n">
        <v>44580</v>
      </c>
      <c r="B12779" s="216" t="n">
        <v>27.45</v>
      </c>
      <c r="C12779" s="216" t="n">
        <v>36.98</v>
      </c>
      <c r="D12779" s="216" t="n">
        <v>1.226585984230042</v>
      </c>
      <c r="E12779" s="215" t="n">
        <v>44580</v>
      </c>
      <c r="F12779" s="215" t="n">
        <v>44580</v>
      </c>
    </row>
    <row r="12780">
      <c r="A12780" s="215" t="n">
        <v>44581</v>
      </c>
      <c r="B12780" s="216" t="n">
        <v>27.45</v>
      </c>
      <c r="C12780" s="216" t="n">
        <v>35.77</v>
      </c>
      <c r="D12780" s="216" t="n">
        <v>1.227787017822266</v>
      </c>
      <c r="E12780" s="215" t="n">
        <v>44581</v>
      </c>
      <c r="F12780" s="215" t="n">
        <v>44581</v>
      </c>
    </row>
    <row r="12781">
      <c r="A12781" s="215" t="n">
        <v>44582</v>
      </c>
      <c r="B12781" s="216" t="n">
        <v>27.3</v>
      </c>
      <c r="C12781" s="216" t="n">
        <v>35.52</v>
      </c>
      <c r="D12781" s="216" t="n">
        <v>1.227898955345154</v>
      </c>
      <c r="E12781" s="215" t="n">
        <v>44582</v>
      </c>
      <c r="F12781" s="215" t="n">
        <v>44582</v>
      </c>
    </row>
    <row r="12782">
      <c r="A12782" s="215" t="n">
        <v>44585</v>
      </c>
      <c r="B12782" s="216" t="n">
        <v>27.6</v>
      </c>
      <c r="C12782" s="216" t="n">
        <v>36</v>
      </c>
      <c r="D12782" s="216" t="n">
        <v>1.228338956832886</v>
      </c>
      <c r="E12782" s="215" t="n">
        <v>44585</v>
      </c>
      <c r="F12782" s="215" t="n">
        <v>44585</v>
      </c>
    </row>
    <row r="12783">
      <c r="A12783" s="215" t="n">
        <v>44586</v>
      </c>
      <c r="B12783" s="216" t="n">
        <v>28</v>
      </c>
      <c r="C12783" s="216" t="n">
        <v>36</v>
      </c>
      <c r="D12783" s="216" t="n">
        <v>1.229992985725403</v>
      </c>
      <c r="E12783" s="215" t="n">
        <v>44586</v>
      </c>
      <c r="F12783" s="215" t="n">
        <v>44586</v>
      </c>
    </row>
    <row r="12784">
      <c r="A12784" s="215" t="n">
        <v>44587</v>
      </c>
      <c r="B12784" s="216" t="n">
        <v>28.35</v>
      </c>
      <c r="C12784" s="216" t="n">
        <v>36</v>
      </c>
      <c r="D12784" s="216" t="n">
        <v>1.23039698600769</v>
      </c>
      <c r="E12784" s="215" t="n">
        <v>44587</v>
      </c>
      <c r="F12784" s="215" t="n">
        <v>44587</v>
      </c>
    </row>
    <row r="12785">
      <c r="A12785" s="215" t="n">
        <v>44588</v>
      </c>
      <c r="B12785" s="216" t="n">
        <v>28.55</v>
      </c>
      <c r="C12785" s="216" t="n">
        <v>35.3</v>
      </c>
      <c r="D12785" s="216" t="n">
        <v>1.23190701007843</v>
      </c>
      <c r="E12785" s="215" t="n">
        <v>44588</v>
      </c>
      <c r="F12785" s="215" t="n">
        <v>44588</v>
      </c>
    </row>
    <row r="12786">
      <c r="A12786" s="215" t="n">
        <v>44589</v>
      </c>
      <c r="B12786" s="216" t="n">
        <v>29.9</v>
      </c>
      <c r="C12786" s="216" t="n">
        <v>35.48</v>
      </c>
      <c r="D12786" s="216" t="n">
        <v>1.222800970077515</v>
      </c>
      <c r="E12786" s="215" t="n">
        <v>44589</v>
      </c>
      <c r="F12786" s="215" t="n">
        <v>44589</v>
      </c>
    </row>
    <row r="12787">
      <c r="A12787" s="215" t="n">
        <v>44592</v>
      </c>
      <c r="B12787" s="216" t="n">
        <v>31.1</v>
      </c>
      <c r="C12787" s="216" t="n">
        <v>35.48</v>
      </c>
      <c r="D12787" s="216" t="n">
        <v>1.224603056907654</v>
      </c>
      <c r="E12787" s="215" t="n">
        <v>44589</v>
      </c>
      <c r="F12787" s="215" t="n">
        <v>44592</v>
      </c>
    </row>
    <row r="12788">
      <c r="A12788" s="215" t="n">
        <v>44596</v>
      </c>
      <c r="B12788" s="216" t="n">
        <v>31</v>
      </c>
      <c r="C12788" s="216" t="n">
        <v>35.48</v>
      </c>
      <c r="D12788" s="216" t="n">
        <v>1.22502601146698</v>
      </c>
      <c r="E12788" s="215" t="n">
        <v>44589</v>
      </c>
      <c r="F12788" s="215" t="n">
        <v>44596</v>
      </c>
    </row>
    <row r="12789">
      <c r="A12789" s="215" t="n">
        <v>44599</v>
      </c>
      <c r="B12789" s="216" t="n">
        <v>28.85</v>
      </c>
      <c r="C12789" s="216" t="n">
        <v>36.38</v>
      </c>
      <c r="D12789" s="216" t="n">
        <v>1.224985957145691</v>
      </c>
      <c r="E12789" s="215" t="n">
        <v>44599</v>
      </c>
      <c r="F12789" s="215" t="n">
        <v>44599</v>
      </c>
    </row>
    <row r="12790">
      <c r="A12790" s="215" t="n">
        <v>44600</v>
      </c>
      <c r="B12790" s="216" t="n">
        <v>28</v>
      </c>
      <c r="C12790" s="216" t="n">
        <v>35.7</v>
      </c>
      <c r="D12790" s="216" t="n">
        <v>1.22487199306488</v>
      </c>
      <c r="E12790" s="215" t="n">
        <v>44600</v>
      </c>
      <c r="F12790" s="215" t="n">
        <v>44600</v>
      </c>
    </row>
    <row r="12791">
      <c r="A12791" s="215" t="n">
        <v>44601</v>
      </c>
      <c r="B12791" s="216" t="n">
        <v>29.3</v>
      </c>
      <c r="C12791" s="216" t="n">
        <v>36.45</v>
      </c>
      <c r="D12791" s="216" t="n">
        <v>1.224302053451538</v>
      </c>
      <c r="E12791" s="215" t="n">
        <v>44601</v>
      </c>
      <c r="F12791" s="215" t="n">
        <v>44601</v>
      </c>
    </row>
    <row r="12792">
      <c r="A12792" s="215" t="n">
        <v>44602</v>
      </c>
      <c r="B12792" s="216" t="n">
        <v>29.2</v>
      </c>
      <c r="C12792" s="216" t="n">
        <v>36.23</v>
      </c>
      <c r="D12792" s="216" t="n">
        <v>1.224215984344482</v>
      </c>
      <c r="E12792" s="215" t="n">
        <v>44602</v>
      </c>
      <c r="F12792" s="215" t="n">
        <v>44602</v>
      </c>
    </row>
    <row r="12793">
      <c r="A12793" s="215" t="n">
        <v>44603</v>
      </c>
      <c r="B12793" s="216" t="n">
        <v>29.4</v>
      </c>
      <c r="C12793" s="216" t="n">
        <v>35.24</v>
      </c>
      <c r="D12793" s="216" t="n">
        <v>1.226699948310852</v>
      </c>
      <c r="E12793" s="215" t="n">
        <v>44603</v>
      </c>
      <c r="F12793" s="215" t="n">
        <v>44603</v>
      </c>
    </row>
    <row r="12794">
      <c r="A12794" s="215" t="n">
        <v>44606</v>
      </c>
      <c r="B12794" s="216" t="n">
        <v>29.8</v>
      </c>
      <c r="C12794" s="216" t="n">
        <v>35.83</v>
      </c>
      <c r="D12794" s="216" t="n">
        <v>1.229004979133606</v>
      </c>
      <c r="E12794" s="215" t="n">
        <v>44606</v>
      </c>
      <c r="F12794" s="215" t="n">
        <v>44606</v>
      </c>
    </row>
    <row r="12795">
      <c r="A12795" s="215" t="n">
        <v>44607</v>
      </c>
      <c r="B12795" s="216" t="n">
        <v>29.9</v>
      </c>
      <c r="C12795" s="216" t="n">
        <v>36.78</v>
      </c>
      <c r="D12795" s="216" t="n">
        <v>1.227381944656372</v>
      </c>
      <c r="E12795" s="215" t="n">
        <v>44607</v>
      </c>
      <c r="F12795" s="215" t="n">
        <v>44607</v>
      </c>
    </row>
    <row r="12796">
      <c r="A12796" s="215" t="n">
        <v>44608</v>
      </c>
      <c r="B12796" s="216" t="n">
        <v>30.1</v>
      </c>
      <c r="C12796" s="216" t="n">
        <v>38.36</v>
      </c>
      <c r="D12796" s="216" t="n">
        <v>1.230052947998047</v>
      </c>
      <c r="E12796" s="215" t="n">
        <v>44608</v>
      </c>
      <c r="F12796" s="215" t="n">
        <v>44608</v>
      </c>
    </row>
    <row r="12797">
      <c r="A12797" s="215" t="n">
        <v>44609</v>
      </c>
      <c r="B12797" s="216" t="n">
        <v>29.9</v>
      </c>
      <c r="C12797" s="216" t="n">
        <v>38.22</v>
      </c>
      <c r="D12797" s="216" t="n">
        <v>1.230854034423828</v>
      </c>
      <c r="E12797" s="215" t="n">
        <v>44609</v>
      </c>
      <c r="F12797" s="215" t="n">
        <v>44609</v>
      </c>
    </row>
    <row r="12798">
      <c r="A12798" s="215" t="n">
        <v>44610</v>
      </c>
      <c r="B12798" s="216" t="n">
        <v>29.5</v>
      </c>
      <c r="C12798" s="216" t="n">
        <v>37.87</v>
      </c>
      <c r="D12798" s="216" t="n">
        <v>1.230208992958069</v>
      </c>
      <c r="E12798" s="215" t="n">
        <v>44610</v>
      </c>
      <c r="F12798" s="215" t="n">
        <v>44610</v>
      </c>
    </row>
    <row r="12799">
      <c r="A12799" s="215" t="n">
        <v>44613</v>
      </c>
      <c r="B12799" s="216" t="n">
        <v>29.8</v>
      </c>
      <c r="C12799" s="216" t="n">
        <v>38.15</v>
      </c>
      <c r="D12799" s="216" t="n">
        <v>1.232306957244873</v>
      </c>
      <c r="E12799" s="215" t="n">
        <v>44613</v>
      </c>
      <c r="F12799" s="215" t="n">
        <v>44613</v>
      </c>
    </row>
    <row r="12800">
      <c r="A12800" s="215" t="n">
        <v>44614</v>
      </c>
      <c r="B12800" s="216" t="n">
        <v>29.95</v>
      </c>
      <c r="C12800" s="216" t="n">
        <v>38.59</v>
      </c>
      <c r="D12800" s="216" t="n">
        <v>1.23160994052887</v>
      </c>
      <c r="E12800" s="215" t="n">
        <v>44614</v>
      </c>
      <c r="F12800" s="215" t="n">
        <v>44614</v>
      </c>
    </row>
    <row r="12801">
      <c r="A12801" s="215" t="n">
        <v>44615</v>
      </c>
      <c r="B12801" s="216" t="n">
        <v>30.35</v>
      </c>
      <c r="C12801" s="216" t="n">
        <v>39.1</v>
      </c>
      <c r="D12801" s="216" t="n">
        <v>1.233018040657043</v>
      </c>
      <c r="E12801" s="215" t="n">
        <v>44615</v>
      </c>
      <c r="F12801" s="215" t="n">
        <v>44615</v>
      </c>
    </row>
    <row r="12802">
      <c r="A12802" s="215" t="n">
        <v>44616</v>
      </c>
      <c r="B12802" s="216" t="n">
        <v>29.45</v>
      </c>
      <c r="C12802" s="216" t="n">
        <v>39.35</v>
      </c>
      <c r="D12802" s="216" t="n">
        <v>1.235846042633057</v>
      </c>
      <c r="E12802" s="215" t="n">
        <v>44616</v>
      </c>
      <c r="F12802" s="215" t="n">
        <v>44616</v>
      </c>
    </row>
    <row r="12803">
      <c r="A12803" s="215" t="n">
        <v>44617</v>
      </c>
      <c r="B12803" s="216" t="n">
        <v>29.6</v>
      </c>
      <c r="C12803" s="216" t="n">
        <v>39.53</v>
      </c>
      <c r="D12803" s="216" t="n">
        <v>1.233438968658447</v>
      </c>
      <c r="E12803" s="215" t="n">
        <v>44617</v>
      </c>
      <c r="F12803" s="215" t="n">
        <v>44617</v>
      </c>
    </row>
    <row r="12804">
      <c r="A12804" s="215" t="n">
        <v>44620</v>
      </c>
      <c r="B12804" s="216" t="n">
        <v>29.9</v>
      </c>
      <c r="C12804" s="216" t="n">
        <v>39.19</v>
      </c>
      <c r="D12804" s="216" t="n">
        <v>1.231897950172424</v>
      </c>
      <c r="E12804" s="215" t="n">
        <v>44620</v>
      </c>
      <c r="F12804" s="215" t="n">
        <v>44620</v>
      </c>
    </row>
    <row r="12805">
      <c r="A12805" s="215" t="n">
        <v>44621</v>
      </c>
      <c r="B12805" s="216" t="n">
        <v>29.95</v>
      </c>
      <c r="C12805" s="216" t="n">
        <v>38.68</v>
      </c>
      <c r="D12805" s="216" t="n">
        <v>1.237936973571777</v>
      </c>
      <c r="E12805" s="215" t="n">
        <v>44621</v>
      </c>
      <c r="F12805" s="215" t="n">
        <v>44621</v>
      </c>
    </row>
    <row r="12806">
      <c r="A12806" s="215" t="n">
        <v>44622</v>
      </c>
      <c r="B12806" s="216" t="n">
        <v>29.7</v>
      </c>
      <c r="C12806" s="216" t="n">
        <v>38.22</v>
      </c>
      <c r="D12806" s="216" t="n">
        <v>1.23852002620697</v>
      </c>
      <c r="E12806" s="215" t="n">
        <v>44622</v>
      </c>
      <c r="F12806" s="215" t="n">
        <v>44622</v>
      </c>
    </row>
    <row r="12807">
      <c r="A12807" s="215" t="n">
        <v>44623</v>
      </c>
      <c r="B12807" s="216" t="n">
        <v>29.75</v>
      </c>
      <c r="C12807" s="216" t="n">
        <v>37.5</v>
      </c>
      <c r="D12807" s="216" t="n">
        <v>1.235599040985107</v>
      </c>
      <c r="E12807" s="215" t="n">
        <v>44623</v>
      </c>
      <c r="F12807" s="215" t="n">
        <v>44623</v>
      </c>
    </row>
    <row r="12808">
      <c r="A12808" s="215" t="n">
        <v>44624</v>
      </c>
      <c r="B12808" s="216" t="n">
        <v>28.15</v>
      </c>
      <c r="C12808" s="216" t="n">
        <v>36.76</v>
      </c>
      <c r="D12808" s="216" t="n">
        <v>1.237941980361938</v>
      </c>
      <c r="E12808" s="215" t="n">
        <v>44624</v>
      </c>
      <c r="F12808" s="215" t="n">
        <v>44624</v>
      </c>
    </row>
    <row r="12809">
      <c r="A12809" s="215" t="n">
        <v>44627</v>
      </c>
      <c r="B12809" s="216" t="n">
        <v>27.05</v>
      </c>
      <c r="C12809" s="216" t="n">
        <v>35.68</v>
      </c>
      <c r="D12809" s="216" t="n">
        <v>1.223220944404602</v>
      </c>
      <c r="E12809" s="215" t="n">
        <v>44627</v>
      </c>
      <c r="F12809" s="215" t="n">
        <v>44627</v>
      </c>
    </row>
    <row r="12810">
      <c r="A12810" s="215" t="n">
        <v>44628</v>
      </c>
      <c r="B12810" s="216" t="n">
        <v>26.1</v>
      </c>
      <c r="C12810" s="216" t="n">
        <v>34.75</v>
      </c>
      <c r="D12810" s="216" t="n">
        <v>1.237072944641113</v>
      </c>
      <c r="E12810" s="215" t="n">
        <v>44628</v>
      </c>
      <c r="F12810" s="215" t="n">
        <v>44628</v>
      </c>
    </row>
    <row r="12811">
      <c r="A12811" s="215" t="n">
        <v>44629</v>
      </c>
      <c r="B12811" s="216" t="n">
        <v>26.65</v>
      </c>
      <c r="C12811" s="216" t="n">
        <v>34.21</v>
      </c>
      <c r="D12811" s="216" t="n">
        <v>1.237218976020813</v>
      </c>
      <c r="E12811" s="215" t="n">
        <v>44629</v>
      </c>
      <c r="F12811" s="215" t="n">
        <v>44629</v>
      </c>
    </row>
    <row r="12812">
      <c r="A12812" s="215" t="n">
        <v>44630</v>
      </c>
      <c r="B12812" s="216" t="n">
        <v>26.95</v>
      </c>
      <c r="C12812" s="216" t="n">
        <v>35.25</v>
      </c>
      <c r="D12812" s="216" t="n">
        <v>1.237866044044495</v>
      </c>
      <c r="E12812" s="215" t="n">
        <v>44630</v>
      </c>
      <c r="F12812" s="215" t="n">
        <v>44630</v>
      </c>
    </row>
    <row r="12813">
      <c r="A12813" s="215" t="n">
        <v>44631</v>
      </c>
      <c r="B12813" s="216" t="n">
        <v>27.05</v>
      </c>
      <c r="C12813" s="216" t="n">
        <v>35.24</v>
      </c>
      <c r="D12813" s="216" t="n">
        <v>1.237465023994446</v>
      </c>
      <c r="E12813" s="215" t="n">
        <v>44631</v>
      </c>
      <c r="F12813" s="215" t="n">
        <v>44631</v>
      </c>
    </row>
    <row r="12814">
      <c r="A12814" s="215" t="n">
        <v>44634</v>
      </c>
      <c r="B12814" s="216" t="n">
        <v>25.2</v>
      </c>
      <c r="C12814" s="216" t="n">
        <v>33.57</v>
      </c>
      <c r="D12814" s="216" t="n">
        <v>1.23714005947113</v>
      </c>
      <c r="E12814" s="215" t="n">
        <v>44634</v>
      </c>
      <c r="F12814" s="215" t="n">
        <v>44634</v>
      </c>
    </row>
    <row r="12815">
      <c r="A12815" s="215" t="n">
        <v>44635</v>
      </c>
      <c r="B12815" s="216" t="n">
        <v>23.75</v>
      </c>
      <c r="C12815" s="216" t="n">
        <v>31.74</v>
      </c>
      <c r="D12815" s="216" t="n">
        <v>1.230260968208313</v>
      </c>
      <c r="E12815" s="215" t="n">
        <v>44635</v>
      </c>
      <c r="F12815" s="215" t="n">
        <v>44635</v>
      </c>
    </row>
    <row r="12816">
      <c r="A12816" s="215" t="n">
        <v>44636</v>
      </c>
      <c r="B12816" s="216" t="n">
        <v>24.75</v>
      </c>
      <c r="C12816" s="216" t="n">
        <v>32.44</v>
      </c>
      <c r="D12816" s="216" t="n">
        <v>1.228589057922363</v>
      </c>
      <c r="E12816" s="215" t="n">
        <v>44636</v>
      </c>
      <c r="F12816" s="215" t="n">
        <v>44636</v>
      </c>
    </row>
    <row r="12817">
      <c r="A12817" s="215" t="n">
        <v>44637</v>
      </c>
      <c r="B12817" s="216" t="n">
        <v>25.25</v>
      </c>
      <c r="C12817" s="216" t="n">
        <v>34.05</v>
      </c>
      <c r="D12817" s="216" t="n">
        <v>1.2309410572052</v>
      </c>
      <c r="E12817" s="215" t="n">
        <v>44637</v>
      </c>
      <c r="F12817" s="215" t="n">
        <v>44637</v>
      </c>
    </row>
    <row r="12818">
      <c r="A12818" s="215" t="n">
        <v>44638</v>
      </c>
      <c r="B12818" s="216" t="n">
        <v>25.3</v>
      </c>
      <c r="C12818" s="216" t="n">
        <v>33.68</v>
      </c>
      <c r="D12818" s="216" t="n">
        <v>1.231812953948975</v>
      </c>
      <c r="E12818" s="215" t="n">
        <v>44638</v>
      </c>
      <c r="F12818" s="215" t="n">
        <v>44638</v>
      </c>
    </row>
    <row r="12819">
      <c r="A12819" s="215" t="n">
        <v>44641</v>
      </c>
      <c r="B12819" s="216" t="n">
        <v>24.65</v>
      </c>
      <c r="C12819" s="216" t="n">
        <v>33.87</v>
      </c>
      <c r="D12819" s="216" t="n">
        <v>1.228307962417603</v>
      </c>
      <c r="E12819" s="215" t="n">
        <v>44641</v>
      </c>
      <c r="F12819" s="215" t="n">
        <v>44641</v>
      </c>
    </row>
    <row r="12820">
      <c r="A12820" s="215" t="n">
        <v>44642</v>
      </c>
      <c r="B12820" s="216" t="n">
        <v>25.15</v>
      </c>
      <c r="C12820" s="216" t="n">
        <v>33.66</v>
      </c>
      <c r="D12820" s="216" t="n">
        <v>1.230851054191589</v>
      </c>
      <c r="E12820" s="215" t="n">
        <v>44642</v>
      </c>
      <c r="F12820" s="215" t="n">
        <v>44642</v>
      </c>
    </row>
    <row r="12821">
      <c r="A12821" s="215" t="n">
        <v>44643</v>
      </c>
      <c r="B12821" s="216" t="n">
        <v>25.55</v>
      </c>
      <c r="C12821" s="216" t="n">
        <v>33.68</v>
      </c>
      <c r="D12821" s="216" t="n">
        <v>1.229357004165649</v>
      </c>
      <c r="E12821" s="215" t="n">
        <v>44643</v>
      </c>
      <c r="F12821" s="215" t="n">
        <v>44643</v>
      </c>
    </row>
    <row r="12822">
      <c r="A12822" s="215" t="n">
        <v>44644</v>
      </c>
      <c r="B12822" s="216" t="n">
        <v>25.95</v>
      </c>
      <c r="C12822" s="216" t="n">
        <v>32.97</v>
      </c>
      <c r="D12822" s="216" t="n">
        <v>1.227481961250305</v>
      </c>
      <c r="E12822" s="215" t="n">
        <v>44644</v>
      </c>
      <c r="F12822" s="215" t="n">
        <v>44644</v>
      </c>
    </row>
    <row r="12823">
      <c r="A12823" s="215" t="n">
        <v>44645</v>
      </c>
      <c r="B12823" s="216" t="n">
        <v>26</v>
      </c>
      <c r="C12823" s="216" t="n">
        <v>32.52</v>
      </c>
      <c r="D12823" s="216" t="n">
        <v>1.228559017181396</v>
      </c>
      <c r="E12823" s="215" t="n">
        <v>44645</v>
      </c>
      <c r="F12823" s="215" t="n">
        <v>44645</v>
      </c>
    </row>
    <row r="12824">
      <c r="A12824" s="215" t="n">
        <v>44648</v>
      </c>
      <c r="B12824" s="216" t="n">
        <v>25.1</v>
      </c>
      <c r="C12824" s="216" t="n">
        <v>32.4</v>
      </c>
      <c r="D12824" s="216" t="n">
        <v>1.224017977714539</v>
      </c>
      <c r="E12824" s="215" t="n">
        <v>44648</v>
      </c>
      <c r="F12824" s="215" t="n">
        <v>44648</v>
      </c>
    </row>
    <row r="12825">
      <c r="A12825" s="215" t="n">
        <v>44649</v>
      </c>
      <c r="B12825" s="216" t="n">
        <v>24.8</v>
      </c>
      <c r="C12825" s="216" t="n">
        <v>31.95</v>
      </c>
      <c r="D12825" s="216" t="n">
        <v>1.228392958641052</v>
      </c>
      <c r="E12825" s="215" t="n">
        <v>44649</v>
      </c>
      <c r="F12825" s="215" t="n">
        <v>44649</v>
      </c>
    </row>
    <row r="12826">
      <c r="A12826" s="215" t="n">
        <v>44650</v>
      </c>
      <c r="B12826" s="216" t="n">
        <v>25.4</v>
      </c>
      <c r="C12826" s="216" t="n">
        <v>32.76</v>
      </c>
      <c r="D12826" s="216" t="n">
        <v>1.229694962501526</v>
      </c>
      <c r="E12826" s="215" t="n">
        <v>44650</v>
      </c>
      <c r="F12826" s="215" t="n">
        <v>44650</v>
      </c>
    </row>
    <row r="12827">
      <c r="A12827" s="215" t="n">
        <v>44651</v>
      </c>
      <c r="B12827" s="216" t="n">
        <v>24.8</v>
      </c>
      <c r="C12827" s="216" t="n">
        <v>31.98</v>
      </c>
      <c r="D12827" s="216" t="n">
        <v>1.233211040496826</v>
      </c>
      <c r="E12827" s="215" t="n">
        <v>44651</v>
      </c>
      <c r="F12827" s="215" t="n">
        <v>44651</v>
      </c>
    </row>
    <row r="12828">
      <c r="A12828" s="215" t="n">
        <v>44652</v>
      </c>
      <c r="B12828" s="216" t="n">
        <v>24.4</v>
      </c>
      <c r="C12828" s="216" t="n">
        <v>31.9</v>
      </c>
      <c r="D12828" s="216" t="n">
        <v>1.235550045967102</v>
      </c>
      <c r="E12828" s="215" t="n">
        <v>44652</v>
      </c>
      <c r="F12828" s="215" t="n">
        <v>44652</v>
      </c>
    </row>
    <row r="12829">
      <c r="A12829" s="215" t="n">
        <v>44655</v>
      </c>
      <c r="B12829" s="216" t="n">
        <v>25</v>
      </c>
      <c r="C12829" s="216" t="n">
        <v>31.9</v>
      </c>
      <c r="D12829" s="216" t="n">
        <v>1.229956030845642</v>
      </c>
      <c r="E12829" s="215" t="n">
        <v>44652</v>
      </c>
      <c r="F12829" s="215" t="n">
        <v>44655</v>
      </c>
    </row>
    <row r="12830">
      <c r="A12830" s="215" t="n">
        <v>44657</v>
      </c>
      <c r="B12830" s="216" t="n">
        <v>25.25</v>
      </c>
      <c r="C12830" s="216" t="n">
        <v>31.1</v>
      </c>
      <c r="D12830" s="216" t="n">
        <v>1.230962991714478</v>
      </c>
      <c r="E12830" s="215" t="n">
        <v>44657</v>
      </c>
      <c r="F12830" s="215" t="n">
        <v>44657</v>
      </c>
    </row>
    <row r="12831">
      <c r="A12831" s="215" t="n">
        <v>44658</v>
      </c>
      <c r="B12831" s="216" t="n">
        <v>25</v>
      </c>
      <c r="C12831" s="216" t="n">
        <v>30.18</v>
      </c>
      <c r="D12831" s="216" t="n">
        <v>1.232280969619751</v>
      </c>
      <c r="E12831" s="215" t="n">
        <v>44658</v>
      </c>
      <c r="F12831" s="215" t="n">
        <v>44658</v>
      </c>
    </row>
    <row r="12832">
      <c r="A12832" s="215" t="n">
        <v>44659</v>
      </c>
      <c r="B12832" s="216" t="n">
        <v>24.05</v>
      </c>
      <c r="C12832" s="216" t="n">
        <v>29.35</v>
      </c>
      <c r="D12832" s="216" t="n">
        <v>1.232202053070068</v>
      </c>
      <c r="E12832" s="215" t="n">
        <v>44659</v>
      </c>
      <c r="F12832" s="215" t="n">
        <v>44659</v>
      </c>
    </row>
    <row r="12833">
      <c r="A12833" s="215" t="n">
        <v>44662</v>
      </c>
      <c r="B12833" s="216" t="n">
        <v>23</v>
      </c>
      <c r="C12833" s="216" t="n">
        <v>27.62</v>
      </c>
      <c r="D12833" s="216" t="n">
        <v>1.232278943061829</v>
      </c>
      <c r="E12833" s="215" t="n">
        <v>44662</v>
      </c>
      <c r="F12833" s="215" t="n">
        <v>44662</v>
      </c>
    </row>
    <row r="12834">
      <c r="A12834" s="215" t="n">
        <v>44663</v>
      </c>
      <c r="B12834" s="216" t="n">
        <v>23.1</v>
      </c>
      <c r="C12834" s="216" t="n">
        <v>27.8</v>
      </c>
      <c r="D12834" s="216" t="n">
        <v>1.230334997177124</v>
      </c>
      <c r="E12834" s="215" t="n">
        <v>44663</v>
      </c>
      <c r="F12834" s="215" t="n">
        <v>44663</v>
      </c>
    </row>
    <row r="12835">
      <c r="A12835" s="215" t="n">
        <v>44664</v>
      </c>
      <c r="B12835" s="216" t="n">
        <v>22.8</v>
      </c>
      <c r="C12835" s="216" t="n">
        <v>27.79</v>
      </c>
      <c r="D12835" s="216" t="n">
        <v>1.231207966804504</v>
      </c>
      <c r="E12835" s="215" t="n">
        <v>44664</v>
      </c>
      <c r="F12835" s="215" t="n">
        <v>44664</v>
      </c>
    </row>
    <row r="12836">
      <c r="A12836" s="215" t="n">
        <v>44665</v>
      </c>
      <c r="B12836" s="216" t="n">
        <v>23.3</v>
      </c>
      <c r="C12836" s="216" t="n">
        <v>27.96</v>
      </c>
      <c r="D12836" s="216" t="n">
        <v>1.231024026870728</v>
      </c>
      <c r="E12836" s="215" t="n">
        <v>44665</v>
      </c>
      <c r="F12836" s="215" t="n">
        <v>44665</v>
      </c>
    </row>
    <row r="12837">
      <c r="A12837" s="215" t="n">
        <v>44670</v>
      </c>
      <c r="B12837" s="216" t="n">
        <v>22.95</v>
      </c>
      <c r="C12837" s="216" t="n">
        <v>28.3</v>
      </c>
      <c r="D12837" s="216" t="n">
        <v>1.220034956932068</v>
      </c>
      <c r="E12837" s="215" t="n">
        <v>44670</v>
      </c>
      <c r="F12837" s="215" t="n">
        <v>44670</v>
      </c>
    </row>
    <row r="12838">
      <c r="A12838" s="215" t="n">
        <v>44671</v>
      </c>
      <c r="B12838" s="216" t="n">
        <v>22.5</v>
      </c>
      <c r="C12838" s="216" t="n">
        <v>27.38</v>
      </c>
      <c r="D12838" s="216" t="n">
        <v>1.226842045783997</v>
      </c>
      <c r="E12838" s="215" t="n">
        <v>44671</v>
      </c>
      <c r="F12838" s="215" t="n">
        <v>44671</v>
      </c>
    </row>
    <row r="12839">
      <c r="A12839" s="215" t="n">
        <v>44672</v>
      </c>
      <c r="B12839" s="216" t="n">
        <v>21.95</v>
      </c>
      <c r="C12839" s="216" t="n">
        <v>26.33</v>
      </c>
      <c r="D12839" s="216" t="n">
        <v>1.221968054771423</v>
      </c>
      <c r="E12839" s="215" t="n">
        <v>44672</v>
      </c>
      <c r="F12839" s="215" t="n">
        <v>44672</v>
      </c>
    </row>
    <row r="12840">
      <c r="A12840" s="215" t="n">
        <v>44673</v>
      </c>
      <c r="B12840" s="216" t="n">
        <v>21.1</v>
      </c>
      <c r="C12840" s="216" t="n">
        <v>25.59</v>
      </c>
      <c r="D12840" s="216" t="n">
        <v>1.216025948524475</v>
      </c>
      <c r="E12840" s="215" t="n">
        <v>44673</v>
      </c>
      <c r="F12840" s="215" t="n">
        <v>44673</v>
      </c>
    </row>
    <row r="12841">
      <c r="A12841" s="215" t="n">
        <v>44676</v>
      </c>
      <c r="B12841" s="216" t="n">
        <v>19.54</v>
      </c>
      <c r="C12841" s="216" t="n">
        <v>22.85</v>
      </c>
      <c r="D12841" s="216" t="n">
        <v>1.208608031272888</v>
      </c>
      <c r="E12841" s="215" t="n">
        <v>44676</v>
      </c>
      <c r="F12841" s="215" t="n">
        <v>44676</v>
      </c>
    </row>
    <row r="12842">
      <c r="A12842" s="215" t="n">
        <v>44677</v>
      </c>
      <c r="B12842" s="216" t="n">
        <v>18.3</v>
      </c>
      <c r="C12842" s="216" t="n">
        <v>22.9</v>
      </c>
      <c r="D12842" s="216" t="n">
        <v>1.19637405872345</v>
      </c>
      <c r="E12842" s="215" t="n">
        <v>44677</v>
      </c>
      <c r="F12842" s="215" t="n">
        <v>44677</v>
      </c>
    </row>
    <row r="12843">
      <c r="A12843" s="215" t="n">
        <v>44678</v>
      </c>
      <c r="B12843" s="216" t="n">
        <v>21.75</v>
      </c>
      <c r="C12843" s="216" t="n">
        <v>25.47</v>
      </c>
      <c r="D12843" s="216" t="n">
        <v>1.1961749792099</v>
      </c>
      <c r="E12843" s="215" t="n">
        <v>44678</v>
      </c>
      <c r="F12843" s="215" t="n">
        <v>44678</v>
      </c>
    </row>
    <row r="12844">
      <c r="A12844" s="215" t="n">
        <v>44679</v>
      </c>
      <c r="B12844" s="216" t="n">
        <v>20.4</v>
      </c>
      <c r="C12844" s="216" t="n">
        <v>24.8</v>
      </c>
      <c r="D12844" s="216" t="n">
        <v>1.195773959159851</v>
      </c>
      <c r="E12844" s="215" t="n">
        <v>44679</v>
      </c>
      <c r="F12844" s="215" t="n">
        <v>44679</v>
      </c>
    </row>
    <row r="12845">
      <c r="A12845" s="215" t="n">
        <v>44680</v>
      </c>
      <c r="B12845" s="216" t="n">
        <v>20</v>
      </c>
      <c r="C12845" s="216" t="n">
        <v>26.35</v>
      </c>
      <c r="D12845" s="216" t="n">
        <v>1.184425950050354</v>
      </c>
      <c r="E12845" s="215" t="n">
        <v>44680</v>
      </c>
      <c r="F12845" s="215" t="n">
        <v>44680</v>
      </c>
    </row>
    <row r="12846">
      <c r="A12846" s="215" t="n">
        <v>44684</v>
      </c>
      <c r="B12846" s="216" t="n">
        <v>19.38</v>
      </c>
      <c r="C12846" s="216" t="n">
        <v>26.35</v>
      </c>
      <c r="D12846" s="216" t="n">
        <v>1.18731701374054</v>
      </c>
      <c r="E12846" s="215" t="n">
        <v>44680</v>
      </c>
      <c r="F12846" s="215" t="n">
        <v>44684</v>
      </c>
    </row>
    <row r="12847">
      <c r="A12847" s="215" t="n">
        <v>44685</v>
      </c>
      <c r="B12847" s="216" t="n">
        <v>19.38</v>
      </c>
      <c r="C12847" s="216" t="n">
        <v>26.35</v>
      </c>
      <c r="D12847" s="216" t="n">
        <v>1.188007950782776</v>
      </c>
      <c r="E12847" s="215" t="n">
        <v>44680</v>
      </c>
      <c r="F12847" s="215" t="n">
        <v>44685</v>
      </c>
    </row>
    <row r="12848">
      <c r="A12848" s="215" t="n">
        <v>44686</v>
      </c>
      <c r="B12848" s="216" t="n">
        <v>20.5</v>
      </c>
      <c r="C12848" s="216" t="n">
        <v>26.61</v>
      </c>
      <c r="D12848" s="216" t="n">
        <v>1.18796694278717</v>
      </c>
      <c r="E12848" s="215" t="n">
        <v>44686</v>
      </c>
      <c r="F12848" s="215" t="n">
        <v>44686</v>
      </c>
    </row>
    <row r="12849">
      <c r="A12849" s="215" t="n">
        <v>44687</v>
      </c>
      <c r="B12849" s="216" t="n">
        <v>19.44</v>
      </c>
      <c r="C12849" s="216" t="n">
        <v>26.14</v>
      </c>
      <c r="D12849" s="216" t="n">
        <v>1.17942202091217</v>
      </c>
      <c r="E12849" s="215" t="n">
        <v>44687</v>
      </c>
      <c r="F12849" s="215" t="n">
        <v>44687</v>
      </c>
    </row>
    <row r="12850">
      <c r="A12850" s="215" t="n">
        <v>44691</v>
      </c>
      <c r="B12850" s="216" t="n">
        <v>19.9</v>
      </c>
      <c r="C12850" s="216" t="n">
        <v>27.21</v>
      </c>
      <c r="D12850" s="216" t="n">
        <v>1.166296005249023</v>
      </c>
      <c r="E12850" s="215" t="n">
        <v>44691</v>
      </c>
      <c r="F12850" s="215" t="n">
        <v>44691</v>
      </c>
    </row>
    <row r="12851">
      <c r="A12851" s="215" t="n">
        <v>44692</v>
      </c>
      <c r="B12851" s="216" t="n">
        <v>20.2</v>
      </c>
      <c r="C12851" s="216" t="n">
        <v>27.69</v>
      </c>
      <c r="D12851" s="216" t="n">
        <v>1.165348052978516</v>
      </c>
      <c r="E12851" s="215" t="n">
        <v>44692</v>
      </c>
      <c r="F12851" s="215" t="n">
        <v>44692</v>
      </c>
    </row>
    <row r="12852">
      <c r="A12852" s="215" t="n">
        <v>44693</v>
      </c>
      <c r="B12852" s="216" t="n">
        <v>20.2</v>
      </c>
      <c r="C12852" s="216" t="n">
        <v>27.79</v>
      </c>
      <c r="D12852" s="216" t="n">
        <v>1.167407035827637</v>
      </c>
      <c r="E12852" s="215" t="n">
        <v>44693</v>
      </c>
      <c r="F12852" s="215" t="n">
        <v>44693</v>
      </c>
    </row>
    <row r="12853">
      <c r="A12853" s="215" t="n">
        <v>44694</v>
      </c>
      <c r="B12853" s="216" t="n">
        <v>20.15</v>
      </c>
      <c r="C12853" s="216" t="n">
        <v>28.01</v>
      </c>
      <c r="D12853" s="216" t="n">
        <v>1.156118035316467</v>
      </c>
      <c r="E12853" s="215" t="n">
        <v>44694</v>
      </c>
      <c r="F12853" s="215" t="n">
        <v>44694</v>
      </c>
    </row>
    <row r="12854">
      <c r="A12854" s="215" t="n">
        <v>44697</v>
      </c>
      <c r="B12854" s="216" t="n">
        <v>20.4</v>
      </c>
      <c r="C12854" s="216" t="n">
        <v>28.08</v>
      </c>
      <c r="D12854" s="216" t="n">
        <v>1.154800057411194</v>
      </c>
      <c r="E12854" s="215" t="n">
        <v>44697</v>
      </c>
      <c r="F12854" s="215" t="n">
        <v>44697</v>
      </c>
    </row>
    <row r="12855">
      <c r="A12855" s="215" t="n">
        <v>44698</v>
      </c>
      <c r="B12855" s="216" t="n">
        <v>21.6</v>
      </c>
      <c r="C12855" s="216" t="n">
        <v>29.12</v>
      </c>
      <c r="D12855" s="216" t="n">
        <v>1.156873941421509</v>
      </c>
      <c r="E12855" s="215" t="n">
        <v>44698</v>
      </c>
      <c r="F12855" s="215" t="n">
        <v>44698</v>
      </c>
    </row>
    <row r="12856">
      <c r="A12856" s="215" t="n">
        <v>44699</v>
      </c>
      <c r="B12856" s="216" t="n">
        <v>21.85</v>
      </c>
      <c r="C12856" s="216" t="n">
        <v>29.51</v>
      </c>
      <c r="D12856" s="216" t="n">
        <v>1.164849996566772</v>
      </c>
      <c r="E12856" s="215" t="n">
        <v>44699</v>
      </c>
      <c r="F12856" s="215" t="n">
        <v>44699</v>
      </c>
    </row>
    <row r="12857">
      <c r="A12857" s="215" t="n">
        <v>44700</v>
      </c>
      <c r="B12857" s="216" t="n">
        <v>21.5</v>
      </c>
      <c r="C12857" s="216" t="n">
        <v>29.54</v>
      </c>
      <c r="D12857" s="216" t="n">
        <v>1.161888957023621</v>
      </c>
      <c r="E12857" s="215" t="n">
        <v>44700</v>
      </c>
      <c r="F12857" s="215" t="n">
        <v>44700</v>
      </c>
    </row>
    <row r="12858">
      <c r="A12858" s="215" t="n">
        <v>44701</v>
      </c>
      <c r="B12858" s="216" t="n">
        <v>22.95</v>
      </c>
      <c r="C12858" s="216" t="n">
        <v>30.64</v>
      </c>
      <c r="D12858" s="216" t="n">
        <v>1.168822050094604</v>
      </c>
      <c r="E12858" s="215" t="n">
        <v>44701</v>
      </c>
      <c r="F12858" s="215" t="n">
        <v>44701</v>
      </c>
    </row>
    <row r="12859">
      <c r="A12859" s="215" t="n">
        <v>44704</v>
      </c>
      <c r="B12859" s="216" t="n">
        <v>22.8</v>
      </c>
      <c r="C12859" s="216" t="n">
        <v>30.82</v>
      </c>
      <c r="D12859" s="216" t="n">
        <v>1.173393964767456</v>
      </c>
      <c r="E12859" s="215" t="n">
        <v>44704</v>
      </c>
      <c r="F12859" s="215" t="n">
        <v>44704</v>
      </c>
    </row>
    <row r="12860">
      <c r="A12860" s="215" t="n">
        <v>44705</v>
      </c>
      <c r="B12860" s="216" t="n">
        <v>22.1</v>
      </c>
      <c r="C12860" s="216" t="n">
        <v>29.05</v>
      </c>
      <c r="D12860" s="216" t="n">
        <v>1.179618000984192</v>
      </c>
      <c r="E12860" s="215" t="n">
        <v>44705</v>
      </c>
      <c r="F12860" s="215" t="n">
        <v>44705</v>
      </c>
    </row>
    <row r="12861">
      <c r="A12861" s="215" t="n">
        <v>44706</v>
      </c>
      <c r="B12861" s="216" t="n">
        <v>22.15</v>
      </c>
      <c r="C12861" s="216" t="n">
        <v>29.6</v>
      </c>
      <c r="D12861" s="216" t="n">
        <v>1.179540991783142</v>
      </c>
      <c r="E12861" s="215" t="n">
        <v>44706</v>
      </c>
      <c r="F12861" s="215" t="n">
        <v>44706</v>
      </c>
    </row>
    <row r="12862">
      <c r="A12862" s="215" t="n">
        <v>44707</v>
      </c>
      <c r="B12862" s="216" t="n">
        <v>22.35</v>
      </c>
      <c r="C12862" s="216" t="n">
        <v>29.75</v>
      </c>
      <c r="D12862" s="216" t="n">
        <v>1.172242045402527</v>
      </c>
      <c r="E12862" s="215" t="n">
        <v>44707</v>
      </c>
      <c r="F12862" s="215" t="n">
        <v>44707</v>
      </c>
    </row>
    <row r="12863">
      <c r="A12863" s="215" t="n">
        <v>44708</v>
      </c>
      <c r="B12863" s="216" t="n">
        <v>22.35</v>
      </c>
      <c r="C12863" s="216" t="n">
        <v>29.7</v>
      </c>
      <c r="D12863" s="216" t="n">
        <v>1.164566993713379</v>
      </c>
      <c r="E12863" s="215" t="n">
        <v>44708</v>
      </c>
      <c r="F12863" s="215" t="n">
        <v>44708</v>
      </c>
    </row>
    <row r="12864">
      <c r="A12864" s="215" t="n">
        <v>44711</v>
      </c>
      <c r="B12864" s="216" t="n">
        <v>22.15</v>
      </c>
      <c r="C12864" s="216" t="n">
        <v>29.74</v>
      </c>
      <c r="D12864" s="216" t="n">
        <v>1.171957015991211</v>
      </c>
      <c r="E12864" s="215" t="n">
        <v>44711</v>
      </c>
      <c r="F12864" s="215" t="n">
        <v>44711</v>
      </c>
    </row>
    <row r="12865">
      <c r="A12865" s="215" t="n">
        <v>44712</v>
      </c>
      <c r="B12865" s="216" t="n">
        <v>22.05</v>
      </c>
      <c r="C12865" s="216" t="n">
        <v>30.02</v>
      </c>
      <c r="D12865" s="216" t="n">
        <v>1.178225040435791</v>
      </c>
      <c r="E12865" s="215" t="n">
        <v>44712</v>
      </c>
      <c r="F12865" s="215" t="n">
        <v>44712</v>
      </c>
    </row>
    <row r="12866">
      <c r="A12866" s="215" t="n">
        <v>44713</v>
      </c>
      <c r="B12866" s="216" t="n">
        <v>22.05</v>
      </c>
      <c r="C12866" s="216" t="n">
        <v>30.11</v>
      </c>
      <c r="D12866" s="216" t="n">
        <v>1.175742983818054</v>
      </c>
      <c r="E12866" s="215" t="n">
        <v>44713</v>
      </c>
      <c r="F12866" s="215" t="n">
        <v>44713</v>
      </c>
    </row>
    <row r="12867">
      <c r="A12867" s="215" t="n">
        <v>44714</v>
      </c>
      <c r="B12867" s="216" t="n">
        <v>22.4</v>
      </c>
      <c r="C12867" s="216" t="n">
        <v>31.68</v>
      </c>
      <c r="D12867" s="216" t="n">
        <v>1.173377990722656</v>
      </c>
      <c r="E12867" s="215" t="n">
        <v>44714</v>
      </c>
      <c r="F12867" s="215" t="n">
        <v>44714</v>
      </c>
    </row>
    <row r="12868">
      <c r="A12868" s="215" t="n">
        <v>44718</v>
      </c>
      <c r="B12868" s="216" t="n">
        <v>22.95</v>
      </c>
      <c r="C12868" s="216" t="n">
        <v>33.05</v>
      </c>
      <c r="D12868" s="216" t="n">
        <v>1.178540945053101</v>
      </c>
      <c r="E12868" s="215" t="n">
        <v>44718</v>
      </c>
      <c r="F12868" s="215" t="n">
        <v>44718</v>
      </c>
    </row>
    <row r="12869">
      <c r="A12869" s="215" t="n">
        <v>44719</v>
      </c>
      <c r="B12869" s="216" t="n">
        <v>23</v>
      </c>
      <c r="C12869" s="216" t="n">
        <v>32.4</v>
      </c>
      <c r="D12869" s="216" t="n">
        <v>1.179175019264221</v>
      </c>
      <c r="E12869" s="215" t="n">
        <v>44719</v>
      </c>
      <c r="F12869" s="215" t="n">
        <v>44719</v>
      </c>
    </row>
    <row r="12870">
      <c r="A12870" s="215" t="n">
        <v>44720</v>
      </c>
      <c r="B12870" s="216" t="n">
        <v>22.7</v>
      </c>
      <c r="C12870" s="216" t="n">
        <v>32.68</v>
      </c>
      <c r="D12870" s="216" t="n">
        <v>1.175778985023499</v>
      </c>
      <c r="E12870" s="215" t="n">
        <v>44720</v>
      </c>
      <c r="F12870" s="215" t="n">
        <v>44720</v>
      </c>
    </row>
    <row r="12871">
      <c r="A12871" s="215" t="n">
        <v>44721</v>
      </c>
      <c r="B12871" s="216" t="n">
        <v>22.2</v>
      </c>
      <c r="C12871" s="216" t="n">
        <v>31.45</v>
      </c>
      <c r="D12871" s="216" t="n">
        <v>1.174060940742493</v>
      </c>
      <c r="E12871" s="215" t="n">
        <v>44721</v>
      </c>
      <c r="F12871" s="215" t="n">
        <v>44721</v>
      </c>
    </row>
    <row r="12872">
      <c r="A12872" s="215" t="n">
        <v>44722</v>
      </c>
      <c r="B12872" s="216" t="n">
        <v>23.65</v>
      </c>
      <c r="C12872" s="216" t="n">
        <v>32.98</v>
      </c>
      <c r="D12872" s="216" t="n">
        <v>1.172886967658997</v>
      </c>
      <c r="E12872" s="215" t="n">
        <v>44722</v>
      </c>
      <c r="F12872" s="215" t="n">
        <v>44722</v>
      </c>
    </row>
    <row r="12873">
      <c r="A12873" s="215" t="n">
        <v>44725</v>
      </c>
      <c r="B12873" s="216" t="n">
        <v>24</v>
      </c>
      <c r="C12873" s="216" t="n">
        <v>33.81</v>
      </c>
      <c r="D12873" s="216" t="n">
        <v>1.16687798500061</v>
      </c>
      <c r="E12873" s="215" t="n">
        <v>44725</v>
      </c>
      <c r="F12873" s="215" t="n">
        <v>44725</v>
      </c>
    </row>
    <row r="12874">
      <c r="A12874" s="215" t="n">
        <v>44726</v>
      </c>
      <c r="B12874" s="216" t="n">
        <v>24.2</v>
      </c>
      <c r="C12874" s="216" t="n">
        <v>33.99</v>
      </c>
      <c r="D12874" s="216" t="n">
        <v>1.162642002105713</v>
      </c>
      <c r="E12874" s="215" t="n">
        <v>44726</v>
      </c>
      <c r="F12874" s="215" t="n">
        <v>44726</v>
      </c>
    </row>
    <row r="12875">
      <c r="A12875" s="215" t="n">
        <v>44727</v>
      </c>
      <c r="B12875" s="216" t="n">
        <v>24.15</v>
      </c>
      <c r="C12875" s="216" t="n">
        <v>34.08</v>
      </c>
      <c r="D12875" s="216" t="n">
        <v>1.165135025978088</v>
      </c>
      <c r="E12875" s="215" t="n">
        <v>44727</v>
      </c>
      <c r="F12875" s="215" t="n">
        <v>44727</v>
      </c>
    </row>
    <row r="12876">
      <c r="A12876" s="215" t="n">
        <v>44728</v>
      </c>
      <c r="B12876" s="216" t="n">
        <v>23.2</v>
      </c>
      <c r="C12876" s="216" t="n">
        <v>33.5</v>
      </c>
      <c r="D12876" s="216" t="n">
        <v>1.169098973274231</v>
      </c>
      <c r="E12876" s="215" t="n">
        <v>44728</v>
      </c>
      <c r="F12876" s="215" t="n">
        <v>44728</v>
      </c>
    </row>
    <row r="12877">
      <c r="A12877" s="215" t="n">
        <v>44729</v>
      </c>
      <c r="B12877" s="216" t="n">
        <v>24.6</v>
      </c>
      <c r="C12877" s="216" t="n">
        <v>34.91</v>
      </c>
      <c r="D12877" s="216" t="n">
        <v>1.170604944229126</v>
      </c>
      <c r="E12877" s="215" t="n">
        <v>44729</v>
      </c>
      <c r="F12877" s="215" t="n">
        <v>44729</v>
      </c>
    </row>
    <row r="12878">
      <c r="A12878" s="215" t="n">
        <v>44732</v>
      </c>
      <c r="B12878" s="216" t="n">
        <v>25.25</v>
      </c>
      <c r="C12878" s="216" t="n">
        <v>35.01</v>
      </c>
      <c r="D12878" s="216" t="n">
        <v>1.167651057243347</v>
      </c>
      <c r="E12878" s="215" t="n">
        <v>44732</v>
      </c>
      <c r="F12878" s="215" t="n">
        <v>44732</v>
      </c>
    </row>
    <row r="12879">
      <c r="A12879" s="215" t="n">
        <v>44733</v>
      </c>
      <c r="B12879" s="216" t="n">
        <v>25.05</v>
      </c>
      <c r="C12879" s="216" t="n">
        <v>34.4</v>
      </c>
      <c r="D12879" s="216" t="n">
        <v>1.173205971717834</v>
      </c>
      <c r="E12879" s="215" t="n">
        <v>44733</v>
      </c>
      <c r="F12879" s="215" t="n">
        <v>44733</v>
      </c>
    </row>
    <row r="12880">
      <c r="A12880" s="215" t="n">
        <v>44734</v>
      </c>
      <c r="B12880" s="216" t="n">
        <v>24.3</v>
      </c>
      <c r="C12880" s="216" t="n">
        <v>33.5</v>
      </c>
      <c r="D12880" s="216" t="n">
        <v>1.173452019691467</v>
      </c>
      <c r="E12880" s="215" t="n">
        <v>44734</v>
      </c>
      <c r="F12880" s="215" t="n">
        <v>44734</v>
      </c>
    </row>
    <row r="12881">
      <c r="A12881" s="215" t="n">
        <v>44735</v>
      </c>
      <c r="B12881" s="216" t="n">
        <v>25.15</v>
      </c>
      <c r="C12881" s="216" t="n">
        <v>34.85</v>
      </c>
      <c r="D12881" s="216" t="n">
        <v>1.171026945114136</v>
      </c>
      <c r="E12881" s="215" t="n">
        <v>44735</v>
      </c>
      <c r="F12881" s="215" t="n">
        <v>44735</v>
      </c>
    </row>
    <row r="12882">
      <c r="A12882" s="215" t="n">
        <v>44736</v>
      </c>
      <c r="B12882" s="216" t="n">
        <v>26.4</v>
      </c>
      <c r="C12882" s="216" t="n">
        <v>35.72</v>
      </c>
      <c r="D12882" s="216" t="n">
        <v>1.171391010284424</v>
      </c>
      <c r="E12882" s="215" t="n">
        <v>44736</v>
      </c>
      <c r="F12882" s="215" t="n">
        <v>44736</v>
      </c>
    </row>
    <row r="12883">
      <c r="A12883" s="215" t="n">
        <v>44739</v>
      </c>
      <c r="B12883" s="216" t="n">
        <v>27.2</v>
      </c>
      <c r="C12883" s="216" t="n">
        <v>36.41</v>
      </c>
      <c r="D12883" s="216" t="n">
        <v>1.174373030662537</v>
      </c>
      <c r="E12883" s="215" t="n">
        <v>44739</v>
      </c>
      <c r="F12883" s="215" t="n">
        <v>44739</v>
      </c>
    </row>
    <row r="12884">
      <c r="A12884" s="215" t="n">
        <v>44740</v>
      </c>
      <c r="B12884" s="216" t="n">
        <v>28.8</v>
      </c>
      <c r="C12884" s="216" t="n">
        <v>37.75</v>
      </c>
      <c r="D12884" s="216" t="n">
        <v>1.172474026679993</v>
      </c>
      <c r="E12884" s="215" t="n">
        <v>44740</v>
      </c>
      <c r="F12884" s="215" t="n">
        <v>44740</v>
      </c>
    </row>
    <row r="12885">
      <c r="A12885" s="215" t="n">
        <v>44741</v>
      </c>
      <c r="B12885" s="216" t="n">
        <v>29.3</v>
      </c>
      <c r="C12885" s="216" t="n">
        <v>36.02</v>
      </c>
      <c r="D12885" s="216" t="n">
        <v>1.169481039047241</v>
      </c>
      <c r="E12885" s="215" t="n">
        <v>44741</v>
      </c>
      <c r="F12885" s="215" t="n">
        <v>44741</v>
      </c>
    </row>
    <row r="12886">
      <c r="A12886" s="215" t="n">
        <v>44742</v>
      </c>
      <c r="B12886" s="216" t="n">
        <v>28.5</v>
      </c>
      <c r="C12886" s="216" t="n">
        <v>36.8</v>
      </c>
      <c r="D12886" s="216" t="n">
        <v>1.171028017997742</v>
      </c>
      <c r="E12886" s="215" t="n">
        <v>44742</v>
      </c>
      <c r="F12886" s="215" t="n">
        <v>44742</v>
      </c>
    </row>
    <row r="12887">
      <c r="A12887" s="215" t="n">
        <v>44746</v>
      </c>
      <c r="B12887" s="216" t="n">
        <v>28.65</v>
      </c>
      <c r="C12887" s="216" t="n">
        <v>37.18</v>
      </c>
      <c r="D12887" s="216" t="n">
        <v>1.17113995552063</v>
      </c>
      <c r="E12887" s="215" t="n">
        <v>44746</v>
      </c>
      <c r="F12887" s="215" t="n">
        <v>44746</v>
      </c>
    </row>
    <row r="12888">
      <c r="A12888" s="215" t="n">
        <v>44747</v>
      </c>
      <c r="B12888" s="216" t="n">
        <v>31.1</v>
      </c>
      <c r="C12888" s="216" t="n">
        <v>42.9</v>
      </c>
      <c r="D12888" s="216" t="n">
        <v>1.171020984649658</v>
      </c>
      <c r="E12888" s="215" t="n">
        <v>44747</v>
      </c>
      <c r="F12888" s="215" t="n">
        <v>44747</v>
      </c>
    </row>
    <row r="12889">
      <c r="A12889" s="215" t="n">
        <v>44748</v>
      </c>
      <c r="B12889" s="216" t="n">
        <v>31.5</v>
      </c>
      <c r="C12889" s="216" t="n">
        <v>43.21</v>
      </c>
      <c r="D12889" s="216" t="n">
        <v>1.167670011520386</v>
      </c>
      <c r="E12889" s="215" t="n">
        <v>44748</v>
      </c>
      <c r="F12889" s="215" t="n">
        <v>44748</v>
      </c>
    </row>
    <row r="12890">
      <c r="A12890" s="215" t="n">
        <v>44749</v>
      </c>
      <c r="B12890" s="216" t="n">
        <v>32.5</v>
      </c>
      <c r="C12890" s="216" t="n">
        <v>42.99</v>
      </c>
      <c r="D12890" s="216" t="n">
        <v>1.169499039649963</v>
      </c>
      <c r="E12890" s="215" t="n">
        <v>44749</v>
      </c>
      <c r="F12890" s="215" t="n">
        <v>44749</v>
      </c>
    </row>
    <row r="12891">
      <c r="A12891" s="215" t="n">
        <v>44750</v>
      </c>
      <c r="B12891" s="216" t="n">
        <v>32.75</v>
      </c>
      <c r="C12891" s="216" t="n">
        <v>42.5</v>
      </c>
      <c r="D12891" s="216" t="n">
        <v>1.170979976654053</v>
      </c>
      <c r="E12891" s="215" t="n">
        <v>44750</v>
      </c>
      <c r="F12891" s="215" t="n">
        <v>44750</v>
      </c>
    </row>
    <row r="12892">
      <c r="A12892" s="215" t="n">
        <v>44753</v>
      </c>
      <c r="B12892" s="216" t="n">
        <v>32</v>
      </c>
      <c r="C12892" s="216" t="n">
        <v>41.45</v>
      </c>
      <c r="D12892" s="216" t="n">
        <v>1.172826051712036</v>
      </c>
      <c r="E12892" s="215" t="n">
        <v>44753</v>
      </c>
      <c r="F12892" s="215" t="n">
        <v>44753</v>
      </c>
    </row>
    <row r="12893">
      <c r="A12893" s="215" t="n">
        <v>44754</v>
      </c>
      <c r="B12893" s="216" t="n">
        <v>31.35</v>
      </c>
      <c r="C12893" s="216" t="n">
        <v>40.27</v>
      </c>
      <c r="D12893" s="216" t="n">
        <v>1.168439984321594</v>
      </c>
      <c r="E12893" s="215" t="n">
        <v>44754</v>
      </c>
      <c r="F12893" s="215" t="n">
        <v>44754</v>
      </c>
    </row>
    <row r="12894">
      <c r="A12894" s="215" t="n">
        <v>44755</v>
      </c>
      <c r="B12894" s="216" t="n">
        <v>31.35</v>
      </c>
      <c r="C12894" s="216" t="n">
        <v>40.21</v>
      </c>
      <c r="D12894" s="216" t="n">
        <v>1.166862964630127</v>
      </c>
      <c r="E12894" s="215" t="n">
        <v>44755</v>
      </c>
      <c r="F12894" s="215" t="n">
        <v>44755</v>
      </c>
    </row>
    <row r="12895">
      <c r="A12895" s="215" t="n">
        <v>44756</v>
      </c>
      <c r="B12895" s="216" t="n">
        <v>33.25</v>
      </c>
      <c r="C12895" s="216" t="n">
        <v>43.34</v>
      </c>
      <c r="D12895" s="216" t="n">
        <v>1.167678952217102</v>
      </c>
      <c r="E12895" s="215" t="n">
        <v>44756</v>
      </c>
      <c r="F12895" s="215" t="n">
        <v>44756</v>
      </c>
    </row>
    <row r="12896">
      <c r="A12896" s="215" t="n">
        <v>44757</v>
      </c>
      <c r="B12896" s="216" t="n">
        <v>33.3</v>
      </c>
      <c r="C12896" s="216" t="n">
        <v>43.85</v>
      </c>
      <c r="D12896" s="216" t="n">
        <v>1.161978960037231</v>
      </c>
      <c r="E12896" s="215" t="n">
        <v>44757</v>
      </c>
      <c r="F12896" s="215" t="n">
        <v>44757</v>
      </c>
    </row>
    <row r="12897">
      <c r="A12897" s="215" t="n">
        <v>44760</v>
      </c>
      <c r="B12897" s="216" t="n">
        <v>33.35</v>
      </c>
      <c r="C12897" s="216" t="n">
        <v>43.9</v>
      </c>
      <c r="D12897" s="216" t="n">
        <v>1.162382960319519</v>
      </c>
      <c r="E12897" s="215" t="n">
        <v>44760</v>
      </c>
      <c r="F12897" s="215" t="n">
        <v>44760</v>
      </c>
    </row>
    <row r="12898">
      <c r="A12898" s="215" t="n">
        <v>44761</v>
      </c>
      <c r="B12898" s="216" t="n">
        <v>33.6</v>
      </c>
      <c r="C12898" s="216" t="n">
        <v>45.41</v>
      </c>
      <c r="D12898" s="216" t="n">
        <v>1.163684964179993</v>
      </c>
      <c r="E12898" s="215" t="n">
        <v>44761</v>
      </c>
      <c r="F12898" s="215" t="n">
        <v>44761</v>
      </c>
    </row>
    <row r="12899">
      <c r="A12899" s="215" t="n">
        <v>44762</v>
      </c>
      <c r="B12899" s="216" t="n">
        <v>34</v>
      </c>
      <c r="C12899" s="216" t="n">
        <v>46.34</v>
      </c>
      <c r="D12899" s="216" t="n">
        <v>1.163969993591309</v>
      </c>
      <c r="E12899" s="215" t="n">
        <v>44762</v>
      </c>
      <c r="F12899" s="215" t="n">
        <v>44762</v>
      </c>
    </row>
    <row r="12900">
      <c r="A12900" s="215" t="n">
        <v>44763</v>
      </c>
      <c r="B12900" s="216" t="n">
        <v>34.65</v>
      </c>
      <c r="C12900" s="216" t="n">
        <v>45.19</v>
      </c>
      <c r="D12900" s="216" t="n">
        <v>1.161798000335693</v>
      </c>
      <c r="E12900" s="215" t="n">
        <v>44763</v>
      </c>
      <c r="F12900" s="215" t="n">
        <v>44763</v>
      </c>
    </row>
    <row r="12901">
      <c r="A12901" s="215" t="n">
        <v>44764</v>
      </c>
      <c r="B12901" s="216" t="n">
        <v>34.2</v>
      </c>
      <c r="C12901" s="216" t="n">
        <v>45.45</v>
      </c>
      <c r="D12901" s="216" t="n">
        <v>1.159577965736389</v>
      </c>
      <c r="E12901" s="215" t="n">
        <v>44764</v>
      </c>
      <c r="F12901" s="215" t="n">
        <v>44764</v>
      </c>
    </row>
    <row r="12902">
      <c r="A12902" s="215" t="n">
        <v>44767</v>
      </c>
      <c r="B12902" s="216" t="n">
        <v>34</v>
      </c>
      <c r="C12902" s="216" t="n">
        <v>45.01</v>
      </c>
      <c r="D12902" s="216" t="n">
        <v>1.161067962646484</v>
      </c>
      <c r="E12902" s="215" t="n">
        <v>44767</v>
      </c>
      <c r="F12902" s="215" t="n">
        <v>44767</v>
      </c>
    </row>
    <row r="12903">
      <c r="A12903" s="215" t="n">
        <v>44768</v>
      </c>
      <c r="B12903" s="216" t="n">
        <v>34.7</v>
      </c>
      <c r="C12903" s="216" t="n">
        <v>44.49</v>
      </c>
      <c r="D12903" s="216" t="n">
        <v>1.162636041641235</v>
      </c>
      <c r="E12903" s="215" t="n">
        <v>44768</v>
      </c>
      <c r="F12903" s="215" t="n">
        <v>44768</v>
      </c>
    </row>
    <row r="12904">
      <c r="A12904" s="215" t="n">
        <v>44769</v>
      </c>
      <c r="B12904" s="216" t="n">
        <v>34</v>
      </c>
      <c r="C12904" s="216" t="n">
        <v>45.67</v>
      </c>
      <c r="D12904" s="216" t="n">
        <v>1.160446047782898</v>
      </c>
      <c r="E12904" s="215" t="n">
        <v>44769</v>
      </c>
      <c r="F12904" s="215" t="n">
        <v>44769</v>
      </c>
    </row>
    <row r="12905">
      <c r="A12905" s="215" t="n">
        <v>44770</v>
      </c>
      <c r="B12905" s="216" t="n">
        <v>34.5</v>
      </c>
      <c r="C12905" s="216" t="n">
        <v>45.82</v>
      </c>
      <c r="D12905" s="216" t="n">
        <v>1.161301970481873</v>
      </c>
      <c r="E12905" s="215" t="n">
        <v>44770</v>
      </c>
      <c r="F12905" s="215" t="n">
        <v>44770</v>
      </c>
    </row>
    <row r="12906">
      <c r="A12906" s="215" t="n">
        <v>44771</v>
      </c>
      <c r="B12906" s="216" t="n">
        <v>34.15</v>
      </c>
      <c r="C12906" s="216" t="n">
        <v>46.33</v>
      </c>
      <c r="D12906" s="216" t="n">
        <v>1.163324952125549</v>
      </c>
      <c r="E12906" s="215" t="n">
        <v>44771</v>
      </c>
      <c r="F12906" s="215" t="n">
        <v>44771</v>
      </c>
    </row>
    <row r="12907">
      <c r="A12907" s="215" t="n">
        <v>44774</v>
      </c>
      <c r="B12907" s="216" t="n">
        <v>34.05</v>
      </c>
      <c r="C12907" s="216" t="n">
        <v>45.45</v>
      </c>
      <c r="D12907" s="216" t="n">
        <v>1.162269949913025</v>
      </c>
      <c r="E12907" s="215" t="n">
        <v>44774</v>
      </c>
      <c r="F12907" s="215" t="n">
        <v>44774</v>
      </c>
    </row>
    <row r="12908">
      <c r="A12908" s="215" t="n">
        <v>44775</v>
      </c>
      <c r="B12908" s="216" t="n">
        <v>33.3</v>
      </c>
      <c r="C12908" s="216" t="n">
        <v>43.82</v>
      </c>
      <c r="D12908" s="216" t="n">
        <v>1.159325957298279</v>
      </c>
      <c r="E12908" s="215" t="n">
        <v>44775</v>
      </c>
      <c r="F12908" s="215" t="n">
        <v>44775</v>
      </c>
    </row>
    <row r="12909">
      <c r="A12909" s="215" t="n">
        <v>44776</v>
      </c>
      <c r="B12909" s="216" t="n">
        <v>33.3</v>
      </c>
      <c r="C12909" s="216" t="n">
        <v>43.15</v>
      </c>
      <c r="D12909" s="216" t="n">
        <v>1.162142992019653</v>
      </c>
      <c r="E12909" s="215" t="n">
        <v>44776</v>
      </c>
      <c r="F12909" s="215" t="n">
        <v>44776</v>
      </c>
    </row>
    <row r="12910">
      <c r="A12910" s="215" t="n">
        <v>44777</v>
      </c>
      <c r="B12910" s="216" t="n">
        <v>33.45</v>
      </c>
      <c r="C12910" s="216" t="n">
        <v>43.32</v>
      </c>
      <c r="D12910" s="216" t="n">
        <v>1.161054015159607</v>
      </c>
      <c r="E12910" s="215" t="n">
        <v>44777</v>
      </c>
      <c r="F12910" s="215" t="n">
        <v>44777</v>
      </c>
    </row>
    <row r="12911">
      <c r="A12911" s="215" t="n">
        <v>44778</v>
      </c>
      <c r="B12911" s="216" t="n">
        <v>33.5</v>
      </c>
      <c r="C12911" s="216" t="n">
        <v>42.49</v>
      </c>
      <c r="D12911" s="216" t="n">
        <v>1.163038015365601</v>
      </c>
      <c r="E12911" s="215" t="n">
        <v>44778</v>
      </c>
      <c r="F12911" s="215" t="n">
        <v>44778</v>
      </c>
    </row>
    <row r="12912">
      <c r="A12912" s="215" t="n">
        <v>44781</v>
      </c>
      <c r="B12912" s="216" t="n">
        <v>33.1</v>
      </c>
      <c r="C12912" s="216" t="n">
        <v>42.26</v>
      </c>
      <c r="D12912" s="216" t="n">
        <v>1.157068967819214</v>
      </c>
      <c r="E12912" s="215" t="n">
        <v>44781</v>
      </c>
      <c r="F12912" s="215" t="n">
        <v>44781</v>
      </c>
    </row>
    <row r="12913">
      <c r="A12913" s="215" t="n">
        <v>44782</v>
      </c>
      <c r="B12913" s="216" t="n">
        <v>33.2</v>
      </c>
      <c r="C12913" s="216" t="n">
        <v>42.83</v>
      </c>
      <c r="D12913" s="216" t="n">
        <v>1.162580013275146</v>
      </c>
      <c r="E12913" s="215" t="n">
        <v>44782</v>
      </c>
      <c r="F12913" s="215" t="n">
        <v>44782</v>
      </c>
    </row>
    <row r="12914">
      <c r="A12914" s="215" t="n">
        <v>44783</v>
      </c>
      <c r="B12914" s="216" t="n">
        <v>33.7</v>
      </c>
      <c r="C12914" s="216" t="n">
        <v>43.93</v>
      </c>
      <c r="D12914" s="216" t="n">
        <v>1.162145972251892</v>
      </c>
      <c r="E12914" s="215" t="n">
        <v>44783</v>
      </c>
      <c r="F12914" s="215" t="n">
        <v>44783</v>
      </c>
    </row>
    <row r="12915">
      <c r="A12915" s="215" t="n">
        <v>44784</v>
      </c>
      <c r="B12915" s="216" t="n">
        <v>33.95</v>
      </c>
      <c r="C12915" s="216" t="n">
        <v>43.2</v>
      </c>
      <c r="D12915" s="216" t="n">
        <v>1.1664719581604</v>
      </c>
      <c r="E12915" s="215" t="n">
        <v>44784</v>
      </c>
      <c r="F12915" s="215" t="n">
        <v>44784</v>
      </c>
    </row>
    <row r="12916">
      <c r="A12916" s="215" t="n">
        <v>44785</v>
      </c>
      <c r="B12916" s="216" t="n">
        <v>33.15</v>
      </c>
      <c r="C12916" s="216" t="n">
        <v>42.55</v>
      </c>
      <c r="D12916" s="216" t="n">
        <v>1.163048028945923</v>
      </c>
      <c r="E12916" s="215" t="n">
        <v>44785</v>
      </c>
      <c r="F12916" s="215" t="n">
        <v>44785</v>
      </c>
    </row>
    <row r="12917">
      <c r="A12917" s="215" t="n">
        <v>44788</v>
      </c>
      <c r="B12917" s="216" t="n">
        <v>33.55</v>
      </c>
      <c r="C12917" s="216" t="n">
        <v>44.16</v>
      </c>
      <c r="D12917" s="216" t="n">
        <v>1.161870002746582</v>
      </c>
      <c r="E12917" s="215" t="n">
        <v>44788</v>
      </c>
      <c r="F12917" s="215" t="n">
        <v>44788</v>
      </c>
    </row>
    <row r="12918">
      <c r="A12918" s="215" t="n">
        <v>44789</v>
      </c>
      <c r="B12918" s="216" t="n">
        <v>33.65</v>
      </c>
      <c r="C12918" s="216" t="n">
        <v>41.72</v>
      </c>
      <c r="D12918" s="216" t="n">
        <v>1.157011985778809</v>
      </c>
      <c r="E12918" s="215" t="n">
        <v>44789</v>
      </c>
      <c r="F12918" s="215" t="n">
        <v>44789</v>
      </c>
    </row>
    <row r="12919">
      <c r="A12919" s="215" t="n">
        <v>44790</v>
      </c>
      <c r="B12919" s="216" t="n">
        <v>33.3</v>
      </c>
      <c r="C12919" s="216" t="n">
        <v>41.01</v>
      </c>
      <c r="D12919" s="216" t="n">
        <v>1.154489040374756</v>
      </c>
      <c r="E12919" s="215" t="n">
        <v>44790</v>
      </c>
      <c r="F12919" s="215" t="n">
        <v>44790</v>
      </c>
    </row>
    <row r="12920">
      <c r="A12920" s="215" t="n">
        <v>44791</v>
      </c>
      <c r="B12920" s="216" t="n">
        <v>33.5</v>
      </c>
      <c r="C12920" s="216" t="n">
        <v>41.68</v>
      </c>
      <c r="D12920" s="216" t="n">
        <v>1.156353950500488</v>
      </c>
      <c r="E12920" s="215" t="n">
        <v>44791</v>
      </c>
      <c r="F12920" s="215" t="n">
        <v>44791</v>
      </c>
    </row>
    <row r="12921">
      <c r="A12921" s="215" t="n">
        <v>44792</v>
      </c>
      <c r="B12921" s="216" t="n">
        <v>32.35</v>
      </c>
      <c r="C12921" s="216" t="n">
        <v>39.7</v>
      </c>
      <c r="D12921" s="216" t="n">
        <v>1.156412959098816</v>
      </c>
      <c r="E12921" s="215" t="n">
        <v>44792</v>
      </c>
      <c r="F12921" s="215" t="n">
        <v>44792</v>
      </c>
    </row>
    <row r="12922">
      <c r="A12922" s="215" t="n">
        <v>44795</v>
      </c>
      <c r="B12922" s="216" t="n">
        <v>31.9</v>
      </c>
      <c r="C12922" s="216" t="n">
        <v>41.08</v>
      </c>
      <c r="D12922" s="216" t="n">
        <v>1.150079965591431</v>
      </c>
      <c r="E12922" s="215" t="n">
        <v>44795</v>
      </c>
      <c r="F12922" s="215" t="n">
        <v>44795</v>
      </c>
    </row>
    <row r="12923">
      <c r="A12923" s="215" t="n">
        <v>44796</v>
      </c>
      <c r="B12923" s="216" t="n">
        <v>31.8</v>
      </c>
      <c r="C12923" s="216" t="n">
        <v>40.58</v>
      </c>
      <c r="D12923" s="216" t="n">
        <v>1.145777940750122</v>
      </c>
      <c r="E12923" s="215" t="n">
        <v>44796</v>
      </c>
      <c r="F12923" s="215" t="n">
        <v>44796</v>
      </c>
    </row>
    <row r="12924">
      <c r="A12924" s="215" t="n">
        <v>44797</v>
      </c>
      <c r="B12924" s="216" t="n">
        <v>32.15</v>
      </c>
      <c r="C12924" s="216" t="n">
        <v>38.25</v>
      </c>
      <c r="D12924" s="216" t="n">
        <v>1.148229956626892</v>
      </c>
      <c r="E12924" s="215" t="n">
        <v>44797</v>
      </c>
      <c r="F12924" s="215" t="n">
        <v>44797</v>
      </c>
    </row>
    <row r="12925">
      <c r="A12925" s="215" t="n">
        <v>44798</v>
      </c>
      <c r="B12925" s="216" t="n">
        <v>32</v>
      </c>
      <c r="C12925" s="216" t="n">
        <v>38.18</v>
      </c>
      <c r="D12925" s="216" t="n">
        <v>1.143164038658142</v>
      </c>
      <c r="E12925" s="215" t="n">
        <v>44798</v>
      </c>
      <c r="F12925" s="215" t="n">
        <v>44798</v>
      </c>
    </row>
    <row r="12926">
      <c r="A12926" s="215" t="n">
        <v>44799</v>
      </c>
      <c r="B12926" s="216" t="n">
        <v>32.05</v>
      </c>
      <c r="C12926" s="216" t="n">
        <v>38.49</v>
      </c>
      <c r="D12926" s="216" t="n">
        <v>1.145529985427856</v>
      </c>
      <c r="E12926" s="215" t="n">
        <v>44799</v>
      </c>
      <c r="F12926" s="215" t="n">
        <v>44799</v>
      </c>
    </row>
    <row r="12927">
      <c r="A12927" s="215" t="n">
        <v>44802</v>
      </c>
      <c r="B12927" s="216" t="n">
        <v>30.9</v>
      </c>
      <c r="C12927" s="216" t="n">
        <v>38.35</v>
      </c>
      <c r="D12927" s="216" t="n">
        <v>1.136988997459412</v>
      </c>
      <c r="E12927" s="215" t="n">
        <v>44802</v>
      </c>
      <c r="F12927" s="215" t="n">
        <v>44802</v>
      </c>
    </row>
    <row r="12928">
      <c r="A12928" s="215" t="n">
        <v>44803</v>
      </c>
      <c r="B12928" s="216" t="n">
        <v>30.05</v>
      </c>
      <c r="C12928" s="216" t="n">
        <v>38.32</v>
      </c>
      <c r="D12928" s="216" t="n">
        <v>1.135977983474731</v>
      </c>
      <c r="E12928" s="215" t="n">
        <v>44803</v>
      </c>
      <c r="F12928" s="215" t="n">
        <v>44803</v>
      </c>
    </row>
    <row r="12929">
      <c r="A12929" s="215" t="n">
        <v>44804</v>
      </c>
      <c r="B12929" s="216" t="n">
        <v>29.35</v>
      </c>
      <c r="C12929" s="216" t="n">
        <v>37.17</v>
      </c>
      <c r="D12929" s="216" t="n">
        <v>1.135614037513733</v>
      </c>
      <c r="E12929" s="215" t="n">
        <v>44804</v>
      </c>
      <c r="F12929" s="215" t="n">
        <v>44804</v>
      </c>
    </row>
    <row r="12930">
      <c r="A12930" s="215" t="n">
        <v>44805</v>
      </c>
      <c r="B12930" s="216" t="n">
        <v>29.15</v>
      </c>
      <c r="C12930" s="216" t="n">
        <v>36.62</v>
      </c>
      <c r="D12930" s="216" t="n">
        <v>1.138682007789612</v>
      </c>
      <c r="E12930" s="215" t="n">
        <v>44805</v>
      </c>
      <c r="F12930" s="215" t="n">
        <v>44805</v>
      </c>
    </row>
    <row r="12931">
      <c r="A12931" s="215" t="n">
        <v>44806</v>
      </c>
      <c r="B12931" s="216" t="n">
        <v>28.15</v>
      </c>
      <c r="C12931" s="216" t="n">
        <v>37.44</v>
      </c>
      <c r="D12931" s="216" t="n">
        <v>1.136086940765381</v>
      </c>
      <c r="E12931" s="215" t="n">
        <v>44806</v>
      </c>
      <c r="F12931" s="215" t="n">
        <v>44806</v>
      </c>
    </row>
    <row r="12932">
      <c r="A12932" s="215" t="n">
        <v>44809</v>
      </c>
      <c r="B12932" s="216" t="n">
        <v>27.65</v>
      </c>
      <c r="C12932" s="216" t="n">
        <v>36.85</v>
      </c>
      <c r="D12932" s="216" t="n">
        <v>1.132429003715515</v>
      </c>
      <c r="E12932" s="215" t="n">
        <v>44809</v>
      </c>
      <c r="F12932" s="215" t="n">
        <v>44809</v>
      </c>
    </row>
    <row r="12933">
      <c r="A12933" s="215" t="n">
        <v>44810</v>
      </c>
      <c r="B12933" s="216" t="n">
        <v>29.4</v>
      </c>
      <c r="C12933" s="216" t="n">
        <v>38.15</v>
      </c>
      <c r="D12933" s="216" t="n">
        <v>1.13170599937439</v>
      </c>
      <c r="E12933" s="215" t="n">
        <v>44810</v>
      </c>
      <c r="F12933" s="215" t="n">
        <v>44810</v>
      </c>
    </row>
    <row r="12934">
      <c r="A12934" s="215" t="n">
        <v>44811</v>
      </c>
      <c r="B12934" s="216" t="n">
        <v>30.95</v>
      </c>
      <c r="C12934" s="216" t="n">
        <v>38.61</v>
      </c>
      <c r="D12934" s="216" t="n">
        <v>1.128731966018677</v>
      </c>
      <c r="E12934" s="215" t="n">
        <v>44811</v>
      </c>
      <c r="F12934" s="215" t="n">
        <v>44811</v>
      </c>
    </row>
    <row r="12935">
      <c r="A12935" s="215" t="n">
        <v>44812</v>
      </c>
      <c r="B12935" s="216" t="n">
        <v>30.65</v>
      </c>
      <c r="C12935" s="216" t="n">
        <v>37.6</v>
      </c>
      <c r="D12935" s="216" t="n">
        <v>1.126878976821899</v>
      </c>
      <c r="E12935" s="215" t="n">
        <v>44812</v>
      </c>
      <c r="F12935" s="215" t="n">
        <v>44812</v>
      </c>
    </row>
    <row r="12936">
      <c r="A12936" s="215" t="n">
        <v>44813</v>
      </c>
      <c r="B12936" s="216" t="n">
        <v>31.05</v>
      </c>
      <c r="C12936" s="216" t="n">
        <v>37.68</v>
      </c>
      <c r="D12936" s="216" t="n">
        <v>1.128111958503723</v>
      </c>
      <c r="E12936" s="215" t="n">
        <v>44813</v>
      </c>
      <c r="F12936" s="215" t="n">
        <v>44813</v>
      </c>
    </row>
    <row r="12937">
      <c r="A12937" s="215" t="n">
        <v>44817</v>
      </c>
      <c r="B12937" s="216" t="n">
        <v>31.45</v>
      </c>
      <c r="C12937" s="216" t="n">
        <v>38.14</v>
      </c>
      <c r="D12937" s="216" t="n">
        <v>1.133118033409119</v>
      </c>
      <c r="E12937" s="215" t="n">
        <v>44817</v>
      </c>
      <c r="F12937" s="215" t="n">
        <v>44817</v>
      </c>
    </row>
    <row r="12938">
      <c r="A12938" s="215" t="n">
        <v>44818</v>
      </c>
      <c r="B12938" s="216" t="n">
        <v>31.1</v>
      </c>
      <c r="C12938" s="216" t="n">
        <v>37.06</v>
      </c>
      <c r="D12938" s="216" t="n">
        <v>1.133923053741455</v>
      </c>
      <c r="E12938" s="215" t="n">
        <v>44818</v>
      </c>
      <c r="F12938" s="215" t="n">
        <v>44818</v>
      </c>
    </row>
    <row r="12939">
      <c r="A12939" s="215" t="n">
        <v>44819</v>
      </c>
      <c r="B12939" s="216" t="n">
        <v>29.95</v>
      </c>
      <c r="C12939" s="216" t="n">
        <v>35.58</v>
      </c>
      <c r="D12939" s="216" t="n">
        <v>1.127349972724915</v>
      </c>
      <c r="E12939" s="215" t="n">
        <v>44819</v>
      </c>
      <c r="F12939" s="215" t="n">
        <v>44819</v>
      </c>
    </row>
    <row r="12940">
      <c r="A12940" s="215" t="n">
        <v>44820</v>
      </c>
      <c r="B12940" s="216" t="n">
        <v>29</v>
      </c>
      <c r="C12940" s="216" t="n">
        <v>34.61</v>
      </c>
      <c r="D12940" s="216" t="n">
        <v>1.122084975242615</v>
      </c>
      <c r="E12940" s="215" t="n">
        <v>44820</v>
      </c>
      <c r="F12940" s="215" t="n">
        <v>44820</v>
      </c>
    </row>
    <row r="12941">
      <c r="A12941" s="215" t="n">
        <v>44823</v>
      </c>
      <c r="B12941" s="216" t="n">
        <v>28.4</v>
      </c>
      <c r="C12941" s="216" t="n">
        <v>34.72</v>
      </c>
      <c r="D12941" s="216" t="n">
        <v>1.128190040588379</v>
      </c>
      <c r="E12941" s="215" t="n">
        <v>44823</v>
      </c>
      <c r="F12941" s="215" t="n">
        <v>44823</v>
      </c>
    </row>
    <row r="12942">
      <c r="A12942" s="215" t="n">
        <v>44824</v>
      </c>
      <c r="B12942" s="216" t="n">
        <v>29.05</v>
      </c>
      <c r="C12942" s="216" t="n">
        <v>35.48</v>
      </c>
      <c r="D12942" s="216" t="n">
        <v>1.120393991470337</v>
      </c>
      <c r="E12942" s="215" t="n">
        <v>44824</v>
      </c>
      <c r="F12942" s="215" t="n">
        <v>44824</v>
      </c>
    </row>
    <row r="12943">
      <c r="A12943" s="215" t="n">
        <v>44825</v>
      </c>
      <c r="B12943" s="216" t="n">
        <v>28.3</v>
      </c>
      <c r="C12943" s="216" t="n">
        <v>35.59</v>
      </c>
      <c r="D12943" s="216" t="n">
        <v>1.11835503578186</v>
      </c>
      <c r="E12943" s="215" t="n">
        <v>44825</v>
      </c>
      <c r="F12943" s="215" t="n">
        <v>44825</v>
      </c>
    </row>
    <row r="12944">
      <c r="A12944" s="215" t="n">
        <v>44826</v>
      </c>
      <c r="B12944" s="216" t="n">
        <v>29</v>
      </c>
      <c r="C12944" s="216" t="n">
        <v>35.97</v>
      </c>
      <c r="D12944" s="216" t="n">
        <v>1.113355040550232</v>
      </c>
      <c r="E12944" s="215" t="n">
        <v>44826</v>
      </c>
      <c r="F12944" s="215" t="n">
        <v>44826</v>
      </c>
    </row>
    <row r="12945">
      <c r="A12945" s="215" t="n">
        <v>44827</v>
      </c>
      <c r="B12945" s="216" t="n">
        <v>28.5</v>
      </c>
      <c r="C12945" s="216" t="n">
        <v>35.6</v>
      </c>
      <c r="D12945" s="216" t="n">
        <v>1.10860002040863</v>
      </c>
      <c r="E12945" s="215" t="n">
        <v>44827</v>
      </c>
      <c r="F12945" s="215" t="n">
        <v>44827</v>
      </c>
    </row>
    <row r="12946">
      <c r="A12946" s="215" t="n">
        <v>44830</v>
      </c>
      <c r="B12946" s="216" t="n">
        <v>28</v>
      </c>
      <c r="C12946" s="216" t="n">
        <v>34.98</v>
      </c>
      <c r="D12946" s="216" t="n">
        <v>1.115165948867798</v>
      </c>
      <c r="E12946" s="215" t="n">
        <v>44830</v>
      </c>
      <c r="F12946" s="215" t="n">
        <v>44830</v>
      </c>
    </row>
    <row r="12947">
      <c r="A12947" s="215" t="n">
        <v>44831</v>
      </c>
      <c r="B12947" s="216" t="n">
        <v>27.5</v>
      </c>
      <c r="C12947" s="216" t="n">
        <v>35.33</v>
      </c>
      <c r="D12947" s="216" t="n">
        <v>1.114001989364624</v>
      </c>
      <c r="E12947" s="215" t="n">
        <v>44831</v>
      </c>
      <c r="F12947" s="215" t="n">
        <v>44831</v>
      </c>
    </row>
    <row r="12948">
      <c r="A12948" s="215" t="n">
        <v>44832</v>
      </c>
      <c r="B12948" s="216" t="n">
        <v>27</v>
      </c>
      <c r="C12948" s="216" t="n">
        <v>34.05</v>
      </c>
      <c r="D12948" s="216" t="n">
        <v>1.094223022460938</v>
      </c>
      <c r="E12948" s="215" t="n">
        <v>44832</v>
      </c>
      <c r="F12948" s="215" t="n">
        <v>44832</v>
      </c>
    </row>
    <row r="12949">
      <c r="A12949" s="215" t="n">
        <v>44833</v>
      </c>
      <c r="B12949" s="216" t="n">
        <v>26.5</v>
      </c>
      <c r="C12949" s="216" t="n">
        <v>34.09</v>
      </c>
      <c r="D12949" s="216" t="n">
        <v>1.089447975158691</v>
      </c>
      <c r="E12949" s="215" t="n">
        <v>44833</v>
      </c>
      <c r="F12949" s="215" t="n">
        <v>44833</v>
      </c>
    </row>
    <row r="12950">
      <c r="A12950" s="215" t="n">
        <v>44834</v>
      </c>
      <c r="B12950" s="216" t="n">
        <v>26.25</v>
      </c>
      <c r="C12950" s="216" t="n">
        <v>33.05</v>
      </c>
      <c r="D12950" s="216" t="n">
        <v>1.10089898109436</v>
      </c>
      <c r="E12950" s="215" t="n">
        <v>44834</v>
      </c>
      <c r="F12950" s="215" t="n">
        <v>44834</v>
      </c>
    </row>
    <row r="12951">
      <c r="A12951" s="215" t="n">
        <v>44837</v>
      </c>
      <c r="B12951" s="216" t="n">
        <v>25.95</v>
      </c>
      <c r="C12951" s="216" t="n">
        <v>33.05</v>
      </c>
      <c r="D12951" s="216" t="n">
        <v>1.102097988128662</v>
      </c>
      <c r="E12951" s="215" t="n">
        <v>44834</v>
      </c>
      <c r="F12951" s="215" t="n">
        <v>44837</v>
      </c>
    </row>
    <row r="12952">
      <c r="A12952" s="215" t="n">
        <v>44839</v>
      </c>
      <c r="B12952" s="216" t="n">
        <v>27.5</v>
      </c>
      <c r="C12952" s="216" t="n">
        <v>33.05</v>
      </c>
      <c r="D12952" s="216" t="n">
        <v>1.103346943855286</v>
      </c>
      <c r="E12952" s="215" t="n">
        <v>44834</v>
      </c>
      <c r="F12952" s="215" t="n">
        <v>44839</v>
      </c>
    </row>
    <row r="12953">
      <c r="A12953" s="215" t="n">
        <v>44840</v>
      </c>
      <c r="B12953" s="216" t="n">
        <v>25.7</v>
      </c>
      <c r="C12953" s="216" t="n">
        <v>33.05</v>
      </c>
      <c r="D12953" s="216" t="n">
        <v>1.103878021240234</v>
      </c>
      <c r="E12953" s="215" t="n">
        <v>44834</v>
      </c>
      <c r="F12953" s="215" t="n">
        <v>44840</v>
      </c>
    </row>
    <row r="12954">
      <c r="A12954" s="215" t="n">
        <v>44841</v>
      </c>
      <c r="B12954" s="216" t="n">
        <v>26.35</v>
      </c>
      <c r="C12954" s="216" t="n">
        <v>33.05</v>
      </c>
      <c r="D12954" s="216" t="n">
        <v>1.103150963783264</v>
      </c>
      <c r="E12954" s="215" t="n">
        <v>44834</v>
      </c>
      <c r="F12954" s="215" t="n">
        <v>44841</v>
      </c>
    </row>
    <row r="12955">
      <c r="A12955" s="215" t="n">
        <v>44844</v>
      </c>
      <c r="B12955" s="216" t="n">
        <v>22.1</v>
      </c>
      <c r="C12955" s="216" t="n">
        <v>32.32</v>
      </c>
      <c r="D12955" s="216" t="n">
        <v>1.098549008369446</v>
      </c>
      <c r="E12955" s="215" t="n">
        <v>44844</v>
      </c>
      <c r="F12955" s="215" t="n">
        <v>44844</v>
      </c>
    </row>
    <row r="12956">
      <c r="A12956" s="215" t="n">
        <v>44845</v>
      </c>
      <c r="B12956" s="216" t="n">
        <v>22.5</v>
      </c>
      <c r="C12956" s="216" t="n">
        <v>32.3</v>
      </c>
      <c r="D12956" s="216" t="n">
        <v>1.097115039825439</v>
      </c>
      <c r="E12956" s="215" t="n">
        <v>44845</v>
      </c>
      <c r="F12956" s="215" t="n">
        <v>44845</v>
      </c>
    </row>
    <row r="12957">
      <c r="A12957" s="215" t="n">
        <v>44846</v>
      </c>
      <c r="B12957" s="216" t="n">
        <v>22.6</v>
      </c>
      <c r="C12957" s="216" t="n">
        <v>33.17</v>
      </c>
      <c r="D12957" s="216" t="n">
        <v>1.094871997833252</v>
      </c>
      <c r="E12957" s="215" t="n">
        <v>44846</v>
      </c>
      <c r="F12957" s="215" t="n">
        <v>44846</v>
      </c>
    </row>
    <row r="12958">
      <c r="A12958" s="215" t="n">
        <v>44847</v>
      </c>
      <c r="B12958" s="216" t="n">
        <v>23.3</v>
      </c>
      <c r="C12958" s="216" t="n">
        <v>33.87</v>
      </c>
      <c r="D12958" s="216" t="n">
        <v>1.09404194355011</v>
      </c>
      <c r="E12958" s="215" t="n">
        <v>44847</v>
      </c>
      <c r="F12958" s="215" t="n">
        <v>44847</v>
      </c>
    </row>
    <row r="12959">
      <c r="A12959" s="215" t="n">
        <v>44848</v>
      </c>
      <c r="B12959" s="216" t="n">
        <v>23.6</v>
      </c>
      <c r="C12959" s="216" t="n">
        <v>34.61</v>
      </c>
      <c r="D12959" s="216" t="n">
        <v>1.094624042510986</v>
      </c>
      <c r="E12959" s="215" t="n">
        <v>44848</v>
      </c>
      <c r="F12959" s="215" t="n">
        <v>44848</v>
      </c>
    </row>
    <row r="12960">
      <c r="A12960" s="215" t="n">
        <v>44851</v>
      </c>
      <c r="B12960" s="216" t="n">
        <v>22.85</v>
      </c>
      <c r="C12960" s="216" t="n">
        <v>34.41</v>
      </c>
      <c r="D12960" s="216" t="n">
        <v>1.093557000160217</v>
      </c>
      <c r="E12960" s="215" t="n">
        <v>44851</v>
      </c>
      <c r="F12960" s="215" t="n">
        <v>44851</v>
      </c>
    </row>
    <row r="12961">
      <c r="A12961" s="215" t="n">
        <v>44852</v>
      </c>
      <c r="B12961" s="216" t="n">
        <v>22.95</v>
      </c>
      <c r="C12961" s="216" t="n">
        <v>33.96</v>
      </c>
      <c r="D12961" s="216" t="n">
        <v>1.090047001838684</v>
      </c>
      <c r="E12961" s="215" t="n">
        <v>44852</v>
      </c>
      <c r="F12961" s="215" t="n">
        <v>44852</v>
      </c>
    </row>
    <row r="12962">
      <c r="A12962" s="215" t="n">
        <v>44853</v>
      </c>
      <c r="B12962" s="216" t="n">
        <v>23.2</v>
      </c>
      <c r="C12962" s="216" t="n">
        <v>33.42</v>
      </c>
      <c r="D12962" s="216" t="n">
        <v>1.089534044265747</v>
      </c>
      <c r="E12962" s="215" t="n">
        <v>44853</v>
      </c>
      <c r="F12962" s="215" t="n">
        <v>44853</v>
      </c>
    </row>
    <row r="12963">
      <c r="A12963" s="215" t="n">
        <v>44854</v>
      </c>
      <c r="B12963" s="216" t="n">
        <v>23.25</v>
      </c>
      <c r="C12963" s="216" t="n">
        <v>33.19</v>
      </c>
      <c r="D12963" s="216" t="n">
        <v>1.086274027824402</v>
      </c>
      <c r="E12963" s="215" t="n">
        <v>44854</v>
      </c>
      <c r="F12963" s="215" t="n">
        <v>44854</v>
      </c>
    </row>
    <row r="12964">
      <c r="A12964" s="215" t="n">
        <v>44855</v>
      </c>
      <c r="B12964" s="216" t="n">
        <v>23.3</v>
      </c>
      <c r="C12964" s="216" t="n">
        <v>32.65</v>
      </c>
      <c r="D12964" s="216" t="n">
        <v>1.087515950202942</v>
      </c>
      <c r="E12964" s="215" t="n">
        <v>44855</v>
      </c>
      <c r="F12964" s="215" t="n">
        <v>44855</v>
      </c>
    </row>
    <row r="12965">
      <c r="A12965" s="215" t="n">
        <v>44858</v>
      </c>
      <c r="B12965" s="216" t="n">
        <v>22.15</v>
      </c>
      <c r="C12965" s="216" t="n">
        <v>32.39</v>
      </c>
      <c r="D12965" s="216" t="n">
        <v>1.08328104019165</v>
      </c>
      <c r="E12965" s="215" t="n">
        <v>44858</v>
      </c>
      <c r="F12965" s="215" t="n">
        <v>44858</v>
      </c>
    </row>
    <row r="12966">
      <c r="A12966" s="215" t="n">
        <v>44859</v>
      </c>
      <c r="B12966" s="216" t="n">
        <v>23.05</v>
      </c>
      <c r="C12966" s="216" t="n">
        <v>32.51</v>
      </c>
      <c r="D12966" s="216" t="n">
        <v>1.080643057823181</v>
      </c>
      <c r="E12966" s="215" t="n">
        <v>44859</v>
      </c>
      <c r="F12966" s="215" t="n">
        <v>44859</v>
      </c>
    </row>
    <row r="12967">
      <c r="A12967" s="215" t="n">
        <v>44860</v>
      </c>
      <c r="B12967" s="216" t="n">
        <v>23.4</v>
      </c>
      <c r="C12967" s="216" t="n">
        <v>32.81</v>
      </c>
      <c r="D12967" s="216" t="n">
        <v>1.079828023910522</v>
      </c>
      <c r="E12967" s="215" t="n">
        <v>44860</v>
      </c>
      <c r="F12967" s="215" t="n">
        <v>44860</v>
      </c>
    </row>
    <row r="12968">
      <c r="A12968" s="215" t="n">
        <v>44861</v>
      </c>
      <c r="B12968" s="216" t="n">
        <v>24.5</v>
      </c>
      <c r="C12968" s="216" t="n">
        <v>31.86</v>
      </c>
      <c r="D12968" s="216" t="n">
        <v>1.094295978546143</v>
      </c>
      <c r="E12968" s="215" t="n">
        <v>44861</v>
      </c>
      <c r="F12968" s="215" t="n">
        <v>44861</v>
      </c>
    </row>
    <row r="12969">
      <c r="A12969" s="215" t="n">
        <v>44862</v>
      </c>
      <c r="B12969" s="216" t="n">
        <v>23.15</v>
      </c>
      <c r="C12969" s="216" t="n">
        <v>30.24</v>
      </c>
      <c r="D12969" s="216" t="n">
        <v>1.085523962974548</v>
      </c>
      <c r="E12969" s="215" t="n">
        <v>44862</v>
      </c>
      <c r="F12969" s="215" t="n">
        <v>44862</v>
      </c>
    </row>
    <row r="12970">
      <c r="A12970" s="215" t="n">
        <v>44865</v>
      </c>
      <c r="B12970" s="216" t="n">
        <v>22.8</v>
      </c>
      <c r="C12970" s="216" t="n">
        <v>30.93</v>
      </c>
      <c r="D12970" s="216" t="n">
        <v>1.081084966659546</v>
      </c>
      <c r="E12970" s="215" t="n">
        <v>44865</v>
      </c>
      <c r="F12970" s="215" t="n">
        <v>44865</v>
      </c>
    </row>
    <row r="12971">
      <c r="A12971" s="215" t="n">
        <v>44866</v>
      </c>
      <c r="B12971" s="216" t="n">
        <v>23.25</v>
      </c>
      <c r="C12971" s="216" t="n">
        <v>32.11</v>
      </c>
      <c r="D12971" s="216" t="n">
        <v>1.074709057807922</v>
      </c>
      <c r="E12971" s="215" t="n">
        <v>44866</v>
      </c>
      <c r="F12971" s="215" t="n">
        <v>44866</v>
      </c>
    </row>
    <row r="12972">
      <c r="A12972" s="215" t="n">
        <v>44867</v>
      </c>
      <c r="B12972" s="216" t="n">
        <v>23.65</v>
      </c>
      <c r="C12972" s="216" t="n">
        <v>32.07</v>
      </c>
      <c r="D12972" s="216" t="n">
        <v>1.078613996505737</v>
      </c>
      <c r="E12972" s="215" t="n">
        <v>44867</v>
      </c>
      <c r="F12972" s="215" t="n">
        <v>44867</v>
      </c>
    </row>
    <row r="12973">
      <c r="A12973" s="215" t="n">
        <v>44868</v>
      </c>
      <c r="B12973" s="216" t="n">
        <v>24.45</v>
      </c>
      <c r="C12973" s="216" t="n">
        <v>32.46</v>
      </c>
      <c r="D12973" s="216" t="n">
        <v>1.076753973960876</v>
      </c>
      <c r="E12973" s="215" t="n">
        <v>44868</v>
      </c>
      <c r="F12973" s="215" t="n">
        <v>44868</v>
      </c>
    </row>
    <row r="12974">
      <c r="A12974" s="215" t="n">
        <v>44869</v>
      </c>
      <c r="B12974" s="216" t="n">
        <v>25.15</v>
      </c>
      <c r="C12974" s="216" t="n">
        <v>33.79</v>
      </c>
      <c r="D12974" s="216" t="n">
        <v>1.074813961982727</v>
      </c>
      <c r="E12974" s="215" t="n">
        <v>44869</v>
      </c>
      <c r="F12974" s="215" t="n">
        <v>44869</v>
      </c>
    </row>
    <row r="12975">
      <c r="A12975" s="215" t="n">
        <v>44872</v>
      </c>
      <c r="B12975" s="216" t="n">
        <v>24</v>
      </c>
      <c r="C12975" s="216" t="n">
        <v>34.03</v>
      </c>
      <c r="D12975" s="216" t="n">
        <v>1.096333980560303</v>
      </c>
      <c r="E12975" s="215" t="n">
        <v>44872</v>
      </c>
      <c r="F12975" s="215" t="n">
        <v>44872</v>
      </c>
    </row>
    <row r="12976">
      <c r="A12976" s="215" t="n">
        <v>44873</v>
      </c>
      <c r="B12976" s="216" t="n">
        <v>28.3</v>
      </c>
      <c r="C12976" s="216" t="n">
        <v>34.45</v>
      </c>
      <c r="D12976" s="216" t="n">
        <v>1.085438013076782</v>
      </c>
      <c r="E12976" s="215" t="n">
        <v>44873</v>
      </c>
      <c r="F12976" s="215" t="n">
        <v>44873</v>
      </c>
    </row>
    <row r="12977">
      <c r="A12977" s="215" t="n">
        <v>44874</v>
      </c>
      <c r="B12977" s="216" t="n">
        <v>26.7</v>
      </c>
      <c r="C12977" s="216" t="n">
        <v>33.55</v>
      </c>
      <c r="D12977" s="216" t="n">
        <v>1.082811951637268</v>
      </c>
      <c r="E12977" s="215" t="n">
        <v>44874</v>
      </c>
      <c r="F12977" s="215" t="n">
        <v>44874</v>
      </c>
    </row>
    <row r="12978">
      <c r="A12978" s="215" t="n">
        <v>44875</v>
      </c>
      <c r="B12978" s="216" t="n">
        <v>25.85</v>
      </c>
      <c r="C12978" s="216" t="n">
        <v>32.71</v>
      </c>
      <c r="D12978" s="216" t="n">
        <v>1.084288954734802</v>
      </c>
      <c r="E12978" s="215" t="n">
        <v>44875</v>
      </c>
      <c r="F12978" s="215" t="n">
        <v>44875</v>
      </c>
    </row>
    <row r="12979">
      <c r="A12979" s="215" t="n">
        <v>44876</v>
      </c>
      <c r="B12979" s="216" t="n">
        <v>26.5</v>
      </c>
      <c r="C12979" s="216" t="n">
        <v>32.84</v>
      </c>
      <c r="D12979" s="216" t="n">
        <v>1.091645956039429</v>
      </c>
      <c r="E12979" s="215" t="n">
        <v>44876</v>
      </c>
      <c r="F12979" s="215" t="n">
        <v>44876</v>
      </c>
    </row>
    <row r="12980">
      <c r="A12980" s="215" t="n">
        <v>44879</v>
      </c>
      <c r="B12980" s="216" t="n">
        <v>26.9</v>
      </c>
      <c r="C12980" s="216" t="n">
        <v>31.74</v>
      </c>
      <c r="D12980" s="216" t="n">
        <v>1.099599003791809</v>
      </c>
      <c r="E12980" s="215" t="n">
        <v>44879</v>
      </c>
      <c r="F12980" s="215" t="n">
        <v>44879</v>
      </c>
    </row>
    <row r="12981">
      <c r="A12981" s="215" t="n">
        <v>44880</v>
      </c>
      <c r="B12981" s="216" t="n">
        <v>27</v>
      </c>
      <c r="C12981" s="216" t="n">
        <v>32.37</v>
      </c>
      <c r="D12981" s="216" t="n">
        <v>1.107100009918213</v>
      </c>
      <c r="E12981" s="215" t="n">
        <v>44880</v>
      </c>
      <c r="F12981" s="215" t="n">
        <v>44880</v>
      </c>
    </row>
    <row r="12982">
      <c r="A12982" s="215" t="n">
        <v>44881</v>
      </c>
      <c r="B12982" s="216" t="n">
        <v>26.35</v>
      </c>
      <c r="C12982" s="216" t="n">
        <v>31.66</v>
      </c>
      <c r="D12982" s="216" t="n">
        <v>1.109894037246704</v>
      </c>
      <c r="E12982" s="215" t="n">
        <v>44881</v>
      </c>
      <c r="F12982" s="215" t="n">
        <v>44881</v>
      </c>
    </row>
    <row r="12983">
      <c r="A12983" s="215" t="n">
        <v>44882</v>
      </c>
      <c r="B12983" s="216" t="n">
        <v>26.05</v>
      </c>
      <c r="C12983" s="216" t="n">
        <v>31.1</v>
      </c>
      <c r="D12983" s="216" t="n">
        <v>1.103749990463257</v>
      </c>
      <c r="E12983" s="215" t="n">
        <v>44882</v>
      </c>
      <c r="F12983" s="215" t="n">
        <v>44882</v>
      </c>
    </row>
    <row r="12984">
      <c r="A12984" s="215" t="n">
        <v>44883</v>
      </c>
      <c r="B12984" s="216" t="n">
        <v>26</v>
      </c>
      <c r="C12984" s="216" t="n">
        <v>30.53</v>
      </c>
      <c r="D12984" s="216" t="n">
        <v>1.093418002128601</v>
      </c>
      <c r="E12984" s="215" t="n">
        <v>44883</v>
      </c>
      <c r="F12984" s="215" t="n">
        <v>44883</v>
      </c>
    </row>
    <row r="12985">
      <c r="A12985" s="215" t="n">
        <v>44886</v>
      </c>
      <c r="B12985" s="216" t="n">
        <v>26</v>
      </c>
      <c r="C12985" s="216" t="n">
        <v>30.85</v>
      </c>
      <c r="D12985" s="216" t="n">
        <v>1.096133947372437</v>
      </c>
      <c r="E12985" s="215" t="n">
        <v>44886</v>
      </c>
      <c r="F12985" s="215" t="n">
        <v>44886</v>
      </c>
    </row>
    <row r="12986">
      <c r="A12986" s="215" t="n">
        <v>44887</v>
      </c>
      <c r="B12986" s="216" t="n">
        <v>25.75</v>
      </c>
      <c r="C12986" s="216" t="n">
        <v>30.05</v>
      </c>
      <c r="D12986" s="216" t="n">
        <v>1.089416027069092</v>
      </c>
      <c r="E12986" s="215" t="n">
        <v>44887</v>
      </c>
      <c r="F12986" s="215" t="n">
        <v>44887</v>
      </c>
    </row>
    <row r="12987">
      <c r="A12987" s="215" t="n">
        <v>44888</v>
      </c>
      <c r="B12987" s="216" t="n">
        <v>25</v>
      </c>
      <c r="C12987" s="216" t="n">
        <v>30.12</v>
      </c>
      <c r="D12987" s="216" t="n">
        <v>1.095062017440796</v>
      </c>
      <c r="E12987" s="215" t="n">
        <v>44888</v>
      </c>
      <c r="F12987" s="215" t="n">
        <v>44888</v>
      </c>
    </row>
    <row r="12988">
      <c r="A12988" s="215" t="n">
        <v>44889</v>
      </c>
      <c r="B12988" s="216" t="n">
        <v>23.9</v>
      </c>
      <c r="C12988" s="216" t="n">
        <v>30.33</v>
      </c>
      <c r="D12988" s="216" t="n">
        <v>1.091977000236511</v>
      </c>
      <c r="E12988" s="215" t="n">
        <v>44889</v>
      </c>
      <c r="F12988" s="215" t="n">
        <v>44889</v>
      </c>
    </row>
    <row r="12989">
      <c r="A12989" s="215" t="n">
        <v>44890</v>
      </c>
      <c r="B12989" s="216" t="n">
        <v>23.55</v>
      </c>
      <c r="C12989" s="216" t="n">
        <v>29.42</v>
      </c>
      <c r="D12989" s="216" t="n">
        <v>1.091302990913391</v>
      </c>
      <c r="E12989" s="215" t="n">
        <v>44890</v>
      </c>
      <c r="F12989" s="215" t="n">
        <v>44890</v>
      </c>
    </row>
    <row r="12990">
      <c r="A12990" s="215" t="n">
        <v>44893</v>
      </c>
      <c r="B12990" s="216" t="n">
        <v>22.4</v>
      </c>
      <c r="C12990" s="216" t="n">
        <v>29.04</v>
      </c>
      <c r="D12990" s="216" t="n">
        <v>1.086598038673401</v>
      </c>
      <c r="E12990" s="215" t="n">
        <v>44893</v>
      </c>
      <c r="F12990" s="215" t="n">
        <v>44893</v>
      </c>
    </row>
    <row r="12991">
      <c r="A12991" s="215" t="n">
        <v>44894</v>
      </c>
      <c r="B12991" s="216" t="n">
        <v>23.4</v>
      </c>
      <c r="C12991" s="216" t="n">
        <v>29.47</v>
      </c>
      <c r="D12991" s="216" t="n">
        <v>1.083866000175476</v>
      </c>
      <c r="E12991" s="215" t="n">
        <v>44894</v>
      </c>
      <c r="F12991" s="215" t="n">
        <v>44894</v>
      </c>
    </row>
    <row r="12992">
      <c r="A12992" s="215" t="n">
        <v>44895</v>
      </c>
      <c r="B12992" s="216" t="n">
        <v>23.85</v>
      </c>
      <c r="C12992" s="216" t="n">
        <v>29.86</v>
      </c>
      <c r="D12992" s="216" t="n">
        <v>1.091042995452881</v>
      </c>
      <c r="E12992" s="215" t="n">
        <v>44895</v>
      </c>
      <c r="F12992" s="215" t="n">
        <v>44895</v>
      </c>
    </row>
    <row r="12993">
      <c r="A12993" s="215" t="n">
        <v>44896</v>
      </c>
      <c r="B12993" s="216" t="n">
        <v>23.65</v>
      </c>
      <c r="C12993" s="216" t="n">
        <v>31</v>
      </c>
      <c r="D12993" s="216" t="n">
        <v>1.100015044212341</v>
      </c>
      <c r="E12993" s="215" t="n">
        <v>44896</v>
      </c>
      <c r="F12993" s="215" t="n">
        <v>44896</v>
      </c>
    </row>
    <row r="12994">
      <c r="A12994" s="215" t="n">
        <v>44897</v>
      </c>
      <c r="B12994" s="216" t="n">
        <v>23.3</v>
      </c>
      <c r="C12994" s="216" t="n">
        <v>30.39</v>
      </c>
      <c r="D12994" s="216" t="n">
        <v>1.104261994361877</v>
      </c>
      <c r="E12994" s="215" t="n">
        <v>44897</v>
      </c>
      <c r="F12994" s="215" t="n">
        <v>44897</v>
      </c>
    </row>
    <row r="12995">
      <c r="A12995" s="215" t="n">
        <v>44900</v>
      </c>
      <c r="B12995" s="216" t="n">
        <v>23.1</v>
      </c>
      <c r="C12995" s="216" t="n">
        <v>29.82</v>
      </c>
      <c r="D12995" s="216" t="n">
        <v>1.109439969062805</v>
      </c>
      <c r="E12995" s="215" t="n">
        <v>44900</v>
      </c>
      <c r="F12995" s="215" t="n">
        <v>44900</v>
      </c>
    </row>
    <row r="12996">
      <c r="A12996" s="215" t="n">
        <v>44901</v>
      </c>
      <c r="B12996" s="216" t="n">
        <v>22.8</v>
      </c>
      <c r="C12996" s="216" t="n">
        <v>29.09</v>
      </c>
      <c r="D12996" s="216" t="n">
        <v>1.11556601524353</v>
      </c>
      <c r="E12996" s="215" t="n">
        <v>44901</v>
      </c>
      <c r="F12996" s="215" t="n">
        <v>44901</v>
      </c>
    </row>
    <row r="12997">
      <c r="A12997" s="215" t="n">
        <v>44902</v>
      </c>
      <c r="B12997" s="216" t="n">
        <v>22.85</v>
      </c>
      <c r="C12997" s="216" t="n">
        <v>29.21</v>
      </c>
      <c r="D12997" s="216" t="n">
        <v>1.111405968666077</v>
      </c>
      <c r="E12997" s="215" t="n">
        <v>44902</v>
      </c>
      <c r="F12997" s="215" t="n">
        <v>44902</v>
      </c>
    </row>
    <row r="12998">
      <c r="A12998" s="215" t="n">
        <v>44903</v>
      </c>
      <c r="B12998" s="216" t="n">
        <v>23.2</v>
      </c>
      <c r="C12998" s="216" t="n">
        <v>29.27</v>
      </c>
      <c r="D12998" s="216" t="n">
        <v>1.117617964744568</v>
      </c>
      <c r="E12998" s="215" t="n">
        <v>44903</v>
      </c>
      <c r="F12998" s="215" t="n">
        <v>44903</v>
      </c>
    </row>
    <row r="12999">
      <c r="A12999" s="215" t="n">
        <v>44904</v>
      </c>
      <c r="B12999" s="216" t="n">
        <v>24.1</v>
      </c>
      <c r="C12999" s="216" t="n">
        <v>29.45</v>
      </c>
      <c r="D12999" s="216" t="n">
        <v>1.117110013961792</v>
      </c>
      <c r="E12999" s="215" t="n">
        <v>44904</v>
      </c>
      <c r="F12999" s="215" t="n">
        <v>44904</v>
      </c>
    </row>
    <row r="13000">
      <c r="A13000" s="215" t="n">
        <v>44907</v>
      </c>
      <c r="B13000" s="216" t="n">
        <v>23.8</v>
      </c>
      <c r="C13000" s="216" t="n">
        <v>29.11</v>
      </c>
      <c r="D13000" s="216" t="n">
        <v>1.115543961524963</v>
      </c>
      <c r="E13000" s="215" t="n">
        <v>44907</v>
      </c>
      <c r="F13000" s="215" t="n">
        <v>44907</v>
      </c>
    </row>
    <row r="13001">
      <c r="A13001" s="215" t="n">
        <v>44908</v>
      </c>
      <c r="B13001" s="216" t="n">
        <v>24.6</v>
      </c>
      <c r="C13001" s="216" t="n">
        <v>29.94</v>
      </c>
      <c r="D13001" s="216" t="n">
        <v>1.11419403553009</v>
      </c>
      <c r="E13001" s="215" t="n">
        <v>44908</v>
      </c>
      <c r="F13001" s="215" t="n">
        <v>44908</v>
      </c>
    </row>
    <row r="13002">
      <c r="A13002" s="215" t="n">
        <v>44909</v>
      </c>
      <c r="B13002" s="216" t="n">
        <v>24.1</v>
      </c>
      <c r="C13002" s="216" t="n">
        <v>29.54</v>
      </c>
      <c r="D13002" s="216" t="n">
        <v>1.119148015975952</v>
      </c>
      <c r="E13002" s="215" t="n">
        <v>44909</v>
      </c>
      <c r="F13002" s="215" t="n">
        <v>44909</v>
      </c>
    </row>
    <row r="13003">
      <c r="A13003" s="215" t="n">
        <v>44910</v>
      </c>
      <c r="B13003" s="216" t="n">
        <v>24.4</v>
      </c>
      <c r="C13003" s="216" t="n">
        <v>30.13</v>
      </c>
      <c r="D13003" s="216" t="n">
        <v>1.118654012680054</v>
      </c>
      <c r="E13003" s="215" t="n">
        <v>44910</v>
      </c>
      <c r="F13003" s="215" t="n">
        <v>44910</v>
      </c>
    </row>
    <row r="13004">
      <c r="A13004" s="215" t="n">
        <v>44911</v>
      </c>
      <c r="B13004" s="216" t="n">
        <v>23.1</v>
      </c>
      <c r="C13004" s="216" t="n">
        <v>29.76</v>
      </c>
      <c r="D13004" s="216" t="n">
        <v>1.116045951843262</v>
      </c>
      <c r="E13004" s="215" t="n">
        <v>44911</v>
      </c>
      <c r="F13004" s="215" t="n">
        <v>44911</v>
      </c>
    </row>
    <row r="13005">
      <c r="A13005" s="215" t="n">
        <v>44914</v>
      </c>
      <c r="B13005" s="216" t="n">
        <v>22.3</v>
      </c>
      <c r="C13005" s="216" t="n">
        <v>29.2</v>
      </c>
      <c r="D13005" s="216" t="n">
        <v>1.115512013435364</v>
      </c>
      <c r="E13005" s="215" t="n">
        <v>44914</v>
      </c>
      <c r="F13005" s="215" t="n">
        <v>44914</v>
      </c>
    </row>
    <row r="13006">
      <c r="A13006" s="215" t="n">
        <v>44915</v>
      </c>
      <c r="B13006" s="216" t="n">
        <v>22.4</v>
      </c>
      <c r="C13006" s="216" t="n">
        <v>29.17</v>
      </c>
      <c r="D13006" s="216" t="n">
        <v>1.114526987075806</v>
      </c>
      <c r="E13006" s="215" t="n">
        <v>44915</v>
      </c>
      <c r="F13006" s="215" t="n">
        <v>44915</v>
      </c>
    </row>
    <row r="13007">
      <c r="A13007" s="215" t="n">
        <v>44916</v>
      </c>
      <c r="B13007" s="216" t="n">
        <v>22.5</v>
      </c>
      <c r="C13007" s="216" t="n">
        <v>28.07</v>
      </c>
      <c r="D13007" s="216" t="n">
        <v>1.11863899230957</v>
      </c>
      <c r="E13007" s="215" t="n">
        <v>44916</v>
      </c>
      <c r="F13007" s="215" t="n">
        <v>44916</v>
      </c>
    </row>
    <row r="13008">
      <c r="A13008" s="215" t="n">
        <v>44917</v>
      </c>
      <c r="B13008" s="216" t="n">
        <v>22.45</v>
      </c>
      <c r="C13008" s="216" t="n">
        <v>28</v>
      </c>
      <c r="D13008" s="216" t="n">
        <v>1.116286993026733</v>
      </c>
      <c r="E13008" s="215" t="n">
        <v>44917</v>
      </c>
      <c r="F13008" s="215" t="n">
        <v>44917</v>
      </c>
    </row>
    <row r="13009">
      <c r="A13009" s="215" t="n">
        <v>44918</v>
      </c>
      <c r="B13009" s="216" t="n">
        <v>22.3</v>
      </c>
      <c r="C13009" s="216" t="n">
        <v>27.68</v>
      </c>
      <c r="D13009" s="216" t="n">
        <v>1.115679979324341</v>
      </c>
      <c r="E13009" s="215" t="n">
        <v>44918</v>
      </c>
      <c r="F13009" s="215" t="n">
        <v>44918</v>
      </c>
    </row>
    <row r="13010">
      <c r="A13010" s="215" t="n">
        <v>44923</v>
      </c>
      <c r="B13010" s="216" t="n">
        <v>22.9</v>
      </c>
      <c r="C13010" s="216" t="n">
        <v>29.65</v>
      </c>
      <c r="D13010" s="216" t="n">
        <v>1.120296955108643</v>
      </c>
      <c r="E13010" s="215" t="n">
        <v>44923</v>
      </c>
      <c r="F13010" s="215" t="n">
        <v>44923</v>
      </c>
    </row>
    <row r="13011">
      <c r="A13011" s="215" t="n">
        <v>44924</v>
      </c>
      <c r="B13011" s="216" t="n">
        <v>22.2</v>
      </c>
      <c r="C13011" s="216" t="n">
        <v>29.13</v>
      </c>
      <c r="D13011" s="216" t="n">
        <v>1.11841094493866</v>
      </c>
      <c r="E13011" s="215" t="n">
        <v>44924</v>
      </c>
      <c r="F13011" s="215" t="n">
        <v>44924</v>
      </c>
    </row>
    <row r="13012">
      <c r="A13012" s="215" t="n">
        <v>44925</v>
      </c>
      <c r="B13012" s="216" t="n">
        <v>22.4</v>
      </c>
      <c r="C13012" s="216" t="n">
        <v>29.26</v>
      </c>
      <c r="D13012" s="216" t="n">
        <v>1.118479013442993</v>
      </c>
      <c r="E13012" s="215" t="n">
        <v>44925</v>
      </c>
      <c r="F13012" s="215" t="n">
        <v>44925</v>
      </c>
    </row>
    <row r="13013">
      <c r="A13013" s="215" t="n">
        <v>44929</v>
      </c>
      <c r="B13013" s="216" t="n">
        <v>23.25</v>
      </c>
      <c r="C13013" s="216" t="n">
        <v>30.06</v>
      </c>
      <c r="D13013" s="216" t="n">
        <v>1.131546974182129</v>
      </c>
      <c r="E13013" s="215" t="n">
        <v>44929</v>
      </c>
      <c r="F13013" s="215" t="n">
        <v>44929</v>
      </c>
    </row>
    <row r="13014">
      <c r="A13014" s="215" t="n">
        <v>44930</v>
      </c>
      <c r="B13014" s="216" t="n">
        <v>23.1</v>
      </c>
      <c r="C13014" s="216" t="n">
        <v>29.75</v>
      </c>
      <c r="D13014" s="216" t="n">
        <v>1.130236983299255</v>
      </c>
      <c r="E13014" s="215" t="n">
        <v>44930</v>
      </c>
      <c r="F13014" s="215" t="n">
        <v>44930</v>
      </c>
    </row>
    <row r="13015">
      <c r="A13015" s="215" t="n">
        <v>44931</v>
      </c>
      <c r="B13015" s="216" t="n">
        <v>23.75</v>
      </c>
      <c r="C13015" s="216" t="n">
        <v>30.29</v>
      </c>
      <c r="D13015" s="216" t="n">
        <v>1.134225010871887</v>
      </c>
      <c r="E13015" s="215" t="n">
        <v>44931</v>
      </c>
      <c r="F13015" s="215" t="n">
        <v>44931</v>
      </c>
    </row>
    <row r="13016">
      <c r="A13016" s="215" t="n">
        <v>44932</v>
      </c>
      <c r="B13016" s="216" t="n">
        <v>24.75</v>
      </c>
      <c r="C13016" s="216" t="n">
        <v>31.68</v>
      </c>
      <c r="D13016" s="216" t="n">
        <v>1.135105967521667</v>
      </c>
      <c r="E13016" s="215" t="n">
        <v>44932</v>
      </c>
      <c r="F13016" s="215" t="n">
        <v>44932</v>
      </c>
    </row>
    <row r="13017">
      <c r="A13017" s="215" t="n">
        <v>44935</v>
      </c>
      <c r="B13017" s="216" t="n">
        <v>25.7</v>
      </c>
      <c r="C13017" s="216" t="n">
        <v>32.3</v>
      </c>
      <c r="D13017" s="216" t="n">
        <v>1.142660021781921</v>
      </c>
      <c r="E13017" s="215" t="n">
        <v>44935</v>
      </c>
      <c r="F13017" s="215" t="n">
        <v>44935</v>
      </c>
    </row>
    <row r="13018">
      <c r="A13018" s="215" t="n">
        <v>44936</v>
      </c>
      <c r="B13018" s="216" t="n">
        <v>25.35</v>
      </c>
      <c r="C13018" s="216" t="n">
        <v>32</v>
      </c>
      <c r="D13018" s="216" t="n">
        <v>1.152361989021301</v>
      </c>
      <c r="E13018" s="215" t="n">
        <v>44936</v>
      </c>
      <c r="F13018" s="215" t="n">
        <v>44936</v>
      </c>
    </row>
    <row r="13019">
      <c r="A13019" s="215" t="n">
        <v>44937</v>
      </c>
      <c r="B13019" s="216" t="n">
        <v>24.35</v>
      </c>
      <c r="C13019" s="216" t="n">
        <v>31.42</v>
      </c>
      <c r="D13019" s="216" t="n">
        <v>1.151782989501953</v>
      </c>
      <c r="E13019" s="215" t="n">
        <v>44937</v>
      </c>
      <c r="F13019" s="215" t="n">
        <v>44937</v>
      </c>
    </row>
    <row r="13020">
      <c r="A13020" s="215" t="n">
        <v>44938</v>
      </c>
      <c r="B13020" s="216" t="n">
        <v>24.85</v>
      </c>
      <c r="C13020" s="216" t="n">
        <v>31.3</v>
      </c>
      <c r="D13020" s="216" t="n">
        <v>1.15372097492218</v>
      </c>
      <c r="E13020" s="215" t="n">
        <v>44938</v>
      </c>
      <c r="F13020" s="215" t="n">
        <v>44938</v>
      </c>
    </row>
    <row r="13021">
      <c r="A13021" s="215" t="n">
        <v>44939</v>
      </c>
      <c r="B13021" s="216" t="n">
        <v>24.65</v>
      </c>
      <c r="C13021" s="216" t="n">
        <v>31.06</v>
      </c>
      <c r="D13021" s="216" t="n">
        <v>1.158794045448303</v>
      </c>
      <c r="E13021" s="215" t="n">
        <v>44939</v>
      </c>
      <c r="F13021" s="215" t="n">
        <v>44939</v>
      </c>
    </row>
    <row r="13022">
      <c r="A13022" s="215" t="n">
        <v>44942</v>
      </c>
      <c r="B13022" s="216" t="n">
        <v>25</v>
      </c>
      <c r="C13022" s="216" t="n">
        <v>31.73</v>
      </c>
      <c r="D13022" s="216" t="n">
        <v>1.16464102268219</v>
      </c>
      <c r="E13022" s="215" t="n">
        <v>44942</v>
      </c>
      <c r="F13022" s="215" t="n">
        <v>44942</v>
      </c>
    </row>
    <row r="13023">
      <c r="A13023" s="215" t="n">
        <v>44943</v>
      </c>
      <c r="B13023" s="216" t="n">
        <v>24.65</v>
      </c>
      <c r="C13023" s="216" t="n">
        <v>31.74</v>
      </c>
      <c r="D13023" s="216" t="n">
        <v>1.159963011741638</v>
      </c>
      <c r="E13023" s="215" t="n">
        <v>44943</v>
      </c>
      <c r="F13023" s="215" t="n">
        <v>44943</v>
      </c>
    </row>
    <row r="13024">
      <c r="A13024" s="215" t="n">
        <v>44944</v>
      </c>
      <c r="B13024" s="216" t="n">
        <v>24.3</v>
      </c>
      <c r="C13024" s="216" t="n">
        <v>31.5</v>
      </c>
      <c r="D13024" s="216" t="n">
        <v>1.154523968696594</v>
      </c>
      <c r="E13024" s="215" t="n">
        <v>44944</v>
      </c>
      <c r="F13024" s="215" t="n">
        <v>44944</v>
      </c>
    </row>
    <row r="13025">
      <c r="A13025" s="215" t="n">
        <v>44945</v>
      </c>
      <c r="B13025" s="216" t="n">
        <v>24.3</v>
      </c>
      <c r="C13025" s="216" t="n">
        <v>31.75</v>
      </c>
      <c r="D13025" s="216" t="n">
        <v>1.15931499004364</v>
      </c>
      <c r="E13025" s="215" t="n">
        <v>44945</v>
      </c>
      <c r="F13025" s="215" t="n">
        <v>44945</v>
      </c>
    </row>
    <row r="13026">
      <c r="A13026" s="215" t="n">
        <v>44946</v>
      </c>
      <c r="B13026" s="216" t="n">
        <v>26.05</v>
      </c>
      <c r="C13026" s="216" t="n">
        <v>32.75</v>
      </c>
      <c r="D13026" s="216" t="n">
        <v>1.154749989509583</v>
      </c>
      <c r="E13026" s="215" t="n">
        <v>44946</v>
      </c>
      <c r="F13026" s="215" t="n">
        <v>44946</v>
      </c>
    </row>
    <row r="13027">
      <c r="A13027" s="215" t="n">
        <v>44952</v>
      </c>
      <c r="B13027" s="216" t="n">
        <v>27.25</v>
      </c>
      <c r="C13027" s="216" t="n">
        <v>32.75</v>
      </c>
      <c r="D13027" s="216" t="n">
        <v>1.153751969337463</v>
      </c>
      <c r="E13027" s="215" t="n">
        <v>44946</v>
      </c>
      <c r="F13027" s="215" t="n">
        <v>44952</v>
      </c>
    </row>
    <row r="13028">
      <c r="A13028" s="215" t="n">
        <v>44953</v>
      </c>
      <c r="B13028" s="216" t="n">
        <v>27.3</v>
      </c>
      <c r="C13028" s="216" t="n">
        <v>32.75</v>
      </c>
      <c r="D13028" s="216" t="n">
        <v>1.153638958930969</v>
      </c>
      <c r="E13028" s="215" t="n">
        <v>44946</v>
      </c>
      <c r="F13028" s="215" t="n">
        <v>44953</v>
      </c>
    </row>
    <row r="13029">
      <c r="A13029" s="215" t="n">
        <v>44956</v>
      </c>
      <c r="B13029" s="216" t="n">
        <v>27.7</v>
      </c>
      <c r="C13029" s="216" t="n">
        <v>33.64</v>
      </c>
      <c r="D13029" s="216" t="n">
        <v>1.154070019721985</v>
      </c>
      <c r="E13029" s="215" t="n">
        <v>44956</v>
      </c>
      <c r="F13029" s="215" t="n">
        <v>44956</v>
      </c>
    </row>
    <row r="13030">
      <c r="A13030" s="215" t="n">
        <v>44957</v>
      </c>
      <c r="B13030" s="216" t="n">
        <v>27</v>
      </c>
      <c r="C13030" s="216" t="n">
        <v>33.76</v>
      </c>
      <c r="D13030" s="216" t="n">
        <v>1.160927057266235</v>
      </c>
      <c r="E13030" s="215" t="n">
        <v>44957</v>
      </c>
      <c r="F13030" s="215" t="n">
        <v>44957</v>
      </c>
    </row>
    <row r="13031">
      <c r="A13031" s="215" t="n">
        <v>44958</v>
      </c>
      <c r="B13031" s="216" t="n">
        <v>28</v>
      </c>
      <c r="C13031" s="216" t="n">
        <v>35.04</v>
      </c>
      <c r="D13031" s="216" t="n">
        <v>1.160451054573059</v>
      </c>
      <c r="E13031" s="215" t="n">
        <v>44958</v>
      </c>
      <c r="F13031" s="215" t="n">
        <v>44958</v>
      </c>
    </row>
    <row r="13032">
      <c r="A13032" s="215" t="n">
        <v>44959</v>
      </c>
      <c r="B13032" s="216" t="n">
        <v>26.9</v>
      </c>
      <c r="C13032" s="216" t="n">
        <v>34.67</v>
      </c>
      <c r="D13032" s="216" t="n">
        <v>1.162333965301514</v>
      </c>
      <c r="E13032" s="215" t="n">
        <v>44959</v>
      </c>
      <c r="F13032" s="215" t="n">
        <v>44959</v>
      </c>
    </row>
    <row r="13033">
      <c r="A13033" s="215" t="n">
        <v>44960</v>
      </c>
      <c r="B13033" s="216" t="n">
        <v>26.5</v>
      </c>
      <c r="C13033" s="216" t="n">
        <v>34.07</v>
      </c>
      <c r="D13033" s="216" t="n">
        <v>1.165007948875427</v>
      </c>
      <c r="E13033" s="215" t="n">
        <v>44960</v>
      </c>
      <c r="F13033" s="215" t="n">
        <v>44960</v>
      </c>
    </row>
    <row r="13034">
      <c r="A13034" s="215" t="n">
        <v>44963</v>
      </c>
      <c r="B13034" s="216" t="n">
        <v>26.2</v>
      </c>
      <c r="C13034" s="216" t="n">
        <v>33.89</v>
      </c>
      <c r="D13034" s="216" t="n">
        <v>1.157632946968079</v>
      </c>
      <c r="E13034" s="215" t="n">
        <v>44963</v>
      </c>
      <c r="F13034" s="215" t="n">
        <v>44963</v>
      </c>
    </row>
    <row r="13035">
      <c r="A13035" s="215" t="n">
        <v>44964</v>
      </c>
      <c r="B13035" s="216" t="n">
        <v>27.4</v>
      </c>
      <c r="C13035" s="216" t="n">
        <v>34.26</v>
      </c>
      <c r="D13035" s="216" t="n">
        <v>1.154948949813843</v>
      </c>
      <c r="E13035" s="215" t="n">
        <v>44964</v>
      </c>
      <c r="F13035" s="215" t="n">
        <v>44964</v>
      </c>
    </row>
    <row r="13036">
      <c r="A13036" s="215" t="n">
        <v>44965</v>
      </c>
      <c r="B13036" s="216" t="n">
        <v>26.55</v>
      </c>
      <c r="C13036" s="216" t="n">
        <v>33.9</v>
      </c>
      <c r="D13036" s="216" t="n">
        <v>1.155540943145752</v>
      </c>
      <c r="E13036" s="215" t="n">
        <v>44965</v>
      </c>
      <c r="F13036" s="215" t="n">
        <v>44965</v>
      </c>
    </row>
    <row r="13037">
      <c r="A13037" s="215" t="n">
        <v>44966</v>
      </c>
      <c r="B13037" s="216" t="n">
        <v>26.65</v>
      </c>
      <c r="C13037" s="216" t="n">
        <v>34.42</v>
      </c>
      <c r="D13037" s="216" t="n">
        <v>1.156080961227417</v>
      </c>
      <c r="E13037" s="215" t="n">
        <v>44966</v>
      </c>
      <c r="F13037" s="215" t="n">
        <v>44966</v>
      </c>
    </row>
    <row r="13038">
      <c r="A13038" s="215" t="n">
        <v>44967</v>
      </c>
      <c r="B13038" s="216" t="n">
        <v>26.2</v>
      </c>
      <c r="C13038" s="216" t="n">
        <v>34.05</v>
      </c>
      <c r="D13038" s="216" t="n">
        <v>1.157587051391602</v>
      </c>
      <c r="E13038" s="215" t="n">
        <v>44967</v>
      </c>
      <c r="F13038" s="215" t="n">
        <v>44967</v>
      </c>
    </row>
    <row r="13039">
      <c r="A13039" s="215" t="n">
        <v>44970</v>
      </c>
      <c r="B13039" s="216" t="n">
        <v>26.9</v>
      </c>
      <c r="C13039" s="216" t="n">
        <v>35</v>
      </c>
      <c r="D13039" s="216" t="n">
        <v>1.152721047401428</v>
      </c>
      <c r="E13039" s="215" t="n">
        <v>44970</v>
      </c>
      <c r="F13039" s="215" t="n">
        <v>44970</v>
      </c>
    </row>
    <row r="13040">
      <c r="A13040" s="215" t="n">
        <v>44971</v>
      </c>
      <c r="B13040" s="216" t="n">
        <v>26.7</v>
      </c>
      <c r="C13040" s="216" t="n">
        <v>35</v>
      </c>
      <c r="D13040" s="216" t="n">
        <v>1.150822043418884</v>
      </c>
      <c r="E13040" s="215" t="n">
        <v>44971</v>
      </c>
      <c r="F13040" s="215" t="n">
        <v>44971</v>
      </c>
    </row>
    <row r="13041">
      <c r="A13041" s="215" t="n">
        <v>44972</v>
      </c>
      <c r="B13041" s="216" t="n">
        <v>26.55</v>
      </c>
      <c r="C13041" s="216" t="n">
        <v>34.81</v>
      </c>
      <c r="D13041" s="216" t="n">
        <v>1.149250030517578</v>
      </c>
      <c r="E13041" s="215" t="n">
        <v>44972</v>
      </c>
      <c r="F13041" s="215" t="n">
        <v>44972</v>
      </c>
    </row>
    <row r="13042">
      <c r="A13042" s="215" t="n">
        <v>44973</v>
      </c>
      <c r="B13042" s="216" t="n">
        <v>26.55</v>
      </c>
      <c r="C13042" s="216" t="n">
        <v>33.79</v>
      </c>
      <c r="D13042" s="216" t="n">
        <v>1.144971013069153</v>
      </c>
      <c r="E13042" s="215" t="n">
        <v>44973</v>
      </c>
      <c r="F13042" s="215" t="n">
        <v>44973</v>
      </c>
    </row>
    <row r="13043">
      <c r="A13043" s="215" t="n">
        <v>44974</v>
      </c>
      <c r="B13043" s="216" t="n">
        <v>26.2</v>
      </c>
      <c r="C13043" s="216" t="n">
        <v>33.71</v>
      </c>
      <c r="D13043" s="216" t="n">
        <v>1.144101023674011</v>
      </c>
      <c r="E13043" s="215" t="n">
        <v>44974</v>
      </c>
      <c r="F13043" s="215" t="n">
        <v>44974</v>
      </c>
    </row>
    <row r="13044">
      <c r="A13044" s="215" t="n">
        <v>44977</v>
      </c>
      <c r="B13044" s="216" t="n">
        <v>27.05</v>
      </c>
      <c r="C13044" s="216" t="n">
        <v>33.43</v>
      </c>
      <c r="D13044" s="216" t="n">
        <v>1.141230940818787</v>
      </c>
      <c r="E13044" s="215" t="n">
        <v>44977</v>
      </c>
      <c r="F13044" s="215" t="n">
        <v>44977</v>
      </c>
    </row>
    <row r="13045">
      <c r="A13045" s="215" t="n">
        <v>44978</v>
      </c>
      <c r="B13045" s="216" t="n">
        <v>26</v>
      </c>
      <c r="C13045" s="216" t="n">
        <v>33.66</v>
      </c>
      <c r="D13045" s="216" t="n">
        <v>1.142338037490845</v>
      </c>
      <c r="E13045" s="215" t="n">
        <v>44978</v>
      </c>
      <c r="F13045" s="215" t="n">
        <v>44978</v>
      </c>
    </row>
    <row r="13046">
      <c r="A13046" s="215" t="n">
        <v>44979</v>
      </c>
      <c r="B13046" s="216" t="n">
        <v>26.1</v>
      </c>
      <c r="C13046" s="216" t="n">
        <v>33.38</v>
      </c>
      <c r="D13046" s="216" t="n">
        <v>1.141216993331909</v>
      </c>
      <c r="E13046" s="215" t="n">
        <v>44979</v>
      </c>
      <c r="F13046" s="215" t="n">
        <v>44979</v>
      </c>
    </row>
    <row r="13047">
      <c r="A13047" s="215" t="n">
        <v>44980</v>
      </c>
      <c r="B13047" s="216" t="n">
        <v>26.25</v>
      </c>
      <c r="C13047" s="216" t="n">
        <v>33.13</v>
      </c>
      <c r="D13047" s="216" t="n">
        <v>1.138142943382263</v>
      </c>
      <c r="E13047" s="215" t="n">
        <v>44980</v>
      </c>
      <c r="F13047" s="215" t="n">
        <v>44980</v>
      </c>
    </row>
    <row r="13048">
      <c r="A13048" s="215" t="n">
        <v>44981</v>
      </c>
      <c r="B13048" s="216" t="n">
        <v>25.65</v>
      </c>
      <c r="C13048" s="216" t="n">
        <v>32.68</v>
      </c>
      <c r="D13048" s="216" t="n">
        <v>1.135694026947021</v>
      </c>
      <c r="E13048" s="215" t="n">
        <v>44981</v>
      </c>
      <c r="F13048" s="215" t="n">
        <v>44981</v>
      </c>
    </row>
    <row r="13049">
      <c r="A13049" s="215" t="n">
        <v>44984</v>
      </c>
      <c r="B13049" s="216" t="n">
        <v>25.35</v>
      </c>
      <c r="C13049" s="216" t="n">
        <v>32.22</v>
      </c>
      <c r="D13049" s="216" t="n">
        <v>1.135581016540527</v>
      </c>
      <c r="E13049" s="215" t="n">
        <v>44984</v>
      </c>
      <c r="F13049" s="215" t="n">
        <v>44984</v>
      </c>
    </row>
    <row r="13050">
      <c r="A13050" s="215" t="n">
        <v>44985</v>
      </c>
      <c r="B13050" s="216" t="n">
        <v>25.2</v>
      </c>
      <c r="C13050" s="216" t="n">
        <v>32.19</v>
      </c>
      <c r="D13050" s="216" t="n">
        <v>1.129464983940125</v>
      </c>
      <c r="E13050" s="215" t="n">
        <v>44985</v>
      </c>
      <c r="F13050" s="215" t="n">
        <v>44985</v>
      </c>
    </row>
    <row r="13051">
      <c r="A13051" s="215" t="n">
        <v>44986</v>
      </c>
      <c r="B13051" s="216" t="n">
        <v>25.95</v>
      </c>
      <c r="C13051" s="216" t="n">
        <v>32.19</v>
      </c>
      <c r="D13051" s="216" t="n">
        <v>1.131901025772095</v>
      </c>
      <c r="E13051" s="215" t="n">
        <v>44986</v>
      </c>
      <c r="F13051" s="215" t="n">
        <v>44986</v>
      </c>
    </row>
    <row r="13052">
      <c r="A13052" s="215" t="n">
        <v>44987</v>
      </c>
      <c r="B13052" s="216" t="n">
        <v>24.15</v>
      </c>
      <c r="C13052" s="216" t="n">
        <v>29.82</v>
      </c>
      <c r="D13052" s="216" t="n">
        <v>1.142472982406616</v>
      </c>
      <c r="E13052" s="215" t="n">
        <v>44987</v>
      </c>
      <c r="F13052" s="215" t="n">
        <v>44987</v>
      </c>
    </row>
    <row r="13053">
      <c r="A13053" s="215" t="n">
        <v>44988</v>
      </c>
      <c r="B13053" s="216" t="n">
        <v>24.65</v>
      </c>
      <c r="C13053" s="216" t="n">
        <v>29.55</v>
      </c>
      <c r="D13053" s="216" t="n">
        <v>1.134973049163818</v>
      </c>
      <c r="E13053" s="215" t="n">
        <v>44988</v>
      </c>
      <c r="F13053" s="215" t="n">
        <v>44988</v>
      </c>
    </row>
    <row r="13054">
      <c r="A13054" s="215" t="n">
        <v>44991</v>
      </c>
      <c r="B13054" s="216" t="n">
        <v>24.3</v>
      </c>
      <c r="C13054" s="216" t="n">
        <v>29.3</v>
      </c>
      <c r="D13054" s="216" t="n">
        <v>1.135468006134033</v>
      </c>
      <c r="E13054" s="215" t="n">
        <v>44991</v>
      </c>
      <c r="F13054" s="215" t="n">
        <v>44991</v>
      </c>
    </row>
    <row r="13055">
      <c r="A13055" s="215" t="n">
        <v>44992</v>
      </c>
      <c r="B13055" s="216" t="n">
        <v>24.05</v>
      </c>
      <c r="C13055" s="216" t="n">
        <v>28.89</v>
      </c>
      <c r="D13055" s="216" t="n">
        <v>1.132706046104431</v>
      </c>
      <c r="E13055" s="215" t="n">
        <v>44992</v>
      </c>
      <c r="F13055" s="215" t="n">
        <v>44992</v>
      </c>
    </row>
    <row r="13056">
      <c r="A13056" s="215" t="n">
        <v>44993</v>
      </c>
      <c r="B13056" s="216" t="n">
        <v>24.15</v>
      </c>
      <c r="C13056" s="216" t="n">
        <v>29</v>
      </c>
      <c r="D13056" s="216" t="n">
        <v>1.127292037010193</v>
      </c>
      <c r="E13056" s="215" t="n">
        <v>44993</v>
      </c>
      <c r="F13056" s="215" t="n">
        <v>44993</v>
      </c>
    </row>
    <row r="13057">
      <c r="A13057" s="215" t="n">
        <v>44994</v>
      </c>
      <c r="B13057" s="216" t="n">
        <v>24.4</v>
      </c>
      <c r="C13057" s="216" t="n">
        <v>29.14</v>
      </c>
      <c r="D13057" s="216" t="n">
        <v>1.12942099571228</v>
      </c>
      <c r="E13057" s="215" t="n">
        <v>44994</v>
      </c>
      <c r="F13057" s="215" t="n">
        <v>44994</v>
      </c>
    </row>
    <row r="13058">
      <c r="A13058" s="215" t="n">
        <v>44995</v>
      </c>
      <c r="B13058" s="216" t="n">
        <v>23.2</v>
      </c>
      <c r="C13058" s="216" t="n">
        <v>28.6</v>
      </c>
      <c r="D13058" s="216" t="n">
        <v>1.126757979393005</v>
      </c>
      <c r="E13058" s="215" t="n">
        <v>44995</v>
      </c>
      <c r="F13058" s="215" t="n">
        <v>44995</v>
      </c>
    </row>
    <row r="13059">
      <c r="A13059" s="215" t="n">
        <v>44998</v>
      </c>
      <c r="B13059" s="216" t="n">
        <v>22.85</v>
      </c>
      <c r="C13059" s="216" t="n">
        <v>28.66</v>
      </c>
      <c r="D13059" s="216" t="n">
        <v>1.140457987785339</v>
      </c>
      <c r="E13059" s="215" t="n">
        <v>44998</v>
      </c>
      <c r="F13059" s="215" t="n">
        <v>44998</v>
      </c>
    </row>
    <row r="13060">
      <c r="A13060" s="215" t="n">
        <v>44999</v>
      </c>
      <c r="B13060" s="216" t="n">
        <v>22.25</v>
      </c>
      <c r="C13060" s="216" t="n">
        <v>28.39</v>
      </c>
      <c r="D13060" s="216" t="n">
        <v>1.14533805847168</v>
      </c>
      <c r="E13060" s="215" t="n">
        <v>44999</v>
      </c>
      <c r="F13060" s="215" t="n">
        <v>44999</v>
      </c>
    </row>
    <row r="13061">
      <c r="A13061" s="215" t="n">
        <v>45000</v>
      </c>
      <c r="B13061" s="216" t="n">
        <v>22.25</v>
      </c>
      <c r="C13061" s="216" t="n">
        <v>28.51</v>
      </c>
      <c r="D13061" s="216" t="n">
        <v>1.141839981079102</v>
      </c>
      <c r="E13061" s="215" t="n">
        <v>45000</v>
      </c>
      <c r="F13061" s="215" t="n">
        <v>45000</v>
      </c>
    </row>
    <row r="13062">
      <c r="A13062" s="215" t="n">
        <v>45001</v>
      </c>
      <c r="B13062" s="216" t="n">
        <v>22.05</v>
      </c>
      <c r="C13062" s="216" t="n">
        <v>27.77</v>
      </c>
      <c r="D13062" s="216" t="n">
        <v>1.135804057121277</v>
      </c>
      <c r="E13062" s="215" t="n">
        <v>45001</v>
      </c>
      <c r="F13062" s="215" t="n">
        <v>45001</v>
      </c>
    </row>
    <row r="13063">
      <c r="A13063" s="215" t="n">
        <v>45002</v>
      </c>
      <c r="B13063" s="216" t="n">
        <v>22.5</v>
      </c>
      <c r="C13063" s="216" t="n">
        <v>27.8</v>
      </c>
      <c r="D13063" s="216" t="n">
        <v>1.137447953224182</v>
      </c>
      <c r="E13063" s="215" t="n">
        <v>45002</v>
      </c>
      <c r="F13063" s="215" t="n">
        <v>45002</v>
      </c>
    </row>
    <row r="13064">
      <c r="A13064" s="215" t="n">
        <v>45005</v>
      </c>
      <c r="B13064" s="216" t="n">
        <v>21.95</v>
      </c>
      <c r="C13064" s="216" t="n">
        <v>28.05</v>
      </c>
      <c r="D13064" s="216" t="n">
        <v>1.14422595500946</v>
      </c>
      <c r="E13064" s="215" t="n">
        <v>45005</v>
      </c>
      <c r="F13064" s="215" t="n">
        <v>45005</v>
      </c>
    </row>
    <row r="13065">
      <c r="A13065" s="215" t="n">
        <v>45006</v>
      </c>
      <c r="B13065" s="216" t="n">
        <v>22.4</v>
      </c>
      <c r="C13065" s="216" t="n">
        <v>28.73</v>
      </c>
      <c r="D13065" s="216" t="n">
        <v>1.140269994735718</v>
      </c>
      <c r="E13065" s="215" t="n">
        <v>45006</v>
      </c>
      <c r="F13065" s="215" t="n">
        <v>45006</v>
      </c>
    </row>
    <row r="13066">
      <c r="A13066" s="215" t="n">
        <v>45007</v>
      </c>
      <c r="B13066" s="216" t="n">
        <v>23.25</v>
      </c>
      <c r="C13066" s="216" t="n">
        <v>28.58</v>
      </c>
      <c r="D13066" s="216" t="n">
        <v>1.139848947525024</v>
      </c>
      <c r="E13066" s="215" t="n">
        <v>45007</v>
      </c>
      <c r="F13066" s="215" t="n">
        <v>45007</v>
      </c>
    </row>
    <row r="13067">
      <c r="A13067" s="215" t="n">
        <v>45008</v>
      </c>
      <c r="B13067" s="216" t="n">
        <v>23.6</v>
      </c>
      <c r="C13067" s="216" t="n">
        <v>28.6</v>
      </c>
      <c r="D13067" s="216" t="n">
        <v>1.14018702507019</v>
      </c>
      <c r="E13067" s="215" t="n">
        <v>45008</v>
      </c>
      <c r="F13067" s="215" t="n">
        <v>45008</v>
      </c>
    </row>
    <row r="13068">
      <c r="A13068" s="215" t="n">
        <v>45009</v>
      </c>
      <c r="B13068" s="216" t="n">
        <v>23.35</v>
      </c>
      <c r="C13068" s="216" t="n">
        <v>28.94</v>
      </c>
      <c r="D13068" s="216" t="n">
        <v>1.150908946990967</v>
      </c>
      <c r="E13068" s="215" t="n">
        <v>45009</v>
      </c>
      <c r="F13068" s="215" t="n">
        <v>45009</v>
      </c>
    </row>
    <row r="13069">
      <c r="A13069" s="215" t="n">
        <v>45012</v>
      </c>
      <c r="B13069" s="216" t="n">
        <v>23.3</v>
      </c>
      <c r="C13069" s="216" t="n">
        <v>28.54</v>
      </c>
      <c r="D13069" s="216" t="n">
        <v>1.14452600479126</v>
      </c>
      <c r="E13069" s="215" t="n">
        <v>45012</v>
      </c>
      <c r="F13069" s="215" t="n">
        <v>45012</v>
      </c>
    </row>
    <row r="13070">
      <c r="A13070" s="215" t="n">
        <v>45013</v>
      </c>
      <c r="B13070" s="216" t="n">
        <v>23.1</v>
      </c>
      <c r="C13070" s="216" t="n">
        <v>28.13</v>
      </c>
      <c r="D13070" s="216" t="n">
        <v>1.140033960342407</v>
      </c>
      <c r="E13070" s="215" t="n">
        <v>45013</v>
      </c>
      <c r="F13070" s="215" t="n">
        <v>45013</v>
      </c>
    </row>
    <row r="13071">
      <c r="A13071" s="215" t="n">
        <v>45014</v>
      </c>
      <c r="B13071" s="216" t="n">
        <v>23.15</v>
      </c>
      <c r="C13071" s="216" t="n">
        <v>28.27</v>
      </c>
      <c r="D13071" s="216" t="n">
        <v>1.141842007637024</v>
      </c>
      <c r="E13071" s="215" t="n">
        <v>45014</v>
      </c>
      <c r="F13071" s="215" t="n">
        <v>45014</v>
      </c>
    </row>
    <row r="13072">
      <c r="A13072" s="215" t="n">
        <v>45015</v>
      </c>
      <c r="B13072" s="216" t="n">
        <v>22.8</v>
      </c>
      <c r="C13072" s="216" t="n">
        <v>28.18</v>
      </c>
      <c r="D13072" s="216" t="n">
        <v>1.139639973640442</v>
      </c>
      <c r="E13072" s="215" t="n">
        <v>45015</v>
      </c>
      <c r="F13072" s="215" t="n">
        <v>45015</v>
      </c>
    </row>
    <row r="13073">
      <c r="A13073" s="215" t="n">
        <v>45016</v>
      </c>
      <c r="B13073" s="216" t="n">
        <v>23.5</v>
      </c>
      <c r="C13073" s="216" t="n">
        <v>28.37</v>
      </c>
      <c r="D13073" s="216" t="n">
        <v>1.14237904548645</v>
      </c>
      <c r="E13073" s="215" t="n">
        <v>45016</v>
      </c>
      <c r="F13073" s="215" t="n">
        <v>45016</v>
      </c>
    </row>
    <row r="13074">
      <c r="A13074" s="215" t="n">
        <v>45019</v>
      </c>
      <c r="B13074" s="216" t="n">
        <v>23</v>
      </c>
      <c r="C13074" s="216" t="n">
        <v>28.96</v>
      </c>
      <c r="D13074" s="216" t="n">
        <v>1.138651013374329</v>
      </c>
      <c r="E13074" s="215" t="n">
        <v>45019</v>
      </c>
      <c r="F13074" s="215" t="n">
        <v>45019</v>
      </c>
    </row>
    <row r="13075">
      <c r="A13075" s="215" t="n">
        <v>45020</v>
      </c>
      <c r="B13075" s="216" t="n">
        <v>22.3</v>
      </c>
      <c r="C13075" s="216" t="n">
        <v>28.51</v>
      </c>
      <c r="D13075" s="216" t="n">
        <v>1.140889048576355</v>
      </c>
      <c r="E13075" s="215" t="n">
        <v>45020</v>
      </c>
      <c r="F13075" s="215" t="n">
        <v>45020</v>
      </c>
    </row>
    <row r="13076">
      <c r="A13076" s="215" t="n">
        <v>45022</v>
      </c>
      <c r="B13076" s="216" t="n">
        <v>22.15</v>
      </c>
      <c r="C13076" s="216" t="n">
        <v>28.9</v>
      </c>
      <c r="D13076" s="216" t="n">
        <v>1.140630006790161</v>
      </c>
      <c r="E13076" s="215" t="n">
        <v>45022</v>
      </c>
      <c r="F13076" s="215" t="n">
        <v>45022</v>
      </c>
    </row>
    <row r="13077">
      <c r="A13077" s="215" t="n">
        <v>45027</v>
      </c>
      <c r="B13077" s="216" t="n">
        <v>22.55</v>
      </c>
      <c r="C13077" s="216" t="n">
        <v>28.77</v>
      </c>
      <c r="D13077" s="216" t="n">
        <v>1.135993003845215</v>
      </c>
      <c r="E13077" s="215" t="n">
        <v>45027</v>
      </c>
      <c r="F13077" s="215" t="n">
        <v>45027</v>
      </c>
    </row>
    <row r="13078">
      <c r="A13078" s="215" t="n">
        <v>45028</v>
      </c>
      <c r="B13078" s="216" t="n">
        <v>22.8</v>
      </c>
      <c r="C13078" s="216" t="n">
        <v>29.38</v>
      </c>
      <c r="D13078" s="216" t="n">
        <v>1.139876961708069</v>
      </c>
      <c r="E13078" s="215" t="n">
        <v>45028</v>
      </c>
      <c r="F13078" s="215" t="n">
        <v>45028</v>
      </c>
    </row>
    <row r="13079">
      <c r="A13079" s="215" t="n">
        <v>45029</v>
      </c>
      <c r="B13079" s="216" t="n">
        <v>22.55</v>
      </c>
      <c r="C13079" s="216" t="n">
        <v>29.32</v>
      </c>
      <c r="D13079" s="216" t="n">
        <v>1.141221046447754</v>
      </c>
      <c r="E13079" s="215" t="n">
        <v>45029</v>
      </c>
      <c r="F13079" s="215" t="n">
        <v>45029</v>
      </c>
    </row>
    <row r="13080">
      <c r="A13080" s="215" t="n">
        <v>45030</v>
      </c>
      <c r="B13080" s="216" t="n">
        <v>22.55</v>
      </c>
      <c r="C13080" s="216" t="n">
        <v>29.61</v>
      </c>
      <c r="D13080" s="216" t="n">
        <v>1.142914056777954</v>
      </c>
      <c r="E13080" s="215" t="n">
        <v>45030</v>
      </c>
      <c r="F13080" s="215" t="n">
        <v>45030</v>
      </c>
    </row>
    <row r="13081">
      <c r="A13081" s="215" t="n">
        <v>45033</v>
      </c>
      <c r="B13081" s="216" t="n">
        <v>23</v>
      </c>
      <c r="C13081" s="216" t="n">
        <v>29.59</v>
      </c>
      <c r="D13081" s="216" t="n">
        <v>1.140508055686951</v>
      </c>
      <c r="E13081" s="215" t="n">
        <v>45033</v>
      </c>
      <c r="F13081" s="215" t="n">
        <v>45033</v>
      </c>
    </row>
    <row r="13082">
      <c r="A13082" s="215" t="n">
        <v>45034</v>
      </c>
      <c r="B13082" s="216" t="n">
        <v>22.6</v>
      </c>
      <c r="C13082" s="216" t="n">
        <v>29.01</v>
      </c>
      <c r="D13082" s="216" t="n">
        <v>1.140782952308655</v>
      </c>
      <c r="E13082" s="215" t="n">
        <v>45034</v>
      </c>
      <c r="F13082" s="215" t="n">
        <v>45034</v>
      </c>
    </row>
    <row r="13083">
      <c r="A13083" s="215" t="n">
        <v>45035</v>
      </c>
      <c r="B13083" s="216" t="n">
        <v>22.2</v>
      </c>
      <c r="C13083" s="216" t="n">
        <v>28.6</v>
      </c>
      <c r="D13083" s="216" t="n">
        <v>1.141404986381531</v>
      </c>
      <c r="E13083" s="215" t="n">
        <v>45035</v>
      </c>
      <c r="F13083" s="215" t="n">
        <v>45035</v>
      </c>
    </row>
    <row r="13084">
      <c r="A13084" s="215" t="n">
        <v>45036</v>
      </c>
      <c r="B13084" s="216" t="n">
        <v>21.55</v>
      </c>
      <c r="C13084" s="216" t="n">
        <v>28.13</v>
      </c>
      <c r="D13084" s="216" t="n">
        <v>1.139932990074158</v>
      </c>
      <c r="E13084" s="215" t="n">
        <v>45036</v>
      </c>
      <c r="F13084" s="215" t="n">
        <v>45036</v>
      </c>
    </row>
    <row r="13085">
      <c r="A13085" s="215" t="n">
        <v>45037</v>
      </c>
      <c r="B13085" s="216" t="n">
        <v>19.92</v>
      </c>
      <c r="C13085" s="216" t="n">
        <v>27.49</v>
      </c>
      <c r="D13085" s="216" t="n">
        <v>1.142052054405212</v>
      </c>
      <c r="E13085" s="215" t="n">
        <v>45037</v>
      </c>
      <c r="F13085" s="215" t="n">
        <v>45037</v>
      </c>
    </row>
    <row r="13086">
      <c r="A13086" s="215" t="n">
        <v>45040</v>
      </c>
      <c r="B13086" s="216" t="n">
        <v>19.58</v>
      </c>
      <c r="C13086" s="216" t="n">
        <v>27.46</v>
      </c>
      <c r="D13086" s="216" t="n">
        <v>1.138666033744812</v>
      </c>
      <c r="E13086" s="215" t="n">
        <v>45040</v>
      </c>
      <c r="F13086" s="215" t="n">
        <v>45040</v>
      </c>
    </row>
    <row r="13087">
      <c r="A13087" s="215" t="n">
        <v>45041</v>
      </c>
      <c r="B13087" s="216" t="n">
        <v>19.12</v>
      </c>
      <c r="C13087" s="216" t="n">
        <v>26.71</v>
      </c>
      <c r="D13087" s="216" t="n">
        <v>1.137948989868164</v>
      </c>
      <c r="E13087" s="215" t="n">
        <v>45041</v>
      </c>
      <c r="F13087" s="215" t="n">
        <v>45041</v>
      </c>
    </row>
    <row r="13088">
      <c r="A13088" s="215" t="n">
        <v>45042</v>
      </c>
      <c r="B13088" s="216" t="n">
        <v>19.54</v>
      </c>
      <c r="C13088" s="216" t="n">
        <v>27.39</v>
      </c>
      <c r="D13088" s="216" t="n">
        <v>1.132081031799316</v>
      </c>
      <c r="E13088" s="215" t="n">
        <v>45042</v>
      </c>
      <c r="F13088" s="215" t="n">
        <v>45042</v>
      </c>
    </row>
    <row r="13089">
      <c r="A13089" s="215" t="n">
        <v>45043</v>
      </c>
      <c r="B13089" s="216" t="n">
        <v>19.6</v>
      </c>
      <c r="C13089" s="216" t="n">
        <v>27.88</v>
      </c>
      <c r="D13089" s="216" t="n">
        <v>1.132995009422302</v>
      </c>
      <c r="E13089" s="215" t="n">
        <v>45043</v>
      </c>
      <c r="F13089" s="215" t="n">
        <v>45043</v>
      </c>
    </row>
    <row r="13090">
      <c r="A13090" s="215" t="n">
        <v>45044</v>
      </c>
      <c r="B13090" s="216" t="n">
        <v>19.78</v>
      </c>
      <c r="C13090" s="216" t="n">
        <v>27.87</v>
      </c>
      <c r="D13090" s="216" t="n">
        <v>1.133429050445557</v>
      </c>
      <c r="E13090" s="215" t="n">
        <v>45044</v>
      </c>
      <c r="F13090" s="215" t="n">
        <v>45044</v>
      </c>
    </row>
    <row r="13091">
      <c r="A13091" s="215" t="n">
        <v>45048</v>
      </c>
      <c r="B13091" s="216" t="n">
        <v>19.32</v>
      </c>
      <c r="C13091" s="216" t="n">
        <v>27.87</v>
      </c>
      <c r="D13091" s="216" t="n">
        <v>1.132107019424438</v>
      </c>
      <c r="E13091" s="215" t="n">
        <v>45044</v>
      </c>
      <c r="F13091" s="215" t="n">
        <v>45048</v>
      </c>
    </row>
    <row r="13092">
      <c r="A13092" s="215" t="n">
        <v>45049</v>
      </c>
      <c r="B13092" s="216" t="n">
        <v>19.5</v>
      </c>
      <c r="C13092" s="216" t="n">
        <v>27.87</v>
      </c>
      <c r="D13092" s="216" t="n">
        <v>1.135318994522095</v>
      </c>
      <c r="E13092" s="215" t="n">
        <v>45044</v>
      </c>
      <c r="F13092" s="215" t="n">
        <v>45049</v>
      </c>
    </row>
    <row r="13093">
      <c r="A13093" s="215" t="n">
        <v>45050</v>
      </c>
      <c r="B13093" s="216" t="n">
        <v>19.24</v>
      </c>
      <c r="C13093" s="216" t="n">
        <v>27.41</v>
      </c>
      <c r="D13093" s="216" t="n">
        <v>1.135159969329834</v>
      </c>
      <c r="E13093" s="215" t="n">
        <v>45050</v>
      </c>
      <c r="F13093" s="215" t="n">
        <v>45050</v>
      </c>
    </row>
    <row r="13094">
      <c r="A13094" s="215" t="n">
        <v>45051</v>
      </c>
      <c r="B13094" s="216" t="n">
        <v>19.12</v>
      </c>
      <c r="C13094" s="216" t="n">
        <v>27.14</v>
      </c>
      <c r="D13094" s="216" t="n">
        <v>1.13606595993042</v>
      </c>
      <c r="E13094" s="215" t="n">
        <v>45051</v>
      </c>
      <c r="F13094" s="215" t="n">
        <v>45051</v>
      </c>
    </row>
    <row r="13095">
      <c r="A13095" s="215" t="n">
        <v>45054</v>
      </c>
      <c r="B13095" s="216" t="n">
        <v>19.02</v>
      </c>
      <c r="C13095" s="216" t="n">
        <v>27.66</v>
      </c>
      <c r="D13095" s="216" t="n">
        <v>1.135442972183228</v>
      </c>
      <c r="E13095" s="215" t="n">
        <v>45054</v>
      </c>
      <c r="F13095" s="215" t="n">
        <v>45054</v>
      </c>
    </row>
    <row r="13096">
      <c r="A13096" s="215" t="n">
        <v>45055</v>
      </c>
      <c r="B13096" s="216" t="n">
        <v>18.8</v>
      </c>
      <c r="C13096" s="216" t="n">
        <v>27.34</v>
      </c>
      <c r="D13096" s="216" t="n">
        <v>1.134963989257812</v>
      </c>
      <c r="E13096" s="215" t="n">
        <v>45055</v>
      </c>
      <c r="F13096" s="215" t="n">
        <v>45055</v>
      </c>
    </row>
    <row r="13097">
      <c r="A13097" s="215" t="n">
        <v>45056</v>
      </c>
      <c r="B13097" s="216" t="n">
        <v>18.68</v>
      </c>
      <c r="C13097" s="216" t="n">
        <v>27.58</v>
      </c>
      <c r="D13097" s="216" t="n">
        <v>1.132966995239258</v>
      </c>
      <c r="E13097" s="215" t="n">
        <v>45056</v>
      </c>
      <c r="F13097" s="215" t="n">
        <v>45056</v>
      </c>
    </row>
    <row r="13098">
      <c r="A13098" s="215" t="n">
        <v>45057</v>
      </c>
      <c r="B13098" s="216" t="n">
        <v>18.5</v>
      </c>
      <c r="C13098" s="216" t="n">
        <v>27.47</v>
      </c>
      <c r="D13098" s="216" t="n">
        <v>1.129608988761902</v>
      </c>
      <c r="E13098" s="215" t="n">
        <v>45057</v>
      </c>
      <c r="F13098" s="215" t="n">
        <v>45057</v>
      </c>
    </row>
    <row r="13099">
      <c r="A13099" s="215" t="n">
        <v>45058</v>
      </c>
      <c r="B13099" s="216" t="n">
        <v>18.04</v>
      </c>
      <c r="C13099" s="216" t="n">
        <v>27.06</v>
      </c>
      <c r="D13099" s="216" t="n">
        <v>1.127804040908813</v>
      </c>
      <c r="E13099" s="215" t="n">
        <v>45058</v>
      </c>
      <c r="F13099" s="215" t="n">
        <v>45058</v>
      </c>
    </row>
    <row r="13100">
      <c r="A13100" s="215" t="n">
        <v>45061</v>
      </c>
      <c r="B13100" s="216" t="n">
        <v>18.42</v>
      </c>
      <c r="C13100" s="216" t="n">
        <v>27.5</v>
      </c>
      <c r="D13100" s="216" t="n">
        <v>1.127277016639709</v>
      </c>
      <c r="E13100" s="215" t="n">
        <v>45061</v>
      </c>
      <c r="F13100" s="215" t="n">
        <v>45061</v>
      </c>
    </row>
    <row r="13101">
      <c r="A13101" s="215" t="n">
        <v>45062</v>
      </c>
      <c r="B13101" s="216" t="n">
        <v>18.22</v>
      </c>
      <c r="C13101" s="216" t="n">
        <v>27.27</v>
      </c>
      <c r="D13101" s="216" t="n">
        <v>1.127233982086182</v>
      </c>
      <c r="E13101" s="215" t="n">
        <v>45062</v>
      </c>
      <c r="F13101" s="215" t="n">
        <v>45062</v>
      </c>
    </row>
    <row r="13102">
      <c r="A13102" s="215" t="n">
        <v>45063</v>
      </c>
      <c r="B13102" s="216" t="n">
        <v>17.94</v>
      </c>
      <c r="C13102" s="216" t="n">
        <v>27.5</v>
      </c>
      <c r="D13102" s="216" t="n">
        <v>1.123204946517944</v>
      </c>
      <c r="E13102" s="215" t="n">
        <v>45063</v>
      </c>
      <c r="F13102" s="215" t="n">
        <v>45063</v>
      </c>
    </row>
    <row r="13103">
      <c r="A13103" s="215" t="n">
        <v>45064</v>
      </c>
      <c r="B13103" s="216" t="n">
        <v>17.84</v>
      </c>
      <c r="C13103" s="216" t="n">
        <v>27.27</v>
      </c>
      <c r="D13103" s="216" t="n">
        <v>1.118651986122131</v>
      </c>
      <c r="E13103" s="215" t="n">
        <v>45064</v>
      </c>
      <c r="F13103" s="215" t="n">
        <v>45064</v>
      </c>
    </row>
    <row r="13104">
      <c r="A13104" s="215" t="n">
        <v>45065</v>
      </c>
      <c r="B13104" s="216" t="n">
        <v>17.84</v>
      </c>
      <c r="C13104" s="216" t="n">
        <v>27.22</v>
      </c>
      <c r="D13104" s="216" t="n">
        <v>1.112360954284668</v>
      </c>
      <c r="E13104" s="215" t="n">
        <v>45065</v>
      </c>
      <c r="F13104" s="215" t="n">
        <v>45065</v>
      </c>
    </row>
    <row r="13105">
      <c r="A13105" s="215" t="n">
        <v>45068</v>
      </c>
      <c r="B13105" s="216" t="n">
        <v>18.04</v>
      </c>
      <c r="C13105" s="216" t="n">
        <v>27.12</v>
      </c>
      <c r="D13105" s="216" t="n">
        <v>1.118953943252563</v>
      </c>
      <c r="E13105" s="215" t="n">
        <v>45068</v>
      </c>
      <c r="F13105" s="215" t="n">
        <v>45068</v>
      </c>
    </row>
    <row r="13106">
      <c r="A13106" s="215" t="n">
        <v>45069</v>
      </c>
      <c r="B13106" s="216" t="n">
        <v>17.96</v>
      </c>
      <c r="C13106" s="216" t="n">
        <v>26.84</v>
      </c>
      <c r="D13106" s="216" t="n">
        <v>1.1127769947052</v>
      </c>
      <c r="E13106" s="215" t="n">
        <v>45069</v>
      </c>
      <c r="F13106" s="215" t="n">
        <v>45069</v>
      </c>
    </row>
    <row r="13107">
      <c r="A13107" s="215" t="n">
        <v>45070</v>
      </c>
      <c r="B13107" s="216" t="n">
        <v>17.96</v>
      </c>
      <c r="C13107" s="216" t="n">
        <v>26.89</v>
      </c>
      <c r="D13107" s="216" t="n">
        <v>1.110573053359985</v>
      </c>
      <c r="E13107" s="215" t="n">
        <v>45070</v>
      </c>
      <c r="F13107" s="215" t="n">
        <v>45070</v>
      </c>
    </row>
    <row r="13108">
      <c r="A13108" s="215" t="n">
        <v>45071</v>
      </c>
      <c r="B13108" s="216" t="n">
        <v>17.94</v>
      </c>
      <c r="C13108" s="216" t="n">
        <v>26.97</v>
      </c>
      <c r="D13108" s="216" t="n">
        <v>1.108927965164185</v>
      </c>
      <c r="E13108" s="215" t="n">
        <v>45071</v>
      </c>
      <c r="F13108" s="215" t="n">
        <v>45071</v>
      </c>
    </row>
    <row r="13109">
      <c r="A13109" s="215" t="n">
        <v>45075</v>
      </c>
      <c r="B13109" s="216" t="n">
        <v>17.34</v>
      </c>
      <c r="C13109" s="216" t="n">
        <v>26.9</v>
      </c>
      <c r="D13109" s="216" t="n">
        <v>1.107897043228149</v>
      </c>
      <c r="E13109" s="215" t="n">
        <v>45075</v>
      </c>
      <c r="F13109" s="215" t="n">
        <v>45075</v>
      </c>
    </row>
    <row r="13110">
      <c r="A13110" s="215" t="n">
        <v>45076</v>
      </c>
      <c r="B13110" s="216" t="n">
        <v>17.34</v>
      </c>
      <c r="C13110" s="216" t="n">
        <v>26.95</v>
      </c>
      <c r="D13110" s="216" t="n">
        <v>1.10659396648407</v>
      </c>
      <c r="E13110" s="215" t="n">
        <v>45076</v>
      </c>
      <c r="F13110" s="215" t="n">
        <v>45076</v>
      </c>
    </row>
    <row r="13111">
      <c r="A13111" s="215" t="n">
        <v>45077</v>
      </c>
      <c r="B13111" s="216" t="n">
        <v>17.32</v>
      </c>
      <c r="C13111" s="216" t="n">
        <v>26.85</v>
      </c>
      <c r="D13111" s="216" t="n">
        <v>1.106397032737732</v>
      </c>
      <c r="E13111" s="215" t="n">
        <v>45077</v>
      </c>
      <c r="F13111" s="215" t="n">
        <v>45077</v>
      </c>
    </row>
    <row r="13112">
      <c r="A13112" s="215" t="n">
        <v>45078</v>
      </c>
      <c r="B13112" s="216" t="n">
        <v>17.08</v>
      </c>
      <c r="C13112" s="216" t="n">
        <v>26.86</v>
      </c>
      <c r="D13112" s="216" t="n">
        <v>1.101158976554871</v>
      </c>
      <c r="E13112" s="215" t="n">
        <v>45078</v>
      </c>
      <c r="F13112" s="215" t="n">
        <v>45078</v>
      </c>
    </row>
    <row r="13113">
      <c r="A13113" s="215" t="n">
        <v>45079</v>
      </c>
      <c r="B13113" s="216" t="n">
        <v>17.46</v>
      </c>
      <c r="C13113" s="216" t="n">
        <v>27.4</v>
      </c>
      <c r="D13113" s="216" t="n">
        <v>1.103572010993958</v>
      </c>
      <c r="E13113" s="215" t="n">
        <v>45079</v>
      </c>
      <c r="F13113" s="215" t="n">
        <v>45079</v>
      </c>
    </row>
    <row r="13114">
      <c r="A13114" s="215" t="n">
        <v>45082</v>
      </c>
      <c r="B13114" s="216" t="n">
        <v>17.66</v>
      </c>
      <c r="C13114" s="216" t="n">
        <v>27.49</v>
      </c>
      <c r="D13114" s="216" t="n">
        <v>1.10276198387146</v>
      </c>
      <c r="E13114" s="215" t="n">
        <v>45082</v>
      </c>
      <c r="F13114" s="215" t="n">
        <v>45082</v>
      </c>
    </row>
    <row r="13115">
      <c r="A13115" s="215" t="n">
        <v>45083</v>
      </c>
      <c r="B13115" s="216" t="n">
        <v>17.36</v>
      </c>
      <c r="C13115" s="216" t="n">
        <v>27.15</v>
      </c>
      <c r="D13115" s="216" t="n">
        <v>1.103441953659058</v>
      </c>
      <c r="E13115" s="215" t="n">
        <v>45083</v>
      </c>
      <c r="F13115" s="215" t="n">
        <v>45083</v>
      </c>
    </row>
    <row r="13116">
      <c r="A13116" s="215" t="n">
        <v>45084</v>
      </c>
      <c r="B13116" s="216" t="n">
        <v>17.18</v>
      </c>
      <c r="C13116" s="216" t="n">
        <v>26.94</v>
      </c>
      <c r="D13116" s="216" t="n">
        <v>1.10180401802063</v>
      </c>
      <c r="E13116" s="215" t="n">
        <v>45084</v>
      </c>
      <c r="F13116" s="215" t="n">
        <v>45084</v>
      </c>
    </row>
    <row r="13117">
      <c r="A13117" s="215" t="n">
        <v>45085</v>
      </c>
      <c r="B13117" s="216" t="n">
        <v>17.1</v>
      </c>
      <c r="C13117" s="216" t="n">
        <v>26.86</v>
      </c>
      <c r="D13117" s="216" t="n">
        <v>1.099845051765442</v>
      </c>
      <c r="E13117" s="215" t="n">
        <v>45085</v>
      </c>
      <c r="F13117" s="215" t="n">
        <v>45085</v>
      </c>
    </row>
    <row r="13118">
      <c r="A13118" s="215" t="n">
        <v>45086</v>
      </c>
      <c r="B13118" s="216" t="n">
        <v>17.24</v>
      </c>
      <c r="C13118" s="216" t="n">
        <v>27.28</v>
      </c>
      <c r="D13118" s="216" t="n">
        <v>1.101685047149658</v>
      </c>
      <c r="E13118" s="215" t="n">
        <v>45086</v>
      </c>
      <c r="F13118" s="215" t="n">
        <v>45086</v>
      </c>
    </row>
    <row r="13119">
      <c r="A13119" s="215" t="n">
        <v>45089</v>
      </c>
      <c r="B13119" s="216" t="n">
        <v>17.28</v>
      </c>
      <c r="C13119" s="216" t="n">
        <v>26.85</v>
      </c>
      <c r="D13119" s="216" t="n">
        <v>1.099730968475342</v>
      </c>
      <c r="E13119" s="215" t="n">
        <v>45089</v>
      </c>
      <c r="F13119" s="215" t="n">
        <v>45089</v>
      </c>
    </row>
    <row r="13120">
      <c r="A13120" s="215" t="n">
        <v>45090</v>
      </c>
      <c r="B13120" s="216" t="n">
        <v>17.34</v>
      </c>
      <c r="C13120" s="216" t="n">
        <v>26.74</v>
      </c>
      <c r="D13120" s="216" t="n">
        <v>1.096243977546692</v>
      </c>
      <c r="E13120" s="215" t="n">
        <v>45090</v>
      </c>
      <c r="F13120" s="215" t="n">
        <v>45090</v>
      </c>
    </row>
    <row r="13121">
      <c r="A13121" s="215" t="n">
        <v>45091</v>
      </c>
      <c r="B13121" s="216" t="n">
        <v>17.1</v>
      </c>
      <c r="C13121" s="216" t="n">
        <v>26.5</v>
      </c>
      <c r="D13121" s="216" t="n">
        <v>1.092831969261169</v>
      </c>
      <c r="E13121" s="215" t="n">
        <v>45091</v>
      </c>
      <c r="F13121" s="215" t="n">
        <v>45091</v>
      </c>
    </row>
    <row r="13122">
      <c r="A13122" s="215" t="n">
        <v>45092</v>
      </c>
      <c r="B13122" s="216" t="n">
        <v>17.24</v>
      </c>
      <c r="C13122" s="216" t="n">
        <v>26.92</v>
      </c>
      <c r="D13122" s="216" t="n">
        <v>1.093112945556641</v>
      </c>
      <c r="E13122" s="215" t="n">
        <v>45092</v>
      </c>
      <c r="F13122" s="215" t="n">
        <v>45092</v>
      </c>
    </row>
    <row r="13123">
      <c r="A13123" s="215" t="n">
        <v>45093</v>
      </c>
      <c r="B13123" s="216" t="n">
        <v>17.4</v>
      </c>
      <c r="C13123" s="216" t="n">
        <v>26.87</v>
      </c>
      <c r="D13123" s="216" t="n">
        <v>1.098376989364624</v>
      </c>
      <c r="E13123" s="215" t="n">
        <v>45093</v>
      </c>
      <c r="F13123" s="215" t="n">
        <v>45093</v>
      </c>
    </row>
    <row r="13124">
      <c r="A13124" s="215" t="n">
        <v>45096</v>
      </c>
      <c r="B13124" s="216" t="n">
        <v>17.2</v>
      </c>
      <c r="C13124" s="216" t="n">
        <v>26.93</v>
      </c>
      <c r="D13124" s="216" t="n">
        <v>1.097730040550232</v>
      </c>
      <c r="E13124" s="215" t="n">
        <v>45096</v>
      </c>
      <c r="F13124" s="215" t="n">
        <v>45096</v>
      </c>
    </row>
    <row r="13125">
      <c r="A13125" s="215" t="n">
        <v>45097</v>
      </c>
      <c r="B13125" s="216" t="n">
        <v>17.2</v>
      </c>
      <c r="C13125" s="216" t="n">
        <v>27.44</v>
      </c>
      <c r="D13125" s="216" t="n">
        <v>1.091591000556946</v>
      </c>
      <c r="E13125" s="215" t="n">
        <v>45097</v>
      </c>
      <c r="F13125" s="215" t="n">
        <v>45097</v>
      </c>
    </row>
    <row r="13126">
      <c r="A13126" s="215" t="n">
        <v>45098</v>
      </c>
      <c r="B13126" s="216" t="n">
        <v>16.74</v>
      </c>
      <c r="C13126" s="216" t="n">
        <v>26.95</v>
      </c>
      <c r="D13126" s="216" t="n">
        <v>1.089725017547607</v>
      </c>
      <c r="E13126" s="215" t="n">
        <v>45098</v>
      </c>
      <c r="F13126" s="215" t="n">
        <v>45098</v>
      </c>
    </row>
    <row r="13127">
      <c r="A13127" s="215" t="n">
        <v>45100</v>
      </c>
      <c r="B13127" s="216" t="n">
        <v>15.58</v>
      </c>
      <c r="C13127" s="216" t="n">
        <v>26.95</v>
      </c>
      <c r="D13127" s="216" t="n">
        <v>1.090543031692505</v>
      </c>
      <c r="E13127" s="215" t="n">
        <v>45098</v>
      </c>
      <c r="F13127" s="215" t="n">
        <v>45100</v>
      </c>
    </row>
    <row r="13128">
      <c r="A13128" s="215" t="n">
        <v>45103</v>
      </c>
      <c r="B13128" s="216" t="n">
        <v>10.6</v>
      </c>
      <c r="C13128" s="216" t="n">
        <v>28.53</v>
      </c>
      <c r="D13128" s="216" t="n">
        <v>1.092113971710205</v>
      </c>
      <c r="E13128" s="215" t="n">
        <v>45103</v>
      </c>
      <c r="F13128" s="215" t="n">
        <v>45103</v>
      </c>
    </row>
    <row r="13129">
      <c r="A13129" s="215" t="n">
        <v>45104</v>
      </c>
      <c r="B13129" s="216" t="n">
        <v>11</v>
      </c>
      <c r="C13129" s="216" t="n">
        <v>28.13</v>
      </c>
      <c r="D13129" s="216" t="n">
        <v>1.081884026527405</v>
      </c>
      <c r="E13129" s="215" t="n">
        <v>45104</v>
      </c>
      <c r="F13129" s="215" t="n">
        <v>45104</v>
      </c>
    </row>
    <row r="13130">
      <c r="A13130" s="215" t="n">
        <v>45105</v>
      </c>
      <c r="B13130" s="216" t="n">
        <v>11.54</v>
      </c>
      <c r="C13130" s="216" t="n">
        <v>28.02</v>
      </c>
      <c r="D13130" s="216" t="n">
        <v>1.084810972213745</v>
      </c>
      <c r="E13130" s="215" t="n">
        <v>45105</v>
      </c>
      <c r="F13130" s="215" t="n">
        <v>45105</v>
      </c>
    </row>
    <row r="13131">
      <c r="A13131" s="215" t="n">
        <v>45106</v>
      </c>
      <c r="B13131" s="216" t="n">
        <v>12.14</v>
      </c>
      <c r="C13131" s="216" t="n">
        <v>30.49</v>
      </c>
      <c r="D13131" s="216" t="n">
        <v>1.081053972244263</v>
      </c>
      <c r="E13131" s="215" t="n">
        <v>45106</v>
      </c>
      <c r="F13131" s="215" t="n">
        <v>45106</v>
      </c>
    </row>
    <row r="13132">
      <c r="A13132" s="215" t="n">
        <v>45107</v>
      </c>
      <c r="B13132" s="216" t="n">
        <v>11.96</v>
      </c>
      <c r="C13132" s="216" t="n">
        <v>29.92</v>
      </c>
      <c r="D13132" s="216" t="n">
        <v>1.080832958221436</v>
      </c>
      <c r="E13132" s="215" t="n">
        <v>45107</v>
      </c>
      <c r="F13132" s="215" t="n">
        <v>45107</v>
      </c>
    </row>
    <row r="13133">
      <c r="A13133" s="215" t="n">
        <v>45110</v>
      </c>
      <c r="B13133" s="216" t="n">
        <v>11.9</v>
      </c>
      <c r="C13133" s="216" t="n">
        <v>29.93</v>
      </c>
      <c r="D13133" s="216" t="n">
        <v>1.080121040344238</v>
      </c>
      <c r="E13133" s="215" t="n">
        <v>45110</v>
      </c>
      <c r="F13133" s="215" t="n">
        <v>45110</v>
      </c>
    </row>
    <row r="13134">
      <c r="A13134" s="215" t="n">
        <v>45111</v>
      </c>
      <c r="B13134" s="216" t="n">
        <v>11.86</v>
      </c>
      <c r="C13134" s="216" t="n">
        <v>29.9</v>
      </c>
      <c r="D13134" s="216" t="n">
        <v>1.08187997341156</v>
      </c>
      <c r="E13134" s="215" t="n">
        <v>45111</v>
      </c>
      <c r="F13134" s="215" t="n">
        <v>45111</v>
      </c>
    </row>
    <row r="13135">
      <c r="A13135" s="215" t="n">
        <v>45112</v>
      </c>
      <c r="B13135" s="216" t="n">
        <v>12.9</v>
      </c>
      <c r="C13135" s="216" t="n">
        <v>31.58</v>
      </c>
      <c r="D13135" s="216" t="n">
        <v>1.085320949554443</v>
      </c>
      <c r="E13135" s="215" t="n">
        <v>45112</v>
      </c>
      <c r="F13135" s="215" t="n">
        <v>45112</v>
      </c>
    </row>
    <row r="13136">
      <c r="A13136" s="215" t="n">
        <v>45113</v>
      </c>
      <c r="B13136" s="216" t="n">
        <v>12.64</v>
      </c>
      <c r="C13136" s="216" t="n">
        <v>31.1</v>
      </c>
      <c r="D13136" s="216" t="n">
        <v>1.079206943511963</v>
      </c>
      <c r="E13136" s="215" t="n">
        <v>45113</v>
      </c>
      <c r="F13136" s="215" t="n">
        <v>45113</v>
      </c>
    </row>
    <row r="13137">
      <c r="A13137" s="215" t="n">
        <v>45114</v>
      </c>
      <c r="B13137" s="216" t="n">
        <v>11.7</v>
      </c>
      <c r="C13137" s="216" t="n">
        <v>30.3</v>
      </c>
      <c r="D13137" s="216" t="n">
        <v>1.078516960144043</v>
      </c>
      <c r="E13137" s="215" t="n">
        <v>45114</v>
      </c>
      <c r="F13137" s="215" t="n">
        <v>45114</v>
      </c>
    </row>
    <row r="13138">
      <c r="A13138" s="215" t="n">
        <v>45117</v>
      </c>
      <c r="B13138" s="216" t="n">
        <v>11.76</v>
      </c>
      <c r="C13138" s="216" t="n">
        <v>30.98</v>
      </c>
      <c r="D13138" s="216" t="n">
        <v>1.095139026641846</v>
      </c>
      <c r="E13138" s="215" t="n">
        <v>45117</v>
      </c>
      <c r="F13138" s="215" t="n">
        <v>45117</v>
      </c>
    </row>
    <row r="13139">
      <c r="A13139" s="215" t="n">
        <v>45118</v>
      </c>
      <c r="B13139" s="216" t="n">
        <v>11.88</v>
      </c>
      <c r="C13139" s="216" t="n">
        <v>31.13</v>
      </c>
      <c r="D13139" s="216" t="n">
        <v>1.082510948181152</v>
      </c>
      <c r="E13139" s="215" t="n">
        <v>45118</v>
      </c>
      <c r="F13139" s="215" t="n">
        <v>45118</v>
      </c>
    </row>
    <row r="13140">
      <c r="A13140" s="215" t="n">
        <v>45119</v>
      </c>
      <c r="B13140" s="216" t="n">
        <v>12.06</v>
      </c>
      <c r="C13140" s="216" t="n">
        <v>19.26</v>
      </c>
      <c r="D13140" s="216" t="n">
        <v>1.085523009300232</v>
      </c>
      <c r="E13140" s="215" t="n">
        <v>45119</v>
      </c>
      <c r="F13140" s="215" t="n">
        <v>45119</v>
      </c>
    </row>
    <row r="13141">
      <c r="A13141" s="215" t="n">
        <v>45120</v>
      </c>
      <c r="B13141" s="216" t="n">
        <v>11.88</v>
      </c>
      <c r="C13141" s="216" t="n">
        <v>18.86</v>
      </c>
      <c r="D13141" s="216" t="n">
        <v>1.091933012008667</v>
      </c>
      <c r="E13141" s="215" t="n">
        <v>45120</v>
      </c>
      <c r="F13141" s="215" t="n">
        <v>45120</v>
      </c>
    </row>
    <row r="13142">
      <c r="A13142" s="215" t="n">
        <v>45121</v>
      </c>
      <c r="B13142" s="216" t="n">
        <v>11.92</v>
      </c>
      <c r="C13142" s="216" t="n">
        <v>18.35</v>
      </c>
      <c r="D13142" s="216" t="n">
        <v>1.093255996704102</v>
      </c>
      <c r="E13142" s="215" t="n">
        <v>45121</v>
      </c>
      <c r="F13142" s="215" t="n">
        <v>45121</v>
      </c>
    </row>
    <row r="13143">
      <c r="A13143" s="215" t="n">
        <v>45125</v>
      </c>
      <c r="B13143" s="216" t="n">
        <v>12.1</v>
      </c>
      <c r="C13143" s="216" t="n">
        <v>18.25</v>
      </c>
      <c r="D13143" s="216" t="n">
        <v>1.089244961738586</v>
      </c>
      <c r="E13143" s="215" t="n">
        <v>45125</v>
      </c>
      <c r="F13143" s="215" t="n">
        <v>45125</v>
      </c>
    </row>
    <row r="13144">
      <c r="A13144" s="215" t="n">
        <v>45126</v>
      </c>
      <c r="B13144" s="216" t="n">
        <v>12.02</v>
      </c>
      <c r="C13144" s="216" t="n">
        <v>17.96</v>
      </c>
      <c r="D13144" s="216" t="n">
        <v>1.088175058364868</v>
      </c>
      <c r="E13144" s="215" t="n">
        <v>45126</v>
      </c>
      <c r="F13144" s="215" t="n">
        <v>45126</v>
      </c>
    </row>
    <row r="13145">
      <c r="A13145" s="215" t="n">
        <v>45127</v>
      </c>
      <c r="B13145" s="216" t="n">
        <v>12.46</v>
      </c>
      <c r="C13145" s="216" t="n">
        <v>18.31</v>
      </c>
      <c r="D13145" s="216" t="n">
        <v>1.080250978469849</v>
      </c>
      <c r="E13145" s="215" t="n">
        <v>45127</v>
      </c>
      <c r="F13145" s="215" t="n">
        <v>45127</v>
      </c>
    </row>
    <row r="13146">
      <c r="A13146" s="215" t="n">
        <v>45128</v>
      </c>
      <c r="B13146" s="216" t="n">
        <v>12.88</v>
      </c>
      <c r="C13146" s="216" t="n">
        <v>18.1</v>
      </c>
      <c r="D13146" s="216" t="n">
        <v>1.088490962982178</v>
      </c>
      <c r="E13146" s="215" t="n">
        <v>45128</v>
      </c>
      <c r="F13146" s="215" t="n">
        <v>45128</v>
      </c>
    </row>
    <row r="13147">
      <c r="A13147" s="215" t="n">
        <v>45131</v>
      </c>
      <c r="B13147" s="216" t="n">
        <v>12.76</v>
      </c>
      <c r="C13147" s="216" t="n">
        <v>17.76</v>
      </c>
      <c r="D13147" s="216" t="n">
        <v>1.096070051193237</v>
      </c>
      <c r="E13147" s="215" t="n">
        <v>45131</v>
      </c>
      <c r="F13147" s="215" t="n">
        <v>45131</v>
      </c>
    </row>
    <row r="13148">
      <c r="A13148" s="215" t="n">
        <v>45132</v>
      </c>
      <c r="B13148" s="216" t="n">
        <v>12.78</v>
      </c>
      <c r="C13148" s="216" t="n">
        <v>17.92</v>
      </c>
      <c r="D13148" s="216" t="n">
        <v>1.087272047996521</v>
      </c>
      <c r="E13148" s="215" t="n">
        <v>45132</v>
      </c>
      <c r="F13148" s="215" t="n">
        <v>45132</v>
      </c>
    </row>
    <row r="13149">
      <c r="A13149" s="215" t="n">
        <v>45133</v>
      </c>
      <c r="B13149" s="216" t="n">
        <v>12.3</v>
      </c>
      <c r="C13149" s="216" t="n">
        <v>17.7</v>
      </c>
      <c r="D13149" s="216" t="n">
        <v>1.094627976417542</v>
      </c>
      <c r="E13149" s="215" t="n">
        <v>45133</v>
      </c>
      <c r="F13149" s="215" t="n">
        <v>45133</v>
      </c>
    </row>
    <row r="13150">
      <c r="A13150" s="215" t="n">
        <v>45134</v>
      </c>
      <c r="B13150" s="216" t="n">
        <v>12.3</v>
      </c>
      <c r="C13150" s="216" t="n">
        <v>17.33</v>
      </c>
      <c r="D13150" s="216" t="n">
        <v>1.090775966644287</v>
      </c>
      <c r="E13150" s="215" t="n">
        <v>45134</v>
      </c>
      <c r="F13150" s="215" t="n">
        <v>45134</v>
      </c>
    </row>
    <row r="13151">
      <c r="A13151" s="215" t="n">
        <v>45135</v>
      </c>
      <c r="B13151" s="216" t="n">
        <v>12.14</v>
      </c>
      <c r="C13151" s="216" t="n">
        <v>17.5</v>
      </c>
      <c r="D13151" s="216" t="n">
        <v>1.087054014205933</v>
      </c>
      <c r="E13151" s="215" t="n">
        <v>45135</v>
      </c>
      <c r="F13151" s="215" t="n">
        <v>45135</v>
      </c>
    </row>
    <row r="13152">
      <c r="A13152" s="215" t="n">
        <v>45138</v>
      </c>
      <c r="B13152" s="216" t="n">
        <v>12.28</v>
      </c>
      <c r="C13152" s="216" t="n">
        <v>17.7</v>
      </c>
      <c r="D13152" s="216" t="n">
        <v>1.097965002059937</v>
      </c>
      <c r="E13152" s="215" t="n">
        <v>45138</v>
      </c>
      <c r="F13152" s="215" t="n">
        <v>45138</v>
      </c>
    </row>
    <row r="13153">
      <c r="A13153" s="215" t="n">
        <v>45139</v>
      </c>
      <c r="B13153" s="216" t="n">
        <v>12.46</v>
      </c>
      <c r="C13153" s="216" t="n">
        <v>18.26</v>
      </c>
      <c r="D13153" s="216" t="n">
        <v>1.096930980682373</v>
      </c>
      <c r="E13153" s="215" t="n">
        <v>45139</v>
      </c>
      <c r="F13153" s="215" t="n">
        <v>45139</v>
      </c>
    </row>
    <row r="13154">
      <c r="A13154" s="215" t="n">
        <v>45140</v>
      </c>
      <c r="B13154" s="216" t="n">
        <v>11.96</v>
      </c>
      <c r="C13154" s="216" t="n">
        <v>18.11</v>
      </c>
      <c r="D13154" s="216" t="n">
        <v>1.092203974723816</v>
      </c>
      <c r="E13154" s="215" t="n">
        <v>45140</v>
      </c>
      <c r="F13154" s="215" t="n">
        <v>45140</v>
      </c>
    </row>
    <row r="13155">
      <c r="A13155" s="215" t="n">
        <v>45141</v>
      </c>
      <c r="B13155" s="216" t="n">
        <v>11.7</v>
      </c>
      <c r="C13155" s="216" t="n">
        <v>17.93</v>
      </c>
      <c r="D13155" s="216" t="n">
        <v>1.090474963188171</v>
      </c>
      <c r="E13155" s="215" t="n">
        <v>45141</v>
      </c>
      <c r="F13155" s="215" t="n">
        <v>45141</v>
      </c>
    </row>
    <row r="13156">
      <c r="A13156" s="215" t="n">
        <v>45142</v>
      </c>
      <c r="B13156" s="216" t="n">
        <v>11.56</v>
      </c>
      <c r="C13156" s="216" t="n">
        <v>17.67</v>
      </c>
      <c r="D13156" s="216" t="n">
        <v>1.09414005279541</v>
      </c>
      <c r="E13156" s="215" t="n">
        <v>45142</v>
      </c>
      <c r="F13156" s="215" t="n">
        <v>45142</v>
      </c>
    </row>
    <row r="13157">
      <c r="A13157" s="215" t="n">
        <v>45145</v>
      </c>
      <c r="B13157" s="216" t="n">
        <v>12</v>
      </c>
      <c r="C13157" s="216" t="n">
        <v>18.17</v>
      </c>
      <c r="D13157" s="216" t="n">
        <v>1.098598957061768</v>
      </c>
      <c r="E13157" s="215" t="n">
        <v>45145</v>
      </c>
      <c r="F13157" s="215" t="n">
        <v>45145</v>
      </c>
    </row>
    <row r="13158">
      <c r="A13158" s="215" t="n">
        <v>45146</v>
      </c>
      <c r="B13158" s="216" t="n">
        <v>11.58</v>
      </c>
      <c r="C13158" s="216" t="n">
        <v>18.01</v>
      </c>
      <c r="D13158" s="216" t="n">
        <v>1.091063976287842</v>
      </c>
      <c r="E13158" s="215" t="n">
        <v>45146</v>
      </c>
      <c r="F13158" s="215" t="n">
        <v>45146</v>
      </c>
    </row>
    <row r="13159">
      <c r="A13159" s="215" t="n">
        <v>45147</v>
      </c>
      <c r="B13159" s="216" t="n">
        <v>11.64</v>
      </c>
      <c r="C13159" s="216" t="n">
        <v>18.32</v>
      </c>
      <c r="D13159" s="216" t="n">
        <v>1.087746977806091</v>
      </c>
      <c r="E13159" s="215" t="n">
        <v>45147</v>
      </c>
      <c r="F13159" s="215" t="n">
        <v>45147</v>
      </c>
    </row>
    <row r="13160">
      <c r="A13160" s="215" t="n">
        <v>45148</v>
      </c>
      <c r="B13160" s="216" t="n">
        <v>11.66</v>
      </c>
      <c r="C13160" s="216" t="n">
        <v>18.24</v>
      </c>
      <c r="D13160" s="216" t="n">
        <v>1.089905977249146</v>
      </c>
      <c r="E13160" s="215" t="n">
        <v>45148</v>
      </c>
      <c r="F13160" s="215" t="n">
        <v>45148</v>
      </c>
    </row>
    <row r="13161">
      <c r="A13161" s="215" t="n">
        <v>45149</v>
      </c>
      <c r="B13161" s="216" t="n">
        <v>11.1</v>
      </c>
      <c r="C13161" s="216" t="n">
        <v>17.71</v>
      </c>
      <c r="D13161" s="216" t="n">
        <v>1.086997985839844</v>
      </c>
      <c r="E13161" s="215" t="n">
        <v>45149</v>
      </c>
      <c r="F13161" s="215" t="n">
        <v>45149</v>
      </c>
    </row>
    <row r="13162">
      <c r="A13162" s="215" t="n">
        <v>45152</v>
      </c>
      <c r="B13162" s="216" t="n">
        <v>11.06</v>
      </c>
      <c r="C13162" s="216" t="n">
        <v>17.64</v>
      </c>
      <c r="D13162" s="216" t="n">
        <v>1.081287026405334</v>
      </c>
      <c r="E13162" s="215" t="n">
        <v>45152</v>
      </c>
      <c r="F13162" s="215" t="n">
        <v>45152</v>
      </c>
    </row>
    <row r="13163">
      <c r="A13163" s="215" t="n">
        <v>45153</v>
      </c>
      <c r="B13163" s="216" t="n">
        <v>11.08</v>
      </c>
      <c r="C13163" s="216" t="n">
        <v>17.44</v>
      </c>
      <c r="D13163" s="216" t="n">
        <v>1.08362603187561</v>
      </c>
      <c r="E13163" s="215" t="n">
        <v>45153</v>
      </c>
      <c r="F13163" s="215" t="n">
        <v>45153</v>
      </c>
    </row>
    <row r="13164">
      <c r="A13164" s="215" t="n">
        <v>45154</v>
      </c>
      <c r="B13164" s="216" t="n">
        <v>10.66</v>
      </c>
      <c r="C13164" s="216" t="n">
        <v>17.04</v>
      </c>
      <c r="D13164" s="216" t="n">
        <v>1.077635049819946</v>
      </c>
      <c r="E13164" s="215" t="n">
        <v>45154</v>
      </c>
      <c r="F13164" s="215" t="n">
        <v>45154</v>
      </c>
    </row>
    <row r="13165">
      <c r="A13165" s="215" t="n">
        <v>45155</v>
      </c>
      <c r="B13165" s="216" t="n">
        <v>10.8</v>
      </c>
      <c r="C13165" s="216" t="n">
        <v>17.2</v>
      </c>
      <c r="D13165" s="216" t="n">
        <v>1.081539988517761</v>
      </c>
      <c r="E13165" s="215" t="n">
        <v>45155</v>
      </c>
      <c r="F13165" s="215" t="n">
        <v>45155</v>
      </c>
    </row>
    <row r="13166">
      <c r="A13166" s="215" t="n">
        <v>45156</v>
      </c>
      <c r="B13166" s="216" t="n">
        <v>10.84</v>
      </c>
      <c r="C13166" s="216" t="n">
        <v>17.17</v>
      </c>
      <c r="D13166" s="216" t="n">
        <v>1.085598945617676</v>
      </c>
      <c r="E13166" s="215" t="n">
        <v>45156</v>
      </c>
      <c r="F13166" s="215" t="n">
        <v>45156</v>
      </c>
    </row>
    <row r="13167">
      <c r="A13167" s="215" t="n">
        <v>45159</v>
      </c>
      <c r="B13167" s="216" t="n">
        <v>10.62</v>
      </c>
      <c r="C13167" s="216" t="n">
        <v>17.08</v>
      </c>
      <c r="D13167" s="216" t="n">
        <v>1.086933016777039</v>
      </c>
      <c r="E13167" s="215" t="n">
        <v>45159</v>
      </c>
      <c r="F13167" s="215" t="n">
        <v>45159</v>
      </c>
    </row>
    <row r="13168">
      <c r="A13168" s="215" t="n">
        <v>45160</v>
      </c>
      <c r="B13168" s="216" t="n">
        <v>10.56</v>
      </c>
      <c r="C13168" s="216" t="n">
        <v>17.21</v>
      </c>
      <c r="D13168" s="216" t="n">
        <v>1.089496970176697</v>
      </c>
      <c r="E13168" s="215" t="n">
        <v>45160</v>
      </c>
      <c r="F13168" s="215" t="n">
        <v>45160</v>
      </c>
    </row>
    <row r="13169">
      <c r="A13169" s="215" t="n">
        <v>45161</v>
      </c>
      <c r="B13169" s="216" t="n">
        <v>10.18</v>
      </c>
      <c r="C13169" s="216" t="n">
        <v>16.71</v>
      </c>
      <c r="D13169" s="216" t="n">
        <v>1.088055968284607</v>
      </c>
      <c r="E13169" s="215" t="n">
        <v>45161</v>
      </c>
      <c r="F13169" s="215" t="n">
        <v>45161</v>
      </c>
    </row>
    <row r="13170">
      <c r="A13170" s="215" t="n">
        <v>45162</v>
      </c>
      <c r="B13170" s="216" t="n">
        <v>10.18</v>
      </c>
      <c r="C13170" s="216" t="n">
        <v>16.56</v>
      </c>
      <c r="D13170" s="216" t="n">
        <v>1.091747045516968</v>
      </c>
      <c r="E13170" s="215" t="n">
        <v>45162</v>
      </c>
      <c r="F13170" s="215" t="n">
        <v>45162</v>
      </c>
    </row>
    <row r="13171">
      <c r="A13171" s="215" t="n">
        <v>45163</v>
      </c>
      <c r="B13171" s="216" t="n">
        <v>10</v>
      </c>
      <c r="C13171" s="216" t="n">
        <v>16.22</v>
      </c>
      <c r="D13171" s="216" t="n">
        <v>1.091843008995056</v>
      </c>
      <c r="E13171" s="215" t="n">
        <v>45163</v>
      </c>
      <c r="F13171" s="215" t="n">
        <v>45163</v>
      </c>
    </row>
    <row r="13172">
      <c r="A13172" s="215" t="n">
        <v>45166</v>
      </c>
      <c r="B13172" s="216" t="n">
        <v>10</v>
      </c>
      <c r="C13172" s="216" t="n">
        <v>16.26</v>
      </c>
      <c r="D13172" s="216" t="n">
        <v>1.090361952781677</v>
      </c>
      <c r="E13172" s="215" t="n">
        <v>45166</v>
      </c>
      <c r="F13172" s="215" t="n">
        <v>45166</v>
      </c>
    </row>
    <row r="13173">
      <c r="A13173" s="215" t="n">
        <v>45167</v>
      </c>
      <c r="B13173" s="216" t="n">
        <v>10.36</v>
      </c>
      <c r="C13173" s="216" t="n">
        <v>17.36</v>
      </c>
      <c r="D13173" s="216" t="n">
        <v>1.089699029922485</v>
      </c>
      <c r="E13173" s="215" t="n">
        <v>45167</v>
      </c>
      <c r="F13173" s="215" t="n">
        <v>45167</v>
      </c>
    </row>
    <row r="13174">
      <c r="A13174" s="215" t="n">
        <v>45168</v>
      </c>
      <c r="B13174" s="216" t="n">
        <v>10.3</v>
      </c>
      <c r="C13174" s="216" t="n">
        <v>17.51</v>
      </c>
      <c r="D13174" s="216" t="n">
        <v>1.094905972480774</v>
      </c>
      <c r="E13174" s="215" t="n">
        <v>45168</v>
      </c>
      <c r="F13174" s="215" t="n">
        <v>45168</v>
      </c>
    </row>
    <row r="13175">
      <c r="A13175" s="215" t="n">
        <v>45169</v>
      </c>
      <c r="B13175" s="216" t="n">
        <v>10.28</v>
      </c>
      <c r="C13175" s="216" t="n">
        <v>17.2</v>
      </c>
      <c r="D13175" s="216" t="n">
        <v>1.092789053916931</v>
      </c>
      <c r="E13175" s="215" t="n">
        <v>45169</v>
      </c>
      <c r="F13175" s="215" t="n">
        <v>45169</v>
      </c>
    </row>
    <row r="13176">
      <c r="A13176" s="215" t="n">
        <v>45173</v>
      </c>
      <c r="B13176" s="216" t="n">
        <v>10.58</v>
      </c>
      <c r="C13176" s="216" t="n">
        <v>18.08</v>
      </c>
      <c r="D13176" s="216" t="n">
        <v>1.090212941169739</v>
      </c>
      <c r="E13176" s="215" t="n">
        <v>45173</v>
      </c>
      <c r="F13176" s="215" t="n">
        <v>45173</v>
      </c>
    </row>
    <row r="13177">
      <c r="A13177" s="215" t="n">
        <v>45174</v>
      </c>
      <c r="B13177" s="216" t="n">
        <v>10.36</v>
      </c>
      <c r="C13177" s="216" t="n">
        <v>17.9</v>
      </c>
      <c r="D13177" s="216" t="n">
        <v>1.094616055488586</v>
      </c>
      <c r="E13177" s="215" t="n">
        <v>45174</v>
      </c>
      <c r="F13177" s="215" t="n">
        <v>45174</v>
      </c>
    </row>
    <row r="13178">
      <c r="A13178" s="215" t="n">
        <v>45175</v>
      </c>
      <c r="B13178" s="216" t="n">
        <v>10.46</v>
      </c>
      <c r="C13178" s="216" t="n">
        <v>17.73</v>
      </c>
      <c r="D13178" s="216" t="n">
        <v>1.090736985206604</v>
      </c>
      <c r="E13178" s="215" t="n">
        <v>45175</v>
      </c>
      <c r="F13178" s="215" t="n">
        <v>45175</v>
      </c>
    </row>
    <row r="13179">
      <c r="A13179" s="215" t="n">
        <v>45176</v>
      </c>
      <c r="B13179" s="216" t="n">
        <v>10.3</v>
      </c>
      <c r="C13179" s="216" t="n">
        <v>17.46</v>
      </c>
      <c r="D13179" s="216" t="n">
        <v>1.088104963302612</v>
      </c>
      <c r="E13179" s="215" t="n">
        <v>45176</v>
      </c>
      <c r="F13179" s="215" t="n">
        <v>45176</v>
      </c>
    </row>
    <row r="13180">
      <c r="A13180" s="215" t="n">
        <v>45180</v>
      </c>
      <c r="B13180" s="216" t="n">
        <v>10.4</v>
      </c>
      <c r="C13180" s="216" t="n">
        <v>17.53</v>
      </c>
      <c r="D13180" s="216" t="n">
        <v>1.085821986198425</v>
      </c>
      <c r="E13180" s="215" t="n">
        <v>45180</v>
      </c>
      <c r="F13180" s="215" t="n">
        <v>45180</v>
      </c>
    </row>
    <row r="13181">
      <c r="A13181" s="215" t="n">
        <v>45181</v>
      </c>
      <c r="B13181" s="216" t="n">
        <v>10.4</v>
      </c>
      <c r="C13181" s="216" t="n">
        <v>17.46</v>
      </c>
      <c r="D13181" s="216" t="n">
        <v>1.088567018508911</v>
      </c>
      <c r="E13181" s="215" t="n">
        <v>45181</v>
      </c>
      <c r="F13181" s="215" t="n">
        <v>45181</v>
      </c>
    </row>
    <row r="13182">
      <c r="A13182" s="215" t="n">
        <v>45182</v>
      </c>
      <c r="B13182" s="216" t="n">
        <v>10.24</v>
      </c>
      <c r="C13182" s="216" t="n">
        <v>17.3</v>
      </c>
      <c r="D13182" s="216" t="n">
        <v>1.088140964508057</v>
      </c>
      <c r="E13182" s="215" t="n">
        <v>45182</v>
      </c>
      <c r="F13182" s="215" t="n">
        <v>45182</v>
      </c>
    </row>
    <row r="13183">
      <c r="A13183" s="215" t="n">
        <v>45183</v>
      </c>
      <c r="B13183" s="216" t="n">
        <v>10.08</v>
      </c>
      <c r="C13183" s="216" t="n">
        <v>17.09</v>
      </c>
      <c r="D13183" s="216" t="n">
        <v>1.091163039207458</v>
      </c>
      <c r="E13183" s="215" t="n">
        <v>45183</v>
      </c>
      <c r="F13183" s="215" t="n">
        <v>45183</v>
      </c>
    </row>
    <row r="13184">
      <c r="A13184" s="215" t="n">
        <v>45184</v>
      </c>
      <c r="B13184" s="216" t="n">
        <v>9.93</v>
      </c>
      <c r="C13184" s="216" t="n">
        <v>17.07</v>
      </c>
      <c r="D13184" s="216" t="n">
        <v>1.088575005531311</v>
      </c>
      <c r="E13184" s="215" t="n">
        <v>45184</v>
      </c>
      <c r="F13184" s="215" t="n">
        <v>45184</v>
      </c>
    </row>
    <row r="13185">
      <c r="A13185" s="215" t="n">
        <v>45187</v>
      </c>
      <c r="B13185" s="216" t="n">
        <v>9.94</v>
      </c>
      <c r="C13185" s="216" t="n">
        <v>17.2</v>
      </c>
      <c r="D13185" s="216" t="n">
        <v>1.089876055717468</v>
      </c>
      <c r="E13185" s="215" t="n">
        <v>45187</v>
      </c>
      <c r="F13185" s="215" t="n">
        <v>45187</v>
      </c>
    </row>
    <row r="13186">
      <c r="A13186" s="215" t="n">
        <v>45188</v>
      </c>
      <c r="B13186" s="216" t="n">
        <v>9.949999999999999</v>
      </c>
      <c r="C13186" s="216" t="n">
        <v>16.81</v>
      </c>
      <c r="D13186" s="216" t="n">
        <v>1.091644048690796</v>
      </c>
      <c r="E13186" s="215" t="n">
        <v>45188</v>
      </c>
      <c r="F13186" s="215" t="n">
        <v>45188</v>
      </c>
    </row>
    <row r="13187">
      <c r="A13187" s="215" t="n">
        <v>45189</v>
      </c>
      <c r="B13187" s="216" t="n">
        <v>9.92</v>
      </c>
      <c r="C13187" s="216" t="n">
        <v>16.54</v>
      </c>
      <c r="D13187" s="216" t="n">
        <v>1.090924978256226</v>
      </c>
      <c r="E13187" s="215" t="n">
        <v>45189</v>
      </c>
      <c r="F13187" s="215" t="n">
        <v>45189</v>
      </c>
    </row>
    <row r="13188">
      <c r="A13188" s="215" t="n">
        <v>45190</v>
      </c>
      <c r="B13188" s="216" t="n">
        <v>9.84</v>
      </c>
      <c r="C13188" s="216" t="n">
        <v>16.41</v>
      </c>
      <c r="D13188" s="216" t="n">
        <v>1.08824098110199</v>
      </c>
      <c r="E13188" s="215" t="n">
        <v>45190</v>
      </c>
      <c r="F13188" s="215" t="n">
        <v>45190</v>
      </c>
    </row>
    <row r="13189">
      <c r="A13189" s="215" t="n">
        <v>45191</v>
      </c>
      <c r="B13189" s="216" t="n">
        <v>10.02</v>
      </c>
      <c r="C13189" s="216" t="n">
        <v>16.6</v>
      </c>
      <c r="D13189" s="216" t="n">
        <v>1.088595986366272</v>
      </c>
      <c r="E13189" s="215" t="n">
        <v>45191</v>
      </c>
      <c r="F13189" s="215" t="n">
        <v>45191</v>
      </c>
    </row>
    <row r="13190">
      <c r="A13190" s="215" t="n">
        <v>45194</v>
      </c>
      <c r="B13190" s="216" t="n">
        <v>9.99</v>
      </c>
      <c r="C13190" s="216" t="n">
        <v>16.67</v>
      </c>
      <c r="D13190" s="216" t="n">
        <v>1.087345004081726</v>
      </c>
      <c r="E13190" s="215" t="n">
        <v>45194</v>
      </c>
      <c r="F13190" s="215" t="n">
        <v>45194</v>
      </c>
    </row>
    <row r="13191">
      <c r="A13191" s="215" t="n">
        <v>45195</v>
      </c>
      <c r="B13191" s="216" t="n">
        <v>9.970000000000001</v>
      </c>
      <c r="C13191" s="216" t="n">
        <v>16.48</v>
      </c>
      <c r="D13191" s="216" t="n">
        <v>1.081025958061218</v>
      </c>
      <c r="E13191" s="215" t="n">
        <v>45195</v>
      </c>
      <c r="F13191" s="215" t="n">
        <v>45195</v>
      </c>
    </row>
    <row r="13192">
      <c r="A13192" s="215" t="n">
        <v>45196</v>
      </c>
      <c r="B13192" s="216" t="n">
        <v>9.960000000000001</v>
      </c>
      <c r="C13192" s="216" t="n">
        <v>16.62</v>
      </c>
      <c r="D13192" s="216" t="n">
        <v>1.079403042793274</v>
      </c>
      <c r="E13192" s="215" t="n">
        <v>45196</v>
      </c>
      <c r="F13192" s="215" t="n">
        <v>45196</v>
      </c>
    </row>
    <row r="13193">
      <c r="A13193" s="215" t="n">
        <v>45197</v>
      </c>
      <c r="B13193" s="216" t="n">
        <v>10.04</v>
      </c>
      <c r="C13193" s="216" t="n">
        <v>16.64</v>
      </c>
      <c r="D13193" s="216" t="n">
        <v>1.0728440284729</v>
      </c>
      <c r="E13193" s="215" t="n">
        <v>45197</v>
      </c>
      <c r="F13193" s="215" t="n">
        <v>45197</v>
      </c>
    </row>
    <row r="13194">
      <c r="A13194" s="215" t="n">
        <v>45198</v>
      </c>
      <c r="B13194" s="216" t="n">
        <v>9.949999999999999</v>
      </c>
      <c r="C13194" s="216" t="n">
        <v>16.64</v>
      </c>
      <c r="D13194" s="216" t="n">
        <v>1.079846978187561</v>
      </c>
      <c r="E13194" s="215" t="n">
        <v>45197</v>
      </c>
      <c r="F13194" s="215" t="n">
        <v>45198</v>
      </c>
    </row>
    <row r="13195">
      <c r="A13195" s="215" t="n">
        <v>45202</v>
      </c>
      <c r="B13195" s="216" t="n">
        <v>10.1</v>
      </c>
      <c r="C13195" s="216" t="n">
        <v>16.64</v>
      </c>
      <c r="D13195" s="216" t="n">
        <v>1.071742057800293</v>
      </c>
      <c r="E13195" s="215" t="n">
        <v>45197</v>
      </c>
      <c r="F13195" s="215" t="n">
        <v>45202</v>
      </c>
    </row>
    <row r="13196">
      <c r="A13196" s="215" t="n">
        <v>45203</v>
      </c>
      <c r="B13196" s="216" t="n">
        <v>9.85</v>
      </c>
      <c r="C13196" s="216" t="n">
        <v>16.64</v>
      </c>
      <c r="D13196" s="216" t="n">
        <v>1.070677042007446</v>
      </c>
      <c r="E13196" s="215" t="n">
        <v>45197</v>
      </c>
      <c r="F13196" s="215" t="n">
        <v>45203</v>
      </c>
    </row>
    <row r="13197">
      <c r="A13197" s="215" t="n">
        <v>45204</v>
      </c>
      <c r="B13197" s="216" t="n">
        <v>9.85</v>
      </c>
      <c r="C13197" s="216" t="n">
        <v>16.64</v>
      </c>
      <c r="D13197" s="216" t="n">
        <v>1.074022054672241</v>
      </c>
      <c r="E13197" s="215" t="n">
        <v>45197</v>
      </c>
      <c r="F13197" s="215" t="n">
        <v>45204</v>
      </c>
    </row>
    <row r="13198">
      <c r="A13198" s="215" t="n">
        <v>45205</v>
      </c>
      <c r="B13198" s="216" t="n">
        <v>9.890000000000001</v>
      </c>
      <c r="C13198" s="216" t="n">
        <v>16.64</v>
      </c>
      <c r="D13198" s="216" t="n">
        <v>1.078335046768188</v>
      </c>
      <c r="E13198" s="215" t="n">
        <v>45197</v>
      </c>
      <c r="F13198" s="215" t="n">
        <v>45205</v>
      </c>
    </row>
    <row r="13199">
      <c r="A13199" s="215" t="n">
        <v>45208</v>
      </c>
      <c r="B13199" s="216" t="n">
        <v>10</v>
      </c>
      <c r="C13199" s="216" t="n">
        <v>16.75</v>
      </c>
      <c r="D13199" s="216" t="n">
        <v>1.080739974975586</v>
      </c>
      <c r="E13199" s="215" t="n">
        <v>45208</v>
      </c>
      <c r="F13199" s="215" t="n">
        <v>45208</v>
      </c>
    </row>
    <row r="13200">
      <c r="A13200" s="215" t="n">
        <v>45209</v>
      </c>
      <c r="B13200" s="216" t="n">
        <v>9.92</v>
      </c>
      <c r="C13200" s="216" t="n">
        <v>16.66</v>
      </c>
      <c r="D13200" s="216" t="n">
        <v>1.081393003463745</v>
      </c>
      <c r="E13200" s="215" t="n">
        <v>45209</v>
      </c>
      <c r="F13200" s="215" t="n">
        <v>45209</v>
      </c>
    </row>
    <row r="13201">
      <c r="A13201" s="215" t="n">
        <v>45210</v>
      </c>
      <c r="B13201" s="216" t="n">
        <v>9.98</v>
      </c>
      <c r="C13201" s="216" t="n">
        <v>16.65</v>
      </c>
      <c r="D13201" s="216" t="n">
        <v>1.082736968994141</v>
      </c>
      <c r="E13201" s="215" t="n">
        <v>45210</v>
      </c>
      <c r="F13201" s="215" t="n">
        <v>45210</v>
      </c>
    </row>
    <row r="13202">
      <c r="A13202" s="215" t="n">
        <v>45211</v>
      </c>
      <c r="B13202" s="216" t="n">
        <v>10.14</v>
      </c>
      <c r="C13202" s="216" t="n">
        <v>16.9</v>
      </c>
      <c r="D13202" s="216" t="n">
        <v>1.084743976593018</v>
      </c>
      <c r="E13202" s="215" t="n">
        <v>45211</v>
      </c>
      <c r="F13202" s="215" t="n">
        <v>45211</v>
      </c>
    </row>
    <row r="13203">
      <c r="A13203" s="215" t="n">
        <v>45212</v>
      </c>
      <c r="B13203" s="216" t="n">
        <v>10.02</v>
      </c>
      <c r="C13203" s="216" t="n">
        <v>16.71</v>
      </c>
      <c r="D13203" s="216" t="n">
        <v>1.076364040374756</v>
      </c>
      <c r="E13203" s="215" t="n">
        <v>45212</v>
      </c>
      <c r="F13203" s="215" t="n">
        <v>45212</v>
      </c>
    </row>
    <row r="13204">
      <c r="A13204" s="215" t="n">
        <v>45215</v>
      </c>
      <c r="B13204" s="216" t="n">
        <v>9.800000000000001</v>
      </c>
      <c r="C13204" s="216" t="n">
        <v>16.4</v>
      </c>
      <c r="D13204" s="216" t="n">
        <v>1.074789047241211</v>
      </c>
      <c r="E13204" s="215" t="n">
        <v>45215</v>
      </c>
      <c r="F13204" s="215" t="n">
        <v>45215</v>
      </c>
    </row>
    <row r="13205">
      <c r="A13205" s="215" t="n">
        <v>45216</v>
      </c>
      <c r="B13205" s="216" t="n">
        <v>9.76</v>
      </c>
      <c r="C13205" s="216" t="n">
        <v>16.49</v>
      </c>
      <c r="D13205" s="216" t="n">
        <v>1.077306985855103</v>
      </c>
      <c r="E13205" s="215" t="n">
        <v>45216</v>
      </c>
      <c r="F13205" s="215" t="n">
        <v>45216</v>
      </c>
    </row>
    <row r="13206">
      <c r="A13206" s="215" t="n">
        <v>45217</v>
      </c>
      <c r="B13206" s="216" t="n">
        <v>9.69</v>
      </c>
      <c r="C13206" s="216" t="n">
        <v>16.22</v>
      </c>
      <c r="D13206" s="216" t="n">
        <v>1.079851984977722</v>
      </c>
      <c r="E13206" s="215" t="n">
        <v>45217</v>
      </c>
      <c r="F13206" s="215" t="n">
        <v>45217</v>
      </c>
    </row>
    <row r="13207">
      <c r="A13207" s="215" t="n">
        <v>45218</v>
      </c>
      <c r="B13207" s="216" t="n">
        <v>9.65</v>
      </c>
      <c r="C13207" s="216" t="n">
        <v>16.1</v>
      </c>
      <c r="D13207" s="216" t="n">
        <v>1.077018976211548</v>
      </c>
      <c r="E13207" s="215" t="n">
        <v>45218</v>
      </c>
      <c r="F13207" s="215" t="n">
        <v>45218</v>
      </c>
    </row>
    <row r="13208">
      <c r="A13208" s="215" t="n">
        <v>45219</v>
      </c>
      <c r="B13208" s="216" t="n">
        <v>9.42</v>
      </c>
      <c r="C13208" s="216" t="n">
        <v>15.95</v>
      </c>
      <c r="D13208" s="216" t="n">
        <v>1.081383943557739</v>
      </c>
      <c r="E13208" s="215" t="n">
        <v>45219</v>
      </c>
      <c r="F13208" s="215" t="n">
        <v>45219</v>
      </c>
    </row>
    <row r="13209">
      <c r="A13209" s="215" t="n">
        <v>45223</v>
      </c>
      <c r="B13209" s="216" t="n">
        <v>9.49</v>
      </c>
      <c r="C13209" s="216" t="n">
        <v>15.83</v>
      </c>
      <c r="D13209" s="216" t="n">
        <v>1.090018033981323</v>
      </c>
      <c r="E13209" s="215" t="n">
        <v>45223</v>
      </c>
      <c r="F13209" s="215" t="n">
        <v>45223</v>
      </c>
    </row>
    <row r="13210">
      <c r="A13210" s="215" t="n">
        <v>45224</v>
      </c>
      <c r="B13210" s="216" t="n">
        <v>9.470000000000001</v>
      </c>
      <c r="C13210" s="216" t="n">
        <v>15.86</v>
      </c>
      <c r="D13210" s="216" t="n">
        <v>1.08238697052002</v>
      </c>
      <c r="E13210" s="215" t="n">
        <v>45224</v>
      </c>
      <c r="F13210" s="215" t="n">
        <v>45224</v>
      </c>
    </row>
    <row r="13211">
      <c r="A13211" s="215" t="n">
        <v>45225</v>
      </c>
      <c r="B13211" s="216" t="n">
        <v>9.49</v>
      </c>
      <c r="C13211" s="216" t="n">
        <v>16</v>
      </c>
      <c r="D13211" s="216" t="n">
        <v>1.079262971878052</v>
      </c>
      <c r="E13211" s="215" t="n">
        <v>45225</v>
      </c>
      <c r="F13211" s="215" t="n">
        <v>45225</v>
      </c>
    </row>
    <row r="13212">
      <c r="A13212" s="215" t="n">
        <v>45226</v>
      </c>
      <c r="B13212" s="216" t="n">
        <v>9.550000000000001</v>
      </c>
      <c r="C13212" s="216" t="n">
        <v>16.25</v>
      </c>
      <c r="D13212" s="216" t="n">
        <v>1.078766942024231</v>
      </c>
      <c r="E13212" s="215" t="n">
        <v>45226</v>
      </c>
      <c r="F13212" s="215" t="n">
        <v>45226</v>
      </c>
    </row>
    <row r="13213">
      <c r="A13213" s="215" t="n">
        <v>45229</v>
      </c>
      <c r="B13213" s="216" t="n">
        <v>9.66</v>
      </c>
      <c r="C13213" s="216" t="n">
        <v>16.38</v>
      </c>
      <c r="D13213" s="216" t="n">
        <v>1.078732967376709</v>
      </c>
      <c r="E13213" s="215" t="n">
        <v>45229</v>
      </c>
      <c r="F13213" s="215" t="n">
        <v>45229</v>
      </c>
    </row>
    <row r="13214">
      <c r="A13214" s="215" t="n">
        <v>45230</v>
      </c>
      <c r="B13214" s="216" t="n">
        <v>9.4</v>
      </c>
      <c r="C13214" s="216" t="n">
        <v>16.56</v>
      </c>
      <c r="D13214" s="216" t="n">
        <v>1.083860993385315</v>
      </c>
      <c r="E13214" s="215" t="n">
        <v>45230</v>
      </c>
      <c r="F13214" s="215" t="n">
        <v>45230</v>
      </c>
    </row>
    <row r="13215">
      <c r="A13215" s="215" t="n">
        <v>45231</v>
      </c>
      <c r="B13215" s="216" t="n">
        <v>9.300000000000001</v>
      </c>
      <c r="C13215" s="216" t="n">
        <v>16.68</v>
      </c>
      <c r="D13215" s="216" t="n">
        <v>1.080816030502319</v>
      </c>
      <c r="E13215" s="215" t="n">
        <v>45231</v>
      </c>
      <c r="F13215" s="215" t="n">
        <v>45231</v>
      </c>
    </row>
    <row r="13216">
      <c r="A13216" s="215" t="n">
        <v>45232</v>
      </c>
      <c r="B13216" s="216" t="n">
        <v>9.42</v>
      </c>
      <c r="C13216" s="216" t="n">
        <v>16.82</v>
      </c>
      <c r="D13216" s="216" t="n">
        <v>1.081329941749573</v>
      </c>
      <c r="E13216" s="215" t="n">
        <v>45232</v>
      </c>
      <c r="F13216" s="215" t="n">
        <v>45232</v>
      </c>
    </row>
    <row r="13217">
      <c r="A13217" s="215" t="n">
        <v>45233</v>
      </c>
      <c r="B13217" s="216" t="n">
        <v>9.84</v>
      </c>
      <c r="C13217" s="216" t="n">
        <v>17.25</v>
      </c>
      <c r="D13217" s="216" t="n">
        <v>1.084671974182129</v>
      </c>
      <c r="E13217" s="215" t="n">
        <v>45233</v>
      </c>
      <c r="F13217" s="215" t="n">
        <v>45233</v>
      </c>
    </row>
    <row r="13218">
      <c r="A13218" s="215" t="n">
        <v>45236</v>
      </c>
      <c r="B13218" s="216" t="n">
        <v>10.32</v>
      </c>
      <c r="C13218" s="216" t="n">
        <v>17.63</v>
      </c>
      <c r="D13218" s="216" t="n">
        <v>1.096359014511108</v>
      </c>
      <c r="E13218" s="215" t="n">
        <v>45236</v>
      </c>
      <c r="F13218" s="215" t="n">
        <v>45236</v>
      </c>
    </row>
    <row r="13219">
      <c r="A13219" s="215" t="n">
        <v>45237</v>
      </c>
      <c r="B13219" s="216" t="n">
        <v>10.28</v>
      </c>
      <c r="C13219" s="216" t="n">
        <v>17.57</v>
      </c>
      <c r="D13219" s="216" t="n">
        <v>1.094547033309937</v>
      </c>
      <c r="E13219" s="215" t="n">
        <v>45237</v>
      </c>
      <c r="F13219" s="215" t="n">
        <v>45237</v>
      </c>
    </row>
    <row r="13220">
      <c r="A13220" s="215" t="n">
        <v>45238</v>
      </c>
      <c r="B13220" s="216" t="n">
        <v>10.04</v>
      </c>
      <c r="C13220" s="216" t="n">
        <v>17.5</v>
      </c>
      <c r="D13220" s="216" t="n">
        <v>1.092092037200928</v>
      </c>
      <c r="E13220" s="215" t="n">
        <v>45238</v>
      </c>
      <c r="F13220" s="215" t="n">
        <v>45238</v>
      </c>
    </row>
    <row r="13221">
      <c r="A13221" s="215" t="n">
        <v>45239</v>
      </c>
      <c r="B13221" s="216" t="n">
        <v>9.880000000000001</v>
      </c>
      <c r="C13221" s="216" t="n">
        <v>17.78</v>
      </c>
      <c r="D13221" s="216" t="n">
        <v>1.092741012573242</v>
      </c>
      <c r="E13221" s="215" t="n">
        <v>45239</v>
      </c>
      <c r="F13221" s="215" t="n">
        <v>45239</v>
      </c>
    </row>
    <row r="13222">
      <c r="A13222" s="215" t="n">
        <v>45240</v>
      </c>
      <c r="B13222" s="216" t="n">
        <v>9.58</v>
      </c>
      <c r="C13222" s="216" t="n">
        <v>17.51</v>
      </c>
      <c r="D13222" s="216" t="n">
        <v>1.087584972381592</v>
      </c>
      <c r="E13222" s="215" t="n">
        <v>45240</v>
      </c>
      <c r="F13222" s="215" t="n">
        <v>45240</v>
      </c>
    </row>
    <row r="13223">
      <c r="A13223" s="215" t="n">
        <v>45243</v>
      </c>
      <c r="B13223" s="216" t="n">
        <v>9.59</v>
      </c>
      <c r="C13223" s="216" t="n">
        <v>17.39</v>
      </c>
      <c r="D13223" s="216" t="n">
        <v>1.090304970741272</v>
      </c>
      <c r="E13223" s="215" t="n">
        <v>45243</v>
      </c>
      <c r="F13223" s="215" t="n">
        <v>45243</v>
      </c>
    </row>
    <row r="13224">
      <c r="A13224" s="215" t="n">
        <v>45244</v>
      </c>
      <c r="B13224" s="216" t="n">
        <v>9.74</v>
      </c>
      <c r="C13224" s="216" t="n">
        <v>17.34</v>
      </c>
      <c r="D13224" s="216" t="n">
        <v>1.091066956520081</v>
      </c>
      <c r="E13224" s="215" t="n">
        <v>45244</v>
      </c>
      <c r="F13224" s="215" t="n">
        <v>45244</v>
      </c>
    </row>
    <row r="13225">
      <c r="A13225" s="215" t="n">
        <v>45245</v>
      </c>
      <c r="B13225" s="216" t="n">
        <v>9.970000000000001</v>
      </c>
      <c r="C13225" s="216" t="n">
        <v>17.53</v>
      </c>
      <c r="D13225" s="216" t="n">
        <v>1.108688950538635</v>
      </c>
      <c r="E13225" s="215" t="n">
        <v>45245</v>
      </c>
      <c r="F13225" s="215" t="n">
        <v>45245</v>
      </c>
    </row>
    <row r="13226">
      <c r="A13226" s="215" t="n">
        <v>45246</v>
      </c>
      <c r="B13226" s="216" t="n">
        <v>9.84</v>
      </c>
      <c r="C13226" s="216" t="n">
        <v>17.49</v>
      </c>
      <c r="D13226" s="216" t="n">
        <v>1.106451988220215</v>
      </c>
      <c r="E13226" s="215" t="n">
        <v>45246</v>
      </c>
      <c r="F13226" s="215" t="n">
        <v>45246</v>
      </c>
    </row>
    <row r="13227">
      <c r="A13227" s="215" t="n">
        <v>45247</v>
      </c>
      <c r="B13227" s="216" t="n">
        <v>9.81</v>
      </c>
      <c r="C13227" s="216" t="n">
        <v>17.52</v>
      </c>
      <c r="D13227" s="216" t="n">
        <v>1.105692982673645</v>
      </c>
      <c r="E13227" s="215" t="n">
        <v>45247</v>
      </c>
      <c r="F13227" s="215" t="n">
        <v>45247</v>
      </c>
    </row>
    <row r="13228">
      <c r="A13228" s="215" t="n">
        <v>45250</v>
      </c>
      <c r="B13228" s="216" t="n">
        <v>10.5</v>
      </c>
      <c r="C13228" s="216" t="n">
        <v>19</v>
      </c>
      <c r="D13228" s="216" t="n">
        <v>1.110219955444336</v>
      </c>
      <c r="E13228" s="215" t="n">
        <v>45250</v>
      </c>
      <c r="F13228" s="215" t="n">
        <v>45250</v>
      </c>
    </row>
    <row r="13229">
      <c r="A13229" s="215" t="n">
        <v>45251</v>
      </c>
      <c r="B13229" s="216" t="n">
        <v>10.34</v>
      </c>
      <c r="C13229" s="216" t="n">
        <v>18.61</v>
      </c>
      <c r="D13229" s="216" t="n">
        <v>1.113530039787292</v>
      </c>
      <c r="E13229" s="215" t="n">
        <v>45251</v>
      </c>
      <c r="F13229" s="215" t="n">
        <v>45251</v>
      </c>
    </row>
    <row r="13230">
      <c r="A13230" s="215" t="n">
        <v>45252</v>
      </c>
      <c r="B13230" s="216" t="n">
        <v>10.12</v>
      </c>
      <c r="C13230" s="216" t="n">
        <v>18.19</v>
      </c>
      <c r="D13230" s="216" t="n">
        <v>1.11102294921875</v>
      </c>
      <c r="E13230" s="215" t="n">
        <v>45252</v>
      </c>
      <c r="F13230" s="215" t="n">
        <v>45252</v>
      </c>
    </row>
    <row r="13231">
      <c r="A13231" s="215" t="n">
        <v>45253</v>
      </c>
      <c r="B13231" s="216" t="n">
        <v>10.32</v>
      </c>
      <c r="C13231" s="216" t="n">
        <v>18.6</v>
      </c>
      <c r="D13231" s="216" t="n">
        <v>1.10846996307373</v>
      </c>
      <c r="E13231" s="215" t="n">
        <v>45253</v>
      </c>
      <c r="F13231" s="215" t="n">
        <v>45253</v>
      </c>
    </row>
    <row r="13232">
      <c r="A13232" s="215" t="n">
        <v>45254</v>
      </c>
      <c r="B13232" s="216" t="n">
        <v>10.32</v>
      </c>
      <c r="C13232" s="216" t="n">
        <v>18.35</v>
      </c>
      <c r="D13232" s="216" t="n">
        <v>1.110196948051453</v>
      </c>
      <c r="E13232" s="215" t="n">
        <v>45254</v>
      </c>
      <c r="F13232" s="215" t="n">
        <v>45254</v>
      </c>
    </row>
    <row r="13233">
      <c r="A13233" s="215" t="n">
        <v>45257</v>
      </c>
      <c r="B13233" s="216" t="n">
        <v>10.2</v>
      </c>
      <c r="C13233" s="216" t="n">
        <v>18.65</v>
      </c>
      <c r="D13233" s="216" t="n">
        <v>1.113034963607788</v>
      </c>
      <c r="E13233" s="215" t="n">
        <v>45257</v>
      </c>
      <c r="F13233" s="215" t="n">
        <v>45257</v>
      </c>
    </row>
    <row r="13234">
      <c r="A13234" s="215" t="n">
        <v>45258</v>
      </c>
      <c r="B13234" s="216" t="n">
        <v>10.2</v>
      </c>
      <c r="C13234" s="216" t="n">
        <v>18.66</v>
      </c>
      <c r="D13234" s="216" t="n">
        <v>1.114474058151245</v>
      </c>
      <c r="E13234" s="215" t="n">
        <v>45258</v>
      </c>
      <c r="F13234" s="215" t="n">
        <v>45258</v>
      </c>
    </row>
    <row r="13235">
      <c r="A13235" s="215" t="n">
        <v>45259</v>
      </c>
      <c r="B13235" s="216" t="n">
        <v>10.26</v>
      </c>
      <c r="C13235" s="216" t="n">
        <v>19</v>
      </c>
      <c r="D13235" s="216" t="n">
        <v>1.119948983192444</v>
      </c>
      <c r="E13235" s="215" t="n">
        <v>45259</v>
      </c>
      <c r="F13235" s="215" t="n">
        <v>45259</v>
      </c>
    </row>
    <row r="13236">
      <c r="A13236" s="215" t="n">
        <v>45260</v>
      </c>
      <c r="B13236" s="216" t="n">
        <v>10.38</v>
      </c>
      <c r="C13236" s="216" t="n">
        <v>19.79</v>
      </c>
      <c r="D13236" s="216" t="n">
        <v>1.118155956268311</v>
      </c>
      <c r="E13236" s="215" t="n">
        <v>45260</v>
      </c>
      <c r="F13236" s="215" t="n">
        <v>45260</v>
      </c>
    </row>
    <row r="13237">
      <c r="A13237" s="215" t="n">
        <v>45261</v>
      </c>
      <c r="B13237" s="216" t="n">
        <v>10.1</v>
      </c>
      <c r="C13237" s="216" t="n">
        <v>19.28</v>
      </c>
      <c r="D13237" s="216" t="n">
        <v>1.110759019851685</v>
      </c>
      <c r="E13237" s="215" t="n">
        <v>45261</v>
      </c>
      <c r="F13237" s="215" t="n">
        <v>45261</v>
      </c>
    </row>
    <row r="13238">
      <c r="A13238" s="215" t="n">
        <v>45264</v>
      </c>
      <c r="B13238" s="216" t="n">
        <v>9.94</v>
      </c>
      <c r="C13238" s="216" t="n">
        <v>19.72</v>
      </c>
      <c r="D13238" s="216" t="n">
        <v>1.110934019088745</v>
      </c>
      <c r="E13238" s="215" t="n">
        <v>45264</v>
      </c>
      <c r="F13238" s="215" t="n">
        <v>45264</v>
      </c>
    </row>
    <row r="13239">
      <c r="A13239" s="215" t="n">
        <v>45265</v>
      </c>
      <c r="B13239" s="216" t="n">
        <v>9.779999999999999</v>
      </c>
      <c r="C13239" s="216" t="n">
        <v>19.47</v>
      </c>
      <c r="D13239" s="216" t="n">
        <v>1.105996012687683</v>
      </c>
      <c r="E13239" s="215" t="n">
        <v>45265</v>
      </c>
      <c r="F13239" s="215" t="n">
        <v>45265</v>
      </c>
    </row>
    <row r="13240">
      <c r="A13240" s="215" t="n">
        <v>45266</v>
      </c>
      <c r="B13240" s="216" t="n">
        <v>10.1</v>
      </c>
      <c r="C13240" s="216" t="n">
        <v>19.5</v>
      </c>
      <c r="D13240" s="216" t="n">
        <v>1.101930975914001</v>
      </c>
      <c r="E13240" s="215" t="n">
        <v>45266</v>
      </c>
      <c r="F13240" s="215" t="n">
        <v>45266</v>
      </c>
    </row>
    <row r="13241">
      <c r="A13241" s="215" t="n">
        <v>45267</v>
      </c>
      <c r="B13241" s="216" t="n">
        <v>10</v>
      </c>
      <c r="C13241" s="216" t="n">
        <v>19.32</v>
      </c>
      <c r="D13241" s="216" t="n">
        <v>1.098016023635864</v>
      </c>
      <c r="E13241" s="215" t="n">
        <v>45267</v>
      </c>
      <c r="F13241" s="215" t="n">
        <v>45267</v>
      </c>
    </row>
    <row r="13242">
      <c r="A13242" s="215" t="n">
        <v>45268</v>
      </c>
      <c r="B13242" s="216" t="n">
        <v>9.91</v>
      </c>
      <c r="C13242" s="216" t="n">
        <v>18.95</v>
      </c>
      <c r="D13242" s="216" t="n">
        <v>1.100576043128967</v>
      </c>
      <c r="E13242" s="215" t="n">
        <v>45268</v>
      </c>
      <c r="F13242" s="215" t="n">
        <v>45268</v>
      </c>
    </row>
    <row r="13243">
      <c r="A13243" s="215" t="n">
        <v>45271</v>
      </c>
      <c r="B13243" s="216" t="n">
        <v>10</v>
      </c>
      <c r="C13243" s="216" t="n">
        <v>19.35</v>
      </c>
      <c r="D13243" s="216" t="n">
        <v>1.097795963287354</v>
      </c>
      <c r="E13243" s="215" t="n">
        <v>45271</v>
      </c>
      <c r="F13243" s="215" t="n">
        <v>45271</v>
      </c>
    </row>
    <row r="13244">
      <c r="A13244" s="215" t="n">
        <v>45272</v>
      </c>
      <c r="B13244" s="216" t="n">
        <v>10.02</v>
      </c>
      <c r="C13244" s="216" t="n">
        <v>19.5</v>
      </c>
      <c r="D13244" s="216" t="n">
        <v>1.097154974937439</v>
      </c>
      <c r="E13244" s="215" t="n">
        <v>45272</v>
      </c>
      <c r="F13244" s="215" t="n">
        <v>45272</v>
      </c>
    </row>
    <row r="13245">
      <c r="A13245" s="215" t="n">
        <v>45273</v>
      </c>
      <c r="B13245" s="216" t="n">
        <v>10.32</v>
      </c>
      <c r="C13245" s="216" t="n">
        <v>19.7</v>
      </c>
      <c r="D13245" s="216" t="n">
        <v>1.101083993911743</v>
      </c>
      <c r="E13245" s="215" t="n">
        <v>45273</v>
      </c>
      <c r="F13245" s="215" t="n">
        <v>45273</v>
      </c>
    </row>
    <row r="13246">
      <c r="A13246" s="215" t="n">
        <v>45274</v>
      </c>
      <c r="B13246" s="216" t="n">
        <v>10.18</v>
      </c>
      <c r="C13246" s="216" t="n">
        <v>19.53</v>
      </c>
      <c r="D13246" s="216" t="n">
        <v>1.109936952590942</v>
      </c>
      <c r="E13246" s="215" t="n">
        <v>45274</v>
      </c>
      <c r="F13246" s="215" t="n">
        <v>45274</v>
      </c>
    </row>
    <row r="13247">
      <c r="A13247" s="215" t="n">
        <v>45275</v>
      </c>
      <c r="B13247" s="216" t="n">
        <v>10.08</v>
      </c>
      <c r="C13247" s="216" t="n">
        <v>19.55</v>
      </c>
      <c r="D13247" s="216" t="n">
        <v>1.120489954948425</v>
      </c>
      <c r="E13247" s="215" t="n">
        <v>45275</v>
      </c>
      <c r="F13247" s="215" t="n">
        <v>45275</v>
      </c>
    </row>
    <row r="13248">
      <c r="A13248" s="215" t="n">
        <v>45278</v>
      </c>
      <c r="B13248" s="216" t="n">
        <v>9.93</v>
      </c>
      <c r="C13248" s="216" t="n">
        <v>19.52</v>
      </c>
      <c r="D13248" s="216" t="n">
        <v>1.110012054443359</v>
      </c>
      <c r="E13248" s="215" t="n">
        <v>45278</v>
      </c>
      <c r="F13248" s="215" t="n">
        <v>45278</v>
      </c>
    </row>
    <row r="13249">
      <c r="A13249" s="215" t="n">
        <v>45279</v>
      </c>
      <c r="B13249" s="216" t="n">
        <v>9.869999999999999</v>
      </c>
      <c r="C13249" s="216" t="n">
        <v>19.55</v>
      </c>
      <c r="D13249" s="216" t="n">
        <v>1.111768007278442</v>
      </c>
      <c r="E13249" s="215" t="n">
        <v>45279</v>
      </c>
      <c r="F13249" s="215" t="n">
        <v>45279</v>
      </c>
    </row>
    <row r="13250">
      <c r="A13250" s="215" t="n">
        <v>45280</v>
      </c>
      <c r="B13250" s="216" t="n">
        <v>9.73</v>
      </c>
      <c r="C13250" s="216" t="n">
        <v>19.14</v>
      </c>
      <c r="D13250" s="216" t="n">
        <v>1.118278980255127</v>
      </c>
      <c r="E13250" s="215" t="n">
        <v>45280</v>
      </c>
      <c r="F13250" s="215" t="n">
        <v>45280</v>
      </c>
    </row>
    <row r="13251">
      <c r="A13251" s="215" t="n">
        <v>45281</v>
      </c>
      <c r="B13251" s="216" t="n">
        <v>9.9</v>
      </c>
      <c r="C13251" s="216" t="n">
        <v>19.86</v>
      </c>
      <c r="D13251" s="216" t="n">
        <v>1.115596055984497</v>
      </c>
      <c r="E13251" s="215" t="n">
        <v>45281</v>
      </c>
      <c r="F13251" s="215" t="n">
        <v>45281</v>
      </c>
    </row>
    <row r="13252">
      <c r="A13252" s="215" t="n">
        <v>45282</v>
      </c>
      <c r="B13252" s="216" t="n">
        <v>9.9</v>
      </c>
      <c r="C13252" s="216" t="n">
        <v>20.42</v>
      </c>
      <c r="D13252" s="216" t="n">
        <v>1.122302055358887</v>
      </c>
      <c r="E13252" s="215" t="n">
        <v>45282</v>
      </c>
      <c r="F13252" s="215" t="n">
        <v>45282</v>
      </c>
    </row>
    <row r="13253">
      <c r="A13253" s="215" t="n">
        <v>45287</v>
      </c>
      <c r="B13253" s="216" t="n">
        <v>10.02</v>
      </c>
      <c r="C13253" s="216" t="n">
        <v>20.25</v>
      </c>
      <c r="D13253" s="216" t="n">
        <v>1.125676989555359</v>
      </c>
      <c r="E13253" s="215" t="n">
        <v>45287</v>
      </c>
      <c r="F13253" s="215" t="n">
        <v>45287</v>
      </c>
    </row>
    <row r="13254">
      <c r="A13254" s="215" t="n">
        <v>45288</v>
      </c>
      <c r="B13254" s="216" t="n">
        <v>10.16</v>
      </c>
      <c r="C13254" s="216" t="n">
        <v>20.38</v>
      </c>
      <c r="D13254" s="216" t="n">
        <v>1.132581949234009</v>
      </c>
      <c r="E13254" s="215" t="n">
        <v>45288</v>
      </c>
      <c r="F13254" s="215" t="n">
        <v>45288</v>
      </c>
    </row>
    <row r="13255">
      <c r="A13255" s="215" t="n">
        <v>45289</v>
      </c>
      <c r="B13255" s="216" t="n">
        <v>10.04</v>
      </c>
      <c r="C13255" s="216" t="n">
        <v>20.22</v>
      </c>
      <c r="D13255" s="216" t="n">
        <v>1.128918051719666</v>
      </c>
      <c r="E13255" s="215" t="n">
        <v>45289</v>
      </c>
      <c r="F13255" s="215" t="n">
        <v>45289</v>
      </c>
    </row>
    <row r="13256">
      <c r="A13256" s="215" t="n">
        <v>45293</v>
      </c>
      <c r="B13256" s="216" t="n">
        <v>10</v>
      </c>
      <c r="C13256" s="216" t="n">
        <v>20.45</v>
      </c>
      <c r="D13256" s="216" t="n">
        <v>1.125501990318298</v>
      </c>
      <c r="E13256" s="215" t="n">
        <v>45293</v>
      </c>
      <c r="F13256" s="215" t="n">
        <v>45293</v>
      </c>
    </row>
    <row r="13257">
      <c r="A13257" s="215" t="n">
        <v>45294</v>
      </c>
      <c r="B13257" s="216" t="n">
        <v>9.789999999999999</v>
      </c>
      <c r="C13257" s="216" t="n">
        <v>19.38</v>
      </c>
      <c r="D13257" s="216" t="n">
        <v>1.116525053977966</v>
      </c>
      <c r="E13257" s="215" t="n">
        <v>45294</v>
      </c>
      <c r="F13257" s="215" t="n">
        <v>45294</v>
      </c>
    </row>
    <row r="13258">
      <c r="A13258" s="215" t="n">
        <v>45295</v>
      </c>
      <c r="B13258" s="216" t="n">
        <v>9.640000000000001</v>
      </c>
      <c r="C13258" s="216" t="n">
        <v>19.16</v>
      </c>
      <c r="D13258" s="216" t="n">
        <v>1.113739013671875</v>
      </c>
      <c r="E13258" s="215" t="n">
        <v>45295</v>
      </c>
      <c r="F13258" s="215" t="n">
        <v>45295</v>
      </c>
    </row>
    <row r="13259">
      <c r="A13259" s="215" t="n">
        <v>45296</v>
      </c>
      <c r="B13259" s="216" t="n">
        <v>9.529999999999999</v>
      </c>
      <c r="C13259" s="216" t="n">
        <v>19.06</v>
      </c>
      <c r="D13259" s="216" t="n">
        <v>1.116189956665039</v>
      </c>
      <c r="E13259" s="215" t="n">
        <v>45296</v>
      </c>
      <c r="F13259" s="215" t="n">
        <v>45296</v>
      </c>
    </row>
    <row r="13260">
      <c r="A13260" s="215" t="n">
        <v>45299</v>
      </c>
      <c r="B13260" s="216" t="n">
        <v>9.359999999999999</v>
      </c>
      <c r="C13260" s="216" t="n">
        <v>18.55</v>
      </c>
      <c r="D13260" s="216" t="n">
        <v>1.116019010543823</v>
      </c>
      <c r="E13260" s="215" t="n">
        <v>45299</v>
      </c>
      <c r="F13260" s="215" t="n">
        <v>45299</v>
      </c>
    </row>
    <row r="13261">
      <c r="A13261" s="215" t="n">
        <v>45300</v>
      </c>
      <c r="B13261" s="216" t="n">
        <v>9.44</v>
      </c>
      <c r="C13261" s="216" t="n">
        <v>18.67</v>
      </c>
      <c r="D13261" s="216" t="n">
        <v>1.116075992584229</v>
      </c>
      <c r="E13261" s="215" t="n">
        <v>45300</v>
      </c>
      <c r="F13261" s="215" t="n">
        <v>45300</v>
      </c>
    </row>
    <row r="13262">
      <c r="A13262" s="215" t="n">
        <v>45301</v>
      </c>
      <c r="B13262" s="216" t="n">
        <v>9.43</v>
      </c>
      <c r="C13262" s="216" t="n">
        <v>18.5</v>
      </c>
      <c r="D13262" s="216" t="n">
        <v>1.115636944770813</v>
      </c>
      <c r="E13262" s="215" t="n">
        <v>45301</v>
      </c>
      <c r="F13262" s="215" t="n">
        <v>45301</v>
      </c>
    </row>
    <row r="13263">
      <c r="A13263" s="215" t="n">
        <v>45302</v>
      </c>
      <c r="B13263" s="216" t="n">
        <v>9.41</v>
      </c>
      <c r="C13263" s="216" t="n">
        <v>18.75</v>
      </c>
      <c r="D13263" s="216" t="n">
        <v>1.120515942573547</v>
      </c>
      <c r="E13263" s="215" t="n">
        <v>45302</v>
      </c>
      <c r="F13263" s="215" t="n">
        <v>45302</v>
      </c>
    </row>
    <row r="13264">
      <c r="A13264" s="215" t="n">
        <v>45303</v>
      </c>
      <c r="B13264" s="216" t="n">
        <v>9.26</v>
      </c>
      <c r="C13264" s="216" t="n">
        <v>18.6</v>
      </c>
      <c r="D13264" s="216" t="n">
        <v>1.120725035667419</v>
      </c>
      <c r="E13264" s="215" t="n">
        <v>45303</v>
      </c>
      <c r="F13264" s="215" t="n">
        <v>45303</v>
      </c>
    </row>
    <row r="13265">
      <c r="A13265" s="215" t="n">
        <v>45306</v>
      </c>
      <c r="B13265" s="216" t="n">
        <v>9.039999999999999</v>
      </c>
      <c r="C13265" s="216" t="n">
        <v>18.35</v>
      </c>
      <c r="D13265" s="216" t="n">
        <v>1.117622017860413</v>
      </c>
      <c r="E13265" s="215" t="n">
        <v>45306</v>
      </c>
      <c r="F13265" s="215" t="n">
        <v>45306</v>
      </c>
    </row>
    <row r="13266">
      <c r="A13266" s="215" t="n">
        <v>45307</v>
      </c>
      <c r="B13266" s="216" t="n">
        <v>8.859999999999999</v>
      </c>
      <c r="C13266" s="216" t="n">
        <v>18.28</v>
      </c>
      <c r="D13266" s="216" t="n">
        <v>1.118000030517578</v>
      </c>
      <c r="E13266" s="215" t="n">
        <v>45307</v>
      </c>
      <c r="F13266" s="215" t="n">
        <v>45307</v>
      </c>
    </row>
    <row r="13267">
      <c r="A13267" s="215" t="n">
        <v>45308</v>
      </c>
      <c r="B13267" s="216" t="n">
        <v>8.210000000000001</v>
      </c>
      <c r="C13267" s="216" t="n">
        <v>17.72</v>
      </c>
      <c r="D13267" s="216" t="n">
        <v>1.111650943756104</v>
      </c>
      <c r="E13267" s="215" t="n">
        <v>45308</v>
      </c>
      <c r="F13267" s="215" t="n">
        <v>45308</v>
      </c>
    </row>
    <row r="13268">
      <c r="A13268" s="215" t="n">
        <v>45309</v>
      </c>
      <c r="B13268" s="216" t="n">
        <v>8.1</v>
      </c>
      <c r="C13268" s="216" t="n">
        <v>17.6</v>
      </c>
      <c r="D13268" s="216" t="n">
        <v>1.111701965332031</v>
      </c>
      <c r="E13268" s="215" t="n">
        <v>45309</v>
      </c>
      <c r="F13268" s="215" t="n">
        <v>45309</v>
      </c>
    </row>
    <row r="13269">
      <c r="A13269" s="215" t="n">
        <v>45310</v>
      </c>
      <c r="B13269" s="216" t="n">
        <v>8</v>
      </c>
      <c r="C13269" s="216" t="n">
        <v>17.12</v>
      </c>
      <c r="D13269" s="216" t="n">
        <v>1.111027956008911</v>
      </c>
      <c r="E13269" s="215" t="n">
        <v>45310</v>
      </c>
      <c r="F13269" s="215" t="n">
        <v>45310</v>
      </c>
    </row>
    <row r="13270">
      <c r="A13270" s="215" t="n">
        <v>45313</v>
      </c>
      <c r="B13270" s="216" t="n">
        <v>7.48</v>
      </c>
      <c r="C13270" s="216" t="n">
        <v>16.16</v>
      </c>
      <c r="D13270" s="216" t="n">
        <v>1.111721038818359</v>
      </c>
      <c r="E13270" s="215" t="n">
        <v>45313</v>
      </c>
      <c r="F13270" s="215" t="n">
        <v>45313</v>
      </c>
    </row>
    <row r="13271">
      <c r="A13271" s="215" t="n">
        <v>45314</v>
      </c>
      <c r="B13271" s="216" t="n">
        <v>7.58</v>
      </c>
      <c r="C13271" s="216" t="n">
        <v>16.41</v>
      </c>
      <c r="D13271" s="216" t="n">
        <v>1.110329031944275</v>
      </c>
      <c r="E13271" s="215" t="n">
        <v>45314</v>
      </c>
      <c r="F13271" s="215" t="n">
        <v>45314</v>
      </c>
    </row>
    <row r="13272">
      <c r="A13272" s="215" t="n">
        <v>45315</v>
      </c>
      <c r="B13272" s="216" t="n">
        <v>7.64</v>
      </c>
      <c r="C13272" s="216" t="n">
        <v>16.59</v>
      </c>
      <c r="D13272" s="216" t="n">
        <v>1.108868002891541</v>
      </c>
      <c r="E13272" s="215" t="n">
        <v>45315</v>
      </c>
      <c r="F13272" s="215" t="n">
        <v>45315</v>
      </c>
    </row>
    <row r="13273">
      <c r="A13273" s="215" t="n">
        <v>45316</v>
      </c>
      <c r="B13273" s="216" t="n">
        <v>7.72</v>
      </c>
      <c r="C13273" s="216" t="n">
        <v>16.54</v>
      </c>
      <c r="D13273" s="216" t="n">
        <v>1.110738039016724</v>
      </c>
      <c r="E13273" s="215" t="n">
        <v>45316</v>
      </c>
      <c r="F13273" s="215" t="n">
        <v>45316</v>
      </c>
    </row>
    <row r="13274">
      <c r="A13274" s="215" t="n">
        <v>45317</v>
      </c>
      <c r="B13274" s="216" t="n">
        <v>7.42</v>
      </c>
      <c r="C13274" s="216" t="n">
        <v>15.87</v>
      </c>
      <c r="D13274" s="216" t="n">
        <v>1.10723602771759</v>
      </c>
      <c r="E13274" s="215" t="n">
        <v>45317</v>
      </c>
      <c r="F13274" s="215" t="n">
        <v>45317</v>
      </c>
    </row>
    <row r="13275">
      <c r="A13275" s="215" t="n">
        <v>45320</v>
      </c>
      <c r="B13275" s="216" t="n">
        <v>7.67</v>
      </c>
      <c r="C13275" s="216" t="n">
        <v>15.87</v>
      </c>
      <c r="D13275" s="216" t="n">
        <v>1.10621702671051</v>
      </c>
      <c r="E13275" s="215" t="n">
        <v>45320</v>
      </c>
      <c r="F13275" s="215" t="n">
        <v>45320</v>
      </c>
    </row>
    <row r="13276">
      <c r="A13276" s="215" t="n">
        <v>45321</v>
      </c>
      <c r="B13276" s="216" t="n">
        <v>7.32</v>
      </c>
      <c r="C13276" s="216" t="n">
        <v>15.42</v>
      </c>
      <c r="D13276" s="216" t="n">
        <v>1.105329036712646</v>
      </c>
      <c r="E13276" s="215" t="n">
        <v>45321</v>
      </c>
      <c r="F13276" s="215" t="n">
        <v>45321</v>
      </c>
    </row>
    <row r="13277">
      <c r="A13277" s="215" t="n">
        <v>45322</v>
      </c>
      <c r="B13277" s="216" t="n">
        <v>6.93</v>
      </c>
      <c r="C13277" s="216" t="n">
        <v>14.75</v>
      </c>
      <c r="D13277" s="216" t="n">
        <v>1.106791973114014</v>
      </c>
      <c r="E13277" s="215" t="n">
        <v>45322</v>
      </c>
      <c r="F13277" s="215" t="n">
        <v>45322</v>
      </c>
    </row>
    <row r="13278">
      <c r="A13278" s="215" t="n">
        <v>45323</v>
      </c>
      <c r="B13278" s="216" t="n">
        <v>6.76</v>
      </c>
      <c r="C13278" s="216" t="n">
        <v>14.41</v>
      </c>
      <c r="D13278" s="216" t="n">
        <v>1.102612972259521</v>
      </c>
      <c r="E13278" s="215" t="n">
        <v>45323</v>
      </c>
      <c r="F13278" s="215" t="n">
        <v>45323</v>
      </c>
    </row>
    <row r="13279">
      <c r="A13279" s="215" t="n">
        <v>45324</v>
      </c>
      <c r="B13279" s="216" t="n">
        <v>6.7</v>
      </c>
      <c r="C13279" s="216" t="n">
        <v>14.16</v>
      </c>
      <c r="D13279" s="216" t="n">
        <v>1.110376000404358</v>
      </c>
      <c r="E13279" s="215" t="n">
        <v>45324</v>
      </c>
      <c r="F13279" s="215" t="n">
        <v>45324</v>
      </c>
    </row>
    <row r="13280">
      <c r="A13280" s="215" t="n">
        <v>45327</v>
      </c>
      <c r="B13280" s="216" t="n">
        <v>6.64</v>
      </c>
      <c r="C13280" s="216" t="n">
        <v>13.67</v>
      </c>
      <c r="D13280" s="216" t="n">
        <v>1.100926041603088</v>
      </c>
      <c r="E13280" s="215" t="n">
        <v>45327</v>
      </c>
      <c r="F13280" s="215" t="n">
        <v>45327</v>
      </c>
    </row>
    <row r="13281">
      <c r="A13281" s="215" t="n">
        <v>45328</v>
      </c>
      <c r="B13281" s="216" t="n">
        <v>7.02</v>
      </c>
      <c r="C13281" s="216" t="n">
        <v>15.08</v>
      </c>
      <c r="D13281" s="216" t="n">
        <v>1.097015976905823</v>
      </c>
      <c r="E13281" s="215" t="n">
        <v>45328</v>
      </c>
      <c r="F13281" s="215" t="n">
        <v>45328</v>
      </c>
    </row>
    <row r="13282">
      <c r="A13282" s="215" t="n">
        <v>45329</v>
      </c>
      <c r="B13282" s="216" t="n">
        <v>7.04</v>
      </c>
      <c r="C13282" s="216" t="n">
        <v>16.32</v>
      </c>
      <c r="D13282" s="216" t="n">
        <v>1.098708987236023</v>
      </c>
      <c r="E13282" s="215" t="n">
        <v>45329</v>
      </c>
      <c r="F13282" s="215" t="n">
        <v>45329</v>
      </c>
    </row>
    <row r="13283">
      <c r="A13283" s="215" t="n">
        <v>45330</v>
      </c>
      <c r="B13283" s="216" t="n">
        <v>7.08</v>
      </c>
      <c r="C13283" s="216" t="n">
        <v>16.47</v>
      </c>
      <c r="D13283" s="216" t="n">
        <v>1.100044012069702</v>
      </c>
      <c r="E13283" s="215" t="n">
        <v>45330</v>
      </c>
      <c r="F13283" s="215" t="n">
        <v>45330</v>
      </c>
    </row>
    <row r="13284">
      <c r="A13284" s="215" t="n">
        <v>45331</v>
      </c>
      <c r="B13284" s="216" t="n">
        <v>6.96</v>
      </c>
      <c r="C13284" s="216" t="n">
        <v>16.47</v>
      </c>
      <c r="D13284" s="216" t="n">
        <v>1.100633025169373</v>
      </c>
      <c r="E13284" s="215" t="n">
        <v>45330</v>
      </c>
      <c r="F13284" s="215" t="n">
        <v>45331</v>
      </c>
    </row>
    <row r="13285">
      <c r="A13285" s="215" t="n">
        <v>45336</v>
      </c>
      <c r="B13285" s="216" t="n">
        <v>6.88</v>
      </c>
      <c r="C13285" s="216" t="n">
        <v>16.47</v>
      </c>
      <c r="D13285" s="216" t="n">
        <v>1.093312978744507</v>
      </c>
      <c r="E13285" s="215" t="n">
        <v>45330</v>
      </c>
      <c r="F13285" s="215" t="n">
        <v>45336</v>
      </c>
    </row>
    <row r="13286">
      <c r="A13286" s="215" t="n">
        <v>45337</v>
      </c>
      <c r="B13286" s="216" t="n">
        <v>6.7</v>
      </c>
      <c r="C13286" s="216" t="n">
        <v>16.47</v>
      </c>
      <c r="D13286" s="216" t="n">
        <v>1.095546960830688</v>
      </c>
      <c r="E13286" s="215" t="n">
        <v>45330</v>
      </c>
      <c r="F13286" s="215" t="n">
        <v>45337</v>
      </c>
    </row>
    <row r="13287">
      <c r="A13287" s="215" t="n">
        <v>45338</v>
      </c>
      <c r="B13287" s="216" t="n">
        <v>7.31</v>
      </c>
      <c r="C13287" s="216" t="n">
        <v>16.47</v>
      </c>
      <c r="D13287" s="216" t="n">
        <v>1.100026965141296</v>
      </c>
      <c r="E13287" s="215" t="n">
        <v>45330</v>
      </c>
      <c r="F13287" s="215" t="n">
        <v>45338</v>
      </c>
    </row>
    <row r="13288">
      <c r="A13288" s="215" t="n">
        <v>45341</v>
      </c>
      <c r="B13288" s="216" t="n">
        <v>6.88</v>
      </c>
      <c r="C13288" s="216" t="n">
        <v>16.24</v>
      </c>
      <c r="D13288" s="216" t="n">
        <v>1.10134494304657</v>
      </c>
      <c r="E13288" s="215" t="n">
        <v>45341</v>
      </c>
      <c r="F13288" s="215" t="n">
        <v>45341</v>
      </c>
    </row>
    <row r="13289">
      <c r="A13289" s="215" t="n">
        <v>45342</v>
      </c>
      <c r="B13289" s="216" t="n">
        <v>6.89</v>
      </c>
      <c r="C13289" s="216" t="n">
        <v>15.95</v>
      </c>
      <c r="D13289" s="216" t="n">
        <v>1.100348949432373</v>
      </c>
      <c r="E13289" s="215" t="n">
        <v>45342</v>
      </c>
      <c r="F13289" s="215" t="n">
        <v>45342</v>
      </c>
    </row>
    <row r="13290">
      <c r="A13290" s="215" t="n">
        <v>45343</v>
      </c>
      <c r="B13290" s="216" t="n">
        <v>7.05</v>
      </c>
      <c r="C13290" s="216" t="n">
        <v>16.25</v>
      </c>
      <c r="D13290" s="216" t="n">
        <v>1.104022026062012</v>
      </c>
      <c r="E13290" s="215" t="n">
        <v>45343</v>
      </c>
      <c r="F13290" s="215" t="n">
        <v>45343</v>
      </c>
    </row>
    <row r="13291">
      <c r="A13291" s="215" t="n">
        <v>45344</v>
      </c>
      <c r="B13291" s="216" t="n">
        <v>7.07</v>
      </c>
      <c r="C13291" s="216" t="n">
        <v>16.29</v>
      </c>
      <c r="D13291" s="216" t="n">
        <v>1.104943990707397</v>
      </c>
      <c r="E13291" s="215" t="n">
        <v>45344</v>
      </c>
      <c r="F13291" s="215" t="n">
        <v>45344</v>
      </c>
    </row>
    <row r="13292">
      <c r="A13292" s="215" t="n">
        <v>45345</v>
      </c>
      <c r="B13292" s="216" t="n">
        <v>7.16</v>
      </c>
      <c r="C13292" s="216" t="n">
        <v>17.05</v>
      </c>
      <c r="D13292" s="216" t="n">
        <v>1.105702996253967</v>
      </c>
      <c r="E13292" s="215" t="n">
        <v>45345</v>
      </c>
      <c r="F13292" s="215" t="n">
        <v>45345</v>
      </c>
    </row>
    <row r="13293">
      <c r="A13293" s="215" t="n">
        <v>45348</v>
      </c>
      <c r="B13293" s="216" t="n">
        <v>7.19</v>
      </c>
      <c r="C13293" s="216" t="n">
        <v>17.71</v>
      </c>
      <c r="D13293" s="216" t="n">
        <v>1.105378985404968</v>
      </c>
      <c r="E13293" s="215" t="n">
        <v>45348</v>
      </c>
      <c r="F13293" s="215" t="n">
        <v>45348</v>
      </c>
    </row>
    <row r="13294">
      <c r="A13294" s="215" t="n">
        <v>45349</v>
      </c>
      <c r="B13294" s="216" t="n">
        <v>7.48</v>
      </c>
      <c r="C13294" s="216" t="n">
        <v>17.86</v>
      </c>
      <c r="D13294" s="216" t="n">
        <v>1.108508944511414</v>
      </c>
      <c r="E13294" s="215" t="n">
        <v>45349</v>
      </c>
      <c r="F13294" s="215" t="n">
        <v>45349</v>
      </c>
    </row>
    <row r="13295">
      <c r="A13295" s="215" t="n">
        <v>45350</v>
      </c>
      <c r="B13295" s="216" t="n">
        <v>7.26</v>
      </c>
      <c r="C13295" s="216" t="n">
        <v>16.91</v>
      </c>
      <c r="D13295" s="216" t="n">
        <v>1.107692956924438</v>
      </c>
      <c r="E13295" s="215" t="n">
        <v>45350</v>
      </c>
      <c r="F13295" s="215" t="n">
        <v>45350</v>
      </c>
    </row>
    <row r="13296">
      <c r="A13296" s="215" t="n">
        <v>45351</v>
      </c>
      <c r="B13296" s="216" t="n">
        <v>7.4</v>
      </c>
      <c r="C13296" s="216" t="n">
        <v>17.42</v>
      </c>
      <c r="D13296" s="216" t="n">
        <v>1.107548952102661</v>
      </c>
      <c r="E13296" s="215" t="n">
        <v>45351</v>
      </c>
      <c r="F13296" s="215" t="n">
        <v>45351</v>
      </c>
    </row>
    <row r="13297">
      <c r="A13297" s="215" t="n">
        <v>45352</v>
      </c>
      <c r="B13297" s="216" t="n">
        <v>7.48</v>
      </c>
      <c r="C13297" s="216" t="n">
        <v>17.45</v>
      </c>
      <c r="D13297" s="216" t="n">
        <v>1.104398965835571</v>
      </c>
      <c r="E13297" s="215" t="n">
        <v>45352</v>
      </c>
      <c r="F13297" s="215" t="n">
        <v>45352</v>
      </c>
    </row>
    <row r="13298">
      <c r="A13298" s="215" t="n">
        <v>45355</v>
      </c>
      <c r="B13298" s="216" t="n">
        <v>7.27</v>
      </c>
      <c r="C13298" s="216" t="n">
        <v>17.24</v>
      </c>
      <c r="D13298" s="216" t="n">
        <v>1.108315944671631</v>
      </c>
      <c r="E13298" s="215" t="n">
        <v>45355</v>
      </c>
      <c r="F13298" s="215" t="n">
        <v>45355</v>
      </c>
    </row>
    <row r="13299">
      <c r="A13299" s="215" t="n">
        <v>45356</v>
      </c>
      <c r="B13299" s="216" t="n">
        <v>7.26</v>
      </c>
      <c r="C13299" s="216" t="n">
        <v>17.3</v>
      </c>
      <c r="D13299" s="216" t="n">
        <v>1.109019041061401</v>
      </c>
      <c r="E13299" s="215" t="n">
        <v>45356</v>
      </c>
      <c r="F13299" s="215" t="n">
        <v>45356</v>
      </c>
    </row>
    <row r="13300">
      <c r="A13300" s="215" t="n">
        <v>45357</v>
      </c>
      <c r="B13300" s="216" t="n">
        <v>7.33</v>
      </c>
      <c r="C13300" s="216" t="n">
        <v>17.31</v>
      </c>
      <c r="D13300" s="216" t="n">
        <v>1.10906994342804</v>
      </c>
      <c r="E13300" s="215" t="n">
        <v>45357</v>
      </c>
      <c r="F13300" s="215" t="n">
        <v>45357</v>
      </c>
    </row>
    <row r="13301">
      <c r="A13301" s="215" t="n">
        <v>45358</v>
      </c>
      <c r="B13301" s="216" t="n">
        <v>7.31</v>
      </c>
      <c r="C13301" s="216" t="n">
        <v>17.36</v>
      </c>
      <c r="D13301" s="216" t="n">
        <v>1.113453984260559</v>
      </c>
      <c r="E13301" s="215" t="n">
        <v>45358</v>
      </c>
      <c r="F13301" s="215" t="n">
        <v>45358</v>
      </c>
    </row>
    <row r="13302">
      <c r="A13302" s="215" t="n">
        <v>45359</v>
      </c>
      <c r="B13302" s="216" t="n">
        <v>7.44</v>
      </c>
      <c r="C13302" s="216" t="n">
        <v>16.95</v>
      </c>
      <c r="D13302" s="216" t="n">
        <v>1.118204951286316</v>
      </c>
      <c r="E13302" s="215" t="n">
        <v>45359</v>
      </c>
      <c r="F13302" s="215" t="n">
        <v>45359</v>
      </c>
    </row>
    <row r="13303">
      <c r="A13303" s="215" t="n">
        <v>45362</v>
      </c>
      <c r="B13303" s="216" t="n">
        <v>7.62</v>
      </c>
      <c r="C13303" s="216" t="n">
        <v>17.23</v>
      </c>
      <c r="D13303" s="216" t="n">
        <v>1.117454051971436</v>
      </c>
      <c r="E13303" s="215" t="n">
        <v>45362</v>
      </c>
      <c r="F13303" s="215" t="n">
        <v>45362</v>
      </c>
    </row>
    <row r="13304">
      <c r="A13304" s="215" t="n">
        <v>45363</v>
      </c>
      <c r="B13304" s="216" t="n">
        <v>7.59</v>
      </c>
      <c r="C13304" s="216" t="n">
        <v>16.76</v>
      </c>
      <c r="D13304" s="216" t="n">
        <v>1.116387009620667</v>
      </c>
      <c r="E13304" s="215" t="n">
        <v>45363</v>
      </c>
      <c r="F13304" s="215" t="n">
        <v>45363</v>
      </c>
    </row>
    <row r="13305">
      <c r="A13305" s="215" t="n">
        <v>45364</v>
      </c>
      <c r="B13305" s="216" t="n">
        <v>7.56</v>
      </c>
      <c r="C13305" s="216" t="n">
        <v>16.54</v>
      </c>
      <c r="D13305" s="216" t="n">
        <v>1.116310954093933</v>
      </c>
      <c r="E13305" s="215" t="n">
        <v>45364</v>
      </c>
      <c r="F13305" s="215" t="n">
        <v>45364</v>
      </c>
    </row>
    <row r="13306">
      <c r="A13306" s="215" t="n">
        <v>45365</v>
      </c>
      <c r="B13306" s="216" t="n">
        <v>7.51</v>
      </c>
      <c r="C13306" s="216" t="n">
        <v>16.23</v>
      </c>
      <c r="D13306" s="216" t="n">
        <v>1.118636012077332</v>
      </c>
      <c r="E13306" s="215" t="n">
        <v>45365</v>
      </c>
      <c r="F13306" s="215" t="n">
        <v>45365</v>
      </c>
    </row>
    <row r="13307">
      <c r="A13307" s="215" t="n">
        <v>45366</v>
      </c>
      <c r="B13307" s="216" t="n">
        <v>7.36</v>
      </c>
      <c r="C13307" s="216" t="n">
        <v>16.36</v>
      </c>
      <c r="D13307" s="216" t="n">
        <v>1.111673951148987</v>
      </c>
      <c r="E13307" s="215" t="n">
        <v>45366</v>
      </c>
      <c r="F13307" s="215" t="n">
        <v>45366</v>
      </c>
    </row>
    <row r="13308">
      <c r="A13308" s="215" t="n">
        <v>45369</v>
      </c>
      <c r="B13308" s="216" t="n">
        <v>7.44</v>
      </c>
      <c r="C13308" s="216" t="n">
        <v>16.56</v>
      </c>
      <c r="D13308" s="216" t="n">
        <v>1.111489057540894</v>
      </c>
      <c r="E13308" s="215" t="n">
        <v>45369</v>
      </c>
      <c r="F13308" s="215" t="n">
        <v>45369</v>
      </c>
    </row>
    <row r="13309">
      <c r="A13309" s="215" t="n">
        <v>45370</v>
      </c>
      <c r="B13309" s="216" t="n">
        <v>7.32</v>
      </c>
      <c r="C13309" s="216" t="n">
        <v>16.48</v>
      </c>
      <c r="D13309" s="216" t="n">
        <v>1.110030055046082</v>
      </c>
      <c r="E13309" s="215" t="n">
        <v>45370</v>
      </c>
      <c r="F13309" s="215" t="n">
        <v>45370</v>
      </c>
    </row>
    <row r="13310">
      <c r="A13310" s="215" t="n">
        <v>45371</v>
      </c>
      <c r="B13310" s="216" t="n">
        <v>7.11</v>
      </c>
      <c r="C13310" s="216" t="n">
        <v>16.55</v>
      </c>
      <c r="D13310" s="216" t="n">
        <v>1.101261973381042</v>
      </c>
      <c r="E13310" s="215" t="n">
        <v>45371</v>
      </c>
      <c r="F13310" s="215" t="n">
        <v>45371</v>
      </c>
    </row>
    <row r="13311">
      <c r="A13311" s="215" t="n">
        <v>45372</v>
      </c>
      <c r="B13311" s="216" t="n">
        <v>7.2</v>
      </c>
      <c r="C13311" s="216" t="n">
        <v>16.28</v>
      </c>
      <c r="D13311" s="216" t="n">
        <v>1.101251006126404</v>
      </c>
      <c r="E13311" s="215" t="n">
        <v>45372</v>
      </c>
      <c r="F13311" s="215" t="n">
        <v>45372</v>
      </c>
    </row>
    <row r="13312">
      <c r="A13312" s="215" t="n">
        <v>45373</v>
      </c>
      <c r="B13312" s="216" t="n">
        <v>6.91</v>
      </c>
      <c r="C13312" s="216" t="n">
        <v>15.9</v>
      </c>
      <c r="D13312" s="216" t="n">
        <v>1.100389957427979</v>
      </c>
      <c r="E13312" s="215" t="n">
        <v>45373</v>
      </c>
      <c r="F13312" s="215" t="n">
        <v>45373</v>
      </c>
    </row>
    <row r="13313">
      <c r="A13313" s="215" t="n">
        <v>45376</v>
      </c>
      <c r="B13313" s="216" t="n">
        <v>6.67</v>
      </c>
      <c r="C13313" s="216" t="n">
        <v>15.62</v>
      </c>
      <c r="D13313" s="216" t="n">
        <v>1.093554973602295</v>
      </c>
      <c r="E13313" s="215" t="n">
        <v>45376</v>
      </c>
      <c r="F13313" s="215" t="n">
        <v>45376</v>
      </c>
    </row>
    <row r="13314">
      <c r="A13314" s="215" t="n">
        <v>45377</v>
      </c>
      <c r="B13314" s="216" t="n">
        <v>6.79</v>
      </c>
      <c r="C13314" s="216" t="n">
        <v>15.56</v>
      </c>
      <c r="D13314" s="216" t="n">
        <v>1.097866058349609</v>
      </c>
      <c r="E13314" s="215" t="n">
        <v>45377</v>
      </c>
      <c r="F13314" s="215" t="n">
        <v>45377</v>
      </c>
    </row>
    <row r="13315">
      <c r="A13315" s="215" t="n">
        <v>45378</v>
      </c>
      <c r="B13315" s="216" t="n">
        <v>6.48</v>
      </c>
      <c r="C13315" s="216" t="n">
        <v>15.03</v>
      </c>
      <c r="D13315" s="216" t="n">
        <v>1.099439024925232</v>
      </c>
      <c r="E13315" s="215" t="n">
        <v>45378</v>
      </c>
      <c r="F13315" s="215" t="n">
        <v>45378</v>
      </c>
    </row>
    <row r="13316">
      <c r="A13316" s="215" t="n">
        <v>45379</v>
      </c>
      <c r="B13316" s="216" t="n">
        <v>6.67</v>
      </c>
      <c r="C13316" s="216" t="n">
        <v>15.41</v>
      </c>
      <c r="D13316" s="216" t="n">
        <v>1.099169969558716</v>
      </c>
      <c r="E13316" s="215" t="n">
        <v>45379</v>
      </c>
      <c r="F13316" s="215" t="n">
        <v>45379</v>
      </c>
    </row>
    <row r="13317">
      <c r="A13317" s="215" t="n">
        <v>45384</v>
      </c>
      <c r="B13317" s="216" t="n">
        <v>6.77</v>
      </c>
      <c r="C13317" s="216" t="n">
        <v>15.69</v>
      </c>
      <c r="D13317" s="216" t="n">
        <v>1.095656037330627</v>
      </c>
      <c r="E13317" s="215" t="n">
        <v>45384</v>
      </c>
      <c r="F13317" s="215" t="n">
        <v>45384</v>
      </c>
    </row>
    <row r="13318">
      <c r="A13318" s="215" t="n">
        <v>45385</v>
      </c>
      <c r="B13318" s="216" t="n">
        <v>6.85</v>
      </c>
      <c r="C13318" s="216" t="n">
        <v>16.02</v>
      </c>
      <c r="D13318" s="216" t="n">
        <v>1.103147983551025</v>
      </c>
      <c r="E13318" s="215" t="n">
        <v>45385</v>
      </c>
      <c r="F13318" s="215" t="n">
        <v>45385</v>
      </c>
    </row>
    <row r="13319">
      <c r="A13319" s="215" t="n">
        <v>45387</v>
      </c>
      <c r="B13319" s="216" t="n">
        <v>6.56</v>
      </c>
      <c r="C13319" s="216" t="n">
        <v>16.02</v>
      </c>
      <c r="D13319" s="216" t="n">
        <v>1.102897047996521</v>
      </c>
      <c r="E13319" s="215" t="n">
        <v>45385</v>
      </c>
      <c r="F13319" s="215" t="n">
        <v>45387</v>
      </c>
    </row>
    <row r="13320">
      <c r="A13320" s="215" t="n">
        <v>45390</v>
      </c>
      <c r="B13320" s="216" t="n">
        <v>6.62</v>
      </c>
      <c r="C13320" s="216" t="n">
        <v>16.24</v>
      </c>
      <c r="D13320" s="216" t="n">
        <v>1.103929996490479</v>
      </c>
      <c r="E13320" s="215" t="n">
        <v>45390</v>
      </c>
      <c r="F13320" s="215" t="n">
        <v>45390</v>
      </c>
    </row>
    <row r="13321">
      <c r="A13321" s="215" t="n">
        <v>45391</v>
      </c>
      <c r="B13321" s="216" t="n">
        <v>6.99</v>
      </c>
      <c r="C13321" s="216" t="n">
        <v>17.01</v>
      </c>
      <c r="D13321" s="216" t="n">
        <v>1.104424953460693</v>
      </c>
      <c r="E13321" s="215" t="n">
        <v>45391</v>
      </c>
      <c r="F13321" s="215" t="n">
        <v>45391</v>
      </c>
    </row>
    <row r="13322">
      <c r="A13322" s="215" t="n">
        <v>45392</v>
      </c>
      <c r="B13322" s="216" t="n">
        <v>6.91</v>
      </c>
      <c r="C13322" s="216" t="n">
        <v>16.4</v>
      </c>
      <c r="D13322" s="216" t="n">
        <v>1.10468602180481</v>
      </c>
      <c r="E13322" s="215" t="n">
        <v>45392</v>
      </c>
      <c r="F13322" s="215" t="n">
        <v>45392</v>
      </c>
    </row>
    <row r="13323">
      <c r="A13323" s="215" t="n">
        <v>45393</v>
      </c>
      <c r="B13323" s="216" t="n">
        <v>6.96</v>
      </c>
      <c r="C13323" s="216" t="n">
        <v>16.05</v>
      </c>
      <c r="D13323" s="216" t="n">
        <v>1.102126002311707</v>
      </c>
      <c r="E13323" s="215" t="n">
        <v>45393</v>
      </c>
      <c r="F13323" s="215" t="n">
        <v>45393</v>
      </c>
    </row>
    <row r="13324">
      <c r="A13324" s="215" t="n">
        <v>45394</v>
      </c>
      <c r="B13324" s="216" t="n">
        <v>6.91</v>
      </c>
      <c r="C13324" s="216" t="n">
        <v>15.48</v>
      </c>
      <c r="D13324" s="216" t="n">
        <v>1.104213953018188</v>
      </c>
      <c r="E13324" s="215" t="n">
        <v>45394</v>
      </c>
      <c r="F13324" s="215" t="n">
        <v>45394</v>
      </c>
    </row>
    <row r="13325">
      <c r="A13325" s="215" t="n">
        <v>45397</v>
      </c>
      <c r="B13325" s="216" t="n">
        <v>7.03</v>
      </c>
      <c r="C13325" s="216" t="n">
        <v>15.57</v>
      </c>
      <c r="D13325" s="216" t="n">
        <v>1.102975010871887</v>
      </c>
      <c r="E13325" s="215" t="n">
        <v>45397</v>
      </c>
      <c r="F13325" s="215" t="n">
        <v>45397</v>
      </c>
    </row>
    <row r="13326">
      <c r="A13326" s="215" t="n">
        <v>45398</v>
      </c>
      <c r="B13326" s="216" t="n">
        <v>6.85</v>
      </c>
      <c r="C13326" s="216" t="n">
        <v>14.88</v>
      </c>
      <c r="D13326" s="216" t="n">
        <v>1.102668046951294</v>
      </c>
      <c r="E13326" s="215" t="n">
        <v>45398</v>
      </c>
      <c r="F13326" s="215" t="n">
        <v>45398</v>
      </c>
    </row>
    <row r="13327">
      <c r="A13327" s="215" t="n">
        <v>45399</v>
      </c>
      <c r="B13327" s="216" t="n">
        <v>6.85</v>
      </c>
      <c r="C13327" s="216" t="n">
        <v>15.41</v>
      </c>
      <c r="D13327" s="216" t="n">
        <v>1.101709961891174</v>
      </c>
      <c r="E13327" s="215" t="n">
        <v>45399</v>
      </c>
      <c r="F13327" s="215" t="n">
        <v>45399</v>
      </c>
    </row>
    <row r="13328">
      <c r="A13328" s="215" t="n">
        <v>45400</v>
      </c>
      <c r="B13328" s="216" t="n">
        <v>6.74</v>
      </c>
      <c r="C13328" s="216" t="n">
        <v>15.28</v>
      </c>
      <c r="D13328" s="216" t="n">
        <v>1.104182004928589</v>
      </c>
      <c r="E13328" s="215" t="n">
        <v>45400</v>
      </c>
      <c r="F13328" s="215" t="n">
        <v>45400</v>
      </c>
    </row>
    <row r="13329">
      <c r="A13329" s="215" t="n">
        <v>45401</v>
      </c>
      <c r="B13329" s="216" t="n">
        <v>6.5</v>
      </c>
      <c r="C13329" s="216" t="n">
        <v>14.58</v>
      </c>
      <c r="D13329" s="216" t="n">
        <v>1.103330016136169</v>
      </c>
      <c r="E13329" s="215" t="n">
        <v>45401</v>
      </c>
      <c r="F13329" s="215" t="n">
        <v>45401</v>
      </c>
    </row>
    <row r="13330">
      <c r="A13330" s="215" t="n">
        <v>45404</v>
      </c>
      <c r="B13330" s="216" t="n">
        <v>6.45</v>
      </c>
      <c r="C13330" s="216" t="n">
        <v>14.57</v>
      </c>
      <c r="D13330" s="216" t="n">
        <v>1.104303956031799</v>
      </c>
      <c r="E13330" s="215" t="n">
        <v>45404</v>
      </c>
      <c r="F13330" s="215" t="n">
        <v>45404</v>
      </c>
    </row>
    <row r="13331">
      <c r="A13331" s="215" t="n">
        <v>45405</v>
      </c>
      <c r="B13331" s="216" t="n">
        <v>6.37</v>
      </c>
      <c r="C13331" s="216" t="n">
        <v>14.26</v>
      </c>
      <c r="D13331" s="216" t="n">
        <v>1.103582978248596</v>
      </c>
      <c r="E13331" s="215" t="n">
        <v>45405</v>
      </c>
      <c r="F13331" s="215" t="n">
        <v>45405</v>
      </c>
    </row>
    <row r="13332">
      <c r="A13332" s="215" t="n">
        <v>45406</v>
      </c>
      <c r="B13332" s="216" t="n">
        <v>6.76</v>
      </c>
      <c r="C13332" s="216" t="n">
        <v>14.75</v>
      </c>
      <c r="D13332" s="216" t="n">
        <v>1.103708982467651</v>
      </c>
      <c r="E13332" s="215" t="n">
        <v>45406</v>
      </c>
      <c r="F13332" s="215" t="n">
        <v>45406</v>
      </c>
    </row>
    <row r="13333">
      <c r="A13333" s="215" t="n">
        <v>45407</v>
      </c>
      <c r="B13333" s="216" t="n">
        <v>6.75</v>
      </c>
      <c r="C13333" s="216" t="n">
        <v>14.58</v>
      </c>
      <c r="D13333" s="216" t="n">
        <v>1.101104021072388</v>
      </c>
      <c r="E13333" s="215" t="n">
        <v>45407</v>
      </c>
      <c r="F13333" s="215" t="n">
        <v>45407</v>
      </c>
    </row>
    <row r="13334">
      <c r="A13334" s="215" t="n">
        <v>45408</v>
      </c>
      <c r="B13334" s="216" t="n">
        <v>6.92</v>
      </c>
      <c r="C13334" s="216" t="n">
        <v>14.85</v>
      </c>
      <c r="D13334" s="216" t="n">
        <v>1.103947043418884</v>
      </c>
      <c r="E13334" s="215" t="n">
        <v>45408</v>
      </c>
      <c r="F13334" s="215" t="n">
        <v>45408</v>
      </c>
    </row>
    <row r="13335">
      <c r="A13335" s="215" t="n">
        <v>45411</v>
      </c>
      <c r="B13335" s="216" t="n">
        <v>6.95</v>
      </c>
      <c r="C13335" s="216" t="n">
        <v>15.11</v>
      </c>
      <c r="D13335" s="216" t="n">
        <v>1.10208797454834</v>
      </c>
      <c r="E13335" s="215" t="n">
        <v>45411</v>
      </c>
      <c r="F13335" s="215" t="n">
        <v>45411</v>
      </c>
    </row>
    <row r="13336">
      <c r="A13336" s="215" t="n">
        <v>45412</v>
      </c>
      <c r="B13336" s="216" t="n">
        <v>6.83</v>
      </c>
      <c r="C13336" s="216" t="n">
        <v>14.89</v>
      </c>
      <c r="D13336" s="216" t="n">
        <v>1.103922009468079</v>
      </c>
      <c r="E13336" s="215" t="n">
        <v>45412</v>
      </c>
      <c r="F13336" s="215" t="n">
        <v>45412</v>
      </c>
    </row>
    <row r="13337">
      <c r="A13337" s="215" t="n">
        <v>45414</v>
      </c>
      <c r="B13337" s="216" t="n">
        <v>6.86</v>
      </c>
      <c r="C13337" s="216" t="n">
        <v>14.89</v>
      </c>
      <c r="D13337" s="216" t="n">
        <v>1.108636021614075</v>
      </c>
      <c r="E13337" s="215" t="n">
        <v>45412</v>
      </c>
      <c r="F13337" s="215" t="n">
        <v>45414</v>
      </c>
    </row>
    <row r="13338">
      <c r="A13338" s="215" t="n">
        <v>45415</v>
      </c>
      <c r="B13338" s="216" t="n">
        <v>7.01</v>
      </c>
      <c r="C13338" s="216" t="n">
        <v>14.89</v>
      </c>
      <c r="D13338" s="216" t="n">
        <v>1.106081008911133</v>
      </c>
      <c r="E13338" s="215" t="n">
        <v>45412</v>
      </c>
      <c r="F13338" s="215" t="n">
        <v>45415</v>
      </c>
    </row>
    <row r="13339">
      <c r="A13339" s="215" t="n">
        <v>45418</v>
      </c>
      <c r="B13339" s="216" t="n">
        <v>7.15</v>
      </c>
      <c r="C13339" s="216" t="n">
        <v>15.32</v>
      </c>
      <c r="D13339" s="216" t="n">
        <v>1.106592059135437</v>
      </c>
      <c r="E13339" s="215" t="n">
        <v>45418</v>
      </c>
      <c r="F13339" s="215" t="n">
        <v>45418</v>
      </c>
    </row>
    <row r="13340">
      <c r="A13340" s="215" t="n">
        <v>45419</v>
      </c>
      <c r="B13340" s="216" t="n">
        <v>7.02</v>
      </c>
      <c r="C13340" s="216" t="n">
        <v>15.46</v>
      </c>
      <c r="D13340" s="216" t="n">
        <v>1.104128956794739</v>
      </c>
      <c r="E13340" s="215" t="n">
        <v>45419</v>
      </c>
      <c r="F13340" s="215" t="n">
        <v>45419</v>
      </c>
    </row>
    <row r="13341">
      <c r="A13341" s="215" t="n">
        <v>45420</v>
      </c>
      <c r="B13341" s="216" t="n">
        <v>6.91</v>
      </c>
      <c r="C13341" s="216" t="n">
        <v>15.2</v>
      </c>
      <c r="D13341" s="216" t="n">
        <v>1.10300600528717</v>
      </c>
      <c r="E13341" s="215" t="n">
        <v>45420</v>
      </c>
      <c r="F13341" s="215" t="n">
        <v>45420</v>
      </c>
    </row>
    <row r="13342">
      <c r="A13342" s="215" t="n">
        <v>45421</v>
      </c>
      <c r="B13342" s="216" t="n">
        <v>7.09</v>
      </c>
      <c r="C13342" s="216" t="n">
        <v>15.54</v>
      </c>
      <c r="D13342" s="216" t="n">
        <v>1.103181958198547</v>
      </c>
      <c r="E13342" s="215" t="n">
        <v>45421</v>
      </c>
      <c r="F13342" s="215" t="n">
        <v>45421</v>
      </c>
    </row>
    <row r="13343">
      <c r="A13343" s="215" t="n">
        <v>45422</v>
      </c>
      <c r="B13343" s="216" t="n">
        <v>7.24</v>
      </c>
      <c r="C13343" s="216" t="n">
        <v>15.34</v>
      </c>
      <c r="D13343" s="216" t="n">
        <v>1.104058980941772</v>
      </c>
      <c r="E13343" s="215" t="n">
        <v>45422</v>
      </c>
      <c r="F13343" s="215" t="n">
        <v>45422</v>
      </c>
    </row>
    <row r="13344">
      <c r="A13344" s="215" t="n">
        <v>45425</v>
      </c>
      <c r="B13344" s="216" t="n">
        <v>7.3</v>
      </c>
      <c r="C13344" s="216" t="n">
        <v>14.98</v>
      </c>
      <c r="D13344" s="216" t="n">
        <v>1.10149097442627</v>
      </c>
      <c r="E13344" s="215" t="n">
        <v>45425</v>
      </c>
      <c r="F13344" s="215" t="n">
        <v>45425</v>
      </c>
    </row>
    <row r="13345">
      <c r="A13345" s="215" t="n">
        <v>45426</v>
      </c>
      <c r="B13345" s="216" t="n">
        <v>7.25</v>
      </c>
      <c r="C13345" s="216" t="n">
        <v>14.98</v>
      </c>
      <c r="D13345" s="216" t="n">
        <v>1.101179957389832</v>
      </c>
      <c r="E13345" s="215" t="n">
        <v>45426</v>
      </c>
      <c r="F13345" s="215" t="n">
        <v>45426</v>
      </c>
    </row>
    <row r="13346">
      <c r="A13346" s="215" t="n">
        <v>45428</v>
      </c>
      <c r="B13346" s="216" t="n">
        <v>7.14</v>
      </c>
      <c r="C13346" s="216" t="n">
        <v>14.47</v>
      </c>
      <c r="D13346" s="216" t="n">
        <v>1.104424953460693</v>
      </c>
      <c r="E13346" s="215" t="n">
        <v>45428</v>
      </c>
      <c r="F13346" s="215" t="n">
        <v>45428</v>
      </c>
    </row>
    <row r="13347">
      <c r="A13347" s="215" t="n">
        <v>45429</v>
      </c>
      <c r="B13347" s="216" t="n">
        <v>7.4</v>
      </c>
      <c r="C13347" s="216" t="n">
        <v>14.85</v>
      </c>
      <c r="D13347" s="216" t="n">
        <v>1.100981950759888</v>
      </c>
      <c r="E13347" s="215" t="n">
        <v>45429</v>
      </c>
      <c r="F13347" s="215" t="n">
        <v>45429</v>
      </c>
    </row>
    <row r="13348">
      <c r="A13348" s="215" t="n">
        <v>45432</v>
      </c>
      <c r="B13348" s="216" t="n">
        <v>7.59</v>
      </c>
      <c r="C13348" s="216" t="n">
        <v>15.01</v>
      </c>
      <c r="D13348" s="216" t="n">
        <v>1.103283047676086</v>
      </c>
      <c r="E13348" s="215" t="n">
        <v>45432</v>
      </c>
      <c r="F13348" s="215" t="n">
        <v>45432</v>
      </c>
    </row>
    <row r="13349">
      <c r="A13349" s="215" t="n">
        <v>45433</v>
      </c>
      <c r="B13349" s="216" t="n">
        <v>7.35</v>
      </c>
      <c r="C13349" s="216" t="n">
        <v>14.71</v>
      </c>
      <c r="D13349" s="216" t="n">
        <v>1.099310994148254</v>
      </c>
      <c r="E13349" s="215" t="n">
        <v>45433</v>
      </c>
      <c r="F13349" s="215" t="n">
        <v>45433</v>
      </c>
    </row>
    <row r="13350">
      <c r="A13350" s="215" t="n">
        <v>45434</v>
      </c>
      <c r="B13350" s="216" t="n">
        <v>7.31</v>
      </c>
      <c r="C13350" s="216" t="n">
        <v>14.91</v>
      </c>
      <c r="D13350" s="216" t="n">
        <v>1.099982023239136</v>
      </c>
      <c r="E13350" s="215" t="n">
        <v>45434</v>
      </c>
      <c r="F13350" s="215" t="n">
        <v>45434</v>
      </c>
    </row>
    <row r="13351">
      <c r="A13351" s="215" t="n">
        <v>45435</v>
      </c>
      <c r="B13351" s="216" t="n">
        <v>7.15</v>
      </c>
      <c r="C13351" s="216" t="n">
        <v>14.43</v>
      </c>
      <c r="D13351" s="216" t="n">
        <v>1.09967303276062</v>
      </c>
      <c r="E13351" s="215" t="n">
        <v>45435</v>
      </c>
      <c r="F13351" s="215" t="n">
        <v>45435</v>
      </c>
    </row>
    <row r="13352">
      <c r="A13352" s="215" t="n">
        <v>45436</v>
      </c>
      <c r="B13352" s="216" t="n">
        <v>6.93</v>
      </c>
      <c r="C13352" s="216" t="n">
        <v>14.12</v>
      </c>
      <c r="D13352" s="216" t="n">
        <v>1.09811794757843</v>
      </c>
      <c r="E13352" s="215" t="n">
        <v>45436</v>
      </c>
      <c r="F13352" s="215" t="n">
        <v>45436</v>
      </c>
    </row>
    <row r="13353">
      <c r="A13353" s="215" t="n">
        <v>45439</v>
      </c>
      <c r="B13353" s="216" t="n">
        <v>7.01</v>
      </c>
      <c r="C13353" s="216" t="n">
        <v>14.42</v>
      </c>
      <c r="D13353" s="216" t="n">
        <v>1.100759029388428</v>
      </c>
      <c r="E13353" s="215" t="n">
        <v>45439</v>
      </c>
      <c r="F13353" s="215" t="n">
        <v>45439</v>
      </c>
    </row>
    <row r="13354">
      <c r="A13354" s="215" t="n">
        <v>45440</v>
      </c>
      <c r="B13354" s="216" t="n">
        <v>6.93</v>
      </c>
      <c r="C13354" s="216" t="n">
        <v>14.21</v>
      </c>
      <c r="D13354" s="216" t="n">
        <v>1.101151943206787</v>
      </c>
      <c r="E13354" s="215" t="n">
        <v>45440</v>
      </c>
      <c r="F13354" s="215" t="n">
        <v>45440</v>
      </c>
    </row>
    <row r="13355">
      <c r="A13355" s="215" t="n">
        <v>45441</v>
      </c>
      <c r="B13355" s="216" t="n">
        <v>6.99</v>
      </c>
      <c r="C13355" s="216" t="n">
        <v>14.46</v>
      </c>
      <c r="D13355" s="216" t="n">
        <v>1.101042032241821</v>
      </c>
      <c r="E13355" s="215" t="n">
        <v>45441</v>
      </c>
      <c r="F13355" s="215" t="n">
        <v>45441</v>
      </c>
    </row>
    <row r="13356">
      <c r="A13356" s="215" t="n">
        <v>45442</v>
      </c>
      <c r="B13356" s="216" t="n">
        <v>6.94</v>
      </c>
      <c r="C13356" s="216" t="n">
        <v>14.37</v>
      </c>
      <c r="D13356" s="216" t="n">
        <v>1.096346020698547</v>
      </c>
      <c r="E13356" s="215" t="n">
        <v>45442</v>
      </c>
      <c r="F13356" s="215" t="n">
        <v>45442</v>
      </c>
    </row>
    <row r="13357">
      <c r="A13357" s="215" t="n">
        <v>45443</v>
      </c>
      <c r="B13357" s="216" t="n">
        <v>6.89</v>
      </c>
      <c r="C13357" s="216" t="n">
        <v>14.42</v>
      </c>
      <c r="D13357" s="216" t="n">
        <v>1.099722981452942</v>
      </c>
      <c r="E13357" s="215" t="n">
        <v>45443</v>
      </c>
      <c r="F13357" s="215" t="n">
        <v>45443</v>
      </c>
    </row>
    <row r="13358">
      <c r="A13358" s="215" t="n">
        <v>45446</v>
      </c>
      <c r="B13358" s="216" t="n">
        <v>6.82</v>
      </c>
      <c r="C13358" s="216" t="n">
        <v>14.24</v>
      </c>
      <c r="D13358" s="216" t="n">
        <v>1.102306008338928</v>
      </c>
      <c r="E13358" s="215" t="n">
        <v>45446</v>
      </c>
      <c r="F13358" s="215" t="n">
        <v>45446</v>
      </c>
    </row>
    <row r="13359">
      <c r="A13359" s="215" t="n">
        <v>45447</v>
      </c>
      <c r="B13359" s="216" t="n">
        <v>6.83</v>
      </c>
      <c r="C13359" s="216" t="n">
        <v>14.26</v>
      </c>
      <c r="D13359" s="216" t="n">
        <v>1.107933044433594</v>
      </c>
      <c r="E13359" s="215" t="n">
        <v>45447</v>
      </c>
      <c r="F13359" s="215" t="n">
        <v>45447</v>
      </c>
    </row>
    <row r="13360">
      <c r="A13360" s="215" t="n">
        <v>45448</v>
      </c>
      <c r="B13360" s="216" t="n">
        <v>6.76</v>
      </c>
      <c r="C13360" s="216" t="n">
        <v>14.06</v>
      </c>
      <c r="D13360" s="216" t="n">
        <v>1.104397058486938</v>
      </c>
      <c r="E13360" s="215" t="n">
        <v>45448</v>
      </c>
      <c r="F13360" s="215" t="n">
        <v>45448</v>
      </c>
    </row>
    <row r="13361">
      <c r="A13361" s="215" t="n">
        <v>45449</v>
      </c>
      <c r="B13361" s="216" t="n">
        <v>6.97</v>
      </c>
      <c r="C13361" s="216" t="n">
        <v>13.74</v>
      </c>
      <c r="D13361" s="216" t="n">
        <v>1.099522948265076</v>
      </c>
      <c r="E13361" s="215" t="n">
        <v>45449</v>
      </c>
      <c r="F13361" s="215" t="n">
        <v>45449</v>
      </c>
    </row>
    <row r="13362">
      <c r="A13362" s="215" t="n">
        <v>45450</v>
      </c>
      <c r="B13362" s="216" t="n">
        <v>6.98</v>
      </c>
      <c r="C13362" s="216" t="n">
        <v>13.86</v>
      </c>
      <c r="D13362" s="216" t="n">
        <v>1.099043965339661</v>
      </c>
      <c r="E13362" s="215" t="n">
        <v>45450</v>
      </c>
      <c r="F13362" s="215" t="n">
        <v>45450</v>
      </c>
    </row>
    <row r="13363">
      <c r="A13363" s="215" t="n">
        <v>45454</v>
      </c>
      <c r="B13363" s="216" t="n">
        <v>6.68</v>
      </c>
      <c r="C13363" s="216" t="n">
        <v>13.99</v>
      </c>
      <c r="D13363" s="216" t="n">
        <v>1.098870992660522</v>
      </c>
      <c r="E13363" s="215" t="n">
        <v>45454</v>
      </c>
      <c r="F13363" s="215" t="n">
        <v>45454</v>
      </c>
    </row>
    <row r="13364">
      <c r="A13364" s="215" t="n">
        <v>45455</v>
      </c>
      <c r="B13364" s="216" t="n">
        <v>6.71</v>
      </c>
      <c r="C13364" s="216" t="n">
        <v>14.12</v>
      </c>
      <c r="D13364" s="216" t="n">
        <v>1.098610043525696</v>
      </c>
      <c r="E13364" s="215" t="n">
        <v>45455</v>
      </c>
      <c r="F13364" s="215" t="n">
        <v>45455</v>
      </c>
    </row>
    <row r="13365">
      <c r="A13365" s="215" t="n">
        <v>45456</v>
      </c>
      <c r="B13365" s="216" t="n">
        <v>6.68</v>
      </c>
      <c r="C13365" s="216" t="n">
        <v>13.95</v>
      </c>
      <c r="D13365" s="216" t="n">
        <v>1.078271985054016</v>
      </c>
      <c r="E13365" s="215" t="n">
        <v>45456</v>
      </c>
      <c r="F13365" s="215" t="n">
        <v>45456</v>
      </c>
    </row>
    <row r="13366">
      <c r="A13366" s="215" t="n">
        <v>45457</v>
      </c>
      <c r="B13366" s="216" t="n">
        <v>6.67</v>
      </c>
      <c r="C13366" s="216" t="n">
        <v>14.01</v>
      </c>
      <c r="D13366" s="216" t="n">
        <v>1.07685399055481</v>
      </c>
      <c r="E13366" s="215" t="n">
        <v>45457</v>
      </c>
      <c r="F13366" s="215" t="n">
        <v>45457</v>
      </c>
    </row>
    <row r="13367">
      <c r="A13367" s="215" t="n">
        <v>45460</v>
      </c>
      <c r="B13367" s="216" t="n">
        <v>6.57</v>
      </c>
      <c r="C13367" s="216" t="n">
        <v>13.98</v>
      </c>
      <c r="D13367" s="216" t="n">
        <v>1.09790301322937</v>
      </c>
      <c r="E13367" s="215" t="n">
        <v>45460</v>
      </c>
      <c r="F13367" s="215" t="n">
        <v>45460</v>
      </c>
    </row>
    <row r="13368">
      <c r="A13368" s="215" t="n">
        <v>45461</v>
      </c>
      <c r="B13368" s="216" t="n">
        <v>6.58</v>
      </c>
      <c r="C13368" s="216" t="n">
        <v>14.22</v>
      </c>
      <c r="D13368" s="216" t="n">
        <v>1.076823949813843</v>
      </c>
      <c r="E13368" s="215" t="n">
        <v>45461</v>
      </c>
      <c r="F13368" s="215" t="n">
        <v>45461</v>
      </c>
    </row>
    <row r="13369">
      <c r="A13369" s="215" t="n">
        <v>45462</v>
      </c>
      <c r="B13369" s="216" t="n">
        <v>6.67</v>
      </c>
      <c r="C13369" s="216" t="n">
        <v>14</v>
      </c>
      <c r="D13369" s="216" t="n">
        <v>1.076231002807617</v>
      </c>
      <c r="E13369" s="215" t="n">
        <v>45462</v>
      </c>
      <c r="F13369" s="215" t="n">
        <v>45462</v>
      </c>
    </row>
    <row r="13370">
      <c r="A13370" s="215" t="n">
        <v>45463</v>
      </c>
      <c r="B13370" s="216" t="n">
        <v>6.5</v>
      </c>
      <c r="C13370" s="216" t="n">
        <v>13.6</v>
      </c>
      <c r="D13370" s="216" t="n">
        <v>1.075603008270264</v>
      </c>
      <c r="E13370" s="215" t="n">
        <v>45463</v>
      </c>
      <c r="F13370" s="215" t="n">
        <v>45463</v>
      </c>
    </row>
    <row r="13371">
      <c r="A13371" s="215" t="n">
        <v>45464</v>
      </c>
      <c r="B13371" s="216" t="n">
        <v>6.48</v>
      </c>
      <c r="C13371" s="216" t="n">
        <v>13.34</v>
      </c>
      <c r="D13371" s="216" t="n">
        <v>1.07499098777771</v>
      </c>
      <c r="E13371" s="215" t="n">
        <v>45464</v>
      </c>
      <c r="F13371" s="215" t="n">
        <v>45464</v>
      </c>
    </row>
    <row r="13372">
      <c r="A13372" s="215" t="n">
        <v>45467</v>
      </c>
      <c r="B13372" s="216" t="n">
        <v>6.28</v>
      </c>
      <c r="C13372" s="216" t="n">
        <v>13</v>
      </c>
      <c r="D13372" s="216" t="n">
        <v>1.0746910572052</v>
      </c>
      <c r="E13372" s="215" t="n">
        <v>45467</v>
      </c>
      <c r="F13372" s="215" t="n">
        <v>45467</v>
      </c>
    </row>
    <row r="13373">
      <c r="A13373" s="215" t="n">
        <v>45468</v>
      </c>
      <c r="B13373" s="216" t="n">
        <v>6.21</v>
      </c>
      <c r="C13373" s="216" t="n">
        <v>12.79</v>
      </c>
      <c r="D13373" s="216" t="n">
        <v>1.075618028640747</v>
      </c>
      <c r="E13373" s="215" t="n">
        <v>45468</v>
      </c>
      <c r="F13373" s="215" t="n">
        <v>45468</v>
      </c>
    </row>
    <row r="13374">
      <c r="A13374" s="215" t="n">
        <v>45469</v>
      </c>
      <c r="B13374" s="216" t="n">
        <v>6.33</v>
      </c>
      <c r="C13374" s="216" t="n">
        <v>13.05</v>
      </c>
      <c r="D13374" s="216" t="n">
        <v>1.075075030326843</v>
      </c>
      <c r="E13374" s="215" t="n">
        <v>45469</v>
      </c>
      <c r="F13374" s="215" t="n">
        <v>45469</v>
      </c>
    </row>
    <row r="13375">
      <c r="A13375" s="215" t="n">
        <v>45470</v>
      </c>
      <c r="B13375" s="216" t="n">
        <v>6.21</v>
      </c>
      <c r="C13375" s="216" t="n">
        <v>12.75</v>
      </c>
      <c r="D13375" s="216" t="n">
        <v>1.074702024459839</v>
      </c>
      <c r="E13375" s="215" t="n">
        <v>45470</v>
      </c>
      <c r="F13375" s="215" t="n">
        <v>45470</v>
      </c>
    </row>
    <row r="13376">
      <c r="A13376" s="215" t="n">
        <v>45471</v>
      </c>
      <c r="B13376" s="216" t="n">
        <v>6.16</v>
      </c>
      <c r="C13376" s="216" t="n">
        <v>12.96</v>
      </c>
      <c r="D13376" s="216" t="n">
        <v>1.07417905330658</v>
      </c>
      <c r="E13376" s="215" t="n">
        <v>45471</v>
      </c>
      <c r="F13376" s="215" t="n">
        <v>45471</v>
      </c>
    </row>
    <row r="13377">
      <c r="A13377" s="215" t="n">
        <v>45475</v>
      </c>
      <c r="B13377" s="216" t="n">
        <v>6.29</v>
      </c>
      <c r="C13377" s="216" t="n">
        <v>12.84</v>
      </c>
      <c r="D13377" s="216" t="n">
        <v>1.074753046035767</v>
      </c>
      <c r="E13377" s="215" t="n">
        <v>45475</v>
      </c>
      <c r="F13377" s="215" t="n">
        <v>45475</v>
      </c>
    </row>
    <row r="13378">
      <c r="A13378" s="215" t="n">
        <v>45476</v>
      </c>
      <c r="B13378" s="216" t="n">
        <v>6.36</v>
      </c>
      <c r="C13378" s="216" t="n">
        <v>12.68</v>
      </c>
      <c r="D13378" s="216" t="n">
        <v>1.074602007865906</v>
      </c>
      <c r="E13378" s="215" t="n">
        <v>45476</v>
      </c>
      <c r="F13378" s="215" t="n">
        <v>45476</v>
      </c>
    </row>
    <row r="13379">
      <c r="A13379" s="215" t="n">
        <v>45477</v>
      </c>
      <c r="B13379" s="216" t="n">
        <v>6.23</v>
      </c>
      <c r="C13379" s="216" t="n">
        <v>12.39</v>
      </c>
      <c r="D13379" s="216" t="n">
        <v>1.073940992355347</v>
      </c>
      <c r="E13379" s="215" t="n">
        <v>45477</v>
      </c>
      <c r="F13379" s="215" t="n">
        <v>45477</v>
      </c>
    </row>
    <row r="13380">
      <c r="A13380" s="215" t="n">
        <v>45478</v>
      </c>
      <c r="B13380" s="216" t="n">
        <v>6.26</v>
      </c>
      <c r="C13380" s="216" t="n">
        <v>12.58</v>
      </c>
      <c r="D13380" s="216" t="n">
        <v>1.07449996471405</v>
      </c>
      <c r="E13380" s="215" t="n">
        <v>45478</v>
      </c>
      <c r="F13380" s="215" t="n">
        <v>45478</v>
      </c>
    </row>
    <row r="13381">
      <c r="A13381" s="215" t="n">
        <v>45481</v>
      </c>
      <c r="B13381" s="216" t="n">
        <v>6.2</v>
      </c>
      <c r="C13381" s="216" t="n">
        <v>12.14</v>
      </c>
      <c r="D13381" s="216" t="n">
        <v>1.074715971946716</v>
      </c>
      <c r="E13381" s="215" t="n">
        <v>45481</v>
      </c>
      <c r="F13381" s="215" t="n">
        <v>45481</v>
      </c>
    </row>
    <row r="13382">
      <c r="A13382" s="215" t="n">
        <v>45482</v>
      </c>
      <c r="B13382" s="216" t="n">
        <v>6.1</v>
      </c>
      <c r="C13382" s="216" t="n">
        <v>12.19</v>
      </c>
      <c r="D13382" s="216" t="n">
        <v>1.074417948722839</v>
      </c>
      <c r="E13382" s="215" t="n">
        <v>45482</v>
      </c>
      <c r="F13382" s="215" t="n">
        <v>45482</v>
      </c>
    </row>
    <row r="13383">
      <c r="A13383" s="215" t="n">
        <v>45483</v>
      </c>
      <c r="B13383" s="216" t="n">
        <v>6.07</v>
      </c>
      <c r="C13383" s="216" t="n">
        <v>12.22</v>
      </c>
      <c r="D13383" s="216" t="n">
        <v>1.073858976364136</v>
      </c>
      <c r="E13383" s="215" t="n">
        <v>45483</v>
      </c>
      <c r="F13383" s="215" t="n">
        <v>45483</v>
      </c>
    </row>
    <row r="13384">
      <c r="A13384" s="215" t="n">
        <v>45484</v>
      </c>
      <c r="B13384" s="216" t="n">
        <v>6.17</v>
      </c>
      <c r="C13384" s="216" t="n">
        <v>12.54</v>
      </c>
      <c r="D13384" s="216" t="n">
        <v>1.073397994041443</v>
      </c>
      <c r="E13384" s="215" t="n">
        <v>45484</v>
      </c>
      <c r="F13384" s="215" t="n">
        <v>45484</v>
      </c>
    </row>
    <row r="13385">
      <c r="A13385" s="215" t="n">
        <v>45485</v>
      </c>
      <c r="B13385" s="216" t="n">
        <v>6.15</v>
      </c>
      <c r="C13385" s="216" t="n">
        <v>12.31</v>
      </c>
      <c r="D13385" s="216" t="n">
        <v>1.07601797580719</v>
      </c>
      <c r="E13385" s="215" t="n">
        <v>45485</v>
      </c>
      <c r="F13385" s="215" t="n">
        <v>45485</v>
      </c>
    </row>
    <row r="13386">
      <c r="A13386" s="215" t="n">
        <v>45488</v>
      </c>
      <c r="B13386" s="216" t="n">
        <v>5.91</v>
      </c>
      <c r="C13386" s="216" t="n">
        <v>12.12</v>
      </c>
      <c r="D13386" s="216" t="n">
        <v>1.076483964920044</v>
      </c>
      <c r="E13386" s="215" t="n">
        <v>45488</v>
      </c>
      <c r="F13386" s="215" t="n">
        <v>45488</v>
      </c>
    </row>
    <row r="13387">
      <c r="A13387" s="215" t="n">
        <v>45489</v>
      </c>
      <c r="B13387" s="216" t="n">
        <v>5.84</v>
      </c>
      <c r="C13387" s="216" t="n">
        <v>12.13</v>
      </c>
      <c r="D13387" s="216" t="n">
        <v>1.07518994808197</v>
      </c>
      <c r="E13387" s="215" t="n">
        <v>45489</v>
      </c>
      <c r="F13387" s="215" t="n">
        <v>45489</v>
      </c>
    </row>
    <row r="13388">
      <c r="A13388" s="215" t="n">
        <v>45490</v>
      </c>
      <c r="B13388" s="216" t="n">
        <v>5.86</v>
      </c>
      <c r="C13388" s="216" t="n">
        <v>11.98</v>
      </c>
      <c r="D13388" s="216" t="n">
        <v>1.093601942062378</v>
      </c>
      <c r="E13388" s="215" t="n">
        <v>45490</v>
      </c>
      <c r="F13388" s="215" t="n">
        <v>45490</v>
      </c>
    </row>
    <row r="13389">
      <c r="A13389" s="215" t="n">
        <v>45491</v>
      </c>
      <c r="B13389" s="216" t="n">
        <v>5.92</v>
      </c>
      <c r="C13389" s="216" t="n">
        <v>12.03</v>
      </c>
      <c r="D13389" s="216" t="n">
        <v>1.075235962867737</v>
      </c>
      <c r="E13389" s="215" t="n">
        <v>45491</v>
      </c>
      <c r="F13389" s="215" t="n">
        <v>45491</v>
      </c>
    </row>
    <row r="13390">
      <c r="A13390" s="215" t="n">
        <v>45492</v>
      </c>
      <c r="B13390" s="216" t="n">
        <v>5.8</v>
      </c>
      <c r="C13390" s="216" t="n">
        <v>12.1</v>
      </c>
      <c r="D13390" s="216" t="n">
        <v>1.075747013092041</v>
      </c>
      <c r="E13390" s="215" t="n">
        <v>45492</v>
      </c>
      <c r="F13390" s="215" t="n">
        <v>45492</v>
      </c>
    </row>
    <row r="13391">
      <c r="A13391" s="215" t="n">
        <v>45495</v>
      </c>
      <c r="B13391" s="216" t="n">
        <v>5.68</v>
      </c>
      <c r="C13391" s="216" t="n">
        <v>12.02</v>
      </c>
      <c r="D13391" s="216" t="n">
        <v>1.074203968048096</v>
      </c>
      <c r="E13391" s="215" t="n">
        <v>45495</v>
      </c>
      <c r="F13391" s="215" t="n">
        <v>45495</v>
      </c>
    </row>
    <row r="13392">
      <c r="A13392" s="215" t="n">
        <v>45496</v>
      </c>
      <c r="B13392" s="216" t="n">
        <v>5.52</v>
      </c>
      <c r="C13392" s="216" t="n">
        <v>11.64</v>
      </c>
      <c r="D13392" s="216" t="n">
        <v>1.073030948638916</v>
      </c>
      <c r="E13392" s="215" t="n">
        <v>45496</v>
      </c>
      <c r="F13392" s="215" t="n">
        <v>45496</v>
      </c>
    </row>
    <row r="13393">
      <c r="A13393" s="215" t="n">
        <v>45497</v>
      </c>
      <c r="B13393" s="216" t="n">
        <v>5.5</v>
      </c>
      <c r="C13393" s="216" t="n">
        <v>11.45</v>
      </c>
      <c r="D13393" s="216" t="n">
        <v>1.073214054107666</v>
      </c>
      <c r="E13393" s="215" t="n">
        <v>45497</v>
      </c>
      <c r="F13393" s="215" t="n">
        <v>45497</v>
      </c>
    </row>
    <row r="13394">
      <c r="A13394" s="215" t="n">
        <v>45498</v>
      </c>
      <c r="B13394" s="216" t="n">
        <v>5.46</v>
      </c>
      <c r="C13394" s="216" t="n">
        <v>11.53</v>
      </c>
      <c r="D13394" s="216" t="n">
        <v>1.075216054916382</v>
      </c>
      <c r="E13394" s="215" t="n">
        <v>45498</v>
      </c>
      <c r="F13394" s="215" t="n">
        <v>45498</v>
      </c>
    </row>
    <row r="13395">
      <c r="A13395" s="215" t="n">
        <v>45499</v>
      </c>
      <c r="B13395" s="216" t="n">
        <v>5.48</v>
      </c>
      <c r="C13395" s="216" t="n">
        <v>11.7</v>
      </c>
      <c r="D13395" s="216" t="n">
        <v>1.079524040222168</v>
      </c>
      <c r="E13395" s="215" t="n">
        <v>45499</v>
      </c>
      <c r="F13395" s="215" t="n">
        <v>45499</v>
      </c>
    </row>
    <row r="13396">
      <c r="A13396" s="215" t="n">
        <v>45502</v>
      </c>
      <c r="B13396" s="216" t="n">
        <v>5.47</v>
      </c>
      <c r="C13396" s="216" t="n">
        <v>11.6</v>
      </c>
      <c r="D13396" s="216" t="n">
        <v>1.076396942138672</v>
      </c>
      <c r="E13396" s="215" t="n">
        <v>45502</v>
      </c>
      <c r="F13396" s="215" t="n">
        <v>45502</v>
      </c>
    </row>
    <row r="13397">
      <c r="A13397" s="215" t="n">
        <v>45503</v>
      </c>
      <c r="B13397" s="216" t="n">
        <v>5.44</v>
      </c>
      <c r="C13397" s="216" t="n">
        <v>11.58</v>
      </c>
      <c r="D13397" s="216" t="n">
        <v>1.075829982757568</v>
      </c>
      <c r="E13397" s="215" t="n">
        <v>45503</v>
      </c>
      <c r="F13397" s="215" t="n">
        <v>45503</v>
      </c>
    </row>
    <row r="13398">
      <c r="A13398" s="215" t="n">
        <v>45504</v>
      </c>
      <c r="B13398" s="216" t="n">
        <v>5.64</v>
      </c>
      <c r="C13398" s="216" t="n">
        <v>12.06</v>
      </c>
      <c r="D13398" s="216" t="n">
        <v>1.077026009559631</v>
      </c>
      <c r="E13398" s="215" t="n">
        <v>45504</v>
      </c>
      <c r="F13398" s="215" t="n">
        <v>45504</v>
      </c>
    </row>
    <row r="13399">
      <c r="A13399" s="215" t="n">
        <v>45505</v>
      </c>
      <c r="B13399" s="216" t="n">
        <v>5.6</v>
      </c>
      <c r="C13399" s="216" t="n">
        <v>12.04</v>
      </c>
      <c r="D13399" s="216" t="n">
        <v>1.082347989082336</v>
      </c>
      <c r="E13399" s="215" t="n">
        <v>45505</v>
      </c>
      <c r="F13399" s="215" t="n">
        <v>45505</v>
      </c>
    </row>
    <row r="13400">
      <c r="A13400" s="215" t="n">
        <v>45506</v>
      </c>
      <c r="B13400" s="216" t="n">
        <v>5.6</v>
      </c>
      <c r="C13400" s="216" t="n">
        <v>11.97</v>
      </c>
      <c r="D13400" s="216" t="n">
        <v>1.078637003898621</v>
      </c>
      <c r="E13400" s="215" t="n">
        <v>45506</v>
      </c>
      <c r="F13400" s="215" t="n">
        <v>45506</v>
      </c>
    </row>
    <row r="13401">
      <c r="A13401" s="215" t="n">
        <v>45509</v>
      </c>
      <c r="B13401" s="216" t="n">
        <v>5.38</v>
      </c>
      <c r="C13401" s="216" t="n">
        <v>11.68</v>
      </c>
      <c r="D13401" s="216" t="n">
        <v>1.090283036231995</v>
      </c>
      <c r="E13401" s="215" t="n">
        <v>45509</v>
      </c>
      <c r="F13401" s="215" t="n">
        <v>45509</v>
      </c>
    </row>
    <row r="13402">
      <c r="A13402" s="215" t="n">
        <v>45510</v>
      </c>
      <c r="B13402" s="216" t="n">
        <v>5.5</v>
      </c>
      <c r="C13402" s="216" t="n">
        <v>11.84</v>
      </c>
      <c r="D13402" s="216" t="n">
        <v>1.094287037849426</v>
      </c>
      <c r="E13402" s="215" t="n">
        <v>45510</v>
      </c>
      <c r="F13402" s="215" t="n">
        <v>45510</v>
      </c>
    </row>
    <row r="13403">
      <c r="A13403" s="215" t="n">
        <v>45511</v>
      </c>
      <c r="B13403" s="216" t="n">
        <v>5.52</v>
      </c>
      <c r="C13403" s="216" t="n">
        <v>11.75</v>
      </c>
      <c r="D13403" s="216" t="n">
        <v>1.089087009429932</v>
      </c>
      <c r="E13403" s="215" t="n">
        <v>45511</v>
      </c>
      <c r="F13403" s="215" t="n">
        <v>45511</v>
      </c>
    </row>
    <row r="13404">
      <c r="A13404" s="215" t="n">
        <v>45512</v>
      </c>
      <c r="B13404" s="216" t="n">
        <v>5.46</v>
      </c>
      <c r="C13404" s="216" t="n">
        <v>11.66</v>
      </c>
      <c r="D13404" s="216" t="n">
        <v>1.084957957267761</v>
      </c>
      <c r="E13404" s="215" t="n">
        <v>45512</v>
      </c>
      <c r="F13404" s="215" t="n">
        <v>45512</v>
      </c>
    </row>
    <row r="13405">
      <c r="A13405" s="215" t="n">
        <v>45513</v>
      </c>
      <c r="B13405" s="216" t="n">
        <v>5.43</v>
      </c>
      <c r="C13405" s="216" t="n">
        <v>11.52</v>
      </c>
      <c r="D13405" s="216" t="n">
        <v>1.086197972297668</v>
      </c>
      <c r="E13405" s="215" t="n">
        <v>45513</v>
      </c>
      <c r="F13405" s="215" t="n">
        <v>45513</v>
      </c>
    </row>
    <row r="13406">
      <c r="A13406" s="215" t="n">
        <v>45516</v>
      </c>
      <c r="B13406" s="216" t="n">
        <v>5.52</v>
      </c>
      <c r="C13406" s="216" t="n">
        <v>11.46</v>
      </c>
      <c r="D13406" s="216" t="n">
        <v>1.087875008583069</v>
      </c>
      <c r="E13406" s="215" t="n">
        <v>45516</v>
      </c>
      <c r="F13406" s="215" t="n">
        <v>45516</v>
      </c>
    </row>
    <row r="13407">
      <c r="A13407" s="215" t="n">
        <v>45517</v>
      </c>
      <c r="B13407" s="216" t="n">
        <v>5.53</v>
      </c>
      <c r="C13407" s="216" t="n">
        <v>11.51</v>
      </c>
      <c r="D13407" s="216" t="n">
        <v>1.085934996604919</v>
      </c>
      <c r="E13407" s="215" t="n">
        <v>45517</v>
      </c>
      <c r="F13407" s="215" t="n">
        <v>45517</v>
      </c>
    </row>
    <row r="13408">
      <c r="A13408" s="215" t="n">
        <v>45518</v>
      </c>
      <c r="B13408" s="216" t="n">
        <v>5.43</v>
      </c>
      <c r="C13408" s="216" t="n">
        <v>11.33</v>
      </c>
      <c r="D13408" s="216" t="n">
        <v>1.088662981987</v>
      </c>
      <c r="E13408" s="215" t="n">
        <v>45518</v>
      </c>
      <c r="F13408" s="215" t="n">
        <v>45518</v>
      </c>
    </row>
    <row r="13409">
      <c r="A13409" s="215" t="n">
        <v>45519</v>
      </c>
      <c r="B13409" s="216" t="n">
        <v>5.49</v>
      </c>
      <c r="C13409" s="216" t="n">
        <v>11.27</v>
      </c>
      <c r="D13409" s="216" t="n">
        <v>1.091369986534119</v>
      </c>
      <c r="E13409" s="215" t="n">
        <v>45519</v>
      </c>
      <c r="F13409" s="215" t="n">
        <v>45519</v>
      </c>
    </row>
    <row r="13410">
      <c r="A13410" s="215" t="n">
        <v>45520</v>
      </c>
      <c r="B13410" s="216" t="n">
        <v>5.45</v>
      </c>
      <c r="C13410" s="216" t="n">
        <v>11.02</v>
      </c>
      <c r="D13410" s="216" t="n">
        <v>1.08672297000885</v>
      </c>
      <c r="E13410" s="215" t="n">
        <v>45520</v>
      </c>
      <c r="F13410" s="215" t="n">
        <v>45520</v>
      </c>
    </row>
    <row r="13411">
      <c r="A13411" s="215" t="n">
        <v>45523</v>
      </c>
      <c r="B13411" s="216" t="n">
        <v>5.53</v>
      </c>
      <c r="C13411" s="216" t="n">
        <v>11.04</v>
      </c>
      <c r="D13411" s="216" t="n">
        <v>1.087823033332825</v>
      </c>
      <c r="E13411" s="215" t="n">
        <v>45523</v>
      </c>
      <c r="F13411" s="215" t="n">
        <v>45523</v>
      </c>
    </row>
    <row r="13412">
      <c r="A13412" s="215" t="n">
        <v>45524</v>
      </c>
      <c r="B13412" s="216" t="n">
        <v>5.43</v>
      </c>
      <c r="C13412" s="216" t="n">
        <v>10.81</v>
      </c>
      <c r="D13412" s="216" t="n">
        <v>1.08710503578186</v>
      </c>
      <c r="E13412" s="215" t="n">
        <v>45524</v>
      </c>
      <c r="F13412" s="215" t="n">
        <v>45524</v>
      </c>
    </row>
    <row r="13413">
      <c r="A13413" s="215" t="n">
        <v>45525</v>
      </c>
      <c r="B13413" s="216" t="n">
        <v>5.43</v>
      </c>
      <c r="C13413" s="216" t="n">
        <v>10.88</v>
      </c>
      <c r="D13413" s="216" t="n">
        <v>1.091691970825195</v>
      </c>
      <c r="E13413" s="215" t="n">
        <v>45525</v>
      </c>
      <c r="F13413" s="215" t="n">
        <v>45525</v>
      </c>
    </row>
    <row r="13414">
      <c r="A13414" s="215" t="n">
        <v>45526</v>
      </c>
      <c r="B13414" s="216" t="n">
        <v>5.32</v>
      </c>
      <c r="C13414" s="216" t="n">
        <v>10.6</v>
      </c>
      <c r="D13414" s="216" t="n">
        <v>1.092425942420959</v>
      </c>
      <c r="E13414" s="215" t="n">
        <v>45526</v>
      </c>
      <c r="F13414" s="215" t="n">
        <v>45526</v>
      </c>
    </row>
    <row r="13415">
      <c r="A13415" s="215" t="n">
        <v>45527</v>
      </c>
      <c r="B13415" s="216" t="n">
        <v>5.25</v>
      </c>
      <c r="C13415" s="216" t="n">
        <v>10.39</v>
      </c>
      <c r="D13415" s="216" t="n">
        <v>1.091052055358887</v>
      </c>
      <c r="E13415" s="215" t="n">
        <v>45527</v>
      </c>
      <c r="F13415" s="215" t="n">
        <v>45527</v>
      </c>
    </row>
    <row r="13416">
      <c r="A13416" s="215" t="n">
        <v>45530</v>
      </c>
      <c r="B13416" s="216" t="n">
        <v>5.37</v>
      </c>
      <c r="C13416" s="216" t="n">
        <v>10.42</v>
      </c>
      <c r="D13416" s="216" t="n">
        <v>1.094154953956604</v>
      </c>
      <c r="E13416" s="215" t="n">
        <v>45530</v>
      </c>
      <c r="F13416" s="215" t="n">
        <v>45530</v>
      </c>
    </row>
    <row r="13417">
      <c r="A13417" s="215" t="n">
        <v>45531</v>
      </c>
      <c r="B13417" s="216" t="n">
        <v>5.29</v>
      </c>
      <c r="C13417" s="216" t="n">
        <v>10.16</v>
      </c>
      <c r="D13417" s="216" t="n">
        <v>1.094954967498779</v>
      </c>
      <c r="E13417" s="215" t="n">
        <v>45531</v>
      </c>
      <c r="F13417" s="215" t="n">
        <v>45531</v>
      </c>
    </row>
    <row r="13418">
      <c r="A13418" s="215" t="n">
        <v>45532</v>
      </c>
      <c r="B13418" s="216" t="n">
        <v>5.27</v>
      </c>
      <c r="C13418" s="216" t="n">
        <v>10.35</v>
      </c>
      <c r="D13418" s="216" t="n">
        <v>1.095074057579041</v>
      </c>
      <c r="E13418" s="215" t="n">
        <v>45532</v>
      </c>
      <c r="F13418" s="215" t="n">
        <v>45532</v>
      </c>
    </row>
    <row r="13419">
      <c r="A13419" s="215" t="n">
        <v>45533</v>
      </c>
      <c r="B13419" s="216" t="n">
        <v>5.34</v>
      </c>
      <c r="C13419" s="216" t="n">
        <v>10.57</v>
      </c>
      <c r="D13419" s="216" t="n">
        <v>1.094665050506592</v>
      </c>
      <c r="E13419" s="215" t="n">
        <v>45533</v>
      </c>
      <c r="F13419" s="215" t="n">
        <v>45533</v>
      </c>
    </row>
    <row r="13420">
      <c r="A13420" s="215" t="n">
        <v>45534</v>
      </c>
      <c r="B13420" s="216" t="n">
        <v>5.44</v>
      </c>
      <c r="C13420" s="216" t="n">
        <v>10.74</v>
      </c>
      <c r="D13420" s="216" t="n">
        <v>1.09866201877594</v>
      </c>
      <c r="E13420" s="215" t="n">
        <v>45534</v>
      </c>
      <c r="F13420" s="215" t="n">
        <v>45534</v>
      </c>
    </row>
    <row r="13421">
      <c r="A13421" s="215" t="n">
        <v>45537</v>
      </c>
      <c r="B13421" s="216" t="n">
        <v>5.12</v>
      </c>
      <c r="C13421" s="216" t="n">
        <v>10.47</v>
      </c>
      <c r="D13421" s="216" t="n">
        <v>1.099230051040649</v>
      </c>
      <c r="E13421" s="215" t="n">
        <v>45537</v>
      </c>
      <c r="F13421" s="215" t="n">
        <v>45537</v>
      </c>
    </row>
    <row r="13422">
      <c r="A13422" s="215" t="n">
        <v>45538</v>
      </c>
      <c r="B13422" s="216" t="n">
        <v>5.27</v>
      </c>
      <c r="C13422" s="216" t="n">
        <v>10.69</v>
      </c>
      <c r="D13422" s="216" t="n">
        <v>1.095303058624268</v>
      </c>
      <c r="E13422" s="215" t="n">
        <v>45538</v>
      </c>
      <c r="F13422" s="215" t="n">
        <v>45538</v>
      </c>
    </row>
    <row r="13423">
      <c r="A13423" s="215" t="n">
        <v>45539</v>
      </c>
      <c r="B13423" s="216" t="n">
        <v>5.22</v>
      </c>
      <c r="C13423" s="216" t="n">
        <v>10.67</v>
      </c>
      <c r="D13423" s="216" t="n">
        <v>1.094771981239319</v>
      </c>
      <c r="E13423" s="215" t="n">
        <v>45539</v>
      </c>
      <c r="F13423" s="215" t="n">
        <v>45539</v>
      </c>
    </row>
    <row r="13424">
      <c r="A13424" s="215" t="n">
        <v>45540</v>
      </c>
      <c r="B13424" s="216" t="n">
        <v>5.23</v>
      </c>
      <c r="C13424" s="216" t="n">
        <v>10.69</v>
      </c>
      <c r="D13424" s="216" t="n">
        <v>1.095960021018982</v>
      </c>
      <c r="E13424" s="215" t="n">
        <v>45540</v>
      </c>
      <c r="F13424" s="215" t="n">
        <v>45540</v>
      </c>
    </row>
    <row r="13425">
      <c r="A13425" s="215" t="n">
        <v>45544</v>
      </c>
      <c r="B13425" s="216" t="n">
        <v>5.08</v>
      </c>
      <c r="C13425" s="216" t="n">
        <v>10.37</v>
      </c>
      <c r="D13425" s="216" t="n">
        <v>1.099578022956848</v>
      </c>
      <c r="E13425" s="215" t="n">
        <v>45544</v>
      </c>
      <c r="F13425" s="215" t="n">
        <v>45544</v>
      </c>
    </row>
    <row r="13426">
      <c r="A13426" s="215" t="n">
        <v>45545</v>
      </c>
      <c r="B13426" s="216" t="n">
        <v>5.11</v>
      </c>
      <c r="C13426" s="216" t="n">
        <v>10.43</v>
      </c>
      <c r="D13426" s="216" t="n">
        <v>1.095790028572083</v>
      </c>
      <c r="E13426" s="215" t="n">
        <v>45545</v>
      </c>
      <c r="F13426" s="215" t="n">
        <v>45545</v>
      </c>
    </row>
    <row r="13427">
      <c r="A13427" s="215" t="n">
        <v>45546</v>
      </c>
      <c r="B13427" s="216" t="n">
        <v>5.18</v>
      </c>
      <c r="C13427" s="216" t="n">
        <v>10.56</v>
      </c>
      <c r="D13427" s="216" t="n">
        <v>1.094709038734436</v>
      </c>
      <c r="E13427" s="215" t="n">
        <v>45546</v>
      </c>
      <c r="F13427" s="215" t="n">
        <v>45546</v>
      </c>
    </row>
    <row r="13428">
      <c r="A13428" s="215" t="n">
        <v>45547</v>
      </c>
      <c r="B13428" s="216" t="n">
        <v>5.17</v>
      </c>
      <c r="C13428" s="216" t="n">
        <v>10.45</v>
      </c>
      <c r="D13428" s="216" t="n">
        <v>1.095039010047913</v>
      </c>
      <c r="E13428" s="215" t="n">
        <v>45547</v>
      </c>
      <c r="F13428" s="215" t="n">
        <v>45547</v>
      </c>
    </row>
    <row r="13429">
      <c r="A13429" s="215" t="n">
        <v>45548</v>
      </c>
      <c r="B13429" s="216" t="n">
        <v>5.15</v>
      </c>
      <c r="C13429" s="216" t="n">
        <v>10.17</v>
      </c>
      <c r="D13429" s="216" t="n">
        <v>1.096182942390442</v>
      </c>
      <c r="E13429" s="215" t="n">
        <v>45548</v>
      </c>
      <c r="F13429" s="215" t="n">
        <v>45548</v>
      </c>
    </row>
    <row r="13430">
      <c r="A13430" s="215" t="n">
        <v>45551</v>
      </c>
      <c r="B13430" s="216" t="n">
        <v>5.35</v>
      </c>
      <c r="C13430" s="216" t="n">
        <v>10.17</v>
      </c>
      <c r="D13430" s="216" t="n">
        <v>1.099149942398071</v>
      </c>
      <c r="E13430" s="215" t="n">
        <v>45548</v>
      </c>
      <c r="F13430" s="215" t="n">
        <v>45551</v>
      </c>
    </row>
    <row r="13431">
      <c r="A13431" s="215" t="n">
        <v>45552</v>
      </c>
      <c r="B13431" s="216" t="n">
        <v>5.25</v>
      </c>
      <c r="C13431" s="216" t="n">
        <v>10.17</v>
      </c>
      <c r="D13431" s="216" t="n">
        <v>1.098492980003357</v>
      </c>
      <c r="E13431" s="215" t="n">
        <v>45548</v>
      </c>
      <c r="F13431" s="215" t="n">
        <v>45552</v>
      </c>
    </row>
    <row r="13432">
      <c r="A13432" s="215" t="n">
        <v>45554</v>
      </c>
      <c r="B13432" s="216" t="n">
        <v>5.35</v>
      </c>
      <c r="C13432" s="216" t="n">
        <v>10.46</v>
      </c>
      <c r="D13432" s="216" t="n">
        <v>1.10042405128479</v>
      </c>
      <c r="E13432" s="215" t="n">
        <v>45554</v>
      </c>
      <c r="F13432" s="215" t="n">
        <v>45554</v>
      </c>
    </row>
    <row r="13433">
      <c r="A13433" s="215" t="n">
        <v>45555</v>
      </c>
      <c r="B13433" s="216" t="n">
        <v>5.37</v>
      </c>
      <c r="C13433" s="216" t="n">
        <v>10.3</v>
      </c>
      <c r="D13433" s="216" t="n">
        <v>1.102666974067688</v>
      </c>
      <c r="E13433" s="215" t="n">
        <v>45555</v>
      </c>
      <c r="F13433" s="215" t="n">
        <v>45555</v>
      </c>
    </row>
    <row r="13434">
      <c r="A13434" s="215" t="n">
        <v>45558</v>
      </c>
      <c r="B13434" s="216" t="n">
        <v>5.37</v>
      </c>
      <c r="C13434" s="216" t="n">
        <v>10.24</v>
      </c>
      <c r="D13434" s="216" t="n">
        <v>1.104709982872009</v>
      </c>
      <c r="E13434" s="215" t="n">
        <v>45558</v>
      </c>
      <c r="F13434" s="215" t="n">
        <v>45558</v>
      </c>
    </row>
    <row r="13435">
      <c r="A13435" s="215" t="n">
        <v>45559</v>
      </c>
      <c r="B13435" s="216" t="n">
        <v>5.51</v>
      </c>
      <c r="C13435" s="216" t="n">
        <v>10.7</v>
      </c>
      <c r="D13435" s="216" t="n">
        <v>1.104027032852173</v>
      </c>
      <c r="E13435" s="215" t="n">
        <v>45559</v>
      </c>
      <c r="F13435" s="215" t="n">
        <v>45559</v>
      </c>
    </row>
    <row r="13436">
      <c r="A13436" s="215" t="n">
        <v>45560</v>
      </c>
      <c r="B13436" s="216" t="n">
        <v>5.53</v>
      </c>
      <c r="C13436" s="216" t="n">
        <v>10.8</v>
      </c>
      <c r="D13436" s="216" t="n">
        <v>1.106814026832581</v>
      </c>
      <c r="E13436" s="215" t="n">
        <v>45560</v>
      </c>
      <c r="F13436" s="215" t="n">
        <v>45560</v>
      </c>
    </row>
    <row r="13437">
      <c r="A13437" s="215" t="n">
        <v>45561</v>
      </c>
      <c r="B13437" s="216" t="n">
        <v>5.72</v>
      </c>
      <c r="C13437" s="216" t="n">
        <v>11.29</v>
      </c>
      <c r="D13437" s="216" t="n">
        <v>1.106874942779541</v>
      </c>
      <c r="E13437" s="215" t="n">
        <v>45561</v>
      </c>
      <c r="F13437" s="215" t="n">
        <v>45561</v>
      </c>
    </row>
    <row r="13438">
      <c r="A13438" s="215" t="n">
        <v>45562</v>
      </c>
      <c r="B13438" s="216" t="n">
        <v>6.41</v>
      </c>
      <c r="C13438" s="216" t="n">
        <v>12.39</v>
      </c>
      <c r="D13438" s="216" t="n">
        <v>1.10965895652771</v>
      </c>
      <c r="E13438" s="215" t="n">
        <v>45562</v>
      </c>
      <c r="F13438" s="215" t="n">
        <v>45562</v>
      </c>
    </row>
    <row r="13439">
      <c r="A13439" s="215" t="n">
        <v>45565</v>
      </c>
      <c r="B13439" s="216" t="n">
        <v>6.88</v>
      </c>
      <c r="C13439" s="216" t="n">
        <v>14.44</v>
      </c>
      <c r="D13439" s="216" t="n">
        <v>1.10850203037262</v>
      </c>
      <c r="E13439" s="215" t="n">
        <v>45565</v>
      </c>
      <c r="F13439" s="215" t="n">
        <v>45565</v>
      </c>
    </row>
    <row r="13440">
      <c r="A13440" s="215" t="n">
        <v>45567</v>
      </c>
      <c r="B13440" s="216" t="n">
        <v>7.18</v>
      </c>
      <c r="C13440" s="216" t="n">
        <v>14.44</v>
      </c>
      <c r="D13440" s="216" t="n">
        <v>1.105224967002869</v>
      </c>
      <c r="E13440" s="215" t="n">
        <v>45565</v>
      </c>
      <c r="F13440" s="215" t="n">
        <v>45567</v>
      </c>
    </row>
    <row r="13441">
      <c r="A13441" s="215" t="n">
        <v>45568</v>
      </c>
      <c r="B13441" s="216" t="n">
        <v>6.87</v>
      </c>
      <c r="C13441" s="216" t="n">
        <v>14.44</v>
      </c>
      <c r="D13441" s="216" t="n">
        <v>1.10276198387146</v>
      </c>
      <c r="E13441" s="215" t="n">
        <v>45565</v>
      </c>
      <c r="F13441" s="215" t="n">
        <v>45568</v>
      </c>
    </row>
    <row r="13442">
      <c r="A13442" s="215" t="n">
        <v>45569</v>
      </c>
      <c r="B13442" s="216" t="n">
        <v>8.199999999999999</v>
      </c>
      <c r="C13442" s="216" t="n">
        <v>14.44</v>
      </c>
      <c r="D13442" s="216" t="n">
        <v>1.10200297832489</v>
      </c>
      <c r="E13442" s="215" t="n">
        <v>45565</v>
      </c>
      <c r="F13442" s="215" t="n">
        <v>45569</v>
      </c>
    </row>
    <row r="13443">
      <c r="A13443" s="215" t="n">
        <v>45572</v>
      </c>
      <c r="B13443" s="216" t="n">
        <v>9.41</v>
      </c>
      <c r="C13443" s="216" t="n">
        <v>14.44</v>
      </c>
      <c r="D13443" s="216" t="n">
        <v>1.10656201839447</v>
      </c>
      <c r="E13443" s="215" t="n">
        <v>45565</v>
      </c>
      <c r="F13443" s="215" t="n">
        <v>45572</v>
      </c>
    </row>
    <row r="13444">
      <c r="A13444" s="215" t="n">
        <v>45573</v>
      </c>
      <c r="B13444" s="216" t="n">
        <v>7.4</v>
      </c>
      <c r="C13444" s="216" t="n">
        <v>16.49</v>
      </c>
      <c r="D13444" s="216" t="n">
        <v>1.106070041656494</v>
      </c>
      <c r="E13444" s="215" t="n">
        <v>45573</v>
      </c>
      <c r="F13444" s="215" t="n">
        <v>45573</v>
      </c>
    </row>
    <row r="13445">
      <c r="A13445" s="215" t="n">
        <v>45574</v>
      </c>
      <c r="B13445" s="216" t="n">
        <v>6.83</v>
      </c>
      <c r="C13445" s="216" t="n">
        <v>14.09</v>
      </c>
      <c r="D13445" s="216" t="n">
        <v>1.101308941841125</v>
      </c>
      <c r="E13445" s="215" t="n">
        <v>45574</v>
      </c>
      <c r="F13445" s="215" t="n">
        <v>45574</v>
      </c>
    </row>
    <row r="13446">
      <c r="A13446" s="215" t="n">
        <v>45575</v>
      </c>
      <c r="B13446" s="216" t="n">
        <v>6.86</v>
      </c>
      <c r="C13446" s="216" t="n">
        <v>14.01</v>
      </c>
      <c r="D13446" s="216" t="n">
        <v>1.09762704372406</v>
      </c>
      <c r="E13446" s="215" t="n">
        <v>45575</v>
      </c>
      <c r="F13446" s="215" t="n">
        <v>45575</v>
      </c>
    </row>
    <row r="13447">
      <c r="A13447" s="215" t="n">
        <v>45579</v>
      </c>
      <c r="B13447" s="216" t="n">
        <v>6.74</v>
      </c>
      <c r="C13447" s="216" t="n">
        <v>13.67</v>
      </c>
      <c r="D13447" s="216" t="n">
        <v>1.099969029426575</v>
      </c>
      <c r="E13447" s="215" t="n">
        <v>45579</v>
      </c>
      <c r="F13447" s="215" t="n">
        <v>45579</v>
      </c>
    </row>
    <row r="13448">
      <c r="A13448" s="215" t="n">
        <v>45580</v>
      </c>
      <c r="B13448" s="216" t="n">
        <v>6.5</v>
      </c>
      <c r="C13448" s="216" t="n">
        <v>13.24</v>
      </c>
      <c r="D13448" s="216" t="n">
        <v>1.095134019851685</v>
      </c>
      <c r="E13448" s="215" t="n">
        <v>45580</v>
      </c>
      <c r="F13448" s="215" t="n">
        <v>45580</v>
      </c>
    </row>
    <row r="13449">
      <c r="A13449" s="215" t="n">
        <v>45581</v>
      </c>
      <c r="B13449" s="216" t="n">
        <v>6.51</v>
      </c>
      <c r="C13449" s="216" t="n">
        <v>13.19</v>
      </c>
      <c r="D13449" s="216" t="n">
        <v>1.091102957725525</v>
      </c>
      <c r="E13449" s="215" t="n">
        <v>45581</v>
      </c>
      <c r="F13449" s="215" t="n">
        <v>45581</v>
      </c>
    </row>
    <row r="13450">
      <c r="A13450" s="215" t="n">
        <v>45582</v>
      </c>
      <c r="B13450" s="216" t="n">
        <v>6.28</v>
      </c>
      <c r="C13450" s="216" t="n">
        <v>13.06</v>
      </c>
      <c r="D13450" s="216" t="n">
        <v>1.091408967971802</v>
      </c>
      <c r="E13450" s="215" t="n">
        <v>45582</v>
      </c>
      <c r="F13450" s="215" t="n">
        <v>45582</v>
      </c>
    </row>
    <row r="13451">
      <c r="A13451" s="215" t="n">
        <v>45583</v>
      </c>
      <c r="B13451" s="216" t="n">
        <v>6.81</v>
      </c>
      <c r="C13451" s="216" t="n">
        <v>13.79</v>
      </c>
      <c r="D13451" s="216" t="n">
        <v>1.090952038764954</v>
      </c>
      <c r="E13451" s="215" t="n">
        <v>45583</v>
      </c>
      <c r="F13451" s="215" t="n">
        <v>45583</v>
      </c>
    </row>
    <row r="13452">
      <c r="A13452" s="215" t="n">
        <v>45586</v>
      </c>
      <c r="B13452" s="216" t="n">
        <v>6.84</v>
      </c>
      <c r="C13452" s="216" t="n">
        <v>14.74</v>
      </c>
      <c r="D13452" s="216" t="n">
        <v>1.09406304359436</v>
      </c>
      <c r="E13452" s="215" t="n">
        <v>45586</v>
      </c>
      <c r="F13452" s="215" t="n">
        <v>45586</v>
      </c>
    </row>
    <row r="13453">
      <c r="A13453" s="215" t="n">
        <v>45587</v>
      </c>
      <c r="B13453" s="216" t="n">
        <v>7.1</v>
      </c>
      <c r="C13453" s="216" t="n">
        <v>15.48</v>
      </c>
      <c r="D13453" s="216" t="n">
        <v>1.091953992843628</v>
      </c>
      <c r="E13453" s="215" t="n">
        <v>45587</v>
      </c>
      <c r="F13453" s="215" t="n">
        <v>45587</v>
      </c>
    </row>
    <row r="13454">
      <c r="A13454" s="215" t="n">
        <v>45588</v>
      </c>
      <c r="B13454" s="216" t="n">
        <v>7.06</v>
      </c>
      <c r="C13454" s="216" t="n">
        <v>15.78</v>
      </c>
      <c r="D13454" s="216" t="n">
        <v>1.091060042381287</v>
      </c>
      <c r="E13454" s="215" t="n">
        <v>45588</v>
      </c>
      <c r="F13454" s="215" t="n">
        <v>45588</v>
      </c>
    </row>
    <row r="13455">
      <c r="A13455" s="215" t="n">
        <v>45589</v>
      </c>
      <c r="B13455" s="216" t="n">
        <v>6.81</v>
      </c>
      <c r="C13455" s="216" t="n">
        <v>15.49</v>
      </c>
      <c r="D13455" s="216" t="n">
        <v>1.090194940567017</v>
      </c>
      <c r="E13455" s="215" t="n">
        <v>45589</v>
      </c>
      <c r="F13455" s="215" t="n">
        <v>45589</v>
      </c>
    </row>
    <row r="13456">
      <c r="A13456" s="215" t="n">
        <v>45590</v>
      </c>
      <c r="B13456" s="216" t="n">
        <v>7.42</v>
      </c>
      <c r="C13456" s="216" t="n">
        <v>16.7</v>
      </c>
      <c r="D13456" s="216" t="n">
        <v>1.091233015060425</v>
      </c>
      <c r="E13456" s="215" t="n">
        <v>45590</v>
      </c>
      <c r="F13456" s="215" t="n">
        <v>45590</v>
      </c>
    </row>
    <row r="13457">
      <c r="A13457" s="215" t="n">
        <v>45593</v>
      </c>
      <c r="B13457" s="216" t="n">
        <v>7.68</v>
      </c>
      <c r="C13457" s="216" t="n">
        <v>17.95</v>
      </c>
      <c r="D13457" s="216" t="n">
        <v>1.091169953346252</v>
      </c>
      <c r="E13457" s="215" t="n">
        <v>45593</v>
      </c>
      <c r="F13457" s="215" t="n">
        <v>45593</v>
      </c>
    </row>
    <row r="13458">
      <c r="A13458" s="215" t="n">
        <v>45594</v>
      </c>
      <c r="B13458" s="216" t="n">
        <v>7.56</v>
      </c>
      <c r="C13458" s="216" t="n">
        <v>17.54</v>
      </c>
      <c r="D13458" s="216" t="n">
        <v>1.090175032615662</v>
      </c>
      <c r="E13458" s="215" t="n">
        <v>45594</v>
      </c>
      <c r="F13458" s="215" t="n">
        <v>45594</v>
      </c>
    </row>
    <row r="13459">
      <c r="A13459" s="215" t="n">
        <v>45595</v>
      </c>
      <c r="B13459" s="216" t="n">
        <v>7.55</v>
      </c>
      <c r="C13459" s="216" t="n">
        <v>17.55</v>
      </c>
      <c r="D13459" s="216" t="n">
        <v>1.089673042297363</v>
      </c>
      <c r="E13459" s="215" t="n">
        <v>45595</v>
      </c>
      <c r="F13459" s="215" t="n">
        <v>45595</v>
      </c>
    </row>
    <row r="13460">
      <c r="A13460" s="215" t="n">
        <v>45596</v>
      </c>
      <c r="B13460" s="216" t="n">
        <v>7.54</v>
      </c>
      <c r="C13460" s="216" t="n">
        <v>17.22</v>
      </c>
      <c r="D13460" s="216" t="n">
        <v>1.091989994049072</v>
      </c>
      <c r="E13460" s="215" t="n">
        <v>45596</v>
      </c>
      <c r="F13460" s="215" t="n">
        <v>45596</v>
      </c>
    </row>
    <row r="13461">
      <c r="A13461" s="215" t="n">
        <v>45597</v>
      </c>
      <c r="B13461" s="216" t="n">
        <v>10.86</v>
      </c>
      <c r="C13461" s="216" t="n">
        <v>20.66</v>
      </c>
      <c r="D13461" s="216" t="n">
        <v>1.091570019721985</v>
      </c>
      <c r="E13461" s="215" t="n">
        <v>45597</v>
      </c>
      <c r="F13461" s="215" t="n">
        <v>45597</v>
      </c>
    </row>
    <row r="13462">
      <c r="A13462" s="215" t="n">
        <v>45600</v>
      </c>
      <c r="B13462" s="216" t="n">
        <v>9.279999999999999</v>
      </c>
      <c r="C13462" s="216" t="n">
        <v>20.95</v>
      </c>
      <c r="D13462" s="216" t="n">
        <v>1.091678023338318</v>
      </c>
      <c r="E13462" s="215" t="n">
        <v>45600</v>
      </c>
      <c r="F13462" s="215" t="n">
        <v>45600</v>
      </c>
    </row>
    <row r="13463">
      <c r="A13463" s="215" t="n">
        <v>45601</v>
      </c>
      <c r="B13463" s="216" t="n">
        <v>10.06</v>
      </c>
      <c r="C13463" s="216" t="n">
        <v>23.26</v>
      </c>
      <c r="D13463" s="216" t="n">
        <v>1.094761967658997</v>
      </c>
      <c r="E13463" s="215" t="n">
        <v>45601</v>
      </c>
      <c r="F13463" s="215" t="n">
        <v>45601</v>
      </c>
    </row>
    <row r="13464">
      <c r="A13464" s="215" t="n">
        <v>45602</v>
      </c>
      <c r="B13464" s="216" t="n">
        <v>10.76</v>
      </c>
      <c r="C13464" s="216" t="n">
        <v>24.59</v>
      </c>
      <c r="D13464" s="216" t="n">
        <v>1.094082951545715</v>
      </c>
      <c r="E13464" s="215" t="n">
        <v>45602</v>
      </c>
      <c r="F13464" s="215" t="n">
        <v>45602</v>
      </c>
    </row>
    <row r="13465">
      <c r="A13465" s="215" t="n">
        <v>45603</v>
      </c>
      <c r="B13465" s="216" t="n">
        <v>10.04</v>
      </c>
      <c r="C13465" s="216" t="n">
        <v>23.55</v>
      </c>
      <c r="D13465" s="216" t="n">
        <v>1.083237051963806</v>
      </c>
      <c r="E13465" s="215" t="n">
        <v>45603</v>
      </c>
      <c r="F13465" s="215" t="n">
        <v>45603</v>
      </c>
    </row>
    <row r="13466">
      <c r="A13466" s="215" t="n">
        <v>45604</v>
      </c>
      <c r="B13466" s="216" t="n">
        <v>9.77</v>
      </c>
      <c r="C13466" s="216" t="n">
        <v>22.02</v>
      </c>
      <c r="D13466" s="216" t="n">
        <v>1.087854027748108</v>
      </c>
      <c r="E13466" s="215" t="n">
        <v>45604</v>
      </c>
      <c r="F13466" s="215" t="n">
        <v>45604</v>
      </c>
    </row>
    <row r="13467">
      <c r="A13467" s="215" t="n">
        <v>45607</v>
      </c>
      <c r="B13467" s="216" t="n">
        <v>9.85</v>
      </c>
      <c r="C13467" s="216" t="n">
        <v>22.56</v>
      </c>
      <c r="D13467" s="216" t="n">
        <v>1.082896947860718</v>
      </c>
      <c r="E13467" s="215" t="n">
        <v>45607</v>
      </c>
      <c r="F13467" s="215" t="n">
        <v>45607</v>
      </c>
    </row>
    <row r="13468">
      <c r="A13468" s="215" t="n">
        <v>45608</v>
      </c>
      <c r="B13468" s="216" t="n">
        <v>9.16</v>
      </c>
      <c r="C13468" s="216" t="n">
        <v>22.02</v>
      </c>
      <c r="D13468" s="216" t="n">
        <v>1.077934980392456</v>
      </c>
      <c r="E13468" s="215" t="n">
        <v>45608</v>
      </c>
      <c r="F13468" s="215" t="n">
        <v>45608</v>
      </c>
    </row>
    <row r="13469">
      <c r="A13469" s="215" t="n">
        <v>45609</v>
      </c>
      <c r="B13469" s="216" t="n">
        <v>9.449999999999999</v>
      </c>
      <c r="C13469" s="216" t="n">
        <v>22.31</v>
      </c>
      <c r="D13469" s="216" t="n">
        <v>1.075376033782959</v>
      </c>
      <c r="E13469" s="215" t="n">
        <v>45609</v>
      </c>
      <c r="F13469" s="215" t="n">
        <v>45609</v>
      </c>
    </row>
    <row r="13470">
      <c r="A13470" s="215" t="n">
        <v>45610</v>
      </c>
      <c r="B13470" s="216" t="n">
        <v>8.58</v>
      </c>
      <c r="C13470" s="216" t="n">
        <v>20.67</v>
      </c>
      <c r="D13470" s="216" t="n">
        <v>1.07691502571106</v>
      </c>
      <c r="E13470" s="215" t="n">
        <v>45610</v>
      </c>
      <c r="F13470" s="215" t="n">
        <v>45610</v>
      </c>
    </row>
    <row r="13471">
      <c r="A13471" s="215" t="n">
        <v>45611</v>
      </c>
      <c r="B13471" s="216" t="n">
        <v>8.1</v>
      </c>
      <c r="C13471" s="216" t="n">
        <v>19.66</v>
      </c>
      <c r="D13471" s="216" t="n">
        <v>1.07588803768158</v>
      </c>
      <c r="E13471" s="215" t="n">
        <v>45611</v>
      </c>
      <c r="F13471" s="215" t="n">
        <v>45611</v>
      </c>
    </row>
    <row r="13472">
      <c r="A13472" s="215" t="n">
        <v>45614</v>
      </c>
      <c r="B13472" s="216" t="n">
        <v>8.039999999999999</v>
      </c>
      <c r="C13472" s="216" t="n">
        <v>18.57</v>
      </c>
      <c r="D13472" s="216" t="n">
        <v>1.076550960540771</v>
      </c>
      <c r="E13472" s="215" t="n">
        <v>45614</v>
      </c>
      <c r="F13472" s="215" t="n">
        <v>45614</v>
      </c>
    </row>
    <row r="13473">
      <c r="A13473" s="215" t="n">
        <v>45615</v>
      </c>
      <c r="B13473" s="216" t="n">
        <v>8.59</v>
      </c>
      <c r="C13473" s="216" t="n">
        <v>19.49</v>
      </c>
      <c r="D13473" s="216" t="n">
        <v>1.075461030006409</v>
      </c>
      <c r="E13473" s="215" t="n">
        <v>45615</v>
      </c>
      <c r="F13473" s="215" t="n">
        <v>45615</v>
      </c>
    </row>
    <row r="13474">
      <c r="A13474" s="215" t="n">
        <v>45616</v>
      </c>
      <c r="B13474" s="216" t="n">
        <v>8.640000000000001</v>
      </c>
      <c r="C13474" s="216" t="n">
        <v>19.71</v>
      </c>
      <c r="D13474" s="216" t="n">
        <v>1.075147032737732</v>
      </c>
      <c r="E13474" s="215" t="n">
        <v>45616</v>
      </c>
      <c r="F13474" s="215" t="n">
        <v>45616</v>
      </c>
    </row>
    <row r="13475">
      <c r="A13475" s="215" t="n">
        <v>45617</v>
      </c>
      <c r="B13475" s="216" t="n">
        <v>8.34</v>
      </c>
      <c r="C13475" s="216" t="n">
        <v>19.44</v>
      </c>
      <c r="D13475" s="216" t="n">
        <v>1.074183940887451</v>
      </c>
      <c r="E13475" s="215" t="n">
        <v>45617</v>
      </c>
      <c r="F13475" s="215" t="n">
        <v>45617</v>
      </c>
    </row>
    <row r="13476">
      <c r="A13476" s="215" t="n">
        <v>45618</v>
      </c>
      <c r="B13476" s="216" t="n">
        <v>9.4</v>
      </c>
      <c r="C13476" s="216" t="n">
        <v>21.09</v>
      </c>
      <c r="D13476" s="216" t="n">
        <v>1.075669050216675</v>
      </c>
      <c r="E13476" s="215" t="n">
        <v>45618</v>
      </c>
      <c r="F13476" s="215" t="n">
        <v>45618</v>
      </c>
    </row>
    <row r="13477">
      <c r="A13477" s="215" t="n">
        <v>45621</v>
      </c>
      <c r="B13477" s="216" t="n">
        <v>9.220000000000001</v>
      </c>
      <c r="C13477" s="216" t="n">
        <v>20.74</v>
      </c>
      <c r="D13477" s="216" t="n">
        <v>1.074473023414612</v>
      </c>
      <c r="E13477" s="215" t="n">
        <v>45621</v>
      </c>
      <c r="F13477" s="215" t="n">
        <v>45621</v>
      </c>
    </row>
    <row r="13478">
      <c r="A13478" s="215" t="n">
        <v>45622</v>
      </c>
      <c r="B13478" s="216" t="n">
        <v>8.890000000000001</v>
      </c>
      <c r="C13478" s="216" t="n">
        <v>19.38</v>
      </c>
      <c r="D13478" s="216" t="n">
        <v>1.073958039283752</v>
      </c>
      <c r="E13478" s="215" t="n">
        <v>45622</v>
      </c>
      <c r="F13478" s="215" t="n">
        <v>45622</v>
      </c>
    </row>
    <row r="13479">
      <c r="A13479" s="215" t="n">
        <v>45623</v>
      </c>
      <c r="B13479" s="216" t="n">
        <v>9.210000000000001</v>
      </c>
      <c r="C13479" s="216" t="n">
        <v>19.9</v>
      </c>
      <c r="D13479" s="216" t="n">
        <v>1.073114991188049</v>
      </c>
      <c r="E13479" s="215" t="n">
        <v>45623</v>
      </c>
      <c r="F13479" s="215" t="n">
        <v>45623</v>
      </c>
    </row>
    <row r="13480">
      <c r="A13480" s="215" t="n">
        <v>45624</v>
      </c>
      <c r="B13480" s="216" t="n">
        <v>9.109999999999999</v>
      </c>
      <c r="C13480" s="216" t="n">
        <v>19.44</v>
      </c>
      <c r="D13480" s="216" t="n">
        <v>1.073555946350098</v>
      </c>
      <c r="E13480" s="215" t="n">
        <v>45624</v>
      </c>
      <c r="F13480" s="215" t="n">
        <v>45624</v>
      </c>
    </row>
    <row r="13481">
      <c r="A13481" s="215" t="n">
        <v>45625</v>
      </c>
      <c r="B13481" s="216" t="n">
        <v>9.220000000000001</v>
      </c>
      <c r="C13481" s="216" t="n">
        <v>19.86</v>
      </c>
      <c r="D13481" s="216" t="n">
        <v>1.074349999427795</v>
      </c>
      <c r="E13481" s="215" t="n">
        <v>45625</v>
      </c>
      <c r="F13481" s="215" t="n">
        <v>45625</v>
      </c>
    </row>
    <row r="13482">
      <c r="A13482" s="215" t="n">
        <v>45628</v>
      </c>
      <c r="B13482" s="216" t="n">
        <v>9.57</v>
      </c>
      <c r="C13482" s="216" t="n">
        <v>20.65</v>
      </c>
      <c r="D13482" s="216" t="n">
        <v>1.074655055999756</v>
      </c>
      <c r="E13482" s="215" t="n">
        <v>45628</v>
      </c>
      <c r="F13482" s="215" t="n">
        <v>45628</v>
      </c>
    </row>
    <row r="13483">
      <c r="A13483" s="215" t="n">
        <v>45629</v>
      </c>
      <c r="B13483" s="216" t="n">
        <v>10.08</v>
      </c>
      <c r="C13483" s="216" t="n">
        <v>21.72</v>
      </c>
      <c r="D13483" s="216" t="n">
        <v>1.069697022438049</v>
      </c>
      <c r="E13483" s="215" t="n">
        <v>45629</v>
      </c>
      <c r="F13483" s="215" t="n">
        <v>45629</v>
      </c>
    </row>
    <row r="13484">
      <c r="A13484" s="215" t="n">
        <v>45630</v>
      </c>
      <c r="B13484" s="216" t="n">
        <v>9.93</v>
      </c>
      <c r="C13484" s="216" t="n">
        <v>22.1</v>
      </c>
      <c r="D13484" s="216" t="n">
        <v>1.068164944648743</v>
      </c>
      <c r="E13484" s="215" t="n">
        <v>45630</v>
      </c>
      <c r="F13484" s="215" t="n">
        <v>45630</v>
      </c>
    </row>
    <row r="13485">
      <c r="A13485" s="215" t="n">
        <v>45631</v>
      </c>
      <c r="B13485" s="216" t="n">
        <v>9.779999999999999</v>
      </c>
      <c r="C13485" s="216" t="n">
        <v>21.41</v>
      </c>
      <c r="D13485" s="216" t="n">
        <v>1.071516990661621</v>
      </c>
      <c r="E13485" s="215" t="n">
        <v>45631</v>
      </c>
      <c r="F13485" s="215" t="n">
        <v>45631</v>
      </c>
    </row>
    <row r="13486">
      <c r="A13486" s="215" t="n">
        <v>45632</v>
      </c>
      <c r="B13486" s="216" t="n">
        <v>9.5</v>
      </c>
      <c r="C13486" s="216" t="n">
        <v>21.05</v>
      </c>
      <c r="D13486" s="216" t="n">
        <v>1.07178795337677</v>
      </c>
      <c r="E13486" s="215" t="n">
        <v>45632</v>
      </c>
      <c r="F13486" s="215" t="n">
        <v>45632</v>
      </c>
    </row>
    <row r="13487">
      <c r="A13487" s="215" t="n">
        <v>45635</v>
      </c>
      <c r="B13487" s="216" t="n">
        <v>9.49</v>
      </c>
      <c r="C13487" s="216" t="n">
        <v>20.8</v>
      </c>
      <c r="D13487" s="216" t="n">
        <v>1.070058941841125</v>
      </c>
      <c r="E13487" s="215" t="n">
        <v>45635</v>
      </c>
      <c r="F13487" s="215" t="n">
        <v>45635</v>
      </c>
    </row>
    <row r="13488">
      <c r="A13488" s="215" t="n">
        <v>45636</v>
      </c>
      <c r="B13488" s="216" t="n">
        <v>9.23</v>
      </c>
      <c r="C13488" s="216" t="n">
        <v>20.65</v>
      </c>
      <c r="D13488" s="216" t="n">
        <v>1.07076895236969</v>
      </c>
      <c r="E13488" s="215" t="n">
        <v>45636</v>
      </c>
      <c r="F13488" s="215" t="n">
        <v>45636</v>
      </c>
    </row>
    <row r="13489">
      <c r="A13489" s="215" t="n">
        <v>45637</v>
      </c>
      <c r="B13489" s="216" t="n">
        <v>9.369999999999999</v>
      </c>
      <c r="C13489" s="216" t="n">
        <v>20.65</v>
      </c>
      <c r="D13489" s="216" t="n">
        <v>1.072139024734497</v>
      </c>
      <c r="E13489" s="215" t="n">
        <v>45637</v>
      </c>
      <c r="F13489" s="215" t="n">
        <v>45637</v>
      </c>
    </row>
    <row r="13490">
      <c r="A13490" s="215" t="n">
        <v>45638</v>
      </c>
      <c r="B13490" s="216" t="n">
        <v>9.220000000000001</v>
      </c>
      <c r="C13490" s="216" t="n">
        <v>20.16</v>
      </c>
      <c r="D13490" s="216" t="n">
        <v>1.070543050765991</v>
      </c>
      <c r="E13490" s="215" t="n">
        <v>45638</v>
      </c>
      <c r="F13490" s="215" t="n">
        <v>45638</v>
      </c>
    </row>
    <row r="13491">
      <c r="A13491" s="215" t="n">
        <v>45639</v>
      </c>
      <c r="B13491" s="216" t="n">
        <v>9.02</v>
      </c>
      <c r="C13491" s="216" t="n">
        <v>19.81</v>
      </c>
      <c r="D13491" s="216" t="n">
        <v>1.069535970687866</v>
      </c>
      <c r="E13491" s="215" t="n">
        <v>45639</v>
      </c>
      <c r="F13491" s="215" t="n">
        <v>45639</v>
      </c>
    </row>
    <row r="13492">
      <c r="A13492" s="215" t="n">
        <v>45642</v>
      </c>
      <c r="B13492" s="216" t="n">
        <v>8.779999999999999</v>
      </c>
      <c r="C13492" s="216" t="n">
        <v>19.46</v>
      </c>
      <c r="D13492" s="216" t="n">
        <v>1.068564057350159</v>
      </c>
      <c r="E13492" s="215" t="n">
        <v>45642</v>
      </c>
      <c r="F13492" s="215" t="n">
        <v>45642</v>
      </c>
    </row>
    <row r="13493">
      <c r="A13493" s="215" t="n">
        <v>45643</v>
      </c>
      <c r="B13493" s="216" t="n">
        <v>8.869999999999999</v>
      </c>
      <c r="C13493" s="216" t="n">
        <v>19.44</v>
      </c>
      <c r="D13493" s="216" t="n">
        <v>1.06734299659729</v>
      </c>
      <c r="E13493" s="215" t="n">
        <v>45643</v>
      </c>
      <c r="F13493" s="215" t="n">
        <v>45643</v>
      </c>
    </row>
    <row r="13494">
      <c r="A13494" s="215" t="n">
        <v>45644</v>
      </c>
      <c r="B13494" s="216" t="n">
        <v>8.81</v>
      </c>
      <c r="C13494" s="216" t="n">
        <v>19.27</v>
      </c>
      <c r="D13494" s="216" t="n">
        <v>1.066388010978699</v>
      </c>
      <c r="E13494" s="215" t="n">
        <v>45644</v>
      </c>
      <c r="F13494" s="215" t="n">
        <v>45644</v>
      </c>
    </row>
    <row r="13495">
      <c r="A13495" s="215" t="n">
        <v>45645</v>
      </c>
      <c r="B13495" s="216" t="n">
        <v>8.710000000000001</v>
      </c>
      <c r="C13495" s="216" t="n">
        <v>19.15</v>
      </c>
      <c r="D13495" s="216" t="n">
        <v>1.066426038742065</v>
      </c>
      <c r="E13495" s="215" t="n">
        <v>45645</v>
      </c>
      <c r="F13495" s="215" t="n">
        <v>45645</v>
      </c>
    </row>
    <row r="13496">
      <c r="A13496" s="215" t="n">
        <v>45646</v>
      </c>
      <c r="B13496" s="216" t="n">
        <v>8.75</v>
      </c>
      <c r="C13496" s="216" t="n">
        <v>19.51</v>
      </c>
      <c r="D13496" s="216" t="n">
        <v>1.064751029014587</v>
      </c>
      <c r="E13496" s="215" t="n">
        <v>45646</v>
      </c>
      <c r="F13496" s="215" t="n">
        <v>45646</v>
      </c>
    </row>
    <row r="13497">
      <c r="A13497" s="215" t="n">
        <v>45649</v>
      </c>
      <c r="B13497" s="216" t="n">
        <v>8.529999999999999</v>
      </c>
      <c r="C13497" s="216" t="n">
        <v>18.68</v>
      </c>
      <c r="D13497" s="216" t="n">
        <v>1.065225005149841</v>
      </c>
      <c r="E13497" s="215" t="n">
        <v>45649</v>
      </c>
      <c r="F13497" s="215" t="n">
        <v>45649</v>
      </c>
    </row>
    <row r="13498">
      <c r="A13498" s="215" t="n">
        <v>45650</v>
      </c>
      <c r="B13498" s="216" t="n">
        <v>8.359999999999999</v>
      </c>
      <c r="C13498" s="216" t="n">
        <v>18.62</v>
      </c>
      <c r="D13498" s="216" t="n">
        <v>1.06459105014801</v>
      </c>
      <c r="E13498" s="215" t="n">
        <v>45650</v>
      </c>
      <c r="F13498" s="215" t="n">
        <v>45650</v>
      </c>
    </row>
    <row r="13499">
      <c r="A13499" s="215" t="n">
        <v>45653</v>
      </c>
      <c r="B13499" s="216" t="n">
        <v>8.300000000000001</v>
      </c>
      <c r="C13499" s="216" t="n">
        <v>18.92</v>
      </c>
      <c r="D13499" s="216" t="n">
        <v>1.064249038696289</v>
      </c>
      <c r="E13499" s="215" t="n">
        <v>45653</v>
      </c>
      <c r="F13499" s="215" t="n">
        <v>45653</v>
      </c>
    </row>
    <row r="13500">
      <c r="A13500" s="215" t="n">
        <v>45656</v>
      </c>
      <c r="B13500" s="216" t="n">
        <v>7.98</v>
      </c>
      <c r="C13500" s="216" t="n">
        <v>18.43</v>
      </c>
      <c r="D13500" s="216" t="n">
        <v>1.063662052154541</v>
      </c>
      <c r="E13500" s="215" t="n">
        <v>45656</v>
      </c>
      <c r="F13500" s="215" t="n">
        <v>45656</v>
      </c>
    </row>
    <row r="13501">
      <c r="A13501" s="215" t="n">
        <v>45657</v>
      </c>
      <c r="B13501" s="216" t="n">
        <v>7.81</v>
      </c>
      <c r="C13501" s="216" t="n">
        <v>17.88</v>
      </c>
      <c r="D13501" s="216" t="n">
        <v>1.063554048538208</v>
      </c>
      <c r="E13501" s="215" t="n">
        <v>45657</v>
      </c>
      <c r="F13501" s="215" t="n">
        <v>45657</v>
      </c>
    </row>
    <row r="13502">
      <c r="A13502" s="215" t="n">
        <v>45659</v>
      </c>
      <c r="B13502" s="216" t="n">
        <v>7.58</v>
      </c>
      <c r="C13502" s="216" t="n">
        <v>17.32</v>
      </c>
      <c r="D13502" s="216" t="n">
        <v>1.064368963241577</v>
      </c>
      <c r="E13502" s="215" t="n">
        <v>45659</v>
      </c>
      <c r="F13502" s="215" t="n">
        <v>45659</v>
      </c>
    </row>
    <row r="13503">
      <c r="A13503" s="215" t="n">
        <v>45660</v>
      </c>
      <c r="B13503" s="216" t="n">
        <v>7.49</v>
      </c>
      <c r="C13503" s="216" t="n">
        <v>17.29</v>
      </c>
      <c r="D13503" s="216" t="n">
        <v>1.065240979194641</v>
      </c>
      <c r="E13503" s="215" t="n">
        <v>45660</v>
      </c>
      <c r="F13503" s="215" t="n">
        <v>45660</v>
      </c>
    </row>
    <row r="13504">
      <c r="A13504" s="215" t="n">
        <v>45663</v>
      </c>
      <c r="B13504" s="216" t="n">
        <v>7.8</v>
      </c>
      <c r="C13504" s="216" t="n">
        <v>17.8</v>
      </c>
      <c r="D13504" s="216" t="n">
        <v>1.062374949455261</v>
      </c>
      <c r="E13504" s="215" t="n">
        <v>45663</v>
      </c>
      <c r="F13504" s="215" t="n">
        <v>45663</v>
      </c>
    </row>
    <row r="13505">
      <c r="A13505" s="215" t="n">
        <v>45664</v>
      </c>
      <c r="B13505" s="216" t="n">
        <v>8.07</v>
      </c>
      <c r="C13505" s="216" t="n">
        <v>18.4</v>
      </c>
      <c r="D13505" s="216" t="n">
        <v>1.061730027198792</v>
      </c>
      <c r="E13505" s="215" t="n">
        <v>45664</v>
      </c>
      <c r="F13505" s="215" t="n">
        <v>45664</v>
      </c>
    </row>
    <row r="13506">
      <c r="A13506" s="215" t="n">
        <v>45665</v>
      </c>
      <c r="B13506" s="216" t="n">
        <v>7.78</v>
      </c>
      <c r="C13506" s="216" t="n">
        <v>17.95</v>
      </c>
      <c r="D13506" s="216" t="n">
        <v>1.061154961585999</v>
      </c>
      <c r="E13506" s="215" t="n">
        <v>45665</v>
      </c>
      <c r="F13506" s="215" t="n">
        <v>45665</v>
      </c>
    </row>
    <row r="13507">
      <c r="A13507" s="215" t="n">
        <v>45666</v>
      </c>
      <c r="B13507" s="216" t="n">
        <v>8.109999999999999</v>
      </c>
      <c r="C13507" s="216" t="n">
        <v>18.59</v>
      </c>
      <c r="D13507" s="216" t="n">
        <v>1.061004042625427</v>
      </c>
      <c r="E13507" s="215" t="n">
        <v>45666</v>
      </c>
      <c r="F13507" s="215" t="n">
        <v>45666</v>
      </c>
    </row>
    <row r="13508">
      <c r="A13508" s="215" t="n">
        <v>45667</v>
      </c>
      <c r="B13508" s="216" t="n">
        <v>8.08</v>
      </c>
      <c r="C13508" s="216" t="n">
        <v>18.85</v>
      </c>
      <c r="D13508" s="216" t="n">
        <v>1.061197996139526</v>
      </c>
      <c r="E13508" s="215" t="n">
        <v>45667</v>
      </c>
      <c r="F13508" s="215" t="n">
        <v>45667</v>
      </c>
    </row>
    <row r="13509">
      <c r="A13509" s="215" t="n">
        <v>45670</v>
      </c>
      <c r="B13509" s="216" t="n">
        <v>8.630000000000001</v>
      </c>
      <c r="C13509" s="216" t="n">
        <v>19.98</v>
      </c>
      <c r="D13509" s="216" t="n">
        <v>1.061838984489441</v>
      </c>
      <c r="E13509" s="215" t="n">
        <v>45670</v>
      </c>
      <c r="F13509" s="215" t="n">
        <v>45670</v>
      </c>
    </row>
    <row r="13510">
      <c r="A13510" s="215" t="n">
        <v>45671</v>
      </c>
      <c r="B13510" s="216" t="n">
        <v>8.710000000000001</v>
      </c>
      <c r="C13510" s="216" t="n">
        <v>20.58</v>
      </c>
      <c r="D13510" s="216" t="n">
        <v>1.061681032180786</v>
      </c>
      <c r="E13510" s="215" t="n">
        <v>45671</v>
      </c>
      <c r="F13510" s="215" t="n">
        <v>45671</v>
      </c>
    </row>
    <row r="13511">
      <c r="A13511" s="215" t="n">
        <v>45672</v>
      </c>
      <c r="B13511" s="216" t="n">
        <v>8.710000000000001</v>
      </c>
      <c r="C13511" s="216" t="n">
        <v>20.6</v>
      </c>
      <c r="D13511" s="216" t="n">
        <v>1.062003970146179</v>
      </c>
      <c r="E13511" s="215" t="n">
        <v>45672</v>
      </c>
      <c r="F13511" s="215" t="n">
        <v>45672</v>
      </c>
    </row>
    <row r="13512">
      <c r="A13512" s="215" t="n">
        <v>45673</v>
      </c>
      <c r="B13512" s="216" t="n">
        <v>8.859999999999999</v>
      </c>
      <c r="C13512" s="216" t="n">
        <v>20.16</v>
      </c>
      <c r="D13512" s="216" t="n">
        <v>1.061879992485046</v>
      </c>
      <c r="E13512" s="215" t="n">
        <v>45673</v>
      </c>
      <c r="F13512" s="215" t="n">
        <v>45673</v>
      </c>
    </row>
    <row r="13513">
      <c r="A13513" s="215" t="n">
        <v>45674</v>
      </c>
      <c r="B13513" s="216" t="n">
        <v>8.710000000000001</v>
      </c>
      <c r="C13513" s="216" t="n">
        <v>19.94</v>
      </c>
      <c r="D13513" s="216" t="n">
        <v>1.06210196018219</v>
      </c>
      <c r="E13513" s="215" t="n">
        <v>45674</v>
      </c>
      <c r="F13513" s="215" t="n">
        <v>45674</v>
      </c>
    </row>
    <row r="13514">
      <c r="A13514" s="215" t="n">
        <v>45677</v>
      </c>
      <c r="B13514" s="216" t="n">
        <v>8.630000000000001</v>
      </c>
      <c r="C13514" s="216" t="n">
        <v>19.66</v>
      </c>
      <c r="D13514" s="216" t="n">
        <v>1.062587022781372</v>
      </c>
      <c r="E13514" s="215" t="n">
        <v>45677</v>
      </c>
      <c r="F13514" s="215" t="n">
        <v>45677</v>
      </c>
    </row>
    <row r="13515">
      <c r="A13515" s="215" t="n">
        <v>45678</v>
      </c>
      <c r="B13515" s="216" t="n">
        <v>8.16</v>
      </c>
      <c r="C13515" s="216" t="n">
        <v>19.18</v>
      </c>
      <c r="D13515" s="216" t="n">
        <v>1.063603043556213</v>
      </c>
      <c r="E13515" s="215" t="n">
        <v>45678</v>
      </c>
      <c r="F13515" s="215" t="n">
        <v>45678</v>
      </c>
    </row>
    <row r="13516">
      <c r="A13516" s="215" t="n">
        <v>45679</v>
      </c>
      <c r="B13516" s="216" t="n">
        <v>8.41</v>
      </c>
      <c r="C13516" s="216" t="n">
        <v>20.03</v>
      </c>
      <c r="D13516" s="216" t="n">
        <v>1.070593953132629</v>
      </c>
      <c r="E13516" s="215" t="n">
        <v>45679</v>
      </c>
      <c r="F13516" s="215" t="n">
        <v>45679</v>
      </c>
    </row>
    <row r="13517">
      <c r="A13517" s="215" t="n">
        <v>45680</v>
      </c>
      <c r="B13517" s="216" t="n">
        <v>8.5</v>
      </c>
      <c r="C13517" s="216" t="n">
        <v>20.15</v>
      </c>
      <c r="D13517" s="216" t="n">
        <v>1.070641040802002</v>
      </c>
      <c r="E13517" s="215" t="n">
        <v>45680</v>
      </c>
      <c r="F13517" s="215" t="n">
        <v>45680</v>
      </c>
    </row>
    <row r="13518">
      <c r="A13518" s="215" t="n">
        <v>45681</v>
      </c>
      <c r="B13518" s="216" t="n">
        <v>9.42</v>
      </c>
      <c r="C13518" s="216" t="n">
        <v>21.17</v>
      </c>
      <c r="D13518" s="216" t="n">
        <v>1.068833947181702</v>
      </c>
      <c r="E13518" s="215" t="n">
        <v>45681</v>
      </c>
      <c r="F13518" s="215" t="n">
        <v>45681</v>
      </c>
    </row>
    <row r="13519">
      <c r="A13519" s="215" t="n">
        <v>45684</v>
      </c>
      <c r="B13519" s="216" t="n">
        <v>9.109999999999999</v>
      </c>
      <c r="C13519" s="216" t="n">
        <v>19.79</v>
      </c>
      <c r="D13519" s="216" t="n">
        <v>1.075027942657471</v>
      </c>
      <c r="E13519" s="215" t="n">
        <v>45684</v>
      </c>
      <c r="F13519" s="215" t="n">
        <v>45684</v>
      </c>
    </row>
    <row r="13520">
      <c r="A13520" s="215" t="n">
        <v>45685</v>
      </c>
      <c r="B13520" s="216" t="n">
        <v>9.300000000000001</v>
      </c>
      <c r="C13520" s="216" t="n">
        <v>19.79</v>
      </c>
      <c r="D13520" s="216" t="n">
        <v>1.074183940887451</v>
      </c>
      <c r="E13520" s="215" t="n">
        <v>45684</v>
      </c>
      <c r="F13520" s="215" t="n">
        <v>45685</v>
      </c>
    </row>
    <row r="13521">
      <c r="A13521" s="215" t="n">
        <v>45691</v>
      </c>
      <c r="B13521" s="216" t="n">
        <v>9.19</v>
      </c>
      <c r="C13521" s="216" t="n">
        <v>19.79</v>
      </c>
      <c r="D13521" s="216" t="n">
        <v>1.084506034851074</v>
      </c>
      <c r="E13521" s="215" t="n">
        <v>45684</v>
      </c>
      <c r="F13521" s="215" t="n">
        <v>45691</v>
      </c>
    </row>
    <row r="13522">
      <c r="A13522" s="215" t="n">
        <v>45692</v>
      </c>
      <c r="B13522" s="216" t="n">
        <v>9.300000000000001</v>
      </c>
      <c r="C13522" s="216" t="n">
        <v>19.79</v>
      </c>
      <c r="D13522" s="216" t="n">
        <v>1.082739949226379</v>
      </c>
      <c r="E13522" s="215" t="n">
        <v>45684</v>
      </c>
      <c r="F13522" s="215" t="n">
        <v>45692</v>
      </c>
    </row>
    <row r="13523">
      <c r="A13523" s="215" t="n">
        <v>45693</v>
      </c>
      <c r="B13523" s="216" t="n">
        <v>9.359999999999999</v>
      </c>
      <c r="C13523" s="216" t="n">
        <v>20.58</v>
      </c>
      <c r="D13523" s="216" t="n">
        <v>1.083930015563965</v>
      </c>
      <c r="E13523" s="215" t="n">
        <v>45693</v>
      </c>
      <c r="F13523" s="215" t="n">
        <v>45693</v>
      </c>
    </row>
    <row r="13524">
      <c r="A13524" s="215" t="n">
        <v>45694</v>
      </c>
      <c r="B13524" s="216" t="n">
        <v>10.2</v>
      </c>
      <c r="C13524" s="216" t="n">
        <v>21.54</v>
      </c>
      <c r="D13524" s="216" t="n">
        <v>1.070767045021057</v>
      </c>
      <c r="E13524" s="215" t="n">
        <v>45694</v>
      </c>
      <c r="F13524" s="215" t="n">
        <v>45694</v>
      </c>
    </row>
    <row r="13525">
      <c r="A13525" s="215" t="n">
        <v>45695</v>
      </c>
      <c r="B13525" s="216" t="n">
        <v>10</v>
      </c>
      <c r="C13525" s="216" t="n">
        <v>21.23</v>
      </c>
      <c r="D13525" s="216" t="n">
        <v>1.068161010742188</v>
      </c>
      <c r="E13525" s="215" t="n">
        <v>45695</v>
      </c>
      <c r="F13525" s="215" t="n">
        <v>45695</v>
      </c>
    </row>
    <row r="13526">
      <c r="A13526" s="215" t="n">
        <v>45698</v>
      </c>
      <c r="B13526" s="216" t="n">
        <v>10.26</v>
      </c>
      <c r="C13526" s="216" t="n">
        <v>21.16</v>
      </c>
      <c r="D13526" s="216" t="n">
        <v>1.068833947181702</v>
      </c>
      <c r="E13526" s="215" t="n">
        <v>45698</v>
      </c>
      <c r="F13526" s="215" t="n">
        <v>45698</v>
      </c>
    </row>
    <row r="13527">
      <c r="A13527" s="215" t="n">
        <v>45699</v>
      </c>
      <c r="B13527" s="216" t="n">
        <v>9.85</v>
      </c>
      <c r="C13527" s="216" t="n">
        <v>20.79</v>
      </c>
      <c r="D13527" s="216" t="n">
        <v>1.066220045089722</v>
      </c>
      <c r="E13527" s="215" t="n">
        <v>45699</v>
      </c>
      <c r="F13527" s="215" t="n">
        <v>45699</v>
      </c>
    </row>
    <row r="13528">
      <c r="A13528" s="215" t="n">
        <v>45700</v>
      </c>
      <c r="B13528" s="216" t="n">
        <v>10.36</v>
      </c>
      <c r="C13528" s="216" t="n">
        <v>20.92</v>
      </c>
      <c r="D13528" s="216" t="n">
        <v>1.066164970397949</v>
      </c>
      <c r="E13528" s="215" t="n">
        <v>45700</v>
      </c>
      <c r="F13528" s="215" t="n">
        <v>45700</v>
      </c>
    </row>
    <row r="13529">
      <c r="A13529" s="215" t="n">
        <v>45701</v>
      </c>
      <c r="B13529" s="216" t="n">
        <v>10.16</v>
      </c>
      <c r="C13529" s="216" t="n">
        <v>20.14</v>
      </c>
      <c r="D13529" s="216" t="n">
        <v>1.065642952919006</v>
      </c>
      <c r="E13529" s="215" t="n">
        <v>45701</v>
      </c>
      <c r="F13529" s="215" t="n">
        <v>45701</v>
      </c>
    </row>
    <row r="13530">
      <c r="A13530" s="215" t="n">
        <v>45702</v>
      </c>
      <c r="B13530" s="216" t="n">
        <v>10.54</v>
      </c>
      <c r="C13530" s="216" t="n">
        <v>19.94</v>
      </c>
      <c r="D13530" s="216" t="n">
        <v>1.068236947059631</v>
      </c>
      <c r="E13530" s="215" t="n">
        <v>45702</v>
      </c>
      <c r="F13530" s="215" t="n">
        <v>45702</v>
      </c>
    </row>
    <row r="13531">
      <c r="A13531" s="215" t="n">
        <v>45705</v>
      </c>
      <c r="B13531" s="216" t="n">
        <v>10.78</v>
      </c>
      <c r="C13531" s="216" t="n">
        <v>20.28</v>
      </c>
      <c r="D13531" s="216" t="n">
        <v>1.072839021682739</v>
      </c>
      <c r="E13531" s="215" t="n">
        <v>45705</v>
      </c>
      <c r="F13531" s="215" t="n">
        <v>45705</v>
      </c>
    </row>
    <row r="13532">
      <c r="A13532" s="215" t="n">
        <v>45706</v>
      </c>
      <c r="B13532" s="216" t="n">
        <v>11.26</v>
      </c>
      <c r="C13532" s="216" t="n">
        <v>19.79</v>
      </c>
      <c r="D13532" s="216" t="n">
        <v>1.072520971298218</v>
      </c>
      <c r="E13532" s="215" t="n">
        <v>45706</v>
      </c>
      <c r="F13532" s="215" t="n">
        <v>45706</v>
      </c>
    </row>
    <row r="13533">
      <c r="A13533" s="215" t="n">
        <v>45707</v>
      </c>
      <c r="B13533" s="216" t="n">
        <v>14.32</v>
      </c>
      <c r="C13533" s="216" t="n">
        <v>22.65</v>
      </c>
      <c r="D13533" s="216" t="n">
        <v>1.067935943603516</v>
      </c>
      <c r="E13533" s="215" t="n">
        <v>45707</v>
      </c>
      <c r="F13533" s="215" t="n">
        <v>45707</v>
      </c>
    </row>
    <row r="13534">
      <c r="A13534" s="215" t="n">
        <v>45708</v>
      </c>
      <c r="B13534" s="216" t="n">
        <v>14.54</v>
      </c>
      <c r="C13534" s="216" t="n">
        <v>22.69</v>
      </c>
      <c r="D13534" s="216" t="n">
        <v>1.067798972129822</v>
      </c>
      <c r="E13534" s="215" t="n">
        <v>45708</v>
      </c>
      <c r="F13534" s="215" t="n">
        <v>45708</v>
      </c>
    </row>
    <row r="13535">
      <c r="A13535" s="215" t="n">
        <v>45709</v>
      </c>
      <c r="B13535" s="216" t="n">
        <v>14.78</v>
      </c>
      <c r="C13535" s="216" t="n">
        <v>22.59</v>
      </c>
      <c r="D13535" s="216" t="n">
        <v>1.071557998657227</v>
      </c>
      <c r="E13535" s="215" t="n">
        <v>45709</v>
      </c>
      <c r="F13535" s="215" t="n">
        <v>45709</v>
      </c>
    </row>
    <row r="13536">
      <c r="A13536" s="215" t="n">
        <v>45712</v>
      </c>
      <c r="B13536" s="216" t="n">
        <v>16</v>
      </c>
      <c r="C13536" s="216" t="n">
        <v>23.07</v>
      </c>
      <c r="D13536" s="216" t="n">
        <v>1.071457982063293</v>
      </c>
      <c r="E13536" s="215" t="n">
        <v>45712</v>
      </c>
      <c r="F13536" s="215" t="n">
        <v>45712</v>
      </c>
    </row>
    <row r="13537">
      <c r="A13537" s="215" t="n">
        <v>45713</v>
      </c>
      <c r="B13537" s="216" t="n">
        <v>15.16</v>
      </c>
      <c r="C13537" s="216" t="n">
        <v>22.42</v>
      </c>
      <c r="D13537" s="216" t="n">
        <v>1.072481989860535</v>
      </c>
      <c r="E13537" s="215" t="n">
        <v>45713</v>
      </c>
      <c r="F13537" s="215" t="n">
        <v>45713</v>
      </c>
    </row>
    <row r="13538">
      <c r="A13538" s="215" t="n">
        <v>45714</v>
      </c>
      <c r="B13538" s="216" t="n">
        <v>14.64</v>
      </c>
      <c r="C13538" s="216" t="n">
        <v>22.27</v>
      </c>
      <c r="D13538" s="216" t="n">
        <v>1.072456955909729</v>
      </c>
      <c r="E13538" s="215" t="n">
        <v>45714</v>
      </c>
      <c r="F13538" s="215" t="n">
        <v>45714</v>
      </c>
    </row>
    <row r="13539">
      <c r="A13539" s="215" t="n">
        <v>45715</v>
      </c>
      <c r="B13539" s="216" t="n">
        <v>14.34</v>
      </c>
      <c r="C13539" s="216" t="n">
        <v>21.96</v>
      </c>
      <c r="D13539" s="216" t="n">
        <v>1.070572972297668</v>
      </c>
      <c r="E13539" s="215" t="n">
        <v>45715</v>
      </c>
      <c r="F13539" s="215" t="n">
        <v>45715</v>
      </c>
    </row>
    <row r="13540">
      <c r="A13540" s="215" t="n">
        <v>45716</v>
      </c>
      <c r="B13540" s="216" t="n">
        <v>12.68</v>
      </c>
      <c r="C13540" s="216" t="n">
        <v>20.93</v>
      </c>
      <c r="D13540" s="216" t="n">
        <v>1.067088961601257</v>
      </c>
      <c r="E13540" s="215" t="n">
        <v>45716</v>
      </c>
      <c r="F13540" s="215" t="n">
        <v>45716</v>
      </c>
    </row>
    <row r="13541">
      <c r="A13541" s="215" t="n">
        <v>45719</v>
      </c>
      <c r="B13541" s="216" t="n">
        <v>13.38</v>
      </c>
      <c r="C13541" s="216" t="n">
        <v>21.35</v>
      </c>
      <c r="D13541" s="216" t="n">
        <v>1.06771194934845</v>
      </c>
      <c r="E13541" s="215" t="n">
        <v>45719</v>
      </c>
      <c r="F13541" s="215" t="n">
        <v>45719</v>
      </c>
    </row>
    <row r="13542">
      <c r="A13542" s="215" t="n">
        <v>45720</v>
      </c>
      <c r="B13542" s="216" t="n">
        <v>13.54</v>
      </c>
      <c r="C13542" s="216" t="n">
        <v>21.64</v>
      </c>
      <c r="D13542" s="216" t="n">
        <v>1.067291021347046</v>
      </c>
      <c r="E13542" s="215" t="n">
        <v>45720</v>
      </c>
      <c r="F13542" s="215" t="n">
        <v>45720</v>
      </c>
    </row>
    <row r="13543">
      <c r="A13543" s="215" t="n">
        <v>45721</v>
      </c>
      <c r="B13543" s="216" t="n">
        <v>13.38</v>
      </c>
      <c r="C13543" s="216" t="n">
        <v>21.57</v>
      </c>
      <c r="D13543" s="216" t="n">
        <v>1.069700956344604</v>
      </c>
      <c r="E13543" s="215" t="n">
        <v>45721</v>
      </c>
      <c r="F13543" s="215" t="n">
        <v>45721</v>
      </c>
    </row>
    <row r="13544">
      <c r="A13544" s="215" t="n">
        <v>45722</v>
      </c>
      <c r="B13544" s="216" t="n">
        <v>13.98</v>
      </c>
      <c r="C13544" s="216" t="n">
        <v>21.75</v>
      </c>
      <c r="D13544" s="216" t="n">
        <v>1.071586012840271</v>
      </c>
      <c r="E13544" s="215" t="n">
        <v>45722</v>
      </c>
      <c r="F13544" s="215" t="n">
        <v>45722</v>
      </c>
    </row>
    <row r="13545">
      <c r="A13545" s="215" t="n">
        <v>45723</v>
      </c>
      <c r="B13545" s="216" t="n">
        <v>13.78</v>
      </c>
      <c r="C13545" s="216" t="n">
        <v>21.82</v>
      </c>
      <c r="D13545" s="216" t="n">
        <v>1.071760058403015</v>
      </c>
      <c r="E13545" s="215" t="n">
        <v>45723</v>
      </c>
      <c r="F13545" s="215" t="n">
        <v>45723</v>
      </c>
    </row>
    <row r="13546">
      <c r="A13546" s="215" t="n">
        <v>45726</v>
      </c>
      <c r="B13546" s="216" t="n">
        <v>14.76</v>
      </c>
      <c r="C13546" s="216" t="n">
        <v>22.3</v>
      </c>
      <c r="D13546" s="216" t="n">
        <v>1.074237942695618</v>
      </c>
      <c r="E13546" s="215" t="n">
        <v>45726</v>
      </c>
      <c r="F13546" s="215" t="n">
        <v>45726</v>
      </c>
    </row>
    <row r="13547">
      <c r="A13547" s="215" t="n">
        <v>45727</v>
      </c>
      <c r="B13547" s="216" t="n">
        <v>15.16</v>
      </c>
      <c r="C13547" s="216" t="n">
        <v>22.54</v>
      </c>
      <c r="D13547" s="216" t="n">
        <v>1.069882988929749</v>
      </c>
      <c r="E13547" s="215" t="n">
        <v>45727</v>
      </c>
      <c r="F13547" s="215" t="n">
        <v>45727</v>
      </c>
    </row>
    <row r="13548">
      <c r="A13548" s="215" t="n">
        <v>45728</v>
      </c>
      <c r="B13548" s="216" t="n">
        <v>15.2</v>
      </c>
      <c r="C13548" s="216" t="n">
        <v>21.84</v>
      </c>
      <c r="D13548" s="216" t="n">
        <v>1.070067048072815</v>
      </c>
      <c r="E13548" s="215" t="n">
        <v>45728</v>
      </c>
      <c r="F13548" s="215" t="n">
        <v>45728</v>
      </c>
    </row>
    <row r="13549">
      <c r="A13549" s="215" t="n">
        <v>45729</v>
      </c>
      <c r="B13549" s="216" t="n">
        <v>14.4</v>
      </c>
      <c r="C13549" s="216" t="n">
        <v>21.08</v>
      </c>
      <c r="D13549" s="216" t="n">
        <v>1.07337498664856</v>
      </c>
      <c r="E13549" s="215" t="n">
        <v>45729</v>
      </c>
      <c r="F13549" s="215" t="n">
        <v>45729</v>
      </c>
    </row>
    <row r="13550">
      <c r="A13550" s="215" t="n">
        <v>45730</v>
      </c>
      <c r="B13550" s="216" t="n">
        <v>14.56</v>
      </c>
      <c r="C13550" s="216" t="n">
        <v>21.17</v>
      </c>
      <c r="D13550" s="216" t="n">
        <v>1.073752999305725</v>
      </c>
      <c r="E13550" s="215" t="n">
        <v>45730</v>
      </c>
      <c r="F13550" s="215" t="n">
        <v>45730</v>
      </c>
    </row>
    <row r="13551">
      <c r="A13551" s="215" t="n">
        <v>45733</v>
      </c>
      <c r="B13551" s="216" t="n">
        <v>14.44</v>
      </c>
      <c r="C13551" s="216" t="n">
        <v>20.97</v>
      </c>
      <c r="D13551" s="216" t="n">
        <v>1.073765993118286</v>
      </c>
      <c r="E13551" s="215" t="n">
        <v>45733</v>
      </c>
      <c r="F13551" s="215" t="n">
        <v>45733</v>
      </c>
    </row>
    <row r="13552">
      <c r="A13552" s="215" t="n">
        <v>45734</v>
      </c>
      <c r="B13552" s="216" t="n">
        <v>14.7</v>
      </c>
      <c r="C13552" s="216" t="n">
        <v>20.98</v>
      </c>
      <c r="D13552" s="216" t="n">
        <v>1.073990941047668</v>
      </c>
      <c r="E13552" s="215" t="n">
        <v>45734</v>
      </c>
      <c r="F13552" s="215" t="n">
        <v>45734</v>
      </c>
    </row>
    <row r="13553">
      <c r="A13553" s="215" t="n">
        <v>45735</v>
      </c>
      <c r="B13553" s="216" t="n">
        <v>14.82</v>
      </c>
      <c r="C13553" s="216" t="n">
        <v>21.07</v>
      </c>
      <c r="D13553" s="216" t="n">
        <v>1.074807047843933</v>
      </c>
      <c r="E13553" s="215" t="n">
        <v>45735</v>
      </c>
      <c r="F13553" s="215" t="n">
        <v>45735</v>
      </c>
    </row>
    <row r="13554">
      <c r="A13554" s="215" t="n">
        <v>45736</v>
      </c>
      <c r="B13554" s="216" t="n">
        <v>14.42</v>
      </c>
      <c r="C13554" s="216" t="n">
        <v>20.67</v>
      </c>
      <c r="D13554" s="216" t="n">
        <v>1.074540019035339</v>
      </c>
      <c r="E13554" s="215" t="n">
        <v>45736</v>
      </c>
      <c r="F13554" s="215" t="n">
        <v>45736</v>
      </c>
    </row>
    <row r="13555">
      <c r="A13555" s="215" t="n">
        <v>45737</v>
      </c>
      <c r="B13555" s="216" t="n">
        <v>13.26</v>
      </c>
      <c r="C13555" s="216" t="n">
        <v>19.88</v>
      </c>
      <c r="D13555" s="216" t="n">
        <v>1.072183012962341</v>
      </c>
      <c r="E13555" s="215" t="n">
        <v>45737</v>
      </c>
      <c r="F13555" s="215" t="n">
        <v>45737</v>
      </c>
    </row>
    <row r="13556">
      <c r="A13556" s="215" t="n">
        <v>45740</v>
      </c>
      <c r="B13556" s="216" t="n">
        <v>13.64</v>
      </c>
      <c r="C13556" s="216" t="n">
        <v>19.91</v>
      </c>
      <c r="D13556" s="216" t="n">
        <v>1.072136998176575</v>
      </c>
      <c r="E13556" s="215" t="n">
        <v>45740</v>
      </c>
      <c r="F13556" s="215" t="n">
        <v>45740</v>
      </c>
    </row>
    <row r="13557">
      <c r="A13557" s="215" t="n">
        <v>45741</v>
      </c>
      <c r="B13557" s="216" t="n">
        <v>13.04</v>
      </c>
      <c r="C13557" s="216" t="n">
        <v>19.9</v>
      </c>
      <c r="D13557" s="216" t="n">
        <v>1.071681976318359</v>
      </c>
      <c r="E13557" s="215" t="n">
        <v>45741</v>
      </c>
      <c r="F13557" s="215" t="n">
        <v>45741</v>
      </c>
    </row>
    <row r="13558">
      <c r="A13558" s="215" t="n">
        <v>45742</v>
      </c>
      <c r="B13558" s="216" t="n">
        <v>13.58</v>
      </c>
      <c r="C13558" s="216" t="n">
        <v>20.7</v>
      </c>
      <c r="D13558" s="216" t="n">
        <v>1.071272969245911</v>
      </c>
      <c r="E13558" s="215" t="n">
        <v>45742</v>
      </c>
      <c r="F13558" s="215" t="n">
        <v>45742</v>
      </c>
    </row>
    <row r="13559">
      <c r="A13559" s="215" t="n">
        <v>45743</v>
      </c>
      <c r="B13559" s="216" t="n">
        <v>13.2</v>
      </c>
      <c r="C13559" s="216" t="n">
        <v>20.12</v>
      </c>
      <c r="D13559" s="216" t="n">
        <v>1.071310043334961</v>
      </c>
      <c r="E13559" s="215" t="n">
        <v>45743</v>
      </c>
      <c r="F13559" s="215" t="n">
        <v>45743</v>
      </c>
    </row>
    <row r="13560">
      <c r="A13560" s="215" t="n">
        <v>45744</v>
      </c>
      <c r="B13560" s="216" t="n">
        <v>13.12</v>
      </c>
      <c r="C13560" s="216" t="n">
        <v>20.14</v>
      </c>
      <c r="D13560" s="216" t="n">
        <v>1.03395402431488</v>
      </c>
      <c r="E13560" s="215" t="n">
        <v>45744</v>
      </c>
      <c r="F13560" s="215" t="n">
        <v>45744</v>
      </c>
    </row>
    <row r="13561">
      <c r="A13561" s="215" t="n">
        <v>45747</v>
      </c>
      <c r="B13561" s="216" t="n">
        <v>12.56</v>
      </c>
      <c r="C13561" s="216" t="n">
        <v>19.5</v>
      </c>
      <c r="D13561" s="216" t="n">
        <v>1.070834994316101</v>
      </c>
      <c r="E13561" s="215" t="n">
        <v>45747</v>
      </c>
      <c r="F13561" s="215" t="n">
        <v>45747</v>
      </c>
    </row>
    <row r="13562">
      <c r="A13562" s="215" t="n">
        <v>45748</v>
      </c>
      <c r="B13562" s="216" t="n">
        <v>12.56</v>
      </c>
      <c r="C13562" s="216" t="n">
        <v>19.7</v>
      </c>
      <c r="D13562" s="216" t="n">
        <v>1.071635007858276</v>
      </c>
      <c r="E13562" s="215" t="n">
        <v>45748</v>
      </c>
      <c r="F13562" s="215" t="n">
        <v>45748</v>
      </c>
    </row>
    <row r="13563">
      <c r="A13563" s="215" t="n">
        <v>45749</v>
      </c>
      <c r="B13563" s="216" t="n">
        <v>12.8</v>
      </c>
      <c r="C13563" s="216" t="n">
        <v>19.79</v>
      </c>
      <c r="D13563" s="216" t="n">
        <v>1.070148944854736</v>
      </c>
      <c r="E13563" s="215" t="n">
        <v>45749</v>
      </c>
      <c r="F13563" s="215" t="n">
        <v>45749</v>
      </c>
    </row>
    <row r="13564">
      <c r="A13564" s="215" t="n">
        <v>45750</v>
      </c>
      <c r="B13564" s="216" t="n">
        <v>14.02</v>
      </c>
      <c r="C13564" s="216" t="n">
        <v>20.82</v>
      </c>
      <c r="D13564" s="216" t="n">
        <v>1.070878982543945</v>
      </c>
      <c r="E13564" s="215" t="n">
        <v>45750</v>
      </c>
      <c r="F13564" s="215" t="n">
        <v>45750</v>
      </c>
    </row>
    <row r="13565">
      <c r="A13565" s="215" t="n">
        <v>45754</v>
      </c>
      <c r="B13565" s="216" t="n">
        <v>10.7</v>
      </c>
      <c r="C13565" s="216" t="n">
        <v>19.29</v>
      </c>
      <c r="D13565" s="216" t="n">
        <v>1.067106008529663</v>
      </c>
      <c r="E13565" s="215" t="n">
        <v>45754</v>
      </c>
      <c r="F13565" s="215" t="n">
        <v>45754</v>
      </c>
    </row>
    <row r="13566">
      <c r="A13566" s="215" t="n">
        <v>45755</v>
      </c>
      <c r="B13566" s="216" t="n">
        <v>12.9</v>
      </c>
      <c r="C13566" s="216" t="n">
        <v>21.18</v>
      </c>
      <c r="D13566" s="216" t="n">
        <v>1.062885046005249</v>
      </c>
      <c r="E13566" s="215" t="n">
        <v>45755</v>
      </c>
      <c r="F13566" s="215" t="n">
        <v>45755</v>
      </c>
    </row>
    <row r="13567">
      <c r="A13567" s="215" t="n">
        <v>45756</v>
      </c>
      <c r="B13567" s="216" t="n">
        <v>12.96</v>
      </c>
      <c r="C13567" s="216" t="n">
        <v>21.22</v>
      </c>
      <c r="D13567" s="216" t="n">
        <v>1.058482050895691</v>
      </c>
      <c r="E13567" s="215" t="n">
        <v>45756</v>
      </c>
      <c r="F13567" s="215" t="n">
        <v>45756</v>
      </c>
    </row>
    <row r="13568">
      <c r="A13568" s="215" t="n">
        <v>45757</v>
      </c>
      <c r="B13568" s="216" t="n">
        <v>12.9</v>
      </c>
      <c r="C13568" s="216" t="n">
        <v>21.29</v>
      </c>
      <c r="D13568" s="216" t="n">
        <v>1.055835008621216</v>
      </c>
      <c r="E13568" s="215" t="n">
        <v>45757</v>
      </c>
      <c r="F13568" s="215" t="n">
        <v>45757</v>
      </c>
    </row>
    <row r="13569">
      <c r="A13569" s="215" t="n">
        <v>45758</v>
      </c>
      <c r="B13569" s="216" t="n">
        <v>13.24</v>
      </c>
      <c r="C13569" s="216" t="n">
        <v>21.29</v>
      </c>
      <c r="D13569" s="216" t="n">
        <v>1.060536980628967</v>
      </c>
      <c r="E13569" s="215" t="n">
        <v>45758</v>
      </c>
      <c r="F13569" s="215" t="n">
        <v>45758</v>
      </c>
    </row>
    <row r="13570">
      <c r="A13570" s="215" t="n">
        <v>45761</v>
      </c>
      <c r="B13570" s="216" t="n">
        <v>13.5</v>
      </c>
      <c r="C13570" s="216" t="n">
        <v>21.64</v>
      </c>
      <c r="D13570" s="216" t="n">
        <v>1.063439965248108</v>
      </c>
      <c r="E13570" s="215" t="n">
        <v>45761</v>
      </c>
      <c r="F13570" s="215" t="n">
        <v>45761</v>
      </c>
    </row>
    <row r="13571">
      <c r="A13571" s="215" t="n">
        <v>45762</v>
      </c>
      <c r="B13571" s="216" t="n">
        <v>12.98</v>
      </c>
      <c r="C13571" s="216" t="n">
        <v>20.85</v>
      </c>
      <c r="D13571" s="216" t="n">
        <v>1.06060004234314</v>
      </c>
      <c r="E13571" s="215" t="n">
        <v>45762</v>
      </c>
      <c r="F13571" s="215" t="n">
        <v>45762</v>
      </c>
    </row>
    <row r="13572">
      <c r="A13572" s="215" t="n">
        <v>45763</v>
      </c>
      <c r="B13572" s="216" t="n">
        <v>12.82</v>
      </c>
      <c r="C13572" s="216" t="n">
        <v>20.99</v>
      </c>
      <c r="D13572" s="216" t="n">
        <v>1.06060004234314</v>
      </c>
      <c r="E13572" s="215" t="n">
        <v>45763</v>
      </c>
      <c r="F13572" s="215" t="n">
        <v>45763</v>
      </c>
    </row>
    <row r="13573">
      <c r="A13573" s="215" t="n">
        <v>45764</v>
      </c>
      <c r="B13573" s="216" t="n">
        <v>12.16</v>
      </c>
      <c r="C13573" s="216" t="n">
        <v>20.07</v>
      </c>
      <c r="D13573" s="216" t="n">
        <v>1.06060004234314</v>
      </c>
      <c r="E13573" s="215" t="n">
        <v>45764</v>
      </c>
      <c r="F13573" s="215" t="n">
        <v>45764</v>
      </c>
    </row>
    <row r="13574">
      <c r="A13574" s="215" t="n">
        <v>45769</v>
      </c>
      <c r="B13574" s="216" t="n">
        <v>11.84</v>
      </c>
      <c r="C13574" s="216" t="n">
        <v>19.44</v>
      </c>
      <c r="D13574" s="216" t="n">
        <v>1.06060004234314</v>
      </c>
      <c r="E13574" s="215" t="n">
        <v>45769</v>
      </c>
      <c r="F13574" s="215" t="n">
        <v>45769</v>
      </c>
    </row>
    <row r="13575">
      <c r="A13575" s="215" t="n">
        <v>45770</v>
      </c>
      <c r="B13575" s="216" t="n">
        <v>13.32</v>
      </c>
      <c r="C13575" s="216" t="n">
        <v>21.46</v>
      </c>
      <c r="D13575" s="216" t="n">
        <v>1.06060004234314</v>
      </c>
      <c r="E13575" s="215" t="n">
        <v>45770</v>
      </c>
      <c r="F13575" s="215" t="n">
        <v>45770</v>
      </c>
    </row>
    <row r="13576">
      <c r="A13576" s="215" t="n">
        <v>45771</v>
      </c>
      <c r="B13576" s="216" t="n">
        <v>13.3</v>
      </c>
      <c r="C13576" s="216" t="n">
        <v>20.75</v>
      </c>
      <c r="D13576" s="216" t="n">
        <v>1.06060004234314</v>
      </c>
      <c r="E13576" s="215" t="n">
        <v>45771</v>
      </c>
      <c r="F13576" s="215" t="n">
        <v>45771</v>
      </c>
    </row>
    <row r="13577">
      <c r="A13577" s="215" t="n">
        <v>45772</v>
      </c>
      <c r="B13577" s="216" t="n">
        <v>13.14</v>
      </c>
      <c r="C13577" s="216" t="n">
        <v>20.45</v>
      </c>
      <c r="D13577" s="216" t="n">
        <v>1.061900019645691</v>
      </c>
      <c r="E13577" s="215" t="n">
        <v>45772</v>
      </c>
      <c r="F13577" s="215" t="n">
        <v>45772</v>
      </c>
    </row>
    <row r="13578">
      <c r="A13578" s="215" t="n">
        <v>45775</v>
      </c>
      <c r="B13578" s="216" t="n">
        <v>13.04</v>
      </c>
      <c r="C13578" s="216" t="n">
        <v>20.3</v>
      </c>
      <c r="D13578" s="216" t="n">
        <v>1.064350962638855</v>
      </c>
      <c r="E13578" s="215" t="n">
        <v>45775</v>
      </c>
      <c r="F13578" s="215" t="n">
        <v>45775</v>
      </c>
    </row>
    <row r="13579">
      <c r="A13579" s="215" t="n">
        <v>45776</v>
      </c>
      <c r="B13579" s="216" t="n">
        <v>13.12</v>
      </c>
      <c r="C13579" s="216" t="n">
        <v>20.28</v>
      </c>
      <c r="D13579" s="216" t="n">
        <v>1.063179969787598</v>
      </c>
      <c r="E13579" s="215" t="n">
        <v>45776</v>
      </c>
      <c r="F13579" s="215" t="n">
        <v>45776</v>
      </c>
    </row>
    <row r="13580">
      <c r="A13580" s="215" t="n">
        <v>45777</v>
      </c>
      <c r="B13580" s="216" t="n">
        <v>13.18</v>
      </c>
      <c r="C13580" s="216" t="n">
        <v>20.47</v>
      </c>
      <c r="D13580" s="216" t="n">
        <v>1.067217946052551</v>
      </c>
      <c r="E13580" s="215" t="n">
        <v>45777</v>
      </c>
      <c r="F13580" s="215" t="n">
        <v>45777</v>
      </c>
    </row>
    <row r="13581">
      <c r="A13581" s="215" t="n">
        <v>45779</v>
      </c>
      <c r="B13581" s="216" t="n">
        <v>13.86</v>
      </c>
      <c r="C13581" s="216" t="n">
        <v>20.47</v>
      </c>
      <c r="D13581" s="216" t="n">
        <v>1.066810965538025</v>
      </c>
      <c r="E13581" s="215" t="n">
        <v>45777</v>
      </c>
      <c r="F13581" s="215" t="n">
        <v>45779</v>
      </c>
    </row>
    <row r="13582">
      <c r="A13582" s="215" t="n">
        <v>45783</v>
      </c>
      <c r="B13582" s="216" t="n">
        <v>15.48</v>
      </c>
      <c r="C13582" s="216" t="n">
        <v>22.05</v>
      </c>
      <c r="D13582" s="216" t="n">
        <v>1.065811991691589</v>
      </c>
      <c r="E13582" s="215" t="n">
        <v>45783</v>
      </c>
      <c r="F13582" s="215" t="n">
        <v>45783</v>
      </c>
    </row>
    <row r="13583">
      <c r="A13583" s="215" t="n">
        <v>45784</v>
      </c>
      <c r="B13583" s="216" t="n">
        <v>14.86</v>
      </c>
      <c r="C13583" s="216" t="n">
        <v>21.59</v>
      </c>
      <c r="D13583" s="216" t="n">
        <v>1.073848009109497</v>
      </c>
      <c r="E13583" s="215" t="n">
        <v>45784</v>
      </c>
      <c r="F13583" s="215" t="n">
        <v>45784</v>
      </c>
    </row>
    <row r="13584">
      <c r="A13584" s="215" t="n">
        <v>45785</v>
      </c>
      <c r="B13584" s="216" t="n">
        <v>15.04</v>
      </c>
      <c r="C13584" s="216" t="n">
        <v>21.55</v>
      </c>
      <c r="D13584" s="216" t="n">
        <v>1.07387101650238</v>
      </c>
      <c r="E13584" s="215" t="n">
        <v>45785</v>
      </c>
      <c r="F13584" s="215" t="n">
        <v>45785</v>
      </c>
    </row>
    <row r="13585">
      <c r="A13585" s="215" t="n">
        <v>45786</v>
      </c>
      <c r="B13585" s="216" t="n">
        <v>14.68</v>
      </c>
      <c r="C13585" s="216" t="n">
        <v>21.27</v>
      </c>
      <c r="D13585" s="216" t="n">
        <v>1.076066970825195</v>
      </c>
      <c r="E13585" s="215" t="n">
        <v>45786</v>
      </c>
      <c r="F13585" s="215" t="n">
        <v>45786</v>
      </c>
    </row>
    <row r="13586">
      <c r="A13586" s="215" t="n">
        <v>45789</v>
      </c>
      <c r="B13586" s="216" t="n">
        <v>15.16</v>
      </c>
      <c r="C13586" s="216" t="n">
        <v>21.71</v>
      </c>
      <c r="D13586" s="216" t="n">
        <v>1.074246048927307</v>
      </c>
      <c r="E13586" s="215" t="n">
        <v>45789</v>
      </c>
      <c r="F13586" s="215" t="n">
        <v>45789</v>
      </c>
    </row>
    <row r="13587">
      <c r="A13587" s="215" t="n">
        <v>45790</v>
      </c>
      <c r="B13587" s="216" t="n">
        <v>14.42</v>
      </c>
      <c r="C13587" s="216" t="n">
        <v>21.06</v>
      </c>
      <c r="D13587" s="216" t="n">
        <v>1.081536054611206</v>
      </c>
      <c r="E13587" s="215" t="n">
        <v>45790</v>
      </c>
      <c r="F13587" s="215" t="n">
        <v>45790</v>
      </c>
    </row>
    <row r="13588">
      <c r="A13588" s="215" t="n">
        <v>45791</v>
      </c>
      <c r="B13588" s="216" t="n">
        <v>14.68</v>
      </c>
      <c r="C13588" s="216" t="n">
        <v>21.65</v>
      </c>
      <c r="D13588" s="216" t="n">
        <v>1.081884980201721</v>
      </c>
      <c r="E13588" s="215" t="n">
        <v>45791</v>
      </c>
      <c r="F13588" s="215" t="n">
        <v>45791</v>
      </c>
    </row>
    <row r="13589">
      <c r="A13589" s="215" t="n">
        <v>45792</v>
      </c>
      <c r="B13589" s="216" t="n">
        <v>14.68</v>
      </c>
      <c r="C13589" s="216" t="n">
        <v>21.31</v>
      </c>
      <c r="D13589" s="216" t="n">
        <v>1.082641005516052</v>
      </c>
      <c r="E13589" s="215" t="n">
        <v>45792</v>
      </c>
      <c r="F13589" s="215" t="n">
        <v>45792</v>
      </c>
    </row>
    <row r="13590">
      <c r="A13590" s="215" t="n">
        <v>45793</v>
      </c>
      <c r="B13590" s="216" t="n">
        <v>14.7</v>
      </c>
      <c r="C13590" s="216" t="n">
        <v>21.66</v>
      </c>
      <c r="D13590" s="216" t="n">
        <v>1.082918047904968</v>
      </c>
      <c r="E13590" s="215" t="n">
        <v>45793</v>
      </c>
      <c r="F13590" s="215" t="n">
        <v>45793</v>
      </c>
    </row>
    <row r="13591">
      <c r="A13591" s="215" t="n">
        <v>45796</v>
      </c>
      <c r="B13591" s="216" t="n">
        <v>14.22</v>
      </c>
      <c r="C13591" s="216" t="n">
        <v>20.74</v>
      </c>
      <c r="D13591" s="216" t="n">
        <v>1.083842992782593</v>
      </c>
      <c r="E13591" s="215" t="n">
        <v>45796</v>
      </c>
      <c r="F13591" s="215" t="n">
        <v>45796</v>
      </c>
    </row>
    <row r="13592">
      <c r="A13592" s="215" t="n">
        <v>45797</v>
      </c>
      <c r="B13592" s="216" t="n">
        <v>14.28</v>
      </c>
      <c r="C13592" s="216" t="n">
        <v>20.79</v>
      </c>
      <c r="D13592" s="216" t="n">
        <v>1.08473801612854</v>
      </c>
      <c r="E13592" s="215" t="n">
        <v>45797</v>
      </c>
      <c r="F13592" s="215" t="n">
        <v>45797</v>
      </c>
    </row>
    <row r="13593">
      <c r="A13593" s="215" t="n">
        <v>45798</v>
      </c>
      <c r="B13593" s="216" t="n">
        <v>14.5</v>
      </c>
      <c r="C13593" s="216" t="n">
        <v>20.48</v>
      </c>
      <c r="D13593" s="216" t="n">
        <v>1.084200024604797</v>
      </c>
      <c r="E13593" s="215" t="n">
        <v>45798</v>
      </c>
      <c r="F13593" s="215" t="n">
        <v>45798</v>
      </c>
    </row>
    <row r="13594">
      <c r="A13594" s="215" t="n">
        <v>45799</v>
      </c>
      <c r="B13594" s="216" t="n">
        <v>14.2</v>
      </c>
      <c r="C13594" s="216" t="n">
        <v>20.17</v>
      </c>
      <c r="D13594" s="216" t="n">
        <v>1.086825013160706</v>
      </c>
      <c r="E13594" s="215" t="n">
        <v>45799</v>
      </c>
      <c r="F13594" s="215" t="n">
        <v>45799</v>
      </c>
    </row>
    <row r="13595">
      <c r="A13595" s="215" t="n">
        <v>45800</v>
      </c>
      <c r="B13595" s="216" t="n">
        <v>14.24</v>
      </c>
      <c r="C13595" s="216" t="n">
        <v>20.09</v>
      </c>
      <c r="D13595" s="216" t="n">
        <v>1.086493015289307</v>
      </c>
      <c r="E13595" s="215" t="n">
        <v>45800</v>
      </c>
      <c r="F13595" s="215" t="n">
        <v>45800</v>
      </c>
    </row>
    <row r="13596">
      <c r="A13596" s="215" t="n">
        <v>45803</v>
      </c>
      <c r="B13596" s="216" t="n">
        <v>14.22</v>
      </c>
      <c r="C13596" s="216" t="n">
        <v>20.22</v>
      </c>
      <c r="D13596" s="216" t="n">
        <v>1.08673095703125</v>
      </c>
      <c r="E13596" s="215" t="n">
        <v>45803</v>
      </c>
      <c r="F13596" s="215" t="n">
        <v>45803</v>
      </c>
    </row>
    <row r="13597">
      <c r="A13597" s="215" t="n">
        <v>45804</v>
      </c>
      <c r="B13597" s="216" t="n">
        <v>13.86</v>
      </c>
      <c r="C13597" s="216" t="n">
        <v>19.81</v>
      </c>
      <c r="D13597" s="216" t="n">
        <v>1.087713956832886</v>
      </c>
      <c r="E13597" s="215" t="n">
        <v>45804</v>
      </c>
      <c r="F13597" s="215" t="n">
        <v>45804</v>
      </c>
    </row>
    <row r="13598">
      <c r="A13598" s="215" t="n">
        <v>45805</v>
      </c>
      <c r="B13598" s="216" t="n">
        <v>13.88</v>
      </c>
      <c r="C13598" s="216" t="n">
        <v>19.72</v>
      </c>
      <c r="D13598" s="216" t="n">
        <v>1.087921977043152</v>
      </c>
      <c r="E13598" s="215" t="n">
        <v>45805</v>
      </c>
      <c r="F13598" s="215" t="n">
        <v>45805</v>
      </c>
    </row>
    <row r="13599">
      <c r="A13599" s="215" t="n">
        <v>45806</v>
      </c>
      <c r="B13599" s="216" t="n">
        <v>14.34</v>
      </c>
      <c r="C13599" s="216" t="n">
        <v>20.14</v>
      </c>
      <c r="D13599" s="216" t="n">
        <v>1.087334990501404</v>
      </c>
      <c r="E13599" s="215" t="n">
        <v>45806</v>
      </c>
      <c r="F13599" s="215" t="n">
        <v>45806</v>
      </c>
    </row>
    <row r="13600">
      <c r="A13600" s="215" t="n">
        <v>45807</v>
      </c>
      <c r="B13600" s="216" t="n">
        <v>14.24</v>
      </c>
      <c r="C13600" s="216" t="n">
        <v>19.87</v>
      </c>
      <c r="D13600" s="216" t="n">
        <v>1.088281989097595</v>
      </c>
      <c r="E13600" s="215" t="n">
        <v>45807</v>
      </c>
      <c r="F13600" s="215" t="n">
        <v>45807</v>
      </c>
    </row>
    <row r="13601">
      <c r="A13601" s="215" t="n">
        <v>45810</v>
      </c>
      <c r="B13601" s="216" t="n">
        <v>14.42</v>
      </c>
      <c r="C13601" s="216" t="n">
        <v>19.87</v>
      </c>
      <c r="D13601" s="216" t="n">
        <v>1.088839054107666</v>
      </c>
      <c r="E13601" s="215" t="n">
        <v>45807</v>
      </c>
      <c r="F13601" s="215" t="n">
        <v>45810</v>
      </c>
    </row>
    <row r="13602">
      <c r="A13602" s="215" t="n">
        <v>45811</v>
      </c>
      <c r="B13602" s="216" t="n">
        <v>15.28</v>
      </c>
      <c r="C13602" s="216" t="n">
        <v>20.32</v>
      </c>
      <c r="D13602" s="216" t="n">
        <v>1.098875999450684</v>
      </c>
      <c r="E13602" s="215" t="n">
        <v>45811</v>
      </c>
      <c r="F13602" s="215" t="n">
        <v>45811</v>
      </c>
    </row>
    <row r="13603">
      <c r="A13603" s="215" t="n">
        <v>45812</v>
      </c>
      <c r="B13603" s="216" t="n">
        <v>16.82</v>
      </c>
      <c r="C13603" s="216" t="n">
        <v>21.06</v>
      </c>
      <c r="D13603" s="216" t="n">
        <v>1.092406988143921</v>
      </c>
      <c r="E13603" s="215" t="n">
        <v>45812</v>
      </c>
      <c r="F13603" s="215" t="n">
        <v>45812</v>
      </c>
    </row>
    <row r="13604">
      <c r="A13604" s="215" t="n">
        <v>45813</v>
      </c>
      <c r="B13604" s="216" t="n">
        <v>18.86</v>
      </c>
      <c r="C13604" s="216" t="n">
        <v>22.09</v>
      </c>
      <c r="D13604" s="216" t="n">
        <v>1.095829010009766</v>
      </c>
      <c r="E13604" s="215" t="n">
        <v>45813</v>
      </c>
      <c r="F13604" s="215" t="n">
        <v>45813</v>
      </c>
    </row>
    <row r="13605">
      <c r="A13605" s="215" t="n">
        <v>45814</v>
      </c>
      <c r="B13605" s="216" t="n">
        <v>18.44</v>
      </c>
      <c r="C13605" s="216" t="n">
        <v>21.52</v>
      </c>
      <c r="D13605" s="216" t="n">
        <v>1.093296051025391</v>
      </c>
      <c r="E13605" s="215" t="n">
        <v>45814</v>
      </c>
      <c r="F13605" s="215" t="n">
        <v>45814</v>
      </c>
    </row>
    <row r="13606">
      <c r="A13606" s="215" t="n">
        <v>45817</v>
      </c>
      <c r="B13606" s="216" t="n">
        <v>18.76</v>
      </c>
      <c r="C13606" s="216" t="n">
        <v>21.87</v>
      </c>
      <c r="D13606" s="216" t="n">
        <v>1.091297030448914</v>
      </c>
      <c r="E13606" s="215" t="n">
        <v>45817</v>
      </c>
      <c r="F13606" s="215" t="n">
        <v>45817</v>
      </c>
    </row>
    <row r="13607">
      <c r="A13607" s="215" t="n">
        <v>45818</v>
      </c>
      <c r="B13607" s="216" t="n">
        <v>19.4</v>
      </c>
      <c r="C13607" s="216" t="n">
        <v>22.31</v>
      </c>
      <c r="D13607" s="216" t="n">
        <v>1.092790007591248</v>
      </c>
      <c r="E13607" s="215" t="n">
        <v>45818</v>
      </c>
      <c r="F13607" s="215" t="n">
        <v>45818</v>
      </c>
    </row>
    <row r="13608">
      <c r="A13608" s="215" t="n">
        <v>45819</v>
      </c>
      <c r="B13608" s="216" t="n">
        <v>19.74</v>
      </c>
      <c r="C13608" s="216" t="n">
        <v>24.07</v>
      </c>
      <c r="D13608" s="216" t="n">
        <v>1.092836976051331</v>
      </c>
      <c r="E13608" s="215" t="n">
        <v>45819</v>
      </c>
      <c r="F13608" s="215" t="n">
        <v>45819</v>
      </c>
    </row>
    <row r="13609">
      <c r="A13609" s="215" t="n">
        <v>45820</v>
      </c>
      <c r="B13609" s="216" t="n">
        <v>19.4</v>
      </c>
      <c r="C13609" s="216" t="n">
        <v>24.29</v>
      </c>
      <c r="D13609" s="216" t="n">
        <v>1.090999960899353</v>
      </c>
      <c r="E13609" s="215" t="n">
        <v>45820</v>
      </c>
      <c r="F13609" s="215" t="n">
        <v>45820</v>
      </c>
    </row>
    <row r="13610">
      <c r="A13610" s="215" t="n">
        <v>45821</v>
      </c>
      <c r="B13610" s="216" t="n">
        <v>18.46</v>
      </c>
      <c r="C13610" s="216" t="n">
        <v>23.8</v>
      </c>
      <c r="D13610" s="216" t="n">
        <v>1.091084957122803</v>
      </c>
      <c r="E13610" s="215" t="n">
        <v>45821</v>
      </c>
      <c r="F13610" s="215" t="n">
        <v>45821</v>
      </c>
    </row>
    <row r="13611">
      <c r="A13611" s="215" t="n">
        <v>45824</v>
      </c>
      <c r="B13611" s="216" t="n">
        <v>19.12</v>
      </c>
      <c r="C13611" s="216" t="n">
        <v>24.28</v>
      </c>
      <c r="D13611" s="216" t="n">
        <v>1.092895984649658</v>
      </c>
      <c r="E13611" s="215" t="n">
        <v>45824</v>
      </c>
      <c r="F13611" s="215" t="n">
        <v>45824</v>
      </c>
    </row>
    <row r="13612">
      <c r="A13612" s="215" t="n">
        <v>45825</v>
      </c>
      <c r="B13612" s="216" t="n">
        <v>18.46</v>
      </c>
      <c r="C13612" s="216" t="n">
        <v>23.66</v>
      </c>
      <c r="D13612" s="216" t="n">
        <v>1.093256950378418</v>
      </c>
      <c r="E13612" s="215" t="n">
        <v>45825</v>
      </c>
      <c r="F13612" s="215" t="n">
        <v>45825</v>
      </c>
    </row>
    <row r="13613">
      <c r="A13613" s="215" t="n">
        <v>45826</v>
      </c>
      <c r="B13613" s="216" t="n">
        <v>17.9</v>
      </c>
      <c r="C13613" s="216" t="n">
        <v>23.15</v>
      </c>
      <c r="D13613" s="216" t="n">
        <v>1.092421054840088</v>
      </c>
      <c r="E13613" s="215" t="n">
        <v>45826</v>
      </c>
      <c r="F13613" s="215" t="n">
        <v>45826</v>
      </c>
    </row>
    <row r="13614">
      <c r="A13614" s="215" t="n">
        <v>45827</v>
      </c>
      <c r="B13614" s="216" t="n">
        <v>17.76</v>
      </c>
      <c r="C13614" s="216" t="n">
        <v>22.4</v>
      </c>
      <c r="D13614" s="216" t="n">
        <v>1.091722011566162</v>
      </c>
      <c r="E13614" s="215" t="n">
        <v>45827</v>
      </c>
      <c r="F13614" s="215" t="n">
        <v>45827</v>
      </c>
    </row>
    <row r="13615">
      <c r="A13615" s="215" t="n">
        <v>45828</v>
      </c>
      <c r="B13615" s="216" t="n">
        <v>17.26</v>
      </c>
      <c r="C13615" s="216" t="n">
        <v>22.22</v>
      </c>
      <c r="D13615" s="216" t="n">
        <v>1.091766953468323</v>
      </c>
      <c r="E13615" s="215" t="n">
        <v>45828</v>
      </c>
      <c r="F13615" s="215" t="n">
        <v>45828</v>
      </c>
    </row>
    <row r="13616">
      <c r="A13616" s="215" t="n">
        <v>45831</v>
      </c>
      <c r="B13616" s="216" t="n">
        <v>17.9</v>
      </c>
      <c r="C13616" s="216" t="n">
        <v>22.39</v>
      </c>
      <c r="D13616" s="216" t="n">
        <v>1.091856002807617</v>
      </c>
      <c r="E13616" s="215" t="n">
        <v>45831</v>
      </c>
      <c r="F13616" s="215" t="n">
        <v>45831</v>
      </c>
    </row>
    <row r="13617">
      <c r="A13617" s="215" t="n">
        <v>45832</v>
      </c>
      <c r="B13617" s="216" t="n">
        <v>18.12</v>
      </c>
      <c r="C13617" s="216" t="n">
        <v>22.6</v>
      </c>
      <c r="D13617" s="216" t="n">
        <v>1.093309044837952</v>
      </c>
      <c r="E13617" s="215" t="n">
        <v>45832</v>
      </c>
      <c r="F13617" s="215" t="n">
        <v>45832</v>
      </c>
    </row>
    <row r="13618">
      <c r="A13618" s="215" t="n">
        <v>45833</v>
      </c>
      <c r="B13618" s="216" t="n">
        <v>18.16</v>
      </c>
      <c r="C13618" s="216" t="n">
        <v>22.67</v>
      </c>
      <c r="D13618" s="216" t="n">
        <v>1.094483971595764</v>
      </c>
      <c r="E13618" s="215" t="n">
        <v>45833</v>
      </c>
      <c r="F13618" s="215" t="n">
        <v>45833</v>
      </c>
    </row>
    <row r="13619">
      <c r="A13619" s="215" t="n">
        <v>45834</v>
      </c>
      <c r="B13619" s="216" t="n">
        <v>17.9</v>
      </c>
      <c r="C13619" s="216" t="n">
        <v>22.19</v>
      </c>
      <c r="D13619" s="216" t="n">
        <v>1.093523025512695</v>
      </c>
      <c r="E13619" s="215" t="n">
        <v>45834</v>
      </c>
      <c r="F13619" s="215" t="n">
        <v>45834</v>
      </c>
    </row>
    <row r="13620">
      <c r="A13620" s="215" t="n">
        <v>45835</v>
      </c>
      <c r="B13620" s="216" t="n">
        <v>18.76</v>
      </c>
      <c r="C13620" s="216" t="n">
        <v>22.71</v>
      </c>
      <c r="D13620" s="216" t="n">
        <v>1.095173001289368</v>
      </c>
      <c r="E13620" s="215" t="n">
        <v>45835</v>
      </c>
      <c r="F13620" s="215" t="n">
        <v>45835</v>
      </c>
    </row>
    <row r="13621">
      <c r="A13621" s="215" t="n">
        <v>45838</v>
      </c>
      <c r="B13621" s="216" t="n">
        <v>19.2</v>
      </c>
      <c r="C13621" s="216" t="n">
        <v>23.84</v>
      </c>
      <c r="D13621" s="216" t="n">
        <v>1.094328045845032</v>
      </c>
      <c r="E13621" s="215" t="n">
        <v>45838</v>
      </c>
      <c r="F13621" s="215" t="n">
        <v>45838</v>
      </c>
    </row>
    <row r="13622">
      <c r="A13622" s="215" t="n">
        <v>45840</v>
      </c>
      <c r="B13622" s="216" t="n">
        <v>18.78</v>
      </c>
      <c r="C13622" s="216" t="n">
        <v>23.38</v>
      </c>
      <c r="D13622" s="216" t="n">
        <v>1.095211982727051</v>
      </c>
      <c r="E13622" s="215" t="n">
        <v>45840</v>
      </c>
      <c r="F13622" s="215" t="n">
        <v>45840</v>
      </c>
    </row>
    <row r="13623">
      <c r="A13623" s="215" t="n">
        <v>45841</v>
      </c>
      <c r="B13623" s="216" t="n">
        <v>18.76</v>
      </c>
      <c r="C13623" s="216" t="n">
        <v>23.2</v>
      </c>
      <c r="D13623" s="216" t="n">
        <v>1.095422029495239</v>
      </c>
      <c r="E13623" s="215" t="n">
        <v>45841</v>
      </c>
      <c r="F13623" s="215" t="n">
        <v>45841</v>
      </c>
    </row>
    <row r="13624">
      <c r="A13624" s="215" t="n">
        <v>45842</v>
      </c>
      <c r="B13624" s="216" t="n">
        <v>18.18</v>
      </c>
      <c r="C13624" s="216" t="n">
        <v>22.6</v>
      </c>
      <c r="D13624" s="216" t="n">
        <v>1.095221042633057</v>
      </c>
      <c r="E13624" s="215" t="n">
        <v>45842</v>
      </c>
      <c r="F13624" s="215" t="n">
        <v>45842</v>
      </c>
    </row>
    <row r="13625">
      <c r="A13625" s="215" t="n">
        <v>45845</v>
      </c>
      <c r="B13625" s="216" t="n">
        <v>18.28</v>
      </c>
      <c r="C13625" s="216" t="n">
        <v>22.89</v>
      </c>
      <c r="D13625" s="216" t="n">
        <v>1.095430970191956</v>
      </c>
      <c r="E13625" s="215" t="n">
        <v>45845</v>
      </c>
      <c r="F13625" s="215" t="n">
        <v>45845</v>
      </c>
    </row>
    <row r="13626">
      <c r="A13626" s="215" t="n">
        <v>45846</v>
      </c>
      <c r="B13626" s="216" t="n">
        <v>18.76</v>
      </c>
      <c r="C13626" s="216" t="n">
        <v>23.73</v>
      </c>
      <c r="D13626" s="216" t="n">
        <v>1.093924999237061</v>
      </c>
      <c r="E13626" s="215" t="n">
        <v>45846</v>
      </c>
      <c r="F13626" s="215" t="n">
        <v>45846</v>
      </c>
    </row>
    <row r="13627">
      <c r="A13627" s="215" t="n">
        <v>45847</v>
      </c>
      <c r="B13627" s="216" t="n">
        <v>19.2</v>
      </c>
      <c r="C13627" s="216" t="n">
        <v>22.99</v>
      </c>
      <c r="D13627" s="216" t="n">
        <v>1.094220995903015</v>
      </c>
      <c r="E13627" s="215" t="n">
        <v>45847</v>
      </c>
      <c r="F13627" s="215" t="n">
        <v>45847</v>
      </c>
    </row>
    <row r="13628">
      <c r="A13628" s="215" t="n">
        <v>45848</v>
      </c>
      <c r="B13628" s="216" t="n">
        <v>19.44</v>
      </c>
      <c r="C13628" s="216" t="n">
        <v>24.02</v>
      </c>
      <c r="D13628" s="216" t="n">
        <v>1.093220949172974</v>
      </c>
      <c r="E13628" s="215" t="n">
        <v>45848</v>
      </c>
      <c r="F13628" s="215" t="n">
        <v>45848</v>
      </c>
    </row>
    <row r="13629">
      <c r="A13629" s="215" t="n">
        <v>45849</v>
      </c>
      <c r="B13629" s="216" t="n">
        <v>20.15</v>
      </c>
      <c r="C13629" s="216" t="n">
        <v>25.95</v>
      </c>
      <c r="D13629" s="216" t="n">
        <v>1.093930959701538</v>
      </c>
      <c r="E13629" s="215" t="n">
        <v>45849</v>
      </c>
      <c r="F13629" s="215" t="n">
        <v>45849</v>
      </c>
    </row>
    <row r="13630">
      <c r="A13630" s="215" t="n">
        <v>45852</v>
      </c>
      <c r="B13630" s="216" t="n">
        <v>19.94</v>
      </c>
      <c r="C13630" s="216" t="n">
        <v>26</v>
      </c>
      <c r="D13630" s="216" t="n">
        <v>1.095023989677429</v>
      </c>
      <c r="E13630" s="215" t="n">
        <v>45852</v>
      </c>
      <c r="F13630" s="215" t="n">
        <v>45852</v>
      </c>
    </row>
    <row r="13631">
      <c r="A13631" s="215" t="n">
        <v>45853</v>
      </c>
      <c r="B13631" s="216" t="n">
        <v>20</v>
      </c>
      <c r="C13631" s="216" t="n">
        <v>25.8</v>
      </c>
      <c r="D13631" s="216" t="n">
        <v>1.095172047615051</v>
      </c>
      <c r="E13631" s="215" t="n">
        <v>45853</v>
      </c>
      <c r="F13631" s="215" t="n">
        <v>45853</v>
      </c>
    </row>
    <row r="13632">
      <c r="A13632" s="215" t="n">
        <v>45854</v>
      </c>
      <c r="B13632" s="216" t="n">
        <v>20.2</v>
      </c>
      <c r="C13632" s="216" t="n">
        <v>26.22</v>
      </c>
      <c r="D13632" s="216" t="n">
        <v>1.094182014465332</v>
      </c>
      <c r="E13632" s="215" t="n">
        <v>45854</v>
      </c>
      <c r="F13632" s="215" t="n">
        <v>45854</v>
      </c>
    </row>
    <row r="13633">
      <c r="A13633" s="215" t="n">
        <v>45855</v>
      </c>
      <c r="B13633" s="216" t="n">
        <v>19.78</v>
      </c>
      <c r="C13633" s="216" t="n">
        <v>25.71</v>
      </c>
      <c r="D13633" s="216" t="n">
        <v>1.093484044075012</v>
      </c>
      <c r="E13633" s="215" t="n">
        <v>45855</v>
      </c>
      <c r="F13633" s="215" t="n">
        <v>45855</v>
      </c>
    </row>
    <row r="13634">
      <c r="A13634" s="215" t="n">
        <v>45856</v>
      </c>
      <c r="B13634" s="216" t="n">
        <v>20.4</v>
      </c>
      <c r="C13634" s="216" t="n">
        <v>26.73</v>
      </c>
      <c r="D13634" s="216" t="n">
        <v>1.092442035675049</v>
      </c>
      <c r="E13634" s="215" t="n">
        <v>45856</v>
      </c>
      <c r="F13634" s="215" t="n">
        <v>45856</v>
      </c>
    </row>
    <row r="13635">
      <c r="A13635" s="215" t="n">
        <v>45859</v>
      </c>
      <c r="B13635" s="216" t="n">
        <v>20.2</v>
      </c>
      <c r="C13635" s="216" t="n">
        <v>26.73</v>
      </c>
      <c r="D13635" s="216" t="n">
        <v>1.093299984931946</v>
      </c>
      <c r="E13635" s="215" t="n">
        <v>45859</v>
      </c>
      <c r="F13635" s="215" t="n">
        <v>45859</v>
      </c>
    </row>
    <row r="13636">
      <c r="A13636" s="215" t="n">
        <v>45860</v>
      </c>
      <c r="B13636" s="216" t="n">
        <v>19.58</v>
      </c>
      <c r="C13636" s="216" t="n">
        <v>26.64</v>
      </c>
      <c r="D13636" s="216" t="n">
        <v>1.093826055526733</v>
      </c>
      <c r="E13636" s="215" t="n">
        <v>45860</v>
      </c>
      <c r="F13636" s="215" t="n">
        <v>45860</v>
      </c>
    </row>
    <row r="13637">
      <c r="A13637" s="215" t="n">
        <v>45861</v>
      </c>
      <c r="B13637" s="216" t="n">
        <v>19.44</v>
      </c>
      <c r="C13637" s="216" t="n">
        <v>26.47</v>
      </c>
      <c r="D13637" s="216" t="n">
        <v>1.094056010246277</v>
      </c>
      <c r="E13637" s="215" t="n">
        <v>45861</v>
      </c>
      <c r="F13637" s="215" t="n">
        <v>45861</v>
      </c>
    </row>
    <row r="13638">
      <c r="A13638" s="215" t="n">
        <v>45862</v>
      </c>
      <c r="B13638" s="216" t="n">
        <v>20.55</v>
      </c>
      <c r="C13638" s="216" t="n">
        <v>29.1</v>
      </c>
      <c r="D13638" s="216" t="n">
        <v>1.096284031867981</v>
      </c>
      <c r="E13638" s="215" t="n">
        <v>45862</v>
      </c>
      <c r="F13638" s="215" t="n">
        <v>45862</v>
      </c>
    </row>
    <row r="13639">
      <c r="A13639" s="215" t="n">
        <v>45863</v>
      </c>
      <c r="B13639" s="216" t="n">
        <v>20.1</v>
      </c>
      <c r="C13639" s="216" t="n">
        <v>28.7</v>
      </c>
      <c r="D13639" s="216" t="n">
        <v>1.097048044204712</v>
      </c>
      <c r="E13639" s="215" t="n">
        <v>45863</v>
      </c>
      <c r="F13639" s="215" t="n">
        <v>45863</v>
      </c>
    </row>
    <row r="13640">
      <c r="A13640" s="215" t="n">
        <v>45866</v>
      </c>
      <c r="B13640" s="216" t="n">
        <v>20.2</v>
      </c>
      <c r="C13640" s="216" t="n">
        <v>28.55</v>
      </c>
      <c r="D13640" s="216" t="n">
        <v>1.097200989723206</v>
      </c>
      <c r="E13640" s="215" t="n">
        <v>45866</v>
      </c>
      <c r="F13640" s="215" t="n">
        <v>45866</v>
      </c>
    </row>
    <row r="13641">
      <c r="A13641" s="215" t="n">
        <v>45867</v>
      </c>
      <c r="B13641" s="216" t="n">
        <v>19.9</v>
      </c>
      <c r="C13641" s="216" t="n">
        <v>28.13</v>
      </c>
      <c r="D13641" s="216" t="n">
        <v>1.093530058860779</v>
      </c>
      <c r="E13641" s="215" t="n">
        <v>45867</v>
      </c>
      <c r="F13641" s="215" t="n">
        <v>45867</v>
      </c>
    </row>
    <row r="13642">
      <c r="A13642" s="215" t="n">
        <v>45868</v>
      </c>
      <c r="B13642" s="216" t="n">
        <v>18.8</v>
      </c>
      <c r="C13642" s="216" t="n">
        <v>27.33</v>
      </c>
      <c r="D13642" s="216" t="n">
        <v>1.093464970588684</v>
      </c>
      <c r="E13642" s="215" t="n">
        <v>45868</v>
      </c>
      <c r="F13642" s="215" t="n">
        <v>45868</v>
      </c>
    </row>
    <row r="13643">
      <c r="A13643" s="215" t="n">
        <v>45869</v>
      </c>
      <c r="B13643" s="216" t="n">
        <v>18.4</v>
      </c>
      <c r="C13643" s="216" t="n">
        <v>27.36</v>
      </c>
      <c r="D13643" s="216" t="n">
        <v>1.093583941459656</v>
      </c>
      <c r="E13643" s="215" t="n">
        <v>45869</v>
      </c>
      <c r="F13643" s="215" t="n">
        <v>45869</v>
      </c>
    </row>
    <row r="13644">
      <c r="A13644" s="215" t="n">
        <v>45870</v>
      </c>
      <c r="B13644" s="216" t="n">
        <v>17.94</v>
      </c>
      <c r="C13644" s="216" t="n">
        <v>26.7</v>
      </c>
      <c r="D13644" s="216" t="n">
        <v>1.090090990066528</v>
      </c>
      <c r="E13644" s="215" t="n">
        <v>45870</v>
      </c>
      <c r="F13644" s="215" t="n">
        <v>45870</v>
      </c>
    </row>
    <row r="13645">
      <c r="A13645" s="215" t="n">
        <v>45873</v>
      </c>
      <c r="B13645" s="216" t="n">
        <v>18.5</v>
      </c>
      <c r="C13645" s="216" t="n">
        <v>27.01</v>
      </c>
      <c r="D13645" s="216" t="n">
        <v>1.088384985923767</v>
      </c>
      <c r="E13645" s="215" t="n">
        <v>45873</v>
      </c>
      <c r="F13645" s="215" t="n">
        <v>45873</v>
      </c>
    </row>
    <row r="13646">
      <c r="A13646" s="215" t="n">
        <v>45874</v>
      </c>
      <c r="B13646" s="216" t="n">
        <v>18.7</v>
      </c>
      <c r="C13646" s="216" t="n">
        <v>27.1</v>
      </c>
      <c r="D13646" s="216" t="n">
        <v>1.093202948570251</v>
      </c>
      <c r="E13646" s="215" t="n">
        <v>45874</v>
      </c>
      <c r="F13646" s="215" t="n">
        <v>45874</v>
      </c>
    </row>
    <row r="13647">
      <c r="A13647" s="215" t="n">
        <v>45875</v>
      </c>
      <c r="B13647" s="216" t="n">
        <v>18.84</v>
      </c>
      <c r="C13647" s="216" t="n">
        <v>27.87</v>
      </c>
      <c r="D13647" s="216" t="n">
        <v>1.092388987541199</v>
      </c>
      <c r="E13647" s="215" t="n">
        <v>45875</v>
      </c>
      <c r="F13647" s="215" t="n">
        <v>45875</v>
      </c>
    </row>
    <row r="13648">
      <c r="A13648" s="215" t="n">
        <v>45876</v>
      </c>
      <c r="B13648" s="216" t="n">
        <v>19.6</v>
      </c>
      <c r="C13648" s="216" t="n">
        <v>29.14</v>
      </c>
      <c r="D13648" s="216" t="n">
        <v>1.092599034309387</v>
      </c>
      <c r="E13648" s="215" t="n">
        <v>45876</v>
      </c>
      <c r="F13648" s="215" t="n">
        <v>45876</v>
      </c>
    </row>
    <row r="13649">
      <c r="A13649" s="215" t="n">
        <v>45877</v>
      </c>
      <c r="B13649" s="216" t="n">
        <v>19.33</v>
      </c>
      <c r="C13649" s="216" t="n">
        <v>28.16</v>
      </c>
      <c r="D13649" s="216" t="n">
        <v>1.092857956886292</v>
      </c>
      <c r="E13649" s="215" t="n">
        <v>45877</v>
      </c>
      <c r="F13649" s="215" t="n">
        <v>45877</v>
      </c>
    </row>
    <row r="13650">
      <c r="A13650" s="215" t="n">
        <v>45880</v>
      </c>
      <c r="B13650" s="216" t="n">
        <v>19.4</v>
      </c>
      <c r="C13650" s="216" t="n">
        <v>28.16</v>
      </c>
      <c r="D13650" s="216" t="n">
        <v>1.093001961708069</v>
      </c>
      <c r="E13650" s="215" t="n">
        <v>45880</v>
      </c>
      <c r="F13650" s="215" t="n">
        <v>45880</v>
      </c>
    </row>
    <row r="13651">
      <c r="A13651" s="215" t="n">
        <v>45881</v>
      </c>
      <c r="B13651" s="216" t="n">
        <v>18.3</v>
      </c>
      <c r="C13651" s="216" t="n">
        <v>27.3</v>
      </c>
      <c r="D13651" s="216" t="n">
        <v>1.091938018798828</v>
      </c>
      <c r="E13651" s="215" t="n">
        <v>45881</v>
      </c>
      <c r="F13651" s="215" t="n">
        <v>45881</v>
      </c>
    </row>
    <row r="13652">
      <c r="A13652" s="215" t="n">
        <v>45882</v>
      </c>
      <c r="B13652" s="216" t="n">
        <v>18.67</v>
      </c>
      <c r="C13652" s="216" t="n">
        <v>27.89</v>
      </c>
      <c r="D13652" s="216" t="n">
        <v>1.093171000480652</v>
      </c>
      <c r="E13652" s="215" t="n">
        <v>45882</v>
      </c>
      <c r="F13652" s="215" t="n">
        <v>45882</v>
      </c>
    </row>
    <row r="13653">
      <c r="A13653" s="215" t="n">
        <v>45883</v>
      </c>
      <c r="B13653" s="216" t="n">
        <v>18.44</v>
      </c>
      <c r="C13653" s="216" t="n">
        <v>27.57</v>
      </c>
      <c r="D13653" s="216" t="n">
        <v>1.093981027603149</v>
      </c>
      <c r="E13653" s="215" t="n">
        <v>45883</v>
      </c>
      <c r="F13653" s="215" t="n">
        <v>45883</v>
      </c>
    </row>
    <row r="13654">
      <c r="A13654" s="215" t="n">
        <v>45884</v>
      </c>
      <c r="B13654" s="216" t="n">
        <v>19.09</v>
      </c>
      <c r="C13654" s="216" t="n">
        <v>28.17</v>
      </c>
      <c r="D13654" s="216" t="n">
        <v>1.091035962104797</v>
      </c>
      <c r="E13654" s="215" t="n">
        <v>45884</v>
      </c>
      <c r="F13654" s="215" t="n">
        <v>45884</v>
      </c>
    </row>
    <row r="13655">
      <c r="A13655" s="215" t="n">
        <v>45887</v>
      </c>
      <c r="B13655" s="216" t="n">
        <v>19.94</v>
      </c>
      <c r="C13655" s="216" t="n">
        <v>29.32</v>
      </c>
      <c r="D13655" s="216" t="n">
        <v>1.089409947395325</v>
      </c>
      <c r="E13655" s="215" t="n">
        <v>45887</v>
      </c>
      <c r="F13655" s="215" t="n">
        <v>45887</v>
      </c>
    </row>
    <row r="13656">
      <c r="A13656" s="215" t="n">
        <v>45888</v>
      </c>
      <c r="B13656" s="216" t="n">
        <v>19.29</v>
      </c>
      <c r="C13656" s="216" t="n">
        <v>28.84</v>
      </c>
      <c r="D13656" s="216" t="n">
        <v>1.088366031646729</v>
      </c>
      <c r="E13656" s="215" t="n">
        <v>45888</v>
      </c>
      <c r="F13656" s="215" t="n">
        <v>45888</v>
      </c>
    </row>
    <row r="13657">
      <c r="A13657" s="215" t="n">
        <v>45889</v>
      </c>
      <c r="B13657" s="216" t="n">
        <v>18.79</v>
      </c>
      <c r="C13657" s="216" t="n">
        <v>29.45</v>
      </c>
      <c r="D13657" s="216" t="n">
        <v>1.085826992988586</v>
      </c>
      <c r="E13657" s="215" t="n">
        <v>45889</v>
      </c>
      <c r="F13657" s="215" t="n">
        <v>45889</v>
      </c>
    </row>
    <row r="13658">
      <c r="A13658" s="215" t="n">
        <v>45890</v>
      </c>
      <c r="B13658" s="216" t="n">
        <v>19.02</v>
      </c>
      <c r="C13658" s="216" t="n">
        <v>29.57</v>
      </c>
      <c r="D13658" s="216" t="n">
        <v>1.088521003723145</v>
      </c>
      <c r="E13658" s="215" t="n">
        <v>45890</v>
      </c>
      <c r="F13658" s="215" t="n">
        <v>45890</v>
      </c>
    </row>
    <row r="13659">
      <c r="A13659" s="215" t="n">
        <v>45891</v>
      </c>
      <c r="B13659" s="216" t="n">
        <v>19.59</v>
      </c>
      <c r="C13659" s="216" t="n">
        <v>30.3</v>
      </c>
      <c r="D13659" s="216" t="n">
        <v>1.08814001083374</v>
      </c>
      <c r="E13659" s="215" t="n">
        <v>45891</v>
      </c>
      <c r="F13659" s="215" t="n">
        <v>45891</v>
      </c>
    </row>
    <row r="13660">
      <c r="A13660" s="215" t="n">
        <v>45894</v>
      </c>
      <c r="B13660" s="216" t="n">
        <v>22.4</v>
      </c>
      <c r="C13660" s="216" t="n">
        <v>36.36</v>
      </c>
      <c r="D13660" s="216" t="n">
        <v>1.090230941772461</v>
      </c>
      <c r="E13660" s="215" t="n">
        <v>45894</v>
      </c>
      <c r="F13660" s="215" t="n">
        <v>45894</v>
      </c>
    </row>
    <row r="13661">
      <c r="A13661" s="215" t="n">
        <v>45895</v>
      </c>
      <c r="B13661" s="216" t="n">
        <v>22.94</v>
      </c>
      <c r="C13661" s="216" t="n">
        <v>37.4</v>
      </c>
      <c r="D13661" s="216" t="n">
        <v>1.09236204624176</v>
      </c>
      <c r="E13661" s="215" t="n">
        <v>45895</v>
      </c>
      <c r="F13661" s="215" t="n">
        <v>45895</v>
      </c>
    </row>
    <row r="13662">
      <c r="A13662" s="215" t="n">
        <v>45896</v>
      </c>
      <c r="B13662" s="216" t="n">
        <v>23.54</v>
      </c>
      <c r="C13662" s="216" t="n">
        <v>39.88</v>
      </c>
      <c r="D13662" s="216" t="n">
        <v>1.089414000511169</v>
      </c>
      <c r="E13662" s="215" t="n">
        <v>45896</v>
      </c>
      <c r="F13662" s="215" t="n">
        <v>45896</v>
      </c>
    </row>
    <row r="13663">
      <c r="A13663" s="215" t="n">
        <v>45897</v>
      </c>
      <c r="B13663" s="216" t="n">
        <v>23.86</v>
      </c>
      <c r="C13663" s="216" t="n">
        <v>42.59</v>
      </c>
      <c r="D13663" s="216" t="n">
        <v>1.088047027587891</v>
      </c>
      <c r="E13663" s="215" t="n">
        <v>45897</v>
      </c>
      <c r="F13663" s="215" t="n">
        <v>45897</v>
      </c>
    </row>
    <row r="13664">
      <c r="A13664" s="215" t="n">
        <v>45898</v>
      </c>
      <c r="B13664" s="216" t="n">
        <v>23.06</v>
      </c>
      <c r="C13664" s="216" t="n">
        <v>41</v>
      </c>
      <c r="D13664" s="216" t="n">
        <v>1.089478969573975</v>
      </c>
      <c r="E13664" s="215" t="n">
        <v>45898</v>
      </c>
      <c r="F13664" s="215" t="n">
        <v>45898</v>
      </c>
    </row>
    <row r="13665">
      <c r="A13665" s="215" t="n">
        <v>45901</v>
      </c>
      <c r="B13665" s="216" t="n">
        <v>22.4</v>
      </c>
      <c r="C13665" s="216" t="n">
        <v>39.65</v>
      </c>
      <c r="D13665" s="216" t="n">
        <v>1.09319794178009</v>
      </c>
      <c r="E13665" s="215" t="n">
        <v>45901</v>
      </c>
      <c r="F13665" s="215" t="n">
        <v>45901</v>
      </c>
    </row>
    <row r="13666">
      <c r="A13666" s="215" t="n">
        <v>45902</v>
      </c>
      <c r="B13666" s="216" t="n">
        <v>21.4</v>
      </c>
      <c r="C13666" s="216" t="n">
        <v>37.9</v>
      </c>
      <c r="D13666" s="216" t="n">
        <v>1.093255043029785</v>
      </c>
      <c r="E13666" s="215" t="n">
        <v>45902</v>
      </c>
      <c r="F13666" s="215" t="n">
        <v>45902</v>
      </c>
    </row>
    <row r="13667">
      <c r="A13667" s="215" t="n">
        <v>45903</v>
      </c>
      <c r="B13667" s="216" t="n">
        <v>22.28</v>
      </c>
      <c r="C13667" s="216" t="n">
        <v>37.48</v>
      </c>
      <c r="D13667" s="216" t="n">
        <v>1.09343695640564</v>
      </c>
      <c r="E13667" s="215" t="n">
        <v>45903</v>
      </c>
      <c r="F13667" s="215" t="n">
        <v>45903</v>
      </c>
    </row>
    <row r="13668">
      <c r="A13668" s="215" t="n">
        <v>45904</v>
      </c>
      <c r="B13668" s="216" t="n">
        <v>20.9</v>
      </c>
      <c r="C13668" s="216" t="n">
        <v>35.5</v>
      </c>
      <c r="D13668" s="216" t="n">
        <v>1.092192053794861</v>
      </c>
      <c r="E13668" s="215" t="n">
        <v>45904</v>
      </c>
      <c r="F13668" s="215" t="n">
        <v>45904</v>
      </c>
    </row>
    <row r="13669">
      <c r="A13669" s="215" t="n">
        <v>45905</v>
      </c>
      <c r="B13669" s="216" t="n">
        <v>22.18</v>
      </c>
      <c r="C13669" s="216" t="n">
        <v>36.5</v>
      </c>
      <c r="D13669" s="216" t="n">
        <v>1.092169046401978</v>
      </c>
      <c r="E13669" s="215" t="n">
        <v>45905</v>
      </c>
      <c r="F13669" s="215" t="n">
        <v>45905</v>
      </c>
    </row>
    <row r="13670">
      <c r="A13670" s="215" t="n">
        <v>45908</v>
      </c>
      <c r="B13670" s="216" t="n">
        <v>22.8</v>
      </c>
      <c r="C13670" s="216" t="n">
        <v>36.57</v>
      </c>
      <c r="D13670" s="216" t="n">
        <v>1.093217015266418</v>
      </c>
      <c r="E13670" s="215" t="n">
        <v>45908</v>
      </c>
      <c r="F13670" s="215" t="n">
        <v>45908</v>
      </c>
    </row>
    <row r="13671">
      <c r="A13671" s="215" t="n">
        <v>45909</v>
      </c>
      <c r="B13671" s="216" t="n">
        <v>21.28</v>
      </c>
      <c r="C13671" s="216" t="n">
        <v>34.5</v>
      </c>
      <c r="D13671" s="216" t="n">
        <v>1.092916965484619</v>
      </c>
      <c r="E13671" s="215" t="n">
        <v>45909</v>
      </c>
      <c r="F13671" s="215" t="n">
        <v>45909</v>
      </c>
    </row>
    <row r="13672">
      <c r="A13672" s="215" t="n">
        <v>45910</v>
      </c>
      <c r="B13672" s="216" t="n">
        <v>21.54</v>
      </c>
      <c r="C13672" s="216" t="n">
        <v>34.3</v>
      </c>
      <c r="D13672" s="216" t="n">
        <v>1.093482971191406</v>
      </c>
      <c r="E13672" s="215" t="n">
        <v>45910</v>
      </c>
      <c r="F13672" s="215" t="n">
        <v>45910</v>
      </c>
    </row>
    <row r="13673">
      <c r="A13673" s="215" t="n">
        <v>45911</v>
      </c>
      <c r="B13673" s="216" t="n">
        <v>22.84</v>
      </c>
      <c r="C13673" s="216" t="n">
        <v>36.01</v>
      </c>
      <c r="D13673" s="216" t="n">
        <v>1.093762993812561</v>
      </c>
      <c r="E13673" s="215" t="n">
        <v>45911</v>
      </c>
      <c r="F13673" s="215" t="n">
        <v>45911</v>
      </c>
    </row>
    <row r="13674">
      <c r="A13674" s="215" t="n">
        <v>45912</v>
      </c>
      <c r="B13674" s="216" t="n">
        <v>22.98</v>
      </c>
      <c r="C13674" s="216" t="n">
        <v>37.37</v>
      </c>
      <c r="D13674" s="216" t="n">
        <v>1.094014048576355</v>
      </c>
      <c r="E13674" s="215" t="n">
        <v>45912</v>
      </c>
      <c r="F13674" s="215" t="n">
        <v>45912</v>
      </c>
    </row>
    <row r="13675">
      <c r="A13675" s="215" t="n">
        <v>45915</v>
      </c>
      <c r="B13675" s="216" t="n">
        <v>22.5</v>
      </c>
      <c r="C13675" s="216" t="n">
        <v>36.83</v>
      </c>
      <c r="D13675" s="216" t="n">
        <v>1.091848969459534</v>
      </c>
      <c r="E13675" s="215" t="n">
        <v>45915</v>
      </c>
      <c r="F13675" s="215" t="n">
        <v>45915</v>
      </c>
    </row>
    <row r="13676">
      <c r="A13676" s="215" t="n">
        <v>45916</v>
      </c>
      <c r="B13676" s="216" t="n">
        <v>21.68</v>
      </c>
      <c r="C13676" s="216" t="n">
        <v>35.59</v>
      </c>
      <c r="D13676" s="216" t="n">
        <v>1.092795968055725</v>
      </c>
      <c r="E13676" s="215" t="n">
        <v>45916</v>
      </c>
      <c r="F13676" s="215" t="n">
        <v>45916</v>
      </c>
    </row>
    <row r="13677">
      <c r="A13677" s="215" t="n">
        <v>45917</v>
      </c>
      <c r="B13677" s="216" t="n">
        <v>22.62</v>
      </c>
      <c r="C13677" s="216" t="n">
        <v>37.9</v>
      </c>
      <c r="D13677" s="216" t="n">
        <v>1.093690991401672</v>
      </c>
      <c r="E13677" s="215" t="n">
        <v>45917</v>
      </c>
      <c r="F13677" s="215" t="n">
        <v>45917</v>
      </c>
    </row>
    <row r="13678">
      <c r="A13678" s="215" t="n">
        <v>45918</v>
      </c>
      <c r="B13678" s="216" t="n">
        <v>22.68</v>
      </c>
      <c r="C13678" s="216" t="n">
        <v>36.22</v>
      </c>
      <c r="D13678" s="216" t="n">
        <v>1.094727993011475</v>
      </c>
      <c r="E13678" s="215" t="n">
        <v>45918</v>
      </c>
      <c r="F13678" s="215" t="n">
        <v>45918</v>
      </c>
    </row>
    <row r="13679">
      <c r="A13679" s="215" t="n">
        <v>45919</v>
      </c>
      <c r="B13679" s="216" t="n">
        <v>22.7</v>
      </c>
      <c r="C13679" s="216" t="n">
        <v>35.27</v>
      </c>
      <c r="D13679" s="216" t="n">
        <v>1.093201994895935</v>
      </c>
      <c r="E13679" s="215" t="n">
        <v>45919</v>
      </c>
      <c r="F13679" s="215" t="n">
        <v>45919</v>
      </c>
    </row>
    <row r="13680">
      <c r="A13680" s="215" t="n">
        <v>45922</v>
      </c>
      <c r="B13680" s="216" t="n">
        <v>22.46</v>
      </c>
      <c r="C13680" s="216" t="n">
        <v>35.34</v>
      </c>
      <c r="D13680" s="216" t="n">
        <v>1.092589020729065</v>
      </c>
      <c r="E13680" s="215" t="n">
        <v>45922</v>
      </c>
      <c r="F13680" s="215" t="n">
        <v>45922</v>
      </c>
    </row>
    <row r="13681">
      <c r="A13681" s="215" t="n">
        <v>45923</v>
      </c>
      <c r="B13681" s="216" t="n">
        <v>21.42</v>
      </c>
      <c r="C13681" s="216" t="n">
        <v>34.08</v>
      </c>
      <c r="D13681" s="216" t="n">
        <v>1.0920250415802</v>
      </c>
      <c r="E13681" s="215" t="n">
        <v>45923</v>
      </c>
      <c r="F13681" s="215" t="n">
        <v>45923</v>
      </c>
    </row>
    <row r="13682">
      <c r="A13682" s="215" t="n">
        <v>45924</v>
      </c>
      <c r="B13682" s="216" t="n">
        <v>21</v>
      </c>
      <c r="C13682" s="216" t="n">
        <v>34.35</v>
      </c>
      <c r="D13682" s="216" t="n">
        <v>1.093196988105774</v>
      </c>
      <c r="E13682" s="215" t="n">
        <v>45924</v>
      </c>
      <c r="F13682" s="215" t="n">
        <v>45924</v>
      </c>
    </row>
    <row r="13683">
      <c r="A13683" s="215" t="n">
        <v>45925</v>
      </c>
      <c r="B13683" s="216" t="n">
        <v>22.26</v>
      </c>
      <c r="C13683" s="216" t="n">
        <v>35.34</v>
      </c>
      <c r="D13683" s="216" t="n">
        <v>1.090371012687683</v>
      </c>
      <c r="E13683" s="215" t="n">
        <v>45925</v>
      </c>
      <c r="F13683" s="215" t="n">
        <v>45925</v>
      </c>
    </row>
    <row r="13684">
      <c r="A13684" s="215" t="n">
        <v>45926</v>
      </c>
      <c r="B13684" s="216" t="n">
        <v>21.76</v>
      </c>
      <c r="C13684" s="216" t="n">
        <v>34.66</v>
      </c>
      <c r="D13684" s="216" t="n">
        <v>1.090574979782104</v>
      </c>
      <c r="E13684" s="215" t="n">
        <v>45926</v>
      </c>
      <c r="F13684" s="215" t="n">
        <v>45926</v>
      </c>
    </row>
    <row r="13685">
      <c r="A13685" s="215" t="n">
        <v>45929</v>
      </c>
      <c r="B13685" s="216" t="n">
        <v>22.4</v>
      </c>
      <c r="C13685" s="216" t="n">
        <v>34.51</v>
      </c>
      <c r="D13685" s="216" t="n">
        <v>1.090520024299622</v>
      </c>
      <c r="E13685" s="215" t="n">
        <v>45929</v>
      </c>
      <c r="F13685" s="215" t="n">
        <v>45929</v>
      </c>
    </row>
    <row r="13686">
      <c r="A13686" s="215" t="n">
        <v>45930</v>
      </c>
      <c r="B13686" s="216" t="n">
        <v>22.8</v>
      </c>
      <c r="C13686" s="216" t="n">
        <v>34.29</v>
      </c>
      <c r="D13686" s="216" t="n">
        <v>1.093106031417847</v>
      </c>
      <c r="E13686" s="215" t="n">
        <v>45930</v>
      </c>
      <c r="F13686" s="215" t="n">
        <v>45930</v>
      </c>
    </row>
    <row r="13687">
      <c r="A13687" s="215" t="n">
        <v>45932</v>
      </c>
      <c r="B13687" s="216" t="n">
        <v>23.42</v>
      </c>
      <c r="C13687" s="216" t="n">
        <v>34.29</v>
      </c>
      <c r="D13687" s="216" t="n">
        <v>1.092823028564453</v>
      </c>
      <c r="E13687" s="215" t="n">
        <v>45930</v>
      </c>
      <c r="F13687" s="215" t="n">
        <v>45932</v>
      </c>
    </row>
    <row r="13688">
      <c r="A13688" s="215" t="n">
        <v>45933</v>
      </c>
      <c r="B13688" s="216" t="n">
        <v>22.72</v>
      </c>
      <c r="C13688" s="216" t="n">
        <v>34.29</v>
      </c>
      <c r="D13688" s="216" t="n">
        <v>1.09303605556488</v>
      </c>
      <c r="E13688" s="215" t="n">
        <v>45930</v>
      </c>
      <c r="F13688" s="215" t="n">
        <v>45933</v>
      </c>
    </row>
    <row r="13689">
      <c r="A13689" s="215" t="n">
        <v>45936</v>
      </c>
      <c r="B13689" s="216" t="n">
        <v>21.98</v>
      </c>
      <c r="C13689" s="216" t="n">
        <v>34.29</v>
      </c>
      <c r="D13689" s="216" t="n">
        <v>1.092857956886292</v>
      </c>
      <c r="E13689" s="215" t="n">
        <v>45930</v>
      </c>
      <c r="F13689" s="215" t="n">
        <v>45936</v>
      </c>
    </row>
    <row r="13690">
      <c r="A13690" s="215" t="n">
        <v>45938</v>
      </c>
      <c r="B13690" s="216" t="n">
        <v>24</v>
      </c>
      <c r="C13690" s="216" t="n">
        <v>34.29</v>
      </c>
      <c r="D13690" s="216" t="n">
        <v>1.093148946762085</v>
      </c>
      <c r="E13690" s="215" t="n">
        <v>45930</v>
      </c>
      <c r="F13690" s="215" t="n">
        <v>45938</v>
      </c>
    </row>
    <row r="13691">
      <c r="A13691" s="215" t="n">
        <v>45939</v>
      </c>
      <c r="B13691" s="216" t="n">
        <v>26.08</v>
      </c>
      <c r="C13691" s="216" t="n">
        <v>39.49</v>
      </c>
      <c r="D13691" s="216" t="n">
        <v>1.092933058738708</v>
      </c>
      <c r="E13691" s="215" t="n">
        <v>45939</v>
      </c>
      <c r="F13691" s="215" t="n">
        <v>45939</v>
      </c>
    </row>
    <row r="13692">
      <c r="A13692" s="215" t="n">
        <v>45940</v>
      </c>
      <c r="B13692" s="216" t="n">
        <v>25.4</v>
      </c>
      <c r="C13692" s="216" t="n">
        <v>39.88</v>
      </c>
      <c r="D13692" s="216" t="n">
        <v>1.091662049293518</v>
      </c>
      <c r="E13692" s="215" t="n">
        <v>45940</v>
      </c>
      <c r="F13692" s="215" t="n">
        <v>45940</v>
      </c>
    </row>
    <row r="13693">
      <c r="A13693" s="215" t="n">
        <v>45943</v>
      </c>
      <c r="B13693" s="216" t="n">
        <v>28.72</v>
      </c>
      <c r="C13693" s="216" t="n">
        <v>46.9</v>
      </c>
      <c r="D13693" s="216" t="n">
        <v>1.093768000602722</v>
      </c>
      <c r="E13693" s="215" t="n">
        <v>45943</v>
      </c>
      <c r="F13693" s="215" t="n">
        <v>45943</v>
      </c>
    </row>
    <row r="13694">
      <c r="A13694" s="215" t="n">
        <v>45944</v>
      </c>
      <c r="B13694" s="216" t="n">
        <v>25.48</v>
      </c>
      <c r="C13694" s="216" t="n">
        <v>42.86</v>
      </c>
      <c r="D13694" s="216" t="n">
        <v>1.093292951583862</v>
      </c>
      <c r="E13694" s="215" t="n">
        <v>45944</v>
      </c>
      <c r="F13694" s="215" t="n">
        <v>45944</v>
      </c>
    </row>
    <row r="13695">
      <c r="A13695" s="215" t="n">
        <v>45945</v>
      </c>
      <c r="B13695" s="216" t="n">
        <v>25.32</v>
      </c>
      <c r="C13695" s="216" t="n">
        <v>43.12</v>
      </c>
      <c r="D13695" s="216" t="n">
        <v>1.088750958442688</v>
      </c>
      <c r="E13695" s="215" t="n">
        <v>45945</v>
      </c>
      <c r="F13695" s="215" t="n">
        <v>45945</v>
      </c>
    </row>
    <row r="13696">
      <c r="A13696" s="215" t="n">
        <v>45946</v>
      </c>
      <c r="B13696" s="216" t="n">
        <v>24.26</v>
      </c>
      <c r="C13696" s="216" t="n">
        <v>40.86</v>
      </c>
      <c r="D13696" s="216" t="n">
        <v>1.090903043746948</v>
      </c>
      <c r="E13696" s="215" t="n">
        <v>45946</v>
      </c>
      <c r="F13696" s="215" t="n">
        <v>45946</v>
      </c>
    </row>
    <row r="13697">
      <c r="A13697" s="215" t="n">
        <v>45947</v>
      </c>
      <c r="B13697" s="216" t="n">
        <v>23.32</v>
      </c>
      <c r="C13697" s="216" t="n">
        <v>40</v>
      </c>
      <c r="D13697" s="216" t="n">
        <v>1.09073805809021</v>
      </c>
      <c r="E13697" s="215" t="n">
        <v>45947</v>
      </c>
      <c r="F13697" s="215" t="n">
        <v>45947</v>
      </c>
    </row>
    <row r="13698">
      <c r="A13698" s="215" t="n">
        <v>45950</v>
      </c>
      <c r="B13698" s="216" t="n">
        <v>23.28</v>
      </c>
      <c r="C13698" s="216" t="n">
        <v>40.32</v>
      </c>
      <c r="D13698" s="216" t="n">
        <v>1.089843988418579</v>
      </c>
      <c r="E13698" s="215" t="n">
        <v>45950</v>
      </c>
      <c r="F13698" s="215" t="n">
        <v>45950</v>
      </c>
    </row>
    <row r="13699">
      <c r="A13699" s="215" t="n">
        <v>45951</v>
      </c>
      <c r="B13699" s="216" t="n">
        <v>23.28</v>
      </c>
      <c r="C13699" s="216" t="n">
        <v>39.91</v>
      </c>
      <c r="D13699" s="216" t="n">
        <v>1.091038942337036</v>
      </c>
      <c r="E13699" s="215" t="n">
        <v>45951</v>
      </c>
      <c r="F13699" s="215" t="n">
        <v>45951</v>
      </c>
    </row>
    <row r="13700">
      <c r="A13700" s="215" t="n">
        <v>45952</v>
      </c>
      <c r="B13700" s="216" t="n">
        <v>22.64</v>
      </c>
      <c r="C13700" s="216" t="n">
        <v>38.48</v>
      </c>
      <c r="D13700" s="216" t="n">
        <v>1.091071009635925</v>
      </c>
      <c r="E13700" s="215" t="n">
        <v>45952</v>
      </c>
      <c r="F13700" s="215" t="n">
        <v>45952</v>
      </c>
    </row>
    <row r="13701">
      <c r="A13701" s="215" t="n">
        <v>45953</v>
      </c>
      <c r="B13701" s="216" t="n">
        <v>22.3</v>
      </c>
      <c r="C13701" s="216" t="n">
        <v>37.88</v>
      </c>
      <c r="D13701" s="216" t="n">
        <v>1.090343952178955</v>
      </c>
      <c r="E13701" s="215" t="n">
        <v>45953</v>
      </c>
      <c r="F13701" s="215" t="n">
        <v>45953</v>
      </c>
    </row>
    <row r="13702">
      <c r="A13702" s="215" t="n">
        <v>45954</v>
      </c>
      <c r="B13702" s="216" t="n">
        <v>23.46</v>
      </c>
      <c r="C13702" s="216" t="n">
        <v>39.98</v>
      </c>
      <c r="D13702" s="216" t="n">
        <v>1.090456962585449</v>
      </c>
      <c r="E13702" s="215" t="n">
        <v>45954</v>
      </c>
      <c r="F13702" s="215" t="n">
        <v>45954</v>
      </c>
    </row>
    <row r="13703">
      <c r="A13703" s="215" t="n">
        <v>45957</v>
      </c>
      <c r="B13703" s="216" t="n">
        <v>24.14</v>
      </c>
      <c r="C13703" s="216" t="n">
        <v>40.24</v>
      </c>
      <c r="D13703" s="216" t="n">
        <v>1.090957045555115</v>
      </c>
      <c r="E13703" s="215" t="n">
        <v>45957</v>
      </c>
      <c r="F13703" s="215" t="n">
        <v>45957</v>
      </c>
    </row>
    <row r="13704">
      <c r="A13704" s="215" t="n">
        <v>45958</v>
      </c>
      <c r="B13704" s="216" t="n">
        <v>23.44</v>
      </c>
      <c r="C13704" s="216" t="n">
        <v>39.15</v>
      </c>
      <c r="D13704" s="216" t="n">
        <v>1.092440009117126</v>
      </c>
      <c r="E13704" s="215" t="n">
        <v>45958</v>
      </c>
      <c r="F13704" s="215" t="n">
        <v>45958</v>
      </c>
    </row>
    <row r="13705">
      <c r="A13705" s="215" t="n">
        <v>45960</v>
      </c>
      <c r="B13705" s="216" t="n">
        <v>24.6</v>
      </c>
      <c r="C13705" s="216" t="n">
        <v>42.07</v>
      </c>
      <c r="D13705" s="216" t="n">
        <v>1.09463894367218</v>
      </c>
      <c r="E13705" s="215" t="n">
        <v>45960</v>
      </c>
      <c r="F13705" s="215" t="n">
        <v>45960</v>
      </c>
    </row>
    <row r="13706">
      <c r="A13706" s="215" t="n">
        <v>45961</v>
      </c>
      <c r="B13706" s="216" t="n">
        <v>22.9</v>
      </c>
      <c r="C13706" s="216" t="n">
        <v>39.18</v>
      </c>
      <c r="D13706" s="216" t="n">
        <v>1.092543959617615</v>
      </c>
      <c r="E13706" s="215" t="n">
        <v>45961</v>
      </c>
      <c r="F13706" s="215" t="n">
        <v>45961</v>
      </c>
    </row>
    <row r="13707">
      <c r="A13707" s="215" t="n">
        <v>45964</v>
      </c>
      <c r="B13707" s="216" t="n">
        <v>21</v>
      </c>
      <c r="C13707" s="216" t="n">
        <v>36.45</v>
      </c>
      <c r="D13707" s="216" t="n">
        <v>1.091722965240479</v>
      </c>
      <c r="E13707" s="215" t="n">
        <v>45964</v>
      </c>
      <c r="F13707" s="215" t="n">
        <v>45964</v>
      </c>
    </row>
    <row r="13708">
      <c r="A13708" s="215" t="n">
        <v>45965</v>
      </c>
      <c r="B13708" s="216" t="n">
        <v>20.14</v>
      </c>
      <c r="C13708" s="216" t="n">
        <v>36.13</v>
      </c>
      <c r="D13708" s="216" t="n">
        <v>1.083533048629761</v>
      </c>
      <c r="E13708" s="215" t="n">
        <v>45965</v>
      </c>
      <c r="F13708" s="215" t="n">
        <v>45965</v>
      </c>
    </row>
    <row r="13709">
      <c r="A13709" s="215" t="n">
        <v>45966</v>
      </c>
      <c r="B13709" s="216" t="n">
        <v>19.9</v>
      </c>
      <c r="C13709" s="216" t="n">
        <v>36.07</v>
      </c>
      <c r="D13709" s="216" t="n">
        <v>1.090273976325989</v>
      </c>
      <c r="E13709" s="215" t="n">
        <v>45966</v>
      </c>
      <c r="F13709" s="215" t="n">
        <v>45966</v>
      </c>
    </row>
    <row r="13710">
      <c r="A13710" s="215" t="n">
        <v>45967</v>
      </c>
      <c r="B13710" s="216" t="n">
        <v>20.68</v>
      </c>
      <c r="C13710" s="216" t="n">
        <v>36.42</v>
      </c>
      <c r="D13710" s="216" t="n">
        <v>1.090808033943176</v>
      </c>
      <c r="E13710" s="215" t="n">
        <v>45967</v>
      </c>
      <c r="F13710" s="215" t="n">
        <v>45967</v>
      </c>
    </row>
    <row r="13711">
      <c r="A13711" s="215" t="n">
        <v>45968</v>
      </c>
      <c r="B13711" s="216" t="n">
        <v>20.72</v>
      </c>
      <c r="C13711" s="216" t="n">
        <v>36.58</v>
      </c>
      <c r="D13711" s="216" t="n">
        <v>1.092054009437561</v>
      </c>
      <c r="E13711" s="215" t="n">
        <v>45968</v>
      </c>
      <c r="F13711" s="215" t="n">
        <v>45968</v>
      </c>
    </row>
    <row r="13712">
      <c r="A13712" s="215" t="n">
        <v>45971</v>
      </c>
      <c r="B13712" s="216" t="n">
        <v>20.48</v>
      </c>
      <c r="C13712" s="216" t="n">
        <v>35.84</v>
      </c>
      <c r="D13712" s="216" t="n">
        <v>1.092267036437988</v>
      </c>
      <c r="E13712" s="215" t="n">
        <v>45971</v>
      </c>
      <c r="F13712" s="215" t="n">
        <v>45971</v>
      </c>
    </row>
    <row r="13713">
      <c r="A13713" s="215" t="n">
        <v>45972</v>
      </c>
      <c r="B13713" s="216" t="n">
        <v>20.22</v>
      </c>
      <c r="C13713" s="216" t="n">
        <v>35.15</v>
      </c>
      <c r="D13713" s="216" t="n">
        <v>1.091644048690796</v>
      </c>
      <c r="E13713" s="215" t="n">
        <v>45972</v>
      </c>
      <c r="F13713" s="215" t="n">
        <v>45972</v>
      </c>
    </row>
    <row r="13714">
      <c r="A13714" s="215" t="n">
        <v>45973</v>
      </c>
      <c r="B13714" s="216" t="n">
        <v>19.68</v>
      </c>
      <c r="C13714" s="216" t="n">
        <v>34.33</v>
      </c>
      <c r="D13714" s="216" t="n">
        <v>1.091495990753174</v>
      </c>
      <c r="E13714" s="215" t="n">
        <v>45973</v>
      </c>
      <c r="F13714" s="215" t="n">
        <v>45973</v>
      </c>
    </row>
    <row r="13715">
      <c r="A13715" s="215" t="n">
        <v>45974</v>
      </c>
      <c r="B13715" s="216" t="n">
        <v>19.9</v>
      </c>
      <c r="C13715" s="216" t="n">
        <v>35.24</v>
      </c>
      <c r="D13715" s="216" t="n">
        <v>1.092489004135132</v>
      </c>
      <c r="E13715" s="215" t="n">
        <v>45974</v>
      </c>
      <c r="F13715" s="215" t="n">
        <v>45974</v>
      </c>
    </row>
    <row r="13716">
      <c r="A13716" s="215" t="n">
        <v>45975</v>
      </c>
      <c r="B13716" s="216" t="n">
        <v>19.69</v>
      </c>
      <c r="C13716" s="216" t="n">
        <v>34.5</v>
      </c>
      <c r="D13716" s="216" t="n">
        <v>1.092411994934082</v>
      </c>
      <c r="E13716" s="215" t="n">
        <v>45975</v>
      </c>
      <c r="F13716" s="215" t="n">
        <v>45975</v>
      </c>
    </row>
    <row r="13717">
      <c r="A13717" s="215" t="n">
        <v>45978</v>
      </c>
      <c r="B13717" s="216" t="n">
        <v>19.97</v>
      </c>
      <c r="C13717" s="216" t="n">
        <v>35.05</v>
      </c>
      <c r="D13717" s="216" t="n">
        <v>1.094588041305542</v>
      </c>
      <c r="E13717" s="215" t="n">
        <v>45978</v>
      </c>
      <c r="F13717" s="215" t="n">
        <v>45978</v>
      </c>
    </row>
    <row r="13718">
      <c r="A13718" s="215" t="n">
        <v>45979</v>
      </c>
      <c r="B13718" s="216" t="n">
        <v>19.11</v>
      </c>
      <c r="C13718" s="216" t="n">
        <v>34.52</v>
      </c>
      <c r="D13718" s="216" t="n">
        <v>1.093616008758545</v>
      </c>
      <c r="E13718" s="215" t="n">
        <v>45979</v>
      </c>
      <c r="F13718" s="215" t="n">
        <v>45979</v>
      </c>
    </row>
    <row r="13719">
      <c r="A13719" s="215" t="n">
        <v>45980</v>
      </c>
      <c r="B13719" s="216" t="n">
        <v>19.38</v>
      </c>
      <c r="C13719" s="216" t="n">
        <v>35.32</v>
      </c>
      <c r="D13719" s="216" t="n">
        <v>1.095010995864868</v>
      </c>
      <c r="E13719" s="215" t="n">
        <v>45980</v>
      </c>
      <c r="F13719" s="215" t="n">
        <v>45980</v>
      </c>
    </row>
    <row r="13720">
      <c r="A13720" s="215" t="n">
        <v>45981</v>
      </c>
      <c r="B13720" s="216" t="n">
        <v>18.69</v>
      </c>
      <c r="C13720" s="216" t="n">
        <v>34.5</v>
      </c>
      <c r="D13720" s="216" t="n">
        <v>1.095402002334595</v>
      </c>
      <c r="E13720" s="215" t="n">
        <v>45981</v>
      </c>
      <c r="F13720" s="215" t="n">
        <v>45981</v>
      </c>
    </row>
    <row r="13721">
      <c r="A13721" s="215" t="n">
        <v>45982</v>
      </c>
      <c r="B13721" s="216" t="n">
        <v>17.45</v>
      </c>
      <c r="C13721" s="216" t="n">
        <v>32.91</v>
      </c>
      <c r="D13721" s="216" t="n">
        <v>1.094982981681824</v>
      </c>
      <c r="E13721" s="215" t="n">
        <v>45982</v>
      </c>
      <c r="F13721" s="215" t="n">
        <v>45982</v>
      </c>
    </row>
    <row r="13722">
      <c r="A13722" s="215" t="n">
        <v>45985</v>
      </c>
      <c r="B13722" s="216" t="n">
        <v>17.91</v>
      </c>
      <c r="C13722" s="216" t="n">
        <v>33.75</v>
      </c>
      <c r="D13722" s="216" t="n">
        <v>1.094988942146301</v>
      </c>
      <c r="E13722" s="215" t="n">
        <v>45985</v>
      </c>
      <c r="F13722" s="215" t="n">
        <v>45985</v>
      </c>
    </row>
    <row r="13723">
      <c r="A13723" s="215" t="n">
        <v>45986</v>
      </c>
      <c r="B13723" s="216" t="n">
        <v>18.1</v>
      </c>
      <c r="C13723" s="216" t="n">
        <v>33.97</v>
      </c>
      <c r="D13723" s="216" t="n">
        <v>1.095428943634033</v>
      </c>
      <c r="E13723" s="215" t="n">
        <v>45986</v>
      </c>
      <c r="F13723" s="215" t="n">
        <v>45986</v>
      </c>
    </row>
    <row r="13724">
      <c r="A13724" s="215" t="n">
        <v>45987</v>
      </c>
      <c r="B13724" s="216" t="n">
        <v>17.82</v>
      </c>
      <c r="C13724" s="216" t="n">
        <v>33.39</v>
      </c>
      <c r="D13724" s="216" t="n">
        <v>1.097422003746033</v>
      </c>
      <c r="E13724" s="215" t="n">
        <v>45987</v>
      </c>
      <c r="F13724" s="215" t="n">
        <v>45987</v>
      </c>
    </row>
    <row r="13725">
      <c r="A13725" s="215" t="n">
        <v>45988</v>
      </c>
      <c r="B13725" s="216" t="n">
        <v>17.88</v>
      </c>
      <c r="C13725" s="216" t="n">
        <v>33.27</v>
      </c>
      <c r="D13725" s="216" t="n">
        <v>1.098397016525269</v>
      </c>
      <c r="E13725" s="215" t="n">
        <v>45988</v>
      </c>
      <c r="F13725" s="215" t="n">
        <v>45988</v>
      </c>
    </row>
    <row r="13726">
      <c r="A13726" s="215" t="n">
        <v>45989</v>
      </c>
      <c r="B13726" s="216" t="n">
        <v>18.15</v>
      </c>
      <c r="C13726" s="216" t="n">
        <v>33.78</v>
      </c>
      <c r="D13726" s="216" t="n">
        <v>1.098330020904541</v>
      </c>
      <c r="E13726" s="215" t="n">
        <v>45989</v>
      </c>
      <c r="F13726" s="215" t="n">
        <v>45989</v>
      </c>
    </row>
    <row r="13727">
      <c r="A13727" s="215" t="n">
        <v>45992</v>
      </c>
      <c r="B13727" s="216" t="n">
        <v>18.72</v>
      </c>
      <c r="C13727" s="216" t="n">
        <v>34.8</v>
      </c>
      <c r="D13727" s="216" t="n">
        <v>1.10015594959259</v>
      </c>
      <c r="E13727" s="215" t="n">
        <v>45992</v>
      </c>
      <c r="F13727" s="215" t="n">
        <v>45992</v>
      </c>
    </row>
    <row r="13728">
      <c r="A13728" s="215" t="n">
        <v>45993</v>
      </c>
      <c r="B13728" s="216" t="n">
        <v>18.63</v>
      </c>
      <c r="C13728" s="216" t="n">
        <v>33.86</v>
      </c>
      <c r="D13728" s="216" t="n">
        <v>1.101189017295837</v>
      </c>
      <c r="E13728" s="215" t="n">
        <v>45993</v>
      </c>
      <c r="F13728" s="215" t="n">
        <v>45993</v>
      </c>
    </row>
    <row r="13729">
      <c r="A13729" s="215" t="n">
        <v>45994</v>
      </c>
      <c r="B13729" s="216" t="n">
        <v>18.8</v>
      </c>
      <c r="C13729" s="216" t="n">
        <v>34.26</v>
      </c>
      <c r="D13729" s="216" t="n">
        <v>1.100834012031555</v>
      </c>
      <c r="E13729" s="215" t="n">
        <v>45994</v>
      </c>
      <c r="F13729" s="215" t="n">
        <v>45994</v>
      </c>
    </row>
    <row r="13730">
      <c r="A13730" s="215" t="n">
        <v>45995</v>
      </c>
      <c r="B13730" s="216" t="n">
        <v>18.89</v>
      </c>
      <c r="C13730" s="216" t="n">
        <v>33.72</v>
      </c>
      <c r="D13730" s="216" t="n">
        <v>1.101611018180847</v>
      </c>
      <c r="E13730" s="215" t="n">
        <v>45995</v>
      </c>
      <c r="F13730" s="215" t="n">
        <v>45995</v>
      </c>
    </row>
    <row r="13731">
      <c r="A13731" s="215" t="n">
        <v>45996</v>
      </c>
      <c r="B13731" s="216" t="n">
        <v>19.7</v>
      </c>
      <c r="C13731" s="216" t="n">
        <v>36.44</v>
      </c>
      <c r="D13731" s="216" t="n">
        <v>1.100373983383179</v>
      </c>
      <c r="E13731" s="215" t="n">
        <v>45996</v>
      </c>
      <c r="F13731" s="215" t="n">
        <v>45996</v>
      </c>
    </row>
    <row r="13732">
      <c r="A13732" s="215" t="n">
        <v>45999</v>
      </c>
      <c r="B13732" s="216" t="n">
        <v>19.59</v>
      </c>
      <c r="C13732" s="216" t="n">
        <v>36.4</v>
      </c>
      <c r="D13732" s="216" t="n">
        <v>1.1008620262146</v>
      </c>
      <c r="E13732" s="215" t="n">
        <v>45999</v>
      </c>
      <c r="F13732" s="215" t="n">
        <v>45999</v>
      </c>
    </row>
    <row r="13733">
      <c r="A13733" s="215" t="n">
        <v>46000</v>
      </c>
      <c r="B13733" s="216" t="n">
        <v>19.05</v>
      </c>
      <c r="C13733" s="216" t="n">
        <v>34.94</v>
      </c>
      <c r="D13733" s="216" t="n">
        <v>1.10008704662323</v>
      </c>
      <c r="E13733" s="215" t="n">
        <v>46000</v>
      </c>
      <c r="F13733" s="215" t="n">
        <v>46000</v>
      </c>
    </row>
    <row r="13734">
      <c r="A13734" s="215" t="n">
        <v>46001</v>
      </c>
      <c r="B13734" s="216" t="n">
        <v>19.08</v>
      </c>
      <c r="C13734" s="216" t="n">
        <v>34.83</v>
      </c>
      <c r="D13734" s="216" t="n">
        <v>1.101711988449097</v>
      </c>
      <c r="E13734" s="215" t="n">
        <v>46001</v>
      </c>
      <c r="F13734" s="215" t="n">
        <v>46001</v>
      </c>
    </row>
    <row r="13735">
      <c r="A13735" s="215" t="n">
        <v>46002</v>
      </c>
      <c r="B13735" s="216" t="n">
        <v>18.62</v>
      </c>
      <c r="C13735" s="216" t="n">
        <v>34.56</v>
      </c>
      <c r="D13735" s="216" t="n">
        <v>1.10112202167511</v>
      </c>
      <c r="E13735" s="215" t="n">
        <v>46002</v>
      </c>
      <c r="F13735" s="215" t="n">
        <v>46002</v>
      </c>
    </row>
    <row r="13736">
      <c r="A13736" s="215" t="n">
        <v>46003</v>
      </c>
      <c r="B13736" s="216" t="n">
        <v>18.98</v>
      </c>
      <c r="C13736" s="216" t="n">
        <v>35.04</v>
      </c>
      <c r="D13736" s="216" t="n">
        <v>1.102499008178711</v>
      </c>
      <c r="E13736" s="215" t="n">
        <v>46003</v>
      </c>
      <c r="F13736" s="215" t="n">
        <v>46003</v>
      </c>
    </row>
    <row r="13737">
      <c r="A13737" s="215" t="n">
        <v>46006</v>
      </c>
      <c r="B13737" s="216" t="n">
        <v>18.45</v>
      </c>
      <c r="C13737" s="216" t="n">
        <v>34.41</v>
      </c>
      <c r="D13737" s="216" t="n">
        <v>1.103397965431213</v>
      </c>
      <c r="E13737" s="215" t="n">
        <v>46006</v>
      </c>
      <c r="F13737" s="215" t="n">
        <v>46006</v>
      </c>
    </row>
    <row r="13738">
      <c r="A13738" s="215" t="n">
        <v>46007</v>
      </c>
      <c r="B13738" s="216" t="n">
        <v>17.89</v>
      </c>
      <c r="C13738" s="216" t="n">
        <v>32.6</v>
      </c>
      <c r="D13738" s="216" t="n">
        <v>1.104179978370667</v>
      </c>
      <c r="E13738" s="215" t="n">
        <v>46007</v>
      </c>
      <c r="F13738" s="215" t="n">
        <v>46007</v>
      </c>
    </row>
    <row r="13739">
      <c r="A13739" s="215" t="n">
        <v>46008</v>
      </c>
      <c r="B13739" s="216" t="n">
        <v>18.15</v>
      </c>
      <c r="C13739" s="216" t="n">
        <v>33.05</v>
      </c>
      <c r="D13739" s="216" t="n">
        <v>1.104655981063843</v>
      </c>
      <c r="E13739" s="215" t="n">
        <v>46008</v>
      </c>
      <c r="F13739" s="215" t="n">
        <v>46008</v>
      </c>
    </row>
    <row r="13740">
      <c r="A13740" s="215" t="n">
        <v>46009</v>
      </c>
      <c r="B13740" s="216" t="n">
        <v>18.22</v>
      </c>
      <c r="C13740" s="216" t="n">
        <v>32.3</v>
      </c>
      <c r="D13740" s="216" t="n">
        <v>1.104357004165649</v>
      </c>
      <c r="E13740" s="215" t="n">
        <v>46009</v>
      </c>
      <c r="F13740" s="215" t="n">
        <v>46009</v>
      </c>
    </row>
    <row r="13741">
      <c r="A13741" s="215" t="n">
        <v>46010</v>
      </c>
      <c r="B13741" s="216" t="n">
        <v>18.4</v>
      </c>
      <c r="C13741" s="216" t="n">
        <v>33.33</v>
      </c>
      <c r="D13741" s="216" t="n">
        <v>1.104962944984436</v>
      </c>
      <c r="E13741" s="215" t="n">
        <v>46010</v>
      </c>
      <c r="F13741" s="215" t="n">
        <v>46010</v>
      </c>
    </row>
    <row r="13742">
      <c r="A13742" s="215" t="n">
        <v>46013</v>
      </c>
      <c r="B13742" s="216" t="n">
        <v>18.88</v>
      </c>
      <c r="C13742" s="216" t="n">
        <v>33.81</v>
      </c>
      <c r="D13742" s="216" t="n">
        <v>1.105054020881653</v>
      </c>
      <c r="E13742" s="215" t="n">
        <v>46013</v>
      </c>
      <c r="F13742" s="215" t="n">
        <v>46013</v>
      </c>
    </row>
    <row r="13743">
      <c r="A13743" s="215" t="n">
        <v>46014</v>
      </c>
      <c r="B13743" s="216" t="n">
        <v>18.68</v>
      </c>
      <c r="C13743" s="216" t="n">
        <v>33.67</v>
      </c>
      <c r="D13743" s="216" t="n">
        <v>1.104820013046265</v>
      </c>
      <c r="E13743" s="215" t="n">
        <v>46014</v>
      </c>
      <c r="F13743" s="215" t="n">
        <v>46014</v>
      </c>
    </row>
    <row r="13744">
      <c r="A13744" s="215" t="n">
        <v>46015</v>
      </c>
      <c r="B13744" s="216" t="n">
        <v>18.5</v>
      </c>
      <c r="C13744" s="216" t="n">
        <v>33.82</v>
      </c>
      <c r="D13744" s="216" t="n">
        <v>1.106441974639893</v>
      </c>
      <c r="E13744" s="215" t="n">
        <v>46015</v>
      </c>
      <c r="F13744" s="215" t="n">
        <v>46015</v>
      </c>
    </row>
    <row r="13745">
      <c r="A13745" s="215" t="n">
        <v>46020</v>
      </c>
      <c r="B13745" s="216" t="n">
        <v>18.73</v>
      </c>
      <c r="C13745" s="216" t="n">
        <v>34.34</v>
      </c>
      <c r="D13745" s="216" t="n">
        <v>1.10552704334259</v>
      </c>
      <c r="E13745" s="215" t="n">
        <v>46020</v>
      </c>
      <c r="F13745" s="215" t="n">
        <v>46020</v>
      </c>
    </row>
    <row r="13746">
      <c r="A13746" s="215" t="n">
        <v>46021</v>
      </c>
      <c r="B13746" s="216" t="n">
        <v>18.69</v>
      </c>
      <c r="C13746" s="216" t="n">
        <v>34.4</v>
      </c>
      <c r="D13746" s="216" t="n">
        <v>1.109460949897766</v>
      </c>
      <c r="E13746" s="215" t="n">
        <v>46021</v>
      </c>
      <c r="F13746" s="215" t="n">
        <v>46021</v>
      </c>
    </row>
    <row r="13747">
      <c r="A13747" s="215" t="n">
        <v>46022</v>
      </c>
      <c r="B13747" s="216" t="n">
        <v>18.45</v>
      </c>
      <c r="C13747" s="216" t="n">
        <v>34.11</v>
      </c>
      <c r="D13747" s="216" t="n">
        <v>1.111927032470703</v>
      </c>
      <c r="E13747" s="215" t="n">
        <v>46022</v>
      </c>
      <c r="F13747" s="215" t="n">
        <v>46022</v>
      </c>
    </row>
    <row r="13748">
      <c r="A13748" s="215" t="n">
        <v>46024</v>
      </c>
      <c r="B13748" s="216" t="n">
        <v>19.28</v>
      </c>
      <c r="C13748" s="216" t="n">
        <v>34.11</v>
      </c>
      <c r="D13748" s="216" t="n">
        <v>1.112754940986633</v>
      </c>
      <c r="E13748" s="215" t="n">
        <v>46022</v>
      </c>
      <c r="F13748" s="215" t="n">
        <v>46024</v>
      </c>
    </row>
    <row r="13749">
      <c r="A13749" s="215" t="n">
        <v>46027</v>
      </c>
      <c r="B13749" s="216" t="n">
        <v>19.07</v>
      </c>
      <c r="C13749" s="216" t="n">
        <v>34.7</v>
      </c>
      <c r="D13749" s="216" t="n">
        <v>1.113860011100769</v>
      </c>
      <c r="E13749" s="215" t="n">
        <v>46027</v>
      </c>
      <c r="F13749" s="215" t="n">
        <v>46027</v>
      </c>
    </row>
    <row r="13750">
      <c r="A13750" s="215" t="n">
        <v>46028</v>
      </c>
      <c r="B13750" s="216" t="n">
        <v>19.45</v>
      </c>
      <c r="C13750" s="216" t="n">
        <v>35.51</v>
      </c>
      <c r="D13750" s="216" t="n">
        <v>1.11367404460907</v>
      </c>
      <c r="E13750" s="215" t="n">
        <v>46028</v>
      </c>
      <c r="F13750" s="215" t="n">
        <v>46028</v>
      </c>
    </row>
    <row r="13751">
      <c r="A13751" s="215" t="n">
        <v>46029</v>
      </c>
      <c r="B13751" s="216" t="n">
        <v>20.16</v>
      </c>
      <c r="C13751" s="216" t="n">
        <v>36.51</v>
      </c>
      <c r="D13751" s="216" t="n">
        <v>1.114913940429688</v>
      </c>
      <c r="E13751" s="215" t="n">
        <v>46029</v>
      </c>
      <c r="F13751" s="215" t="n">
        <v>46029</v>
      </c>
    </row>
    <row r="13752">
      <c r="A13752" s="215" t="n">
        <v>46030</v>
      </c>
      <c r="B13752" s="216" t="n">
        <v>20.02</v>
      </c>
      <c r="C13752" s="216" t="n">
        <v>35.5</v>
      </c>
      <c r="D13752" s="216" t="n">
        <v>1.112563014030457</v>
      </c>
      <c r="E13752" s="215" t="n">
        <v>46030</v>
      </c>
      <c r="F13752" s="215" t="n">
        <v>46030</v>
      </c>
    </row>
    <row r="13753">
      <c r="A13753" s="215" t="n">
        <v>46031</v>
      </c>
      <c r="B13753" s="216" t="n">
        <v>21.1</v>
      </c>
      <c r="C13753" s="216" t="n">
        <v>37.8</v>
      </c>
      <c r="D13753" s="216" t="n">
        <v>1.115561008453369</v>
      </c>
      <c r="E13753" s="215" t="n">
        <v>46031</v>
      </c>
      <c r="F13753" s="215" t="n">
        <v>46031</v>
      </c>
    </row>
    <row r="13754">
      <c r="A13754" s="215" t="n">
        <v>46034</v>
      </c>
      <c r="B13754" s="216" t="n">
        <v>22.1</v>
      </c>
      <c r="C13754" s="216" t="n">
        <v>38.48</v>
      </c>
      <c r="D13754" s="216" t="n">
        <v>1.117015957832336</v>
      </c>
      <c r="E13754" s="215" t="n">
        <v>46034</v>
      </c>
      <c r="F13754" s="215" t="n">
        <v>46034</v>
      </c>
    </row>
    <row r="13755">
      <c r="A13755" s="215" t="n">
        <v>46035</v>
      </c>
      <c r="B13755" s="216" t="n">
        <v>21.62</v>
      </c>
      <c r="C13755" s="216" t="n">
        <v>37.14</v>
      </c>
      <c r="D13755" s="216" t="n">
        <v>1.117892026901245</v>
      </c>
      <c r="E13755" s="215" t="n">
        <v>46035</v>
      </c>
      <c r="F13755" s="215" t="n">
        <v>46035</v>
      </c>
    </row>
    <row r="13756">
      <c r="A13756" s="215" t="n">
        <v>46036</v>
      </c>
      <c r="B13756" s="216" t="n">
        <v>21.2</v>
      </c>
      <c r="C13756" s="216" t="n">
        <v>36.66</v>
      </c>
      <c r="D13756" s="216" t="n">
        <v>1.117897987365723</v>
      </c>
      <c r="E13756" s="215" t="n">
        <v>46036</v>
      </c>
      <c r="F13756" s="215" t="n">
        <v>46036</v>
      </c>
    </row>
    <row r="13757">
      <c r="A13757" s="215" t="n">
        <v>46037</v>
      </c>
      <c r="B13757" s="216" t="n">
        <v>21.5</v>
      </c>
      <c r="C13757" s="216" t="n">
        <v>36.71</v>
      </c>
      <c r="D13757" s="216" t="n">
        <v>1.118072032928467</v>
      </c>
      <c r="E13757" s="215" t="n">
        <v>46037</v>
      </c>
      <c r="F13757" s="215" t="n">
        <v>46037</v>
      </c>
    </row>
    <row r="13758">
      <c r="A13758" s="215" t="n">
        <v>46038</v>
      </c>
      <c r="B13758" s="216" t="n">
        <v>22.62</v>
      </c>
      <c r="C13758" s="216" t="n">
        <v>37.81</v>
      </c>
      <c r="D13758" s="216" t="n">
        <v>1.119040012359619</v>
      </c>
      <c r="E13758" s="215" t="n">
        <v>46038</v>
      </c>
      <c r="F13758" s="215" t="n">
        <v>46038</v>
      </c>
    </row>
    <row r="13759">
      <c r="A13759" s="215" t="n">
        <v>46041</v>
      </c>
      <c r="B13759" s="216" t="n">
        <v>22.64</v>
      </c>
      <c r="C13759" s="216" t="n">
        <v>38.12</v>
      </c>
      <c r="D13759" s="216" t="n">
        <v>1.118916034698486</v>
      </c>
      <c r="E13759" s="215" t="n">
        <v>46041</v>
      </c>
      <c r="F13759" s="215" t="n">
        <v>46041</v>
      </c>
    </row>
    <row r="13760">
      <c r="A13760" s="215" t="n">
        <v>46042</v>
      </c>
      <c r="B13760" s="216" t="n">
        <v>21.98</v>
      </c>
      <c r="C13760" s="216" t="n">
        <v>37.39</v>
      </c>
      <c r="D13760" s="216" t="n">
        <v>1.118687987327576</v>
      </c>
      <c r="E13760" s="215" t="n">
        <v>46042</v>
      </c>
      <c r="F13760" s="215" t="n">
        <v>46042</v>
      </c>
    </row>
    <row r="13761">
      <c r="A13761" s="215" t="n">
        <v>46043</v>
      </c>
      <c r="B13761" s="216" t="n">
        <v>22.32</v>
      </c>
      <c r="C13761" s="216" t="n">
        <v>37.71</v>
      </c>
      <c r="D13761" s="216" t="n">
        <v>1.12024998664856</v>
      </c>
      <c r="E13761" s="215" t="n">
        <v>46043</v>
      </c>
      <c r="F13761" s="215" t="n">
        <v>46043</v>
      </c>
    </row>
    <row r="13762">
      <c r="A13762" s="215" t="n">
        <v>46044</v>
      </c>
      <c r="B13762" s="216" t="n">
        <v>22.54</v>
      </c>
      <c r="C13762" s="216" t="n">
        <v>37.81</v>
      </c>
      <c r="D13762" s="216" t="n">
        <v>1.11942195892334</v>
      </c>
      <c r="E13762" s="215" t="n">
        <v>46044</v>
      </c>
      <c r="F13762" s="215" t="n">
        <v>46044</v>
      </c>
    </row>
    <row r="13763">
      <c r="A13763" s="215" t="n">
        <v>46045</v>
      </c>
      <c r="B13763" s="216" t="n">
        <v>23.64</v>
      </c>
      <c r="C13763" s="216" t="n">
        <v>38.88</v>
      </c>
      <c r="D13763" s="216" t="n">
        <v>1.117977976799011</v>
      </c>
      <c r="E13763" s="215" t="n">
        <v>46045</v>
      </c>
      <c r="F13763" s="215" t="n">
        <v>46045</v>
      </c>
    </row>
    <row r="13764">
      <c r="A13764" s="215" t="n">
        <v>46048</v>
      </c>
      <c r="B13764" s="216" t="n">
        <v>23.18</v>
      </c>
      <c r="C13764" s="216" t="n">
        <v>38.83</v>
      </c>
      <c r="D13764" s="216" t="n">
        <v>1.117916941642761</v>
      </c>
      <c r="E13764" s="215" t="n">
        <v>46048</v>
      </c>
      <c r="F13764" s="215" t="n">
        <v>46048</v>
      </c>
    </row>
    <row r="13765">
      <c r="A13765" s="215" t="n">
        <v>46049</v>
      </c>
      <c r="B13765" s="216" t="n">
        <v>22.44</v>
      </c>
      <c r="C13765" s="216" t="n">
        <v>38.06</v>
      </c>
      <c r="D13765" s="216" t="n">
        <v>1.121191024780273</v>
      </c>
      <c r="E13765" s="215" t="n">
        <v>46049</v>
      </c>
      <c r="F13765" s="215" t="n">
        <v>46049</v>
      </c>
    </row>
    <row r="13766">
      <c r="A13766" s="215" t="n">
        <v>46050</v>
      </c>
      <c r="B13766" s="216" t="n">
        <v>22.82</v>
      </c>
      <c r="C13766" s="216" t="n">
        <v>38.95</v>
      </c>
      <c r="D13766" s="216" t="n">
        <v>1.121533036231995</v>
      </c>
      <c r="E13766" s="215" t="n">
        <v>46050</v>
      </c>
      <c r="F13766" s="215" t="n">
        <v>46050</v>
      </c>
    </row>
    <row r="13767">
      <c r="A13767" s="215" t="n">
        <v>46051</v>
      </c>
      <c r="B13767" s="216" t="n">
        <v>23.66</v>
      </c>
      <c r="C13767" s="216" t="n">
        <v>41.16</v>
      </c>
      <c r="D13767" s="216" t="n">
        <v>1.121621966362</v>
      </c>
      <c r="E13767" s="215" t="n">
        <v>46051</v>
      </c>
      <c r="F13767" s="215" t="n">
        <v>46051</v>
      </c>
    </row>
    <row r="13768">
      <c r="A13768" s="215" t="n">
        <v>46052</v>
      </c>
      <c r="B13768" s="216" t="n">
        <v>22.04</v>
      </c>
      <c r="C13768" s="216" t="n">
        <v>37.65</v>
      </c>
      <c r="D13768" s="216" t="n">
        <v>1.123343944549561</v>
      </c>
      <c r="E13768" s="215" t="n">
        <v>46052</v>
      </c>
      <c r="F13768" s="215" t="n">
        <v>46052</v>
      </c>
    </row>
    <row r="13769">
      <c r="A13769" s="215" t="n">
        <v>46055</v>
      </c>
      <c r="B13769" s="216" t="n">
        <v>20.52</v>
      </c>
      <c r="C13769" s="216" t="n">
        <v>35.2</v>
      </c>
      <c r="D13769" s="216" t="n">
        <v>1.123572945594788</v>
      </c>
      <c r="E13769" s="215" t="n">
        <v>46055</v>
      </c>
      <c r="F13769" s="215" t="n">
        <v>46055</v>
      </c>
    </row>
    <row r="13770">
      <c r="A13770" s="215" t="n">
        <v>46056</v>
      </c>
      <c r="B13770" s="216" t="n">
        <v>21.46</v>
      </c>
      <c r="C13770" s="216" t="n">
        <v>36.97</v>
      </c>
      <c r="D13770" s="216" t="n">
        <v>1.124274969100952</v>
      </c>
      <c r="E13770" s="215" t="n">
        <v>46056</v>
      </c>
      <c r="F13770" s="215" t="n">
        <v>46056</v>
      </c>
    </row>
    <row r="13771">
      <c r="A13771" s="215" t="n">
        <v>46057</v>
      </c>
      <c r="B13771" s="216" t="n">
        <v>21.14</v>
      </c>
      <c r="C13771" s="216" t="n">
        <v>36.38</v>
      </c>
      <c r="D13771" s="216" t="n">
        <v>1.12601101398468</v>
      </c>
      <c r="E13771" s="215" t="n">
        <v>46057</v>
      </c>
      <c r="F13771" s="215" t="n">
        <v>46057</v>
      </c>
    </row>
    <row r="13772">
      <c r="A13772" s="215" t="n">
        <v>46058</v>
      </c>
      <c r="B13772" s="216" t="n">
        <v>20.28</v>
      </c>
      <c r="C13772" s="216" t="n">
        <v>34.71</v>
      </c>
      <c r="D13772" s="216" t="n">
        <v>1.125892996788025</v>
      </c>
      <c r="E13772" s="215" t="n">
        <v>46058</v>
      </c>
      <c r="F13772" s="215" t="n">
        <v>46058</v>
      </c>
    </row>
    <row r="13773">
      <c r="A13773" s="215" t="n">
        <v>46059</v>
      </c>
      <c r="B13773" s="216" t="n">
        <v>20.2</v>
      </c>
      <c r="C13773" s="216" t="n">
        <v>34.99</v>
      </c>
      <c r="D13773" s="216" t="n">
        <v>1.126062035560608</v>
      </c>
      <c r="E13773" s="215" t="n">
        <v>46059</v>
      </c>
      <c r="F13773" s="215" t="n">
        <v>46059</v>
      </c>
    </row>
    <row r="13774">
      <c r="A13774" s="215" t="n">
        <v>46062</v>
      </c>
      <c r="B13774" s="216" t="n">
        <v>21.5</v>
      </c>
      <c r="C13774" s="216" t="n">
        <v>36.64</v>
      </c>
      <c r="D13774" s="216" t="n">
        <v>1.125753998756409</v>
      </c>
      <c r="E13774" s="215" t="n">
        <v>46062</v>
      </c>
      <c r="F13774" s="215" t="n">
        <v>46062</v>
      </c>
    </row>
    <row r="13775">
      <c r="A13775" s="215" t="n">
        <v>46063</v>
      </c>
      <c r="B13775" s="216" t="n">
        <v>21.42</v>
      </c>
      <c r="C13775" s="216" t="n">
        <v>36.69</v>
      </c>
      <c r="D13775" s="216" t="n">
        <v>1.129003047943115</v>
      </c>
      <c r="E13775" s="215" t="n">
        <v>46063</v>
      </c>
      <c r="F13775" s="215" t="n">
        <v>46063</v>
      </c>
    </row>
    <row r="13776">
      <c r="A13776" s="215" t="n">
        <v>46064</v>
      </c>
      <c r="B13776" s="216" t="n">
        <v>22.48</v>
      </c>
      <c r="C13776" s="216" t="n">
        <v>37.76</v>
      </c>
      <c r="D13776" s="216" t="n">
        <v>1.130962014198303</v>
      </c>
      <c r="E13776" s="215" t="n">
        <v>46064</v>
      </c>
      <c r="F13776" s="215" t="n">
        <v>46064</v>
      </c>
    </row>
    <row r="13777">
      <c r="A13777" s="215" t="n">
        <v>46065</v>
      </c>
      <c r="B13777" s="216" t="n">
        <v>23.28</v>
      </c>
      <c r="C13777" s="216" t="n">
        <v>38.43</v>
      </c>
      <c r="D13777" s="216" t="n">
        <v>1.130671977996826</v>
      </c>
      <c r="E13777" s="215" t="n">
        <v>46065</v>
      </c>
      <c r="F13777" s="215" t="n">
        <v>46065</v>
      </c>
    </row>
    <row r="13778">
      <c r="A13778" s="215" t="n">
        <v>46066</v>
      </c>
      <c r="B13778" s="216" t="n">
        <v>22.42</v>
      </c>
      <c r="C13778" s="216" t="n">
        <v>37.28</v>
      </c>
      <c r="D13778" s="216" t="n">
        <v>1.132490992546082</v>
      </c>
      <c r="E13778" s="215" t="n">
        <v>46066</v>
      </c>
      <c r="F13778" s="215" t="n">
        <v>46066</v>
      </c>
    </row>
    <row r="13779">
      <c r="A13779" s="215" t="n">
        <v>46069</v>
      </c>
      <c r="B13779" s="216" t="n">
        <v>22.18</v>
      </c>
      <c r="C13779" s="216" t="n">
        <v>37.28</v>
      </c>
      <c r="D13779" s="216" t="n">
        <v>1.131224036216736</v>
      </c>
      <c r="E13779" s="215" t="n">
        <v>46066</v>
      </c>
      <c r="F13779" s="215" t="n">
        <v>46069</v>
      </c>
    </row>
    <row r="13780">
      <c r="A13780" s="215" t="n">
        <v>46073</v>
      </c>
      <c r="B13780" s="216" t="n">
        <v>21.86</v>
      </c>
      <c r="C13780" s="216" t="n">
        <v>37.28</v>
      </c>
      <c r="D13780" s="216" t="n">
        <v>1.131005048751831</v>
      </c>
      <c r="E13780" s="215" t="n">
        <v>46066</v>
      </c>
      <c r="F13780" s="215" t="n">
        <v>46073</v>
      </c>
    </row>
    <row r="13781">
      <c r="A13781" s="215" t="n">
        <v>46076</v>
      </c>
      <c r="B13781" s="216" t="n">
        <v>22.5</v>
      </c>
      <c r="C13781" s="216" t="n">
        <v>37.28</v>
      </c>
      <c r="D13781" s="216" t="n">
        <v>1.130877017974854</v>
      </c>
      <c r="E13781" s="215" t="n">
        <v>46066</v>
      </c>
      <c r="F13781" s="215" t="n">
        <v>46076</v>
      </c>
    </row>
    <row r="13782">
      <c r="A13782" s="215" t="n">
        <v>46077</v>
      </c>
      <c r="B13782" s="216" t="n">
        <v>22.28</v>
      </c>
      <c r="C13782" s="216" t="n">
        <v>37.54</v>
      </c>
      <c r="D13782" s="216" t="n">
        <v>1.131631016731262</v>
      </c>
      <c r="E13782" s="215" t="n">
        <v>46077</v>
      </c>
      <c r="F13782" s="215" t="n">
        <v>46077</v>
      </c>
    </row>
    <row r="13783">
      <c r="A13783" s="215" t="n">
        <v>46078</v>
      </c>
      <c r="B13783" s="216" t="n">
        <v>23.8</v>
      </c>
      <c r="C13783" s="216" t="n">
        <v>40.39</v>
      </c>
      <c r="D13783" s="216" t="n">
        <v>1.136234045028687</v>
      </c>
      <c r="E13783" s="215" t="n">
        <v>46078</v>
      </c>
      <c r="F13783" s="215" t="n">
        <v>46078</v>
      </c>
    </row>
    <row r="13784">
      <c r="A13784" s="215" t="n">
        <v>46079</v>
      </c>
      <c r="B13784" s="216" t="n">
        <v>23.88</v>
      </c>
      <c r="C13784" s="216" t="n">
        <v>39.3</v>
      </c>
      <c r="D13784" s="216" t="n">
        <v>1.138198971748352</v>
      </c>
      <c r="E13784" s="215" t="n">
        <v>46079</v>
      </c>
      <c r="F13784" s="215" t="n">
        <v>46079</v>
      </c>
    </row>
    <row r="13785">
      <c r="A13785" s="215" t="n">
        <v>46080</v>
      </c>
      <c r="B13785" s="216" t="n">
        <v>25.5</v>
      </c>
      <c r="C13785" s="216" t="n">
        <v>41.08</v>
      </c>
      <c r="D13785" s="216" t="n">
        <v>1.143396973609924</v>
      </c>
      <c r="E13785" s="215" t="n">
        <v>46080</v>
      </c>
      <c r="F13785" s="215" t="n">
        <v>46080</v>
      </c>
    </row>
    <row r="13786">
      <c r="A13786" s="215" t="n">
        <v>46083</v>
      </c>
      <c r="B13786" s="216" t="n">
        <v>25.12</v>
      </c>
      <c r="C13786" s="216" t="n">
        <v>39.97</v>
      </c>
      <c r="D13786" s="216" t="n">
        <v>1.140552043914795</v>
      </c>
      <c r="E13786" s="215" t="n">
        <v>46083</v>
      </c>
      <c r="F13786" s="215" t="n">
        <v>46083</v>
      </c>
    </row>
    <row r="13787">
      <c r="A13787" s="215" t="n">
        <v>46084</v>
      </c>
      <c r="B13787" s="216" t="n">
        <v>22.88</v>
      </c>
      <c r="C13787" s="216" t="n">
        <v>37.03</v>
      </c>
      <c r="D13787" s="216" t="n">
        <v>1.136399984359741</v>
      </c>
      <c r="E13787" s="215" t="n">
        <v>46084</v>
      </c>
      <c r="F13787" s="215" t="n">
        <v>46084</v>
      </c>
    </row>
    <row r="13788">
      <c r="A13788" s="215" t="n">
        <v>46085</v>
      </c>
      <c r="B13788" s="216" t="n">
        <v>23</v>
      </c>
      <c r="C13788" s="216" t="n">
        <v>37.08</v>
      </c>
      <c r="D13788" s="216" t="n">
        <v>1.130928993225098</v>
      </c>
      <c r="E13788" s="215" t="n">
        <v>46085</v>
      </c>
      <c r="F13788" s="215" t="n">
        <v>46085</v>
      </c>
    </row>
    <row r="13789">
      <c r="A13789" s="215" t="n">
        <v>46086</v>
      </c>
      <c r="B13789" s="216" t="n">
        <v>23</v>
      </c>
      <c r="C13789" s="216" t="n">
        <v>36.48</v>
      </c>
      <c r="D13789" s="216" t="n">
        <v>1.133169054985046</v>
      </c>
      <c r="E13789" s="215" t="n">
        <v>46086</v>
      </c>
      <c r="F13789" s="215" t="n">
        <v>46086</v>
      </c>
    </row>
    <row r="13790">
      <c r="A13790" s="215" t="n">
        <v>46087</v>
      </c>
      <c r="B13790" s="216" t="n">
        <v>22.34</v>
      </c>
      <c r="C13790" s="216" t="n">
        <v>35.97</v>
      </c>
      <c r="D13790" s="216" t="n">
        <v>1.133442044258118</v>
      </c>
      <c r="E13790" s="215" t="n">
        <v>46087</v>
      </c>
      <c r="F13790" s="215" t="n">
        <v>46087</v>
      </c>
    </row>
    <row r="13791">
      <c r="A13791" s="215" t="n">
        <v>46090</v>
      </c>
      <c r="B13791" s="216" t="n">
        <v>21.46</v>
      </c>
      <c r="C13791" s="216" t="n">
        <v>35.14</v>
      </c>
      <c r="D13791" s="216" t="n">
        <v>1.133231043815613</v>
      </c>
      <c r="E13791" s="215" t="n">
        <v>46090</v>
      </c>
      <c r="F13791" s="215" t="n">
        <v>46090</v>
      </c>
    </row>
    <row r="13792">
      <c r="A13792" s="215" t="n">
        <v>46091</v>
      </c>
      <c r="B13792" s="216" t="n">
        <v>22.16</v>
      </c>
      <c r="C13792" s="216" t="n">
        <v>35.82</v>
      </c>
      <c r="D13792" s="216" t="n">
        <v>1.131595015525818</v>
      </c>
      <c r="E13792" s="215" t="n">
        <v>46091</v>
      </c>
      <c r="F13792" s="215" t="n">
        <v>46091</v>
      </c>
    </row>
    <row r="13793">
      <c r="A13793" s="215" t="n">
        <v>46092</v>
      </c>
      <c r="B13793" s="216" t="n">
        <v>22</v>
      </c>
      <c r="C13793" s="216" t="n">
        <v>35.27</v>
      </c>
      <c r="D13793" s="216" t="n">
        <v>1.137585043907166</v>
      </c>
      <c r="E13793" s="215" t="n">
        <v>46092</v>
      </c>
      <c r="F13793" s="215" t="n">
        <v>46092</v>
      </c>
    </row>
    <row r="13794">
      <c r="A13794" s="215" t="n">
        <v>46093</v>
      </c>
      <c r="B13794" s="216" t="n">
        <v>21.6</v>
      </c>
      <c r="C13794" s="216" t="n">
        <v>34.88</v>
      </c>
      <c r="D13794" s="216" t="n">
        <v>1.139600038528442</v>
      </c>
      <c r="E13794" s="215" t="n">
        <v>46093</v>
      </c>
      <c r="F13794" s="215" t="n">
        <v>46093</v>
      </c>
    </row>
    <row r="13795">
      <c r="A13795" s="215" t="n">
        <v>46094</v>
      </c>
      <c r="B13795" s="216" t="n">
        <v>21.02</v>
      </c>
      <c r="C13795" s="216" t="n">
        <v>33.91</v>
      </c>
      <c r="D13795" s="216" t="n">
        <v>1.139310002326965</v>
      </c>
      <c r="E13795" s="215" t="n">
        <v>46094</v>
      </c>
      <c r="F13795" s="215" t="n">
        <v>46094</v>
      </c>
    </row>
    <row r="13796">
      <c r="A13796" s="215" t="n">
        <v>46097</v>
      </c>
      <c r="B13796" s="216" t="n">
        <v>20.66</v>
      </c>
      <c r="C13796" s="216" t="n">
        <v>33.41</v>
      </c>
      <c r="D13796" s="216" t="n">
        <v>1.134883999824524</v>
      </c>
      <c r="E13796" s="215" t="n">
        <v>46097</v>
      </c>
      <c r="F13796" s="215" t="n">
        <v>46097</v>
      </c>
    </row>
    <row r="13797">
      <c r="A13797" s="215" t="n">
        <v>46098</v>
      </c>
      <c r="B13797" s="216" t="n">
        <v>20.28</v>
      </c>
      <c r="C13797" s="216" t="n">
        <v>32.6</v>
      </c>
      <c r="D13797" s="216" t="n">
        <v>1.125375986099243</v>
      </c>
      <c r="E13797" s="215" t="n">
        <v>46098</v>
      </c>
      <c r="F13797" s="215" t="n">
        <v>46098</v>
      </c>
    </row>
    <row r="13798">
      <c r="A13798" s="215" t="n">
        <v>46099</v>
      </c>
      <c r="B13798" s="216" t="n">
        <v>20.82</v>
      </c>
      <c r="C13798" s="216" t="n">
        <v>32.83</v>
      </c>
      <c r="D13798" s="216" t="n">
        <v>1.137819051742554</v>
      </c>
      <c r="E13798" s="215" t="n">
        <v>46099</v>
      </c>
      <c r="F13798" s="215" t="n">
        <v>46099</v>
      </c>
    </row>
    <row r="13799">
      <c r="A13799" s="215" t="n">
        <v>46100</v>
      </c>
      <c r="B13799" s="216" t="n">
        <v>19.88</v>
      </c>
      <c r="C13799" s="216" t="n">
        <v>31.35</v>
      </c>
      <c r="D13799" s="216" t="n">
        <v>1.140079021453857</v>
      </c>
      <c r="E13799" s="215" t="n">
        <v>46100</v>
      </c>
      <c r="F13799" s="215" t="n">
        <v>46100</v>
      </c>
    </row>
    <row r="13800">
      <c r="A13800" s="215" t="n">
        <v>46101</v>
      </c>
      <c r="B13800" s="216" t="n">
        <v>19.48</v>
      </c>
      <c r="C13800" s="216" t="n">
        <v>30.74</v>
      </c>
      <c r="D13800" s="216" t="n">
        <v>1.13490903377533</v>
      </c>
      <c r="E13800" s="215" t="n">
        <v>46101</v>
      </c>
      <c r="F13800" s="215" t="n">
        <v>46101</v>
      </c>
    </row>
    <row r="13801">
      <c r="A13801" s="215" t="n">
        <v>46104</v>
      </c>
      <c r="B13801" s="216" t="n">
        <v>18.44</v>
      </c>
      <c r="C13801" s="216" t="n">
        <v>29.35</v>
      </c>
      <c r="D13801" s="216" t="n">
        <v>1.137529969215393</v>
      </c>
      <c r="E13801" s="215" t="n">
        <v>46104</v>
      </c>
      <c r="F13801" s="215" t="n">
        <v>46104</v>
      </c>
    </row>
    <row r="13802">
      <c r="A13802" s="215" t="n">
        <v>46105</v>
      </c>
      <c r="B13802" s="216" t="n">
        <v>18.7</v>
      </c>
      <c r="C13802" s="216" t="n">
        <v>30.13</v>
      </c>
      <c r="D13802" s="216" t="n">
        <v>1.138481974601746</v>
      </c>
      <c r="E13802" s="215" t="n">
        <v>46105</v>
      </c>
      <c r="F13802" s="215" t="n">
        <v>46105</v>
      </c>
    </row>
    <row r="13803">
      <c r="A13803" s="215" t="n">
        <v>46106</v>
      </c>
      <c r="B13803" s="216" t="n">
        <v>19.26</v>
      </c>
      <c r="C13803" s="216" t="n">
        <v>30.83</v>
      </c>
      <c r="D13803" s="216" t="n">
        <v>1.135548949241638</v>
      </c>
      <c r="E13803" s="215" t="n">
        <v>46106</v>
      </c>
      <c r="F13803" s="215" t="n">
        <v>46106</v>
      </c>
    </row>
    <row r="13804">
      <c r="A13804" s="215" t="n">
        <v>46107</v>
      </c>
      <c r="B13804" s="216" t="n">
        <v>18.9</v>
      </c>
      <c r="C13804" s="216" t="n">
        <v>30.5</v>
      </c>
      <c r="D13804" s="216" t="n">
        <v>1.132627010345459</v>
      </c>
      <c r="E13804" s="215" t="n">
        <v>46107</v>
      </c>
      <c r="F13804" s="215" t="n">
        <v>46107</v>
      </c>
    </row>
    <row r="13805">
      <c r="A13805" s="215" t="n">
        <v>46108</v>
      </c>
      <c r="B13805" s="216" t="n">
        <v>19.29</v>
      </c>
      <c r="C13805" s="216" t="n">
        <v>31.18</v>
      </c>
      <c r="D13805" s="216" t="n">
        <v>1.132115960121155</v>
      </c>
      <c r="E13805" s="215" t="n">
        <v>46108</v>
      </c>
      <c r="F13805" s="215" t="n">
        <v>46108</v>
      </c>
    </row>
    <row r="13806">
      <c r="A13806" s="215" t="n">
        <v>46111</v>
      </c>
      <c r="B13806" s="216" t="n">
        <v>19.4</v>
      </c>
      <c r="C13806" s="216" t="n">
        <v>31.05</v>
      </c>
      <c r="D13806" s="216" t="n">
        <v>1.13311505317688</v>
      </c>
      <c r="E13806" s="215" t="n">
        <v>46111</v>
      </c>
      <c r="F13806" s="215" t="n">
        <v>46111</v>
      </c>
    </row>
    <row r="13807">
      <c r="A13807" s="215" t="n">
        <v>46112</v>
      </c>
      <c r="B13807" s="216" t="n">
        <v>18.68</v>
      </c>
      <c r="C13807" s="216" t="n">
        <v>30.69</v>
      </c>
      <c r="D13807" s="216" t="n">
        <v>1.133540987968445</v>
      </c>
      <c r="E13807" s="215" t="n">
        <v>46112</v>
      </c>
      <c r="F13807" s="215" t="n">
        <v>46112</v>
      </c>
    </row>
    <row r="13808">
      <c r="A13808" s="215" t="n">
        <v>46113</v>
      </c>
      <c r="B13808" s="216" t="n">
        <v>19.84</v>
      </c>
      <c r="C13808" s="216" t="n">
        <v>31.6</v>
      </c>
      <c r="D13808" s="216" t="n">
        <v>1.136669993400574</v>
      </c>
      <c r="E13808" s="215" t="n">
        <v>46113</v>
      </c>
      <c r="F13808" s="215" t="n">
        <v>46113</v>
      </c>
    </row>
    <row r="13809">
      <c r="A13809" s="215" t="n">
        <v>46114</v>
      </c>
      <c r="B13809" s="216" t="n">
        <v>19.26</v>
      </c>
      <c r="C13809" s="216" t="n">
        <v>30.63</v>
      </c>
      <c r="D13809" s="216" t="n">
        <v>1.140197992324829</v>
      </c>
      <c r="E13809" s="215" t="n">
        <v>46114</v>
      </c>
      <c r="F13809" s="215" t="n">
        <v>46114</v>
      </c>
    </row>
    <row r="13810">
      <c r="A13810" s="215" t="n">
        <v>46120</v>
      </c>
      <c r="B13810" s="216" t="n">
        <v>20.7</v>
      </c>
      <c r="C13810" s="216" t="n">
        <v>32.47</v>
      </c>
      <c r="D13810" s="216" t="n">
        <v>1.1423499584198</v>
      </c>
      <c r="E13810" s="215" t="n">
        <v>46120</v>
      </c>
      <c r="F13810" s="215" t="n">
        <v>46120</v>
      </c>
    </row>
    <row r="13811">
      <c r="A13811" s="215" t="n">
        <v>46121</v>
      </c>
      <c r="B13811" s="216" t="n">
        <v>21.6</v>
      </c>
      <c r="C13811" s="216" t="n">
        <v>32.7</v>
      </c>
      <c r="D13811" s="216" t="n">
        <v>1.146731972694397</v>
      </c>
      <c r="E13811" s="215" t="n">
        <v>46121</v>
      </c>
      <c r="F13811" s="215" t="n">
        <v>46121</v>
      </c>
    </row>
    <row r="13812">
      <c r="A13812" s="215" t="n">
        <v>46122</v>
      </c>
      <c r="B13812" s="216" t="n">
        <v>21.48</v>
      </c>
      <c r="C13812" s="216" t="n">
        <v>32.68</v>
      </c>
      <c r="D13812" s="216" t="n">
        <v>1.146558046340942</v>
      </c>
      <c r="E13812" s="215" t="n">
        <v>46122</v>
      </c>
      <c r="F13812" s="215" t="n">
        <v>46122</v>
      </c>
    </row>
    <row r="13813">
      <c r="A13813" s="215" t="n">
        <v>46125</v>
      </c>
      <c r="B13813" s="216" t="n">
        <v>21.04</v>
      </c>
      <c r="C13813" s="216" t="n">
        <v>32.84</v>
      </c>
      <c r="D13813" s="216" t="n">
        <v>1.147117972373962</v>
      </c>
      <c r="E13813" s="215" t="n">
        <v>46125</v>
      </c>
      <c r="F13813" s="215" t="n">
        <v>46125</v>
      </c>
    </row>
    <row r="13814">
      <c r="A13814" s="215" t="n">
        <v>46126</v>
      </c>
      <c r="B13814" s="216" t="n">
        <v>21</v>
      </c>
      <c r="C13814" s="216" t="n">
        <v>32.73</v>
      </c>
      <c r="D13814" s="216" t="n">
        <v>1.146226048469543</v>
      </c>
      <c r="E13814" s="215" t="n">
        <v>46126</v>
      </c>
      <c r="F13814" s="215" t="n">
        <v>46126</v>
      </c>
    </row>
    <row r="13815">
      <c r="A13815" s="215" t="n">
        <v>46127</v>
      </c>
      <c r="B13815" s="216" t="n">
        <v>20.58</v>
      </c>
      <c r="C13815" s="216" t="n">
        <v>32.12</v>
      </c>
      <c r="D13815" s="216" t="n">
        <v>1.149266004562378</v>
      </c>
      <c r="E13815" s="215" t="n">
        <v>46127</v>
      </c>
      <c r="F13815" s="215" t="n">
        <v>46127</v>
      </c>
    </row>
    <row r="13816">
      <c r="A13816" s="215" t="n">
        <v>46128</v>
      </c>
      <c r="B13816" s="216" t="n">
        <v>21.02</v>
      </c>
      <c r="C13816" s="216" t="n">
        <v>32.67</v>
      </c>
      <c r="D13816" s="216" t="n">
        <v>1.148550033569336</v>
      </c>
      <c r="E13816" s="215" t="n">
        <v>46128</v>
      </c>
      <c r="F13816" s="215" t="n">
        <v>46128</v>
      </c>
    </row>
    <row r="13817">
      <c r="A13817" s="215" t="n">
        <v>46129</v>
      </c>
      <c r="B13817" s="216" t="n">
        <v>21.36</v>
      </c>
      <c r="C13817" s="216" t="n">
        <v>33</v>
      </c>
      <c r="D13817" s="216" t="n">
        <v>1.146605014801025</v>
      </c>
      <c r="E13817" s="215" t="n">
        <v>46129</v>
      </c>
      <c r="F13817" s="215" t="n">
        <v>46129</v>
      </c>
    </row>
    <row r="13818">
      <c r="A13818" s="215" t="n">
        <v>46132</v>
      </c>
      <c r="B13818" s="216" t="n">
        <v>21.26</v>
      </c>
      <c r="C13818" s="216" t="n">
        <v>33.7</v>
      </c>
      <c r="D13818" s="216" t="n">
        <v>1.148360967636108</v>
      </c>
      <c r="E13818" s="215" t="n">
        <v>46132</v>
      </c>
      <c r="F13818" s="215" t="n">
        <v>46132</v>
      </c>
    </row>
    <row r="13819">
      <c r="A13819" s="215" t="n">
        <v>46133</v>
      </c>
      <c r="B13819" s="216" t="n">
        <v>21.18</v>
      </c>
      <c r="C13819" s="216" t="n">
        <v>33.88</v>
      </c>
      <c r="D13819" s="216" t="n">
        <v>1.148368000984192</v>
      </c>
      <c r="E13819" s="215" t="n">
        <v>46133</v>
      </c>
      <c r="F13819" s="215" t="n">
        <v>46133</v>
      </c>
    </row>
    <row r="13820">
      <c r="A13820" s="215" t="n">
        <v>46134</v>
      </c>
      <c r="B13820" s="216" t="n">
        <v>20.64</v>
      </c>
      <c r="C13820" s="216" t="n">
        <v>33.59</v>
      </c>
      <c r="D13820" s="216" t="n">
        <v>1.147838950157166</v>
      </c>
      <c r="E13820" s="215" t="n">
        <v>46134</v>
      </c>
      <c r="F13820" s="215" t="n">
        <v>46134</v>
      </c>
    </row>
    <row r="13821">
      <c r="A13821" s="215" t="n">
        <v>46135</v>
      </c>
      <c r="B13821" s="216" t="n">
        <v>20</v>
      </c>
      <c r="C13821" s="216" t="n">
        <v>32.25</v>
      </c>
      <c r="D13821" s="216" t="n">
        <v>1.147513031959534</v>
      </c>
      <c r="E13821" s="215" t="n">
        <v>46135</v>
      </c>
      <c r="F13821" s="215" t="n">
        <v>46135</v>
      </c>
    </row>
    <row r="13822">
      <c r="A13822" s="215" t="n">
        <v>46136</v>
      </c>
      <c r="B13822" s="216" t="n">
        <v>19.3</v>
      </c>
      <c r="C13822" s="216" t="n">
        <v>31.92</v>
      </c>
      <c r="D13822" s="216" t="n">
        <v>1.147369027137756</v>
      </c>
      <c r="E13822" s="215" t="n">
        <v>46136</v>
      </c>
      <c r="F13822" s="215" t="n">
        <v>46136</v>
      </c>
    </row>
    <row r="13823">
      <c r="A13823" s="215" t="n">
        <v>46139</v>
      </c>
      <c r="B13823" s="216" t="n">
        <v>19.1</v>
      </c>
      <c r="C13823" s="216" t="n">
        <v>31.99</v>
      </c>
      <c r="D13823" s="216" t="n">
        <v>1.146002054214478</v>
      </c>
      <c r="E13823" s="215" t="n">
        <v>46139</v>
      </c>
      <c r="F13823" s="215" t="n">
        <v>46139</v>
      </c>
    </row>
    <row r="13824">
      <c r="A13824" s="215" t="n">
        <v>46140</v>
      </c>
      <c r="B13824" s="216" t="n">
        <v>18.68</v>
      </c>
      <c r="C13824" s="216" t="n">
        <v>30.98</v>
      </c>
      <c r="D13824" s="216" t="n">
        <v>1.148522019386292</v>
      </c>
      <c r="E13824" s="215" t="n">
        <v>46140</v>
      </c>
      <c r="F13824" s="215" t="n">
        <v>46140</v>
      </c>
    </row>
    <row r="13825">
      <c r="A13825" s="215" t="n">
        <v>46141</v>
      </c>
      <c r="B13825" s="216" t="n">
        <v>20.08</v>
      </c>
      <c r="C13825" s="216" t="n">
        <v>33.49</v>
      </c>
      <c r="D13825" s="216" t="n">
        <v>1.145936012268066</v>
      </c>
      <c r="E13825" s="215" t="n">
        <v>46141</v>
      </c>
      <c r="F13825" s="215" t="n">
        <v>46141</v>
      </c>
    </row>
    <row r="13826">
      <c r="A13826" s="215" t="n">
        <v>46142</v>
      </c>
      <c r="B13826" s="216" t="n">
        <v>19.52</v>
      </c>
      <c r="C13826" s="216" t="n">
        <v>32.96</v>
      </c>
      <c r="D13826" s="216" t="n">
        <v>1.145792007446289</v>
      </c>
      <c r="E13826" s="215" t="n">
        <v>46142</v>
      </c>
      <c r="F13826" s="215" t="n">
        <v>46142</v>
      </c>
    </row>
    <row r="13827">
      <c r="A13827" s="215" t="n">
        <v>46146</v>
      </c>
      <c r="B13827" s="216" t="n">
        <v>20.1</v>
      </c>
      <c r="C13827" s="216" t="n">
        <v>32.96</v>
      </c>
      <c r="D13827" s="216" t="n">
        <v>1.147340059280396</v>
      </c>
      <c r="E13827" s="215" t="n">
        <v>46142</v>
      </c>
      <c r="F13827" s="215" t="n">
        <v>46146</v>
      </c>
    </row>
    <row r="13828">
      <c r="A13828" s="215" t="n">
        <v>46147</v>
      </c>
      <c r="B13828" s="216" t="n">
        <v>19.34</v>
      </c>
      <c r="C13828" s="216" t="n">
        <v>32.96</v>
      </c>
      <c r="D13828" s="216" t="n">
        <v>1.146813988685608</v>
      </c>
      <c r="E13828" s="215" t="n">
        <v>46142</v>
      </c>
      <c r="F13828" s="215" t="n">
        <v>46147</v>
      </c>
    </row>
    <row r="13829">
      <c r="A13829" s="215" t="n">
        <v>46148</v>
      </c>
      <c r="B13829" s="216" t="n">
        <v>19.75</v>
      </c>
      <c r="C13829" s="216" t="n">
        <v>34.8</v>
      </c>
      <c r="D13829" s="216" t="n">
        <v>1.14708399772644</v>
      </c>
      <c r="E13829" s="215" t="n">
        <v>46148</v>
      </c>
      <c r="F13829" s="215" t="n">
        <v>46148</v>
      </c>
    </row>
    <row r="13830">
      <c r="A13830" s="215" t="n">
        <v>46149</v>
      </c>
      <c r="B13830" s="216" t="n">
        <v>20.16</v>
      </c>
      <c r="C13830" s="216" t="n">
        <v>34.74</v>
      </c>
      <c r="D13830" s="216" t="n">
        <v>1.150125026702881</v>
      </c>
      <c r="E13830" s="215" t="n">
        <v>46149</v>
      </c>
      <c r="F13830" s="215" t="n">
        <v>46149</v>
      </c>
    </row>
    <row r="13831">
      <c r="A13831" s="215" t="n">
        <v>46150</v>
      </c>
      <c r="B13831" s="216" t="n">
        <v>20</v>
      </c>
      <c r="C13831" s="216" t="n">
        <v>34.66</v>
      </c>
      <c r="D13831" s="216" t="n">
        <v>1.15172004699707</v>
      </c>
      <c r="E13831" s="215" t="n">
        <v>46150</v>
      </c>
      <c r="F13831" s="215" t="n">
        <v>46150</v>
      </c>
    </row>
    <row r="13832">
      <c r="A13832" s="215" t="n">
        <v>46153</v>
      </c>
      <c r="B13832" s="216" t="n">
        <v>21</v>
      </c>
      <c r="C13832" s="216" t="n">
        <v>37.21</v>
      </c>
      <c r="D13832" s="216" t="n">
        <v>1.151090025901794</v>
      </c>
      <c r="E13832" s="215" t="n">
        <v>46153</v>
      </c>
      <c r="F13832" s="215" t="n">
        <v>46153</v>
      </c>
    </row>
    <row r="13833">
      <c r="A13833" s="215" t="n">
        <v>46154</v>
      </c>
      <c r="B13833" s="216" t="n">
        <v>20.18</v>
      </c>
      <c r="C13833" s="216" t="n">
        <v>35.73</v>
      </c>
      <c r="D13833" s="216" t="n">
        <v>1.152078986167908</v>
      </c>
      <c r="E13833" s="215" t="n">
        <v>46154</v>
      </c>
      <c r="F13833" s="215" t="n">
        <v>46154</v>
      </c>
    </row>
    <row r="13834">
      <c r="A13834" s="215" t="n">
        <v>46155</v>
      </c>
      <c r="B13834" s="216" t="n">
        <v>20.8</v>
      </c>
      <c r="C13834" s="216" t="n">
        <v>35.93</v>
      </c>
      <c r="D13834" s="216" t="n">
        <v>1.152537941932678</v>
      </c>
      <c r="E13834" s="215" t="n">
        <v>46155</v>
      </c>
      <c r="F13834" s="215" t="n">
        <v>46155</v>
      </c>
    </row>
    <row r="13835">
      <c r="A13835" s="215" t="n">
        <v>46156</v>
      </c>
      <c r="B13835" s="216" t="n">
        <v>20.38</v>
      </c>
      <c r="C13835" s="216" t="n">
        <v>34.62</v>
      </c>
      <c r="D13835" s="216" t="n">
        <v>1.152662992477417</v>
      </c>
      <c r="E13835" s="215" t="n">
        <v>46156</v>
      </c>
      <c r="F13835" s="215" t="n">
        <v>46156</v>
      </c>
    </row>
    <row r="13836">
      <c r="A13836" s="215" t="n">
        <v>46157</v>
      </c>
      <c r="B13836" s="216" t="n">
        <v>20.92</v>
      </c>
      <c r="C13836" s="216" t="n">
        <v>35.43</v>
      </c>
      <c r="D13836" s="216" t="n">
        <v>1.154320001602173</v>
      </c>
      <c r="E13836" s="215" t="n">
        <v>46157</v>
      </c>
      <c r="F13836" s="215" t="n">
        <v>46157</v>
      </c>
    </row>
    <row r="13837">
      <c r="A13837" s="215" t="n">
        <v>46160</v>
      </c>
      <c r="B13837" s="216" t="n">
        <v>20.18</v>
      </c>
      <c r="C13837" s="216" t="n">
        <v>34.39</v>
      </c>
      <c r="D13837" s="216" t="n">
        <v>1.149821996688843</v>
      </c>
      <c r="E13837" s="215" t="n">
        <v>46160</v>
      </c>
      <c r="F13837" s="215" t="n">
        <v>46160</v>
      </c>
    </row>
    <row r="13838">
      <c r="A13838" s="215" t="n">
        <v>46161</v>
      </c>
      <c r="B13838" s="216" t="n">
        <v>19.46</v>
      </c>
      <c r="C13838" s="216" t="n">
        <v>33.44</v>
      </c>
      <c r="D13838" s="216" t="n">
        <v>1.151532053947449</v>
      </c>
      <c r="E13838" s="215" t="n">
        <v>46161</v>
      </c>
      <c r="F13838" s="215" t="n">
        <v>46161</v>
      </c>
    </row>
    <row r="13839">
      <c r="A13839" s="215" t="n">
        <v>46162</v>
      </c>
      <c r="B13839" s="216" t="n">
        <v>19.51</v>
      </c>
      <c r="C13839" s="216" t="n">
        <v>33.7</v>
      </c>
      <c r="D13839" s="216" t="n">
        <v>1.149292945861816</v>
      </c>
      <c r="E13839" s="215" t="n">
        <v>46162</v>
      </c>
      <c r="F13839" s="215" t="n">
        <v>46162</v>
      </c>
    </row>
    <row r="13840">
      <c r="A13840" s="215" t="n">
        <v>46163</v>
      </c>
      <c r="B13840" s="216" t="n">
        <v>19.11</v>
      </c>
      <c r="C13840" s="216" t="n">
        <v>33.06</v>
      </c>
      <c r="D13840" s="216" t="n">
        <v>1.151231050491333</v>
      </c>
      <c r="E13840" s="215" t="n">
        <v>46163</v>
      </c>
      <c r="F13840" s="215" t="n">
        <v>46163</v>
      </c>
    </row>
    <row r="13841">
      <c r="A13841" s="215" t="n">
        <v>46164</v>
      </c>
      <c r="B13841" s="216" t="n">
        <v>20.66</v>
      </c>
      <c r="C13841" s="216" t="n">
        <v>34.34</v>
      </c>
      <c r="D13841" s="216" t="n">
        <v>1.151487946510315</v>
      </c>
      <c r="E13841" s="215" t="n">
        <v>46164</v>
      </c>
      <c r="F13841" s="215" t="n">
        <v>46164</v>
      </c>
    </row>
    <row r="13842">
      <c r="A13842" s="215" t="n">
        <v>46168</v>
      </c>
      <c r="B13842" s="216" t="n">
        <v>20.24</v>
      </c>
      <c r="C13842" s="216" t="n">
        <v>34.63</v>
      </c>
      <c r="D13842" s="216" t="n">
        <v>1.152968049049377</v>
      </c>
      <c r="E13842" s="215" t="n">
        <v>46168</v>
      </c>
      <c r="F13842" s="215" t="n">
        <v>46168</v>
      </c>
    </row>
    <row r="13843">
      <c r="A13843" s="215" t="n">
        <v>46169</v>
      </c>
      <c r="B13843" s="216" t="n">
        <v>19.7</v>
      </c>
      <c r="C13843" s="216" t="n">
        <v>33.1</v>
      </c>
      <c r="D13843" s="216" t="n">
        <v>1.154562950134277</v>
      </c>
      <c r="E13843" s="215" t="n">
        <v>46169</v>
      </c>
      <c r="F13843" s="215" t="n">
        <v>46169</v>
      </c>
    </row>
    <row r="13844">
      <c r="A13844" s="215" t="n">
        <v>46170</v>
      </c>
      <c r="B13844" s="216" t="n">
        <v>20.08</v>
      </c>
      <c r="C13844" s="216" t="n">
        <v>34</v>
      </c>
      <c r="D13844" s="216" t="n">
        <v>1.155385971069336</v>
      </c>
      <c r="E13844" s="215" t="n">
        <v>46170</v>
      </c>
      <c r="F13844" s="215" t="n">
        <v>46170</v>
      </c>
    </row>
    <row r="13845">
      <c r="A13845" s="215" t="n">
        <v>46171</v>
      </c>
      <c r="B13845" s="216" t="n">
        <v>19.09</v>
      </c>
      <c r="C13845" s="216" t="n">
        <v>32.27</v>
      </c>
      <c r="D13845" s="216" t="n">
        <v>1.155282974243164</v>
      </c>
      <c r="E13845" s="215" t="n">
        <v>46171</v>
      </c>
      <c r="F13845" s="215" t="n">
        <v>46171</v>
      </c>
    </row>
    <row r="13846">
      <c r="A13846" s="215" t="n">
        <v>46174</v>
      </c>
      <c r="B13846" s="216" t="n">
        <v>18.74</v>
      </c>
      <c r="C13846" s="216" t="n">
        <v>30.77</v>
      </c>
      <c r="D13846" s="216" t="n">
        <v>1.158049941062927</v>
      </c>
      <c r="E13846" s="215" t="n">
        <v>46174</v>
      </c>
      <c r="F13846" s="215" t="n">
        <v>46174</v>
      </c>
    </row>
    <row r="13847">
      <c r="A13847" s="215" t="n">
        <v>46175</v>
      </c>
      <c r="B13847" s="216" t="n">
        <v>18.99</v>
      </c>
      <c r="C13847" s="216" t="n">
        <v>31.32</v>
      </c>
      <c r="D13847" s="216" t="n">
        <v>1.158406972885132</v>
      </c>
      <c r="E13847" s="215" t="n">
        <v>46175</v>
      </c>
      <c r="F13847" s="215" t="n">
        <v>46175</v>
      </c>
    </row>
    <row r="13848">
      <c r="A13848" s="215" t="n">
        <v>46176</v>
      </c>
      <c r="B13848" s="216" t="n">
        <v>18.8</v>
      </c>
      <c r="C13848" s="216" t="n">
        <v>31.19</v>
      </c>
      <c r="D13848" s="216" t="n">
        <v>1.15879499912262</v>
      </c>
      <c r="E13848" s="215" t="n">
        <v>46176</v>
      </c>
      <c r="F13848" s="215" t="n">
        <v>46176</v>
      </c>
    </row>
    <row r="13849">
      <c r="A13849" s="215" t="n">
        <v>46177</v>
      </c>
      <c r="B13849" s="216" t="n">
        <v>18.57</v>
      </c>
      <c r="C13849" s="216" t="n">
        <v>30.81</v>
      </c>
      <c r="D13849" s="216" t="n">
        <v>1.157420039176941</v>
      </c>
      <c r="E13849" s="215" t="n">
        <v>46177</v>
      </c>
      <c r="F13849" s="215" t="n">
        <v>46177</v>
      </c>
    </row>
    <row r="13850">
      <c r="A13850" s="215" t="n">
        <v>46178</v>
      </c>
      <c r="B13850" s="216" t="n">
        <v>18.37</v>
      </c>
      <c r="C13850" s="216" t="n">
        <v>31.12</v>
      </c>
      <c r="D13850" s="216" t="n">
        <v>1.156491994857788</v>
      </c>
      <c r="E13850" s="215" t="n">
        <v>46178</v>
      </c>
      <c r="F13850" s="215" t="n">
        <v>46178</v>
      </c>
    </row>
    <row r="13851">
      <c r="A13851" s="215" t="n">
        <v>46181</v>
      </c>
      <c r="B13851" s="216" t="n">
        <v>17.85</v>
      </c>
      <c r="C13851" s="216" t="n">
        <v>29.19</v>
      </c>
      <c r="D13851" s="216" t="n">
        <v>1.157665967941284</v>
      </c>
      <c r="E13851" s="215" t="n">
        <v>46181</v>
      </c>
      <c r="F13851" s="215" t="n">
        <v>46181</v>
      </c>
    </row>
    <row r="13852">
      <c r="A13852" s="215" t="n">
        <v>46182</v>
      </c>
      <c r="B13852" s="216" t="n">
        <v>18.35</v>
      </c>
      <c r="C13852" s="216" t="n">
        <v>30.09</v>
      </c>
      <c r="D13852" s="216" t="n">
        <v>1.158027052879333</v>
      </c>
      <c r="E13852" s="215" t="n">
        <v>46182</v>
      </c>
      <c r="F13852" s="215" t="n">
        <v>46182</v>
      </c>
    </row>
    <row r="13853">
      <c r="A13853" s="215" t="n">
        <v>46183</v>
      </c>
      <c r="B13853" s="216" t="n">
        <v>17.74</v>
      </c>
      <c r="C13853" s="216" t="n">
        <v>29.41</v>
      </c>
      <c r="D13853" s="216" t="n">
        <v>1.157112002372742</v>
      </c>
      <c r="E13853" s="215" t="n">
        <v>46183</v>
      </c>
      <c r="F13853" s="215" t="n">
        <v>46183</v>
      </c>
    </row>
    <row r="13854">
      <c r="A13854" s="215" t="n">
        <v>46184</v>
      </c>
      <c r="B13854" s="216" t="n">
        <v>17.5</v>
      </c>
      <c r="C13854" s="216" t="n">
        <v>29.24</v>
      </c>
      <c r="D13854" s="216" t="n">
        <v>1.156929016113281</v>
      </c>
      <c r="E13854" s="215" t="n">
        <v>46184</v>
      </c>
      <c r="F13854" s="215" t="n">
        <v>46184</v>
      </c>
    </row>
    <row r="13855">
      <c r="A13855" s="215" t="n">
        <v>46185</v>
      </c>
      <c r="B13855" s="216" t="n">
        <v>18.38</v>
      </c>
      <c r="C13855" s="216" t="n">
        <v>30.19</v>
      </c>
      <c r="D13855" s="216" t="n">
        <v>1.156345963478088</v>
      </c>
      <c r="E13855" s="215" t="n">
        <v>46185</v>
      </c>
      <c r="F13855" s="215" t="n">
        <v>46185</v>
      </c>
    </row>
    <row r="13856">
      <c r="A13856" s="215" t="n">
        <v>46188</v>
      </c>
      <c r="B13856" s="216" t="n">
        <v>18.99</v>
      </c>
      <c r="C13856" s="216" t="n">
        <v>31.41</v>
      </c>
      <c r="D13856" s="216" t="n">
        <v>1.156880021095276</v>
      </c>
      <c r="E13856" s="215" t="n">
        <v>46188</v>
      </c>
      <c r="F13856" s="215" t="n">
        <v>46188</v>
      </c>
    </row>
    <row r="13857">
      <c r="A13857" s="215" t="n">
        <v>46189</v>
      </c>
      <c r="B13857" s="216" t="n">
        <v>19.93</v>
      </c>
      <c r="C13857" s="216" t="n">
        <v>33.13</v>
      </c>
      <c r="D13857" s="216" t="n">
        <v>1.158604025840759</v>
      </c>
      <c r="E13857" s="215" t="n">
        <v>46189</v>
      </c>
      <c r="F13857" s="215" t="n">
        <v>46189</v>
      </c>
    </row>
    <row r="13858">
      <c r="A13858" s="215" t="n">
        <v>46190</v>
      </c>
      <c r="B13858" s="216" t="n">
        <v>19.31</v>
      </c>
      <c r="C13858" s="216" t="n">
        <v>32.29</v>
      </c>
      <c r="D13858" s="216" t="n">
        <v>1.158974051475525</v>
      </c>
      <c r="E13858" s="215" t="n">
        <v>46190</v>
      </c>
      <c r="F13858" s="215" t="n">
        <v>46190</v>
      </c>
    </row>
    <row r="13859">
      <c r="A13859" s="215" t="n">
        <v>46191</v>
      </c>
      <c r="B13859" s="216" t="n">
        <v>19.4</v>
      </c>
      <c r="C13859" s="216" t="n">
        <v>33.43</v>
      </c>
      <c r="D13859" s="216" t="n">
        <v>1.159355998039246</v>
      </c>
      <c r="E13859" s="215" t="n">
        <v>46191</v>
      </c>
      <c r="F13859" s="215" t="n">
        <v>46191</v>
      </c>
    </row>
    <row r="13860">
      <c r="A13860" s="215" t="n">
        <v>46195</v>
      </c>
      <c r="B13860" s="216" t="n">
        <v>19.69</v>
      </c>
      <c r="C13860" s="216" t="n">
        <v>34.39</v>
      </c>
      <c r="D13860" s="216" t="n">
        <v>1.157493948936462</v>
      </c>
      <c r="E13860" s="215" t="n">
        <v>46195</v>
      </c>
      <c r="F13860" s="215" t="n">
        <v>46195</v>
      </c>
    </row>
    <row r="13861">
      <c r="A13861" s="215" t="n">
        <v>46196</v>
      </c>
      <c r="B13861" s="216" t="n">
        <v>18.9</v>
      </c>
      <c r="C13861" s="216" t="n">
        <v>32.7</v>
      </c>
      <c r="D13861" s="216" t="n">
        <v>1.156896948814392</v>
      </c>
      <c r="E13861" s="215" t="n">
        <v>46196</v>
      </c>
      <c r="F13861" s="215" t="n">
        <v>46196</v>
      </c>
    </row>
    <row r="13862">
      <c r="A13862" s="215" t="n">
        <v>46197</v>
      </c>
      <c r="B13862" s="216" t="n">
        <v>18.08</v>
      </c>
      <c r="C13862" s="216" t="n">
        <v>31.91</v>
      </c>
      <c r="D13862" s="216" t="n">
        <v>1.154508948326111</v>
      </c>
      <c r="E13862" s="215" t="n">
        <v>46197</v>
      </c>
      <c r="F13862" s="215" t="n">
        <v>46197</v>
      </c>
    </row>
    <row r="13863">
      <c r="A13863" s="215" t="n">
        <v>46198</v>
      </c>
      <c r="B13863" s="216" t="n">
        <v>17.85</v>
      </c>
      <c r="C13863" s="216" t="n">
        <v>32.38</v>
      </c>
      <c r="D13863" s="216" t="n">
        <v>1.154152035713196</v>
      </c>
      <c r="E13863" s="215" t="n">
        <v>46198</v>
      </c>
      <c r="F13863" s="215" t="n">
        <v>46198</v>
      </c>
    </row>
    <row r="13864">
      <c r="A13864" s="215" t="n">
        <v>46199</v>
      </c>
      <c r="B13864" s="216" t="n">
        <v>16.39</v>
      </c>
      <c r="C13864" s="216" t="n">
        <v>30.07</v>
      </c>
      <c r="D13864" s="216" t="n">
        <v>1.154500961303711</v>
      </c>
      <c r="E13864" s="215" t="n">
        <v>46199</v>
      </c>
      <c r="F13864" s="215" t="n">
        <v>46199</v>
      </c>
    </row>
    <row r="13865">
      <c r="A13865" s="215" t="n">
        <v>46202</v>
      </c>
      <c r="B13865" s="216" t="n">
        <v>16.12</v>
      </c>
      <c r="C13865" s="216" t="n">
        <v>29.43</v>
      </c>
      <c r="D13865" s="216" t="n">
        <v>1.153512001037598</v>
      </c>
      <c r="E13865" s="215" t="n">
        <v>46202</v>
      </c>
      <c r="F13865" s="215" t="n">
        <v>46202</v>
      </c>
    </row>
    <row r="13866">
      <c r="A13866" s="215" t="n">
        <v>46203</v>
      </c>
      <c r="B13866" s="216" t="n">
        <v>16.63</v>
      </c>
      <c r="C13866" s="216" t="n">
        <v>30.85</v>
      </c>
      <c r="D13866" s="216" t="n">
        <v>1.153959035873413</v>
      </c>
      <c r="E13866" s="215" t="n">
        <v>46203</v>
      </c>
      <c r="F13866" s="215" t="n">
        <v>46203</v>
      </c>
    </row>
    <row r="13867">
      <c r="A13867" s="215" t="n">
        <v>46205</v>
      </c>
      <c r="B13867" s="216" t="n">
        <v>18.63</v>
      </c>
      <c r="C13867" s="216" t="n">
        <v>33</v>
      </c>
      <c r="D13867" s="216" t="n">
        <v>1.154355049133301</v>
      </c>
      <c r="E13867" s="215" t="n">
        <v>46205</v>
      </c>
      <c r="F13867" s="215" t="n">
        <v>46205</v>
      </c>
    </row>
    <row r="13868">
      <c r="A13868" s="215" t="n">
        <v>46206</v>
      </c>
      <c r="B13868" s="216" t="n">
        <v>19.3</v>
      </c>
      <c r="C13868" s="216" t="n">
        <v>34.25</v>
      </c>
      <c r="D13868" s="216" t="n">
        <v>1.155220985412598</v>
      </c>
      <c r="E13868" s="215" t="n">
        <v>46206</v>
      </c>
      <c r="F13868" s="215" t="n">
        <v>46206</v>
      </c>
    </row>
    <row r="13869">
      <c r="A13869" s="215" t="n">
        <v>46209</v>
      </c>
      <c r="B13869" s="216" t="n">
        <v>18.78</v>
      </c>
      <c r="C13869" s="216" t="n">
        <v>32.57</v>
      </c>
      <c r="D13869" s="216" t="n">
        <v>1.155068039894104</v>
      </c>
      <c r="E13869" s="215" t="n">
        <v>46209</v>
      </c>
      <c r="F13869" s="215" t="n">
        <v>46209</v>
      </c>
    </row>
    <row r="13870">
      <c r="A13870" s="215" t="n">
        <v>46210</v>
      </c>
      <c r="B13870" s="216" t="n">
        <v>18.58</v>
      </c>
      <c r="C13870" s="216" t="n">
        <v>31.69</v>
      </c>
      <c r="D13870" s="216" t="n">
        <v>1.153807997703552</v>
      </c>
      <c r="E13870" s="215" t="n">
        <v>46210</v>
      </c>
      <c r="F13870" s="215" t="n">
        <v>46210</v>
      </c>
    </row>
    <row r="13871">
      <c r="A13871" s="215" t="n">
        <v>46211</v>
      </c>
      <c r="B13871" s="216" t="n">
        <v>17.5</v>
      </c>
      <c r="C13871" s="216" t="n">
        <v>29.7</v>
      </c>
      <c r="D13871" s="216" t="n">
        <v>1.154153943061829</v>
      </c>
      <c r="E13871" s="215" t="n">
        <v>46211</v>
      </c>
      <c r="F13871" s="215" t="n">
        <v>46211</v>
      </c>
    </row>
    <row r="13872">
      <c r="A13872" s="215" t="n">
        <v>46212</v>
      </c>
      <c r="B13872" s="216" t="n">
        <v>17.35</v>
      </c>
      <c r="C13872" s="216" t="n">
        <v>28.58</v>
      </c>
      <c r="D13872" s="216" t="n">
        <v>1.152119994163513</v>
      </c>
      <c r="E13872" s="215" t="n">
        <v>46212</v>
      </c>
      <c r="F13872" s="215" t="n">
        <v>46212</v>
      </c>
    </row>
    <row r="13873">
      <c r="A13873" s="215" t="n">
        <v>46213</v>
      </c>
      <c r="B13873" s="216" t="n">
        <v>17.19</v>
      </c>
      <c r="C13873" s="216" t="n">
        <v>28.69</v>
      </c>
      <c r="D13873" s="216" t="n">
        <v>1.153550028800964</v>
      </c>
      <c r="E13873" s="215" t="n">
        <v>46213</v>
      </c>
      <c r="F13873" s="215" t="n">
        <v>46213</v>
      </c>
    </row>
    <row r="13874">
      <c r="A13874" s="215" t="n">
        <v>46216</v>
      </c>
      <c r="B13874" s="216" t="n">
        <v>16.85</v>
      </c>
      <c r="C13874" s="216" t="n">
        <v>26.55</v>
      </c>
      <c r="D13874" s="216" t="n">
        <v>1.156761050224304</v>
      </c>
      <c r="E13874" s="215" t="n">
        <v>46216</v>
      </c>
      <c r="F13874" s="215" t="n">
        <v>46216</v>
      </c>
    </row>
    <row r="13875">
      <c r="A13875" s="215" t="n">
        <v>46217</v>
      </c>
      <c r="B13875" s="216" t="n">
        <v>16.86</v>
      </c>
      <c r="C13875" s="216" t="n">
        <v>27.26</v>
      </c>
      <c r="D13875" s="216" t="n">
        <v>1.155825972557068</v>
      </c>
      <c r="E13875" s="215" t="n">
        <v>46217</v>
      </c>
      <c r="F13875" s="215" t="n">
        <v>46217</v>
      </c>
    </row>
    <row r="13876">
      <c r="A13876" s="215" t="n">
        <v>46218</v>
      </c>
      <c r="B13876" s="216" t="n">
        <v>16.9</v>
      </c>
      <c r="C13876" s="216" t="n">
        <v>26.88</v>
      </c>
      <c r="D13876" s="216" t="n">
        <v>1.157556056976318</v>
      </c>
      <c r="E13876" s="215" t="n">
        <v>46218</v>
      </c>
      <c r="F13876" s="215" t="n">
        <v>46218</v>
      </c>
    </row>
    <row r="13877">
      <c r="A13877" s="215" t="n">
        <v>46219</v>
      </c>
      <c r="B13877" s="216" t="n">
        <v>16.82</v>
      </c>
      <c r="C13877" s="216" t="n">
        <v>26.61</v>
      </c>
      <c r="D13877" s="216" t="n">
        <v>1.157912969589233</v>
      </c>
      <c r="E13877" s="215" t="n">
        <v>46219</v>
      </c>
      <c r="F13877" s="215" t="n">
        <v>46219</v>
      </c>
    </row>
    <row r="13878">
      <c r="A13878" s="215" t="n">
        <v>46220</v>
      </c>
      <c r="B13878" s="216" t="n">
        <v>16.42</v>
      </c>
      <c r="C13878" s="216" t="n">
        <v>25.16</v>
      </c>
      <c r="D13878" s="216" t="n">
        <v>1.157472014427185</v>
      </c>
      <c r="E13878" s="215" t="n">
        <v>46220</v>
      </c>
      <c r="F13878" s="215" t="n">
        <v>46220</v>
      </c>
    </row>
    <row r="13879">
      <c r="A13879" s="215" t="n">
        <v>46223</v>
      </c>
      <c r="B13879" s="216" t="n">
        <v>16.95</v>
      </c>
      <c r="C13879" s="216" t="n">
        <v>24.84</v>
      </c>
      <c r="D13879" s="216" t="n">
        <v>1.157451033592224</v>
      </c>
      <c r="E13879" s="215" t="n">
        <v>46223</v>
      </c>
      <c r="F13879" s="215" t="n">
        <v>46223</v>
      </c>
    </row>
    <row r="13880">
      <c r="A13880" s="215" t="n">
        <v>46224</v>
      </c>
      <c r="B13880" s="216" t="n">
        <v>17.1</v>
      </c>
      <c r="C13880" s="216" t="n">
        <v>25.84</v>
      </c>
      <c r="D13880" s="216" t="n">
        <v>1.157506942749023</v>
      </c>
      <c r="E13880" s="215" t="n">
        <v>46224</v>
      </c>
      <c r="F13880" s="215" t="n">
        <v>46224</v>
      </c>
    </row>
    <row r="13881">
      <c r="A13881" s="215" t="n">
        <v>46225</v>
      </c>
      <c r="B13881" s="216" t="n">
        <v>17</v>
      </c>
      <c r="C13881" s="216" t="n">
        <v>25.69</v>
      </c>
      <c r="D13881" s="216" t="n">
        <v>1.158938050270081</v>
      </c>
      <c r="E13881" s="215" t="n">
        <v>46225</v>
      </c>
      <c r="F13881" s="215" t="n">
        <v>46225</v>
      </c>
    </row>
    <row r="13882">
      <c r="A13882" s="215" t="n">
        <v>46226</v>
      </c>
      <c r="B13882" s="216" t="n">
        <v>17.14</v>
      </c>
      <c r="C13882" s="216" t="n">
        <v>25.9</v>
      </c>
      <c r="D13882" s="216" t="n">
        <v>1.157410979270935</v>
      </c>
      <c r="E13882" s="215" t="n">
        <v>46226</v>
      </c>
      <c r="F13882" s="215" t="n">
        <v>46226</v>
      </c>
    </row>
    <row r="13883">
      <c r="A13883" s="215" t="n">
        <v>46227</v>
      </c>
      <c r="B13883" s="216" t="n">
        <v>16.43</v>
      </c>
      <c r="C13883" s="216" t="n">
        <v>24.23</v>
      </c>
      <c r="D13883" s="216" t="n">
        <v>1.15762197971344</v>
      </c>
      <c r="E13883" s="215" t="n">
        <v>46227</v>
      </c>
      <c r="F13883" s="215" t="n">
        <v>46227</v>
      </c>
    </row>
    <row r="13884">
      <c r="A13884" s="215" t="n">
        <v>46230</v>
      </c>
      <c r="B13884" s="216" t="n">
        <v>16.63</v>
      </c>
      <c r="C13884" s="216" t="n">
        <v>24.75</v>
      </c>
      <c r="D13884" s="216" t="n">
        <v>1.15789794921875</v>
      </c>
      <c r="E13884" s="215" t="n">
        <v>46230</v>
      </c>
      <c r="F13884" s="215" t="n">
        <v>46230</v>
      </c>
    </row>
    <row r="13885">
      <c r="A13885" s="215" t="n">
        <v>46231</v>
      </c>
      <c r="B13885" s="216" t="n">
        <v>16.3</v>
      </c>
      <c r="C13885" s="216" t="n">
        <v>24.2</v>
      </c>
      <c r="D13885" s="216" t="n">
        <v>1.158699035644531</v>
      </c>
      <c r="E13885" s="215" t="n">
        <v>46231</v>
      </c>
      <c r="F13885" s="215" t="n">
        <v>46231</v>
      </c>
    </row>
    <row r="13886">
      <c r="A13886" s="215" t="n">
        <v>46232</v>
      </c>
      <c r="B13886" s="216" t="n">
        <v>16.31</v>
      </c>
      <c r="C13886" s="216" t="n">
        <v>24.5</v>
      </c>
      <c r="D13886" s="216" t="n">
        <v>1.157909989356995</v>
      </c>
      <c r="E13886" s="215" t="n">
        <v>46232</v>
      </c>
      <c r="F13886" s="215" t="n">
        <v>46232</v>
      </c>
    </row>
    <row r="13887">
      <c r="A13887" s="215" t="n">
        <v>46233</v>
      </c>
      <c r="B13887" s="216" t="n">
        <v>16.04</v>
      </c>
      <c r="C13887" s="216" t="n">
        <v>24.81</v>
      </c>
      <c r="D13887" s="216" t="n">
        <v>1.158943057060242</v>
      </c>
      <c r="E13887" s="215" t="n">
        <v>46233</v>
      </c>
      <c r="F13887" s="215" t="n">
        <v>46233</v>
      </c>
    </row>
    <row r="13888">
      <c r="A13888" s="215" t="n">
        <v>46234</v>
      </c>
      <c r="B13888" s="216" t="n">
        <v>16.42</v>
      </c>
      <c r="C13888" s="216" t="n">
        <v>25.6</v>
      </c>
      <c r="D13888" s="216" t="n">
        <v>1.160945057868958</v>
      </c>
      <c r="E13888" s="215" t="n">
        <v>46234</v>
      </c>
      <c r="F13888" s="215" t="n">
        <v>46234</v>
      </c>
    </row>
    <row r="13889">
      <c r="A13889" s="215" t="n">
        <v>46237</v>
      </c>
      <c r="B13889" s="216" t="n">
        <v>16.98</v>
      </c>
      <c r="C13889" s="216" t="n">
        <v>26.11</v>
      </c>
      <c r="D13889" s="216" t="n">
        <v>1.161579966545105</v>
      </c>
      <c r="E13889" s="215" t="n">
        <v>46237</v>
      </c>
      <c r="F13889" s="215" t="n">
        <v>46237</v>
      </c>
    </row>
    <row r="13890">
      <c r="A13890" s="215" t="n">
        <v>46238</v>
      </c>
      <c r="B13890" s="216" t="n">
        <v>17.34</v>
      </c>
      <c r="C13890" s="216" t="n">
        <v>26.44</v>
      </c>
      <c r="D13890" s="216" t="n">
        <v>1.161064982414246</v>
      </c>
      <c r="E13890" s="215" t="n">
        <v>46238</v>
      </c>
      <c r="F13890" s="215" t="n">
        <v>46238</v>
      </c>
    </row>
    <row r="13891">
      <c r="A13891" s="215" t="n">
        <v>46239</v>
      </c>
      <c r="B13891" s="216" t="n">
        <v>17.8</v>
      </c>
      <c r="C13891" s="216" t="n">
        <v>27.13</v>
      </c>
      <c r="D13891" s="216" t="n">
        <v>1.161146998405457</v>
      </c>
      <c r="E13891" s="215" t="n">
        <v>46239</v>
      </c>
      <c r="F13891" s="215" t="n">
        <v>46239</v>
      </c>
    </row>
    <row r="13892">
      <c r="A13892" s="215" t="n">
        <v>46240</v>
      </c>
      <c r="B13892" s="216" t="n">
        <v>17.38</v>
      </c>
      <c r="C13892" s="216" t="n">
        <v>27.03</v>
      </c>
      <c r="D13892" s="216" t="n">
        <v>1.161936044692993</v>
      </c>
      <c r="E13892" s="215" t="n">
        <v>46240</v>
      </c>
      <c r="F13892" s="215" t="n">
        <v>46240</v>
      </c>
    </row>
    <row r="13893">
      <c r="A13893" s="215" t="n">
        <v>46241</v>
      </c>
      <c r="B13893" s="216" t="n">
        <v>17.85</v>
      </c>
      <c r="C13893" s="216" t="n">
        <v>27.86</v>
      </c>
      <c r="D13893" s="216" t="n">
        <v>1.162284016609192</v>
      </c>
      <c r="E13893" s="215" t="n">
        <v>46241</v>
      </c>
      <c r="F13893" s="215" t="n">
        <v>46241</v>
      </c>
    </row>
    <row r="13894">
      <c r="A13894" s="215" t="n">
        <v>46244</v>
      </c>
      <c r="B13894" s="216" t="n">
        <v>17.9</v>
      </c>
      <c r="C13894" s="216" t="n">
        <v>28.4</v>
      </c>
      <c r="D13894" s="216" t="n">
        <v>1.162629961967468</v>
      </c>
      <c r="E13894" s="215" t="n">
        <v>46244</v>
      </c>
      <c r="F13894" s="215" t="n">
        <v>46244</v>
      </c>
    </row>
    <row r="13895">
      <c r="A13895" s="215" t="n">
        <v>46245</v>
      </c>
      <c r="B13895" s="216" t="n">
        <v>17.41</v>
      </c>
      <c r="C13895" s="216" t="n">
        <v>27.66</v>
      </c>
      <c r="D13895" s="216" t="n">
        <v>1.162588000297546</v>
      </c>
      <c r="E13895" s="215" t="n">
        <v>46245</v>
      </c>
      <c r="F13895" s="215" t="n">
        <v>46245</v>
      </c>
    </row>
    <row r="13896">
      <c r="A13896" s="215" t="n">
        <v>46246</v>
      </c>
      <c r="B13896" s="216" t="n">
        <v>17.39</v>
      </c>
      <c r="C13896" s="216" t="n">
        <v>27.68</v>
      </c>
      <c r="D13896" s="216" t="n">
        <v>1.163135051727295</v>
      </c>
      <c r="E13896" s="215" t="n">
        <v>46246</v>
      </c>
      <c r="F13896" s="215" t="n">
        <v>46246</v>
      </c>
    </row>
    <row r="13897">
      <c r="A13897" s="215" t="n">
        <v>46247</v>
      </c>
      <c r="B13897" s="216" t="n">
        <v>17.07</v>
      </c>
      <c r="C13897" s="216" t="n">
        <v>27.08</v>
      </c>
      <c r="D13897" s="216" t="n">
        <v>1.163341045379639</v>
      </c>
      <c r="E13897" s="215" t="n">
        <v>46247</v>
      </c>
      <c r="F13897" s="215" t="n">
        <v>46247</v>
      </c>
    </row>
    <row r="13898">
      <c r="A13898" s="215" t="n">
        <v>46248</v>
      </c>
      <c r="B13898" s="216" t="n">
        <v>17.16</v>
      </c>
      <c r="C13898" s="216" t="n">
        <v>27.66</v>
      </c>
      <c r="D13898" s="216" t="n">
        <v>1.163571000099182</v>
      </c>
      <c r="E13898" s="215" t="n">
        <v>46248</v>
      </c>
      <c r="F13898" s="215" t="n">
        <v>46248</v>
      </c>
    </row>
    <row r="13899">
      <c r="A13899" s="215" t="n">
        <v>46251</v>
      </c>
      <c r="B13899" s="216" t="n">
        <v>17.47</v>
      </c>
      <c r="C13899" s="216" t="n">
        <v>27.93</v>
      </c>
      <c r="D13899" s="216" t="n">
        <v>1.163601994514465</v>
      </c>
      <c r="E13899" s="215" t="n">
        <v>46251</v>
      </c>
      <c r="F13899" s="215" t="n">
        <v>46251</v>
      </c>
    </row>
    <row r="13900">
      <c r="A13900" s="215" t="n">
        <v>46252</v>
      </c>
      <c r="B13900" s="216" t="n">
        <v>17.32</v>
      </c>
      <c r="C13900" s="216" t="n">
        <v>28.08</v>
      </c>
      <c r="D13900" s="216" t="n">
        <v>1.163733005523682</v>
      </c>
      <c r="E13900" s="215" t="n">
        <v>46252</v>
      </c>
      <c r="F13900" s="215" t="n">
        <v>46252</v>
      </c>
    </row>
    <row r="13901">
      <c r="A13901" s="215" t="n">
        <v>46253</v>
      </c>
      <c r="B13901" s="216" t="n">
        <v>16.63</v>
      </c>
      <c r="C13901" s="216" t="n">
        <v>26.52</v>
      </c>
      <c r="D13901" s="216" t="n">
        <v>1.163092017173767</v>
      </c>
      <c r="E13901" s="215" t="n">
        <v>46253</v>
      </c>
      <c r="F13901" s="215" t="n">
        <v>46253</v>
      </c>
    </row>
    <row r="13902">
      <c r="A13902" s="215" t="n">
        <v>46254</v>
      </c>
      <c r="B13902" s="216" t="n">
        <v>16.6</v>
      </c>
      <c r="C13902" s="216" t="n">
        <v>27.24</v>
      </c>
      <c r="D13902" s="216" t="n">
        <v>1.164932012557983</v>
      </c>
      <c r="E13902" s="215" t="n">
        <v>46254</v>
      </c>
      <c r="F13902" s="215" t="n">
        <v>46254</v>
      </c>
    </row>
    <row r="13903">
      <c r="A13903" s="215" t="n">
        <v>46255</v>
      </c>
      <c r="B13903" s="216" t="n">
        <v>17.24</v>
      </c>
      <c r="C13903" s="216" t="n">
        <v>27.57</v>
      </c>
      <c r="D13903" s="216" t="n">
        <v>1.166555047035217</v>
      </c>
      <c r="E13903" s="215" t="n">
        <v>46255</v>
      </c>
      <c r="F13903" s="215" t="n">
        <v>46255</v>
      </c>
    </row>
    <row r="13904">
      <c r="A13904" s="215" t="n">
        <v>46258</v>
      </c>
      <c r="B13904" s="216" t="n">
        <v>17.68</v>
      </c>
      <c r="C13904" s="216" t="n">
        <v>27.71</v>
      </c>
      <c r="D13904" s="216" t="n">
        <v>1.166316986083984</v>
      </c>
      <c r="E13904" s="215" t="n">
        <v>46258</v>
      </c>
      <c r="F13904" s="215" t="n">
        <v>46258</v>
      </c>
    </row>
    <row r="13905">
      <c r="A13905" s="215" t="n">
        <v>46259</v>
      </c>
      <c r="B13905" s="216" t="n">
        <v>17.03</v>
      </c>
      <c r="C13905" s="216" t="n">
        <v>27.07</v>
      </c>
      <c r="D13905" s="216" t="n">
        <v>1.165253043174744</v>
      </c>
      <c r="E13905" s="215" t="n">
        <v>46259</v>
      </c>
      <c r="F13905" s="215" t="n">
        <v>46259</v>
      </c>
    </row>
    <row r="13906">
      <c r="A13906" s="215" t="n">
        <v>46260</v>
      </c>
      <c r="B13906" s="216" t="n">
        <v>17.26</v>
      </c>
      <c r="C13906" s="216" t="n">
        <v>27</v>
      </c>
      <c r="D13906" s="216" t="n">
        <v>1.166218996047974</v>
      </c>
      <c r="E13906" s="215" t="n">
        <v>46260</v>
      </c>
      <c r="F13906" s="215" t="n">
        <v>46260</v>
      </c>
    </row>
    <row r="13907">
      <c r="A13907" s="215" t="n">
        <v>46261</v>
      </c>
      <c r="B13907" s="216" t="n">
        <v>17.46</v>
      </c>
      <c r="C13907" s="216" t="n">
        <v>27.41</v>
      </c>
      <c r="D13907" s="216" t="n">
        <v>1.165971040725708</v>
      </c>
      <c r="E13907" s="215" t="n">
        <v>46261</v>
      </c>
      <c r="F13907" s="215" t="n">
        <v>46261</v>
      </c>
    </row>
    <row r="13908">
      <c r="A13908" s="215" t="n">
        <v>46262</v>
      </c>
      <c r="B13908" s="216" t="n">
        <v>17.34</v>
      </c>
      <c r="C13908" s="216" t="n">
        <v>27.03</v>
      </c>
      <c r="D13908" s="216" t="n">
        <v>1.165799975395203</v>
      </c>
      <c r="E13908" s="215" t="n">
        <v>46262</v>
      </c>
      <c r="F13908" s="215" t="n">
        <v>46262</v>
      </c>
    </row>
    <row r="13909">
      <c r="A13909" s="215" t="n">
        <v>46265</v>
      </c>
      <c r="B13909" s="216" t="n">
        <v>17</v>
      </c>
      <c r="C13909" s="216" t="n">
        <v>26.98</v>
      </c>
      <c r="D13909" s="216" t="n">
        <v>1.165387988090515</v>
      </c>
      <c r="E13909" s="215" t="n">
        <v>46265</v>
      </c>
      <c r="F13909" s="215" t="n">
        <v>46265</v>
      </c>
    </row>
    <row r="13910">
      <c r="A13910" s="215" t="n">
        <v>46266</v>
      </c>
      <c r="B13910" s="216" t="n">
        <v>16.83</v>
      </c>
      <c r="C13910" s="216" t="n">
        <v>26.49</v>
      </c>
      <c r="D13910" s="216" t="n">
        <v>1.165223956108093</v>
      </c>
      <c r="E13910" s="215" t="n">
        <v>46266</v>
      </c>
      <c r="F13910" s="215" t="n">
        <v>46266</v>
      </c>
    </row>
    <row r="13911">
      <c r="A13911" s="215" t="n">
        <v>46267</v>
      </c>
      <c r="B13911" s="216" t="n">
        <v>16.37</v>
      </c>
      <c r="C13911" s="216" t="n">
        <v>25.85</v>
      </c>
      <c r="D13911" s="216" t="n">
        <v>1.166425943374634</v>
      </c>
      <c r="E13911" s="215" t="n">
        <v>46267</v>
      </c>
      <c r="F13911" s="215" t="n">
        <v>46267</v>
      </c>
    </row>
    <row r="13912">
      <c r="A13912" s="215" t="n">
        <v>46268</v>
      </c>
      <c r="B13912" s="216" t="n">
        <v>16.87</v>
      </c>
      <c r="C13912" s="216" t="n">
        <v>26.56</v>
      </c>
      <c r="D13912" s="216" t="n">
        <v>1.167057037353516</v>
      </c>
      <c r="E13912" s="215" t="n">
        <v>46268</v>
      </c>
      <c r="F13912" s="215" t="n">
        <v>46268</v>
      </c>
    </row>
    <row r="13913">
      <c r="A13913" s="215" t="n">
        <v>46269</v>
      </c>
      <c r="B13913" s="216" t="n">
        <v>16.63</v>
      </c>
      <c r="C13913" s="216" t="n">
        <v>26.11</v>
      </c>
      <c r="D13913" s="216" t="n">
        <v>1.166767954826355</v>
      </c>
      <c r="E13913" s="215" t="n">
        <v>46269</v>
      </c>
      <c r="F13913" s="215" t="n">
        <v>46269</v>
      </c>
    </row>
    <row r="13914">
      <c r="A13914" s="215" t="n">
        <v>46272</v>
      </c>
      <c r="B13914" s="216" t="n">
        <v>16.57</v>
      </c>
      <c r="C13914" s="216" t="n">
        <v>26.16</v>
      </c>
      <c r="D13914" s="216" t="n">
        <v>1.168081045150757</v>
      </c>
      <c r="E13914" s="215" t="n">
        <v>46272</v>
      </c>
      <c r="F13914" s="215" t="n">
        <v>46272</v>
      </c>
    </row>
    <row r="13915">
      <c r="A13915" s="215" t="n">
        <v>46273</v>
      </c>
      <c r="B13915" s="216" t="n">
        <v>16.46</v>
      </c>
      <c r="C13915" s="216" t="n">
        <v>25.79</v>
      </c>
      <c r="D13915" s="216" t="n">
        <v>1.168115019798279</v>
      </c>
      <c r="E13915" s="215" t="n">
        <v>46273</v>
      </c>
      <c r="F13915" s="215" t="n">
        <v>46273</v>
      </c>
    </row>
    <row r="13916">
      <c r="A13916" s="215" t="n">
        <v>46274</v>
      </c>
      <c r="B13916" s="216" t="n">
        <v>16.77</v>
      </c>
      <c r="C13916" s="216" t="n">
        <v>25.76</v>
      </c>
      <c r="D13916" s="216" t="n">
        <v>1.168408989906311</v>
      </c>
      <c r="E13916" s="215" t="n">
        <v>46274</v>
      </c>
      <c r="F13916" s="215" t="n">
        <v>46274</v>
      </c>
    </row>
    <row r="13917">
      <c r="A13917" s="215" t="n">
        <v>46275</v>
      </c>
      <c r="B13917" s="216" t="n">
        <v>16.12</v>
      </c>
      <c r="C13917" s="216" t="n">
        <v>25.31</v>
      </c>
      <c r="D13917" s="216" t="n">
        <v>1.168462991714478</v>
      </c>
      <c r="E13917" s="215" t="n">
        <v>46275</v>
      </c>
      <c r="F13917" s="215" t="n">
        <v>46275</v>
      </c>
    </row>
    <row r="13918">
      <c r="A13918" s="215" t="n">
        <v>46276</v>
      </c>
      <c r="B13918" s="216" t="n">
        <v>15.83</v>
      </c>
      <c r="C13918" s="216" t="n">
        <v>24.78</v>
      </c>
      <c r="D13918" s="216" t="n">
        <v>1.169165015220642</v>
      </c>
      <c r="E13918" s="215" t="n">
        <v>46276</v>
      </c>
      <c r="F13918" s="215" t="n">
        <v>46276</v>
      </c>
    </row>
    <row r="13919">
      <c r="A13919" s="215" t="n">
        <v>46279</v>
      </c>
      <c r="B13919" s="216" t="n">
        <v>15.78</v>
      </c>
      <c r="C13919" s="216" t="n">
        <v>24.83</v>
      </c>
      <c r="D13919" s="216" t="n">
        <v>1.16893994808197</v>
      </c>
      <c r="E13919" s="215" t="n">
        <v>46279</v>
      </c>
      <c r="F13919" s="215" t="n">
        <v>46279</v>
      </c>
    </row>
    <row r="13920">
      <c r="A13920" s="215" t="n">
        <v>46280</v>
      </c>
      <c r="B13920" s="216" t="n">
        <v>15.45</v>
      </c>
      <c r="C13920" s="216" t="n">
        <v>24.86</v>
      </c>
      <c r="D13920" s="216" t="n">
        <v>1.169121026992798</v>
      </c>
      <c r="E13920" s="215" t="n">
        <v>46280</v>
      </c>
      <c r="F13920" s="215" t="n">
        <v>46280</v>
      </c>
    </row>
    <row r="13921">
      <c r="A13921" s="215" t="n">
        <v>46281</v>
      </c>
      <c r="B13921" s="216" t="n">
        <v>15.63</v>
      </c>
      <c r="C13921" s="216" t="n">
        <v>25.3</v>
      </c>
      <c r="D13921" s="216" t="n">
        <v>1.168769955635071</v>
      </c>
      <c r="E13921" s="215" t="n">
        <v>46281</v>
      </c>
      <c r="F13921" s="215" t="n">
        <v>46281</v>
      </c>
    </row>
    <row r="13922">
      <c r="A13922" s="215" t="n">
        <v>46282</v>
      </c>
      <c r="B13922" s="216" t="n">
        <v>15.63</v>
      </c>
      <c r="C13922" s="216" t="n">
        <v>24.97</v>
      </c>
      <c r="D13922" s="216" t="n">
        <v>1.169389963150024</v>
      </c>
      <c r="E13922" s="215" t="n">
        <v>46282</v>
      </c>
      <c r="F13922" s="215" t="n">
        <v>46282</v>
      </c>
    </row>
    <row r="13923">
      <c r="A13923" s="215" t="n">
        <v>46283</v>
      </c>
      <c r="B13923" s="216" t="n">
        <v>15.69</v>
      </c>
      <c r="C13923" s="216" t="n">
        <v>25.36</v>
      </c>
      <c r="D13923" s="216" t="n">
        <v>1.16942298412323</v>
      </c>
      <c r="E13923" s="215" t="n">
        <v>46283</v>
      </c>
      <c r="F13923" s="215" t="n">
        <v>46283</v>
      </c>
    </row>
    <row r="13924">
      <c r="A13924" s="215" t="n">
        <v>46286</v>
      </c>
      <c r="B13924" s="216" t="n">
        <v>15.93</v>
      </c>
      <c r="C13924" s="216" t="n">
        <v>25.74</v>
      </c>
      <c r="D13924" s="216" t="n">
        <v>1.171280026435852</v>
      </c>
      <c r="E13924" s="215" t="n">
        <v>46286</v>
      </c>
      <c r="F13924" s="215" t="n">
        <v>46286</v>
      </c>
    </row>
    <row r="13925">
      <c r="A13925" s="215" t="n">
        <v>46287</v>
      </c>
      <c r="B13925" s="216" t="n">
        <v>15.89</v>
      </c>
      <c r="C13925" s="216" t="n">
        <v>25.84</v>
      </c>
      <c r="D13925" s="216" t="n">
        <v>1.171705007553101</v>
      </c>
      <c r="E13925" s="215" t="n">
        <v>46287</v>
      </c>
      <c r="F13925" s="215" t="n">
        <v>46287</v>
      </c>
    </row>
    <row r="13926">
      <c r="A13926" s="215" t="n">
        <v>46288</v>
      </c>
      <c r="B13926" s="216" t="n">
        <v>15.38</v>
      </c>
      <c r="C13926" s="216" t="n">
        <v>25.55</v>
      </c>
      <c r="D13926" s="216" t="n">
        <v>1.170611023902893</v>
      </c>
      <c r="E13926" s="215" t="n">
        <v>46288</v>
      </c>
      <c r="F13926" s="215" t="n">
        <v>46288</v>
      </c>
    </row>
    <row r="13927">
      <c r="A13927" s="215" t="n">
        <v>46289</v>
      </c>
      <c r="B13927" s="216" t="n">
        <v>15.76</v>
      </c>
      <c r="C13927" s="216" t="n">
        <v>25.29</v>
      </c>
      <c r="D13927" s="216" t="n">
        <v>1.16852605342865</v>
      </c>
      <c r="E13927" s="215" t="n">
        <v>46289</v>
      </c>
      <c r="F13927" s="215" t="n">
        <v>46289</v>
      </c>
    </row>
    <row r="13928">
      <c r="A13928" s="215" t="n">
        <v>46290</v>
      </c>
      <c r="B13928" s="216" t="n">
        <v>15.51</v>
      </c>
      <c r="C13928" s="216" t="n">
        <v>25.29</v>
      </c>
      <c r="D13928" s="216" t="n">
        <v>1.168424010276794</v>
      </c>
      <c r="E13928" s="215" t="n">
        <v>46289</v>
      </c>
      <c r="F13928" s="215" t="n">
        <v>46290</v>
      </c>
    </row>
    <row r="13929">
      <c r="A13929" s="215" t="n">
        <v>46293</v>
      </c>
      <c r="B13929" s="216" t="n">
        <v>14.95</v>
      </c>
      <c r="C13929" s="216" t="n">
        <v>24.1</v>
      </c>
      <c r="D13929" s="216" t="n">
        <v>1.168378949165344</v>
      </c>
      <c r="E13929" s="215" t="n">
        <v>46293</v>
      </c>
      <c r="F13929" s="215" t="n">
        <v>46293</v>
      </c>
    </row>
    <row r="13930">
      <c r="A13930" s="215" t="n">
        <v>46294</v>
      </c>
      <c r="B13930" s="216" t="n">
        <v>15.1</v>
      </c>
      <c r="C13930" s="216" t="n">
        <v>23.99</v>
      </c>
      <c r="D13930" s="216" t="n">
        <v>1.168815970420837</v>
      </c>
      <c r="E13930" s="215" t="n">
        <v>46294</v>
      </c>
      <c r="F13930" s="215" t="n">
        <v>46294</v>
      </c>
    </row>
    <row r="13931">
      <c r="A13931" s="215" t="n">
        <v>46295</v>
      </c>
      <c r="B13931" s="216" t="n">
        <v>14.99</v>
      </c>
      <c r="C13931" s="216" t="n">
        <v>24.11</v>
      </c>
      <c r="D13931" s="216" t="n">
        <v>1.17059600353241</v>
      </c>
      <c r="E13931" s="215" t="n">
        <v>46295</v>
      </c>
      <c r="F13931" s="215" t="n">
        <v>46295</v>
      </c>
    </row>
    <row r="13932">
      <c r="A13932" s="215" t="n">
        <v>46297</v>
      </c>
      <c r="B13932" s="216" t="n">
        <v>14.8</v>
      </c>
      <c r="C13932" s="216" t="n">
        <v>24.11</v>
      </c>
      <c r="D13932" s="216" t="n">
        <v>1.170220971107483</v>
      </c>
      <c r="E13932" s="215" t="n">
        <v>46295</v>
      </c>
      <c r="F13932" s="215" t="n">
        <v>46297</v>
      </c>
    </row>
    <row r="13933">
      <c r="A13933" s="215" t="n">
        <v>45595</v>
      </c>
      <c r="B13933" s="216" t="n">
        <v>4.75</v>
      </c>
      <c r="C13933" s="216" t="n">
        <v>10</v>
      </c>
      <c r="D13933" s="216" t="n">
        <v>1.089673042297363</v>
      </c>
      <c r="E13933" s="215" t="n">
        <v>45595</v>
      </c>
      <c r="F13933" s="215" t="n">
        <v>45595</v>
      </c>
    </row>
    <row r="13934">
      <c r="A13934" s="215" t="n">
        <v>45596</v>
      </c>
      <c r="B13934" s="216" t="n">
        <v>4.51</v>
      </c>
      <c r="C13934" s="216" t="n">
        <v>9.84</v>
      </c>
      <c r="D13934" s="216" t="n">
        <v>1.091989994049072</v>
      </c>
      <c r="E13934" s="215" t="n">
        <v>45596</v>
      </c>
      <c r="F13934" s="215" t="n">
        <v>45596</v>
      </c>
    </row>
    <row r="13935">
      <c r="A13935" s="215" t="n">
        <v>45597</v>
      </c>
      <c r="B13935" s="216" t="n">
        <v>4.29</v>
      </c>
      <c r="C13935" s="216" t="n">
        <v>9.369999999999999</v>
      </c>
      <c r="D13935" s="216" t="n">
        <v>1.091570019721985</v>
      </c>
      <c r="E13935" s="215" t="n">
        <v>45597</v>
      </c>
      <c r="F13935" s="215" t="n">
        <v>45597</v>
      </c>
    </row>
    <row r="13936">
      <c r="A13936" s="215" t="n">
        <v>45600</v>
      </c>
      <c r="B13936" s="216" t="n">
        <v>4.41</v>
      </c>
      <c r="C13936" s="216" t="n">
        <v>9.5</v>
      </c>
      <c r="D13936" s="216" t="n">
        <v>1.091678023338318</v>
      </c>
      <c r="E13936" s="215" t="n">
        <v>45600</v>
      </c>
      <c r="F13936" s="215" t="n">
        <v>45600</v>
      </c>
    </row>
    <row r="13937">
      <c r="A13937" s="215" t="n">
        <v>45601</v>
      </c>
      <c r="B13937" s="216" t="n">
        <v>4.55</v>
      </c>
      <c r="C13937" s="216" t="n">
        <v>10.45</v>
      </c>
      <c r="D13937" s="216" t="n">
        <v>1.094761967658997</v>
      </c>
      <c r="E13937" s="215" t="n">
        <v>45601</v>
      </c>
      <c r="F13937" s="215" t="n">
        <v>45601</v>
      </c>
    </row>
    <row r="13938">
      <c r="A13938" s="215" t="n">
        <v>45602</v>
      </c>
      <c r="B13938" s="216" t="n">
        <v>4.54</v>
      </c>
      <c r="C13938" s="216" t="n">
        <v>10.8</v>
      </c>
      <c r="D13938" s="216" t="n">
        <v>1.094082951545715</v>
      </c>
      <c r="E13938" s="215" t="n">
        <v>45602</v>
      </c>
      <c r="F13938" s="215" t="n">
        <v>45602</v>
      </c>
    </row>
    <row r="13939">
      <c r="A13939" s="215" t="n">
        <v>45603</v>
      </c>
      <c r="B13939" s="216" t="n">
        <v>4.35</v>
      </c>
      <c r="C13939" s="216" t="n">
        <v>10.65</v>
      </c>
      <c r="D13939" s="216" t="n">
        <v>1.083237051963806</v>
      </c>
      <c r="E13939" s="215" t="n">
        <v>45603</v>
      </c>
      <c r="F13939" s="215" t="n">
        <v>45603</v>
      </c>
    </row>
    <row r="13940">
      <c r="A13940" s="215" t="n">
        <v>45604</v>
      </c>
      <c r="B13940" s="216" t="n">
        <v>4.39</v>
      </c>
      <c r="C13940" s="216" t="n">
        <v>10.9</v>
      </c>
      <c r="D13940" s="216" t="n">
        <v>1.087854027748108</v>
      </c>
      <c r="E13940" s="215" t="n">
        <v>45604</v>
      </c>
      <c r="F13940" s="215" t="n">
        <v>45604</v>
      </c>
    </row>
    <row r="13941">
      <c r="A13941" s="215" t="n">
        <v>45607</v>
      </c>
      <c r="B13941" s="216" t="n">
        <v>4.23</v>
      </c>
      <c r="C13941" s="216" t="n">
        <v>11.22</v>
      </c>
      <c r="D13941" s="216" t="n">
        <v>1.082896947860718</v>
      </c>
      <c r="E13941" s="215" t="n">
        <v>45607</v>
      </c>
      <c r="F13941" s="215" t="n">
        <v>45607</v>
      </c>
    </row>
    <row r="13942">
      <c r="A13942" s="215" t="n">
        <v>45608</v>
      </c>
      <c r="B13942" s="216" t="n">
        <v>4.2</v>
      </c>
      <c r="C13942" s="216" t="n">
        <v>10.86</v>
      </c>
      <c r="D13942" s="216" t="n">
        <v>1.077934980392456</v>
      </c>
      <c r="E13942" s="215" t="n">
        <v>45608</v>
      </c>
      <c r="F13942" s="215" t="n">
        <v>45608</v>
      </c>
    </row>
    <row r="13943">
      <c r="A13943" s="215" t="n">
        <v>45609</v>
      </c>
      <c r="B13943" s="216" t="n">
        <v>4.24</v>
      </c>
      <c r="C13943" s="216" t="n">
        <v>10.93</v>
      </c>
      <c r="D13943" s="216" t="n">
        <v>1.075376033782959</v>
      </c>
      <c r="E13943" s="215" t="n">
        <v>45609</v>
      </c>
      <c r="F13943" s="215" t="n">
        <v>45609</v>
      </c>
    </row>
    <row r="13944">
      <c r="A13944" s="215" t="n">
        <v>45610</v>
      </c>
      <c r="B13944" s="216" t="n">
        <v>4.1</v>
      </c>
      <c r="C13944" s="216" t="n">
        <v>10.57</v>
      </c>
      <c r="D13944" s="216" t="n">
        <v>1.07691502571106</v>
      </c>
      <c r="E13944" s="215" t="n">
        <v>45610</v>
      </c>
      <c r="F13944" s="215" t="n">
        <v>45610</v>
      </c>
    </row>
    <row r="13945">
      <c r="A13945" s="215" t="n">
        <v>45611</v>
      </c>
      <c r="B13945" s="216" t="n">
        <v>3.94</v>
      </c>
      <c r="C13945" s="216" t="n">
        <v>10.32</v>
      </c>
      <c r="D13945" s="216" t="n">
        <v>1.07588803768158</v>
      </c>
      <c r="E13945" s="215" t="n">
        <v>45611</v>
      </c>
      <c r="F13945" s="215" t="n">
        <v>45611</v>
      </c>
    </row>
    <row r="13946">
      <c r="A13946" s="215" t="n">
        <v>45614</v>
      </c>
      <c r="B13946" s="216" t="n">
        <v>3.85</v>
      </c>
      <c r="C13946" s="216" t="n">
        <v>9.869999999999999</v>
      </c>
      <c r="D13946" s="216" t="n">
        <v>1.076550960540771</v>
      </c>
      <c r="E13946" s="215" t="n">
        <v>45614</v>
      </c>
      <c r="F13946" s="215" t="n">
        <v>45614</v>
      </c>
    </row>
    <row r="13947">
      <c r="A13947" s="215" t="n">
        <v>45615</v>
      </c>
      <c r="B13947" s="216" t="n">
        <v>3.86</v>
      </c>
      <c r="C13947" s="216" t="n">
        <v>10.29</v>
      </c>
      <c r="D13947" s="216" t="n">
        <v>1.075461030006409</v>
      </c>
      <c r="E13947" s="215" t="n">
        <v>45615</v>
      </c>
      <c r="F13947" s="215" t="n">
        <v>45615</v>
      </c>
    </row>
    <row r="13948">
      <c r="A13948" s="215" t="n">
        <v>45616</v>
      </c>
      <c r="B13948" s="216" t="n">
        <v>3.84</v>
      </c>
      <c r="C13948" s="216" t="n">
        <v>10.34</v>
      </c>
      <c r="D13948" s="216" t="n">
        <v>1.075147032737732</v>
      </c>
      <c r="E13948" s="215" t="n">
        <v>45616</v>
      </c>
      <c r="F13948" s="215" t="n">
        <v>45616</v>
      </c>
    </row>
    <row r="13949">
      <c r="A13949" s="215" t="n">
        <v>45617</v>
      </c>
      <c r="B13949" s="216" t="n">
        <v>3.88</v>
      </c>
      <c r="C13949" s="216" t="n">
        <v>10.45</v>
      </c>
      <c r="D13949" s="216" t="n">
        <v>1.074183940887451</v>
      </c>
      <c r="E13949" s="215" t="n">
        <v>45617</v>
      </c>
      <c r="F13949" s="215" t="n">
        <v>45617</v>
      </c>
    </row>
    <row r="13950">
      <c r="A13950" s="215" t="n">
        <v>45618</v>
      </c>
      <c r="B13950" s="216" t="n">
        <v>3.89</v>
      </c>
      <c r="C13950" s="216" t="n">
        <v>10.1</v>
      </c>
      <c r="D13950" s="216" t="n">
        <v>1.075669050216675</v>
      </c>
      <c r="E13950" s="215" t="n">
        <v>45618</v>
      </c>
      <c r="F13950" s="215" t="n">
        <v>45618</v>
      </c>
    </row>
    <row r="13951">
      <c r="A13951" s="215" t="n">
        <v>45621</v>
      </c>
      <c r="B13951" s="216" t="n">
        <v>6.4</v>
      </c>
      <c r="C13951" s="216" t="n">
        <v>11.11</v>
      </c>
      <c r="D13951" s="216" t="n">
        <v>1.074473023414612</v>
      </c>
      <c r="E13951" s="215" t="n">
        <v>45621</v>
      </c>
      <c r="F13951" s="215" t="n">
        <v>45621</v>
      </c>
    </row>
    <row r="13952">
      <c r="A13952" s="215" t="n">
        <v>45622</v>
      </c>
      <c r="B13952" s="216" t="n">
        <v>6.96</v>
      </c>
      <c r="C13952" s="216" t="n">
        <v>12.22</v>
      </c>
      <c r="D13952" s="216" t="n">
        <v>1.073958039283752</v>
      </c>
      <c r="E13952" s="215" t="n">
        <v>45622</v>
      </c>
      <c r="F13952" s="215" t="n">
        <v>45622</v>
      </c>
    </row>
    <row r="13953">
      <c r="A13953" s="215" t="n">
        <v>45623</v>
      </c>
      <c r="B13953" s="216" t="n">
        <v>5.87</v>
      </c>
      <c r="C13953" s="216" t="n">
        <v>13.18</v>
      </c>
      <c r="D13953" s="216" t="n">
        <v>1.073114991188049</v>
      </c>
      <c r="E13953" s="215" t="n">
        <v>45623</v>
      </c>
      <c r="F13953" s="215" t="n">
        <v>45623</v>
      </c>
    </row>
    <row r="13954">
      <c r="A13954" s="215" t="n">
        <v>45624</v>
      </c>
      <c r="B13954" s="216" t="n">
        <v>5.95</v>
      </c>
      <c r="C13954" s="216" t="n">
        <v>14.25</v>
      </c>
      <c r="D13954" s="216" t="n">
        <v>1.073555946350098</v>
      </c>
      <c r="E13954" s="215" t="n">
        <v>45624</v>
      </c>
      <c r="F13954" s="215" t="n">
        <v>45624</v>
      </c>
    </row>
    <row r="13955">
      <c r="A13955" s="215" t="n">
        <v>45625</v>
      </c>
      <c r="B13955" s="216" t="n">
        <v>5.38</v>
      </c>
      <c r="C13955" s="216" t="n">
        <v>12.91</v>
      </c>
      <c r="D13955" s="216" t="n">
        <v>1.074349999427795</v>
      </c>
      <c r="E13955" s="215" t="n">
        <v>45625</v>
      </c>
      <c r="F13955" s="215" t="n">
        <v>45625</v>
      </c>
    </row>
    <row r="13956">
      <c r="A13956" s="215" t="n">
        <v>45628</v>
      </c>
      <c r="B13956" s="216" t="n">
        <v>5.4</v>
      </c>
      <c r="C13956" s="216" t="n">
        <v>12.51</v>
      </c>
      <c r="D13956" s="216" t="n">
        <v>1.074655055999756</v>
      </c>
      <c r="E13956" s="215" t="n">
        <v>45628</v>
      </c>
      <c r="F13956" s="215" t="n">
        <v>45628</v>
      </c>
    </row>
    <row r="13957">
      <c r="A13957" s="215" t="n">
        <v>45629</v>
      </c>
      <c r="B13957" s="216" t="n">
        <v>5.33</v>
      </c>
      <c r="C13957" s="216" t="n">
        <v>12.29</v>
      </c>
      <c r="D13957" s="216" t="n">
        <v>1.069697022438049</v>
      </c>
      <c r="E13957" s="215" t="n">
        <v>45629</v>
      </c>
      <c r="F13957" s="215" t="n">
        <v>45629</v>
      </c>
    </row>
    <row r="13958">
      <c r="A13958" s="215" t="n">
        <v>45630</v>
      </c>
      <c r="B13958" s="216" t="n">
        <v>5.02</v>
      </c>
      <c r="C13958" s="216" t="n">
        <v>11.85</v>
      </c>
      <c r="D13958" s="216" t="n">
        <v>1.068164944648743</v>
      </c>
      <c r="E13958" s="215" t="n">
        <v>45630</v>
      </c>
      <c r="F13958" s="215" t="n">
        <v>45630</v>
      </c>
    </row>
    <row r="13959">
      <c r="A13959" s="215" t="n">
        <v>45631</v>
      </c>
      <c r="B13959" s="216" t="n">
        <v>5.16</v>
      </c>
      <c r="C13959" s="216" t="n">
        <v>12.05</v>
      </c>
      <c r="D13959" s="216" t="n">
        <v>1.071516990661621</v>
      </c>
      <c r="E13959" s="215" t="n">
        <v>45631</v>
      </c>
      <c r="F13959" s="215" t="n">
        <v>45631</v>
      </c>
    </row>
    <row r="13960">
      <c r="A13960" s="215" t="n">
        <v>45632</v>
      </c>
      <c r="B13960" s="216" t="n">
        <v>5.05</v>
      </c>
      <c r="C13960" s="216" t="n">
        <v>12.02</v>
      </c>
      <c r="D13960" s="216" t="n">
        <v>1.07178795337677</v>
      </c>
      <c r="E13960" s="215" t="n">
        <v>45632</v>
      </c>
      <c r="F13960" s="215" t="n">
        <v>45632</v>
      </c>
    </row>
    <row r="13961">
      <c r="A13961" s="215" t="n">
        <v>45635</v>
      </c>
      <c r="B13961" s="216" t="n">
        <v>5.24</v>
      </c>
      <c r="C13961" s="216" t="n">
        <v>12.15</v>
      </c>
      <c r="D13961" s="216" t="n">
        <v>1.070058941841125</v>
      </c>
      <c r="E13961" s="215" t="n">
        <v>45635</v>
      </c>
      <c r="F13961" s="215" t="n">
        <v>45635</v>
      </c>
    </row>
    <row r="13962">
      <c r="A13962" s="215" t="n">
        <v>45636</v>
      </c>
      <c r="B13962" s="216" t="n">
        <v>4.91</v>
      </c>
      <c r="C13962" s="216" t="n">
        <v>11.87</v>
      </c>
      <c r="D13962" s="216" t="n">
        <v>1.07076895236969</v>
      </c>
      <c r="E13962" s="215" t="n">
        <v>45636</v>
      </c>
      <c r="F13962" s="215" t="n">
        <v>45636</v>
      </c>
    </row>
    <row r="13963">
      <c r="A13963" s="215" t="n">
        <v>45637</v>
      </c>
      <c r="B13963" s="216" t="n">
        <v>4.92</v>
      </c>
      <c r="C13963" s="216" t="n">
        <v>11.91</v>
      </c>
      <c r="D13963" s="216" t="n">
        <v>1.072139024734497</v>
      </c>
      <c r="E13963" s="215" t="n">
        <v>45637</v>
      </c>
      <c r="F13963" s="215" t="n">
        <v>45637</v>
      </c>
    </row>
    <row r="13964">
      <c r="A13964" s="215" t="n">
        <v>45638</v>
      </c>
      <c r="B13964" s="216" t="n">
        <v>4.93</v>
      </c>
      <c r="C13964" s="216" t="n">
        <v>11.78</v>
      </c>
      <c r="D13964" s="216" t="n">
        <v>1.070543050765991</v>
      </c>
      <c r="E13964" s="215" t="n">
        <v>45638</v>
      </c>
      <c r="F13964" s="215" t="n">
        <v>45638</v>
      </c>
    </row>
    <row r="13965">
      <c r="A13965" s="215" t="n">
        <v>45639</v>
      </c>
      <c r="B13965" s="216" t="n">
        <v>4.8</v>
      </c>
      <c r="C13965" s="216" t="n">
        <v>11.4</v>
      </c>
      <c r="D13965" s="216" t="n">
        <v>1.069535970687866</v>
      </c>
      <c r="E13965" s="215" t="n">
        <v>45639</v>
      </c>
      <c r="F13965" s="215" t="n">
        <v>45639</v>
      </c>
    </row>
    <row r="13966">
      <c r="A13966" s="215" t="n">
        <v>45642</v>
      </c>
      <c r="B13966" s="216" t="n">
        <v>4.58</v>
      </c>
      <c r="C13966" s="216" t="n">
        <v>10.98</v>
      </c>
      <c r="D13966" s="216" t="n">
        <v>1.068564057350159</v>
      </c>
      <c r="E13966" s="215" t="n">
        <v>45642</v>
      </c>
      <c r="F13966" s="215" t="n">
        <v>45642</v>
      </c>
    </row>
    <row r="13967">
      <c r="A13967" s="215" t="n">
        <v>45643</v>
      </c>
      <c r="B13967" s="216" t="n">
        <v>4.41</v>
      </c>
      <c r="C13967" s="216" t="n">
        <v>10.63</v>
      </c>
      <c r="D13967" s="216" t="n">
        <v>1.06734299659729</v>
      </c>
      <c r="E13967" s="215" t="n">
        <v>45643</v>
      </c>
      <c r="F13967" s="215" t="n">
        <v>45643</v>
      </c>
    </row>
    <row r="13968">
      <c r="A13968" s="215" t="n">
        <v>45644</v>
      </c>
      <c r="B13968" s="216" t="n">
        <v>4.78</v>
      </c>
      <c r="C13968" s="216" t="n">
        <v>10.94</v>
      </c>
      <c r="D13968" s="216" t="n">
        <v>1.066388010978699</v>
      </c>
      <c r="E13968" s="215" t="n">
        <v>45644</v>
      </c>
      <c r="F13968" s="215" t="n">
        <v>45644</v>
      </c>
    </row>
    <row r="13969">
      <c r="A13969" s="215" t="n">
        <v>45645</v>
      </c>
      <c r="B13969" s="216" t="n">
        <v>4.55</v>
      </c>
      <c r="C13969" s="216" t="n">
        <v>10.82</v>
      </c>
      <c r="D13969" s="216" t="n">
        <v>1.066426038742065</v>
      </c>
      <c r="E13969" s="215" t="n">
        <v>45645</v>
      </c>
      <c r="F13969" s="215" t="n">
        <v>45645</v>
      </c>
    </row>
    <row r="13970">
      <c r="A13970" s="215" t="n">
        <v>45646</v>
      </c>
      <c r="B13970" s="216" t="n">
        <v>4.75</v>
      </c>
      <c r="C13970" s="216" t="n">
        <v>11.07</v>
      </c>
      <c r="D13970" s="216" t="n">
        <v>1.064751029014587</v>
      </c>
      <c r="E13970" s="215" t="n">
        <v>45646</v>
      </c>
      <c r="F13970" s="215" t="n">
        <v>45646</v>
      </c>
    </row>
    <row r="13971">
      <c r="A13971" s="215" t="n">
        <v>45649</v>
      </c>
      <c r="B13971" s="216" t="n">
        <v>5.1</v>
      </c>
      <c r="C13971" s="216" t="n">
        <v>11.14</v>
      </c>
      <c r="D13971" s="216" t="n">
        <v>1.065225005149841</v>
      </c>
      <c r="E13971" s="215" t="n">
        <v>45649</v>
      </c>
      <c r="F13971" s="215" t="n">
        <v>45649</v>
      </c>
    </row>
    <row r="13972">
      <c r="A13972" s="215" t="n">
        <v>45650</v>
      </c>
      <c r="B13972" s="216" t="n">
        <v>4.8</v>
      </c>
      <c r="C13972" s="216" t="n">
        <v>10.91</v>
      </c>
      <c r="D13972" s="216" t="n">
        <v>1.06459105014801</v>
      </c>
      <c r="E13972" s="215" t="n">
        <v>45650</v>
      </c>
      <c r="F13972" s="215" t="n">
        <v>45650</v>
      </c>
    </row>
    <row r="13973">
      <c r="A13973" s="215" t="n">
        <v>45653</v>
      </c>
      <c r="B13973" s="216" t="n">
        <v>5.19</v>
      </c>
      <c r="C13973" s="216" t="n">
        <v>11.31</v>
      </c>
      <c r="D13973" s="216" t="n">
        <v>1.064249038696289</v>
      </c>
      <c r="E13973" s="215" t="n">
        <v>45653</v>
      </c>
      <c r="F13973" s="215" t="n">
        <v>45653</v>
      </c>
    </row>
    <row r="13974">
      <c r="A13974" s="215" t="n">
        <v>45656</v>
      </c>
      <c r="B13974" s="216" t="n">
        <v>5.09</v>
      </c>
      <c r="C13974" s="216" t="n">
        <v>10.84</v>
      </c>
      <c r="D13974" s="216" t="n">
        <v>1.063662052154541</v>
      </c>
      <c r="E13974" s="215" t="n">
        <v>45656</v>
      </c>
      <c r="F13974" s="215" t="n">
        <v>45656</v>
      </c>
    </row>
    <row r="13975">
      <c r="A13975" s="215" t="n">
        <v>45657</v>
      </c>
      <c r="B13975" s="216" t="n">
        <v>4.9</v>
      </c>
      <c r="C13975" s="216" t="n">
        <v>10.36</v>
      </c>
      <c r="D13975" s="216" t="n">
        <v>1.063554048538208</v>
      </c>
      <c r="E13975" s="215" t="n">
        <v>45657</v>
      </c>
      <c r="F13975" s="215" t="n">
        <v>45657</v>
      </c>
    </row>
    <row r="13976">
      <c r="A13976" s="215" t="n">
        <v>45659</v>
      </c>
      <c r="B13976" s="216" t="n">
        <v>4.62</v>
      </c>
      <c r="C13976" s="216" t="n">
        <v>9.960000000000001</v>
      </c>
      <c r="D13976" s="216" t="n">
        <v>1.064368963241577</v>
      </c>
      <c r="E13976" s="215" t="n">
        <v>45659</v>
      </c>
      <c r="F13976" s="215" t="n">
        <v>45659</v>
      </c>
    </row>
    <row r="13977">
      <c r="A13977" s="215" t="n">
        <v>45660</v>
      </c>
      <c r="B13977" s="216" t="n">
        <v>4.53</v>
      </c>
      <c r="C13977" s="216" t="n">
        <v>9.52</v>
      </c>
      <c r="D13977" s="216" t="n">
        <v>1.065240979194641</v>
      </c>
      <c r="E13977" s="215" t="n">
        <v>45660</v>
      </c>
      <c r="F13977" s="215" t="n">
        <v>45660</v>
      </c>
    </row>
    <row r="13978">
      <c r="A13978" s="215" t="n">
        <v>45663</v>
      </c>
      <c r="B13978" s="216" t="n">
        <v>4.64</v>
      </c>
      <c r="C13978" s="216" t="n">
        <v>9.33</v>
      </c>
      <c r="D13978" s="216" t="n">
        <v>1.062374949455261</v>
      </c>
      <c r="E13978" s="215" t="n">
        <v>45663</v>
      </c>
      <c r="F13978" s="215" t="n">
        <v>45663</v>
      </c>
    </row>
    <row r="13979">
      <c r="A13979" s="215" t="n">
        <v>45664</v>
      </c>
      <c r="B13979" s="216" t="n">
        <v>4.8</v>
      </c>
      <c r="C13979" s="216" t="n">
        <v>9.74</v>
      </c>
      <c r="D13979" s="216" t="n">
        <v>1.061730027198792</v>
      </c>
      <c r="E13979" s="215" t="n">
        <v>45664</v>
      </c>
      <c r="F13979" s="215" t="n">
        <v>45664</v>
      </c>
    </row>
    <row r="13980">
      <c r="A13980" s="215" t="n">
        <v>45665</v>
      </c>
      <c r="B13980" s="216" t="n">
        <v>4.67</v>
      </c>
      <c r="C13980" s="216" t="n">
        <v>9.720000000000001</v>
      </c>
      <c r="D13980" s="216" t="n">
        <v>1.061154961585999</v>
      </c>
      <c r="E13980" s="215" t="n">
        <v>45665</v>
      </c>
      <c r="F13980" s="215" t="n">
        <v>45665</v>
      </c>
    </row>
    <row r="13981">
      <c r="A13981" s="215" t="n">
        <v>45666</v>
      </c>
      <c r="B13981" s="216" t="n">
        <v>4.7</v>
      </c>
      <c r="C13981" s="216" t="n">
        <v>9.77</v>
      </c>
      <c r="D13981" s="216" t="n">
        <v>1.061004042625427</v>
      </c>
      <c r="E13981" s="215" t="n">
        <v>45666</v>
      </c>
      <c r="F13981" s="215" t="n">
        <v>45666</v>
      </c>
    </row>
    <row r="13982">
      <c r="A13982" s="215" t="n">
        <v>45667</v>
      </c>
      <c r="B13982" s="216" t="n">
        <v>4.49</v>
      </c>
      <c r="C13982" s="216" t="n">
        <v>9.35</v>
      </c>
      <c r="D13982" s="216" t="n">
        <v>1.061197996139526</v>
      </c>
      <c r="E13982" s="215" t="n">
        <v>45667</v>
      </c>
      <c r="F13982" s="215" t="n">
        <v>45667</v>
      </c>
    </row>
    <row r="13983">
      <c r="A13983" s="215" t="n">
        <v>45670</v>
      </c>
      <c r="B13983" s="216" t="n">
        <v>4.71</v>
      </c>
      <c r="C13983" s="216" t="n">
        <v>9.51</v>
      </c>
      <c r="D13983" s="216" t="n">
        <v>1.061838984489441</v>
      </c>
      <c r="E13983" s="215" t="n">
        <v>45670</v>
      </c>
      <c r="F13983" s="215" t="n">
        <v>45670</v>
      </c>
    </row>
    <row r="13984">
      <c r="A13984" s="215" t="n">
        <v>45671</v>
      </c>
      <c r="B13984" s="216" t="n">
        <v>4.9</v>
      </c>
      <c r="C13984" s="216" t="n">
        <v>10.06</v>
      </c>
      <c r="D13984" s="216" t="n">
        <v>1.061681032180786</v>
      </c>
      <c r="E13984" s="215" t="n">
        <v>45671</v>
      </c>
      <c r="F13984" s="215" t="n">
        <v>45671</v>
      </c>
    </row>
    <row r="13985">
      <c r="A13985" s="215" t="n">
        <v>45672</v>
      </c>
      <c r="B13985" s="216" t="n">
        <v>4.95</v>
      </c>
      <c r="C13985" s="216" t="n">
        <v>10.01</v>
      </c>
      <c r="D13985" s="216" t="n">
        <v>1.062003970146179</v>
      </c>
      <c r="E13985" s="215" t="n">
        <v>45672</v>
      </c>
      <c r="F13985" s="215" t="n">
        <v>45672</v>
      </c>
    </row>
    <row r="13986">
      <c r="A13986" s="215" t="n">
        <v>45673</v>
      </c>
      <c r="B13986" s="216" t="n">
        <v>4.97</v>
      </c>
      <c r="C13986" s="216" t="n">
        <v>10.03</v>
      </c>
      <c r="D13986" s="216" t="n">
        <v>1.061879992485046</v>
      </c>
      <c r="E13986" s="215" t="n">
        <v>45673</v>
      </c>
      <c r="F13986" s="215" t="n">
        <v>45673</v>
      </c>
    </row>
    <row r="13987">
      <c r="A13987" s="215" t="n">
        <v>45674</v>
      </c>
      <c r="B13987" s="216" t="n">
        <v>4.89</v>
      </c>
      <c r="C13987" s="216" t="n">
        <v>10</v>
      </c>
      <c r="D13987" s="216" t="n">
        <v>1.06210196018219</v>
      </c>
      <c r="E13987" s="215" t="n">
        <v>45674</v>
      </c>
      <c r="F13987" s="215" t="n">
        <v>45674</v>
      </c>
    </row>
    <row r="13988">
      <c r="A13988" s="215" t="n">
        <v>45677</v>
      </c>
      <c r="B13988" s="216" t="n">
        <v>4.8</v>
      </c>
      <c r="C13988" s="216" t="n">
        <v>10.11</v>
      </c>
      <c r="D13988" s="216" t="n">
        <v>1.062587022781372</v>
      </c>
      <c r="E13988" s="215" t="n">
        <v>45677</v>
      </c>
      <c r="F13988" s="215" t="n">
        <v>45677</v>
      </c>
    </row>
    <row r="13989">
      <c r="A13989" s="215" t="n">
        <v>45678</v>
      </c>
      <c r="B13989" s="216" t="n">
        <v>4.67</v>
      </c>
      <c r="C13989" s="216" t="n">
        <v>9.99</v>
      </c>
      <c r="D13989" s="216" t="n">
        <v>1.063603043556213</v>
      </c>
      <c r="E13989" s="215" t="n">
        <v>45678</v>
      </c>
      <c r="F13989" s="215" t="n">
        <v>45678</v>
      </c>
    </row>
    <row r="13990">
      <c r="A13990" s="215" t="n">
        <v>45679</v>
      </c>
      <c r="B13990" s="216" t="n">
        <v>4.6</v>
      </c>
      <c r="C13990" s="216" t="n">
        <v>9.94</v>
      </c>
      <c r="D13990" s="216" t="n">
        <v>1.070593953132629</v>
      </c>
      <c r="E13990" s="215" t="n">
        <v>45679</v>
      </c>
      <c r="F13990" s="215" t="n">
        <v>45679</v>
      </c>
    </row>
    <row r="13991">
      <c r="A13991" s="215" t="n">
        <v>45680</v>
      </c>
      <c r="B13991" s="216" t="n">
        <v>4.6</v>
      </c>
      <c r="C13991" s="216" t="n">
        <v>10.14</v>
      </c>
      <c r="D13991" s="216" t="n">
        <v>1.070641040802002</v>
      </c>
      <c r="E13991" s="215" t="n">
        <v>45680</v>
      </c>
      <c r="F13991" s="215" t="n">
        <v>45680</v>
      </c>
    </row>
    <row r="13992">
      <c r="A13992" s="215" t="n">
        <v>45681</v>
      </c>
      <c r="B13992" s="216" t="n">
        <v>4.68</v>
      </c>
      <c r="C13992" s="216" t="n">
        <v>10.11</v>
      </c>
      <c r="D13992" s="216" t="n">
        <v>1.068833947181702</v>
      </c>
      <c r="E13992" s="215" t="n">
        <v>45681</v>
      </c>
      <c r="F13992" s="215" t="n">
        <v>45681</v>
      </c>
    </row>
    <row r="13993">
      <c r="A13993" s="215" t="n">
        <v>45684</v>
      </c>
      <c r="B13993" s="216" t="n">
        <v>4.65</v>
      </c>
      <c r="C13993" s="216" t="n">
        <v>9.789999999999999</v>
      </c>
      <c r="D13993" s="216" t="n">
        <v>1.075027942657471</v>
      </c>
      <c r="E13993" s="215" t="n">
        <v>45684</v>
      </c>
      <c r="F13993" s="215" t="n">
        <v>45684</v>
      </c>
    </row>
    <row r="13994">
      <c r="A13994" s="215" t="n">
        <v>45685</v>
      </c>
      <c r="B13994" s="216" t="n">
        <v>4.65</v>
      </c>
      <c r="C13994" s="216" t="n">
        <v>9.789999999999999</v>
      </c>
      <c r="D13994" s="216" t="n">
        <v>1.074183940887451</v>
      </c>
      <c r="E13994" s="215" t="n">
        <v>45684</v>
      </c>
      <c r="F13994" s="215" t="n">
        <v>45685</v>
      </c>
    </row>
    <row r="13995">
      <c r="A13995" s="215" t="n">
        <v>45691</v>
      </c>
      <c r="B13995" s="216" t="n">
        <v>4.54</v>
      </c>
      <c r="C13995" s="216" t="n">
        <v>9.789999999999999</v>
      </c>
      <c r="D13995" s="216" t="n">
        <v>1.084506034851074</v>
      </c>
      <c r="E13995" s="215" t="n">
        <v>45684</v>
      </c>
      <c r="F13995" s="215" t="n">
        <v>45691</v>
      </c>
    </row>
    <row r="13996">
      <c r="A13996" s="215" t="n">
        <v>45692</v>
      </c>
      <c r="B13996" s="216" t="n">
        <v>4.54</v>
      </c>
      <c r="C13996" s="216" t="n">
        <v>9.789999999999999</v>
      </c>
      <c r="D13996" s="216" t="n">
        <v>1.082739949226379</v>
      </c>
      <c r="E13996" s="215" t="n">
        <v>45684</v>
      </c>
      <c r="F13996" s="215" t="n">
        <v>45692</v>
      </c>
    </row>
    <row r="13997">
      <c r="A13997" s="215" t="n">
        <v>45693</v>
      </c>
      <c r="B13997" s="216" t="n">
        <v>4.57</v>
      </c>
      <c r="C13997" s="216" t="n">
        <v>9.91</v>
      </c>
      <c r="D13997" s="216" t="n">
        <v>1.083930015563965</v>
      </c>
      <c r="E13997" s="215" t="n">
        <v>45693</v>
      </c>
      <c r="F13997" s="215" t="n">
        <v>45693</v>
      </c>
    </row>
    <row r="13998">
      <c r="A13998" s="215" t="n">
        <v>45694</v>
      </c>
      <c r="B13998" s="216" t="n">
        <v>4.73</v>
      </c>
      <c r="C13998" s="216" t="n">
        <v>10.17</v>
      </c>
      <c r="D13998" s="216" t="n">
        <v>1.070767045021057</v>
      </c>
      <c r="E13998" s="215" t="n">
        <v>45694</v>
      </c>
      <c r="F13998" s="215" t="n">
        <v>45694</v>
      </c>
    </row>
    <row r="13999">
      <c r="A13999" s="215" t="n">
        <v>45695</v>
      </c>
      <c r="B13999" s="216" t="n">
        <v>4.78</v>
      </c>
      <c r="C13999" s="216" t="n">
        <v>10.25</v>
      </c>
      <c r="D13999" s="216" t="n">
        <v>1.068161010742188</v>
      </c>
      <c r="E13999" s="215" t="n">
        <v>45695</v>
      </c>
      <c r="F13999" s="215" t="n">
        <v>45695</v>
      </c>
    </row>
    <row r="14000">
      <c r="A14000" s="215" t="n">
        <v>45698</v>
      </c>
      <c r="B14000" s="216" t="n">
        <v>4.69</v>
      </c>
      <c r="C14000" s="216" t="n">
        <v>10.34</v>
      </c>
      <c r="D14000" s="216" t="n">
        <v>1.068833947181702</v>
      </c>
      <c r="E14000" s="215" t="n">
        <v>45698</v>
      </c>
      <c r="F14000" s="215" t="n">
        <v>45698</v>
      </c>
    </row>
    <row r="14001">
      <c r="A14001" s="215" t="n">
        <v>45699</v>
      </c>
      <c r="B14001" s="216" t="n">
        <v>4.5</v>
      </c>
      <c r="C14001" s="216" t="n">
        <v>10.12</v>
      </c>
      <c r="D14001" s="216" t="n">
        <v>1.066220045089722</v>
      </c>
      <c r="E14001" s="215" t="n">
        <v>45699</v>
      </c>
      <c r="F14001" s="215" t="n">
        <v>45699</v>
      </c>
    </row>
    <row r="14002">
      <c r="A14002" s="215" t="n">
        <v>45700</v>
      </c>
      <c r="B14002" s="216" t="n">
        <v>4.67</v>
      </c>
      <c r="C14002" s="216" t="n">
        <v>10.29</v>
      </c>
      <c r="D14002" s="216" t="n">
        <v>1.066164970397949</v>
      </c>
      <c r="E14002" s="215" t="n">
        <v>45700</v>
      </c>
      <c r="F14002" s="215" t="n">
        <v>45700</v>
      </c>
    </row>
    <row r="14003">
      <c r="A14003" s="215" t="n">
        <v>45701</v>
      </c>
      <c r="B14003" s="216" t="n">
        <v>4.57</v>
      </c>
      <c r="C14003" s="216" t="n">
        <v>10.3</v>
      </c>
      <c r="D14003" s="216" t="n">
        <v>1.065642952919006</v>
      </c>
      <c r="E14003" s="215" t="n">
        <v>45701</v>
      </c>
      <c r="F14003" s="215" t="n">
        <v>45701</v>
      </c>
    </row>
    <row r="14004">
      <c r="A14004" s="215" t="n">
        <v>45702</v>
      </c>
      <c r="B14004" s="216" t="n">
        <v>4.64</v>
      </c>
      <c r="C14004" s="216" t="n">
        <v>10.22</v>
      </c>
      <c r="D14004" s="216" t="n">
        <v>1.068236947059631</v>
      </c>
      <c r="E14004" s="215" t="n">
        <v>45702</v>
      </c>
      <c r="F14004" s="215" t="n">
        <v>45702</v>
      </c>
    </row>
    <row r="14005">
      <c r="A14005" s="215" t="n">
        <v>45705</v>
      </c>
      <c r="B14005" s="216" t="n">
        <v>4.54</v>
      </c>
      <c r="C14005" s="216" t="n">
        <v>10.13</v>
      </c>
      <c r="D14005" s="216" t="n">
        <v>1.072839021682739</v>
      </c>
      <c r="E14005" s="215" t="n">
        <v>45705</v>
      </c>
      <c r="F14005" s="215" t="n">
        <v>45705</v>
      </c>
    </row>
    <row r="14006">
      <c r="A14006" s="215" t="n">
        <v>45706</v>
      </c>
      <c r="B14006" s="216" t="n">
        <v>5.94</v>
      </c>
      <c r="C14006" s="216" t="n">
        <v>11.14</v>
      </c>
      <c r="D14006" s="216" t="n">
        <v>1.072520971298218</v>
      </c>
      <c r="E14006" s="215" t="n">
        <v>45706</v>
      </c>
      <c r="F14006" s="215" t="n">
        <v>45706</v>
      </c>
    </row>
    <row r="14007">
      <c r="A14007" s="215" t="n">
        <v>45707</v>
      </c>
      <c r="B14007" s="216" t="n">
        <v>5.74</v>
      </c>
      <c r="C14007" s="216" t="n">
        <v>12.14</v>
      </c>
      <c r="D14007" s="216" t="n">
        <v>1.067935943603516</v>
      </c>
      <c r="E14007" s="215" t="n">
        <v>45707</v>
      </c>
      <c r="F14007" s="215" t="n">
        <v>45707</v>
      </c>
    </row>
    <row r="14008">
      <c r="A14008" s="215" t="n">
        <v>45708</v>
      </c>
      <c r="B14008" s="216" t="n">
        <v>5.45</v>
      </c>
      <c r="C14008" s="216" t="n">
        <v>11.78</v>
      </c>
      <c r="D14008" s="216" t="n">
        <v>1.067798972129822</v>
      </c>
      <c r="E14008" s="215" t="n">
        <v>45708</v>
      </c>
      <c r="F14008" s="215" t="n">
        <v>45708</v>
      </c>
    </row>
    <row r="14009">
      <c r="A14009" s="215" t="n">
        <v>45709</v>
      </c>
      <c r="B14009" s="216" t="n">
        <v>5.67</v>
      </c>
      <c r="C14009" s="216" t="n">
        <v>11.89</v>
      </c>
      <c r="D14009" s="216" t="n">
        <v>1.071557998657227</v>
      </c>
      <c r="E14009" s="215" t="n">
        <v>45709</v>
      </c>
      <c r="F14009" s="215" t="n">
        <v>45709</v>
      </c>
    </row>
    <row r="14010">
      <c r="A14010" s="215" t="n">
        <v>45712</v>
      </c>
      <c r="B14010" s="216" t="n">
        <v>5.58</v>
      </c>
      <c r="C14010" s="216" t="n">
        <v>11.82</v>
      </c>
      <c r="D14010" s="216" t="n">
        <v>1.071457982063293</v>
      </c>
      <c r="E14010" s="215" t="n">
        <v>45712</v>
      </c>
      <c r="F14010" s="215" t="n">
        <v>45712</v>
      </c>
    </row>
    <row r="14011">
      <c r="A14011" s="215" t="n">
        <v>45713</v>
      </c>
      <c r="B14011" s="216" t="n">
        <v>6.02</v>
      </c>
      <c r="C14011" s="216" t="n">
        <v>11.9</v>
      </c>
      <c r="D14011" s="216" t="n">
        <v>1.072481989860535</v>
      </c>
      <c r="E14011" s="215" t="n">
        <v>45713</v>
      </c>
      <c r="F14011" s="215" t="n">
        <v>45713</v>
      </c>
    </row>
    <row r="14012">
      <c r="A14012" s="215" t="n">
        <v>45714</v>
      </c>
      <c r="B14012" s="216" t="n">
        <v>5.99</v>
      </c>
      <c r="C14012" s="216" t="n">
        <v>11.94</v>
      </c>
      <c r="D14012" s="216" t="n">
        <v>1.072456955909729</v>
      </c>
      <c r="E14012" s="215" t="n">
        <v>45714</v>
      </c>
      <c r="F14012" s="215" t="n">
        <v>45714</v>
      </c>
    </row>
    <row r="14013">
      <c r="A14013" s="215" t="n">
        <v>45715</v>
      </c>
      <c r="B14013" s="216" t="n">
        <v>6.27</v>
      </c>
      <c r="C14013" s="216" t="n">
        <v>12.46</v>
      </c>
      <c r="D14013" s="216" t="n">
        <v>1.070572972297668</v>
      </c>
      <c r="E14013" s="215" t="n">
        <v>45715</v>
      </c>
      <c r="F14013" s="215" t="n">
        <v>45715</v>
      </c>
    </row>
    <row r="14014">
      <c r="A14014" s="215" t="n">
        <v>45716</v>
      </c>
      <c r="B14014" s="216" t="n">
        <v>6.7</v>
      </c>
      <c r="C14014" s="216" t="n">
        <v>12.71</v>
      </c>
      <c r="D14014" s="216" t="n">
        <v>1.067088961601257</v>
      </c>
      <c r="E14014" s="215" t="n">
        <v>45716</v>
      </c>
      <c r="F14014" s="215" t="n">
        <v>45716</v>
      </c>
    </row>
    <row r="14015">
      <c r="A14015" s="215" t="n">
        <v>45719</v>
      </c>
      <c r="B14015" s="216" t="n">
        <v>7.13</v>
      </c>
      <c r="C14015" s="216" t="n">
        <v>13.48</v>
      </c>
      <c r="D14015" s="216" t="n">
        <v>1.06771194934845</v>
      </c>
      <c r="E14015" s="215" t="n">
        <v>45719</v>
      </c>
      <c r="F14015" s="215" t="n">
        <v>45719</v>
      </c>
    </row>
    <row r="14016">
      <c r="A14016" s="215" t="n">
        <v>45720</v>
      </c>
      <c r="B14016" s="216" t="n">
        <v>6.16</v>
      </c>
      <c r="C14016" s="216" t="n">
        <v>12.13</v>
      </c>
      <c r="D14016" s="216" t="n">
        <v>1.067291021347046</v>
      </c>
      <c r="E14016" s="215" t="n">
        <v>45720</v>
      </c>
      <c r="F14016" s="215" t="n">
        <v>45720</v>
      </c>
    </row>
    <row r="14017">
      <c r="A14017" s="215" t="n">
        <v>45721</v>
      </c>
      <c r="B14017" s="216" t="n">
        <v>6.26</v>
      </c>
      <c r="C14017" s="216" t="n">
        <v>12.14</v>
      </c>
      <c r="D14017" s="216" t="n">
        <v>1.069700956344604</v>
      </c>
      <c r="E14017" s="215" t="n">
        <v>45721</v>
      </c>
      <c r="F14017" s="215" t="n">
        <v>45721</v>
      </c>
    </row>
    <row r="14018">
      <c r="A14018" s="215" t="n">
        <v>45722</v>
      </c>
      <c r="B14018" s="216" t="n">
        <v>6.48</v>
      </c>
      <c r="C14018" s="216" t="n">
        <v>12.5</v>
      </c>
      <c r="D14018" s="216" t="n">
        <v>1.071586012840271</v>
      </c>
      <c r="E14018" s="215" t="n">
        <v>45722</v>
      </c>
      <c r="F14018" s="215" t="n">
        <v>45722</v>
      </c>
    </row>
    <row r="14019">
      <c r="A14019" s="215" t="n">
        <v>45723</v>
      </c>
      <c r="B14019" s="216" t="n">
        <v>6.11</v>
      </c>
      <c r="C14019" s="216" t="n">
        <v>12</v>
      </c>
      <c r="D14019" s="216" t="n">
        <v>1.071760058403015</v>
      </c>
      <c r="E14019" s="215" t="n">
        <v>45723</v>
      </c>
      <c r="F14019" s="215" t="n">
        <v>45723</v>
      </c>
    </row>
    <row r="14020">
      <c r="A14020" s="215" t="n">
        <v>45726</v>
      </c>
      <c r="B14020" s="216" t="n">
        <v>5.99</v>
      </c>
      <c r="C14020" s="216" t="n">
        <v>12.06</v>
      </c>
      <c r="D14020" s="216" t="n">
        <v>1.074237942695618</v>
      </c>
      <c r="E14020" s="215" t="n">
        <v>45726</v>
      </c>
      <c r="F14020" s="215" t="n">
        <v>45726</v>
      </c>
    </row>
    <row r="14021">
      <c r="A14021" s="215" t="n">
        <v>45727</v>
      </c>
      <c r="B14021" s="216" t="n">
        <v>6.05</v>
      </c>
      <c r="C14021" s="216" t="n">
        <v>11.79</v>
      </c>
      <c r="D14021" s="216" t="n">
        <v>1.069882988929749</v>
      </c>
      <c r="E14021" s="215" t="n">
        <v>45727</v>
      </c>
      <c r="F14021" s="215" t="n">
        <v>45727</v>
      </c>
    </row>
    <row r="14022">
      <c r="A14022" s="215" t="n">
        <v>45728</v>
      </c>
      <c r="B14022" s="216" t="n">
        <v>5.91</v>
      </c>
      <c r="C14022" s="216" t="n">
        <v>11.83</v>
      </c>
      <c r="D14022" s="216" t="n">
        <v>1.070067048072815</v>
      </c>
      <c r="E14022" s="215" t="n">
        <v>45728</v>
      </c>
      <c r="F14022" s="215" t="n">
        <v>45728</v>
      </c>
    </row>
    <row r="14023">
      <c r="A14023" s="215" t="n">
        <v>45729</v>
      </c>
      <c r="B14023" s="216" t="n">
        <v>5.77</v>
      </c>
      <c r="C14023" s="216" t="n">
        <v>11.67</v>
      </c>
      <c r="D14023" s="216" t="n">
        <v>1.07337498664856</v>
      </c>
      <c r="E14023" s="215" t="n">
        <v>45729</v>
      </c>
      <c r="F14023" s="215" t="n">
        <v>45729</v>
      </c>
    </row>
    <row r="14024">
      <c r="A14024" s="215" t="n">
        <v>45730</v>
      </c>
      <c r="B14024" s="216" t="n">
        <v>5.79</v>
      </c>
      <c r="C14024" s="216" t="n">
        <v>11.83</v>
      </c>
      <c r="D14024" s="216" t="n">
        <v>1.073752999305725</v>
      </c>
      <c r="E14024" s="215" t="n">
        <v>45730</v>
      </c>
      <c r="F14024" s="215" t="n">
        <v>45730</v>
      </c>
    </row>
    <row r="14025">
      <c r="A14025" s="215" t="n">
        <v>45733</v>
      </c>
      <c r="B14025" s="216" t="n">
        <v>5.85</v>
      </c>
      <c r="C14025" s="216" t="n">
        <v>11.84</v>
      </c>
      <c r="D14025" s="216" t="n">
        <v>1.073765993118286</v>
      </c>
      <c r="E14025" s="215" t="n">
        <v>45733</v>
      </c>
      <c r="F14025" s="215" t="n">
        <v>45733</v>
      </c>
    </row>
    <row r="14026">
      <c r="A14026" s="215" t="n">
        <v>45734</v>
      </c>
      <c r="B14026" s="216" t="n">
        <v>6.04</v>
      </c>
      <c r="C14026" s="216" t="n">
        <v>12.01</v>
      </c>
      <c r="D14026" s="216" t="n">
        <v>1.073990941047668</v>
      </c>
      <c r="E14026" s="215" t="n">
        <v>45734</v>
      </c>
      <c r="F14026" s="215" t="n">
        <v>45734</v>
      </c>
    </row>
    <row r="14027">
      <c r="A14027" s="215" t="n">
        <v>45735</v>
      </c>
      <c r="B14027" s="216" t="n">
        <v>5.91</v>
      </c>
      <c r="C14027" s="216" t="n">
        <v>11.71</v>
      </c>
      <c r="D14027" s="216" t="n">
        <v>1.074807047843933</v>
      </c>
      <c r="E14027" s="215" t="n">
        <v>45735</v>
      </c>
      <c r="F14027" s="215" t="n">
        <v>45735</v>
      </c>
    </row>
    <row r="14028">
      <c r="A14028" s="215" t="n">
        <v>45736</v>
      </c>
      <c r="B14028" s="216" t="n">
        <v>5.72</v>
      </c>
      <c r="C14028" s="216" t="n">
        <v>11.59</v>
      </c>
      <c r="D14028" s="216" t="n">
        <v>1.074540019035339</v>
      </c>
      <c r="E14028" s="215" t="n">
        <v>45736</v>
      </c>
      <c r="F14028" s="215" t="n">
        <v>45736</v>
      </c>
    </row>
    <row r="14029">
      <c r="A14029" s="215" t="n">
        <v>45737</v>
      </c>
      <c r="B14029" s="216" t="n">
        <v>5.51</v>
      </c>
      <c r="C14029" s="216" t="n">
        <v>11.35</v>
      </c>
      <c r="D14029" s="216" t="n">
        <v>1.072183012962341</v>
      </c>
      <c r="E14029" s="215" t="n">
        <v>45737</v>
      </c>
      <c r="F14029" s="215" t="n">
        <v>45737</v>
      </c>
    </row>
    <row r="14030">
      <c r="A14030" s="215" t="n">
        <v>45740</v>
      </c>
      <c r="B14030" s="216" t="n">
        <v>5.46</v>
      </c>
      <c r="C14030" s="216" t="n">
        <v>11.26</v>
      </c>
      <c r="D14030" s="216" t="n">
        <v>1.072136998176575</v>
      </c>
      <c r="E14030" s="215" t="n">
        <v>45740</v>
      </c>
      <c r="F14030" s="215" t="n">
        <v>45740</v>
      </c>
    </row>
    <row r="14031">
      <c r="A14031" s="215" t="n">
        <v>45741</v>
      </c>
      <c r="B14031" s="216" t="n">
        <v>5.6</v>
      </c>
      <c r="C14031" s="216" t="n">
        <v>11.42</v>
      </c>
      <c r="D14031" s="216" t="n">
        <v>1.071681976318359</v>
      </c>
      <c r="E14031" s="215" t="n">
        <v>45741</v>
      </c>
      <c r="F14031" s="215" t="n">
        <v>45741</v>
      </c>
    </row>
    <row r="14032">
      <c r="A14032" s="215" t="n">
        <v>45742</v>
      </c>
      <c r="B14032" s="216" t="n">
        <v>5.5</v>
      </c>
      <c r="C14032" s="216" t="n">
        <v>11.37</v>
      </c>
      <c r="D14032" s="216" t="n">
        <v>1.071272969245911</v>
      </c>
      <c r="E14032" s="215" t="n">
        <v>45742</v>
      </c>
      <c r="F14032" s="215" t="n">
        <v>45742</v>
      </c>
    </row>
    <row r="14033">
      <c r="A14033" s="215" t="n">
        <v>45743</v>
      </c>
      <c r="B14033" s="216" t="n">
        <v>5.34</v>
      </c>
      <c r="C14033" s="216" t="n">
        <v>11.2</v>
      </c>
      <c r="D14033" s="216" t="n">
        <v>1.071310043334961</v>
      </c>
      <c r="E14033" s="215" t="n">
        <v>45743</v>
      </c>
      <c r="F14033" s="215" t="n">
        <v>45743</v>
      </c>
    </row>
    <row r="14034">
      <c r="A14034" s="215" t="n">
        <v>45744</v>
      </c>
      <c r="B14034" s="216" t="n">
        <v>5.11</v>
      </c>
      <c r="C14034" s="216" t="n">
        <v>10.96</v>
      </c>
      <c r="D14034" s="216" t="n">
        <v>1.03395402431488</v>
      </c>
      <c r="E14034" s="215" t="n">
        <v>45744</v>
      </c>
      <c r="F14034" s="215" t="n">
        <v>45744</v>
      </c>
    </row>
    <row r="14035">
      <c r="A14035" s="215" t="n">
        <v>45747</v>
      </c>
      <c r="B14035" s="216" t="n">
        <v>4.87</v>
      </c>
      <c r="C14035" s="216" t="n">
        <v>10.71</v>
      </c>
      <c r="D14035" s="216" t="n">
        <v>1.070834994316101</v>
      </c>
      <c r="E14035" s="215" t="n">
        <v>45747</v>
      </c>
      <c r="F14035" s="215" t="n">
        <v>45747</v>
      </c>
    </row>
    <row r="14036">
      <c r="A14036" s="215" t="n">
        <v>45748</v>
      </c>
      <c r="B14036" s="216" t="n">
        <v>4.86</v>
      </c>
      <c r="C14036" s="216" t="n">
        <v>10.76</v>
      </c>
      <c r="D14036" s="216" t="n">
        <v>1.071635007858276</v>
      </c>
      <c r="E14036" s="215" t="n">
        <v>45748</v>
      </c>
      <c r="F14036" s="215" t="n">
        <v>45748</v>
      </c>
    </row>
    <row r="14037">
      <c r="A14037" s="215" t="n">
        <v>45749</v>
      </c>
      <c r="B14037" s="216" t="n">
        <v>4.95</v>
      </c>
      <c r="C14037" s="216" t="n">
        <v>10.78</v>
      </c>
      <c r="D14037" s="216" t="n">
        <v>1.070148944854736</v>
      </c>
      <c r="E14037" s="215" t="n">
        <v>45749</v>
      </c>
      <c r="F14037" s="215" t="n">
        <v>45749</v>
      </c>
    </row>
    <row r="14038">
      <c r="A14038" s="215" t="n">
        <v>45750</v>
      </c>
      <c r="B14038" s="216" t="n">
        <v>4.85</v>
      </c>
      <c r="C14038" s="216" t="n">
        <v>10.56</v>
      </c>
      <c r="D14038" s="216" t="n">
        <v>1.070878982543945</v>
      </c>
      <c r="E14038" s="215" t="n">
        <v>45750</v>
      </c>
      <c r="F14038" s="215" t="n">
        <v>45750</v>
      </c>
    </row>
    <row r="14039">
      <c r="A14039" s="215" t="n">
        <v>45754</v>
      </c>
      <c r="B14039" s="216" t="n">
        <v>3.94</v>
      </c>
      <c r="C14039" s="216" t="n">
        <v>9.5</v>
      </c>
      <c r="D14039" s="216" t="n">
        <v>1.067106008529663</v>
      </c>
      <c r="E14039" s="215" t="n">
        <v>45754</v>
      </c>
      <c r="F14039" s="215" t="n">
        <v>45754</v>
      </c>
    </row>
    <row r="14040">
      <c r="A14040" s="215" t="n">
        <v>45755</v>
      </c>
      <c r="B14040" s="216" t="n">
        <v>4.07</v>
      </c>
      <c r="C14040" s="216" t="n">
        <v>8.94</v>
      </c>
      <c r="D14040" s="216" t="n">
        <v>1.062885046005249</v>
      </c>
      <c r="E14040" s="215" t="n">
        <v>45755</v>
      </c>
      <c r="F14040" s="215" t="n">
        <v>45755</v>
      </c>
    </row>
    <row r="14041">
      <c r="A14041" s="215" t="n">
        <v>45756</v>
      </c>
      <c r="B14041" s="216" t="n">
        <v>4.26</v>
      </c>
      <c r="C14041" s="216" t="n">
        <v>9.1</v>
      </c>
      <c r="D14041" s="216" t="n">
        <v>1.058482050895691</v>
      </c>
      <c r="E14041" s="215" t="n">
        <v>45756</v>
      </c>
      <c r="F14041" s="215" t="n">
        <v>45756</v>
      </c>
    </row>
    <row r="14042">
      <c r="A14042" s="215" t="n">
        <v>45757</v>
      </c>
      <c r="B14042" s="216" t="n">
        <v>4.52</v>
      </c>
      <c r="C14042" s="216" t="n">
        <v>9.34</v>
      </c>
      <c r="D14042" s="216" t="n">
        <v>1.055835008621216</v>
      </c>
      <c r="E14042" s="215" t="n">
        <v>45757</v>
      </c>
      <c r="F14042" s="215" t="n">
        <v>45757</v>
      </c>
    </row>
    <row r="14043">
      <c r="A14043" s="215" t="n">
        <v>45758</v>
      </c>
      <c r="B14043" s="216" t="n">
        <v>4.63</v>
      </c>
      <c r="C14043" s="216" t="n">
        <v>9.470000000000001</v>
      </c>
      <c r="D14043" s="216" t="n">
        <v>1.060536980628967</v>
      </c>
      <c r="E14043" s="215" t="n">
        <v>45758</v>
      </c>
      <c r="F14043" s="215" t="n">
        <v>45758</v>
      </c>
    </row>
    <row r="14044">
      <c r="A14044" s="215" t="n">
        <v>45761</v>
      </c>
      <c r="B14044" s="216" t="n">
        <v>4.79</v>
      </c>
      <c r="C14044" s="216" t="n">
        <v>9.67</v>
      </c>
      <c r="D14044" s="216" t="n">
        <v>1.063439965248108</v>
      </c>
      <c r="E14044" s="215" t="n">
        <v>45761</v>
      </c>
      <c r="F14044" s="215" t="n">
        <v>45761</v>
      </c>
    </row>
    <row r="14045">
      <c r="A14045" s="215" t="n">
        <v>45762</v>
      </c>
      <c r="B14045" s="216" t="n">
        <v>5</v>
      </c>
      <c r="C14045" s="216" t="n">
        <v>9.74</v>
      </c>
      <c r="D14045" s="216" t="n">
        <v>1.06060004234314</v>
      </c>
      <c r="E14045" s="215" t="n">
        <v>45762</v>
      </c>
      <c r="F14045" s="215" t="n">
        <v>45762</v>
      </c>
    </row>
    <row r="14046">
      <c r="A14046" s="215" t="n">
        <v>45763</v>
      </c>
      <c r="B14046" s="216" t="n">
        <v>4.75</v>
      </c>
      <c r="C14046" s="216" t="n">
        <v>9.529999999999999</v>
      </c>
      <c r="D14046" s="216" t="n">
        <v>1.06060004234314</v>
      </c>
      <c r="E14046" s="215" t="n">
        <v>45763</v>
      </c>
      <c r="F14046" s="215" t="n">
        <v>45763</v>
      </c>
    </row>
    <row r="14047">
      <c r="A14047" s="215" t="n">
        <v>45764</v>
      </c>
      <c r="B14047" s="216" t="n">
        <v>4.7</v>
      </c>
      <c r="C14047" s="216" t="n">
        <v>9.49</v>
      </c>
      <c r="D14047" s="216" t="n">
        <v>1.06060004234314</v>
      </c>
      <c r="E14047" s="215" t="n">
        <v>45764</v>
      </c>
      <c r="F14047" s="215" t="n">
        <v>45764</v>
      </c>
    </row>
    <row r="14048">
      <c r="A14048" s="215" t="n">
        <v>45769</v>
      </c>
      <c r="B14048" s="216" t="n">
        <v>4.78</v>
      </c>
      <c r="C14048" s="216" t="n">
        <v>9.67</v>
      </c>
      <c r="D14048" s="216" t="n">
        <v>1.06060004234314</v>
      </c>
      <c r="E14048" s="215" t="n">
        <v>45769</v>
      </c>
      <c r="F14048" s="215" t="n">
        <v>45769</v>
      </c>
    </row>
    <row r="14049">
      <c r="A14049" s="215" t="n">
        <v>45770</v>
      </c>
      <c r="B14049" s="216" t="n">
        <v>4.88</v>
      </c>
      <c r="C14049" s="216" t="n">
        <v>9.74</v>
      </c>
      <c r="D14049" s="216" t="n">
        <v>1.06060004234314</v>
      </c>
      <c r="E14049" s="215" t="n">
        <v>45770</v>
      </c>
      <c r="F14049" s="215" t="n">
        <v>45770</v>
      </c>
    </row>
    <row r="14050">
      <c r="A14050" s="215" t="n">
        <v>45771</v>
      </c>
      <c r="B14050" s="216" t="n">
        <v>4.76</v>
      </c>
      <c r="C14050" s="216" t="n">
        <v>9.619999999999999</v>
      </c>
      <c r="D14050" s="216" t="n">
        <v>1.06060004234314</v>
      </c>
      <c r="E14050" s="215" t="n">
        <v>45771</v>
      </c>
      <c r="F14050" s="215" t="n">
        <v>45771</v>
      </c>
    </row>
    <row r="14051">
      <c r="A14051" s="215" t="n">
        <v>45772</v>
      </c>
      <c r="B14051" s="216" t="n">
        <v>4.67</v>
      </c>
      <c r="C14051" s="216" t="n">
        <v>9.6</v>
      </c>
      <c r="D14051" s="216" t="n">
        <v>1.061900019645691</v>
      </c>
      <c r="E14051" s="215" t="n">
        <v>45772</v>
      </c>
      <c r="F14051" s="215" t="n">
        <v>45772</v>
      </c>
    </row>
    <row r="14052">
      <c r="A14052" s="215" t="n">
        <v>45775</v>
      </c>
      <c r="B14052" s="216" t="n">
        <v>4.56</v>
      </c>
      <c r="C14052" s="216" t="n">
        <v>9.42</v>
      </c>
      <c r="D14052" s="216" t="n">
        <v>1.064350962638855</v>
      </c>
      <c r="E14052" s="215" t="n">
        <v>45775</v>
      </c>
      <c r="F14052" s="215" t="n">
        <v>45775</v>
      </c>
    </row>
    <row r="14053">
      <c r="A14053" s="215" t="n">
        <v>45776</v>
      </c>
      <c r="B14053" s="216" t="n">
        <v>4.57</v>
      </c>
      <c r="C14053" s="216" t="n">
        <v>9.48</v>
      </c>
      <c r="D14053" s="216" t="n">
        <v>1.063179969787598</v>
      </c>
      <c r="E14053" s="215" t="n">
        <v>45776</v>
      </c>
      <c r="F14053" s="215" t="n">
        <v>45776</v>
      </c>
    </row>
    <row r="14054">
      <c r="A14054" s="215" t="n">
        <v>45777</v>
      </c>
      <c r="B14054" s="216" t="n">
        <v>4.69</v>
      </c>
      <c r="C14054" s="216" t="n">
        <v>9.74</v>
      </c>
      <c r="D14054" s="216" t="n">
        <v>1.067217946052551</v>
      </c>
      <c r="E14054" s="215" t="n">
        <v>45777</v>
      </c>
      <c r="F14054" s="215" t="n">
        <v>45777</v>
      </c>
    </row>
    <row r="14055">
      <c r="A14055" s="215" t="n">
        <v>45779</v>
      </c>
      <c r="B14055" s="216" t="n">
        <v>4.72</v>
      </c>
      <c r="C14055" s="216" t="n">
        <v>9.74</v>
      </c>
      <c r="D14055" s="216" t="n">
        <v>1.066810965538025</v>
      </c>
      <c r="E14055" s="215" t="n">
        <v>45777</v>
      </c>
      <c r="F14055" s="215" t="n">
        <v>45779</v>
      </c>
    </row>
    <row r="14056">
      <c r="A14056" s="215" t="n">
        <v>45783</v>
      </c>
      <c r="B14056" s="216" t="n">
        <v>5.08</v>
      </c>
      <c r="C14056" s="216" t="n">
        <v>10.1</v>
      </c>
      <c r="D14056" s="216" t="n">
        <v>1.065811991691589</v>
      </c>
      <c r="E14056" s="215" t="n">
        <v>45783</v>
      </c>
      <c r="F14056" s="215" t="n">
        <v>45783</v>
      </c>
    </row>
    <row r="14057">
      <c r="A14057" s="215" t="n">
        <v>45784</v>
      </c>
      <c r="B14057" s="216" t="n">
        <v>5.09</v>
      </c>
      <c r="C14057" s="216" t="n">
        <v>10.15</v>
      </c>
      <c r="D14057" s="216" t="n">
        <v>1.073848009109497</v>
      </c>
      <c r="E14057" s="215" t="n">
        <v>45784</v>
      </c>
      <c r="F14057" s="215" t="n">
        <v>45784</v>
      </c>
    </row>
    <row r="14058">
      <c r="A14058" s="215" t="n">
        <v>45785</v>
      </c>
      <c r="B14058" s="216" t="n">
        <v>5.19</v>
      </c>
      <c r="C14058" s="216" t="n">
        <v>10.28</v>
      </c>
      <c r="D14058" s="216" t="n">
        <v>1.07387101650238</v>
      </c>
      <c r="E14058" s="215" t="n">
        <v>45785</v>
      </c>
      <c r="F14058" s="215" t="n">
        <v>45785</v>
      </c>
    </row>
    <row r="14059">
      <c r="A14059" s="215" t="n">
        <v>45786</v>
      </c>
      <c r="B14059" s="216" t="n">
        <v>5.17</v>
      </c>
      <c r="C14059" s="216" t="n">
        <v>10.18</v>
      </c>
      <c r="D14059" s="216" t="n">
        <v>1.076066970825195</v>
      </c>
      <c r="E14059" s="215" t="n">
        <v>45786</v>
      </c>
      <c r="F14059" s="215" t="n">
        <v>45786</v>
      </c>
    </row>
    <row r="14060">
      <c r="A14060" s="215" t="n">
        <v>45789</v>
      </c>
      <c r="B14060" s="216" t="n">
        <v>7.31</v>
      </c>
      <c r="C14060" s="216" t="n">
        <v>11.2</v>
      </c>
      <c r="D14060" s="216" t="n">
        <v>1.074246048927307</v>
      </c>
      <c r="E14060" s="215" t="n">
        <v>45789</v>
      </c>
      <c r="F14060" s="215" t="n">
        <v>45789</v>
      </c>
    </row>
    <row r="14061">
      <c r="A14061" s="215" t="n">
        <v>45790</v>
      </c>
      <c r="B14061" s="216" t="n">
        <v>6.46</v>
      </c>
      <c r="C14061" s="216" t="n">
        <v>11.66</v>
      </c>
      <c r="D14061" s="216" t="n">
        <v>1.081536054611206</v>
      </c>
      <c r="E14061" s="215" t="n">
        <v>45790</v>
      </c>
      <c r="F14061" s="215" t="n">
        <v>45790</v>
      </c>
    </row>
    <row r="14062">
      <c r="A14062" s="215" t="n">
        <v>45791</v>
      </c>
      <c r="B14062" s="216" t="n">
        <v>6.82</v>
      </c>
      <c r="C14062" s="216" t="n">
        <v>12.23</v>
      </c>
      <c r="D14062" s="216" t="n">
        <v>1.081884980201721</v>
      </c>
      <c r="E14062" s="215" t="n">
        <v>45791</v>
      </c>
      <c r="F14062" s="215" t="n">
        <v>45791</v>
      </c>
    </row>
    <row r="14063">
      <c r="A14063" s="215" t="n">
        <v>45792</v>
      </c>
      <c r="B14063" s="216" t="n">
        <v>6.56</v>
      </c>
      <c r="C14063" s="216" t="n">
        <v>11.47</v>
      </c>
      <c r="D14063" s="216" t="n">
        <v>1.082641005516052</v>
      </c>
      <c r="E14063" s="215" t="n">
        <v>45792</v>
      </c>
      <c r="F14063" s="215" t="n">
        <v>45792</v>
      </c>
    </row>
    <row r="14064">
      <c r="A14064" s="215" t="n">
        <v>45793</v>
      </c>
      <c r="B14064" s="216" t="n">
        <v>6.11</v>
      </c>
      <c r="C14064" s="216" t="n">
        <v>11.21</v>
      </c>
      <c r="D14064" s="216" t="n">
        <v>1.082918047904968</v>
      </c>
      <c r="E14064" s="215" t="n">
        <v>45793</v>
      </c>
      <c r="F14064" s="215" t="n">
        <v>45793</v>
      </c>
    </row>
    <row r="14065">
      <c r="A14065" s="215" t="n">
        <v>45796</v>
      </c>
      <c r="B14065" s="216" t="n">
        <v>6.08</v>
      </c>
      <c r="C14065" s="216" t="n">
        <v>11.08</v>
      </c>
      <c r="D14065" s="216" t="n">
        <v>1.083842992782593</v>
      </c>
      <c r="E14065" s="215" t="n">
        <v>45796</v>
      </c>
      <c r="F14065" s="215" t="n">
        <v>45796</v>
      </c>
    </row>
    <row r="14066">
      <c r="A14066" s="215" t="n">
        <v>45797</v>
      </c>
      <c r="B14066" s="216" t="n">
        <v>5.99</v>
      </c>
      <c r="C14066" s="216" t="n">
        <v>11.12</v>
      </c>
      <c r="D14066" s="216" t="n">
        <v>1.08473801612854</v>
      </c>
      <c r="E14066" s="215" t="n">
        <v>45797</v>
      </c>
      <c r="F14066" s="215" t="n">
        <v>45797</v>
      </c>
    </row>
    <row r="14067">
      <c r="A14067" s="215" t="n">
        <v>45798</v>
      </c>
      <c r="B14067" s="216" t="n">
        <v>6.72</v>
      </c>
      <c r="C14067" s="216" t="n">
        <v>12.23</v>
      </c>
      <c r="D14067" s="216" t="n">
        <v>1.084200024604797</v>
      </c>
      <c r="E14067" s="215" t="n">
        <v>45798</v>
      </c>
      <c r="F14067" s="215" t="n">
        <v>45798</v>
      </c>
    </row>
    <row r="14068">
      <c r="A14068" s="215" t="n">
        <v>45799</v>
      </c>
      <c r="B14068" s="216" t="n">
        <v>6.33</v>
      </c>
      <c r="C14068" s="216" t="n">
        <v>11.74</v>
      </c>
      <c r="D14068" s="216" t="n">
        <v>1.086825013160706</v>
      </c>
      <c r="E14068" s="215" t="n">
        <v>45799</v>
      </c>
      <c r="F14068" s="215" t="n">
        <v>45799</v>
      </c>
    </row>
    <row r="14069">
      <c r="A14069" s="215" t="n">
        <v>45800</v>
      </c>
      <c r="B14069" s="216" t="n">
        <v>6.43</v>
      </c>
      <c r="C14069" s="216" t="n">
        <v>12.32</v>
      </c>
      <c r="D14069" s="216" t="n">
        <v>1.086493015289307</v>
      </c>
      <c r="E14069" s="215" t="n">
        <v>45800</v>
      </c>
      <c r="F14069" s="215" t="n">
        <v>45800</v>
      </c>
    </row>
    <row r="14070">
      <c r="A14070" s="215" t="n">
        <v>45803</v>
      </c>
      <c r="B14070" s="216" t="n">
        <v>6.21</v>
      </c>
      <c r="C14070" s="216" t="n">
        <v>12.3</v>
      </c>
      <c r="D14070" s="216" t="n">
        <v>1.08673095703125</v>
      </c>
      <c r="E14070" s="215" t="n">
        <v>45803</v>
      </c>
      <c r="F14070" s="215" t="n">
        <v>45803</v>
      </c>
    </row>
    <row r="14071">
      <c r="A14071" s="215" t="n">
        <v>45804</v>
      </c>
      <c r="B14071" s="216" t="n">
        <v>6.24</v>
      </c>
      <c r="C14071" s="216" t="n">
        <v>12.54</v>
      </c>
      <c r="D14071" s="216" t="n">
        <v>1.087713956832886</v>
      </c>
      <c r="E14071" s="215" t="n">
        <v>45804</v>
      </c>
      <c r="F14071" s="215" t="n">
        <v>45804</v>
      </c>
    </row>
    <row r="14072">
      <c r="A14072" s="215" t="n">
        <v>45805</v>
      </c>
      <c r="B14072" s="216" t="n">
        <v>6.02</v>
      </c>
      <c r="C14072" s="216" t="n">
        <v>11.87</v>
      </c>
      <c r="D14072" s="216" t="n">
        <v>1.087921977043152</v>
      </c>
      <c r="E14072" s="215" t="n">
        <v>45805</v>
      </c>
      <c r="F14072" s="215" t="n">
        <v>45805</v>
      </c>
    </row>
    <row r="14073">
      <c r="A14073" s="215" t="n">
        <v>45806</v>
      </c>
      <c r="B14073" s="216" t="n">
        <v>6</v>
      </c>
      <c r="C14073" s="216" t="n">
        <v>11.6</v>
      </c>
      <c r="D14073" s="216" t="n">
        <v>1.087334990501404</v>
      </c>
      <c r="E14073" s="215" t="n">
        <v>45806</v>
      </c>
      <c r="F14073" s="215" t="n">
        <v>45806</v>
      </c>
    </row>
    <row r="14074">
      <c r="A14074" s="215" t="n">
        <v>45807</v>
      </c>
      <c r="B14074" s="216" t="n">
        <v>5.89</v>
      </c>
      <c r="C14074" s="216" t="n">
        <v>11.51</v>
      </c>
      <c r="D14074" s="216" t="n">
        <v>1.088281989097595</v>
      </c>
      <c r="E14074" s="215" t="n">
        <v>45807</v>
      </c>
      <c r="F14074" s="215" t="n">
        <v>45807</v>
      </c>
    </row>
    <row r="14075">
      <c r="A14075" s="215" t="n">
        <v>45810</v>
      </c>
      <c r="B14075" s="216" t="n">
        <v>5.77</v>
      </c>
      <c r="C14075" s="216" t="n">
        <v>11.51</v>
      </c>
      <c r="D14075" s="216" t="n">
        <v>1.088839054107666</v>
      </c>
      <c r="E14075" s="215" t="n">
        <v>45807</v>
      </c>
      <c r="F14075" s="215" t="n">
        <v>45810</v>
      </c>
    </row>
    <row r="14076">
      <c r="A14076" s="215" t="n">
        <v>45811</v>
      </c>
      <c r="B14076" s="216" t="n">
        <v>6.41</v>
      </c>
      <c r="C14076" s="216" t="n">
        <v>12.66</v>
      </c>
      <c r="D14076" s="216" t="n">
        <v>1.098875999450684</v>
      </c>
      <c r="E14076" s="215" t="n">
        <v>45811</v>
      </c>
      <c r="F14076" s="215" t="n">
        <v>45811</v>
      </c>
    </row>
    <row r="14077">
      <c r="A14077" s="215" t="n">
        <v>45812</v>
      </c>
      <c r="B14077" s="216" t="n">
        <v>6.59</v>
      </c>
      <c r="C14077" s="216" t="n">
        <v>13.93</v>
      </c>
      <c r="D14077" s="216" t="n">
        <v>1.092406988143921</v>
      </c>
      <c r="E14077" s="215" t="n">
        <v>45812</v>
      </c>
      <c r="F14077" s="215" t="n">
        <v>45812</v>
      </c>
    </row>
    <row r="14078">
      <c r="A14078" s="215" t="n">
        <v>45813</v>
      </c>
      <c r="B14078" s="216" t="n">
        <v>6.26</v>
      </c>
      <c r="C14078" s="216" t="n">
        <v>13.23</v>
      </c>
      <c r="D14078" s="216" t="n">
        <v>1.095829010009766</v>
      </c>
      <c r="E14078" s="215" t="n">
        <v>45813</v>
      </c>
      <c r="F14078" s="215" t="n">
        <v>45813</v>
      </c>
    </row>
    <row r="14079">
      <c r="A14079" s="215" t="n">
        <v>45814</v>
      </c>
      <c r="B14079" s="216" t="n">
        <v>6.38</v>
      </c>
      <c r="C14079" s="216" t="n">
        <v>13.73</v>
      </c>
      <c r="D14079" s="216" t="n">
        <v>1.093296051025391</v>
      </c>
      <c r="E14079" s="215" t="n">
        <v>45814</v>
      </c>
      <c r="F14079" s="215" t="n">
        <v>45814</v>
      </c>
    </row>
    <row r="14080">
      <c r="A14080" s="215" t="n">
        <v>45817</v>
      </c>
      <c r="B14080" s="216" t="n">
        <v>6.49</v>
      </c>
      <c r="C14080" s="216" t="n">
        <v>13.94</v>
      </c>
      <c r="D14080" s="216" t="n">
        <v>1.091297030448914</v>
      </c>
      <c r="E14080" s="215" t="n">
        <v>45817</v>
      </c>
      <c r="F14080" s="215" t="n">
        <v>45817</v>
      </c>
    </row>
    <row r="14081">
      <c r="A14081" s="215" t="n">
        <v>45818</v>
      </c>
      <c r="B14081" s="216" t="n">
        <v>6.91</v>
      </c>
      <c r="C14081" s="216" t="n">
        <v>15.33</v>
      </c>
      <c r="D14081" s="216" t="n">
        <v>1.092790007591248</v>
      </c>
      <c r="E14081" s="215" t="n">
        <v>45818</v>
      </c>
      <c r="F14081" s="215" t="n">
        <v>45818</v>
      </c>
    </row>
    <row r="14082">
      <c r="A14082" s="215" t="n">
        <v>45819</v>
      </c>
      <c r="B14082" s="216" t="n">
        <v>6.72</v>
      </c>
      <c r="C14082" s="216" t="n">
        <v>14.74</v>
      </c>
      <c r="D14082" s="216" t="n">
        <v>1.092836976051331</v>
      </c>
      <c r="E14082" s="215" t="n">
        <v>45819</v>
      </c>
      <c r="F14082" s="215" t="n">
        <v>45819</v>
      </c>
    </row>
    <row r="14083">
      <c r="A14083" s="215" t="n">
        <v>45820</v>
      </c>
      <c r="B14083" s="216" t="n">
        <v>6.49</v>
      </c>
      <c r="C14083" s="216" t="n">
        <v>14.12</v>
      </c>
      <c r="D14083" s="216" t="n">
        <v>1.090999960899353</v>
      </c>
      <c r="E14083" s="215" t="n">
        <v>45820</v>
      </c>
      <c r="F14083" s="215" t="n">
        <v>45820</v>
      </c>
    </row>
    <row r="14084">
      <c r="A14084" s="215" t="n">
        <v>45821</v>
      </c>
      <c r="B14084" s="216" t="n">
        <v>6.17</v>
      </c>
      <c r="C14084" s="216" t="n">
        <v>14.2</v>
      </c>
      <c r="D14084" s="216" t="n">
        <v>1.091084957122803</v>
      </c>
      <c r="E14084" s="215" t="n">
        <v>45821</v>
      </c>
      <c r="F14084" s="215" t="n">
        <v>45821</v>
      </c>
    </row>
    <row r="14085">
      <c r="A14085" s="215" t="n">
        <v>45824</v>
      </c>
      <c r="B14085" s="216" t="n">
        <v>6.3</v>
      </c>
      <c r="C14085" s="216" t="n">
        <v>14.41</v>
      </c>
      <c r="D14085" s="216" t="n">
        <v>1.092895984649658</v>
      </c>
      <c r="E14085" s="215" t="n">
        <v>45824</v>
      </c>
      <c r="F14085" s="215" t="n">
        <v>45824</v>
      </c>
    </row>
    <row r="14086">
      <c r="A14086" s="215" t="n">
        <v>45825</v>
      </c>
      <c r="B14086" s="216" t="n">
        <v>6.5</v>
      </c>
      <c r="C14086" s="216" t="n">
        <v>15.05</v>
      </c>
      <c r="D14086" s="216" t="n">
        <v>1.093256950378418</v>
      </c>
      <c r="E14086" s="215" t="n">
        <v>45825</v>
      </c>
      <c r="F14086" s="215" t="n">
        <v>45825</v>
      </c>
    </row>
    <row r="14087">
      <c r="A14087" s="215" t="n">
        <v>45826</v>
      </c>
      <c r="B14087" s="216" t="n">
        <v>6.37</v>
      </c>
      <c r="C14087" s="216" t="n">
        <v>14.44</v>
      </c>
      <c r="D14087" s="216" t="n">
        <v>1.092421054840088</v>
      </c>
      <c r="E14087" s="215" t="n">
        <v>45826</v>
      </c>
      <c r="F14087" s="215" t="n">
        <v>45826</v>
      </c>
    </row>
    <row r="14088">
      <c r="A14088" s="215" t="n">
        <v>45827</v>
      </c>
      <c r="B14088" s="216" t="n">
        <v>6.39</v>
      </c>
      <c r="C14088" s="216" t="n">
        <v>14.48</v>
      </c>
      <c r="D14088" s="216" t="n">
        <v>1.091722011566162</v>
      </c>
      <c r="E14088" s="215" t="n">
        <v>45827</v>
      </c>
      <c r="F14088" s="215" t="n">
        <v>45827</v>
      </c>
    </row>
    <row r="14089">
      <c r="A14089" s="215" t="n">
        <v>45828</v>
      </c>
      <c r="B14089" s="216" t="n">
        <v>5.92</v>
      </c>
      <c r="C14089" s="216" t="n">
        <v>13.05</v>
      </c>
      <c r="D14089" s="216" t="n">
        <v>1.091766953468323</v>
      </c>
      <c r="E14089" s="215" t="n">
        <v>45828</v>
      </c>
      <c r="F14089" s="215" t="n">
        <v>45828</v>
      </c>
    </row>
    <row r="14090">
      <c r="A14090" s="215" t="n">
        <v>45831</v>
      </c>
      <c r="B14090" s="216" t="n">
        <v>6.05</v>
      </c>
      <c r="C14090" s="216" t="n">
        <v>13.42</v>
      </c>
      <c r="D14090" s="216" t="n">
        <v>1.091856002807617</v>
      </c>
      <c r="E14090" s="215" t="n">
        <v>45831</v>
      </c>
      <c r="F14090" s="215" t="n">
        <v>45831</v>
      </c>
    </row>
    <row r="14091">
      <c r="A14091" s="215" t="n">
        <v>45832</v>
      </c>
      <c r="B14091" s="216" t="n">
        <v>6.86</v>
      </c>
      <c r="C14091" s="216" t="n">
        <v>14.76</v>
      </c>
      <c r="D14091" s="216" t="n">
        <v>1.093309044837952</v>
      </c>
      <c r="E14091" s="215" t="n">
        <v>45832</v>
      </c>
      <c r="F14091" s="215" t="n">
        <v>45832</v>
      </c>
    </row>
    <row r="14092">
      <c r="A14092" s="215" t="n">
        <v>45833</v>
      </c>
      <c r="B14092" s="216" t="n">
        <v>7.17</v>
      </c>
      <c r="C14092" s="216" t="n">
        <v>16.24</v>
      </c>
      <c r="D14092" s="216" t="n">
        <v>1.094483971595764</v>
      </c>
      <c r="E14092" s="215" t="n">
        <v>45833</v>
      </c>
      <c r="F14092" s="215" t="n">
        <v>45833</v>
      </c>
    </row>
    <row r="14093">
      <c r="A14093" s="215" t="n">
        <v>45834</v>
      </c>
      <c r="B14093" s="216" t="n">
        <v>6.61</v>
      </c>
      <c r="C14093" s="216" t="n">
        <v>15.73</v>
      </c>
      <c r="D14093" s="216" t="n">
        <v>1.093523025512695</v>
      </c>
      <c r="E14093" s="215" t="n">
        <v>45834</v>
      </c>
      <c r="F14093" s="215" t="n">
        <v>45834</v>
      </c>
    </row>
    <row r="14094">
      <c r="A14094" s="215" t="n">
        <v>45835</v>
      </c>
      <c r="B14094" s="216" t="n">
        <v>6.67</v>
      </c>
      <c r="C14094" s="216" t="n">
        <v>15.59</v>
      </c>
      <c r="D14094" s="216" t="n">
        <v>1.095173001289368</v>
      </c>
      <c r="E14094" s="215" t="n">
        <v>45835</v>
      </c>
      <c r="F14094" s="215" t="n">
        <v>45835</v>
      </c>
    </row>
    <row r="14095">
      <c r="A14095" s="215" t="n">
        <v>45838</v>
      </c>
      <c r="B14095" s="216" t="n">
        <v>6.72</v>
      </c>
      <c r="C14095" s="216" t="n">
        <v>15.99</v>
      </c>
      <c r="D14095" s="216" t="n">
        <v>1.094328045845032</v>
      </c>
      <c r="E14095" s="215" t="n">
        <v>45838</v>
      </c>
      <c r="F14095" s="215" t="n">
        <v>45838</v>
      </c>
    </row>
    <row r="14096">
      <c r="A14096" s="215" t="n">
        <v>45840</v>
      </c>
      <c r="B14096" s="216" t="n">
        <v>6.7</v>
      </c>
      <c r="C14096" s="216" t="n">
        <v>15.37</v>
      </c>
      <c r="D14096" s="216" t="n">
        <v>1.095211982727051</v>
      </c>
      <c r="E14096" s="215" t="n">
        <v>45840</v>
      </c>
      <c r="F14096" s="215" t="n">
        <v>45840</v>
      </c>
    </row>
    <row r="14097">
      <c r="A14097" s="215" t="n">
        <v>45841</v>
      </c>
      <c r="B14097" s="216" t="n">
        <v>6.81</v>
      </c>
      <c r="C14097" s="216" t="n">
        <v>15.53</v>
      </c>
      <c r="D14097" s="216" t="n">
        <v>1.095422029495239</v>
      </c>
      <c r="E14097" s="215" t="n">
        <v>45841</v>
      </c>
      <c r="F14097" s="215" t="n">
        <v>45841</v>
      </c>
    </row>
    <row r="14098">
      <c r="A14098" s="215" t="n">
        <v>45842</v>
      </c>
      <c r="B14098" s="216" t="n">
        <v>6.51</v>
      </c>
      <c r="C14098" s="216" t="n">
        <v>14.82</v>
      </c>
      <c r="D14098" s="216" t="n">
        <v>1.095221042633057</v>
      </c>
      <c r="E14098" s="215" t="n">
        <v>45842</v>
      </c>
      <c r="F14098" s="215" t="n">
        <v>45842</v>
      </c>
    </row>
    <row r="14099">
      <c r="A14099" s="215" t="n">
        <v>45845</v>
      </c>
      <c r="B14099" s="216" t="n">
        <v>6.51</v>
      </c>
      <c r="C14099" s="216" t="n">
        <v>14.98</v>
      </c>
      <c r="D14099" s="216" t="n">
        <v>1.095430970191956</v>
      </c>
      <c r="E14099" s="215" t="n">
        <v>45845</v>
      </c>
      <c r="F14099" s="215" t="n">
        <v>45845</v>
      </c>
    </row>
    <row r="14100">
      <c r="A14100" s="215" t="n">
        <v>45846</v>
      </c>
      <c r="B14100" s="216" t="n">
        <v>6.5</v>
      </c>
      <c r="C14100" s="216" t="n">
        <v>14.84</v>
      </c>
      <c r="D14100" s="216" t="n">
        <v>1.093924999237061</v>
      </c>
      <c r="E14100" s="215" t="n">
        <v>45846</v>
      </c>
      <c r="F14100" s="215" t="n">
        <v>45846</v>
      </c>
    </row>
    <row r="14101">
      <c r="A14101" s="215" t="n">
        <v>45847</v>
      </c>
      <c r="B14101" s="216" t="n">
        <v>6.47</v>
      </c>
      <c r="C14101" s="216" t="n">
        <v>14.94</v>
      </c>
      <c r="D14101" s="216" t="n">
        <v>1.094220995903015</v>
      </c>
      <c r="E14101" s="215" t="n">
        <v>45847</v>
      </c>
      <c r="F14101" s="215" t="n">
        <v>45847</v>
      </c>
    </row>
    <row r="14102">
      <c r="A14102" s="215" t="n">
        <v>45848</v>
      </c>
      <c r="B14102" s="216" t="n">
        <v>6.36</v>
      </c>
      <c r="C14102" s="216" t="n">
        <v>14.63</v>
      </c>
      <c r="D14102" s="216" t="n">
        <v>1.093220949172974</v>
      </c>
      <c r="E14102" s="215" t="n">
        <v>45848</v>
      </c>
      <c r="F14102" s="215" t="n">
        <v>45848</v>
      </c>
    </row>
    <row r="14103">
      <c r="A14103" s="215" t="n">
        <v>45849</v>
      </c>
      <c r="B14103" s="216" t="n">
        <v>6.58</v>
      </c>
      <c r="C14103" s="216" t="n">
        <v>14.74</v>
      </c>
      <c r="D14103" s="216" t="n">
        <v>1.093930959701538</v>
      </c>
      <c r="E14103" s="215" t="n">
        <v>45849</v>
      </c>
      <c r="F14103" s="215" t="n">
        <v>45849</v>
      </c>
    </row>
    <row r="14104">
      <c r="A14104" s="215" t="n">
        <v>45852</v>
      </c>
      <c r="B14104" s="216" t="n">
        <v>6.66</v>
      </c>
      <c r="C14104" s="216" t="n">
        <v>14.8</v>
      </c>
      <c r="D14104" s="216" t="n">
        <v>1.095023989677429</v>
      </c>
      <c r="E14104" s="215" t="n">
        <v>45852</v>
      </c>
      <c r="F14104" s="215" t="n">
        <v>45852</v>
      </c>
    </row>
    <row r="14105">
      <c r="A14105" s="215" t="n">
        <v>45853</v>
      </c>
      <c r="B14105" s="216" t="n">
        <v>6.4</v>
      </c>
      <c r="C14105" s="216" t="n">
        <v>13.9</v>
      </c>
      <c r="D14105" s="216" t="n">
        <v>1.095172047615051</v>
      </c>
      <c r="E14105" s="215" t="n">
        <v>45853</v>
      </c>
      <c r="F14105" s="215" t="n">
        <v>45853</v>
      </c>
    </row>
    <row r="14106">
      <c r="A14106" s="215" t="n">
        <v>45854</v>
      </c>
      <c r="B14106" s="216" t="n">
        <v>6.44</v>
      </c>
      <c r="C14106" s="216" t="n">
        <v>14.01</v>
      </c>
      <c r="D14106" s="216" t="n">
        <v>1.094182014465332</v>
      </c>
      <c r="E14106" s="215" t="n">
        <v>45854</v>
      </c>
      <c r="F14106" s="215" t="n">
        <v>45854</v>
      </c>
    </row>
    <row r="14107">
      <c r="A14107" s="215" t="n">
        <v>45855</v>
      </c>
      <c r="B14107" s="216" t="n">
        <v>6.6</v>
      </c>
      <c r="C14107" s="216" t="n">
        <v>14.24</v>
      </c>
      <c r="D14107" s="216" t="n">
        <v>1.093484044075012</v>
      </c>
      <c r="E14107" s="215" t="n">
        <v>45855</v>
      </c>
      <c r="F14107" s="215" t="n">
        <v>45855</v>
      </c>
    </row>
    <row r="14108">
      <c r="A14108" s="215" t="n">
        <v>45856</v>
      </c>
      <c r="B14108" s="216" t="n">
        <v>6.61</v>
      </c>
      <c r="C14108" s="216" t="n">
        <v>14.32</v>
      </c>
      <c r="D14108" s="216" t="n">
        <v>1.092442035675049</v>
      </c>
      <c r="E14108" s="215" t="n">
        <v>45856</v>
      </c>
      <c r="F14108" s="215" t="n">
        <v>45856</v>
      </c>
    </row>
    <row r="14109">
      <c r="A14109" s="215" t="n">
        <v>45859</v>
      </c>
      <c r="B14109" s="216" t="n">
        <v>6.62</v>
      </c>
      <c r="C14109" s="216" t="n">
        <v>14.26</v>
      </c>
      <c r="D14109" s="216" t="n">
        <v>1.093299984931946</v>
      </c>
      <c r="E14109" s="215" t="n">
        <v>45859</v>
      </c>
      <c r="F14109" s="215" t="n">
        <v>45859</v>
      </c>
    </row>
    <row r="14110">
      <c r="A14110" s="215" t="n">
        <v>45860</v>
      </c>
      <c r="B14110" s="216" t="n">
        <v>6.8</v>
      </c>
      <c r="C14110" s="216" t="n">
        <v>14.39</v>
      </c>
      <c r="D14110" s="216" t="n">
        <v>1.093826055526733</v>
      </c>
      <c r="E14110" s="215" t="n">
        <v>45860</v>
      </c>
      <c r="F14110" s="215" t="n">
        <v>45860</v>
      </c>
    </row>
    <row r="14111">
      <c r="A14111" s="215" t="n">
        <v>45861</v>
      </c>
      <c r="B14111" s="216" t="n">
        <v>6.66</v>
      </c>
      <c r="C14111" s="216" t="n">
        <v>14.07</v>
      </c>
      <c r="D14111" s="216" t="n">
        <v>1.094056010246277</v>
      </c>
      <c r="E14111" s="215" t="n">
        <v>45861</v>
      </c>
      <c r="F14111" s="215" t="n">
        <v>45861</v>
      </c>
    </row>
    <row r="14112">
      <c r="A14112" s="215" t="n">
        <v>45862</v>
      </c>
      <c r="B14112" s="216" t="n">
        <v>6.93</v>
      </c>
      <c r="C14112" s="216" t="n">
        <v>14.44</v>
      </c>
      <c r="D14112" s="216" t="n">
        <v>1.096284031867981</v>
      </c>
      <c r="E14112" s="215" t="n">
        <v>45862</v>
      </c>
      <c r="F14112" s="215" t="n">
        <v>45862</v>
      </c>
    </row>
    <row r="14113">
      <c r="A14113" s="215" t="n">
        <v>45863</v>
      </c>
      <c r="B14113" s="216" t="n">
        <v>6.96</v>
      </c>
      <c r="C14113" s="216" t="n">
        <v>14.3</v>
      </c>
      <c r="D14113" s="216" t="n">
        <v>1.097048044204712</v>
      </c>
      <c r="E14113" s="215" t="n">
        <v>45863</v>
      </c>
      <c r="F14113" s="215" t="n">
        <v>45863</v>
      </c>
    </row>
    <row r="14114">
      <c r="A14114" s="215" t="n">
        <v>45866</v>
      </c>
      <c r="B14114" s="216" t="n">
        <v>6.89</v>
      </c>
      <c r="C14114" s="216" t="n">
        <v>14.48</v>
      </c>
      <c r="D14114" s="216" t="n">
        <v>1.097200989723206</v>
      </c>
      <c r="E14114" s="215" t="n">
        <v>45866</v>
      </c>
      <c r="F14114" s="215" t="n">
        <v>45866</v>
      </c>
    </row>
    <row r="14115">
      <c r="A14115" s="215" t="n">
        <v>45867</v>
      </c>
      <c r="B14115" s="216" t="n">
        <v>6.82</v>
      </c>
      <c r="C14115" s="216" t="n">
        <v>14.39</v>
      </c>
      <c r="D14115" s="216" t="n">
        <v>1.093530058860779</v>
      </c>
      <c r="E14115" s="215" t="n">
        <v>45867</v>
      </c>
      <c r="F14115" s="215" t="n">
        <v>45867</v>
      </c>
    </row>
    <row r="14116">
      <c r="A14116" s="215" t="n">
        <v>45868</v>
      </c>
      <c r="B14116" s="216" t="n">
        <v>6.65</v>
      </c>
      <c r="C14116" s="216" t="n">
        <v>13.98</v>
      </c>
      <c r="D14116" s="216" t="n">
        <v>1.093464970588684</v>
      </c>
      <c r="E14116" s="215" t="n">
        <v>45868</v>
      </c>
      <c r="F14116" s="215" t="n">
        <v>45868</v>
      </c>
    </row>
    <row r="14117">
      <c r="A14117" s="215" t="n">
        <v>45869</v>
      </c>
      <c r="B14117" s="216" t="n">
        <v>6.6</v>
      </c>
      <c r="C14117" s="216" t="n">
        <v>13.94</v>
      </c>
      <c r="D14117" s="216" t="n">
        <v>1.093583941459656</v>
      </c>
      <c r="E14117" s="215" t="n">
        <v>45869</v>
      </c>
      <c r="F14117" s="215" t="n">
        <v>45869</v>
      </c>
    </row>
    <row r="14118">
      <c r="A14118" s="215" t="n">
        <v>45870</v>
      </c>
      <c r="B14118" s="216" t="n">
        <v>6.65</v>
      </c>
      <c r="C14118" s="216" t="n">
        <v>13.86</v>
      </c>
      <c r="D14118" s="216" t="n">
        <v>1.090090990066528</v>
      </c>
      <c r="E14118" s="215" t="n">
        <v>45870</v>
      </c>
      <c r="F14118" s="215" t="n">
        <v>45870</v>
      </c>
    </row>
    <row r="14119">
      <c r="A14119" s="215" t="n">
        <v>45873</v>
      </c>
      <c r="B14119" s="216" t="n">
        <v>6.9</v>
      </c>
      <c r="C14119" s="216" t="n">
        <v>14.1</v>
      </c>
      <c r="D14119" s="216" t="n">
        <v>1.088384985923767</v>
      </c>
      <c r="E14119" s="215" t="n">
        <v>45873</v>
      </c>
      <c r="F14119" s="215" t="n">
        <v>45873</v>
      </c>
    </row>
    <row r="14120">
      <c r="A14120" s="215" t="n">
        <v>45874</v>
      </c>
      <c r="B14120" s="216" t="n">
        <v>7.03</v>
      </c>
      <c r="C14120" s="216" t="n">
        <v>14.17</v>
      </c>
      <c r="D14120" s="216" t="n">
        <v>1.093202948570251</v>
      </c>
      <c r="E14120" s="215" t="n">
        <v>45874</v>
      </c>
      <c r="F14120" s="215" t="n">
        <v>45874</v>
      </c>
    </row>
    <row r="14121">
      <c r="A14121" s="215" t="n">
        <v>45875</v>
      </c>
      <c r="B14121" s="216" t="n">
        <v>7.09</v>
      </c>
      <c r="C14121" s="216" t="n">
        <v>14.4</v>
      </c>
      <c r="D14121" s="216" t="n">
        <v>1.092388987541199</v>
      </c>
      <c r="E14121" s="215" t="n">
        <v>45875</v>
      </c>
      <c r="F14121" s="215" t="n">
        <v>45875</v>
      </c>
    </row>
    <row r="14122">
      <c r="A14122" s="215" t="n">
        <v>45876</v>
      </c>
      <c r="B14122" s="216" t="n">
        <v>7.2</v>
      </c>
      <c r="C14122" s="216" t="n">
        <v>14.2</v>
      </c>
      <c r="D14122" s="216" t="n">
        <v>1.092599034309387</v>
      </c>
      <c r="E14122" s="215" t="n">
        <v>45876</v>
      </c>
      <c r="F14122" s="215" t="n">
        <v>45876</v>
      </c>
    </row>
    <row r="14123">
      <c r="A14123" s="215" t="n">
        <v>45877</v>
      </c>
      <c r="B14123" s="216" t="n">
        <v>7.18</v>
      </c>
      <c r="C14123" s="216" t="n">
        <v>14.31</v>
      </c>
      <c r="D14123" s="216" t="n">
        <v>1.092857956886292</v>
      </c>
      <c r="E14123" s="215" t="n">
        <v>45877</v>
      </c>
      <c r="F14123" s="215" t="n">
        <v>45877</v>
      </c>
    </row>
    <row r="14124">
      <c r="A14124" s="215" t="n">
        <v>45880</v>
      </c>
      <c r="B14124" s="216" t="n">
        <v>8.529999999999999</v>
      </c>
      <c r="C14124" s="216" t="n">
        <v>15.24</v>
      </c>
      <c r="D14124" s="216" t="n">
        <v>1.093001961708069</v>
      </c>
      <c r="E14124" s="215" t="n">
        <v>45880</v>
      </c>
      <c r="F14124" s="215" t="n">
        <v>45880</v>
      </c>
    </row>
    <row r="14125">
      <c r="A14125" s="215" t="n">
        <v>45881</v>
      </c>
      <c r="B14125" s="216" t="n">
        <v>8.33</v>
      </c>
      <c r="C14125" s="216" t="n">
        <v>15.1</v>
      </c>
      <c r="D14125" s="216" t="n">
        <v>1.091938018798828</v>
      </c>
      <c r="E14125" s="215" t="n">
        <v>45881</v>
      </c>
      <c r="F14125" s="215" t="n">
        <v>45881</v>
      </c>
    </row>
    <row r="14126">
      <c r="A14126" s="215" t="n">
        <v>45882</v>
      </c>
      <c r="B14126" s="216" t="n">
        <v>8.35</v>
      </c>
      <c r="C14126" s="216" t="n">
        <v>14.94</v>
      </c>
      <c r="D14126" s="216" t="n">
        <v>1.093171000480652</v>
      </c>
      <c r="E14126" s="215" t="n">
        <v>45882</v>
      </c>
      <c r="F14126" s="215" t="n">
        <v>45882</v>
      </c>
    </row>
    <row r="14127">
      <c r="A14127" s="215" t="n">
        <v>45883</v>
      </c>
      <c r="B14127" s="216" t="n">
        <v>8.369999999999999</v>
      </c>
      <c r="C14127" s="216" t="n">
        <v>14.59</v>
      </c>
      <c r="D14127" s="216" t="n">
        <v>1.093981027603149</v>
      </c>
      <c r="E14127" s="215" t="n">
        <v>45883</v>
      </c>
      <c r="F14127" s="215" t="n">
        <v>45883</v>
      </c>
    </row>
    <row r="14128">
      <c r="A14128" s="215" t="n">
        <v>45884</v>
      </c>
      <c r="B14128" s="216" t="n">
        <v>8.85</v>
      </c>
      <c r="C14128" s="216" t="n">
        <v>14.85</v>
      </c>
      <c r="D14128" s="216" t="n">
        <v>1.091035962104797</v>
      </c>
      <c r="E14128" s="215" t="n">
        <v>45884</v>
      </c>
      <c r="F14128" s="215" t="n">
        <v>45884</v>
      </c>
    </row>
    <row r="14129">
      <c r="A14129" s="215" t="n">
        <v>45887</v>
      </c>
      <c r="B14129" s="216" t="n">
        <v>8.93</v>
      </c>
      <c r="C14129" s="216" t="n">
        <v>15.09</v>
      </c>
      <c r="D14129" s="216" t="n">
        <v>1.089409947395325</v>
      </c>
      <c r="E14129" s="215" t="n">
        <v>45887</v>
      </c>
      <c r="F14129" s="215" t="n">
        <v>45887</v>
      </c>
    </row>
    <row r="14130">
      <c r="A14130" s="215" t="n">
        <v>45888</v>
      </c>
      <c r="B14130" s="216" t="n">
        <v>10.2</v>
      </c>
      <c r="C14130" s="216" t="n">
        <v>15.44</v>
      </c>
      <c r="D14130" s="216" t="n">
        <v>1.088366031646729</v>
      </c>
      <c r="E14130" s="215" t="n">
        <v>45888</v>
      </c>
      <c r="F14130" s="215" t="n">
        <v>45888</v>
      </c>
    </row>
    <row r="14131">
      <c r="A14131" s="215" t="n">
        <v>45889</v>
      </c>
      <c r="B14131" s="216" t="n">
        <v>9.6</v>
      </c>
      <c r="C14131" s="216" t="n">
        <v>15.13</v>
      </c>
      <c r="D14131" s="216" t="n">
        <v>1.085826992988586</v>
      </c>
      <c r="E14131" s="215" t="n">
        <v>45889</v>
      </c>
      <c r="F14131" s="215" t="n">
        <v>45889</v>
      </c>
    </row>
    <row r="14132">
      <c r="A14132" s="215" t="n">
        <v>45890</v>
      </c>
      <c r="B14132" s="216" t="n">
        <v>9.199999999999999</v>
      </c>
      <c r="C14132" s="216" t="n">
        <v>14.6</v>
      </c>
      <c r="D14132" s="216" t="n">
        <v>1.088521003723145</v>
      </c>
      <c r="E14132" s="215" t="n">
        <v>45890</v>
      </c>
      <c r="F14132" s="215" t="n">
        <v>45890</v>
      </c>
    </row>
    <row r="14133">
      <c r="A14133" s="215" t="n">
        <v>45891</v>
      </c>
      <c r="B14133" s="216" t="n">
        <v>9.01</v>
      </c>
      <c r="C14133" s="216" t="n">
        <v>14.69</v>
      </c>
      <c r="D14133" s="216" t="n">
        <v>1.08814001083374</v>
      </c>
      <c r="E14133" s="215" t="n">
        <v>45891</v>
      </c>
      <c r="F14133" s="215" t="n">
        <v>45891</v>
      </c>
    </row>
    <row r="14134">
      <c r="A14134" s="215" t="n">
        <v>45894</v>
      </c>
      <c r="B14134" s="216" t="n">
        <v>9.699999999999999</v>
      </c>
      <c r="C14134" s="216" t="n">
        <v>14.85</v>
      </c>
      <c r="D14134" s="216" t="n">
        <v>1.090230941772461</v>
      </c>
      <c r="E14134" s="215" t="n">
        <v>45894</v>
      </c>
      <c r="F14134" s="215" t="n">
        <v>45894</v>
      </c>
    </row>
    <row r="14135">
      <c r="A14135" s="215" t="n">
        <v>45895</v>
      </c>
      <c r="B14135" s="216" t="n">
        <v>10.33</v>
      </c>
      <c r="C14135" s="216" t="n">
        <v>14.87</v>
      </c>
      <c r="D14135" s="216" t="n">
        <v>1.09236204624176</v>
      </c>
      <c r="E14135" s="215" t="n">
        <v>45895</v>
      </c>
      <c r="F14135" s="215" t="n">
        <v>45895</v>
      </c>
    </row>
    <row r="14136">
      <c r="A14136" s="215" t="n">
        <v>45896</v>
      </c>
      <c r="B14136" s="216" t="n">
        <v>10.32</v>
      </c>
      <c r="C14136" s="216" t="n">
        <v>14.37</v>
      </c>
      <c r="D14136" s="216" t="n">
        <v>1.089414000511169</v>
      </c>
      <c r="E14136" s="215" t="n">
        <v>45896</v>
      </c>
      <c r="F14136" s="215" t="n">
        <v>45896</v>
      </c>
    </row>
    <row r="14137">
      <c r="A14137" s="215" t="n">
        <v>45897</v>
      </c>
      <c r="B14137" s="216" t="n">
        <v>10.05</v>
      </c>
      <c r="C14137" s="216" t="n">
        <v>14.2</v>
      </c>
      <c r="D14137" s="216" t="n">
        <v>1.088047027587891</v>
      </c>
      <c r="E14137" s="215" t="n">
        <v>45897</v>
      </c>
      <c r="F14137" s="215" t="n">
        <v>45897</v>
      </c>
    </row>
    <row r="14138">
      <c r="A14138" s="215" t="n">
        <v>45898</v>
      </c>
      <c r="B14138" s="216" t="n">
        <v>9.84</v>
      </c>
      <c r="C14138" s="216" t="n">
        <v>14.49</v>
      </c>
      <c r="D14138" s="216" t="n">
        <v>1.089478969573975</v>
      </c>
      <c r="E14138" s="215" t="n">
        <v>45898</v>
      </c>
      <c r="F14138" s="215" t="n">
        <v>45898</v>
      </c>
    </row>
    <row r="14139">
      <c r="A14139" s="215" t="n">
        <v>45901</v>
      </c>
      <c r="B14139" s="216" t="n">
        <v>9.390000000000001</v>
      </c>
      <c r="C14139" s="216" t="n">
        <v>14.75</v>
      </c>
      <c r="D14139" s="216" t="n">
        <v>1.09319794178009</v>
      </c>
      <c r="E14139" s="215" t="n">
        <v>45901</v>
      </c>
      <c r="F14139" s="215" t="n">
        <v>45901</v>
      </c>
    </row>
    <row r="14140">
      <c r="A14140" s="215" t="n">
        <v>45902</v>
      </c>
      <c r="B14140" s="216" t="n">
        <v>9.08</v>
      </c>
      <c r="C14140" s="216" t="n">
        <v>14.6</v>
      </c>
      <c r="D14140" s="216" t="n">
        <v>1.093255043029785</v>
      </c>
      <c r="E14140" s="215" t="n">
        <v>45902</v>
      </c>
      <c r="F14140" s="215" t="n">
        <v>45902</v>
      </c>
    </row>
    <row r="14141">
      <c r="A14141" s="215" t="n">
        <v>45903</v>
      </c>
      <c r="B14141" s="216" t="n">
        <v>9.09</v>
      </c>
      <c r="C14141" s="216" t="n">
        <v>14.3</v>
      </c>
      <c r="D14141" s="216" t="n">
        <v>1.09343695640564</v>
      </c>
      <c r="E14141" s="215" t="n">
        <v>45903</v>
      </c>
      <c r="F14141" s="215" t="n">
        <v>45903</v>
      </c>
    </row>
    <row r="14142">
      <c r="A14142" s="215" t="n">
        <v>45904</v>
      </c>
      <c r="B14142" s="216" t="n">
        <v>9</v>
      </c>
      <c r="C14142" s="216" t="n">
        <v>14.25</v>
      </c>
      <c r="D14142" s="216" t="n">
        <v>1.092192053794861</v>
      </c>
      <c r="E14142" s="215" t="n">
        <v>45904</v>
      </c>
      <c r="F14142" s="215" t="n">
        <v>45904</v>
      </c>
    </row>
    <row r="14143">
      <c r="A14143" s="215" t="n">
        <v>45905</v>
      </c>
      <c r="B14143" s="216" t="n">
        <v>10.17</v>
      </c>
      <c r="C14143" s="216" t="n">
        <v>15.24</v>
      </c>
      <c r="D14143" s="216" t="n">
        <v>1.092169046401978</v>
      </c>
      <c r="E14143" s="215" t="n">
        <v>45905</v>
      </c>
      <c r="F14143" s="215" t="n">
        <v>45905</v>
      </c>
    </row>
    <row r="14144">
      <c r="A14144" s="215" t="n">
        <v>45908</v>
      </c>
      <c r="B14144" s="216" t="n">
        <v>11.03</v>
      </c>
      <c r="C14144" s="216" t="n">
        <v>15.89</v>
      </c>
      <c r="D14144" s="216" t="n">
        <v>1.093217015266418</v>
      </c>
      <c r="E14144" s="215" t="n">
        <v>45908</v>
      </c>
      <c r="F14144" s="215" t="n">
        <v>45908</v>
      </c>
    </row>
    <row r="14145">
      <c r="A14145" s="215" t="n">
        <v>45909</v>
      </c>
      <c r="B14145" s="216" t="n">
        <v>10.34</v>
      </c>
      <c r="C14145" s="216" t="n">
        <v>15.68</v>
      </c>
      <c r="D14145" s="216" t="n">
        <v>1.092916965484619</v>
      </c>
      <c r="E14145" s="215" t="n">
        <v>45909</v>
      </c>
      <c r="F14145" s="215" t="n">
        <v>45909</v>
      </c>
    </row>
    <row r="14146">
      <c r="A14146" s="215" t="n">
        <v>45910</v>
      </c>
      <c r="B14146" s="216" t="n">
        <v>10.03</v>
      </c>
      <c r="C14146" s="216" t="n">
        <v>15.54</v>
      </c>
      <c r="D14146" s="216" t="n">
        <v>1.093482971191406</v>
      </c>
      <c r="E14146" s="215" t="n">
        <v>45910</v>
      </c>
      <c r="F14146" s="215" t="n">
        <v>45910</v>
      </c>
    </row>
    <row r="14147">
      <c r="A14147" s="215" t="n">
        <v>45911</v>
      </c>
      <c r="B14147" s="216" t="n">
        <v>9.880000000000001</v>
      </c>
      <c r="C14147" s="216" t="n">
        <v>15.39</v>
      </c>
      <c r="D14147" s="216" t="n">
        <v>1.093762993812561</v>
      </c>
      <c r="E14147" s="215" t="n">
        <v>45911</v>
      </c>
      <c r="F14147" s="215" t="n">
        <v>45911</v>
      </c>
    </row>
    <row r="14148">
      <c r="A14148" s="215" t="n">
        <v>45912</v>
      </c>
      <c r="B14148" s="216" t="n">
        <v>9.94</v>
      </c>
      <c r="C14148" s="216" t="n">
        <v>15.65</v>
      </c>
      <c r="D14148" s="216" t="n">
        <v>1.094014048576355</v>
      </c>
      <c r="E14148" s="215" t="n">
        <v>45912</v>
      </c>
      <c r="F14148" s="215" t="n">
        <v>45912</v>
      </c>
    </row>
    <row r="14149">
      <c r="A14149" s="215" t="n">
        <v>45915</v>
      </c>
      <c r="B14149" s="216" t="n">
        <v>10.03</v>
      </c>
      <c r="C14149" s="216" t="n">
        <v>15.52</v>
      </c>
      <c r="D14149" s="216" t="n">
        <v>1.091848969459534</v>
      </c>
      <c r="E14149" s="215" t="n">
        <v>45915</v>
      </c>
      <c r="F14149" s="215" t="n">
        <v>45915</v>
      </c>
    </row>
    <row r="14150">
      <c r="A14150" s="215" t="n">
        <v>45916</v>
      </c>
      <c r="B14150" s="216" t="n">
        <v>12.8</v>
      </c>
      <c r="C14150" s="216" t="n">
        <v>17.07</v>
      </c>
      <c r="D14150" s="216" t="n">
        <v>1.092795968055725</v>
      </c>
      <c r="E14150" s="215" t="n">
        <v>45916</v>
      </c>
      <c r="F14150" s="215" t="n">
        <v>45916</v>
      </c>
    </row>
    <row r="14151">
      <c r="A14151" s="215" t="n">
        <v>45917</v>
      </c>
      <c r="B14151" s="216" t="n">
        <v>12.19</v>
      </c>
      <c r="C14151" s="216" t="n">
        <v>17.56</v>
      </c>
      <c r="D14151" s="216" t="n">
        <v>1.093690991401672</v>
      </c>
      <c r="E14151" s="215" t="n">
        <v>45917</v>
      </c>
      <c r="F14151" s="215" t="n">
        <v>45917</v>
      </c>
    </row>
    <row r="14152">
      <c r="A14152" s="215" t="n">
        <v>45918</v>
      </c>
      <c r="B14152" s="216" t="n">
        <v>12</v>
      </c>
      <c r="C14152" s="216" t="n">
        <v>16.86</v>
      </c>
      <c r="D14152" s="216" t="n">
        <v>1.094727993011475</v>
      </c>
      <c r="E14152" s="215" t="n">
        <v>45918</v>
      </c>
      <c r="F14152" s="215" t="n">
        <v>45918</v>
      </c>
    </row>
    <row r="14153">
      <c r="A14153" s="215" t="n">
        <v>45919</v>
      </c>
      <c r="B14153" s="216" t="n">
        <v>11.71</v>
      </c>
      <c r="C14153" s="216" t="n">
        <v>16.31</v>
      </c>
      <c r="D14153" s="216" t="n">
        <v>1.093201994895935</v>
      </c>
      <c r="E14153" s="215" t="n">
        <v>45919</v>
      </c>
      <c r="F14153" s="215" t="n">
        <v>45919</v>
      </c>
    </row>
    <row r="14154">
      <c r="A14154" s="215" t="n">
        <v>45922</v>
      </c>
      <c r="B14154" s="216" t="n">
        <v>11.86</v>
      </c>
      <c r="C14154" s="216" t="n">
        <v>16.01</v>
      </c>
      <c r="D14154" s="216" t="n">
        <v>1.092589020729065</v>
      </c>
      <c r="E14154" s="215" t="n">
        <v>45922</v>
      </c>
      <c r="F14154" s="215" t="n">
        <v>45922</v>
      </c>
    </row>
    <row r="14155">
      <c r="A14155" s="215" t="n">
        <v>45923</v>
      </c>
      <c r="B14155" s="216" t="n">
        <v>11.81</v>
      </c>
      <c r="C14155" s="216" t="n">
        <v>15.77</v>
      </c>
      <c r="D14155" s="216" t="n">
        <v>1.0920250415802</v>
      </c>
      <c r="E14155" s="215" t="n">
        <v>45923</v>
      </c>
      <c r="F14155" s="215" t="n">
        <v>45923</v>
      </c>
    </row>
    <row r="14156">
      <c r="A14156" s="215" t="n">
        <v>45924</v>
      </c>
      <c r="B14156" s="216" t="n">
        <v>11.82</v>
      </c>
      <c r="C14156" s="216" t="n">
        <v>16</v>
      </c>
      <c r="D14156" s="216" t="n">
        <v>1.093196988105774</v>
      </c>
      <c r="E14156" s="215" t="n">
        <v>45924</v>
      </c>
      <c r="F14156" s="215" t="n">
        <v>45924</v>
      </c>
    </row>
    <row r="14157">
      <c r="A14157" s="215" t="n">
        <v>45925</v>
      </c>
      <c r="B14157" s="216" t="n">
        <v>11.62</v>
      </c>
      <c r="C14157" s="216" t="n">
        <v>15.97</v>
      </c>
      <c r="D14157" s="216" t="n">
        <v>1.090371012687683</v>
      </c>
      <c r="E14157" s="215" t="n">
        <v>45925</v>
      </c>
      <c r="F14157" s="215" t="n">
        <v>45925</v>
      </c>
    </row>
    <row r="14158">
      <c r="A14158" s="215" t="n">
        <v>45926</v>
      </c>
      <c r="B14158" s="216" t="n">
        <v>11.33</v>
      </c>
      <c r="C14158" s="216" t="n">
        <v>16.51</v>
      </c>
      <c r="D14158" s="216" t="n">
        <v>1.090574979782104</v>
      </c>
      <c r="E14158" s="215" t="n">
        <v>45926</v>
      </c>
      <c r="F14158" s="215" t="n">
        <v>45926</v>
      </c>
    </row>
    <row r="14159">
      <c r="A14159" s="215" t="n">
        <v>45929</v>
      </c>
      <c r="B14159" s="216" t="n">
        <v>11.83</v>
      </c>
      <c r="C14159" s="216" t="n">
        <v>16.71</v>
      </c>
      <c r="D14159" s="216" t="n">
        <v>1.090520024299622</v>
      </c>
      <c r="E14159" s="215" t="n">
        <v>45929</v>
      </c>
      <c r="F14159" s="215" t="n">
        <v>45929</v>
      </c>
    </row>
    <row r="14160">
      <c r="A14160" s="215" t="n">
        <v>45930</v>
      </c>
      <c r="B14160" s="216" t="n">
        <v>12.37</v>
      </c>
      <c r="C14160" s="216" t="n">
        <v>17.23</v>
      </c>
      <c r="D14160" s="216" t="n">
        <v>1.093106031417847</v>
      </c>
      <c r="E14160" s="215" t="n">
        <v>45930</v>
      </c>
      <c r="F14160" s="215" t="n">
        <v>45930</v>
      </c>
    </row>
    <row r="14161">
      <c r="A14161" s="215" t="n">
        <v>45932</v>
      </c>
      <c r="B14161" s="216" t="n">
        <v>13.35</v>
      </c>
      <c r="C14161" s="216" t="n">
        <v>17.23</v>
      </c>
      <c r="D14161" s="216" t="n">
        <v>1.092823028564453</v>
      </c>
      <c r="E14161" s="215" t="n">
        <v>45930</v>
      </c>
      <c r="F14161" s="215" t="n">
        <v>45932</v>
      </c>
    </row>
    <row r="14162">
      <c r="A14162" s="215" t="n">
        <v>45933</v>
      </c>
      <c r="B14162" s="216" t="n">
        <v>13.28</v>
      </c>
      <c r="C14162" s="216" t="n">
        <v>17.23</v>
      </c>
      <c r="D14162" s="216" t="n">
        <v>1.09303605556488</v>
      </c>
      <c r="E14162" s="215" t="n">
        <v>45930</v>
      </c>
      <c r="F14162" s="215" t="n">
        <v>45933</v>
      </c>
    </row>
    <row r="14163">
      <c r="A14163" s="215" t="n">
        <v>45936</v>
      </c>
      <c r="B14163" s="216" t="n">
        <v>13.11</v>
      </c>
      <c r="C14163" s="216" t="n">
        <v>17.23</v>
      </c>
      <c r="D14163" s="216" t="n">
        <v>1.092857956886292</v>
      </c>
      <c r="E14163" s="215" t="n">
        <v>45930</v>
      </c>
      <c r="F14163" s="215" t="n">
        <v>45936</v>
      </c>
    </row>
    <row r="14164">
      <c r="A14164" s="215" t="n">
        <v>45938</v>
      </c>
      <c r="B14164" s="216" t="n">
        <v>13.72</v>
      </c>
      <c r="C14164" s="216" t="n">
        <v>17.23</v>
      </c>
      <c r="D14164" s="216" t="n">
        <v>1.093148946762085</v>
      </c>
      <c r="E14164" s="215" t="n">
        <v>45930</v>
      </c>
      <c r="F14164" s="215" t="n">
        <v>45938</v>
      </c>
    </row>
    <row r="14165">
      <c r="A14165" s="215" t="n">
        <v>45939</v>
      </c>
      <c r="B14165" s="216" t="n">
        <v>12.6</v>
      </c>
      <c r="C14165" s="216" t="n">
        <v>17.21</v>
      </c>
      <c r="D14165" s="216" t="n">
        <v>1.092933058738708</v>
      </c>
      <c r="E14165" s="215" t="n">
        <v>45939</v>
      </c>
      <c r="F14165" s="215" t="n">
        <v>45939</v>
      </c>
    </row>
    <row r="14166">
      <c r="A14166" s="215" t="n">
        <v>45940</v>
      </c>
      <c r="B14166" s="216" t="n">
        <v>12.17</v>
      </c>
      <c r="C14166" s="216" t="n">
        <v>17.17</v>
      </c>
      <c r="D14166" s="216" t="n">
        <v>1.091662049293518</v>
      </c>
      <c r="E14166" s="215" t="n">
        <v>45940</v>
      </c>
      <c r="F14166" s="215" t="n">
        <v>45940</v>
      </c>
    </row>
    <row r="14167">
      <c r="A14167" s="215" t="n">
        <v>45943</v>
      </c>
      <c r="B14167" s="216" t="n">
        <v>12.18</v>
      </c>
      <c r="C14167" s="216" t="n">
        <v>17.09</v>
      </c>
      <c r="D14167" s="216" t="n">
        <v>1.093768000602722</v>
      </c>
      <c r="E14167" s="215" t="n">
        <v>45943</v>
      </c>
      <c r="F14167" s="215" t="n">
        <v>45943</v>
      </c>
    </row>
    <row r="14168">
      <c r="A14168" s="215" t="n">
        <v>45944</v>
      </c>
      <c r="B14168" s="216" t="n">
        <v>11.67</v>
      </c>
      <c r="C14168" s="216" t="n">
        <v>16.28</v>
      </c>
      <c r="D14168" s="216" t="n">
        <v>1.093292951583862</v>
      </c>
      <c r="E14168" s="215" t="n">
        <v>45944</v>
      </c>
      <c r="F14168" s="215" t="n">
        <v>45944</v>
      </c>
    </row>
    <row r="14169">
      <c r="A14169" s="215" t="n">
        <v>45945</v>
      </c>
      <c r="B14169" s="216" t="n">
        <v>11.76</v>
      </c>
      <c r="C14169" s="216" t="n">
        <v>16.67</v>
      </c>
      <c r="D14169" s="216" t="n">
        <v>1.088750958442688</v>
      </c>
      <c r="E14169" s="215" t="n">
        <v>45945</v>
      </c>
      <c r="F14169" s="215" t="n">
        <v>45945</v>
      </c>
    </row>
    <row r="14170">
      <c r="A14170" s="215" t="n">
        <v>45946</v>
      </c>
      <c r="B14170" s="216" t="n">
        <v>11.49</v>
      </c>
      <c r="C14170" s="216" t="n">
        <v>16.25</v>
      </c>
      <c r="D14170" s="216" t="n">
        <v>1.090903043746948</v>
      </c>
      <c r="E14170" s="215" t="n">
        <v>45946</v>
      </c>
      <c r="F14170" s="215" t="n">
        <v>45946</v>
      </c>
    </row>
    <row r="14171">
      <c r="A14171" s="215" t="n">
        <v>45947</v>
      </c>
      <c r="B14171" s="216" t="n">
        <v>10.7</v>
      </c>
      <c r="C14171" s="216" t="n">
        <v>15.6</v>
      </c>
      <c r="D14171" s="216" t="n">
        <v>1.09073805809021</v>
      </c>
      <c r="E14171" s="215" t="n">
        <v>45947</v>
      </c>
      <c r="F14171" s="215" t="n">
        <v>45947</v>
      </c>
    </row>
    <row r="14172">
      <c r="A14172" s="215" t="n">
        <v>45950</v>
      </c>
      <c r="B14172" s="216" t="n">
        <v>10.73</v>
      </c>
      <c r="C14172" s="216" t="n">
        <v>15.8</v>
      </c>
      <c r="D14172" s="216" t="n">
        <v>1.089843988418579</v>
      </c>
      <c r="E14172" s="215" t="n">
        <v>45950</v>
      </c>
      <c r="F14172" s="215" t="n">
        <v>45950</v>
      </c>
    </row>
    <row r="14173">
      <c r="A14173" s="215" t="n">
        <v>45951</v>
      </c>
      <c r="B14173" s="216" t="n">
        <v>10.68</v>
      </c>
      <c r="C14173" s="216" t="n">
        <v>15.6</v>
      </c>
      <c r="D14173" s="216" t="n">
        <v>1.091038942337036</v>
      </c>
      <c r="E14173" s="215" t="n">
        <v>45951</v>
      </c>
      <c r="F14173" s="215" t="n">
        <v>45951</v>
      </c>
    </row>
    <row r="14174">
      <c r="A14174" s="215" t="n">
        <v>45952</v>
      </c>
      <c r="B14174" s="216" t="n">
        <v>10.5</v>
      </c>
      <c r="C14174" s="216" t="n">
        <v>15.32</v>
      </c>
      <c r="D14174" s="216" t="n">
        <v>1.091071009635925</v>
      </c>
      <c r="E14174" s="215" t="n">
        <v>45952</v>
      </c>
      <c r="F14174" s="215" t="n">
        <v>45952</v>
      </c>
    </row>
    <row r="14175">
      <c r="A14175" s="215" t="n">
        <v>45953</v>
      </c>
      <c r="B14175" s="216" t="n">
        <v>10.66</v>
      </c>
      <c r="C14175" s="216" t="n">
        <v>15.39</v>
      </c>
      <c r="D14175" s="216" t="n">
        <v>1.090343952178955</v>
      </c>
      <c r="E14175" s="215" t="n">
        <v>45953</v>
      </c>
      <c r="F14175" s="215" t="n">
        <v>45953</v>
      </c>
    </row>
    <row r="14176">
      <c r="A14176" s="215" t="n">
        <v>45954</v>
      </c>
      <c r="B14176" s="216" t="n">
        <v>11.08</v>
      </c>
      <c r="C14176" s="216" t="n">
        <v>15.63</v>
      </c>
      <c r="D14176" s="216" t="n">
        <v>1.090456962585449</v>
      </c>
      <c r="E14176" s="215" t="n">
        <v>45954</v>
      </c>
      <c r="F14176" s="215" t="n">
        <v>45954</v>
      </c>
    </row>
    <row r="14177">
      <c r="A14177" s="215" t="n">
        <v>45957</v>
      </c>
      <c r="B14177" s="216" t="n">
        <v>11.3</v>
      </c>
      <c r="C14177" s="216" t="n">
        <v>15.79</v>
      </c>
      <c r="D14177" s="216" t="n">
        <v>1.090957045555115</v>
      </c>
      <c r="E14177" s="215" t="n">
        <v>45957</v>
      </c>
      <c r="F14177" s="215" t="n">
        <v>45957</v>
      </c>
    </row>
    <row r="14178">
      <c r="A14178" s="215" t="n">
        <v>45958</v>
      </c>
      <c r="B14178" s="216" t="n">
        <v>11.35</v>
      </c>
      <c r="C14178" s="216" t="n">
        <v>15.86</v>
      </c>
      <c r="D14178" s="216" t="n">
        <v>1.092440009117126</v>
      </c>
      <c r="E14178" s="215" t="n">
        <v>45958</v>
      </c>
      <c r="F14178" s="215" t="n">
        <v>45958</v>
      </c>
    </row>
    <row r="14179">
      <c r="A14179" s="215" t="n">
        <v>45960</v>
      </c>
      <c r="B14179" s="216" t="n">
        <v>11.94</v>
      </c>
      <c r="C14179" s="216" t="n">
        <v>16.88</v>
      </c>
      <c r="D14179" s="216" t="n">
        <v>1.09463894367218</v>
      </c>
      <c r="E14179" s="215" t="n">
        <v>45960</v>
      </c>
      <c r="F14179" s="215" t="n">
        <v>45960</v>
      </c>
    </row>
    <row r="14180">
      <c r="A14180" s="215" t="n">
        <v>45961</v>
      </c>
      <c r="B14180" s="216" t="n">
        <v>11.75</v>
      </c>
      <c r="C14180" s="216" t="n">
        <v>17.87</v>
      </c>
      <c r="D14180" s="216" t="n">
        <v>1.092543959617615</v>
      </c>
      <c r="E14180" s="215" t="n">
        <v>45961</v>
      </c>
      <c r="F14180" s="215" t="n">
        <v>45961</v>
      </c>
    </row>
    <row r="14181">
      <c r="A14181" s="215" t="n">
        <v>45964</v>
      </c>
      <c r="B14181" s="216" t="n">
        <v>11.53</v>
      </c>
      <c r="C14181" s="216" t="n">
        <v>17.89</v>
      </c>
      <c r="D14181" s="216" t="n">
        <v>1.091722965240479</v>
      </c>
      <c r="E14181" s="215" t="n">
        <v>45964</v>
      </c>
      <c r="F14181" s="215" t="n">
        <v>45964</v>
      </c>
    </row>
    <row r="14182">
      <c r="A14182" s="215" t="n">
        <v>45965</v>
      </c>
      <c r="B14182" s="216" t="n">
        <v>11.09</v>
      </c>
      <c r="C14182" s="216" t="n">
        <v>17.39</v>
      </c>
      <c r="D14182" s="216" t="n">
        <v>1.083533048629761</v>
      </c>
      <c r="E14182" s="215" t="n">
        <v>45965</v>
      </c>
      <c r="F14182" s="215" t="n">
        <v>45965</v>
      </c>
    </row>
    <row r="14183">
      <c r="A14183" s="215" t="n">
        <v>45966</v>
      </c>
      <c r="B14183" s="216" t="n">
        <v>12.25</v>
      </c>
      <c r="C14183" s="216" t="n">
        <v>19.13</v>
      </c>
      <c r="D14183" s="216" t="n">
        <v>1.090273976325989</v>
      </c>
      <c r="E14183" s="215" t="n">
        <v>45966</v>
      </c>
      <c r="F14183" s="215" t="n">
        <v>45966</v>
      </c>
    </row>
    <row r="14184">
      <c r="A14184" s="215" t="n">
        <v>45967</v>
      </c>
      <c r="B14184" s="216" t="n">
        <v>11.8</v>
      </c>
      <c r="C14184" s="216" t="n">
        <v>18.94</v>
      </c>
      <c r="D14184" s="216" t="n">
        <v>1.090808033943176</v>
      </c>
      <c r="E14184" s="215" t="n">
        <v>45967</v>
      </c>
      <c r="F14184" s="215" t="n">
        <v>45967</v>
      </c>
    </row>
    <row r="14185">
      <c r="A14185" s="215" t="n">
        <v>45968</v>
      </c>
      <c r="B14185" s="216" t="n">
        <v>12.75</v>
      </c>
      <c r="C14185" s="216" t="n">
        <v>20.24</v>
      </c>
      <c r="D14185" s="216" t="n">
        <v>1.092054009437561</v>
      </c>
      <c r="E14185" s="215" t="n">
        <v>45968</v>
      </c>
      <c r="F14185" s="215" t="n">
        <v>45968</v>
      </c>
    </row>
    <row r="14186">
      <c r="A14186" s="215" t="n">
        <v>45971</v>
      </c>
      <c r="B14186" s="216" t="n">
        <v>12.92</v>
      </c>
      <c r="C14186" s="216" t="n">
        <v>19.71</v>
      </c>
      <c r="D14186" s="216" t="n">
        <v>1.092267036437988</v>
      </c>
      <c r="E14186" s="215" t="n">
        <v>45971</v>
      </c>
      <c r="F14186" s="215" t="n">
        <v>45971</v>
      </c>
    </row>
    <row r="14187">
      <c r="A14187" s="215" t="n">
        <v>45972</v>
      </c>
      <c r="B14187" s="216" t="n">
        <v>13.07</v>
      </c>
      <c r="C14187" s="216" t="n">
        <v>19.73</v>
      </c>
      <c r="D14187" s="216" t="n">
        <v>1.091644048690796</v>
      </c>
      <c r="E14187" s="215" t="n">
        <v>45972</v>
      </c>
      <c r="F14187" s="215" t="n">
        <v>45972</v>
      </c>
    </row>
    <row r="14188">
      <c r="A14188" s="215" t="n">
        <v>45973</v>
      </c>
      <c r="B14188" s="216" t="n">
        <v>13.28</v>
      </c>
      <c r="C14188" s="216" t="n">
        <v>19.62</v>
      </c>
      <c r="D14188" s="216" t="n">
        <v>1.091495990753174</v>
      </c>
      <c r="E14188" s="215" t="n">
        <v>45973</v>
      </c>
      <c r="F14188" s="215" t="n">
        <v>45973</v>
      </c>
    </row>
    <row r="14189">
      <c r="A14189" s="215" t="n">
        <v>45974</v>
      </c>
      <c r="B14189" s="216" t="n">
        <v>15.72</v>
      </c>
      <c r="C14189" s="216" t="n">
        <v>21.24</v>
      </c>
      <c r="D14189" s="216" t="n">
        <v>1.092489004135132</v>
      </c>
      <c r="E14189" s="215" t="n">
        <v>45974</v>
      </c>
      <c r="F14189" s="215" t="n">
        <v>45974</v>
      </c>
    </row>
    <row r="14190">
      <c r="A14190" s="215" t="n">
        <v>45975</v>
      </c>
      <c r="B14190" s="216" t="n">
        <v>14.67</v>
      </c>
      <c r="C14190" s="216" t="n">
        <v>20.27</v>
      </c>
      <c r="D14190" s="216" t="n">
        <v>1.092411994934082</v>
      </c>
      <c r="E14190" s="215" t="n">
        <v>45975</v>
      </c>
      <c r="F14190" s="215" t="n">
        <v>45975</v>
      </c>
    </row>
    <row r="14191">
      <c r="A14191" s="215" t="n">
        <v>45978</v>
      </c>
      <c r="B14191" s="216" t="n">
        <v>15.33</v>
      </c>
      <c r="C14191" s="216" t="n">
        <v>20.41</v>
      </c>
      <c r="D14191" s="216" t="n">
        <v>1.094588041305542</v>
      </c>
      <c r="E14191" s="215" t="n">
        <v>45978</v>
      </c>
      <c r="F14191" s="215" t="n">
        <v>45978</v>
      </c>
    </row>
    <row r="14192">
      <c r="A14192" s="215" t="n">
        <v>45979</v>
      </c>
      <c r="B14192" s="216" t="n">
        <v>14.44</v>
      </c>
      <c r="C14192" s="216" t="n">
        <v>19.39</v>
      </c>
      <c r="D14192" s="216" t="n">
        <v>1.093616008758545</v>
      </c>
      <c r="E14192" s="215" t="n">
        <v>45979</v>
      </c>
      <c r="F14192" s="215" t="n">
        <v>45979</v>
      </c>
    </row>
    <row r="14193">
      <c r="A14193" s="215" t="n">
        <v>45980</v>
      </c>
      <c r="B14193" s="216" t="n">
        <v>14.01</v>
      </c>
      <c r="C14193" s="216" t="n">
        <v>19.09</v>
      </c>
      <c r="D14193" s="216" t="n">
        <v>1.095010995864868</v>
      </c>
      <c r="E14193" s="215" t="n">
        <v>45980</v>
      </c>
      <c r="F14193" s="215" t="n">
        <v>45980</v>
      </c>
    </row>
    <row r="14194">
      <c r="A14194" s="215" t="n">
        <v>45981</v>
      </c>
      <c r="B14194" s="216" t="n">
        <v>13.6</v>
      </c>
      <c r="C14194" s="216" t="n">
        <v>18.74</v>
      </c>
      <c r="D14194" s="216" t="n">
        <v>1.095402002334595</v>
      </c>
      <c r="E14194" s="215" t="n">
        <v>45981</v>
      </c>
      <c r="F14194" s="215" t="n">
        <v>45981</v>
      </c>
    </row>
    <row r="14195">
      <c r="A14195" s="215" t="n">
        <v>45982</v>
      </c>
      <c r="B14195" s="216" t="n">
        <v>12.22</v>
      </c>
      <c r="C14195" s="216" t="n">
        <v>16.87</v>
      </c>
      <c r="D14195" s="216" t="n">
        <v>1.094982981681824</v>
      </c>
      <c r="E14195" s="215" t="n">
        <v>45982</v>
      </c>
      <c r="F14195" s="215" t="n">
        <v>45982</v>
      </c>
    </row>
    <row r="14196">
      <c r="A14196" s="215" t="n">
        <v>45985</v>
      </c>
      <c r="B14196" s="216" t="n">
        <v>12.32</v>
      </c>
      <c r="C14196" s="216" t="n">
        <v>16.42</v>
      </c>
      <c r="D14196" s="216" t="n">
        <v>1.094988942146301</v>
      </c>
      <c r="E14196" s="215" t="n">
        <v>45985</v>
      </c>
      <c r="F14196" s="215" t="n">
        <v>45985</v>
      </c>
    </row>
    <row r="14197">
      <c r="A14197" s="215" t="n">
        <v>45986</v>
      </c>
      <c r="B14197" s="216" t="n">
        <v>15.14</v>
      </c>
      <c r="C14197" s="216" t="n">
        <v>18.06</v>
      </c>
      <c r="D14197" s="216" t="n">
        <v>1.095428943634033</v>
      </c>
      <c r="E14197" s="215" t="n">
        <v>45986</v>
      </c>
      <c r="F14197" s="215" t="n">
        <v>45986</v>
      </c>
    </row>
    <row r="14198">
      <c r="A14198" s="215" t="n">
        <v>45987</v>
      </c>
      <c r="B14198" s="216" t="n">
        <v>15.2</v>
      </c>
      <c r="C14198" s="216" t="n">
        <v>19.87</v>
      </c>
      <c r="D14198" s="216" t="n">
        <v>1.097422003746033</v>
      </c>
      <c r="E14198" s="215" t="n">
        <v>45987</v>
      </c>
      <c r="F14198" s="215" t="n">
        <v>45987</v>
      </c>
    </row>
    <row r="14199">
      <c r="A14199" s="215" t="n">
        <v>45988</v>
      </c>
      <c r="B14199" s="216" t="n">
        <v>14.5</v>
      </c>
      <c r="C14199" s="216" t="n">
        <v>20.22</v>
      </c>
      <c r="D14199" s="216" t="n">
        <v>1.098397016525269</v>
      </c>
      <c r="E14199" s="215" t="n">
        <v>45988</v>
      </c>
      <c r="F14199" s="215" t="n">
        <v>45988</v>
      </c>
    </row>
    <row r="14200">
      <c r="A14200" s="215" t="n">
        <v>45989</v>
      </c>
      <c r="B14200" s="216" t="n">
        <v>14.83</v>
      </c>
      <c r="C14200" s="216" t="n">
        <v>20.88</v>
      </c>
      <c r="D14200" s="216" t="n">
        <v>1.098330020904541</v>
      </c>
      <c r="E14200" s="215" t="n">
        <v>45989</v>
      </c>
      <c r="F14200" s="215" t="n">
        <v>45989</v>
      </c>
    </row>
    <row r="14201">
      <c r="A14201" s="215" t="n">
        <v>45992</v>
      </c>
      <c r="B14201" s="216" t="n">
        <v>14.16</v>
      </c>
      <c r="C14201" s="216" t="n">
        <v>20.02</v>
      </c>
      <c r="D14201" s="216" t="n">
        <v>1.10015594959259</v>
      </c>
      <c r="E14201" s="215" t="n">
        <v>45992</v>
      </c>
      <c r="F14201" s="215" t="n">
        <v>45992</v>
      </c>
    </row>
    <row r="14202">
      <c r="A14202" s="215" t="n">
        <v>45993</v>
      </c>
      <c r="B14202" s="216" t="n">
        <v>14.74</v>
      </c>
      <c r="C14202" s="216" t="n">
        <v>21.28</v>
      </c>
      <c r="D14202" s="216" t="n">
        <v>1.101189017295837</v>
      </c>
      <c r="E14202" s="215" t="n">
        <v>45993</v>
      </c>
      <c r="F14202" s="215" t="n">
        <v>45993</v>
      </c>
    </row>
    <row r="14203">
      <c r="A14203" s="215" t="n">
        <v>45994</v>
      </c>
      <c r="B14203" s="216" t="n">
        <v>16.54</v>
      </c>
      <c r="C14203" s="216" t="n">
        <v>23.41</v>
      </c>
      <c r="D14203" s="216" t="n">
        <v>1.100834012031555</v>
      </c>
      <c r="E14203" s="215" t="n">
        <v>45994</v>
      </c>
      <c r="F14203" s="215" t="n">
        <v>45994</v>
      </c>
    </row>
    <row r="14204">
      <c r="A14204" s="215" t="n">
        <v>45995</v>
      </c>
      <c r="B14204" s="216" t="n">
        <v>15.25</v>
      </c>
      <c r="C14204" s="216" t="n">
        <v>22</v>
      </c>
      <c r="D14204" s="216" t="n">
        <v>1.101611018180847</v>
      </c>
      <c r="E14204" s="215" t="n">
        <v>45995</v>
      </c>
      <c r="F14204" s="215" t="n">
        <v>45995</v>
      </c>
    </row>
    <row r="14205">
      <c r="A14205" s="215" t="n">
        <v>45996</v>
      </c>
      <c r="B14205" s="216" t="n">
        <v>14.74</v>
      </c>
      <c r="C14205" s="216" t="n">
        <v>21.15</v>
      </c>
      <c r="D14205" s="216" t="n">
        <v>1.100373983383179</v>
      </c>
      <c r="E14205" s="215" t="n">
        <v>45996</v>
      </c>
      <c r="F14205" s="215" t="n">
        <v>45996</v>
      </c>
    </row>
    <row r="14206">
      <c r="A14206" s="215" t="n">
        <v>45999</v>
      </c>
      <c r="B14206" s="216" t="n">
        <v>14.91</v>
      </c>
      <c r="C14206" s="216" t="n">
        <v>21</v>
      </c>
      <c r="D14206" s="216" t="n">
        <v>1.1008620262146</v>
      </c>
      <c r="E14206" s="215" t="n">
        <v>45999</v>
      </c>
      <c r="F14206" s="215" t="n">
        <v>45999</v>
      </c>
    </row>
    <row r="14207">
      <c r="A14207" s="215" t="n">
        <v>46000</v>
      </c>
      <c r="B14207" s="216" t="n">
        <v>14.29</v>
      </c>
      <c r="C14207" s="216" t="n">
        <v>20.22</v>
      </c>
      <c r="D14207" s="216" t="n">
        <v>1.10008704662323</v>
      </c>
      <c r="E14207" s="215" t="n">
        <v>46000</v>
      </c>
      <c r="F14207" s="215" t="n">
        <v>46000</v>
      </c>
    </row>
    <row r="14208">
      <c r="A14208" s="215" t="n">
        <v>46001</v>
      </c>
      <c r="B14208" s="216" t="n">
        <v>14.5</v>
      </c>
      <c r="C14208" s="216" t="n">
        <v>20.25</v>
      </c>
      <c r="D14208" s="216" t="n">
        <v>1.101711988449097</v>
      </c>
      <c r="E14208" s="215" t="n">
        <v>46001</v>
      </c>
      <c r="F14208" s="215" t="n">
        <v>46001</v>
      </c>
    </row>
    <row r="14209">
      <c r="A14209" s="215" t="n">
        <v>46002</v>
      </c>
      <c r="B14209" s="216" t="n">
        <v>14.51</v>
      </c>
      <c r="C14209" s="216" t="n">
        <v>20.01</v>
      </c>
      <c r="D14209" s="216" t="n">
        <v>1.10112202167511</v>
      </c>
      <c r="E14209" s="215" t="n">
        <v>46002</v>
      </c>
      <c r="F14209" s="215" t="n">
        <v>46002</v>
      </c>
    </row>
    <row r="14210">
      <c r="A14210" s="215" t="n">
        <v>46003</v>
      </c>
      <c r="B14210" s="216" t="n">
        <v>14.01</v>
      </c>
      <c r="C14210" s="216" t="n">
        <v>19.23</v>
      </c>
      <c r="D14210" s="216" t="n">
        <v>1.102499008178711</v>
      </c>
      <c r="E14210" s="215" t="n">
        <v>46003</v>
      </c>
      <c r="F14210" s="215" t="n">
        <v>46003</v>
      </c>
    </row>
    <row r="14211">
      <c r="A14211" s="215" t="n">
        <v>46006</v>
      </c>
      <c r="B14211" s="216" t="n">
        <v>13.8</v>
      </c>
      <c r="C14211" s="216" t="n">
        <v>19.08</v>
      </c>
      <c r="D14211" s="216" t="n">
        <v>1.103397965431213</v>
      </c>
      <c r="E14211" s="215" t="n">
        <v>46006</v>
      </c>
      <c r="F14211" s="215" t="n">
        <v>46006</v>
      </c>
    </row>
    <row r="14212">
      <c r="A14212" s="215" t="n">
        <v>46007</v>
      </c>
      <c r="B14212" s="216" t="n">
        <v>13.14</v>
      </c>
      <c r="C14212" s="216" t="n">
        <v>18.64</v>
      </c>
      <c r="D14212" s="216" t="n">
        <v>1.104179978370667</v>
      </c>
      <c r="E14212" s="215" t="n">
        <v>46007</v>
      </c>
      <c r="F14212" s="215" t="n">
        <v>46007</v>
      </c>
    </row>
    <row r="14213">
      <c r="A14213" s="215" t="n">
        <v>46008</v>
      </c>
      <c r="B14213" s="216" t="n">
        <v>13.52</v>
      </c>
      <c r="C14213" s="216" t="n">
        <v>19.42</v>
      </c>
      <c r="D14213" s="216" t="n">
        <v>1.104655981063843</v>
      </c>
      <c r="E14213" s="215" t="n">
        <v>46008</v>
      </c>
      <c r="F14213" s="215" t="n">
        <v>46008</v>
      </c>
    </row>
    <row r="14214">
      <c r="A14214" s="215" t="n">
        <v>46009</v>
      </c>
      <c r="B14214" s="216" t="n">
        <v>13.15</v>
      </c>
      <c r="C14214" s="216" t="n">
        <v>18.71</v>
      </c>
      <c r="D14214" s="216" t="n">
        <v>1.104357004165649</v>
      </c>
      <c r="E14214" s="215" t="n">
        <v>46009</v>
      </c>
      <c r="F14214" s="215" t="n">
        <v>46009</v>
      </c>
    </row>
    <row r="14215">
      <c r="A14215" s="215" t="n">
        <v>46010</v>
      </c>
      <c r="B14215" s="216" t="n">
        <v>13.45</v>
      </c>
      <c r="C14215" s="216" t="n">
        <v>18.88</v>
      </c>
      <c r="D14215" s="216" t="n">
        <v>1.104962944984436</v>
      </c>
      <c r="E14215" s="215" t="n">
        <v>46010</v>
      </c>
      <c r="F14215" s="215" t="n">
        <v>46010</v>
      </c>
    </row>
    <row r="14216">
      <c r="A14216" s="215" t="n">
        <v>46013</v>
      </c>
      <c r="B14216" s="216" t="n">
        <v>13.83</v>
      </c>
      <c r="C14216" s="216" t="n">
        <v>19.25</v>
      </c>
      <c r="D14216" s="216" t="n">
        <v>1.105054020881653</v>
      </c>
      <c r="E14216" s="215" t="n">
        <v>46013</v>
      </c>
      <c r="F14216" s="215" t="n">
        <v>46013</v>
      </c>
    </row>
    <row r="14217">
      <c r="A14217" s="215" t="n">
        <v>46014</v>
      </c>
      <c r="B14217" s="216" t="n">
        <v>14.51</v>
      </c>
      <c r="C14217" s="216" t="n">
        <v>20.61</v>
      </c>
      <c r="D14217" s="216" t="n">
        <v>1.104820013046265</v>
      </c>
      <c r="E14217" s="215" t="n">
        <v>46014</v>
      </c>
      <c r="F14217" s="215" t="n">
        <v>46014</v>
      </c>
    </row>
    <row r="14218">
      <c r="A14218" s="215" t="n">
        <v>46015</v>
      </c>
      <c r="B14218" s="216" t="n">
        <v>14.09</v>
      </c>
      <c r="C14218" s="216" t="n">
        <v>20.33</v>
      </c>
      <c r="D14218" s="216" t="n">
        <v>1.106441974639893</v>
      </c>
      <c r="E14218" s="215" t="n">
        <v>46015</v>
      </c>
      <c r="F14218" s="215" t="n">
        <v>46015</v>
      </c>
    </row>
    <row r="14219">
      <c r="A14219" s="215" t="n">
        <v>46020</v>
      </c>
      <c r="B14219" s="216" t="n">
        <v>13.81</v>
      </c>
      <c r="C14219" s="216" t="n">
        <v>20.41</v>
      </c>
      <c r="D14219" s="216" t="n">
        <v>1.10552704334259</v>
      </c>
      <c r="E14219" s="215" t="n">
        <v>46020</v>
      </c>
      <c r="F14219" s="215" t="n">
        <v>46020</v>
      </c>
    </row>
    <row r="14220">
      <c r="A14220" s="215" t="n">
        <v>46021</v>
      </c>
      <c r="B14220" s="216" t="n">
        <v>13.78</v>
      </c>
      <c r="C14220" s="216" t="n">
        <v>20.2</v>
      </c>
      <c r="D14220" s="216" t="n">
        <v>1.109460949897766</v>
      </c>
      <c r="E14220" s="215" t="n">
        <v>46021</v>
      </c>
      <c r="F14220" s="215" t="n">
        <v>46021</v>
      </c>
    </row>
    <row r="14221">
      <c r="A14221" s="215" t="n">
        <v>46022</v>
      </c>
      <c r="B14221" s="216" t="n">
        <v>13.76</v>
      </c>
      <c r="C14221" s="216" t="n">
        <v>20.01</v>
      </c>
      <c r="D14221" s="216" t="n">
        <v>1.111927032470703</v>
      </c>
      <c r="E14221" s="215" t="n">
        <v>46022</v>
      </c>
      <c r="F14221" s="215" t="n">
        <v>46022</v>
      </c>
    </row>
    <row r="14222">
      <c r="A14222" s="215" t="n">
        <v>46024</v>
      </c>
      <c r="B14222" s="216" t="n">
        <v>14.14</v>
      </c>
      <c r="C14222" s="216" t="n">
        <v>20.01</v>
      </c>
      <c r="D14222" s="216" t="n">
        <v>1.112754940986633</v>
      </c>
      <c r="E14222" s="215" t="n">
        <v>46022</v>
      </c>
      <c r="F14222" s="215" t="n">
        <v>46024</v>
      </c>
    </row>
    <row r="14223">
      <c r="A14223" s="215" t="n">
        <v>46027</v>
      </c>
      <c r="B14223" s="216" t="n">
        <v>14.13</v>
      </c>
      <c r="C14223" s="216" t="n">
        <v>20.39</v>
      </c>
      <c r="D14223" s="216" t="n">
        <v>1.113860011100769</v>
      </c>
      <c r="E14223" s="215" t="n">
        <v>46027</v>
      </c>
      <c r="F14223" s="215" t="n">
        <v>46027</v>
      </c>
    </row>
    <row r="14224">
      <c r="A14224" s="215" t="n">
        <v>46028</v>
      </c>
      <c r="B14224" s="216" t="n">
        <v>14.41</v>
      </c>
      <c r="C14224" s="216" t="n">
        <v>20.94</v>
      </c>
      <c r="D14224" s="216" t="n">
        <v>1.11367404460907</v>
      </c>
      <c r="E14224" s="215" t="n">
        <v>46028</v>
      </c>
      <c r="F14224" s="215" t="n">
        <v>46028</v>
      </c>
    </row>
    <row r="14225">
      <c r="A14225" s="215" t="n">
        <v>46029</v>
      </c>
      <c r="B14225" s="216" t="n">
        <v>13.74</v>
      </c>
      <c r="C14225" s="216" t="n">
        <v>20.54</v>
      </c>
      <c r="D14225" s="216" t="n">
        <v>1.114913940429688</v>
      </c>
      <c r="E14225" s="215" t="n">
        <v>46029</v>
      </c>
      <c r="F14225" s="215" t="n">
        <v>46029</v>
      </c>
    </row>
    <row r="14226">
      <c r="A14226" s="215" t="n">
        <v>46030</v>
      </c>
      <c r="B14226" s="216" t="n">
        <v>13.45</v>
      </c>
      <c r="C14226" s="216" t="n">
        <v>20.08</v>
      </c>
      <c r="D14226" s="216" t="n">
        <v>1.112563014030457</v>
      </c>
      <c r="E14226" s="215" t="n">
        <v>46030</v>
      </c>
      <c r="F14226" s="215" t="n">
        <v>46030</v>
      </c>
    </row>
    <row r="14227">
      <c r="A14227" s="215" t="n">
        <v>46031</v>
      </c>
      <c r="B14227" s="216" t="n">
        <v>13.33</v>
      </c>
      <c r="C14227" s="216" t="n">
        <v>20.15</v>
      </c>
      <c r="D14227" s="216" t="n">
        <v>1.115561008453369</v>
      </c>
      <c r="E14227" s="215" t="n">
        <v>46031</v>
      </c>
      <c r="F14227" s="215" t="n">
        <v>46031</v>
      </c>
    </row>
    <row r="14228">
      <c r="A14228" s="215" t="n">
        <v>46034</v>
      </c>
      <c r="B14228" s="216" t="n">
        <v>13.1</v>
      </c>
      <c r="C14228" s="216" t="n">
        <v>19.91</v>
      </c>
      <c r="D14228" s="216" t="n">
        <v>1.117015957832336</v>
      </c>
      <c r="E14228" s="215" t="n">
        <v>46034</v>
      </c>
      <c r="F14228" s="215" t="n">
        <v>46034</v>
      </c>
    </row>
    <row r="14229">
      <c r="A14229" s="215" t="n">
        <v>46035</v>
      </c>
      <c r="B14229" s="216" t="n">
        <v>13.16</v>
      </c>
      <c r="C14229" s="216" t="n">
        <v>19.52</v>
      </c>
      <c r="D14229" s="216" t="n">
        <v>1.117892026901245</v>
      </c>
      <c r="E14229" s="215" t="n">
        <v>46035</v>
      </c>
      <c r="F14229" s="215" t="n">
        <v>46035</v>
      </c>
    </row>
    <row r="14230">
      <c r="A14230" s="215" t="n">
        <v>46036</v>
      </c>
      <c r="B14230" s="216" t="n">
        <v>13.27</v>
      </c>
      <c r="C14230" s="216" t="n">
        <v>19.71</v>
      </c>
      <c r="D14230" s="216" t="n">
        <v>1.117897987365723</v>
      </c>
      <c r="E14230" s="215" t="n">
        <v>46036</v>
      </c>
      <c r="F14230" s="215" t="n">
        <v>46036</v>
      </c>
    </row>
    <row r="14231">
      <c r="A14231" s="215" t="n">
        <v>46037</v>
      </c>
      <c r="B14231" s="216" t="n">
        <v>13.82</v>
      </c>
      <c r="C14231" s="216" t="n">
        <v>20.01</v>
      </c>
      <c r="D14231" s="216" t="n">
        <v>1.118072032928467</v>
      </c>
      <c r="E14231" s="215" t="n">
        <v>46037</v>
      </c>
      <c r="F14231" s="215" t="n">
        <v>46037</v>
      </c>
    </row>
    <row r="14232">
      <c r="A14232" s="215" t="n">
        <v>46038</v>
      </c>
      <c r="B14232" s="216" t="n">
        <v>13.4</v>
      </c>
      <c r="C14232" s="216" t="n">
        <v>19.87</v>
      </c>
      <c r="D14232" s="216" t="n">
        <v>1.119040012359619</v>
      </c>
      <c r="E14232" s="215" t="n">
        <v>46038</v>
      </c>
      <c r="F14232" s="215" t="n">
        <v>46038</v>
      </c>
    </row>
    <row r="14233">
      <c r="A14233" s="215" t="n">
        <v>46041</v>
      </c>
      <c r="B14233" s="216" t="n">
        <v>13.15</v>
      </c>
      <c r="C14233" s="216" t="n">
        <v>19.73</v>
      </c>
      <c r="D14233" s="216" t="n">
        <v>1.118916034698486</v>
      </c>
      <c r="E14233" s="215" t="n">
        <v>46041</v>
      </c>
      <c r="F14233" s="215" t="n">
        <v>46041</v>
      </c>
    </row>
    <row r="14234">
      <c r="A14234" s="215" t="n">
        <v>46042</v>
      </c>
      <c r="B14234" s="216" t="n">
        <v>12.83</v>
      </c>
      <c r="C14234" s="216" t="n">
        <v>19.24</v>
      </c>
      <c r="D14234" s="216" t="n">
        <v>1.118687987327576</v>
      </c>
      <c r="E14234" s="215" t="n">
        <v>46042</v>
      </c>
      <c r="F14234" s="215" t="n">
        <v>46042</v>
      </c>
    </row>
    <row r="14235">
      <c r="A14235" s="215" t="n">
        <v>46043</v>
      </c>
      <c r="B14235" s="216" t="n">
        <v>12.92</v>
      </c>
      <c r="C14235" s="216" t="n">
        <v>19.38</v>
      </c>
      <c r="D14235" s="216" t="n">
        <v>1.12024998664856</v>
      </c>
      <c r="E14235" s="215" t="n">
        <v>46043</v>
      </c>
      <c r="F14235" s="215" t="n">
        <v>46043</v>
      </c>
    </row>
    <row r="14236">
      <c r="A14236" s="215" t="n">
        <v>46044</v>
      </c>
      <c r="B14236" s="216" t="n">
        <v>12.74</v>
      </c>
      <c r="C14236" s="216" t="n">
        <v>19.21</v>
      </c>
      <c r="D14236" s="216" t="n">
        <v>1.11942195892334</v>
      </c>
      <c r="E14236" s="215" t="n">
        <v>46044</v>
      </c>
      <c r="F14236" s="215" t="n">
        <v>46044</v>
      </c>
    </row>
    <row r="14237">
      <c r="A14237" s="215" t="n">
        <v>46045</v>
      </c>
      <c r="B14237" s="216" t="n">
        <v>12.97</v>
      </c>
      <c r="C14237" s="216" t="n">
        <v>19.87</v>
      </c>
      <c r="D14237" s="216" t="n">
        <v>1.117977976799011</v>
      </c>
      <c r="E14237" s="215" t="n">
        <v>46045</v>
      </c>
      <c r="F14237" s="215" t="n">
        <v>46045</v>
      </c>
    </row>
    <row r="14238">
      <c r="A14238" s="215" t="n">
        <v>46048</v>
      </c>
      <c r="B14238" s="216" t="n">
        <v>12.78</v>
      </c>
      <c r="C14238" s="216" t="n">
        <v>19.3</v>
      </c>
      <c r="D14238" s="216" t="n">
        <v>1.117916941642761</v>
      </c>
      <c r="E14238" s="215" t="n">
        <v>46048</v>
      </c>
      <c r="F14238" s="215" t="n">
        <v>46048</v>
      </c>
    </row>
    <row r="14239">
      <c r="A14239" s="215" t="n">
        <v>46049</v>
      </c>
      <c r="B14239" s="216" t="n">
        <v>12.58</v>
      </c>
      <c r="C14239" s="216" t="n">
        <v>18.76</v>
      </c>
      <c r="D14239" s="216" t="n">
        <v>1.121191024780273</v>
      </c>
      <c r="E14239" s="215" t="n">
        <v>46049</v>
      </c>
      <c r="F14239" s="215" t="n">
        <v>46049</v>
      </c>
    </row>
    <row r="14240">
      <c r="A14240" s="215" t="n">
        <v>46050</v>
      </c>
      <c r="B14240" s="216" t="n">
        <v>12.14</v>
      </c>
      <c r="C14240" s="216" t="n">
        <v>18.42</v>
      </c>
      <c r="D14240" s="216" t="n">
        <v>1.121533036231995</v>
      </c>
      <c r="E14240" s="215" t="n">
        <v>46050</v>
      </c>
      <c r="F14240" s="215" t="n">
        <v>46050</v>
      </c>
    </row>
    <row r="14241">
      <c r="A14241" s="215" t="n">
        <v>46051</v>
      </c>
      <c r="B14241" s="216" t="n">
        <v>12.11</v>
      </c>
      <c r="C14241" s="216" t="n">
        <v>18.22</v>
      </c>
      <c r="D14241" s="216" t="n">
        <v>1.121621966362</v>
      </c>
      <c r="E14241" s="215" t="n">
        <v>46051</v>
      </c>
      <c r="F14241" s="215" t="n">
        <v>46051</v>
      </c>
    </row>
    <row r="14242">
      <c r="A14242" s="215" t="n">
        <v>46052</v>
      </c>
      <c r="B14242" s="216" t="n">
        <v>11.66</v>
      </c>
      <c r="C14242" s="216" t="n">
        <v>18</v>
      </c>
      <c r="D14242" s="216" t="n">
        <v>1.123343944549561</v>
      </c>
      <c r="E14242" s="215" t="n">
        <v>46052</v>
      </c>
      <c r="F14242" s="215" t="n">
        <v>46052</v>
      </c>
    </row>
    <row r="14243">
      <c r="A14243" s="215" t="n">
        <v>46055</v>
      </c>
      <c r="B14243" s="216" t="n">
        <v>11.43</v>
      </c>
      <c r="C14243" s="216" t="n">
        <v>17.69</v>
      </c>
      <c r="D14243" s="216" t="n">
        <v>1.123572945594788</v>
      </c>
      <c r="E14243" s="215" t="n">
        <v>46055</v>
      </c>
      <c r="F14243" s="215" t="n">
        <v>46055</v>
      </c>
    </row>
    <row r="14244">
      <c r="A14244" s="215" t="n">
        <v>46056</v>
      </c>
      <c r="B14244" s="216" t="n">
        <v>11.53</v>
      </c>
      <c r="C14244" s="216" t="n">
        <v>18.08</v>
      </c>
      <c r="D14244" s="216" t="n">
        <v>1.124274969100952</v>
      </c>
      <c r="E14244" s="215" t="n">
        <v>46056</v>
      </c>
      <c r="F14244" s="215" t="n">
        <v>46056</v>
      </c>
    </row>
    <row r="14245">
      <c r="A14245" s="215" t="n">
        <v>46057</v>
      </c>
      <c r="B14245" s="216" t="n">
        <v>11.5</v>
      </c>
      <c r="C14245" s="216" t="n">
        <v>18.16</v>
      </c>
      <c r="D14245" s="216" t="n">
        <v>1.12601101398468</v>
      </c>
      <c r="E14245" s="215" t="n">
        <v>46057</v>
      </c>
      <c r="F14245" s="215" t="n">
        <v>46057</v>
      </c>
    </row>
    <row r="14246">
      <c r="A14246" s="215" t="n">
        <v>46058</v>
      </c>
      <c r="B14246" s="216" t="n">
        <v>11.03</v>
      </c>
      <c r="C14246" s="216" t="n">
        <v>17.78</v>
      </c>
      <c r="D14246" s="216" t="n">
        <v>1.125892996788025</v>
      </c>
      <c r="E14246" s="215" t="n">
        <v>46058</v>
      </c>
      <c r="F14246" s="215" t="n">
        <v>46058</v>
      </c>
    </row>
    <row r="14247">
      <c r="A14247" s="215" t="n">
        <v>46059</v>
      </c>
      <c r="B14247" s="216" t="n">
        <v>10.94</v>
      </c>
      <c r="C14247" s="216" t="n">
        <v>18.21</v>
      </c>
      <c r="D14247" s="216" t="n">
        <v>1.126062035560608</v>
      </c>
      <c r="E14247" s="215" t="n">
        <v>46059</v>
      </c>
      <c r="F14247" s="215" t="n">
        <v>46059</v>
      </c>
    </row>
    <row r="14248">
      <c r="A14248" s="215" t="n">
        <v>46062</v>
      </c>
      <c r="B14248" s="216" t="n">
        <v>10.95</v>
      </c>
      <c r="C14248" s="216" t="n">
        <v>18.26</v>
      </c>
      <c r="D14248" s="216" t="n">
        <v>1.125753998756409</v>
      </c>
      <c r="E14248" s="215" t="n">
        <v>46062</v>
      </c>
      <c r="F14248" s="215" t="n">
        <v>46062</v>
      </c>
    </row>
    <row r="14249">
      <c r="A14249" s="215" t="n">
        <v>46063</v>
      </c>
      <c r="B14249" s="216" t="n">
        <v>10.88</v>
      </c>
      <c r="C14249" s="216" t="n">
        <v>18.13</v>
      </c>
      <c r="D14249" s="216" t="n">
        <v>1.129003047943115</v>
      </c>
      <c r="E14249" s="215" t="n">
        <v>46063</v>
      </c>
      <c r="F14249" s="215" t="n">
        <v>46063</v>
      </c>
    </row>
    <row r="14250">
      <c r="A14250" s="215" t="n">
        <v>46064</v>
      </c>
      <c r="B14250" s="216" t="n">
        <v>11.26</v>
      </c>
      <c r="C14250" s="216" t="n">
        <v>18.32</v>
      </c>
      <c r="D14250" s="216" t="n">
        <v>1.130962014198303</v>
      </c>
      <c r="E14250" s="215" t="n">
        <v>46064</v>
      </c>
      <c r="F14250" s="215" t="n">
        <v>46064</v>
      </c>
    </row>
    <row r="14251">
      <c r="A14251" s="215" t="n">
        <v>46065</v>
      </c>
      <c r="B14251" s="216" t="n">
        <v>10.96</v>
      </c>
      <c r="C14251" s="216" t="n">
        <v>18.09</v>
      </c>
      <c r="D14251" s="216" t="n">
        <v>1.130671977996826</v>
      </c>
      <c r="E14251" s="215" t="n">
        <v>46065</v>
      </c>
      <c r="F14251" s="215" t="n">
        <v>46065</v>
      </c>
    </row>
    <row r="14252">
      <c r="A14252" s="215" t="n">
        <v>46066</v>
      </c>
      <c r="B14252" s="216" t="n">
        <v>11.12</v>
      </c>
      <c r="C14252" s="216" t="n">
        <v>18.1</v>
      </c>
      <c r="D14252" s="216" t="n">
        <v>1.132490992546082</v>
      </c>
      <c r="E14252" s="215" t="n">
        <v>46066</v>
      </c>
      <c r="F14252" s="215" t="n">
        <v>46066</v>
      </c>
    </row>
    <row r="14253">
      <c r="A14253" s="215" t="n">
        <v>46069</v>
      </c>
      <c r="B14253" s="216" t="n">
        <v>10.79</v>
      </c>
      <c r="C14253" s="216" t="n">
        <v>18.1</v>
      </c>
      <c r="D14253" s="216" t="n">
        <v>1.131224036216736</v>
      </c>
      <c r="E14253" s="215" t="n">
        <v>46066</v>
      </c>
      <c r="F14253" s="215" t="n">
        <v>46069</v>
      </c>
    </row>
    <row r="14254">
      <c r="A14254" s="215" t="n">
        <v>46073</v>
      </c>
      <c r="B14254" s="216" t="n">
        <v>10.58</v>
      </c>
      <c r="C14254" s="216" t="n">
        <v>18.1</v>
      </c>
      <c r="D14254" s="216" t="n">
        <v>1.131005048751831</v>
      </c>
      <c r="E14254" s="215" t="n">
        <v>46066</v>
      </c>
      <c r="F14254" s="215" t="n">
        <v>46073</v>
      </c>
    </row>
    <row r="14255">
      <c r="A14255" s="215" t="n">
        <v>46076</v>
      </c>
      <c r="B14255" s="216" t="n">
        <v>10.91</v>
      </c>
      <c r="C14255" s="216" t="n">
        <v>18.1</v>
      </c>
      <c r="D14255" s="216" t="n">
        <v>1.130877017974854</v>
      </c>
      <c r="E14255" s="215" t="n">
        <v>46066</v>
      </c>
      <c r="F14255" s="215" t="n">
        <v>46076</v>
      </c>
    </row>
    <row r="14256">
      <c r="A14256" s="215" t="n">
        <v>46077</v>
      </c>
      <c r="B14256" s="216" t="n">
        <v>11.53</v>
      </c>
      <c r="C14256" s="216" t="n">
        <v>18.6</v>
      </c>
      <c r="D14256" s="216" t="n">
        <v>1.131631016731262</v>
      </c>
      <c r="E14256" s="215" t="n">
        <v>46077</v>
      </c>
      <c r="F14256" s="215" t="n">
        <v>46077</v>
      </c>
    </row>
    <row r="14257">
      <c r="A14257" s="215" t="n">
        <v>46078</v>
      </c>
      <c r="B14257" s="216" t="n">
        <v>11.45</v>
      </c>
      <c r="C14257" s="216" t="n">
        <v>18.8</v>
      </c>
      <c r="D14257" s="216" t="n">
        <v>1.136234045028687</v>
      </c>
      <c r="E14257" s="215" t="n">
        <v>46078</v>
      </c>
      <c r="F14257" s="215" t="n">
        <v>46078</v>
      </c>
    </row>
    <row r="14258">
      <c r="A14258" s="215" t="n">
        <v>46079</v>
      </c>
      <c r="B14258" s="216" t="n">
        <v>11.18</v>
      </c>
      <c r="C14258" s="216" t="n">
        <v>18.66</v>
      </c>
      <c r="D14258" s="216" t="n">
        <v>1.138198971748352</v>
      </c>
      <c r="E14258" s="215" t="n">
        <v>46079</v>
      </c>
      <c r="F14258" s="215" t="n">
        <v>46079</v>
      </c>
    </row>
    <row r="14259">
      <c r="A14259" s="215" t="n">
        <v>46080</v>
      </c>
      <c r="B14259" s="216" t="n">
        <v>11.4</v>
      </c>
      <c r="C14259" s="216" t="n">
        <v>18.7</v>
      </c>
      <c r="D14259" s="216" t="n">
        <v>1.143396973609924</v>
      </c>
      <c r="E14259" s="215" t="n">
        <v>46080</v>
      </c>
      <c r="F14259" s="215" t="n">
        <v>46080</v>
      </c>
    </row>
    <row r="14260">
      <c r="A14260" s="215" t="n">
        <v>46083</v>
      </c>
      <c r="B14260" s="216" t="n">
        <v>10.66</v>
      </c>
      <c r="C14260" s="216" t="n">
        <v>18.08</v>
      </c>
      <c r="D14260" s="216" t="n">
        <v>1.140552043914795</v>
      </c>
      <c r="E14260" s="215" t="n">
        <v>46083</v>
      </c>
      <c r="F14260" s="215" t="n">
        <v>46083</v>
      </c>
    </row>
    <row r="14261">
      <c r="A14261" s="215" t="n">
        <v>46084</v>
      </c>
      <c r="B14261" s="216" t="n">
        <v>9.789999999999999</v>
      </c>
      <c r="C14261" s="216" t="n">
        <v>17.4</v>
      </c>
      <c r="D14261" s="216" t="n">
        <v>1.136399984359741</v>
      </c>
      <c r="E14261" s="215" t="n">
        <v>46084</v>
      </c>
      <c r="F14261" s="215" t="n">
        <v>46084</v>
      </c>
    </row>
    <row r="14262">
      <c r="A14262" s="215" t="n">
        <v>46085</v>
      </c>
      <c r="B14262" s="216" t="n">
        <v>9.789999999999999</v>
      </c>
      <c r="C14262" s="216" t="n">
        <v>17.13</v>
      </c>
      <c r="D14262" s="216" t="n">
        <v>1.130928993225098</v>
      </c>
      <c r="E14262" s="215" t="n">
        <v>46085</v>
      </c>
      <c r="F14262" s="215" t="n">
        <v>46085</v>
      </c>
    </row>
    <row r="14263">
      <c r="A14263" s="215" t="n">
        <v>46086</v>
      </c>
      <c r="B14263" s="216" t="n">
        <v>10.14</v>
      </c>
      <c r="C14263" s="216" t="n">
        <v>17.5</v>
      </c>
      <c r="D14263" s="216" t="n">
        <v>1.133169054985046</v>
      </c>
      <c r="E14263" s="215" t="n">
        <v>46086</v>
      </c>
      <c r="F14263" s="215" t="n">
        <v>46086</v>
      </c>
    </row>
    <row r="14264">
      <c r="A14264" s="215" t="n">
        <v>46087</v>
      </c>
      <c r="B14264" s="216" t="n">
        <v>10.09</v>
      </c>
      <c r="C14264" s="216" t="n">
        <v>17.46</v>
      </c>
      <c r="D14264" s="216" t="n">
        <v>1.133442044258118</v>
      </c>
      <c r="E14264" s="215" t="n">
        <v>46087</v>
      </c>
      <c r="F14264" s="215" t="n">
        <v>46087</v>
      </c>
    </row>
    <row r="14265">
      <c r="A14265" s="215" t="n">
        <v>46090</v>
      </c>
      <c r="B14265" s="216" t="n">
        <v>10.33</v>
      </c>
      <c r="C14265" s="216" t="n">
        <v>17.7</v>
      </c>
      <c r="D14265" s="216" t="n">
        <v>1.133231043815613</v>
      </c>
      <c r="E14265" s="215" t="n">
        <v>46090</v>
      </c>
      <c r="F14265" s="215" t="n">
        <v>46090</v>
      </c>
    </row>
    <row r="14266">
      <c r="A14266" s="215" t="n">
        <v>46091</v>
      </c>
      <c r="B14266" s="216" t="n">
        <v>10.86</v>
      </c>
      <c r="C14266" s="216" t="n">
        <v>17.98</v>
      </c>
      <c r="D14266" s="216" t="n">
        <v>1.131595015525818</v>
      </c>
      <c r="E14266" s="215" t="n">
        <v>46091</v>
      </c>
      <c r="F14266" s="215" t="n">
        <v>46091</v>
      </c>
    </row>
    <row r="14267">
      <c r="A14267" s="215" t="n">
        <v>46092</v>
      </c>
      <c r="B14267" s="216" t="n">
        <v>11.07</v>
      </c>
      <c r="C14267" s="216" t="n">
        <v>18.48</v>
      </c>
      <c r="D14267" s="216" t="n">
        <v>1.137585043907166</v>
      </c>
      <c r="E14267" s="215" t="n">
        <v>46092</v>
      </c>
      <c r="F14267" s="215" t="n">
        <v>46092</v>
      </c>
    </row>
    <row r="14268">
      <c r="A14268" s="215" t="n">
        <v>46093</v>
      </c>
      <c r="B14268" s="216" t="n">
        <v>11.12</v>
      </c>
      <c r="C14268" s="216" t="n">
        <v>18.64</v>
      </c>
      <c r="D14268" s="216" t="n">
        <v>1.139600038528442</v>
      </c>
      <c r="E14268" s="215" t="n">
        <v>46093</v>
      </c>
      <c r="F14268" s="215" t="n">
        <v>46093</v>
      </c>
    </row>
    <row r="14269">
      <c r="A14269" s="215" t="n">
        <v>46094</v>
      </c>
      <c r="B14269" s="216" t="n">
        <v>11</v>
      </c>
      <c r="C14269" s="216" t="n">
        <v>18.69</v>
      </c>
      <c r="D14269" s="216" t="n">
        <v>1.139310002326965</v>
      </c>
      <c r="E14269" s="215" t="n">
        <v>46094</v>
      </c>
      <c r="F14269" s="215" t="n">
        <v>46094</v>
      </c>
    </row>
    <row r="14270">
      <c r="A14270" s="215" t="n">
        <v>46097</v>
      </c>
      <c r="B14270" s="216" t="n">
        <v>11.01</v>
      </c>
      <c r="C14270" s="216" t="n">
        <v>18.96</v>
      </c>
      <c r="D14270" s="216" t="n">
        <v>1.134883999824524</v>
      </c>
      <c r="E14270" s="215" t="n">
        <v>46097</v>
      </c>
      <c r="F14270" s="215" t="n">
        <v>46097</v>
      </c>
    </row>
    <row r="14271">
      <c r="A14271" s="215" t="n">
        <v>46098</v>
      </c>
      <c r="B14271" s="216" t="n">
        <v>10.86</v>
      </c>
      <c r="C14271" s="216" t="n">
        <v>18.41</v>
      </c>
      <c r="D14271" s="216" t="n">
        <v>1.125375986099243</v>
      </c>
      <c r="E14271" s="215" t="n">
        <v>46098</v>
      </c>
      <c r="F14271" s="215" t="n">
        <v>46098</v>
      </c>
    </row>
    <row r="14272">
      <c r="A14272" s="215" t="n">
        <v>46099</v>
      </c>
      <c r="B14272" s="216" t="n">
        <v>10.67</v>
      </c>
      <c r="C14272" s="216" t="n">
        <v>18.08</v>
      </c>
      <c r="D14272" s="216" t="n">
        <v>1.137819051742554</v>
      </c>
      <c r="E14272" s="215" t="n">
        <v>46099</v>
      </c>
      <c r="F14272" s="215" t="n">
        <v>46099</v>
      </c>
    </row>
    <row r="14273">
      <c r="A14273" s="215" t="n">
        <v>46100</v>
      </c>
      <c r="B14273" s="216" t="n">
        <v>10.41</v>
      </c>
      <c r="C14273" s="216" t="n">
        <v>17.67</v>
      </c>
      <c r="D14273" s="216" t="n">
        <v>1.140079021453857</v>
      </c>
      <c r="E14273" s="215" t="n">
        <v>46100</v>
      </c>
      <c r="F14273" s="215" t="n">
        <v>46100</v>
      </c>
    </row>
    <row r="14274">
      <c r="A14274" s="215" t="n">
        <v>46101</v>
      </c>
      <c r="B14274" s="216" t="n">
        <v>10.46</v>
      </c>
      <c r="C14274" s="216" t="n">
        <v>17.8</v>
      </c>
      <c r="D14274" s="216" t="n">
        <v>1.13490903377533</v>
      </c>
      <c r="E14274" s="215" t="n">
        <v>46101</v>
      </c>
      <c r="F14274" s="215" t="n">
        <v>46101</v>
      </c>
    </row>
    <row r="14275">
      <c r="A14275" s="215" t="n">
        <v>46104</v>
      </c>
      <c r="B14275" s="216" t="n">
        <v>10.72</v>
      </c>
      <c r="C14275" s="216" t="n">
        <v>18.57</v>
      </c>
      <c r="D14275" s="216" t="n">
        <v>1.137529969215393</v>
      </c>
      <c r="E14275" s="215" t="n">
        <v>46104</v>
      </c>
      <c r="F14275" s="215" t="n">
        <v>46104</v>
      </c>
    </row>
    <row r="14276">
      <c r="A14276" s="215" t="n">
        <v>46105</v>
      </c>
      <c r="B14276" s="216" t="n">
        <v>11.27</v>
      </c>
      <c r="C14276" s="216" t="n">
        <v>19.9</v>
      </c>
      <c r="D14276" s="216" t="n">
        <v>1.138481974601746</v>
      </c>
      <c r="E14276" s="215" t="n">
        <v>46105</v>
      </c>
      <c r="F14276" s="215" t="n">
        <v>46105</v>
      </c>
    </row>
    <row r="14277">
      <c r="A14277" s="215" t="n">
        <v>46106</v>
      </c>
      <c r="B14277" s="216" t="n">
        <v>11.57</v>
      </c>
      <c r="C14277" s="216" t="n">
        <v>20.42</v>
      </c>
      <c r="D14277" s="216" t="n">
        <v>1.135548949241638</v>
      </c>
      <c r="E14277" s="215" t="n">
        <v>46106</v>
      </c>
      <c r="F14277" s="215" t="n">
        <v>46106</v>
      </c>
    </row>
    <row r="14278">
      <c r="A14278" s="215" t="n">
        <v>46107</v>
      </c>
      <c r="B14278" s="216" t="n">
        <v>11.55</v>
      </c>
      <c r="C14278" s="216" t="n">
        <v>20.92</v>
      </c>
      <c r="D14278" s="216" t="n">
        <v>1.132627010345459</v>
      </c>
      <c r="E14278" s="215" t="n">
        <v>46107</v>
      </c>
      <c r="F14278" s="215" t="n">
        <v>46107</v>
      </c>
    </row>
    <row r="14279">
      <c r="A14279" s="215" t="n">
        <v>46108</v>
      </c>
      <c r="B14279" s="216" t="n">
        <v>12.67</v>
      </c>
      <c r="C14279" s="216" t="n">
        <v>22.41</v>
      </c>
      <c r="D14279" s="216" t="n">
        <v>1.132115960121155</v>
      </c>
      <c r="E14279" s="215" t="n">
        <v>46108</v>
      </c>
      <c r="F14279" s="215" t="n">
        <v>46108</v>
      </c>
    </row>
    <row r="14280">
      <c r="A14280" s="215" t="n">
        <v>46111</v>
      </c>
      <c r="B14280" s="216" t="n">
        <v>12.88</v>
      </c>
      <c r="C14280" s="216" t="n">
        <v>22.42</v>
      </c>
      <c r="D14280" s="216" t="n">
        <v>1.13311505317688</v>
      </c>
      <c r="E14280" s="215" t="n">
        <v>46111</v>
      </c>
      <c r="F14280" s="215" t="n">
        <v>46111</v>
      </c>
    </row>
    <row r="14281">
      <c r="A14281" s="215" t="n">
        <v>46112</v>
      </c>
      <c r="B14281" s="216" t="n">
        <v>12.46</v>
      </c>
      <c r="C14281" s="216" t="n">
        <v>22.52</v>
      </c>
      <c r="D14281" s="216" t="n">
        <v>1.133540987968445</v>
      </c>
      <c r="E14281" s="215" t="n">
        <v>46112</v>
      </c>
      <c r="F14281" s="215" t="n">
        <v>46112</v>
      </c>
    </row>
    <row r="14282">
      <c r="A14282" s="215" t="n">
        <v>46113</v>
      </c>
      <c r="B14282" s="216" t="n">
        <v>11.72</v>
      </c>
      <c r="C14282" s="216" t="n">
        <v>21.88</v>
      </c>
      <c r="D14282" s="216" t="n">
        <v>1.136669993400574</v>
      </c>
      <c r="E14282" s="215" t="n">
        <v>46113</v>
      </c>
      <c r="F14282" s="215" t="n">
        <v>46113</v>
      </c>
    </row>
    <row r="14283">
      <c r="A14283" s="215" t="n">
        <v>46114</v>
      </c>
      <c r="B14283" s="216" t="n">
        <v>11.98</v>
      </c>
      <c r="C14283" s="216" t="n">
        <v>22.15</v>
      </c>
      <c r="D14283" s="216" t="n">
        <v>1.140197992324829</v>
      </c>
      <c r="E14283" s="215" t="n">
        <v>46114</v>
      </c>
      <c r="F14283" s="215" t="n">
        <v>46114</v>
      </c>
    </row>
    <row r="14284">
      <c r="A14284" s="215" t="n">
        <v>46120</v>
      </c>
      <c r="B14284" s="216" t="n">
        <v>12.78</v>
      </c>
      <c r="C14284" s="216" t="n">
        <v>22.41</v>
      </c>
      <c r="D14284" s="216" t="n">
        <v>1.1423499584198</v>
      </c>
      <c r="E14284" s="215" t="n">
        <v>46120</v>
      </c>
      <c r="F14284" s="215" t="n">
        <v>46120</v>
      </c>
    </row>
    <row r="14285">
      <c r="A14285" s="215" t="n">
        <v>46121</v>
      </c>
      <c r="B14285" s="216" t="n">
        <v>12.48</v>
      </c>
      <c r="C14285" s="216" t="n">
        <v>22.03</v>
      </c>
      <c r="D14285" s="216" t="n">
        <v>1.146731972694397</v>
      </c>
      <c r="E14285" s="215" t="n">
        <v>46121</v>
      </c>
      <c r="F14285" s="215" t="n">
        <v>46121</v>
      </c>
    </row>
    <row r="14286">
      <c r="A14286" s="215" t="n">
        <v>46122</v>
      </c>
      <c r="B14286" s="216" t="n">
        <v>13.08</v>
      </c>
      <c r="C14286" s="216" t="n">
        <v>22.1</v>
      </c>
      <c r="D14286" s="216" t="n">
        <v>1.146558046340942</v>
      </c>
      <c r="E14286" s="215" t="n">
        <v>46122</v>
      </c>
      <c r="F14286" s="215" t="n">
        <v>46122</v>
      </c>
    </row>
    <row r="14287">
      <c r="A14287" s="215" t="n">
        <v>46125</v>
      </c>
      <c r="B14287" s="216" t="n">
        <v>13.05</v>
      </c>
      <c r="C14287" s="216" t="n">
        <v>22.41</v>
      </c>
      <c r="D14287" s="216" t="n">
        <v>1.147117972373962</v>
      </c>
      <c r="E14287" s="215" t="n">
        <v>46125</v>
      </c>
      <c r="F14287" s="215" t="n">
        <v>46125</v>
      </c>
    </row>
    <row r="14288">
      <c r="A14288" s="215" t="n">
        <v>46126</v>
      </c>
      <c r="B14288" s="216" t="n">
        <v>13.73</v>
      </c>
      <c r="C14288" s="216" t="n">
        <v>23.68</v>
      </c>
      <c r="D14288" s="216" t="n">
        <v>1.146226048469543</v>
      </c>
      <c r="E14288" s="215" t="n">
        <v>46126</v>
      </c>
      <c r="F14288" s="215" t="n">
        <v>46126</v>
      </c>
    </row>
    <row r="14289">
      <c r="A14289" s="215" t="n">
        <v>46127</v>
      </c>
      <c r="B14289" s="216" t="n">
        <v>13.27</v>
      </c>
      <c r="C14289" s="216" t="n">
        <v>22.77</v>
      </c>
      <c r="D14289" s="216" t="n">
        <v>1.149266004562378</v>
      </c>
      <c r="E14289" s="215" t="n">
        <v>46127</v>
      </c>
      <c r="F14289" s="215" t="n">
        <v>46127</v>
      </c>
    </row>
    <row r="14290">
      <c r="A14290" s="215" t="n">
        <v>46128</v>
      </c>
      <c r="B14290" s="216" t="n">
        <v>16.32</v>
      </c>
      <c r="C14290" s="216" t="n">
        <v>25.05</v>
      </c>
      <c r="D14290" s="216" t="n">
        <v>1.148550033569336</v>
      </c>
      <c r="E14290" s="215" t="n">
        <v>46128</v>
      </c>
      <c r="F14290" s="215" t="n">
        <v>46128</v>
      </c>
    </row>
    <row r="14291">
      <c r="A14291" s="215" t="n">
        <v>46129</v>
      </c>
      <c r="B14291" s="216" t="n">
        <v>16.36</v>
      </c>
      <c r="C14291" s="216" t="n">
        <v>25.99</v>
      </c>
      <c r="D14291" s="216" t="n">
        <v>1.146605014801025</v>
      </c>
      <c r="E14291" s="215" t="n">
        <v>46129</v>
      </c>
      <c r="F14291" s="215" t="n">
        <v>46129</v>
      </c>
    </row>
    <row r="14292">
      <c r="A14292" s="215" t="n">
        <v>46132</v>
      </c>
      <c r="B14292" s="216" t="n">
        <v>16.2</v>
      </c>
      <c r="C14292" s="216" t="n">
        <v>27.31</v>
      </c>
      <c r="D14292" s="216" t="n">
        <v>1.148360967636108</v>
      </c>
      <c r="E14292" s="215" t="n">
        <v>46132</v>
      </c>
      <c r="F14292" s="215" t="n">
        <v>46132</v>
      </c>
    </row>
    <row r="14293">
      <c r="A14293" s="215" t="n">
        <v>46133</v>
      </c>
      <c r="B14293" s="216" t="n">
        <v>14.96</v>
      </c>
      <c r="C14293" s="216" t="n">
        <v>26.02</v>
      </c>
      <c r="D14293" s="216" t="n">
        <v>1.148368000984192</v>
      </c>
      <c r="E14293" s="215" t="n">
        <v>46133</v>
      </c>
      <c r="F14293" s="215" t="n">
        <v>46133</v>
      </c>
    </row>
    <row r="14294">
      <c r="A14294" s="215" t="n">
        <v>46134</v>
      </c>
      <c r="B14294" s="216" t="n">
        <v>15.8</v>
      </c>
      <c r="C14294" s="216" t="n">
        <v>28.62</v>
      </c>
      <c r="D14294" s="216" t="n">
        <v>1.147838950157166</v>
      </c>
      <c r="E14294" s="215" t="n">
        <v>46134</v>
      </c>
      <c r="F14294" s="215" t="n">
        <v>46134</v>
      </c>
    </row>
    <row r="14295">
      <c r="A14295" s="215" t="n">
        <v>46135</v>
      </c>
      <c r="B14295" s="216" t="n">
        <v>17.15</v>
      </c>
      <c r="C14295" s="216" t="n">
        <v>30.45</v>
      </c>
      <c r="D14295" s="216" t="n">
        <v>1.147513031959534</v>
      </c>
      <c r="E14295" s="215" t="n">
        <v>46135</v>
      </c>
      <c r="F14295" s="215" t="n">
        <v>46135</v>
      </c>
    </row>
    <row r="14296">
      <c r="A14296" s="215" t="n">
        <v>46136</v>
      </c>
      <c r="B14296" s="216" t="n">
        <v>17.91</v>
      </c>
      <c r="C14296" s="216" t="n">
        <v>32.56</v>
      </c>
      <c r="D14296" s="216" t="n">
        <v>1.147369027137756</v>
      </c>
      <c r="E14296" s="215" t="n">
        <v>46136</v>
      </c>
      <c r="F14296" s="215" t="n">
        <v>46136</v>
      </c>
    </row>
    <row r="14297">
      <c r="A14297" s="215" t="n">
        <v>46139</v>
      </c>
      <c r="B14297" s="216" t="n">
        <v>18.51</v>
      </c>
      <c r="C14297" s="216" t="n">
        <v>31.51</v>
      </c>
      <c r="D14297" s="216" t="n">
        <v>1.146002054214478</v>
      </c>
      <c r="E14297" s="215" t="n">
        <v>46139</v>
      </c>
      <c r="F14297" s="215" t="n">
        <v>46139</v>
      </c>
    </row>
    <row r="14298">
      <c r="A14298" s="215" t="n">
        <v>46140</v>
      </c>
      <c r="B14298" s="216" t="n">
        <v>18.33</v>
      </c>
      <c r="C14298" s="216" t="n">
        <v>29.99</v>
      </c>
      <c r="D14298" s="216" t="n">
        <v>1.148522019386292</v>
      </c>
      <c r="E14298" s="215" t="n">
        <v>46140</v>
      </c>
      <c r="F14298" s="215" t="n">
        <v>46140</v>
      </c>
    </row>
    <row r="14299">
      <c r="A14299" s="215" t="n">
        <v>46141</v>
      </c>
      <c r="B14299" s="216" t="n">
        <v>21.88</v>
      </c>
      <c r="C14299" s="216" t="n">
        <v>32.99</v>
      </c>
      <c r="D14299" s="216" t="n">
        <v>1.145936012268066</v>
      </c>
      <c r="E14299" s="215" t="n">
        <v>46141</v>
      </c>
      <c r="F14299" s="215" t="n">
        <v>46141</v>
      </c>
    </row>
    <row r="14300">
      <c r="A14300" s="215" t="n">
        <v>46142</v>
      </c>
      <c r="B14300" s="216" t="n">
        <v>21</v>
      </c>
      <c r="C14300" s="216" t="n">
        <v>33.17</v>
      </c>
      <c r="D14300" s="216" t="n">
        <v>1.145792007446289</v>
      </c>
      <c r="E14300" s="215" t="n">
        <v>46142</v>
      </c>
      <c r="F14300" s="215" t="n">
        <v>46142</v>
      </c>
    </row>
    <row r="14301">
      <c r="A14301" s="215" t="n">
        <v>46146</v>
      </c>
      <c r="B14301" s="216" t="n">
        <v>22.18</v>
      </c>
      <c r="C14301" s="216" t="n">
        <v>33.17</v>
      </c>
      <c r="D14301" s="216" t="n">
        <v>1.147340059280396</v>
      </c>
      <c r="E14301" s="215" t="n">
        <v>46142</v>
      </c>
      <c r="F14301" s="215" t="n">
        <v>46146</v>
      </c>
    </row>
    <row r="14302">
      <c r="A14302" s="215" t="n">
        <v>46147</v>
      </c>
      <c r="B14302" s="216" t="n">
        <v>22.96</v>
      </c>
      <c r="C14302" s="216" t="n">
        <v>33.17</v>
      </c>
      <c r="D14302" s="216" t="n">
        <v>1.146813988685608</v>
      </c>
      <c r="E14302" s="215" t="n">
        <v>46142</v>
      </c>
      <c r="F14302" s="215" t="n">
        <v>46147</v>
      </c>
    </row>
    <row r="14303">
      <c r="A14303" s="215" t="n">
        <v>46148</v>
      </c>
      <c r="B14303" s="216" t="n">
        <v>22.94</v>
      </c>
      <c r="C14303" s="216" t="n">
        <v>33.6</v>
      </c>
      <c r="D14303" s="216" t="n">
        <v>1.14708399772644</v>
      </c>
      <c r="E14303" s="215" t="n">
        <v>46148</v>
      </c>
      <c r="F14303" s="215" t="n">
        <v>46148</v>
      </c>
    </row>
    <row r="14304">
      <c r="A14304" s="215" t="n">
        <v>46149</v>
      </c>
      <c r="B14304" s="216" t="n">
        <v>20.72</v>
      </c>
      <c r="C14304" s="216" t="n">
        <v>31.6</v>
      </c>
      <c r="D14304" s="216" t="n">
        <v>1.150125026702881</v>
      </c>
      <c r="E14304" s="215" t="n">
        <v>46149</v>
      </c>
      <c r="F14304" s="215" t="n">
        <v>46149</v>
      </c>
    </row>
    <row r="14305">
      <c r="A14305" s="215" t="n">
        <v>46150</v>
      </c>
      <c r="B14305" s="216" t="n">
        <v>19.26</v>
      </c>
      <c r="C14305" s="216" t="n">
        <v>30.12</v>
      </c>
      <c r="D14305" s="216" t="n">
        <v>1.15172004699707</v>
      </c>
      <c r="E14305" s="215" t="n">
        <v>46150</v>
      </c>
      <c r="F14305" s="215" t="n">
        <v>46150</v>
      </c>
    </row>
    <row r="14306">
      <c r="A14306" s="215" t="n">
        <v>46153</v>
      </c>
      <c r="B14306" s="216" t="n">
        <v>19.42</v>
      </c>
      <c r="C14306" s="216" t="n">
        <v>30.1</v>
      </c>
      <c r="D14306" s="216" t="n">
        <v>1.151090025901794</v>
      </c>
      <c r="E14306" s="215" t="n">
        <v>46153</v>
      </c>
      <c r="F14306" s="215" t="n">
        <v>46153</v>
      </c>
    </row>
    <row r="14307">
      <c r="A14307" s="215" t="n">
        <v>46154</v>
      </c>
      <c r="B14307" s="216" t="n">
        <v>18.97</v>
      </c>
      <c r="C14307" s="216" t="n">
        <v>29.47</v>
      </c>
      <c r="D14307" s="216" t="n">
        <v>1.152078986167908</v>
      </c>
      <c r="E14307" s="215" t="n">
        <v>46154</v>
      </c>
      <c r="F14307" s="215" t="n">
        <v>46154</v>
      </c>
    </row>
    <row r="14308">
      <c r="A14308" s="215" t="n">
        <v>46155</v>
      </c>
      <c r="B14308" s="216" t="n">
        <v>18.39</v>
      </c>
      <c r="C14308" s="216" t="n">
        <v>29.35</v>
      </c>
      <c r="D14308" s="216" t="n">
        <v>1.152537941932678</v>
      </c>
      <c r="E14308" s="215" t="n">
        <v>46155</v>
      </c>
      <c r="F14308" s="215" t="n">
        <v>46155</v>
      </c>
    </row>
    <row r="14309">
      <c r="A14309" s="215" t="n">
        <v>46156</v>
      </c>
      <c r="B14309" s="216" t="n">
        <v>17.23</v>
      </c>
      <c r="C14309" s="216" t="n">
        <v>27.84</v>
      </c>
      <c r="D14309" s="216" t="n">
        <v>1.152662992477417</v>
      </c>
      <c r="E14309" s="215" t="n">
        <v>46156</v>
      </c>
      <c r="F14309" s="215" t="n">
        <v>46156</v>
      </c>
    </row>
    <row r="14310">
      <c r="A14310" s="215" t="n">
        <v>46157</v>
      </c>
      <c r="B14310" s="216" t="n">
        <v>16.7</v>
      </c>
      <c r="C14310" s="216" t="n">
        <v>27.77</v>
      </c>
      <c r="D14310" s="216" t="n">
        <v>1.154320001602173</v>
      </c>
      <c r="E14310" s="215" t="n">
        <v>46157</v>
      </c>
      <c r="F14310" s="215" t="n">
        <v>46157</v>
      </c>
    </row>
    <row r="14311">
      <c r="A14311" s="215" t="n">
        <v>46160</v>
      </c>
      <c r="B14311" s="216" t="n">
        <v>16.21</v>
      </c>
      <c r="C14311" s="216" t="n">
        <v>27.6</v>
      </c>
      <c r="D14311" s="216" t="n">
        <v>1.149821996688843</v>
      </c>
      <c r="E14311" s="215" t="n">
        <v>46160</v>
      </c>
      <c r="F14311" s="215" t="n">
        <v>46160</v>
      </c>
    </row>
    <row r="14312">
      <c r="A14312" s="215" t="n">
        <v>46161</v>
      </c>
      <c r="B14312" s="216" t="n">
        <v>15.4</v>
      </c>
      <c r="C14312" s="216" t="n">
        <v>26.86</v>
      </c>
      <c r="D14312" s="216" t="n">
        <v>1.151532053947449</v>
      </c>
      <c r="E14312" s="215" t="n">
        <v>46161</v>
      </c>
      <c r="F14312" s="215" t="n">
        <v>46161</v>
      </c>
    </row>
    <row r="14313">
      <c r="A14313" s="215" t="n">
        <v>46162</v>
      </c>
      <c r="B14313" s="216" t="n">
        <v>16.24</v>
      </c>
      <c r="C14313" s="216" t="n">
        <v>27.83</v>
      </c>
      <c r="D14313" s="216" t="n">
        <v>1.149292945861816</v>
      </c>
      <c r="E14313" s="215" t="n">
        <v>46162</v>
      </c>
      <c r="F14313" s="215" t="n">
        <v>46162</v>
      </c>
    </row>
    <row r="14314">
      <c r="A14314" s="215" t="n">
        <v>46163</v>
      </c>
      <c r="B14314" s="216" t="n">
        <v>16.37</v>
      </c>
      <c r="C14314" s="216" t="n">
        <v>29.3</v>
      </c>
      <c r="D14314" s="216" t="n">
        <v>1.151231050491333</v>
      </c>
      <c r="E14314" s="215" t="n">
        <v>46163</v>
      </c>
      <c r="F14314" s="215" t="n">
        <v>46163</v>
      </c>
    </row>
    <row r="14315">
      <c r="A14315" s="215" t="n">
        <v>46164</v>
      </c>
      <c r="B14315" s="216" t="n">
        <v>16.02</v>
      </c>
      <c r="C14315" s="216" t="n">
        <v>28.58</v>
      </c>
      <c r="D14315" s="216" t="n">
        <v>1.151487946510315</v>
      </c>
      <c r="E14315" s="215" t="n">
        <v>46164</v>
      </c>
      <c r="F14315" s="215" t="n">
        <v>46164</v>
      </c>
    </row>
    <row r="14316">
      <c r="A14316" s="215" t="n">
        <v>46168</v>
      </c>
      <c r="B14316" s="216" t="n">
        <v>15.61</v>
      </c>
      <c r="C14316" s="216" t="n">
        <v>26.31</v>
      </c>
      <c r="D14316" s="216" t="n">
        <v>1.152968049049377</v>
      </c>
      <c r="E14316" s="215" t="n">
        <v>46168</v>
      </c>
      <c r="F14316" s="215" t="n">
        <v>46168</v>
      </c>
    </row>
    <row r="14317">
      <c r="A14317" s="215" t="n">
        <v>46169</v>
      </c>
      <c r="B14317" s="216" t="n">
        <v>15.24</v>
      </c>
      <c r="C14317" s="216" t="n">
        <v>26.16</v>
      </c>
      <c r="D14317" s="216" t="n">
        <v>1.154562950134277</v>
      </c>
      <c r="E14317" s="215" t="n">
        <v>46169</v>
      </c>
      <c r="F14317" s="215" t="n">
        <v>46169</v>
      </c>
    </row>
    <row r="14318">
      <c r="A14318" s="215" t="n">
        <v>46170</v>
      </c>
      <c r="B14318" s="216" t="n">
        <v>14.39</v>
      </c>
      <c r="C14318" s="216" t="n">
        <v>25.83</v>
      </c>
      <c r="D14318" s="216" t="n">
        <v>1.155385971069336</v>
      </c>
      <c r="E14318" s="215" t="n">
        <v>46170</v>
      </c>
      <c r="F14318" s="215" t="n">
        <v>46170</v>
      </c>
    </row>
    <row r="14319">
      <c r="A14319" s="215" t="n">
        <v>46171</v>
      </c>
      <c r="B14319" s="216" t="n">
        <v>14.15</v>
      </c>
      <c r="C14319" s="216" t="n">
        <v>25.24</v>
      </c>
      <c r="D14319" s="216" t="n">
        <v>1.155282974243164</v>
      </c>
      <c r="E14319" s="215" t="n">
        <v>46171</v>
      </c>
      <c r="F14319" s="215" t="n">
        <v>46171</v>
      </c>
    </row>
    <row r="14320">
      <c r="A14320" s="215" t="n">
        <v>46174</v>
      </c>
      <c r="B14320" s="216" t="n">
        <v>14.62</v>
      </c>
      <c r="C14320" s="216" t="n">
        <v>25.3</v>
      </c>
      <c r="D14320" s="216" t="n">
        <v>1.158049941062927</v>
      </c>
      <c r="E14320" s="215" t="n">
        <v>46174</v>
      </c>
      <c r="F14320" s="215" t="n">
        <v>46174</v>
      </c>
    </row>
    <row r="14321">
      <c r="A14321" s="215" t="n">
        <v>46175</v>
      </c>
      <c r="B14321" s="216" t="n">
        <v>14.66</v>
      </c>
      <c r="C14321" s="216" t="n">
        <v>24.87</v>
      </c>
      <c r="D14321" s="216" t="n">
        <v>1.158406972885132</v>
      </c>
      <c r="E14321" s="215" t="n">
        <v>46175</v>
      </c>
      <c r="F14321" s="215" t="n">
        <v>46175</v>
      </c>
    </row>
    <row r="14322">
      <c r="A14322" s="215" t="n">
        <v>46176</v>
      </c>
      <c r="B14322" s="216" t="n">
        <v>14.29</v>
      </c>
      <c r="C14322" s="216" t="n">
        <v>24.65</v>
      </c>
      <c r="D14322" s="216" t="n">
        <v>1.15879499912262</v>
      </c>
      <c r="E14322" s="215" t="n">
        <v>46176</v>
      </c>
      <c r="F14322" s="215" t="n">
        <v>46176</v>
      </c>
    </row>
    <row r="14323">
      <c r="A14323" s="215" t="n">
        <v>46177</v>
      </c>
      <c r="B14323" s="216" t="n">
        <v>13.62</v>
      </c>
      <c r="C14323" s="216" t="n">
        <v>23.76</v>
      </c>
      <c r="D14323" s="216" t="n">
        <v>1.157420039176941</v>
      </c>
      <c r="E14323" s="215" t="n">
        <v>46177</v>
      </c>
      <c r="F14323" s="215" t="n">
        <v>46177</v>
      </c>
    </row>
    <row r="14324">
      <c r="A14324" s="215" t="n">
        <v>46178</v>
      </c>
      <c r="B14324" s="216" t="n">
        <v>13.34</v>
      </c>
      <c r="C14324" s="216" t="n">
        <v>23.99</v>
      </c>
      <c r="D14324" s="216" t="n">
        <v>1.156491994857788</v>
      </c>
      <c r="E14324" s="215" t="n">
        <v>46178</v>
      </c>
      <c r="F14324" s="215" t="n">
        <v>46178</v>
      </c>
    </row>
    <row r="14325">
      <c r="A14325" s="215" t="n">
        <v>46181</v>
      </c>
      <c r="B14325" s="216" t="n">
        <v>12.65</v>
      </c>
      <c r="C14325" s="216" t="n">
        <v>22.99</v>
      </c>
      <c r="D14325" s="216" t="n">
        <v>1.157665967941284</v>
      </c>
      <c r="E14325" s="215" t="n">
        <v>46181</v>
      </c>
      <c r="F14325" s="215" t="n">
        <v>46181</v>
      </c>
    </row>
    <row r="14326">
      <c r="A14326" s="215" t="n">
        <v>46182</v>
      </c>
      <c r="B14326" s="216" t="n">
        <v>13.07</v>
      </c>
      <c r="C14326" s="216" t="n">
        <v>23.65</v>
      </c>
      <c r="D14326" s="216" t="n">
        <v>1.158027052879333</v>
      </c>
      <c r="E14326" s="215" t="n">
        <v>46182</v>
      </c>
      <c r="F14326" s="215" t="n">
        <v>46182</v>
      </c>
    </row>
    <row r="14327">
      <c r="A14327" s="215" t="n">
        <v>46183</v>
      </c>
      <c r="B14327" s="216" t="n">
        <v>12.15</v>
      </c>
      <c r="C14327" s="216" t="n">
        <v>23.18</v>
      </c>
      <c r="D14327" s="216" t="n">
        <v>1.157112002372742</v>
      </c>
      <c r="E14327" s="215" t="n">
        <v>46183</v>
      </c>
      <c r="F14327" s="215" t="n">
        <v>46183</v>
      </c>
    </row>
    <row r="14328">
      <c r="A14328" s="215" t="n">
        <v>46184</v>
      </c>
      <c r="B14328" s="216" t="n">
        <v>12.55</v>
      </c>
      <c r="C14328" s="216" t="n">
        <v>23.38</v>
      </c>
      <c r="D14328" s="216" t="n">
        <v>1.156929016113281</v>
      </c>
      <c r="E14328" s="215" t="n">
        <v>46184</v>
      </c>
      <c r="F14328" s="215" t="n">
        <v>46184</v>
      </c>
    </row>
    <row r="14329">
      <c r="A14329" s="215" t="n">
        <v>46185</v>
      </c>
      <c r="B14329" s="216" t="n">
        <v>13.86</v>
      </c>
      <c r="C14329" s="216" t="n">
        <v>24.32</v>
      </c>
      <c r="D14329" s="216" t="n">
        <v>1.156345963478088</v>
      </c>
      <c r="E14329" s="215" t="n">
        <v>46185</v>
      </c>
      <c r="F14329" s="215" t="n">
        <v>46185</v>
      </c>
    </row>
    <row r="14330">
      <c r="A14330" s="215" t="n">
        <v>46188</v>
      </c>
      <c r="B14330" s="216" t="n">
        <v>13.82</v>
      </c>
      <c r="C14330" s="216" t="n">
        <v>24.35</v>
      </c>
      <c r="D14330" s="216" t="n">
        <v>1.156880021095276</v>
      </c>
      <c r="E14330" s="215" t="n">
        <v>46188</v>
      </c>
      <c r="F14330" s="215" t="n">
        <v>46188</v>
      </c>
    </row>
    <row r="14331">
      <c r="A14331" s="215" t="n">
        <v>46189</v>
      </c>
      <c r="B14331" s="216" t="n">
        <v>14.37</v>
      </c>
      <c r="C14331" s="216" t="n">
        <v>25.74</v>
      </c>
      <c r="D14331" s="216" t="n">
        <v>1.158604025840759</v>
      </c>
      <c r="E14331" s="215" t="n">
        <v>46189</v>
      </c>
      <c r="F14331" s="215" t="n">
        <v>46189</v>
      </c>
    </row>
    <row r="14332">
      <c r="A14332" s="215" t="n">
        <v>46190</v>
      </c>
      <c r="B14332" s="216" t="n">
        <v>13.64</v>
      </c>
      <c r="C14332" s="216" t="n">
        <v>24.97</v>
      </c>
      <c r="D14332" s="216" t="n">
        <v>1.158974051475525</v>
      </c>
      <c r="E14332" s="215" t="n">
        <v>46190</v>
      </c>
      <c r="F14332" s="215" t="n">
        <v>46190</v>
      </c>
    </row>
    <row r="14333">
      <c r="A14333" s="215" t="n">
        <v>46191</v>
      </c>
      <c r="B14333" s="216" t="n">
        <v>12.34</v>
      </c>
      <c r="C14333" s="216" t="n">
        <v>23.8</v>
      </c>
      <c r="D14333" s="216" t="n">
        <v>1.159355998039246</v>
      </c>
      <c r="E14333" s="215" t="n">
        <v>46191</v>
      </c>
      <c r="F14333" s="215" t="n">
        <v>46191</v>
      </c>
    </row>
    <row r="14334">
      <c r="A14334" s="215" t="n">
        <v>46195</v>
      </c>
      <c r="B14334" s="216" t="n">
        <v>13.53</v>
      </c>
      <c r="C14334" s="216" t="n">
        <v>26.18</v>
      </c>
      <c r="D14334" s="216" t="n">
        <v>1.157493948936462</v>
      </c>
      <c r="E14334" s="215" t="n">
        <v>46195</v>
      </c>
      <c r="F14334" s="215" t="n">
        <v>46195</v>
      </c>
    </row>
    <row r="14335">
      <c r="A14335" s="215" t="n">
        <v>46196</v>
      </c>
      <c r="B14335" s="216" t="n">
        <v>13.11</v>
      </c>
      <c r="C14335" s="216" t="n">
        <v>27.46</v>
      </c>
      <c r="D14335" s="216" t="n">
        <v>1.156896948814392</v>
      </c>
      <c r="E14335" s="215" t="n">
        <v>46196</v>
      </c>
      <c r="F14335" s="215" t="n">
        <v>46196</v>
      </c>
    </row>
    <row r="14336">
      <c r="A14336" s="215" t="n">
        <v>46197</v>
      </c>
      <c r="B14336" s="216" t="n">
        <v>13.63</v>
      </c>
      <c r="C14336" s="216" t="n">
        <v>29.1</v>
      </c>
      <c r="D14336" s="216" t="n">
        <v>1.154508948326111</v>
      </c>
      <c r="E14336" s="215" t="n">
        <v>46197</v>
      </c>
      <c r="F14336" s="215" t="n">
        <v>46197</v>
      </c>
    </row>
    <row r="14337">
      <c r="A14337" s="215" t="n">
        <v>46198</v>
      </c>
      <c r="B14337" s="216" t="n">
        <v>12.77</v>
      </c>
      <c r="C14337" s="216" t="n">
        <v>28.27</v>
      </c>
      <c r="D14337" s="216" t="n">
        <v>1.154152035713196</v>
      </c>
      <c r="E14337" s="215" t="n">
        <v>46198</v>
      </c>
      <c r="F14337" s="215" t="n">
        <v>46198</v>
      </c>
    </row>
    <row r="14338">
      <c r="A14338" s="215" t="n">
        <v>46199</v>
      </c>
      <c r="B14338" s="216" t="n">
        <v>10.75</v>
      </c>
      <c r="C14338" s="216" t="n">
        <v>25.9</v>
      </c>
      <c r="D14338" s="216" t="n">
        <v>1.154500961303711</v>
      </c>
      <c r="E14338" s="215" t="n">
        <v>46199</v>
      </c>
      <c r="F14338" s="215" t="n">
        <v>46199</v>
      </c>
    </row>
    <row r="14339">
      <c r="A14339" s="215" t="n">
        <v>46202</v>
      </c>
      <c r="B14339" s="216" t="n">
        <v>11.06</v>
      </c>
      <c r="C14339" s="216" t="n">
        <v>25.68</v>
      </c>
      <c r="D14339" s="216" t="n">
        <v>1.153512001037598</v>
      </c>
      <c r="E14339" s="215" t="n">
        <v>46202</v>
      </c>
      <c r="F14339" s="215" t="n">
        <v>46202</v>
      </c>
    </row>
    <row r="14340">
      <c r="A14340" s="215" t="n">
        <v>46203</v>
      </c>
      <c r="B14340" s="216" t="n">
        <v>11.28</v>
      </c>
      <c r="C14340" s="216" t="n">
        <v>26.53</v>
      </c>
      <c r="D14340" s="216" t="n">
        <v>1.153959035873413</v>
      </c>
      <c r="E14340" s="215" t="n">
        <v>46203</v>
      </c>
      <c r="F14340" s="215" t="n">
        <v>46203</v>
      </c>
    </row>
    <row r="14341">
      <c r="A14341" s="215" t="n">
        <v>46205</v>
      </c>
      <c r="B14341" s="216" t="n">
        <v>12.12</v>
      </c>
      <c r="C14341" s="216" t="n">
        <v>29.63</v>
      </c>
      <c r="D14341" s="216" t="n">
        <v>1.154355049133301</v>
      </c>
      <c r="E14341" s="215" t="n">
        <v>46205</v>
      </c>
      <c r="F14341" s="215" t="n">
        <v>46205</v>
      </c>
    </row>
    <row r="14342">
      <c r="A14342" s="215" t="n">
        <v>46206</v>
      </c>
      <c r="B14342" s="216" t="n">
        <v>12.54</v>
      </c>
      <c r="C14342" s="216" t="n">
        <v>29.3</v>
      </c>
      <c r="D14342" s="216" t="n">
        <v>1.155220985412598</v>
      </c>
      <c r="E14342" s="215" t="n">
        <v>46206</v>
      </c>
      <c r="F14342" s="215" t="n">
        <v>46206</v>
      </c>
    </row>
    <row r="14343">
      <c r="A14343" s="215" t="n">
        <v>46209</v>
      </c>
      <c r="B14343" s="216" t="n">
        <v>11.86</v>
      </c>
      <c r="C14343" s="216" t="n">
        <v>28.99</v>
      </c>
      <c r="D14343" s="216" t="n">
        <v>1.155068039894104</v>
      </c>
      <c r="E14343" s="215" t="n">
        <v>46209</v>
      </c>
      <c r="F14343" s="215" t="n">
        <v>46209</v>
      </c>
    </row>
    <row r="14344">
      <c r="A14344" s="215" t="n">
        <v>46210</v>
      </c>
      <c r="B14344" s="216" t="n">
        <v>12.81</v>
      </c>
      <c r="C14344" s="216" t="n">
        <v>30.39</v>
      </c>
      <c r="D14344" s="216" t="n">
        <v>1.153807997703552</v>
      </c>
      <c r="E14344" s="215" t="n">
        <v>46210</v>
      </c>
      <c r="F14344" s="215" t="n">
        <v>46210</v>
      </c>
    </row>
    <row r="14345">
      <c r="A14345" s="215" t="n">
        <v>46211</v>
      </c>
      <c r="B14345" s="216" t="n">
        <v>11.16</v>
      </c>
      <c r="C14345" s="216" t="n">
        <v>27.35</v>
      </c>
      <c r="D14345" s="216" t="n">
        <v>1.154153943061829</v>
      </c>
      <c r="E14345" s="215" t="n">
        <v>46211</v>
      </c>
      <c r="F14345" s="215" t="n">
        <v>46211</v>
      </c>
    </row>
    <row r="14346">
      <c r="A14346" s="215" t="n">
        <v>46212</v>
      </c>
      <c r="B14346" s="216" t="n">
        <v>10.38</v>
      </c>
      <c r="C14346" s="216" t="n">
        <v>24.62</v>
      </c>
      <c r="D14346" s="216" t="n">
        <v>1.152119994163513</v>
      </c>
      <c r="E14346" s="215" t="n">
        <v>46212</v>
      </c>
      <c r="F14346" s="215" t="n">
        <v>46212</v>
      </c>
    </row>
    <row r="14347">
      <c r="A14347" s="215" t="n">
        <v>46213</v>
      </c>
      <c r="B14347" s="216" t="n">
        <v>10.18</v>
      </c>
      <c r="C14347" s="216" t="n">
        <v>22.16</v>
      </c>
      <c r="D14347" s="216" t="n">
        <v>1.153550028800964</v>
      </c>
      <c r="E14347" s="215" t="n">
        <v>46213</v>
      </c>
      <c r="F14347" s="215" t="n">
        <v>46213</v>
      </c>
    </row>
    <row r="14348">
      <c r="A14348" s="215" t="n">
        <v>46216</v>
      </c>
      <c r="B14348" s="216" t="n">
        <v>10.6</v>
      </c>
      <c r="C14348" s="216" t="n">
        <v>20.74</v>
      </c>
      <c r="D14348" s="216" t="n">
        <v>1.156761050224304</v>
      </c>
      <c r="E14348" s="215" t="n">
        <v>46216</v>
      </c>
      <c r="F14348" s="215" t="n">
        <v>46216</v>
      </c>
    </row>
    <row r="14349">
      <c r="A14349" s="215" t="n">
        <v>46217</v>
      </c>
      <c r="B14349" s="216" t="n">
        <v>10.32</v>
      </c>
      <c r="C14349" s="216" t="n">
        <v>20.81</v>
      </c>
      <c r="D14349" s="216" t="n">
        <v>1.155825972557068</v>
      </c>
      <c r="E14349" s="215" t="n">
        <v>46217</v>
      </c>
      <c r="F14349" s="215" t="n">
        <v>46217</v>
      </c>
    </row>
    <row r="14350">
      <c r="A14350" s="215" t="n">
        <v>46218</v>
      </c>
      <c r="B14350" s="216" t="n">
        <v>10.16</v>
      </c>
      <c r="C14350" s="216" t="n">
        <v>19.78</v>
      </c>
      <c r="D14350" s="216" t="n">
        <v>1.157556056976318</v>
      </c>
      <c r="E14350" s="215" t="n">
        <v>46218</v>
      </c>
      <c r="F14350" s="215" t="n">
        <v>46218</v>
      </c>
    </row>
    <row r="14351">
      <c r="A14351" s="215" t="n">
        <v>46219</v>
      </c>
      <c r="B14351" s="216" t="n">
        <v>10.17</v>
      </c>
      <c r="C14351" s="216" t="n">
        <v>19.5</v>
      </c>
      <c r="D14351" s="216" t="n">
        <v>1.157912969589233</v>
      </c>
      <c r="E14351" s="215" t="n">
        <v>46219</v>
      </c>
      <c r="F14351" s="215" t="n">
        <v>46219</v>
      </c>
    </row>
    <row r="14352">
      <c r="A14352" s="215" t="n">
        <v>46220</v>
      </c>
      <c r="B14352" s="216" t="n">
        <v>9.52</v>
      </c>
      <c r="C14352" s="216" t="n">
        <v>18.5</v>
      </c>
      <c r="D14352" s="216" t="n">
        <v>1.157472014427185</v>
      </c>
      <c r="E14352" s="215" t="n">
        <v>46220</v>
      </c>
      <c r="F14352" s="215" t="n">
        <v>46220</v>
      </c>
    </row>
    <row r="14353">
      <c r="A14353" s="215" t="n">
        <v>46223</v>
      </c>
      <c r="B14353" s="216" t="n">
        <v>9.25</v>
      </c>
      <c r="C14353" s="216" t="n">
        <v>17.16</v>
      </c>
      <c r="D14353" s="216" t="n">
        <v>1.157451033592224</v>
      </c>
      <c r="E14353" s="215" t="n">
        <v>46223</v>
      </c>
      <c r="F14353" s="215" t="n">
        <v>46223</v>
      </c>
    </row>
    <row r="14354">
      <c r="A14354" s="215" t="n">
        <v>46224</v>
      </c>
      <c r="B14354" s="216" t="n">
        <v>9.470000000000001</v>
      </c>
      <c r="C14354" s="216" t="n">
        <v>17.76</v>
      </c>
      <c r="D14354" s="216" t="n">
        <v>1.157506942749023</v>
      </c>
      <c r="E14354" s="215" t="n">
        <v>46224</v>
      </c>
      <c r="F14354" s="215" t="n">
        <v>46224</v>
      </c>
    </row>
    <row r="14355">
      <c r="A14355" s="215" t="n">
        <v>46225</v>
      </c>
      <c r="B14355" s="216" t="n">
        <v>9.52</v>
      </c>
      <c r="C14355" s="216" t="n">
        <v>17.2</v>
      </c>
      <c r="D14355" s="216" t="n">
        <v>1.158938050270081</v>
      </c>
      <c r="E14355" s="215" t="n">
        <v>46225</v>
      </c>
      <c r="F14355" s="215" t="n">
        <v>46225</v>
      </c>
    </row>
    <row r="14356">
      <c r="A14356" s="215" t="n">
        <v>46226</v>
      </c>
      <c r="B14356" s="216" t="n">
        <v>9.98</v>
      </c>
      <c r="C14356" s="216" t="n">
        <v>18.12</v>
      </c>
      <c r="D14356" s="216" t="n">
        <v>1.157410979270935</v>
      </c>
      <c r="E14356" s="215" t="n">
        <v>46226</v>
      </c>
      <c r="F14356" s="215" t="n">
        <v>46226</v>
      </c>
    </row>
    <row r="14357">
      <c r="A14357" s="215" t="n">
        <v>46227</v>
      </c>
      <c r="B14357" s="216" t="n">
        <v>9.59</v>
      </c>
      <c r="C14357" s="216" t="n">
        <v>17.24</v>
      </c>
      <c r="D14357" s="216" t="n">
        <v>1.15762197971344</v>
      </c>
      <c r="E14357" s="215" t="n">
        <v>46227</v>
      </c>
      <c r="F14357" s="215" t="n">
        <v>46227</v>
      </c>
    </row>
    <row r="14358">
      <c r="A14358" s="215" t="n">
        <v>46230</v>
      </c>
      <c r="B14358" s="216" t="n">
        <v>10.3</v>
      </c>
      <c r="C14358" s="216" t="n">
        <v>18.96</v>
      </c>
      <c r="D14358" s="216" t="n">
        <v>1.15789794921875</v>
      </c>
      <c r="E14358" s="215" t="n">
        <v>46230</v>
      </c>
      <c r="F14358" s="215" t="n">
        <v>46230</v>
      </c>
    </row>
    <row r="14359">
      <c r="A14359" s="215" t="n">
        <v>46231</v>
      </c>
      <c r="B14359" s="216" t="n">
        <v>9.880000000000001</v>
      </c>
      <c r="C14359" s="216" t="n">
        <v>18.72</v>
      </c>
      <c r="D14359" s="216" t="n">
        <v>1.158699035644531</v>
      </c>
      <c r="E14359" s="215" t="n">
        <v>46231</v>
      </c>
      <c r="F14359" s="215" t="n">
        <v>46231</v>
      </c>
    </row>
    <row r="14360">
      <c r="A14360" s="215" t="n">
        <v>46232</v>
      </c>
      <c r="B14360" s="216" t="n">
        <v>10.03</v>
      </c>
      <c r="C14360" s="216" t="n">
        <v>18.83</v>
      </c>
      <c r="D14360" s="216" t="n">
        <v>1.157909989356995</v>
      </c>
      <c r="E14360" s="215" t="n">
        <v>46232</v>
      </c>
      <c r="F14360" s="215" t="n">
        <v>46232</v>
      </c>
    </row>
    <row r="14361">
      <c r="A14361" s="215" t="n">
        <v>46233</v>
      </c>
      <c r="B14361" s="216" t="n">
        <v>9.630000000000001</v>
      </c>
      <c r="C14361" s="216" t="n">
        <v>18.35</v>
      </c>
      <c r="D14361" s="216" t="n">
        <v>1.158943057060242</v>
      </c>
      <c r="E14361" s="215" t="n">
        <v>46233</v>
      </c>
      <c r="F14361" s="215" t="n">
        <v>46233</v>
      </c>
    </row>
    <row r="14362">
      <c r="A14362" s="215" t="n">
        <v>46234</v>
      </c>
      <c r="B14362" s="216" t="n">
        <v>9.82</v>
      </c>
      <c r="C14362" s="216" t="n">
        <v>18.64</v>
      </c>
      <c r="D14362" s="216" t="n">
        <v>1.160945057868958</v>
      </c>
      <c r="E14362" s="215" t="n">
        <v>46234</v>
      </c>
      <c r="F14362" s="215" t="n">
        <v>46234</v>
      </c>
    </row>
    <row r="14363">
      <c r="A14363" s="215" t="n">
        <v>46237</v>
      </c>
      <c r="B14363" s="216" t="n">
        <v>9.865</v>
      </c>
      <c r="C14363" s="216" t="n">
        <v>18.78</v>
      </c>
      <c r="D14363" s="216" t="n">
        <v>1.161579966545105</v>
      </c>
      <c r="E14363" s="215" t="n">
        <v>46237</v>
      </c>
      <c r="F14363" s="215" t="n">
        <v>46237</v>
      </c>
    </row>
    <row r="14364">
      <c r="A14364" s="215" t="n">
        <v>46238</v>
      </c>
      <c r="B14364" s="216" t="n">
        <v>10.05</v>
      </c>
      <c r="C14364" s="216" t="n">
        <v>19.01</v>
      </c>
      <c r="D14364" s="216" t="n">
        <v>1.161064982414246</v>
      </c>
      <c r="E14364" s="215" t="n">
        <v>46238</v>
      </c>
      <c r="F14364" s="215" t="n">
        <v>46238</v>
      </c>
    </row>
    <row r="14365">
      <c r="A14365" s="215" t="n">
        <v>46239</v>
      </c>
      <c r="B14365" s="216" t="n">
        <v>10.4</v>
      </c>
      <c r="C14365" s="216" t="n">
        <v>19.6</v>
      </c>
      <c r="D14365" s="216" t="n">
        <v>1.161146998405457</v>
      </c>
      <c r="E14365" s="215" t="n">
        <v>46239</v>
      </c>
      <c r="F14365" s="215" t="n">
        <v>46239</v>
      </c>
    </row>
    <row r="14366">
      <c r="A14366" s="215" t="n">
        <v>46240</v>
      </c>
      <c r="B14366" s="216" t="n">
        <v>10.28</v>
      </c>
      <c r="C14366" s="216" t="n">
        <v>19.62</v>
      </c>
      <c r="D14366" s="216" t="n">
        <v>1.161936044692993</v>
      </c>
      <c r="E14366" s="215" t="n">
        <v>46240</v>
      </c>
      <c r="F14366" s="215" t="n">
        <v>46240</v>
      </c>
    </row>
    <row r="14367">
      <c r="A14367" s="215" t="n">
        <v>46241</v>
      </c>
      <c r="B14367" s="216" t="n">
        <v>10.21</v>
      </c>
      <c r="C14367" s="216" t="n">
        <v>19.45</v>
      </c>
      <c r="D14367" s="216" t="n">
        <v>1.162284016609192</v>
      </c>
      <c r="E14367" s="215" t="n">
        <v>46241</v>
      </c>
      <c r="F14367" s="215" t="n">
        <v>46241</v>
      </c>
    </row>
    <row r="14368">
      <c r="A14368" s="215" t="n">
        <v>46244</v>
      </c>
      <c r="B14368" s="216" t="n">
        <v>10.46</v>
      </c>
      <c r="C14368" s="216" t="n">
        <v>20.29</v>
      </c>
      <c r="D14368" s="216" t="n">
        <v>1.162629961967468</v>
      </c>
      <c r="E14368" s="215" t="n">
        <v>46244</v>
      </c>
      <c r="F14368" s="215" t="n">
        <v>46244</v>
      </c>
    </row>
    <row r="14369">
      <c r="A14369" s="215" t="n">
        <v>46245</v>
      </c>
      <c r="B14369" s="216" t="n">
        <v>10.15</v>
      </c>
      <c r="C14369" s="216" t="n">
        <v>19.83</v>
      </c>
      <c r="D14369" s="216" t="n">
        <v>1.162588000297546</v>
      </c>
      <c r="E14369" s="215" t="n">
        <v>46245</v>
      </c>
      <c r="F14369" s="215" t="n">
        <v>46245</v>
      </c>
    </row>
    <row r="14370">
      <c r="A14370" s="215" t="n">
        <v>46246</v>
      </c>
      <c r="B14370" s="216" t="n">
        <v>10.16</v>
      </c>
      <c r="C14370" s="216" t="n">
        <v>20.02</v>
      </c>
      <c r="D14370" s="216" t="n">
        <v>1.163135051727295</v>
      </c>
      <c r="E14370" s="215" t="n">
        <v>46246</v>
      </c>
      <c r="F14370" s="215" t="n">
        <v>46246</v>
      </c>
    </row>
    <row r="14371">
      <c r="A14371" s="215" t="n">
        <v>46247</v>
      </c>
      <c r="B14371" s="216" t="n">
        <v>9.960000000000001</v>
      </c>
      <c r="C14371" s="216" t="n">
        <v>19.68</v>
      </c>
      <c r="D14371" s="216" t="n">
        <v>1.163341045379639</v>
      </c>
      <c r="E14371" s="215" t="n">
        <v>46247</v>
      </c>
      <c r="F14371" s="215" t="n">
        <v>46247</v>
      </c>
    </row>
    <row r="14372">
      <c r="A14372" s="215" t="n">
        <v>46248</v>
      </c>
      <c r="B14372" s="216" t="n">
        <v>9.994999999999999</v>
      </c>
      <c r="C14372" s="216" t="n">
        <v>19.98</v>
      </c>
      <c r="D14372" s="216" t="n">
        <v>1.163571000099182</v>
      </c>
      <c r="E14372" s="215" t="n">
        <v>46248</v>
      </c>
      <c r="F14372" s="215" t="n">
        <v>46248</v>
      </c>
    </row>
    <row r="14373">
      <c r="A14373" s="215" t="n">
        <v>46251</v>
      </c>
      <c r="B14373" s="216" t="n">
        <v>10.44</v>
      </c>
      <c r="C14373" s="216" t="n">
        <v>20.76</v>
      </c>
      <c r="D14373" s="216" t="n">
        <v>1.163601994514465</v>
      </c>
      <c r="E14373" s="215" t="n">
        <v>46251</v>
      </c>
      <c r="F14373" s="215" t="n">
        <v>46251</v>
      </c>
    </row>
    <row r="14374">
      <c r="A14374" s="215" t="n">
        <v>46252</v>
      </c>
      <c r="B14374" s="216" t="n">
        <v>9.859999999999999</v>
      </c>
      <c r="C14374" s="216" t="n">
        <v>20.03</v>
      </c>
      <c r="D14374" s="216" t="n">
        <v>1.163733005523682</v>
      </c>
      <c r="E14374" s="215" t="n">
        <v>46252</v>
      </c>
      <c r="F14374" s="215" t="n">
        <v>46252</v>
      </c>
    </row>
    <row r="14375">
      <c r="A14375" s="215" t="n">
        <v>46253</v>
      </c>
      <c r="B14375" s="216" t="n">
        <v>9.59</v>
      </c>
      <c r="C14375" s="216" t="n">
        <v>19.35</v>
      </c>
      <c r="D14375" s="216" t="n">
        <v>1.163092017173767</v>
      </c>
      <c r="E14375" s="215" t="n">
        <v>46253</v>
      </c>
      <c r="F14375" s="215" t="n">
        <v>46253</v>
      </c>
    </row>
    <row r="14376">
      <c r="A14376" s="215" t="n">
        <v>46254</v>
      </c>
      <c r="B14376" s="216" t="n">
        <v>9.33</v>
      </c>
      <c r="C14376" s="216" t="n">
        <v>18.9</v>
      </c>
      <c r="D14376" s="216" t="n">
        <v>1.164932012557983</v>
      </c>
      <c r="E14376" s="215" t="n">
        <v>46254</v>
      </c>
      <c r="F14376" s="215" t="n">
        <v>46254</v>
      </c>
    </row>
    <row r="14377">
      <c r="A14377" s="215" t="n">
        <v>46255</v>
      </c>
      <c r="B14377" s="216" t="n">
        <v>9.945</v>
      </c>
      <c r="C14377" s="216" t="n">
        <v>19.65</v>
      </c>
      <c r="D14377" s="216" t="n">
        <v>1.166555047035217</v>
      </c>
      <c r="E14377" s="215" t="n">
        <v>46255</v>
      </c>
      <c r="F14377" s="215" t="n">
        <v>46255</v>
      </c>
    </row>
    <row r="14378">
      <c r="A14378" s="215" t="n">
        <v>46258</v>
      </c>
      <c r="B14378" s="216" t="n">
        <v>9.945</v>
      </c>
      <c r="C14378" s="216" t="n">
        <v>19.78</v>
      </c>
      <c r="D14378" s="216" t="n">
        <v>1.166316986083984</v>
      </c>
      <c r="E14378" s="215" t="n">
        <v>46258</v>
      </c>
      <c r="F14378" s="215" t="n">
        <v>46258</v>
      </c>
    </row>
    <row r="14379">
      <c r="A14379" s="215" t="n">
        <v>46259</v>
      </c>
      <c r="B14379" s="216" t="n">
        <v>9.710000000000001</v>
      </c>
      <c r="C14379" s="216" t="n">
        <v>19.24</v>
      </c>
      <c r="D14379" s="216" t="n">
        <v>1.165253043174744</v>
      </c>
      <c r="E14379" s="215" t="n">
        <v>46259</v>
      </c>
      <c r="F14379" s="215" t="n">
        <v>46259</v>
      </c>
    </row>
    <row r="14380">
      <c r="A14380" s="215" t="n">
        <v>46260</v>
      </c>
      <c r="B14380" s="216" t="n">
        <v>9.965</v>
      </c>
      <c r="C14380" s="216" t="n">
        <v>19.39</v>
      </c>
      <c r="D14380" s="216" t="n">
        <v>1.166218996047974</v>
      </c>
      <c r="E14380" s="215" t="n">
        <v>46260</v>
      </c>
      <c r="F14380" s="215" t="n">
        <v>46260</v>
      </c>
    </row>
    <row r="14381">
      <c r="A14381" s="215" t="n">
        <v>46261</v>
      </c>
      <c r="B14381" s="216" t="n">
        <v>10.08</v>
      </c>
      <c r="C14381" s="216" t="n">
        <v>19.63</v>
      </c>
      <c r="D14381" s="216" t="n">
        <v>1.165971040725708</v>
      </c>
      <c r="E14381" s="215" t="n">
        <v>46261</v>
      </c>
      <c r="F14381" s="215" t="n">
        <v>46261</v>
      </c>
    </row>
    <row r="14382">
      <c r="A14382" s="215" t="n">
        <v>46262</v>
      </c>
      <c r="B14382" s="216" t="n">
        <v>10.15</v>
      </c>
      <c r="C14382" s="216" t="n">
        <v>19.59</v>
      </c>
      <c r="D14382" s="216" t="n">
        <v>1.165799975395203</v>
      </c>
      <c r="E14382" s="215" t="n">
        <v>46262</v>
      </c>
      <c r="F14382" s="215" t="n">
        <v>46262</v>
      </c>
    </row>
    <row r="14383">
      <c r="A14383" s="215" t="n">
        <v>46265</v>
      </c>
      <c r="B14383" s="216" t="n">
        <v>9.99</v>
      </c>
      <c r="C14383" s="216" t="n">
        <v>19.39</v>
      </c>
      <c r="D14383" s="216" t="n">
        <v>1.165387988090515</v>
      </c>
      <c r="E14383" s="215" t="n">
        <v>46265</v>
      </c>
      <c r="F14383" s="215" t="n">
        <v>46265</v>
      </c>
    </row>
    <row r="14384">
      <c r="A14384" s="215" t="n">
        <v>46266</v>
      </c>
      <c r="B14384" s="216" t="n">
        <v>9.789999999999999</v>
      </c>
      <c r="C14384" s="216" t="n">
        <v>19.03</v>
      </c>
      <c r="D14384" s="216" t="n">
        <v>1.165223956108093</v>
      </c>
      <c r="E14384" s="215" t="n">
        <v>46266</v>
      </c>
      <c r="F14384" s="215" t="n">
        <v>46266</v>
      </c>
    </row>
    <row r="14385">
      <c r="A14385" s="215" t="n">
        <v>46267</v>
      </c>
      <c r="B14385" s="216" t="n">
        <v>9.42</v>
      </c>
      <c r="C14385" s="216" t="n">
        <v>18.62</v>
      </c>
      <c r="D14385" s="216" t="n">
        <v>1.166425943374634</v>
      </c>
      <c r="E14385" s="215" t="n">
        <v>46267</v>
      </c>
      <c r="F14385" s="215" t="n">
        <v>46267</v>
      </c>
    </row>
    <row r="14386">
      <c r="A14386" s="215" t="n">
        <v>46268</v>
      </c>
      <c r="B14386" s="216" t="n">
        <v>9.699999999999999</v>
      </c>
      <c r="C14386" s="216" t="n">
        <v>19.54</v>
      </c>
      <c r="D14386" s="216" t="n">
        <v>1.167057037353516</v>
      </c>
      <c r="E14386" s="215" t="n">
        <v>46268</v>
      </c>
      <c r="F14386" s="215" t="n">
        <v>46268</v>
      </c>
    </row>
    <row r="14387">
      <c r="A14387" s="215" t="n">
        <v>46269</v>
      </c>
      <c r="B14387" s="216" t="n">
        <v>9.4</v>
      </c>
      <c r="C14387" s="216" t="n">
        <v>18.7</v>
      </c>
      <c r="D14387" s="216" t="n">
        <v>1.166767954826355</v>
      </c>
      <c r="E14387" s="215" t="n">
        <v>46269</v>
      </c>
      <c r="F14387" s="215" t="n">
        <v>46269</v>
      </c>
    </row>
    <row r="14388">
      <c r="A14388" s="215" t="n">
        <v>46272</v>
      </c>
      <c r="B14388" s="216" t="n">
        <v>9.365</v>
      </c>
      <c r="C14388" s="216" t="n">
        <v>18.59</v>
      </c>
      <c r="D14388" s="216" t="n">
        <v>1.168081045150757</v>
      </c>
      <c r="E14388" s="215" t="n">
        <v>46272</v>
      </c>
      <c r="F14388" s="215" t="n">
        <v>46272</v>
      </c>
    </row>
    <row r="14389">
      <c r="A14389" s="215" t="n">
        <v>46273</v>
      </c>
      <c r="B14389" s="216" t="n">
        <v>9.19</v>
      </c>
      <c r="C14389" s="216" t="n">
        <v>18.41</v>
      </c>
      <c r="D14389" s="216" t="n">
        <v>1.168115019798279</v>
      </c>
      <c r="E14389" s="215" t="n">
        <v>46273</v>
      </c>
      <c r="F14389" s="215" t="n">
        <v>46273</v>
      </c>
    </row>
    <row r="14390">
      <c r="A14390" s="215" t="n">
        <v>46274</v>
      </c>
      <c r="B14390" s="216" t="n">
        <v>9.220000000000001</v>
      </c>
      <c r="C14390" s="216" t="n">
        <v>18.46</v>
      </c>
      <c r="D14390" s="216" t="n">
        <v>1.168408989906311</v>
      </c>
      <c r="E14390" s="215" t="n">
        <v>46274</v>
      </c>
      <c r="F14390" s="215" t="n">
        <v>46274</v>
      </c>
    </row>
    <row r="14391">
      <c r="A14391" s="215" t="n">
        <v>46275</v>
      </c>
      <c r="B14391" s="216" t="n">
        <v>9.01</v>
      </c>
      <c r="C14391" s="216" t="n">
        <v>18.06</v>
      </c>
      <c r="D14391" s="216" t="n">
        <v>1.168462991714478</v>
      </c>
      <c r="E14391" s="215" t="n">
        <v>46275</v>
      </c>
      <c r="F14391" s="215" t="n">
        <v>46275</v>
      </c>
    </row>
    <row r="14392">
      <c r="A14392" s="215" t="n">
        <v>46276</v>
      </c>
      <c r="B14392" s="216" t="n">
        <v>8.82</v>
      </c>
      <c r="C14392" s="216" t="n">
        <v>17.53</v>
      </c>
      <c r="D14392" s="216" t="n">
        <v>1.169165015220642</v>
      </c>
      <c r="E14392" s="215" t="n">
        <v>46276</v>
      </c>
      <c r="F14392" s="215" t="n">
        <v>46276</v>
      </c>
    </row>
    <row r="14393">
      <c r="A14393" s="215" t="n">
        <v>46279</v>
      </c>
      <c r="B14393" s="216" t="n">
        <v>8.895</v>
      </c>
      <c r="C14393" s="216" t="n">
        <v>17.84</v>
      </c>
      <c r="D14393" s="216" t="n">
        <v>1.16893994808197</v>
      </c>
      <c r="E14393" s="215" t="n">
        <v>46279</v>
      </c>
      <c r="F14393" s="215" t="n">
        <v>46279</v>
      </c>
    </row>
    <row r="14394">
      <c r="A14394" s="215" t="n">
        <v>46280</v>
      </c>
      <c r="B14394" s="216" t="n">
        <v>8.83</v>
      </c>
      <c r="C14394" s="216" t="n">
        <v>18.02</v>
      </c>
      <c r="D14394" s="216" t="n">
        <v>1.169121026992798</v>
      </c>
      <c r="E14394" s="215" t="n">
        <v>46280</v>
      </c>
      <c r="F14394" s="215" t="n">
        <v>46280</v>
      </c>
    </row>
    <row r="14395">
      <c r="A14395" s="215" t="n">
        <v>46281</v>
      </c>
      <c r="B14395" s="216" t="n">
        <v>8.92</v>
      </c>
      <c r="C14395" s="216" t="n">
        <v>18.36</v>
      </c>
      <c r="D14395" s="216" t="n">
        <v>1.168769955635071</v>
      </c>
      <c r="E14395" s="215" t="n">
        <v>46281</v>
      </c>
      <c r="F14395" s="215" t="n">
        <v>46281</v>
      </c>
    </row>
    <row r="14396">
      <c r="A14396" s="215" t="n">
        <v>46282</v>
      </c>
      <c r="B14396" s="216" t="n">
        <v>8.785</v>
      </c>
      <c r="C14396" s="216" t="n">
        <v>18.19</v>
      </c>
      <c r="D14396" s="216" t="n">
        <v>1.169389963150024</v>
      </c>
      <c r="E14396" s="215" t="n">
        <v>46282</v>
      </c>
      <c r="F14396" s="215" t="n">
        <v>46282</v>
      </c>
    </row>
    <row r="14397">
      <c r="A14397" s="215" t="n">
        <v>46283</v>
      </c>
      <c r="B14397" s="216" t="n">
        <v>8.970000000000001</v>
      </c>
      <c r="C14397" s="216" t="n">
        <v>18.29</v>
      </c>
      <c r="D14397" s="216" t="n">
        <v>1.16942298412323</v>
      </c>
      <c r="E14397" s="215" t="n">
        <v>46283</v>
      </c>
      <c r="F14397" s="215" t="n">
        <v>46283</v>
      </c>
    </row>
    <row r="14398">
      <c r="A14398" s="215" t="n">
        <v>46286</v>
      </c>
      <c r="B14398" s="216" t="n">
        <v>9.01</v>
      </c>
      <c r="C14398" s="216" t="n">
        <v>18.23</v>
      </c>
      <c r="D14398" s="216" t="n">
        <v>1.171280026435852</v>
      </c>
      <c r="E14398" s="215" t="n">
        <v>46286</v>
      </c>
      <c r="F14398" s="215" t="n">
        <v>46286</v>
      </c>
    </row>
    <row r="14399">
      <c r="A14399" s="215" t="n">
        <v>46287</v>
      </c>
      <c r="B14399" s="216" t="n">
        <v>8.984999999999999</v>
      </c>
      <c r="C14399" s="216" t="n">
        <v>18.18</v>
      </c>
      <c r="D14399" s="216" t="n">
        <v>1.171705007553101</v>
      </c>
      <c r="E14399" s="215" t="n">
        <v>46287</v>
      </c>
      <c r="F14399" s="215" t="n">
        <v>46287</v>
      </c>
    </row>
    <row r="14400">
      <c r="A14400" s="215" t="n">
        <v>46288</v>
      </c>
      <c r="B14400" s="216" t="n">
        <v>8.9</v>
      </c>
      <c r="C14400" s="216" t="n">
        <v>18.02</v>
      </c>
      <c r="D14400" s="216" t="n">
        <v>1.170611023902893</v>
      </c>
      <c r="E14400" s="215" t="n">
        <v>46288</v>
      </c>
      <c r="F14400" s="215" t="n">
        <v>46288</v>
      </c>
    </row>
    <row r="14401">
      <c r="A14401" s="215" t="n">
        <v>46289</v>
      </c>
      <c r="B14401" s="216" t="n">
        <v>8.705</v>
      </c>
      <c r="C14401" s="216" t="n">
        <v>17.62</v>
      </c>
      <c r="D14401" s="216" t="n">
        <v>1.16852605342865</v>
      </c>
      <c r="E14401" s="215" t="n">
        <v>46289</v>
      </c>
      <c r="F14401" s="215" t="n">
        <v>46289</v>
      </c>
    </row>
    <row r="14402">
      <c r="A14402" s="215" t="n">
        <v>46290</v>
      </c>
      <c r="B14402" s="216" t="n">
        <v>8.935</v>
      </c>
      <c r="C14402" s="216" t="n">
        <v>17.62</v>
      </c>
      <c r="D14402" s="216" t="n">
        <v>1.168424010276794</v>
      </c>
      <c r="E14402" s="215" t="n">
        <v>46289</v>
      </c>
      <c r="F14402" s="215" t="n">
        <v>46290</v>
      </c>
    </row>
    <row r="14403">
      <c r="A14403" s="215" t="n">
        <v>46293</v>
      </c>
      <c r="B14403" s="216" t="n">
        <v>8.42</v>
      </c>
      <c r="C14403" s="216" t="n">
        <v>16.85</v>
      </c>
      <c r="D14403" s="216" t="n">
        <v>1.168378949165344</v>
      </c>
      <c r="E14403" s="215" t="n">
        <v>46293</v>
      </c>
      <c r="F14403" s="215" t="n">
        <v>46293</v>
      </c>
    </row>
    <row r="14404">
      <c r="A14404" s="215" t="n">
        <v>46294</v>
      </c>
      <c r="B14404" s="216" t="n">
        <v>8.69</v>
      </c>
      <c r="C14404" s="216" t="n">
        <v>17.31</v>
      </c>
      <c r="D14404" s="216" t="n">
        <v>1.168815970420837</v>
      </c>
      <c r="E14404" s="215" t="n">
        <v>46294</v>
      </c>
      <c r="F14404" s="215" t="n">
        <v>46294</v>
      </c>
    </row>
    <row r="14405">
      <c r="A14405" s="215" t="n">
        <v>46295</v>
      </c>
      <c r="B14405" s="216" t="n">
        <v>9.24</v>
      </c>
      <c r="C14405" s="216" t="n">
        <v>19.04</v>
      </c>
      <c r="D14405" s="216" t="n">
        <v>1.17059600353241</v>
      </c>
      <c r="E14405" s="215" t="n">
        <v>46295</v>
      </c>
      <c r="F14405" s="215" t="n">
        <v>46295</v>
      </c>
    </row>
    <row r="14406">
      <c r="A14406" s="215" t="n">
        <v>46297</v>
      </c>
      <c r="B14406" s="216" t="n">
        <v>9.029999999999999</v>
      </c>
      <c r="C14406" s="216" t="n">
        <v>19.04</v>
      </c>
      <c r="D14406" s="216" t="n">
        <v>1.170220971107483</v>
      </c>
      <c r="E14406" s="215" t="n">
        <v>46295</v>
      </c>
      <c r="F14406" s="215" t="n">
        <v>46297</v>
      </c>
    </row>
    <row r="14407">
      <c r="A14407" s="215" t="n">
        <v>46212</v>
      </c>
      <c r="B14407" s="216" t="n">
        <v>28.8</v>
      </c>
      <c r="C14407" s="216" t="n">
        <v>55.57</v>
      </c>
      <c r="D14407" s="216" t="n">
        <v>1.152119994163513</v>
      </c>
      <c r="E14407" s="215" t="n">
        <v>46212</v>
      </c>
      <c r="F14407" s="215" t="n">
        <v>46212</v>
      </c>
    </row>
    <row r="14408">
      <c r="A14408" s="215" t="n">
        <v>46213</v>
      </c>
      <c r="B14408" s="216" t="n">
        <v>27.3</v>
      </c>
      <c r="C14408" s="216" t="n">
        <v>54.58</v>
      </c>
      <c r="D14408" s="216" t="n">
        <v>1.153550028800964</v>
      </c>
      <c r="E14408" s="215" t="n">
        <v>46213</v>
      </c>
      <c r="F14408" s="215" t="n">
        <v>46213</v>
      </c>
    </row>
    <row r="14409">
      <c r="A14409" s="215" t="n">
        <v>46216</v>
      </c>
      <c r="B14409" s="216" t="n">
        <v>24.66</v>
      </c>
      <c r="C14409" s="216" t="n">
        <v>49.4</v>
      </c>
      <c r="D14409" s="216" t="n">
        <v>1.156761050224304</v>
      </c>
      <c r="E14409" s="215" t="n">
        <v>46216</v>
      </c>
      <c r="F14409" s="215" t="n">
        <v>46216</v>
      </c>
    </row>
    <row r="14410">
      <c r="A14410" s="215" t="n">
        <v>46217</v>
      </c>
      <c r="B14410" s="216" t="n">
        <v>25.54</v>
      </c>
      <c r="C14410" s="216" t="n">
        <v>50.7</v>
      </c>
      <c r="D14410" s="216" t="n">
        <v>1.155825972557068</v>
      </c>
      <c r="E14410" s="215" t="n">
        <v>46217</v>
      </c>
      <c r="F14410" s="215" t="n">
        <v>46217</v>
      </c>
    </row>
    <row r="14411">
      <c r="A14411" s="215" t="n">
        <v>46218</v>
      </c>
      <c r="B14411" s="216" t="n">
        <v>27.02</v>
      </c>
      <c r="C14411" s="216" t="n">
        <v>49.14</v>
      </c>
      <c r="D14411" s="216" t="n">
        <v>1.157556056976318</v>
      </c>
      <c r="E14411" s="215" t="n">
        <v>46218</v>
      </c>
      <c r="F14411" s="215" t="n">
        <v>46218</v>
      </c>
    </row>
    <row r="14412">
      <c r="A14412" s="215" t="n">
        <v>46219</v>
      </c>
      <c r="B14412" s="216" t="n">
        <v>25.6</v>
      </c>
      <c r="C14412" s="216" t="n">
        <v>46.06</v>
      </c>
      <c r="D14412" s="216" t="n">
        <v>1.157912969589233</v>
      </c>
      <c r="E14412" s="215" t="n">
        <v>46219</v>
      </c>
      <c r="F14412" s="215" t="n">
        <v>46219</v>
      </c>
    </row>
    <row r="14413">
      <c r="A14413" s="215" t="n">
        <v>46220</v>
      </c>
      <c r="B14413" s="216" t="n">
        <v>23.96</v>
      </c>
      <c r="C14413" s="216" t="n">
        <v>41.49</v>
      </c>
      <c r="D14413" s="216" t="n">
        <v>1.157472014427185</v>
      </c>
      <c r="E14413" s="215" t="n">
        <v>46220</v>
      </c>
      <c r="F14413" s="215" t="n">
        <v>46220</v>
      </c>
    </row>
    <row r="14414">
      <c r="A14414" s="215" t="n">
        <v>46223</v>
      </c>
      <c r="B14414" s="216" t="n">
        <v>23.92</v>
      </c>
      <c r="C14414" s="216" t="n">
        <v>38.52</v>
      </c>
      <c r="D14414" s="216" t="n">
        <v>1.157451033592224</v>
      </c>
      <c r="E14414" s="215" t="n">
        <v>46223</v>
      </c>
      <c r="F14414" s="215" t="n">
        <v>46223</v>
      </c>
    </row>
    <row r="14415">
      <c r="A14415" s="215" t="n">
        <v>46224</v>
      </c>
      <c r="B14415" s="216" t="n">
        <v>25.7</v>
      </c>
      <c r="C14415" s="216" t="n">
        <v>42.19</v>
      </c>
      <c r="D14415" s="216" t="n">
        <v>1.157506942749023</v>
      </c>
      <c r="E14415" s="215" t="n">
        <v>46224</v>
      </c>
      <c r="F14415" s="215" t="n">
        <v>46224</v>
      </c>
    </row>
    <row r="14416">
      <c r="A14416" s="215" t="n">
        <v>46225</v>
      </c>
      <c r="B14416" s="216" t="n">
        <v>26.2</v>
      </c>
      <c r="C14416" s="216" t="n">
        <v>41.36</v>
      </c>
      <c r="D14416" s="216" t="n">
        <v>1.158938050270081</v>
      </c>
      <c r="E14416" s="215" t="n">
        <v>46225</v>
      </c>
      <c r="F14416" s="215" t="n">
        <v>46225</v>
      </c>
    </row>
    <row r="14417">
      <c r="A14417" s="215" t="n">
        <v>46226</v>
      </c>
      <c r="B14417" s="216" t="n">
        <v>28.16</v>
      </c>
      <c r="C14417" s="216" t="n">
        <v>41.21</v>
      </c>
      <c r="D14417" s="216" t="n">
        <v>1.157410979270935</v>
      </c>
      <c r="E14417" s="215" t="n">
        <v>46226</v>
      </c>
      <c r="F14417" s="215" t="n">
        <v>46226</v>
      </c>
    </row>
    <row r="14418">
      <c r="A14418" s="215" t="n">
        <v>46227</v>
      </c>
      <c r="B14418" s="216" t="n">
        <v>26.68</v>
      </c>
      <c r="C14418" s="216" t="n">
        <v>40.34</v>
      </c>
      <c r="D14418" s="216" t="n">
        <v>1.15762197971344</v>
      </c>
      <c r="E14418" s="215" t="n">
        <v>46227</v>
      </c>
      <c r="F14418" s="215" t="n">
        <v>46227</v>
      </c>
    </row>
    <row r="14419">
      <c r="A14419" s="215" t="n">
        <v>46230</v>
      </c>
      <c r="B14419" s="216" t="n">
        <v>27.08</v>
      </c>
      <c r="C14419" s="216" t="n">
        <v>42.74</v>
      </c>
      <c r="D14419" s="216" t="n">
        <v>1.15789794921875</v>
      </c>
      <c r="E14419" s="215" t="n">
        <v>46230</v>
      </c>
      <c r="F14419" s="215" t="n">
        <v>46230</v>
      </c>
    </row>
    <row r="14420">
      <c r="A14420" s="215" t="n">
        <v>46231</v>
      </c>
      <c r="B14420" s="216" t="n">
        <v>24.64</v>
      </c>
      <c r="C14420" s="216" t="n">
        <v>39.83</v>
      </c>
      <c r="D14420" s="216" t="n">
        <v>1.158699035644531</v>
      </c>
      <c r="E14420" s="215" t="n">
        <v>46231</v>
      </c>
      <c r="F14420" s="215" t="n">
        <v>46231</v>
      </c>
    </row>
    <row r="14421">
      <c r="A14421" s="215" t="n">
        <v>46232</v>
      </c>
      <c r="B14421" s="216" t="n">
        <v>24</v>
      </c>
      <c r="C14421" s="216" t="n">
        <v>39.45</v>
      </c>
      <c r="D14421" s="216" t="n">
        <v>1.157909989356995</v>
      </c>
      <c r="E14421" s="215" t="n">
        <v>46232</v>
      </c>
      <c r="F14421" s="215" t="n">
        <v>46232</v>
      </c>
    </row>
    <row r="14422">
      <c r="A14422" s="215" t="n">
        <v>46233</v>
      </c>
      <c r="B14422" s="216" t="n">
        <v>22.68</v>
      </c>
      <c r="C14422" s="216" t="n">
        <v>37.19</v>
      </c>
      <c r="D14422" s="216" t="n">
        <v>1.158943057060242</v>
      </c>
      <c r="E14422" s="215" t="n">
        <v>46233</v>
      </c>
      <c r="F14422" s="215" t="n">
        <v>46233</v>
      </c>
    </row>
    <row r="14423">
      <c r="A14423" s="215" t="n">
        <v>46234</v>
      </c>
      <c r="B14423" s="216" t="n">
        <v>23.68</v>
      </c>
      <c r="C14423" s="216" t="n">
        <v>38.75</v>
      </c>
      <c r="D14423" s="216" t="n">
        <v>1.160945057868958</v>
      </c>
      <c r="E14423" s="215" t="n">
        <v>46234</v>
      </c>
      <c r="F14423" s="215" t="n">
        <v>46234</v>
      </c>
    </row>
    <row r="14424">
      <c r="A14424" s="215" t="n">
        <v>46237</v>
      </c>
      <c r="B14424" s="216" t="n">
        <v>23.3</v>
      </c>
      <c r="C14424" s="216" t="n">
        <v>37.11</v>
      </c>
      <c r="D14424" s="216" t="n">
        <v>1.161579966545105</v>
      </c>
      <c r="E14424" s="215" t="n">
        <v>46237</v>
      </c>
      <c r="F14424" s="215" t="n">
        <v>46237</v>
      </c>
    </row>
    <row r="14425">
      <c r="A14425" s="215" t="n">
        <v>46238</v>
      </c>
      <c r="B14425" s="216" t="n">
        <v>24.52</v>
      </c>
      <c r="C14425" s="216" t="n">
        <v>40.44</v>
      </c>
      <c r="D14425" s="216" t="n">
        <v>1.161064982414246</v>
      </c>
      <c r="E14425" s="215" t="n">
        <v>46238</v>
      </c>
      <c r="F14425" s="215" t="n">
        <v>46238</v>
      </c>
    </row>
    <row r="14426">
      <c r="A14426" s="215" t="n">
        <v>46239</v>
      </c>
      <c r="B14426" s="216" t="n">
        <v>25.72</v>
      </c>
      <c r="C14426" s="216" t="n">
        <v>43.01</v>
      </c>
      <c r="D14426" s="216" t="n">
        <v>1.161146998405457</v>
      </c>
      <c r="E14426" s="215" t="n">
        <v>46239</v>
      </c>
      <c r="F14426" s="215" t="n">
        <v>46239</v>
      </c>
    </row>
    <row r="14427">
      <c r="A14427" s="215" t="n">
        <v>46240</v>
      </c>
      <c r="B14427" s="216" t="n">
        <v>25.22</v>
      </c>
      <c r="C14427" s="216" t="n">
        <v>43.79</v>
      </c>
      <c r="D14427" s="216" t="n">
        <v>1.161936044692993</v>
      </c>
      <c r="E14427" s="215" t="n">
        <v>46240</v>
      </c>
      <c r="F14427" s="215" t="n">
        <v>46240</v>
      </c>
    </row>
    <row r="14428">
      <c r="A14428" s="215" t="n">
        <v>46241</v>
      </c>
      <c r="B14428" s="216" t="n">
        <v>25.26</v>
      </c>
      <c r="C14428" s="216" t="n">
        <v>44.33</v>
      </c>
      <c r="D14428" s="216" t="n">
        <v>1.162284016609192</v>
      </c>
      <c r="E14428" s="215" t="n">
        <v>46241</v>
      </c>
      <c r="F14428" s="215" t="n">
        <v>46241</v>
      </c>
    </row>
    <row r="14429">
      <c r="A14429" s="215" t="n">
        <v>46244</v>
      </c>
      <c r="B14429" s="216" t="n">
        <v>24.9</v>
      </c>
      <c r="C14429" s="216" t="n">
        <v>43.56</v>
      </c>
      <c r="D14429" s="216" t="n">
        <v>1.162629961967468</v>
      </c>
      <c r="E14429" s="215" t="n">
        <v>46244</v>
      </c>
      <c r="F14429" s="215" t="n">
        <v>46244</v>
      </c>
    </row>
    <row r="14430">
      <c r="A14430" s="215" t="n">
        <v>46245</v>
      </c>
      <c r="B14430" s="216" t="n">
        <v>24.46</v>
      </c>
      <c r="C14430" s="216" t="n">
        <v>43.3</v>
      </c>
      <c r="D14430" s="216" t="n">
        <v>1.162588000297546</v>
      </c>
      <c r="E14430" s="215" t="n">
        <v>46245</v>
      </c>
      <c r="F14430" s="215" t="n">
        <v>46245</v>
      </c>
    </row>
    <row r="14431">
      <c r="A14431" s="215" t="n">
        <v>46246</v>
      </c>
      <c r="B14431" s="216" t="n">
        <v>24.9</v>
      </c>
      <c r="C14431" s="216" t="n">
        <v>44.15</v>
      </c>
      <c r="D14431" s="216" t="n">
        <v>1.163135051727295</v>
      </c>
      <c r="E14431" s="215" t="n">
        <v>46246</v>
      </c>
      <c r="F14431" s="215" t="n">
        <v>46246</v>
      </c>
    </row>
    <row r="14432">
      <c r="A14432" s="215" t="n">
        <v>46247</v>
      </c>
      <c r="B14432" s="216" t="n">
        <v>25.06</v>
      </c>
      <c r="C14432" s="216" t="n">
        <v>43.26</v>
      </c>
      <c r="D14432" s="216" t="n">
        <v>1.163341045379639</v>
      </c>
      <c r="E14432" s="215" t="n">
        <v>46247</v>
      </c>
      <c r="F14432" s="215" t="n">
        <v>46247</v>
      </c>
    </row>
    <row r="14433">
      <c r="A14433" s="215" t="n">
        <v>46248</v>
      </c>
      <c r="B14433" s="216" t="n">
        <v>25.3</v>
      </c>
      <c r="C14433" s="216" t="n">
        <v>44.44</v>
      </c>
      <c r="D14433" s="216" t="n">
        <v>1.163571000099182</v>
      </c>
      <c r="E14433" s="215" t="n">
        <v>46248</v>
      </c>
      <c r="F14433" s="215" t="n">
        <v>46248</v>
      </c>
    </row>
    <row r="14434">
      <c r="A14434" s="215" t="n">
        <v>46251</v>
      </c>
      <c r="B14434" s="216" t="n">
        <v>27.3</v>
      </c>
      <c r="C14434" s="216" t="n">
        <v>46.54</v>
      </c>
      <c r="D14434" s="216" t="n">
        <v>1.163601994514465</v>
      </c>
      <c r="E14434" s="215" t="n">
        <v>46251</v>
      </c>
      <c r="F14434" s="215" t="n">
        <v>46251</v>
      </c>
    </row>
    <row r="14435">
      <c r="A14435" s="215" t="n">
        <v>46252</v>
      </c>
      <c r="B14435" s="216" t="n">
        <v>27.78</v>
      </c>
      <c r="C14435" s="216" t="n">
        <v>48.38</v>
      </c>
      <c r="D14435" s="216" t="n">
        <v>1.163733005523682</v>
      </c>
      <c r="E14435" s="215" t="n">
        <v>46252</v>
      </c>
      <c r="F14435" s="215" t="n">
        <v>46252</v>
      </c>
    </row>
    <row r="14436">
      <c r="A14436" s="215" t="n">
        <v>46253</v>
      </c>
      <c r="B14436" s="216" t="n">
        <v>25.16</v>
      </c>
      <c r="C14436" s="216" t="n">
        <v>43.79</v>
      </c>
      <c r="D14436" s="216" t="n">
        <v>1.163092017173767</v>
      </c>
      <c r="E14436" s="215" t="n">
        <v>46253</v>
      </c>
      <c r="F14436" s="215" t="n">
        <v>46253</v>
      </c>
    </row>
    <row r="14437">
      <c r="A14437" s="215" t="n">
        <v>46254</v>
      </c>
      <c r="B14437" s="216" t="n">
        <v>25.36</v>
      </c>
      <c r="C14437" s="216" t="n">
        <v>45.03</v>
      </c>
      <c r="D14437" s="216" t="n">
        <v>1.164932012557983</v>
      </c>
      <c r="E14437" s="215" t="n">
        <v>46254</v>
      </c>
      <c r="F14437" s="215" t="n">
        <v>46254</v>
      </c>
    </row>
    <row r="14438">
      <c r="A14438" s="215" t="n">
        <v>46255</v>
      </c>
      <c r="B14438" s="216" t="n">
        <v>25.4</v>
      </c>
      <c r="C14438" s="216" t="n">
        <v>44.82</v>
      </c>
      <c r="D14438" s="216" t="n">
        <v>1.166555047035217</v>
      </c>
      <c r="E14438" s="215" t="n">
        <v>46255</v>
      </c>
      <c r="F14438" s="215" t="n">
        <v>46255</v>
      </c>
    </row>
    <row r="14439">
      <c r="A14439" s="215" t="n">
        <v>46258</v>
      </c>
      <c r="B14439" s="216" t="n">
        <v>24.02</v>
      </c>
      <c r="C14439" s="216" t="n">
        <v>42.95</v>
      </c>
      <c r="D14439" s="216" t="n">
        <v>1.166316986083984</v>
      </c>
      <c r="E14439" s="215" t="n">
        <v>46258</v>
      </c>
      <c r="F14439" s="215" t="n">
        <v>46258</v>
      </c>
    </row>
    <row r="14440">
      <c r="A14440" s="215" t="n">
        <v>46259</v>
      </c>
      <c r="B14440" s="216" t="n">
        <v>24.3</v>
      </c>
      <c r="C14440" s="216" t="n">
        <v>43.63</v>
      </c>
      <c r="D14440" s="216" t="n">
        <v>1.165253043174744</v>
      </c>
      <c r="E14440" s="215" t="n">
        <v>46259</v>
      </c>
      <c r="F14440" s="215" t="n">
        <v>46259</v>
      </c>
    </row>
    <row r="14441">
      <c r="A14441" s="215" t="n">
        <v>46260</v>
      </c>
      <c r="B14441" s="216" t="n">
        <v>23.72</v>
      </c>
      <c r="C14441" s="216" t="n">
        <v>42.44</v>
      </c>
      <c r="D14441" s="216" t="n">
        <v>1.166218996047974</v>
      </c>
      <c r="E14441" s="215" t="n">
        <v>46260</v>
      </c>
      <c r="F14441" s="215" t="n">
        <v>46260</v>
      </c>
    </row>
    <row r="14442">
      <c r="A14442" s="215" t="n">
        <v>46261</v>
      </c>
      <c r="B14442" s="216" t="n">
        <v>24.18</v>
      </c>
      <c r="C14442" s="216" t="n">
        <v>43.53</v>
      </c>
      <c r="D14442" s="216" t="n">
        <v>1.165971040725708</v>
      </c>
      <c r="E14442" s="215" t="n">
        <v>46261</v>
      </c>
      <c r="F14442" s="215" t="n">
        <v>46261</v>
      </c>
    </row>
    <row r="14443">
      <c r="A14443" s="215" t="n">
        <v>46262</v>
      </c>
      <c r="B14443" s="216" t="n">
        <v>24.18</v>
      </c>
      <c r="C14443" s="216" t="n">
        <v>42.64</v>
      </c>
      <c r="D14443" s="216" t="n">
        <v>1.165799975395203</v>
      </c>
      <c r="E14443" s="215" t="n">
        <v>46262</v>
      </c>
      <c r="F14443" s="215" t="n">
        <v>46262</v>
      </c>
    </row>
    <row r="14444">
      <c r="A14444" s="215" t="n">
        <v>46265</v>
      </c>
      <c r="B14444" s="216" t="n">
        <v>23.96</v>
      </c>
      <c r="C14444" s="216" t="n">
        <v>43.81</v>
      </c>
      <c r="D14444" s="216" t="n">
        <v>1.165387988090515</v>
      </c>
      <c r="E14444" s="215" t="n">
        <v>46265</v>
      </c>
      <c r="F14444" s="215" t="n">
        <v>46265</v>
      </c>
    </row>
    <row r="14445">
      <c r="A14445" s="215" t="n">
        <v>46266</v>
      </c>
      <c r="B14445" s="216" t="n">
        <v>23</v>
      </c>
      <c r="C14445" s="216" t="n">
        <v>41.98</v>
      </c>
      <c r="D14445" s="216" t="n">
        <v>1.165223956108093</v>
      </c>
      <c r="E14445" s="215" t="n">
        <v>46266</v>
      </c>
      <c r="F14445" s="215" t="n">
        <v>46266</v>
      </c>
    </row>
    <row r="14446">
      <c r="A14446" s="215" t="n">
        <v>46267</v>
      </c>
      <c r="B14446" s="216" t="n">
        <v>22.28</v>
      </c>
      <c r="C14446" s="216" t="n">
        <v>41.23</v>
      </c>
      <c r="D14446" s="216" t="n">
        <v>1.166425943374634</v>
      </c>
      <c r="E14446" s="215" t="n">
        <v>46267</v>
      </c>
      <c r="F14446" s="215" t="n">
        <v>46267</v>
      </c>
    </row>
    <row r="14447">
      <c r="A14447" s="215" t="n">
        <v>46268</v>
      </c>
      <c r="B14447" s="216" t="n">
        <v>21.94</v>
      </c>
      <c r="C14447" s="216" t="n">
        <v>41.05</v>
      </c>
      <c r="D14447" s="216" t="n">
        <v>1.167057037353516</v>
      </c>
      <c r="E14447" s="215" t="n">
        <v>46268</v>
      </c>
      <c r="F14447" s="215" t="n">
        <v>46268</v>
      </c>
    </row>
    <row r="14448">
      <c r="A14448" s="215" t="n">
        <v>46269</v>
      </c>
      <c r="B14448" s="216" t="n">
        <v>22.06</v>
      </c>
      <c r="C14448" s="216" t="n">
        <v>40.15</v>
      </c>
      <c r="D14448" s="216" t="n">
        <v>1.166767954826355</v>
      </c>
      <c r="E14448" s="215" t="n">
        <v>46269</v>
      </c>
      <c r="F14448" s="215" t="n">
        <v>46269</v>
      </c>
    </row>
    <row r="14449">
      <c r="A14449" s="215" t="n">
        <v>46272</v>
      </c>
      <c r="B14449" s="216" t="n">
        <v>22.52</v>
      </c>
      <c r="C14449" s="216" t="n">
        <v>42.61</v>
      </c>
      <c r="D14449" s="216" t="n">
        <v>1.168081045150757</v>
      </c>
      <c r="E14449" s="215" t="n">
        <v>46272</v>
      </c>
      <c r="F14449" s="215" t="n">
        <v>46272</v>
      </c>
    </row>
    <row r="14450">
      <c r="A14450" s="215" t="n">
        <v>46273</v>
      </c>
      <c r="B14450" s="216" t="n">
        <v>21.98</v>
      </c>
      <c r="C14450" s="216" t="n">
        <v>42.31</v>
      </c>
      <c r="D14450" s="216" t="n">
        <v>1.168115019798279</v>
      </c>
      <c r="E14450" s="215" t="n">
        <v>46273</v>
      </c>
      <c r="F14450" s="215" t="n">
        <v>46273</v>
      </c>
    </row>
    <row r="14451">
      <c r="A14451" s="215" t="n">
        <v>46274</v>
      </c>
      <c r="B14451" s="216" t="n">
        <v>22.06</v>
      </c>
      <c r="C14451" s="216" t="n">
        <v>42.02</v>
      </c>
      <c r="D14451" s="216" t="n">
        <v>1.168408989906311</v>
      </c>
      <c r="E14451" s="215" t="n">
        <v>46274</v>
      </c>
      <c r="F14451" s="215" t="n">
        <v>46274</v>
      </c>
    </row>
    <row r="14452">
      <c r="A14452" s="215" t="n">
        <v>46275</v>
      </c>
      <c r="B14452" s="216" t="n">
        <v>22.18</v>
      </c>
      <c r="C14452" s="216" t="n">
        <v>41.08</v>
      </c>
      <c r="D14452" s="216" t="n">
        <v>1.168462991714478</v>
      </c>
      <c r="E14452" s="215" t="n">
        <v>46275</v>
      </c>
      <c r="F14452" s="215" t="n">
        <v>46275</v>
      </c>
    </row>
    <row r="14453">
      <c r="A14453" s="215" t="n">
        <v>46276</v>
      </c>
      <c r="B14453" s="216" t="n">
        <v>21.2</v>
      </c>
      <c r="C14453" s="216" t="n">
        <v>40.2</v>
      </c>
      <c r="D14453" s="216" t="n">
        <v>1.169165015220642</v>
      </c>
      <c r="E14453" s="215" t="n">
        <v>46276</v>
      </c>
      <c r="F14453" s="215" t="n">
        <v>46276</v>
      </c>
    </row>
    <row r="14454">
      <c r="A14454" s="215" t="n">
        <v>46279</v>
      </c>
      <c r="B14454" s="216" t="n">
        <v>20.52</v>
      </c>
      <c r="C14454" s="216" t="n">
        <v>41.5</v>
      </c>
      <c r="D14454" s="216" t="n">
        <v>1.16893994808197</v>
      </c>
      <c r="E14454" s="215" t="n">
        <v>46279</v>
      </c>
      <c r="F14454" s="215" t="n">
        <v>46279</v>
      </c>
    </row>
    <row r="14455">
      <c r="A14455" s="215" t="n">
        <v>46280</v>
      </c>
      <c r="B14455" s="216" t="n">
        <v>20.44</v>
      </c>
      <c r="C14455" s="216" t="n">
        <v>40.97</v>
      </c>
      <c r="D14455" s="216" t="n">
        <v>1.169121026992798</v>
      </c>
      <c r="E14455" s="215" t="n">
        <v>46280</v>
      </c>
      <c r="F14455" s="215" t="n">
        <v>46280</v>
      </c>
    </row>
    <row r="14456">
      <c r="A14456" s="215" t="n">
        <v>46281</v>
      </c>
      <c r="B14456" s="216" t="n">
        <v>20.68</v>
      </c>
      <c r="C14456" s="216" t="n">
        <v>42.43</v>
      </c>
      <c r="D14456" s="216" t="n">
        <v>1.168769955635071</v>
      </c>
      <c r="E14456" s="215" t="n">
        <v>46281</v>
      </c>
      <c r="F14456" s="215" t="n">
        <v>46281</v>
      </c>
    </row>
    <row r="14457">
      <c r="A14457" s="215" t="n">
        <v>46282</v>
      </c>
      <c r="B14457" s="216" t="n">
        <v>20.44</v>
      </c>
      <c r="C14457" s="216" t="n">
        <v>41.84</v>
      </c>
      <c r="D14457" s="216" t="n">
        <v>1.169389963150024</v>
      </c>
      <c r="E14457" s="215" t="n">
        <v>46282</v>
      </c>
      <c r="F14457" s="215" t="n">
        <v>46282</v>
      </c>
    </row>
    <row r="14458">
      <c r="A14458" s="215" t="n">
        <v>46283</v>
      </c>
      <c r="B14458" s="216" t="n">
        <v>21.4</v>
      </c>
      <c r="C14458" s="216" t="n">
        <v>44.09</v>
      </c>
      <c r="D14458" s="216" t="n">
        <v>1.16942298412323</v>
      </c>
      <c r="E14458" s="215" t="n">
        <v>46283</v>
      </c>
      <c r="F14458" s="215" t="n">
        <v>46283</v>
      </c>
    </row>
    <row r="14459">
      <c r="A14459" s="215" t="n">
        <v>46286</v>
      </c>
      <c r="B14459" s="216" t="n">
        <v>23.1</v>
      </c>
      <c r="C14459" s="216" t="n">
        <v>47.65</v>
      </c>
      <c r="D14459" s="216" t="n">
        <v>1.171280026435852</v>
      </c>
      <c r="E14459" s="215" t="n">
        <v>46286</v>
      </c>
      <c r="F14459" s="215" t="n">
        <v>46286</v>
      </c>
    </row>
    <row r="14460">
      <c r="A14460" s="215" t="n">
        <v>46287</v>
      </c>
      <c r="B14460" s="216" t="n">
        <v>23.28</v>
      </c>
      <c r="C14460" s="216" t="n">
        <v>47.65</v>
      </c>
      <c r="D14460" s="216" t="n">
        <v>1.171705007553101</v>
      </c>
      <c r="E14460" s="215" t="n">
        <v>46287</v>
      </c>
      <c r="F14460" s="215" t="n">
        <v>46287</v>
      </c>
    </row>
    <row r="14461">
      <c r="A14461" s="215" t="n">
        <v>46288</v>
      </c>
      <c r="B14461" s="216" t="n">
        <v>28.02</v>
      </c>
      <c r="C14461" s="216" t="n">
        <v>57.18</v>
      </c>
      <c r="D14461" s="216" t="n">
        <v>1.170611023902893</v>
      </c>
      <c r="E14461" s="215" t="n">
        <v>46288</v>
      </c>
      <c r="F14461" s="215" t="n">
        <v>46288</v>
      </c>
    </row>
    <row r="14462">
      <c r="A14462" s="215" t="n">
        <v>46289</v>
      </c>
      <c r="B14462" s="216" t="n">
        <v>27.4</v>
      </c>
      <c r="C14462" s="216" t="n">
        <v>58.61</v>
      </c>
      <c r="D14462" s="216" t="n">
        <v>1.16852605342865</v>
      </c>
      <c r="E14462" s="215" t="n">
        <v>46289</v>
      </c>
      <c r="F14462" s="215" t="n">
        <v>46289</v>
      </c>
    </row>
    <row r="14463">
      <c r="A14463" s="215" t="n">
        <v>46290</v>
      </c>
      <c r="B14463" s="216" t="n">
        <v>28</v>
      </c>
      <c r="C14463" s="216" t="n">
        <v>58.61</v>
      </c>
      <c r="D14463" s="216" t="n">
        <v>1.168424010276794</v>
      </c>
      <c r="E14463" s="215" t="n">
        <v>46289</v>
      </c>
      <c r="F14463" s="215" t="n">
        <v>46290</v>
      </c>
    </row>
    <row r="14464">
      <c r="A14464" s="215" t="n">
        <v>46293</v>
      </c>
      <c r="B14464" s="216" t="n">
        <v>25.6</v>
      </c>
      <c r="C14464" s="216" t="n">
        <v>51.62</v>
      </c>
      <c r="D14464" s="216" t="n">
        <v>1.168378949165344</v>
      </c>
      <c r="E14464" s="215" t="n">
        <v>46293</v>
      </c>
      <c r="F14464" s="215" t="n">
        <v>46293</v>
      </c>
    </row>
    <row r="14465">
      <c r="A14465" s="215" t="n">
        <v>46294</v>
      </c>
      <c r="B14465" s="216" t="n">
        <v>25.4</v>
      </c>
      <c r="C14465" s="216" t="n">
        <v>49.74</v>
      </c>
      <c r="D14465" s="216" t="n">
        <v>1.168815970420837</v>
      </c>
      <c r="E14465" s="215" t="n">
        <v>46294</v>
      </c>
      <c r="F14465" s="215" t="n">
        <v>46294</v>
      </c>
    </row>
    <row r="14466">
      <c r="A14466" s="215" t="n">
        <v>46295</v>
      </c>
      <c r="B14466" s="216" t="n">
        <v>25.08</v>
      </c>
      <c r="C14466" s="216" t="n">
        <v>47.8</v>
      </c>
      <c r="D14466" s="216" t="n">
        <v>1.17059600353241</v>
      </c>
      <c r="E14466" s="215" t="n">
        <v>46295</v>
      </c>
      <c r="F14466" s="215" t="n">
        <v>46295</v>
      </c>
    </row>
    <row r="14467">
      <c r="A14467" s="215" t="n">
        <v>46297</v>
      </c>
      <c r="B14467" s="216" t="n">
        <v>23.82</v>
      </c>
      <c r="C14467" s="216" t="n">
        <v>47.8</v>
      </c>
      <c r="D14467" s="216" t="n">
        <v>1.170220971107483</v>
      </c>
      <c r="E14467" s="215" t="n">
        <v>46295</v>
      </c>
      <c r="F14467" s="215" t="n">
        <v>46297</v>
      </c>
    </row>
    <row r="14468">
      <c r="A14468" s="215" t="n">
        <v>45958</v>
      </c>
      <c r="B14468" s="216" t="n">
        <v>21.9</v>
      </c>
      <c r="C14468" s="216" t="n">
        <v>21.95</v>
      </c>
      <c r="D14468" s="216" t="n">
        <v>1.092440009117126</v>
      </c>
      <c r="E14468" s="215" t="n">
        <v>45958</v>
      </c>
      <c r="F14468" s="215" t="n">
        <v>45958</v>
      </c>
    </row>
    <row r="14469">
      <c r="A14469" s="215" t="n">
        <v>45960</v>
      </c>
      <c r="B14469" s="216" t="n">
        <v>24.56</v>
      </c>
      <c r="C14469" s="216" t="n">
        <v>22.51</v>
      </c>
      <c r="D14469" s="216" t="n">
        <v>1.09463894367218</v>
      </c>
      <c r="E14469" s="215" t="n">
        <v>45960</v>
      </c>
      <c r="F14469" s="215" t="n">
        <v>45960</v>
      </c>
    </row>
    <row r="14470">
      <c r="A14470" s="215" t="n">
        <v>45961</v>
      </c>
      <c r="B14470" s="216" t="n">
        <v>23.38</v>
      </c>
      <c r="C14470" s="216" t="n">
        <v>22.14</v>
      </c>
      <c r="D14470" s="216" t="n">
        <v>1.092543959617615</v>
      </c>
      <c r="E14470" s="215" t="n">
        <v>45961</v>
      </c>
      <c r="F14470" s="215" t="n">
        <v>45961</v>
      </c>
    </row>
    <row r="14471">
      <c r="A14471" s="215" t="n">
        <v>45964</v>
      </c>
      <c r="B14471" s="216" t="n">
        <v>23.36</v>
      </c>
      <c r="C14471" s="216" t="n">
        <v>21.88</v>
      </c>
      <c r="D14471" s="216" t="n">
        <v>1.091722965240479</v>
      </c>
      <c r="E14471" s="215" t="n">
        <v>45964</v>
      </c>
      <c r="F14471" s="215" t="n">
        <v>45964</v>
      </c>
    </row>
    <row r="14472">
      <c r="A14472" s="215" t="n">
        <v>45965</v>
      </c>
      <c r="B14472" s="216" t="n">
        <v>22.46</v>
      </c>
      <c r="C14472" s="216" t="n">
        <v>21.71</v>
      </c>
      <c r="D14472" s="216" t="n">
        <v>1.083533048629761</v>
      </c>
      <c r="E14472" s="215" t="n">
        <v>45965</v>
      </c>
      <c r="F14472" s="215" t="n">
        <v>45965</v>
      </c>
    </row>
    <row r="14473">
      <c r="A14473" s="215" t="n">
        <v>45966</v>
      </c>
      <c r="B14473" s="216" t="n">
        <v>22.72</v>
      </c>
      <c r="C14473" s="216" t="n">
        <v>21.82</v>
      </c>
      <c r="D14473" s="216" t="n">
        <v>1.090273976325989</v>
      </c>
      <c r="E14473" s="215" t="n">
        <v>45966</v>
      </c>
      <c r="F14473" s="215" t="n">
        <v>45966</v>
      </c>
    </row>
    <row r="14474">
      <c r="A14474" s="215" t="n">
        <v>45967</v>
      </c>
      <c r="B14474" s="216" t="n">
        <v>23.76</v>
      </c>
      <c r="C14474" s="216" t="n">
        <v>21.99</v>
      </c>
      <c r="D14474" s="216" t="n">
        <v>1.090808033943176</v>
      </c>
      <c r="E14474" s="215" t="n">
        <v>45967</v>
      </c>
      <c r="F14474" s="215" t="n">
        <v>45967</v>
      </c>
    </row>
    <row r="14475">
      <c r="A14475" s="215" t="n">
        <v>45968</v>
      </c>
      <c r="B14475" s="216" t="n">
        <v>23.56</v>
      </c>
      <c r="C14475" s="216" t="n">
        <v>22.13</v>
      </c>
      <c r="D14475" s="216" t="n">
        <v>1.092054009437561</v>
      </c>
      <c r="E14475" s="215" t="n">
        <v>45968</v>
      </c>
      <c r="F14475" s="215" t="n">
        <v>45968</v>
      </c>
    </row>
    <row r="14476">
      <c r="A14476" s="215" t="n">
        <v>45971</v>
      </c>
      <c r="B14476" s="216" t="n">
        <v>22.86</v>
      </c>
      <c r="C14476" s="216" t="n">
        <v>21.13</v>
      </c>
      <c r="D14476" s="216" t="n">
        <v>1.092267036437988</v>
      </c>
      <c r="E14476" s="215" t="n">
        <v>45971</v>
      </c>
      <c r="F14476" s="215" t="n">
        <v>45971</v>
      </c>
    </row>
    <row r="14477">
      <c r="A14477" s="215" t="n">
        <v>45972</v>
      </c>
      <c r="B14477" s="216" t="n">
        <v>22.84</v>
      </c>
      <c r="C14477" s="216" t="n">
        <v>20.91</v>
      </c>
      <c r="D14477" s="216" t="n">
        <v>1.091644048690796</v>
      </c>
      <c r="E14477" s="215" t="n">
        <v>45972</v>
      </c>
      <c r="F14477" s="215" t="n">
        <v>45972</v>
      </c>
    </row>
    <row r="14478">
      <c r="A14478" s="215" t="n">
        <v>45973</v>
      </c>
      <c r="B14478" s="216" t="n">
        <v>22.2</v>
      </c>
      <c r="C14478" s="216" t="n">
        <v>20.65</v>
      </c>
      <c r="D14478" s="216" t="n">
        <v>1.091495990753174</v>
      </c>
      <c r="E14478" s="215" t="n">
        <v>45973</v>
      </c>
      <c r="F14478" s="215" t="n">
        <v>45973</v>
      </c>
    </row>
    <row r="14479">
      <c r="A14479" s="215" t="n">
        <v>45974</v>
      </c>
      <c r="B14479" s="216" t="n">
        <v>22.44</v>
      </c>
      <c r="C14479" s="216" t="n">
        <v>20.89</v>
      </c>
      <c r="D14479" s="216" t="n">
        <v>1.092489004135132</v>
      </c>
      <c r="E14479" s="215" t="n">
        <v>45974</v>
      </c>
      <c r="F14479" s="215" t="n">
        <v>45974</v>
      </c>
    </row>
    <row r="14480">
      <c r="A14480" s="215" t="n">
        <v>45975</v>
      </c>
      <c r="B14480" s="216" t="n">
        <v>22.56</v>
      </c>
      <c r="C14480" s="216" t="n">
        <v>20.66</v>
      </c>
      <c r="D14480" s="216" t="n">
        <v>1.092411994934082</v>
      </c>
      <c r="E14480" s="215" t="n">
        <v>45975</v>
      </c>
      <c r="F14480" s="215" t="n">
        <v>45975</v>
      </c>
    </row>
    <row r="14481">
      <c r="A14481" s="215" t="n">
        <v>45978</v>
      </c>
      <c r="B14481" s="216" t="n">
        <v>22.7</v>
      </c>
      <c r="C14481" s="216" t="n">
        <v>20.57</v>
      </c>
      <c r="D14481" s="216" t="n">
        <v>1.094588041305542</v>
      </c>
      <c r="E14481" s="215" t="n">
        <v>45978</v>
      </c>
      <c r="F14481" s="215" t="n">
        <v>45978</v>
      </c>
    </row>
    <row r="14482">
      <c r="A14482" s="215" t="n">
        <v>45979</v>
      </c>
      <c r="B14482" s="216" t="n">
        <v>22.36</v>
      </c>
      <c r="C14482" s="216" t="n">
        <v>20.86</v>
      </c>
      <c r="D14482" s="216" t="n">
        <v>1.093616008758545</v>
      </c>
      <c r="E14482" s="215" t="n">
        <v>45979</v>
      </c>
      <c r="F14482" s="215" t="n">
        <v>45979</v>
      </c>
    </row>
    <row r="14483">
      <c r="A14483" s="215" t="n">
        <v>45980</v>
      </c>
      <c r="B14483" s="216" t="n">
        <v>22.66</v>
      </c>
      <c r="C14483" s="216" t="n">
        <v>20.77</v>
      </c>
      <c r="D14483" s="216" t="n">
        <v>1.095010995864868</v>
      </c>
      <c r="E14483" s="215" t="n">
        <v>45980</v>
      </c>
      <c r="F14483" s="215" t="n">
        <v>45980</v>
      </c>
    </row>
    <row r="14484">
      <c r="A14484" s="215" t="n">
        <v>45981</v>
      </c>
      <c r="B14484" s="216" t="n">
        <v>22.8</v>
      </c>
      <c r="C14484" s="216" t="n">
        <v>20.86</v>
      </c>
      <c r="D14484" s="216" t="n">
        <v>1.095402002334595</v>
      </c>
      <c r="E14484" s="215" t="n">
        <v>45981</v>
      </c>
      <c r="F14484" s="215" t="n">
        <v>45981</v>
      </c>
    </row>
    <row r="14485">
      <c r="A14485" s="215" t="n">
        <v>45982</v>
      </c>
      <c r="B14485" s="216" t="n">
        <v>22.3</v>
      </c>
      <c r="C14485" s="216" t="n">
        <v>20.26</v>
      </c>
      <c r="D14485" s="216" t="n">
        <v>1.094982981681824</v>
      </c>
      <c r="E14485" s="215" t="n">
        <v>45982</v>
      </c>
      <c r="F14485" s="215" t="n">
        <v>45982</v>
      </c>
    </row>
    <row r="14486">
      <c r="A14486" s="215" t="n">
        <v>45985</v>
      </c>
      <c r="B14486" s="216" t="n">
        <v>22.24</v>
      </c>
      <c r="C14486" s="216" t="n">
        <v>20.51</v>
      </c>
      <c r="D14486" s="216" t="n">
        <v>1.094988942146301</v>
      </c>
      <c r="E14486" s="215" t="n">
        <v>45985</v>
      </c>
      <c r="F14486" s="215" t="n">
        <v>45985</v>
      </c>
    </row>
    <row r="14487">
      <c r="A14487" s="215" t="n">
        <v>45986</v>
      </c>
      <c r="B14487" s="216" t="n">
        <v>21.54</v>
      </c>
      <c r="C14487" s="216" t="n">
        <v>20.44</v>
      </c>
      <c r="D14487" s="216" t="n">
        <v>1.095428943634033</v>
      </c>
      <c r="E14487" s="215" t="n">
        <v>45986</v>
      </c>
      <c r="F14487" s="215" t="n">
        <v>45986</v>
      </c>
    </row>
    <row r="14488">
      <c r="A14488" s="215" t="n">
        <v>45987</v>
      </c>
      <c r="B14488" s="216" t="n">
        <v>21.66</v>
      </c>
      <c r="C14488" s="216" t="n">
        <v>20.88</v>
      </c>
      <c r="D14488" s="216" t="n">
        <v>1.097422003746033</v>
      </c>
      <c r="E14488" s="215" t="n">
        <v>45987</v>
      </c>
      <c r="F14488" s="215" t="n">
        <v>45987</v>
      </c>
    </row>
    <row r="14489">
      <c r="A14489" s="215" t="n">
        <v>45988</v>
      </c>
      <c r="B14489" s="216" t="n">
        <v>21.34</v>
      </c>
      <c r="C14489" s="216" t="n">
        <v>20.13</v>
      </c>
      <c r="D14489" s="216" t="n">
        <v>1.098397016525269</v>
      </c>
      <c r="E14489" s="215" t="n">
        <v>45988</v>
      </c>
      <c r="F14489" s="215" t="n">
        <v>45988</v>
      </c>
    </row>
    <row r="14490">
      <c r="A14490" s="215" t="n">
        <v>45989</v>
      </c>
      <c r="B14490" s="216" t="n">
        <v>21.16</v>
      </c>
      <c r="C14490" s="216" t="n">
        <v>20.32</v>
      </c>
      <c r="D14490" s="216" t="n">
        <v>1.098330020904541</v>
      </c>
      <c r="E14490" s="215" t="n">
        <v>45989</v>
      </c>
      <c r="F14490" s="215" t="n">
        <v>45989</v>
      </c>
    </row>
    <row r="14491">
      <c r="A14491" s="215" t="n">
        <v>45992</v>
      </c>
      <c r="B14491" s="216" t="n">
        <v>20.64</v>
      </c>
      <c r="C14491" s="216" t="n">
        <v>20.12</v>
      </c>
      <c r="D14491" s="216" t="n">
        <v>1.10015594959259</v>
      </c>
      <c r="E14491" s="215" t="n">
        <v>45992</v>
      </c>
      <c r="F14491" s="215" t="n">
        <v>45992</v>
      </c>
    </row>
    <row r="14492">
      <c r="A14492" s="215" t="n">
        <v>45993</v>
      </c>
      <c r="B14492" s="216" t="n">
        <v>21.8</v>
      </c>
      <c r="C14492" s="216" t="n">
        <v>20.16</v>
      </c>
      <c r="D14492" s="216" t="n">
        <v>1.101189017295837</v>
      </c>
      <c r="E14492" s="215" t="n">
        <v>45993</v>
      </c>
      <c r="F14492" s="215" t="n">
        <v>45993</v>
      </c>
    </row>
    <row r="14493">
      <c r="A14493" s="215" t="n">
        <v>45994</v>
      </c>
      <c r="B14493" s="216" t="n">
        <v>21.52</v>
      </c>
      <c r="C14493" s="216" t="n">
        <v>20.4</v>
      </c>
      <c r="D14493" s="216" t="n">
        <v>1.100834012031555</v>
      </c>
      <c r="E14493" s="215" t="n">
        <v>45994</v>
      </c>
      <c r="F14493" s="215" t="n">
        <v>45994</v>
      </c>
    </row>
    <row r="14494">
      <c r="A14494" s="215" t="n">
        <v>45995</v>
      </c>
      <c r="B14494" s="216" t="n">
        <v>22.2</v>
      </c>
      <c r="C14494" s="216" t="n">
        <v>20.97</v>
      </c>
      <c r="D14494" s="216" t="n">
        <v>1.101611018180847</v>
      </c>
      <c r="E14494" s="215" t="n">
        <v>45995</v>
      </c>
      <c r="F14494" s="215" t="n">
        <v>45995</v>
      </c>
    </row>
    <row r="14495">
      <c r="A14495" s="215" t="n">
        <v>45996</v>
      </c>
      <c r="B14495" s="216" t="n">
        <v>22</v>
      </c>
      <c r="C14495" s="216" t="n">
        <v>21.3</v>
      </c>
      <c r="D14495" s="216" t="n">
        <v>1.100373983383179</v>
      </c>
      <c r="E14495" s="215" t="n">
        <v>45996</v>
      </c>
      <c r="F14495" s="215" t="n">
        <v>45996</v>
      </c>
    </row>
    <row r="14496">
      <c r="A14496" s="215" t="n">
        <v>45999</v>
      </c>
      <c r="B14496" s="216" t="n">
        <v>21.52</v>
      </c>
      <c r="C14496" s="216" t="n">
        <v>21.23</v>
      </c>
      <c r="D14496" s="216" t="n">
        <v>1.1008620262146</v>
      </c>
      <c r="E14496" s="215" t="n">
        <v>45999</v>
      </c>
      <c r="F14496" s="215" t="n">
        <v>45999</v>
      </c>
    </row>
    <row r="14497">
      <c r="A14497" s="215" t="n">
        <v>46000</v>
      </c>
      <c r="B14497" s="216" t="n">
        <v>21.84</v>
      </c>
      <c r="C14497" s="216" t="n">
        <v>21.18</v>
      </c>
      <c r="D14497" s="216" t="n">
        <v>1.10008704662323</v>
      </c>
      <c r="E14497" s="215" t="n">
        <v>46000</v>
      </c>
      <c r="F14497" s="215" t="n">
        <v>46000</v>
      </c>
    </row>
    <row r="14498">
      <c r="A14498" s="215" t="n">
        <v>46001</v>
      </c>
      <c r="B14498" s="216" t="n">
        <v>22.2</v>
      </c>
      <c r="C14498" s="216" t="n">
        <v>21.47</v>
      </c>
      <c r="D14498" s="216" t="n">
        <v>1.101711988449097</v>
      </c>
      <c r="E14498" s="215" t="n">
        <v>46001</v>
      </c>
      <c r="F14498" s="215" t="n">
        <v>46001</v>
      </c>
    </row>
    <row r="14499">
      <c r="A14499" s="215" t="n">
        <v>46002</v>
      </c>
      <c r="B14499" s="216" t="n">
        <v>22.84</v>
      </c>
      <c r="C14499" s="216" t="n">
        <v>21.09</v>
      </c>
      <c r="D14499" s="216" t="n">
        <v>1.10112202167511</v>
      </c>
      <c r="E14499" s="215" t="n">
        <v>46002</v>
      </c>
      <c r="F14499" s="215" t="n">
        <v>46002</v>
      </c>
    </row>
    <row r="14500">
      <c r="A14500" s="215" t="n">
        <v>46003</v>
      </c>
      <c r="B14500" s="216" t="n">
        <v>22.9</v>
      </c>
      <c r="C14500" s="216" t="n">
        <v>21.32</v>
      </c>
      <c r="D14500" s="216" t="n">
        <v>1.102499008178711</v>
      </c>
      <c r="E14500" s="215" t="n">
        <v>46003</v>
      </c>
      <c r="F14500" s="215" t="n">
        <v>46003</v>
      </c>
    </row>
    <row r="14501">
      <c r="A14501" s="215" t="n">
        <v>46006</v>
      </c>
      <c r="B14501" s="216" t="n">
        <v>22.36</v>
      </c>
      <c r="C14501" s="216" t="n">
        <v>21.07</v>
      </c>
      <c r="D14501" s="216" t="n">
        <v>1.103397965431213</v>
      </c>
      <c r="E14501" s="215" t="n">
        <v>46006</v>
      </c>
      <c r="F14501" s="215" t="n">
        <v>46006</v>
      </c>
    </row>
    <row r="14502">
      <c r="A14502" s="215" t="n">
        <v>46007</v>
      </c>
      <c r="B14502" s="216" t="n">
        <v>22.08</v>
      </c>
      <c r="C14502" s="216" t="n">
        <v>20.76</v>
      </c>
      <c r="D14502" s="216" t="n">
        <v>1.104179978370667</v>
      </c>
      <c r="E14502" s="215" t="n">
        <v>46007</v>
      </c>
      <c r="F14502" s="215" t="n">
        <v>46007</v>
      </c>
    </row>
    <row r="14503">
      <c r="A14503" s="215" t="n">
        <v>46008</v>
      </c>
      <c r="B14503" s="216" t="n">
        <v>21.8</v>
      </c>
      <c r="C14503" s="216" t="n">
        <v>21.07</v>
      </c>
      <c r="D14503" s="216" t="n">
        <v>1.104655981063843</v>
      </c>
      <c r="E14503" s="215" t="n">
        <v>46008</v>
      </c>
      <c r="F14503" s="215" t="n">
        <v>46008</v>
      </c>
    </row>
    <row r="14504">
      <c r="A14504" s="215" t="n">
        <v>46009</v>
      </c>
      <c r="B14504" s="216" t="n">
        <v>21.42</v>
      </c>
      <c r="C14504" s="216" t="n">
        <v>21</v>
      </c>
      <c r="D14504" s="216" t="n">
        <v>1.104357004165649</v>
      </c>
      <c r="E14504" s="215" t="n">
        <v>46009</v>
      </c>
      <c r="F14504" s="215" t="n">
        <v>46009</v>
      </c>
    </row>
    <row r="14505">
      <c r="A14505" s="215" t="n">
        <v>46010</v>
      </c>
      <c r="B14505" s="216" t="n">
        <v>21.58</v>
      </c>
      <c r="C14505" s="216" t="n">
        <v>21.24</v>
      </c>
      <c r="D14505" s="216" t="n">
        <v>1.104962944984436</v>
      </c>
      <c r="E14505" s="215" t="n">
        <v>46010</v>
      </c>
      <c r="F14505" s="215" t="n">
        <v>46010</v>
      </c>
    </row>
    <row r="14506">
      <c r="A14506" s="215" t="n">
        <v>46013</v>
      </c>
      <c r="B14506" s="216" t="n">
        <v>21.4</v>
      </c>
      <c r="C14506" s="216" t="n">
        <v>20.89</v>
      </c>
      <c r="D14506" s="216" t="n">
        <v>1.105054020881653</v>
      </c>
      <c r="E14506" s="215" t="n">
        <v>46013</v>
      </c>
      <c r="F14506" s="215" t="n">
        <v>46013</v>
      </c>
    </row>
    <row r="14507">
      <c r="A14507" s="215" t="n">
        <v>46014</v>
      </c>
      <c r="B14507" s="216" t="n">
        <v>21.3</v>
      </c>
      <c r="C14507" s="216" t="n">
        <v>20.68</v>
      </c>
      <c r="D14507" s="216" t="n">
        <v>1.104820013046265</v>
      </c>
      <c r="E14507" s="215" t="n">
        <v>46014</v>
      </c>
      <c r="F14507" s="215" t="n">
        <v>46014</v>
      </c>
    </row>
    <row r="14508">
      <c r="A14508" s="215" t="n">
        <v>46015</v>
      </c>
      <c r="B14508" s="216" t="n">
        <v>21.2</v>
      </c>
      <c r="C14508" s="216" t="n">
        <v>20.8</v>
      </c>
      <c r="D14508" s="216" t="n">
        <v>1.106441974639893</v>
      </c>
      <c r="E14508" s="215" t="n">
        <v>46015</v>
      </c>
      <c r="F14508" s="215" t="n">
        <v>46015</v>
      </c>
    </row>
    <row r="14509">
      <c r="A14509" s="215" t="n">
        <v>46020</v>
      </c>
      <c r="B14509" s="216" t="n">
        <v>21.3</v>
      </c>
      <c r="C14509" s="216" t="n">
        <v>20.72</v>
      </c>
      <c r="D14509" s="216" t="n">
        <v>1.10552704334259</v>
      </c>
      <c r="E14509" s="215" t="n">
        <v>46020</v>
      </c>
      <c r="F14509" s="215" t="n">
        <v>46020</v>
      </c>
    </row>
    <row r="14510">
      <c r="A14510" s="215" t="n">
        <v>46021</v>
      </c>
      <c r="B14510" s="216" t="n">
        <v>22</v>
      </c>
      <c r="C14510" s="216" t="n">
        <v>21.04</v>
      </c>
      <c r="D14510" s="216" t="n">
        <v>1.109460949897766</v>
      </c>
      <c r="E14510" s="215" t="n">
        <v>46021</v>
      </c>
      <c r="F14510" s="215" t="n">
        <v>46021</v>
      </c>
    </row>
    <row r="14511">
      <c r="A14511" s="215" t="n">
        <v>46022</v>
      </c>
      <c r="B14511" s="216" t="n">
        <v>22.6</v>
      </c>
      <c r="C14511" s="216" t="n">
        <v>21.13</v>
      </c>
      <c r="D14511" s="216" t="n">
        <v>1.111927032470703</v>
      </c>
      <c r="E14511" s="215" t="n">
        <v>46022</v>
      </c>
      <c r="F14511" s="215" t="n">
        <v>46022</v>
      </c>
    </row>
    <row r="14512">
      <c r="A14512" s="215" t="n">
        <v>46024</v>
      </c>
      <c r="B14512" s="216" t="n">
        <v>22.1</v>
      </c>
      <c r="C14512" s="216" t="n">
        <v>21.13</v>
      </c>
      <c r="D14512" s="216" t="n">
        <v>1.112754940986633</v>
      </c>
      <c r="E14512" s="215" t="n">
        <v>46022</v>
      </c>
      <c r="F14512" s="215" t="n">
        <v>46024</v>
      </c>
    </row>
    <row r="14513">
      <c r="A14513" s="215" t="n">
        <v>46027</v>
      </c>
      <c r="B14513" s="216" t="n">
        <v>22.08</v>
      </c>
      <c r="C14513" s="216" t="n">
        <v>21.26</v>
      </c>
      <c r="D14513" s="216" t="n">
        <v>1.113860011100769</v>
      </c>
      <c r="E14513" s="215" t="n">
        <v>46027</v>
      </c>
      <c r="F14513" s="215" t="n">
        <v>46027</v>
      </c>
    </row>
    <row r="14514">
      <c r="A14514" s="215" t="n">
        <v>46028</v>
      </c>
      <c r="B14514" s="216" t="n">
        <v>22.66</v>
      </c>
      <c r="C14514" s="216" t="n">
        <v>21.88</v>
      </c>
      <c r="D14514" s="216" t="n">
        <v>1.11367404460907</v>
      </c>
      <c r="E14514" s="215" t="n">
        <v>46028</v>
      </c>
      <c r="F14514" s="215" t="n">
        <v>46028</v>
      </c>
    </row>
    <row r="14515">
      <c r="A14515" s="215" t="n">
        <v>46029</v>
      </c>
      <c r="B14515" s="216" t="n">
        <v>22.96</v>
      </c>
      <c r="C14515" s="216" t="n">
        <v>21.73</v>
      </c>
      <c r="D14515" s="216" t="n">
        <v>1.114913940429688</v>
      </c>
      <c r="E14515" s="215" t="n">
        <v>46029</v>
      </c>
      <c r="F14515" s="215" t="n">
        <v>46029</v>
      </c>
    </row>
    <row r="14516">
      <c r="A14516" s="215" t="n">
        <v>46030</v>
      </c>
      <c r="B14516" s="216" t="n">
        <v>22.8</v>
      </c>
      <c r="C14516" s="216" t="n">
        <v>21.43</v>
      </c>
      <c r="D14516" s="216" t="n">
        <v>1.112563014030457</v>
      </c>
      <c r="E14516" s="215" t="n">
        <v>46030</v>
      </c>
      <c r="F14516" s="215" t="n">
        <v>46030</v>
      </c>
    </row>
    <row r="14517">
      <c r="A14517" s="215" t="n">
        <v>46031</v>
      </c>
      <c r="B14517" s="216" t="n">
        <v>23.14</v>
      </c>
      <c r="C14517" s="216" t="n">
        <v>22.28</v>
      </c>
      <c r="D14517" s="216" t="n">
        <v>1.115561008453369</v>
      </c>
      <c r="E14517" s="215" t="n">
        <v>46031</v>
      </c>
      <c r="F14517" s="215" t="n">
        <v>46031</v>
      </c>
    </row>
    <row r="14518">
      <c r="A14518" s="215" t="n">
        <v>46034</v>
      </c>
      <c r="B14518" s="216" t="n">
        <v>24.2</v>
      </c>
      <c r="C14518" s="216" t="n">
        <v>22.56</v>
      </c>
      <c r="D14518" s="216" t="n">
        <v>1.117015957832336</v>
      </c>
      <c r="E14518" s="215" t="n">
        <v>46034</v>
      </c>
      <c r="F14518" s="215" t="n">
        <v>46034</v>
      </c>
    </row>
    <row r="14519">
      <c r="A14519" s="215" t="n">
        <v>46035</v>
      </c>
      <c r="B14519" s="216" t="n">
        <v>24.3</v>
      </c>
      <c r="C14519" s="216" t="n">
        <v>22.62</v>
      </c>
      <c r="D14519" s="216" t="n">
        <v>1.117892026901245</v>
      </c>
      <c r="E14519" s="215" t="n">
        <v>46035</v>
      </c>
      <c r="F14519" s="215" t="n">
        <v>46035</v>
      </c>
    </row>
    <row r="14520">
      <c r="A14520" s="215" t="n">
        <v>46036</v>
      </c>
      <c r="B14520" s="216" t="n">
        <v>23.96</v>
      </c>
      <c r="C14520" s="216" t="n">
        <v>22.24</v>
      </c>
      <c r="D14520" s="216" t="n">
        <v>1.117897987365723</v>
      </c>
      <c r="E14520" s="215" t="n">
        <v>46036</v>
      </c>
      <c r="F14520" s="215" t="n">
        <v>46036</v>
      </c>
    </row>
    <row r="14521">
      <c r="A14521" s="215" t="n">
        <v>46037</v>
      </c>
      <c r="B14521" s="216" t="n">
        <v>23.38</v>
      </c>
      <c r="C14521" s="216" t="n">
        <v>22.25</v>
      </c>
      <c r="D14521" s="216" t="n">
        <v>1.118072032928467</v>
      </c>
      <c r="E14521" s="215" t="n">
        <v>46037</v>
      </c>
      <c r="F14521" s="215" t="n">
        <v>46037</v>
      </c>
    </row>
    <row r="14522">
      <c r="A14522" s="215" t="n">
        <v>46038</v>
      </c>
      <c r="B14522" s="216" t="n">
        <v>23.22</v>
      </c>
      <c r="C14522" s="216" t="n">
        <v>22.11</v>
      </c>
      <c r="D14522" s="216" t="n">
        <v>1.119040012359619</v>
      </c>
      <c r="E14522" s="215" t="n">
        <v>46038</v>
      </c>
      <c r="F14522" s="215" t="n">
        <v>46038</v>
      </c>
    </row>
    <row r="14523">
      <c r="A14523" s="215" t="n">
        <v>46041</v>
      </c>
      <c r="B14523" s="216" t="n">
        <v>22.64</v>
      </c>
      <c r="C14523" s="216" t="n">
        <v>22.1</v>
      </c>
      <c r="D14523" s="216" t="n">
        <v>1.118916034698486</v>
      </c>
      <c r="E14523" s="215" t="n">
        <v>46041</v>
      </c>
      <c r="F14523" s="215" t="n">
        <v>46041</v>
      </c>
    </row>
    <row r="14524">
      <c r="A14524" s="215" t="n">
        <v>46042</v>
      </c>
      <c r="B14524" s="216" t="n">
        <v>23.22</v>
      </c>
      <c r="C14524" s="216" t="n">
        <v>22.55</v>
      </c>
      <c r="D14524" s="216" t="n">
        <v>1.118687987327576</v>
      </c>
      <c r="E14524" s="215" t="n">
        <v>46042</v>
      </c>
      <c r="F14524" s="215" t="n">
        <v>46042</v>
      </c>
    </row>
    <row r="14525">
      <c r="A14525" s="215" t="n">
        <v>46043</v>
      </c>
      <c r="B14525" s="216" t="n">
        <v>23.56</v>
      </c>
      <c r="C14525" s="216" t="n">
        <v>22.58</v>
      </c>
      <c r="D14525" s="216" t="n">
        <v>1.12024998664856</v>
      </c>
      <c r="E14525" s="215" t="n">
        <v>46043</v>
      </c>
      <c r="F14525" s="215" t="n">
        <v>46043</v>
      </c>
    </row>
    <row r="14526">
      <c r="A14526" s="215" t="n">
        <v>46044</v>
      </c>
      <c r="B14526" s="216" t="n">
        <v>24.3</v>
      </c>
      <c r="C14526" s="216" t="n">
        <v>22.61</v>
      </c>
      <c r="D14526" s="216" t="n">
        <v>1.11942195892334</v>
      </c>
      <c r="E14526" s="215" t="n">
        <v>46044</v>
      </c>
      <c r="F14526" s="215" t="n">
        <v>46044</v>
      </c>
    </row>
    <row r="14527">
      <c r="A14527" s="215" t="n">
        <v>46045</v>
      </c>
      <c r="B14527" s="216" t="n">
        <v>25.66</v>
      </c>
      <c r="C14527" s="216" t="n">
        <v>22.98</v>
      </c>
      <c r="D14527" s="216" t="n">
        <v>1.117977976799011</v>
      </c>
      <c r="E14527" s="215" t="n">
        <v>46045</v>
      </c>
      <c r="F14527" s="215" t="n">
        <v>46045</v>
      </c>
    </row>
    <row r="14528">
      <c r="A14528" s="215" t="n">
        <v>46048</v>
      </c>
      <c r="B14528" s="216" t="n">
        <v>25.02</v>
      </c>
      <c r="C14528" s="216" t="n">
        <v>23.05</v>
      </c>
      <c r="D14528" s="216" t="n">
        <v>1.117916941642761</v>
      </c>
      <c r="E14528" s="215" t="n">
        <v>46048</v>
      </c>
      <c r="F14528" s="215" t="n">
        <v>46048</v>
      </c>
    </row>
    <row r="14529">
      <c r="A14529" s="215" t="n">
        <v>46049</v>
      </c>
      <c r="B14529" s="216" t="n">
        <v>25.2</v>
      </c>
      <c r="C14529" s="216" t="n">
        <v>22.83</v>
      </c>
      <c r="D14529" s="216" t="n">
        <v>1.121191024780273</v>
      </c>
      <c r="E14529" s="215" t="n">
        <v>46049</v>
      </c>
      <c r="F14529" s="215" t="n">
        <v>46049</v>
      </c>
    </row>
    <row r="14530">
      <c r="A14530" s="215" t="n">
        <v>46050</v>
      </c>
      <c r="B14530" s="216" t="n">
        <v>24.96</v>
      </c>
      <c r="C14530" s="216" t="n">
        <v>22.25</v>
      </c>
      <c r="D14530" s="216" t="n">
        <v>1.121533036231995</v>
      </c>
      <c r="E14530" s="215" t="n">
        <v>46050</v>
      </c>
      <c r="F14530" s="215" t="n">
        <v>46050</v>
      </c>
    </row>
    <row r="14531">
      <c r="A14531" s="215" t="n">
        <v>46051</v>
      </c>
      <c r="B14531" s="216" t="n">
        <v>25.3</v>
      </c>
      <c r="C14531" s="216" t="n">
        <v>22.12</v>
      </c>
      <c r="D14531" s="216" t="n">
        <v>1.121621966362</v>
      </c>
      <c r="E14531" s="215" t="n">
        <v>46051</v>
      </c>
      <c r="F14531" s="215" t="n">
        <v>46051</v>
      </c>
    </row>
    <row r="14532">
      <c r="A14532" s="215" t="n">
        <v>46052</v>
      </c>
      <c r="B14532" s="216" t="n">
        <v>23.76</v>
      </c>
      <c r="C14532" s="216" t="n">
        <v>21.92</v>
      </c>
      <c r="D14532" s="216" t="n">
        <v>1.123343944549561</v>
      </c>
      <c r="E14532" s="215" t="n">
        <v>46052</v>
      </c>
      <c r="F14532" s="215" t="n">
        <v>46052</v>
      </c>
    </row>
    <row r="14533">
      <c r="A14533" s="215" t="n">
        <v>46055</v>
      </c>
      <c r="B14533" s="216" t="n">
        <v>23.52</v>
      </c>
      <c r="C14533" s="216" t="n">
        <v>21.38</v>
      </c>
      <c r="D14533" s="216" t="n">
        <v>1.123572945594788</v>
      </c>
      <c r="E14533" s="215" t="n">
        <v>46055</v>
      </c>
      <c r="F14533" s="215" t="n">
        <v>46055</v>
      </c>
    </row>
    <row r="14534">
      <c r="A14534" s="215" t="n">
        <v>46056</v>
      </c>
      <c r="B14534" s="216" t="n">
        <v>25.18</v>
      </c>
      <c r="C14534" s="216" t="n">
        <v>23.08</v>
      </c>
      <c r="D14534" s="216" t="n">
        <v>1.124274969100952</v>
      </c>
      <c r="E14534" s="215" t="n">
        <v>46056</v>
      </c>
      <c r="F14534" s="215" t="n">
        <v>46056</v>
      </c>
    </row>
    <row r="14535">
      <c r="A14535" s="215" t="n">
        <v>46057</v>
      </c>
      <c r="B14535" s="216" t="n">
        <v>25.7</v>
      </c>
      <c r="C14535" s="216" t="n">
        <v>23.26</v>
      </c>
      <c r="D14535" s="216" t="n">
        <v>1.12601101398468</v>
      </c>
      <c r="E14535" s="215" t="n">
        <v>46057</v>
      </c>
      <c r="F14535" s="215" t="n">
        <v>46057</v>
      </c>
    </row>
    <row r="14536">
      <c r="A14536" s="215" t="n">
        <v>46058</v>
      </c>
      <c r="B14536" s="216" t="n">
        <v>24.82</v>
      </c>
      <c r="C14536" s="216" t="n">
        <v>23.27</v>
      </c>
      <c r="D14536" s="216" t="n">
        <v>1.125892996788025</v>
      </c>
      <c r="E14536" s="215" t="n">
        <v>46058</v>
      </c>
      <c r="F14536" s="215" t="n">
        <v>46058</v>
      </c>
    </row>
    <row r="14537">
      <c r="A14537" s="215" t="n">
        <v>46059</v>
      </c>
      <c r="B14537" s="216" t="n">
        <v>24.16</v>
      </c>
      <c r="C14537" s="216" t="n">
        <v>22.98</v>
      </c>
      <c r="D14537" s="216" t="n">
        <v>1.126062035560608</v>
      </c>
      <c r="E14537" s="215" t="n">
        <v>46059</v>
      </c>
      <c r="F14537" s="215" t="n">
        <v>46059</v>
      </c>
    </row>
    <row r="14538">
      <c r="A14538" s="215" t="n">
        <v>46062</v>
      </c>
      <c r="B14538" s="216" t="n">
        <v>25.88</v>
      </c>
      <c r="C14538" s="216" t="n">
        <v>23.58</v>
      </c>
      <c r="D14538" s="216" t="n">
        <v>1.125753998756409</v>
      </c>
      <c r="E14538" s="215" t="n">
        <v>46062</v>
      </c>
      <c r="F14538" s="215" t="n">
        <v>46062</v>
      </c>
    </row>
    <row r="14539">
      <c r="A14539" s="215" t="n">
        <v>46063</v>
      </c>
      <c r="B14539" s="216" t="n">
        <v>26.16</v>
      </c>
      <c r="C14539" s="216" t="n">
        <v>23.78</v>
      </c>
      <c r="D14539" s="216" t="n">
        <v>1.129003047943115</v>
      </c>
      <c r="E14539" s="215" t="n">
        <v>46063</v>
      </c>
      <c r="F14539" s="215" t="n">
        <v>46063</v>
      </c>
    </row>
    <row r="14540">
      <c r="A14540" s="215" t="n">
        <v>46064</v>
      </c>
      <c r="B14540" s="216" t="n">
        <v>26.84</v>
      </c>
      <c r="C14540" s="216" t="n">
        <v>23.92</v>
      </c>
      <c r="D14540" s="216" t="n">
        <v>1.130962014198303</v>
      </c>
      <c r="E14540" s="215" t="n">
        <v>46064</v>
      </c>
      <c r="F14540" s="215" t="n">
        <v>46064</v>
      </c>
    </row>
    <row r="14541">
      <c r="A14541" s="215" t="n">
        <v>46065</v>
      </c>
      <c r="B14541" s="216" t="n">
        <v>26.54</v>
      </c>
      <c r="C14541" s="216" t="n">
        <v>23.96</v>
      </c>
      <c r="D14541" s="216" t="n">
        <v>1.130671977996826</v>
      </c>
      <c r="E14541" s="215" t="n">
        <v>46065</v>
      </c>
      <c r="F14541" s="215" t="n">
        <v>46065</v>
      </c>
    </row>
    <row r="14542">
      <c r="A14542" s="215" t="n">
        <v>46066</v>
      </c>
      <c r="B14542" s="216" t="n">
        <v>25.38</v>
      </c>
      <c r="C14542" s="216" t="n">
        <v>23.12</v>
      </c>
      <c r="D14542" s="216" t="n">
        <v>1.132490992546082</v>
      </c>
      <c r="E14542" s="215" t="n">
        <v>46066</v>
      </c>
      <c r="F14542" s="215" t="n">
        <v>46066</v>
      </c>
    </row>
    <row r="14543">
      <c r="A14543" s="215" t="n">
        <v>46069</v>
      </c>
      <c r="B14543" s="216" t="n">
        <v>26.4</v>
      </c>
      <c r="C14543" s="216" t="n">
        <v>23.12</v>
      </c>
      <c r="D14543" s="216" t="n">
        <v>1.131224036216736</v>
      </c>
      <c r="E14543" s="215" t="n">
        <v>46066</v>
      </c>
      <c r="F14543" s="215" t="n">
        <v>46069</v>
      </c>
    </row>
    <row r="14544">
      <c r="A14544" s="215" t="n">
        <v>46073</v>
      </c>
      <c r="B14544" s="216" t="n">
        <v>26.08</v>
      </c>
      <c r="C14544" s="216" t="n">
        <v>23.12</v>
      </c>
      <c r="D14544" s="216" t="n">
        <v>1.131005048751831</v>
      </c>
      <c r="E14544" s="215" t="n">
        <v>46066</v>
      </c>
      <c r="F14544" s="215" t="n">
        <v>46073</v>
      </c>
    </row>
    <row r="14545">
      <c r="A14545" s="215" t="n">
        <v>46076</v>
      </c>
      <c r="B14545" s="216" t="n">
        <v>26.1</v>
      </c>
      <c r="C14545" s="216" t="n">
        <v>23.12</v>
      </c>
      <c r="D14545" s="216" t="n">
        <v>1.130877017974854</v>
      </c>
      <c r="E14545" s="215" t="n">
        <v>46066</v>
      </c>
      <c r="F14545" s="215" t="n">
        <v>46076</v>
      </c>
    </row>
    <row r="14546">
      <c r="A14546" s="215" t="n">
        <v>46077</v>
      </c>
      <c r="B14546" s="216" t="n">
        <v>26.56</v>
      </c>
      <c r="C14546" s="216" t="n">
        <v>23.95</v>
      </c>
      <c r="D14546" s="216" t="n">
        <v>1.131631016731262</v>
      </c>
      <c r="E14546" s="215" t="n">
        <v>46077</v>
      </c>
      <c r="F14546" s="215" t="n">
        <v>46077</v>
      </c>
    </row>
    <row r="14547">
      <c r="A14547" s="215" t="n">
        <v>46078</v>
      </c>
      <c r="B14547" s="216" t="n">
        <v>25.94</v>
      </c>
      <c r="C14547" s="216" t="n">
        <v>23.98</v>
      </c>
      <c r="D14547" s="216" t="n">
        <v>1.136234045028687</v>
      </c>
      <c r="E14547" s="215" t="n">
        <v>46078</v>
      </c>
      <c r="F14547" s="215" t="n">
        <v>46078</v>
      </c>
    </row>
    <row r="14548">
      <c r="A14548" s="215" t="n">
        <v>46079</v>
      </c>
      <c r="B14548" s="216" t="n">
        <v>25.24</v>
      </c>
      <c r="C14548" s="216" t="n">
        <v>23.35</v>
      </c>
      <c r="D14548" s="216" t="n">
        <v>1.138198971748352</v>
      </c>
      <c r="E14548" s="215" t="n">
        <v>46079</v>
      </c>
      <c r="F14548" s="215" t="n">
        <v>46079</v>
      </c>
    </row>
    <row r="14549">
      <c r="A14549" s="215" t="n">
        <v>46080</v>
      </c>
      <c r="B14549" s="216" t="n">
        <v>25.16</v>
      </c>
      <c r="C14549" s="216" t="n">
        <v>23.15</v>
      </c>
      <c r="D14549" s="216" t="n">
        <v>1.143396973609924</v>
      </c>
      <c r="E14549" s="215" t="n">
        <v>46080</v>
      </c>
      <c r="F14549" s="215" t="n">
        <v>46080</v>
      </c>
    </row>
    <row r="14550">
      <c r="A14550" s="215" t="n">
        <v>46083</v>
      </c>
      <c r="B14550" s="216" t="n">
        <v>25</v>
      </c>
      <c r="C14550" s="216" t="n">
        <v>22.97</v>
      </c>
      <c r="D14550" s="216" t="n">
        <v>1.140552043914795</v>
      </c>
      <c r="E14550" s="215" t="n">
        <v>46083</v>
      </c>
      <c r="F14550" s="215" t="n">
        <v>46083</v>
      </c>
    </row>
    <row r="14551">
      <c r="A14551" s="215" t="n">
        <v>46084</v>
      </c>
      <c r="B14551" s="216" t="n">
        <v>23.72</v>
      </c>
      <c r="C14551" s="216" t="n">
        <v>22.19</v>
      </c>
      <c r="D14551" s="216" t="n">
        <v>1.136399984359741</v>
      </c>
      <c r="E14551" s="215" t="n">
        <v>46084</v>
      </c>
      <c r="F14551" s="215" t="n">
        <v>46084</v>
      </c>
    </row>
    <row r="14552">
      <c r="A14552" s="215" t="n">
        <v>46085</v>
      </c>
      <c r="B14552" s="216" t="n">
        <v>23.56</v>
      </c>
      <c r="C14552" s="216" t="n">
        <v>22.01</v>
      </c>
      <c r="D14552" s="216" t="n">
        <v>1.130928993225098</v>
      </c>
      <c r="E14552" s="215" t="n">
        <v>46085</v>
      </c>
      <c r="F14552" s="215" t="n">
        <v>46085</v>
      </c>
    </row>
    <row r="14553">
      <c r="A14553" s="215" t="n">
        <v>46086</v>
      </c>
      <c r="B14553" s="216" t="n">
        <v>23.24</v>
      </c>
      <c r="C14553" s="216" t="n">
        <v>22.08</v>
      </c>
      <c r="D14553" s="216" t="n">
        <v>1.133169054985046</v>
      </c>
      <c r="E14553" s="215" t="n">
        <v>46086</v>
      </c>
      <c r="F14553" s="215" t="n">
        <v>46086</v>
      </c>
    </row>
    <row r="14554">
      <c r="A14554" s="215" t="n">
        <v>46087</v>
      </c>
      <c r="B14554" s="216" t="n">
        <v>23.68</v>
      </c>
      <c r="C14554" s="216" t="n">
        <v>22.03</v>
      </c>
      <c r="D14554" s="216" t="n">
        <v>1.133442044258118</v>
      </c>
      <c r="E14554" s="215" t="n">
        <v>46087</v>
      </c>
      <c r="F14554" s="215" t="n">
        <v>46087</v>
      </c>
    </row>
    <row r="14555">
      <c r="A14555" s="215" t="n">
        <v>46090</v>
      </c>
      <c r="B14555" s="216" t="n">
        <v>22.9</v>
      </c>
      <c r="C14555" s="216" t="n">
        <v>21.27</v>
      </c>
      <c r="D14555" s="216" t="n">
        <v>1.133231043815613</v>
      </c>
      <c r="E14555" s="215" t="n">
        <v>46090</v>
      </c>
      <c r="F14555" s="215" t="n">
        <v>46090</v>
      </c>
    </row>
    <row r="14556">
      <c r="A14556" s="215" t="n">
        <v>46091</v>
      </c>
      <c r="B14556" s="216" t="n">
        <v>24.72</v>
      </c>
      <c r="C14556" s="216" t="n">
        <v>22.06</v>
      </c>
      <c r="D14556" s="216" t="n">
        <v>1.131595015525818</v>
      </c>
      <c r="E14556" s="215" t="n">
        <v>46091</v>
      </c>
      <c r="F14556" s="215" t="n">
        <v>46091</v>
      </c>
    </row>
    <row r="14557">
      <c r="A14557" s="215" t="n">
        <v>46092</v>
      </c>
      <c r="B14557" s="216" t="n">
        <v>24.4</v>
      </c>
      <c r="C14557" s="216" t="n">
        <v>22.25</v>
      </c>
      <c r="D14557" s="216" t="n">
        <v>1.137585043907166</v>
      </c>
      <c r="E14557" s="215" t="n">
        <v>46092</v>
      </c>
      <c r="F14557" s="215" t="n">
        <v>46092</v>
      </c>
    </row>
    <row r="14558">
      <c r="A14558" s="215" t="n">
        <v>46093</v>
      </c>
      <c r="B14558" s="216" t="n">
        <v>23.38</v>
      </c>
      <c r="C14558" s="216" t="n">
        <v>21.51</v>
      </c>
      <c r="D14558" s="216" t="n">
        <v>1.139600038528442</v>
      </c>
      <c r="E14558" s="215" t="n">
        <v>46093</v>
      </c>
      <c r="F14558" s="215" t="n">
        <v>46093</v>
      </c>
    </row>
    <row r="14559">
      <c r="A14559" s="215" t="n">
        <v>46094</v>
      </c>
      <c r="B14559" s="216" t="n">
        <v>23.18</v>
      </c>
      <c r="C14559" s="216" t="n">
        <v>21.29</v>
      </c>
      <c r="D14559" s="216" t="n">
        <v>1.139310002326965</v>
      </c>
      <c r="E14559" s="215" t="n">
        <v>46094</v>
      </c>
      <c r="F14559" s="215" t="n">
        <v>46094</v>
      </c>
    </row>
    <row r="14560">
      <c r="A14560" s="215" t="n">
        <v>46097</v>
      </c>
      <c r="B14560" s="216" t="n">
        <v>22.78</v>
      </c>
      <c r="C14560" s="216" t="n">
        <v>20.85</v>
      </c>
      <c r="D14560" s="216" t="n">
        <v>1.134883999824524</v>
      </c>
      <c r="E14560" s="215" t="n">
        <v>46097</v>
      </c>
      <c r="F14560" s="215" t="n">
        <v>46097</v>
      </c>
    </row>
    <row r="14561">
      <c r="A14561" s="215" t="n">
        <v>46098</v>
      </c>
      <c r="B14561" s="216" t="n">
        <v>22.5</v>
      </c>
      <c r="C14561" s="216" t="n">
        <v>20.76</v>
      </c>
      <c r="D14561" s="216" t="n">
        <v>1.125375986099243</v>
      </c>
      <c r="E14561" s="215" t="n">
        <v>46098</v>
      </c>
      <c r="F14561" s="215" t="n">
        <v>46098</v>
      </c>
    </row>
    <row r="14562">
      <c r="A14562" s="215" t="n">
        <v>46099</v>
      </c>
      <c r="B14562" s="216" t="n">
        <v>22.38</v>
      </c>
      <c r="C14562" s="216" t="n">
        <v>20.7</v>
      </c>
      <c r="D14562" s="216" t="n">
        <v>1.137819051742554</v>
      </c>
      <c r="E14562" s="215" t="n">
        <v>46099</v>
      </c>
      <c r="F14562" s="215" t="n">
        <v>46099</v>
      </c>
    </row>
    <row r="14563">
      <c r="A14563" s="215" t="n">
        <v>46100</v>
      </c>
      <c r="B14563" s="216" t="n">
        <v>21.84</v>
      </c>
      <c r="C14563" s="216" t="n">
        <v>19.76</v>
      </c>
      <c r="D14563" s="216" t="n">
        <v>1.140079021453857</v>
      </c>
      <c r="E14563" s="215" t="n">
        <v>46100</v>
      </c>
      <c r="F14563" s="215" t="n">
        <v>46100</v>
      </c>
    </row>
    <row r="14564">
      <c r="A14564" s="215" t="n">
        <v>46101</v>
      </c>
      <c r="B14564" s="216" t="n">
        <v>21.3</v>
      </c>
      <c r="C14564" s="216" t="n">
        <v>19.43</v>
      </c>
      <c r="D14564" s="216" t="n">
        <v>1.13490903377533</v>
      </c>
      <c r="E14564" s="215" t="n">
        <v>46101</v>
      </c>
      <c r="F14564" s="215" t="n">
        <v>46101</v>
      </c>
    </row>
    <row r="14565">
      <c r="A14565" s="215" t="n">
        <v>46104</v>
      </c>
      <c r="B14565" s="216" t="n">
        <v>20.3</v>
      </c>
      <c r="C14565" s="216" t="n">
        <v>18.65</v>
      </c>
      <c r="D14565" s="216" t="n">
        <v>1.137529969215393</v>
      </c>
      <c r="E14565" s="215" t="n">
        <v>46104</v>
      </c>
      <c r="F14565" s="215" t="n">
        <v>46104</v>
      </c>
    </row>
    <row r="14566">
      <c r="A14566" s="215" t="n">
        <v>46105</v>
      </c>
      <c r="B14566" s="216" t="n">
        <v>21.24</v>
      </c>
      <c r="C14566" s="216" t="n">
        <v>19.13</v>
      </c>
      <c r="D14566" s="216" t="n">
        <v>1.138481974601746</v>
      </c>
      <c r="E14566" s="215" t="n">
        <v>46105</v>
      </c>
      <c r="F14566" s="215" t="n">
        <v>46105</v>
      </c>
    </row>
    <row r="14567">
      <c r="A14567" s="215" t="n">
        <v>46106</v>
      </c>
      <c r="B14567" s="216" t="n">
        <v>21.84</v>
      </c>
      <c r="C14567" s="216" t="n">
        <v>19.73</v>
      </c>
      <c r="D14567" s="216" t="n">
        <v>1.135548949241638</v>
      </c>
      <c r="E14567" s="215" t="n">
        <v>46106</v>
      </c>
      <c r="F14567" s="215" t="n">
        <v>46106</v>
      </c>
    </row>
    <row r="14568">
      <c r="A14568" s="215" t="n">
        <v>46107</v>
      </c>
      <c r="B14568" s="216" t="n">
        <v>20.72</v>
      </c>
      <c r="C14568" s="216" t="n">
        <v>19.26</v>
      </c>
      <c r="D14568" s="216" t="n">
        <v>1.132627010345459</v>
      </c>
      <c r="E14568" s="215" t="n">
        <v>46107</v>
      </c>
      <c r="F14568" s="215" t="n">
        <v>46107</v>
      </c>
    </row>
    <row r="14569">
      <c r="A14569" s="215" t="n">
        <v>46108</v>
      </c>
      <c r="B14569" s="216" t="n">
        <v>21.14</v>
      </c>
      <c r="C14569" s="216" t="n">
        <v>19.16</v>
      </c>
      <c r="D14569" s="216" t="n">
        <v>1.132115960121155</v>
      </c>
      <c r="E14569" s="215" t="n">
        <v>46108</v>
      </c>
      <c r="F14569" s="215" t="n">
        <v>46108</v>
      </c>
    </row>
    <row r="14570">
      <c r="A14570" s="215" t="n">
        <v>46111</v>
      </c>
      <c r="B14570" s="216" t="n">
        <v>20.54</v>
      </c>
      <c r="C14570" s="216" t="n">
        <v>18.87</v>
      </c>
      <c r="D14570" s="216" t="n">
        <v>1.13311505317688</v>
      </c>
      <c r="E14570" s="215" t="n">
        <v>46111</v>
      </c>
      <c r="F14570" s="215" t="n">
        <v>46111</v>
      </c>
    </row>
    <row r="14571">
      <c r="A14571" s="215" t="n">
        <v>46112</v>
      </c>
      <c r="B14571" s="216" t="n">
        <v>21.06</v>
      </c>
      <c r="C14571" s="216" t="n">
        <v>19.22</v>
      </c>
      <c r="D14571" s="216" t="n">
        <v>1.133540987968445</v>
      </c>
      <c r="E14571" s="215" t="n">
        <v>46112</v>
      </c>
      <c r="F14571" s="215" t="n">
        <v>46112</v>
      </c>
    </row>
    <row r="14572">
      <c r="A14572" s="215" t="n">
        <v>46113</v>
      </c>
      <c r="B14572" s="216" t="n">
        <v>21.62</v>
      </c>
      <c r="C14572" s="216" t="n">
        <v>20.3</v>
      </c>
      <c r="D14572" s="216" t="n">
        <v>1.136669993400574</v>
      </c>
      <c r="E14572" s="215" t="n">
        <v>46113</v>
      </c>
      <c r="F14572" s="215" t="n">
        <v>46113</v>
      </c>
    </row>
    <row r="14573">
      <c r="A14573" s="215" t="n">
        <v>46114</v>
      </c>
      <c r="B14573" s="216" t="n">
        <v>20.9</v>
      </c>
      <c r="C14573" s="216" t="n">
        <v>20.07</v>
      </c>
      <c r="D14573" s="216" t="n">
        <v>1.140197992324829</v>
      </c>
      <c r="E14573" s="215" t="n">
        <v>46114</v>
      </c>
      <c r="F14573" s="215" t="n">
        <v>46114</v>
      </c>
    </row>
    <row r="14574">
      <c r="A14574" s="215" t="n">
        <v>46120</v>
      </c>
      <c r="B14574" s="216" t="n">
        <v>22.68</v>
      </c>
      <c r="C14574" s="216" t="n">
        <v>20.86</v>
      </c>
      <c r="D14574" s="216" t="n">
        <v>1.1423499584198</v>
      </c>
      <c r="E14574" s="215" t="n">
        <v>46120</v>
      </c>
      <c r="F14574" s="215" t="n">
        <v>46120</v>
      </c>
    </row>
    <row r="14575">
      <c r="A14575" s="215" t="n">
        <v>46121</v>
      </c>
      <c r="B14575" s="216" t="n">
        <v>22.32</v>
      </c>
      <c r="C14575" s="216" t="n">
        <v>20.66</v>
      </c>
      <c r="D14575" s="216" t="n">
        <v>1.146731972694397</v>
      </c>
      <c r="E14575" s="215" t="n">
        <v>46121</v>
      </c>
      <c r="F14575" s="215" t="n">
        <v>46121</v>
      </c>
    </row>
    <row r="14576">
      <c r="A14576" s="215" t="n">
        <v>46122</v>
      </c>
      <c r="B14576" s="216" t="n">
        <v>22.86</v>
      </c>
      <c r="C14576" s="216" t="n">
        <v>20.66</v>
      </c>
      <c r="D14576" s="216" t="n">
        <v>1.146558046340942</v>
      </c>
      <c r="E14576" s="215" t="n">
        <v>46122</v>
      </c>
      <c r="F14576" s="215" t="n">
        <v>46122</v>
      </c>
    </row>
    <row r="14577">
      <c r="A14577" s="215" t="n">
        <v>46125</v>
      </c>
      <c r="B14577" s="216" t="n">
        <v>22.3</v>
      </c>
      <c r="C14577" s="216" t="n">
        <v>20.36</v>
      </c>
      <c r="D14577" s="216" t="n">
        <v>1.147117972373962</v>
      </c>
      <c r="E14577" s="215" t="n">
        <v>46125</v>
      </c>
      <c r="F14577" s="215" t="n">
        <v>46125</v>
      </c>
    </row>
    <row r="14578">
      <c r="A14578" s="215" t="n">
        <v>46126</v>
      </c>
      <c r="B14578" s="216" t="n">
        <v>22.5</v>
      </c>
      <c r="C14578" s="216" t="n">
        <v>20.86</v>
      </c>
      <c r="D14578" s="216" t="n">
        <v>1.146226048469543</v>
      </c>
      <c r="E14578" s="215" t="n">
        <v>46126</v>
      </c>
      <c r="F14578" s="215" t="n">
        <v>46126</v>
      </c>
    </row>
    <row r="14579">
      <c r="A14579" s="215" t="n">
        <v>46127</v>
      </c>
      <c r="B14579" s="216" t="n">
        <v>22.2</v>
      </c>
      <c r="C14579" s="216" t="n">
        <v>20.66</v>
      </c>
      <c r="D14579" s="216" t="n">
        <v>1.149266004562378</v>
      </c>
      <c r="E14579" s="215" t="n">
        <v>46127</v>
      </c>
      <c r="F14579" s="215" t="n">
        <v>46127</v>
      </c>
    </row>
    <row r="14580">
      <c r="A14580" s="215" t="n">
        <v>46128</v>
      </c>
      <c r="B14580" s="216" t="n">
        <v>22.02</v>
      </c>
      <c r="C14580" s="216" t="n">
        <v>20.39</v>
      </c>
      <c r="D14580" s="216" t="n">
        <v>1.148550033569336</v>
      </c>
      <c r="E14580" s="215" t="n">
        <v>46128</v>
      </c>
      <c r="F14580" s="215" t="n">
        <v>46128</v>
      </c>
    </row>
    <row r="14581">
      <c r="A14581" s="215" t="n">
        <v>46129</v>
      </c>
      <c r="B14581" s="216" t="n">
        <v>21.52</v>
      </c>
      <c r="C14581" s="216" t="n">
        <v>20.16</v>
      </c>
      <c r="D14581" s="216" t="n">
        <v>1.146605014801025</v>
      </c>
      <c r="E14581" s="215" t="n">
        <v>46129</v>
      </c>
      <c r="F14581" s="215" t="n">
        <v>46129</v>
      </c>
    </row>
    <row r="14582">
      <c r="A14582" s="215" t="n">
        <v>46132</v>
      </c>
      <c r="B14582" s="216" t="n">
        <v>21.58</v>
      </c>
      <c r="C14582" s="216" t="n">
        <v>19.92</v>
      </c>
      <c r="D14582" s="216" t="n">
        <v>1.148360967636108</v>
      </c>
      <c r="E14582" s="215" t="n">
        <v>46132</v>
      </c>
      <c r="F14582" s="215" t="n">
        <v>46132</v>
      </c>
    </row>
    <row r="14583">
      <c r="A14583" s="215" t="n">
        <v>46133</v>
      </c>
      <c r="B14583" s="216" t="n">
        <v>21.92</v>
      </c>
      <c r="C14583" s="216" t="n">
        <v>19.93</v>
      </c>
      <c r="D14583" s="216" t="n">
        <v>1.148368000984192</v>
      </c>
      <c r="E14583" s="215" t="n">
        <v>46133</v>
      </c>
      <c r="F14583" s="215" t="n">
        <v>46133</v>
      </c>
    </row>
    <row r="14584">
      <c r="A14584" s="215" t="n">
        <v>46134</v>
      </c>
      <c r="B14584" s="216" t="n">
        <v>21.36</v>
      </c>
      <c r="C14584" s="216" t="n">
        <v>19.78</v>
      </c>
      <c r="D14584" s="216" t="n">
        <v>1.147838950157166</v>
      </c>
      <c r="E14584" s="215" t="n">
        <v>46134</v>
      </c>
      <c r="F14584" s="215" t="n">
        <v>46134</v>
      </c>
    </row>
    <row r="14585">
      <c r="A14585" s="215" t="n">
        <v>46135</v>
      </c>
      <c r="B14585" s="216" t="n">
        <v>21.22</v>
      </c>
      <c r="C14585" s="216" t="n">
        <v>19.6</v>
      </c>
      <c r="D14585" s="216" t="n">
        <v>1.147513031959534</v>
      </c>
      <c r="E14585" s="215" t="n">
        <v>46135</v>
      </c>
      <c r="F14585" s="215" t="n">
        <v>46135</v>
      </c>
    </row>
    <row r="14586">
      <c r="A14586" s="215" t="n">
        <v>46136</v>
      </c>
      <c r="B14586" s="216" t="n">
        <v>21.1</v>
      </c>
      <c r="C14586" s="216" t="n">
        <v>19.52</v>
      </c>
      <c r="D14586" s="216" t="n">
        <v>1.147369027137756</v>
      </c>
      <c r="E14586" s="215" t="n">
        <v>46136</v>
      </c>
      <c r="F14586" s="215" t="n">
        <v>46136</v>
      </c>
    </row>
    <row r="14587">
      <c r="A14587" s="215" t="n">
        <v>46139</v>
      </c>
      <c r="B14587" s="216" t="n">
        <v>21.5</v>
      </c>
      <c r="C14587" s="216" t="n">
        <v>19.5</v>
      </c>
      <c r="D14587" s="216" t="n">
        <v>1.146002054214478</v>
      </c>
      <c r="E14587" s="215" t="n">
        <v>46139</v>
      </c>
      <c r="F14587" s="215" t="n">
        <v>46139</v>
      </c>
    </row>
    <row r="14588">
      <c r="A14588" s="215" t="n">
        <v>46140</v>
      </c>
      <c r="B14588" s="216" t="n">
        <v>21.52</v>
      </c>
      <c r="C14588" s="216" t="n">
        <v>20.14</v>
      </c>
      <c r="D14588" s="216" t="n">
        <v>1.148522019386292</v>
      </c>
      <c r="E14588" s="215" t="n">
        <v>46140</v>
      </c>
      <c r="F14588" s="215" t="n">
        <v>46140</v>
      </c>
    </row>
    <row r="14589">
      <c r="A14589" s="215" t="n">
        <v>46141</v>
      </c>
      <c r="B14589" s="216" t="n">
        <v>22.32</v>
      </c>
      <c r="C14589" s="216" t="n">
        <v>20.5</v>
      </c>
      <c r="D14589" s="216" t="n">
        <v>1.145936012268066</v>
      </c>
      <c r="E14589" s="215" t="n">
        <v>46141</v>
      </c>
      <c r="F14589" s="215" t="n">
        <v>46141</v>
      </c>
    </row>
    <row r="14590">
      <c r="A14590" s="215" t="n">
        <v>46142</v>
      </c>
      <c r="B14590" s="216" t="n">
        <v>21.68</v>
      </c>
      <c r="C14590" s="216" t="n">
        <v>20.35</v>
      </c>
      <c r="D14590" s="216" t="n">
        <v>1.145792007446289</v>
      </c>
      <c r="E14590" s="215" t="n">
        <v>46142</v>
      </c>
      <c r="F14590" s="215" t="n">
        <v>46142</v>
      </c>
    </row>
    <row r="14591">
      <c r="A14591" s="215" t="n">
        <v>46146</v>
      </c>
      <c r="B14591" s="216" t="n">
        <v>21.98</v>
      </c>
      <c r="C14591" s="216" t="n">
        <v>20.35</v>
      </c>
      <c r="D14591" s="216" t="n">
        <v>1.147340059280396</v>
      </c>
      <c r="E14591" s="215" t="n">
        <v>46142</v>
      </c>
      <c r="F14591" s="215" t="n">
        <v>46146</v>
      </c>
    </row>
    <row r="14592">
      <c r="A14592" s="215" t="n">
        <v>46147</v>
      </c>
      <c r="B14592" s="216" t="n">
        <v>21.28</v>
      </c>
      <c r="C14592" s="216" t="n">
        <v>20.35</v>
      </c>
      <c r="D14592" s="216" t="n">
        <v>1.146813988685608</v>
      </c>
      <c r="E14592" s="215" t="n">
        <v>46142</v>
      </c>
      <c r="F14592" s="215" t="n">
        <v>46147</v>
      </c>
    </row>
    <row r="14593">
      <c r="A14593" s="215" t="n">
        <v>46148</v>
      </c>
      <c r="B14593" s="216" t="n">
        <v>22.88</v>
      </c>
      <c r="C14593" s="216" t="n">
        <v>20.91</v>
      </c>
      <c r="D14593" s="216" t="n">
        <v>1.14708399772644</v>
      </c>
      <c r="E14593" s="215" t="n">
        <v>46148</v>
      </c>
      <c r="F14593" s="215" t="n">
        <v>46148</v>
      </c>
    </row>
    <row r="14594">
      <c r="A14594" s="215" t="n">
        <v>46149</v>
      </c>
      <c r="B14594" s="216" t="n">
        <v>23.06</v>
      </c>
      <c r="C14594" s="216" t="n">
        <v>20.98</v>
      </c>
      <c r="D14594" s="216" t="n">
        <v>1.150125026702881</v>
      </c>
      <c r="E14594" s="215" t="n">
        <v>46149</v>
      </c>
      <c r="F14594" s="215" t="n">
        <v>46149</v>
      </c>
    </row>
    <row r="14595">
      <c r="A14595" s="215" t="n">
        <v>46150</v>
      </c>
      <c r="B14595" s="216" t="n">
        <v>22.36</v>
      </c>
      <c r="C14595" s="216" t="n">
        <v>20.53</v>
      </c>
      <c r="D14595" s="216" t="n">
        <v>1.15172004699707</v>
      </c>
      <c r="E14595" s="215" t="n">
        <v>46150</v>
      </c>
      <c r="F14595" s="215" t="n">
        <v>46150</v>
      </c>
    </row>
    <row r="14596">
      <c r="A14596" s="215" t="n">
        <v>46153</v>
      </c>
      <c r="B14596" s="216" t="n">
        <v>23.6</v>
      </c>
      <c r="C14596" s="216" t="n">
        <v>21.84</v>
      </c>
      <c r="D14596" s="216" t="n">
        <v>1.151090025901794</v>
      </c>
      <c r="E14596" s="215" t="n">
        <v>46153</v>
      </c>
      <c r="F14596" s="215" t="n">
        <v>46153</v>
      </c>
    </row>
    <row r="14597">
      <c r="A14597" s="215" t="n">
        <v>46154</v>
      </c>
      <c r="B14597" s="216" t="n">
        <v>23.36</v>
      </c>
      <c r="C14597" s="216" t="n">
        <v>21.36</v>
      </c>
      <c r="D14597" s="216" t="n">
        <v>1.152078986167908</v>
      </c>
      <c r="E14597" s="215" t="n">
        <v>46154</v>
      </c>
      <c r="F14597" s="215" t="n">
        <v>46154</v>
      </c>
    </row>
    <row r="14598">
      <c r="A14598" s="215" t="n">
        <v>46155</v>
      </c>
      <c r="B14598" s="216" t="n">
        <v>23.58</v>
      </c>
      <c r="C14598" s="216" t="n">
        <v>21.39</v>
      </c>
      <c r="D14598" s="216" t="n">
        <v>1.152537941932678</v>
      </c>
      <c r="E14598" s="215" t="n">
        <v>46155</v>
      </c>
      <c r="F14598" s="215" t="n">
        <v>46155</v>
      </c>
    </row>
    <row r="14599">
      <c r="A14599" s="215" t="n">
        <v>46156</v>
      </c>
      <c r="B14599" s="216" t="n">
        <v>22.7</v>
      </c>
      <c r="C14599" s="216" t="n">
        <v>20.61</v>
      </c>
      <c r="D14599" s="216" t="n">
        <v>1.152662992477417</v>
      </c>
      <c r="E14599" s="215" t="n">
        <v>46156</v>
      </c>
      <c r="F14599" s="215" t="n">
        <v>46156</v>
      </c>
    </row>
    <row r="14600">
      <c r="A14600" s="215" t="n">
        <v>46157</v>
      </c>
      <c r="B14600" s="216" t="n">
        <v>22.9</v>
      </c>
      <c r="C14600" s="216" t="n">
        <v>20.46</v>
      </c>
      <c r="D14600" s="216" t="n">
        <v>1.154320001602173</v>
      </c>
      <c r="E14600" s="215" t="n">
        <v>46157</v>
      </c>
      <c r="F14600" s="215" t="n">
        <v>46157</v>
      </c>
    </row>
    <row r="14601">
      <c r="A14601" s="215" t="n">
        <v>46160</v>
      </c>
      <c r="B14601" s="216" t="n">
        <v>21.84</v>
      </c>
      <c r="C14601" s="216" t="n">
        <v>19.39</v>
      </c>
      <c r="D14601" s="216" t="n">
        <v>1.149821996688843</v>
      </c>
      <c r="E14601" s="215" t="n">
        <v>46160</v>
      </c>
      <c r="F14601" s="215" t="n">
        <v>46160</v>
      </c>
    </row>
    <row r="14602">
      <c r="A14602" s="215" t="n">
        <v>46161</v>
      </c>
      <c r="B14602" s="216" t="n">
        <v>21.78</v>
      </c>
      <c r="C14602" s="216" t="n">
        <v>19.31</v>
      </c>
      <c r="D14602" s="216" t="n">
        <v>1.151532053947449</v>
      </c>
      <c r="E14602" s="215" t="n">
        <v>46161</v>
      </c>
      <c r="F14602" s="215" t="n">
        <v>46161</v>
      </c>
    </row>
    <row r="14603">
      <c r="A14603" s="215" t="n">
        <v>46162</v>
      </c>
      <c r="B14603" s="216" t="n">
        <v>21.22</v>
      </c>
      <c r="C14603" s="216" t="n">
        <v>19.4</v>
      </c>
      <c r="D14603" s="216" t="n">
        <v>1.149292945861816</v>
      </c>
      <c r="E14603" s="215" t="n">
        <v>46162</v>
      </c>
      <c r="F14603" s="215" t="n">
        <v>46162</v>
      </c>
    </row>
    <row r="14604">
      <c r="A14604" s="215" t="n">
        <v>46163</v>
      </c>
      <c r="B14604" s="216" t="n">
        <v>21.28</v>
      </c>
      <c r="C14604" s="216" t="n">
        <v>18.96</v>
      </c>
      <c r="D14604" s="216" t="n">
        <v>1.151231050491333</v>
      </c>
      <c r="E14604" s="215" t="n">
        <v>46163</v>
      </c>
      <c r="F14604" s="215" t="n">
        <v>46163</v>
      </c>
    </row>
    <row r="14605">
      <c r="A14605" s="215" t="n">
        <v>46164</v>
      </c>
      <c r="B14605" s="216" t="n">
        <v>20.88</v>
      </c>
      <c r="C14605" s="216" t="n">
        <v>18.96</v>
      </c>
      <c r="D14605" s="216" t="n">
        <v>1.151487946510315</v>
      </c>
      <c r="E14605" s="215" t="n">
        <v>46164</v>
      </c>
      <c r="F14605" s="215" t="n">
        <v>46164</v>
      </c>
    </row>
    <row r="14606">
      <c r="A14606" s="215" t="n">
        <v>46168</v>
      </c>
      <c r="B14606" s="216" t="n">
        <v>20.88</v>
      </c>
      <c r="C14606" s="216" t="n">
        <v>18.88</v>
      </c>
      <c r="D14606" s="216" t="n">
        <v>1.152968049049377</v>
      </c>
      <c r="E14606" s="215" t="n">
        <v>46168</v>
      </c>
      <c r="F14606" s="215" t="n">
        <v>46168</v>
      </c>
    </row>
    <row r="14607">
      <c r="A14607" s="215" t="n">
        <v>46169</v>
      </c>
      <c r="B14607" s="216" t="n">
        <v>20.36</v>
      </c>
      <c r="C14607" s="216" t="n">
        <v>18.47</v>
      </c>
      <c r="D14607" s="216" t="n">
        <v>1.154562950134277</v>
      </c>
      <c r="E14607" s="215" t="n">
        <v>46169</v>
      </c>
      <c r="F14607" s="215" t="n">
        <v>46169</v>
      </c>
    </row>
    <row r="14608">
      <c r="A14608" s="215" t="n">
        <v>46170</v>
      </c>
      <c r="B14608" s="216" t="n">
        <v>19.62</v>
      </c>
      <c r="C14608" s="216" t="n">
        <v>17.9</v>
      </c>
      <c r="D14608" s="216" t="n">
        <v>1.155385971069336</v>
      </c>
      <c r="E14608" s="215" t="n">
        <v>46170</v>
      </c>
      <c r="F14608" s="215" t="n">
        <v>46170</v>
      </c>
    </row>
    <row r="14609">
      <c r="A14609" s="215" t="n">
        <v>46171</v>
      </c>
      <c r="B14609" s="216" t="n">
        <v>19.4</v>
      </c>
      <c r="C14609" s="216" t="n">
        <v>17.94</v>
      </c>
      <c r="D14609" s="216" t="n">
        <v>1.155282974243164</v>
      </c>
      <c r="E14609" s="215" t="n">
        <v>46171</v>
      </c>
      <c r="F14609" s="215" t="n">
        <v>46171</v>
      </c>
    </row>
    <row r="14610">
      <c r="A14610" s="215" t="n">
        <v>46174</v>
      </c>
      <c r="B14610" s="216" t="n">
        <v>19.34</v>
      </c>
      <c r="C14610" s="216" t="n">
        <v>18.07</v>
      </c>
      <c r="D14610" s="216" t="n">
        <v>1.158049941062927</v>
      </c>
      <c r="E14610" s="215" t="n">
        <v>46174</v>
      </c>
      <c r="F14610" s="215" t="n">
        <v>46174</v>
      </c>
    </row>
    <row r="14611">
      <c r="A14611" s="215" t="n">
        <v>46175</v>
      </c>
      <c r="B14611" s="216" t="n">
        <v>19.64</v>
      </c>
      <c r="C14611" s="216" t="n">
        <v>18.14</v>
      </c>
      <c r="D14611" s="216" t="n">
        <v>1.158406972885132</v>
      </c>
      <c r="E14611" s="215" t="n">
        <v>46175</v>
      </c>
      <c r="F14611" s="215" t="n">
        <v>46175</v>
      </c>
    </row>
    <row r="14612">
      <c r="A14612" s="215" t="n">
        <v>46176</v>
      </c>
      <c r="B14612" s="216" t="n">
        <v>19.81</v>
      </c>
      <c r="C14612" s="216" t="n">
        <v>17.96</v>
      </c>
      <c r="D14612" s="216" t="n">
        <v>1.15879499912262</v>
      </c>
      <c r="E14612" s="215" t="n">
        <v>46176</v>
      </c>
      <c r="F14612" s="215" t="n">
        <v>46176</v>
      </c>
    </row>
    <row r="14613">
      <c r="A14613" s="215" t="n">
        <v>46177</v>
      </c>
      <c r="B14613" s="216" t="n">
        <v>19.68</v>
      </c>
      <c r="C14613" s="216" t="n">
        <v>18.14</v>
      </c>
      <c r="D14613" s="216" t="n">
        <v>1.157420039176941</v>
      </c>
      <c r="E14613" s="215" t="n">
        <v>46177</v>
      </c>
      <c r="F14613" s="215" t="n">
        <v>46177</v>
      </c>
    </row>
    <row r="14614">
      <c r="A14614" s="215" t="n">
        <v>46178</v>
      </c>
      <c r="B14614" s="216" t="n">
        <v>19.91</v>
      </c>
      <c r="C14614" s="216" t="n">
        <v>18.65</v>
      </c>
      <c r="D14614" s="216" t="n">
        <v>1.156491994857788</v>
      </c>
      <c r="E14614" s="215" t="n">
        <v>46178</v>
      </c>
      <c r="F14614" s="215" t="n">
        <v>46178</v>
      </c>
    </row>
    <row r="14615">
      <c r="A14615" s="215" t="n">
        <v>46181</v>
      </c>
      <c r="B14615" s="216" t="n">
        <v>21.44</v>
      </c>
      <c r="C14615" s="216" t="n">
        <v>19.51</v>
      </c>
      <c r="D14615" s="216" t="n">
        <v>1.157665967941284</v>
      </c>
      <c r="E14615" s="215" t="n">
        <v>46181</v>
      </c>
      <c r="F14615" s="215" t="n">
        <v>46181</v>
      </c>
    </row>
    <row r="14616">
      <c r="A14616" s="215" t="n">
        <v>46182</v>
      </c>
      <c r="B14616" s="216" t="n">
        <v>21.8</v>
      </c>
      <c r="C14616" s="216" t="n">
        <v>19.92</v>
      </c>
      <c r="D14616" s="216" t="n">
        <v>1.158027052879333</v>
      </c>
      <c r="E14616" s="215" t="n">
        <v>46182</v>
      </c>
      <c r="F14616" s="215" t="n">
        <v>46182</v>
      </c>
    </row>
    <row r="14617">
      <c r="A14617" s="215" t="n">
        <v>46183</v>
      </c>
      <c r="B14617" s="216" t="n">
        <v>20.9</v>
      </c>
      <c r="C14617" s="216" t="n">
        <v>18.85</v>
      </c>
      <c r="D14617" s="216" t="n">
        <v>1.157112002372742</v>
      </c>
      <c r="E14617" s="215" t="n">
        <v>46183</v>
      </c>
      <c r="F14617" s="215" t="n">
        <v>46183</v>
      </c>
    </row>
    <row r="14618">
      <c r="A14618" s="215" t="n">
        <v>46184</v>
      </c>
      <c r="B14618" s="216" t="n">
        <v>20</v>
      </c>
      <c r="C14618" s="216" t="n">
        <v>18.22</v>
      </c>
      <c r="D14618" s="216" t="n">
        <v>1.156929016113281</v>
      </c>
      <c r="E14618" s="215" t="n">
        <v>46184</v>
      </c>
      <c r="F14618" s="215" t="n">
        <v>46184</v>
      </c>
    </row>
    <row r="14619">
      <c r="A14619" s="215" t="n">
        <v>46185</v>
      </c>
      <c r="B14619" s="216" t="n">
        <v>20.82</v>
      </c>
      <c r="C14619" s="216" t="n">
        <v>18.91</v>
      </c>
      <c r="D14619" s="216" t="n">
        <v>1.156345963478088</v>
      </c>
      <c r="E14619" s="215" t="n">
        <v>46185</v>
      </c>
      <c r="F14619" s="215" t="n">
        <v>46185</v>
      </c>
    </row>
    <row r="14620">
      <c r="A14620" s="215" t="n">
        <v>46188</v>
      </c>
      <c r="B14620" s="216" t="n">
        <v>21.94</v>
      </c>
      <c r="C14620" s="216" t="n">
        <v>19.19</v>
      </c>
      <c r="D14620" s="216" t="n">
        <v>1.156880021095276</v>
      </c>
      <c r="E14620" s="215" t="n">
        <v>46188</v>
      </c>
      <c r="F14620" s="215" t="n">
        <v>46188</v>
      </c>
    </row>
    <row r="14621">
      <c r="A14621" s="215" t="n">
        <v>46189</v>
      </c>
      <c r="B14621" s="216" t="n">
        <v>21.2</v>
      </c>
      <c r="C14621" s="216" t="n">
        <v>18.65</v>
      </c>
      <c r="D14621" s="216" t="n">
        <v>1.158604025840759</v>
      </c>
      <c r="E14621" s="215" t="n">
        <v>46189</v>
      </c>
      <c r="F14621" s="215" t="n">
        <v>46189</v>
      </c>
    </row>
    <row r="14622">
      <c r="A14622" s="215" t="n">
        <v>46190</v>
      </c>
      <c r="B14622" s="216" t="n">
        <v>21.3</v>
      </c>
      <c r="C14622" s="216" t="n">
        <v>18.91</v>
      </c>
      <c r="D14622" s="216" t="n">
        <v>1.158974051475525</v>
      </c>
      <c r="E14622" s="215" t="n">
        <v>46190</v>
      </c>
      <c r="F14622" s="215" t="n">
        <v>46190</v>
      </c>
    </row>
    <row r="14623">
      <c r="A14623" s="215" t="n">
        <v>46191</v>
      </c>
      <c r="B14623" s="216" t="n">
        <v>20.52</v>
      </c>
      <c r="C14623" s="216" t="n">
        <v>18.37</v>
      </c>
      <c r="D14623" s="216" t="n">
        <v>1.159355998039246</v>
      </c>
      <c r="E14623" s="215" t="n">
        <v>46191</v>
      </c>
      <c r="F14623" s="215" t="n">
        <v>46191</v>
      </c>
    </row>
    <row r="14624">
      <c r="A14624" s="215" t="n">
        <v>46195</v>
      </c>
      <c r="B14624" s="216" t="n">
        <v>20.04</v>
      </c>
      <c r="C14624" s="216" t="n">
        <v>18.95</v>
      </c>
      <c r="D14624" s="216" t="n">
        <v>1.157493948936462</v>
      </c>
      <c r="E14624" s="215" t="n">
        <v>46195</v>
      </c>
      <c r="F14624" s="215" t="n">
        <v>46195</v>
      </c>
    </row>
    <row r="14625">
      <c r="A14625" s="215" t="n">
        <v>46196</v>
      </c>
      <c r="B14625" s="216" t="n">
        <v>19.15</v>
      </c>
      <c r="C14625" s="216" t="n">
        <v>18.05</v>
      </c>
      <c r="D14625" s="216" t="n">
        <v>1.156896948814392</v>
      </c>
      <c r="E14625" s="215" t="n">
        <v>46196</v>
      </c>
      <c r="F14625" s="215" t="n">
        <v>46196</v>
      </c>
    </row>
    <row r="14626">
      <c r="A14626" s="215" t="n">
        <v>46197</v>
      </c>
      <c r="B14626" s="216" t="n">
        <v>18.55</v>
      </c>
      <c r="C14626" s="216" t="n">
        <v>17.62</v>
      </c>
      <c r="D14626" s="216" t="n">
        <v>1.154508948326111</v>
      </c>
      <c r="E14626" s="215" t="n">
        <v>46197</v>
      </c>
      <c r="F14626" s="215" t="n">
        <v>46197</v>
      </c>
    </row>
    <row r="14627">
      <c r="A14627" s="215" t="n">
        <v>46198</v>
      </c>
      <c r="B14627" s="216" t="n">
        <v>18.7</v>
      </c>
      <c r="C14627" s="216" t="n">
        <v>17.75</v>
      </c>
      <c r="D14627" s="216" t="n">
        <v>1.154152035713196</v>
      </c>
      <c r="E14627" s="215" t="n">
        <v>46198</v>
      </c>
      <c r="F14627" s="215" t="n">
        <v>46198</v>
      </c>
    </row>
    <row r="14628">
      <c r="A14628" s="215" t="n">
        <v>46199</v>
      </c>
      <c r="B14628" s="216" t="n">
        <v>18.49</v>
      </c>
      <c r="C14628" s="216" t="n">
        <v>17.68</v>
      </c>
      <c r="D14628" s="216" t="n">
        <v>1.154500961303711</v>
      </c>
      <c r="E14628" s="215" t="n">
        <v>46199</v>
      </c>
      <c r="F14628" s="215" t="n">
        <v>46199</v>
      </c>
    </row>
    <row r="14629">
      <c r="A14629" s="215" t="n">
        <v>46202</v>
      </c>
      <c r="B14629" s="216" t="n">
        <v>18.64</v>
      </c>
      <c r="C14629" s="216" t="n">
        <v>18.02</v>
      </c>
      <c r="D14629" s="216" t="n">
        <v>1.153512001037598</v>
      </c>
      <c r="E14629" s="215" t="n">
        <v>46202</v>
      </c>
      <c r="F14629" s="215" t="n">
        <v>46202</v>
      </c>
    </row>
    <row r="14630">
      <c r="A14630" s="215" t="n">
        <v>46203</v>
      </c>
      <c r="B14630" s="216" t="n">
        <v>18.54</v>
      </c>
      <c r="C14630" s="216" t="n">
        <v>17.28</v>
      </c>
      <c r="D14630" s="216" t="n">
        <v>1.153959035873413</v>
      </c>
      <c r="E14630" s="215" t="n">
        <v>46203</v>
      </c>
      <c r="F14630" s="215" t="n">
        <v>46203</v>
      </c>
    </row>
    <row r="14631">
      <c r="A14631" s="215" t="n">
        <v>46205</v>
      </c>
      <c r="B14631" s="216" t="n">
        <v>18.86</v>
      </c>
      <c r="C14631" s="216" t="n">
        <v>17.77</v>
      </c>
      <c r="D14631" s="216" t="n">
        <v>1.154355049133301</v>
      </c>
      <c r="E14631" s="215" t="n">
        <v>46205</v>
      </c>
      <c r="F14631" s="215" t="n">
        <v>46205</v>
      </c>
    </row>
    <row r="14632">
      <c r="A14632" s="215" t="n">
        <v>46206</v>
      </c>
      <c r="B14632" s="216" t="n">
        <v>19.68</v>
      </c>
      <c r="C14632" s="216" t="n">
        <v>18.56</v>
      </c>
      <c r="D14632" s="216" t="n">
        <v>1.155220985412598</v>
      </c>
      <c r="E14632" s="215" t="n">
        <v>46206</v>
      </c>
      <c r="F14632" s="215" t="n">
        <v>46206</v>
      </c>
    </row>
    <row r="14633">
      <c r="A14633" s="215" t="n">
        <v>46209</v>
      </c>
      <c r="B14633" s="216" t="n">
        <v>19.74</v>
      </c>
      <c r="C14633" s="216" t="n">
        <v>18.89</v>
      </c>
      <c r="D14633" s="216" t="n">
        <v>1.155068039894104</v>
      </c>
      <c r="E14633" s="215" t="n">
        <v>46209</v>
      </c>
      <c r="F14633" s="215" t="n">
        <v>46209</v>
      </c>
    </row>
    <row r="14634">
      <c r="A14634" s="215" t="n">
        <v>46210</v>
      </c>
      <c r="B14634" s="216" t="n">
        <v>20.1</v>
      </c>
      <c r="C14634" s="216" t="n">
        <v>19.44</v>
      </c>
      <c r="D14634" s="216" t="n">
        <v>1.153807997703552</v>
      </c>
      <c r="E14634" s="215" t="n">
        <v>46210</v>
      </c>
      <c r="F14634" s="215" t="n">
        <v>46210</v>
      </c>
    </row>
    <row r="14635">
      <c r="A14635" s="215" t="n">
        <v>46211</v>
      </c>
      <c r="B14635" s="216" t="n">
        <v>19.22</v>
      </c>
      <c r="C14635" s="216" t="n">
        <v>18.85</v>
      </c>
      <c r="D14635" s="216" t="n">
        <v>1.154153943061829</v>
      </c>
      <c r="E14635" s="215" t="n">
        <v>46211</v>
      </c>
      <c r="F14635" s="215" t="n">
        <v>46211</v>
      </c>
    </row>
    <row r="14636">
      <c r="A14636" s="215" t="n">
        <v>46212</v>
      </c>
      <c r="B14636" s="216" t="n">
        <v>18.79</v>
      </c>
      <c r="C14636" s="216" t="n">
        <v>18.57</v>
      </c>
      <c r="D14636" s="216" t="n">
        <v>1.152119994163513</v>
      </c>
      <c r="E14636" s="215" t="n">
        <v>46212</v>
      </c>
      <c r="F14636" s="215" t="n">
        <v>46212</v>
      </c>
    </row>
    <row r="14637">
      <c r="A14637" s="215" t="n">
        <v>46213</v>
      </c>
      <c r="B14637" s="216" t="n">
        <v>19.02</v>
      </c>
      <c r="C14637" s="216" t="n">
        <v>18.86</v>
      </c>
      <c r="D14637" s="216" t="n">
        <v>1.153550028800964</v>
      </c>
      <c r="E14637" s="215" t="n">
        <v>46213</v>
      </c>
      <c r="F14637" s="215" t="n">
        <v>46213</v>
      </c>
    </row>
    <row r="14638">
      <c r="A14638" s="215" t="n">
        <v>46216</v>
      </c>
      <c r="B14638" s="216" t="n">
        <v>18.65</v>
      </c>
      <c r="C14638" s="216" t="n">
        <v>18.71</v>
      </c>
      <c r="D14638" s="216" t="n">
        <v>1.156761050224304</v>
      </c>
      <c r="E14638" s="215" t="n">
        <v>46216</v>
      </c>
      <c r="F14638" s="215" t="n">
        <v>46216</v>
      </c>
    </row>
    <row r="14639">
      <c r="A14639" s="215" t="n">
        <v>46217</v>
      </c>
      <c r="B14639" s="216" t="n">
        <v>18.59</v>
      </c>
      <c r="C14639" s="216" t="n">
        <v>18.63</v>
      </c>
      <c r="D14639" s="216" t="n">
        <v>1.155825972557068</v>
      </c>
      <c r="E14639" s="215" t="n">
        <v>46217</v>
      </c>
      <c r="F14639" s="215" t="n">
        <v>46217</v>
      </c>
    </row>
    <row r="14640">
      <c r="A14640" s="215" t="n">
        <v>46218</v>
      </c>
      <c r="B14640" s="216" t="n">
        <v>18.78</v>
      </c>
      <c r="C14640" s="216" t="n">
        <v>19.16</v>
      </c>
      <c r="D14640" s="216" t="n">
        <v>1.157556056976318</v>
      </c>
      <c r="E14640" s="215" t="n">
        <v>46218</v>
      </c>
      <c r="F14640" s="215" t="n">
        <v>46218</v>
      </c>
    </row>
    <row r="14641">
      <c r="A14641" s="215" t="n">
        <v>46219</v>
      </c>
      <c r="B14641" s="216" t="n">
        <v>19.14</v>
      </c>
      <c r="C14641" s="216" t="n">
        <v>18.95</v>
      </c>
      <c r="D14641" s="216" t="n">
        <v>1.157912969589233</v>
      </c>
      <c r="E14641" s="215" t="n">
        <v>46219</v>
      </c>
      <c r="F14641" s="215" t="n">
        <v>46219</v>
      </c>
    </row>
    <row r="14642">
      <c r="A14642" s="215" t="n">
        <v>46220</v>
      </c>
      <c r="B14642" s="216" t="n">
        <v>18.28</v>
      </c>
      <c r="C14642" s="216" t="n">
        <v>18.65</v>
      </c>
      <c r="D14642" s="216" t="n">
        <v>1.157472014427185</v>
      </c>
      <c r="E14642" s="215" t="n">
        <v>46220</v>
      </c>
      <c r="F14642" s="215" t="n">
        <v>46220</v>
      </c>
    </row>
    <row r="14643">
      <c r="A14643" s="215" t="n">
        <v>46223</v>
      </c>
      <c r="B14643" s="216" t="n">
        <v>20.06</v>
      </c>
      <c r="C14643" s="216" t="n">
        <v>19.56</v>
      </c>
      <c r="D14643" s="216" t="n">
        <v>1.157451033592224</v>
      </c>
      <c r="E14643" s="215" t="n">
        <v>46223</v>
      </c>
      <c r="F14643" s="215" t="n">
        <v>46223</v>
      </c>
    </row>
    <row r="14644">
      <c r="A14644" s="215" t="n">
        <v>46224</v>
      </c>
      <c r="B14644" s="216" t="n">
        <v>20.14</v>
      </c>
      <c r="C14644" s="216" t="n">
        <v>19.69</v>
      </c>
      <c r="D14644" s="216" t="n">
        <v>1.157506942749023</v>
      </c>
      <c r="E14644" s="215" t="n">
        <v>46224</v>
      </c>
      <c r="F14644" s="215" t="n">
        <v>46224</v>
      </c>
    </row>
    <row r="14645">
      <c r="A14645" s="215" t="n">
        <v>46225</v>
      </c>
      <c r="B14645" s="216" t="n">
        <v>20.26</v>
      </c>
      <c r="C14645" s="216" t="n">
        <v>19.85</v>
      </c>
      <c r="D14645" s="216" t="n">
        <v>1.158938050270081</v>
      </c>
      <c r="E14645" s="215" t="n">
        <v>46225</v>
      </c>
      <c r="F14645" s="215" t="n">
        <v>46225</v>
      </c>
    </row>
    <row r="14646">
      <c r="A14646" s="215" t="n">
        <v>46226</v>
      </c>
      <c r="B14646" s="216" t="n">
        <v>21</v>
      </c>
      <c r="C14646" s="216" t="n">
        <v>19.97</v>
      </c>
      <c r="D14646" s="216" t="n">
        <v>1.157410979270935</v>
      </c>
      <c r="E14646" s="215" t="n">
        <v>46226</v>
      </c>
      <c r="F14646" s="215" t="n">
        <v>46226</v>
      </c>
    </row>
    <row r="14647">
      <c r="A14647" s="215" t="n">
        <v>46227</v>
      </c>
      <c r="B14647" s="216" t="n">
        <v>20.28</v>
      </c>
      <c r="C14647" s="216" t="n">
        <v>19.58</v>
      </c>
      <c r="D14647" s="216" t="n">
        <v>1.15762197971344</v>
      </c>
      <c r="E14647" s="215" t="n">
        <v>46227</v>
      </c>
      <c r="F14647" s="215" t="n">
        <v>46227</v>
      </c>
    </row>
    <row r="14648">
      <c r="A14648" s="215" t="n">
        <v>46230</v>
      </c>
      <c r="B14648" s="216" t="n">
        <v>20.5</v>
      </c>
      <c r="C14648" s="216" t="n">
        <v>19.4</v>
      </c>
      <c r="D14648" s="216" t="n">
        <v>1.15789794921875</v>
      </c>
      <c r="E14648" s="215" t="n">
        <v>46230</v>
      </c>
      <c r="F14648" s="215" t="n">
        <v>46230</v>
      </c>
    </row>
    <row r="14649">
      <c r="A14649" s="215" t="n">
        <v>46231</v>
      </c>
      <c r="B14649" s="216" t="n">
        <v>20.42</v>
      </c>
      <c r="C14649" s="216" t="n">
        <v>19.7</v>
      </c>
      <c r="D14649" s="216" t="n">
        <v>1.158699035644531</v>
      </c>
      <c r="E14649" s="215" t="n">
        <v>46231</v>
      </c>
      <c r="F14649" s="215" t="n">
        <v>46231</v>
      </c>
    </row>
    <row r="14650">
      <c r="A14650" s="215" t="n">
        <v>46232</v>
      </c>
      <c r="B14650" s="216" t="n">
        <v>21.2</v>
      </c>
      <c r="C14650" s="216" t="n">
        <v>20.4</v>
      </c>
      <c r="D14650" s="216" t="n">
        <v>1.157909989356995</v>
      </c>
      <c r="E14650" s="215" t="n">
        <v>46232</v>
      </c>
      <c r="F14650" s="215" t="n">
        <v>46232</v>
      </c>
    </row>
    <row r="14651">
      <c r="A14651" s="215" t="n">
        <v>46233</v>
      </c>
      <c r="B14651" s="216" t="n">
        <v>20.98</v>
      </c>
      <c r="C14651" s="216" t="n">
        <v>20.83</v>
      </c>
      <c r="D14651" s="216" t="n">
        <v>1.158943057060242</v>
      </c>
      <c r="E14651" s="215" t="n">
        <v>46233</v>
      </c>
      <c r="F14651" s="215" t="n">
        <v>46233</v>
      </c>
    </row>
    <row r="14652">
      <c r="A14652" s="215" t="n">
        <v>46234</v>
      </c>
      <c r="B14652" s="216" t="n">
        <v>21.1</v>
      </c>
      <c r="C14652" s="216" t="n">
        <v>20.55</v>
      </c>
      <c r="D14652" s="216" t="n">
        <v>1.160945057868958</v>
      </c>
      <c r="E14652" s="215" t="n">
        <v>46234</v>
      </c>
      <c r="F14652" s="215" t="n">
        <v>46234</v>
      </c>
    </row>
    <row r="14653">
      <c r="A14653" s="215" t="n">
        <v>46237</v>
      </c>
      <c r="B14653" s="216" t="n">
        <v>21.02</v>
      </c>
      <c r="C14653" s="216" t="n">
        <v>20.2</v>
      </c>
      <c r="D14653" s="216" t="n">
        <v>1.161579966545105</v>
      </c>
      <c r="E14653" s="215" t="n">
        <v>46237</v>
      </c>
      <c r="F14653" s="215" t="n">
        <v>46237</v>
      </c>
    </row>
    <row r="14654">
      <c r="A14654" s="215" t="n">
        <v>46238</v>
      </c>
      <c r="B14654" s="216" t="n">
        <v>21.02</v>
      </c>
      <c r="C14654" s="216" t="n">
        <v>19.53</v>
      </c>
      <c r="D14654" s="216" t="n">
        <v>1.161064982414246</v>
      </c>
      <c r="E14654" s="215" t="n">
        <v>46238</v>
      </c>
      <c r="F14654" s="215" t="n">
        <v>46238</v>
      </c>
    </row>
    <row r="14655">
      <c r="A14655" s="215" t="n">
        <v>46239</v>
      </c>
      <c r="B14655" s="216" t="n">
        <v>21.16</v>
      </c>
      <c r="C14655" s="216" t="n">
        <v>19.62</v>
      </c>
      <c r="D14655" s="216" t="n">
        <v>1.161146998405457</v>
      </c>
      <c r="E14655" s="215" t="n">
        <v>46239</v>
      </c>
      <c r="F14655" s="215" t="n">
        <v>46239</v>
      </c>
    </row>
    <row r="14656">
      <c r="A14656" s="215" t="n">
        <v>46240</v>
      </c>
      <c r="B14656" s="216" t="n">
        <v>20.68</v>
      </c>
      <c r="C14656" s="216" t="n">
        <v>19.76</v>
      </c>
      <c r="D14656" s="216" t="n">
        <v>1.161936044692993</v>
      </c>
      <c r="E14656" s="215" t="n">
        <v>46240</v>
      </c>
      <c r="F14656" s="215" t="n">
        <v>46240</v>
      </c>
    </row>
    <row r="14657">
      <c r="A14657" s="215" t="n">
        <v>46241</v>
      </c>
      <c r="B14657" s="216" t="n">
        <v>20.34</v>
      </c>
      <c r="C14657" s="216" t="n">
        <v>19.58</v>
      </c>
      <c r="D14657" s="216" t="n">
        <v>1.162284016609192</v>
      </c>
      <c r="E14657" s="215" t="n">
        <v>46241</v>
      </c>
      <c r="F14657" s="215" t="n">
        <v>46241</v>
      </c>
    </row>
    <row r="14658">
      <c r="A14658" s="215" t="n">
        <v>46244</v>
      </c>
      <c r="B14658" s="216" t="n">
        <v>19.92</v>
      </c>
      <c r="C14658" s="216" t="n">
        <v>19.74</v>
      </c>
      <c r="D14658" s="216" t="n">
        <v>1.162629961967468</v>
      </c>
      <c r="E14658" s="215" t="n">
        <v>46244</v>
      </c>
      <c r="F14658" s="215" t="n">
        <v>46244</v>
      </c>
    </row>
    <row r="14659">
      <c r="A14659" s="215" t="n">
        <v>46245</v>
      </c>
      <c r="B14659" s="216" t="n">
        <v>19.05</v>
      </c>
      <c r="C14659" s="216" t="n">
        <v>19.04</v>
      </c>
      <c r="D14659" s="216" t="n">
        <v>1.162588000297546</v>
      </c>
      <c r="E14659" s="215" t="n">
        <v>46245</v>
      </c>
      <c r="F14659" s="215" t="n">
        <v>46245</v>
      </c>
    </row>
    <row r="14660">
      <c r="A14660" s="215" t="n">
        <v>46246</v>
      </c>
      <c r="B14660" s="216" t="n">
        <v>19</v>
      </c>
      <c r="C14660" s="216" t="n">
        <v>18.91</v>
      </c>
      <c r="D14660" s="216" t="n">
        <v>1.163135051727295</v>
      </c>
      <c r="E14660" s="215" t="n">
        <v>46246</v>
      </c>
      <c r="F14660" s="215" t="n">
        <v>46246</v>
      </c>
    </row>
    <row r="14661">
      <c r="A14661" s="215" t="n">
        <v>46247</v>
      </c>
      <c r="B14661" s="216" t="n">
        <v>18.59</v>
      </c>
      <c r="C14661" s="216" t="n">
        <v>18.72</v>
      </c>
      <c r="D14661" s="216" t="n">
        <v>1.163341045379639</v>
      </c>
      <c r="E14661" s="215" t="n">
        <v>46247</v>
      </c>
      <c r="F14661" s="215" t="n">
        <v>46247</v>
      </c>
    </row>
    <row r="14662">
      <c r="A14662" s="215" t="n">
        <v>46248</v>
      </c>
      <c r="B14662" s="216" t="n">
        <v>18.34</v>
      </c>
      <c r="C14662" s="216" t="n">
        <v>18.75</v>
      </c>
      <c r="D14662" s="216" t="n">
        <v>1.163571000099182</v>
      </c>
      <c r="E14662" s="215" t="n">
        <v>46248</v>
      </c>
      <c r="F14662" s="215" t="n">
        <v>46248</v>
      </c>
    </row>
    <row r="14663">
      <c r="A14663" s="215" t="n">
        <v>46251</v>
      </c>
      <c r="B14663" s="216" t="n">
        <v>18.76</v>
      </c>
      <c r="C14663" s="216" t="n">
        <v>18.7</v>
      </c>
      <c r="D14663" s="216" t="n">
        <v>1.163601994514465</v>
      </c>
      <c r="E14663" s="215" t="n">
        <v>46251</v>
      </c>
      <c r="F14663" s="215" t="n">
        <v>46251</v>
      </c>
    </row>
    <row r="14664">
      <c r="A14664" s="215" t="n">
        <v>46252</v>
      </c>
      <c r="B14664" s="216" t="n">
        <v>18.9</v>
      </c>
      <c r="C14664" s="216" t="n">
        <v>18.97</v>
      </c>
      <c r="D14664" s="216" t="n">
        <v>1.163733005523682</v>
      </c>
      <c r="E14664" s="215" t="n">
        <v>46252</v>
      </c>
      <c r="F14664" s="215" t="n">
        <v>46252</v>
      </c>
    </row>
    <row r="14665">
      <c r="A14665" s="215" t="n">
        <v>46253</v>
      </c>
      <c r="B14665" s="216" t="n">
        <v>18.57</v>
      </c>
      <c r="C14665" s="216" t="n">
        <v>18.93</v>
      </c>
      <c r="D14665" s="216" t="n">
        <v>1.163092017173767</v>
      </c>
      <c r="E14665" s="215" t="n">
        <v>46253</v>
      </c>
      <c r="F14665" s="215" t="n">
        <v>46253</v>
      </c>
    </row>
    <row r="14666">
      <c r="A14666" s="215" t="n">
        <v>46254</v>
      </c>
      <c r="B14666" s="216" t="n">
        <v>18.72</v>
      </c>
      <c r="C14666" s="216" t="n">
        <v>19.05</v>
      </c>
      <c r="D14666" s="216" t="n">
        <v>1.164932012557983</v>
      </c>
      <c r="E14666" s="215" t="n">
        <v>46254</v>
      </c>
      <c r="F14666" s="215" t="n">
        <v>46254</v>
      </c>
    </row>
    <row r="14667">
      <c r="A14667" s="215" t="n">
        <v>46255</v>
      </c>
      <c r="B14667" s="216" t="n">
        <v>19.05</v>
      </c>
      <c r="C14667" s="216" t="n">
        <v>18.8</v>
      </c>
      <c r="D14667" s="216" t="n">
        <v>1.166555047035217</v>
      </c>
      <c r="E14667" s="215" t="n">
        <v>46255</v>
      </c>
      <c r="F14667" s="215" t="n">
        <v>46255</v>
      </c>
    </row>
    <row r="14668">
      <c r="A14668" s="215" t="n">
        <v>46258</v>
      </c>
      <c r="B14668" s="216" t="n">
        <v>18.56</v>
      </c>
      <c r="C14668" s="216" t="n">
        <v>18.61</v>
      </c>
      <c r="D14668" s="216" t="n">
        <v>1.166316986083984</v>
      </c>
      <c r="E14668" s="215" t="n">
        <v>46258</v>
      </c>
      <c r="F14668" s="215" t="n">
        <v>46258</v>
      </c>
    </row>
    <row r="14669">
      <c r="A14669" s="215" t="n">
        <v>46259</v>
      </c>
      <c r="B14669" s="216" t="n">
        <v>19.31</v>
      </c>
      <c r="C14669" s="216" t="n">
        <v>18.95</v>
      </c>
      <c r="D14669" s="216" t="n">
        <v>1.165253043174744</v>
      </c>
      <c r="E14669" s="215" t="n">
        <v>46259</v>
      </c>
      <c r="F14669" s="215" t="n">
        <v>46259</v>
      </c>
    </row>
    <row r="14670">
      <c r="A14670" s="215" t="n">
        <v>46260</v>
      </c>
      <c r="B14670" s="216" t="n">
        <v>18.86</v>
      </c>
      <c r="C14670" s="216" t="n">
        <v>18.86</v>
      </c>
      <c r="D14670" s="216" t="n">
        <v>1.166218996047974</v>
      </c>
      <c r="E14670" s="215" t="n">
        <v>46260</v>
      </c>
      <c r="F14670" s="215" t="n">
        <v>46260</v>
      </c>
    </row>
    <row r="14671">
      <c r="A14671" s="215" t="n">
        <v>46261</v>
      </c>
      <c r="B14671" s="216" t="n">
        <v>18.88</v>
      </c>
      <c r="C14671" s="216" t="n">
        <v>19.06</v>
      </c>
      <c r="D14671" s="216" t="n">
        <v>1.165971040725708</v>
      </c>
      <c r="E14671" s="215" t="n">
        <v>46261</v>
      </c>
      <c r="F14671" s="215" t="n">
        <v>46261</v>
      </c>
    </row>
    <row r="14672">
      <c r="A14672" s="215" t="n">
        <v>46262</v>
      </c>
      <c r="B14672" s="216" t="n">
        <v>18.59</v>
      </c>
      <c r="C14672" s="216" t="n">
        <v>19.1</v>
      </c>
      <c r="D14672" s="216" t="n">
        <v>1.165799975395203</v>
      </c>
      <c r="E14672" s="215" t="n">
        <v>46262</v>
      </c>
      <c r="F14672" s="215" t="n">
        <v>46262</v>
      </c>
    </row>
    <row r="14673">
      <c r="A14673" s="215" t="n">
        <v>46265</v>
      </c>
      <c r="B14673" s="216" t="n">
        <v>19.61</v>
      </c>
      <c r="C14673" s="216" t="n">
        <v>20.01</v>
      </c>
      <c r="D14673" s="216" t="n">
        <v>1.165387988090515</v>
      </c>
      <c r="E14673" s="215" t="n">
        <v>46265</v>
      </c>
      <c r="F14673" s="215" t="n">
        <v>46265</v>
      </c>
    </row>
    <row r="14674">
      <c r="A14674" s="215" t="n">
        <v>46266</v>
      </c>
      <c r="B14674" s="216" t="n">
        <v>19.69</v>
      </c>
      <c r="C14674" s="216" t="n">
        <v>20.22</v>
      </c>
      <c r="D14674" s="216" t="n">
        <v>1.165223956108093</v>
      </c>
      <c r="E14674" s="215" t="n">
        <v>46266</v>
      </c>
      <c r="F14674" s="215" t="n">
        <v>46266</v>
      </c>
    </row>
    <row r="14675">
      <c r="A14675" s="215" t="n">
        <v>46267</v>
      </c>
      <c r="B14675" s="216" t="n">
        <v>19.12</v>
      </c>
      <c r="C14675" s="216" t="n">
        <v>19.63</v>
      </c>
      <c r="D14675" s="216" t="n">
        <v>1.166425943374634</v>
      </c>
      <c r="E14675" s="215" t="n">
        <v>46267</v>
      </c>
      <c r="F14675" s="215" t="n">
        <v>46267</v>
      </c>
    </row>
    <row r="14676">
      <c r="A14676" s="215" t="n">
        <v>46268</v>
      </c>
      <c r="B14676" s="216" t="n">
        <v>19.57</v>
      </c>
      <c r="C14676" s="216" t="n">
        <v>19.94</v>
      </c>
      <c r="D14676" s="216" t="n">
        <v>1.167057037353516</v>
      </c>
      <c r="E14676" s="215" t="n">
        <v>46268</v>
      </c>
      <c r="F14676" s="215" t="n">
        <v>46268</v>
      </c>
    </row>
    <row r="14677">
      <c r="A14677" s="215" t="n">
        <v>46269</v>
      </c>
      <c r="B14677" s="216" t="n">
        <v>20.06</v>
      </c>
      <c r="C14677" s="216" t="n">
        <v>20</v>
      </c>
      <c r="D14677" s="216" t="n">
        <v>1.166767954826355</v>
      </c>
      <c r="E14677" s="215" t="n">
        <v>46269</v>
      </c>
      <c r="F14677" s="215" t="n">
        <v>46269</v>
      </c>
    </row>
    <row r="14678">
      <c r="A14678" s="215" t="n">
        <v>46272</v>
      </c>
      <c r="B14678" s="216" t="n">
        <v>19.8</v>
      </c>
      <c r="C14678" s="216" t="n">
        <v>19.89</v>
      </c>
      <c r="D14678" s="216" t="n">
        <v>1.168081045150757</v>
      </c>
      <c r="E14678" s="215" t="n">
        <v>46272</v>
      </c>
      <c r="F14678" s="215" t="n">
        <v>46272</v>
      </c>
    </row>
    <row r="14679">
      <c r="A14679" s="215" t="n">
        <v>46273</v>
      </c>
      <c r="B14679" s="216" t="n">
        <v>19.85</v>
      </c>
      <c r="C14679" s="216" t="n">
        <v>19.97</v>
      </c>
      <c r="D14679" s="216" t="n">
        <v>1.168115019798279</v>
      </c>
      <c r="E14679" s="215" t="n">
        <v>46273</v>
      </c>
      <c r="F14679" s="215" t="n">
        <v>46273</v>
      </c>
    </row>
    <row r="14680">
      <c r="A14680" s="215" t="n">
        <v>46274</v>
      </c>
      <c r="B14680" s="216" t="n">
        <v>20.26</v>
      </c>
      <c r="C14680" s="216" t="n">
        <v>20.22</v>
      </c>
      <c r="D14680" s="216" t="n">
        <v>1.168408989906311</v>
      </c>
      <c r="E14680" s="215" t="n">
        <v>46274</v>
      </c>
      <c r="F14680" s="215" t="n">
        <v>46274</v>
      </c>
    </row>
    <row r="14681">
      <c r="A14681" s="215" t="n">
        <v>46275</v>
      </c>
      <c r="B14681" s="216" t="n">
        <v>19.76</v>
      </c>
      <c r="C14681" s="216" t="n">
        <v>20.01</v>
      </c>
      <c r="D14681" s="216" t="n">
        <v>1.168462991714478</v>
      </c>
      <c r="E14681" s="215" t="n">
        <v>46275</v>
      </c>
      <c r="F14681" s="215" t="n">
        <v>46275</v>
      </c>
    </row>
    <row r="14682">
      <c r="A14682" s="215" t="n">
        <v>46276</v>
      </c>
      <c r="B14682" s="216" t="n">
        <v>19.7</v>
      </c>
      <c r="C14682" s="216" t="n">
        <v>19.78</v>
      </c>
      <c r="D14682" s="216" t="n">
        <v>1.169165015220642</v>
      </c>
      <c r="E14682" s="215" t="n">
        <v>46276</v>
      </c>
      <c r="F14682" s="215" t="n">
        <v>46276</v>
      </c>
    </row>
    <row r="14683">
      <c r="A14683" s="215" t="n">
        <v>46279</v>
      </c>
      <c r="B14683" s="216" t="n">
        <v>19.93</v>
      </c>
      <c r="C14683" s="216" t="n">
        <v>19.92</v>
      </c>
      <c r="D14683" s="216" t="n">
        <v>1.16893994808197</v>
      </c>
      <c r="E14683" s="215" t="n">
        <v>46279</v>
      </c>
      <c r="F14683" s="215" t="n">
        <v>46279</v>
      </c>
    </row>
    <row r="14684">
      <c r="A14684" s="215" t="n">
        <v>46280</v>
      </c>
      <c r="B14684" s="216" t="n">
        <v>19.32</v>
      </c>
      <c r="C14684" s="216" t="n">
        <v>19.49</v>
      </c>
      <c r="D14684" s="216" t="n">
        <v>1.169121026992798</v>
      </c>
      <c r="E14684" s="215" t="n">
        <v>46280</v>
      </c>
      <c r="F14684" s="215" t="n">
        <v>46280</v>
      </c>
    </row>
    <row r="14685">
      <c r="A14685" s="215" t="n">
        <v>46281</v>
      </c>
      <c r="B14685" s="216" t="n">
        <v>18.46</v>
      </c>
      <c r="C14685" s="216" t="n">
        <v>18.18</v>
      </c>
      <c r="D14685" s="216" t="n">
        <v>1.168769955635071</v>
      </c>
      <c r="E14685" s="215" t="n">
        <v>46281</v>
      </c>
      <c r="F14685" s="215" t="n">
        <v>46281</v>
      </c>
    </row>
    <row r="14686">
      <c r="A14686" s="215" t="n">
        <v>46282</v>
      </c>
      <c r="B14686" s="216" t="n">
        <v>18.13</v>
      </c>
      <c r="C14686" s="216" t="n">
        <v>18.07</v>
      </c>
      <c r="D14686" s="216" t="n">
        <v>1.169389963150024</v>
      </c>
      <c r="E14686" s="215" t="n">
        <v>46282</v>
      </c>
      <c r="F14686" s="215" t="n">
        <v>46282</v>
      </c>
    </row>
    <row r="14687">
      <c r="A14687" s="215" t="n">
        <v>46283</v>
      </c>
      <c r="B14687" s="216" t="n">
        <v>18.15</v>
      </c>
      <c r="C14687" s="216" t="n">
        <v>17.89</v>
      </c>
      <c r="D14687" s="216" t="n">
        <v>1.16942298412323</v>
      </c>
      <c r="E14687" s="215" t="n">
        <v>46283</v>
      </c>
      <c r="F14687" s="215" t="n">
        <v>46283</v>
      </c>
    </row>
    <row r="14688">
      <c r="A14688" s="215" t="n">
        <v>46286</v>
      </c>
      <c r="B14688" s="216" t="n">
        <v>17.86</v>
      </c>
      <c r="C14688" s="216" t="n">
        <v>17.76</v>
      </c>
      <c r="D14688" s="216" t="n">
        <v>1.171280026435852</v>
      </c>
      <c r="E14688" s="215" t="n">
        <v>46286</v>
      </c>
      <c r="F14688" s="215" t="n">
        <v>46286</v>
      </c>
    </row>
    <row r="14689">
      <c r="A14689" s="215" t="n">
        <v>46287</v>
      </c>
      <c r="B14689" s="216" t="n">
        <v>17.57</v>
      </c>
      <c r="C14689" s="216" t="n">
        <v>17.72</v>
      </c>
      <c r="D14689" s="216" t="n">
        <v>1.171705007553101</v>
      </c>
      <c r="E14689" s="215" t="n">
        <v>46287</v>
      </c>
      <c r="F14689" s="215" t="n">
        <v>46287</v>
      </c>
    </row>
    <row r="14690">
      <c r="A14690" s="215" t="n">
        <v>46288</v>
      </c>
      <c r="B14690" s="216" t="n">
        <v>17.21</v>
      </c>
      <c r="C14690" s="216" t="n">
        <v>17.51</v>
      </c>
      <c r="D14690" s="216" t="n">
        <v>1.170611023902893</v>
      </c>
      <c r="E14690" s="215" t="n">
        <v>46288</v>
      </c>
      <c r="F14690" s="215" t="n">
        <v>46288</v>
      </c>
    </row>
    <row r="14691">
      <c r="A14691" s="215" t="n">
        <v>46289</v>
      </c>
      <c r="B14691" s="216" t="n">
        <v>17.02</v>
      </c>
      <c r="C14691" s="216" t="n">
        <v>17.2</v>
      </c>
      <c r="D14691" s="216" t="n">
        <v>1.16852605342865</v>
      </c>
      <c r="E14691" s="215" t="n">
        <v>46289</v>
      </c>
      <c r="F14691" s="215" t="n">
        <v>46289</v>
      </c>
    </row>
    <row r="14692">
      <c r="A14692" s="215" t="n">
        <v>46290</v>
      </c>
      <c r="B14692" s="216" t="n">
        <v>16.6</v>
      </c>
      <c r="C14692" s="216" t="n">
        <v>17.2</v>
      </c>
      <c r="D14692" s="216" t="n">
        <v>1.168424010276794</v>
      </c>
      <c r="E14692" s="215" t="n">
        <v>46289</v>
      </c>
      <c r="F14692" s="215" t="n">
        <v>46290</v>
      </c>
    </row>
    <row r="14693">
      <c r="A14693" s="215" t="n">
        <v>46293</v>
      </c>
      <c r="B14693" s="216" t="n">
        <v>16.94</v>
      </c>
      <c r="C14693" s="216" t="n">
        <v>17.19</v>
      </c>
      <c r="D14693" s="216" t="n">
        <v>1.168378949165344</v>
      </c>
      <c r="E14693" s="215" t="n">
        <v>46293</v>
      </c>
      <c r="F14693" s="215" t="n">
        <v>46293</v>
      </c>
    </row>
    <row r="14694">
      <c r="A14694" s="215" t="n">
        <v>46294</v>
      </c>
      <c r="B14694" s="216" t="n">
        <v>16.79</v>
      </c>
      <c r="C14694" s="216" t="n">
        <v>17.06</v>
      </c>
      <c r="D14694" s="216" t="n">
        <v>1.168815970420837</v>
      </c>
      <c r="E14694" s="215" t="n">
        <v>46294</v>
      </c>
      <c r="F14694" s="215" t="n">
        <v>46294</v>
      </c>
    </row>
    <row r="14695">
      <c r="A14695" s="215" t="n">
        <v>46295</v>
      </c>
      <c r="B14695" s="216" t="n">
        <v>17.07</v>
      </c>
      <c r="C14695" s="216" t="n">
        <v>17.49</v>
      </c>
      <c r="D14695" s="216" t="n">
        <v>1.17059600353241</v>
      </c>
      <c r="E14695" s="215" t="n">
        <v>46295</v>
      </c>
      <c r="F14695" s="215" t="n">
        <v>46295</v>
      </c>
    </row>
    <row r="14696">
      <c r="A14696" s="215" t="n">
        <v>46297</v>
      </c>
      <c r="B14696" s="216" t="n">
        <v>16.98</v>
      </c>
      <c r="C14696" s="216" t="n">
        <v>17.49</v>
      </c>
      <c r="D14696" s="216" t="n">
        <v>1.170220971107483</v>
      </c>
      <c r="E14696" s="215" t="n">
        <v>46295</v>
      </c>
      <c r="F14696" s="215" t="n">
        <v>46297</v>
      </c>
    </row>
    <row r="14697">
      <c r="A14697" s="215" t="n">
        <v>46196</v>
      </c>
      <c r="B14697" s="216" t="n">
        <v>11</v>
      </c>
      <c r="C14697" s="216" t="n">
        <v>18.94</v>
      </c>
      <c r="D14697" s="216" t="n">
        <v>1.156896948814392</v>
      </c>
      <c r="E14697" s="215" t="n">
        <v>46196</v>
      </c>
      <c r="F14697" s="215" t="n">
        <v>46196</v>
      </c>
    </row>
    <row r="14698">
      <c r="A14698" s="215" t="n">
        <v>46197</v>
      </c>
      <c r="B14698" s="216" t="n">
        <v>9.56</v>
      </c>
      <c r="C14698" s="216" t="n">
        <v>18.3</v>
      </c>
      <c r="D14698" s="216" t="n">
        <v>1.154508948326111</v>
      </c>
      <c r="E14698" s="215" t="n">
        <v>46197</v>
      </c>
      <c r="F14698" s="215" t="n">
        <v>46197</v>
      </c>
    </row>
    <row r="14699">
      <c r="A14699" s="215" t="n">
        <v>46198</v>
      </c>
      <c r="B14699" s="216" t="n">
        <v>9.619999999999999</v>
      </c>
      <c r="C14699" s="216" t="n">
        <v>17.82</v>
      </c>
      <c r="D14699" s="216" t="n">
        <v>1.154152035713196</v>
      </c>
      <c r="E14699" s="215" t="n">
        <v>46198</v>
      </c>
      <c r="F14699" s="215" t="n">
        <v>46198</v>
      </c>
    </row>
    <row r="14700">
      <c r="A14700" s="215" t="n">
        <v>46199</v>
      </c>
      <c r="B14700" s="216" t="n">
        <v>9.130000000000001</v>
      </c>
      <c r="C14700" s="216" t="n">
        <v>16.59</v>
      </c>
      <c r="D14700" s="216" t="n">
        <v>1.154500961303711</v>
      </c>
      <c r="E14700" s="215" t="n">
        <v>46199</v>
      </c>
      <c r="F14700" s="215" t="n">
        <v>46199</v>
      </c>
    </row>
    <row r="14701">
      <c r="A14701" s="215" t="n">
        <v>46202</v>
      </c>
      <c r="B14701" s="216" t="n">
        <v>9.300000000000001</v>
      </c>
      <c r="C14701" s="216" t="n">
        <v>16.95</v>
      </c>
      <c r="D14701" s="216" t="n">
        <v>1.153512001037598</v>
      </c>
      <c r="E14701" s="215" t="n">
        <v>46202</v>
      </c>
      <c r="F14701" s="215" t="n">
        <v>46202</v>
      </c>
    </row>
    <row r="14702">
      <c r="A14702" s="215" t="n">
        <v>46203</v>
      </c>
      <c r="B14702" s="216" t="n">
        <v>9.9</v>
      </c>
      <c r="C14702" s="216" t="n">
        <v>18.72</v>
      </c>
      <c r="D14702" s="216" t="n">
        <v>1.153959035873413</v>
      </c>
      <c r="E14702" s="215" t="n">
        <v>46203</v>
      </c>
      <c r="F14702" s="215" t="n">
        <v>46203</v>
      </c>
    </row>
    <row r="14703">
      <c r="A14703" s="215" t="n">
        <v>46205</v>
      </c>
      <c r="B14703" s="216" t="n">
        <v>9.960000000000001</v>
      </c>
      <c r="C14703" s="216" t="n">
        <v>20.34</v>
      </c>
      <c r="D14703" s="216" t="n">
        <v>1.154355049133301</v>
      </c>
      <c r="E14703" s="215" t="n">
        <v>46205</v>
      </c>
      <c r="F14703" s="215" t="n">
        <v>46205</v>
      </c>
    </row>
    <row r="14704">
      <c r="A14704" s="215" t="n">
        <v>46206</v>
      </c>
      <c r="B14704" s="216" t="n">
        <v>10.43</v>
      </c>
      <c r="C14704" s="216" t="n">
        <v>20</v>
      </c>
      <c r="D14704" s="216" t="n">
        <v>1.155220985412598</v>
      </c>
      <c r="E14704" s="215" t="n">
        <v>46206</v>
      </c>
      <c r="F14704" s="215" t="n">
        <v>46206</v>
      </c>
    </row>
    <row r="14705">
      <c r="A14705" s="215" t="n">
        <v>46209</v>
      </c>
      <c r="B14705" s="216" t="n">
        <v>11.2</v>
      </c>
      <c r="C14705" s="216" t="n">
        <v>20.13</v>
      </c>
      <c r="D14705" s="216" t="n">
        <v>1.155068039894104</v>
      </c>
      <c r="E14705" s="215" t="n">
        <v>46209</v>
      </c>
      <c r="F14705" s="215" t="n">
        <v>46209</v>
      </c>
    </row>
    <row r="14706">
      <c r="A14706" s="215" t="n">
        <v>46210</v>
      </c>
      <c r="B14706" s="216" t="n">
        <v>10.4</v>
      </c>
      <c r="C14706" s="216" t="n">
        <v>20.35</v>
      </c>
      <c r="D14706" s="216" t="n">
        <v>1.153807997703552</v>
      </c>
      <c r="E14706" s="215" t="n">
        <v>46210</v>
      </c>
      <c r="F14706" s="215" t="n">
        <v>46210</v>
      </c>
    </row>
    <row r="14707">
      <c r="A14707" s="215" t="n">
        <v>46211</v>
      </c>
      <c r="B14707" s="216" t="n">
        <v>9.56</v>
      </c>
      <c r="C14707" s="216" t="n">
        <v>18.46</v>
      </c>
      <c r="D14707" s="216" t="n">
        <v>1.154153943061829</v>
      </c>
      <c r="E14707" s="215" t="n">
        <v>46211</v>
      </c>
      <c r="F14707" s="215" t="n">
        <v>46211</v>
      </c>
    </row>
    <row r="14708">
      <c r="A14708" s="215" t="n">
        <v>46212</v>
      </c>
      <c r="B14708" s="216" t="n">
        <v>9.529999999999999</v>
      </c>
      <c r="C14708" s="216" t="n">
        <v>18.11</v>
      </c>
      <c r="D14708" s="216" t="n">
        <v>1.152119994163513</v>
      </c>
      <c r="E14708" s="215" t="n">
        <v>46212</v>
      </c>
      <c r="F14708" s="215" t="n">
        <v>46212</v>
      </c>
    </row>
    <row r="14709">
      <c r="A14709" s="215" t="n">
        <v>46213</v>
      </c>
      <c r="B14709" s="216" t="n">
        <v>9.300000000000001</v>
      </c>
      <c r="C14709" s="216" t="n">
        <v>17.57</v>
      </c>
      <c r="D14709" s="216" t="n">
        <v>1.153550028800964</v>
      </c>
      <c r="E14709" s="215" t="n">
        <v>46213</v>
      </c>
      <c r="F14709" s="215" t="n">
        <v>46213</v>
      </c>
    </row>
    <row r="14710">
      <c r="A14710" s="215" t="n">
        <v>46216</v>
      </c>
      <c r="B14710" s="216" t="n">
        <v>7.83</v>
      </c>
      <c r="C14710" s="216" t="n">
        <v>15.58</v>
      </c>
      <c r="D14710" s="216" t="n">
        <v>1.156761050224304</v>
      </c>
      <c r="E14710" s="215" t="n">
        <v>46216</v>
      </c>
      <c r="F14710" s="215" t="n">
        <v>46216</v>
      </c>
    </row>
    <row r="14711">
      <c r="A14711" s="215" t="n">
        <v>46217</v>
      </c>
      <c r="B14711" s="216" t="n">
        <v>8.25</v>
      </c>
      <c r="C14711" s="216" t="n">
        <v>15.44</v>
      </c>
      <c r="D14711" s="216" t="n">
        <v>1.155825972557068</v>
      </c>
      <c r="E14711" s="215" t="n">
        <v>46217</v>
      </c>
      <c r="F14711" s="215" t="n">
        <v>46217</v>
      </c>
    </row>
    <row r="14712">
      <c r="A14712" s="215" t="n">
        <v>46218</v>
      </c>
      <c r="B14712" s="216" t="n">
        <v>8.06</v>
      </c>
      <c r="C14712" s="216" t="n">
        <v>14.73</v>
      </c>
      <c r="D14712" s="216" t="n">
        <v>1.157556056976318</v>
      </c>
      <c r="E14712" s="215" t="n">
        <v>46218</v>
      </c>
      <c r="F14712" s="215" t="n">
        <v>46218</v>
      </c>
    </row>
    <row r="14713">
      <c r="A14713" s="215" t="n">
        <v>46219</v>
      </c>
      <c r="B14713" s="216" t="n">
        <v>8</v>
      </c>
      <c r="C14713" s="216" t="n">
        <v>13.5</v>
      </c>
      <c r="D14713" s="216" t="n">
        <v>1.157912969589233</v>
      </c>
      <c r="E14713" s="215" t="n">
        <v>46219</v>
      </c>
      <c r="F14713" s="215" t="n">
        <v>46219</v>
      </c>
    </row>
    <row r="14714">
      <c r="A14714" s="215" t="n">
        <v>46220</v>
      </c>
      <c r="B14714" s="216" t="n">
        <v>7.22</v>
      </c>
      <c r="C14714" s="216" t="n">
        <v>12.53</v>
      </c>
      <c r="D14714" s="216" t="n">
        <v>1.157472014427185</v>
      </c>
      <c r="E14714" s="215" t="n">
        <v>46220</v>
      </c>
      <c r="F14714" s="215" t="n">
        <v>46220</v>
      </c>
    </row>
    <row r="14715">
      <c r="A14715" s="215" t="n">
        <v>46223</v>
      </c>
      <c r="B14715" s="216" t="n">
        <v>7.5</v>
      </c>
      <c r="C14715" s="216" t="n">
        <v>12.02</v>
      </c>
      <c r="D14715" s="216" t="n">
        <v>1.157451033592224</v>
      </c>
      <c r="E14715" s="215" t="n">
        <v>46223</v>
      </c>
      <c r="F14715" s="215" t="n">
        <v>46223</v>
      </c>
    </row>
    <row r="14716">
      <c r="A14716" s="215" t="n">
        <v>46224</v>
      </c>
      <c r="B14716" s="216" t="n">
        <v>7.82</v>
      </c>
      <c r="C14716" s="216" t="n">
        <v>12.76</v>
      </c>
      <c r="D14716" s="216" t="n">
        <v>1.157506942749023</v>
      </c>
      <c r="E14716" s="215" t="n">
        <v>46224</v>
      </c>
      <c r="F14716" s="215" t="n">
        <v>46224</v>
      </c>
    </row>
    <row r="14717">
      <c r="A14717" s="215" t="n">
        <v>46225</v>
      </c>
      <c r="B14717" s="216" t="n">
        <v>7.38</v>
      </c>
      <c r="C14717" s="216" t="n">
        <v>11.9</v>
      </c>
      <c r="D14717" s="216" t="n">
        <v>1.158938050270081</v>
      </c>
      <c r="E14717" s="215" t="n">
        <v>46225</v>
      </c>
      <c r="F14717" s="215" t="n">
        <v>46225</v>
      </c>
    </row>
    <row r="14718">
      <c r="A14718" s="215" t="n">
        <v>46226</v>
      </c>
      <c r="B14718" s="216" t="n">
        <v>7.88</v>
      </c>
      <c r="C14718" s="216" t="n">
        <v>12.46</v>
      </c>
      <c r="D14718" s="216" t="n">
        <v>1.157410979270935</v>
      </c>
      <c r="E14718" s="215" t="n">
        <v>46226</v>
      </c>
      <c r="F14718" s="215" t="n">
        <v>46226</v>
      </c>
    </row>
    <row r="14719">
      <c r="A14719" s="215" t="n">
        <v>46227</v>
      </c>
      <c r="B14719" s="216" t="n">
        <v>7.6</v>
      </c>
      <c r="C14719" s="216" t="n">
        <v>12.04</v>
      </c>
      <c r="D14719" s="216" t="n">
        <v>1.15762197971344</v>
      </c>
      <c r="E14719" s="215" t="n">
        <v>46227</v>
      </c>
      <c r="F14719" s="215" t="n">
        <v>46227</v>
      </c>
    </row>
    <row r="14720">
      <c r="A14720" s="215" t="n">
        <v>46230</v>
      </c>
      <c r="B14720" s="216" t="n">
        <v>7.78</v>
      </c>
      <c r="C14720" s="216" t="n">
        <v>12.53</v>
      </c>
      <c r="D14720" s="216" t="n">
        <v>1.15789794921875</v>
      </c>
      <c r="E14720" s="215" t="n">
        <v>46230</v>
      </c>
      <c r="F14720" s="215" t="n">
        <v>46230</v>
      </c>
    </row>
    <row r="14721">
      <c r="A14721" s="215" t="n">
        <v>46231</v>
      </c>
      <c r="B14721" s="216" t="n">
        <v>7.16</v>
      </c>
      <c r="C14721" s="216" t="n">
        <v>11.97</v>
      </c>
      <c r="D14721" s="216" t="n">
        <v>1.158699035644531</v>
      </c>
      <c r="E14721" s="215" t="n">
        <v>46231</v>
      </c>
      <c r="F14721" s="215" t="n">
        <v>46231</v>
      </c>
    </row>
    <row r="14722">
      <c r="A14722" s="215" t="n">
        <v>46232</v>
      </c>
      <c r="B14722" s="216" t="n">
        <v>7.31</v>
      </c>
      <c r="C14722" s="216" t="n">
        <v>12.81</v>
      </c>
      <c r="D14722" s="216" t="n">
        <v>1.157909989356995</v>
      </c>
      <c r="E14722" s="215" t="n">
        <v>46232</v>
      </c>
      <c r="F14722" s="215" t="n">
        <v>46232</v>
      </c>
    </row>
    <row r="14723">
      <c r="A14723" s="215" t="n">
        <v>46233</v>
      </c>
      <c r="B14723" s="216" t="n">
        <v>7.15</v>
      </c>
      <c r="C14723" s="216" t="n">
        <v>13.1</v>
      </c>
      <c r="D14723" s="216" t="n">
        <v>1.158943057060242</v>
      </c>
      <c r="E14723" s="215" t="n">
        <v>46233</v>
      </c>
      <c r="F14723" s="215" t="n">
        <v>46233</v>
      </c>
    </row>
    <row r="14724">
      <c r="A14724" s="215" t="n">
        <v>46234</v>
      </c>
      <c r="B14724" s="216" t="n">
        <v>7.26</v>
      </c>
      <c r="C14724" s="216" t="n">
        <v>13.33</v>
      </c>
      <c r="D14724" s="216" t="n">
        <v>1.160945057868958</v>
      </c>
      <c r="E14724" s="215" t="n">
        <v>46234</v>
      </c>
      <c r="F14724" s="215" t="n">
        <v>46234</v>
      </c>
    </row>
    <row r="14725">
      <c r="A14725" s="215" t="n">
        <v>46237</v>
      </c>
      <c r="B14725" s="216" t="n">
        <v>7.24</v>
      </c>
      <c r="C14725" s="216" t="n">
        <v>13.19</v>
      </c>
      <c r="D14725" s="216" t="n">
        <v>1.161579966545105</v>
      </c>
      <c r="E14725" s="215" t="n">
        <v>46237</v>
      </c>
      <c r="F14725" s="215" t="n">
        <v>46237</v>
      </c>
    </row>
    <row r="14726">
      <c r="A14726" s="215" t="n">
        <v>46238</v>
      </c>
      <c r="B14726" s="216" t="n">
        <v>7.27</v>
      </c>
      <c r="C14726" s="216" t="n">
        <v>13.51</v>
      </c>
      <c r="D14726" s="216" t="n">
        <v>1.161064982414246</v>
      </c>
      <c r="E14726" s="215" t="n">
        <v>46238</v>
      </c>
      <c r="F14726" s="215" t="n">
        <v>46238</v>
      </c>
    </row>
    <row r="14727">
      <c r="A14727" s="215" t="n">
        <v>46239</v>
      </c>
      <c r="B14727" s="216" t="n">
        <v>7.475</v>
      </c>
      <c r="C14727" s="216" t="n">
        <v>14.24</v>
      </c>
      <c r="D14727" s="216" t="n">
        <v>1.161146998405457</v>
      </c>
      <c r="E14727" s="215" t="n">
        <v>46239</v>
      </c>
      <c r="F14727" s="215" t="n">
        <v>46239</v>
      </c>
    </row>
    <row r="14728">
      <c r="A14728" s="215" t="n">
        <v>46240</v>
      </c>
      <c r="B14728" s="216" t="n">
        <v>7.54</v>
      </c>
      <c r="C14728" s="216" t="n">
        <v>13.81</v>
      </c>
      <c r="D14728" s="216" t="n">
        <v>1.161936044692993</v>
      </c>
      <c r="E14728" s="215" t="n">
        <v>46240</v>
      </c>
      <c r="F14728" s="215" t="n">
        <v>46240</v>
      </c>
    </row>
    <row r="14729">
      <c r="A14729" s="215" t="n">
        <v>46241</v>
      </c>
      <c r="B14729" s="216" t="n">
        <v>7.305</v>
      </c>
      <c r="C14729" s="216" t="n">
        <v>13.53</v>
      </c>
      <c r="D14729" s="216" t="n">
        <v>1.162284016609192</v>
      </c>
      <c r="E14729" s="215" t="n">
        <v>46241</v>
      </c>
      <c r="F14729" s="215" t="n">
        <v>46241</v>
      </c>
    </row>
    <row r="14730">
      <c r="A14730" s="215" t="n">
        <v>46244</v>
      </c>
      <c r="B14730" s="216" t="n">
        <v>7.36</v>
      </c>
      <c r="C14730" s="216" t="n">
        <v>14.13</v>
      </c>
      <c r="D14730" s="216" t="n">
        <v>1.162629961967468</v>
      </c>
      <c r="E14730" s="215" t="n">
        <v>46244</v>
      </c>
      <c r="F14730" s="215" t="n">
        <v>46244</v>
      </c>
    </row>
    <row r="14731">
      <c r="A14731" s="215" t="n">
        <v>46245</v>
      </c>
      <c r="B14731" s="216" t="n">
        <v>7.135</v>
      </c>
      <c r="C14731" s="216" t="n">
        <v>13.87</v>
      </c>
      <c r="D14731" s="216" t="n">
        <v>1.162588000297546</v>
      </c>
      <c r="E14731" s="215" t="n">
        <v>46245</v>
      </c>
      <c r="F14731" s="215" t="n">
        <v>46245</v>
      </c>
    </row>
    <row r="14732">
      <c r="A14732" s="215" t="n">
        <v>46246</v>
      </c>
      <c r="B14732" s="216" t="n">
        <v>7.32</v>
      </c>
      <c r="C14732" s="216" t="n">
        <v>14.78</v>
      </c>
      <c r="D14732" s="216" t="n">
        <v>1.163135051727295</v>
      </c>
      <c r="E14732" s="215" t="n">
        <v>46246</v>
      </c>
      <c r="F14732" s="215" t="n">
        <v>46246</v>
      </c>
    </row>
    <row r="14733">
      <c r="A14733" s="215" t="n">
        <v>46247</v>
      </c>
      <c r="B14733" s="216" t="n">
        <v>7.62</v>
      </c>
      <c r="C14733" s="216" t="n">
        <v>14.52</v>
      </c>
      <c r="D14733" s="216" t="n">
        <v>1.163341045379639</v>
      </c>
      <c r="E14733" s="215" t="n">
        <v>46247</v>
      </c>
      <c r="F14733" s="215" t="n">
        <v>46247</v>
      </c>
    </row>
    <row r="14734">
      <c r="A14734" s="215" t="n">
        <v>46248</v>
      </c>
      <c r="B14734" s="216" t="n">
        <v>8.16</v>
      </c>
      <c r="C14734" s="216" t="n">
        <v>14.95</v>
      </c>
      <c r="D14734" s="216" t="n">
        <v>1.163571000099182</v>
      </c>
      <c r="E14734" s="215" t="n">
        <v>46248</v>
      </c>
      <c r="F14734" s="215" t="n">
        <v>46248</v>
      </c>
    </row>
    <row r="14735">
      <c r="A14735" s="215" t="n">
        <v>46251</v>
      </c>
      <c r="B14735" s="216" t="n">
        <v>8.380000000000001</v>
      </c>
      <c r="C14735" s="216" t="n">
        <v>15.15</v>
      </c>
      <c r="D14735" s="216" t="n">
        <v>1.163601994514465</v>
      </c>
      <c r="E14735" s="215" t="n">
        <v>46251</v>
      </c>
      <c r="F14735" s="215" t="n">
        <v>46251</v>
      </c>
    </row>
    <row r="14736">
      <c r="A14736" s="215" t="n">
        <v>46252</v>
      </c>
      <c r="B14736" s="216" t="n">
        <v>8.19</v>
      </c>
      <c r="C14736" s="216" t="n">
        <v>14.71</v>
      </c>
      <c r="D14736" s="216" t="n">
        <v>1.163733005523682</v>
      </c>
      <c r="E14736" s="215" t="n">
        <v>46252</v>
      </c>
      <c r="F14736" s="215" t="n">
        <v>46252</v>
      </c>
    </row>
    <row r="14737">
      <c r="A14737" s="215" t="n">
        <v>46253</v>
      </c>
      <c r="B14737" s="216" t="n">
        <v>7.795</v>
      </c>
      <c r="C14737" s="216" t="n">
        <v>14.41</v>
      </c>
      <c r="D14737" s="216" t="n">
        <v>1.163092017173767</v>
      </c>
      <c r="E14737" s="215" t="n">
        <v>46253</v>
      </c>
      <c r="F14737" s="215" t="n">
        <v>46253</v>
      </c>
    </row>
    <row r="14738">
      <c r="A14738" s="215" t="n">
        <v>46254</v>
      </c>
      <c r="B14738" s="216" t="n">
        <v>7.86</v>
      </c>
      <c r="C14738" s="216" t="n">
        <v>14.57</v>
      </c>
      <c r="D14738" s="216" t="n">
        <v>1.164932012557983</v>
      </c>
      <c r="E14738" s="215" t="n">
        <v>46254</v>
      </c>
      <c r="F14738" s="215" t="n">
        <v>46254</v>
      </c>
    </row>
    <row r="14739">
      <c r="A14739" s="215" t="n">
        <v>46255</v>
      </c>
      <c r="B14739" s="216" t="n">
        <v>7.855</v>
      </c>
      <c r="C14739" s="216" t="n">
        <v>14.48</v>
      </c>
      <c r="D14739" s="216" t="n">
        <v>1.166555047035217</v>
      </c>
      <c r="E14739" s="215" t="n">
        <v>46255</v>
      </c>
      <c r="F14739" s="215" t="n">
        <v>46255</v>
      </c>
    </row>
    <row r="14740">
      <c r="A14740" s="215" t="n">
        <v>46258</v>
      </c>
      <c r="B14740" s="216" t="n">
        <v>7.525</v>
      </c>
      <c r="C14740" s="216" t="n">
        <v>14.08</v>
      </c>
      <c r="D14740" s="216" t="n">
        <v>1.166316986083984</v>
      </c>
      <c r="E14740" s="215" t="n">
        <v>46258</v>
      </c>
      <c r="F14740" s="215" t="n">
        <v>46258</v>
      </c>
    </row>
    <row r="14741">
      <c r="A14741" s="215" t="n">
        <v>46259</v>
      </c>
      <c r="B14741" s="216" t="n">
        <v>7.665</v>
      </c>
      <c r="C14741" s="216" t="n">
        <v>14.4</v>
      </c>
      <c r="D14741" s="216" t="n">
        <v>1.165253043174744</v>
      </c>
      <c r="E14741" s="215" t="n">
        <v>46259</v>
      </c>
      <c r="F14741" s="215" t="n">
        <v>46259</v>
      </c>
    </row>
    <row r="14742">
      <c r="A14742" s="215" t="n">
        <v>46260</v>
      </c>
      <c r="B14742" s="216" t="n">
        <v>8.095000000000001</v>
      </c>
      <c r="C14742" s="216" t="n">
        <v>15.27</v>
      </c>
      <c r="D14742" s="216" t="n">
        <v>1.166218996047974</v>
      </c>
      <c r="E14742" s="215" t="n">
        <v>46260</v>
      </c>
      <c r="F14742" s="215" t="n">
        <v>46260</v>
      </c>
    </row>
    <row r="14743">
      <c r="A14743" s="215" t="n">
        <v>46261</v>
      </c>
      <c r="B14743" s="216" t="n">
        <v>8.125</v>
      </c>
      <c r="C14743" s="216" t="n">
        <v>15.53</v>
      </c>
      <c r="D14743" s="216" t="n">
        <v>1.165971040725708</v>
      </c>
      <c r="E14743" s="215" t="n">
        <v>46261</v>
      </c>
      <c r="F14743" s="215" t="n">
        <v>46261</v>
      </c>
    </row>
    <row r="14744">
      <c r="A14744" s="215" t="n">
        <v>46262</v>
      </c>
      <c r="B14744" s="216" t="n">
        <v>8.01</v>
      </c>
      <c r="C14744" s="216" t="n">
        <v>15.2</v>
      </c>
      <c r="D14744" s="216" t="n">
        <v>1.165799975395203</v>
      </c>
      <c r="E14744" s="215" t="n">
        <v>46262</v>
      </c>
      <c r="F14744" s="215" t="n">
        <v>46262</v>
      </c>
    </row>
    <row r="14745">
      <c r="A14745" s="215" t="n">
        <v>46265</v>
      </c>
      <c r="B14745" s="216" t="n">
        <v>8</v>
      </c>
      <c r="C14745" s="216" t="n">
        <v>15.04</v>
      </c>
      <c r="D14745" s="216" t="n">
        <v>1.165387988090515</v>
      </c>
      <c r="E14745" s="215" t="n">
        <v>46265</v>
      </c>
      <c r="F14745" s="215" t="n">
        <v>46265</v>
      </c>
    </row>
    <row r="14746">
      <c r="A14746" s="215" t="n">
        <v>46266</v>
      </c>
      <c r="B14746" s="216" t="n">
        <v>7.525</v>
      </c>
      <c r="C14746" s="216" t="n">
        <v>14.3</v>
      </c>
      <c r="D14746" s="216" t="n">
        <v>1.165223956108093</v>
      </c>
      <c r="E14746" s="215" t="n">
        <v>46266</v>
      </c>
      <c r="F14746" s="215" t="n">
        <v>46266</v>
      </c>
    </row>
    <row r="14747">
      <c r="A14747" s="215" t="n">
        <v>46267</v>
      </c>
      <c r="B14747" s="216" t="n">
        <v>7.26</v>
      </c>
      <c r="C14747" s="216" t="n">
        <v>13.9</v>
      </c>
      <c r="D14747" s="216" t="n">
        <v>1.166425943374634</v>
      </c>
      <c r="E14747" s="215" t="n">
        <v>46267</v>
      </c>
      <c r="F14747" s="215" t="n">
        <v>46267</v>
      </c>
    </row>
    <row r="14748">
      <c r="A14748" s="215" t="n">
        <v>46268</v>
      </c>
      <c r="B14748" s="216" t="n">
        <v>7.44</v>
      </c>
      <c r="C14748" s="216" t="n">
        <v>14.43</v>
      </c>
      <c r="D14748" s="216" t="n">
        <v>1.167057037353516</v>
      </c>
      <c r="E14748" s="215" t="n">
        <v>46268</v>
      </c>
      <c r="F14748" s="215" t="n">
        <v>46268</v>
      </c>
    </row>
    <row r="14749">
      <c r="A14749" s="215" t="n">
        <v>46269</v>
      </c>
      <c r="B14749" s="216" t="n">
        <v>7.24</v>
      </c>
      <c r="C14749" s="216" t="n">
        <v>13.92</v>
      </c>
      <c r="D14749" s="216" t="n">
        <v>1.166767954826355</v>
      </c>
      <c r="E14749" s="215" t="n">
        <v>46269</v>
      </c>
      <c r="F14749" s="215" t="n">
        <v>46269</v>
      </c>
    </row>
    <row r="14750">
      <c r="A14750" s="215" t="n">
        <v>46272</v>
      </c>
      <c r="B14750" s="216" t="n">
        <v>7.355</v>
      </c>
      <c r="C14750" s="216" t="n">
        <v>14.24</v>
      </c>
      <c r="D14750" s="216" t="n">
        <v>1.168081045150757</v>
      </c>
      <c r="E14750" s="215" t="n">
        <v>46272</v>
      </c>
      <c r="F14750" s="215" t="n">
        <v>46272</v>
      </c>
    </row>
    <row r="14751">
      <c r="A14751" s="215" t="n">
        <v>46273</v>
      </c>
      <c r="B14751" s="216" t="n">
        <v>7.2</v>
      </c>
      <c r="C14751" s="216" t="n">
        <v>13.88</v>
      </c>
      <c r="D14751" s="216" t="n">
        <v>1.168115019798279</v>
      </c>
      <c r="E14751" s="215" t="n">
        <v>46273</v>
      </c>
      <c r="F14751" s="215" t="n">
        <v>46273</v>
      </c>
    </row>
    <row r="14752">
      <c r="A14752" s="215" t="n">
        <v>46274</v>
      </c>
      <c r="B14752" s="216" t="n">
        <v>7.47</v>
      </c>
      <c r="C14752" s="216" t="n">
        <v>14.97</v>
      </c>
      <c r="D14752" s="216" t="n">
        <v>1.168408989906311</v>
      </c>
      <c r="E14752" s="215" t="n">
        <v>46274</v>
      </c>
      <c r="F14752" s="215" t="n">
        <v>46274</v>
      </c>
    </row>
    <row r="14753">
      <c r="A14753" s="215" t="n">
        <v>46275</v>
      </c>
      <c r="B14753" s="216" t="n">
        <v>7.28</v>
      </c>
      <c r="C14753" s="216" t="n">
        <v>14.74</v>
      </c>
      <c r="D14753" s="216" t="n">
        <v>1.168462991714478</v>
      </c>
      <c r="E14753" s="215" t="n">
        <v>46275</v>
      </c>
      <c r="F14753" s="215" t="n">
        <v>46275</v>
      </c>
    </row>
    <row r="14754">
      <c r="A14754" s="215" t="n">
        <v>46276</v>
      </c>
      <c r="B14754" s="216" t="n">
        <v>7.535</v>
      </c>
      <c r="C14754" s="216" t="n">
        <v>14.4</v>
      </c>
      <c r="D14754" s="216" t="n">
        <v>1.169165015220642</v>
      </c>
      <c r="E14754" s="215" t="n">
        <v>46276</v>
      </c>
      <c r="F14754" s="215" t="n">
        <v>46276</v>
      </c>
    </row>
    <row r="14755">
      <c r="A14755" s="215" t="n">
        <v>46279</v>
      </c>
      <c r="B14755" s="216" t="n">
        <v>7.825</v>
      </c>
      <c r="C14755" s="216" t="n">
        <v>15.32</v>
      </c>
      <c r="D14755" s="216" t="n">
        <v>1.16893994808197</v>
      </c>
      <c r="E14755" s="215" t="n">
        <v>46279</v>
      </c>
      <c r="F14755" s="215" t="n">
        <v>46279</v>
      </c>
    </row>
    <row r="14756">
      <c r="A14756" s="215" t="n">
        <v>46280</v>
      </c>
      <c r="B14756" s="216" t="n">
        <v>7.57</v>
      </c>
      <c r="C14756" s="216" t="n">
        <v>15.56</v>
      </c>
      <c r="D14756" s="216" t="n">
        <v>1.169121026992798</v>
      </c>
      <c r="E14756" s="215" t="n">
        <v>46280</v>
      </c>
      <c r="F14756" s="215" t="n">
        <v>46280</v>
      </c>
    </row>
    <row r="14757">
      <c r="A14757" s="215" t="n">
        <v>46281</v>
      </c>
      <c r="B14757" s="216" t="n">
        <v>7.86</v>
      </c>
      <c r="C14757" s="216" t="n">
        <v>15.47</v>
      </c>
      <c r="D14757" s="216" t="n">
        <v>1.168769955635071</v>
      </c>
      <c r="E14757" s="215" t="n">
        <v>46281</v>
      </c>
      <c r="F14757" s="215" t="n">
        <v>46281</v>
      </c>
    </row>
    <row r="14758">
      <c r="A14758" s="215" t="n">
        <v>46282</v>
      </c>
      <c r="B14758" s="216" t="n">
        <v>7.645</v>
      </c>
      <c r="C14758" s="216" t="n">
        <v>15.28</v>
      </c>
      <c r="D14758" s="216" t="n">
        <v>1.169389963150024</v>
      </c>
      <c r="E14758" s="215" t="n">
        <v>46282</v>
      </c>
      <c r="F14758" s="215" t="n">
        <v>46282</v>
      </c>
    </row>
    <row r="14759">
      <c r="A14759" s="215" t="n">
        <v>46283</v>
      </c>
      <c r="B14759" s="216" t="n">
        <v>7.85</v>
      </c>
      <c r="C14759" s="216" t="n">
        <v>15.9</v>
      </c>
      <c r="D14759" s="216" t="n">
        <v>1.16942298412323</v>
      </c>
      <c r="E14759" s="215" t="n">
        <v>46283</v>
      </c>
      <c r="F14759" s="215" t="n">
        <v>46283</v>
      </c>
    </row>
    <row r="14760">
      <c r="A14760" s="215" t="n">
        <v>46286</v>
      </c>
      <c r="B14760" s="216" t="n">
        <v>7.875</v>
      </c>
      <c r="C14760" s="216" t="n">
        <v>16.05</v>
      </c>
      <c r="D14760" s="216" t="n">
        <v>1.171280026435852</v>
      </c>
      <c r="E14760" s="215" t="n">
        <v>46286</v>
      </c>
      <c r="F14760" s="215" t="n">
        <v>46286</v>
      </c>
    </row>
    <row r="14761">
      <c r="A14761" s="215" t="n">
        <v>46287</v>
      </c>
      <c r="B14761" s="216" t="n">
        <v>7.555</v>
      </c>
      <c r="C14761" s="216" t="n">
        <v>15.96</v>
      </c>
      <c r="D14761" s="216" t="n">
        <v>1.171705007553101</v>
      </c>
      <c r="E14761" s="215" t="n">
        <v>46287</v>
      </c>
      <c r="F14761" s="215" t="n">
        <v>46287</v>
      </c>
    </row>
    <row r="14762">
      <c r="A14762" s="215" t="n">
        <v>46288</v>
      </c>
      <c r="B14762" s="216" t="n">
        <v>8.015000000000001</v>
      </c>
      <c r="C14762" s="216" t="n">
        <v>17</v>
      </c>
      <c r="D14762" s="216" t="n">
        <v>1.170611023902893</v>
      </c>
      <c r="E14762" s="215" t="n">
        <v>46288</v>
      </c>
      <c r="F14762" s="215" t="n">
        <v>46288</v>
      </c>
    </row>
    <row r="14763">
      <c r="A14763" s="215" t="n">
        <v>46289</v>
      </c>
      <c r="B14763" s="216" t="n">
        <v>7.89</v>
      </c>
      <c r="C14763" s="216" t="n">
        <v>17.5</v>
      </c>
      <c r="D14763" s="216" t="n">
        <v>1.16852605342865</v>
      </c>
      <c r="E14763" s="215" t="n">
        <v>46289</v>
      </c>
      <c r="F14763" s="215" t="n">
        <v>46289</v>
      </c>
    </row>
    <row r="14764">
      <c r="A14764" s="215" t="n">
        <v>46290</v>
      </c>
      <c r="B14764" s="216" t="n">
        <v>7.61</v>
      </c>
      <c r="C14764" s="216" t="n">
        <v>17.5</v>
      </c>
      <c r="D14764" s="216" t="n">
        <v>1.168424010276794</v>
      </c>
      <c r="E14764" s="215" t="n">
        <v>46289</v>
      </c>
      <c r="F14764" s="215" t="n">
        <v>46290</v>
      </c>
    </row>
    <row r="14765">
      <c r="A14765" s="215" t="n">
        <v>46293</v>
      </c>
      <c r="B14765" s="216" t="n">
        <v>6.97</v>
      </c>
      <c r="C14765" s="216" t="n">
        <v>16.12</v>
      </c>
      <c r="D14765" s="216" t="n">
        <v>1.168378949165344</v>
      </c>
      <c r="E14765" s="215" t="n">
        <v>46293</v>
      </c>
      <c r="F14765" s="215" t="n">
        <v>46293</v>
      </c>
    </row>
    <row r="14766">
      <c r="A14766" s="215" t="n">
        <v>46294</v>
      </c>
      <c r="B14766" s="216" t="n">
        <v>6.935</v>
      </c>
      <c r="C14766" s="216" t="n">
        <v>16.01</v>
      </c>
      <c r="D14766" s="216" t="n">
        <v>1.168815970420837</v>
      </c>
      <c r="E14766" s="215" t="n">
        <v>46294</v>
      </c>
      <c r="F14766" s="215" t="n">
        <v>46294</v>
      </c>
    </row>
    <row r="14767">
      <c r="A14767" s="215" t="n">
        <v>46295</v>
      </c>
      <c r="B14767" s="216" t="n">
        <v>6.85</v>
      </c>
      <c r="C14767" s="216" t="n">
        <v>15.74</v>
      </c>
      <c r="D14767" s="216" t="n">
        <v>1.17059600353241</v>
      </c>
      <c r="E14767" s="215" t="n">
        <v>46295</v>
      </c>
      <c r="F14767" s="215" t="n">
        <v>46295</v>
      </c>
    </row>
    <row r="14768">
      <c r="A14768" s="215" t="n">
        <v>46297</v>
      </c>
      <c r="B14768" s="216" t="n">
        <v>6.965</v>
      </c>
      <c r="C14768" s="216" t="n">
        <v>15.74</v>
      </c>
      <c r="D14768" s="216" t="n">
        <v>1.170220971107483</v>
      </c>
      <c r="E14768" s="215" t="n">
        <v>46295</v>
      </c>
      <c r="F14768" s="215" t="n">
        <v>46297</v>
      </c>
    </row>
    <row r="14769">
      <c r="A14769" s="215" t="n">
        <v>45623</v>
      </c>
      <c r="B14769" s="216" t="n">
        <v>34.3</v>
      </c>
      <c r="C14769" s="216" t="n">
        <v>41.86</v>
      </c>
      <c r="D14769" s="216" t="n">
        <v>1.073114991188049</v>
      </c>
      <c r="E14769" s="215" t="n">
        <v>45623</v>
      </c>
      <c r="F14769" s="215" t="n">
        <v>45623</v>
      </c>
    </row>
    <row r="14770">
      <c r="A14770" s="215" t="n">
        <v>45624</v>
      </c>
      <c r="B14770" s="216" t="n">
        <v>34.3</v>
      </c>
      <c r="C14770" s="216" t="n">
        <v>41.05</v>
      </c>
      <c r="D14770" s="216" t="n">
        <v>1.073555946350098</v>
      </c>
      <c r="E14770" s="215" t="n">
        <v>45624</v>
      </c>
      <c r="F14770" s="215" t="n">
        <v>45624</v>
      </c>
    </row>
    <row r="14771">
      <c r="A14771" s="215" t="n">
        <v>45625</v>
      </c>
      <c r="B14771" s="216" t="n">
        <v>34.3</v>
      </c>
      <c r="C14771" s="216" t="n">
        <v>41.22</v>
      </c>
      <c r="D14771" s="216" t="n">
        <v>1.074349999427795</v>
      </c>
      <c r="E14771" s="215" t="n">
        <v>45625</v>
      </c>
      <c r="F14771" s="215" t="n">
        <v>45625</v>
      </c>
    </row>
    <row r="14772">
      <c r="A14772" s="215" t="n">
        <v>45628</v>
      </c>
      <c r="B14772" s="216" t="n">
        <v>33.8</v>
      </c>
      <c r="C14772" s="216" t="n">
        <v>41.19</v>
      </c>
      <c r="D14772" s="216" t="n">
        <v>1.074655055999756</v>
      </c>
      <c r="E14772" s="215" t="n">
        <v>45628</v>
      </c>
      <c r="F14772" s="215" t="n">
        <v>45628</v>
      </c>
    </row>
    <row r="14773">
      <c r="A14773" s="215" t="n">
        <v>45629</v>
      </c>
      <c r="B14773" s="216" t="n">
        <v>32.75</v>
      </c>
      <c r="C14773" s="216" t="n">
        <v>41.09</v>
      </c>
      <c r="D14773" s="216" t="n">
        <v>1.069697022438049</v>
      </c>
      <c r="E14773" s="215" t="n">
        <v>45629</v>
      </c>
      <c r="F14773" s="215" t="n">
        <v>45629</v>
      </c>
    </row>
    <row r="14774">
      <c r="A14774" s="215" t="n">
        <v>45630</v>
      </c>
      <c r="B14774" s="216" t="n">
        <v>32.6</v>
      </c>
      <c r="C14774" s="216" t="n">
        <v>40.51</v>
      </c>
      <c r="D14774" s="216" t="n">
        <v>1.068164944648743</v>
      </c>
      <c r="E14774" s="215" t="n">
        <v>45630</v>
      </c>
      <c r="F14774" s="215" t="n">
        <v>45630</v>
      </c>
    </row>
    <row r="14775">
      <c r="A14775" s="215" t="n">
        <v>45631</v>
      </c>
      <c r="B14775" s="216" t="n">
        <v>33.5</v>
      </c>
      <c r="C14775" s="216" t="n">
        <v>40.22</v>
      </c>
      <c r="D14775" s="216" t="n">
        <v>1.071516990661621</v>
      </c>
      <c r="E14775" s="215" t="n">
        <v>45631</v>
      </c>
      <c r="F14775" s="215" t="n">
        <v>45631</v>
      </c>
    </row>
    <row r="14776">
      <c r="A14776" s="215" t="n">
        <v>45632</v>
      </c>
      <c r="B14776" s="216" t="n">
        <v>33.7</v>
      </c>
      <c r="C14776" s="216" t="n">
        <v>40.58</v>
      </c>
      <c r="D14776" s="216" t="n">
        <v>1.07178795337677</v>
      </c>
      <c r="E14776" s="215" t="n">
        <v>45632</v>
      </c>
      <c r="F14776" s="215" t="n">
        <v>45632</v>
      </c>
    </row>
    <row r="14777">
      <c r="A14777" s="215" t="n">
        <v>45635</v>
      </c>
      <c r="B14777" s="216" t="n">
        <v>33.7</v>
      </c>
      <c r="C14777" s="216" t="n">
        <v>40.83</v>
      </c>
      <c r="D14777" s="216" t="n">
        <v>1.070058941841125</v>
      </c>
      <c r="E14777" s="215" t="n">
        <v>45635</v>
      </c>
      <c r="F14777" s="215" t="n">
        <v>45635</v>
      </c>
    </row>
    <row r="14778">
      <c r="A14778" s="215" t="n">
        <v>45636</v>
      </c>
      <c r="B14778" s="216" t="n">
        <v>32.85</v>
      </c>
      <c r="C14778" s="216" t="n">
        <v>41.34</v>
      </c>
      <c r="D14778" s="216" t="n">
        <v>1.07076895236969</v>
      </c>
      <c r="E14778" s="215" t="n">
        <v>45636</v>
      </c>
      <c r="F14778" s="215" t="n">
        <v>45636</v>
      </c>
    </row>
    <row r="14779">
      <c r="A14779" s="215" t="n">
        <v>45637</v>
      </c>
      <c r="B14779" s="216" t="n">
        <v>32.9</v>
      </c>
      <c r="C14779" s="216" t="n">
        <v>41.04</v>
      </c>
      <c r="D14779" s="216" t="n">
        <v>1.072139024734497</v>
      </c>
      <c r="E14779" s="215" t="n">
        <v>45637</v>
      </c>
      <c r="F14779" s="215" t="n">
        <v>45637</v>
      </c>
    </row>
    <row r="14780">
      <c r="A14780" s="215" t="n">
        <v>45638</v>
      </c>
      <c r="B14780" s="216" t="n">
        <v>33.2</v>
      </c>
      <c r="C14780" s="216" t="n">
        <v>42.18</v>
      </c>
      <c r="D14780" s="216" t="n">
        <v>1.070543050765991</v>
      </c>
      <c r="E14780" s="215" t="n">
        <v>45638</v>
      </c>
      <c r="F14780" s="215" t="n">
        <v>45638</v>
      </c>
    </row>
    <row r="14781">
      <c r="A14781" s="215" t="n">
        <v>45639</v>
      </c>
      <c r="B14781" s="216" t="n">
        <v>32.95</v>
      </c>
      <c r="C14781" s="216" t="n">
        <v>41.54</v>
      </c>
      <c r="D14781" s="216" t="n">
        <v>1.069535970687866</v>
      </c>
      <c r="E14781" s="215" t="n">
        <v>45639</v>
      </c>
      <c r="F14781" s="215" t="n">
        <v>45639</v>
      </c>
    </row>
    <row r="14782">
      <c r="A14782" s="215" t="n">
        <v>45642</v>
      </c>
      <c r="B14782" s="216" t="n">
        <v>32.35</v>
      </c>
      <c r="C14782" s="216" t="n">
        <v>40.2</v>
      </c>
      <c r="D14782" s="216" t="n">
        <v>1.068564057350159</v>
      </c>
      <c r="E14782" s="215" t="n">
        <v>45642</v>
      </c>
      <c r="F14782" s="215" t="n">
        <v>45642</v>
      </c>
    </row>
    <row r="14783">
      <c r="A14783" s="215" t="n">
        <v>45643</v>
      </c>
      <c r="B14783" s="216" t="n">
        <v>32.5</v>
      </c>
      <c r="C14783" s="216" t="n">
        <v>40.39</v>
      </c>
      <c r="D14783" s="216" t="n">
        <v>1.06734299659729</v>
      </c>
      <c r="E14783" s="215" t="n">
        <v>45643</v>
      </c>
      <c r="F14783" s="215" t="n">
        <v>45643</v>
      </c>
    </row>
    <row r="14784">
      <c r="A14784" s="215" t="n">
        <v>45644</v>
      </c>
      <c r="B14784" s="216" t="n">
        <v>32.6</v>
      </c>
      <c r="C14784" s="216" t="n">
        <v>40.1</v>
      </c>
      <c r="D14784" s="216" t="n">
        <v>1.066388010978699</v>
      </c>
      <c r="E14784" s="215" t="n">
        <v>45644</v>
      </c>
      <c r="F14784" s="215" t="n">
        <v>45644</v>
      </c>
    </row>
    <row r="14785">
      <c r="A14785" s="215" t="n">
        <v>45645</v>
      </c>
      <c r="B14785" s="216" t="n">
        <v>33.75</v>
      </c>
      <c r="C14785" s="216" t="n">
        <v>41.22</v>
      </c>
      <c r="D14785" s="216" t="n">
        <v>1.066426038742065</v>
      </c>
      <c r="E14785" s="215" t="n">
        <v>45645</v>
      </c>
      <c r="F14785" s="215" t="n">
        <v>45645</v>
      </c>
    </row>
    <row r="14786">
      <c r="A14786" s="215" t="n">
        <v>45646</v>
      </c>
      <c r="B14786" s="216" t="n">
        <v>33.95</v>
      </c>
      <c r="C14786" s="216" t="n">
        <v>40.25</v>
      </c>
      <c r="D14786" s="216" t="n">
        <v>1.064751029014587</v>
      </c>
      <c r="E14786" s="215" t="n">
        <v>45646</v>
      </c>
      <c r="F14786" s="215" t="n">
        <v>45646</v>
      </c>
    </row>
    <row r="14787">
      <c r="A14787" s="215" t="n">
        <v>45649</v>
      </c>
      <c r="B14787" s="216" t="n">
        <v>33.6</v>
      </c>
      <c r="C14787" s="216" t="n">
        <v>40.65</v>
      </c>
      <c r="D14787" s="216" t="n">
        <v>1.065225005149841</v>
      </c>
      <c r="E14787" s="215" t="n">
        <v>45649</v>
      </c>
      <c r="F14787" s="215" t="n">
        <v>45649</v>
      </c>
    </row>
    <row r="14788">
      <c r="A14788" s="215" t="n">
        <v>45650</v>
      </c>
      <c r="B14788" s="216" t="n">
        <v>34.5</v>
      </c>
      <c r="C14788" s="216" t="n">
        <v>41.2</v>
      </c>
      <c r="D14788" s="216" t="n">
        <v>1.06459105014801</v>
      </c>
      <c r="E14788" s="215" t="n">
        <v>45650</v>
      </c>
      <c r="F14788" s="215" t="n">
        <v>45650</v>
      </c>
    </row>
    <row r="14789">
      <c r="A14789" s="215" t="n">
        <v>45653</v>
      </c>
      <c r="B14789" s="216" t="n">
        <v>33.7</v>
      </c>
      <c r="C14789" s="216" t="n">
        <v>40.65</v>
      </c>
      <c r="D14789" s="216" t="n">
        <v>1.064249038696289</v>
      </c>
      <c r="E14789" s="215" t="n">
        <v>45653</v>
      </c>
      <c r="F14789" s="215" t="n">
        <v>45653</v>
      </c>
    </row>
    <row r="14790">
      <c r="A14790" s="215" t="n">
        <v>45656</v>
      </c>
      <c r="B14790" s="216" t="n">
        <v>33.85</v>
      </c>
      <c r="C14790" s="216" t="n">
        <v>40.87</v>
      </c>
      <c r="D14790" s="216" t="n">
        <v>1.063662052154541</v>
      </c>
      <c r="E14790" s="215" t="n">
        <v>45656</v>
      </c>
      <c r="F14790" s="215" t="n">
        <v>45656</v>
      </c>
    </row>
    <row r="14791">
      <c r="A14791" s="215" t="n">
        <v>45657</v>
      </c>
      <c r="B14791" s="216" t="n">
        <v>33.75</v>
      </c>
      <c r="C14791" s="216" t="n">
        <v>40.3</v>
      </c>
      <c r="D14791" s="216" t="n">
        <v>1.063554048538208</v>
      </c>
      <c r="E14791" s="215" t="n">
        <v>45657</v>
      </c>
      <c r="F14791" s="215" t="n">
        <v>45657</v>
      </c>
    </row>
    <row r="14792">
      <c r="A14792" s="215" t="n">
        <v>45659</v>
      </c>
      <c r="B14792" s="216" t="n">
        <v>33.35</v>
      </c>
      <c r="C14792" s="216" t="n">
        <v>39.08</v>
      </c>
      <c r="D14792" s="216" t="n">
        <v>1.064368963241577</v>
      </c>
      <c r="E14792" s="215" t="n">
        <v>45659</v>
      </c>
      <c r="F14792" s="215" t="n">
        <v>45659</v>
      </c>
    </row>
    <row r="14793">
      <c r="A14793" s="215" t="n">
        <v>45660</v>
      </c>
      <c r="B14793" s="216" t="n">
        <v>34.45</v>
      </c>
      <c r="C14793" s="216" t="n">
        <v>39.45</v>
      </c>
      <c r="D14793" s="216" t="n">
        <v>1.065240979194641</v>
      </c>
      <c r="E14793" s="215" t="n">
        <v>45660</v>
      </c>
      <c r="F14793" s="215" t="n">
        <v>45660</v>
      </c>
    </row>
    <row r="14794">
      <c r="A14794" s="215" t="n">
        <v>45663</v>
      </c>
      <c r="B14794" s="216" t="n">
        <v>34</v>
      </c>
      <c r="C14794" s="216" t="n">
        <v>39.71</v>
      </c>
      <c r="D14794" s="216" t="n">
        <v>1.062374949455261</v>
      </c>
      <c r="E14794" s="215" t="n">
        <v>45663</v>
      </c>
      <c r="F14794" s="215" t="n">
        <v>45663</v>
      </c>
    </row>
    <row r="14795">
      <c r="A14795" s="215" t="n">
        <v>45664</v>
      </c>
      <c r="B14795" s="216" t="n">
        <v>34.35</v>
      </c>
      <c r="C14795" s="216" t="n">
        <v>40.24</v>
      </c>
      <c r="D14795" s="216" t="n">
        <v>1.061730027198792</v>
      </c>
      <c r="E14795" s="215" t="n">
        <v>45664</v>
      </c>
      <c r="F14795" s="215" t="n">
        <v>45664</v>
      </c>
    </row>
    <row r="14796">
      <c r="A14796" s="215" t="n">
        <v>45665</v>
      </c>
      <c r="B14796" s="216" t="n">
        <v>33.9</v>
      </c>
      <c r="C14796" s="216" t="n">
        <v>39.88</v>
      </c>
      <c r="D14796" s="216" t="n">
        <v>1.061154961585999</v>
      </c>
      <c r="E14796" s="215" t="n">
        <v>45665</v>
      </c>
      <c r="F14796" s="215" t="n">
        <v>45665</v>
      </c>
    </row>
    <row r="14797">
      <c r="A14797" s="215" t="n">
        <v>45666</v>
      </c>
      <c r="B14797" s="216" t="n">
        <v>34.45</v>
      </c>
      <c r="C14797" s="216" t="n">
        <v>39.8</v>
      </c>
      <c r="D14797" s="216" t="n">
        <v>1.061004042625427</v>
      </c>
      <c r="E14797" s="215" t="n">
        <v>45666</v>
      </c>
      <c r="F14797" s="215" t="n">
        <v>45666</v>
      </c>
    </row>
    <row r="14798">
      <c r="A14798" s="215" t="n">
        <v>45667</v>
      </c>
      <c r="B14798" s="216" t="n">
        <v>33.85</v>
      </c>
      <c r="C14798" s="216" t="n">
        <v>39.19</v>
      </c>
      <c r="D14798" s="216" t="n">
        <v>1.061197996139526</v>
      </c>
      <c r="E14798" s="215" t="n">
        <v>45667</v>
      </c>
      <c r="F14798" s="215" t="n">
        <v>45667</v>
      </c>
    </row>
    <row r="14799">
      <c r="A14799" s="215" t="n">
        <v>45670</v>
      </c>
      <c r="B14799" s="216" t="n">
        <v>34.15</v>
      </c>
      <c r="C14799" s="216" t="n">
        <v>39.39</v>
      </c>
      <c r="D14799" s="216" t="n">
        <v>1.061838984489441</v>
      </c>
      <c r="E14799" s="215" t="n">
        <v>45670</v>
      </c>
      <c r="F14799" s="215" t="n">
        <v>45670</v>
      </c>
    </row>
    <row r="14800">
      <c r="A14800" s="215" t="n">
        <v>45671</v>
      </c>
      <c r="B14800" s="216" t="n">
        <v>34.65</v>
      </c>
      <c r="C14800" s="216" t="n">
        <v>40.5</v>
      </c>
      <c r="D14800" s="216" t="n">
        <v>1.061681032180786</v>
      </c>
      <c r="E14800" s="215" t="n">
        <v>45671</v>
      </c>
      <c r="F14800" s="215" t="n">
        <v>45671</v>
      </c>
    </row>
    <row r="14801">
      <c r="A14801" s="215" t="n">
        <v>45672</v>
      </c>
      <c r="B14801" s="216" t="n">
        <v>34.5</v>
      </c>
      <c r="C14801" s="216" t="n">
        <v>40.6</v>
      </c>
      <c r="D14801" s="216" t="n">
        <v>1.062003970146179</v>
      </c>
      <c r="E14801" s="215" t="n">
        <v>45672</v>
      </c>
      <c r="F14801" s="215" t="n">
        <v>45672</v>
      </c>
    </row>
    <row r="14802">
      <c r="A14802" s="215" t="n">
        <v>45673</v>
      </c>
      <c r="B14802" s="216" t="n">
        <v>34.15</v>
      </c>
      <c r="C14802" s="216" t="n">
        <v>39.41</v>
      </c>
      <c r="D14802" s="216" t="n">
        <v>1.061879992485046</v>
      </c>
      <c r="E14802" s="215" t="n">
        <v>45673</v>
      </c>
      <c r="F14802" s="215" t="n">
        <v>45673</v>
      </c>
    </row>
    <row r="14803">
      <c r="A14803" s="215" t="n">
        <v>45674</v>
      </c>
      <c r="B14803" s="216" t="n">
        <v>34.3</v>
      </c>
      <c r="C14803" s="216" t="n">
        <v>39.71</v>
      </c>
      <c r="D14803" s="216" t="n">
        <v>1.06210196018219</v>
      </c>
      <c r="E14803" s="215" t="n">
        <v>45674</v>
      </c>
      <c r="F14803" s="215" t="n">
        <v>45674</v>
      </c>
    </row>
    <row r="14804">
      <c r="A14804" s="215" t="n">
        <v>45677</v>
      </c>
      <c r="B14804" s="216" t="n">
        <v>34.05</v>
      </c>
      <c r="C14804" s="216" t="n">
        <v>39.52</v>
      </c>
      <c r="D14804" s="216" t="n">
        <v>1.062587022781372</v>
      </c>
      <c r="E14804" s="215" t="n">
        <v>45677</v>
      </c>
      <c r="F14804" s="215" t="n">
        <v>45677</v>
      </c>
    </row>
    <row r="14805">
      <c r="A14805" s="215" t="n">
        <v>45678</v>
      </c>
      <c r="B14805" s="216" t="n">
        <v>33.95</v>
      </c>
      <c r="C14805" s="216" t="n">
        <v>39.06</v>
      </c>
      <c r="D14805" s="216" t="n">
        <v>1.063603043556213</v>
      </c>
      <c r="E14805" s="215" t="n">
        <v>45678</v>
      </c>
      <c r="F14805" s="215" t="n">
        <v>45678</v>
      </c>
    </row>
    <row r="14806">
      <c r="A14806" s="215" t="n">
        <v>45679</v>
      </c>
      <c r="B14806" s="216" t="n">
        <v>33.95</v>
      </c>
      <c r="C14806" s="216" t="n">
        <v>38.96</v>
      </c>
      <c r="D14806" s="216" t="n">
        <v>1.070593953132629</v>
      </c>
      <c r="E14806" s="215" t="n">
        <v>45679</v>
      </c>
      <c r="F14806" s="215" t="n">
        <v>45679</v>
      </c>
    </row>
    <row r="14807">
      <c r="A14807" s="215" t="n">
        <v>45680</v>
      </c>
      <c r="B14807" s="216" t="n">
        <v>33.15</v>
      </c>
      <c r="C14807" s="216" t="n">
        <v>38.65</v>
      </c>
      <c r="D14807" s="216" t="n">
        <v>1.070641040802002</v>
      </c>
      <c r="E14807" s="215" t="n">
        <v>45680</v>
      </c>
      <c r="F14807" s="215" t="n">
        <v>45680</v>
      </c>
    </row>
    <row r="14808">
      <c r="A14808" s="215" t="n">
        <v>45681</v>
      </c>
      <c r="B14808" s="216" t="n">
        <v>33.4</v>
      </c>
      <c r="C14808" s="216" t="n">
        <v>38.53</v>
      </c>
      <c r="D14808" s="216" t="n">
        <v>1.068833947181702</v>
      </c>
      <c r="E14808" s="215" t="n">
        <v>45681</v>
      </c>
      <c r="F14808" s="215" t="n">
        <v>45681</v>
      </c>
    </row>
    <row r="14809">
      <c r="A14809" s="215" t="n">
        <v>45684</v>
      </c>
      <c r="B14809" s="216" t="n">
        <v>33.65</v>
      </c>
      <c r="C14809" s="216" t="n">
        <v>39.31</v>
      </c>
      <c r="D14809" s="216" t="n">
        <v>1.075027942657471</v>
      </c>
      <c r="E14809" s="215" t="n">
        <v>45684</v>
      </c>
      <c r="F14809" s="215" t="n">
        <v>45684</v>
      </c>
    </row>
    <row r="14810">
      <c r="A14810" s="215" t="n">
        <v>45685</v>
      </c>
      <c r="B14810" s="216" t="n">
        <v>33.2</v>
      </c>
      <c r="C14810" s="216" t="n">
        <v>39.31</v>
      </c>
      <c r="D14810" s="216" t="n">
        <v>1.074183940887451</v>
      </c>
      <c r="E14810" s="215" t="n">
        <v>45684</v>
      </c>
      <c r="F14810" s="215" t="n">
        <v>45685</v>
      </c>
    </row>
    <row r="14811">
      <c r="A14811" s="215" t="n">
        <v>45691</v>
      </c>
      <c r="B14811" s="216" t="n">
        <v>33</v>
      </c>
      <c r="C14811" s="216" t="n">
        <v>39.31</v>
      </c>
      <c r="D14811" s="216" t="n">
        <v>1.084506034851074</v>
      </c>
      <c r="E14811" s="215" t="n">
        <v>45684</v>
      </c>
      <c r="F14811" s="215" t="n">
        <v>45691</v>
      </c>
    </row>
    <row r="14812">
      <c r="A14812" s="215" t="n">
        <v>45692</v>
      </c>
      <c r="B14812" s="216" t="n">
        <v>33.3</v>
      </c>
      <c r="C14812" s="216" t="n">
        <v>39.31</v>
      </c>
      <c r="D14812" s="216" t="n">
        <v>1.082739949226379</v>
      </c>
      <c r="E14812" s="215" t="n">
        <v>45684</v>
      </c>
      <c r="F14812" s="215" t="n">
        <v>45692</v>
      </c>
    </row>
    <row r="14813">
      <c r="A14813" s="215" t="n">
        <v>45693</v>
      </c>
      <c r="B14813" s="216" t="n">
        <v>33.25</v>
      </c>
      <c r="C14813" s="216" t="n">
        <v>39.31</v>
      </c>
      <c r="D14813" s="216" t="n">
        <v>1.083930015563965</v>
      </c>
      <c r="E14813" s="215" t="n">
        <v>45693</v>
      </c>
      <c r="F14813" s="215" t="n">
        <v>45693</v>
      </c>
    </row>
    <row r="14814">
      <c r="A14814" s="215" t="n">
        <v>45694</v>
      </c>
      <c r="B14814" s="216" t="n">
        <v>33.6</v>
      </c>
      <c r="C14814" s="216" t="n">
        <v>40.15</v>
      </c>
      <c r="D14814" s="216" t="n">
        <v>1.070767045021057</v>
      </c>
      <c r="E14814" s="215" t="n">
        <v>45694</v>
      </c>
      <c r="F14814" s="215" t="n">
        <v>45694</v>
      </c>
    </row>
    <row r="14815">
      <c r="A14815" s="215" t="n">
        <v>45695</v>
      </c>
      <c r="B14815" s="216" t="n">
        <v>34.25</v>
      </c>
      <c r="C14815" s="216" t="n">
        <v>40.5</v>
      </c>
      <c r="D14815" s="216" t="n">
        <v>1.068161010742188</v>
      </c>
      <c r="E14815" s="215" t="n">
        <v>45695</v>
      </c>
      <c r="F14815" s="215" t="n">
        <v>45695</v>
      </c>
    </row>
    <row r="14816">
      <c r="A14816" s="215" t="n">
        <v>45698</v>
      </c>
      <c r="B14816" s="216" t="n">
        <v>34.15</v>
      </c>
      <c r="C14816" s="216" t="n">
        <v>40.47</v>
      </c>
      <c r="D14816" s="216" t="n">
        <v>1.068833947181702</v>
      </c>
      <c r="E14816" s="215" t="n">
        <v>45698</v>
      </c>
      <c r="F14816" s="215" t="n">
        <v>45698</v>
      </c>
    </row>
    <row r="14817">
      <c r="A14817" s="215" t="n">
        <v>45699</v>
      </c>
      <c r="B14817" s="216" t="n">
        <v>34.05</v>
      </c>
      <c r="C14817" s="216" t="n">
        <v>40.42</v>
      </c>
      <c r="D14817" s="216" t="n">
        <v>1.066220045089722</v>
      </c>
      <c r="E14817" s="215" t="n">
        <v>45699</v>
      </c>
      <c r="F14817" s="215" t="n">
        <v>45699</v>
      </c>
    </row>
    <row r="14818">
      <c r="A14818" s="215" t="n">
        <v>45700</v>
      </c>
      <c r="B14818" s="216" t="n">
        <v>34.3</v>
      </c>
      <c r="C14818" s="216" t="n">
        <v>40.12</v>
      </c>
      <c r="D14818" s="216" t="n">
        <v>1.066164970397949</v>
      </c>
      <c r="E14818" s="215" t="n">
        <v>45700</v>
      </c>
      <c r="F14818" s="215" t="n">
        <v>45700</v>
      </c>
    </row>
    <row r="14819">
      <c r="A14819" s="215" t="n">
        <v>45701</v>
      </c>
      <c r="B14819" s="216" t="n">
        <v>34.1</v>
      </c>
      <c r="C14819" s="216" t="n">
        <v>40.31</v>
      </c>
      <c r="D14819" s="216" t="n">
        <v>1.065642952919006</v>
      </c>
      <c r="E14819" s="215" t="n">
        <v>45701</v>
      </c>
      <c r="F14819" s="215" t="n">
        <v>45701</v>
      </c>
    </row>
    <row r="14820">
      <c r="A14820" s="215" t="n">
        <v>45702</v>
      </c>
      <c r="B14820" s="216" t="n">
        <v>34.65</v>
      </c>
      <c r="C14820" s="216" t="n">
        <v>40.58</v>
      </c>
      <c r="D14820" s="216" t="n">
        <v>1.068236947059631</v>
      </c>
      <c r="E14820" s="215" t="n">
        <v>45702</v>
      </c>
      <c r="F14820" s="215" t="n">
        <v>45702</v>
      </c>
    </row>
    <row r="14821">
      <c r="A14821" s="215" t="n">
        <v>45705</v>
      </c>
      <c r="B14821" s="216" t="n">
        <v>34.6</v>
      </c>
      <c r="C14821" s="216" t="n">
        <v>40.33</v>
      </c>
      <c r="D14821" s="216" t="n">
        <v>1.072839021682739</v>
      </c>
      <c r="E14821" s="215" t="n">
        <v>45705</v>
      </c>
      <c r="F14821" s="215" t="n">
        <v>45705</v>
      </c>
    </row>
    <row r="14822">
      <c r="A14822" s="215" t="n">
        <v>45706</v>
      </c>
      <c r="B14822" s="216" t="n">
        <v>36.15</v>
      </c>
      <c r="C14822" s="216" t="n">
        <v>40.4</v>
      </c>
      <c r="D14822" s="216" t="n">
        <v>1.072520971298218</v>
      </c>
      <c r="E14822" s="215" t="n">
        <v>45706</v>
      </c>
      <c r="F14822" s="215" t="n">
        <v>45706</v>
      </c>
    </row>
    <row r="14823">
      <c r="A14823" s="215" t="n">
        <v>45707</v>
      </c>
      <c r="B14823" s="216" t="n">
        <v>37.7</v>
      </c>
      <c r="C14823" s="216" t="n">
        <v>41.25</v>
      </c>
      <c r="D14823" s="216" t="n">
        <v>1.067935943603516</v>
      </c>
      <c r="E14823" s="215" t="n">
        <v>45707</v>
      </c>
      <c r="F14823" s="215" t="n">
        <v>45707</v>
      </c>
    </row>
    <row r="14824">
      <c r="A14824" s="215" t="n">
        <v>45708</v>
      </c>
      <c r="B14824" s="216" t="n">
        <v>37.9</v>
      </c>
      <c r="C14824" s="216" t="n">
        <v>42.07</v>
      </c>
      <c r="D14824" s="216" t="n">
        <v>1.067798972129822</v>
      </c>
      <c r="E14824" s="215" t="n">
        <v>45708</v>
      </c>
      <c r="F14824" s="215" t="n">
        <v>45708</v>
      </c>
    </row>
    <row r="14825">
      <c r="A14825" s="215" t="n">
        <v>45709</v>
      </c>
      <c r="B14825" s="216" t="n">
        <v>39</v>
      </c>
      <c r="C14825" s="216" t="n">
        <v>42.2</v>
      </c>
      <c r="D14825" s="216" t="n">
        <v>1.071557998657227</v>
      </c>
      <c r="E14825" s="215" t="n">
        <v>45709</v>
      </c>
      <c r="F14825" s="215" t="n">
        <v>45709</v>
      </c>
    </row>
    <row r="14826">
      <c r="A14826" s="215" t="n">
        <v>45712</v>
      </c>
      <c r="B14826" s="216" t="n">
        <v>38.05</v>
      </c>
      <c r="C14826" s="216" t="n">
        <v>41.54</v>
      </c>
      <c r="D14826" s="216" t="n">
        <v>1.071457982063293</v>
      </c>
      <c r="E14826" s="215" t="n">
        <v>45712</v>
      </c>
      <c r="F14826" s="215" t="n">
        <v>45712</v>
      </c>
    </row>
    <row r="14827">
      <c r="A14827" s="215" t="n">
        <v>45713</v>
      </c>
      <c r="B14827" s="216" t="n">
        <v>37.5</v>
      </c>
      <c r="C14827" s="216" t="n">
        <v>40.89</v>
      </c>
      <c r="D14827" s="216" t="n">
        <v>1.072481989860535</v>
      </c>
      <c r="E14827" s="215" t="n">
        <v>45713</v>
      </c>
      <c r="F14827" s="215" t="n">
        <v>45713</v>
      </c>
    </row>
    <row r="14828">
      <c r="A14828" s="215" t="n">
        <v>45714</v>
      </c>
      <c r="B14828" s="216" t="n">
        <v>38.35</v>
      </c>
      <c r="C14828" s="216" t="n">
        <v>40.74</v>
      </c>
      <c r="D14828" s="216" t="n">
        <v>1.072456955909729</v>
      </c>
      <c r="E14828" s="215" t="n">
        <v>45714</v>
      </c>
      <c r="F14828" s="215" t="n">
        <v>45714</v>
      </c>
    </row>
    <row r="14829">
      <c r="A14829" s="215" t="n">
        <v>45715</v>
      </c>
      <c r="B14829" s="216" t="n">
        <v>39.5</v>
      </c>
      <c r="C14829" s="216" t="n">
        <v>41.65</v>
      </c>
      <c r="D14829" s="216" t="n">
        <v>1.070572972297668</v>
      </c>
      <c r="E14829" s="215" t="n">
        <v>45715</v>
      </c>
      <c r="F14829" s="215" t="n">
        <v>45715</v>
      </c>
    </row>
    <row r="14830">
      <c r="A14830" s="215" t="n">
        <v>45716</v>
      </c>
      <c r="B14830" s="216" t="n">
        <v>39.1</v>
      </c>
      <c r="C14830" s="216" t="n">
        <v>41.72</v>
      </c>
      <c r="D14830" s="216" t="n">
        <v>1.067088961601257</v>
      </c>
      <c r="E14830" s="215" t="n">
        <v>45716</v>
      </c>
      <c r="F14830" s="215" t="n">
        <v>45716</v>
      </c>
    </row>
    <row r="14831">
      <c r="A14831" s="215" t="n">
        <v>45719</v>
      </c>
      <c r="B14831" s="216" t="n">
        <v>38.3</v>
      </c>
      <c r="C14831" s="216" t="n">
        <v>42.12</v>
      </c>
      <c r="D14831" s="216" t="n">
        <v>1.06771194934845</v>
      </c>
      <c r="E14831" s="215" t="n">
        <v>45719</v>
      </c>
      <c r="F14831" s="215" t="n">
        <v>45719</v>
      </c>
    </row>
    <row r="14832">
      <c r="A14832" s="215" t="n">
        <v>45720</v>
      </c>
      <c r="B14832" s="216" t="n">
        <v>38.05</v>
      </c>
      <c r="C14832" s="216" t="n">
        <v>41.82</v>
      </c>
      <c r="D14832" s="216" t="n">
        <v>1.067291021347046</v>
      </c>
      <c r="E14832" s="215" t="n">
        <v>45720</v>
      </c>
      <c r="F14832" s="215" t="n">
        <v>45720</v>
      </c>
    </row>
    <row r="14833">
      <c r="A14833" s="215" t="n">
        <v>45721</v>
      </c>
      <c r="B14833" s="216" t="n">
        <v>38.35</v>
      </c>
      <c r="C14833" s="216" t="n">
        <v>42.2</v>
      </c>
      <c r="D14833" s="216" t="n">
        <v>1.069700956344604</v>
      </c>
      <c r="E14833" s="215" t="n">
        <v>45721</v>
      </c>
      <c r="F14833" s="215" t="n">
        <v>45721</v>
      </c>
    </row>
    <row r="14834">
      <c r="A14834" s="215" t="n">
        <v>45722</v>
      </c>
      <c r="B14834" s="216" t="n">
        <v>38.55</v>
      </c>
      <c r="C14834" s="216" t="n">
        <v>42.37</v>
      </c>
      <c r="D14834" s="216" t="n">
        <v>1.071586012840271</v>
      </c>
      <c r="E14834" s="215" t="n">
        <v>45722</v>
      </c>
      <c r="F14834" s="215" t="n">
        <v>45722</v>
      </c>
    </row>
    <row r="14835">
      <c r="A14835" s="215" t="n">
        <v>45723</v>
      </c>
      <c r="B14835" s="216" t="n">
        <v>37.6</v>
      </c>
      <c r="C14835" s="216" t="n">
        <v>42.14</v>
      </c>
      <c r="D14835" s="216" t="n">
        <v>1.071760058403015</v>
      </c>
      <c r="E14835" s="215" t="n">
        <v>45723</v>
      </c>
      <c r="F14835" s="215" t="n">
        <v>45723</v>
      </c>
    </row>
    <row r="14836">
      <c r="A14836" s="215" t="n">
        <v>45726</v>
      </c>
      <c r="B14836" s="216" t="n">
        <v>38.35</v>
      </c>
      <c r="C14836" s="216" t="n">
        <v>42.15</v>
      </c>
      <c r="D14836" s="216" t="n">
        <v>1.074237942695618</v>
      </c>
      <c r="E14836" s="215" t="n">
        <v>45726</v>
      </c>
      <c r="F14836" s="215" t="n">
        <v>45726</v>
      </c>
    </row>
    <row r="14837">
      <c r="A14837" s="215" t="n">
        <v>45727</v>
      </c>
      <c r="B14837" s="216" t="n">
        <v>38.8</v>
      </c>
      <c r="C14837" s="216" t="n">
        <v>42.33</v>
      </c>
      <c r="D14837" s="216" t="n">
        <v>1.069882988929749</v>
      </c>
      <c r="E14837" s="215" t="n">
        <v>45727</v>
      </c>
      <c r="F14837" s="215" t="n">
        <v>45727</v>
      </c>
    </row>
    <row r="14838">
      <c r="A14838" s="215" t="n">
        <v>45728</v>
      </c>
      <c r="B14838" s="216" t="n">
        <v>40.3</v>
      </c>
      <c r="C14838" s="216" t="n">
        <v>43.04</v>
      </c>
      <c r="D14838" s="216" t="n">
        <v>1.070067048072815</v>
      </c>
      <c r="E14838" s="215" t="n">
        <v>45728</v>
      </c>
      <c r="F14838" s="215" t="n">
        <v>45728</v>
      </c>
    </row>
    <row r="14839">
      <c r="A14839" s="215" t="n">
        <v>45729</v>
      </c>
      <c r="B14839" s="216" t="n">
        <v>39.35</v>
      </c>
      <c r="C14839" s="216" t="n">
        <v>43.65</v>
      </c>
      <c r="D14839" s="216" t="n">
        <v>1.07337498664856</v>
      </c>
      <c r="E14839" s="215" t="n">
        <v>45729</v>
      </c>
      <c r="F14839" s="215" t="n">
        <v>45729</v>
      </c>
    </row>
    <row r="14840">
      <c r="A14840" s="215" t="n">
        <v>45730</v>
      </c>
      <c r="B14840" s="216" t="n">
        <v>39.7</v>
      </c>
      <c r="C14840" s="216" t="n">
        <v>44.1</v>
      </c>
      <c r="D14840" s="216" t="n">
        <v>1.073752999305725</v>
      </c>
      <c r="E14840" s="215" t="n">
        <v>45730</v>
      </c>
      <c r="F14840" s="215" t="n">
        <v>45730</v>
      </c>
    </row>
    <row r="14841">
      <c r="A14841" s="215" t="n">
        <v>45733</v>
      </c>
      <c r="B14841" s="216" t="n">
        <v>39.5</v>
      </c>
      <c r="C14841" s="216" t="n">
        <v>43.66</v>
      </c>
      <c r="D14841" s="216" t="n">
        <v>1.073765993118286</v>
      </c>
      <c r="E14841" s="215" t="n">
        <v>45733</v>
      </c>
      <c r="F14841" s="215" t="n">
        <v>45733</v>
      </c>
    </row>
    <row r="14842">
      <c r="A14842" s="215" t="n">
        <v>45734</v>
      </c>
      <c r="B14842" s="216" t="n">
        <v>40.5</v>
      </c>
      <c r="C14842" s="216" t="n">
        <v>43.5</v>
      </c>
      <c r="D14842" s="216" t="n">
        <v>1.073990941047668</v>
      </c>
      <c r="E14842" s="215" t="n">
        <v>45734</v>
      </c>
      <c r="F14842" s="215" t="n">
        <v>45734</v>
      </c>
    </row>
    <row r="14843">
      <c r="A14843" s="215" t="n">
        <v>45735</v>
      </c>
      <c r="B14843" s="216" t="n">
        <v>40.2</v>
      </c>
      <c r="C14843" s="216" t="n">
        <v>43.5</v>
      </c>
      <c r="D14843" s="216" t="n">
        <v>1.074807047843933</v>
      </c>
      <c r="E14843" s="215" t="n">
        <v>45735</v>
      </c>
      <c r="F14843" s="215" t="n">
        <v>45735</v>
      </c>
    </row>
    <row r="14844">
      <c r="A14844" s="215" t="n">
        <v>45736</v>
      </c>
      <c r="B14844" s="216" t="n">
        <v>39.15</v>
      </c>
      <c r="C14844" s="216" t="n">
        <v>43.04</v>
      </c>
      <c r="D14844" s="216" t="n">
        <v>1.074540019035339</v>
      </c>
      <c r="E14844" s="215" t="n">
        <v>45736</v>
      </c>
      <c r="F14844" s="215" t="n">
        <v>45736</v>
      </c>
    </row>
    <row r="14845">
      <c r="A14845" s="215" t="n">
        <v>45737</v>
      </c>
      <c r="B14845" s="216" t="n">
        <v>38.35</v>
      </c>
      <c r="C14845" s="216" t="n">
        <v>42.73</v>
      </c>
      <c r="D14845" s="216" t="n">
        <v>1.072183012962341</v>
      </c>
      <c r="E14845" s="215" t="n">
        <v>45737</v>
      </c>
      <c r="F14845" s="215" t="n">
        <v>45737</v>
      </c>
    </row>
    <row r="14846">
      <c r="A14846" s="215" t="n">
        <v>45740</v>
      </c>
      <c r="B14846" s="216" t="n">
        <v>37.65</v>
      </c>
      <c r="C14846" s="216" t="n">
        <v>42.52</v>
      </c>
      <c r="D14846" s="216" t="n">
        <v>1.072136998176575</v>
      </c>
      <c r="E14846" s="215" t="n">
        <v>45740</v>
      </c>
      <c r="F14846" s="215" t="n">
        <v>45740</v>
      </c>
    </row>
    <row r="14847">
      <c r="A14847" s="215" t="n">
        <v>45741</v>
      </c>
      <c r="B14847" s="216" t="n">
        <v>37.15</v>
      </c>
      <c r="C14847" s="216" t="n">
        <v>42.3</v>
      </c>
      <c r="D14847" s="216" t="n">
        <v>1.071681976318359</v>
      </c>
      <c r="E14847" s="215" t="n">
        <v>45741</v>
      </c>
      <c r="F14847" s="215" t="n">
        <v>45741</v>
      </c>
    </row>
    <row r="14848">
      <c r="A14848" s="215" t="n">
        <v>45742</v>
      </c>
      <c r="B14848" s="216" t="n">
        <v>37.5</v>
      </c>
      <c r="C14848" s="216" t="n">
        <v>42.18</v>
      </c>
      <c r="D14848" s="216" t="n">
        <v>1.071272969245911</v>
      </c>
      <c r="E14848" s="215" t="n">
        <v>45742</v>
      </c>
      <c r="F14848" s="215" t="n">
        <v>45742</v>
      </c>
    </row>
    <row r="14849">
      <c r="A14849" s="215" t="n">
        <v>45743</v>
      </c>
      <c r="B14849" s="216" t="n">
        <v>37.6</v>
      </c>
      <c r="C14849" s="216" t="n">
        <v>42.33</v>
      </c>
      <c r="D14849" s="216" t="n">
        <v>1.071310043334961</v>
      </c>
      <c r="E14849" s="215" t="n">
        <v>45743</v>
      </c>
      <c r="F14849" s="215" t="n">
        <v>45743</v>
      </c>
    </row>
    <row r="14850">
      <c r="A14850" s="215" t="n">
        <v>45744</v>
      </c>
      <c r="B14850" s="216" t="n">
        <v>37.1</v>
      </c>
      <c r="C14850" s="216" t="n">
        <v>42.04</v>
      </c>
      <c r="D14850" s="216" t="n">
        <v>1.03395402431488</v>
      </c>
      <c r="E14850" s="215" t="n">
        <v>45744</v>
      </c>
      <c r="F14850" s="215" t="n">
        <v>45744</v>
      </c>
    </row>
    <row r="14851">
      <c r="A14851" s="215" t="n">
        <v>45747</v>
      </c>
      <c r="B14851" s="216" t="n">
        <v>38.45</v>
      </c>
      <c r="C14851" s="216" t="n">
        <v>43.12</v>
      </c>
      <c r="D14851" s="216" t="n">
        <v>1.070834994316101</v>
      </c>
      <c r="E14851" s="215" t="n">
        <v>45747</v>
      </c>
      <c r="F14851" s="215" t="n">
        <v>45747</v>
      </c>
    </row>
    <row r="14852">
      <c r="A14852" s="215" t="n">
        <v>45748</v>
      </c>
      <c r="B14852" s="216" t="n">
        <v>38.15</v>
      </c>
      <c r="C14852" s="216" t="n">
        <v>43.76</v>
      </c>
      <c r="D14852" s="216" t="n">
        <v>1.071635007858276</v>
      </c>
      <c r="E14852" s="215" t="n">
        <v>45748</v>
      </c>
      <c r="F14852" s="215" t="n">
        <v>45748</v>
      </c>
    </row>
    <row r="14853">
      <c r="A14853" s="215" t="n">
        <v>45749</v>
      </c>
      <c r="B14853" s="216" t="n">
        <v>38.4</v>
      </c>
      <c r="C14853" s="216" t="n">
        <v>43.32</v>
      </c>
      <c r="D14853" s="216" t="n">
        <v>1.070148944854736</v>
      </c>
      <c r="E14853" s="215" t="n">
        <v>45749</v>
      </c>
      <c r="F14853" s="215" t="n">
        <v>45749</v>
      </c>
    </row>
    <row r="14854">
      <c r="A14854" s="215" t="n">
        <v>45750</v>
      </c>
      <c r="B14854" s="216" t="n">
        <v>37.55</v>
      </c>
      <c r="C14854" s="216" t="n">
        <v>43.42</v>
      </c>
      <c r="D14854" s="216" t="n">
        <v>1.070878982543945</v>
      </c>
      <c r="E14854" s="215" t="n">
        <v>45750</v>
      </c>
      <c r="F14854" s="215" t="n">
        <v>45750</v>
      </c>
    </row>
    <row r="14855">
      <c r="A14855" s="215" t="n">
        <v>45754</v>
      </c>
      <c r="B14855" s="216" t="n">
        <v>33</v>
      </c>
      <c r="C14855" s="216" t="n">
        <v>40.07</v>
      </c>
      <c r="D14855" s="216" t="n">
        <v>1.067106008529663</v>
      </c>
      <c r="E14855" s="215" t="n">
        <v>45754</v>
      </c>
      <c r="F14855" s="215" t="n">
        <v>45754</v>
      </c>
    </row>
    <row r="14856">
      <c r="A14856" s="215" t="n">
        <v>45755</v>
      </c>
      <c r="B14856" s="216" t="n">
        <v>34.1</v>
      </c>
      <c r="C14856" s="216" t="n">
        <v>41.2</v>
      </c>
      <c r="D14856" s="216" t="n">
        <v>1.062885046005249</v>
      </c>
      <c r="E14856" s="215" t="n">
        <v>45755</v>
      </c>
      <c r="F14856" s="215" t="n">
        <v>45755</v>
      </c>
    </row>
    <row r="14857">
      <c r="A14857" s="215" t="n">
        <v>45756</v>
      </c>
      <c r="B14857" s="216" t="n">
        <v>34.2</v>
      </c>
      <c r="C14857" s="216" t="n">
        <v>40.86</v>
      </c>
      <c r="D14857" s="216" t="n">
        <v>1.058482050895691</v>
      </c>
      <c r="E14857" s="215" t="n">
        <v>45756</v>
      </c>
      <c r="F14857" s="215" t="n">
        <v>45756</v>
      </c>
    </row>
    <row r="14858">
      <c r="A14858" s="215" t="n">
        <v>45757</v>
      </c>
      <c r="B14858" s="216" t="n">
        <v>35</v>
      </c>
      <c r="C14858" s="216" t="n">
        <v>42.3</v>
      </c>
      <c r="D14858" s="216" t="n">
        <v>1.055835008621216</v>
      </c>
      <c r="E14858" s="215" t="n">
        <v>45757</v>
      </c>
      <c r="F14858" s="215" t="n">
        <v>45757</v>
      </c>
    </row>
    <row r="14859">
      <c r="A14859" s="215" t="n">
        <v>45758</v>
      </c>
      <c r="B14859" s="216" t="n">
        <v>35.2</v>
      </c>
      <c r="C14859" s="216" t="n">
        <v>41.88</v>
      </c>
      <c r="D14859" s="216" t="n">
        <v>1.060536980628967</v>
      </c>
      <c r="E14859" s="215" t="n">
        <v>45758</v>
      </c>
      <c r="F14859" s="215" t="n">
        <v>45758</v>
      </c>
    </row>
    <row r="14860">
      <c r="A14860" s="215" t="n">
        <v>45761</v>
      </c>
      <c r="B14860" s="216" t="n">
        <v>36.5</v>
      </c>
      <c r="C14860" s="216" t="n">
        <v>42.64</v>
      </c>
      <c r="D14860" s="216" t="n">
        <v>1.063439965248108</v>
      </c>
      <c r="E14860" s="215" t="n">
        <v>45761</v>
      </c>
      <c r="F14860" s="215" t="n">
        <v>45761</v>
      </c>
    </row>
    <row r="14861">
      <c r="A14861" s="215" t="n">
        <v>45762</v>
      </c>
      <c r="B14861" s="216" t="n">
        <v>35.65</v>
      </c>
      <c r="C14861" s="216" t="n">
        <v>42.23</v>
      </c>
      <c r="D14861" s="216" t="n">
        <v>1.06060004234314</v>
      </c>
      <c r="E14861" s="215" t="n">
        <v>45762</v>
      </c>
      <c r="F14861" s="215" t="n">
        <v>45762</v>
      </c>
    </row>
    <row r="14862">
      <c r="A14862" s="215" t="n">
        <v>45763</v>
      </c>
      <c r="B14862" s="216" t="n">
        <v>34.85</v>
      </c>
      <c r="C14862" s="216" t="n">
        <v>42.27</v>
      </c>
      <c r="D14862" s="216" t="n">
        <v>1.06060004234314</v>
      </c>
      <c r="E14862" s="215" t="n">
        <v>45763</v>
      </c>
      <c r="F14862" s="215" t="n">
        <v>45763</v>
      </c>
    </row>
    <row r="14863">
      <c r="A14863" s="215" t="n">
        <v>45764</v>
      </c>
      <c r="B14863" s="216" t="n">
        <v>35.4</v>
      </c>
      <c r="C14863" s="216" t="n">
        <v>42.36</v>
      </c>
      <c r="D14863" s="216" t="n">
        <v>1.06060004234314</v>
      </c>
      <c r="E14863" s="215" t="n">
        <v>45764</v>
      </c>
      <c r="F14863" s="215" t="n">
        <v>45764</v>
      </c>
    </row>
    <row r="14864">
      <c r="A14864" s="215" t="n">
        <v>45769</v>
      </c>
      <c r="B14864" s="216" t="n">
        <v>36.8</v>
      </c>
      <c r="C14864" s="216" t="n">
        <v>43.4</v>
      </c>
      <c r="D14864" s="216" t="n">
        <v>1.06060004234314</v>
      </c>
      <c r="E14864" s="215" t="n">
        <v>45769</v>
      </c>
      <c r="F14864" s="215" t="n">
        <v>45769</v>
      </c>
    </row>
    <row r="14865">
      <c r="A14865" s="215" t="n">
        <v>45770</v>
      </c>
      <c r="B14865" s="216" t="n">
        <v>38</v>
      </c>
      <c r="C14865" s="216" t="n">
        <v>43.21</v>
      </c>
      <c r="D14865" s="216" t="n">
        <v>1.06060004234314</v>
      </c>
      <c r="E14865" s="215" t="n">
        <v>45770</v>
      </c>
      <c r="F14865" s="215" t="n">
        <v>45770</v>
      </c>
    </row>
    <row r="14866">
      <c r="A14866" s="215" t="n">
        <v>45771</v>
      </c>
      <c r="B14866" s="216" t="n">
        <v>37.95</v>
      </c>
      <c r="C14866" s="216" t="n">
        <v>43.4</v>
      </c>
      <c r="D14866" s="216" t="n">
        <v>1.06060004234314</v>
      </c>
      <c r="E14866" s="215" t="n">
        <v>45771</v>
      </c>
      <c r="F14866" s="215" t="n">
        <v>45771</v>
      </c>
    </row>
    <row r="14867">
      <c r="A14867" s="215" t="n">
        <v>45772</v>
      </c>
      <c r="B14867" s="216" t="n">
        <v>37.75</v>
      </c>
      <c r="C14867" s="216" t="n">
        <v>43.36</v>
      </c>
      <c r="D14867" s="216" t="n">
        <v>1.061900019645691</v>
      </c>
      <c r="E14867" s="215" t="n">
        <v>45772</v>
      </c>
      <c r="F14867" s="215" t="n">
        <v>45772</v>
      </c>
    </row>
    <row r="14868">
      <c r="A14868" s="215" t="n">
        <v>45775</v>
      </c>
      <c r="B14868" s="216" t="n">
        <v>37.3</v>
      </c>
      <c r="C14868" s="216" t="n">
        <v>43.22</v>
      </c>
      <c r="D14868" s="216" t="n">
        <v>1.064350962638855</v>
      </c>
      <c r="E14868" s="215" t="n">
        <v>45775</v>
      </c>
      <c r="F14868" s="215" t="n">
        <v>45775</v>
      </c>
    </row>
    <row r="14869">
      <c r="A14869" s="215" t="n">
        <v>45776</v>
      </c>
      <c r="B14869" s="216" t="n">
        <v>39.1</v>
      </c>
      <c r="C14869" s="216" t="n">
        <v>43.36</v>
      </c>
      <c r="D14869" s="216" t="n">
        <v>1.063179969787598</v>
      </c>
      <c r="E14869" s="215" t="n">
        <v>45776</v>
      </c>
      <c r="F14869" s="215" t="n">
        <v>45776</v>
      </c>
    </row>
    <row r="14870">
      <c r="A14870" s="215" t="n">
        <v>45777</v>
      </c>
      <c r="B14870" s="216" t="n">
        <v>38.8</v>
      </c>
      <c r="C14870" s="216" t="n">
        <v>43.52</v>
      </c>
      <c r="D14870" s="216" t="n">
        <v>1.067217946052551</v>
      </c>
      <c r="E14870" s="215" t="n">
        <v>45777</v>
      </c>
      <c r="F14870" s="215" t="n">
        <v>45777</v>
      </c>
    </row>
    <row r="14871">
      <c r="A14871" s="215" t="n">
        <v>45779</v>
      </c>
      <c r="B14871" s="216" t="n">
        <v>38.75</v>
      </c>
      <c r="C14871" s="216" t="n">
        <v>43.52</v>
      </c>
      <c r="D14871" s="216" t="n">
        <v>1.066810965538025</v>
      </c>
      <c r="E14871" s="215" t="n">
        <v>45777</v>
      </c>
      <c r="F14871" s="215" t="n">
        <v>45779</v>
      </c>
    </row>
    <row r="14872">
      <c r="A14872" s="215" t="n">
        <v>45783</v>
      </c>
      <c r="B14872" s="216" t="n">
        <v>40</v>
      </c>
      <c r="C14872" s="216" t="n">
        <v>43.8</v>
      </c>
      <c r="D14872" s="216" t="n">
        <v>1.065811991691589</v>
      </c>
      <c r="E14872" s="215" t="n">
        <v>45783</v>
      </c>
      <c r="F14872" s="215" t="n">
        <v>45783</v>
      </c>
    </row>
    <row r="14873">
      <c r="A14873" s="215" t="n">
        <v>45784</v>
      </c>
      <c r="B14873" s="216" t="n">
        <v>39.3</v>
      </c>
      <c r="C14873" s="216" t="n">
        <v>43.93</v>
      </c>
      <c r="D14873" s="216" t="n">
        <v>1.073848009109497</v>
      </c>
      <c r="E14873" s="215" t="n">
        <v>45784</v>
      </c>
      <c r="F14873" s="215" t="n">
        <v>45784</v>
      </c>
    </row>
    <row r="14874">
      <c r="A14874" s="215" t="n">
        <v>45785</v>
      </c>
      <c r="B14874" s="216" t="n">
        <v>39.5</v>
      </c>
      <c r="C14874" s="216" t="n">
        <v>43.53</v>
      </c>
      <c r="D14874" s="216" t="n">
        <v>1.07387101650238</v>
      </c>
      <c r="E14874" s="215" t="n">
        <v>45785</v>
      </c>
      <c r="F14874" s="215" t="n">
        <v>45785</v>
      </c>
    </row>
    <row r="14875">
      <c r="A14875" s="215" t="n">
        <v>45786</v>
      </c>
      <c r="B14875" s="216" t="n">
        <v>39.55</v>
      </c>
      <c r="C14875" s="216" t="n">
        <v>43.67</v>
      </c>
      <c r="D14875" s="216" t="n">
        <v>1.076066970825195</v>
      </c>
      <c r="E14875" s="215" t="n">
        <v>45786</v>
      </c>
      <c r="F14875" s="215" t="n">
        <v>45786</v>
      </c>
    </row>
    <row r="14876">
      <c r="A14876" s="215" t="n">
        <v>45789</v>
      </c>
      <c r="B14876" s="216" t="n">
        <v>39.4</v>
      </c>
      <c r="C14876" s="216" t="n">
        <v>43.15</v>
      </c>
      <c r="D14876" s="216" t="n">
        <v>1.074246048927307</v>
      </c>
      <c r="E14876" s="215" t="n">
        <v>45789</v>
      </c>
      <c r="F14876" s="215" t="n">
        <v>45789</v>
      </c>
    </row>
    <row r="14877">
      <c r="A14877" s="215" t="n">
        <v>45790</v>
      </c>
      <c r="B14877" s="216" t="n">
        <v>38.6</v>
      </c>
      <c r="C14877" s="216" t="n">
        <v>43.37</v>
      </c>
      <c r="D14877" s="216" t="n">
        <v>1.081536054611206</v>
      </c>
      <c r="E14877" s="215" t="n">
        <v>45790</v>
      </c>
      <c r="F14877" s="215" t="n">
        <v>45790</v>
      </c>
    </row>
    <row r="14878">
      <c r="A14878" s="215" t="n">
        <v>45791</v>
      </c>
      <c r="B14878" s="216" t="n">
        <v>38.75</v>
      </c>
      <c r="C14878" s="216" t="n">
        <v>43.99</v>
      </c>
      <c r="D14878" s="216" t="n">
        <v>1.081884980201721</v>
      </c>
      <c r="E14878" s="215" t="n">
        <v>45791</v>
      </c>
      <c r="F14878" s="215" t="n">
        <v>45791</v>
      </c>
    </row>
    <row r="14879">
      <c r="A14879" s="215" t="n">
        <v>45792</v>
      </c>
      <c r="B14879" s="216" t="n">
        <v>38.65</v>
      </c>
      <c r="C14879" s="216" t="n">
        <v>43.78</v>
      </c>
      <c r="D14879" s="216" t="n">
        <v>1.082641005516052</v>
      </c>
      <c r="E14879" s="215" t="n">
        <v>45792</v>
      </c>
      <c r="F14879" s="215" t="n">
        <v>45792</v>
      </c>
    </row>
    <row r="14880">
      <c r="A14880" s="215" t="n">
        <v>45793</v>
      </c>
      <c r="B14880" s="216" t="n">
        <v>38.2</v>
      </c>
      <c r="C14880" s="216" t="n">
        <v>43.15</v>
      </c>
      <c r="D14880" s="216" t="n">
        <v>1.082918047904968</v>
      </c>
      <c r="E14880" s="215" t="n">
        <v>45793</v>
      </c>
      <c r="F14880" s="215" t="n">
        <v>45793</v>
      </c>
    </row>
    <row r="14881">
      <c r="A14881" s="215" t="n">
        <v>45796</v>
      </c>
      <c r="B14881" s="216" t="n">
        <v>38.35</v>
      </c>
      <c r="C14881" s="216" t="n">
        <v>43</v>
      </c>
      <c r="D14881" s="216" t="n">
        <v>1.083842992782593</v>
      </c>
      <c r="E14881" s="215" t="n">
        <v>45796</v>
      </c>
      <c r="F14881" s="215" t="n">
        <v>45796</v>
      </c>
    </row>
    <row r="14882">
      <c r="A14882" s="215" t="n">
        <v>45797</v>
      </c>
      <c r="B14882" s="216" t="n">
        <v>40.1</v>
      </c>
      <c r="C14882" s="216" t="n">
        <v>45.85</v>
      </c>
      <c r="D14882" s="216" t="n">
        <v>1.08473801612854</v>
      </c>
      <c r="E14882" s="215" t="n">
        <v>45797</v>
      </c>
      <c r="F14882" s="215" t="n">
        <v>45797</v>
      </c>
    </row>
    <row r="14883">
      <c r="A14883" s="215" t="n">
        <v>45798</v>
      </c>
      <c r="B14883" s="216" t="n">
        <v>39.95</v>
      </c>
      <c r="C14883" s="216" t="n">
        <v>46.5</v>
      </c>
      <c r="D14883" s="216" t="n">
        <v>1.084200024604797</v>
      </c>
      <c r="E14883" s="215" t="n">
        <v>45798</v>
      </c>
      <c r="F14883" s="215" t="n">
        <v>45798</v>
      </c>
    </row>
    <row r="14884">
      <c r="A14884" s="215" t="n">
        <v>45799</v>
      </c>
      <c r="B14884" s="216" t="n">
        <v>40.3</v>
      </c>
      <c r="C14884" s="216" t="n">
        <v>46.25</v>
      </c>
      <c r="D14884" s="216" t="n">
        <v>1.086825013160706</v>
      </c>
      <c r="E14884" s="215" t="n">
        <v>45799</v>
      </c>
      <c r="F14884" s="215" t="n">
        <v>45799</v>
      </c>
    </row>
    <row r="14885">
      <c r="A14885" s="215" t="n">
        <v>45800</v>
      </c>
      <c r="B14885" s="216" t="n">
        <v>39.7</v>
      </c>
      <c r="C14885" s="216" t="n">
        <v>45.63</v>
      </c>
      <c r="D14885" s="216" t="n">
        <v>1.086493015289307</v>
      </c>
      <c r="E14885" s="215" t="n">
        <v>45800</v>
      </c>
      <c r="F14885" s="215" t="n">
        <v>45800</v>
      </c>
    </row>
    <row r="14886">
      <c r="A14886" s="215" t="n">
        <v>45803</v>
      </c>
      <c r="B14886" s="216" t="n">
        <v>38.9</v>
      </c>
      <c r="C14886" s="216" t="n">
        <v>45.62</v>
      </c>
      <c r="D14886" s="216" t="n">
        <v>1.08673095703125</v>
      </c>
      <c r="E14886" s="215" t="n">
        <v>45803</v>
      </c>
      <c r="F14886" s="215" t="n">
        <v>45803</v>
      </c>
    </row>
    <row r="14887">
      <c r="A14887" s="215" t="n">
        <v>45804</v>
      </c>
      <c r="B14887" s="216" t="n">
        <v>39.5</v>
      </c>
      <c r="C14887" s="216" t="n">
        <v>45.37</v>
      </c>
      <c r="D14887" s="216" t="n">
        <v>1.087713956832886</v>
      </c>
      <c r="E14887" s="215" t="n">
        <v>45804</v>
      </c>
      <c r="F14887" s="215" t="n">
        <v>45804</v>
      </c>
    </row>
    <row r="14888">
      <c r="A14888" s="215" t="n">
        <v>45805</v>
      </c>
      <c r="B14888" s="216" t="n">
        <v>40.2</v>
      </c>
      <c r="C14888" s="216" t="n">
        <v>46.68</v>
      </c>
      <c r="D14888" s="216" t="n">
        <v>1.087921977043152</v>
      </c>
      <c r="E14888" s="215" t="n">
        <v>45805</v>
      </c>
      <c r="F14888" s="215" t="n">
        <v>45805</v>
      </c>
    </row>
    <row r="14889">
      <c r="A14889" s="215" t="n">
        <v>45806</v>
      </c>
      <c r="B14889" s="216" t="n">
        <v>41.7</v>
      </c>
      <c r="C14889" s="216" t="n">
        <v>46.52</v>
      </c>
      <c r="D14889" s="216" t="n">
        <v>1.087334990501404</v>
      </c>
      <c r="E14889" s="215" t="n">
        <v>45806</v>
      </c>
      <c r="F14889" s="215" t="n">
        <v>45806</v>
      </c>
    </row>
    <row r="14890">
      <c r="A14890" s="215" t="n">
        <v>45807</v>
      </c>
      <c r="B14890" s="216" t="n">
        <v>40.9</v>
      </c>
      <c r="C14890" s="216" t="n">
        <v>46.15</v>
      </c>
      <c r="D14890" s="216" t="n">
        <v>1.088281989097595</v>
      </c>
      <c r="E14890" s="215" t="n">
        <v>45807</v>
      </c>
      <c r="F14890" s="215" t="n">
        <v>45807</v>
      </c>
    </row>
    <row r="14891">
      <c r="A14891" s="215" t="n">
        <v>45810</v>
      </c>
      <c r="B14891" s="216" t="n">
        <v>40.2</v>
      </c>
      <c r="C14891" s="216" t="n">
        <v>46.15</v>
      </c>
      <c r="D14891" s="216" t="n">
        <v>1.088839054107666</v>
      </c>
      <c r="E14891" s="215" t="n">
        <v>45807</v>
      </c>
      <c r="F14891" s="215" t="n">
        <v>45810</v>
      </c>
    </row>
    <row r="14892">
      <c r="A14892" s="215" t="n">
        <v>45811</v>
      </c>
      <c r="B14892" s="216" t="n">
        <v>42.6</v>
      </c>
      <c r="C14892" s="216" t="n">
        <v>47.92</v>
      </c>
      <c r="D14892" s="216" t="n">
        <v>1.098875999450684</v>
      </c>
      <c r="E14892" s="215" t="n">
        <v>45811</v>
      </c>
      <c r="F14892" s="215" t="n">
        <v>45811</v>
      </c>
    </row>
    <row r="14893">
      <c r="A14893" s="215" t="n">
        <v>45812</v>
      </c>
      <c r="B14893" s="216" t="n">
        <v>42.8</v>
      </c>
      <c r="C14893" s="216" t="n">
        <v>47.25</v>
      </c>
      <c r="D14893" s="216" t="n">
        <v>1.092406988143921</v>
      </c>
      <c r="E14893" s="215" t="n">
        <v>45812</v>
      </c>
      <c r="F14893" s="215" t="n">
        <v>45812</v>
      </c>
    </row>
    <row r="14894">
      <c r="A14894" s="215" t="n">
        <v>45813</v>
      </c>
      <c r="B14894" s="216" t="n">
        <v>44.05</v>
      </c>
      <c r="C14894" s="216" t="n">
        <v>47.38</v>
      </c>
      <c r="D14894" s="216" t="n">
        <v>1.095829010009766</v>
      </c>
      <c r="E14894" s="215" t="n">
        <v>45813</v>
      </c>
      <c r="F14894" s="215" t="n">
        <v>45813</v>
      </c>
    </row>
    <row r="14895">
      <c r="A14895" s="215" t="n">
        <v>45814</v>
      </c>
      <c r="B14895" s="216" t="n">
        <v>43.25</v>
      </c>
      <c r="C14895" s="216" t="n">
        <v>46.9</v>
      </c>
      <c r="D14895" s="216" t="n">
        <v>1.093296051025391</v>
      </c>
      <c r="E14895" s="215" t="n">
        <v>45814</v>
      </c>
      <c r="F14895" s="215" t="n">
        <v>45814</v>
      </c>
    </row>
    <row r="14896">
      <c r="A14896" s="215" t="n">
        <v>45817</v>
      </c>
      <c r="B14896" s="216" t="n">
        <v>42.3</v>
      </c>
      <c r="C14896" s="216" t="n">
        <v>46.78</v>
      </c>
      <c r="D14896" s="216" t="n">
        <v>1.091297030448914</v>
      </c>
      <c r="E14896" s="215" t="n">
        <v>45817</v>
      </c>
      <c r="F14896" s="215" t="n">
        <v>45817</v>
      </c>
    </row>
    <row r="14897">
      <c r="A14897" s="215" t="n">
        <v>45818</v>
      </c>
      <c r="B14897" s="216" t="n">
        <v>42.2</v>
      </c>
      <c r="C14897" s="216" t="n">
        <v>46.44</v>
      </c>
      <c r="D14897" s="216" t="n">
        <v>1.092790007591248</v>
      </c>
      <c r="E14897" s="215" t="n">
        <v>45818</v>
      </c>
      <c r="F14897" s="215" t="n">
        <v>45818</v>
      </c>
    </row>
    <row r="14898">
      <c r="A14898" s="215" t="n">
        <v>45819</v>
      </c>
      <c r="B14898" s="216" t="n">
        <v>42.2</v>
      </c>
      <c r="C14898" s="216" t="n">
        <v>46.9</v>
      </c>
      <c r="D14898" s="216" t="n">
        <v>1.092836976051331</v>
      </c>
      <c r="E14898" s="215" t="n">
        <v>45819</v>
      </c>
      <c r="F14898" s="215" t="n">
        <v>45819</v>
      </c>
    </row>
    <row r="14899">
      <c r="A14899" s="215" t="n">
        <v>45820</v>
      </c>
      <c r="B14899" s="216" t="n">
        <v>44.8</v>
      </c>
      <c r="C14899" s="216" t="n">
        <v>48.78</v>
      </c>
      <c r="D14899" s="216" t="n">
        <v>1.090999960899353</v>
      </c>
      <c r="E14899" s="215" t="n">
        <v>45820</v>
      </c>
      <c r="F14899" s="215" t="n">
        <v>45820</v>
      </c>
    </row>
    <row r="14900">
      <c r="A14900" s="215" t="n">
        <v>45821</v>
      </c>
      <c r="B14900" s="216" t="n">
        <v>45</v>
      </c>
      <c r="C14900" s="216" t="n">
        <v>48.99</v>
      </c>
      <c r="D14900" s="216" t="n">
        <v>1.091084957122803</v>
      </c>
      <c r="E14900" s="215" t="n">
        <v>45821</v>
      </c>
      <c r="F14900" s="215" t="n">
        <v>45821</v>
      </c>
    </row>
    <row r="14901">
      <c r="A14901" s="215" t="n">
        <v>45824</v>
      </c>
      <c r="B14901" s="216" t="n">
        <v>46.8</v>
      </c>
      <c r="C14901" s="216" t="n">
        <v>49.8</v>
      </c>
      <c r="D14901" s="216" t="n">
        <v>1.092895984649658</v>
      </c>
      <c r="E14901" s="215" t="n">
        <v>45824</v>
      </c>
      <c r="F14901" s="215" t="n">
        <v>45824</v>
      </c>
    </row>
    <row r="14902">
      <c r="A14902" s="215" t="n">
        <v>45825</v>
      </c>
      <c r="B14902" s="216" t="n">
        <v>45.9</v>
      </c>
      <c r="C14902" s="216" t="n">
        <v>49.68</v>
      </c>
      <c r="D14902" s="216" t="n">
        <v>1.093256950378418</v>
      </c>
      <c r="E14902" s="215" t="n">
        <v>45825</v>
      </c>
      <c r="F14902" s="215" t="n">
        <v>45825</v>
      </c>
    </row>
    <row r="14903">
      <c r="A14903" s="215" t="n">
        <v>45826</v>
      </c>
      <c r="B14903" s="216" t="n">
        <v>46.55</v>
      </c>
      <c r="C14903" s="216" t="n">
        <v>50.15</v>
      </c>
      <c r="D14903" s="216" t="n">
        <v>1.092421054840088</v>
      </c>
      <c r="E14903" s="215" t="n">
        <v>45826</v>
      </c>
      <c r="F14903" s="215" t="n">
        <v>45826</v>
      </c>
    </row>
    <row r="14904">
      <c r="A14904" s="215" t="n">
        <v>45827</v>
      </c>
      <c r="B14904" s="216" t="n">
        <v>45.2</v>
      </c>
      <c r="C14904" s="216" t="n">
        <v>49.16</v>
      </c>
      <c r="D14904" s="216" t="n">
        <v>1.091722011566162</v>
      </c>
      <c r="E14904" s="215" t="n">
        <v>45827</v>
      </c>
      <c r="F14904" s="215" t="n">
        <v>45827</v>
      </c>
    </row>
    <row r="14905">
      <c r="A14905" s="215" t="n">
        <v>45828</v>
      </c>
      <c r="B14905" s="216" t="n">
        <v>46</v>
      </c>
      <c r="C14905" s="216" t="n">
        <v>50.65</v>
      </c>
      <c r="D14905" s="216" t="n">
        <v>1.091766953468323</v>
      </c>
      <c r="E14905" s="215" t="n">
        <v>45828</v>
      </c>
      <c r="F14905" s="215" t="n">
        <v>45828</v>
      </c>
    </row>
    <row r="14906">
      <c r="A14906" s="215" t="n">
        <v>45831</v>
      </c>
      <c r="B14906" s="216" t="n">
        <v>46.1</v>
      </c>
      <c r="C14906" s="216" t="n">
        <v>49.9</v>
      </c>
      <c r="D14906" s="216" t="n">
        <v>1.091856002807617</v>
      </c>
      <c r="E14906" s="215" t="n">
        <v>45831</v>
      </c>
      <c r="F14906" s="215" t="n">
        <v>45831</v>
      </c>
    </row>
    <row r="14907">
      <c r="A14907" s="215" t="n">
        <v>45832</v>
      </c>
      <c r="B14907" s="216" t="n">
        <v>46.6</v>
      </c>
      <c r="C14907" s="216" t="n">
        <v>50.7</v>
      </c>
      <c r="D14907" s="216" t="n">
        <v>1.093309044837952</v>
      </c>
      <c r="E14907" s="215" t="n">
        <v>45832</v>
      </c>
      <c r="F14907" s="215" t="n">
        <v>45832</v>
      </c>
    </row>
    <row r="14908">
      <c r="A14908" s="215" t="n">
        <v>45833</v>
      </c>
      <c r="B14908" s="216" t="n">
        <v>46.2</v>
      </c>
      <c r="C14908" s="216" t="n">
        <v>50.29</v>
      </c>
      <c r="D14908" s="216" t="n">
        <v>1.094483971595764</v>
      </c>
      <c r="E14908" s="215" t="n">
        <v>45833</v>
      </c>
      <c r="F14908" s="215" t="n">
        <v>45833</v>
      </c>
    </row>
    <row r="14909">
      <c r="A14909" s="215" t="n">
        <v>45834</v>
      </c>
      <c r="B14909" s="216" t="n">
        <v>44.3</v>
      </c>
      <c r="C14909" s="216" t="n">
        <v>49.15</v>
      </c>
      <c r="D14909" s="216" t="n">
        <v>1.093523025512695</v>
      </c>
      <c r="E14909" s="215" t="n">
        <v>45834</v>
      </c>
      <c r="F14909" s="215" t="n">
        <v>45834</v>
      </c>
    </row>
    <row r="14910">
      <c r="A14910" s="215" t="n">
        <v>45835</v>
      </c>
      <c r="B14910" s="216" t="n">
        <v>44.5</v>
      </c>
      <c r="C14910" s="216" t="n">
        <v>48.69</v>
      </c>
      <c r="D14910" s="216" t="n">
        <v>1.095173001289368</v>
      </c>
      <c r="E14910" s="215" t="n">
        <v>45835</v>
      </c>
      <c r="F14910" s="215" t="n">
        <v>45835</v>
      </c>
    </row>
    <row r="14911">
      <c r="A14911" s="215" t="n">
        <v>45838</v>
      </c>
      <c r="B14911" s="216" t="n">
        <v>45.2</v>
      </c>
      <c r="C14911" s="216" t="n">
        <v>48.76</v>
      </c>
      <c r="D14911" s="216" t="n">
        <v>1.094328045845032</v>
      </c>
      <c r="E14911" s="215" t="n">
        <v>45838</v>
      </c>
      <c r="F14911" s="215" t="n">
        <v>45838</v>
      </c>
    </row>
    <row r="14912">
      <c r="A14912" s="215" t="n">
        <v>45840</v>
      </c>
      <c r="B14912" s="216" t="n">
        <v>43.9</v>
      </c>
      <c r="C14912" s="216" t="n">
        <v>48.27</v>
      </c>
      <c r="D14912" s="216" t="n">
        <v>1.095211982727051</v>
      </c>
      <c r="E14912" s="215" t="n">
        <v>45840</v>
      </c>
      <c r="F14912" s="215" t="n">
        <v>45840</v>
      </c>
    </row>
    <row r="14913">
      <c r="A14913" s="215" t="n">
        <v>45841</v>
      </c>
      <c r="B14913" s="216" t="n">
        <v>43.8</v>
      </c>
      <c r="C14913" s="216" t="n">
        <v>47.45</v>
      </c>
      <c r="D14913" s="216" t="n">
        <v>1.095422029495239</v>
      </c>
      <c r="E14913" s="215" t="n">
        <v>45841</v>
      </c>
      <c r="F14913" s="215" t="n">
        <v>45841</v>
      </c>
    </row>
    <row r="14914">
      <c r="A14914" s="215" t="n">
        <v>45842</v>
      </c>
      <c r="B14914" s="216" t="n">
        <v>43.85</v>
      </c>
      <c r="C14914" s="216" t="n">
        <v>47.91</v>
      </c>
      <c r="D14914" s="216" t="n">
        <v>1.095221042633057</v>
      </c>
      <c r="E14914" s="215" t="n">
        <v>45842</v>
      </c>
      <c r="F14914" s="215" t="n">
        <v>45842</v>
      </c>
    </row>
    <row r="14915">
      <c r="A14915" s="215" t="n">
        <v>45845</v>
      </c>
      <c r="B14915" s="216" t="n">
        <v>43.2</v>
      </c>
      <c r="C14915" s="216" t="n">
        <v>47.76</v>
      </c>
      <c r="D14915" s="216" t="n">
        <v>1.095430970191956</v>
      </c>
      <c r="E14915" s="215" t="n">
        <v>45845</v>
      </c>
      <c r="F14915" s="215" t="n">
        <v>45845</v>
      </c>
    </row>
    <row r="14916">
      <c r="A14916" s="215" t="n">
        <v>45846</v>
      </c>
      <c r="B14916" s="216" t="n">
        <v>42.6</v>
      </c>
      <c r="C14916" s="216" t="n">
        <v>47.73</v>
      </c>
      <c r="D14916" s="216" t="n">
        <v>1.093924999237061</v>
      </c>
      <c r="E14916" s="215" t="n">
        <v>45846</v>
      </c>
      <c r="F14916" s="215" t="n">
        <v>45846</v>
      </c>
    </row>
    <row r="14917">
      <c r="A14917" s="215" t="n">
        <v>45847</v>
      </c>
      <c r="B14917" s="216" t="n">
        <v>42.7</v>
      </c>
      <c r="C14917" s="216" t="n">
        <v>47.67</v>
      </c>
      <c r="D14917" s="216" t="n">
        <v>1.094220995903015</v>
      </c>
      <c r="E14917" s="215" t="n">
        <v>45847</v>
      </c>
      <c r="F14917" s="215" t="n">
        <v>45847</v>
      </c>
    </row>
    <row r="14918">
      <c r="A14918" s="215" t="n">
        <v>45848</v>
      </c>
      <c r="B14918" s="216" t="n">
        <v>43.2</v>
      </c>
      <c r="C14918" s="216" t="n">
        <v>48.15</v>
      </c>
      <c r="D14918" s="216" t="n">
        <v>1.093220949172974</v>
      </c>
      <c r="E14918" s="215" t="n">
        <v>45848</v>
      </c>
      <c r="F14918" s="215" t="n">
        <v>45848</v>
      </c>
    </row>
    <row r="14919">
      <c r="A14919" s="215" t="n">
        <v>45849</v>
      </c>
      <c r="B14919" s="216" t="n">
        <v>42.45</v>
      </c>
      <c r="C14919" s="216" t="n">
        <v>47.35</v>
      </c>
      <c r="D14919" s="216" t="n">
        <v>1.093930959701538</v>
      </c>
      <c r="E14919" s="215" t="n">
        <v>45849</v>
      </c>
      <c r="F14919" s="215" t="n">
        <v>45849</v>
      </c>
    </row>
    <row r="14920">
      <c r="A14920" s="215" t="n">
        <v>45852</v>
      </c>
      <c r="B14920" s="216" t="n">
        <v>43.6</v>
      </c>
      <c r="C14920" s="216" t="n">
        <v>47.48</v>
      </c>
      <c r="D14920" s="216" t="n">
        <v>1.095023989677429</v>
      </c>
      <c r="E14920" s="215" t="n">
        <v>45852</v>
      </c>
      <c r="F14920" s="215" t="n">
        <v>45852</v>
      </c>
    </row>
    <row r="14921">
      <c r="A14921" s="215" t="n">
        <v>45853</v>
      </c>
      <c r="B14921" s="216" t="n">
        <v>43</v>
      </c>
      <c r="C14921" s="216" t="n">
        <v>46.96</v>
      </c>
      <c r="D14921" s="216" t="n">
        <v>1.095172047615051</v>
      </c>
      <c r="E14921" s="215" t="n">
        <v>45853</v>
      </c>
      <c r="F14921" s="215" t="n">
        <v>45853</v>
      </c>
    </row>
    <row r="14922">
      <c r="A14922" s="215" t="n">
        <v>45854</v>
      </c>
      <c r="B14922" s="216" t="n">
        <v>42.75</v>
      </c>
      <c r="C14922" s="216" t="n">
        <v>47.04</v>
      </c>
      <c r="D14922" s="216" t="n">
        <v>1.094182014465332</v>
      </c>
      <c r="E14922" s="215" t="n">
        <v>45854</v>
      </c>
      <c r="F14922" s="215" t="n">
        <v>45854</v>
      </c>
    </row>
    <row r="14923">
      <c r="A14923" s="215" t="n">
        <v>45855</v>
      </c>
      <c r="B14923" s="216" t="n">
        <v>42.1</v>
      </c>
      <c r="C14923" s="216" t="n">
        <v>46.36</v>
      </c>
      <c r="D14923" s="216" t="n">
        <v>1.093484044075012</v>
      </c>
      <c r="E14923" s="215" t="n">
        <v>45855</v>
      </c>
      <c r="F14923" s="215" t="n">
        <v>45855</v>
      </c>
    </row>
    <row r="14924">
      <c r="A14924" s="215" t="n">
        <v>45856</v>
      </c>
      <c r="B14924" s="216" t="n">
        <v>43.4</v>
      </c>
      <c r="C14924" s="216" t="n">
        <v>47.71</v>
      </c>
      <c r="D14924" s="216" t="n">
        <v>1.092442035675049</v>
      </c>
      <c r="E14924" s="215" t="n">
        <v>45856</v>
      </c>
      <c r="F14924" s="215" t="n">
        <v>45856</v>
      </c>
    </row>
    <row r="14925">
      <c r="A14925" s="215" t="n">
        <v>45859</v>
      </c>
      <c r="B14925" s="216" t="n">
        <v>44.25</v>
      </c>
      <c r="C14925" s="216" t="n">
        <v>47.6</v>
      </c>
      <c r="D14925" s="216" t="n">
        <v>1.093299984931946</v>
      </c>
      <c r="E14925" s="215" t="n">
        <v>45859</v>
      </c>
      <c r="F14925" s="215" t="n">
        <v>45859</v>
      </c>
    </row>
    <row r="14926">
      <c r="A14926" s="215" t="n">
        <v>45860</v>
      </c>
      <c r="B14926" s="216" t="n">
        <v>44.2</v>
      </c>
      <c r="C14926" s="216" t="n">
        <v>47.76</v>
      </c>
      <c r="D14926" s="216" t="n">
        <v>1.093826055526733</v>
      </c>
      <c r="E14926" s="215" t="n">
        <v>45860</v>
      </c>
      <c r="F14926" s="215" t="n">
        <v>45860</v>
      </c>
    </row>
    <row r="14927">
      <c r="A14927" s="215" t="n">
        <v>45861</v>
      </c>
      <c r="B14927" s="216" t="n">
        <v>44.4</v>
      </c>
      <c r="C14927" s="216" t="n">
        <v>47.63</v>
      </c>
      <c r="D14927" s="216" t="n">
        <v>1.094056010246277</v>
      </c>
      <c r="E14927" s="215" t="n">
        <v>45861</v>
      </c>
      <c r="F14927" s="215" t="n">
        <v>45861</v>
      </c>
    </row>
    <row r="14928">
      <c r="A14928" s="215" t="n">
        <v>45862</v>
      </c>
      <c r="B14928" s="216" t="n">
        <v>45</v>
      </c>
      <c r="C14928" s="216" t="n">
        <v>47.82</v>
      </c>
      <c r="D14928" s="216" t="n">
        <v>1.096284031867981</v>
      </c>
      <c r="E14928" s="215" t="n">
        <v>45862</v>
      </c>
      <c r="F14928" s="215" t="n">
        <v>45862</v>
      </c>
    </row>
    <row r="14929">
      <c r="A14929" s="215" t="n">
        <v>45863</v>
      </c>
      <c r="B14929" s="216" t="n">
        <v>45.75</v>
      </c>
      <c r="C14929" s="216" t="n">
        <v>47.95</v>
      </c>
      <c r="D14929" s="216" t="n">
        <v>1.097048044204712</v>
      </c>
      <c r="E14929" s="215" t="n">
        <v>45863</v>
      </c>
      <c r="F14929" s="215" t="n">
        <v>45863</v>
      </c>
    </row>
    <row r="14930">
      <c r="A14930" s="215" t="n">
        <v>45866</v>
      </c>
      <c r="B14930" s="216" t="n">
        <v>44.7</v>
      </c>
      <c r="C14930" s="216" t="n">
        <v>47.58</v>
      </c>
      <c r="D14930" s="216" t="n">
        <v>1.097200989723206</v>
      </c>
      <c r="E14930" s="215" t="n">
        <v>45866</v>
      </c>
      <c r="F14930" s="215" t="n">
        <v>45866</v>
      </c>
    </row>
    <row r="14931">
      <c r="A14931" s="215" t="n">
        <v>45867</v>
      </c>
      <c r="B14931" s="216" t="n">
        <v>45.45</v>
      </c>
      <c r="C14931" s="216" t="n">
        <v>47.49</v>
      </c>
      <c r="D14931" s="216" t="n">
        <v>1.093530058860779</v>
      </c>
      <c r="E14931" s="215" t="n">
        <v>45867</v>
      </c>
      <c r="F14931" s="215" t="n">
        <v>45867</v>
      </c>
    </row>
    <row r="14932">
      <c r="A14932" s="215" t="n">
        <v>45868</v>
      </c>
      <c r="B14932" s="216" t="n">
        <v>44.25</v>
      </c>
      <c r="C14932" s="216" t="n">
        <v>47.68</v>
      </c>
      <c r="D14932" s="216" t="n">
        <v>1.093464970588684</v>
      </c>
      <c r="E14932" s="215" t="n">
        <v>45868</v>
      </c>
      <c r="F14932" s="215" t="n">
        <v>45868</v>
      </c>
    </row>
    <row r="14933">
      <c r="A14933" s="215" t="n">
        <v>45869</v>
      </c>
      <c r="B14933" s="216" t="n">
        <v>43.7</v>
      </c>
      <c r="C14933" s="216" t="n">
        <v>46</v>
      </c>
      <c r="D14933" s="216" t="n">
        <v>1.093583941459656</v>
      </c>
      <c r="E14933" s="215" t="n">
        <v>45869</v>
      </c>
      <c r="F14933" s="215" t="n">
        <v>45869</v>
      </c>
    </row>
    <row r="14934">
      <c r="A14934" s="215" t="n">
        <v>45870</v>
      </c>
      <c r="B14934" s="216" t="n">
        <v>43.9</v>
      </c>
      <c r="C14934" s="216" t="n">
        <v>46.17</v>
      </c>
      <c r="D14934" s="216" t="n">
        <v>1.090090990066528</v>
      </c>
      <c r="E14934" s="215" t="n">
        <v>45870</v>
      </c>
      <c r="F14934" s="215" t="n">
        <v>45870</v>
      </c>
    </row>
    <row r="14935">
      <c r="A14935" s="215" t="n">
        <v>45873</v>
      </c>
      <c r="B14935" s="216" t="n">
        <v>44.12</v>
      </c>
      <c r="C14935" s="216" t="n">
        <v>46.44</v>
      </c>
      <c r="D14935" s="216" t="n">
        <v>1.088384985923767</v>
      </c>
      <c r="E14935" s="215" t="n">
        <v>45873</v>
      </c>
      <c r="F14935" s="215" t="n">
        <v>45873</v>
      </c>
    </row>
    <row r="14936">
      <c r="A14936" s="215" t="n">
        <v>45874</v>
      </c>
      <c r="B14936" s="216" t="n">
        <v>44.14</v>
      </c>
      <c r="C14936" s="216" t="n">
        <v>46.6</v>
      </c>
      <c r="D14936" s="216" t="n">
        <v>1.093202948570251</v>
      </c>
      <c r="E14936" s="215" t="n">
        <v>45874</v>
      </c>
      <c r="F14936" s="215" t="n">
        <v>45874</v>
      </c>
    </row>
    <row r="14937">
      <c r="A14937" s="215" t="n">
        <v>45875</v>
      </c>
      <c r="B14937" s="216" t="n">
        <v>43.66</v>
      </c>
      <c r="C14937" s="216" t="n">
        <v>46.42</v>
      </c>
      <c r="D14937" s="216" t="n">
        <v>1.092388987541199</v>
      </c>
      <c r="E14937" s="215" t="n">
        <v>45875</v>
      </c>
      <c r="F14937" s="215" t="n">
        <v>45875</v>
      </c>
    </row>
    <row r="14938">
      <c r="A14938" s="215" t="n">
        <v>45876</v>
      </c>
      <c r="B14938" s="216" t="n">
        <v>44.52</v>
      </c>
      <c r="C14938" s="216" t="n">
        <v>47.12</v>
      </c>
      <c r="D14938" s="216" t="n">
        <v>1.092599034309387</v>
      </c>
      <c r="E14938" s="215" t="n">
        <v>45876</v>
      </c>
      <c r="F14938" s="215" t="n">
        <v>45876</v>
      </c>
    </row>
    <row r="14939">
      <c r="A14939" s="215" t="n">
        <v>45877</v>
      </c>
      <c r="B14939" s="216" t="n">
        <v>45.68</v>
      </c>
      <c r="C14939" s="216" t="n">
        <v>47.58</v>
      </c>
      <c r="D14939" s="216" t="n">
        <v>1.092857956886292</v>
      </c>
      <c r="E14939" s="215" t="n">
        <v>45877</v>
      </c>
      <c r="F14939" s="215" t="n">
        <v>45877</v>
      </c>
    </row>
    <row r="14940">
      <c r="A14940" s="215" t="n">
        <v>45880</v>
      </c>
      <c r="B14940" s="216" t="n">
        <v>45.38</v>
      </c>
      <c r="C14940" s="216" t="n">
        <v>47.1</v>
      </c>
      <c r="D14940" s="216" t="n">
        <v>1.093001961708069</v>
      </c>
      <c r="E14940" s="215" t="n">
        <v>45880</v>
      </c>
      <c r="F14940" s="215" t="n">
        <v>45880</v>
      </c>
    </row>
    <row r="14941">
      <c r="A14941" s="215" t="n">
        <v>45881</v>
      </c>
      <c r="B14941" s="216" t="n">
        <v>45.26</v>
      </c>
      <c r="C14941" s="216" t="n">
        <v>46.88</v>
      </c>
      <c r="D14941" s="216" t="n">
        <v>1.091938018798828</v>
      </c>
      <c r="E14941" s="215" t="n">
        <v>45881</v>
      </c>
      <c r="F14941" s="215" t="n">
        <v>45881</v>
      </c>
    </row>
    <row r="14942">
      <c r="A14942" s="215" t="n">
        <v>45882</v>
      </c>
      <c r="B14942" s="216" t="n">
        <v>45.22</v>
      </c>
      <c r="C14942" s="216" t="n">
        <v>46.8</v>
      </c>
      <c r="D14942" s="216" t="n">
        <v>1.093171000480652</v>
      </c>
      <c r="E14942" s="215" t="n">
        <v>45882</v>
      </c>
      <c r="F14942" s="215" t="n">
        <v>45882</v>
      </c>
    </row>
    <row r="14943">
      <c r="A14943" s="215" t="n">
        <v>45883</v>
      </c>
      <c r="B14943" s="216" t="n">
        <v>45.48</v>
      </c>
      <c r="C14943" s="216" t="n">
        <v>46.7</v>
      </c>
      <c r="D14943" s="216" t="n">
        <v>1.093981027603149</v>
      </c>
      <c r="E14943" s="215" t="n">
        <v>45883</v>
      </c>
      <c r="F14943" s="215" t="n">
        <v>45883</v>
      </c>
    </row>
    <row r="14944">
      <c r="A14944" s="215" t="n">
        <v>45884</v>
      </c>
      <c r="B14944" s="216" t="n">
        <v>45.1</v>
      </c>
      <c r="C14944" s="216" t="n">
        <v>46.51</v>
      </c>
      <c r="D14944" s="216" t="n">
        <v>1.091035962104797</v>
      </c>
      <c r="E14944" s="215" t="n">
        <v>45884</v>
      </c>
      <c r="F14944" s="215" t="n">
        <v>45884</v>
      </c>
    </row>
    <row r="14945">
      <c r="A14945" s="215" t="n">
        <v>45887</v>
      </c>
      <c r="B14945" s="216" t="n">
        <v>46.14</v>
      </c>
      <c r="C14945" s="216" t="n">
        <v>46.78</v>
      </c>
      <c r="D14945" s="216" t="n">
        <v>1.089409947395325</v>
      </c>
      <c r="E14945" s="215" t="n">
        <v>45887</v>
      </c>
      <c r="F14945" s="215" t="n">
        <v>45887</v>
      </c>
    </row>
    <row r="14946">
      <c r="A14946" s="215" t="n">
        <v>45888</v>
      </c>
      <c r="B14946" s="216" t="n">
        <v>45.28</v>
      </c>
      <c r="C14946" s="216" t="n">
        <v>46.63</v>
      </c>
      <c r="D14946" s="216" t="n">
        <v>1.088366031646729</v>
      </c>
      <c r="E14946" s="215" t="n">
        <v>45888</v>
      </c>
      <c r="F14946" s="215" t="n">
        <v>45888</v>
      </c>
    </row>
    <row r="14947">
      <c r="A14947" s="215" t="n">
        <v>45889</v>
      </c>
      <c r="B14947" s="216" t="n">
        <v>46.12</v>
      </c>
      <c r="C14947" s="216" t="n">
        <v>48</v>
      </c>
      <c r="D14947" s="216" t="n">
        <v>1.085826992988586</v>
      </c>
      <c r="E14947" s="215" t="n">
        <v>45889</v>
      </c>
      <c r="F14947" s="215" t="n">
        <v>45889</v>
      </c>
    </row>
    <row r="14948">
      <c r="A14948" s="215" t="n">
        <v>45890</v>
      </c>
      <c r="B14948" s="216" t="n">
        <v>46.36</v>
      </c>
      <c r="C14948" s="216" t="n">
        <v>48.19</v>
      </c>
      <c r="D14948" s="216" t="n">
        <v>1.088521003723145</v>
      </c>
      <c r="E14948" s="215" t="n">
        <v>45890</v>
      </c>
      <c r="F14948" s="215" t="n">
        <v>45890</v>
      </c>
    </row>
    <row r="14949">
      <c r="A14949" s="215" t="n">
        <v>45891</v>
      </c>
      <c r="B14949" s="216" t="n">
        <v>46.06</v>
      </c>
      <c r="C14949" s="216" t="n">
        <v>47.92</v>
      </c>
      <c r="D14949" s="216" t="n">
        <v>1.08814001083374</v>
      </c>
      <c r="E14949" s="215" t="n">
        <v>45891</v>
      </c>
      <c r="F14949" s="215" t="n">
        <v>45891</v>
      </c>
    </row>
    <row r="14950">
      <c r="A14950" s="215" t="n">
        <v>45894</v>
      </c>
      <c r="B14950" s="216" t="n">
        <v>45.5</v>
      </c>
      <c r="C14950" s="216" t="n">
        <v>48.34</v>
      </c>
      <c r="D14950" s="216" t="n">
        <v>1.090230941772461</v>
      </c>
      <c r="E14950" s="215" t="n">
        <v>45894</v>
      </c>
      <c r="F14950" s="215" t="n">
        <v>45894</v>
      </c>
    </row>
    <row r="14951">
      <c r="A14951" s="215" t="n">
        <v>45895</v>
      </c>
      <c r="B14951" s="216" t="n">
        <v>45.98</v>
      </c>
      <c r="C14951" s="216" t="n">
        <v>48.96</v>
      </c>
      <c r="D14951" s="216" t="n">
        <v>1.09236204624176</v>
      </c>
      <c r="E14951" s="215" t="n">
        <v>45895</v>
      </c>
      <c r="F14951" s="215" t="n">
        <v>45895</v>
      </c>
    </row>
    <row r="14952">
      <c r="A14952" s="215" t="n">
        <v>45896</v>
      </c>
      <c r="B14952" s="216" t="n">
        <v>44.7</v>
      </c>
      <c r="C14952" s="216" t="n">
        <v>47.91</v>
      </c>
      <c r="D14952" s="216" t="n">
        <v>1.089414000511169</v>
      </c>
      <c r="E14952" s="215" t="n">
        <v>45896</v>
      </c>
      <c r="F14952" s="215" t="n">
        <v>45896</v>
      </c>
    </row>
    <row r="14953">
      <c r="A14953" s="215" t="n">
        <v>45897</v>
      </c>
      <c r="B14953" s="216" t="n">
        <v>45.26</v>
      </c>
      <c r="C14953" s="216" t="n">
        <v>48.4</v>
      </c>
      <c r="D14953" s="216" t="n">
        <v>1.088047027587891</v>
      </c>
      <c r="E14953" s="215" t="n">
        <v>45897</v>
      </c>
      <c r="F14953" s="215" t="n">
        <v>45897</v>
      </c>
    </row>
    <row r="14954">
      <c r="A14954" s="215" t="n">
        <v>45898</v>
      </c>
      <c r="B14954" s="216" t="n">
        <v>40</v>
      </c>
      <c r="C14954" s="216" t="n">
        <v>44.57</v>
      </c>
      <c r="D14954" s="216" t="n">
        <v>1.089478969573975</v>
      </c>
      <c r="E14954" s="215" t="n">
        <v>45898</v>
      </c>
      <c r="F14954" s="215" t="n">
        <v>45898</v>
      </c>
    </row>
    <row r="14955">
      <c r="A14955" s="215" t="n">
        <v>45901</v>
      </c>
      <c r="B14955" s="216" t="n">
        <v>39.42</v>
      </c>
      <c r="C14955" s="216" t="n">
        <v>42.8</v>
      </c>
      <c r="D14955" s="216" t="n">
        <v>1.09319794178009</v>
      </c>
      <c r="E14955" s="215" t="n">
        <v>45901</v>
      </c>
      <c r="F14955" s="215" t="n">
        <v>45901</v>
      </c>
    </row>
    <row r="14956">
      <c r="A14956" s="215" t="n">
        <v>45902</v>
      </c>
      <c r="B14956" s="216" t="n">
        <v>38.22</v>
      </c>
      <c r="C14956" s="216" t="n">
        <v>41.82</v>
      </c>
      <c r="D14956" s="216" t="n">
        <v>1.093255043029785</v>
      </c>
      <c r="E14956" s="215" t="n">
        <v>45902</v>
      </c>
      <c r="F14956" s="215" t="n">
        <v>45902</v>
      </c>
    </row>
    <row r="14957">
      <c r="A14957" s="215" t="n">
        <v>45903</v>
      </c>
      <c r="B14957" s="216" t="n">
        <v>38.88</v>
      </c>
      <c r="C14957" s="216" t="n">
        <v>42.03</v>
      </c>
      <c r="D14957" s="216" t="n">
        <v>1.09343695640564</v>
      </c>
      <c r="E14957" s="215" t="n">
        <v>45903</v>
      </c>
      <c r="F14957" s="215" t="n">
        <v>45903</v>
      </c>
    </row>
    <row r="14958">
      <c r="A14958" s="215" t="n">
        <v>45904</v>
      </c>
      <c r="B14958" s="216" t="n">
        <v>38.7</v>
      </c>
      <c r="C14958" s="216" t="n">
        <v>41.72</v>
      </c>
      <c r="D14958" s="216" t="n">
        <v>1.092192053794861</v>
      </c>
      <c r="E14958" s="215" t="n">
        <v>45904</v>
      </c>
      <c r="F14958" s="215" t="n">
        <v>45904</v>
      </c>
    </row>
    <row r="14959">
      <c r="A14959" s="215" t="n">
        <v>45905</v>
      </c>
      <c r="B14959" s="216" t="n">
        <v>38.96</v>
      </c>
      <c r="C14959" s="216" t="n">
        <v>42.02</v>
      </c>
      <c r="D14959" s="216" t="n">
        <v>1.092169046401978</v>
      </c>
      <c r="E14959" s="215" t="n">
        <v>45905</v>
      </c>
      <c r="F14959" s="215" t="n">
        <v>45905</v>
      </c>
    </row>
    <row r="14960">
      <c r="A14960" s="215" t="n">
        <v>45908</v>
      </c>
      <c r="B14960" s="216" t="n">
        <v>40.12</v>
      </c>
      <c r="C14960" s="216" t="n">
        <v>42.58</v>
      </c>
      <c r="D14960" s="216" t="n">
        <v>1.093217015266418</v>
      </c>
      <c r="E14960" s="215" t="n">
        <v>45908</v>
      </c>
      <c r="F14960" s="215" t="n">
        <v>45908</v>
      </c>
    </row>
    <row r="14961">
      <c r="A14961" s="215" t="n">
        <v>45909</v>
      </c>
      <c r="B14961" s="216" t="n">
        <v>39.12</v>
      </c>
      <c r="C14961" s="216" t="n">
        <v>42.08</v>
      </c>
      <c r="D14961" s="216" t="n">
        <v>1.092916965484619</v>
      </c>
      <c r="E14961" s="215" t="n">
        <v>45909</v>
      </c>
      <c r="F14961" s="215" t="n">
        <v>45909</v>
      </c>
    </row>
    <row r="14962">
      <c r="A14962" s="215" t="n">
        <v>45910</v>
      </c>
      <c r="B14962" s="216" t="n">
        <v>38.96</v>
      </c>
      <c r="C14962" s="216" t="n">
        <v>42.08</v>
      </c>
      <c r="D14962" s="216" t="n">
        <v>1.093482971191406</v>
      </c>
      <c r="E14962" s="215" t="n">
        <v>45910</v>
      </c>
      <c r="F14962" s="215" t="n">
        <v>45910</v>
      </c>
    </row>
    <row r="14963">
      <c r="A14963" s="215" t="n">
        <v>45911</v>
      </c>
      <c r="B14963" s="216" t="n">
        <v>38.5</v>
      </c>
      <c r="C14963" s="216" t="n">
        <v>41.94</v>
      </c>
      <c r="D14963" s="216" t="n">
        <v>1.093762993812561</v>
      </c>
      <c r="E14963" s="215" t="n">
        <v>45911</v>
      </c>
      <c r="F14963" s="215" t="n">
        <v>45911</v>
      </c>
    </row>
    <row r="14964">
      <c r="A14964" s="215" t="n">
        <v>45912</v>
      </c>
      <c r="B14964" s="216" t="n">
        <v>38.06</v>
      </c>
      <c r="C14964" s="216" t="n">
        <v>41.72</v>
      </c>
      <c r="D14964" s="216" t="n">
        <v>1.094014048576355</v>
      </c>
      <c r="E14964" s="215" t="n">
        <v>45912</v>
      </c>
      <c r="F14964" s="215" t="n">
        <v>45912</v>
      </c>
    </row>
    <row r="14965">
      <c r="A14965" s="215" t="n">
        <v>45915</v>
      </c>
      <c r="B14965" s="216" t="n">
        <v>38.16</v>
      </c>
      <c r="C14965" s="216" t="n">
        <v>41.66</v>
      </c>
      <c r="D14965" s="216" t="n">
        <v>1.091848969459534</v>
      </c>
      <c r="E14965" s="215" t="n">
        <v>45915</v>
      </c>
      <c r="F14965" s="215" t="n">
        <v>45915</v>
      </c>
    </row>
    <row r="14966">
      <c r="A14966" s="215" t="n">
        <v>45916</v>
      </c>
      <c r="B14966" s="216" t="n">
        <v>38.5</v>
      </c>
      <c r="C14966" s="216" t="n">
        <v>41.19</v>
      </c>
      <c r="D14966" s="216" t="n">
        <v>1.092795968055725</v>
      </c>
      <c r="E14966" s="215" t="n">
        <v>45916</v>
      </c>
      <c r="F14966" s="215" t="n">
        <v>45916</v>
      </c>
    </row>
    <row r="14967">
      <c r="A14967" s="215" t="n">
        <v>45917</v>
      </c>
      <c r="B14967" s="216" t="n">
        <v>38.22</v>
      </c>
      <c r="C14967" s="216" t="n">
        <v>41.07</v>
      </c>
      <c r="D14967" s="216" t="n">
        <v>1.093690991401672</v>
      </c>
      <c r="E14967" s="215" t="n">
        <v>45917</v>
      </c>
      <c r="F14967" s="215" t="n">
        <v>45917</v>
      </c>
    </row>
    <row r="14968">
      <c r="A14968" s="215" t="n">
        <v>45918</v>
      </c>
      <c r="B14968" s="216" t="n">
        <v>38.18</v>
      </c>
      <c r="C14968" s="216" t="n">
        <v>40.53</v>
      </c>
      <c r="D14968" s="216" t="n">
        <v>1.094727993011475</v>
      </c>
      <c r="E14968" s="215" t="n">
        <v>45918</v>
      </c>
      <c r="F14968" s="215" t="n">
        <v>45918</v>
      </c>
    </row>
    <row r="14969">
      <c r="A14969" s="215" t="n">
        <v>45919</v>
      </c>
      <c r="B14969" s="216" t="n">
        <v>37.96</v>
      </c>
      <c r="C14969" s="216" t="n">
        <v>41.08</v>
      </c>
      <c r="D14969" s="216" t="n">
        <v>1.093201994895935</v>
      </c>
      <c r="E14969" s="215" t="n">
        <v>45919</v>
      </c>
      <c r="F14969" s="215" t="n">
        <v>45919</v>
      </c>
    </row>
    <row r="14970">
      <c r="A14970" s="215" t="n">
        <v>45922</v>
      </c>
      <c r="B14970" s="216" t="n">
        <v>37.08</v>
      </c>
      <c r="C14970" s="216" t="n">
        <v>40.32</v>
      </c>
      <c r="D14970" s="216" t="n">
        <v>1.092589020729065</v>
      </c>
      <c r="E14970" s="215" t="n">
        <v>45922</v>
      </c>
      <c r="F14970" s="215" t="n">
        <v>45922</v>
      </c>
    </row>
    <row r="14971">
      <c r="A14971" s="215" t="n">
        <v>45923</v>
      </c>
      <c r="B14971" s="216" t="n">
        <v>36.48</v>
      </c>
      <c r="C14971" s="216" t="n">
        <v>40.06</v>
      </c>
      <c r="D14971" s="216" t="n">
        <v>1.0920250415802</v>
      </c>
      <c r="E14971" s="215" t="n">
        <v>45923</v>
      </c>
      <c r="F14971" s="215" t="n">
        <v>45923</v>
      </c>
    </row>
    <row r="14972">
      <c r="A14972" s="215" t="n">
        <v>45924</v>
      </c>
      <c r="B14972" s="216" t="n">
        <v>36.4</v>
      </c>
      <c r="C14972" s="216" t="n">
        <v>40.39</v>
      </c>
      <c r="D14972" s="216" t="n">
        <v>1.093196988105774</v>
      </c>
      <c r="E14972" s="215" t="n">
        <v>45924</v>
      </c>
      <c r="F14972" s="215" t="n">
        <v>45924</v>
      </c>
    </row>
    <row r="14973">
      <c r="A14973" s="215" t="n">
        <v>45925</v>
      </c>
      <c r="B14973" s="216" t="n">
        <v>36.1</v>
      </c>
      <c r="C14973" s="216" t="n">
        <v>40.08</v>
      </c>
      <c r="D14973" s="216" t="n">
        <v>1.090371012687683</v>
      </c>
      <c r="E14973" s="215" t="n">
        <v>45925</v>
      </c>
      <c r="F14973" s="215" t="n">
        <v>45925</v>
      </c>
    </row>
    <row r="14974">
      <c r="A14974" s="215" t="n">
        <v>45926</v>
      </c>
      <c r="B14974" s="216" t="n">
        <v>35.98</v>
      </c>
      <c r="C14974" s="216" t="n">
        <v>40.07</v>
      </c>
      <c r="D14974" s="216" t="n">
        <v>1.090574979782104</v>
      </c>
      <c r="E14974" s="215" t="n">
        <v>45926</v>
      </c>
      <c r="F14974" s="215" t="n">
        <v>45926</v>
      </c>
    </row>
    <row r="14975">
      <c r="A14975" s="215" t="n">
        <v>45929</v>
      </c>
      <c r="B14975" s="216" t="n">
        <v>36.48</v>
      </c>
      <c r="C14975" s="216" t="n">
        <v>39.99</v>
      </c>
      <c r="D14975" s="216" t="n">
        <v>1.090520024299622</v>
      </c>
      <c r="E14975" s="215" t="n">
        <v>45929</v>
      </c>
      <c r="F14975" s="215" t="n">
        <v>45929</v>
      </c>
    </row>
    <row r="14976">
      <c r="A14976" s="215" t="n">
        <v>45930</v>
      </c>
      <c r="B14976" s="216" t="n">
        <v>37.14</v>
      </c>
      <c r="C14976" s="216" t="n">
        <v>40.33</v>
      </c>
      <c r="D14976" s="216" t="n">
        <v>1.093106031417847</v>
      </c>
      <c r="E14976" s="215" t="n">
        <v>45930</v>
      </c>
      <c r="F14976" s="215" t="n">
        <v>45930</v>
      </c>
    </row>
    <row r="14977">
      <c r="A14977" s="215" t="n">
        <v>45932</v>
      </c>
      <c r="B14977" s="216" t="n">
        <v>36.64</v>
      </c>
      <c r="C14977" s="216" t="n">
        <v>40.33</v>
      </c>
      <c r="D14977" s="216" t="n">
        <v>1.092823028564453</v>
      </c>
      <c r="E14977" s="215" t="n">
        <v>45930</v>
      </c>
      <c r="F14977" s="215" t="n">
        <v>45932</v>
      </c>
    </row>
    <row r="14978">
      <c r="A14978" s="215" t="n">
        <v>45933</v>
      </c>
      <c r="B14978" s="216" t="n">
        <v>36.56</v>
      </c>
      <c r="C14978" s="216" t="n">
        <v>40.33</v>
      </c>
      <c r="D14978" s="216" t="n">
        <v>1.09303605556488</v>
      </c>
      <c r="E14978" s="215" t="n">
        <v>45930</v>
      </c>
      <c r="F14978" s="215" t="n">
        <v>45933</v>
      </c>
    </row>
    <row r="14979">
      <c r="A14979" s="215" t="n">
        <v>45936</v>
      </c>
      <c r="B14979" s="216" t="n">
        <v>36.8</v>
      </c>
      <c r="C14979" s="216" t="n">
        <v>40.33</v>
      </c>
      <c r="D14979" s="216" t="n">
        <v>1.092857956886292</v>
      </c>
      <c r="E14979" s="215" t="n">
        <v>45930</v>
      </c>
      <c r="F14979" s="215" t="n">
        <v>45936</v>
      </c>
    </row>
    <row r="14980">
      <c r="A14980" s="215" t="n">
        <v>45938</v>
      </c>
      <c r="B14980" s="216" t="n">
        <v>36.7</v>
      </c>
      <c r="C14980" s="216" t="n">
        <v>40.33</v>
      </c>
      <c r="D14980" s="216" t="n">
        <v>1.093148946762085</v>
      </c>
      <c r="E14980" s="215" t="n">
        <v>45930</v>
      </c>
      <c r="F14980" s="215" t="n">
        <v>45938</v>
      </c>
    </row>
    <row r="14981">
      <c r="A14981" s="215" t="n">
        <v>45939</v>
      </c>
      <c r="B14981" s="216" t="n">
        <v>37.58</v>
      </c>
      <c r="C14981" s="216" t="n">
        <v>40.45</v>
      </c>
      <c r="D14981" s="216" t="n">
        <v>1.092933058738708</v>
      </c>
      <c r="E14981" s="215" t="n">
        <v>45939</v>
      </c>
      <c r="F14981" s="215" t="n">
        <v>45939</v>
      </c>
    </row>
    <row r="14982">
      <c r="A14982" s="215" t="n">
        <v>45940</v>
      </c>
      <c r="B14982" s="216" t="n">
        <v>38</v>
      </c>
      <c r="C14982" s="216" t="n">
        <v>41.17</v>
      </c>
      <c r="D14982" s="216" t="n">
        <v>1.091662049293518</v>
      </c>
      <c r="E14982" s="215" t="n">
        <v>45940</v>
      </c>
      <c r="F14982" s="215" t="n">
        <v>45940</v>
      </c>
    </row>
    <row r="14983">
      <c r="A14983" s="215" t="n">
        <v>45943</v>
      </c>
      <c r="B14983" s="216" t="n">
        <v>37.24</v>
      </c>
      <c r="C14983" s="216" t="n">
        <v>41</v>
      </c>
      <c r="D14983" s="216" t="n">
        <v>1.093768000602722</v>
      </c>
      <c r="E14983" s="215" t="n">
        <v>45943</v>
      </c>
      <c r="F14983" s="215" t="n">
        <v>45943</v>
      </c>
    </row>
    <row r="14984">
      <c r="A14984" s="215" t="n">
        <v>45944</v>
      </c>
      <c r="B14984" s="216" t="n">
        <v>37.12</v>
      </c>
      <c r="C14984" s="216" t="n">
        <v>40.73</v>
      </c>
      <c r="D14984" s="216" t="n">
        <v>1.093292951583862</v>
      </c>
      <c r="E14984" s="215" t="n">
        <v>45944</v>
      </c>
      <c r="F14984" s="215" t="n">
        <v>45944</v>
      </c>
    </row>
    <row r="14985">
      <c r="A14985" s="215" t="n">
        <v>45945</v>
      </c>
      <c r="B14985" s="216" t="n">
        <v>37.88</v>
      </c>
      <c r="C14985" s="216" t="n">
        <v>41.01</v>
      </c>
      <c r="D14985" s="216" t="n">
        <v>1.088750958442688</v>
      </c>
      <c r="E14985" s="215" t="n">
        <v>45945</v>
      </c>
      <c r="F14985" s="215" t="n">
        <v>45945</v>
      </c>
    </row>
    <row r="14986">
      <c r="A14986" s="215" t="n">
        <v>45946</v>
      </c>
      <c r="B14986" s="216" t="n">
        <v>37.94</v>
      </c>
      <c r="C14986" s="216" t="n">
        <v>40.85</v>
      </c>
      <c r="D14986" s="216" t="n">
        <v>1.090903043746948</v>
      </c>
      <c r="E14986" s="215" t="n">
        <v>45946</v>
      </c>
      <c r="F14986" s="215" t="n">
        <v>45946</v>
      </c>
    </row>
    <row r="14987">
      <c r="A14987" s="215" t="n">
        <v>45947</v>
      </c>
      <c r="B14987" s="216" t="n">
        <v>37.42</v>
      </c>
      <c r="C14987" s="216" t="n">
        <v>40.09</v>
      </c>
      <c r="D14987" s="216" t="n">
        <v>1.09073805809021</v>
      </c>
      <c r="E14987" s="215" t="n">
        <v>45947</v>
      </c>
      <c r="F14987" s="215" t="n">
        <v>45947</v>
      </c>
    </row>
    <row r="14988">
      <c r="A14988" s="215" t="n">
        <v>45950</v>
      </c>
      <c r="B14988" s="216" t="n">
        <v>37.6</v>
      </c>
      <c r="C14988" s="216" t="n">
        <v>40.33</v>
      </c>
      <c r="D14988" s="216" t="n">
        <v>1.089843988418579</v>
      </c>
      <c r="E14988" s="215" t="n">
        <v>45950</v>
      </c>
      <c r="F14988" s="215" t="n">
        <v>45950</v>
      </c>
    </row>
    <row r="14989">
      <c r="A14989" s="215" t="n">
        <v>45951</v>
      </c>
      <c r="B14989" s="216" t="n">
        <v>37.74</v>
      </c>
      <c r="C14989" s="216" t="n">
        <v>40.33</v>
      </c>
      <c r="D14989" s="216" t="n">
        <v>1.091038942337036</v>
      </c>
      <c r="E14989" s="215" t="n">
        <v>45951</v>
      </c>
      <c r="F14989" s="215" t="n">
        <v>45951</v>
      </c>
    </row>
    <row r="14990">
      <c r="A14990" s="215" t="n">
        <v>45952</v>
      </c>
      <c r="B14990" s="216" t="n">
        <v>37.38</v>
      </c>
      <c r="C14990" s="216" t="n">
        <v>40.18</v>
      </c>
      <c r="D14990" s="216" t="n">
        <v>1.091071009635925</v>
      </c>
      <c r="E14990" s="215" t="n">
        <v>45952</v>
      </c>
      <c r="F14990" s="215" t="n">
        <v>45952</v>
      </c>
    </row>
    <row r="14991">
      <c r="A14991" s="215" t="n">
        <v>45953</v>
      </c>
      <c r="B14991" s="216" t="n">
        <v>37.06</v>
      </c>
      <c r="C14991" s="216" t="n">
        <v>39.96</v>
      </c>
      <c r="D14991" s="216" t="n">
        <v>1.090343952178955</v>
      </c>
      <c r="E14991" s="215" t="n">
        <v>45953</v>
      </c>
      <c r="F14991" s="215" t="n">
        <v>45953</v>
      </c>
    </row>
    <row r="14992">
      <c r="A14992" s="215" t="n">
        <v>45954</v>
      </c>
      <c r="B14992" s="216" t="n">
        <v>36.86</v>
      </c>
      <c r="C14992" s="216" t="n">
        <v>39.88</v>
      </c>
      <c r="D14992" s="216" t="n">
        <v>1.090456962585449</v>
      </c>
      <c r="E14992" s="215" t="n">
        <v>45954</v>
      </c>
      <c r="F14992" s="215" t="n">
        <v>45954</v>
      </c>
    </row>
    <row r="14993">
      <c r="A14993" s="215" t="n">
        <v>45957</v>
      </c>
      <c r="B14993" s="216" t="n">
        <v>37.6</v>
      </c>
      <c r="C14993" s="216" t="n">
        <v>40.58</v>
      </c>
      <c r="D14993" s="216" t="n">
        <v>1.090957045555115</v>
      </c>
      <c r="E14993" s="215" t="n">
        <v>45957</v>
      </c>
      <c r="F14993" s="215" t="n">
        <v>45957</v>
      </c>
    </row>
    <row r="14994">
      <c r="A14994" s="215" t="n">
        <v>45958</v>
      </c>
      <c r="B14994" s="216" t="n">
        <v>38.24</v>
      </c>
      <c r="C14994" s="216" t="n">
        <v>40.46</v>
      </c>
      <c r="D14994" s="216" t="n">
        <v>1.092440009117126</v>
      </c>
      <c r="E14994" s="215" t="n">
        <v>45958</v>
      </c>
      <c r="F14994" s="215" t="n">
        <v>45958</v>
      </c>
    </row>
    <row r="14995">
      <c r="A14995" s="215" t="n">
        <v>45960</v>
      </c>
      <c r="B14995" s="216" t="n">
        <v>37.92</v>
      </c>
      <c r="C14995" s="216" t="n">
        <v>40.93</v>
      </c>
      <c r="D14995" s="216" t="n">
        <v>1.09463894367218</v>
      </c>
      <c r="E14995" s="215" t="n">
        <v>45960</v>
      </c>
      <c r="F14995" s="215" t="n">
        <v>45960</v>
      </c>
    </row>
    <row r="14996">
      <c r="A14996" s="215" t="n">
        <v>45961</v>
      </c>
      <c r="B14996" s="216" t="n">
        <v>36.06</v>
      </c>
      <c r="C14996" s="216" t="n">
        <v>40.33</v>
      </c>
      <c r="D14996" s="216" t="n">
        <v>1.092543959617615</v>
      </c>
      <c r="E14996" s="215" t="n">
        <v>45961</v>
      </c>
      <c r="F14996" s="215" t="n">
        <v>45961</v>
      </c>
    </row>
    <row r="14997">
      <c r="A14997" s="215" t="n">
        <v>45964</v>
      </c>
      <c r="B14997" s="216" t="n">
        <v>35.9</v>
      </c>
      <c r="C14997" s="216" t="n">
        <v>40.01</v>
      </c>
      <c r="D14997" s="216" t="n">
        <v>1.091722965240479</v>
      </c>
      <c r="E14997" s="215" t="n">
        <v>45964</v>
      </c>
      <c r="F14997" s="215" t="n">
        <v>45964</v>
      </c>
    </row>
    <row r="14998">
      <c r="A14998" s="215" t="n">
        <v>45965</v>
      </c>
      <c r="B14998" s="216" t="n">
        <v>35.36</v>
      </c>
      <c r="C14998" s="216" t="n">
        <v>39.85</v>
      </c>
      <c r="D14998" s="216" t="n">
        <v>1.083533048629761</v>
      </c>
      <c r="E14998" s="215" t="n">
        <v>45965</v>
      </c>
      <c r="F14998" s="215" t="n">
        <v>45965</v>
      </c>
    </row>
    <row r="14999">
      <c r="A14999" s="215" t="n">
        <v>45966</v>
      </c>
      <c r="B14999" s="216" t="n">
        <v>35.3</v>
      </c>
      <c r="C14999" s="216" t="n">
        <v>39.63</v>
      </c>
      <c r="D14999" s="216" t="n">
        <v>1.090273976325989</v>
      </c>
      <c r="E14999" s="215" t="n">
        <v>45966</v>
      </c>
      <c r="F14999" s="215" t="n">
        <v>45966</v>
      </c>
    </row>
    <row r="15000">
      <c r="A15000" s="215" t="n">
        <v>45967</v>
      </c>
      <c r="B15000" s="216" t="n">
        <v>35.56</v>
      </c>
      <c r="C15000" s="216" t="n">
        <v>40.03</v>
      </c>
      <c r="D15000" s="216" t="n">
        <v>1.090808033943176</v>
      </c>
      <c r="E15000" s="215" t="n">
        <v>45967</v>
      </c>
      <c r="F15000" s="215" t="n">
        <v>45967</v>
      </c>
    </row>
    <row r="15001">
      <c r="A15001" s="215" t="n">
        <v>45968</v>
      </c>
      <c r="B15001" s="216" t="n">
        <v>35.32</v>
      </c>
      <c r="C15001" s="216" t="n">
        <v>39.98</v>
      </c>
      <c r="D15001" s="216" t="n">
        <v>1.092054009437561</v>
      </c>
      <c r="E15001" s="215" t="n">
        <v>45968</v>
      </c>
      <c r="F15001" s="215" t="n">
        <v>45968</v>
      </c>
    </row>
    <row r="15002">
      <c r="A15002" s="215" t="n">
        <v>45971</v>
      </c>
      <c r="B15002" s="216" t="n">
        <v>36.08</v>
      </c>
      <c r="C15002" s="216" t="n">
        <v>40.8</v>
      </c>
      <c r="D15002" s="216" t="n">
        <v>1.092267036437988</v>
      </c>
      <c r="E15002" s="215" t="n">
        <v>45971</v>
      </c>
      <c r="F15002" s="215" t="n">
        <v>45971</v>
      </c>
    </row>
    <row r="15003">
      <c r="A15003" s="215" t="n">
        <v>45972</v>
      </c>
      <c r="B15003" s="216" t="n">
        <v>36.04</v>
      </c>
      <c r="C15003" s="216" t="n">
        <v>40.51</v>
      </c>
      <c r="D15003" s="216" t="n">
        <v>1.091644048690796</v>
      </c>
      <c r="E15003" s="215" t="n">
        <v>45972</v>
      </c>
      <c r="F15003" s="215" t="n">
        <v>45972</v>
      </c>
    </row>
    <row r="15004">
      <c r="A15004" s="215" t="n">
        <v>45973</v>
      </c>
      <c r="B15004" s="216" t="n">
        <v>36.06</v>
      </c>
      <c r="C15004" s="216" t="n">
        <v>40.4</v>
      </c>
      <c r="D15004" s="216" t="n">
        <v>1.091495990753174</v>
      </c>
      <c r="E15004" s="215" t="n">
        <v>45973</v>
      </c>
      <c r="F15004" s="215" t="n">
        <v>45973</v>
      </c>
    </row>
    <row r="15005">
      <c r="A15005" s="215" t="n">
        <v>45974</v>
      </c>
      <c r="B15005" s="216" t="n">
        <v>35.98</v>
      </c>
      <c r="C15005" s="216" t="n">
        <v>40.58</v>
      </c>
      <c r="D15005" s="216" t="n">
        <v>1.092489004135132</v>
      </c>
      <c r="E15005" s="215" t="n">
        <v>45974</v>
      </c>
      <c r="F15005" s="215" t="n">
        <v>45974</v>
      </c>
    </row>
    <row r="15006">
      <c r="A15006" s="215" t="n">
        <v>45975</v>
      </c>
      <c r="B15006" s="216" t="n">
        <v>35.8</v>
      </c>
      <c r="C15006" s="216" t="n">
        <v>40.29</v>
      </c>
      <c r="D15006" s="216" t="n">
        <v>1.092411994934082</v>
      </c>
      <c r="E15006" s="215" t="n">
        <v>45975</v>
      </c>
      <c r="F15006" s="215" t="n">
        <v>45975</v>
      </c>
    </row>
    <row r="15007">
      <c r="A15007" s="215" t="n">
        <v>45978</v>
      </c>
      <c r="B15007" s="216" t="n">
        <v>35.52</v>
      </c>
      <c r="C15007" s="216" t="n">
        <v>39.76</v>
      </c>
      <c r="D15007" s="216" t="n">
        <v>1.094588041305542</v>
      </c>
      <c r="E15007" s="215" t="n">
        <v>45978</v>
      </c>
      <c r="F15007" s="215" t="n">
        <v>45978</v>
      </c>
    </row>
    <row r="15008">
      <c r="A15008" s="215" t="n">
        <v>45979</v>
      </c>
      <c r="B15008" s="216" t="n">
        <v>35.04</v>
      </c>
      <c r="C15008" s="216" t="n">
        <v>39.64</v>
      </c>
      <c r="D15008" s="216" t="n">
        <v>1.093616008758545</v>
      </c>
      <c r="E15008" s="215" t="n">
        <v>45979</v>
      </c>
      <c r="F15008" s="215" t="n">
        <v>45979</v>
      </c>
    </row>
    <row r="15009">
      <c r="A15009" s="215" t="n">
        <v>45980</v>
      </c>
      <c r="B15009" s="216" t="n">
        <v>35.1</v>
      </c>
      <c r="C15009" s="216" t="n">
        <v>39.68</v>
      </c>
      <c r="D15009" s="216" t="n">
        <v>1.095010995864868</v>
      </c>
      <c r="E15009" s="215" t="n">
        <v>45980</v>
      </c>
      <c r="F15009" s="215" t="n">
        <v>45980</v>
      </c>
    </row>
    <row r="15010">
      <c r="A15010" s="215" t="n">
        <v>45981</v>
      </c>
      <c r="B15010" s="216" t="n">
        <v>35.28</v>
      </c>
      <c r="C15010" s="216" t="n">
        <v>39.63</v>
      </c>
      <c r="D15010" s="216" t="n">
        <v>1.095402002334595</v>
      </c>
      <c r="E15010" s="215" t="n">
        <v>45981</v>
      </c>
      <c r="F15010" s="215" t="n">
        <v>45981</v>
      </c>
    </row>
    <row r="15011">
      <c r="A15011" s="215" t="n">
        <v>45982</v>
      </c>
      <c r="B15011" s="216" t="n">
        <v>34.62</v>
      </c>
      <c r="C15011" s="216" t="n">
        <v>39.11</v>
      </c>
      <c r="D15011" s="216" t="n">
        <v>1.094982981681824</v>
      </c>
      <c r="E15011" s="215" t="n">
        <v>45982</v>
      </c>
      <c r="F15011" s="215" t="n">
        <v>45982</v>
      </c>
    </row>
    <row r="15012">
      <c r="A15012" s="215" t="n">
        <v>45985</v>
      </c>
      <c r="B15012" s="216" t="n">
        <v>35.02</v>
      </c>
      <c r="C15012" s="216" t="n">
        <v>39.41</v>
      </c>
      <c r="D15012" s="216" t="n">
        <v>1.094988942146301</v>
      </c>
      <c r="E15012" s="215" t="n">
        <v>45985</v>
      </c>
      <c r="F15012" s="215" t="n">
        <v>45985</v>
      </c>
    </row>
    <row r="15013">
      <c r="A15013" s="215" t="n">
        <v>45986</v>
      </c>
      <c r="B15013" s="216" t="n">
        <v>35.12</v>
      </c>
      <c r="C15013" s="216" t="n">
        <v>39.25</v>
      </c>
      <c r="D15013" s="216" t="n">
        <v>1.095428943634033</v>
      </c>
      <c r="E15013" s="215" t="n">
        <v>45986</v>
      </c>
      <c r="F15013" s="215" t="n">
        <v>45986</v>
      </c>
    </row>
    <row r="15014">
      <c r="A15014" s="215" t="n">
        <v>45987</v>
      </c>
      <c r="B15014" s="216" t="n">
        <v>35.6</v>
      </c>
      <c r="C15014" s="216" t="n">
        <v>39.25</v>
      </c>
      <c r="D15014" s="216" t="n">
        <v>1.097422003746033</v>
      </c>
      <c r="E15014" s="215" t="n">
        <v>45987</v>
      </c>
      <c r="F15014" s="215" t="n">
        <v>45987</v>
      </c>
    </row>
    <row r="15015">
      <c r="A15015" s="215" t="n">
        <v>45988</v>
      </c>
      <c r="B15015" s="216" t="n">
        <v>35.7</v>
      </c>
      <c r="C15015" s="216" t="n">
        <v>38.79</v>
      </c>
      <c r="D15015" s="216" t="n">
        <v>1.098397016525269</v>
      </c>
      <c r="E15015" s="215" t="n">
        <v>45988</v>
      </c>
      <c r="F15015" s="215" t="n">
        <v>45988</v>
      </c>
    </row>
    <row r="15016">
      <c r="A15016" s="215" t="n">
        <v>45989</v>
      </c>
      <c r="B15016" s="216" t="n">
        <v>35.78</v>
      </c>
      <c r="C15016" s="216" t="n">
        <v>38.37</v>
      </c>
      <c r="D15016" s="216" t="n">
        <v>1.098330020904541</v>
      </c>
      <c r="E15016" s="215" t="n">
        <v>45989</v>
      </c>
      <c r="F15016" s="215" t="n">
        <v>45989</v>
      </c>
    </row>
    <row r="15017">
      <c r="A15017" s="215" t="n">
        <v>45992</v>
      </c>
      <c r="B15017" s="216" t="n">
        <v>36.06</v>
      </c>
      <c r="C15017" s="216" t="n">
        <v>38.41</v>
      </c>
      <c r="D15017" s="216" t="n">
        <v>1.10015594959259</v>
      </c>
      <c r="E15017" s="215" t="n">
        <v>45992</v>
      </c>
      <c r="F15017" s="215" t="n">
        <v>45992</v>
      </c>
    </row>
    <row r="15018">
      <c r="A15018" s="215" t="n">
        <v>45993</v>
      </c>
      <c r="B15018" s="216" t="n">
        <v>35.74</v>
      </c>
      <c r="C15018" s="216" t="n">
        <v>37.91</v>
      </c>
      <c r="D15018" s="216" t="n">
        <v>1.101189017295837</v>
      </c>
      <c r="E15018" s="215" t="n">
        <v>45993</v>
      </c>
      <c r="F15018" s="215" t="n">
        <v>45993</v>
      </c>
    </row>
    <row r="15019">
      <c r="A15019" s="215" t="n">
        <v>45994</v>
      </c>
      <c r="B15019" s="216" t="n">
        <v>35.46</v>
      </c>
      <c r="C15019" s="216" t="n">
        <v>38</v>
      </c>
      <c r="D15019" s="216" t="n">
        <v>1.100834012031555</v>
      </c>
      <c r="E15019" s="215" t="n">
        <v>45994</v>
      </c>
      <c r="F15019" s="215" t="n">
        <v>45994</v>
      </c>
    </row>
    <row r="15020">
      <c r="A15020" s="215" t="n">
        <v>45995</v>
      </c>
      <c r="B15020" s="216" t="n">
        <v>35.68</v>
      </c>
      <c r="C15020" s="216" t="n">
        <v>37.86</v>
      </c>
      <c r="D15020" s="216" t="n">
        <v>1.101611018180847</v>
      </c>
      <c r="E15020" s="215" t="n">
        <v>45995</v>
      </c>
      <c r="F15020" s="215" t="n">
        <v>45995</v>
      </c>
    </row>
    <row r="15021">
      <c r="A15021" s="215" t="n">
        <v>45996</v>
      </c>
      <c r="B15021" s="216" t="n">
        <v>35.48</v>
      </c>
      <c r="C15021" s="216" t="n">
        <v>38.22</v>
      </c>
      <c r="D15021" s="216" t="n">
        <v>1.100373983383179</v>
      </c>
      <c r="E15021" s="215" t="n">
        <v>45996</v>
      </c>
      <c r="F15021" s="215" t="n">
        <v>45996</v>
      </c>
    </row>
    <row r="15022">
      <c r="A15022" s="215" t="n">
        <v>45999</v>
      </c>
      <c r="B15022" s="216" t="n">
        <v>35.14</v>
      </c>
      <c r="C15022" s="216" t="n">
        <v>38.08</v>
      </c>
      <c r="D15022" s="216" t="n">
        <v>1.1008620262146</v>
      </c>
      <c r="E15022" s="215" t="n">
        <v>45999</v>
      </c>
      <c r="F15022" s="215" t="n">
        <v>45999</v>
      </c>
    </row>
    <row r="15023">
      <c r="A15023" s="215" t="n">
        <v>46000</v>
      </c>
      <c r="B15023" s="216" t="n">
        <v>34.34</v>
      </c>
      <c r="C15023" s="216" t="n">
        <v>37.51</v>
      </c>
      <c r="D15023" s="216" t="n">
        <v>1.10008704662323</v>
      </c>
      <c r="E15023" s="215" t="n">
        <v>46000</v>
      </c>
      <c r="F15023" s="215" t="n">
        <v>46000</v>
      </c>
    </row>
    <row r="15024">
      <c r="A15024" s="215" t="n">
        <v>46001</v>
      </c>
      <c r="B15024" s="216" t="n">
        <v>34.58</v>
      </c>
      <c r="C15024" s="216" t="n">
        <v>37.81</v>
      </c>
      <c r="D15024" s="216" t="n">
        <v>1.101711988449097</v>
      </c>
      <c r="E15024" s="215" t="n">
        <v>46001</v>
      </c>
      <c r="F15024" s="215" t="n">
        <v>46001</v>
      </c>
    </row>
    <row r="15025">
      <c r="A15025" s="215" t="n">
        <v>46002</v>
      </c>
      <c r="B15025" s="216" t="n">
        <v>34.2</v>
      </c>
      <c r="C15025" s="216" t="n">
        <v>37.08</v>
      </c>
      <c r="D15025" s="216" t="n">
        <v>1.10112202167511</v>
      </c>
      <c r="E15025" s="215" t="n">
        <v>46002</v>
      </c>
      <c r="F15025" s="215" t="n">
        <v>46002</v>
      </c>
    </row>
    <row r="15026">
      <c r="A15026" s="215" t="n">
        <v>46003</v>
      </c>
      <c r="B15026" s="216" t="n">
        <v>35</v>
      </c>
      <c r="C15026" s="216" t="n">
        <v>37.43</v>
      </c>
      <c r="D15026" s="216" t="n">
        <v>1.102499008178711</v>
      </c>
      <c r="E15026" s="215" t="n">
        <v>46003</v>
      </c>
      <c r="F15026" s="215" t="n">
        <v>46003</v>
      </c>
    </row>
    <row r="15027">
      <c r="A15027" s="215" t="n">
        <v>46006</v>
      </c>
      <c r="B15027" s="216" t="n">
        <v>34.76</v>
      </c>
      <c r="C15027" s="216" t="n">
        <v>37.41</v>
      </c>
      <c r="D15027" s="216" t="n">
        <v>1.103397965431213</v>
      </c>
      <c r="E15027" s="215" t="n">
        <v>46006</v>
      </c>
      <c r="F15027" s="215" t="n">
        <v>46006</v>
      </c>
    </row>
    <row r="15028">
      <c r="A15028" s="215" t="n">
        <v>46007</v>
      </c>
      <c r="B15028" s="216" t="n">
        <v>34.86</v>
      </c>
      <c r="C15028" s="216" t="n">
        <v>37.63</v>
      </c>
      <c r="D15028" s="216" t="n">
        <v>1.104179978370667</v>
      </c>
      <c r="E15028" s="215" t="n">
        <v>46007</v>
      </c>
      <c r="F15028" s="215" t="n">
        <v>46007</v>
      </c>
    </row>
    <row r="15029">
      <c r="A15029" s="215" t="n">
        <v>46008</v>
      </c>
      <c r="B15029" s="216" t="n">
        <v>34.72</v>
      </c>
      <c r="C15029" s="216" t="n">
        <v>37.93</v>
      </c>
      <c r="D15029" s="216" t="n">
        <v>1.104655981063843</v>
      </c>
      <c r="E15029" s="215" t="n">
        <v>46008</v>
      </c>
      <c r="F15029" s="215" t="n">
        <v>46008</v>
      </c>
    </row>
    <row r="15030">
      <c r="A15030" s="215" t="n">
        <v>46009</v>
      </c>
      <c r="B15030" s="216" t="n">
        <v>34.6</v>
      </c>
      <c r="C15030" s="216" t="n">
        <v>38.19</v>
      </c>
      <c r="D15030" s="216" t="n">
        <v>1.104357004165649</v>
      </c>
      <c r="E15030" s="215" t="n">
        <v>46009</v>
      </c>
      <c r="F15030" s="215" t="n">
        <v>46009</v>
      </c>
    </row>
    <row r="15031">
      <c r="A15031" s="215" t="n">
        <v>46010</v>
      </c>
      <c r="B15031" s="216" t="n">
        <v>34.96</v>
      </c>
      <c r="C15031" s="216" t="n">
        <v>37.85</v>
      </c>
      <c r="D15031" s="216" t="n">
        <v>1.104962944984436</v>
      </c>
      <c r="E15031" s="215" t="n">
        <v>46010</v>
      </c>
      <c r="F15031" s="215" t="n">
        <v>46010</v>
      </c>
    </row>
    <row r="15032">
      <c r="A15032" s="215" t="n">
        <v>46013</v>
      </c>
      <c r="B15032" s="216" t="n">
        <v>34.9</v>
      </c>
      <c r="C15032" s="216" t="n">
        <v>38.31</v>
      </c>
      <c r="D15032" s="216" t="n">
        <v>1.105054020881653</v>
      </c>
      <c r="E15032" s="215" t="n">
        <v>46013</v>
      </c>
      <c r="F15032" s="215" t="n">
        <v>46013</v>
      </c>
    </row>
    <row r="15033">
      <c r="A15033" s="215" t="n">
        <v>46014</v>
      </c>
      <c r="B15033" s="216" t="n">
        <v>35.5</v>
      </c>
      <c r="C15033" s="216" t="n">
        <v>38.27</v>
      </c>
      <c r="D15033" s="216" t="n">
        <v>1.104820013046265</v>
      </c>
      <c r="E15033" s="215" t="n">
        <v>46014</v>
      </c>
      <c r="F15033" s="215" t="n">
        <v>46014</v>
      </c>
    </row>
    <row r="15034">
      <c r="A15034" s="215" t="n">
        <v>46015</v>
      </c>
      <c r="B15034" s="216" t="n">
        <v>35.02</v>
      </c>
      <c r="C15034" s="216" t="n">
        <v>38.19</v>
      </c>
      <c r="D15034" s="216" t="n">
        <v>1.106441974639893</v>
      </c>
      <c r="E15034" s="215" t="n">
        <v>46015</v>
      </c>
      <c r="F15034" s="215" t="n">
        <v>46015</v>
      </c>
    </row>
    <row r="15035">
      <c r="A15035" s="215" t="n">
        <v>46020</v>
      </c>
      <c r="B15035" s="216" t="n">
        <v>35</v>
      </c>
      <c r="C15035" s="216" t="n">
        <v>38.63</v>
      </c>
      <c r="D15035" s="216" t="n">
        <v>1.10552704334259</v>
      </c>
      <c r="E15035" s="215" t="n">
        <v>46020</v>
      </c>
      <c r="F15035" s="215" t="n">
        <v>46020</v>
      </c>
    </row>
    <row r="15036">
      <c r="A15036" s="215" t="n">
        <v>46021</v>
      </c>
      <c r="B15036" s="216" t="n">
        <v>34.74</v>
      </c>
      <c r="C15036" s="216" t="n">
        <v>38.38</v>
      </c>
      <c r="D15036" s="216" t="n">
        <v>1.109460949897766</v>
      </c>
      <c r="E15036" s="215" t="n">
        <v>46021</v>
      </c>
      <c r="F15036" s="215" t="n">
        <v>46021</v>
      </c>
    </row>
    <row r="15037">
      <c r="A15037" s="215" t="n">
        <v>46022</v>
      </c>
      <c r="B15037" s="216" t="n">
        <v>34.68</v>
      </c>
      <c r="C15037" s="216" t="n">
        <v>38.32</v>
      </c>
      <c r="D15037" s="216" t="n">
        <v>1.111927032470703</v>
      </c>
      <c r="E15037" s="215" t="n">
        <v>46022</v>
      </c>
      <c r="F15037" s="215" t="n">
        <v>46022</v>
      </c>
    </row>
    <row r="15038">
      <c r="A15038" s="215" t="n">
        <v>46024</v>
      </c>
      <c r="B15038" s="216" t="n">
        <v>35.18</v>
      </c>
      <c r="C15038" s="216" t="n">
        <v>38.32</v>
      </c>
      <c r="D15038" s="216" t="n">
        <v>1.112754940986633</v>
      </c>
      <c r="E15038" s="215" t="n">
        <v>46022</v>
      </c>
      <c r="F15038" s="215" t="n">
        <v>46024</v>
      </c>
    </row>
    <row r="15039">
      <c r="A15039" s="215" t="n">
        <v>46027</v>
      </c>
      <c r="B15039" s="216" t="n">
        <v>35.06</v>
      </c>
      <c r="C15039" s="216" t="n">
        <v>38.25</v>
      </c>
      <c r="D15039" s="216" t="n">
        <v>1.113860011100769</v>
      </c>
      <c r="E15039" s="215" t="n">
        <v>46027</v>
      </c>
      <c r="F15039" s="215" t="n">
        <v>46027</v>
      </c>
    </row>
    <row r="15040">
      <c r="A15040" s="215" t="n">
        <v>46028</v>
      </c>
      <c r="B15040" s="216" t="n">
        <v>35.44</v>
      </c>
      <c r="C15040" s="216" t="n">
        <v>39.09</v>
      </c>
      <c r="D15040" s="216" t="n">
        <v>1.11367404460907</v>
      </c>
      <c r="E15040" s="215" t="n">
        <v>46028</v>
      </c>
      <c r="F15040" s="215" t="n">
        <v>46028</v>
      </c>
    </row>
    <row r="15041">
      <c r="A15041" s="215" t="n">
        <v>46029</v>
      </c>
      <c r="B15041" s="216" t="n">
        <v>35.38</v>
      </c>
      <c r="C15041" s="216" t="n">
        <v>38.9</v>
      </c>
      <c r="D15041" s="216" t="n">
        <v>1.114913940429688</v>
      </c>
      <c r="E15041" s="215" t="n">
        <v>46029</v>
      </c>
      <c r="F15041" s="215" t="n">
        <v>46029</v>
      </c>
    </row>
    <row r="15042">
      <c r="A15042" s="215" t="n">
        <v>46030</v>
      </c>
      <c r="B15042" s="216" t="n">
        <v>35.14</v>
      </c>
      <c r="C15042" s="216" t="n">
        <v>38.9</v>
      </c>
      <c r="D15042" s="216" t="n">
        <v>1.112563014030457</v>
      </c>
      <c r="E15042" s="215" t="n">
        <v>46030</v>
      </c>
      <c r="F15042" s="215" t="n">
        <v>46030</v>
      </c>
    </row>
    <row r="15043">
      <c r="A15043" s="215" t="n">
        <v>46031</v>
      </c>
      <c r="B15043" s="216" t="n">
        <v>35.12</v>
      </c>
      <c r="C15043" s="216" t="n">
        <v>38.97</v>
      </c>
      <c r="D15043" s="216" t="n">
        <v>1.115561008453369</v>
      </c>
      <c r="E15043" s="215" t="n">
        <v>46031</v>
      </c>
      <c r="F15043" s="215" t="n">
        <v>46031</v>
      </c>
    </row>
    <row r="15044">
      <c r="A15044" s="215" t="n">
        <v>46034</v>
      </c>
      <c r="B15044" s="216" t="n">
        <v>35.42</v>
      </c>
      <c r="C15044" s="216" t="n">
        <v>39.01</v>
      </c>
      <c r="D15044" s="216" t="n">
        <v>1.117015957832336</v>
      </c>
      <c r="E15044" s="215" t="n">
        <v>46034</v>
      </c>
      <c r="F15044" s="215" t="n">
        <v>46034</v>
      </c>
    </row>
    <row r="15045">
      <c r="A15045" s="215" t="n">
        <v>46035</v>
      </c>
      <c r="B15045" s="216" t="n">
        <v>35.74</v>
      </c>
      <c r="C15045" s="216" t="n">
        <v>38.93</v>
      </c>
      <c r="D15045" s="216" t="n">
        <v>1.117892026901245</v>
      </c>
      <c r="E15045" s="215" t="n">
        <v>46035</v>
      </c>
      <c r="F15045" s="215" t="n">
        <v>46035</v>
      </c>
    </row>
    <row r="15046">
      <c r="A15046" s="215" t="n">
        <v>46036</v>
      </c>
      <c r="B15046" s="216" t="n">
        <v>35.36</v>
      </c>
      <c r="C15046" s="216" t="n">
        <v>38.55</v>
      </c>
      <c r="D15046" s="216" t="n">
        <v>1.117897987365723</v>
      </c>
      <c r="E15046" s="215" t="n">
        <v>46036</v>
      </c>
      <c r="F15046" s="215" t="n">
        <v>46036</v>
      </c>
    </row>
    <row r="15047">
      <c r="A15047" s="215" t="n">
        <v>46037</v>
      </c>
      <c r="B15047" s="216" t="n">
        <v>36.2</v>
      </c>
      <c r="C15047" s="216" t="n">
        <v>39.19</v>
      </c>
      <c r="D15047" s="216" t="n">
        <v>1.118072032928467</v>
      </c>
      <c r="E15047" s="215" t="n">
        <v>46037</v>
      </c>
      <c r="F15047" s="215" t="n">
        <v>46037</v>
      </c>
    </row>
    <row r="15048">
      <c r="A15048" s="215" t="n">
        <v>46038</v>
      </c>
      <c r="B15048" s="216" t="n">
        <v>36.1</v>
      </c>
      <c r="C15048" s="216" t="n">
        <v>38.81</v>
      </c>
      <c r="D15048" s="216" t="n">
        <v>1.119040012359619</v>
      </c>
      <c r="E15048" s="215" t="n">
        <v>46038</v>
      </c>
      <c r="F15048" s="215" t="n">
        <v>46038</v>
      </c>
    </row>
    <row r="15049">
      <c r="A15049" s="215" t="n">
        <v>46041</v>
      </c>
      <c r="B15049" s="216" t="n">
        <v>36.32</v>
      </c>
      <c r="C15049" s="216" t="n">
        <v>38.88</v>
      </c>
      <c r="D15049" s="216" t="n">
        <v>1.118916034698486</v>
      </c>
      <c r="E15049" s="215" t="n">
        <v>46041</v>
      </c>
      <c r="F15049" s="215" t="n">
        <v>46041</v>
      </c>
    </row>
    <row r="15050">
      <c r="A15050" s="215" t="n">
        <v>46042</v>
      </c>
      <c r="B15050" s="216" t="n">
        <v>37.1</v>
      </c>
      <c r="C15050" s="216" t="n">
        <v>39.8</v>
      </c>
      <c r="D15050" s="216" t="n">
        <v>1.118687987327576</v>
      </c>
      <c r="E15050" s="215" t="n">
        <v>46042</v>
      </c>
      <c r="F15050" s="215" t="n">
        <v>46042</v>
      </c>
    </row>
    <row r="15051">
      <c r="A15051" s="215" t="n">
        <v>46043</v>
      </c>
      <c r="B15051" s="216" t="n">
        <v>37.18</v>
      </c>
      <c r="C15051" s="216" t="n">
        <v>39.5</v>
      </c>
      <c r="D15051" s="216" t="n">
        <v>1.12024998664856</v>
      </c>
      <c r="E15051" s="215" t="n">
        <v>46043</v>
      </c>
      <c r="F15051" s="215" t="n">
        <v>46043</v>
      </c>
    </row>
    <row r="15052">
      <c r="A15052" s="215" t="n">
        <v>46044</v>
      </c>
      <c r="B15052" s="216" t="n">
        <v>36.8</v>
      </c>
      <c r="C15052" s="216" t="n">
        <v>39.67</v>
      </c>
      <c r="D15052" s="216" t="n">
        <v>1.11942195892334</v>
      </c>
      <c r="E15052" s="215" t="n">
        <v>46044</v>
      </c>
      <c r="F15052" s="215" t="n">
        <v>46044</v>
      </c>
    </row>
    <row r="15053">
      <c r="A15053" s="215" t="n">
        <v>46045</v>
      </c>
      <c r="B15053" s="216" t="n">
        <v>36.78</v>
      </c>
      <c r="C15053" s="216" t="n">
        <v>39.15</v>
      </c>
      <c r="D15053" s="216" t="n">
        <v>1.117977976799011</v>
      </c>
      <c r="E15053" s="215" t="n">
        <v>46045</v>
      </c>
      <c r="F15053" s="215" t="n">
        <v>46045</v>
      </c>
    </row>
    <row r="15054">
      <c r="A15054" s="215" t="n">
        <v>46048</v>
      </c>
      <c r="B15054" s="216" t="n">
        <v>36.4</v>
      </c>
      <c r="C15054" s="216" t="n">
        <v>38.75</v>
      </c>
      <c r="D15054" s="216" t="n">
        <v>1.117916941642761</v>
      </c>
      <c r="E15054" s="215" t="n">
        <v>46048</v>
      </c>
      <c r="F15054" s="215" t="n">
        <v>46048</v>
      </c>
    </row>
    <row r="15055">
      <c r="A15055" s="215" t="n">
        <v>46049</v>
      </c>
      <c r="B15055" s="216" t="n">
        <v>35.88</v>
      </c>
      <c r="C15055" s="216" t="n">
        <v>37.86</v>
      </c>
      <c r="D15055" s="216" t="n">
        <v>1.121191024780273</v>
      </c>
      <c r="E15055" s="215" t="n">
        <v>46049</v>
      </c>
      <c r="F15055" s="215" t="n">
        <v>46049</v>
      </c>
    </row>
    <row r="15056">
      <c r="A15056" s="215" t="n">
        <v>46050</v>
      </c>
      <c r="B15056" s="216" t="n">
        <v>35.86</v>
      </c>
      <c r="C15056" s="216" t="n">
        <v>37.68</v>
      </c>
      <c r="D15056" s="216" t="n">
        <v>1.121533036231995</v>
      </c>
      <c r="E15056" s="215" t="n">
        <v>46050</v>
      </c>
      <c r="F15056" s="215" t="n">
        <v>46050</v>
      </c>
    </row>
    <row r="15057">
      <c r="A15057" s="215" t="n">
        <v>46051</v>
      </c>
      <c r="B15057" s="216" t="n">
        <v>36.06</v>
      </c>
      <c r="C15057" s="216" t="n">
        <v>38.12</v>
      </c>
      <c r="D15057" s="216" t="n">
        <v>1.121621966362</v>
      </c>
      <c r="E15057" s="215" t="n">
        <v>46051</v>
      </c>
      <c r="F15057" s="215" t="n">
        <v>46051</v>
      </c>
    </row>
    <row r="15058">
      <c r="A15058" s="215" t="n">
        <v>46052</v>
      </c>
      <c r="B15058" s="216" t="n">
        <v>35.62</v>
      </c>
      <c r="C15058" s="216" t="n">
        <v>37.5</v>
      </c>
      <c r="D15058" s="216" t="n">
        <v>1.123343944549561</v>
      </c>
      <c r="E15058" s="215" t="n">
        <v>46052</v>
      </c>
      <c r="F15058" s="215" t="n">
        <v>46052</v>
      </c>
    </row>
    <row r="15059">
      <c r="A15059" s="215" t="n">
        <v>46055</v>
      </c>
      <c r="B15059" s="216" t="n">
        <v>35</v>
      </c>
      <c r="C15059" s="216" t="n">
        <v>37.36</v>
      </c>
      <c r="D15059" s="216" t="n">
        <v>1.123572945594788</v>
      </c>
      <c r="E15059" s="215" t="n">
        <v>46055</v>
      </c>
      <c r="F15059" s="215" t="n">
        <v>46055</v>
      </c>
    </row>
    <row r="15060">
      <c r="A15060" s="215" t="n">
        <v>46056</v>
      </c>
      <c r="B15060" s="216" t="n">
        <v>35.02</v>
      </c>
      <c r="C15060" s="216" t="n">
        <v>37.67</v>
      </c>
      <c r="D15060" s="216" t="n">
        <v>1.124274969100952</v>
      </c>
      <c r="E15060" s="215" t="n">
        <v>46056</v>
      </c>
      <c r="F15060" s="215" t="n">
        <v>46056</v>
      </c>
    </row>
    <row r="15061">
      <c r="A15061" s="215" t="n">
        <v>46057</v>
      </c>
      <c r="B15061" s="216" t="n">
        <v>36.66</v>
      </c>
      <c r="C15061" s="216" t="n">
        <v>38.47</v>
      </c>
      <c r="D15061" s="216" t="n">
        <v>1.12601101398468</v>
      </c>
      <c r="E15061" s="215" t="n">
        <v>46057</v>
      </c>
      <c r="F15061" s="215" t="n">
        <v>46057</v>
      </c>
    </row>
    <row r="15062">
      <c r="A15062" s="215" t="n">
        <v>46058</v>
      </c>
      <c r="B15062" s="216" t="n">
        <v>37.08</v>
      </c>
      <c r="C15062" s="216" t="n">
        <v>39.22</v>
      </c>
      <c r="D15062" s="216" t="n">
        <v>1.125892996788025</v>
      </c>
      <c r="E15062" s="215" t="n">
        <v>46058</v>
      </c>
      <c r="F15062" s="215" t="n">
        <v>46058</v>
      </c>
    </row>
    <row r="15063">
      <c r="A15063" s="215" t="n">
        <v>46059</v>
      </c>
      <c r="B15063" s="216" t="n">
        <v>36.88</v>
      </c>
      <c r="C15063" s="216" t="n">
        <v>38.86</v>
      </c>
      <c r="D15063" s="216" t="n">
        <v>1.126062035560608</v>
      </c>
      <c r="E15063" s="215" t="n">
        <v>46059</v>
      </c>
      <c r="F15063" s="215" t="n">
        <v>46059</v>
      </c>
    </row>
    <row r="15064">
      <c r="A15064" s="215" t="n">
        <v>46062</v>
      </c>
      <c r="B15064" s="216" t="n">
        <v>36.88</v>
      </c>
      <c r="C15064" s="216" t="n">
        <v>38.97</v>
      </c>
      <c r="D15064" s="216" t="n">
        <v>1.125753998756409</v>
      </c>
      <c r="E15064" s="215" t="n">
        <v>46062</v>
      </c>
      <c r="F15064" s="215" t="n">
        <v>46062</v>
      </c>
    </row>
    <row r="15065">
      <c r="A15065" s="215" t="n">
        <v>46063</v>
      </c>
      <c r="B15065" s="216" t="n">
        <v>36.9</v>
      </c>
      <c r="C15065" s="216" t="n">
        <v>38.82</v>
      </c>
      <c r="D15065" s="216" t="n">
        <v>1.129003047943115</v>
      </c>
      <c r="E15065" s="215" t="n">
        <v>46063</v>
      </c>
      <c r="F15065" s="215" t="n">
        <v>46063</v>
      </c>
    </row>
    <row r="15066">
      <c r="A15066" s="215" t="n">
        <v>46064</v>
      </c>
      <c r="B15066" s="216" t="n">
        <v>36.84</v>
      </c>
      <c r="C15066" s="216" t="n">
        <v>38.56</v>
      </c>
      <c r="D15066" s="216" t="n">
        <v>1.130962014198303</v>
      </c>
      <c r="E15066" s="215" t="n">
        <v>46064</v>
      </c>
      <c r="F15066" s="215" t="n">
        <v>46064</v>
      </c>
    </row>
    <row r="15067">
      <c r="A15067" s="215" t="n">
        <v>46065</v>
      </c>
      <c r="B15067" s="216" t="n">
        <v>36.4</v>
      </c>
      <c r="C15067" s="216" t="n">
        <v>38.18</v>
      </c>
      <c r="D15067" s="216" t="n">
        <v>1.130671977996826</v>
      </c>
      <c r="E15067" s="215" t="n">
        <v>46065</v>
      </c>
      <c r="F15067" s="215" t="n">
        <v>46065</v>
      </c>
    </row>
    <row r="15068">
      <c r="A15068" s="215" t="n">
        <v>46066</v>
      </c>
      <c r="B15068" s="216" t="n">
        <v>36.2</v>
      </c>
      <c r="C15068" s="216" t="n">
        <v>37.84</v>
      </c>
      <c r="D15068" s="216" t="n">
        <v>1.132490992546082</v>
      </c>
      <c r="E15068" s="215" t="n">
        <v>46066</v>
      </c>
      <c r="F15068" s="215" t="n">
        <v>46066</v>
      </c>
    </row>
    <row r="15069">
      <c r="A15069" s="215" t="n">
        <v>46069</v>
      </c>
      <c r="B15069" s="216" t="n">
        <v>36.28</v>
      </c>
      <c r="C15069" s="216" t="n">
        <v>37.84</v>
      </c>
      <c r="D15069" s="216" t="n">
        <v>1.131224036216736</v>
      </c>
      <c r="E15069" s="215" t="n">
        <v>46066</v>
      </c>
      <c r="F15069" s="215" t="n">
        <v>46069</v>
      </c>
    </row>
    <row r="15070">
      <c r="A15070" s="215" t="n">
        <v>46073</v>
      </c>
      <c r="B15070" s="216" t="n">
        <v>35.82</v>
      </c>
      <c r="C15070" s="216" t="n">
        <v>37.84</v>
      </c>
      <c r="D15070" s="216" t="n">
        <v>1.131005048751831</v>
      </c>
      <c r="E15070" s="215" t="n">
        <v>46066</v>
      </c>
      <c r="F15070" s="215" t="n">
        <v>46073</v>
      </c>
    </row>
    <row r="15071">
      <c r="A15071" s="215" t="n">
        <v>46076</v>
      </c>
      <c r="B15071" s="216" t="n">
        <v>36.16</v>
      </c>
      <c r="C15071" s="216" t="n">
        <v>37.84</v>
      </c>
      <c r="D15071" s="216" t="n">
        <v>1.130877017974854</v>
      </c>
      <c r="E15071" s="215" t="n">
        <v>46066</v>
      </c>
      <c r="F15071" s="215" t="n">
        <v>46076</v>
      </c>
    </row>
    <row r="15072">
      <c r="A15072" s="215" t="n">
        <v>46077</v>
      </c>
      <c r="B15072" s="216" t="n">
        <v>36.04</v>
      </c>
      <c r="C15072" s="216" t="n">
        <v>37.65</v>
      </c>
      <c r="D15072" s="216" t="n">
        <v>1.131631016731262</v>
      </c>
      <c r="E15072" s="215" t="n">
        <v>46077</v>
      </c>
      <c r="F15072" s="215" t="n">
        <v>46077</v>
      </c>
    </row>
    <row r="15073">
      <c r="A15073" s="215" t="n">
        <v>46078</v>
      </c>
      <c r="B15073" s="216" t="n">
        <v>36.34</v>
      </c>
      <c r="C15073" s="216" t="n">
        <v>37.6</v>
      </c>
      <c r="D15073" s="216" t="n">
        <v>1.136234045028687</v>
      </c>
      <c r="E15073" s="215" t="n">
        <v>46078</v>
      </c>
      <c r="F15073" s="215" t="n">
        <v>46078</v>
      </c>
    </row>
    <row r="15074">
      <c r="A15074" s="215" t="n">
        <v>46079</v>
      </c>
      <c r="B15074" s="216" t="n">
        <v>35.72</v>
      </c>
      <c r="C15074" s="216" t="n">
        <v>37.5</v>
      </c>
      <c r="D15074" s="216" t="n">
        <v>1.138198971748352</v>
      </c>
      <c r="E15074" s="215" t="n">
        <v>46079</v>
      </c>
      <c r="F15074" s="215" t="n">
        <v>46079</v>
      </c>
    </row>
    <row r="15075">
      <c r="A15075" s="215" t="n">
        <v>46080</v>
      </c>
      <c r="B15075" s="216" t="n">
        <v>35.98</v>
      </c>
      <c r="C15075" s="216" t="n">
        <v>37.87</v>
      </c>
      <c r="D15075" s="216" t="n">
        <v>1.143396973609924</v>
      </c>
      <c r="E15075" s="215" t="n">
        <v>46080</v>
      </c>
      <c r="F15075" s="215" t="n">
        <v>46080</v>
      </c>
    </row>
    <row r="15076">
      <c r="A15076" s="215" t="n">
        <v>46083</v>
      </c>
      <c r="B15076" s="216" t="n">
        <v>34.72</v>
      </c>
      <c r="C15076" s="216" t="n">
        <v>37.03</v>
      </c>
      <c r="D15076" s="216" t="n">
        <v>1.140552043914795</v>
      </c>
      <c r="E15076" s="215" t="n">
        <v>46083</v>
      </c>
      <c r="F15076" s="215" t="n">
        <v>46083</v>
      </c>
    </row>
    <row r="15077">
      <c r="A15077" s="215" t="n">
        <v>46084</v>
      </c>
      <c r="B15077" s="216" t="n">
        <v>34.76</v>
      </c>
      <c r="C15077" s="216" t="n">
        <v>37.03</v>
      </c>
      <c r="D15077" s="216" t="n">
        <v>1.136399984359741</v>
      </c>
      <c r="E15077" s="215" t="n">
        <v>46084</v>
      </c>
      <c r="F15077" s="215" t="n">
        <v>46084</v>
      </c>
    </row>
    <row r="15078">
      <c r="A15078" s="215" t="n">
        <v>46085</v>
      </c>
      <c r="B15078" s="216" t="n">
        <v>33.94</v>
      </c>
      <c r="C15078" s="216" t="n">
        <v>36.29</v>
      </c>
      <c r="D15078" s="216" t="n">
        <v>1.130928993225098</v>
      </c>
      <c r="E15078" s="215" t="n">
        <v>46085</v>
      </c>
      <c r="F15078" s="215" t="n">
        <v>46085</v>
      </c>
    </row>
    <row r="15079">
      <c r="A15079" s="215" t="n">
        <v>46086</v>
      </c>
      <c r="B15079" s="216" t="n">
        <v>34.26</v>
      </c>
      <c r="C15079" s="216" t="n">
        <v>36.72</v>
      </c>
      <c r="D15079" s="216" t="n">
        <v>1.133169054985046</v>
      </c>
      <c r="E15079" s="215" t="n">
        <v>46086</v>
      </c>
      <c r="F15079" s="215" t="n">
        <v>46086</v>
      </c>
    </row>
    <row r="15080">
      <c r="A15080" s="215" t="n">
        <v>46087</v>
      </c>
      <c r="B15080" s="216" t="n">
        <v>35.08</v>
      </c>
      <c r="C15080" s="216" t="n">
        <v>37.25</v>
      </c>
      <c r="D15080" s="216" t="n">
        <v>1.133442044258118</v>
      </c>
      <c r="E15080" s="215" t="n">
        <v>46087</v>
      </c>
      <c r="F15080" s="215" t="n">
        <v>46087</v>
      </c>
    </row>
    <row r="15081">
      <c r="A15081" s="215" t="n">
        <v>46090</v>
      </c>
      <c r="B15081" s="216" t="n">
        <v>34.4</v>
      </c>
      <c r="C15081" s="216" t="n">
        <v>36.91</v>
      </c>
      <c r="D15081" s="216" t="n">
        <v>1.133231043815613</v>
      </c>
      <c r="E15081" s="215" t="n">
        <v>46090</v>
      </c>
      <c r="F15081" s="215" t="n">
        <v>46090</v>
      </c>
    </row>
    <row r="15082">
      <c r="A15082" s="215" t="n">
        <v>46091</v>
      </c>
      <c r="B15082" s="216" t="n">
        <v>35.04</v>
      </c>
      <c r="C15082" s="216" t="n">
        <v>37.32</v>
      </c>
      <c r="D15082" s="216" t="n">
        <v>1.131595015525818</v>
      </c>
      <c r="E15082" s="215" t="n">
        <v>46091</v>
      </c>
      <c r="F15082" s="215" t="n">
        <v>46091</v>
      </c>
    </row>
    <row r="15083">
      <c r="A15083" s="215" t="n">
        <v>46092</v>
      </c>
      <c r="B15083" s="216" t="n">
        <v>35.06</v>
      </c>
      <c r="C15083" s="216" t="n">
        <v>37.32</v>
      </c>
      <c r="D15083" s="216" t="n">
        <v>1.137585043907166</v>
      </c>
      <c r="E15083" s="215" t="n">
        <v>46092</v>
      </c>
      <c r="F15083" s="215" t="n">
        <v>46092</v>
      </c>
    </row>
    <row r="15084">
      <c r="A15084" s="215" t="n">
        <v>46093</v>
      </c>
      <c r="B15084" s="216" t="n">
        <v>34.62</v>
      </c>
      <c r="C15084" s="216" t="n">
        <v>37.34</v>
      </c>
      <c r="D15084" s="216" t="n">
        <v>1.139600038528442</v>
      </c>
      <c r="E15084" s="215" t="n">
        <v>46093</v>
      </c>
      <c r="F15084" s="215" t="n">
        <v>46093</v>
      </c>
    </row>
    <row r="15085">
      <c r="A15085" s="215" t="n">
        <v>46094</v>
      </c>
      <c r="B15085" s="216" t="n">
        <v>34.76</v>
      </c>
      <c r="C15085" s="216" t="n">
        <v>38.06</v>
      </c>
      <c r="D15085" s="216" t="n">
        <v>1.139310002326965</v>
      </c>
      <c r="E15085" s="215" t="n">
        <v>46094</v>
      </c>
      <c r="F15085" s="215" t="n">
        <v>46094</v>
      </c>
    </row>
    <row r="15086">
      <c r="A15086" s="215" t="n">
        <v>46097</v>
      </c>
      <c r="B15086" s="216" t="n">
        <v>34.98</v>
      </c>
      <c r="C15086" s="216" t="n">
        <v>37.7</v>
      </c>
      <c r="D15086" s="216" t="n">
        <v>1.134883999824524</v>
      </c>
      <c r="E15086" s="215" t="n">
        <v>46097</v>
      </c>
      <c r="F15086" s="215" t="n">
        <v>46097</v>
      </c>
    </row>
    <row r="15087">
      <c r="A15087" s="215" t="n">
        <v>46098</v>
      </c>
      <c r="B15087" s="216" t="n">
        <v>34.94</v>
      </c>
      <c r="C15087" s="216" t="n">
        <v>37.49</v>
      </c>
      <c r="D15087" s="216" t="n">
        <v>1.125375986099243</v>
      </c>
      <c r="E15087" s="215" t="n">
        <v>46098</v>
      </c>
      <c r="F15087" s="215" t="n">
        <v>46098</v>
      </c>
    </row>
    <row r="15088">
      <c r="A15088" s="215" t="n">
        <v>46099</v>
      </c>
      <c r="B15088" s="216" t="n">
        <v>34.6</v>
      </c>
      <c r="C15088" s="216" t="n">
        <v>37.12</v>
      </c>
      <c r="D15088" s="216" t="n">
        <v>1.137819051742554</v>
      </c>
      <c r="E15088" s="215" t="n">
        <v>46099</v>
      </c>
      <c r="F15088" s="215" t="n">
        <v>46099</v>
      </c>
    </row>
    <row r="15089">
      <c r="A15089" s="215" t="n">
        <v>46100</v>
      </c>
      <c r="B15089" s="216" t="n">
        <v>34.08</v>
      </c>
      <c r="C15089" s="216" t="n">
        <v>36.57</v>
      </c>
      <c r="D15089" s="216" t="n">
        <v>1.140079021453857</v>
      </c>
      <c r="E15089" s="215" t="n">
        <v>46100</v>
      </c>
      <c r="F15089" s="215" t="n">
        <v>46100</v>
      </c>
    </row>
    <row r="15090">
      <c r="A15090" s="215" t="n">
        <v>46101</v>
      </c>
      <c r="B15090" s="216" t="n">
        <v>34.52</v>
      </c>
      <c r="C15090" s="216" t="n">
        <v>36.79</v>
      </c>
      <c r="D15090" s="216" t="n">
        <v>1.13490903377533</v>
      </c>
      <c r="E15090" s="215" t="n">
        <v>46101</v>
      </c>
      <c r="F15090" s="215" t="n">
        <v>46101</v>
      </c>
    </row>
    <row r="15091">
      <c r="A15091" s="215" t="n">
        <v>46104</v>
      </c>
      <c r="B15091" s="216" t="n">
        <v>33.02</v>
      </c>
      <c r="C15091" s="216" t="n">
        <v>35.28</v>
      </c>
      <c r="D15091" s="216" t="n">
        <v>1.137529969215393</v>
      </c>
      <c r="E15091" s="215" t="n">
        <v>46104</v>
      </c>
      <c r="F15091" s="215" t="n">
        <v>46104</v>
      </c>
    </row>
    <row r="15092">
      <c r="A15092" s="215" t="n">
        <v>46105</v>
      </c>
      <c r="B15092" s="216" t="n">
        <v>33.6</v>
      </c>
      <c r="C15092" s="216" t="n">
        <v>35.71</v>
      </c>
      <c r="D15092" s="216" t="n">
        <v>1.138481974601746</v>
      </c>
      <c r="E15092" s="215" t="n">
        <v>46105</v>
      </c>
      <c r="F15092" s="215" t="n">
        <v>46105</v>
      </c>
    </row>
    <row r="15093">
      <c r="A15093" s="215" t="n">
        <v>46106</v>
      </c>
      <c r="B15093" s="216" t="n">
        <v>33.88</v>
      </c>
      <c r="C15093" s="216" t="n">
        <v>36.43</v>
      </c>
      <c r="D15093" s="216" t="n">
        <v>1.135548949241638</v>
      </c>
      <c r="E15093" s="215" t="n">
        <v>46106</v>
      </c>
      <c r="F15093" s="215" t="n">
        <v>46106</v>
      </c>
    </row>
    <row r="15094">
      <c r="A15094" s="215" t="n">
        <v>46107</v>
      </c>
      <c r="B15094" s="216" t="n">
        <v>33.46</v>
      </c>
      <c r="C15094" s="216" t="n">
        <v>36.68</v>
      </c>
      <c r="D15094" s="216" t="n">
        <v>1.132627010345459</v>
      </c>
      <c r="E15094" s="215" t="n">
        <v>46107</v>
      </c>
      <c r="F15094" s="215" t="n">
        <v>46107</v>
      </c>
    </row>
    <row r="15095">
      <c r="A15095" s="215" t="n">
        <v>46108</v>
      </c>
      <c r="B15095" s="216" t="n">
        <v>33.82</v>
      </c>
      <c r="C15095" s="216" t="n">
        <v>37.07</v>
      </c>
      <c r="D15095" s="216" t="n">
        <v>1.132115960121155</v>
      </c>
      <c r="E15095" s="215" t="n">
        <v>46108</v>
      </c>
      <c r="F15095" s="215" t="n">
        <v>46108</v>
      </c>
    </row>
    <row r="15096">
      <c r="A15096" s="215" t="n">
        <v>46111</v>
      </c>
      <c r="B15096" s="216" t="n">
        <v>33.32</v>
      </c>
      <c r="C15096" s="216" t="n">
        <v>36.76</v>
      </c>
      <c r="D15096" s="216" t="n">
        <v>1.13311505317688</v>
      </c>
      <c r="E15096" s="215" t="n">
        <v>46111</v>
      </c>
      <c r="F15096" s="215" t="n">
        <v>46111</v>
      </c>
    </row>
    <row r="15097">
      <c r="A15097" s="215" t="n">
        <v>46112</v>
      </c>
      <c r="B15097" s="216" t="n">
        <v>35.24</v>
      </c>
      <c r="C15097" s="216" t="n">
        <v>38.04</v>
      </c>
      <c r="D15097" s="216" t="n">
        <v>1.133540987968445</v>
      </c>
      <c r="E15097" s="215" t="n">
        <v>46112</v>
      </c>
      <c r="F15097" s="215" t="n">
        <v>46112</v>
      </c>
    </row>
    <row r="15098">
      <c r="A15098" s="215" t="n">
        <v>46113</v>
      </c>
      <c r="B15098" s="216" t="n">
        <v>35.68</v>
      </c>
      <c r="C15098" s="216" t="n">
        <v>38.09</v>
      </c>
      <c r="D15098" s="216" t="n">
        <v>1.136669993400574</v>
      </c>
      <c r="E15098" s="215" t="n">
        <v>46113</v>
      </c>
      <c r="F15098" s="215" t="n">
        <v>46113</v>
      </c>
    </row>
    <row r="15099">
      <c r="A15099" s="215" t="n">
        <v>46114</v>
      </c>
      <c r="B15099" s="216" t="n">
        <v>35.5</v>
      </c>
      <c r="C15099" s="216" t="n">
        <v>38.14</v>
      </c>
      <c r="D15099" s="216" t="n">
        <v>1.140197992324829</v>
      </c>
      <c r="E15099" s="215" t="n">
        <v>46114</v>
      </c>
      <c r="F15099" s="215" t="n">
        <v>46114</v>
      </c>
    </row>
    <row r="15100">
      <c r="A15100" s="215" t="n">
        <v>46120</v>
      </c>
      <c r="B15100" s="216" t="n">
        <v>35.66</v>
      </c>
      <c r="C15100" s="216" t="n">
        <v>37.95</v>
      </c>
      <c r="D15100" s="216" t="n">
        <v>1.1423499584198</v>
      </c>
      <c r="E15100" s="215" t="n">
        <v>46120</v>
      </c>
      <c r="F15100" s="215" t="n">
        <v>46120</v>
      </c>
    </row>
    <row r="15101">
      <c r="A15101" s="215" t="n">
        <v>46121</v>
      </c>
      <c r="B15101" s="216" t="n">
        <v>35.44</v>
      </c>
      <c r="C15101" s="216" t="n">
        <v>37.53</v>
      </c>
      <c r="D15101" s="216" t="n">
        <v>1.146731972694397</v>
      </c>
      <c r="E15101" s="215" t="n">
        <v>46121</v>
      </c>
      <c r="F15101" s="215" t="n">
        <v>46121</v>
      </c>
    </row>
    <row r="15102">
      <c r="A15102" s="215" t="n">
        <v>46122</v>
      </c>
      <c r="B15102" s="216" t="n">
        <v>35.5</v>
      </c>
      <c r="C15102" s="216" t="n">
        <v>37.35</v>
      </c>
      <c r="D15102" s="216" t="n">
        <v>1.146558046340942</v>
      </c>
      <c r="E15102" s="215" t="n">
        <v>46122</v>
      </c>
      <c r="F15102" s="215" t="n">
        <v>46122</v>
      </c>
    </row>
    <row r="15103">
      <c r="A15103" s="215" t="n">
        <v>46125</v>
      </c>
      <c r="B15103" s="216" t="n">
        <v>35.12</v>
      </c>
      <c r="C15103" s="216" t="n">
        <v>36.97</v>
      </c>
      <c r="D15103" s="216" t="n">
        <v>1.147117972373962</v>
      </c>
      <c r="E15103" s="215" t="n">
        <v>46125</v>
      </c>
      <c r="F15103" s="215" t="n">
        <v>46125</v>
      </c>
    </row>
    <row r="15104">
      <c r="A15104" s="215" t="n">
        <v>46126</v>
      </c>
      <c r="B15104" s="216" t="n">
        <v>35.76</v>
      </c>
      <c r="C15104" s="216" t="n">
        <v>37.18</v>
      </c>
      <c r="D15104" s="216" t="n">
        <v>1.146226048469543</v>
      </c>
      <c r="E15104" s="215" t="n">
        <v>46126</v>
      </c>
      <c r="F15104" s="215" t="n">
        <v>46126</v>
      </c>
    </row>
    <row r="15105">
      <c r="A15105" s="215" t="n">
        <v>46127</v>
      </c>
      <c r="B15105" s="216" t="n">
        <v>36.14</v>
      </c>
      <c r="C15105" s="216" t="n">
        <v>37.66</v>
      </c>
      <c r="D15105" s="216" t="n">
        <v>1.149266004562378</v>
      </c>
      <c r="E15105" s="215" t="n">
        <v>46127</v>
      </c>
      <c r="F15105" s="215" t="n">
        <v>46127</v>
      </c>
    </row>
    <row r="15106">
      <c r="A15106" s="215" t="n">
        <v>46128</v>
      </c>
      <c r="B15106" s="216" t="n">
        <v>35.98</v>
      </c>
      <c r="C15106" s="216" t="n">
        <v>37.56</v>
      </c>
      <c r="D15106" s="216" t="n">
        <v>1.148550033569336</v>
      </c>
      <c r="E15106" s="215" t="n">
        <v>46128</v>
      </c>
      <c r="F15106" s="215" t="n">
        <v>46128</v>
      </c>
    </row>
    <row r="15107">
      <c r="A15107" s="215" t="n">
        <v>46129</v>
      </c>
      <c r="B15107" s="216" t="n">
        <v>35.48</v>
      </c>
      <c r="C15107" s="216" t="n">
        <v>36.7</v>
      </c>
      <c r="D15107" s="216" t="n">
        <v>1.146605014801025</v>
      </c>
      <c r="E15107" s="215" t="n">
        <v>46129</v>
      </c>
      <c r="F15107" s="215" t="n">
        <v>46129</v>
      </c>
    </row>
    <row r="15108">
      <c r="A15108" s="215" t="n">
        <v>46132</v>
      </c>
      <c r="B15108" s="216" t="n">
        <v>35.44</v>
      </c>
      <c r="C15108" s="216" t="n">
        <v>36.66</v>
      </c>
      <c r="D15108" s="216" t="n">
        <v>1.148360967636108</v>
      </c>
      <c r="E15108" s="215" t="n">
        <v>46132</v>
      </c>
      <c r="F15108" s="215" t="n">
        <v>46132</v>
      </c>
    </row>
    <row r="15109">
      <c r="A15109" s="215" t="n">
        <v>46133</v>
      </c>
      <c r="B15109" s="216" t="n">
        <v>35.38</v>
      </c>
      <c r="C15109" s="216" t="n">
        <v>36.87</v>
      </c>
      <c r="D15109" s="216" t="n">
        <v>1.148368000984192</v>
      </c>
      <c r="E15109" s="215" t="n">
        <v>46133</v>
      </c>
      <c r="F15109" s="215" t="n">
        <v>46133</v>
      </c>
    </row>
    <row r="15110">
      <c r="A15110" s="215" t="n">
        <v>46134</v>
      </c>
      <c r="B15110" s="216" t="n">
        <v>35.26</v>
      </c>
      <c r="C15110" s="216" t="n">
        <v>36.8</v>
      </c>
      <c r="D15110" s="216" t="n">
        <v>1.147838950157166</v>
      </c>
      <c r="E15110" s="215" t="n">
        <v>46134</v>
      </c>
      <c r="F15110" s="215" t="n">
        <v>46134</v>
      </c>
    </row>
    <row r="15111">
      <c r="A15111" s="215" t="n">
        <v>46135</v>
      </c>
      <c r="B15111" s="216" t="n">
        <v>35.3</v>
      </c>
      <c r="C15111" s="216" t="n">
        <v>36.7</v>
      </c>
      <c r="D15111" s="216" t="n">
        <v>1.147513031959534</v>
      </c>
      <c r="E15111" s="215" t="n">
        <v>46135</v>
      </c>
      <c r="F15111" s="215" t="n">
        <v>46135</v>
      </c>
    </row>
    <row r="15112">
      <c r="A15112" s="215" t="n">
        <v>46136</v>
      </c>
      <c r="B15112" s="216" t="n">
        <v>35.36</v>
      </c>
      <c r="C15112" s="216" t="n">
        <v>36.5</v>
      </c>
      <c r="D15112" s="216" t="n">
        <v>1.147369027137756</v>
      </c>
      <c r="E15112" s="215" t="n">
        <v>46136</v>
      </c>
      <c r="F15112" s="215" t="n">
        <v>46136</v>
      </c>
    </row>
    <row r="15113">
      <c r="A15113" s="215" t="n">
        <v>46139</v>
      </c>
      <c r="B15113" s="216" t="n">
        <v>35.8</v>
      </c>
      <c r="C15113" s="216" t="n">
        <v>36.88</v>
      </c>
      <c r="D15113" s="216" t="n">
        <v>1.146002054214478</v>
      </c>
      <c r="E15113" s="215" t="n">
        <v>46139</v>
      </c>
      <c r="F15113" s="215" t="n">
        <v>46139</v>
      </c>
    </row>
    <row r="15114">
      <c r="A15114" s="215" t="n">
        <v>46140</v>
      </c>
      <c r="B15114" s="216" t="n">
        <v>35.96</v>
      </c>
      <c r="C15114" s="216" t="n">
        <v>37.02</v>
      </c>
      <c r="D15114" s="216" t="n">
        <v>1.148522019386292</v>
      </c>
      <c r="E15114" s="215" t="n">
        <v>46140</v>
      </c>
      <c r="F15114" s="215" t="n">
        <v>46140</v>
      </c>
    </row>
    <row r="15115">
      <c r="A15115" s="215" t="n">
        <v>46141</v>
      </c>
      <c r="B15115" s="216" t="n">
        <v>35.78</v>
      </c>
      <c r="C15115" s="216" t="n">
        <v>36.84</v>
      </c>
      <c r="D15115" s="216" t="n">
        <v>1.145936012268066</v>
      </c>
      <c r="E15115" s="215" t="n">
        <v>46141</v>
      </c>
      <c r="F15115" s="215" t="n">
        <v>46141</v>
      </c>
    </row>
    <row r="15116">
      <c r="A15116" s="215" t="n">
        <v>46142</v>
      </c>
      <c r="B15116" s="216" t="n">
        <v>35.4</v>
      </c>
      <c r="C15116" s="216" t="n">
        <v>37.1</v>
      </c>
      <c r="D15116" s="216" t="n">
        <v>1.145792007446289</v>
      </c>
      <c r="E15116" s="215" t="n">
        <v>46142</v>
      </c>
      <c r="F15116" s="215" t="n">
        <v>46142</v>
      </c>
    </row>
    <row r="15117">
      <c r="A15117" s="215" t="n">
        <v>46146</v>
      </c>
      <c r="B15117" s="216" t="n">
        <v>35.24</v>
      </c>
      <c r="C15117" s="216" t="n">
        <v>37.1</v>
      </c>
      <c r="D15117" s="216" t="n">
        <v>1.147340059280396</v>
      </c>
      <c r="E15117" s="215" t="n">
        <v>46142</v>
      </c>
      <c r="F15117" s="215" t="n">
        <v>46146</v>
      </c>
    </row>
    <row r="15118">
      <c r="A15118" s="215" t="n">
        <v>46147</v>
      </c>
      <c r="B15118" s="216" t="n">
        <v>35.08</v>
      </c>
      <c r="C15118" s="216" t="n">
        <v>37.1</v>
      </c>
      <c r="D15118" s="216" t="n">
        <v>1.146813988685608</v>
      </c>
      <c r="E15118" s="215" t="n">
        <v>46142</v>
      </c>
      <c r="F15118" s="215" t="n">
        <v>46147</v>
      </c>
    </row>
    <row r="15119">
      <c r="A15119" s="215" t="n">
        <v>46148</v>
      </c>
      <c r="B15119" s="216" t="n">
        <v>35.46</v>
      </c>
      <c r="C15119" s="216" t="n">
        <v>37.28</v>
      </c>
      <c r="D15119" s="216" t="n">
        <v>1.14708399772644</v>
      </c>
      <c r="E15119" s="215" t="n">
        <v>46148</v>
      </c>
      <c r="F15119" s="215" t="n">
        <v>46148</v>
      </c>
    </row>
    <row r="15120">
      <c r="A15120" s="215" t="n">
        <v>46149</v>
      </c>
      <c r="B15120" s="216" t="n">
        <v>36</v>
      </c>
      <c r="C15120" s="216" t="n">
        <v>37.57</v>
      </c>
      <c r="D15120" s="216" t="n">
        <v>1.150125026702881</v>
      </c>
      <c r="E15120" s="215" t="n">
        <v>46149</v>
      </c>
      <c r="F15120" s="215" t="n">
        <v>46149</v>
      </c>
    </row>
    <row r="15121">
      <c r="A15121" s="215" t="n">
        <v>46150</v>
      </c>
      <c r="B15121" s="216" t="n">
        <v>35.64</v>
      </c>
      <c r="C15121" s="216" t="n">
        <v>37.7</v>
      </c>
      <c r="D15121" s="216" t="n">
        <v>1.15172004699707</v>
      </c>
      <c r="E15121" s="215" t="n">
        <v>46150</v>
      </c>
      <c r="F15121" s="215" t="n">
        <v>46150</v>
      </c>
    </row>
    <row r="15122">
      <c r="A15122" s="215" t="n">
        <v>46153</v>
      </c>
      <c r="B15122" s="216" t="n">
        <v>35.54</v>
      </c>
      <c r="C15122" s="216" t="n">
        <v>37.42</v>
      </c>
      <c r="D15122" s="216" t="n">
        <v>1.151090025901794</v>
      </c>
      <c r="E15122" s="215" t="n">
        <v>46153</v>
      </c>
      <c r="F15122" s="215" t="n">
        <v>46153</v>
      </c>
    </row>
    <row r="15123">
      <c r="A15123" s="215" t="n">
        <v>46154</v>
      </c>
      <c r="B15123" s="216" t="n">
        <v>34.94</v>
      </c>
      <c r="C15123" s="216" t="n">
        <v>36.96</v>
      </c>
      <c r="D15123" s="216" t="n">
        <v>1.152078986167908</v>
      </c>
      <c r="E15123" s="215" t="n">
        <v>46154</v>
      </c>
      <c r="F15123" s="215" t="n">
        <v>46154</v>
      </c>
    </row>
    <row r="15124">
      <c r="A15124" s="215" t="n">
        <v>46155</v>
      </c>
      <c r="B15124" s="216" t="n">
        <v>34.38</v>
      </c>
      <c r="C15124" s="216" t="n">
        <v>36.66</v>
      </c>
      <c r="D15124" s="216" t="n">
        <v>1.152537941932678</v>
      </c>
      <c r="E15124" s="215" t="n">
        <v>46155</v>
      </c>
      <c r="F15124" s="215" t="n">
        <v>46155</v>
      </c>
    </row>
    <row r="15125">
      <c r="A15125" s="215" t="n">
        <v>46156</v>
      </c>
      <c r="B15125" s="216" t="n">
        <v>34.24</v>
      </c>
      <c r="C15125" s="216" t="n">
        <v>36.23</v>
      </c>
      <c r="D15125" s="216" t="n">
        <v>1.152662992477417</v>
      </c>
      <c r="E15125" s="215" t="n">
        <v>46156</v>
      </c>
      <c r="F15125" s="215" t="n">
        <v>46156</v>
      </c>
    </row>
    <row r="15126">
      <c r="A15126" s="215" t="n">
        <v>46157</v>
      </c>
      <c r="B15126" s="216" t="n">
        <v>33.9</v>
      </c>
      <c r="C15126" s="216" t="n">
        <v>35.85</v>
      </c>
      <c r="D15126" s="216" t="n">
        <v>1.154320001602173</v>
      </c>
      <c r="E15126" s="215" t="n">
        <v>46157</v>
      </c>
      <c r="F15126" s="215" t="n">
        <v>46157</v>
      </c>
    </row>
    <row r="15127">
      <c r="A15127" s="215" t="n">
        <v>46160</v>
      </c>
      <c r="B15127" s="216" t="n">
        <v>33.2</v>
      </c>
      <c r="C15127" s="216" t="n">
        <v>35.73</v>
      </c>
      <c r="D15127" s="216" t="n">
        <v>1.149821996688843</v>
      </c>
      <c r="E15127" s="215" t="n">
        <v>46160</v>
      </c>
      <c r="F15127" s="215" t="n">
        <v>46160</v>
      </c>
    </row>
    <row r="15128">
      <c r="A15128" s="215" t="n">
        <v>46161</v>
      </c>
      <c r="B15128" s="216" t="n">
        <v>33.14</v>
      </c>
      <c r="C15128" s="216" t="n">
        <v>35.29</v>
      </c>
      <c r="D15128" s="216" t="n">
        <v>1.151532053947449</v>
      </c>
      <c r="E15128" s="215" t="n">
        <v>46161</v>
      </c>
      <c r="F15128" s="215" t="n">
        <v>46161</v>
      </c>
    </row>
    <row r="15129">
      <c r="A15129" s="215" t="n">
        <v>46162</v>
      </c>
      <c r="B15129" s="216" t="n">
        <v>32.42</v>
      </c>
      <c r="C15129" s="216" t="n">
        <v>35.72</v>
      </c>
      <c r="D15129" s="216" t="n">
        <v>1.149292945861816</v>
      </c>
      <c r="E15129" s="215" t="n">
        <v>46162</v>
      </c>
      <c r="F15129" s="215" t="n">
        <v>46162</v>
      </c>
    </row>
    <row r="15130">
      <c r="A15130" s="215" t="n">
        <v>46163</v>
      </c>
      <c r="B15130" s="216" t="n">
        <v>32.2</v>
      </c>
      <c r="C15130" s="216" t="n">
        <v>35.48</v>
      </c>
      <c r="D15130" s="216" t="n">
        <v>1.151231050491333</v>
      </c>
      <c r="E15130" s="215" t="n">
        <v>46163</v>
      </c>
      <c r="F15130" s="215" t="n">
        <v>46163</v>
      </c>
    </row>
    <row r="15131">
      <c r="A15131" s="215" t="n">
        <v>46164</v>
      </c>
      <c r="B15131" s="216" t="n">
        <v>32.28</v>
      </c>
      <c r="C15131" s="216" t="n">
        <v>35.15</v>
      </c>
      <c r="D15131" s="216" t="n">
        <v>1.151487946510315</v>
      </c>
      <c r="E15131" s="215" t="n">
        <v>46164</v>
      </c>
      <c r="F15131" s="215" t="n">
        <v>46164</v>
      </c>
    </row>
    <row r="15132">
      <c r="A15132" s="215" t="n">
        <v>46168</v>
      </c>
      <c r="B15132" s="216" t="n">
        <v>32.4</v>
      </c>
      <c r="C15132" s="216" t="n">
        <v>35.93</v>
      </c>
      <c r="D15132" s="216" t="n">
        <v>1.152968049049377</v>
      </c>
      <c r="E15132" s="215" t="n">
        <v>46168</v>
      </c>
      <c r="F15132" s="215" t="n">
        <v>46168</v>
      </c>
    </row>
    <row r="15133">
      <c r="A15133" s="215" t="n">
        <v>46169</v>
      </c>
      <c r="B15133" s="216" t="n">
        <v>31.62</v>
      </c>
      <c r="C15133" s="216" t="n">
        <v>35.73</v>
      </c>
      <c r="D15133" s="216" t="n">
        <v>1.154562950134277</v>
      </c>
      <c r="E15133" s="215" t="n">
        <v>46169</v>
      </c>
      <c r="F15133" s="215" t="n">
        <v>46169</v>
      </c>
    </row>
    <row r="15134">
      <c r="A15134" s="215" t="n">
        <v>46170</v>
      </c>
      <c r="B15134" s="216" t="n">
        <v>30.9</v>
      </c>
      <c r="C15134" s="216" t="n">
        <v>35.24</v>
      </c>
      <c r="D15134" s="216" t="n">
        <v>1.155385971069336</v>
      </c>
      <c r="E15134" s="215" t="n">
        <v>46170</v>
      </c>
      <c r="F15134" s="215" t="n">
        <v>46170</v>
      </c>
    </row>
    <row r="15135">
      <c r="A15135" s="215" t="n">
        <v>46171</v>
      </c>
      <c r="B15135" s="216" t="n">
        <v>31.28</v>
      </c>
      <c r="C15135" s="216" t="n">
        <v>34.95</v>
      </c>
      <c r="D15135" s="216" t="n">
        <v>1.155282974243164</v>
      </c>
      <c r="E15135" s="215" t="n">
        <v>46171</v>
      </c>
      <c r="F15135" s="215" t="n">
        <v>46171</v>
      </c>
    </row>
    <row r="15136">
      <c r="A15136" s="215" t="n">
        <v>46174</v>
      </c>
      <c r="B15136" s="216" t="n">
        <v>31.72</v>
      </c>
      <c r="C15136" s="216" t="n">
        <v>35.13</v>
      </c>
      <c r="D15136" s="216" t="n">
        <v>1.158049941062927</v>
      </c>
      <c r="E15136" s="215" t="n">
        <v>46174</v>
      </c>
      <c r="F15136" s="215" t="n">
        <v>46174</v>
      </c>
    </row>
    <row r="15137">
      <c r="A15137" s="215" t="n">
        <v>46175</v>
      </c>
      <c r="B15137" s="216" t="n">
        <v>32.08</v>
      </c>
      <c r="C15137" s="216" t="n">
        <v>34.9</v>
      </c>
      <c r="D15137" s="216" t="n">
        <v>1.158406972885132</v>
      </c>
      <c r="E15137" s="215" t="n">
        <v>46175</v>
      </c>
      <c r="F15137" s="215" t="n">
        <v>46175</v>
      </c>
    </row>
    <row r="15138">
      <c r="A15138" s="215" t="n">
        <v>46176</v>
      </c>
      <c r="B15138" s="216" t="n">
        <v>31.62</v>
      </c>
      <c r="C15138" s="216" t="n">
        <v>34.57</v>
      </c>
      <c r="D15138" s="216" t="n">
        <v>1.15879499912262</v>
      </c>
      <c r="E15138" s="215" t="n">
        <v>46176</v>
      </c>
      <c r="F15138" s="215" t="n">
        <v>46176</v>
      </c>
    </row>
    <row r="15139">
      <c r="A15139" s="215" t="n">
        <v>46177</v>
      </c>
      <c r="B15139" s="216" t="n">
        <v>31.38</v>
      </c>
      <c r="C15139" s="216" t="n">
        <v>34.25</v>
      </c>
      <c r="D15139" s="216" t="n">
        <v>1.157420039176941</v>
      </c>
      <c r="E15139" s="215" t="n">
        <v>46177</v>
      </c>
      <c r="F15139" s="215" t="n">
        <v>46177</v>
      </c>
    </row>
    <row r="15140">
      <c r="A15140" s="215" t="n">
        <v>46178</v>
      </c>
      <c r="B15140" s="216" t="n">
        <v>31.22</v>
      </c>
      <c r="C15140" s="216" t="n">
        <v>34.86</v>
      </c>
      <c r="D15140" s="216" t="n">
        <v>1.156491994857788</v>
      </c>
      <c r="E15140" s="215" t="n">
        <v>46178</v>
      </c>
      <c r="F15140" s="215" t="n">
        <v>46178</v>
      </c>
    </row>
    <row r="15141">
      <c r="A15141" s="215" t="n">
        <v>46181</v>
      </c>
      <c r="B15141" s="216" t="n">
        <v>31.38</v>
      </c>
      <c r="C15141" s="216" t="n">
        <v>34.58</v>
      </c>
      <c r="D15141" s="216" t="n">
        <v>1.157665967941284</v>
      </c>
      <c r="E15141" s="215" t="n">
        <v>46181</v>
      </c>
      <c r="F15141" s="215" t="n">
        <v>46181</v>
      </c>
    </row>
    <row r="15142">
      <c r="A15142" s="215" t="n">
        <v>46182</v>
      </c>
      <c r="B15142" s="216" t="n">
        <v>31.04</v>
      </c>
      <c r="C15142" s="216" t="n">
        <v>34.04</v>
      </c>
      <c r="D15142" s="216" t="n">
        <v>1.158027052879333</v>
      </c>
      <c r="E15142" s="215" t="n">
        <v>46182</v>
      </c>
      <c r="F15142" s="215" t="n">
        <v>46182</v>
      </c>
    </row>
    <row r="15143">
      <c r="A15143" s="215" t="n">
        <v>46183</v>
      </c>
      <c r="B15143" s="216" t="n">
        <v>31.66</v>
      </c>
      <c r="C15143" s="216" t="n">
        <v>34.83</v>
      </c>
      <c r="D15143" s="216" t="n">
        <v>1.157112002372742</v>
      </c>
      <c r="E15143" s="215" t="n">
        <v>46183</v>
      </c>
      <c r="F15143" s="215" t="n">
        <v>46183</v>
      </c>
    </row>
    <row r="15144">
      <c r="A15144" s="215" t="n">
        <v>46184</v>
      </c>
      <c r="B15144" s="216" t="n">
        <v>30.86</v>
      </c>
      <c r="C15144" s="216" t="n">
        <v>34.33</v>
      </c>
      <c r="D15144" s="216" t="n">
        <v>1.156929016113281</v>
      </c>
      <c r="E15144" s="215" t="n">
        <v>46184</v>
      </c>
      <c r="F15144" s="215" t="n">
        <v>46184</v>
      </c>
    </row>
    <row r="15145">
      <c r="A15145" s="215" t="n">
        <v>46185</v>
      </c>
      <c r="B15145" s="216" t="n">
        <v>31.08</v>
      </c>
      <c r="C15145" s="216" t="n">
        <v>34.36</v>
      </c>
      <c r="D15145" s="216" t="n">
        <v>1.156345963478088</v>
      </c>
      <c r="E15145" s="215" t="n">
        <v>46185</v>
      </c>
      <c r="F15145" s="215" t="n">
        <v>46185</v>
      </c>
    </row>
    <row r="15146">
      <c r="A15146" s="215" t="n">
        <v>46188</v>
      </c>
      <c r="B15146" s="216" t="n">
        <v>30.94</v>
      </c>
      <c r="C15146" s="216" t="n">
        <v>33.59</v>
      </c>
      <c r="D15146" s="216" t="n">
        <v>1.156880021095276</v>
      </c>
      <c r="E15146" s="215" t="n">
        <v>46188</v>
      </c>
      <c r="F15146" s="215" t="n">
        <v>46188</v>
      </c>
    </row>
    <row r="15147">
      <c r="A15147" s="215" t="n">
        <v>46189</v>
      </c>
      <c r="B15147" s="216" t="n">
        <v>30.18</v>
      </c>
      <c r="C15147" s="216" t="n">
        <v>32.46</v>
      </c>
      <c r="D15147" s="216" t="n">
        <v>1.158604025840759</v>
      </c>
      <c r="E15147" s="215" t="n">
        <v>46189</v>
      </c>
      <c r="F15147" s="215" t="n">
        <v>46189</v>
      </c>
    </row>
    <row r="15148">
      <c r="A15148" s="215" t="n">
        <v>46190</v>
      </c>
      <c r="B15148" s="216" t="n">
        <v>29.84</v>
      </c>
      <c r="C15148" s="216" t="n">
        <v>32.2</v>
      </c>
      <c r="D15148" s="216" t="n">
        <v>1.158974051475525</v>
      </c>
      <c r="E15148" s="215" t="n">
        <v>46190</v>
      </c>
      <c r="F15148" s="215" t="n">
        <v>46190</v>
      </c>
    </row>
    <row r="15149">
      <c r="A15149" s="215" t="n">
        <v>46191</v>
      </c>
      <c r="B15149" s="216" t="n">
        <v>28.98</v>
      </c>
      <c r="C15149" s="216" t="n">
        <v>31.55</v>
      </c>
      <c r="D15149" s="216" t="n">
        <v>1.159355998039246</v>
      </c>
      <c r="E15149" s="215" t="n">
        <v>46191</v>
      </c>
      <c r="F15149" s="215" t="n">
        <v>46191</v>
      </c>
    </row>
    <row r="15150">
      <c r="A15150" s="215" t="n">
        <v>46195</v>
      </c>
      <c r="B15150" s="216" t="n">
        <v>29.6</v>
      </c>
      <c r="C15150" s="216" t="n">
        <v>31.86</v>
      </c>
      <c r="D15150" s="216" t="n">
        <v>1.157493948936462</v>
      </c>
      <c r="E15150" s="215" t="n">
        <v>46195</v>
      </c>
      <c r="F15150" s="215" t="n">
        <v>46195</v>
      </c>
    </row>
    <row r="15151">
      <c r="A15151" s="215" t="n">
        <v>46196</v>
      </c>
      <c r="B15151" s="216" t="n">
        <v>29.44</v>
      </c>
      <c r="C15151" s="216" t="n">
        <v>31.36</v>
      </c>
      <c r="D15151" s="216" t="n">
        <v>1.156896948814392</v>
      </c>
      <c r="E15151" s="215" t="n">
        <v>46196</v>
      </c>
      <c r="F15151" s="215" t="n">
        <v>46196</v>
      </c>
    </row>
    <row r="15152">
      <c r="A15152" s="215" t="n">
        <v>46197</v>
      </c>
      <c r="B15152" s="216" t="n">
        <v>29.54</v>
      </c>
      <c r="C15152" s="216" t="n">
        <v>30.98</v>
      </c>
      <c r="D15152" s="216" t="n">
        <v>1.154508948326111</v>
      </c>
      <c r="E15152" s="215" t="n">
        <v>46197</v>
      </c>
      <c r="F15152" s="215" t="n">
        <v>46197</v>
      </c>
    </row>
    <row r="15153">
      <c r="A15153" s="215" t="n">
        <v>46198</v>
      </c>
      <c r="B15153" s="216" t="n">
        <v>30.14</v>
      </c>
      <c r="C15153" s="216" t="n">
        <v>31.28</v>
      </c>
      <c r="D15153" s="216" t="n">
        <v>1.154152035713196</v>
      </c>
      <c r="E15153" s="215" t="n">
        <v>46198</v>
      </c>
      <c r="F15153" s="215" t="n">
        <v>46198</v>
      </c>
    </row>
    <row r="15154">
      <c r="A15154" s="215" t="n">
        <v>46199</v>
      </c>
      <c r="B15154" s="216" t="n">
        <v>29.22</v>
      </c>
      <c r="C15154" s="216" t="n">
        <v>30.82</v>
      </c>
      <c r="D15154" s="216" t="n">
        <v>1.154500961303711</v>
      </c>
      <c r="E15154" s="215" t="n">
        <v>46199</v>
      </c>
      <c r="F15154" s="215" t="n">
        <v>46199</v>
      </c>
    </row>
    <row r="15155">
      <c r="A15155" s="215" t="n">
        <v>46202</v>
      </c>
      <c r="B15155" s="216" t="n">
        <v>30.16</v>
      </c>
      <c r="C15155" s="216" t="n">
        <v>31.33</v>
      </c>
      <c r="D15155" s="216" t="n">
        <v>1.153512001037598</v>
      </c>
      <c r="E15155" s="215" t="n">
        <v>46202</v>
      </c>
      <c r="F15155" s="215" t="n">
        <v>46202</v>
      </c>
    </row>
    <row r="15156">
      <c r="A15156" s="215" t="n">
        <v>46203</v>
      </c>
      <c r="B15156" s="216" t="n">
        <v>30.14</v>
      </c>
      <c r="C15156" s="216" t="n">
        <v>31.26</v>
      </c>
      <c r="D15156" s="216" t="n">
        <v>1.153959035873413</v>
      </c>
      <c r="E15156" s="215" t="n">
        <v>46203</v>
      </c>
      <c r="F15156" s="215" t="n">
        <v>46203</v>
      </c>
    </row>
    <row r="15157">
      <c r="A15157" s="215" t="n">
        <v>46205</v>
      </c>
      <c r="B15157" s="216" t="n">
        <v>30.58</v>
      </c>
      <c r="C15157" s="216" t="n">
        <v>32.42</v>
      </c>
      <c r="D15157" s="216" t="n">
        <v>1.154355049133301</v>
      </c>
      <c r="E15157" s="215" t="n">
        <v>46205</v>
      </c>
      <c r="F15157" s="215" t="n">
        <v>46205</v>
      </c>
    </row>
    <row r="15158">
      <c r="A15158" s="215" t="n">
        <v>46206</v>
      </c>
      <c r="B15158" s="216" t="n">
        <v>31.1</v>
      </c>
      <c r="C15158" s="216" t="n">
        <v>32.47</v>
      </c>
      <c r="D15158" s="216" t="n">
        <v>1.155220985412598</v>
      </c>
      <c r="E15158" s="215" t="n">
        <v>46206</v>
      </c>
      <c r="F15158" s="215" t="n">
        <v>46206</v>
      </c>
    </row>
    <row r="15159">
      <c r="A15159" s="215" t="n">
        <v>46209</v>
      </c>
      <c r="B15159" s="216" t="n">
        <v>31.32</v>
      </c>
      <c r="C15159" s="216" t="n">
        <v>32.93</v>
      </c>
      <c r="D15159" s="216" t="n">
        <v>1.155068039894104</v>
      </c>
      <c r="E15159" s="215" t="n">
        <v>46209</v>
      </c>
      <c r="F15159" s="215" t="n">
        <v>46209</v>
      </c>
    </row>
    <row r="15160">
      <c r="A15160" s="215" t="n">
        <v>46210</v>
      </c>
      <c r="B15160" s="216" t="n">
        <v>31.16</v>
      </c>
      <c r="C15160" s="216" t="n">
        <v>32.79</v>
      </c>
      <c r="D15160" s="216" t="n">
        <v>1.153807997703552</v>
      </c>
      <c r="E15160" s="215" t="n">
        <v>46210</v>
      </c>
      <c r="F15160" s="215" t="n">
        <v>46210</v>
      </c>
    </row>
    <row r="15161">
      <c r="A15161" s="215" t="n">
        <v>46211</v>
      </c>
      <c r="B15161" s="216" t="n">
        <v>31.6</v>
      </c>
      <c r="C15161" s="216" t="n">
        <v>32.59</v>
      </c>
      <c r="D15161" s="216" t="n">
        <v>1.154153943061829</v>
      </c>
      <c r="E15161" s="215" t="n">
        <v>46211</v>
      </c>
      <c r="F15161" s="215" t="n">
        <v>46211</v>
      </c>
    </row>
    <row r="15162">
      <c r="A15162" s="215" t="n">
        <v>46212</v>
      </c>
      <c r="B15162" s="216" t="n">
        <v>30.94</v>
      </c>
      <c r="C15162" s="216" t="n">
        <v>31.91</v>
      </c>
      <c r="D15162" s="216" t="n">
        <v>1.152119994163513</v>
      </c>
      <c r="E15162" s="215" t="n">
        <v>46212</v>
      </c>
      <c r="F15162" s="215" t="n">
        <v>46212</v>
      </c>
    </row>
    <row r="15163">
      <c r="A15163" s="215" t="n">
        <v>46213</v>
      </c>
      <c r="B15163" s="216" t="n">
        <v>30.58</v>
      </c>
      <c r="C15163" s="216" t="n">
        <v>32.03</v>
      </c>
      <c r="D15163" s="216" t="n">
        <v>1.153550028800964</v>
      </c>
      <c r="E15163" s="215" t="n">
        <v>46213</v>
      </c>
      <c r="F15163" s="215" t="n">
        <v>46213</v>
      </c>
    </row>
    <row r="15164">
      <c r="A15164" s="215" t="n">
        <v>46216</v>
      </c>
      <c r="B15164" s="216" t="n">
        <v>30.66</v>
      </c>
      <c r="C15164" s="216" t="n">
        <v>31.96</v>
      </c>
      <c r="D15164" s="216" t="n">
        <v>1.156761050224304</v>
      </c>
      <c r="E15164" s="215" t="n">
        <v>46216</v>
      </c>
      <c r="F15164" s="215" t="n">
        <v>46216</v>
      </c>
    </row>
    <row r="15165">
      <c r="A15165" s="215" t="n">
        <v>46217</v>
      </c>
      <c r="B15165" s="216" t="n">
        <v>31.38</v>
      </c>
      <c r="C15165" s="216" t="n">
        <v>32.67</v>
      </c>
      <c r="D15165" s="216" t="n">
        <v>1.155825972557068</v>
      </c>
      <c r="E15165" s="215" t="n">
        <v>46217</v>
      </c>
      <c r="F15165" s="215" t="n">
        <v>46217</v>
      </c>
    </row>
    <row r="15166">
      <c r="A15166" s="215" t="n">
        <v>46218</v>
      </c>
      <c r="B15166" s="216" t="n">
        <v>32.12</v>
      </c>
      <c r="C15166" s="216" t="n">
        <v>33.48</v>
      </c>
      <c r="D15166" s="216" t="n">
        <v>1.157556056976318</v>
      </c>
      <c r="E15166" s="215" t="n">
        <v>46218</v>
      </c>
      <c r="F15166" s="215" t="n">
        <v>46218</v>
      </c>
    </row>
    <row r="15167">
      <c r="A15167" s="215" t="n">
        <v>46219</v>
      </c>
      <c r="B15167" s="216" t="n">
        <v>32.48</v>
      </c>
      <c r="C15167" s="216" t="n">
        <v>33.4</v>
      </c>
      <c r="D15167" s="216" t="n">
        <v>1.157912969589233</v>
      </c>
      <c r="E15167" s="215" t="n">
        <v>46219</v>
      </c>
      <c r="F15167" s="215" t="n">
        <v>46219</v>
      </c>
    </row>
    <row r="15168">
      <c r="A15168" s="215" t="n">
        <v>46220</v>
      </c>
      <c r="B15168" s="216" t="n">
        <v>32.2</v>
      </c>
      <c r="C15168" s="216" t="n">
        <v>33.08</v>
      </c>
      <c r="D15168" s="216" t="n">
        <v>1.157472014427185</v>
      </c>
      <c r="E15168" s="215" t="n">
        <v>46220</v>
      </c>
      <c r="F15168" s="215" t="n">
        <v>46220</v>
      </c>
    </row>
    <row r="15169">
      <c r="A15169" s="215" t="n">
        <v>46223</v>
      </c>
      <c r="B15169" s="216" t="n">
        <v>32.98</v>
      </c>
      <c r="C15169" s="216" t="n">
        <v>33.98</v>
      </c>
      <c r="D15169" s="216" t="n">
        <v>1.157451033592224</v>
      </c>
      <c r="E15169" s="215" t="n">
        <v>46223</v>
      </c>
      <c r="F15169" s="215" t="n">
        <v>46223</v>
      </c>
    </row>
    <row r="15170">
      <c r="A15170" s="215" t="n">
        <v>46224</v>
      </c>
      <c r="B15170" s="216" t="n">
        <v>32.9</v>
      </c>
      <c r="C15170" s="216" t="n">
        <v>33.87</v>
      </c>
      <c r="D15170" s="216" t="n">
        <v>1.157506942749023</v>
      </c>
      <c r="E15170" s="215" t="n">
        <v>46224</v>
      </c>
      <c r="F15170" s="215" t="n">
        <v>46224</v>
      </c>
    </row>
    <row r="15171">
      <c r="A15171" s="215" t="n">
        <v>46225</v>
      </c>
      <c r="B15171" s="216" t="n">
        <v>32.68</v>
      </c>
      <c r="C15171" s="216" t="n">
        <v>34.17</v>
      </c>
      <c r="D15171" s="216" t="n">
        <v>1.158938050270081</v>
      </c>
      <c r="E15171" s="215" t="n">
        <v>46225</v>
      </c>
      <c r="F15171" s="215" t="n">
        <v>46225</v>
      </c>
    </row>
    <row r="15172">
      <c r="A15172" s="215" t="n">
        <v>46226</v>
      </c>
      <c r="B15172" s="216" t="n">
        <v>33.02</v>
      </c>
      <c r="C15172" s="216" t="n">
        <v>33.9</v>
      </c>
      <c r="D15172" s="216" t="n">
        <v>1.157410979270935</v>
      </c>
      <c r="E15172" s="215" t="n">
        <v>46226</v>
      </c>
      <c r="F15172" s="215" t="n">
        <v>46226</v>
      </c>
    </row>
    <row r="15173">
      <c r="A15173" s="215" t="n">
        <v>46227</v>
      </c>
      <c r="B15173" s="216" t="n">
        <v>32.76</v>
      </c>
      <c r="C15173" s="216" t="n">
        <v>33.5</v>
      </c>
      <c r="D15173" s="216" t="n">
        <v>1.15762197971344</v>
      </c>
      <c r="E15173" s="215" t="n">
        <v>46227</v>
      </c>
      <c r="F15173" s="215" t="n">
        <v>46227</v>
      </c>
    </row>
    <row r="15174">
      <c r="A15174" s="215" t="n">
        <v>46230</v>
      </c>
      <c r="B15174" s="216" t="n">
        <v>33</v>
      </c>
      <c r="C15174" s="216" t="n">
        <v>33.76</v>
      </c>
      <c r="D15174" s="216" t="n">
        <v>1.15789794921875</v>
      </c>
      <c r="E15174" s="215" t="n">
        <v>46230</v>
      </c>
      <c r="F15174" s="215" t="n">
        <v>46230</v>
      </c>
    </row>
    <row r="15175">
      <c r="A15175" s="215" t="n">
        <v>46231</v>
      </c>
      <c r="B15175" s="216" t="n">
        <v>33.7</v>
      </c>
      <c r="C15175" s="216" t="n">
        <v>34.58</v>
      </c>
      <c r="D15175" s="216" t="n">
        <v>1.158699035644531</v>
      </c>
      <c r="E15175" s="215" t="n">
        <v>46231</v>
      </c>
      <c r="F15175" s="215" t="n">
        <v>46231</v>
      </c>
    </row>
    <row r="15176">
      <c r="A15176" s="215" t="n">
        <v>46232</v>
      </c>
      <c r="B15176" s="216" t="n">
        <v>33.82</v>
      </c>
      <c r="C15176" s="216" t="n">
        <v>34.74</v>
      </c>
      <c r="D15176" s="216" t="n">
        <v>1.157909989356995</v>
      </c>
      <c r="E15176" s="215" t="n">
        <v>46232</v>
      </c>
      <c r="F15176" s="215" t="n">
        <v>46232</v>
      </c>
    </row>
    <row r="15177">
      <c r="A15177" s="215" t="n">
        <v>46233</v>
      </c>
      <c r="B15177" s="216" t="n">
        <v>34.04</v>
      </c>
      <c r="C15177" s="216" t="n">
        <v>35.12</v>
      </c>
      <c r="D15177" s="216" t="n">
        <v>1.158943057060242</v>
      </c>
      <c r="E15177" s="215" t="n">
        <v>46233</v>
      </c>
      <c r="F15177" s="215" t="n">
        <v>46233</v>
      </c>
    </row>
    <row r="15178">
      <c r="A15178" s="215" t="n">
        <v>46234</v>
      </c>
      <c r="B15178" s="216" t="n">
        <v>33.82</v>
      </c>
      <c r="C15178" s="216" t="n">
        <v>34.99</v>
      </c>
      <c r="D15178" s="216" t="n">
        <v>1.160945057868958</v>
      </c>
      <c r="E15178" s="215" t="n">
        <v>46234</v>
      </c>
      <c r="F15178" s="215" t="n">
        <v>46234</v>
      </c>
    </row>
    <row r="15179">
      <c r="A15179" s="215" t="n">
        <v>46237</v>
      </c>
      <c r="B15179" s="216" t="n">
        <v>33.88</v>
      </c>
      <c r="C15179" s="216" t="n">
        <v>35.05</v>
      </c>
      <c r="D15179" s="216" t="n">
        <v>1.161579966545105</v>
      </c>
      <c r="E15179" s="215" t="n">
        <v>46237</v>
      </c>
      <c r="F15179" s="215" t="n">
        <v>46237</v>
      </c>
    </row>
    <row r="15180">
      <c r="A15180" s="215" t="n">
        <v>46238</v>
      </c>
      <c r="B15180" s="216" t="n">
        <v>33.06</v>
      </c>
      <c r="C15180" s="216" t="n">
        <v>34.45</v>
      </c>
      <c r="D15180" s="216" t="n">
        <v>1.161064982414246</v>
      </c>
      <c r="E15180" s="215" t="n">
        <v>46238</v>
      </c>
      <c r="F15180" s="215" t="n">
        <v>46238</v>
      </c>
    </row>
    <row r="15181">
      <c r="A15181" s="215" t="n">
        <v>46239</v>
      </c>
      <c r="B15181" s="216" t="n">
        <v>33.04</v>
      </c>
      <c r="C15181" s="216" t="n">
        <v>34.01</v>
      </c>
      <c r="D15181" s="216" t="n">
        <v>1.161146998405457</v>
      </c>
      <c r="E15181" s="215" t="n">
        <v>46239</v>
      </c>
      <c r="F15181" s="215" t="n">
        <v>46239</v>
      </c>
    </row>
    <row r="15182">
      <c r="A15182" s="215" t="n">
        <v>46240</v>
      </c>
      <c r="B15182" s="216" t="n">
        <v>32.78</v>
      </c>
      <c r="C15182" s="216" t="n">
        <v>33.72</v>
      </c>
      <c r="D15182" s="216" t="n">
        <v>1.161936044692993</v>
      </c>
      <c r="E15182" s="215" t="n">
        <v>46240</v>
      </c>
      <c r="F15182" s="215" t="n">
        <v>46240</v>
      </c>
    </row>
    <row r="15183">
      <c r="A15183" s="215" t="n">
        <v>46241</v>
      </c>
      <c r="B15183" s="216" t="n">
        <v>32.38</v>
      </c>
      <c r="C15183" s="216" t="n">
        <v>33.3</v>
      </c>
      <c r="D15183" s="216" t="n">
        <v>1.162284016609192</v>
      </c>
      <c r="E15183" s="215" t="n">
        <v>46241</v>
      </c>
      <c r="F15183" s="215" t="n">
        <v>46241</v>
      </c>
    </row>
    <row r="15184">
      <c r="A15184" s="215" t="n">
        <v>46244</v>
      </c>
      <c r="B15184" s="216" t="n">
        <v>33.26</v>
      </c>
      <c r="C15184" s="216" t="n">
        <v>33.8</v>
      </c>
      <c r="D15184" s="216" t="n">
        <v>1.162629961967468</v>
      </c>
      <c r="E15184" s="215" t="n">
        <v>46244</v>
      </c>
      <c r="F15184" s="215" t="n">
        <v>46244</v>
      </c>
    </row>
    <row r="15185">
      <c r="A15185" s="215" t="n">
        <v>46245</v>
      </c>
      <c r="B15185" s="216" t="n">
        <v>33.24</v>
      </c>
      <c r="C15185" s="216" t="n">
        <v>33.59</v>
      </c>
      <c r="D15185" s="216" t="n">
        <v>1.162588000297546</v>
      </c>
      <c r="E15185" s="215" t="n">
        <v>46245</v>
      </c>
      <c r="F15185" s="215" t="n">
        <v>46245</v>
      </c>
    </row>
    <row r="15186">
      <c r="A15186" s="215" t="n">
        <v>46246</v>
      </c>
      <c r="B15186" s="216" t="n">
        <v>32.74</v>
      </c>
      <c r="C15186" s="216" t="n">
        <v>33.23</v>
      </c>
      <c r="D15186" s="216" t="n">
        <v>1.163135051727295</v>
      </c>
      <c r="E15186" s="215" t="n">
        <v>46246</v>
      </c>
      <c r="F15186" s="215" t="n">
        <v>46246</v>
      </c>
    </row>
    <row r="15187">
      <c r="A15187" s="215" t="n">
        <v>46247</v>
      </c>
      <c r="B15187" s="216" t="n">
        <v>32.42</v>
      </c>
      <c r="C15187" s="216" t="n">
        <v>32.96</v>
      </c>
      <c r="D15187" s="216" t="n">
        <v>1.163341045379639</v>
      </c>
      <c r="E15187" s="215" t="n">
        <v>46247</v>
      </c>
      <c r="F15187" s="215" t="n">
        <v>46247</v>
      </c>
    </row>
    <row r="15188">
      <c r="A15188" s="215" t="n">
        <v>46248</v>
      </c>
      <c r="B15188" s="216" t="n">
        <v>32.22</v>
      </c>
      <c r="C15188" s="216" t="n">
        <v>32.74</v>
      </c>
      <c r="D15188" s="216" t="n">
        <v>1.163571000099182</v>
      </c>
      <c r="E15188" s="215" t="n">
        <v>46248</v>
      </c>
      <c r="F15188" s="215" t="n">
        <v>46248</v>
      </c>
    </row>
    <row r="15189">
      <c r="A15189" s="215" t="n">
        <v>46251</v>
      </c>
      <c r="B15189" s="216" t="n">
        <v>32.12</v>
      </c>
      <c r="C15189" s="216" t="n">
        <v>32.52</v>
      </c>
      <c r="D15189" s="216" t="n">
        <v>1.163601994514465</v>
      </c>
      <c r="E15189" s="215" t="n">
        <v>46251</v>
      </c>
      <c r="F15189" s="215" t="n">
        <v>46251</v>
      </c>
    </row>
    <row r="15190">
      <c r="A15190" s="215" t="n">
        <v>46252</v>
      </c>
      <c r="B15190" s="216" t="n">
        <v>32.48</v>
      </c>
      <c r="C15190" s="216" t="n">
        <v>32.7</v>
      </c>
      <c r="D15190" s="216" t="n">
        <v>1.163733005523682</v>
      </c>
      <c r="E15190" s="215" t="n">
        <v>46252</v>
      </c>
      <c r="F15190" s="215" t="n">
        <v>46252</v>
      </c>
    </row>
    <row r="15191">
      <c r="A15191" s="215" t="n">
        <v>46253</v>
      </c>
      <c r="B15191" s="216" t="n">
        <v>32.68</v>
      </c>
      <c r="C15191" s="216" t="n">
        <v>32.78</v>
      </c>
      <c r="D15191" s="216" t="n">
        <v>1.163092017173767</v>
      </c>
      <c r="E15191" s="215" t="n">
        <v>46253</v>
      </c>
      <c r="F15191" s="215" t="n">
        <v>46253</v>
      </c>
    </row>
    <row r="15192">
      <c r="A15192" s="215" t="n">
        <v>46254</v>
      </c>
      <c r="B15192" s="216" t="n">
        <v>32.64</v>
      </c>
      <c r="C15192" s="216" t="n">
        <v>32.84</v>
      </c>
      <c r="D15192" s="216" t="n">
        <v>1.164932012557983</v>
      </c>
      <c r="E15192" s="215" t="n">
        <v>46254</v>
      </c>
      <c r="F15192" s="215" t="n">
        <v>46254</v>
      </c>
    </row>
    <row r="15193">
      <c r="A15193" s="215" t="n">
        <v>46255</v>
      </c>
      <c r="B15193" s="216" t="n">
        <v>32.62</v>
      </c>
      <c r="C15193" s="216" t="n">
        <v>32.5</v>
      </c>
      <c r="D15193" s="216" t="n">
        <v>1.166555047035217</v>
      </c>
      <c r="E15193" s="215" t="n">
        <v>46255</v>
      </c>
      <c r="F15193" s="215" t="n">
        <v>46255</v>
      </c>
    </row>
    <row r="15194">
      <c r="A15194" s="215" t="n">
        <v>46258</v>
      </c>
      <c r="B15194" s="216" t="n">
        <v>32.5</v>
      </c>
      <c r="C15194" s="216" t="n">
        <v>32.94</v>
      </c>
      <c r="D15194" s="216" t="n">
        <v>1.166316986083984</v>
      </c>
      <c r="E15194" s="215" t="n">
        <v>46258</v>
      </c>
      <c r="F15194" s="215" t="n">
        <v>46258</v>
      </c>
    </row>
    <row r="15195">
      <c r="A15195" s="215" t="n">
        <v>46259</v>
      </c>
      <c r="B15195" s="216" t="n">
        <v>32.28</v>
      </c>
      <c r="C15195" s="216" t="n">
        <v>32.92</v>
      </c>
      <c r="D15195" s="216" t="n">
        <v>1.165253043174744</v>
      </c>
      <c r="E15195" s="215" t="n">
        <v>46259</v>
      </c>
      <c r="F15195" s="215" t="n">
        <v>46259</v>
      </c>
    </row>
    <row r="15196">
      <c r="A15196" s="215" t="n">
        <v>46260</v>
      </c>
      <c r="B15196" s="216" t="n">
        <v>32.8</v>
      </c>
      <c r="C15196" s="216" t="n">
        <v>33.58</v>
      </c>
      <c r="D15196" s="216" t="n">
        <v>1.166218996047974</v>
      </c>
      <c r="E15196" s="215" t="n">
        <v>46260</v>
      </c>
      <c r="F15196" s="215" t="n">
        <v>46260</v>
      </c>
    </row>
    <row r="15197">
      <c r="A15197" s="215" t="n">
        <v>46261</v>
      </c>
      <c r="B15197" s="216" t="n">
        <v>32.7</v>
      </c>
      <c r="C15197" s="216" t="n">
        <v>33.41</v>
      </c>
      <c r="D15197" s="216" t="n">
        <v>1.165971040725708</v>
      </c>
      <c r="E15197" s="215" t="n">
        <v>46261</v>
      </c>
      <c r="F15197" s="215" t="n">
        <v>46261</v>
      </c>
    </row>
    <row r="15198">
      <c r="A15198" s="215" t="n">
        <v>46262</v>
      </c>
      <c r="B15198" s="216" t="n">
        <v>32.82</v>
      </c>
      <c r="C15198" s="216" t="n">
        <v>33.67</v>
      </c>
      <c r="D15198" s="216" t="n">
        <v>1.165799975395203</v>
      </c>
      <c r="E15198" s="215" t="n">
        <v>46262</v>
      </c>
      <c r="F15198" s="215" t="n">
        <v>46262</v>
      </c>
    </row>
    <row r="15199">
      <c r="A15199" s="215" t="n">
        <v>46265</v>
      </c>
      <c r="B15199" s="216" t="n">
        <v>30.98</v>
      </c>
      <c r="C15199" s="216" t="n">
        <v>31.8</v>
      </c>
      <c r="D15199" s="216" t="n">
        <v>1.165387988090515</v>
      </c>
      <c r="E15199" s="215" t="n">
        <v>46265</v>
      </c>
      <c r="F15199" s="215" t="n">
        <v>46265</v>
      </c>
    </row>
    <row r="15200">
      <c r="A15200" s="215" t="n">
        <v>46266</v>
      </c>
      <c r="B15200" s="216" t="n">
        <v>30.9</v>
      </c>
      <c r="C15200" s="216" t="n">
        <v>32.13</v>
      </c>
      <c r="D15200" s="216" t="n">
        <v>1.165223956108093</v>
      </c>
      <c r="E15200" s="215" t="n">
        <v>46266</v>
      </c>
      <c r="F15200" s="215" t="n">
        <v>46266</v>
      </c>
    </row>
    <row r="15201">
      <c r="A15201" s="215" t="n">
        <v>46267</v>
      </c>
      <c r="B15201" s="216" t="n">
        <v>31.06</v>
      </c>
      <c r="C15201" s="216" t="n">
        <v>31.96</v>
      </c>
      <c r="D15201" s="216" t="n">
        <v>1.166425943374634</v>
      </c>
      <c r="E15201" s="215" t="n">
        <v>46267</v>
      </c>
      <c r="F15201" s="215" t="n">
        <v>46267</v>
      </c>
    </row>
    <row r="15202">
      <c r="A15202" s="215" t="n">
        <v>46268</v>
      </c>
      <c r="B15202" s="216" t="n">
        <v>30.9</v>
      </c>
      <c r="C15202" s="216" t="n">
        <v>32.05</v>
      </c>
      <c r="D15202" s="216" t="n">
        <v>1.167057037353516</v>
      </c>
      <c r="E15202" s="215" t="n">
        <v>46268</v>
      </c>
      <c r="F15202" s="215" t="n">
        <v>46268</v>
      </c>
    </row>
    <row r="15203">
      <c r="A15203" s="215" t="n">
        <v>46269</v>
      </c>
      <c r="B15203" s="216" t="n">
        <v>31.64</v>
      </c>
      <c r="C15203" s="216" t="n">
        <v>32.22</v>
      </c>
      <c r="D15203" s="216" t="n">
        <v>1.166767954826355</v>
      </c>
      <c r="E15203" s="215" t="n">
        <v>46269</v>
      </c>
      <c r="F15203" s="215" t="n">
        <v>46269</v>
      </c>
    </row>
    <row r="15204">
      <c r="A15204" s="215" t="n">
        <v>46272</v>
      </c>
      <c r="B15204" s="216" t="n">
        <v>31.1</v>
      </c>
      <c r="C15204" s="216" t="n">
        <v>31.75</v>
      </c>
      <c r="D15204" s="216" t="n">
        <v>1.168081045150757</v>
      </c>
      <c r="E15204" s="215" t="n">
        <v>46272</v>
      </c>
      <c r="F15204" s="215" t="n">
        <v>46272</v>
      </c>
    </row>
    <row r="15205">
      <c r="A15205" s="215" t="n">
        <v>46273</v>
      </c>
      <c r="B15205" s="216" t="n">
        <v>30.98</v>
      </c>
      <c r="C15205" s="216" t="n">
        <v>31.84</v>
      </c>
      <c r="D15205" s="216" t="n">
        <v>1.168115019798279</v>
      </c>
      <c r="E15205" s="215" t="n">
        <v>46273</v>
      </c>
      <c r="F15205" s="215" t="n">
        <v>46273</v>
      </c>
    </row>
    <row r="15206">
      <c r="A15206" s="215" t="n">
        <v>46274</v>
      </c>
      <c r="B15206" s="216" t="n">
        <v>30.78</v>
      </c>
      <c r="C15206" s="216" t="n">
        <v>31.62</v>
      </c>
      <c r="D15206" s="216" t="n">
        <v>1.168408989906311</v>
      </c>
      <c r="E15206" s="215" t="n">
        <v>46274</v>
      </c>
      <c r="F15206" s="215" t="n">
        <v>46274</v>
      </c>
    </row>
    <row r="15207">
      <c r="A15207" s="215" t="n">
        <v>46275</v>
      </c>
      <c r="B15207" s="216" t="n">
        <v>29.58</v>
      </c>
      <c r="C15207" s="216" t="n">
        <v>31.41</v>
      </c>
      <c r="D15207" s="216" t="n">
        <v>1.168462991714478</v>
      </c>
      <c r="E15207" s="215" t="n">
        <v>46275</v>
      </c>
      <c r="F15207" s="215" t="n">
        <v>46275</v>
      </c>
    </row>
    <row r="15208">
      <c r="A15208" s="215" t="n">
        <v>46276</v>
      </c>
      <c r="B15208" s="216" t="n">
        <v>29.42</v>
      </c>
      <c r="C15208" s="216" t="n">
        <v>31.12</v>
      </c>
      <c r="D15208" s="216" t="n">
        <v>1.169165015220642</v>
      </c>
      <c r="E15208" s="215" t="n">
        <v>46276</v>
      </c>
      <c r="F15208" s="215" t="n">
        <v>46276</v>
      </c>
    </row>
    <row r="15209">
      <c r="A15209" s="215" t="n">
        <v>46279</v>
      </c>
      <c r="B15209" s="216" t="n">
        <v>29.16</v>
      </c>
      <c r="C15209" s="216" t="n">
        <v>30.98</v>
      </c>
      <c r="D15209" s="216" t="n">
        <v>1.16893994808197</v>
      </c>
      <c r="E15209" s="215" t="n">
        <v>46279</v>
      </c>
      <c r="F15209" s="215" t="n">
        <v>46279</v>
      </c>
    </row>
    <row r="15210">
      <c r="A15210" s="215" t="n">
        <v>46280</v>
      </c>
      <c r="B15210" s="216" t="n">
        <v>28.84</v>
      </c>
      <c r="C15210" s="216" t="n">
        <v>31.08</v>
      </c>
      <c r="D15210" s="216" t="n">
        <v>1.169121026992798</v>
      </c>
      <c r="E15210" s="215" t="n">
        <v>46280</v>
      </c>
      <c r="F15210" s="215" t="n">
        <v>46280</v>
      </c>
    </row>
    <row r="15211">
      <c r="A15211" s="215" t="n">
        <v>46281</v>
      </c>
      <c r="B15211" s="216" t="n">
        <v>28.72</v>
      </c>
      <c r="C15211" s="216" t="n">
        <v>30.75</v>
      </c>
      <c r="D15211" s="216" t="n">
        <v>1.168769955635071</v>
      </c>
      <c r="E15211" s="215" t="n">
        <v>46281</v>
      </c>
      <c r="F15211" s="215" t="n">
        <v>46281</v>
      </c>
    </row>
    <row r="15212">
      <c r="A15212" s="215" t="n">
        <v>46282</v>
      </c>
      <c r="B15212" s="216" t="n">
        <v>29.04</v>
      </c>
      <c r="C15212" s="216" t="n">
        <v>30.75</v>
      </c>
      <c r="D15212" s="216" t="n">
        <v>1.169389963150024</v>
      </c>
      <c r="E15212" s="215" t="n">
        <v>46282</v>
      </c>
      <c r="F15212" s="215" t="n">
        <v>46282</v>
      </c>
    </row>
    <row r="15213">
      <c r="A15213" s="215" t="n">
        <v>46283</v>
      </c>
      <c r="B15213" s="216" t="n">
        <v>28.98</v>
      </c>
      <c r="C15213" s="216" t="n">
        <v>30.78</v>
      </c>
      <c r="D15213" s="216" t="n">
        <v>1.16942298412323</v>
      </c>
      <c r="E15213" s="215" t="n">
        <v>46283</v>
      </c>
      <c r="F15213" s="215" t="n">
        <v>46283</v>
      </c>
    </row>
    <row r="15214">
      <c r="A15214" s="215" t="n">
        <v>46286</v>
      </c>
      <c r="B15214" s="216" t="n">
        <v>29.06</v>
      </c>
      <c r="C15214" s="216" t="n">
        <v>30.94</v>
      </c>
      <c r="D15214" s="216" t="n">
        <v>1.171280026435852</v>
      </c>
      <c r="E15214" s="215" t="n">
        <v>46286</v>
      </c>
      <c r="F15214" s="215" t="n">
        <v>46286</v>
      </c>
    </row>
    <row r="15215">
      <c r="A15215" s="215" t="n">
        <v>46287</v>
      </c>
      <c r="B15215" s="216" t="n">
        <v>28.88</v>
      </c>
      <c r="C15215" s="216" t="n">
        <v>30.94</v>
      </c>
      <c r="D15215" s="216" t="n">
        <v>1.171705007553101</v>
      </c>
      <c r="E15215" s="215" t="n">
        <v>46287</v>
      </c>
      <c r="F15215" s="215" t="n">
        <v>46287</v>
      </c>
    </row>
    <row r="15216">
      <c r="A15216" s="215" t="n">
        <v>46288</v>
      </c>
      <c r="B15216" s="216" t="n">
        <v>28.88</v>
      </c>
      <c r="C15216" s="216" t="n">
        <v>30.89</v>
      </c>
      <c r="D15216" s="216" t="n">
        <v>1.170611023902893</v>
      </c>
      <c r="E15216" s="215" t="n">
        <v>46288</v>
      </c>
      <c r="F15216" s="215" t="n">
        <v>46288</v>
      </c>
    </row>
    <row r="15217">
      <c r="A15217" s="215" t="n">
        <v>46289</v>
      </c>
      <c r="B15217" s="216" t="n">
        <v>28.74</v>
      </c>
      <c r="C15217" s="216" t="n">
        <v>30.54</v>
      </c>
      <c r="D15217" s="216" t="n">
        <v>1.16852605342865</v>
      </c>
      <c r="E15217" s="215" t="n">
        <v>46289</v>
      </c>
      <c r="F15217" s="215" t="n">
        <v>46289</v>
      </c>
    </row>
    <row r="15218">
      <c r="A15218" s="215" t="n">
        <v>46290</v>
      </c>
      <c r="B15218" s="216" t="n">
        <v>28.56</v>
      </c>
      <c r="C15218" s="216" t="n">
        <v>30.54</v>
      </c>
      <c r="D15218" s="216" t="n">
        <v>1.168424010276794</v>
      </c>
      <c r="E15218" s="215" t="n">
        <v>46289</v>
      </c>
      <c r="F15218" s="215" t="n">
        <v>46290</v>
      </c>
    </row>
    <row r="15219">
      <c r="A15219" s="215" t="n">
        <v>46293</v>
      </c>
      <c r="B15219" s="216" t="n">
        <v>28.72</v>
      </c>
      <c r="C15219" s="216" t="n">
        <v>30.44</v>
      </c>
      <c r="D15219" s="216" t="n">
        <v>1.168378949165344</v>
      </c>
      <c r="E15219" s="215" t="n">
        <v>46293</v>
      </c>
      <c r="F15219" s="215" t="n">
        <v>46293</v>
      </c>
    </row>
    <row r="15220">
      <c r="A15220" s="215" t="n">
        <v>46294</v>
      </c>
      <c r="B15220" s="216" t="n">
        <v>28.52</v>
      </c>
      <c r="C15220" s="216" t="n">
        <v>30.51</v>
      </c>
      <c r="D15220" s="216" t="n">
        <v>1.168815970420837</v>
      </c>
      <c r="E15220" s="215" t="n">
        <v>46294</v>
      </c>
      <c r="F15220" s="215" t="n">
        <v>46294</v>
      </c>
    </row>
    <row r="15221">
      <c r="A15221" s="215" t="n">
        <v>46295</v>
      </c>
      <c r="B15221" s="216" t="n">
        <v>29</v>
      </c>
      <c r="C15221" s="216" t="n">
        <v>30.67</v>
      </c>
      <c r="D15221" s="216" t="n">
        <v>1.17059600353241</v>
      </c>
      <c r="E15221" s="215" t="n">
        <v>46295</v>
      </c>
      <c r="F15221" s="215" t="n">
        <v>46295</v>
      </c>
    </row>
    <row r="15222">
      <c r="A15222" s="215" t="n">
        <v>46297</v>
      </c>
      <c r="B15222" s="216" t="n">
        <v>28.56</v>
      </c>
      <c r="C15222" s="216" t="n">
        <v>30.67</v>
      </c>
      <c r="D15222" s="216" t="n">
        <v>1.170220971107483</v>
      </c>
      <c r="E15222" s="215" t="n">
        <v>46295</v>
      </c>
      <c r="F15222" s="215" t="n">
        <v>46297</v>
      </c>
    </row>
    <row r="15223">
      <c r="A15223" s="215" t="n">
        <v>44938</v>
      </c>
      <c r="B15223" s="216" t="n">
        <v>60</v>
      </c>
      <c r="C15223" s="216" t="n">
        <v>79.2</v>
      </c>
      <c r="D15223" s="216" t="n">
        <v>1.15372097492218</v>
      </c>
      <c r="E15223" s="215" t="n">
        <v>44938</v>
      </c>
      <c r="F15223" s="215" t="n">
        <v>44938</v>
      </c>
    </row>
    <row r="15224">
      <c r="A15224" s="215" t="n">
        <v>44939</v>
      </c>
      <c r="B15224" s="216" t="n">
        <v>60</v>
      </c>
      <c r="C15224" s="216" t="n">
        <v>78.26000000000001</v>
      </c>
      <c r="D15224" s="216" t="n">
        <v>1.158794045448303</v>
      </c>
      <c r="E15224" s="215" t="n">
        <v>44939</v>
      </c>
      <c r="F15224" s="215" t="n">
        <v>44939</v>
      </c>
    </row>
    <row r="15225">
      <c r="A15225" s="215" t="n">
        <v>44942</v>
      </c>
      <c r="B15225" s="216" t="n">
        <v>60</v>
      </c>
      <c r="C15225" s="216" t="n">
        <v>80.26000000000001</v>
      </c>
      <c r="D15225" s="216" t="n">
        <v>1.16464102268219</v>
      </c>
      <c r="E15225" s="215" t="n">
        <v>44942</v>
      </c>
      <c r="F15225" s="215" t="n">
        <v>44942</v>
      </c>
    </row>
    <row r="15226">
      <c r="A15226" s="215" t="n">
        <v>44943</v>
      </c>
      <c r="B15226" s="216" t="n">
        <v>60</v>
      </c>
      <c r="C15226" s="216" t="n">
        <v>80.28</v>
      </c>
      <c r="D15226" s="216" t="n">
        <v>1.159963011741638</v>
      </c>
      <c r="E15226" s="215" t="n">
        <v>44943</v>
      </c>
      <c r="F15226" s="215" t="n">
        <v>44943</v>
      </c>
    </row>
    <row r="15227">
      <c r="A15227" s="215" t="n">
        <v>44944</v>
      </c>
      <c r="B15227" s="216" t="n">
        <v>60</v>
      </c>
      <c r="C15227" s="216" t="n">
        <v>79.41</v>
      </c>
      <c r="D15227" s="216" t="n">
        <v>1.154523968696594</v>
      </c>
      <c r="E15227" s="215" t="n">
        <v>44944</v>
      </c>
      <c r="F15227" s="215" t="n">
        <v>44944</v>
      </c>
    </row>
    <row r="15228">
      <c r="A15228" s="215" t="n">
        <v>44945</v>
      </c>
      <c r="B15228" s="216" t="n">
        <v>60</v>
      </c>
      <c r="C15228" s="216" t="n">
        <v>79.81999999999999</v>
      </c>
      <c r="D15228" s="216" t="n">
        <v>1.15931499004364</v>
      </c>
      <c r="E15228" s="215" t="n">
        <v>44945</v>
      </c>
      <c r="F15228" s="215" t="n">
        <v>44945</v>
      </c>
    </row>
    <row r="15229">
      <c r="A15229" s="215" t="n">
        <v>44946</v>
      </c>
      <c r="B15229" s="216" t="n">
        <v>60</v>
      </c>
      <c r="C15229" s="216" t="n">
        <v>80.13</v>
      </c>
      <c r="D15229" s="216" t="n">
        <v>1.154749989509583</v>
      </c>
      <c r="E15229" s="215" t="n">
        <v>44946</v>
      </c>
      <c r="F15229" s="215" t="n">
        <v>44946</v>
      </c>
    </row>
    <row r="15230">
      <c r="A15230" s="215" t="n">
        <v>44952</v>
      </c>
      <c r="B15230" s="216" t="n">
        <v>60.15</v>
      </c>
      <c r="C15230" s="216" t="n">
        <v>80.13</v>
      </c>
      <c r="D15230" s="216" t="n">
        <v>1.153751969337463</v>
      </c>
      <c r="E15230" s="215" t="n">
        <v>44946</v>
      </c>
      <c r="F15230" s="215" t="n">
        <v>44952</v>
      </c>
    </row>
    <row r="15231">
      <c r="A15231" s="215" t="n">
        <v>44953</v>
      </c>
      <c r="B15231" s="216" t="n">
        <v>60.15</v>
      </c>
      <c r="C15231" s="216" t="n">
        <v>80.13</v>
      </c>
      <c r="D15231" s="216" t="n">
        <v>1.153638958930969</v>
      </c>
      <c r="E15231" s="215" t="n">
        <v>44946</v>
      </c>
      <c r="F15231" s="215" t="n">
        <v>44953</v>
      </c>
    </row>
    <row r="15232">
      <c r="A15232" s="215" t="n">
        <v>44956</v>
      </c>
      <c r="B15232" s="216" t="n">
        <v>62</v>
      </c>
      <c r="C15232" s="216" t="n">
        <v>83.89</v>
      </c>
      <c r="D15232" s="216" t="n">
        <v>1.154070019721985</v>
      </c>
      <c r="E15232" s="215" t="n">
        <v>44956</v>
      </c>
      <c r="F15232" s="215" t="n">
        <v>44956</v>
      </c>
    </row>
    <row r="15233">
      <c r="A15233" s="215" t="n">
        <v>44957</v>
      </c>
      <c r="B15233" s="216" t="n">
        <v>61</v>
      </c>
      <c r="C15233" s="216" t="n">
        <v>84.84999999999999</v>
      </c>
      <c r="D15233" s="216" t="n">
        <v>1.160927057266235</v>
      </c>
      <c r="E15233" s="215" t="n">
        <v>44957</v>
      </c>
      <c r="F15233" s="215" t="n">
        <v>44957</v>
      </c>
    </row>
    <row r="15234">
      <c r="A15234" s="215" t="n">
        <v>44958</v>
      </c>
      <c r="B15234" s="216" t="n">
        <v>60.95</v>
      </c>
      <c r="C15234" s="216" t="n">
        <v>85.3</v>
      </c>
      <c r="D15234" s="216" t="n">
        <v>1.160451054573059</v>
      </c>
      <c r="E15234" s="215" t="n">
        <v>44958</v>
      </c>
      <c r="F15234" s="215" t="n">
        <v>44958</v>
      </c>
    </row>
    <row r="15235">
      <c r="A15235" s="215" t="n">
        <v>44959</v>
      </c>
      <c r="B15235" s="216" t="n">
        <v>60</v>
      </c>
      <c r="C15235" s="216" t="n">
        <v>86.12</v>
      </c>
      <c r="D15235" s="216" t="n">
        <v>1.162333965301514</v>
      </c>
      <c r="E15235" s="215" t="n">
        <v>44959</v>
      </c>
      <c r="F15235" s="215" t="n">
        <v>44959</v>
      </c>
    </row>
    <row r="15236">
      <c r="A15236" s="215" t="n">
        <v>44960</v>
      </c>
      <c r="B15236" s="216" t="n">
        <v>60.05</v>
      </c>
      <c r="C15236" s="216" t="n">
        <v>84.81</v>
      </c>
      <c r="D15236" s="216" t="n">
        <v>1.165007948875427</v>
      </c>
      <c r="E15236" s="215" t="n">
        <v>44960</v>
      </c>
      <c r="F15236" s="215" t="n">
        <v>44960</v>
      </c>
    </row>
    <row r="15237">
      <c r="A15237" s="215" t="n">
        <v>44963</v>
      </c>
      <c r="B15237" s="216" t="n">
        <v>61.7</v>
      </c>
      <c r="C15237" s="216" t="n">
        <v>94.73999999999999</v>
      </c>
      <c r="D15237" s="216" t="n">
        <v>1.157632946968079</v>
      </c>
      <c r="E15237" s="215" t="n">
        <v>44963</v>
      </c>
      <c r="F15237" s="215" t="n">
        <v>44963</v>
      </c>
    </row>
    <row r="15238">
      <c r="A15238" s="215" t="n">
        <v>44964</v>
      </c>
      <c r="B15238" s="216" t="n">
        <v>60.65</v>
      </c>
      <c r="C15238" s="216" t="n">
        <v>92.09999999999999</v>
      </c>
      <c r="D15238" s="216" t="n">
        <v>1.154948949813843</v>
      </c>
      <c r="E15238" s="215" t="n">
        <v>44964</v>
      </c>
      <c r="F15238" s="215" t="n">
        <v>44964</v>
      </c>
    </row>
    <row r="15239">
      <c r="A15239" s="215" t="n">
        <v>44965</v>
      </c>
      <c r="B15239" s="216" t="n">
        <v>59.5</v>
      </c>
      <c r="C15239" s="216" t="n">
        <v>94.76000000000001</v>
      </c>
      <c r="D15239" s="216" t="n">
        <v>1.155540943145752</v>
      </c>
      <c r="E15239" s="215" t="n">
        <v>44965</v>
      </c>
      <c r="F15239" s="215" t="n">
        <v>44965</v>
      </c>
    </row>
    <row r="15240">
      <c r="A15240" s="215" t="n">
        <v>44966</v>
      </c>
      <c r="B15240" s="216" t="n">
        <v>60</v>
      </c>
      <c r="C15240" s="216" t="n">
        <v>97.40000000000001</v>
      </c>
      <c r="D15240" s="216" t="n">
        <v>1.156080961227417</v>
      </c>
      <c r="E15240" s="215" t="n">
        <v>44966</v>
      </c>
      <c r="F15240" s="215" t="n">
        <v>44966</v>
      </c>
    </row>
    <row r="15241">
      <c r="A15241" s="215" t="n">
        <v>44967</v>
      </c>
      <c r="B15241" s="216" t="n">
        <v>60.3</v>
      </c>
      <c r="C15241" s="216" t="n">
        <v>95.92</v>
      </c>
      <c r="D15241" s="216" t="n">
        <v>1.157587051391602</v>
      </c>
      <c r="E15241" s="215" t="n">
        <v>44967</v>
      </c>
      <c r="F15241" s="215" t="n">
        <v>44967</v>
      </c>
    </row>
    <row r="15242">
      <c r="A15242" s="215" t="n">
        <v>44970</v>
      </c>
      <c r="B15242" s="216" t="n">
        <v>60.05</v>
      </c>
      <c r="C15242" s="216" t="n">
        <v>93.89</v>
      </c>
      <c r="D15242" s="216" t="n">
        <v>1.152721047401428</v>
      </c>
      <c r="E15242" s="215" t="n">
        <v>44970</v>
      </c>
      <c r="F15242" s="215" t="n">
        <v>44970</v>
      </c>
    </row>
    <row r="15243">
      <c r="A15243" s="215" t="n">
        <v>44971</v>
      </c>
      <c r="B15243" s="216" t="n">
        <v>63.65</v>
      </c>
      <c r="C15243" s="216" t="n">
        <v>100</v>
      </c>
      <c r="D15243" s="216" t="n">
        <v>1.150822043418884</v>
      </c>
      <c r="E15243" s="215" t="n">
        <v>44971</v>
      </c>
      <c r="F15243" s="215" t="n">
        <v>44971</v>
      </c>
    </row>
    <row r="15244">
      <c r="A15244" s="215" t="n">
        <v>44972</v>
      </c>
      <c r="B15244" s="216" t="n">
        <v>64.95</v>
      </c>
      <c r="C15244" s="216" t="n">
        <v>100.66</v>
      </c>
      <c r="D15244" s="216" t="n">
        <v>1.149250030517578</v>
      </c>
      <c r="E15244" s="215" t="n">
        <v>44972</v>
      </c>
      <c r="F15244" s="215" t="n">
        <v>44972</v>
      </c>
    </row>
    <row r="15245">
      <c r="A15245" s="215" t="n">
        <v>44973</v>
      </c>
      <c r="B15245" s="216" t="n">
        <v>62.95</v>
      </c>
      <c r="C15245" s="216" t="n">
        <v>95.15000000000001</v>
      </c>
      <c r="D15245" s="216" t="n">
        <v>1.144971013069153</v>
      </c>
      <c r="E15245" s="215" t="n">
        <v>44973</v>
      </c>
      <c r="F15245" s="215" t="n">
        <v>44973</v>
      </c>
    </row>
    <row r="15246">
      <c r="A15246" s="215" t="n">
        <v>44974</v>
      </c>
      <c r="B15246" s="216" t="n">
        <v>62.6</v>
      </c>
      <c r="C15246" s="216" t="n">
        <v>94.59999999999999</v>
      </c>
      <c r="D15246" s="216" t="n">
        <v>1.144101023674011</v>
      </c>
      <c r="E15246" s="215" t="n">
        <v>44974</v>
      </c>
      <c r="F15246" s="215" t="n">
        <v>44974</v>
      </c>
    </row>
    <row r="15247">
      <c r="A15247" s="215" t="n">
        <v>44977</v>
      </c>
      <c r="B15247" s="216" t="n">
        <v>62.8</v>
      </c>
      <c r="C15247" s="216" t="n">
        <v>94.52</v>
      </c>
      <c r="D15247" s="216" t="n">
        <v>1.141230940818787</v>
      </c>
      <c r="E15247" s="215" t="n">
        <v>44977</v>
      </c>
      <c r="F15247" s="215" t="n">
        <v>44977</v>
      </c>
    </row>
    <row r="15248">
      <c r="A15248" s="215" t="n">
        <v>44978</v>
      </c>
      <c r="B15248" s="216" t="n">
        <v>60.45</v>
      </c>
      <c r="C15248" s="216" t="n">
        <v>91.58</v>
      </c>
      <c r="D15248" s="216" t="n">
        <v>1.142338037490845</v>
      </c>
      <c r="E15248" s="215" t="n">
        <v>44978</v>
      </c>
      <c r="F15248" s="215" t="n">
        <v>44978</v>
      </c>
    </row>
    <row r="15249">
      <c r="A15249" s="215" t="n">
        <v>44979</v>
      </c>
      <c r="B15249" s="216" t="n">
        <v>60.9</v>
      </c>
      <c r="C15249" s="216" t="n">
        <v>89.7</v>
      </c>
      <c r="D15249" s="216" t="n">
        <v>1.141216993331909</v>
      </c>
      <c r="E15249" s="215" t="n">
        <v>44979</v>
      </c>
      <c r="F15249" s="215" t="n">
        <v>44979</v>
      </c>
    </row>
    <row r="15250">
      <c r="A15250" s="215" t="n">
        <v>44980</v>
      </c>
      <c r="B15250" s="216" t="n">
        <v>60.6</v>
      </c>
      <c r="C15250" s="216" t="n">
        <v>88.65000000000001</v>
      </c>
      <c r="D15250" s="216" t="n">
        <v>1.138142943382263</v>
      </c>
      <c r="E15250" s="215" t="n">
        <v>44980</v>
      </c>
      <c r="F15250" s="215" t="n">
        <v>44980</v>
      </c>
    </row>
    <row r="15251">
      <c r="A15251" s="215" t="n">
        <v>44981</v>
      </c>
      <c r="B15251" s="216" t="n">
        <v>61.2</v>
      </c>
      <c r="C15251" s="216" t="n">
        <v>87.84999999999999</v>
      </c>
      <c r="D15251" s="216" t="n">
        <v>1.135694026947021</v>
      </c>
      <c r="E15251" s="215" t="n">
        <v>44981</v>
      </c>
      <c r="F15251" s="215" t="n">
        <v>44981</v>
      </c>
    </row>
    <row r="15252">
      <c r="A15252" s="215" t="n">
        <v>44984</v>
      </c>
      <c r="B15252" s="216" t="n">
        <v>60.55</v>
      </c>
      <c r="C15252" s="216" t="n">
        <v>86.90000000000001</v>
      </c>
      <c r="D15252" s="216" t="n">
        <v>1.135581016540527</v>
      </c>
      <c r="E15252" s="215" t="n">
        <v>44984</v>
      </c>
      <c r="F15252" s="215" t="n">
        <v>44984</v>
      </c>
    </row>
    <row r="15253">
      <c r="A15253" s="215" t="n">
        <v>44985</v>
      </c>
      <c r="B15253" s="216" t="n">
        <v>60.5</v>
      </c>
      <c r="C15253" s="216" t="n">
        <v>87.17</v>
      </c>
      <c r="D15253" s="216" t="n">
        <v>1.129464983940125</v>
      </c>
      <c r="E15253" s="215" t="n">
        <v>44985</v>
      </c>
      <c r="F15253" s="215" t="n">
        <v>44985</v>
      </c>
    </row>
    <row r="15254">
      <c r="A15254" s="215" t="n">
        <v>44986</v>
      </c>
      <c r="B15254" s="216" t="n">
        <v>61.5</v>
      </c>
      <c r="C15254" s="216" t="n">
        <v>88.59</v>
      </c>
      <c r="D15254" s="216" t="n">
        <v>1.131901025772095</v>
      </c>
      <c r="E15254" s="215" t="n">
        <v>44986</v>
      </c>
      <c r="F15254" s="215" t="n">
        <v>44986</v>
      </c>
    </row>
    <row r="15255">
      <c r="A15255" s="215" t="n">
        <v>44987</v>
      </c>
      <c r="B15255" s="216" t="n">
        <v>61.8</v>
      </c>
      <c r="C15255" s="216" t="n">
        <v>90.13</v>
      </c>
      <c r="D15255" s="216" t="n">
        <v>1.142472982406616</v>
      </c>
      <c r="E15255" s="215" t="n">
        <v>44987</v>
      </c>
      <c r="F15255" s="215" t="n">
        <v>44987</v>
      </c>
    </row>
    <row r="15256">
      <c r="A15256" s="215" t="n">
        <v>44988</v>
      </c>
      <c r="B15256" s="216" t="n">
        <v>61.75</v>
      </c>
      <c r="C15256" s="216" t="n">
        <v>90.72</v>
      </c>
      <c r="D15256" s="216" t="n">
        <v>1.134973049163818</v>
      </c>
      <c r="E15256" s="215" t="n">
        <v>44988</v>
      </c>
      <c r="F15256" s="215" t="n">
        <v>44988</v>
      </c>
    </row>
    <row r="15257">
      <c r="A15257" s="215" t="n">
        <v>44991</v>
      </c>
      <c r="B15257" s="216" t="n">
        <v>61.15</v>
      </c>
      <c r="C15257" s="216" t="n">
        <v>92.34</v>
      </c>
      <c r="D15257" s="216" t="n">
        <v>1.135468006134033</v>
      </c>
      <c r="E15257" s="215" t="n">
        <v>44991</v>
      </c>
      <c r="F15257" s="215" t="n">
        <v>44991</v>
      </c>
    </row>
    <row r="15258">
      <c r="A15258" s="215" t="n">
        <v>44992</v>
      </c>
      <c r="B15258" s="216" t="n">
        <v>60.5</v>
      </c>
      <c r="C15258" s="216" t="n">
        <v>92</v>
      </c>
      <c r="D15258" s="216" t="n">
        <v>1.132706046104431</v>
      </c>
      <c r="E15258" s="215" t="n">
        <v>44992</v>
      </c>
      <c r="F15258" s="215" t="n">
        <v>44992</v>
      </c>
    </row>
    <row r="15259">
      <c r="A15259" s="215" t="n">
        <v>44993</v>
      </c>
      <c r="B15259" s="216" t="n">
        <v>60</v>
      </c>
      <c r="C15259" s="216" t="n">
        <v>89.18000000000001</v>
      </c>
      <c r="D15259" s="216" t="n">
        <v>1.127292037010193</v>
      </c>
      <c r="E15259" s="215" t="n">
        <v>44993</v>
      </c>
      <c r="F15259" s="215" t="n">
        <v>44993</v>
      </c>
    </row>
    <row r="15260">
      <c r="A15260" s="215" t="n">
        <v>44994</v>
      </c>
      <c r="B15260" s="216" t="n">
        <v>60.75</v>
      </c>
      <c r="C15260" s="216" t="n">
        <v>89.45</v>
      </c>
      <c r="D15260" s="216" t="n">
        <v>1.12942099571228</v>
      </c>
      <c r="E15260" s="215" t="n">
        <v>44994</v>
      </c>
      <c r="F15260" s="215" t="n">
        <v>44994</v>
      </c>
    </row>
    <row r="15261">
      <c r="A15261" s="215" t="n">
        <v>44995</v>
      </c>
      <c r="B15261" s="216" t="n">
        <v>60</v>
      </c>
      <c r="C15261" s="216" t="n">
        <v>88.03</v>
      </c>
      <c r="D15261" s="216" t="n">
        <v>1.126757979393005</v>
      </c>
      <c r="E15261" s="215" t="n">
        <v>44995</v>
      </c>
      <c r="F15261" s="215" t="n">
        <v>44995</v>
      </c>
    </row>
    <row r="15262">
      <c r="A15262" s="215" t="n">
        <v>44998</v>
      </c>
      <c r="B15262" s="216" t="n">
        <v>60</v>
      </c>
      <c r="C15262" s="216" t="n">
        <v>86.59999999999999</v>
      </c>
      <c r="D15262" s="216" t="n">
        <v>1.140457987785339</v>
      </c>
      <c r="E15262" s="215" t="n">
        <v>44998</v>
      </c>
      <c r="F15262" s="215" t="n">
        <v>44998</v>
      </c>
    </row>
    <row r="15263">
      <c r="A15263" s="215" t="n">
        <v>44999</v>
      </c>
      <c r="B15263" s="216" t="n">
        <v>59.25</v>
      </c>
      <c r="C15263" s="216" t="n">
        <v>84.38</v>
      </c>
      <c r="D15263" s="216" t="n">
        <v>1.14533805847168</v>
      </c>
      <c r="E15263" s="215" t="n">
        <v>44999</v>
      </c>
      <c r="F15263" s="215" t="n">
        <v>44999</v>
      </c>
    </row>
    <row r="15264">
      <c r="A15264" s="215" t="n">
        <v>45000</v>
      </c>
      <c r="B15264" s="216" t="n">
        <v>59.8</v>
      </c>
      <c r="C15264" s="216" t="n">
        <v>85.17</v>
      </c>
      <c r="D15264" s="216" t="n">
        <v>1.141839981079102</v>
      </c>
      <c r="E15264" s="215" t="n">
        <v>45000</v>
      </c>
      <c r="F15264" s="215" t="n">
        <v>45000</v>
      </c>
    </row>
    <row r="15265">
      <c r="A15265" s="215" t="n">
        <v>45001</v>
      </c>
      <c r="B15265" s="216" t="n">
        <v>58.7</v>
      </c>
      <c r="C15265" s="216" t="n">
        <v>81.97</v>
      </c>
      <c r="D15265" s="216" t="n">
        <v>1.135804057121277</v>
      </c>
      <c r="E15265" s="215" t="n">
        <v>45001</v>
      </c>
      <c r="F15265" s="215" t="n">
        <v>45001</v>
      </c>
    </row>
    <row r="15266">
      <c r="A15266" s="215" t="n">
        <v>45002</v>
      </c>
      <c r="B15266" s="216" t="n">
        <v>59.45</v>
      </c>
      <c r="C15266" s="216" t="n">
        <v>82.23</v>
      </c>
      <c r="D15266" s="216" t="n">
        <v>1.137447953224182</v>
      </c>
      <c r="E15266" s="215" t="n">
        <v>45002</v>
      </c>
      <c r="F15266" s="215" t="n">
        <v>45002</v>
      </c>
    </row>
    <row r="15267">
      <c r="A15267" s="215" t="n">
        <v>45005</v>
      </c>
      <c r="B15267" s="216" t="n">
        <v>59.45</v>
      </c>
      <c r="C15267" s="216" t="n">
        <v>83.5</v>
      </c>
      <c r="D15267" s="216" t="n">
        <v>1.14422595500946</v>
      </c>
      <c r="E15267" s="215" t="n">
        <v>45005</v>
      </c>
      <c r="F15267" s="215" t="n">
        <v>45005</v>
      </c>
    </row>
    <row r="15268">
      <c r="A15268" s="215" t="n">
        <v>45006</v>
      </c>
      <c r="B15268" s="216" t="n">
        <v>60</v>
      </c>
      <c r="C15268" s="216" t="n">
        <v>84.76000000000001</v>
      </c>
      <c r="D15268" s="216" t="n">
        <v>1.140269994735718</v>
      </c>
      <c r="E15268" s="215" t="n">
        <v>45006</v>
      </c>
      <c r="F15268" s="215" t="n">
        <v>45006</v>
      </c>
    </row>
    <row r="15269">
      <c r="A15269" s="215" t="n">
        <v>45007</v>
      </c>
      <c r="B15269" s="216" t="n">
        <v>59.2</v>
      </c>
      <c r="C15269" s="216" t="n">
        <v>84.12</v>
      </c>
      <c r="D15269" s="216" t="n">
        <v>1.139848947525024</v>
      </c>
      <c r="E15269" s="215" t="n">
        <v>45007</v>
      </c>
      <c r="F15269" s="215" t="n">
        <v>45007</v>
      </c>
    </row>
    <row r="15270">
      <c r="A15270" s="215" t="n">
        <v>45008</v>
      </c>
      <c r="B15270" s="216" t="n">
        <v>60.05</v>
      </c>
      <c r="C15270" s="216" t="n">
        <v>85.13</v>
      </c>
      <c r="D15270" s="216" t="n">
        <v>1.14018702507019</v>
      </c>
      <c r="E15270" s="215" t="n">
        <v>45008</v>
      </c>
      <c r="F15270" s="215" t="n">
        <v>45008</v>
      </c>
    </row>
    <row r="15271">
      <c r="A15271" s="215" t="n">
        <v>45009</v>
      </c>
      <c r="B15271" s="216" t="n">
        <v>59.4</v>
      </c>
      <c r="C15271" s="216" t="n">
        <v>84</v>
      </c>
      <c r="D15271" s="216" t="n">
        <v>1.150908946990967</v>
      </c>
      <c r="E15271" s="215" t="n">
        <v>45009</v>
      </c>
      <c r="F15271" s="215" t="n">
        <v>45009</v>
      </c>
    </row>
    <row r="15272">
      <c r="A15272" s="215" t="n">
        <v>45012</v>
      </c>
      <c r="B15272" s="216" t="n">
        <v>60.25</v>
      </c>
      <c r="C15272" s="216" t="n">
        <v>88.3</v>
      </c>
      <c r="D15272" s="216" t="n">
        <v>1.14452600479126</v>
      </c>
      <c r="E15272" s="215" t="n">
        <v>45012</v>
      </c>
      <c r="F15272" s="215" t="n">
        <v>45012</v>
      </c>
    </row>
    <row r="15273">
      <c r="A15273" s="215" t="n">
        <v>45013</v>
      </c>
      <c r="B15273" s="216" t="n">
        <v>60.7</v>
      </c>
      <c r="C15273" s="216" t="n">
        <v>86.7</v>
      </c>
      <c r="D15273" s="216" t="n">
        <v>1.140033960342407</v>
      </c>
      <c r="E15273" s="215" t="n">
        <v>45013</v>
      </c>
      <c r="F15273" s="215" t="n">
        <v>45013</v>
      </c>
    </row>
    <row r="15274">
      <c r="A15274" s="215" t="n">
        <v>45014</v>
      </c>
      <c r="B15274" s="216" t="n">
        <v>60.75</v>
      </c>
      <c r="C15274" s="216" t="n">
        <v>94.20999999999999</v>
      </c>
      <c r="D15274" s="216" t="n">
        <v>1.141842007637024</v>
      </c>
      <c r="E15274" s="215" t="n">
        <v>45014</v>
      </c>
      <c r="F15274" s="215" t="n">
        <v>45014</v>
      </c>
    </row>
    <row r="15275">
      <c r="A15275" s="215" t="n">
        <v>45015</v>
      </c>
      <c r="B15275" s="216" t="n">
        <v>61</v>
      </c>
      <c r="C15275" s="216" t="n">
        <v>94.5</v>
      </c>
      <c r="D15275" s="216" t="n">
        <v>1.139639973640442</v>
      </c>
      <c r="E15275" s="215" t="n">
        <v>45015</v>
      </c>
      <c r="F15275" s="215" t="n">
        <v>45015</v>
      </c>
    </row>
    <row r="15276">
      <c r="A15276" s="215" t="n">
        <v>45016</v>
      </c>
      <c r="B15276" s="216" t="n">
        <v>60.2</v>
      </c>
      <c r="C15276" s="216" t="n">
        <v>92.01000000000001</v>
      </c>
      <c r="D15276" s="216" t="n">
        <v>1.14237904548645</v>
      </c>
      <c r="E15276" s="215" t="n">
        <v>45016</v>
      </c>
      <c r="F15276" s="215" t="n">
        <v>45016</v>
      </c>
    </row>
    <row r="15277">
      <c r="A15277" s="215" t="n">
        <v>45019</v>
      </c>
      <c r="B15277" s="216" t="n">
        <v>60.5</v>
      </c>
      <c r="C15277" s="216" t="n">
        <v>94.73999999999999</v>
      </c>
      <c r="D15277" s="216" t="n">
        <v>1.138651013374329</v>
      </c>
      <c r="E15277" s="215" t="n">
        <v>45019</v>
      </c>
      <c r="F15277" s="215" t="n">
        <v>45019</v>
      </c>
    </row>
    <row r="15278">
      <c r="A15278" s="215" t="n">
        <v>45020</v>
      </c>
      <c r="B15278" s="216" t="n">
        <v>59.95</v>
      </c>
      <c r="C15278" s="216" t="n">
        <v>94.5</v>
      </c>
      <c r="D15278" s="216" t="n">
        <v>1.140889048576355</v>
      </c>
      <c r="E15278" s="215" t="n">
        <v>45020</v>
      </c>
      <c r="F15278" s="215" t="n">
        <v>45020</v>
      </c>
    </row>
    <row r="15279">
      <c r="A15279" s="215" t="n">
        <v>45022</v>
      </c>
      <c r="B15279" s="216" t="n">
        <v>59.65</v>
      </c>
      <c r="C15279" s="216" t="n">
        <v>92.75</v>
      </c>
      <c r="D15279" s="216" t="n">
        <v>1.140630006790161</v>
      </c>
      <c r="E15279" s="215" t="n">
        <v>45022</v>
      </c>
      <c r="F15279" s="215" t="n">
        <v>45022</v>
      </c>
    </row>
    <row r="15280">
      <c r="A15280" s="215" t="n">
        <v>45027</v>
      </c>
      <c r="B15280" s="216" t="n">
        <v>59.65</v>
      </c>
      <c r="C15280" s="216" t="n">
        <v>91.94</v>
      </c>
      <c r="D15280" s="216" t="n">
        <v>1.135993003845215</v>
      </c>
      <c r="E15280" s="215" t="n">
        <v>45027</v>
      </c>
      <c r="F15280" s="215" t="n">
        <v>45027</v>
      </c>
    </row>
    <row r="15281">
      <c r="A15281" s="215" t="n">
        <v>45028</v>
      </c>
      <c r="B15281" s="216" t="n">
        <v>59.75</v>
      </c>
      <c r="C15281" s="216" t="n">
        <v>92.09999999999999</v>
      </c>
      <c r="D15281" s="216" t="n">
        <v>1.139876961708069</v>
      </c>
      <c r="E15281" s="215" t="n">
        <v>45028</v>
      </c>
      <c r="F15281" s="215" t="n">
        <v>45028</v>
      </c>
    </row>
    <row r="15282">
      <c r="A15282" s="215" t="n">
        <v>45029</v>
      </c>
      <c r="B15282" s="216" t="n">
        <v>59.9</v>
      </c>
      <c r="C15282" s="216" t="n">
        <v>90.51000000000001</v>
      </c>
      <c r="D15282" s="216" t="n">
        <v>1.141221046447754</v>
      </c>
      <c r="E15282" s="215" t="n">
        <v>45029</v>
      </c>
      <c r="F15282" s="215" t="n">
        <v>45029</v>
      </c>
    </row>
    <row r="15283">
      <c r="A15283" s="215" t="n">
        <v>45030</v>
      </c>
      <c r="B15283" s="216" t="n">
        <v>60.2</v>
      </c>
      <c r="C15283" s="216" t="n">
        <v>91.3</v>
      </c>
      <c r="D15283" s="216" t="n">
        <v>1.142914056777954</v>
      </c>
      <c r="E15283" s="215" t="n">
        <v>45030</v>
      </c>
      <c r="F15283" s="215" t="n">
        <v>45030</v>
      </c>
    </row>
    <row r="15284">
      <c r="A15284" s="215" t="n">
        <v>45033</v>
      </c>
      <c r="B15284" s="216" t="n">
        <v>60.9</v>
      </c>
      <c r="C15284" s="216" t="n">
        <v>90.64</v>
      </c>
      <c r="D15284" s="216" t="n">
        <v>1.140508055686951</v>
      </c>
      <c r="E15284" s="215" t="n">
        <v>45033</v>
      </c>
      <c r="F15284" s="215" t="n">
        <v>45033</v>
      </c>
    </row>
    <row r="15285">
      <c r="A15285" s="215" t="n">
        <v>45034</v>
      </c>
      <c r="B15285" s="216" t="n">
        <v>59.6</v>
      </c>
      <c r="C15285" s="216" t="n">
        <v>85.01000000000001</v>
      </c>
      <c r="D15285" s="216" t="n">
        <v>1.140782952308655</v>
      </c>
      <c r="E15285" s="215" t="n">
        <v>45034</v>
      </c>
      <c r="F15285" s="215" t="n">
        <v>45034</v>
      </c>
    </row>
    <row r="15286">
      <c r="A15286" s="215" t="n">
        <v>45035</v>
      </c>
      <c r="B15286" s="216" t="n">
        <v>59.7</v>
      </c>
      <c r="C15286" s="216" t="n">
        <v>83.61</v>
      </c>
      <c r="D15286" s="216" t="n">
        <v>1.141404986381531</v>
      </c>
      <c r="E15286" s="215" t="n">
        <v>45035</v>
      </c>
      <c r="F15286" s="215" t="n">
        <v>45035</v>
      </c>
    </row>
    <row r="15287">
      <c r="A15287" s="215" t="n">
        <v>45036</v>
      </c>
      <c r="B15287" s="216" t="n">
        <v>59.05</v>
      </c>
      <c r="C15287" s="216" t="n">
        <v>82.3</v>
      </c>
      <c r="D15287" s="216" t="n">
        <v>1.139932990074158</v>
      </c>
      <c r="E15287" s="215" t="n">
        <v>45036</v>
      </c>
      <c r="F15287" s="215" t="n">
        <v>45036</v>
      </c>
    </row>
    <row r="15288">
      <c r="A15288" s="215" t="n">
        <v>45037</v>
      </c>
      <c r="B15288" s="216" t="n">
        <v>58.9</v>
      </c>
      <c r="C15288" s="216" t="n">
        <v>79.95999999999999</v>
      </c>
      <c r="D15288" s="216" t="n">
        <v>1.142052054405212</v>
      </c>
      <c r="E15288" s="215" t="n">
        <v>45037</v>
      </c>
      <c r="F15288" s="215" t="n">
        <v>45037</v>
      </c>
    </row>
    <row r="15289">
      <c r="A15289" s="215" t="n">
        <v>45040</v>
      </c>
      <c r="B15289" s="216" t="n">
        <v>54.65</v>
      </c>
      <c r="C15289" s="216" t="n">
        <v>78.98</v>
      </c>
      <c r="D15289" s="216" t="n">
        <v>1.138666033744812</v>
      </c>
      <c r="E15289" s="215" t="n">
        <v>45040</v>
      </c>
      <c r="F15289" s="215" t="n">
        <v>45040</v>
      </c>
    </row>
    <row r="15290">
      <c r="A15290" s="215" t="n">
        <v>45041</v>
      </c>
      <c r="B15290" s="216" t="n">
        <v>51.5</v>
      </c>
      <c r="C15290" s="216" t="n">
        <v>77.34999999999999</v>
      </c>
      <c r="D15290" s="216" t="n">
        <v>1.137948989868164</v>
      </c>
      <c r="E15290" s="215" t="n">
        <v>45041</v>
      </c>
      <c r="F15290" s="215" t="n">
        <v>45041</v>
      </c>
    </row>
    <row r="15291">
      <c r="A15291" s="215" t="n">
        <v>45042</v>
      </c>
      <c r="B15291" s="216" t="n">
        <v>51.85</v>
      </c>
      <c r="C15291" s="216" t="n">
        <v>78.89</v>
      </c>
      <c r="D15291" s="216" t="n">
        <v>1.132081031799316</v>
      </c>
      <c r="E15291" s="215" t="n">
        <v>45042</v>
      </c>
      <c r="F15291" s="215" t="n">
        <v>45042</v>
      </c>
    </row>
    <row r="15292">
      <c r="A15292" s="215" t="n">
        <v>45043</v>
      </c>
      <c r="B15292" s="216" t="n">
        <v>50.25</v>
      </c>
      <c r="C15292" s="216" t="n">
        <v>78.67</v>
      </c>
      <c r="D15292" s="216" t="n">
        <v>1.132995009422302</v>
      </c>
      <c r="E15292" s="215" t="n">
        <v>45043</v>
      </c>
      <c r="F15292" s="215" t="n">
        <v>45043</v>
      </c>
    </row>
    <row r="15293">
      <c r="A15293" s="215" t="n">
        <v>45044</v>
      </c>
      <c r="B15293" s="216" t="n">
        <v>50</v>
      </c>
      <c r="C15293" s="216" t="n">
        <v>80.28</v>
      </c>
      <c r="D15293" s="216" t="n">
        <v>1.133429050445557</v>
      </c>
      <c r="E15293" s="215" t="n">
        <v>45044</v>
      </c>
      <c r="F15293" s="215" t="n">
        <v>45044</v>
      </c>
    </row>
    <row r="15294">
      <c r="A15294" s="215" t="n">
        <v>45048</v>
      </c>
      <c r="B15294" s="216" t="n">
        <v>49.1</v>
      </c>
      <c r="C15294" s="216" t="n">
        <v>80.28</v>
      </c>
      <c r="D15294" s="216" t="n">
        <v>1.132107019424438</v>
      </c>
      <c r="E15294" s="215" t="n">
        <v>45044</v>
      </c>
      <c r="F15294" s="215" t="n">
        <v>45048</v>
      </c>
    </row>
    <row r="15295">
      <c r="A15295" s="215" t="n">
        <v>45049</v>
      </c>
      <c r="B15295" s="216" t="n">
        <v>48.85</v>
      </c>
      <c r="C15295" s="216" t="n">
        <v>80.28</v>
      </c>
      <c r="D15295" s="216" t="n">
        <v>1.135318994522095</v>
      </c>
      <c r="E15295" s="215" t="n">
        <v>45044</v>
      </c>
      <c r="F15295" s="215" t="n">
        <v>45049</v>
      </c>
    </row>
    <row r="15296">
      <c r="A15296" s="215" t="n">
        <v>45050</v>
      </c>
      <c r="B15296" s="216" t="n">
        <v>49.9</v>
      </c>
      <c r="C15296" s="216" t="n">
        <v>80.33</v>
      </c>
      <c r="D15296" s="216" t="n">
        <v>1.135159969329834</v>
      </c>
      <c r="E15296" s="215" t="n">
        <v>45050</v>
      </c>
      <c r="F15296" s="215" t="n">
        <v>45050</v>
      </c>
    </row>
    <row r="15297">
      <c r="A15297" s="215" t="n">
        <v>45051</v>
      </c>
      <c r="B15297" s="216" t="n">
        <v>49.5</v>
      </c>
      <c r="C15297" s="216" t="n">
        <v>78.09999999999999</v>
      </c>
      <c r="D15297" s="216" t="n">
        <v>1.13606595993042</v>
      </c>
      <c r="E15297" s="215" t="n">
        <v>45051</v>
      </c>
      <c r="F15297" s="215" t="n">
        <v>45051</v>
      </c>
    </row>
    <row r="15298">
      <c r="A15298" s="215" t="n">
        <v>45054</v>
      </c>
      <c r="B15298" s="216" t="n">
        <v>49.95</v>
      </c>
      <c r="C15298" s="216" t="n">
        <v>79.48</v>
      </c>
      <c r="D15298" s="216" t="n">
        <v>1.135442972183228</v>
      </c>
      <c r="E15298" s="215" t="n">
        <v>45054</v>
      </c>
      <c r="F15298" s="215" t="n">
        <v>45054</v>
      </c>
    </row>
    <row r="15299">
      <c r="A15299" s="215" t="n">
        <v>45055</v>
      </c>
      <c r="B15299" s="216" t="n">
        <v>49.35</v>
      </c>
      <c r="C15299" s="216" t="n">
        <v>77.66</v>
      </c>
      <c r="D15299" s="216" t="n">
        <v>1.134963989257812</v>
      </c>
      <c r="E15299" s="215" t="n">
        <v>45055</v>
      </c>
      <c r="F15299" s="215" t="n">
        <v>45055</v>
      </c>
    </row>
    <row r="15300">
      <c r="A15300" s="215" t="n">
        <v>45056</v>
      </c>
      <c r="B15300" s="216" t="n">
        <v>49.4</v>
      </c>
      <c r="C15300" s="216" t="n">
        <v>78.87</v>
      </c>
      <c r="D15300" s="216" t="n">
        <v>1.132966995239258</v>
      </c>
      <c r="E15300" s="215" t="n">
        <v>45056</v>
      </c>
      <c r="F15300" s="215" t="n">
        <v>45056</v>
      </c>
    </row>
    <row r="15301">
      <c r="A15301" s="215" t="n">
        <v>45057</v>
      </c>
      <c r="B15301" s="216" t="n">
        <v>49.55</v>
      </c>
      <c r="C15301" s="216" t="n">
        <v>79.61</v>
      </c>
      <c r="D15301" s="216" t="n">
        <v>1.129608988761902</v>
      </c>
      <c r="E15301" s="215" t="n">
        <v>45057</v>
      </c>
      <c r="F15301" s="215" t="n">
        <v>45057</v>
      </c>
    </row>
    <row r="15302">
      <c r="A15302" s="215" t="n">
        <v>45058</v>
      </c>
      <c r="B15302" s="216" t="n">
        <v>49.65</v>
      </c>
      <c r="C15302" s="216" t="n">
        <v>80.25</v>
      </c>
      <c r="D15302" s="216" t="n">
        <v>1.127804040908813</v>
      </c>
      <c r="E15302" s="215" t="n">
        <v>45058</v>
      </c>
      <c r="F15302" s="215" t="n">
        <v>45058</v>
      </c>
    </row>
    <row r="15303">
      <c r="A15303" s="215" t="n">
        <v>45061</v>
      </c>
      <c r="B15303" s="216" t="n">
        <v>49.4</v>
      </c>
      <c r="C15303" s="216" t="n">
        <v>81.97</v>
      </c>
      <c r="D15303" s="216" t="n">
        <v>1.127277016639709</v>
      </c>
      <c r="E15303" s="215" t="n">
        <v>45061</v>
      </c>
      <c r="F15303" s="215" t="n">
        <v>45061</v>
      </c>
    </row>
    <row r="15304">
      <c r="A15304" s="215" t="n">
        <v>45062</v>
      </c>
      <c r="B15304" s="216" t="n">
        <v>49.3</v>
      </c>
      <c r="C15304" s="216" t="n">
        <v>81.59999999999999</v>
      </c>
      <c r="D15304" s="216" t="n">
        <v>1.127233982086182</v>
      </c>
      <c r="E15304" s="215" t="n">
        <v>45062</v>
      </c>
      <c r="F15304" s="215" t="n">
        <v>45062</v>
      </c>
    </row>
    <row r="15305">
      <c r="A15305" s="215" t="n">
        <v>45063</v>
      </c>
      <c r="B15305" s="216" t="n">
        <v>48</v>
      </c>
      <c r="C15305" s="216" t="n">
        <v>81.03</v>
      </c>
      <c r="D15305" s="216" t="n">
        <v>1.123204946517944</v>
      </c>
      <c r="E15305" s="215" t="n">
        <v>45063</v>
      </c>
      <c r="F15305" s="215" t="n">
        <v>45063</v>
      </c>
    </row>
    <row r="15306">
      <c r="A15306" s="215" t="n">
        <v>45064</v>
      </c>
      <c r="B15306" s="216" t="n">
        <v>47.85</v>
      </c>
      <c r="C15306" s="216" t="n">
        <v>80.86</v>
      </c>
      <c r="D15306" s="216" t="n">
        <v>1.118651986122131</v>
      </c>
      <c r="E15306" s="215" t="n">
        <v>45064</v>
      </c>
      <c r="F15306" s="215" t="n">
        <v>45064</v>
      </c>
    </row>
    <row r="15307">
      <c r="A15307" s="215" t="n">
        <v>45065</v>
      </c>
      <c r="B15307" s="216" t="n">
        <v>47.5</v>
      </c>
      <c r="C15307" s="216" t="n">
        <v>80.8</v>
      </c>
      <c r="D15307" s="216" t="n">
        <v>1.112360954284668</v>
      </c>
      <c r="E15307" s="215" t="n">
        <v>45065</v>
      </c>
      <c r="F15307" s="215" t="n">
        <v>45065</v>
      </c>
    </row>
    <row r="15308">
      <c r="A15308" s="215" t="n">
        <v>45068</v>
      </c>
      <c r="B15308" s="216" t="n">
        <v>47.75</v>
      </c>
      <c r="C15308" s="216" t="n">
        <v>81.12</v>
      </c>
      <c r="D15308" s="216" t="n">
        <v>1.118953943252563</v>
      </c>
      <c r="E15308" s="215" t="n">
        <v>45068</v>
      </c>
      <c r="F15308" s="215" t="n">
        <v>45068</v>
      </c>
    </row>
    <row r="15309">
      <c r="A15309" s="215" t="n">
        <v>45069</v>
      </c>
      <c r="B15309" s="216" t="n">
        <v>47.5</v>
      </c>
      <c r="C15309" s="216" t="n">
        <v>81.44</v>
      </c>
      <c r="D15309" s="216" t="n">
        <v>1.1127769947052</v>
      </c>
      <c r="E15309" s="215" t="n">
        <v>45069</v>
      </c>
      <c r="F15309" s="215" t="n">
        <v>45069</v>
      </c>
    </row>
    <row r="15310">
      <c r="A15310" s="215" t="n">
        <v>45070</v>
      </c>
      <c r="B15310" s="216" t="n">
        <v>47.6</v>
      </c>
      <c r="C15310" s="216" t="n">
        <v>81</v>
      </c>
      <c r="D15310" s="216" t="n">
        <v>1.110573053359985</v>
      </c>
      <c r="E15310" s="215" t="n">
        <v>45070</v>
      </c>
      <c r="F15310" s="215" t="n">
        <v>45070</v>
      </c>
    </row>
    <row r="15311">
      <c r="A15311" s="215" t="n">
        <v>45071</v>
      </c>
      <c r="B15311" s="216" t="n">
        <v>47.35</v>
      </c>
      <c r="C15311" s="216" t="n">
        <v>80.72</v>
      </c>
      <c r="D15311" s="216" t="n">
        <v>1.108927965164185</v>
      </c>
      <c r="E15311" s="215" t="n">
        <v>45071</v>
      </c>
      <c r="F15311" s="215" t="n">
        <v>45071</v>
      </c>
    </row>
    <row r="15312">
      <c r="A15312" s="215" t="n">
        <v>45075</v>
      </c>
      <c r="B15312" s="216" t="n">
        <v>46.8</v>
      </c>
      <c r="C15312" s="216" t="n">
        <v>77</v>
      </c>
      <c r="D15312" s="216" t="n">
        <v>1.107897043228149</v>
      </c>
      <c r="E15312" s="215" t="n">
        <v>45075</v>
      </c>
      <c r="F15312" s="215" t="n">
        <v>45075</v>
      </c>
    </row>
    <row r="15313">
      <c r="A15313" s="215" t="n">
        <v>45076</v>
      </c>
      <c r="B15313" s="216" t="n">
        <v>48.2</v>
      </c>
      <c r="C15313" s="216" t="n">
        <v>75.76000000000001</v>
      </c>
      <c r="D15313" s="216" t="n">
        <v>1.10659396648407</v>
      </c>
      <c r="E15313" s="215" t="n">
        <v>45076</v>
      </c>
      <c r="F15313" s="215" t="n">
        <v>45076</v>
      </c>
    </row>
    <row r="15314">
      <c r="A15314" s="215" t="n">
        <v>45077</v>
      </c>
      <c r="B15314" s="216" t="n">
        <v>48.45</v>
      </c>
      <c r="C15314" s="216" t="n">
        <v>76.23999999999999</v>
      </c>
      <c r="D15314" s="216" t="n">
        <v>1.106397032737732</v>
      </c>
      <c r="E15314" s="215" t="n">
        <v>45077</v>
      </c>
      <c r="F15314" s="215" t="n">
        <v>45077</v>
      </c>
    </row>
    <row r="15315">
      <c r="A15315" s="215" t="n">
        <v>45078</v>
      </c>
      <c r="B15315" s="216" t="n">
        <v>48.45</v>
      </c>
      <c r="C15315" s="216" t="n">
        <v>76.5</v>
      </c>
      <c r="D15315" s="216" t="n">
        <v>1.101158976554871</v>
      </c>
      <c r="E15315" s="215" t="n">
        <v>45078</v>
      </c>
      <c r="F15315" s="215" t="n">
        <v>45078</v>
      </c>
    </row>
    <row r="15316">
      <c r="A15316" s="215" t="n">
        <v>45079</v>
      </c>
      <c r="B15316" s="216" t="n">
        <v>48.6</v>
      </c>
      <c r="C15316" s="216" t="n">
        <v>77.95</v>
      </c>
      <c r="D15316" s="216" t="n">
        <v>1.103572010993958</v>
      </c>
      <c r="E15316" s="215" t="n">
        <v>45079</v>
      </c>
      <c r="F15316" s="215" t="n">
        <v>45079</v>
      </c>
    </row>
    <row r="15317">
      <c r="A15317" s="215" t="n">
        <v>45082</v>
      </c>
      <c r="B15317" s="216" t="n">
        <v>48.8</v>
      </c>
      <c r="C15317" s="216" t="n">
        <v>77.95</v>
      </c>
      <c r="D15317" s="216" t="n">
        <v>1.10276198387146</v>
      </c>
      <c r="E15317" s="215" t="n">
        <v>45082</v>
      </c>
      <c r="F15317" s="215" t="n">
        <v>45082</v>
      </c>
    </row>
    <row r="15318">
      <c r="A15318" s="215" t="n">
        <v>45083</v>
      </c>
      <c r="B15318" s="216" t="n">
        <v>48.8</v>
      </c>
      <c r="C15318" s="216" t="n">
        <v>81.62</v>
      </c>
      <c r="D15318" s="216" t="n">
        <v>1.103441953659058</v>
      </c>
      <c r="E15318" s="215" t="n">
        <v>45083</v>
      </c>
      <c r="F15318" s="215" t="n">
        <v>45083</v>
      </c>
    </row>
    <row r="15319">
      <c r="A15319" s="215" t="n">
        <v>45084</v>
      </c>
      <c r="B15319" s="216" t="n">
        <v>47.6</v>
      </c>
      <c r="C15319" s="216" t="n">
        <v>78.36</v>
      </c>
      <c r="D15319" s="216" t="n">
        <v>1.10180401802063</v>
      </c>
      <c r="E15319" s="215" t="n">
        <v>45084</v>
      </c>
      <c r="F15319" s="215" t="n">
        <v>45084</v>
      </c>
    </row>
    <row r="15320">
      <c r="A15320" s="215" t="n">
        <v>45085</v>
      </c>
      <c r="B15320" s="216" t="n">
        <v>47.55</v>
      </c>
      <c r="C15320" s="216" t="n">
        <v>78.65000000000001</v>
      </c>
      <c r="D15320" s="216" t="n">
        <v>1.099845051765442</v>
      </c>
      <c r="E15320" s="215" t="n">
        <v>45085</v>
      </c>
      <c r="F15320" s="215" t="n">
        <v>45085</v>
      </c>
    </row>
    <row r="15321">
      <c r="A15321" s="215" t="n">
        <v>45086</v>
      </c>
      <c r="B15321" s="216" t="n">
        <v>48.15</v>
      </c>
      <c r="C15321" s="216" t="n">
        <v>78.05</v>
      </c>
      <c r="D15321" s="216" t="n">
        <v>1.101685047149658</v>
      </c>
      <c r="E15321" s="215" t="n">
        <v>45086</v>
      </c>
      <c r="F15321" s="215" t="n">
        <v>45086</v>
      </c>
    </row>
    <row r="15322">
      <c r="A15322" s="215" t="n">
        <v>45089</v>
      </c>
      <c r="B15322" s="216" t="n">
        <v>47.85</v>
      </c>
      <c r="C15322" s="216" t="n">
        <v>77.25</v>
      </c>
      <c r="D15322" s="216" t="n">
        <v>1.099730968475342</v>
      </c>
      <c r="E15322" s="215" t="n">
        <v>45089</v>
      </c>
      <c r="F15322" s="215" t="n">
        <v>45089</v>
      </c>
    </row>
    <row r="15323">
      <c r="A15323" s="215" t="n">
        <v>45090</v>
      </c>
      <c r="B15323" s="216" t="n">
        <v>48.05</v>
      </c>
      <c r="C15323" s="216" t="n">
        <v>78.59</v>
      </c>
      <c r="D15323" s="216" t="n">
        <v>1.096243977546692</v>
      </c>
      <c r="E15323" s="215" t="n">
        <v>45090</v>
      </c>
      <c r="F15323" s="215" t="n">
        <v>45090</v>
      </c>
    </row>
    <row r="15324">
      <c r="A15324" s="215" t="n">
        <v>45091</v>
      </c>
      <c r="B15324" s="216" t="n">
        <v>49.75</v>
      </c>
      <c r="C15324" s="216" t="n">
        <v>80.5</v>
      </c>
      <c r="D15324" s="216" t="n">
        <v>1.092831969261169</v>
      </c>
      <c r="E15324" s="215" t="n">
        <v>45091</v>
      </c>
      <c r="F15324" s="215" t="n">
        <v>45091</v>
      </c>
    </row>
    <row r="15325">
      <c r="A15325" s="215" t="n">
        <v>45092</v>
      </c>
      <c r="B15325" s="216" t="n">
        <v>49.8</v>
      </c>
      <c r="C15325" s="216" t="n">
        <v>80.86</v>
      </c>
      <c r="D15325" s="216" t="n">
        <v>1.093112945556641</v>
      </c>
      <c r="E15325" s="215" t="n">
        <v>45092</v>
      </c>
      <c r="F15325" s="215" t="n">
        <v>45092</v>
      </c>
    </row>
    <row r="15326">
      <c r="A15326" s="215" t="n">
        <v>45093</v>
      </c>
      <c r="B15326" s="216" t="n">
        <v>50.3</v>
      </c>
      <c r="C15326" s="216" t="n">
        <v>81.11</v>
      </c>
      <c r="D15326" s="216" t="n">
        <v>1.098376989364624</v>
      </c>
      <c r="E15326" s="215" t="n">
        <v>45093</v>
      </c>
      <c r="F15326" s="215" t="n">
        <v>45093</v>
      </c>
    </row>
    <row r="15327">
      <c r="A15327" s="215" t="n">
        <v>45096</v>
      </c>
      <c r="B15327" s="216" t="n">
        <v>49.6</v>
      </c>
      <c r="C15327" s="216" t="n">
        <v>80.7</v>
      </c>
      <c r="D15327" s="216" t="n">
        <v>1.097730040550232</v>
      </c>
      <c r="E15327" s="215" t="n">
        <v>45096</v>
      </c>
      <c r="F15327" s="215" t="n">
        <v>45096</v>
      </c>
    </row>
    <row r="15328">
      <c r="A15328" s="215" t="n">
        <v>45097</v>
      </c>
      <c r="B15328" s="216" t="n">
        <v>49.95</v>
      </c>
      <c r="C15328" s="216" t="n">
        <v>80.05</v>
      </c>
      <c r="D15328" s="216" t="n">
        <v>1.091591000556946</v>
      </c>
      <c r="E15328" s="215" t="n">
        <v>45097</v>
      </c>
      <c r="F15328" s="215" t="n">
        <v>45097</v>
      </c>
    </row>
    <row r="15329">
      <c r="A15329" s="215" t="n">
        <v>45098</v>
      </c>
      <c r="B15329" s="216" t="n">
        <v>39.5</v>
      </c>
      <c r="C15329" s="216" t="n">
        <v>82.48999999999999</v>
      </c>
      <c r="D15329" s="216" t="n">
        <v>1.089725017547607</v>
      </c>
      <c r="E15329" s="215" t="n">
        <v>45098</v>
      </c>
      <c r="F15329" s="215" t="n">
        <v>45098</v>
      </c>
    </row>
    <row r="15330">
      <c r="A15330" s="215" t="n">
        <v>45100</v>
      </c>
      <c r="B15330" s="216" t="n">
        <v>38.3</v>
      </c>
      <c r="C15330" s="216" t="n">
        <v>82.48999999999999</v>
      </c>
      <c r="D15330" s="216" t="n">
        <v>1.090543031692505</v>
      </c>
      <c r="E15330" s="215" t="n">
        <v>45098</v>
      </c>
      <c r="F15330" s="215" t="n">
        <v>45100</v>
      </c>
    </row>
    <row r="15331">
      <c r="A15331" s="215" t="n">
        <v>45103</v>
      </c>
      <c r="B15331" s="216" t="n">
        <v>37.95</v>
      </c>
      <c r="C15331" s="216" t="n">
        <v>80.40000000000001</v>
      </c>
      <c r="D15331" s="216" t="n">
        <v>1.092113971710205</v>
      </c>
      <c r="E15331" s="215" t="n">
        <v>45103</v>
      </c>
      <c r="F15331" s="215" t="n">
        <v>45103</v>
      </c>
    </row>
    <row r="15332">
      <c r="A15332" s="215" t="n">
        <v>45104</v>
      </c>
      <c r="B15332" s="216" t="n">
        <v>40.9</v>
      </c>
      <c r="C15332" s="216" t="n">
        <v>86.76000000000001</v>
      </c>
      <c r="D15332" s="216" t="n">
        <v>1.081884026527405</v>
      </c>
      <c r="E15332" s="215" t="n">
        <v>45104</v>
      </c>
      <c r="F15332" s="215" t="n">
        <v>45104</v>
      </c>
    </row>
    <row r="15333">
      <c r="A15333" s="215" t="n">
        <v>45105</v>
      </c>
      <c r="B15333" s="216" t="n">
        <v>42</v>
      </c>
      <c r="C15333" s="216" t="n">
        <v>86.81</v>
      </c>
      <c r="D15333" s="216" t="n">
        <v>1.084810972213745</v>
      </c>
      <c r="E15333" s="215" t="n">
        <v>45105</v>
      </c>
      <c r="F15333" s="215" t="n">
        <v>45105</v>
      </c>
    </row>
    <row r="15334">
      <c r="A15334" s="215" t="n">
        <v>45106</v>
      </c>
      <c r="B15334" s="216" t="n">
        <v>41.95</v>
      </c>
      <c r="C15334" s="216" t="n">
        <v>86.8</v>
      </c>
      <c r="D15334" s="216" t="n">
        <v>1.081053972244263</v>
      </c>
      <c r="E15334" s="215" t="n">
        <v>45106</v>
      </c>
      <c r="F15334" s="215" t="n">
        <v>45106</v>
      </c>
    </row>
    <row r="15335">
      <c r="A15335" s="215" t="n">
        <v>45107</v>
      </c>
      <c r="B15335" s="216" t="n">
        <v>41.55</v>
      </c>
      <c r="C15335" s="216" t="n">
        <v>85</v>
      </c>
      <c r="D15335" s="216" t="n">
        <v>1.080832958221436</v>
      </c>
      <c r="E15335" s="215" t="n">
        <v>45107</v>
      </c>
      <c r="F15335" s="215" t="n">
        <v>45107</v>
      </c>
    </row>
    <row r="15336">
      <c r="A15336" s="215" t="n">
        <v>45110</v>
      </c>
      <c r="B15336" s="216" t="n">
        <v>41.5</v>
      </c>
      <c r="C15336" s="216" t="n">
        <v>85.68000000000001</v>
      </c>
      <c r="D15336" s="216" t="n">
        <v>1.080121040344238</v>
      </c>
      <c r="E15336" s="215" t="n">
        <v>45110</v>
      </c>
      <c r="F15336" s="215" t="n">
        <v>45110</v>
      </c>
    </row>
    <row r="15337">
      <c r="A15337" s="215" t="n">
        <v>45111</v>
      </c>
      <c r="B15337" s="216" t="n">
        <v>41</v>
      </c>
      <c r="C15337" s="216" t="n">
        <v>86.76000000000001</v>
      </c>
      <c r="D15337" s="216" t="n">
        <v>1.08187997341156</v>
      </c>
      <c r="E15337" s="215" t="n">
        <v>45111</v>
      </c>
      <c r="F15337" s="215" t="n">
        <v>45111</v>
      </c>
    </row>
    <row r="15338">
      <c r="A15338" s="215" t="n">
        <v>45112</v>
      </c>
      <c r="B15338" s="216" t="n">
        <v>39.8</v>
      </c>
      <c r="C15338" s="216" t="n">
        <v>60.85</v>
      </c>
      <c r="D15338" s="216" t="n">
        <v>1.085320949554443</v>
      </c>
      <c r="E15338" s="215" t="n">
        <v>45112</v>
      </c>
      <c r="F15338" s="215" t="n">
        <v>45112</v>
      </c>
    </row>
    <row r="15339">
      <c r="A15339" s="215" t="n">
        <v>45113</v>
      </c>
      <c r="B15339" s="216" t="n">
        <v>39.1</v>
      </c>
      <c r="C15339" s="216" t="n">
        <v>60.12</v>
      </c>
      <c r="D15339" s="216" t="n">
        <v>1.079206943511963</v>
      </c>
      <c r="E15339" s="215" t="n">
        <v>45113</v>
      </c>
      <c r="F15339" s="215" t="n">
        <v>45113</v>
      </c>
    </row>
    <row r="15340">
      <c r="A15340" s="215" t="n">
        <v>45114</v>
      </c>
      <c r="B15340" s="216" t="n">
        <v>39.05</v>
      </c>
      <c r="C15340" s="216" t="n">
        <v>58.77</v>
      </c>
      <c r="D15340" s="216" t="n">
        <v>1.078516960144043</v>
      </c>
      <c r="E15340" s="215" t="n">
        <v>45114</v>
      </c>
      <c r="F15340" s="215" t="n">
        <v>45114</v>
      </c>
    </row>
    <row r="15341">
      <c r="A15341" s="215" t="n">
        <v>45117</v>
      </c>
      <c r="B15341" s="216" t="n">
        <v>38.65</v>
      </c>
      <c r="C15341" s="216" t="n">
        <v>59.59</v>
      </c>
      <c r="D15341" s="216" t="n">
        <v>1.095139026641846</v>
      </c>
      <c r="E15341" s="215" t="n">
        <v>45117</v>
      </c>
      <c r="F15341" s="215" t="n">
        <v>45117</v>
      </c>
    </row>
    <row r="15342">
      <c r="A15342" s="215" t="n">
        <v>45118</v>
      </c>
      <c r="B15342" s="216" t="n">
        <v>38.2</v>
      </c>
      <c r="C15342" s="216" t="n">
        <v>60.6</v>
      </c>
      <c r="D15342" s="216" t="n">
        <v>1.082510948181152</v>
      </c>
      <c r="E15342" s="215" t="n">
        <v>45118</v>
      </c>
      <c r="F15342" s="215" t="n">
        <v>45118</v>
      </c>
    </row>
    <row r="15343">
      <c r="A15343" s="215" t="n">
        <v>45119</v>
      </c>
      <c r="B15343" s="216" t="n">
        <v>38.7</v>
      </c>
      <c r="C15343" s="216" t="n">
        <v>61.75</v>
      </c>
      <c r="D15343" s="216" t="n">
        <v>1.085523009300232</v>
      </c>
      <c r="E15343" s="215" t="n">
        <v>45119</v>
      </c>
      <c r="F15343" s="215" t="n">
        <v>45119</v>
      </c>
    </row>
    <row r="15344">
      <c r="A15344" s="215" t="n">
        <v>45120</v>
      </c>
      <c r="B15344" s="216" t="n">
        <v>38.1</v>
      </c>
      <c r="C15344" s="216" t="n">
        <v>61.84</v>
      </c>
      <c r="D15344" s="216" t="n">
        <v>1.091933012008667</v>
      </c>
      <c r="E15344" s="215" t="n">
        <v>45120</v>
      </c>
      <c r="F15344" s="215" t="n">
        <v>45120</v>
      </c>
    </row>
    <row r="15345">
      <c r="A15345" s="215" t="n">
        <v>45121</v>
      </c>
      <c r="B15345" s="216" t="n">
        <v>41.7</v>
      </c>
      <c r="C15345" s="216" t="n">
        <v>65.02</v>
      </c>
      <c r="D15345" s="216" t="n">
        <v>1.093255996704102</v>
      </c>
      <c r="E15345" s="215" t="n">
        <v>45121</v>
      </c>
      <c r="F15345" s="215" t="n">
        <v>45121</v>
      </c>
    </row>
    <row r="15346">
      <c r="A15346" s="215" t="n">
        <v>45125</v>
      </c>
      <c r="B15346" s="216" t="n">
        <v>45.25</v>
      </c>
      <c r="C15346" s="216" t="n">
        <v>68.98999999999999</v>
      </c>
      <c r="D15346" s="216" t="n">
        <v>1.089244961738586</v>
      </c>
      <c r="E15346" s="215" t="n">
        <v>45125</v>
      </c>
      <c r="F15346" s="215" t="n">
        <v>45125</v>
      </c>
    </row>
    <row r="15347">
      <c r="A15347" s="215" t="n">
        <v>45126</v>
      </c>
      <c r="B15347" s="216" t="n">
        <v>42.8</v>
      </c>
      <c r="C15347" s="216" t="n">
        <v>66.91</v>
      </c>
      <c r="D15347" s="216" t="n">
        <v>1.088175058364868</v>
      </c>
      <c r="E15347" s="215" t="n">
        <v>45126</v>
      </c>
      <c r="F15347" s="215" t="n">
        <v>45126</v>
      </c>
    </row>
    <row r="15348">
      <c r="A15348" s="215" t="n">
        <v>45127</v>
      </c>
      <c r="B15348" s="216" t="n">
        <v>42.85</v>
      </c>
      <c r="C15348" s="216" t="n">
        <v>65.7</v>
      </c>
      <c r="D15348" s="216" t="n">
        <v>1.080250978469849</v>
      </c>
      <c r="E15348" s="215" t="n">
        <v>45127</v>
      </c>
      <c r="F15348" s="215" t="n">
        <v>45127</v>
      </c>
    </row>
    <row r="15349">
      <c r="A15349" s="215" t="n">
        <v>45128</v>
      </c>
      <c r="B15349" s="216" t="n">
        <v>41.9</v>
      </c>
      <c r="C15349" s="216" t="n">
        <v>65.31</v>
      </c>
      <c r="D15349" s="216" t="n">
        <v>1.088490962982178</v>
      </c>
      <c r="E15349" s="215" t="n">
        <v>45128</v>
      </c>
      <c r="F15349" s="215" t="n">
        <v>45128</v>
      </c>
    </row>
    <row r="15350">
      <c r="A15350" s="215" t="n">
        <v>45131</v>
      </c>
      <c r="B15350" s="216" t="n">
        <v>40</v>
      </c>
      <c r="C15350" s="216" t="n">
        <v>63.93</v>
      </c>
      <c r="D15350" s="216" t="n">
        <v>1.096070051193237</v>
      </c>
      <c r="E15350" s="215" t="n">
        <v>45131</v>
      </c>
      <c r="F15350" s="215" t="n">
        <v>45131</v>
      </c>
    </row>
    <row r="15351">
      <c r="A15351" s="215" t="n">
        <v>45132</v>
      </c>
      <c r="B15351" s="216" t="n">
        <v>41</v>
      </c>
      <c r="C15351" s="216" t="n">
        <v>64.56</v>
      </c>
      <c r="D15351" s="216" t="n">
        <v>1.087272047996521</v>
      </c>
      <c r="E15351" s="215" t="n">
        <v>45132</v>
      </c>
      <c r="F15351" s="215" t="n">
        <v>45132</v>
      </c>
    </row>
    <row r="15352">
      <c r="A15352" s="215" t="n">
        <v>45133</v>
      </c>
      <c r="B15352" s="216" t="n">
        <v>39.95</v>
      </c>
      <c r="C15352" s="216" t="n">
        <v>63.65</v>
      </c>
      <c r="D15352" s="216" t="n">
        <v>1.094627976417542</v>
      </c>
      <c r="E15352" s="215" t="n">
        <v>45133</v>
      </c>
      <c r="F15352" s="215" t="n">
        <v>45133</v>
      </c>
    </row>
    <row r="15353">
      <c r="A15353" s="215" t="n">
        <v>45134</v>
      </c>
      <c r="B15353" s="216" t="n">
        <v>39.85</v>
      </c>
      <c r="C15353" s="216" t="n">
        <v>62.73</v>
      </c>
      <c r="D15353" s="216" t="n">
        <v>1.090775966644287</v>
      </c>
      <c r="E15353" s="215" t="n">
        <v>45134</v>
      </c>
      <c r="F15353" s="215" t="n">
        <v>45134</v>
      </c>
    </row>
    <row r="15354">
      <c r="A15354" s="215" t="n">
        <v>45135</v>
      </c>
      <c r="B15354" s="216" t="n">
        <v>40.6</v>
      </c>
      <c r="C15354" s="216" t="n">
        <v>63.96</v>
      </c>
      <c r="D15354" s="216" t="n">
        <v>1.087054014205933</v>
      </c>
      <c r="E15354" s="215" t="n">
        <v>45135</v>
      </c>
      <c r="F15354" s="215" t="n">
        <v>45135</v>
      </c>
    </row>
    <row r="15355">
      <c r="A15355" s="215" t="n">
        <v>45138</v>
      </c>
      <c r="B15355" s="216" t="n">
        <v>41.15</v>
      </c>
      <c r="C15355" s="216" t="n">
        <v>63.96</v>
      </c>
      <c r="D15355" s="216" t="n">
        <v>1.097965002059937</v>
      </c>
      <c r="E15355" s="215" t="n">
        <v>45138</v>
      </c>
      <c r="F15355" s="215" t="n">
        <v>45138</v>
      </c>
    </row>
    <row r="15356">
      <c r="A15356" s="215" t="n">
        <v>45139</v>
      </c>
      <c r="B15356" s="216" t="n">
        <v>40.4</v>
      </c>
      <c r="C15356" s="216" t="n">
        <v>63.56</v>
      </c>
      <c r="D15356" s="216" t="n">
        <v>1.096930980682373</v>
      </c>
      <c r="E15356" s="215" t="n">
        <v>45139</v>
      </c>
      <c r="F15356" s="215" t="n">
        <v>45139</v>
      </c>
    </row>
    <row r="15357">
      <c r="A15357" s="215" t="n">
        <v>45140</v>
      </c>
      <c r="B15357" s="216" t="n">
        <v>40.15</v>
      </c>
      <c r="C15357" s="216" t="n">
        <v>62.69</v>
      </c>
      <c r="D15357" s="216" t="n">
        <v>1.092203974723816</v>
      </c>
      <c r="E15357" s="215" t="n">
        <v>45140</v>
      </c>
      <c r="F15357" s="215" t="n">
        <v>45140</v>
      </c>
    </row>
    <row r="15358">
      <c r="A15358" s="215" t="n">
        <v>45141</v>
      </c>
      <c r="B15358" s="216" t="n">
        <v>39.7</v>
      </c>
      <c r="C15358" s="216" t="n">
        <v>62.26</v>
      </c>
      <c r="D15358" s="216" t="n">
        <v>1.090474963188171</v>
      </c>
      <c r="E15358" s="215" t="n">
        <v>45141</v>
      </c>
      <c r="F15358" s="215" t="n">
        <v>45141</v>
      </c>
    </row>
    <row r="15359">
      <c r="A15359" s="215" t="n">
        <v>45142</v>
      </c>
      <c r="B15359" s="216" t="n">
        <v>39.9</v>
      </c>
      <c r="C15359" s="216" t="n">
        <v>61.82</v>
      </c>
      <c r="D15359" s="216" t="n">
        <v>1.09414005279541</v>
      </c>
      <c r="E15359" s="215" t="n">
        <v>45142</v>
      </c>
      <c r="F15359" s="215" t="n">
        <v>45142</v>
      </c>
    </row>
    <row r="15360">
      <c r="A15360" s="215" t="n">
        <v>45145</v>
      </c>
      <c r="B15360" s="216" t="n">
        <v>39.05</v>
      </c>
      <c r="C15360" s="216" t="n">
        <v>61</v>
      </c>
      <c r="D15360" s="216" t="n">
        <v>1.098598957061768</v>
      </c>
      <c r="E15360" s="215" t="n">
        <v>45145</v>
      </c>
      <c r="F15360" s="215" t="n">
        <v>45145</v>
      </c>
    </row>
    <row r="15361">
      <c r="A15361" s="215" t="n">
        <v>45146</v>
      </c>
      <c r="B15361" s="216" t="n">
        <v>41.55</v>
      </c>
      <c r="C15361" s="216" t="n">
        <v>62.63</v>
      </c>
      <c r="D15361" s="216" t="n">
        <v>1.091063976287842</v>
      </c>
      <c r="E15361" s="215" t="n">
        <v>45146</v>
      </c>
      <c r="F15361" s="215" t="n">
        <v>45146</v>
      </c>
    </row>
    <row r="15362">
      <c r="A15362" s="215" t="n">
        <v>45147</v>
      </c>
      <c r="B15362" s="216" t="n">
        <v>40.1</v>
      </c>
      <c r="C15362" s="216" t="n">
        <v>60.29</v>
      </c>
      <c r="D15362" s="216" t="n">
        <v>1.087746977806091</v>
      </c>
      <c r="E15362" s="215" t="n">
        <v>45147</v>
      </c>
      <c r="F15362" s="215" t="n">
        <v>45147</v>
      </c>
    </row>
    <row r="15363">
      <c r="A15363" s="215" t="n">
        <v>45148</v>
      </c>
      <c r="B15363" s="216" t="n">
        <v>41.5</v>
      </c>
      <c r="C15363" s="216" t="n">
        <v>61.46</v>
      </c>
      <c r="D15363" s="216" t="n">
        <v>1.089905977249146</v>
      </c>
      <c r="E15363" s="215" t="n">
        <v>45148</v>
      </c>
      <c r="F15363" s="215" t="n">
        <v>45148</v>
      </c>
    </row>
    <row r="15364">
      <c r="A15364" s="215" t="n">
        <v>45149</v>
      </c>
      <c r="B15364" s="216" t="n">
        <v>40.15</v>
      </c>
      <c r="C15364" s="216" t="n">
        <v>59.4</v>
      </c>
      <c r="D15364" s="216" t="n">
        <v>1.086997985839844</v>
      </c>
      <c r="E15364" s="215" t="n">
        <v>45149</v>
      </c>
      <c r="F15364" s="215" t="n">
        <v>45149</v>
      </c>
    </row>
    <row r="15365">
      <c r="A15365" s="215" t="n">
        <v>45152</v>
      </c>
      <c r="B15365" s="216" t="n">
        <v>41</v>
      </c>
      <c r="C15365" s="216" t="n">
        <v>58.62</v>
      </c>
      <c r="D15365" s="216" t="n">
        <v>1.081287026405334</v>
      </c>
      <c r="E15365" s="215" t="n">
        <v>45152</v>
      </c>
      <c r="F15365" s="215" t="n">
        <v>45152</v>
      </c>
    </row>
    <row r="15366">
      <c r="A15366" s="215" t="n">
        <v>45153</v>
      </c>
      <c r="B15366" s="216" t="n">
        <v>41.15</v>
      </c>
      <c r="C15366" s="216" t="n">
        <v>57.6</v>
      </c>
      <c r="D15366" s="216" t="n">
        <v>1.08362603187561</v>
      </c>
      <c r="E15366" s="215" t="n">
        <v>45153</v>
      </c>
      <c r="F15366" s="215" t="n">
        <v>45153</v>
      </c>
    </row>
    <row r="15367">
      <c r="A15367" s="215" t="n">
        <v>45154</v>
      </c>
      <c r="B15367" s="216" t="n">
        <v>40</v>
      </c>
      <c r="C15367" s="216" t="n">
        <v>57.19</v>
      </c>
      <c r="D15367" s="216" t="n">
        <v>1.077635049819946</v>
      </c>
      <c r="E15367" s="215" t="n">
        <v>45154</v>
      </c>
      <c r="F15367" s="215" t="n">
        <v>45154</v>
      </c>
    </row>
    <row r="15368">
      <c r="A15368" s="215" t="n">
        <v>45155</v>
      </c>
      <c r="B15368" s="216" t="n">
        <v>40.45</v>
      </c>
      <c r="C15368" s="216" t="n">
        <v>57.98</v>
      </c>
      <c r="D15368" s="216" t="n">
        <v>1.081539988517761</v>
      </c>
      <c r="E15368" s="215" t="n">
        <v>45155</v>
      </c>
      <c r="F15368" s="215" t="n">
        <v>45155</v>
      </c>
    </row>
    <row r="15369">
      <c r="A15369" s="215" t="n">
        <v>45156</v>
      </c>
      <c r="B15369" s="216" t="n">
        <v>39.05</v>
      </c>
      <c r="C15369" s="216" t="n">
        <v>57</v>
      </c>
      <c r="D15369" s="216" t="n">
        <v>1.085598945617676</v>
      </c>
      <c r="E15369" s="215" t="n">
        <v>45156</v>
      </c>
      <c r="F15369" s="215" t="n">
        <v>45156</v>
      </c>
    </row>
    <row r="15370">
      <c r="A15370" s="215" t="n">
        <v>45159</v>
      </c>
      <c r="B15370" s="216" t="n">
        <v>37.5</v>
      </c>
      <c r="C15370" s="216" t="n">
        <v>55.66</v>
      </c>
      <c r="D15370" s="216" t="n">
        <v>1.086933016777039</v>
      </c>
      <c r="E15370" s="215" t="n">
        <v>45159</v>
      </c>
      <c r="F15370" s="215" t="n">
        <v>45159</v>
      </c>
    </row>
    <row r="15371">
      <c r="A15371" s="215" t="n">
        <v>45160</v>
      </c>
      <c r="B15371" s="216" t="n">
        <v>37.95</v>
      </c>
      <c r="C15371" s="216" t="n">
        <v>55.77</v>
      </c>
      <c r="D15371" s="216" t="n">
        <v>1.089496970176697</v>
      </c>
      <c r="E15371" s="215" t="n">
        <v>45160</v>
      </c>
      <c r="F15371" s="215" t="n">
        <v>45160</v>
      </c>
    </row>
    <row r="15372">
      <c r="A15372" s="215" t="n">
        <v>45161</v>
      </c>
      <c r="B15372" s="216" t="n">
        <v>38.75</v>
      </c>
      <c r="C15372" s="216" t="n">
        <v>54.3</v>
      </c>
      <c r="D15372" s="216" t="n">
        <v>1.088055968284607</v>
      </c>
      <c r="E15372" s="215" t="n">
        <v>45161</v>
      </c>
      <c r="F15372" s="215" t="n">
        <v>45161</v>
      </c>
    </row>
    <row r="15373">
      <c r="A15373" s="215" t="n">
        <v>45162</v>
      </c>
      <c r="B15373" s="216" t="n">
        <v>39</v>
      </c>
      <c r="C15373" s="216" t="n">
        <v>54.3</v>
      </c>
      <c r="D15373" s="216" t="n">
        <v>1.091747045516968</v>
      </c>
      <c r="E15373" s="215" t="n">
        <v>45162</v>
      </c>
      <c r="F15373" s="215" t="n">
        <v>45162</v>
      </c>
    </row>
    <row r="15374">
      <c r="A15374" s="215" t="n">
        <v>45163</v>
      </c>
      <c r="B15374" s="216" t="n">
        <v>38.5</v>
      </c>
      <c r="C15374" s="216" t="n">
        <v>53.63</v>
      </c>
      <c r="D15374" s="216" t="n">
        <v>1.091843008995056</v>
      </c>
      <c r="E15374" s="215" t="n">
        <v>45163</v>
      </c>
      <c r="F15374" s="215" t="n">
        <v>45163</v>
      </c>
    </row>
    <row r="15375">
      <c r="A15375" s="215" t="n">
        <v>45166</v>
      </c>
      <c r="B15375" s="216" t="n">
        <v>36.95</v>
      </c>
      <c r="C15375" s="216" t="n">
        <v>51.75</v>
      </c>
      <c r="D15375" s="216" t="n">
        <v>1.090361952781677</v>
      </c>
      <c r="E15375" s="215" t="n">
        <v>45166</v>
      </c>
      <c r="F15375" s="215" t="n">
        <v>45166</v>
      </c>
    </row>
    <row r="15376">
      <c r="A15376" s="215" t="n">
        <v>45167</v>
      </c>
      <c r="B15376" s="216" t="n">
        <v>37.55</v>
      </c>
      <c r="C15376" s="216" t="n">
        <v>53.53</v>
      </c>
      <c r="D15376" s="216" t="n">
        <v>1.089699029922485</v>
      </c>
      <c r="E15376" s="215" t="n">
        <v>45167</v>
      </c>
      <c r="F15376" s="215" t="n">
        <v>45167</v>
      </c>
    </row>
    <row r="15377">
      <c r="A15377" s="215" t="n">
        <v>45168</v>
      </c>
      <c r="B15377" s="216" t="n">
        <v>37.8</v>
      </c>
      <c r="C15377" s="216" t="n">
        <v>53.81</v>
      </c>
      <c r="D15377" s="216" t="n">
        <v>1.094905972480774</v>
      </c>
      <c r="E15377" s="215" t="n">
        <v>45168</v>
      </c>
      <c r="F15377" s="215" t="n">
        <v>45168</v>
      </c>
    </row>
    <row r="15378">
      <c r="A15378" s="215" t="n">
        <v>45169</v>
      </c>
      <c r="B15378" s="216" t="n">
        <v>38</v>
      </c>
      <c r="C15378" s="216" t="n">
        <v>54.1</v>
      </c>
      <c r="D15378" s="216" t="n">
        <v>1.092789053916931</v>
      </c>
      <c r="E15378" s="215" t="n">
        <v>45169</v>
      </c>
      <c r="F15378" s="215" t="n">
        <v>45169</v>
      </c>
    </row>
    <row r="15379">
      <c r="A15379" s="215" t="n">
        <v>45173</v>
      </c>
      <c r="B15379" s="216" t="n">
        <v>38.15</v>
      </c>
      <c r="C15379" s="216" t="n">
        <v>54.85</v>
      </c>
      <c r="D15379" s="216" t="n">
        <v>1.090212941169739</v>
      </c>
      <c r="E15379" s="215" t="n">
        <v>45173</v>
      </c>
      <c r="F15379" s="215" t="n">
        <v>45173</v>
      </c>
    </row>
    <row r="15380">
      <c r="A15380" s="215" t="n">
        <v>45174</v>
      </c>
      <c r="B15380" s="216" t="n">
        <v>38.1</v>
      </c>
      <c r="C15380" s="216" t="n">
        <v>54.68</v>
      </c>
      <c r="D15380" s="216" t="n">
        <v>1.094616055488586</v>
      </c>
      <c r="E15380" s="215" t="n">
        <v>45174</v>
      </c>
      <c r="F15380" s="215" t="n">
        <v>45174</v>
      </c>
    </row>
    <row r="15381">
      <c r="A15381" s="215" t="n">
        <v>45175</v>
      </c>
      <c r="B15381" s="216" t="n">
        <v>37.35</v>
      </c>
      <c r="C15381" s="216" t="n">
        <v>54.47</v>
      </c>
      <c r="D15381" s="216" t="n">
        <v>1.090736985206604</v>
      </c>
      <c r="E15381" s="215" t="n">
        <v>45175</v>
      </c>
      <c r="F15381" s="215" t="n">
        <v>45175</v>
      </c>
    </row>
    <row r="15382">
      <c r="A15382" s="215" t="n">
        <v>45176</v>
      </c>
      <c r="B15382" s="216" t="n">
        <v>37</v>
      </c>
      <c r="C15382" s="216" t="n">
        <v>53.05</v>
      </c>
      <c r="D15382" s="216" t="n">
        <v>1.088104963302612</v>
      </c>
      <c r="E15382" s="215" t="n">
        <v>45176</v>
      </c>
      <c r="F15382" s="215" t="n">
        <v>45176</v>
      </c>
    </row>
    <row r="15383">
      <c r="A15383" s="215" t="n">
        <v>45180</v>
      </c>
      <c r="B15383" s="216" t="n">
        <v>37.75</v>
      </c>
      <c r="C15383" s="216" t="n">
        <v>55.65</v>
      </c>
      <c r="D15383" s="216" t="n">
        <v>1.085821986198425</v>
      </c>
      <c r="E15383" s="215" t="n">
        <v>45180</v>
      </c>
      <c r="F15383" s="215" t="n">
        <v>45180</v>
      </c>
    </row>
    <row r="15384">
      <c r="A15384" s="215" t="n">
        <v>45181</v>
      </c>
      <c r="B15384" s="216" t="n">
        <v>37.7</v>
      </c>
      <c r="C15384" s="216" t="n">
        <v>55.78</v>
      </c>
      <c r="D15384" s="216" t="n">
        <v>1.088567018508911</v>
      </c>
      <c r="E15384" s="215" t="n">
        <v>45181</v>
      </c>
      <c r="F15384" s="215" t="n">
        <v>45181</v>
      </c>
    </row>
    <row r="15385">
      <c r="A15385" s="215" t="n">
        <v>45182</v>
      </c>
      <c r="B15385" s="216" t="n">
        <v>36.85</v>
      </c>
      <c r="C15385" s="216" t="n">
        <v>54.75</v>
      </c>
      <c r="D15385" s="216" t="n">
        <v>1.088140964508057</v>
      </c>
      <c r="E15385" s="215" t="n">
        <v>45182</v>
      </c>
      <c r="F15385" s="215" t="n">
        <v>45182</v>
      </c>
    </row>
    <row r="15386">
      <c r="A15386" s="215" t="n">
        <v>45183</v>
      </c>
      <c r="B15386" s="216" t="n">
        <v>37</v>
      </c>
      <c r="C15386" s="216" t="n">
        <v>53.32</v>
      </c>
      <c r="D15386" s="216" t="n">
        <v>1.091163039207458</v>
      </c>
      <c r="E15386" s="215" t="n">
        <v>45183</v>
      </c>
      <c r="F15386" s="215" t="n">
        <v>45183</v>
      </c>
    </row>
    <row r="15387">
      <c r="A15387" s="215" t="n">
        <v>45184</v>
      </c>
      <c r="B15387" s="216" t="n">
        <v>37.55</v>
      </c>
      <c r="C15387" s="216" t="n">
        <v>52.88</v>
      </c>
      <c r="D15387" s="216" t="n">
        <v>1.088575005531311</v>
      </c>
      <c r="E15387" s="215" t="n">
        <v>45184</v>
      </c>
      <c r="F15387" s="215" t="n">
        <v>45184</v>
      </c>
    </row>
    <row r="15388">
      <c r="A15388" s="215" t="n">
        <v>45187</v>
      </c>
      <c r="B15388" s="216" t="n">
        <v>36.85</v>
      </c>
      <c r="C15388" s="216" t="n">
        <v>53.6</v>
      </c>
      <c r="D15388" s="216" t="n">
        <v>1.089876055717468</v>
      </c>
      <c r="E15388" s="215" t="n">
        <v>45187</v>
      </c>
      <c r="F15388" s="215" t="n">
        <v>45187</v>
      </c>
    </row>
    <row r="15389">
      <c r="A15389" s="215" t="n">
        <v>45188</v>
      </c>
      <c r="B15389" s="216" t="n">
        <v>37.1</v>
      </c>
      <c r="C15389" s="216" t="n">
        <v>52.37</v>
      </c>
      <c r="D15389" s="216" t="n">
        <v>1.091644048690796</v>
      </c>
      <c r="E15389" s="215" t="n">
        <v>45188</v>
      </c>
      <c r="F15389" s="215" t="n">
        <v>45188</v>
      </c>
    </row>
    <row r="15390">
      <c r="A15390" s="215" t="n">
        <v>45189</v>
      </c>
      <c r="B15390" s="216" t="n">
        <v>37</v>
      </c>
      <c r="C15390" s="216" t="n">
        <v>51.51</v>
      </c>
      <c r="D15390" s="216" t="n">
        <v>1.090924978256226</v>
      </c>
      <c r="E15390" s="215" t="n">
        <v>45189</v>
      </c>
      <c r="F15390" s="215" t="n">
        <v>45189</v>
      </c>
    </row>
    <row r="15391">
      <c r="A15391" s="215" t="n">
        <v>45190</v>
      </c>
      <c r="B15391" s="216" t="n">
        <v>36.5</v>
      </c>
      <c r="C15391" s="216" t="n">
        <v>51.68</v>
      </c>
      <c r="D15391" s="216" t="n">
        <v>1.08824098110199</v>
      </c>
      <c r="E15391" s="215" t="n">
        <v>45190</v>
      </c>
      <c r="F15391" s="215" t="n">
        <v>45190</v>
      </c>
    </row>
    <row r="15392">
      <c r="A15392" s="215" t="n">
        <v>45191</v>
      </c>
      <c r="B15392" s="216" t="n">
        <v>35.9</v>
      </c>
      <c r="C15392" s="216" t="n">
        <v>52.98</v>
      </c>
      <c r="D15392" s="216" t="n">
        <v>1.088595986366272</v>
      </c>
      <c r="E15392" s="215" t="n">
        <v>45191</v>
      </c>
      <c r="F15392" s="215" t="n">
        <v>45191</v>
      </c>
    </row>
    <row r="15393">
      <c r="A15393" s="215" t="n">
        <v>45194</v>
      </c>
      <c r="B15393" s="216" t="n">
        <v>36.25</v>
      </c>
      <c r="C15393" s="216" t="n">
        <v>52.94</v>
      </c>
      <c r="D15393" s="216" t="n">
        <v>1.087345004081726</v>
      </c>
      <c r="E15393" s="215" t="n">
        <v>45194</v>
      </c>
      <c r="F15393" s="215" t="n">
        <v>45194</v>
      </c>
    </row>
    <row r="15394">
      <c r="A15394" s="215" t="n">
        <v>45195</v>
      </c>
      <c r="B15394" s="216" t="n">
        <v>35.75</v>
      </c>
      <c r="C15394" s="216" t="n">
        <v>53.2</v>
      </c>
      <c r="D15394" s="216" t="n">
        <v>1.081025958061218</v>
      </c>
      <c r="E15394" s="215" t="n">
        <v>45195</v>
      </c>
      <c r="F15394" s="215" t="n">
        <v>45195</v>
      </c>
    </row>
    <row r="15395">
      <c r="A15395" s="215" t="n">
        <v>45196</v>
      </c>
      <c r="B15395" s="216" t="n">
        <v>35.35</v>
      </c>
      <c r="C15395" s="216" t="n">
        <v>53.19</v>
      </c>
      <c r="D15395" s="216" t="n">
        <v>1.079403042793274</v>
      </c>
      <c r="E15395" s="215" t="n">
        <v>45196</v>
      </c>
      <c r="F15395" s="215" t="n">
        <v>45196</v>
      </c>
    </row>
    <row r="15396">
      <c r="A15396" s="215" t="n">
        <v>45197</v>
      </c>
      <c r="B15396" s="216" t="n">
        <v>35.45</v>
      </c>
      <c r="C15396" s="216" t="n">
        <v>53.96</v>
      </c>
      <c r="D15396" s="216" t="n">
        <v>1.0728440284729</v>
      </c>
      <c r="E15396" s="215" t="n">
        <v>45197</v>
      </c>
      <c r="F15396" s="215" t="n">
        <v>45197</v>
      </c>
    </row>
    <row r="15397">
      <c r="A15397" s="215" t="n">
        <v>45198</v>
      </c>
      <c r="B15397" s="216" t="n">
        <v>35.5</v>
      </c>
      <c r="C15397" s="216" t="n">
        <v>53.96</v>
      </c>
      <c r="D15397" s="216" t="n">
        <v>1.079846978187561</v>
      </c>
      <c r="E15397" s="215" t="n">
        <v>45197</v>
      </c>
      <c r="F15397" s="215" t="n">
        <v>45198</v>
      </c>
    </row>
    <row r="15398">
      <c r="A15398" s="215" t="n">
        <v>45203</v>
      </c>
      <c r="B15398" s="216" t="n">
        <v>35.4</v>
      </c>
      <c r="C15398" s="216" t="n">
        <v>53.96</v>
      </c>
      <c r="D15398" s="216" t="n">
        <v>1.070677042007446</v>
      </c>
      <c r="E15398" s="215" t="n">
        <v>45197</v>
      </c>
      <c r="F15398" s="215" t="n">
        <v>45203</v>
      </c>
    </row>
    <row r="15399">
      <c r="A15399" s="215" t="n">
        <v>45204</v>
      </c>
      <c r="B15399" s="216" t="n">
        <v>36</v>
      </c>
      <c r="C15399" s="216" t="n">
        <v>53.96</v>
      </c>
      <c r="D15399" s="216" t="n">
        <v>1.074022054672241</v>
      </c>
      <c r="E15399" s="215" t="n">
        <v>45197</v>
      </c>
      <c r="F15399" s="215" t="n">
        <v>45204</v>
      </c>
    </row>
    <row r="15400">
      <c r="A15400" s="215" t="n">
        <v>45205</v>
      </c>
      <c r="B15400" s="216" t="n">
        <v>36</v>
      </c>
      <c r="C15400" s="216" t="n">
        <v>53.96</v>
      </c>
      <c r="D15400" s="216" t="n">
        <v>1.078335046768188</v>
      </c>
      <c r="E15400" s="215" t="n">
        <v>45197</v>
      </c>
      <c r="F15400" s="215" t="n">
        <v>45205</v>
      </c>
    </row>
    <row r="15401">
      <c r="A15401" s="215" t="n">
        <v>45208</v>
      </c>
      <c r="B15401" s="216" t="n">
        <v>35.15</v>
      </c>
      <c r="C15401" s="216" t="n">
        <v>52.69</v>
      </c>
      <c r="D15401" s="216" t="n">
        <v>1.080739974975586</v>
      </c>
      <c r="E15401" s="215" t="n">
        <v>45208</v>
      </c>
      <c r="F15401" s="215" t="n">
        <v>45208</v>
      </c>
    </row>
    <row r="15402">
      <c r="A15402" s="215" t="n">
        <v>45209</v>
      </c>
      <c r="B15402" s="216" t="n">
        <v>35</v>
      </c>
      <c r="C15402" s="216" t="n">
        <v>51.86</v>
      </c>
      <c r="D15402" s="216" t="n">
        <v>1.081393003463745</v>
      </c>
      <c r="E15402" s="215" t="n">
        <v>45209</v>
      </c>
      <c r="F15402" s="215" t="n">
        <v>45209</v>
      </c>
    </row>
    <row r="15403">
      <c r="A15403" s="215" t="n">
        <v>45210</v>
      </c>
      <c r="B15403" s="216" t="n">
        <v>35.35</v>
      </c>
      <c r="C15403" s="216" t="n">
        <v>52.47</v>
      </c>
      <c r="D15403" s="216" t="n">
        <v>1.082736968994141</v>
      </c>
      <c r="E15403" s="215" t="n">
        <v>45210</v>
      </c>
      <c r="F15403" s="215" t="n">
        <v>45210</v>
      </c>
    </row>
    <row r="15404">
      <c r="A15404" s="215" t="n">
        <v>45211</v>
      </c>
      <c r="B15404" s="216" t="n">
        <v>34.8</v>
      </c>
      <c r="C15404" s="216" t="n">
        <v>53.1</v>
      </c>
      <c r="D15404" s="216" t="n">
        <v>1.084743976593018</v>
      </c>
      <c r="E15404" s="215" t="n">
        <v>45211</v>
      </c>
      <c r="F15404" s="215" t="n">
        <v>45211</v>
      </c>
    </row>
    <row r="15405">
      <c r="A15405" s="215" t="n">
        <v>45212</v>
      </c>
      <c r="B15405" s="216" t="n">
        <v>34.1</v>
      </c>
      <c r="C15405" s="216" t="n">
        <v>52.03</v>
      </c>
      <c r="D15405" s="216" t="n">
        <v>1.076364040374756</v>
      </c>
      <c r="E15405" s="215" t="n">
        <v>45212</v>
      </c>
      <c r="F15405" s="215" t="n">
        <v>45212</v>
      </c>
    </row>
    <row r="15406">
      <c r="A15406" s="215" t="n">
        <v>45215</v>
      </c>
      <c r="B15406" s="216" t="n">
        <v>34.25</v>
      </c>
      <c r="C15406" s="216" t="n">
        <v>50.49</v>
      </c>
      <c r="D15406" s="216" t="n">
        <v>1.074789047241211</v>
      </c>
      <c r="E15406" s="215" t="n">
        <v>45215</v>
      </c>
      <c r="F15406" s="215" t="n">
        <v>45215</v>
      </c>
    </row>
    <row r="15407">
      <c r="A15407" s="215" t="n">
        <v>45216</v>
      </c>
      <c r="B15407" s="216" t="n">
        <v>34.15</v>
      </c>
      <c r="C15407" s="216" t="n">
        <v>51.23</v>
      </c>
      <c r="D15407" s="216" t="n">
        <v>1.077306985855103</v>
      </c>
      <c r="E15407" s="215" t="n">
        <v>45216</v>
      </c>
      <c r="F15407" s="215" t="n">
        <v>45216</v>
      </c>
    </row>
    <row r="15408">
      <c r="A15408" s="215" t="n">
        <v>45217</v>
      </c>
      <c r="B15408" s="216" t="n">
        <v>33.5</v>
      </c>
      <c r="C15408" s="216" t="n">
        <v>49.84</v>
      </c>
      <c r="D15408" s="216" t="n">
        <v>1.079851984977722</v>
      </c>
      <c r="E15408" s="215" t="n">
        <v>45217</v>
      </c>
      <c r="F15408" s="215" t="n">
        <v>45217</v>
      </c>
    </row>
    <row r="15409">
      <c r="A15409" s="215" t="n">
        <v>45218</v>
      </c>
      <c r="B15409" s="216" t="n">
        <v>34.3</v>
      </c>
      <c r="C15409" s="216" t="n">
        <v>49.79</v>
      </c>
      <c r="D15409" s="216" t="n">
        <v>1.077018976211548</v>
      </c>
      <c r="E15409" s="215" t="n">
        <v>45218</v>
      </c>
      <c r="F15409" s="215" t="n">
        <v>45218</v>
      </c>
    </row>
    <row r="15410">
      <c r="A15410" s="215" t="n">
        <v>45219</v>
      </c>
      <c r="B15410" s="216" t="n">
        <v>34.7</v>
      </c>
      <c r="C15410" s="216" t="n">
        <v>49.2</v>
      </c>
      <c r="D15410" s="216" t="n">
        <v>1.081383943557739</v>
      </c>
      <c r="E15410" s="215" t="n">
        <v>45219</v>
      </c>
      <c r="F15410" s="215" t="n">
        <v>45219</v>
      </c>
    </row>
    <row r="15411">
      <c r="A15411" s="215" t="n">
        <v>45223</v>
      </c>
      <c r="B15411" s="216" t="n">
        <v>34.9</v>
      </c>
      <c r="C15411" s="216" t="n">
        <v>48.2</v>
      </c>
      <c r="D15411" s="216" t="n">
        <v>1.090018033981323</v>
      </c>
      <c r="E15411" s="215" t="n">
        <v>45223</v>
      </c>
      <c r="F15411" s="215" t="n">
        <v>45223</v>
      </c>
    </row>
    <row r="15412">
      <c r="A15412" s="215" t="n">
        <v>45224</v>
      </c>
      <c r="B15412" s="216" t="n">
        <v>35.5</v>
      </c>
      <c r="C15412" s="216" t="n">
        <v>49</v>
      </c>
      <c r="D15412" s="216" t="n">
        <v>1.08238697052002</v>
      </c>
      <c r="E15412" s="215" t="n">
        <v>45224</v>
      </c>
      <c r="F15412" s="215" t="n">
        <v>45224</v>
      </c>
    </row>
    <row r="15413">
      <c r="A15413" s="215" t="n">
        <v>45225</v>
      </c>
      <c r="B15413" s="216" t="n">
        <v>35.8</v>
      </c>
      <c r="C15413" s="216" t="n">
        <v>48.45</v>
      </c>
      <c r="D15413" s="216" t="n">
        <v>1.079262971878052</v>
      </c>
      <c r="E15413" s="215" t="n">
        <v>45225</v>
      </c>
      <c r="F15413" s="215" t="n">
        <v>45225</v>
      </c>
    </row>
    <row r="15414">
      <c r="A15414" s="215" t="n">
        <v>45226</v>
      </c>
      <c r="B15414" s="216" t="n">
        <v>35.95</v>
      </c>
      <c r="C15414" s="216" t="n">
        <v>50.06</v>
      </c>
      <c r="D15414" s="216" t="n">
        <v>1.078766942024231</v>
      </c>
      <c r="E15414" s="215" t="n">
        <v>45226</v>
      </c>
      <c r="F15414" s="215" t="n">
        <v>45226</v>
      </c>
    </row>
    <row r="15415">
      <c r="A15415" s="215" t="n">
        <v>45229</v>
      </c>
      <c r="B15415" s="216" t="n">
        <v>36.1</v>
      </c>
      <c r="C15415" s="216" t="n">
        <v>49.54</v>
      </c>
      <c r="D15415" s="216" t="n">
        <v>1.078732967376709</v>
      </c>
      <c r="E15415" s="215" t="n">
        <v>45229</v>
      </c>
      <c r="F15415" s="215" t="n">
        <v>45229</v>
      </c>
    </row>
    <row r="15416">
      <c r="A15416" s="215" t="n">
        <v>45230</v>
      </c>
      <c r="B15416" s="216" t="n">
        <v>35.85</v>
      </c>
      <c r="C15416" s="216" t="n">
        <v>49.19</v>
      </c>
      <c r="D15416" s="216" t="n">
        <v>1.083860993385315</v>
      </c>
      <c r="E15416" s="215" t="n">
        <v>45230</v>
      </c>
      <c r="F15416" s="215" t="n">
        <v>45230</v>
      </c>
    </row>
    <row r="15417">
      <c r="A15417" s="215" t="n">
        <v>45231</v>
      </c>
      <c r="B15417" s="216" t="n">
        <v>36.2</v>
      </c>
      <c r="C15417" s="216" t="n">
        <v>50.09</v>
      </c>
      <c r="D15417" s="216" t="n">
        <v>1.080816030502319</v>
      </c>
      <c r="E15417" s="215" t="n">
        <v>45231</v>
      </c>
      <c r="F15417" s="215" t="n">
        <v>45231</v>
      </c>
    </row>
    <row r="15418">
      <c r="A15418" s="215" t="n">
        <v>45232</v>
      </c>
      <c r="B15418" s="216" t="n">
        <v>36.3</v>
      </c>
      <c r="C15418" s="216" t="n">
        <v>49.54</v>
      </c>
      <c r="D15418" s="216" t="n">
        <v>1.081329941749573</v>
      </c>
      <c r="E15418" s="215" t="n">
        <v>45232</v>
      </c>
      <c r="F15418" s="215" t="n">
        <v>45232</v>
      </c>
    </row>
    <row r="15419">
      <c r="A15419" s="215" t="n">
        <v>45233</v>
      </c>
      <c r="B15419" s="216" t="n">
        <v>36.4</v>
      </c>
      <c r="C15419" s="216" t="n">
        <v>50.75</v>
      </c>
      <c r="D15419" s="216" t="n">
        <v>1.084671974182129</v>
      </c>
      <c r="E15419" s="215" t="n">
        <v>45233</v>
      </c>
      <c r="F15419" s="215" t="n">
        <v>45233</v>
      </c>
    </row>
    <row r="15420">
      <c r="A15420" s="215" t="n">
        <v>45236</v>
      </c>
      <c r="B15420" s="216" t="n">
        <v>36.8</v>
      </c>
      <c r="C15420" s="216" t="n">
        <v>51.22</v>
      </c>
      <c r="D15420" s="216" t="n">
        <v>1.096359014511108</v>
      </c>
      <c r="E15420" s="215" t="n">
        <v>45236</v>
      </c>
      <c r="F15420" s="215" t="n">
        <v>45236</v>
      </c>
    </row>
    <row r="15421">
      <c r="A15421" s="215" t="n">
        <v>45237</v>
      </c>
      <c r="B15421" s="216" t="n">
        <v>37.1</v>
      </c>
      <c r="C15421" s="216" t="n">
        <v>51.54</v>
      </c>
      <c r="D15421" s="216" t="n">
        <v>1.094547033309937</v>
      </c>
      <c r="E15421" s="215" t="n">
        <v>45237</v>
      </c>
      <c r="F15421" s="215" t="n">
        <v>45237</v>
      </c>
    </row>
    <row r="15422">
      <c r="A15422" s="215" t="n">
        <v>45238</v>
      </c>
      <c r="B15422" s="216" t="n">
        <v>38</v>
      </c>
      <c r="C15422" s="216" t="n">
        <v>52.04</v>
      </c>
      <c r="D15422" s="216" t="n">
        <v>1.092092037200928</v>
      </c>
      <c r="E15422" s="215" t="n">
        <v>45238</v>
      </c>
      <c r="F15422" s="215" t="n">
        <v>45238</v>
      </c>
    </row>
    <row r="15423">
      <c r="A15423" s="215" t="n">
        <v>45239</v>
      </c>
      <c r="B15423" s="216" t="n">
        <v>37.65</v>
      </c>
      <c r="C15423" s="216" t="n">
        <v>51.93</v>
      </c>
      <c r="D15423" s="216" t="n">
        <v>1.092741012573242</v>
      </c>
      <c r="E15423" s="215" t="n">
        <v>45239</v>
      </c>
      <c r="F15423" s="215" t="n">
        <v>45239</v>
      </c>
    </row>
    <row r="15424">
      <c r="A15424" s="215" t="n">
        <v>45240</v>
      </c>
      <c r="B15424" s="216" t="n">
        <v>37.05</v>
      </c>
      <c r="C15424" s="216" t="n">
        <v>52.07</v>
      </c>
      <c r="D15424" s="216" t="n">
        <v>1.087584972381592</v>
      </c>
      <c r="E15424" s="215" t="n">
        <v>45240</v>
      </c>
      <c r="F15424" s="215" t="n">
        <v>45240</v>
      </c>
    </row>
    <row r="15425">
      <c r="A15425" s="215" t="n">
        <v>45243</v>
      </c>
      <c r="B15425" s="216" t="n">
        <v>37.15</v>
      </c>
      <c r="C15425" s="216" t="n">
        <v>51.98</v>
      </c>
      <c r="D15425" s="216" t="n">
        <v>1.090304970741272</v>
      </c>
      <c r="E15425" s="215" t="n">
        <v>45243</v>
      </c>
      <c r="F15425" s="215" t="n">
        <v>45243</v>
      </c>
    </row>
    <row r="15426">
      <c r="A15426" s="215" t="n">
        <v>45244</v>
      </c>
      <c r="B15426" s="216" t="n">
        <v>37.85</v>
      </c>
      <c r="C15426" s="216" t="n">
        <v>52.44</v>
      </c>
      <c r="D15426" s="216" t="n">
        <v>1.091066956520081</v>
      </c>
      <c r="E15426" s="215" t="n">
        <v>45244</v>
      </c>
      <c r="F15426" s="215" t="n">
        <v>45244</v>
      </c>
    </row>
    <row r="15427">
      <c r="A15427" s="215" t="n">
        <v>45245</v>
      </c>
      <c r="B15427" s="216" t="n">
        <v>38.3</v>
      </c>
      <c r="C15427" s="216" t="n">
        <v>52.87</v>
      </c>
      <c r="D15427" s="216" t="n">
        <v>1.108688950538635</v>
      </c>
      <c r="E15427" s="215" t="n">
        <v>45245</v>
      </c>
      <c r="F15427" s="215" t="n">
        <v>45245</v>
      </c>
    </row>
    <row r="15428">
      <c r="A15428" s="215" t="n">
        <v>45246</v>
      </c>
      <c r="B15428" s="216" t="n">
        <v>38</v>
      </c>
      <c r="C15428" s="216" t="n">
        <v>51.6</v>
      </c>
      <c r="D15428" s="216" t="n">
        <v>1.106451988220215</v>
      </c>
      <c r="E15428" s="215" t="n">
        <v>45246</v>
      </c>
      <c r="F15428" s="215" t="n">
        <v>45246</v>
      </c>
    </row>
    <row r="15429">
      <c r="A15429" s="215" t="n">
        <v>45247</v>
      </c>
      <c r="B15429" s="216" t="n">
        <v>38.15</v>
      </c>
      <c r="C15429" s="216" t="n">
        <v>51.97</v>
      </c>
      <c r="D15429" s="216" t="n">
        <v>1.105692982673645</v>
      </c>
      <c r="E15429" s="215" t="n">
        <v>45247</v>
      </c>
      <c r="F15429" s="215" t="n">
        <v>45247</v>
      </c>
    </row>
    <row r="15430">
      <c r="A15430" s="215" t="n">
        <v>45250</v>
      </c>
      <c r="B15430" s="216" t="n">
        <v>38.25</v>
      </c>
      <c r="C15430" s="216" t="n">
        <v>52.17</v>
      </c>
      <c r="D15430" s="216" t="n">
        <v>1.110219955444336</v>
      </c>
      <c r="E15430" s="215" t="n">
        <v>45250</v>
      </c>
      <c r="F15430" s="215" t="n">
        <v>45250</v>
      </c>
    </row>
    <row r="15431">
      <c r="A15431" s="215" t="n">
        <v>45251</v>
      </c>
      <c r="B15431" s="216" t="n">
        <v>38.6</v>
      </c>
      <c r="C15431" s="216" t="n">
        <v>51.9</v>
      </c>
      <c r="D15431" s="216" t="n">
        <v>1.113530039787292</v>
      </c>
      <c r="E15431" s="215" t="n">
        <v>45251</v>
      </c>
      <c r="F15431" s="215" t="n">
        <v>45251</v>
      </c>
    </row>
    <row r="15432">
      <c r="A15432" s="215" t="n">
        <v>45252</v>
      </c>
      <c r="B15432" s="216" t="n">
        <v>38.3</v>
      </c>
      <c r="C15432" s="216" t="n">
        <v>51.01</v>
      </c>
      <c r="D15432" s="216" t="n">
        <v>1.11102294921875</v>
      </c>
      <c r="E15432" s="215" t="n">
        <v>45252</v>
      </c>
      <c r="F15432" s="215" t="n">
        <v>45252</v>
      </c>
    </row>
    <row r="15433">
      <c r="A15433" s="215" t="n">
        <v>45253</v>
      </c>
      <c r="B15433" s="216" t="n">
        <v>38.2</v>
      </c>
      <c r="C15433" s="216" t="n">
        <v>52.78</v>
      </c>
      <c r="D15433" s="216" t="n">
        <v>1.10846996307373</v>
      </c>
      <c r="E15433" s="215" t="n">
        <v>45253</v>
      </c>
      <c r="F15433" s="215" t="n">
        <v>45253</v>
      </c>
    </row>
    <row r="15434">
      <c r="A15434" s="215" t="n">
        <v>45254</v>
      </c>
      <c r="B15434" s="216" t="n">
        <v>38.35</v>
      </c>
      <c r="C15434" s="216" t="n">
        <v>52.99</v>
      </c>
      <c r="D15434" s="216" t="n">
        <v>1.110196948051453</v>
      </c>
      <c r="E15434" s="215" t="n">
        <v>45254</v>
      </c>
      <c r="F15434" s="215" t="n">
        <v>45254</v>
      </c>
    </row>
    <row r="15435">
      <c r="A15435" s="215" t="n">
        <v>45257</v>
      </c>
      <c r="B15435" s="216" t="n">
        <v>38.5</v>
      </c>
      <c r="C15435" s="216" t="n">
        <v>53.9</v>
      </c>
      <c r="D15435" s="216" t="n">
        <v>1.113034963607788</v>
      </c>
      <c r="E15435" s="215" t="n">
        <v>45257</v>
      </c>
      <c r="F15435" s="215" t="n">
        <v>45257</v>
      </c>
    </row>
    <row r="15436">
      <c r="A15436" s="215" t="n">
        <v>45258</v>
      </c>
      <c r="B15436" s="216" t="n">
        <v>39.05</v>
      </c>
      <c r="C15436" s="216" t="n">
        <v>55.28</v>
      </c>
      <c r="D15436" s="216" t="n">
        <v>1.114474058151245</v>
      </c>
      <c r="E15436" s="215" t="n">
        <v>45258</v>
      </c>
      <c r="F15436" s="215" t="n">
        <v>45258</v>
      </c>
    </row>
    <row r="15437">
      <c r="A15437" s="215" t="n">
        <v>45259</v>
      </c>
      <c r="B15437" s="216" t="n">
        <v>39.3</v>
      </c>
      <c r="C15437" s="216" t="n">
        <v>54.45</v>
      </c>
      <c r="D15437" s="216" t="n">
        <v>1.119948983192444</v>
      </c>
      <c r="E15437" s="215" t="n">
        <v>45259</v>
      </c>
      <c r="F15437" s="215" t="n">
        <v>45259</v>
      </c>
    </row>
    <row r="15438">
      <c r="A15438" s="215" t="n">
        <v>45260</v>
      </c>
      <c r="B15438" s="216" t="n">
        <v>39.2</v>
      </c>
      <c r="C15438" s="216" t="n">
        <v>54.75</v>
      </c>
      <c r="D15438" s="216" t="n">
        <v>1.118155956268311</v>
      </c>
      <c r="E15438" s="215" t="n">
        <v>45260</v>
      </c>
      <c r="F15438" s="215" t="n">
        <v>45260</v>
      </c>
    </row>
    <row r="15439">
      <c r="A15439" s="215" t="n">
        <v>45261</v>
      </c>
      <c r="B15439" s="216" t="n">
        <v>39.3</v>
      </c>
      <c r="C15439" s="216" t="n">
        <v>53.6</v>
      </c>
      <c r="D15439" s="216" t="n">
        <v>1.110759019851685</v>
      </c>
      <c r="E15439" s="215" t="n">
        <v>45261</v>
      </c>
      <c r="F15439" s="215" t="n">
        <v>45261</v>
      </c>
    </row>
    <row r="15440">
      <c r="A15440" s="215" t="n">
        <v>45264</v>
      </c>
      <c r="B15440" s="216" t="n">
        <v>39.15</v>
      </c>
      <c r="C15440" s="216" t="n">
        <v>53.88</v>
      </c>
      <c r="D15440" s="216" t="n">
        <v>1.110934019088745</v>
      </c>
      <c r="E15440" s="215" t="n">
        <v>45264</v>
      </c>
      <c r="F15440" s="215" t="n">
        <v>45264</v>
      </c>
    </row>
    <row r="15441">
      <c r="A15441" s="215" t="n">
        <v>45265</v>
      </c>
      <c r="B15441" s="216" t="n">
        <v>39</v>
      </c>
      <c r="C15441" s="216" t="n">
        <v>53.7</v>
      </c>
      <c r="D15441" s="216" t="n">
        <v>1.105996012687683</v>
      </c>
      <c r="E15441" s="215" t="n">
        <v>45265</v>
      </c>
      <c r="F15441" s="215" t="n">
        <v>45265</v>
      </c>
    </row>
    <row r="15442">
      <c r="A15442" s="215" t="n">
        <v>45266</v>
      </c>
      <c r="B15442" s="216" t="n">
        <v>38.7</v>
      </c>
      <c r="C15442" s="216" t="n">
        <v>52.98</v>
      </c>
      <c r="D15442" s="216" t="n">
        <v>1.101930975914001</v>
      </c>
      <c r="E15442" s="215" t="n">
        <v>45266</v>
      </c>
      <c r="F15442" s="215" t="n">
        <v>45266</v>
      </c>
    </row>
    <row r="15443">
      <c r="A15443" s="215" t="n">
        <v>45267</v>
      </c>
      <c r="B15443" s="216" t="n">
        <v>38.9</v>
      </c>
      <c r="C15443" s="216" t="n">
        <v>50.3</v>
      </c>
      <c r="D15443" s="216" t="n">
        <v>1.098016023635864</v>
      </c>
      <c r="E15443" s="215" t="n">
        <v>45267</v>
      </c>
      <c r="F15443" s="215" t="n">
        <v>45267</v>
      </c>
    </row>
    <row r="15444">
      <c r="A15444" s="215" t="n">
        <v>45268</v>
      </c>
      <c r="B15444" s="216" t="n">
        <v>38.7</v>
      </c>
      <c r="C15444" s="216" t="n">
        <v>49</v>
      </c>
      <c r="D15444" s="216" t="n">
        <v>1.100576043128967</v>
      </c>
      <c r="E15444" s="215" t="n">
        <v>45268</v>
      </c>
      <c r="F15444" s="215" t="n">
        <v>45268</v>
      </c>
    </row>
    <row r="15445">
      <c r="A15445" s="215" t="n">
        <v>45271</v>
      </c>
      <c r="B15445" s="216" t="n">
        <v>38.5</v>
      </c>
      <c r="C15445" s="216" t="n">
        <v>49.25</v>
      </c>
      <c r="D15445" s="216" t="n">
        <v>1.097795963287354</v>
      </c>
      <c r="E15445" s="215" t="n">
        <v>45271</v>
      </c>
      <c r="F15445" s="215" t="n">
        <v>45271</v>
      </c>
    </row>
    <row r="15446">
      <c r="A15446" s="215" t="n">
        <v>45272</v>
      </c>
      <c r="B15446" s="216" t="n">
        <v>36.95</v>
      </c>
      <c r="C15446" s="216" t="n">
        <v>49.22</v>
      </c>
      <c r="D15446" s="216" t="n">
        <v>1.097154974937439</v>
      </c>
      <c r="E15446" s="215" t="n">
        <v>45272</v>
      </c>
      <c r="F15446" s="215" t="n">
        <v>45272</v>
      </c>
    </row>
    <row r="15447">
      <c r="A15447" s="215" t="n">
        <v>45273</v>
      </c>
      <c r="B15447" s="216" t="n">
        <v>36.95</v>
      </c>
      <c r="C15447" s="216" t="n">
        <v>48.93</v>
      </c>
      <c r="D15447" s="216" t="n">
        <v>1.101083993911743</v>
      </c>
      <c r="E15447" s="215" t="n">
        <v>45273</v>
      </c>
      <c r="F15447" s="215" t="n">
        <v>45273</v>
      </c>
    </row>
    <row r="15448">
      <c r="A15448" s="215" t="n">
        <v>45274</v>
      </c>
      <c r="B15448" s="216" t="n">
        <v>36.85</v>
      </c>
      <c r="C15448" s="216" t="n">
        <v>49</v>
      </c>
      <c r="D15448" s="216" t="n">
        <v>1.109936952590942</v>
      </c>
      <c r="E15448" s="215" t="n">
        <v>45274</v>
      </c>
      <c r="F15448" s="215" t="n">
        <v>45274</v>
      </c>
    </row>
    <row r="15449">
      <c r="A15449" s="215" t="n">
        <v>45275</v>
      </c>
      <c r="B15449" s="216" t="n">
        <v>36.45</v>
      </c>
      <c r="C15449" s="216" t="n">
        <v>48.88</v>
      </c>
      <c r="D15449" s="216" t="n">
        <v>1.120489954948425</v>
      </c>
      <c r="E15449" s="215" t="n">
        <v>45275</v>
      </c>
      <c r="F15449" s="215" t="n">
        <v>45275</v>
      </c>
    </row>
    <row r="15450">
      <c r="A15450" s="215" t="n">
        <v>45278</v>
      </c>
      <c r="B15450" s="216" t="n">
        <v>35.45</v>
      </c>
      <c r="C15450" s="216" t="n">
        <v>46.24</v>
      </c>
      <c r="D15450" s="216" t="n">
        <v>1.110012054443359</v>
      </c>
      <c r="E15450" s="215" t="n">
        <v>45278</v>
      </c>
      <c r="F15450" s="215" t="n">
        <v>45278</v>
      </c>
    </row>
    <row r="15451">
      <c r="A15451" s="215" t="n">
        <v>45279</v>
      </c>
      <c r="B15451" s="216" t="n">
        <v>33.55</v>
      </c>
      <c r="C15451" s="216" t="n">
        <v>45.74</v>
      </c>
      <c r="D15451" s="216" t="n">
        <v>1.111768007278442</v>
      </c>
      <c r="E15451" s="215" t="n">
        <v>45279</v>
      </c>
      <c r="F15451" s="215" t="n">
        <v>45279</v>
      </c>
    </row>
    <row r="15452">
      <c r="A15452" s="215" t="n">
        <v>45280</v>
      </c>
      <c r="B15452" s="216" t="n">
        <v>31.65</v>
      </c>
      <c r="C15452" s="216" t="n">
        <v>44.2</v>
      </c>
      <c r="D15452" s="216" t="n">
        <v>1.118278980255127</v>
      </c>
      <c r="E15452" s="215" t="n">
        <v>45280</v>
      </c>
      <c r="F15452" s="215" t="n">
        <v>45280</v>
      </c>
    </row>
    <row r="15453">
      <c r="A15453" s="215" t="n">
        <v>45281</v>
      </c>
      <c r="B15453" s="216" t="n">
        <v>31.65</v>
      </c>
      <c r="C15453" s="216" t="n">
        <v>44.7</v>
      </c>
      <c r="D15453" s="216" t="n">
        <v>1.115596055984497</v>
      </c>
      <c r="E15453" s="215" t="n">
        <v>45281</v>
      </c>
      <c r="F15453" s="215" t="n">
        <v>45281</v>
      </c>
    </row>
    <row r="15454">
      <c r="A15454" s="215" t="n">
        <v>45282</v>
      </c>
      <c r="B15454" s="216" t="n">
        <v>30.85</v>
      </c>
      <c r="C15454" s="216" t="n">
        <v>44.04</v>
      </c>
      <c r="D15454" s="216" t="n">
        <v>1.122302055358887</v>
      </c>
      <c r="E15454" s="215" t="n">
        <v>45282</v>
      </c>
      <c r="F15454" s="215" t="n">
        <v>45282</v>
      </c>
    </row>
    <row r="15455">
      <c r="A15455" s="215" t="n">
        <v>45287</v>
      </c>
      <c r="B15455" s="216" t="n">
        <v>31.75</v>
      </c>
      <c r="C15455" s="216" t="n">
        <v>43.3</v>
      </c>
      <c r="D15455" s="216" t="n">
        <v>1.125676989555359</v>
      </c>
      <c r="E15455" s="215" t="n">
        <v>45287</v>
      </c>
      <c r="F15455" s="215" t="n">
        <v>45287</v>
      </c>
    </row>
    <row r="15456">
      <c r="A15456" s="215" t="n">
        <v>45288</v>
      </c>
      <c r="B15456" s="216" t="n">
        <v>33</v>
      </c>
      <c r="C15456" s="216" t="n">
        <v>45.41</v>
      </c>
      <c r="D15456" s="216" t="n">
        <v>1.132581949234009</v>
      </c>
      <c r="E15456" s="215" t="n">
        <v>45288</v>
      </c>
      <c r="F15456" s="215" t="n">
        <v>45288</v>
      </c>
    </row>
    <row r="15457">
      <c r="A15457" s="215" t="n">
        <v>45289</v>
      </c>
      <c r="B15457" s="216" t="n">
        <v>33.55</v>
      </c>
      <c r="C15457" s="216" t="n">
        <v>45.74</v>
      </c>
      <c r="D15457" s="216" t="n">
        <v>1.128918051719666</v>
      </c>
      <c r="E15457" s="215" t="n">
        <v>45289</v>
      </c>
      <c r="F15457" s="215" t="n">
        <v>45289</v>
      </c>
    </row>
    <row r="15458">
      <c r="A15458" s="215" t="n">
        <v>45293</v>
      </c>
      <c r="B15458" s="216" t="n">
        <v>33.6</v>
      </c>
      <c r="C15458" s="216" t="n">
        <v>45</v>
      </c>
      <c r="D15458" s="216" t="n">
        <v>1.125501990318298</v>
      </c>
      <c r="E15458" s="215" t="n">
        <v>45293</v>
      </c>
      <c r="F15458" s="215" t="n">
        <v>45293</v>
      </c>
    </row>
    <row r="15459">
      <c r="A15459" s="215" t="n">
        <v>45294</v>
      </c>
      <c r="B15459" s="216" t="n">
        <v>33.6</v>
      </c>
      <c r="C15459" s="216" t="n">
        <v>44.56</v>
      </c>
      <c r="D15459" s="216" t="n">
        <v>1.116525053977966</v>
      </c>
      <c r="E15459" s="215" t="n">
        <v>45294</v>
      </c>
      <c r="F15459" s="215" t="n">
        <v>45294</v>
      </c>
    </row>
    <row r="15460">
      <c r="A15460" s="215" t="n">
        <v>45295</v>
      </c>
      <c r="B15460" s="216" t="n">
        <v>33.55</v>
      </c>
      <c r="C15460" s="216" t="n">
        <v>44.4</v>
      </c>
      <c r="D15460" s="216" t="n">
        <v>1.113739013671875</v>
      </c>
      <c r="E15460" s="215" t="n">
        <v>45295</v>
      </c>
      <c r="F15460" s="215" t="n">
        <v>45295</v>
      </c>
    </row>
    <row r="15461">
      <c r="A15461" s="215" t="n">
        <v>45296</v>
      </c>
      <c r="B15461" s="216" t="n">
        <v>33.75</v>
      </c>
      <c r="C15461" s="216" t="n">
        <v>43.07</v>
      </c>
      <c r="D15461" s="216" t="n">
        <v>1.116189956665039</v>
      </c>
      <c r="E15461" s="215" t="n">
        <v>45296</v>
      </c>
      <c r="F15461" s="215" t="n">
        <v>45296</v>
      </c>
    </row>
    <row r="15462">
      <c r="A15462" s="215" t="n">
        <v>45299</v>
      </c>
      <c r="B15462" s="216" t="n">
        <v>33.45</v>
      </c>
      <c r="C15462" s="216" t="n">
        <v>42.84</v>
      </c>
      <c r="D15462" s="216" t="n">
        <v>1.116019010543823</v>
      </c>
      <c r="E15462" s="215" t="n">
        <v>45299</v>
      </c>
      <c r="F15462" s="215" t="n">
        <v>45299</v>
      </c>
    </row>
    <row r="15463">
      <c r="A15463" s="215" t="n">
        <v>45300</v>
      </c>
      <c r="B15463" s="216" t="n">
        <v>32.9</v>
      </c>
      <c r="C15463" s="216" t="n">
        <v>42.15</v>
      </c>
      <c r="D15463" s="216" t="n">
        <v>1.116075992584229</v>
      </c>
      <c r="E15463" s="215" t="n">
        <v>45300</v>
      </c>
      <c r="F15463" s="215" t="n">
        <v>45300</v>
      </c>
    </row>
    <row r="15464">
      <c r="A15464" s="215" t="n">
        <v>45301</v>
      </c>
      <c r="B15464" s="216" t="n">
        <v>32.05</v>
      </c>
      <c r="C15464" s="216" t="n">
        <v>41.95</v>
      </c>
      <c r="D15464" s="216" t="n">
        <v>1.115636944770813</v>
      </c>
      <c r="E15464" s="215" t="n">
        <v>45301</v>
      </c>
      <c r="F15464" s="215" t="n">
        <v>45301</v>
      </c>
    </row>
    <row r="15465">
      <c r="A15465" s="215" t="n">
        <v>45302</v>
      </c>
      <c r="B15465" s="216" t="n">
        <v>32.75</v>
      </c>
      <c r="C15465" s="216" t="n">
        <v>42.98</v>
      </c>
      <c r="D15465" s="216" t="n">
        <v>1.120515942573547</v>
      </c>
      <c r="E15465" s="215" t="n">
        <v>45302</v>
      </c>
      <c r="F15465" s="215" t="n">
        <v>45302</v>
      </c>
    </row>
    <row r="15466">
      <c r="A15466" s="215" t="n">
        <v>45303</v>
      </c>
      <c r="B15466" s="216" t="n">
        <v>33.45</v>
      </c>
      <c r="C15466" s="216" t="n">
        <v>43.02</v>
      </c>
      <c r="D15466" s="216" t="n">
        <v>1.120725035667419</v>
      </c>
      <c r="E15466" s="215" t="n">
        <v>45303</v>
      </c>
      <c r="F15466" s="215" t="n">
        <v>45303</v>
      </c>
    </row>
    <row r="15467">
      <c r="A15467" s="215" t="n">
        <v>45306</v>
      </c>
      <c r="B15467" s="216" t="n">
        <v>33.9</v>
      </c>
      <c r="C15467" s="216" t="n">
        <v>43.32</v>
      </c>
      <c r="D15467" s="216" t="n">
        <v>1.117622017860413</v>
      </c>
      <c r="E15467" s="215" t="n">
        <v>45306</v>
      </c>
      <c r="F15467" s="215" t="n">
        <v>45306</v>
      </c>
    </row>
    <row r="15468">
      <c r="A15468" s="215" t="n">
        <v>45307</v>
      </c>
      <c r="B15468" s="216" t="n">
        <v>34.15</v>
      </c>
      <c r="C15468" s="216" t="n">
        <v>42.74</v>
      </c>
      <c r="D15468" s="216" t="n">
        <v>1.118000030517578</v>
      </c>
      <c r="E15468" s="215" t="n">
        <v>45307</v>
      </c>
      <c r="F15468" s="215" t="n">
        <v>45307</v>
      </c>
    </row>
    <row r="15469">
      <c r="A15469" s="215" t="n">
        <v>45308</v>
      </c>
      <c r="B15469" s="216" t="n">
        <v>33.6</v>
      </c>
      <c r="C15469" s="216" t="n">
        <v>41.08</v>
      </c>
      <c r="D15469" s="216" t="n">
        <v>1.111650943756104</v>
      </c>
      <c r="E15469" s="215" t="n">
        <v>45308</v>
      </c>
      <c r="F15469" s="215" t="n">
        <v>45308</v>
      </c>
    </row>
    <row r="15470">
      <c r="A15470" s="215" t="n">
        <v>45309</v>
      </c>
      <c r="B15470" s="216" t="n">
        <v>33.5</v>
      </c>
      <c r="C15470" s="216" t="n">
        <v>41.19</v>
      </c>
      <c r="D15470" s="216" t="n">
        <v>1.111701965332031</v>
      </c>
      <c r="E15470" s="215" t="n">
        <v>45309</v>
      </c>
      <c r="F15470" s="215" t="n">
        <v>45309</v>
      </c>
    </row>
    <row r="15471">
      <c r="A15471" s="215" t="n">
        <v>45310</v>
      </c>
      <c r="B15471" s="216" t="n">
        <v>33.6</v>
      </c>
      <c r="C15471" s="216" t="n">
        <v>40.1</v>
      </c>
      <c r="D15471" s="216" t="n">
        <v>1.111027956008911</v>
      </c>
      <c r="E15471" s="215" t="n">
        <v>45310</v>
      </c>
      <c r="F15471" s="215" t="n">
        <v>45310</v>
      </c>
    </row>
    <row r="15472">
      <c r="A15472" s="215" t="n">
        <v>45313</v>
      </c>
      <c r="B15472" s="216" t="n">
        <v>32.95</v>
      </c>
      <c r="C15472" s="216" t="n">
        <v>37.43</v>
      </c>
      <c r="D15472" s="216" t="n">
        <v>1.111721038818359</v>
      </c>
      <c r="E15472" s="215" t="n">
        <v>45313</v>
      </c>
      <c r="F15472" s="215" t="n">
        <v>45313</v>
      </c>
    </row>
    <row r="15473">
      <c r="A15473" s="215" t="n">
        <v>45314</v>
      </c>
      <c r="B15473" s="216" t="n">
        <v>32.4</v>
      </c>
      <c r="C15473" s="216" t="n">
        <v>37.54</v>
      </c>
      <c r="D15473" s="216" t="n">
        <v>1.110329031944275</v>
      </c>
      <c r="E15473" s="215" t="n">
        <v>45314</v>
      </c>
      <c r="F15473" s="215" t="n">
        <v>45314</v>
      </c>
    </row>
    <row r="15474">
      <c r="A15474" s="215" t="n">
        <v>45315</v>
      </c>
      <c r="B15474" s="216" t="n">
        <v>31.75</v>
      </c>
      <c r="C15474" s="216" t="n">
        <v>38.6</v>
      </c>
      <c r="D15474" s="216" t="n">
        <v>1.108868002891541</v>
      </c>
      <c r="E15474" s="215" t="n">
        <v>45315</v>
      </c>
      <c r="F15474" s="215" t="n">
        <v>45315</v>
      </c>
    </row>
    <row r="15475">
      <c r="A15475" s="215" t="n">
        <v>45316</v>
      </c>
      <c r="B15475" s="216" t="n">
        <v>31.7</v>
      </c>
      <c r="C15475" s="216" t="n">
        <v>39.88</v>
      </c>
      <c r="D15475" s="216" t="n">
        <v>1.110738039016724</v>
      </c>
      <c r="E15475" s="215" t="n">
        <v>45316</v>
      </c>
      <c r="F15475" s="215" t="n">
        <v>45316</v>
      </c>
    </row>
    <row r="15476">
      <c r="A15476" s="215" t="n">
        <v>45317</v>
      </c>
      <c r="B15476" s="216" t="n">
        <v>32.2</v>
      </c>
      <c r="C15476" s="216" t="n">
        <v>39.02</v>
      </c>
      <c r="D15476" s="216" t="n">
        <v>1.10723602771759</v>
      </c>
      <c r="E15476" s="215" t="n">
        <v>45317</v>
      </c>
      <c r="F15476" s="215" t="n">
        <v>45317</v>
      </c>
    </row>
    <row r="15477">
      <c r="A15477" s="215" t="n">
        <v>45320</v>
      </c>
      <c r="B15477" s="216" t="n">
        <v>31.8</v>
      </c>
      <c r="C15477" s="216" t="n">
        <v>37</v>
      </c>
      <c r="D15477" s="216" t="n">
        <v>1.10621702671051</v>
      </c>
      <c r="E15477" s="215" t="n">
        <v>45320</v>
      </c>
      <c r="F15477" s="215" t="n">
        <v>45320</v>
      </c>
    </row>
    <row r="15478">
      <c r="A15478" s="215" t="n">
        <v>45321</v>
      </c>
      <c r="B15478" s="216" t="n">
        <v>31.1</v>
      </c>
      <c r="C15478" s="216" t="n">
        <v>35.51</v>
      </c>
      <c r="D15478" s="216" t="n">
        <v>1.105329036712646</v>
      </c>
      <c r="E15478" s="215" t="n">
        <v>45321</v>
      </c>
      <c r="F15478" s="215" t="n">
        <v>45321</v>
      </c>
    </row>
    <row r="15479">
      <c r="A15479" s="215" t="n">
        <v>45322</v>
      </c>
      <c r="B15479" s="216" t="n">
        <v>30.4</v>
      </c>
      <c r="C15479" s="216" t="n">
        <v>34.37</v>
      </c>
      <c r="D15479" s="216" t="n">
        <v>1.106791973114014</v>
      </c>
      <c r="E15479" s="215" t="n">
        <v>45322</v>
      </c>
      <c r="F15479" s="215" t="n">
        <v>45322</v>
      </c>
    </row>
    <row r="15480">
      <c r="A15480" s="215" t="n">
        <v>45323</v>
      </c>
      <c r="B15480" s="216" t="n">
        <v>29.85</v>
      </c>
      <c r="C15480" s="216" t="n">
        <v>34.92</v>
      </c>
      <c r="D15480" s="216" t="n">
        <v>1.102612972259521</v>
      </c>
      <c r="E15480" s="215" t="n">
        <v>45323</v>
      </c>
      <c r="F15480" s="215" t="n">
        <v>45323</v>
      </c>
    </row>
    <row r="15481">
      <c r="A15481" s="215" t="n">
        <v>45324</v>
      </c>
      <c r="B15481" s="216" t="n">
        <v>28.3</v>
      </c>
      <c r="C15481" s="216" t="n">
        <v>32.36</v>
      </c>
      <c r="D15481" s="216" t="n">
        <v>1.110376000404358</v>
      </c>
      <c r="E15481" s="215" t="n">
        <v>45324</v>
      </c>
      <c r="F15481" s="215" t="n">
        <v>45324</v>
      </c>
    </row>
    <row r="15482">
      <c r="A15482" s="215" t="n">
        <v>45327</v>
      </c>
      <c r="B15482" s="216" t="n">
        <v>27.95</v>
      </c>
      <c r="C15482" s="216" t="n">
        <v>28.76</v>
      </c>
      <c r="D15482" s="216" t="n">
        <v>1.100926041603088</v>
      </c>
      <c r="E15482" s="215" t="n">
        <v>45327</v>
      </c>
      <c r="F15482" s="215" t="n">
        <v>45327</v>
      </c>
    </row>
    <row r="15483">
      <c r="A15483" s="215" t="n">
        <v>45328</v>
      </c>
      <c r="B15483" s="216" t="n">
        <v>29.95</v>
      </c>
      <c r="C15483" s="216" t="n">
        <v>30.5</v>
      </c>
      <c r="D15483" s="216" t="n">
        <v>1.097015976905823</v>
      </c>
      <c r="E15483" s="215" t="n">
        <v>45328</v>
      </c>
      <c r="F15483" s="215" t="n">
        <v>45328</v>
      </c>
    </row>
    <row r="15484">
      <c r="A15484" s="215" t="n">
        <v>45329</v>
      </c>
      <c r="B15484" s="216" t="n">
        <v>30.2</v>
      </c>
      <c r="C15484" s="216" t="n">
        <v>31.38</v>
      </c>
      <c r="D15484" s="216" t="n">
        <v>1.098708987236023</v>
      </c>
      <c r="E15484" s="215" t="n">
        <v>45329</v>
      </c>
      <c r="F15484" s="215" t="n">
        <v>45329</v>
      </c>
    </row>
    <row r="15485">
      <c r="A15485" s="215" t="n">
        <v>45330</v>
      </c>
      <c r="B15485" s="216" t="n">
        <v>30.8</v>
      </c>
      <c r="C15485" s="216" t="n">
        <v>33</v>
      </c>
      <c r="D15485" s="216" t="n">
        <v>1.100044012069702</v>
      </c>
      <c r="E15485" s="215" t="n">
        <v>45330</v>
      </c>
      <c r="F15485" s="215" t="n">
        <v>45330</v>
      </c>
    </row>
    <row r="15486">
      <c r="A15486" s="215" t="n">
        <v>45338</v>
      </c>
      <c r="B15486" s="216" t="n">
        <v>31</v>
      </c>
      <c r="C15486" s="216" t="n">
        <v>33</v>
      </c>
      <c r="D15486" s="216" t="n">
        <v>1.100026965141296</v>
      </c>
      <c r="E15486" s="215" t="n">
        <v>45330</v>
      </c>
      <c r="F15486" s="215" t="n">
        <v>45338</v>
      </c>
    </row>
    <row r="15487">
      <c r="A15487" s="215" t="n">
        <v>45341</v>
      </c>
      <c r="B15487" s="216" t="n">
        <v>30.85</v>
      </c>
      <c r="C15487" s="216" t="n">
        <v>32.6</v>
      </c>
      <c r="D15487" s="216" t="n">
        <v>1.10134494304657</v>
      </c>
      <c r="E15487" s="215" t="n">
        <v>45341</v>
      </c>
      <c r="F15487" s="215" t="n">
        <v>45341</v>
      </c>
    </row>
    <row r="15488">
      <c r="A15488" s="215" t="n">
        <v>45342</v>
      </c>
      <c r="B15488" s="216" t="n">
        <v>30.7</v>
      </c>
      <c r="C15488" s="216" t="n">
        <v>32.37</v>
      </c>
      <c r="D15488" s="216" t="n">
        <v>1.100348949432373</v>
      </c>
      <c r="E15488" s="215" t="n">
        <v>45342</v>
      </c>
      <c r="F15488" s="215" t="n">
        <v>45342</v>
      </c>
    </row>
    <row r="15489">
      <c r="A15489" s="215" t="n">
        <v>45343</v>
      </c>
      <c r="B15489" s="216" t="n">
        <v>29.9</v>
      </c>
      <c r="C15489" s="216" t="n">
        <v>33.26</v>
      </c>
      <c r="D15489" s="216" t="n">
        <v>1.104022026062012</v>
      </c>
      <c r="E15489" s="215" t="n">
        <v>45343</v>
      </c>
      <c r="F15489" s="215" t="n">
        <v>45343</v>
      </c>
    </row>
    <row r="15490">
      <c r="A15490" s="215" t="n">
        <v>45344</v>
      </c>
      <c r="B15490" s="216" t="n">
        <v>29.8</v>
      </c>
      <c r="C15490" s="216" t="n">
        <v>33.88</v>
      </c>
      <c r="D15490" s="216" t="n">
        <v>1.104943990707397</v>
      </c>
      <c r="E15490" s="215" t="n">
        <v>45344</v>
      </c>
      <c r="F15490" s="215" t="n">
        <v>45344</v>
      </c>
    </row>
    <row r="15491">
      <c r="A15491" s="215" t="n">
        <v>45345</v>
      </c>
      <c r="B15491" s="216" t="n">
        <v>29.55</v>
      </c>
      <c r="C15491" s="216" t="n">
        <v>34.29</v>
      </c>
      <c r="D15491" s="216" t="n">
        <v>1.105702996253967</v>
      </c>
      <c r="E15491" s="215" t="n">
        <v>45345</v>
      </c>
      <c r="F15491" s="215" t="n">
        <v>45345</v>
      </c>
    </row>
    <row r="15492">
      <c r="A15492" s="215" t="n">
        <v>45348</v>
      </c>
      <c r="B15492" s="216" t="n">
        <v>29.9</v>
      </c>
      <c r="C15492" s="216" t="n">
        <v>35.23</v>
      </c>
      <c r="D15492" s="216" t="n">
        <v>1.105378985404968</v>
      </c>
      <c r="E15492" s="215" t="n">
        <v>45348</v>
      </c>
      <c r="F15492" s="215" t="n">
        <v>45348</v>
      </c>
    </row>
    <row r="15493">
      <c r="A15493" s="215" t="n">
        <v>45349</v>
      </c>
      <c r="B15493" s="216" t="n">
        <v>29.8</v>
      </c>
      <c r="C15493" s="216" t="n">
        <v>36.3</v>
      </c>
      <c r="D15493" s="216" t="n">
        <v>1.108508944511414</v>
      </c>
      <c r="E15493" s="215" t="n">
        <v>45349</v>
      </c>
      <c r="F15493" s="215" t="n">
        <v>45349</v>
      </c>
    </row>
    <row r="15494">
      <c r="A15494" s="215" t="n">
        <v>45350</v>
      </c>
      <c r="B15494" s="216" t="n">
        <v>30.35</v>
      </c>
      <c r="C15494" s="216" t="n">
        <v>34.38</v>
      </c>
      <c r="D15494" s="216" t="n">
        <v>1.107692956924438</v>
      </c>
      <c r="E15494" s="215" t="n">
        <v>45350</v>
      </c>
      <c r="F15494" s="215" t="n">
        <v>45350</v>
      </c>
    </row>
    <row r="15495">
      <c r="A15495" s="215" t="n">
        <v>45351</v>
      </c>
      <c r="B15495" s="216" t="n">
        <v>35.25</v>
      </c>
      <c r="C15495" s="216" t="n">
        <v>41.26</v>
      </c>
      <c r="D15495" s="216" t="n">
        <v>1.107548952102661</v>
      </c>
      <c r="E15495" s="215" t="n">
        <v>45351</v>
      </c>
      <c r="F15495" s="215" t="n">
        <v>45351</v>
      </c>
    </row>
    <row r="15496">
      <c r="A15496" s="215" t="n">
        <v>45352</v>
      </c>
      <c r="B15496" s="216" t="n">
        <v>35.4</v>
      </c>
      <c r="C15496" s="216" t="n">
        <v>43.57</v>
      </c>
      <c r="D15496" s="216" t="n">
        <v>1.104398965835571</v>
      </c>
      <c r="E15496" s="215" t="n">
        <v>45352</v>
      </c>
      <c r="F15496" s="215" t="n">
        <v>45352</v>
      </c>
    </row>
    <row r="15497">
      <c r="A15497" s="215" t="n">
        <v>45355</v>
      </c>
      <c r="B15497" s="216" t="n">
        <v>32.85</v>
      </c>
      <c r="C15497" s="216" t="n">
        <v>41.73</v>
      </c>
      <c r="D15497" s="216" t="n">
        <v>1.108315944671631</v>
      </c>
      <c r="E15497" s="215" t="n">
        <v>45355</v>
      </c>
      <c r="F15497" s="215" t="n">
        <v>45355</v>
      </c>
    </row>
    <row r="15498">
      <c r="A15498" s="215" t="n">
        <v>45356</v>
      </c>
      <c r="B15498" s="216" t="n">
        <v>33.6</v>
      </c>
      <c r="C15498" s="216" t="n">
        <v>41.82</v>
      </c>
      <c r="D15498" s="216" t="n">
        <v>1.109019041061401</v>
      </c>
      <c r="E15498" s="215" t="n">
        <v>45356</v>
      </c>
      <c r="F15498" s="215" t="n">
        <v>45356</v>
      </c>
    </row>
    <row r="15499">
      <c r="A15499" s="215" t="n">
        <v>45357</v>
      </c>
      <c r="B15499" s="216" t="n">
        <v>33.3</v>
      </c>
      <c r="C15499" s="216" t="n">
        <v>42.01</v>
      </c>
      <c r="D15499" s="216" t="n">
        <v>1.10906994342804</v>
      </c>
      <c r="E15499" s="215" t="n">
        <v>45357</v>
      </c>
      <c r="F15499" s="215" t="n">
        <v>45357</v>
      </c>
    </row>
    <row r="15500">
      <c r="A15500" s="215" t="n">
        <v>45358</v>
      </c>
      <c r="B15500" s="216" t="n">
        <v>32.95</v>
      </c>
      <c r="C15500" s="216" t="n">
        <v>40.1</v>
      </c>
      <c r="D15500" s="216" t="n">
        <v>1.113453984260559</v>
      </c>
      <c r="E15500" s="215" t="n">
        <v>45358</v>
      </c>
      <c r="F15500" s="215" t="n">
        <v>45358</v>
      </c>
    </row>
    <row r="15501">
      <c r="A15501" s="215" t="n">
        <v>45359</v>
      </c>
      <c r="B15501" s="216" t="n">
        <v>32.45</v>
      </c>
      <c r="C15501" s="216" t="n">
        <v>39.53</v>
      </c>
      <c r="D15501" s="216" t="n">
        <v>1.118204951286316</v>
      </c>
      <c r="E15501" s="215" t="n">
        <v>45359</v>
      </c>
      <c r="F15501" s="215" t="n">
        <v>45359</v>
      </c>
    </row>
    <row r="15502">
      <c r="A15502" s="215" t="n">
        <v>45362</v>
      </c>
      <c r="B15502" s="216" t="n">
        <v>33.45</v>
      </c>
      <c r="C15502" s="216" t="n">
        <v>41.28</v>
      </c>
      <c r="D15502" s="216" t="n">
        <v>1.117454051971436</v>
      </c>
      <c r="E15502" s="215" t="n">
        <v>45362</v>
      </c>
      <c r="F15502" s="215" t="n">
        <v>45362</v>
      </c>
    </row>
    <row r="15503">
      <c r="A15503" s="215" t="n">
        <v>45363</v>
      </c>
      <c r="B15503" s="216" t="n">
        <v>32.6</v>
      </c>
      <c r="C15503" s="216" t="n">
        <v>41.25</v>
      </c>
      <c r="D15503" s="216" t="n">
        <v>1.116387009620667</v>
      </c>
      <c r="E15503" s="215" t="n">
        <v>45363</v>
      </c>
      <c r="F15503" s="215" t="n">
        <v>45363</v>
      </c>
    </row>
    <row r="15504">
      <c r="A15504" s="215" t="n">
        <v>45364</v>
      </c>
      <c r="B15504" s="216" t="n">
        <v>32.9</v>
      </c>
      <c r="C15504" s="216" t="n">
        <v>40.45</v>
      </c>
      <c r="D15504" s="216" t="n">
        <v>1.116310954093933</v>
      </c>
      <c r="E15504" s="215" t="n">
        <v>45364</v>
      </c>
      <c r="F15504" s="215" t="n">
        <v>45364</v>
      </c>
    </row>
    <row r="15505">
      <c r="A15505" s="215" t="n">
        <v>45365</v>
      </c>
      <c r="B15505" s="216" t="n">
        <v>33</v>
      </c>
      <c r="C15505" s="216" t="n">
        <v>39.49</v>
      </c>
      <c r="D15505" s="216" t="n">
        <v>1.118636012077332</v>
      </c>
      <c r="E15505" s="215" t="n">
        <v>45365</v>
      </c>
      <c r="F15505" s="215" t="n">
        <v>45365</v>
      </c>
    </row>
    <row r="15506">
      <c r="A15506" s="215" t="n">
        <v>45366</v>
      </c>
      <c r="B15506" s="216" t="n">
        <v>32.85</v>
      </c>
      <c r="C15506" s="216" t="n">
        <v>39.86</v>
      </c>
      <c r="D15506" s="216" t="n">
        <v>1.111673951148987</v>
      </c>
      <c r="E15506" s="215" t="n">
        <v>45366</v>
      </c>
      <c r="F15506" s="215" t="n">
        <v>45366</v>
      </c>
    </row>
    <row r="15507">
      <c r="A15507" s="215" t="n">
        <v>45369</v>
      </c>
      <c r="B15507" s="216" t="n">
        <v>33.15</v>
      </c>
      <c r="C15507" s="216" t="n">
        <v>40.65</v>
      </c>
      <c r="D15507" s="216" t="n">
        <v>1.111489057540894</v>
      </c>
      <c r="E15507" s="215" t="n">
        <v>45369</v>
      </c>
      <c r="F15507" s="215" t="n">
        <v>45369</v>
      </c>
    </row>
    <row r="15508">
      <c r="A15508" s="215" t="n">
        <v>45370</v>
      </c>
      <c r="B15508" s="216" t="n">
        <v>33.2</v>
      </c>
      <c r="C15508" s="216" t="n">
        <v>40.36</v>
      </c>
      <c r="D15508" s="216" t="n">
        <v>1.110030055046082</v>
      </c>
      <c r="E15508" s="215" t="n">
        <v>45370</v>
      </c>
      <c r="F15508" s="215" t="n">
        <v>45370</v>
      </c>
    </row>
    <row r="15509">
      <c r="A15509" s="215" t="n">
        <v>45371</v>
      </c>
      <c r="B15509" s="216" t="n">
        <v>33</v>
      </c>
      <c r="C15509" s="216" t="n">
        <v>40.89</v>
      </c>
      <c r="D15509" s="216" t="n">
        <v>1.101261973381042</v>
      </c>
      <c r="E15509" s="215" t="n">
        <v>45371</v>
      </c>
      <c r="F15509" s="215" t="n">
        <v>45371</v>
      </c>
    </row>
    <row r="15510">
      <c r="A15510" s="215" t="n">
        <v>45372</v>
      </c>
      <c r="B15510" s="216" t="n">
        <v>33.5</v>
      </c>
      <c r="C15510" s="216" t="n">
        <v>42.96</v>
      </c>
      <c r="D15510" s="216" t="n">
        <v>1.101251006126404</v>
      </c>
      <c r="E15510" s="215" t="n">
        <v>45372</v>
      </c>
      <c r="F15510" s="215" t="n">
        <v>45372</v>
      </c>
    </row>
    <row r="15511">
      <c r="A15511" s="215" t="n">
        <v>45373</v>
      </c>
      <c r="B15511" s="216" t="n">
        <v>33.7</v>
      </c>
      <c r="C15511" s="216" t="n">
        <v>43.9</v>
      </c>
      <c r="D15511" s="216" t="n">
        <v>1.100389957427979</v>
      </c>
      <c r="E15511" s="215" t="n">
        <v>45373</v>
      </c>
      <c r="F15511" s="215" t="n">
        <v>45373</v>
      </c>
    </row>
    <row r="15512">
      <c r="A15512" s="215" t="n">
        <v>45376</v>
      </c>
      <c r="B15512" s="216" t="n">
        <v>32.95</v>
      </c>
      <c r="C15512" s="216" t="n">
        <v>41</v>
      </c>
      <c r="D15512" s="216" t="n">
        <v>1.093554973602295</v>
      </c>
      <c r="E15512" s="215" t="n">
        <v>45376</v>
      </c>
      <c r="F15512" s="215" t="n">
        <v>45376</v>
      </c>
    </row>
    <row r="15513">
      <c r="A15513" s="215" t="n">
        <v>45377</v>
      </c>
      <c r="B15513" s="216" t="n">
        <v>32.8</v>
      </c>
      <c r="C15513" s="216" t="n">
        <v>40.13</v>
      </c>
      <c r="D15513" s="216" t="n">
        <v>1.097866058349609</v>
      </c>
      <c r="E15513" s="215" t="n">
        <v>45377</v>
      </c>
      <c r="F15513" s="215" t="n">
        <v>45377</v>
      </c>
    </row>
    <row r="15514">
      <c r="A15514" s="215" t="n">
        <v>45378</v>
      </c>
      <c r="B15514" s="216" t="n">
        <v>32.8</v>
      </c>
      <c r="C15514" s="216" t="n">
        <v>37.53</v>
      </c>
      <c r="D15514" s="216" t="n">
        <v>1.099439024925232</v>
      </c>
      <c r="E15514" s="215" t="n">
        <v>45378</v>
      </c>
      <c r="F15514" s="215" t="n">
        <v>45378</v>
      </c>
    </row>
    <row r="15515">
      <c r="A15515" s="215" t="n">
        <v>45379</v>
      </c>
      <c r="B15515" s="216" t="n">
        <v>32.75</v>
      </c>
      <c r="C15515" s="216" t="n">
        <v>39.3</v>
      </c>
      <c r="D15515" s="216" t="n">
        <v>1.099169969558716</v>
      </c>
      <c r="E15515" s="215" t="n">
        <v>45379</v>
      </c>
      <c r="F15515" s="215" t="n">
        <v>45379</v>
      </c>
    </row>
    <row r="15516">
      <c r="A15516" s="215" t="n">
        <v>45384</v>
      </c>
      <c r="B15516" s="216" t="n">
        <v>32.9</v>
      </c>
      <c r="C15516" s="216" t="n">
        <v>41.01</v>
      </c>
      <c r="D15516" s="216" t="n">
        <v>1.095656037330627</v>
      </c>
      <c r="E15516" s="215" t="n">
        <v>45384</v>
      </c>
      <c r="F15516" s="215" t="n">
        <v>45384</v>
      </c>
    </row>
    <row r="15517">
      <c r="A15517" s="215" t="n">
        <v>45385</v>
      </c>
      <c r="B15517" s="216" t="n">
        <v>32.9</v>
      </c>
      <c r="C15517" s="216" t="n">
        <v>39.52</v>
      </c>
      <c r="D15517" s="216" t="n">
        <v>1.103147983551025</v>
      </c>
      <c r="E15517" s="215" t="n">
        <v>45385</v>
      </c>
      <c r="F15517" s="215" t="n">
        <v>45385</v>
      </c>
    </row>
    <row r="15518">
      <c r="A15518" s="215" t="n">
        <v>45390</v>
      </c>
      <c r="B15518" s="216" t="n">
        <v>32</v>
      </c>
      <c r="C15518" s="216" t="n">
        <v>38.16</v>
      </c>
      <c r="D15518" s="216" t="n">
        <v>1.103929996490479</v>
      </c>
      <c r="E15518" s="215" t="n">
        <v>45390</v>
      </c>
      <c r="F15518" s="215" t="n">
        <v>45390</v>
      </c>
    </row>
    <row r="15519">
      <c r="A15519" s="215" t="n">
        <v>45391</v>
      </c>
      <c r="B15519" s="216" t="n">
        <v>32.4</v>
      </c>
      <c r="C15519" s="216" t="n">
        <v>38.91</v>
      </c>
      <c r="D15519" s="216" t="n">
        <v>1.104424953460693</v>
      </c>
      <c r="E15519" s="215" t="n">
        <v>45391</v>
      </c>
      <c r="F15519" s="215" t="n">
        <v>45391</v>
      </c>
    </row>
    <row r="15520">
      <c r="A15520" s="215" t="n">
        <v>45392</v>
      </c>
      <c r="B15520" s="216" t="n">
        <v>32.35</v>
      </c>
      <c r="C15520" s="216" t="n">
        <v>37.59</v>
      </c>
      <c r="D15520" s="216" t="n">
        <v>1.10468602180481</v>
      </c>
      <c r="E15520" s="215" t="n">
        <v>45392</v>
      </c>
      <c r="F15520" s="215" t="n">
        <v>45392</v>
      </c>
    </row>
    <row r="15521">
      <c r="A15521" s="215" t="n">
        <v>45393</v>
      </c>
      <c r="B15521" s="216" t="n">
        <v>32.35</v>
      </c>
      <c r="C15521" s="216" t="n">
        <v>37.01</v>
      </c>
      <c r="D15521" s="216" t="n">
        <v>1.102126002311707</v>
      </c>
      <c r="E15521" s="215" t="n">
        <v>45393</v>
      </c>
      <c r="F15521" s="215" t="n">
        <v>45393</v>
      </c>
    </row>
    <row r="15522">
      <c r="A15522" s="215" t="n">
        <v>45394</v>
      </c>
      <c r="B15522" s="216" t="n">
        <v>31.75</v>
      </c>
      <c r="C15522" s="216" t="n">
        <v>35.77</v>
      </c>
      <c r="D15522" s="216" t="n">
        <v>1.104213953018188</v>
      </c>
      <c r="E15522" s="215" t="n">
        <v>45394</v>
      </c>
      <c r="F15522" s="215" t="n">
        <v>45394</v>
      </c>
    </row>
    <row r="15523">
      <c r="A15523" s="215" t="n">
        <v>45397</v>
      </c>
      <c r="B15523" s="216" t="n">
        <v>30.25</v>
      </c>
      <c r="C15523" s="216" t="n">
        <v>33.65</v>
      </c>
      <c r="D15523" s="216" t="n">
        <v>1.102975010871887</v>
      </c>
      <c r="E15523" s="215" t="n">
        <v>45397</v>
      </c>
      <c r="F15523" s="215" t="n">
        <v>45397</v>
      </c>
    </row>
    <row r="15524">
      <c r="A15524" s="215" t="n">
        <v>45398</v>
      </c>
      <c r="B15524" s="216" t="n">
        <v>29.05</v>
      </c>
      <c r="C15524" s="216" t="n">
        <v>31.01</v>
      </c>
      <c r="D15524" s="216" t="n">
        <v>1.102668046951294</v>
      </c>
      <c r="E15524" s="215" t="n">
        <v>45398</v>
      </c>
      <c r="F15524" s="215" t="n">
        <v>45398</v>
      </c>
    </row>
    <row r="15525">
      <c r="A15525" s="215" t="n">
        <v>45399</v>
      </c>
      <c r="B15525" s="216" t="n">
        <v>34.1</v>
      </c>
      <c r="C15525" s="216" t="n">
        <v>37.07</v>
      </c>
      <c r="D15525" s="216" t="n">
        <v>1.101709961891174</v>
      </c>
      <c r="E15525" s="215" t="n">
        <v>45399</v>
      </c>
      <c r="F15525" s="215" t="n">
        <v>45399</v>
      </c>
    </row>
    <row r="15526">
      <c r="A15526" s="215" t="n">
        <v>45400</v>
      </c>
      <c r="B15526" s="216" t="n">
        <v>32.2</v>
      </c>
      <c r="C15526" s="216" t="n">
        <v>34.89</v>
      </c>
      <c r="D15526" s="216" t="n">
        <v>1.104182004928589</v>
      </c>
      <c r="E15526" s="215" t="n">
        <v>45400</v>
      </c>
      <c r="F15526" s="215" t="n">
        <v>45400</v>
      </c>
    </row>
    <row r="15527">
      <c r="A15527" s="215" t="n">
        <v>45401</v>
      </c>
      <c r="B15527" s="216" t="n">
        <v>32.15</v>
      </c>
      <c r="C15527" s="216" t="n">
        <v>34.63</v>
      </c>
      <c r="D15527" s="216" t="n">
        <v>1.103330016136169</v>
      </c>
      <c r="E15527" s="215" t="n">
        <v>45401</v>
      </c>
      <c r="F15527" s="215" t="n">
        <v>45401</v>
      </c>
    </row>
    <row r="15528">
      <c r="A15528" s="215" t="n">
        <v>45404</v>
      </c>
      <c r="B15528" s="216" t="n">
        <v>32.25</v>
      </c>
      <c r="C15528" s="216" t="n">
        <v>34.81</v>
      </c>
      <c r="D15528" s="216" t="n">
        <v>1.104303956031799</v>
      </c>
      <c r="E15528" s="215" t="n">
        <v>45404</v>
      </c>
      <c r="F15528" s="215" t="n">
        <v>45404</v>
      </c>
    </row>
    <row r="15529">
      <c r="A15529" s="215" t="n">
        <v>45405</v>
      </c>
      <c r="B15529" s="216" t="n">
        <v>31.5</v>
      </c>
      <c r="C15529" s="216" t="n">
        <v>34.74</v>
      </c>
      <c r="D15529" s="216" t="n">
        <v>1.103582978248596</v>
      </c>
      <c r="E15529" s="215" t="n">
        <v>45405</v>
      </c>
      <c r="F15529" s="215" t="n">
        <v>45405</v>
      </c>
    </row>
    <row r="15530">
      <c r="A15530" s="215" t="n">
        <v>45406</v>
      </c>
      <c r="B15530" s="216" t="n">
        <v>31.8</v>
      </c>
      <c r="C15530" s="216" t="n">
        <v>35.8</v>
      </c>
      <c r="D15530" s="216" t="n">
        <v>1.103708982467651</v>
      </c>
      <c r="E15530" s="215" t="n">
        <v>45406</v>
      </c>
      <c r="F15530" s="215" t="n">
        <v>45406</v>
      </c>
    </row>
    <row r="15531">
      <c r="A15531" s="215" t="n">
        <v>45407</v>
      </c>
      <c r="B15531" s="216" t="n">
        <v>31.85</v>
      </c>
      <c r="C15531" s="216" t="n">
        <v>35.72</v>
      </c>
      <c r="D15531" s="216" t="n">
        <v>1.101104021072388</v>
      </c>
      <c r="E15531" s="215" t="n">
        <v>45407</v>
      </c>
      <c r="F15531" s="215" t="n">
        <v>45407</v>
      </c>
    </row>
    <row r="15532">
      <c r="A15532" s="215" t="n">
        <v>45408</v>
      </c>
      <c r="B15532" s="216" t="n">
        <v>32.65</v>
      </c>
      <c r="C15532" s="216" t="n">
        <v>36.76</v>
      </c>
      <c r="D15532" s="216" t="n">
        <v>1.103947043418884</v>
      </c>
      <c r="E15532" s="215" t="n">
        <v>45408</v>
      </c>
      <c r="F15532" s="215" t="n">
        <v>45408</v>
      </c>
    </row>
    <row r="15533">
      <c r="A15533" s="215" t="n">
        <v>45411</v>
      </c>
      <c r="B15533" s="216" t="n">
        <v>31.75</v>
      </c>
      <c r="C15533" s="216" t="n">
        <v>36.61</v>
      </c>
      <c r="D15533" s="216" t="n">
        <v>1.10208797454834</v>
      </c>
      <c r="E15533" s="215" t="n">
        <v>45411</v>
      </c>
      <c r="F15533" s="215" t="n">
        <v>45411</v>
      </c>
    </row>
    <row r="15534">
      <c r="A15534" s="215" t="n">
        <v>45412</v>
      </c>
      <c r="B15534" s="216" t="n">
        <v>32</v>
      </c>
      <c r="C15534" s="216" t="n">
        <v>35.99</v>
      </c>
      <c r="D15534" s="216" t="n">
        <v>1.103922009468079</v>
      </c>
      <c r="E15534" s="215" t="n">
        <v>45412</v>
      </c>
      <c r="F15534" s="215" t="n">
        <v>45412</v>
      </c>
    </row>
    <row r="15535">
      <c r="A15535" s="215" t="n">
        <v>45414</v>
      </c>
      <c r="B15535" s="216" t="n">
        <v>32.25</v>
      </c>
      <c r="C15535" s="216" t="n">
        <v>35.99</v>
      </c>
      <c r="D15535" s="216" t="n">
        <v>1.108636021614075</v>
      </c>
      <c r="E15535" s="215" t="n">
        <v>45412</v>
      </c>
      <c r="F15535" s="215" t="n">
        <v>45414</v>
      </c>
    </row>
    <row r="15536">
      <c r="A15536" s="215" t="n">
        <v>45415</v>
      </c>
      <c r="B15536" s="216" t="n">
        <v>32.7</v>
      </c>
      <c r="C15536" s="216" t="n">
        <v>35.99</v>
      </c>
      <c r="D15536" s="216" t="n">
        <v>1.106081008911133</v>
      </c>
      <c r="E15536" s="215" t="n">
        <v>45412</v>
      </c>
      <c r="F15536" s="215" t="n">
        <v>45415</v>
      </c>
    </row>
    <row r="15537">
      <c r="A15537" s="215" t="n">
        <v>45418</v>
      </c>
      <c r="B15537" s="216" t="n">
        <v>32.6</v>
      </c>
      <c r="C15537" s="216" t="n">
        <v>36.42</v>
      </c>
      <c r="D15537" s="216" t="n">
        <v>1.106592059135437</v>
      </c>
      <c r="E15537" s="215" t="n">
        <v>45418</v>
      </c>
      <c r="F15537" s="215" t="n">
        <v>45418</v>
      </c>
    </row>
    <row r="15538">
      <c r="A15538" s="215" t="n">
        <v>45419</v>
      </c>
      <c r="B15538" s="216" t="n">
        <v>33.65</v>
      </c>
      <c r="C15538" s="216" t="n">
        <v>37.89</v>
      </c>
      <c r="D15538" s="216" t="n">
        <v>1.104128956794739</v>
      </c>
      <c r="E15538" s="215" t="n">
        <v>45419</v>
      </c>
      <c r="F15538" s="215" t="n">
        <v>45419</v>
      </c>
    </row>
    <row r="15539">
      <c r="A15539" s="215" t="n">
        <v>45420</v>
      </c>
      <c r="B15539" s="216" t="n">
        <v>32.3</v>
      </c>
      <c r="C15539" s="216" t="n">
        <v>37.5</v>
      </c>
      <c r="D15539" s="216" t="n">
        <v>1.10300600528717</v>
      </c>
      <c r="E15539" s="215" t="n">
        <v>45420</v>
      </c>
      <c r="F15539" s="215" t="n">
        <v>45420</v>
      </c>
    </row>
    <row r="15540">
      <c r="A15540" s="215" t="n">
        <v>45421</v>
      </c>
      <c r="B15540" s="216" t="n">
        <v>32.3</v>
      </c>
      <c r="C15540" s="216" t="n">
        <v>37.46</v>
      </c>
      <c r="D15540" s="216" t="n">
        <v>1.103181958198547</v>
      </c>
      <c r="E15540" s="215" t="n">
        <v>45421</v>
      </c>
      <c r="F15540" s="215" t="n">
        <v>45421</v>
      </c>
    </row>
    <row r="15541">
      <c r="A15541" s="215" t="n">
        <v>45422</v>
      </c>
      <c r="B15541" s="216" t="n">
        <v>31.65</v>
      </c>
      <c r="C15541" s="216" t="n">
        <v>36.15</v>
      </c>
      <c r="D15541" s="216" t="n">
        <v>1.104058980941772</v>
      </c>
      <c r="E15541" s="215" t="n">
        <v>45422</v>
      </c>
      <c r="F15541" s="215" t="n">
        <v>45422</v>
      </c>
    </row>
    <row r="15542">
      <c r="A15542" s="215" t="n">
        <v>45425</v>
      </c>
      <c r="B15542" s="216" t="n">
        <v>31.7</v>
      </c>
      <c r="C15542" s="216" t="n">
        <v>35.18</v>
      </c>
      <c r="D15542" s="216" t="n">
        <v>1.10149097442627</v>
      </c>
      <c r="E15542" s="215" t="n">
        <v>45425</v>
      </c>
      <c r="F15542" s="215" t="n">
        <v>45425</v>
      </c>
    </row>
    <row r="15543">
      <c r="A15543" s="215" t="n">
        <v>45426</v>
      </c>
      <c r="B15543" s="216" t="n">
        <v>31.9</v>
      </c>
      <c r="C15543" s="216" t="n">
        <v>35.17</v>
      </c>
      <c r="D15543" s="216" t="n">
        <v>1.101179957389832</v>
      </c>
      <c r="E15543" s="215" t="n">
        <v>45426</v>
      </c>
      <c r="F15543" s="215" t="n">
        <v>45426</v>
      </c>
    </row>
    <row r="15544">
      <c r="A15544" s="215" t="n">
        <v>45428</v>
      </c>
      <c r="B15544" s="216" t="n">
        <v>32.25</v>
      </c>
      <c r="C15544" s="216" t="n">
        <v>34.79</v>
      </c>
      <c r="D15544" s="216" t="n">
        <v>1.104424953460693</v>
      </c>
      <c r="E15544" s="215" t="n">
        <v>45428</v>
      </c>
      <c r="F15544" s="215" t="n">
        <v>45428</v>
      </c>
    </row>
    <row r="15545">
      <c r="A15545" s="215" t="n">
        <v>45429</v>
      </c>
      <c r="B15545" s="216" t="n">
        <v>32.65</v>
      </c>
      <c r="C15545" s="216" t="n">
        <v>35.59</v>
      </c>
      <c r="D15545" s="216" t="n">
        <v>1.100981950759888</v>
      </c>
      <c r="E15545" s="215" t="n">
        <v>45429</v>
      </c>
      <c r="F15545" s="215" t="n">
        <v>45429</v>
      </c>
    </row>
    <row r="15546">
      <c r="A15546" s="215" t="n">
        <v>45432</v>
      </c>
      <c r="B15546" s="216" t="n">
        <v>31.45</v>
      </c>
      <c r="C15546" s="216" t="n">
        <v>35.09</v>
      </c>
      <c r="D15546" s="216" t="n">
        <v>1.103283047676086</v>
      </c>
      <c r="E15546" s="215" t="n">
        <v>45432</v>
      </c>
      <c r="F15546" s="215" t="n">
        <v>45432</v>
      </c>
    </row>
    <row r="15547">
      <c r="A15547" s="215" t="n">
        <v>45433</v>
      </c>
      <c r="B15547" s="216" t="n">
        <v>31.4</v>
      </c>
      <c r="C15547" s="216" t="n">
        <v>34.02</v>
      </c>
      <c r="D15547" s="216" t="n">
        <v>1.099310994148254</v>
      </c>
      <c r="E15547" s="215" t="n">
        <v>45433</v>
      </c>
      <c r="F15547" s="215" t="n">
        <v>45433</v>
      </c>
    </row>
    <row r="15548">
      <c r="A15548" s="215" t="n">
        <v>45434</v>
      </c>
      <c r="B15548" s="216" t="n">
        <v>31.8</v>
      </c>
      <c r="C15548" s="216" t="n">
        <v>34.66</v>
      </c>
      <c r="D15548" s="216" t="n">
        <v>1.099982023239136</v>
      </c>
      <c r="E15548" s="215" t="n">
        <v>45434</v>
      </c>
      <c r="F15548" s="215" t="n">
        <v>45434</v>
      </c>
    </row>
    <row r="15549">
      <c r="A15549" s="215" t="n">
        <v>45435</v>
      </c>
      <c r="B15549" s="216" t="n">
        <v>31.25</v>
      </c>
      <c r="C15549" s="216" t="n">
        <v>33.8</v>
      </c>
      <c r="D15549" s="216" t="n">
        <v>1.09967303276062</v>
      </c>
      <c r="E15549" s="215" t="n">
        <v>45435</v>
      </c>
      <c r="F15549" s="215" t="n">
        <v>45435</v>
      </c>
    </row>
    <row r="15550">
      <c r="A15550" s="215" t="n">
        <v>45436</v>
      </c>
      <c r="B15550" s="216" t="n">
        <v>30.75</v>
      </c>
      <c r="C15550" s="216" t="n">
        <v>32.98</v>
      </c>
      <c r="D15550" s="216" t="n">
        <v>1.09811794757843</v>
      </c>
      <c r="E15550" s="215" t="n">
        <v>45436</v>
      </c>
      <c r="F15550" s="215" t="n">
        <v>45436</v>
      </c>
    </row>
    <row r="15551">
      <c r="A15551" s="215" t="n">
        <v>45439</v>
      </c>
      <c r="B15551" s="216" t="n">
        <v>31.25</v>
      </c>
      <c r="C15551" s="216" t="n">
        <v>33.22</v>
      </c>
      <c r="D15551" s="216" t="n">
        <v>1.100759029388428</v>
      </c>
      <c r="E15551" s="215" t="n">
        <v>45439</v>
      </c>
      <c r="F15551" s="215" t="n">
        <v>45439</v>
      </c>
    </row>
    <row r="15552">
      <c r="A15552" s="215" t="n">
        <v>45440</v>
      </c>
      <c r="B15552" s="216" t="n">
        <v>31.25</v>
      </c>
      <c r="C15552" s="216" t="n">
        <v>32.91</v>
      </c>
      <c r="D15552" s="216" t="n">
        <v>1.101151943206787</v>
      </c>
      <c r="E15552" s="215" t="n">
        <v>45440</v>
      </c>
      <c r="F15552" s="215" t="n">
        <v>45440</v>
      </c>
    </row>
    <row r="15553">
      <c r="A15553" s="215" t="n">
        <v>45441</v>
      </c>
      <c r="B15553" s="216" t="n">
        <v>31.6</v>
      </c>
      <c r="C15553" s="216" t="n">
        <v>33.4</v>
      </c>
      <c r="D15553" s="216" t="n">
        <v>1.101042032241821</v>
      </c>
      <c r="E15553" s="215" t="n">
        <v>45441</v>
      </c>
      <c r="F15553" s="215" t="n">
        <v>45441</v>
      </c>
    </row>
    <row r="15554">
      <c r="A15554" s="215" t="n">
        <v>45442</v>
      </c>
      <c r="B15554" s="216" t="n">
        <v>31.5</v>
      </c>
      <c r="C15554" s="216" t="n">
        <v>34.41</v>
      </c>
      <c r="D15554" s="216" t="n">
        <v>1.096346020698547</v>
      </c>
      <c r="E15554" s="215" t="n">
        <v>45442</v>
      </c>
      <c r="F15554" s="215" t="n">
        <v>45442</v>
      </c>
    </row>
    <row r="15555">
      <c r="A15555" s="215" t="n">
        <v>45443</v>
      </c>
      <c r="B15555" s="216" t="n">
        <v>32.75</v>
      </c>
      <c r="C15555" s="216" t="n">
        <v>34.3</v>
      </c>
      <c r="D15555" s="216" t="n">
        <v>1.099722981452942</v>
      </c>
      <c r="E15555" s="215" t="n">
        <v>45443</v>
      </c>
      <c r="F15555" s="215" t="n">
        <v>45443</v>
      </c>
    </row>
    <row r="15556">
      <c r="A15556" s="215" t="n">
        <v>45446</v>
      </c>
      <c r="B15556" s="216" t="n">
        <v>32.85</v>
      </c>
      <c r="C15556" s="216" t="n">
        <v>33.61</v>
      </c>
      <c r="D15556" s="216" t="n">
        <v>1.102306008338928</v>
      </c>
      <c r="E15556" s="215" t="n">
        <v>45446</v>
      </c>
      <c r="F15556" s="215" t="n">
        <v>45446</v>
      </c>
    </row>
    <row r="15557">
      <c r="A15557" s="215" t="n">
        <v>45447</v>
      </c>
      <c r="B15557" s="216" t="n">
        <v>32.95</v>
      </c>
      <c r="C15557" s="216" t="n">
        <v>33.17</v>
      </c>
      <c r="D15557" s="216" t="n">
        <v>1.107933044433594</v>
      </c>
      <c r="E15557" s="215" t="n">
        <v>45447</v>
      </c>
      <c r="F15557" s="215" t="n">
        <v>45447</v>
      </c>
    </row>
    <row r="15558">
      <c r="A15558" s="215" t="n">
        <v>45448</v>
      </c>
      <c r="B15558" s="216" t="n">
        <v>33</v>
      </c>
      <c r="C15558" s="216" t="n">
        <v>32.62</v>
      </c>
      <c r="D15558" s="216" t="n">
        <v>1.104397058486938</v>
      </c>
      <c r="E15558" s="215" t="n">
        <v>45448</v>
      </c>
      <c r="F15558" s="215" t="n">
        <v>45448</v>
      </c>
    </row>
    <row r="15559">
      <c r="A15559" s="215" t="n">
        <v>45449</v>
      </c>
      <c r="B15559" s="216" t="n">
        <v>32.75</v>
      </c>
      <c r="C15559" s="216" t="n">
        <v>31.3</v>
      </c>
      <c r="D15559" s="216" t="n">
        <v>1.099522948265076</v>
      </c>
      <c r="E15559" s="215" t="n">
        <v>45449</v>
      </c>
      <c r="F15559" s="215" t="n">
        <v>45449</v>
      </c>
    </row>
    <row r="15560">
      <c r="A15560" s="215" t="n">
        <v>45450</v>
      </c>
      <c r="B15560" s="216" t="n">
        <v>33.15</v>
      </c>
      <c r="C15560" s="216" t="n">
        <v>31.74</v>
      </c>
      <c r="D15560" s="216" t="n">
        <v>1.099043965339661</v>
      </c>
      <c r="E15560" s="215" t="n">
        <v>45450</v>
      </c>
      <c r="F15560" s="215" t="n">
        <v>45450</v>
      </c>
    </row>
    <row r="15561">
      <c r="A15561" s="215" t="n">
        <v>45454</v>
      </c>
      <c r="B15561" s="216" t="n">
        <v>33.35</v>
      </c>
      <c r="C15561" s="216" t="n">
        <v>32.3</v>
      </c>
      <c r="D15561" s="216" t="n">
        <v>1.098870992660522</v>
      </c>
      <c r="E15561" s="215" t="n">
        <v>45454</v>
      </c>
      <c r="F15561" s="215" t="n">
        <v>45454</v>
      </c>
    </row>
    <row r="15562">
      <c r="A15562" s="215" t="n">
        <v>45455</v>
      </c>
      <c r="B15562" s="216" t="n">
        <v>33.3</v>
      </c>
      <c r="C15562" s="216" t="n">
        <v>32.61</v>
      </c>
      <c r="D15562" s="216" t="n">
        <v>1.098610043525696</v>
      </c>
      <c r="E15562" s="215" t="n">
        <v>45455</v>
      </c>
      <c r="F15562" s="215" t="n">
        <v>45455</v>
      </c>
    </row>
    <row r="15563">
      <c r="A15563" s="215" t="n">
        <v>45456</v>
      </c>
      <c r="B15563" s="216" t="n">
        <v>33.5</v>
      </c>
      <c r="C15563" s="216" t="n">
        <v>32.96</v>
      </c>
      <c r="D15563" s="216" t="n">
        <v>1.078271985054016</v>
      </c>
      <c r="E15563" s="215" t="n">
        <v>45456</v>
      </c>
      <c r="F15563" s="215" t="n">
        <v>45456</v>
      </c>
    </row>
    <row r="15564">
      <c r="A15564" s="215" t="n">
        <v>45457</v>
      </c>
      <c r="B15564" s="216" t="n">
        <v>33.8</v>
      </c>
      <c r="C15564" s="216" t="n">
        <v>32.96</v>
      </c>
      <c r="D15564" s="216" t="n">
        <v>1.07685399055481</v>
      </c>
      <c r="E15564" s="215" t="n">
        <v>45457</v>
      </c>
      <c r="F15564" s="215" t="n">
        <v>45457</v>
      </c>
    </row>
    <row r="15565">
      <c r="A15565" s="215" t="n">
        <v>45460</v>
      </c>
      <c r="B15565" s="216" t="n">
        <v>33.8</v>
      </c>
      <c r="C15565" s="216" t="n">
        <v>32.75</v>
      </c>
      <c r="D15565" s="216" t="n">
        <v>1.09790301322937</v>
      </c>
      <c r="E15565" s="215" t="n">
        <v>45460</v>
      </c>
      <c r="F15565" s="215" t="n">
        <v>45460</v>
      </c>
    </row>
    <row r="15566">
      <c r="A15566" s="215" t="n">
        <v>45461</v>
      </c>
      <c r="B15566" s="216" t="n">
        <v>33.75</v>
      </c>
      <c r="C15566" s="216" t="n">
        <v>32.94</v>
      </c>
      <c r="D15566" s="216" t="n">
        <v>1.076823949813843</v>
      </c>
      <c r="E15566" s="215" t="n">
        <v>45461</v>
      </c>
      <c r="F15566" s="215" t="n">
        <v>45461</v>
      </c>
    </row>
    <row r="15567">
      <c r="A15567" s="215" t="n">
        <v>45462</v>
      </c>
      <c r="B15567" s="216" t="n">
        <v>33.8</v>
      </c>
      <c r="C15567" s="216" t="n">
        <v>32.1</v>
      </c>
      <c r="D15567" s="216" t="n">
        <v>1.076231002807617</v>
      </c>
      <c r="E15567" s="215" t="n">
        <v>45462</v>
      </c>
      <c r="F15567" s="215" t="n">
        <v>45462</v>
      </c>
    </row>
    <row r="15568">
      <c r="A15568" s="215" t="n">
        <v>45463</v>
      </c>
      <c r="B15568" s="216" t="n">
        <v>33.75</v>
      </c>
      <c r="C15568" s="216" t="n">
        <v>32.01</v>
      </c>
      <c r="D15568" s="216" t="n">
        <v>1.075603008270264</v>
      </c>
      <c r="E15568" s="215" t="n">
        <v>45463</v>
      </c>
      <c r="F15568" s="215" t="n">
        <v>45463</v>
      </c>
    </row>
    <row r="15569">
      <c r="A15569" s="215" t="n">
        <v>45464</v>
      </c>
      <c r="B15569" s="216" t="n">
        <v>33.6</v>
      </c>
      <c r="C15569" s="216" t="n">
        <v>31.42</v>
      </c>
      <c r="D15569" s="216" t="n">
        <v>1.07499098777771</v>
      </c>
      <c r="E15569" s="215" t="n">
        <v>45464</v>
      </c>
      <c r="F15569" s="215" t="n">
        <v>45464</v>
      </c>
    </row>
    <row r="15570">
      <c r="A15570" s="215" t="n">
        <v>45467</v>
      </c>
      <c r="B15570" s="216" t="n">
        <v>31.9</v>
      </c>
      <c r="C15570" s="216" t="n">
        <v>29.65</v>
      </c>
      <c r="D15570" s="216" t="n">
        <v>1.0746910572052</v>
      </c>
      <c r="E15570" s="215" t="n">
        <v>45467</v>
      </c>
      <c r="F15570" s="215" t="n">
        <v>45467</v>
      </c>
    </row>
    <row r="15571">
      <c r="A15571" s="215" t="n">
        <v>45468</v>
      </c>
      <c r="B15571" s="216" t="n">
        <v>30.85</v>
      </c>
      <c r="C15571" s="216" t="n">
        <v>29.16</v>
      </c>
      <c r="D15571" s="216" t="n">
        <v>1.075618028640747</v>
      </c>
      <c r="E15571" s="215" t="n">
        <v>45468</v>
      </c>
      <c r="F15571" s="215" t="n">
        <v>45468</v>
      </c>
    </row>
    <row r="15572">
      <c r="A15572" s="215" t="n">
        <v>45469</v>
      </c>
      <c r="B15572" s="216" t="n">
        <v>31.3</v>
      </c>
      <c r="C15572" s="216" t="n">
        <v>30.47</v>
      </c>
      <c r="D15572" s="216" t="n">
        <v>1.075075030326843</v>
      </c>
      <c r="E15572" s="215" t="n">
        <v>45469</v>
      </c>
      <c r="F15572" s="215" t="n">
        <v>45469</v>
      </c>
    </row>
    <row r="15573">
      <c r="A15573" s="215" t="n">
        <v>45470</v>
      </c>
      <c r="B15573" s="216" t="n">
        <v>30.8</v>
      </c>
      <c r="C15573" s="216" t="n">
        <v>29.79</v>
      </c>
      <c r="D15573" s="216" t="n">
        <v>1.074702024459839</v>
      </c>
      <c r="E15573" s="215" t="n">
        <v>45470</v>
      </c>
      <c r="F15573" s="215" t="n">
        <v>45470</v>
      </c>
    </row>
    <row r="15574">
      <c r="A15574" s="215" t="n">
        <v>45471</v>
      </c>
      <c r="B15574" s="216" t="n">
        <v>31.15</v>
      </c>
      <c r="C15574" s="216" t="n">
        <v>29.98</v>
      </c>
      <c r="D15574" s="216" t="n">
        <v>1.07417905330658</v>
      </c>
      <c r="E15574" s="215" t="n">
        <v>45471</v>
      </c>
      <c r="F15574" s="215" t="n">
        <v>45471</v>
      </c>
    </row>
    <row r="15575">
      <c r="A15575" s="215" t="n">
        <v>45475</v>
      </c>
      <c r="B15575" s="216" t="n">
        <v>31.2</v>
      </c>
      <c r="C15575" s="216" t="n">
        <v>29.62</v>
      </c>
      <c r="D15575" s="216" t="n">
        <v>1.074753046035767</v>
      </c>
      <c r="E15575" s="215" t="n">
        <v>45475</v>
      </c>
      <c r="F15575" s="215" t="n">
        <v>45475</v>
      </c>
    </row>
    <row r="15576">
      <c r="A15576" s="215" t="n">
        <v>45476</v>
      </c>
      <c r="B15576" s="216" t="n">
        <v>32.5</v>
      </c>
      <c r="C15576" s="216" t="n">
        <v>29.58</v>
      </c>
      <c r="D15576" s="216" t="n">
        <v>1.074602007865906</v>
      </c>
      <c r="E15576" s="215" t="n">
        <v>45476</v>
      </c>
      <c r="F15576" s="215" t="n">
        <v>45476</v>
      </c>
    </row>
    <row r="15577">
      <c r="A15577" s="215" t="n">
        <v>45477</v>
      </c>
      <c r="B15577" s="216" t="n">
        <v>23.4</v>
      </c>
      <c r="C15577" s="216" t="n">
        <v>28.36</v>
      </c>
      <c r="D15577" s="216" t="n">
        <v>1.073940992355347</v>
      </c>
      <c r="E15577" s="215" t="n">
        <v>45477</v>
      </c>
      <c r="F15577" s="215" t="n">
        <v>45477</v>
      </c>
    </row>
    <row r="15578">
      <c r="A15578" s="215" t="n">
        <v>45478</v>
      </c>
      <c r="B15578" s="216" t="n">
        <v>23.65</v>
      </c>
      <c r="C15578" s="216" t="n">
        <v>28.4</v>
      </c>
      <c r="D15578" s="216" t="n">
        <v>1.07449996471405</v>
      </c>
      <c r="E15578" s="215" t="n">
        <v>45478</v>
      </c>
      <c r="F15578" s="215" t="n">
        <v>45478</v>
      </c>
    </row>
    <row r="15579">
      <c r="A15579" s="215" t="n">
        <v>45481</v>
      </c>
      <c r="B15579" s="216" t="n">
        <v>23.1</v>
      </c>
      <c r="C15579" s="216" t="n">
        <v>27.25</v>
      </c>
      <c r="D15579" s="216" t="n">
        <v>1.074715971946716</v>
      </c>
      <c r="E15579" s="215" t="n">
        <v>45481</v>
      </c>
      <c r="F15579" s="215" t="n">
        <v>45481</v>
      </c>
    </row>
    <row r="15580">
      <c r="A15580" s="215" t="n">
        <v>45482</v>
      </c>
      <c r="B15580" s="216" t="n">
        <v>23.1</v>
      </c>
      <c r="C15580" s="216" t="n">
        <v>27.54</v>
      </c>
      <c r="D15580" s="216" t="n">
        <v>1.074417948722839</v>
      </c>
      <c r="E15580" s="215" t="n">
        <v>45482</v>
      </c>
      <c r="F15580" s="215" t="n">
        <v>45482</v>
      </c>
    </row>
    <row r="15581">
      <c r="A15581" s="215" t="n">
        <v>45483</v>
      </c>
      <c r="B15581" s="216" t="n">
        <v>23.35</v>
      </c>
      <c r="C15581" s="216" t="n">
        <v>27.7</v>
      </c>
      <c r="D15581" s="216" t="n">
        <v>1.073858976364136</v>
      </c>
      <c r="E15581" s="215" t="n">
        <v>45483</v>
      </c>
      <c r="F15581" s="215" t="n">
        <v>45483</v>
      </c>
    </row>
    <row r="15582">
      <c r="A15582" s="215" t="n">
        <v>45484</v>
      </c>
      <c r="B15582" s="216" t="n">
        <v>23.65</v>
      </c>
      <c r="C15582" s="216" t="n">
        <v>28.62</v>
      </c>
      <c r="D15582" s="216" t="n">
        <v>1.073397994041443</v>
      </c>
      <c r="E15582" s="215" t="n">
        <v>45484</v>
      </c>
      <c r="F15582" s="215" t="n">
        <v>45484</v>
      </c>
    </row>
    <row r="15583">
      <c r="A15583" s="215" t="n">
        <v>45485</v>
      </c>
      <c r="B15583" s="216" t="n">
        <v>23.75</v>
      </c>
      <c r="C15583" s="216" t="n">
        <v>28.62</v>
      </c>
      <c r="D15583" s="216" t="n">
        <v>1.07601797580719</v>
      </c>
      <c r="E15583" s="215" t="n">
        <v>45485</v>
      </c>
      <c r="F15583" s="215" t="n">
        <v>45485</v>
      </c>
    </row>
    <row r="15584">
      <c r="A15584" s="215" t="n">
        <v>45488</v>
      </c>
      <c r="B15584" s="216" t="n">
        <v>23.85</v>
      </c>
      <c r="C15584" s="216" t="n">
        <v>28.07</v>
      </c>
      <c r="D15584" s="216" t="n">
        <v>1.076483964920044</v>
      </c>
      <c r="E15584" s="215" t="n">
        <v>45488</v>
      </c>
      <c r="F15584" s="215" t="n">
        <v>45488</v>
      </c>
    </row>
    <row r="15585">
      <c r="A15585" s="215" t="n">
        <v>45489</v>
      </c>
      <c r="B15585" s="216" t="n">
        <v>24.2</v>
      </c>
      <c r="C15585" s="216" t="n">
        <v>27.4</v>
      </c>
      <c r="D15585" s="216" t="n">
        <v>1.07518994808197</v>
      </c>
      <c r="E15585" s="215" t="n">
        <v>45489</v>
      </c>
      <c r="F15585" s="215" t="n">
        <v>45489</v>
      </c>
    </row>
    <row r="15586">
      <c r="A15586" s="215" t="n">
        <v>45490</v>
      </c>
      <c r="B15586" s="216" t="n">
        <v>23.95</v>
      </c>
      <c r="C15586" s="216" t="n">
        <v>27.4</v>
      </c>
      <c r="D15586" s="216" t="n">
        <v>1.093601942062378</v>
      </c>
      <c r="E15586" s="215" t="n">
        <v>45490</v>
      </c>
      <c r="F15586" s="215" t="n">
        <v>45490</v>
      </c>
    </row>
    <row r="15587">
      <c r="A15587" s="215" t="n">
        <v>45491</v>
      </c>
      <c r="B15587" s="216" t="n">
        <v>24.4</v>
      </c>
      <c r="C15587" s="216" t="n">
        <v>27.28</v>
      </c>
      <c r="D15587" s="216" t="n">
        <v>1.075235962867737</v>
      </c>
      <c r="E15587" s="215" t="n">
        <v>45491</v>
      </c>
      <c r="F15587" s="215" t="n">
        <v>45491</v>
      </c>
    </row>
    <row r="15588">
      <c r="A15588" s="215" t="n">
        <v>45492</v>
      </c>
      <c r="B15588" s="216" t="n">
        <v>24</v>
      </c>
      <c r="C15588" s="216" t="n">
        <v>27.9</v>
      </c>
      <c r="D15588" s="216" t="n">
        <v>1.075747013092041</v>
      </c>
      <c r="E15588" s="215" t="n">
        <v>45492</v>
      </c>
      <c r="F15588" s="215" t="n">
        <v>45492</v>
      </c>
    </row>
    <row r="15589">
      <c r="A15589" s="215" t="n">
        <v>45495</v>
      </c>
      <c r="B15589" s="216" t="n">
        <v>23.3</v>
      </c>
      <c r="C15589" s="216" t="n">
        <v>20.23</v>
      </c>
      <c r="D15589" s="216" t="n">
        <v>1.074203968048096</v>
      </c>
      <c r="E15589" s="215" t="n">
        <v>45495</v>
      </c>
      <c r="F15589" s="215" t="n">
        <v>45495</v>
      </c>
    </row>
    <row r="15590">
      <c r="A15590" s="215" t="n">
        <v>45496</v>
      </c>
      <c r="B15590" s="216" t="n">
        <v>23</v>
      </c>
      <c r="C15590" s="216" t="n">
        <v>20</v>
      </c>
      <c r="D15590" s="216" t="n">
        <v>1.073030948638916</v>
      </c>
      <c r="E15590" s="215" t="n">
        <v>45496</v>
      </c>
      <c r="F15590" s="215" t="n">
        <v>45496</v>
      </c>
    </row>
    <row r="15591">
      <c r="A15591" s="215" t="n">
        <v>45497</v>
      </c>
      <c r="B15591" s="216" t="n">
        <v>22.5</v>
      </c>
      <c r="C15591" s="216" t="n">
        <v>19.34</v>
      </c>
      <c r="D15591" s="216" t="n">
        <v>1.073214054107666</v>
      </c>
      <c r="E15591" s="215" t="n">
        <v>45497</v>
      </c>
      <c r="F15591" s="215" t="n">
        <v>45497</v>
      </c>
    </row>
    <row r="15592">
      <c r="A15592" s="215" t="n">
        <v>45498</v>
      </c>
      <c r="B15592" s="216" t="n">
        <v>22.75</v>
      </c>
      <c r="C15592" s="216" t="n">
        <v>19.76</v>
      </c>
      <c r="D15592" s="216" t="n">
        <v>1.075216054916382</v>
      </c>
      <c r="E15592" s="215" t="n">
        <v>45498</v>
      </c>
      <c r="F15592" s="215" t="n">
        <v>45498</v>
      </c>
    </row>
    <row r="15593">
      <c r="A15593" s="215" t="n">
        <v>45499</v>
      </c>
      <c r="B15593" s="216" t="n">
        <v>23.1</v>
      </c>
      <c r="C15593" s="216" t="n">
        <v>20.05</v>
      </c>
      <c r="D15593" s="216" t="n">
        <v>1.079524040222168</v>
      </c>
      <c r="E15593" s="215" t="n">
        <v>45499</v>
      </c>
      <c r="F15593" s="215" t="n">
        <v>45499</v>
      </c>
    </row>
    <row r="15594">
      <c r="A15594" s="215" t="n">
        <v>45502</v>
      </c>
      <c r="B15594" s="216" t="n">
        <v>22.15</v>
      </c>
      <c r="C15594" s="216" t="n">
        <v>19.78</v>
      </c>
      <c r="D15594" s="216" t="n">
        <v>1.076396942138672</v>
      </c>
      <c r="E15594" s="215" t="n">
        <v>45502</v>
      </c>
      <c r="F15594" s="215" t="n">
        <v>45502</v>
      </c>
    </row>
    <row r="15595">
      <c r="A15595" s="215" t="n">
        <v>45503</v>
      </c>
      <c r="B15595" s="216" t="n">
        <v>22.85</v>
      </c>
      <c r="C15595" s="216" t="n">
        <v>20.02</v>
      </c>
      <c r="D15595" s="216" t="n">
        <v>1.075829982757568</v>
      </c>
      <c r="E15595" s="215" t="n">
        <v>45503</v>
      </c>
      <c r="F15595" s="215" t="n">
        <v>45503</v>
      </c>
    </row>
    <row r="15596">
      <c r="A15596" s="215" t="n">
        <v>45504</v>
      </c>
      <c r="B15596" s="216" t="n">
        <v>23.45</v>
      </c>
      <c r="C15596" s="216" t="n">
        <v>21.2</v>
      </c>
      <c r="D15596" s="216" t="n">
        <v>1.077026009559631</v>
      </c>
      <c r="E15596" s="215" t="n">
        <v>45504</v>
      </c>
      <c r="F15596" s="215" t="n">
        <v>45504</v>
      </c>
    </row>
    <row r="15597">
      <c r="A15597" s="215" t="n">
        <v>45505</v>
      </c>
      <c r="B15597" s="216" t="n">
        <v>23.45</v>
      </c>
      <c r="C15597" s="216" t="n">
        <v>21.14</v>
      </c>
      <c r="D15597" s="216" t="n">
        <v>1.082347989082336</v>
      </c>
      <c r="E15597" s="215" t="n">
        <v>45505</v>
      </c>
      <c r="F15597" s="215" t="n">
        <v>45505</v>
      </c>
    </row>
    <row r="15598">
      <c r="A15598" s="215" t="n">
        <v>45506</v>
      </c>
      <c r="B15598" s="216" t="n">
        <v>23.5</v>
      </c>
      <c r="C15598" s="216" t="n">
        <v>20.58</v>
      </c>
      <c r="D15598" s="216" t="n">
        <v>1.078637003898621</v>
      </c>
      <c r="E15598" s="215" t="n">
        <v>45506</v>
      </c>
      <c r="F15598" s="215" t="n">
        <v>45506</v>
      </c>
    </row>
    <row r="15599">
      <c r="A15599" s="215" t="n">
        <v>45509</v>
      </c>
      <c r="B15599" s="216" t="n">
        <v>22.95</v>
      </c>
      <c r="C15599" s="216" t="n">
        <v>19.74</v>
      </c>
      <c r="D15599" s="216" t="n">
        <v>1.090283036231995</v>
      </c>
      <c r="E15599" s="215" t="n">
        <v>45509</v>
      </c>
      <c r="F15599" s="215" t="n">
        <v>45509</v>
      </c>
    </row>
    <row r="15600">
      <c r="A15600" s="215" t="n">
        <v>45510</v>
      </c>
      <c r="B15600" s="216" t="n">
        <v>23.25</v>
      </c>
      <c r="C15600" s="216" t="n">
        <v>20.22</v>
      </c>
      <c r="D15600" s="216" t="n">
        <v>1.094287037849426</v>
      </c>
      <c r="E15600" s="215" t="n">
        <v>45510</v>
      </c>
      <c r="F15600" s="215" t="n">
        <v>45510</v>
      </c>
    </row>
    <row r="15601">
      <c r="A15601" s="215" t="n">
        <v>45511</v>
      </c>
      <c r="B15601" s="216" t="n">
        <v>23.3</v>
      </c>
      <c r="C15601" s="216" t="n">
        <v>20.1</v>
      </c>
      <c r="D15601" s="216" t="n">
        <v>1.089087009429932</v>
      </c>
      <c r="E15601" s="215" t="n">
        <v>45511</v>
      </c>
      <c r="F15601" s="215" t="n">
        <v>45511</v>
      </c>
    </row>
    <row r="15602">
      <c r="A15602" s="215" t="n">
        <v>45512</v>
      </c>
      <c r="B15602" s="216" t="n">
        <v>23.2</v>
      </c>
      <c r="C15602" s="216" t="n">
        <v>20.01</v>
      </c>
      <c r="D15602" s="216" t="n">
        <v>1.084957957267761</v>
      </c>
      <c r="E15602" s="215" t="n">
        <v>45512</v>
      </c>
      <c r="F15602" s="215" t="n">
        <v>45512</v>
      </c>
    </row>
    <row r="15603">
      <c r="A15603" s="215" t="n">
        <v>45513</v>
      </c>
      <c r="B15603" s="216" t="n">
        <v>23.2</v>
      </c>
      <c r="C15603" s="216" t="n">
        <v>19.56</v>
      </c>
      <c r="D15603" s="216" t="n">
        <v>1.086197972297668</v>
      </c>
      <c r="E15603" s="215" t="n">
        <v>45513</v>
      </c>
      <c r="F15603" s="215" t="n">
        <v>45513</v>
      </c>
    </row>
    <row r="15604">
      <c r="A15604" s="215" t="n">
        <v>45516</v>
      </c>
      <c r="B15604" s="216" t="n">
        <v>22.65</v>
      </c>
      <c r="C15604" s="216" t="n">
        <v>19.9</v>
      </c>
      <c r="D15604" s="216" t="n">
        <v>1.087875008583069</v>
      </c>
      <c r="E15604" s="215" t="n">
        <v>45516</v>
      </c>
      <c r="F15604" s="215" t="n">
        <v>45516</v>
      </c>
    </row>
    <row r="15605">
      <c r="A15605" s="215" t="n">
        <v>45517</v>
      </c>
      <c r="B15605" s="216" t="n">
        <v>22.95</v>
      </c>
      <c r="C15605" s="216" t="n">
        <v>20.01</v>
      </c>
      <c r="D15605" s="216" t="n">
        <v>1.085934996604919</v>
      </c>
      <c r="E15605" s="215" t="n">
        <v>45517</v>
      </c>
      <c r="F15605" s="215" t="n">
        <v>45517</v>
      </c>
    </row>
    <row r="15606">
      <c r="A15606" s="215" t="n">
        <v>45518</v>
      </c>
      <c r="B15606" s="216" t="n">
        <v>22.95</v>
      </c>
      <c r="C15606" s="216" t="n">
        <v>19.77</v>
      </c>
      <c r="D15606" s="216" t="n">
        <v>1.088662981987</v>
      </c>
      <c r="E15606" s="215" t="n">
        <v>45518</v>
      </c>
      <c r="F15606" s="215" t="n">
        <v>45518</v>
      </c>
    </row>
    <row r="15607">
      <c r="A15607" s="215" t="n">
        <v>45519</v>
      </c>
      <c r="B15607" s="216" t="n">
        <v>22.65</v>
      </c>
      <c r="C15607" s="216" t="n">
        <v>19.96</v>
      </c>
      <c r="D15607" s="216" t="n">
        <v>1.091369986534119</v>
      </c>
      <c r="E15607" s="215" t="n">
        <v>45519</v>
      </c>
      <c r="F15607" s="215" t="n">
        <v>45519</v>
      </c>
    </row>
    <row r="15608">
      <c r="A15608" s="215" t="n">
        <v>45520</v>
      </c>
      <c r="B15608" s="216" t="n">
        <v>22.55</v>
      </c>
      <c r="C15608" s="216" t="n">
        <v>20.05</v>
      </c>
      <c r="D15608" s="216" t="n">
        <v>1.08672297000885</v>
      </c>
      <c r="E15608" s="215" t="n">
        <v>45520</v>
      </c>
      <c r="F15608" s="215" t="n">
        <v>45520</v>
      </c>
    </row>
    <row r="15609">
      <c r="A15609" s="215" t="n">
        <v>45523</v>
      </c>
      <c r="B15609" s="216" t="n">
        <v>22.45</v>
      </c>
      <c r="C15609" s="216" t="n">
        <v>20.62</v>
      </c>
      <c r="D15609" s="216" t="n">
        <v>1.087823033332825</v>
      </c>
      <c r="E15609" s="215" t="n">
        <v>45523</v>
      </c>
      <c r="F15609" s="215" t="n">
        <v>45523</v>
      </c>
    </row>
    <row r="15610">
      <c r="A15610" s="215" t="n">
        <v>45524</v>
      </c>
      <c r="B15610" s="216" t="n">
        <v>23.4</v>
      </c>
      <c r="C15610" s="216" t="n">
        <v>21.27</v>
      </c>
      <c r="D15610" s="216" t="n">
        <v>1.08710503578186</v>
      </c>
      <c r="E15610" s="215" t="n">
        <v>45524</v>
      </c>
      <c r="F15610" s="215" t="n">
        <v>45524</v>
      </c>
    </row>
    <row r="15611">
      <c r="A15611" s="215" t="n">
        <v>45525</v>
      </c>
      <c r="B15611" s="216" t="n">
        <v>23.1</v>
      </c>
      <c r="C15611" s="216" t="n">
        <v>20.93</v>
      </c>
      <c r="D15611" s="216" t="n">
        <v>1.091691970825195</v>
      </c>
      <c r="E15611" s="215" t="n">
        <v>45525</v>
      </c>
      <c r="F15611" s="215" t="n">
        <v>45525</v>
      </c>
    </row>
    <row r="15612">
      <c r="A15612" s="215" t="n">
        <v>45526</v>
      </c>
      <c r="B15612" s="216" t="n">
        <v>23.5</v>
      </c>
      <c r="C15612" s="216" t="n">
        <v>21.16</v>
      </c>
      <c r="D15612" s="216" t="n">
        <v>1.092425942420959</v>
      </c>
      <c r="E15612" s="215" t="n">
        <v>45526</v>
      </c>
      <c r="F15612" s="215" t="n">
        <v>45526</v>
      </c>
    </row>
    <row r="15613">
      <c r="A15613" s="215" t="n">
        <v>45527</v>
      </c>
      <c r="B15613" s="216" t="n">
        <v>23.7</v>
      </c>
      <c r="C15613" s="216" t="n">
        <v>21</v>
      </c>
      <c r="D15613" s="216" t="n">
        <v>1.091052055358887</v>
      </c>
      <c r="E15613" s="215" t="n">
        <v>45527</v>
      </c>
      <c r="F15613" s="215" t="n">
        <v>45527</v>
      </c>
    </row>
    <row r="15614">
      <c r="A15614" s="215" t="n">
        <v>45530</v>
      </c>
      <c r="B15614" s="216" t="n">
        <v>23.65</v>
      </c>
      <c r="C15614" s="216" t="n">
        <v>21</v>
      </c>
      <c r="D15614" s="216" t="n">
        <v>1.094154953956604</v>
      </c>
      <c r="E15614" s="215" t="n">
        <v>45530</v>
      </c>
      <c r="F15614" s="215" t="n">
        <v>45530</v>
      </c>
    </row>
    <row r="15615">
      <c r="A15615" s="215" t="n">
        <v>45531</v>
      </c>
      <c r="B15615" s="216" t="n">
        <v>23.35</v>
      </c>
      <c r="C15615" s="216" t="n">
        <v>20.21</v>
      </c>
      <c r="D15615" s="216" t="n">
        <v>1.094954967498779</v>
      </c>
      <c r="E15615" s="215" t="n">
        <v>45531</v>
      </c>
      <c r="F15615" s="215" t="n">
        <v>45531</v>
      </c>
    </row>
    <row r="15616">
      <c r="A15616" s="215" t="n">
        <v>45532</v>
      </c>
      <c r="B15616" s="216" t="n">
        <v>23.35</v>
      </c>
      <c r="C15616" s="216" t="n">
        <v>20.31</v>
      </c>
      <c r="D15616" s="216" t="n">
        <v>1.095074057579041</v>
      </c>
      <c r="E15616" s="215" t="n">
        <v>45532</v>
      </c>
      <c r="F15616" s="215" t="n">
        <v>45532</v>
      </c>
    </row>
    <row r="15617">
      <c r="A15617" s="215" t="n">
        <v>45533</v>
      </c>
      <c r="B15617" s="216" t="n">
        <v>23.5</v>
      </c>
      <c r="C15617" s="216" t="n">
        <v>20.75</v>
      </c>
      <c r="D15617" s="216" t="n">
        <v>1.094665050506592</v>
      </c>
      <c r="E15617" s="215" t="n">
        <v>45533</v>
      </c>
      <c r="F15617" s="215" t="n">
        <v>45533</v>
      </c>
    </row>
    <row r="15618">
      <c r="A15618" s="215" t="n">
        <v>45534</v>
      </c>
      <c r="B15618" s="216" t="n">
        <v>24</v>
      </c>
      <c r="C15618" s="216" t="n">
        <v>21.38</v>
      </c>
      <c r="D15618" s="216" t="n">
        <v>1.09866201877594</v>
      </c>
      <c r="E15618" s="215" t="n">
        <v>45534</v>
      </c>
      <c r="F15618" s="215" t="n">
        <v>45534</v>
      </c>
    </row>
    <row r="15619">
      <c r="A15619" s="215" t="n">
        <v>45537</v>
      </c>
      <c r="B15619" s="216" t="n">
        <v>24.05</v>
      </c>
      <c r="C15619" s="216" t="n">
        <v>20.73</v>
      </c>
      <c r="D15619" s="216" t="n">
        <v>1.099230051040649</v>
      </c>
      <c r="E15619" s="215" t="n">
        <v>45537</v>
      </c>
      <c r="F15619" s="215" t="n">
        <v>45537</v>
      </c>
    </row>
    <row r="15620">
      <c r="A15620" s="215" t="n">
        <v>45538</v>
      </c>
      <c r="B15620" s="216" t="n">
        <v>24.05</v>
      </c>
      <c r="C15620" s="216" t="n">
        <v>21</v>
      </c>
      <c r="D15620" s="216" t="n">
        <v>1.095303058624268</v>
      </c>
      <c r="E15620" s="215" t="n">
        <v>45538</v>
      </c>
      <c r="F15620" s="215" t="n">
        <v>45538</v>
      </c>
    </row>
    <row r="15621">
      <c r="A15621" s="215" t="n">
        <v>45539</v>
      </c>
      <c r="B15621" s="216" t="n">
        <v>23.7</v>
      </c>
      <c r="C15621" s="216" t="n">
        <v>21.27</v>
      </c>
      <c r="D15621" s="216" t="n">
        <v>1.094771981239319</v>
      </c>
      <c r="E15621" s="215" t="n">
        <v>45539</v>
      </c>
      <c r="F15621" s="215" t="n">
        <v>45539</v>
      </c>
    </row>
    <row r="15622">
      <c r="A15622" s="215" t="n">
        <v>45540</v>
      </c>
      <c r="B15622" s="216" t="n">
        <v>23.55</v>
      </c>
      <c r="C15622" s="216" t="n">
        <v>21.13</v>
      </c>
      <c r="D15622" s="216" t="n">
        <v>1.095960021018982</v>
      </c>
      <c r="E15622" s="215" t="n">
        <v>45540</v>
      </c>
      <c r="F15622" s="215" t="n">
        <v>45540</v>
      </c>
    </row>
    <row r="15623">
      <c r="A15623" s="215" t="n">
        <v>45544</v>
      </c>
      <c r="B15623" s="216" t="n">
        <v>22.85</v>
      </c>
      <c r="C15623" s="216" t="n">
        <v>20.06</v>
      </c>
      <c r="D15623" s="216" t="n">
        <v>1.099578022956848</v>
      </c>
      <c r="E15623" s="215" t="n">
        <v>45544</v>
      </c>
      <c r="F15623" s="215" t="n">
        <v>45544</v>
      </c>
    </row>
    <row r="15624">
      <c r="A15624" s="215" t="n">
        <v>45545</v>
      </c>
      <c r="B15624" s="216" t="n">
        <v>22.85</v>
      </c>
      <c r="C15624" s="216" t="n">
        <v>20.16</v>
      </c>
      <c r="D15624" s="216" t="n">
        <v>1.095790028572083</v>
      </c>
      <c r="E15624" s="215" t="n">
        <v>45545</v>
      </c>
      <c r="F15624" s="215" t="n">
        <v>45545</v>
      </c>
    </row>
    <row r="15625">
      <c r="A15625" s="215" t="n">
        <v>45546</v>
      </c>
      <c r="B15625" s="216" t="n">
        <v>22.85</v>
      </c>
      <c r="C15625" s="216" t="n">
        <v>20.3</v>
      </c>
      <c r="D15625" s="216" t="n">
        <v>1.094709038734436</v>
      </c>
      <c r="E15625" s="215" t="n">
        <v>45546</v>
      </c>
      <c r="F15625" s="215" t="n">
        <v>45546</v>
      </c>
    </row>
    <row r="15626">
      <c r="A15626" s="215" t="n">
        <v>45547</v>
      </c>
      <c r="B15626" s="216" t="n">
        <v>22.7</v>
      </c>
      <c r="C15626" s="216" t="n">
        <v>20.57</v>
      </c>
      <c r="D15626" s="216" t="n">
        <v>1.095039010047913</v>
      </c>
      <c r="E15626" s="215" t="n">
        <v>45547</v>
      </c>
      <c r="F15626" s="215" t="n">
        <v>45547</v>
      </c>
    </row>
    <row r="15627">
      <c r="A15627" s="215" t="n">
        <v>45548</v>
      </c>
      <c r="B15627" s="216" t="n">
        <v>22.65</v>
      </c>
      <c r="C15627" s="216" t="n">
        <v>19.72</v>
      </c>
      <c r="D15627" s="216" t="n">
        <v>1.096182942390442</v>
      </c>
      <c r="E15627" s="215" t="n">
        <v>45548</v>
      </c>
      <c r="F15627" s="215" t="n">
        <v>45548</v>
      </c>
    </row>
    <row r="15628">
      <c r="A15628" s="215" t="n">
        <v>45552</v>
      </c>
      <c r="B15628" s="216" t="n">
        <v>23.95</v>
      </c>
      <c r="C15628" s="216" t="n">
        <v>19.72</v>
      </c>
      <c r="D15628" s="216" t="n">
        <v>1.098492980003357</v>
      </c>
      <c r="E15628" s="215" t="n">
        <v>45548</v>
      </c>
      <c r="F15628" s="215" t="n">
        <v>45552</v>
      </c>
    </row>
    <row r="15629">
      <c r="A15629" s="215" t="n">
        <v>45554</v>
      </c>
      <c r="B15629" s="216" t="n">
        <v>23.3</v>
      </c>
      <c r="C15629" s="216" t="n">
        <v>19.52</v>
      </c>
      <c r="D15629" s="216" t="n">
        <v>1.10042405128479</v>
      </c>
      <c r="E15629" s="215" t="n">
        <v>45554</v>
      </c>
      <c r="F15629" s="215" t="n">
        <v>45554</v>
      </c>
    </row>
    <row r="15630">
      <c r="A15630" s="215" t="n">
        <v>45555</v>
      </c>
      <c r="B15630" s="216" t="n">
        <v>22.9</v>
      </c>
      <c r="C15630" s="216" t="n">
        <v>19.13</v>
      </c>
      <c r="D15630" s="216" t="n">
        <v>1.102666974067688</v>
      </c>
      <c r="E15630" s="215" t="n">
        <v>45555</v>
      </c>
      <c r="F15630" s="215" t="n">
        <v>45555</v>
      </c>
    </row>
    <row r="15631">
      <c r="A15631" s="215" t="n">
        <v>45558</v>
      </c>
      <c r="B15631" s="216" t="n">
        <v>22.95</v>
      </c>
      <c r="C15631" s="216" t="n">
        <v>18.84</v>
      </c>
      <c r="D15631" s="216" t="n">
        <v>1.104709982872009</v>
      </c>
      <c r="E15631" s="215" t="n">
        <v>45558</v>
      </c>
      <c r="F15631" s="215" t="n">
        <v>45558</v>
      </c>
    </row>
    <row r="15632">
      <c r="A15632" s="215" t="n">
        <v>45559</v>
      </c>
      <c r="B15632" s="216" t="n">
        <v>23.35</v>
      </c>
      <c r="C15632" s="216" t="n">
        <v>19.8</v>
      </c>
      <c r="D15632" s="216" t="n">
        <v>1.104027032852173</v>
      </c>
      <c r="E15632" s="215" t="n">
        <v>45559</v>
      </c>
      <c r="F15632" s="215" t="n">
        <v>45559</v>
      </c>
    </row>
    <row r="15633">
      <c r="A15633" s="215" t="n">
        <v>45560</v>
      </c>
      <c r="B15633" s="216" t="n">
        <v>23.05</v>
      </c>
      <c r="C15633" s="216" t="n">
        <v>19.93</v>
      </c>
      <c r="D15633" s="216" t="n">
        <v>1.106814026832581</v>
      </c>
      <c r="E15633" s="215" t="n">
        <v>45560</v>
      </c>
      <c r="F15633" s="215" t="n">
        <v>45560</v>
      </c>
    </row>
    <row r="15634">
      <c r="A15634" s="215" t="n">
        <v>45561</v>
      </c>
      <c r="B15634" s="216" t="n">
        <v>23.85</v>
      </c>
      <c r="C15634" s="216" t="n">
        <v>20.89</v>
      </c>
      <c r="D15634" s="216" t="n">
        <v>1.106874942779541</v>
      </c>
      <c r="E15634" s="215" t="n">
        <v>45561</v>
      </c>
      <c r="F15634" s="215" t="n">
        <v>45561</v>
      </c>
    </row>
    <row r="15635">
      <c r="A15635" s="215" t="n">
        <v>45562</v>
      </c>
      <c r="B15635" s="216" t="n">
        <v>24.8</v>
      </c>
      <c r="C15635" s="216" t="n">
        <v>22.23</v>
      </c>
      <c r="D15635" s="216" t="n">
        <v>1.10965895652771</v>
      </c>
      <c r="E15635" s="215" t="n">
        <v>45562</v>
      </c>
      <c r="F15635" s="215" t="n">
        <v>45562</v>
      </c>
    </row>
    <row r="15636">
      <c r="A15636" s="215" t="n">
        <v>45565</v>
      </c>
      <c r="B15636" s="216" t="n">
        <v>27.7</v>
      </c>
      <c r="C15636" s="216" t="n">
        <v>25.69</v>
      </c>
      <c r="D15636" s="216" t="n">
        <v>1.10850203037262</v>
      </c>
      <c r="E15636" s="215" t="n">
        <v>45565</v>
      </c>
      <c r="F15636" s="215" t="n">
        <v>45565</v>
      </c>
    </row>
    <row r="15637">
      <c r="A15637" s="215" t="n">
        <v>45567</v>
      </c>
      <c r="B15637" s="216" t="n">
        <v>27.9</v>
      </c>
      <c r="C15637" s="216" t="n">
        <v>25.69</v>
      </c>
      <c r="D15637" s="216" t="n">
        <v>1.105224967002869</v>
      </c>
      <c r="E15637" s="215" t="n">
        <v>45565</v>
      </c>
      <c r="F15637" s="215" t="n">
        <v>45567</v>
      </c>
    </row>
    <row r="15638">
      <c r="A15638" s="215" t="n">
        <v>45568</v>
      </c>
      <c r="B15638" s="216" t="n">
        <v>26.75</v>
      </c>
      <c r="C15638" s="216" t="n">
        <v>25.69</v>
      </c>
      <c r="D15638" s="216" t="n">
        <v>1.10276198387146</v>
      </c>
      <c r="E15638" s="215" t="n">
        <v>45565</v>
      </c>
      <c r="F15638" s="215" t="n">
        <v>45568</v>
      </c>
    </row>
    <row r="15639">
      <c r="A15639" s="215" t="n">
        <v>45569</v>
      </c>
      <c r="B15639" s="216" t="n">
        <v>28</v>
      </c>
      <c r="C15639" s="216" t="n">
        <v>25.69</v>
      </c>
      <c r="D15639" s="216" t="n">
        <v>1.10200297832489</v>
      </c>
      <c r="E15639" s="215" t="n">
        <v>45565</v>
      </c>
      <c r="F15639" s="215" t="n">
        <v>45569</v>
      </c>
    </row>
    <row r="15640">
      <c r="A15640" s="215" t="n">
        <v>45572</v>
      </c>
      <c r="B15640" s="216" t="n">
        <v>31.45</v>
      </c>
      <c r="C15640" s="216" t="n">
        <v>25.69</v>
      </c>
      <c r="D15640" s="216" t="n">
        <v>1.10656201839447</v>
      </c>
      <c r="E15640" s="215" t="n">
        <v>45565</v>
      </c>
      <c r="F15640" s="215" t="n">
        <v>45572</v>
      </c>
    </row>
    <row r="15641">
      <c r="A15641" s="215" t="n">
        <v>45573</v>
      </c>
      <c r="B15641" s="216" t="n">
        <v>26.8</v>
      </c>
      <c r="C15641" s="216" t="n">
        <v>28.97</v>
      </c>
      <c r="D15641" s="216" t="n">
        <v>1.106070041656494</v>
      </c>
      <c r="E15641" s="215" t="n">
        <v>45573</v>
      </c>
      <c r="F15641" s="215" t="n">
        <v>45573</v>
      </c>
    </row>
    <row r="15642">
      <c r="A15642" s="215" t="n">
        <v>45574</v>
      </c>
      <c r="B15642" s="216" t="n">
        <v>26.2</v>
      </c>
      <c r="C15642" s="216" t="n">
        <v>25.34</v>
      </c>
      <c r="D15642" s="216" t="n">
        <v>1.101308941841125</v>
      </c>
      <c r="E15642" s="215" t="n">
        <v>45574</v>
      </c>
      <c r="F15642" s="215" t="n">
        <v>45574</v>
      </c>
    </row>
    <row r="15643">
      <c r="A15643" s="215" t="n">
        <v>45575</v>
      </c>
      <c r="B15643" s="216" t="n">
        <v>26.7</v>
      </c>
      <c r="C15643" s="216" t="n">
        <v>25.67</v>
      </c>
      <c r="D15643" s="216" t="n">
        <v>1.09762704372406</v>
      </c>
      <c r="E15643" s="215" t="n">
        <v>45575</v>
      </c>
      <c r="F15643" s="215" t="n">
        <v>45575</v>
      </c>
    </row>
    <row r="15644">
      <c r="A15644" s="215" t="n">
        <v>45579</v>
      </c>
      <c r="B15644" s="216" t="n">
        <v>25.05</v>
      </c>
      <c r="C15644" s="216" t="n">
        <v>24.01</v>
      </c>
      <c r="D15644" s="216" t="n">
        <v>1.099969029426575</v>
      </c>
      <c r="E15644" s="215" t="n">
        <v>45579</v>
      </c>
      <c r="F15644" s="215" t="n">
        <v>45579</v>
      </c>
    </row>
    <row r="15645">
      <c r="A15645" s="215" t="n">
        <v>45580</v>
      </c>
      <c r="B15645" s="216" t="n">
        <v>23.8</v>
      </c>
      <c r="C15645" s="216" t="n">
        <v>23.36</v>
      </c>
      <c r="D15645" s="216" t="n">
        <v>1.095134019851685</v>
      </c>
      <c r="E15645" s="215" t="n">
        <v>45580</v>
      </c>
      <c r="F15645" s="215" t="n">
        <v>45580</v>
      </c>
    </row>
    <row r="15646">
      <c r="A15646" s="215" t="n">
        <v>45581</v>
      </c>
      <c r="B15646" s="216" t="n">
        <v>24.35</v>
      </c>
      <c r="C15646" s="216" t="n">
        <v>22.94</v>
      </c>
      <c r="D15646" s="216" t="n">
        <v>1.091102957725525</v>
      </c>
      <c r="E15646" s="215" t="n">
        <v>45581</v>
      </c>
      <c r="F15646" s="215" t="n">
        <v>45581</v>
      </c>
    </row>
    <row r="15647">
      <c r="A15647" s="215" t="n">
        <v>45582</v>
      </c>
      <c r="B15647" s="216" t="n">
        <v>23.95</v>
      </c>
      <c r="C15647" s="216" t="n">
        <v>22.49</v>
      </c>
      <c r="D15647" s="216" t="n">
        <v>1.091408967971802</v>
      </c>
      <c r="E15647" s="215" t="n">
        <v>45582</v>
      </c>
      <c r="F15647" s="215" t="n">
        <v>45582</v>
      </c>
    </row>
    <row r="15648">
      <c r="A15648" s="215" t="n">
        <v>45583</v>
      </c>
      <c r="B15648" s="216" t="n">
        <v>24.4</v>
      </c>
      <c r="C15648" s="216" t="n">
        <v>23.82</v>
      </c>
      <c r="D15648" s="216" t="n">
        <v>1.090952038764954</v>
      </c>
      <c r="E15648" s="215" t="n">
        <v>45583</v>
      </c>
      <c r="F15648" s="215" t="n">
        <v>45583</v>
      </c>
    </row>
    <row r="15649">
      <c r="A15649" s="215" t="n">
        <v>45586</v>
      </c>
      <c r="B15649" s="216" t="n">
        <v>24</v>
      </c>
      <c r="C15649" s="216" t="n">
        <v>24.06</v>
      </c>
      <c r="D15649" s="216" t="n">
        <v>1.09406304359436</v>
      </c>
      <c r="E15649" s="215" t="n">
        <v>45586</v>
      </c>
      <c r="F15649" s="215" t="n">
        <v>45586</v>
      </c>
    </row>
    <row r="15650">
      <c r="A15650" s="215" t="n">
        <v>45587</v>
      </c>
      <c r="B15650" s="216" t="n">
        <v>24.15</v>
      </c>
      <c r="C15650" s="216" t="n">
        <v>24.35</v>
      </c>
      <c r="D15650" s="216" t="n">
        <v>1.091953992843628</v>
      </c>
      <c r="E15650" s="215" t="n">
        <v>45587</v>
      </c>
      <c r="F15650" s="215" t="n">
        <v>45587</v>
      </c>
    </row>
    <row r="15651">
      <c r="A15651" s="215" t="n">
        <v>45588</v>
      </c>
      <c r="B15651" s="216" t="n">
        <v>23.7</v>
      </c>
      <c r="C15651" s="216" t="n">
        <v>25.75</v>
      </c>
      <c r="D15651" s="216" t="n">
        <v>1.091060042381287</v>
      </c>
      <c r="E15651" s="215" t="n">
        <v>45588</v>
      </c>
      <c r="F15651" s="215" t="n">
        <v>45588</v>
      </c>
    </row>
    <row r="15652">
      <c r="A15652" s="215" t="n">
        <v>45589</v>
      </c>
      <c r="B15652" s="216" t="n">
        <v>23.05</v>
      </c>
      <c r="C15652" s="216" t="n">
        <v>24.78</v>
      </c>
      <c r="D15652" s="216" t="n">
        <v>1.090194940567017</v>
      </c>
      <c r="E15652" s="215" t="n">
        <v>45589</v>
      </c>
      <c r="F15652" s="215" t="n">
        <v>45589</v>
      </c>
    </row>
    <row r="15653">
      <c r="A15653" s="215" t="n">
        <v>45590</v>
      </c>
      <c r="B15653" s="216" t="n">
        <v>23.1</v>
      </c>
      <c r="C15653" s="216" t="n">
        <v>25.79</v>
      </c>
      <c r="D15653" s="216" t="n">
        <v>1.091233015060425</v>
      </c>
      <c r="E15653" s="215" t="n">
        <v>45590</v>
      </c>
      <c r="F15653" s="215" t="n">
        <v>45590</v>
      </c>
    </row>
    <row r="15654">
      <c r="A15654" s="215" t="n">
        <v>45593</v>
      </c>
      <c r="B15654" s="216" t="n">
        <v>23.75</v>
      </c>
      <c r="C15654" s="216" t="n">
        <v>25.82</v>
      </c>
      <c r="D15654" s="216" t="n">
        <v>1.091169953346252</v>
      </c>
      <c r="E15654" s="215" t="n">
        <v>45593</v>
      </c>
      <c r="F15654" s="215" t="n">
        <v>45593</v>
      </c>
    </row>
    <row r="15655">
      <c r="A15655" s="215" t="n">
        <v>45594</v>
      </c>
      <c r="B15655" s="216" t="n">
        <v>23.75</v>
      </c>
      <c r="C15655" s="216" t="n">
        <v>24.63</v>
      </c>
      <c r="D15655" s="216" t="n">
        <v>1.090175032615662</v>
      </c>
      <c r="E15655" s="215" t="n">
        <v>45594</v>
      </c>
      <c r="F15655" s="215" t="n">
        <v>45594</v>
      </c>
    </row>
    <row r="15656">
      <c r="A15656" s="215" t="n">
        <v>45595</v>
      </c>
      <c r="B15656" s="216" t="n">
        <v>23.15</v>
      </c>
      <c r="C15656" s="216" t="n">
        <v>24.01</v>
      </c>
      <c r="D15656" s="216" t="n">
        <v>1.089673042297363</v>
      </c>
      <c r="E15656" s="215" t="n">
        <v>45595</v>
      </c>
      <c r="F15656" s="215" t="n">
        <v>45595</v>
      </c>
    </row>
    <row r="15657">
      <c r="A15657" s="215" t="n">
        <v>45596</v>
      </c>
      <c r="B15657" s="216" t="n">
        <v>23.3</v>
      </c>
      <c r="C15657" s="216" t="n">
        <v>24.89</v>
      </c>
      <c r="D15657" s="216" t="n">
        <v>1.091989994049072</v>
      </c>
      <c r="E15657" s="215" t="n">
        <v>45596</v>
      </c>
      <c r="F15657" s="215" t="n">
        <v>45596</v>
      </c>
    </row>
    <row r="15658">
      <c r="A15658" s="215" t="n">
        <v>45597</v>
      </c>
      <c r="B15658" s="216" t="n">
        <v>22.85</v>
      </c>
      <c r="C15658" s="216" t="n">
        <v>23.78</v>
      </c>
      <c r="D15658" s="216" t="n">
        <v>1.091570019721985</v>
      </c>
      <c r="E15658" s="215" t="n">
        <v>45597</v>
      </c>
      <c r="F15658" s="215" t="n">
        <v>45597</v>
      </c>
    </row>
    <row r="15659">
      <c r="A15659" s="215" t="n">
        <v>45600</v>
      </c>
      <c r="B15659" s="216" t="n">
        <v>22.95</v>
      </c>
      <c r="C15659" s="216" t="n">
        <v>24.48</v>
      </c>
      <c r="D15659" s="216" t="n">
        <v>1.091678023338318</v>
      </c>
      <c r="E15659" s="215" t="n">
        <v>45600</v>
      </c>
      <c r="F15659" s="215" t="n">
        <v>45600</v>
      </c>
    </row>
    <row r="15660">
      <c r="A15660" s="215" t="n">
        <v>45601</v>
      </c>
      <c r="B15660" s="216" t="n">
        <v>22.85</v>
      </c>
      <c r="C15660" s="216" t="n">
        <v>25.63</v>
      </c>
      <c r="D15660" s="216" t="n">
        <v>1.094761967658997</v>
      </c>
      <c r="E15660" s="215" t="n">
        <v>45601</v>
      </c>
      <c r="F15660" s="215" t="n">
        <v>45601</v>
      </c>
    </row>
    <row r="15661">
      <c r="A15661" s="215" t="n">
        <v>45602</v>
      </c>
      <c r="B15661" s="216" t="n">
        <v>22.65</v>
      </c>
      <c r="C15661" s="216" t="n">
        <v>25.3</v>
      </c>
      <c r="D15661" s="216" t="n">
        <v>1.094082951545715</v>
      </c>
      <c r="E15661" s="215" t="n">
        <v>45602</v>
      </c>
      <c r="F15661" s="215" t="n">
        <v>45602</v>
      </c>
    </row>
    <row r="15662">
      <c r="A15662" s="215" t="n">
        <v>45603</v>
      </c>
      <c r="B15662" s="216" t="n">
        <v>22.8</v>
      </c>
      <c r="C15662" s="216" t="n">
        <v>26.54</v>
      </c>
      <c r="D15662" s="216" t="n">
        <v>1.083237051963806</v>
      </c>
      <c r="E15662" s="215" t="n">
        <v>45603</v>
      </c>
      <c r="F15662" s="215" t="n">
        <v>45603</v>
      </c>
    </row>
    <row r="15663">
      <c r="A15663" s="215" t="n">
        <v>45604</v>
      </c>
      <c r="B15663" s="216" t="n">
        <v>22.7</v>
      </c>
      <c r="C15663" s="216" t="n">
        <v>26.58</v>
      </c>
      <c r="D15663" s="216" t="n">
        <v>1.087854027748108</v>
      </c>
      <c r="E15663" s="215" t="n">
        <v>45604</v>
      </c>
      <c r="F15663" s="215" t="n">
        <v>45604</v>
      </c>
    </row>
    <row r="15664">
      <c r="A15664" s="215" t="n">
        <v>45607</v>
      </c>
      <c r="B15664" s="216" t="n">
        <v>22.75</v>
      </c>
      <c r="C15664" s="216" t="n">
        <v>28.45</v>
      </c>
      <c r="D15664" s="216" t="n">
        <v>1.082896947860718</v>
      </c>
      <c r="E15664" s="215" t="n">
        <v>45607</v>
      </c>
      <c r="F15664" s="215" t="n">
        <v>45607</v>
      </c>
    </row>
    <row r="15665">
      <c r="A15665" s="215" t="n">
        <v>45608</v>
      </c>
      <c r="B15665" s="216" t="n">
        <v>22.5</v>
      </c>
      <c r="C15665" s="216" t="n">
        <v>28.02</v>
      </c>
      <c r="D15665" s="216" t="n">
        <v>1.077934980392456</v>
      </c>
      <c r="E15665" s="215" t="n">
        <v>45608</v>
      </c>
      <c r="F15665" s="215" t="n">
        <v>45608</v>
      </c>
    </row>
    <row r="15666">
      <c r="A15666" s="215" t="n">
        <v>45609</v>
      </c>
      <c r="B15666" s="216" t="n">
        <v>22.45</v>
      </c>
      <c r="C15666" s="216" t="n">
        <v>28.43</v>
      </c>
      <c r="D15666" s="216" t="n">
        <v>1.075376033782959</v>
      </c>
      <c r="E15666" s="215" t="n">
        <v>45609</v>
      </c>
      <c r="F15666" s="215" t="n">
        <v>45609</v>
      </c>
    </row>
    <row r="15667">
      <c r="A15667" s="215" t="n">
        <v>45610</v>
      </c>
      <c r="B15667" s="216" t="n">
        <v>21.65</v>
      </c>
      <c r="C15667" s="216" t="n">
        <v>27.12</v>
      </c>
      <c r="D15667" s="216" t="n">
        <v>1.07691502571106</v>
      </c>
      <c r="E15667" s="215" t="n">
        <v>45610</v>
      </c>
      <c r="F15667" s="215" t="n">
        <v>45610</v>
      </c>
    </row>
    <row r="15668">
      <c r="A15668" s="215" t="n">
        <v>45611</v>
      </c>
      <c r="B15668" s="216" t="n">
        <v>21.6</v>
      </c>
      <c r="C15668" s="216" t="n">
        <v>26.19</v>
      </c>
      <c r="D15668" s="216" t="n">
        <v>1.07588803768158</v>
      </c>
      <c r="E15668" s="215" t="n">
        <v>45611</v>
      </c>
      <c r="F15668" s="215" t="n">
        <v>45611</v>
      </c>
    </row>
    <row r="15669">
      <c r="A15669" s="215" t="n">
        <v>45614</v>
      </c>
      <c r="B15669" s="216" t="n">
        <v>21.75</v>
      </c>
      <c r="C15669" s="216" t="n">
        <v>25.1</v>
      </c>
      <c r="D15669" s="216" t="n">
        <v>1.076550960540771</v>
      </c>
      <c r="E15669" s="215" t="n">
        <v>45614</v>
      </c>
      <c r="F15669" s="215" t="n">
        <v>45614</v>
      </c>
    </row>
    <row r="15670">
      <c r="A15670" s="215" t="n">
        <v>45615</v>
      </c>
      <c r="B15670" s="216" t="n">
        <v>21.7</v>
      </c>
      <c r="C15670" s="216" t="n">
        <v>25.69</v>
      </c>
      <c r="D15670" s="216" t="n">
        <v>1.075461030006409</v>
      </c>
      <c r="E15670" s="215" t="n">
        <v>45615</v>
      </c>
      <c r="F15670" s="215" t="n">
        <v>45615</v>
      </c>
    </row>
    <row r="15671">
      <c r="A15671" s="215" t="n">
        <v>45616</v>
      </c>
      <c r="B15671" s="216" t="n">
        <v>21.85</v>
      </c>
      <c r="C15671" s="216" t="n">
        <v>26.13</v>
      </c>
      <c r="D15671" s="216" t="n">
        <v>1.075147032737732</v>
      </c>
      <c r="E15671" s="215" t="n">
        <v>45616</v>
      </c>
      <c r="F15671" s="215" t="n">
        <v>45616</v>
      </c>
    </row>
    <row r="15672">
      <c r="A15672" s="215" t="n">
        <v>45617</v>
      </c>
      <c r="B15672" s="216" t="n">
        <v>21.4</v>
      </c>
      <c r="C15672" s="216" t="n">
        <v>26.49</v>
      </c>
      <c r="D15672" s="216" t="n">
        <v>1.074183940887451</v>
      </c>
      <c r="E15672" s="215" t="n">
        <v>45617</v>
      </c>
      <c r="F15672" s="215" t="n">
        <v>45617</v>
      </c>
    </row>
    <row r="15673">
      <c r="A15673" s="215" t="n">
        <v>45618</v>
      </c>
      <c r="B15673" s="216" t="n">
        <v>20.1</v>
      </c>
      <c r="C15673" s="216" t="n">
        <v>24.94</v>
      </c>
      <c r="D15673" s="216" t="n">
        <v>1.075669050216675</v>
      </c>
      <c r="E15673" s="215" t="n">
        <v>45618</v>
      </c>
      <c r="F15673" s="215" t="n">
        <v>45618</v>
      </c>
    </row>
    <row r="15674">
      <c r="A15674" s="215" t="n">
        <v>45621</v>
      </c>
      <c r="B15674" s="216" t="n">
        <v>19.7</v>
      </c>
      <c r="C15674" s="216" t="n">
        <v>25.26</v>
      </c>
      <c r="D15674" s="216" t="n">
        <v>1.074473023414612</v>
      </c>
      <c r="E15674" s="215" t="n">
        <v>45621</v>
      </c>
      <c r="F15674" s="215" t="n">
        <v>45621</v>
      </c>
    </row>
    <row r="15675">
      <c r="A15675" s="215" t="n">
        <v>45622</v>
      </c>
      <c r="B15675" s="216" t="n">
        <v>18.72</v>
      </c>
      <c r="C15675" s="216" t="n">
        <v>24.5</v>
      </c>
      <c r="D15675" s="216" t="n">
        <v>1.073958039283752</v>
      </c>
      <c r="E15675" s="215" t="n">
        <v>45622</v>
      </c>
      <c r="F15675" s="215" t="n">
        <v>45622</v>
      </c>
    </row>
    <row r="15676">
      <c r="A15676" s="215" t="n">
        <v>45623</v>
      </c>
      <c r="B15676" s="216" t="n">
        <v>18.68</v>
      </c>
      <c r="C15676" s="216" t="n">
        <v>24.8</v>
      </c>
      <c r="D15676" s="216" t="n">
        <v>1.073114991188049</v>
      </c>
      <c r="E15676" s="215" t="n">
        <v>45623</v>
      </c>
      <c r="F15676" s="215" t="n">
        <v>45623</v>
      </c>
    </row>
    <row r="15677">
      <c r="A15677" s="215" t="n">
        <v>45624</v>
      </c>
      <c r="B15677" s="216" t="n">
        <v>18.58</v>
      </c>
      <c r="C15677" s="216" t="n">
        <v>24.58</v>
      </c>
      <c r="D15677" s="216" t="n">
        <v>1.073555946350098</v>
      </c>
      <c r="E15677" s="215" t="n">
        <v>45624</v>
      </c>
      <c r="F15677" s="215" t="n">
        <v>45624</v>
      </c>
    </row>
    <row r="15678">
      <c r="A15678" s="215" t="n">
        <v>45625</v>
      </c>
      <c r="B15678" s="216" t="n">
        <v>18.7</v>
      </c>
      <c r="C15678" s="216" t="n">
        <v>24.97</v>
      </c>
      <c r="D15678" s="216" t="n">
        <v>1.074349999427795</v>
      </c>
      <c r="E15678" s="215" t="n">
        <v>45625</v>
      </c>
      <c r="F15678" s="215" t="n">
        <v>45625</v>
      </c>
    </row>
    <row r="15679">
      <c r="A15679" s="215" t="n">
        <v>45628</v>
      </c>
      <c r="B15679" s="216" t="n">
        <v>18.68</v>
      </c>
      <c r="C15679" s="216" t="n">
        <v>25.58</v>
      </c>
      <c r="D15679" s="216" t="n">
        <v>1.074655055999756</v>
      </c>
      <c r="E15679" s="215" t="n">
        <v>45628</v>
      </c>
      <c r="F15679" s="215" t="n">
        <v>45628</v>
      </c>
    </row>
    <row r="15680">
      <c r="A15680" s="215" t="n">
        <v>45629</v>
      </c>
      <c r="B15680" s="216" t="n">
        <v>18.62</v>
      </c>
      <c r="C15680" s="216" t="n">
        <v>25.58</v>
      </c>
      <c r="D15680" s="216" t="n">
        <v>1.069697022438049</v>
      </c>
      <c r="E15680" s="215" t="n">
        <v>45629</v>
      </c>
      <c r="F15680" s="215" t="n">
        <v>45629</v>
      </c>
    </row>
    <row r="15681">
      <c r="A15681" s="215" t="n">
        <v>45630</v>
      </c>
      <c r="B15681" s="216" t="n">
        <v>18.64</v>
      </c>
      <c r="C15681" s="216" t="n">
        <v>24.9</v>
      </c>
      <c r="D15681" s="216" t="n">
        <v>1.068164944648743</v>
      </c>
      <c r="E15681" s="215" t="n">
        <v>45630</v>
      </c>
      <c r="F15681" s="215" t="n">
        <v>45630</v>
      </c>
    </row>
    <row r="15682">
      <c r="A15682" s="215" t="n">
        <v>45631</v>
      </c>
      <c r="B15682" s="216" t="n">
        <v>21.7</v>
      </c>
      <c r="C15682" s="216" t="n">
        <v>26.85</v>
      </c>
      <c r="D15682" s="216" t="n">
        <v>1.071516990661621</v>
      </c>
      <c r="E15682" s="215" t="n">
        <v>45631</v>
      </c>
      <c r="F15682" s="215" t="n">
        <v>45631</v>
      </c>
    </row>
    <row r="15683">
      <c r="A15683" s="215" t="n">
        <v>45632</v>
      </c>
      <c r="B15683" s="216" t="n">
        <v>21.75</v>
      </c>
      <c r="C15683" s="216" t="n">
        <v>26.39</v>
      </c>
      <c r="D15683" s="216" t="n">
        <v>1.07178795337677</v>
      </c>
      <c r="E15683" s="215" t="n">
        <v>45632</v>
      </c>
      <c r="F15683" s="215" t="n">
        <v>45632</v>
      </c>
    </row>
    <row r="15684">
      <c r="A15684" s="215" t="n">
        <v>45635</v>
      </c>
      <c r="B15684" s="216" t="n">
        <v>21.95</v>
      </c>
      <c r="C15684" s="216" t="n">
        <v>26.9</v>
      </c>
      <c r="D15684" s="216" t="n">
        <v>1.070058941841125</v>
      </c>
      <c r="E15684" s="215" t="n">
        <v>45635</v>
      </c>
      <c r="F15684" s="215" t="n">
        <v>45635</v>
      </c>
    </row>
    <row r="15685">
      <c r="A15685" s="215" t="n">
        <v>45636</v>
      </c>
      <c r="B15685" s="216" t="n">
        <v>21.3</v>
      </c>
      <c r="C15685" s="216" t="n">
        <v>26.63</v>
      </c>
      <c r="D15685" s="216" t="n">
        <v>1.07076895236969</v>
      </c>
      <c r="E15685" s="215" t="n">
        <v>45636</v>
      </c>
      <c r="F15685" s="215" t="n">
        <v>45636</v>
      </c>
    </row>
    <row r="15686">
      <c r="A15686" s="215" t="n">
        <v>45637</v>
      </c>
      <c r="B15686" s="216" t="n">
        <v>20.4</v>
      </c>
      <c r="C15686" s="216" t="n">
        <v>26.31</v>
      </c>
      <c r="D15686" s="216" t="n">
        <v>1.072139024734497</v>
      </c>
      <c r="E15686" s="215" t="n">
        <v>45637</v>
      </c>
      <c r="F15686" s="215" t="n">
        <v>45637</v>
      </c>
    </row>
    <row r="15687">
      <c r="A15687" s="215" t="n">
        <v>45638</v>
      </c>
      <c r="B15687" s="216" t="n">
        <v>20.6</v>
      </c>
      <c r="C15687" s="216" t="n">
        <v>26.09</v>
      </c>
      <c r="D15687" s="216" t="n">
        <v>1.070543050765991</v>
      </c>
      <c r="E15687" s="215" t="n">
        <v>45638</v>
      </c>
      <c r="F15687" s="215" t="n">
        <v>45638</v>
      </c>
    </row>
    <row r="15688">
      <c r="A15688" s="215" t="n">
        <v>45639</v>
      </c>
      <c r="B15688" s="216" t="n">
        <v>20.15</v>
      </c>
      <c r="C15688" s="216" t="n">
        <v>25.2</v>
      </c>
      <c r="D15688" s="216" t="n">
        <v>1.069535970687866</v>
      </c>
      <c r="E15688" s="215" t="n">
        <v>45639</v>
      </c>
      <c r="F15688" s="215" t="n">
        <v>45639</v>
      </c>
    </row>
    <row r="15689">
      <c r="A15689" s="215" t="n">
        <v>45642</v>
      </c>
      <c r="B15689" s="216" t="n">
        <v>19.76</v>
      </c>
      <c r="C15689" s="216" t="n">
        <v>24.78</v>
      </c>
      <c r="D15689" s="216" t="n">
        <v>1.068564057350159</v>
      </c>
      <c r="E15689" s="215" t="n">
        <v>45642</v>
      </c>
      <c r="F15689" s="215" t="n">
        <v>45642</v>
      </c>
    </row>
    <row r="15690">
      <c r="A15690" s="215" t="n">
        <v>45643</v>
      </c>
      <c r="B15690" s="216" t="n">
        <v>19.38</v>
      </c>
      <c r="C15690" s="216" t="n">
        <v>24.03</v>
      </c>
      <c r="D15690" s="216" t="n">
        <v>1.06734299659729</v>
      </c>
      <c r="E15690" s="215" t="n">
        <v>45643</v>
      </c>
      <c r="F15690" s="215" t="n">
        <v>45643</v>
      </c>
    </row>
    <row r="15691">
      <c r="A15691" s="215" t="n">
        <v>45644</v>
      </c>
      <c r="B15691" s="216" t="n">
        <v>19.74</v>
      </c>
      <c r="C15691" s="216" t="n">
        <v>24.22</v>
      </c>
      <c r="D15691" s="216" t="n">
        <v>1.066388010978699</v>
      </c>
      <c r="E15691" s="215" t="n">
        <v>45644</v>
      </c>
      <c r="F15691" s="215" t="n">
        <v>45644</v>
      </c>
    </row>
    <row r="15692">
      <c r="A15692" s="215" t="n">
        <v>45645</v>
      </c>
      <c r="B15692" s="216" t="n">
        <v>20.4</v>
      </c>
      <c r="C15692" s="216" t="n">
        <v>25.02</v>
      </c>
      <c r="D15692" s="216" t="n">
        <v>1.066426038742065</v>
      </c>
      <c r="E15692" s="215" t="n">
        <v>45645</v>
      </c>
      <c r="F15692" s="215" t="n">
        <v>45645</v>
      </c>
    </row>
    <row r="15693">
      <c r="A15693" s="215" t="n">
        <v>45646</v>
      </c>
      <c r="B15693" s="216" t="n">
        <v>20.2</v>
      </c>
      <c r="C15693" s="216" t="n">
        <v>24.75</v>
      </c>
      <c r="D15693" s="216" t="n">
        <v>1.064751029014587</v>
      </c>
      <c r="E15693" s="215" t="n">
        <v>45646</v>
      </c>
      <c r="F15693" s="215" t="n">
        <v>45646</v>
      </c>
    </row>
    <row r="15694">
      <c r="A15694" s="215" t="n">
        <v>45649</v>
      </c>
      <c r="B15694" s="216" t="n">
        <v>19.8</v>
      </c>
      <c r="C15694" s="216" t="n">
        <v>23.91</v>
      </c>
      <c r="D15694" s="216" t="n">
        <v>1.065225005149841</v>
      </c>
      <c r="E15694" s="215" t="n">
        <v>45649</v>
      </c>
      <c r="F15694" s="215" t="n">
        <v>45649</v>
      </c>
    </row>
    <row r="15695">
      <c r="A15695" s="215" t="n">
        <v>45650</v>
      </c>
      <c r="B15695" s="216" t="n">
        <v>19.98</v>
      </c>
      <c r="C15695" s="216" t="n">
        <v>24.13</v>
      </c>
      <c r="D15695" s="216" t="n">
        <v>1.06459105014801</v>
      </c>
      <c r="E15695" s="215" t="n">
        <v>45650</v>
      </c>
      <c r="F15695" s="215" t="n">
        <v>45650</v>
      </c>
    </row>
    <row r="15696">
      <c r="A15696" s="215" t="n">
        <v>45653</v>
      </c>
      <c r="B15696" s="216" t="n">
        <v>20.55</v>
      </c>
      <c r="C15696" s="216" t="n">
        <v>24.37</v>
      </c>
      <c r="D15696" s="216" t="n">
        <v>1.064249038696289</v>
      </c>
      <c r="E15696" s="215" t="n">
        <v>45653</v>
      </c>
      <c r="F15696" s="215" t="n">
        <v>45653</v>
      </c>
    </row>
    <row r="15697">
      <c r="A15697" s="215" t="n">
        <v>45656</v>
      </c>
      <c r="B15697" s="216" t="n">
        <v>20.1</v>
      </c>
      <c r="C15697" s="216" t="n">
        <v>24.25</v>
      </c>
      <c r="D15697" s="216" t="n">
        <v>1.063662052154541</v>
      </c>
      <c r="E15697" s="215" t="n">
        <v>45656</v>
      </c>
      <c r="F15697" s="215" t="n">
        <v>45656</v>
      </c>
    </row>
    <row r="15698">
      <c r="A15698" s="215" t="n">
        <v>45657</v>
      </c>
      <c r="B15698" s="216" t="n">
        <v>20.55</v>
      </c>
      <c r="C15698" s="216" t="n">
        <v>24.1</v>
      </c>
      <c r="D15698" s="216" t="n">
        <v>1.063554048538208</v>
      </c>
      <c r="E15698" s="215" t="n">
        <v>45657</v>
      </c>
      <c r="F15698" s="215" t="n">
        <v>45657</v>
      </c>
    </row>
    <row r="15699">
      <c r="A15699" s="215" t="n">
        <v>45659</v>
      </c>
      <c r="B15699" s="216" t="n">
        <v>19.6</v>
      </c>
      <c r="C15699" s="216" t="n">
        <v>23.12</v>
      </c>
      <c r="D15699" s="216" t="n">
        <v>1.064368963241577</v>
      </c>
      <c r="E15699" s="215" t="n">
        <v>45659</v>
      </c>
      <c r="F15699" s="215" t="n">
        <v>45659</v>
      </c>
    </row>
    <row r="15700">
      <c r="A15700" s="215" t="n">
        <v>45660</v>
      </c>
      <c r="B15700" s="216" t="n">
        <v>19.16</v>
      </c>
      <c r="C15700" s="216" t="n">
        <v>22.7</v>
      </c>
      <c r="D15700" s="216" t="n">
        <v>1.065240979194641</v>
      </c>
      <c r="E15700" s="215" t="n">
        <v>45660</v>
      </c>
      <c r="F15700" s="215" t="n">
        <v>45660</v>
      </c>
    </row>
    <row r="15701">
      <c r="A15701" s="215" t="n">
        <v>45663</v>
      </c>
      <c r="B15701" s="216" t="n">
        <v>19.4</v>
      </c>
      <c r="C15701" s="216" t="n">
        <v>22.45</v>
      </c>
      <c r="D15701" s="216" t="n">
        <v>1.062374949455261</v>
      </c>
      <c r="E15701" s="215" t="n">
        <v>45663</v>
      </c>
      <c r="F15701" s="215" t="n">
        <v>45663</v>
      </c>
    </row>
    <row r="15702">
      <c r="A15702" s="215" t="n">
        <v>45664</v>
      </c>
      <c r="B15702" s="216" t="n">
        <v>20.6</v>
      </c>
      <c r="C15702" s="216" t="n">
        <v>24.67</v>
      </c>
      <c r="D15702" s="216" t="n">
        <v>1.061730027198792</v>
      </c>
      <c r="E15702" s="215" t="n">
        <v>45664</v>
      </c>
      <c r="F15702" s="215" t="n">
        <v>45664</v>
      </c>
    </row>
    <row r="15703">
      <c r="A15703" s="215" t="n">
        <v>45665</v>
      </c>
      <c r="B15703" s="216" t="n">
        <v>21.35</v>
      </c>
      <c r="C15703" s="216" t="n">
        <v>25.5</v>
      </c>
      <c r="D15703" s="216" t="n">
        <v>1.061154961585999</v>
      </c>
      <c r="E15703" s="215" t="n">
        <v>45665</v>
      </c>
      <c r="F15703" s="215" t="n">
        <v>45665</v>
      </c>
    </row>
    <row r="15704">
      <c r="A15704" s="215" t="n">
        <v>45666</v>
      </c>
      <c r="B15704" s="216" t="n">
        <v>20.75</v>
      </c>
      <c r="C15704" s="216" t="n">
        <v>24.93</v>
      </c>
      <c r="D15704" s="216" t="n">
        <v>1.061004042625427</v>
      </c>
      <c r="E15704" s="215" t="n">
        <v>45666</v>
      </c>
      <c r="F15704" s="215" t="n">
        <v>45666</v>
      </c>
    </row>
    <row r="15705">
      <c r="A15705" s="215" t="n">
        <v>45667</v>
      </c>
      <c r="B15705" s="216" t="n">
        <v>19.78</v>
      </c>
      <c r="C15705" s="216" t="n">
        <v>23.65</v>
      </c>
      <c r="D15705" s="216" t="n">
        <v>1.061197996139526</v>
      </c>
      <c r="E15705" s="215" t="n">
        <v>45667</v>
      </c>
      <c r="F15705" s="215" t="n">
        <v>45667</v>
      </c>
    </row>
    <row r="15706">
      <c r="A15706" s="215" t="n">
        <v>45670</v>
      </c>
      <c r="B15706" s="216" t="n">
        <v>19.36</v>
      </c>
      <c r="C15706" s="216" t="n">
        <v>23.31</v>
      </c>
      <c r="D15706" s="216" t="n">
        <v>1.061838984489441</v>
      </c>
      <c r="E15706" s="215" t="n">
        <v>45670</v>
      </c>
      <c r="F15706" s="215" t="n">
        <v>45670</v>
      </c>
    </row>
    <row r="15707">
      <c r="A15707" s="215" t="n">
        <v>45671</v>
      </c>
      <c r="B15707" s="216" t="n">
        <v>19.92</v>
      </c>
      <c r="C15707" s="216" t="n">
        <v>24.17</v>
      </c>
      <c r="D15707" s="216" t="n">
        <v>1.061681032180786</v>
      </c>
      <c r="E15707" s="215" t="n">
        <v>45671</v>
      </c>
      <c r="F15707" s="215" t="n">
        <v>45671</v>
      </c>
    </row>
    <row r="15708">
      <c r="A15708" s="215" t="n">
        <v>45672</v>
      </c>
      <c r="B15708" s="216" t="n">
        <v>19.56</v>
      </c>
      <c r="C15708" s="216" t="n">
        <v>23.33</v>
      </c>
      <c r="D15708" s="216" t="n">
        <v>1.062003970146179</v>
      </c>
      <c r="E15708" s="215" t="n">
        <v>45672</v>
      </c>
      <c r="F15708" s="215" t="n">
        <v>45672</v>
      </c>
    </row>
    <row r="15709">
      <c r="A15709" s="215" t="n">
        <v>45673</v>
      </c>
      <c r="B15709" s="216" t="n">
        <v>19.86</v>
      </c>
      <c r="C15709" s="216" t="n">
        <v>23.38</v>
      </c>
      <c r="D15709" s="216" t="n">
        <v>1.061879992485046</v>
      </c>
      <c r="E15709" s="215" t="n">
        <v>45673</v>
      </c>
      <c r="F15709" s="215" t="n">
        <v>45673</v>
      </c>
    </row>
    <row r="15710">
      <c r="A15710" s="215" t="n">
        <v>45674</v>
      </c>
      <c r="B15710" s="216" t="n">
        <v>19.62</v>
      </c>
      <c r="C15710" s="216" t="n">
        <v>23.06</v>
      </c>
      <c r="D15710" s="216" t="n">
        <v>1.06210196018219</v>
      </c>
      <c r="E15710" s="215" t="n">
        <v>45674</v>
      </c>
      <c r="F15710" s="215" t="n">
        <v>45674</v>
      </c>
    </row>
    <row r="15711">
      <c r="A15711" s="215" t="n">
        <v>45677</v>
      </c>
      <c r="B15711" s="216" t="n">
        <v>19.76</v>
      </c>
      <c r="C15711" s="216" t="n">
        <v>22.89</v>
      </c>
      <c r="D15711" s="216" t="n">
        <v>1.062587022781372</v>
      </c>
      <c r="E15711" s="215" t="n">
        <v>45677</v>
      </c>
      <c r="F15711" s="215" t="n">
        <v>45677</v>
      </c>
    </row>
    <row r="15712">
      <c r="A15712" s="215" t="n">
        <v>45678</v>
      </c>
      <c r="B15712" s="216" t="n">
        <v>19.72</v>
      </c>
      <c r="C15712" s="216" t="n">
        <v>22.25</v>
      </c>
      <c r="D15712" s="216" t="n">
        <v>1.063603043556213</v>
      </c>
      <c r="E15712" s="215" t="n">
        <v>45678</v>
      </c>
      <c r="F15712" s="215" t="n">
        <v>45678</v>
      </c>
    </row>
    <row r="15713">
      <c r="A15713" s="215" t="n">
        <v>45679</v>
      </c>
      <c r="B15713" s="216" t="n">
        <v>19.36</v>
      </c>
      <c r="C15713" s="216" t="n">
        <v>22.06</v>
      </c>
      <c r="D15713" s="216" t="n">
        <v>1.070593953132629</v>
      </c>
      <c r="E15713" s="215" t="n">
        <v>45679</v>
      </c>
      <c r="F15713" s="215" t="n">
        <v>45679</v>
      </c>
    </row>
    <row r="15714">
      <c r="A15714" s="215" t="n">
        <v>45680</v>
      </c>
      <c r="B15714" s="216" t="n">
        <v>19.28</v>
      </c>
      <c r="C15714" s="216" t="n">
        <v>21.83</v>
      </c>
      <c r="D15714" s="216" t="n">
        <v>1.070641040802002</v>
      </c>
      <c r="E15714" s="215" t="n">
        <v>45680</v>
      </c>
      <c r="F15714" s="215" t="n">
        <v>45680</v>
      </c>
    </row>
    <row r="15715">
      <c r="A15715" s="215" t="n">
        <v>45681</v>
      </c>
      <c r="B15715" s="216" t="n">
        <v>19.56</v>
      </c>
      <c r="C15715" s="216" t="n">
        <v>21.95</v>
      </c>
      <c r="D15715" s="216" t="n">
        <v>1.068833947181702</v>
      </c>
      <c r="E15715" s="215" t="n">
        <v>45681</v>
      </c>
      <c r="F15715" s="215" t="n">
        <v>45681</v>
      </c>
    </row>
    <row r="15716">
      <c r="A15716" s="215" t="n">
        <v>45684</v>
      </c>
      <c r="B15716" s="216" t="n">
        <v>19.56</v>
      </c>
      <c r="C15716" s="216" t="n">
        <v>21.5</v>
      </c>
      <c r="D15716" s="216" t="n">
        <v>1.075027942657471</v>
      </c>
      <c r="E15716" s="215" t="n">
        <v>45684</v>
      </c>
      <c r="F15716" s="215" t="n">
        <v>45684</v>
      </c>
    </row>
    <row r="15717">
      <c r="A15717" s="215" t="n">
        <v>45691</v>
      </c>
      <c r="B15717" s="216" t="n">
        <v>19.02</v>
      </c>
      <c r="C15717" s="216" t="n">
        <v>21.5</v>
      </c>
      <c r="D15717" s="216" t="n">
        <v>1.084506034851074</v>
      </c>
      <c r="E15717" s="215" t="n">
        <v>45684</v>
      </c>
      <c r="F15717" s="215" t="n">
        <v>45691</v>
      </c>
    </row>
    <row r="15718">
      <c r="A15718" s="215" t="n">
        <v>45692</v>
      </c>
      <c r="B15718" s="216" t="n">
        <v>19.2</v>
      </c>
      <c r="C15718" s="216" t="n">
        <v>21.5</v>
      </c>
      <c r="D15718" s="216" t="n">
        <v>1.082739949226379</v>
      </c>
      <c r="E15718" s="215" t="n">
        <v>45684</v>
      </c>
      <c r="F15718" s="215" t="n">
        <v>45692</v>
      </c>
    </row>
    <row r="15719">
      <c r="A15719" s="215" t="n">
        <v>45693</v>
      </c>
      <c r="B15719" s="216" t="n">
        <v>19.44</v>
      </c>
      <c r="C15719" s="216" t="n">
        <v>21.81</v>
      </c>
      <c r="D15719" s="216" t="n">
        <v>1.083930015563965</v>
      </c>
      <c r="E15719" s="215" t="n">
        <v>45693</v>
      </c>
      <c r="F15719" s="215" t="n">
        <v>45693</v>
      </c>
    </row>
    <row r="15720">
      <c r="A15720" s="215" t="n">
        <v>45694</v>
      </c>
      <c r="B15720" s="216" t="n">
        <v>19.9</v>
      </c>
      <c r="C15720" s="216" t="n">
        <v>22.16</v>
      </c>
      <c r="D15720" s="216" t="n">
        <v>1.070767045021057</v>
      </c>
      <c r="E15720" s="215" t="n">
        <v>45694</v>
      </c>
      <c r="F15720" s="215" t="n">
        <v>45694</v>
      </c>
    </row>
    <row r="15721">
      <c r="A15721" s="215" t="n">
        <v>45695</v>
      </c>
      <c r="B15721" s="216" t="n">
        <v>20.1</v>
      </c>
      <c r="C15721" s="216" t="n">
        <v>22.48</v>
      </c>
      <c r="D15721" s="216" t="n">
        <v>1.068161010742188</v>
      </c>
      <c r="E15721" s="215" t="n">
        <v>45695</v>
      </c>
      <c r="F15721" s="215" t="n">
        <v>45695</v>
      </c>
    </row>
    <row r="15722">
      <c r="A15722" s="215" t="n">
        <v>45698</v>
      </c>
      <c r="B15722" s="216" t="n">
        <v>20.3</v>
      </c>
      <c r="C15722" s="216" t="n">
        <v>22.85</v>
      </c>
      <c r="D15722" s="216" t="n">
        <v>1.068833947181702</v>
      </c>
      <c r="E15722" s="215" t="n">
        <v>45698</v>
      </c>
      <c r="F15722" s="215" t="n">
        <v>45698</v>
      </c>
    </row>
    <row r="15723">
      <c r="A15723" s="215" t="n">
        <v>45699</v>
      </c>
      <c r="B15723" s="216" t="n">
        <v>20.1</v>
      </c>
      <c r="C15723" s="216" t="n">
        <v>22.71</v>
      </c>
      <c r="D15723" s="216" t="n">
        <v>1.066220045089722</v>
      </c>
      <c r="E15723" s="215" t="n">
        <v>45699</v>
      </c>
      <c r="F15723" s="215" t="n">
        <v>45699</v>
      </c>
    </row>
    <row r="15724">
      <c r="A15724" s="215" t="n">
        <v>45700</v>
      </c>
      <c r="B15724" s="216" t="n">
        <v>20.15</v>
      </c>
      <c r="C15724" s="216" t="n">
        <v>23.1</v>
      </c>
      <c r="D15724" s="216" t="n">
        <v>1.066164970397949</v>
      </c>
      <c r="E15724" s="215" t="n">
        <v>45700</v>
      </c>
      <c r="F15724" s="215" t="n">
        <v>45700</v>
      </c>
    </row>
    <row r="15725">
      <c r="A15725" s="215" t="n">
        <v>45701</v>
      </c>
      <c r="B15725" s="216" t="n">
        <v>19.94</v>
      </c>
      <c r="C15725" s="216" t="n">
        <v>22.95</v>
      </c>
      <c r="D15725" s="216" t="n">
        <v>1.065642952919006</v>
      </c>
      <c r="E15725" s="215" t="n">
        <v>45701</v>
      </c>
      <c r="F15725" s="215" t="n">
        <v>45701</v>
      </c>
    </row>
    <row r="15726">
      <c r="A15726" s="215" t="n">
        <v>45702</v>
      </c>
      <c r="B15726" s="216" t="n">
        <v>20.2</v>
      </c>
      <c r="C15726" s="216" t="n">
        <v>23.1</v>
      </c>
      <c r="D15726" s="216" t="n">
        <v>1.068236947059631</v>
      </c>
      <c r="E15726" s="215" t="n">
        <v>45702</v>
      </c>
      <c r="F15726" s="215" t="n">
        <v>45702</v>
      </c>
    </row>
    <row r="15727">
      <c r="A15727" s="215" t="n">
        <v>45705</v>
      </c>
      <c r="B15727" s="216" t="n">
        <v>20.45</v>
      </c>
      <c r="C15727" s="216" t="n">
        <v>23.19</v>
      </c>
      <c r="D15727" s="216" t="n">
        <v>1.072839021682739</v>
      </c>
      <c r="E15727" s="215" t="n">
        <v>45705</v>
      </c>
      <c r="F15727" s="215" t="n">
        <v>45705</v>
      </c>
    </row>
    <row r="15728">
      <c r="A15728" s="215" t="n">
        <v>45706</v>
      </c>
      <c r="B15728" s="216" t="n">
        <v>20.8</v>
      </c>
      <c r="C15728" s="216" t="n">
        <v>23.48</v>
      </c>
      <c r="D15728" s="216" t="n">
        <v>1.072520971298218</v>
      </c>
      <c r="E15728" s="215" t="n">
        <v>45706</v>
      </c>
      <c r="F15728" s="215" t="n">
        <v>45706</v>
      </c>
    </row>
    <row r="15729">
      <c r="A15729" s="215" t="n">
        <v>45707</v>
      </c>
      <c r="B15729" s="216" t="n">
        <v>20.85</v>
      </c>
      <c r="C15729" s="216" t="n">
        <v>23.99</v>
      </c>
      <c r="D15729" s="216" t="n">
        <v>1.067935943603516</v>
      </c>
      <c r="E15729" s="215" t="n">
        <v>45707</v>
      </c>
      <c r="F15729" s="215" t="n">
        <v>45707</v>
      </c>
    </row>
    <row r="15730">
      <c r="A15730" s="215" t="n">
        <v>45708</v>
      </c>
      <c r="B15730" s="216" t="n">
        <v>20.85</v>
      </c>
      <c r="C15730" s="216" t="n">
        <v>24.02</v>
      </c>
      <c r="D15730" s="216" t="n">
        <v>1.067798972129822</v>
      </c>
      <c r="E15730" s="215" t="n">
        <v>45708</v>
      </c>
      <c r="F15730" s="215" t="n">
        <v>45708</v>
      </c>
    </row>
    <row r="15731">
      <c r="A15731" s="215" t="n">
        <v>45709</v>
      </c>
      <c r="B15731" s="216" t="n">
        <v>20.85</v>
      </c>
      <c r="C15731" s="216" t="n">
        <v>24.2</v>
      </c>
      <c r="D15731" s="216" t="n">
        <v>1.071557998657227</v>
      </c>
      <c r="E15731" s="215" t="n">
        <v>45709</v>
      </c>
      <c r="F15731" s="215" t="n">
        <v>45709</v>
      </c>
    </row>
    <row r="15732">
      <c r="A15732" s="215" t="n">
        <v>45712</v>
      </c>
      <c r="B15732" s="216" t="n">
        <v>20.95</v>
      </c>
      <c r="C15732" s="216" t="n">
        <v>23.94</v>
      </c>
      <c r="D15732" s="216" t="n">
        <v>1.071457982063293</v>
      </c>
      <c r="E15732" s="215" t="n">
        <v>45712</v>
      </c>
      <c r="F15732" s="215" t="n">
        <v>45712</v>
      </c>
    </row>
    <row r="15733">
      <c r="A15733" s="215" t="n">
        <v>45713</v>
      </c>
      <c r="B15733" s="216" t="n">
        <v>20.85</v>
      </c>
      <c r="C15733" s="216" t="n">
        <v>23.92</v>
      </c>
      <c r="D15733" s="216" t="n">
        <v>1.072481989860535</v>
      </c>
      <c r="E15733" s="215" t="n">
        <v>45713</v>
      </c>
      <c r="F15733" s="215" t="n">
        <v>45713</v>
      </c>
    </row>
    <row r="15734">
      <c r="A15734" s="215" t="n">
        <v>45714</v>
      </c>
      <c r="B15734" s="216" t="n">
        <v>21.15</v>
      </c>
      <c r="C15734" s="216" t="n">
        <v>24.23</v>
      </c>
      <c r="D15734" s="216" t="n">
        <v>1.072456955909729</v>
      </c>
      <c r="E15734" s="215" t="n">
        <v>45714</v>
      </c>
      <c r="F15734" s="215" t="n">
        <v>45714</v>
      </c>
    </row>
    <row r="15735">
      <c r="A15735" s="215" t="n">
        <v>45715</v>
      </c>
      <c r="B15735" s="216" t="n">
        <v>27.75</v>
      </c>
      <c r="C15735" s="216" t="n">
        <v>24.23</v>
      </c>
      <c r="D15735" s="216" t="n">
        <v>1.070572972297668</v>
      </c>
      <c r="E15735" s="215" t="n">
        <v>45714</v>
      </c>
      <c r="F15735" s="215" t="n">
        <v>45715</v>
      </c>
    </row>
    <row r="15736">
      <c r="A15736" s="215" t="n">
        <v>45716</v>
      </c>
      <c r="B15736" s="216" t="n">
        <v>25.65</v>
      </c>
      <c r="C15736" s="216" t="n">
        <v>24.23</v>
      </c>
      <c r="D15736" s="216" t="n">
        <v>1.067088961601257</v>
      </c>
      <c r="E15736" s="215" t="n">
        <v>45714</v>
      </c>
      <c r="F15736" s="215" t="n">
        <v>45716</v>
      </c>
    </row>
    <row r="15737">
      <c r="A15737" s="215" t="n">
        <v>45719</v>
      </c>
      <c r="B15737" s="216" t="n">
        <v>26.25</v>
      </c>
      <c r="C15737" s="216" t="n">
        <v>24.23</v>
      </c>
      <c r="D15737" s="216" t="n">
        <v>1.06771194934845</v>
      </c>
      <c r="E15737" s="215" t="n">
        <v>45714</v>
      </c>
      <c r="F15737" s="215" t="n">
        <v>45719</v>
      </c>
    </row>
    <row r="15738">
      <c r="A15738" s="215" t="n">
        <v>45720</v>
      </c>
      <c r="B15738" s="216" t="n">
        <v>27.2</v>
      </c>
      <c r="C15738" s="216" t="n">
        <v>24.23</v>
      </c>
      <c r="D15738" s="216" t="n">
        <v>1.067291021347046</v>
      </c>
      <c r="E15738" s="215" t="n">
        <v>45714</v>
      </c>
      <c r="F15738" s="215" t="n">
        <v>45720</v>
      </c>
    </row>
    <row r="15739">
      <c r="A15739" s="215" t="n">
        <v>45721</v>
      </c>
      <c r="B15739" s="216" t="n">
        <v>28.95</v>
      </c>
      <c r="C15739" s="216" t="n">
        <v>24.23</v>
      </c>
      <c r="D15739" s="216" t="n">
        <v>1.069700956344604</v>
      </c>
      <c r="E15739" s="215" t="n">
        <v>45714</v>
      </c>
      <c r="F15739" s="215" t="n">
        <v>45721</v>
      </c>
    </row>
    <row r="15740">
      <c r="A15740" s="215" t="n">
        <v>45722</v>
      </c>
      <c r="B15740" s="216" t="n">
        <v>28.1</v>
      </c>
      <c r="C15740" s="216" t="n">
        <v>24.23</v>
      </c>
      <c r="D15740" s="216" t="n">
        <v>1.071586012840271</v>
      </c>
      <c r="E15740" s="215" t="n">
        <v>45714</v>
      </c>
      <c r="F15740" s="215" t="n">
        <v>45722</v>
      </c>
    </row>
    <row r="15741">
      <c r="A15741" s="215" t="n">
        <v>45723</v>
      </c>
      <c r="B15741" s="216" t="n">
        <v>28.1</v>
      </c>
      <c r="C15741" s="216" t="n">
        <v>24.23</v>
      </c>
      <c r="D15741" s="216" t="n">
        <v>1.071760058403015</v>
      </c>
      <c r="E15741" s="215" t="n">
        <v>45714</v>
      </c>
      <c r="F15741" s="215" t="n">
        <v>45723</v>
      </c>
    </row>
    <row r="15742">
      <c r="A15742" s="215" t="n">
        <v>45726</v>
      </c>
      <c r="B15742" s="216" t="n">
        <v>28.2</v>
      </c>
      <c r="C15742" s="216" t="n"/>
      <c r="D15742" s="216" t="n"/>
      <c r="E15742" s="215" t="n"/>
      <c r="F15742" s="215" t="n"/>
    </row>
    <row r="15743">
      <c r="A15743" s="215" t="n">
        <v>45727</v>
      </c>
      <c r="B15743" s="216" t="n">
        <v>27.95</v>
      </c>
      <c r="C15743" s="216" t="n"/>
      <c r="D15743" s="216" t="n"/>
      <c r="E15743" s="215" t="n"/>
      <c r="F15743" s="215" t="n"/>
    </row>
    <row r="15744">
      <c r="A15744" s="215" t="n">
        <v>45728</v>
      </c>
      <c r="B15744" s="216" t="n">
        <v>31.6</v>
      </c>
      <c r="C15744" s="216" t="n"/>
      <c r="D15744" s="216" t="n"/>
      <c r="E15744" s="215" t="n"/>
      <c r="F15744" s="215" t="n"/>
    </row>
    <row r="15745">
      <c r="A15745" s="215" t="n">
        <v>45729</v>
      </c>
      <c r="B15745" s="216" t="n">
        <v>27.55</v>
      </c>
      <c r="C15745" s="216" t="n">
        <v>26.2</v>
      </c>
      <c r="D15745" s="216" t="n">
        <v>1.07337498664856</v>
      </c>
      <c r="E15745" s="215" t="n">
        <v>45729</v>
      </c>
      <c r="F15745" s="215" t="n">
        <v>45729</v>
      </c>
    </row>
    <row r="15746">
      <c r="A15746" s="215" t="n">
        <v>45730</v>
      </c>
      <c r="B15746" s="216" t="n">
        <v>24.8</v>
      </c>
      <c r="C15746" s="216" t="n">
        <v>24.9</v>
      </c>
      <c r="D15746" s="216" t="n">
        <v>1.073752999305725</v>
      </c>
      <c r="E15746" s="215" t="n">
        <v>45730</v>
      </c>
      <c r="F15746" s="215" t="n">
        <v>45730</v>
      </c>
    </row>
    <row r="15747">
      <c r="A15747" s="215" t="n">
        <v>45733</v>
      </c>
      <c r="B15747" s="216" t="n">
        <v>23.65</v>
      </c>
      <c r="C15747" s="216" t="n">
        <v>25</v>
      </c>
      <c r="D15747" s="216" t="n">
        <v>1.073765993118286</v>
      </c>
      <c r="E15747" s="215" t="n">
        <v>45733</v>
      </c>
      <c r="F15747" s="215" t="n">
        <v>45733</v>
      </c>
    </row>
    <row r="15748">
      <c r="A15748" s="215" t="n">
        <v>45734</v>
      </c>
      <c r="B15748" s="216" t="n">
        <v>23.75</v>
      </c>
      <c r="C15748" s="216" t="n">
        <v>24.58</v>
      </c>
      <c r="D15748" s="216" t="n">
        <v>1.073990941047668</v>
      </c>
      <c r="E15748" s="215" t="n">
        <v>45734</v>
      </c>
      <c r="F15748" s="215" t="n">
        <v>45734</v>
      </c>
    </row>
    <row r="15749">
      <c r="A15749" s="215" t="n">
        <v>45735</v>
      </c>
      <c r="B15749" s="216" t="n">
        <v>23.8</v>
      </c>
      <c r="C15749" s="216" t="n">
        <v>24.4</v>
      </c>
      <c r="D15749" s="216" t="n">
        <v>1.074807047843933</v>
      </c>
      <c r="E15749" s="215" t="n">
        <v>45735</v>
      </c>
      <c r="F15749" s="215" t="n">
        <v>45735</v>
      </c>
    </row>
    <row r="15750">
      <c r="A15750" s="215" t="n">
        <v>45736</v>
      </c>
      <c r="B15750" s="216" t="n">
        <v>26.8</v>
      </c>
      <c r="C15750" s="216" t="n">
        <v>24.66</v>
      </c>
      <c r="D15750" s="216" t="n">
        <v>1.074540019035339</v>
      </c>
      <c r="E15750" s="215" t="n">
        <v>45736</v>
      </c>
      <c r="F15750" s="215" t="n">
        <v>45736</v>
      </c>
    </row>
    <row r="15751">
      <c r="A15751" s="215" t="n">
        <v>45737</v>
      </c>
      <c r="B15751" s="216" t="n">
        <v>28.7</v>
      </c>
      <c r="C15751" s="216" t="n">
        <v>25.9</v>
      </c>
      <c r="D15751" s="216" t="n">
        <v>1.072183012962341</v>
      </c>
      <c r="E15751" s="215" t="n">
        <v>45737</v>
      </c>
      <c r="F15751" s="215" t="n">
        <v>45737</v>
      </c>
    </row>
    <row r="15752">
      <c r="A15752" s="215" t="n">
        <v>45740</v>
      </c>
      <c r="B15752" s="216" t="n">
        <v>26.85</v>
      </c>
      <c r="C15752" s="216" t="n">
        <v>24.87</v>
      </c>
      <c r="D15752" s="216" t="n">
        <v>1.072136998176575</v>
      </c>
      <c r="E15752" s="215" t="n">
        <v>45740</v>
      </c>
      <c r="F15752" s="215" t="n">
        <v>45740</v>
      </c>
    </row>
    <row r="15753">
      <c r="A15753" s="215" t="n">
        <v>45741</v>
      </c>
      <c r="B15753" s="216" t="n">
        <v>25.3</v>
      </c>
      <c r="C15753" s="216" t="n">
        <v>24.45</v>
      </c>
      <c r="D15753" s="216" t="n">
        <v>1.071681976318359</v>
      </c>
      <c r="E15753" s="215" t="n">
        <v>45741</v>
      </c>
      <c r="F15753" s="215" t="n">
        <v>45741</v>
      </c>
    </row>
    <row r="15754">
      <c r="A15754" s="215" t="n">
        <v>45742</v>
      </c>
      <c r="B15754" s="216" t="n">
        <v>25.8</v>
      </c>
      <c r="C15754" s="216" t="n">
        <v>24.78</v>
      </c>
      <c r="D15754" s="216" t="n">
        <v>1.071272969245911</v>
      </c>
      <c r="E15754" s="215" t="n">
        <v>45742</v>
      </c>
      <c r="F15754" s="215" t="n">
        <v>45742</v>
      </c>
    </row>
    <row r="15755">
      <c r="A15755" s="215" t="n">
        <v>45743</v>
      </c>
      <c r="B15755" s="216" t="n">
        <v>24.25</v>
      </c>
      <c r="C15755" s="216" t="n">
        <v>23.88</v>
      </c>
      <c r="D15755" s="216" t="n">
        <v>1.071310043334961</v>
      </c>
      <c r="E15755" s="215" t="n">
        <v>45743</v>
      </c>
      <c r="F15755" s="215" t="n">
        <v>45743</v>
      </c>
    </row>
    <row r="15756">
      <c r="A15756" s="215" t="n">
        <v>45744</v>
      </c>
      <c r="B15756" s="216" t="n">
        <v>25.05</v>
      </c>
      <c r="C15756" s="216" t="n">
        <v>23.81</v>
      </c>
      <c r="D15756" s="216" t="n">
        <v>1.03395402431488</v>
      </c>
      <c r="E15756" s="215" t="n">
        <v>45744</v>
      </c>
      <c r="F15756" s="215" t="n">
        <v>45744</v>
      </c>
    </row>
    <row r="15757">
      <c r="A15757" s="215" t="n">
        <v>45747</v>
      </c>
      <c r="B15757" s="216" t="n">
        <v>24.25</v>
      </c>
      <c r="C15757" s="216" t="n">
        <v>22.98</v>
      </c>
      <c r="D15757" s="216" t="n">
        <v>1.070834994316101</v>
      </c>
      <c r="E15757" s="215" t="n">
        <v>45747</v>
      </c>
      <c r="F15757" s="215" t="n">
        <v>45747</v>
      </c>
    </row>
    <row r="15758">
      <c r="A15758" s="215" t="n">
        <v>45748</v>
      </c>
      <c r="B15758" s="216" t="n">
        <v>24.35</v>
      </c>
      <c r="C15758" s="216" t="n">
        <v>23.21</v>
      </c>
      <c r="D15758" s="216" t="n">
        <v>1.071635007858276</v>
      </c>
      <c r="E15758" s="215" t="n">
        <v>45748</v>
      </c>
      <c r="F15758" s="215" t="n">
        <v>45748</v>
      </c>
    </row>
    <row r="15759">
      <c r="A15759" s="215" t="n">
        <v>45749</v>
      </c>
      <c r="B15759" s="216" t="n">
        <v>24.1</v>
      </c>
      <c r="C15759" s="216" t="n">
        <v>22.74</v>
      </c>
      <c r="D15759" s="216" t="n">
        <v>1.070148944854736</v>
      </c>
      <c r="E15759" s="215" t="n">
        <v>45749</v>
      </c>
      <c r="F15759" s="215" t="n">
        <v>45749</v>
      </c>
    </row>
    <row r="15760">
      <c r="A15760" s="215" t="n">
        <v>45750</v>
      </c>
      <c r="B15760" s="216" t="n">
        <v>24.45</v>
      </c>
      <c r="C15760" s="216" t="n">
        <v>22.95</v>
      </c>
      <c r="D15760" s="216" t="n">
        <v>1.070878982543945</v>
      </c>
      <c r="E15760" s="215" t="n">
        <v>45750</v>
      </c>
      <c r="F15760" s="215" t="n">
        <v>45750</v>
      </c>
    </row>
    <row r="15761">
      <c r="A15761" s="215" t="n">
        <v>45754</v>
      </c>
      <c r="B15761" s="216" t="n">
        <v>19.78</v>
      </c>
      <c r="C15761" s="216" t="n">
        <v>19.42</v>
      </c>
      <c r="D15761" s="216" t="n">
        <v>1.067106008529663</v>
      </c>
      <c r="E15761" s="215" t="n">
        <v>45754</v>
      </c>
      <c r="F15761" s="215" t="n">
        <v>45754</v>
      </c>
    </row>
    <row r="15762">
      <c r="A15762" s="215" t="n">
        <v>45755</v>
      </c>
      <c r="B15762" s="216" t="n">
        <v>20.85</v>
      </c>
      <c r="C15762" s="216" t="n">
        <v>19.7</v>
      </c>
      <c r="D15762" s="216" t="n">
        <v>1.062885046005249</v>
      </c>
      <c r="E15762" s="215" t="n">
        <v>45755</v>
      </c>
      <c r="F15762" s="215" t="n">
        <v>45755</v>
      </c>
    </row>
    <row r="15763">
      <c r="A15763" s="215" t="n">
        <v>45756</v>
      </c>
      <c r="B15763" s="216" t="n">
        <v>21.65</v>
      </c>
      <c r="C15763" s="216" t="n">
        <v>20.02</v>
      </c>
      <c r="D15763" s="216" t="n">
        <v>1.058482050895691</v>
      </c>
      <c r="E15763" s="215" t="n">
        <v>45756</v>
      </c>
      <c r="F15763" s="215" t="n">
        <v>45756</v>
      </c>
    </row>
    <row r="15764">
      <c r="A15764" s="215" t="n">
        <v>45757</v>
      </c>
      <c r="B15764" s="216" t="n">
        <v>22.2</v>
      </c>
      <c r="C15764" s="216" t="n">
        <v>20.53</v>
      </c>
      <c r="D15764" s="216" t="n">
        <v>1.055835008621216</v>
      </c>
      <c r="E15764" s="215" t="n">
        <v>45757</v>
      </c>
      <c r="F15764" s="215" t="n">
        <v>45757</v>
      </c>
    </row>
    <row r="15765">
      <c r="A15765" s="215" t="n">
        <v>45758</v>
      </c>
      <c r="B15765" s="216" t="n">
        <v>22.25</v>
      </c>
      <c r="C15765" s="216" t="n">
        <v>20.59</v>
      </c>
      <c r="D15765" s="216" t="n">
        <v>1.060536980628967</v>
      </c>
      <c r="E15765" s="215" t="n">
        <v>45758</v>
      </c>
      <c r="F15765" s="215" t="n">
        <v>45758</v>
      </c>
    </row>
    <row r="15766">
      <c r="A15766" s="215" t="n">
        <v>45761</v>
      </c>
      <c r="B15766" s="216" t="n">
        <v>22.8</v>
      </c>
      <c r="C15766" s="216" t="n">
        <v>20.82</v>
      </c>
      <c r="D15766" s="216" t="n">
        <v>1.063439965248108</v>
      </c>
      <c r="E15766" s="215" t="n">
        <v>45761</v>
      </c>
      <c r="F15766" s="215" t="n">
        <v>45761</v>
      </c>
    </row>
    <row r="15767">
      <c r="A15767" s="215" t="n">
        <v>45762</v>
      </c>
      <c r="B15767" s="216" t="n">
        <v>22.55</v>
      </c>
      <c r="C15767" s="216" t="n">
        <v>20.65</v>
      </c>
      <c r="D15767" s="216" t="n">
        <v>1.06060004234314</v>
      </c>
      <c r="E15767" s="215" t="n">
        <v>45762</v>
      </c>
      <c r="F15767" s="215" t="n">
        <v>45762</v>
      </c>
    </row>
    <row r="15768">
      <c r="A15768" s="215" t="n">
        <v>45763</v>
      </c>
      <c r="B15768" s="216" t="n">
        <v>23</v>
      </c>
      <c r="C15768" s="216" t="n">
        <v>20.38</v>
      </c>
      <c r="D15768" s="216" t="n">
        <v>1.06060004234314</v>
      </c>
      <c r="E15768" s="215" t="n">
        <v>45763</v>
      </c>
      <c r="F15768" s="215" t="n">
        <v>45763</v>
      </c>
    </row>
    <row r="15769">
      <c r="A15769" s="215" t="n">
        <v>45764</v>
      </c>
      <c r="B15769" s="216" t="n">
        <v>22</v>
      </c>
      <c r="C15769" s="216" t="n">
        <v>20.47</v>
      </c>
      <c r="D15769" s="216" t="n">
        <v>1.06060004234314</v>
      </c>
      <c r="E15769" s="215" t="n">
        <v>45764</v>
      </c>
      <c r="F15769" s="215" t="n">
        <v>45764</v>
      </c>
    </row>
    <row r="15770">
      <c r="A15770" s="215" t="n">
        <v>45769</v>
      </c>
      <c r="B15770" s="216" t="n">
        <v>22.3</v>
      </c>
      <c r="C15770" s="216" t="n">
        <v>20.53</v>
      </c>
      <c r="D15770" s="216" t="n">
        <v>1.06060004234314</v>
      </c>
      <c r="E15770" s="215" t="n">
        <v>45769</v>
      </c>
      <c r="F15770" s="215" t="n">
        <v>45769</v>
      </c>
    </row>
    <row r="15771">
      <c r="A15771" s="215" t="n">
        <v>45770</v>
      </c>
      <c r="B15771" s="216" t="n">
        <v>23.15</v>
      </c>
      <c r="C15771" s="216" t="n">
        <v>20.74</v>
      </c>
      <c r="D15771" s="216" t="n">
        <v>1.06060004234314</v>
      </c>
      <c r="E15771" s="215" t="n">
        <v>45770</v>
      </c>
      <c r="F15771" s="215" t="n">
        <v>45770</v>
      </c>
    </row>
    <row r="15772">
      <c r="A15772" s="215" t="n">
        <v>45771</v>
      </c>
      <c r="B15772" s="216" t="n">
        <v>23.3</v>
      </c>
      <c r="C15772" s="216" t="n">
        <v>20.39</v>
      </c>
      <c r="D15772" s="216" t="n">
        <v>1.06060004234314</v>
      </c>
      <c r="E15772" s="215" t="n">
        <v>45771</v>
      </c>
      <c r="F15772" s="215" t="n">
        <v>45771</v>
      </c>
    </row>
    <row r="15773">
      <c r="A15773" s="215" t="n">
        <v>45772</v>
      </c>
      <c r="B15773" s="216" t="n">
        <v>22.85</v>
      </c>
      <c r="C15773" s="216" t="n">
        <v>20.23</v>
      </c>
      <c r="D15773" s="216" t="n">
        <v>1.061900019645691</v>
      </c>
      <c r="E15773" s="215" t="n">
        <v>45772</v>
      </c>
      <c r="F15773" s="215" t="n">
        <v>45772</v>
      </c>
    </row>
    <row r="15774">
      <c r="A15774" s="215" t="n">
        <v>45775</v>
      </c>
      <c r="B15774" s="216" t="n">
        <v>22.35</v>
      </c>
      <c r="C15774" s="216" t="n">
        <v>19.7</v>
      </c>
      <c r="D15774" s="216" t="n">
        <v>1.064350962638855</v>
      </c>
      <c r="E15774" s="215" t="n">
        <v>45775</v>
      </c>
      <c r="F15774" s="215" t="n">
        <v>45775</v>
      </c>
    </row>
    <row r="15775">
      <c r="A15775" s="215" t="n">
        <v>45776</v>
      </c>
      <c r="B15775" s="216" t="n">
        <v>22.6</v>
      </c>
      <c r="C15775" s="216" t="n">
        <v>20.07</v>
      </c>
      <c r="D15775" s="216" t="n">
        <v>1.063179969787598</v>
      </c>
      <c r="E15775" s="215" t="n">
        <v>45776</v>
      </c>
      <c r="F15775" s="215" t="n">
        <v>45776</v>
      </c>
    </row>
    <row r="15776">
      <c r="A15776" s="215" t="n">
        <v>45777</v>
      </c>
      <c r="B15776" s="216" t="n">
        <v>22.7</v>
      </c>
      <c r="C15776" s="216" t="n">
        <v>20.3</v>
      </c>
      <c r="D15776" s="216" t="n">
        <v>1.067217946052551</v>
      </c>
      <c r="E15776" s="215" t="n">
        <v>45777</v>
      </c>
      <c r="F15776" s="215" t="n">
        <v>45777</v>
      </c>
    </row>
    <row r="15777">
      <c r="A15777" s="215" t="n">
        <v>45779</v>
      </c>
      <c r="B15777" s="216" t="n">
        <v>22.4</v>
      </c>
      <c r="C15777" s="216" t="n">
        <v>20.3</v>
      </c>
      <c r="D15777" s="216" t="n">
        <v>1.066810965538025</v>
      </c>
      <c r="E15777" s="215" t="n">
        <v>45777</v>
      </c>
      <c r="F15777" s="215" t="n">
        <v>45779</v>
      </c>
    </row>
    <row r="15778">
      <c r="A15778" s="215" t="n">
        <v>45783</v>
      </c>
      <c r="B15778" s="216" t="n">
        <v>23.1</v>
      </c>
      <c r="C15778" s="216" t="n">
        <v>20.93</v>
      </c>
      <c r="D15778" s="216" t="n">
        <v>1.065811991691589</v>
      </c>
      <c r="E15778" s="215" t="n">
        <v>45783</v>
      </c>
      <c r="F15778" s="215" t="n">
        <v>45783</v>
      </c>
    </row>
    <row r="15779">
      <c r="A15779" s="215" t="n">
        <v>45784</v>
      </c>
      <c r="B15779" s="216" t="n">
        <v>23</v>
      </c>
      <c r="C15779" s="216" t="n">
        <v>21.42</v>
      </c>
      <c r="D15779" s="216" t="n">
        <v>1.073848009109497</v>
      </c>
      <c r="E15779" s="215" t="n">
        <v>45784</v>
      </c>
      <c r="F15779" s="215" t="n">
        <v>45784</v>
      </c>
    </row>
    <row r="15780">
      <c r="A15780" s="215" t="n">
        <v>45785</v>
      </c>
      <c r="B15780" s="216" t="n">
        <v>22.9</v>
      </c>
      <c r="C15780" s="216" t="n">
        <v>21.48</v>
      </c>
      <c r="D15780" s="216" t="n">
        <v>1.07387101650238</v>
      </c>
      <c r="E15780" s="215" t="n">
        <v>45785</v>
      </c>
      <c r="F15780" s="215" t="n">
        <v>45785</v>
      </c>
    </row>
    <row r="15781">
      <c r="A15781" s="215" t="n">
        <v>45786</v>
      </c>
      <c r="B15781" s="216" t="n">
        <v>22.95</v>
      </c>
      <c r="C15781" s="216" t="n">
        <v>21.17</v>
      </c>
      <c r="D15781" s="216" t="n">
        <v>1.076066970825195</v>
      </c>
      <c r="E15781" s="215" t="n">
        <v>45786</v>
      </c>
      <c r="F15781" s="215" t="n">
        <v>45786</v>
      </c>
    </row>
    <row r="15782">
      <c r="A15782" s="215" t="n">
        <v>45789</v>
      </c>
      <c r="B15782" s="216" t="n">
        <v>23.85</v>
      </c>
      <c r="C15782" s="216" t="n">
        <v>21.58</v>
      </c>
      <c r="D15782" s="216" t="n">
        <v>1.074246048927307</v>
      </c>
      <c r="E15782" s="215" t="n">
        <v>45789</v>
      </c>
      <c r="F15782" s="215" t="n">
        <v>45789</v>
      </c>
    </row>
    <row r="15783">
      <c r="A15783" s="215" t="n">
        <v>45790</v>
      </c>
      <c r="B15783" s="216" t="n">
        <v>23.55</v>
      </c>
      <c r="C15783" s="216" t="n">
        <v>21.35</v>
      </c>
      <c r="D15783" s="216" t="n">
        <v>1.081536054611206</v>
      </c>
      <c r="E15783" s="215" t="n">
        <v>45790</v>
      </c>
      <c r="F15783" s="215" t="n">
        <v>45790</v>
      </c>
    </row>
    <row r="15784">
      <c r="A15784" s="215" t="n">
        <v>45791</v>
      </c>
      <c r="B15784" s="216" t="n">
        <v>23.15</v>
      </c>
      <c r="C15784" s="216" t="n">
        <v>21.3</v>
      </c>
      <c r="D15784" s="216" t="n">
        <v>1.081884980201721</v>
      </c>
      <c r="E15784" s="215" t="n">
        <v>45791</v>
      </c>
      <c r="F15784" s="215" t="n">
        <v>45791</v>
      </c>
    </row>
    <row r="15785">
      <c r="A15785" s="215" t="n">
        <v>45792</v>
      </c>
      <c r="B15785" s="216" t="n">
        <v>22.9</v>
      </c>
      <c r="C15785" s="216" t="n">
        <v>20.98</v>
      </c>
      <c r="D15785" s="216" t="n">
        <v>1.082641005516052</v>
      </c>
      <c r="E15785" s="215" t="n">
        <v>45792</v>
      </c>
      <c r="F15785" s="215" t="n">
        <v>45792</v>
      </c>
    </row>
    <row r="15786">
      <c r="A15786" s="215" t="n">
        <v>45793</v>
      </c>
      <c r="B15786" s="216" t="n">
        <v>22.75</v>
      </c>
      <c r="C15786" s="216" t="n">
        <v>21.01</v>
      </c>
      <c r="D15786" s="216" t="n">
        <v>1.082918047904968</v>
      </c>
      <c r="E15786" s="215" t="n">
        <v>45793</v>
      </c>
      <c r="F15786" s="215" t="n">
        <v>45793</v>
      </c>
    </row>
    <row r="15787">
      <c r="A15787" s="215" t="n">
        <v>45796</v>
      </c>
      <c r="B15787" s="216" t="n">
        <v>22.95</v>
      </c>
      <c r="C15787" s="216" t="n">
        <v>21.7</v>
      </c>
      <c r="D15787" s="216" t="n">
        <v>1.083842992782593</v>
      </c>
      <c r="E15787" s="215" t="n">
        <v>45796</v>
      </c>
      <c r="F15787" s="215" t="n">
        <v>45796</v>
      </c>
    </row>
    <row r="15788">
      <c r="A15788" s="215" t="n">
        <v>45797</v>
      </c>
      <c r="B15788" s="216" t="n">
        <v>23.15</v>
      </c>
      <c r="C15788" s="216" t="n">
        <v>21.72</v>
      </c>
      <c r="D15788" s="216" t="n">
        <v>1.08473801612854</v>
      </c>
      <c r="E15788" s="215" t="n">
        <v>45797</v>
      </c>
      <c r="F15788" s="215" t="n">
        <v>45797</v>
      </c>
    </row>
    <row r="15789">
      <c r="A15789" s="215" t="n">
        <v>45798</v>
      </c>
      <c r="B15789" s="216" t="n">
        <v>23</v>
      </c>
      <c r="C15789" s="216" t="n">
        <v>21.45</v>
      </c>
      <c r="D15789" s="216" t="n">
        <v>1.084200024604797</v>
      </c>
      <c r="E15789" s="215" t="n">
        <v>45798</v>
      </c>
      <c r="F15789" s="215" t="n">
        <v>45798</v>
      </c>
    </row>
    <row r="15790">
      <c r="A15790" s="215" t="n">
        <v>45799</v>
      </c>
      <c r="B15790" s="216" t="n">
        <v>22.35</v>
      </c>
      <c r="C15790" s="216" t="n">
        <v>21.17</v>
      </c>
      <c r="D15790" s="216" t="n">
        <v>1.086825013160706</v>
      </c>
      <c r="E15790" s="215" t="n">
        <v>45799</v>
      </c>
      <c r="F15790" s="215" t="n">
        <v>45799</v>
      </c>
    </row>
    <row r="15791">
      <c r="A15791" s="215" t="n">
        <v>45800</v>
      </c>
      <c r="B15791" s="216" t="n">
        <v>22.15</v>
      </c>
      <c r="C15791" s="216" t="n">
        <v>20.87</v>
      </c>
      <c r="D15791" s="216" t="n">
        <v>1.086493015289307</v>
      </c>
      <c r="E15791" s="215" t="n">
        <v>45800</v>
      </c>
      <c r="F15791" s="215" t="n">
        <v>45800</v>
      </c>
    </row>
    <row r="15792">
      <c r="A15792" s="215" t="n">
        <v>45803</v>
      </c>
      <c r="B15792" s="216" t="n">
        <v>22.2</v>
      </c>
      <c r="C15792" s="216" t="n">
        <v>21.11</v>
      </c>
      <c r="D15792" s="216" t="n">
        <v>1.08673095703125</v>
      </c>
      <c r="E15792" s="215" t="n">
        <v>45803</v>
      </c>
      <c r="F15792" s="215" t="n">
        <v>45803</v>
      </c>
    </row>
    <row r="15793">
      <c r="A15793" s="215" t="n">
        <v>45804</v>
      </c>
      <c r="B15793" s="216" t="n">
        <v>21.9</v>
      </c>
      <c r="C15793" s="216" t="n">
        <v>21.19</v>
      </c>
      <c r="D15793" s="216" t="n">
        <v>1.087713956832886</v>
      </c>
      <c r="E15793" s="215" t="n">
        <v>45804</v>
      </c>
      <c r="F15793" s="215" t="n">
        <v>45804</v>
      </c>
    </row>
    <row r="15794">
      <c r="A15794" s="215" t="n">
        <v>45805</v>
      </c>
      <c r="B15794" s="216" t="n">
        <v>21.4</v>
      </c>
      <c r="C15794" s="216" t="n">
        <v>20.9</v>
      </c>
      <c r="D15794" s="216" t="n">
        <v>1.087921977043152</v>
      </c>
      <c r="E15794" s="215" t="n">
        <v>45805</v>
      </c>
      <c r="F15794" s="215" t="n">
        <v>45805</v>
      </c>
    </row>
    <row r="15795">
      <c r="A15795" s="215" t="n">
        <v>45806</v>
      </c>
      <c r="B15795" s="216" t="n">
        <v>21.65</v>
      </c>
      <c r="C15795" s="216" t="n">
        <v>21.16</v>
      </c>
      <c r="D15795" s="216" t="n">
        <v>1.087334990501404</v>
      </c>
      <c r="E15795" s="215" t="n">
        <v>45806</v>
      </c>
      <c r="F15795" s="215" t="n">
        <v>45806</v>
      </c>
    </row>
    <row r="15796">
      <c r="A15796" s="215" t="n">
        <v>45807</v>
      </c>
      <c r="B15796" s="216" t="n">
        <v>22.45</v>
      </c>
      <c r="C15796" s="216" t="n">
        <v>20.63</v>
      </c>
      <c r="D15796" s="216" t="n">
        <v>1.088281989097595</v>
      </c>
      <c r="E15796" s="215" t="n">
        <v>45807</v>
      </c>
      <c r="F15796" s="215" t="n">
        <v>45807</v>
      </c>
    </row>
    <row r="15797">
      <c r="A15797" s="215" t="n">
        <v>45810</v>
      </c>
      <c r="B15797" s="216" t="n">
        <v>22.95</v>
      </c>
      <c r="C15797" s="216" t="n">
        <v>20.63</v>
      </c>
      <c r="D15797" s="216" t="n">
        <v>1.088839054107666</v>
      </c>
      <c r="E15797" s="215" t="n">
        <v>45807</v>
      </c>
      <c r="F15797" s="215" t="n">
        <v>45810</v>
      </c>
    </row>
    <row r="15798">
      <c r="A15798" s="215" t="n">
        <v>45811</v>
      </c>
      <c r="B15798" s="216" t="n">
        <v>22.5</v>
      </c>
      <c r="C15798" s="216" t="n">
        <v>20.46</v>
      </c>
      <c r="D15798" s="216" t="n">
        <v>1.098875999450684</v>
      </c>
      <c r="E15798" s="215" t="n">
        <v>45811</v>
      </c>
      <c r="F15798" s="215" t="n">
        <v>45811</v>
      </c>
    </row>
    <row r="15799">
      <c r="A15799" s="215" t="n">
        <v>45812</v>
      </c>
      <c r="B15799" s="216" t="n">
        <v>22.65</v>
      </c>
      <c r="C15799" s="216" t="n">
        <v>21.2</v>
      </c>
      <c r="D15799" s="216" t="n">
        <v>1.092406988143921</v>
      </c>
      <c r="E15799" s="215" t="n">
        <v>45812</v>
      </c>
      <c r="F15799" s="215" t="n">
        <v>45812</v>
      </c>
    </row>
    <row r="15800">
      <c r="A15800" s="215" t="n">
        <v>45813</v>
      </c>
      <c r="B15800" s="216" t="n">
        <v>23.15</v>
      </c>
      <c r="C15800" s="216" t="n">
        <v>21.07</v>
      </c>
      <c r="D15800" s="216" t="n">
        <v>1.095829010009766</v>
      </c>
      <c r="E15800" s="215" t="n">
        <v>45813</v>
      </c>
      <c r="F15800" s="215" t="n">
        <v>45813</v>
      </c>
    </row>
    <row r="15801">
      <c r="A15801" s="215" t="n">
        <v>45814</v>
      </c>
      <c r="B15801" s="216" t="n">
        <v>23.75</v>
      </c>
      <c r="C15801" s="216" t="n">
        <v>21.61</v>
      </c>
      <c r="D15801" s="216" t="n">
        <v>1.093296051025391</v>
      </c>
      <c r="E15801" s="215" t="n">
        <v>45814</v>
      </c>
      <c r="F15801" s="215" t="n">
        <v>45814</v>
      </c>
    </row>
    <row r="15802">
      <c r="A15802" s="215" t="n">
        <v>45817</v>
      </c>
      <c r="B15802" s="216" t="n">
        <v>23.5</v>
      </c>
      <c r="C15802" s="216" t="n">
        <v>21.58</v>
      </c>
      <c r="D15802" s="216" t="n">
        <v>1.091297030448914</v>
      </c>
      <c r="E15802" s="215" t="n">
        <v>45817</v>
      </c>
      <c r="F15802" s="215" t="n">
        <v>45817</v>
      </c>
    </row>
    <row r="15803">
      <c r="A15803" s="215" t="n">
        <v>45818</v>
      </c>
      <c r="B15803" s="216" t="n">
        <v>23.5</v>
      </c>
      <c r="C15803" s="216" t="n">
        <v>21.38</v>
      </c>
      <c r="D15803" s="216" t="n">
        <v>1.092790007591248</v>
      </c>
      <c r="E15803" s="215" t="n">
        <v>45818</v>
      </c>
      <c r="F15803" s="215" t="n">
        <v>45818</v>
      </c>
    </row>
    <row r="15804">
      <c r="A15804" s="215" t="n">
        <v>45819</v>
      </c>
      <c r="B15804" s="216" t="n">
        <v>23.7</v>
      </c>
      <c r="C15804" s="216" t="n">
        <v>21.57</v>
      </c>
      <c r="D15804" s="216" t="n">
        <v>1.092836976051331</v>
      </c>
      <c r="E15804" s="215" t="n">
        <v>45819</v>
      </c>
      <c r="F15804" s="215" t="n">
        <v>45819</v>
      </c>
    </row>
    <row r="15805">
      <c r="A15805" s="215" t="n">
        <v>45820</v>
      </c>
      <c r="B15805" s="216" t="n">
        <v>23.3</v>
      </c>
      <c r="C15805" s="216" t="n">
        <v>21.38</v>
      </c>
      <c r="D15805" s="216" t="n">
        <v>1.090999960899353</v>
      </c>
      <c r="E15805" s="215" t="n">
        <v>45820</v>
      </c>
      <c r="F15805" s="215" t="n">
        <v>45820</v>
      </c>
    </row>
    <row r="15806">
      <c r="A15806" s="215" t="n">
        <v>45821</v>
      </c>
      <c r="B15806" s="216" t="n">
        <v>22.5</v>
      </c>
      <c r="C15806" s="216" t="n">
        <v>20.86</v>
      </c>
      <c r="D15806" s="216" t="n">
        <v>1.091084957122803</v>
      </c>
      <c r="E15806" s="215" t="n">
        <v>45821</v>
      </c>
      <c r="F15806" s="215" t="n">
        <v>45821</v>
      </c>
    </row>
    <row r="15807">
      <c r="A15807" s="215" t="n">
        <v>45824</v>
      </c>
      <c r="B15807" s="216" t="n">
        <v>22.65</v>
      </c>
      <c r="C15807" s="216" t="n">
        <v>20.91</v>
      </c>
      <c r="D15807" s="216" t="n">
        <v>1.092895984649658</v>
      </c>
      <c r="E15807" s="215" t="n">
        <v>45824</v>
      </c>
      <c r="F15807" s="215" t="n">
        <v>45824</v>
      </c>
    </row>
    <row r="15808">
      <c r="A15808" s="215" t="n">
        <v>45825</v>
      </c>
      <c r="B15808" s="216" t="n">
        <v>22.9</v>
      </c>
      <c r="C15808" s="216" t="n">
        <v>20.96</v>
      </c>
      <c r="D15808" s="216" t="n">
        <v>1.093256950378418</v>
      </c>
      <c r="E15808" s="215" t="n">
        <v>45825</v>
      </c>
      <c r="F15808" s="215" t="n">
        <v>45825</v>
      </c>
    </row>
    <row r="15809">
      <c r="A15809" s="215" t="n">
        <v>45826</v>
      </c>
      <c r="B15809" s="216" t="n">
        <v>23.5</v>
      </c>
      <c r="C15809" s="216" t="n">
        <v>21.07</v>
      </c>
      <c r="D15809" s="216" t="n">
        <v>1.092421054840088</v>
      </c>
      <c r="E15809" s="215" t="n">
        <v>45826</v>
      </c>
      <c r="F15809" s="215" t="n">
        <v>45826</v>
      </c>
    </row>
    <row r="15810">
      <c r="A15810" s="215" t="n">
        <v>45827</v>
      </c>
      <c r="B15810" s="216" t="n">
        <v>22.4</v>
      </c>
      <c r="C15810" s="216" t="n">
        <v>20.78</v>
      </c>
      <c r="D15810" s="216" t="n">
        <v>1.091722011566162</v>
      </c>
      <c r="E15810" s="215" t="n">
        <v>45827</v>
      </c>
      <c r="F15810" s="215" t="n">
        <v>45827</v>
      </c>
    </row>
    <row r="15811">
      <c r="A15811" s="215" t="n">
        <v>45828</v>
      </c>
      <c r="B15811" s="216" t="n">
        <v>22.35</v>
      </c>
      <c r="C15811" s="216" t="n">
        <v>20.62</v>
      </c>
      <c r="D15811" s="216" t="n">
        <v>1.091766953468323</v>
      </c>
      <c r="E15811" s="215" t="n">
        <v>45828</v>
      </c>
      <c r="F15811" s="215" t="n">
        <v>45828</v>
      </c>
    </row>
    <row r="15812">
      <c r="A15812" s="215" t="n">
        <v>45831</v>
      </c>
      <c r="B15812" s="216" t="n">
        <v>22.6</v>
      </c>
      <c r="C15812" s="216" t="n">
        <v>20.86</v>
      </c>
      <c r="D15812" s="216" t="n">
        <v>1.091856002807617</v>
      </c>
      <c r="E15812" s="215" t="n">
        <v>45831</v>
      </c>
      <c r="F15812" s="215" t="n">
        <v>45831</v>
      </c>
    </row>
    <row r="15813">
      <c r="A15813" s="215" t="n">
        <v>45832</v>
      </c>
      <c r="B15813" s="216" t="n">
        <v>23</v>
      </c>
      <c r="C15813" s="216" t="n">
        <v>21.49</v>
      </c>
      <c r="D15813" s="216" t="n">
        <v>1.093309044837952</v>
      </c>
      <c r="E15813" s="215" t="n">
        <v>45832</v>
      </c>
      <c r="F15813" s="215" t="n">
        <v>45832</v>
      </c>
    </row>
    <row r="15814">
      <c r="A15814" s="215" t="n">
        <v>45833</v>
      </c>
      <c r="B15814" s="216" t="n">
        <v>23.15</v>
      </c>
      <c r="C15814" s="216" t="n">
        <v>21.56</v>
      </c>
      <c r="D15814" s="216" t="n">
        <v>1.094483971595764</v>
      </c>
      <c r="E15814" s="215" t="n">
        <v>45833</v>
      </c>
      <c r="F15814" s="215" t="n">
        <v>45833</v>
      </c>
    </row>
    <row r="15815">
      <c r="A15815" s="215" t="n">
        <v>45834</v>
      </c>
      <c r="B15815" s="216" t="n">
        <v>22.65</v>
      </c>
      <c r="C15815" s="216" t="n">
        <v>21.21</v>
      </c>
      <c r="D15815" s="216" t="n">
        <v>1.093523025512695</v>
      </c>
      <c r="E15815" s="215" t="n">
        <v>45834</v>
      </c>
      <c r="F15815" s="215" t="n">
        <v>45834</v>
      </c>
    </row>
    <row r="15816">
      <c r="A15816" s="215" t="n">
        <v>45835</v>
      </c>
      <c r="B15816" s="216" t="n">
        <v>22.45</v>
      </c>
      <c r="C15816" s="216" t="n">
        <v>21.26</v>
      </c>
      <c r="D15816" s="216" t="n">
        <v>1.095173001289368</v>
      </c>
      <c r="E15816" s="215" t="n">
        <v>45835</v>
      </c>
      <c r="F15816" s="215" t="n">
        <v>45835</v>
      </c>
    </row>
    <row r="15817">
      <c r="A15817" s="215" t="n">
        <v>45838</v>
      </c>
      <c r="B15817" s="216" t="n">
        <v>22.5</v>
      </c>
      <c r="C15817" s="216" t="n">
        <v>21.35</v>
      </c>
      <c r="D15817" s="216" t="n">
        <v>1.094328045845032</v>
      </c>
      <c r="E15817" s="215" t="n">
        <v>45838</v>
      </c>
      <c r="F15817" s="215" t="n">
        <v>45838</v>
      </c>
    </row>
    <row r="15818">
      <c r="A15818" s="215" t="n">
        <v>45840</v>
      </c>
      <c r="B15818" s="216" t="n">
        <v>22.85</v>
      </c>
      <c r="C15818" s="216" t="n">
        <v>21.54</v>
      </c>
      <c r="D15818" s="216" t="n">
        <v>1.095211982727051</v>
      </c>
      <c r="E15818" s="215" t="n">
        <v>45840</v>
      </c>
      <c r="F15818" s="215" t="n">
        <v>45840</v>
      </c>
    </row>
    <row r="15819">
      <c r="A15819" s="215" t="n">
        <v>45841</v>
      </c>
      <c r="B15819" s="216" t="n">
        <v>24.45</v>
      </c>
      <c r="C15819" s="216" t="n">
        <v>22</v>
      </c>
      <c r="D15819" s="216" t="n">
        <v>1.095422029495239</v>
      </c>
      <c r="E15819" s="215" t="n">
        <v>45841</v>
      </c>
      <c r="F15819" s="215" t="n">
        <v>45841</v>
      </c>
    </row>
    <row r="15820">
      <c r="A15820" s="215" t="n">
        <v>45842</v>
      </c>
      <c r="B15820" s="216" t="n">
        <v>23.8</v>
      </c>
      <c r="C15820" s="216" t="n">
        <v>21.61</v>
      </c>
      <c r="D15820" s="216" t="n">
        <v>1.095221042633057</v>
      </c>
      <c r="E15820" s="215" t="n">
        <v>45842</v>
      </c>
      <c r="F15820" s="215" t="n">
        <v>45842</v>
      </c>
    </row>
    <row r="15821">
      <c r="A15821" s="215" t="n">
        <v>45845</v>
      </c>
      <c r="B15821" s="216" t="n">
        <v>23.35</v>
      </c>
      <c r="C15821" s="216" t="n">
        <v>21.5</v>
      </c>
      <c r="D15821" s="216" t="n">
        <v>1.095430970191956</v>
      </c>
      <c r="E15821" s="215" t="n">
        <v>45845</v>
      </c>
      <c r="F15821" s="215" t="n">
        <v>45845</v>
      </c>
    </row>
    <row r="15822">
      <c r="A15822" s="215" t="n">
        <v>45846</v>
      </c>
      <c r="B15822" s="216" t="n">
        <v>23.7</v>
      </c>
      <c r="C15822" s="216" t="n">
        <v>21.85</v>
      </c>
      <c r="D15822" s="216" t="n">
        <v>1.093924999237061</v>
      </c>
      <c r="E15822" s="215" t="n">
        <v>45846</v>
      </c>
      <c r="F15822" s="215" t="n">
        <v>45846</v>
      </c>
    </row>
    <row r="15823">
      <c r="A15823" s="215" t="n">
        <v>45847</v>
      </c>
      <c r="B15823" s="216" t="n">
        <v>24.15</v>
      </c>
      <c r="C15823" s="216" t="n">
        <v>22.59</v>
      </c>
      <c r="D15823" s="216" t="n">
        <v>1.094220995903015</v>
      </c>
      <c r="E15823" s="215" t="n">
        <v>45847</v>
      </c>
      <c r="F15823" s="215" t="n">
        <v>45847</v>
      </c>
    </row>
    <row r="15824">
      <c r="A15824" s="215" t="n">
        <v>45848</v>
      </c>
      <c r="B15824" s="216" t="n">
        <v>25.1</v>
      </c>
      <c r="C15824" s="216" t="n">
        <v>23.27</v>
      </c>
      <c r="D15824" s="216" t="n">
        <v>1.093220949172974</v>
      </c>
      <c r="E15824" s="215" t="n">
        <v>45848</v>
      </c>
      <c r="F15824" s="215" t="n">
        <v>45848</v>
      </c>
    </row>
    <row r="15825">
      <c r="A15825" s="215" t="n">
        <v>45849</v>
      </c>
      <c r="B15825" s="216" t="n">
        <v>25.3</v>
      </c>
      <c r="C15825" s="216" t="n">
        <v>22.88</v>
      </c>
      <c r="D15825" s="216" t="n">
        <v>1.093930959701538</v>
      </c>
      <c r="E15825" s="215" t="n">
        <v>45849</v>
      </c>
      <c r="F15825" s="215" t="n">
        <v>45849</v>
      </c>
    </row>
    <row r="15826">
      <c r="A15826" s="215" t="n">
        <v>45852</v>
      </c>
      <c r="B15826" s="216" t="n">
        <v>25.85</v>
      </c>
      <c r="C15826" s="216" t="n">
        <v>22.91</v>
      </c>
      <c r="D15826" s="216" t="n">
        <v>1.095023989677429</v>
      </c>
      <c r="E15826" s="215" t="n">
        <v>45852</v>
      </c>
      <c r="F15826" s="215" t="n">
        <v>45852</v>
      </c>
    </row>
    <row r="15827">
      <c r="A15827" s="215" t="n">
        <v>45853</v>
      </c>
      <c r="B15827" s="216" t="n">
        <v>24.9</v>
      </c>
      <c r="C15827" s="216" t="n">
        <v>22.46</v>
      </c>
      <c r="D15827" s="216" t="n">
        <v>1.095172047615051</v>
      </c>
      <c r="E15827" s="215" t="n">
        <v>45853</v>
      </c>
      <c r="F15827" s="215" t="n">
        <v>45853</v>
      </c>
    </row>
    <row r="15828">
      <c r="A15828" s="215" t="n">
        <v>45854</v>
      </c>
      <c r="B15828" s="216" t="n">
        <v>24.85</v>
      </c>
      <c r="C15828" s="216" t="n">
        <v>22.53</v>
      </c>
      <c r="D15828" s="216" t="n">
        <v>1.094182014465332</v>
      </c>
      <c r="E15828" s="215" t="n">
        <v>45854</v>
      </c>
      <c r="F15828" s="215" t="n">
        <v>45854</v>
      </c>
    </row>
    <row r="15829">
      <c r="A15829" s="215" t="n">
        <v>45855</v>
      </c>
      <c r="B15829" s="216" t="n">
        <v>25.1</v>
      </c>
      <c r="C15829" s="216" t="n">
        <v>22.55</v>
      </c>
      <c r="D15829" s="216" t="n">
        <v>1.093484044075012</v>
      </c>
      <c r="E15829" s="215" t="n">
        <v>45855</v>
      </c>
      <c r="F15829" s="215" t="n">
        <v>45855</v>
      </c>
    </row>
    <row r="15830">
      <c r="A15830" s="215" t="n">
        <v>45856</v>
      </c>
      <c r="B15830" s="216" t="n">
        <v>24.85</v>
      </c>
      <c r="C15830" s="216" t="n">
        <v>22.69</v>
      </c>
      <c r="D15830" s="216" t="n">
        <v>1.092442035675049</v>
      </c>
      <c r="E15830" s="215" t="n">
        <v>45856</v>
      </c>
      <c r="F15830" s="215" t="n">
        <v>45856</v>
      </c>
    </row>
    <row r="15831">
      <c r="A15831" s="215" t="n">
        <v>45859</v>
      </c>
      <c r="B15831" s="216" t="n">
        <v>25.05</v>
      </c>
      <c r="C15831" s="216" t="n">
        <v>23.18</v>
      </c>
      <c r="D15831" s="216" t="n">
        <v>1.093299984931946</v>
      </c>
      <c r="E15831" s="215" t="n">
        <v>45859</v>
      </c>
      <c r="F15831" s="215" t="n">
        <v>45859</v>
      </c>
    </row>
    <row r="15832">
      <c r="A15832" s="215" t="n">
        <v>45860</v>
      </c>
      <c r="B15832" s="216" t="n">
        <v>25.05</v>
      </c>
      <c r="C15832" s="216" t="n">
        <v>22.99</v>
      </c>
      <c r="D15832" s="216" t="n">
        <v>1.093826055526733</v>
      </c>
      <c r="E15832" s="215" t="n">
        <v>45860</v>
      </c>
      <c r="F15832" s="215" t="n">
        <v>45860</v>
      </c>
    </row>
    <row r="15833">
      <c r="A15833" s="215" t="n">
        <v>45861</v>
      </c>
      <c r="B15833" s="216" t="n">
        <v>24.7</v>
      </c>
      <c r="C15833" s="216" t="n">
        <v>22.66</v>
      </c>
      <c r="D15833" s="216" t="n">
        <v>1.094056010246277</v>
      </c>
      <c r="E15833" s="215" t="n">
        <v>45861</v>
      </c>
      <c r="F15833" s="215" t="n">
        <v>45861</v>
      </c>
    </row>
    <row r="15834">
      <c r="A15834" s="215" t="n">
        <v>45862</v>
      </c>
      <c r="B15834" s="216" t="n">
        <v>25.8</v>
      </c>
      <c r="C15834" s="216" t="n">
        <v>23.09</v>
      </c>
      <c r="D15834" s="216" t="n">
        <v>1.096284031867981</v>
      </c>
      <c r="E15834" s="215" t="n">
        <v>45862</v>
      </c>
      <c r="F15834" s="215" t="n">
        <v>45862</v>
      </c>
    </row>
    <row r="15835">
      <c r="A15835" s="215" t="n">
        <v>45863</v>
      </c>
      <c r="B15835" s="216" t="n">
        <v>26.45</v>
      </c>
      <c r="C15835" s="216" t="n">
        <v>23.39</v>
      </c>
      <c r="D15835" s="216" t="n">
        <v>1.097048044204712</v>
      </c>
      <c r="E15835" s="215" t="n">
        <v>45863</v>
      </c>
      <c r="F15835" s="215" t="n">
        <v>45863</v>
      </c>
    </row>
    <row r="15836">
      <c r="A15836" s="215" t="n">
        <v>45866</v>
      </c>
      <c r="B15836" s="216" t="n">
        <v>26.5</v>
      </c>
      <c r="C15836" s="216" t="n">
        <v>23.5</v>
      </c>
      <c r="D15836" s="216" t="n">
        <v>1.097200989723206</v>
      </c>
      <c r="E15836" s="215" t="n">
        <v>45866</v>
      </c>
      <c r="F15836" s="215" t="n">
        <v>45866</v>
      </c>
    </row>
    <row r="15837">
      <c r="A15837" s="215" t="n">
        <v>45867</v>
      </c>
      <c r="B15837" s="216" t="n">
        <v>26</v>
      </c>
      <c r="C15837" s="216" t="n">
        <v>23.47</v>
      </c>
      <c r="D15837" s="216" t="n">
        <v>1.093530058860779</v>
      </c>
      <c r="E15837" s="215" t="n">
        <v>45867</v>
      </c>
      <c r="F15837" s="215" t="n">
        <v>45867</v>
      </c>
    </row>
    <row r="15838">
      <c r="A15838" s="215" t="n">
        <v>45868</v>
      </c>
      <c r="B15838" s="216" t="n">
        <v>24.85</v>
      </c>
      <c r="C15838" s="216" t="n">
        <v>22.95</v>
      </c>
      <c r="D15838" s="216" t="n">
        <v>1.093464970588684</v>
      </c>
      <c r="E15838" s="215" t="n">
        <v>45868</v>
      </c>
      <c r="F15838" s="215" t="n">
        <v>45868</v>
      </c>
    </row>
    <row r="15839">
      <c r="A15839" s="215" t="n">
        <v>45869</v>
      </c>
      <c r="B15839" s="216" t="n">
        <v>24.95</v>
      </c>
      <c r="C15839" s="216" t="n">
        <v>22.73</v>
      </c>
      <c r="D15839" s="216" t="n">
        <v>1.093583941459656</v>
      </c>
      <c r="E15839" s="215" t="n">
        <v>45869</v>
      </c>
      <c r="F15839" s="215" t="n">
        <v>45869</v>
      </c>
    </row>
    <row r="15840">
      <c r="A15840" s="215" t="n">
        <v>45870</v>
      </c>
      <c r="B15840" s="216" t="n">
        <v>24.65</v>
      </c>
      <c r="C15840" s="216" t="n">
        <v>22.93</v>
      </c>
      <c r="D15840" s="216" t="n">
        <v>1.090090990066528</v>
      </c>
      <c r="E15840" s="215" t="n">
        <v>45870</v>
      </c>
      <c r="F15840" s="215" t="n">
        <v>45870</v>
      </c>
    </row>
    <row r="15841">
      <c r="A15841" s="215" t="n">
        <v>45873</v>
      </c>
      <c r="B15841" s="216" t="n">
        <v>24.8</v>
      </c>
      <c r="C15841" s="216" t="n">
        <v>23.15</v>
      </c>
      <c r="D15841" s="216" t="n">
        <v>1.088384985923767</v>
      </c>
      <c r="E15841" s="215" t="n">
        <v>45873</v>
      </c>
      <c r="F15841" s="215" t="n">
        <v>45873</v>
      </c>
    </row>
    <row r="15842">
      <c r="A15842" s="215" t="n">
        <v>45874</v>
      </c>
      <c r="B15842" s="216" t="n">
        <v>25.26</v>
      </c>
      <c r="C15842" s="216" t="n">
        <v>23.25</v>
      </c>
      <c r="D15842" s="216" t="n">
        <v>1.093202948570251</v>
      </c>
      <c r="E15842" s="215" t="n">
        <v>45874</v>
      </c>
      <c r="F15842" s="215" t="n">
        <v>45874</v>
      </c>
    </row>
    <row r="15843">
      <c r="A15843" s="215" t="n">
        <v>45875</v>
      </c>
      <c r="B15843" s="216" t="n">
        <v>25.82</v>
      </c>
      <c r="C15843" s="216" t="n">
        <v>23.46</v>
      </c>
      <c r="D15843" s="216" t="n">
        <v>1.092388987541199</v>
      </c>
      <c r="E15843" s="215" t="n">
        <v>45875</v>
      </c>
      <c r="F15843" s="215" t="n">
        <v>45875</v>
      </c>
    </row>
    <row r="15844">
      <c r="A15844" s="215" t="n">
        <v>45876</v>
      </c>
      <c r="B15844" s="216" t="n">
        <v>25.46</v>
      </c>
      <c r="C15844" s="216" t="n">
        <v>23.3</v>
      </c>
      <c r="D15844" s="216" t="n">
        <v>1.092599034309387</v>
      </c>
      <c r="E15844" s="215" t="n">
        <v>45876</v>
      </c>
      <c r="F15844" s="215" t="n">
        <v>45876</v>
      </c>
    </row>
    <row r="15845">
      <c r="A15845" s="215" t="n">
        <v>45877</v>
      </c>
      <c r="B15845" s="216" t="n">
        <v>25.14</v>
      </c>
      <c r="C15845" s="216" t="n">
        <v>23.1</v>
      </c>
      <c r="D15845" s="216" t="n">
        <v>1.092857956886292</v>
      </c>
      <c r="E15845" s="215" t="n">
        <v>45877</v>
      </c>
      <c r="F15845" s="215" t="n">
        <v>45877</v>
      </c>
    </row>
    <row r="15846">
      <c r="A15846" s="215" t="n">
        <v>45880</v>
      </c>
      <c r="B15846" s="216" t="n">
        <v>25.8</v>
      </c>
      <c r="C15846" s="216" t="n">
        <v>23.64</v>
      </c>
      <c r="D15846" s="216" t="n">
        <v>1.093001961708069</v>
      </c>
      <c r="E15846" s="215" t="n">
        <v>45880</v>
      </c>
      <c r="F15846" s="215" t="n">
        <v>45880</v>
      </c>
    </row>
    <row r="15847">
      <c r="A15847" s="215" t="n">
        <v>45881</v>
      </c>
      <c r="B15847" s="216" t="n">
        <v>25.72</v>
      </c>
      <c r="C15847" s="216" t="n">
        <v>23.4</v>
      </c>
      <c r="D15847" s="216" t="n">
        <v>1.091938018798828</v>
      </c>
      <c r="E15847" s="215" t="n">
        <v>45881</v>
      </c>
      <c r="F15847" s="215" t="n">
        <v>45881</v>
      </c>
    </row>
    <row r="15848">
      <c r="A15848" s="215" t="n">
        <v>45882</v>
      </c>
      <c r="B15848" s="216" t="n">
        <v>26.06</v>
      </c>
      <c r="C15848" s="216" t="n">
        <v>23.88</v>
      </c>
      <c r="D15848" s="216" t="n">
        <v>1.093171000480652</v>
      </c>
      <c r="E15848" s="215" t="n">
        <v>45882</v>
      </c>
      <c r="F15848" s="215" t="n">
        <v>45882</v>
      </c>
    </row>
    <row r="15849">
      <c r="A15849" s="215" t="n">
        <v>45883</v>
      </c>
      <c r="B15849" s="216" t="n">
        <v>25.02</v>
      </c>
      <c r="C15849" s="216" t="n">
        <v>22.92</v>
      </c>
      <c r="D15849" s="216" t="n">
        <v>1.093981027603149</v>
      </c>
      <c r="E15849" s="215" t="n">
        <v>45883</v>
      </c>
      <c r="F15849" s="215" t="n">
        <v>45883</v>
      </c>
    </row>
    <row r="15850">
      <c r="A15850" s="215" t="n">
        <v>45884</v>
      </c>
      <c r="B15850" s="216" t="n">
        <v>25.64</v>
      </c>
      <c r="C15850" s="216" t="n">
        <v>23.83</v>
      </c>
      <c r="D15850" s="216" t="n">
        <v>1.091035962104797</v>
      </c>
      <c r="E15850" s="215" t="n">
        <v>45884</v>
      </c>
      <c r="F15850" s="215" t="n">
        <v>45884</v>
      </c>
    </row>
    <row r="15851">
      <c r="A15851" s="215" t="n">
        <v>45887</v>
      </c>
      <c r="B15851" s="216" t="n">
        <v>26.12</v>
      </c>
      <c r="C15851" s="216" t="n">
        <v>24.43</v>
      </c>
      <c r="D15851" s="216" t="n">
        <v>1.089409947395325</v>
      </c>
      <c r="E15851" s="215" t="n">
        <v>45887</v>
      </c>
      <c r="F15851" s="215" t="n">
        <v>45887</v>
      </c>
    </row>
    <row r="15852">
      <c r="A15852" s="215" t="n">
        <v>45888</v>
      </c>
      <c r="B15852" s="216" t="n">
        <v>26.5</v>
      </c>
      <c r="C15852" s="216" t="n">
        <v>25.11</v>
      </c>
      <c r="D15852" s="216" t="n">
        <v>1.088366031646729</v>
      </c>
      <c r="E15852" s="215" t="n">
        <v>45888</v>
      </c>
      <c r="F15852" s="215" t="n">
        <v>45888</v>
      </c>
    </row>
    <row r="15853">
      <c r="A15853" s="215" t="n">
        <v>45889</v>
      </c>
      <c r="B15853" s="216" t="n">
        <v>26.1</v>
      </c>
      <c r="C15853" s="216" t="n">
        <v>24.67</v>
      </c>
      <c r="D15853" s="216" t="n">
        <v>1.085826992988586</v>
      </c>
      <c r="E15853" s="215" t="n">
        <v>45889</v>
      </c>
      <c r="F15853" s="215" t="n">
        <v>45889</v>
      </c>
    </row>
    <row r="15854">
      <c r="A15854" s="215" t="n">
        <v>45890</v>
      </c>
      <c r="B15854" s="216" t="n">
        <v>26.06</v>
      </c>
      <c r="C15854" s="216" t="n">
        <v>24.28</v>
      </c>
      <c r="D15854" s="216" t="n">
        <v>1.088521003723145</v>
      </c>
      <c r="E15854" s="215" t="n">
        <v>45890</v>
      </c>
      <c r="F15854" s="215" t="n">
        <v>45890</v>
      </c>
    </row>
    <row r="15855">
      <c r="A15855" s="215" t="n">
        <v>45891</v>
      </c>
      <c r="B15855" s="216" t="n">
        <v>25.96</v>
      </c>
      <c r="C15855" s="216" t="n">
        <v>24.45</v>
      </c>
      <c r="D15855" s="216" t="n">
        <v>1.08814001083374</v>
      </c>
      <c r="E15855" s="215" t="n">
        <v>45891</v>
      </c>
      <c r="F15855" s="215" t="n">
        <v>45891</v>
      </c>
    </row>
    <row r="15856">
      <c r="A15856" s="215" t="n">
        <v>45894</v>
      </c>
      <c r="B15856" s="216" t="n">
        <v>26.26</v>
      </c>
      <c r="C15856" s="216" t="n">
        <v>24.45</v>
      </c>
      <c r="D15856" s="216" t="n">
        <v>1.090230941772461</v>
      </c>
      <c r="E15856" s="215" t="n">
        <v>45894</v>
      </c>
      <c r="F15856" s="215" t="n">
        <v>45894</v>
      </c>
    </row>
    <row r="15857">
      <c r="A15857" s="215" t="n">
        <v>45895</v>
      </c>
      <c r="B15857" s="216" t="n">
        <v>26.04</v>
      </c>
      <c r="C15857" s="216" t="n">
        <v>24.54</v>
      </c>
      <c r="D15857" s="216" t="n">
        <v>1.09236204624176</v>
      </c>
      <c r="E15857" s="215" t="n">
        <v>45895</v>
      </c>
      <c r="F15857" s="215" t="n">
        <v>45895</v>
      </c>
    </row>
    <row r="15858">
      <c r="A15858" s="215" t="n">
        <v>45896</v>
      </c>
      <c r="B15858" s="216" t="n">
        <v>25.44</v>
      </c>
      <c r="C15858" s="216" t="n">
        <v>23.73</v>
      </c>
      <c r="D15858" s="216" t="n">
        <v>1.089414000511169</v>
      </c>
      <c r="E15858" s="215" t="n">
        <v>45896</v>
      </c>
      <c r="F15858" s="215" t="n">
        <v>45896</v>
      </c>
    </row>
    <row r="15859">
      <c r="A15859" s="215" t="n">
        <v>45897</v>
      </c>
      <c r="B15859" s="216" t="n">
        <v>24.8</v>
      </c>
      <c r="C15859" s="216" t="n">
        <v>23.7</v>
      </c>
      <c r="D15859" s="216" t="n">
        <v>1.088047027587891</v>
      </c>
      <c r="E15859" s="215" t="n">
        <v>45897</v>
      </c>
      <c r="F15859" s="215" t="n">
        <v>45897</v>
      </c>
    </row>
    <row r="15860">
      <c r="A15860" s="215" t="n">
        <v>45898</v>
      </c>
      <c r="B15860" s="216" t="n">
        <v>24.96</v>
      </c>
      <c r="C15860" s="216" t="n">
        <v>23.84</v>
      </c>
      <c r="D15860" s="216" t="n">
        <v>1.089478969573975</v>
      </c>
      <c r="E15860" s="215" t="n">
        <v>45898</v>
      </c>
      <c r="F15860" s="215" t="n">
        <v>45898</v>
      </c>
    </row>
    <row r="15861">
      <c r="A15861" s="215" t="n">
        <v>45901</v>
      </c>
      <c r="B15861" s="216" t="n">
        <v>25.66</v>
      </c>
      <c r="C15861" s="216" t="n">
        <v>24.99</v>
      </c>
      <c r="D15861" s="216" t="n">
        <v>1.09319794178009</v>
      </c>
      <c r="E15861" s="215" t="n">
        <v>45901</v>
      </c>
      <c r="F15861" s="215" t="n">
        <v>45901</v>
      </c>
    </row>
    <row r="15862">
      <c r="A15862" s="215" t="n">
        <v>45902</v>
      </c>
      <c r="B15862" s="216" t="n">
        <v>24.8</v>
      </c>
      <c r="C15862" s="216" t="n">
        <v>24.52</v>
      </c>
      <c r="D15862" s="216" t="n">
        <v>1.093255043029785</v>
      </c>
      <c r="E15862" s="215" t="n">
        <v>45902</v>
      </c>
      <c r="F15862" s="215" t="n">
        <v>45902</v>
      </c>
    </row>
    <row r="15863">
      <c r="A15863" s="215" t="n">
        <v>45903</v>
      </c>
      <c r="B15863" s="216" t="n">
        <v>24.48</v>
      </c>
      <c r="C15863" s="216" t="n">
        <v>23.95</v>
      </c>
      <c r="D15863" s="216" t="n">
        <v>1.09343695640564</v>
      </c>
      <c r="E15863" s="215" t="n">
        <v>45903</v>
      </c>
      <c r="F15863" s="215" t="n">
        <v>45903</v>
      </c>
    </row>
    <row r="15864">
      <c r="A15864" s="215" t="n">
        <v>45904</v>
      </c>
      <c r="B15864" s="216" t="n">
        <v>23.76</v>
      </c>
      <c r="C15864" s="216" t="n">
        <v>23.35</v>
      </c>
      <c r="D15864" s="216" t="n">
        <v>1.092192053794861</v>
      </c>
      <c r="E15864" s="215" t="n">
        <v>45904</v>
      </c>
      <c r="F15864" s="215" t="n">
        <v>45904</v>
      </c>
    </row>
    <row r="15865">
      <c r="A15865" s="215" t="n">
        <v>45905</v>
      </c>
      <c r="B15865" s="216" t="n">
        <v>24.8</v>
      </c>
      <c r="C15865" s="216" t="n">
        <v>24.81</v>
      </c>
      <c r="D15865" s="216" t="n">
        <v>1.092169046401978</v>
      </c>
      <c r="E15865" s="215" t="n">
        <v>45905</v>
      </c>
      <c r="F15865" s="215" t="n">
        <v>45905</v>
      </c>
    </row>
    <row r="15866">
      <c r="A15866" s="215" t="n">
        <v>45908</v>
      </c>
      <c r="B15866" s="216" t="n">
        <v>24.14</v>
      </c>
      <c r="C15866" s="216" t="n">
        <v>24.85</v>
      </c>
      <c r="D15866" s="216" t="n">
        <v>1.093217015266418</v>
      </c>
      <c r="E15866" s="215" t="n">
        <v>45908</v>
      </c>
      <c r="F15866" s="215" t="n">
        <v>45908</v>
      </c>
    </row>
    <row r="15867">
      <c r="A15867" s="215" t="n">
        <v>45909</v>
      </c>
      <c r="B15867" s="216" t="n">
        <v>23.78</v>
      </c>
      <c r="C15867" s="216" t="n">
        <v>24.55</v>
      </c>
      <c r="D15867" s="216" t="n">
        <v>1.092916965484619</v>
      </c>
      <c r="E15867" s="215" t="n">
        <v>45909</v>
      </c>
      <c r="F15867" s="215" t="n">
        <v>45909</v>
      </c>
    </row>
    <row r="15868">
      <c r="A15868" s="215" t="n">
        <v>45910</v>
      </c>
      <c r="B15868" s="216" t="n">
        <v>23.5</v>
      </c>
      <c r="C15868" s="216" t="n">
        <v>23.63</v>
      </c>
      <c r="D15868" s="216" t="n">
        <v>1.093482971191406</v>
      </c>
      <c r="E15868" s="215" t="n">
        <v>45910</v>
      </c>
      <c r="F15868" s="215" t="n">
        <v>45910</v>
      </c>
    </row>
    <row r="15869">
      <c r="A15869" s="215" t="n">
        <v>45911</v>
      </c>
      <c r="B15869" s="216" t="n">
        <v>23.92</v>
      </c>
      <c r="C15869" s="216" t="n">
        <v>24.88</v>
      </c>
      <c r="D15869" s="216" t="n">
        <v>1.093762993812561</v>
      </c>
      <c r="E15869" s="215" t="n">
        <v>45911</v>
      </c>
      <c r="F15869" s="215" t="n">
        <v>45911</v>
      </c>
    </row>
    <row r="15870">
      <c r="A15870" s="215" t="n">
        <v>45912</v>
      </c>
      <c r="B15870" s="216" t="n">
        <v>23.48</v>
      </c>
      <c r="C15870" s="216" t="n">
        <v>24.79</v>
      </c>
      <c r="D15870" s="216" t="n">
        <v>1.094014048576355</v>
      </c>
      <c r="E15870" s="215" t="n">
        <v>45912</v>
      </c>
      <c r="F15870" s="215" t="n">
        <v>45912</v>
      </c>
    </row>
    <row r="15871">
      <c r="A15871" s="215" t="n">
        <v>45915</v>
      </c>
      <c r="B15871" s="216" t="n">
        <v>23.46</v>
      </c>
      <c r="C15871" s="216" t="n">
        <v>24.38</v>
      </c>
      <c r="D15871" s="216" t="n">
        <v>1.091848969459534</v>
      </c>
      <c r="E15871" s="215" t="n">
        <v>45915</v>
      </c>
      <c r="F15871" s="215" t="n">
        <v>45915</v>
      </c>
    </row>
    <row r="15872">
      <c r="A15872" s="215" t="n">
        <v>45916</v>
      </c>
      <c r="B15872" s="216" t="n">
        <v>23.5</v>
      </c>
      <c r="C15872" s="216" t="n">
        <v>24.6</v>
      </c>
      <c r="D15872" s="216" t="n">
        <v>1.092795968055725</v>
      </c>
      <c r="E15872" s="215" t="n">
        <v>45916</v>
      </c>
      <c r="F15872" s="215" t="n">
        <v>45916</v>
      </c>
    </row>
    <row r="15873">
      <c r="A15873" s="215" t="n">
        <v>45917</v>
      </c>
      <c r="B15873" s="216" t="n">
        <v>23.82</v>
      </c>
      <c r="C15873" s="216" t="n">
        <v>24.36</v>
      </c>
      <c r="D15873" s="216" t="n">
        <v>1.093690991401672</v>
      </c>
      <c r="E15873" s="215" t="n">
        <v>45917</v>
      </c>
      <c r="F15873" s="215" t="n">
        <v>45917</v>
      </c>
    </row>
    <row r="15874">
      <c r="A15874" s="215" t="n">
        <v>45918</v>
      </c>
      <c r="B15874" s="216" t="n">
        <v>29.36</v>
      </c>
      <c r="C15874" s="216" t="n">
        <v>27.62</v>
      </c>
      <c r="D15874" s="216" t="n">
        <v>1.094727993011475</v>
      </c>
      <c r="E15874" s="215" t="n">
        <v>45918</v>
      </c>
      <c r="F15874" s="215" t="n">
        <v>45918</v>
      </c>
    </row>
    <row r="15875">
      <c r="A15875" s="215" t="n">
        <v>45919</v>
      </c>
      <c r="B15875" s="216" t="n">
        <v>25.78</v>
      </c>
      <c r="C15875" s="216" t="n">
        <v>25.95</v>
      </c>
      <c r="D15875" s="216" t="n">
        <v>1.093201994895935</v>
      </c>
      <c r="E15875" s="215" t="n">
        <v>45919</v>
      </c>
      <c r="F15875" s="215" t="n">
        <v>45919</v>
      </c>
    </row>
    <row r="15876">
      <c r="A15876" s="215" t="n">
        <v>45922</v>
      </c>
      <c r="B15876" s="216" t="n">
        <v>30.42</v>
      </c>
      <c r="C15876" s="216" t="n">
        <v>28.91</v>
      </c>
      <c r="D15876" s="216" t="n">
        <v>1.092589020729065</v>
      </c>
      <c r="E15876" s="215" t="n">
        <v>45922</v>
      </c>
      <c r="F15876" s="215" t="n">
        <v>45922</v>
      </c>
    </row>
    <row r="15877">
      <c r="A15877" s="215" t="n">
        <v>45923</v>
      </c>
      <c r="B15877" s="216" t="n">
        <v>30.74</v>
      </c>
      <c r="C15877" s="216" t="n">
        <v>28.45</v>
      </c>
      <c r="D15877" s="216" t="n">
        <v>1.0920250415802</v>
      </c>
      <c r="E15877" s="215" t="n">
        <v>45923</v>
      </c>
      <c r="F15877" s="215" t="n">
        <v>45923</v>
      </c>
    </row>
    <row r="15878">
      <c r="A15878" s="215" t="n">
        <v>45924</v>
      </c>
      <c r="B15878" s="216" t="n">
        <v>29.58</v>
      </c>
      <c r="C15878" s="216" t="n">
        <v>27.7</v>
      </c>
      <c r="D15878" s="216" t="n">
        <v>1.093196988105774</v>
      </c>
      <c r="E15878" s="215" t="n">
        <v>45924</v>
      </c>
      <c r="F15878" s="215" t="n">
        <v>45924</v>
      </c>
    </row>
    <row r="15879">
      <c r="A15879" s="215" t="n">
        <v>45925</v>
      </c>
      <c r="B15879" s="216" t="n">
        <v>27.7</v>
      </c>
      <c r="C15879" s="216" t="n">
        <v>27</v>
      </c>
      <c r="D15879" s="216" t="n">
        <v>1.090371012687683</v>
      </c>
      <c r="E15879" s="215" t="n">
        <v>45925</v>
      </c>
      <c r="F15879" s="215" t="n">
        <v>45925</v>
      </c>
    </row>
    <row r="15880">
      <c r="A15880" s="215" t="n">
        <v>45926</v>
      </c>
      <c r="B15880" s="216" t="n">
        <v>27.54</v>
      </c>
      <c r="C15880" s="216" t="n">
        <v>27.5</v>
      </c>
      <c r="D15880" s="216" t="n">
        <v>1.090574979782104</v>
      </c>
      <c r="E15880" s="215" t="n">
        <v>45926</v>
      </c>
      <c r="F15880" s="215" t="n">
        <v>45926</v>
      </c>
    </row>
    <row r="15881">
      <c r="A15881" s="215" t="n">
        <v>45929</v>
      </c>
      <c r="B15881" s="216" t="n">
        <v>29.88</v>
      </c>
      <c r="C15881" s="216" t="n">
        <v>30.05</v>
      </c>
      <c r="D15881" s="216" t="n">
        <v>1.090520024299622</v>
      </c>
      <c r="E15881" s="215" t="n">
        <v>45929</v>
      </c>
      <c r="F15881" s="215" t="n">
        <v>45929</v>
      </c>
    </row>
    <row r="15882">
      <c r="A15882" s="215" t="n">
        <v>45930</v>
      </c>
      <c r="B15882" s="216" t="n">
        <v>30.82</v>
      </c>
      <c r="C15882" s="216" t="n">
        <v>30.48</v>
      </c>
      <c r="D15882" s="216" t="n">
        <v>1.093106031417847</v>
      </c>
      <c r="E15882" s="215" t="n">
        <v>45930</v>
      </c>
      <c r="F15882" s="215" t="n">
        <v>45930</v>
      </c>
    </row>
    <row r="15883">
      <c r="A15883" s="215" t="n">
        <v>45932</v>
      </c>
      <c r="B15883" s="216" t="n">
        <v>29.7</v>
      </c>
      <c r="C15883" s="216" t="n">
        <v>30.48</v>
      </c>
      <c r="D15883" s="216" t="n">
        <v>1.092823028564453</v>
      </c>
      <c r="E15883" s="215" t="n">
        <v>45930</v>
      </c>
      <c r="F15883" s="215" t="n">
        <v>45932</v>
      </c>
    </row>
    <row r="15884">
      <c r="A15884" s="215" t="n">
        <v>45933</v>
      </c>
      <c r="B15884" s="216" t="n">
        <v>33.4</v>
      </c>
      <c r="C15884" s="216" t="n">
        <v>30.48</v>
      </c>
      <c r="D15884" s="216" t="n">
        <v>1.09303605556488</v>
      </c>
      <c r="E15884" s="215" t="n">
        <v>45930</v>
      </c>
      <c r="F15884" s="215" t="n">
        <v>45933</v>
      </c>
    </row>
    <row r="15885">
      <c r="A15885" s="215" t="n">
        <v>45936</v>
      </c>
      <c r="B15885" s="216" t="n">
        <v>32</v>
      </c>
      <c r="C15885" s="216" t="n">
        <v>30.48</v>
      </c>
      <c r="D15885" s="216" t="n">
        <v>1.092857956886292</v>
      </c>
      <c r="E15885" s="215" t="n">
        <v>45930</v>
      </c>
      <c r="F15885" s="215" t="n">
        <v>45936</v>
      </c>
    </row>
    <row r="15886">
      <c r="A15886" s="215" t="n">
        <v>45938</v>
      </c>
      <c r="B15886" s="216" t="n">
        <v>32.2</v>
      </c>
      <c r="C15886" s="216" t="n">
        <v>30.48</v>
      </c>
      <c r="D15886" s="216" t="n">
        <v>1.093148946762085</v>
      </c>
      <c r="E15886" s="215" t="n">
        <v>45930</v>
      </c>
      <c r="F15886" s="215" t="n">
        <v>45938</v>
      </c>
    </row>
    <row r="15887">
      <c r="A15887" s="215" t="n">
        <v>45939</v>
      </c>
      <c r="B15887" s="216" t="n">
        <v>31.54</v>
      </c>
      <c r="C15887" s="216" t="n">
        <v>32.41</v>
      </c>
      <c r="D15887" s="216" t="n">
        <v>1.092933058738708</v>
      </c>
      <c r="E15887" s="215" t="n">
        <v>45939</v>
      </c>
      <c r="F15887" s="215" t="n">
        <v>45939</v>
      </c>
    </row>
    <row r="15888">
      <c r="A15888" s="215" t="n">
        <v>45940</v>
      </c>
      <c r="B15888" s="216" t="n">
        <v>29.96</v>
      </c>
      <c r="C15888" s="216" t="n">
        <v>30.69</v>
      </c>
      <c r="D15888" s="216" t="n">
        <v>1.091662049293518</v>
      </c>
      <c r="E15888" s="215" t="n">
        <v>45940</v>
      </c>
      <c r="F15888" s="215" t="n">
        <v>45940</v>
      </c>
    </row>
    <row r="15889">
      <c r="A15889" s="215" t="n">
        <v>45943</v>
      </c>
      <c r="B15889" s="216" t="n">
        <v>29.02</v>
      </c>
      <c r="C15889" s="216" t="n">
        <v>29.46</v>
      </c>
      <c r="D15889" s="216" t="n">
        <v>1.093768000602722</v>
      </c>
      <c r="E15889" s="215" t="n">
        <v>45943</v>
      </c>
      <c r="F15889" s="215" t="n">
        <v>45943</v>
      </c>
    </row>
    <row r="15890">
      <c r="A15890" s="215" t="n">
        <v>45944</v>
      </c>
      <c r="B15890" s="216" t="n">
        <v>29.18</v>
      </c>
      <c r="C15890" s="216" t="n">
        <v>29.39</v>
      </c>
      <c r="D15890" s="216" t="n">
        <v>1.093292951583862</v>
      </c>
      <c r="E15890" s="215" t="n">
        <v>45944</v>
      </c>
      <c r="F15890" s="215" t="n">
        <v>45944</v>
      </c>
    </row>
    <row r="15891">
      <c r="A15891" s="215" t="n">
        <v>45945</v>
      </c>
      <c r="B15891" s="216" t="n">
        <v>29.88</v>
      </c>
      <c r="C15891" s="216" t="n">
        <v>29.12</v>
      </c>
      <c r="D15891" s="216" t="n">
        <v>1.088750958442688</v>
      </c>
      <c r="E15891" s="215" t="n">
        <v>45945</v>
      </c>
      <c r="F15891" s="215" t="n">
        <v>45945</v>
      </c>
    </row>
    <row r="15892">
      <c r="A15892" s="215" t="n">
        <v>45946</v>
      </c>
      <c r="B15892" s="216" t="n">
        <v>28.12</v>
      </c>
      <c r="C15892" s="216" t="n">
        <v>28.24</v>
      </c>
      <c r="D15892" s="216" t="n">
        <v>1.090903043746948</v>
      </c>
      <c r="E15892" s="215" t="n">
        <v>45946</v>
      </c>
      <c r="F15892" s="215" t="n">
        <v>45946</v>
      </c>
    </row>
    <row r="15893">
      <c r="A15893" s="215" t="n">
        <v>45947</v>
      </c>
      <c r="B15893" s="216" t="n">
        <v>27.24</v>
      </c>
      <c r="C15893" s="216" t="n">
        <v>26.89</v>
      </c>
      <c r="D15893" s="216" t="n">
        <v>1.09073805809021</v>
      </c>
      <c r="E15893" s="215" t="n">
        <v>45947</v>
      </c>
      <c r="F15893" s="215" t="n">
        <v>45947</v>
      </c>
    </row>
    <row r="15894">
      <c r="A15894" s="215" t="n">
        <v>45950</v>
      </c>
      <c r="B15894" s="216" t="n">
        <v>27.84</v>
      </c>
      <c r="C15894" s="216" t="n">
        <v>27.16</v>
      </c>
      <c r="D15894" s="216" t="n">
        <v>1.089843988418579</v>
      </c>
      <c r="E15894" s="215" t="n">
        <v>45950</v>
      </c>
      <c r="F15894" s="215" t="n">
        <v>45950</v>
      </c>
    </row>
    <row r="15895">
      <c r="A15895" s="215" t="n">
        <v>45951</v>
      </c>
      <c r="B15895" s="216" t="n">
        <v>28.24</v>
      </c>
      <c r="C15895" s="216" t="n">
        <v>27.17</v>
      </c>
      <c r="D15895" s="216" t="n">
        <v>1.091038942337036</v>
      </c>
      <c r="E15895" s="215" t="n">
        <v>45951</v>
      </c>
      <c r="F15895" s="215" t="n">
        <v>45951</v>
      </c>
    </row>
    <row r="15896">
      <c r="A15896" s="215" t="n">
        <v>45952</v>
      </c>
      <c r="B15896" s="216" t="n">
        <v>27.44</v>
      </c>
      <c r="C15896" s="216" t="n">
        <v>26.95</v>
      </c>
      <c r="D15896" s="216" t="n">
        <v>1.091071009635925</v>
      </c>
      <c r="E15896" s="215" t="n">
        <v>45952</v>
      </c>
      <c r="F15896" s="215" t="n">
        <v>45952</v>
      </c>
    </row>
    <row r="15897">
      <c r="A15897" s="215" t="n">
        <v>45953</v>
      </c>
      <c r="B15897" s="216" t="n">
        <v>27.86</v>
      </c>
      <c r="C15897" s="216" t="n">
        <v>27.7</v>
      </c>
      <c r="D15897" s="216" t="n">
        <v>1.090343952178955</v>
      </c>
      <c r="E15897" s="215" t="n">
        <v>45953</v>
      </c>
      <c r="F15897" s="215" t="n">
        <v>45953</v>
      </c>
    </row>
    <row r="15898">
      <c r="A15898" s="215" t="n">
        <v>45954</v>
      </c>
      <c r="B15898" s="216" t="n">
        <v>28.6</v>
      </c>
      <c r="C15898" s="216" t="n">
        <v>28.76</v>
      </c>
      <c r="D15898" s="216" t="n">
        <v>1.090456962585449</v>
      </c>
      <c r="E15898" s="215" t="n">
        <v>45954</v>
      </c>
      <c r="F15898" s="215" t="n">
        <v>45954</v>
      </c>
    </row>
    <row r="15899">
      <c r="A15899" s="215" t="n">
        <v>45957</v>
      </c>
      <c r="B15899" s="216" t="n">
        <v>29.64</v>
      </c>
      <c r="C15899" s="216" t="n">
        <v>28.96</v>
      </c>
      <c r="D15899" s="216" t="n">
        <v>1.090957045555115</v>
      </c>
      <c r="E15899" s="215" t="n">
        <v>45957</v>
      </c>
      <c r="F15899" s="215" t="n">
        <v>45957</v>
      </c>
    </row>
    <row r="15900">
      <c r="A15900" s="215" t="n">
        <v>45958</v>
      </c>
      <c r="B15900" s="216" t="n">
        <v>30.04</v>
      </c>
      <c r="C15900" s="216" t="n">
        <v>29.78</v>
      </c>
      <c r="D15900" s="216" t="n">
        <v>1.092440009117126</v>
      </c>
      <c r="E15900" s="215" t="n">
        <v>45958</v>
      </c>
      <c r="F15900" s="215" t="n">
        <v>45958</v>
      </c>
    </row>
    <row r="15901">
      <c r="A15901" s="215" t="n">
        <v>45960</v>
      </c>
      <c r="B15901" s="216" t="n">
        <v>30.9</v>
      </c>
      <c r="C15901" s="216" t="n">
        <v>30.95</v>
      </c>
      <c r="D15901" s="216" t="n">
        <v>1.09463894367218</v>
      </c>
      <c r="E15901" s="215" t="n">
        <v>45960</v>
      </c>
      <c r="F15901" s="215" t="n">
        <v>45960</v>
      </c>
    </row>
    <row r="15902">
      <c r="A15902" s="215" t="n">
        <v>45961</v>
      </c>
      <c r="B15902" s="216" t="n">
        <v>29.5</v>
      </c>
      <c r="C15902" s="216" t="n">
        <v>29.95</v>
      </c>
      <c r="D15902" s="216" t="n">
        <v>1.092543959617615</v>
      </c>
      <c r="E15902" s="215" t="n">
        <v>45961</v>
      </c>
      <c r="F15902" s="215" t="n">
        <v>45961</v>
      </c>
    </row>
    <row r="15903">
      <c r="A15903" s="215" t="n">
        <v>45964</v>
      </c>
      <c r="B15903" s="216" t="n">
        <v>29.4</v>
      </c>
      <c r="C15903" s="216" t="n">
        <v>30.06</v>
      </c>
      <c r="D15903" s="216" t="n">
        <v>1.091722965240479</v>
      </c>
      <c r="E15903" s="215" t="n">
        <v>45964</v>
      </c>
      <c r="F15903" s="215" t="n">
        <v>45964</v>
      </c>
    </row>
    <row r="15904">
      <c r="A15904" s="215" t="n">
        <v>45965</v>
      </c>
      <c r="B15904" s="216" t="n">
        <v>32.36</v>
      </c>
      <c r="C15904" s="216" t="n">
        <v>30.99</v>
      </c>
      <c r="D15904" s="216" t="n">
        <v>1.083533048629761</v>
      </c>
      <c r="E15904" s="215" t="n">
        <v>45965</v>
      </c>
      <c r="F15904" s="215" t="n">
        <v>45965</v>
      </c>
    </row>
    <row r="15905">
      <c r="A15905" s="215" t="n">
        <v>45966</v>
      </c>
      <c r="B15905" s="216" t="n">
        <v>34.94</v>
      </c>
      <c r="C15905" s="216" t="n">
        <v>31.64</v>
      </c>
      <c r="D15905" s="216" t="n">
        <v>1.090273976325989</v>
      </c>
      <c r="E15905" s="215" t="n">
        <v>45966</v>
      </c>
      <c r="F15905" s="215" t="n">
        <v>45966</v>
      </c>
    </row>
    <row r="15906">
      <c r="A15906" s="215" t="n">
        <v>45967</v>
      </c>
      <c r="B15906" s="216" t="n">
        <v>33.64</v>
      </c>
      <c r="C15906" s="216" t="n">
        <v>32.45</v>
      </c>
      <c r="D15906" s="216" t="n">
        <v>1.090808033943176</v>
      </c>
      <c r="E15906" s="215" t="n">
        <v>45967</v>
      </c>
      <c r="F15906" s="215" t="n">
        <v>45967</v>
      </c>
    </row>
    <row r="15907">
      <c r="A15907" s="215" t="n">
        <v>45968</v>
      </c>
      <c r="B15907" s="216" t="n">
        <v>32.5</v>
      </c>
      <c r="C15907" s="216" t="n">
        <v>31.27</v>
      </c>
      <c r="D15907" s="216" t="n">
        <v>1.092054009437561</v>
      </c>
      <c r="E15907" s="215" t="n">
        <v>45968</v>
      </c>
      <c r="F15907" s="215" t="n">
        <v>45968</v>
      </c>
    </row>
    <row r="15908">
      <c r="A15908" s="215" t="n">
        <v>45971</v>
      </c>
      <c r="B15908" s="216" t="n">
        <v>31.96</v>
      </c>
      <c r="C15908" s="216" t="n">
        <v>30.81</v>
      </c>
      <c r="D15908" s="216" t="n">
        <v>1.092267036437988</v>
      </c>
      <c r="E15908" s="215" t="n">
        <v>45971</v>
      </c>
      <c r="F15908" s="215" t="n">
        <v>45971</v>
      </c>
    </row>
    <row r="15909">
      <c r="A15909" s="215" t="n">
        <v>45972</v>
      </c>
      <c r="B15909" s="216" t="n">
        <v>34.2</v>
      </c>
      <c r="C15909" s="216" t="n">
        <v>33.18</v>
      </c>
      <c r="D15909" s="216" t="n">
        <v>1.091644048690796</v>
      </c>
      <c r="E15909" s="215" t="n">
        <v>45972</v>
      </c>
      <c r="F15909" s="215" t="n">
        <v>45972</v>
      </c>
    </row>
    <row r="15910">
      <c r="A15910" s="215" t="n">
        <v>45973</v>
      </c>
      <c r="B15910" s="216" t="n">
        <v>32.64</v>
      </c>
      <c r="C15910" s="216" t="n">
        <v>32.17</v>
      </c>
      <c r="D15910" s="216" t="n">
        <v>1.091495990753174</v>
      </c>
      <c r="E15910" s="215" t="n">
        <v>45973</v>
      </c>
      <c r="F15910" s="215" t="n">
        <v>45973</v>
      </c>
    </row>
    <row r="15911">
      <c r="A15911" s="215" t="n">
        <v>45974</v>
      </c>
      <c r="B15911" s="216" t="n">
        <v>32.66</v>
      </c>
      <c r="C15911" s="216" t="n">
        <v>31.45</v>
      </c>
      <c r="D15911" s="216" t="n">
        <v>1.092489004135132</v>
      </c>
      <c r="E15911" s="215" t="n">
        <v>45974</v>
      </c>
      <c r="F15911" s="215" t="n">
        <v>45974</v>
      </c>
    </row>
    <row r="15912">
      <c r="A15912" s="215" t="n">
        <v>45975</v>
      </c>
      <c r="B15912" s="216" t="n">
        <v>33.66</v>
      </c>
      <c r="C15912" s="216" t="n">
        <v>33.5</v>
      </c>
      <c r="D15912" s="216" t="n">
        <v>1.092411994934082</v>
      </c>
      <c r="E15912" s="215" t="n">
        <v>45975</v>
      </c>
      <c r="F15912" s="215" t="n">
        <v>45975</v>
      </c>
    </row>
    <row r="15913">
      <c r="A15913" s="215" t="n">
        <v>45978</v>
      </c>
      <c r="B15913" s="216" t="n">
        <v>35.12</v>
      </c>
      <c r="C15913" s="216" t="n">
        <v>35.8</v>
      </c>
      <c r="D15913" s="216" t="n">
        <v>1.094588041305542</v>
      </c>
      <c r="E15913" s="215" t="n">
        <v>45978</v>
      </c>
      <c r="F15913" s="215" t="n">
        <v>45978</v>
      </c>
    </row>
    <row r="15914">
      <c r="A15914" s="215" t="n">
        <v>45979</v>
      </c>
      <c r="B15914" s="216" t="n">
        <v>32.8</v>
      </c>
      <c r="C15914" s="216" t="n">
        <v>32.78</v>
      </c>
      <c r="D15914" s="216" t="n">
        <v>1.093616008758545</v>
      </c>
      <c r="E15914" s="215" t="n">
        <v>45979</v>
      </c>
      <c r="F15914" s="215" t="n">
        <v>45979</v>
      </c>
    </row>
    <row r="15915">
      <c r="A15915" s="215" t="n">
        <v>45980</v>
      </c>
      <c r="B15915" s="216" t="n">
        <v>32.24</v>
      </c>
      <c r="C15915" s="216" t="n">
        <v>32.07</v>
      </c>
      <c r="D15915" s="216" t="n">
        <v>1.095010995864868</v>
      </c>
      <c r="E15915" s="215" t="n">
        <v>45980</v>
      </c>
      <c r="F15915" s="215" t="n">
        <v>45980</v>
      </c>
    </row>
    <row r="15916">
      <c r="A15916" s="215" t="n">
        <v>45981</v>
      </c>
      <c r="B15916" s="216" t="n">
        <v>30.96</v>
      </c>
      <c r="C15916" s="216" t="n">
        <v>31.05</v>
      </c>
      <c r="D15916" s="216" t="n">
        <v>1.095402002334595</v>
      </c>
      <c r="E15916" s="215" t="n">
        <v>45981</v>
      </c>
      <c r="F15916" s="215" t="n">
        <v>45981</v>
      </c>
    </row>
    <row r="15917">
      <c r="A15917" s="215" t="n">
        <v>45982</v>
      </c>
      <c r="B15917" s="216" t="n">
        <v>29.02</v>
      </c>
      <c r="C15917" s="216" t="n">
        <v>29.7</v>
      </c>
      <c r="D15917" s="216" t="n">
        <v>1.094982981681824</v>
      </c>
      <c r="E15917" s="215" t="n">
        <v>45982</v>
      </c>
      <c r="F15917" s="215" t="n">
        <v>45982</v>
      </c>
    </row>
    <row r="15918">
      <c r="A15918" s="215" t="n">
        <v>45985</v>
      </c>
      <c r="B15918" s="216" t="n">
        <v>30.06</v>
      </c>
      <c r="C15918" s="216" t="n">
        <v>29.97</v>
      </c>
      <c r="D15918" s="216" t="n">
        <v>1.094988942146301</v>
      </c>
      <c r="E15918" s="215" t="n">
        <v>45985</v>
      </c>
      <c r="F15918" s="215" t="n">
        <v>45985</v>
      </c>
    </row>
    <row r="15919">
      <c r="A15919" s="215" t="n">
        <v>45986</v>
      </c>
      <c r="B15919" s="216" t="n">
        <v>32.06</v>
      </c>
      <c r="C15919" s="216" t="n">
        <v>31.83</v>
      </c>
      <c r="D15919" s="216" t="n">
        <v>1.095428943634033</v>
      </c>
      <c r="E15919" s="215" t="n">
        <v>45986</v>
      </c>
      <c r="F15919" s="215" t="n">
        <v>45986</v>
      </c>
    </row>
    <row r="15920">
      <c r="A15920" s="215" t="n">
        <v>45987</v>
      </c>
      <c r="B15920" s="216" t="n">
        <v>32.12</v>
      </c>
      <c r="C15920" s="216" t="n">
        <v>32.03</v>
      </c>
      <c r="D15920" s="216" t="n">
        <v>1.097422003746033</v>
      </c>
      <c r="E15920" s="215" t="n">
        <v>45987</v>
      </c>
      <c r="F15920" s="215" t="n">
        <v>45987</v>
      </c>
    </row>
    <row r="15921">
      <c r="A15921" s="215" t="n">
        <v>45988</v>
      </c>
      <c r="B15921" s="216" t="n">
        <v>32.12</v>
      </c>
      <c r="C15921" s="216" t="n">
        <v>31.42</v>
      </c>
      <c r="D15921" s="216" t="n">
        <v>1.098397016525269</v>
      </c>
      <c r="E15921" s="215" t="n">
        <v>45988</v>
      </c>
      <c r="F15921" s="215" t="n">
        <v>45988</v>
      </c>
    </row>
    <row r="15922">
      <c r="A15922" s="215" t="n">
        <v>45989</v>
      </c>
      <c r="B15922" s="216" t="n">
        <v>32.94</v>
      </c>
      <c r="C15922" s="216" t="n">
        <v>32.83</v>
      </c>
      <c r="D15922" s="216" t="n">
        <v>1.098330020904541</v>
      </c>
      <c r="E15922" s="215" t="n">
        <v>45989</v>
      </c>
      <c r="F15922" s="215" t="n">
        <v>45989</v>
      </c>
    </row>
    <row r="15923">
      <c r="A15923" s="215" t="n">
        <v>45992</v>
      </c>
      <c r="B15923" s="216" t="n">
        <v>32.28</v>
      </c>
      <c r="C15923" s="216" t="n">
        <v>32.9</v>
      </c>
      <c r="D15923" s="216" t="n">
        <v>1.10015594959259</v>
      </c>
      <c r="E15923" s="215" t="n">
        <v>45992</v>
      </c>
      <c r="F15923" s="215" t="n">
        <v>45992</v>
      </c>
    </row>
    <row r="15924">
      <c r="A15924" s="215" t="n">
        <v>45993</v>
      </c>
      <c r="B15924" s="216" t="n">
        <v>30.58</v>
      </c>
      <c r="C15924" s="216" t="n">
        <v>32.14</v>
      </c>
      <c r="D15924" s="216" t="n">
        <v>1.101189017295837</v>
      </c>
      <c r="E15924" s="215" t="n">
        <v>45993</v>
      </c>
      <c r="F15924" s="215" t="n">
        <v>45993</v>
      </c>
    </row>
    <row r="15925">
      <c r="A15925" s="215" t="n">
        <v>45994</v>
      </c>
      <c r="B15925" s="216" t="n">
        <v>29.74</v>
      </c>
      <c r="C15925" s="216" t="n">
        <v>30.83</v>
      </c>
      <c r="D15925" s="216" t="n">
        <v>1.100834012031555</v>
      </c>
      <c r="E15925" s="215" t="n">
        <v>45994</v>
      </c>
      <c r="F15925" s="215" t="n">
        <v>45994</v>
      </c>
    </row>
    <row r="15926">
      <c r="A15926" s="215" t="n">
        <v>45995</v>
      </c>
      <c r="B15926" s="216" t="n">
        <v>28.92</v>
      </c>
      <c r="C15926" s="216" t="n">
        <v>30.5</v>
      </c>
      <c r="D15926" s="216" t="n">
        <v>1.101611018180847</v>
      </c>
      <c r="E15926" s="215" t="n">
        <v>45995</v>
      </c>
      <c r="F15926" s="215" t="n">
        <v>45995</v>
      </c>
    </row>
    <row r="15927">
      <c r="A15927" s="215" t="n">
        <v>45996</v>
      </c>
      <c r="B15927" s="216" t="n">
        <v>29.06</v>
      </c>
      <c r="C15927" s="216" t="n">
        <v>31.21</v>
      </c>
      <c r="D15927" s="216" t="n">
        <v>1.100373983383179</v>
      </c>
      <c r="E15927" s="215" t="n">
        <v>45996</v>
      </c>
      <c r="F15927" s="215" t="n">
        <v>45996</v>
      </c>
    </row>
    <row r="15928">
      <c r="A15928" s="215" t="n">
        <v>45999</v>
      </c>
      <c r="B15928" s="216" t="n">
        <v>28.64</v>
      </c>
      <c r="C15928" s="216" t="n">
        <v>30.86</v>
      </c>
      <c r="D15928" s="216" t="n">
        <v>1.1008620262146</v>
      </c>
      <c r="E15928" s="215" t="n">
        <v>45999</v>
      </c>
      <c r="F15928" s="215" t="n">
        <v>45999</v>
      </c>
    </row>
    <row r="15929">
      <c r="A15929" s="215" t="n">
        <v>46000</v>
      </c>
      <c r="B15929" s="216" t="n">
        <v>26.58</v>
      </c>
      <c r="C15929" s="216" t="n">
        <v>29.94</v>
      </c>
      <c r="D15929" s="216" t="n">
        <v>1.10008704662323</v>
      </c>
      <c r="E15929" s="215" t="n">
        <v>46000</v>
      </c>
      <c r="F15929" s="215" t="n">
        <v>46000</v>
      </c>
    </row>
    <row r="15930">
      <c r="A15930" s="215" t="n">
        <v>46001</v>
      </c>
      <c r="B15930" s="216" t="n">
        <v>25.78</v>
      </c>
      <c r="C15930" s="216" t="n">
        <v>28.78</v>
      </c>
      <c r="D15930" s="216" t="n">
        <v>1.101711988449097</v>
      </c>
      <c r="E15930" s="215" t="n">
        <v>46001</v>
      </c>
      <c r="F15930" s="215" t="n">
        <v>46001</v>
      </c>
    </row>
    <row r="15931">
      <c r="A15931" s="215" t="n">
        <v>46002</v>
      </c>
      <c r="B15931" s="216" t="n">
        <v>25.34</v>
      </c>
      <c r="C15931" s="216" t="n">
        <v>27.97</v>
      </c>
      <c r="D15931" s="216" t="n">
        <v>1.10112202167511</v>
      </c>
      <c r="E15931" s="215" t="n">
        <v>46002</v>
      </c>
      <c r="F15931" s="215" t="n">
        <v>46002</v>
      </c>
    </row>
    <row r="15932">
      <c r="A15932" s="215" t="n">
        <v>46003</v>
      </c>
      <c r="B15932" s="216" t="n">
        <v>25.92</v>
      </c>
      <c r="C15932" s="216" t="n">
        <v>28.22</v>
      </c>
      <c r="D15932" s="216" t="n">
        <v>1.102499008178711</v>
      </c>
      <c r="E15932" s="215" t="n">
        <v>46003</v>
      </c>
      <c r="F15932" s="215" t="n">
        <v>46003</v>
      </c>
    </row>
    <row r="15933">
      <c r="A15933" s="215" t="n">
        <v>46006</v>
      </c>
      <c r="B15933" s="216" t="n">
        <v>26.68</v>
      </c>
      <c r="C15933" s="216" t="n">
        <v>29.27</v>
      </c>
      <c r="D15933" s="216" t="n">
        <v>1.103397965431213</v>
      </c>
      <c r="E15933" s="215" t="n">
        <v>46006</v>
      </c>
      <c r="F15933" s="215" t="n">
        <v>46006</v>
      </c>
    </row>
    <row r="15934">
      <c r="A15934" s="215" t="n">
        <v>46007</v>
      </c>
      <c r="B15934" s="216" t="n">
        <v>24.92</v>
      </c>
      <c r="C15934" s="216" t="n">
        <v>27.53</v>
      </c>
      <c r="D15934" s="216" t="n">
        <v>1.104179978370667</v>
      </c>
      <c r="E15934" s="215" t="n">
        <v>46007</v>
      </c>
      <c r="F15934" s="215" t="n">
        <v>46007</v>
      </c>
    </row>
    <row r="15935">
      <c r="A15935" s="215" t="n">
        <v>46008</v>
      </c>
      <c r="B15935" s="216" t="n">
        <v>24.52</v>
      </c>
      <c r="C15935" s="216" t="n">
        <v>27.78</v>
      </c>
      <c r="D15935" s="216" t="n">
        <v>1.104655981063843</v>
      </c>
      <c r="E15935" s="215" t="n">
        <v>46008</v>
      </c>
      <c r="F15935" s="215" t="n">
        <v>46008</v>
      </c>
    </row>
    <row r="15936">
      <c r="A15936" s="215" t="n">
        <v>46009</v>
      </c>
      <c r="B15936" s="216" t="n">
        <v>23.88</v>
      </c>
      <c r="C15936" s="216" t="n">
        <v>27.32</v>
      </c>
      <c r="D15936" s="216" t="n">
        <v>1.104357004165649</v>
      </c>
      <c r="E15936" s="215" t="n">
        <v>46009</v>
      </c>
      <c r="F15936" s="215" t="n">
        <v>46009</v>
      </c>
    </row>
    <row r="15937">
      <c r="A15937" s="215" t="n">
        <v>46010</v>
      </c>
      <c r="B15937" s="216" t="n">
        <v>23.9</v>
      </c>
      <c r="C15937" s="216" t="n">
        <v>27.93</v>
      </c>
      <c r="D15937" s="216" t="n">
        <v>1.104962944984436</v>
      </c>
      <c r="E15937" s="215" t="n">
        <v>46010</v>
      </c>
      <c r="F15937" s="215" t="n">
        <v>46010</v>
      </c>
    </row>
    <row r="15938">
      <c r="A15938" s="215" t="n">
        <v>46013</v>
      </c>
      <c r="B15938" s="216" t="n">
        <v>23.98</v>
      </c>
      <c r="C15938" s="216" t="n">
        <v>28.2</v>
      </c>
      <c r="D15938" s="216" t="n">
        <v>1.105054020881653</v>
      </c>
      <c r="E15938" s="215" t="n">
        <v>46013</v>
      </c>
      <c r="F15938" s="215" t="n">
        <v>46013</v>
      </c>
    </row>
    <row r="15939">
      <c r="A15939" s="215" t="n">
        <v>46014</v>
      </c>
      <c r="B15939" s="216" t="n">
        <v>22.48</v>
      </c>
      <c r="C15939" s="216" t="n">
        <v>27.5</v>
      </c>
      <c r="D15939" s="216" t="n">
        <v>1.104820013046265</v>
      </c>
      <c r="E15939" s="215" t="n">
        <v>46014</v>
      </c>
      <c r="F15939" s="215" t="n">
        <v>46014</v>
      </c>
    </row>
    <row r="15940">
      <c r="A15940" s="215" t="n">
        <v>46015</v>
      </c>
      <c r="B15940" s="216" t="n">
        <v>21.86</v>
      </c>
      <c r="C15940" s="216" t="n">
        <v>27.78</v>
      </c>
      <c r="D15940" s="216" t="n">
        <v>1.106441974639893</v>
      </c>
      <c r="E15940" s="215" t="n">
        <v>46015</v>
      </c>
      <c r="F15940" s="215" t="n">
        <v>46015</v>
      </c>
    </row>
    <row r="15941">
      <c r="A15941" s="215" t="n">
        <v>46020</v>
      </c>
      <c r="B15941" s="216" t="n">
        <v>21.96</v>
      </c>
      <c r="C15941" s="216" t="n">
        <v>28.06</v>
      </c>
      <c r="D15941" s="216" t="n">
        <v>1.10552704334259</v>
      </c>
      <c r="E15941" s="215" t="n">
        <v>46020</v>
      </c>
      <c r="F15941" s="215" t="n">
        <v>46020</v>
      </c>
    </row>
    <row r="15942">
      <c r="A15942" s="215" t="n">
        <v>46021</v>
      </c>
      <c r="B15942" s="216" t="n">
        <v>21.02</v>
      </c>
      <c r="C15942" s="216" t="n">
        <v>27.64</v>
      </c>
      <c r="D15942" s="216" t="n">
        <v>1.109460949897766</v>
      </c>
      <c r="E15942" s="215" t="n">
        <v>46021</v>
      </c>
      <c r="F15942" s="215" t="n">
        <v>46021</v>
      </c>
    </row>
    <row r="15943">
      <c r="A15943" s="215" t="n">
        <v>46022</v>
      </c>
      <c r="B15943" s="216" t="n">
        <v>20.48</v>
      </c>
      <c r="C15943" s="216" t="n">
        <v>26.96</v>
      </c>
      <c r="D15943" s="216" t="n">
        <v>1.111927032470703</v>
      </c>
      <c r="E15943" s="215" t="n">
        <v>46022</v>
      </c>
      <c r="F15943" s="215" t="n">
        <v>46022</v>
      </c>
    </row>
    <row r="15944">
      <c r="A15944" s="215" t="n">
        <v>46024</v>
      </c>
      <c r="B15944" s="216" t="n">
        <v>20.62</v>
      </c>
      <c r="C15944" s="216" t="n">
        <v>26.96</v>
      </c>
      <c r="D15944" s="216" t="n">
        <v>1.112754940986633</v>
      </c>
      <c r="E15944" s="215" t="n">
        <v>46022</v>
      </c>
      <c r="F15944" s="215" t="n">
        <v>46024</v>
      </c>
    </row>
    <row r="15945">
      <c r="A15945" s="215" t="n">
        <v>46027</v>
      </c>
      <c r="B15945" s="216" t="n">
        <v>20.94</v>
      </c>
      <c r="C15945" s="216" t="n">
        <v>27.61</v>
      </c>
      <c r="D15945" s="216" t="n">
        <v>1.113860011100769</v>
      </c>
      <c r="E15945" s="215" t="n">
        <v>46027</v>
      </c>
      <c r="F15945" s="215" t="n">
        <v>46027</v>
      </c>
    </row>
    <row r="15946">
      <c r="A15946" s="215" t="n">
        <v>46028</v>
      </c>
      <c r="B15946" s="216" t="n">
        <v>21.56</v>
      </c>
      <c r="C15946" s="216" t="n">
        <v>28.57</v>
      </c>
      <c r="D15946" s="216" t="n">
        <v>1.11367404460907</v>
      </c>
      <c r="E15946" s="215" t="n">
        <v>46028</v>
      </c>
      <c r="F15946" s="215" t="n">
        <v>46028</v>
      </c>
    </row>
    <row r="15947">
      <c r="A15947" s="215" t="n">
        <v>46029</v>
      </c>
      <c r="B15947" s="216" t="n">
        <v>22.02</v>
      </c>
      <c r="C15947" s="216" t="n">
        <v>28.7</v>
      </c>
      <c r="D15947" s="216" t="n">
        <v>1.114913940429688</v>
      </c>
      <c r="E15947" s="215" t="n">
        <v>46029</v>
      </c>
      <c r="F15947" s="215" t="n">
        <v>46029</v>
      </c>
    </row>
    <row r="15948">
      <c r="A15948" s="215" t="n">
        <v>46030</v>
      </c>
      <c r="B15948" s="216" t="n">
        <v>22.8</v>
      </c>
      <c r="C15948" s="216" t="n">
        <v>29.14</v>
      </c>
      <c r="D15948" s="216" t="n">
        <v>1.112563014030457</v>
      </c>
      <c r="E15948" s="215" t="n">
        <v>46030</v>
      </c>
      <c r="F15948" s="215" t="n">
        <v>46030</v>
      </c>
    </row>
    <row r="15949">
      <c r="A15949" s="215" t="n">
        <v>46031</v>
      </c>
      <c r="B15949" s="216" t="n">
        <v>22.54</v>
      </c>
      <c r="C15949" s="216" t="n">
        <v>29</v>
      </c>
      <c r="D15949" s="216" t="n">
        <v>1.115561008453369</v>
      </c>
      <c r="E15949" s="215" t="n">
        <v>46031</v>
      </c>
      <c r="F15949" s="215" t="n">
        <v>46031</v>
      </c>
    </row>
    <row r="15950">
      <c r="A15950" s="215" t="n">
        <v>46034</v>
      </c>
      <c r="B15950" s="216" t="n">
        <v>22.7</v>
      </c>
      <c r="C15950" s="216" t="n">
        <v>29.2</v>
      </c>
      <c r="D15950" s="216" t="n">
        <v>1.117015957832336</v>
      </c>
      <c r="E15950" s="215" t="n">
        <v>46034</v>
      </c>
      <c r="F15950" s="215" t="n">
        <v>46034</v>
      </c>
    </row>
    <row r="15951">
      <c r="A15951" s="215" t="n">
        <v>46035</v>
      </c>
      <c r="B15951" s="216" t="n">
        <v>22.2</v>
      </c>
      <c r="C15951" s="216" t="n">
        <v>28.64</v>
      </c>
      <c r="D15951" s="216" t="n">
        <v>1.117892026901245</v>
      </c>
      <c r="E15951" s="215" t="n">
        <v>46035</v>
      </c>
      <c r="F15951" s="215" t="n">
        <v>46035</v>
      </c>
    </row>
    <row r="15952">
      <c r="A15952" s="215" t="n">
        <v>46036</v>
      </c>
      <c r="B15952" s="216" t="n">
        <v>25.7</v>
      </c>
      <c r="C15952" s="216" t="n">
        <v>32.22</v>
      </c>
      <c r="D15952" s="216" t="n">
        <v>1.117897987365723</v>
      </c>
      <c r="E15952" s="215" t="n">
        <v>46036</v>
      </c>
      <c r="F15952" s="215" t="n">
        <v>46036</v>
      </c>
    </row>
    <row r="15953">
      <c r="A15953" s="215" t="n">
        <v>46037</v>
      </c>
      <c r="B15953" s="216" t="n">
        <v>28.2</v>
      </c>
      <c r="C15953" s="216" t="n">
        <v>33.99</v>
      </c>
      <c r="D15953" s="216" t="n">
        <v>1.118072032928467</v>
      </c>
      <c r="E15953" s="215" t="n">
        <v>46037</v>
      </c>
      <c r="F15953" s="215" t="n">
        <v>46037</v>
      </c>
    </row>
    <row r="15954">
      <c r="A15954" s="215" t="n">
        <v>46038</v>
      </c>
      <c r="B15954" s="216" t="n">
        <v>29.32</v>
      </c>
      <c r="C15954" s="216" t="n">
        <v>33.73</v>
      </c>
      <c r="D15954" s="216" t="n">
        <v>1.119040012359619</v>
      </c>
      <c r="E15954" s="215" t="n">
        <v>46038</v>
      </c>
      <c r="F15954" s="215" t="n">
        <v>46038</v>
      </c>
    </row>
    <row r="15955">
      <c r="A15955" s="215" t="n">
        <v>46041</v>
      </c>
      <c r="B15955" s="216" t="n">
        <v>29.22</v>
      </c>
      <c r="C15955" s="216" t="n">
        <v>34.23</v>
      </c>
      <c r="D15955" s="216" t="n">
        <v>1.118916034698486</v>
      </c>
      <c r="E15955" s="215" t="n">
        <v>46041</v>
      </c>
      <c r="F15955" s="215" t="n">
        <v>46041</v>
      </c>
    </row>
    <row r="15956">
      <c r="A15956" s="215" t="n">
        <v>46042</v>
      </c>
      <c r="B15956" s="216" t="n">
        <v>28.36</v>
      </c>
      <c r="C15956" s="216" t="n">
        <v>32.56</v>
      </c>
      <c r="D15956" s="216" t="n">
        <v>1.118687987327576</v>
      </c>
      <c r="E15956" s="215" t="n">
        <v>46042</v>
      </c>
      <c r="F15956" s="215" t="n">
        <v>46042</v>
      </c>
    </row>
    <row r="15957">
      <c r="A15957" s="215" t="n">
        <v>46043</v>
      </c>
      <c r="B15957" s="216" t="n">
        <v>28.1</v>
      </c>
      <c r="C15957" s="216" t="n">
        <v>32.99</v>
      </c>
      <c r="D15957" s="216" t="n">
        <v>1.12024998664856</v>
      </c>
      <c r="E15957" s="215" t="n">
        <v>46043</v>
      </c>
      <c r="F15957" s="215" t="n">
        <v>46043</v>
      </c>
    </row>
    <row r="15958">
      <c r="A15958" s="215" t="n">
        <v>46044</v>
      </c>
      <c r="B15958" s="216" t="n">
        <v>28.4</v>
      </c>
      <c r="C15958" s="216" t="n">
        <v>32.82</v>
      </c>
      <c r="D15958" s="216" t="n">
        <v>1.11942195892334</v>
      </c>
      <c r="E15958" s="215" t="n">
        <v>46044</v>
      </c>
      <c r="F15958" s="215" t="n">
        <v>46044</v>
      </c>
    </row>
    <row r="15959">
      <c r="A15959" s="215" t="n">
        <v>46045</v>
      </c>
      <c r="B15959" s="216" t="n">
        <v>29.56</v>
      </c>
      <c r="C15959" s="216" t="n">
        <v>34.78</v>
      </c>
      <c r="D15959" s="216" t="n">
        <v>1.117977976799011</v>
      </c>
      <c r="E15959" s="215" t="n">
        <v>46045</v>
      </c>
      <c r="F15959" s="215" t="n">
        <v>46045</v>
      </c>
    </row>
    <row r="15960">
      <c r="A15960" s="215" t="n">
        <v>46048</v>
      </c>
      <c r="B15960" s="216" t="n">
        <v>28.1</v>
      </c>
      <c r="C15960" s="216" t="n">
        <v>33.49</v>
      </c>
      <c r="D15960" s="216" t="n">
        <v>1.117916941642761</v>
      </c>
      <c r="E15960" s="215" t="n">
        <v>46048</v>
      </c>
      <c r="F15960" s="215" t="n">
        <v>46048</v>
      </c>
    </row>
    <row r="15961">
      <c r="A15961" s="215" t="n">
        <v>46049</v>
      </c>
      <c r="B15961" s="216" t="n">
        <v>25.26</v>
      </c>
      <c r="C15961" s="216" t="n">
        <v>31.67</v>
      </c>
      <c r="D15961" s="216" t="n">
        <v>1.121191024780273</v>
      </c>
      <c r="E15961" s="215" t="n">
        <v>46049</v>
      </c>
      <c r="F15961" s="215" t="n">
        <v>46049</v>
      </c>
    </row>
    <row r="15962">
      <c r="A15962" s="215" t="n">
        <v>46050</v>
      </c>
      <c r="B15962" s="216" t="n">
        <v>25.02</v>
      </c>
      <c r="C15962" s="216" t="n">
        <v>31.2</v>
      </c>
      <c r="D15962" s="216" t="n">
        <v>1.121533036231995</v>
      </c>
      <c r="E15962" s="215" t="n">
        <v>46050</v>
      </c>
      <c r="F15962" s="215" t="n">
        <v>46050</v>
      </c>
    </row>
    <row r="15963">
      <c r="A15963" s="215" t="n">
        <v>46051</v>
      </c>
      <c r="B15963" s="216" t="n">
        <v>23.82</v>
      </c>
      <c r="C15963" s="216" t="n">
        <v>29.9</v>
      </c>
      <c r="D15963" s="216" t="n">
        <v>1.121621966362</v>
      </c>
      <c r="E15963" s="215" t="n">
        <v>46051</v>
      </c>
      <c r="F15963" s="215" t="n">
        <v>46051</v>
      </c>
    </row>
    <row r="15964">
      <c r="A15964" s="215" t="n">
        <v>46052</v>
      </c>
      <c r="B15964" s="216" t="n">
        <v>24.86</v>
      </c>
      <c r="C15964" s="216" t="n">
        <v>30.93</v>
      </c>
      <c r="D15964" s="216" t="n">
        <v>1.123343944549561</v>
      </c>
      <c r="E15964" s="215" t="n">
        <v>46052</v>
      </c>
      <c r="F15964" s="215" t="n">
        <v>46052</v>
      </c>
    </row>
    <row r="15965">
      <c r="A15965" s="215" t="n">
        <v>46055</v>
      </c>
      <c r="B15965" s="216" t="n">
        <v>22.9</v>
      </c>
      <c r="C15965" s="216" t="n">
        <v>29.25</v>
      </c>
      <c r="D15965" s="216" t="n">
        <v>1.123572945594788</v>
      </c>
      <c r="E15965" s="215" t="n">
        <v>46055</v>
      </c>
      <c r="F15965" s="215" t="n">
        <v>46055</v>
      </c>
    </row>
    <row r="15966">
      <c r="A15966" s="215" t="n">
        <v>46056</v>
      </c>
      <c r="B15966" s="216" t="n">
        <v>23.2</v>
      </c>
      <c r="C15966" s="216" t="n">
        <v>30.08</v>
      </c>
      <c r="D15966" s="216" t="n">
        <v>1.124274969100952</v>
      </c>
      <c r="E15966" s="215" t="n">
        <v>46056</v>
      </c>
      <c r="F15966" s="215" t="n">
        <v>46056</v>
      </c>
    </row>
    <row r="15967">
      <c r="A15967" s="215" t="n">
        <v>46057</v>
      </c>
      <c r="B15967" s="216" t="n">
        <v>24.9</v>
      </c>
      <c r="C15967" s="216" t="n">
        <v>33.36</v>
      </c>
      <c r="D15967" s="216" t="n">
        <v>1.12601101398468</v>
      </c>
      <c r="E15967" s="215" t="n">
        <v>46057</v>
      </c>
      <c r="F15967" s="215" t="n">
        <v>46057</v>
      </c>
    </row>
    <row r="15968">
      <c r="A15968" s="215" t="n">
        <v>46058</v>
      </c>
      <c r="B15968" s="216" t="n">
        <v>24.34</v>
      </c>
      <c r="C15968" s="216" t="n">
        <v>32.1</v>
      </c>
      <c r="D15968" s="216" t="n">
        <v>1.125892996788025</v>
      </c>
      <c r="E15968" s="215" t="n">
        <v>46058</v>
      </c>
      <c r="F15968" s="215" t="n">
        <v>46058</v>
      </c>
    </row>
    <row r="15969">
      <c r="A15969" s="215" t="n">
        <v>46059</v>
      </c>
      <c r="B15969" s="216" t="n">
        <v>23.06</v>
      </c>
      <c r="C15969" s="216" t="n">
        <v>31</v>
      </c>
      <c r="D15969" s="216" t="n">
        <v>1.126062035560608</v>
      </c>
      <c r="E15969" s="215" t="n">
        <v>46059</v>
      </c>
      <c r="F15969" s="215" t="n">
        <v>46059</v>
      </c>
    </row>
    <row r="15970">
      <c r="A15970" s="215" t="n">
        <v>46062</v>
      </c>
      <c r="B15970" s="216" t="n">
        <v>23.68</v>
      </c>
      <c r="C15970" s="216" t="n">
        <v>31.79</v>
      </c>
      <c r="D15970" s="216" t="n">
        <v>1.125753998756409</v>
      </c>
      <c r="E15970" s="215" t="n">
        <v>46062</v>
      </c>
      <c r="F15970" s="215" t="n">
        <v>46062</v>
      </c>
    </row>
    <row r="15971">
      <c r="A15971" s="215" t="n">
        <v>46063</v>
      </c>
      <c r="B15971" s="216" t="n">
        <v>23.76</v>
      </c>
      <c r="C15971" s="216" t="n">
        <v>31.77</v>
      </c>
      <c r="D15971" s="216" t="n">
        <v>1.129003047943115</v>
      </c>
      <c r="E15971" s="215" t="n">
        <v>46063</v>
      </c>
      <c r="F15971" s="215" t="n">
        <v>46063</v>
      </c>
    </row>
    <row r="15972">
      <c r="A15972" s="215" t="n">
        <v>46064</v>
      </c>
      <c r="B15972" s="216" t="n">
        <v>23.22</v>
      </c>
      <c r="C15972" s="216" t="n">
        <v>30.6</v>
      </c>
      <c r="D15972" s="216" t="n">
        <v>1.130962014198303</v>
      </c>
      <c r="E15972" s="215" t="n">
        <v>46064</v>
      </c>
      <c r="F15972" s="215" t="n">
        <v>46064</v>
      </c>
    </row>
    <row r="15973">
      <c r="A15973" s="215" t="n">
        <v>46065</v>
      </c>
      <c r="B15973" s="216" t="n">
        <v>25</v>
      </c>
      <c r="C15973" s="216" t="n">
        <v>31.7</v>
      </c>
      <c r="D15973" s="216" t="n">
        <v>1.130671977996826</v>
      </c>
      <c r="E15973" s="215" t="n">
        <v>46065</v>
      </c>
      <c r="F15973" s="215" t="n">
        <v>46065</v>
      </c>
    </row>
    <row r="15974">
      <c r="A15974" s="215" t="n">
        <v>46066</v>
      </c>
      <c r="B15974" s="216" t="n">
        <v>24.72</v>
      </c>
      <c r="C15974" s="216" t="n">
        <v>31.11</v>
      </c>
      <c r="D15974" s="216" t="n">
        <v>1.132490992546082</v>
      </c>
      <c r="E15974" s="215" t="n">
        <v>46066</v>
      </c>
      <c r="F15974" s="215" t="n">
        <v>46066</v>
      </c>
    </row>
    <row r="15975">
      <c r="A15975" s="215" t="n">
        <v>46069</v>
      </c>
      <c r="B15975" s="216" t="n">
        <v>25.04</v>
      </c>
      <c r="C15975" s="216" t="n">
        <v>31.11</v>
      </c>
      <c r="D15975" s="216" t="n">
        <v>1.131224036216736</v>
      </c>
      <c r="E15975" s="215" t="n">
        <v>46066</v>
      </c>
      <c r="F15975" s="215" t="n">
        <v>46069</v>
      </c>
    </row>
    <row r="15976">
      <c r="A15976" s="215" t="n">
        <v>46073</v>
      </c>
      <c r="B15976" s="216" t="n">
        <v>24.48</v>
      </c>
      <c r="C15976" s="216" t="n">
        <v>31.11</v>
      </c>
      <c r="D15976" s="216" t="n">
        <v>1.131005048751831</v>
      </c>
      <c r="E15976" s="215" t="n">
        <v>46066</v>
      </c>
      <c r="F15976" s="215" t="n">
        <v>46073</v>
      </c>
    </row>
    <row r="15977">
      <c r="A15977" s="215" t="n">
        <v>46076</v>
      </c>
      <c r="B15977" s="216" t="n">
        <v>24.42</v>
      </c>
      <c r="C15977" s="216" t="n">
        <v>31.11</v>
      </c>
      <c r="D15977" s="216" t="n">
        <v>1.130877017974854</v>
      </c>
      <c r="E15977" s="215" t="n">
        <v>46066</v>
      </c>
      <c r="F15977" s="215" t="n">
        <v>46076</v>
      </c>
    </row>
    <row r="15978">
      <c r="A15978" s="215" t="n">
        <v>46077</v>
      </c>
      <c r="B15978" s="216" t="n">
        <v>24.98</v>
      </c>
      <c r="C15978" s="216" t="n">
        <v>31.8</v>
      </c>
      <c r="D15978" s="216" t="n">
        <v>1.131631016731262</v>
      </c>
      <c r="E15978" s="215" t="n">
        <v>46077</v>
      </c>
      <c r="F15978" s="215" t="n">
        <v>46077</v>
      </c>
    </row>
    <row r="15979">
      <c r="A15979" s="215" t="n">
        <v>46078</v>
      </c>
      <c r="B15979" s="216" t="n">
        <v>24.96</v>
      </c>
      <c r="C15979" s="216" t="n">
        <v>31.81</v>
      </c>
      <c r="D15979" s="216" t="n">
        <v>1.136234045028687</v>
      </c>
      <c r="E15979" s="215" t="n">
        <v>46078</v>
      </c>
      <c r="F15979" s="215" t="n">
        <v>46078</v>
      </c>
    </row>
    <row r="15980">
      <c r="A15980" s="215" t="n">
        <v>46079</v>
      </c>
      <c r="B15980" s="216" t="n">
        <v>24.16</v>
      </c>
      <c r="C15980" s="216" t="n">
        <v>31.93</v>
      </c>
      <c r="D15980" s="216" t="n">
        <v>1.138198971748352</v>
      </c>
      <c r="E15980" s="215" t="n">
        <v>46079</v>
      </c>
      <c r="F15980" s="215" t="n">
        <v>46079</v>
      </c>
    </row>
    <row r="15981">
      <c r="A15981" s="215" t="n">
        <v>46080</v>
      </c>
      <c r="B15981" s="216" t="n">
        <v>25.76</v>
      </c>
      <c r="C15981" s="216" t="n">
        <v>33.88</v>
      </c>
      <c r="D15981" s="216" t="n">
        <v>1.143396973609924</v>
      </c>
      <c r="E15981" s="215" t="n">
        <v>46080</v>
      </c>
      <c r="F15981" s="215" t="n">
        <v>46080</v>
      </c>
    </row>
    <row r="15982">
      <c r="A15982" s="215" t="n">
        <v>46083</v>
      </c>
      <c r="B15982" s="216" t="n">
        <v>25.12</v>
      </c>
      <c r="C15982" s="216" t="n">
        <v>32.53</v>
      </c>
      <c r="D15982" s="216" t="n">
        <v>1.140552043914795</v>
      </c>
      <c r="E15982" s="215" t="n">
        <v>46083</v>
      </c>
      <c r="F15982" s="215" t="n">
        <v>46083</v>
      </c>
    </row>
    <row r="15983">
      <c r="A15983" s="215" t="n">
        <v>46084</v>
      </c>
      <c r="B15983" s="216" t="n">
        <v>24.1</v>
      </c>
      <c r="C15983" s="216" t="n">
        <v>31.11</v>
      </c>
      <c r="D15983" s="216" t="n">
        <v>1.136399984359741</v>
      </c>
      <c r="E15983" s="215" t="n">
        <v>46084</v>
      </c>
      <c r="F15983" s="215" t="n">
        <v>46084</v>
      </c>
    </row>
    <row r="15984">
      <c r="A15984" s="215" t="n">
        <v>46085</v>
      </c>
      <c r="B15984" s="216" t="n">
        <v>25</v>
      </c>
      <c r="C15984" s="216" t="n">
        <v>33.75</v>
      </c>
      <c r="D15984" s="216" t="n">
        <v>1.130928993225098</v>
      </c>
      <c r="E15984" s="215" t="n">
        <v>46085</v>
      </c>
      <c r="F15984" s="215" t="n">
        <v>46085</v>
      </c>
    </row>
    <row r="15985">
      <c r="A15985" s="215" t="n">
        <v>46086</v>
      </c>
      <c r="B15985" s="216" t="n">
        <v>26.12</v>
      </c>
      <c r="C15985" s="216" t="n">
        <v>35.13</v>
      </c>
      <c r="D15985" s="216" t="n">
        <v>1.133169054985046</v>
      </c>
      <c r="E15985" s="215" t="n">
        <v>46086</v>
      </c>
      <c r="F15985" s="215" t="n">
        <v>46086</v>
      </c>
    </row>
    <row r="15986">
      <c r="A15986" s="215" t="n">
        <v>46087</v>
      </c>
      <c r="B15986" s="216" t="n">
        <v>25.08</v>
      </c>
      <c r="C15986" s="216" t="n">
        <v>33.3</v>
      </c>
      <c r="D15986" s="216" t="n">
        <v>1.133442044258118</v>
      </c>
      <c r="E15986" s="215" t="n">
        <v>46087</v>
      </c>
      <c r="F15986" s="215" t="n">
        <v>46087</v>
      </c>
    </row>
    <row r="15987">
      <c r="A15987" s="215" t="n">
        <v>46090</v>
      </c>
      <c r="B15987" s="216" t="n">
        <v>24.9</v>
      </c>
      <c r="C15987" s="216" t="n">
        <v>32.89</v>
      </c>
      <c r="D15987" s="216" t="n">
        <v>1.133231043815613</v>
      </c>
      <c r="E15987" s="215" t="n">
        <v>46090</v>
      </c>
      <c r="F15987" s="215" t="n">
        <v>46090</v>
      </c>
    </row>
    <row r="15988">
      <c r="A15988" s="215" t="n">
        <v>46091</v>
      </c>
      <c r="B15988" s="216" t="n">
        <v>25.4</v>
      </c>
      <c r="C15988" s="216" t="n">
        <v>34.15</v>
      </c>
      <c r="D15988" s="216" t="n">
        <v>1.131595015525818</v>
      </c>
      <c r="E15988" s="215" t="n">
        <v>46091</v>
      </c>
      <c r="F15988" s="215" t="n">
        <v>46091</v>
      </c>
    </row>
    <row r="15989">
      <c r="A15989" s="215" t="n">
        <v>46092</v>
      </c>
      <c r="B15989" s="216" t="n">
        <v>24.24</v>
      </c>
      <c r="C15989" s="216" t="n">
        <v>33.59</v>
      </c>
      <c r="D15989" s="216" t="n">
        <v>1.137585043907166</v>
      </c>
      <c r="E15989" s="215" t="n">
        <v>46092</v>
      </c>
      <c r="F15989" s="215" t="n">
        <v>46092</v>
      </c>
    </row>
    <row r="15990">
      <c r="A15990" s="215" t="n">
        <v>46093</v>
      </c>
      <c r="B15990" s="216" t="n">
        <v>24.16</v>
      </c>
      <c r="C15990" s="216" t="n">
        <v>32.76</v>
      </c>
      <c r="D15990" s="216" t="n">
        <v>1.139600038528442</v>
      </c>
      <c r="E15990" s="215" t="n">
        <v>46093</v>
      </c>
      <c r="F15990" s="215" t="n">
        <v>46093</v>
      </c>
    </row>
    <row r="15991">
      <c r="A15991" s="215" t="n">
        <v>46094</v>
      </c>
      <c r="B15991" s="216" t="n">
        <v>23.74</v>
      </c>
      <c r="C15991" s="216" t="n">
        <v>32.73</v>
      </c>
      <c r="D15991" s="216" t="n">
        <v>1.139310002326965</v>
      </c>
      <c r="E15991" s="215" t="n">
        <v>46094</v>
      </c>
      <c r="F15991" s="215" t="n">
        <v>46094</v>
      </c>
    </row>
    <row r="15992">
      <c r="A15992" s="215" t="n">
        <v>46097</v>
      </c>
      <c r="B15992" s="216" t="n">
        <v>24.82</v>
      </c>
      <c r="C15992" s="216" t="n">
        <v>33.26</v>
      </c>
      <c r="D15992" s="216" t="n">
        <v>1.134883999824524</v>
      </c>
      <c r="E15992" s="215" t="n">
        <v>46097</v>
      </c>
      <c r="F15992" s="215" t="n">
        <v>46097</v>
      </c>
    </row>
    <row r="15993">
      <c r="A15993" s="215" t="n">
        <v>46098</v>
      </c>
      <c r="B15993" s="216" t="n">
        <v>22.62</v>
      </c>
      <c r="C15993" s="216" t="n">
        <v>31</v>
      </c>
      <c r="D15993" s="216" t="n">
        <v>1.125375986099243</v>
      </c>
      <c r="E15993" s="215" t="n">
        <v>46098</v>
      </c>
      <c r="F15993" s="215" t="n">
        <v>46098</v>
      </c>
    </row>
    <row r="15994">
      <c r="A15994" s="215" t="n">
        <v>46099</v>
      </c>
      <c r="B15994" s="216" t="n">
        <v>21.98</v>
      </c>
      <c r="C15994" s="216" t="n">
        <v>29.7</v>
      </c>
      <c r="D15994" s="216" t="n">
        <v>1.137819051742554</v>
      </c>
      <c r="E15994" s="215" t="n">
        <v>46099</v>
      </c>
      <c r="F15994" s="215" t="n">
        <v>46099</v>
      </c>
    </row>
    <row r="15995">
      <c r="A15995" s="215" t="n">
        <v>46100</v>
      </c>
      <c r="B15995" s="216" t="n">
        <v>21.06</v>
      </c>
      <c r="C15995" s="216" t="n">
        <v>28.63</v>
      </c>
      <c r="D15995" s="216" t="n">
        <v>1.140079021453857</v>
      </c>
      <c r="E15995" s="215" t="n">
        <v>46100</v>
      </c>
      <c r="F15995" s="215" t="n">
        <v>46100</v>
      </c>
    </row>
    <row r="15996">
      <c r="A15996" s="215" t="n">
        <v>46101</v>
      </c>
      <c r="B15996" s="216" t="n">
        <v>20.4</v>
      </c>
      <c r="C15996" s="216" t="n">
        <v>27.66</v>
      </c>
      <c r="D15996" s="216" t="n">
        <v>1.13490903377533</v>
      </c>
      <c r="E15996" s="215" t="n">
        <v>46101</v>
      </c>
      <c r="F15996" s="215" t="n">
        <v>46101</v>
      </c>
    </row>
    <row r="15997">
      <c r="A15997" s="215" t="n">
        <v>46104</v>
      </c>
      <c r="B15997" s="216" t="n">
        <v>20</v>
      </c>
      <c r="C15997" s="216" t="n">
        <v>25.87</v>
      </c>
      <c r="D15997" s="216" t="n">
        <v>1.137529969215393</v>
      </c>
      <c r="E15997" s="215" t="n">
        <v>46104</v>
      </c>
      <c r="F15997" s="215" t="n">
        <v>46104</v>
      </c>
    </row>
    <row r="15998">
      <c r="A15998" s="215" t="n">
        <v>46105</v>
      </c>
      <c r="B15998" s="216" t="n">
        <v>20.78</v>
      </c>
      <c r="C15998" s="216" t="n">
        <v>27.4</v>
      </c>
      <c r="D15998" s="216" t="n">
        <v>1.138481974601746</v>
      </c>
      <c r="E15998" s="215" t="n">
        <v>46105</v>
      </c>
      <c r="F15998" s="215" t="n">
        <v>46105</v>
      </c>
    </row>
    <row r="15999">
      <c r="A15999" s="215" t="n">
        <v>46106</v>
      </c>
      <c r="B15999" s="216" t="n">
        <v>20.54</v>
      </c>
      <c r="C15999" s="216" t="n">
        <v>27.18</v>
      </c>
      <c r="D15999" s="216" t="n">
        <v>1.135548949241638</v>
      </c>
      <c r="E15999" s="215" t="n">
        <v>46106</v>
      </c>
      <c r="F15999" s="215" t="n">
        <v>46106</v>
      </c>
    </row>
    <row r="16000">
      <c r="A16000" s="215" t="n">
        <v>46107</v>
      </c>
      <c r="B16000" s="216" t="n">
        <v>20.12</v>
      </c>
      <c r="C16000" s="216" t="n">
        <v>26.74</v>
      </c>
      <c r="D16000" s="216" t="n">
        <v>1.132627010345459</v>
      </c>
      <c r="E16000" s="215" t="n">
        <v>46107</v>
      </c>
      <c r="F16000" s="215" t="n">
        <v>46107</v>
      </c>
    </row>
    <row r="16001">
      <c r="A16001" s="215" t="n">
        <v>46108</v>
      </c>
      <c r="B16001" s="216" t="n">
        <v>20.08</v>
      </c>
      <c r="C16001" s="216" t="n">
        <v>26.98</v>
      </c>
      <c r="D16001" s="216" t="n">
        <v>1.132115960121155</v>
      </c>
      <c r="E16001" s="215" t="n">
        <v>46108</v>
      </c>
      <c r="F16001" s="215" t="n">
        <v>46108</v>
      </c>
    </row>
    <row r="16002">
      <c r="A16002" s="215" t="n">
        <v>46111</v>
      </c>
      <c r="B16002" s="216" t="n">
        <v>19.89</v>
      </c>
      <c r="C16002" s="216" t="n">
        <v>26.76</v>
      </c>
      <c r="D16002" s="216" t="n">
        <v>1.13311505317688</v>
      </c>
      <c r="E16002" s="215" t="n">
        <v>46111</v>
      </c>
      <c r="F16002" s="215" t="n">
        <v>46111</v>
      </c>
    </row>
    <row r="16003">
      <c r="A16003" s="215" t="n">
        <v>46112</v>
      </c>
      <c r="B16003" s="216" t="n">
        <v>19.21</v>
      </c>
      <c r="C16003" s="216" t="n">
        <v>26.08</v>
      </c>
      <c r="D16003" s="216" t="n">
        <v>1.133540987968445</v>
      </c>
      <c r="E16003" s="215" t="n">
        <v>46112</v>
      </c>
      <c r="F16003" s="215" t="n">
        <v>46112</v>
      </c>
    </row>
    <row r="16004">
      <c r="A16004" s="215" t="n">
        <v>46146</v>
      </c>
      <c r="B16004" s="216" t="n">
        <v>17.79</v>
      </c>
      <c r="C16004" s="216" t="n">
        <v>26.15</v>
      </c>
      <c r="D16004" s="216" t="n">
        <v>1.147340059280396</v>
      </c>
      <c r="E16004" s="215" t="n">
        <v>46142</v>
      </c>
      <c r="F16004" s="215" t="n">
        <v>46146</v>
      </c>
    </row>
    <row r="16005">
      <c r="A16005" s="215" t="n">
        <v>46147</v>
      </c>
      <c r="B16005" s="216" t="n">
        <v>16.48</v>
      </c>
      <c r="C16005" s="216" t="n">
        <v>26.15</v>
      </c>
      <c r="D16005" s="216" t="n">
        <v>1.146813988685608</v>
      </c>
      <c r="E16005" s="215" t="n">
        <v>46142</v>
      </c>
      <c r="F16005" s="215" t="n">
        <v>46147</v>
      </c>
    </row>
    <row r="16006">
      <c r="A16006" s="215" t="n">
        <v>46148</v>
      </c>
      <c r="B16006" s="216" t="n">
        <v>18.18</v>
      </c>
      <c r="C16006" s="216" t="n">
        <v>26.25</v>
      </c>
      <c r="D16006" s="216" t="n">
        <v>1.14708399772644</v>
      </c>
      <c r="E16006" s="215" t="n">
        <v>46148</v>
      </c>
      <c r="F16006" s="215" t="n">
        <v>46148</v>
      </c>
    </row>
    <row r="16007">
      <c r="A16007" s="215" t="n">
        <v>46149</v>
      </c>
      <c r="B16007" s="216" t="n">
        <v>18.17</v>
      </c>
      <c r="C16007" s="216" t="n">
        <v>25.89</v>
      </c>
      <c r="D16007" s="216" t="n">
        <v>1.150125026702881</v>
      </c>
      <c r="E16007" s="215" t="n">
        <v>46149</v>
      </c>
      <c r="F16007" s="215" t="n">
        <v>46149</v>
      </c>
    </row>
    <row r="16008">
      <c r="A16008" s="215" t="n">
        <v>46150</v>
      </c>
      <c r="B16008" s="216" t="n">
        <v>18.02</v>
      </c>
      <c r="C16008" s="216" t="n">
        <v>26.29</v>
      </c>
      <c r="D16008" s="216" t="n">
        <v>1.15172004699707</v>
      </c>
      <c r="E16008" s="215" t="n">
        <v>46150</v>
      </c>
      <c r="F16008" s="215" t="n">
        <v>46150</v>
      </c>
    </row>
    <row r="16009">
      <c r="A16009" s="215" t="n">
        <v>46153</v>
      </c>
      <c r="B16009" s="216" t="n">
        <v>17.36</v>
      </c>
      <c r="C16009" s="216" t="n">
        <v>26.18</v>
      </c>
      <c r="D16009" s="216" t="n">
        <v>1.151090025901794</v>
      </c>
      <c r="E16009" s="215" t="n">
        <v>46153</v>
      </c>
      <c r="F16009" s="215" t="n">
        <v>46153</v>
      </c>
    </row>
    <row r="16010">
      <c r="A16010" s="215" t="n">
        <v>46154</v>
      </c>
      <c r="B16010" s="216" t="n">
        <v>16.97</v>
      </c>
      <c r="C16010" s="216" t="n">
        <v>25.96</v>
      </c>
      <c r="D16010" s="216" t="n">
        <v>1.152078986167908</v>
      </c>
      <c r="E16010" s="215" t="n">
        <v>46154</v>
      </c>
      <c r="F16010" s="215" t="n">
        <v>46154</v>
      </c>
    </row>
    <row r="16011">
      <c r="A16011" s="215" t="n">
        <v>46155</v>
      </c>
      <c r="B16011" s="216" t="n">
        <v>17.69</v>
      </c>
      <c r="C16011" s="216" t="n">
        <v>27.47</v>
      </c>
      <c r="D16011" s="216" t="n">
        <v>1.152537941932678</v>
      </c>
      <c r="E16011" s="215" t="n">
        <v>46155</v>
      </c>
      <c r="F16011" s="215" t="n">
        <v>46155</v>
      </c>
    </row>
    <row r="16012">
      <c r="A16012" s="215" t="n">
        <v>46156</v>
      </c>
      <c r="B16012" s="216" t="n">
        <v>19.1</v>
      </c>
      <c r="C16012" s="216" t="n">
        <v>27.47</v>
      </c>
      <c r="D16012" s="216" t="n">
        <v>1.152662992477417</v>
      </c>
      <c r="E16012" s="215" t="n">
        <v>46156</v>
      </c>
      <c r="F16012" s="215" t="n">
        <v>46156</v>
      </c>
    </row>
    <row r="16013">
      <c r="A16013" s="215" t="n">
        <v>46157</v>
      </c>
      <c r="B16013" s="216" t="n">
        <v>18.28</v>
      </c>
      <c r="C16013" s="216" t="n">
        <v>26.6</v>
      </c>
      <c r="D16013" s="216" t="n">
        <v>1.154320001602173</v>
      </c>
      <c r="E16013" s="215" t="n">
        <v>46157</v>
      </c>
      <c r="F16013" s="215" t="n">
        <v>46157</v>
      </c>
    </row>
    <row r="16014">
      <c r="A16014" s="215" t="n">
        <v>46160</v>
      </c>
      <c r="B16014" s="216" t="n">
        <v>18.07</v>
      </c>
      <c r="C16014" s="216" t="n">
        <v>26.28</v>
      </c>
      <c r="D16014" s="216" t="n">
        <v>1.149821996688843</v>
      </c>
      <c r="E16014" s="215" t="n">
        <v>46160</v>
      </c>
      <c r="F16014" s="215" t="n">
        <v>46160</v>
      </c>
    </row>
    <row r="16015">
      <c r="A16015" s="215" t="n">
        <v>46161</v>
      </c>
      <c r="B16015" s="216" t="n">
        <v>17.73</v>
      </c>
      <c r="C16015" s="216" t="n">
        <v>25.9</v>
      </c>
      <c r="D16015" s="216" t="n">
        <v>1.151532053947449</v>
      </c>
      <c r="E16015" s="215" t="n">
        <v>46161</v>
      </c>
      <c r="F16015" s="215" t="n">
        <v>46161</v>
      </c>
    </row>
    <row r="16016">
      <c r="A16016" s="215" t="n">
        <v>46162</v>
      </c>
      <c r="B16016" s="216" t="n">
        <v>17.27</v>
      </c>
      <c r="C16016" s="216" t="n">
        <v>25.39</v>
      </c>
      <c r="D16016" s="216" t="n">
        <v>1.149292945861816</v>
      </c>
      <c r="E16016" s="215" t="n">
        <v>46162</v>
      </c>
      <c r="F16016" s="215" t="n">
        <v>46162</v>
      </c>
    </row>
    <row r="16017">
      <c r="A16017" s="215" t="n">
        <v>46163</v>
      </c>
      <c r="B16017" s="216" t="n">
        <v>17.19</v>
      </c>
      <c r="C16017" s="216" t="n">
        <v>24.07</v>
      </c>
      <c r="D16017" s="216" t="n">
        <v>1.151231050491333</v>
      </c>
      <c r="E16017" s="215" t="n">
        <v>46163</v>
      </c>
      <c r="F16017" s="215" t="n">
        <v>46163</v>
      </c>
    </row>
    <row r="16018">
      <c r="A16018" s="215" t="n">
        <v>46164</v>
      </c>
      <c r="B16018" s="216" t="n">
        <v>17.7</v>
      </c>
      <c r="C16018" s="216" t="n">
        <v>25.02</v>
      </c>
      <c r="D16018" s="216" t="n">
        <v>1.151487946510315</v>
      </c>
      <c r="E16018" s="215" t="n">
        <v>46164</v>
      </c>
      <c r="F16018" s="215" t="n">
        <v>46164</v>
      </c>
    </row>
    <row r="16019">
      <c r="A16019" s="215" t="n">
        <v>46168</v>
      </c>
      <c r="B16019" s="216" t="n">
        <v>16.47</v>
      </c>
      <c r="C16019" s="216" t="n">
        <v>23.35</v>
      </c>
      <c r="D16019" s="216" t="n">
        <v>1.152968049049377</v>
      </c>
      <c r="E16019" s="215" t="n">
        <v>46168</v>
      </c>
      <c r="F16019" s="215" t="n">
        <v>46168</v>
      </c>
    </row>
    <row r="16020">
      <c r="A16020" s="215" t="n">
        <v>46169</v>
      </c>
      <c r="B16020" s="216" t="n">
        <v>15.45</v>
      </c>
      <c r="C16020" s="216" t="n">
        <v>22.75</v>
      </c>
      <c r="D16020" s="216" t="n">
        <v>1.154562950134277</v>
      </c>
      <c r="E16020" s="215" t="n">
        <v>46169</v>
      </c>
      <c r="F16020" s="215" t="n">
        <v>46169</v>
      </c>
    </row>
    <row r="16021">
      <c r="A16021" s="215" t="n">
        <v>46170</v>
      </c>
      <c r="B16021" s="216" t="n">
        <v>15.71</v>
      </c>
      <c r="C16021" s="216" t="n">
        <v>23.31</v>
      </c>
      <c r="D16021" s="216" t="n">
        <v>1.155385971069336</v>
      </c>
      <c r="E16021" s="215" t="n">
        <v>46170</v>
      </c>
      <c r="F16021" s="215" t="n">
        <v>46170</v>
      </c>
    </row>
    <row r="16022">
      <c r="A16022" s="215" t="n">
        <v>46171</v>
      </c>
      <c r="B16022" s="216" t="n">
        <v>15.34</v>
      </c>
      <c r="C16022" s="216" t="n">
        <v>21.87</v>
      </c>
      <c r="D16022" s="216" t="n">
        <v>1.155282974243164</v>
      </c>
      <c r="E16022" s="215" t="n">
        <v>46171</v>
      </c>
      <c r="F16022" s="215" t="n">
        <v>46171</v>
      </c>
    </row>
    <row r="16023">
      <c r="A16023" s="215" t="n">
        <v>46174</v>
      </c>
      <c r="B16023" s="216" t="n">
        <v>16.06</v>
      </c>
      <c r="C16023" s="216" t="n">
        <v>22.28</v>
      </c>
      <c r="D16023" s="216" t="n">
        <v>1.158049941062927</v>
      </c>
      <c r="E16023" s="215" t="n">
        <v>46174</v>
      </c>
      <c r="F16023" s="215" t="n">
        <v>46174</v>
      </c>
    </row>
    <row r="16024">
      <c r="A16024" s="215" t="n">
        <v>46175</v>
      </c>
      <c r="B16024" s="216" t="n">
        <v>16.6</v>
      </c>
      <c r="C16024" s="216" t="n">
        <v>21.9</v>
      </c>
      <c r="D16024" s="216" t="n">
        <v>1.158406972885132</v>
      </c>
      <c r="E16024" s="215" t="n">
        <v>46175</v>
      </c>
      <c r="F16024" s="215" t="n">
        <v>46175</v>
      </c>
    </row>
    <row r="16025">
      <c r="A16025" s="215" t="n">
        <v>46176</v>
      </c>
      <c r="B16025" s="216" t="n">
        <v>15.85</v>
      </c>
      <c r="C16025" s="216" t="n">
        <v>21.6</v>
      </c>
      <c r="D16025" s="216" t="n">
        <v>1.15879499912262</v>
      </c>
      <c r="E16025" s="215" t="n">
        <v>46176</v>
      </c>
      <c r="F16025" s="215" t="n">
        <v>46176</v>
      </c>
    </row>
    <row r="16026">
      <c r="A16026" s="215" t="n">
        <v>46177</v>
      </c>
      <c r="B16026" s="216" t="n">
        <v>15.13</v>
      </c>
      <c r="C16026" s="216" t="n">
        <v>21.19</v>
      </c>
      <c r="D16026" s="216" t="n">
        <v>1.157420039176941</v>
      </c>
      <c r="E16026" s="215" t="n">
        <v>46177</v>
      </c>
      <c r="F16026" s="215" t="n">
        <v>46177</v>
      </c>
    </row>
    <row r="16027">
      <c r="A16027" s="215" t="n">
        <v>46178</v>
      </c>
      <c r="B16027" s="216" t="n">
        <v>15.3</v>
      </c>
      <c r="C16027" s="216" t="n">
        <v>21.14</v>
      </c>
      <c r="D16027" s="216" t="n">
        <v>1.156491994857788</v>
      </c>
      <c r="E16027" s="215" t="n">
        <v>46178</v>
      </c>
      <c r="F16027" s="215" t="n">
        <v>46178</v>
      </c>
    </row>
    <row r="16028">
      <c r="A16028" s="215" t="n">
        <v>46181</v>
      </c>
      <c r="B16028" s="216" t="n">
        <v>14.74</v>
      </c>
      <c r="C16028" s="216" t="n">
        <v>20.22</v>
      </c>
      <c r="D16028" s="216" t="n">
        <v>1.157665967941284</v>
      </c>
      <c r="E16028" s="215" t="n">
        <v>46181</v>
      </c>
      <c r="F16028" s="215" t="n">
        <v>46181</v>
      </c>
    </row>
    <row r="16029">
      <c r="A16029" s="215" t="n">
        <v>46182</v>
      </c>
      <c r="B16029" s="216" t="n">
        <v>14.7</v>
      </c>
      <c r="C16029" s="216" t="n">
        <v>20.8</v>
      </c>
      <c r="D16029" s="216" t="n">
        <v>1.158027052879333</v>
      </c>
      <c r="E16029" s="215" t="n">
        <v>46182</v>
      </c>
      <c r="F16029" s="215" t="n">
        <v>46182</v>
      </c>
    </row>
    <row r="16030">
      <c r="A16030" s="215" t="n">
        <v>46183</v>
      </c>
      <c r="B16030" s="216" t="n">
        <v>14.16</v>
      </c>
      <c r="C16030" s="216" t="n">
        <v>19.8</v>
      </c>
      <c r="D16030" s="216" t="n">
        <v>1.157112002372742</v>
      </c>
      <c r="E16030" s="215" t="n">
        <v>46183</v>
      </c>
      <c r="F16030" s="215" t="n">
        <v>46183</v>
      </c>
    </row>
    <row r="16031">
      <c r="A16031" s="215" t="n">
        <v>46184</v>
      </c>
      <c r="B16031" s="216" t="n">
        <v>13.49</v>
      </c>
      <c r="C16031" s="216" t="n">
        <v>19.26</v>
      </c>
      <c r="D16031" s="216" t="n">
        <v>1.156929016113281</v>
      </c>
      <c r="E16031" s="215" t="n">
        <v>46184</v>
      </c>
      <c r="F16031" s="215" t="n">
        <v>46184</v>
      </c>
    </row>
    <row r="16032">
      <c r="A16032" s="215" t="n">
        <v>46185</v>
      </c>
      <c r="B16032" s="216" t="n">
        <v>13.93</v>
      </c>
      <c r="C16032" s="216" t="n">
        <v>19.79</v>
      </c>
      <c r="D16032" s="216" t="n">
        <v>1.156345963478088</v>
      </c>
      <c r="E16032" s="215" t="n">
        <v>46185</v>
      </c>
      <c r="F16032" s="215" t="n">
        <v>46185</v>
      </c>
    </row>
    <row r="16033">
      <c r="A16033" s="215" t="n">
        <v>46188</v>
      </c>
      <c r="B16033" s="216" t="n">
        <v>13.8</v>
      </c>
      <c r="C16033" s="216" t="n">
        <v>20.15</v>
      </c>
      <c r="D16033" s="216" t="n">
        <v>1.156880021095276</v>
      </c>
      <c r="E16033" s="215" t="n">
        <v>46188</v>
      </c>
      <c r="F16033" s="215" t="n">
        <v>46188</v>
      </c>
    </row>
    <row r="16034">
      <c r="A16034" s="215" t="n">
        <v>46189</v>
      </c>
      <c r="B16034" s="216" t="n">
        <v>14.27</v>
      </c>
      <c r="C16034" s="216" t="n">
        <v>20.48</v>
      </c>
      <c r="D16034" s="216" t="n">
        <v>1.158604025840759</v>
      </c>
      <c r="E16034" s="215" t="n">
        <v>46189</v>
      </c>
      <c r="F16034" s="215" t="n">
        <v>46189</v>
      </c>
    </row>
    <row r="16035">
      <c r="A16035" s="215" t="n">
        <v>46190</v>
      </c>
      <c r="B16035" s="216" t="n">
        <v>13.89</v>
      </c>
      <c r="C16035" s="216" t="n">
        <v>20.06</v>
      </c>
      <c r="D16035" s="216" t="n">
        <v>1.158974051475525</v>
      </c>
      <c r="E16035" s="215" t="n">
        <v>46190</v>
      </c>
      <c r="F16035" s="215" t="n">
        <v>46190</v>
      </c>
    </row>
    <row r="16036">
      <c r="A16036" s="215" t="n">
        <v>46191</v>
      </c>
      <c r="B16036" s="216" t="n">
        <v>13.9</v>
      </c>
      <c r="C16036" s="216" t="n">
        <v>19.91</v>
      </c>
      <c r="D16036" s="216" t="n">
        <v>1.159355998039246</v>
      </c>
      <c r="E16036" s="215" t="n">
        <v>46191</v>
      </c>
      <c r="F16036" s="215" t="n">
        <v>46191</v>
      </c>
    </row>
    <row r="16037">
      <c r="A16037" s="215" t="n">
        <v>46195</v>
      </c>
      <c r="B16037" s="216" t="n">
        <v>13.92</v>
      </c>
      <c r="C16037" s="216" t="n">
        <v>20.34</v>
      </c>
      <c r="D16037" s="216" t="n">
        <v>1.157493948936462</v>
      </c>
      <c r="E16037" s="215" t="n">
        <v>46195</v>
      </c>
      <c r="F16037" s="215" t="n">
        <v>46195</v>
      </c>
    </row>
    <row r="16038">
      <c r="A16038" s="215" t="n">
        <v>46196</v>
      </c>
      <c r="B16038" s="216" t="n">
        <v>14.5</v>
      </c>
      <c r="C16038" s="216" t="n">
        <v>19.94</v>
      </c>
      <c r="D16038" s="216" t="n">
        <v>1.156896948814392</v>
      </c>
      <c r="E16038" s="215" t="n">
        <v>46196</v>
      </c>
      <c r="F16038" s="215" t="n">
        <v>46196</v>
      </c>
    </row>
    <row r="16039">
      <c r="A16039" s="215" t="n">
        <v>46197</v>
      </c>
      <c r="B16039" s="216" t="n">
        <v>13.65</v>
      </c>
      <c r="C16039" s="216" t="n">
        <v>19.37</v>
      </c>
      <c r="D16039" s="216" t="n">
        <v>1.154508948326111</v>
      </c>
      <c r="E16039" s="215" t="n">
        <v>46197</v>
      </c>
      <c r="F16039" s="215" t="n">
        <v>46197</v>
      </c>
    </row>
    <row r="16040">
      <c r="A16040" s="215" t="n">
        <v>46198</v>
      </c>
      <c r="B16040" s="216" t="n">
        <v>13.72</v>
      </c>
      <c r="C16040" s="216" t="n">
        <v>19.01</v>
      </c>
      <c r="D16040" s="216" t="n">
        <v>1.154152035713196</v>
      </c>
      <c r="E16040" s="215" t="n">
        <v>46198</v>
      </c>
      <c r="F16040" s="215" t="n">
        <v>46198</v>
      </c>
    </row>
    <row r="16041">
      <c r="A16041" s="215" t="n">
        <v>46199</v>
      </c>
      <c r="B16041" s="216" t="n">
        <v>13.4</v>
      </c>
      <c r="C16041" s="216" t="n">
        <v>19.17</v>
      </c>
      <c r="D16041" s="216" t="n">
        <v>1.154500961303711</v>
      </c>
      <c r="E16041" s="215" t="n">
        <v>46199</v>
      </c>
      <c r="F16041" s="215" t="n">
        <v>46199</v>
      </c>
    </row>
    <row r="16042">
      <c r="A16042" s="215" t="n">
        <v>46202</v>
      </c>
      <c r="B16042" s="216" t="n">
        <v>12.91</v>
      </c>
      <c r="C16042" s="216" t="n">
        <v>18.53</v>
      </c>
      <c r="D16042" s="216" t="n">
        <v>1.153512001037598</v>
      </c>
      <c r="E16042" s="215" t="n">
        <v>46202</v>
      </c>
      <c r="F16042" s="215" t="n">
        <v>46202</v>
      </c>
    </row>
    <row r="16043">
      <c r="A16043" s="215" t="n">
        <v>46203</v>
      </c>
      <c r="B16043" s="216" t="n">
        <v>12.69</v>
      </c>
      <c r="C16043" s="216" t="n">
        <v>18.7</v>
      </c>
      <c r="D16043" s="216" t="n">
        <v>1.153959035873413</v>
      </c>
      <c r="E16043" s="215" t="n">
        <v>46203</v>
      </c>
      <c r="F16043" s="215" t="n">
        <v>46203</v>
      </c>
    </row>
    <row r="16044">
      <c r="A16044" s="215" t="n">
        <v>46205</v>
      </c>
      <c r="B16044" s="216" t="n">
        <v>12.91</v>
      </c>
      <c r="C16044" s="216" t="n">
        <v>19.08</v>
      </c>
      <c r="D16044" s="216" t="n">
        <v>1.154355049133301</v>
      </c>
      <c r="E16044" s="215" t="n">
        <v>46205</v>
      </c>
      <c r="F16044" s="215" t="n">
        <v>46205</v>
      </c>
    </row>
    <row r="16045">
      <c r="A16045" s="215" t="n">
        <v>46206</v>
      </c>
      <c r="B16045" s="216" t="n">
        <v>13.4</v>
      </c>
      <c r="C16045" s="216" t="n">
        <v>19.25</v>
      </c>
      <c r="D16045" s="216" t="n">
        <v>1.155220985412598</v>
      </c>
      <c r="E16045" s="215" t="n">
        <v>46206</v>
      </c>
      <c r="F16045" s="215" t="n">
        <v>46206</v>
      </c>
    </row>
    <row r="16046">
      <c r="A16046" s="215" t="n">
        <v>46209</v>
      </c>
      <c r="B16046" s="216" t="n">
        <v>13.35</v>
      </c>
      <c r="C16046" s="216" t="n">
        <v>20.47</v>
      </c>
      <c r="D16046" s="216" t="n">
        <v>1.155068039894104</v>
      </c>
      <c r="E16046" s="215" t="n">
        <v>46209</v>
      </c>
      <c r="F16046" s="215" t="n">
        <v>46209</v>
      </c>
    </row>
    <row r="16047">
      <c r="A16047" s="215" t="n">
        <v>46210</v>
      </c>
      <c r="B16047" s="216" t="n">
        <v>13.15</v>
      </c>
      <c r="C16047" s="216" t="n">
        <v>20.84</v>
      </c>
      <c r="D16047" s="216" t="n">
        <v>1.153807997703552</v>
      </c>
      <c r="E16047" s="215" t="n">
        <v>46210</v>
      </c>
      <c r="F16047" s="215" t="n">
        <v>46210</v>
      </c>
    </row>
    <row r="16048">
      <c r="A16048" s="215" t="n">
        <v>46211</v>
      </c>
      <c r="B16048" s="216" t="n">
        <v>12.5</v>
      </c>
      <c r="C16048" s="216" t="n">
        <v>19.03</v>
      </c>
      <c r="D16048" s="216" t="n">
        <v>1.154153943061829</v>
      </c>
      <c r="E16048" s="215" t="n">
        <v>46211</v>
      </c>
      <c r="F16048" s="215" t="n">
        <v>46211</v>
      </c>
    </row>
    <row r="16049">
      <c r="A16049" s="215" t="n">
        <v>46212</v>
      </c>
      <c r="B16049" s="216" t="n">
        <v>12.65</v>
      </c>
      <c r="C16049" s="216" t="n">
        <v>18.76</v>
      </c>
      <c r="D16049" s="216" t="n">
        <v>1.152119994163513</v>
      </c>
      <c r="E16049" s="215" t="n">
        <v>46212</v>
      </c>
      <c r="F16049" s="215" t="n">
        <v>46212</v>
      </c>
    </row>
    <row r="16050">
      <c r="A16050" s="215" t="n">
        <v>46213</v>
      </c>
      <c r="B16050" s="216" t="n">
        <v>12.55</v>
      </c>
      <c r="C16050" s="216" t="n">
        <v>19.05</v>
      </c>
      <c r="D16050" s="216" t="n">
        <v>1.153550028800964</v>
      </c>
      <c r="E16050" s="215" t="n">
        <v>46213</v>
      </c>
      <c r="F16050" s="215" t="n">
        <v>46213</v>
      </c>
    </row>
    <row r="16051">
      <c r="A16051" s="215" t="n">
        <v>46216</v>
      </c>
      <c r="B16051" s="216" t="n">
        <v>12.65</v>
      </c>
      <c r="C16051" s="216" t="n">
        <v>17.39</v>
      </c>
      <c r="D16051" s="216" t="n">
        <v>1.156761050224304</v>
      </c>
      <c r="E16051" s="215" t="n">
        <v>46216</v>
      </c>
      <c r="F16051" s="215" t="n">
        <v>46216</v>
      </c>
    </row>
    <row r="16052">
      <c r="A16052" s="215" t="n">
        <v>46217</v>
      </c>
      <c r="B16052" s="216" t="n">
        <v>12.65</v>
      </c>
      <c r="C16052" s="216" t="n">
        <v>17.79</v>
      </c>
      <c r="D16052" s="216" t="n">
        <v>1.155825972557068</v>
      </c>
      <c r="E16052" s="215" t="n">
        <v>46217</v>
      </c>
      <c r="F16052" s="215" t="n">
        <v>46217</v>
      </c>
    </row>
    <row r="16053">
      <c r="A16053" s="215" t="n">
        <v>46218</v>
      </c>
      <c r="B16053" s="216" t="n">
        <v>12.66</v>
      </c>
      <c r="C16053" s="216" t="n">
        <v>17.9</v>
      </c>
      <c r="D16053" s="216" t="n">
        <v>1.157556056976318</v>
      </c>
      <c r="E16053" s="215" t="n">
        <v>46218</v>
      </c>
      <c r="F16053" s="215" t="n">
        <v>46218</v>
      </c>
    </row>
    <row r="16054">
      <c r="A16054" s="215" t="n">
        <v>46219</v>
      </c>
      <c r="B16054" s="216" t="n">
        <v>12.65</v>
      </c>
      <c r="C16054" s="216" t="n">
        <v>17.76</v>
      </c>
      <c r="D16054" s="216" t="n">
        <v>1.157912969589233</v>
      </c>
      <c r="E16054" s="215" t="n">
        <v>46219</v>
      </c>
      <c r="F16054" s="215" t="n">
        <v>46219</v>
      </c>
    </row>
    <row r="16055">
      <c r="A16055" s="215" t="n">
        <v>46220</v>
      </c>
      <c r="B16055" s="216" t="n">
        <v>11.76</v>
      </c>
      <c r="C16055" s="216" t="n">
        <v>16.81</v>
      </c>
      <c r="D16055" s="216" t="n">
        <v>1.157472014427185</v>
      </c>
      <c r="E16055" s="215" t="n">
        <v>46220</v>
      </c>
      <c r="F16055" s="215" t="n">
        <v>46220</v>
      </c>
    </row>
    <row r="16056">
      <c r="A16056" s="215" t="n">
        <v>46223</v>
      </c>
      <c r="B16056" s="216" t="n">
        <v>12.7</v>
      </c>
      <c r="C16056" s="216" t="n">
        <v>15.95</v>
      </c>
      <c r="D16056" s="216" t="n">
        <v>1.157451033592224</v>
      </c>
      <c r="E16056" s="215" t="n">
        <v>46223</v>
      </c>
      <c r="F16056" s="215" t="n">
        <v>46223</v>
      </c>
    </row>
    <row r="16057">
      <c r="A16057" s="215" t="n">
        <v>46224</v>
      </c>
      <c r="B16057" s="216" t="n">
        <v>12.79</v>
      </c>
      <c r="C16057" s="216" t="n">
        <v>16.86</v>
      </c>
      <c r="D16057" s="216" t="n">
        <v>1.157506942749023</v>
      </c>
      <c r="E16057" s="215" t="n">
        <v>46224</v>
      </c>
      <c r="F16057" s="215" t="n">
        <v>46224</v>
      </c>
    </row>
    <row r="16058">
      <c r="A16058" s="215" t="n">
        <v>46225</v>
      </c>
      <c r="B16058" s="216" t="n">
        <v>12.3</v>
      </c>
      <c r="C16058" s="216" t="n">
        <v>16.17</v>
      </c>
      <c r="D16058" s="216" t="n">
        <v>1.158938050270081</v>
      </c>
      <c r="E16058" s="215" t="n">
        <v>46225</v>
      </c>
      <c r="F16058" s="215" t="n">
        <v>46225</v>
      </c>
    </row>
    <row r="16059">
      <c r="A16059" s="215" t="n">
        <v>46226</v>
      </c>
      <c r="B16059" s="216" t="n">
        <v>12.72</v>
      </c>
      <c r="C16059" s="216" t="n">
        <v>16.69</v>
      </c>
      <c r="D16059" s="216" t="n">
        <v>1.157410979270935</v>
      </c>
      <c r="E16059" s="215" t="n">
        <v>46226</v>
      </c>
      <c r="F16059" s="215" t="n">
        <v>46226</v>
      </c>
    </row>
    <row r="16060">
      <c r="A16060" s="215" t="n">
        <v>46227</v>
      </c>
      <c r="B16060" s="216" t="n">
        <v>12.68</v>
      </c>
      <c r="C16060" s="216" t="n">
        <v>16.12</v>
      </c>
      <c r="D16060" s="216" t="n">
        <v>1.15762197971344</v>
      </c>
      <c r="E16060" s="215" t="n">
        <v>46227</v>
      </c>
      <c r="F16060" s="215" t="n">
        <v>46227</v>
      </c>
    </row>
    <row r="16061">
      <c r="A16061" s="215" t="n">
        <v>46230</v>
      </c>
      <c r="B16061" s="216" t="n">
        <v>12.87</v>
      </c>
      <c r="C16061" s="216" t="n">
        <v>16.89</v>
      </c>
      <c r="D16061" s="216" t="n">
        <v>1.15789794921875</v>
      </c>
      <c r="E16061" s="215" t="n">
        <v>46230</v>
      </c>
      <c r="F16061" s="215" t="n">
        <v>46230</v>
      </c>
    </row>
    <row r="16062">
      <c r="A16062" s="215" t="n">
        <v>46231</v>
      </c>
      <c r="B16062" s="216" t="n">
        <v>12.42</v>
      </c>
      <c r="C16062" s="216" t="n">
        <v>16.7</v>
      </c>
      <c r="D16062" s="216" t="n">
        <v>1.158699035644531</v>
      </c>
      <c r="E16062" s="215" t="n">
        <v>46231</v>
      </c>
      <c r="F16062" s="215" t="n">
        <v>46231</v>
      </c>
    </row>
    <row r="16063">
      <c r="A16063" s="215" t="n">
        <v>46232</v>
      </c>
      <c r="B16063" s="216" t="n">
        <v>12.69</v>
      </c>
      <c r="C16063" s="216" t="n">
        <v>16.99</v>
      </c>
      <c r="D16063" s="216" t="n">
        <v>1.157909989356995</v>
      </c>
      <c r="E16063" s="215" t="n">
        <v>46232</v>
      </c>
      <c r="F16063" s="215" t="n">
        <v>46232</v>
      </c>
    </row>
    <row r="16064">
      <c r="A16064" s="215" t="n">
        <v>46233</v>
      </c>
      <c r="B16064" s="216" t="n">
        <v>12.14</v>
      </c>
      <c r="C16064" s="216" t="n">
        <v>16.7</v>
      </c>
      <c r="D16064" s="216" t="n">
        <v>1.158943057060242</v>
      </c>
      <c r="E16064" s="215" t="n">
        <v>46233</v>
      </c>
      <c r="F16064" s="215" t="n">
        <v>46233</v>
      </c>
    </row>
    <row r="16065">
      <c r="A16065" s="215" t="n">
        <v>46234</v>
      </c>
      <c r="B16065" s="216" t="n">
        <v>12.67</v>
      </c>
      <c r="C16065" s="216" t="n">
        <v>16.91</v>
      </c>
      <c r="D16065" s="216" t="n">
        <v>1.160945057868958</v>
      </c>
      <c r="E16065" s="215" t="n">
        <v>46234</v>
      </c>
      <c r="F16065" s="215" t="n">
        <v>46234</v>
      </c>
    </row>
    <row r="16066">
      <c r="A16066" s="215" t="n">
        <v>46237</v>
      </c>
      <c r="B16066" s="216" t="n">
        <v>12.65</v>
      </c>
      <c r="C16066" s="216" t="n">
        <v>17.35</v>
      </c>
      <c r="D16066" s="216" t="n">
        <v>1.161579966545105</v>
      </c>
      <c r="E16066" s="215" t="n">
        <v>46237</v>
      </c>
      <c r="F16066" s="215" t="n">
        <v>46237</v>
      </c>
    </row>
    <row r="16067">
      <c r="A16067" s="215" t="n">
        <v>46238</v>
      </c>
      <c r="B16067" s="216" t="n">
        <v>12.65</v>
      </c>
      <c r="C16067" s="216" t="n">
        <v>17.51</v>
      </c>
      <c r="D16067" s="216" t="n">
        <v>1.161064982414246</v>
      </c>
      <c r="E16067" s="215" t="n">
        <v>46238</v>
      </c>
      <c r="F16067" s="215" t="n">
        <v>46238</v>
      </c>
    </row>
    <row r="16068">
      <c r="A16068" s="215" t="n">
        <v>46239</v>
      </c>
      <c r="B16068" s="216" t="n">
        <v>13.1</v>
      </c>
      <c r="C16068" s="216" t="n">
        <v>17.7</v>
      </c>
      <c r="D16068" s="216" t="n">
        <v>1.161146998405457</v>
      </c>
      <c r="E16068" s="215" t="n">
        <v>46239</v>
      </c>
      <c r="F16068" s="215" t="n">
        <v>46239</v>
      </c>
    </row>
    <row r="16069">
      <c r="A16069" s="215" t="n">
        <v>46240</v>
      </c>
      <c r="B16069" s="216" t="n">
        <v>12.81</v>
      </c>
      <c r="C16069" s="216" t="n">
        <v>17.48</v>
      </c>
      <c r="D16069" s="216" t="n">
        <v>1.161936044692993</v>
      </c>
      <c r="E16069" s="215" t="n">
        <v>46240</v>
      </c>
      <c r="F16069" s="215" t="n">
        <v>46240</v>
      </c>
    </row>
    <row r="16070">
      <c r="A16070" s="215" t="n">
        <v>46241</v>
      </c>
      <c r="B16070" s="216" t="n">
        <v>13.09</v>
      </c>
      <c r="C16070" s="216" t="n">
        <v>17.8</v>
      </c>
      <c r="D16070" s="216" t="n">
        <v>1.162284016609192</v>
      </c>
      <c r="E16070" s="215" t="n">
        <v>46241</v>
      </c>
      <c r="F16070" s="215" t="n">
        <v>46241</v>
      </c>
    </row>
    <row r="16071">
      <c r="A16071" s="215" t="n">
        <v>46244</v>
      </c>
      <c r="B16071" s="216" t="n">
        <v>13.14</v>
      </c>
      <c r="C16071" s="216" t="n">
        <v>17.93</v>
      </c>
      <c r="D16071" s="216" t="n">
        <v>1.162629961967468</v>
      </c>
      <c r="E16071" s="215" t="n">
        <v>46244</v>
      </c>
      <c r="F16071" s="215" t="n">
        <v>46244</v>
      </c>
    </row>
    <row r="16072">
      <c r="A16072" s="215" t="n">
        <v>46245</v>
      </c>
      <c r="B16072" s="216" t="n">
        <v>13.02</v>
      </c>
      <c r="C16072" s="216" t="n">
        <v>17.72</v>
      </c>
      <c r="D16072" s="216" t="n">
        <v>1.162588000297546</v>
      </c>
      <c r="E16072" s="215" t="n">
        <v>46245</v>
      </c>
      <c r="F16072" s="215" t="n">
        <v>46245</v>
      </c>
    </row>
    <row r="16073">
      <c r="A16073" s="215" t="n">
        <v>46246</v>
      </c>
      <c r="B16073" s="216" t="n">
        <v>13.13</v>
      </c>
      <c r="C16073" s="216" t="n">
        <v>17.96</v>
      </c>
      <c r="D16073" s="216" t="n">
        <v>1.163135051727295</v>
      </c>
      <c r="E16073" s="215" t="n">
        <v>46246</v>
      </c>
      <c r="F16073" s="215" t="n">
        <v>46246</v>
      </c>
    </row>
    <row r="16074">
      <c r="A16074" s="215" t="n">
        <v>46247</v>
      </c>
      <c r="B16074" s="216" t="n">
        <v>13.2</v>
      </c>
      <c r="C16074" s="216" t="n">
        <v>17.76</v>
      </c>
      <c r="D16074" s="216" t="n">
        <v>1.163341045379639</v>
      </c>
      <c r="E16074" s="215" t="n">
        <v>46247</v>
      </c>
      <c r="F16074" s="215" t="n">
        <v>46247</v>
      </c>
    </row>
    <row r="16075">
      <c r="A16075" s="215" t="n">
        <v>46248</v>
      </c>
      <c r="B16075" s="216" t="n">
        <v>13.13</v>
      </c>
      <c r="C16075" s="216" t="n">
        <v>17.75</v>
      </c>
      <c r="D16075" s="216" t="n">
        <v>1.163571000099182</v>
      </c>
      <c r="E16075" s="215" t="n">
        <v>46248</v>
      </c>
      <c r="F16075" s="215" t="n">
        <v>46248</v>
      </c>
    </row>
    <row r="16076">
      <c r="A16076" s="215" t="n">
        <v>46251</v>
      </c>
      <c r="B16076" s="216" t="n">
        <v>13.25</v>
      </c>
      <c r="C16076" s="216" t="n">
        <v>17.9</v>
      </c>
      <c r="D16076" s="216" t="n">
        <v>1.163601994514465</v>
      </c>
      <c r="E16076" s="215" t="n">
        <v>46251</v>
      </c>
      <c r="F16076" s="215" t="n">
        <v>46251</v>
      </c>
    </row>
    <row r="16077">
      <c r="A16077" s="215" t="n">
        <v>46252</v>
      </c>
      <c r="B16077" s="216" t="n">
        <v>12.89</v>
      </c>
      <c r="C16077" s="216" t="n">
        <v>17.48</v>
      </c>
      <c r="D16077" s="216" t="n">
        <v>1.163733005523682</v>
      </c>
      <c r="E16077" s="215" t="n">
        <v>46252</v>
      </c>
      <c r="F16077" s="215" t="n">
        <v>46252</v>
      </c>
    </row>
    <row r="16078">
      <c r="A16078" s="215" t="n">
        <v>46253</v>
      </c>
      <c r="B16078" s="216" t="n">
        <v>12.23</v>
      </c>
      <c r="C16078" s="216" t="n">
        <v>16.53</v>
      </c>
      <c r="D16078" s="216" t="n">
        <v>1.163092017173767</v>
      </c>
      <c r="E16078" s="215" t="n">
        <v>46253</v>
      </c>
      <c r="F16078" s="215" t="n">
        <v>46253</v>
      </c>
    </row>
    <row r="16079">
      <c r="A16079" s="215" t="n">
        <v>46254</v>
      </c>
      <c r="B16079" s="216" t="n">
        <v>12.66</v>
      </c>
      <c r="C16079" s="216" t="n">
        <v>17.05</v>
      </c>
      <c r="D16079" s="216" t="n">
        <v>1.164932012557983</v>
      </c>
      <c r="E16079" s="215" t="n">
        <v>46254</v>
      </c>
      <c r="F16079" s="215" t="n">
        <v>46254</v>
      </c>
    </row>
    <row r="16080">
      <c r="A16080" s="215" t="n">
        <v>46255</v>
      </c>
      <c r="B16080" s="216" t="n">
        <v>12.74</v>
      </c>
      <c r="C16080" s="216" t="n">
        <v>17.04</v>
      </c>
      <c r="D16080" s="216" t="n">
        <v>1.166555047035217</v>
      </c>
      <c r="E16080" s="215" t="n">
        <v>46255</v>
      </c>
      <c r="F16080" s="215" t="n">
        <v>46255</v>
      </c>
    </row>
    <row r="16081">
      <c r="A16081" s="215" t="n">
        <v>46258</v>
      </c>
      <c r="B16081" s="216" t="n">
        <v>11.85</v>
      </c>
      <c r="C16081" s="216" t="n">
        <v>16.61</v>
      </c>
      <c r="D16081" s="216" t="n">
        <v>1.166316986083984</v>
      </c>
      <c r="E16081" s="215" t="n">
        <v>46258</v>
      </c>
      <c r="F16081" s="215" t="n">
        <v>46258</v>
      </c>
    </row>
    <row r="16082">
      <c r="A16082" s="215" t="n">
        <v>46259</v>
      </c>
      <c r="B16082" s="216" t="n">
        <v>12.67</v>
      </c>
      <c r="C16082" s="216" t="n">
        <v>17.09</v>
      </c>
      <c r="D16082" s="216" t="n">
        <v>1.165253043174744</v>
      </c>
      <c r="E16082" s="215" t="n">
        <v>46259</v>
      </c>
      <c r="F16082" s="215" t="n">
        <v>46259</v>
      </c>
    </row>
    <row r="16083">
      <c r="A16083" s="215" t="n">
        <v>46260</v>
      </c>
      <c r="B16083" s="216" t="n">
        <v>12.22</v>
      </c>
      <c r="C16083" s="216" t="n">
        <v>17.08</v>
      </c>
      <c r="D16083" s="216" t="n">
        <v>1.166218996047974</v>
      </c>
      <c r="E16083" s="215" t="n">
        <v>46260</v>
      </c>
      <c r="F16083" s="215" t="n">
        <v>46260</v>
      </c>
    </row>
    <row r="16084">
      <c r="A16084" s="215" t="n">
        <v>46261</v>
      </c>
      <c r="B16084" s="216" t="n">
        <v>12.44</v>
      </c>
      <c r="C16084" s="216" t="n">
        <v>17.22</v>
      </c>
      <c r="D16084" s="216" t="n">
        <v>1.165971040725708</v>
      </c>
      <c r="E16084" s="215" t="n">
        <v>46261</v>
      </c>
      <c r="F16084" s="215" t="n">
        <v>46261</v>
      </c>
    </row>
    <row r="16085">
      <c r="A16085" s="215" t="n">
        <v>46262</v>
      </c>
      <c r="B16085" s="216" t="n">
        <v>12.5</v>
      </c>
      <c r="C16085" s="216" t="n">
        <v>17.08</v>
      </c>
      <c r="D16085" s="216" t="n">
        <v>1.165799975395203</v>
      </c>
      <c r="E16085" s="215" t="n">
        <v>46262</v>
      </c>
      <c r="F16085" s="215" t="n">
        <v>46262</v>
      </c>
    </row>
    <row r="16086">
      <c r="A16086" s="215" t="n">
        <v>46265</v>
      </c>
      <c r="B16086" s="216" t="n">
        <v>12.33</v>
      </c>
      <c r="C16086" s="216" t="n">
        <v>17.58</v>
      </c>
      <c r="D16086" s="216" t="n">
        <v>1.165387988090515</v>
      </c>
      <c r="E16086" s="215" t="n">
        <v>46265</v>
      </c>
      <c r="F16086" s="215" t="n">
        <v>46265</v>
      </c>
    </row>
    <row r="16087">
      <c r="A16087" s="215" t="n">
        <v>46266</v>
      </c>
      <c r="B16087" s="216" t="n">
        <v>12.5</v>
      </c>
      <c r="C16087" s="216" t="n">
        <v>17.71</v>
      </c>
      <c r="D16087" s="216" t="n">
        <v>1.165223956108093</v>
      </c>
      <c r="E16087" s="215" t="n">
        <v>46266</v>
      </c>
      <c r="F16087" s="215" t="n">
        <v>46266</v>
      </c>
    </row>
    <row r="16088">
      <c r="A16088" s="215" t="n">
        <v>46267</v>
      </c>
      <c r="B16088" s="216" t="n">
        <v>12.23</v>
      </c>
      <c r="C16088" s="216" t="n">
        <v>17.72</v>
      </c>
      <c r="D16088" s="216" t="n">
        <v>1.166425943374634</v>
      </c>
      <c r="E16088" s="215" t="n">
        <v>46267</v>
      </c>
      <c r="F16088" s="215" t="n">
        <v>46267</v>
      </c>
    </row>
    <row r="16089">
      <c r="A16089" s="215" t="n">
        <v>46268</v>
      </c>
      <c r="B16089" s="216" t="n">
        <v>11.99</v>
      </c>
      <c r="C16089" s="216" t="n">
        <v>17.19</v>
      </c>
      <c r="D16089" s="216" t="n">
        <v>1.167057037353516</v>
      </c>
      <c r="E16089" s="215" t="n">
        <v>46268</v>
      </c>
      <c r="F16089" s="215" t="n">
        <v>46268</v>
      </c>
    </row>
    <row r="16090">
      <c r="A16090" s="215" t="n">
        <v>46269</v>
      </c>
      <c r="B16090" s="216" t="n">
        <v>12.17</v>
      </c>
      <c r="C16090" s="216" t="n">
        <v>17.58</v>
      </c>
      <c r="D16090" s="216" t="n">
        <v>1.166767954826355</v>
      </c>
      <c r="E16090" s="215" t="n">
        <v>46269</v>
      </c>
      <c r="F16090" s="215" t="n">
        <v>46269</v>
      </c>
    </row>
    <row r="16091">
      <c r="A16091" s="215" t="n">
        <v>46272</v>
      </c>
      <c r="B16091" s="216" t="n">
        <v>12.14</v>
      </c>
      <c r="C16091" s="216" t="n">
        <v>17.91</v>
      </c>
      <c r="D16091" s="216" t="n">
        <v>1.168081045150757</v>
      </c>
      <c r="E16091" s="215" t="n">
        <v>46272</v>
      </c>
      <c r="F16091" s="215" t="n">
        <v>46272</v>
      </c>
    </row>
    <row r="16092">
      <c r="A16092" s="215" t="n">
        <v>46273</v>
      </c>
      <c r="B16092" s="216" t="n">
        <v>12.27</v>
      </c>
      <c r="C16092" s="216" t="n">
        <v>18.36</v>
      </c>
      <c r="D16092" s="216" t="n">
        <v>1.168115019798279</v>
      </c>
      <c r="E16092" s="215" t="n">
        <v>46273</v>
      </c>
      <c r="F16092" s="215" t="n">
        <v>46273</v>
      </c>
    </row>
    <row r="16093">
      <c r="A16093" s="215" t="n">
        <v>46274</v>
      </c>
      <c r="B16093" s="216" t="n">
        <v>12.21</v>
      </c>
      <c r="C16093" s="216" t="n">
        <v>18.11</v>
      </c>
      <c r="D16093" s="216" t="n">
        <v>1.168408989906311</v>
      </c>
      <c r="E16093" s="215" t="n">
        <v>46274</v>
      </c>
      <c r="F16093" s="215" t="n">
        <v>46274</v>
      </c>
    </row>
    <row r="16094">
      <c r="A16094" s="215" t="n">
        <v>46275</v>
      </c>
      <c r="B16094" s="216" t="n">
        <v>11.66</v>
      </c>
      <c r="C16094" s="216" t="n">
        <v>17.62</v>
      </c>
      <c r="D16094" s="216" t="n">
        <v>1.168462991714478</v>
      </c>
      <c r="E16094" s="215" t="n">
        <v>46275</v>
      </c>
      <c r="F16094" s="215" t="n">
        <v>46275</v>
      </c>
    </row>
    <row r="16095">
      <c r="A16095" s="215" t="n">
        <v>46276</v>
      </c>
      <c r="B16095" s="216" t="n">
        <v>11.44</v>
      </c>
      <c r="C16095" s="216" t="n">
        <v>17.2</v>
      </c>
      <c r="D16095" s="216" t="n">
        <v>1.169165015220642</v>
      </c>
      <c r="E16095" s="215" t="n">
        <v>46276</v>
      </c>
      <c r="F16095" s="215" t="n">
        <v>46276</v>
      </c>
    </row>
    <row r="16096">
      <c r="A16096" s="215" t="n">
        <v>46279</v>
      </c>
      <c r="B16096" s="216" t="n">
        <v>11.3</v>
      </c>
      <c r="C16096" s="216" t="n">
        <v>17.42</v>
      </c>
      <c r="D16096" s="216" t="n">
        <v>1.16893994808197</v>
      </c>
      <c r="E16096" s="215" t="n">
        <v>46279</v>
      </c>
      <c r="F16096" s="215" t="n">
        <v>46279</v>
      </c>
    </row>
    <row r="16097">
      <c r="A16097" s="215" t="n">
        <v>46280</v>
      </c>
      <c r="B16097" s="216" t="n">
        <v>10.41</v>
      </c>
      <c r="C16097" s="216" t="n">
        <v>16.52</v>
      </c>
      <c r="D16097" s="216" t="n">
        <v>1.169121026992798</v>
      </c>
      <c r="E16097" s="215" t="n">
        <v>46280</v>
      </c>
      <c r="F16097" s="215" t="n">
        <v>46280</v>
      </c>
    </row>
    <row r="16098">
      <c r="A16098" s="215" t="n">
        <v>46281</v>
      </c>
      <c r="B16098" s="216" t="n">
        <v>10.5</v>
      </c>
      <c r="C16098" s="216" t="n">
        <v>16.69</v>
      </c>
      <c r="D16098" s="216" t="n">
        <v>1.168769955635071</v>
      </c>
      <c r="E16098" s="215" t="n">
        <v>46281</v>
      </c>
      <c r="F16098" s="215" t="n">
        <v>46281</v>
      </c>
    </row>
    <row r="16099">
      <c r="A16099" s="215" t="n">
        <v>46282</v>
      </c>
      <c r="B16099" s="216" t="n">
        <v>10.49</v>
      </c>
      <c r="C16099" s="216" t="n">
        <v>16.71</v>
      </c>
      <c r="D16099" s="216" t="n">
        <v>1.169389963150024</v>
      </c>
      <c r="E16099" s="215" t="n">
        <v>46282</v>
      </c>
      <c r="F16099" s="215" t="n">
        <v>46282</v>
      </c>
    </row>
    <row r="16100">
      <c r="A16100" s="215" t="n">
        <v>46283</v>
      </c>
      <c r="B16100" s="216" t="n">
        <v>10.24</v>
      </c>
      <c r="C16100" s="216" t="n">
        <v>16.86</v>
      </c>
      <c r="D16100" s="216" t="n">
        <v>1.16942298412323</v>
      </c>
      <c r="E16100" s="215" t="n">
        <v>46283</v>
      </c>
      <c r="F16100" s="215" t="n">
        <v>46283</v>
      </c>
    </row>
    <row r="16101">
      <c r="A16101" s="215" t="n">
        <v>46286</v>
      </c>
      <c r="B16101" s="216" t="n">
        <v>10.4</v>
      </c>
      <c r="C16101" s="216" t="n">
        <v>17.07</v>
      </c>
      <c r="D16101" s="216" t="n">
        <v>1.171280026435852</v>
      </c>
      <c r="E16101" s="215" t="n">
        <v>46286</v>
      </c>
      <c r="F16101" s="215" t="n">
        <v>46286</v>
      </c>
    </row>
    <row r="16102">
      <c r="A16102" s="215" t="n">
        <v>46287</v>
      </c>
      <c r="B16102" s="216" t="n">
        <v>10.98</v>
      </c>
      <c r="C16102" s="216" t="n">
        <v>18.91</v>
      </c>
      <c r="D16102" s="216" t="n">
        <v>1.171705007553101</v>
      </c>
      <c r="E16102" s="215" t="n">
        <v>46287</v>
      </c>
      <c r="F16102" s="215" t="n">
        <v>46287</v>
      </c>
    </row>
    <row r="16103">
      <c r="A16103" s="215" t="n">
        <v>46288</v>
      </c>
      <c r="B16103" s="216" t="n">
        <v>10.42</v>
      </c>
      <c r="C16103" s="216" t="n">
        <v>18.22</v>
      </c>
      <c r="D16103" s="216" t="n">
        <v>1.170611023902893</v>
      </c>
      <c r="E16103" s="215" t="n">
        <v>46288</v>
      </c>
      <c r="F16103" s="215" t="n">
        <v>46288</v>
      </c>
    </row>
    <row r="16104">
      <c r="A16104" s="215" t="n">
        <v>46289</v>
      </c>
      <c r="B16104" s="216" t="n">
        <v>10.48</v>
      </c>
      <c r="C16104" s="216" t="n">
        <v>18.1</v>
      </c>
      <c r="D16104" s="216" t="n">
        <v>1.16852605342865</v>
      </c>
      <c r="E16104" s="215" t="n">
        <v>46289</v>
      </c>
      <c r="F16104" s="215" t="n">
        <v>46289</v>
      </c>
    </row>
    <row r="16105">
      <c r="A16105" s="215" t="n">
        <v>46290</v>
      </c>
      <c r="B16105" s="216" t="n">
        <v>10.99</v>
      </c>
      <c r="C16105" s="216" t="n">
        <v>18.1</v>
      </c>
      <c r="D16105" s="216" t="n">
        <v>1.168424010276794</v>
      </c>
      <c r="E16105" s="215" t="n">
        <v>46289</v>
      </c>
      <c r="F16105" s="215" t="n">
        <v>46290</v>
      </c>
    </row>
    <row r="16106">
      <c r="A16106" s="215" t="n">
        <v>46293</v>
      </c>
      <c r="B16106" s="216" t="n">
        <v>10.34</v>
      </c>
      <c r="C16106" s="216" t="n">
        <v>18.49</v>
      </c>
      <c r="D16106" s="216" t="n">
        <v>1.168378949165344</v>
      </c>
      <c r="E16106" s="215" t="n">
        <v>46293</v>
      </c>
      <c r="F16106" s="215" t="n">
        <v>46293</v>
      </c>
    </row>
    <row r="16107">
      <c r="A16107" s="215" t="n">
        <v>46294</v>
      </c>
      <c r="B16107" s="216" t="n">
        <v>10.4</v>
      </c>
      <c r="C16107" s="216" t="n">
        <v>19.92</v>
      </c>
      <c r="D16107" s="216" t="n">
        <v>1.168815970420837</v>
      </c>
      <c r="E16107" s="215" t="n">
        <v>46294</v>
      </c>
      <c r="F16107" s="215" t="n">
        <v>46294</v>
      </c>
    </row>
    <row r="16108">
      <c r="A16108" s="215" t="n">
        <v>46295</v>
      </c>
      <c r="B16108" s="216" t="n">
        <v>10.4</v>
      </c>
      <c r="C16108" s="216" t="n">
        <v>20.42</v>
      </c>
      <c r="D16108" s="216" t="n">
        <v>1.17059600353241</v>
      </c>
      <c r="E16108" s="215" t="n">
        <v>46295</v>
      </c>
      <c r="F16108" s="215" t="n">
        <v>46295</v>
      </c>
    </row>
    <row r="16109">
      <c r="A16109" s="215" t="n">
        <v>46297</v>
      </c>
      <c r="B16109" s="216" t="n">
        <v>9.994999999999999</v>
      </c>
      <c r="C16109" s="216" t="n">
        <v>20.42</v>
      </c>
      <c r="D16109" s="216" t="n">
        <v>1.170220971107483</v>
      </c>
      <c r="E16109" s="215" t="n">
        <v>46295</v>
      </c>
      <c r="F16109" s="215" t="n">
        <v>46297</v>
      </c>
    </row>
    <row r="16110">
      <c r="A16110" s="215" t="n">
        <v>46064</v>
      </c>
      <c r="B16110" s="216" t="n">
        <v>45.8</v>
      </c>
      <c r="C16110" s="216" t="n">
        <v>55.35</v>
      </c>
      <c r="D16110" s="216" t="n">
        <v>1.130962014198303</v>
      </c>
      <c r="E16110" s="215" t="n">
        <v>46064</v>
      </c>
      <c r="F16110" s="215" t="n">
        <v>46064</v>
      </c>
    </row>
    <row r="16111">
      <c r="A16111" s="215" t="n">
        <v>46065</v>
      </c>
      <c r="B16111" s="216" t="n">
        <v>43.8</v>
      </c>
      <c r="C16111" s="216" t="n">
        <v>55.2</v>
      </c>
      <c r="D16111" s="216" t="n">
        <v>1.130671977996826</v>
      </c>
      <c r="E16111" s="215" t="n">
        <v>46065</v>
      </c>
      <c r="F16111" s="215" t="n">
        <v>46065</v>
      </c>
    </row>
    <row r="16112">
      <c r="A16112" s="215" t="n">
        <v>46066</v>
      </c>
      <c r="B16112" s="216" t="n">
        <v>45.4</v>
      </c>
      <c r="C16112" s="216" t="n">
        <v>54.8</v>
      </c>
      <c r="D16112" s="216" t="n">
        <v>1.132490992546082</v>
      </c>
      <c r="E16112" s="215" t="n">
        <v>46066</v>
      </c>
      <c r="F16112" s="215" t="n">
        <v>46066</v>
      </c>
    </row>
    <row r="16113">
      <c r="A16113" s="215" t="n">
        <v>46069</v>
      </c>
      <c r="B16113" s="216" t="n">
        <v>46</v>
      </c>
      <c r="C16113" s="216" t="n">
        <v>54.8</v>
      </c>
      <c r="D16113" s="216" t="n">
        <v>1.131224036216736</v>
      </c>
      <c r="E16113" s="215" t="n">
        <v>46066</v>
      </c>
      <c r="F16113" s="215" t="n">
        <v>46069</v>
      </c>
    </row>
    <row r="16114">
      <c r="A16114" s="215" t="n">
        <v>46073</v>
      </c>
      <c r="B16114" s="216" t="n">
        <v>45.52</v>
      </c>
      <c r="C16114" s="216" t="n">
        <v>54.8</v>
      </c>
      <c r="D16114" s="216" t="n">
        <v>1.131005048751831</v>
      </c>
      <c r="E16114" s="215" t="n">
        <v>46066</v>
      </c>
      <c r="F16114" s="215" t="n">
        <v>46073</v>
      </c>
    </row>
    <row r="16115">
      <c r="A16115" s="215" t="n">
        <v>46076</v>
      </c>
      <c r="B16115" s="216" t="n">
        <v>46.08</v>
      </c>
      <c r="C16115" s="216" t="n">
        <v>54.8</v>
      </c>
      <c r="D16115" s="216" t="n">
        <v>1.130877017974854</v>
      </c>
      <c r="E16115" s="215" t="n">
        <v>46066</v>
      </c>
      <c r="F16115" s="215" t="n">
        <v>46076</v>
      </c>
    </row>
    <row r="16116">
      <c r="A16116" s="215" t="n">
        <v>46077</v>
      </c>
      <c r="B16116" s="216" t="n">
        <v>45.78</v>
      </c>
      <c r="C16116" s="216" t="n">
        <v>54.31</v>
      </c>
      <c r="D16116" s="216" t="n">
        <v>1.131631016731262</v>
      </c>
      <c r="E16116" s="215" t="n">
        <v>46077</v>
      </c>
      <c r="F16116" s="215" t="n">
        <v>46077</v>
      </c>
    </row>
    <row r="16117">
      <c r="A16117" s="215" t="n">
        <v>46078</v>
      </c>
      <c r="B16117" s="216" t="n">
        <v>45.8</v>
      </c>
      <c r="C16117" s="216" t="n">
        <v>55.45</v>
      </c>
      <c r="D16117" s="216" t="n">
        <v>1.136234045028687</v>
      </c>
      <c r="E16117" s="215" t="n">
        <v>46078</v>
      </c>
      <c r="F16117" s="215" t="n">
        <v>46078</v>
      </c>
    </row>
    <row r="16118">
      <c r="A16118" s="215" t="n">
        <v>46079</v>
      </c>
      <c r="B16118" s="216" t="n">
        <v>45.8</v>
      </c>
      <c r="C16118" s="216" t="n">
        <v>55.08</v>
      </c>
      <c r="D16118" s="216" t="n">
        <v>1.138198971748352</v>
      </c>
      <c r="E16118" s="215" t="n">
        <v>46079</v>
      </c>
      <c r="F16118" s="215" t="n">
        <v>46079</v>
      </c>
    </row>
    <row r="16119">
      <c r="A16119" s="215" t="n">
        <v>46080</v>
      </c>
      <c r="B16119" s="216" t="n">
        <v>45.8</v>
      </c>
      <c r="C16119" s="216" t="n">
        <v>54.8</v>
      </c>
      <c r="D16119" s="216" t="n">
        <v>1.143396973609924</v>
      </c>
      <c r="E16119" s="215" t="n">
        <v>46080</v>
      </c>
      <c r="F16119" s="215" t="n">
        <v>46080</v>
      </c>
    </row>
    <row r="16120">
      <c r="A16120" s="215" t="n">
        <v>46083</v>
      </c>
      <c r="B16120" s="216" t="n">
        <v>44.58</v>
      </c>
      <c r="C16120" s="216" t="n">
        <v>53.28</v>
      </c>
      <c r="D16120" s="216" t="n">
        <v>1.140552043914795</v>
      </c>
      <c r="E16120" s="215" t="n">
        <v>46083</v>
      </c>
      <c r="F16120" s="215" t="n">
        <v>46083</v>
      </c>
    </row>
    <row r="16121">
      <c r="A16121" s="215" t="n">
        <v>46084</v>
      </c>
      <c r="B16121" s="216" t="n">
        <v>42</v>
      </c>
      <c r="C16121" s="216" t="n">
        <v>50.15</v>
      </c>
      <c r="D16121" s="216" t="n">
        <v>1.136399984359741</v>
      </c>
      <c r="E16121" s="215" t="n">
        <v>46084</v>
      </c>
      <c r="F16121" s="215" t="n">
        <v>46084</v>
      </c>
    </row>
    <row r="16122">
      <c r="A16122" s="215" t="n">
        <v>46085</v>
      </c>
      <c r="B16122" s="216" t="n">
        <v>38.32</v>
      </c>
      <c r="C16122" s="216" t="n">
        <v>49.82</v>
      </c>
      <c r="D16122" s="216" t="n">
        <v>1.130928993225098</v>
      </c>
      <c r="E16122" s="215" t="n">
        <v>46085</v>
      </c>
      <c r="F16122" s="215" t="n">
        <v>46085</v>
      </c>
    </row>
    <row r="16123">
      <c r="A16123" s="215" t="n">
        <v>46086</v>
      </c>
      <c r="B16123" s="216" t="n">
        <v>40.66</v>
      </c>
      <c r="C16123" s="216" t="n">
        <v>50.5</v>
      </c>
      <c r="D16123" s="216" t="n">
        <v>1.133169054985046</v>
      </c>
      <c r="E16123" s="215" t="n">
        <v>46086</v>
      </c>
      <c r="F16123" s="215" t="n">
        <v>46086</v>
      </c>
    </row>
    <row r="16124">
      <c r="A16124" s="215" t="n">
        <v>46087</v>
      </c>
      <c r="B16124" s="216" t="n">
        <v>40.3</v>
      </c>
      <c r="C16124" s="216" t="n">
        <v>50.14</v>
      </c>
      <c r="D16124" s="216" t="n">
        <v>1.133442044258118</v>
      </c>
      <c r="E16124" s="215" t="n">
        <v>46087</v>
      </c>
      <c r="F16124" s="215" t="n">
        <v>46087</v>
      </c>
    </row>
    <row r="16125">
      <c r="A16125" s="215" t="n">
        <v>46090</v>
      </c>
      <c r="B16125" s="216" t="n">
        <v>40.28</v>
      </c>
      <c r="C16125" s="216" t="n">
        <v>49.65</v>
      </c>
      <c r="D16125" s="216" t="n">
        <v>1.133231043815613</v>
      </c>
      <c r="E16125" s="215" t="n">
        <v>46090</v>
      </c>
      <c r="F16125" s="215" t="n">
        <v>46090</v>
      </c>
    </row>
    <row r="16126">
      <c r="A16126" s="215" t="n">
        <v>46091</v>
      </c>
      <c r="B16126" s="216" t="n">
        <v>41.5</v>
      </c>
      <c r="C16126" s="216" t="n">
        <v>50.87</v>
      </c>
      <c r="D16126" s="216" t="n">
        <v>1.131595015525818</v>
      </c>
      <c r="E16126" s="215" t="n">
        <v>46091</v>
      </c>
      <c r="F16126" s="215" t="n">
        <v>46091</v>
      </c>
    </row>
    <row r="16127">
      <c r="A16127" s="215" t="n">
        <v>46092</v>
      </c>
      <c r="B16127" s="216" t="n">
        <v>43.4</v>
      </c>
      <c r="C16127" s="216" t="n">
        <v>52.15</v>
      </c>
      <c r="D16127" s="216" t="n">
        <v>1.137585043907166</v>
      </c>
      <c r="E16127" s="215" t="n">
        <v>46092</v>
      </c>
      <c r="F16127" s="215" t="n">
        <v>46092</v>
      </c>
    </row>
    <row r="16128">
      <c r="A16128" s="215" t="n">
        <v>46093</v>
      </c>
      <c r="B16128" s="216" t="n">
        <v>45.62</v>
      </c>
      <c r="C16128" s="216" t="n">
        <v>52.5</v>
      </c>
      <c r="D16128" s="216" t="n">
        <v>1.139600038528442</v>
      </c>
      <c r="E16128" s="215" t="n">
        <v>46093</v>
      </c>
      <c r="F16128" s="215" t="n">
        <v>46093</v>
      </c>
    </row>
    <row r="16129">
      <c r="A16129" s="215" t="n">
        <v>46094</v>
      </c>
      <c r="B16129" s="216" t="n">
        <v>45.72</v>
      </c>
      <c r="C16129" s="216" t="n">
        <v>51.9</v>
      </c>
      <c r="D16129" s="216" t="n">
        <v>1.139310002326965</v>
      </c>
      <c r="E16129" s="215" t="n">
        <v>46094</v>
      </c>
      <c r="F16129" s="215" t="n">
        <v>46094</v>
      </c>
    </row>
    <row r="16130">
      <c r="A16130" s="215" t="n">
        <v>46097</v>
      </c>
      <c r="B16130" s="216" t="n">
        <v>43.66</v>
      </c>
      <c r="C16130" s="216" t="n">
        <v>51.35</v>
      </c>
      <c r="D16130" s="216" t="n">
        <v>1.134883999824524</v>
      </c>
      <c r="E16130" s="215" t="n">
        <v>46097</v>
      </c>
      <c r="F16130" s="215" t="n">
        <v>46097</v>
      </c>
    </row>
    <row r="16131">
      <c r="A16131" s="215" t="n">
        <v>46098</v>
      </c>
      <c r="B16131" s="216" t="n">
        <v>41.66</v>
      </c>
      <c r="C16131" s="216" t="n">
        <v>49.84</v>
      </c>
      <c r="D16131" s="216" t="n">
        <v>1.125375986099243</v>
      </c>
      <c r="E16131" s="215" t="n">
        <v>46098</v>
      </c>
      <c r="F16131" s="215" t="n">
        <v>46098</v>
      </c>
    </row>
    <row r="16132">
      <c r="A16132" s="215" t="n">
        <v>46099</v>
      </c>
      <c r="B16132" s="216" t="n">
        <v>42.24</v>
      </c>
      <c r="C16132" s="216" t="n">
        <v>49.5</v>
      </c>
      <c r="D16132" s="216" t="n">
        <v>1.137819051742554</v>
      </c>
      <c r="E16132" s="215" t="n">
        <v>46099</v>
      </c>
      <c r="F16132" s="215" t="n">
        <v>46099</v>
      </c>
    </row>
    <row r="16133">
      <c r="A16133" s="215" t="n">
        <v>46100</v>
      </c>
      <c r="B16133" s="216" t="n">
        <v>42.3</v>
      </c>
      <c r="C16133" s="216" t="n">
        <v>48.17</v>
      </c>
      <c r="D16133" s="216" t="n">
        <v>1.140079021453857</v>
      </c>
      <c r="E16133" s="215" t="n">
        <v>46100</v>
      </c>
      <c r="F16133" s="215" t="n">
        <v>46100</v>
      </c>
    </row>
    <row r="16134">
      <c r="A16134" s="215" t="n">
        <v>46101</v>
      </c>
      <c r="B16134" s="216" t="n">
        <v>42.42</v>
      </c>
      <c r="C16134" s="216" t="n">
        <v>49.01</v>
      </c>
      <c r="D16134" s="216" t="n">
        <v>1.13490903377533</v>
      </c>
      <c r="E16134" s="215" t="n">
        <v>46101</v>
      </c>
      <c r="F16134" s="215" t="n">
        <v>46101</v>
      </c>
    </row>
    <row r="16135">
      <c r="A16135" s="215" t="n">
        <v>46104</v>
      </c>
      <c r="B16135" s="216" t="n">
        <v>41.5</v>
      </c>
      <c r="C16135" s="216" t="n">
        <v>47.19</v>
      </c>
      <c r="D16135" s="216" t="n">
        <v>1.137529969215393</v>
      </c>
      <c r="E16135" s="215" t="n">
        <v>46104</v>
      </c>
      <c r="F16135" s="215" t="n">
        <v>46104</v>
      </c>
    </row>
    <row r="16136">
      <c r="A16136" s="215" t="n">
        <v>46105</v>
      </c>
      <c r="B16136" s="216" t="n">
        <v>42.5</v>
      </c>
      <c r="C16136" s="216" t="n">
        <v>47.26</v>
      </c>
      <c r="D16136" s="216" t="n">
        <v>1.138481974601746</v>
      </c>
      <c r="E16136" s="215" t="n">
        <v>46105</v>
      </c>
      <c r="F16136" s="215" t="n">
        <v>46105</v>
      </c>
    </row>
    <row r="16137">
      <c r="A16137" s="215" t="n">
        <v>46106</v>
      </c>
      <c r="B16137" s="216" t="n">
        <v>43.6</v>
      </c>
      <c r="C16137" s="216" t="n">
        <v>48.19</v>
      </c>
      <c r="D16137" s="216" t="n">
        <v>1.135548949241638</v>
      </c>
      <c r="E16137" s="215" t="n">
        <v>46106</v>
      </c>
      <c r="F16137" s="215" t="n">
        <v>46106</v>
      </c>
    </row>
    <row r="16138">
      <c r="A16138" s="215" t="n">
        <v>46107</v>
      </c>
      <c r="B16138" s="216" t="n">
        <v>42.74</v>
      </c>
      <c r="C16138" s="216" t="n">
        <v>48.16</v>
      </c>
      <c r="D16138" s="216" t="n">
        <v>1.132627010345459</v>
      </c>
      <c r="E16138" s="215" t="n">
        <v>46107</v>
      </c>
      <c r="F16138" s="215" t="n">
        <v>46107</v>
      </c>
    </row>
    <row r="16139">
      <c r="A16139" s="215" t="n">
        <v>46108</v>
      </c>
      <c r="B16139" s="216" t="n">
        <v>44.74</v>
      </c>
      <c r="C16139" s="216" t="n">
        <v>49.6</v>
      </c>
      <c r="D16139" s="216" t="n">
        <v>1.132115960121155</v>
      </c>
      <c r="E16139" s="215" t="n">
        <v>46108</v>
      </c>
      <c r="F16139" s="215" t="n">
        <v>46108</v>
      </c>
    </row>
    <row r="16140">
      <c r="A16140" s="215" t="n">
        <v>46111</v>
      </c>
      <c r="B16140" s="216" t="n">
        <v>44.6</v>
      </c>
      <c r="C16140" s="216" t="n">
        <v>49.52</v>
      </c>
      <c r="D16140" s="216" t="n">
        <v>1.13311505317688</v>
      </c>
      <c r="E16140" s="215" t="n">
        <v>46111</v>
      </c>
      <c r="F16140" s="215" t="n">
        <v>46111</v>
      </c>
    </row>
    <row r="16141">
      <c r="A16141" s="215" t="n">
        <v>46112</v>
      </c>
      <c r="B16141" s="216" t="n">
        <v>41.32</v>
      </c>
      <c r="C16141" s="216" t="n">
        <v>47.7</v>
      </c>
      <c r="D16141" s="216" t="n">
        <v>1.133540987968445</v>
      </c>
      <c r="E16141" s="215" t="n">
        <v>46112</v>
      </c>
      <c r="F16141" s="215" t="n">
        <v>46112</v>
      </c>
    </row>
    <row r="16142">
      <c r="A16142" s="215" t="n">
        <v>46113</v>
      </c>
      <c r="B16142" s="216" t="n">
        <v>42.24</v>
      </c>
      <c r="C16142" s="216" t="n">
        <v>48.4</v>
      </c>
      <c r="D16142" s="216" t="n">
        <v>1.136669993400574</v>
      </c>
      <c r="E16142" s="215" t="n">
        <v>46113</v>
      </c>
      <c r="F16142" s="215" t="n">
        <v>46113</v>
      </c>
    </row>
    <row r="16143">
      <c r="A16143" s="215" t="n">
        <v>46114</v>
      </c>
      <c r="B16143" s="216" t="n">
        <v>42.4</v>
      </c>
      <c r="C16143" s="216" t="n">
        <v>47.19</v>
      </c>
      <c r="D16143" s="216" t="n">
        <v>1.140197992324829</v>
      </c>
      <c r="E16143" s="215" t="n">
        <v>46114</v>
      </c>
      <c r="F16143" s="215" t="n">
        <v>46114</v>
      </c>
    </row>
    <row r="16144">
      <c r="A16144" s="215" t="n">
        <v>46120</v>
      </c>
      <c r="B16144" s="216" t="n">
        <v>47.7</v>
      </c>
      <c r="C16144" s="216" t="n">
        <v>50.91</v>
      </c>
      <c r="D16144" s="216" t="n">
        <v>1.1423499584198</v>
      </c>
      <c r="E16144" s="215" t="n">
        <v>46120</v>
      </c>
      <c r="F16144" s="215" t="n">
        <v>46120</v>
      </c>
    </row>
    <row r="16145">
      <c r="A16145" s="215" t="n">
        <v>46121</v>
      </c>
      <c r="B16145" s="216" t="n">
        <v>47.7</v>
      </c>
      <c r="C16145" s="216" t="n">
        <v>50.28</v>
      </c>
      <c r="D16145" s="216" t="n">
        <v>1.146731972694397</v>
      </c>
      <c r="E16145" s="215" t="n">
        <v>46121</v>
      </c>
      <c r="F16145" s="215" t="n">
        <v>46121</v>
      </c>
    </row>
    <row r="16146">
      <c r="A16146" s="215" t="n">
        <v>46122</v>
      </c>
      <c r="B16146" s="216" t="n">
        <v>48.08</v>
      </c>
      <c r="C16146" s="216" t="n">
        <v>52.31</v>
      </c>
      <c r="D16146" s="216" t="n">
        <v>1.146558046340942</v>
      </c>
      <c r="E16146" s="215" t="n">
        <v>46122</v>
      </c>
      <c r="F16146" s="215" t="n">
        <v>46122</v>
      </c>
    </row>
    <row r="16147">
      <c r="A16147" s="215" t="n">
        <v>46125</v>
      </c>
      <c r="B16147" s="216" t="n">
        <v>48.1</v>
      </c>
      <c r="C16147" s="216" t="n">
        <v>53.21</v>
      </c>
      <c r="D16147" s="216" t="n">
        <v>1.147117972373962</v>
      </c>
      <c r="E16147" s="215" t="n">
        <v>46125</v>
      </c>
      <c r="F16147" s="215" t="n">
        <v>46125</v>
      </c>
    </row>
    <row r="16148">
      <c r="A16148" s="215" t="n">
        <v>46126</v>
      </c>
      <c r="B16148" s="216" t="n">
        <v>49.6</v>
      </c>
      <c r="C16148" s="216" t="n">
        <v>54.18</v>
      </c>
      <c r="D16148" s="216" t="n">
        <v>1.146226048469543</v>
      </c>
      <c r="E16148" s="215" t="n">
        <v>46126</v>
      </c>
      <c r="F16148" s="215" t="n">
        <v>46126</v>
      </c>
    </row>
    <row r="16149">
      <c r="A16149" s="215" t="n">
        <v>46127</v>
      </c>
      <c r="B16149" s="216" t="n">
        <v>48.84</v>
      </c>
      <c r="C16149" s="216" t="n">
        <v>52.86</v>
      </c>
      <c r="D16149" s="216" t="n">
        <v>1.149266004562378</v>
      </c>
      <c r="E16149" s="215" t="n">
        <v>46127</v>
      </c>
      <c r="F16149" s="215" t="n">
        <v>46127</v>
      </c>
    </row>
    <row r="16150">
      <c r="A16150" s="215" t="n">
        <v>46128</v>
      </c>
      <c r="B16150" s="216" t="n">
        <v>51</v>
      </c>
      <c r="C16150" s="216" t="n">
        <v>53.66</v>
      </c>
      <c r="D16150" s="216" t="n">
        <v>1.148550033569336</v>
      </c>
      <c r="E16150" s="215" t="n">
        <v>46128</v>
      </c>
      <c r="F16150" s="215" t="n">
        <v>46128</v>
      </c>
    </row>
    <row r="16151">
      <c r="A16151" s="215" t="n">
        <v>46129</v>
      </c>
      <c r="B16151" s="216" t="n">
        <v>51.6</v>
      </c>
      <c r="C16151" s="216" t="n">
        <v>56</v>
      </c>
      <c r="D16151" s="216" t="n">
        <v>1.146605014801025</v>
      </c>
      <c r="E16151" s="215" t="n">
        <v>46129</v>
      </c>
      <c r="F16151" s="215" t="n">
        <v>46129</v>
      </c>
    </row>
    <row r="16152">
      <c r="A16152" s="215" t="n">
        <v>46132</v>
      </c>
      <c r="B16152" s="216" t="n">
        <v>53.3</v>
      </c>
      <c r="C16152" s="216" t="n">
        <v>56.7</v>
      </c>
      <c r="D16152" s="216" t="n">
        <v>1.148360967636108</v>
      </c>
      <c r="E16152" s="215" t="n">
        <v>46132</v>
      </c>
      <c r="F16152" s="215" t="n">
        <v>46132</v>
      </c>
    </row>
    <row r="16153">
      <c r="A16153" s="215" t="n">
        <v>46133</v>
      </c>
      <c r="B16153" s="216" t="n">
        <v>56.7</v>
      </c>
      <c r="C16153" s="216" t="n">
        <v>58.58</v>
      </c>
      <c r="D16153" s="216" t="n">
        <v>1.148368000984192</v>
      </c>
      <c r="E16153" s="215" t="n">
        <v>46133</v>
      </c>
      <c r="F16153" s="215" t="n">
        <v>46133</v>
      </c>
    </row>
    <row r="16154">
      <c r="A16154" s="215" t="n">
        <v>46134</v>
      </c>
      <c r="B16154" s="216" t="n">
        <v>57.95</v>
      </c>
      <c r="C16154" s="216" t="n">
        <v>58.8</v>
      </c>
      <c r="D16154" s="216" t="n">
        <v>1.147838950157166</v>
      </c>
      <c r="E16154" s="215" t="n">
        <v>46134</v>
      </c>
      <c r="F16154" s="215" t="n">
        <v>46134</v>
      </c>
    </row>
    <row r="16155">
      <c r="A16155" s="215" t="n">
        <v>46135</v>
      </c>
      <c r="B16155" s="216" t="n">
        <v>57.9</v>
      </c>
      <c r="C16155" s="216" t="n">
        <v>57.08</v>
      </c>
      <c r="D16155" s="216" t="n">
        <v>1.147513031959534</v>
      </c>
      <c r="E16155" s="215" t="n">
        <v>46135</v>
      </c>
      <c r="F16155" s="215" t="n">
        <v>46135</v>
      </c>
    </row>
    <row r="16156">
      <c r="A16156" s="215" t="n">
        <v>46136</v>
      </c>
      <c r="B16156" s="216" t="n">
        <v>57.15</v>
      </c>
      <c r="C16156" s="216" t="n">
        <v>56.96</v>
      </c>
      <c r="D16156" s="216" t="n">
        <v>1.147369027137756</v>
      </c>
      <c r="E16156" s="215" t="n">
        <v>46136</v>
      </c>
      <c r="F16156" s="215" t="n">
        <v>46136</v>
      </c>
    </row>
    <row r="16157">
      <c r="A16157" s="215" t="n">
        <v>46139</v>
      </c>
      <c r="B16157" s="216" t="n">
        <v>58</v>
      </c>
      <c r="C16157" s="216" t="n">
        <v>57.43</v>
      </c>
      <c r="D16157" s="216" t="n">
        <v>1.146002054214478</v>
      </c>
      <c r="E16157" s="215" t="n">
        <v>46139</v>
      </c>
      <c r="F16157" s="215" t="n">
        <v>46139</v>
      </c>
    </row>
    <row r="16158">
      <c r="A16158" s="215" t="n">
        <v>46140</v>
      </c>
      <c r="B16158" s="216" t="n">
        <v>57.6</v>
      </c>
      <c r="C16158" s="216" t="n">
        <v>55.36</v>
      </c>
      <c r="D16158" s="216" t="n">
        <v>1.148522019386292</v>
      </c>
      <c r="E16158" s="215" t="n">
        <v>46140</v>
      </c>
      <c r="F16158" s="215" t="n">
        <v>46140</v>
      </c>
    </row>
    <row r="16159">
      <c r="A16159" s="215" t="n">
        <v>46141</v>
      </c>
      <c r="B16159" s="216" t="n">
        <v>56.55</v>
      </c>
      <c r="C16159" s="216" t="n">
        <v>55.81</v>
      </c>
      <c r="D16159" s="216" t="n">
        <v>1.145936012268066</v>
      </c>
      <c r="E16159" s="215" t="n">
        <v>46141</v>
      </c>
      <c r="F16159" s="215" t="n">
        <v>46141</v>
      </c>
    </row>
    <row r="16160">
      <c r="A16160" s="215" t="n">
        <v>46142</v>
      </c>
      <c r="B16160" s="216" t="n">
        <v>59.4</v>
      </c>
      <c r="C16160" s="216" t="n">
        <v>55.22</v>
      </c>
      <c r="D16160" s="216" t="n">
        <v>1.145792007446289</v>
      </c>
      <c r="E16160" s="215" t="n">
        <v>46142</v>
      </c>
      <c r="F16160" s="215" t="n">
        <v>46142</v>
      </c>
    </row>
    <row r="16161">
      <c r="A16161" s="215" t="n">
        <v>46146</v>
      </c>
      <c r="B16161" s="216" t="n">
        <v>54.25</v>
      </c>
      <c r="C16161" s="216" t="n">
        <v>55.22</v>
      </c>
      <c r="D16161" s="216" t="n">
        <v>1.147340059280396</v>
      </c>
      <c r="E16161" s="215" t="n">
        <v>46142</v>
      </c>
      <c r="F16161" s="215" t="n">
        <v>46146</v>
      </c>
    </row>
    <row r="16162">
      <c r="A16162" s="215" t="n">
        <v>46147</v>
      </c>
      <c r="B16162" s="216" t="n">
        <v>52.25</v>
      </c>
      <c r="C16162" s="216" t="n">
        <v>55.22</v>
      </c>
      <c r="D16162" s="216" t="n">
        <v>1.146813988685608</v>
      </c>
      <c r="E16162" s="215" t="n">
        <v>46142</v>
      </c>
      <c r="F16162" s="215" t="n">
        <v>46147</v>
      </c>
    </row>
    <row r="16163">
      <c r="A16163" s="215" t="n">
        <v>46148</v>
      </c>
      <c r="B16163" s="216" t="n">
        <v>58</v>
      </c>
      <c r="C16163" s="216" t="n">
        <v>57.01</v>
      </c>
      <c r="D16163" s="216" t="n">
        <v>1.14708399772644</v>
      </c>
      <c r="E16163" s="215" t="n">
        <v>46148</v>
      </c>
      <c r="F16163" s="215" t="n">
        <v>46148</v>
      </c>
    </row>
    <row r="16164">
      <c r="A16164" s="215" t="n">
        <v>46149</v>
      </c>
      <c r="B16164" s="216" t="n">
        <v>57.25</v>
      </c>
      <c r="C16164" s="216" t="n">
        <v>56.31</v>
      </c>
      <c r="D16164" s="216" t="n">
        <v>1.150125026702881</v>
      </c>
      <c r="E16164" s="215" t="n">
        <v>46149</v>
      </c>
      <c r="F16164" s="215" t="n">
        <v>46149</v>
      </c>
    </row>
    <row r="16165">
      <c r="A16165" s="215" t="n">
        <v>46150</v>
      </c>
      <c r="B16165" s="216" t="n">
        <v>54.5</v>
      </c>
      <c r="C16165" s="216" t="n">
        <v>54.75</v>
      </c>
      <c r="D16165" s="216" t="n">
        <v>1.15172004699707</v>
      </c>
      <c r="E16165" s="215" t="n">
        <v>46150</v>
      </c>
      <c r="F16165" s="215" t="n">
        <v>46150</v>
      </c>
    </row>
    <row r="16166">
      <c r="A16166" s="215" t="n">
        <v>46153</v>
      </c>
      <c r="B16166" s="216" t="n">
        <v>59.05</v>
      </c>
      <c r="C16166" s="216" t="n">
        <v>56.55</v>
      </c>
      <c r="D16166" s="216" t="n">
        <v>1.151090025901794</v>
      </c>
      <c r="E16166" s="215" t="n">
        <v>46153</v>
      </c>
      <c r="F16166" s="215" t="n">
        <v>46153</v>
      </c>
    </row>
    <row r="16167">
      <c r="A16167" s="215" t="n">
        <v>46154</v>
      </c>
      <c r="B16167" s="216" t="n">
        <v>53.15</v>
      </c>
      <c r="C16167" s="216" t="n">
        <v>54.06</v>
      </c>
      <c r="D16167" s="216" t="n">
        <v>1.152078986167908</v>
      </c>
      <c r="E16167" s="215" t="n">
        <v>46154</v>
      </c>
      <c r="F16167" s="215" t="n">
        <v>46154</v>
      </c>
    </row>
    <row r="16168">
      <c r="A16168" s="215" t="n">
        <v>46155</v>
      </c>
      <c r="B16168" s="216" t="n">
        <v>54.35</v>
      </c>
      <c r="C16168" s="216" t="n">
        <v>54.77</v>
      </c>
      <c r="D16168" s="216" t="n">
        <v>1.152537941932678</v>
      </c>
      <c r="E16168" s="215" t="n">
        <v>46155</v>
      </c>
      <c r="F16168" s="215" t="n">
        <v>46155</v>
      </c>
    </row>
    <row r="16169">
      <c r="A16169" s="215" t="n">
        <v>46156</v>
      </c>
      <c r="B16169" s="216" t="n">
        <v>52.5</v>
      </c>
      <c r="C16169" s="216" t="n">
        <v>52.4</v>
      </c>
      <c r="D16169" s="216" t="n">
        <v>1.152662992477417</v>
      </c>
      <c r="E16169" s="215" t="n">
        <v>46156</v>
      </c>
      <c r="F16169" s="215" t="n">
        <v>46156</v>
      </c>
    </row>
    <row r="16170">
      <c r="A16170" s="215" t="n">
        <v>46157</v>
      </c>
      <c r="B16170" s="216" t="n">
        <v>52.35</v>
      </c>
      <c r="C16170" s="216" t="n">
        <v>52.2</v>
      </c>
      <c r="D16170" s="216" t="n">
        <v>1.154320001602173</v>
      </c>
      <c r="E16170" s="215" t="n">
        <v>46157</v>
      </c>
      <c r="F16170" s="215" t="n">
        <v>46157</v>
      </c>
    </row>
    <row r="16171">
      <c r="A16171" s="215" t="n">
        <v>46160</v>
      </c>
      <c r="B16171" s="216" t="n">
        <v>52.7</v>
      </c>
      <c r="C16171" s="216" t="n">
        <v>52.91</v>
      </c>
      <c r="D16171" s="216" t="n">
        <v>1.149821996688843</v>
      </c>
      <c r="E16171" s="215" t="n">
        <v>46160</v>
      </c>
      <c r="F16171" s="215" t="n">
        <v>46160</v>
      </c>
    </row>
    <row r="16172">
      <c r="A16172" s="215" t="n">
        <v>46161</v>
      </c>
      <c r="B16172" s="216" t="n">
        <v>50.75</v>
      </c>
      <c r="C16172" s="216" t="n">
        <v>50.95</v>
      </c>
      <c r="D16172" s="216" t="n">
        <v>1.151532053947449</v>
      </c>
      <c r="E16172" s="215" t="n">
        <v>46161</v>
      </c>
      <c r="F16172" s="215" t="n">
        <v>46161</v>
      </c>
    </row>
    <row r="16173">
      <c r="A16173" s="215" t="n">
        <v>46162</v>
      </c>
      <c r="B16173" s="216" t="n">
        <v>52.9</v>
      </c>
      <c r="C16173" s="216" t="n">
        <v>51.66</v>
      </c>
      <c r="D16173" s="216" t="n">
        <v>1.149292945861816</v>
      </c>
      <c r="E16173" s="215" t="n">
        <v>46162</v>
      </c>
      <c r="F16173" s="215" t="n">
        <v>46162</v>
      </c>
    </row>
    <row r="16174">
      <c r="A16174" s="215" t="n">
        <v>46163</v>
      </c>
      <c r="B16174" s="216" t="n">
        <v>51.2</v>
      </c>
      <c r="C16174" s="216" t="n">
        <v>50.1</v>
      </c>
      <c r="D16174" s="216" t="n">
        <v>1.151231050491333</v>
      </c>
      <c r="E16174" s="215" t="n">
        <v>46163</v>
      </c>
      <c r="F16174" s="215" t="n">
        <v>46163</v>
      </c>
    </row>
    <row r="16175">
      <c r="A16175" s="215" t="n">
        <v>46164</v>
      </c>
      <c r="B16175" s="216" t="n">
        <v>52.5</v>
      </c>
      <c r="C16175" s="216" t="n">
        <v>51.25</v>
      </c>
      <c r="D16175" s="216" t="n">
        <v>1.151487946510315</v>
      </c>
      <c r="E16175" s="215" t="n">
        <v>46164</v>
      </c>
      <c r="F16175" s="215" t="n">
        <v>46164</v>
      </c>
    </row>
    <row r="16176">
      <c r="A16176" s="215" t="n">
        <v>46168</v>
      </c>
      <c r="B16176" s="216" t="n">
        <v>48.94</v>
      </c>
      <c r="C16176" s="216" t="n">
        <v>49.35</v>
      </c>
      <c r="D16176" s="216" t="n">
        <v>1.152968049049377</v>
      </c>
      <c r="E16176" s="215" t="n">
        <v>46168</v>
      </c>
      <c r="F16176" s="215" t="n">
        <v>46168</v>
      </c>
    </row>
    <row r="16177">
      <c r="A16177" s="215" t="n">
        <v>46169</v>
      </c>
      <c r="B16177" s="216" t="n">
        <v>51</v>
      </c>
      <c r="C16177" s="216" t="n">
        <v>49.44</v>
      </c>
      <c r="D16177" s="216" t="n">
        <v>1.154562950134277</v>
      </c>
      <c r="E16177" s="215" t="n">
        <v>46169</v>
      </c>
      <c r="F16177" s="215" t="n">
        <v>46169</v>
      </c>
    </row>
    <row r="16178">
      <c r="A16178" s="215" t="n">
        <v>46170</v>
      </c>
      <c r="B16178" s="216" t="n">
        <v>52.15</v>
      </c>
      <c r="C16178" s="216" t="n">
        <v>51.41</v>
      </c>
      <c r="D16178" s="216" t="n">
        <v>1.155385971069336</v>
      </c>
      <c r="E16178" s="215" t="n">
        <v>46170</v>
      </c>
      <c r="F16178" s="215" t="n">
        <v>46170</v>
      </c>
    </row>
    <row r="16179">
      <c r="A16179" s="215" t="n">
        <v>46171</v>
      </c>
      <c r="B16179" s="216" t="n">
        <v>52.7</v>
      </c>
      <c r="C16179" s="216" t="n">
        <v>50.81</v>
      </c>
      <c r="D16179" s="216" t="n">
        <v>1.155282974243164</v>
      </c>
      <c r="E16179" s="215" t="n">
        <v>46171</v>
      </c>
      <c r="F16179" s="215" t="n">
        <v>46171</v>
      </c>
    </row>
    <row r="16180">
      <c r="A16180" s="215" t="n">
        <v>46174</v>
      </c>
      <c r="B16180" s="216" t="n">
        <v>48.6</v>
      </c>
      <c r="C16180" s="216" t="n">
        <v>49.19</v>
      </c>
      <c r="D16180" s="216" t="n">
        <v>1.158049941062927</v>
      </c>
      <c r="E16180" s="215" t="n">
        <v>46174</v>
      </c>
      <c r="F16180" s="215" t="n">
        <v>46174</v>
      </c>
    </row>
    <row r="16181">
      <c r="A16181" s="215" t="n">
        <v>46175</v>
      </c>
      <c r="B16181" s="216" t="n">
        <v>46.9</v>
      </c>
      <c r="C16181" s="216" t="n">
        <v>48.19</v>
      </c>
      <c r="D16181" s="216" t="n">
        <v>1.158406972885132</v>
      </c>
      <c r="E16181" s="215" t="n">
        <v>46175</v>
      </c>
      <c r="F16181" s="215" t="n">
        <v>46175</v>
      </c>
    </row>
    <row r="16182">
      <c r="A16182" s="215" t="n">
        <v>46176</v>
      </c>
      <c r="B16182" s="216" t="n">
        <v>45.98</v>
      </c>
      <c r="C16182" s="216" t="n">
        <v>47.7</v>
      </c>
      <c r="D16182" s="216" t="n">
        <v>1.15879499912262</v>
      </c>
      <c r="E16182" s="215" t="n">
        <v>46176</v>
      </c>
      <c r="F16182" s="215" t="n">
        <v>46176</v>
      </c>
    </row>
    <row r="16183">
      <c r="A16183" s="215" t="n">
        <v>46177</v>
      </c>
      <c r="B16183" s="216" t="n">
        <v>43.86</v>
      </c>
      <c r="C16183" s="216" t="n">
        <v>46.88</v>
      </c>
      <c r="D16183" s="216" t="n">
        <v>1.157420039176941</v>
      </c>
      <c r="E16183" s="215" t="n">
        <v>46177</v>
      </c>
      <c r="F16183" s="215" t="n">
        <v>46177</v>
      </c>
    </row>
    <row r="16184">
      <c r="A16184" s="215" t="n">
        <v>46178</v>
      </c>
      <c r="B16184" s="216" t="n">
        <v>43.26</v>
      </c>
      <c r="C16184" s="216" t="n">
        <v>46.98</v>
      </c>
      <c r="D16184" s="216" t="n">
        <v>1.156491994857788</v>
      </c>
      <c r="E16184" s="215" t="n">
        <v>46178</v>
      </c>
      <c r="F16184" s="215" t="n">
        <v>46178</v>
      </c>
    </row>
    <row r="16185">
      <c r="A16185" s="215" t="n">
        <v>46181</v>
      </c>
      <c r="B16185" s="216" t="n">
        <v>41.24</v>
      </c>
      <c r="C16185" s="216" t="n">
        <v>43.81</v>
      </c>
      <c r="D16185" s="216" t="n">
        <v>1.157665967941284</v>
      </c>
      <c r="E16185" s="215" t="n">
        <v>46181</v>
      </c>
      <c r="F16185" s="215" t="n">
        <v>46181</v>
      </c>
    </row>
    <row r="16186">
      <c r="A16186" s="215" t="n">
        <v>46182</v>
      </c>
      <c r="B16186" s="216" t="n">
        <v>42.68</v>
      </c>
      <c r="C16186" s="216" t="n">
        <v>44.96</v>
      </c>
      <c r="D16186" s="216" t="n">
        <v>1.158027052879333</v>
      </c>
      <c r="E16186" s="215" t="n">
        <v>46182</v>
      </c>
      <c r="F16186" s="215" t="n">
        <v>46182</v>
      </c>
    </row>
    <row r="16187">
      <c r="A16187" s="215" t="n">
        <v>46183</v>
      </c>
      <c r="B16187" s="216" t="n">
        <v>40.16</v>
      </c>
      <c r="C16187" s="216" t="n">
        <v>42.8</v>
      </c>
      <c r="D16187" s="216" t="n">
        <v>1.157112002372742</v>
      </c>
      <c r="E16187" s="215" t="n">
        <v>46183</v>
      </c>
      <c r="F16187" s="215" t="n">
        <v>46183</v>
      </c>
    </row>
    <row r="16188">
      <c r="A16188" s="215" t="n">
        <v>46184</v>
      </c>
      <c r="B16188" s="216" t="n">
        <v>39.38</v>
      </c>
      <c r="C16188" s="216" t="n">
        <v>41.77</v>
      </c>
      <c r="D16188" s="216" t="n">
        <v>1.156929016113281</v>
      </c>
      <c r="E16188" s="215" t="n">
        <v>46184</v>
      </c>
      <c r="F16188" s="215" t="n">
        <v>46184</v>
      </c>
    </row>
    <row r="16189">
      <c r="A16189" s="215" t="n">
        <v>46185</v>
      </c>
      <c r="B16189" s="216" t="n">
        <v>39.82</v>
      </c>
      <c r="C16189" s="216" t="n">
        <v>41.19</v>
      </c>
      <c r="D16189" s="216" t="n">
        <v>1.156345963478088</v>
      </c>
      <c r="E16189" s="215" t="n">
        <v>46185</v>
      </c>
      <c r="F16189" s="215" t="n">
        <v>46185</v>
      </c>
    </row>
    <row r="16190">
      <c r="A16190" s="215" t="n">
        <v>46188</v>
      </c>
      <c r="B16190" s="216" t="n">
        <v>39.1</v>
      </c>
      <c r="C16190" s="216" t="n">
        <v>42.6</v>
      </c>
      <c r="D16190" s="216" t="n">
        <v>1.156880021095276</v>
      </c>
      <c r="E16190" s="215" t="n">
        <v>46188</v>
      </c>
      <c r="F16190" s="215" t="n">
        <v>46188</v>
      </c>
    </row>
    <row r="16191">
      <c r="A16191" s="215" t="n">
        <v>46189</v>
      </c>
      <c r="B16191" s="216" t="n">
        <v>43.48</v>
      </c>
      <c r="C16191" s="216" t="n">
        <v>49.4</v>
      </c>
      <c r="D16191" s="216" t="n">
        <v>1.158604025840759</v>
      </c>
      <c r="E16191" s="215" t="n">
        <v>46189</v>
      </c>
      <c r="F16191" s="215" t="n">
        <v>46189</v>
      </c>
    </row>
    <row r="16192">
      <c r="A16192" s="215" t="n">
        <v>46190</v>
      </c>
      <c r="B16192" s="216" t="n">
        <v>40.82</v>
      </c>
      <c r="C16192" s="216" t="n">
        <v>48.13</v>
      </c>
      <c r="D16192" s="216" t="n">
        <v>1.158974051475525</v>
      </c>
      <c r="E16192" s="215" t="n">
        <v>46190</v>
      </c>
      <c r="F16192" s="215" t="n">
        <v>46190</v>
      </c>
    </row>
    <row r="16193">
      <c r="A16193" s="215" t="n">
        <v>46191</v>
      </c>
      <c r="B16193" s="216" t="n">
        <v>37.86</v>
      </c>
      <c r="C16193" s="216" t="n">
        <v>46.73</v>
      </c>
      <c r="D16193" s="216" t="n">
        <v>1.159355998039246</v>
      </c>
      <c r="E16193" s="215" t="n">
        <v>46191</v>
      </c>
      <c r="F16193" s="215" t="n">
        <v>46191</v>
      </c>
    </row>
    <row r="16194">
      <c r="A16194" s="215" t="n">
        <v>46195</v>
      </c>
      <c r="B16194" s="216" t="n">
        <v>38</v>
      </c>
      <c r="C16194" s="216" t="n">
        <v>47.35</v>
      </c>
      <c r="D16194" s="216" t="n">
        <v>1.157493948936462</v>
      </c>
      <c r="E16194" s="215" t="n">
        <v>46195</v>
      </c>
      <c r="F16194" s="215" t="n">
        <v>46195</v>
      </c>
    </row>
    <row r="16195">
      <c r="A16195" s="215" t="n">
        <v>46196</v>
      </c>
      <c r="B16195" s="216" t="n">
        <v>34.7</v>
      </c>
      <c r="C16195" s="216" t="n">
        <v>44.31</v>
      </c>
      <c r="D16195" s="216" t="n">
        <v>1.156896948814392</v>
      </c>
      <c r="E16195" s="215" t="n">
        <v>46196</v>
      </c>
      <c r="F16195" s="215" t="n">
        <v>46196</v>
      </c>
    </row>
    <row r="16196">
      <c r="A16196" s="215" t="n">
        <v>46197</v>
      </c>
      <c r="B16196" s="216" t="n">
        <v>34.94</v>
      </c>
      <c r="C16196" s="216" t="n">
        <v>45.28</v>
      </c>
      <c r="D16196" s="216" t="n">
        <v>1.154508948326111</v>
      </c>
      <c r="E16196" s="215" t="n">
        <v>46197</v>
      </c>
      <c r="F16196" s="215" t="n">
        <v>46197</v>
      </c>
    </row>
    <row r="16197">
      <c r="A16197" s="215" t="n">
        <v>46198</v>
      </c>
      <c r="B16197" s="216" t="n">
        <v>33.52</v>
      </c>
      <c r="C16197" s="216" t="n">
        <v>43.95</v>
      </c>
      <c r="D16197" s="216" t="n">
        <v>1.154152035713196</v>
      </c>
      <c r="E16197" s="215" t="n">
        <v>46198</v>
      </c>
      <c r="F16197" s="215" t="n">
        <v>46198</v>
      </c>
    </row>
    <row r="16198">
      <c r="A16198" s="215" t="n">
        <v>46199</v>
      </c>
      <c r="B16198" s="216" t="n">
        <v>31.04</v>
      </c>
      <c r="C16198" s="216" t="n">
        <v>40.83</v>
      </c>
      <c r="D16198" s="216" t="n">
        <v>1.154500961303711</v>
      </c>
      <c r="E16198" s="215" t="n">
        <v>46199</v>
      </c>
      <c r="F16198" s="215" t="n">
        <v>46199</v>
      </c>
    </row>
    <row r="16199">
      <c r="A16199" s="215" t="n">
        <v>46202</v>
      </c>
      <c r="B16199" s="216" t="n">
        <v>31.48</v>
      </c>
      <c r="C16199" s="216" t="n">
        <v>40.02</v>
      </c>
      <c r="D16199" s="216" t="n">
        <v>1.153512001037598</v>
      </c>
      <c r="E16199" s="215" t="n">
        <v>46202</v>
      </c>
      <c r="F16199" s="215" t="n">
        <v>46202</v>
      </c>
    </row>
    <row r="16200">
      <c r="A16200" s="215" t="n">
        <v>46203</v>
      </c>
      <c r="B16200" s="216" t="n">
        <v>33.52</v>
      </c>
      <c r="C16200" s="216" t="n">
        <v>40.72</v>
      </c>
      <c r="D16200" s="216" t="n">
        <v>1.153959035873413</v>
      </c>
      <c r="E16200" s="215" t="n">
        <v>46203</v>
      </c>
      <c r="F16200" s="215" t="n">
        <v>46203</v>
      </c>
    </row>
    <row r="16201">
      <c r="A16201" s="215" t="n">
        <v>46205</v>
      </c>
      <c r="B16201" s="216" t="n">
        <v>31.68</v>
      </c>
      <c r="C16201" s="216" t="n">
        <v>38.52</v>
      </c>
      <c r="D16201" s="216" t="n">
        <v>1.154355049133301</v>
      </c>
      <c r="E16201" s="215" t="n">
        <v>46205</v>
      </c>
      <c r="F16201" s="215" t="n">
        <v>46205</v>
      </c>
    </row>
    <row r="16202">
      <c r="A16202" s="215" t="n">
        <v>46206</v>
      </c>
      <c r="B16202" s="216" t="n">
        <v>32.74</v>
      </c>
      <c r="C16202" s="216" t="n">
        <v>39.29</v>
      </c>
      <c r="D16202" s="216" t="n">
        <v>1.155220985412598</v>
      </c>
      <c r="E16202" s="215" t="n">
        <v>46206</v>
      </c>
      <c r="F16202" s="215" t="n">
        <v>46206</v>
      </c>
    </row>
    <row r="16203">
      <c r="A16203" s="215" t="n">
        <v>46209</v>
      </c>
      <c r="B16203" s="216" t="n">
        <v>31.58</v>
      </c>
      <c r="C16203" s="216" t="n">
        <v>37.88</v>
      </c>
      <c r="D16203" s="216" t="n">
        <v>1.155068039894104</v>
      </c>
      <c r="E16203" s="215" t="n">
        <v>46209</v>
      </c>
      <c r="F16203" s="215" t="n">
        <v>46209</v>
      </c>
    </row>
    <row r="16204">
      <c r="A16204" s="215" t="n">
        <v>46210</v>
      </c>
      <c r="B16204" s="216" t="n">
        <v>31.46</v>
      </c>
      <c r="C16204" s="216" t="n">
        <v>37.25</v>
      </c>
      <c r="D16204" s="216" t="n">
        <v>1.153807997703552</v>
      </c>
      <c r="E16204" s="215" t="n">
        <v>46210</v>
      </c>
      <c r="F16204" s="215" t="n">
        <v>46210</v>
      </c>
    </row>
    <row r="16205">
      <c r="A16205" s="215" t="n">
        <v>46211</v>
      </c>
      <c r="B16205" s="216" t="n">
        <v>30.8</v>
      </c>
      <c r="C16205" s="216" t="n">
        <v>36.95</v>
      </c>
      <c r="D16205" s="216" t="n">
        <v>1.154153943061829</v>
      </c>
      <c r="E16205" s="215" t="n">
        <v>46211</v>
      </c>
      <c r="F16205" s="215" t="n">
        <v>46211</v>
      </c>
    </row>
    <row r="16206">
      <c r="A16206" s="215" t="n">
        <v>46212</v>
      </c>
      <c r="B16206" s="216" t="n">
        <v>29.8</v>
      </c>
      <c r="C16206" s="216" t="n">
        <v>37.05</v>
      </c>
      <c r="D16206" s="216" t="n">
        <v>1.152119994163513</v>
      </c>
      <c r="E16206" s="215" t="n">
        <v>46212</v>
      </c>
      <c r="F16206" s="215" t="n">
        <v>46212</v>
      </c>
    </row>
    <row r="16207">
      <c r="A16207" s="215" t="n">
        <v>46213</v>
      </c>
      <c r="B16207" s="216" t="n">
        <v>28.96</v>
      </c>
      <c r="C16207" s="216" t="n">
        <v>36.25</v>
      </c>
      <c r="D16207" s="216" t="n">
        <v>1.153550028800964</v>
      </c>
      <c r="E16207" s="215" t="n">
        <v>46213</v>
      </c>
      <c r="F16207" s="215" t="n">
        <v>46213</v>
      </c>
    </row>
    <row r="16208">
      <c r="A16208" s="215" t="n">
        <v>46216</v>
      </c>
      <c r="B16208" s="216" t="n">
        <v>27.9</v>
      </c>
      <c r="C16208" s="216" t="n">
        <v>33.98</v>
      </c>
      <c r="D16208" s="216" t="n">
        <v>1.156761050224304</v>
      </c>
      <c r="E16208" s="215" t="n">
        <v>46216</v>
      </c>
      <c r="F16208" s="215" t="n">
        <v>46216</v>
      </c>
    </row>
    <row r="16209">
      <c r="A16209" s="215" t="n">
        <v>46217</v>
      </c>
      <c r="B16209" s="216" t="n">
        <v>28.96</v>
      </c>
      <c r="C16209" s="216" t="n">
        <v>34.47</v>
      </c>
      <c r="D16209" s="216" t="n">
        <v>1.155825972557068</v>
      </c>
      <c r="E16209" s="215" t="n">
        <v>46217</v>
      </c>
      <c r="F16209" s="215" t="n">
        <v>46217</v>
      </c>
    </row>
    <row r="16210">
      <c r="A16210" s="215" t="n">
        <v>46218</v>
      </c>
      <c r="B16210" s="216" t="n">
        <v>28.24</v>
      </c>
      <c r="C16210" s="216" t="n">
        <v>33.73</v>
      </c>
      <c r="D16210" s="216" t="n">
        <v>1.157556056976318</v>
      </c>
      <c r="E16210" s="215" t="n">
        <v>46218</v>
      </c>
      <c r="F16210" s="215" t="n">
        <v>46218</v>
      </c>
    </row>
    <row r="16211">
      <c r="A16211" s="215" t="n">
        <v>46219</v>
      </c>
      <c r="B16211" s="216" t="n">
        <v>28.2</v>
      </c>
      <c r="C16211" s="216" t="n">
        <v>32.74</v>
      </c>
      <c r="D16211" s="216" t="n">
        <v>1.157912969589233</v>
      </c>
      <c r="E16211" s="215" t="n">
        <v>46219</v>
      </c>
      <c r="F16211" s="215" t="n">
        <v>46219</v>
      </c>
    </row>
    <row r="16212">
      <c r="A16212" s="215" t="n">
        <v>46220</v>
      </c>
      <c r="B16212" s="216" t="n">
        <v>26.44</v>
      </c>
      <c r="C16212" s="216" t="n">
        <v>31.06</v>
      </c>
      <c r="D16212" s="216" t="n">
        <v>1.157472014427185</v>
      </c>
      <c r="E16212" s="215" t="n">
        <v>46220</v>
      </c>
      <c r="F16212" s="215" t="n">
        <v>46220</v>
      </c>
    </row>
    <row r="16213">
      <c r="A16213" s="215" t="n">
        <v>46223</v>
      </c>
      <c r="B16213" s="216" t="n">
        <v>27.7</v>
      </c>
      <c r="C16213" s="216" t="n">
        <v>31.27</v>
      </c>
      <c r="D16213" s="216" t="n">
        <v>1.157451033592224</v>
      </c>
      <c r="E16213" s="215" t="n">
        <v>46223</v>
      </c>
      <c r="F16213" s="215" t="n">
        <v>46223</v>
      </c>
    </row>
    <row r="16214">
      <c r="A16214" s="215" t="n">
        <v>46224</v>
      </c>
      <c r="B16214" s="216" t="n">
        <v>29.44</v>
      </c>
      <c r="C16214" s="216" t="n">
        <v>32.76</v>
      </c>
      <c r="D16214" s="216" t="n">
        <v>1.157506942749023</v>
      </c>
      <c r="E16214" s="215" t="n">
        <v>46224</v>
      </c>
      <c r="F16214" s="215" t="n">
        <v>46224</v>
      </c>
    </row>
    <row r="16215">
      <c r="A16215" s="215" t="n">
        <v>46225</v>
      </c>
      <c r="B16215" s="216" t="n">
        <v>29.24</v>
      </c>
      <c r="C16215" s="216" t="n">
        <v>31.89</v>
      </c>
      <c r="D16215" s="216" t="n">
        <v>1.158938050270081</v>
      </c>
      <c r="E16215" s="215" t="n">
        <v>46225</v>
      </c>
      <c r="F16215" s="215" t="n">
        <v>46225</v>
      </c>
    </row>
    <row r="16216">
      <c r="A16216" s="215" t="n">
        <v>46226</v>
      </c>
      <c r="B16216" s="216" t="n">
        <v>29.84</v>
      </c>
      <c r="C16216" s="216" t="n">
        <v>33.09</v>
      </c>
      <c r="D16216" s="216" t="n">
        <v>1.157410979270935</v>
      </c>
      <c r="E16216" s="215" t="n">
        <v>46226</v>
      </c>
      <c r="F16216" s="215" t="n">
        <v>46226</v>
      </c>
    </row>
    <row r="16217">
      <c r="A16217" s="215" t="n">
        <v>46227</v>
      </c>
      <c r="B16217" s="216" t="n">
        <v>28.82</v>
      </c>
      <c r="C16217" s="216" t="n">
        <v>32.02</v>
      </c>
      <c r="D16217" s="216" t="n">
        <v>1.15762197971344</v>
      </c>
      <c r="E16217" s="215" t="n">
        <v>46227</v>
      </c>
      <c r="F16217" s="215" t="n">
        <v>46227</v>
      </c>
    </row>
    <row r="16218">
      <c r="A16218" s="215" t="n">
        <v>46230</v>
      </c>
      <c r="B16218" s="216" t="n">
        <v>29.7</v>
      </c>
      <c r="C16218" s="216" t="n">
        <v>33.51</v>
      </c>
      <c r="D16218" s="216" t="n">
        <v>1.15789794921875</v>
      </c>
      <c r="E16218" s="215" t="n">
        <v>46230</v>
      </c>
      <c r="F16218" s="215" t="n">
        <v>46230</v>
      </c>
    </row>
    <row r="16219">
      <c r="A16219" s="215" t="n">
        <v>46231</v>
      </c>
      <c r="B16219" s="216" t="n">
        <v>28.8</v>
      </c>
      <c r="C16219" s="216" t="n">
        <v>33.03</v>
      </c>
      <c r="D16219" s="216" t="n">
        <v>1.158699035644531</v>
      </c>
      <c r="E16219" s="215" t="n">
        <v>46231</v>
      </c>
      <c r="F16219" s="215" t="n">
        <v>46231</v>
      </c>
    </row>
    <row r="16220">
      <c r="A16220" s="215" t="n">
        <v>46232</v>
      </c>
      <c r="B16220" s="216" t="n">
        <v>28.78</v>
      </c>
      <c r="C16220" s="216" t="n">
        <v>33.41</v>
      </c>
      <c r="D16220" s="216" t="n">
        <v>1.157909989356995</v>
      </c>
      <c r="E16220" s="215" t="n">
        <v>46232</v>
      </c>
      <c r="F16220" s="215" t="n">
        <v>46232</v>
      </c>
    </row>
    <row r="16221">
      <c r="A16221" s="215" t="n">
        <v>46233</v>
      </c>
      <c r="B16221" s="216" t="n">
        <v>28.2</v>
      </c>
      <c r="C16221" s="216" t="n">
        <v>33.38</v>
      </c>
      <c r="D16221" s="216" t="n">
        <v>1.158943057060242</v>
      </c>
      <c r="E16221" s="215" t="n">
        <v>46233</v>
      </c>
      <c r="F16221" s="215" t="n">
        <v>46233</v>
      </c>
    </row>
    <row r="16222">
      <c r="A16222" s="215" t="n">
        <v>46234</v>
      </c>
      <c r="B16222" s="216" t="n">
        <v>28.6</v>
      </c>
      <c r="C16222" s="216" t="n">
        <v>33.85</v>
      </c>
      <c r="D16222" s="216" t="n">
        <v>1.160945057868958</v>
      </c>
      <c r="E16222" s="215" t="n">
        <v>46234</v>
      </c>
      <c r="F16222" s="215" t="n">
        <v>46234</v>
      </c>
    </row>
    <row r="16223">
      <c r="A16223" s="215" t="n">
        <v>46237</v>
      </c>
      <c r="B16223" s="216" t="n">
        <v>29.1</v>
      </c>
      <c r="C16223" s="216" t="n">
        <v>33.92</v>
      </c>
      <c r="D16223" s="216" t="n">
        <v>1.161579966545105</v>
      </c>
      <c r="E16223" s="215" t="n">
        <v>46237</v>
      </c>
      <c r="F16223" s="215" t="n">
        <v>46237</v>
      </c>
    </row>
    <row r="16224">
      <c r="A16224" s="215" t="n">
        <v>46238</v>
      </c>
      <c r="B16224" s="216" t="n">
        <v>30.76</v>
      </c>
      <c r="C16224" s="216" t="n">
        <v>34.33</v>
      </c>
      <c r="D16224" s="216" t="n">
        <v>1.161064982414246</v>
      </c>
      <c r="E16224" s="215" t="n">
        <v>46238</v>
      </c>
      <c r="F16224" s="215" t="n">
        <v>46238</v>
      </c>
    </row>
    <row r="16225">
      <c r="A16225" s="215" t="n">
        <v>46239</v>
      </c>
      <c r="B16225" s="216" t="n">
        <v>32.54</v>
      </c>
      <c r="C16225" s="216" t="n">
        <v>35.18</v>
      </c>
      <c r="D16225" s="216" t="n">
        <v>1.161146998405457</v>
      </c>
      <c r="E16225" s="215" t="n">
        <v>46239</v>
      </c>
      <c r="F16225" s="215" t="n">
        <v>46239</v>
      </c>
    </row>
    <row r="16226">
      <c r="A16226" s="215" t="n">
        <v>46240</v>
      </c>
      <c r="B16226" s="216" t="n">
        <v>31.58</v>
      </c>
      <c r="C16226" s="216" t="n">
        <v>34.5</v>
      </c>
      <c r="D16226" s="216" t="n">
        <v>1.161936044692993</v>
      </c>
      <c r="E16226" s="215" t="n">
        <v>46240</v>
      </c>
      <c r="F16226" s="215" t="n">
        <v>46240</v>
      </c>
    </row>
    <row r="16227">
      <c r="A16227" s="215" t="n">
        <v>46241</v>
      </c>
      <c r="B16227" s="216" t="n">
        <v>31.14</v>
      </c>
      <c r="C16227" s="216" t="n">
        <v>34.9</v>
      </c>
      <c r="D16227" s="216" t="n">
        <v>1.162284016609192</v>
      </c>
      <c r="E16227" s="215" t="n">
        <v>46241</v>
      </c>
      <c r="F16227" s="215" t="n">
        <v>46241</v>
      </c>
    </row>
    <row r="16228">
      <c r="A16228" s="215" t="n">
        <v>46244</v>
      </c>
      <c r="B16228" s="216" t="n">
        <v>31.46</v>
      </c>
      <c r="C16228" s="216" t="n">
        <v>35.05</v>
      </c>
      <c r="D16228" s="216" t="n">
        <v>1.162629961967468</v>
      </c>
      <c r="E16228" s="215" t="n">
        <v>46244</v>
      </c>
      <c r="F16228" s="215" t="n">
        <v>46244</v>
      </c>
    </row>
    <row r="16229">
      <c r="A16229" s="215" t="n">
        <v>46245</v>
      </c>
      <c r="B16229" s="216" t="n">
        <v>31.38</v>
      </c>
      <c r="C16229" s="216" t="n">
        <v>34.9</v>
      </c>
      <c r="D16229" s="216" t="n">
        <v>1.162588000297546</v>
      </c>
      <c r="E16229" s="215" t="n">
        <v>46245</v>
      </c>
      <c r="F16229" s="215" t="n">
        <v>46245</v>
      </c>
    </row>
    <row r="16230">
      <c r="A16230" s="215" t="n">
        <v>46246</v>
      </c>
      <c r="B16230" s="216" t="n">
        <v>31.42</v>
      </c>
      <c r="C16230" s="216" t="n">
        <v>35.39</v>
      </c>
      <c r="D16230" s="216" t="n">
        <v>1.163135051727295</v>
      </c>
      <c r="E16230" s="215" t="n">
        <v>46246</v>
      </c>
      <c r="F16230" s="215" t="n">
        <v>46246</v>
      </c>
    </row>
    <row r="16231">
      <c r="A16231" s="215" t="n">
        <v>46247</v>
      </c>
      <c r="B16231" s="216" t="n">
        <v>31.28</v>
      </c>
      <c r="C16231" s="216" t="n">
        <v>34.63</v>
      </c>
      <c r="D16231" s="216" t="n">
        <v>1.163341045379639</v>
      </c>
      <c r="E16231" s="215" t="n">
        <v>46247</v>
      </c>
      <c r="F16231" s="215" t="n">
        <v>46247</v>
      </c>
    </row>
    <row r="16232">
      <c r="A16232" s="215" t="n">
        <v>46248</v>
      </c>
      <c r="B16232" s="216" t="n">
        <v>31.86</v>
      </c>
      <c r="C16232" s="216" t="n">
        <v>34.78</v>
      </c>
      <c r="D16232" s="216" t="n">
        <v>1.163571000099182</v>
      </c>
      <c r="E16232" s="215" t="n">
        <v>46248</v>
      </c>
      <c r="F16232" s="215" t="n">
        <v>46248</v>
      </c>
    </row>
    <row r="16233">
      <c r="A16233" s="215" t="n">
        <v>46251</v>
      </c>
      <c r="B16233" s="216" t="n">
        <v>32.08</v>
      </c>
      <c r="C16233" s="216" t="n">
        <v>35.38</v>
      </c>
      <c r="D16233" s="216" t="n">
        <v>1.163601994514465</v>
      </c>
      <c r="E16233" s="215" t="n">
        <v>46251</v>
      </c>
      <c r="F16233" s="215" t="n">
        <v>46251</v>
      </c>
    </row>
    <row r="16234">
      <c r="A16234" s="215" t="n">
        <v>46252</v>
      </c>
      <c r="B16234" s="216" t="n">
        <v>32.38</v>
      </c>
      <c r="C16234" s="216" t="n">
        <v>35.24</v>
      </c>
      <c r="D16234" s="216" t="n">
        <v>1.163733005523682</v>
      </c>
      <c r="E16234" s="215" t="n">
        <v>46252</v>
      </c>
      <c r="F16234" s="215" t="n">
        <v>46252</v>
      </c>
    </row>
    <row r="16235">
      <c r="A16235" s="215" t="n">
        <v>46253</v>
      </c>
      <c r="B16235" s="216" t="n">
        <v>30.4</v>
      </c>
      <c r="C16235" s="216" t="n">
        <v>33.52</v>
      </c>
      <c r="D16235" s="216" t="n">
        <v>1.163092017173767</v>
      </c>
      <c r="E16235" s="215" t="n">
        <v>46253</v>
      </c>
      <c r="F16235" s="215" t="n">
        <v>46253</v>
      </c>
    </row>
    <row r="16236">
      <c r="A16236" s="215" t="n">
        <v>46254</v>
      </c>
      <c r="B16236" s="216" t="n">
        <v>30.6</v>
      </c>
      <c r="C16236" s="216" t="n">
        <v>33.33</v>
      </c>
      <c r="D16236" s="216" t="n">
        <v>1.164932012557983</v>
      </c>
      <c r="E16236" s="215" t="n">
        <v>46254</v>
      </c>
      <c r="F16236" s="215" t="n">
        <v>46254</v>
      </c>
    </row>
    <row r="16237">
      <c r="A16237" s="215" t="n">
        <v>46255</v>
      </c>
      <c r="B16237" s="216" t="n">
        <v>31.34</v>
      </c>
      <c r="C16237" s="216" t="n">
        <v>33.91</v>
      </c>
      <c r="D16237" s="216" t="n">
        <v>1.166555047035217</v>
      </c>
      <c r="E16237" s="215" t="n">
        <v>46255</v>
      </c>
      <c r="F16237" s="215" t="n">
        <v>46255</v>
      </c>
    </row>
    <row r="16238">
      <c r="A16238" s="215" t="n">
        <v>46258</v>
      </c>
      <c r="B16238" s="216" t="n">
        <v>31.36</v>
      </c>
      <c r="C16238" s="216" t="n">
        <v>33.84</v>
      </c>
      <c r="D16238" s="216" t="n">
        <v>1.166316986083984</v>
      </c>
      <c r="E16238" s="215" t="n">
        <v>46258</v>
      </c>
      <c r="F16238" s="215" t="n">
        <v>46258</v>
      </c>
    </row>
    <row r="16239">
      <c r="A16239" s="215" t="n">
        <v>46259</v>
      </c>
      <c r="B16239" s="216" t="n">
        <v>30.2</v>
      </c>
      <c r="C16239" s="216" t="n">
        <v>33.4</v>
      </c>
      <c r="D16239" s="216" t="n">
        <v>1.165253043174744</v>
      </c>
      <c r="E16239" s="215" t="n">
        <v>46259</v>
      </c>
      <c r="F16239" s="215" t="n">
        <v>46259</v>
      </c>
    </row>
    <row r="16240">
      <c r="A16240" s="215" t="n">
        <v>46260</v>
      </c>
      <c r="B16240" s="216" t="n">
        <v>29.98</v>
      </c>
      <c r="C16240" s="216" t="n">
        <v>33.6</v>
      </c>
      <c r="D16240" s="216" t="n">
        <v>1.166218996047974</v>
      </c>
      <c r="E16240" s="215" t="n">
        <v>46260</v>
      </c>
      <c r="F16240" s="215" t="n">
        <v>46260</v>
      </c>
    </row>
    <row r="16241">
      <c r="A16241" s="215" t="n">
        <v>46261</v>
      </c>
      <c r="B16241" s="216" t="n">
        <v>30.22</v>
      </c>
      <c r="C16241" s="216" t="n">
        <v>33.77</v>
      </c>
      <c r="D16241" s="216" t="n">
        <v>1.165971040725708</v>
      </c>
      <c r="E16241" s="215" t="n">
        <v>46261</v>
      </c>
      <c r="F16241" s="215" t="n">
        <v>46261</v>
      </c>
    </row>
    <row r="16242">
      <c r="A16242" s="215" t="n">
        <v>46262</v>
      </c>
      <c r="B16242" s="216" t="n">
        <v>30.1</v>
      </c>
      <c r="C16242" s="216" t="n">
        <v>33.44</v>
      </c>
      <c r="D16242" s="216" t="n">
        <v>1.165799975395203</v>
      </c>
      <c r="E16242" s="215" t="n">
        <v>46262</v>
      </c>
      <c r="F16242" s="215" t="n">
        <v>46262</v>
      </c>
    </row>
    <row r="16243">
      <c r="A16243" s="215" t="n">
        <v>46265</v>
      </c>
      <c r="B16243" s="216" t="n">
        <v>31.6</v>
      </c>
      <c r="C16243" s="216" t="n">
        <v>33.62</v>
      </c>
      <c r="D16243" s="216" t="n">
        <v>1.165387988090515</v>
      </c>
      <c r="E16243" s="215" t="n">
        <v>46265</v>
      </c>
      <c r="F16243" s="215" t="n">
        <v>46265</v>
      </c>
    </row>
    <row r="16244">
      <c r="A16244" s="215" t="n">
        <v>46266</v>
      </c>
      <c r="B16244" s="216" t="n">
        <v>30.06</v>
      </c>
      <c r="C16244" s="216" t="n">
        <v>32.81</v>
      </c>
      <c r="D16244" s="216" t="n">
        <v>1.165223956108093</v>
      </c>
      <c r="E16244" s="215" t="n">
        <v>46266</v>
      </c>
      <c r="F16244" s="215" t="n">
        <v>46266</v>
      </c>
    </row>
    <row r="16245">
      <c r="A16245" s="215" t="n">
        <v>46267</v>
      </c>
      <c r="B16245" s="216" t="n">
        <v>28.5</v>
      </c>
      <c r="C16245" s="216" t="n">
        <v>31.93</v>
      </c>
      <c r="D16245" s="216" t="n">
        <v>1.166425943374634</v>
      </c>
      <c r="E16245" s="215" t="n">
        <v>46267</v>
      </c>
      <c r="F16245" s="215" t="n">
        <v>46267</v>
      </c>
    </row>
    <row r="16246">
      <c r="A16246" s="215" t="n">
        <v>46268</v>
      </c>
      <c r="B16246" s="216" t="n">
        <v>28.7</v>
      </c>
      <c r="C16246" s="216" t="n">
        <v>32.09</v>
      </c>
      <c r="D16246" s="216" t="n">
        <v>1.167057037353516</v>
      </c>
      <c r="E16246" s="215" t="n">
        <v>46268</v>
      </c>
      <c r="F16246" s="215" t="n">
        <v>46268</v>
      </c>
    </row>
    <row r="16247">
      <c r="A16247" s="215" t="n">
        <v>46269</v>
      </c>
      <c r="B16247" s="216" t="n">
        <v>28.5</v>
      </c>
      <c r="C16247" s="216" t="n">
        <v>31.57</v>
      </c>
      <c r="D16247" s="216" t="n">
        <v>1.166767954826355</v>
      </c>
      <c r="E16247" s="215" t="n">
        <v>46269</v>
      </c>
      <c r="F16247" s="215" t="n">
        <v>46269</v>
      </c>
    </row>
    <row r="16248">
      <c r="A16248" s="215" t="n">
        <v>46272</v>
      </c>
      <c r="B16248" s="216" t="n">
        <v>28.42</v>
      </c>
      <c r="C16248" s="216" t="n">
        <v>31.49</v>
      </c>
      <c r="D16248" s="216" t="n">
        <v>1.168081045150757</v>
      </c>
      <c r="E16248" s="215" t="n">
        <v>46272</v>
      </c>
      <c r="F16248" s="215" t="n">
        <v>46272</v>
      </c>
    </row>
    <row r="16249">
      <c r="A16249" s="215" t="n">
        <v>46273</v>
      </c>
      <c r="B16249" s="216" t="n">
        <v>27.66</v>
      </c>
      <c r="C16249" s="216" t="n">
        <v>30.88</v>
      </c>
      <c r="D16249" s="216" t="n">
        <v>1.168115019798279</v>
      </c>
      <c r="E16249" s="215" t="n">
        <v>46273</v>
      </c>
      <c r="F16249" s="215" t="n">
        <v>46273</v>
      </c>
    </row>
    <row r="16250">
      <c r="A16250" s="215" t="n">
        <v>46274</v>
      </c>
      <c r="B16250" s="216" t="n">
        <v>27.9</v>
      </c>
      <c r="C16250" s="216" t="n">
        <v>30.83</v>
      </c>
      <c r="D16250" s="216" t="n">
        <v>1.168408989906311</v>
      </c>
      <c r="E16250" s="215" t="n">
        <v>46274</v>
      </c>
      <c r="F16250" s="215" t="n">
        <v>46274</v>
      </c>
    </row>
    <row r="16251">
      <c r="A16251" s="215" t="n">
        <v>46275</v>
      </c>
      <c r="B16251" s="216" t="n">
        <v>26.6</v>
      </c>
      <c r="C16251" s="216" t="n">
        <v>30.07</v>
      </c>
      <c r="D16251" s="216" t="n">
        <v>1.168462991714478</v>
      </c>
      <c r="E16251" s="215" t="n">
        <v>46275</v>
      </c>
      <c r="F16251" s="215" t="n">
        <v>46275</v>
      </c>
    </row>
    <row r="16252">
      <c r="A16252" s="215" t="n">
        <v>46276</v>
      </c>
      <c r="B16252" s="216" t="n">
        <v>26.48</v>
      </c>
      <c r="C16252" s="216" t="n">
        <v>29.67</v>
      </c>
      <c r="D16252" s="216" t="n">
        <v>1.169165015220642</v>
      </c>
      <c r="E16252" s="215" t="n">
        <v>46276</v>
      </c>
      <c r="F16252" s="215" t="n">
        <v>46276</v>
      </c>
    </row>
    <row r="16253">
      <c r="A16253" s="215" t="n">
        <v>46279</v>
      </c>
      <c r="B16253" s="216" t="n">
        <v>26.94</v>
      </c>
      <c r="C16253" s="216" t="n">
        <v>29.88</v>
      </c>
      <c r="D16253" s="216" t="n">
        <v>1.16893994808197</v>
      </c>
      <c r="E16253" s="215" t="n">
        <v>46279</v>
      </c>
      <c r="F16253" s="215" t="n">
        <v>46279</v>
      </c>
    </row>
    <row r="16254">
      <c r="A16254" s="215" t="n">
        <v>46280</v>
      </c>
      <c r="B16254" s="216" t="n">
        <v>28.06</v>
      </c>
      <c r="C16254" s="216" t="n">
        <v>31.54</v>
      </c>
      <c r="D16254" s="216" t="n">
        <v>1.169121026992798</v>
      </c>
      <c r="E16254" s="215" t="n">
        <v>46280</v>
      </c>
      <c r="F16254" s="215" t="n">
        <v>46280</v>
      </c>
    </row>
    <row r="16255">
      <c r="A16255" s="215" t="n">
        <v>46281</v>
      </c>
      <c r="B16255" s="216" t="n">
        <v>27.4</v>
      </c>
      <c r="C16255" s="216" t="n">
        <v>31.7</v>
      </c>
      <c r="D16255" s="216" t="n">
        <v>1.168769955635071</v>
      </c>
      <c r="E16255" s="215" t="n">
        <v>46281</v>
      </c>
      <c r="F16255" s="215" t="n">
        <v>46281</v>
      </c>
    </row>
    <row r="16256">
      <c r="A16256" s="215" t="n">
        <v>46282</v>
      </c>
      <c r="B16256" s="216" t="n">
        <v>27.4</v>
      </c>
      <c r="C16256" s="216" t="n">
        <v>31.87</v>
      </c>
      <c r="D16256" s="216" t="n">
        <v>1.169389963150024</v>
      </c>
      <c r="E16256" s="215" t="n">
        <v>46282</v>
      </c>
      <c r="F16256" s="215" t="n">
        <v>46282</v>
      </c>
    </row>
    <row r="16257">
      <c r="A16257" s="215" t="n">
        <v>46283</v>
      </c>
      <c r="B16257" s="216" t="n">
        <v>28.16</v>
      </c>
      <c r="C16257" s="216" t="n">
        <v>32.53</v>
      </c>
      <c r="D16257" s="216" t="n">
        <v>1.16942298412323</v>
      </c>
      <c r="E16257" s="215" t="n">
        <v>46283</v>
      </c>
      <c r="F16257" s="215" t="n">
        <v>46283</v>
      </c>
    </row>
    <row r="16258">
      <c r="A16258" s="215" t="n">
        <v>46286</v>
      </c>
      <c r="B16258" s="216" t="n">
        <v>27.82</v>
      </c>
      <c r="C16258" s="216" t="n">
        <v>32.43</v>
      </c>
      <c r="D16258" s="216" t="n">
        <v>1.171280026435852</v>
      </c>
      <c r="E16258" s="215" t="n">
        <v>46286</v>
      </c>
      <c r="F16258" s="215" t="n">
        <v>46286</v>
      </c>
    </row>
    <row r="16259">
      <c r="A16259" s="215" t="n">
        <v>46287</v>
      </c>
      <c r="B16259" s="216" t="n">
        <v>27.46</v>
      </c>
      <c r="C16259" s="216" t="n">
        <v>32.3</v>
      </c>
      <c r="D16259" s="216" t="n">
        <v>1.171705007553101</v>
      </c>
      <c r="E16259" s="215" t="n">
        <v>46287</v>
      </c>
      <c r="F16259" s="215" t="n">
        <v>46287</v>
      </c>
    </row>
    <row r="16260">
      <c r="A16260" s="215" t="n">
        <v>46288</v>
      </c>
      <c r="B16260" s="216" t="n">
        <v>27.36</v>
      </c>
      <c r="C16260" s="216" t="n">
        <v>32.41</v>
      </c>
      <c r="D16260" s="216" t="n">
        <v>1.170611023902893</v>
      </c>
      <c r="E16260" s="215" t="n">
        <v>46288</v>
      </c>
      <c r="F16260" s="215" t="n">
        <v>46288</v>
      </c>
    </row>
    <row r="16261">
      <c r="A16261" s="215" t="n">
        <v>46289</v>
      </c>
      <c r="B16261" s="216" t="n">
        <v>26.9</v>
      </c>
      <c r="C16261" s="216" t="n">
        <v>32.11</v>
      </c>
      <c r="D16261" s="216" t="n">
        <v>1.16852605342865</v>
      </c>
      <c r="E16261" s="215" t="n">
        <v>46289</v>
      </c>
      <c r="F16261" s="215" t="n">
        <v>46289</v>
      </c>
    </row>
    <row r="16262">
      <c r="A16262" s="215" t="n">
        <v>46290</v>
      </c>
      <c r="B16262" s="216" t="n">
        <v>26.24</v>
      </c>
      <c r="C16262" s="216" t="n">
        <v>32.11</v>
      </c>
      <c r="D16262" s="216" t="n">
        <v>1.168424010276794</v>
      </c>
      <c r="E16262" s="215" t="n">
        <v>46289</v>
      </c>
      <c r="F16262" s="215" t="n">
        <v>46290</v>
      </c>
    </row>
    <row r="16263">
      <c r="A16263" s="215" t="n">
        <v>46293</v>
      </c>
      <c r="B16263" s="216" t="n">
        <v>25.5</v>
      </c>
      <c r="C16263" s="216" t="n">
        <v>31.2</v>
      </c>
      <c r="D16263" s="216" t="n">
        <v>1.168378949165344</v>
      </c>
      <c r="E16263" s="215" t="n">
        <v>46293</v>
      </c>
      <c r="F16263" s="215" t="n">
        <v>46293</v>
      </c>
    </row>
    <row r="16264">
      <c r="A16264" s="215" t="n">
        <v>46294</v>
      </c>
      <c r="B16264" s="216" t="n">
        <v>27.46</v>
      </c>
      <c r="C16264" s="216" t="n">
        <v>33.76</v>
      </c>
      <c r="D16264" s="216" t="n">
        <v>1.168815970420837</v>
      </c>
      <c r="E16264" s="215" t="n">
        <v>46294</v>
      </c>
      <c r="F16264" s="215" t="n">
        <v>46294</v>
      </c>
    </row>
    <row r="16265">
      <c r="A16265" s="215" t="n">
        <v>46295</v>
      </c>
      <c r="B16265" s="216" t="n">
        <v>28.48</v>
      </c>
      <c r="C16265" s="216" t="n">
        <v>34.94</v>
      </c>
      <c r="D16265" s="216" t="n">
        <v>1.17059600353241</v>
      </c>
      <c r="E16265" s="215" t="n">
        <v>46295</v>
      </c>
      <c r="F16265" s="215" t="n">
        <v>46295</v>
      </c>
    </row>
    <row r="16266">
      <c r="A16266" s="215" t="n">
        <v>46297</v>
      </c>
      <c r="B16266" s="216" t="n">
        <v>27.4</v>
      </c>
      <c r="C16266" s="216" t="n">
        <v>34.94</v>
      </c>
      <c r="D16266" s="216" t="n">
        <v>1.170220971107483</v>
      </c>
      <c r="E16266" s="215" t="n">
        <v>46295</v>
      </c>
      <c r="F16266" s="215" t="n">
        <v>46297</v>
      </c>
    </row>
    <row r="16267">
      <c r="A16267" s="215" t="n">
        <v>46090</v>
      </c>
      <c r="B16267" s="216" t="n">
        <v>73</v>
      </c>
      <c r="C16267" s="216" t="n">
        <v>113.07</v>
      </c>
      <c r="D16267" s="216" t="n">
        <v>1.133231043815613</v>
      </c>
      <c r="E16267" s="215" t="n">
        <v>46090</v>
      </c>
      <c r="F16267" s="215" t="n">
        <v>46090</v>
      </c>
    </row>
    <row r="16268">
      <c r="A16268" s="215" t="n">
        <v>46091</v>
      </c>
      <c r="B16268" s="216" t="n">
        <v>92</v>
      </c>
      <c r="C16268" s="216" t="n">
        <v>124.38</v>
      </c>
      <c r="D16268" s="216" t="n">
        <v>1.131595015525818</v>
      </c>
      <c r="E16268" s="215" t="n">
        <v>46091</v>
      </c>
      <c r="F16268" s="215" t="n">
        <v>46091</v>
      </c>
    </row>
    <row r="16269">
      <c r="A16269" s="215" t="n">
        <v>46092</v>
      </c>
      <c r="B16269" s="216" t="n">
        <v>83</v>
      </c>
      <c r="C16269" s="216" t="n">
        <v>123.4</v>
      </c>
      <c r="D16269" s="216" t="n">
        <v>1.137585043907166</v>
      </c>
      <c r="E16269" s="215" t="n">
        <v>46092</v>
      </c>
      <c r="F16269" s="215" t="n">
        <v>46092</v>
      </c>
    </row>
    <row r="16270">
      <c r="A16270" s="215" t="n">
        <v>46093</v>
      </c>
      <c r="B16270" s="216" t="n">
        <v>78.75</v>
      </c>
      <c r="C16270" s="216" t="n">
        <v>119</v>
      </c>
      <c r="D16270" s="216" t="n">
        <v>1.139600038528442</v>
      </c>
      <c r="E16270" s="215" t="n">
        <v>46093</v>
      </c>
      <c r="F16270" s="215" t="n">
        <v>46093</v>
      </c>
    </row>
    <row r="16271">
      <c r="A16271" s="215" t="n">
        <v>46094</v>
      </c>
      <c r="B16271" s="216" t="n">
        <v>76.84999999999999</v>
      </c>
      <c r="C16271" s="216" t="n">
        <v>114.22</v>
      </c>
      <c r="D16271" s="216" t="n">
        <v>1.139310002326965</v>
      </c>
      <c r="E16271" s="215" t="n">
        <v>46094</v>
      </c>
      <c r="F16271" s="215" t="n">
        <v>46094</v>
      </c>
    </row>
    <row r="16272">
      <c r="A16272" s="215" t="n">
        <v>46097</v>
      </c>
      <c r="B16272" s="216" t="n">
        <v>79.40000000000001</v>
      </c>
      <c r="C16272" s="216" t="n">
        <v>111.9</v>
      </c>
      <c r="D16272" s="216" t="n">
        <v>1.134883999824524</v>
      </c>
      <c r="E16272" s="215" t="n">
        <v>46097</v>
      </c>
      <c r="F16272" s="215" t="n">
        <v>46097</v>
      </c>
    </row>
    <row r="16273">
      <c r="A16273" s="215" t="n">
        <v>46098</v>
      </c>
      <c r="B16273" s="216" t="n">
        <v>76.34999999999999</v>
      </c>
      <c r="C16273" s="216" t="n">
        <v>108</v>
      </c>
      <c r="D16273" s="216" t="n">
        <v>1.125375986099243</v>
      </c>
      <c r="E16273" s="215" t="n">
        <v>46098</v>
      </c>
      <c r="F16273" s="215" t="n">
        <v>46098</v>
      </c>
    </row>
    <row r="16274">
      <c r="A16274" s="215" t="n">
        <v>46099</v>
      </c>
      <c r="B16274" s="216" t="n">
        <v>75.90000000000001</v>
      </c>
      <c r="C16274" s="216" t="n">
        <v>108.28</v>
      </c>
      <c r="D16274" s="216" t="n">
        <v>1.137819051742554</v>
      </c>
      <c r="E16274" s="215" t="n">
        <v>46099</v>
      </c>
      <c r="F16274" s="215" t="n">
        <v>46099</v>
      </c>
    </row>
    <row r="16275">
      <c r="A16275" s="215" t="n">
        <v>46100</v>
      </c>
      <c r="B16275" s="216" t="n">
        <v>71</v>
      </c>
      <c r="C16275" s="216" t="n">
        <v>103.66</v>
      </c>
      <c r="D16275" s="216" t="n">
        <v>1.140079021453857</v>
      </c>
      <c r="E16275" s="215" t="n">
        <v>46100</v>
      </c>
      <c r="F16275" s="215" t="n">
        <v>46100</v>
      </c>
    </row>
    <row r="16276">
      <c r="A16276" s="215" t="n">
        <v>46101</v>
      </c>
      <c r="B16276" s="216" t="n">
        <v>70.55</v>
      </c>
      <c r="C16276" s="216" t="n">
        <v>103.53</v>
      </c>
      <c r="D16276" s="216" t="n">
        <v>1.13490903377533</v>
      </c>
      <c r="E16276" s="215" t="n">
        <v>46101</v>
      </c>
      <c r="F16276" s="215" t="n">
        <v>46101</v>
      </c>
    </row>
    <row r="16277">
      <c r="A16277" s="215" t="n">
        <v>46104</v>
      </c>
      <c r="B16277" s="216" t="n">
        <v>65.40000000000001</v>
      </c>
      <c r="C16277" s="216" t="n">
        <v>97.8</v>
      </c>
      <c r="D16277" s="216" t="n">
        <v>1.137529969215393</v>
      </c>
      <c r="E16277" s="215" t="n">
        <v>46104</v>
      </c>
      <c r="F16277" s="215" t="n">
        <v>46104</v>
      </c>
    </row>
    <row r="16278">
      <c r="A16278" s="215" t="n">
        <v>46105</v>
      </c>
      <c r="B16278" s="216" t="n">
        <v>67.25</v>
      </c>
      <c r="C16278" s="216" t="n">
        <v>97.40000000000001</v>
      </c>
      <c r="D16278" s="216" t="n">
        <v>1.138481974601746</v>
      </c>
      <c r="E16278" s="215" t="n">
        <v>46105</v>
      </c>
      <c r="F16278" s="215" t="n">
        <v>46105</v>
      </c>
    </row>
    <row r="16279">
      <c r="A16279" s="215" t="n">
        <v>46106</v>
      </c>
      <c r="B16279" s="216" t="n">
        <v>70.55</v>
      </c>
      <c r="C16279" s="216" t="n">
        <v>99.16</v>
      </c>
      <c r="D16279" s="216" t="n">
        <v>1.135548949241638</v>
      </c>
      <c r="E16279" s="215" t="n">
        <v>46106</v>
      </c>
      <c r="F16279" s="215" t="n">
        <v>46106</v>
      </c>
    </row>
    <row r="16280">
      <c r="A16280" s="215" t="n">
        <v>46107</v>
      </c>
      <c r="B16280" s="216" t="n">
        <v>66.2</v>
      </c>
      <c r="C16280" s="216" t="n">
        <v>97.90000000000001</v>
      </c>
      <c r="D16280" s="216" t="n">
        <v>1.132627010345459</v>
      </c>
      <c r="E16280" s="215" t="n">
        <v>46107</v>
      </c>
      <c r="F16280" s="215" t="n">
        <v>46107</v>
      </c>
    </row>
    <row r="16281">
      <c r="A16281" s="215" t="n">
        <v>46108</v>
      </c>
      <c r="B16281" s="216" t="n">
        <v>66.55</v>
      </c>
      <c r="C16281" s="216" t="n">
        <v>99.45999999999999</v>
      </c>
      <c r="D16281" s="216" t="n">
        <v>1.132115960121155</v>
      </c>
      <c r="E16281" s="215" t="n">
        <v>46108</v>
      </c>
      <c r="F16281" s="215" t="n">
        <v>46108</v>
      </c>
    </row>
    <row r="16282">
      <c r="A16282" s="215" t="n">
        <v>46111</v>
      </c>
      <c r="B16282" s="216" t="n">
        <v>62.4</v>
      </c>
      <c r="C16282" s="216" t="n">
        <v>97.39</v>
      </c>
      <c r="D16282" s="216" t="n">
        <v>1.13311505317688</v>
      </c>
      <c r="E16282" s="215" t="n">
        <v>46111</v>
      </c>
      <c r="F16282" s="215" t="n">
        <v>46111</v>
      </c>
    </row>
    <row r="16283">
      <c r="A16283" s="215" t="n">
        <v>46112</v>
      </c>
      <c r="B16283" s="216" t="n">
        <v>58.95</v>
      </c>
      <c r="C16283" s="216" t="n">
        <v>96</v>
      </c>
      <c r="D16283" s="216" t="n">
        <v>1.133540987968445</v>
      </c>
      <c r="E16283" s="215" t="n">
        <v>46112</v>
      </c>
      <c r="F16283" s="215" t="n">
        <v>46112</v>
      </c>
    </row>
    <row r="16284">
      <c r="A16284" s="215" t="n">
        <v>46113</v>
      </c>
      <c r="B16284" s="216" t="n">
        <v>62.9</v>
      </c>
      <c r="C16284" s="216" t="n">
        <v>98.55</v>
      </c>
      <c r="D16284" s="216" t="n">
        <v>1.136669993400574</v>
      </c>
      <c r="E16284" s="215" t="n">
        <v>46113</v>
      </c>
      <c r="F16284" s="215" t="n">
        <v>46113</v>
      </c>
    </row>
    <row r="16285">
      <c r="A16285" s="215" t="n">
        <v>46114</v>
      </c>
      <c r="B16285" s="216" t="n">
        <v>57.15</v>
      </c>
      <c r="C16285" s="216" t="n">
        <v>95.75</v>
      </c>
      <c r="D16285" s="216" t="n">
        <v>1.140197992324829</v>
      </c>
      <c r="E16285" s="215" t="n">
        <v>46114</v>
      </c>
      <c r="F16285" s="215" t="n">
        <v>46114</v>
      </c>
    </row>
    <row r="16286">
      <c r="A16286" s="215" t="n">
        <v>46120</v>
      </c>
      <c r="B16286" s="216" t="n">
        <v>66.7</v>
      </c>
      <c r="C16286" s="216" t="n">
        <v>99.12</v>
      </c>
      <c r="D16286" s="216" t="n">
        <v>1.1423499584198</v>
      </c>
      <c r="E16286" s="215" t="n">
        <v>46120</v>
      </c>
      <c r="F16286" s="215" t="n">
        <v>46120</v>
      </c>
    </row>
    <row r="16287">
      <c r="A16287" s="215" t="n">
        <v>46121</v>
      </c>
      <c r="B16287" s="216" t="n">
        <v>65</v>
      </c>
      <c r="C16287" s="216" t="n">
        <v>97.47</v>
      </c>
      <c r="D16287" s="216" t="n">
        <v>1.146731972694397</v>
      </c>
      <c r="E16287" s="215" t="n">
        <v>46121</v>
      </c>
      <c r="F16287" s="215" t="n">
        <v>46121</v>
      </c>
    </row>
    <row r="16288">
      <c r="A16288" s="215" t="n">
        <v>46122</v>
      </c>
      <c r="B16288" s="216" t="n">
        <v>65.95</v>
      </c>
      <c r="C16288" s="216" t="n">
        <v>99.8</v>
      </c>
      <c r="D16288" s="216" t="n">
        <v>1.146558046340942</v>
      </c>
      <c r="E16288" s="215" t="n">
        <v>46122</v>
      </c>
      <c r="F16288" s="215" t="n">
        <v>46122</v>
      </c>
    </row>
    <row r="16289">
      <c r="A16289" s="215" t="n">
        <v>46125</v>
      </c>
      <c r="B16289" s="216" t="n">
        <v>64.59999999999999</v>
      </c>
      <c r="C16289" s="216" t="n">
        <v>99.63</v>
      </c>
      <c r="D16289" s="216" t="n">
        <v>1.147117972373962</v>
      </c>
      <c r="E16289" s="215" t="n">
        <v>46125</v>
      </c>
      <c r="F16289" s="215" t="n">
        <v>46125</v>
      </c>
    </row>
    <row r="16290">
      <c r="A16290" s="215" t="n">
        <v>46126</v>
      </c>
      <c r="B16290" s="216" t="n">
        <v>68.09999999999999</v>
      </c>
      <c r="C16290" s="216" t="n">
        <v>101.08</v>
      </c>
      <c r="D16290" s="216" t="n">
        <v>1.146226048469543</v>
      </c>
      <c r="E16290" s="215" t="n">
        <v>46126</v>
      </c>
      <c r="F16290" s="215" t="n">
        <v>46126</v>
      </c>
    </row>
    <row r="16291">
      <c r="A16291" s="215" t="n">
        <v>46127</v>
      </c>
      <c r="B16291" s="216" t="n">
        <v>65.05</v>
      </c>
      <c r="C16291" s="216" t="n">
        <v>99.91</v>
      </c>
      <c r="D16291" s="216" t="n">
        <v>1.149266004562378</v>
      </c>
      <c r="E16291" s="215" t="n">
        <v>46127</v>
      </c>
      <c r="F16291" s="215" t="n">
        <v>46127</v>
      </c>
    </row>
    <row r="16292">
      <c r="A16292" s="215" t="n">
        <v>46128</v>
      </c>
      <c r="B16292" s="216" t="n">
        <v>68.8</v>
      </c>
      <c r="C16292" s="216" t="n">
        <v>101.89</v>
      </c>
      <c r="D16292" s="216" t="n">
        <v>1.148550033569336</v>
      </c>
      <c r="E16292" s="215" t="n">
        <v>46128</v>
      </c>
      <c r="F16292" s="215" t="n">
        <v>46128</v>
      </c>
    </row>
    <row r="16293">
      <c r="A16293" s="215" t="n">
        <v>46129</v>
      </c>
      <c r="B16293" s="216" t="n">
        <v>68.15000000000001</v>
      </c>
      <c r="C16293" s="216" t="n">
        <v>101.71</v>
      </c>
      <c r="D16293" s="216" t="n">
        <v>1.146605014801025</v>
      </c>
      <c r="E16293" s="215" t="n">
        <v>46129</v>
      </c>
      <c r="F16293" s="215" t="n">
        <v>46129</v>
      </c>
    </row>
    <row r="16294">
      <c r="A16294" s="215" t="n">
        <v>46132</v>
      </c>
      <c r="B16294" s="216" t="n">
        <v>68.40000000000001</v>
      </c>
      <c r="C16294" s="216" t="n">
        <v>101.55</v>
      </c>
      <c r="D16294" s="216" t="n">
        <v>1.148360967636108</v>
      </c>
      <c r="E16294" s="215" t="n">
        <v>46132</v>
      </c>
      <c r="F16294" s="215" t="n">
        <v>46132</v>
      </c>
    </row>
    <row r="16295">
      <c r="A16295" s="215" t="n">
        <v>46133</v>
      </c>
      <c r="B16295" s="216" t="n">
        <v>66.09999999999999</v>
      </c>
      <c r="C16295" s="216" t="n">
        <v>100.28</v>
      </c>
      <c r="D16295" s="216" t="n">
        <v>1.148368000984192</v>
      </c>
      <c r="E16295" s="215" t="n">
        <v>46133</v>
      </c>
      <c r="F16295" s="215" t="n">
        <v>46133</v>
      </c>
    </row>
    <row r="16296">
      <c r="A16296" s="215" t="n">
        <v>46134</v>
      </c>
      <c r="B16296" s="216" t="n">
        <v>66.05</v>
      </c>
      <c r="C16296" s="216" t="n">
        <v>100.68</v>
      </c>
      <c r="D16296" s="216" t="n">
        <v>1.147838950157166</v>
      </c>
      <c r="E16296" s="215" t="n">
        <v>46134</v>
      </c>
      <c r="F16296" s="215" t="n">
        <v>46134</v>
      </c>
    </row>
    <row r="16297">
      <c r="A16297" s="215" t="n">
        <v>46135</v>
      </c>
      <c r="B16297" s="216" t="n">
        <v>62.1</v>
      </c>
      <c r="C16297" s="216" t="n">
        <v>97.54000000000001</v>
      </c>
      <c r="D16297" s="216" t="n">
        <v>1.147513031959534</v>
      </c>
      <c r="E16297" s="215" t="n">
        <v>46135</v>
      </c>
      <c r="F16297" s="215" t="n">
        <v>46135</v>
      </c>
    </row>
    <row r="16298">
      <c r="A16298" s="215" t="n">
        <v>46136</v>
      </c>
      <c r="B16298" s="216" t="n">
        <v>61.9</v>
      </c>
      <c r="C16298" s="216" t="n">
        <v>96.3</v>
      </c>
      <c r="D16298" s="216" t="n">
        <v>1.147369027137756</v>
      </c>
      <c r="E16298" s="215" t="n">
        <v>46136</v>
      </c>
      <c r="F16298" s="215" t="n">
        <v>46136</v>
      </c>
    </row>
    <row r="16299">
      <c r="A16299" s="215" t="n">
        <v>46139</v>
      </c>
      <c r="B16299" s="216" t="n">
        <v>66.84999999999999</v>
      </c>
      <c r="C16299" s="216" t="n">
        <v>100.18</v>
      </c>
      <c r="D16299" s="216" t="n">
        <v>1.146002054214478</v>
      </c>
      <c r="E16299" s="215" t="n">
        <v>46139</v>
      </c>
      <c r="F16299" s="215" t="n">
        <v>46139</v>
      </c>
    </row>
    <row r="16300">
      <c r="A16300" s="215" t="n">
        <v>46140</v>
      </c>
      <c r="B16300" s="216" t="n">
        <v>60.65</v>
      </c>
      <c r="C16300" s="216" t="n">
        <v>92.75</v>
      </c>
      <c r="D16300" s="216" t="n">
        <v>1.148522019386292</v>
      </c>
      <c r="E16300" s="215" t="n">
        <v>46140</v>
      </c>
      <c r="F16300" s="215" t="n">
        <v>46140</v>
      </c>
    </row>
    <row r="16301">
      <c r="A16301" s="215" t="n">
        <v>46141</v>
      </c>
      <c r="B16301" s="216" t="n">
        <v>62.45</v>
      </c>
      <c r="C16301" s="216" t="n">
        <v>93.90000000000001</v>
      </c>
      <c r="D16301" s="216" t="n">
        <v>1.145936012268066</v>
      </c>
      <c r="E16301" s="215" t="n">
        <v>46141</v>
      </c>
      <c r="F16301" s="215" t="n">
        <v>46141</v>
      </c>
    </row>
    <row r="16302">
      <c r="A16302" s="215" t="n">
        <v>46142</v>
      </c>
      <c r="B16302" s="216" t="n">
        <v>66.09999999999999</v>
      </c>
      <c r="C16302" s="216" t="n">
        <v>96.59</v>
      </c>
      <c r="D16302" s="216" t="n">
        <v>1.145792007446289</v>
      </c>
      <c r="E16302" s="215" t="n">
        <v>46142</v>
      </c>
      <c r="F16302" s="215" t="n">
        <v>46142</v>
      </c>
    </row>
    <row r="16303">
      <c r="A16303" s="215" t="n">
        <v>46146</v>
      </c>
      <c r="B16303" s="216" t="n">
        <v>64.90000000000001</v>
      </c>
      <c r="C16303" s="216" t="n">
        <v>96.59</v>
      </c>
      <c r="D16303" s="216" t="n">
        <v>1.147340059280396</v>
      </c>
      <c r="E16303" s="215" t="n">
        <v>46142</v>
      </c>
      <c r="F16303" s="215" t="n">
        <v>46146</v>
      </c>
    </row>
    <row r="16304">
      <c r="A16304" s="215" t="n">
        <v>46147</v>
      </c>
      <c r="B16304" s="216" t="n">
        <v>63.85</v>
      </c>
      <c r="C16304" s="216" t="n">
        <v>96.59</v>
      </c>
      <c r="D16304" s="216" t="n">
        <v>1.146813988685608</v>
      </c>
      <c r="E16304" s="215" t="n">
        <v>46142</v>
      </c>
      <c r="F16304" s="215" t="n">
        <v>46147</v>
      </c>
    </row>
    <row r="16305">
      <c r="A16305" s="215" t="n">
        <v>46148</v>
      </c>
      <c r="B16305" s="216" t="n">
        <v>65.95</v>
      </c>
      <c r="C16305" s="216" t="n">
        <v>97.53</v>
      </c>
      <c r="D16305" s="216" t="n">
        <v>1.14708399772644</v>
      </c>
      <c r="E16305" s="215" t="n">
        <v>46148</v>
      </c>
      <c r="F16305" s="215" t="n">
        <v>46148</v>
      </c>
    </row>
    <row r="16306">
      <c r="A16306" s="215" t="n">
        <v>46149</v>
      </c>
      <c r="B16306" s="216" t="n">
        <v>69.45</v>
      </c>
      <c r="C16306" s="216" t="n">
        <v>100.6</v>
      </c>
      <c r="D16306" s="216" t="n">
        <v>1.150125026702881</v>
      </c>
      <c r="E16306" s="215" t="n">
        <v>46149</v>
      </c>
      <c r="F16306" s="215" t="n">
        <v>46149</v>
      </c>
    </row>
    <row r="16307">
      <c r="A16307" s="215" t="n">
        <v>46150</v>
      </c>
      <c r="B16307" s="216" t="n">
        <v>70.25</v>
      </c>
      <c r="C16307" s="216" t="n">
        <v>103.35</v>
      </c>
      <c r="D16307" s="216" t="n">
        <v>1.15172004699707</v>
      </c>
      <c r="E16307" s="215" t="n">
        <v>46150</v>
      </c>
      <c r="F16307" s="215" t="n">
        <v>46150</v>
      </c>
    </row>
    <row r="16308">
      <c r="A16308" s="215" t="n">
        <v>46153</v>
      </c>
      <c r="B16308" s="216" t="n">
        <v>67.5</v>
      </c>
      <c r="C16308" s="216" t="n">
        <v>102.45</v>
      </c>
      <c r="D16308" s="216" t="n">
        <v>1.151090025901794</v>
      </c>
      <c r="E16308" s="215" t="n">
        <v>46153</v>
      </c>
      <c r="F16308" s="215" t="n">
        <v>46153</v>
      </c>
    </row>
    <row r="16309">
      <c r="A16309" s="215" t="n">
        <v>46154</v>
      </c>
      <c r="B16309" s="216" t="n">
        <v>66.7</v>
      </c>
      <c r="C16309" s="216" t="n">
        <v>101.23</v>
      </c>
      <c r="D16309" s="216" t="n">
        <v>1.152078986167908</v>
      </c>
      <c r="E16309" s="215" t="n">
        <v>46154</v>
      </c>
      <c r="F16309" s="215" t="n">
        <v>46154</v>
      </c>
    </row>
    <row r="16310">
      <c r="A16310" s="215" t="n">
        <v>46155</v>
      </c>
      <c r="B16310" s="216" t="n">
        <v>68.55</v>
      </c>
      <c r="C16310" s="216" t="n">
        <v>102.24</v>
      </c>
      <c r="D16310" s="216" t="n">
        <v>1.152537941932678</v>
      </c>
      <c r="E16310" s="215" t="n">
        <v>46155</v>
      </c>
      <c r="F16310" s="215" t="n">
        <v>46155</v>
      </c>
    </row>
    <row r="16311">
      <c r="A16311" s="215" t="n">
        <v>46156</v>
      </c>
      <c r="B16311" s="216" t="n">
        <v>63.85</v>
      </c>
      <c r="C16311" s="216" t="n">
        <v>99.52</v>
      </c>
      <c r="D16311" s="216" t="n">
        <v>1.152662992477417</v>
      </c>
      <c r="E16311" s="215" t="n">
        <v>46156</v>
      </c>
      <c r="F16311" s="215" t="n">
        <v>46156</v>
      </c>
    </row>
    <row r="16312">
      <c r="A16312" s="215" t="n">
        <v>46157</v>
      </c>
      <c r="B16312" s="216" t="n">
        <v>70</v>
      </c>
      <c r="C16312" s="216" t="n">
        <v>105.99</v>
      </c>
      <c r="D16312" s="216" t="n">
        <v>1.154320001602173</v>
      </c>
      <c r="E16312" s="215" t="n">
        <v>46157</v>
      </c>
      <c r="F16312" s="215" t="n">
        <v>46157</v>
      </c>
    </row>
    <row r="16313">
      <c r="A16313" s="215" t="n">
        <v>46160</v>
      </c>
      <c r="B16313" s="216" t="n">
        <v>73.8</v>
      </c>
      <c r="C16313" s="216" t="n">
        <v>111.89</v>
      </c>
      <c r="D16313" s="216" t="n">
        <v>1.149821996688843</v>
      </c>
      <c r="E16313" s="215" t="n">
        <v>46160</v>
      </c>
      <c r="F16313" s="215" t="n">
        <v>46160</v>
      </c>
    </row>
    <row r="16314">
      <c r="A16314" s="215" t="n">
        <v>46161</v>
      </c>
      <c r="B16314" s="216" t="n">
        <v>76.45</v>
      </c>
      <c r="C16314" s="216" t="n">
        <v>111.97</v>
      </c>
      <c r="D16314" s="216" t="n">
        <v>1.151532053947449</v>
      </c>
      <c r="E16314" s="215" t="n">
        <v>46161</v>
      </c>
      <c r="F16314" s="215" t="n">
        <v>46161</v>
      </c>
    </row>
    <row r="16315">
      <c r="A16315" s="215" t="n">
        <v>46162</v>
      </c>
      <c r="B16315" s="216" t="n">
        <v>73.2</v>
      </c>
      <c r="C16315" s="216" t="n">
        <v>109.6</v>
      </c>
      <c r="D16315" s="216" t="n">
        <v>1.149292945861816</v>
      </c>
      <c r="E16315" s="215" t="n">
        <v>46162</v>
      </c>
      <c r="F16315" s="215" t="n">
        <v>46162</v>
      </c>
    </row>
    <row r="16316">
      <c r="A16316" s="215" t="n">
        <v>46163</v>
      </c>
      <c r="B16316" s="216" t="n">
        <v>76.7</v>
      </c>
      <c r="C16316" s="216" t="n">
        <v>111.47</v>
      </c>
      <c r="D16316" s="216" t="n">
        <v>1.151231050491333</v>
      </c>
      <c r="E16316" s="215" t="n">
        <v>46163</v>
      </c>
      <c r="F16316" s="215" t="n">
        <v>46163</v>
      </c>
    </row>
    <row r="16317">
      <c r="A16317" s="215" t="n">
        <v>46164</v>
      </c>
      <c r="B16317" s="216" t="n">
        <v>76.95</v>
      </c>
      <c r="C16317" s="216" t="n">
        <v>111.68</v>
      </c>
      <c r="D16317" s="216" t="n">
        <v>1.151487946510315</v>
      </c>
      <c r="E16317" s="215" t="n">
        <v>46164</v>
      </c>
      <c r="F16317" s="215" t="n">
        <v>46164</v>
      </c>
    </row>
    <row r="16318">
      <c r="A16318" s="215" t="n">
        <v>46168</v>
      </c>
      <c r="B16318" s="216" t="n">
        <v>75.84999999999999</v>
      </c>
      <c r="C16318" s="216" t="n">
        <v>114.4</v>
      </c>
      <c r="D16318" s="216" t="n">
        <v>1.152968049049377</v>
      </c>
      <c r="E16318" s="215" t="n">
        <v>46168</v>
      </c>
      <c r="F16318" s="215" t="n">
        <v>46168</v>
      </c>
    </row>
    <row r="16319">
      <c r="A16319" s="215" t="n">
        <v>46169</v>
      </c>
      <c r="B16319" s="216" t="n">
        <v>71.7</v>
      </c>
      <c r="C16319" s="216" t="n">
        <v>106.09</v>
      </c>
      <c r="D16319" s="216" t="n">
        <v>1.154562950134277</v>
      </c>
      <c r="E16319" s="215" t="n">
        <v>46169</v>
      </c>
      <c r="F16319" s="215" t="n">
        <v>46169</v>
      </c>
    </row>
    <row r="16320">
      <c r="A16320" s="215" t="n">
        <v>46170</v>
      </c>
      <c r="B16320" s="216" t="n">
        <v>68.40000000000001</v>
      </c>
      <c r="C16320" s="216" t="n">
        <v>102.77</v>
      </c>
      <c r="D16320" s="216" t="n">
        <v>1.155385971069336</v>
      </c>
      <c r="E16320" s="215" t="n">
        <v>46170</v>
      </c>
      <c r="F16320" s="215" t="n">
        <v>46170</v>
      </c>
    </row>
    <row r="16321">
      <c r="A16321" s="215" t="n">
        <v>46171</v>
      </c>
      <c r="B16321" s="216" t="n">
        <v>63</v>
      </c>
      <c r="C16321" s="216" t="n">
        <v>96.83</v>
      </c>
      <c r="D16321" s="216" t="n">
        <v>1.155282974243164</v>
      </c>
      <c r="E16321" s="215" t="n">
        <v>46171</v>
      </c>
      <c r="F16321" s="215" t="n">
        <v>46171</v>
      </c>
    </row>
    <row r="16322">
      <c r="A16322" s="215" t="n">
        <v>46174</v>
      </c>
      <c r="B16322" s="216" t="n">
        <v>63.95</v>
      </c>
      <c r="C16322" s="216" t="n">
        <v>95.89</v>
      </c>
      <c r="D16322" s="216" t="n">
        <v>1.158049941062927</v>
      </c>
      <c r="E16322" s="215" t="n">
        <v>46174</v>
      </c>
      <c r="F16322" s="215" t="n">
        <v>46174</v>
      </c>
    </row>
    <row r="16323">
      <c r="A16323" s="215" t="n">
        <v>46175</v>
      </c>
      <c r="B16323" s="216" t="n">
        <v>64.59999999999999</v>
      </c>
      <c r="C16323" s="216" t="n">
        <v>97.25</v>
      </c>
      <c r="D16323" s="216" t="n">
        <v>1.158406972885132</v>
      </c>
      <c r="E16323" s="215" t="n">
        <v>46175</v>
      </c>
      <c r="F16323" s="215" t="n">
        <v>46175</v>
      </c>
    </row>
    <row r="16324">
      <c r="A16324" s="215" t="n">
        <v>46176</v>
      </c>
      <c r="B16324" s="216" t="n">
        <v>62.95</v>
      </c>
      <c r="C16324" s="216" t="n">
        <v>96.61</v>
      </c>
      <c r="D16324" s="216" t="n">
        <v>1.15879499912262</v>
      </c>
      <c r="E16324" s="215" t="n">
        <v>46176</v>
      </c>
      <c r="F16324" s="215" t="n">
        <v>46176</v>
      </c>
    </row>
    <row r="16325">
      <c r="A16325" s="215" t="n">
        <v>46177</v>
      </c>
      <c r="B16325" s="216" t="n">
        <v>64.40000000000001</v>
      </c>
      <c r="C16325" s="216" t="n">
        <v>98.58</v>
      </c>
      <c r="D16325" s="216" t="n">
        <v>1.157420039176941</v>
      </c>
      <c r="E16325" s="215" t="n">
        <v>46177</v>
      </c>
      <c r="F16325" s="215" t="n">
        <v>46177</v>
      </c>
    </row>
    <row r="16326">
      <c r="A16326" s="215" t="n">
        <v>46178</v>
      </c>
      <c r="B16326" s="216" t="n">
        <v>67.59999999999999</v>
      </c>
      <c r="C16326" s="216" t="n">
        <v>105.07</v>
      </c>
      <c r="D16326" s="216" t="n">
        <v>1.156491994857788</v>
      </c>
      <c r="E16326" s="215" t="n">
        <v>46178</v>
      </c>
      <c r="F16326" s="215" t="n">
        <v>46178</v>
      </c>
    </row>
    <row r="16327">
      <c r="A16327" s="215" t="n">
        <v>46181</v>
      </c>
      <c r="B16327" s="216" t="n">
        <v>70.45</v>
      </c>
      <c r="C16327" s="216" t="n">
        <v>107.98</v>
      </c>
      <c r="D16327" s="216" t="n">
        <v>1.157665967941284</v>
      </c>
      <c r="E16327" s="215" t="n">
        <v>46181</v>
      </c>
      <c r="F16327" s="215" t="n">
        <v>46181</v>
      </c>
    </row>
    <row r="16328">
      <c r="A16328" s="215" t="n">
        <v>46182</v>
      </c>
      <c r="B16328" s="216" t="n">
        <v>68.45</v>
      </c>
      <c r="C16328" s="216" t="n">
        <v>106.87</v>
      </c>
      <c r="D16328" s="216" t="n">
        <v>1.158027052879333</v>
      </c>
      <c r="E16328" s="215" t="n">
        <v>46182</v>
      </c>
      <c r="F16328" s="215" t="n">
        <v>46182</v>
      </c>
    </row>
    <row r="16329">
      <c r="A16329" s="215" t="n">
        <v>46183</v>
      </c>
      <c r="B16329" s="216" t="n">
        <v>63.6</v>
      </c>
      <c r="C16329" s="216" t="n">
        <v>101.5</v>
      </c>
      <c r="D16329" s="216" t="n">
        <v>1.157112002372742</v>
      </c>
      <c r="E16329" s="215" t="n">
        <v>46183</v>
      </c>
      <c r="F16329" s="215" t="n">
        <v>46183</v>
      </c>
    </row>
    <row r="16330">
      <c r="A16330" s="215" t="n">
        <v>46184</v>
      </c>
      <c r="B16330" s="216" t="n">
        <v>61.95</v>
      </c>
      <c r="C16330" s="216" t="n">
        <v>97.61</v>
      </c>
      <c r="D16330" s="216" t="n">
        <v>1.156929016113281</v>
      </c>
      <c r="E16330" s="215" t="n">
        <v>46184</v>
      </c>
      <c r="F16330" s="215" t="n">
        <v>46184</v>
      </c>
    </row>
    <row r="16331">
      <c r="A16331" s="215" t="n">
        <v>46185</v>
      </c>
      <c r="B16331" s="216" t="n">
        <v>62.8</v>
      </c>
      <c r="C16331" s="216" t="n">
        <v>97.23</v>
      </c>
      <c r="D16331" s="216" t="n">
        <v>1.156345963478088</v>
      </c>
      <c r="E16331" s="215" t="n">
        <v>46185</v>
      </c>
      <c r="F16331" s="215" t="n">
        <v>46185</v>
      </c>
    </row>
    <row r="16332">
      <c r="A16332" s="215" t="n">
        <v>46188</v>
      </c>
      <c r="B16332" s="216" t="n">
        <v>65.3</v>
      </c>
      <c r="C16332" s="216" t="n">
        <v>99.15000000000001</v>
      </c>
      <c r="D16332" s="216" t="n">
        <v>1.156880021095276</v>
      </c>
      <c r="E16332" s="215" t="n">
        <v>46188</v>
      </c>
      <c r="F16332" s="215" t="n">
        <v>46188</v>
      </c>
    </row>
    <row r="16333">
      <c r="A16333" s="215" t="n">
        <v>46189</v>
      </c>
      <c r="B16333" s="216" t="n">
        <v>63</v>
      </c>
      <c r="C16333" s="216" t="n">
        <v>97.93000000000001</v>
      </c>
      <c r="D16333" s="216" t="n">
        <v>1.158604025840759</v>
      </c>
      <c r="E16333" s="215" t="n">
        <v>46189</v>
      </c>
      <c r="F16333" s="215" t="n">
        <v>46189</v>
      </c>
    </row>
    <row r="16334">
      <c r="A16334" s="215" t="n">
        <v>46190</v>
      </c>
      <c r="B16334" s="216" t="n">
        <v>60.65</v>
      </c>
      <c r="C16334" s="216" t="n">
        <v>96.75</v>
      </c>
      <c r="D16334" s="216" t="n">
        <v>1.158974051475525</v>
      </c>
      <c r="E16334" s="215" t="n">
        <v>46190</v>
      </c>
      <c r="F16334" s="215" t="n">
        <v>46190</v>
      </c>
    </row>
    <row r="16335">
      <c r="A16335" s="215" t="n">
        <v>46191</v>
      </c>
      <c r="B16335" s="216" t="n">
        <v>61.55</v>
      </c>
      <c r="C16335" s="216" t="n">
        <v>98.23</v>
      </c>
      <c r="D16335" s="216" t="n">
        <v>1.159355998039246</v>
      </c>
      <c r="E16335" s="215" t="n">
        <v>46191</v>
      </c>
      <c r="F16335" s="215" t="n">
        <v>46191</v>
      </c>
    </row>
    <row r="16336">
      <c r="A16336" s="215" t="n">
        <v>46195</v>
      </c>
      <c r="B16336" s="216" t="n">
        <v>58.3</v>
      </c>
      <c r="C16336" s="216" t="n">
        <v>94.34999999999999</v>
      </c>
      <c r="D16336" s="216" t="n">
        <v>1.157493948936462</v>
      </c>
      <c r="E16336" s="215" t="n">
        <v>46195</v>
      </c>
      <c r="F16336" s="215" t="n">
        <v>46195</v>
      </c>
    </row>
    <row r="16337">
      <c r="A16337" s="215" t="n">
        <v>46196</v>
      </c>
      <c r="B16337" s="216" t="n">
        <v>56.6</v>
      </c>
      <c r="C16337" s="216" t="n">
        <v>92.95999999999999</v>
      </c>
      <c r="D16337" s="216" t="n">
        <v>1.156896948814392</v>
      </c>
      <c r="E16337" s="215" t="n">
        <v>46196</v>
      </c>
      <c r="F16337" s="215" t="n">
        <v>46196</v>
      </c>
    </row>
    <row r="16338">
      <c r="A16338" s="215" t="n">
        <v>46197</v>
      </c>
      <c r="B16338" s="216" t="n">
        <v>56.1</v>
      </c>
      <c r="C16338" s="216" t="n">
        <v>91.16</v>
      </c>
      <c r="D16338" s="216" t="n">
        <v>1.154508948326111</v>
      </c>
      <c r="E16338" s="215" t="n">
        <v>46197</v>
      </c>
      <c r="F16338" s="215" t="n">
        <v>46197</v>
      </c>
    </row>
    <row r="16339">
      <c r="A16339" s="215" t="n">
        <v>46198</v>
      </c>
      <c r="B16339" s="216" t="n">
        <v>51.05</v>
      </c>
      <c r="C16339" s="216" t="n">
        <v>87.66</v>
      </c>
      <c r="D16339" s="216" t="n">
        <v>1.154152035713196</v>
      </c>
      <c r="E16339" s="215" t="n">
        <v>46198</v>
      </c>
      <c r="F16339" s="215" t="n">
        <v>46198</v>
      </c>
    </row>
    <row r="16340">
      <c r="A16340" s="215" t="n">
        <v>46199</v>
      </c>
      <c r="B16340" s="216" t="n">
        <v>44.22</v>
      </c>
      <c r="C16340" s="216" t="n">
        <v>81.55</v>
      </c>
      <c r="D16340" s="216" t="n">
        <v>1.154500961303711</v>
      </c>
      <c r="E16340" s="215" t="n">
        <v>46199</v>
      </c>
      <c r="F16340" s="215" t="n">
        <v>46199</v>
      </c>
    </row>
    <row r="16341">
      <c r="A16341" s="215" t="n">
        <v>46202</v>
      </c>
      <c r="B16341" s="216" t="n">
        <v>46</v>
      </c>
      <c r="C16341" s="216" t="n">
        <v>82.27</v>
      </c>
      <c r="D16341" s="216" t="n">
        <v>1.153512001037598</v>
      </c>
      <c r="E16341" s="215" t="n">
        <v>46202</v>
      </c>
      <c r="F16341" s="215" t="n">
        <v>46202</v>
      </c>
    </row>
    <row r="16342">
      <c r="A16342" s="215" t="n">
        <v>46203</v>
      </c>
      <c r="B16342" s="216" t="n">
        <v>49.36</v>
      </c>
      <c r="C16342" s="216" t="n">
        <v>87.34999999999999</v>
      </c>
      <c r="D16342" s="216" t="n">
        <v>1.153959035873413</v>
      </c>
      <c r="E16342" s="215" t="n">
        <v>46203</v>
      </c>
      <c r="F16342" s="215" t="n">
        <v>46203</v>
      </c>
    </row>
    <row r="16343">
      <c r="A16343" s="215" t="n">
        <v>46205</v>
      </c>
      <c r="B16343" s="216" t="n">
        <v>48.66</v>
      </c>
      <c r="C16343" s="216" t="n">
        <v>91.64</v>
      </c>
      <c r="D16343" s="216" t="n">
        <v>1.154355049133301</v>
      </c>
      <c r="E16343" s="215" t="n">
        <v>46205</v>
      </c>
      <c r="F16343" s="215" t="n">
        <v>46205</v>
      </c>
    </row>
    <row r="16344">
      <c r="A16344" s="215" t="n">
        <v>46206</v>
      </c>
      <c r="B16344" s="216" t="n">
        <v>61.3</v>
      </c>
      <c r="C16344" s="216" t="n">
        <v>100.8</v>
      </c>
      <c r="D16344" s="216" t="n">
        <v>1.155220985412598</v>
      </c>
      <c r="E16344" s="215" t="n">
        <v>46206</v>
      </c>
      <c r="F16344" s="215" t="n">
        <v>46206</v>
      </c>
    </row>
    <row r="16345">
      <c r="A16345" s="215" t="n">
        <v>46209</v>
      </c>
      <c r="B16345" s="216" t="n">
        <v>56.85</v>
      </c>
      <c r="C16345" s="216" t="n">
        <v>95.38</v>
      </c>
      <c r="D16345" s="216" t="n">
        <v>1.155068039894104</v>
      </c>
      <c r="E16345" s="215" t="n">
        <v>46209</v>
      </c>
      <c r="F16345" s="215" t="n">
        <v>46209</v>
      </c>
    </row>
    <row r="16346">
      <c r="A16346" s="215" t="n">
        <v>46210</v>
      </c>
      <c r="B16346" s="216" t="n">
        <v>54.65</v>
      </c>
      <c r="C16346" s="216" t="n">
        <v>90.90000000000001</v>
      </c>
      <c r="D16346" s="216" t="n">
        <v>1.153807997703552</v>
      </c>
      <c r="E16346" s="215" t="n">
        <v>46210</v>
      </c>
      <c r="F16346" s="215" t="n">
        <v>46210</v>
      </c>
    </row>
    <row r="16347">
      <c r="A16347" s="215" t="n">
        <v>46211</v>
      </c>
      <c r="B16347" s="216" t="n">
        <v>51.65</v>
      </c>
      <c r="C16347" s="216" t="n">
        <v>85.06</v>
      </c>
      <c r="D16347" s="216" t="n">
        <v>1.154153943061829</v>
      </c>
      <c r="E16347" s="215" t="n">
        <v>46211</v>
      </c>
      <c r="F16347" s="215" t="n">
        <v>46211</v>
      </c>
    </row>
    <row r="16348">
      <c r="A16348" s="215" t="n">
        <v>46212</v>
      </c>
      <c r="B16348" s="216" t="n">
        <v>52</v>
      </c>
      <c r="C16348" s="216" t="n">
        <v>86.90000000000001</v>
      </c>
      <c r="D16348" s="216" t="n">
        <v>1.152119994163513</v>
      </c>
      <c r="E16348" s="215" t="n">
        <v>46212</v>
      </c>
      <c r="F16348" s="215" t="n">
        <v>46212</v>
      </c>
    </row>
    <row r="16349">
      <c r="A16349" s="215" t="n">
        <v>46213</v>
      </c>
      <c r="B16349" s="216" t="n">
        <v>50.15</v>
      </c>
      <c r="C16349" s="216" t="n">
        <v>86.73</v>
      </c>
      <c r="D16349" s="216" t="n">
        <v>1.153550028800964</v>
      </c>
      <c r="E16349" s="215" t="n">
        <v>46213</v>
      </c>
      <c r="F16349" s="215" t="n">
        <v>46213</v>
      </c>
    </row>
    <row r="16350">
      <c r="A16350" s="215" t="n">
        <v>46216</v>
      </c>
      <c r="B16350" s="216" t="n">
        <v>48</v>
      </c>
      <c r="C16350" s="216" t="n">
        <v>80.05</v>
      </c>
      <c r="D16350" s="216" t="n">
        <v>1.156761050224304</v>
      </c>
      <c r="E16350" s="215" t="n">
        <v>46216</v>
      </c>
      <c r="F16350" s="215" t="n">
        <v>46216</v>
      </c>
    </row>
    <row r="16351">
      <c r="A16351" s="215" t="n">
        <v>46217</v>
      </c>
      <c r="B16351" s="216" t="n">
        <v>49.28</v>
      </c>
      <c r="C16351" s="216" t="n">
        <v>81.90000000000001</v>
      </c>
      <c r="D16351" s="216" t="n">
        <v>1.155825972557068</v>
      </c>
      <c r="E16351" s="215" t="n">
        <v>46217</v>
      </c>
      <c r="F16351" s="215" t="n">
        <v>46217</v>
      </c>
    </row>
    <row r="16352">
      <c r="A16352" s="215" t="n">
        <v>46218</v>
      </c>
      <c r="B16352" s="216" t="n">
        <v>49.36</v>
      </c>
      <c r="C16352" s="216" t="n">
        <v>81.98999999999999</v>
      </c>
      <c r="D16352" s="216" t="n">
        <v>1.157556056976318</v>
      </c>
      <c r="E16352" s="215" t="n">
        <v>46218</v>
      </c>
      <c r="F16352" s="215" t="n">
        <v>46218</v>
      </c>
    </row>
    <row r="16353">
      <c r="A16353" s="215" t="n">
        <v>46219</v>
      </c>
      <c r="B16353" s="216" t="n">
        <v>50</v>
      </c>
      <c r="C16353" s="216" t="n">
        <v>82.98999999999999</v>
      </c>
      <c r="D16353" s="216" t="n">
        <v>1.157912969589233</v>
      </c>
      <c r="E16353" s="215" t="n">
        <v>46219</v>
      </c>
      <c r="F16353" s="215" t="n">
        <v>46219</v>
      </c>
    </row>
    <row r="16354">
      <c r="A16354" s="215" t="n">
        <v>46220</v>
      </c>
      <c r="B16354" s="216" t="n">
        <v>46.6</v>
      </c>
      <c r="C16354" s="216" t="n">
        <v>79.94</v>
      </c>
      <c r="D16354" s="216" t="n">
        <v>1.157472014427185</v>
      </c>
      <c r="E16354" s="215" t="n">
        <v>46220</v>
      </c>
      <c r="F16354" s="215" t="n">
        <v>46220</v>
      </c>
    </row>
    <row r="16355">
      <c r="A16355" s="215" t="n">
        <v>46223</v>
      </c>
      <c r="B16355" s="216" t="n">
        <v>45.4</v>
      </c>
      <c r="C16355" s="216" t="n">
        <v>74.81</v>
      </c>
      <c r="D16355" s="216" t="n">
        <v>1.157451033592224</v>
      </c>
      <c r="E16355" s="215" t="n">
        <v>46223</v>
      </c>
      <c r="F16355" s="215" t="n">
        <v>46223</v>
      </c>
    </row>
    <row r="16356">
      <c r="A16356" s="215" t="n">
        <v>46224</v>
      </c>
      <c r="B16356" s="216" t="n">
        <v>47.26</v>
      </c>
      <c r="C16356" s="216" t="n">
        <v>78.29000000000001</v>
      </c>
      <c r="D16356" s="216" t="n">
        <v>1.157506942749023</v>
      </c>
      <c r="E16356" s="215" t="n">
        <v>46224</v>
      </c>
      <c r="F16356" s="215" t="n">
        <v>46224</v>
      </c>
    </row>
    <row r="16357">
      <c r="A16357" s="215" t="n">
        <v>46225</v>
      </c>
      <c r="B16357" s="216" t="n">
        <v>46</v>
      </c>
      <c r="C16357" s="216" t="n">
        <v>77.02</v>
      </c>
      <c r="D16357" s="216" t="n">
        <v>1.158938050270081</v>
      </c>
      <c r="E16357" s="215" t="n">
        <v>46225</v>
      </c>
      <c r="F16357" s="215" t="n">
        <v>46225</v>
      </c>
    </row>
    <row r="16358">
      <c r="A16358" s="215" t="n">
        <v>46226</v>
      </c>
      <c r="B16358" s="216" t="n">
        <v>46</v>
      </c>
      <c r="C16358" s="216" t="n">
        <v>76.66</v>
      </c>
      <c r="D16358" s="216" t="n">
        <v>1.157410979270935</v>
      </c>
      <c r="E16358" s="215" t="n">
        <v>46226</v>
      </c>
      <c r="F16358" s="215" t="n">
        <v>46226</v>
      </c>
    </row>
    <row r="16359">
      <c r="A16359" s="215" t="n">
        <v>46227</v>
      </c>
      <c r="B16359" s="216" t="n">
        <v>43.52</v>
      </c>
      <c r="C16359" s="216" t="n">
        <v>73.62</v>
      </c>
      <c r="D16359" s="216" t="n">
        <v>1.15762197971344</v>
      </c>
      <c r="E16359" s="215" t="n">
        <v>46227</v>
      </c>
      <c r="F16359" s="215" t="n">
        <v>46227</v>
      </c>
    </row>
    <row r="16360">
      <c r="A16360" s="215" t="n">
        <v>46230</v>
      </c>
      <c r="B16360" s="216" t="n">
        <v>45.2</v>
      </c>
      <c r="C16360" s="216" t="n">
        <v>75.81</v>
      </c>
      <c r="D16360" s="216" t="n">
        <v>1.15789794921875</v>
      </c>
      <c r="E16360" s="215" t="n">
        <v>46230</v>
      </c>
      <c r="F16360" s="215" t="n">
        <v>46230</v>
      </c>
    </row>
    <row r="16361">
      <c r="A16361" s="215" t="n">
        <v>46231</v>
      </c>
      <c r="B16361" s="216" t="n">
        <v>43.58</v>
      </c>
      <c r="C16361" s="216" t="n">
        <v>74.41</v>
      </c>
      <c r="D16361" s="216" t="n">
        <v>1.158699035644531</v>
      </c>
      <c r="E16361" s="215" t="n">
        <v>46231</v>
      </c>
      <c r="F16361" s="215" t="n">
        <v>46231</v>
      </c>
    </row>
    <row r="16362">
      <c r="A16362" s="215" t="n">
        <v>46232</v>
      </c>
      <c r="B16362" s="216" t="n">
        <v>42.94</v>
      </c>
      <c r="C16362" s="216" t="n">
        <v>75.34999999999999</v>
      </c>
      <c r="D16362" s="216" t="n">
        <v>1.157909989356995</v>
      </c>
      <c r="E16362" s="215" t="n">
        <v>46232</v>
      </c>
      <c r="F16362" s="215" t="n">
        <v>46232</v>
      </c>
    </row>
    <row r="16363">
      <c r="A16363" s="215" t="n">
        <v>46233</v>
      </c>
      <c r="B16363" s="216" t="n">
        <v>40.12</v>
      </c>
      <c r="C16363" s="216" t="n">
        <v>72.73</v>
      </c>
      <c r="D16363" s="216" t="n">
        <v>1.158943057060242</v>
      </c>
      <c r="E16363" s="215" t="n">
        <v>46233</v>
      </c>
      <c r="F16363" s="215" t="n">
        <v>46233</v>
      </c>
    </row>
    <row r="16364">
      <c r="A16364" s="215" t="n">
        <v>46234</v>
      </c>
      <c r="B16364" s="216" t="n">
        <v>43.88</v>
      </c>
      <c r="C16364" s="216" t="n">
        <v>77.54000000000001</v>
      </c>
      <c r="D16364" s="216" t="n">
        <v>1.160945057868958</v>
      </c>
      <c r="E16364" s="215" t="n">
        <v>46234</v>
      </c>
      <c r="F16364" s="215" t="n">
        <v>46234</v>
      </c>
    </row>
    <row r="16365">
      <c r="A16365" s="215" t="n">
        <v>46237</v>
      </c>
      <c r="B16365" s="216" t="n">
        <v>44.54</v>
      </c>
      <c r="C16365" s="216" t="n">
        <v>79.98999999999999</v>
      </c>
      <c r="D16365" s="216" t="n">
        <v>1.161579966545105</v>
      </c>
      <c r="E16365" s="215" t="n">
        <v>46237</v>
      </c>
      <c r="F16365" s="215" t="n">
        <v>46237</v>
      </c>
    </row>
    <row r="16366">
      <c r="A16366" s="215" t="n">
        <v>46238</v>
      </c>
      <c r="B16366" s="216" t="n">
        <v>45.12</v>
      </c>
      <c r="C16366" s="216" t="n">
        <v>79.90000000000001</v>
      </c>
      <c r="D16366" s="216" t="n">
        <v>1.161064982414246</v>
      </c>
      <c r="E16366" s="215" t="n">
        <v>46238</v>
      </c>
      <c r="F16366" s="215" t="n">
        <v>46238</v>
      </c>
    </row>
    <row r="16367">
      <c r="A16367" s="215" t="n">
        <v>46239</v>
      </c>
      <c r="B16367" s="216" t="n">
        <v>46.64</v>
      </c>
      <c r="C16367" s="216" t="n">
        <v>81.17</v>
      </c>
      <c r="D16367" s="216" t="n">
        <v>1.161146998405457</v>
      </c>
      <c r="E16367" s="215" t="n">
        <v>46239</v>
      </c>
      <c r="F16367" s="215" t="n">
        <v>46239</v>
      </c>
    </row>
    <row r="16368">
      <c r="A16368" s="215" t="n">
        <v>46240</v>
      </c>
      <c r="B16368" s="216" t="n">
        <v>45.88</v>
      </c>
      <c r="C16368" s="216" t="n">
        <v>80.25</v>
      </c>
      <c r="D16368" s="216" t="n">
        <v>1.161936044692993</v>
      </c>
      <c r="E16368" s="215" t="n">
        <v>46240</v>
      </c>
      <c r="F16368" s="215" t="n">
        <v>46240</v>
      </c>
    </row>
    <row r="16369">
      <c r="A16369" s="215" t="n">
        <v>46241</v>
      </c>
      <c r="B16369" s="216" t="n">
        <v>47.42</v>
      </c>
      <c r="C16369" s="216" t="n">
        <v>81.15000000000001</v>
      </c>
      <c r="D16369" s="216" t="n">
        <v>1.162284016609192</v>
      </c>
      <c r="E16369" s="215" t="n">
        <v>46241</v>
      </c>
      <c r="F16369" s="215" t="n">
        <v>46241</v>
      </c>
    </row>
    <row r="16370">
      <c r="A16370" s="215" t="n">
        <v>46244</v>
      </c>
      <c r="B16370" s="216" t="n">
        <v>46</v>
      </c>
      <c r="C16370" s="216" t="n">
        <v>79.55</v>
      </c>
      <c r="D16370" s="216" t="n">
        <v>1.162629961967468</v>
      </c>
      <c r="E16370" s="215" t="n">
        <v>46244</v>
      </c>
      <c r="F16370" s="215" t="n">
        <v>46244</v>
      </c>
    </row>
    <row r="16371">
      <c r="A16371" s="215" t="n">
        <v>46245</v>
      </c>
      <c r="B16371" s="216" t="n">
        <v>47.58</v>
      </c>
      <c r="C16371" s="216" t="n">
        <v>81.04000000000001</v>
      </c>
      <c r="D16371" s="216" t="n">
        <v>1.162588000297546</v>
      </c>
      <c r="E16371" s="215" t="n">
        <v>46245</v>
      </c>
      <c r="F16371" s="215" t="n">
        <v>46245</v>
      </c>
    </row>
    <row r="16372">
      <c r="A16372" s="215" t="n">
        <v>46246</v>
      </c>
      <c r="B16372" s="216" t="n">
        <v>47.02</v>
      </c>
      <c r="C16372" s="216" t="n">
        <v>81.52</v>
      </c>
      <c r="D16372" s="216" t="n">
        <v>1.163135051727295</v>
      </c>
      <c r="E16372" s="215" t="n">
        <v>46246</v>
      </c>
      <c r="F16372" s="215" t="n">
        <v>46246</v>
      </c>
    </row>
    <row r="16373">
      <c r="A16373" s="215" t="n">
        <v>46247</v>
      </c>
      <c r="B16373" s="216" t="n">
        <v>46.5</v>
      </c>
      <c r="C16373" s="216" t="n">
        <v>81.33</v>
      </c>
      <c r="D16373" s="216" t="n">
        <v>1.163341045379639</v>
      </c>
      <c r="E16373" s="215" t="n">
        <v>46247</v>
      </c>
      <c r="F16373" s="215" t="n">
        <v>46247</v>
      </c>
    </row>
    <row r="16374">
      <c r="A16374" s="215" t="n">
        <v>46248</v>
      </c>
      <c r="B16374" s="216" t="n">
        <v>46.94</v>
      </c>
      <c r="C16374" s="216" t="n">
        <v>81.98</v>
      </c>
      <c r="D16374" s="216" t="n">
        <v>1.163571000099182</v>
      </c>
      <c r="E16374" s="215" t="n">
        <v>46248</v>
      </c>
      <c r="F16374" s="215" t="n">
        <v>46248</v>
      </c>
    </row>
    <row r="16375">
      <c r="A16375" s="215" t="n">
        <v>46251</v>
      </c>
      <c r="B16375" s="216" t="n">
        <v>46.38</v>
      </c>
      <c r="C16375" s="216" t="n">
        <v>81.95</v>
      </c>
      <c r="D16375" s="216" t="n">
        <v>1.163601994514465</v>
      </c>
      <c r="E16375" s="215" t="n">
        <v>46251</v>
      </c>
      <c r="F16375" s="215" t="n">
        <v>46251</v>
      </c>
    </row>
    <row r="16376">
      <c r="A16376" s="215" t="n">
        <v>46252</v>
      </c>
      <c r="B16376" s="216" t="n">
        <v>47.46</v>
      </c>
      <c r="C16376" s="216" t="n">
        <v>81.8</v>
      </c>
      <c r="D16376" s="216" t="n">
        <v>1.163733005523682</v>
      </c>
      <c r="E16376" s="215" t="n">
        <v>46252</v>
      </c>
      <c r="F16376" s="215" t="n">
        <v>46252</v>
      </c>
    </row>
    <row r="16377">
      <c r="A16377" s="215" t="n">
        <v>46253</v>
      </c>
      <c r="B16377" s="216" t="n">
        <v>45.56</v>
      </c>
      <c r="C16377" s="216" t="n">
        <v>73.62</v>
      </c>
      <c r="D16377" s="216" t="n">
        <v>1.163092017173767</v>
      </c>
      <c r="E16377" s="215" t="n">
        <v>46253</v>
      </c>
      <c r="F16377" s="215" t="n">
        <v>46253</v>
      </c>
    </row>
    <row r="16378">
      <c r="A16378" s="215" t="n">
        <v>46254</v>
      </c>
      <c r="B16378" s="216" t="n">
        <v>43.98</v>
      </c>
      <c r="C16378" s="216" t="n">
        <v>68.04000000000001</v>
      </c>
      <c r="D16378" s="216" t="n">
        <v>1.164932012557983</v>
      </c>
      <c r="E16378" s="215" t="n">
        <v>46254</v>
      </c>
      <c r="F16378" s="215" t="n">
        <v>46254</v>
      </c>
    </row>
    <row r="16379">
      <c r="A16379" s="215" t="n">
        <v>46255</v>
      </c>
      <c r="B16379" s="216" t="n">
        <v>42.8</v>
      </c>
      <c r="C16379" s="216" t="n">
        <v>68.31</v>
      </c>
      <c r="D16379" s="216" t="n">
        <v>1.166555047035217</v>
      </c>
      <c r="E16379" s="215" t="n">
        <v>46255</v>
      </c>
      <c r="F16379" s="215" t="n">
        <v>46255</v>
      </c>
    </row>
    <row r="16380">
      <c r="A16380" s="215" t="n">
        <v>46258</v>
      </c>
      <c r="B16380" s="216" t="n">
        <v>41.1</v>
      </c>
      <c r="C16380" s="216" t="n">
        <v>66.16</v>
      </c>
      <c r="D16380" s="216" t="n">
        <v>1.166316986083984</v>
      </c>
      <c r="E16380" s="215" t="n">
        <v>46258</v>
      </c>
      <c r="F16380" s="215" t="n">
        <v>46258</v>
      </c>
    </row>
    <row r="16381">
      <c r="A16381" s="215" t="n">
        <v>46259</v>
      </c>
      <c r="B16381" s="216" t="n">
        <v>42.42</v>
      </c>
      <c r="C16381" s="216" t="n">
        <v>72.78</v>
      </c>
      <c r="D16381" s="216" t="n">
        <v>1.165253043174744</v>
      </c>
      <c r="E16381" s="215" t="n">
        <v>46259</v>
      </c>
      <c r="F16381" s="215" t="n">
        <v>46259</v>
      </c>
    </row>
    <row r="16382">
      <c r="A16382" s="215" t="n">
        <v>46260</v>
      </c>
      <c r="B16382" s="216" t="n">
        <v>41</v>
      </c>
      <c r="C16382" s="216" t="n">
        <v>70.95999999999999</v>
      </c>
      <c r="D16382" s="216" t="n">
        <v>1.166218996047974</v>
      </c>
      <c r="E16382" s="215" t="n">
        <v>46260</v>
      </c>
      <c r="F16382" s="215" t="n">
        <v>46260</v>
      </c>
    </row>
    <row r="16383">
      <c r="A16383" s="215" t="n">
        <v>46261</v>
      </c>
      <c r="B16383" s="216" t="n">
        <v>41.1</v>
      </c>
      <c r="C16383" s="216" t="n">
        <v>71.55</v>
      </c>
      <c r="D16383" s="216" t="n">
        <v>1.165971040725708</v>
      </c>
      <c r="E16383" s="215" t="n">
        <v>46261</v>
      </c>
      <c r="F16383" s="215" t="n">
        <v>46261</v>
      </c>
    </row>
    <row r="16384">
      <c r="A16384" s="215" t="n">
        <v>46262</v>
      </c>
      <c r="B16384" s="216" t="n">
        <v>40.76</v>
      </c>
      <c r="C16384" s="216" t="n">
        <v>70.43000000000001</v>
      </c>
      <c r="D16384" s="216" t="n">
        <v>1.165799975395203</v>
      </c>
      <c r="E16384" s="215" t="n">
        <v>46262</v>
      </c>
      <c r="F16384" s="215" t="n">
        <v>46262</v>
      </c>
    </row>
    <row r="16385">
      <c r="A16385" s="215" t="n">
        <v>46265</v>
      </c>
      <c r="B16385" s="216" t="n">
        <v>41.3</v>
      </c>
      <c r="C16385" s="216" t="n">
        <v>75.09999999999999</v>
      </c>
      <c r="D16385" s="216" t="n">
        <v>1.165387988090515</v>
      </c>
      <c r="E16385" s="215" t="n">
        <v>46265</v>
      </c>
      <c r="F16385" s="215" t="n">
        <v>46265</v>
      </c>
    </row>
    <row r="16386">
      <c r="A16386" s="215" t="n">
        <v>46266</v>
      </c>
      <c r="B16386" s="216" t="n">
        <v>39.8</v>
      </c>
      <c r="C16386" s="216" t="n">
        <v>73.63</v>
      </c>
      <c r="D16386" s="216" t="n">
        <v>1.165223956108093</v>
      </c>
      <c r="E16386" s="215" t="n">
        <v>46266</v>
      </c>
      <c r="F16386" s="215" t="n">
        <v>46266</v>
      </c>
    </row>
    <row r="16387">
      <c r="A16387" s="215" t="n">
        <v>46267</v>
      </c>
      <c r="B16387" s="216" t="n">
        <v>38.5</v>
      </c>
      <c r="C16387" s="216" t="n">
        <v>72.06999999999999</v>
      </c>
      <c r="D16387" s="216" t="n">
        <v>1.166425943374634</v>
      </c>
      <c r="E16387" s="215" t="n">
        <v>46267</v>
      </c>
      <c r="F16387" s="215" t="n">
        <v>46267</v>
      </c>
    </row>
    <row r="16388">
      <c r="A16388" s="215" t="n">
        <v>46268</v>
      </c>
      <c r="B16388" s="216" t="n">
        <v>39.26</v>
      </c>
      <c r="C16388" s="216" t="n">
        <v>75.78</v>
      </c>
      <c r="D16388" s="216" t="n">
        <v>1.167057037353516</v>
      </c>
      <c r="E16388" s="215" t="n">
        <v>46268</v>
      </c>
      <c r="F16388" s="215" t="n">
        <v>46268</v>
      </c>
    </row>
    <row r="16389">
      <c r="A16389" s="215" t="n">
        <v>46269</v>
      </c>
      <c r="B16389" s="216" t="n">
        <v>38.9</v>
      </c>
      <c r="C16389" s="216" t="n">
        <v>72.48</v>
      </c>
      <c r="D16389" s="216" t="n">
        <v>1.166767954826355</v>
      </c>
      <c r="E16389" s="215" t="n">
        <v>46269</v>
      </c>
      <c r="F16389" s="215" t="n">
        <v>46269</v>
      </c>
    </row>
    <row r="16390">
      <c r="A16390" s="215" t="n">
        <v>46272</v>
      </c>
      <c r="B16390" s="216" t="n">
        <v>39.72</v>
      </c>
      <c r="C16390" s="216" t="n">
        <v>73.02</v>
      </c>
      <c r="D16390" s="216" t="n">
        <v>1.168081045150757</v>
      </c>
      <c r="E16390" s="215" t="n">
        <v>46272</v>
      </c>
      <c r="F16390" s="215" t="n">
        <v>46272</v>
      </c>
    </row>
    <row r="16391">
      <c r="A16391" s="215" t="n">
        <v>46273</v>
      </c>
      <c r="B16391" s="216" t="n">
        <v>38.74</v>
      </c>
      <c r="C16391" s="216" t="n">
        <v>71.43000000000001</v>
      </c>
      <c r="D16391" s="216" t="n">
        <v>1.168115019798279</v>
      </c>
      <c r="E16391" s="215" t="n">
        <v>46273</v>
      </c>
      <c r="F16391" s="215" t="n">
        <v>46273</v>
      </c>
    </row>
    <row r="16392">
      <c r="A16392" s="215" t="n">
        <v>46274</v>
      </c>
      <c r="B16392" s="216" t="n">
        <v>38.66</v>
      </c>
      <c r="C16392" s="216" t="n">
        <v>70.40000000000001</v>
      </c>
      <c r="D16392" s="216" t="n">
        <v>1.168408989906311</v>
      </c>
      <c r="E16392" s="215" t="n">
        <v>46274</v>
      </c>
      <c r="F16392" s="215" t="n">
        <v>46274</v>
      </c>
    </row>
    <row r="16393">
      <c r="A16393" s="215" t="n">
        <v>46275</v>
      </c>
      <c r="B16393" s="216" t="n">
        <v>38</v>
      </c>
      <c r="C16393" s="216" t="n">
        <v>69.12</v>
      </c>
      <c r="D16393" s="216" t="n">
        <v>1.168462991714478</v>
      </c>
      <c r="E16393" s="215" t="n">
        <v>46275</v>
      </c>
      <c r="F16393" s="215" t="n">
        <v>46275</v>
      </c>
    </row>
    <row r="16394">
      <c r="A16394" s="215" t="n">
        <v>46276</v>
      </c>
      <c r="B16394" s="216" t="n">
        <v>37.46</v>
      </c>
      <c r="C16394" s="216" t="n">
        <v>67.68000000000001</v>
      </c>
      <c r="D16394" s="216" t="n">
        <v>1.169165015220642</v>
      </c>
      <c r="E16394" s="215" t="n">
        <v>46276</v>
      </c>
      <c r="F16394" s="215" t="n">
        <v>46276</v>
      </c>
    </row>
    <row r="16395">
      <c r="A16395" s="215" t="n">
        <v>46279</v>
      </c>
      <c r="B16395" s="216" t="n">
        <v>37.3</v>
      </c>
      <c r="C16395" s="216" t="n">
        <v>67.83</v>
      </c>
      <c r="D16395" s="216" t="n">
        <v>1.16893994808197</v>
      </c>
      <c r="E16395" s="215" t="n">
        <v>46279</v>
      </c>
      <c r="F16395" s="215" t="n">
        <v>46279</v>
      </c>
    </row>
    <row r="16396">
      <c r="A16396" s="215" t="n">
        <v>46280</v>
      </c>
      <c r="B16396" s="216" t="n">
        <v>37.38</v>
      </c>
      <c r="C16396" s="216" t="n">
        <v>66.87</v>
      </c>
      <c r="D16396" s="216" t="n">
        <v>1.169121026992798</v>
      </c>
      <c r="E16396" s="215" t="n">
        <v>46280</v>
      </c>
      <c r="F16396" s="215" t="n">
        <v>46280</v>
      </c>
    </row>
    <row r="16397">
      <c r="A16397" s="215" t="n">
        <v>46281</v>
      </c>
      <c r="B16397" s="216" t="n">
        <v>37.28</v>
      </c>
      <c r="C16397" s="216" t="n">
        <v>66.90000000000001</v>
      </c>
      <c r="D16397" s="216" t="n">
        <v>1.168769955635071</v>
      </c>
      <c r="E16397" s="215" t="n">
        <v>46281</v>
      </c>
      <c r="F16397" s="215" t="n">
        <v>46281</v>
      </c>
    </row>
    <row r="16398">
      <c r="A16398" s="215" t="n">
        <v>46282</v>
      </c>
      <c r="B16398" s="216" t="n">
        <v>36.8</v>
      </c>
      <c r="C16398" s="216" t="n">
        <v>68.43000000000001</v>
      </c>
      <c r="D16398" s="216" t="n">
        <v>1.169389963150024</v>
      </c>
      <c r="E16398" s="215" t="n">
        <v>46282</v>
      </c>
      <c r="F16398" s="215" t="n">
        <v>46282</v>
      </c>
    </row>
    <row r="16399">
      <c r="A16399" s="215" t="n">
        <v>46283</v>
      </c>
      <c r="B16399" s="216" t="n">
        <v>38.24</v>
      </c>
      <c r="C16399" s="216" t="n">
        <v>68.98</v>
      </c>
      <c r="D16399" s="216" t="n">
        <v>1.16942298412323</v>
      </c>
      <c r="E16399" s="215" t="n">
        <v>46283</v>
      </c>
      <c r="F16399" s="215" t="n">
        <v>46283</v>
      </c>
    </row>
    <row r="16400">
      <c r="A16400" s="215" t="n">
        <v>46286</v>
      </c>
      <c r="B16400" s="216" t="n">
        <v>38.6</v>
      </c>
      <c r="C16400" s="216" t="n">
        <v>69.8</v>
      </c>
      <c r="D16400" s="216" t="n">
        <v>1.171280026435852</v>
      </c>
      <c r="E16400" s="215" t="n">
        <v>46286</v>
      </c>
      <c r="F16400" s="215" t="n">
        <v>46286</v>
      </c>
    </row>
    <row r="16401">
      <c r="A16401" s="215" t="n">
        <v>46287</v>
      </c>
      <c r="B16401" s="216" t="n">
        <v>38.6</v>
      </c>
      <c r="C16401" s="216" t="n">
        <v>72.09999999999999</v>
      </c>
      <c r="D16401" s="216" t="n">
        <v>1.171705007553101</v>
      </c>
      <c r="E16401" s="215" t="n">
        <v>46287</v>
      </c>
      <c r="F16401" s="215" t="n">
        <v>46287</v>
      </c>
    </row>
    <row r="16402">
      <c r="A16402" s="215" t="n">
        <v>46288</v>
      </c>
      <c r="B16402" s="216" t="n">
        <v>38.06</v>
      </c>
      <c r="C16402" s="216" t="n">
        <v>70.75</v>
      </c>
      <c r="D16402" s="216" t="n">
        <v>1.170611023902893</v>
      </c>
      <c r="E16402" s="215" t="n">
        <v>46288</v>
      </c>
      <c r="F16402" s="215" t="n">
        <v>46288</v>
      </c>
    </row>
    <row r="16403">
      <c r="A16403" s="215" t="n">
        <v>46289</v>
      </c>
      <c r="B16403" s="216" t="n">
        <v>38.66</v>
      </c>
      <c r="C16403" s="216" t="n">
        <v>69.87</v>
      </c>
      <c r="D16403" s="216" t="n">
        <v>1.16852605342865</v>
      </c>
      <c r="E16403" s="215" t="n">
        <v>46289</v>
      </c>
      <c r="F16403" s="215" t="n">
        <v>46289</v>
      </c>
    </row>
    <row r="16404">
      <c r="A16404" s="215" t="n">
        <v>46290</v>
      </c>
      <c r="B16404" s="216" t="n">
        <v>37.16</v>
      </c>
      <c r="C16404" s="216" t="n">
        <v>69.87</v>
      </c>
      <c r="D16404" s="216" t="n">
        <v>1.168424010276794</v>
      </c>
      <c r="E16404" s="215" t="n">
        <v>46289</v>
      </c>
      <c r="F16404" s="215" t="n">
        <v>46290</v>
      </c>
    </row>
    <row r="16405">
      <c r="A16405" s="215" t="n">
        <v>46293</v>
      </c>
      <c r="B16405" s="216" t="n">
        <v>36.4</v>
      </c>
      <c r="C16405" s="216" t="n">
        <v>68.91</v>
      </c>
      <c r="D16405" s="216" t="n">
        <v>1.168378949165344</v>
      </c>
      <c r="E16405" s="215" t="n">
        <v>46293</v>
      </c>
      <c r="F16405" s="215" t="n">
        <v>46293</v>
      </c>
    </row>
    <row r="16406">
      <c r="A16406" s="215" t="n">
        <v>46294</v>
      </c>
      <c r="B16406" s="216" t="n">
        <v>35.82</v>
      </c>
      <c r="C16406" s="216" t="n">
        <v>69.09</v>
      </c>
      <c r="D16406" s="216" t="n">
        <v>1.168815970420837</v>
      </c>
      <c r="E16406" s="215" t="n">
        <v>46294</v>
      </c>
      <c r="F16406" s="215" t="n">
        <v>46294</v>
      </c>
    </row>
    <row r="16407">
      <c r="A16407" s="215" t="n">
        <v>46295</v>
      </c>
      <c r="B16407" s="216" t="n">
        <v>36.14</v>
      </c>
      <c r="C16407" s="216" t="n">
        <v>70.25</v>
      </c>
      <c r="D16407" s="216" t="n">
        <v>1.17059600353241</v>
      </c>
      <c r="E16407" s="215" t="n">
        <v>46295</v>
      </c>
      <c r="F16407" s="215" t="n">
        <v>46295</v>
      </c>
    </row>
    <row r="16408">
      <c r="A16408" s="215" t="n">
        <v>46297</v>
      </c>
      <c r="B16408" s="216" t="n">
        <v>37.54</v>
      </c>
      <c r="C16408" s="216" t="n">
        <v>70.25</v>
      </c>
      <c r="D16408" s="216" t="n">
        <v>1.170220971107483</v>
      </c>
      <c r="E16408" s="215" t="n">
        <v>46295</v>
      </c>
      <c r="F16408" s="215" t="n">
        <v>46297</v>
      </c>
    </row>
    <row r="16409">
      <c r="A16409" s="215" t="n">
        <v>46213</v>
      </c>
      <c r="B16409" s="216" t="n">
        <v>2.83</v>
      </c>
      <c r="C16409" s="216" t="n">
        <v>5.44</v>
      </c>
      <c r="D16409" s="216" t="n">
        <v>1.153550028800964</v>
      </c>
      <c r="E16409" s="215" t="n">
        <v>46213</v>
      </c>
      <c r="F16409" s="215" t="n">
        <v>46213</v>
      </c>
    </row>
    <row r="16410">
      <c r="A16410" s="215" t="n">
        <v>46216</v>
      </c>
      <c r="B16410" s="216" t="n">
        <v>2.88</v>
      </c>
      <c r="C16410" s="216" t="n">
        <v>5.1</v>
      </c>
      <c r="D16410" s="216" t="n">
        <v>1.156761050224304</v>
      </c>
      <c r="E16410" s="215" t="n">
        <v>46216</v>
      </c>
      <c r="F16410" s="215" t="n">
        <v>46216</v>
      </c>
    </row>
    <row r="16411">
      <c r="A16411" s="215" t="n">
        <v>46217</v>
      </c>
      <c r="B16411" s="216" t="n">
        <v>2.96</v>
      </c>
      <c r="C16411" s="216" t="n">
        <v>5.18</v>
      </c>
      <c r="D16411" s="216" t="n">
        <v>1.155825972557068</v>
      </c>
      <c r="E16411" s="215" t="n">
        <v>46217</v>
      </c>
      <c r="F16411" s="215" t="n">
        <v>46217</v>
      </c>
    </row>
    <row r="16412">
      <c r="A16412" s="215" t="n">
        <v>46218</v>
      </c>
      <c r="B16412" s="216" t="n">
        <v>2.87</v>
      </c>
      <c r="C16412" s="216" t="n">
        <v>5.1</v>
      </c>
      <c r="D16412" s="216" t="n">
        <v>1.157556056976318</v>
      </c>
      <c r="E16412" s="215" t="n">
        <v>46218</v>
      </c>
      <c r="F16412" s="215" t="n">
        <v>46218</v>
      </c>
    </row>
    <row r="16413">
      <c r="A16413" s="215" t="n">
        <v>46219</v>
      </c>
      <c r="B16413" s="216" t="n">
        <v>3.04</v>
      </c>
      <c r="C16413" s="216" t="n">
        <v>5.07</v>
      </c>
      <c r="D16413" s="216" t="n">
        <v>1.157912969589233</v>
      </c>
      <c r="E16413" s="215" t="n">
        <v>46219</v>
      </c>
      <c r="F16413" s="215" t="n">
        <v>46219</v>
      </c>
    </row>
    <row r="16414">
      <c r="A16414" s="215" t="n">
        <v>46220</v>
      </c>
      <c r="B16414" s="216" t="n">
        <v>3.02</v>
      </c>
      <c r="C16414" s="216" t="n">
        <v>5.19</v>
      </c>
      <c r="D16414" s="216" t="n">
        <v>1.157472014427185</v>
      </c>
      <c r="E16414" s="215" t="n">
        <v>46220</v>
      </c>
      <c r="F16414" s="215" t="n">
        <v>46220</v>
      </c>
    </row>
    <row r="16415">
      <c r="A16415" s="215" t="n">
        <v>46223</v>
      </c>
      <c r="B16415" s="216" t="n">
        <v>3.1</v>
      </c>
      <c r="C16415" s="216" t="n">
        <v>5.56</v>
      </c>
      <c r="D16415" s="216" t="n">
        <v>1.157451033592224</v>
      </c>
      <c r="E16415" s="215" t="n">
        <v>46223</v>
      </c>
      <c r="F16415" s="215" t="n">
        <v>46223</v>
      </c>
    </row>
    <row r="16416">
      <c r="A16416" s="215" t="n">
        <v>46224</v>
      </c>
      <c r="B16416" s="216" t="n">
        <v>3.22</v>
      </c>
      <c r="C16416" s="216" t="n">
        <v>5.9</v>
      </c>
      <c r="D16416" s="216" t="n">
        <v>1.157506942749023</v>
      </c>
      <c r="E16416" s="215" t="n">
        <v>46224</v>
      </c>
      <c r="F16416" s="215" t="n">
        <v>46224</v>
      </c>
    </row>
    <row r="16417">
      <c r="A16417" s="215" t="n">
        <v>46225</v>
      </c>
      <c r="B16417" s="216" t="n">
        <v>3.01</v>
      </c>
      <c r="C16417" s="216" t="n">
        <v>5.65</v>
      </c>
      <c r="D16417" s="216" t="n">
        <v>1.158938050270081</v>
      </c>
      <c r="E16417" s="215" t="n">
        <v>46225</v>
      </c>
      <c r="F16417" s="215" t="n">
        <v>46225</v>
      </c>
    </row>
    <row r="16418">
      <c r="A16418" s="215" t="n">
        <v>46226</v>
      </c>
      <c r="B16418" s="216" t="n">
        <v>3.72</v>
      </c>
      <c r="C16418" s="216" t="n">
        <v>6.22</v>
      </c>
      <c r="D16418" s="216" t="n">
        <v>1.157410979270935</v>
      </c>
      <c r="E16418" s="215" t="n">
        <v>46226</v>
      </c>
      <c r="F16418" s="215" t="n">
        <v>46226</v>
      </c>
    </row>
    <row r="16419">
      <c r="A16419" s="215" t="n">
        <v>46227</v>
      </c>
      <c r="B16419" s="216" t="n">
        <v>3.31</v>
      </c>
      <c r="C16419" s="216" t="n">
        <v>6.54</v>
      </c>
      <c r="D16419" s="216" t="n">
        <v>1.15762197971344</v>
      </c>
      <c r="E16419" s="215" t="n">
        <v>46227</v>
      </c>
      <c r="F16419" s="215" t="n">
        <v>46227</v>
      </c>
    </row>
    <row r="16420">
      <c r="A16420" s="215" t="n">
        <v>46230</v>
      </c>
      <c r="B16420" s="216" t="n">
        <v>3.51</v>
      </c>
      <c r="C16420" s="216" t="n">
        <v>7.06</v>
      </c>
      <c r="D16420" s="216" t="n">
        <v>1.15789794921875</v>
      </c>
      <c r="E16420" s="215" t="n">
        <v>46230</v>
      </c>
      <c r="F16420" s="215" t="n">
        <v>46230</v>
      </c>
    </row>
    <row r="16421">
      <c r="A16421" s="215" t="n">
        <v>46231</v>
      </c>
      <c r="B16421" s="216" t="n">
        <v>3.26</v>
      </c>
      <c r="C16421" s="216" t="n">
        <v>6.5</v>
      </c>
      <c r="D16421" s="216" t="n">
        <v>1.158699035644531</v>
      </c>
      <c r="E16421" s="215" t="n">
        <v>46231</v>
      </c>
      <c r="F16421" s="215" t="n">
        <v>46231</v>
      </c>
    </row>
    <row r="16422">
      <c r="A16422" s="215" t="n">
        <v>46232</v>
      </c>
      <c r="B16422" s="216" t="n">
        <v>3.3</v>
      </c>
      <c r="C16422" s="216" t="n">
        <v>6.57</v>
      </c>
      <c r="D16422" s="216" t="n">
        <v>1.157909989356995</v>
      </c>
      <c r="E16422" s="215" t="n">
        <v>46232</v>
      </c>
      <c r="F16422" s="215" t="n">
        <v>46232</v>
      </c>
    </row>
    <row r="16423">
      <c r="A16423" s="215" t="n">
        <v>46233</v>
      </c>
      <c r="B16423" s="216" t="n">
        <v>3.18</v>
      </c>
      <c r="C16423" s="216" t="n">
        <v>6.29</v>
      </c>
      <c r="D16423" s="216" t="n">
        <v>1.158943057060242</v>
      </c>
      <c r="E16423" s="215" t="n">
        <v>46233</v>
      </c>
      <c r="F16423" s="215" t="n">
        <v>46233</v>
      </c>
    </row>
    <row r="16424">
      <c r="A16424" s="215" t="n">
        <v>46234</v>
      </c>
      <c r="B16424" s="216" t="n">
        <v>3.18</v>
      </c>
      <c r="C16424" s="216" t="n">
        <v>6.29</v>
      </c>
      <c r="D16424" s="216" t="n">
        <v>1.160945057868958</v>
      </c>
      <c r="E16424" s="215" t="n">
        <v>46234</v>
      </c>
      <c r="F16424" s="215" t="n">
        <v>46234</v>
      </c>
    </row>
    <row r="16425">
      <c r="A16425" s="215" t="n">
        <v>46237</v>
      </c>
      <c r="B16425" s="216" t="n">
        <v>3.14</v>
      </c>
      <c r="C16425" s="216" t="n">
        <v>6.15</v>
      </c>
      <c r="D16425" s="216" t="n">
        <v>1.161579966545105</v>
      </c>
      <c r="E16425" s="215" t="n">
        <v>46237</v>
      </c>
      <c r="F16425" s="215" t="n">
        <v>46237</v>
      </c>
    </row>
    <row r="16426">
      <c r="A16426" s="215" t="n">
        <v>46238</v>
      </c>
      <c r="B16426" s="216" t="n">
        <v>3.225</v>
      </c>
      <c r="C16426" s="216" t="n">
        <v>6.46</v>
      </c>
      <c r="D16426" s="216" t="n">
        <v>1.161064982414246</v>
      </c>
      <c r="E16426" s="215" t="n">
        <v>46238</v>
      </c>
      <c r="F16426" s="215" t="n">
        <v>46238</v>
      </c>
    </row>
    <row r="16427">
      <c r="A16427" s="215" t="n">
        <v>46239</v>
      </c>
      <c r="B16427" s="216" t="n">
        <v>3.22</v>
      </c>
      <c r="C16427" s="216" t="n">
        <v>6.62</v>
      </c>
      <c r="D16427" s="216" t="n">
        <v>1.161146998405457</v>
      </c>
      <c r="E16427" s="215" t="n">
        <v>46239</v>
      </c>
      <c r="F16427" s="215" t="n">
        <v>46239</v>
      </c>
    </row>
    <row r="16428">
      <c r="A16428" s="215" t="n">
        <v>46240</v>
      </c>
      <c r="B16428" s="216" t="n">
        <v>3.46</v>
      </c>
      <c r="C16428" s="216" t="n">
        <v>7.28</v>
      </c>
      <c r="D16428" s="216" t="n">
        <v>1.161936044692993</v>
      </c>
      <c r="E16428" s="215" t="n">
        <v>46240</v>
      </c>
      <c r="F16428" s="215" t="n">
        <v>46240</v>
      </c>
    </row>
    <row r="16429">
      <c r="A16429" s="215" t="n">
        <v>46241</v>
      </c>
      <c r="B16429" s="216" t="n">
        <v>3.365</v>
      </c>
      <c r="C16429" s="216" t="n">
        <v>7.29</v>
      </c>
      <c r="D16429" s="216" t="n">
        <v>1.162284016609192</v>
      </c>
      <c r="E16429" s="215" t="n">
        <v>46241</v>
      </c>
      <c r="F16429" s="215" t="n">
        <v>46241</v>
      </c>
    </row>
    <row r="16430">
      <c r="A16430" s="215" t="n">
        <v>46244</v>
      </c>
      <c r="B16430" s="216" t="n">
        <v>3.37</v>
      </c>
      <c r="C16430" s="216" t="n">
        <v>7.43</v>
      </c>
      <c r="D16430" s="216" t="n">
        <v>1.162629961967468</v>
      </c>
      <c r="E16430" s="215" t="n">
        <v>46244</v>
      </c>
      <c r="F16430" s="215" t="n">
        <v>46244</v>
      </c>
    </row>
    <row r="16431">
      <c r="A16431" s="215" t="n">
        <v>46245</v>
      </c>
      <c r="B16431" s="216" t="n">
        <v>3.17</v>
      </c>
      <c r="C16431" s="216" t="n">
        <v>7.11</v>
      </c>
      <c r="D16431" s="216" t="n">
        <v>1.162588000297546</v>
      </c>
      <c r="E16431" s="215" t="n">
        <v>46245</v>
      </c>
      <c r="F16431" s="215" t="n">
        <v>46245</v>
      </c>
    </row>
    <row r="16432">
      <c r="A16432" s="215" t="n">
        <v>46246</v>
      </c>
      <c r="B16432" s="216" t="n">
        <v>3.175</v>
      </c>
      <c r="C16432" s="216" t="n">
        <v>7.15</v>
      </c>
      <c r="D16432" s="216" t="n">
        <v>1.163135051727295</v>
      </c>
      <c r="E16432" s="215" t="n">
        <v>46246</v>
      </c>
      <c r="F16432" s="215" t="n">
        <v>46246</v>
      </c>
    </row>
    <row r="16433">
      <c r="A16433" s="215" t="n">
        <v>46247</v>
      </c>
      <c r="B16433" s="216" t="n">
        <v>3.135</v>
      </c>
      <c r="C16433" s="216" t="n">
        <v>7.12</v>
      </c>
      <c r="D16433" s="216" t="n">
        <v>1.163341045379639</v>
      </c>
      <c r="E16433" s="215" t="n">
        <v>46247</v>
      </c>
      <c r="F16433" s="215" t="n">
        <v>46247</v>
      </c>
    </row>
    <row r="16434">
      <c r="A16434" s="215" t="n">
        <v>46248</v>
      </c>
      <c r="B16434" s="216" t="n">
        <v>3.13</v>
      </c>
      <c r="C16434" s="216" t="n">
        <v>7.07</v>
      </c>
      <c r="D16434" s="216" t="n">
        <v>1.163571000099182</v>
      </c>
      <c r="E16434" s="215" t="n">
        <v>46248</v>
      </c>
      <c r="F16434" s="215" t="n">
        <v>46248</v>
      </c>
    </row>
    <row r="16435">
      <c r="A16435" s="215" t="n">
        <v>46251</v>
      </c>
      <c r="B16435" s="216" t="n">
        <v>3.165</v>
      </c>
      <c r="C16435" s="216" t="n">
        <v>6.98</v>
      </c>
      <c r="D16435" s="216" t="n">
        <v>1.163601994514465</v>
      </c>
      <c r="E16435" s="215" t="n">
        <v>46251</v>
      </c>
      <c r="F16435" s="215" t="n">
        <v>46251</v>
      </c>
    </row>
    <row r="16436">
      <c r="A16436" s="215" t="n">
        <v>46252</v>
      </c>
      <c r="B16436" s="216" t="n">
        <v>3.08</v>
      </c>
      <c r="C16436" s="216" t="n">
        <v>6.85</v>
      </c>
      <c r="D16436" s="216" t="n">
        <v>1.163733005523682</v>
      </c>
      <c r="E16436" s="215" t="n">
        <v>46252</v>
      </c>
      <c r="F16436" s="215" t="n">
        <v>46252</v>
      </c>
    </row>
    <row r="16437">
      <c r="A16437" s="215" t="n">
        <v>46253</v>
      </c>
      <c r="B16437" s="216" t="n">
        <v>3.02</v>
      </c>
      <c r="C16437" s="216" t="n">
        <v>6.47</v>
      </c>
      <c r="D16437" s="216" t="n">
        <v>1.163092017173767</v>
      </c>
      <c r="E16437" s="215" t="n">
        <v>46253</v>
      </c>
      <c r="F16437" s="215" t="n">
        <v>46253</v>
      </c>
    </row>
    <row r="16438">
      <c r="A16438" s="215" t="n">
        <v>46254</v>
      </c>
      <c r="B16438" s="216" t="n">
        <v>3.05</v>
      </c>
      <c r="C16438" s="216" t="n">
        <v>6.44</v>
      </c>
      <c r="D16438" s="216" t="n">
        <v>1.164932012557983</v>
      </c>
      <c r="E16438" s="215" t="n">
        <v>46254</v>
      </c>
      <c r="F16438" s="215" t="n">
        <v>46254</v>
      </c>
    </row>
    <row r="16439">
      <c r="A16439" s="215" t="n">
        <v>46255</v>
      </c>
      <c r="B16439" s="216" t="n">
        <v>3.08</v>
      </c>
      <c r="C16439" s="216" t="n">
        <v>6.47</v>
      </c>
      <c r="D16439" s="216" t="n">
        <v>1.166555047035217</v>
      </c>
      <c r="E16439" s="215" t="n">
        <v>46255</v>
      </c>
      <c r="F16439" s="215" t="n">
        <v>46255</v>
      </c>
    </row>
    <row r="16440">
      <c r="A16440" s="215" t="n">
        <v>46258</v>
      </c>
      <c r="B16440" s="216" t="n">
        <v>3.06</v>
      </c>
      <c r="C16440" s="216" t="n">
        <v>6.33</v>
      </c>
      <c r="D16440" s="216" t="n">
        <v>1.166316986083984</v>
      </c>
      <c r="E16440" s="215" t="n">
        <v>46258</v>
      </c>
      <c r="F16440" s="215" t="n">
        <v>46258</v>
      </c>
    </row>
    <row r="16441">
      <c r="A16441" s="215" t="n">
        <v>46259</v>
      </c>
      <c r="B16441" s="216" t="n">
        <v>3.035</v>
      </c>
      <c r="C16441" s="216" t="n">
        <v>6.23</v>
      </c>
      <c r="D16441" s="216" t="n">
        <v>1.165253043174744</v>
      </c>
      <c r="E16441" s="215" t="n">
        <v>46259</v>
      </c>
      <c r="F16441" s="215" t="n">
        <v>46259</v>
      </c>
    </row>
    <row r="16442">
      <c r="A16442" s="215" t="n">
        <v>46260</v>
      </c>
      <c r="B16442" s="216" t="n">
        <v>3.12</v>
      </c>
      <c r="C16442" s="216" t="n">
        <v>6.29</v>
      </c>
      <c r="D16442" s="216" t="n">
        <v>1.166218996047974</v>
      </c>
      <c r="E16442" s="215" t="n">
        <v>46260</v>
      </c>
      <c r="F16442" s="215" t="n">
        <v>46260</v>
      </c>
    </row>
    <row r="16443">
      <c r="A16443" s="215" t="n">
        <v>46261</v>
      </c>
      <c r="B16443" s="216" t="n">
        <v>3.165</v>
      </c>
      <c r="C16443" s="216" t="n">
        <v>6.48</v>
      </c>
      <c r="D16443" s="216" t="n">
        <v>1.165971040725708</v>
      </c>
      <c r="E16443" s="215" t="n">
        <v>46261</v>
      </c>
      <c r="F16443" s="215" t="n">
        <v>46261</v>
      </c>
    </row>
    <row r="16444">
      <c r="A16444" s="215" t="n">
        <v>46262</v>
      </c>
      <c r="B16444" s="216" t="n">
        <v>3.295</v>
      </c>
      <c r="C16444" s="216" t="n">
        <v>6.81</v>
      </c>
      <c r="D16444" s="216" t="n">
        <v>1.165799975395203</v>
      </c>
      <c r="E16444" s="215" t="n">
        <v>46262</v>
      </c>
      <c r="F16444" s="215" t="n">
        <v>46262</v>
      </c>
    </row>
    <row r="16445">
      <c r="A16445" s="215" t="n">
        <v>46265</v>
      </c>
      <c r="B16445" s="216" t="n">
        <v>3.245</v>
      </c>
      <c r="C16445" s="216" t="n">
        <v>6.66</v>
      </c>
      <c r="D16445" s="216" t="n">
        <v>1.165387988090515</v>
      </c>
      <c r="E16445" s="215" t="n">
        <v>46265</v>
      </c>
      <c r="F16445" s="215" t="n">
        <v>46265</v>
      </c>
    </row>
    <row r="16446">
      <c r="A16446" s="215" t="n">
        <v>46266</v>
      </c>
      <c r="B16446" s="216" t="n">
        <v>3.185</v>
      </c>
      <c r="C16446" s="216" t="n">
        <v>6.5</v>
      </c>
      <c r="D16446" s="216" t="n">
        <v>1.165223956108093</v>
      </c>
      <c r="E16446" s="215" t="n">
        <v>46266</v>
      </c>
      <c r="F16446" s="215" t="n">
        <v>46266</v>
      </c>
    </row>
    <row r="16447">
      <c r="A16447" s="215" t="n">
        <v>46267</v>
      </c>
      <c r="B16447" s="216" t="n">
        <v>3.12</v>
      </c>
      <c r="C16447" s="216" t="n">
        <v>6.14</v>
      </c>
      <c r="D16447" s="216" t="n">
        <v>1.166425943374634</v>
      </c>
      <c r="E16447" s="215" t="n">
        <v>46267</v>
      </c>
      <c r="F16447" s="215" t="n">
        <v>46267</v>
      </c>
    </row>
    <row r="16448">
      <c r="A16448" s="215" t="n">
        <v>46268</v>
      </c>
      <c r="B16448" s="216" t="n">
        <v>3.145</v>
      </c>
      <c r="C16448" s="216" t="n">
        <v>6.16</v>
      </c>
      <c r="D16448" s="216" t="n">
        <v>1.167057037353516</v>
      </c>
      <c r="E16448" s="215" t="n">
        <v>46268</v>
      </c>
      <c r="F16448" s="215" t="n">
        <v>46268</v>
      </c>
    </row>
    <row r="16449">
      <c r="A16449" s="215" t="n">
        <v>46269</v>
      </c>
      <c r="B16449" s="216" t="n">
        <v>3.08</v>
      </c>
      <c r="C16449" s="216" t="n">
        <v>6.01</v>
      </c>
      <c r="D16449" s="216" t="n">
        <v>1.166767954826355</v>
      </c>
      <c r="E16449" s="215" t="n">
        <v>46269</v>
      </c>
      <c r="F16449" s="215" t="n">
        <v>46269</v>
      </c>
    </row>
    <row r="16450">
      <c r="A16450" s="215" t="n">
        <v>46272</v>
      </c>
      <c r="B16450" s="216" t="n">
        <v>3.05</v>
      </c>
      <c r="C16450" s="216" t="n">
        <v>6</v>
      </c>
      <c r="D16450" s="216" t="n">
        <v>1.168081045150757</v>
      </c>
      <c r="E16450" s="215" t="n">
        <v>46272</v>
      </c>
      <c r="F16450" s="215" t="n">
        <v>46272</v>
      </c>
    </row>
    <row r="16451">
      <c r="A16451" s="215" t="n">
        <v>46273</v>
      </c>
      <c r="B16451" s="216" t="n">
        <v>3.18</v>
      </c>
      <c r="C16451" s="216" t="n">
        <v>6.18</v>
      </c>
      <c r="D16451" s="216" t="n">
        <v>1.168115019798279</v>
      </c>
      <c r="E16451" s="215" t="n">
        <v>46273</v>
      </c>
      <c r="F16451" s="215" t="n">
        <v>46273</v>
      </c>
    </row>
    <row r="16452">
      <c r="A16452" s="215" t="n">
        <v>46274</v>
      </c>
      <c r="B16452" s="216" t="n">
        <v>3.13</v>
      </c>
      <c r="C16452" s="216" t="n">
        <v>6.1</v>
      </c>
      <c r="D16452" s="216" t="n">
        <v>1.168408989906311</v>
      </c>
      <c r="E16452" s="215" t="n">
        <v>46274</v>
      </c>
      <c r="F16452" s="215" t="n">
        <v>46274</v>
      </c>
    </row>
    <row r="16453">
      <c r="A16453" s="215" t="n">
        <v>46275</v>
      </c>
      <c r="B16453" s="216" t="n">
        <v>3.12</v>
      </c>
      <c r="C16453" s="216" t="n">
        <v>6</v>
      </c>
      <c r="D16453" s="216" t="n">
        <v>1.168462991714478</v>
      </c>
      <c r="E16453" s="215" t="n">
        <v>46275</v>
      </c>
      <c r="F16453" s="215" t="n">
        <v>46275</v>
      </c>
    </row>
    <row r="16454">
      <c r="A16454" s="215" t="n">
        <v>46276</v>
      </c>
      <c r="B16454" s="216" t="n">
        <v>3.085</v>
      </c>
      <c r="C16454" s="216" t="n">
        <v>5.89</v>
      </c>
      <c r="D16454" s="216" t="n">
        <v>1.169165015220642</v>
      </c>
      <c r="E16454" s="215" t="n">
        <v>46276</v>
      </c>
      <c r="F16454" s="215" t="n">
        <v>46276</v>
      </c>
    </row>
    <row r="16455">
      <c r="A16455" s="215" t="n">
        <v>46279</v>
      </c>
      <c r="B16455" s="216" t="n">
        <v>3.065</v>
      </c>
      <c r="C16455" s="216" t="n">
        <v>5.88</v>
      </c>
      <c r="D16455" s="216" t="n">
        <v>1.16893994808197</v>
      </c>
      <c r="E16455" s="215" t="n">
        <v>46279</v>
      </c>
      <c r="F16455" s="215" t="n">
        <v>46279</v>
      </c>
    </row>
    <row r="16456">
      <c r="A16456" s="215" t="n">
        <v>46280</v>
      </c>
      <c r="B16456" s="216" t="n">
        <v>3.02</v>
      </c>
      <c r="C16456" s="216" t="n">
        <v>5.81</v>
      </c>
      <c r="D16456" s="216" t="n">
        <v>1.169121026992798</v>
      </c>
      <c r="E16456" s="215" t="n">
        <v>46280</v>
      </c>
      <c r="F16456" s="215" t="n">
        <v>46280</v>
      </c>
    </row>
    <row r="16457">
      <c r="A16457" s="215" t="n">
        <v>46281</v>
      </c>
      <c r="B16457" s="216" t="n">
        <v>3.08</v>
      </c>
      <c r="C16457" s="216" t="n">
        <v>5.97</v>
      </c>
      <c r="D16457" s="216" t="n">
        <v>1.168769955635071</v>
      </c>
      <c r="E16457" s="215" t="n">
        <v>46281</v>
      </c>
      <c r="F16457" s="215" t="n">
        <v>46281</v>
      </c>
    </row>
    <row r="16458">
      <c r="A16458" s="215" t="n">
        <v>46282</v>
      </c>
      <c r="B16458" s="216" t="n">
        <v>3.025</v>
      </c>
      <c r="C16458" s="216" t="n">
        <v>5.83</v>
      </c>
      <c r="D16458" s="216" t="n">
        <v>1.169389963150024</v>
      </c>
      <c r="E16458" s="215" t="n">
        <v>46282</v>
      </c>
      <c r="F16458" s="215" t="n">
        <v>46282</v>
      </c>
    </row>
    <row r="16459">
      <c r="A16459" s="215" t="n">
        <v>46283</v>
      </c>
      <c r="B16459" s="216" t="n">
        <v>3.075</v>
      </c>
      <c r="C16459" s="216" t="n">
        <v>6</v>
      </c>
      <c r="D16459" s="216" t="n">
        <v>1.16942298412323</v>
      </c>
      <c r="E16459" s="215" t="n">
        <v>46283</v>
      </c>
      <c r="F16459" s="215" t="n">
        <v>46283</v>
      </c>
    </row>
    <row r="16460">
      <c r="A16460" s="215" t="n">
        <v>46286</v>
      </c>
      <c r="B16460" s="216" t="n">
        <v>3.085</v>
      </c>
      <c r="C16460" s="216" t="n">
        <v>6.03</v>
      </c>
      <c r="D16460" s="216" t="n">
        <v>1.171280026435852</v>
      </c>
      <c r="E16460" s="215" t="n">
        <v>46286</v>
      </c>
      <c r="F16460" s="215" t="n">
        <v>46286</v>
      </c>
    </row>
    <row r="16461">
      <c r="A16461" s="215" t="n">
        <v>46287</v>
      </c>
      <c r="B16461" s="216" t="n">
        <v>3.06</v>
      </c>
      <c r="C16461" s="216" t="n">
        <v>6.07</v>
      </c>
      <c r="D16461" s="216" t="n">
        <v>1.171705007553101</v>
      </c>
      <c r="E16461" s="215" t="n">
        <v>46287</v>
      </c>
      <c r="F16461" s="215" t="n">
        <v>46287</v>
      </c>
    </row>
    <row r="16462">
      <c r="A16462" s="215" t="n">
        <v>46288</v>
      </c>
      <c r="B16462" s="216" t="n">
        <v>3.015</v>
      </c>
      <c r="C16462" s="216" t="n">
        <v>5.96</v>
      </c>
      <c r="D16462" s="216" t="n">
        <v>1.170611023902893</v>
      </c>
      <c r="E16462" s="215" t="n">
        <v>46288</v>
      </c>
      <c r="F16462" s="215" t="n">
        <v>46288</v>
      </c>
    </row>
    <row r="16463">
      <c r="A16463" s="215" t="n">
        <v>46289</v>
      </c>
      <c r="B16463" s="216" t="n">
        <v>2.92</v>
      </c>
      <c r="C16463" s="216" t="n">
        <v>5.76</v>
      </c>
      <c r="D16463" s="216" t="n">
        <v>1.16852605342865</v>
      </c>
      <c r="E16463" s="215" t="n">
        <v>46289</v>
      </c>
      <c r="F16463" s="215" t="n">
        <v>46289</v>
      </c>
    </row>
    <row r="16464">
      <c r="A16464" s="215" t="n">
        <v>46290</v>
      </c>
      <c r="B16464" s="216" t="n">
        <v>2.88</v>
      </c>
      <c r="C16464" s="216" t="n">
        <v>5.76</v>
      </c>
      <c r="D16464" s="216" t="n">
        <v>1.168424010276794</v>
      </c>
      <c r="E16464" s="215" t="n">
        <v>46289</v>
      </c>
      <c r="F16464" s="215" t="n">
        <v>46290</v>
      </c>
    </row>
    <row r="16465">
      <c r="A16465" s="215" t="n">
        <v>46293</v>
      </c>
      <c r="B16465" s="216" t="n">
        <v>2.87</v>
      </c>
      <c r="C16465" s="216" t="n">
        <v>5.7</v>
      </c>
      <c r="D16465" s="216" t="n">
        <v>1.168378949165344</v>
      </c>
      <c r="E16465" s="215" t="n">
        <v>46293</v>
      </c>
      <c r="F16465" s="215" t="n">
        <v>46293</v>
      </c>
    </row>
    <row r="16466">
      <c r="A16466" s="215" t="n">
        <v>46294</v>
      </c>
      <c r="B16466" s="216" t="n">
        <v>2.845</v>
      </c>
      <c r="C16466" s="216" t="n">
        <v>5.64</v>
      </c>
      <c r="D16466" s="216" t="n">
        <v>1.168815970420837</v>
      </c>
      <c r="E16466" s="215" t="n">
        <v>46294</v>
      </c>
      <c r="F16466" s="215" t="n">
        <v>46294</v>
      </c>
    </row>
    <row r="16467">
      <c r="A16467" s="215" t="n">
        <v>46295</v>
      </c>
      <c r="B16467" s="216" t="n">
        <v>2.9</v>
      </c>
      <c r="C16467" s="216" t="n">
        <v>5.68</v>
      </c>
      <c r="D16467" s="216" t="n">
        <v>1.17059600353241</v>
      </c>
      <c r="E16467" s="215" t="n">
        <v>46295</v>
      </c>
      <c r="F16467" s="215" t="n">
        <v>46295</v>
      </c>
    </row>
    <row r="16468">
      <c r="A16468" s="215" t="n">
        <v>46297</v>
      </c>
      <c r="B16468" s="216" t="n">
        <v>2.8</v>
      </c>
      <c r="C16468" s="216" t="n">
        <v>5.68</v>
      </c>
      <c r="D16468" s="216" t="n">
        <v>1.170220971107483</v>
      </c>
      <c r="E16468" s="215" t="n">
        <v>46295</v>
      </c>
      <c r="F16468" s="215" t="n">
        <v>46297</v>
      </c>
    </row>
    <row r="16469">
      <c r="A16469" s="215" t="n">
        <v>45726</v>
      </c>
      <c r="B16469" s="216" t="n">
        <v>13.72</v>
      </c>
      <c r="C16469" s="216" t="n">
        <v>19.08</v>
      </c>
      <c r="D16469" s="216" t="n">
        <v>1.074237942695618</v>
      </c>
      <c r="E16469" s="215" t="n">
        <v>45726</v>
      </c>
      <c r="F16469" s="215" t="n">
        <v>45726</v>
      </c>
    </row>
    <row r="16470">
      <c r="A16470" s="215" t="n">
        <v>45727</v>
      </c>
      <c r="B16470" s="216" t="n">
        <v>13.2</v>
      </c>
      <c r="C16470" s="216" t="n">
        <v>18.84</v>
      </c>
      <c r="D16470" s="216" t="n">
        <v>1.069882988929749</v>
      </c>
      <c r="E16470" s="215" t="n">
        <v>45727</v>
      </c>
      <c r="F16470" s="215" t="n">
        <v>45727</v>
      </c>
    </row>
    <row r="16471">
      <c r="A16471" s="215" t="n">
        <v>45728</v>
      </c>
      <c r="B16471" s="216" t="n">
        <v>13.64</v>
      </c>
      <c r="C16471" s="216" t="n">
        <v>18.88</v>
      </c>
      <c r="D16471" s="216" t="n">
        <v>1.070067048072815</v>
      </c>
      <c r="E16471" s="215" t="n">
        <v>45728</v>
      </c>
      <c r="F16471" s="215" t="n">
        <v>45728</v>
      </c>
    </row>
    <row r="16472">
      <c r="A16472" s="215" t="n">
        <v>45729</v>
      </c>
      <c r="B16472" s="216" t="n">
        <v>13.72</v>
      </c>
      <c r="C16472" s="216" t="n">
        <v>19</v>
      </c>
      <c r="D16472" s="216" t="n">
        <v>1.07337498664856</v>
      </c>
      <c r="E16472" s="215" t="n">
        <v>45729</v>
      </c>
      <c r="F16472" s="215" t="n">
        <v>45729</v>
      </c>
    </row>
    <row r="16473">
      <c r="A16473" s="215" t="n">
        <v>45730</v>
      </c>
      <c r="B16473" s="216" t="n">
        <v>14</v>
      </c>
      <c r="C16473" s="216" t="n">
        <v>19.73</v>
      </c>
      <c r="D16473" s="216" t="n">
        <v>1.073752999305725</v>
      </c>
      <c r="E16473" s="215" t="n">
        <v>45730</v>
      </c>
      <c r="F16473" s="215" t="n">
        <v>45730</v>
      </c>
    </row>
    <row r="16474">
      <c r="A16474" s="215" t="n">
        <v>45733</v>
      </c>
      <c r="B16474" s="216" t="n">
        <v>14</v>
      </c>
      <c r="C16474" s="216" t="n">
        <v>19.44</v>
      </c>
      <c r="D16474" s="216" t="n">
        <v>1.073765993118286</v>
      </c>
      <c r="E16474" s="215" t="n">
        <v>45733</v>
      </c>
      <c r="F16474" s="215" t="n">
        <v>45733</v>
      </c>
    </row>
    <row r="16475">
      <c r="A16475" s="215" t="n">
        <v>45734</v>
      </c>
      <c r="B16475" s="216" t="n">
        <v>14.98</v>
      </c>
      <c r="C16475" s="216" t="n">
        <v>20.92</v>
      </c>
      <c r="D16475" s="216" t="n">
        <v>1.073990941047668</v>
      </c>
      <c r="E16475" s="215" t="n">
        <v>45734</v>
      </c>
      <c r="F16475" s="215" t="n">
        <v>45734</v>
      </c>
    </row>
    <row r="16476">
      <c r="A16476" s="215" t="n">
        <v>45735</v>
      </c>
      <c r="B16476" s="216" t="n">
        <v>15.14</v>
      </c>
      <c r="C16476" s="216" t="n">
        <v>21.28</v>
      </c>
      <c r="D16476" s="216" t="n">
        <v>1.074807047843933</v>
      </c>
      <c r="E16476" s="215" t="n">
        <v>45735</v>
      </c>
      <c r="F16476" s="215" t="n">
        <v>45735</v>
      </c>
    </row>
    <row r="16477">
      <c r="A16477" s="215" t="n">
        <v>45736</v>
      </c>
      <c r="B16477" s="216" t="n">
        <v>15.06</v>
      </c>
      <c r="C16477" s="216" t="n">
        <v>21.52</v>
      </c>
      <c r="D16477" s="216" t="n">
        <v>1.074540019035339</v>
      </c>
      <c r="E16477" s="215" t="n">
        <v>45736</v>
      </c>
      <c r="F16477" s="215" t="n">
        <v>45736</v>
      </c>
    </row>
    <row r="16478">
      <c r="A16478" s="215" t="n">
        <v>45737</v>
      </c>
      <c r="B16478" s="216" t="n">
        <v>14.72</v>
      </c>
      <c r="C16478" s="216" t="n">
        <v>21.26</v>
      </c>
      <c r="D16478" s="216" t="n">
        <v>1.072183012962341</v>
      </c>
      <c r="E16478" s="215" t="n">
        <v>45737</v>
      </c>
      <c r="F16478" s="215" t="n">
        <v>45737</v>
      </c>
    </row>
    <row r="16479">
      <c r="A16479" s="215" t="n">
        <v>45740</v>
      </c>
      <c r="B16479" s="216" t="n">
        <v>14.8</v>
      </c>
      <c r="C16479" s="216" t="n">
        <v>20.91</v>
      </c>
      <c r="D16479" s="216" t="n">
        <v>1.072136998176575</v>
      </c>
      <c r="E16479" s="215" t="n">
        <v>45740</v>
      </c>
      <c r="F16479" s="215" t="n">
        <v>45740</v>
      </c>
    </row>
    <row r="16480">
      <c r="A16480" s="215" t="n">
        <v>45741</v>
      </c>
      <c r="B16480" s="216" t="n">
        <v>14.4</v>
      </c>
      <c r="C16480" s="216" t="n">
        <v>20.87</v>
      </c>
      <c r="D16480" s="216" t="n">
        <v>1.071681976318359</v>
      </c>
      <c r="E16480" s="215" t="n">
        <v>45741</v>
      </c>
      <c r="F16480" s="215" t="n">
        <v>45741</v>
      </c>
    </row>
    <row r="16481">
      <c r="A16481" s="215" t="n">
        <v>45742</v>
      </c>
      <c r="B16481" s="216" t="n">
        <v>14.82</v>
      </c>
      <c r="C16481" s="216" t="n">
        <v>20.6</v>
      </c>
      <c r="D16481" s="216" t="n">
        <v>1.071272969245911</v>
      </c>
      <c r="E16481" s="215" t="n">
        <v>45742</v>
      </c>
      <c r="F16481" s="215" t="n">
        <v>45742</v>
      </c>
    </row>
    <row r="16482">
      <c r="A16482" s="215" t="n">
        <v>45743</v>
      </c>
      <c r="B16482" s="216" t="n">
        <v>14.86</v>
      </c>
      <c r="C16482" s="216" t="n">
        <v>20.84</v>
      </c>
      <c r="D16482" s="216" t="n">
        <v>1.071310043334961</v>
      </c>
      <c r="E16482" s="215" t="n">
        <v>45743</v>
      </c>
      <c r="F16482" s="215" t="n">
        <v>45743</v>
      </c>
    </row>
    <row r="16483">
      <c r="A16483" s="215" t="n">
        <v>45744</v>
      </c>
      <c r="B16483" s="216" t="n">
        <v>15.24</v>
      </c>
      <c r="C16483" s="216" t="n">
        <v>21.64</v>
      </c>
      <c r="D16483" s="216" t="n">
        <v>1.03395402431488</v>
      </c>
      <c r="E16483" s="215" t="n">
        <v>45744</v>
      </c>
      <c r="F16483" s="215" t="n">
        <v>45744</v>
      </c>
    </row>
    <row r="16484">
      <c r="A16484" s="215" t="n">
        <v>45747</v>
      </c>
      <c r="B16484" s="216" t="n">
        <v>16.46</v>
      </c>
      <c r="C16484" s="216" t="n">
        <v>22.9</v>
      </c>
      <c r="D16484" s="216" t="n">
        <v>1.070834994316101</v>
      </c>
      <c r="E16484" s="215" t="n">
        <v>45747</v>
      </c>
      <c r="F16484" s="215" t="n">
        <v>45747</v>
      </c>
    </row>
    <row r="16485">
      <c r="A16485" s="215" t="n">
        <v>45748</v>
      </c>
      <c r="B16485" s="216" t="n">
        <v>16.4</v>
      </c>
      <c r="C16485" s="216" t="n">
        <v>22.75</v>
      </c>
      <c r="D16485" s="216" t="n">
        <v>1.071635007858276</v>
      </c>
      <c r="E16485" s="215" t="n">
        <v>45748</v>
      </c>
      <c r="F16485" s="215" t="n">
        <v>45748</v>
      </c>
    </row>
    <row r="16486">
      <c r="A16486" s="215" t="n">
        <v>45749</v>
      </c>
      <c r="B16486" s="216" t="n">
        <v>16.16</v>
      </c>
      <c r="C16486" s="216" t="n">
        <v>21.9</v>
      </c>
      <c r="D16486" s="216" t="n">
        <v>1.070148944854736</v>
      </c>
      <c r="E16486" s="215" t="n">
        <v>45749</v>
      </c>
      <c r="F16486" s="215" t="n">
        <v>45749</v>
      </c>
    </row>
    <row r="16487">
      <c r="A16487" s="215" t="n">
        <v>45750</v>
      </c>
      <c r="B16487" s="216" t="n">
        <v>18</v>
      </c>
      <c r="C16487" s="216" t="n">
        <v>22.29</v>
      </c>
      <c r="D16487" s="216" t="n">
        <v>1.070878982543945</v>
      </c>
      <c r="E16487" s="215" t="n">
        <v>45750</v>
      </c>
      <c r="F16487" s="215" t="n">
        <v>45750</v>
      </c>
    </row>
    <row r="16488">
      <c r="A16488" s="215" t="n">
        <v>45754</v>
      </c>
      <c r="B16488" s="216" t="n">
        <v>16.26</v>
      </c>
      <c r="C16488" s="216" t="n">
        <v>21.2</v>
      </c>
      <c r="D16488" s="216" t="n">
        <v>1.067106008529663</v>
      </c>
      <c r="E16488" s="215" t="n">
        <v>45754</v>
      </c>
      <c r="F16488" s="215" t="n">
        <v>45754</v>
      </c>
    </row>
    <row r="16489">
      <c r="A16489" s="215" t="n">
        <v>45755</v>
      </c>
      <c r="B16489" s="216" t="n">
        <v>17.2</v>
      </c>
      <c r="C16489" s="216" t="n">
        <v>21.27</v>
      </c>
      <c r="D16489" s="216" t="n">
        <v>1.062885046005249</v>
      </c>
      <c r="E16489" s="215" t="n">
        <v>45755</v>
      </c>
      <c r="F16489" s="215" t="n">
        <v>45755</v>
      </c>
    </row>
    <row r="16490">
      <c r="A16490" s="215" t="n">
        <v>45756</v>
      </c>
      <c r="B16490" s="216" t="n">
        <v>17.22</v>
      </c>
      <c r="C16490" s="216" t="n">
        <v>22.12</v>
      </c>
      <c r="D16490" s="216" t="n">
        <v>1.058482050895691</v>
      </c>
      <c r="E16490" s="215" t="n">
        <v>45756</v>
      </c>
      <c r="F16490" s="215" t="n">
        <v>45756</v>
      </c>
    </row>
    <row r="16491">
      <c r="A16491" s="215" t="n">
        <v>45757</v>
      </c>
      <c r="B16491" s="216" t="n">
        <v>20.15</v>
      </c>
      <c r="C16491" s="216" t="n">
        <v>23.87</v>
      </c>
      <c r="D16491" s="216" t="n">
        <v>1.055835008621216</v>
      </c>
      <c r="E16491" s="215" t="n">
        <v>45757</v>
      </c>
      <c r="F16491" s="215" t="n">
        <v>45757</v>
      </c>
    </row>
    <row r="16492">
      <c r="A16492" s="215" t="n">
        <v>45758</v>
      </c>
      <c r="B16492" s="216" t="n">
        <v>21.7</v>
      </c>
      <c r="C16492" s="216" t="n">
        <v>25.7</v>
      </c>
      <c r="D16492" s="216" t="n">
        <v>1.060536980628967</v>
      </c>
      <c r="E16492" s="215" t="n">
        <v>45758</v>
      </c>
      <c r="F16492" s="215" t="n">
        <v>45758</v>
      </c>
    </row>
    <row r="16493">
      <c r="A16493" s="215" t="n">
        <v>45761</v>
      </c>
      <c r="B16493" s="216" t="n">
        <v>26.5</v>
      </c>
      <c r="C16493" s="216" t="n">
        <v>27.59</v>
      </c>
      <c r="D16493" s="216" t="n">
        <v>1.063439965248108</v>
      </c>
      <c r="E16493" s="215" t="n">
        <v>45761</v>
      </c>
      <c r="F16493" s="215" t="n">
        <v>45761</v>
      </c>
    </row>
    <row r="16494">
      <c r="A16494" s="215" t="n">
        <v>45762</v>
      </c>
      <c r="B16494" s="216" t="n">
        <v>25.75</v>
      </c>
      <c r="C16494" s="216" t="n">
        <v>27.71</v>
      </c>
      <c r="D16494" s="216" t="n">
        <v>1.06060004234314</v>
      </c>
      <c r="E16494" s="215" t="n">
        <v>45762</v>
      </c>
      <c r="F16494" s="215" t="n">
        <v>45762</v>
      </c>
    </row>
    <row r="16495">
      <c r="A16495" s="215" t="n">
        <v>45763</v>
      </c>
      <c r="B16495" s="216" t="n">
        <v>31.2</v>
      </c>
      <c r="C16495" s="216" t="n">
        <v>29.95</v>
      </c>
      <c r="D16495" s="216" t="n">
        <v>1.06060004234314</v>
      </c>
      <c r="E16495" s="215" t="n">
        <v>45763</v>
      </c>
      <c r="F16495" s="215" t="n">
        <v>45763</v>
      </c>
    </row>
    <row r="16496">
      <c r="A16496" s="215" t="n">
        <v>45764</v>
      </c>
      <c r="B16496" s="216" t="n">
        <v>29.7</v>
      </c>
      <c r="C16496" s="216" t="n">
        <v>28.85</v>
      </c>
      <c r="D16496" s="216" t="n">
        <v>1.06060004234314</v>
      </c>
      <c r="E16496" s="215" t="n">
        <v>45764</v>
      </c>
      <c r="F16496" s="215" t="n">
        <v>45764</v>
      </c>
    </row>
    <row r="16497">
      <c r="A16497" s="215" t="n">
        <v>45769</v>
      </c>
      <c r="B16497" s="216" t="n">
        <v>32.25</v>
      </c>
      <c r="C16497" s="216" t="n">
        <v>31.3</v>
      </c>
      <c r="D16497" s="216" t="n">
        <v>1.06060004234314</v>
      </c>
      <c r="E16497" s="215" t="n">
        <v>45769</v>
      </c>
      <c r="F16497" s="215" t="n">
        <v>45769</v>
      </c>
    </row>
    <row r="16498">
      <c r="A16498" s="215" t="n">
        <v>45770</v>
      </c>
      <c r="B16498" s="216" t="n">
        <v>27.15</v>
      </c>
      <c r="C16498" s="216" t="n">
        <v>28.17</v>
      </c>
      <c r="D16498" s="216" t="n">
        <v>1.06060004234314</v>
      </c>
      <c r="E16498" s="215" t="n">
        <v>45770</v>
      </c>
      <c r="F16498" s="215" t="n">
        <v>45770</v>
      </c>
    </row>
    <row r="16499">
      <c r="A16499" s="215" t="n">
        <v>45771</v>
      </c>
      <c r="B16499" s="216" t="n">
        <v>28.35</v>
      </c>
      <c r="C16499" s="216" t="n">
        <v>27.65</v>
      </c>
      <c r="D16499" s="216" t="n">
        <v>1.06060004234314</v>
      </c>
      <c r="E16499" s="215" t="n">
        <v>45771</v>
      </c>
      <c r="F16499" s="215" t="n">
        <v>45771</v>
      </c>
    </row>
    <row r="16500">
      <c r="A16500" s="215" t="n">
        <v>45772</v>
      </c>
      <c r="B16500" s="216" t="n">
        <v>27.35</v>
      </c>
      <c r="C16500" s="216" t="n">
        <v>27.1</v>
      </c>
      <c r="D16500" s="216" t="n">
        <v>1.061900019645691</v>
      </c>
      <c r="E16500" s="215" t="n">
        <v>45772</v>
      </c>
      <c r="F16500" s="215" t="n">
        <v>45772</v>
      </c>
    </row>
    <row r="16501">
      <c r="A16501" s="215" t="n">
        <v>45775</v>
      </c>
      <c r="B16501" s="216" t="n">
        <v>25.9</v>
      </c>
      <c r="C16501" s="216" t="n">
        <v>26.68</v>
      </c>
      <c r="D16501" s="216" t="n">
        <v>1.064350962638855</v>
      </c>
      <c r="E16501" s="215" t="n">
        <v>45775</v>
      </c>
      <c r="F16501" s="215" t="n">
        <v>45775</v>
      </c>
    </row>
    <row r="16502">
      <c r="A16502" s="215" t="n">
        <v>45776</v>
      </c>
      <c r="B16502" s="216" t="n">
        <v>26.15</v>
      </c>
      <c r="C16502" s="216" t="n">
        <v>26.53</v>
      </c>
      <c r="D16502" s="216" t="n">
        <v>1.063179969787598</v>
      </c>
      <c r="E16502" s="215" t="n">
        <v>45776</v>
      </c>
      <c r="F16502" s="215" t="n">
        <v>45776</v>
      </c>
    </row>
    <row r="16503">
      <c r="A16503" s="215" t="n">
        <v>45777</v>
      </c>
      <c r="B16503" s="216" t="n">
        <v>25.5</v>
      </c>
      <c r="C16503" s="216" t="n">
        <v>26.27</v>
      </c>
      <c r="D16503" s="216" t="n">
        <v>1.067217946052551</v>
      </c>
      <c r="E16503" s="215" t="n">
        <v>45777</v>
      </c>
      <c r="F16503" s="215" t="n">
        <v>45777</v>
      </c>
    </row>
    <row r="16504">
      <c r="A16504" s="215" t="n">
        <v>45779</v>
      </c>
      <c r="B16504" s="216" t="n">
        <v>24.5</v>
      </c>
      <c r="C16504" s="216" t="n">
        <v>26.27</v>
      </c>
      <c r="D16504" s="216" t="n">
        <v>1.066810965538025</v>
      </c>
      <c r="E16504" s="215" t="n">
        <v>45777</v>
      </c>
      <c r="F16504" s="215" t="n">
        <v>45779</v>
      </c>
    </row>
    <row r="16505">
      <c r="A16505" s="215" t="n">
        <v>45783</v>
      </c>
      <c r="B16505" s="216" t="n">
        <v>27.65</v>
      </c>
      <c r="C16505" s="216" t="n">
        <v>27.24</v>
      </c>
      <c r="D16505" s="216" t="n">
        <v>1.065811991691589</v>
      </c>
      <c r="E16505" s="215" t="n">
        <v>45783</v>
      </c>
      <c r="F16505" s="215" t="n">
        <v>45783</v>
      </c>
    </row>
    <row r="16506">
      <c r="A16506" s="215" t="n">
        <v>45784</v>
      </c>
      <c r="B16506" s="216" t="n">
        <v>28.6</v>
      </c>
      <c r="C16506" s="216" t="n">
        <v>27.44</v>
      </c>
      <c r="D16506" s="216" t="n">
        <v>1.073848009109497</v>
      </c>
      <c r="E16506" s="215" t="n">
        <v>45784</v>
      </c>
      <c r="F16506" s="215" t="n">
        <v>45784</v>
      </c>
    </row>
    <row r="16507">
      <c r="A16507" s="215" t="n">
        <v>45785</v>
      </c>
      <c r="B16507" s="216" t="n">
        <v>27.25</v>
      </c>
      <c r="C16507" s="216" t="n">
        <v>26.66</v>
      </c>
      <c r="D16507" s="216" t="n">
        <v>1.07387101650238</v>
      </c>
      <c r="E16507" s="215" t="n">
        <v>45785</v>
      </c>
      <c r="F16507" s="215" t="n">
        <v>45785</v>
      </c>
    </row>
    <row r="16508">
      <c r="A16508" s="215" t="n">
        <v>45786</v>
      </c>
      <c r="B16508" s="216" t="n">
        <v>27.1</v>
      </c>
      <c r="C16508" s="216" t="n">
        <v>26.87</v>
      </c>
      <c r="D16508" s="216" t="n">
        <v>1.076066970825195</v>
      </c>
      <c r="E16508" s="215" t="n">
        <v>45786</v>
      </c>
      <c r="F16508" s="215" t="n">
        <v>45786</v>
      </c>
    </row>
    <row r="16509">
      <c r="A16509" s="215" t="n">
        <v>45789</v>
      </c>
      <c r="B16509" s="216" t="n">
        <v>24.1</v>
      </c>
      <c r="C16509" s="216" t="n">
        <v>26.48</v>
      </c>
      <c r="D16509" s="216" t="n">
        <v>1.074246048927307</v>
      </c>
      <c r="E16509" s="215" t="n">
        <v>45789</v>
      </c>
      <c r="F16509" s="215" t="n">
        <v>45789</v>
      </c>
    </row>
    <row r="16510">
      <c r="A16510" s="215" t="n">
        <v>45790</v>
      </c>
      <c r="B16510" s="216" t="n">
        <v>25.35</v>
      </c>
      <c r="C16510" s="216" t="n">
        <v>26.76</v>
      </c>
      <c r="D16510" s="216" t="n">
        <v>1.081536054611206</v>
      </c>
      <c r="E16510" s="215" t="n">
        <v>45790</v>
      </c>
      <c r="F16510" s="215" t="n">
        <v>45790</v>
      </c>
    </row>
    <row r="16511">
      <c r="A16511" s="215" t="n">
        <v>45791</v>
      </c>
      <c r="B16511" s="216" t="n">
        <v>24.9</v>
      </c>
      <c r="C16511" s="216" t="n">
        <v>26.33</v>
      </c>
      <c r="D16511" s="216" t="n">
        <v>1.081884980201721</v>
      </c>
      <c r="E16511" s="215" t="n">
        <v>45791</v>
      </c>
      <c r="F16511" s="215" t="n">
        <v>45791</v>
      </c>
    </row>
    <row r="16512">
      <c r="A16512" s="215" t="n">
        <v>45792</v>
      </c>
      <c r="B16512" s="216" t="n">
        <v>24.25</v>
      </c>
      <c r="C16512" s="216" t="n">
        <v>26.08</v>
      </c>
      <c r="D16512" s="216" t="n">
        <v>1.082641005516052</v>
      </c>
      <c r="E16512" s="215" t="n">
        <v>45792</v>
      </c>
      <c r="F16512" s="215" t="n">
        <v>45792</v>
      </c>
    </row>
    <row r="16513">
      <c r="A16513" s="215" t="n">
        <v>45793</v>
      </c>
      <c r="B16513" s="216" t="n">
        <v>24.65</v>
      </c>
      <c r="C16513" s="216" t="n">
        <v>26.03</v>
      </c>
      <c r="D16513" s="216" t="n">
        <v>1.082918047904968</v>
      </c>
      <c r="E16513" s="215" t="n">
        <v>45793</v>
      </c>
      <c r="F16513" s="215" t="n">
        <v>45793</v>
      </c>
    </row>
    <row r="16514">
      <c r="A16514" s="215" t="n">
        <v>45796</v>
      </c>
      <c r="B16514" s="216" t="n">
        <v>25.45</v>
      </c>
      <c r="C16514" s="216" t="n">
        <v>26.03</v>
      </c>
      <c r="D16514" s="216" t="n">
        <v>1.083842992782593</v>
      </c>
      <c r="E16514" s="215" t="n">
        <v>45796</v>
      </c>
      <c r="F16514" s="215" t="n">
        <v>45796</v>
      </c>
    </row>
    <row r="16515">
      <c r="A16515" s="215" t="n">
        <v>45797</v>
      </c>
      <c r="B16515" s="216" t="n">
        <v>25.65</v>
      </c>
      <c r="C16515" s="216" t="n">
        <v>26.34</v>
      </c>
      <c r="D16515" s="216" t="n">
        <v>1.08473801612854</v>
      </c>
      <c r="E16515" s="215" t="n">
        <v>45797</v>
      </c>
      <c r="F16515" s="215" t="n">
        <v>45797</v>
      </c>
    </row>
    <row r="16516">
      <c r="A16516" s="215" t="n">
        <v>45798</v>
      </c>
      <c r="B16516" s="216" t="n">
        <v>29.2</v>
      </c>
      <c r="C16516" s="216" t="n">
        <v>27.82</v>
      </c>
      <c r="D16516" s="216" t="n">
        <v>1.084200024604797</v>
      </c>
      <c r="E16516" s="215" t="n">
        <v>45798</v>
      </c>
      <c r="F16516" s="215" t="n">
        <v>45798</v>
      </c>
    </row>
    <row r="16517">
      <c r="A16517" s="215" t="n">
        <v>45799</v>
      </c>
      <c r="B16517" s="216" t="n">
        <v>29</v>
      </c>
      <c r="C16517" s="216" t="n">
        <v>27.49</v>
      </c>
      <c r="D16517" s="216" t="n">
        <v>1.086825013160706</v>
      </c>
      <c r="E16517" s="215" t="n">
        <v>45799</v>
      </c>
      <c r="F16517" s="215" t="n">
        <v>45799</v>
      </c>
    </row>
    <row r="16518">
      <c r="A16518" s="215" t="n">
        <v>45800</v>
      </c>
      <c r="B16518" s="216" t="n">
        <v>29.95</v>
      </c>
      <c r="C16518" s="216" t="n">
        <v>28.36</v>
      </c>
      <c r="D16518" s="216" t="n">
        <v>1.086493015289307</v>
      </c>
      <c r="E16518" s="215" t="n">
        <v>45800</v>
      </c>
      <c r="F16518" s="215" t="n">
        <v>45800</v>
      </c>
    </row>
    <row r="16519">
      <c r="A16519" s="215" t="n">
        <v>45803</v>
      </c>
      <c r="B16519" s="216" t="n">
        <v>29.15</v>
      </c>
      <c r="C16519" s="216" t="n">
        <v>27.91</v>
      </c>
      <c r="D16519" s="216" t="n">
        <v>1.08673095703125</v>
      </c>
      <c r="E16519" s="215" t="n">
        <v>45803</v>
      </c>
      <c r="F16519" s="215" t="n">
        <v>45803</v>
      </c>
    </row>
    <row r="16520">
      <c r="A16520" s="215" t="n">
        <v>45804</v>
      </c>
      <c r="B16520" s="216" t="n">
        <v>27.7</v>
      </c>
      <c r="C16520" s="216" t="n">
        <v>26.72</v>
      </c>
      <c r="D16520" s="216" t="n">
        <v>1.087713956832886</v>
      </c>
      <c r="E16520" s="215" t="n">
        <v>45804</v>
      </c>
      <c r="F16520" s="215" t="n">
        <v>45804</v>
      </c>
    </row>
    <row r="16521">
      <c r="A16521" s="215" t="n">
        <v>45805</v>
      </c>
      <c r="B16521" s="216" t="n">
        <v>28.35</v>
      </c>
      <c r="C16521" s="216" t="n">
        <v>26.91</v>
      </c>
      <c r="D16521" s="216" t="n">
        <v>1.087921977043152</v>
      </c>
      <c r="E16521" s="215" t="n">
        <v>45805</v>
      </c>
      <c r="F16521" s="215" t="n">
        <v>45805</v>
      </c>
    </row>
    <row r="16522">
      <c r="A16522" s="215" t="n">
        <v>45806</v>
      </c>
      <c r="B16522" s="216" t="n">
        <v>27.6</v>
      </c>
      <c r="C16522" s="216" t="n">
        <v>26.54</v>
      </c>
      <c r="D16522" s="216" t="n">
        <v>1.087334990501404</v>
      </c>
      <c r="E16522" s="215" t="n">
        <v>45806</v>
      </c>
      <c r="F16522" s="215" t="n">
        <v>45806</v>
      </c>
    </row>
    <row r="16523">
      <c r="A16523" s="215" t="n">
        <v>45807</v>
      </c>
      <c r="B16523" s="216" t="n">
        <v>27.75</v>
      </c>
      <c r="C16523" s="216" t="n">
        <v>26.26</v>
      </c>
      <c r="D16523" s="216" t="n">
        <v>1.088281989097595</v>
      </c>
      <c r="E16523" s="215" t="n">
        <v>45807</v>
      </c>
      <c r="F16523" s="215" t="n">
        <v>45807</v>
      </c>
    </row>
    <row r="16524">
      <c r="A16524" s="215" t="n">
        <v>45810</v>
      </c>
      <c r="B16524" s="216" t="n">
        <v>29.35</v>
      </c>
      <c r="C16524" s="216" t="n">
        <v>26.26</v>
      </c>
      <c r="D16524" s="216" t="n">
        <v>1.088839054107666</v>
      </c>
      <c r="E16524" s="215" t="n">
        <v>45807</v>
      </c>
      <c r="F16524" s="215" t="n">
        <v>45810</v>
      </c>
    </row>
    <row r="16525">
      <c r="A16525" s="215" t="n">
        <v>45811</v>
      </c>
      <c r="B16525" s="216" t="n">
        <v>29.2</v>
      </c>
      <c r="C16525" s="216" t="n">
        <v>27.44</v>
      </c>
      <c r="D16525" s="216" t="n">
        <v>1.098875999450684</v>
      </c>
      <c r="E16525" s="215" t="n">
        <v>45811</v>
      </c>
      <c r="F16525" s="215" t="n">
        <v>45811</v>
      </c>
    </row>
    <row r="16526">
      <c r="A16526" s="215" t="n">
        <v>45812</v>
      </c>
      <c r="B16526" s="216" t="n">
        <v>28.9</v>
      </c>
      <c r="C16526" s="216" t="n">
        <v>27.44</v>
      </c>
      <c r="D16526" s="216" t="n">
        <v>1.092406988143921</v>
      </c>
      <c r="E16526" s="215" t="n">
        <v>45812</v>
      </c>
      <c r="F16526" s="215" t="n">
        <v>45812</v>
      </c>
    </row>
    <row r="16527">
      <c r="A16527" s="215" t="n">
        <v>45813</v>
      </c>
      <c r="B16527" s="216" t="n">
        <v>28.35</v>
      </c>
      <c r="C16527" s="216" t="n">
        <v>27.02</v>
      </c>
      <c r="D16527" s="216" t="n">
        <v>1.095829010009766</v>
      </c>
      <c r="E16527" s="215" t="n">
        <v>45813</v>
      </c>
      <c r="F16527" s="215" t="n">
        <v>45813</v>
      </c>
    </row>
    <row r="16528">
      <c r="A16528" s="215" t="n">
        <v>45814</v>
      </c>
      <c r="B16528" s="216" t="n">
        <v>28.9</v>
      </c>
      <c r="C16528" s="216" t="n">
        <v>27.32</v>
      </c>
      <c r="D16528" s="216" t="n">
        <v>1.093296051025391</v>
      </c>
      <c r="E16528" s="215" t="n">
        <v>45814</v>
      </c>
      <c r="F16528" s="215" t="n">
        <v>45814</v>
      </c>
    </row>
    <row r="16529">
      <c r="A16529" s="215" t="n">
        <v>45817</v>
      </c>
      <c r="B16529" s="216" t="n">
        <v>28.1</v>
      </c>
      <c r="C16529" s="216" t="n">
        <v>26.83</v>
      </c>
      <c r="D16529" s="216" t="n">
        <v>1.091297030448914</v>
      </c>
      <c r="E16529" s="215" t="n">
        <v>45817</v>
      </c>
      <c r="F16529" s="215" t="n">
        <v>45817</v>
      </c>
    </row>
    <row r="16530">
      <c r="A16530" s="215" t="n">
        <v>45818</v>
      </c>
      <c r="B16530" s="216" t="n">
        <v>28.65</v>
      </c>
      <c r="C16530" s="216" t="n">
        <v>26.9</v>
      </c>
      <c r="D16530" s="216" t="n">
        <v>1.092790007591248</v>
      </c>
      <c r="E16530" s="215" t="n">
        <v>45818</v>
      </c>
      <c r="F16530" s="215" t="n">
        <v>45818</v>
      </c>
    </row>
    <row r="16531">
      <c r="A16531" s="215" t="n">
        <v>45819</v>
      </c>
      <c r="B16531" s="216" t="n">
        <v>28.55</v>
      </c>
      <c r="C16531" s="216" t="n">
        <v>26.95</v>
      </c>
      <c r="D16531" s="216" t="n">
        <v>1.092836976051331</v>
      </c>
      <c r="E16531" s="215" t="n">
        <v>45819</v>
      </c>
      <c r="F16531" s="215" t="n">
        <v>45819</v>
      </c>
    </row>
    <row r="16532">
      <c r="A16532" s="215" t="n">
        <v>45820</v>
      </c>
      <c r="B16532" s="216" t="n">
        <v>28.9</v>
      </c>
      <c r="C16532" s="216" t="n">
        <v>27.78</v>
      </c>
      <c r="D16532" s="216" t="n">
        <v>1.090999960899353</v>
      </c>
      <c r="E16532" s="215" t="n">
        <v>45820</v>
      </c>
      <c r="F16532" s="215" t="n">
        <v>45820</v>
      </c>
    </row>
    <row r="16533">
      <c r="A16533" s="215" t="n">
        <v>45821</v>
      </c>
      <c r="B16533" s="216" t="n">
        <v>31.95</v>
      </c>
      <c r="C16533" s="216" t="n">
        <v>29.24</v>
      </c>
      <c r="D16533" s="216" t="n">
        <v>1.091084957122803</v>
      </c>
      <c r="E16533" s="215" t="n">
        <v>45821</v>
      </c>
      <c r="F16533" s="215" t="n">
        <v>45821</v>
      </c>
    </row>
    <row r="16534">
      <c r="A16534" s="215" t="n">
        <v>45824</v>
      </c>
      <c r="B16534" s="216" t="n">
        <v>31</v>
      </c>
      <c r="C16534" s="216" t="n">
        <v>28.34</v>
      </c>
      <c r="D16534" s="216" t="n">
        <v>1.092895984649658</v>
      </c>
      <c r="E16534" s="215" t="n">
        <v>45824</v>
      </c>
      <c r="F16534" s="215" t="n">
        <v>45824</v>
      </c>
    </row>
    <row r="16535">
      <c r="A16535" s="215" t="n">
        <v>45825</v>
      </c>
      <c r="B16535" s="216" t="n">
        <v>30.05</v>
      </c>
      <c r="C16535" s="216" t="n">
        <v>28.19</v>
      </c>
      <c r="D16535" s="216" t="n">
        <v>1.093256950378418</v>
      </c>
      <c r="E16535" s="215" t="n">
        <v>45825</v>
      </c>
      <c r="F16535" s="215" t="n">
        <v>45825</v>
      </c>
    </row>
    <row r="16536">
      <c r="A16536" s="215" t="n">
        <v>45826</v>
      </c>
      <c r="B16536" s="216" t="n">
        <v>30.55</v>
      </c>
      <c r="C16536" s="216" t="n">
        <v>28.16</v>
      </c>
      <c r="D16536" s="216" t="n">
        <v>1.092421054840088</v>
      </c>
      <c r="E16536" s="215" t="n">
        <v>45826</v>
      </c>
      <c r="F16536" s="215" t="n">
        <v>45826</v>
      </c>
    </row>
    <row r="16537">
      <c r="A16537" s="215" t="n">
        <v>45827</v>
      </c>
      <c r="B16537" s="216" t="n">
        <v>29.3</v>
      </c>
      <c r="C16537" s="216" t="n">
        <v>27.52</v>
      </c>
      <c r="D16537" s="216" t="n">
        <v>1.091722011566162</v>
      </c>
      <c r="E16537" s="215" t="n">
        <v>45827</v>
      </c>
      <c r="F16537" s="215" t="n">
        <v>45827</v>
      </c>
    </row>
    <row r="16538">
      <c r="A16538" s="215" t="n">
        <v>45828</v>
      </c>
      <c r="B16538" s="216" t="n">
        <v>29.8</v>
      </c>
      <c r="C16538" s="216" t="n">
        <v>27</v>
      </c>
      <c r="D16538" s="216" t="n">
        <v>1.091766953468323</v>
      </c>
      <c r="E16538" s="215" t="n">
        <v>45828</v>
      </c>
      <c r="F16538" s="215" t="n">
        <v>45828</v>
      </c>
    </row>
    <row r="16539">
      <c r="A16539" s="215" t="n">
        <v>45831</v>
      </c>
      <c r="B16539" s="216" t="n">
        <v>29.1</v>
      </c>
      <c r="C16539" s="216" t="n">
        <v>26.81</v>
      </c>
      <c r="D16539" s="216" t="n">
        <v>1.091856002807617</v>
      </c>
      <c r="E16539" s="215" t="n">
        <v>45831</v>
      </c>
      <c r="F16539" s="215" t="n">
        <v>45831</v>
      </c>
    </row>
    <row r="16540">
      <c r="A16540" s="215" t="n">
        <v>45832</v>
      </c>
      <c r="B16540" s="216" t="n">
        <v>28.35</v>
      </c>
      <c r="C16540" s="216" t="n">
        <v>25.6</v>
      </c>
      <c r="D16540" s="216" t="n">
        <v>1.093309044837952</v>
      </c>
      <c r="E16540" s="215" t="n">
        <v>45832</v>
      </c>
      <c r="F16540" s="215" t="n">
        <v>45832</v>
      </c>
    </row>
    <row r="16541">
      <c r="A16541" s="215" t="n">
        <v>45833</v>
      </c>
      <c r="B16541" s="216" t="n">
        <v>27.8</v>
      </c>
      <c r="C16541" s="216" t="n">
        <v>25.5</v>
      </c>
      <c r="D16541" s="216" t="n">
        <v>1.094483971595764</v>
      </c>
      <c r="E16541" s="215" t="n">
        <v>45833</v>
      </c>
      <c r="F16541" s="215" t="n">
        <v>45833</v>
      </c>
    </row>
    <row r="16542">
      <c r="A16542" s="215" t="n">
        <v>45834</v>
      </c>
      <c r="B16542" s="216" t="n">
        <v>27.7</v>
      </c>
      <c r="C16542" s="216" t="n">
        <v>25.4</v>
      </c>
      <c r="D16542" s="216" t="n">
        <v>1.093523025512695</v>
      </c>
      <c r="E16542" s="215" t="n">
        <v>45834</v>
      </c>
      <c r="F16542" s="215" t="n">
        <v>45834</v>
      </c>
    </row>
    <row r="16543">
      <c r="A16543" s="215" t="n">
        <v>45835</v>
      </c>
      <c r="B16543" s="216" t="n">
        <v>26.65</v>
      </c>
      <c r="C16543" s="216" t="n">
        <v>24.79</v>
      </c>
      <c r="D16543" s="216" t="n">
        <v>1.095173001289368</v>
      </c>
      <c r="E16543" s="215" t="n">
        <v>45835</v>
      </c>
      <c r="F16543" s="215" t="n">
        <v>45835</v>
      </c>
    </row>
    <row r="16544">
      <c r="A16544" s="215" t="n">
        <v>45838</v>
      </c>
      <c r="B16544" s="216" t="n">
        <v>27.3</v>
      </c>
      <c r="C16544" s="216" t="n">
        <v>24.88</v>
      </c>
      <c r="D16544" s="216" t="n">
        <v>1.094328045845032</v>
      </c>
      <c r="E16544" s="215" t="n">
        <v>45838</v>
      </c>
      <c r="F16544" s="215" t="n">
        <v>45838</v>
      </c>
    </row>
    <row r="16545">
      <c r="A16545" s="215" t="n">
        <v>45840</v>
      </c>
      <c r="B16545" s="216" t="n">
        <v>27</v>
      </c>
      <c r="C16545" s="216" t="n">
        <v>24.8</v>
      </c>
      <c r="D16545" s="216" t="n">
        <v>1.095211982727051</v>
      </c>
      <c r="E16545" s="215" t="n">
        <v>45840</v>
      </c>
      <c r="F16545" s="215" t="n">
        <v>45840</v>
      </c>
    </row>
    <row r="16546">
      <c r="A16546" s="215" t="n">
        <v>45841</v>
      </c>
      <c r="B16546" s="216" t="n">
        <v>26.95</v>
      </c>
      <c r="C16546" s="216" t="n">
        <v>24.9</v>
      </c>
      <c r="D16546" s="216" t="n">
        <v>1.095422029495239</v>
      </c>
      <c r="E16546" s="215" t="n">
        <v>45841</v>
      </c>
      <c r="F16546" s="215" t="n">
        <v>45841</v>
      </c>
    </row>
    <row r="16547">
      <c r="A16547" s="215" t="n">
        <v>45842</v>
      </c>
      <c r="B16547" s="216" t="n">
        <v>25.8</v>
      </c>
      <c r="C16547" s="216" t="n">
        <v>24.38</v>
      </c>
      <c r="D16547" s="216" t="n">
        <v>1.095221042633057</v>
      </c>
      <c r="E16547" s="215" t="n">
        <v>45842</v>
      </c>
      <c r="F16547" s="215" t="n">
        <v>45842</v>
      </c>
    </row>
    <row r="16548">
      <c r="A16548" s="215" t="n">
        <v>45845</v>
      </c>
      <c r="B16548" s="216" t="n">
        <v>24.95</v>
      </c>
      <c r="C16548" s="216" t="n">
        <v>24.13</v>
      </c>
      <c r="D16548" s="216" t="n">
        <v>1.095430970191956</v>
      </c>
      <c r="E16548" s="215" t="n">
        <v>45845</v>
      </c>
      <c r="F16548" s="215" t="n">
        <v>45845</v>
      </c>
    </row>
    <row r="16549">
      <c r="A16549" s="215" t="n">
        <v>45846</v>
      </c>
      <c r="B16549" s="216" t="n">
        <v>25.15</v>
      </c>
      <c r="C16549" s="216" t="n">
        <v>24.33</v>
      </c>
      <c r="D16549" s="216" t="n">
        <v>1.093924999237061</v>
      </c>
      <c r="E16549" s="215" t="n">
        <v>45846</v>
      </c>
      <c r="F16549" s="215" t="n">
        <v>45846</v>
      </c>
    </row>
    <row r="16550">
      <c r="A16550" s="215" t="n">
        <v>45847</v>
      </c>
      <c r="B16550" s="216" t="n">
        <v>24.25</v>
      </c>
      <c r="C16550" s="216" t="n">
        <v>23.85</v>
      </c>
      <c r="D16550" s="216" t="n">
        <v>1.094220995903015</v>
      </c>
      <c r="E16550" s="215" t="n">
        <v>45847</v>
      </c>
      <c r="F16550" s="215" t="n">
        <v>45847</v>
      </c>
    </row>
    <row r="16551">
      <c r="A16551" s="215" t="n">
        <v>45848</v>
      </c>
      <c r="B16551" s="216" t="n">
        <v>24.45</v>
      </c>
      <c r="C16551" s="216" t="n">
        <v>24.02</v>
      </c>
      <c r="D16551" s="216" t="n">
        <v>1.093220949172974</v>
      </c>
      <c r="E16551" s="215" t="n">
        <v>45848</v>
      </c>
      <c r="F16551" s="215" t="n">
        <v>45848</v>
      </c>
    </row>
    <row r="16552">
      <c r="A16552" s="215" t="n">
        <v>45849</v>
      </c>
      <c r="B16552" s="216" t="n">
        <v>25.15</v>
      </c>
      <c r="C16552" s="216" t="n">
        <v>24.29</v>
      </c>
      <c r="D16552" s="216" t="n">
        <v>1.093930959701538</v>
      </c>
      <c r="E16552" s="215" t="n">
        <v>45849</v>
      </c>
      <c r="F16552" s="215" t="n">
        <v>45849</v>
      </c>
    </row>
    <row r="16553">
      <c r="A16553" s="215" t="n">
        <v>45852</v>
      </c>
      <c r="B16553" s="216" t="n">
        <v>25.9</v>
      </c>
      <c r="C16553" s="216" t="n">
        <v>24.51</v>
      </c>
      <c r="D16553" s="216" t="n">
        <v>1.095023989677429</v>
      </c>
      <c r="E16553" s="215" t="n">
        <v>45852</v>
      </c>
      <c r="F16553" s="215" t="n">
        <v>45852</v>
      </c>
    </row>
    <row r="16554">
      <c r="A16554" s="215" t="n">
        <v>45853</v>
      </c>
      <c r="B16554" s="216" t="n">
        <v>25.1</v>
      </c>
      <c r="C16554" s="216" t="n">
        <v>23.98</v>
      </c>
      <c r="D16554" s="216" t="n">
        <v>1.095172047615051</v>
      </c>
      <c r="E16554" s="215" t="n">
        <v>45853</v>
      </c>
      <c r="F16554" s="215" t="n">
        <v>45853</v>
      </c>
    </row>
    <row r="16555">
      <c r="A16555" s="215" t="n">
        <v>45854</v>
      </c>
      <c r="B16555" s="216" t="n">
        <v>24.9</v>
      </c>
      <c r="C16555" s="216" t="n">
        <v>24.14</v>
      </c>
      <c r="D16555" s="216" t="n">
        <v>1.094182014465332</v>
      </c>
      <c r="E16555" s="215" t="n">
        <v>45854</v>
      </c>
      <c r="F16555" s="215" t="n">
        <v>45854</v>
      </c>
    </row>
    <row r="16556">
      <c r="A16556" s="215" t="n">
        <v>45855</v>
      </c>
      <c r="B16556" s="216" t="n">
        <v>24.35</v>
      </c>
      <c r="C16556" s="216" t="n">
        <v>23.66</v>
      </c>
      <c r="D16556" s="216" t="n">
        <v>1.093484044075012</v>
      </c>
      <c r="E16556" s="215" t="n">
        <v>45855</v>
      </c>
      <c r="F16556" s="215" t="n">
        <v>45855</v>
      </c>
    </row>
    <row r="16557">
      <c r="A16557" s="215" t="n">
        <v>45856</v>
      </c>
      <c r="B16557" s="216" t="n">
        <v>24.05</v>
      </c>
      <c r="C16557" s="216" t="n">
        <v>23.75</v>
      </c>
      <c r="D16557" s="216" t="n">
        <v>1.092442035675049</v>
      </c>
      <c r="E16557" s="215" t="n">
        <v>45856</v>
      </c>
      <c r="F16557" s="215" t="n">
        <v>45856</v>
      </c>
    </row>
    <row r="16558">
      <c r="A16558" s="215" t="n">
        <v>45859</v>
      </c>
      <c r="B16558" s="216" t="n">
        <v>24.45</v>
      </c>
      <c r="C16558" s="216" t="n">
        <v>23.91</v>
      </c>
      <c r="D16558" s="216" t="n">
        <v>1.093299984931946</v>
      </c>
      <c r="E16558" s="215" t="n">
        <v>45859</v>
      </c>
      <c r="F16558" s="215" t="n">
        <v>45859</v>
      </c>
    </row>
    <row r="16559">
      <c r="A16559" s="215" t="n">
        <v>45860</v>
      </c>
      <c r="B16559" s="216" t="n">
        <v>25.15</v>
      </c>
      <c r="C16559" s="216" t="n">
        <v>24.39</v>
      </c>
      <c r="D16559" s="216" t="n">
        <v>1.093826055526733</v>
      </c>
      <c r="E16559" s="215" t="n">
        <v>45860</v>
      </c>
      <c r="F16559" s="215" t="n">
        <v>45860</v>
      </c>
    </row>
    <row r="16560">
      <c r="A16560" s="215" t="n">
        <v>45861</v>
      </c>
      <c r="B16560" s="216" t="n">
        <v>24.9</v>
      </c>
      <c r="C16560" s="216" t="n">
        <v>24.25</v>
      </c>
      <c r="D16560" s="216" t="n">
        <v>1.094056010246277</v>
      </c>
      <c r="E16560" s="215" t="n">
        <v>45861</v>
      </c>
      <c r="F16560" s="215" t="n">
        <v>45861</v>
      </c>
    </row>
    <row r="16561">
      <c r="A16561" s="215" t="n">
        <v>45862</v>
      </c>
      <c r="B16561" s="216" t="n">
        <v>24.4</v>
      </c>
      <c r="C16561" s="216" t="n">
        <v>24.05</v>
      </c>
      <c r="D16561" s="216" t="n">
        <v>1.096284031867981</v>
      </c>
      <c r="E16561" s="215" t="n">
        <v>45862</v>
      </c>
      <c r="F16561" s="215" t="n">
        <v>45862</v>
      </c>
    </row>
    <row r="16562">
      <c r="A16562" s="215" t="n">
        <v>45863</v>
      </c>
      <c r="B16562" s="216" t="n">
        <v>24.2</v>
      </c>
      <c r="C16562" s="216" t="n">
        <v>23.75</v>
      </c>
      <c r="D16562" s="216" t="n">
        <v>1.097048044204712</v>
      </c>
      <c r="E16562" s="215" t="n">
        <v>45863</v>
      </c>
      <c r="F16562" s="215" t="n">
        <v>45863</v>
      </c>
    </row>
    <row r="16563">
      <c r="A16563" s="215" t="n">
        <v>45866</v>
      </c>
      <c r="B16563" s="216" t="n">
        <v>23.85</v>
      </c>
      <c r="C16563" s="216" t="n">
        <v>23.38</v>
      </c>
      <c r="D16563" s="216" t="n">
        <v>1.097200989723206</v>
      </c>
      <c r="E16563" s="215" t="n">
        <v>45866</v>
      </c>
      <c r="F16563" s="215" t="n">
        <v>45866</v>
      </c>
    </row>
    <row r="16564">
      <c r="A16564" s="215" t="n">
        <v>45867</v>
      </c>
      <c r="B16564" s="216" t="n">
        <v>23.75</v>
      </c>
      <c r="C16564" s="216" t="n">
        <v>23.31</v>
      </c>
      <c r="D16564" s="216" t="n">
        <v>1.093530058860779</v>
      </c>
      <c r="E16564" s="215" t="n">
        <v>45867</v>
      </c>
      <c r="F16564" s="215" t="n">
        <v>45867</v>
      </c>
    </row>
    <row r="16565">
      <c r="A16565" s="215" t="n">
        <v>45868</v>
      </c>
      <c r="B16565" s="216" t="n">
        <v>23.65</v>
      </c>
      <c r="C16565" s="216" t="n">
        <v>23.25</v>
      </c>
      <c r="D16565" s="216" t="n">
        <v>1.093464970588684</v>
      </c>
      <c r="E16565" s="215" t="n">
        <v>45868</v>
      </c>
      <c r="F16565" s="215" t="n">
        <v>45868</v>
      </c>
    </row>
    <row r="16566">
      <c r="A16566" s="215" t="n">
        <v>45869</v>
      </c>
      <c r="B16566" s="216" t="n">
        <v>23.3</v>
      </c>
      <c r="C16566" s="216" t="n">
        <v>22.89</v>
      </c>
      <c r="D16566" s="216" t="n">
        <v>1.093583941459656</v>
      </c>
      <c r="E16566" s="215" t="n">
        <v>45869</v>
      </c>
      <c r="F16566" s="215" t="n">
        <v>45869</v>
      </c>
    </row>
    <row r="16567">
      <c r="A16567" s="215" t="n">
        <v>45870</v>
      </c>
      <c r="B16567" s="216" t="n">
        <v>23.05</v>
      </c>
      <c r="C16567" s="216" t="n">
        <v>22.85</v>
      </c>
      <c r="D16567" s="216" t="n">
        <v>1.090090990066528</v>
      </c>
      <c r="E16567" s="215" t="n">
        <v>45870</v>
      </c>
      <c r="F16567" s="215" t="n">
        <v>45870</v>
      </c>
    </row>
    <row r="16568">
      <c r="A16568" s="215" t="n">
        <v>45873</v>
      </c>
      <c r="B16568" s="216" t="n">
        <v>25.1</v>
      </c>
      <c r="C16568" s="216" t="n">
        <v>24.55</v>
      </c>
      <c r="D16568" s="216" t="n">
        <v>1.088384985923767</v>
      </c>
      <c r="E16568" s="215" t="n">
        <v>45873</v>
      </c>
      <c r="F16568" s="215" t="n">
        <v>45873</v>
      </c>
    </row>
    <row r="16569">
      <c r="A16569" s="215" t="n">
        <v>45874</v>
      </c>
      <c r="B16569" s="216" t="n">
        <v>25.16</v>
      </c>
      <c r="C16569" s="216" t="n">
        <v>24.64</v>
      </c>
      <c r="D16569" s="216" t="n">
        <v>1.093202948570251</v>
      </c>
      <c r="E16569" s="215" t="n">
        <v>45874</v>
      </c>
      <c r="F16569" s="215" t="n">
        <v>45874</v>
      </c>
    </row>
    <row r="16570">
      <c r="A16570" s="215" t="n">
        <v>45875</v>
      </c>
      <c r="B16570" s="216" t="n">
        <v>25.02</v>
      </c>
      <c r="C16570" s="216" t="n">
        <v>24.74</v>
      </c>
      <c r="D16570" s="216" t="n">
        <v>1.092388987541199</v>
      </c>
      <c r="E16570" s="215" t="n">
        <v>45875</v>
      </c>
      <c r="F16570" s="215" t="n">
        <v>45875</v>
      </c>
    </row>
    <row r="16571">
      <c r="A16571" s="215" t="n">
        <v>45876</v>
      </c>
      <c r="B16571" s="216" t="n">
        <v>26.5</v>
      </c>
      <c r="C16571" s="216" t="n">
        <v>25.55</v>
      </c>
      <c r="D16571" s="216" t="n">
        <v>1.092599034309387</v>
      </c>
      <c r="E16571" s="215" t="n">
        <v>45876</v>
      </c>
      <c r="F16571" s="215" t="n">
        <v>45876</v>
      </c>
    </row>
    <row r="16572">
      <c r="A16572" s="215" t="n">
        <v>45877</v>
      </c>
      <c r="B16572" s="216" t="n">
        <v>26.84</v>
      </c>
      <c r="C16572" s="216" t="n">
        <v>25.9</v>
      </c>
      <c r="D16572" s="216" t="n">
        <v>1.092857956886292</v>
      </c>
      <c r="E16572" s="215" t="n">
        <v>45877</v>
      </c>
      <c r="F16572" s="215" t="n">
        <v>45877</v>
      </c>
    </row>
    <row r="16573">
      <c r="A16573" s="215" t="n">
        <v>45880</v>
      </c>
      <c r="B16573" s="216" t="n">
        <v>25</v>
      </c>
      <c r="C16573" s="216" t="n">
        <v>24.52</v>
      </c>
      <c r="D16573" s="216" t="n">
        <v>1.093001961708069</v>
      </c>
      <c r="E16573" s="215" t="n">
        <v>45880</v>
      </c>
      <c r="F16573" s="215" t="n">
        <v>45880</v>
      </c>
    </row>
    <row r="16574">
      <c r="A16574" s="215" t="n">
        <v>45881</v>
      </c>
      <c r="B16574" s="216" t="n">
        <v>25.44</v>
      </c>
      <c r="C16574" s="216" t="n">
        <v>24.58</v>
      </c>
      <c r="D16574" s="216" t="n">
        <v>1.091938018798828</v>
      </c>
      <c r="E16574" s="215" t="n">
        <v>45881</v>
      </c>
      <c r="F16574" s="215" t="n">
        <v>45881</v>
      </c>
    </row>
    <row r="16575">
      <c r="A16575" s="215" t="n">
        <v>45882</v>
      </c>
      <c r="B16575" s="216" t="n">
        <v>25.7</v>
      </c>
      <c r="C16575" s="216" t="n">
        <v>24.94</v>
      </c>
      <c r="D16575" s="216" t="n">
        <v>1.093171000480652</v>
      </c>
      <c r="E16575" s="215" t="n">
        <v>45882</v>
      </c>
      <c r="F16575" s="215" t="n">
        <v>45882</v>
      </c>
    </row>
    <row r="16576">
      <c r="A16576" s="215" t="n">
        <v>45883</v>
      </c>
      <c r="B16576" s="216" t="n">
        <v>25.6</v>
      </c>
      <c r="C16576" s="216" t="n">
        <v>24.64</v>
      </c>
      <c r="D16576" s="216" t="n">
        <v>1.093981027603149</v>
      </c>
      <c r="E16576" s="215" t="n">
        <v>45883</v>
      </c>
      <c r="F16576" s="215" t="n">
        <v>45883</v>
      </c>
    </row>
    <row r="16577">
      <c r="A16577" s="215" t="n">
        <v>45884</v>
      </c>
      <c r="B16577" s="216" t="n">
        <v>25.44</v>
      </c>
      <c r="C16577" s="216" t="n">
        <v>24.58</v>
      </c>
      <c r="D16577" s="216" t="n">
        <v>1.091035962104797</v>
      </c>
      <c r="E16577" s="215" t="n">
        <v>45884</v>
      </c>
      <c r="F16577" s="215" t="n">
        <v>45884</v>
      </c>
    </row>
    <row r="16578">
      <c r="A16578" s="215" t="n">
        <v>45887</v>
      </c>
      <c r="B16578" s="216" t="n">
        <v>24.8</v>
      </c>
      <c r="C16578" s="216" t="n">
        <v>24.43</v>
      </c>
      <c r="D16578" s="216" t="n">
        <v>1.089409947395325</v>
      </c>
      <c r="E16578" s="215" t="n">
        <v>45887</v>
      </c>
      <c r="F16578" s="215" t="n">
        <v>45887</v>
      </c>
    </row>
    <row r="16579">
      <c r="A16579" s="215" t="n">
        <v>45888</v>
      </c>
      <c r="B16579" s="216" t="n">
        <v>24.02</v>
      </c>
      <c r="C16579" s="216" t="n">
        <v>24.19</v>
      </c>
      <c r="D16579" s="216" t="n">
        <v>1.088366031646729</v>
      </c>
      <c r="E16579" s="215" t="n">
        <v>45888</v>
      </c>
      <c r="F16579" s="215" t="n">
        <v>45888</v>
      </c>
    </row>
    <row r="16580">
      <c r="A16580" s="215" t="n">
        <v>45889</v>
      </c>
      <c r="B16580" s="216" t="n">
        <v>24.36</v>
      </c>
      <c r="C16580" s="216" t="n">
        <v>24.38</v>
      </c>
      <c r="D16580" s="216" t="n">
        <v>1.085826992988586</v>
      </c>
      <c r="E16580" s="215" t="n">
        <v>45889</v>
      </c>
      <c r="F16580" s="215" t="n">
        <v>45889</v>
      </c>
    </row>
    <row r="16581">
      <c r="A16581" s="215" t="n">
        <v>45890</v>
      </c>
      <c r="B16581" s="216" t="n">
        <v>24.3</v>
      </c>
      <c r="C16581" s="216" t="n">
        <v>24.23</v>
      </c>
      <c r="D16581" s="216" t="n">
        <v>1.088521003723145</v>
      </c>
      <c r="E16581" s="215" t="n">
        <v>45890</v>
      </c>
      <c r="F16581" s="215" t="n">
        <v>45890</v>
      </c>
    </row>
    <row r="16582">
      <c r="A16582" s="215" t="n">
        <v>45891</v>
      </c>
      <c r="B16582" s="216" t="n">
        <v>24.12</v>
      </c>
      <c r="C16582" s="216" t="n">
        <v>24.32</v>
      </c>
      <c r="D16582" s="216" t="n">
        <v>1.08814001083374</v>
      </c>
      <c r="E16582" s="215" t="n">
        <v>45891</v>
      </c>
      <c r="F16582" s="215" t="n">
        <v>45891</v>
      </c>
    </row>
    <row r="16583">
      <c r="A16583" s="215" t="n">
        <v>45894</v>
      </c>
      <c r="B16583" s="216" t="n">
        <v>24.84</v>
      </c>
      <c r="C16583" s="216" t="n">
        <v>25.3</v>
      </c>
      <c r="D16583" s="216" t="n">
        <v>1.090230941772461</v>
      </c>
      <c r="E16583" s="215" t="n">
        <v>45894</v>
      </c>
      <c r="F16583" s="215" t="n">
        <v>45894</v>
      </c>
    </row>
    <row r="16584">
      <c r="A16584" s="215" t="n">
        <v>45895</v>
      </c>
      <c r="B16584" s="216" t="n">
        <v>24.92</v>
      </c>
      <c r="C16584" s="216" t="n">
        <v>25.57</v>
      </c>
      <c r="D16584" s="216" t="n">
        <v>1.09236204624176</v>
      </c>
      <c r="E16584" s="215" t="n">
        <v>45895</v>
      </c>
      <c r="F16584" s="215" t="n">
        <v>45895</v>
      </c>
    </row>
    <row r="16585">
      <c r="A16585" s="215" t="n">
        <v>45896</v>
      </c>
      <c r="B16585" s="216" t="n">
        <v>24.28</v>
      </c>
      <c r="C16585" s="216" t="n">
        <v>24.81</v>
      </c>
      <c r="D16585" s="216" t="n">
        <v>1.089414000511169</v>
      </c>
      <c r="E16585" s="215" t="n">
        <v>45896</v>
      </c>
      <c r="F16585" s="215" t="n">
        <v>45896</v>
      </c>
    </row>
    <row r="16586">
      <c r="A16586" s="215" t="n">
        <v>45897</v>
      </c>
      <c r="B16586" s="216" t="n">
        <v>24.68</v>
      </c>
      <c r="C16586" s="216" t="n">
        <v>25.08</v>
      </c>
      <c r="D16586" s="216" t="n">
        <v>1.088047027587891</v>
      </c>
      <c r="E16586" s="215" t="n">
        <v>45897</v>
      </c>
      <c r="F16586" s="215" t="n">
        <v>45897</v>
      </c>
    </row>
    <row r="16587">
      <c r="A16587" s="215" t="n">
        <v>45898</v>
      </c>
      <c r="B16587" s="216" t="n">
        <v>26.12</v>
      </c>
      <c r="C16587" s="216" t="n">
        <v>25.97</v>
      </c>
      <c r="D16587" s="216" t="n">
        <v>1.089478969573975</v>
      </c>
      <c r="E16587" s="215" t="n">
        <v>45898</v>
      </c>
      <c r="F16587" s="215" t="n">
        <v>45898</v>
      </c>
    </row>
    <row r="16588">
      <c r="A16588" s="215" t="n">
        <v>45901</v>
      </c>
      <c r="B16588" s="216" t="n">
        <v>27.98</v>
      </c>
      <c r="C16588" s="216" t="n">
        <v>28.05</v>
      </c>
      <c r="D16588" s="216" t="n">
        <v>1.09319794178009</v>
      </c>
      <c r="E16588" s="215" t="n">
        <v>45901</v>
      </c>
      <c r="F16588" s="215" t="n">
        <v>45901</v>
      </c>
    </row>
    <row r="16589">
      <c r="A16589" s="215" t="n">
        <v>45902</v>
      </c>
      <c r="B16589" s="216" t="n">
        <v>27.98</v>
      </c>
      <c r="C16589" s="216" t="n">
        <v>27.81</v>
      </c>
      <c r="D16589" s="216" t="n">
        <v>1.093255043029785</v>
      </c>
      <c r="E16589" s="215" t="n">
        <v>45902</v>
      </c>
      <c r="F16589" s="215" t="n">
        <v>45902</v>
      </c>
    </row>
    <row r="16590">
      <c r="A16590" s="215" t="n">
        <v>45903</v>
      </c>
      <c r="B16590" s="216" t="n">
        <v>28.5</v>
      </c>
      <c r="C16590" s="216" t="n">
        <v>28.02</v>
      </c>
      <c r="D16590" s="216" t="n">
        <v>1.09343695640564</v>
      </c>
      <c r="E16590" s="215" t="n">
        <v>45903</v>
      </c>
      <c r="F16590" s="215" t="n">
        <v>45903</v>
      </c>
    </row>
    <row r="16591">
      <c r="A16591" s="215" t="n">
        <v>45904</v>
      </c>
      <c r="B16591" s="216" t="n">
        <v>27.12</v>
      </c>
      <c r="C16591" s="216" t="n">
        <v>26.56</v>
      </c>
      <c r="D16591" s="216" t="n">
        <v>1.092192053794861</v>
      </c>
      <c r="E16591" s="215" t="n">
        <v>45904</v>
      </c>
      <c r="F16591" s="215" t="n">
        <v>45904</v>
      </c>
    </row>
    <row r="16592">
      <c r="A16592" s="215" t="n">
        <v>45905</v>
      </c>
      <c r="B16592" s="216" t="n">
        <v>28.28</v>
      </c>
      <c r="C16592" s="216" t="n">
        <v>27.85</v>
      </c>
      <c r="D16592" s="216" t="n">
        <v>1.092169046401978</v>
      </c>
      <c r="E16592" s="215" t="n">
        <v>45905</v>
      </c>
      <c r="F16592" s="215" t="n">
        <v>45905</v>
      </c>
    </row>
    <row r="16593">
      <c r="A16593" s="215" t="n">
        <v>45908</v>
      </c>
      <c r="B16593" s="216" t="n">
        <v>29.96</v>
      </c>
      <c r="C16593" s="216" t="n">
        <v>28</v>
      </c>
      <c r="D16593" s="216" t="n">
        <v>1.093217015266418</v>
      </c>
      <c r="E16593" s="215" t="n">
        <v>45908</v>
      </c>
      <c r="F16593" s="215" t="n">
        <v>45908</v>
      </c>
    </row>
    <row r="16594">
      <c r="A16594" s="215" t="n">
        <v>45909</v>
      </c>
      <c r="B16594" s="216" t="n">
        <v>33.42</v>
      </c>
      <c r="C16594" s="216" t="n">
        <v>30.8</v>
      </c>
      <c r="D16594" s="216" t="n">
        <v>1.092916965484619</v>
      </c>
      <c r="E16594" s="215" t="n">
        <v>45909</v>
      </c>
      <c r="F16594" s="215" t="n">
        <v>45909</v>
      </c>
    </row>
    <row r="16595">
      <c r="A16595" s="215" t="n">
        <v>45910</v>
      </c>
      <c r="B16595" s="216" t="n">
        <v>33.38</v>
      </c>
      <c r="C16595" s="216" t="n">
        <v>30.25</v>
      </c>
      <c r="D16595" s="216" t="n">
        <v>1.093482971191406</v>
      </c>
      <c r="E16595" s="215" t="n">
        <v>45910</v>
      </c>
      <c r="F16595" s="215" t="n">
        <v>45910</v>
      </c>
    </row>
    <row r="16596">
      <c r="A16596" s="215" t="n">
        <v>45911</v>
      </c>
      <c r="B16596" s="216" t="n">
        <v>32.76</v>
      </c>
      <c r="C16596" s="216" t="n">
        <v>29.77</v>
      </c>
      <c r="D16596" s="216" t="n">
        <v>1.093762993812561</v>
      </c>
      <c r="E16596" s="215" t="n">
        <v>45911</v>
      </c>
      <c r="F16596" s="215" t="n">
        <v>45911</v>
      </c>
    </row>
    <row r="16597">
      <c r="A16597" s="215" t="n">
        <v>45912</v>
      </c>
      <c r="B16597" s="216" t="n">
        <v>32.66</v>
      </c>
      <c r="C16597" s="216" t="n">
        <v>29.75</v>
      </c>
      <c r="D16597" s="216" t="n">
        <v>1.094014048576355</v>
      </c>
      <c r="E16597" s="215" t="n">
        <v>45912</v>
      </c>
      <c r="F16597" s="215" t="n">
        <v>45912</v>
      </c>
    </row>
    <row r="16598">
      <c r="A16598" s="215" t="n">
        <v>45915</v>
      </c>
      <c r="B16598" s="216" t="n">
        <v>31.04</v>
      </c>
      <c r="C16598" s="216" t="n">
        <v>29.3</v>
      </c>
      <c r="D16598" s="216" t="n">
        <v>1.091848969459534</v>
      </c>
      <c r="E16598" s="215" t="n">
        <v>45915</v>
      </c>
      <c r="F16598" s="215" t="n">
        <v>45915</v>
      </c>
    </row>
    <row r="16599">
      <c r="A16599" s="215" t="n">
        <v>45916</v>
      </c>
      <c r="B16599" s="216" t="n">
        <v>30.84</v>
      </c>
      <c r="C16599" s="216" t="n">
        <v>29.58</v>
      </c>
      <c r="D16599" s="216" t="n">
        <v>1.092795968055725</v>
      </c>
      <c r="E16599" s="215" t="n">
        <v>45916</v>
      </c>
      <c r="F16599" s="215" t="n">
        <v>45916</v>
      </c>
    </row>
    <row r="16600">
      <c r="A16600" s="215" t="n">
        <v>45917</v>
      </c>
      <c r="B16600" s="216" t="n">
        <v>29.44</v>
      </c>
      <c r="C16600" s="216" t="n">
        <v>28.5</v>
      </c>
      <c r="D16600" s="216" t="n">
        <v>1.093690991401672</v>
      </c>
      <c r="E16600" s="215" t="n">
        <v>45917</v>
      </c>
      <c r="F16600" s="215" t="n">
        <v>45917</v>
      </c>
    </row>
    <row r="16601">
      <c r="A16601" s="215" t="n">
        <v>45918</v>
      </c>
      <c r="B16601" s="216" t="n">
        <v>28.34</v>
      </c>
      <c r="C16601" s="216" t="n">
        <v>27.4</v>
      </c>
      <c r="D16601" s="216" t="n">
        <v>1.094727993011475</v>
      </c>
      <c r="E16601" s="215" t="n">
        <v>45918</v>
      </c>
      <c r="F16601" s="215" t="n">
        <v>45918</v>
      </c>
    </row>
    <row r="16602">
      <c r="A16602" s="215" t="n">
        <v>45919</v>
      </c>
      <c r="B16602" s="216" t="n">
        <v>29.24</v>
      </c>
      <c r="C16602" s="216" t="n">
        <v>27.6</v>
      </c>
      <c r="D16602" s="216" t="n">
        <v>1.093201994895935</v>
      </c>
      <c r="E16602" s="215" t="n">
        <v>45919</v>
      </c>
      <c r="F16602" s="215" t="n">
        <v>45919</v>
      </c>
    </row>
    <row r="16603">
      <c r="A16603" s="215" t="n">
        <v>45922</v>
      </c>
      <c r="B16603" s="216" t="n">
        <v>30.52</v>
      </c>
      <c r="C16603" s="216" t="n">
        <v>28.8</v>
      </c>
      <c r="D16603" s="216" t="n">
        <v>1.092589020729065</v>
      </c>
      <c r="E16603" s="215" t="n">
        <v>45922</v>
      </c>
      <c r="F16603" s="215" t="n">
        <v>45922</v>
      </c>
    </row>
    <row r="16604">
      <c r="A16604" s="215" t="n">
        <v>45923</v>
      </c>
      <c r="B16604" s="216" t="n">
        <v>30.74</v>
      </c>
      <c r="C16604" s="216" t="n">
        <v>28.95</v>
      </c>
      <c r="D16604" s="216" t="n">
        <v>1.0920250415802</v>
      </c>
      <c r="E16604" s="215" t="n">
        <v>45923</v>
      </c>
      <c r="F16604" s="215" t="n">
        <v>45923</v>
      </c>
    </row>
    <row r="16605">
      <c r="A16605" s="215" t="n">
        <v>45924</v>
      </c>
      <c r="B16605" s="216" t="n">
        <v>30.36</v>
      </c>
      <c r="C16605" s="216" t="n">
        <v>29.19</v>
      </c>
      <c r="D16605" s="216" t="n">
        <v>1.093196988105774</v>
      </c>
      <c r="E16605" s="215" t="n">
        <v>45924</v>
      </c>
      <c r="F16605" s="215" t="n">
        <v>45924</v>
      </c>
    </row>
    <row r="16606">
      <c r="A16606" s="215" t="n">
        <v>45925</v>
      </c>
      <c r="B16606" s="216" t="n">
        <v>29.46</v>
      </c>
      <c r="C16606" s="216" t="n">
        <v>28.23</v>
      </c>
      <c r="D16606" s="216" t="n">
        <v>1.090371012687683</v>
      </c>
      <c r="E16606" s="215" t="n">
        <v>45925</v>
      </c>
      <c r="F16606" s="215" t="n">
        <v>45925</v>
      </c>
    </row>
    <row r="16607">
      <c r="A16607" s="215" t="n">
        <v>45926</v>
      </c>
      <c r="B16607" s="216" t="n">
        <v>29.3</v>
      </c>
      <c r="C16607" s="216" t="n">
        <v>28.1</v>
      </c>
      <c r="D16607" s="216" t="n">
        <v>1.090574979782104</v>
      </c>
      <c r="E16607" s="215" t="n">
        <v>45926</v>
      </c>
      <c r="F16607" s="215" t="n">
        <v>45926</v>
      </c>
    </row>
    <row r="16608">
      <c r="A16608" s="215" t="n">
        <v>45929</v>
      </c>
      <c r="B16608" s="216" t="n">
        <v>30.4</v>
      </c>
      <c r="C16608" s="216" t="n">
        <v>29</v>
      </c>
      <c r="D16608" s="216" t="n">
        <v>1.090520024299622</v>
      </c>
      <c r="E16608" s="215" t="n">
        <v>45929</v>
      </c>
      <c r="F16608" s="215" t="n">
        <v>45929</v>
      </c>
    </row>
    <row r="16609">
      <c r="A16609" s="215" t="n">
        <v>45930</v>
      </c>
      <c r="B16609" s="216" t="n">
        <v>30.42</v>
      </c>
      <c r="C16609" s="216" t="n">
        <v>29.58</v>
      </c>
      <c r="D16609" s="216" t="n">
        <v>1.093106031417847</v>
      </c>
      <c r="E16609" s="215" t="n">
        <v>45930</v>
      </c>
      <c r="F16609" s="215" t="n">
        <v>45930</v>
      </c>
    </row>
    <row r="16610">
      <c r="A16610" s="215" t="n">
        <v>45932</v>
      </c>
      <c r="B16610" s="216" t="n">
        <v>32.52</v>
      </c>
      <c r="C16610" s="216" t="n">
        <v>29.58</v>
      </c>
      <c r="D16610" s="216" t="n">
        <v>1.092823028564453</v>
      </c>
      <c r="E16610" s="215" t="n">
        <v>45930</v>
      </c>
      <c r="F16610" s="215" t="n">
        <v>45932</v>
      </c>
    </row>
    <row r="16611">
      <c r="A16611" s="215" t="n">
        <v>45933</v>
      </c>
      <c r="B16611" s="216" t="n">
        <v>31.64</v>
      </c>
      <c r="C16611" s="216" t="n">
        <v>29.58</v>
      </c>
      <c r="D16611" s="216" t="n">
        <v>1.09303605556488</v>
      </c>
      <c r="E16611" s="215" t="n">
        <v>45930</v>
      </c>
      <c r="F16611" s="215" t="n">
        <v>45933</v>
      </c>
    </row>
    <row r="16612">
      <c r="A16612" s="215" t="n">
        <v>45936</v>
      </c>
      <c r="B16612" s="216" t="n">
        <v>33.18</v>
      </c>
      <c r="C16612" s="216" t="n">
        <v>29.58</v>
      </c>
      <c r="D16612" s="216" t="n">
        <v>1.092857956886292</v>
      </c>
      <c r="E16612" s="215" t="n">
        <v>45930</v>
      </c>
      <c r="F16612" s="215" t="n">
        <v>45936</v>
      </c>
    </row>
    <row r="16613">
      <c r="A16613" s="215" t="n">
        <v>45938</v>
      </c>
      <c r="B16613" s="216" t="n">
        <v>37.58</v>
      </c>
      <c r="C16613" s="216" t="n">
        <v>29.58</v>
      </c>
      <c r="D16613" s="216" t="n">
        <v>1.093148946762085</v>
      </c>
      <c r="E16613" s="215" t="n">
        <v>45930</v>
      </c>
      <c r="F16613" s="215" t="n">
        <v>45938</v>
      </c>
    </row>
    <row r="16614">
      <c r="A16614" s="215" t="n">
        <v>45939</v>
      </c>
      <c r="B16614" s="216" t="n">
        <v>35.18</v>
      </c>
      <c r="C16614" s="216" t="n">
        <v>32.1</v>
      </c>
      <c r="D16614" s="216" t="n">
        <v>1.092933058738708</v>
      </c>
      <c r="E16614" s="215" t="n">
        <v>45939</v>
      </c>
      <c r="F16614" s="215" t="n">
        <v>45939</v>
      </c>
    </row>
    <row r="16615">
      <c r="A16615" s="215" t="n">
        <v>45940</v>
      </c>
      <c r="B16615" s="216" t="n">
        <v>32.56</v>
      </c>
      <c r="C16615" s="216" t="n">
        <v>29.86</v>
      </c>
      <c r="D16615" s="216" t="n">
        <v>1.091662049293518</v>
      </c>
      <c r="E16615" s="215" t="n">
        <v>45940</v>
      </c>
      <c r="F16615" s="215" t="n">
        <v>45940</v>
      </c>
    </row>
    <row r="16616">
      <c r="A16616" s="215" t="n">
        <v>45943</v>
      </c>
      <c r="B16616" s="216" t="n">
        <v>35.6</v>
      </c>
      <c r="C16616" s="216" t="n">
        <v>32.1</v>
      </c>
      <c r="D16616" s="216" t="n">
        <v>1.093768000602722</v>
      </c>
      <c r="E16616" s="215" t="n">
        <v>45943</v>
      </c>
      <c r="F16616" s="215" t="n">
        <v>45943</v>
      </c>
    </row>
    <row r="16617">
      <c r="A16617" s="215" t="n">
        <v>45944</v>
      </c>
      <c r="B16617" s="216" t="n">
        <v>33.18</v>
      </c>
      <c r="C16617" s="216" t="n">
        <v>30.58</v>
      </c>
      <c r="D16617" s="216" t="n">
        <v>1.093292951583862</v>
      </c>
      <c r="E16617" s="215" t="n">
        <v>45944</v>
      </c>
      <c r="F16617" s="215" t="n">
        <v>45944</v>
      </c>
    </row>
    <row r="16618">
      <c r="A16618" s="215" t="n">
        <v>45945</v>
      </c>
      <c r="B16618" s="216" t="n">
        <v>33.82</v>
      </c>
      <c r="C16618" s="216" t="n">
        <v>31.55</v>
      </c>
      <c r="D16618" s="216" t="n">
        <v>1.088750958442688</v>
      </c>
      <c r="E16618" s="215" t="n">
        <v>45945</v>
      </c>
      <c r="F16618" s="215" t="n">
        <v>45945</v>
      </c>
    </row>
    <row r="16619">
      <c r="A16619" s="215" t="n">
        <v>45946</v>
      </c>
      <c r="B16619" s="216" t="n">
        <v>32.64</v>
      </c>
      <c r="C16619" s="216" t="n">
        <v>31.13</v>
      </c>
      <c r="D16619" s="216" t="n">
        <v>1.090903043746948</v>
      </c>
      <c r="E16619" s="215" t="n">
        <v>45946</v>
      </c>
      <c r="F16619" s="215" t="n">
        <v>45946</v>
      </c>
    </row>
    <row r="16620">
      <c r="A16620" s="215" t="n">
        <v>45947</v>
      </c>
      <c r="B16620" s="216" t="n">
        <v>31.72</v>
      </c>
      <c r="C16620" s="216" t="n">
        <v>31</v>
      </c>
      <c r="D16620" s="216" t="n">
        <v>1.09073805809021</v>
      </c>
      <c r="E16620" s="215" t="n">
        <v>45947</v>
      </c>
      <c r="F16620" s="215" t="n">
        <v>45947</v>
      </c>
    </row>
    <row r="16621">
      <c r="A16621" s="215" t="n">
        <v>45950</v>
      </c>
      <c r="B16621" s="216" t="n">
        <v>29.76</v>
      </c>
      <c r="C16621" s="216" t="n">
        <v>28.88</v>
      </c>
      <c r="D16621" s="216" t="n">
        <v>1.089843988418579</v>
      </c>
      <c r="E16621" s="215" t="n">
        <v>45950</v>
      </c>
      <c r="F16621" s="215" t="n">
        <v>45950</v>
      </c>
    </row>
    <row r="16622">
      <c r="A16622" s="215" t="n">
        <v>45951</v>
      </c>
      <c r="B16622" s="216" t="n">
        <v>29.38</v>
      </c>
      <c r="C16622" s="216" t="n">
        <v>29.47</v>
      </c>
      <c r="D16622" s="216" t="n">
        <v>1.091038942337036</v>
      </c>
      <c r="E16622" s="215" t="n">
        <v>45951</v>
      </c>
      <c r="F16622" s="215" t="n">
        <v>45951</v>
      </c>
    </row>
    <row r="16623">
      <c r="A16623" s="215" t="n">
        <v>45952</v>
      </c>
      <c r="B16623" s="216" t="n">
        <v>28.52</v>
      </c>
      <c r="C16623" s="216" t="n">
        <v>28.47</v>
      </c>
      <c r="D16623" s="216" t="n">
        <v>1.091071009635925</v>
      </c>
      <c r="E16623" s="215" t="n">
        <v>45952</v>
      </c>
      <c r="F16623" s="215" t="n">
        <v>45952</v>
      </c>
    </row>
    <row r="16624">
      <c r="A16624" s="215" t="n">
        <v>45953</v>
      </c>
      <c r="B16624" s="216" t="n">
        <v>29.02</v>
      </c>
      <c r="C16624" s="216" t="n">
        <v>28.78</v>
      </c>
      <c r="D16624" s="216" t="n">
        <v>1.090343952178955</v>
      </c>
      <c r="E16624" s="215" t="n">
        <v>45953</v>
      </c>
      <c r="F16624" s="215" t="n">
        <v>45953</v>
      </c>
    </row>
    <row r="16625">
      <c r="A16625" s="215" t="n">
        <v>45954</v>
      </c>
      <c r="B16625" s="216" t="n">
        <v>29.2</v>
      </c>
      <c r="C16625" s="216" t="n">
        <v>28.88</v>
      </c>
      <c r="D16625" s="216" t="n">
        <v>1.090456962585449</v>
      </c>
      <c r="E16625" s="215" t="n">
        <v>45954</v>
      </c>
      <c r="F16625" s="215" t="n">
        <v>45954</v>
      </c>
    </row>
    <row r="16626">
      <c r="A16626" s="215" t="n">
        <v>45957</v>
      </c>
      <c r="B16626" s="216" t="n">
        <v>29.38</v>
      </c>
      <c r="C16626" s="216" t="n">
        <v>29.76</v>
      </c>
      <c r="D16626" s="216" t="n">
        <v>1.090957045555115</v>
      </c>
      <c r="E16626" s="215" t="n">
        <v>45957</v>
      </c>
      <c r="F16626" s="215" t="n">
        <v>45957</v>
      </c>
    </row>
    <row r="16627">
      <c r="A16627" s="215" t="n">
        <v>45958</v>
      </c>
      <c r="B16627" s="216" t="n">
        <v>27.6</v>
      </c>
      <c r="C16627" s="216" t="n">
        <v>28.48</v>
      </c>
      <c r="D16627" s="216" t="n">
        <v>1.092440009117126</v>
      </c>
      <c r="E16627" s="215" t="n">
        <v>45958</v>
      </c>
      <c r="F16627" s="215" t="n">
        <v>45958</v>
      </c>
    </row>
    <row r="16628">
      <c r="A16628" s="215" t="n">
        <v>45960</v>
      </c>
      <c r="B16628" s="216" t="n">
        <v>28.88</v>
      </c>
      <c r="C16628" s="216" t="n">
        <v>29.66</v>
      </c>
      <c r="D16628" s="216" t="n">
        <v>1.09463894367218</v>
      </c>
      <c r="E16628" s="215" t="n">
        <v>45960</v>
      </c>
      <c r="F16628" s="215" t="n">
        <v>45960</v>
      </c>
    </row>
    <row r="16629">
      <c r="A16629" s="215" t="n">
        <v>45961</v>
      </c>
      <c r="B16629" s="216" t="n">
        <v>28.8</v>
      </c>
      <c r="C16629" s="216" t="n">
        <v>29.79</v>
      </c>
      <c r="D16629" s="216" t="n">
        <v>1.092543959617615</v>
      </c>
      <c r="E16629" s="215" t="n">
        <v>45961</v>
      </c>
      <c r="F16629" s="215" t="n">
        <v>45961</v>
      </c>
    </row>
    <row r="16630">
      <c r="A16630" s="215" t="n">
        <v>45964</v>
      </c>
      <c r="B16630" s="216" t="n">
        <v>29.06</v>
      </c>
      <c r="C16630" s="216" t="n">
        <v>29.92</v>
      </c>
      <c r="D16630" s="216" t="n">
        <v>1.091722965240479</v>
      </c>
      <c r="E16630" s="215" t="n">
        <v>45964</v>
      </c>
      <c r="F16630" s="215" t="n">
        <v>45964</v>
      </c>
    </row>
    <row r="16631">
      <c r="A16631" s="215" t="n">
        <v>45965</v>
      </c>
      <c r="B16631" s="216" t="n">
        <v>27.6</v>
      </c>
      <c r="C16631" s="216" t="n">
        <v>28.57</v>
      </c>
      <c r="D16631" s="216" t="n">
        <v>1.083533048629761</v>
      </c>
      <c r="E16631" s="215" t="n">
        <v>45965</v>
      </c>
      <c r="F16631" s="215" t="n">
        <v>45965</v>
      </c>
    </row>
    <row r="16632">
      <c r="A16632" s="215" t="n">
        <v>45966</v>
      </c>
      <c r="B16632" s="216" t="n">
        <v>27.96</v>
      </c>
      <c r="C16632" s="216" t="n">
        <v>29.26</v>
      </c>
      <c r="D16632" s="216" t="n">
        <v>1.090273976325989</v>
      </c>
      <c r="E16632" s="215" t="n">
        <v>45966</v>
      </c>
      <c r="F16632" s="215" t="n">
        <v>45966</v>
      </c>
    </row>
    <row r="16633">
      <c r="A16633" s="215" t="n">
        <v>45967</v>
      </c>
      <c r="B16633" s="216" t="n">
        <v>28.88</v>
      </c>
      <c r="C16633" s="216" t="n">
        <v>29.7</v>
      </c>
      <c r="D16633" s="216" t="n">
        <v>1.090808033943176</v>
      </c>
      <c r="E16633" s="215" t="n">
        <v>45967</v>
      </c>
      <c r="F16633" s="215" t="n">
        <v>45967</v>
      </c>
    </row>
    <row r="16634">
      <c r="A16634" s="215" t="n">
        <v>45968</v>
      </c>
      <c r="B16634" s="216" t="n">
        <v>28.86</v>
      </c>
      <c r="C16634" s="216" t="n">
        <v>29.63</v>
      </c>
      <c r="D16634" s="216" t="n">
        <v>1.092054009437561</v>
      </c>
      <c r="E16634" s="215" t="n">
        <v>45968</v>
      </c>
      <c r="F16634" s="215" t="n">
        <v>45968</v>
      </c>
    </row>
    <row r="16635">
      <c r="A16635" s="215" t="n">
        <v>45971</v>
      </c>
      <c r="B16635" s="216" t="n">
        <v>30.76</v>
      </c>
      <c r="C16635" s="216" t="n">
        <v>30.93</v>
      </c>
      <c r="D16635" s="216" t="n">
        <v>1.092267036437988</v>
      </c>
      <c r="E16635" s="215" t="n">
        <v>45971</v>
      </c>
      <c r="F16635" s="215" t="n">
        <v>45971</v>
      </c>
    </row>
    <row r="16636">
      <c r="A16636" s="215" t="n">
        <v>45972</v>
      </c>
      <c r="B16636" s="216" t="n">
        <v>30.46</v>
      </c>
      <c r="C16636" s="216" t="n">
        <v>30.58</v>
      </c>
      <c r="D16636" s="216" t="n">
        <v>1.091644048690796</v>
      </c>
      <c r="E16636" s="215" t="n">
        <v>45972</v>
      </c>
      <c r="F16636" s="215" t="n">
        <v>45972</v>
      </c>
    </row>
    <row r="16637">
      <c r="A16637" s="215" t="n">
        <v>45973</v>
      </c>
      <c r="B16637" s="216" t="n">
        <v>30.22</v>
      </c>
      <c r="C16637" s="216" t="n">
        <v>30.49</v>
      </c>
      <c r="D16637" s="216" t="n">
        <v>1.091495990753174</v>
      </c>
      <c r="E16637" s="215" t="n">
        <v>45973</v>
      </c>
      <c r="F16637" s="215" t="n">
        <v>45973</v>
      </c>
    </row>
    <row r="16638">
      <c r="A16638" s="215" t="n">
        <v>45974</v>
      </c>
      <c r="B16638" s="216" t="n">
        <v>31.18</v>
      </c>
      <c r="C16638" s="216" t="n">
        <v>31.44</v>
      </c>
      <c r="D16638" s="216" t="n">
        <v>1.092489004135132</v>
      </c>
      <c r="E16638" s="215" t="n">
        <v>45974</v>
      </c>
      <c r="F16638" s="215" t="n">
        <v>45974</v>
      </c>
    </row>
    <row r="16639">
      <c r="A16639" s="215" t="n">
        <v>45975</v>
      </c>
      <c r="B16639" s="216" t="n">
        <v>30.44</v>
      </c>
      <c r="C16639" s="216" t="n">
        <v>30.62</v>
      </c>
      <c r="D16639" s="216" t="n">
        <v>1.092411994934082</v>
      </c>
      <c r="E16639" s="215" t="n">
        <v>45975</v>
      </c>
      <c r="F16639" s="215" t="n">
        <v>45975</v>
      </c>
    </row>
    <row r="16640">
      <c r="A16640" s="215" t="n">
        <v>45978</v>
      </c>
      <c r="B16640" s="216" t="n">
        <v>29.44</v>
      </c>
      <c r="C16640" s="216" t="n">
        <v>29.96</v>
      </c>
      <c r="D16640" s="216" t="n">
        <v>1.094588041305542</v>
      </c>
      <c r="E16640" s="215" t="n">
        <v>45978</v>
      </c>
      <c r="F16640" s="215" t="n">
        <v>45978</v>
      </c>
    </row>
    <row r="16641">
      <c r="A16641" s="215" t="n">
        <v>45979</v>
      </c>
      <c r="B16641" s="216" t="n">
        <v>28.22</v>
      </c>
      <c r="C16641" s="216" t="n">
        <v>29.3</v>
      </c>
      <c r="D16641" s="216" t="n">
        <v>1.093616008758545</v>
      </c>
      <c r="E16641" s="215" t="n">
        <v>45979</v>
      </c>
      <c r="F16641" s="215" t="n">
        <v>45979</v>
      </c>
    </row>
    <row r="16642">
      <c r="A16642" s="215" t="n">
        <v>45980</v>
      </c>
      <c r="B16642" s="216" t="n">
        <v>29.7</v>
      </c>
      <c r="C16642" s="216" t="n">
        <v>31.35</v>
      </c>
      <c r="D16642" s="216" t="n">
        <v>1.095010995864868</v>
      </c>
      <c r="E16642" s="215" t="n">
        <v>45980</v>
      </c>
      <c r="F16642" s="215" t="n">
        <v>45980</v>
      </c>
    </row>
    <row r="16643">
      <c r="A16643" s="215" t="n">
        <v>45981</v>
      </c>
      <c r="B16643" s="216" t="n">
        <v>29.3</v>
      </c>
      <c r="C16643" s="216" t="n">
        <v>30.95</v>
      </c>
      <c r="D16643" s="216" t="n">
        <v>1.095402002334595</v>
      </c>
      <c r="E16643" s="215" t="n">
        <v>45981</v>
      </c>
      <c r="F16643" s="215" t="n">
        <v>45981</v>
      </c>
    </row>
    <row r="16644">
      <c r="A16644" s="215" t="n">
        <v>45982</v>
      </c>
      <c r="B16644" s="216" t="n">
        <v>27.9</v>
      </c>
      <c r="C16644" s="216" t="n">
        <v>30.25</v>
      </c>
      <c r="D16644" s="216" t="n">
        <v>1.094982981681824</v>
      </c>
      <c r="E16644" s="215" t="n">
        <v>45982</v>
      </c>
      <c r="F16644" s="215" t="n">
        <v>45982</v>
      </c>
    </row>
    <row r="16645">
      <c r="A16645" s="215" t="n">
        <v>45985</v>
      </c>
      <c r="B16645" s="216" t="n">
        <v>28</v>
      </c>
      <c r="C16645" s="216" t="n">
        <v>29.77</v>
      </c>
      <c r="D16645" s="216" t="n">
        <v>1.094988942146301</v>
      </c>
      <c r="E16645" s="215" t="n">
        <v>45985</v>
      </c>
      <c r="F16645" s="215" t="n">
        <v>45985</v>
      </c>
    </row>
    <row r="16646">
      <c r="A16646" s="215" t="n">
        <v>45986</v>
      </c>
      <c r="B16646" s="216" t="n">
        <v>29.36</v>
      </c>
      <c r="C16646" s="216" t="n">
        <v>30.67</v>
      </c>
      <c r="D16646" s="216" t="n">
        <v>1.095428943634033</v>
      </c>
      <c r="E16646" s="215" t="n">
        <v>45986</v>
      </c>
      <c r="F16646" s="215" t="n">
        <v>45986</v>
      </c>
    </row>
    <row r="16647">
      <c r="A16647" s="215" t="n">
        <v>45987</v>
      </c>
      <c r="B16647" s="216" t="n">
        <v>29.36</v>
      </c>
      <c r="C16647" s="216" t="n">
        <v>30.73</v>
      </c>
      <c r="D16647" s="216" t="n">
        <v>1.097422003746033</v>
      </c>
      <c r="E16647" s="215" t="n">
        <v>45987</v>
      </c>
      <c r="F16647" s="215" t="n">
        <v>45987</v>
      </c>
    </row>
    <row r="16648">
      <c r="A16648" s="215" t="n">
        <v>45988</v>
      </c>
      <c r="B16648" s="216" t="n">
        <v>29.72</v>
      </c>
      <c r="C16648" s="216" t="n">
        <v>31.08</v>
      </c>
      <c r="D16648" s="216" t="n">
        <v>1.098397016525269</v>
      </c>
      <c r="E16648" s="215" t="n">
        <v>45988</v>
      </c>
      <c r="F16648" s="215" t="n">
        <v>45988</v>
      </c>
    </row>
    <row r="16649">
      <c r="A16649" s="215" t="n">
        <v>45989</v>
      </c>
      <c r="B16649" s="216" t="n">
        <v>30.58</v>
      </c>
      <c r="C16649" s="216" t="n">
        <v>32</v>
      </c>
      <c r="D16649" s="216" t="n">
        <v>1.098330020904541</v>
      </c>
      <c r="E16649" s="215" t="n">
        <v>45989</v>
      </c>
      <c r="F16649" s="215" t="n">
        <v>45989</v>
      </c>
    </row>
    <row r="16650">
      <c r="A16650" s="215" t="n">
        <v>45992</v>
      </c>
      <c r="B16650" s="216" t="n">
        <v>31.06</v>
      </c>
      <c r="C16650" s="216" t="n">
        <v>32.2</v>
      </c>
      <c r="D16650" s="216" t="n">
        <v>1.10015594959259</v>
      </c>
      <c r="E16650" s="215" t="n">
        <v>45992</v>
      </c>
      <c r="F16650" s="215" t="n">
        <v>45992</v>
      </c>
    </row>
    <row r="16651">
      <c r="A16651" s="215" t="n">
        <v>45993</v>
      </c>
      <c r="B16651" s="216" t="n">
        <v>30.56</v>
      </c>
      <c r="C16651" s="216" t="n">
        <v>31.61</v>
      </c>
      <c r="D16651" s="216" t="n">
        <v>1.101189017295837</v>
      </c>
      <c r="E16651" s="215" t="n">
        <v>45993</v>
      </c>
      <c r="F16651" s="215" t="n">
        <v>45993</v>
      </c>
    </row>
    <row r="16652">
      <c r="A16652" s="215" t="n">
        <v>45994</v>
      </c>
      <c r="B16652" s="216" t="n">
        <v>30.42</v>
      </c>
      <c r="C16652" s="216" t="n">
        <v>30.88</v>
      </c>
      <c r="D16652" s="216" t="n">
        <v>1.100834012031555</v>
      </c>
      <c r="E16652" s="215" t="n">
        <v>45994</v>
      </c>
      <c r="F16652" s="215" t="n">
        <v>45994</v>
      </c>
    </row>
    <row r="16653">
      <c r="A16653" s="215" t="n">
        <v>45995</v>
      </c>
      <c r="B16653" s="216" t="n">
        <v>29.78</v>
      </c>
      <c r="C16653" s="216" t="n">
        <v>30.37</v>
      </c>
      <c r="D16653" s="216" t="n">
        <v>1.101611018180847</v>
      </c>
      <c r="E16653" s="215" t="n">
        <v>45995</v>
      </c>
      <c r="F16653" s="215" t="n">
        <v>45995</v>
      </c>
    </row>
    <row r="16654">
      <c r="A16654" s="215" t="n">
        <v>45996</v>
      </c>
      <c r="B16654" s="216" t="n">
        <v>30.4</v>
      </c>
      <c r="C16654" s="216" t="n">
        <v>31.04</v>
      </c>
      <c r="D16654" s="216" t="n">
        <v>1.100373983383179</v>
      </c>
      <c r="E16654" s="215" t="n">
        <v>45996</v>
      </c>
      <c r="F16654" s="215" t="n">
        <v>45996</v>
      </c>
    </row>
    <row r="16655">
      <c r="A16655" s="215" t="n">
        <v>45999</v>
      </c>
      <c r="B16655" s="216" t="n">
        <v>29.94</v>
      </c>
      <c r="C16655" s="216" t="n">
        <v>30.74</v>
      </c>
      <c r="D16655" s="216" t="n">
        <v>1.1008620262146</v>
      </c>
      <c r="E16655" s="215" t="n">
        <v>45999</v>
      </c>
      <c r="F16655" s="215" t="n">
        <v>45999</v>
      </c>
    </row>
    <row r="16656">
      <c r="A16656" s="215" t="n">
        <v>46000</v>
      </c>
      <c r="B16656" s="216" t="n">
        <v>28.82</v>
      </c>
      <c r="C16656" s="216" t="n">
        <v>29.81</v>
      </c>
      <c r="D16656" s="216" t="n">
        <v>1.10008704662323</v>
      </c>
      <c r="E16656" s="215" t="n">
        <v>46000</v>
      </c>
      <c r="F16656" s="215" t="n">
        <v>46000</v>
      </c>
    </row>
    <row r="16657">
      <c r="A16657" s="215" t="n">
        <v>46001</v>
      </c>
      <c r="B16657" s="216" t="n">
        <v>29.2</v>
      </c>
      <c r="C16657" s="216" t="n">
        <v>30.32</v>
      </c>
      <c r="D16657" s="216" t="n">
        <v>1.101711988449097</v>
      </c>
      <c r="E16657" s="215" t="n">
        <v>46001</v>
      </c>
      <c r="F16657" s="215" t="n">
        <v>46001</v>
      </c>
    </row>
    <row r="16658">
      <c r="A16658" s="215" t="n">
        <v>46002</v>
      </c>
      <c r="B16658" s="216" t="n">
        <v>29.48</v>
      </c>
      <c r="C16658" s="216" t="n">
        <v>30.56</v>
      </c>
      <c r="D16658" s="216" t="n">
        <v>1.10112202167511</v>
      </c>
      <c r="E16658" s="215" t="n">
        <v>46002</v>
      </c>
      <c r="F16658" s="215" t="n">
        <v>46002</v>
      </c>
    </row>
    <row r="16659">
      <c r="A16659" s="215" t="n">
        <v>46003</v>
      </c>
      <c r="B16659" s="216" t="n">
        <v>30.42</v>
      </c>
      <c r="C16659" s="216" t="n">
        <v>31.2</v>
      </c>
      <c r="D16659" s="216" t="n">
        <v>1.102499008178711</v>
      </c>
      <c r="E16659" s="215" t="n">
        <v>46003</v>
      </c>
      <c r="F16659" s="215" t="n">
        <v>46003</v>
      </c>
    </row>
    <row r="16660">
      <c r="A16660" s="215" t="n">
        <v>46006</v>
      </c>
      <c r="B16660" s="216" t="n">
        <v>32.12</v>
      </c>
      <c r="C16660" s="216" t="n">
        <v>32.69</v>
      </c>
      <c r="D16660" s="216" t="n">
        <v>1.103397965431213</v>
      </c>
      <c r="E16660" s="215" t="n">
        <v>46006</v>
      </c>
      <c r="F16660" s="215" t="n">
        <v>46006</v>
      </c>
    </row>
    <row r="16661">
      <c r="A16661" s="215" t="n">
        <v>46007</v>
      </c>
      <c r="B16661" s="216" t="n">
        <v>30.3</v>
      </c>
      <c r="C16661" s="216" t="n">
        <v>30.93</v>
      </c>
      <c r="D16661" s="216" t="n">
        <v>1.104179978370667</v>
      </c>
      <c r="E16661" s="215" t="n">
        <v>46007</v>
      </c>
      <c r="F16661" s="215" t="n">
        <v>46007</v>
      </c>
    </row>
    <row r="16662">
      <c r="A16662" s="215" t="n">
        <v>46008</v>
      </c>
      <c r="B16662" s="216" t="n">
        <v>30.86</v>
      </c>
      <c r="C16662" s="216" t="n">
        <v>32</v>
      </c>
      <c r="D16662" s="216" t="n">
        <v>1.104655981063843</v>
      </c>
      <c r="E16662" s="215" t="n">
        <v>46008</v>
      </c>
      <c r="F16662" s="215" t="n">
        <v>46008</v>
      </c>
    </row>
    <row r="16663">
      <c r="A16663" s="215" t="n">
        <v>46009</v>
      </c>
      <c r="B16663" s="216" t="n">
        <v>30.76</v>
      </c>
      <c r="C16663" s="216" t="n">
        <v>32.26</v>
      </c>
      <c r="D16663" s="216" t="n">
        <v>1.104357004165649</v>
      </c>
      <c r="E16663" s="215" t="n">
        <v>46009</v>
      </c>
      <c r="F16663" s="215" t="n">
        <v>46009</v>
      </c>
    </row>
    <row r="16664">
      <c r="A16664" s="215" t="n">
        <v>46010</v>
      </c>
      <c r="B16664" s="216" t="n">
        <v>30.42</v>
      </c>
      <c r="C16664" s="216" t="n">
        <v>31.95</v>
      </c>
      <c r="D16664" s="216" t="n">
        <v>1.104962944984436</v>
      </c>
      <c r="E16664" s="215" t="n">
        <v>46010</v>
      </c>
      <c r="F16664" s="215" t="n">
        <v>46010</v>
      </c>
    </row>
    <row r="16665">
      <c r="A16665" s="215" t="n">
        <v>46013</v>
      </c>
      <c r="B16665" s="216" t="n">
        <v>31.84</v>
      </c>
      <c r="C16665" s="216" t="n">
        <v>33.1</v>
      </c>
      <c r="D16665" s="216" t="n">
        <v>1.105054020881653</v>
      </c>
      <c r="E16665" s="215" t="n">
        <v>46013</v>
      </c>
      <c r="F16665" s="215" t="n">
        <v>46013</v>
      </c>
    </row>
    <row r="16666">
      <c r="A16666" s="215" t="n">
        <v>46014</v>
      </c>
      <c r="B16666" s="216" t="n">
        <v>32.38</v>
      </c>
      <c r="C16666" s="216" t="n">
        <v>33.36</v>
      </c>
      <c r="D16666" s="216" t="n">
        <v>1.104820013046265</v>
      </c>
      <c r="E16666" s="215" t="n">
        <v>46014</v>
      </c>
      <c r="F16666" s="215" t="n">
        <v>46014</v>
      </c>
    </row>
    <row r="16667">
      <c r="A16667" s="215" t="n">
        <v>46015</v>
      </c>
      <c r="B16667" s="216" t="n">
        <v>31.84</v>
      </c>
      <c r="C16667" s="216" t="n">
        <v>32.63</v>
      </c>
      <c r="D16667" s="216" t="n">
        <v>1.106441974639893</v>
      </c>
      <c r="E16667" s="215" t="n">
        <v>46015</v>
      </c>
      <c r="F16667" s="215" t="n">
        <v>46015</v>
      </c>
    </row>
    <row r="16668">
      <c r="A16668" s="215" t="n">
        <v>46020</v>
      </c>
      <c r="B16668" s="216" t="n">
        <v>30.12</v>
      </c>
      <c r="C16668" s="216" t="n">
        <v>31.74</v>
      </c>
      <c r="D16668" s="216" t="n">
        <v>1.10552704334259</v>
      </c>
      <c r="E16668" s="215" t="n">
        <v>46020</v>
      </c>
      <c r="F16668" s="215" t="n">
        <v>46020</v>
      </c>
    </row>
    <row r="16669">
      <c r="A16669" s="215" t="n">
        <v>46021</v>
      </c>
      <c r="B16669" s="216" t="n">
        <v>30.12</v>
      </c>
      <c r="C16669" s="216" t="n">
        <v>31.63</v>
      </c>
      <c r="D16669" s="216" t="n">
        <v>1.109460949897766</v>
      </c>
      <c r="E16669" s="215" t="n">
        <v>46021</v>
      </c>
      <c r="F16669" s="215" t="n">
        <v>46021</v>
      </c>
    </row>
    <row r="16670">
      <c r="A16670" s="215" t="n">
        <v>46022</v>
      </c>
      <c r="B16670" s="216" t="n">
        <v>29.76</v>
      </c>
      <c r="C16670" s="216" t="n">
        <v>31.24</v>
      </c>
      <c r="D16670" s="216" t="n">
        <v>1.111927032470703</v>
      </c>
      <c r="E16670" s="215" t="n">
        <v>46022</v>
      </c>
      <c r="F16670" s="215" t="n">
        <v>46022</v>
      </c>
    </row>
    <row r="16671">
      <c r="A16671" s="215" t="n">
        <v>46024</v>
      </c>
      <c r="B16671" s="216" t="n">
        <v>30.68</v>
      </c>
      <c r="C16671" s="216" t="n">
        <v>31.24</v>
      </c>
      <c r="D16671" s="216" t="n">
        <v>1.112754940986633</v>
      </c>
      <c r="E16671" s="215" t="n">
        <v>46022</v>
      </c>
      <c r="F16671" s="215" t="n">
        <v>46024</v>
      </c>
    </row>
    <row r="16672">
      <c r="A16672" s="215" t="n">
        <v>46027</v>
      </c>
      <c r="B16672" s="216" t="n">
        <v>30.94</v>
      </c>
      <c r="C16672" s="216" t="n">
        <v>31.99</v>
      </c>
      <c r="D16672" s="216" t="n">
        <v>1.113860011100769</v>
      </c>
      <c r="E16672" s="215" t="n">
        <v>46027</v>
      </c>
      <c r="F16672" s="215" t="n">
        <v>46027</v>
      </c>
    </row>
    <row r="16673">
      <c r="A16673" s="215" t="n">
        <v>46028</v>
      </c>
      <c r="B16673" s="216" t="n">
        <v>31.04</v>
      </c>
      <c r="C16673" s="216" t="n">
        <v>32.01</v>
      </c>
      <c r="D16673" s="216" t="n">
        <v>1.11367404460907</v>
      </c>
      <c r="E16673" s="215" t="n">
        <v>46028</v>
      </c>
      <c r="F16673" s="215" t="n">
        <v>46028</v>
      </c>
    </row>
    <row r="16674">
      <c r="A16674" s="215" t="n">
        <v>46029</v>
      </c>
      <c r="B16674" s="216" t="n">
        <v>29.36</v>
      </c>
      <c r="C16674" s="216" t="n">
        <v>31.01</v>
      </c>
      <c r="D16674" s="216" t="n">
        <v>1.114913940429688</v>
      </c>
      <c r="E16674" s="215" t="n">
        <v>46029</v>
      </c>
      <c r="F16674" s="215" t="n">
        <v>46029</v>
      </c>
    </row>
    <row r="16675">
      <c r="A16675" s="215" t="n">
        <v>46030</v>
      </c>
      <c r="B16675" s="216" t="n">
        <v>28.9</v>
      </c>
      <c r="C16675" s="216" t="n">
        <v>30.41</v>
      </c>
      <c r="D16675" s="216" t="n">
        <v>1.112563014030457</v>
      </c>
      <c r="E16675" s="215" t="n">
        <v>46030</v>
      </c>
      <c r="F16675" s="215" t="n">
        <v>46030</v>
      </c>
    </row>
    <row r="16676">
      <c r="A16676" s="215" t="n">
        <v>46031</v>
      </c>
      <c r="B16676" s="216" t="n">
        <v>29.48</v>
      </c>
      <c r="C16676" s="216" t="n">
        <v>31.03</v>
      </c>
      <c r="D16676" s="216" t="n">
        <v>1.115561008453369</v>
      </c>
      <c r="E16676" s="215" t="n">
        <v>46031</v>
      </c>
      <c r="F16676" s="215" t="n">
        <v>46031</v>
      </c>
    </row>
    <row r="16677">
      <c r="A16677" s="215" t="n">
        <v>46034</v>
      </c>
      <c r="B16677" s="216" t="n">
        <v>30.2</v>
      </c>
      <c r="C16677" s="216" t="n">
        <v>31.28</v>
      </c>
      <c r="D16677" s="216" t="n">
        <v>1.117015957832336</v>
      </c>
      <c r="E16677" s="215" t="n">
        <v>46034</v>
      </c>
      <c r="F16677" s="215" t="n">
        <v>46034</v>
      </c>
    </row>
    <row r="16678">
      <c r="A16678" s="215" t="n">
        <v>46035</v>
      </c>
      <c r="B16678" s="216" t="n">
        <v>30.8</v>
      </c>
      <c r="C16678" s="216" t="n">
        <v>31.81</v>
      </c>
      <c r="D16678" s="216" t="n">
        <v>1.117892026901245</v>
      </c>
      <c r="E16678" s="215" t="n">
        <v>46035</v>
      </c>
      <c r="F16678" s="215" t="n">
        <v>46035</v>
      </c>
    </row>
    <row r="16679">
      <c r="A16679" s="215" t="n">
        <v>46036</v>
      </c>
      <c r="B16679" s="216" t="n">
        <v>32.14</v>
      </c>
      <c r="C16679" s="216" t="n">
        <v>32.32</v>
      </c>
      <c r="D16679" s="216" t="n">
        <v>1.117897987365723</v>
      </c>
      <c r="E16679" s="215" t="n">
        <v>46036</v>
      </c>
      <c r="F16679" s="215" t="n">
        <v>46036</v>
      </c>
    </row>
    <row r="16680">
      <c r="A16680" s="215" t="n">
        <v>46037</v>
      </c>
      <c r="B16680" s="216" t="n">
        <v>32.5</v>
      </c>
      <c r="C16680" s="216" t="n">
        <v>32.94</v>
      </c>
      <c r="D16680" s="216" t="n">
        <v>1.118072032928467</v>
      </c>
      <c r="E16680" s="215" t="n">
        <v>46037</v>
      </c>
      <c r="F16680" s="215" t="n">
        <v>46037</v>
      </c>
    </row>
    <row r="16681">
      <c r="A16681" s="215" t="n">
        <v>46038</v>
      </c>
      <c r="B16681" s="216" t="n">
        <v>32.18</v>
      </c>
      <c r="C16681" s="216" t="n">
        <v>32.3</v>
      </c>
      <c r="D16681" s="216" t="n">
        <v>1.119040012359619</v>
      </c>
      <c r="E16681" s="215" t="n">
        <v>46038</v>
      </c>
      <c r="F16681" s="215" t="n">
        <v>46038</v>
      </c>
    </row>
    <row r="16682">
      <c r="A16682" s="215" t="n">
        <v>46041</v>
      </c>
      <c r="B16682" s="216" t="n">
        <v>32.76</v>
      </c>
      <c r="C16682" s="216" t="n">
        <v>33.38</v>
      </c>
      <c r="D16682" s="216" t="n">
        <v>1.118916034698486</v>
      </c>
      <c r="E16682" s="215" t="n">
        <v>46041</v>
      </c>
      <c r="F16682" s="215" t="n">
        <v>46041</v>
      </c>
    </row>
    <row r="16683">
      <c r="A16683" s="215" t="n">
        <v>46042</v>
      </c>
      <c r="B16683" s="216" t="n">
        <v>33.94</v>
      </c>
      <c r="C16683" s="216" t="n">
        <v>34.96</v>
      </c>
      <c r="D16683" s="216" t="n">
        <v>1.118687987327576</v>
      </c>
      <c r="E16683" s="215" t="n">
        <v>46042</v>
      </c>
      <c r="F16683" s="215" t="n">
        <v>46042</v>
      </c>
    </row>
    <row r="16684">
      <c r="A16684" s="215" t="n">
        <v>46043</v>
      </c>
      <c r="B16684" s="216" t="n">
        <v>37.02</v>
      </c>
      <c r="C16684" s="216" t="n">
        <v>38.39</v>
      </c>
      <c r="D16684" s="216" t="n">
        <v>1.12024998664856</v>
      </c>
      <c r="E16684" s="215" t="n">
        <v>46043</v>
      </c>
      <c r="F16684" s="215" t="n">
        <v>46043</v>
      </c>
    </row>
    <row r="16685">
      <c r="A16685" s="215" t="n">
        <v>46044</v>
      </c>
      <c r="B16685" s="216" t="n">
        <v>36.92</v>
      </c>
      <c r="C16685" s="216" t="n">
        <v>37.33</v>
      </c>
      <c r="D16685" s="216" t="n">
        <v>1.11942195892334</v>
      </c>
      <c r="E16685" s="215" t="n">
        <v>46044</v>
      </c>
      <c r="F16685" s="215" t="n">
        <v>46044</v>
      </c>
    </row>
    <row r="16686">
      <c r="A16686" s="215" t="n">
        <v>46045</v>
      </c>
      <c r="B16686" s="216" t="n">
        <v>39.8</v>
      </c>
      <c r="C16686" s="216" t="n">
        <v>38.82</v>
      </c>
      <c r="D16686" s="216" t="n">
        <v>1.117977976799011</v>
      </c>
      <c r="E16686" s="215" t="n">
        <v>46045</v>
      </c>
      <c r="F16686" s="215" t="n">
        <v>46045</v>
      </c>
    </row>
    <row r="16687">
      <c r="A16687" s="215" t="n">
        <v>46048</v>
      </c>
      <c r="B16687" s="216" t="n">
        <v>42.76</v>
      </c>
      <c r="C16687" s="216" t="n">
        <v>42.69</v>
      </c>
      <c r="D16687" s="216" t="n">
        <v>1.117916941642761</v>
      </c>
      <c r="E16687" s="215" t="n">
        <v>46048</v>
      </c>
      <c r="F16687" s="215" t="n">
        <v>46048</v>
      </c>
    </row>
    <row r="16688">
      <c r="A16688" s="215" t="n">
        <v>46049</v>
      </c>
      <c r="B16688" s="216" t="n">
        <v>41.7</v>
      </c>
      <c r="C16688" s="216" t="n">
        <v>42.6</v>
      </c>
      <c r="D16688" s="216" t="n">
        <v>1.121191024780273</v>
      </c>
      <c r="E16688" s="215" t="n">
        <v>46049</v>
      </c>
      <c r="F16688" s="215" t="n">
        <v>46049</v>
      </c>
    </row>
    <row r="16689">
      <c r="A16689" s="215" t="n">
        <v>46050</v>
      </c>
      <c r="B16689" s="216" t="n">
        <v>46.14</v>
      </c>
      <c r="C16689" s="216" t="n">
        <v>46.86</v>
      </c>
      <c r="D16689" s="216" t="n">
        <v>1.121533036231995</v>
      </c>
      <c r="E16689" s="215" t="n">
        <v>46050</v>
      </c>
      <c r="F16689" s="215" t="n">
        <v>46050</v>
      </c>
    </row>
    <row r="16690">
      <c r="A16690" s="215" t="n">
        <v>46051</v>
      </c>
      <c r="B16690" s="216" t="n">
        <v>46.6</v>
      </c>
      <c r="C16690" s="216" t="n">
        <v>48</v>
      </c>
      <c r="D16690" s="216" t="n">
        <v>1.121621966362</v>
      </c>
      <c r="E16690" s="215" t="n">
        <v>46051</v>
      </c>
      <c r="F16690" s="215" t="n">
        <v>46051</v>
      </c>
    </row>
    <row r="16691">
      <c r="A16691" s="215" t="n">
        <v>46052</v>
      </c>
      <c r="B16691" s="216" t="n">
        <v>39.9</v>
      </c>
      <c r="C16691" s="216" t="n">
        <v>43.2</v>
      </c>
      <c r="D16691" s="216" t="n">
        <v>1.123343944549561</v>
      </c>
      <c r="E16691" s="215" t="n">
        <v>46052</v>
      </c>
      <c r="F16691" s="215" t="n">
        <v>46052</v>
      </c>
    </row>
    <row r="16692">
      <c r="A16692" s="215" t="n">
        <v>46055</v>
      </c>
      <c r="B16692" s="216" t="n">
        <v>35.04</v>
      </c>
      <c r="C16692" s="216" t="n">
        <v>38.88</v>
      </c>
      <c r="D16692" s="216" t="n">
        <v>1.123572945594788</v>
      </c>
      <c r="E16692" s="215" t="n">
        <v>46055</v>
      </c>
      <c r="F16692" s="215" t="n">
        <v>46055</v>
      </c>
    </row>
    <row r="16693">
      <c r="A16693" s="215" t="n">
        <v>46056</v>
      </c>
      <c r="B16693" s="216" t="n">
        <v>37.54</v>
      </c>
      <c r="C16693" s="216" t="n">
        <v>39.78</v>
      </c>
      <c r="D16693" s="216" t="n">
        <v>1.124274969100952</v>
      </c>
      <c r="E16693" s="215" t="n">
        <v>46056</v>
      </c>
      <c r="F16693" s="215" t="n">
        <v>46056</v>
      </c>
    </row>
    <row r="16694">
      <c r="A16694" s="215" t="n">
        <v>46057</v>
      </c>
      <c r="B16694" s="216" t="n">
        <v>37.7</v>
      </c>
      <c r="C16694" s="216" t="n">
        <v>38.53</v>
      </c>
      <c r="D16694" s="216" t="n">
        <v>1.12601101398468</v>
      </c>
      <c r="E16694" s="215" t="n">
        <v>46057</v>
      </c>
      <c r="F16694" s="215" t="n">
        <v>46057</v>
      </c>
    </row>
    <row r="16695">
      <c r="A16695" s="215" t="n">
        <v>46058</v>
      </c>
      <c r="B16695" s="216" t="n">
        <v>35.48</v>
      </c>
      <c r="C16695" s="216" t="n">
        <v>36.83</v>
      </c>
      <c r="D16695" s="216" t="n">
        <v>1.125892996788025</v>
      </c>
      <c r="E16695" s="215" t="n">
        <v>46058</v>
      </c>
      <c r="F16695" s="215" t="n">
        <v>46058</v>
      </c>
    </row>
    <row r="16696">
      <c r="A16696" s="215" t="n">
        <v>46059</v>
      </c>
      <c r="B16696" s="216" t="n">
        <v>35.1</v>
      </c>
      <c r="C16696" s="216" t="n">
        <v>37.01</v>
      </c>
      <c r="D16696" s="216" t="n">
        <v>1.126062035560608</v>
      </c>
      <c r="E16696" s="215" t="n">
        <v>46059</v>
      </c>
      <c r="F16696" s="215" t="n">
        <v>46059</v>
      </c>
    </row>
    <row r="16697">
      <c r="A16697" s="215" t="n">
        <v>46062</v>
      </c>
      <c r="B16697" s="216" t="n">
        <v>35.94</v>
      </c>
      <c r="C16697" s="216" t="n">
        <v>37.13</v>
      </c>
      <c r="D16697" s="216" t="n">
        <v>1.125753998756409</v>
      </c>
      <c r="E16697" s="215" t="n">
        <v>46062</v>
      </c>
      <c r="F16697" s="215" t="n">
        <v>46062</v>
      </c>
    </row>
    <row r="16698">
      <c r="A16698" s="215" t="n">
        <v>46063</v>
      </c>
      <c r="B16698" s="216" t="n">
        <v>35.64</v>
      </c>
      <c r="C16698" s="216" t="n">
        <v>36.78</v>
      </c>
      <c r="D16698" s="216" t="n">
        <v>1.129003047943115</v>
      </c>
      <c r="E16698" s="215" t="n">
        <v>46063</v>
      </c>
      <c r="F16698" s="215" t="n">
        <v>46063</v>
      </c>
    </row>
    <row r="16699">
      <c r="A16699" s="215" t="n">
        <v>46064</v>
      </c>
      <c r="B16699" s="216" t="n">
        <v>37.76</v>
      </c>
      <c r="C16699" s="216" t="n">
        <v>38.22</v>
      </c>
      <c r="D16699" s="216" t="n">
        <v>1.130962014198303</v>
      </c>
      <c r="E16699" s="215" t="n">
        <v>46064</v>
      </c>
      <c r="F16699" s="215" t="n">
        <v>46064</v>
      </c>
    </row>
    <row r="16700">
      <c r="A16700" s="215" t="n">
        <v>46065</v>
      </c>
      <c r="B16700" s="216" t="n">
        <v>37.26</v>
      </c>
      <c r="C16700" s="216" t="n">
        <v>38.25</v>
      </c>
      <c r="D16700" s="216" t="n">
        <v>1.130671977996826</v>
      </c>
      <c r="E16700" s="215" t="n">
        <v>46065</v>
      </c>
      <c r="F16700" s="215" t="n">
        <v>46065</v>
      </c>
    </row>
    <row r="16701">
      <c r="A16701" s="215" t="n">
        <v>46066</v>
      </c>
      <c r="B16701" s="216" t="n">
        <v>35.92</v>
      </c>
      <c r="C16701" s="216" t="n">
        <v>37.3</v>
      </c>
      <c r="D16701" s="216" t="n">
        <v>1.132490992546082</v>
      </c>
      <c r="E16701" s="215" t="n">
        <v>46066</v>
      </c>
      <c r="F16701" s="215" t="n">
        <v>46066</v>
      </c>
    </row>
    <row r="16702">
      <c r="A16702" s="215" t="n">
        <v>46069</v>
      </c>
      <c r="B16702" s="216" t="n">
        <v>37.18</v>
      </c>
      <c r="C16702" s="216" t="n">
        <v>37.3</v>
      </c>
      <c r="D16702" s="216" t="n">
        <v>1.131224036216736</v>
      </c>
      <c r="E16702" s="215" t="n">
        <v>46066</v>
      </c>
      <c r="F16702" s="215" t="n">
        <v>46069</v>
      </c>
    </row>
    <row r="16703">
      <c r="A16703" s="215" t="n">
        <v>46073</v>
      </c>
      <c r="B16703" s="216" t="n">
        <v>36.94</v>
      </c>
      <c r="C16703" s="216" t="n">
        <v>37.3</v>
      </c>
      <c r="D16703" s="216" t="n">
        <v>1.131005048751831</v>
      </c>
      <c r="E16703" s="215" t="n">
        <v>46066</v>
      </c>
      <c r="F16703" s="215" t="n">
        <v>46073</v>
      </c>
    </row>
    <row r="16704">
      <c r="A16704" s="215" t="n">
        <v>46076</v>
      </c>
      <c r="B16704" s="216" t="n">
        <v>39.88</v>
      </c>
      <c r="C16704" s="216" t="n">
        <v>37.3</v>
      </c>
      <c r="D16704" s="216" t="n">
        <v>1.130877017974854</v>
      </c>
      <c r="E16704" s="215" t="n">
        <v>46066</v>
      </c>
      <c r="F16704" s="215" t="n">
        <v>46076</v>
      </c>
    </row>
    <row r="16705">
      <c r="A16705" s="215" t="n">
        <v>46077</v>
      </c>
      <c r="B16705" s="216" t="n">
        <v>39.12</v>
      </c>
      <c r="C16705" s="216" t="n">
        <v>39.33</v>
      </c>
      <c r="D16705" s="216" t="n">
        <v>1.131631016731262</v>
      </c>
      <c r="E16705" s="215" t="n">
        <v>46077</v>
      </c>
      <c r="F16705" s="215" t="n">
        <v>46077</v>
      </c>
    </row>
    <row r="16706">
      <c r="A16706" s="215" t="n">
        <v>46078</v>
      </c>
      <c r="B16706" s="216" t="n">
        <v>39.76</v>
      </c>
      <c r="C16706" s="216" t="n">
        <v>39.2</v>
      </c>
      <c r="D16706" s="216" t="n">
        <v>1.136234045028687</v>
      </c>
      <c r="E16706" s="215" t="n">
        <v>46078</v>
      </c>
      <c r="F16706" s="215" t="n">
        <v>46078</v>
      </c>
    </row>
    <row r="16707">
      <c r="A16707" s="215" t="n">
        <v>46079</v>
      </c>
      <c r="B16707" s="216" t="n">
        <v>38.62</v>
      </c>
      <c r="C16707" s="216" t="n">
        <v>38.77</v>
      </c>
      <c r="D16707" s="216" t="n">
        <v>1.138198971748352</v>
      </c>
      <c r="E16707" s="215" t="n">
        <v>46079</v>
      </c>
      <c r="F16707" s="215" t="n">
        <v>46079</v>
      </c>
    </row>
    <row r="16708">
      <c r="A16708" s="215" t="n">
        <v>46080</v>
      </c>
      <c r="B16708" s="216" t="n">
        <v>39.66</v>
      </c>
      <c r="C16708" s="216" t="n">
        <v>39.92</v>
      </c>
      <c r="D16708" s="216" t="n">
        <v>1.143396973609924</v>
      </c>
      <c r="E16708" s="215" t="n">
        <v>46080</v>
      </c>
      <c r="F16708" s="215" t="n">
        <v>46080</v>
      </c>
    </row>
    <row r="16709">
      <c r="A16709" s="215" t="n">
        <v>46083</v>
      </c>
      <c r="B16709" s="216" t="n">
        <v>44.48</v>
      </c>
      <c r="C16709" s="216" t="n">
        <v>43.91</v>
      </c>
      <c r="D16709" s="216" t="n">
        <v>1.140552043914795</v>
      </c>
      <c r="E16709" s="215" t="n">
        <v>46083</v>
      </c>
      <c r="F16709" s="215" t="n">
        <v>46083</v>
      </c>
    </row>
    <row r="16710">
      <c r="A16710" s="215" t="n">
        <v>46084</v>
      </c>
      <c r="B16710" s="216" t="n">
        <v>42.06</v>
      </c>
      <c r="C16710" s="216" t="n">
        <v>42.7</v>
      </c>
      <c r="D16710" s="216" t="n">
        <v>1.136399984359741</v>
      </c>
      <c r="E16710" s="215" t="n">
        <v>46084</v>
      </c>
      <c r="F16710" s="215" t="n">
        <v>46084</v>
      </c>
    </row>
    <row r="16711">
      <c r="A16711" s="215" t="n">
        <v>46085</v>
      </c>
      <c r="B16711" s="216" t="n">
        <v>40.64</v>
      </c>
      <c r="C16711" s="216" t="n">
        <v>41.58</v>
      </c>
      <c r="D16711" s="216" t="n">
        <v>1.130928993225098</v>
      </c>
      <c r="E16711" s="215" t="n">
        <v>46085</v>
      </c>
      <c r="F16711" s="215" t="n">
        <v>46085</v>
      </c>
    </row>
    <row r="16712">
      <c r="A16712" s="215" t="n">
        <v>46086</v>
      </c>
      <c r="B16712" s="216" t="n">
        <v>39.14</v>
      </c>
      <c r="C16712" s="216" t="n">
        <v>40.34</v>
      </c>
      <c r="D16712" s="216" t="n">
        <v>1.133169054985046</v>
      </c>
      <c r="E16712" s="215" t="n">
        <v>46086</v>
      </c>
      <c r="F16712" s="215" t="n">
        <v>46086</v>
      </c>
    </row>
    <row r="16713">
      <c r="A16713" s="215" t="n">
        <v>46087</v>
      </c>
      <c r="B16713" s="216" t="n">
        <v>39.8</v>
      </c>
      <c r="C16713" s="216" t="n">
        <v>39.94</v>
      </c>
      <c r="D16713" s="216" t="n">
        <v>1.133442044258118</v>
      </c>
      <c r="E16713" s="215" t="n">
        <v>46087</v>
      </c>
      <c r="F16713" s="215" t="n">
        <v>46087</v>
      </c>
    </row>
    <row r="16714">
      <c r="A16714" s="215" t="n">
        <v>46090</v>
      </c>
      <c r="B16714" s="216" t="n">
        <v>39.94</v>
      </c>
      <c r="C16714" s="216" t="n">
        <v>40.55</v>
      </c>
      <c r="D16714" s="216" t="n">
        <v>1.133231043815613</v>
      </c>
      <c r="E16714" s="215" t="n">
        <v>46090</v>
      </c>
      <c r="F16714" s="215" t="n">
        <v>46090</v>
      </c>
    </row>
    <row r="16715">
      <c r="A16715" s="215" t="n">
        <v>46091</v>
      </c>
      <c r="B16715" s="216" t="n">
        <v>42.1</v>
      </c>
      <c r="C16715" s="216" t="n">
        <v>40.86</v>
      </c>
      <c r="D16715" s="216" t="n">
        <v>1.131595015525818</v>
      </c>
      <c r="E16715" s="215" t="n">
        <v>46091</v>
      </c>
      <c r="F16715" s="215" t="n">
        <v>46091</v>
      </c>
    </row>
    <row r="16716">
      <c r="A16716" s="215" t="n">
        <v>46092</v>
      </c>
      <c r="B16716" s="216" t="n">
        <v>43.02</v>
      </c>
      <c r="C16716" s="216" t="n">
        <v>41.73</v>
      </c>
      <c r="D16716" s="216" t="n">
        <v>1.137585043907166</v>
      </c>
      <c r="E16716" s="215" t="n">
        <v>46092</v>
      </c>
      <c r="F16716" s="215" t="n">
        <v>46092</v>
      </c>
    </row>
    <row r="16717">
      <c r="A16717" s="215" t="n">
        <v>46093</v>
      </c>
      <c r="B16717" s="216" t="n">
        <v>43.68</v>
      </c>
      <c r="C16717" s="216" t="n">
        <v>42.35</v>
      </c>
      <c r="D16717" s="216" t="n">
        <v>1.139600038528442</v>
      </c>
      <c r="E16717" s="215" t="n">
        <v>46093</v>
      </c>
      <c r="F16717" s="215" t="n">
        <v>46093</v>
      </c>
    </row>
    <row r="16718">
      <c r="A16718" s="215" t="n">
        <v>46094</v>
      </c>
      <c r="B16718" s="216" t="n">
        <v>40.3</v>
      </c>
      <c r="C16718" s="216" t="n">
        <v>40.91</v>
      </c>
      <c r="D16718" s="216" t="n">
        <v>1.139310002326965</v>
      </c>
      <c r="E16718" s="215" t="n">
        <v>46094</v>
      </c>
      <c r="F16718" s="215" t="n">
        <v>46094</v>
      </c>
    </row>
    <row r="16719">
      <c r="A16719" s="215" t="n">
        <v>46097</v>
      </c>
      <c r="B16719" s="216" t="n">
        <v>37.68</v>
      </c>
      <c r="C16719" s="216" t="n">
        <v>39.6</v>
      </c>
      <c r="D16719" s="216" t="n">
        <v>1.134883999824524</v>
      </c>
      <c r="E16719" s="215" t="n">
        <v>46097</v>
      </c>
      <c r="F16719" s="215" t="n">
        <v>46097</v>
      </c>
    </row>
    <row r="16720">
      <c r="A16720" s="215" t="n">
        <v>46098</v>
      </c>
      <c r="B16720" s="216" t="n">
        <v>39.06</v>
      </c>
      <c r="C16720" s="216" t="n">
        <v>40.01</v>
      </c>
      <c r="D16720" s="216" t="n">
        <v>1.125375986099243</v>
      </c>
      <c r="E16720" s="215" t="n">
        <v>46098</v>
      </c>
      <c r="F16720" s="215" t="n">
        <v>46098</v>
      </c>
    </row>
    <row r="16721">
      <c r="A16721" s="215" t="n">
        <v>46099</v>
      </c>
      <c r="B16721" s="216" t="n">
        <v>42.08</v>
      </c>
      <c r="C16721" s="216" t="n">
        <v>40.82</v>
      </c>
      <c r="D16721" s="216" t="n">
        <v>1.137819051742554</v>
      </c>
      <c r="E16721" s="215" t="n">
        <v>46099</v>
      </c>
      <c r="F16721" s="215" t="n">
        <v>46099</v>
      </c>
    </row>
    <row r="16722">
      <c r="A16722" s="215" t="n">
        <v>46104</v>
      </c>
      <c r="B16722" s="216" t="n">
        <v>31.52</v>
      </c>
      <c r="C16722" s="216" t="n">
        <v>36.74</v>
      </c>
      <c r="D16722" s="216" t="n">
        <v>1.137529969215393</v>
      </c>
      <c r="E16722" s="215" t="n">
        <v>46104</v>
      </c>
      <c r="F16722" s="215" t="n">
        <v>46104</v>
      </c>
    </row>
    <row r="16723">
      <c r="A16723" s="215" t="n">
        <v>46105</v>
      </c>
      <c r="B16723" s="216" t="n">
        <v>35.6</v>
      </c>
      <c r="C16723" s="216" t="n">
        <v>36.12</v>
      </c>
      <c r="D16723" s="216" t="n">
        <v>1.138481974601746</v>
      </c>
      <c r="E16723" s="215" t="n">
        <v>46105</v>
      </c>
      <c r="F16723" s="215" t="n">
        <v>46105</v>
      </c>
    </row>
    <row r="16724">
      <c r="A16724" s="215" t="n">
        <v>46106</v>
      </c>
      <c r="B16724" s="216" t="n">
        <v>37</v>
      </c>
      <c r="C16724" s="216" t="n">
        <v>38.33</v>
      </c>
      <c r="D16724" s="216" t="n">
        <v>1.135548949241638</v>
      </c>
      <c r="E16724" s="215" t="n">
        <v>46106</v>
      </c>
      <c r="F16724" s="215" t="n">
        <v>46106</v>
      </c>
    </row>
    <row r="16725">
      <c r="A16725" s="215" t="n">
        <v>46107</v>
      </c>
      <c r="B16725" s="216" t="n">
        <v>35.1</v>
      </c>
      <c r="C16725" s="216" t="n">
        <v>37.3</v>
      </c>
      <c r="D16725" s="216" t="n">
        <v>1.132627010345459</v>
      </c>
      <c r="E16725" s="215" t="n">
        <v>46107</v>
      </c>
      <c r="F16725" s="215" t="n">
        <v>46107</v>
      </c>
    </row>
    <row r="16726">
      <c r="A16726" s="215" t="n">
        <v>46108</v>
      </c>
      <c r="B16726" s="216" t="n">
        <v>37.1</v>
      </c>
      <c r="C16726" s="216" t="n">
        <v>39.8</v>
      </c>
      <c r="D16726" s="216" t="n">
        <v>1.132115960121155</v>
      </c>
      <c r="E16726" s="215" t="n">
        <v>46108</v>
      </c>
      <c r="F16726" s="215" t="n">
        <v>46108</v>
      </c>
    </row>
    <row r="16727">
      <c r="A16727" s="215" t="n">
        <v>46111</v>
      </c>
      <c r="B16727" s="216" t="n">
        <v>40.92</v>
      </c>
      <c r="C16727" s="216" t="n">
        <v>42.94</v>
      </c>
      <c r="D16727" s="216" t="n">
        <v>1.13311505317688</v>
      </c>
      <c r="E16727" s="215" t="n">
        <v>46111</v>
      </c>
      <c r="F16727" s="215" t="n">
        <v>46111</v>
      </c>
    </row>
    <row r="16728">
      <c r="A16728" s="215" t="n">
        <v>46112</v>
      </c>
      <c r="B16728" s="216" t="n">
        <v>41.34</v>
      </c>
      <c r="C16728" s="216" t="n">
        <v>43.15</v>
      </c>
      <c r="D16728" s="216" t="n">
        <v>1.133540987968445</v>
      </c>
      <c r="E16728" s="215" t="n">
        <v>46112</v>
      </c>
      <c r="F16728" s="215" t="n">
        <v>46112</v>
      </c>
    </row>
    <row r="16729">
      <c r="A16729" s="215" t="n">
        <v>46113</v>
      </c>
      <c r="B16729" s="216" t="n">
        <v>44.24</v>
      </c>
      <c r="C16729" s="216" t="n">
        <v>45.35</v>
      </c>
      <c r="D16729" s="216" t="n">
        <v>1.136669993400574</v>
      </c>
      <c r="E16729" s="215" t="n">
        <v>46113</v>
      </c>
      <c r="F16729" s="215" t="n">
        <v>46113</v>
      </c>
    </row>
    <row r="16730">
      <c r="A16730" s="215" t="n">
        <v>46114</v>
      </c>
      <c r="B16730" s="216" t="n">
        <v>41.88</v>
      </c>
      <c r="C16730" s="216" t="n">
        <v>45</v>
      </c>
      <c r="D16730" s="216" t="n">
        <v>1.140197992324829</v>
      </c>
      <c r="E16730" s="215" t="n">
        <v>46114</v>
      </c>
      <c r="F16730" s="215" t="n">
        <v>46114</v>
      </c>
    </row>
    <row r="16731">
      <c r="A16731" s="215" t="n">
        <v>46120</v>
      </c>
      <c r="B16731" s="216" t="n">
        <v>45.32</v>
      </c>
      <c r="C16731" s="216" t="n">
        <v>47.36</v>
      </c>
      <c r="D16731" s="216" t="n">
        <v>1.1423499584198</v>
      </c>
      <c r="E16731" s="215" t="n">
        <v>46120</v>
      </c>
      <c r="F16731" s="215" t="n">
        <v>46120</v>
      </c>
    </row>
    <row r="16732">
      <c r="A16732" s="215" t="n">
        <v>46121</v>
      </c>
      <c r="B16732" s="216" t="n">
        <v>43.24</v>
      </c>
      <c r="C16732" s="216" t="n">
        <v>45.85</v>
      </c>
      <c r="D16732" s="216" t="n">
        <v>1.146731972694397</v>
      </c>
      <c r="E16732" s="215" t="n">
        <v>46121</v>
      </c>
      <c r="F16732" s="215" t="n">
        <v>46121</v>
      </c>
    </row>
    <row r="16733">
      <c r="A16733" s="215" t="n">
        <v>46122</v>
      </c>
      <c r="B16733" s="216" t="n">
        <v>42.1</v>
      </c>
      <c r="C16733" s="216" t="n">
        <v>45.08</v>
      </c>
      <c r="D16733" s="216" t="n">
        <v>1.146558046340942</v>
      </c>
      <c r="E16733" s="215" t="n">
        <v>46122</v>
      </c>
      <c r="F16733" s="215" t="n">
        <v>46122</v>
      </c>
    </row>
    <row r="16734">
      <c r="A16734" s="215" t="n">
        <v>46125</v>
      </c>
      <c r="B16734" s="216" t="n">
        <v>41.86</v>
      </c>
      <c r="C16734" s="216" t="n">
        <v>44.18</v>
      </c>
      <c r="D16734" s="216" t="n">
        <v>1.147117972373962</v>
      </c>
      <c r="E16734" s="215" t="n">
        <v>46125</v>
      </c>
      <c r="F16734" s="215" t="n">
        <v>46125</v>
      </c>
    </row>
    <row r="16735">
      <c r="A16735" s="215" t="n">
        <v>46126</v>
      </c>
      <c r="B16735" s="216" t="n">
        <v>41.8</v>
      </c>
      <c r="C16735" s="216" t="n">
        <v>44.01</v>
      </c>
      <c r="D16735" s="216" t="n">
        <v>1.146226048469543</v>
      </c>
      <c r="E16735" s="215" t="n">
        <v>46126</v>
      </c>
      <c r="F16735" s="215" t="n">
        <v>46126</v>
      </c>
    </row>
    <row r="16736">
      <c r="A16736" s="215" t="n">
        <v>46127</v>
      </c>
      <c r="B16736" s="216" t="n">
        <v>41.8</v>
      </c>
      <c r="C16736" s="216" t="n">
        <v>43.3</v>
      </c>
      <c r="D16736" s="216" t="n">
        <v>1.149266004562378</v>
      </c>
      <c r="E16736" s="215" t="n">
        <v>46127</v>
      </c>
      <c r="F16736" s="215" t="n">
        <v>46127</v>
      </c>
    </row>
    <row r="16737">
      <c r="A16737" s="215" t="n">
        <v>46128</v>
      </c>
      <c r="B16737" s="216" t="n">
        <v>42.28</v>
      </c>
      <c r="C16737" s="216" t="n">
        <v>44.1</v>
      </c>
      <c r="D16737" s="216" t="n">
        <v>1.148550033569336</v>
      </c>
      <c r="E16737" s="215" t="n">
        <v>46128</v>
      </c>
      <c r="F16737" s="215" t="n">
        <v>46128</v>
      </c>
    </row>
    <row r="16738">
      <c r="A16738" s="215" t="n">
        <v>46129</v>
      </c>
      <c r="B16738" s="216" t="n">
        <v>41.1</v>
      </c>
      <c r="C16738" s="216" t="n">
        <v>43.42</v>
      </c>
      <c r="D16738" s="216" t="n">
        <v>1.146605014801025</v>
      </c>
      <c r="E16738" s="215" t="n">
        <v>46129</v>
      </c>
      <c r="F16738" s="215" t="n">
        <v>46129</v>
      </c>
    </row>
    <row r="16739">
      <c r="A16739" s="215" t="n">
        <v>46132</v>
      </c>
      <c r="B16739" s="216" t="n">
        <v>41.52</v>
      </c>
      <c r="C16739" s="216" t="n">
        <v>44.24</v>
      </c>
      <c r="D16739" s="216" t="n">
        <v>1.148360967636108</v>
      </c>
      <c r="E16739" s="215" t="n">
        <v>46132</v>
      </c>
      <c r="F16739" s="215" t="n">
        <v>46132</v>
      </c>
    </row>
    <row r="16740">
      <c r="A16740" s="215" t="n">
        <v>46133</v>
      </c>
      <c r="B16740" s="216" t="n">
        <v>42.42</v>
      </c>
      <c r="C16740" s="216" t="n">
        <v>44.33</v>
      </c>
      <c r="D16740" s="216" t="n">
        <v>1.148368000984192</v>
      </c>
      <c r="E16740" s="215" t="n">
        <v>46133</v>
      </c>
      <c r="F16740" s="215" t="n">
        <v>46133</v>
      </c>
    </row>
    <row r="16741">
      <c r="A16741" s="215" t="n">
        <v>46134</v>
      </c>
      <c r="B16741" s="216" t="n">
        <v>41.94</v>
      </c>
      <c r="C16741" s="216" t="n">
        <v>43.22</v>
      </c>
      <c r="D16741" s="216" t="n">
        <v>1.147838950157166</v>
      </c>
      <c r="E16741" s="215" t="n">
        <v>46134</v>
      </c>
      <c r="F16741" s="215" t="n">
        <v>46134</v>
      </c>
    </row>
    <row r="16742">
      <c r="A16742" s="215" t="n">
        <v>46135</v>
      </c>
      <c r="B16742" s="216" t="n">
        <v>39.12</v>
      </c>
      <c r="C16742" s="216" t="n">
        <v>41.17</v>
      </c>
      <c r="D16742" s="216" t="n">
        <v>1.147513031959534</v>
      </c>
      <c r="E16742" s="215" t="n">
        <v>46135</v>
      </c>
      <c r="F16742" s="215" t="n">
        <v>46135</v>
      </c>
    </row>
    <row r="16743">
      <c r="A16743" s="215" t="n">
        <v>46136</v>
      </c>
      <c r="B16743" s="216" t="n">
        <v>38.98</v>
      </c>
      <c r="C16743" s="216" t="n">
        <v>40.69</v>
      </c>
      <c r="D16743" s="216" t="n">
        <v>1.147369027137756</v>
      </c>
      <c r="E16743" s="215" t="n">
        <v>46136</v>
      </c>
      <c r="F16743" s="215" t="n">
        <v>46136</v>
      </c>
    </row>
    <row r="16744">
      <c r="A16744" s="215" t="n">
        <v>46139</v>
      </c>
      <c r="B16744" s="216" t="n">
        <v>37.78</v>
      </c>
      <c r="C16744" s="216" t="n">
        <v>38.98</v>
      </c>
      <c r="D16744" s="216" t="n">
        <v>1.146002054214478</v>
      </c>
      <c r="E16744" s="215" t="n">
        <v>46139</v>
      </c>
      <c r="F16744" s="215" t="n">
        <v>46139</v>
      </c>
    </row>
    <row r="16745">
      <c r="A16745" s="215" t="n">
        <v>46140</v>
      </c>
      <c r="B16745" s="216" t="n">
        <v>36.94</v>
      </c>
      <c r="C16745" s="216" t="n">
        <v>37.37</v>
      </c>
      <c r="D16745" s="216" t="n">
        <v>1.148522019386292</v>
      </c>
      <c r="E16745" s="215" t="n">
        <v>46140</v>
      </c>
      <c r="F16745" s="215" t="n">
        <v>46140</v>
      </c>
    </row>
    <row r="16746">
      <c r="A16746" s="215" t="n">
        <v>46141</v>
      </c>
      <c r="B16746" s="216" t="n">
        <v>38.08</v>
      </c>
      <c r="C16746" s="216" t="n">
        <v>38.88</v>
      </c>
      <c r="D16746" s="216" t="n">
        <v>1.145936012268066</v>
      </c>
      <c r="E16746" s="215" t="n">
        <v>46141</v>
      </c>
      <c r="F16746" s="215" t="n">
        <v>46141</v>
      </c>
    </row>
    <row r="16747">
      <c r="A16747" s="215" t="n">
        <v>46142</v>
      </c>
      <c r="B16747" s="216" t="n">
        <v>36</v>
      </c>
      <c r="C16747" s="216" t="n">
        <v>38</v>
      </c>
      <c r="D16747" s="216" t="n">
        <v>1.145792007446289</v>
      </c>
      <c r="E16747" s="215" t="n">
        <v>46142</v>
      </c>
      <c r="F16747" s="215" t="n">
        <v>46142</v>
      </c>
    </row>
    <row r="16748">
      <c r="A16748" s="215" t="n">
        <v>46146</v>
      </c>
      <c r="B16748" s="216" t="n">
        <v>35.54</v>
      </c>
      <c r="C16748" s="216" t="n">
        <v>38</v>
      </c>
      <c r="D16748" s="216" t="n">
        <v>1.147340059280396</v>
      </c>
      <c r="E16748" s="215" t="n">
        <v>46142</v>
      </c>
      <c r="F16748" s="215" t="n">
        <v>46146</v>
      </c>
    </row>
    <row r="16749">
      <c r="A16749" s="215" t="n">
        <v>46147</v>
      </c>
      <c r="B16749" s="216" t="n">
        <v>36.44</v>
      </c>
      <c r="C16749" s="216" t="n">
        <v>38</v>
      </c>
      <c r="D16749" s="216" t="n">
        <v>1.146813988685608</v>
      </c>
      <c r="E16749" s="215" t="n">
        <v>46142</v>
      </c>
      <c r="F16749" s="215" t="n">
        <v>46147</v>
      </c>
    </row>
    <row r="16750">
      <c r="A16750" s="215" t="n">
        <v>46148</v>
      </c>
      <c r="B16750" s="216" t="n">
        <v>40.5</v>
      </c>
      <c r="C16750" s="216" t="n">
        <v>41.11</v>
      </c>
      <c r="D16750" s="216" t="n">
        <v>1.14708399772644</v>
      </c>
      <c r="E16750" s="215" t="n">
        <v>46148</v>
      </c>
      <c r="F16750" s="215" t="n">
        <v>46148</v>
      </c>
    </row>
    <row r="16751">
      <c r="A16751" s="215" t="n">
        <v>46149</v>
      </c>
      <c r="B16751" s="216" t="n">
        <v>42.94</v>
      </c>
      <c r="C16751" s="216" t="n">
        <v>42.36</v>
      </c>
      <c r="D16751" s="216" t="n">
        <v>1.150125026702881</v>
      </c>
      <c r="E16751" s="215" t="n">
        <v>46149</v>
      </c>
      <c r="F16751" s="215" t="n">
        <v>46149</v>
      </c>
    </row>
    <row r="16752">
      <c r="A16752" s="215" t="n">
        <v>46150</v>
      </c>
      <c r="B16752" s="216" t="n">
        <v>45.7</v>
      </c>
      <c r="C16752" s="216" t="n">
        <v>44.4</v>
      </c>
      <c r="D16752" s="216" t="n">
        <v>1.15172004699707</v>
      </c>
      <c r="E16752" s="215" t="n">
        <v>46150</v>
      </c>
      <c r="F16752" s="215" t="n">
        <v>46150</v>
      </c>
    </row>
    <row r="16753">
      <c r="A16753" s="215" t="n">
        <v>46153</v>
      </c>
      <c r="B16753" s="216" t="n">
        <v>41.28</v>
      </c>
      <c r="C16753" s="216" t="n">
        <v>42.04</v>
      </c>
      <c r="D16753" s="216" t="n">
        <v>1.151090025901794</v>
      </c>
      <c r="E16753" s="215" t="n">
        <v>46153</v>
      </c>
      <c r="F16753" s="215" t="n">
        <v>46153</v>
      </c>
    </row>
    <row r="16754">
      <c r="A16754" s="215" t="n">
        <v>46154</v>
      </c>
      <c r="B16754" s="216" t="n">
        <v>41.64</v>
      </c>
      <c r="C16754" s="216" t="n">
        <v>40.95</v>
      </c>
      <c r="D16754" s="216" t="n">
        <v>1.152078986167908</v>
      </c>
      <c r="E16754" s="215" t="n">
        <v>46154</v>
      </c>
      <c r="F16754" s="215" t="n">
        <v>46154</v>
      </c>
    </row>
    <row r="16755">
      <c r="A16755" s="215" t="n">
        <v>46155</v>
      </c>
      <c r="B16755" s="216" t="n">
        <v>40.9</v>
      </c>
      <c r="C16755" s="216" t="n">
        <v>40.8</v>
      </c>
      <c r="D16755" s="216" t="n">
        <v>1.152537941932678</v>
      </c>
      <c r="E16755" s="215" t="n">
        <v>46155</v>
      </c>
      <c r="F16755" s="215" t="n">
        <v>46155</v>
      </c>
    </row>
    <row r="16756">
      <c r="A16756" s="215" t="n">
        <v>46156</v>
      </c>
      <c r="B16756" s="216" t="n">
        <v>40.04</v>
      </c>
      <c r="C16756" s="216" t="n">
        <v>39.68</v>
      </c>
      <c r="D16756" s="216" t="n">
        <v>1.152662992477417</v>
      </c>
      <c r="E16756" s="215" t="n">
        <v>46156</v>
      </c>
      <c r="F16756" s="215" t="n">
        <v>46156</v>
      </c>
    </row>
    <row r="16757">
      <c r="A16757" s="215" t="n">
        <v>46157</v>
      </c>
      <c r="B16757" s="216" t="n">
        <v>37.64</v>
      </c>
      <c r="C16757" s="216" t="n">
        <v>37.64</v>
      </c>
      <c r="D16757" s="216" t="n">
        <v>1.154320001602173</v>
      </c>
      <c r="E16757" s="215" t="n">
        <v>46157</v>
      </c>
      <c r="F16757" s="215" t="n">
        <v>46157</v>
      </c>
    </row>
    <row r="16758">
      <c r="A16758" s="215" t="n">
        <v>46160</v>
      </c>
      <c r="B16758" s="216" t="n">
        <v>35.9</v>
      </c>
      <c r="C16758" s="216" t="n">
        <v>36.66</v>
      </c>
      <c r="D16758" s="216" t="n">
        <v>1.149821996688843</v>
      </c>
      <c r="E16758" s="215" t="n">
        <v>46160</v>
      </c>
      <c r="F16758" s="215" t="n">
        <v>46160</v>
      </c>
    </row>
    <row r="16759">
      <c r="A16759" s="215" t="n">
        <v>46161</v>
      </c>
      <c r="B16759" s="216" t="n">
        <v>34.98</v>
      </c>
      <c r="C16759" s="216" t="n">
        <v>36.26</v>
      </c>
      <c r="D16759" s="216" t="n">
        <v>1.151532053947449</v>
      </c>
      <c r="E16759" s="215" t="n">
        <v>46161</v>
      </c>
      <c r="F16759" s="215" t="n">
        <v>46161</v>
      </c>
    </row>
    <row r="16760">
      <c r="A16760" s="215" t="n">
        <v>46162</v>
      </c>
      <c r="B16760" s="216" t="n">
        <v>33.88</v>
      </c>
      <c r="C16760" s="216" t="n">
        <v>35.68</v>
      </c>
      <c r="D16760" s="216" t="n">
        <v>1.149292945861816</v>
      </c>
      <c r="E16760" s="215" t="n">
        <v>46162</v>
      </c>
      <c r="F16760" s="215" t="n">
        <v>46162</v>
      </c>
    </row>
    <row r="16761">
      <c r="A16761" s="215" t="n">
        <v>46163</v>
      </c>
      <c r="B16761" s="216" t="n">
        <v>33.2</v>
      </c>
      <c r="C16761" s="216" t="n">
        <v>34.5</v>
      </c>
      <c r="D16761" s="216" t="n">
        <v>1.151231050491333</v>
      </c>
      <c r="E16761" s="215" t="n">
        <v>46163</v>
      </c>
      <c r="F16761" s="215" t="n">
        <v>46163</v>
      </c>
    </row>
    <row r="16762">
      <c r="A16762" s="215" t="n">
        <v>46164</v>
      </c>
      <c r="B16762" s="216" t="n">
        <v>33.62</v>
      </c>
      <c r="C16762" s="216" t="n">
        <v>35.15</v>
      </c>
      <c r="D16762" s="216" t="n">
        <v>1.151487946510315</v>
      </c>
      <c r="E16762" s="215" t="n">
        <v>46164</v>
      </c>
      <c r="F16762" s="215" t="n">
        <v>46164</v>
      </c>
    </row>
    <row r="16763">
      <c r="A16763" s="215" t="n">
        <v>46168</v>
      </c>
      <c r="B16763" s="216" t="n">
        <v>34.88</v>
      </c>
      <c r="C16763" s="216" t="n">
        <v>38.17</v>
      </c>
      <c r="D16763" s="216" t="n">
        <v>1.152968049049377</v>
      </c>
      <c r="E16763" s="215" t="n">
        <v>46168</v>
      </c>
      <c r="F16763" s="215" t="n">
        <v>46168</v>
      </c>
    </row>
    <row r="16764">
      <c r="A16764" s="215" t="n">
        <v>46169</v>
      </c>
      <c r="B16764" s="216" t="n">
        <v>32.86</v>
      </c>
      <c r="C16764" s="216" t="n">
        <v>35.74</v>
      </c>
      <c r="D16764" s="216" t="n">
        <v>1.154562950134277</v>
      </c>
      <c r="E16764" s="215" t="n">
        <v>46169</v>
      </c>
      <c r="F16764" s="215" t="n">
        <v>46169</v>
      </c>
    </row>
    <row r="16765">
      <c r="A16765" s="215" t="n">
        <v>46170</v>
      </c>
      <c r="B16765" s="216" t="n">
        <v>31.3</v>
      </c>
      <c r="C16765" s="216" t="n">
        <v>34</v>
      </c>
      <c r="D16765" s="216" t="n">
        <v>1.155385971069336</v>
      </c>
      <c r="E16765" s="215" t="n">
        <v>46170</v>
      </c>
      <c r="F16765" s="215" t="n">
        <v>46170</v>
      </c>
    </row>
    <row r="16766">
      <c r="A16766" s="215" t="n">
        <v>46171</v>
      </c>
      <c r="B16766" s="216" t="n">
        <v>30.66</v>
      </c>
      <c r="C16766" s="216" t="n">
        <v>33.37</v>
      </c>
      <c r="D16766" s="216" t="n">
        <v>1.155282974243164</v>
      </c>
      <c r="E16766" s="215" t="n">
        <v>46171</v>
      </c>
      <c r="F16766" s="215" t="n">
        <v>46171</v>
      </c>
    </row>
    <row r="16767">
      <c r="A16767" s="215" t="n">
        <v>46174</v>
      </c>
      <c r="B16767" s="216" t="n">
        <v>30.56</v>
      </c>
      <c r="C16767" s="216" t="n">
        <v>33.5</v>
      </c>
      <c r="D16767" s="216" t="n">
        <v>1.158049941062927</v>
      </c>
      <c r="E16767" s="215" t="n">
        <v>46174</v>
      </c>
      <c r="F16767" s="215" t="n">
        <v>46174</v>
      </c>
    </row>
    <row r="16768">
      <c r="A16768" s="215" t="n">
        <v>46175</v>
      </c>
      <c r="B16768" s="216" t="n">
        <v>31.5</v>
      </c>
      <c r="C16768" s="216" t="n">
        <v>34.15</v>
      </c>
      <c r="D16768" s="216" t="n">
        <v>1.158406972885132</v>
      </c>
      <c r="E16768" s="215" t="n">
        <v>46175</v>
      </c>
      <c r="F16768" s="215" t="n">
        <v>46175</v>
      </c>
    </row>
    <row r="16769">
      <c r="A16769" s="215" t="n">
        <v>46176</v>
      </c>
      <c r="B16769" s="216" t="n">
        <v>30.64</v>
      </c>
      <c r="C16769" s="216" t="n">
        <v>33.45</v>
      </c>
      <c r="D16769" s="216" t="n">
        <v>1.15879499912262</v>
      </c>
      <c r="E16769" s="215" t="n">
        <v>46176</v>
      </c>
      <c r="F16769" s="215" t="n">
        <v>46176</v>
      </c>
    </row>
    <row r="16770">
      <c r="A16770" s="215" t="n">
        <v>46177</v>
      </c>
      <c r="B16770" s="216" t="n">
        <v>29.74</v>
      </c>
      <c r="C16770" s="216" t="n">
        <v>32.23</v>
      </c>
      <c r="D16770" s="216" t="n">
        <v>1.157420039176941</v>
      </c>
      <c r="E16770" s="215" t="n">
        <v>46177</v>
      </c>
      <c r="F16770" s="215" t="n">
        <v>46177</v>
      </c>
    </row>
    <row r="16771">
      <c r="A16771" s="215" t="n">
        <v>46178</v>
      </c>
      <c r="B16771" s="216" t="n">
        <v>28.9</v>
      </c>
      <c r="C16771" s="216" t="n">
        <v>31.36</v>
      </c>
      <c r="D16771" s="216" t="n">
        <v>1.156491994857788</v>
      </c>
      <c r="E16771" s="215" t="n">
        <v>46178</v>
      </c>
      <c r="F16771" s="215" t="n">
        <v>46178</v>
      </c>
    </row>
    <row r="16772">
      <c r="A16772" s="215" t="n">
        <v>46181</v>
      </c>
      <c r="B16772" s="216" t="n">
        <v>27.12</v>
      </c>
      <c r="C16772" s="216" t="n">
        <v>29.2</v>
      </c>
      <c r="D16772" s="216" t="n">
        <v>1.157665967941284</v>
      </c>
      <c r="E16772" s="215" t="n">
        <v>46181</v>
      </c>
      <c r="F16772" s="215" t="n">
        <v>46181</v>
      </c>
    </row>
    <row r="16773">
      <c r="A16773" s="215" t="n">
        <v>46182</v>
      </c>
      <c r="B16773" s="216" t="n">
        <v>27.06</v>
      </c>
      <c r="C16773" s="216" t="n">
        <v>29.37</v>
      </c>
      <c r="D16773" s="216" t="n">
        <v>1.158027052879333</v>
      </c>
      <c r="E16773" s="215" t="n">
        <v>46182</v>
      </c>
      <c r="F16773" s="215" t="n">
        <v>46182</v>
      </c>
    </row>
    <row r="16774">
      <c r="A16774" s="215" t="n">
        <v>46183</v>
      </c>
      <c r="B16774" s="216" t="n">
        <v>24.96</v>
      </c>
      <c r="C16774" s="216" t="n">
        <v>28.17</v>
      </c>
      <c r="D16774" s="216" t="n">
        <v>1.157112002372742</v>
      </c>
      <c r="E16774" s="215" t="n">
        <v>46183</v>
      </c>
      <c r="F16774" s="215" t="n">
        <v>46183</v>
      </c>
    </row>
    <row r="16775">
      <c r="A16775" s="215" t="n">
        <v>46184</v>
      </c>
      <c r="B16775" s="216" t="n">
        <v>25.02</v>
      </c>
      <c r="C16775" s="216" t="n">
        <v>28.26</v>
      </c>
      <c r="D16775" s="216" t="n">
        <v>1.156929016113281</v>
      </c>
      <c r="E16775" s="215" t="n">
        <v>46184</v>
      </c>
      <c r="F16775" s="215" t="n">
        <v>46184</v>
      </c>
    </row>
    <row r="16776">
      <c r="A16776" s="215" t="n">
        <v>46185</v>
      </c>
      <c r="B16776" s="216" t="n">
        <v>27.68</v>
      </c>
      <c r="C16776" s="216" t="n">
        <v>30.37</v>
      </c>
      <c r="D16776" s="216" t="n">
        <v>1.156345963478088</v>
      </c>
      <c r="E16776" s="215" t="n">
        <v>46185</v>
      </c>
      <c r="F16776" s="215" t="n">
        <v>46185</v>
      </c>
    </row>
    <row r="16777">
      <c r="A16777" s="215" t="n">
        <v>46188</v>
      </c>
      <c r="B16777" s="216" t="n">
        <v>29.08</v>
      </c>
      <c r="C16777" s="216" t="n">
        <v>32.63</v>
      </c>
      <c r="D16777" s="216" t="n">
        <v>1.156880021095276</v>
      </c>
      <c r="E16777" s="215" t="n">
        <v>46188</v>
      </c>
      <c r="F16777" s="215" t="n">
        <v>46188</v>
      </c>
    </row>
    <row r="16778">
      <c r="A16778" s="215" t="n">
        <v>46189</v>
      </c>
      <c r="B16778" s="216" t="n">
        <v>28.84</v>
      </c>
      <c r="C16778" s="216" t="n">
        <v>31.98</v>
      </c>
      <c r="D16778" s="216" t="n">
        <v>1.158604025840759</v>
      </c>
      <c r="E16778" s="215" t="n">
        <v>46189</v>
      </c>
      <c r="F16778" s="215" t="n">
        <v>46189</v>
      </c>
    </row>
    <row r="16779">
      <c r="A16779" s="215" t="n">
        <v>46190</v>
      </c>
      <c r="B16779" s="216" t="n">
        <v>28.86</v>
      </c>
      <c r="C16779" s="216" t="n">
        <v>32.5</v>
      </c>
      <c r="D16779" s="216" t="n">
        <v>1.158974051475525</v>
      </c>
      <c r="E16779" s="215" t="n">
        <v>46190</v>
      </c>
      <c r="F16779" s="215" t="n">
        <v>46190</v>
      </c>
    </row>
    <row r="16780">
      <c r="A16780" s="215" t="n">
        <v>46191</v>
      </c>
      <c r="B16780" s="216" t="n">
        <v>27.5</v>
      </c>
      <c r="C16780" s="216" t="n">
        <v>30.59</v>
      </c>
      <c r="D16780" s="216" t="n">
        <v>1.159355998039246</v>
      </c>
      <c r="E16780" s="215" t="n">
        <v>46191</v>
      </c>
      <c r="F16780" s="215" t="n">
        <v>46191</v>
      </c>
    </row>
    <row r="16781">
      <c r="A16781" s="215" t="n">
        <v>46195</v>
      </c>
      <c r="B16781" s="216" t="n">
        <v>26.58</v>
      </c>
      <c r="C16781" s="216" t="n">
        <v>31.09</v>
      </c>
      <c r="D16781" s="216" t="n">
        <v>1.157493948936462</v>
      </c>
      <c r="E16781" s="215" t="n">
        <v>46195</v>
      </c>
      <c r="F16781" s="215" t="n">
        <v>46195</v>
      </c>
    </row>
    <row r="16782">
      <c r="A16782" s="215" t="n">
        <v>46196</v>
      </c>
      <c r="B16782" s="216" t="n">
        <v>24.98</v>
      </c>
      <c r="C16782" s="216" t="n">
        <v>27.98</v>
      </c>
      <c r="D16782" s="216" t="n">
        <v>1.156896948814392</v>
      </c>
      <c r="E16782" s="215" t="n">
        <v>46196</v>
      </c>
      <c r="F16782" s="215" t="n">
        <v>46196</v>
      </c>
    </row>
    <row r="16783">
      <c r="A16783" s="215" t="n">
        <v>46197</v>
      </c>
      <c r="B16783" s="216" t="n">
        <v>24.62</v>
      </c>
      <c r="C16783" s="216" t="n">
        <v>28.19</v>
      </c>
      <c r="D16783" s="216" t="n">
        <v>1.154508948326111</v>
      </c>
      <c r="E16783" s="215" t="n">
        <v>46197</v>
      </c>
      <c r="F16783" s="215" t="n">
        <v>46197</v>
      </c>
    </row>
    <row r="16784">
      <c r="A16784" s="215" t="n">
        <v>46198</v>
      </c>
      <c r="B16784" s="216" t="n">
        <v>23.4</v>
      </c>
      <c r="C16784" s="216" t="n">
        <v>26.62</v>
      </c>
      <c r="D16784" s="216" t="n">
        <v>1.154152035713196</v>
      </c>
      <c r="E16784" s="215" t="n">
        <v>46198</v>
      </c>
      <c r="F16784" s="215" t="n">
        <v>46198</v>
      </c>
    </row>
    <row r="16785">
      <c r="A16785" s="215" t="n">
        <v>46199</v>
      </c>
      <c r="B16785" s="216" t="n">
        <v>23.4</v>
      </c>
      <c r="C16785" s="216" t="n">
        <v>25.93</v>
      </c>
      <c r="D16785" s="216" t="n">
        <v>1.154500961303711</v>
      </c>
      <c r="E16785" s="215" t="n">
        <v>46199</v>
      </c>
      <c r="F16785" s="215" t="n">
        <v>46199</v>
      </c>
    </row>
    <row r="16786">
      <c r="A16786" s="215" t="n">
        <v>46202</v>
      </c>
      <c r="B16786" s="216" t="n">
        <v>23.58</v>
      </c>
      <c r="C16786" s="216" t="n">
        <v>26.68</v>
      </c>
      <c r="D16786" s="216" t="n">
        <v>1.153512001037598</v>
      </c>
      <c r="E16786" s="215" t="n">
        <v>46202</v>
      </c>
      <c r="F16786" s="215" t="n">
        <v>46202</v>
      </c>
    </row>
    <row r="16787">
      <c r="A16787" s="215" t="n">
        <v>46203</v>
      </c>
      <c r="B16787" s="216" t="n">
        <v>22.98</v>
      </c>
      <c r="C16787" s="216" t="n">
        <v>26.32</v>
      </c>
      <c r="D16787" s="216" t="n">
        <v>1.153959035873413</v>
      </c>
      <c r="E16787" s="215" t="n">
        <v>46203</v>
      </c>
      <c r="F16787" s="215" t="n">
        <v>46203</v>
      </c>
    </row>
    <row r="16788">
      <c r="A16788" s="215" t="n">
        <v>46205</v>
      </c>
      <c r="B16788" s="216" t="n">
        <v>25.4</v>
      </c>
      <c r="C16788" s="216" t="n">
        <v>28.39</v>
      </c>
      <c r="D16788" s="216" t="n">
        <v>1.154355049133301</v>
      </c>
      <c r="E16788" s="215" t="n">
        <v>46205</v>
      </c>
      <c r="F16788" s="215" t="n">
        <v>46205</v>
      </c>
    </row>
    <row r="16789">
      <c r="A16789" s="215" t="n">
        <v>46206</v>
      </c>
      <c r="B16789" s="216" t="n">
        <v>30.26</v>
      </c>
      <c r="C16789" s="216" t="n">
        <v>31.23</v>
      </c>
      <c r="D16789" s="216" t="n">
        <v>1.155220985412598</v>
      </c>
      <c r="E16789" s="215" t="n">
        <v>46206</v>
      </c>
      <c r="F16789" s="215" t="n">
        <v>46206</v>
      </c>
    </row>
    <row r="16790">
      <c r="A16790" s="215" t="n">
        <v>46209</v>
      </c>
      <c r="B16790" s="216" t="n">
        <v>28.7</v>
      </c>
      <c r="C16790" s="216" t="n">
        <v>31.6</v>
      </c>
      <c r="D16790" s="216" t="n">
        <v>1.155068039894104</v>
      </c>
      <c r="E16790" s="215" t="n">
        <v>46209</v>
      </c>
      <c r="F16790" s="215" t="n">
        <v>46209</v>
      </c>
    </row>
    <row r="16791">
      <c r="A16791" s="215" t="n">
        <v>46210</v>
      </c>
      <c r="B16791" s="216" t="n">
        <v>27.4</v>
      </c>
      <c r="C16791" s="216" t="n">
        <v>30.42</v>
      </c>
      <c r="D16791" s="216" t="n">
        <v>1.153807997703552</v>
      </c>
      <c r="E16791" s="215" t="n">
        <v>46210</v>
      </c>
      <c r="F16791" s="215" t="n">
        <v>46210</v>
      </c>
    </row>
    <row r="16792">
      <c r="A16792" s="215" t="n">
        <v>46211</v>
      </c>
      <c r="B16792" s="216" t="n">
        <v>28.06</v>
      </c>
      <c r="C16792" s="216" t="n">
        <v>31.32</v>
      </c>
      <c r="D16792" s="216" t="n">
        <v>1.154153943061829</v>
      </c>
      <c r="E16792" s="215" t="n">
        <v>46211</v>
      </c>
      <c r="F16792" s="215" t="n">
        <v>46211</v>
      </c>
    </row>
    <row r="16793">
      <c r="A16793" s="215" t="n">
        <v>46212</v>
      </c>
      <c r="B16793" s="216" t="n">
        <v>27.54</v>
      </c>
      <c r="C16793" s="216" t="n">
        <v>31.35</v>
      </c>
      <c r="D16793" s="216" t="n">
        <v>1.152119994163513</v>
      </c>
      <c r="E16793" s="215" t="n">
        <v>46212</v>
      </c>
      <c r="F16793" s="215" t="n">
        <v>46212</v>
      </c>
    </row>
    <row r="16794">
      <c r="A16794" s="215" t="n">
        <v>46213</v>
      </c>
      <c r="B16794" s="216" t="n">
        <v>28.48</v>
      </c>
      <c r="C16794" s="216" t="n">
        <v>32.84</v>
      </c>
      <c r="D16794" s="216" t="n">
        <v>1.153550028800964</v>
      </c>
      <c r="E16794" s="215" t="n">
        <v>46213</v>
      </c>
      <c r="F16794" s="215" t="n">
        <v>46213</v>
      </c>
    </row>
    <row r="16795">
      <c r="A16795" s="215" t="n">
        <v>46216</v>
      </c>
      <c r="B16795" s="216" t="n">
        <v>27.76</v>
      </c>
      <c r="C16795" s="216" t="n">
        <v>32.33</v>
      </c>
      <c r="D16795" s="216" t="n">
        <v>1.156761050224304</v>
      </c>
      <c r="E16795" s="215" t="n">
        <v>46216</v>
      </c>
      <c r="F16795" s="215" t="n">
        <v>46216</v>
      </c>
    </row>
    <row r="16796">
      <c r="A16796" s="215" t="n">
        <v>46217</v>
      </c>
      <c r="B16796" s="216" t="n">
        <v>28.86</v>
      </c>
      <c r="C16796" s="216" t="n">
        <v>34.95</v>
      </c>
      <c r="D16796" s="216" t="n">
        <v>1.155825972557068</v>
      </c>
      <c r="E16796" s="215" t="n">
        <v>46217</v>
      </c>
      <c r="F16796" s="215" t="n">
        <v>46217</v>
      </c>
    </row>
    <row r="16797">
      <c r="A16797" s="215" t="n">
        <v>46218</v>
      </c>
      <c r="B16797" s="216" t="n">
        <v>27.38</v>
      </c>
      <c r="C16797" s="216" t="n">
        <v>33.4</v>
      </c>
      <c r="D16797" s="216" t="n">
        <v>1.157556056976318</v>
      </c>
      <c r="E16797" s="215" t="n">
        <v>46218</v>
      </c>
      <c r="F16797" s="215" t="n">
        <v>46218</v>
      </c>
    </row>
    <row r="16798">
      <c r="A16798" s="215" t="n">
        <v>46219</v>
      </c>
      <c r="B16798" s="216" t="n">
        <v>27.66</v>
      </c>
      <c r="C16798" s="216" t="n">
        <v>34.62</v>
      </c>
      <c r="D16798" s="216" t="n">
        <v>1.157912969589233</v>
      </c>
      <c r="E16798" s="215" t="n">
        <v>46219</v>
      </c>
      <c r="F16798" s="215" t="n">
        <v>46219</v>
      </c>
    </row>
    <row r="16799">
      <c r="A16799" s="215" t="n">
        <v>46220</v>
      </c>
      <c r="B16799" s="216" t="n">
        <v>25.5</v>
      </c>
      <c r="C16799" s="216" t="n">
        <v>31.74</v>
      </c>
      <c r="D16799" s="216" t="n">
        <v>1.157472014427185</v>
      </c>
      <c r="E16799" s="215" t="n">
        <v>46220</v>
      </c>
      <c r="F16799" s="215" t="n">
        <v>46220</v>
      </c>
    </row>
    <row r="16800">
      <c r="A16800" s="215" t="n">
        <v>46223</v>
      </c>
      <c r="B16800" s="216" t="n">
        <v>26.4</v>
      </c>
      <c r="C16800" s="216" t="n">
        <v>32.25</v>
      </c>
      <c r="D16800" s="216" t="n">
        <v>1.157451033592224</v>
      </c>
      <c r="E16800" s="215" t="n">
        <v>46223</v>
      </c>
      <c r="F16800" s="215" t="n">
        <v>46223</v>
      </c>
    </row>
    <row r="16801">
      <c r="A16801" s="215" t="n">
        <v>46224</v>
      </c>
      <c r="B16801" s="216" t="n">
        <v>27.76</v>
      </c>
      <c r="C16801" s="216" t="n">
        <v>35.48</v>
      </c>
      <c r="D16801" s="216" t="n">
        <v>1.157506942749023</v>
      </c>
      <c r="E16801" s="215" t="n">
        <v>46224</v>
      </c>
      <c r="F16801" s="215" t="n">
        <v>46224</v>
      </c>
    </row>
    <row r="16802">
      <c r="A16802" s="215" t="n">
        <v>46225</v>
      </c>
      <c r="B16802" s="216" t="n">
        <v>32.04</v>
      </c>
      <c r="C16802" s="216" t="n">
        <v>38.22</v>
      </c>
      <c r="D16802" s="216" t="n">
        <v>1.158938050270081</v>
      </c>
      <c r="E16802" s="215" t="n">
        <v>46225</v>
      </c>
      <c r="F16802" s="215" t="n">
        <v>46225</v>
      </c>
    </row>
    <row r="16803">
      <c r="A16803" s="215" t="n">
        <v>46226</v>
      </c>
      <c r="B16803" s="216" t="n">
        <v>32.02</v>
      </c>
      <c r="C16803" s="216" t="n">
        <v>38.83</v>
      </c>
      <c r="D16803" s="216" t="n">
        <v>1.157410979270935</v>
      </c>
      <c r="E16803" s="215" t="n">
        <v>46226</v>
      </c>
      <c r="F16803" s="215" t="n">
        <v>46226</v>
      </c>
    </row>
    <row r="16804">
      <c r="A16804" s="215" t="n">
        <v>46227</v>
      </c>
      <c r="B16804" s="216" t="n">
        <v>31.24</v>
      </c>
      <c r="C16804" s="216" t="n">
        <v>36.49</v>
      </c>
      <c r="D16804" s="216" t="n">
        <v>1.15762197971344</v>
      </c>
      <c r="E16804" s="215" t="n">
        <v>46227</v>
      </c>
      <c r="F16804" s="215" t="n">
        <v>46227</v>
      </c>
    </row>
    <row r="16805">
      <c r="A16805" s="215" t="n">
        <v>46230</v>
      </c>
      <c r="B16805" s="216" t="n">
        <v>32.02</v>
      </c>
      <c r="C16805" s="216" t="n">
        <v>38.14</v>
      </c>
      <c r="D16805" s="216" t="n">
        <v>1.15789794921875</v>
      </c>
      <c r="E16805" s="215" t="n">
        <v>46230</v>
      </c>
      <c r="F16805" s="215" t="n">
        <v>46230</v>
      </c>
    </row>
    <row r="16806">
      <c r="A16806" s="215" t="n">
        <v>46231</v>
      </c>
      <c r="B16806" s="216" t="n">
        <v>31.54</v>
      </c>
      <c r="C16806" s="216" t="n">
        <v>37.29</v>
      </c>
      <c r="D16806" s="216" t="n">
        <v>1.158699035644531</v>
      </c>
      <c r="E16806" s="215" t="n">
        <v>46231</v>
      </c>
      <c r="F16806" s="215" t="n">
        <v>46231</v>
      </c>
    </row>
    <row r="16807">
      <c r="A16807" s="215" t="n">
        <v>46232</v>
      </c>
      <c r="B16807" s="216" t="n">
        <v>33</v>
      </c>
      <c r="C16807" s="216" t="n">
        <v>37.86</v>
      </c>
      <c r="D16807" s="216" t="n">
        <v>1.157909989356995</v>
      </c>
      <c r="E16807" s="215" t="n">
        <v>46232</v>
      </c>
      <c r="F16807" s="215" t="n">
        <v>46232</v>
      </c>
    </row>
    <row r="16808">
      <c r="A16808" s="215" t="n">
        <v>46233</v>
      </c>
      <c r="B16808" s="216" t="n">
        <v>32.62</v>
      </c>
      <c r="C16808" s="216" t="n">
        <v>37.17</v>
      </c>
      <c r="D16808" s="216" t="n">
        <v>1.158943057060242</v>
      </c>
      <c r="E16808" s="215" t="n">
        <v>46233</v>
      </c>
      <c r="F16808" s="215" t="n">
        <v>46233</v>
      </c>
    </row>
    <row r="16809">
      <c r="A16809" s="215" t="n">
        <v>46234</v>
      </c>
      <c r="B16809" s="216" t="n">
        <v>33.38</v>
      </c>
      <c r="C16809" s="216" t="n">
        <v>39.56</v>
      </c>
      <c r="D16809" s="216" t="n">
        <v>1.160945057868958</v>
      </c>
      <c r="E16809" s="215" t="n">
        <v>46234</v>
      </c>
      <c r="F16809" s="215" t="n">
        <v>46234</v>
      </c>
    </row>
    <row r="16810">
      <c r="A16810" s="215" t="n">
        <v>46237</v>
      </c>
      <c r="B16810" s="216" t="n">
        <v>33.4</v>
      </c>
      <c r="C16810" s="216" t="n">
        <v>38.86</v>
      </c>
      <c r="D16810" s="216" t="n">
        <v>1.161579966545105</v>
      </c>
      <c r="E16810" s="215" t="n">
        <v>46237</v>
      </c>
      <c r="F16810" s="215" t="n">
        <v>46237</v>
      </c>
    </row>
    <row r="16811">
      <c r="A16811" s="215" t="n">
        <v>46238</v>
      </c>
      <c r="B16811" s="216" t="n">
        <v>33</v>
      </c>
      <c r="C16811" s="216" t="n">
        <v>37.75</v>
      </c>
      <c r="D16811" s="216" t="n">
        <v>1.161064982414246</v>
      </c>
      <c r="E16811" s="215" t="n">
        <v>46238</v>
      </c>
      <c r="F16811" s="215" t="n">
        <v>46238</v>
      </c>
    </row>
    <row r="16812">
      <c r="A16812" s="215" t="n">
        <v>46239</v>
      </c>
      <c r="B16812" s="216" t="n">
        <v>35.7</v>
      </c>
      <c r="C16812" s="216" t="n">
        <v>40.84</v>
      </c>
      <c r="D16812" s="216" t="n">
        <v>1.161146998405457</v>
      </c>
      <c r="E16812" s="215" t="n">
        <v>46239</v>
      </c>
      <c r="F16812" s="215" t="n">
        <v>46239</v>
      </c>
    </row>
    <row r="16813">
      <c r="A16813" s="215" t="n">
        <v>46240</v>
      </c>
      <c r="B16813" s="216" t="n">
        <v>37.02</v>
      </c>
      <c r="C16813" s="216" t="n">
        <v>41.3</v>
      </c>
      <c r="D16813" s="216" t="n">
        <v>1.161936044692993</v>
      </c>
      <c r="E16813" s="215" t="n">
        <v>46240</v>
      </c>
      <c r="F16813" s="215" t="n">
        <v>46240</v>
      </c>
    </row>
    <row r="16814">
      <c r="A16814" s="215" t="n">
        <v>46241</v>
      </c>
      <c r="B16814" s="216" t="n">
        <v>37.52</v>
      </c>
      <c r="C16814" s="216" t="n">
        <v>42.09</v>
      </c>
      <c r="D16814" s="216" t="n">
        <v>1.162284016609192</v>
      </c>
      <c r="E16814" s="215" t="n">
        <v>46241</v>
      </c>
      <c r="F16814" s="215" t="n">
        <v>46241</v>
      </c>
    </row>
    <row r="16815">
      <c r="A16815" s="215" t="n">
        <v>46244</v>
      </c>
      <c r="B16815" s="216" t="n">
        <v>39.28</v>
      </c>
      <c r="C16815" s="216" t="n">
        <v>43.73</v>
      </c>
      <c r="D16815" s="216" t="n">
        <v>1.162629961967468</v>
      </c>
      <c r="E16815" s="215" t="n">
        <v>46244</v>
      </c>
      <c r="F16815" s="215" t="n">
        <v>46244</v>
      </c>
    </row>
    <row r="16816">
      <c r="A16816" s="215" t="n">
        <v>46245</v>
      </c>
      <c r="B16816" s="216" t="n">
        <v>36.92</v>
      </c>
      <c r="C16816" s="216" t="n">
        <v>40.3</v>
      </c>
      <c r="D16816" s="216" t="n">
        <v>1.162588000297546</v>
      </c>
      <c r="E16816" s="215" t="n">
        <v>46245</v>
      </c>
      <c r="F16816" s="215" t="n">
        <v>46245</v>
      </c>
    </row>
    <row r="16817">
      <c r="A16817" s="215" t="n">
        <v>46246</v>
      </c>
      <c r="B16817" s="216" t="n">
        <v>38.3</v>
      </c>
      <c r="C16817" s="216" t="n">
        <v>40.98</v>
      </c>
      <c r="D16817" s="216" t="n">
        <v>1.163135051727295</v>
      </c>
      <c r="E16817" s="215" t="n">
        <v>46246</v>
      </c>
      <c r="F16817" s="215" t="n">
        <v>46246</v>
      </c>
    </row>
    <row r="16818">
      <c r="A16818" s="215" t="n">
        <v>46247</v>
      </c>
      <c r="B16818" s="216" t="n">
        <v>36.62</v>
      </c>
      <c r="C16818" s="216" t="n">
        <v>38.66</v>
      </c>
      <c r="D16818" s="216" t="n">
        <v>1.163341045379639</v>
      </c>
      <c r="E16818" s="215" t="n">
        <v>46247</v>
      </c>
      <c r="F16818" s="215" t="n">
        <v>46247</v>
      </c>
    </row>
    <row r="16819">
      <c r="A16819" s="215" t="n">
        <v>46248</v>
      </c>
      <c r="B16819" s="216" t="n">
        <v>37</v>
      </c>
      <c r="C16819" s="216" t="n">
        <v>39.78</v>
      </c>
      <c r="D16819" s="216" t="n">
        <v>1.163571000099182</v>
      </c>
      <c r="E16819" s="215" t="n">
        <v>46248</v>
      </c>
      <c r="F16819" s="215" t="n">
        <v>46248</v>
      </c>
    </row>
    <row r="16820">
      <c r="A16820" s="215" t="n">
        <v>46251</v>
      </c>
      <c r="B16820" s="216" t="n">
        <v>38</v>
      </c>
      <c r="C16820" s="216" t="n">
        <v>40.78</v>
      </c>
      <c r="D16820" s="216" t="n">
        <v>1.163601994514465</v>
      </c>
      <c r="E16820" s="215" t="n">
        <v>46251</v>
      </c>
      <c r="F16820" s="215" t="n">
        <v>46251</v>
      </c>
    </row>
    <row r="16821">
      <c r="A16821" s="215" t="n">
        <v>46252</v>
      </c>
      <c r="B16821" s="216" t="n">
        <v>38.32</v>
      </c>
      <c r="C16821" s="216" t="n">
        <v>42.21</v>
      </c>
      <c r="D16821" s="216" t="n">
        <v>1.163733005523682</v>
      </c>
      <c r="E16821" s="215" t="n">
        <v>46252</v>
      </c>
      <c r="F16821" s="215" t="n">
        <v>46252</v>
      </c>
    </row>
    <row r="16822">
      <c r="A16822" s="215" t="n">
        <v>46253</v>
      </c>
      <c r="B16822" s="216" t="n">
        <v>39.1</v>
      </c>
      <c r="C16822" s="216" t="n">
        <v>42.72</v>
      </c>
      <c r="D16822" s="216" t="n">
        <v>1.163092017173767</v>
      </c>
      <c r="E16822" s="215" t="n">
        <v>46253</v>
      </c>
      <c r="F16822" s="215" t="n">
        <v>46253</v>
      </c>
    </row>
    <row r="16823">
      <c r="A16823" s="215" t="n">
        <v>46254</v>
      </c>
      <c r="B16823" s="216" t="n">
        <v>40.8</v>
      </c>
      <c r="C16823" s="216" t="n">
        <v>46.1</v>
      </c>
      <c r="D16823" s="216" t="n">
        <v>1.164932012557983</v>
      </c>
      <c r="E16823" s="215" t="n">
        <v>46254</v>
      </c>
      <c r="F16823" s="215" t="n">
        <v>46254</v>
      </c>
    </row>
    <row r="16824">
      <c r="A16824" s="215" t="n">
        <v>46255</v>
      </c>
      <c r="B16824" s="216" t="n">
        <v>45.86</v>
      </c>
      <c r="C16824" s="216" t="n">
        <v>49.43</v>
      </c>
      <c r="D16824" s="216" t="n">
        <v>1.166555047035217</v>
      </c>
      <c r="E16824" s="215" t="n">
        <v>46255</v>
      </c>
      <c r="F16824" s="215" t="n">
        <v>46255</v>
      </c>
    </row>
    <row r="16825">
      <c r="A16825" s="215" t="n">
        <v>46258</v>
      </c>
      <c r="B16825" s="216" t="n">
        <v>43.46</v>
      </c>
      <c r="C16825" s="216" t="n">
        <v>48.77</v>
      </c>
      <c r="D16825" s="216" t="n">
        <v>1.166316986083984</v>
      </c>
      <c r="E16825" s="215" t="n">
        <v>46258</v>
      </c>
      <c r="F16825" s="215" t="n">
        <v>46258</v>
      </c>
    </row>
    <row r="16826">
      <c r="A16826" s="215" t="n">
        <v>46259</v>
      </c>
      <c r="B16826" s="216" t="n">
        <v>41.72</v>
      </c>
      <c r="C16826" s="216" t="n">
        <v>47.66</v>
      </c>
      <c r="D16826" s="216" t="n">
        <v>1.165253043174744</v>
      </c>
      <c r="E16826" s="215" t="n">
        <v>46259</v>
      </c>
      <c r="F16826" s="215" t="n">
        <v>46259</v>
      </c>
    </row>
    <row r="16827">
      <c r="A16827" s="215" t="n">
        <v>46260</v>
      </c>
      <c r="B16827" s="216" t="n">
        <v>41.88</v>
      </c>
      <c r="C16827" s="216" t="n">
        <v>46.85</v>
      </c>
      <c r="D16827" s="216" t="n">
        <v>1.166218996047974</v>
      </c>
      <c r="E16827" s="215" t="n">
        <v>46260</v>
      </c>
      <c r="F16827" s="215" t="n">
        <v>46260</v>
      </c>
    </row>
    <row r="16828">
      <c r="A16828" s="215" t="n">
        <v>46261</v>
      </c>
      <c r="B16828" s="216" t="n">
        <v>42.3</v>
      </c>
      <c r="C16828" s="216" t="n">
        <v>48.22</v>
      </c>
      <c r="D16828" s="216" t="n">
        <v>1.165971040725708</v>
      </c>
      <c r="E16828" s="215" t="n">
        <v>46261</v>
      </c>
      <c r="F16828" s="215" t="n">
        <v>46261</v>
      </c>
    </row>
    <row r="16829">
      <c r="A16829" s="215" t="n">
        <v>46262</v>
      </c>
      <c r="B16829" s="216" t="n">
        <v>43.8</v>
      </c>
      <c r="C16829" s="216" t="n">
        <v>49.09</v>
      </c>
      <c r="D16829" s="216" t="n">
        <v>1.165799975395203</v>
      </c>
      <c r="E16829" s="215" t="n">
        <v>46262</v>
      </c>
      <c r="F16829" s="215" t="n">
        <v>46262</v>
      </c>
    </row>
    <row r="16830">
      <c r="A16830" s="215" t="n">
        <v>46265</v>
      </c>
      <c r="B16830" s="216" t="n">
        <v>41.36</v>
      </c>
      <c r="C16830" s="216" t="n">
        <v>46.81</v>
      </c>
      <c r="D16830" s="216" t="n">
        <v>1.165387988090515</v>
      </c>
      <c r="E16830" s="215" t="n">
        <v>46265</v>
      </c>
      <c r="F16830" s="215" t="n">
        <v>46265</v>
      </c>
    </row>
    <row r="16831">
      <c r="A16831" s="215" t="n">
        <v>46266</v>
      </c>
      <c r="B16831" s="216" t="n">
        <v>39.7</v>
      </c>
      <c r="C16831" s="216" t="n">
        <v>46</v>
      </c>
      <c r="D16831" s="216" t="n">
        <v>1.165223956108093</v>
      </c>
      <c r="E16831" s="215" t="n">
        <v>46266</v>
      </c>
      <c r="F16831" s="215" t="n">
        <v>46266</v>
      </c>
    </row>
    <row r="16832">
      <c r="A16832" s="215" t="n">
        <v>46267</v>
      </c>
      <c r="B16832" s="216" t="n">
        <v>40.52</v>
      </c>
      <c r="C16832" s="216" t="n">
        <v>45.77</v>
      </c>
      <c r="D16832" s="216" t="n">
        <v>1.166425943374634</v>
      </c>
      <c r="E16832" s="215" t="n">
        <v>46267</v>
      </c>
      <c r="F16832" s="215" t="n">
        <v>46267</v>
      </c>
    </row>
    <row r="16833">
      <c r="A16833" s="215" t="n">
        <v>46268</v>
      </c>
      <c r="B16833" s="216" t="n">
        <v>42.7</v>
      </c>
      <c r="C16833" s="216" t="n">
        <v>46.6</v>
      </c>
      <c r="D16833" s="216" t="n">
        <v>1.167057037353516</v>
      </c>
      <c r="E16833" s="215" t="n">
        <v>46268</v>
      </c>
      <c r="F16833" s="215" t="n">
        <v>46268</v>
      </c>
    </row>
    <row r="16834">
      <c r="A16834" s="215" t="n">
        <v>46269</v>
      </c>
      <c r="B16834" s="216" t="n">
        <v>42.2</v>
      </c>
      <c r="C16834" s="216" t="n">
        <v>45.69</v>
      </c>
      <c r="D16834" s="216" t="n">
        <v>1.166767954826355</v>
      </c>
      <c r="E16834" s="215" t="n">
        <v>46269</v>
      </c>
      <c r="F16834" s="215" t="n">
        <v>46269</v>
      </c>
    </row>
    <row r="16835">
      <c r="A16835" s="215" t="n">
        <v>46272</v>
      </c>
      <c r="B16835" s="216" t="n">
        <v>40.98</v>
      </c>
      <c r="C16835" s="216" t="n">
        <v>44.48</v>
      </c>
      <c r="D16835" s="216" t="n">
        <v>1.168081045150757</v>
      </c>
      <c r="E16835" s="215" t="n">
        <v>46272</v>
      </c>
      <c r="F16835" s="215" t="n">
        <v>46272</v>
      </c>
    </row>
    <row r="16836">
      <c r="A16836" s="215" t="n">
        <v>46273</v>
      </c>
      <c r="B16836" s="216" t="n">
        <v>40.62</v>
      </c>
      <c r="C16836" s="216" t="n">
        <v>44.2</v>
      </c>
      <c r="D16836" s="216" t="n">
        <v>1.168115019798279</v>
      </c>
      <c r="E16836" s="215" t="n">
        <v>46273</v>
      </c>
      <c r="F16836" s="215" t="n">
        <v>46273</v>
      </c>
    </row>
    <row r="16837">
      <c r="A16837" s="215" t="n">
        <v>46274</v>
      </c>
      <c r="B16837" s="216" t="n">
        <v>39.72</v>
      </c>
      <c r="C16837" s="216" t="n">
        <v>43.88</v>
      </c>
      <c r="D16837" s="216" t="n">
        <v>1.168408989906311</v>
      </c>
      <c r="E16837" s="215" t="n">
        <v>46274</v>
      </c>
      <c r="F16837" s="215" t="n">
        <v>46274</v>
      </c>
    </row>
    <row r="16838">
      <c r="A16838" s="215" t="n">
        <v>46275</v>
      </c>
      <c r="B16838" s="216" t="n">
        <v>39.34</v>
      </c>
      <c r="C16838" s="216" t="n">
        <v>44.3</v>
      </c>
      <c r="D16838" s="216" t="n">
        <v>1.168462991714478</v>
      </c>
      <c r="E16838" s="215" t="n">
        <v>46275</v>
      </c>
      <c r="F16838" s="215" t="n">
        <v>46275</v>
      </c>
    </row>
    <row r="16839">
      <c r="A16839" s="215" t="n">
        <v>46276</v>
      </c>
      <c r="B16839" s="216" t="n">
        <v>39.12</v>
      </c>
      <c r="C16839" s="216" t="n">
        <v>44.39</v>
      </c>
      <c r="D16839" s="216" t="n">
        <v>1.169165015220642</v>
      </c>
      <c r="E16839" s="215" t="n">
        <v>46276</v>
      </c>
      <c r="F16839" s="215" t="n">
        <v>46276</v>
      </c>
    </row>
    <row r="16840">
      <c r="A16840" s="215" t="n">
        <v>46279</v>
      </c>
      <c r="B16840" s="216" t="n">
        <v>38.64</v>
      </c>
      <c r="C16840" s="216" t="n">
        <v>44.48</v>
      </c>
      <c r="D16840" s="216" t="n">
        <v>1.16893994808197</v>
      </c>
      <c r="E16840" s="215" t="n">
        <v>46279</v>
      </c>
      <c r="F16840" s="215" t="n">
        <v>46279</v>
      </c>
    </row>
    <row r="16841">
      <c r="A16841" s="215" t="n">
        <v>46280</v>
      </c>
      <c r="B16841" s="216" t="n">
        <v>36.58</v>
      </c>
      <c r="C16841" s="216" t="n">
        <v>43.54</v>
      </c>
      <c r="D16841" s="216" t="n">
        <v>1.169121026992798</v>
      </c>
      <c r="E16841" s="215" t="n">
        <v>46280</v>
      </c>
      <c r="F16841" s="215" t="n">
        <v>46280</v>
      </c>
    </row>
    <row r="16842">
      <c r="A16842" s="215" t="n">
        <v>46281</v>
      </c>
      <c r="B16842" s="216" t="n">
        <v>39.38</v>
      </c>
      <c r="C16842" s="216" t="n">
        <v>45.44</v>
      </c>
      <c r="D16842" s="216" t="n">
        <v>1.168769955635071</v>
      </c>
      <c r="E16842" s="215" t="n">
        <v>46281</v>
      </c>
      <c r="F16842" s="215" t="n">
        <v>46281</v>
      </c>
    </row>
    <row r="16843">
      <c r="A16843" s="215" t="n">
        <v>46282</v>
      </c>
      <c r="B16843" s="216" t="n">
        <v>37.48</v>
      </c>
      <c r="C16843" s="216" t="n">
        <v>43.44</v>
      </c>
      <c r="D16843" s="216" t="n">
        <v>1.169389963150024</v>
      </c>
      <c r="E16843" s="215" t="n">
        <v>46282</v>
      </c>
      <c r="F16843" s="215" t="n">
        <v>46282</v>
      </c>
    </row>
    <row r="16844">
      <c r="A16844" s="215" t="n">
        <v>46283</v>
      </c>
      <c r="B16844" s="216" t="n">
        <v>38.62</v>
      </c>
      <c r="C16844" s="216" t="n">
        <v>44.26</v>
      </c>
      <c r="D16844" s="216" t="n">
        <v>1.16942298412323</v>
      </c>
      <c r="E16844" s="215" t="n">
        <v>46283</v>
      </c>
      <c r="F16844" s="215" t="n">
        <v>46283</v>
      </c>
    </row>
    <row r="16845">
      <c r="A16845" s="215" t="n">
        <v>46286</v>
      </c>
      <c r="B16845" s="216" t="n">
        <v>38.04</v>
      </c>
      <c r="C16845" s="216" t="n">
        <v>42.96</v>
      </c>
      <c r="D16845" s="216" t="n">
        <v>1.171280026435852</v>
      </c>
      <c r="E16845" s="215" t="n">
        <v>46286</v>
      </c>
      <c r="F16845" s="215" t="n">
        <v>46286</v>
      </c>
    </row>
    <row r="16846">
      <c r="A16846" s="215" t="n">
        <v>46287</v>
      </c>
      <c r="B16846" s="216" t="n">
        <v>37.08</v>
      </c>
      <c r="C16846" s="216" t="n">
        <v>42.4</v>
      </c>
      <c r="D16846" s="216" t="n">
        <v>1.171705007553101</v>
      </c>
      <c r="E16846" s="215" t="n">
        <v>46287</v>
      </c>
      <c r="F16846" s="215" t="n">
        <v>46287</v>
      </c>
    </row>
    <row r="16847">
      <c r="A16847" s="215" t="n">
        <v>46288</v>
      </c>
      <c r="B16847" s="216" t="n">
        <v>37</v>
      </c>
      <c r="C16847" s="216" t="n">
        <v>42.5</v>
      </c>
      <c r="D16847" s="216" t="n">
        <v>1.170611023902893</v>
      </c>
      <c r="E16847" s="215" t="n">
        <v>46288</v>
      </c>
      <c r="F16847" s="215" t="n">
        <v>46288</v>
      </c>
    </row>
    <row r="16848">
      <c r="A16848" s="215" t="n">
        <v>46289</v>
      </c>
      <c r="B16848" s="216" t="n">
        <v>36.1</v>
      </c>
      <c r="C16848" s="216" t="n">
        <v>40.28</v>
      </c>
      <c r="D16848" s="216" t="n">
        <v>1.16852605342865</v>
      </c>
      <c r="E16848" s="215" t="n">
        <v>46289</v>
      </c>
      <c r="F16848" s="215" t="n">
        <v>46289</v>
      </c>
    </row>
    <row r="16849">
      <c r="A16849" s="215" t="n">
        <v>46290</v>
      </c>
      <c r="B16849" s="216" t="n">
        <v>35.66</v>
      </c>
      <c r="C16849" s="216" t="n">
        <v>40.28</v>
      </c>
      <c r="D16849" s="216" t="n">
        <v>1.168424010276794</v>
      </c>
      <c r="E16849" s="215" t="n">
        <v>46289</v>
      </c>
      <c r="F16849" s="215" t="n">
        <v>46290</v>
      </c>
    </row>
    <row r="16850">
      <c r="A16850" s="215" t="n">
        <v>46293</v>
      </c>
      <c r="B16850" s="216" t="n">
        <v>33.8</v>
      </c>
      <c r="C16850" s="216" t="n">
        <v>38.07</v>
      </c>
      <c r="D16850" s="216" t="n">
        <v>1.168378949165344</v>
      </c>
      <c r="E16850" s="215" t="n">
        <v>46293</v>
      </c>
      <c r="F16850" s="215" t="n">
        <v>46293</v>
      </c>
    </row>
    <row r="16851">
      <c r="A16851" s="215" t="n">
        <v>46294</v>
      </c>
      <c r="B16851" s="216" t="n">
        <v>34.6</v>
      </c>
      <c r="C16851" s="216" t="n">
        <v>38.44</v>
      </c>
      <c r="D16851" s="216" t="n">
        <v>1.168815970420837</v>
      </c>
      <c r="E16851" s="215" t="n">
        <v>46294</v>
      </c>
      <c r="F16851" s="215" t="n">
        <v>46294</v>
      </c>
    </row>
    <row r="16852">
      <c r="A16852" s="215" t="n">
        <v>46295</v>
      </c>
      <c r="B16852" s="216" t="n">
        <v>36.32</v>
      </c>
      <c r="C16852" s="216" t="n">
        <v>39.56</v>
      </c>
      <c r="D16852" s="216" t="n">
        <v>1.17059600353241</v>
      </c>
      <c r="E16852" s="215" t="n">
        <v>46295</v>
      </c>
      <c r="F16852" s="215" t="n">
        <v>46295</v>
      </c>
    </row>
    <row r="16853">
      <c r="A16853" s="215" t="n">
        <v>46297</v>
      </c>
      <c r="B16853" s="216" t="n">
        <v>35.38</v>
      </c>
      <c r="C16853" s="216" t="n">
        <v>39.56</v>
      </c>
      <c r="D16853" s="216" t="n">
        <v>1.170220971107483</v>
      </c>
      <c r="E16853" s="215" t="n">
        <v>46295</v>
      </c>
      <c r="F16853" s="215" t="n">
        <v>46297</v>
      </c>
    </row>
    <row r="16854">
      <c r="A16854" s="215" t="n">
        <v>44755</v>
      </c>
      <c r="B16854" s="216" t="n">
        <v>82</v>
      </c>
      <c r="C16854" s="216" t="n">
        <v>128.6</v>
      </c>
      <c r="D16854" s="216" t="n">
        <v>1.166862964630127</v>
      </c>
      <c r="E16854" s="215" t="n">
        <v>44755</v>
      </c>
      <c r="F16854" s="215" t="n">
        <v>44755</v>
      </c>
    </row>
    <row r="16855">
      <c r="A16855" s="215" t="n">
        <v>44756</v>
      </c>
      <c r="B16855" s="216" t="n">
        <v>79</v>
      </c>
      <c r="C16855" s="216" t="n">
        <v>125.55</v>
      </c>
      <c r="D16855" s="216" t="n">
        <v>1.167678952217102</v>
      </c>
      <c r="E16855" s="215" t="n">
        <v>44756</v>
      </c>
      <c r="F16855" s="215" t="n">
        <v>44756</v>
      </c>
    </row>
    <row r="16856">
      <c r="A16856" s="215" t="n">
        <v>44757</v>
      </c>
      <c r="B16856" s="216" t="n">
        <v>79.25</v>
      </c>
      <c r="C16856" s="216" t="n">
        <v>124</v>
      </c>
      <c r="D16856" s="216" t="n">
        <v>1.161978960037231</v>
      </c>
      <c r="E16856" s="215" t="n">
        <v>44757</v>
      </c>
      <c r="F16856" s="215" t="n">
        <v>44757</v>
      </c>
    </row>
    <row r="16857">
      <c r="A16857" s="215" t="n">
        <v>44760</v>
      </c>
      <c r="B16857" s="216" t="n">
        <v>76.95</v>
      </c>
      <c r="C16857" s="216" t="n">
        <v>119.97</v>
      </c>
      <c r="D16857" s="216" t="n">
        <v>1.162382960319519</v>
      </c>
      <c r="E16857" s="215" t="n">
        <v>44760</v>
      </c>
      <c r="F16857" s="215" t="n">
        <v>44760</v>
      </c>
    </row>
    <row r="16858">
      <c r="A16858" s="215" t="n">
        <v>44761</v>
      </c>
      <c r="B16858" s="216" t="n">
        <v>77</v>
      </c>
      <c r="C16858" s="216" t="n">
        <v>120.65</v>
      </c>
      <c r="D16858" s="216" t="n">
        <v>1.163684964179993</v>
      </c>
      <c r="E16858" s="215" t="n">
        <v>44761</v>
      </c>
      <c r="F16858" s="215" t="n">
        <v>44761</v>
      </c>
    </row>
    <row r="16859">
      <c r="A16859" s="215" t="n">
        <v>44762</v>
      </c>
      <c r="B16859" s="216" t="n">
        <v>78.84999999999999</v>
      </c>
      <c r="C16859" s="216" t="n">
        <v>123.7</v>
      </c>
      <c r="D16859" s="216" t="n">
        <v>1.163969993591309</v>
      </c>
      <c r="E16859" s="215" t="n">
        <v>44762</v>
      </c>
      <c r="F16859" s="215" t="n">
        <v>44762</v>
      </c>
    </row>
    <row r="16860">
      <c r="A16860" s="215" t="n">
        <v>44763</v>
      </c>
      <c r="B16860" s="216" t="n">
        <v>78</v>
      </c>
      <c r="C16860" s="216" t="n">
        <v>115</v>
      </c>
      <c r="D16860" s="216" t="n">
        <v>1.161798000335693</v>
      </c>
      <c r="E16860" s="215" t="n">
        <v>44763</v>
      </c>
      <c r="F16860" s="215" t="n">
        <v>44763</v>
      </c>
    </row>
    <row r="16861">
      <c r="A16861" s="215" t="n">
        <v>44764</v>
      </c>
      <c r="B16861" s="216" t="n">
        <v>78.3</v>
      </c>
      <c r="C16861" s="216" t="n">
        <v>116.85</v>
      </c>
      <c r="D16861" s="216" t="n">
        <v>1.159577965736389</v>
      </c>
      <c r="E16861" s="215" t="n">
        <v>44764</v>
      </c>
      <c r="F16861" s="215" t="n">
        <v>44764</v>
      </c>
    </row>
    <row r="16862">
      <c r="A16862" s="215" t="n">
        <v>44767</v>
      </c>
      <c r="B16862" s="216" t="n">
        <v>78</v>
      </c>
      <c r="C16862" s="216" t="n">
        <v>117.7</v>
      </c>
      <c r="D16862" s="216" t="n">
        <v>1.161067962646484</v>
      </c>
      <c r="E16862" s="215" t="n">
        <v>44767</v>
      </c>
      <c r="F16862" s="215" t="n">
        <v>44767</v>
      </c>
    </row>
    <row r="16863">
      <c r="A16863" s="215" t="n">
        <v>44768</v>
      </c>
      <c r="B16863" s="216" t="n">
        <v>82</v>
      </c>
      <c r="C16863" s="216" t="n">
        <v>121.56</v>
      </c>
      <c r="D16863" s="216" t="n">
        <v>1.162636041641235</v>
      </c>
      <c r="E16863" s="215" t="n">
        <v>44768</v>
      </c>
      <c r="F16863" s="215" t="n">
        <v>44768</v>
      </c>
    </row>
    <row r="16864">
      <c r="A16864" s="215" t="n">
        <v>44769</v>
      </c>
      <c r="B16864" s="216" t="n">
        <v>81.84999999999999</v>
      </c>
      <c r="C16864" s="216" t="n">
        <v>118.75</v>
      </c>
      <c r="D16864" s="216" t="n">
        <v>1.160446047782898</v>
      </c>
      <c r="E16864" s="215" t="n">
        <v>44769</v>
      </c>
      <c r="F16864" s="215" t="n">
        <v>44769</v>
      </c>
    </row>
    <row r="16865">
      <c r="A16865" s="215" t="n">
        <v>44770</v>
      </c>
      <c r="B16865" s="216" t="n">
        <v>80.59999999999999</v>
      </c>
      <c r="C16865" s="216" t="n">
        <v>115.75</v>
      </c>
      <c r="D16865" s="216" t="n">
        <v>1.161301970481873</v>
      </c>
      <c r="E16865" s="215" t="n">
        <v>44770</v>
      </c>
      <c r="F16865" s="215" t="n">
        <v>44770</v>
      </c>
    </row>
    <row r="16866">
      <c r="A16866" s="215" t="n">
        <v>44771</v>
      </c>
      <c r="B16866" s="216" t="n">
        <v>80</v>
      </c>
      <c r="C16866" s="216" t="n">
        <v>115.5</v>
      </c>
      <c r="D16866" s="216" t="n">
        <v>1.163324952125549</v>
      </c>
      <c r="E16866" s="215" t="n">
        <v>44771</v>
      </c>
      <c r="F16866" s="215" t="n">
        <v>44771</v>
      </c>
    </row>
    <row r="16867">
      <c r="A16867" s="215" t="n">
        <v>44774</v>
      </c>
      <c r="B16867" s="216" t="n">
        <v>79.84999999999999</v>
      </c>
      <c r="C16867" s="216" t="n">
        <v>117.65</v>
      </c>
      <c r="D16867" s="216" t="n">
        <v>1.162269949913025</v>
      </c>
      <c r="E16867" s="215" t="n">
        <v>44774</v>
      </c>
      <c r="F16867" s="215" t="n">
        <v>44774</v>
      </c>
    </row>
    <row r="16868">
      <c r="A16868" s="215" t="n">
        <v>44775</v>
      </c>
      <c r="B16868" s="216" t="n">
        <v>77.3</v>
      </c>
      <c r="C16868" s="216" t="n">
        <v>111.85</v>
      </c>
      <c r="D16868" s="216" t="n">
        <v>1.159325957298279</v>
      </c>
      <c r="E16868" s="215" t="n">
        <v>44775</v>
      </c>
      <c r="F16868" s="215" t="n">
        <v>44775</v>
      </c>
    </row>
    <row r="16869">
      <c r="A16869" s="215" t="n">
        <v>44776</v>
      </c>
      <c r="B16869" s="216" t="n">
        <v>79</v>
      </c>
      <c r="C16869" s="216" t="n">
        <v>109.8</v>
      </c>
      <c r="D16869" s="216" t="n">
        <v>1.162142992019653</v>
      </c>
      <c r="E16869" s="215" t="n">
        <v>44776</v>
      </c>
      <c r="F16869" s="215" t="n">
        <v>44776</v>
      </c>
    </row>
    <row r="16870">
      <c r="A16870" s="215" t="n">
        <v>44777</v>
      </c>
      <c r="B16870" s="216" t="n">
        <v>79.5</v>
      </c>
      <c r="C16870" s="216" t="n">
        <v>113.4</v>
      </c>
      <c r="D16870" s="216" t="n">
        <v>1.161054015159607</v>
      </c>
      <c r="E16870" s="215" t="n">
        <v>44777</v>
      </c>
      <c r="F16870" s="215" t="n">
        <v>44777</v>
      </c>
    </row>
    <row r="16871">
      <c r="A16871" s="215" t="n">
        <v>44778</v>
      </c>
      <c r="B16871" s="216" t="n">
        <v>80.5</v>
      </c>
      <c r="C16871" s="216" t="n">
        <v>116.88</v>
      </c>
      <c r="D16871" s="216" t="n">
        <v>1.163038015365601</v>
      </c>
      <c r="E16871" s="215" t="n">
        <v>44778</v>
      </c>
      <c r="F16871" s="215" t="n">
        <v>44778</v>
      </c>
    </row>
    <row r="16872">
      <c r="A16872" s="215" t="n">
        <v>44781</v>
      </c>
      <c r="B16872" s="216" t="n">
        <v>80.7</v>
      </c>
      <c r="C16872" s="216" t="n">
        <v>118.19</v>
      </c>
      <c r="D16872" s="216" t="n">
        <v>1.157068967819214</v>
      </c>
      <c r="E16872" s="215" t="n">
        <v>44781</v>
      </c>
      <c r="F16872" s="215" t="n">
        <v>44781</v>
      </c>
    </row>
    <row r="16873">
      <c r="A16873" s="215" t="n">
        <v>44782</v>
      </c>
      <c r="B16873" s="216" t="n">
        <v>85.05</v>
      </c>
      <c r="C16873" s="216" t="n">
        <v>119.45</v>
      </c>
      <c r="D16873" s="216" t="n">
        <v>1.162580013275146</v>
      </c>
      <c r="E16873" s="215" t="n">
        <v>44782</v>
      </c>
      <c r="F16873" s="215" t="n">
        <v>44782</v>
      </c>
    </row>
    <row r="16874">
      <c r="A16874" s="215" t="n">
        <v>44783</v>
      </c>
      <c r="B16874" s="216" t="n">
        <v>85.8</v>
      </c>
      <c r="C16874" s="216" t="n">
        <v>117.78</v>
      </c>
      <c r="D16874" s="216" t="n">
        <v>1.162145972251892</v>
      </c>
      <c r="E16874" s="215" t="n">
        <v>44783</v>
      </c>
      <c r="F16874" s="215" t="n">
        <v>44783</v>
      </c>
    </row>
    <row r="16875">
      <c r="A16875" s="215" t="n">
        <v>44784</v>
      </c>
      <c r="B16875" s="216" t="n">
        <v>85.55</v>
      </c>
      <c r="C16875" s="216" t="n">
        <v>117.5</v>
      </c>
      <c r="D16875" s="216" t="n">
        <v>1.1664719581604</v>
      </c>
      <c r="E16875" s="215" t="n">
        <v>44784</v>
      </c>
      <c r="F16875" s="215" t="n">
        <v>44784</v>
      </c>
    </row>
    <row r="16876">
      <c r="A16876" s="215" t="n">
        <v>44785</v>
      </c>
      <c r="B16876" s="216" t="n">
        <v>85.25</v>
      </c>
      <c r="C16876" s="216" t="n">
        <v>115.11</v>
      </c>
      <c r="D16876" s="216" t="n">
        <v>1.163048028945923</v>
      </c>
      <c r="E16876" s="215" t="n">
        <v>44785</v>
      </c>
      <c r="F16876" s="215" t="n">
        <v>44785</v>
      </c>
    </row>
    <row r="16877">
      <c r="A16877" s="215" t="n">
        <v>44788</v>
      </c>
      <c r="B16877" s="216" t="n">
        <v>88.05</v>
      </c>
      <c r="C16877" s="216" t="n">
        <v>120.09</v>
      </c>
      <c r="D16877" s="216" t="n">
        <v>1.161870002746582</v>
      </c>
      <c r="E16877" s="215" t="n">
        <v>44788</v>
      </c>
      <c r="F16877" s="215" t="n">
        <v>44788</v>
      </c>
    </row>
    <row r="16878">
      <c r="A16878" s="215" t="n">
        <v>44789</v>
      </c>
      <c r="B16878" s="216" t="n">
        <v>87.3</v>
      </c>
      <c r="C16878" s="216" t="n">
        <v>116.68</v>
      </c>
      <c r="D16878" s="216" t="n">
        <v>1.157011985778809</v>
      </c>
      <c r="E16878" s="215" t="n">
        <v>44789</v>
      </c>
      <c r="F16878" s="215" t="n">
        <v>44789</v>
      </c>
    </row>
    <row r="16879">
      <c r="A16879" s="215" t="n">
        <v>44790</v>
      </c>
      <c r="B16879" s="216" t="n">
        <v>86.95</v>
      </c>
      <c r="C16879" s="216" t="n">
        <v>114.97</v>
      </c>
      <c r="D16879" s="216" t="n">
        <v>1.154489040374756</v>
      </c>
      <c r="E16879" s="215" t="n">
        <v>44790</v>
      </c>
      <c r="F16879" s="215" t="n">
        <v>44790</v>
      </c>
    </row>
    <row r="16880">
      <c r="A16880" s="215" t="n">
        <v>44791</v>
      </c>
      <c r="B16880" s="216" t="n">
        <v>83.84999999999999</v>
      </c>
      <c r="C16880" s="216" t="n">
        <v>113.92</v>
      </c>
      <c r="D16880" s="216" t="n">
        <v>1.156353950500488</v>
      </c>
      <c r="E16880" s="215" t="n">
        <v>44791</v>
      </c>
      <c r="F16880" s="215" t="n">
        <v>44791</v>
      </c>
    </row>
    <row r="16881">
      <c r="A16881" s="215" t="n">
        <v>44792</v>
      </c>
      <c r="B16881" s="216" t="n">
        <v>81</v>
      </c>
      <c r="C16881" s="216" t="n">
        <v>109.2</v>
      </c>
      <c r="D16881" s="216" t="n">
        <v>1.156412959098816</v>
      </c>
      <c r="E16881" s="215" t="n">
        <v>44792</v>
      </c>
      <c r="F16881" s="215" t="n">
        <v>44792</v>
      </c>
    </row>
    <row r="16882">
      <c r="A16882" s="215" t="n">
        <v>44795</v>
      </c>
      <c r="B16882" s="216" t="n">
        <v>84.40000000000001</v>
      </c>
      <c r="C16882" s="216" t="n">
        <v>120.12</v>
      </c>
      <c r="D16882" s="216" t="n">
        <v>1.150079965591431</v>
      </c>
      <c r="E16882" s="215" t="n">
        <v>44795</v>
      </c>
      <c r="F16882" s="215" t="n">
        <v>44795</v>
      </c>
    </row>
    <row r="16883">
      <c r="A16883" s="215" t="n">
        <v>44796</v>
      </c>
      <c r="B16883" s="216" t="n">
        <v>85.59999999999999</v>
      </c>
      <c r="C16883" s="216" t="n">
        <v>121.07</v>
      </c>
      <c r="D16883" s="216" t="n">
        <v>1.145777940750122</v>
      </c>
      <c r="E16883" s="215" t="n">
        <v>44796</v>
      </c>
      <c r="F16883" s="215" t="n">
        <v>44796</v>
      </c>
    </row>
    <row r="16884">
      <c r="A16884" s="215" t="n">
        <v>44797</v>
      </c>
      <c r="B16884" s="216" t="n">
        <v>82.05</v>
      </c>
      <c r="C16884" s="216" t="n">
        <v>119.13</v>
      </c>
      <c r="D16884" s="216" t="n">
        <v>1.148229956626892</v>
      </c>
      <c r="E16884" s="215" t="n">
        <v>44797</v>
      </c>
      <c r="F16884" s="215" t="n">
        <v>44797</v>
      </c>
    </row>
    <row r="16885">
      <c r="A16885" s="215" t="n">
        <v>44798</v>
      </c>
      <c r="B16885" s="216" t="n">
        <v>81.34999999999999</v>
      </c>
      <c r="C16885" s="216" t="n">
        <v>112.47</v>
      </c>
      <c r="D16885" s="216" t="n">
        <v>1.143164038658142</v>
      </c>
      <c r="E16885" s="215" t="n">
        <v>44798</v>
      </c>
      <c r="F16885" s="215" t="n">
        <v>44798</v>
      </c>
    </row>
    <row r="16886">
      <c r="A16886" s="215" t="n">
        <v>44799</v>
      </c>
      <c r="B16886" s="216" t="n">
        <v>83.15000000000001</v>
      </c>
      <c r="C16886" s="216" t="n">
        <v>115.51</v>
      </c>
      <c r="D16886" s="216" t="n">
        <v>1.145529985427856</v>
      </c>
      <c r="E16886" s="215" t="n">
        <v>44799</v>
      </c>
      <c r="F16886" s="215" t="n">
        <v>44799</v>
      </c>
    </row>
    <row r="16887">
      <c r="A16887" s="215" t="n">
        <v>44802</v>
      </c>
      <c r="B16887" s="216" t="n">
        <v>85</v>
      </c>
      <c r="C16887" s="216" t="n">
        <v>116.05</v>
      </c>
      <c r="D16887" s="216" t="n">
        <v>1.136988997459412</v>
      </c>
      <c r="E16887" s="215" t="n">
        <v>44802</v>
      </c>
      <c r="F16887" s="215" t="n">
        <v>44802</v>
      </c>
    </row>
    <row r="16888">
      <c r="A16888" s="215" t="n">
        <v>44803</v>
      </c>
      <c r="B16888" s="216" t="n">
        <v>84.5</v>
      </c>
      <c r="C16888" s="216" t="n">
        <v>115.63</v>
      </c>
      <c r="D16888" s="216" t="n">
        <v>1.135977983474731</v>
      </c>
      <c r="E16888" s="215" t="n">
        <v>44803</v>
      </c>
      <c r="F16888" s="215" t="n">
        <v>44803</v>
      </c>
    </row>
    <row r="16889">
      <c r="A16889" s="215" t="n">
        <v>44804</v>
      </c>
      <c r="B16889" s="216" t="n">
        <v>82.2</v>
      </c>
      <c r="C16889" s="216" t="n">
        <v>114.24</v>
      </c>
      <c r="D16889" s="216" t="n">
        <v>1.135614037513733</v>
      </c>
      <c r="E16889" s="215" t="n">
        <v>44804</v>
      </c>
      <c r="F16889" s="215" t="n">
        <v>44804</v>
      </c>
    </row>
    <row r="16890">
      <c r="A16890" s="215" t="n">
        <v>44805</v>
      </c>
      <c r="B16890" s="216" t="n">
        <v>80</v>
      </c>
      <c r="C16890" s="216" t="n">
        <v>107.92</v>
      </c>
      <c r="D16890" s="216" t="n">
        <v>1.138682007789612</v>
      </c>
      <c r="E16890" s="215" t="n">
        <v>44805</v>
      </c>
      <c r="F16890" s="215" t="n">
        <v>44805</v>
      </c>
    </row>
    <row r="16891">
      <c r="A16891" s="215" t="n">
        <v>44806</v>
      </c>
      <c r="B16891" s="216" t="n">
        <v>78.34999999999999</v>
      </c>
      <c r="C16891" s="216" t="n">
        <v>105.22</v>
      </c>
      <c r="D16891" s="216" t="n">
        <v>1.136086940765381</v>
      </c>
      <c r="E16891" s="215" t="n">
        <v>44806</v>
      </c>
      <c r="F16891" s="215" t="n">
        <v>44806</v>
      </c>
    </row>
    <row r="16892">
      <c r="A16892" s="215" t="n">
        <v>44809</v>
      </c>
      <c r="B16892" s="216" t="n">
        <v>77.25</v>
      </c>
      <c r="C16892" s="216" t="n">
        <v>105.5</v>
      </c>
      <c r="D16892" s="216" t="n">
        <v>1.132429003715515</v>
      </c>
      <c r="E16892" s="215" t="n">
        <v>44809</v>
      </c>
      <c r="F16892" s="215" t="n">
        <v>44809</v>
      </c>
    </row>
    <row r="16893">
      <c r="A16893" s="215" t="n">
        <v>44810</v>
      </c>
      <c r="B16893" s="216" t="n">
        <v>81.15000000000001</v>
      </c>
      <c r="C16893" s="216" t="n">
        <v>110.77</v>
      </c>
      <c r="D16893" s="216" t="n">
        <v>1.13170599937439</v>
      </c>
      <c r="E16893" s="215" t="n">
        <v>44810</v>
      </c>
      <c r="F16893" s="215" t="n">
        <v>44810</v>
      </c>
    </row>
    <row r="16894">
      <c r="A16894" s="215" t="n">
        <v>44811</v>
      </c>
      <c r="B16894" s="216" t="n">
        <v>81.65000000000001</v>
      </c>
      <c r="C16894" s="216" t="n">
        <v>109.51</v>
      </c>
      <c r="D16894" s="216" t="n">
        <v>1.128731966018677</v>
      </c>
      <c r="E16894" s="215" t="n">
        <v>44811</v>
      </c>
      <c r="F16894" s="215" t="n">
        <v>44811</v>
      </c>
    </row>
    <row r="16895">
      <c r="A16895" s="215" t="n">
        <v>44812</v>
      </c>
      <c r="B16895" s="216" t="n">
        <v>81.7</v>
      </c>
      <c r="C16895" s="216" t="n">
        <v>107.59</v>
      </c>
      <c r="D16895" s="216" t="n">
        <v>1.126878976821899</v>
      </c>
      <c r="E16895" s="215" t="n">
        <v>44812</v>
      </c>
      <c r="F16895" s="215" t="n">
        <v>44812</v>
      </c>
    </row>
    <row r="16896">
      <c r="A16896" s="215" t="n">
        <v>44813</v>
      </c>
      <c r="B16896" s="216" t="n">
        <v>82.34999999999999</v>
      </c>
      <c r="C16896" s="216" t="n">
        <v>110.35</v>
      </c>
      <c r="D16896" s="216" t="n">
        <v>1.128111958503723</v>
      </c>
      <c r="E16896" s="215" t="n">
        <v>44813</v>
      </c>
      <c r="F16896" s="215" t="n">
        <v>44813</v>
      </c>
    </row>
    <row r="16897">
      <c r="A16897" s="215" t="n">
        <v>44817</v>
      </c>
      <c r="B16897" s="216" t="n">
        <v>83.3</v>
      </c>
      <c r="C16897" s="216" t="n">
        <v>112</v>
      </c>
      <c r="D16897" s="216" t="n">
        <v>1.133118033409119</v>
      </c>
      <c r="E16897" s="215" t="n">
        <v>44817</v>
      </c>
      <c r="F16897" s="215" t="n">
        <v>44817</v>
      </c>
    </row>
    <row r="16898">
      <c r="A16898" s="215" t="n">
        <v>44818</v>
      </c>
      <c r="B16898" s="216" t="n">
        <v>84.7</v>
      </c>
      <c r="C16898" s="216" t="n">
        <v>113.01</v>
      </c>
      <c r="D16898" s="216" t="n">
        <v>1.133923053741455</v>
      </c>
      <c r="E16898" s="215" t="n">
        <v>44818</v>
      </c>
      <c r="F16898" s="215" t="n">
        <v>44818</v>
      </c>
    </row>
    <row r="16899">
      <c r="A16899" s="215" t="n">
        <v>44819</v>
      </c>
      <c r="B16899" s="216" t="n">
        <v>85.3</v>
      </c>
      <c r="C16899" s="216" t="n">
        <v>109.92</v>
      </c>
      <c r="D16899" s="216" t="n">
        <v>1.127349972724915</v>
      </c>
      <c r="E16899" s="215" t="n">
        <v>44819</v>
      </c>
      <c r="F16899" s="215" t="n">
        <v>44819</v>
      </c>
    </row>
    <row r="16900">
      <c r="A16900" s="215" t="n">
        <v>44820</v>
      </c>
      <c r="B16900" s="216" t="n">
        <v>79.09999999999999</v>
      </c>
      <c r="C16900" s="216" t="n">
        <v>104.02</v>
      </c>
      <c r="D16900" s="216" t="n">
        <v>1.122084975242615</v>
      </c>
      <c r="E16900" s="215" t="n">
        <v>44820</v>
      </c>
      <c r="F16900" s="215" t="n">
        <v>44820</v>
      </c>
    </row>
    <row r="16901">
      <c r="A16901" s="215" t="n">
        <v>44823</v>
      </c>
      <c r="B16901" s="216" t="n">
        <v>78.95</v>
      </c>
      <c r="C16901" s="216" t="n">
        <v>105.54</v>
      </c>
      <c r="D16901" s="216" t="n">
        <v>1.128190040588379</v>
      </c>
      <c r="E16901" s="215" t="n">
        <v>44823</v>
      </c>
      <c r="F16901" s="215" t="n">
        <v>44823</v>
      </c>
    </row>
    <row r="16902">
      <c r="A16902" s="215" t="n">
        <v>44824</v>
      </c>
      <c r="B16902" s="216" t="n">
        <v>82.05</v>
      </c>
      <c r="C16902" s="216" t="n">
        <v>114.3</v>
      </c>
      <c r="D16902" s="216" t="n">
        <v>1.120393991470337</v>
      </c>
      <c r="E16902" s="215" t="n">
        <v>44824</v>
      </c>
      <c r="F16902" s="215" t="n">
        <v>44824</v>
      </c>
    </row>
    <row r="16903">
      <c r="A16903" s="215" t="n">
        <v>44825</v>
      </c>
      <c r="B16903" s="216" t="n">
        <v>82.8</v>
      </c>
      <c r="C16903" s="216" t="n">
        <v>114.79</v>
      </c>
      <c r="D16903" s="216" t="n">
        <v>1.11835503578186</v>
      </c>
      <c r="E16903" s="215" t="n">
        <v>44825</v>
      </c>
      <c r="F16903" s="215" t="n">
        <v>44825</v>
      </c>
    </row>
    <row r="16904">
      <c r="A16904" s="215" t="n">
        <v>44826</v>
      </c>
      <c r="B16904" s="216" t="n">
        <v>82.7</v>
      </c>
      <c r="C16904" s="216" t="n">
        <v>115.04</v>
      </c>
      <c r="D16904" s="216" t="n">
        <v>1.113355040550232</v>
      </c>
      <c r="E16904" s="215" t="n">
        <v>44826</v>
      </c>
      <c r="F16904" s="215" t="n">
        <v>44826</v>
      </c>
    </row>
    <row r="16905">
      <c r="A16905" s="215" t="n">
        <v>44827</v>
      </c>
      <c r="B16905" s="216" t="n">
        <v>79.45</v>
      </c>
      <c r="C16905" s="216" t="n">
        <v>111.67</v>
      </c>
      <c r="D16905" s="216" t="n">
        <v>1.10860002040863</v>
      </c>
      <c r="E16905" s="215" t="n">
        <v>44827</v>
      </c>
      <c r="F16905" s="215" t="n">
        <v>44827</v>
      </c>
    </row>
    <row r="16906">
      <c r="A16906" s="215" t="n">
        <v>44830</v>
      </c>
      <c r="B16906" s="216" t="n">
        <v>79.5</v>
      </c>
      <c r="C16906" s="216" t="n">
        <v>109.9</v>
      </c>
      <c r="D16906" s="216" t="n">
        <v>1.115165948867798</v>
      </c>
      <c r="E16906" s="215" t="n">
        <v>44830</v>
      </c>
      <c r="F16906" s="215" t="n">
        <v>44830</v>
      </c>
    </row>
    <row r="16907">
      <c r="A16907" s="215" t="n">
        <v>44831</v>
      </c>
      <c r="B16907" s="216" t="n">
        <v>78.55</v>
      </c>
      <c r="C16907" s="216" t="n">
        <v>108.98</v>
      </c>
      <c r="D16907" s="216" t="n">
        <v>1.114001989364624</v>
      </c>
      <c r="E16907" s="215" t="n">
        <v>44831</v>
      </c>
      <c r="F16907" s="215" t="n">
        <v>44831</v>
      </c>
    </row>
    <row r="16908">
      <c r="A16908" s="215" t="n">
        <v>44832</v>
      </c>
      <c r="B16908" s="216" t="n">
        <v>75.5</v>
      </c>
      <c r="C16908" s="216" t="n">
        <v>102.29</v>
      </c>
      <c r="D16908" s="216" t="n">
        <v>1.094223022460938</v>
      </c>
      <c r="E16908" s="215" t="n">
        <v>44832</v>
      </c>
      <c r="F16908" s="215" t="n">
        <v>44832</v>
      </c>
    </row>
    <row r="16909">
      <c r="A16909" s="215" t="n">
        <v>44833</v>
      </c>
      <c r="B16909" s="216" t="n">
        <v>71.84999999999999</v>
      </c>
      <c r="C16909" s="216" t="n">
        <v>104.11</v>
      </c>
      <c r="D16909" s="216" t="n">
        <v>1.089447975158691</v>
      </c>
      <c r="E16909" s="215" t="n">
        <v>44833</v>
      </c>
      <c r="F16909" s="215" t="n">
        <v>44833</v>
      </c>
    </row>
    <row r="16910">
      <c r="A16910" s="215" t="n">
        <v>44834</v>
      </c>
      <c r="B16910" s="216" t="n">
        <v>68.5</v>
      </c>
      <c r="C16910" s="216" t="n">
        <v>100.4</v>
      </c>
      <c r="D16910" s="216" t="n">
        <v>1.10089898109436</v>
      </c>
      <c r="E16910" s="215" t="n">
        <v>44834</v>
      </c>
      <c r="F16910" s="215" t="n">
        <v>44834</v>
      </c>
    </row>
    <row r="16911">
      <c r="A16911" s="215" t="n">
        <v>44837</v>
      </c>
      <c r="B16911" s="216" t="n">
        <v>64.59999999999999</v>
      </c>
      <c r="C16911" s="216" t="n">
        <v>100.4</v>
      </c>
      <c r="D16911" s="216" t="n">
        <v>1.102097988128662</v>
      </c>
      <c r="E16911" s="215" t="n">
        <v>44834</v>
      </c>
      <c r="F16911" s="215" t="n">
        <v>44837</v>
      </c>
    </row>
    <row r="16912">
      <c r="A16912" s="215" t="n">
        <v>44839</v>
      </c>
      <c r="B16912" s="216" t="n">
        <v>67.8</v>
      </c>
      <c r="C16912" s="216" t="n">
        <v>100.4</v>
      </c>
      <c r="D16912" s="216" t="n">
        <v>1.103346943855286</v>
      </c>
      <c r="E16912" s="215" t="n">
        <v>44834</v>
      </c>
      <c r="F16912" s="215" t="n">
        <v>44839</v>
      </c>
    </row>
    <row r="16913">
      <c r="A16913" s="215" t="n">
        <v>44840</v>
      </c>
      <c r="B16913" s="216" t="n">
        <v>71</v>
      </c>
      <c r="C16913" s="216" t="n">
        <v>100.4</v>
      </c>
      <c r="D16913" s="216" t="n">
        <v>1.103878021240234</v>
      </c>
      <c r="E16913" s="215" t="n">
        <v>44834</v>
      </c>
      <c r="F16913" s="215" t="n">
        <v>44840</v>
      </c>
    </row>
    <row r="16914">
      <c r="A16914" s="215" t="n">
        <v>44841</v>
      </c>
      <c r="B16914" s="216" t="n">
        <v>68.65000000000001</v>
      </c>
      <c r="C16914" s="216" t="n">
        <v>100.4</v>
      </c>
      <c r="D16914" s="216" t="n">
        <v>1.103150963783264</v>
      </c>
      <c r="E16914" s="215" t="n">
        <v>44834</v>
      </c>
      <c r="F16914" s="215" t="n">
        <v>44841</v>
      </c>
    </row>
    <row r="16915">
      <c r="A16915" s="215" t="n">
        <v>44844</v>
      </c>
      <c r="B16915" s="216" t="n">
        <v>63.7</v>
      </c>
      <c r="C16915" s="216" t="n">
        <v>97.02</v>
      </c>
      <c r="D16915" s="216" t="n">
        <v>1.098549008369446</v>
      </c>
      <c r="E16915" s="215" t="n">
        <v>44844</v>
      </c>
      <c r="F16915" s="215" t="n">
        <v>44844</v>
      </c>
    </row>
    <row r="16916">
      <c r="A16916" s="215" t="n">
        <v>44845</v>
      </c>
      <c r="B16916" s="216" t="n">
        <v>64.45</v>
      </c>
      <c r="C16916" s="216" t="n">
        <v>100.6</v>
      </c>
      <c r="D16916" s="216" t="n">
        <v>1.097115039825439</v>
      </c>
      <c r="E16916" s="215" t="n">
        <v>44845</v>
      </c>
      <c r="F16916" s="215" t="n">
        <v>44845</v>
      </c>
    </row>
    <row r="16917">
      <c r="A16917" s="215" t="n">
        <v>44846</v>
      </c>
      <c r="B16917" s="216" t="n">
        <v>64.59999999999999</v>
      </c>
      <c r="C16917" s="216" t="n">
        <v>102</v>
      </c>
      <c r="D16917" s="216" t="n">
        <v>1.094871997833252</v>
      </c>
      <c r="E16917" s="215" t="n">
        <v>44846</v>
      </c>
      <c r="F16917" s="215" t="n">
        <v>44846</v>
      </c>
    </row>
    <row r="16918">
      <c r="A16918" s="215" t="n">
        <v>44847</v>
      </c>
      <c r="B16918" s="216" t="n">
        <v>60.75</v>
      </c>
      <c r="C16918" s="216" t="n">
        <v>97.88</v>
      </c>
      <c r="D16918" s="216" t="n">
        <v>1.09404194355011</v>
      </c>
      <c r="E16918" s="215" t="n">
        <v>44847</v>
      </c>
      <c r="F16918" s="215" t="n">
        <v>44847</v>
      </c>
    </row>
    <row r="16919">
      <c r="A16919" s="215" t="n">
        <v>44848</v>
      </c>
      <c r="B16919" s="216" t="n">
        <v>61.75</v>
      </c>
      <c r="C16919" s="216" t="n">
        <v>101.92</v>
      </c>
      <c r="D16919" s="216" t="n">
        <v>1.094624042510986</v>
      </c>
      <c r="E16919" s="215" t="n">
        <v>44848</v>
      </c>
      <c r="F16919" s="215" t="n">
        <v>44848</v>
      </c>
    </row>
    <row r="16920">
      <c r="A16920" s="215" t="n">
        <v>44851</v>
      </c>
      <c r="B16920" s="216" t="n">
        <v>60.35</v>
      </c>
      <c r="C16920" s="216" t="n">
        <v>99.59999999999999</v>
      </c>
      <c r="D16920" s="216" t="n">
        <v>1.093557000160217</v>
      </c>
      <c r="E16920" s="215" t="n">
        <v>44851</v>
      </c>
      <c r="F16920" s="215" t="n">
        <v>44851</v>
      </c>
    </row>
    <row r="16921">
      <c r="A16921" s="215" t="n">
        <v>44852</v>
      </c>
      <c r="B16921" s="216" t="n">
        <v>61.7</v>
      </c>
      <c r="C16921" s="216" t="n">
        <v>98.51000000000001</v>
      </c>
      <c r="D16921" s="216" t="n">
        <v>1.090047001838684</v>
      </c>
      <c r="E16921" s="215" t="n">
        <v>44852</v>
      </c>
      <c r="F16921" s="215" t="n">
        <v>44852</v>
      </c>
    </row>
    <row r="16922">
      <c r="A16922" s="215" t="n">
        <v>44853</v>
      </c>
      <c r="B16922" s="216" t="n">
        <v>60.8</v>
      </c>
      <c r="C16922" s="216" t="n">
        <v>98.78</v>
      </c>
      <c r="D16922" s="216" t="n">
        <v>1.089534044265747</v>
      </c>
      <c r="E16922" s="215" t="n">
        <v>44853</v>
      </c>
      <c r="F16922" s="215" t="n">
        <v>44853</v>
      </c>
    </row>
    <row r="16923">
      <c r="A16923" s="215" t="n">
        <v>44854</v>
      </c>
      <c r="B16923" s="216" t="n">
        <v>58.7</v>
      </c>
      <c r="C16923" s="216" t="n">
        <v>95.18000000000001</v>
      </c>
      <c r="D16923" s="216" t="n">
        <v>1.086274027824402</v>
      </c>
      <c r="E16923" s="215" t="n">
        <v>44854</v>
      </c>
      <c r="F16923" s="215" t="n">
        <v>44854</v>
      </c>
    </row>
    <row r="16924">
      <c r="A16924" s="215" t="n">
        <v>44855</v>
      </c>
      <c r="B16924" s="216" t="n">
        <v>59.05</v>
      </c>
      <c r="C16924" s="216" t="n">
        <v>92.59</v>
      </c>
      <c r="D16924" s="216" t="n">
        <v>1.087515950202942</v>
      </c>
      <c r="E16924" s="215" t="n">
        <v>44855</v>
      </c>
      <c r="F16924" s="215" t="n">
        <v>44855</v>
      </c>
    </row>
    <row r="16925">
      <c r="A16925" s="215" t="n">
        <v>44858</v>
      </c>
      <c r="B16925" s="216" t="n">
        <v>59</v>
      </c>
      <c r="C16925" s="216" t="n">
        <v>93.2</v>
      </c>
      <c r="D16925" s="216" t="n">
        <v>1.08328104019165</v>
      </c>
      <c r="E16925" s="215" t="n">
        <v>44858</v>
      </c>
      <c r="F16925" s="215" t="n">
        <v>44858</v>
      </c>
    </row>
    <row r="16926">
      <c r="A16926" s="215" t="n">
        <v>44859</v>
      </c>
      <c r="B16926" s="216" t="n">
        <v>61.65</v>
      </c>
      <c r="C16926" s="216" t="n">
        <v>95.29000000000001</v>
      </c>
      <c r="D16926" s="216" t="n">
        <v>1.080643057823181</v>
      </c>
      <c r="E16926" s="215" t="n">
        <v>44859</v>
      </c>
      <c r="F16926" s="215" t="n">
        <v>44859</v>
      </c>
    </row>
    <row r="16927">
      <c r="A16927" s="215" t="n">
        <v>44860</v>
      </c>
      <c r="B16927" s="216" t="n">
        <v>63.75</v>
      </c>
      <c r="C16927" s="216" t="n">
        <v>95.59999999999999</v>
      </c>
      <c r="D16927" s="216" t="n">
        <v>1.079828023910522</v>
      </c>
      <c r="E16927" s="215" t="n">
        <v>44860</v>
      </c>
      <c r="F16927" s="215" t="n">
        <v>44860</v>
      </c>
    </row>
    <row r="16928">
      <c r="A16928" s="215" t="n">
        <v>44861</v>
      </c>
      <c r="B16928" s="216" t="n">
        <v>66.84999999999999</v>
      </c>
      <c r="C16928" s="216" t="n">
        <v>95.65000000000001</v>
      </c>
      <c r="D16928" s="216" t="n">
        <v>1.094295978546143</v>
      </c>
      <c r="E16928" s="215" t="n">
        <v>44861</v>
      </c>
      <c r="F16928" s="215" t="n">
        <v>44861</v>
      </c>
    </row>
    <row r="16929">
      <c r="A16929" s="215" t="n">
        <v>44862</v>
      </c>
      <c r="B16929" s="216" t="n">
        <v>63.85</v>
      </c>
      <c r="C16929" s="216" t="n">
        <v>92.44</v>
      </c>
      <c r="D16929" s="216" t="n">
        <v>1.085523962974548</v>
      </c>
      <c r="E16929" s="215" t="n">
        <v>44862</v>
      </c>
      <c r="F16929" s="215" t="n">
        <v>44862</v>
      </c>
    </row>
    <row r="16930">
      <c r="A16930" s="215" t="n">
        <v>44865</v>
      </c>
      <c r="B16930" s="216" t="n">
        <v>64</v>
      </c>
      <c r="C16930" s="216" t="n">
        <v>95.55</v>
      </c>
      <c r="D16930" s="216" t="n">
        <v>1.081084966659546</v>
      </c>
      <c r="E16930" s="215" t="n">
        <v>44865</v>
      </c>
      <c r="F16930" s="215" t="n">
        <v>44865</v>
      </c>
    </row>
    <row r="16931">
      <c r="A16931" s="215" t="n">
        <v>44866</v>
      </c>
      <c r="B16931" s="216" t="n">
        <v>68.09999999999999</v>
      </c>
      <c r="C16931" s="216" t="n">
        <v>100.18</v>
      </c>
      <c r="D16931" s="216" t="n">
        <v>1.074709057807922</v>
      </c>
      <c r="E16931" s="215" t="n">
        <v>44866</v>
      </c>
      <c r="F16931" s="215" t="n">
        <v>44866</v>
      </c>
    </row>
    <row r="16932">
      <c r="A16932" s="215" t="n">
        <v>44867</v>
      </c>
      <c r="B16932" s="216" t="n">
        <v>68.95</v>
      </c>
      <c r="C16932" s="216" t="n">
        <v>99.34999999999999</v>
      </c>
      <c r="D16932" s="216" t="n">
        <v>1.078613996505737</v>
      </c>
      <c r="E16932" s="215" t="n">
        <v>44867</v>
      </c>
      <c r="F16932" s="215" t="n">
        <v>44867</v>
      </c>
    </row>
    <row r="16933">
      <c r="A16933" s="215" t="n">
        <v>44868</v>
      </c>
      <c r="B16933" s="216" t="n">
        <v>66.84999999999999</v>
      </c>
      <c r="C16933" s="216" t="n">
        <v>96.70999999999999</v>
      </c>
      <c r="D16933" s="216" t="n">
        <v>1.076753973960876</v>
      </c>
      <c r="E16933" s="215" t="n">
        <v>44868</v>
      </c>
      <c r="F16933" s="215" t="n">
        <v>44868</v>
      </c>
    </row>
    <row r="16934">
      <c r="A16934" s="215" t="n">
        <v>44869</v>
      </c>
      <c r="B16934" s="216" t="n">
        <v>71.40000000000001</v>
      </c>
      <c r="C16934" s="216" t="n">
        <v>104.9</v>
      </c>
      <c r="D16934" s="216" t="n">
        <v>1.074813961982727</v>
      </c>
      <c r="E16934" s="215" t="n">
        <v>44869</v>
      </c>
      <c r="F16934" s="215" t="n">
        <v>44869</v>
      </c>
    </row>
    <row r="16935">
      <c r="A16935" s="215" t="n">
        <v>44872</v>
      </c>
      <c r="B16935" s="216" t="n">
        <v>72.5</v>
      </c>
      <c r="C16935" s="216" t="n">
        <v>104.99</v>
      </c>
      <c r="D16935" s="216" t="n">
        <v>1.096333980560303</v>
      </c>
      <c r="E16935" s="215" t="n">
        <v>44872</v>
      </c>
      <c r="F16935" s="215" t="n">
        <v>44872</v>
      </c>
    </row>
    <row r="16936">
      <c r="A16936" s="215" t="n">
        <v>44873</v>
      </c>
      <c r="B16936" s="216" t="n">
        <v>76</v>
      </c>
      <c r="C16936" s="216" t="n">
        <v>105.86</v>
      </c>
      <c r="D16936" s="216" t="n">
        <v>1.085438013076782</v>
      </c>
      <c r="E16936" s="215" t="n">
        <v>44873</v>
      </c>
      <c r="F16936" s="215" t="n">
        <v>44873</v>
      </c>
    </row>
    <row r="16937">
      <c r="A16937" s="215" t="n">
        <v>44874</v>
      </c>
      <c r="B16937" s="216" t="n">
        <v>78.7</v>
      </c>
      <c r="C16937" s="216" t="n">
        <v>105.39</v>
      </c>
      <c r="D16937" s="216" t="n">
        <v>1.082811951637268</v>
      </c>
      <c r="E16937" s="215" t="n">
        <v>44874</v>
      </c>
      <c r="F16937" s="215" t="n">
        <v>44874</v>
      </c>
    </row>
    <row r="16938">
      <c r="A16938" s="215" t="n">
        <v>44875</v>
      </c>
      <c r="B16938" s="216" t="n">
        <v>72.55</v>
      </c>
      <c r="C16938" s="216" t="n">
        <v>100.35</v>
      </c>
      <c r="D16938" s="216" t="n">
        <v>1.084288954734802</v>
      </c>
      <c r="E16938" s="215" t="n">
        <v>44875</v>
      </c>
      <c r="F16938" s="215" t="n">
        <v>44875</v>
      </c>
    </row>
    <row r="16939">
      <c r="A16939" s="215" t="n">
        <v>44876</v>
      </c>
      <c r="B16939" s="216" t="n">
        <v>73.5</v>
      </c>
      <c r="C16939" s="216" t="n">
        <v>102.1</v>
      </c>
      <c r="D16939" s="216" t="n">
        <v>1.091645956039429</v>
      </c>
      <c r="E16939" s="215" t="n">
        <v>44876</v>
      </c>
      <c r="F16939" s="215" t="n">
        <v>44876</v>
      </c>
    </row>
    <row r="16940">
      <c r="A16940" s="215" t="n">
        <v>44879</v>
      </c>
      <c r="B16940" s="216" t="n">
        <v>70.05</v>
      </c>
      <c r="C16940" s="216" t="n">
        <v>98.37</v>
      </c>
      <c r="D16940" s="216" t="n">
        <v>1.099599003791809</v>
      </c>
      <c r="E16940" s="215" t="n">
        <v>44879</v>
      </c>
      <c r="F16940" s="215" t="n">
        <v>44879</v>
      </c>
    </row>
    <row r="16941">
      <c r="A16941" s="215" t="n">
        <v>44880</v>
      </c>
      <c r="B16941" s="216" t="n">
        <v>71.3</v>
      </c>
      <c r="C16941" s="216" t="n">
        <v>98.98999999999999</v>
      </c>
      <c r="D16941" s="216" t="n">
        <v>1.107100009918213</v>
      </c>
      <c r="E16941" s="215" t="n">
        <v>44880</v>
      </c>
      <c r="F16941" s="215" t="n">
        <v>44880</v>
      </c>
    </row>
    <row r="16942">
      <c r="A16942" s="215" t="n">
        <v>44881</v>
      </c>
      <c r="B16942" s="216" t="n">
        <v>66.5</v>
      </c>
      <c r="C16942" s="216" t="n">
        <v>95.69</v>
      </c>
      <c r="D16942" s="216" t="n">
        <v>1.109894037246704</v>
      </c>
      <c r="E16942" s="215" t="n">
        <v>44881</v>
      </c>
      <c r="F16942" s="215" t="n">
        <v>44881</v>
      </c>
    </row>
    <row r="16943">
      <c r="A16943" s="215" t="n">
        <v>44882</v>
      </c>
      <c r="B16943" s="216" t="n">
        <v>66.40000000000001</v>
      </c>
      <c r="C16943" s="216" t="n">
        <v>94.91</v>
      </c>
      <c r="D16943" s="216" t="n">
        <v>1.103749990463257</v>
      </c>
      <c r="E16943" s="215" t="n">
        <v>44882</v>
      </c>
      <c r="F16943" s="215" t="n">
        <v>44882</v>
      </c>
    </row>
    <row r="16944">
      <c r="A16944" s="215" t="n">
        <v>44883</v>
      </c>
      <c r="B16944" s="216" t="n">
        <v>64.5</v>
      </c>
      <c r="C16944" s="216" t="n">
        <v>92.02</v>
      </c>
      <c r="D16944" s="216" t="n">
        <v>1.093418002128601</v>
      </c>
      <c r="E16944" s="215" t="n">
        <v>44883</v>
      </c>
      <c r="F16944" s="215" t="n">
        <v>44883</v>
      </c>
    </row>
    <row r="16945">
      <c r="A16945" s="215" t="n">
        <v>44886</v>
      </c>
      <c r="B16945" s="216" t="n">
        <v>66.84999999999999</v>
      </c>
      <c r="C16945" s="216" t="n">
        <v>93.23999999999999</v>
      </c>
      <c r="D16945" s="216" t="n">
        <v>1.096133947372437</v>
      </c>
      <c r="E16945" s="215" t="n">
        <v>44886</v>
      </c>
      <c r="F16945" s="215" t="n">
        <v>44886</v>
      </c>
    </row>
    <row r="16946">
      <c r="A16946" s="215" t="n">
        <v>44887</v>
      </c>
      <c r="B16946" s="216" t="n">
        <v>65.2</v>
      </c>
      <c r="C16946" s="216" t="n">
        <v>91.18000000000001</v>
      </c>
      <c r="D16946" s="216" t="n">
        <v>1.089416027069092</v>
      </c>
      <c r="E16946" s="215" t="n">
        <v>44887</v>
      </c>
      <c r="F16946" s="215" t="n">
        <v>44887</v>
      </c>
    </row>
    <row r="16947">
      <c r="A16947" s="215" t="n">
        <v>44888</v>
      </c>
      <c r="B16947" s="216" t="n">
        <v>65.84999999999999</v>
      </c>
      <c r="C16947" s="216" t="n">
        <v>91.83</v>
      </c>
      <c r="D16947" s="216" t="n">
        <v>1.095062017440796</v>
      </c>
      <c r="E16947" s="215" t="n">
        <v>44888</v>
      </c>
      <c r="F16947" s="215" t="n">
        <v>44888</v>
      </c>
    </row>
    <row r="16948">
      <c r="A16948" s="215" t="n">
        <v>44889</v>
      </c>
      <c r="B16948" s="216" t="n">
        <v>65.84999999999999</v>
      </c>
      <c r="C16948" s="216" t="n">
        <v>92.38</v>
      </c>
      <c r="D16948" s="216" t="n">
        <v>1.091977000236511</v>
      </c>
      <c r="E16948" s="215" t="n">
        <v>44889</v>
      </c>
      <c r="F16948" s="215" t="n">
        <v>44889</v>
      </c>
    </row>
    <row r="16949">
      <c r="A16949" s="215" t="n">
        <v>44890</v>
      </c>
      <c r="B16949" s="216" t="n">
        <v>63.25</v>
      </c>
      <c r="C16949" s="216" t="n">
        <v>89.56999999999999</v>
      </c>
      <c r="D16949" s="216" t="n">
        <v>1.091302990913391</v>
      </c>
      <c r="E16949" s="215" t="n">
        <v>44890</v>
      </c>
      <c r="F16949" s="215" t="n">
        <v>44890</v>
      </c>
    </row>
    <row r="16950">
      <c r="A16950" s="215" t="n">
        <v>44893</v>
      </c>
      <c r="B16950" s="216" t="n">
        <v>61</v>
      </c>
      <c r="C16950" s="216" t="n">
        <v>87.09999999999999</v>
      </c>
      <c r="D16950" s="216" t="n">
        <v>1.086598038673401</v>
      </c>
      <c r="E16950" s="215" t="n">
        <v>44893</v>
      </c>
      <c r="F16950" s="215" t="n">
        <v>44893</v>
      </c>
    </row>
    <row r="16951">
      <c r="A16951" s="215" t="n">
        <v>44894</v>
      </c>
      <c r="B16951" s="216" t="n">
        <v>61.95</v>
      </c>
      <c r="C16951" s="216" t="n">
        <v>87.8</v>
      </c>
      <c r="D16951" s="216" t="n">
        <v>1.083866000175476</v>
      </c>
      <c r="E16951" s="215" t="n">
        <v>44894</v>
      </c>
      <c r="F16951" s="215" t="n">
        <v>44894</v>
      </c>
    </row>
    <row r="16952">
      <c r="A16952" s="215" t="n">
        <v>44895</v>
      </c>
      <c r="B16952" s="216" t="n">
        <v>65</v>
      </c>
      <c r="C16952" s="216" t="n">
        <v>90.13</v>
      </c>
      <c r="D16952" s="216" t="n">
        <v>1.091042995452881</v>
      </c>
      <c r="E16952" s="215" t="n">
        <v>44895</v>
      </c>
      <c r="F16952" s="215" t="n">
        <v>44895</v>
      </c>
    </row>
    <row r="16953">
      <c r="A16953" s="215" t="n">
        <v>44896</v>
      </c>
      <c r="B16953" s="216" t="n">
        <v>66.2</v>
      </c>
      <c r="C16953" s="216" t="n">
        <v>89.76000000000001</v>
      </c>
      <c r="D16953" s="216" t="n">
        <v>1.100015044212341</v>
      </c>
      <c r="E16953" s="215" t="n">
        <v>44896</v>
      </c>
      <c r="F16953" s="215" t="n">
        <v>44896</v>
      </c>
    </row>
    <row r="16954">
      <c r="A16954" s="215" t="n">
        <v>44897</v>
      </c>
      <c r="B16954" s="216" t="n">
        <v>65.3</v>
      </c>
      <c r="C16954" s="216" t="n">
        <v>88.43000000000001</v>
      </c>
      <c r="D16954" s="216" t="n">
        <v>1.104261994361877</v>
      </c>
      <c r="E16954" s="215" t="n">
        <v>44897</v>
      </c>
      <c r="F16954" s="215" t="n">
        <v>44897</v>
      </c>
    </row>
    <row r="16955">
      <c r="A16955" s="215" t="n">
        <v>44900</v>
      </c>
      <c r="B16955" s="216" t="n">
        <v>67.5</v>
      </c>
      <c r="C16955" s="216" t="n">
        <v>88.3</v>
      </c>
      <c r="D16955" s="216" t="n">
        <v>1.109439969062805</v>
      </c>
      <c r="E16955" s="215" t="n">
        <v>44900</v>
      </c>
      <c r="F16955" s="215" t="n">
        <v>44900</v>
      </c>
    </row>
    <row r="16956">
      <c r="A16956" s="215" t="n">
        <v>44901</v>
      </c>
      <c r="B16956" s="216" t="n">
        <v>65.7</v>
      </c>
      <c r="C16956" s="216" t="n">
        <v>89.22</v>
      </c>
      <c r="D16956" s="216" t="n">
        <v>1.11556601524353</v>
      </c>
      <c r="E16956" s="215" t="n">
        <v>44901</v>
      </c>
      <c r="F16956" s="215" t="n">
        <v>44901</v>
      </c>
    </row>
    <row r="16957">
      <c r="A16957" s="215" t="n">
        <v>44902</v>
      </c>
      <c r="B16957" s="216" t="n">
        <v>63.9</v>
      </c>
      <c r="C16957" s="216" t="n">
        <v>89.67</v>
      </c>
      <c r="D16957" s="216" t="n">
        <v>1.111405968666077</v>
      </c>
      <c r="E16957" s="215" t="n">
        <v>44902</v>
      </c>
      <c r="F16957" s="215" t="n">
        <v>44902</v>
      </c>
    </row>
    <row r="16958">
      <c r="A16958" s="215" t="n">
        <v>44903</v>
      </c>
      <c r="B16958" s="216" t="n">
        <v>64.40000000000001</v>
      </c>
      <c r="C16958" s="216" t="n">
        <v>89</v>
      </c>
      <c r="D16958" s="216" t="n">
        <v>1.117617964744568</v>
      </c>
      <c r="E16958" s="215" t="n">
        <v>44903</v>
      </c>
      <c r="F16958" s="215" t="n">
        <v>44903</v>
      </c>
    </row>
    <row r="16959">
      <c r="A16959" s="215" t="n">
        <v>44904</v>
      </c>
      <c r="B16959" s="216" t="n">
        <v>67.7</v>
      </c>
      <c r="C16959" s="216" t="n">
        <v>88.90000000000001</v>
      </c>
      <c r="D16959" s="216" t="n">
        <v>1.117110013961792</v>
      </c>
      <c r="E16959" s="215" t="n">
        <v>44904</v>
      </c>
      <c r="F16959" s="215" t="n">
        <v>44904</v>
      </c>
    </row>
    <row r="16960">
      <c r="A16960" s="215" t="n">
        <v>44907</v>
      </c>
      <c r="B16960" s="216" t="n">
        <v>67.3</v>
      </c>
      <c r="C16960" s="216" t="n">
        <v>86.84999999999999</v>
      </c>
      <c r="D16960" s="216" t="n">
        <v>1.115543961524963</v>
      </c>
      <c r="E16960" s="215" t="n">
        <v>44907</v>
      </c>
      <c r="F16960" s="215" t="n">
        <v>44907</v>
      </c>
    </row>
    <row r="16961">
      <c r="A16961" s="215" t="n">
        <v>44908</v>
      </c>
      <c r="B16961" s="216" t="n">
        <v>66.2</v>
      </c>
      <c r="C16961" s="216" t="n">
        <v>85.68000000000001</v>
      </c>
      <c r="D16961" s="216" t="n">
        <v>1.11419403553009</v>
      </c>
      <c r="E16961" s="215" t="n">
        <v>44908</v>
      </c>
      <c r="F16961" s="215" t="n">
        <v>44908</v>
      </c>
    </row>
    <row r="16962">
      <c r="A16962" s="215" t="n">
        <v>44909</v>
      </c>
      <c r="B16962" s="216" t="n">
        <v>66.75</v>
      </c>
      <c r="C16962" s="216" t="n">
        <v>85.58</v>
      </c>
      <c r="D16962" s="216" t="n">
        <v>1.119148015975952</v>
      </c>
      <c r="E16962" s="215" t="n">
        <v>44909</v>
      </c>
      <c r="F16962" s="215" t="n">
        <v>44909</v>
      </c>
    </row>
    <row r="16963">
      <c r="A16963" s="215" t="n">
        <v>44910</v>
      </c>
      <c r="B16963" s="216" t="n">
        <v>67.34999999999999</v>
      </c>
      <c r="C16963" s="216" t="n">
        <v>87.18000000000001</v>
      </c>
      <c r="D16963" s="216" t="n">
        <v>1.118654012680054</v>
      </c>
      <c r="E16963" s="215" t="n">
        <v>44910</v>
      </c>
      <c r="F16963" s="215" t="n">
        <v>44910</v>
      </c>
    </row>
    <row r="16964">
      <c r="A16964" s="215" t="n">
        <v>44911</v>
      </c>
      <c r="B16964" s="216" t="n">
        <v>64</v>
      </c>
      <c r="C16964" s="216" t="n">
        <v>83.47</v>
      </c>
      <c r="D16964" s="216" t="n">
        <v>1.116045951843262</v>
      </c>
      <c r="E16964" s="215" t="n">
        <v>44911</v>
      </c>
      <c r="F16964" s="215" t="n">
        <v>44911</v>
      </c>
    </row>
    <row r="16965">
      <c r="A16965" s="215" t="n">
        <v>44914</v>
      </c>
      <c r="B16965" s="216" t="n">
        <v>64.25</v>
      </c>
      <c r="C16965" s="216" t="n">
        <v>87.34999999999999</v>
      </c>
      <c r="D16965" s="216" t="n">
        <v>1.115512013435364</v>
      </c>
      <c r="E16965" s="215" t="n">
        <v>44914</v>
      </c>
      <c r="F16965" s="215" t="n">
        <v>44914</v>
      </c>
    </row>
    <row r="16966">
      <c r="A16966" s="215" t="n">
        <v>44915</v>
      </c>
      <c r="B16966" s="216" t="n">
        <v>60.6</v>
      </c>
      <c r="C16966" s="216" t="n">
        <v>83.98</v>
      </c>
      <c r="D16966" s="216" t="n">
        <v>1.114526987075806</v>
      </c>
      <c r="E16966" s="215" t="n">
        <v>44915</v>
      </c>
      <c r="F16966" s="215" t="n">
        <v>44915</v>
      </c>
    </row>
    <row r="16967">
      <c r="A16967" s="215" t="n">
        <v>44916</v>
      </c>
      <c r="B16967" s="216" t="n">
        <v>59.95</v>
      </c>
      <c r="C16967" s="216" t="n">
        <v>82.5</v>
      </c>
      <c r="D16967" s="216" t="n">
        <v>1.11863899230957</v>
      </c>
      <c r="E16967" s="215" t="n">
        <v>44916</v>
      </c>
      <c r="F16967" s="215" t="n">
        <v>44916</v>
      </c>
    </row>
    <row r="16968">
      <c r="A16968" s="215" t="n">
        <v>44917</v>
      </c>
      <c r="B16968" s="216" t="n">
        <v>59</v>
      </c>
      <c r="C16968" s="216" t="n">
        <v>80.13</v>
      </c>
      <c r="D16968" s="216" t="n">
        <v>1.116286993026733</v>
      </c>
      <c r="E16968" s="215" t="n">
        <v>44917</v>
      </c>
      <c r="F16968" s="215" t="n">
        <v>44917</v>
      </c>
    </row>
    <row r="16969">
      <c r="A16969" s="215" t="n">
        <v>44918</v>
      </c>
      <c r="B16969" s="216" t="n">
        <v>58.5</v>
      </c>
      <c r="C16969" s="216" t="n">
        <v>80.23999999999999</v>
      </c>
      <c r="D16969" s="216" t="n">
        <v>1.115679979324341</v>
      </c>
      <c r="E16969" s="215" t="n">
        <v>44918</v>
      </c>
      <c r="F16969" s="215" t="n">
        <v>44918</v>
      </c>
    </row>
    <row r="16970">
      <c r="A16970" s="215" t="n">
        <v>44923</v>
      </c>
      <c r="B16970" s="216" t="n">
        <v>59.05</v>
      </c>
      <c r="C16970" s="216" t="n">
        <v>80.67</v>
      </c>
      <c r="D16970" s="216" t="n">
        <v>1.120296955108643</v>
      </c>
      <c r="E16970" s="215" t="n">
        <v>44923</v>
      </c>
      <c r="F16970" s="215" t="n">
        <v>44923</v>
      </c>
    </row>
    <row r="16971">
      <c r="A16971" s="215" t="n">
        <v>44924</v>
      </c>
      <c r="B16971" s="216" t="n">
        <v>57.4</v>
      </c>
      <c r="C16971" s="216" t="n">
        <v>80.83</v>
      </c>
      <c r="D16971" s="216" t="n">
        <v>1.11841094493866</v>
      </c>
      <c r="E16971" s="215" t="n">
        <v>44924</v>
      </c>
      <c r="F16971" s="215" t="n">
        <v>44924</v>
      </c>
    </row>
    <row r="16972">
      <c r="A16972" s="215" t="n">
        <v>44925</v>
      </c>
      <c r="B16972" s="216" t="n">
        <v>55.8</v>
      </c>
      <c r="C16972" s="216" t="n">
        <v>78.98999999999999</v>
      </c>
      <c r="D16972" s="216" t="n">
        <v>1.118479013442993</v>
      </c>
      <c r="E16972" s="215" t="n">
        <v>44925</v>
      </c>
      <c r="F16972" s="215" t="n">
        <v>44925</v>
      </c>
    </row>
    <row r="16973">
      <c r="A16973" s="215" t="n">
        <v>44929</v>
      </c>
      <c r="B16973" s="216" t="n">
        <v>57.7</v>
      </c>
      <c r="C16973" s="216" t="n">
        <v>81.36</v>
      </c>
      <c r="D16973" s="216" t="n">
        <v>1.131546974182129</v>
      </c>
      <c r="E16973" s="215" t="n">
        <v>44929</v>
      </c>
      <c r="F16973" s="215" t="n">
        <v>44929</v>
      </c>
    </row>
    <row r="16974">
      <c r="A16974" s="215" t="n">
        <v>44930</v>
      </c>
      <c r="B16974" s="216" t="n">
        <v>56.5</v>
      </c>
      <c r="C16974" s="216" t="n">
        <v>79.05</v>
      </c>
      <c r="D16974" s="216" t="n">
        <v>1.130236983299255</v>
      </c>
      <c r="E16974" s="215" t="n">
        <v>44930</v>
      </c>
      <c r="F16974" s="215" t="n">
        <v>44930</v>
      </c>
    </row>
    <row r="16975">
      <c r="A16975" s="215" t="n">
        <v>44931</v>
      </c>
      <c r="B16975" s="216" t="n">
        <v>59.6</v>
      </c>
      <c r="C16975" s="216" t="n">
        <v>81.79000000000001</v>
      </c>
      <c r="D16975" s="216" t="n">
        <v>1.134225010871887</v>
      </c>
      <c r="E16975" s="215" t="n">
        <v>44931</v>
      </c>
      <c r="F16975" s="215" t="n">
        <v>44931</v>
      </c>
    </row>
    <row r="16976">
      <c r="A16976" s="215" t="n">
        <v>44932</v>
      </c>
      <c r="B16976" s="216" t="n">
        <v>59.9</v>
      </c>
      <c r="C16976" s="216" t="n">
        <v>84.25</v>
      </c>
      <c r="D16976" s="216" t="n">
        <v>1.135105967521667</v>
      </c>
      <c r="E16976" s="215" t="n">
        <v>44932</v>
      </c>
      <c r="F16976" s="215" t="n">
        <v>44932</v>
      </c>
    </row>
    <row r="16977">
      <c r="A16977" s="215" t="n">
        <v>44935</v>
      </c>
      <c r="B16977" s="216" t="n">
        <v>61.25</v>
      </c>
      <c r="C16977" s="216" t="n">
        <v>85.02</v>
      </c>
      <c r="D16977" s="216" t="n">
        <v>1.142660021781921</v>
      </c>
      <c r="E16977" s="215" t="n">
        <v>44935</v>
      </c>
      <c r="F16977" s="215" t="n">
        <v>44935</v>
      </c>
    </row>
    <row r="16978">
      <c r="A16978" s="215" t="n">
        <v>44936</v>
      </c>
      <c r="B16978" s="216" t="n">
        <v>61.2</v>
      </c>
      <c r="C16978" s="216" t="n">
        <v>85.93000000000001</v>
      </c>
      <c r="D16978" s="216" t="n">
        <v>1.152361989021301</v>
      </c>
      <c r="E16978" s="215" t="n">
        <v>44936</v>
      </c>
      <c r="F16978" s="215" t="n">
        <v>44936</v>
      </c>
    </row>
    <row r="16979">
      <c r="A16979" s="215" t="n">
        <v>44937</v>
      </c>
      <c r="B16979" s="216" t="n">
        <v>60.8</v>
      </c>
      <c r="C16979" s="216" t="n">
        <v>84.29000000000001</v>
      </c>
      <c r="D16979" s="216" t="n">
        <v>1.151782989501953</v>
      </c>
      <c r="E16979" s="215" t="n">
        <v>44937</v>
      </c>
      <c r="F16979" s="215" t="n">
        <v>44937</v>
      </c>
    </row>
    <row r="16980">
      <c r="A16980" s="215" t="n">
        <v>44938</v>
      </c>
      <c r="B16980" s="216" t="n">
        <v>62.35</v>
      </c>
      <c r="C16980" s="216" t="n">
        <v>85.26000000000001</v>
      </c>
      <c r="D16980" s="216" t="n">
        <v>1.15372097492218</v>
      </c>
      <c r="E16980" s="215" t="n">
        <v>44938</v>
      </c>
      <c r="F16980" s="215" t="n">
        <v>44938</v>
      </c>
    </row>
    <row r="16981">
      <c r="A16981" s="215" t="n">
        <v>44939</v>
      </c>
      <c r="B16981" s="216" t="n">
        <v>63.15</v>
      </c>
      <c r="C16981" s="216" t="n">
        <v>85.64</v>
      </c>
      <c r="D16981" s="216" t="n">
        <v>1.158794045448303</v>
      </c>
      <c r="E16981" s="215" t="n">
        <v>44939</v>
      </c>
      <c r="F16981" s="215" t="n">
        <v>44939</v>
      </c>
    </row>
    <row r="16982">
      <c r="A16982" s="215" t="n">
        <v>44942</v>
      </c>
      <c r="B16982" s="216" t="n">
        <v>66.15000000000001</v>
      </c>
      <c r="C16982" s="216" t="n">
        <v>87.22</v>
      </c>
      <c r="D16982" s="216" t="n">
        <v>1.16464102268219</v>
      </c>
      <c r="E16982" s="215" t="n">
        <v>44942</v>
      </c>
      <c r="F16982" s="215" t="n">
        <v>44942</v>
      </c>
    </row>
    <row r="16983">
      <c r="A16983" s="215" t="n">
        <v>44943</v>
      </c>
      <c r="B16983" s="216" t="n">
        <v>64.45</v>
      </c>
      <c r="C16983" s="216" t="n">
        <v>86.64</v>
      </c>
      <c r="D16983" s="216" t="n">
        <v>1.159963011741638</v>
      </c>
      <c r="E16983" s="215" t="n">
        <v>44943</v>
      </c>
      <c r="F16983" s="215" t="n">
        <v>44943</v>
      </c>
    </row>
    <row r="16984">
      <c r="A16984" s="215" t="n">
        <v>44944</v>
      </c>
      <c r="B16984" s="216" t="n">
        <v>64.5</v>
      </c>
      <c r="C16984" s="216" t="n">
        <v>87.98999999999999</v>
      </c>
      <c r="D16984" s="216" t="n">
        <v>1.154523968696594</v>
      </c>
      <c r="E16984" s="215" t="n">
        <v>44944</v>
      </c>
      <c r="F16984" s="215" t="n">
        <v>44944</v>
      </c>
    </row>
    <row r="16985">
      <c r="A16985" s="215" t="n">
        <v>44945</v>
      </c>
      <c r="B16985" s="216" t="n">
        <v>66.45</v>
      </c>
      <c r="C16985" s="216" t="n">
        <v>89.03</v>
      </c>
      <c r="D16985" s="216" t="n">
        <v>1.15931499004364</v>
      </c>
      <c r="E16985" s="215" t="n">
        <v>44945</v>
      </c>
      <c r="F16985" s="215" t="n">
        <v>44945</v>
      </c>
    </row>
    <row r="16986">
      <c r="A16986" s="215" t="n">
        <v>44946</v>
      </c>
      <c r="B16986" s="216" t="n">
        <v>71.65000000000001</v>
      </c>
      <c r="C16986" s="216" t="n">
        <v>93.98</v>
      </c>
      <c r="D16986" s="216" t="n">
        <v>1.154749989509583</v>
      </c>
      <c r="E16986" s="215" t="n">
        <v>44946</v>
      </c>
      <c r="F16986" s="215" t="n">
        <v>44946</v>
      </c>
    </row>
    <row r="16987">
      <c r="A16987" s="215" t="n">
        <v>44952</v>
      </c>
      <c r="B16987" s="216" t="n">
        <v>75.59999999999999</v>
      </c>
      <c r="C16987" s="216" t="n">
        <v>93.98</v>
      </c>
      <c r="D16987" s="216" t="n">
        <v>1.153751969337463</v>
      </c>
      <c r="E16987" s="215" t="n">
        <v>44946</v>
      </c>
      <c r="F16987" s="215" t="n">
        <v>44952</v>
      </c>
    </row>
    <row r="16988">
      <c r="A16988" s="215" t="n">
        <v>44953</v>
      </c>
      <c r="B16988" s="216" t="n">
        <v>76.59999999999999</v>
      </c>
      <c r="C16988" s="216" t="n">
        <v>93.98</v>
      </c>
      <c r="D16988" s="216" t="n">
        <v>1.153638958930969</v>
      </c>
      <c r="E16988" s="215" t="n">
        <v>44946</v>
      </c>
      <c r="F16988" s="215" t="n">
        <v>44953</v>
      </c>
    </row>
    <row r="16989">
      <c r="A16989" s="215" t="n">
        <v>44956</v>
      </c>
      <c r="B16989" s="216" t="n">
        <v>75</v>
      </c>
      <c r="C16989" s="216" t="n">
        <v>96.97</v>
      </c>
      <c r="D16989" s="216" t="n">
        <v>1.154070019721985</v>
      </c>
      <c r="E16989" s="215" t="n">
        <v>44956</v>
      </c>
      <c r="F16989" s="215" t="n">
        <v>44956</v>
      </c>
    </row>
    <row r="16990">
      <c r="A16990" s="215" t="n">
        <v>44957</v>
      </c>
      <c r="B16990" s="216" t="n">
        <v>72.34999999999999</v>
      </c>
      <c r="C16990" s="216" t="n">
        <v>95.98</v>
      </c>
      <c r="D16990" s="216" t="n">
        <v>1.160927057266235</v>
      </c>
      <c r="E16990" s="215" t="n">
        <v>44957</v>
      </c>
      <c r="F16990" s="215" t="n">
        <v>44957</v>
      </c>
    </row>
    <row r="16991">
      <c r="A16991" s="215" t="n">
        <v>44958</v>
      </c>
      <c r="B16991" s="216" t="n">
        <v>74</v>
      </c>
      <c r="C16991" s="216" t="n">
        <v>97.09</v>
      </c>
      <c r="D16991" s="216" t="n">
        <v>1.160451054573059</v>
      </c>
      <c r="E16991" s="215" t="n">
        <v>44958</v>
      </c>
      <c r="F16991" s="215" t="n">
        <v>44958</v>
      </c>
    </row>
    <row r="16992">
      <c r="A16992" s="215" t="n">
        <v>44959</v>
      </c>
      <c r="B16992" s="216" t="n">
        <v>71.5</v>
      </c>
      <c r="C16992" s="216" t="n">
        <v>94.84</v>
      </c>
      <c r="D16992" s="216" t="n">
        <v>1.162333965301514</v>
      </c>
      <c r="E16992" s="215" t="n">
        <v>44959</v>
      </c>
      <c r="F16992" s="215" t="n">
        <v>44959</v>
      </c>
    </row>
    <row r="16993">
      <c r="A16993" s="215" t="n">
        <v>44960</v>
      </c>
      <c r="B16993" s="216" t="n">
        <v>71.8</v>
      </c>
      <c r="C16993" s="216" t="n">
        <v>93.16</v>
      </c>
      <c r="D16993" s="216" t="n">
        <v>1.165007948875427</v>
      </c>
      <c r="E16993" s="215" t="n">
        <v>44960</v>
      </c>
      <c r="F16993" s="215" t="n">
        <v>44960</v>
      </c>
    </row>
    <row r="16994">
      <c r="A16994" s="215" t="n">
        <v>44963</v>
      </c>
      <c r="B16994" s="216" t="n">
        <v>69.25</v>
      </c>
      <c r="C16994" s="216" t="n">
        <v>91.59</v>
      </c>
      <c r="D16994" s="216" t="n">
        <v>1.157632946968079</v>
      </c>
      <c r="E16994" s="215" t="n">
        <v>44963</v>
      </c>
      <c r="F16994" s="215" t="n">
        <v>44963</v>
      </c>
    </row>
    <row r="16995">
      <c r="A16995" s="215" t="n">
        <v>44964</v>
      </c>
      <c r="B16995" s="216" t="n">
        <v>70.09999999999999</v>
      </c>
      <c r="C16995" s="216" t="n">
        <v>91.73999999999999</v>
      </c>
      <c r="D16995" s="216" t="n">
        <v>1.154948949813843</v>
      </c>
      <c r="E16995" s="215" t="n">
        <v>44964</v>
      </c>
      <c r="F16995" s="215" t="n">
        <v>44964</v>
      </c>
    </row>
    <row r="16996">
      <c r="A16996" s="215" t="n">
        <v>44965</v>
      </c>
      <c r="B16996" s="216" t="n">
        <v>71.55</v>
      </c>
      <c r="C16996" s="216" t="n">
        <v>93.23999999999999</v>
      </c>
      <c r="D16996" s="216" t="n">
        <v>1.155540943145752</v>
      </c>
      <c r="E16996" s="215" t="n">
        <v>44965</v>
      </c>
      <c r="F16996" s="215" t="n">
        <v>44965</v>
      </c>
    </row>
    <row r="16997">
      <c r="A16997" s="215" t="n">
        <v>44966</v>
      </c>
      <c r="B16997" s="216" t="n">
        <v>71.90000000000001</v>
      </c>
      <c r="C16997" s="216" t="n">
        <v>92.23</v>
      </c>
      <c r="D16997" s="216" t="n">
        <v>1.156080961227417</v>
      </c>
      <c r="E16997" s="215" t="n">
        <v>44966</v>
      </c>
      <c r="F16997" s="215" t="n">
        <v>44966</v>
      </c>
    </row>
    <row r="16998">
      <c r="A16998" s="215" t="n">
        <v>44967</v>
      </c>
      <c r="B16998" s="216" t="n">
        <v>69.7</v>
      </c>
      <c r="C16998" s="216" t="n">
        <v>89.84999999999999</v>
      </c>
      <c r="D16998" s="216" t="n">
        <v>1.157587051391602</v>
      </c>
      <c r="E16998" s="215" t="n">
        <v>44967</v>
      </c>
      <c r="F16998" s="215" t="n">
        <v>44967</v>
      </c>
    </row>
    <row r="16999">
      <c r="A16999" s="215" t="n">
        <v>44970</v>
      </c>
      <c r="B16999" s="216" t="n">
        <v>67.90000000000001</v>
      </c>
      <c r="C16999" s="216" t="n">
        <v>89.7</v>
      </c>
      <c r="D16999" s="216" t="n">
        <v>1.152721047401428</v>
      </c>
      <c r="E16999" s="215" t="n">
        <v>44970</v>
      </c>
      <c r="F16999" s="215" t="n">
        <v>44970</v>
      </c>
    </row>
    <row r="17000">
      <c r="A17000" s="215" t="n">
        <v>44971</v>
      </c>
      <c r="B17000" s="216" t="n">
        <v>68.5</v>
      </c>
      <c r="C17000" s="216" t="n">
        <v>89.18000000000001</v>
      </c>
      <c r="D17000" s="216" t="n">
        <v>1.150822043418884</v>
      </c>
      <c r="E17000" s="215" t="n">
        <v>44971</v>
      </c>
      <c r="F17000" s="215" t="n">
        <v>44971</v>
      </c>
    </row>
    <row r="17001">
      <c r="A17001" s="215" t="n">
        <v>44972</v>
      </c>
      <c r="B17001" s="216" t="n">
        <v>66.65000000000001</v>
      </c>
      <c r="C17001" s="216" t="n">
        <v>88.22</v>
      </c>
      <c r="D17001" s="216" t="n">
        <v>1.149250030517578</v>
      </c>
      <c r="E17001" s="215" t="n">
        <v>44972</v>
      </c>
      <c r="F17001" s="215" t="n">
        <v>44972</v>
      </c>
    </row>
    <row r="17002">
      <c r="A17002" s="215" t="n">
        <v>44973</v>
      </c>
      <c r="B17002" s="216" t="n">
        <v>63.45</v>
      </c>
      <c r="C17002" s="216" t="n">
        <v>85.76000000000001</v>
      </c>
      <c r="D17002" s="216" t="n">
        <v>1.144971013069153</v>
      </c>
      <c r="E17002" s="215" t="n">
        <v>44973</v>
      </c>
      <c r="F17002" s="215" t="n">
        <v>44973</v>
      </c>
    </row>
    <row r="17003">
      <c r="A17003" s="215" t="n">
        <v>44974</v>
      </c>
      <c r="B17003" s="216" t="n">
        <v>62.4</v>
      </c>
      <c r="C17003" s="216" t="n">
        <v>83.55</v>
      </c>
      <c r="D17003" s="216" t="n">
        <v>1.144101023674011</v>
      </c>
      <c r="E17003" s="215" t="n">
        <v>44974</v>
      </c>
      <c r="F17003" s="215" t="n">
        <v>44974</v>
      </c>
    </row>
    <row r="17004">
      <c r="A17004" s="215" t="n">
        <v>44977</v>
      </c>
      <c r="B17004" s="216" t="n">
        <v>61.5</v>
      </c>
      <c r="C17004" s="216" t="n">
        <v>82.98</v>
      </c>
      <c r="D17004" s="216" t="n">
        <v>1.141230940818787</v>
      </c>
      <c r="E17004" s="215" t="n">
        <v>44977</v>
      </c>
      <c r="F17004" s="215" t="n">
        <v>44977</v>
      </c>
    </row>
    <row r="17005">
      <c r="A17005" s="215" t="n">
        <v>44978</v>
      </c>
      <c r="B17005" s="216" t="n">
        <v>60.85</v>
      </c>
      <c r="C17005" s="216" t="n">
        <v>83.11</v>
      </c>
      <c r="D17005" s="216" t="n">
        <v>1.142338037490845</v>
      </c>
      <c r="E17005" s="215" t="n">
        <v>44978</v>
      </c>
      <c r="F17005" s="215" t="n">
        <v>44978</v>
      </c>
    </row>
    <row r="17006">
      <c r="A17006" s="215" t="n">
        <v>44979</v>
      </c>
      <c r="B17006" s="216" t="n">
        <v>59.95</v>
      </c>
      <c r="C17006" s="216" t="n">
        <v>82.03</v>
      </c>
      <c r="D17006" s="216" t="n">
        <v>1.141216993331909</v>
      </c>
      <c r="E17006" s="215" t="n">
        <v>44979</v>
      </c>
      <c r="F17006" s="215" t="n">
        <v>44979</v>
      </c>
    </row>
    <row r="17007">
      <c r="A17007" s="215" t="n">
        <v>44980</v>
      </c>
      <c r="B17007" s="216" t="n">
        <v>59.9</v>
      </c>
      <c r="C17007" s="216" t="n">
        <v>82.70999999999999</v>
      </c>
      <c r="D17007" s="216" t="n">
        <v>1.138142943382263</v>
      </c>
      <c r="E17007" s="215" t="n">
        <v>44980</v>
      </c>
      <c r="F17007" s="215" t="n">
        <v>44980</v>
      </c>
    </row>
    <row r="17008">
      <c r="A17008" s="215" t="n">
        <v>44981</v>
      </c>
      <c r="B17008" s="216" t="n">
        <v>58.65</v>
      </c>
      <c r="C17008" s="216" t="n">
        <v>82.25</v>
      </c>
      <c r="D17008" s="216" t="n">
        <v>1.135694026947021</v>
      </c>
      <c r="E17008" s="215" t="n">
        <v>44981</v>
      </c>
      <c r="F17008" s="215" t="n">
        <v>44981</v>
      </c>
    </row>
    <row r="17009">
      <c r="A17009" s="215" t="n">
        <v>44984</v>
      </c>
      <c r="B17009" s="216" t="n">
        <v>57.5</v>
      </c>
      <c r="C17009" s="216" t="n">
        <v>82.5</v>
      </c>
      <c r="D17009" s="216" t="n">
        <v>1.135581016540527</v>
      </c>
      <c r="E17009" s="215" t="n">
        <v>44984</v>
      </c>
      <c r="F17009" s="215" t="n">
        <v>44984</v>
      </c>
    </row>
    <row r="17010">
      <c r="A17010" s="215" t="n">
        <v>44985</v>
      </c>
      <c r="B17010" s="216" t="n">
        <v>55.8</v>
      </c>
      <c r="C17010" s="216" t="n">
        <v>81.98999999999999</v>
      </c>
      <c r="D17010" s="216" t="n">
        <v>1.129464983940125</v>
      </c>
      <c r="E17010" s="215" t="n">
        <v>44985</v>
      </c>
      <c r="F17010" s="215" t="n">
        <v>44985</v>
      </c>
    </row>
    <row r="17011">
      <c r="A17011" s="215" t="n">
        <v>44986</v>
      </c>
      <c r="B17011" s="216" t="n">
        <v>57.55</v>
      </c>
      <c r="C17011" s="216" t="n">
        <v>82.09999999999999</v>
      </c>
      <c r="D17011" s="216" t="n">
        <v>1.131901025772095</v>
      </c>
      <c r="E17011" s="215" t="n">
        <v>44986</v>
      </c>
      <c r="F17011" s="215" t="n">
        <v>44986</v>
      </c>
    </row>
    <row r="17012">
      <c r="A17012" s="215" t="n">
        <v>44987</v>
      </c>
      <c r="B17012" s="216" t="n">
        <v>56.35</v>
      </c>
      <c r="C17012" s="216" t="n">
        <v>80.55</v>
      </c>
      <c r="D17012" s="216" t="n">
        <v>1.142472982406616</v>
      </c>
      <c r="E17012" s="215" t="n">
        <v>44987</v>
      </c>
      <c r="F17012" s="215" t="n">
        <v>44987</v>
      </c>
    </row>
    <row r="17013">
      <c r="A17013" s="215" t="n">
        <v>44988</v>
      </c>
      <c r="B17013" s="216" t="n">
        <v>56.7</v>
      </c>
      <c r="C17013" s="216" t="n">
        <v>80.23</v>
      </c>
      <c r="D17013" s="216" t="n">
        <v>1.134973049163818</v>
      </c>
      <c r="E17013" s="215" t="n">
        <v>44988</v>
      </c>
      <c r="F17013" s="215" t="n">
        <v>44988</v>
      </c>
    </row>
    <row r="17014">
      <c r="A17014" s="215" t="n">
        <v>44991</v>
      </c>
      <c r="B17014" s="216" t="n">
        <v>58.55</v>
      </c>
      <c r="C17014" s="216" t="n">
        <v>81.18000000000001</v>
      </c>
      <c r="D17014" s="216" t="n">
        <v>1.135468006134033</v>
      </c>
      <c r="E17014" s="215" t="n">
        <v>44991</v>
      </c>
      <c r="F17014" s="215" t="n">
        <v>44991</v>
      </c>
    </row>
    <row r="17015">
      <c r="A17015" s="215" t="n">
        <v>44992</v>
      </c>
      <c r="B17015" s="216" t="n">
        <v>56.35</v>
      </c>
      <c r="C17015" s="216" t="n">
        <v>79.70999999999999</v>
      </c>
      <c r="D17015" s="216" t="n">
        <v>1.132706046104431</v>
      </c>
      <c r="E17015" s="215" t="n">
        <v>44992</v>
      </c>
      <c r="F17015" s="215" t="n">
        <v>44992</v>
      </c>
    </row>
    <row r="17016">
      <c r="A17016" s="215" t="n">
        <v>44993</v>
      </c>
      <c r="B17016" s="216" t="n">
        <v>55.75</v>
      </c>
      <c r="C17016" s="216" t="n">
        <v>79.36</v>
      </c>
      <c r="D17016" s="216" t="n">
        <v>1.127292037010193</v>
      </c>
      <c r="E17016" s="215" t="n">
        <v>44993</v>
      </c>
      <c r="F17016" s="215" t="n">
        <v>44993</v>
      </c>
    </row>
    <row r="17017">
      <c r="A17017" s="215" t="n">
        <v>44994</v>
      </c>
      <c r="B17017" s="216" t="n">
        <v>56.25</v>
      </c>
      <c r="C17017" s="216" t="n">
        <v>80.11</v>
      </c>
      <c r="D17017" s="216" t="n">
        <v>1.12942099571228</v>
      </c>
      <c r="E17017" s="215" t="n">
        <v>44994</v>
      </c>
      <c r="F17017" s="215" t="n">
        <v>44994</v>
      </c>
    </row>
    <row r="17018">
      <c r="A17018" s="215" t="n">
        <v>44995</v>
      </c>
      <c r="B17018" s="216" t="n">
        <v>54.6</v>
      </c>
      <c r="C17018" s="216" t="n">
        <v>78.33</v>
      </c>
      <c r="D17018" s="216" t="n">
        <v>1.126757979393005</v>
      </c>
      <c r="E17018" s="215" t="n">
        <v>44995</v>
      </c>
      <c r="F17018" s="215" t="n">
        <v>44995</v>
      </c>
    </row>
    <row r="17019">
      <c r="A17019" s="215" t="n">
        <v>44998</v>
      </c>
      <c r="B17019" s="216" t="n">
        <v>53.45</v>
      </c>
      <c r="C17019" s="216" t="n">
        <v>77.02</v>
      </c>
      <c r="D17019" s="216" t="n">
        <v>1.140457987785339</v>
      </c>
      <c r="E17019" s="215" t="n">
        <v>44998</v>
      </c>
      <c r="F17019" s="215" t="n">
        <v>44998</v>
      </c>
    </row>
    <row r="17020">
      <c r="A17020" s="215" t="n">
        <v>44999</v>
      </c>
      <c r="B17020" s="216" t="n">
        <v>51.75</v>
      </c>
      <c r="C17020" s="216" t="n">
        <v>77</v>
      </c>
      <c r="D17020" s="216" t="n">
        <v>1.14533805847168</v>
      </c>
      <c r="E17020" s="215" t="n">
        <v>44999</v>
      </c>
      <c r="F17020" s="215" t="n">
        <v>44999</v>
      </c>
    </row>
    <row r="17021">
      <c r="A17021" s="215" t="n">
        <v>45000</v>
      </c>
      <c r="B17021" s="216" t="n">
        <v>52.1</v>
      </c>
      <c r="C17021" s="216" t="n">
        <v>76.09999999999999</v>
      </c>
      <c r="D17021" s="216" t="n">
        <v>1.141839981079102</v>
      </c>
      <c r="E17021" s="215" t="n">
        <v>45000</v>
      </c>
      <c r="F17021" s="215" t="n">
        <v>45000</v>
      </c>
    </row>
    <row r="17022">
      <c r="A17022" s="215" t="n">
        <v>45001</v>
      </c>
      <c r="B17022" s="216" t="n">
        <v>50.2</v>
      </c>
      <c r="C17022" s="216" t="n">
        <v>73.89</v>
      </c>
      <c r="D17022" s="216" t="n">
        <v>1.135804057121277</v>
      </c>
      <c r="E17022" s="215" t="n">
        <v>45001</v>
      </c>
      <c r="F17022" s="215" t="n">
        <v>45001</v>
      </c>
    </row>
    <row r="17023">
      <c r="A17023" s="215" t="n">
        <v>45002</v>
      </c>
      <c r="B17023" s="216" t="n">
        <v>52.15</v>
      </c>
      <c r="C17023" s="216" t="n">
        <v>74.68000000000001</v>
      </c>
      <c r="D17023" s="216" t="n">
        <v>1.137447953224182</v>
      </c>
      <c r="E17023" s="215" t="n">
        <v>45002</v>
      </c>
      <c r="F17023" s="215" t="n">
        <v>45002</v>
      </c>
    </row>
    <row r="17024">
      <c r="A17024" s="215" t="n">
        <v>45005</v>
      </c>
      <c r="B17024" s="216" t="n">
        <v>51.8</v>
      </c>
      <c r="C17024" s="216" t="n">
        <v>75.03</v>
      </c>
      <c r="D17024" s="216" t="n">
        <v>1.14422595500946</v>
      </c>
      <c r="E17024" s="215" t="n">
        <v>45005</v>
      </c>
      <c r="F17024" s="215" t="n">
        <v>45005</v>
      </c>
    </row>
    <row r="17025">
      <c r="A17025" s="215" t="n">
        <v>45006</v>
      </c>
      <c r="B17025" s="216" t="n">
        <v>52.95</v>
      </c>
      <c r="C17025" s="216" t="n">
        <v>76.98999999999999</v>
      </c>
      <c r="D17025" s="216" t="n">
        <v>1.140269994735718</v>
      </c>
      <c r="E17025" s="215" t="n">
        <v>45006</v>
      </c>
      <c r="F17025" s="215" t="n">
        <v>45006</v>
      </c>
    </row>
    <row r="17026">
      <c r="A17026" s="215" t="n">
        <v>45007</v>
      </c>
      <c r="B17026" s="216" t="n">
        <v>54.7</v>
      </c>
      <c r="C17026" s="216" t="n">
        <v>76.98999999999999</v>
      </c>
      <c r="D17026" s="216" t="n">
        <v>1.139848947525024</v>
      </c>
      <c r="E17026" s="215" t="n">
        <v>45007</v>
      </c>
      <c r="F17026" s="215" t="n">
        <v>45007</v>
      </c>
    </row>
    <row r="17027">
      <c r="A17027" s="215" t="n">
        <v>45008</v>
      </c>
      <c r="B17027" s="216" t="n">
        <v>54.1</v>
      </c>
      <c r="C17027" s="216" t="n">
        <v>76.68000000000001</v>
      </c>
      <c r="D17027" s="216" t="n">
        <v>1.14018702507019</v>
      </c>
      <c r="E17027" s="215" t="n">
        <v>45008</v>
      </c>
      <c r="F17027" s="215" t="n">
        <v>45008</v>
      </c>
    </row>
    <row r="17028">
      <c r="A17028" s="215" t="n">
        <v>45009</v>
      </c>
      <c r="B17028" s="216" t="n">
        <v>53.65</v>
      </c>
      <c r="C17028" s="216" t="n">
        <v>76.14</v>
      </c>
      <c r="D17028" s="216" t="n">
        <v>1.150908946990967</v>
      </c>
      <c r="E17028" s="215" t="n">
        <v>45009</v>
      </c>
      <c r="F17028" s="215" t="n">
        <v>45009</v>
      </c>
    </row>
    <row r="17029">
      <c r="A17029" s="215" t="n">
        <v>45012</v>
      </c>
      <c r="B17029" s="216" t="n">
        <v>52.85</v>
      </c>
      <c r="C17029" s="216" t="n">
        <v>76.38</v>
      </c>
      <c r="D17029" s="216" t="n">
        <v>1.14452600479126</v>
      </c>
      <c r="E17029" s="215" t="n">
        <v>45012</v>
      </c>
      <c r="F17029" s="215" t="n">
        <v>45012</v>
      </c>
    </row>
    <row r="17030">
      <c r="A17030" s="215" t="n">
        <v>45013</v>
      </c>
      <c r="B17030" s="216" t="n">
        <v>52.1</v>
      </c>
      <c r="C17030" s="216" t="n">
        <v>74.55</v>
      </c>
      <c r="D17030" s="216" t="n">
        <v>1.140033960342407</v>
      </c>
      <c r="E17030" s="215" t="n">
        <v>45013</v>
      </c>
      <c r="F17030" s="215" t="n">
        <v>45013</v>
      </c>
    </row>
    <row r="17031">
      <c r="A17031" s="215" t="n">
        <v>45014</v>
      </c>
      <c r="B17031" s="216" t="n">
        <v>53.5</v>
      </c>
      <c r="C17031" s="216" t="n">
        <v>75.3</v>
      </c>
      <c r="D17031" s="216" t="n">
        <v>1.141842007637024</v>
      </c>
      <c r="E17031" s="215" t="n">
        <v>45014</v>
      </c>
      <c r="F17031" s="215" t="n">
        <v>45014</v>
      </c>
    </row>
    <row r="17032">
      <c r="A17032" s="215" t="n">
        <v>45015</v>
      </c>
      <c r="B17032" s="216" t="n">
        <v>54.8</v>
      </c>
      <c r="C17032" s="216" t="n">
        <v>76.52</v>
      </c>
      <c r="D17032" s="216" t="n">
        <v>1.139639973640442</v>
      </c>
      <c r="E17032" s="215" t="n">
        <v>45015</v>
      </c>
      <c r="F17032" s="215" t="n">
        <v>45015</v>
      </c>
    </row>
    <row r="17033">
      <c r="A17033" s="215" t="n">
        <v>45016</v>
      </c>
      <c r="B17033" s="216" t="n">
        <v>52.85</v>
      </c>
      <c r="C17033" s="216" t="n">
        <v>75.52</v>
      </c>
      <c r="D17033" s="216" t="n">
        <v>1.14237904548645</v>
      </c>
      <c r="E17033" s="215" t="n">
        <v>45016</v>
      </c>
      <c r="F17033" s="215" t="n">
        <v>45016</v>
      </c>
    </row>
    <row r="17034">
      <c r="A17034" s="215" t="n">
        <v>45019</v>
      </c>
      <c r="B17034" s="216" t="n">
        <v>56.55</v>
      </c>
      <c r="C17034" s="216" t="n">
        <v>80.09</v>
      </c>
      <c r="D17034" s="216" t="n">
        <v>1.138651013374329</v>
      </c>
      <c r="E17034" s="215" t="n">
        <v>45019</v>
      </c>
      <c r="F17034" s="215" t="n">
        <v>45019</v>
      </c>
    </row>
    <row r="17035">
      <c r="A17035" s="215" t="n">
        <v>45020</v>
      </c>
      <c r="B17035" s="216" t="n">
        <v>54.05</v>
      </c>
      <c r="C17035" s="216" t="n">
        <v>77.34999999999999</v>
      </c>
      <c r="D17035" s="216" t="n">
        <v>1.140889048576355</v>
      </c>
      <c r="E17035" s="215" t="n">
        <v>45020</v>
      </c>
      <c r="F17035" s="215" t="n">
        <v>45020</v>
      </c>
    </row>
    <row r="17036">
      <c r="A17036" s="215" t="n">
        <v>45022</v>
      </c>
      <c r="B17036" s="216" t="n">
        <v>52.25</v>
      </c>
      <c r="C17036" s="216" t="n">
        <v>76.23999999999999</v>
      </c>
      <c r="D17036" s="216" t="n">
        <v>1.140630006790161</v>
      </c>
      <c r="E17036" s="215" t="n">
        <v>45022</v>
      </c>
      <c r="F17036" s="215" t="n">
        <v>45022</v>
      </c>
    </row>
    <row r="17037">
      <c r="A17037" s="215" t="n">
        <v>45027</v>
      </c>
      <c r="B17037" s="216" t="n">
        <v>55.6</v>
      </c>
      <c r="C17037" s="216" t="n">
        <v>79.97</v>
      </c>
      <c r="D17037" s="216" t="n">
        <v>1.135993003845215</v>
      </c>
      <c r="E17037" s="215" t="n">
        <v>45027</v>
      </c>
      <c r="F17037" s="215" t="n">
        <v>45027</v>
      </c>
    </row>
    <row r="17038">
      <c r="A17038" s="215" t="n">
        <v>45028</v>
      </c>
      <c r="B17038" s="216" t="n">
        <v>54.9</v>
      </c>
      <c r="C17038" s="216" t="n">
        <v>78.48999999999999</v>
      </c>
      <c r="D17038" s="216" t="n">
        <v>1.139876961708069</v>
      </c>
      <c r="E17038" s="215" t="n">
        <v>45028</v>
      </c>
      <c r="F17038" s="215" t="n">
        <v>45028</v>
      </c>
    </row>
    <row r="17039">
      <c r="A17039" s="215" t="n">
        <v>45029</v>
      </c>
      <c r="B17039" s="216" t="n">
        <v>53.25</v>
      </c>
      <c r="C17039" s="216" t="n">
        <v>76.91</v>
      </c>
      <c r="D17039" s="216" t="n">
        <v>1.141221046447754</v>
      </c>
      <c r="E17039" s="215" t="n">
        <v>45029</v>
      </c>
      <c r="F17039" s="215" t="n">
        <v>45029</v>
      </c>
    </row>
    <row r="17040">
      <c r="A17040" s="215" t="n">
        <v>45030</v>
      </c>
      <c r="B17040" s="216" t="n">
        <v>57.5</v>
      </c>
      <c r="C17040" s="216" t="n">
        <v>81.39</v>
      </c>
      <c r="D17040" s="216" t="n">
        <v>1.142914056777954</v>
      </c>
      <c r="E17040" s="215" t="n">
        <v>45030</v>
      </c>
      <c r="F17040" s="215" t="n">
        <v>45030</v>
      </c>
    </row>
    <row r="17041">
      <c r="A17041" s="215" t="n">
        <v>45033</v>
      </c>
      <c r="B17041" s="216" t="n">
        <v>57.3</v>
      </c>
      <c r="C17041" s="216" t="n">
        <v>82.28</v>
      </c>
      <c r="D17041" s="216" t="n">
        <v>1.140508055686951</v>
      </c>
      <c r="E17041" s="215" t="n">
        <v>45033</v>
      </c>
      <c r="F17041" s="215" t="n">
        <v>45033</v>
      </c>
    </row>
    <row r="17042">
      <c r="A17042" s="215" t="n">
        <v>45034</v>
      </c>
      <c r="B17042" s="216" t="n">
        <v>58.55</v>
      </c>
      <c r="C17042" s="216" t="n">
        <v>83.25</v>
      </c>
      <c r="D17042" s="216" t="n">
        <v>1.140782952308655</v>
      </c>
      <c r="E17042" s="215" t="n">
        <v>45034</v>
      </c>
      <c r="F17042" s="215" t="n">
        <v>45034</v>
      </c>
    </row>
    <row r="17043">
      <c r="A17043" s="215" t="n">
        <v>45035</v>
      </c>
      <c r="B17043" s="216" t="n">
        <v>58.55</v>
      </c>
      <c r="C17043" s="216" t="n">
        <v>83.52</v>
      </c>
      <c r="D17043" s="216" t="n">
        <v>1.141404986381531</v>
      </c>
      <c r="E17043" s="215" t="n">
        <v>45035</v>
      </c>
      <c r="F17043" s="215" t="n">
        <v>45035</v>
      </c>
    </row>
    <row r="17044">
      <c r="A17044" s="215" t="n">
        <v>45036</v>
      </c>
      <c r="B17044" s="216" t="n">
        <v>54.95</v>
      </c>
      <c r="C17044" s="216" t="n">
        <v>80.02</v>
      </c>
      <c r="D17044" s="216" t="n">
        <v>1.139932990074158</v>
      </c>
      <c r="E17044" s="215" t="n">
        <v>45036</v>
      </c>
      <c r="F17044" s="215" t="n">
        <v>45036</v>
      </c>
    </row>
    <row r="17045">
      <c r="A17045" s="215" t="n">
        <v>45037</v>
      </c>
      <c r="B17045" s="216" t="n">
        <v>54.95</v>
      </c>
      <c r="C17045" s="216" t="n">
        <v>79.19</v>
      </c>
      <c r="D17045" s="216" t="n">
        <v>1.142052054405212</v>
      </c>
      <c r="E17045" s="215" t="n">
        <v>45037</v>
      </c>
      <c r="F17045" s="215" t="n">
        <v>45037</v>
      </c>
    </row>
    <row r="17046">
      <c r="A17046" s="215" t="n">
        <v>45040</v>
      </c>
      <c r="B17046" s="216" t="n">
        <v>52.5</v>
      </c>
      <c r="C17046" s="216" t="n">
        <v>76.02</v>
      </c>
      <c r="D17046" s="216" t="n">
        <v>1.138666033744812</v>
      </c>
      <c r="E17046" s="215" t="n">
        <v>45040</v>
      </c>
      <c r="F17046" s="215" t="n">
        <v>45040</v>
      </c>
    </row>
    <row r="17047">
      <c r="A17047" s="215" t="n">
        <v>45041</v>
      </c>
      <c r="B17047" s="216" t="n">
        <v>48.05</v>
      </c>
      <c r="C17047" s="216" t="n">
        <v>70.06999999999999</v>
      </c>
      <c r="D17047" s="216" t="n">
        <v>1.137948989868164</v>
      </c>
      <c r="E17047" s="215" t="n">
        <v>45041</v>
      </c>
      <c r="F17047" s="215" t="n">
        <v>45041</v>
      </c>
    </row>
    <row r="17048">
      <c r="A17048" s="215" t="n">
        <v>45042</v>
      </c>
      <c r="B17048" s="216" t="n">
        <v>49.15</v>
      </c>
      <c r="C17048" s="216" t="n">
        <v>71.3</v>
      </c>
      <c r="D17048" s="216" t="n">
        <v>1.132081031799316</v>
      </c>
      <c r="E17048" s="215" t="n">
        <v>45042</v>
      </c>
      <c r="F17048" s="215" t="n">
        <v>45042</v>
      </c>
    </row>
    <row r="17049">
      <c r="A17049" s="215" t="n">
        <v>45043</v>
      </c>
      <c r="B17049" s="216" t="n">
        <v>49.4</v>
      </c>
      <c r="C17049" s="216" t="n">
        <v>70.86</v>
      </c>
      <c r="D17049" s="216" t="n">
        <v>1.132995009422302</v>
      </c>
      <c r="E17049" s="215" t="n">
        <v>45043</v>
      </c>
      <c r="F17049" s="215" t="n">
        <v>45043</v>
      </c>
    </row>
    <row r="17050">
      <c r="A17050" s="215" t="n">
        <v>45044</v>
      </c>
      <c r="B17050" s="216" t="n">
        <v>49</v>
      </c>
      <c r="C17050" s="216" t="n">
        <v>71.26000000000001</v>
      </c>
      <c r="D17050" s="216" t="n">
        <v>1.133429050445557</v>
      </c>
      <c r="E17050" s="215" t="n">
        <v>45044</v>
      </c>
      <c r="F17050" s="215" t="n">
        <v>45044</v>
      </c>
    </row>
    <row r="17051">
      <c r="A17051" s="215" t="n">
        <v>45048</v>
      </c>
      <c r="B17051" s="216" t="n">
        <v>52</v>
      </c>
      <c r="C17051" s="216" t="n">
        <v>71.26000000000001</v>
      </c>
      <c r="D17051" s="216" t="n">
        <v>1.132107019424438</v>
      </c>
      <c r="E17051" s="215" t="n">
        <v>45044</v>
      </c>
      <c r="F17051" s="215" t="n">
        <v>45048</v>
      </c>
    </row>
    <row r="17052">
      <c r="A17052" s="215" t="n">
        <v>45049</v>
      </c>
      <c r="B17052" s="216" t="n">
        <v>51.8</v>
      </c>
      <c r="C17052" s="216" t="n">
        <v>71.26000000000001</v>
      </c>
      <c r="D17052" s="216" t="n">
        <v>1.135318994522095</v>
      </c>
      <c r="E17052" s="215" t="n">
        <v>45044</v>
      </c>
      <c r="F17052" s="215" t="n">
        <v>45049</v>
      </c>
    </row>
    <row r="17053">
      <c r="A17053" s="215" t="n">
        <v>45050</v>
      </c>
      <c r="B17053" s="216" t="n">
        <v>52</v>
      </c>
      <c r="C17053" s="216" t="n">
        <v>73.16</v>
      </c>
      <c r="D17053" s="216" t="n">
        <v>1.135159969329834</v>
      </c>
      <c r="E17053" s="215" t="n">
        <v>45050</v>
      </c>
      <c r="F17053" s="215" t="n">
        <v>45050</v>
      </c>
    </row>
    <row r="17054">
      <c r="A17054" s="215" t="n">
        <v>45051</v>
      </c>
      <c r="B17054" s="216" t="n">
        <v>50.75</v>
      </c>
      <c r="C17054" s="216" t="n">
        <v>72.16</v>
      </c>
      <c r="D17054" s="216" t="n">
        <v>1.13606595993042</v>
      </c>
      <c r="E17054" s="215" t="n">
        <v>45051</v>
      </c>
      <c r="F17054" s="215" t="n">
        <v>45051</v>
      </c>
    </row>
    <row r="17055">
      <c r="A17055" s="215" t="n">
        <v>45054</v>
      </c>
      <c r="B17055" s="216" t="n">
        <v>51.5</v>
      </c>
      <c r="C17055" s="216" t="n">
        <v>72.20999999999999</v>
      </c>
      <c r="D17055" s="216" t="n">
        <v>1.135442972183228</v>
      </c>
      <c r="E17055" s="215" t="n">
        <v>45054</v>
      </c>
      <c r="F17055" s="215" t="n">
        <v>45054</v>
      </c>
    </row>
    <row r="17056">
      <c r="A17056" s="215" t="n">
        <v>45055</v>
      </c>
      <c r="B17056" s="216" t="n">
        <v>50.3</v>
      </c>
      <c r="C17056" s="216" t="n">
        <v>71.17</v>
      </c>
      <c r="D17056" s="216" t="n">
        <v>1.134963989257812</v>
      </c>
      <c r="E17056" s="215" t="n">
        <v>45055</v>
      </c>
      <c r="F17056" s="215" t="n">
        <v>45055</v>
      </c>
    </row>
    <row r="17057">
      <c r="A17057" s="215" t="n">
        <v>45056</v>
      </c>
      <c r="B17057" s="216" t="n">
        <v>55.85</v>
      </c>
      <c r="C17057" s="216" t="n">
        <v>74.91</v>
      </c>
      <c r="D17057" s="216" t="n">
        <v>1.132966995239258</v>
      </c>
      <c r="E17057" s="215" t="n">
        <v>45056</v>
      </c>
      <c r="F17057" s="215" t="n">
        <v>45056</v>
      </c>
    </row>
    <row r="17058">
      <c r="A17058" s="215" t="n">
        <v>45057</v>
      </c>
      <c r="B17058" s="216" t="n">
        <v>57.5</v>
      </c>
      <c r="C17058" s="216" t="n">
        <v>75.88</v>
      </c>
      <c r="D17058" s="216" t="n">
        <v>1.129608988761902</v>
      </c>
      <c r="E17058" s="215" t="n">
        <v>45057</v>
      </c>
      <c r="F17058" s="215" t="n">
        <v>45057</v>
      </c>
    </row>
    <row r="17059">
      <c r="A17059" s="215" t="n">
        <v>45058</v>
      </c>
      <c r="B17059" s="216" t="n">
        <v>55.75</v>
      </c>
      <c r="C17059" s="216" t="n">
        <v>74.70999999999999</v>
      </c>
      <c r="D17059" s="216" t="n">
        <v>1.127804040908813</v>
      </c>
      <c r="E17059" s="215" t="n">
        <v>45058</v>
      </c>
      <c r="F17059" s="215" t="n">
        <v>45058</v>
      </c>
    </row>
    <row r="17060">
      <c r="A17060" s="215" t="n">
        <v>45061</v>
      </c>
      <c r="B17060" s="216" t="n">
        <v>60.15</v>
      </c>
      <c r="C17060" s="216" t="n">
        <v>82.18000000000001</v>
      </c>
      <c r="D17060" s="216" t="n">
        <v>1.127277016639709</v>
      </c>
      <c r="E17060" s="215" t="n">
        <v>45061</v>
      </c>
      <c r="F17060" s="215" t="n">
        <v>45061</v>
      </c>
    </row>
    <row r="17061">
      <c r="A17061" s="215" t="n">
        <v>45062</v>
      </c>
      <c r="B17061" s="216" t="n">
        <v>60.1</v>
      </c>
      <c r="C17061" s="216" t="n">
        <v>82.61</v>
      </c>
      <c r="D17061" s="216" t="n">
        <v>1.127233982086182</v>
      </c>
      <c r="E17061" s="215" t="n">
        <v>45062</v>
      </c>
      <c r="F17061" s="215" t="n">
        <v>45062</v>
      </c>
    </row>
    <row r="17062">
      <c r="A17062" s="215" t="n">
        <v>45063</v>
      </c>
      <c r="B17062" s="216" t="n">
        <v>57.95</v>
      </c>
      <c r="C17062" s="216" t="n">
        <v>80.84</v>
      </c>
      <c r="D17062" s="216" t="n">
        <v>1.123204946517944</v>
      </c>
      <c r="E17062" s="215" t="n">
        <v>45063</v>
      </c>
      <c r="F17062" s="215" t="n">
        <v>45063</v>
      </c>
    </row>
    <row r="17063">
      <c r="A17063" s="215" t="n">
        <v>45064</v>
      </c>
      <c r="B17063" s="216" t="n">
        <v>59.1</v>
      </c>
      <c r="C17063" s="216" t="n">
        <v>81</v>
      </c>
      <c r="D17063" s="216" t="n">
        <v>1.118651986122131</v>
      </c>
      <c r="E17063" s="215" t="n">
        <v>45064</v>
      </c>
      <c r="F17063" s="215" t="n">
        <v>45064</v>
      </c>
    </row>
    <row r="17064">
      <c r="A17064" s="215" t="n">
        <v>45065</v>
      </c>
      <c r="B17064" s="216" t="n">
        <v>57.75</v>
      </c>
      <c r="C17064" s="216" t="n">
        <v>79.48999999999999</v>
      </c>
      <c r="D17064" s="216" t="n">
        <v>1.112360954284668</v>
      </c>
      <c r="E17064" s="215" t="n">
        <v>45065</v>
      </c>
      <c r="F17064" s="215" t="n">
        <v>45065</v>
      </c>
    </row>
    <row r="17065">
      <c r="A17065" s="215" t="n">
        <v>45068</v>
      </c>
      <c r="B17065" s="216" t="n">
        <v>56.7</v>
      </c>
      <c r="C17065" s="216" t="n">
        <v>79.48</v>
      </c>
      <c r="D17065" s="216" t="n">
        <v>1.118953943252563</v>
      </c>
      <c r="E17065" s="215" t="n">
        <v>45068</v>
      </c>
      <c r="F17065" s="215" t="n">
        <v>45068</v>
      </c>
    </row>
    <row r="17066">
      <c r="A17066" s="215" t="n">
        <v>45069</v>
      </c>
      <c r="B17066" s="216" t="n">
        <v>56.25</v>
      </c>
      <c r="C17066" s="216" t="n">
        <v>78.62</v>
      </c>
      <c r="D17066" s="216" t="n">
        <v>1.1127769947052</v>
      </c>
      <c r="E17066" s="215" t="n">
        <v>45069</v>
      </c>
      <c r="F17066" s="215" t="n">
        <v>45069</v>
      </c>
    </row>
    <row r="17067">
      <c r="A17067" s="215" t="n">
        <v>45070</v>
      </c>
      <c r="B17067" s="216" t="n">
        <v>55.65</v>
      </c>
      <c r="C17067" s="216" t="n">
        <v>78.18000000000001</v>
      </c>
      <c r="D17067" s="216" t="n">
        <v>1.110573053359985</v>
      </c>
      <c r="E17067" s="215" t="n">
        <v>45070</v>
      </c>
      <c r="F17067" s="215" t="n">
        <v>45070</v>
      </c>
    </row>
    <row r="17068">
      <c r="A17068" s="215" t="n">
        <v>45071</v>
      </c>
      <c r="B17068" s="216" t="n">
        <v>54.65</v>
      </c>
      <c r="C17068" s="216" t="n">
        <v>76.84999999999999</v>
      </c>
      <c r="D17068" s="216" t="n">
        <v>1.108927965164185</v>
      </c>
      <c r="E17068" s="215" t="n">
        <v>45071</v>
      </c>
      <c r="F17068" s="215" t="n">
        <v>45071</v>
      </c>
    </row>
    <row r="17069">
      <c r="A17069" s="215" t="n">
        <v>45075</v>
      </c>
      <c r="B17069" s="216" t="n">
        <v>53.35</v>
      </c>
      <c r="C17069" s="216" t="n">
        <v>73.28</v>
      </c>
      <c r="D17069" s="216" t="n">
        <v>1.107897043228149</v>
      </c>
      <c r="E17069" s="215" t="n">
        <v>45075</v>
      </c>
      <c r="F17069" s="215" t="n">
        <v>45075</v>
      </c>
    </row>
    <row r="17070">
      <c r="A17070" s="215" t="n">
        <v>45076</v>
      </c>
      <c r="B17070" s="216" t="n">
        <v>52.7</v>
      </c>
      <c r="C17070" s="216" t="n">
        <v>73.40000000000001</v>
      </c>
      <c r="D17070" s="216" t="n">
        <v>1.10659396648407</v>
      </c>
      <c r="E17070" s="215" t="n">
        <v>45076</v>
      </c>
      <c r="F17070" s="215" t="n">
        <v>45076</v>
      </c>
    </row>
    <row r="17071">
      <c r="A17071" s="215" t="n">
        <v>45077</v>
      </c>
      <c r="B17071" s="216" t="n">
        <v>50.75</v>
      </c>
      <c r="C17071" s="216" t="n">
        <v>71.94</v>
      </c>
      <c r="D17071" s="216" t="n">
        <v>1.106397032737732</v>
      </c>
      <c r="E17071" s="215" t="n">
        <v>45077</v>
      </c>
      <c r="F17071" s="215" t="n">
        <v>45077</v>
      </c>
    </row>
    <row r="17072">
      <c r="A17072" s="215" t="n">
        <v>45078</v>
      </c>
      <c r="B17072" s="216" t="n">
        <v>50.8</v>
      </c>
      <c r="C17072" s="216" t="n">
        <v>72.33</v>
      </c>
      <c r="D17072" s="216" t="n">
        <v>1.101158976554871</v>
      </c>
      <c r="E17072" s="215" t="n">
        <v>45078</v>
      </c>
      <c r="F17072" s="215" t="n">
        <v>45078</v>
      </c>
    </row>
    <row r="17073">
      <c r="A17073" s="215" t="n">
        <v>45079</v>
      </c>
      <c r="B17073" s="216" t="n">
        <v>55.05</v>
      </c>
      <c r="C17073" s="216" t="n">
        <v>76.3</v>
      </c>
      <c r="D17073" s="216" t="n">
        <v>1.103572010993958</v>
      </c>
      <c r="E17073" s="215" t="n">
        <v>45079</v>
      </c>
      <c r="F17073" s="215" t="n">
        <v>45079</v>
      </c>
    </row>
    <row r="17074">
      <c r="A17074" s="215" t="n">
        <v>45082</v>
      </c>
      <c r="B17074" s="216" t="n">
        <v>55.1</v>
      </c>
      <c r="C17074" s="216" t="n">
        <v>75.97</v>
      </c>
      <c r="D17074" s="216" t="n">
        <v>1.10276198387146</v>
      </c>
      <c r="E17074" s="215" t="n">
        <v>45082</v>
      </c>
      <c r="F17074" s="215" t="n">
        <v>45082</v>
      </c>
    </row>
    <row r="17075">
      <c r="A17075" s="215" t="n">
        <v>45083</v>
      </c>
      <c r="B17075" s="216" t="n">
        <v>53.15</v>
      </c>
      <c r="C17075" s="216" t="n">
        <v>74.48</v>
      </c>
      <c r="D17075" s="216" t="n">
        <v>1.103441953659058</v>
      </c>
      <c r="E17075" s="215" t="n">
        <v>45083</v>
      </c>
      <c r="F17075" s="215" t="n">
        <v>45083</v>
      </c>
    </row>
    <row r="17076">
      <c r="A17076" s="215" t="n">
        <v>45084</v>
      </c>
      <c r="B17076" s="216" t="n">
        <v>53.1</v>
      </c>
      <c r="C17076" s="216" t="n">
        <v>73.41</v>
      </c>
      <c r="D17076" s="216" t="n">
        <v>1.10180401802063</v>
      </c>
      <c r="E17076" s="215" t="n">
        <v>45084</v>
      </c>
      <c r="F17076" s="215" t="n">
        <v>45084</v>
      </c>
    </row>
    <row r="17077">
      <c r="A17077" s="215" t="n">
        <v>45085</v>
      </c>
      <c r="B17077" s="216" t="n">
        <v>53.8</v>
      </c>
      <c r="C17077" s="216" t="n">
        <v>74.55</v>
      </c>
      <c r="D17077" s="216" t="n">
        <v>1.099845051765442</v>
      </c>
      <c r="E17077" s="215" t="n">
        <v>45085</v>
      </c>
      <c r="F17077" s="215" t="n">
        <v>45085</v>
      </c>
    </row>
    <row r="17078">
      <c r="A17078" s="215" t="n">
        <v>45086</v>
      </c>
      <c r="B17078" s="216" t="n">
        <v>54.65</v>
      </c>
      <c r="C17078" s="216" t="n">
        <v>74.98</v>
      </c>
      <c r="D17078" s="216" t="n">
        <v>1.101685047149658</v>
      </c>
      <c r="E17078" s="215" t="n">
        <v>45086</v>
      </c>
      <c r="F17078" s="215" t="n">
        <v>45086</v>
      </c>
    </row>
    <row r="17079">
      <c r="A17079" s="215" t="n">
        <v>45089</v>
      </c>
      <c r="B17079" s="216" t="n">
        <v>53.6</v>
      </c>
      <c r="C17079" s="216" t="n">
        <v>73.89</v>
      </c>
      <c r="D17079" s="216" t="n">
        <v>1.099730968475342</v>
      </c>
      <c r="E17079" s="215" t="n">
        <v>45089</v>
      </c>
      <c r="F17079" s="215" t="n">
        <v>45089</v>
      </c>
    </row>
    <row r="17080">
      <c r="A17080" s="215" t="n">
        <v>45090</v>
      </c>
      <c r="B17080" s="216" t="n">
        <v>54</v>
      </c>
      <c r="C17080" s="216" t="n">
        <v>73.87</v>
      </c>
      <c r="D17080" s="216" t="n">
        <v>1.096243977546692</v>
      </c>
      <c r="E17080" s="215" t="n">
        <v>45090</v>
      </c>
      <c r="F17080" s="215" t="n">
        <v>45090</v>
      </c>
    </row>
    <row r="17081">
      <c r="A17081" s="215" t="n">
        <v>45091</v>
      </c>
      <c r="B17081" s="216" t="n">
        <v>54.05</v>
      </c>
      <c r="C17081" s="216" t="n">
        <v>73.01000000000001</v>
      </c>
      <c r="D17081" s="216" t="n">
        <v>1.092831969261169</v>
      </c>
      <c r="E17081" s="215" t="n">
        <v>45091</v>
      </c>
      <c r="F17081" s="215" t="n">
        <v>45091</v>
      </c>
    </row>
    <row r="17082">
      <c r="A17082" s="215" t="n">
        <v>45092</v>
      </c>
      <c r="B17082" s="216" t="n">
        <v>55.9</v>
      </c>
      <c r="C17082" s="216" t="n">
        <v>75.86</v>
      </c>
      <c r="D17082" s="216" t="n">
        <v>1.093112945556641</v>
      </c>
      <c r="E17082" s="215" t="n">
        <v>45092</v>
      </c>
      <c r="F17082" s="215" t="n">
        <v>45092</v>
      </c>
    </row>
    <row r="17083">
      <c r="A17083" s="215" t="n">
        <v>45093</v>
      </c>
      <c r="B17083" s="216" t="n">
        <v>57.05</v>
      </c>
      <c r="C17083" s="216" t="n">
        <v>76.02</v>
      </c>
      <c r="D17083" s="216" t="n">
        <v>1.098376989364624</v>
      </c>
      <c r="E17083" s="215" t="n">
        <v>45093</v>
      </c>
      <c r="F17083" s="215" t="n">
        <v>45093</v>
      </c>
    </row>
    <row r="17084">
      <c r="A17084" s="215" t="n">
        <v>45096</v>
      </c>
      <c r="B17084" s="216" t="n">
        <v>55.95</v>
      </c>
      <c r="C17084" s="216" t="n">
        <v>73.97</v>
      </c>
      <c r="D17084" s="216" t="n">
        <v>1.097730040550232</v>
      </c>
      <c r="E17084" s="215" t="n">
        <v>45096</v>
      </c>
      <c r="F17084" s="215" t="n">
        <v>45096</v>
      </c>
    </row>
    <row r="17085">
      <c r="A17085" s="215" t="n">
        <v>45097</v>
      </c>
      <c r="B17085" s="216" t="n">
        <v>53.15</v>
      </c>
      <c r="C17085" s="216" t="n">
        <v>73.20999999999999</v>
      </c>
      <c r="D17085" s="216" t="n">
        <v>1.091591000556946</v>
      </c>
      <c r="E17085" s="215" t="n">
        <v>45097</v>
      </c>
      <c r="F17085" s="215" t="n">
        <v>45097</v>
      </c>
    </row>
    <row r="17086">
      <c r="A17086" s="215" t="n">
        <v>45098</v>
      </c>
      <c r="B17086" s="216" t="n">
        <v>53.25</v>
      </c>
      <c r="C17086" s="216" t="n">
        <v>72.19</v>
      </c>
      <c r="D17086" s="216" t="n">
        <v>1.089725017547607</v>
      </c>
      <c r="E17086" s="215" t="n">
        <v>45098</v>
      </c>
      <c r="F17086" s="215" t="n">
        <v>45098</v>
      </c>
    </row>
    <row r="17087">
      <c r="A17087" s="215" t="n">
        <v>45100</v>
      </c>
      <c r="B17087" s="216" t="n">
        <v>52.6</v>
      </c>
      <c r="C17087" s="216" t="n">
        <v>72.19</v>
      </c>
      <c r="D17087" s="216" t="n">
        <v>1.090543031692505</v>
      </c>
      <c r="E17087" s="215" t="n">
        <v>45098</v>
      </c>
      <c r="F17087" s="215" t="n">
        <v>45100</v>
      </c>
    </row>
    <row r="17088">
      <c r="A17088" s="215" t="n">
        <v>45103</v>
      </c>
      <c r="B17088" s="216" t="n">
        <v>52.7</v>
      </c>
      <c r="C17088" s="216" t="n">
        <v>71.65000000000001</v>
      </c>
      <c r="D17088" s="216" t="n">
        <v>1.092113971710205</v>
      </c>
      <c r="E17088" s="215" t="n">
        <v>45103</v>
      </c>
      <c r="F17088" s="215" t="n">
        <v>45103</v>
      </c>
    </row>
    <row r="17089">
      <c r="A17089" s="215" t="n">
        <v>45104</v>
      </c>
      <c r="B17089" s="216" t="n">
        <v>53.5</v>
      </c>
      <c r="C17089" s="216" t="n">
        <v>72.33</v>
      </c>
      <c r="D17089" s="216" t="n">
        <v>1.081884026527405</v>
      </c>
      <c r="E17089" s="215" t="n">
        <v>45104</v>
      </c>
      <c r="F17089" s="215" t="n">
        <v>45104</v>
      </c>
    </row>
    <row r="17090">
      <c r="A17090" s="215" t="n">
        <v>45105</v>
      </c>
      <c r="B17090" s="216" t="n">
        <v>52.25</v>
      </c>
      <c r="C17090" s="216" t="n">
        <v>72.05</v>
      </c>
      <c r="D17090" s="216" t="n">
        <v>1.084810972213745</v>
      </c>
      <c r="E17090" s="215" t="n">
        <v>45105</v>
      </c>
      <c r="F17090" s="215" t="n">
        <v>45105</v>
      </c>
    </row>
    <row r="17091">
      <c r="A17091" s="215" t="n">
        <v>45106</v>
      </c>
      <c r="B17091" s="216" t="n">
        <v>51.8</v>
      </c>
      <c r="C17091" s="216" t="n">
        <v>71.31</v>
      </c>
      <c r="D17091" s="216" t="n">
        <v>1.081053972244263</v>
      </c>
      <c r="E17091" s="215" t="n">
        <v>45106</v>
      </c>
      <c r="F17091" s="215" t="n">
        <v>45106</v>
      </c>
    </row>
    <row r="17092">
      <c r="A17092" s="215" t="n">
        <v>45107</v>
      </c>
      <c r="B17092" s="216" t="n">
        <v>54.55</v>
      </c>
      <c r="C17092" s="216" t="n">
        <v>69.91</v>
      </c>
      <c r="D17092" s="216" t="n">
        <v>1.080832958221436</v>
      </c>
      <c r="E17092" s="215" t="n">
        <v>45107</v>
      </c>
      <c r="F17092" s="215" t="n">
        <v>45107</v>
      </c>
    </row>
    <row r="17093">
      <c r="A17093" s="215" t="n">
        <v>45110</v>
      </c>
      <c r="B17093" s="216" t="n">
        <v>55.6</v>
      </c>
      <c r="C17093" s="216" t="n">
        <v>70.44</v>
      </c>
      <c r="D17093" s="216" t="n">
        <v>1.080121040344238</v>
      </c>
      <c r="E17093" s="215" t="n">
        <v>45110</v>
      </c>
      <c r="F17093" s="215" t="n">
        <v>45110</v>
      </c>
    </row>
    <row r="17094">
      <c r="A17094" s="215" t="n">
        <v>45111</v>
      </c>
      <c r="B17094" s="216" t="n">
        <v>55.4</v>
      </c>
      <c r="C17094" s="216" t="n">
        <v>70.63</v>
      </c>
      <c r="D17094" s="216" t="n">
        <v>1.08187997341156</v>
      </c>
      <c r="E17094" s="215" t="n">
        <v>45111</v>
      </c>
      <c r="F17094" s="215" t="n">
        <v>45111</v>
      </c>
    </row>
    <row r="17095">
      <c r="A17095" s="215" t="n">
        <v>45112</v>
      </c>
      <c r="B17095" s="216" t="n">
        <v>52.2</v>
      </c>
      <c r="C17095" s="216" t="n">
        <v>70.76000000000001</v>
      </c>
      <c r="D17095" s="216" t="n">
        <v>1.085320949554443</v>
      </c>
      <c r="E17095" s="215" t="n">
        <v>45112</v>
      </c>
      <c r="F17095" s="215" t="n">
        <v>45112</v>
      </c>
    </row>
    <row r="17096">
      <c r="A17096" s="215" t="n">
        <v>45113</v>
      </c>
      <c r="B17096" s="216" t="n">
        <v>50.55</v>
      </c>
      <c r="C17096" s="216" t="n">
        <v>69.20999999999999</v>
      </c>
      <c r="D17096" s="216" t="n">
        <v>1.079206943511963</v>
      </c>
      <c r="E17096" s="215" t="n">
        <v>45113</v>
      </c>
      <c r="F17096" s="215" t="n">
        <v>45113</v>
      </c>
    </row>
    <row r="17097">
      <c r="A17097" s="215" t="n">
        <v>45114</v>
      </c>
      <c r="B17097" s="216" t="n">
        <v>50.35</v>
      </c>
      <c r="C17097" s="216" t="n">
        <v>68.51000000000001</v>
      </c>
      <c r="D17097" s="216" t="n">
        <v>1.078516960144043</v>
      </c>
      <c r="E17097" s="215" t="n">
        <v>45114</v>
      </c>
      <c r="F17097" s="215" t="n">
        <v>45114</v>
      </c>
    </row>
    <row r="17098">
      <c r="A17098" s="215" t="n">
        <v>45117</v>
      </c>
      <c r="B17098" s="216" t="n">
        <v>51.85</v>
      </c>
      <c r="C17098" s="216" t="n">
        <v>70.83</v>
      </c>
      <c r="D17098" s="216" t="n">
        <v>1.095139026641846</v>
      </c>
      <c r="E17098" s="215" t="n">
        <v>45117</v>
      </c>
      <c r="F17098" s="215" t="n">
        <v>45117</v>
      </c>
    </row>
    <row r="17099">
      <c r="A17099" s="215" t="n">
        <v>45118</v>
      </c>
      <c r="B17099" s="216" t="n">
        <v>51.8</v>
      </c>
      <c r="C17099" s="216" t="n">
        <v>70.7</v>
      </c>
      <c r="D17099" s="216" t="n">
        <v>1.082510948181152</v>
      </c>
      <c r="E17099" s="215" t="n">
        <v>45118</v>
      </c>
      <c r="F17099" s="215" t="n">
        <v>45118</v>
      </c>
    </row>
    <row r="17100">
      <c r="A17100" s="215" t="n">
        <v>45119</v>
      </c>
      <c r="B17100" s="216" t="n">
        <v>51.6</v>
      </c>
      <c r="C17100" s="216" t="n">
        <v>70.36</v>
      </c>
      <c r="D17100" s="216" t="n">
        <v>1.085523009300232</v>
      </c>
      <c r="E17100" s="215" t="n">
        <v>45119</v>
      </c>
      <c r="F17100" s="215" t="n">
        <v>45119</v>
      </c>
    </row>
    <row r="17101">
      <c r="A17101" s="215" t="n">
        <v>45120</v>
      </c>
      <c r="B17101" s="216" t="n">
        <v>51.75</v>
      </c>
      <c r="C17101" s="216" t="n">
        <v>70.81</v>
      </c>
      <c r="D17101" s="216" t="n">
        <v>1.091933012008667</v>
      </c>
      <c r="E17101" s="215" t="n">
        <v>45120</v>
      </c>
      <c r="F17101" s="215" t="n">
        <v>45120</v>
      </c>
    </row>
    <row r="17102">
      <c r="A17102" s="215" t="n">
        <v>45121</v>
      </c>
      <c r="B17102" s="216" t="n">
        <v>51.55</v>
      </c>
      <c r="C17102" s="216" t="n">
        <v>70.2</v>
      </c>
      <c r="D17102" s="216" t="n">
        <v>1.093255996704102</v>
      </c>
      <c r="E17102" s="215" t="n">
        <v>45121</v>
      </c>
      <c r="F17102" s="215" t="n">
        <v>45121</v>
      </c>
    </row>
    <row r="17103">
      <c r="A17103" s="215" t="n">
        <v>45125</v>
      </c>
      <c r="B17103" s="216" t="n">
        <v>49.9</v>
      </c>
      <c r="C17103" s="216" t="n">
        <v>67.98999999999999</v>
      </c>
      <c r="D17103" s="216" t="n">
        <v>1.089244961738586</v>
      </c>
      <c r="E17103" s="215" t="n">
        <v>45125</v>
      </c>
      <c r="F17103" s="215" t="n">
        <v>45125</v>
      </c>
    </row>
    <row r="17104">
      <c r="A17104" s="215" t="n">
        <v>45126</v>
      </c>
      <c r="B17104" s="216" t="n">
        <v>49.55</v>
      </c>
      <c r="C17104" s="216" t="n">
        <v>67.84</v>
      </c>
      <c r="D17104" s="216" t="n">
        <v>1.088175058364868</v>
      </c>
      <c r="E17104" s="215" t="n">
        <v>45126</v>
      </c>
      <c r="F17104" s="215" t="n">
        <v>45126</v>
      </c>
    </row>
    <row r="17105">
      <c r="A17105" s="215" t="n">
        <v>45127</v>
      </c>
      <c r="B17105" s="216" t="n">
        <v>49.2</v>
      </c>
      <c r="C17105" s="216" t="n">
        <v>68.27</v>
      </c>
      <c r="D17105" s="216" t="n">
        <v>1.080250978469849</v>
      </c>
      <c r="E17105" s="215" t="n">
        <v>45127</v>
      </c>
      <c r="F17105" s="215" t="n">
        <v>45127</v>
      </c>
    </row>
    <row r="17106">
      <c r="A17106" s="215" t="n">
        <v>45128</v>
      </c>
      <c r="B17106" s="216" t="n">
        <v>47.9</v>
      </c>
      <c r="C17106" s="216" t="n">
        <v>66.23</v>
      </c>
      <c r="D17106" s="216" t="n">
        <v>1.088490962982178</v>
      </c>
      <c r="E17106" s="215" t="n">
        <v>45128</v>
      </c>
      <c r="F17106" s="215" t="n">
        <v>45128</v>
      </c>
    </row>
    <row r="17107">
      <c r="A17107" s="215" t="n">
        <v>45131</v>
      </c>
      <c r="B17107" s="216" t="n">
        <v>45.55</v>
      </c>
      <c r="C17107" s="216" t="n">
        <v>63.04</v>
      </c>
      <c r="D17107" s="216" t="n">
        <v>1.096070051193237</v>
      </c>
      <c r="E17107" s="215" t="n">
        <v>45131</v>
      </c>
      <c r="F17107" s="215" t="n">
        <v>45131</v>
      </c>
    </row>
    <row r="17108">
      <c r="A17108" s="215" t="n">
        <v>45132</v>
      </c>
      <c r="B17108" s="216" t="n">
        <v>47.1</v>
      </c>
      <c r="C17108" s="216" t="n">
        <v>65.64</v>
      </c>
      <c r="D17108" s="216" t="n">
        <v>1.087272047996521</v>
      </c>
      <c r="E17108" s="215" t="n">
        <v>45132</v>
      </c>
      <c r="F17108" s="215" t="n">
        <v>45132</v>
      </c>
    </row>
    <row r="17109">
      <c r="A17109" s="215" t="n">
        <v>45133</v>
      </c>
      <c r="B17109" s="216" t="n">
        <v>47.65</v>
      </c>
      <c r="C17109" s="216" t="n">
        <v>65.08</v>
      </c>
      <c r="D17109" s="216" t="n">
        <v>1.094627976417542</v>
      </c>
      <c r="E17109" s="215" t="n">
        <v>45133</v>
      </c>
      <c r="F17109" s="215" t="n">
        <v>45133</v>
      </c>
    </row>
    <row r="17110">
      <c r="A17110" s="215" t="n">
        <v>45134</v>
      </c>
      <c r="B17110" s="216" t="n">
        <v>47.55</v>
      </c>
      <c r="C17110" s="216" t="n">
        <v>64.18000000000001</v>
      </c>
      <c r="D17110" s="216" t="n">
        <v>1.090775966644287</v>
      </c>
      <c r="E17110" s="215" t="n">
        <v>45134</v>
      </c>
      <c r="F17110" s="215" t="n">
        <v>45134</v>
      </c>
    </row>
    <row r="17111">
      <c r="A17111" s="215" t="n">
        <v>45135</v>
      </c>
      <c r="B17111" s="216" t="n">
        <v>48.75</v>
      </c>
      <c r="C17111" s="216" t="n">
        <v>65.16</v>
      </c>
      <c r="D17111" s="216" t="n">
        <v>1.087054014205933</v>
      </c>
      <c r="E17111" s="215" t="n">
        <v>45135</v>
      </c>
      <c r="F17111" s="215" t="n">
        <v>45135</v>
      </c>
    </row>
    <row r="17112">
      <c r="A17112" s="215" t="n">
        <v>45138</v>
      </c>
      <c r="B17112" s="216" t="n">
        <v>48.5</v>
      </c>
      <c r="C17112" s="216" t="n">
        <v>66.55</v>
      </c>
      <c r="D17112" s="216" t="n">
        <v>1.097965002059937</v>
      </c>
      <c r="E17112" s="215" t="n">
        <v>45138</v>
      </c>
      <c r="F17112" s="215" t="n">
        <v>45138</v>
      </c>
    </row>
    <row r="17113">
      <c r="A17113" s="215" t="n">
        <v>45139</v>
      </c>
      <c r="B17113" s="216" t="n">
        <v>48.7</v>
      </c>
      <c r="C17113" s="216" t="n">
        <v>66.28</v>
      </c>
      <c r="D17113" s="216" t="n">
        <v>1.096930980682373</v>
      </c>
      <c r="E17113" s="215" t="n">
        <v>45139</v>
      </c>
      <c r="F17113" s="215" t="n">
        <v>45139</v>
      </c>
    </row>
    <row r="17114">
      <c r="A17114" s="215" t="n">
        <v>45140</v>
      </c>
      <c r="B17114" s="216" t="n">
        <v>47.85</v>
      </c>
      <c r="C17114" s="216" t="n">
        <v>65.41</v>
      </c>
      <c r="D17114" s="216" t="n">
        <v>1.092203974723816</v>
      </c>
      <c r="E17114" s="215" t="n">
        <v>45140</v>
      </c>
      <c r="F17114" s="215" t="n">
        <v>45140</v>
      </c>
    </row>
    <row r="17115">
      <c r="A17115" s="215" t="n">
        <v>45141</v>
      </c>
      <c r="B17115" s="216" t="n">
        <v>49.3</v>
      </c>
      <c r="C17115" s="216" t="n">
        <v>65.77</v>
      </c>
      <c r="D17115" s="216" t="n">
        <v>1.090474963188171</v>
      </c>
      <c r="E17115" s="215" t="n">
        <v>45141</v>
      </c>
      <c r="F17115" s="215" t="n">
        <v>45141</v>
      </c>
    </row>
    <row r="17116">
      <c r="A17116" s="215" t="n">
        <v>45142</v>
      </c>
      <c r="B17116" s="216" t="n">
        <v>48.6</v>
      </c>
      <c r="C17116" s="216" t="n">
        <v>66.34</v>
      </c>
      <c r="D17116" s="216" t="n">
        <v>1.09414005279541</v>
      </c>
      <c r="E17116" s="215" t="n">
        <v>45142</v>
      </c>
      <c r="F17116" s="215" t="n">
        <v>45142</v>
      </c>
    </row>
    <row r="17117">
      <c r="A17117" s="215" t="n">
        <v>45145</v>
      </c>
      <c r="B17117" s="216" t="n">
        <v>49.3</v>
      </c>
      <c r="C17117" s="216" t="n">
        <v>65.65000000000001</v>
      </c>
      <c r="D17117" s="216" t="n">
        <v>1.098598957061768</v>
      </c>
      <c r="E17117" s="215" t="n">
        <v>45145</v>
      </c>
      <c r="F17117" s="215" t="n">
        <v>45145</v>
      </c>
    </row>
    <row r="17118">
      <c r="A17118" s="215" t="n">
        <v>45146</v>
      </c>
      <c r="B17118" s="216" t="n">
        <v>47.85</v>
      </c>
      <c r="C17118" s="216" t="n">
        <v>65.73</v>
      </c>
      <c r="D17118" s="216" t="n">
        <v>1.091063976287842</v>
      </c>
      <c r="E17118" s="215" t="n">
        <v>45146</v>
      </c>
      <c r="F17118" s="215" t="n">
        <v>45146</v>
      </c>
    </row>
    <row r="17119">
      <c r="A17119" s="215" t="n">
        <v>45147</v>
      </c>
      <c r="B17119" s="216" t="n">
        <v>47.5</v>
      </c>
      <c r="C17119" s="216" t="n">
        <v>64.91</v>
      </c>
      <c r="D17119" s="216" t="n">
        <v>1.087746977806091</v>
      </c>
      <c r="E17119" s="215" t="n">
        <v>45147</v>
      </c>
      <c r="F17119" s="215" t="n">
        <v>45147</v>
      </c>
    </row>
    <row r="17120">
      <c r="A17120" s="215" t="n">
        <v>45148</v>
      </c>
      <c r="B17120" s="216" t="n">
        <v>48.25</v>
      </c>
      <c r="C17120" s="216" t="n">
        <v>65.28</v>
      </c>
      <c r="D17120" s="216" t="n">
        <v>1.089905977249146</v>
      </c>
      <c r="E17120" s="215" t="n">
        <v>45148</v>
      </c>
      <c r="F17120" s="215" t="n">
        <v>45148</v>
      </c>
    </row>
    <row r="17121">
      <c r="A17121" s="215" t="n">
        <v>45149</v>
      </c>
      <c r="B17121" s="216" t="n">
        <v>47.4</v>
      </c>
      <c r="C17121" s="216" t="n">
        <v>63.77</v>
      </c>
      <c r="D17121" s="216" t="n">
        <v>1.086997985839844</v>
      </c>
      <c r="E17121" s="215" t="n">
        <v>45149</v>
      </c>
      <c r="F17121" s="215" t="n">
        <v>45149</v>
      </c>
    </row>
    <row r="17122">
      <c r="A17122" s="215" t="n">
        <v>45152</v>
      </c>
      <c r="B17122" s="216" t="n">
        <v>47.05</v>
      </c>
      <c r="C17122" s="216" t="n">
        <v>62.17</v>
      </c>
      <c r="D17122" s="216" t="n">
        <v>1.081287026405334</v>
      </c>
      <c r="E17122" s="215" t="n">
        <v>45152</v>
      </c>
      <c r="F17122" s="215" t="n">
        <v>45152</v>
      </c>
    </row>
    <row r="17123">
      <c r="A17123" s="215" t="n">
        <v>45153</v>
      </c>
      <c r="B17123" s="216" t="n">
        <v>46.1</v>
      </c>
      <c r="C17123" s="216" t="n">
        <v>61.66</v>
      </c>
      <c r="D17123" s="216" t="n">
        <v>1.08362603187561</v>
      </c>
      <c r="E17123" s="215" t="n">
        <v>45153</v>
      </c>
      <c r="F17123" s="215" t="n">
        <v>45153</v>
      </c>
    </row>
    <row r="17124">
      <c r="A17124" s="215" t="n">
        <v>45154</v>
      </c>
      <c r="B17124" s="216" t="n">
        <v>45.05</v>
      </c>
      <c r="C17124" s="216" t="n">
        <v>60.81</v>
      </c>
      <c r="D17124" s="216" t="n">
        <v>1.077635049819946</v>
      </c>
      <c r="E17124" s="215" t="n">
        <v>45154</v>
      </c>
      <c r="F17124" s="215" t="n">
        <v>45154</v>
      </c>
    </row>
    <row r="17125">
      <c r="A17125" s="215" t="n">
        <v>45155</v>
      </c>
      <c r="B17125" s="216" t="n">
        <v>46</v>
      </c>
      <c r="C17125" s="216" t="n">
        <v>60.86</v>
      </c>
      <c r="D17125" s="216" t="n">
        <v>1.081539988517761</v>
      </c>
      <c r="E17125" s="215" t="n">
        <v>45155</v>
      </c>
      <c r="F17125" s="215" t="n">
        <v>45155</v>
      </c>
    </row>
    <row r="17126">
      <c r="A17126" s="215" t="n">
        <v>45156</v>
      </c>
      <c r="B17126" s="216" t="n">
        <v>44.7</v>
      </c>
      <c r="C17126" s="216" t="n">
        <v>59.12</v>
      </c>
      <c r="D17126" s="216" t="n">
        <v>1.085598945617676</v>
      </c>
      <c r="E17126" s="215" t="n">
        <v>45156</v>
      </c>
      <c r="F17126" s="215" t="n">
        <v>45156</v>
      </c>
    </row>
    <row r="17127">
      <c r="A17127" s="215" t="n">
        <v>45159</v>
      </c>
      <c r="B17127" s="216" t="n">
        <v>43.8</v>
      </c>
      <c r="C17127" s="216" t="n">
        <v>58.68</v>
      </c>
      <c r="D17127" s="216" t="n">
        <v>1.086933016777039</v>
      </c>
      <c r="E17127" s="215" t="n">
        <v>45159</v>
      </c>
      <c r="F17127" s="215" t="n">
        <v>45159</v>
      </c>
    </row>
    <row r="17128">
      <c r="A17128" s="215" t="n">
        <v>45160</v>
      </c>
      <c r="B17128" s="216" t="n">
        <v>44.55</v>
      </c>
      <c r="C17128" s="216" t="n">
        <v>59.16</v>
      </c>
      <c r="D17128" s="216" t="n">
        <v>1.089496970176697</v>
      </c>
      <c r="E17128" s="215" t="n">
        <v>45160</v>
      </c>
      <c r="F17128" s="215" t="n">
        <v>45160</v>
      </c>
    </row>
    <row r="17129">
      <c r="A17129" s="215" t="n">
        <v>45161</v>
      </c>
      <c r="B17129" s="216" t="n">
        <v>43.45</v>
      </c>
      <c r="C17129" s="216" t="n">
        <v>57.4</v>
      </c>
      <c r="D17129" s="216" t="n">
        <v>1.088055968284607</v>
      </c>
      <c r="E17129" s="215" t="n">
        <v>45161</v>
      </c>
      <c r="F17129" s="215" t="n">
        <v>45161</v>
      </c>
    </row>
    <row r="17130">
      <c r="A17130" s="215" t="n">
        <v>45162</v>
      </c>
      <c r="B17130" s="216" t="n">
        <v>44.35</v>
      </c>
      <c r="C17130" s="216" t="n">
        <v>58.2</v>
      </c>
      <c r="D17130" s="216" t="n">
        <v>1.091747045516968</v>
      </c>
      <c r="E17130" s="215" t="n">
        <v>45162</v>
      </c>
      <c r="F17130" s="215" t="n">
        <v>45162</v>
      </c>
    </row>
    <row r="17131">
      <c r="A17131" s="215" t="n">
        <v>45163</v>
      </c>
      <c r="B17131" s="216" t="n">
        <v>44.15</v>
      </c>
      <c r="C17131" s="216" t="n">
        <v>57</v>
      </c>
      <c r="D17131" s="216" t="n">
        <v>1.091843008995056</v>
      </c>
      <c r="E17131" s="215" t="n">
        <v>45163</v>
      </c>
      <c r="F17131" s="215" t="n">
        <v>45163</v>
      </c>
    </row>
    <row r="17132">
      <c r="A17132" s="215" t="n">
        <v>45166</v>
      </c>
      <c r="B17132" s="216" t="n">
        <v>44</v>
      </c>
      <c r="C17132" s="216" t="n">
        <v>57.38</v>
      </c>
      <c r="D17132" s="216" t="n">
        <v>1.090361952781677</v>
      </c>
      <c r="E17132" s="215" t="n">
        <v>45166</v>
      </c>
      <c r="F17132" s="215" t="n">
        <v>45166</v>
      </c>
    </row>
    <row r="17133">
      <c r="A17133" s="215" t="n">
        <v>45167</v>
      </c>
      <c r="B17133" s="216" t="n">
        <v>45</v>
      </c>
      <c r="C17133" s="216" t="n">
        <v>58.69</v>
      </c>
      <c r="D17133" s="216" t="n">
        <v>1.089699029922485</v>
      </c>
      <c r="E17133" s="215" t="n">
        <v>45167</v>
      </c>
      <c r="F17133" s="215" t="n">
        <v>45167</v>
      </c>
    </row>
    <row r="17134">
      <c r="A17134" s="215" t="n">
        <v>45168</v>
      </c>
      <c r="B17134" s="216" t="n">
        <v>44.65</v>
      </c>
      <c r="C17134" s="216" t="n">
        <v>59.39</v>
      </c>
      <c r="D17134" s="216" t="n">
        <v>1.094905972480774</v>
      </c>
      <c r="E17134" s="215" t="n">
        <v>45168</v>
      </c>
      <c r="F17134" s="215" t="n">
        <v>45168</v>
      </c>
    </row>
    <row r="17135">
      <c r="A17135" s="215" t="n">
        <v>45169</v>
      </c>
      <c r="B17135" s="216" t="n">
        <v>43</v>
      </c>
      <c r="C17135" s="216" t="n">
        <v>57.57</v>
      </c>
      <c r="D17135" s="216" t="n">
        <v>1.092789053916931</v>
      </c>
      <c r="E17135" s="215" t="n">
        <v>45169</v>
      </c>
      <c r="F17135" s="215" t="n">
        <v>45169</v>
      </c>
    </row>
    <row r="17136">
      <c r="A17136" s="215" t="n">
        <v>45173</v>
      </c>
      <c r="B17136" s="216" t="n">
        <v>44.55</v>
      </c>
      <c r="C17136" s="216" t="n">
        <v>59.4</v>
      </c>
      <c r="D17136" s="216" t="n">
        <v>1.090212941169739</v>
      </c>
      <c r="E17136" s="215" t="n">
        <v>45173</v>
      </c>
      <c r="F17136" s="215" t="n">
        <v>45173</v>
      </c>
    </row>
    <row r="17137">
      <c r="A17137" s="215" t="n">
        <v>45174</v>
      </c>
      <c r="B17137" s="216" t="n">
        <v>45.15</v>
      </c>
      <c r="C17137" s="216" t="n">
        <v>59.66</v>
      </c>
      <c r="D17137" s="216" t="n">
        <v>1.094616055488586</v>
      </c>
      <c r="E17137" s="215" t="n">
        <v>45174</v>
      </c>
      <c r="F17137" s="215" t="n">
        <v>45174</v>
      </c>
    </row>
    <row r="17138">
      <c r="A17138" s="215" t="n">
        <v>45175</v>
      </c>
      <c r="B17138" s="216" t="n">
        <v>45.55</v>
      </c>
      <c r="C17138" s="216" t="n">
        <v>59</v>
      </c>
      <c r="D17138" s="216" t="n">
        <v>1.090736985206604</v>
      </c>
      <c r="E17138" s="215" t="n">
        <v>45175</v>
      </c>
      <c r="F17138" s="215" t="n">
        <v>45175</v>
      </c>
    </row>
    <row r="17139">
      <c r="A17139" s="215" t="n">
        <v>45176</v>
      </c>
      <c r="B17139" s="216" t="n">
        <v>44.5</v>
      </c>
      <c r="C17139" s="216" t="n">
        <v>57.3</v>
      </c>
      <c r="D17139" s="216" t="n">
        <v>1.088104963302612</v>
      </c>
      <c r="E17139" s="215" t="n">
        <v>45176</v>
      </c>
      <c r="F17139" s="215" t="n">
        <v>45176</v>
      </c>
    </row>
    <row r="17140">
      <c r="A17140" s="215" t="n">
        <v>45180</v>
      </c>
      <c r="B17140" s="216" t="n">
        <v>44.75</v>
      </c>
      <c r="C17140" s="216" t="n">
        <v>57.28</v>
      </c>
      <c r="D17140" s="216" t="n">
        <v>1.085821986198425</v>
      </c>
      <c r="E17140" s="215" t="n">
        <v>45180</v>
      </c>
      <c r="F17140" s="215" t="n">
        <v>45180</v>
      </c>
    </row>
    <row r="17141">
      <c r="A17141" s="215" t="n">
        <v>45181</v>
      </c>
      <c r="B17141" s="216" t="n">
        <v>45.4</v>
      </c>
      <c r="C17141" s="216" t="n">
        <v>58.63</v>
      </c>
      <c r="D17141" s="216" t="n">
        <v>1.088567018508911</v>
      </c>
      <c r="E17141" s="215" t="n">
        <v>45181</v>
      </c>
      <c r="F17141" s="215" t="n">
        <v>45181</v>
      </c>
    </row>
    <row r="17142">
      <c r="A17142" s="215" t="n">
        <v>45182</v>
      </c>
      <c r="B17142" s="216" t="n">
        <v>44.7</v>
      </c>
      <c r="C17142" s="216" t="n">
        <v>57.75</v>
      </c>
      <c r="D17142" s="216" t="n">
        <v>1.088140964508057</v>
      </c>
      <c r="E17142" s="215" t="n">
        <v>45182</v>
      </c>
      <c r="F17142" s="215" t="n">
        <v>45182</v>
      </c>
    </row>
    <row r="17143">
      <c r="A17143" s="215" t="n">
        <v>45183</v>
      </c>
      <c r="B17143" s="216" t="n">
        <v>43.65</v>
      </c>
      <c r="C17143" s="216" t="n">
        <v>56.85</v>
      </c>
      <c r="D17143" s="216" t="n">
        <v>1.091163039207458</v>
      </c>
      <c r="E17143" s="215" t="n">
        <v>45183</v>
      </c>
      <c r="F17143" s="215" t="n">
        <v>45183</v>
      </c>
    </row>
    <row r="17144">
      <c r="A17144" s="215" t="n">
        <v>45184</v>
      </c>
      <c r="B17144" s="216" t="n">
        <v>43.65</v>
      </c>
      <c r="C17144" s="216" t="n">
        <v>56.1</v>
      </c>
      <c r="D17144" s="216" t="n">
        <v>1.088575005531311</v>
      </c>
      <c r="E17144" s="215" t="n">
        <v>45184</v>
      </c>
      <c r="F17144" s="215" t="n">
        <v>45184</v>
      </c>
    </row>
    <row r="17145">
      <c r="A17145" s="215" t="n">
        <v>45187</v>
      </c>
      <c r="B17145" s="216" t="n">
        <v>43.7</v>
      </c>
      <c r="C17145" s="216" t="n">
        <v>57.66</v>
      </c>
      <c r="D17145" s="216" t="n">
        <v>1.089876055717468</v>
      </c>
      <c r="E17145" s="215" t="n">
        <v>45187</v>
      </c>
      <c r="F17145" s="215" t="n">
        <v>45187</v>
      </c>
    </row>
    <row r="17146">
      <c r="A17146" s="215" t="n">
        <v>45188</v>
      </c>
      <c r="B17146" s="216" t="n">
        <v>43.3</v>
      </c>
      <c r="C17146" s="216" t="n">
        <v>56.33</v>
      </c>
      <c r="D17146" s="216" t="n">
        <v>1.091644048690796</v>
      </c>
      <c r="E17146" s="215" t="n">
        <v>45188</v>
      </c>
      <c r="F17146" s="215" t="n">
        <v>45188</v>
      </c>
    </row>
    <row r="17147">
      <c r="A17147" s="215" t="n">
        <v>45189</v>
      </c>
      <c r="B17147" s="216" t="n">
        <v>43.75</v>
      </c>
      <c r="C17147" s="216" t="n">
        <v>55.31</v>
      </c>
      <c r="D17147" s="216" t="n">
        <v>1.090924978256226</v>
      </c>
      <c r="E17147" s="215" t="n">
        <v>45189</v>
      </c>
      <c r="F17147" s="215" t="n">
        <v>45189</v>
      </c>
    </row>
    <row r="17148">
      <c r="A17148" s="215" t="n">
        <v>45190</v>
      </c>
      <c r="B17148" s="216" t="n">
        <v>44.6</v>
      </c>
      <c r="C17148" s="216" t="n">
        <v>54.5</v>
      </c>
      <c r="D17148" s="216" t="n">
        <v>1.08824098110199</v>
      </c>
      <c r="E17148" s="215" t="n">
        <v>45190</v>
      </c>
      <c r="F17148" s="215" t="n">
        <v>45190</v>
      </c>
    </row>
    <row r="17149">
      <c r="A17149" s="215" t="n">
        <v>45191</v>
      </c>
      <c r="B17149" s="216" t="n">
        <v>44.35</v>
      </c>
      <c r="C17149" s="216" t="n">
        <v>55.85</v>
      </c>
      <c r="D17149" s="216" t="n">
        <v>1.088595986366272</v>
      </c>
      <c r="E17149" s="215" t="n">
        <v>45191</v>
      </c>
      <c r="F17149" s="215" t="n">
        <v>45191</v>
      </c>
    </row>
    <row r="17150">
      <c r="A17150" s="215" t="n">
        <v>45194</v>
      </c>
      <c r="B17150" s="216" t="n">
        <v>43.25</v>
      </c>
      <c r="C17150" s="216" t="n">
        <v>55.15</v>
      </c>
      <c r="D17150" s="216" t="n">
        <v>1.087345004081726</v>
      </c>
      <c r="E17150" s="215" t="n">
        <v>45194</v>
      </c>
      <c r="F17150" s="215" t="n">
        <v>45194</v>
      </c>
    </row>
    <row r="17151">
      <c r="A17151" s="215" t="n">
        <v>45195</v>
      </c>
      <c r="B17151" s="216" t="n">
        <v>42.15</v>
      </c>
      <c r="C17151" s="216" t="n">
        <v>54.01</v>
      </c>
      <c r="D17151" s="216" t="n">
        <v>1.081025958061218</v>
      </c>
      <c r="E17151" s="215" t="n">
        <v>45195</v>
      </c>
      <c r="F17151" s="215" t="n">
        <v>45195</v>
      </c>
    </row>
    <row r="17152">
      <c r="A17152" s="215" t="n">
        <v>45196</v>
      </c>
      <c r="B17152" s="216" t="n">
        <v>42.25</v>
      </c>
      <c r="C17152" s="216" t="n">
        <v>54.61</v>
      </c>
      <c r="D17152" s="216" t="n">
        <v>1.079403042793274</v>
      </c>
      <c r="E17152" s="215" t="n">
        <v>45196</v>
      </c>
      <c r="F17152" s="215" t="n">
        <v>45196</v>
      </c>
    </row>
    <row r="17153">
      <c r="A17153" s="215" t="n">
        <v>45197</v>
      </c>
      <c r="B17153" s="216" t="n">
        <v>42.8</v>
      </c>
      <c r="C17153" s="216" t="n">
        <v>54.93</v>
      </c>
      <c r="D17153" s="216" t="n">
        <v>1.0728440284729</v>
      </c>
      <c r="E17153" s="215" t="n">
        <v>45197</v>
      </c>
      <c r="F17153" s="215" t="n">
        <v>45197</v>
      </c>
    </row>
    <row r="17154">
      <c r="A17154" s="215" t="n">
        <v>45198</v>
      </c>
      <c r="B17154" s="216" t="n">
        <v>43.85</v>
      </c>
      <c r="C17154" s="216" t="n">
        <v>54.93</v>
      </c>
      <c r="D17154" s="216" t="n">
        <v>1.079846978187561</v>
      </c>
      <c r="E17154" s="215" t="n">
        <v>45197</v>
      </c>
      <c r="F17154" s="215" t="n">
        <v>45198</v>
      </c>
    </row>
    <row r="17155">
      <c r="A17155" s="215" t="n">
        <v>45202</v>
      </c>
      <c r="B17155" s="216" t="n">
        <v>42.3</v>
      </c>
      <c r="C17155" s="216" t="n">
        <v>54.93</v>
      </c>
      <c r="D17155" s="216" t="n">
        <v>1.071742057800293</v>
      </c>
      <c r="E17155" s="215" t="n">
        <v>45197</v>
      </c>
      <c r="F17155" s="215" t="n">
        <v>45202</v>
      </c>
    </row>
    <row r="17156">
      <c r="A17156" s="215" t="n">
        <v>45203</v>
      </c>
      <c r="B17156" s="216" t="n">
        <v>41.2</v>
      </c>
      <c r="C17156" s="216" t="n">
        <v>54.93</v>
      </c>
      <c r="D17156" s="216" t="n">
        <v>1.070677042007446</v>
      </c>
      <c r="E17156" s="215" t="n">
        <v>45197</v>
      </c>
      <c r="F17156" s="215" t="n">
        <v>45203</v>
      </c>
    </row>
    <row r="17157">
      <c r="A17157" s="215" t="n">
        <v>45204</v>
      </c>
      <c r="B17157" s="216" t="n">
        <v>40.75</v>
      </c>
      <c r="C17157" s="216" t="n">
        <v>54.93</v>
      </c>
      <c r="D17157" s="216" t="n">
        <v>1.074022054672241</v>
      </c>
      <c r="E17157" s="215" t="n">
        <v>45197</v>
      </c>
      <c r="F17157" s="215" t="n">
        <v>45204</v>
      </c>
    </row>
    <row r="17158">
      <c r="A17158" s="215" t="n">
        <v>45205</v>
      </c>
      <c r="B17158" s="216" t="n">
        <v>40.85</v>
      </c>
      <c r="C17158" s="216" t="n">
        <v>54.93</v>
      </c>
      <c r="D17158" s="216" t="n">
        <v>1.078335046768188</v>
      </c>
      <c r="E17158" s="215" t="n">
        <v>45197</v>
      </c>
      <c r="F17158" s="215" t="n">
        <v>45205</v>
      </c>
    </row>
    <row r="17159">
      <c r="A17159" s="215" t="n">
        <v>45208</v>
      </c>
      <c r="B17159" s="216" t="n">
        <v>40.9</v>
      </c>
      <c r="C17159" s="216" t="n">
        <v>54.16</v>
      </c>
      <c r="D17159" s="216" t="n">
        <v>1.080739974975586</v>
      </c>
      <c r="E17159" s="215" t="n">
        <v>45208</v>
      </c>
      <c r="F17159" s="215" t="n">
        <v>45208</v>
      </c>
    </row>
    <row r="17160">
      <c r="A17160" s="215" t="n">
        <v>45209</v>
      </c>
      <c r="B17160" s="216" t="n">
        <v>43.5</v>
      </c>
      <c r="C17160" s="216" t="n">
        <v>55.88</v>
      </c>
      <c r="D17160" s="216" t="n">
        <v>1.081393003463745</v>
      </c>
      <c r="E17160" s="215" t="n">
        <v>45209</v>
      </c>
      <c r="F17160" s="215" t="n">
        <v>45209</v>
      </c>
    </row>
    <row r="17161">
      <c r="A17161" s="215" t="n">
        <v>45210</v>
      </c>
      <c r="B17161" s="216" t="n">
        <v>42.6</v>
      </c>
      <c r="C17161" s="216" t="n">
        <v>55.41</v>
      </c>
      <c r="D17161" s="216" t="n">
        <v>1.082736968994141</v>
      </c>
      <c r="E17161" s="215" t="n">
        <v>45210</v>
      </c>
      <c r="F17161" s="215" t="n">
        <v>45210</v>
      </c>
    </row>
    <row r="17162">
      <c r="A17162" s="215" t="n">
        <v>45211</v>
      </c>
      <c r="B17162" s="216" t="n">
        <v>46</v>
      </c>
      <c r="C17162" s="216" t="n">
        <v>59.28</v>
      </c>
      <c r="D17162" s="216" t="n">
        <v>1.084743976593018</v>
      </c>
      <c r="E17162" s="215" t="n">
        <v>45211</v>
      </c>
      <c r="F17162" s="215" t="n">
        <v>45211</v>
      </c>
    </row>
    <row r="17163">
      <c r="A17163" s="215" t="n">
        <v>45212</v>
      </c>
      <c r="B17163" s="216" t="n">
        <v>44.95</v>
      </c>
      <c r="C17163" s="216" t="n">
        <v>58.05</v>
      </c>
      <c r="D17163" s="216" t="n">
        <v>1.076364040374756</v>
      </c>
      <c r="E17163" s="215" t="n">
        <v>45212</v>
      </c>
      <c r="F17163" s="215" t="n">
        <v>45212</v>
      </c>
    </row>
    <row r="17164">
      <c r="A17164" s="215" t="n">
        <v>45215</v>
      </c>
      <c r="B17164" s="216" t="n">
        <v>40.5</v>
      </c>
      <c r="C17164" s="216" t="n">
        <v>55.82</v>
      </c>
      <c r="D17164" s="216" t="n">
        <v>1.074789047241211</v>
      </c>
      <c r="E17164" s="215" t="n">
        <v>45215</v>
      </c>
      <c r="F17164" s="215" t="n">
        <v>45215</v>
      </c>
    </row>
    <row r="17165">
      <c r="A17165" s="215" t="n">
        <v>45216</v>
      </c>
      <c r="B17165" s="216" t="n">
        <v>42.95</v>
      </c>
      <c r="C17165" s="216" t="n">
        <v>55.9</v>
      </c>
      <c r="D17165" s="216" t="n">
        <v>1.077306985855103</v>
      </c>
      <c r="E17165" s="215" t="n">
        <v>45216</v>
      </c>
      <c r="F17165" s="215" t="n">
        <v>45216</v>
      </c>
    </row>
    <row r="17166">
      <c r="A17166" s="215" t="n">
        <v>45217</v>
      </c>
      <c r="B17166" s="216" t="n">
        <v>41.85</v>
      </c>
      <c r="C17166" s="216" t="n">
        <v>54.26</v>
      </c>
      <c r="D17166" s="216" t="n">
        <v>1.079851984977722</v>
      </c>
      <c r="E17166" s="215" t="n">
        <v>45217</v>
      </c>
      <c r="F17166" s="215" t="n">
        <v>45217</v>
      </c>
    </row>
    <row r="17167">
      <c r="A17167" s="215" t="n">
        <v>45218</v>
      </c>
      <c r="B17167" s="216" t="n">
        <v>40.75</v>
      </c>
      <c r="C17167" s="216" t="n">
        <v>52.7</v>
      </c>
      <c r="D17167" s="216" t="n">
        <v>1.077018976211548</v>
      </c>
      <c r="E17167" s="215" t="n">
        <v>45218</v>
      </c>
      <c r="F17167" s="215" t="n">
        <v>45218</v>
      </c>
    </row>
    <row r="17168">
      <c r="A17168" s="215" t="n">
        <v>45219</v>
      </c>
      <c r="B17168" s="216" t="n">
        <v>41.45</v>
      </c>
      <c r="C17168" s="216" t="n">
        <v>54.73</v>
      </c>
      <c r="D17168" s="216" t="n">
        <v>1.081383943557739</v>
      </c>
      <c r="E17168" s="215" t="n">
        <v>45219</v>
      </c>
      <c r="F17168" s="215" t="n">
        <v>45219</v>
      </c>
    </row>
    <row r="17169">
      <c r="A17169" s="215" t="n">
        <v>45223</v>
      </c>
      <c r="B17169" s="216" t="n">
        <v>42.05</v>
      </c>
      <c r="C17169" s="216" t="n">
        <v>53.39</v>
      </c>
      <c r="D17169" s="216" t="n">
        <v>1.090018033981323</v>
      </c>
      <c r="E17169" s="215" t="n">
        <v>45223</v>
      </c>
      <c r="F17169" s="215" t="n">
        <v>45223</v>
      </c>
    </row>
    <row r="17170">
      <c r="A17170" s="215" t="n">
        <v>45224</v>
      </c>
      <c r="B17170" s="216" t="n">
        <v>41.4</v>
      </c>
      <c r="C17170" s="216" t="n">
        <v>52.9</v>
      </c>
      <c r="D17170" s="216" t="n">
        <v>1.08238697052002</v>
      </c>
      <c r="E17170" s="215" t="n">
        <v>45224</v>
      </c>
      <c r="F17170" s="215" t="n">
        <v>45224</v>
      </c>
    </row>
    <row r="17171">
      <c r="A17171" s="215" t="n">
        <v>45225</v>
      </c>
      <c r="B17171" s="216" t="n">
        <v>40.85</v>
      </c>
      <c r="C17171" s="216" t="n">
        <v>52.4</v>
      </c>
      <c r="D17171" s="216" t="n">
        <v>1.079262971878052</v>
      </c>
      <c r="E17171" s="215" t="n">
        <v>45225</v>
      </c>
      <c r="F17171" s="215" t="n">
        <v>45225</v>
      </c>
    </row>
    <row r="17172">
      <c r="A17172" s="215" t="n">
        <v>45226</v>
      </c>
      <c r="B17172" s="216" t="n">
        <v>43.3</v>
      </c>
      <c r="C17172" s="216" t="n">
        <v>55.6</v>
      </c>
      <c r="D17172" s="216" t="n">
        <v>1.078766942024231</v>
      </c>
      <c r="E17172" s="215" t="n">
        <v>45226</v>
      </c>
      <c r="F17172" s="215" t="n">
        <v>45226</v>
      </c>
    </row>
    <row r="17173">
      <c r="A17173" s="215" t="n">
        <v>45229</v>
      </c>
      <c r="B17173" s="216" t="n">
        <v>43.85</v>
      </c>
      <c r="C17173" s="216" t="n">
        <v>55.9</v>
      </c>
      <c r="D17173" s="216" t="n">
        <v>1.078732967376709</v>
      </c>
      <c r="E17173" s="215" t="n">
        <v>45229</v>
      </c>
      <c r="F17173" s="215" t="n">
        <v>45229</v>
      </c>
    </row>
    <row r="17174">
      <c r="A17174" s="215" t="n">
        <v>45230</v>
      </c>
      <c r="B17174" s="216" t="n">
        <v>42.2</v>
      </c>
      <c r="C17174" s="216" t="n">
        <v>55</v>
      </c>
      <c r="D17174" s="216" t="n">
        <v>1.083860993385315</v>
      </c>
      <c r="E17174" s="215" t="n">
        <v>45230</v>
      </c>
      <c r="F17174" s="215" t="n">
        <v>45230</v>
      </c>
    </row>
    <row r="17175">
      <c r="A17175" s="215" t="n">
        <v>45231</v>
      </c>
      <c r="B17175" s="216" t="n">
        <v>41.4</v>
      </c>
      <c r="C17175" s="216" t="n">
        <v>53.61</v>
      </c>
      <c r="D17175" s="216" t="n">
        <v>1.080816030502319</v>
      </c>
      <c r="E17175" s="215" t="n">
        <v>45231</v>
      </c>
      <c r="F17175" s="215" t="n">
        <v>45231</v>
      </c>
    </row>
    <row r="17176">
      <c r="A17176" s="215" t="n">
        <v>45232</v>
      </c>
      <c r="B17176" s="216" t="n">
        <v>40</v>
      </c>
      <c r="C17176" s="216" t="n">
        <v>52.45</v>
      </c>
      <c r="D17176" s="216" t="n">
        <v>1.081329941749573</v>
      </c>
      <c r="E17176" s="215" t="n">
        <v>45232</v>
      </c>
      <c r="F17176" s="215" t="n">
        <v>45232</v>
      </c>
    </row>
    <row r="17177">
      <c r="A17177" s="215" t="n">
        <v>45233</v>
      </c>
      <c r="B17177" s="216" t="n">
        <v>41.4</v>
      </c>
      <c r="C17177" s="216" t="n">
        <v>53.04</v>
      </c>
      <c r="D17177" s="216" t="n">
        <v>1.084671974182129</v>
      </c>
      <c r="E17177" s="215" t="n">
        <v>45233</v>
      </c>
      <c r="F17177" s="215" t="n">
        <v>45233</v>
      </c>
    </row>
    <row r="17178">
      <c r="A17178" s="215" t="n">
        <v>45236</v>
      </c>
      <c r="B17178" s="216" t="n">
        <v>43.6</v>
      </c>
      <c r="C17178" s="216" t="n">
        <v>54.96</v>
      </c>
      <c r="D17178" s="216" t="n">
        <v>1.096359014511108</v>
      </c>
      <c r="E17178" s="215" t="n">
        <v>45236</v>
      </c>
      <c r="F17178" s="215" t="n">
        <v>45236</v>
      </c>
    </row>
    <row r="17179">
      <c r="A17179" s="215" t="n">
        <v>45237</v>
      </c>
      <c r="B17179" s="216" t="n">
        <v>42.3</v>
      </c>
      <c r="C17179" s="216" t="n">
        <v>54.7</v>
      </c>
      <c r="D17179" s="216" t="n">
        <v>1.094547033309937</v>
      </c>
      <c r="E17179" s="215" t="n">
        <v>45237</v>
      </c>
      <c r="F17179" s="215" t="n">
        <v>45237</v>
      </c>
    </row>
    <row r="17180">
      <c r="A17180" s="215" t="n">
        <v>45238</v>
      </c>
      <c r="B17180" s="216" t="n">
        <v>42.55</v>
      </c>
      <c r="C17180" s="216" t="n">
        <v>54.8</v>
      </c>
      <c r="D17180" s="216" t="n">
        <v>1.092092037200928</v>
      </c>
      <c r="E17180" s="215" t="n">
        <v>45238</v>
      </c>
      <c r="F17180" s="215" t="n">
        <v>45238</v>
      </c>
    </row>
    <row r="17181">
      <c r="A17181" s="215" t="n">
        <v>45239</v>
      </c>
      <c r="B17181" s="216" t="n">
        <v>42.3</v>
      </c>
      <c r="C17181" s="216" t="n">
        <v>55.09</v>
      </c>
      <c r="D17181" s="216" t="n">
        <v>1.092741012573242</v>
      </c>
      <c r="E17181" s="215" t="n">
        <v>45239</v>
      </c>
      <c r="F17181" s="215" t="n">
        <v>45239</v>
      </c>
    </row>
    <row r="17182">
      <c r="A17182" s="215" t="n">
        <v>45240</v>
      </c>
      <c r="B17182" s="216" t="n">
        <v>41.3</v>
      </c>
      <c r="C17182" s="216" t="n">
        <v>54.66</v>
      </c>
      <c r="D17182" s="216" t="n">
        <v>1.087584972381592</v>
      </c>
      <c r="E17182" s="215" t="n">
        <v>45240</v>
      </c>
      <c r="F17182" s="215" t="n">
        <v>45240</v>
      </c>
    </row>
    <row r="17183">
      <c r="A17183" s="215" t="n">
        <v>45243</v>
      </c>
      <c r="B17183" s="216" t="n">
        <v>41.15</v>
      </c>
      <c r="C17183" s="216" t="n">
        <v>54.16</v>
      </c>
      <c r="D17183" s="216" t="n">
        <v>1.090304970741272</v>
      </c>
      <c r="E17183" s="215" t="n">
        <v>45243</v>
      </c>
      <c r="F17183" s="215" t="n">
        <v>45243</v>
      </c>
    </row>
    <row r="17184">
      <c r="A17184" s="215" t="n">
        <v>45244</v>
      </c>
      <c r="B17184" s="216" t="n">
        <v>39.5</v>
      </c>
      <c r="C17184" s="216" t="n">
        <v>53.62</v>
      </c>
      <c r="D17184" s="216" t="n">
        <v>1.091066956520081</v>
      </c>
      <c r="E17184" s="215" t="n">
        <v>45244</v>
      </c>
      <c r="F17184" s="215" t="n">
        <v>45244</v>
      </c>
    </row>
    <row r="17185">
      <c r="A17185" s="215" t="n">
        <v>45245</v>
      </c>
      <c r="B17185" s="216" t="n">
        <v>41.5</v>
      </c>
      <c r="C17185" s="216" t="n">
        <v>55.54</v>
      </c>
      <c r="D17185" s="216" t="n">
        <v>1.108688950538635</v>
      </c>
      <c r="E17185" s="215" t="n">
        <v>45245</v>
      </c>
      <c r="F17185" s="215" t="n">
        <v>45245</v>
      </c>
    </row>
    <row r="17186">
      <c r="A17186" s="215" t="n">
        <v>45246</v>
      </c>
      <c r="B17186" s="216" t="n">
        <v>41.6</v>
      </c>
      <c r="C17186" s="216" t="n">
        <v>54.15</v>
      </c>
      <c r="D17186" s="216" t="n">
        <v>1.106451988220215</v>
      </c>
      <c r="E17186" s="215" t="n">
        <v>45246</v>
      </c>
      <c r="F17186" s="215" t="n">
        <v>45246</v>
      </c>
    </row>
    <row r="17187">
      <c r="A17187" s="215" t="n">
        <v>45247</v>
      </c>
      <c r="B17187" s="216" t="n">
        <v>41.15</v>
      </c>
      <c r="C17187" s="216" t="n">
        <v>54.11</v>
      </c>
      <c r="D17187" s="216" t="n">
        <v>1.105692982673645</v>
      </c>
      <c r="E17187" s="215" t="n">
        <v>45247</v>
      </c>
      <c r="F17187" s="215" t="n">
        <v>45247</v>
      </c>
    </row>
    <row r="17188">
      <c r="A17188" s="215" t="n">
        <v>45250</v>
      </c>
      <c r="B17188" s="216" t="n">
        <v>41.6</v>
      </c>
      <c r="C17188" s="216" t="n">
        <v>54.06</v>
      </c>
      <c r="D17188" s="216" t="n">
        <v>1.110219955444336</v>
      </c>
      <c r="E17188" s="215" t="n">
        <v>45250</v>
      </c>
      <c r="F17188" s="215" t="n">
        <v>45250</v>
      </c>
    </row>
    <row r="17189">
      <c r="A17189" s="215" t="n">
        <v>45251</v>
      </c>
      <c r="B17189" s="216" t="n">
        <v>41.5</v>
      </c>
      <c r="C17189" s="216" t="n">
        <v>53.61</v>
      </c>
      <c r="D17189" s="216" t="n">
        <v>1.113530039787292</v>
      </c>
      <c r="E17189" s="215" t="n">
        <v>45251</v>
      </c>
      <c r="F17189" s="215" t="n">
        <v>45251</v>
      </c>
    </row>
    <row r="17190">
      <c r="A17190" s="215" t="n">
        <v>45252</v>
      </c>
      <c r="B17190" s="216" t="n">
        <v>40.2</v>
      </c>
      <c r="C17190" s="216" t="n">
        <v>52.09</v>
      </c>
      <c r="D17190" s="216" t="n">
        <v>1.11102294921875</v>
      </c>
      <c r="E17190" s="215" t="n">
        <v>45252</v>
      </c>
      <c r="F17190" s="215" t="n">
        <v>45252</v>
      </c>
    </row>
    <row r="17191">
      <c r="A17191" s="215" t="n">
        <v>45253</v>
      </c>
      <c r="B17191" s="216" t="n">
        <v>40.25</v>
      </c>
      <c r="C17191" s="216" t="n">
        <v>52.37</v>
      </c>
      <c r="D17191" s="216" t="n">
        <v>1.10846996307373</v>
      </c>
      <c r="E17191" s="215" t="n">
        <v>45253</v>
      </c>
      <c r="F17191" s="215" t="n">
        <v>45253</v>
      </c>
    </row>
    <row r="17192">
      <c r="A17192" s="215" t="n">
        <v>45254</v>
      </c>
      <c r="B17192" s="216" t="n">
        <v>40.9</v>
      </c>
      <c r="C17192" s="216" t="n">
        <v>51.88</v>
      </c>
      <c r="D17192" s="216" t="n">
        <v>1.110196948051453</v>
      </c>
      <c r="E17192" s="215" t="n">
        <v>45254</v>
      </c>
      <c r="F17192" s="215" t="n">
        <v>45254</v>
      </c>
    </row>
    <row r="17193">
      <c r="A17193" s="215" t="n">
        <v>45257</v>
      </c>
      <c r="B17193" s="216" t="n">
        <v>40.6</v>
      </c>
      <c r="C17193" s="216" t="n">
        <v>50.39</v>
      </c>
      <c r="D17193" s="216" t="n">
        <v>1.113034963607788</v>
      </c>
      <c r="E17193" s="215" t="n">
        <v>45257</v>
      </c>
      <c r="F17193" s="215" t="n">
        <v>45257</v>
      </c>
    </row>
    <row r="17194">
      <c r="A17194" s="215" t="n">
        <v>45258</v>
      </c>
      <c r="B17194" s="216" t="n">
        <v>40</v>
      </c>
      <c r="C17194" s="216" t="n">
        <v>50.42</v>
      </c>
      <c r="D17194" s="216" t="n">
        <v>1.114474058151245</v>
      </c>
      <c r="E17194" s="215" t="n">
        <v>45258</v>
      </c>
      <c r="F17194" s="215" t="n">
        <v>45258</v>
      </c>
    </row>
    <row r="17195">
      <c r="A17195" s="215" t="n">
        <v>45259</v>
      </c>
      <c r="B17195" s="216" t="n">
        <v>39.45</v>
      </c>
      <c r="C17195" s="216" t="n">
        <v>50.32</v>
      </c>
      <c r="D17195" s="216" t="n">
        <v>1.119948983192444</v>
      </c>
      <c r="E17195" s="215" t="n">
        <v>45259</v>
      </c>
      <c r="F17195" s="215" t="n">
        <v>45259</v>
      </c>
    </row>
    <row r="17196">
      <c r="A17196" s="215" t="n">
        <v>45260</v>
      </c>
      <c r="B17196" s="216" t="n">
        <v>38.15</v>
      </c>
      <c r="C17196" s="216" t="n">
        <v>50.08</v>
      </c>
      <c r="D17196" s="216" t="n">
        <v>1.118155956268311</v>
      </c>
      <c r="E17196" s="215" t="n">
        <v>45260</v>
      </c>
      <c r="F17196" s="215" t="n">
        <v>45260</v>
      </c>
    </row>
    <row r="17197">
      <c r="A17197" s="215" t="n">
        <v>45261</v>
      </c>
      <c r="B17197" s="216" t="n">
        <v>37.05</v>
      </c>
      <c r="C17197" s="216" t="n">
        <v>50.12</v>
      </c>
      <c r="D17197" s="216" t="n">
        <v>1.110759019851685</v>
      </c>
      <c r="E17197" s="215" t="n">
        <v>45261</v>
      </c>
      <c r="F17197" s="215" t="n">
        <v>45261</v>
      </c>
    </row>
    <row r="17198">
      <c r="A17198" s="215" t="n">
        <v>45264</v>
      </c>
      <c r="B17198" s="216" t="n">
        <v>37.55</v>
      </c>
      <c r="C17198" s="216" t="n">
        <v>50.64</v>
      </c>
      <c r="D17198" s="216" t="n">
        <v>1.110934019088745</v>
      </c>
      <c r="E17198" s="215" t="n">
        <v>45264</v>
      </c>
      <c r="F17198" s="215" t="n">
        <v>45264</v>
      </c>
    </row>
    <row r="17199">
      <c r="A17199" s="215" t="n">
        <v>45265</v>
      </c>
      <c r="B17199" s="216" t="n">
        <v>37.95</v>
      </c>
      <c r="C17199" s="216" t="n">
        <v>51.13</v>
      </c>
      <c r="D17199" s="216" t="n">
        <v>1.105996012687683</v>
      </c>
      <c r="E17199" s="215" t="n">
        <v>45265</v>
      </c>
      <c r="F17199" s="215" t="n">
        <v>45265</v>
      </c>
    </row>
    <row r="17200">
      <c r="A17200" s="215" t="n">
        <v>45266</v>
      </c>
      <c r="B17200" s="216" t="n">
        <v>40.4</v>
      </c>
      <c r="C17200" s="216" t="n">
        <v>55.98</v>
      </c>
      <c r="D17200" s="216" t="n">
        <v>1.101930975914001</v>
      </c>
      <c r="E17200" s="215" t="n">
        <v>45266</v>
      </c>
      <c r="F17200" s="215" t="n">
        <v>45266</v>
      </c>
    </row>
    <row r="17201">
      <c r="A17201" s="215" t="n">
        <v>45267</v>
      </c>
      <c r="B17201" s="216" t="n">
        <v>40.7</v>
      </c>
      <c r="C17201" s="216" t="n">
        <v>56.23</v>
      </c>
      <c r="D17201" s="216" t="n">
        <v>1.098016023635864</v>
      </c>
      <c r="E17201" s="215" t="n">
        <v>45267</v>
      </c>
      <c r="F17201" s="215" t="n">
        <v>45267</v>
      </c>
    </row>
    <row r="17202">
      <c r="A17202" s="215" t="n">
        <v>45268</v>
      </c>
      <c r="B17202" s="216" t="n">
        <v>39.95</v>
      </c>
      <c r="C17202" s="216" t="n">
        <v>55.6</v>
      </c>
      <c r="D17202" s="216" t="n">
        <v>1.100576043128967</v>
      </c>
      <c r="E17202" s="215" t="n">
        <v>45268</v>
      </c>
      <c r="F17202" s="215" t="n">
        <v>45268</v>
      </c>
    </row>
    <row r="17203">
      <c r="A17203" s="215" t="n">
        <v>45271</v>
      </c>
      <c r="B17203" s="216" t="n">
        <v>38.45</v>
      </c>
      <c r="C17203" s="216" t="n">
        <v>53.44</v>
      </c>
      <c r="D17203" s="216" t="n">
        <v>1.097795963287354</v>
      </c>
      <c r="E17203" s="215" t="n">
        <v>45271</v>
      </c>
      <c r="F17203" s="215" t="n">
        <v>45271</v>
      </c>
    </row>
    <row r="17204">
      <c r="A17204" s="215" t="n">
        <v>45272</v>
      </c>
      <c r="B17204" s="216" t="n">
        <v>37.6</v>
      </c>
      <c r="C17204" s="216" t="n">
        <v>52.72</v>
      </c>
      <c r="D17204" s="216" t="n">
        <v>1.097154974937439</v>
      </c>
      <c r="E17204" s="215" t="n">
        <v>45272</v>
      </c>
      <c r="F17204" s="215" t="n">
        <v>45272</v>
      </c>
    </row>
    <row r="17205">
      <c r="A17205" s="215" t="n">
        <v>45273</v>
      </c>
      <c r="B17205" s="216" t="n">
        <v>38</v>
      </c>
      <c r="C17205" s="216" t="n">
        <v>51.94</v>
      </c>
      <c r="D17205" s="216" t="n">
        <v>1.101083993911743</v>
      </c>
      <c r="E17205" s="215" t="n">
        <v>45273</v>
      </c>
      <c r="F17205" s="215" t="n">
        <v>45273</v>
      </c>
    </row>
    <row r="17206">
      <c r="A17206" s="215" t="n">
        <v>45274</v>
      </c>
      <c r="B17206" s="216" t="n">
        <v>38.35</v>
      </c>
      <c r="C17206" s="216" t="n">
        <v>51.98</v>
      </c>
      <c r="D17206" s="216" t="n">
        <v>1.109936952590942</v>
      </c>
      <c r="E17206" s="215" t="n">
        <v>45274</v>
      </c>
      <c r="F17206" s="215" t="n">
        <v>45274</v>
      </c>
    </row>
    <row r="17207">
      <c r="A17207" s="215" t="n">
        <v>45275</v>
      </c>
      <c r="B17207" s="216" t="n">
        <v>40.5</v>
      </c>
      <c r="C17207" s="216" t="n">
        <v>53.55</v>
      </c>
      <c r="D17207" s="216" t="n">
        <v>1.120489954948425</v>
      </c>
      <c r="E17207" s="215" t="n">
        <v>45275</v>
      </c>
      <c r="F17207" s="215" t="n">
        <v>45275</v>
      </c>
    </row>
    <row r="17208">
      <c r="A17208" s="215" t="n">
        <v>45278</v>
      </c>
      <c r="B17208" s="216" t="n">
        <v>39.4</v>
      </c>
      <c r="C17208" s="216" t="n">
        <v>52.8</v>
      </c>
      <c r="D17208" s="216" t="n">
        <v>1.110012054443359</v>
      </c>
      <c r="E17208" s="215" t="n">
        <v>45278</v>
      </c>
      <c r="F17208" s="215" t="n">
        <v>45278</v>
      </c>
    </row>
    <row r="17209">
      <c r="A17209" s="215" t="n">
        <v>45279</v>
      </c>
      <c r="B17209" s="216" t="n">
        <v>39.55</v>
      </c>
      <c r="C17209" s="216" t="n">
        <v>52.49</v>
      </c>
      <c r="D17209" s="216" t="n">
        <v>1.111768007278442</v>
      </c>
      <c r="E17209" s="215" t="n">
        <v>45279</v>
      </c>
      <c r="F17209" s="215" t="n">
        <v>45279</v>
      </c>
    </row>
    <row r="17210">
      <c r="A17210" s="215" t="n">
        <v>45280</v>
      </c>
      <c r="B17210" s="216" t="n">
        <v>39</v>
      </c>
      <c r="C17210" s="216" t="n">
        <v>51.5</v>
      </c>
      <c r="D17210" s="216" t="n">
        <v>1.118278980255127</v>
      </c>
      <c r="E17210" s="215" t="n">
        <v>45280</v>
      </c>
      <c r="F17210" s="215" t="n">
        <v>45280</v>
      </c>
    </row>
    <row r="17211">
      <c r="A17211" s="215" t="n">
        <v>45281</v>
      </c>
      <c r="B17211" s="216" t="n">
        <v>39</v>
      </c>
      <c r="C17211" s="216" t="n">
        <v>52.12</v>
      </c>
      <c r="D17211" s="216" t="n">
        <v>1.115596055984497</v>
      </c>
      <c r="E17211" s="215" t="n">
        <v>45281</v>
      </c>
      <c r="F17211" s="215" t="n">
        <v>45281</v>
      </c>
    </row>
    <row r="17212">
      <c r="A17212" s="215" t="n">
        <v>45282</v>
      </c>
      <c r="B17212" s="216" t="n">
        <v>40.25</v>
      </c>
      <c r="C17212" s="216" t="n">
        <v>54.09</v>
      </c>
      <c r="D17212" s="216" t="n">
        <v>1.122302055358887</v>
      </c>
      <c r="E17212" s="215" t="n">
        <v>45282</v>
      </c>
      <c r="F17212" s="215" t="n">
        <v>45282</v>
      </c>
    </row>
    <row r="17213">
      <c r="A17213" s="215" t="n">
        <v>45287</v>
      </c>
      <c r="B17213" s="216" t="n">
        <v>41.35</v>
      </c>
      <c r="C17213" s="216" t="n">
        <v>53.5</v>
      </c>
      <c r="D17213" s="216" t="n">
        <v>1.125676989555359</v>
      </c>
      <c r="E17213" s="215" t="n">
        <v>45287</v>
      </c>
      <c r="F17213" s="215" t="n">
        <v>45287</v>
      </c>
    </row>
    <row r="17214">
      <c r="A17214" s="215" t="n">
        <v>45288</v>
      </c>
      <c r="B17214" s="216" t="n">
        <v>43.25</v>
      </c>
      <c r="C17214" s="216" t="n">
        <v>56.67</v>
      </c>
      <c r="D17214" s="216" t="n">
        <v>1.132581949234009</v>
      </c>
      <c r="E17214" s="215" t="n">
        <v>45288</v>
      </c>
      <c r="F17214" s="215" t="n">
        <v>45288</v>
      </c>
    </row>
    <row r="17215">
      <c r="A17215" s="215" t="n">
        <v>45289</v>
      </c>
      <c r="B17215" s="216" t="n">
        <v>43.15</v>
      </c>
      <c r="C17215" s="216" t="n">
        <v>55.79</v>
      </c>
      <c r="D17215" s="216" t="n">
        <v>1.128918051719666</v>
      </c>
      <c r="E17215" s="215" t="n">
        <v>45289</v>
      </c>
      <c r="F17215" s="215" t="n">
        <v>45289</v>
      </c>
    </row>
    <row r="17216">
      <c r="A17216" s="215" t="n">
        <v>45293</v>
      </c>
      <c r="B17216" s="216" t="n">
        <v>43.15</v>
      </c>
      <c r="C17216" s="216" t="n">
        <v>55.42</v>
      </c>
      <c r="D17216" s="216" t="n">
        <v>1.125501990318298</v>
      </c>
      <c r="E17216" s="215" t="n">
        <v>45293</v>
      </c>
      <c r="F17216" s="215" t="n">
        <v>45293</v>
      </c>
    </row>
    <row r="17217">
      <c r="A17217" s="215" t="n">
        <v>45294</v>
      </c>
      <c r="B17217" s="216" t="n">
        <v>42.6</v>
      </c>
      <c r="C17217" s="216" t="n">
        <v>55.32</v>
      </c>
      <c r="D17217" s="216" t="n">
        <v>1.116525053977966</v>
      </c>
      <c r="E17217" s="215" t="n">
        <v>45294</v>
      </c>
      <c r="F17217" s="215" t="n">
        <v>45294</v>
      </c>
    </row>
    <row r="17218">
      <c r="A17218" s="215" t="n">
        <v>45295</v>
      </c>
      <c r="B17218" s="216" t="n">
        <v>41.55</v>
      </c>
      <c r="C17218" s="216" t="n">
        <v>53.66</v>
      </c>
      <c r="D17218" s="216" t="n">
        <v>1.113739013671875</v>
      </c>
      <c r="E17218" s="215" t="n">
        <v>45295</v>
      </c>
      <c r="F17218" s="215" t="n">
        <v>45295</v>
      </c>
    </row>
    <row r="17219">
      <c r="A17219" s="215" t="n">
        <v>45296</v>
      </c>
      <c r="B17219" s="216" t="n">
        <v>41.8</v>
      </c>
      <c r="C17219" s="216" t="n">
        <v>54</v>
      </c>
      <c r="D17219" s="216" t="n">
        <v>1.116189956665039</v>
      </c>
      <c r="E17219" s="215" t="n">
        <v>45296</v>
      </c>
      <c r="F17219" s="215" t="n">
        <v>45296</v>
      </c>
    </row>
    <row r="17220">
      <c r="A17220" s="215" t="n">
        <v>45299</v>
      </c>
      <c r="B17220" s="216" t="n">
        <v>41.3</v>
      </c>
      <c r="C17220" s="216" t="n">
        <v>53.65</v>
      </c>
      <c r="D17220" s="216" t="n">
        <v>1.116019010543823</v>
      </c>
      <c r="E17220" s="215" t="n">
        <v>45299</v>
      </c>
      <c r="F17220" s="215" t="n">
        <v>45299</v>
      </c>
    </row>
    <row r="17221">
      <c r="A17221" s="215" t="n">
        <v>45300</v>
      </c>
      <c r="B17221" s="216" t="n">
        <v>41.1</v>
      </c>
      <c r="C17221" s="216" t="n">
        <v>55.21</v>
      </c>
      <c r="D17221" s="216" t="n">
        <v>1.116075992584229</v>
      </c>
      <c r="E17221" s="215" t="n">
        <v>45300</v>
      </c>
      <c r="F17221" s="215" t="n">
        <v>45300</v>
      </c>
    </row>
    <row r="17222">
      <c r="A17222" s="215" t="n">
        <v>45301</v>
      </c>
      <c r="B17222" s="216" t="n">
        <v>40.95</v>
      </c>
      <c r="C17222" s="216" t="n">
        <v>55.44</v>
      </c>
      <c r="D17222" s="216" t="n">
        <v>1.115636944770813</v>
      </c>
      <c r="E17222" s="215" t="n">
        <v>45301</v>
      </c>
      <c r="F17222" s="215" t="n">
        <v>45301</v>
      </c>
    </row>
    <row r="17223">
      <c r="A17223" s="215" t="n">
        <v>45302</v>
      </c>
      <c r="B17223" s="216" t="n">
        <v>42.65</v>
      </c>
      <c r="C17223" s="216" t="n">
        <v>59.82</v>
      </c>
      <c r="D17223" s="216" t="n">
        <v>1.120515942573547</v>
      </c>
      <c r="E17223" s="215" t="n">
        <v>45302</v>
      </c>
      <c r="F17223" s="215" t="n">
        <v>45302</v>
      </c>
    </row>
    <row r="17224">
      <c r="A17224" s="215" t="n">
        <v>45303</v>
      </c>
      <c r="B17224" s="216" t="n">
        <v>42.3</v>
      </c>
      <c r="C17224" s="216" t="n">
        <v>58.15</v>
      </c>
      <c r="D17224" s="216" t="n">
        <v>1.120725035667419</v>
      </c>
      <c r="E17224" s="215" t="n">
        <v>45303</v>
      </c>
      <c r="F17224" s="215" t="n">
        <v>45303</v>
      </c>
    </row>
    <row r="17225">
      <c r="A17225" s="215" t="n">
        <v>45306</v>
      </c>
      <c r="B17225" s="216" t="n">
        <v>41.65</v>
      </c>
      <c r="C17225" s="216" t="n">
        <v>57.58</v>
      </c>
      <c r="D17225" s="216" t="n">
        <v>1.117622017860413</v>
      </c>
      <c r="E17225" s="215" t="n">
        <v>45306</v>
      </c>
      <c r="F17225" s="215" t="n">
        <v>45306</v>
      </c>
    </row>
    <row r="17226">
      <c r="A17226" s="215" t="n">
        <v>45307</v>
      </c>
      <c r="B17226" s="216" t="n">
        <v>42</v>
      </c>
      <c r="C17226" s="216" t="n">
        <v>58.07</v>
      </c>
      <c r="D17226" s="216" t="n">
        <v>1.118000030517578</v>
      </c>
      <c r="E17226" s="215" t="n">
        <v>45307</v>
      </c>
      <c r="F17226" s="215" t="n">
        <v>45307</v>
      </c>
    </row>
    <row r="17227">
      <c r="A17227" s="215" t="n">
        <v>45308</v>
      </c>
      <c r="B17227" s="216" t="n">
        <v>39</v>
      </c>
      <c r="C17227" s="216" t="n">
        <v>56.5</v>
      </c>
      <c r="D17227" s="216" t="n">
        <v>1.111650943756104</v>
      </c>
      <c r="E17227" s="215" t="n">
        <v>45308</v>
      </c>
      <c r="F17227" s="215" t="n">
        <v>45308</v>
      </c>
    </row>
    <row r="17228">
      <c r="A17228" s="215" t="n">
        <v>45309</v>
      </c>
      <c r="B17228" s="216" t="n">
        <v>39.8</v>
      </c>
      <c r="C17228" s="216" t="n">
        <v>58.38</v>
      </c>
      <c r="D17228" s="216" t="n">
        <v>1.111701965332031</v>
      </c>
      <c r="E17228" s="215" t="n">
        <v>45309</v>
      </c>
      <c r="F17228" s="215" t="n">
        <v>45309</v>
      </c>
    </row>
    <row r="17229">
      <c r="A17229" s="215" t="n">
        <v>45310</v>
      </c>
      <c r="B17229" s="216" t="n">
        <v>38.55</v>
      </c>
      <c r="C17229" s="216" t="n">
        <v>57.45</v>
      </c>
      <c r="D17229" s="216" t="n">
        <v>1.111027956008911</v>
      </c>
      <c r="E17229" s="215" t="n">
        <v>45310</v>
      </c>
      <c r="F17229" s="215" t="n">
        <v>45310</v>
      </c>
    </row>
    <row r="17230">
      <c r="A17230" s="215" t="n">
        <v>45313</v>
      </c>
      <c r="B17230" s="216" t="n">
        <v>37</v>
      </c>
      <c r="C17230" s="216" t="n">
        <v>55</v>
      </c>
      <c r="D17230" s="216" t="n">
        <v>1.111721038818359</v>
      </c>
      <c r="E17230" s="215" t="n">
        <v>45313</v>
      </c>
      <c r="F17230" s="215" t="n">
        <v>45313</v>
      </c>
    </row>
    <row r="17231">
      <c r="A17231" s="215" t="n">
        <v>45314</v>
      </c>
      <c r="B17231" s="216" t="n">
        <v>37.3</v>
      </c>
      <c r="C17231" s="216" t="n">
        <v>55.58</v>
      </c>
      <c r="D17231" s="216" t="n">
        <v>1.110329031944275</v>
      </c>
      <c r="E17231" s="215" t="n">
        <v>45314</v>
      </c>
      <c r="F17231" s="215" t="n">
        <v>45314</v>
      </c>
    </row>
    <row r="17232">
      <c r="A17232" s="215" t="n">
        <v>45315</v>
      </c>
      <c r="B17232" s="216" t="n">
        <v>38.6</v>
      </c>
      <c r="C17232" s="216" t="n">
        <v>55.3</v>
      </c>
      <c r="D17232" s="216" t="n">
        <v>1.108868002891541</v>
      </c>
      <c r="E17232" s="215" t="n">
        <v>45315</v>
      </c>
      <c r="F17232" s="215" t="n">
        <v>45315</v>
      </c>
    </row>
    <row r="17233">
      <c r="A17233" s="215" t="n">
        <v>45316</v>
      </c>
      <c r="B17233" s="216" t="n">
        <v>39.85</v>
      </c>
      <c r="C17233" s="216" t="n">
        <v>56.01</v>
      </c>
      <c r="D17233" s="216" t="n">
        <v>1.110738039016724</v>
      </c>
      <c r="E17233" s="215" t="n">
        <v>45316</v>
      </c>
      <c r="F17233" s="215" t="n">
        <v>45316</v>
      </c>
    </row>
    <row r="17234">
      <c r="A17234" s="215" t="n">
        <v>45317</v>
      </c>
      <c r="B17234" s="216" t="n">
        <v>39.05</v>
      </c>
      <c r="C17234" s="216" t="n">
        <v>54.8</v>
      </c>
      <c r="D17234" s="216" t="n">
        <v>1.10723602771759</v>
      </c>
      <c r="E17234" s="215" t="n">
        <v>45317</v>
      </c>
      <c r="F17234" s="215" t="n">
        <v>45317</v>
      </c>
    </row>
    <row r="17235">
      <c r="A17235" s="215" t="n">
        <v>45320</v>
      </c>
      <c r="B17235" s="216" t="n">
        <v>37.45</v>
      </c>
      <c r="C17235" s="216" t="n">
        <v>51.01</v>
      </c>
      <c r="D17235" s="216" t="n">
        <v>1.10621702671051</v>
      </c>
      <c r="E17235" s="215" t="n">
        <v>45320</v>
      </c>
      <c r="F17235" s="215" t="n">
        <v>45320</v>
      </c>
    </row>
    <row r="17236">
      <c r="A17236" s="215" t="n">
        <v>45321</v>
      </c>
      <c r="B17236" s="216" t="n">
        <v>36.6</v>
      </c>
      <c r="C17236" s="216" t="n">
        <v>50.39</v>
      </c>
      <c r="D17236" s="216" t="n">
        <v>1.105329036712646</v>
      </c>
      <c r="E17236" s="215" t="n">
        <v>45321</v>
      </c>
      <c r="F17236" s="215" t="n">
        <v>45321</v>
      </c>
    </row>
    <row r="17237">
      <c r="A17237" s="215" t="n">
        <v>45322</v>
      </c>
      <c r="B17237" s="216" t="n">
        <v>34.45</v>
      </c>
      <c r="C17237" s="216" t="n">
        <v>46.5</v>
      </c>
      <c r="D17237" s="216" t="n">
        <v>1.106791973114014</v>
      </c>
      <c r="E17237" s="215" t="n">
        <v>45322</v>
      </c>
      <c r="F17237" s="215" t="n">
        <v>45322</v>
      </c>
    </row>
    <row r="17238">
      <c r="A17238" s="215" t="n">
        <v>45323</v>
      </c>
      <c r="B17238" s="216" t="n">
        <v>34.6</v>
      </c>
      <c r="C17238" s="216" t="n">
        <v>46.53</v>
      </c>
      <c r="D17238" s="216" t="n">
        <v>1.102612972259521</v>
      </c>
      <c r="E17238" s="215" t="n">
        <v>45323</v>
      </c>
      <c r="F17238" s="215" t="n">
        <v>45323</v>
      </c>
    </row>
    <row r="17239">
      <c r="A17239" s="215" t="n">
        <v>45324</v>
      </c>
      <c r="B17239" s="216" t="n">
        <v>33.6</v>
      </c>
      <c r="C17239" s="216" t="n">
        <v>44.18</v>
      </c>
      <c r="D17239" s="216" t="n">
        <v>1.110376000404358</v>
      </c>
      <c r="E17239" s="215" t="n">
        <v>45324</v>
      </c>
      <c r="F17239" s="215" t="n">
        <v>45324</v>
      </c>
    </row>
    <row r="17240">
      <c r="A17240" s="215" t="n">
        <v>45327</v>
      </c>
      <c r="B17240" s="216" t="n">
        <v>32.8</v>
      </c>
      <c r="C17240" s="216" t="n">
        <v>41.89</v>
      </c>
      <c r="D17240" s="216" t="n">
        <v>1.100926041603088</v>
      </c>
      <c r="E17240" s="215" t="n">
        <v>45327</v>
      </c>
      <c r="F17240" s="215" t="n">
        <v>45327</v>
      </c>
    </row>
    <row r="17241">
      <c r="A17241" s="215" t="n">
        <v>45328</v>
      </c>
      <c r="B17241" s="216" t="n">
        <v>34.15</v>
      </c>
      <c r="C17241" s="216" t="n">
        <v>44.83</v>
      </c>
      <c r="D17241" s="216" t="n">
        <v>1.097015976905823</v>
      </c>
      <c r="E17241" s="215" t="n">
        <v>45328</v>
      </c>
      <c r="F17241" s="215" t="n">
        <v>45328</v>
      </c>
    </row>
    <row r="17242">
      <c r="A17242" s="215" t="n">
        <v>45329</v>
      </c>
      <c r="B17242" s="216" t="n">
        <v>33.75</v>
      </c>
      <c r="C17242" s="216" t="n">
        <v>44.7</v>
      </c>
      <c r="D17242" s="216" t="n">
        <v>1.098708987236023</v>
      </c>
      <c r="E17242" s="215" t="n">
        <v>45329</v>
      </c>
      <c r="F17242" s="215" t="n">
        <v>45329</v>
      </c>
    </row>
    <row r="17243">
      <c r="A17243" s="215" t="n">
        <v>45330</v>
      </c>
      <c r="B17243" s="216" t="n">
        <v>34</v>
      </c>
      <c r="C17243" s="216" t="n">
        <v>45.86</v>
      </c>
      <c r="D17243" s="216" t="n">
        <v>1.100044012069702</v>
      </c>
      <c r="E17243" s="215" t="n">
        <v>45330</v>
      </c>
      <c r="F17243" s="215" t="n">
        <v>45330</v>
      </c>
    </row>
    <row r="17244">
      <c r="A17244" s="215" t="n">
        <v>45331</v>
      </c>
      <c r="B17244" s="216" t="n">
        <v>33.7</v>
      </c>
      <c r="C17244" s="216" t="n">
        <v>45.86</v>
      </c>
      <c r="D17244" s="216" t="n">
        <v>1.100633025169373</v>
      </c>
      <c r="E17244" s="215" t="n">
        <v>45330</v>
      </c>
      <c r="F17244" s="215" t="n">
        <v>45331</v>
      </c>
    </row>
    <row r="17245">
      <c r="A17245" s="215" t="n">
        <v>45336</v>
      </c>
      <c r="B17245" s="216" t="n">
        <v>32.75</v>
      </c>
      <c r="C17245" s="216" t="n">
        <v>45.86</v>
      </c>
      <c r="D17245" s="216" t="n">
        <v>1.093312978744507</v>
      </c>
      <c r="E17245" s="215" t="n">
        <v>45330</v>
      </c>
      <c r="F17245" s="215" t="n">
        <v>45336</v>
      </c>
    </row>
    <row r="17246">
      <c r="A17246" s="215" t="n">
        <v>45337</v>
      </c>
      <c r="B17246" s="216" t="n">
        <v>32.6</v>
      </c>
      <c r="C17246" s="216" t="n">
        <v>45.86</v>
      </c>
      <c r="D17246" s="216" t="n">
        <v>1.095546960830688</v>
      </c>
      <c r="E17246" s="215" t="n">
        <v>45330</v>
      </c>
      <c r="F17246" s="215" t="n">
        <v>45337</v>
      </c>
    </row>
    <row r="17247">
      <c r="A17247" s="215" t="n">
        <v>45338</v>
      </c>
      <c r="B17247" s="216" t="n">
        <v>34.4</v>
      </c>
      <c r="C17247" s="216" t="n">
        <v>45.86</v>
      </c>
      <c r="D17247" s="216" t="n">
        <v>1.100026965141296</v>
      </c>
      <c r="E17247" s="215" t="n">
        <v>45330</v>
      </c>
      <c r="F17247" s="215" t="n">
        <v>45338</v>
      </c>
    </row>
    <row r="17248">
      <c r="A17248" s="215" t="n">
        <v>45341</v>
      </c>
      <c r="B17248" s="216" t="n">
        <v>34.25</v>
      </c>
      <c r="C17248" s="216" t="n">
        <v>45.78</v>
      </c>
      <c r="D17248" s="216" t="n">
        <v>1.10134494304657</v>
      </c>
      <c r="E17248" s="215" t="n">
        <v>45341</v>
      </c>
      <c r="F17248" s="215" t="n">
        <v>45341</v>
      </c>
    </row>
    <row r="17249">
      <c r="A17249" s="215" t="n">
        <v>45342</v>
      </c>
      <c r="B17249" s="216" t="n">
        <v>34.4</v>
      </c>
      <c r="C17249" s="216" t="n">
        <v>45.59</v>
      </c>
      <c r="D17249" s="216" t="n">
        <v>1.100348949432373</v>
      </c>
      <c r="E17249" s="215" t="n">
        <v>45342</v>
      </c>
      <c r="F17249" s="215" t="n">
        <v>45342</v>
      </c>
    </row>
    <row r="17250">
      <c r="A17250" s="215" t="n">
        <v>45343</v>
      </c>
      <c r="B17250" s="216" t="n">
        <v>35.8</v>
      </c>
      <c r="C17250" s="216" t="n">
        <v>47.16</v>
      </c>
      <c r="D17250" s="216" t="n">
        <v>1.104022026062012</v>
      </c>
      <c r="E17250" s="215" t="n">
        <v>45343</v>
      </c>
      <c r="F17250" s="215" t="n">
        <v>45343</v>
      </c>
    </row>
    <row r="17251">
      <c r="A17251" s="215" t="n">
        <v>45344</v>
      </c>
      <c r="B17251" s="216" t="n">
        <v>35.55</v>
      </c>
      <c r="C17251" s="216" t="n">
        <v>47.2</v>
      </c>
      <c r="D17251" s="216" t="n">
        <v>1.104943990707397</v>
      </c>
      <c r="E17251" s="215" t="n">
        <v>45344</v>
      </c>
      <c r="F17251" s="215" t="n">
        <v>45344</v>
      </c>
    </row>
    <row r="17252">
      <c r="A17252" s="215" t="n">
        <v>45345</v>
      </c>
      <c r="B17252" s="216" t="n">
        <v>36.1</v>
      </c>
      <c r="C17252" s="216" t="n">
        <v>47.96</v>
      </c>
      <c r="D17252" s="216" t="n">
        <v>1.105702996253967</v>
      </c>
      <c r="E17252" s="215" t="n">
        <v>45345</v>
      </c>
      <c r="F17252" s="215" t="n">
        <v>45345</v>
      </c>
    </row>
    <row r="17253">
      <c r="A17253" s="215" t="n">
        <v>45348</v>
      </c>
      <c r="B17253" s="216" t="n">
        <v>36</v>
      </c>
      <c r="C17253" s="216" t="n">
        <v>48.21</v>
      </c>
      <c r="D17253" s="216" t="n">
        <v>1.105378985404968</v>
      </c>
      <c r="E17253" s="215" t="n">
        <v>45348</v>
      </c>
      <c r="F17253" s="215" t="n">
        <v>45348</v>
      </c>
    </row>
    <row r="17254">
      <c r="A17254" s="215" t="n">
        <v>45349</v>
      </c>
      <c r="B17254" s="216" t="n">
        <v>37.05</v>
      </c>
      <c r="C17254" s="216" t="n">
        <v>49.39</v>
      </c>
      <c r="D17254" s="216" t="n">
        <v>1.108508944511414</v>
      </c>
      <c r="E17254" s="215" t="n">
        <v>45349</v>
      </c>
      <c r="F17254" s="215" t="n">
        <v>45349</v>
      </c>
    </row>
    <row r="17255">
      <c r="A17255" s="215" t="n">
        <v>45350</v>
      </c>
      <c r="B17255" s="216" t="n">
        <v>37.35</v>
      </c>
      <c r="C17255" s="216" t="n">
        <v>50.16</v>
      </c>
      <c r="D17255" s="216" t="n">
        <v>1.107692956924438</v>
      </c>
      <c r="E17255" s="215" t="n">
        <v>45350</v>
      </c>
      <c r="F17255" s="215" t="n">
        <v>45350</v>
      </c>
    </row>
    <row r="17256">
      <c r="A17256" s="215" t="n">
        <v>45351</v>
      </c>
      <c r="B17256" s="216" t="n">
        <v>39.75</v>
      </c>
      <c r="C17256" s="216" t="n">
        <v>53.63</v>
      </c>
      <c r="D17256" s="216" t="n">
        <v>1.107548952102661</v>
      </c>
      <c r="E17256" s="215" t="n">
        <v>45351</v>
      </c>
      <c r="F17256" s="215" t="n">
        <v>45351</v>
      </c>
    </row>
    <row r="17257">
      <c r="A17257" s="215" t="n">
        <v>45352</v>
      </c>
      <c r="B17257" s="216" t="n">
        <v>40.05</v>
      </c>
      <c r="C17257" s="216" t="n">
        <v>53.8</v>
      </c>
      <c r="D17257" s="216" t="n">
        <v>1.104398965835571</v>
      </c>
      <c r="E17257" s="215" t="n">
        <v>45352</v>
      </c>
      <c r="F17257" s="215" t="n">
        <v>45352</v>
      </c>
    </row>
    <row r="17258">
      <c r="A17258" s="215" t="n">
        <v>45355</v>
      </c>
      <c r="B17258" s="216" t="n">
        <v>38.95</v>
      </c>
      <c r="C17258" s="216" t="n">
        <v>52.96</v>
      </c>
      <c r="D17258" s="216" t="n">
        <v>1.108315944671631</v>
      </c>
      <c r="E17258" s="215" t="n">
        <v>45355</v>
      </c>
      <c r="F17258" s="215" t="n">
        <v>45355</v>
      </c>
    </row>
    <row r="17259">
      <c r="A17259" s="215" t="n">
        <v>45356</v>
      </c>
      <c r="B17259" s="216" t="n">
        <v>37</v>
      </c>
      <c r="C17259" s="216" t="n">
        <v>51.21</v>
      </c>
      <c r="D17259" s="216" t="n">
        <v>1.109019041061401</v>
      </c>
      <c r="E17259" s="215" t="n">
        <v>45356</v>
      </c>
      <c r="F17259" s="215" t="n">
        <v>45356</v>
      </c>
    </row>
    <row r="17260">
      <c r="A17260" s="215" t="n">
        <v>45357</v>
      </c>
      <c r="B17260" s="216" t="n">
        <v>36.95</v>
      </c>
      <c r="C17260" s="216" t="n">
        <v>50.82</v>
      </c>
      <c r="D17260" s="216" t="n">
        <v>1.10906994342804</v>
      </c>
      <c r="E17260" s="215" t="n">
        <v>45357</v>
      </c>
      <c r="F17260" s="215" t="n">
        <v>45357</v>
      </c>
    </row>
    <row r="17261">
      <c r="A17261" s="215" t="n">
        <v>45358</v>
      </c>
      <c r="B17261" s="216" t="n">
        <v>36</v>
      </c>
      <c r="C17261" s="216" t="n">
        <v>50.08</v>
      </c>
      <c r="D17261" s="216" t="n">
        <v>1.113453984260559</v>
      </c>
      <c r="E17261" s="215" t="n">
        <v>45358</v>
      </c>
      <c r="F17261" s="215" t="n">
        <v>45358</v>
      </c>
    </row>
    <row r="17262">
      <c r="A17262" s="215" t="n">
        <v>45359</v>
      </c>
      <c r="B17262" s="216" t="n">
        <v>37.15</v>
      </c>
      <c r="C17262" s="216" t="n">
        <v>50.1</v>
      </c>
      <c r="D17262" s="216" t="n">
        <v>1.118204951286316</v>
      </c>
      <c r="E17262" s="215" t="n">
        <v>45359</v>
      </c>
      <c r="F17262" s="215" t="n">
        <v>45359</v>
      </c>
    </row>
    <row r="17263">
      <c r="A17263" s="215" t="n">
        <v>45362</v>
      </c>
      <c r="B17263" s="216" t="n">
        <v>40.35</v>
      </c>
      <c r="C17263" s="216" t="n">
        <v>53.75</v>
      </c>
      <c r="D17263" s="216" t="n">
        <v>1.117454051971436</v>
      </c>
      <c r="E17263" s="215" t="n">
        <v>45362</v>
      </c>
      <c r="F17263" s="215" t="n">
        <v>45362</v>
      </c>
    </row>
    <row r="17264">
      <c r="A17264" s="215" t="n">
        <v>45363</v>
      </c>
      <c r="B17264" s="216" t="n">
        <v>40.7</v>
      </c>
      <c r="C17264" s="216" t="n">
        <v>53.6</v>
      </c>
      <c r="D17264" s="216" t="n">
        <v>1.116387009620667</v>
      </c>
      <c r="E17264" s="215" t="n">
        <v>45363</v>
      </c>
      <c r="F17264" s="215" t="n">
        <v>45363</v>
      </c>
    </row>
    <row r="17265">
      <c r="A17265" s="215" t="n">
        <v>45364</v>
      </c>
      <c r="B17265" s="216" t="n">
        <v>40.65</v>
      </c>
      <c r="C17265" s="216" t="n">
        <v>53.24</v>
      </c>
      <c r="D17265" s="216" t="n">
        <v>1.116310954093933</v>
      </c>
      <c r="E17265" s="215" t="n">
        <v>45364</v>
      </c>
      <c r="F17265" s="215" t="n">
        <v>45364</v>
      </c>
    </row>
    <row r="17266">
      <c r="A17266" s="215" t="n">
        <v>45365</v>
      </c>
      <c r="B17266" s="216" t="n">
        <v>39.7</v>
      </c>
      <c r="C17266" s="216" t="n">
        <v>52.43</v>
      </c>
      <c r="D17266" s="216" t="n">
        <v>1.118636012077332</v>
      </c>
      <c r="E17266" s="215" t="n">
        <v>45365</v>
      </c>
      <c r="F17266" s="215" t="n">
        <v>45365</v>
      </c>
    </row>
    <row r="17267">
      <c r="A17267" s="215" t="n">
        <v>45366</v>
      </c>
      <c r="B17267" s="216" t="n">
        <v>39.9</v>
      </c>
      <c r="C17267" s="216" t="n">
        <v>52.5</v>
      </c>
      <c r="D17267" s="216" t="n">
        <v>1.111673951148987</v>
      </c>
      <c r="E17267" s="215" t="n">
        <v>45366</v>
      </c>
      <c r="F17267" s="215" t="n">
        <v>45366</v>
      </c>
    </row>
    <row r="17268">
      <c r="A17268" s="215" t="n">
        <v>45369</v>
      </c>
      <c r="B17268" s="216" t="n">
        <v>39.6</v>
      </c>
      <c r="C17268" s="216" t="n">
        <v>52.83</v>
      </c>
      <c r="D17268" s="216" t="n">
        <v>1.111489057540894</v>
      </c>
      <c r="E17268" s="215" t="n">
        <v>45369</v>
      </c>
      <c r="F17268" s="215" t="n">
        <v>45369</v>
      </c>
    </row>
    <row r="17269">
      <c r="A17269" s="215" t="n">
        <v>45370</v>
      </c>
      <c r="B17269" s="216" t="n">
        <v>39.2</v>
      </c>
      <c r="C17269" s="216" t="n">
        <v>52.19</v>
      </c>
      <c r="D17269" s="216" t="n">
        <v>1.110030055046082</v>
      </c>
      <c r="E17269" s="215" t="n">
        <v>45370</v>
      </c>
      <c r="F17269" s="215" t="n">
        <v>45370</v>
      </c>
    </row>
    <row r="17270">
      <c r="A17270" s="215" t="n">
        <v>45371</v>
      </c>
      <c r="B17270" s="216" t="n">
        <v>39.25</v>
      </c>
      <c r="C17270" s="216" t="n">
        <v>52.24</v>
      </c>
      <c r="D17270" s="216" t="n">
        <v>1.101261973381042</v>
      </c>
      <c r="E17270" s="215" t="n">
        <v>45371</v>
      </c>
      <c r="F17270" s="215" t="n">
        <v>45371</v>
      </c>
    </row>
    <row r="17271">
      <c r="A17271" s="215" t="n">
        <v>45372</v>
      </c>
      <c r="B17271" s="216" t="n">
        <v>39.55</v>
      </c>
      <c r="C17271" s="216" t="n">
        <v>51.76</v>
      </c>
      <c r="D17271" s="216" t="n">
        <v>1.101251006126404</v>
      </c>
      <c r="E17271" s="215" t="n">
        <v>45372</v>
      </c>
      <c r="F17271" s="215" t="n">
        <v>45372</v>
      </c>
    </row>
    <row r="17272">
      <c r="A17272" s="215" t="n">
        <v>45373</v>
      </c>
      <c r="B17272" s="216" t="n">
        <v>37.75</v>
      </c>
      <c r="C17272" s="216" t="n">
        <v>49.8</v>
      </c>
      <c r="D17272" s="216" t="n">
        <v>1.100389957427979</v>
      </c>
      <c r="E17272" s="215" t="n">
        <v>45373</v>
      </c>
      <c r="F17272" s="215" t="n">
        <v>45373</v>
      </c>
    </row>
    <row r="17273">
      <c r="A17273" s="215" t="n">
        <v>45376</v>
      </c>
      <c r="B17273" s="216" t="n">
        <v>37.15</v>
      </c>
      <c r="C17273" s="216" t="n">
        <v>48.5</v>
      </c>
      <c r="D17273" s="216" t="n">
        <v>1.093554973602295</v>
      </c>
      <c r="E17273" s="215" t="n">
        <v>45376</v>
      </c>
      <c r="F17273" s="215" t="n">
        <v>45376</v>
      </c>
    </row>
    <row r="17274">
      <c r="A17274" s="215" t="n">
        <v>45377</v>
      </c>
      <c r="B17274" s="216" t="n">
        <v>37.6</v>
      </c>
      <c r="C17274" s="216" t="n">
        <v>49.42</v>
      </c>
      <c r="D17274" s="216" t="n">
        <v>1.097866058349609</v>
      </c>
      <c r="E17274" s="215" t="n">
        <v>45377</v>
      </c>
      <c r="F17274" s="215" t="n">
        <v>45377</v>
      </c>
    </row>
    <row r="17275">
      <c r="A17275" s="215" t="n">
        <v>45378</v>
      </c>
      <c r="B17275" s="216" t="n">
        <v>36.2</v>
      </c>
      <c r="C17275" s="216" t="n">
        <v>47.5</v>
      </c>
      <c r="D17275" s="216" t="n">
        <v>1.099439024925232</v>
      </c>
      <c r="E17275" s="215" t="n">
        <v>45378</v>
      </c>
      <c r="F17275" s="215" t="n">
        <v>45378</v>
      </c>
    </row>
    <row r="17276">
      <c r="A17276" s="215" t="n">
        <v>45379</v>
      </c>
      <c r="B17276" s="216" t="n">
        <v>36.4</v>
      </c>
      <c r="C17276" s="216" t="n">
        <v>47.66</v>
      </c>
      <c r="D17276" s="216" t="n">
        <v>1.099169969558716</v>
      </c>
      <c r="E17276" s="215" t="n">
        <v>45379</v>
      </c>
      <c r="F17276" s="215" t="n">
        <v>45379</v>
      </c>
    </row>
    <row r="17277">
      <c r="A17277" s="215" t="n">
        <v>45384</v>
      </c>
      <c r="B17277" s="216" t="n">
        <v>37.7</v>
      </c>
      <c r="C17277" s="216" t="n">
        <v>50.62</v>
      </c>
      <c r="D17277" s="216" t="n">
        <v>1.095656037330627</v>
      </c>
      <c r="E17277" s="215" t="n">
        <v>45384</v>
      </c>
      <c r="F17277" s="215" t="n">
        <v>45384</v>
      </c>
    </row>
    <row r="17278">
      <c r="A17278" s="215" t="n">
        <v>45385</v>
      </c>
      <c r="B17278" s="216" t="n">
        <v>38</v>
      </c>
      <c r="C17278" s="216" t="n">
        <v>51.01</v>
      </c>
      <c r="D17278" s="216" t="n">
        <v>1.103147983551025</v>
      </c>
      <c r="E17278" s="215" t="n">
        <v>45385</v>
      </c>
      <c r="F17278" s="215" t="n">
        <v>45385</v>
      </c>
    </row>
    <row r="17279">
      <c r="A17279" s="215" t="n">
        <v>45387</v>
      </c>
      <c r="B17279" s="216" t="n">
        <v>35.1</v>
      </c>
      <c r="C17279" s="216" t="n">
        <v>51.01</v>
      </c>
      <c r="D17279" s="216" t="n">
        <v>1.102897047996521</v>
      </c>
      <c r="E17279" s="215" t="n">
        <v>45385</v>
      </c>
      <c r="F17279" s="215" t="n">
        <v>45387</v>
      </c>
    </row>
    <row r="17280">
      <c r="A17280" s="215" t="n">
        <v>45390</v>
      </c>
      <c r="B17280" s="216" t="n">
        <v>38.3</v>
      </c>
      <c r="C17280" s="216" t="n">
        <v>50.22</v>
      </c>
      <c r="D17280" s="216" t="n">
        <v>1.103929996490479</v>
      </c>
      <c r="E17280" s="215" t="n">
        <v>45390</v>
      </c>
      <c r="F17280" s="215" t="n">
        <v>45390</v>
      </c>
    </row>
    <row r="17281">
      <c r="A17281" s="215" t="n">
        <v>45391</v>
      </c>
      <c r="B17281" s="216" t="n">
        <v>40.5</v>
      </c>
      <c r="C17281" s="216" t="n">
        <v>52.2</v>
      </c>
      <c r="D17281" s="216" t="n">
        <v>1.104424953460693</v>
      </c>
      <c r="E17281" s="215" t="n">
        <v>45391</v>
      </c>
      <c r="F17281" s="215" t="n">
        <v>45391</v>
      </c>
    </row>
    <row r="17282">
      <c r="A17282" s="215" t="n">
        <v>45392</v>
      </c>
      <c r="B17282" s="216" t="n">
        <v>40.2</v>
      </c>
      <c r="C17282" s="216" t="n">
        <v>50.85</v>
      </c>
      <c r="D17282" s="216" t="n">
        <v>1.10468602180481</v>
      </c>
      <c r="E17282" s="215" t="n">
        <v>45392</v>
      </c>
      <c r="F17282" s="215" t="n">
        <v>45392</v>
      </c>
    </row>
    <row r="17283">
      <c r="A17283" s="215" t="n">
        <v>45393</v>
      </c>
      <c r="B17283" s="216" t="n">
        <v>39.85</v>
      </c>
      <c r="C17283" s="216" t="n">
        <v>50.06</v>
      </c>
      <c r="D17283" s="216" t="n">
        <v>1.102126002311707</v>
      </c>
      <c r="E17283" s="215" t="n">
        <v>45393</v>
      </c>
      <c r="F17283" s="215" t="n">
        <v>45393</v>
      </c>
    </row>
    <row r="17284">
      <c r="A17284" s="215" t="n">
        <v>45394</v>
      </c>
      <c r="B17284" s="216" t="n">
        <v>38.15</v>
      </c>
      <c r="C17284" s="216" t="n">
        <v>48.92</v>
      </c>
      <c r="D17284" s="216" t="n">
        <v>1.104213953018188</v>
      </c>
      <c r="E17284" s="215" t="n">
        <v>45394</v>
      </c>
      <c r="F17284" s="215" t="n">
        <v>45394</v>
      </c>
    </row>
    <row r="17285">
      <c r="A17285" s="215" t="n">
        <v>45397</v>
      </c>
      <c r="B17285" s="216" t="n">
        <v>37.5</v>
      </c>
      <c r="C17285" s="216" t="n">
        <v>49.21</v>
      </c>
      <c r="D17285" s="216" t="n">
        <v>1.102975010871887</v>
      </c>
      <c r="E17285" s="215" t="n">
        <v>45397</v>
      </c>
      <c r="F17285" s="215" t="n">
        <v>45397</v>
      </c>
    </row>
    <row r="17286">
      <c r="A17286" s="215" t="n">
        <v>45398</v>
      </c>
      <c r="B17286" s="216" t="n">
        <v>36</v>
      </c>
      <c r="C17286" s="216" t="n">
        <v>46.83</v>
      </c>
      <c r="D17286" s="216" t="n">
        <v>1.102668046951294</v>
      </c>
      <c r="E17286" s="215" t="n">
        <v>45398</v>
      </c>
      <c r="F17286" s="215" t="n">
        <v>45398</v>
      </c>
    </row>
    <row r="17287">
      <c r="A17287" s="215" t="n">
        <v>45399</v>
      </c>
      <c r="B17287" s="216" t="n">
        <v>36.45</v>
      </c>
      <c r="C17287" s="216" t="n">
        <v>47.88</v>
      </c>
      <c r="D17287" s="216" t="n">
        <v>1.101709961891174</v>
      </c>
      <c r="E17287" s="215" t="n">
        <v>45399</v>
      </c>
      <c r="F17287" s="215" t="n">
        <v>45399</v>
      </c>
    </row>
    <row r="17288">
      <c r="A17288" s="215" t="n">
        <v>45400</v>
      </c>
      <c r="B17288" s="216" t="n">
        <v>36.3</v>
      </c>
      <c r="C17288" s="216" t="n">
        <v>48.28</v>
      </c>
      <c r="D17288" s="216" t="n">
        <v>1.104182004928589</v>
      </c>
      <c r="E17288" s="215" t="n">
        <v>45400</v>
      </c>
      <c r="F17288" s="215" t="n">
        <v>45400</v>
      </c>
    </row>
    <row r="17289">
      <c r="A17289" s="215" t="n">
        <v>45401</v>
      </c>
      <c r="B17289" s="216" t="n">
        <v>35.65</v>
      </c>
      <c r="C17289" s="216" t="n">
        <v>47.04</v>
      </c>
      <c r="D17289" s="216" t="n">
        <v>1.103330016136169</v>
      </c>
      <c r="E17289" s="215" t="n">
        <v>45401</v>
      </c>
      <c r="F17289" s="215" t="n">
        <v>45401</v>
      </c>
    </row>
    <row r="17290">
      <c r="A17290" s="215" t="n">
        <v>45404</v>
      </c>
      <c r="B17290" s="216" t="n">
        <v>35.65</v>
      </c>
      <c r="C17290" s="216" t="n">
        <v>45.99</v>
      </c>
      <c r="D17290" s="216" t="n">
        <v>1.104303956031799</v>
      </c>
      <c r="E17290" s="215" t="n">
        <v>45404</v>
      </c>
      <c r="F17290" s="215" t="n">
        <v>45404</v>
      </c>
    </row>
    <row r="17291">
      <c r="A17291" s="215" t="n">
        <v>45405</v>
      </c>
      <c r="B17291" s="216" t="n">
        <v>35.25</v>
      </c>
      <c r="C17291" s="216" t="n">
        <v>45.14</v>
      </c>
      <c r="D17291" s="216" t="n">
        <v>1.103582978248596</v>
      </c>
      <c r="E17291" s="215" t="n">
        <v>45405</v>
      </c>
      <c r="F17291" s="215" t="n">
        <v>45405</v>
      </c>
    </row>
    <row r="17292">
      <c r="A17292" s="215" t="n">
        <v>45406</v>
      </c>
      <c r="B17292" s="216" t="n">
        <v>28.5</v>
      </c>
      <c r="C17292" s="216" t="n">
        <v>40.63</v>
      </c>
      <c r="D17292" s="216" t="n">
        <v>1.103708982467651</v>
      </c>
      <c r="E17292" s="215" t="n">
        <v>45406</v>
      </c>
      <c r="F17292" s="215" t="n">
        <v>45406</v>
      </c>
    </row>
    <row r="17293">
      <c r="A17293" s="215" t="n">
        <v>45407</v>
      </c>
      <c r="B17293" s="216" t="n">
        <v>29.35</v>
      </c>
      <c r="C17293" s="216" t="n">
        <v>39.19</v>
      </c>
      <c r="D17293" s="216" t="n">
        <v>1.101104021072388</v>
      </c>
      <c r="E17293" s="215" t="n">
        <v>45407</v>
      </c>
      <c r="F17293" s="215" t="n">
        <v>45407</v>
      </c>
    </row>
    <row r="17294">
      <c r="A17294" s="215" t="n">
        <v>45408</v>
      </c>
      <c r="B17294" s="216" t="n">
        <v>29.4</v>
      </c>
      <c r="C17294" s="216" t="n">
        <v>38.87</v>
      </c>
      <c r="D17294" s="216" t="n">
        <v>1.103947043418884</v>
      </c>
      <c r="E17294" s="215" t="n">
        <v>45408</v>
      </c>
      <c r="F17294" s="215" t="n">
        <v>45408</v>
      </c>
    </row>
    <row r="17295">
      <c r="A17295" s="215" t="n">
        <v>45411</v>
      </c>
      <c r="B17295" s="216" t="n">
        <v>30.6</v>
      </c>
      <c r="C17295" s="216" t="n">
        <v>40.79</v>
      </c>
      <c r="D17295" s="216" t="n">
        <v>1.10208797454834</v>
      </c>
      <c r="E17295" s="215" t="n">
        <v>45411</v>
      </c>
      <c r="F17295" s="215" t="n">
        <v>45411</v>
      </c>
    </row>
    <row r="17296">
      <c r="A17296" s="215" t="n">
        <v>45412</v>
      </c>
      <c r="B17296" s="216" t="n">
        <v>30.4</v>
      </c>
      <c r="C17296" s="216" t="n">
        <v>39.51</v>
      </c>
      <c r="D17296" s="216" t="n">
        <v>1.103922009468079</v>
      </c>
      <c r="E17296" s="215" t="n">
        <v>45412</v>
      </c>
      <c r="F17296" s="215" t="n">
        <v>45412</v>
      </c>
    </row>
    <row r="17297">
      <c r="A17297" s="215" t="n">
        <v>45414</v>
      </c>
      <c r="B17297" s="216" t="n">
        <v>31.9</v>
      </c>
      <c r="C17297" s="216" t="n">
        <v>39.51</v>
      </c>
      <c r="D17297" s="216" t="n">
        <v>1.108636021614075</v>
      </c>
      <c r="E17297" s="215" t="n">
        <v>45412</v>
      </c>
      <c r="F17297" s="215" t="n">
        <v>45414</v>
      </c>
    </row>
    <row r="17298">
      <c r="A17298" s="215" t="n">
        <v>45415</v>
      </c>
      <c r="B17298" s="216" t="n">
        <v>33.45</v>
      </c>
      <c r="C17298" s="216" t="n">
        <v>39.51</v>
      </c>
      <c r="D17298" s="216" t="n">
        <v>1.106081008911133</v>
      </c>
      <c r="E17298" s="215" t="n">
        <v>45412</v>
      </c>
      <c r="F17298" s="215" t="n">
        <v>45415</v>
      </c>
    </row>
    <row r="17299">
      <c r="A17299" s="215" t="n">
        <v>45418</v>
      </c>
      <c r="B17299" s="216" t="n">
        <v>32.35</v>
      </c>
      <c r="C17299" s="216" t="n">
        <v>40.28</v>
      </c>
      <c r="D17299" s="216" t="n">
        <v>1.106592059135437</v>
      </c>
      <c r="E17299" s="215" t="n">
        <v>45418</v>
      </c>
      <c r="F17299" s="215" t="n">
        <v>45418</v>
      </c>
    </row>
    <row r="17300">
      <c r="A17300" s="215" t="n">
        <v>45419</v>
      </c>
      <c r="B17300" s="216" t="n">
        <v>32.45</v>
      </c>
      <c r="C17300" s="216" t="n">
        <v>40.46</v>
      </c>
      <c r="D17300" s="216" t="n">
        <v>1.104128956794739</v>
      </c>
      <c r="E17300" s="215" t="n">
        <v>45419</v>
      </c>
      <c r="F17300" s="215" t="n">
        <v>45419</v>
      </c>
    </row>
    <row r="17301">
      <c r="A17301" s="215" t="n">
        <v>45420</v>
      </c>
      <c r="B17301" s="216" t="n">
        <v>31.35</v>
      </c>
      <c r="C17301" s="216" t="n">
        <v>39.7</v>
      </c>
      <c r="D17301" s="216" t="n">
        <v>1.10300600528717</v>
      </c>
      <c r="E17301" s="215" t="n">
        <v>45420</v>
      </c>
      <c r="F17301" s="215" t="n">
        <v>45420</v>
      </c>
    </row>
    <row r="17302">
      <c r="A17302" s="215" t="n">
        <v>45421</v>
      </c>
      <c r="B17302" s="216" t="n">
        <v>32.65</v>
      </c>
      <c r="C17302" s="216" t="n">
        <v>40.71</v>
      </c>
      <c r="D17302" s="216" t="n">
        <v>1.103181958198547</v>
      </c>
      <c r="E17302" s="215" t="n">
        <v>45421</v>
      </c>
      <c r="F17302" s="215" t="n">
        <v>45421</v>
      </c>
    </row>
    <row r="17303">
      <c r="A17303" s="215" t="n">
        <v>45422</v>
      </c>
      <c r="B17303" s="216" t="n">
        <v>32.85</v>
      </c>
      <c r="C17303" s="216" t="n">
        <v>39.94</v>
      </c>
      <c r="D17303" s="216" t="n">
        <v>1.104058980941772</v>
      </c>
      <c r="E17303" s="215" t="n">
        <v>45422</v>
      </c>
      <c r="F17303" s="215" t="n">
        <v>45422</v>
      </c>
    </row>
    <row r="17304">
      <c r="A17304" s="215" t="n">
        <v>45425</v>
      </c>
      <c r="B17304" s="216" t="n">
        <v>32.05</v>
      </c>
      <c r="C17304" s="216" t="n">
        <v>38.69</v>
      </c>
      <c r="D17304" s="216" t="n">
        <v>1.10149097442627</v>
      </c>
      <c r="E17304" s="215" t="n">
        <v>45425</v>
      </c>
      <c r="F17304" s="215" t="n">
        <v>45425</v>
      </c>
    </row>
    <row r="17305">
      <c r="A17305" s="215" t="n">
        <v>45426</v>
      </c>
      <c r="B17305" s="216" t="n">
        <v>32.3</v>
      </c>
      <c r="C17305" s="216" t="n">
        <v>38.63</v>
      </c>
      <c r="D17305" s="216" t="n">
        <v>1.101179957389832</v>
      </c>
      <c r="E17305" s="215" t="n">
        <v>45426</v>
      </c>
      <c r="F17305" s="215" t="n">
        <v>45426</v>
      </c>
    </row>
    <row r="17306">
      <c r="A17306" s="215" t="n">
        <v>45428</v>
      </c>
      <c r="B17306" s="216" t="n">
        <v>31.35</v>
      </c>
      <c r="C17306" s="216" t="n">
        <v>37.87</v>
      </c>
      <c r="D17306" s="216" t="n">
        <v>1.104424953460693</v>
      </c>
      <c r="E17306" s="215" t="n">
        <v>45428</v>
      </c>
      <c r="F17306" s="215" t="n">
        <v>45428</v>
      </c>
    </row>
    <row r="17307">
      <c r="A17307" s="215" t="n">
        <v>45429</v>
      </c>
      <c r="B17307" s="216" t="n">
        <v>31.45</v>
      </c>
      <c r="C17307" s="216" t="n">
        <v>38.25</v>
      </c>
      <c r="D17307" s="216" t="n">
        <v>1.100981950759888</v>
      </c>
      <c r="E17307" s="215" t="n">
        <v>45429</v>
      </c>
      <c r="F17307" s="215" t="n">
        <v>45429</v>
      </c>
    </row>
    <row r="17308">
      <c r="A17308" s="215" t="n">
        <v>45432</v>
      </c>
      <c r="B17308" s="216" t="n">
        <v>32.2</v>
      </c>
      <c r="C17308" s="216" t="n">
        <v>38.29</v>
      </c>
      <c r="D17308" s="216" t="n">
        <v>1.103283047676086</v>
      </c>
      <c r="E17308" s="215" t="n">
        <v>45432</v>
      </c>
      <c r="F17308" s="215" t="n">
        <v>45432</v>
      </c>
    </row>
    <row r="17309">
      <c r="A17309" s="215" t="n">
        <v>45433</v>
      </c>
      <c r="B17309" s="216" t="n">
        <v>30.85</v>
      </c>
      <c r="C17309" s="216" t="n">
        <v>37.72</v>
      </c>
      <c r="D17309" s="216" t="n">
        <v>1.099310994148254</v>
      </c>
      <c r="E17309" s="215" t="n">
        <v>45433</v>
      </c>
      <c r="F17309" s="215" t="n">
        <v>45433</v>
      </c>
    </row>
    <row r="17310">
      <c r="A17310" s="215" t="n">
        <v>45434</v>
      </c>
      <c r="B17310" s="216" t="n">
        <v>31.05</v>
      </c>
      <c r="C17310" s="216" t="n">
        <v>38.57</v>
      </c>
      <c r="D17310" s="216" t="n">
        <v>1.099982023239136</v>
      </c>
      <c r="E17310" s="215" t="n">
        <v>45434</v>
      </c>
      <c r="F17310" s="215" t="n">
        <v>45434</v>
      </c>
    </row>
    <row r="17311">
      <c r="A17311" s="215" t="n">
        <v>45435</v>
      </c>
      <c r="B17311" s="216" t="n">
        <v>29.5</v>
      </c>
      <c r="C17311" s="216" t="n">
        <v>37.43</v>
      </c>
      <c r="D17311" s="216" t="n">
        <v>1.09967303276062</v>
      </c>
      <c r="E17311" s="215" t="n">
        <v>45435</v>
      </c>
      <c r="F17311" s="215" t="n">
        <v>45435</v>
      </c>
    </row>
    <row r="17312">
      <c r="A17312" s="215" t="n">
        <v>45436</v>
      </c>
      <c r="B17312" s="216" t="n">
        <v>29.45</v>
      </c>
      <c r="C17312" s="216" t="n">
        <v>36.59</v>
      </c>
      <c r="D17312" s="216" t="n">
        <v>1.09811794757843</v>
      </c>
      <c r="E17312" s="215" t="n">
        <v>45436</v>
      </c>
      <c r="F17312" s="215" t="n">
        <v>45436</v>
      </c>
    </row>
    <row r="17313">
      <c r="A17313" s="215" t="n">
        <v>45439</v>
      </c>
      <c r="B17313" s="216" t="n">
        <v>29.45</v>
      </c>
      <c r="C17313" s="216" t="n">
        <v>36.39</v>
      </c>
      <c r="D17313" s="216" t="n">
        <v>1.100759029388428</v>
      </c>
      <c r="E17313" s="215" t="n">
        <v>45439</v>
      </c>
      <c r="F17313" s="215" t="n">
        <v>45439</v>
      </c>
    </row>
    <row r="17314">
      <c r="A17314" s="215" t="n">
        <v>45440</v>
      </c>
      <c r="B17314" s="216" t="n">
        <v>29.6</v>
      </c>
      <c r="C17314" s="216" t="n">
        <v>36</v>
      </c>
      <c r="D17314" s="216" t="n">
        <v>1.101151943206787</v>
      </c>
      <c r="E17314" s="215" t="n">
        <v>45440</v>
      </c>
      <c r="F17314" s="215" t="n">
        <v>45440</v>
      </c>
    </row>
    <row r="17315">
      <c r="A17315" s="215" t="n">
        <v>45441</v>
      </c>
      <c r="B17315" s="216" t="n">
        <v>30.15</v>
      </c>
      <c r="C17315" s="216" t="n">
        <v>36.88</v>
      </c>
      <c r="D17315" s="216" t="n">
        <v>1.101042032241821</v>
      </c>
      <c r="E17315" s="215" t="n">
        <v>45441</v>
      </c>
      <c r="F17315" s="215" t="n">
        <v>45441</v>
      </c>
    </row>
    <row r="17316">
      <c r="A17316" s="215" t="n">
        <v>45442</v>
      </c>
      <c r="B17316" s="216" t="n">
        <v>29.85</v>
      </c>
      <c r="C17316" s="216" t="n">
        <v>36.69</v>
      </c>
      <c r="D17316" s="216" t="n">
        <v>1.096346020698547</v>
      </c>
      <c r="E17316" s="215" t="n">
        <v>45442</v>
      </c>
      <c r="F17316" s="215" t="n">
        <v>45442</v>
      </c>
    </row>
    <row r="17317">
      <c r="A17317" s="215" t="n">
        <v>45443</v>
      </c>
      <c r="B17317" s="216" t="n">
        <v>29.45</v>
      </c>
      <c r="C17317" s="216" t="n">
        <v>36.08</v>
      </c>
      <c r="D17317" s="216" t="n">
        <v>1.099722981452942</v>
      </c>
      <c r="E17317" s="215" t="n">
        <v>45443</v>
      </c>
      <c r="F17317" s="215" t="n">
        <v>45443</v>
      </c>
    </row>
    <row r="17318">
      <c r="A17318" s="215" t="n">
        <v>45446</v>
      </c>
      <c r="B17318" s="216" t="n">
        <v>29.7</v>
      </c>
      <c r="C17318" s="216" t="n">
        <v>36.23</v>
      </c>
      <c r="D17318" s="216" t="n">
        <v>1.102306008338928</v>
      </c>
      <c r="E17318" s="215" t="n">
        <v>45446</v>
      </c>
      <c r="F17318" s="215" t="n">
        <v>45446</v>
      </c>
    </row>
    <row r="17319">
      <c r="A17319" s="215" t="n">
        <v>45447</v>
      </c>
      <c r="B17319" s="216" t="n">
        <v>29.75</v>
      </c>
      <c r="C17319" s="216" t="n">
        <v>36.3</v>
      </c>
      <c r="D17319" s="216" t="n">
        <v>1.107933044433594</v>
      </c>
      <c r="E17319" s="215" t="n">
        <v>45447</v>
      </c>
      <c r="F17319" s="215" t="n">
        <v>45447</v>
      </c>
    </row>
    <row r="17320">
      <c r="A17320" s="215" t="n">
        <v>45448</v>
      </c>
      <c r="B17320" s="216" t="n">
        <v>28.95</v>
      </c>
      <c r="C17320" s="216" t="n">
        <v>35.77</v>
      </c>
      <c r="D17320" s="216" t="n">
        <v>1.104397058486938</v>
      </c>
      <c r="E17320" s="215" t="n">
        <v>45448</v>
      </c>
      <c r="F17320" s="215" t="n">
        <v>45448</v>
      </c>
    </row>
    <row r="17321">
      <c r="A17321" s="215" t="n">
        <v>45449</v>
      </c>
      <c r="B17321" s="216" t="n">
        <v>28.75</v>
      </c>
      <c r="C17321" s="216" t="n">
        <v>35.8</v>
      </c>
      <c r="D17321" s="216" t="n">
        <v>1.099522948265076</v>
      </c>
      <c r="E17321" s="215" t="n">
        <v>45449</v>
      </c>
      <c r="F17321" s="215" t="n">
        <v>45449</v>
      </c>
    </row>
    <row r="17322">
      <c r="A17322" s="215" t="n">
        <v>45450</v>
      </c>
      <c r="B17322" s="216" t="n">
        <v>28.5</v>
      </c>
      <c r="C17322" s="216" t="n">
        <v>34</v>
      </c>
      <c r="D17322" s="216" t="n">
        <v>1.099043965339661</v>
      </c>
      <c r="E17322" s="215" t="n">
        <v>45450</v>
      </c>
      <c r="F17322" s="215" t="n">
        <v>45450</v>
      </c>
    </row>
    <row r="17323">
      <c r="A17323" s="215" t="n">
        <v>45454</v>
      </c>
      <c r="B17323" s="216" t="n">
        <v>27.85</v>
      </c>
      <c r="C17323" s="216" t="n">
        <v>33.54</v>
      </c>
      <c r="D17323" s="216" t="n">
        <v>1.098870992660522</v>
      </c>
      <c r="E17323" s="215" t="n">
        <v>45454</v>
      </c>
      <c r="F17323" s="215" t="n">
        <v>45454</v>
      </c>
    </row>
    <row r="17324">
      <c r="A17324" s="215" t="n">
        <v>45455</v>
      </c>
      <c r="B17324" s="216" t="n">
        <v>27.45</v>
      </c>
      <c r="C17324" s="216" t="n">
        <v>33.41</v>
      </c>
      <c r="D17324" s="216" t="n">
        <v>1.098610043525696</v>
      </c>
      <c r="E17324" s="215" t="n">
        <v>45455</v>
      </c>
      <c r="F17324" s="215" t="n">
        <v>45455</v>
      </c>
    </row>
    <row r="17325">
      <c r="A17325" s="215" t="n">
        <v>45456</v>
      </c>
      <c r="B17325" s="216" t="n">
        <v>27.25</v>
      </c>
      <c r="C17325" s="216" t="n">
        <v>32.72</v>
      </c>
      <c r="D17325" s="216" t="n">
        <v>1.078271985054016</v>
      </c>
      <c r="E17325" s="215" t="n">
        <v>45456</v>
      </c>
      <c r="F17325" s="215" t="n">
        <v>45456</v>
      </c>
    </row>
    <row r="17326">
      <c r="A17326" s="215" t="n">
        <v>45457</v>
      </c>
      <c r="B17326" s="216" t="n">
        <v>25.55</v>
      </c>
      <c r="C17326" s="216" t="n">
        <v>32.56</v>
      </c>
      <c r="D17326" s="216" t="n">
        <v>1.07685399055481</v>
      </c>
      <c r="E17326" s="215" t="n">
        <v>45457</v>
      </c>
      <c r="F17326" s="215" t="n">
        <v>45457</v>
      </c>
    </row>
    <row r="17327">
      <c r="A17327" s="215" t="n">
        <v>45460</v>
      </c>
      <c r="B17327" s="216" t="n">
        <v>25.85</v>
      </c>
      <c r="C17327" s="216" t="n">
        <v>32.6</v>
      </c>
      <c r="D17327" s="216" t="n">
        <v>1.09790301322937</v>
      </c>
      <c r="E17327" s="215" t="n">
        <v>45460</v>
      </c>
      <c r="F17327" s="215" t="n">
        <v>45460</v>
      </c>
    </row>
    <row r="17328">
      <c r="A17328" s="215" t="n">
        <v>45461</v>
      </c>
      <c r="B17328" s="216" t="n">
        <v>25.85</v>
      </c>
      <c r="C17328" s="216" t="n">
        <v>33</v>
      </c>
      <c r="D17328" s="216" t="n">
        <v>1.076823949813843</v>
      </c>
      <c r="E17328" s="215" t="n">
        <v>45461</v>
      </c>
      <c r="F17328" s="215" t="n">
        <v>45461</v>
      </c>
    </row>
    <row r="17329">
      <c r="A17329" s="215" t="n">
        <v>45462</v>
      </c>
      <c r="B17329" s="216" t="n">
        <v>25.8</v>
      </c>
      <c r="C17329" s="216" t="n">
        <v>32.32</v>
      </c>
      <c r="D17329" s="216" t="n">
        <v>1.076231002807617</v>
      </c>
      <c r="E17329" s="215" t="n">
        <v>45462</v>
      </c>
      <c r="F17329" s="215" t="n">
        <v>45462</v>
      </c>
    </row>
    <row r="17330">
      <c r="A17330" s="215" t="n">
        <v>45463</v>
      </c>
      <c r="B17330" s="216" t="n">
        <v>25</v>
      </c>
      <c r="C17330" s="216" t="n">
        <v>31.25</v>
      </c>
      <c r="D17330" s="216" t="n">
        <v>1.075603008270264</v>
      </c>
      <c r="E17330" s="215" t="n">
        <v>45463</v>
      </c>
      <c r="F17330" s="215" t="n">
        <v>45463</v>
      </c>
    </row>
    <row r="17331">
      <c r="A17331" s="215" t="n">
        <v>45464</v>
      </c>
      <c r="B17331" s="216" t="n">
        <v>23.6</v>
      </c>
      <c r="C17331" s="216" t="n">
        <v>30.49</v>
      </c>
      <c r="D17331" s="216" t="n">
        <v>1.07499098777771</v>
      </c>
      <c r="E17331" s="215" t="n">
        <v>45464</v>
      </c>
      <c r="F17331" s="215" t="n">
        <v>45464</v>
      </c>
    </row>
    <row r="17332">
      <c r="A17332" s="215" t="n">
        <v>45467</v>
      </c>
      <c r="B17332" s="216" t="n">
        <v>23.5</v>
      </c>
      <c r="C17332" s="216" t="n">
        <v>30.1</v>
      </c>
      <c r="D17332" s="216" t="n">
        <v>1.0746910572052</v>
      </c>
      <c r="E17332" s="215" t="n">
        <v>45467</v>
      </c>
      <c r="F17332" s="215" t="n">
        <v>45467</v>
      </c>
    </row>
    <row r="17333">
      <c r="A17333" s="215" t="n">
        <v>45468</v>
      </c>
      <c r="B17333" s="216" t="n">
        <v>23.5</v>
      </c>
      <c r="C17333" s="216" t="n">
        <v>29.53</v>
      </c>
      <c r="D17333" s="216" t="n">
        <v>1.075618028640747</v>
      </c>
      <c r="E17333" s="215" t="n">
        <v>45468</v>
      </c>
      <c r="F17333" s="215" t="n">
        <v>45468</v>
      </c>
    </row>
    <row r="17334">
      <c r="A17334" s="215" t="n">
        <v>45469</v>
      </c>
      <c r="B17334" s="216" t="n">
        <v>25</v>
      </c>
      <c r="C17334" s="216" t="n">
        <v>31.55</v>
      </c>
      <c r="D17334" s="216" t="n">
        <v>1.075075030326843</v>
      </c>
      <c r="E17334" s="215" t="n">
        <v>45469</v>
      </c>
      <c r="F17334" s="215" t="n">
        <v>45469</v>
      </c>
    </row>
    <row r="17335">
      <c r="A17335" s="215" t="n">
        <v>45470</v>
      </c>
      <c r="B17335" s="216" t="n">
        <v>23.4</v>
      </c>
      <c r="C17335" s="216" t="n">
        <v>30.57</v>
      </c>
      <c r="D17335" s="216" t="n">
        <v>1.074702024459839</v>
      </c>
      <c r="E17335" s="215" t="n">
        <v>45470</v>
      </c>
      <c r="F17335" s="215" t="n">
        <v>45470</v>
      </c>
    </row>
    <row r="17336">
      <c r="A17336" s="215" t="n">
        <v>45471</v>
      </c>
      <c r="B17336" s="216" t="n">
        <v>22.4</v>
      </c>
      <c r="C17336" s="216" t="n">
        <v>29.91</v>
      </c>
      <c r="D17336" s="216" t="n">
        <v>1.07417905330658</v>
      </c>
      <c r="E17336" s="215" t="n">
        <v>45471</v>
      </c>
      <c r="F17336" s="215" t="n">
        <v>45471</v>
      </c>
    </row>
    <row r="17337">
      <c r="A17337" s="215" t="n">
        <v>45475</v>
      </c>
      <c r="B17337" s="216" t="n">
        <v>21.75</v>
      </c>
      <c r="C17337" s="216" t="n">
        <v>29.45</v>
      </c>
      <c r="D17337" s="216" t="n">
        <v>1.074753046035767</v>
      </c>
      <c r="E17337" s="215" t="n">
        <v>45475</v>
      </c>
      <c r="F17337" s="215" t="n">
        <v>45475</v>
      </c>
    </row>
    <row r="17338">
      <c r="A17338" s="215" t="n">
        <v>45476</v>
      </c>
      <c r="B17338" s="216" t="n">
        <v>22.45</v>
      </c>
      <c r="C17338" s="216" t="n">
        <v>29.82</v>
      </c>
      <c r="D17338" s="216" t="n">
        <v>1.074602007865906</v>
      </c>
      <c r="E17338" s="215" t="n">
        <v>45476</v>
      </c>
      <c r="F17338" s="215" t="n">
        <v>45476</v>
      </c>
    </row>
    <row r="17339">
      <c r="A17339" s="215" t="n">
        <v>45477</v>
      </c>
      <c r="B17339" s="216" t="n">
        <v>22</v>
      </c>
      <c r="C17339" s="216" t="n">
        <v>28.88</v>
      </c>
      <c r="D17339" s="216" t="n">
        <v>1.073940992355347</v>
      </c>
      <c r="E17339" s="215" t="n">
        <v>45477</v>
      </c>
      <c r="F17339" s="215" t="n">
        <v>45477</v>
      </c>
    </row>
    <row r="17340">
      <c r="A17340" s="215" t="n">
        <v>45478</v>
      </c>
      <c r="B17340" s="216" t="n">
        <v>21.45</v>
      </c>
      <c r="C17340" s="216" t="n">
        <v>28.73</v>
      </c>
      <c r="D17340" s="216" t="n">
        <v>1.07449996471405</v>
      </c>
      <c r="E17340" s="215" t="n">
        <v>45478</v>
      </c>
      <c r="F17340" s="215" t="n">
        <v>45478</v>
      </c>
    </row>
    <row r="17341">
      <c r="A17341" s="215" t="n">
        <v>45481</v>
      </c>
      <c r="B17341" s="216" t="n">
        <v>20.75</v>
      </c>
      <c r="C17341" s="216" t="n">
        <v>27.75</v>
      </c>
      <c r="D17341" s="216" t="n">
        <v>1.074715971946716</v>
      </c>
      <c r="E17341" s="215" t="n">
        <v>45481</v>
      </c>
      <c r="F17341" s="215" t="n">
        <v>45481</v>
      </c>
    </row>
    <row r="17342">
      <c r="A17342" s="215" t="n">
        <v>45482</v>
      </c>
      <c r="B17342" s="216" t="n">
        <v>20.9</v>
      </c>
      <c r="C17342" s="216" t="n">
        <v>27.59</v>
      </c>
      <c r="D17342" s="216" t="n">
        <v>1.074417948722839</v>
      </c>
      <c r="E17342" s="215" t="n">
        <v>45482</v>
      </c>
      <c r="F17342" s="215" t="n">
        <v>45482</v>
      </c>
    </row>
    <row r="17343">
      <c r="A17343" s="215" t="n">
        <v>45483</v>
      </c>
      <c r="B17343" s="216" t="n">
        <v>20.8</v>
      </c>
      <c r="C17343" s="216" t="n">
        <v>27.92</v>
      </c>
      <c r="D17343" s="216" t="n">
        <v>1.073858976364136</v>
      </c>
      <c r="E17343" s="215" t="n">
        <v>45483</v>
      </c>
      <c r="F17343" s="215" t="n">
        <v>45483</v>
      </c>
    </row>
    <row r="17344">
      <c r="A17344" s="215" t="n">
        <v>45484</v>
      </c>
      <c r="B17344" s="216" t="n">
        <v>22</v>
      </c>
      <c r="C17344" s="216" t="n">
        <v>29.6</v>
      </c>
      <c r="D17344" s="216" t="n">
        <v>1.073397994041443</v>
      </c>
      <c r="E17344" s="215" t="n">
        <v>45484</v>
      </c>
      <c r="F17344" s="215" t="n">
        <v>45484</v>
      </c>
    </row>
    <row r="17345">
      <c r="A17345" s="215" t="n">
        <v>45485</v>
      </c>
      <c r="B17345" s="216" t="n">
        <v>22.05</v>
      </c>
      <c r="C17345" s="216" t="n">
        <v>29.28</v>
      </c>
      <c r="D17345" s="216" t="n">
        <v>1.07601797580719</v>
      </c>
      <c r="E17345" s="215" t="n">
        <v>45485</v>
      </c>
      <c r="F17345" s="215" t="n">
        <v>45485</v>
      </c>
    </row>
    <row r="17346">
      <c r="A17346" s="215" t="n">
        <v>45488</v>
      </c>
      <c r="B17346" s="216" t="n">
        <v>21.6</v>
      </c>
      <c r="C17346" s="216" t="n">
        <v>28.74</v>
      </c>
      <c r="D17346" s="216" t="n">
        <v>1.076483964920044</v>
      </c>
      <c r="E17346" s="215" t="n">
        <v>45488</v>
      </c>
      <c r="F17346" s="215" t="n">
        <v>45488</v>
      </c>
    </row>
    <row r="17347">
      <c r="A17347" s="215" t="n">
        <v>45489</v>
      </c>
      <c r="B17347" s="216" t="n">
        <v>21.85</v>
      </c>
      <c r="C17347" s="216" t="n">
        <v>29.06</v>
      </c>
      <c r="D17347" s="216" t="n">
        <v>1.07518994808197</v>
      </c>
      <c r="E17347" s="215" t="n">
        <v>45489</v>
      </c>
      <c r="F17347" s="215" t="n">
        <v>45489</v>
      </c>
    </row>
    <row r="17348">
      <c r="A17348" s="215" t="n">
        <v>45490</v>
      </c>
      <c r="B17348" s="216" t="n">
        <v>21.75</v>
      </c>
      <c r="C17348" s="216" t="n">
        <v>28.96</v>
      </c>
      <c r="D17348" s="216" t="n">
        <v>1.093601942062378</v>
      </c>
      <c r="E17348" s="215" t="n">
        <v>45490</v>
      </c>
      <c r="F17348" s="215" t="n">
        <v>45490</v>
      </c>
    </row>
    <row r="17349">
      <c r="A17349" s="215" t="n">
        <v>45491</v>
      </c>
      <c r="B17349" s="216" t="n">
        <v>21.7</v>
      </c>
      <c r="C17349" s="216" t="n">
        <v>29.01</v>
      </c>
      <c r="D17349" s="216" t="n">
        <v>1.075235962867737</v>
      </c>
      <c r="E17349" s="215" t="n">
        <v>45491</v>
      </c>
      <c r="F17349" s="215" t="n">
        <v>45491</v>
      </c>
    </row>
    <row r="17350">
      <c r="A17350" s="215" t="n">
        <v>45492</v>
      </c>
      <c r="B17350" s="216" t="n">
        <v>21.8</v>
      </c>
      <c r="C17350" s="216" t="n">
        <v>29.23</v>
      </c>
      <c r="D17350" s="216" t="n">
        <v>1.075747013092041</v>
      </c>
      <c r="E17350" s="215" t="n">
        <v>45492</v>
      </c>
      <c r="F17350" s="215" t="n">
        <v>45492</v>
      </c>
    </row>
    <row r="17351">
      <c r="A17351" s="215" t="n">
        <v>45495</v>
      </c>
      <c r="B17351" s="216" t="n">
        <v>21.6</v>
      </c>
      <c r="C17351" s="216" t="n">
        <v>28.99</v>
      </c>
      <c r="D17351" s="216" t="n">
        <v>1.074203968048096</v>
      </c>
      <c r="E17351" s="215" t="n">
        <v>45495</v>
      </c>
      <c r="F17351" s="215" t="n">
        <v>45495</v>
      </c>
    </row>
    <row r="17352">
      <c r="A17352" s="215" t="n">
        <v>45496</v>
      </c>
      <c r="B17352" s="216" t="n">
        <v>20.6</v>
      </c>
      <c r="C17352" s="216" t="n">
        <v>27.8</v>
      </c>
      <c r="D17352" s="216" t="n">
        <v>1.073030948638916</v>
      </c>
      <c r="E17352" s="215" t="n">
        <v>45496</v>
      </c>
      <c r="F17352" s="215" t="n">
        <v>45496</v>
      </c>
    </row>
    <row r="17353">
      <c r="A17353" s="215" t="n">
        <v>45497</v>
      </c>
      <c r="B17353" s="216" t="n">
        <v>20.3</v>
      </c>
      <c r="C17353" s="216" t="n">
        <v>27.22</v>
      </c>
      <c r="D17353" s="216" t="n">
        <v>1.073214054107666</v>
      </c>
      <c r="E17353" s="215" t="n">
        <v>45497</v>
      </c>
      <c r="F17353" s="215" t="n">
        <v>45497</v>
      </c>
    </row>
    <row r="17354">
      <c r="A17354" s="215" t="n">
        <v>45498</v>
      </c>
      <c r="B17354" s="216" t="n">
        <v>20.85</v>
      </c>
      <c r="C17354" s="216" t="n">
        <v>28.18</v>
      </c>
      <c r="D17354" s="216" t="n">
        <v>1.075216054916382</v>
      </c>
      <c r="E17354" s="215" t="n">
        <v>45498</v>
      </c>
      <c r="F17354" s="215" t="n">
        <v>45498</v>
      </c>
    </row>
    <row r="17355">
      <c r="A17355" s="215" t="n">
        <v>45499</v>
      </c>
      <c r="B17355" s="216" t="n">
        <v>21.8</v>
      </c>
      <c r="C17355" s="216" t="n">
        <v>29.12</v>
      </c>
      <c r="D17355" s="216" t="n">
        <v>1.079524040222168</v>
      </c>
      <c r="E17355" s="215" t="n">
        <v>45499</v>
      </c>
      <c r="F17355" s="215" t="n">
        <v>45499</v>
      </c>
    </row>
    <row r="17356">
      <c r="A17356" s="215" t="n">
        <v>45502</v>
      </c>
      <c r="B17356" s="216" t="n">
        <v>20.55</v>
      </c>
      <c r="C17356" s="216" t="n">
        <v>28.17</v>
      </c>
      <c r="D17356" s="216" t="n">
        <v>1.076396942138672</v>
      </c>
      <c r="E17356" s="215" t="n">
        <v>45502</v>
      </c>
      <c r="F17356" s="215" t="n">
        <v>45502</v>
      </c>
    </row>
    <row r="17357">
      <c r="A17357" s="215" t="n">
        <v>45503</v>
      </c>
      <c r="B17357" s="216" t="n">
        <v>20.65</v>
      </c>
      <c r="C17357" s="216" t="n">
        <v>28.09</v>
      </c>
      <c r="D17357" s="216" t="n">
        <v>1.075829982757568</v>
      </c>
      <c r="E17357" s="215" t="n">
        <v>45503</v>
      </c>
      <c r="F17357" s="215" t="n">
        <v>45503</v>
      </c>
    </row>
    <row r="17358">
      <c r="A17358" s="215" t="n">
        <v>45504</v>
      </c>
      <c r="B17358" s="216" t="n">
        <v>21.4</v>
      </c>
      <c r="C17358" s="216" t="n">
        <v>29.26</v>
      </c>
      <c r="D17358" s="216" t="n">
        <v>1.077026009559631</v>
      </c>
      <c r="E17358" s="215" t="n">
        <v>45504</v>
      </c>
      <c r="F17358" s="215" t="n">
        <v>45504</v>
      </c>
    </row>
    <row r="17359">
      <c r="A17359" s="215" t="n">
        <v>45505</v>
      </c>
      <c r="B17359" s="216" t="n">
        <v>21</v>
      </c>
      <c r="C17359" s="216" t="n">
        <v>28.65</v>
      </c>
      <c r="D17359" s="216" t="n">
        <v>1.082347989082336</v>
      </c>
      <c r="E17359" s="215" t="n">
        <v>45505</v>
      </c>
      <c r="F17359" s="215" t="n">
        <v>45505</v>
      </c>
    </row>
    <row r="17360">
      <c r="A17360" s="215" t="n">
        <v>45506</v>
      </c>
      <c r="B17360" s="216" t="n">
        <v>21</v>
      </c>
      <c r="C17360" s="216" t="n">
        <v>28.53</v>
      </c>
      <c r="D17360" s="216" t="n">
        <v>1.078637003898621</v>
      </c>
      <c r="E17360" s="215" t="n">
        <v>45506</v>
      </c>
      <c r="F17360" s="215" t="n">
        <v>45506</v>
      </c>
    </row>
    <row r="17361">
      <c r="A17361" s="215" t="n">
        <v>45509</v>
      </c>
      <c r="B17361" s="216" t="n">
        <v>20.25</v>
      </c>
      <c r="C17361" s="216" t="n">
        <v>28.06</v>
      </c>
      <c r="D17361" s="216" t="n">
        <v>1.090283036231995</v>
      </c>
      <c r="E17361" s="215" t="n">
        <v>45509</v>
      </c>
      <c r="F17361" s="215" t="n">
        <v>45509</v>
      </c>
    </row>
    <row r="17362">
      <c r="A17362" s="215" t="n">
        <v>45510</v>
      </c>
      <c r="B17362" s="216" t="n">
        <v>21.05</v>
      </c>
      <c r="C17362" s="216" t="n">
        <v>28.76</v>
      </c>
      <c r="D17362" s="216" t="n">
        <v>1.094287037849426</v>
      </c>
      <c r="E17362" s="215" t="n">
        <v>45510</v>
      </c>
      <c r="F17362" s="215" t="n">
        <v>45510</v>
      </c>
    </row>
    <row r="17363">
      <c r="A17363" s="215" t="n">
        <v>45511</v>
      </c>
      <c r="B17363" s="216" t="n">
        <v>21</v>
      </c>
      <c r="C17363" s="216" t="n">
        <v>28.26</v>
      </c>
      <c r="D17363" s="216" t="n">
        <v>1.089087009429932</v>
      </c>
      <c r="E17363" s="215" t="n">
        <v>45511</v>
      </c>
      <c r="F17363" s="215" t="n">
        <v>45511</v>
      </c>
    </row>
    <row r="17364">
      <c r="A17364" s="215" t="n">
        <v>45512</v>
      </c>
      <c r="B17364" s="216" t="n">
        <v>21</v>
      </c>
      <c r="C17364" s="216" t="n">
        <v>27.9</v>
      </c>
      <c r="D17364" s="216" t="n">
        <v>1.084957957267761</v>
      </c>
      <c r="E17364" s="215" t="n">
        <v>45512</v>
      </c>
      <c r="F17364" s="215" t="n">
        <v>45512</v>
      </c>
    </row>
    <row r="17365">
      <c r="A17365" s="215" t="n">
        <v>45513</v>
      </c>
      <c r="B17365" s="216" t="n">
        <v>20.85</v>
      </c>
      <c r="C17365" s="216" t="n">
        <v>27.39</v>
      </c>
      <c r="D17365" s="216" t="n">
        <v>1.086197972297668</v>
      </c>
      <c r="E17365" s="215" t="n">
        <v>45513</v>
      </c>
      <c r="F17365" s="215" t="n">
        <v>45513</v>
      </c>
    </row>
    <row r="17366">
      <c r="A17366" s="215" t="n">
        <v>45516</v>
      </c>
      <c r="B17366" s="216" t="n">
        <v>20.65</v>
      </c>
      <c r="C17366" s="216" t="n">
        <v>27.1</v>
      </c>
      <c r="D17366" s="216" t="n">
        <v>1.087875008583069</v>
      </c>
      <c r="E17366" s="215" t="n">
        <v>45516</v>
      </c>
      <c r="F17366" s="215" t="n">
        <v>45516</v>
      </c>
    </row>
    <row r="17367">
      <c r="A17367" s="215" t="n">
        <v>45517</v>
      </c>
      <c r="B17367" s="216" t="n">
        <v>20.9</v>
      </c>
      <c r="C17367" s="216" t="n">
        <v>27.67</v>
      </c>
      <c r="D17367" s="216" t="n">
        <v>1.085934996604919</v>
      </c>
      <c r="E17367" s="215" t="n">
        <v>45517</v>
      </c>
      <c r="F17367" s="215" t="n">
        <v>45517</v>
      </c>
    </row>
    <row r="17368">
      <c r="A17368" s="215" t="n">
        <v>45518</v>
      </c>
      <c r="B17368" s="216" t="n">
        <v>20.25</v>
      </c>
      <c r="C17368" s="216" t="n">
        <v>26.97</v>
      </c>
      <c r="D17368" s="216" t="n">
        <v>1.088662981987</v>
      </c>
      <c r="E17368" s="215" t="n">
        <v>45518</v>
      </c>
      <c r="F17368" s="215" t="n">
        <v>45518</v>
      </c>
    </row>
    <row r="17369">
      <c r="A17369" s="215" t="n">
        <v>45519</v>
      </c>
      <c r="B17369" s="216" t="n">
        <v>20.05</v>
      </c>
      <c r="C17369" s="216" t="n">
        <v>27</v>
      </c>
      <c r="D17369" s="216" t="n">
        <v>1.091369986534119</v>
      </c>
      <c r="E17369" s="215" t="n">
        <v>45519</v>
      </c>
      <c r="F17369" s="215" t="n">
        <v>45519</v>
      </c>
    </row>
    <row r="17370">
      <c r="A17370" s="215" t="n">
        <v>45520</v>
      </c>
      <c r="B17370" s="216" t="n">
        <v>20.05</v>
      </c>
      <c r="C17370" s="216" t="n">
        <v>26.7</v>
      </c>
      <c r="D17370" s="216" t="n">
        <v>1.08672297000885</v>
      </c>
      <c r="E17370" s="215" t="n">
        <v>45520</v>
      </c>
      <c r="F17370" s="215" t="n">
        <v>45520</v>
      </c>
    </row>
    <row r="17371">
      <c r="A17371" s="215" t="n">
        <v>45523</v>
      </c>
      <c r="B17371" s="216" t="n">
        <v>20.2</v>
      </c>
      <c r="C17371" s="216" t="n">
        <v>26.32</v>
      </c>
      <c r="D17371" s="216" t="n">
        <v>1.087823033332825</v>
      </c>
      <c r="E17371" s="215" t="n">
        <v>45523</v>
      </c>
      <c r="F17371" s="215" t="n">
        <v>45523</v>
      </c>
    </row>
    <row r="17372">
      <c r="A17372" s="215" t="n">
        <v>45524</v>
      </c>
      <c r="B17372" s="216" t="n">
        <v>20.55</v>
      </c>
      <c r="C17372" s="216" t="n">
        <v>26.14</v>
      </c>
      <c r="D17372" s="216" t="n">
        <v>1.08710503578186</v>
      </c>
      <c r="E17372" s="215" t="n">
        <v>45524</v>
      </c>
      <c r="F17372" s="215" t="n">
        <v>45524</v>
      </c>
    </row>
    <row r="17373">
      <c r="A17373" s="215" t="n">
        <v>45525</v>
      </c>
      <c r="B17373" s="216" t="n">
        <v>21.15</v>
      </c>
      <c r="C17373" s="216" t="n">
        <v>26.81</v>
      </c>
      <c r="D17373" s="216" t="n">
        <v>1.091691970825195</v>
      </c>
      <c r="E17373" s="215" t="n">
        <v>45525</v>
      </c>
      <c r="F17373" s="215" t="n">
        <v>45525</v>
      </c>
    </row>
    <row r="17374">
      <c r="A17374" s="215" t="n">
        <v>45526</v>
      </c>
      <c r="B17374" s="216" t="n">
        <v>20.4</v>
      </c>
      <c r="C17374" s="216" t="n">
        <v>25.8</v>
      </c>
      <c r="D17374" s="216" t="n">
        <v>1.092425942420959</v>
      </c>
      <c r="E17374" s="215" t="n">
        <v>45526</v>
      </c>
      <c r="F17374" s="215" t="n">
        <v>45526</v>
      </c>
    </row>
    <row r="17375">
      <c r="A17375" s="215" t="n">
        <v>45527</v>
      </c>
      <c r="B17375" s="216" t="n">
        <v>19.42</v>
      </c>
      <c r="C17375" s="216" t="n">
        <v>25.11</v>
      </c>
      <c r="D17375" s="216" t="n">
        <v>1.091052055358887</v>
      </c>
      <c r="E17375" s="215" t="n">
        <v>45527</v>
      </c>
      <c r="F17375" s="215" t="n">
        <v>45527</v>
      </c>
    </row>
    <row r="17376">
      <c r="A17376" s="215" t="n">
        <v>45530</v>
      </c>
      <c r="B17376" s="216" t="n">
        <v>20.2</v>
      </c>
      <c r="C17376" s="216" t="n">
        <v>25.68</v>
      </c>
      <c r="D17376" s="216" t="n">
        <v>1.094154953956604</v>
      </c>
      <c r="E17376" s="215" t="n">
        <v>45530</v>
      </c>
      <c r="F17376" s="215" t="n">
        <v>45530</v>
      </c>
    </row>
    <row r="17377">
      <c r="A17377" s="215" t="n">
        <v>45531</v>
      </c>
      <c r="B17377" s="216" t="n">
        <v>20.25</v>
      </c>
      <c r="C17377" s="216" t="n">
        <v>25.54</v>
      </c>
      <c r="D17377" s="216" t="n">
        <v>1.094954967498779</v>
      </c>
      <c r="E17377" s="215" t="n">
        <v>45531</v>
      </c>
      <c r="F17377" s="215" t="n">
        <v>45531</v>
      </c>
    </row>
    <row r="17378">
      <c r="A17378" s="215" t="n">
        <v>45532</v>
      </c>
      <c r="B17378" s="216" t="n">
        <v>19.9</v>
      </c>
      <c r="C17378" s="216" t="n">
        <v>25.32</v>
      </c>
      <c r="D17378" s="216" t="n">
        <v>1.095074057579041</v>
      </c>
      <c r="E17378" s="215" t="n">
        <v>45532</v>
      </c>
      <c r="F17378" s="215" t="n">
        <v>45532</v>
      </c>
    </row>
    <row r="17379">
      <c r="A17379" s="215" t="n">
        <v>45533</v>
      </c>
      <c r="B17379" s="216" t="n">
        <v>19.72</v>
      </c>
      <c r="C17379" s="216" t="n">
        <v>25.57</v>
      </c>
      <c r="D17379" s="216" t="n">
        <v>1.094665050506592</v>
      </c>
      <c r="E17379" s="215" t="n">
        <v>45533</v>
      </c>
      <c r="F17379" s="215" t="n">
        <v>45533</v>
      </c>
    </row>
    <row r="17380">
      <c r="A17380" s="215" t="n">
        <v>45534</v>
      </c>
      <c r="B17380" s="216" t="n">
        <v>19.72</v>
      </c>
      <c r="C17380" s="216" t="n">
        <v>26.28</v>
      </c>
      <c r="D17380" s="216" t="n">
        <v>1.09866201877594</v>
      </c>
      <c r="E17380" s="215" t="n">
        <v>45534</v>
      </c>
      <c r="F17380" s="215" t="n">
        <v>45534</v>
      </c>
    </row>
    <row r="17381">
      <c r="A17381" s="215" t="n">
        <v>45537</v>
      </c>
      <c r="B17381" s="216" t="n">
        <v>18.64</v>
      </c>
      <c r="C17381" s="216" t="n">
        <v>24.95</v>
      </c>
      <c r="D17381" s="216" t="n">
        <v>1.099230051040649</v>
      </c>
      <c r="E17381" s="215" t="n">
        <v>45537</v>
      </c>
      <c r="F17381" s="215" t="n">
        <v>45537</v>
      </c>
    </row>
    <row r="17382">
      <c r="A17382" s="215" t="n">
        <v>45538</v>
      </c>
      <c r="B17382" s="216" t="n">
        <v>19.28</v>
      </c>
      <c r="C17382" s="216" t="n">
        <v>26.15</v>
      </c>
      <c r="D17382" s="216" t="n">
        <v>1.095303058624268</v>
      </c>
      <c r="E17382" s="215" t="n">
        <v>45538</v>
      </c>
      <c r="F17382" s="215" t="n">
        <v>45538</v>
      </c>
    </row>
    <row r="17383">
      <c r="A17383" s="215" t="n">
        <v>45539</v>
      </c>
      <c r="B17383" s="216" t="n">
        <v>18.98</v>
      </c>
      <c r="C17383" s="216" t="n">
        <v>26.16</v>
      </c>
      <c r="D17383" s="216" t="n">
        <v>1.094771981239319</v>
      </c>
      <c r="E17383" s="215" t="n">
        <v>45539</v>
      </c>
      <c r="F17383" s="215" t="n">
        <v>45539</v>
      </c>
    </row>
    <row r="17384">
      <c r="A17384" s="215" t="n">
        <v>45540</v>
      </c>
      <c r="B17384" s="216" t="n">
        <v>19.52</v>
      </c>
      <c r="C17384" s="216" t="n">
        <v>26.7</v>
      </c>
      <c r="D17384" s="216" t="n">
        <v>1.095960021018982</v>
      </c>
      <c r="E17384" s="215" t="n">
        <v>45540</v>
      </c>
      <c r="F17384" s="215" t="n">
        <v>45540</v>
      </c>
    </row>
    <row r="17385">
      <c r="A17385" s="215" t="n">
        <v>45544</v>
      </c>
      <c r="B17385" s="216" t="n">
        <v>19.26</v>
      </c>
      <c r="C17385" s="216" t="n">
        <v>25.61</v>
      </c>
      <c r="D17385" s="216" t="n">
        <v>1.099578022956848</v>
      </c>
      <c r="E17385" s="215" t="n">
        <v>45544</v>
      </c>
      <c r="F17385" s="215" t="n">
        <v>45544</v>
      </c>
    </row>
    <row r="17386">
      <c r="A17386" s="215" t="n">
        <v>45545</v>
      </c>
      <c r="B17386" s="216" t="n">
        <v>18.56</v>
      </c>
      <c r="C17386" s="216" t="n">
        <v>24.93</v>
      </c>
      <c r="D17386" s="216" t="n">
        <v>1.095790028572083</v>
      </c>
      <c r="E17386" s="215" t="n">
        <v>45545</v>
      </c>
      <c r="F17386" s="215" t="n">
        <v>45545</v>
      </c>
    </row>
    <row r="17387">
      <c r="A17387" s="215" t="n">
        <v>45546</v>
      </c>
      <c r="B17387" s="216" t="n">
        <v>21</v>
      </c>
      <c r="C17387" s="216" t="n">
        <v>27.42</v>
      </c>
      <c r="D17387" s="216" t="n">
        <v>1.094709038734436</v>
      </c>
      <c r="E17387" s="215" t="n">
        <v>45546</v>
      </c>
      <c r="F17387" s="215" t="n">
        <v>45546</v>
      </c>
    </row>
    <row r="17388">
      <c r="A17388" s="215" t="n">
        <v>45547</v>
      </c>
      <c r="B17388" s="216" t="n">
        <v>20.8</v>
      </c>
      <c r="C17388" s="216" t="n">
        <v>27.7</v>
      </c>
      <c r="D17388" s="216" t="n">
        <v>1.095039010047913</v>
      </c>
      <c r="E17388" s="215" t="n">
        <v>45547</v>
      </c>
      <c r="F17388" s="215" t="n">
        <v>45547</v>
      </c>
    </row>
    <row r="17389">
      <c r="A17389" s="215" t="n">
        <v>45548</v>
      </c>
      <c r="B17389" s="216" t="n">
        <v>19.54</v>
      </c>
      <c r="C17389" s="216" t="n">
        <v>25.82</v>
      </c>
      <c r="D17389" s="216" t="n">
        <v>1.096182942390442</v>
      </c>
      <c r="E17389" s="215" t="n">
        <v>45548</v>
      </c>
      <c r="F17389" s="215" t="n">
        <v>45548</v>
      </c>
    </row>
    <row r="17390">
      <c r="A17390" s="215" t="n">
        <v>45551</v>
      </c>
      <c r="B17390" s="216" t="n">
        <v>19.74</v>
      </c>
      <c r="C17390" s="216" t="n">
        <v>25.82</v>
      </c>
      <c r="D17390" s="216" t="n">
        <v>1.099149942398071</v>
      </c>
      <c r="E17390" s="215" t="n">
        <v>45548</v>
      </c>
      <c r="F17390" s="215" t="n">
        <v>45551</v>
      </c>
    </row>
    <row r="17391">
      <c r="A17391" s="215" t="n">
        <v>45552</v>
      </c>
      <c r="B17391" s="216" t="n">
        <v>19.96</v>
      </c>
      <c r="C17391" s="216" t="n">
        <v>25.82</v>
      </c>
      <c r="D17391" s="216" t="n">
        <v>1.098492980003357</v>
      </c>
      <c r="E17391" s="215" t="n">
        <v>45548</v>
      </c>
      <c r="F17391" s="215" t="n">
        <v>45552</v>
      </c>
    </row>
    <row r="17392">
      <c r="A17392" s="215" t="n">
        <v>45554</v>
      </c>
      <c r="B17392" s="216" t="n">
        <v>20.4</v>
      </c>
      <c r="C17392" s="216" t="n">
        <v>25.43</v>
      </c>
      <c r="D17392" s="216" t="n">
        <v>1.10042405128479</v>
      </c>
      <c r="E17392" s="215" t="n">
        <v>45554</v>
      </c>
      <c r="F17392" s="215" t="n">
        <v>45554</v>
      </c>
    </row>
    <row r="17393">
      <c r="A17393" s="215" t="n">
        <v>45555</v>
      </c>
      <c r="B17393" s="216" t="n">
        <v>20.5</v>
      </c>
      <c r="C17393" s="216" t="n">
        <v>24.94</v>
      </c>
      <c r="D17393" s="216" t="n">
        <v>1.102666974067688</v>
      </c>
      <c r="E17393" s="215" t="n">
        <v>45555</v>
      </c>
      <c r="F17393" s="215" t="n">
        <v>45555</v>
      </c>
    </row>
    <row r="17394">
      <c r="A17394" s="215" t="n">
        <v>45558</v>
      </c>
      <c r="B17394" s="216" t="n">
        <v>20.55</v>
      </c>
      <c r="C17394" s="216" t="n">
        <v>24.93</v>
      </c>
      <c r="D17394" s="216" t="n">
        <v>1.104709982872009</v>
      </c>
      <c r="E17394" s="215" t="n">
        <v>45558</v>
      </c>
      <c r="F17394" s="215" t="n">
        <v>45558</v>
      </c>
    </row>
    <row r="17395">
      <c r="A17395" s="215" t="n">
        <v>45559</v>
      </c>
      <c r="B17395" s="216" t="n">
        <v>22.25</v>
      </c>
      <c r="C17395" s="216" t="n">
        <v>27.42</v>
      </c>
      <c r="D17395" s="216" t="n">
        <v>1.104027032852173</v>
      </c>
      <c r="E17395" s="215" t="n">
        <v>45559</v>
      </c>
      <c r="F17395" s="215" t="n">
        <v>45559</v>
      </c>
    </row>
    <row r="17396">
      <c r="A17396" s="215" t="n">
        <v>45560</v>
      </c>
      <c r="B17396" s="216" t="n">
        <v>22.4</v>
      </c>
      <c r="C17396" s="216" t="n">
        <v>28.09</v>
      </c>
      <c r="D17396" s="216" t="n">
        <v>1.106814026832581</v>
      </c>
      <c r="E17396" s="215" t="n">
        <v>45560</v>
      </c>
      <c r="F17396" s="215" t="n">
        <v>45560</v>
      </c>
    </row>
    <row r="17397">
      <c r="A17397" s="215" t="n">
        <v>45561</v>
      </c>
      <c r="B17397" s="216" t="n">
        <v>23.45</v>
      </c>
      <c r="C17397" s="216" t="n">
        <v>29.09</v>
      </c>
      <c r="D17397" s="216" t="n">
        <v>1.106874942779541</v>
      </c>
      <c r="E17397" s="215" t="n">
        <v>45561</v>
      </c>
      <c r="F17397" s="215" t="n">
        <v>45561</v>
      </c>
    </row>
    <row r="17398">
      <c r="A17398" s="215" t="n">
        <v>45562</v>
      </c>
      <c r="B17398" s="216" t="n">
        <v>26.6</v>
      </c>
      <c r="C17398" s="216" t="n">
        <v>32</v>
      </c>
      <c r="D17398" s="216" t="n">
        <v>1.10965895652771</v>
      </c>
      <c r="E17398" s="215" t="n">
        <v>45562</v>
      </c>
      <c r="F17398" s="215" t="n">
        <v>45562</v>
      </c>
    </row>
    <row r="17399">
      <c r="A17399" s="215" t="n">
        <v>45565</v>
      </c>
      <c r="B17399" s="216" t="n">
        <v>27.6</v>
      </c>
      <c r="C17399" s="216" t="n">
        <v>35.2</v>
      </c>
      <c r="D17399" s="216" t="n">
        <v>1.10850203037262</v>
      </c>
      <c r="E17399" s="215" t="n">
        <v>45565</v>
      </c>
      <c r="F17399" s="215" t="n">
        <v>45565</v>
      </c>
    </row>
    <row r="17400">
      <c r="A17400" s="215" t="n">
        <v>45567</v>
      </c>
      <c r="B17400" s="216" t="n">
        <v>30.05</v>
      </c>
      <c r="C17400" s="216" t="n">
        <v>35.2</v>
      </c>
      <c r="D17400" s="216" t="n">
        <v>1.105224967002869</v>
      </c>
      <c r="E17400" s="215" t="n">
        <v>45565</v>
      </c>
      <c r="F17400" s="215" t="n">
        <v>45567</v>
      </c>
    </row>
    <row r="17401">
      <c r="A17401" s="215" t="n">
        <v>45568</v>
      </c>
      <c r="B17401" s="216" t="n">
        <v>28</v>
      </c>
      <c r="C17401" s="216" t="n">
        <v>35.2</v>
      </c>
      <c r="D17401" s="216" t="n">
        <v>1.10276198387146</v>
      </c>
      <c r="E17401" s="215" t="n">
        <v>45565</v>
      </c>
      <c r="F17401" s="215" t="n">
        <v>45568</v>
      </c>
    </row>
    <row r="17402">
      <c r="A17402" s="215" t="n">
        <v>45569</v>
      </c>
      <c r="B17402" s="216" t="n">
        <v>29.6</v>
      </c>
      <c r="C17402" s="216" t="n">
        <v>35.2</v>
      </c>
      <c r="D17402" s="216" t="n">
        <v>1.10200297832489</v>
      </c>
      <c r="E17402" s="215" t="n">
        <v>45565</v>
      </c>
      <c r="F17402" s="215" t="n">
        <v>45569</v>
      </c>
    </row>
    <row r="17403">
      <c r="A17403" s="215" t="n">
        <v>45572</v>
      </c>
      <c r="B17403" s="216" t="n">
        <v>33</v>
      </c>
      <c r="C17403" s="216" t="n">
        <v>35.2</v>
      </c>
      <c r="D17403" s="216" t="n">
        <v>1.10656201839447</v>
      </c>
      <c r="E17403" s="215" t="n">
        <v>45565</v>
      </c>
      <c r="F17403" s="215" t="n">
        <v>45572</v>
      </c>
    </row>
    <row r="17404">
      <c r="A17404" s="215" t="n">
        <v>45573</v>
      </c>
      <c r="B17404" s="216" t="n">
        <v>28.4</v>
      </c>
      <c r="C17404" s="216" t="n">
        <v>38.72</v>
      </c>
      <c r="D17404" s="216" t="n">
        <v>1.106070041656494</v>
      </c>
      <c r="E17404" s="215" t="n">
        <v>45573</v>
      </c>
      <c r="F17404" s="215" t="n">
        <v>45573</v>
      </c>
    </row>
    <row r="17405">
      <c r="A17405" s="215" t="n">
        <v>45574</v>
      </c>
      <c r="B17405" s="216" t="n">
        <v>26.35</v>
      </c>
      <c r="C17405" s="216" t="n">
        <v>35.4</v>
      </c>
      <c r="D17405" s="216" t="n">
        <v>1.101308941841125</v>
      </c>
      <c r="E17405" s="215" t="n">
        <v>45574</v>
      </c>
      <c r="F17405" s="215" t="n">
        <v>45574</v>
      </c>
    </row>
    <row r="17406">
      <c r="A17406" s="215" t="n">
        <v>45575</v>
      </c>
      <c r="B17406" s="216" t="n">
        <v>26.8</v>
      </c>
      <c r="C17406" s="216" t="n">
        <v>36.28</v>
      </c>
      <c r="D17406" s="216" t="n">
        <v>1.09762704372406</v>
      </c>
      <c r="E17406" s="215" t="n">
        <v>45575</v>
      </c>
      <c r="F17406" s="215" t="n">
        <v>45575</v>
      </c>
    </row>
    <row r="17407">
      <c r="A17407" s="215" t="n">
        <v>45579</v>
      </c>
      <c r="B17407" s="216" t="n">
        <v>25.75</v>
      </c>
      <c r="C17407" s="216" t="n">
        <v>33.87</v>
      </c>
      <c r="D17407" s="216" t="n">
        <v>1.099969029426575</v>
      </c>
      <c r="E17407" s="215" t="n">
        <v>45579</v>
      </c>
      <c r="F17407" s="215" t="n">
        <v>45579</v>
      </c>
    </row>
    <row r="17408">
      <c r="A17408" s="215" t="n">
        <v>45580</v>
      </c>
      <c r="B17408" s="216" t="n">
        <v>24.7</v>
      </c>
      <c r="C17408" s="216" t="n">
        <v>32.85</v>
      </c>
      <c r="D17408" s="216" t="n">
        <v>1.095134019851685</v>
      </c>
      <c r="E17408" s="215" t="n">
        <v>45580</v>
      </c>
      <c r="F17408" s="215" t="n">
        <v>45580</v>
      </c>
    </row>
    <row r="17409">
      <c r="A17409" s="215" t="n">
        <v>45581</v>
      </c>
      <c r="B17409" s="216" t="n">
        <v>24.35</v>
      </c>
      <c r="C17409" s="216" t="n">
        <v>32.2</v>
      </c>
      <c r="D17409" s="216" t="n">
        <v>1.091102957725525</v>
      </c>
      <c r="E17409" s="215" t="n">
        <v>45581</v>
      </c>
      <c r="F17409" s="215" t="n">
        <v>45581</v>
      </c>
    </row>
    <row r="17410">
      <c r="A17410" s="215" t="n">
        <v>45582</v>
      </c>
      <c r="B17410" s="216" t="n">
        <v>23.85</v>
      </c>
      <c r="C17410" s="216" t="n">
        <v>31.78</v>
      </c>
      <c r="D17410" s="216" t="n">
        <v>1.091408967971802</v>
      </c>
      <c r="E17410" s="215" t="n">
        <v>45582</v>
      </c>
      <c r="F17410" s="215" t="n">
        <v>45582</v>
      </c>
    </row>
    <row r="17411">
      <c r="A17411" s="215" t="n">
        <v>45583</v>
      </c>
      <c r="B17411" s="216" t="n">
        <v>24.6</v>
      </c>
      <c r="C17411" s="216" t="n">
        <v>33.35</v>
      </c>
      <c r="D17411" s="216" t="n">
        <v>1.090952038764954</v>
      </c>
      <c r="E17411" s="215" t="n">
        <v>45583</v>
      </c>
      <c r="F17411" s="215" t="n">
        <v>45583</v>
      </c>
    </row>
    <row r="17412">
      <c r="A17412" s="215" t="n">
        <v>45586</v>
      </c>
      <c r="B17412" s="216" t="n">
        <v>24.75</v>
      </c>
      <c r="C17412" s="216" t="n">
        <v>33.92</v>
      </c>
      <c r="D17412" s="216" t="n">
        <v>1.09406304359436</v>
      </c>
      <c r="E17412" s="215" t="n">
        <v>45586</v>
      </c>
      <c r="F17412" s="215" t="n">
        <v>45586</v>
      </c>
    </row>
    <row r="17413">
      <c r="A17413" s="215" t="n">
        <v>45587</v>
      </c>
      <c r="B17413" s="216" t="n">
        <v>24.9</v>
      </c>
      <c r="C17413" s="216" t="n">
        <v>35.24</v>
      </c>
      <c r="D17413" s="216" t="n">
        <v>1.091953992843628</v>
      </c>
      <c r="E17413" s="215" t="n">
        <v>45587</v>
      </c>
      <c r="F17413" s="215" t="n">
        <v>45587</v>
      </c>
    </row>
    <row r="17414">
      <c r="A17414" s="215" t="n">
        <v>45588</v>
      </c>
      <c r="B17414" s="216" t="n">
        <v>26.1</v>
      </c>
      <c r="C17414" s="216" t="n">
        <v>36.09</v>
      </c>
      <c r="D17414" s="216" t="n">
        <v>1.091060042381287</v>
      </c>
      <c r="E17414" s="215" t="n">
        <v>45588</v>
      </c>
      <c r="F17414" s="215" t="n">
        <v>45588</v>
      </c>
    </row>
    <row r="17415">
      <c r="A17415" s="215" t="n">
        <v>45589</v>
      </c>
      <c r="B17415" s="216" t="n">
        <v>25</v>
      </c>
      <c r="C17415" s="216" t="n">
        <v>34.72</v>
      </c>
      <c r="D17415" s="216" t="n">
        <v>1.090194940567017</v>
      </c>
      <c r="E17415" s="215" t="n">
        <v>45589</v>
      </c>
      <c r="F17415" s="215" t="n">
        <v>45589</v>
      </c>
    </row>
    <row r="17416">
      <c r="A17416" s="215" t="n">
        <v>45590</v>
      </c>
      <c r="B17416" s="216" t="n">
        <v>26.75</v>
      </c>
      <c r="C17416" s="216" t="n">
        <v>36.89</v>
      </c>
      <c r="D17416" s="216" t="n">
        <v>1.091233015060425</v>
      </c>
      <c r="E17416" s="215" t="n">
        <v>45590</v>
      </c>
      <c r="F17416" s="215" t="n">
        <v>45590</v>
      </c>
    </row>
    <row r="17417">
      <c r="A17417" s="215" t="n">
        <v>45593</v>
      </c>
      <c r="B17417" s="216" t="n">
        <v>26.9</v>
      </c>
      <c r="C17417" s="216" t="n">
        <v>37.05</v>
      </c>
      <c r="D17417" s="216" t="n">
        <v>1.091169953346252</v>
      </c>
      <c r="E17417" s="215" t="n">
        <v>45593</v>
      </c>
      <c r="F17417" s="215" t="n">
        <v>45593</v>
      </c>
    </row>
    <row r="17418">
      <c r="A17418" s="215" t="n">
        <v>45594</v>
      </c>
      <c r="B17418" s="216" t="n">
        <v>26.05</v>
      </c>
      <c r="C17418" s="216" t="n">
        <v>35.91</v>
      </c>
      <c r="D17418" s="216" t="n">
        <v>1.090175032615662</v>
      </c>
      <c r="E17418" s="215" t="n">
        <v>45594</v>
      </c>
      <c r="F17418" s="215" t="n">
        <v>45594</v>
      </c>
    </row>
    <row r="17419">
      <c r="A17419" s="215" t="n">
        <v>45595</v>
      </c>
      <c r="B17419" s="216" t="n">
        <v>25.55</v>
      </c>
      <c r="C17419" s="216" t="n">
        <v>34.87</v>
      </c>
      <c r="D17419" s="216" t="n">
        <v>1.089673042297363</v>
      </c>
      <c r="E17419" s="215" t="n">
        <v>45595</v>
      </c>
      <c r="F17419" s="215" t="n">
        <v>45595</v>
      </c>
    </row>
    <row r="17420">
      <c r="A17420" s="215" t="n">
        <v>45596</v>
      </c>
      <c r="B17420" s="216" t="n">
        <v>26.05</v>
      </c>
      <c r="C17420" s="216" t="n">
        <v>35.95</v>
      </c>
      <c r="D17420" s="216" t="n">
        <v>1.091989994049072</v>
      </c>
      <c r="E17420" s="215" t="n">
        <v>45596</v>
      </c>
      <c r="F17420" s="215" t="n">
        <v>45596</v>
      </c>
    </row>
    <row r="17421">
      <c r="A17421" s="215" t="n">
        <v>45597</v>
      </c>
      <c r="B17421" s="216" t="n">
        <v>27</v>
      </c>
      <c r="C17421" s="216" t="n">
        <v>36.09</v>
      </c>
      <c r="D17421" s="216" t="n">
        <v>1.091570019721985</v>
      </c>
      <c r="E17421" s="215" t="n">
        <v>45597</v>
      </c>
      <c r="F17421" s="215" t="n">
        <v>45597</v>
      </c>
    </row>
    <row r="17422">
      <c r="A17422" s="215" t="n">
        <v>45600</v>
      </c>
      <c r="B17422" s="216" t="n">
        <v>27.05</v>
      </c>
      <c r="C17422" s="216" t="n">
        <v>36.17</v>
      </c>
      <c r="D17422" s="216" t="n">
        <v>1.091678023338318</v>
      </c>
      <c r="E17422" s="215" t="n">
        <v>45600</v>
      </c>
      <c r="F17422" s="215" t="n">
        <v>45600</v>
      </c>
    </row>
    <row r="17423">
      <c r="A17423" s="215" t="n">
        <v>45601</v>
      </c>
      <c r="B17423" s="216" t="n">
        <v>27.5</v>
      </c>
      <c r="C17423" s="216" t="n">
        <v>37.15</v>
      </c>
      <c r="D17423" s="216" t="n">
        <v>1.094761967658997</v>
      </c>
      <c r="E17423" s="215" t="n">
        <v>45601</v>
      </c>
      <c r="F17423" s="215" t="n">
        <v>45601</v>
      </c>
    </row>
    <row r="17424">
      <c r="A17424" s="215" t="n">
        <v>45602</v>
      </c>
      <c r="B17424" s="216" t="n">
        <v>27.7</v>
      </c>
      <c r="C17424" s="216" t="n">
        <v>37.4</v>
      </c>
      <c r="D17424" s="216" t="n">
        <v>1.094082951545715</v>
      </c>
      <c r="E17424" s="215" t="n">
        <v>45602</v>
      </c>
      <c r="F17424" s="215" t="n">
        <v>45602</v>
      </c>
    </row>
    <row r="17425">
      <c r="A17425" s="215" t="n">
        <v>45603</v>
      </c>
      <c r="B17425" s="216" t="n">
        <v>27.5</v>
      </c>
      <c r="C17425" s="216" t="n">
        <v>37.69</v>
      </c>
      <c r="D17425" s="216" t="n">
        <v>1.083237051963806</v>
      </c>
      <c r="E17425" s="215" t="n">
        <v>45603</v>
      </c>
      <c r="F17425" s="215" t="n">
        <v>45603</v>
      </c>
    </row>
    <row r="17426">
      <c r="A17426" s="215" t="n">
        <v>45604</v>
      </c>
      <c r="B17426" s="216" t="n">
        <v>27.2</v>
      </c>
      <c r="C17426" s="216" t="n">
        <v>37.98</v>
      </c>
      <c r="D17426" s="216" t="n">
        <v>1.087854027748108</v>
      </c>
      <c r="E17426" s="215" t="n">
        <v>45604</v>
      </c>
      <c r="F17426" s="215" t="n">
        <v>45604</v>
      </c>
    </row>
    <row r="17427">
      <c r="A17427" s="215" t="n">
        <v>45607</v>
      </c>
      <c r="B17427" s="216" t="n">
        <v>28.65</v>
      </c>
      <c r="C17427" s="216" t="n">
        <v>40.83</v>
      </c>
      <c r="D17427" s="216" t="n">
        <v>1.082896947860718</v>
      </c>
      <c r="E17427" s="215" t="n">
        <v>45607</v>
      </c>
      <c r="F17427" s="215" t="n">
        <v>45607</v>
      </c>
    </row>
    <row r="17428">
      <c r="A17428" s="215" t="n">
        <v>45608</v>
      </c>
      <c r="B17428" s="216" t="n">
        <v>28.7</v>
      </c>
      <c r="C17428" s="216" t="n">
        <v>41.8</v>
      </c>
      <c r="D17428" s="216" t="n">
        <v>1.077934980392456</v>
      </c>
      <c r="E17428" s="215" t="n">
        <v>45608</v>
      </c>
      <c r="F17428" s="215" t="n">
        <v>45608</v>
      </c>
    </row>
    <row r="17429">
      <c r="A17429" s="215" t="n">
        <v>45609</v>
      </c>
      <c r="B17429" s="216" t="n">
        <v>29.8</v>
      </c>
      <c r="C17429" s="216" t="n">
        <v>42.83</v>
      </c>
      <c r="D17429" s="216" t="n">
        <v>1.075376033782959</v>
      </c>
      <c r="E17429" s="215" t="n">
        <v>45609</v>
      </c>
      <c r="F17429" s="215" t="n">
        <v>45609</v>
      </c>
    </row>
    <row r="17430">
      <c r="A17430" s="215" t="n">
        <v>45610</v>
      </c>
      <c r="B17430" s="216" t="n">
        <v>28</v>
      </c>
      <c r="C17430" s="216" t="n">
        <v>39.96</v>
      </c>
      <c r="D17430" s="216" t="n">
        <v>1.07691502571106</v>
      </c>
      <c r="E17430" s="215" t="n">
        <v>45610</v>
      </c>
      <c r="F17430" s="215" t="n">
        <v>45610</v>
      </c>
    </row>
    <row r="17431">
      <c r="A17431" s="215" t="n">
        <v>45611</v>
      </c>
      <c r="B17431" s="216" t="n">
        <v>26.65</v>
      </c>
      <c r="C17431" s="216" t="n">
        <v>37.81</v>
      </c>
      <c r="D17431" s="216" t="n">
        <v>1.07588803768158</v>
      </c>
      <c r="E17431" s="215" t="n">
        <v>45611</v>
      </c>
      <c r="F17431" s="215" t="n">
        <v>45611</v>
      </c>
    </row>
    <row r="17432">
      <c r="A17432" s="215" t="n">
        <v>45614</v>
      </c>
      <c r="B17432" s="216" t="n">
        <v>27.05</v>
      </c>
      <c r="C17432" s="216" t="n">
        <v>37.45</v>
      </c>
      <c r="D17432" s="216" t="n">
        <v>1.076550960540771</v>
      </c>
      <c r="E17432" s="215" t="n">
        <v>45614</v>
      </c>
      <c r="F17432" s="215" t="n">
        <v>45614</v>
      </c>
    </row>
    <row r="17433">
      <c r="A17433" s="215" t="n">
        <v>45615</v>
      </c>
      <c r="B17433" s="216" t="n">
        <v>29.7</v>
      </c>
      <c r="C17433" s="216" t="n">
        <v>41.2</v>
      </c>
      <c r="D17433" s="216" t="n">
        <v>1.075461030006409</v>
      </c>
      <c r="E17433" s="215" t="n">
        <v>45615</v>
      </c>
      <c r="F17433" s="215" t="n">
        <v>45615</v>
      </c>
    </row>
    <row r="17434">
      <c r="A17434" s="215" t="n">
        <v>45616</v>
      </c>
      <c r="B17434" s="216" t="n">
        <v>29.4</v>
      </c>
      <c r="C17434" s="216" t="n">
        <v>41.4</v>
      </c>
      <c r="D17434" s="216" t="n">
        <v>1.075147032737732</v>
      </c>
      <c r="E17434" s="215" t="n">
        <v>45616</v>
      </c>
      <c r="F17434" s="215" t="n">
        <v>45616</v>
      </c>
    </row>
    <row r="17435">
      <c r="A17435" s="215" t="n">
        <v>45617</v>
      </c>
      <c r="B17435" s="216" t="n">
        <v>28.65</v>
      </c>
      <c r="C17435" s="216" t="n">
        <v>41.5</v>
      </c>
      <c r="D17435" s="216" t="n">
        <v>1.074183940887451</v>
      </c>
      <c r="E17435" s="215" t="n">
        <v>45617</v>
      </c>
      <c r="F17435" s="215" t="n">
        <v>45617</v>
      </c>
    </row>
    <row r="17436">
      <c r="A17436" s="215" t="n">
        <v>45618</v>
      </c>
      <c r="B17436" s="216" t="n">
        <v>27</v>
      </c>
      <c r="C17436" s="216" t="n">
        <v>39.81</v>
      </c>
      <c r="D17436" s="216" t="n">
        <v>1.075669050216675</v>
      </c>
      <c r="E17436" s="215" t="n">
        <v>45618</v>
      </c>
      <c r="F17436" s="215" t="n">
        <v>45618</v>
      </c>
    </row>
    <row r="17437">
      <c r="A17437" s="215" t="n">
        <v>45621</v>
      </c>
      <c r="B17437" s="216" t="n">
        <v>27.8</v>
      </c>
      <c r="C17437" s="216" t="n">
        <v>40.35</v>
      </c>
      <c r="D17437" s="216" t="n">
        <v>1.074473023414612</v>
      </c>
      <c r="E17437" s="215" t="n">
        <v>45621</v>
      </c>
      <c r="F17437" s="215" t="n">
        <v>45621</v>
      </c>
    </row>
    <row r="17438">
      <c r="A17438" s="215" t="n">
        <v>45622</v>
      </c>
      <c r="B17438" s="216" t="n">
        <v>26.65</v>
      </c>
      <c r="C17438" s="216" t="n">
        <v>38.17</v>
      </c>
      <c r="D17438" s="216" t="n">
        <v>1.073958039283752</v>
      </c>
      <c r="E17438" s="215" t="n">
        <v>45622</v>
      </c>
      <c r="F17438" s="215" t="n">
        <v>45622</v>
      </c>
    </row>
    <row r="17439">
      <c r="A17439" s="215" t="n">
        <v>45623</v>
      </c>
      <c r="B17439" s="216" t="n">
        <v>26.75</v>
      </c>
      <c r="C17439" s="216" t="n">
        <v>38.68</v>
      </c>
      <c r="D17439" s="216" t="n">
        <v>1.073114991188049</v>
      </c>
      <c r="E17439" s="215" t="n">
        <v>45623</v>
      </c>
      <c r="F17439" s="215" t="n">
        <v>45623</v>
      </c>
    </row>
    <row r="17440">
      <c r="A17440" s="215" t="n">
        <v>45624</v>
      </c>
      <c r="B17440" s="216" t="n">
        <v>26.4</v>
      </c>
      <c r="C17440" s="216" t="n">
        <v>37.84</v>
      </c>
      <c r="D17440" s="216" t="n">
        <v>1.073555946350098</v>
      </c>
      <c r="E17440" s="215" t="n">
        <v>45624</v>
      </c>
      <c r="F17440" s="215" t="n">
        <v>45624</v>
      </c>
    </row>
    <row r="17441">
      <c r="A17441" s="215" t="n">
        <v>45625</v>
      </c>
      <c r="B17441" s="216" t="n">
        <v>26.75</v>
      </c>
      <c r="C17441" s="216" t="n">
        <v>38.18</v>
      </c>
      <c r="D17441" s="216" t="n">
        <v>1.074349999427795</v>
      </c>
      <c r="E17441" s="215" t="n">
        <v>45625</v>
      </c>
      <c r="F17441" s="215" t="n">
        <v>45625</v>
      </c>
    </row>
    <row r="17442">
      <c r="A17442" s="215" t="n">
        <v>45628</v>
      </c>
      <c r="B17442" s="216" t="n">
        <v>27.1</v>
      </c>
      <c r="C17442" s="216" t="n">
        <v>38.19</v>
      </c>
      <c r="D17442" s="216" t="n">
        <v>1.074655055999756</v>
      </c>
      <c r="E17442" s="215" t="n">
        <v>45628</v>
      </c>
      <c r="F17442" s="215" t="n">
        <v>45628</v>
      </c>
    </row>
    <row r="17443">
      <c r="A17443" s="215" t="n">
        <v>45629</v>
      </c>
      <c r="B17443" s="216" t="n">
        <v>27.4</v>
      </c>
      <c r="C17443" s="216" t="n">
        <v>37.67</v>
      </c>
      <c r="D17443" s="216" t="n">
        <v>1.069697022438049</v>
      </c>
      <c r="E17443" s="215" t="n">
        <v>45629</v>
      </c>
      <c r="F17443" s="215" t="n">
        <v>45629</v>
      </c>
    </row>
    <row r="17444">
      <c r="A17444" s="215" t="n">
        <v>45630</v>
      </c>
      <c r="B17444" s="216" t="n">
        <v>26.2</v>
      </c>
      <c r="C17444" s="216" t="n">
        <v>37</v>
      </c>
      <c r="D17444" s="216" t="n">
        <v>1.068164944648743</v>
      </c>
      <c r="E17444" s="215" t="n">
        <v>45630</v>
      </c>
      <c r="F17444" s="215" t="n">
        <v>45630</v>
      </c>
    </row>
    <row r="17445">
      <c r="A17445" s="215" t="n">
        <v>45631</v>
      </c>
      <c r="B17445" s="216" t="n">
        <v>25.8</v>
      </c>
      <c r="C17445" s="216" t="n">
        <v>37.12</v>
      </c>
      <c r="D17445" s="216" t="n">
        <v>1.071516990661621</v>
      </c>
      <c r="E17445" s="215" t="n">
        <v>45631</v>
      </c>
      <c r="F17445" s="215" t="n">
        <v>45631</v>
      </c>
    </row>
    <row r="17446">
      <c r="A17446" s="215" t="n">
        <v>45632</v>
      </c>
      <c r="B17446" s="216" t="n">
        <v>26.35</v>
      </c>
      <c r="C17446" s="216" t="n">
        <v>37.94</v>
      </c>
      <c r="D17446" s="216" t="n">
        <v>1.07178795337677</v>
      </c>
      <c r="E17446" s="215" t="n">
        <v>45632</v>
      </c>
      <c r="F17446" s="215" t="n">
        <v>45632</v>
      </c>
    </row>
    <row r="17447">
      <c r="A17447" s="215" t="n">
        <v>45635</v>
      </c>
      <c r="B17447" s="216" t="n">
        <v>26.8</v>
      </c>
      <c r="C17447" s="216" t="n">
        <v>37.3</v>
      </c>
      <c r="D17447" s="216" t="n">
        <v>1.070058941841125</v>
      </c>
      <c r="E17447" s="215" t="n">
        <v>45635</v>
      </c>
      <c r="F17447" s="215" t="n">
        <v>45635</v>
      </c>
    </row>
    <row r="17448">
      <c r="A17448" s="215" t="n">
        <v>45636</v>
      </c>
      <c r="B17448" s="216" t="n">
        <v>26.1</v>
      </c>
      <c r="C17448" s="216" t="n">
        <v>37.19</v>
      </c>
      <c r="D17448" s="216" t="n">
        <v>1.07076895236969</v>
      </c>
      <c r="E17448" s="215" t="n">
        <v>45636</v>
      </c>
      <c r="F17448" s="215" t="n">
        <v>45636</v>
      </c>
    </row>
    <row r="17449">
      <c r="A17449" s="215" t="n">
        <v>45637</v>
      </c>
      <c r="B17449" s="216" t="n">
        <v>26.25</v>
      </c>
      <c r="C17449" s="216" t="n">
        <v>37.16</v>
      </c>
      <c r="D17449" s="216" t="n">
        <v>1.072139024734497</v>
      </c>
      <c r="E17449" s="215" t="n">
        <v>45637</v>
      </c>
      <c r="F17449" s="215" t="n">
        <v>45637</v>
      </c>
    </row>
    <row r="17450">
      <c r="A17450" s="215" t="n">
        <v>45638</v>
      </c>
      <c r="B17450" s="216" t="n">
        <v>26.5</v>
      </c>
      <c r="C17450" s="216" t="n">
        <v>37.6</v>
      </c>
      <c r="D17450" s="216" t="n">
        <v>1.070543050765991</v>
      </c>
      <c r="E17450" s="215" t="n">
        <v>45638</v>
      </c>
      <c r="F17450" s="215" t="n">
        <v>45638</v>
      </c>
    </row>
    <row r="17451">
      <c r="A17451" s="215" t="n">
        <v>45639</v>
      </c>
      <c r="B17451" s="216" t="n">
        <v>25.7</v>
      </c>
      <c r="C17451" s="216" t="n">
        <v>36.4</v>
      </c>
      <c r="D17451" s="216" t="n">
        <v>1.069535970687866</v>
      </c>
      <c r="E17451" s="215" t="n">
        <v>45639</v>
      </c>
      <c r="F17451" s="215" t="n">
        <v>45639</v>
      </c>
    </row>
    <row r="17452">
      <c r="A17452" s="215" t="n">
        <v>45642</v>
      </c>
      <c r="B17452" s="216" t="n">
        <v>24.55</v>
      </c>
      <c r="C17452" s="216" t="n">
        <v>35.21</v>
      </c>
      <c r="D17452" s="216" t="n">
        <v>1.068564057350159</v>
      </c>
      <c r="E17452" s="215" t="n">
        <v>45642</v>
      </c>
      <c r="F17452" s="215" t="n">
        <v>45642</v>
      </c>
    </row>
    <row r="17453">
      <c r="A17453" s="215" t="n">
        <v>45643</v>
      </c>
      <c r="B17453" s="216" t="n">
        <v>24.35</v>
      </c>
      <c r="C17453" s="216" t="n">
        <v>34.71</v>
      </c>
      <c r="D17453" s="216" t="n">
        <v>1.06734299659729</v>
      </c>
      <c r="E17453" s="215" t="n">
        <v>45643</v>
      </c>
      <c r="F17453" s="215" t="n">
        <v>45643</v>
      </c>
    </row>
    <row r="17454">
      <c r="A17454" s="215" t="n">
        <v>45644</v>
      </c>
      <c r="B17454" s="216" t="n">
        <v>24.3</v>
      </c>
      <c r="C17454" s="216" t="n">
        <v>34.66</v>
      </c>
      <c r="D17454" s="216" t="n">
        <v>1.066388010978699</v>
      </c>
      <c r="E17454" s="215" t="n">
        <v>45644</v>
      </c>
      <c r="F17454" s="215" t="n">
        <v>45644</v>
      </c>
    </row>
    <row r="17455">
      <c r="A17455" s="215" t="n">
        <v>45645</v>
      </c>
      <c r="B17455" s="216" t="n">
        <v>24.15</v>
      </c>
      <c r="C17455" s="216" t="n">
        <v>34.48</v>
      </c>
      <c r="D17455" s="216" t="n">
        <v>1.066426038742065</v>
      </c>
      <c r="E17455" s="215" t="n">
        <v>45645</v>
      </c>
      <c r="F17455" s="215" t="n">
        <v>45645</v>
      </c>
    </row>
    <row r="17456">
      <c r="A17456" s="215" t="n">
        <v>45646</v>
      </c>
      <c r="B17456" s="216" t="n">
        <v>24.2</v>
      </c>
      <c r="C17456" s="216" t="n">
        <v>34.84</v>
      </c>
      <c r="D17456" s="216" t="n">
        <v>1.064751029014587</v>
      </c>
      <c r="E17456" s="215" t="n">
        <v>45646</v>
      </c>
      <c r="F17456" s="215" t="n">
        <v>45646</v>
      </c>
    </row>
    <row r="17457">
      <c r="A17457" s="215" t="n">
        <v>45649</v>
      </c>
      <c r="B17457" s="216" t="n">
        <v>24.35</v>
      </c>
      <c r="C17457" s="216" t="n">
        <v>34.28</v>
      </c>
      <c r="D17457" s="216" t="n">
        <v>1.065225005149841</v>
      </c>
      <c r="E17457" s="215" t="n">
        <v>45649</v>
      </c>
      <c r="F17457" s="215" t="n">
        <v>45649</v>
      </c>
    </row>
    <row r="17458">
      <c r="A17458" s="215" t="n">
        <v>45650</v>
      </c>
      <c r="B17458" s="216" t="n">
        <v>24.35</v>
      </c>
      <c r="C17458" s="216" t="n">
        <v>34.7</v>
      </c>
      <c r="D17458" s="216" t="n">
        <v>1.06459105014801</v>
      </c>
      <c r="E17458" s="215" t="n">
        <v>45650</v>
      </c>
      <c r="F17458" s="215" t="n">
        <v>45650</v>
      </c>
    </row>
    <row r="17459">
      <c r="A17459" s="215" t="n">
        <v>45653</v>
      </c>
      <c r="B17459" s="216" t="n">
        <v>24.45</v>
      </c>
      <c r="C17459" s="216" t="n">
        <v>34.13</v>
      </c>
      <c r="D17459" s="216" t="n">
        <v>1.064249038696289</v>
      </c>
      <c r="E17459" s="215" t="n">
        <v>45653</v>
      </c>
      <c r="F17459" s="215" t="n">
        <v>45653</v>
      </c>
    </row>
    <row r="17460">
      <c r="A17460" s="215" t="n">
        <v>45656</v>
      </c>
      <c r="B17460" s="216" t="n">
        <v>24.35</v>
      </c>
      <c r="C17460" s="216" t="n">
        <v>34.38</v>
      </c>
      <c r="D17460" s="216" t="n">
        <v>1.063662052154541</v>
      </c>
      <c r="E17460" s="215" t="n">
        <v>45656</v>
      </c>
      <c r="F17460" s="215" t="n">
        <v>45656</v>
      </c>
    </row>
    <row r="17461">
      <c r="A17461" s="215" t="n">
        <v>45657</v>
      </c>
      <c r="B17461" s="216" t="n">
        <v>24.05</v>
      </c>
      <c r="C17461" s="216" t="n">
        <v>33</v>
      </c>
      <c r="D17461" s="216" t="n">
        <v>1.063554048538208</v>
      </c>
      <c r="E17461" s="215" t="n">
        <v>45657</v>
      </c>
      <c r="F17461" s="215" t="n">
        <v>45657</v>
      </c>
    </row>
    <row r="17462">
      <c r="A17462" s="215" t="n">
        <v>45659</v>
      </c>
      <c r="B17462" s="216" t="n">
        <v>23.6</v>
      </c>
      <c r="C17462" s="216" t="n">
        <v>32.39</v>
      </c>
      <c r="D17462" s="216" t="n">
        <v>1.064368963241577</v>
      </c>
      <c r="E17462" s="215" t="n">
        <v>45659</v>
      </c>
      <c r="F17462" s="215" t="n">
        <v>45659</v>
      </c>
    </row>
    <row r="17463">
      <c r="A17463" s="215" t="n">
        <v>45660</v>
      </c>
      <c r="B17463" s="216" t="n">
        <v>23.2</v>
      </c>
      <c r="C17463" s="216" t="n">
        <v>31.63</v>
      </c>
      <c r="D17463" s="216" t="n">
        <v>1.065240979194641</v>
      </c>
      <c r="E17463" s="215" t="n">
        <v>45660</v>
      </c>
      <c r="F17463" s="215" t="n">
        <v>45660</v>
      </c>
    </row>
    <row r="17464">
      <c r="A17464" s="215" t="n">
        <v>45663</v>
      </c>
      <c r="B17464" s="216" t="n">
        <v>23.6</v>
      </c>
      <c r="C17464" s="216" t="n">
        <v>32.33</v>
      </c>
      <c r="D17464" s="216" t="n">
        <v>1.062374949455261</v>
      </c>
      <c r="E17464" s="215" t="n">
        <v>45663</v>
      </c>
      <c r="F17464" s="215" t="n">
        <v>45663</v>
      </c>
    </row>
    <row r="17465">
      <c r="A17465" s="215" t="n">
        <v>45664</v>
      </c>
      <c r="B17465" s="216" t="n">
        <v>23.95</v>
      </c>
      <c r="C17465" s="216" t="n">
        <v>33.04</v>
      </c>
      <c r="D17465" s="216" t="n">
        <v>1.061730027198792</v>
      </c>
      <c r="E17465" s="215" t="n">
        <v>45664</v>
      </c>
      <c r="F17465" s="215" t="n">
        <v>45664</v>
      </c>
    </row>
    <row r="17466">
      <c r="A17466" s="215" t="n">
        <v>45665</v>
      </c>
      <c r="B17466" s="216" t="n">
        <v>23.4</v>
      </c>
      <c r="C17466" s="216" t="n">
        <v>32.13</v>
      </c>
      <c r="D17466" s="216" t="n">
        <v>1.061154961585999</v>
      </c>
      <c r="E17466" s="215" t="n">
        <v>45665</v>
      </c>
      <c r="F17466" s="215" t="n">
        <v>45665</v>
      </c>
    </row>
    <row r="17467">
      <c r="A17467" s="215" t="n">
        <v>45666</v>
      </c>
      <c r="B17467" s="216" t="n">
        <v>23.6</v>
      </c>
      <c r="C17467" s="216" t="n">
        <v>32.07</v>
      </c>
      <c r="D17467" s="216" t="n">
        <v>1.061004042625427</v>
      </c>
      <c r="E17467" s="215" t="n">
        <v>45666</v>
      </c>
      <c r="F17467" s="215" t="n">
        <v>45666</v>
      </c>
    </row>
    <row r="17468">
      <c r="A17468" s="215" t="n">
        <v>45667</v>
      </c>
      <c r="B17468" s="216" t="n">
        <v>22.9</v>
      </c>
      <c r="C17468" s="216" t="n">
        <v>31</v>
      </c>
      <c r="D17468" s="216" t="n">
        <v>1.061197996139526</v>
      </c>
      <c r="E17468" s="215" t="n">
        <v>45667</v>
      </c>
      <c r="F17468" s="215" t="n">
        <v>45667</v>
      </c>
    </row>
    <row r="17469">
      <c r="A17469" s="215" t="n">
        <v>45670</v>
      </c>
      <c r="B17469" s="216" t="n">
        <v>23.55</v>
      </c>
      <c r="C17469" s="216" t="n">
        <v>32.29</v>
      </c>
      <c r="D17469" s="216" t="n">
        <v>1.061838984489441</v>
      </c>
      <c r="E17469" s="215" t="n">
        <v>45670</v>
      </c>
      <c r="F17469" s="215" t="n">
        <v>45670</v>
      </c>
    </row>
    <row r="17470">
      <c r="A17470" s="215" t="n">
        <v>45671</v>
      </c>
      <c r="B17470" s="216" t="n">
        <v>23.7</v>
      </c>
      <c r="C17470" s="216" t="n">
        <v>32.99</v>
      </c>
      <c r="D17470" s="216" t="n">
        <v>1.061681032180786</v>
      </c>
      <c r="E17470" s="215" t="n">
        <v>45671</v>
      </c>
      <c r="F17470" s="215" t="n">
        <v>45671</v>
      </c>
    </row>
    <row r="17471">
      <c r="A17471" s="215" t="n">
        <v>45672</v>
      </c>
      <c r="B17471" s="216" t="n">
        <v>24.05</v>
      </c>
      <c r="C17471" s="216" t="n">
        <v>33.03</v>
      </c>
      <c r="D17471" s="216" t="n">
        <v>1.062003970146179</v>
      </c>
      <c r="E17471" s="215" t="n">
        <v>45672</v>
      </c>
      <c r="F17471" s="215" t="n">
        <v>45672</v>
      </c>
    </row>
    <row r="17472">
      <c r="A17472" s="215" t="n">
        <v>45673</v>
      </c>
      <c r="B17472" s="216" t="n">
        <v>24.4</v>
      </c>
      <c r="C17472" s="216" t="n">
        <v>33.05</v>
      </c>
      <c r="D17472" s="216" t="n">
        <v>1.061879992485046</v>
      </c>
      <c r="E17472" s="215" t="n">
        <v>45673</v>
      </c>
      <c r="F17472" s="215" t="n">
        <v>45673</v>
      </c>
    </row>
    <row r="17473">
      <c r="A17473" s="215" t="n">
        <v>45674</v>
      </c>
      <c r="B17473" s="216" t="n">
        <v>24.4</v>
      </c>
      <c r="C17473" s="216" t="n">
        <v>33.39</v>
      </c>
      <c r="D17473" s="216" t="n">
        <v>1.06210196018219</v>
      </c>
      <c r="E17473" s="215" t="n">
        <v>45674</v>
      </c>
      <c r="F17473" s="215" t="n">
        <v>45674</v>
      </c>
    </row>
    <row r="17474">
      <c r="A17474" s="215" t="n">
        <v>45677</v>
      </c>
      <c r="B17474" s="216" t="n">
        <v>24.35</v>
      </c>
      <c r="C17474" s="216" t="n">
        <v>33.06</v>
      </c>
      <c r="D17474" s="216" t="n">
        <v>1.062587022781372</v>
      </c>
      <c r="E17474" s="215" t="n">
        <v>45677</v>
      </c>
      <c r="F17474" s="215" t="n">
        <v>45677</v>
      </c>
    </row>
    <row r="17475">
      <c r="A17475" s="215" t="n">
        <v>45678</v>
      </c>
      <c r="B17475" s="216" t="n">
        <v>23.85</v>
      </c>
      <c r="C17475" s="216" t="n">
        <v>32.15</v>
      </c>
      <c r="D17475" s="216" t="n">
        <v>1.063603043556213</v>
      </c>
      <c r="E17475" s="215" t="n">
        <v>45678</v>
      </c>
      <c r="F17475" s="215" t="n">
        <v>45678</v>
      </c>
    </row>
    <row r="17476">
      <c r="A17476" s="215" t="n">
        <v>45679</v>
      </c>
      <c r="B17476" s="216" t="n">
        <v>23.4</v>
      </c>
      <c r="C17476" s="216" t="n">
        <v>31.55</v>
      </c>
      <c r="D17476" s="216" t="n">
        <v>1.070593953132629</v>
      </c>
      <c r="E17476" s="215" t="n">
        <v>45679</v>
      </c>
      <c r="F17476" s="215" t="n">
        <v>45679</v>
      </c>
    </row>
    <row r="17477">
      <c r="A17477" s="215" t="n">
        <v>45680</v>
      </c>
      <c r="B17477" s="216" t="n">
        <v>22.9</v>
      </c>
      <c r="C17477" s="216" t="n">
        <v>31.18</v>
      </c>
      <c r="D17477" s="216" t="n">
        <v>1.070641040802002</v>
      </c>
      <c r="E17477" s="215" t="n">
        <v>45680</v>
      </c>
      <c r="F17477" s="215" t="n">
        <v>45680</v>
      </c>
    </row>
    <row r="17478">
      <c r="A17478" s="215" t="n">
        <v>45681</v>
      </c>
      <c r="B17478" s="216" t="n">
        <v>23.2</v>
      </c>
      <c r="C17478" s="216" t="n">
        <v>30.99</v>
      </c>
      <c r="D17478" s="216" t="n">
        <v>1.068833947181702</v>
      </c>
      <c r="E17478" s="215" t="n">
        <v>45681</v>
      </c>
      <c r="F17478" s="215" t="n">
        <v>45681</v>
      </c>
    </row>
    <row r="17479">
      <c r="A17479" s="215" t="n">
        <v>45684</v>
      </c>
      <c r="B17479" s="216" t="n">
        <v>23.15</v>
      </c>
      <c r="C17479" s="216" t="n">
        <v>30.58</v>
      </c>
      <c r="D17479" s="216" t="n">
        <v>1.075027942657471</v>
      </c>
      <c r="E17479" s="215" t="n">
        <v>45684</v>
      </c>
      <c r="F17479" s="215" t="n">
        <v>45684</v>
      </c>
    </row>
    <row r="17480">
      <c r="A17480" s="215" t="n">
        <v>45685</v>
      </c>
      <c r="B17480" s="216" t="n">
        <v>22.5</v>
      </c>
      <c r="C17480" s="216" t="n">
        <v>30.58</v>
      </c>
      <c r="D17480" s="216" t="n">
        <v>1.074183940887451</v>
      </c>
      <c r="E17480" s="215" t="n">
        <v>45684</v>
      </c>
      <c r="F17480" s="215" t="n">
        <v>45685</v>
      </c>
    </row>
    <row r="17481">
      <c r="A17481" s="215" t="n">
        <v>45691</v>
      </c>
      <c r="B17481" s="216" t="n">
        <v>22.35</v>
      </c>
      <c r="C17481" s="216" t="n">
        <v>30.58</v>
      </c>
      <c r="D17481" s="216" t="n">
        <v>1.084506034851074</v>
      </c>
      <c r="E17481" s="215" t="n">
        <v>45684</v>
      </c>
      <c r="F17481" s="215" t="n">
        <v>45691</v>
      </c>
    </row>
    <row r="17482">
      <c r="A17482" s="215" t="n">
        <v>45692</v>
      </c>
      <c r="B17482" s="216" t="n">
        <v>22.7</v>
      </c>
      <c r="C17482" s="216" t="n">
        <v>30.58</v>
      </c>
      <c r="D17482" s="216" t="n">
        <v>1.082739949226379</v>
      </c>
      <c r="E17482" s="215" t="n">
        <v>45684</v>
      </c>
      <c r="F17482" s="215" t="n">
        <v>45692</v>
      </c>
    </row>
    <row r="17483">
      <c r="A17483" s="215" t="n">
        <v>45693</v>
      </c>
      <c r="B17483" s="216" t="n">
        <v>22.6</v>
      </c>
      <c r="C17483" s="216" t="n">
        <v>30.69</v>
      </c>
      <c r="D17483" s="216" t="n">
        <v>1.083930015563965</v>
      </c>
      <c r="E17483" s="215" t="n">
        <v>45693</v>
      </c>
      <c r="F17483" s="215" t="n">
        <v>45693</v>
      </c>
    </row>
    <row r="17484">
      <c r="A17484" s="215" t="n">
        <v>45694</v>
      </c>
      <c r="B17484" s="216" t="n">
        <v>23.05</v>
      </c>
      <c r="C17484" s="216" t="n">
        <v>31.53</v>
      </c>
      <c r="D17484" s="216" t="n">
        <v>1.070767045021057</v>
      </c>
      <c r="E17484" s="215" t="n">
        <v>45694</v>
      </c>
      <c r="F17484" s="215" t="n">
        <v>45694</v>
      </c>
    </row>
    <row r="17485">
      <c r="A17485" s="215" t="n">
        <v>45695</v>
      </c>
      <c r="B17485" s="216" t="n">
        <v>23.45</v>
      </c>
      <c r="C17485" s="216" t="n">
        <v>32.1</v>
      </c>
      <c r="D17485" s="216" t="n">
        <v>1.068161010742188</v>
      </c>
      <c r="E17485" s="215" t="n">
        <v>45695</v>
      </c>
      <c r="F17485" s="215" t="n">
        <v>45695</v>
      </c>
    </row>
    <row r="17486">
      <c r="A17486" s="215" t="n">
        <v>45698</v>
      </c>
      <c r="B17486" s="216" t="n">
        <v>24.05</v>
      </c>
      <c r="C17486" s="216" t="n">
        <v>32.58</v>
      </c>
      <c r="D17486" s="216" t="n">
        <v>1.068833947181702</v>
      </c>
      <c r="E17486" s="215" t="n">
        <v>45698</v>
      </c>
      <c r="F17486" s="215" t="n">
        <v>45698</v>
      </c>
    </row>
    <row r="17487">
      <c r="A17487" s="215" t="n">
        <v>45699</v>
      </c>
      <c r="B17487" s="216" t="n">
        <v>23.35</v>
      </c>
      <c r="C17487" s="216" t="n">
        <v>31.44</v>
      </c>
      <c r="D17487" s="216" t="n">
        <v>1.066220045089722</v>
      </c>
      <c r="E17487" s="215" t="n">
        <v>45699</v>
      </c>
      <c r="F17487" s="215" t="n">
        <v>45699</v>
      </c>
    </row>
    <row r="17488">
      <c r="A17488" s="215" t="n">
        <v>45700</v>
      </c>
      <c r="B17488" s="216" t="n">
        <v>24.7</v>
      </c>
      <c r="C17488" s="216" t="n">
        <v>33.86</v>
      </c>
      <c r="D17488" s="216" t="n">
        <v>1.066164970397949</v>
      </c>
      <c r="E17488" s="215" t="n">
        <v>45700</v>
      </c>
      <c r="F17488" s="215" t="n">
        <v>45700</v>
      </c>
    </row>
    <row r="17489">
      <c r="A17489" s="215" t="n">
        <v>45701</v>
      </c>
      <c r="B17489" s="216" t="n">
        <v>24.1</v>
      </c>
      <c r="C17489" s="216" t="n">
        <v>33.09</v>
      </c>
      <c r="D17489" s="216" t="n">
        <v>1.065642952919006</v>
      </c>
      <c r="E17489" s="215" t="n">
        <v>45701</v>
      </c>
      <c r="F17489" s="215" t="n">
        <v>45701</v>
      </c>
    </row>
    <row r="17490">
      <c r="A17490" s="215" t="n">
        <v>45702</v>
      </c>
      <c r="B17490" s="216" t="n">
        <v>24.95</v>
      </c>
      <c r="C17490" s="216" t="n">
        <v>33.29</v>
      </c>
      <c r="D17490" s="216" t="n">
        <v>1.068236947059631</v>
      </c>
      <c r="E17490" s="215" t="n">
        <v>45702</v>
      </c>
      <c r="F17490" s="215" t="n">
        <v>45702</v>
      </c>
    </row>
    <row r="17491">
      <c r="A17491" s="215" t="n">
        <v>45705</v>
      </c>
      <c r="B17491" s="216" t="n">
        <v>24.9</v>
      </c>
      <c r="C17491" s="216" t="n">
        <v>32.7</v>
      </c>
      <c r="D17491" s="216" t="n">
        <v>1.072839021682739</v>
      </c>
      <c r="E17491" s="215" t="n">
        <v>45705</v>
      </c>
      <c r="F17491" s="215" t="n">
        <v>45705</v>
      </c>
    </row>
    <row r="17492">
      <c r="A17492" s="215" t="n">
        <v>45706</v>
      </c>
      <c r="B17492" s="216" t="n">
        <v>25.15</v>
      </c>
      <c r="C17492" s="216" t="n">
        <v>32.68</v>
      </c>
      <c r="D17492" s="216" t="n">
        <v>1.072520971298218</v>
      </c>
      <c r="E17492" s="215" t="n">
        <v>45706</v>
      </c>
      <c r="F17492" s="215" t="n">
        <v>45706</v>
      </c>
    </row>
    <row r="17493">
      <c r="A17493" s="215" t="n">
        <v>45707</v>
      </c>
      <c r="B17493" s="216" t="n">
        <v>24.9</v>
      </c>
      <c r="C17493" s="216" t="n">
        <v>32.69</v>
      </c>
      <c r="D17493" s="216" t="n">
        <v>1.067935943603516</v>
      </c>
      <c r="E17493" s="215" t="n">
        <v>45707</v>
      </c>
      <c r="F17493" s="215" t="n">
        <v>45707</v>
      </c>
    </row>
    <row r="17494">
      <c r="A17494" s="215" t="n">
        <v>45708</v>
      </c>
      <c r="B17494" s="216" t="n">
        <v>24.5</v>
      </c>
      <c r="C17494" s="216" t="n">
        <v>32.33</v>
      </c>
      <c r="D17494" s="216" t="n">
        <v>1.067798972129822</v>
      </c>
      <c r="E17494" s="215" t="n">
        <v>45708</v>
      </c>
      <c r="F17494" s="215" t="n">
        <v>45708</v>
      </c>
    </row>
    <row r="17495">
      <c r="A17495" s="215" t="n">
        <v>45709</v>
      </c>
      <c r="B17495" s="216" t="n">
        <v>24.95</v>
      </c>
      <c r="C17495" s="216" t="n">
        <v>32.64</v>
      </c>
      <c r="D17495" s="216" t="n">
        <v>1.071557998657227</v>
      </c>
      <c r="E17495" s="215" t="n">
        <v>45709</v>
      </c>
      <c r="F17495" s="215" t="n">
        <v>45709</v>
      </c>
    </row>
    <row r="17496">
      <c r="A17496" s="215" t="n">
        <v>45712</v>
      </c>
      <c r="B17496" s="216" t="n">
        <v>25.15</v>
      </c>
      <c r="C17496" s="216" t="n">
        <v>32.53</v>
      </c>
      <c r="D17496" s="216" t="n">
        <v>1.071457982063293</v>
      </c>
      <c r="E17496" s="215" t="n">
        <v>45712</v>
      </c>
      <c r="F17496" s="215" t="n">
        <v>45712</v>
      </c>
    </row>
    <row r="17497">
      <c r="A17497" s="215" t="n">
        <v>45713</v>
      </c>
      <c r="B17497" s="216" t="n">
        <v>25.1</v>
      </c>
      <c r="C17497" s="216" t="n">
        <v>32.6</v>
      </c>
      <c r="D17497" s="216" t="n">
        <v>1.072481989860535</v>
      </c>
      <c r="E17497" s="215" t="n">
        <v>45713</v>
      </c>
      <c r="F17497" s="215" t="n">
        <v>45713</v>
      </c>
    </row>
    <row r="17498">
      <c r="A17498" s="215" t="n">
        <v>45714</v>
      </c>
      <c r="B17498" s="216" t="n">
        <v>25.5</v>
      </c>
      <c r="C17498" s="216" t="n">
        <v>33.02</v>
      </c>
      <c r="D17498" s="216" t="n">
        <v>1.072456955909729</v>
      </c>
      <c r="E17498" s="215" t="n">
        <v>45714</v>
      </c>
      <c r="F17498" s="215" t="n">
        <v>45714</v>
      </c>
    </row>
    <row r="17499">
      <c r="A17499" s="215" t="n">
        <v>45715</v>
      </c>
      <c r="B17499" s="216" t="n">
        <v>26</v>
      </c>
      <c r="C17499" s="216" t="n">
        <v>33.43</v>
      </c>
      <c r="D17499" s="216" t="n">
        <v>1.070572972297668</v>
      </c>
      <c r="E17499" s="215" t="n">
        <v>45715</v>
      </c>
      <c r="F17499" s="215" t="n">
        <v>45715</v>
      </c>
    </row>
    <row r="17500">
      <c r="A17500" s="215" t="n">
        <v>45716</v>
      </c>
      <c r="B17500" s="216" t="n">
        <v>24.55</v>
      </c>
      <c r="C17500" s="216" t="n">
        <v>32.42</v>
      </c>
      <c r="D17500" s="216" t="n">
        <v>1.067088961601257</v>
      </c>
      <c r="E17500" s="215" t="n">
        <v>45716</v>
      </c>
      <c r="F17500" s="215" t="n">
        <v>45716</v>
      </c>
    </row>
    <row r="17501">
      <c r="A17501" s="215" t="n">
        <v>45719</v>
      </c>
      <c r="B17501" s="216" t="n">
        <v>25.9</v>
      </c>
      <c r="C17501" s="216" t="n">
        <v>34.12</v>
      </c>
      <c r="D17501" s="216" t="n">
        <v>1.06771194934845</v>
      </c>
      <c r="E17501" s="215" t="n">
        <v>45719</v>
      </c>
      <c r="F17501" s="215" t="n">
        <v>45719</v>
      </c>
    </row>
    <row r="17502">
      <c r="A17502" s="215" t="n">
        <v>45720</v>
      </c>
      <c r="B17502" s="216" t="n">
        <v>24.9</v>
      </c>
      <c r="C17502" s="216" t="n">
        <v>33.19</v>
      </c>
      <c r="D17502" s="216" t="n">
        <v>1.067291021347046</v>
      </c>
      <c r="E17502" s="215" t="n">
        <v>45720</v>
      </c>
      <c r="F17502" s="215" t="n">
        <v>45720</v>
      </c>
    </row>
    <row r="17503">
      <c r="A17503" s="215" t="n">
        <v>45721</v>
      </c>
      <c r="B17503" s="216" t="n">
        <v>25</v>
      </c>
      <c r="C17503" s="216" t="n">
        <v>32.82</v>
      </c>
      <c r="D17503" s="216" t="n">
        <v>1.069700956344604</v>
      </c>
      <c r="E17503" s="215" t="n">
        <v>45721</v>
      </c>
      <c r="F17503" s="215" t="n">
        <v>45721</v>
      </c>
    </row>
    <row r="17504">
      <c r="A17504" s="215" t="n">
        <v>45722</v>
      </c>
      <c r="B17504" s="216" t="n">
        <v>25.45</v>
      </c>
      <c r="C17504" s="216" t="n">
        <v>33.26</v>
      </c>
      <c r="D17504" s="216" t="n">
        <v>1.071586012840271</v>
      </c>
      <c r="E17504" s="215" t="n">
        <v>45722</v>
      </c>
      <c r="F17504" s="215" t="n">
        <v>45722</v>
      </c>
    </row>
    <row r="17505">
      <c r="A17505" s="215" t="n">
        <v>45723</v>
      </c>
      <c r="B17505" s="216" t="n">
        <v>26</v>
      </c>
      <c r="C17505" s="216" t="n">
        <v>33.11</v>
      </c>
      <c r="D17505" s="216" t="n">
        <v>1.071760058403015</v>
      </c>
      <c r="E17505" s="215" t="n">
        <v>45723</v>
      </c>
      <c r="F17505" s="215" t="n">
        <v>45723</v>
      </c>
    </row>
    <row r="17506">
      <c r="A17506" s="215" t="n">
        <v>45726</v>
      </c>
      <c r="B17506" s="216" t="n">
        <v>26.1</v>
      </c>
      <c r="C17506" s="216" t="n">
        <v>33.07</v>
      </c>
      <c r="D17506" s="216" t="n">
        <v>1.074237942695618</v>
      </c>
      <c r="E17506" s="215" t="n">
        <v>45726</v>
      </c>
      <c r="F17506" s="215" t="n">
        <v>45726</v>
      </c>
    </row>
    <row r="17507">
      <c r="A17507" s="215" t="n">
        <v>45727</v>
      </c>
      <c r="B17507" s="216" t="n">
        <v>25.5</v>
      </c>
      <c r="C17507" s="216" t="n">
        <v>32.78</v>
      </c>
      <c r="D17507" s="216" t="n">
        <v>1.069882988929749</v>
      </c>
      <c r="E17507" s="215" t="n">
        <v>45727</v>
      </c>
      <c r="F17507" s="215" t="n">
        <v>45727</v>
      </c>
    </row>
    <row r="17508">
      <c r="A17508" s="215" t="n">
        <v>45728</v>
      </c>
      <c r="B17508" s="216" t="n">
        <v>25.25</v>
      </c>
      <c r="C17508" s="216" t="n">
        <v>32.49</v>
      </c>
      <c r="D17508" s="216" t="n">
        <v>1.070067048072815</v>
      </c>
      <c r="E17508" s="215" t="n">
        <v>45728</v>
      </c>
      <c r="F17508" s="215" t="n">
        <v>45728</v>
      </c>
    </row>
    <row r="17509">
      <c r="A17509" s="215" t="n">
        <v>45729</v>
      </c>
      <c r="B17509" s="216" t="n">
        <v>25.25</v>
      </c>
      <c r="C17509" s="216" t="n">
        <v>32.09</v>
      </c>
      <c r="D17509" s="216" t="n">
        <v>1.07337498664856</v>
      </c>
      <c r="E17509" s="215" t="n">
        <v>45729</v>
      </c>
      <c r="F17509" s="215" t="n">
        <v>45729</v>
      </c>
    </row>
    <row r="17510">
      <c r="A17510" s="215" t="n">
        <v>45730</v>
      </c>
      <c r="B17510" s="216" t="n">
        <v>25.75</v>
      </c>
      <c r="C17510" s="216" t="n">
        <v>32.62</v>
      </c>
      <c r="D17510" s="216" t="n">
        <v>1.073752999305725</v>
      </c>
      <c r="E17510" s="215" t="n">
        <v>45730</v>
      </c>
      <c r="F17510" s="215" t="n">
        <v>45730</v>
      </c>
    </row>
    <row r="17511">
      <c r="A17511" s="215" t="n">
        <v>45733</v>
      </c>
      <c r="B17511" s="216" t="n">
        <v>26</v>
      </c>
      <c r="C17511" s="216" t="n">
        <v>32.91</v>
      </c>
      <c r="D17511" s="216" t="n">
        <v>1.073765993118286</v>
      </c>
      <c r="E17511" s="215" t="n">
        <v>45733</v>
      </c>
      <c r="F17511" s="215" t="n">
        <v>45733</v>
      </c>
    </row>
    <row r="17512">
      <c r="A17512" s="215" t="n">
        <v>45734</v>
      </c>
      <c r="B17512" s="216" t="n">
        <v>26.2</v>
      </c>
      <c r="C17512" s="216" t="n">
        <v>32.81</v>
      </c>
      <c r="D17512" s="216" t="n">
        <v>1.073990941047668</v>
      </c>
      <c r="E17512" s="215" t="n">
        <v>45734</v>
      </c>
      <c r="F17512" s="215" t="n">
        <v>45734</v>
      </c>
    </row>
    <row r="17513">
      <c r="A17513" s="215" t="n">
        <v>45735</v>
      </c>
      <c r="B17513" s="216" t="n">
        <v>26.4</v>
      </c>
      <c r="C17513" s="216" t="n">
        <v>32.41</v>
      </c>
      <c r="D17513" s="216" t="n">
        <v>1.074807047843933</v>
      </c>
      <c r="E17513" s="215" t="n">
        <v>45735</v>
      </c>
      <c r="F17513" s="215" t="n">
        <v>45735</v>
      </c>
    </row>
    <row r="17514">
      <c r="A17514" s="215" t="n">
        <v>45736</v>
      </c>
      <c r="B17514" s="216" t="n">
        <v>25.45</v>
      </c>
      <c r="C17514" s="216" t="n">
        <v>32.17</v>
      </c>
      <c r="D17514" s="216" t="n">
        <v>1.074540019035339</v>
      </c>
      <c r="E17514" s="215" t="n">
        <v>45736</v>
      </c>
      <c r="F17514" s="215" t="n">
        <v>45736</v>
      </c>
    </row>
    <row r="17515">
      <c r="A17515" s="215" t="n">
        <v>45737</v>
      </c>
      <c r="B17515" s="216" t="n">
        <v>24.6</v>
      </c>
      <c r="C17515" s="216" t="n">
        <v>31.47</v>
      </c>
      <c r="D17515" s="216" t="n">
        <v>1.072183012962341</v>
      </c>
      <c r="E17515" s="215" t="n">
        <v>45737</v>
      </c>
      <c r="F17515" s="215" t="n">
        <v>45737</v>
      </c>
    </row>
    <row r="17516">
      <c r="A17516" s="215" t="n">
        <v>45740</v>
      </c>
      <c r="B17516" s="216" t="n">
        <v>24.7</v>
      </c>
      <c r="C17516" s="216" t="n">
        <v>31.17</v>
      </c>
      <c r="D17516" s="216" t="n">
        <v>1.072136998176575</v>
      </c>
      <c r="E17516" s="215" t="n">
        <v>45740</v>
      </c>
      <c r="F17516" s="215" t="n">
        <v>45740</v>
      </c>
    </row>
    <row r="17517">
      <c r="A17517" s="215" t="n">
        <v>45741</v>
      </c>
      <c r="B17517" s="216" t="n">
        <v>24.7</v>
      </c>
      <c r="C17517" s="216" t="n">
        <v>31.22</v>
      </c>
      <c r="D17517" s="216" t="n">
        <v>1.071681976318359</v>
      </c>
      <c r="E17517" s="215" t="n">
        <v>45741</v>
      </c>
      <c r="F17517" s="215" t="n">
        <v>45741</v>
      </c>
    </row>
    <row r="17518">
      <c r="A17518" s="215" t="n">
        <v>45742</v>
      </c>
      <c r="B17518" s="216" t="n">
        <v>24.4</v>
      </c>
      <c r="C17518" s="216" t="n">
        <v>31.25</v>
      </c>
      <c r="D17518" s="216" t="n">
        <v>1.071272969245911</v>
      </c>
      <c r="E17518" s="215" t="n">
        <v>45742</v>
      </c>
      <c r="F17518" s="215" t="n">
        <v>45742</v>
      </c>
    </row>
    <row r="17519">
      <c r="A17519" s="215" t="n">
        <v>45743</v>
      </c>
      <c r="B17519" s="216" t="n">
        <v>24.65</v>
      </c>
      <c r="C17519" s="216" t="n">
        <v>30.99</v>
      </c>
      <c r="D17519" s="216" t="n">
        <v>1.071310043334961</v>
      </c>
      <c r="E17519" s="215" t="n">
        <v>45743</v>
      </c>
      <c r="F17519" s="215" t="n">
        <v>45743</v>
      </c>
    </row>
    <row r="17520">
      <c r="A17520" s="215" t="n">
        <v>45744</v>
      </c>
      <c r="B17520" s="216" t="n">
        <v>24.45</v>
      </c>
      <c r="C17520" s="216" t="n">
        <v>30.56</v>
      </c>
      <c r="D17520" s="216" t="n">
        <v>1.03395402431488</v>
      </c>
      <c r="E17520" s="215" t="n">
        <v>45744</v>
      </c>
      <c r="F17520" s="215" t="n">
        <v>45744</v>
      </c>
    </row>
    <row r="17521">
      <c r="A17521" s="215" t="n">
        <v>45747</v>
      </c>
      <c r="B17521" s="216" t="n">
        <v>24.3</v>
      </c>
      <c r="C17521" s="216" t="n">
        <v>30.32</v>
      </c>
      <c r="D17521" s="216" t="n">
        <v>1.070834994316101</v>
      </c>
      <c r="E17521" s="215" t="n">
        <v>45747</v>
      </c>
      <c r="F17521" s="215" t="n">
        <v>45747</v>
      </c>
    </row>
    <row r="17522">
      <c r="A17522" s="215" t="n">
        <v>45748</v>
      </c>
      <c r="B17522" s="216" t="n">
        <v>24.65</v>
      </c>
      <c r="C17522" s="216" t="n">
        <v>30.55</v>
      </c>
      <c r="D17522" s="216" t="n">
        <v>1.071635007858276</v>
      </c>
      <c r="E17522" s="215" t="n">
        <v>45748</v>
      </c>
      <c r="F17522" s="215" t="n">
        <v>45748</v>
      </c>
    </row>
    <row r="17523">
      <c r="A17523" s="215" t="n">
        <v>45749</v>
      </c>
      <c r="B17523" s="216" t="n">
        <v>24.85</v>
      </c>
      <c r="C17523" s="216" t="n">
        <v>30.63</v>
      </c>
      <c r="D17523" s="216" t="n">
        <v>1.070148944854736</v>
      </c>
      <c r="E17523" s="215" t="n">
        <v>45749</v>
      </c>
      <c r="F17523" s="215" t="n">
        <v>45749</v>
      </c>
    </row>
    <row r="17524">
      <c r="A17524" s="215" t="n">
        <v>45750</v>
      </c>
      <c r="B17524" s="216" t="n">
        <v>23.9</v>
      </c>
      <c r="C17524" s="216" t="n">
        <v>30.26</v>
      </c>
      <c r="D17524" s="216" t="n">
        <v>1.070878982543945</v>
      </c>
      <c r="E17524" s="215" t="n">
        <v>45750</v>
      </c>
      <c r="F17524" s="215" t="n">
        <v>45750</v>
      </c>
    </row>
    <row r="17525">
      <c r="A17525" s="215" t="n">
        <v>45754</v>
      </c>
      <c r="B17525" s="216" t="n">
        <v>20.25</v>
      </c>
      <c r="C17525" s="216" t="n">
        <v>27.23</v>
      </c>
      <c r="D17525" s="216" t="n">
        <v>1.067106008529663</v>
      </c>
      <c r="E17525" s="215" t="n">
        <v>45754</v>
      </c>
      <c r="F17525" s="215" t="n">
        <v>45754</v>
      </c>
    </row>
    <row r="17526">
      <c r="A17526" s="215" t="n">
        <v>45755</v>
      </c>
      <c r="B17526" s="216" t="n">
        <v>20.25</v>
      </c>
      <c r="C17526" s="216" t="n">
        <v>27.07</v>
      </c>
      <c r="D17526" s="216" t="n">
        <v>1.062885046005249</v>
      </c>
      <c r="E17526" s="215" t="n">
        <v>45755</v>
      </c>
      <c r="F17526" s="215" t="n">
        <v>45755</v>
      </c>
    </row>
    <row r="17527">
      <c r="A17527" s="215" t="n">
        <v>45756</v>
      </c>
      <c r="B17527" s="216" t="n">
        <v>20.6</v>
      </c>
      <c r="C17527" s="216" t="n">
        <v>27.07</v>
      </c>
      <c r="D17527" s="216" t="n">
        <v>1.058482050895691</v>
      </c>
      <c r="E17527" s="215" t="n">
        <v>45756</v>
      </c>
      <c r="F17527" s="215" t="n">
        <v>45756</v>
      </c>
    </row>
    <row r="17528">
      <c r="A17528" s="215" t="n">
        <v>45757</v>
      </c>
      <c r="B17528" s="216" t="n">
        <v>20.9</v>
      </c>
      <c r="C17528" s="216" t="n">
        <v>27.56</v>
      </c>
      <c r="D17528" s="216" t="n">
        <v>1.055835008621216</v>
      </c>
      <c r="E17528" s="215" t="n">
        <v>45757</v>
      </c>
      <c r="F17528" s="215" t="n">
        <v>45757</v>
      </c>
    </row>
    <row r="17529">
      <c r="A17529" s="215" t="n">
        <v>45758</v>
      </c>
      <c r="B17529" s="216" t="n">
        <v>21.65</v>
      </c>
      <c r="C17529" s="216" t="n">
        <v>27.75</v>
      </c>
      <c r="D17529" s="216" t="n">
        <v>1.060536980628967</v>
      </c>
      <c r="E17529" s="215" t="n">
        <v>45758</v>
      </c>
      <c r="F17529" s="215" t="n">
        <v>45758</v>
      </c>
    </row>
    <row r="17530">
      <c r="A17530" s="215" t="n">
        <v>45761</v>
      </c>
      <c r="B17530" s="216" t="n">
        <v>22.25</v>
      </c>
      <c r="C17530" s="216" t="n">
        <v>28.06</v>
      </c>
      <c r="D17530" s="216" t="n">
        <v>1.063439965248108</v>
      </c>
      <c r="E17530" s="215" t="n">
        <v>45761</v>
      </c>
      <c r="F17530" s="215" t="n">
        <v>45761</v>
      </c>
    </row>
    <row r="17531">
      <c r="A17531" s="215" t="n">
        <v>45762</v>
      </c>
      <c r="B17531" s="216" t="n">
        <v>21.9</v>
      </c>
      <c r="C17531" s="216" t="n">
        <v>27.95</v>
      </c>
      <c r="D17531" s="216" t="n">
        <v>1.06060004234314</v>
      </c>
      <c r="E17531" s="215" t="n">
        <v>45762</v>
      </c>
      <c r="F17531" s="215" t="n">
        <v>45762</v>
      </c>
    </row>
    <row r="17532">
      <c r="A17532" s="215" t="n">
        <v>45763</v>
      </c>
      <c r="B17532" s="216" t="n">
        <v>21.2</v>
      </c>
      <c r="C17532" s="216" t="n">
        <v>27.55</v>
      </c>
      <c r="D17532" s="216" t="n">
        <v>1.06060004234314</v>
      </c>
      <c r="E17532" s="215" t="n">
        <v>45763</v>
      </c>
      <c r="F17532" s="215" t="n">
        <v>45763</v>
      </c>
    </row>
    <row r="17533">
      <c r="A17533" s="215" t="n">
        <v>45764</v>
      </c>
      <c r="B17533" s="216" t="n">
        <v>21.2</v>
      </c>
      <c r="C17533" s="216" t="n">
        <v>27.46</v>
      </c>
      <c r="D17533" s="216" t="n">
        <v>1.06060004234314</v>
      </c>
      <c r="E17533" s="215" t="n">
        <v>45764</v>
      </c>
      <c r="F17533" s="215" t="n">
        <v>45764</v>
      </c>
    </row>
    <row r="17534">
      <c r="A17534" s="215" t="n">
        <v>45769</v>
      </c>
      <c r="B17534" s="216" t="n">
        <v>21.2</v>
      </c>
      <c r="C17534" s="216" t="n">
        <v>27.48</v>
      </c>
      <c r="D17534" s="216" t="n">
        <v>1.06060004234314</v>
      </c>
      <c r="E17534" s="215" t="n">
        <v>45769</v>
      </c>
      <c r="F17534" s="215" t="n">
        <v>45769</v>
      </c>
    </row>
    <row r="17535">
      <c r="A17535" s="215" t="n">
        <v>45770</v>
      </c>
      <c r="B17535" s="216" t="n">
        <v>21.8</v>
      </c>
      <c r="C17535" s="216" t="n">
        <v>27.59</v>
      </c>
      <c r="D17535" s="216" t="n">
        <v>1.06060004234314</v>
      </c>
      <c r="E17535" s="215" t="n">
        <v>45770</v>
      </c>
      <c r="F17535" s="215" t="n">
        <v>45770</v>
      </c>
    </row>
    <row r="17536">
      <c r="A17536" s="215" t="n">
        <v>45771</v>
      </c>
      <c r="B17536" s="216" t="n">
        <v>22.35</v>
      </c>
      <c r="C17536" s="216" t="n">
        <v>28.76</v>
      </c>
      <c r="D17536" s="216" t="n">
        <v>1.06060004234314</v>
      </c>
      <c r="E17536" s="215" t="n">
        <v>45771</v>
      </c>
      <c r="F17536" s="215" t="n">
        <v>45771</v>
      </c>
    </row>
    <row r="17537">
      <c r="A17537" s="215" t="n">
        <v>45772</v>
      </c>
      <c r="B17537" s="216" t="n">
        <v>22.75</v>
      </c>
      <c r="C17537" s="216" t="n">
        <v>28.79</v>
      </c>
      <c r="D17537" s="216" t="n">
        <v>1.061900019645691</v>
      </c>
      <c r="E17537" s="215" t="n">
        <v>45772</v>
      </c>
      <c r="F17537" s="215" t="n">
        <v>45772</v>
      </c>
    </row>
    <row r="17538">
      <c r="A17538" s="215" t="n">
        <v>45775</v>
      </c>
      <c r="B17538" s="216" t="n">
        <v>22.5</v>
      </c>
      <c r="C17538" s="216" t="n">
        <v>28.12</v>
      </c>
      <c r="D17538" s="216" t="n">
        <v>1.064350962638855</v>
      </c>
      <c r="E17538" s="215" t="n">
        <v>45775</v>
      </c>
      <c r="F17538" s="215" t="n">
        <v>45775</v>
      </c>
    </row>
    <row r="17539">
      <c r="A17539" s="215" t="n">
        <v>45776</v>
      </c>
      <c r="B17539" s="216" t="n">
        <v>23.15</v>
      </c>
      <c r="C17539" s="216" t="n">
        <v>28.6</v>
      </c>
      <c r="D17539" s="216" t="n">
        <v>1.063179969787598</v>
      </c>
      <c r="E17539" s="215" t="n">
        <v>45776</v>
      </c>
      <c r="F17539" s="215" t="n">
        <v>45776</v>
      </c>
    </row>
    <row r="17540">
      <c r="A17540" s="215" t="n">
        <v>45777</v>
      </c>
      <c r="B17540" s="216" t="n">
        <v>23.1</v>
      </c>
      <c r="C17540" s="216" t="n">
        <v>28.81</v>
      </c>
      <c r="D17540" s="216" t="n">
        <v>1.067217946052551</v>
      </c>
      <c r="E17540" s="215" t="n">
        <v>45777</v>
      </c>
      <c r="F17540" s="215" t="n">
        <v>45777</v>
      </c>
    </row>
    <row r="17541">
      <c r="A17541" s="215" t="n">
        <v>45779</v>
      </c>
      <c r="B17541" s="216" t="n">
        <v>23.45</v>
      </c>
      <c r="C17541" s="216" t="n">
        <v>28.81</v>
      </c>
      <c r="D17541" s="216" t="n">
        <v>1.066810965538025</v>
      </c>
      <c r="E17541" s="215" t="n">
        <v>45777</v>
      </c>
      <c r="F17541" s="215" t="n">
        <v>45779</v>
      </c>
    </row>
    <row r="17542">
      <c r="A17542" s="215" t="n">
        <v>45783</v>
      </c>
      <c r="B17542" s="216" t="n">
        <v>23.35</v>
      </c>
      <c r="C17542" s="216" t="n">
        <v>29.13</v>
      </c>
      <c r="D17542" s="216" t="n">
        <v>1.065811991691589</v>
      </c>
      <c r="E17542" s="215" t="n">
        <v>45783</v>
      </c>
      <c r="F17542" s="215" t="n">
        <v>45783</v>
      </c>
    </row>
    <row r="17543">
      <c r="A17543" s="215" t="n">
        <v>45784</v>
      </c>
      <c r="B17543" s="216" t="n">
        <v>23.4</v>
      </c>
      <c r="C17543" s="216" t="n">
        <v>28.98</v>
      </c>
      <c r="D17543" s="216" t="n">
        <v>1.073848009109497</v>
      </c>
      <c r="E17543" s="215" t="n">
        <v>45784</v>
      </c>
      <c r="F17543" s="215" t="n">
        <v>45784</v>
      </c>
    </row>
    <row r="17544">
      <c r="A17544" s="215" t="n">
        <v>45785</v>
      </c>
      <c r="B17544" s="216" t="n">
        <v>23.6</v>
      </c>
      <c r="C17544" s="216" t="n">
        <v>29.4</v>
      </c>
      <c r="D17544" s="216" t="n">
        <v>1.07387101650238</v>
      </c>
      <c r="E17544" s="215" t="n">
        <v>45785</v>
      </c>
      <c r="F17544" s="215" t="n">
        <v>45785</v>
      </c>
    </row>
    <row r="17545">
      <c r="A17545" s="215" t="n">
        <v>45786</v>
      </c>
      <c r="B17545" s="216" t="n">
        <v>23.35</v>
      </c>
      <c r="C17545" s="216" t="n">
        <v>29.15</v>
      </c>
      <c r="D17545" s="216" t="n">
        <v>1.076066970825195</v>
      </c>
      <c r="E17545" s="215" t="n">
        <v>45786</v>
      </c>
      <c r="F17545" s="215" t="n">
        <v>45786</v>
      </c>
    </row>
    <row r="17546">
      <c r="A17546" s="215" t="n">
        <v>45789</v>
      </c>
      <c r="B17546" s="216" t="n">
        <v>24.45</v>
      </c>
      <c r="C17546" s="216" t="n">
        <v>29.73</v>
      </c>
      <c r="D17546" s="216" t="n">
        <v>1.074246048927307</v>
      </c>
      <c r="E17546" s="215" t="n">
        <v>45789</v>
      </c>
      <c r="F17546" s="215" t="n">
        <v>45789</v>
      </c>
    </row>
    <row r="17547">
      <c r="A17547" s="215" t="n">
        <v>45790</v>
      </c>
      <c r="B17547" s="216" t="n">
        <v>24.05</v>
      </c>
      <c r="C17547" s="216" t="n">
        <v>29.81</v>
      </c>
      <c r="D17547" s="216" t="n">
        <v>1.081536054611206</v>
      </c>
      <c r="E17547" s="215" t="n">
        <v>45790</v>
      </c>
      <c r="F17547" s="215" t="n">
        <v>45790</v>
      </c>
    </row>
    <row r="17548">
      <c r="A17548" s="215" t="n">
        <v>45791</v>
      </c>
      <c r="B17548" s="216" t="n">
        <v>24.65</v>
      </c>
      <c r="C17548" s="216" t="n">
        <v>30.23</v>
      </c>
      <c r="D17548" s="216" t="n">
        <v>1.081884980201721</v>
      </c>
      <c r="E17548" s="215" t="n">
        <v>45791</v>
      </c>
      <c r="F17548" s="215" t="n">
        <v>45791</v>
      </c>
    </row>
    <row r="17549">
      <c r="A17549" s="215" t="n">
        <v>45792</v>
      </c>
      <c r="B17549" s="216" t="n">
        <v>23.5</v>
      </c>
      <c r="C17549" s="216" t="n">
        <v>29.39</v>
      </c>
      <c r="D17549" s="216" t="n">
        <v>1.082641005516052</v>
      </c>
      <c r="E17549" s="215" t="n">
        <v>45792</v>
      </c>
      <c r="F17549" s="215" t="n">
        <v>45792</v>
      </c>
    </row>
    <row r="17550">
      <c r="A17550" s="215" t="n">
        <v>45793</v>
      </c>
      <c r="B17550" s="216" t="n">
        <v>23.25</v>
      </c>
      <c r="C17550" s="216" t="n">
        <v>29.15</v>
      </c>
      <c r="D17550" s="216" t="n">
        <v>1.082918047904968</v>
      </c>
      <c r="E17550" s="215" t="n">
        <v>45793</v>
      </c>
      <c r="F17550" s="215" t="n">
        <v>45793</v>
      </c>
    </row>
    <row r="17551">
      <c r="A17551" s="215" t="n">
        <v>45796</v>
      </c>
      <c r="B17551" s="216" t="n">
        <v>23.35</v>
      </c>
      <c r="C17551" s="216" t="n">
        <v>29.29</v>
      </c>
      <c r="D17551" s="216" t="n">
        <v>1.083842992782593</v>
      </c>
      <c r="E17551" s="215" t="n">
        <v>45796</v>
      </c>
      <c r="F17551" s="215" t="n">
        <v>45796</v>
      </c>
    </row>
    <row r="17552">
      <c r="A17552" s="215" t="n">
        <v>45797</v>
      </c>
      <c r="B17552" s="216" t="n">
        <v>23.35</v>
      </c>
      <c r="C17552" s="216" t="n">
        <v>29.29</v>
      </c>
      <c r="D17552" s="216" t="n">
        <v>1.08473801612854</v>
      </c>
      <c r="E17552" s="215" t="n">
        <v>45797</v>
      </c>
      <c r="F17552" s="215" t="n">
        <v>45797</v>
      </c>
    </row>
    <row r="17553">
      <c r="A17553" s="215" t="n">
        <v>45798</v>
      </c>
      <c r="B17553" s="216" t="n">
        <v>24.3</v>
      </c>
      <c r="C17553" s="216" t="n">
        <v>29.53</v>
      </c>
      <c r="D17553" s="216" t="n">
        <v>1.084200024604797</v>
      </c>
      <c r="E17553" s="215" t="n">
        <v>45798</v>
      </c>
      <c r="F17553" s="215" t="n">
        <v>45798</v>
      </c>
    </row>
    <row r="17554">
      <c r="A17554" s="215" t="n">
        <v>45799</v>
      </c>
      <c r="B17554" s="216" t="n">
        <v>24.45</v>
      </c>
      <c r="C17554" s="216" t="n">
        <v>29.6</v>
      </c>
      <c r="D17554" s="216" t="n">
        <v>1.086825013160706</v>
      </c>
      <c r="E17554" s="215" t="n">
        <v>45799</v>
      </c>
      <c r="F17554" s="215" t="n">
        <v>45799</v>
      </c>
    </row>
    <row r="17555">
      <c r="A17555" s="215" t="n">
        <v>45800</v>
      </c>
      <c r="B17555" s="216" t="n">
        <v>25.05</v>
      </c>
      <c r="C17555" s="216" t="n">
        <v>30.17</v>
      </c>
      <c r="D17555" s="216" t="n">
        <v>1.086493015289307</v>
      </c>
      <c r="E17555" s="215" t="n">
        <v>45800</v>
      </c>
      <c r="F17555" s="215" t="n">
        <v>45800</v>
      </c>
    </row>
    <row r="17556">
      <c r="A17556" s="215" t="n">
        <v>45803</v>
      </c>
      <c r="B17556" s="216" t="n">
        <v>24.2</v>
      </c>
      <c r="C17556" s="216" t="n">
        <v>29.59</v>
      </c>
      <c r="D17556" s="216" t="n">
        <v>1.08673095703125</v>
      </c>
      <c r="E17556" s="215" t="n">
        <v>45803</v>
      </c>
      <c r="F17556" s="215" t="n">
        <v>45803</v>
      </c>
    </row>
    <row r="17557">
      <c r="A17557" s="215" t="n">
        <v>45804</v>
      </c>
      <c r="B17557" s="216" t="n">
        <v>24.25</v>
      </c>
      <c r="C17557" s="216" t="n">
        <v>29.88</v>
      </c>
      <c r="D17557" s="216" t="n">
        <v>1.087713956832886</v>
      </c>
      <c r="E17557" s="215" t="n">
        <v>45804</v>
      </c>
      <c r="F17557" s="215" t="n">
        <v>45804</v>
      </c>
    </row>
    <row r="17558">
      <c r="A17558" s="215" t="n">
        <v>45805</v>
      </c>
      <c r="B17558" s="216" t="n">
        <v>24</v>
      </c>
      <c r="C17558" s="216" t="n">
        <v>28.87</v>
      </c>
      <c r="D17558" s="216" t="n">
        <v>1.087921977043152</v>
      </c>
      <c r="E17558" s="215" t="n">
        <v>45805</v>
      </c>
      <c r="F17558" s="215" t="n">
        <v>45805</v>
      </c>
    </row>
    <row r="17559">
      <c r="A17559" s="215" t="n">
        <v>45806</v>
      </c>
      <c r="B17559" s="216" t="n">
        <v>24.8</v>
      </c>
      <c r="C17559" s="216" t="n">
        <v>29.3</v>
      </c>
      <c r="D17559" s="216" t="n">
        <v>1.087334990501404</v>
      </c>
      <c r="E17559" s="215" t="n">
        <v>45806</v>
      </c>
      <c r="F17559" s="215" t="n">
        <v>45806</v>
      </c>
    </row>
    <row r="17560">
      <c r="A17560" s="215" t="n">
        <v>45807</v>
      </c>
      <c r="B17560" s="216" t="n">
        <v>24.5</v>
      </c>
      <c r="C17560" s="216" t="n">
        <v>28.94</v>
      </c>
      <c r="D17560" s="216" t="n">
        <v>1.088281989097595</v>
      </c>
      <c r="E17560" s="215" t="n">
        <v>45807</v>
      </c>
      <c r="F17560" s="215" t="n">
        <v>45807</v>
      </c>
    </row>
    <row r="17561">
      <c r="A17561" s="215" t="n">
        <v>45810</v>
      </c>
      <c r="B17561" s="216" t="n">
        <v>24.5</v>
      </c>
      <c r="C17561" s="216" t="n">
        <v>28.94</v>
      </c>
      <c r="D17561" s="216" t="n">
        <v>1.088839054107666</v>
      </c>
      <c r="E17561" s="215" t="n">
        <v>45807</v>
      </c>
      <c r="F17561" s="215" t="n">
        <v>45810</v>
      </c>
    </row>
    <row r="17562">
      <c r="A17562" s="215" t="n">
        <v>45811</v>
      </c>
      <c r="B17562" s="216" t="n">
        <v>25.2</v>
      </c>
      <c r="C17562" s="216" t="n">
        <v>29.32</v>
      </c>
      <c r="D17562" s="216" t="n">
        <v>1.098875999450684</v>
      </c>
      <c r="E17562" s="215" t="n">
        <v>45811</v>
      </c>
      <c r="F17562" s="215" t="n">
        <v>45811</v>
      </c>
    </row>
    <row r="17563">
      <c r="A17563" s="215" t="n">
        <v>45812</v>
      </c>
      <c r="B17563" s="216" t="n">
        <v>26.45</v>
      </c>
      <c r="C17563" s="216" t="n">
        <v>30.37</v>
      </c>
      <c r="D17563" s="216" t="n">
        <v>1.092406988143921</v>
      </c>
      <c r="E17563" s="215" t="n">
        <v>45812</v>
      </c>
      <c r="F17563" s="215" t="n">
        <v>45812</v>
      </c>
    </row>
    <row r="17564">
      <c r="A17564" s="215" t="n">
        <v>45813</v>
      </c>
      <c r="B17564" s="216" t="n">
        <v>26.35</v>
      </c>
      <c r="C17564" s="216" t="n">
        <v>30.26</v>
      </c>
      <c r="D17564" s="216" t="n">
        <v>1.095829010009766</v>
      </c>
      <c r="E17564" s="215" t="n">
        <v>45813</v>
      </c>
      <c r="F17564" s="215" t="n">
        <v>45813</v>
      </c>
    </row>
    <row r="17565">
      <c r="A17565" s="215" t="n">
        <v>45814</v>
      </c>
      <c r="B17565" s="216" t="n">
        <v>26.4</v>
      </c>
      <c r="C17565" s="216" t="n">
        <v>30.34</v>
      </c>
      <c r="D17565" s="216" t="n">
        <v>1.093296051025391</v>
      </c>
      <c r="E17565" s="215" t="n">
        <v>45814</v>
      </c>
      <c r="F17565" s="215" t="n">
        <v>45814</v>
      </c>
    </row>
    <row r="17566">
      <c r="A17566" s="215" t="n">
        <v>45817</v>
      </c>
      <c r="B17566" s="216" t="n">
        <v>25.9</v>
      </c>
      <c r="C17566" s="216" t="n">
        <v>30.37</v>
      </c>
      <c r="D17566" s="216" t="n">
        <v>1.091297030448914</v>
      </c>
      <c r="E17566" s="215" t="n">
        <v>45817</v>
      </c>
      <c r="F17566" s="215" t="n">
        <v>45817</v>
      </c>
    </row>
    <row r="17567">
      <c r="A17567" s="215" t="n">
        <v>45818</v>
      </c>
      <c r="B17567" s="216" t="n">
        <v>25.9</v>
      </c>
      <c r="C17567" s="216" t="n">
        <v>30.15</v>
      </c>
      <c r="D17567" s="216" t="n">
        <v>1.092790007591248</v>
      </c>
      <c r="E17567" s="215" t="n">
        <v>45818</v>
      </c>
      <c r="F17567" s="215" t="n">
        <v>45818</v>
      </c>
    </row>
    <row r="17568">
      <c r="A17568" s="215" t="n">
        <v>45819</v>
      </c>
      <c r="B17568" s="216" t="n">
        <v>26.65</v>
      </c>
      <c r="C17568" s="216" t="n">
        <v>30.75</v>
      </c>
      <c r="D17568" s="216" t="n">
        <v>1.092836976051331</v>
      </c>
      <c r="E17568" s="215" t="n">
        <v>45819</v>
      </c>
      <c r="F17568" s="215" t="n">
        <v>45819</v>
      </c>
    </row>
    <row r="17569">
      <c r="A17569" s="215" t="n">
        <v>45820</v>
      </c>
      <c r="B17569" s="216" t="n">
        <v>26.8</v>
      </c>
      <c r="C17569" s="216" t="n">
        <v>30.62</v>
      </c>
      <c r="D17569" s="216" t="n">
        <v>1.090999960899353</v>
      </c>
      <c r="E17569" s="215" t="n">
        <v>45820</v>
      </c>
      <c r="F17569" s="215" t="n">
        <v>45820</v>
      </c>
    </row>
    <row r="17570">
      <c r="A17570" s="215" t="n">
        <v>45821</v>
      </c>
      <c r="B17570" s="216" t="n">
        <v>26.5</v>
      </c>
      <c r="C17570" s="216" t="n">
        <v>30.2</v>
      </c>
      <c r="D17570" s="216" t="n">
        <v>1.091084957122803</v>
      </c>
      <c r="E17570" s="215" t="n">
        <v>45821</v>
      </c>
      <c r="F17570" s="215" t="n">
        <v>45821</v>
      </c>
    </row>
    <row r="17571">
      <c r="A17571" s="215" t="n">
        <v>45824</v>
      </c>
      <c r="B17571" s="216" t="n">
        <v>26.35</v>
      </c>
      <c r="C17571" s="216" t="n">
        <v>30.03</v>
      </c>
      <c r="D17571" s="216" t="n">
        <v>1.092895984649658</v>
      </c>
      <c r="E17571" s="215" t="n">
        <v>45824</v>
      </c>
      <c r="F17571" s="215" t="n">
        <v>45824</v>
      </c>
    </row>
    <row r="17572">
      <c r="A17572" s="215" t="n">
        <v>45825</v>
      </c>
      <c r="B17572" s="216" t="n">
        <v>26.35</v>
      </c>
      <c r="C17572" s="216" t="n">
        <v>30.15</v>
      </c>
      <c r="D17572" s="216" t="n">
        <v>1.093256950378418</v>
      </c>
      <c r="E17572" s="215" t="n">
        <v>45825</v>
      </c>
      <c r="F17572" s="215" t="n">
        <v>45825</v>
      </c>
    </row>
    <row r="17573">
      <c r="A17573" s="215" t="n">
        <v>45826</v>
      </c>
      <c r="B17573" s="216" t="n">
        <v>25.55</v>
      </c>
      <c r="C17573" s="216" t="n">
        <v>29.9</v>
      </c>
      <c r="D17573" s="216" t="n">
        <v>1.092421054840088</v>
      </c>
      <c r="E17573" s="215" t="n">
        <v>45826</v>
      </c>
      <c r="F17573" s="215" t="n">
        <v>45826</v>
      </c>
    </row>
    <row r="17574">
      <c r="A17574" s="215" t="n">
        <v>45827</v>
      </c>
      <c r="B17574" s="216" t="n">
        <v>25.45</v>
      </c>
      <c r="C17574" s="216" t="n">
        <v>29.78</v>
      </c>
      <c r="D17574" s="216" t="n">
        <v>1.091722011566162</v>
      </c>
      <c r="E17574" s="215" t="n">
        <v>45827</v>
      </c>
      <c r="F17574" s="215" t="n">
        <v>45827</v>
      </c>
    </row>
    <row r="17575">
      <c r="A17575" s="215" t="n">
        <v>45828</v>
      </c>
      <c r="B17575" s="216" t="n">
        <v>25.35</v>
      </c>
      <c r="C17575" s="216" t="n">
        <v>29.33</v>
      </c>
      <c r="D17575" s="216" t="n">
        <v>1.091766953468323</v>
      </c>
      <c r="E17575" s="215" t="n">
        <v>45828</v>
      </c>
      <c r="F17575" s="215" t="n">
        <v>45828</v>
      </c>
    </row>
    <row r="17576">
      <c r="A17576" s="215" t="n">
        <v>45831</v>
      </c>
      <c r="B17576" s="216" t="n">
        <v>25.7</v>
      </c>
      <c r="C17576" s="216" t="n">
        <v>30.24</v>
      </c>
      <c r="D17576" s="216" t="n">
        <v>1.091856002807617</v>
      </c>
      <c r="E17576" s="215" t="n">
        <v>45831</v>
      </c>
      <c r="F17576" s="215" t="n">
        <v>45831</v>
      </c>
    </row>
    <row r="17577">
      <c r="A17577" s="215" t="n">
        <v>45832</v>
      </c>
      <c r="B17577" s="216" t="n">
        <v>27.15</v>
      </c>
      <c r="C17577" s="216" t="n">
        <v>31.22</v>
      </c>
      <c r="D17577" s="216" t="n">
        <v>1.093309044837952</v>
      </c>
      <c r="E17577" s="215" t="n">
        <v>45832</v>
      </c>
      <c r="F17577" s="215" t="n">
        <v>45832</v>
      </c>
    </row>
    <row r="17578">
      <c r="A17578" s="215" t="n">
        <v>45833</v>
      </c>
      <c r="B17578" s="216" t="n">
        <v>27.5</v>
      </c>
      <c r="C17578" s="216" t="n">
        <v>31.52</v>
      </c>
      <c r="D17578" s="216" t="n">
        <v>1.094483971595764</v>
      </c>
      <c r="E17578" s="215" t="n">
        <v>45833</v>
      </c>
      <c r="F17578" s="215" t="n">
        <v>45833</v>
      </c>
    </row>
    <row r="17579">
      <c r="A17579" s="215" t="n">
        <v>45834</v>
      </c>
      <c r="B17579" s="216" t="n">
        <v>27.3</v>
      </c>
      <c r="C17579" s="216" t="n">
        <v>31.44</v>
      </c>
      <c r="D17579" s="216" t="n">
        <v>1.093523025512695</v>
      </c>
      <c r="E17579" s="215" t="n">
        <v>45834</v>
      </c>
      <c r="F17579" s="215" t="n">
        <v>45834</v>
      </c>
    </row>
    <row r="17580">
      <c r="A17580" s="215" t="n">
        <v>45835</v>
      </c>
      <c r="B17580" s="216" t="n">
        <v>29.15</v>
      </c>
      <c r="C17580" s="216" t="n">
        <v>32.27</v>
      </c>
      <c r="D17580" s="216" t="n">
        <v>1.095173001289368</v>
      </c>
      <c r="E17580" s="215" t="n">
        <v>45835</v>
      </c>
      <c r="F17580" s="215" t="n">
        <v>45835</v>
      </c>
    </row>
    <row r="17581">
      <c r="A17581" s="215" t="n">
        <v>45838</v>
      </c>
      <c r="B17581" s="216" t="n">
        <v>28.95</v>
      </c>
      <c r="C17581" s="216" t="n">
        <v>32.04</v>
      </c>
      <c r="D17581" s="216" t="n">
        <v>1.094328045845032</v>
      </c>
      <c r="E17581" s="215" t="n">
        <v>45838</v>
      </c>
      <c r="F17581" s="215" t="n">
        <v>45838</v>
      </c>
    </row>
    <row r="17582">
      <c r="A17582" s="215" t="n">
        <v>45840</v>
      </c>
      <c r="B17582" s="216" t="n">
        <v>29.25</v>
      </c>
      <c r="C17582" s="216" t="n">
        <v>32.45</v>
      </c>
      <c r="D17582" s="216" t="n">
        <v>1.095211982727051</v>
      </c>
      <c r="E17582" s="215" t="n">
        <v>45840</v>
      </c>
      <c r="F17582" s="215" t="n">
        <v>45840</v>
      </c>
    </row>
    <row r="17583">
      <c r="A17583" s="215" t="n">
        <v>45841</v>
      </c>
      <c r="B17583" s="216" t="n">
        <v>29.75</v>
      </c>
      <c r="C17583" s="216" t="n">
        <v>33.33</v>
      </c>
      <c r="D17583" s="216" t="n">
        <v>1.095422029495239</v>
      </c>
      <c r="E17583" s="215" t="n">
        <v>45841</v>
      </c>
      <c r="F17583" s="215" t="n">
        <v>45841</v>
      </c>
    </row>
    <row r="17584">
      <c r="A17584" s="215" t="n">
        <v>45842</v>
      </c>
      <c r="B17584" s="216" t="n">
        <v>28.9</v>
      </c>
      <c r="C17584" s="216" t="n">
        <v>32.37</v>
      </c>
      <c r="D17584" s="216" t="n">
        <v>1.095221042633057</v>
      </c>
      <c r="E17584" s="215" t="n">
        <v>45842</v>
      </c>
      <c r="F17584" s="215" t="n">
        <v>45842</v>
      </c>
    </row>
    <row r="17585">
      <c r="A17585" s="215" t="n">
        <v>45845</v>
      </c>
      <c r="B17585" s="216" t="n">
        <v>28.9</v>
      </c>
      <c r="C17585" s="216" t="n">
        <v>32.2</v>
      </c>
      <c r="D17585" s="216" t="n">
        <v>1.095430970191956</v>
      </c>
      <c r="E17585" s="215" t="n">
        <v>45845</v>
      </c>
      <c r="F17585" s="215" t="n">
        <v>45845</v>
      </c>
    </row>
    <row r="17586">
      <c r="A17586" s="215" t="n">
        <v>45846</v>
      </c>
      <c r="B17586" s="216" t="n">
        <v>30.75</v>
      </c>
      <c r="C17586" s="216" t="n">
        <v>33.4</v>
      </c>
      <c r="D17586" s="216" t="n">
        <v>1.093924999237061</v>
      </c>
      <c r="E17586" s="215" t="n">
        <v>45846</v>
      </c>
      <c r="F17586" s="215" t="n">
        <v>45846</v>
      </c>
    </row>
    <row r="17587">
      <c r="A17587" s="215" t="n">
        <v>45847</v>
      </c>
      <c r="B17587" s="216" t="n">
        <v>30.05</v>
      </c>
      <c r="C17587" s="216" t="n">
        <v>33.18</v>
      </c>
      <c r="D17587" s="216" t="n">
        <v>1.094220995903015</v>
      </c>
      <c r="E17587" s="215" t="n">
        <v>45847</v>
      </c>
      <c r="F17587" s="215" t="n">
        <v>45847</v>
      </c>
    </row>
    <row r="17588">
      <c r="A17588" s="215" t="n">
        <v>45848</v>
      </c>
      <c r="B17588" s="216" t="n">
        <v>30.2</v>
      </c>
      <c r="C17588" s="216" t="n">
        <v>33.42</v>
      </c>
      <c r="D17588" s="216" t="n">
        <v>1.093220949172974</v>
      </c>
      <c r="E17588" s="215" t="n">
        <v>45848</v>
      </c>
      <c r="F17588" s="215" t="n">
        <v>45848</v>
      </c>
    </row>
    <row r="17589">
      <c r="A17589" s="215" t="n">
        <v>45849</v>
      </c>
      <c r="B17589" s="216" t="n">
        <v>29.9</v>
      </c>
      <c r="C17589" s="216" t="n">
        <v>33.26</v>
      </c>
      <c r="D17589" s="216" t="n">
        <v>1.093930959701538</v>
      </c>
      <c r="E17589" s="215" t="n">
        <v>45849</v>
      </c>
      <c r="F17589" s="215" t="n">
        <v>45849</v>
      </c>
    </row>
    <row r="17590">
      <c r="A17590" s="215" t="n">
        <v>45852</v>
      </c>
      <c r="B17590" s="216" t="n">
        <v>30.7</v>
      </c>
      <c r="C17590" s="216" t="n">
        <v>34.23</v>
      </c>
      <c r="D17590" s="216" t="n">
        <v>1.095023989677429</v>
      </c>
      <c r="E17590" s="215" t="n">
        <v>45852</v>
      </c>
      <c r="F17590" s="215" t="n">
        <v>45852</v>
      </c>
    </row>
    <row r="17591">
      <c r="A17591" s="215" t="n">
        <v>45853</v>
      </c>
      <c r="B17591" s="216" t="n">
        <v>30.4</v>
      </c>
      <c r="C17591" s="216" t="n">
        <v>33.88</v>
      </c>
      <c r="D17591" s="216" t="n">
        <v>1.095172047615051</v>
      </c>
      <c r="E17591" s="215" t="n">
        <v>45853</v>
      </c>
      <c r="F17591" s="215" t="n">
        <v>45853</v>
      </c>
    </row>
    <row r="17592">
      <c r="A17592" s="215" t="n">
        <v>45854</v>
      </c>
      <c r="B17592" s="216" t="n">
        <v>29.65</v>
      </c>
      <c r="C17592" s="216" t="n">
        <v>33.04</v>
      </c>
      <c r="D17592" s="216" t="n">
        <v>1.094182014465332</v>
      </c>
      <c r="E17592" s="215" t="n">
        <v>45854</v>
      </c>
      <c r="F17592" s="215" t="n">
        <v>45854</v>
      </c>
    </row>
    <row r="17593">
      <c r="A17593" s="215" t="n">
        <v>45855</v>
      </c>
      <c r="B17593" s="216" t="n">
        <v>30.95</v>
      </c>
      <c r="C17593" s="216" t="n">
        <v>34.25</v>
      </c>
      <c r="D17593" s="216" t="n">
        <v>1.093484044075012</v>
      </c>
      <c r="E17593" s="215" t="n">
        <v>45855</v>
      </c>
      <c r="F17593" s="215" t="n">
        <v>45855</v>
      </c>
    </row>
    <row r="17594">
      <c r="A17594" s="215" t="n">
        <v>45856</v>
      </c>
      <c r="B17594" s="216" t="n">
        <v>32.75</v>
      </c>
      <c r="C17594" s="216" t="n">
        <v>36</v>
      </c>
      <c r="D17594" s="216" t="n">
        <v>1.092442035675049</v>
      </c>
      <c r="E17594" s="215" t="n">
        <v>45856</v>
      </c>
      <c r="F17594" s="215" t="n">
        <v>45856</v>
      </c>
    </row>
    <row r="17595">
      <c r="A17595" s="215" t="n">
        <v>45859</v>
      </c>
      <c r="B17595" s="216" t="n">
        <v>33.45</v>
      </c>
      <c r="C17595" s="216" t="n">
        <v>35.9</v>
      </c>
      <c r="D17595" s="216" t="n">
        <v>1.093299984931946</v>
      </c>
      <c r="E17595" s="215" t="n">
        <v>45859</v>
      </c>
      <c r="F17595" s="215" t="n">
        <v>45859</v>
      </c>
    </row>
    <row r="17596">
      <c r="A17596" s="215" t="n">
        <v>45860</v>
      </c>
      <c r="B17596" s="216" t="n">
        <v>35.75</v>
      </c>
      <c r="C17596" s="216" t="n">
        <v>36.86</v>
      </c>
      <c r="D17596" s="216" t="n">
        <v>1.093826055526733</v>
      </c>
      <c r="E17596" s="215" t="n">
        <v>45860</v>
      </c>
      <c r="F17596" s="215" t="n">
        <v>45860</v>
      </c>
    </row>
    <row r="17597">
      <c r="A17597" s="215" t="n">
        <v>45861</v>
      </c>
      <c r="B17597" s="216" t="n">
        <v>34.75</v>
      </c>
      <c r="C17597" s="216" t="n">
        <v>36.63</v>
      </c>
      <c r="D17597" s="216" t="n">
        <v>1.094056010246277</v>
      </c>
      <c r="E17597" s="215" t="n">
        <v>45861</v>
      </c>
      <c r="F17597" s="215" t="n">
        <v>45861</v>
      </c>
    </row>
    <row r="17598">
      <c r="A17598" s="215" t="n">
        <v>45862</v>
      </c>
      <c r="B17598" s="216" t="n">
        <v>39.65</v>
      </c>
      <c r="C17598" s="216" t="n">
        <v>40.29</v>
      </c>
      <c r="D17598" s="216" t="n">
        <v>1.096284031867981</v>
      </c>
      <c r="E17598" s="215" t="n">
        <v>45862</v>
      </c>
      <c r="F17598" s="215" t="n">
        <v>45862</v>
      </c>
    </row>
    <row r="17599">
      <c r="A17599" s="215" t="n">
        <v>45863</v>
      </c>
      <c r="B17599" s="216" t="n">
        <v>40.2</v>
      </c>
      <c r="C17599" s="216" t="n">
        <v>41.89</v>
      </c>
      <c r="D17599" s="216" t="n">
        <v>1.097048044204712</v>
      </c>
      <c r="E17599" s="215" t="n">
        <v>45863</v>
      </c>
      <c r="F17599" s="215" t="n">
        <v>45863</v>
      </c>
    </row>
    <row r="17600">
      <c r="A17600" s="215" t="n">
        <v>45866</v>
      </c>
      <c r="B17600" s="216" t="n">
        <v>37.7</v>
      </c>
      <c r="C17600" s="216" t="n">
        <v>40.74</v>
      </c>
      <c r="D17600" s="216" t="n">
        <v>1.097200989723206</v>
      </c>
      <c r="E17600" s="215" t="n">
        <v>45866</v>
      </c>
      <c r="F17600" s="215" t="n">
        <v>45866</v>
      </c>
    </row>
    <row r="17601">
      <c r="A17601" s="215" t="n">
        <v>45867</v>
      </c>
      <c r="B17601" s="216" t="n">
        <v>38</v>
      </c>
      <c r="C17601" s="216" t="n">
        <v>40.4</v>
      </c>
      <c r="D17601" s="216" t="n">
        <v>1.093530058860779</v>
      </c>
      <c r="E17601" s="215" t="n">
        <v>45867</v>
      </c>
      <c r="F17601" s="215" t="n">
        <v>45867</v>
      </c>
    </row>
    <row r="17602">
      <c r="A17602" s="215" t="n">
        <v>45868</v>
      </c>
      <c r="B17602" s="216" t="n">
        <v>36.45</v>
      </c>
      <c r="C17602" s="216" t="n">
        <v>39.88</v>
      </c>
      <c r="D17602" s="216" t="n">
        <v>1.093464970588684</v>
      </c>
      <c r="E17602" s="215" t="n">
        <v>45868</v>
      </c>
      <c r="F17602" s="215" t="n">
        <v>45868</v>
      </c>
    </row>
    <row r="17603">
      <c r="A17603" s="215" t="n">
        <v>45869</v>
      </c>
      <c r="B17603" s="216" t="n">
        <v>35.25</v>
      </c>
      <c r="C17603" s="216" t="n">
        <v>38.23</v>
      </c>
      <c r="D17603" s="216" t="n">
        <v>1.093583941459656</v>
      </c>
      <c r="E17603" s="215" t="n">
        <v>45869</v>
      </c>
      <c r="F17603" s="215" t="n">
        <v>45869</v>
      </c>
    </row>
    <row r="17604">
      <c r="A17604" s="215" t="n">
        <v>45870</v>
      </c>
      <c r="B17604" s="216" t="n">
        <v>35.45</v>
      </c>
      <c r="C17604" s="216" t="n">
        <v>38.25</v>
      </c>
      <c r="D17604" s="216" t="n">
        <v>1.090090990066528</v>
      </c>
      <c r="E17604" s="215" t="n">
        <v>45870</v>
      </c>
      <c r="F17604" s="215" t="n">
        <v>45870</v>
      </c>
    </row>
    <row r="17605">
      <c r="A17605" s="215" t="n">
        <v>45873</v>
      </c>
      <c r="B17605" s="216" t="n">
        <v>35.96</v>
      </c>
      <c r="C17605" s="216" t="n">
        <v>38.09</v>
      </c>
      <c r="D17605" s="216" t="n">
        <v>1.088384985923767</v>
      </c>
      <c r="E17605" s="215" t="n">
        <v>45873</v>
      </c>
      <c r="F17605" s="215" t="n">
        <v>45873</v>
      </c>
    </row>
    <row r="17606">
      <c r="A17606" s="215" t="n">
        <v>45874</v>
      </c>
      <c r="B17606" s="216" t="n">
        <v>36.1</v>
      </c>
      <c r="C17606" s="216" t="n">
        <v>38.07</v>
      </c>
      <c r="D17606" s="216" t="n">
        <v>1.093202948570251</v>
      </c>
      <c r="E17606" s="215" t="n">
        <v>45874</v>
      </c>
      <c r="F17606" s="215" t="n">
        <v>45874</v>
      </c>
    </row>
    <row r="17607">
      <c r="A17607" s="215" t="n">
        <v>45875</v>
      </c>
      <c r="B17607" s="216" t="n">
        <v>36.96</v>
      </c>
      <c r="C17607" s="216" t="n">
        <v>38.16</v>
      </c>
      <c r="D17607" s="216" t="n">
        <v>1.092388987541199</v>
      </c>
      <c r="E17607" s="215" t="n">
        <v>45875</v>
      </c>
      <c r="F17607" s="215" t="n">
        <v>45875</v>
      </c>
    </row>
    <row r="17608">
      <c r="A17608" s="215" t="n">
        <v>45876</v>
      </c>
      <c r="B17608" s="216" t="n">
        <v>39.76</v>
      </c>
      <c r="C17608" s="216" t="n">
        <v>39.54</v>
      </c>
      <c r="D17608" s="216" t="n">
        <v>1.092599034309387</v>
      </c>
      <c r="E17608" s="215" t="n">
        <v>45876</v>
      </c>
      <c r="F17608" s="215" t="n">
        <v>45876</v>
      </c>
    </row>
    <row r="17609">
      <c r="A17609" s="215" t="n">
        <v>45877</v>
      </c>
      <c r="B17609" s="216" t="n">
        <v>41.02</v>
      </c>
      <c r="C17609" s="216" t="n">
        <v>40.83</v>
      </c>
      <c r="D17609" s="216" t="n">
        <v>1.092857956886292</v>
      </c>
      <c r="E17609" s="215" t="n">
        <v>45877</v>
      </c>
      <c r="F17609" s="215" t="n">
        <v>45877</v>
      </c>
    </row>
    <row r="17610">
      <c r="A17610" s="215" t="n">
        <v>45880</v>
      </c>
      <c r="B17610" s="216" t="n">
        <v>48.48</v>
      </c>
      <c r="C17610" s="216" t="n">
        <v>44.91</v>
      </c>
      <c r="D17610" s="216" t="n">
        <v>1.093001961708069</v>
      </c>
      <c r="E17610" s="215" t="n">
        <v>45880</v>
      </c>
      <c r="F17610" s="215" t="n">
        <v>45880</v>
      </c>
    </row>
    <row r="17611">
      <c r="A17611" s="215" t="n">
        <v>45881</v>
      </c>
      <c r="B17611" s="216" t="n">
        <v>45.78</v>
      </c>
      <c r="C17611" s="216" t="n">
        <v>45.88</v>
      </c>
      <c r="D17611" s="216" t="n">
        <v>1.091938018798828</v>
      </c>
      <c r="E17611" s="215" t="n">
        <v>45881</v>
      </c>
      <c r="F17611" s="215" t="n">
        <v>45881</v>
      </c>
    </row>
    <row r="17612">
      <c r="A17612" s="215" t="n">
        <v>45882</v>
      </c>
      <c r="B17612" s="216" t="n">
        <v>45</v>
      </c>
      <c r="C17612" s="216" t="n">
        <v>44.74</v>
      </c>
      <c r="D17612" s="216" t="n">
        <v>1.093171000480652</v>
      </c>
      <c r="E17612" s="215" t="n">
        <v>45882</v>
      </c>
      <c r="F17612" s="215" t="n">
        <v>45882</v>
      </c>
    </row>
    <row r="17613">
      <c r="A17613" s="215" t="n">
        <v>45883</v>
      </c>
      <c r="B17613" s="216" t="n">
        <v>44</v>
      </c>
      <c r="C17613" s="216" t="n">
        <v>43.03</v>
      </c>
      <c r="D17613" s="216" t="n">
        <v>1.093981027603149</v>
      </c>
      <c r="E17613" s="215" t="n">
        <v>45883</v>
      </c>
      <c r="F17613" s="215" t="n">
        <v>45883</v>
      </c>
    </row>
    <row r="17614">
      <c r="A17614" s="215" t="n">
        <v>45884</v>
      </c>
      <c r="B17614" s="216" t="n">
        <v>45.38</v>
      </c>
      <c r="C17614" s="216" t="n">
        <v>43.77</v>
      </c>
      <c r="D17614" s="216" t="n">
        <v>1.091035962104797</v>
      </c>
      <c r="E17614" s="215" t="n">
        <v>45884</v>
      </c>
      <c r="F17614" s="215" t="n">
        <v>45884</v>
      </c>
    </row>
    <row r="17615">
      <c r="A17615" s="215" t="n">
        <v>45887</v>
      </c>
      <c r="B17615" s="216" t="n">
        <v>44.84</v>
      </c>
      <c r="C17615" s="216" t="n">
        <v>44.46</v>
      </c>
      <c r="D17615" s="216" t="n">
        <v>1.089409947395325</v>
      </c>
      <c r="E17615" s="215" t="n">
        <v>45887</v>
      </c>
      <c r="F17615" s="215" t="n">
        <v>45887</v>
      </c>
    </row>
    <row r="17616">
      <c r="A17616" s="215" t="n">
        <v>45888</v>
      </c>
      <c r="B17616" s="216" t="n">
        <v>43.88</v>
      </c>
      <c r="C17616" s="216" t="n">
        <v>43.88</v>
      </c>
      <c r="D17616" s="216" t="n">
        <v>1.088366031646729</v>
      </c>
      <c r="E17616" s="215" t="n">
        <v>45888</v>
      </c>
      <c r="F17616" s="215" t="n">
        <v>45888</v>
      </c>
    </row>
    <row r="17617">
      <c r="A17617" s="215" t="n">
        <v>45889</v>
      </c>
      <c r="B17617" s="216" t="n">
        <v>42.12</v>
      </c>
      <c r="C17617" s="216" t="n">
        <v>43.04</v>
      </c>
      <c r="D17617" s="216" t="n">
        <v>1.085826992988586</v>
      </c>
      <c r="E17617" s="215" t="n">
        <v>45889</v>
      </c>
      <c r="F17617" s="215" t="n">
        <v>45889</v>
      </c>
    </row>
    <row r="17618">
      <c r="A17618" s="215" t="n">
        <v>45890</v>
      </c>
      <c r="B17618" s="216" t="n">
        <v>41.62</v>
      </c>
      <c r="C17618" s="216" t="n">
        <v>42.64</v>
      </c>
      <c r="D17618" s="216" t="n">
        <v>1.088521003723145</v>
      </c>
      <c r="E17618" s="215" t="n">
        <v>45890</v>
      </c>
      <c r="F17618" s="215" t="n">
        <v>45890</v>
      </c>
    </row>
    <row r="17619">
      <c r="A17619" s="215" t="n">
        <v>45891</v>
      </c>
      <c r="B17619" s="216" t="n">
        <v>42.08</v>
      </c>
      <c r="C17619" s="216" t="n">
        <v>43.1</v>
      </c>
      <c r="D17619" s="216" t="n">
        <v>1.08814001083374</v>
      </c>
      <c r="E17619" s="215" t="n">
        <v>45891</v>
      </c>
      <c r="F17619" s="215" t="n">
        <v>45891</v>
      </c>
    </row>
    <row r="17620">
      <c r="A17620" s="215" t="n">
        <v>45894</v>
      </c>
      <c r="B17620" s="216" t="n">
        <v>42.16</v>
      </c>
      <c r="C17620" s="216" t="n">
        <v>43.84</v>
      </c>
      <c r="D17620" s="216" t="n">
        <v>1.090230941772461</v>
      </c>
      <c r="E17620" s="215" t="n">
        <v>45894</v>
      </c>
      <c r="F17620" s="215" t="n">
        <v>45894</v>
      </c>
    </row>
    <row r="17621">
      <c r="A17621" s="215" t="n">
        <v>45895</v>
      </c>
      <c r="B17621" s="216" t="n">
        <v>41.64</v>
      </c>
      <c r="C17621" s="216" t="n">
        <v>43.91</v>
      </c>
      <c r="D17621" s="216" t="n">
        <v>1.09236204624176</v>
      </c>
      <c r="E17621" s="215" t="n">
        <v>45895</v>
      </c>
      <c r="F17621" s="215" t="n">
        <v>45895</v>
      </c>
    </row>
    <row r="17622">
      <c r="A17622" s="215" t="n">
        <v>45896</v>
      </c>
      <c r="B17622" s="216" t="n">
        <v>40.86</v>
      </c>
      <c r="C17622" s="216" t="n">
        <v>42.77</v>
      </c>
      <c r="D17622" s="216" t="n">
        <v>1.089414000511169</v>
      </c>
      <c r="E17622" s="215" t="n">
        <v>45896</v>
      </c>
      <c r="F17622" s="215" t="n">
        <v>45896</v>
      </c>
    </row>
    <row r="17623">
      <c r="A17623" s="215" t="n">
        <v>45897</v>
      </c>
      <c r="B17623" s="216" t="n">
        <v>39.92</v>
      </c>
      <c r="C17623" s="216" t="n">
        <v>42.8</v>
      </c>
      <c r="D17623" s="216" t="n">
        <v>1.088047027587891</v>
      </c>
      <c r="E17623" s="215" t="n">
        <v>45897</v>
      </c>
      <c r="F17623" s="215" t="n">
        <v>45897</v>
      </c>
    </row>
    <row r="17624">
      <c r="A17624" s="215" t="n">
        <v>45898</v>
      </c>
      <c r="B17624" s="216" t="n">
        <v>40.66</v>
      </c>
      <c r="C17624" s="216" t="n">
        <v>43.96</v>
      </c>
      <c r="D17624" s="216" t="n">
        <v>1.089478969573975</v>
      </c>
      <c r="E17624" s="215" t="n">
        <v>45898</v>
      </c>
      <c r="F17624" s="215" t="n">
        <v>45898</v>
      </c>
    </row>
    <row r="17625">
      <c r="A17625" s="215" t="n">
        <v>45901</v>
      </c>
      <c r="B17625" s="216" t="n">
        <v>39.98</v>
      </c>
      <c r="C17625" s="216" t="n">
        <v>43.86</v>
      </c>
      <c r="D17625" s="216" t="n">
        <v>1.09319794178009</v>
      </c>
      <c r="E17625" s="215" t="n">
        <v>45901</v>
      </c>
      <c r="F17625" s="215" t="n">
        <v>45901</v>
      </c>
    </row>
    <row r="17626">
      <c r="A17626" s="215" t="n">
        <v>45902</v>
      </c>
      <c r="B17626" s="216" t="n">
        <v>38.86</v>
      </c>
      <c r="C17626" s="216" t="n">
        <v>42.58</v>
      </c>
      <c r="D17626" s="216" t="n">
        <v>1.093255043029785</v>
      </c>
      <c r="E17626" s="215" t="n">
        <v>45902</v>
      </c>
      <c r="F17626" s="215" t="n">
        <v>45902</v>
      </c>
    </row>
    <row r="17627">
      <c r="A17627" s="215" t="n">
        <v>45903</v>
      </c>
      <c r="B17627" s="216" t="n">
        <v>38.26</v>
      </c>
      <c r="C17627" s="216" t="n">
        <v>42.12</v>
      </c>
      <c r="D17627" s="216" t="n">
        <v>1.09343695640564</v>
      </c>
      <c r="E17627" s="215" t="n">
        <v>45903</v>
      </c>
      <c r="F17627" s="215" t="n">
        <v>45903</v>
      </c>
    </row>
    <row r="17628">
      <c r="A17628" s="215" t="n">
        <v>45904</v>
      </c>
      <c r="B17628" s="216" t="n">
        <v>39.32</v>
      </c>
      <c r="C17628" s="216" t="n">
        <v>42.66</v>
      </c>
      <c r="D17628" s="216" t="n">
        <v>1.092192053794861</v>
      </c>
      <c r="E17628" s="215" t="n">
        <v>45904</v>
      </c>
      <c r="F17628" s="215" t="n">
        <v>45904</v>
      </c>
    </row>
    <row r="17629">
      <c r="A17629" s="215" t="n">
        <v>45905</v>
      </c>
      <c r="B17629" s="216" t="n">
        <v>44.56</v>
      </c>
      <c r="C17629" s="216" t="n">
        <v>46.35</v>
      </c>
      <c r="D17629" s="216" t="n">
        <v>1.092169046401978</v>
      </c>
      <c r="E17629" s="215" t="n">
        <v>45905</v>
      </c>
      <c r="F17629" s="215" t="n">
        <v>45905</v>
      </c>
    </row>
    <row r="17630">
      <c r="A17630" s="215" t="n">
        <v>45908</v>
      </c>
      <c r="B17630" s="216" t="n">
        <v>45.28</v>
      </c>
      <c r="C17630" s="216" t="n">
        <v>47.34</v>
      </c>
      <c r="D17630" s="216" t="n">
        <v>1.093217015266418</v>
      </c>
      <c r="E17630" s="215" t="n">
        <v>45908</v>
      </c>
      <c r="F17630" s="215" t="n">
        <v>45908</v>
      </c>
    </row>
    <row r="17631">
      <c r="A17631" s="215" t="n">
        <v>45909</v>
      </c>
      <c r="B17631" s="216" t="n">
        <v>43.42</v>
      </c>
      <c r="C17631" s="216" t="n">
        <v>46.24</v>
      </c>
      <c r="D17631" s="216" t="n">
        <v>1.092916965484619</v>
      </c>
      <c r="E17631" s="215" t="n">
        <v>45909</v>
      </c>
      <c r="F17631" s="215" t="n">
        <v>45909</v>
      </c>
    </row>
    <row r="17632">
      <c r="A17632" s="215" t="n">
        <v>45910</v>
      </c>
      <c r="B17632" s="216" t="n">
        <v>39.96</v>
      </c>
      <c r="C17632" s="216" t="n">
        <v>43.93</v>
      </c>
      <c r="D17632" s="216" t="n">
        <v>1.093482971191406</v>
      </c>
      <c r="E17632" s="215" t="n">
        <v>45910</v>
      </c>
      <c r="F17632" s="215" t="n">
        <v>45910</v>
      </c>
    </row>
    <row r="17633">
      <c r="A17633" s="215" t="n">
        <v>45911</v>
      </c>
      <c r="B17633" s="216" t="n">
        <v>40.14</v>
      </c>
      <c r="C17633" s="216" t="n">
        <v>43.93</v>
      </c>
      <c r="D17633" s="216" t="n">
        <v>1.093762993812561</v>
      </c>
      <c r="E17633" s="215" t="n">
        <v>45911</v>
      </c>
      <c r="F17633" s="215" t="n">
        <v>45911</v>
      </c>
    </row>
    <row r="17634">
      <c r="A17634" s="215" t="n">
        <v>45912</v>
      </c>
      <c r="B17634" s="216" t="n">
        <v>39.8</v>
      </c>
      <c r="C17634" s="216" t="n">
        <v>44.03</v>
      </c>
      <c r="D17634" s="216" t="n">
        <v>1.094014048576355</v>
      </c>
      <c r="E17634" s="215" t="n">
        <v>45912</v>
      </c>
      <c r="F17634" s="215" t="n">
        <v>45912</v>
      </c>
    </row>
    <row r="17635">
      <c r="A17635" s="215" t="n">
        <v>45915</v>
      </c>
      <c r="B17635" s="216" t="n">
        <v>40.74</v>
      </c>
      <c r="C17635" s="216" t="n">
        <v>45.31</v>
      </c>
      <c r="D17635" s="216" t="n">
        <v>1.091848969459534</v>
      </c>
      <c r="E17635" s="215" t="n">
        <v>45915</v>
      </c>
      <c r="F17635" s="215" t="n">
        <v>45915</v>
      </c>
    </row>
    <row r="17636">
      <c r="A17636" s="215" t="n">
        <v>45916</v>
      </c>
      <c r="B17636" s="216" t="n">
        <v>39.88</v>
      </c>
      <c r="C17636" s="216" t="n">
        <v>44.49</v>
      </c>
      <c r="D17636" s="216" t="n">
        <v>1.092795968055725</v>
      </c>
      <c r="E17636" s="215" t="n">
        <v>45916</v>
      </c>
      <c r="F17636" s="215" t="n">
        <v>45916</v>
      </c>
    </row>
    <row r="17637">
      <c r="A17637" s="215" t="n">
        <v>45917</v>
      </c>
      <c r="B17637" s="216" t="n">
        <v>40.26</v>
      </c>
      <c r="C17637" s="216" t="n">
        <v>44.79</v>
      </c>
      <c r="D17637" s="216" t="n">
        <v>1.093690991401672</v>
      </c>
      <c r="E17637" s="215" t="n">
        <v>45917</v>
      </c>
      <c r="F17637" s="215" t="n">
        <v>45917</v>
      </c>
    </row>
    <row r="17638">
      <c r="A17638" s="215" t="n">
        <v>45918</v>
      </c>
      <c r="B17638" s="216" t="n">
        <v>39.32</v>
      </c>
      <c r="C17638" s="216" t="n">
        <v>43.15</v>
      </c>
      <c r="D17638" s="216" t="n">
        <v>1.094727993011475</v>
      </c>
      <c r="E17638" s="215" t="n">
        <v>45918</v>
      </c>
      <c r="F17638" s="215" t="n">
        <v>45918</v>
      </c>
    </row>
    <row r="17639">
      <c r="A17639" s="215" t="n">
        <v>45919</v>
      </c>
      <c r="B17639" s="216" t="n">
        <v>41.22</v>
      </c>
      <c r="C17639" s="216" t="n">
        <v>45.01</v>
      </c>
      <c r="D17639" s="216" t="n">
        <v>1.093201994895935</v>
      </c>
      <c r="E17639" s="215" t="n">
        <v>45919</v>
      </c>
      <c r="F17639" s="215" t="n">
        <v>45919</v>
      </c>
    </row>
    <row r="17640">
      <c r="A17640" s="215" t="n">
        <v>45922</v>
      </c>
      <c r="B17640" s="216" t="n">
        <v>40.48</v>
      </c>
      <c r="C17640" s="216" t="n">
        <v>43.87</v>
      </c>
      <c r="D17640" s="216" t="n">
        <v>1.092589020729065</v>
      </c>
      <c r="E17640" s="215" t="n">
        <v>45922</v>
      </c>
      <c r="F17640" s="215" t="n">
        <v>45922</v>
      </c>
    </row>
    <row r="17641">
      <c r="A17641" s="215" t="n">
        <v>45923</v>
      </c>
      <c r="B17641" s="216" t="n">
        <v>39.2</v>
      </c>
      <c r="C17641" s="216" t="n">
        <v>42.82</v>
      </c>
      <c r="D17641" s="216" t="n">
        <v>1.0920250415802</v>
      </c>
      <c r="E17641" s="215" t="n">
        <v>45923</v>
      </c>
      <c r="F17641" s="215" t="n">
        <v>45923</v>
      </c>
    </row>
    <row r="17642">
      <c r="A17642" s="215" t="n">
        <v>45924</v>
      </c>
      <c r="B17642" s="216" t="n">
        <v>39.4</v>
      </c>
      <c r="C17642" s="216" t="n">
        <v>43.34</v>
      </c>
      <c r="D17642" s="216" t="n">
        <v>1.093196988105774</v>
      </c>
      <c r="E17642" s="215" t="n">
        <v>45924</v>
      </c>
      <c r="F17642" s="215" t="n">
        <v>45924</v>
      </c>
    </row>
    <row r="17643">
      <c r="A17643" s="215" t="n">
        <v>45925</v>
      </c>
      <c r="B17643" s="216" t="n">
        <v>40.04</v>
      </c>
      <c r="C17643" s="216" t="n">
        <v>44.69</v>
      </c>
      <c r="D17643" s="216" t="n">
        <v>1.090371012687683</v>
      </c>
      <c r="E17643" s="215" t="n">
        <v>45925</v>
      </c>
      <c r="F17643" s="215" t="n">
        <v>45925</v>
      </c>
    </row>
    <row r="17644">
      <c r="A17644" s="215" t="n">
        <v>45926</v>
      </c>
      <c r="B17644" s="216" t="n">
        <v>40.26</v>
      </c>
      <c r="C17644" s="216" t="n">
        <v>44.77</v>
      </c>
      <c r="D17644" s="216" t="n">
        <v>1.090574979782104</v>
      </c>
      <c r="E17644" s="215" t="n">
        <v>45926</v>
      </c>
      <c r="F17644" s="215" t="n">
        <v>45926</v>
      </c>
    </row>
    <row r="17645">
      <c r="A17645" s="215" t="n">
        <v>45929</v>
      </c>
      <c r="B17645" s="216" t="n">
        <v>42.6</v>
      </c>
      <c r="C17645" s="216" t="n">
        <v>46.44</v>
      </c>
      <c r="D17645" s="216" t="n">
        <v>1.090520024299622</v>
      </c>
      <c r="E17645" s="215" t="n">
        <v>45929</v>
      </c>
      <c r="F17645" s="215" t="n">
        <v>45929</v>
      </c>
    </row>
    <row r="17646">
      <c r="A17646" s="215" t="n">
        <v>45930</v>
      </c>
      <c r="B17646" s="216" t="n">
        <v>44.94</v>
      </c>
      <c r="C17646" s="216" t="n">
        <v>47.57</v>
      </c>
      <c r="D17646" s="216" t="n">
        <v>1.093106031417847</v>
      </c>
      <c r="E17646" s="215" t="n">
        <v>45930</v>
      </c>
      <c r="F17646" s="215" t="n">
        <v>45930</v>
      </c>
    </row>
    <row r="17647">
      <c r="A17647" s="215" t="n">
        <v>45932</v>
      </c>
      <c r="B17647" s="216" t="n">
        <v>50.75</v>
      </c>
      <c r="C17647" s="216" t="n">
        <v>47.57</v>
      </c>
      <c r="D17647" s="216" t="n">
        <v>1.092823028564453</v>
      </c>
      <c r="E17647" s="215" t="n">
        <v>45930</v>
      </c>
      <c r="F17647" s="215" t="n">
        <v>45932</v>
      </c>
    </row>
    <row r="17648">
      <c r="A17648" s="215" t="n">
        <v>45933</v>
      </c>
      <c r="B17648" s="216" t="n">
        <v>50.4</v>
      </c>
      <c r="C17648" s="216" t="n">
        <v>47.57</v>
      </c>
      <c r="D17648" s="216" t="n">
        <v>1.09303605556488</v>
      </c>
      <c r="E17648" s="215" t="n">
        <v>45930</v>
      </c>
      <c r="F17648" s="215" t="n">
        <v>45933</v>
      </c>
    </row>
    <row r="17649">
      <c r="A17649" s="215" t="n">
        <v>45936</v>
      </c>
      <c r="B17649" s="216" t="n">
        <v>48.44</v>
      </c>
      <c r="C17649" s="216" t="n">
        <v>47.57</v>
      </c>
      <c r="D17649" s="216" t="n">
        <v>1.092857956886292</v>
      </c>
      <c r="E17649" s="215" t="n">
        <v>45930</v>
      </c>
      <c r="F17649" s="215" t="n">
        <v>45936</v>
      </c>
    </row>
    <row r="17650">
      <c r="A17650" s="215" t="n">
        <v>45938</v>
      </c>
      <c r="B17650" s="216" t="n">
        <v>48.96</v>
      </c>
      <c r="C17650" s="216" t="n">
        <v>47.57</v>
      </c>
      <c r="D17650" s="216" t="n">
        <v>1.093148946762085</v>
      </c>
      <c r="E17650" s="215" t="n">
        <v>45930</v>
      </c>
      <c r="F17650" s="215" t="n">
        <v>45938</v>
      </c>
    </row>
    <row r="17651">
      <c r="A17651" s="215" t="n">
        <v>45939</v>
      </c>
      <c r="B17651" s="216" t="n">
        <v>48.6</v>
      </c>
      <c r="C17651" s="216" t="n">
        <v>51.33</v>
      </c>
      <c r="D17651" s="216" t="n">
        <v>1.092933058738708</v>
      </c>
      <c r="E17651" s="215" t="n">
        <v>45939</v>
      </c>
      <c r="F17651" s="215" t="n">
        <v>45939</v>
      </c>
    </row>
    <row r="17652">
      <c r="A17652" s="215" t="n">
        <v>45940</v>
      </c>
      <c r="B17652" s="216" t="n">
        <v>43.78</v>
      </c>
      <c r="C17652" s="216" t="n">
        <v>47.65</v>
      </c>
      <c r="D17652" s="216" t="n">
        <v>1.091662049293518</v>
      </c>
      <c r="E17652" s="215" t="n">
        <v>45940</v>
      </c>
      <c r="F17652" s="215" t="n">
        <v>45940</v>
      </c>
    </row>
    <row r="17653">
      <c r="A17653" s="215" t="n">
        <v>45943</v>
      </c>
      <c r="B17653" s="216" t="n">
        <v>45.9</v>
      </c>
      <c r="C17653" s="216" t="n">
        <v>49.77</v>
      </c>
      <c r="D17653" s="216" t="n">
        <v>1.093768000602722</v>
      </c>
      <c r="E17653" s="215" t="n">
        <v>45943</v>
      </c>
      <c r="F17653" s="215" t="n">
        <v>45943</v>
      </c>
    </row>
    <row r="17654">
      <c r="A17654" s="215" t="n">
        <v>45944</v>
      </c>
      <c r="B17654" s="216" t="n">
        <v>42.86</v>
      </c>
      <c r="C17654" s="216" t="n">
        <v>46.98</v>
      </c>
      <c r="D17654" s="216" t="n">
        <v>1.093292951583862</v>
      </c>
      <c r="E17654" s="215" t="n">
        <v>45944</v>
      </c>
      <c r="F17654" s="215" t="n">
        <v>45944</v>
      </c>
    </row>
    <row r="17655">
      <c r="A17655" s="215" t="n">
        <v>45945</v>
      </c>
      <c r="B17655" s="216" t="n">
        <v>43.4</v>
      </c>
      <c r="C17655" s="216" t="n">
        <v>47.3</v>
      </c>
      <c r="D17655" s="216" t="n">
        <v>1.088750958442688</v>
      </c>
      <c r="E17655" s="215" t="n">
        <v>45945</v>
      </c>
      <c r="F17655" s="215" t="n">
        <v>45945</v>
      </c>
    </row>
    <row r="17656">
      <c r="A17656" s="215" t="n">
        <v>45946</v>
      </c>
      <c r="B17656" s="216" t="n">
        <v>44.4</v>
      </c>
      <c r="C17656" s="216" t="n">
        <v>47.5</v>
      </c>
      <c r="D17656" s="216" t="n">
        <v>1.090903043746948</v>
      </c>
      <c r="E17656" s="215" t="n">
        <v>45946</v>
      </c>
      <c r="F17656" s="215" t="n">
        <v>45946</v>
      </c>
    </row>
    <row r="17657">
      <c r="A17657" s="215" t="n">
        <v>45947</v>
      </c>
      <c r="B17657" s="216" t="n">
        <v>43.3</v>
      </c>
      <c r="C17657" s="216" t="n">
        <v>46.55</v>
      </c>
      <c r="D17657" s="216" t="n">
        <v>1.09073805809021</v>
      </c>
      <c r="E17657" s="215" t="n">
        <v>45947</v>
      </c>
      <c r="F17657" s="215" t="n">
        <v>45947</v>
      </c>
    </row>
    <row r="17658">
      <c r="A17658" s="215" t="n">
        <v>45950</v>
      </c>
      <c r="B17658" s="216" t="n">
        <v>42.22</v>
      </c>
      <c r="C17658" s="216" t="n">
        <v>45.49</v>
      </c>
      <c r="D17658" s="216" t="n">
        <v>1.089843988418579</v>
      </c>
      <c r="E17658" s="215" t="n">
        <v>45950</v>
      </c>
      <c r="F17658" s="215" t="n">
        <v>45950</v>
      </c>
    </row>
    <row r="17659">
      <c r="A17659" s="215" t="n">
        <v>45951</v>
      </c>
      <c r="B17659" s="216" t="n">
        <v>42.1</v>
      </c>
      <c r="C17659" s="216" t="n">
        <v>45.61</v>
      </c>
      <c r="D17659" s="216" t="n">
        <v>1.091038942337036</v>
      </c>
      <c r="E17659" s="215" t="n">
        <v>45951</v>
      </c>
      <c r="F17659" s="215" t="n">
        <v>45951</v>
      </c>
    </row>
    <row r="17660">
      <c r="A17660" s="215" t="n">
        <v>45952</v>
      </c>
      <c r="B17660" s="216" t="n">
        <v>42.32</v>
      </c>
      <c r="C17660" s="216" t="n">
        <v>45.97</v>
      </c>
      <c r="D17660" s="216" t="n">
        <v>1.091071009635925</v>
      </c>
      <c r="E17660" s="215" t="n">
        <v>45952</v>
      </c>
      <c r="F17660" s="215" t="n">
        <v>45952</v>
      </c>
    </row>
    <row r="17661">
      <c r="A17661" s="215" t="n">
        <v>45953</v>
      </c>
      <c r="B17661" s="216" t="n">
        <v>44.48</v>
      </c>
      <c r="C17661" s="216" t="n">
        <v>48.01</v>
      </c>
      <c r="D17661" s="216" t="n">
        <v>1.090343952178955</v>
      </c>
      <c r="E17661" s="215" t="n">
        <v>45953</v>
      </c>
      <c r="F17661" s="215" t="n">
        <v>45953</v>
      </c>
    </row>
    <row r="17662">
      <c r="A17662" s="215" t="n">
        <v>45954</v>
      </c>
      <c r="B17662" s="216" t="n">
        <v>46.22</v>
      </c>
      <c r="C17662" s="216" t="n">
        <v>48.61</v>
      </c>
      <c r="D17662" s="216" t="n">
        <v>1.090456962585449</v>
      </c>
      <c r="E17662" s="215" t="n">
        <v>45954</v>
      </c>
      <c r="F17662" s="215" t="n">
        <v>45954</v>
      </c>
    </row>
    <row r="17663">
      <c r="A17663" s="215" t="n">
        <v>45957</v>
      </c>
      <c r="B17663" s="216" t="n">
        <v>47.38</v>
      </c>
      <c r="C17663" s="216" t="n">
        <v>49.21</v>
      </c>
      <c r="D17663" s="216" t="n">
        <v>1.090957045555115</v>
      </c>
      <c r="E17663" s="215" t="n">
        <v>45957</v>
      </c>
      <c r="F17663" s="215" t="n">
        <v>45957</v>
      </c>
    </row>
    <row r="17664">
      <c r="A17664" s="215" t="n">
        <v>45958</v>
      </c>
      <c r="B17664" s="216" t="n">
        <v>45.62</v>
      </c>
      <c r="C17664" s="216" t="n">
        <v>48.51</v>
      </c>
      <c r="D17664" s="216" t="n">
        <v>1.092440009117126</v>
      </c>
      <c r="E17664" s="215" t="n">
        <v>45958</v>
      </c>
      <c r="F17664" s="215" t="n">
        <v>45958</v>
      </c>
    </row>
    <row r="17665">
      <c r="A17665" s="215" t="n">
        <v>45960</v>
      </c>
      <c r="B17665" s="216" t="n">
        <v>49.78</v>
      </c>
      <c r="C17665" s="216" t="n">
        <v>55.68</v>
      </c>
      <c r="D17665" s="216" t="n">
        <v>1.09463894367218</v>
      </c>
      <c r="E17665" s="215" t="n">
        <v>45960</v>
      </c>
      <c r="F17665" s="215" t="n">
        <v>45960</v>
      </c>
    </row>
    <row r="17666">
      <c r="A17666" s="215" t="n">
        <v>45961</v>
      </c>
      <c r="B17666" s="216" t="n">
        <v>47.7</v>
      </c>
      <c r="C17666" s="216" t="n">
        <v>53.4</v>
      </c>
      <c r="D17666" s="216" t="n">
        <v>1.092543959617615</v>
      </c>
      <c r="E17666" s="215" t="n">
        <v>45961</v>
      </c>
      <c r="F17666" s="215" t="n">
        <v>45961</v>
      </c>
    </row>
    <row r="17667">
      <c r="A17667" s="215" t="n">
        <v>45964</v>
      </c>
      <c r="B17667" s="216" t="n">
        <v>46.58</v>
      </c>
      <c r="C17667" s="216" t="n">
        <v>53.83</v>
      </c>
      <c r="D17667" s="216" t="n">
        <v>1.091722965240479</v>
      </c>
      <c r="E17667" s="215" t="n">
        <v>45964</v>
      </c>
      <c r="F17667" s="215" t="n">
        <v>45964</v>
      </c>
    </row>
    <row r="17668">
      <c r="A17668" s="215" t="n">
        <v>45965</v>
      </c>
      <c r="B17668" s="216" t="n">
        <v>44.4</v>
      </c>
      <c r="C17668" s="216" t="n">
        <v>52.25</v>
      </c>
      <c r="D17668" s="216" t="n">
        <v>1.083533048629761</v>
      </c>
      <c r="E17668" s="215" t="n">
        <v>45965</v>
      </c>
      <c r="F17668" s="215" t="n">
        <v>45965</v>
      </c>
    </row>
    <row r="17669">
      <c r="A17669" s="215" t="n">
        <v>45966</v>
      </c>
      <c r="B17669" s="216" t="n">
        <v>46.48</v>
      </c>
      <c r="C17669" s="216" t="n">
        <v>54.27</v>
      </c>
      <c r="D17669" s="216" t="n">
        <v>1.090273976325989</v>
      </c>
      <c r="E17669" s="215" t="n">
        <v>45966</v>
      </c>
      <c r="F17669" s="215" t="n">
        <v>45966</v>
      </c>
    </row>
    <row r="17670">
      <c r="A17670" s="215" t="n">
        <v>45967</v>
      </c>
      <c r="B17670" s="216" t="n">
        <v>48.88</v>
      </c>
      <c r="C17670" s="216" t="n">
        <v>55.14</v>
      </c>
      <c r="D17670" s="216" t="n">
        <v>1.090808033943176</v>
      </c>
      <c r="E17670" s="215" t="n">
        <v>45967</v>
      </c>
      <c r="F17670" s="215" t="n">
        <v>45967</v>
      </c>
    </row>
    <row r="17671">
      <c r="A17671" s="215" t="n">
        <v>45968</v>
      </c>
      <c r="B17671" s="216" t="n">
        <v>52.55</v>
      </c>
      <c r="C17671" s="216" t="n">
        <v>56.99</v>
      </c>
      <c r="D17671" s="216" t="n">
        <v>1.092054009437561</v>
      </c>
      <c r="E17671" s="215" t="n">
        <v>45968</v>
      </c>
      <c r="F17671" s="215" t="n">
        <v>45968</v>
      </c>
    </row>
    <row r="17672">
      <c r="A17672" s="215" t="n">
        <v>45971</v>
      </c>
      <c r="B17672" s="216" t="n">
        <v>54.15</v>
      </c>
      <c r="C17672" s="216" t="n">
        <v>57.51</v>
      </c>
      <c r="D17672" s="216" t="n">
        <v>1.092267036437988</v>
      </c>
      <c r="E17672" s="215" t="n">
        <v>45971</v>
      </c>
      <c r="F17672" s="215" t="n">
        <v>45971</v>
      </c>
    </row>
    <row r="17673">
      <c r="A17673" s="215" t="n">
        <v>45972</v>
      </c>
      <c r="B17673" s="216" t="n">
        <v>51.75</v>
      </c>
      <c r="C17673" s="216" t="n">
        <v>55.32</v>
      </c>
      <c r="D17673" s="216" t="n">
        <v>1.091644048690796</v>
      </c>
      <c r="E17673" s="215" t="n">
        <v>45972</v>
      </c>
      <c r="F17673" s="215" t="n">
        <v>45972</v>
      </c>
    </row>
    <row r="17674">
      <c r="A17674" s="215" t="n">
        <v>45973</v>
      </c>
      <c r="B17674" s="216" t="n">
        <v>51.45</v>
      </c>
      <c r="C17674" s="216" t="n">
        <v>54.1</v>
      </c>
      <c r="D17674" s="216" t="n">
        <v>1.091495990753174</v>
      </c>
      <c r="E17674" s="215" t="n">
        <v>45973</v>
      </c>
      <c r="F17674" s="215" t="n">
        <v>45973</v>
      </c>
    </row>
    <row r="17675">
      <c r="A17675" s="215" t="n">
        <v>45974</v>
      </c>
      <c r="B17675" s="216" t="n">
        <v>56.7</v>
      </c>
      <c r="C17675" s="216" t="n">
        <v>59.5</v>
      </c>
      <c r="D17675" s="216" t="n">
        <v>1.092489004135132</v>
      </c>
      <c r="E17675" s="215" t="n">
        <v>45974</v>
      </c>
      <c r="F17675" s="215" t="n">
        <v>45974</v>
      </c>
    </row>
    <row r="17676">
      <c r="A17676" s="215" t="n">
        <v>45975</v>
      </c>
      <c r="B17676" s="216" t="n">
        <v>53.95</v>
      </c>
      <c r="C17676" s="216" t="n">
        <v>56.61</v>
      </c>
      <c r="D17676" s="216" t="n">
        <v>1.092411994934082</v>
      </c>
      <c r="E17676" s="215" t="n">
        <v>45975</v>
      </c>
      <c r="F17676" s="215" t="n">
        <v>45975</v>
      </c>
    </row>
    <row r="17677">
      <c r="A17677" s="215" t="n">
        <v>45978</v>
      </c>
      <c r="B17677" s="216" t="n">
        <v>57</v>
      </c>
      <c r="C17677" s="216" t="n">
        <v>62.2</v>
      </c>
      <c r="D17677" s="216" t="n">
        <v>1.094588041305542</v>
      </c>
      <c r="E17677" s="215" t="n">
        <v>45978</v>
      </c>
      <c r="F17677" s="215" t="n">
        <v>45978</v>
      </c>
    </row>
    <row r="17678">
      <c r="A17678" s="215" t="n">
        <v>45979</v>
      </c>
      <c r="B17678" s="216" t="n">
        <v>53.05</v>
      </c>
      <c r="C17678" s="216" t="n">
        <v>59.94</v>
      </c>
      <c r="D17678" s="216" t="n">
        <v>1.093616008758545</v>
      </c>
      <c r="E17678" s="215" t="n">
        <v>45979</v>
      </c>
      <c r="F17678" s="215" t="n">
        <v>45979</v>
      </c>
    </row>
    <row r="17679">
      <c r="A17679" s="215" t="n">
        <v>45980</v>
      </c>
      <c r="B17679" s="216" t="n">
        <v>54.55</v>
      </c>
      <c r="C17679" s="216" t="n">
        <v>63.59</v>
      </c>
      <c r="D17679" s="216" t="n">
        <v>1.095010995864868</v>
      </c>
      <c r="E17679" s="215" t="n">
        <v>45980</v>
      </c>
      <c r="F17679" s="215" t="n">
        <v>45980</v>
      </c>
    </row>
    <row r="17680">
      <c r="A17680" s="215" t="n">
        <v>45981</v>
      </c>
      <c r="B17680" s="216" t="n">
        <v>53.55</v>
      </c>
      <c r="C17680" s="216" t="n">
        <v>62.31</v>
      </c>
      <c r="D17680" s="216" t="n">
        <v>1.095402002334595</v>
      </c>
      <c r="E17680" s="215" t="n">
        <v>45981</v>
      </c>
      <c r="F17680" s="215" t="n">
        <v>45981</v>
      </c>
    </row>
    <row r="17681">
      <c r="A17681" s="215" t="n">
        <v>45982</v>
      </c>
      <c r="B17681" s="216" t="n">
        <v>47.16</v>
      </c>
      <c r="C17681" s="216" t="n">
        <v>56.08</v>
      </c>
      <c r="D17681" s="216" t="n">
        <v>1.094982981681824</v>
      </c>
      <c r="E17681" s="215" t="n">
        <v>45982</v>
      </c>
      <c r="F17681" s="215" t="n">
        <v>45982</v>
      </c>
    </row>
    <row r="17682">
      <c r="A17682" s="215" t="n">
        <v>45985</v>
      </c>
      <c r="B17682" s="216" t="n">
        <v>45.76</v>
      </c>
      <c r="C17682" s="216" t="n">
        <v>51.59</v>
      </c>
      <c r="D17682" s="216" t="n">
        <v>1.094988942146301</v>
      </c>
      <c r="E17682" s="215" t="n">
        <v>45985</v>
      </c>
      <c r="F17682" s="215" t="n">
        <v>45985</v>
      </c>
    </row>
    <row r="17683">
      <c r="A17683" s="215" t="n">
        <v>45986</v>
      </c>
      <c r="B17683" s="216" t="n">
        <v>47.96</v>
      </c>
      <c r="C17683" s="216" t="n">
        <v>53.7</v>
      </c>
      <c r="D17683" s="216" t="n">
        <v>1.095428943634033</v>
      </c>
      <c r="E17683" s="215" t="n">
        <v>45986</v>
      </c>
      <c r="F17683" s="215" t="n">
        <v>45986</v>
      </c>
    </row>
    <row r="17684">
      <c r="A17684" s="215" t="n">
        <v>45987</v>
      </c>
      <c r="B17684" s="216" t="n">
        <v>48.1</v>
      </c>
      <c r="C17684" s="216" t="n">
        <v>54.16</v>
      </c>
      <c r="D17684" s="216" t="n">
        <v>1.097422003746033</v>
      </c>
      <c r="E17684" s="215" t="n">
        <v>45987</v>
      </c>
      <c r="F17684" s="215" t="n">
        <v>45987</v>
      </c>
    </row>
    <row r="17685">
      <c r="A17685" s="215" t="n">
        <v>45988</v>
      </c>
      <c r="B17685" s="216" t="n">
        <v>47.56</v>
      </c>
      <c r="C17685" s="216" t="n">
        <v>53.75</v>
      </c>
      <c r="D17685" s="216" t="n">
        <v>1.098397016525269</v>
      </c>
      <c r="E17685" s="215" t="n">
        <v>45988</v>
      </c>
      <c r="F17685" s="215" t="n">
        <v>45988</v>
      </c>
    </row>
    <row r="17686">
      <c r="A17686" s="215" t="n">
        <v>45989</v>
      </c>
      <c r="B17686" s="216" t="n">
        <v>49.26</v>
      </c>
      <c r="C17686" s="216" t="n">
        <v>55.03</v>
      </c>
      <c r="D17686" s="216" t="n">
        <v>1.098330020904541</v>
      </c>
      <c r="E17686" s="215" t="n">
        <v>45989</v>
      </c>
      <c r="F17686" s="215" t="n">
        <v>45989</v>
      </c>
    </row>
    <row r="17687">
      <c r="A17687" s="215" t="n">
        <v>45992</v>
      </c>
      <c r="B17687" s="216" t="n">
        <v>48.72</v>
      </c>
      <c r="C17687" s="216" t="n">
        <v>54.62</v>
      </c>
      <c r="D17687" s="216" t="n">
        <v>1.10015594959259</v>
      </c>
      <c r="E17687" s="215" t="n">
        <v>45992</v>
      </c>
      <c r="F17687" s="215" t="n">
        <v>45992</v>
      </c>
    </row>
    <row r="17688">
      <c r="A17688" s="215" t="n">
        <v>45993</v>
      </c>
      <c r="B17688" s="216" t="n">
        <v>47.28</v>
      </c>
      <c r="C17688" s="216" t="n">
        <v>52.61</v>
      </c>
      <c r="D17688" s="216" t="n">
        <v>1.101189017295837</v>
      </c>
      <c r="E17688" s="215" t="n">
        <v>45993</v>
      </c>
      <c r="F17688" s="215" t="n">
        <v>45993</v>
      </c>
    </row>
    <row r="17689">
      <c r="A17689" s="215" t="n">
        <v>45994</v>
      </c>
      <c r="B17689" s="216" t="n">
        <v>46.48</v>
      </c>
      <c r="C17689" s="216" t="n">
        <v>51.2</v>
      </c>
      <c r="D17689" s="216" t="n">
        <v>1.100834012031555</v>
      </c>
      <c r="E17689" s="215" t="n">
        <v>45994</v>
      </c>
      <c r="F17689" s="215" t="n">
        <v>45994</v>
      </c>
    </row>
    <row r="17690">
      <c r="A17690" s="215" t="n">
        <v>45995</v>
      </c>
      <c r="B17690" s="216" t="n">
        <v>46.54</v>
      </c>
      <c r="C17690" s="216" t="n">
        <v>51.39</v>
      </c>
      <c r="D17690" s="216" t="n">
        <v>1.101611018180847</v>
      </c>
      <c r="E17690" s="215" t="n">
        <v>45995</v>
      </c>
      <c r="F17690" s="215" t="n">
        <v>45995</v>
      </c>
    </row>
    <row r="17691">
      <c r="A17691" s="215" t="n">
        <v>45996</v>
      </c>
      <c r="B17691" s="216" t="n">
        <v>46.8</v>
      </c>
      <c r="C17691" s="216" t="n">
        <v>51.05</v>
      </c>
      <c r="D17691" s="216" t="n">
        <v>1.100373983383179</v>
      </c>
      <c r="E17691" s="215" t="n">
        <v>45996</v>
      </c>
      <c r="F17691" s="215" t="n">
        <v>45996</v>
      </c>
    </row>
    <row r="17692">
      <c r="A17692" s="215" t="n">
        <v>45999</v>
      </c>
      <c r="B17692" s="216" t="n">
        <v>48.28</v>
      </c>
      <c r="C17692" s="216" t="n">
        <v>53.1</v>
      </c>
      <c r="D17692" s="216" t="n">
        <v>1.1008620262146</v>
      </c>
      <c r="E17692" s="215" t="n">
        <v>45999</v>
      </c>
      <c r="F17692" s="215" t="n">
        <v>45999</v>
      </c>
    </row>
    <row r="17693">
      <c r="A17693" s="215" t="n">
        <v>46000</v>
      </c>
      <c r="B17693" s="216" t="n">
        <v>46.46</v>
      </c>
      <c r="C17693" s="216" t="n">
        <v>52.25</v>
      </c>
      <c r="D17693" s="216" t="n">
        <v>1.10008704662323</v>
      </c>
      <c r="E17693" s="215" t="n">
        <v>46000</v>
      </c>
      <c r="F17693" s="215" t="n">
        <v>46000</v>
      </c>
    </row>
    <row r="17694">
      <c r="A17694" s="215" t="n">
        <v>46001</v>
      </c>
      <c r="B17694" s="216" t="n">
        <v>47.88</v>
      </c>
      <c r="C17694" s="216" t="n">
        <v>52.89</v>
      </c>
      <c r="D17694" s="216" t="n">
        <v>1.101711988449097</v>
      </c>
      <c r="E17694" s="215" t="n">
        <v>46001</v>
      </c>
      <c r="F17694" s="215" t="n">
        <v>46001</v>
      </c>
    </row>
    <row r="17695">
      <c r="A17695" s="215" t="n">
        <v>46002</v>
      </c>
      <c r="B17695" s="216" t="n">
        <v>48.2</v>
      </c>
      <c r="C17695" s="216" t="n">
        <v>53.1</v>
      </c>
      <c r="D17695" s="216" t="n">
        <v>1.10112202167511</v>
      </c>
      <c r="E17695" s="215" t="n">
        <v>46002</v>
      </c>
      <c r="F17695" s="215" t="n">
        <v>46002</v>
      </c>
    </row>
    <row r="17696">
      <c r="A17696" s="215" t="n">
        <v>46003</v>
      </c>
      <c r="B17696" s="216" t="n">
        <v>47.04</v>
      </c>
      <c r="C17696" s="216" t="n">
        <v>51.64</v>
      </c>
      <c r="D17696" s="216" t="n">
        <v>1.102499008178711</v>
      </c>
      <c r="E17696" s="215" t="n">
        <v>46003</v>
      </c>
      <c r="F17696" s="215" t="n">
        <v>46003</v>
      </c>
    </row>
    <row r="17697">
      <c r="A17697" s="215" t="n">
        <v>46006</v>
      </c>
      <c r="B17697" s="216" t="n">
        <v>46.88</v>
      </c>
      <c r="C17697" s="216" t="n">
        <v>50.41</v>
      </c>
      <c r="D17697" s="216" t="n">
        <v>1.103397965431213</v>
      </c>
      <c r="E17697" s="215" t="n">
        <v>46006</v>
      </c>
      <c r="F17697" s="215" t="n">
        <v>46006</v>
      </c>
    </row>
    <row r="17698">
      <c r="A17698" s="215" t="n">
        <v>46007</v>
      </c>
      <c r="B17698" s="216" t="n">
        <v>46.62</v>
      </c>
      <c r="C17698" s="216" t="n">
        <v>50.13</v>
      </c>
      <c r="D17698" s="216" t="n">
        <v>1.104179978370667</v>
      </c>
      <c r="E17698" s="215" t="n">
        <v>46007</v>
      </c>
      <c r="F17698" s="215" t="n">
        <v>46007</v>
      </c>
    </row>
    <row r="17699">
      <c r="A17699" s="215" t="n">
        <v>46008</v>
      </c>
      <c r="B17699" s="216" t="n">
        <v>49.34</v>
      </c>
      <c r="C17699" s="216" t="n">
        <v>53.14</v>
      </c>
      <c r="D17699" s="216" t="n">
        <v>1.104655981063843</v>
      </c>
      <c r="E17699" s="215" t="n">
        <v>46008</v>
      </c>
      <c r="F17699" s="215" t="n">
        <v>46008</v>
      </c>
    </row>
    <row r="17700">
      <c r="A17700" s="215" t="n">
        <v>46009</v>
      </c>
      <c r="B17700" s="216" t="n">
        <v>48.92</v>
      </c>
      <c r="C17700" s="216" t="n">
        <v>52.1</v>
      </c>
      <c r="D17700" s="216" t="n">
        <v>1.104357004165649</v>
      </c>
      <c r="E17700" s="215" t="n">
        <v>46009</v>
      </c>
      <c r="F17700" s="215" t="n">
        <v>46009</v>
      </c>
    </row>
    <row r="17701">
      <c r="A17701" s="215" t="n">
        <v>46010</v>
      </c>
      <c r="B17701" s="216" t="n">
        <v>49.76</v>
      </c>
      <c r="C17701" s="216" t="n">
        <v>52.9</v>
      </c>
      <c r="D17701" s="216" t="n">
        <v>1.104962944984436</v>
      </c>
      <c r="E17701" s="215" t="n">
        <v>46010</v>
      </c>
      <c r="F17701" s="215" t="n">
        <v>46010</v>
      </c>
    </row>
    <row r="17702">
      <c r="A17702" s="215" t="n">
        <v>46013</v>
      </c>
      <c r="B17702" s="216" t="n">
        <v>51.95</v>
      </c>
      <c r="C17702" s="216" t="n">
        <v>53.92</v>
      </c>
      <c r="D17702" s="216" t="n">
        <v>1.105054020881653</v>
      </c>
      <c r="E17702" s="215" t="n">
        <v>46013</v>
      </c>
      <c r="F17702" s="215" t="n">
        <v>46013</v>
      </c>
    </row>
    <row r="17703">
      <c r="A17703" s="215" t="n">
        <v>46014</v>
      </c>
      <c r="B17703" s="216" t="n">
        <v>53</v>
      </c>
      <c r="C17703" s="216" t="n">
        <v>55.78</v>
      </c>
      <c r="D17703" s="216" t="n">
        <v>1.104820013046265</v>
      </c>
      <c r="E17703" s="215" t="n">
        <v>46014</v>
      </c>
      <c r="F17703" s="215" t="n">
        <v>46014</v>
      </c>
    </row>
    <row r="17704">
      <c r="A17704" s="215" t="n">
        <v>46015</v>
      </c>
      <c r="B17704" s="216" t="n">
        <v>52.7</v>
      </c>
      <c r="C17704" s="216" t="n">
        <v>56.26</v>
      </c>
      <c r="D17704" s="216" t="n">
        <v>1.106441974639893</v>
      </c>
      <c r="E17704" s="215" t="n">
        <v>46015</v>
      </c>
      <c r="F17704" s="215" t="n">
        <v>46015</v>
      </c>
    </row>
    <row r="17705">
      <c r="A17705" s="215" t="n">
        <v>46020</v>
      </c>
      <c r="B17705" s="216" t="n">
        <v>51</v>
      </c>
      <c r="C17705" s="216" t="n">
        <v>55.3</v>
      </c>
      <c r="D17705" s="216" t="n">
        <v>1.10552704334259</v>
      </c>
      <c r="E17705" s="215" t="n">
        <v>46020</v>
      </c>
      <c r="F17705" s="215" t="n">
        <v>46020</v>
      </c>
    </row>
    <row r="17706">
      <c r="A17706" s="215" t="n">
        <v>46021</v>
      </c>
      <c r="B17706" s="216" t="n">
        <v>52.65</v>
      </c>
      <c r="C17706" s="216" t="n">
        <v>56.38</v>
      </c>
      <c r="D17706" s="216" t="n">
        <v>1.109460949897766</v>
      </c>
      <c r="E17706" s="215" t="n">
        <v>46021</v>
      </c>
      <c r="F17706" s="215" t="n">
        <v>46021</v>
      </c>
    </row>
    <row r="17707">
      <c r="A17707" s="215" t="n">
        <v>46022</v>
      </c>
      <c r="B17707" s="216" t="n">
        <v>51.05</v>
      </c>
      <c r="C17707" s="216" t="n">
        <v>55.38</v>
      </c>
      <c r="D17707" s="216" t="n">
        <v>1.111927032470703</v>
      </c>
      <c r="E17707" s="215" t="n">
        <v>46022</v>
      </c>
      <c r="F17707" s="215" t="n">
        <v>46022</v>
      </c>
    </row>
    <row r="17708">
      <c r="A17708" s="215" t="n">
        <v>46024</v>
      </c>
      <c r="B17708" s="216" t="n">
        <v>52.35</v>
      </c>
      <c r="C17708" s="216" t="n">
        <v>55.38</v>
      </c>
      <c r="D17708" s="216" t="n">
        <v>1.112754940986633</v>
      </c>
      <c r="E17708" s="215" t="n">
        <v>46022</v>
      </c>
      <c r="F17708" s="215" t="n">
        <v>46024</v>
      </c>
    </row>
    <row r="17709">
      <c r="A17709" s="215" t="n">
        <v>46027</v>
      </c>
      <c r="B17709" s="216" t="n">
        <v>52.7</v>
      </c>
      <c r="C17709" s="216" t="n">
        <v>57</v>
      </c>
      <c r="D17709" s="216" t="n">
        <v>1.113860011100769</v>
      </c>
      <c r="E17709" s="215" t="n">
        <v>46027</v>
      </c>
      <c r="F17709" s="215" t="n">
        <v>46027</v>
      </c>
    </row>
    <row r="17710">
      <c r="A17710" s="215" t="n">
        <v>46028</v>
      </c>
      <c r="B17710" s="216" t="n">
        <v>54.75</v>
      </c>
      <c r="C17710" s="216" t="n">
        <v>59.28</v>
      </c>
      <c r="D17710" s="216" t="n">
        <v>1.11367404460907</v>
      </c>
      <c r="E17710" s="215" t="n">
        <v>46028</v>
      </c>
      <c r="F17710" s="215" t="n">
        <v>46028</v>
      </c>
    </row>
    <row r="17711">
      <c r="A17711" s="215" t="n">
        <v>46029</v>
      </c>
      <c r="B17711" s="216" t="n">
        <v>54.45</v>
      </c>
      <c r="C17711" s="216" t="n">
        <v>59.24</v>
      </c>
      <c r="D17711" s="216" t="n">
        <v>1.114913940429688</v>
      </c>
      <c r="E17711" s="215" t="n">
        <v>46029</v>
      </c>
      <c r="F17711" s="215" t="n">
        <v>46029</v>
      </c>
    </row>
    <row r="17712">
      <c r="A17712" s="215" t="n">
        <v>46030</v>
      </c>
      <c r="B17712" s="216" t="n">
        <v>53.7</v>
      </c>
      <c r="C17712" s="216" t="n">
        <v>58.62</v>
      </c>
      <c r="D17712" s="216" t="n">
        <v>1.112563014030457</v>
      </c>
      <c r="E17712" s="215" t="n">
        <v>46030</v>
      </c>
      <c r="F17712" s="215" t="n">
        <v>46030</v>
      </c>
    </row>
    <row r="17713">
      <c r="A17713" s="215" t="n">
        <v>46031</v>
      </c>
      <c r="B17713" s="216" t="n">
        <v>52.65</v>
      </c>
      <c r="C17713" s="216" t="n">
        <v>58.63</v>
      </c>
      <c r="D17713" s="216" t="n">
        <v>1.115561008453369</v>
      </c>
      <c r="E17713" s="215" t="n">
        <v>46031</v>
      </c>
      <c r="F17713" s="215" t="n">
        <v>46031</v>
      </c>
    </row>
    <row r="17714">
      <c r="A17714" s="215" t="n">
        <v>46034</v>
      </c>
      <c r="B17714" s="216" t="n">
        <v>55.05</v>
      </c>
      <c r="C17714" s="216" t="n">
        <v>61.3</v>
      </c>
      <c r="D17714" s="216" t="n">
        <v>1.117015957832336</v>
      </c>
      <c r="E17714" s="215" t="n">
        <v>46034</v>
      </c>
      <c r="F17714" s="215" t="n">
        <v>46034</v>
      </c>
    </row>
    <row r="17715">
      <c r="A17715" s="215" t="n">
        <v>46035</v>
      </c>
      <c r="B17715" s="216" t="n">
        <v>55.5</v>
      </c>
      <c r="C17715" s="216" t="n">
        <v>62.36</v>
      </c>
      <c r="D17715" s="216" t="n">
        <v>1.117892026901245</v>
      </c>
      <c r="E17715" s="215" t="n">
        <v>46035</v>
      </c>
      <c r="F17715" s="215" t="n">
        <v>46035</v>
      </c>
    </row>
    <row r="17716">
      <c r="A17716" s="215" t="n">
        <v>46036</v>
      </c>
      <c r="B17716" s="216" t="n">
        <v>54.5</v>
      </c>
      <c r="C17716" s="216" t="n">
        <v>59.82</v>
      </c>
      <c r="D17716" s="216" t="n">
        <v>1.117897987365723</v>
      </c>
      <c r="E17716" s="215" t="n">
        <v>46036</v>
      </c>
      <c r="F17716" s="215" t="n">
        <v>46036</v>
      </c>
    </row>
    <row r="17717">
      <c r="A17717" s="215" t="n">
        <v>46037</v>
      </c>
      <c r="B17717" s="216" t="n">
        <v>57.1</v>
      </c>
      <c r="C17717" s="216" t="n">
        <v>61.32</v>
      </c>
      <c r="D17717" s="216" t="n">
        <v>1.118072032928467</v>
      </c>
      <c r="E17717" s="215" t="n">
        <v>46037</v>
      </c>
      <c r="F17717" s="215" t="n">
        <v>46037</v>
      </c>
    </row>
    <row r="17718">
      <c r="A17718" s="215" t="n">
        <v>46038</v>
      </c>
      <c r="B17718" s="216" t="n">
        <v>55.4</v>
      </c>
      <c r="C17718" s="216" t="n">
        <v>58.73</v>
      </c>
      <c r="D17718" s="216" t="n">
        <v>1.119040012359619</v>
      </c>
      <c r="E17718" s="215" t="n">
        <v>46038</v>
      </c>
      <c r="F17718" s="215" t="n">
        <v>46038</v>
      </c>
    </row>
    <row r="17719">
      <c r="A17719" s="215" t="n">
        <v>46041</v>
      </c>
      <c r="B17719" s="216" t="n">
        <v>54.1</v>
      </c>
      <c r="C17719" s="216" t="n">
        <v>58.61</v>
      </c>
      <c r="D17719" s="216" t="n">
        <v>1.118916034698486</v>
      </c>
      <c r="E17719" s="215" t="n">
        <v>46041</v>
      </c>
      <c r="F17719" s="215" t="n">
        <v>46041</v>
      </c>
    </row>
    <row r="17720">
      <c r="A17720" s="215" t="n">
        <v>46042</v>
      </c>
      <c r="B17720" s="216" t="n">
        <v>54.4</v>
      </c>
      <c r="C17720" s="216" t="n">
        <v>59.49</v>
      </c>
      <c r="D17720" s="216" t="n">
        <v>1.118687987327576</v>
      </c>
      <c r="E17720" s="215" t="n">
        <v>46042</v>
      </c>
      <c r="F17720" s="215" t="n">
        <v>46042</v>
      </c>
    </row>
    <row r="17721">
      <c r="A17721" s="215" t="n">
        <v>46043</v>
      </c>
      <c r="B17721" s="216" t="n">
        <v>57</v>
      </c>
      <c r="C17721" s="216" t="n">
        <v>61.43</v>
      </c>
      <c r="D17721" s="216" t="n">
        <v>1.12024998664856</v>
      </c>
      <c r="E17721" s="215" t="n">
        <v>46043</v>
      </c>
      <c r="F17721" s="215" t="n">
        <v>46043</v>
      </c>
    </row>
    <row r="17722">
      <c r="A17722" s="215" t="n">
        <v>46044</v>
      </c>
      <c r="B17722" s="216" t="n">
        <v>55.55</v>
      </c>
      <c r="C17722" s="216" t="n">
        <v>60.65</v>
      </c>
      <c r="D17722" s="216" t="n">
        <v>1.11942195892334</v>
      </c>
      <c r="E17722" s="215" t="n">
        <v>46044</v>
      </c>
      <c r="F17722" s="215" t="n">
        <v>46044</v>
      </c>
    </row>
    <row r="17723">
      <c r="A17723" s="215" t="n">
        <v>46045</v>
      </c>
      <c r="B17723" s="216" t="n">
        <v>58</v>
      </c>
      <c r="C17723" s="216" t="n">
        <v>62.8</v>
      </c>
      <c r="D17723" s="216" t="n">
        <v>1.117977976799011</v>
      </c>
      <c r="E17723" s="215" t="n">
        <v>46045</v>
      </c>
      <c r="F17723" s="215" t="n">
        <v>46045</v>
      </c>
    </row>
    <row r="17724">
      <c r="A17724" s="215" t="n">
        <v>46048</v>
      </c>
      <c r="B17724" s="216" t="n">
        <v>57.35</v>
      </c>
      <c r="C17724" s="216" t="n">
        <v>61.71</v>
      </c>
      <c r="D17724" s="216" t="n">
        <v>1.117916941642761</v>
      </c>
      <c r="E17724" s="215" t="n">
        <v>46048</v>
      </c>
      <c r="F17724" s="215" t="n">
        <v>46048</v>
      </c>
    </row>
    <row r="17725">
      <c r="A17725" s="215" t="n">
        <v>46049</v>
      </c>
      <c r="B17725" s="216" t="n">
        <v>57.25</v>
      </c>
      <c r="C17725" s="216" t="n">
        <v>61</v>
      </c>
      <c r="D17725" s="216" t="n">
        <v>1.121191024780273</v>
      </c>
      <c r="E17725" s="215" t="n">
        <v>46049</v>
      </c>
      <c r="F17725" s="215" t="n">
        <v>46049</v>
      </c>
    </row>
    <row r="17726">
      <c r="A17726" s="215" t="n">
        <v>46050</v>
      </c>
      <c r="B17726" s="216" t="n">
        <v>57</v>
      </c>
      <c r="C17726" s="216" t="n">
        <v>61.11</v>
      </c>
      <c r="D17726" s="216" t="n">
        <v>1.121533036231995</v>
      </c>
      <c r="E17726" s="215" t="n">
        <v>46050</v>
      </c>
      <c r="F17726" s="215" t="n">
        <v>46050</v>
      </c>
    </row>
    <row r="17727">
      <c r="A17727" s="215" t="n">
        <v>46051</v>
      </c>
      <c r="B17727" s="216" t="n">
        <v>55.1</v>
      </c>
      <c r="C17727" s="216" t="n">
        <v>59.12</v>
      </c>
      <c r="D17727" s="216" t="n">
        <v>1.121621966362</v>
      </c>
      <c r="E17727" s="215" t="n">
        <v>46051</v>
      </c>
      <c r="F17727" s="215" t="n">
        <v>46051</v>
      </c>
    </row>
    <row r="17728">
      <c r="A17728" s="215" t="n">
        <v>46052</v>
      </c>
      <c r="B17728" s="216" t="n">
        <v>49.42</v>
      </c>
      <c r="C17728" s="216" t="n">
        <v>54.55</v>
      </c>
      <c r="D17728" s="216" t="n">
        <v>1.123343944549561</v>
      </c>
      <c r="E17728" s="215" t="n">
        <v>46052</v>
      </c>
      <c r="F17728" s="215" t="n">
        <v>46052</v>
      </c>
    </row>
    <row r="17729">
      <c r="A17729" s="215" t="n">
        <v>46055</v>
      </c>
      <c r="B17729" s="216" t="n">
        <v>48.18</v>
      </c>
      <c r="C17729" s="216" t="n">
        <v>52.29</v>
      </c>
      <c r="D17729" s="216" t="n">
        <v>1.123572945594788</v>
      </c>
      <c r="E17729" s="215" t="n">
        <v>46055</v>
      </c>
      <c r="F17729" s="215" t="n">
        <v>46055</v>
      </c>
    </row>
    <row r="17730">
      <c r="A17730" s="215" t="n">
        <v>46056</v>
      </c>
      <c r="B17730" s="216" t="n">
        <v>49.5</v>
      </c>
      <c r="C17730" s="216" t="n">
        <v>53.47</v>
      </c>
      <c r="D17730" s="216" t="n">
        <v>1.124274969100952</v>
      </c>
      <c r="E17730" s="215" t="n">
        <v>46056</v>
      </c>
      <c r="F17730" s="215" t="n">
        <v>46056</v>
      </c>
    </row>
    <row r="17731">
      <c r="A17731" s="215" t="n">
        <v>46058</v>
      </c>
      <c r="B17731" s="216" t="n">
        <v>42.9</v>
      </c>
      <c r="C17731" s="216" t="n">
        <v>49.44</v>
      </c>
      <c r="D17731" s="216" t="n">
        <v>1.125892996788025</v>
      </c>
      <c r="E17731" s="215" t="n">
        <v>46058</v>
      </c>
      <c r="F17731" s="215" t="n">
        <v>46058</v>
      </c>
    </row>
    <row r="17732">
      <c r="A17732" s="215" t="n">
        <v>46059</v>
      </c>
      <c r="B17732" s="216" t="n">
        <v>42.86</v>
      </c>
      <c r="C17732" s="216" t="n">
        <v>50.2</v>
      </c>
      <c r="D17732" s="216" t="n">
        <v>1.126062035560608</v>
      </c>
      <c r="E17732" s="215" t="n">
        <v>46059</v>
      </c>
      <c r="F17732" s="215" t="n">
        <v>46059</v>
      </c>
    </row>
    <row r="17733">
      <c r="A17733" s="215" t="n">
        <v>46062</v>
      </c>
      <c r="B17733" s="216" t="n">
        <v>43.34</v>
      </c>
      <c r="C17733" s="216" t="n">
        <v>50.35</v>
      </c>
      <c r="D17733" s="216" t="n">
        <v>1.125753998756409</v>
      </c>
      <c r="E17733" s="215" t="n">
        <v>46062</v>
      </c>
      <c r="F17733" s="215" t="n">
        <v>46062</v>
      </c>
    </row>
    <row r="17734">
      <c r="A17734" s="215" t="n">
        <v>46063</v>
      </c>
      <c r="B17734" s="216" t="n">
        <v>42.5</v>
      </c>
      <c r="C17734" s="216" t="n">
        <v>50.19</v>
      </c>
      <c r="D17734" s="216" t="n">
        <v>1.129003047943115</v>
      </c>
      <c r="E17734" s="215" t="n">
        <v>46063</v>
      </c>
      <c r="F17734" s="215" t="n">
        <v>46063</v>
      </c>
    </row>
    <row r="17735">
      <c r="A17735" s="215" t="n">
        <v>46064</v>
      </c>
      <c r="B17735" s="216" t="n">
        <v>43.42</v>
      </c>
      <c r="C17735" s="216" t="n">
        <v>51.15</v>
      </c>
      <c r="D17735" s="216" t="n">
        <v>1.130962014198303</v>
      </c>
      <c r="E17735" s="215" t="n">
        <v>46064</v>
      </c>
      <c r="F17735" s="215" t="n">
        <v>46064</v>
      </c>
    </row>
    <row r="17736">
      <c r="A17736" s="215" t="n">
        <v>46065</v>
      </c>
      <c r="B17736" s="216" t="n">
        <v>43.4</v>
      </c>
      <c r="C17736" s="216" t="n">
        <v>51.29</v>
      </c>
      <c r="D17736" s="216" t="n">
        <v>1.130671977996826</v>
      </c>
      <c r="E17736" s="215" t="n">
        <v>46065</v>
      </c>
      <c r="F17736" s="215" t="n">
        <v>46065</v>
      </c>
    </row>
    <row r="17737">
      <c r="A17737" s="215" t="n">
        <v>46066</v>
      </c>
      <c r="B17737" s="216" t="n">
        <v>42.8</v>
      </c>
      <c r="C17737" s="216" t="n">
        <v>51.24</v>
      </c>
      <c r="D17737" s="216" t="n">
        <v>1.132490992546082</v>
      </c>
      <c r="E17737" s="215" t="n">
        <v>46066</v>
      </c>
      <c r="F17737" s="215" t="n">
        <v>46066</v>
      </c>
    </row>
    <row r="17738">
      <c r="A17738" s="215" t="n">
        <v>46069</v>
      </c>
      <c r="B17738" s="216" t="n">
        <v>44.14</v>
      </c>
      <c r="C17738" s="216" t="n">
        <v>51.24</v>
      </c>
      <c r="D17738" s="216" t="n">
        <v>1.131224036216736</v>
      </c>
      <c r="E17738" s="215" t="n">
        <v>46066</v>
      </c>
      <c r="F17738" s="215" t="n">
        <v>46069</v>
      </c>
    </row>
    <row r="17739">
      <c r="A17739" s="215" t="n">
        <v>46073</v>
      </c>
      <c r="B17739" s="216" t="n">
        <v>44.1</v>
      </c>
      <c r="C17739" s="216" t="n">
        <v>51.24</v>
      </c>
      <c r="D17739" s="216" t="n">
        <v>1.131005048751831</v>
      </c>
      <c r="E17739" s="215" t="n">
        <v>46066</v>
      </c>
      <c r="F17739" s="215" t="n">
        <v>46073</v>
      </c>
    </row>
    <row r="17740">
      <c r="A17740" s="215" t="n">
        <v>46076</v>
      </c>
      <c r="B17740" s="216" t="n">
        <v>45.32</v>
      </c>
      <c r="C17740" s="216" t="n">
        <v>51.24</v>
      </c>
      <c r="D17740" s="216" t="n">
        <v>1.130877017974854</v>
      </c>
      <c r="E17740" s="215" t="n">
        <v>46066</v>
      </c>
      <c r="F17740" s="215" t="n">
        <v>46076</v>
      </c>
    </row>
    <row r="17741">
      <c r="A17741" s="215" t="n">
        <v>46077</v>
      </c>
      <c r="B17741" s="216" t="n">
        <v>46.3</v>
      </c>
      <c r="C17741" s="216" t="n">
        <v>53.31</v>
      </c>
      <c r="D17741" s="216" t="n">
        <v>1.131631016731262</v>
      </c>
      <c r="E17741" s="215" t="n">
        <v>46077</v>
      </c>
      <c r="F17741" s="215" t="n">
        <v>46077</v>
      </c>
    </row>
    <row r="17742">
      <c r="A17742" s="215" t="n">
        <v>46078</v>
      </c>
      <c r="B17742" s="216" t="n">
        <v>47.5</v>
      </c>
      <c r="C17742" s="216" t="n">
        <v>54.32</v>
      </c>
      <c r="D17742" s="216" t="n">
        <v>1.136234045028687</v>
      </c>
      <c r="E17742" s="215" t="n">
        <v>46078</v>
      </c>
      <c r="F17742" s="215" t="n">
        <v>46078</v>
      </c>
    </row>
    <row r="17743">
      <c r="A17743" s="215" t="n">
        <v>46079</v>
      </c>
      <c r="B17743" s="216" t="n">
        <v>47.8</v>
      </c>
      <c r="C17743" s="216" t="n">
        <v>56.04</v>
      </c>
      <c r="D17743" s="216" t="n">
        <v>1.138198971748352</v>
      </c>
      <c r="E17743" s="215" t="n">
        <v>46079</v>
      </c>
      <c r="F17743" s="215" t="n">
        <v>46079</v>
      </c>
    </row>
    <row r="17744">
      <c r="A17744" s="215" t="n">
        <v>46080</v>
      </c>
      <c r="B17744" s="216" t="n">
        <v>48.14</v>
      </c>
      <c r="C17744" s="216" t="n">
        <v>56.6</v>
      </c>
      <c r="D17744" s="216" t="n">
        <v>1.143396973609924</v>
      </c>
      <c r="E17744" s="215" t="n">
        <v>46080</v>
      </c>
      <c r="F17744" s="215" t="n">
        <v>46080</v>
      </c>
    </row>
    <row r="17745">
      <c r="A17745" s="215" t="n">
        <v>46083</v>
      </c>
      <c r="B17745" s="216" t="n">
        <v>46.42</v>
      </c>
      <c r="C17745" s="216" t="n">
        <v>55.18</v>
      </c>
      <c r="D17745" s="216" t="n">
        <v>1.140552043914795</v>
      </c>
      <c r="E17745" s="215" t="n">
        <v>46083</v>
      </c>
      <c r="F17745" s="215" t="n">
        <v>46083</v>
      </c>
    </row>
    <row r="17746">
      <c r="A17746" s="215" t="n">
        <v>46084</v>
      </c>
      <c r="B17746" s="216" t="n">
        <v>42.68</v>
      </c>
      <c r="C17746" s="216" t="n">
        <v>51.58</v>
      </c>
      <c r="D17746" s="216" t="n">
        <v>1.136399984359741</v>
      </c>
      <c r="E17746" s="215" t="n">
        <v>46084</v>
      </c>
      <c r="F17746" s="215" t="n">
        <v>46084</v>
      </c>
    </row>
    <row r="17747">
      <c r="A17747" s="215" t="n">
        <v>46085</v>
      </c>
      <c r="B17747" s="216" t="n">
        <v>42.94</v>
      </c>
      <c r="C17747" s="216" t="n">
        <v>52.07</v>
      </c>
      <c r="D17747" s="216" t="n">
        <v>1.130928993225098</v>
      </c>
      <c r="E17747" s="215" t="n">
        <v>46085</v>
      </c>
      <c r="F17747" s="215" t="n">
        <v>46085</v>
      </c>
    </row>
    <row r="17748">
      <c r="A17748" s="215" t="n">
        <v>46086</v>
      </c>
      <c r="B17748" s="216" t="n">
        <v>43.36</v>
      </c>
      <c r="C17748" s="216" t="n">
        <v>52.35</v>
      </c>
      <c r="D17748" s="216" t="n">
        <v>1.133169054985046</v>
      </c>
      <c r="E17748" s="215" t="n">
        <v>46086</v>
      </c>
      <c r="F17748" s="215" t="n">
        <v>46086</v>
      </c>
    </row>
    <row r="17749">
      <c r="A17749" s="215" t="n">
        <v>46087</v>
      </c>
      <c r="B17749" s="216" t="n">
        <v>43.08</v>
      </c>
      <c r="C17749" s="216" t="n">
        <v>51.99</v>
      </c>
      <c r="D17749" s="216" t="n">
        <v>1.133442044258118</v>
      </c>
      <c r="E17749" s="215" t="n">
        <v>46087</v>
      </c>
      <c r="F17749" s="215" t="n">
        <v>46087</v>
      </c>
    </row>
    <row r="17750">
      <c r="A17750" s="215" t="n">
        <v>46090</v>
      </c>
      <c r="B17750" s="216" t="n">
        <v>43.06</v>
      </c>
      <c r="C17750" s="216" t="n">
        <v>53.09</v>
      </c>
      <c r="D17750" s="216" t="n">
        <v>1.133231043815613</v>
      </c>
      <c r="E17750" s="215" t="n">
        <v>46090</v>
      </c>
      <c r="F17750" s="215" t="n">
        <v>46090</v>
      </c>
    </row>
    <row r="17751">
      <c r="A17751" s="215" t="n">
        <v>46091</v>
      </c>
      <c r="B17751" s="216" t="n">
        <v>44.4</v>
      </c>
      <c r="C17751" s="216" t="n">
        <v>53.85</v>
      </c>
      <c r="D17751" s="216" t="n">
        <v>1.131595015525818</v>
      </c>
      <c r="E17751" s="215" t="n">
        <v>46091</v>
      </c>
      <c r="F17751" s="215" t="n">
        <v>46091</v>
      </c>
    </row>
    <row r="17752">
      <c r="A17752" s="215" t="n">
        <v>46092</v>
      </c>
      <c r="B17752" s="216" t="n">
        <v>44.2</v>
      </c>
      <c r="C17752" s="216" t="n">
        <v>54.54</v>
      </c>
      <c r="D17752" s="216" t="n">
        <v>1.137585043907166</v>
      </c>
      <c r="E17752" s="215" t="n">
        <v>46092</v>
      </c>
      <c r="F17752" s="215" t="n">
        <v>46092</v>
      </c>
    </row>
    <row r="17753">
      <c r="A17753" s="215" t="n">
        <v>46093</v>
      </c>
      <c r="B17753" s="216" t="n">
        <v>43.2</v>
      </c>
      <c r="C17753" s="216" t="n">
        <v>53.6</v>
      </c>
      <c r="D17753" s="216" t="n">
        <v>1.139600038528442</v>
      </c>
      <c r="E17753" s="215" t="n">
        <v>46093</v>
      </c>
      <c r="F17753" s="215" t="n">
        <v>46093</v>
      </c>
    </row>
    <row r="17754">
      <c r="A17754" s="215" t="n">
        <v>46094</v>
      </c>
      <c r="B17754" s="216" t="n">
        <v>43.66</v>
      </c>
      <c r="C17754" s="216" t="n">
        <v>54.15</v>
      </c>
      <c r="D17754" s="216" t="n">
        <v>1.139310002326965</v>
      </c>
      <c r="E17754" s="215" t="n">
        <v>46094</v>
      </c>
      <c r="F17754" s="215" t="n">
        <v>46094</v>
      </c>
    </row>
    <row r="17755">
      <c r="A17755" s="215" t="n">
        <v>46097</v>
      </c>
      <c r="B17755" s="216" t="n">
        <v>43.14</v>
      </c>
      <c r="C17755" s="216" t="n">
        <v>53.58</v>
      </c>
      <c r="D17755" s="216" t="n">
        <v>1.134883999824524</v>
      </c>
      <c r="E17755" s="215" t="n">
        <v>46097</v>
      </c>
      <c r="F17755" s="215" t="n">
        <v>46097</v>
      </c>
    </row>
    <row r="17756">
      <c r="A17756" s="215" t="n">
        <v>46098</v>
      </c>
      <c r="B17756" s="216" t="n">
        <v>41.8</v>
      </c>
      <c r="C17756" s="216" t="n">
        <v>52.11</v>
      </c>
      <c r="D17756" s="216" t="n">
        <v>1.125375986099243</v>
      </c>
      <c r="E17756" s="215" t="n">
        <v>46098</v>
      </c>
      <c r="F17756" s="215" t="n">
        <v>46098</v>
      </c>
    </row>
    <row r="17757">
      <c r="A17757" s="215" t="n">
        <v>46099</v>
      </c>
      <c r="B17757" s="216" t="n">
        <v>41.12</v>
      </c>
      <c r="C17757" s="216" t="n">
        <v>51.15</v>
      </c>
      <c r="D17757" s="216" t="n">
        <v>1.137819051742554</v>
      </c>
      <c r="E17757" s="215" t="n">
        <v>46099</v>
      </c>
      <c r="F17757" s="215" t="n">
        <v>46099</v>
      </c>
    </row>
    <row r="17758">
      <c r="A17758" s="215" t="n">
        <v>46100</v>
      </c>
      <c r="B17758" s="216" t="n">
        <v>40.02</v>
      </c>
      <c r="C17758" s="216" t="n">
        <v>48.93</v>
      </c>
      <c r="D17758" s="216" t="n">
        <v>1.140079021453857</v>
      </c>
      <c r="E17758" s="215" t="n">
        <v>46100</v>
      </c>
      <c r="F17758" s="215" t="n">
        <v>46100</v>
      </c>
    </row>
    <row r="17759">
      <c r="A17759" s="215" t="n">
        <v>46101</v>
      </c>
      <c r="B17759" s="216" t="n">
        <v>40.46</v>
      </c>
      <c r="C17759" s="216" t="n">
        <v>50.1</v>
      </c>
      <c r="D17759" s="216" t="n">
        <v>1.13490903377533</v>
      </c>
      <c r="E17759" s="215" t="n">
        <v>46101</v>
      </c>
      <c r="F17759" s="215" t="n">
        <v>46101</v>
      </c>
    </row>
    <row r="17760">
      <c r="A17760" s="215" t="n">
        <v>46104</v>
      </c>
      <c r="B17760" s="216" t="n">
        <v>39.88</v>
      </c>
      <c r="C17760" s="216" t="n">
        <v>49</v>
      </c>
      <c r="D17760" s="216" t="n">
        <v>1.137529969215393</v>
      </c>
      <c r="E17760" s="215" t="n">
        <v>46104</v>
      </c>
      <c r="F17760" s="215" t="n">
        <v>46104</v>
      </c>
    </row>
    <row r="17761">
      <c r="A17761" s="215" t="n">
        <v>46105</v>
      </c>
      <c r="B17761" s="216" t="n">
        <v>42.22</v>
      </c>
      <c r="C17761" s="216" t="n">
        <v>51.63</v>
      </c>
      <c r="D17761" s="216" t="n">
        <v>1.138481974601746</v>
      </c>
      <c r="E17761" s="215" t="n">
        <v>46105</v>
      </c>
      <c r="F17761" s="215" t="n">
        <v>46105</v>
      </c>
    </row>
    <row r="17762">
      <c r="A17762" s="215" t="n">
        <v>46106</v>
      </c>
      <c r="B17762" s="216" t="n">
        <v>45</v>
      </c>
      <c r="C17762" s="216" t="n">
        <v>53.46</v>
      </c>
      <c r="D17762" s="216" t="n">
        <v>1.135548949241638</v>
      </c>
      <c r="E17762" s="215" t="n">
        <v>46106</v>
      </c>
      <c r="F17762" s="215" t="n">
        <v>46106</v>
      </c>
    </row>
    <row r="17763">
      <c r="A17763" s="215" t="n">
        <v>46107</v>
      </c>
      <c r="B17763" s="216" t="n">
        <v>44.98</v>
      </c>
      <c r="C17763" s="216" t="n">
        <v>54.2</v>
      </c>
      <c r="D17763" s="216" t="n">
        <v>1.132627010345459</v>
      </c>
      <c r="E17763" s="215" t="n">
        <v>46107</v>
      </c>
      <c r="F17763" s="215" t="n">
        <v>46107</v>
      </c>
    </row>
    <row r="17764">
      <c r="A17764" s="215" t="n">
        <v>46108</v>
      </c>
      <c r="B17764" s="216" t="n">
        <v>47.74</v>
      </c>
      <c r="C17764" s="216" t="n">
        <v>57.96</v>
      </c>
      <c r="D17764" s="216" t="n">
        <v>1.132115960121155</v>
      </c>
      <c r="E17764" s="215" t="n">
        <v>46108</v>
      </c>
      <c r="F17764" s="215" t="n">
        <v>46108</v>
      </c>
    </row>
    <row r="17765">
      <c r="A17765" s="215" t="n">
        <v>46111</v>
      </c>
      <c r="B17765" s="216" t="n">
        <v>47.8</v>
      </c>
      <c r="C17765" s="216" t="n">
        <v>57.24</v>
      </c>
      <c r="D17765" s="216" t="n">
        <v>1.13311505317688</v>
      </c>
      <c r="E17765" s="215" t="n">
        <v>46111</v>
      </c>
      <c r="F17765" s="215" t="n">
        <v>46111</v>
      </c>
    </row>
    <row r="17766">
      <c r="A17766" s="215" t="n">
        <v>46112</v>
      </c>
      <c r="B17766" s="216" t="n">
        <v>45.94</v>
      </c>
      <c r="C17766" s="216" t="n">
        <v>55.48</v>
      </c>
      <c r="D17766" s="216" t="n">
        <v>1.133540987968445</v>
      </c>
      <c r="E17766" s="215" t="n">
        <v>46112</v>
      </c>
      <c r="F17766" s="215" t="n">
        <v>46112</v>
      </c>
    </row>
    <row r="17767">
      <c r="A17767" s="215" t="n">
        <v>46113</v>
      </c>
      <c r="B17767" s="216" t="n">
        <v>45.58</v>
      </c>
      <c r="C17767" s="216" t="n">
        <v>55.45</v>
      </c>
      <c r="D17767" s="216" t="n">
        <v>1.136669993400574</v>
      </c>
      <c r="E17767" s="215" t="n">
        <v>46113</v>
      </c>
      <c r="F17767" s="215" t="n">
        <v>46113</v>
      </c>
    </row>
    <row r="17768">
      <c r="A17768" s="215" t="n">
        <v>46114</v>
      </c>
      <c r="B17768" s="216" t="n">
        <v>46.52</v>
      </c>
      <c r="C17768" s="216" t="n">
        <v>56.17</v>
      </c>
      <c r="D17768" s="216" t="n">
        <v>1.140197992324829</v>
      </c>
      <c r="E17768" s="215" t="n">
        <v>46114</v>
      </c>
      <c r="F17768" s="215" t="n">
        <v>46114</v>
      </c>
    </row>
    <row r="17769">
      <c r="A17769" s="215" t="n">
        <v>46120</v>
      </c>
      <c r="B17769" s="216" t="n">
        <v>49.12</v>
      </c>
      <c r="C17769" s="216" t="n">
        <v>58.27</v>
      </c>
      <c r="D17769" s="216" t="n">
        <v>1.1423499584198</v>
      </c>
      <c r="E17769" s="215" t="n">
        <v>46120</v>
      </c>
      <c r="F17769" s="215" t="n">
        <v>46120</v>
      </c>
    </row>
    <row r="17770">
      <c r="A17770" s="215" t="n">
        <v>46121</v>
      </c>
      <c r="B17770" s="216" t="n">
        <v>49.42</v>
      </c>
      <c r="C17770" s="216" t="n">
        <v>57.65</v>
      </c>
      <c r="D17770" s="216" t="n">
        <v>1.146731972694397</v>
      </c>
      <c r="E17770" s="215" t="n">
        <v>46121</v>
      </c>
      <c r="F17770" s="215" t="n">
        <v>46121</v>
      </c>
    </row>
    <row r="17771">
      <c r="A17771" s="215" t="n">
        <v>46122</v>
      </c>
      <c r="B17771" s="216" t="n">
        <v>50.35</v>
      </c>
      <c r="C17771" s="216" t="n">
        <v>59.64</v>
      </c>
      <c r="D17771" s="216" t="n">
        <v>1.146558046340942</v>
      </c>
      <c r="E17771" s="215" t="n">
        <v>46122</v>
      </c>
      <c r="F17771" s="215" t="n">
        <v>46122</v>
      </c>
    </row>
    <row r="17772">
      <c r="A17772" s="215" t="n">
        <v>46125</v>
      </c>
      <c r="B17772" s="216" t="n">
        <v>53.8</v>
      </c>
      <c r="C17772" s="216" t="n">
        <v>62.1</v>
      </c>
      <c r="D17772" s="216" t="n">
        <v>1.147117972373962</v>
      </c>
      <c r="E17772" s="215" t="n">
        <v>46125</v>
      </c>
      <c r="F17772" s="215" t="n">
        <v>46125</v>
      </c>
    </row>
    <row r="17773">
      <c r="A17773" s="215" t="n">
        <v>46126</v>
      </c>
      <c r="B17773" s="216" t="n">
        <v>56.7</v>
      </c>
      <c r="C17773" s="216" t="n">
        <v>64.53</v>
      </c>
      <c r="D17773" s="216" t="n">
        <v>1.146226048469543</v>
      </c>
      <c r="E17773" s="215" t="n">
        <v>46126</v>
      </c>
      <c r="F17773" s="215" t="n">
        <v>46126</v>
      </c>
    </row>
    <row r="17774">
      <c r="A17774" s="215" t="n">
        <v>46127</v>
      </c>
      <c r="B17774" s="216" t="n">
        <v>53.85</v>
      </c>
      <c r="C17774" s="216" t="n">
        <v>61.8</v>
      </c>
      <c r="D17774" s="216" t="n">
        <v>1.149266004562378</v>
      </c>
      <c r="E17774" s="215" t="n">
        <v>46127</v>
      </c>
      <c r="F17774" s="215" t="n">
        <v>46127</v>
      </c>
    </row>
    <row r="17775">
      <c r="A17775" s="215" t="n">
        <v>46128</v>
      </c>
      <c r="B17775" s="216" t="n">
        <v>56.65</v>
      </c>
      <c r="C17775" s="216" t="n">
        <v>65.31999999999999</v>
      </c>
      <c r="D17775" s="216" t="n">
        <v>1.148550033569336</v>
      </c>
      <c r="E17775" s="215" t="n">
        <v>46128</v>
      </c>
      <c r="F17775" s="215" t="n">
        <v>46128</v>
      </c>
    </row>
    <row r="17776">
      <c r="A17776" s="215" t="n">
        <v>46129</v>
      </c>
      <c r="B17776" s="216" t="n">
        <v>58.6</v>
      </c>
      <c r="C17776" s="216" t="n">
        <v>66.65000000000001</v>
      </c>
      <c r="D17776" s="216" t="n">
        <v>1.146605014801025</v>
      </c>
      <c r="E17776" s="215" t="n">
        <v>46129</v>
      </c>
      <c r="F17776" s="215" t="n">
        <v>46129</v>
      </c>
    </row>
    <row r="17777">
      <c r="A17777" s="215" t="n">
        <v>46132</v>
      </c>
      <c r="B17777" s="216" t="n">
        <v>58.25</v>
      </c>
      <c r="C17777" s="216" t="n">
        <v>66.81999999999999</v>
      </c>
      <c r="D17777" s="216" t="n">
        <v>1.148360967636108</v>
      </c>
      <c r="E17777" s="215" t="n">
        <v>46132</v>
      </c>
      <c r="F17777" s="215" t="n">
        <v>46132</v>
      </c>
    </row>
    <row r="17778">
      <c r="A17778" s="215" t="n">
        <v>46133</v>
      </c>
      <c r="B17778" s="216" t="n">
        <v>58.7</v>
      </c>
      <c r="C17778" s="216" t="n">
        <v>70.70999999999999</v>
      </c>
      <c r="D17778" s="216" t="n">
        <v>1.148368000984192</v>
      </c>
      <c r="E17778" s="215" t="n">
        <v>46133</v>
      </c>
      <c r="F17778" s="215" t="n">
        <v>46133</v>
      </c>
    </row>
    <row r="17779">
      <c r="A17779" s="215" t="n">
        <v>46134</v>
      </c>
      <c r="B17779" s="216" t="n">
        <v>59</v>
      </c>
      <c r="C17779" s="216" t="n">
        <v>70.73</v>
      </c>
      <c r="D17779" s="216" t="n">
        <v>1.147838950157166</v>
      </c>
      <c r="E17779" s="215" t="n">
        <v>46134</v>
      </c>
      <c r="F17779" s="215" t="n">
        <v>46134</v>
      </c>
    </row>
    <row r="17780">
      <c r="A17780" s="215" t="n">
        <v>46135</v>
      </c>
      <c r="B17780" s="216" t="n">
        <v>57</v>
      </c>
      <c r="C17780" s="216" t="n">
        <v>67.97</v>
      </c>
      <c r="D17780" s="216" t="n">
        <v>1.147513031959534</v>
      </c>
      <c r="E17780" s="215" t="n">
        <v>46135</v>
      </c>
      <c r="F17780" s="215" t="n">
        <v>46135</v>
      </c>
    </row>
    <row r="17781">
      <c r="A17781" s="215" t="n">
        <v>46136</v>
      </c>
      <c r="B17781" s="216" t="n">
        <v>60.45</v>
      </c>
      <c r="C17781" s="216" t="n">
        <v>73.7</v>
      </c>
      <c r="D17781" s="216" t="n">
        <v>1.147369027137756</v>
      </c>
      <c r="E17781" s="215" t="n">
        <v>46136</v>
      </c>
      <c r="F17781" s="215" t="n">
        <v>46136</v>
      </c>
    </row>
    <row r="17782">
      <c r="A17782" s="215" t="n">
        <v>46139</v>
      </c>
      <c r="B17782" s="216" t="n">
        <v>58.7</v>
      </c>
      <c r="C17782" s="216" t="n">
        <v>73.65000000000001</v>
      </c>
      <c r="D17782" s="216" t="n">
        <v>1.146002054214478</v>
      </c>
      <c r="E17782" s="215" t="n">
        <v>46139</v>
      </c>
      <c r="F17782" s="215" t="n">
        <v>46139</v>
      </c>
    </row>
    <row r="17783">
      <c r="A17783" s="215" t="n">
        <v>46140</v>
      </c>
      <c r="B17783" s="216" t="n">
        <v>58.2</v>
      </c>
      <c r="C17783" s="216" t="n">
        <v>72.53</v>
      </c>
      <c r="D17783" s="216" t="n">
        <v>1.148522019386292</v>
      </c>
      <c r="E17783" s="215" t="n">
        <v>46140</v>
      </c>
      <c r="F17783" s="215" t="n">
        <v>46140</v>
      </c>
    </row>
    <row r="17784">
      <c r="A17784" s="215" t="n">
        <v>46141</v>
      </c>
      <c r="B17784" s="216" t="n">
        <v>63.25</v>
      </c>
      <c r="C17784" s="216" t="n">
        <v>75.52</v>
      </c>
      <c r="D17784" s="216" t="n">
        <v>1.145936012268066</v>
      </c>
      <c r="E17784" s="215" t="n">
        <v>46141</v>
      </c>
      <c r="F17784" s="215" t="n">
        <v>46141</v>
      </c>
    </row>
    <row r="17785">
      <c r="A17785" s="215" t="n">
        <v>46142</v>
      </c>
      <c r="B17785" s="216" t="n">
        <v>66.45</v>
      </c>
      <c r="C17785" s="216" t="n">
        <v>80.03</v>
      </c>
      <c r="D17785" s="216" t="n">
        <v>1.145792007446289</v>
      </c>
      <c r="E17785" s="215" t="n">
        <v>46142</v>
      </c>
      <c r="F17785" s="215" t="n">
        <v>46142</v>
      </c>
    </row>
    <row r="17786">
      <c r="A17786" s="215" t="n">
        <v>46146</v>
      </c>
      <c r="B17786" s="216" t="n">
        <v>67.59999999999999</v>
      </c>
      <c r="C17786" s="216" t="n">
        <v>80.03</v>
      </c>
      <c r="D17786" s="216" t="n">
        <v>1.147340059280396</v>
      </c>
      <c r="E17786" s="215" t="n">
        <v>46142</v>
      </c>
      <c r="F17786" s="215" t="n">
        <v>46146</v>
      </c>
    </row>
    <row r="17787">
      <c r="A17787" s="215" t="n">
        <v>46147</v>
      </c>
      <c r="B17787" s="216" t="n">
        <v>65.45</v>
      </c>
      <c r="C17787" s="216" t="n">
        <v>80.03</v>
      </c>
      <c r="D17787" s="216" t="n">
        <v>1.146813988685608</v>
      </c>
      <c r="E17787" s="215" t="n">
        <v>46142</v>
      </c>
      <c r="F17787" s="215" t="n">
        <v>46147</v>
      </c>
    </row>
    <row r="17788">
      <c r="A17788" s="215" t="n">
        <v>46148</v>
      </c>
      <c r="B17788" s="216" t="n">
        <v>66.95</v>
      </c>
      <c r="C17788" s="216" t="n">
        <v>81.70999999999999</v>
      </c>
      <c r="D17788" s="216" t="n">
        <v>1.14708399772644</v>
      </c>
      <c r="E17788" s="215" t="n">
        <v>46148</v>
      </c>
      <c r="F17788" s="215" t="n">
        <v>46148</v>
      </c>
    </row>
    <row r="17789">
      <c r="A17789" s="215" t="n">
        <v>46149</v>
      </c>
      <c r="B17789" s="216" t="n">
        <v>67</v>
      </c>
      <c r="C17789" s="216" t="n">
        <v>79.06</v>
      </c>
      <c r="D17789" s="216" t="n">
        <v>1.150125026702881</v>
      </c>
      <c r="E17789" s="215" t="n">
        <v>46149</v>
      </c>
      <c r="F17789" s="215" t="n">
        <v>46149</v>
      </c>
    </row>
    <row r="17790">
      <c r="A17790" s="215" t="n">
        <v>46150</v>
      </c>
      <c r="B17790" s="216" t="n">
        <v>62.25</v>
      </c>
      <c r="C17790" s="216" t="n">
        <v>76.05</v>
      </c>
      <c r="D17790" s="216" t="n">
        <v>1.15172004699707</v>
      </c>
      <c r="E17790" s="215" t="n">
        <v>46150</v>
      </c>
      <c r="F17790" s="215" t="n">
        <v>46150</v>
      </c>
    </row>
    <row r="17791">
      <c r="A17791" s="215" t="n">
        <v>46153</v>
      </c>
      <c r="B17791" s="216" t="n">
        <v>62.75</v>
      </c>
      <c r="C17791" s="216" t="n">
        <v>77.37</v>
      </c>
      <c r="D17791" s="216" t="n">
        <v>1.151090025901794</v>
      </c>
      <c r="E17791" s="215" t="n">
        <v>46153</v>
      </c>
      <c r="F17791" s="215" t="n">
        <v>46153</v>
      </c>
    </row>
    <row r="17792">
      <c r="A17792" s="215" t="n">
        <v>46154</v>
      </c>
      <c r="B17792" s="216" t="n">
        <v>61.05</v>
      </c>
      <c r="C17792" s="216" t="n">
        <v>74.75</v>
      </c>
      <c r="D17792" s="216" t="n">
        <v>1.152078986167908</v>
      </c>
      <c r="E17792" s="215" t="n">
        <v>46154</v>
      </c>
      <c r="F17792" s="215" t="n">
        <v>46154</v>
      </c>
    </row>
    <row r="17793">
      <c r="A17793" s="215" t="n">
        <v>46155</v>
      </c>
      <c r="B17793" s="216" t="n">
        <v>59.3</v>
      </c>
      <c r="C17793" s="216" t="n">
        <v>74.38</v>
      </c>
      <c r="D17793" s="216" t="n">
        <v>1.152537941932678</v>
      </c>
      <c r="E17793" s="215" t="n">
        <v>46155</v>
      </c>
      <c r="F17793" s="215" t="n">
        <v>46155</v>
      </c>
    </row>
    <row r="17794">
      <c r="A17794" s="215" t="n">
        <v>46156</v>
      </c>
      <c r="B17794" s="216" t="n">
        <v>57.45</v>
      </c>
      <c r="C17794" s="216" t="n">
        <v>70.69</v>
      </c>
      <c r="D17794" s="216" t="n">
        <v>1.152662992477417</v>
      </c>
      <c r="E17794" s="215" t="n">
        <v>46156</v>
      </c>
      <c r="F17794" s="215" t="n">
        <v>46156</v>
      </c>
    </row>
    <row r="17795">
      <c r="A17795" s="215" t="n">
        <v>46157</v>
      </c>
      <c r="B17795" s="216" t="n">
        <v>54.85</v>
      </c>
      <c r="C17795" s="216" t="n">
        <v>69.11</v>
      </c>
      <c r="D17795" s="216" t="n">
        <v>1.154320001602173</v>
      </c>
      <c r="E17795" s="215" t="n">
        <v>46157</v>
      </c>
      <c r="F17795" s="215" t="n">
        <v>46157</v>
      </c>
    </row>
    <row r="17796">
      <c r="A17796" s="215" t="n">
        <v>46160</v>
      </c>
      <c r="B17796" s="216" t="n">
        <v>54.3</v>
      </c>
      <c r="C17796" s="216" t="n">
        <v>69.38</v>
      </c>
      <c r="D17796" s="216" t="n">
        <v>1.149821996688843</v>
      </c>
      <c r="E17796" s="215" t="n">
        <v>46160</v>
      </c>
      <c r="F17796" s="215" t="n">
        <v>46160</v>
      </c>
    </row>
    <row r="17797">
      <c r="A17797" s="215" t="n">
        <v>46161</v>
      </c>
      <c r="B17797" s="216" t="n">
        <v>52.35</v>
      </c>
      <c r="C17797" s="216" t="n">
        <v>66.58</v>
      </c>
      <c r="D17797" s="216" t="n">
        <v>1.151532053947449</v>
      </c>
      <c r="E17797" s="215" t="n">
        <v>46161</v>
      </c>
      <c r="F17797" s="215" t="n">
        <v>46161</v>
      </c>
    </row>
    <row r="17798">
      <c r="A17798" s="215" t="n">
        <v>46162</v>
      </c>
      <c r="B17798" s="216" t="n">
        <v>53.9</v>
      </c>
      <c r="C17798" s="216" t="n">
        <v>68.16</v>
      </c>
      <c r="D17798" s="216" t="n">
        <v>1.149292945861816</v>
      </c>
      <c r="E17798" s="215" t="n">
        <v>46162</v>
      </c>
      <c r="F17798" s="215" t="n">
        <v>46162</v>
      </c>
    </row>
    <row r="17799">
      <c r="A17799" s="215" t="n">
        <v>46163</v>
      </c>
      <c r="B17799" s="216" t="n">
        <v>52.1</v>
      </c>
      <c r="C17799" s="216" t="n">
        <v>65.78</v>
      </c>
      <c r="D17799" s="216" t="n">
        <v>1.151231050491333</v>
      </c>
      <c r="E17799" s="215" t="n">
        <v>46163</v>
      </c>
      <c r="F17799" s="215" t="n">
        <v>46163</v>
      </c>
    </row>
    <row r="17800">
      <c r="A17800" s="215" t="n">
        <v>46164</v>
      </c>
      <c r="B17800" s="216" t="n">
        <v>52.15</v>
      </c>
      <c r="C17800" s="216" t="n">
        <v>66.52</v>
      </c>
      <c r="D17800" s="216" t="n">
        <v>1.151487946510315</v>
      </c>
      <c r="E17800" s="215" t="n">
        <v>46164</v>
      </c>
      <c r="F17800" s="215" t="n">
        <v>46164</v>
      </c>
    </row>
    <row r="17801">
      <c r="A17801" s="215" t="n">
        <v>46168</v>
      </c>
      <c r="B17801" s="216" t="n">
        <v>51.55</v>
      </c>
      <c r="C17801" s="216" t="n">
        <v>66.40000000000001</v>
      </c>
      <c r="D17801" s="216" t="n">
        <v>1.152968049049377</v>
      </c>
      <c r="E17801" s="215" t="n">
        <v>46168</v>
      </c>
      <c r="F17801" s="215" t="n">
        <v>46168</v>
      </c>
    </row>
    <row r="17802">
      <c r="A17802" s="215" t="n">
        <v>46169</v>
      </c>
      <c r="B17802" s="216" t="n">
        <v>50.9</v>
      </c>
      <c r="C17802" s="216" t="n">
        <v>64.48</v>
      </c>
      <c r="D17802" s="216" t="n">
        <v>1.154562950134277</v>
      </c>
      <c r="E17802" s="215" t="n">
        <v>46169</v>
      </c>
      <c r="F17802" s="215" t="n">
        <v>46169</v>
      </c>
    </row>
    <row r="17803">
      <c r="A17803" s="215" t="n">
        <v>46170</v>
      </c>
      <c r="B17803" s="216" t="n">
        <v>50.15</v>
      </c>
      <c r="C17803" s="216" t="n">
        <v>64.39</v>
      </c>
      <c r="D17803" s="216" t="n">
        <v>1.155385971069336</v>
      </c>
      <c r="E17803" s="215" t="n">
        <v>46170</v>
      </c>
      <c r="F17803" s="215" t="n">
        <v>46170</v>
      </c>
    </row>
    <row r="17804">
      <c r="A17804" s="215" t="n">
        <v>46171</v>
      </c>
      <c r="B17804" s="216" t="n">
        <v>49.08</v>
      </c>
      <c r="C17804" s="216" t="n">
        <v>62.88</v>
      </c>
      <c r="D17804" s="216" t="n">
        <v>1.155282974243164</v>
      </c>
      <c r="E17804" s="215" t="n">
        <v>46171</v>
      </c>
      <c r="F17804" s="215" t="n">
        <v>46171</v>
      </c>
    </row>
    <row r="17805">
      <c r="A17805" s="215" t="n">
        <v>46174</v>
      </c>
      <c r="B17805" s="216" t="n">
        <v>49.04</v>
      </c>
      <c r="C17805" s="216" t="n">
        <v>62.17</v>
      </c>
      <c r="D17805" s="216" t="n">
        <v>1.158049941062927</v>
      </c>
      <c r="E17805" s="215" t="n">
        <v>46174</v>
      </c>
      <c r="F17805" s="215" t="n">
        <v>46174</v>
      </c>
    </row>
    <row r="17806">
      <c r="A17806" s="215" t="n">
        <v>46175</v>
      </c>
      <c r="B17806" s="216" t="n">
        <v>48.24</v>
      </c>
      <c r="C17806" s="216" t="n">
        <v>61.29</v>
      </c>
      <c r="D17806" s="216" t="n">
        <v>1.158406972885132</v>
      </c>
      <c r="E17806" s="215" t="n">
        <v>46175</v>
      </c>
      <c r="F17806" s="215" t="n">
        <v>46175</v>
      </c>
    </row>
    <row r="17807">
      <c r="A17807" s="215" t="n">
        <v>46176</v>
      </c>
      <c r="B17807" s="216" t="n">
        <v>47.5</v>
      </c>
      <c r="C17807" s="216" t="n">
        <v>60.98</v>
      </c>
      <c r="D17807" s="216" t="n">
        <v>1.15879499912262</v>
      </c>
      <c r="E17807" s="215" t="n">
        <v>46176</v>
      </c>
      <c r="F17807" s="215" t="n">
        <v>46176</v>
      </c>
    </row>
    <row r="17808">
      <c r="A17808" s="215" t="n">
        <v>46177</v>
      </c>
      <c r="B17808" s="216" t="n">
        <v>45.76</v>
      </c>
      <c r="C17808" s="216" t="n">
        <v>59.46</v>
      </c>
      <c r="D17808" s="216" t="n">
        <v>1.157420039176941</v>
      </c>
      <c r="E17808" s="215" t="n">
        <v>46177</v>
      </c>
      <c r="F17808" s="215" t="n">
        <v>46177</v>
      </c>
    </row>
    <row r="17809">
      <c r="A17809" s="215" t="n">
        <v>46178</v>
      </c>
      <c r="B17809" s="216" t="n">
        <v>43.78</v>
      </c>
      <c r="C17809" s="216" t="n">
        <v>59.06</v>
      </c>
      <c r="D17809" s="216" t="n">
        <v>1.156491994857788</v>
      </c>
      <c r="E17809" s="215" t="n">
        <v>46178</v>
      </c>
      <c r="F17809" s="215" t="n">
        <v>46178</v>
      </c>
    </row>
    <row r="17810">
      <c r="A17810" s="215" t="n">
        <v>46181</v>
      </c>
      <c r="B17810" s="216" t="n">
        <v>43.04</v>
      </c>
      <c r="C17810" s="216" t="n">
        <v>56.2</v>
      </c>
      <c r="D17810" s="216" t="n">
        <v>1.157665967941284</v>
      </c>
      <c r="E17810" s="215" t="n">
        <v>46181</v>
      </c>
      <c r="F17810" s="215" t="n">
        <v>46181</v>
      </c>
    </row>
    <row r="17811">
      <c r="A17811" s="215" t="n">
        <v>46182</v>
      </c>
      <c r="B17811" s="216" t="n">
        <v>44.9</v>
      </c>
      <c r="C17811" s="216" t="n">
        <v>60.01</v>
      </c>
      <c r="D17811" s="216" t="n">
        <v>1.158027052879333</v>
      </c>
      <c r="E17811" s="215" t="n">
        <v>46182</v>
      </c>
      <c r="F17811" s="215" t="n">
        <v>46182</v>
      </c>
    </row>
    <row r="17812">
      <c r="A17812" s="215" t="n">
        <v>46183</v>
      </c>
      <c r="B17812" s="216" t="n">
        <v>43.76</v>
      </c>
      <c r="C17812" s="216" t="n">
        <v>59.48</v>
      </c>
      <c r="D17812" s="216" t="n">
        <v>1.157112002372742</v>
      </c>
      <c r="E17812" s="215" t="n">
        <v>46183</v>
      </c>
      <c r="F17812" s="215" t="n">
        <v>46183</v>
      </c>
    </row>
    <row r="17813">
      <c r="A17813" s="215" t="n">
        <v>46184</v>
      </c>
      <c r="B17813" s="216" t="n">
        <v>44.72</v>
      </c>
      <c r="C17813" s="216" t="n">
        <v>61</v>
      </c>
      <c r="D17813" s="216" t="n">
        <v>1.156929016113281</v>
      </c>
      <c r="E17813" s="215" t="n">
        <v>46184</v>
      </c>
      <c r="F17813" s="215" t="n">
        <v>46184</v>
      </c>
    </row>
    <row r="17814">
      <c r="A17814" s="215" t="n">
        <v>46185</v>
      </c>
      <c r="B17814" s="216" t="n">
        <v>47.5</v>
      </c>
      <c r="C17814" s="216" t="n">
        <v>62.5</v>
      </c>
      <c r="D17814" s="216" t="n">
        <v>1.156345963478088</v>
      </c>
      <c r="E17814" s="215" t="n">
        <v>46185</v>
      </c>
      <c r="F17814" s="215" t="n">
        <v>46185</v>
      </c>
    </row>
    <row r="17815">
      <c r="A17815" s="215" t="n">
        <v>46188</v>
      </c>
      <c r="B17815" s="216" t="n">
        <v>48.3</v>
      </c>
      <c r="C17815" s="216" t="n">
        <v>63.72</v>
      </c>
      <c r="D17815" s="216" t="n">
        <v>1.156880021095276</v>
      </c>
      <c r="E17815" s="215" t="n">
        <v>46188</v>
      </c>
      <c r="F17815" s="215" t="n">
        <v>46188</v>
      </c>
    </row>
    <row r="17816">
      <c r="A17816" s="215" t="n">
        <v>46189</v>
      </c>
      <c r="B17816" s="216" t="n">
        <v>46.94</v>
      </c>
      <c r="C17816" s="216" t="n">
        <v>63.99</v>
      </c>
      <c r="D17816" s="216" t="n">
        <v>1.158604025840759</v>
      </c>
      <c r="E17816" s="215" t="n">
        <v>46189</v>
      </c>
      <c r="F17816" s="215" t="n">
        <v>46189</v>
      </c>
    </row>
    <row r="17817">
      <c r="A17817" s="215" t="n">
        <v>46190</v>
      </c>
      <c r="B17817" s="216" t="n">
        <v>46.44</v>
      </c>
      <c r="C17817" s="216" t="n">
        <v>64.04000000000001</v>
      </c>
      <c r="D17817" s="216" t="n">
        <v>1.158974051475525</v>
      </c>
      <c r="E17817" s="215" t="n">
        <v>46190</v>
      </c>
      <c r="F17817" s="215" t="n">
        <v>46190</v>
      </c>
    </row>
    <row r="17818">
      <c r="A17818" s="215" t="n">
        <v>46191</v>
      </c>
      <c r="B17818" s="216" t="n">
        <v>43.8</v>
      </c>
      <c r="C17818" s="216" t="n">
        <v>62.18</v>
      </c>
      <c r="D17818" s="216" t="n">
        <v>1.159355998039246</v>
      </c>
      <c r="E17818" s="215" t="n">
        <v>46191</v>
      </c>
      <c r="F17818" s="215" t="n">
        <v>46191</v>
      </c>
    </row>
    <row r="17819">
      <c r="A17819" s="215" t="n">
        <v>46195</v>
      </c>
      <c r="B17819" s="216" t="n">
        <v>44.76</v>
      </c>
      <c r="C17819" s="216" t="n">
        <v>64.97</v>
      </c>
      <c r="D17819" s="216" t="n">
        <v>1.157493948936462</v>
      </c>
      <c r="E17819" s="215" t="n">
        <v>46195</v>
      </c>
      <c r="F17819" s="215" t="n">
        <v>46195</v>
      </c>
    </row>
    <row r="17820">
      <c r="A17820" s="215" t="n">
        <v>46196</v>
      </c>
      <c r="B17820" s="216" t="n">
        <v>42.34</v>
      </c>
      <c r="C17820" s="216" t="n">
        <v>61.32</v>
      </c>
      <c r="D17820" s="216" t="n">
        <v>1.156896948814392</v>
      </c>
      <c r="E17820" s="215" t="n">
        <v>46196</v>
      </c>
      <c r="F17820" s="215" t="n">
        <v>46196</v>
      </c>
    </row>
    <row r="17821">
      <c r="A17821" s="215" t="n">
        <v>46197</v>
      </c>
      <c r="B17821" s="216" t="n">
        <v>43.32</v>
      </c>
      <c r="C17821" s="216" t="n">
        <v>66.13</v>
      </c>
      <c r="D17821" s="216" t="n">
        <v>1.154508948326111</v>
      </c>
      <c r="E17821" s="215" t="n">
        <v>46197</v>
      </c>
      <c r="F17821" s="215" t="n">
        <v>46197</v>
      </c>
    </row>
    <row r="17822">
      <c r="A17822" s="215" t="n">
        <v>46198</v>
      </c>
      <c r="B17822" s="216" t="n">
        <v>41.42</v>
      </c>
      <c r="C17822" s="216" t="n">
        <v>64.64</v>
      </c>
      <c r="D17822" s="216" t="n">
        <v>1.154152035713196</v>
      </c>
      <c r="E17822" s="215" t="n">
        <v>46198</v>
      </c>
      <c r="F17822" s="215" t="n">
        <v>46198</v>
      </c>
    </row>
    <row r="17823">
      <c r="A17823" s="215" t="n">
        <v>46199</v>
      </c>
      <c r="B17823" s="216" t="n">
        <v>38.64</v>
      </c>
      <c r="C17823" s="216" t="n">
        <v>58.92</v>
      </c>
      <c r="D17823" s="216" t="n">
        <v>1.154500961303711</v>
      </c>
      <c r="E17823" s="215" t="n">
        <v>46199</v>
      </c>
      <c r="F17823" s="215" t="n">
        <v>46199</v>
      </c>
    </row>
    <row r="17824">
      <c r="A17824" s="215" t="n">
        <v>46202</v>
      </c>
      <c r="B17824" s="216" t="n">
        <v>39.6</v>
      </c>
      <c r="C17824" s="216" t="n">
        <v>59.87</v>
      </c>
      <c r="D17824" s="216" t="n">
        <v>1.153512001037598</v>
      </c>
      <c r="E17824" s="215" t="n">
        <v>46202</v>
      </c>
      <c r="F17824" s="215" t="n">
        <v>46202</v>
      </c>
    </row>
    <row r="17825">
      <c r="A17825" s="215" t="n">
        <v>46203</v>
      </c>
      <c r="B17825" s="216" t="n">
        <v>40.18</v>
      </c>
      <c r="C17825" s="216" t="n">
        <v>61.32</v>
      </c>
      <c r="D17825" s="216" t="n">
        <v>1.153959035873413</v>
      </c>
      <c r="E17825" s="215" t="n">
        <v>46203</v>
      </c>
      <c r="F17825" s="215" t="n">
        <v>46203</v>
      </c>
    </row>
    <row r="17826">
      <c r="A17826" s="215" t="n">
        <v>46205</v>
      </c>
      <c r="B17826" s="216" t="n">
        <v>39.5</v>
      </c>
      <c r="C17826" s="216" t="n">
        <v>60.01</v>
      </c>
      <c r="D17826" s="216" t="n">
        <v>1.154355049133301</v>
      </c>
      <c r="E17826" s="215" t="n">
        <v>46205</v>
      </c>
      <c r="F17826" s="215" t="n">
        <v>46205</v>
      </c>
    </row>
    <row r="17827">
      <c r="A17827" s="215" t="n">
        <v>46206</v>
      </c>
      <c r="B17827" s="216" t="n">
        <v>40.3</v>
      </c>
      <c r="C17827" s="216" t="n">
        <v>58.66</v>
      </c>
      <c r="D17827" s="216" t="n">
        <v>1.155220985412598</v>
      </c>
      <c r="E17827" s="215" t="n">
        <v>46206</v>
      </c>
      <c r="F17827" s="215" t="n">
        <v>46206</v>
      </c>
    </row>
    <row r="17828">
      <c r="A17828" s="215" t="n">
        <v>46209</v>
      </c>
      <c r="B17828" s="216" t="n">
        <v>40.7</v>
      </c>
      <c r="C17828" s="216" t="n">
        <v>58.91</v>
      </c>
      <c r="D17828" s="216" t="n">
        <v>1.155068039894104</v>
      </c>
      <c r="E17828" s="215" t="n">
        <v>46209</v>
      </c>
      <c r="F17828" s="215" t="n">
        <v>46209</v>
      </c>
    </row>
    <row r="17829">
      <c r="A17829" s="215" t="n">
        <v>46210</v>
      </c>
      <c r="B17829" s="216" t="n">
        <v>39.54</v>
      </c>
      <c r="C17829" s="216" t="n">
        <v>59.19</v>
      </c>
      <c r="D17829" s="216" t="n">
        <v>1.153807997703552</v>
      </c>
      <c r="E17829" s="215" t="n">
        <v>46210</v>
      </c>
      <c r="F17829" s="215" t="n">
        <v>46210</v>
      </c>
    </row>
    <row r="17830">
      <c r="A17830" s="215" t="n">
        <v>46211</v>
      </c>
      <c r="B17830" s="216" t="n">
        <v>36.36</v>
      </c>
      <c r="C17830" s="216" t="n">
        <v>53.27</v>
      </c>
      <c r="D17830" s="216" t="n">
        <v>1.154153943061829</v>
      </c>
      <c r="E17830" s="215" t="n">
        <v>46211</v>
      </c>
      <c r="F17830" s="215" t="n">
        <v>46211</v>
      </c>
    </row>
    <row r="17831">
      <c r="A17831" s="215" t="n">
        <v>46212</v>
      </c>
      <c r="B17831" s="216" t="n">
        <v>35.22</v>
      </c>
      <c r="C17831" s="216" t="n">
        <v>49.79</v>
      </c>
      <c r="D17831" s="216" t="n">
        <v>1.152119994163513</v>
      </c>
      <c r="E17831" s="215" t="n">
        <v>46212</v>
      </c>
      <c r="F17831" s="215" t="n">
        <v>46212</v>
      </c>
    </row>
    <row r="17832">
      <c r="A17832" s="215" t="n">
        <v>46213</v>
      </c>
      <c r="B17832" s="216" t="n">
        <v>33.74</v>
      </c>
      <c r="C17832" s="216" t="n">
        <v>47.8</v>
      </c>
      <c r="D17832" s="216" t="n">
        <v>1.153550028800964</v>
      </c>
      <c r="E17832" s="215" t="n">
        <v>46213</v>
      </c>
      <c r="F17832" s="215" t="n">
        <v>46213</v>
      </c>
    </row>
    <row r="17833">
      <c r="A17833" s="215" t="n">
        <v>46216</v>
      </c>
      <c r="B17833" s="216" t="n">
        <v>33.08</v>
      </c>
      <c r="C17833" s="216" t="n">
        <v>45.61</v>
      </c>
      <c r="D17833" s="216" t="n">
        <v>1.156761050224304</v>
      </c>
      <c r="E17833" s="215" t="n">
        <v>46216</v>
      </c>
      <c r="F17833" s="215" t="n">
        <v>46216</v>
      </c>
    </row>
    <row r="17834">
      <c r="A17834" s="215" t="n">
        <v>46217</v>
      </c>
      <c r="B17834" s="216" t="n">
        <v>34.16</v>
      </c>
      <c r="C17834" s="216" t="n">
        <v>47.35</v>
      </c>
      <c r="D17834" s="216" t="n">
        <v>1.155825972557068</v>
      </c>
      <c r="E17834" s="215" t="n">
        <v>46217</v>
      </c>
      <c r="F17834" s="215" t="n">
        <v>46217</v>
      </c>
    </row>
    <row r="17835">
      <c r="A17835" s="215" t="n">
        <v>46218</v>
      </c>
      <c r="B17835" s="216" t="n">
        <v>33.2</v>
      </c>
      <c r="C17835" s="216" t="n">
        <v>47.43</v>
      </c>
      <c r="D17835" s="216" t="n">
        <v>1.157556056976318</v>
      </c>
      <c r="E17835" s="215" t="n">
        <v>46218</v>
      </c>
      <c r="F17835" s="215" t="n">
        <v>46218</v>
      </c>
    </row>
    <row r="17836">
      <c r="A17836" s="215" t="n">
        <v>46219</v>
      </c>
      <c r="B17836" s="216" t="n">
        <v>33.68</v>
      </c>
      <c r="C17836" s="216" t="n">
        <v>49.34</v>
      </c>
      <c r="D17836" s="216" t="n">
        <v>1.157912969589233</v>
      </c>
      <c r="E17836" s="215" t="n">
        <v>46219</v>
      </c>
      <c r="F17836" s="215" t="n">
        <v>46219</v>
      </c>
    </row>
    <row r="17837">
      <c r="A17837" s="215" t="n">
        <v>46220</v>
      </c>
      <c r="B17837" s="216" t="n">
        <v>32.46</v>
      </c>
      <c r="C17837" s="216" t="n">
        <v>46.99</v>
      </c>
      <c r="D17837" s="216" t="n">
        <v>1.157472014427185</v>
      </c>
      <c r="E17837" s="215" t="n">
        <v>46220</v>
      </c>
      <c r="F17837" s="215" t="n">
        <v>46220</v>
      </c>
    </row>
    <row r="17838">
      <c r="A17838" s="215" t="n">
        <v>46223</v>
      </c>
      <c r="B17838" s="216" t="n">
        <v>30.88</v>
      </c>
      <c r="C17838" s="216" t="n">
        <v>42.29</v>
      </c>
      <c r="D17838" s="216" t="n">
        <v>1.157451033592224</v>
      </c>
      <c r="E17838" s="215" t="n">
        <v>46223</v>
      </c>
      <c r="F17838" s="215" t="n">
        <v>46223</v>
      </c>
    </row>
    <row r="17839">
      <c r="A17839" s="215" t="n">
        <v>46224</v>
      </c>
      <c r="B17839" s="216" t="n">
        <v>32</v>
      </c>
      <c r="C17839" s="216" t="n">
        <v>43.69</v>
      </c>
      <c r="D17839" s="216" t="n">
        <v>1.157506942749023</v>
      </c>
      <c r="E17839" s="215" t="n">
        <v>46224</v>
      </c>
      <c r="F17839" s="215" t="n">
        <v>46224</v>
      </c>
    </row>
    <row r="17840">
      <c r="A17840" s="215" t="n">
        <v>46225</v>
      </c>
      <c r="B17840" s="216" t="n">
        <v>32.18</v>
      </c>
      <c r="C17840" s="216" t="n">
        <v>43.92</v>
      </c>
      <c r="D17840" s="216" t="n">
        <v>1.158938050270081</v>
      </c>
      <c r="E17840" s="215" t="n">
        <v>46225</v>
      </c>
      <c r="F17840" s="215" t="n">
        <v>46225</v>
      </c>
    </row>
    <row r="17841">
      <c r="A17841" s="215" t="n">
        <v>46226</v>
      </c>
      <c r="B17841" s="216" t="n">
        <v>34.42</v>
      </c>
      <c r="C17841" s="216" t="n">
        <v>46.38</v>
      </c>
      <c r="D17841" s="216" t="n">
        <v>1.157410979270935</v>
      </c>
      <c r="E17841" s="215" t="n">
        <v>46226</v>
      </c>
      <c r="F17841" s="215" t="n">
        <v>46226</v>
      </c>
    </row>
    <row r="17842">
      <c r="A17842" s="215" t="n">
        <v>46227</v>
      </c>
      <c r="B17842" s="216" t="n">
        <v>32.94</v>
      </c>
      <c r="C17842" s="216" t="n">
        <v>43.88</v>
      </c>
      <c r="D17842" s="216" t="n">
        <v>1.15762197971344</v>
      </c>
      <c r="E17842" s="215" t="n">
        <v>46227</v>
      </c>
      <c r="F17842" s="215" t="n">
        <v>46227</v>
      </c>
    </row>
    <row r="17843">
      <c r="A17843" s="215" t="n">
        <v>46230</v>
      </c>
      <c r="B17843" s="216" t="n">
        <v>33.32</v>
      </c>
      <c r="C17843" s="216" t="n">
        <v>45.21</v>
      </c>
      <c r="D17843" s="216" t="n">
        <v>1.15789794921875</v>
      </c>
      <c r="E17843" s="215" t="n">
        <v>46230</v>
      </c>
      <c r="F17843" s="215" t="n">
        <v>46230</v>
      </c>
    </row>
    <row r="17844">
      <c r="A17844" s="215" t="n">
        <v>46231</v>
      </c>
      <c r="B17844" s="216" t="n">
        <v>32.34</v>
      </c>
      <c r="C17844" s="216" t="n">
        <v>44.44</v>
      </c>
      <c r="D17844" s="216" t="n">
        <v>1.158699035644531</v>
      </c>
      <c r="E17844" s="215" t="n">
        <v>46231</v>
      </c>
      <c r="F17844" s="215" t="n">
        <v>46231</v>
      </c>
    </row>
    <row r="17845">
      <c r="A17845" s="215" t="n">
        <v>46232</v>
      </c>
      <c r="B17845" s="216" t="n">
        <v>33.88</v>
      </c>
      <c r="C17845" s="216" t="n">
        <v>46.08</v>
      </c>
      <c r="D17845" s="216" t="n">
        <v>1.157909989356995</v>
      </c>
      <c r="E17845" s="215" t="n">
        <v>46232</v>
      </c>
      <c r="F17845" s="215" t="n">
        <v>46232</v>
      </c>
    </row>
    <row r="17846">
      <c r="A17846" s="215" t="n">
        <v>46233</v>
      </c>
      <c r="B17846" s="216" t="n">
        <v>33.26</v>
      </c>
      <c r="C17846" s="216" t="n">
        <v>45.46</v>
      </c>
      <c r="D17846" s="216" t="n">
        <v>1.158943057060242</v>
      </c>
      <c r="E17846" s="215" t="n">
        <v>46233</v>
      </c>
      <c r="F17846" s="215" t="n">
        <v>46233</v>
      </c>
    </row>
    <row r="17847">
      <c r="A17847" s="215" t="n">
        <v>46234</v>
      </c>
      <c r="B17847" s="216" t="n">
        <v>33.42</v>
      </c>
      <c r="C17847" s="216" t="n">
        <v>45.35</v>
      </c>
      <c r="D17847" s="216" t="n">
        <v>1.160945057868958</v>
      </c>
      <c r="E17847" s="215" t="n">
        <v>46234</v>
      </c>
      <c r="F17847" s="215" t="n">
        <v>46234</v>
      </c>
    </row>
    <row r="17848">
      <c r="A17848" s="215" t="n">
        <v>46237</v>
      </c>
      <c r="B17848" s="216" t="n">
        <v>34.04</v>
      </c>
      <c r="C17848" s="216" t="n">
        <v>45.75</v>
      </c>
      <c r="D17848" s="216" t="n">
        <v>1.161579966545105</v>
      </c>
      <c r="E17848" s="215" t="n">
        <v>46237</v>
      </c>
      <c r="F17848" s="215" t="n">
        <v>46237</v>
      </c>
    </row>
    <row r="17849">
      <c r="A17849" s="215" t="n">
        <v>46238</v>
      </c>
      <c r="B17849" s="216" t="n">
        <v>35.3</v>
      </c>
      <c r="C17849" s="216" t="n">
        <v>46.8</v>
      </c>
      <c r="D17849" s="216" t="n">
        <v>1.161064982414246</v>
      </c>
      <c r="E17849" s="215" t="n">
        <v>46238</v>
      </c>
      <c r="F17849" s="215" t="n">
        <v>46238</v>
      </c>
    </row>
    <row r="17850">
      <c r="A17850" s="215" t="n">
        <v>46239</v>
      </c>
      <c r="B17850" s="216" t="n">
        <v>36.34</v>
      </c>
      <c r="C17850" s="216" t="n">
        <v>47.77</v>
      </c>
      <c r="D17850" s="216" t="n">
        <v>1.161146998405457</v>
      </c>
      <c r="E17850" s="215" t="n">
        <v>46239</v>
      </c>
      <c r="F17850" s="215" t="n">
        <v>46239</v>
      </c>
    </row>
    <row r="17851">
      <c r="A17851" s="215" t="n">
        <v>46240</v>
      </c>
      <c r="B17851" s="216" t="n">
        <v>35.46</v>
      </c>
      <c r="C17851" s="216" t="n">
        <v>47.18</v>
      </c>
      <c r="D17851" s="216" t="n">
        <v>1.161936044692993</v>
      </c>
      <c r="E17851" s="215" t="n">
        <v>46240</v>
      </c>
      <c r="F17851" s="215" t="n">
        <v>46240</v>
      </c>
    </row>
    <row r="17852">
      <c r="A17852" s="215" t="n">
        <v>46241</v>
      </c>
      <c r="B17852" s="216" t="n">
        <v>35.78</v>
      </c>
      <c r="C17852" s="216" t="n">
        <v>47.87</v>
      </c>
      <c r="D17852" s="216" t="n">
        <v>1.162284016609192</v>
      </c>
      <c r="E17852" s="215" t="n">
        <v>46241</v>
      </c>
      <c r="F17852" s="215" t="n">
        <v>46241</v>
      </c>
    </row>
    <row r="17853">
      <c r="A17853" s="215" t="n">
        <v>46244</v>
      </c>
      <c r="B17853" s="216" t="n">
        <v>36.76</v>
      </c>
      <c r="C17853" s="216" t="n">
        <v>48.91</v>
      </c>
      <c r="D17853" s="216" t="n">
        <v>1.162629961967468</v>
      </c>
      <c r="E17853" s="215" t="n">
        <v>46244</v>
      </c>
      <c r="F17853" s="215" t="n">
        <v>46244</v>
      </c>
    </row>
    <row r="17854">
      <c r="A17854" s="215" t="n">
        <v>46245</v>
      </c>
      <c r="B17854" s="216" t="n">
        <v>35.92</v>
      </c>
      <c r="C17854" s="216" t="n">
        <v>48.09</v>
      </c>
      <c r="D17854" s="216" t="n">
        <v>1.162588000297546</v>
      </c>
      <c r="E17854" s="215" t="n">
        <v>46245</v>
      </c>
      <c r="F17854" s="215" t="n">
        <v>46245</v>
      </c>
    </row>
    <row r="17855">
      <c r="A17855" s="215" t="n">
        <v>46246</v>
      </c>
      <c r="B17855" s="216" t="n">
        <v>36.68</v>
      </c>
      <c r="C17855" s="216" t="n">
        <v>48.53</v>
      </c>
      <c r="D17855" s="216" t="n">
        <v>1.163135051727295</v>
      </c>
      <c r="E17855" s="215" t="n">
        <v>46246</v>
      </c>
      <c r="F17855" s="215" t="n">
        <v>46246</v>
      </c>
    </row>
    <row r="17856">
      <c r="A17856" s="215" t="n">
        <v>46247</v>
      </c>
      <c r="B17856" s="216" t="n">
        <v>35.28</v>
      </c>
      <c r="C17856" s="216" t="n">
        <v>47.76</v>
      </c>
      <c r="D17856" s="216" t="n">
        <v>1.163341045379639</v>
      </c>
      <c r="E17856" s="215" t="n">
        <v>46247</v>
      </c>
      <c r="F17856" s="215" t="n">
        <v>46247</v>
      </c>
    </row>
    <row r="17857">
      <c r="A17857" s="215" t="n">
        <v>46248</v>
      </c>
      <c r="B17857" s="216" t="n">
        <v>35.68</v>
      </c>
      <c r="C17857" s="216" t="n">
        <v>48.73</v>
      </c>
      <c r="D17857" s="216" t="n">
        <v>1.163571000099182</v>
      </c>
      <c r="E17857" s="215" t="n">
        <v>46248</v>
      </c>
      <c r="F17857" s="215" t="n">
        <v>46248</v>
      </c>
    </row>
    <row r="17858">
      <c r="A17858" s="215" t="n">
        <v>46251</v>
      </c>
      <c r="B17858" s="216" t="n">
        <v>36.16</v>
      </c>
      <c r="C17858" s="216" t="n">
        <v>48.82</v>
      </c>
      <c r="D17858" s="216" t="n">
        <v>1.163601994514465</v>
      </c>
      <c r="E17858" s="215" t="n">
        <v>46251</v>
      </c>
      <c r="F17858" s="215" t="n">
        <v>46251</v>
      </c>
    </row>
    <row r="17859">
      <c r="A17859" s="215" t="n">
        <v>46252</v>
      </c>
      <c r="B17859" s="216" t="n">
        <v>35.1</v>
      </c>
      <c r="C17859" s="216" t="n">
        <v>47.93</v>
      </c>
      <c r="D17859" s="216" t="n">
        <v>1.163733005523682</v>
      </c>
      <c r="E17859" s="215" t="n">
        <v>46252</v>
      </c>
      <c r="F17859" s="215" t="n">
        <v>46252</v>
      </c>
    </row>
    <row r="17860">
      <c r="A17860" s="215" t="n">
        <v>46253</v>
      </c>
      <c r="B17860" s="216" t="n">
        <v>34.1</v>
      </c>
      <c r="C17860" s="216" t="n">
        <v>46.13</v>
      </c>
      <c r="D17860" s="216" t="n">
        <v>1.163092017173767</v>
      </c>
      <c r="E17860" s="215" t="n">
        <v>46253</v>
      </c>
      <c r="F17860" s="215" t="n">
        <v>46253</v>
      </c>
    </row>
    <row r="17861">
      <c r="A17861" s="215" t="n">
        <v>46254</v>
      </c>
      <c r="B17861" s="216" t="n">
        <v>33.74</v>
      </c>
      <c r="C17861" s="216" t="n">
        <v>46.03</v>
      </c>
      <c r="D17861" s="216" t="n">
        <v>1.164932012557983</v>
      </c>
      <c r="E17861" s="215" t="n">
        <v>46254</v>
      </c>
      <c r="F17861" s="215" t="n">
        <v>46254</v>
      </c>
    </row>
    <row r="17862">
      <c r="A17862" s="215" t="n">
        <v>46255</v>
      </c>
      <c r="B17862" s="216" t="n">
        <v>37.7</v>
      </c>
      <c r="C17862" s="216" t="n">
        <v>48.38</v>
      </c>
      <c r="D17862" s="216" t="n">
        <v>1.166555047035217</v>
      </c>
      <c r="E17862" s="215" t="n">
        <v>46255</v>
      </c>
      <c r="F17862" s="215" t="n">
        <v>46255</v>
      </c>
    </row>
    <row r="17863">
      <c r="A17863" s="215" t="n">
        <v>46258</v>
      </c>
      <c r="B17863" s="216" t="n">
        <v>38.2</v>
      </c>
      <c r="C17863" s="216" t="n">
        <v>49.1</v>
      </c>
      <c r="D17863" s="216" t="n">
        <v>1.166316986083984</v>
      </c>
      <c r="E17863" s="215" t="n">
        <v>46258</v>
      </c>
      <c r="F17863" s="215" t="n">
        <v>46258</v>
      </c>
    </row>
    <row r="17864">
      <c r="A17864" s="215" t="n">
        <v>46259</v>
      </c>
      <c r="B17864" s="216" t="n">
        <v>36.34</v>
      </c>
      <c r="C17864" s="216" t="n">
        <v>47.01</v>
      </c>
      <c r="D17864" s="216" t="n">
        <v>1.165253043174744</v>
      </c>
      <c r="E17864" s="215" t="n">
        <v>46259</v>
      </c>
      <c r="F17864" s="215" t="n">
        <v>46259</v>
      </c>
    </row>
    <row r="17865">
      <c r="A17865" s="215" t="n">
        <v>46260</v>
      </c>
      <c r="B17865" s="216" t="n">
        <v>36.44</v>
      </c>
      <c r="C17865" s="216" t="n">
        <v>47.56</v>
      </c>
      <c r="D17865" s="216" t="n">
        <v>1.166218996047974</v>
      </c>
      <c r="E17865" s="215" t="n">
        <v>46260</v>
      </c>
      <c r="F17865" s="215" t="n">
        <v>46260</v>
      </c>
    </row>
    <row r="17866">
      <c r="A17866" s="215" t="n">
        <v>46261</v>
      </c>
      <c r="B17866" s="216" t="n">
        <v>36.96</v>
      </c>
      <c r="C17866" s="216" t="n">
        <v>48.23</v>
      </c>
      <c r="D17866" s="216" t="n">
        <v>1.165971040725708</v>
      </c>
      <c r="E17866" s="215" t="n">
        <v>46261</v>
      </c>
      <c r="F17866" s="215" t="n">
        <v>46261</v>
      </c>
    </row>
    <row r="17867">
      <c r="A17867" s="215" t="n">
        <v>46262</v>
      </c>
      <c r="B17867" s="216" t="n">
        <v>38.2</v>
      </c>
      <c r="C17867" s="216" t="n">
        <v>50.1</v>
      </c>
      <c r="D17867" s="216" t="n">
        <v>1.165799975395203</v>
      </c>
      <c r="E17867" s="215" t="n">
        <v>46262</v>
      </c>
      <c r="F17867" s="215" t="n">
        <v>46262</v>
      </c>
    </row>
    <row r="17868">
      <c r="A17868" s="215" t="n">
        <v>46265</v>
      </c>
      <c r="B17868" s="216" t="n">
        <v>37.86</v>
      </c>
      <c r="C17868" s="216" t="n">
        <v>49.9</v>
      </c>
      <c r="D17868" s="216" t="n">
        <v>1.165387988090515</v>
      </c>
      <c r="E17868" s="215" t="n">
        <v>46265</v>
      </c>
      <c r="F17868" s="215" t="n">
        <v>46265</v>
      </c>
    </row>
    <row r="17869">
      <c r="A17869" s="215" t="n">
        <v>46266</v>
      </c>
      <c r="B17869" s="216" t="n">
        <v>37.58</v>
      </c>
      <c r="C17869" s="216" t="n">
        <v>49.22</v>
      </c>
      <c r="D17869" s="216" t="n">
        <v>1.165223956108093</v>
      </c>
      <c r="E17869" s="215" t="n">
        <v>46266</v>
      </c>
      <c r="F17869" s="215" t="n">
        <v>46266</v>
      </c>
    </row>
    <row r="17870">
      <c r="A17870" s="215" t="n">
        <v>46267</v>
      </c>
      <c r="B17870" s="216" t="n">
        <v>36.5</v>
      </c>
      <c r="C17870" s="216" t="n">
        <v>47.08</v>
      </c>
      <c r="D17870" s="216" t="n">
        <v>1.166425943374634</v>
      </c>
      <c r="E17870" s="215" t="n">
        <v>46267</v>
      </c>
      <c r="F17870" s="215" t="n">
        <v>46267</v>
      </c>
    </row>
    <row r="17871">
      <c r="A17871" s="215" t="n">
        <v>46268</v>
      </c>
      <c r="B17871" s="216" t="n">
        <v>36.2</v>
      </c>
      <c r="C17871" s="216" t="n">
        <v>46.92</v>
      </c>
      <c r="D17871" s="216" t="n">
        <v>1.167057037353516</v>
      </c>
      <c r="E17871" s="215" t="n">
        <v>46268</v>
      </c>
      <c r="F17871" s="215" t="n">
        <v>46268</v>
      </c>
    </row>
    <row r="17872">
      <c r="A17872" s="215" t="n">
        <v>46269</v>
      </c>
      <c r="B17872" s="216" t="n">
        <v>34.5</v>
      </c>
      <c r="C17872" s="216" t="n">
        <v>45.35</v>
      </c>
      <c r="D17872" s="216" t="n">
        <v>1.166767954826355</v>
      </c>
      <c r="E17872" s="215" t="n">
        <v>46269</v>
      </c>
      <c r="F17872" s="215" t="n">
        <v>46269</v>
      </c>
    </row>
    <row r="17873">
      <c r="A17873" s="215" t="n">
        <v>46272</v>
      </c>
      <c r="B17873" s="216" t="n">
        <v>34.56</v>
      </c>
      <c r="C17873" s="216" t="n">
        <v>45.26</v>
      </c>
      <c r="D17873" s="216" t="n">
        <v>1.168081045150757</v>
      </c>
      <c r="E17873" s="215" t="n">
        <v>46272</v>
      </c>
      <c r="F17873" s="215" t="n">
        <v>46272</v>
      </c>
    </row>
    <row r="17874">
      <c r="A17874" s="215" t="n">
        <v>46273</v>
      </c>
      <c r="B17874" s="216" t="n">
        <v>34.76</v>
      </c>
      <c r="C17874" s="216" t="n">
        <v>45.59</v>
      </c>
      <c r="D17874" s="216" t="n">
        <v>1.168115019798279</v>
      </c>
      <c r="E17874" s="215" t="n">
        <v>46273</v>
      </c>
      <c r="F17874" s="215" t="n">
        <v>46273</v>
      </c>
    </row>
    <row r="17875">
      <c r="A17875" s="215" t="n">
        <v>46274</v>
      </c>
      <c r="B17875" s="216" t="n">
        <v>34.92</v>
      </c>
      <c r="C17875" s="216" t="n">
        <v>45.56</v>
      </c>
      <c r="D17875" s="216" t="n">
        <v>1.168408989906311</v>
      </c>
      <c r="E17875" s="215" t="n">
        <v>46274</v>
      </c>
      <c r="F17875" s="215" t="n">
        <v>46274</v>
      </c>
    </row>
    <row r="17876">
      <c r="A17876" s="215" t="n">
        <v>46275</v>
      </c>
      <c r="B17876" s="216" t="n">
        <v>33.66</v>
      </c>
      <c r="C17876" s="216" t="n">
        <v>44.69</v>
      </c>
      <c r="D17876" s="216" t="n">
        <v>1.168462991714478</v>
      </c>
      <c r="E17876" s="215" t="n">
        <v>46275</v>
      </c>
      <c r="F17876" s="215" t="n">
        <v>46275</v>
      </c>
    </row>
    <row r="17877">
      <c r="A17877" s="215" t="n">
        <v>46276</v>
      </c>
      <c r="B17877" s="216" t="n">
        <v>31.82</v>
      </c>
      <c r="C17877" s="216" t="n">
        <v>43</v>
      </c>
      <c r="D17877" s="216" t="n">
        <v>1.169165015220642</v>
      </c>
      <c r="E17877" s="215" t="n">
        <v>46276</v>
      </c>
      <c r="F17877" s="215" t="n">
        <v>46276</v>
      </c>
    </row>
    <row r="17878">
      <c r="A17878" s="215" t="n">
        <v>46279</v>
      </c>
      <c r="B17878" s="216" t="n">
        <v>31.78</v>
      </c>
      <c r="C17878" s="216" t="n">
        <v>42.97</v>
      </c>
      <c r="D17878" s="216" t="n">
        <v>1.16893994808197</v>
      </c>
      <c r="E17878" s="215" t="n">
        <v>46279</v>
      </c>
      <c r="F17878" s="215" t="n">
        <v>46279</v>
      </c>
    </row>
    <row r="17879">
      <c r="A17879" s="215" t="n">
        <v>46280</v>
      </c>
      <c r="B17879" s="216" t="n">
        <v>30.14</v>
      </c>
      <c r="C17879" s="216" t="n">
        <v>42.1</v>
      </c>
      <c r="D17879" s="216" t="n">
        <v>1.169121026992798</v>
      </c>
      <c r="E17879" s="215" t="n">
        <v>46280</v>
      </c>
      <c r="F17879" s="215" t="n">
        <v>46280</v>
      </c>
    </row>
    <row r="17880">
      <c r="A17880" s="215" t="n">
        <v>46281</v>
      </c>
      <c r="B17880" s="216" t="n">
        <v>30.7</v>
      </c>
      <c r="C17880" s="216" t="n">
        <v>42.35</v>
      </c>
      <c r="D17880" s="216" t="n">
        <v>1.168769955635071</v>
      </c>
      <c r="E17880" s="215" t="n">
        <v>46281</v>
      </c>
      <c r="F17880" s="215" t="n">
        <v>46281</v>
      </c>
    </row>
    <row r="17881">
      <c r="A17881" s="215" t="n">
        <v>46282</v>
      </c>
      <c r="B17881" s="216" t="n">
        <v>30.7</v>
      </c>
      <c r="C17881" s="216" t="n">
        <v>42.74</v>
      </c>
      <c r="D17881" s="216" t="n">
        <v>1.169389963150024</v>
      </c>
      <c r="E17881" s="215" t="n">
        <v>46282</v>
      </c>
      <c r="F17881" s="215" t="n">
        <v>46282</v>
      </c>
    </row>
    <row r="17882">
      <c r="A17882" s="215" t="n">
        <v>46283</v>
      </c>
      <c r="B17882" s="216" t="n">
        <v>31.22</v>
      </c>
      <c r="C17882" s="216" t="n">
        <v>42.76</v>
      </c>
      <c r="D17882" s="216" t="n">
        <v>1.16942298412323</v>
      </c>
      <c r="E17882" s="215" t="n">
        <v>46283</v>
      </c>
      <c r="F17882" s="215" t="n">
        <v>46283</v>
      </c>
    </row>
    <row r="17883">
      <c r="A17883" s="215" t="n">
        <v>46286</v>
      </c>
      <c r="B17883" s="216" t="n">
        <v>31.7</v>
      </c>
      <c r="C17883" s="216" t="n">
        <v>43.26</v>
      </c>
      <c r="D17883" s="216" t="n">
        <v>1.171280026435852</v>
      </c>
      <c r="E17883" s="215" t="n">
        <v>46286</v>
      </c>
      <c r="F17883" s="215" t="n">
        <v>46286</v>
      </c>
    </row>
    <row r="17884">
      <c r="A17884" s="215" t="n">
        <v>46287</v>
      </c>
      <c r="B17884" s="216" t="n">
        <v>30.86</v>
      </c>
      <c r="C17884" s="216" t="n">
        <v>43.12</v>
      </c>
      <c r="D17884" s="216" t="n">
        <v>1.171705007553101</v>
      </c>
      <c r="E17884" s="215" t="n">
        <v>46287</v>
      </c>
      <c r="F17884" s="215" t="n">
        <v>46287</v>
      </c>
    </row>
    <row r="17885">
      <c r="A17885" s="215" t="n">
        <v>46288</v>
      </c>
      <c r="B17885" s="216" t="n">
        <v>30.6</v>
      </c>
      <c r="C17885" s="216" t="n">
        <v>42.42</v>
      </c>
      <c r="D17885" s="216" t="n">
        <v>1.170611023902893</v>
      </c>
      <c r="E17885" s="215" t="n">
        <v>46288</v>
      </c>
      <c r="F17885" s="215" t="n">
        <v>46288</v>
      </c>
    </row>
    <row r="17886">
      <c r="A17886" s="215" t="n">
        <v>46289</v>
      </c>
      <c r="B17886" s="216" t="n">
        <v>29.2</v>
      </c>
      <c r="C17886" s="216" t="n">
        <v>40.9</v>
      </c>
      <c r="D17886" s="216" t="n">
        <v>1.16852605342865</v>
      </c>
      <c r="E17886" s="215" t="n">
        <v>46289</v>
      </c>
      <c r="F17886" s="215" t="n">
        <v>46289</v>
      </c>
    </row>
    <row r="17887">
      <c r="A17887" s="215" t="n">
        <v>46290</v>
      </c>
      <c r="B17887" s="216" t="n">
        <v>28.78</v>
      </c>
      <c r="C17887" s="216" t="n">
        <v>40.9</v>
      </c>
      <c r="D17887" s="216" t="n">
        <v>1.168424010276794</v>
      </c>
      <c r="E17887" s="215" t="n">
        <v>46289</v>
      </c>
      <c r="F17887" s="215" t="n">
        <v>46290</v>
      </c>
    </row>
    <row r="17888">
      <c r="A17888" s="215" t="n">
        <v>46293</v>
      </c>
      <c r="B17888" s="216" t="n">
        <v>28.5</v>
      </c>
      <c r="C17888" s="216" t="n">
        <v>39.41</v>
      </c>
      <c r="D17888" s="216" t="n">
        <v>1.168378949165344</v>
      </c>
      <c r="E17888" s="215" t="n">
        <v>46293</v>
      </c>
      <c r="F17888" s="215" t="n">
        <v>46293</v>
      </c>
    </row>
    <row r="17889">
      <c r="A17889" s="215" t="n">
        <v>46294</v>
      </c>
      <c r="B17889" s="216" t="n">
        <v>28.58</v>
      </c>
      <c r="C17889" s="216" t="n">
        <v>40.55</v>
      </c>
      <c r="D17889" s="216" t="n">
        <v>1.168815970420837</v>
      </c>
      <c r="E17889" s="215" t="n">
        <v>46294</v>
      </c>
      <c r="F17889" s="215" t="n">
        <v>46294</v>
      </c>
    </row>
    <row r="17890">
      <c r="A17890" s="215" t="n">
        <v>46295</v>
      </c>
      <c r="B17890" s="216" t="n">
        <v>28.68</v>
      </c>
      <c r="C17890" s="216" t="n">
        <v>40.25</v>
      </c>
      <c r="D17890" s="216" t="n">
        <v>1.17059600353241</v>
      </c>
      <c r="E17890" s="215" t="n">
        <v>46295</v>
      </c>
      <c r="F17890" s="215" t="n">
        <v>46295</v>
      </c>
    </row>
    <row r="17891">
      <c r="A17891" s="215" t="n">
        <v>46297</v>
      </c>
      <c r="B17891" s="216" t="n">
        <v>28.2</v>
      </c>
      <c r="C17891" s="216" t="n">
        <v>40.25</v>
      </c>
      <c r="D17891" s="216" t="n">
        <v>1.170220971107483</v>
      </c>
      <c r="E17891" s="215" t="n">
        <v>46295</v>
      </c>
      <c r="F17891" s="215" t="n">
        <v>46297</v>
      </c>
    </row>
    <row r="17892">
      <c r="A17892" s="215" t="n">
        <v>46066</v>
      </c>
      <c r="B17892" s="216" t="n">
        <v>20.68</v>
      </c>
      <c r="C17892" s="216" t="n">
        <v>27.36</v>
      </c>
      <c r="D17892" s="216" t="n">
        <v>1.132490992546082</v>
      </c>
      <c r="E17892" s="215" t="n">
        <v>46066</v>
      </c>
      <c r="F17892" s="215" t="n">
        <v>46066</v>
      </c>
    </row>
    <row r="17893">
      <c r="A17893" s="215" t="n">
        <v>46069</v>
      </c>
      <c r="B17893" s="216" t="n">
        <v>20.8</v>
      </c>
      <c r="C17893" s="216" t="n">
        <v>27.36</v>
      </c>
      <c r="D17893" s="216" t="n">
        <v>1.131224036216736</v>
      </c>
      <c r="E17893" s="215" t="n">
        <v>46066</v>
      </c>
      <c r="F17893" s="215" t="n">
        <v>46069</v>
      </c>
    </row>
    <row r="17894">
      <c r="A17894" s="215" t="n">
        <v>46073</v>
      </c>
      <c r="B17894" s="216" t="n">
        <v>20.4</v>
      </c>
      <c r="C17894" s="216" t="n">
        <v>27.36</v>
      </c>
      <c r="D17894" s="216" t="n">
        <v>1.131005048751831</v>
      </c>
      <c r="E17894" s="215" t="n">
        <v>46066</v>
      </c>
      <c r="F17894" s="215" t="n">
        <v>46073</v>
      </c>
    </row>
    <row r="17895">
      <c r="A17895" s="215" t="n">
        <v>46076</v>
      </c>
      <c r="B17895" s="216" t="n">
        <v>22.14</v>
      </c>
      <c r="C17895" s="216" t="n">
        <v>27.36</v>
      </c>
      <c r="D17895" s="216" t="n">
        <v>1.130877017974854</v>
      </c>
      <c r="E17895" s="215" t="n">
        <v>46066</v>
      </c>
      <c r="F17895" s="215" t="n">
        <v>46076</v>
      </c>
    </row>
    <row r="17896">
      <c r="A17896" s="215" t="n">
        <v>46077</v>
      </c>
      <c r="B17896" s="216" t="n">
        <v>21</v>
      </c>
      <c r="C17896" s="216" t="n">
        <v>27.45</v>
      </c>
      <c r="D17896" s="216" t="n">
        <v>1.131631016731262</v>
      </c>
      <c r="E17896" s="215" t="n">
        <v>46077</v>
      </c>
      <c r="F17896" s="215" t="n">
        <v>46077</v>
      </c>
    </row>
    <row r="17897">
      <c r="A17897" s="215" t="n">
        <v>46078</v>
      </c>
      <c r="B17897" s="216" t="n">
        <v>20.7</v>
      </c>
      <c r="C17897" s="216" t="n">
        <v>27.9</v>
      </c>
      <c r="D17897" s="216" t="n">
        <v>1.136234045028687</v>
      </c>
      <c r="E17897" s="215" t="n">
        <v>46078</v>
      </c>
      <c r="F17897" s="215" t="n">
        <v>46078</v>
      </c>
    </row>
    <row r="17898">
      <c r="A17898" s="215" t="n">
        <v>46079</v>
      </c>
      <c r="B17898" s="216" t="n">
        <v>21.2</v>
      </c>
      <c r="C17898" s="216" t="n">
        <v>28.73</v>
      </c>
      <c r="D17898" s="216" t="n">
        <v>1.138198971748352</v>
      </c>
      <c r="E17898" s="215" t="n">
        <v>46079</v>
      </c>
      <c r="F17898" s="215" t="n">
        <v>46079</v>
      </c>
    </row>
    <row r="17899">
      <c r="A17899" s="215" t="n">
        <v>46080</v>
      </c>
      <c r="B17899" s="216" t="n">
        <v>22</v>
      </c>
      <c r="C17899" s="216" t="n">
        <v>28.53</v>
      </c>
      <c r="D17899" s="216" t="n">
        <v>1.143396973609924</v>
      </c>
      <c r="E17899" s="215" t="n">
        <v>46080</v>
      </c>
      <c r="F17899" s="215" t="n">
        <v>46080</v>
      </c>
    </row>
    <row r="17900">
      <c r="A17900" s="215" t="n">
        <v>46083</v>
      </c>
      <c r="B17900" s="216" t="n">
        <v>21.04</v>
      </c>
      <c r="C17900" s="216" t="n">
        <v>27.82</v>
      </c>
      <c r="D17900" s="216" t="n">
        <v>1.140552043914795</v>
      </c>
      <c r="E17900" s="215" t="n">
        <v>46083</v>
      </c>
      <c r="F17900" s="215" t="n">
        <v>46083</v>
      </c>
    </row>
    <row r="17901">
      <c r="A17901" s="215" t="n">
        <v>46084</v>
      </c>
      <c r="B17901" s="216" t="n">
        <v>19.1</v>
      </c>
      <c r="C17901" s="216" t="n">
        <v>25.56</v>
      </c>
      <c r="D17901" s="216" t="n">
        <v>1.136399984359741</v>
      </c>
      <c r="E17901" s="215" t="n">
        <v>46084</v>
      </c>
      <c r="F17901" s="215" t="n">
        <v>46084</v>
      </c>
    </row>
    <row r="17902">
      <c r="A17902" s="215" t="n">
        <v>46085</v>
      </c>
      <c r="B17902" s="216" t="n">
        <v>18.86</v>
      </c>
      <c r="C17902" s="216" t="n">
        <v>25.64</v>
      </c>
      <c r="D17902" s="216" t="n">
        <v>1.130928993225098</v>
      </c>
      <c r="E17902" s="215" t="n">
        <v>46085</v>
      </c>
      <c r="F17902" s="215" t="n">
        <v>46085</v>
      </c>
    </row>
    <row r="17903">
      <c r="A17903" s="215" t="n">
        <v>46086</v>
      </c>
      <c r="B17903" s="216" t="n">
        <v>19.57</v>
      </c>
      <c r="C17903" s="216" t="n">
        <v>26.69</v>
      </c>
      <c r="D17903" s="216" t="n">
        <v>1.133169054985046</v>
      </c>
      <c r="E17903" s="215" t="n">
        <v>46086</v>
      </c>
      <c r="F17903" s="215" t="n">
        <v>46086</v>
      </c>
    </row>
    <row r="17904">
      <c r="A17904" s="215" t="n">
        <v>46087</v>
      </c>
      <c r="B17904" s="216" t="n">
        <v>18.83</v>
      </c>
      <c r="C17904" s="216" t="n">
        <v>26.25</v>
      </c>
      <c r="D17904" s="216" t="n">
        <v>1.133442044258118</v>
      </c>
      <c r="E17904" s="215" t="n">
        <v>46087</v>
      </c>
      <c r="F17904" s="215" t="n">
        <v>46087</v>
      </c>
    </row>
    <row r="17905">
      <c r="A17905" s="215" t="n">
        <v>46090</v>
      </c>
      <c r="B17905" s="216" t="n">
        <v>18.01</v>
      </c>
      <c r="C17905" s="216" t="n">
        <v>25.49</v>
      </c>
      <c r="D17905" s="216" t="n">
        <v>1.133231043815613</v>
      </c>
      <c r="E17905" s="215" t="n">
        <v>46090</v>
      </c>
      <c r="F17905" s="215" t="n">
        <v>46090</v>
      </c>
    </row>
    <row r="17906">
      <c r="A17906" s="215" t="n">
        <v>46091</v>
      </c>
      <c r="B17906" s="216" t="n">
        <v>19.2</v>
      </c>
      <c r="C17906" s="216" t="n">
        <v>26.38</v>
      </c>
      <c r="D17906" s="216" t="n">
        <v>1.131595015525818</v>
      </c>
      <c r="E17906" s="215" t="n">
        <v>46091</v>
      </c>
      <c r="F17906" s="215" t="n">
        <v>46091</v>
      </c>
    </row>
    <row r="17907">
      <c r="A17907" s="215" t="n">
        <v>46092</v>
      </c>
      <c r="B17907" s="216" t="n">
        <v>18.96</v>
      </c>
      <c r="C17907" s="216" t="n">
        <v>26.28</v>
      </c>
      <c r="D17907" s="216" t="n">
        <v>1.137585043907166</v>
      </c>
      <c r="E17907" s="215" t="n">
        <v>46092</v>
      </c>
      <c r="F17907" s="215" t="n">
        <v>46092</v>
      </c>
    </row>
    <row r="17908">
      <c r="A17908" s="215" t="n">
        <v>46093</v>
      </c>
      <c r="B17908" s="216" t="n">
        <v>18.54</v>
      </c>
      <c r="C17908" s="216" t="n">
        <v>25.78</v>
      </c>
      <c r="D17908" s="216" t="n">
        <v>1.139600038528442</v>
      </c>
      <c r="E17908" s="215" t="n">
        <v>46093</v>
      </c>
      <c r="F17908" s="215" t="n">
        <v>46093</v>
      </c>
    </row>
    <row r="17909">
      <c r="A17909" s="215" t="n">
        <v>46094</v>
      </c>
      <c r="B17909" s="216" t="n">
        <v>18.25</v>
      </c>
      <c r="C17909" s="216" t="n">
        <v>25.58</v>
      </c>
      <c r="D17909" s="216" t="n">
        <v>1.139310002326965</v>
      </c>
      <c r="E17909" s="215" t="n">
        <v>46094</v>
      </c>
      <c r="F17909" s="215" t="n">
        <v>46094</v>
      </c>
    </row>
    <row r="17910">
      <c r="A17910" s="215" t="n">
        <v>46097</v>
      </c>
      <c r="B17910" s="216" t="n">
        <v>20.02</v>
      </c>
      <c r="C17910" s="216" t="n">
        <v>26.64</v>
      </c>
      <c r="D17910" s="216" t="n">
        <v>1.134883999824524</v>
      </c>
      <c r="E17910" s="215" t="n">
        <v>46097</v>
      </c>
      <c r="F17910" s="215" t="n">
        <v>46097</v>
      </c>
    </row>
    <row r="17911">
      <c r="A17911" s="215" t="n">
        <v>46098</v>
      </c>
      <c r="B17911" s="216" t="n">
        <v>20.6</v>
      </c>
      <c r="C17911" s="216" t="n">
        <v>27.51</v>
      </c>
      <c r="D17911" s="216" t="n">
        <v>1.125375986099243</v>
      </c>
      <c r="E17911" s="215" t="n">
        <v>46098</v>
      </c>
      <c r="F17911" s="215" t="n">
        <v>46098</v>
      </c>
    </row>
    <row r="17912">
      <c r="A17912" s="215" t="n">
        <v>46099</v>
      </c>
      <c r="B17912" s="216" t="n">
        <v>21.3</v>
      </c>
      <c r="C17912" s="216" t="n">
        <v>26.5</v>
      </c>
      <c r="D17912" s="216" t="n">
        <v>1.137819051742554</v>
      </c>
      <c r="E17912" s="215" t="n">
        <v>46099</v>
      </c>
      <c r="F17912" s="215" t="n">
        <v>46099</v>
      </c>
    </row>
    <row r="17913">
      <c r="A17913" s="215" t="n">
        <v>46100</v>
      </c>
      <c r="B17913" s="216" t="n">
        <v>20.3</v>
      </c>
      <c r="C17913" s="216" t="n">
        <v>25.2</v>
      </c>
      <c r="D17913" s="216" t="n">
        <v>1.140079021453857</v>
      </c>
      <c r="E17913" s="215" t="n">
        <v>46100</v>
      </c>
      <c r="F17913" s="215" t="n">
        <v>46100</v>
      </c>
    </row>
    <row r="17914">
      <c r="A17914" s="215" t="n">
        <v>46101</v>
      </c>
      <c r="B17914" s="216" t="n">
        <v>19.15</v>
      </c>
      <c r="C17914" s="216" t="n">
        <v>24.61</v>
      </c>
      <c r="D17914" s="216" t="n">
        <v>1.13490903377533</v>
      </c>
      <c r="E17914" s="215" t="n">
        <v>46101</v>
      </c>
      <c r="F17914" s="215" t="n">
        <v>46101</v>
      </c>
    </row>
    <row r="17915">
      <c r="A17915" s="215" t="n">
        <v>46104</v>
      </c>
      <c r="B17915" s="216" t="n">
        <v>18.89</v>
      </c>
      <c r="C17915" s="216" t="n">
        <v>23.13</v>
      </c>
      <c r="D17915" s="216" t="n">
        <v>1.137529969215393</v>
      </c>
      <c r="E17915" s="215" t="n">
        <v>46104</v>
      </c>
      <c r="F17915" s="215" t="n">
        <v>46104</v>
      </c>
    </row>
    <row r="17916">
      <c r="A17916" s="215" t="n">
        <v>46105</v>
      </c>
      <c r="B17916" s="216" t="n">
        <v>19.64</v>
      </c>
      <c r="C17916" s="216" t="n">
        <v>23.7</v>
      </c>
      <c r="D17916" s="216" t="n">
        <v>1.138481974601746</v>
      </c>
      <c r="E17916" s="215" t="n">
        <v>46105</v>
      </c>
      <c r="F17916" s="215" t="n">
        <v>46105</v>
      </c>
    </row>
    <row r="17917">
      <c r="A17917" s="215" t="n">
        <v>46106</v>
      </c>
      <c r="B17917" s="216" t="n">
        <v>20.32</v>
      </c>
      <c r="C17917" s="216" t="n">
        <v>24.62</v>
      </c>
      <c r="D17917" s="216" t="n">
        <v>1.135548949241638</v>
      </c>
      <c r="E17917" s="215" t="n">
        <v>46106</v>
      </c>
      <c r="F17917" s="215" t="n">
        <v>46106</v>
      </c>
    </row>
    <row r="17918">
      <c r="A17918" s="215" t="n">
        <v>46107</v>
      </c>
      <c r="B17918" s="216" t="n">
        <v>19.03</v>
      </c>
      <c r="C17918" s="216" t="n">
        <v>23.69</v>
      </c>
      <c r="D17918" s="216" t="n">
        <v>1.132627010345459</v>
      </c>
      <c r="E17918" s="215" t="n">
        <v>46107</v>
      </c>
      <c r="F17918" s="215" t="n">
        <v>46107</v>
      </c>
    </row>
    <row r="17919">
      <c r="A17919" s="215" t="n">
        <v>46108</v>
      </c>
      <c r="B17919" s="216" t="n">
        <v>18.93</v>
      </c>
      <c r="C17919" s="216" t="n">
        <v>23.8</v>
      </c>
      <c r="D17919" s="216" t="n">
        <v>1.132115960121155</v>
      </c>
      <c r="E17919" s="215" t="n">
        <v>46108</v>
      </c>
      <c r="F17919" s="215" t="n">
        <v>46108</v>
      </c>
    </row>
    <row r="17920">
      <c r="A17920" s="215" t="n">
        <v>46111</v>
      </c>
      <c r="B17920" s="216" t="n">
        <v>18.36</v>
      </c>
      <c r="C17920" s="216" t="n">
        <v>23.71</v>
      </c>
      <c r="D17920" s="216" t="n">
        <v>1.13311505317688</v>
      </c>
      <c r="E17920" s="215" t="n">
        <v>46111</v>
      </c>
      <c r="F17920" s="215" t="n">
        <v>46111</v>
      </c>
    </row>
    <row r="17921">
      <c r="A17921" s="215" t="n">
        <v>46112</v>
      </c>
      <c r="B17921" s="216" t="n">
        <v>18</v>
      </c>
      <c r="C17921" s="216" t="n">
        <v>23.47</v>
      </c>
      <c r="D17921" s="216" t="n">
        <v>1.133540987968445</v>
      </c>
      <c r="E17921" s="215" t="n">
        <v>46112</v>
      </c>
      <c r="F17921" s="215" t="n">
        <v>46112</v>
      </c>
    </row>
    <row r="17922">
      <c r="A17922" s="215" t="n">
        <v>46113</v>
      </c>
      <c r="B17922" s="216" t="n">
        <v>18.7</v>
      </c>
      <c r="C17922" s="216" t="n">
        <v>23.85</v>
      </c>
      <c r="D17922" s="216" t="n">
        <v>1.136669993400574</v>
      </c>
      <c r="E17922" s="215" t="n">
        <v>46113</v>
      </c>
      <c r="F17922" s="215" t="n">
        <v>46113</v>
      </c>
    </row>
    <row r="17923">
      <c r="A17923" s="215" t="n">
        <v>46114</v>
      </c>
      <c r="B17923" s="216" t="n">
        <v>18.37</v>
      </c>
      <c r="C17923" s="216" t="n">
        <v>23.18</v>
      </c>
      <c r="D17923" s="216" t="n">
        <v>1.140197992324829</v>
      </c>
      <c r="E17923" s="215" t="n">
        <v>46114</v>
      </c>
      <c r="F17923" s="215" t="n">
        <v>46114</v>
      </c>
    </row>
    <row r="17924">
      <c r="A17924" s="215" t="n">
        <v>46120</v>
      </c>
      <c r="B17924" s="216" t="n">
        <v>19.9</v>
      </c>
      <c r="C17924" s="216" t="n">
        <v>24.43</v>
      </c>
      <c r="D17924" s="216" t="n">
        <v>1.1423499584198</v>
      </c>
      <c r="E17924" s="215" t="n">
        <v>46120</v>
      </c>
      <c r="F17924" s="215" t="n">
        <v>46120</v>
      </c>
    </row>
    <row r="17925">
      <c r="A17925" s="215" t="n">
        <v>46121</v>
      </c>
      <c r="B17925" s="216" t="n">
        <v>18.97</v>
      </c>
      <c r="C17925" s="216" t="n">
        <v>24.3</v>
      </c>
      <c r="D17925" s="216" t="n">
        <v>1.146731972694397</v>
      </c>
      <c r="E17925" s="215" t="n">
        <v>46121</v>
      </c>
      <c r="F17925" s="215" t="n">
        <v>46121</v>
      </c>
    </row>
    <row r="17926">
      <c r="A17926" s="215" t="n">
        <v>46122</v>
      </c>
      <c r="B17926" s="216" t="n">
        <v>19.25</v>
      </c>
      <c r="C17926" s="216" t="n">
        <v>24.63</v>
      </c>
      <c r="D17926" s="216" t="n">
        <v>1.146558046340942</v>
      </c>
      <c r="E17926" s="215" t="n">
        <v>46122</v>
      </c>
      <c r="F17926" s="215" t="n">
        <v>46122</v>
      </c>
    </row>
    <row r="17927">
      <c r="A17927" s="215" t="n">
        <v>46125</v>
      </c>
      <c r="B17927" s="216" t="n">
        <v>19.3</v>
      </c>
      <c r="C17927" s="216" t="n">
        <v>25.13</v>
      </c>
      <c r="D17927" s="216" t="n">
        <v>1.147117972373962</v>
      </c>
      <c r="E17927" s="215" t="n">
        <v>46125</v>
      </c>
      <c r="F17927" s="215" t="n">
        <v>46125</v>
      </c>
    </row>
    <row r="17928">
      <c r="A17928" s="215" t="n">
        <v>46126</v>
      </c>
      <c r="B17928" s="216" t="n">
        <v>19.77</v>
      </c>
      <c r="C17928" s="216" t="n">
        <v>25.64</v>
      </c>
      <c r="D17928" s="216" t="n">
        <v>1.146226048469543</v>
      </c>
      <c r="E17928" s="215" t="n">
        <v>46126</v>
      </c>
      <c r="F17928" s="215" t="n">
        <v>46126</v>
      </c>
    </row>
    <row r="17929">
      <c r="A17929" s="215" t="n">
        <v>46127</v>
      </c>
      <c r="B17929" s="216" t="n">
        <v>19.26</v>
      </c>
      <c r="C17929" s="216" t="n">
        <v>25.2</v>
      </c>
      <c r="D17929" s="216" t="n">
        <v>1.149266004562378</v>
      </c>
      <c r="E17929" s="215" t="n">
        <v>46127</v>
      </c>
      <c r="F17929" s="215" t="n">
        <v>46127</v>
      </c>
    </row>
    <row r="17930">
      <c r="A17930" s="215" t="n">
        <v>46128</v>
      </c>
      <c r="B17930" s="216" t="n">
        <v>19.72</v>
      </c>
      <c r="C17930" s="216" t="n">
        <v>25.57</v>
      </c>
      <c r="D17930" s="216" t="n">
        <v>1.148550033569336</v>
      </c>
      <c r="E17930" s="215" t="n">
        <v>46128</v>
      </c>
      <c r="F17930" s="215" t="n">
        <v>46128</v>
      </c>
    </row>
    <row r="17931">
      <c r="A17931" s="215" t="n">
        <v>46129</v>
      </c>
      <c r="B17931" s="216" t="n">
        <v>20.02</v>
      </c>
      <c r="C17931" s="216" t="n">
        <v>25.62</v>
      </c>
      <c r="D17931" s="216" t="n">
        <v>1.146605014801025</v>
      </c>
      <c r="E17931" s="215" t="n">
        <v>46129</v>
      </c>
      <c r="F17931" s="215" t="n">
        <v>46129</v>
      </c>
    </row>
    <row r="17932">
      <c r="A17932" s="215" t="n">
        <v>46132</v>
      </c>
      <c r="B17932" s="216" t="n">
        <v>21.44</v>
      </c>
      <c r="C17932" s="216" t="n">
        <v>26.2</v>
      </c>
      <c r="D17932" s="216" t="n">
        <v>1.148360967636108</v>
      </c>
      <c r="E17932" s="215" t="n">
        <v>46132</v>
      </c>
      <c r="F17932" s="215" t="n">
        <v>46132</v>
      </c>
    </row>
    <row r="17933">
      <c r="A17933" s="215" t="n">
        <v>46133</v>
      </c>
      <c r="B17933" s="216" t="n">
        <v>20.72</v>
      </c>
      <c r="C17933" s="216" t="n">
        <v>26</v>
      </c>
      <c r="D17933" s="216" t="n">
        <v>1.148368000984192</v>
      </c>
      <c r="E17933" s="215" t="n">
        <v>46133</v>
      </c>
      <c r="F17933" s="215" t="n">
        <v>46133</v>
      </c>
    </row>
    <row r="17934">
      <c r="A17934" s="215" t="n">
        <v>46134</v>
      </c>
      <c r="B17934" s="216" t="n">
        <v>20.8</v>
      </c>
      <c r="C17934" s="216" t="n">
        <v>26.27</v>
      </c>
      <c r="D17934" s="216" t="n">
        <v>1.147838950157166</v>
      </c>
      <c r="E17934" s="215" t="n">
        <v>46134</v>
      </c>
      <c r="F17934" s="215" t="n">
        <v>46134</v>
      </c>
    </row>
    <row r="17935">
      <c r="A17935" s="215" t="n">
        <v>46135</v>
      </c>
      <c r="B17935" s="216" t="n">
        <v>20.58</v>
      </c>
      <c r="C17935" s="216" t="n">
        <v>26.06</v>
      </c>
      <c r="D17935" s="216" t="n">
        <v>1.147513031959534</v>
      </c>
      <c r="E17935" s="215" t="n">
        <v>46135</v>
      </c>
      <c r="F17935" s="215" t="n">
        <v>46135</v>
      </c>
    </row>
    <row r="17936">
      <c r="A17936" s="215" t="n">
        <v>46136</v>
      </c>
      <c r="B17936" s="216" t="n">
        <v>17.66</v>
      </c>
      <c r="C17936" s="216" t="n">
        <v>23.62</v>
      </c>
      <c r="D17936" s="216" t="n">
        <v>1.147369027137756</v>
      </c>
      <c r="E17936" s="215" t="n">
        <v>46136</v>
      </c>
      <c r="F17936" s="215" t="n">
        <v>46136</v>
      </c>
    </row>
    <row r="17937">
      <c r="A17937" s="215" t="n">
        <v>46139</v>
      </c>
      <c r="B17937" s="216" t="n">
        <v>17.5</v>
      </c>
      <c r="C17937" s="216" t="n">
        <v>23.7</v>
      </c>
      <c r="D17937" s="216" t="n">
        <v>1.146002054214478</v>
      </c>
      <c r="E17937" s="215" t="n">
        <v>46139</v>
      </c>
      <c r="F17937" s="215" t="n">
        <v>46139</v>
      </c>
    </row>
    <row r="17938">
      <c r="A17938" s="215" t="n">
        <v>46140</v>
      </c>
      <c r="B17938" s="216" t="n">
        <v>16.47</v>
      </c>
      <c r="C17938" s="216" t="n">
        <v>22.86</v>
      </c>
      <c r="D17938" s="216" t="n">
        <v>1.148522019386292</v>
      </c>
      <c r="E17938" s="215" t="n">
        <v>46140</v>
      </c>
      <c r="F17938" s="215" t="n">
        <v>46140</v>
      </c>
    </row>
    <row r="17939">
      <c r="A17939" s="215" t="n">
        <v>46141</v>
      </c>
      <c r="B17939" s="216" t="n">
        <v>16.72</v>
      </c>
      <c r="C17939" s="216" t="n">
        <v>22.9</v>
      </c>
      <c r="D17939" s="216" t="n">
        <v>1.145936012268066</v>
      </c>
      <c r="E17939" s="215" t="n">
        <v>46141</v>
      </c>
      <c r="F17939" s="215" t="n">
        <v>46141</v>
      </c>
    </row>
    <row r="17940">
      <c r="A17940" s="215" t="n">
        <v>46142</v>
      </c>
      <c r="B17940" s="216" t="n">
        <v>16.52</v>
      </c>
      <c r="C17940" s="216" t="n">
        <v>22.74</v>
      </c>
      <c r="D17940" s="216" t="n">
        <v>1.145792007446289</v>
      </c>
      <c r="E17940" s="215" t="n">
        <v>46142</v>
      </c>
      <c r="F17940" s="215" t="n">
        <v>46142</v>
      </c>
    </row>
    <row r="17941">
      <c r="A17941" s="215" t="n">
        <v>46146</v>
      </c>
      <c r="B17941" s="216" t="n">
        <v>16.08</v>
      </c>
      <c r="C17941" s="216" t="n">
        <v>22.74</v>
      </c>
      <c r="D17941" s="216" t="n">
        <v>1.147340059280396</v>
      </c>
      <c r="E17941" s="215" t="n">
        <v>46142</v>
      </c>
      <c r="F17941" s="215" t="n">
        <v>46146</v>
      </c>
    </row>
    <row r="17942">
      <c r="A17942" s="215" t="n">
        <v>46147</v>
      </c>
      <c r="B17942" s="216" t="n">
        <v>15.84</v>
      </c>
      <c r="C17942" s="216" t="n">
        <v>22.74</v>
      </c>
      <c r="D17942" s="216" t="n">
        <v>1.146813988685608</v>
      </c>
      <c r="E17942" s="215" t="n">
        <v>46142</v>
      </c>
      <c r="F17942" s="215" t="n">
        <v>46147</v>
      </c>
    </row>
    <row r="17943">
      <c r="A17943" s="215" t="n">
        <v>46148</v>
      </c>
      <c r="B17943" s="216" t="n">
        <v>15.99</v>
      </c>
      <c r="C17943" s="216" t="n">
        <v>23.37</v>
      </c>
      <c r="D17943" s="216" t="n">
        <v>1.14708399772644</v>
      </c>
      <c r="E17943" s="215" t="n">
        <v>46148</v>
      </c>
      <c r="F17943" s="215" t="n">
        <v>46148</v>
      </c>
    </row>
    <row r="17944">
      <c r="A17944" s="215" t="n">
        <v>46149</v>
      </c>
      <c r="B17944" s="216" t="n">
        <v>16.26</v>
      </c>
      <c r="C17944" s="216" t="n">
        <v>23.78</v>
      </c>
      <c r="D17944" s="216" t="n">
        <v>1.150125026702881</v>
      </c>
      <c r="E17944" s="215" t="n">
        <v>46149</v>
      </c>
      <c r="F17944" s="215" t="n">
        <v>46149</v>
      </c>
    </row>
    <row r="17945">
      <c r="A17945" s="215" t="n">
        <v>46150</v>
      </c>
      <c r="B17945" s="216" t="n">
        <v>16.51</v>
      </c>
      <c r="C17945" s="216" t="n">
        <v>23.58</v>
      </c>
      <c r="D17945" s="216" t="n">
        <v>1.15172004699707</v>
      </c>
      <c r="E17945" s="215" t="n">
        <v>46150</v>
      </c>
      <c r="F17945" s="215" t="n">
        <v>46150</v>
      </c>
    </row>
    <row r="17946">
      <c r="A17946" s="215" t="n">
        <v>46153</v>
      </c>
      <c r="B17946" s="216" t="n">
        <v>16.34</v>
      </c>
      <c r="C17946" s="216" t="n">
        <v>23.5</v>
      </c>
      <c r="D17946" s="216" t="n">
        <v>1.151090025901794</v>
      </c>
      <c r="E17946" s="215" t="n">
        <v>46153</v>
      </c>
      <c r="F17946" s="215" t="n">
        <v>46153</v>
      </c>
    </row>
    <row r="17947">
      <c r="A17947" s="215" t="n">
        <v>46154</v>
      </c>
      <c r="B17947" s="216" t="n">
        <v>16.24</v>
      </c>
      <c r="C17947" s="216" t="n">
        <v>23.85</v>
      </c>
      <c r="D17947" s="216" t="n">
        <v>1.152078986167908</v>
      </c>
      <c r="E17947" s="215" t="n">
        <v>46154</v>
      </c>
      <c r="F17947" s="215" t="n">
        <v>46154</v>
      </c>
    </row>
    <row r="17948">
      <c r="A17948" s="215" t="n">
        <v>46155</v>
      </c>
      <c r="B17948" s="216" t="n">
        <v>16.07</v>
      </c>
      <c r="C17948" s="216" t="n">
        <v>23.8</v>
      </c>
      <c r="D17948" s="216" t="n">
        <v>1.152537941932678</v>
      </c>
      <c r="E17948" s="215" t="n">
        <v>46155</v>
      </c>
      <c r="F17948" s="215" t="n">
        <v>46155</v>
      </c>
    </row>
    <row r="17949">
      <c r="A17949" s="215" t="n">
        <v>46156</v>
      </c>
      <c r="B17949" s="216" t="n">
        <v>15.36</v>
      </c>
      <c r="C17949" s="216" t="n">
        <v>22.84</v>
      </c>
      <c r="D17949" s="216" t="n">
        <v>1.152662992477417</v>
      </c>
      <c r="E17949" s="215" t="n">
        <v>46156</v>
      </c>
      <c r="F17949" s="215" t="n">
        <v>46156</v>
      </c>
    </row>
    <row r="17950">
      <c r="A17950" s="215" t="n">
        <v>46157</v>
      </c>
      <c r="B17950" s="216" t="n">
        <v>15.09</v>
      </c>
      <c r="C17950" s="216" t="n">
        <v>22.49</v>
      </c>
      <c r="D17950" s="216" t="n">
        <v>1.154320001602173</v>
      </c>
      <c r="E17950" s="215" t="n">
        <v>46157</v>
      </c>
      <c r="F17950" s="215" t="n">
        <v>46157</v>
      </c>
    </row>
    <row r="17951">
      <c r="A17951" s="215" t="n">
        <v>46160</v>
      </c>
      <c r="B17951" s="216" t="n">
        <v>14.68</v>
      </c>
      <c r="C17951" s="216" t="n">
        <v>21.73</v>
      </c>
      <c r="D17951" s="216" t="n">
        <v>1.149821996688843</v>
      </c>
      <c r="E17951" s="215" t="n">
        <v>46160</v>
      </c>
      <c r="F17951" s="215" t="n">
        <v>46160</v>
      </c>
    </row>
    <row r="17952">
      <c r="A17952" s="215" t="n">
        <v>46161</v>
      </c>
      <c r="B17952" s="216" t="n">
        <v>14.71</v>
      </c>
      <c r="C17952" s="216" t="n">
        <v>21.89</v>
      </c>
      <c r="D17952" s="216" t="n">
        <v>1.151532053947449</v>
      </c>
      <c r="E17952" s="215" t="n">
        <v>46161</v>
      </c>
      <c r="F17952" s="215" t="n">
        <v>46161</v>
      </c>
    </row>
    <row r="17953">
      <c r="A17953" s="215" t="n">
        <v>46162</v>
      </c>
      <c r="B17953" s="216" t="n">
        <v>14.45</v>
      </c>
      <c r="C17953" s="216" t="n">
        <v>21.44</v>
      </c>
      <c r="D17953" s="216" t="n">
        <v>1.149292945861816</v>
      </c>
      <c r="E17953" s="215" t="n">
        <v>46162</v>
      </c>
      <c r="F17953" s="215" t="n">
        <v>46162</v>
      </c>
    </row>
    <row r="17954">
      <c r="A17954" s="215" t="n">
        <v>46163</v>
      </c>
      <c r="B17954" s="216" t="n">
        <v>13.78</v>
      </c>
      <c r="C17954" s="216" t="n">
        <v>20.46</v>
      </c>
      <c r="D17954" s="216" t="n">
        <v>1.151231050491333</v>
      </c>
      <c r="E17954" s="215" t="n">
        <v>46163</v>
      </c>
      <c r="F17954" s="215" t="n">
        <v>46163</v>
      </c>
    </row>
    <row r="17955">
      <c r="A17955" s="215" t="n">
        <v>46164</v>
      </c>
      <c r="B17955" s="216" t="n">
        <v>14.45</v>
      </c>
      <c r="C17955" s="216" t="n">
        <v>20.99</v>
      </c>
      <c r="D17955" s="216" t="n">
        <v>1.151487946510315</v>
      </c>
      <c r="E17955" s="215" t="n">
        <v>46164</v>
      </c>
      <c r="F17955" s="215" t="n">
        <v>46164</v>
      </c>
    </row>
    <row r="17956">
      <c r="A17956" s="215" t="n">
        <v>46168</v>
      </c>
      <c r="B17956" s="216" t="n">
        <v>14.7</v>
      </c>
      <c r="C17956" s="216" t="n">
        <v>21.52</v>
      </c>
      <c r="D17956" s="216" t="n">
        <v>1.152968049049377</v>
      </c>
      <c r="E17956" s="215" t="n">
        <v>46168</v>
      </c>
      <c r="F17956" s="215" t="n">
        <v>46168</v>
      </c>
    </row>
    <row r="17957">
      <c r="A17957" s="215" t="n">
        <v>46169</v>
      </c>
      <c r="B17957" s="216" t="n">
        <v>15.65</v>
      </c>
      <c r="C17957" s="216" t="n">
        <v>22</v>
      </c>
      <c r="D17957" s="216" t="n">
        <v>1.154562950134277</v>
      </c>
      <c r="E17957" s="215" t="n">
        <v>46169</v>
      </c>
      <c r="F17957" s="215" t="n">
        <v>46169</v>
      </c>
    </row>
    <row r="17958">
      <c r="A17958" s="215" t="n">
        <v>46170</v>
      </c>
      <c r="B17958" s="216" t="n">
        <v>15.5</v>
      </c>
      <c r="C17958" s="216" t="n">
        <v>22.17</v>
      </c>
      <c r="D17958" s="216" t="n">
        <v>1.155385971069336</v>
      </c>
      <c r="E17958" s="215" t="n">
        <v>46170</v>
      </c>
      <c r="F17958" s="215" t="n">
        <v>46170</v>
      </c>
    </row>
    <row r="17959">
      <c r="A17959" s="215" t="n">
        <v>46171</v>
      </c>
      <c r="B17959" s="216" t="n">
        <v>15.29</v>
      </c>
      <c r="C17959" s="216" t="n">
        <v>21.99</v>
      </c>
      <c r="D17959" s="216" t="n">
        <v>1.155282974243164</v>
      </c>
      <c r="E17959" s="215" t="n">
        <v>46171</v>
      </c>
      <c r="F17959" s="215" t="n">
        <v>46171</v>
      </c>
    </row>
    <row r="17960">
      <c r="A17960" s="215" t="n">
        <v>46174</v>
      </c>
      <c r="B17960" s="216" t="n">
        <v>15.81</v>
      </c>
      <c r="C17960" s="216" t="n">
        <v>22.36</v>
      </c>
      <c r="D17960" s="216" t="n">
        <v>1.158049941062927</v>
      </c>
      <c r="E17960" s="215" t="n">
        <v>46174</v>
      </c>
      <c r="F17960" s="215" t="n">
        <v>46174</v>
      </c>
    </row>
    <row r="17961">
      <c r="A17961" s="215" t="n">
        <v>46175</v>
      </c>
      <c r="B17961" s="216" t="n">
        <v>15.08</v>
      </c>
      <c r="C17961" s="216" t="n">
        <v>21.46</v>
      </c>
      <c r="D17961" s="216" t="n">
        <v>1.158406972885132</v>
      </c>
      <c r="E17961" s="215" t="n">
        <v>46175</v>
      </c>
      <c r="F17961" s="215" t="n">
        <v>46175</v>
      </c>
    </row>
    <row r="17962">
      <c r="A17962" s="215" t="n">
        <v>46176</v>
      </c>
      <c r="B17962" s="216" t="n">
        <v>14.98</v>
      </c>
      <c r="C17962" s="216" t="n">
        <v>21.64</v>
      </c>
      <c r="D17962" s="216" t="n">
        <v>1.15879499912262</v>
      </c>
      <c r="E17962" s="215" t="n">
        <v>46176</v>
      </c>
      <c r="F17962" s="215" t="n">
        <v>46176</v>
      </c>
    </row>
    <row r="17963">
      <c r="A17963" s="215" t="n">
        <v>46177</v>
      </c>
      <c r="B17963" s="216" t="n">
        <v>14.42</v>
      </c>
      <c r="C17963" s="216" t="n">
        <v>20.96</v>
      </c>
      <c r="D17963" s="216" t="n">
        <v>1.157420039176941</v>
      </c>
      <c r="E17963" s="215" t="n">
        <v>46177</v>
      </c>
      <c r="F17963" s="215" t="n">
        <v>46177</v>
      </c>
    </row>
    <row r="17964">
      <c r="A17964" s="215" t="n">
        <v>46178</v>
      </c>
      <c r="B17964" s="216" t="n">
        <v>13.96</v>
      </c>
      <c r="C17964" s="216" t="n">
        <v>20.56</v>
      </c>
      <c r="D17964" s="216" t="n">
        <v>1.156491994857788</v>
      </c>
      <c r="E17964" s="215" t="n">
        <v>46178</v>
      </c>
      <c r="F17964" s="215" t="n">
        <v>46178</v>
      </c>
    </row>
    <row r="17965">
      <c r="A17965" s="215" t="n">
        <v>46181</v>
      </c>
      <c r="B17965" s="216" t="n">
        <v>12.95</v>
      </c>
      <c r="C17965" s="216" t="n">
        <v>19.05</v>
      </c>
      <c r="D17965" s="216" t="n">
        <v>1.157665967941284</v>
      </c>
      <c r="E17965" s="215" t="n">
        <v>46181</v>
      </c>
      <c r="F17965" s="215" t="n">
        <v>46181</v>
      </c>
    </row>
    <row r="17966">
      <c r="A17966" s="215" t="n">
        <v>46182</v>
      </c>
      <c r="B17966" s="216" t="n">
        <v>13.05</v>
      </c>
      <c r="C17966" s="216" t="n">
        <v>19.48</v>
      </c>
      <c r="D17966" s="216" t="n">
        <v>1.158027052879333</v>
      </c>
      <c r="E17966" s="215" t="n">
        <v>46182</v>
      </c>
      <c r="F17966" s="215" t="n">
        <v>46182</v>
      </c>
    </row>
    <row r="17967">
      <c r="A17967" s="215" t="n">
        <v>46183</v>
      </c>
      <c r="B17967" s="216" t="n">
        <v>12.78</v>
      </c>
      <c r="C17967" s="216" t="n">
        <v>19.35</v>
      </c>
      <c r="D17967" s="216" t="n">
        <v>1.157112002372742</v>
      </c>
      <c r="E17967" s="215" t="n">
        <v>46183</v>
      </c>
      <c r="F17967" s="215" t="n">
        <v>46183</v>
      </c>
    </row>
    <row r="17968">
      <c r="A17968" s="215" t="n">
        <v>46184</v>
      </c>
      <c r="B17968" s="216" t="n">
        <v>12.58</v>
      </c>
      <c r="C17968" s="216" t="n">
        <v>18.66</v>
      </c>
      <c r="D17968" s="216" t="n">
        <v>1.156929016113281</v>
      </c>
      <c r="E17968" s="215" t="n">
        <v>46184</v>
      </c>
      <c r="F17968" s="215" t="n">
        <v>46184</v>
      </c>
    </row>
    <row r="17969">
      <c r="A17969" s="215" t="n">
        <v>46185</v>
      </c>
      <c r="B17969" s="216" t="n">
        <v>13.2</v>
      </c>
      <c r="C17969" s="216" t="n">
        <v>19.19</v>
      </c>
      <c r="D17969" s="216" t="n">
        <v>1.156345963478088</v>
      </c>
      <c r="E17969" s="215" t="n">
        <v>46185</v>
      </c>
      <c r="F17969" s="215" t="n">
        <v>46185</v>
      </c>
    </row>
    <row r="17970">
      <c r="A17970" s="215" t="n">
        <v>46188</v>
      </c>
      <c r="B17970" s="216" t="n">
        <v>13.7</v>
      </c>
      <c r="C17970" s="216" t="n">
        <v>20.53</v>
      </c>
      <c r="D17970" s="216" t="n">
        <v>1.156880021095276</v>
      </c>
      <c r="E17970" s="215" t="n">
        <v>46188</v>
      </c>
      <c r="F17970" s="215" t="n">
        <v>46188</v>
      </c>
    </row>
    <row r="17971">
      <c r="A17971" s="215" t="n">
        <v>46189</v>
      </c>
      <c r="B17971" s="216" t="n">
        <v>13.71</v>
      </c>
      <c r="C17971" s="216" t="n">
        <v>20.84</v>
      </c>
      <c r="D17971" s="216" t="n">
        <v>1.158604025840759</v>
      </c>
      <c r="E17971" s="215" t="n">
        <v>46189</v>
      </c>
      <c r="F17971" s="215" t="n">
        <v>46189</v>
      </c>
    </row>
    <row r="17972">
      <c r="A17972" s="215" t="n">
        <v>46190</v>
      </c>
      <c r="B17972" s="216" t="n">
        <v>13.17</v>
      </c>
      <c r="C17972" s="216" t="n">
        <v>20.63</v>
      </c>
      <c r="D17972" s="216" t="n">
        <v>1.158974051475525</v>
      </c>
      <c r="E17972" s="215" t="n">
        <v>46190</v>
      </c>
      <c r="F17972" s="215" t="n">
        <v>46190</v>
      </c>
    </row>
    <row r="17973">
      <c r="A17973" s="215" t="n">
        <v>46191</v>
      </c>
      <c r="B17973" s="216" t="n">
        <v>12.8</v>
      </c>
      <c r="C17973" s="216" t="n">
        <v>20.47</v>
      </c>
      <c r="D17973" s="216" t="n">
        <v>1.159355998039246</v>
      </c>
      <c r="E17973" s="215" t="n">
        <v>46191</v>
      </c>
      <c r="F17973" s="215" t="n">
        <v>46191</v>
      </c>
    </row>
    <row r="17974">
      <c r="A17974" s="215" t="n">
        <v>46195</v>
      </c>
      <c r="B17974" s="216" t="n">
        <v>12.43</v>
      </c>
      <c r="C17974" s="216" t="n">
        <v>20.44</v>
      </c>
      <c r="D17974" s="216" t="n">
        <v>1.157493948936462</v>
      </c>
      <c r="E17974" s="215" t="n">
        <v>46195</v>
      </c>
      <c r="F17974" s="215" t="n">
        <v>46195</v>
      </c>
    </row>
    <row r="17975">
      <c r="A17975" s="215" t="n">
        <v>46196</v>
      </c>
      <c r="B17975" s="216" t="n">
        <v>12.43</v>
      </c>
      <c r="C17975" s="216" t="n">
        <v>19.71</v>
      </c>
      <c r="D17975" s="216" t="n">
        <v>1.156896948814392</v>
      </c>
      <c r="E17975" s="215" t="n">
        <v>46196</v>
      </c>
      <c r="F17975" s="215" t="n">
        <v>46196</v>
      </c>
    </row>
    <row r="17976">
      <c r="A17976" s="215" t="n">
        <v>46197</v>
      </c>
      <c r="B17976" s="216" t="n">
        <v>11.7</v>
      </c>
      <c r="C17976" s="216" t="n">
        <v>19.56</v>
      </c>
      <c r="D17976" s="216" t="n">
        <v>1.154508948326111</v>
      </c>
      <c r="E17976" s="215" t="n">
        <v>46197</v>
      </c>
      <c r="F17976" s="215" t="n">
        <v>46197</v>
      </c>
    </row>
    <row r="17977">
      <c r="A17977" s="215" t="n">
        <v>46198</v>
      </c>
      <c r="B17977" s="216" t="n">
        <v>11.17</v>
      </c>
      <c r="C17977" s="216" t="n">
        <v>19.16</v>
      </c>
      <c r="D17977" s="216" t="n">
        <v>1.154152035713196</v>
      </c>
      <c r="E17977" s="215" t="n">
        <v>46198</v>
      </c>
      <c r="F17977" s="215" t="n">
        <v>46198</v>
      </c>
    </row>
    <row r="17978">
      <c r="A17978" s="215" t="n">
        <v>46199</v>
      </c>
      <c r="B17978" s="216" t="n">
        <v>10.95</v>
      </c>
      <c r="C17978" s="216" t="n">
        <v>17.77</v>
      </c>
      <c r="D17978" s="216" t="n">
        <v>1.154500961303711</v>
      </c>
      <c r="E17978" s="215" t="n">
        <v>46199</v>
      </c>
      <c r="F17978" s="215" t="n">
        <v>46199</v>
      </c>
    </row>
    <row r="17979">
      <c r="A17979" s="215" t="n">
        <v>46202</v>
      </c>
      <c r="B17979" s="216" t="n">
        <v>10.87</v>
      </c>
      <c r="C17979" s="216" t="n">
        <v>17.54</v>
      </c>
      <c r="D17979" s="216" t="n">
        <v>1.153512001037598</v>
      </c>
      <c r="E17979" s="215" t="n">
        <v>46202</v>
      </c>
      <c r="F17979" s="215" t="n">
        <v>46202</v>
      </c>
    </row>
    <row r="17980">
      <c r="A17980" s="215" t="n">
        <v>46203</v>
      </c>
      <c r="B17980" s="216" t="n">
        <v>11.4</v>
      </c>
      <c r="C17980" s="216" t="n">
        <v>18.96</v>
      </c>
      <c r="D17980" s="216" t="n">
        <v>1.153959035873413</v>
      </c>
      <c r="E17980" s="215" t="n">
        <v>46203</v>
      </c>
      <c r="F17980" s="215" t="n">
        <v>46203</v>
      </c>
    </row>
    <row r="17981">
      <c r="A17981" s="215" t="n">
        <v>46205</v>
      </c>
      <c r="B17981" s="216" t="n">
        <v>11.08</v>
      </c>
      <c r="C17981" s="216" t="n">
        <v>17.61</v>
      </c>
      <c r="D17981" s="216" t="n">
        <v>1.154355049133301</v>
      </c>
      <c r="E17981" s="215" t="n">
        <v>46205</v>
      </c>
      <c r="F17981" s="215" t="n">
        <v>46205</v>
      </c>
    </row>
    <row r="17982">
      <c r="A17982" s="215" t="n">
        <v>46206</v>
      </c>
      <c r="B17982" s="216" t="n">
        <v>11.89</v>
      </c>
      <c r="C17982" s="216" t="n">
        <v>18.28</v>
      </c>
      <c r="D17982" s="216" t="n">
        <v>1.155220985412598</v>
      </c>
      <c r="E17982" s="215" t="n">
        <v>46206</v>
      </c>
      <c r="F17982" s="215" t="n">
        <v>46206</v>
      </c>
    </row>
    <row r="17983">
      <c r="A17983" s="215" t="n">
        <v>46209</v>
      </c>
      <c r="B17983" s="216" t="n">
        <v>11.87</v>
      </c>
      <c r="C17983" s="216" t="n">
        <v>18.52</v>
      </c>
      <c r="D17983" s="216" t="n">
        <v>1.155068039894104</v>
      </c>
      <c r="E17983" s="215" t="n">
        <v>46209</v>
      </c>
      <c r="F17983" s="215" t="n">
        <v>46209</v>
      </c>
    </row>
    <row r="17984">
      <c r="A17984" s="215" t="n">
        <v>46210</v>
      </c>
      <c r="B17984" s="216" t="n">
        <v>11.32</v>
      </c>
      <c r="C17984" s="216" t="n">
        <v>17.64</v>
      </c>
      <c r="D17984" s="216" t="n">
        <v>1.153807997703552</v>
      </c>
      <c r="E17984" s="215" t="n">
        <v>46210</v>
      </c>
      <c r="F17984" s="215" t="n">
        <v>46210</v>
      </c>
    </row>
    <row r="17985">
      <c r="A17985" s="215" t="n">
        <v>46211</v>
      </c>
      <c r="B17985" s="216" t="n">
        <v>11.48</v>
      </c>
      <c r="C17985" s="216" t="n">
        <v>17.47</v>
      </c>
      <c r="D17985" s="216" t="n">
        <v>1.154153943061829</v>
      </c>
      <c r="E17985" s="215" t="n">
        <v>46211</v>
      </c>
      <c r="F17985" s="215" t="n">
        <v>46211</v>
      </c>
    </row>
    <row r="17986">
      <c r="A17986" s="215" t="n">
        <v>46212</v>
      </c>
      <c r="B17986" s="216" t="n">
        <v>11.23</v>
      </c>
      <c r="C17986" s="216" t="n">
        <v>17.31</v>
      </c>
      <c r="D17986" s="216" t="n">
        <v>1.152119994163513</v>
      </c>
      <c r="E17986" s="215" t="n">
        <v>46212</v>
      </c>
      <c r="F17986" s="215" t="n">
        <v>46212</v>
      </c>
    </row>
    <row r="17987">
      <c r="A17987" s="215" t="n">
        <v>46213</v>
      </c>
      <c r="B17987" s="216" t="n">
        <v>11.31</v>
      </c>
      <c r="C17987" s="216" t="n">
        <v>17.62</v>
      </c>
      <c r="D17987" s="216" t="n">
        <v>1.153550028800964</v>
      </c>
      <c r="E17987" s="215" t="n">
        <v>46213</v>
      </c>
      <c r="F17987" s="215" t="n">
        <v>46213</v>
      </c>
    </row>
    <row r="17988">
      <c r="A17988" s="215" t="n">
        <v>46216</v>
      </c>
      <c r="B17988" s="216" t="n">
        <v>10.53</v>
      </c>
      <c r="C17988" s="216" t="n">
        <v>16.33</v>
      </c>
      <c r="D17988" s="216" t="n">
        <v>1.156761050224304</v>
      </c>
      <c r="E17988" s="215" t="n">
        <v>46216</v>
      </c>
      <c r="F17988" s="215" t="n">
        <v>46216</v>
      </c>
    </row>
    <row r="17989">
      <c r="A17989" s="215" t="n">
        <v>46217</v>
      </c>
      <c r="B17989" s="216" t="n">
        <v>10.86</v>
      </c>
      <c r="C17989" s="216" t="n">
        <v>16.42</v>
      </c>
      <c r="D17989" s="216" t="n">
        <v>1.155825972557068</v>
      </c>
      <c r="E17989" s="215" t="n">
        <v>46217</v>
      </c>
      <c r="F17989" s="215" t="n">
        <v>46217</v>
      </c>
    </row>
    <row r="17990">
      <c r="A17990" s="215" t="n">
        <v>46218</v>
      </c>
      <c r="B17990" s="216" t="n">
        <v>10.9</v>
      </c>
      <c r="C17990" s="216" t="n">
        <v>16.03</v>
      </c>
      <c r="D17990" s="216" t="n">
        <v>1.157556056976318</v>
      </c>
      <c r="E17990" s="215" t="n">
        <v>46218</v>
      </c>
      <c r="F17990" s="215" t="n">
        <v>46218</v>
      </c>
    </row>
    <row r="17991">
      <c r="A17991" s="215" t="n">
        <v>46219</v>
      </c>
      <c r="B17991" s="216" t="n">
        <v>11</v>
      </c>
      <c r="C17991" s="216" t="n">
        <v>15.98</v>
      </c>
      <c r="D17991" s="216" t="n">
        <v>1.157912969589233</v>
      </c>
      <c r="E17991" s="215" t="n">
        <v>46219</v>
      </c>
      <c r="F17991" s="215" t="n">
        <v>46219</v>
      </c>
    </row>
    <row r="17992">
      <c r="A17992" s="215" t="n">
        <v>46220</v>
      </c>
      <c r="B17992" s="216" t="n">
        <v>10.32</v>
      </c>
      <c r="C17992" s="216" t="n">
        <v>15.24</v>
      </c>
      <c r="D17992" s="216" t="n">
        <v>1.157472014427185</v>
      </c>
      <c r="E17992" s="215" t="n">
        <v>46220</v>
      </c>
      <c r="F17992" s="215" t="n">
        <v>46220</v>
      </c>
    </row>
    <row r="17993">
      <c r="A17993" s="215" t="n">
        <v>46223</v>
      </c>
      <c r="B17993" s="216" t="n">
        <v>10.38</v>
      </c>
      <c r="C17993" s="216" t="n">
        <v>15.32</v>
      </c>
      <c r="D17993" s="216" t="n">
        <v>1.157451033592224</v>
      </c>
      <c r="E17993" s="215" t="n">
        <v>46223</v>
      </c>
      <c r="F17993" s="215" t="n">
        <v>46223</v>
      </c>
    </row>
    <row r="17994">
      <c r="A17994" s="215" t="n">
        <v>46224</v>
      </c>
      <c r="B17994" s="216" t="n">
        <v>10.54</v>
      </c>
      <c r="C17994" s="216" t="n">
        <v>15.71</v>
      </c>
      <c r="D17994" s="216" t="n">
        <v>1.157506942749023</v>
      </c>
      <c r="E17994" s="215" t="n">
        <v>46224</v>
      </c>
      <c r="F17994" s="215" t="n">
        <v>46224</v>
      </c>
    </row>
    <row r="17995">
      <c r="A17995" s="215" t="n">
        <v>46225</v>
      </c>
      <c r="B17995" s="216" t="n">
        <v>10.32</v>
      </c>
      <c r="C17995" s="216" t="n">
        <v>15.63</v>
      </c>
      <c r="D17995" s="216" t="n">
        <v>1.158938050270081</v>
      </c>
      <c r="E17995" s="215" t="n">
        <v>46225</v>
      </c>
      <c r="F17995" s="215" t="n">
        <v>46225</v>
      </c>
    </row>
    <row r="17996">
      <c r="A17996" s="215" t="n">
        <v>46226</v>
      </c>
      <c r="B17996" s="216" t="n">
        <v>10.49</v>
      </c>
      <c r="C17996" s="216" t="n">
        <v>16.1</v>
      </c>
      <c r="D17996" s="216" t="n">
        <v>1.157410979270935</v>
      </c>
      <c r="E17996" s="215" t="n">
        <v>46226</v>
      </c>
      <c r="F17996" s="215" t="n">
        <v>46226</v>
      </c>
    </row>
    <row r="17997">
      <c r="A17997" s="215" t="n">
        <v>46227</v>
      </c>
      <c r="B17997" s="216" t="n">
        <v>10.14</v>
      </c>
      <c r="C17997" s="216" t="n">
        <v>15.48</v>
      </c>
      <c r="D17997" s="216" t="n">
        <v>1.15762197971344</v>
      </c>
      <c r="E17997" s="215" t="n">
        <v>46227</v>
      </c>
      <c r="F17997" s="215" t="n">
        <v>46227</v>
      </c>
    </row>
    <row r="17998">
      <c r="A17998" s="215" t="n">
        <v>46230</v>
      </c>
      <c r="B17998" s="216" t="n">
        <v>10.38</v>
      </c>
      <c r="C17998" s="216" t="n">
        <v>15.96</v>
      </c>
      <c r="D17998" s="216" t="n">
        <v>1.15789794921875</v>
      </c>
      <c r="E17998" s="215" t="n">
        <v>46230</v>
      </c>
      <c r="F17998" s="215" t="n">
        <v>46230</v>
      </c>
    </row>
    <row r="17999">
      <c r="A17999" s="215" t="n">
        <v>46231</v>
      </c>
      <c r="B17999" s="216" t="n">
        <v>10.08</v>
      </c>
      <c r="C17999" s="216" t="n">
        <v>15.54</v>
      </c>
      <c r="D17999" s="216" t="n">
        <v>1.158699035644531</v>
      </c>
      <c r="E17999" s="215" t="n">
        <v>46231</v>
      </c>
      <c r="F17999" s="215" t="n">
        <v>46231</v>
      </c>
    </row>
    <row r="18000">
      <c r="A18000" s="215" t="n">
        <v>46232</v>
      </c>
      <c r="B18000" s="216" t="n">
        <v>10.52</v>
      </c>
      <c r="C18000" s="216" t="n">
        <v>16.48</v>
      </c>
      <c r="D18000" s="216" t="n">
        <v>1.157909989356995</v>
      </c>
      <c r="E18000" s="215" t="n">
        <v>46232</v>
      </c>
      <c r="F18000" s="215" t="n">
        <v>46232</v>
      </c>
    </row>
    <row r="18001">
      <c r="A18001" s="215" t="n">
        <v>46233</v>
      </c>
      <c r="B18001" s="216" t="n">
        <v>10.85</v>
      </c>
      <c r="C18001" s="216" t="n">
        <v>17.09</v>
      </c>
      <c r="D18001" s="216" t="n">
        <v>1.158943057060242</v>
      </c>
      <c r="E18001" s="215" t="n">
        <v>46233</v>
      </c>
      <c r="F18001" s="215" t="n">
        <v>46233</v>
      </c>
    </row>
    <row r="18002">
      <c r="A18002" s="215" t="n">
        <v>46234</v>
      </c>
      <c r="B18002" s="216" t="n">
        <v>10.99</v>
      </c>
      <c r="C18002" s="216" t="n">
        <v>16.7</v>
      </c>
      <c r="D18002" s="216" t="n">
        <v>1.160945057868958</v>
      </c>
      <c r="E18002" s="215" t="n">
        <v>46234</v>
      </c>
      <c r="F18002" s="215" t="n">
        <v>46234</v>
      </c>
    </row>
    <row r="18003">
      <c r="A18003" s="215" t="n">
        <v>46237</v>
      </c>
      <c r="B18003" s="216" t="n">
        <v>11.23</v>
      </c>
      <c r="C18003" s="216" t="n">
        <v>17.13</v>
      </c>
      <c r="D18003" s="216" t="n">
        <v>1.161579966545105</v>
      </c>
      <c r="E18003" s="215" t="n">
        <v>46237</v>
      </c>
      <c r="F18003" s="215" t="n">
        <v>46237</v>
      </c>
    </row>
    <row r="18004">
      <c r="A18004" s="215" t="n">
        <v>46238</v>
      </c>
      <c r="B18004" s="216" t="n">
        <v>11.45</v>
      </c>
      <c r="C18004" s="216" t="n">
        <v>17.53</v>
      </c>
      <c r="D18004" s="216" t="n">
        <v>1.161064982414246</v>
      </c>
      <c r="E18004" s="215" t="n">
        <v>46238</v>
      </c>
      <c r="F18004" s="215" t="n">
        <v>46238</v>
      </c>
    </row>
    <row r="18005">
      <c r="A18005" s="215" t="n">
        <v>46239</v>
      </c>
      <c r="B18005" s="216" t="n">
        <v>11.57</v>
      </c>
      <c r="C18005" s="216" t="n">
        <v>17.52</v>
      </c>
      <c r="D18005" s="216" t="n">
        <v>1.161146998405457</v>
      </c>
      <c r="E18005" s="215" t="n">
        <v>46239</v>
      </c>
      <c r="F18005" s="215" t="n">
        <v>46239</v>
      </c>
    </row>
    <row r="18006">
      <c r="A18006" s="215" t="n">
        <v>46240</v>
      </c>
      <c r="B18006" s="216" t="n">
        <v>11.35</v>
      </c>
      <c r="C18006" s="216" t="n">
        <v>17.23</v>
      </c>
      <c r="D18006" s="216" t="n">
        <v>1.161936044692993</v>
      </c>
      <c r="E18006" s="215" t="n">
        <v>46240</v>
      </c>
      <c r="F18006" s="215" t="n">
        <v>46240</v>
      </c>
    </row>
    <row r="18007">
      <c r="A18007" s="215" t="n">
        <v>46241</v>
      </c>
      <c r="B18007" s="216" t="n">
        <v>11.34</v>
      </c>
      <c r="C18007" s="216" t="n">
        <v>17.23</v>
      </c>
      <c r="D18007" s="216" t="n">
        <v>1.162284016609192</v>
      </c>
      <c r="E18007" s="215" t="n">
        <v>46241</v>
      </c>
      <c r="F18007" s="215" t="n">
        <v>46241</v>
      </c>
    </row>
    <row r="18008">
      <c r="A18008" s="215" t="n">
        <v>46244</v>
      </c>
      <c r="B18008" s="216" t="n">
        <v>11.38</v>
      </c>
      <c r="C18008" s="216" t="n">
        <v>17.23</v>
      </c>
      <c r="D18008" s="216" t="n">
        <v>1.162629961967468</v>
      </c>
      <c r="E18008" s="215" t="n">
        <v>46244</v>
      </c>
      <c r="F18008" s="215" t="n">
        <v>46244</v>
      </c>
    </row>
    <row r="18009">
      <c r="A18009" s="215" t="n">
        <v>46245</v>
      </c>
      <c r="B18009" s="216" t="n">
        <v>11.11</v>
      </c>
      <c r="C18009" s="216" t="n">
        <v>17.07</v>
      </c>
      <c r="D18009" s="216" t="n">
        <v>1.162588000297546</v>
      </c>
      <c r="E18009" s="215" t="n">
        <v>46245</v>
      </c>
      <c r="F18009" s="215" t="n">
        <v>46245</v>
      </c>
    </row>
    <row r="18010">
      <c r="A18010" s="215" t="n">
        <v>46246</v>
      </c>
      <c r="B18010" s="216" t="n">
        <v>11.2</v>
      </c>
      <c r="C18010" s="216" t="n">
        <v>17.41</v>
      </c>
      <c r="D18010" s="216" t="n">
        <v>1.163135051727295</v>
      </c>
      <c r="E18010" s="215" t="n">
        <v>46246</v>
      </c>
      <c r="F18010" s="215" t="n">
        <v>46246</v>
      </c>
    </row>
    <row r="18011">
      <c r="A18011" s="215" t="n">
        <v>46247</v>
      </c>
      <c r="B18011" s="216" t="n">
        <v>10.65</v>
      </c>
      <c r="C18011" s="216" t="n">
        <v>17.04</v>
      </c>
      <c r="D18011" s="216" t="n">
        <v>1.163341045379639</v>
      </c>
      <c r="E18011" s="215" t="n">
        <v>46247</v>
      </c>
      <c r="F18011" s="215" t="n">
        <v>46247</v>
      </c>
    </row>
    <row r="18012">
      <c r="A18012" s="215" t="n">
        <v>46248</v>
      </c>
      <c r="B18012" s="216" t="n">
        <v>10.53</v>
      </c>
      <c r="C18012" s="216" t="n">
        <v>16.95</v>
      </c>
      <c r="D18012" s="216" t="n">
        <v>1.163571000099182</v>
      </c>
      <c r="E18012" s="215" t="n">
        <v>46248</v>
      </c>
      <c r="F18012" s="215" t="n">
        <v>46248</v>
      </c>
    </row>
    <row r="18013">
      <c r="A18013" s="215" t="n">
        <v>46251</v>
      </c>
      <c r="B18013" s="216" t="n">
        <v>10.74</v>
      </c>
      <c r="C18013" s="216" t="n">
        <v>17.28</v>
      </c>
      <c r="D18013" s="216" t="n">
        <v>1.163601994514465</v>
      </c>
      <c r="E18013" s="215" t="n">
        <v>46251</v>
      </c>
      <c r="F18013" s="215" t="n">
        <v>46251</v>
      </c>
    </row>
    <row r="18014">
      <c r="A18014" s="215" t="n">
        <v>46252</v>
      </c>
      <c r="B18014" s="216" t="n">
        <v>10.63</v>
      </c>
      <c r="C18014" s="216" t="n">
        <v>17.05</v>
      </c>
      <c r="D18014" s="216" t="n">
        <v>1.163733005523682</v>
      </c>
      <c r="E18014" s="215" t="n">
        <v>46252</v>
      </c>
      <c r="F18014" s="215" t="n">
        <v>46252</v>
      </c>
    </row>
    <row r="18015">
      <c r="A18015" s="215" t="n">
        <v>46253</v>
      </c>
      <c r="B18015" s="216" t="n">
        <v>9.935</v>
      </c>
      <c r="C18015" s="216" t="n">
        <v>16.1</v>
      </c>
      <c r="D18015" s="216" t="n">
        <v>1.163092017173767</v>
      </c>
      <c r="E18015" s="215" t="n">
        <v>46253</v>
      </c>
      <c r="F18015" s="215" t="n">
        <v>46253</v>
      </c>
    </row>
    <row r="18016">
      <c r="A18016" s="215" t="n">
        <v>46254</v>
      </c>
      <c r="B18016" s="216" t="n">
        <v>9.94</v>
      </c>
      <c r="C18016" s="216" t="n">
        <v>16.28</v>
      </c>
      <c r="D18016" s="216" t="n">
        <v>1.164932012557983</v>
      </c>
      <c r="E18016" s="215" t="n">
        <v>46254</v>
      </c>
      <c r="F18016" s="215" t="n">
        <v>46254</v>
      </c>
    </row>
    <row r="18017">
      <c r="A18017" s="215" t="n">
        <v>46255</v>
      </c>
      <c r="B18017" s="216" t="n">
        <v>10.04</v>
      </c>
      <c r="C18017" s="216" t="n">
        <v>16.29</v>
      </c>
      <c r="D18017" s="216" t="n">
        <v>1.166555047035217</v>
      </c>
      <c r="E18017" s="215" t="n">
        <v>46255</v>
      </c>
      <c r="F18017" s="215" t="n">
        <v>46255</v>
      </c>
    </row>
    <row r="18018">
      <c r="A18018" s="215" t="n">
        <v>46258</v>
      </c>
      <c r="B18018" s="216" t="n">
        <v>9.654999999999999</v>
      </c>
      <c r="C18018" s="216" t="n">
        <v>15.87</v>
      </c>
      <c r="D18018" s="216" t="n">
        <v>1.166316986083984</v>
      </c>
      <c r="E18018" s="215" t="n">
        <v>46258</v>
      </c>
      <c r="F18018" s="215" t="n">
        <v>46258</v>
      </c>
    </row>
    <row r="18019">
      <c r="A18019" s="215" t="n">
        <v>46259</v>
      </c>
      <c r="B18019" s="216" t="n">
        <v>10.2</v>
      </c>
      <c r="C18019" s="216" t="n">
        <v>17.05</v>
      </c>
      <c r="D18019" s="216" t="n">
        <v>1.165253043174744</v>
      </c>
      <c r="E18019" s="215" t="n">
        <v>46259</v>
      </c>
      <c r="F18019" s="215" t="n">
        <v>46259</v>
      </c>
    </row>
    <row r="18020">
      <c r="A18020" s="215" t="n">
        <v>46260</v>
      </c>
      <c r="B18020" s="216" t="n">
        <v>10.08</v>
      </c>
      <c r="C18020" s="216" t="n">
        <v>17.2</v>
      </c>
      <c r="D18020" s="216" t="n">
        <v>1.166218996047974</v>
      </c>
      <c r="E18020" s="215" t="n">
        <v>46260</v>
      </c>
      <c r="F18020" s="215" t="n">
        <v>46260</v>
      </c>
    </row>
    <row r="18021">
      <c r="A18021" s="215" t="n">
        <v>46261</v>
      </c>
      <c r="B18021" s="216" t="n">
        <v>10.13</v>
      </c>
      <c r="C18021" s="216" t="n">
        <v>17.23</v>
      </c>
      <c r="D18021" s="216" t="n">
        <v>1.165971040725708</v>
      </c>
      <c r="E18021" s="215" t="n">
        <v>46261</v>
      </c>
      <c r="F18021" s="215" t="n">
        <v>46261</v>
      </c>
    </row>
    <row r="18022">
      <c r="A18022" s="215" t="n">
        <v>46262</v>
      </c>
      <c r="B18022" s="216" t="n">
        <v>10.13</v>
      </c>
      <c r="C18022" s="216" t="n">
        <v>17.16</v>
      </c>
      <c r="D18022" s="216" t="n">
        <v>1.165799975395203</v>
      </c>
      <c r="E18022" s="215" t="n">
        <v>46262</v>
      </c>
      <c r="F18022" s="215" t="n">
        <v>46262</v>
      </c>
    </row>
    <row r="18023">
      <c r="A18023" s="215" t="n">
        <v>46265</v>
      </c>
      <c r="B18023" s="216" t="n">
        <v>10.07</v>
      </c>
      <c r="C18023" s="216" t="n">
        <v>17.12</v>
      </c>
      <c r="D18023" s="216" t="n">
        <v>1.165387988090515</v>
      </c>
      <c r="E18023" s="215" t="n">
        <v>46265</v>
      </c>
      <c r="F18023" s="215" t="n">
        <v>46265</v>
      </c>
    </row>
    <row r="18024">
      <c r="A18024" s="215" t="n">
        <v>46266</v>
      </c>
      <c r="B18024" s="216" t="n">
        <v>9.9</v>
      </c>
      <c r="C18024" s="216" t="n">
        <v>16.9</v>
      </c>
      <c r="D18024" s="216" t="n">
        <v>1.165223956108093</v>
      </c>
      <c r="E18024" s="215" t="n">
        <v>46266</v>
      </c>
      <c r="F18024" s="215" t="n">
        <v>46266</v>
      </c>
    </row>
    <row r="18025">
      <c r="A18025" s="215" t="n">
        <v>46267</v>
      </c>
      <c r="B18025" s="216" t="n">
        <v>9.755000000000001</v>
      </c>
      <c r="C18025" s="216" t="n">
        <v>16.67</v>
      </c>
      <c r="D18025" s="216" t="n">
        <v>1.166425943374634</v>
      </c>
      <c r="E18025" s="215" t="n">
        <v>46267</v>
      </c>
      <c r="F18025" s="215" t="n">
        <v>46267</v>
      </c>
    </row>
    <row r="18026">
      <c r="A18026" s="215" t="n">
        <v>46268</v>
      </c>
      <c r="B18026" s="216" t="n">
        <v>9.85</v>
      </c>
      <c r="C18026" s="216" t="n">
        <v>17.03</v>
      </c>
      <c r="D18026" s="216" t="n">
        <v>1.167057037353516</v>
      </c>
      <c r="E18026" s="215" t="n">
        <v>46268</v>
      </c>
      <c r="F18026" s="215" t="n">
        <v>46268</v>
      </c>
    </row>
    <row r="18027">
      <c r="A18027" s="215" t="n">
        <v>46269</v>
      </c>
      <c r="B18027" s="216" t="n">
        <v>9.9</v>
      </c>
      <c r="C18027" s="216" t="n">
        <v>17.17</v>
      </c>
      <c r="D18027" s="216" t="n">
        <v>1.166767954826355</v>
      </c>
      <c r="E18027" s="215" t="n">
        <v>46269</v>
      </c>
      <c r="F18027" s="215" t="n">
        <v>46269</v>
      </c>
    </row>
    <row r="18028">
      <c r="A18028" s="215" t="n">
        <v>46272</v>
      </c>
      <c r="B18028" s="216" t="n">
        <v>10.03</v>
      </c>
      <c r="C18028" s="216" t="n">
        <v>17.19</v>
      </c>
      <c r="D18028" s="216" t="n">
        <v>1.168081045150757</v>
      </c>
      <c r="E18028" s="215" t="n">
        <v>46272</v>
      </c>
      <c r="F18028" s="215" t="n">
        <v>46272</v>
      </c>
    </row>
    <row r="18029">
      <c r="A18029" s="215" t="n">
        <v>46273</v>
      </c>
      <c r="B18029" s="216" t="n">
        <v>9.914999999999999</v>
      </c>
      <c r="C18029" s="216" t="n">
        <v>16.93</v>
      </c>
      <c r="D18029" s="216" t="n">
        <v>1.168115019798279</v>
      </c>
      <c r="E18029" s="215" t="n">
        <v>46273</v>
      </c>
      <c r="F18029" s="215" t="n">
        <v>46273</v>
      </c>
    </row>
    <row r="18030">
      <c r="A18030" s="215" t="n">
        <v>46274</v>
      </c>
      <c r="B18030" s="216" t="n">
        <v>10.2</v>
      </c>
      <c r="C18030" s="216" t="n">
        <v>17.57</v>
      </c>
      <c r="D18030" s="216" t="n">
        <v>1.168408989906311</v>
      </c>
      <c r="E18030" s="215" t="n">
        <v>46274</v>
      </c>
      <c r="F18030" s="215" t="n">
        <v>46274</v>
      </c>
    </row>
    <row r="18031">
      <c r="A18031" s="215" t="n">
        <v>46275</v>
      </c>
      <c r="B18031" s="216" t="n">
        <v>9.970000000000001</v>
      </c>
      <c r="C18031" s="216" t="n">
        <v>17.17</v>
      </c>
      <c r="D18031" s="216" t="n">
        <v>1.168462991714478</v>
      </c>
      <c r="E18031" s="215" t="n">
        <v>46275</v>
      </c>
      <c r="F18031" s="215" t="n">
        <v>46275</v>
      </c>
    </row>
    <row r="18032">
      <c r="A18032" s="215" t="n">
        <v>46276</v>
      </c>
      <c r="B18032" s="216" t="n">
        <v>10.1</v>
      </c>
      <c r="C18032" s="216" t="n">
        <v>17.93</v>
      </c>
      <c r="D18032" s="216" t="n">
        <v>1.169165015220642</v>
      </c>
      <c r="E18032" s="215" t="n">
        <v>46276</v>
      </c>
      <c r="F18032" s="215" t="n">
        <v>46276</v>
      </c>
    </row>
    <row r="18033">
      <c r="A18033" s="215" t="n">
        <v>46279</v>
      </c>
      <c r="B18033" s="216" t="n">
        <v>9.5</v>
      </c>
      <c r="C18033" s="216" t="n">
        <v>17.58</v>
      </c>
      <c r="D18033" s="216" t="n">
        <v>1.16893994808197</v>
      </c>
      <c r="E18033" s="215" t="n">
        <v>46279</v>
      </c>
      <c r="F18033" s="215" t="n">
        <v>46279</v>
      </c>
    </row>
    <row r="18034">
      <c r="A18034" s="215" t="n">
        <v>46280</v>
      </c>
      <c r="B18034" s="216" t="n">
        <v>9</v>
      </c>
      <c r="C18034" s="216" t="n">
        <v>16.93</v>
      </c>
      <c r="D18034" s="216" t="n">
        <v>1.169121026992798</v>
      </c>
      <c r="E18034" s="215" t="n">
        <v>46280</v>
      </c>
      <c r="F18034" s="215" t="n">
        <v>46280</v>
      </c>
    </row>
    <row r="18035">
      <c r="A18035" s="215" t="n">
        <v>46281</v>
      </c>
      <c r="B18035" s="216" t="n">
        <v>8.98</v>
      </c>
      <c r="C18035" s="216" t="n">
        <v>17.07</v>
      </c>
      <c r="D18035" s="216" t="n">
        <v>1.168769955635071</v>
      </c>
      <c r="E18035" s="215" t="n">
        <v>46281</v>
      </c>
      <c r="F18035" s="215" t="n">
        <v>46281</v>
      </c>
    </row>
    <row r="18036">
      <c r="A18036" s="215" t="n">
        <v>46282</v>
      </c>
      <c r="B18036" s="216" t="n">
        <v>8.83</v>
      </c>
      <c r="C18036" s="216" t="n">
        <v>16.76</v>
      </c>
      <c r="D18036" s="216" t="n">
        <v>1.169389963150024</v>
      </c>
      <c r="E18036" s="215" t="n">
        <v>46282</v>
      </c>
      <c r="F18036" s="215" t="n">
        <v>46282</v>
      </c>
    </row>
    <row r="18037">
      <c r="A18037" s="215" t="n">
        <v>46283</v>
      </c>
      <c r="B18037" s="216" t="n">
        <v>8.904999999999999</v>
      </c>
      <c r="C18037" s="216" t="n">
        <v>17.14</v>
      </c>
      <c r="D18037" s="216" t="n">
        <v>1.16942298412323</v>
      </c>
      <c r="E18037" s="215" t="n">
        <v>46283</v>
      </c>
      <c r="F18037" s="215" t="n">
        <v>46283</v>
      </c>
    </row>
    <row r="18038">
      <c r="A18038" s="215" t="n">
        <v>46286</v>
      </c>
      <c r="B18038" s="216" t="n">
        <v>8.994999999999999</v>
      </c>
      <c r="C18038" s="216" t="n">
        <v>17.18</v>
      </c>
      <c r="D18038" s="216" t="n">
        <v>1.171280026435852</v>
      </c>
      <c r="E18038" s="215" t="n">
        <v>46286</v>
      </c>
      <c r="F18038" s="215" t="n">
        <v>46286</v>
      </c>
    </row>
    <row r="18039">
      <c r="A18039" s="215" t="n">
        <v>46287</v>
      </c>
      <c r="B18039" s="216" t="n">
        <v>8.91</v>
      </c>
      <c r="C18039" s="216" t="n">
        <v>16.84</v>
      </c>
      <c r="D18039" s="216" t="n">
        <v>1.171705007553101</v>
      </c>
      <c r="E18039" s="215" t="n">
        <v>46287</v>
      </c>
      <c r="F18039" s="215" t="n">
        <v>46287</v>
      </c>
    </row>
    <row r="18040">
      <c r="A18040" s="215" t="n">
        <v>46288</v>
      </c>
      <c r="B18040" s="216" t="n">
        <v>8.795</v>
      </c>
      <c r="C18040" s="216" t="n">
        <v>16.57</v>
      </c>
      <c r="D18040" s="216" t="n">
        <v>1.170611023902893</v>
      </c>
      <c r="E18040" s="215" t="n">
        <v>46288</v>
      </c>
      <c r="F18040" s="215" t="n">
        <v>46288</v>
      </c>
    </row>
    <row r="18041">
      <c r="A18041" s="215" t="n">
        <v>46289</v>
      </c>
      <c r="B18041" s="216" t="n">
        <v>8.449999999999999</v>
      </c>
      <c r="C18041" s="216" t="n">
        <v>16.09</v>
      </c>
      <c r="D18041" s="216" t="n">
        <v>1.16852605342865</v>
      </c>
      <c r="E18041" s="215" t="n">
        <v>46289</v>
      </c>
      <c r="F18041" s="215" t="n">
        <v>46289</v>
      </c>
    </row>
    <row r="18042">
      <c r="A18042" s="215" t="n">
        <v>46290</v>
      </c>
      <c r="B18042" s="216" t="n">
        <v>8.205</v>
      </c>
      <c r="C18042" s="216" t="n">
        <v>16.09</v>
      </c>
      <c r="D18042" s="216" t="n">
        <v>1.168424010276794</v>
      </c>
      <c r="E18042" s="215" t="n">
        <v>46289</v>
      </c>
      <c r="F18042" s="215" t="n">
        <v>46290</v>
      </c>
    </row>
    <row r="18043">
      <c r="A18043" s="215" t="n">
        <v>46293</v>
      </c>
      <c r="B18043" s="216" t="n">
        <v>8.035</v>
      </c>
      <c r="C18043" s="216" t="n">
        <v>15.68</v>
      </c>
      <c r="D18043" s="216" t="n">
        <v>1.168378949165344</v>
      </c>
      <c r="E18043" s="215" t="n">
        <v>46293</v>
      </c>
      <c r="F18043" s="215" t="n">
        <v>46293</v>
      </c>
    </row>
    <row r="18044">
      <c r="A18044" s="215" t="n">
        <v>46294</v>
      </c>
      <c r="B18044" s="216" t="n">
        <v>8.105</v>
      </c>
      <c r="C18044" s="216" t="n">
        <v>15.66</v>
      </c>
      <c r="D18044" s="216" t="n">
        <v>1.168815970420837</v>
      </c>
      <c r="E18044" s="215" t="n">
        <v>46294</v>
      </c>
      <c r="F18044" s="215" t="n">
        <v>46294</v>
      </c>
    </row>
    <row r="18045">
      <c r="A18045" s="215" t="n">
        <v>46295</v>
      </c>
      <c r="B18045" s="216" t="n">
        <v>8.125</v>
      </c>
      <c r="C18045" s="216" t="n">
        <v>15.71</v>
      </c>
      <c r="D18045" s="216" t="n">
        <v>1.17059600353241</v>
      </c>
      <c r="E18045" s="215" t="n">
        <v>46295</v>
      </c>
      <c r="F18045" s="215" t="n">
        <v>46295</v>
      </c>
    </row>
    <row r="18046">
      <c r="A18046" s="215" t="n">
        <v>46297</v>
      </c>
      <c r="B18046" s="216" t="n">
        <v>8.1</v>
      </c>
      <c r="C18046" s="216" t="n">
        <v>15.71</v>
      </c>
      <c r="D18046" s="216" t="n">
        <v>1.170220971107483</v>
      </c>
      <c r="E18046" s="215" t="n">
        <v>46295</v>
      </c>
      <c r="F18046" s="215" t="n">
        <v>46297</v>
      </c>
    </row>
  </sheetData>
  <printOptions horizontalCentered="1"/>
  <pageMargins left="0.75" right="0.75" top="1" bottom="1" header="0.5" footer="0.5"/>
  <pageSetup orientation="landscape" paperSize="8" fitToHeight="0" fitToWidth="1"/>
</worksheet>
</file>

<file path=xl/worksheets/sheet17.xml><?xml version="1.0" encoding="utf-8"?>
<worksheet xmlns="http://schemas.openxmlformats.org/spreadsheetml/2006/main">
  <sheetPr>
    <outlinePr summaryBelow="1" summaryRight="1"/>
    <pageSetUpPr fitToPage="1"/>
  </sheetPr>
  <dimension ref="A1:G5"/>
  <sheetViews>
    <sheetView showGridLines="0" zoomScale="95" workbookViewId="0">
      <selection activeCell="A1" sqref="A1"/>
    </sheetView>
  </sheetViews>
  <sheetFormatPr baseColWidth="8" defaultRowHeight="15"/>
  <sheetData>
    <row r="1"/>
    <row r="2">
      <c r="A2" t="inlineStr">
        <is>
          <t>H history</t>
        </is>
      </c>
      <c r="D2" t="inlineStr">
        <is>
          <t>A history</t>
        </is>
      </c>
      <c r="G2" t="inlineStr">
        <is>
          <t>FX history</t>
        </is>
      </c>
    </row>
    <row r="3"/>
    <row r="4"/>
    <row r="5">
      <c r="A5">
        <f>IF(OR(AH!$P$3=0,AH!$E$4&lt;&gt;"Bloomberg"),"",BDH(AH!$P$4,"PX_LAST",AH!$P$6,TODAY(),"Dts=S","Dir=V","Sort=A","Days=T","Per=cd","UseDPDF=N","CshAdjNormal=N","CshAdjAbnormal=N","CapChg=N"))</f>
        <v/>
      </c>
      <c r="D5">
        <f>IF(OR(AH!$P$3=0,AH!$E$4&lt;&gt;"Bloomberg"),"",BDH(AH!$P$5,"PX_LAST",AH!$P$6-31,TODAY(),"Dts=S","Dir=V","Sort=A","Days=T","Per=cd","UseDPDF=N","CshAdjNormal=N","CshAdjAbnormal=N","CapChg=N"))</f>
        <v/>
      </c>
      <c r="G5">
        <f>IF(OR(AH!$P$3=0,AH!$E$4&lt;&gt;"Bloomberg"),"",BDH("CNYHKD Curncy","PX_LAST",AH!$P$6-31,TODAY(),"Dts=S","Dir=V","Sort=A","Days=T","Per=cd"))</f>
        <v/>
      </c>
    </row>
  </sheetData>
  <printOptions horizontalCentered="1"/>
  <pageMargins left="0.75" right="0.75" top="1" bottom="1" header="0.5" footer="0.5"/>
  <pageSetup orientation="landscape" paperSize="8" fitToHeight="0" fitToWidth="1"/>
</worksheet>
</file>

<file path=xl/worksheets/sheet18.xml><?xml version="1.0" encoding="utf-8"?>
<ns0:worksheet xmlns:ns0="http://schemas.openxmlformats.org/spreadsheetml/2006/main">
  <ns0:sheetPr>
    <ns0:outlinePr summaryBelow="1" summaryRight="1"/>
    <ns0:pageSetUpPr fitToPage="1"/>
  </ns0:sheetPr>
  <ns0:dimension ref="A1:Q3004"/>
  <ns0:sheetViews>
    <ns0:sheetView showGridLines="0" zoomScale="95" workbookViewId="0">
      <ns0:selection activeCell="A1" sqref="A1"/>
    </ns0:sheetView>
  </ns0:sheetViews>
  <ns0:sheetFormatPr baseColWidth="8" defaultRowHeight="15"/>
  <ns0:sheetData>
    <ns0:row r="1" ht="22" customHeight="1">
      <ns0:c r="A1" s="1" t="n"/>
      <ns0:c r="B1" s="1" t="n"/>
      <ns0:c r="C1" s="1" t="n"/>
      <ns0:c r="D1" s="1" t="n"/>
      <ns0:c r="E1" s="1" t="n"/>
      <ns0:c r="F1" s="1" t="n"/>
      <ns0:c r="G1" s="1" t="n"/>
      <ns0:c r="H1" s="1" t="n"/>
      <ns0:c r="I1" s="1" t="n"/>
      <ns0:c r="J1" s="1" t="n"/>
      <ns0:c r="K1" s="1" t="n"/>
      <ns0:c r="L1" s="1" t="n"/>
      <ns0:c r="M1" s="1" t="n"/>
      <ns0:c r="N1" s="1" t="n"/>
      <ns0:c r="O1" s="1" t="n"/>
      <ns0:c r="P1" s="1" t="n"/>
      <ns0:c r="Q1" s="1" t="n"/>
    </ns0:row>
    <ns0:row r="2" ht="22" customHeight="1">
      <ns0:c r="A2" s="1" t="n"/>
      <ns0:c r="B2" s="1" t="n"/>
      <ns0:c r="C2" s="1" t="n"/>
      <ns0:c r="D2" s="1" t="n"/>
      <ns0:c r="E2" s="1" t="n"/>
      <ns0:c r="F2" s="1" t="n"/>
      <ns0:c r="G2" s="1" t="n"/>
      <ns0:c r="H2" s="1" t="n"/>
      <ns0:c r="I2" s="1" t="n"/>
      <ns0:c r="J2" s="1" t="n"/>
      <ns0:c r="K2" s="1" t="n"/>
      <ns0:c r="L2" s="1" t="n"/>
      <ns0:c r="M2" s="1" t="n"/>
      <ns0:c r="N2" s="1" t="n"/>
      <ns0:c r="O2" s="1" t="n"/>
      <ns0:c r="P2" s="1" t="n"/>
      <ns0:c r="Q2" s="1" t="n"/>
    </ns0:row>
    <ns0:row r="3" ht="22" customHeight="1">
      <ns0:c r="A3" s="1" t="n"/>
      <ns0:c r="B3" s="1" t="n"/>
      <ns0:c r="C3" s="1" t="n"/>
      <ns0:c r="D3" s="1" t="n"/>
      <ns0:c r="E3" s="1" t="n"/>
      <ns0:c r="F3" s="1" t="n"/>
      <ns0:c r="G3" s="1" t="n"/>
      <ns0:c r="H3" s="1" t="n"/>
      <ns0:c r="I3" s="1" t="n"/>
      <ns0:c r="J3" s="1" t="n"/>
      <ns0:c r="K3" s="1" t="n"/>
      <ns0:c r="L3" s="1" t="n"/>
      <ns0:c r="M3" s="1" t="n"/>
      <ns0:c r="N3" s="1" t="n"/>
      <ns0:c r="O3" s="1" t="n"/>
      <ns0:c r="P3" s="1" t="n"/>
      <ns0:c r="Q3" s="1" t="n"/>
    </ns0:row>
    <ns0:row r="4" ht="22" customHeight="1">
      <ns0:c r="A4" s="1" t="inlineStr">
        <ns0:is>
          <ns0:t>Date</ns0:t>
        </ns0:is>
      </ns0:c>
      <ns0:c r="B4" s="1" t="inlineStr">
        <ns0:is>
          <ns0:t>A premium</ns0:t>
        </ns0:is>
      </ns0:c>
      <ns0:c r="C4" s="1" t="inlineStr">
        <ns0:is>
          <ns0:t>H HKD</ns0:t>
        </ns0:is>
      </ns0:c>
      <ns0:c r="D4" s="1" t="inlineStr">
        <ns0:is>
          <ns0:t>A CNY</ns0:t>
        </ns0:is>
      </ns0:c>
      <ns0:c r="E4" s="1" t="inlineStr">
        <ns0:is>
          <ns0:t>CNYHKD</ns0:t>
        </ns0:is>
      </ns0:c>
      <ns0:c r="F4" s="1" t="inlineStr">
        <ns0:is>
          <ns0:t>A date</ns0:t>
        </ns0:is>
      </ns0:c>
      <ns0:c r="G4" s="1" t="inlineStr">
        <ns0:is>
          <ns0:t>FX date</ns0:t>
        </ns0:is>
      </ns0:c>
      <ns0:c r="H4" s="1" t="inlineStr">
        <ns0:is>
          <ns0:t>Snapshot matching row</ns0:t>
        </ns0:is>
      </ns0:c>
      <ns0:c r="I4" s="1" t="inlineStr">
        <ns0:is>
          <ns0:t>Same-date check (1 agree / -1 differ)</ns0:t>
        </ns0:is>
      </ns0:c>
      <ns0:c r="J4" s="1" t="n"/>
      <ns0:c r="K4" s="1" t="n"/>
      <ns0:c r="L4" s="1" t="n"/>
      <ns0:c r="M4" s="1" t="n"/>
      <ns0:c r="N4" s="1" t="n"/>
      <ns0:c r="O4" s="1" t="n"/>
      <ns0:c r="P4" s="1" t="n"/>
      <ns0:c r="Q4" s="1" t="n"/>
    </ns0:row>
    <ns0:row r="5" ht="22" customHeight="1">
      <ns0:c r="A5" s="217">
        <ns0:f>IF(OR(AH!$P$3=0,0+1&gt;AH!$P$11,AND(AH!$E$4&lt;&gt;"Stored",AH!$P$10&lt;&gt;1)),"",IFERROR(IF(AND(AH!$P$21=1,0+1=AH!$P$11),TODAY(),IF(AH!$P$10=1,INDEX('Live History'!$A$5:$A$3004,AH!$P$13+0),INDEX('AH History'!$A$1:$A$18046,AH!$P$7+0))),""))</ns0:f>
        <ns0:v>46035</ns0:v>
      </ns0:c>
      <ns0:c r="B5" s="218">
        <ns0:f>IFERROR(IF(AND(AH!$P$9&lt;&gt;1,$C5&gt;0,$D5&gt;0,$E5&gt;0,$F5&gt;0,$G5&gt;0,$F5&lt;=$A5,$G5&lt;=$A5,$A5-$F5&lt;=10,$A5-$G5&lt;=5),$D5*$E5/$C5-1,NA()),NA())</ns0:f>
        <ns0:v>0.3221030030901171</ns0:v>
      </ns0:c>
      <ns0:c r="C5" s="1">
        <ns0:f>IFERROR(IF(ISNUMBER($A5),IF(AND(AH!$P$10=1,AH!$P$12=1,$A5=TODAY()),AH!$P$19,IF(AH!$P$10=1,INDEX('Live History'!$B$5:$B$3004,AH!$P$13+0),INDEX('AH History'!$B$1:$B$18046,AH!$P$7+0))),NA()),NA())</ns0:f>
        <ns0:v>222.8</ns0:v>
      </ns0:c>
      <ns0:c r="D5" s="1">
        <ns0:f>IFERROR(IF(ISNUMBER($A5),IF(AND(AH!$P$10=1,AH!$P$12=1,$A5=TODAY()),AH!$P$18,IF(AH!$P$10=1,INDEX('Live History'!$E$5:$E$3004,MATCH($A5,'Live History'!$D$5:$D$3004,1)),INDEX('AH History'!$C$1:$C$18046,AH!$P$7+0))),NA()),NA())</ns0:f>
        <ns0:v>263.5</ns0:v>
      </ns0:c>
      <ns0:c r="E5" s="1">
        <ns0:f>IFERROR(IF(ISNUMBER($A5),IF(AND(AH!$P$10=1,AH!$P$12=1,$A5=TODAY()),AH!$P$20,IF(AH!$P$10=1,INDEX('Live History'!$H$5:$H$3004,MATCH($A5,'Live History'!$G$5:$G$3004,1)),INDEX('AH History'!$D$1:$D$18046,AH!$P$7+0))),NA()),NA())</ns0:f>
        <ns0:v>1.1178920269012451</ns0:v>
      </ns0:c>
      <ns0:c r="F5" s="1">
        <ns0:f>IFERROR(IF(ISNUMBER($A5),IF(AND(AH!$P$10=1,AH!$P$12=1,$A5=TODAY()),IF(AND(AH!$P$10=1,AH!$P$12=1,$A5=TODAY()),TODAY(),NA()),IF(AH!$P$10=1,INDEX('Live History'!$D$5:$D$3004,MATCH($A5,'Live History'!$D$5:$D$3004,1)),INDEX('AH History'!$E$1:$E$18046,AH!$P$7+0))),NA()),NA())</ns0:f>
        <ns0:v>46035</ns0:v>
      </ns0:c>
      <ns0:c r="G5" s="1">
        <ns0:f>IFERROR(IF(ISNUMBER($A5),IF(AND(AH!$P$10=1,AH!$P$12=1,$A5=TODAY()),IF(AND(AH!$P$10=1,AH!$P$12=1,$A5=TODAY()),TODAY(),NA()),IF(AH!$P$10=1,INDEX('Live History'!$G$5:$G$3004,MATCH($A5,'Live History'!$G$5:$G$3004,1)),INDEX('AH History'!$F$1:$F$18046,AH!$P$7+0))),NA()),NA())</ns0:f>
        <ns0:v>46035</ns0:v>
      </ns0:c>
      <ns0:c r="H5" s="1">
        <ns0:f>IFERROR(IF(AND(AH!$E$4="Bloomberg",AH!$P$10=1,ISNUMBER($A5),$A5&lt;=AH!$P$17),AH!$P$7-1+MATCH($A5,INDEX('AH History'!$A$1:$A$18046,AH!$P$7):INDEX('AH History'!$A$1:$A$18046,AH!$P$7+AH!$P$8-1),0),0),0)</ns0:f>
        <ns0:v/>
      </ns0:c>
      <ns0:c r="I5" s="1">
        <ns0:f>IF($H5=0,0,IFERROR(IF(AND(ABS($C5-INDEX('AH History'!$B$1:$B$18046,$H5))&lt;=MAX(0.005,ABS(INDEX('AH History'!$B$1:$B$18046,$H5))*0.00005),ABS($D5-INDEX('AH History'!$C$1:$C$18046,$H5))&lt;=MAX(0.005,ABS(INDEX('AH History'!$C$1:$C$18046,$H5))*0.00005),ABS($E5-INDEX('AH History'!$D$1:$D$18046,$H5))&lt;=0.00005,$F5=INDEX('AH History'!$E$1:$E$18046,$H5),$G5=INDEX('AH History'!$F$1:$F$18046,$H5)),1,-1),-1))</ns0:f>
        <ns0:v/>
      </ns0:c>
      <ns0:c r="J5" s="1" t="n"/>
      <ns0:c r="K5" s="1" t="n"/>
      <ns0:c r="L5" s="1" t="n"/>
      <ns0:c r="M5" s="1" t="n"/>
      <ns0:c r="N5" s="1" t="n"/>
      <ns0:c r="O5" s="1" t="n"/>
      <ns0:c r="P5" s="1" t="n"/>
      <ns0:c r="Q5" s="1" t="n"/>
    </ns0:row>
    <ns0:row r="6" ht="22" customHeight="1">
      <ns0:c r="A6" s="217">
        <ns0:f>IF(OR(AH!$P$3=0,1+1&gt;AH!$P$11,AND(AH!$E$4&lt;&gt;"Stored",AH!$P$10&lt;&gt;1)),"",IFERROR(IF(AND(AH!$P$21=1,1+1=AH!$P$11),TODAY(),IF(AH!$P$10=1,INDEX('Live History'!$A$5:$A$3004,AH!$P$13+1),INDEX('AH History'!$A$1:$A$18046,AH!$P$7+1))),""))</ns0:f>
        <ns0:v>46036</ns0:v>
      </ns0:c>
      <ns0:c r="B6" s="218">
        <ns0:f>IFERROR(IF(AND(AH!$P$9&lt;&gt;1,$C6&gt;0,$D6&gt;0,$E6&gt;0,$F6&gt;0,$G6&gt;0,$F6&lt;=$A6,$G6&lt;=$A6,$A6-$F6&lt;=10,$A6-$G6&lt;=5),$D6*$E6/$C6-1,NA()),NA())</ns0:f>
        <ns0:v>0.25701418134901255</ns0:v>
      </ns0:c>
      <ns0:c r="C6" s="1">
        <ns0:f>IFERROR(IF(ISNUMBER($A6),IF(AND(AH!$P$10=1,AH!$P$12=1,$A6=TODAY()),AH!$P$19,IF(AH!$P$10=1,INDEX('Live History'!$B$5:$B$3004,AH!$P$13+1),INDEX('AH History'!$B$1:$B$18046,AH!$P$7+1))),NA()),NA())</ns0:f>
        <ns0:v>225.0</ns0:v>
      </ns0:c>
      <ns0:c r="D6" s="1">
        <ns0:f>IFERROR(IF(ISNUMBER($A6),IF(AND(AH!$P$10=1,AH!$P$12=1,$A6=TODAY()),AH!$P$18,IF(AH!$P$10=1,INDEX('Live History'!$E$5:$E$3004,MATCH($A6,'Live History'!$D$5:$D$3004,1)),INDEX('AH History'!$C$1:$C$18046,AH!$P$7+1))),NA()),NA())</ns0:f>
        <ns0:v>253.0</ns0:v>
      </ns0:c>
      <ns0:c r="E6" s="1">
        <ns0:f>IFERROR(IF(ISNUMBER($A6),IF(AND(AH!$P$10=1,AH!$P$12=1,$A6=TODAY()),AH!$P$20,IF(AH!$P$10=1,INDEX('Live History'!$H$5:$H$3004,MATCH($A6,'Live History'!$G$5:$G$3004,1)),INDEX('AH History'!$D$1:$D$18046,AH!$P$7+1))),NA()),NA())</ns0:f>
        <ns0:v>1.1178979873657227</ns0:v>
      </ns0:c>
      <ns0:c r="F6" s="1">
        <ns0:f>IFERROR(IF(ISNUMBER($A6),IF(AND(AH!$P$10=1,AH!$P$12=1,$A6=TODAY()),IF(AND(AH!$P$10=1,AH!$P$12=1,$A6=TODAY()),TODAY(),NA()),IF(AH!$P$10=1,INDEX('Live History'!$D$5:$D$3004,MATCH($A6,'Live History'!$D$5:$D$3004,1)),INDEX('AH History'!$E$1:$E$18046,AH!$P$7+1))),NA()),NA())</ns0:f>
        <ns0:v>46036</ns0:v>
      </ns0:c>
      <ns0:c r="G6" s="1">
        <ns0:f>IFERROR(IF(ISNUMBER($A6),IF(AND(AH!$P$10=1,AH!$P$12=1,$A6=TODAY()),IF(AND(AH!$P$10=1,AH!$P$12=1,$A6=TODAY()),TODAY(),NA()),IF(AH!$P$10=1,INDEX('Live History'!$G$5:$G$3004,MATCH($A6,'Live History'!$G$5:$G$3004,1)),INDEX('AH History'!$F$1:$F$18046,AH!$P$7+1))),NA()),NA())</ns0:f>
        <ns0:v>46036</ns0:v>
      </ns0:c>
      <ns0:c r="H6" s="1">
        <ns0:f>IFERROR(IF(AND(AH!$E$4="Bloomberg",AH!$P$10=1,ISNUMBER($A6),$A6&lt;=AH!$P$17),AH!$P$7-1+MATCH($A6,INDEX('AH History'!$A$1:$A$18046,AH!$P$7):INDEX('AH History'!$A$1:$A$18046,AH!$P$7+AH!$P$8-1),0),0),0)</ns0:f>
        <ns0:v/>
      </ns0:c>
      <ns0:c r="I6" s="1">
        <ns0:f>IF($H6=0,0,IFERROR(IF(AND(ABS($C6-INDEX('AH History'!$B$1:$B$18046,$H6))&lt;=MAX(0.005,ABS(INDEX('AH History'!$B$1:$B$18046,$H6))*0.00005),ABS($D6-INDEX('AH History'!$C$1:$C$18046,$H6))&lt;=MAX(0.005,ABS(INDEX('AH History'!$C$1:$C$18046,$H6))*0.00005),ABS($E6-INDEX('AH History'!$D$1:$D$18046,$H6))&lt;=0.00005,$F6=INDEX('AH History'!$E$1:$E$18046,$H6),$G6=INDEX('AH History'!$F$1:$F$18046,$H6)),1,-1),-1))</ns0:f>
        <ns0:v/>
      </ns0:c>
      <ns0:c r="J6" s="1" t="n"/>
      <ns0:c r="K6" s="1" t="n"/>
      <ns0:c r="L6" s="1" t="n"/>
      <ns0:c r="M6" s="1" t="n"/>
      <ns0:c r="N6" s="1" t="n"/>
      <ns0:c r="O6" s="1" t="n"/>
      <ns0:c r="P6" s="1" t="n"/>
      <ns0:c r="Q6" s="1" t="n"/>
    </ns0:row>
    <ns0:row r="7" ht="22" customHeight="1">
      <ns0:c r="A7" s="217">
        <ns0:f>IF(OR(AH!$P$3=0,2+1&gt;AH!$P$11,AND(AH!$E$4&lt;&gt;"Stored",AH!$P$10&lt;&gt;1)),"",IFERROR(IF(AND(AH!$P$21=1,2+1=AH!$P$11),TODAY(),IF(AH!$P$10=1,INDEX('Live History'!$A$5:$A$3004,AH!$P$13+2),INDEX('AH History'!$A$1:$A$18046,AH!$P$7+2))),""))</ns0:f>
        <ns0:v>46037</ns0:v>
      </ns0:c>
      <ns0:c r="B7" s="218">
        <ns0:f>IFERROR(IF(AND(AH!$P$9&lt;&gt;1,$C7&gt;0,$D7&gt;0,$E7&gt;0,$F7&gt;0,$G7&gt;0,$F7&lt;=$A7,$G7&lt;=$A7,$A7-$F7&lt;=10,$A7-$G7&lt;=5),$D7*$E7/$C7-1,NA()),NA())</ns0:f>
        <ns0:v>0.22344912238387082</ns0:v>
      </ns0:c>
      <ns0:c r="C7" s="1">
        <ns0:f>IFERROR(IF(ISNUMBER($A7),IF(AND(AH!$P$10=1,AH!$P$12=1,$A7=TODAY()),AH!$P$19,IF(AH!$P$10=1,INDEX('Live History'!$B$5:$B$3004,AH!$P$13+2),INDEX('AH History'!$B$1:$B$18046,AH!$P$7+2))),NA()),NA())</ns0:f>
        <ns0:v>233.0</ns0:v>
      </ns0:c>
      <ns0:c r="D7" s="1">
        <ns0:f>IFERROR(IF(ISNUMBER($A7),IF(AND(AH!$P$10=1,AH!$P$12=1,$A7=TODAY()),AH!$P$18,IF(AH!$P$10=1,INDEX('Live History'!$E$5:$E$3004,MATCH($A7,'Live History'!$D$5:$D$3004,1)),INDEX('AH History'!$C$1:$C$18046,AH!$P$7+2))),NA()),NA())</ns0:f>
        <ns0:v>254.96</ns0:v>
      </ns0:c>
      <ns0:c r="E7" s="1">
        <ns0:f>IFERROR(IF(ISNUMBER($A7),IF(AND(AH!$P$10=1,AH!$P$12=1,$A7=TODAY()),AH!$P$20,IF(AH!$P$10=1,INDEX('Live History'!$H$5:$H$3004,MATCH($A7,'Live History'!$G$5:$G$3004,1)),INDEX('AH History'!$D$1:$D$18046,AH!$P$7+2))),NA()),NA())</ns0:f>
        <ns0:v>1.1180720329284668</ns0:v>
      </ns0:c>
      <ns0:c r="F7" s="1">
        <ns0:f>IFERROR(IF(ISNUMBER($A7),IF(AND(AH!$P$10=1,AH!$P$12=1,$A7=TODAY()),IF(AND(AH!$P$10=1,AH!$P$12=1,$A7=TODAY()),TODAY(),NA()),IF(AH!$P$10=1,INDEX('Live History'!$D$5:$D$3004,MATCH($A7,'Live History'!$D$5:$D$3004,1)),INDEX('AH History'!$E$1:$E$18046,AH!$P$7+2))),NA()),NA())</ns0:f>
        <ns0:v>46037</ns0:v>
      </ns0:c>
      <ns0:c r="G7" s="1">
        <ns0:f>IFERROR(IF(ISNUMBER($A7),IF(AND(AH!$P$10=1,AH!$P$12=1,$A7=TODAY()),IF(AND(AH!$P$10=1,AH!$P$12=1,$A7=TODAY()),TODAY(),NA()),IF(AH!$P$10=1,INDEX('Live History'!$G$5:$G$3004,MATCH($A7,'Live History'!$G$5:$G$3004,1)),INDEX('AH History'!$F$1:$F$18046,AH!$P$7+2))),NA()),NA())</ns0:f>
        <ns0:v>46037</ns0:v>
      </ns0:c>
      <ns0:c r="H7" s="1">
        <ns0:f>IFERROR(IF(AND(AH!$E$4="Bloomberg",AH!$P$10=1,ISNUMBER($A7),$A7&lt;=AH!$P$17),AH!$P$7-1+MATCH($A7,INDEX('AH History'!$A$1:$A$18046,AH!$P$7):INDEX('AH History'!$A$1:$A$18046,AH!$P$7+AH!$P$8-1),0),0),0)</ns0:f>
        <ns0:v/>
      </ns0:c>
      <ns0:c r="I7" s="1">
        <ns0:f>IF($H7=0,0,IFERROR(IF(AND(ABS($C7-INDEX('AH History'!$B$1:$B$18046,$H7))&lt;=MAX(0.005,ABS(INDEX('AH History'!$B$1:$B$18046,$H7))*0.00005),ABS($D7-INDEX('AH History'!$C$1:$C$18046,$H7))&lt;=MAX(0.005,ABS(INDEX('AH History'!$C$1:$C$18046,$H7))*0.00005),ABS($E7-INDEX('AH History'!$D$1:$D$18046,$H7))&lt;=0.00005,$F7=INDEX('AH History'!$E$1:$E$18046,$H7),$G7=INDEX('AH History'!$F$1:$F$18046,$H7)),1,-1),-1))</ns0:f>
        <ns0:v/>
      </ns0:c>
      <ns0:c r="J7" s="1" t="n"/>
      <ns0:c r="K7" s="1" t="n"/>
      <ns0:c r="L7" s="1" t="n"/>
      <ns0:c r="M7" s="1" t="n"/>
      <ns0:c r="N7" s="1" t="n"/>
      <ns0:c r="O7" s="1" t="n"/>
      <ns0:c r="P7" s="1" t="n"/>
      <ns0:c r="Q7" s="1" t="n"/>
    </ns0:row>
    <ns0:row r="8" ht="22" customHeight="1">
      <ns0:c r="A8" s="217">
        <ns0:f>IF(OR(AH!$P$3=0,3+1&gt;AH!$P$11,AND(AH!$E$4&lt;&gt;"Stored",AH!$P$10&lt;&gt;1)),"",IFERROR(IF(AND(AH!$P$21=1,3+1=AH!$P$11),TODAY(),IF(AH!$P$10=1,INDEX('Live History'!$A$5:$A$3004,AH!$P$13+3),INDEX('AH History'!$A$1:$A$18046,AH!$P$7+3))),""))</ns0:f>
        <ns0:v>46038</ns0:v>
      </ns0:c>
      <ns0:c r="B8" s="218">
        <ns0:f>IFERROR(IF(AND(AH!$P$9&lt;&gt;1,$C8&gt;0,$D8&gt;0,$E8&gt;0,$F8&gt;0,$G8&gt;0,$F8&lt;=$A8,$G8&lt;=$A8,$A8-$F8&lt;=10,$A8-$G8&lt;=5),$D8*$E8/$C8-1,NA()),NA())</ns0:f>
        <ns0:v>0.15384544803815725</ns0:v>
      </ns0:c>
      <ns0:c r="C8" s="1">
        <ns0:f>IFERROR(IF(ISNUMBER($A8),IF(AND(AH!$P$10=1,AH!$P$12=1,$A8=TODAY()),AH!$P$19,IF(AH!$P$10=1,INDEX('Live History'!$B$5:$B$3004,AH!$P$13+3),INDEX('AH History'!$B$1:$B$18046,AH!$P$7+3))),NA()),NA())</ns0:f>
        <ns0:v>272.0</ns0:v>
      </ns0:c>
      <ns0:c r="D8" s="1">
        <ns0:f>IFERROR(IF(ISNUMBER($A8),IF(AND(AH!$P$10=1,AH!$P$12=1,$A8=TODAY()),AH!$P$18,IF(AH!$P$10=1,INDEX('Live History'!$E$5:$E$3004,MATCH($A8,'Live History'!$D$5:$D$3004,1)),INDEX('AH History'!$C$1:$C$18046,AH!$P$7+3))),NA()),NA())</ns0:f>
        <ns0:v>280.46</ns0:v>
      </ns0:c>
      <ns0:c r="E8" s="1">
        <ns0:f>IFERROR(IF(ISNUMBER($A8),IF(AND(AH!$P$10=1,AH!$P$12=1,$A8=TODAY()),AH!$P$20,IF(AH!$P$10=1,INDEX('Live History'!$H$5:$H$3004,MATCH($A8,'Live History'!$G$5:$G$3004,1)),INDEX('AH History'!$D$1:$D$18046,AH!$P$7+3))),NA()),NA())</ns0:f>
        <ns0:v>1.1190400123596191</ns0:v>
      </ns0:c>
      <ns0:c r="F8" s="1">
        <ns0:f>IFERROR(IF(ISNUMBER($A8),IF(AND(AH!$P$10=1,AH!$P$12=1,$A8=TODAY()),IF(AND(AH!$P$10=1,AH!$P$12=1,$A8=TODAY()),TODAY(),NA()),IF(AH!$P$10=1,INDEX('Live History'!$D$5:$D$3004,MATCH($A8,'Live History'!$D$5:$D$3004,1)),INDEX('AH History'!$E$1:$E$18046,AH!$P$7+3))),NA()),NA())</ns0:f>
        <ns0:v>46038</ns0:v>
      </ns0:c>
      <ns0:c r="G8" s="1">
        <ns0:f>IFERROR(IF(ISNUMBER($A8),IF(AND(AH!$P$10=1,AH!$P$12=1,$A8=TODAY()),IF(AND(AH!$P$10=1,AH!$P$12=1,$A8=TODAY()),TODAY(),NA()),IF(AH!$P$10=1,INDEX('Live History'!$G$5:$G$3004,MATCH($A8,'Live History'!$G$5:$G$3004,1)),INDEX('AH History'!$F$1:$F$18046,AH!$P$7+3))),NA()),NA())</ns0:f>
        <ns0:v>46038</ns0:v>
      </ns0:c>
      <ns0:c r="H8" s="1">
        <ns0:f>IFERROR(IF(AND(AH!$E$4="Bloomberg",AH!$P$10=1,ISNUMBER($A8),$A8&lt;=AH!$P$17),AH!$P$7-1+MATCH($A8,INDEX('AH History'!$A$1:$A$18046,AH!$P$7):INDEX('AH History'!$A$1:$A$18046,AH!$P$7+AH!$P$8-1),0),0),0)</ns0:f>
        <ns0:v/>
      </ns0:c>
      <ns0:c r="I8" s="1">
        <ns0:f>IF($H8=0,0,IFERROR(IF(AND(ABS($C8-INDEX('AH History'!$B$1:$B$18046,$H8))&lt;=MAX(0.005,ABS(INDEX('AH History'!$B$1:$B$18046,$H8))*0.00005),ABS($D8-INDEX('AH History'!$C$1:$C$18046,$H8))&lt;=MAX(0.005,ABS(INDEX('AH History'!$C$1:$C$18046,$H8))*0.00005),ABS($E8-INDEX('AH History'!$D$1:$D$18046,$H8))&lt;=0.00005,$F8=INDEX('AH History'!$E$1:$E$18046,$H8),$G8=INDEX('AH History'!$F$1:$F$18046,$H8)),1,-1),-1))</ns0:f>
        <ns0:v/>
      </ns0:c>
      <ns0:c r="J8" s="1" t="n"/>
      <ns0:c r="K8" s="1" t="n"/>
      <ns0:c r="L8" s="1" t="n"/>
      <ns0:c r="M8" s="1" t="n"/>
      <ns0:c r="N8" s="1" t="n"/>
      <ns0:c r="O8" s="1" t="n"/>
      <ns0:c r="P8" s="1" t="n"/>
      <ns0:c r="Q8" s="1" t="n"/>
    </ns0:row>
    <ns0:row r="9" ht="22" customHeight="1">
      <ns0:c r="A9" s="217">
        <ns0:f>IF(OR(AH!$P$3=0,4+1&gt;AH!$P$11,AND(AH!$E$4&lt;&gt;"Stored",AH!$P$10&lt;&gt;1)),"",IFERROR(IF(AND(AH!$P$21=1,4+1=AH!$P$11),TODAY(),IF(AH!$P$10=1,INDEX('Live History'!$A$5:$A$3004,AH!$P$13+4),INDEX('AH History'!$A$1:$A$18046,AH!$P$7+4))),""))</ns0:f>
        <ns0:v>46041</ns0:v>
      </ns0:c>
      <ns0:c r="B9" s="218">
        <ns0:f>IFERROR(IF(AND(AH!$P$9&lt;&gt;1,$C9&gt;0,$D9&gt;0,$E9&gt;0,$F9&gt;0,$G9&gt;0,$F9&lt;=$A9,$G9&lt;=$A9,$A9-$F9&lt;=10,$A9-$G9&lt;=5),$D9*$E9/$C9-1,NA()),NA())</ns0:f>
        <ns0:v>0.11293562140958069</ns0:v>
      </ns0:c>
      <ns0:c r="C9" s="1">
        <ns0:f>IFERROR(IF(ISNUMBER($A9),IF(AND(AH!$P$10=1,AH!$P$12=1,$A9=TODAY()),AH!$P$19,IF(AH!$P$10=1,INDEX('Live History'!$B$5:$B$3004,AH!$P$13+4),INDEX('AH History'!$B$1:$B$18046,AH!$P$7+4))),NA()),NA())</ns0:f>
        <ns0:v>290.0</ns0:v>
      </ns0:c>
      <ns0:c r="D9" s="1">
        <ns0:f>IFERROR(IF(ISNUMBER($A9),IF(AND(AH!$P$10=1,AH!$P$12=1,$A9=TODAY()),AH!$P$18,IF(AH!$P$10=1,INDEX('Live History'!$E$5:$E$3004,MATCH($A9,'Live History'!$D$5:$D$3004,1)),INDEX('AH History'!$C$1:$C$18046,AH!$P$7+4))),NA()),NA())</ns0:f>
        <ns0:v>288.45</ns0:v>
      </ns0:c>
      <ns0:c r="E9" s="1">
        <ns0:f>IFERROR(IF(ISNUMBER($A9),IF(AND(AH!$P$10=1,AH!$P$12=1,$A9=TODAY()),AH!$P$20,IF(AH!$P$10=1,INDEX('Live History'!$H$5:$H$3004,MATCH($A9,'Live History'!$G$5:$G$3004,1)),INDEX('AH History'!$D$1:$D$18046,AH!$P$7+4))),NA()),NA())</ns0:f>
        <ns0:v>1.1189160346984863</ns0:v>
      </ns0:c>
      <ns0:c r="F9" s="1">
        <ns0:f>IFERROR(IF(ISNUMBER($A9),IF(AND(AH!$P$10=1,AH!$P$12=1,$A9=TODAY()),IF(AND(AH!$P$10=1,AH!$P$12=1,$A9=TODAY()),TODAY(),NA()),IF(AH!$P$10=1,INDEX('Live History'!$D$5:$D$3004,MATCH($A9,'Live History'!$D$5:$D$3004,1)),INDEX('AH History'!$E$1:$E$18046,AH!$P$7+4))),NA()),NA())</ns0:f>
        <ns0:v>46041</ns0:v>
      </ns0:c>
      <ns0:c r="G9" s="1">
        <ns0:f>IFERROR(IF(ISNUMBER($A9),IF(AND(AH!$P$10=1,AH!$P$12=1,$A9=TODAY()),IF(AND(AH!$P$10=1,AH!$P$12=1,$A9=TODAY()),TODAY(),NA()),IF(AH!$P$10=1,INDEX('Live History'!$G$5:$G$3004,MATCH($A9,'Live History'!$G$5:$G$3004,1)),INDEX('AH History'!$F$1:$F$18046,AH!$P$7+4))),NA()),NA())</ns0:f>
        <ns0:v>46041</ns0:v>
      </ns0:c>
      <ns0:c r="H9" s="1">
        <ns0:f>IFERROR(IF(AND(AH!$E$4="Bloomberg",AH!$P$10=1,ISNUMBER($A9),$A9&lt;=AH!$P$17),AH!$P$7-1+MATCH($A9,INDEX('AH History'!$A$1:$A$18046,AH!$P$7):INDEX('AH History'!$A$1:$A$18046,AH!$P$7+AH!$P$8-1),0),0),0)</ns0:f>
        <ns0:v/>
      </ns0:c>
      <ns0:c r="I9" s="1">
        <ns0:f>IF($H9=0,0,IFERROR(IF(AND(ABS($C9-INDEX('AH History'!$B$1:$B$18046,$H9))&lt;=MAX(0.005,ABS(INDEX('AH History'!$B$1:$B$18046,$H9))*0.00005),ABS($D9-INDEX('AH History'!$C$1:$C$18046,$H9))&lt;=MAX(0.005,ABS(INDEX('AH History'!$C$1:$C$18046,$H9))*0.00005),ABS($E9-INDEX('AH History'!$D$1:$D$18046,$H9))&lt;=0.00005,$F9=INDEX('AH History'!$E$1:$E$18046,$H9),$G9=INDEX('AH History'!$F$1:$F$18046,$H9)),1,-1),-1))</ns0:f>
        <ns0:v/>
      </ns0:c>
      <ns0:c r="J9" s="1" t="n"/>
      <ns0:c r="K9" s="1" t="n"/>
      <ns0:c r="L9" s="1" t="n"/>
      <ns0:c r="M9" s="1" t="n"/>
      <ns0:c r="N9" s="1" t="n"/>
      <ns0:c r="O9" s="1" t="n"/>
      <ns0:c r="P9" s="1" t="n"/>
      <ns0:c r="Q9" s="1" t="n"/>
    </ns0:row>
    <ns0:row r="10" ht="22" customHeight="1">
      <ns0:c r="A10" s="217">
        <ns0:f>IF(OR(AH!$P$3=0,5+1&gt;AH!$P$11,AND(AH!$E$4&lt;&gt;"Stored",AH!$P$10&lt;&gt;1)),"",IFERROR(IF(AND(AH!$P$21=1,5+1=AH!$P$11),TODAY(),IF(AH!$P$10=1,INDEX('Live History'!$A$5:$A$3004,AH!$P$13+5),INDEX('AH History'!$A$1:$A$18046,AH!$P$7+5))),""))</ns0:f>
        <ns0:v>46042</ns0:v>
      </ns0:c>
      <ns0:c r="B10" s="218">
        <ns0:f>IFERROR(IF(AND(AH!$P$9&lt;&gt;1,$C10&gt;0,$D10&gt;0,$E10&gt;0,$F10&gt;0,$G10&gt;0,$F10&lt;=$A10,$G10&lt;=$A10,$A10-$F10&lt;=10,$A10-$G10&lt;=5),$D10*$E10/$C10-1,NA()),NA())</ns0:f>
        <ns0:v>0.06750618398579111</ns0:v>
      </ns0:c>
      <ns0:c r="C10" s="1">
        <ns0:f>IFERROR(IF(ISNUMBER($A10),IF(AND(AH!$P$10=1,AH!$P$12=1,$A10=TODAY()),AH!$P$19,IF(AH!$P$10=1,INDEX('Live History'!$B$5:$B$3004,AH!$P$13+5),INDEX('AH History'!$B$1:$B$18046,AH!$P$7+5))),NA()),NA())</ns0:f>
        <ns0:v>306.0</ns0:v>
      </ns0:c>
      <ns0:c r="D10" s="1">
        <ns0:f>IFERROR(IF(ISNUMBER($A10),IF(AND(AH!$P$10=1,AH!$P$12=1,$A10=TODAY()),AH!$P$18,IF(AH!$P$10=1,INDEX('Live History'!$E$5:$E$3004,MATCH($A10,'Live History'!$D$5:$D$3004,1)),INDEX('AH History'!$C$1:$C$18046,AH!$P$7+5))),NA()),NA())</ns0:f>
        <ns0:v>292.0</ns0:v>
      </ns0:c>
      <ns0:c r="E10" s="1">
        <ns0:f>IFERROR(IF(ISNUMBER($A10),IF(AND(AH!$P$10=1,AH!$P$12=1,$A10=TODAY()),AH!$P$20,IF(AH!$P$10=1,INDEX('Live History'!$H$5:$H$3004,MATCH($A10,'Live History'!$G$5:$G$3004,1)),INDEX('AH History'!$D$1:$D$18046,AH!$P$7+5))),NA()),NA())</ns0:f>
        <ns0:v>1.1186879873275757</ns0:v>
      </ns0:c>
      <ns0:c r="F10" s="1">
        <ns0:f>IFERROR(IF(ISNUMBER($A10),IF(AND(AH!$P$10=1,AH!$P$12=1,$A10=TODAY()),IF(AND(AH!$P$10=1,AH!$P$12=1,$A10=TODAY()),TODAY(),NA()),IF(AH!$P$10=1,INDEX('Live History'!$D$5:$D$3004,MATCH($A10,'Live History'!$D$5:$D$3004,1)),INDEX('AH History'!$E$1:$E$18046,AH!$P$7+5))),NA()),NA())</ns0:f>
        <ns0:v>46042</ns0:v>
      </ns0:c>
      <ns0:c r="G10" s="1">
        <ns0:f>IFERROR(IF(ISNUMBER($A10),IF(AND(AH!$P$10=1,AH!$P$12=1,$A10=TODAY()),IF(AND(AH!$P$10=1,AH!$P$12=1,$A10=TODAY()),TODAY(),NA()),IF(AH!$P$10=1,INDEX('Live History'!$G$5:$G$3004,MATCH($A10,'Live History'!$G$5:$G$3004,1)),INDEX('AH History'!$F$1:$F$18046,AH!$P$7+5))),NA()),NA())</ns0:f>
        <ns0:v>46042</ns0:v>
      </ns0:c>
      <ns0:c r="H10" s="1">
        <ns0:f>IFERROR(IF(AND(AH!$E$4="Bloomberg",AH!$P$10=1,ISNUMBER($A10),$A10&lt;=AH!$P$17),AH!$P$7-1+MATCH($A10,INDEX('AH History'!$A$1:$A$18046,AH!$P$7):INDEX('AH History'!$A$1:$A$18046,AH!$P$7+AH!$P$8-1),0),0),0)</ns0:f>
        <ns0:v/>
      </ns0:c>
      <ns0:c r="I10" s="1">
        <ns0:f>IF($H10=0,0,IFERROR(IF(AND(ABS($C10-INDEX('AH History'!$B$1:$B$18046,$H10))&lt;=MAX(0.005,ABS(INDEX('AH History'!$B$1:$B$18046,$H10))*0.00005),ABS($D10-INDEX('AH History'!$C$1:$C$18046,$H10))&lt;=MAX(0.005,ABS(INDEX('AH History'!$C$1:$C$18046,$H10))*0.00005),ABS($E10-INDEX('AH History'!$D$1:$D$18046,$H10))&lt;=0.00005,$F10=INDEX('AH History'!$E$1:$E$18046,$H10),$G10=INDEX('AH History'!$F$1:$F$18046,$H10)),1,-1),-1))</ns0:f>
        <ns0:v/>
      </ns0:c>
      <ns0:c r="J10" s="1" t="n"/>
      <ns0:c r="K10" s="1" t="n"/>
      <ns0:c r="L10" s="1" t="n"/>
      <ns0:c r="M10" s="1" t="n"/>
      <ns0:c r="N10" s="1" t="n"/>
      <ns0:c r="O10" s="1" t="n"/>
      <ns0:c r="P10" s="1" t="n"/>
      <ns0:c r="Q10" s="1" t="n"/>
    </ns0:row>
    <ns0:row r="11" ht="22" customHeight="1">
      <ns0:c r="A11" s="217">
        <ns0:f>IF(OR(AH!$P$3=0,6+1&gt;AH!$P$11,AND(AH!$E$4&lt;&gt;"Stored",AH!$P$10&lt;&gt;1)),"",IFERROR(IF(AND(AH!$P$21=1,6+1=AH!$P$11),TODAY(),IF(AH!$P$10=1,INDEX('Live History'!$A$5:$A$3004,AH!$P$13+6),INDEX('AH History'!$A$1:$A$18046,AH!$P$7+6))),""))</ns0:f>
        <ns0:v>46043</ns0:v>
      </ns0:c>
      <ns0:c r="B11" s="218">
        <ns0:f>IFERROR(IF(AND(AH!$P$9&lt;&gt;1,$C11&gt;0,$D11&gt;0,$E11&gt;0,$F11&gt;0,$G11&gt;0,$F11&lt;=$A11,$G11&lt;=$A11,$A11-$F11&lt;=10,$A11-$G11&lt;=5),$D11*$E11/$C11-1,NA()),NA())</ns0:f>
        <ns0:v>0.06109885588802122</ns0:v>
      </ns0:c>
      <ns0:c r="C11" s="1">
        <ns0:f>IFERROR(IF(ISNUMBER($A11),IF(AND(AH!$P$10=1,AH!$P$12=1,$A11=TODAY()),AH!$P$19,IF(AH!$P$10=1,INDEX('Live History'!$B$5:$B$3004,AH!$P$13+6),INDEX('AH History'!$B$1:$B$18046,AH!$P$7+6))),NA()),NA())</ns0:f>
        <ns0:v>324.8</ns0:v>
      </ns0:c>
      <ns0:c r="D11" s="1">
        <ns0:f>IFERROR(IF(ISNUMBER($A11),IF(AND(AH!$P$10=1,AH!$P$12=1,$A11=TODAY()),AH!$P$18,IF(AH!$P$10=1,INDEX('Live History'!$E$5:$E$3004,MATCH($A11,'Live History'!$D$5:$D$3004,1)),INDEX('AH History'!$C$1:$C$18046,AH!$P$7+6))),NA()),NA())</ns0:f>
        <ns0:v>307.65</ns0:v>
      </ns0:c>
      <ns0:c r="E11" s="1">
        <ns0:f>IFERROR(IF(ISNUMBER($A11),IF(AND(AH!$P$10=1,AH!$P$12=1,$A11=TODAY()),AH!$P$20,IF(AH!$P$10=1,INDEX('Live History'!$H$5:$H$3004,MATCH($A11,'Live History'!$G$5:$G$3004,1)),INDEX('AH History'!$D$1:$D$18046,AH!$P$7+6))),NA()),NA())</ns0:f>
        <ns0:v>1.1202499866485596</ns0:v>
      </ns0:c>
      <ns0:c r="F11" s="1">
        <ns0:f>IFERROR(IF(ISNUMBER($A11),IF(AND(AH!$P$10=1,AH!$P$12=1,$A11=TODAY()),IF(AND(AH!$P$10=1,AH!$P$12=1,$A11=TODAY()),TODAY(),NA()),IF(AH!$P$10=1,INDEX('Live History'!$D$5:$D$3004,MATCH($A11,'Live History'!$D$5:$D$3004,1)),INDEX('AH History'!$E$1:$E$18046,AH!$P$7+6))),NA()),NA())</ns0:f>
        <ns0:v>46043</ns0:v>
      </ns0:c>
      <ns0:c r="G11" s="1">
        <ns0:f>IFERROR(IF(ISNUMBER($A11),IF(AND(AH!$P$10=1,AH!$P$12=1,$A11=TODAY()),IF(AND(AH!$P$10=1,AH!$P$12=1,$A11=TODAY()),TODAY(),NA()),IF(AH!$P$10=1,INDEX('Live History'!$G$5:$G$3004,MATCH($A11,'Live History'!$G$5:$G$3004,1)),INDEX('AH History'!$F$1:$F$18046,AH!$P$7+6))),NA()),NA())</ns0:f>
        <ns0:v>46043</ns0:v>
      </ns0:c>
      <ns0:c r="H11" s="1">
        <ns0:f>IFERROR(IF(AND(AH!$E$4="Bloomberg",AH!$P$10=1,ISNUMBER($A11),$A11&lt;=AH!$P$17),AH!$P$7-1+MATCH($A11,INDEX('AH History'!$A$1:$A$18046,AH!$P$7):INDEX('AH History'!$A$1:$A$18046,AH!$P$7+AH!$P$8-1),0),0),0)</ns0:f>
        <ns0:v/>
      </ns0:c>
      <ns0:c r="I11" s="1">
        <ns0:f>IF($H11=0,0,IFERROR(IF(AND(ABS($C11-INDEX('AH History'!$B$1:$B$18046,$H11))&lt;=MAX(0.005,ABS(INDEX('AH History'!$B$1:$B$18046,$H11))*0.00005),ABS($D11-INDEX('AH History'!$C$1:$C$18046,$H11))&lt;=MAX(0.005,ABS(INDEX('AH History'!$C$1:$C$18046,$H11))*0.00005),ABS($E11-INDEX('AH History'!$D$1:$D$18046,$H11))&lt;=0.00005,$F11=INDEX('AH History'!$E$1:$E$18046,$H11),$G11=INDEX('AH History'!$F$1:$F$18046,$H11)),1,-1),-1))</ns0:f>
        <ns0:v/>
      </ns0:c>
      <ns0:c r="J11" s="1" t="n"/>
      <ns0:c r="K11" s="1" t="n"/>
      <ns0:c r="L11" s="1" t="n"/>
      <ns0:c r="M11" s="1" t="n"/>
      <ns0:c r="N11" s="1" t="n"/>
      <ns0:c r="O11" s="1" t="n"/>
      <ns0:c r="P11" s="1" t="n"/>
      <ns0:c r="Q11" s="1" t="n"/>
    </ns0:row>
    <ns0:row r="12" ht="22" customHeight="1">
      <ns0:c r="A12" s="217">
        <ns0:f>IF(OR(AH!$P$3=0,7+1&gt;AH!$P$11,AND(AH!$E$4&lt;&gt;"Stored",AH!$P$10&lt;&gt;1)),"",IFERROR(IF(AND(AH!$P$21=1,7+1=AH!$P$11),TODAY(),IF(AH!$P$10=1,INDEX('Live History'!$A$5:$A$3004,AH!$P$13+7),INDEX('AH History'!$A$1:$A$18046,AH!$P$7+7))),""))</ns0:f>
        <ns0:v>46044</ns0:v>
      </ns0:c>
      <ns0:c r="B12" s="218">
        <ns0:f>IFERROR(IF(AND(AH!$P$9&lt;&gt;1,$C12&gt;0,$D12&gt;0,$E12&gt;0,$F12&gt;0,$G12&gt;0,$F12&lt;=$A12,$G12&lt;=$A12,$A12-$F12&lt;=10,$A12-$G12&lt;=5),$D12*$E12/$C12-1,NA()),NA())</ns0:f>
        <ns0:v>0.13245683878060155</ns0:v>
      </ns0:c>
      <ns0:c r="C12" s="1">
        <ns0:f>IFERROR(IF(ISNUMBER($A12),IF(AND(AH!$P$10=1,AH!$P$12=1,$A12=TODAY()),AH!$P$19,IF(AH!$P$10=1,INDEX('Live History'!$B$5:$B$3004,AH!$P$13+7),INDEX('AH History'!$B$1:$B$18046,AH!$P$7+7))),NA()),NA())</ns0:f>
        <ns0:v>298.0</ns0:v>
      </ns0:c>
      <ns0:c r="D12" s="1">
        <ns0:f>IFERROR(IF(ISNUMBER($A12),IF(AND(AH!$P$10=1,AH!$P$12=1,$A12=TODAY()),AH!$P$18,IF(AH!$P$10=1,INDEX('Live History'!$E$5:$E$3004,MATCH($A12,'Live History'!$D$5:$D$3004,1)),INDEX('AH History'!$C$1:$C$18046,AH!$P$7+7))),NA()),NA())</ns0:f>
        <ns0:v>301.47</ns0:v>
      </ns0:c>
      <ns0:c r="E12" s="1">
        <ns0:f>IFERROR(IF(ISNUMBER($A12),IF(AND(AH!$P$10=1,AH!$P$12=1,$A12=TODAY()),AH!$P$20,IF(AH!$P$10=1,INDEX('Live History'!$H$5:$H$3004,MATCH($A12,'Live History'!$G$5:$G$3004,1)),INDEX('AH History'!$D$1:$D$18046,AH!$P$7+7))),NA()),NA())</ns0:f>
        <ns0:v>1.1194219589233398</ns0:v>
      </ns0:c>
      <ns0:c r="F12" s="1">
        <ns0:f>IFERROR(IF(ISNUMBER($A12),IF(AND(AH!$P$10=1,AH!$P$12=1,$A12=TODAY()),IF(AND(AH!$P$10=1,AH!$P$12=1,$A12=TODAY()),TODAY(),NA()),IF(AH!$P$10=1,INDEX('Live History'!$D$5:$D$3004,MATCH($A12,'Live History'!$D$5:$D$3004,1)),INDEX('AH History'!$E$1:$E$18046,AH!$P$7+7))),NA()),NA())</ns0:f>
        <ns0:v>46044</ns0:v>
      </ns0:c>
      <ns0:c r="G12" s="1">
        <ns0:f>IFERROR(IF(ISNUMBER($A12),IF(AND(AH!$P$10=1,AH!$P$12=1,$A12=TODAY()),IF(AND(AH!$P$10=1,AH!$P$12=1,$A12=TODAY()),TODAY(),NA()),IF(AH!$P$10=1,INDEX('Live History'!$G$5:$G$3004,MATCH($A12,'Live History'!$G$5:$G$3004,1)),INDEX('AH History'!$F$1:$F$18046,AH!$P$7+7))),NA()),NA())</ns0:f>
        <ns0:v>46044</ns0:v>
      </ns0:c>
      <ns0:c r="H12" s="1">
        <ns0:f>IFERROR(IF(AND(AH!$E$4="Bloomberg",AH!$P$10=1,ISNUMBER($A12),$A12&lt;=AH!$P$17),AH!$P$7-1+MATCH($A12,INDEX('AH History'!$A$1:$A$18046,AH!$P$7):INDEX('AH History'!$A$1:$A$18046,AH!$P$7+AH!$P$8-1),0),0),0)</ns0:f>
        <ns0:v/>
      </ns0:c>
      <ns0:c r="I12" s="1">
        <ns0:f>IF($H12=0,0,IFERROR(IF(AND(ABS($C12-INDEX('AH History'!$B$1:$B$18046,$H12))&lt;=MAX(0.005,ABS(INDEX('AH History'!$B$1:$B$18046,$H12))*0.00005),ABS($D12-INDEX('AH History'!$C$1:$C$18046,$H12))&lt;=MAX(0.005,ABS(INDEX('AH History'!$C$1:$C$18046,$H12))*0.00005),ABS($E12-INDEX('AH History'!$D$1:$D$18046,$H12))&lt;=0.00005,$F12=INDEX('AH History'!$E$1:$E$18046,$H12),$G12=INDEX('AH History'!$F$1:$F$18046,$H12)),1,-1),-1))</ns0:f>
        <ns0:v/>
      </ns0:c>
      <ns0:c r="J12" s="1" t="n"/>
      <ns0:c r="K12" s="1" t="n"/>
      <ns0:c r="L12" s="1" t="n"/>
      <ns0:c r="M12" s="1" t="n"/>
      <ns0:c r="N12" s="1" t="n"/>
      <ns0:c r="O12" s="1" t="n"/>
      <ns0:c r="P12" s="1" t="n"/>
      <ns0:c r="Q12" s="1" t="n"/>
    </ns0:row>
    <ns0:row r="13" ht="22" customHeight="1">
      <ns0:c r="A13" s="217">
        <ns0:f>IF(OR(AH!$P$3=0,8+1&gt;AH!$P$11,AND(AH!$E$4&lt;&gt;"Stored",AH!$P$10&lt;&gt;1)),"",IFERROR(IF(AND(AH!$P$21=1,8+1=AH!$P$11),TODAY(),IF(AH!$P$10=1,INDEX('Live History'!$A$5:$A$3004,AH!$P$13+8),INDEX('AH History'!$A$1:$A$18046,AH!$P$7+8))),""))</ns0:f>
        <ns0:v>46045</ns0:v>
      </ns0:c>
      <ns0:c r="B13" s="218">
        <ns0:f>IFERROR(IF(AND(AH!$P$9&lt;&gt;1,$C13&gt;0,$D13&gt;0,$E13&gt;0,$F13&gt;0,$G13&gt;0,$F13&lt;=$A13,$G13&lt;=$A13,$A13-$F13&lt;=10,$A13-$G13&lt;=5),$D13*$E13/$C13-1,NA()),NA())</ns0:f>
        <ns0:v>0.05230827613523137</ns0:v>
      </ns0:c>
      <ns0:c r="C13" s="1">
        <ns0:f>IFERROR(IF(ISNUMBER($A13),IF(AND(AH!$P$10=1,AH!$P$12=1,$A13=TODAY()),AH!$P$19,IF(AH!$P$10=1,INDEX('Live History'!$B$5:$B$3004,AH!$P$13+8),INDEX('AH History'!$B$1:$B$18046,AH!$P$7+8))),NA()),NA())</ns0:f>
        <ns0:v>315.8</ns0:v>
      </ns0:c>
      <ns0:c r="D13" s="1">
        <ns0:f>IFERROR(IF(ISNUMBER($A13),IF(AND(AH!$P$10=1,AH!$P$12=1,$A13=TODAY()),AH!$P$18,IF(AH!$P$10=1,INDEX('Live History'!$E$5:$E$3004,MATCH($A13,'Live History'!$D$5:$D$3004,1)),INDEX('AH History'!$C$1:$C$18046,AH!$P$7+8))),NA()),NA())</ns0:f>
        <ns0:v>297.25</ns0:v>
      </ns0:c>
      <ns0:c r="E13" s="1">
        <ns0:f>IFERROR(IF(ISNUMBER($A13),IF(AND(AH!$P$10=1,AH!$P$12=1,$A13=TODAY()),AH!$P$20,IF(AH!$P$10=1,INDEX('Live History'!$H$5:$H$3004,MATCH($A13,'Live History'!$G$5:$G$3004,1)),INDEX('AH History'!$D$1:$D$18046,AH!$P$7+8))),NA()),NA())</ns0:f>
        <ns0:v>1.1179779767990112</ns0:v>
      </ns0:c>
      <ns0:c r="F13" s="1">
        <ns0:f>IFERROR(IF(ISNUMBER($A13),IF(AND(AH!$P$10=1,AH!$P$12=1,$A13=TODAY()),IF(AND(AH!$P$10=1,AH!$P$12=1,$A13=TODAY()),TODAY(),NA()),IF(AH!$P$10=1,INDEX('Live History'!$D$5:$D$3004,MATCH($A13,'Live History'!$D$5:$D$3004,1)),INDEX('AH History'!$E$1:$E$18046,AH!$P$7+8))),NA()),NA())</ns0:f>
        <ns0:v>46045</ns0:v>
      </ns0:c>
      <ns0:c r="G13" s="1">
        <ns0:f>IFERROR(IF(ISNUMBER($A13),IF(AND(AH!$P$10=1,AH!$P$12=1,$A13=TODAY()),IF(AND(AH!$P$10=1,AH!$P$12=1,$A13=TODAY()),TODAY(),NA()),IF(AH!$P$10=1,INDEX('Live History'!$G$5:$G$3004,MATCH($A13,'Live History'!$G$5:$G$3004,1)),INDEX('AH History'!$F$1:$F$18046,AH!$P$7+8))),NA()),NA())</ns0:f>
        <ns0:v>46045</ns0:v>
      </ns0:c>
      <ns0:c r="H13" s="1">
        <ns0:f>IFERROR(IF(AND(AH!$E$4="Bloomberg",AH!$P$10=1,ISNUMBER($A13),$A13&lt;=AH!$P$17),AH!$P$7-1+MATCH($A13,INDEX('AH History'!$A$1:$A$18046,AH!$P$7):INDEX('AH History'!$A$1:$A$18046,AH!$P$7+AH!$P$8-1),0),0),0)</ns0:f>
        <ns0:v/>
      </ns0:c>
      <ns0:c r="I13" s="1">
        <ns0:f>IF($H13=0,0,IFERROR(IF(AND(ABS($C13-INDEX('AH History'!$B$1:$B$18046,$H13))&lt;=MAX(0.005,ABS(INDEX('AH History'!$B$1:$B$18046,$H13))*0.00005),ABS($D13-INDEX('AH History'!$C$1:$C$18046,$H13))&lt;=MAX(0.005,ABS(INDEX('AH History'!$C$1:$C$18046,$H13))*0.00005),ABS($E13-INDEX('AH History'!$D$1:$D$18046,$H13))&lt;=0.00005,$F13=INDEX('AH History'!$E$1:$E$18046,$H13),$G13=INDEX('AH History'!$F$1:$F$18046,$H13)),1,-1),-1))</ns0:f>
        <ns0:v/>
      </ns0:c>
      <ns0:c r="J13" s="1" t="n"/>
      <ns0:c r="K13" s="1" t="n"/>
      <ns0:c r="L13" s="1" t="n"/>
      <ns0:c r="M13" s="1" t="n"/>
      <ns0:c r="N13" s="1" t="n"/>
      <ns0:c r="O13" s="1" t="n"/>
      <ns0:c r="P13" s="1" t="n"/>
      <ns0:c r="Q13" s="1" t="n"/>
    </ns0:row>
    <ns0:row r="14" ht="22" customHeight="1">
      <ns0:c r="A14" s="217">
        <ns0:f>IF(OR(AH!$P$3=0,9+1&gt;AH!$P$11,AND(AH!$E$4&lt;&gt;"Stored",AH!$P$10&lt;&gt;1)),"",IFERROR(IF(AND(AH!$P$21=1,9+1=AH!$P$11),TODAY(),IF(AH!$P$10=1,INDEX('Live History'!$A$5:$A$3004,AH!$P$13+9),INDEX('AH History'!$A$1:$A$18046,AH!$P$7+9))),""))</ns0:f>
        <ns0:v>46048</ns0:v>
      </ns0:c>
      <ns0:c r="B14" s="218">
        <ns0:f>IFERROR(IF(AND(AH!$P$9&lt;&gt;1,$C14&gt;0,$D14&gt;0,$E14&gt;0,$F14&gt;0,$G14&gt;0,$F14&lt;=$A14,$G14&lt;=$A14,$A14-$F14&lt;=10,$A14-$G14&lt;=5),$D14*$E14/$C14-1,NA()),NA())</ns0:f>
        <ns0:v>0.06548044666016928</ns0:v>
      </ns0:c>
      <ns0:c r="C14" s="1">
        <ns0:f>IFERROR(IF(ISNUMBER($A14),IF(AND(AH!$P$10=1,AH!$P$12=1,$A14=TODAY()),AH!$P$19,IF(AH!$P$10=1,INDEX('Live History'!$B$5:$B$3004,AH!$P$13+9),INDEX('AH History'!$B$1:$B$18046,AH!$P$7+9))),NA()),NA())</ns0:f>
        <ns0:v>307.0</ns0:v>
      </ns0:c>
      <ns0:c r="D14" s="1">
        <ns0:f>IFERROR(IF(ISNUMBER($A14),IF(AND(AH!$P$10=1,AH!$P$12=1,$A14=TODAY()),AH!$P$18,IF(AH!$P$10=1,INDEX('Live History'!$E$5:$E$3004,MATCH($A14,'Live History'!$D$5:$D$3004,1)),INDEX('AH History'!$C$1:$C$18046,AH!$P$7+9))),NA()),NA())</ns0:f>
        <ns0:v>292.6</ns0:v>
      </ns0:c>
      <ns0:c r="E14" s="1">
        <ns0:f>IFERROR(IF(ISNUMBER($A14),IF(AND(AH!$P$10=1,AH!$P$12=1,$A14=TODAY()),AH!$P$20,IF(AH!$P$10=1,INDEX('Live History'!$H$5:$H$3004,MATCH($A14,'Live History'!$G$5:$G$3004,1)),INDEX('AH History'!$D$1:$D$18046,AH!$P$7+9))),NA()),NA())</ns0:f>
        <ns0:v>1.1179169416427612</ns0:v>
      </ns0:c>
      <ns0:c r="F14" s="1">
        <ns0:f>IFERROR(IF(ISNUMBER($A14),IF(AND(AH!$P$10=1,AH!$P$12=1,$A14=TODAY()),IF(AND(AH!$P$10=1,AH!$P$12=1,$A14=TODAY()),TODAY(),NA()),IF(AH!$P$10=1,INDEX('Live History'!$D$5:$D$3004,MATCH($A14,'Live History'!$D$5:$D$3004,1)),INDEX('AH History'!$E$1:$E$18046,AH!$P$7+9))),NA()),NA())</ns0:f>
        <ns0:v>46048</ns0:v>
      </ns0:c>
      <ns0:c r="G14" s="1">
        <ns0:f>IFERROR(IF(ISNUMBER($A14),IF(AND(AH!$P$10=1,AH!$P$12=1,$A14=TODAY()),IF(AND(AH!$P$10=1,AH!$P$12=1,$A14=TODAY()),TODAY(),NA()),IF(AH!$P$10=1,INDEX('Live History'!$G$5:$G$3004,MATCH($A14,'Live History'!$G$5:$G$3004,1)),INDEX('AH History'!$F$1:$F$18046,AH!$P$7+9))),NA()),NA())</ns0:f>
        <ns0:v>46048</ns0:v>
      </ns0:c>
      <ns0:c r="H14" s="1">
        <ns0:f>IFERROR(IF(AND(AH!$E$4="Bloomberg",AH!$P$10=1,ISNUMBER($A14),$A14&lt;=AH!$P$17),AH!$P$7-1+MATCH($A14,INDEX('AH History'!$A$1:$A$18046,AH!$P$7):INDEX('AH History'!$A$1:$A$18046,AH!$P$7+AH!$P$8-1),0),0),0)</ns0:f>
        <ns0:v/>
      </ns0:c>
      <ns0:c r="I14" s="1">
        <ns0:f>IF($H14=0,0,IFERROR(IF(AND(ABS($C14-INDEX('AH History'!$B$1:$B$18046,$H14))&lt;=MAX(0.005,ABS(INDEX('AH History'!$B$1:$B$18046,$H14))*0.00005),ABS($D14-INDEX('AH History'!$C$1:$C$18046,$H14))&lt;=MAX(0.005,ABS(INDEX('AH History'!$C$1:$C$18046,$H14))*0.00005),ABS($E14-INDEX('AH History'!$D$1:$D$18046,$H14))&lt;=0.00005,$F14=INDEX('AH History'!$E$1:$E$18046,$H14),$G14=INDEX('AH History'!$F$1:$F$18046,$H14)),1,-1),-1))</ns0:f>
        <ns0:v/>
      </ns0:c>
      <ns0:c r="J14" s="1" t="n"/>
      <ns0:c r="K14" s="1" t="n"/>
      <ns0:c r="L14" s="1" t="n"/>
      <ns0:c r="M14" s="1" t="n"/>
      <ns0:c r="N14" s="1" t="n"/>
      <ns0:c r="O14" s="1" t="n"/>
      <ns0:c r="P14" s="1" t="n"/>
      <ns0:c r="Q14" s="1" t="n"/>
    </ns0:row>
    <ns0:row r="15" ht="22" customHeight="1">
      <ns0:c r="A15" s="217">
        <ns0:f>IF(OR(AH!$P$3=0,10+1&gt;AH!$P$11,AND(AH!$E$4&lt;&gt;"Stored",AH!$P$10&lt;&gt;1)),"",IFERROR(IF(AND(AH!$P$21=1,10+1=AH!$P$11),TODAY(),IF(AH!$P$10=1,INDEX('Live History'!$A$5:$A$3004,AH!$P$13+10),INDEX('AH History'!$A$1:$A$18046,AH!$P$7+10))),""))</ns0:f>
        <ns0:v>46049</ns0:v>
      </ns0:c>
      <ns0:c r="B15" s="218">
        <ns0:f>IFERROR(IF(AND(AH!$P$9&lt;&gt;1,$C15&gt;0,$D15&gt;0,$E15&gt;0,$F15&gt;0,$G15&gt;0,$F15&lt;=$A15,$G15&lt;=$A15,$A15-$F15&lt;=10,$A15-$G15&lt;=5),$D15*$E15/$C15-1,NA()),NA())</ns0:f>
        <ns0:v>0.0731998575513606</ns0:v>
      </ns0:c>
      <ns0:c r="C15" s="1">
        <ns0:f>IFERROR(IF(ISNUMBER($A15),IF(AND(AH!$P$10=1,AH!$P$12=1,$A15=TODAY()),AH!$P$19,IF(AH!$P$10=1,INDEX('Live History'!$B$5:$B$3004,AH!$P$13+10),INDEX('AH History'!$B$1:$B$18046,AH!$P$7+10))),NA()),NA())</ns0:f>
        <ns0:v>321.0</ns0:v>
      </ns0:c>
      <ns0:c r="D15" s="1">
        <ns0:f>IFERROR(IF(ISNUMBER($A15),IF(AND(AH!$P$10=1,AH!$P$12=1,$A15=TODAY()),AH!$P$18,IF(AH!$P$10=1,INDEX('Live History'!$E$5:$E$3004,MATCH($A15,'Live History'!$D$5:$D$3004,1)),INDEX('AH History'!$C$1:$C$18046,AH!$P$7+10))),NA()),NA())</ns0:f>
        <ns0:v>307.26</ns0:v>
      </ns0:c>
      <ns0:c r="E15" s="1">
        <ns0:f>IFERROR(IF(ISNUMBER($A15),IF(AND(AH!$P$10=1,AH!$P$12=1,$A15=TODAY()),AH!$P$20,IF(AH!$P$10=1,INDEX('Live History'!$H$5:$H$3004,MATCH($A15,'Live History'!$G$5:$G$3004,1)),INDEX('AH History'!$D$1:$D$18046,AH!$P$7+10))),NA()),NA())</ns0:f>
        <ns0:v>1.1211910247802734</ns0:v>
      </ns0:c>
      <ns0:c r="F15" s="1">
        <ns0:f>IFERROR(IF(ISNUMBER($A15),IF(AND(AH!$P$10=1,AH!$P$12=1,$A15=TODAY()),IF(AND(AH!$P$10=1,AH!$P$12=1,$A15=TODAY()),TODAY(),NA()),IF(AH!$P$10=1,INDEX('Live History'!$D$5:$D$3004,MATCH($A15,'Live History'!$D$5:$D$3004,1)),INDEX('AH History'!$E$1:$E$18046,AH!$P$7+10))),NA()),NA())</ns0:f>
        <ns0:v>46049</ns0:v>
      </ns0:c>
      <ns0:c r="G15" s="1">
        <ns0:f>IFERROR(IF(ISNUMBER($A15),IF(AND(AH!$P$10=1,AH!$P$12=1,$A15=TODAY()),IF(AND(AH!$P$10=1,AH!$P$12=1,$A15=TODAY()),TODAY(),NA()),IF(AH!$P$10=1,INDEX('Live History'!$G$5:$G$3004,MATCH($A15,'Live History'!$G$5:$G$3004,1)),INDEX('AH History'!$F$1:$F$18046,AH!$P$7+10))),NA()),NA())</ns0:f>
        <ns0:v>46049</ns0:v>
      </ns0:c>
      <ns0:c r="H15" s="1">
        <ns0:f>IFERROR(IF(AND(AH!$E$4="Bloomberg",AH!$P$10=1,ISNUMBER($A15),$A15&lt;=AH!$P$17),AH!$P$7-1+MATCH($A15,INDEX('AH History'!$A$1:$A$18046,AH!$P$7):INDEX('AH History'!$A$1:$A$18046,AH!$P$7+AH!$P$8-1),0),0),0)</ns0:f>
        <ns0:v/>
      </ns0:c>
      <ns0:c r="I15" s="1">
        <ns0:f>IF($H15=0,0,IFERROR(IF(AND(ABS($C15-INDEX('AH History'!$B$1:$B$18046,$H15))&lt;=MAX(0.005,ABS(INDEX('AH History'!$B$1:$B$18046,$H15))*0.00005),ABS($D15-INDEX('AH History'!$C$1:$C$18046,$H15))&lt;=MAX(0.005,ABS(INDEX('AH History'!$C$1:$C$18046,$H15))*0.00005),ABS($E15-INDEX('AH History'!$D$1:$D$18046,$H15))&lt;=0.00005,$F15=INDEX('AH History'!$E$1:$E$18046,$H15),$G15=INDEX('AH History'!$F$1:$F$18046,$H15)),1,-1),-1))</ns0:f>
        <ns0:v/>
      </ns0:c>
      <ns0:c r="J15" s="1" t="n"/>
      <ns0:c r="K15" s="1" t="n"/>
      <ns0:c r="L15" s="1" t="n"/>
      <ns0:c r="M15" s="1" t="n"/>
      <ns0:c r="N15" s="1" t="n"/>
      <ns0:c r="O15" s="1" t="n"/>
      <ns0:c r="P15" s="1" t="n"/>
      <ns0:c r="Q15" s="1" t="n"/>
    </ns0:row>
    <ns0:row r="16" ht="22" customHeight="1">
      <ns0:c r="A16" s="217">
        <ns0:f>IF(OR(AH!$P$3=0,11+1&gt;AH!$P$11,AND(AH!$E$4&lt;&gt;"Stored",AH!$P$10&lt;&gt;1)),"",IFERROR(IF(AND(AH!$P$21=1,11+1=AH!$P$11),TODAY(),IF(AH!$P$10=1,INDEX('Live History'!$A$5:$A$3004,AH!$P$13+11),INDEX('AH History'!$A$1:$A$18046,AH!$P$7+11))),""))</ns0:f>
        <ns0:v>46050</ns0:v>
      </ns0:c>
      <ns0:c r="B16" s="218">
        <ns0:f>IFERROR(IF(AND(AH!$P$9&lt;&gt;1,$C16&gt;0,$D16&gt;0,$E16&gt;0,$F16&gt;0,$G16&gt;0,$F16&lt;=$A16,$G16&lt;=$A16,$A16-$F16&lt;=10,$A16-$G16&lt;=5),$D16*$E16/$C16-1,NA()),NA())</ns0:f>
        <ns0:v>0.05467115969660674</ns0:v>
      </ns0:c>
      <ns0:c r="C16" s="1">
        <ns0:f>IFERROR(IF(ISNUMBER($A16),IF(AND(AH!$P$10=1,AH!$P$12=1,$A16=TODAY()),AH!$P$19,IF(AH!$P$10=1,INDEX('Live History'!$B$5:$B$3004,AH!$P$13+11),INDEX('AH History'!$B$1:$B$18046,AH!$P$7+11))),NA()),NA())</ns0:f>
        <ns0:v>344.2</ns0:v>
      </ns0:c>
      <ns0:c r="D16" s="1">
        <ns0:f>IFERROR(IF(ISNUMBER($A16),IF(AND(AH!$P$10=1,AH!$P$12=1,$A16=TODAY()),AH!$P$18,IF(AH!$P$10=1,INDEX('Live History'!$E$5:$E$3004,MATCH($A16,'Live History'!$D$5:$D$3004,1)),INDEX('AH History'!$C$1:$C$18046,AH!$P$7+11))),NA()),NA())</ns0:f>
        <ns0:v>323.68</ns0:v>
      </ns0:c>
      <ns0:c r="E16" s="1">
        <ns0:f>IFERROR(IF(ISNUMBER($A16),IF(AND(AH!$P$10=1,AH!$P$12=1,$A16=TODAY()),AH!$P$20,IF(AH!$P$10=1,INDEX('Live History'!$H$5:$H$3004,MATCH($A16,'Live History'!$G$5:$G$3004,1)),INDEX('AH History'!$D$1:$D$18046,AH!$P$7+11))),NA()),NA())</ns0:f>
        <ns0:v>1.1215330362319946</ns0:v>
      </ns0:c>
      <ns0:c r="F16" s="1">
        <ns0:f>IFERROR(IF(ISNUMBER($A16),IF(AND(AH!$P$10=1,AH!$P$12=1,$A16=TODAY()),IF(AND(AH!$P$10=1,AH!$P$12=1,$A16=TODAY()),TODAY(),NA()),IF(AH!$P$10=1,INDEX('Live History'!$D$5:$D$3004,MATCH($A16,'Live History'!$D$5:$D$3004,1)),INDEX('AH History'!$E$1:$E$18046,AH!$P$7+11))),NA()),NA())</ns0:f>
        <ns0:v>46050</ns0:v>
      </ns0:c>
      <ns0:c r="G16" s="1">
        <ns0:f>IFERROR(IF(ISNUMBER($A16),IF(AND(AH!$P$10=1,AH!$P$12=1,$A16=TODAY()),IF(AND(AH!$P$10=1,AH!$P$12=1,$A16=TODAY()),TODAY(),NA()),IF(AH!$P$10=1,INDEX('Live History'!$G$5:$G$3004,MATCH($A16,'Live History'!$G$5:$G$3004,1)),INDEX('AH History'!$F$1:$F$18046,AH!$P$7+11))),NA()),NA())</ns0:f>
        <ns0:v>46050</ns0:v>
      </ns0:c>
      <ns0:c r="H16" s="1">
        <ns0:f>IFERROR(IF(AND(AH!$E$4="Bloomberg",AH!$P$10=1,ISNUMBER($A16),$A16&lt;=AH!$P$17),AH!$P$7-1+MATCH($A16,INDEX('AH History'!$A$1:$A$18046,AH!$P$7):INDEX('AH History'!$A$1:$A$18046,AH!$P$7+AH!$P$8-1),0),0),0)</ns0:f>
        <ns0:v/>
      </ns0:c>
      <ns0:c r="I16" s="1">
        <ns0:f>IF($H16=0,0,IFERROR(IF(AND(ABS($C16-INDEX('AH History'!$B$1:$B$18046,$H16))&lt;=MAX(0.005,ABS(INDEX('AH History'!$B$1:$B$18046,$H16))*0.00005),ABS($D16-INDEX('AH History'!$C$1:$C$18046,$H16))&lt;=MAX(0.005,ABS(INDEX('AH History'!$C$1:$C$18046,$H16))*0.00005),ABS($E16-INDEX('AH History'!$D$1:$D$18046,$H16))&lt;=0.00005,$F16=INDEX('AH History'!$E$1:$E$18046,$H16),$G16=INDEX('AH History'!$F$1:$F$18046,$H16)),1,-1),-1))</ns0:f>
        <ns0:v/>
      </ns0:c>
      <ns0:c r="J16" s="1" t="n"/>
      <ns0:c r="K16" s="1" t="n"/>
      <ns0:c r="L16" s="1" t="n"/>
      <ns0:c r="M16" s="1" t="n"/>
      <ns0:c r="N16" s="1" t="n"/>
      <ns0:c r="O16" s="1" t="n"/>
      <ns0:c r="P16" s="1" t="n"/>
      <ns0:c r="Q16" s="1" t="n"/>
    </ns0:row>
    <ns0:row r="17" ht="22" customHeight="1">
      <ns0:c r="A17" s="217">
        <ns0:f>IF(OR(AH!$P$3=0,12+1&gt;AH!$P$11,AND(AH!$E$4&lt;&gt;"Stored",AH!$P$10&lt;&gt;1)),"",IFERROR(IF(AND(AH!$P$21=1,12+1=AH!$P$11),TODAY(),IF(AH!$P$10=1,INDEX('Live History'!$A$5:$A$3004,AH!$P$13+12),INDEX('AH History'!$A$1:$A$18046,AH!$P$7+12))),""))</ns0:f>
        <ns0:v>46051</ns0:v>
      </ns0:c>
      <ns0:c r="B17" s="218">
        <ns0:f>IFERROR(IF(AND(AH!$P$9&lt;&gt;1,$C17&gt;0,$D17&gt;0,$E17&gt;0,$F17&gt;0,$G17&gt;0,$F17&lt;=$A17,$G17&lt;=$A17,$A17-$F17&lt;=10,$A17-$G17&lt;=5),$D17*$E17/$C17-1,NA()),NA())</ns0:f>
        <ns0:v>0.03947786213476445</ns0:v>
      </ns0:c>
      <ns0:c r="C17" s="1">
        <ns0:f>IFERROR(IF(ISNUMBER($A17),IF(AND(AH!$P$10=1,AH!$P$12=1,$A17=TODAY()),AH!$P$19,IF(AH!$P$10=1,INDEX('Live History'!$B$5:$B$3004,AH!$P$13+12),INDEX('AH History'!$B$1:$B$18046,AH!$P$7+12))),NA()),NA())</ns0:f>
        <ns0:v>331.8</ns0:v>
      </ns0:c>
      <ns0:c r="D17" s="1">
        <ns0:f>IFERROR(IF(ISNUMBER($A17),IF(AND(AH!$P$10=1,AH!$P$12=1,$A17=TODAY()),AH!$P$18,IF(AH!$P$10=1,INDEX('Live History'!$E$5:$E$3004,MATCH($A17,'Live History'!$D$5:$D$3004,1)),INDEX('AH History'!$C$1:$C$18046,AH!$P$7+12))),NA()),NA())</ns0:f>
        <ns0:v>307.5</ns0:v>
      </ns0:c>
      <ns0:c r="E17" s="1">
        <ns0:f>IFERROR(IF(ISNUMBER($A17),IF(AND(AH!$P$10=1,AH!$P$12=1,$A17=TODAY()),AH!$P$20,IF(AH!$P$10=1,INDEX('Live History'!$H$5:$H$3004,MATCH($A17,'Live History'!$G$5:$G$3004,1)),INDEX('AH History'!$D$1:$D$18046,AH!$P$7+12))),NA()),NA())</ns0:f>
        <ns0:v>1.1216219663619995</ns0:v>
      </ns0:c>
      <ns0:c r="F17" s="1">
        <ns0:f>IFERROR(IF(ISNUMBER($A17),IF(AND(AH!$P$10=1,AH!$P$12=1,$A17=TODAY()),IF(AND(AH!$P$10=1,AH!$P$12=1,$A17=TODAY()),TODAY(),NA()),IF(AH!$P$10=1,INDEX('Live History'!$D$5:$D$3004,MATCH($A17,'Live History'!$D$5:$D$3004,1)),INDEX('AH History'!$E$1:$E$18046,AH!$P$7+12))),NA()),NA())</ns0:f>
        <ns0:v>46051</ns0:v>
      </ns0:c>
      <ns0:c r="G17" s="1">
        <ns0:f>IFERROR(IF(ISNUMBER($A17),IF(AND(AH!$P$10=1,AH!$P$12=1,$A17=TODAY()),IF(AND(AH!$P$10=1,AH!$P$12=1,$A17=TODAY()),TODAY(),NA()),IF(AH!$P$10=1,INDEX('Live History'!$G$5:$G$3004,MATCH($A17,'Live History'!$G$5:$G$3004,1)),INDEX('AH History'!$F$1:$F$18046,AH!$P$7+12))),NA()),NA())</ns0:f>
        <ns0:v>46051</ns0:v>
      </ns0:c>
      <ns0:c r="H17" s="1">
        <ns0:f>IFERROR(IF(AND(AH!$E$4="Bloomberg",AH!$P$10=1,ISNUMBER($A17),$A17&lt;=AH!$P$17),AH!$P$7-1+MATCH($A17,INDEX('AH History'!$A$1:$A$18046,AH!$P$7):INDEX('AH History'!$A$1:$A$18046,AH!$P$7+AH!$P$8-1),0),0),0)</ns0:f>
        <ns0:v/>
      </ns0:c>
      <ns0:c r="I17" s="1">
        <ns0:f>IF($H17=0,0,IFERROR(IF(AND(ABS($C17-INDEX('AH History'!$B$1:$B$18046,$H17))&lt;=MAX(0.005,ABS(INDEX('AH History'!$B$1:$B$18046,$H17))*0.00005),ABS($D17-INDEX('AH History'!$C$1:$C$18046,$H17))&lt;=MAX(0.005,ABS(INDEX('AH History'!$C$1:$C$18046,$H17))*0.00005),ABS($E17-INDEX('AH History'!$D$1:$D$18046,$H17))&lt;=0.00005,$F17=INDEX('AH History'!$E$1:$E$18046,$H17),$G17=INDEX('AH History'!$F$1:$F$18046,$H17)),1,-1),-1))</ns0:f>
        <ns0:v/>
      </ns0:c>
      <ns0:c r="J17" s="1" t="n"/>
      <ns0:c r="K17" s="1" t="n"/>
      <ns0:c r="L17" s="1" t="n"/>
      <ns0:c r="M17" s="1" t="n"/>
      <ns0:c r="N17" s="1" t="n"/>
      <ns0:c r="O17" s="1" t="n"/>
      <ns0:c r="P17" s="1" t="n"/>
      <ns0:c r="Q17" s="1" t="n"/>
    </ns0:row>
    <ns0:row r="18" ht="22" customHeight="1">
      <ns0:c r="A18" s="217">
        <ns0:f>IF(OR(AH!$P$3=0,13+1&gt;AH!$P$11,AND(AH!$E$4&lt;&gt;"Stored",AH!$P$10&lt;&gt;1)),"",IFERROR(IF(AND(AH!$P$21=1,13+1=AH!$P$11),TODAY(),IF(AH!$P$10=1,INDEX('Live History'!$A$5:$A$3004,AH!$P$13+13),INDEX('AH History'!$A$1:$A$18046,AH!$P$7+13))),""))</ns0:f>
        <ns0:v>46052</ns0:v>
      </ns0:c>
      <ns0:c r="B18" s="218">
        <ns0:f>IFERROR(IF(AND(AH!$P$9&lt;&gt;1,$C18&gt;0,$D18&gt;0,$E18&gt;0,$F18&gt;0,$G18&gt;0,$F18&lt;=$A18,$G18&lt;=$A18,$A18-$F18&lt;=10,$A18-$G18&lt;=5),$D18*$E18/$C18-1,NA()),NA())</ns0:f>
        <ns0:v>0.05587624256646451</ns0:v>
      </ns0:c>
      <ns0:c r="C18" s="1">
        <ns0:f>IFERROR(IF(ISNUMBER($A18),IF(AND(AH!$P$10=1,AH!$P$12=1,$A18=TODAY()),AH!$P$19,IF(AH!$P$10=1,INDEX('Live History'!$B$5:$B$3004,AH!$P$13+13),INDEX('AH History'!$B$1:$B$18046,AH!$P$7+13))),NA()),NA())</ns0:f>
        <ns0:v>335.0</ns0:v>
      </ns0:c>
      <ns0:c r="D18" s="1">
        <ns0:f>IFERROR(IF(ISNUMBER($A18),IF(AND(AH!$P$10=1,AH!$P$12=1,$A18=TODAY()),AH!$P$18,IF(AH!$P$10=1,INDEX('Live History'!$E$5:$E$3004,MATCH($A18,'Live History'!$D$5:$D$3004,1)),INDEX('AH History'!$C$1:$C$18046,AH!$P$7+13))),NA()),NA())</ns0:f>
        <ns0:v>314.88</ns0:v>
      </ns0:c>
      <ns0:c r="E18" s="1">
        <ns0:f>IFERROR(IF(ISNUMBER($A18),IF(AND(AH!$P$10=1,AH!$P$12=1,$A18=TODAY()),AH!$P$20,IF(AH!$P$10=1,INDEX('Live History'!$H$5:$H$3004,MATCH($A18,'Live History'!$G$5:$G$3004,1)),INDEX('AH History'!$D$1:$D$18046,AH!$P$7+13))),NA()),NA())</ns0:f>
        <ns0:v>1.1233439445495605</ns0:v>
      </ns0:c>
      <ns0:c r="F18" s="1">
        <ns0:f>IFERROR(IF(ISNUMBER($A18),IF(AND(AH!$P$10=1,AH!$P$12=1,$A18=TODAY()),IF(AND(AH!$P$10=1,AH!$P$12=1,$A18=TODAY()),TODAY(),NA()),IF(AH!$P$10=1,INDEX('Live History'!$D$5:$D$3004,MATCH($A18,'Live History'!$D$5:$D$3004,1)),INDEX('AH History'!$E$1:$E$18046,AH!$P$7+13))),NA()),NA())</ns0:f>
        <ns0:v>46052</ns0:v>
      </ns0:c>
      <ns0:c r="G18" s="1">
        <ns0:f>IFERROR(IF(ISNUMBER($A18),IF(AND(AH!$P$10=1,AH!$P$12=1,$A18=TODAY()),IF(AND(AH!$P$10=1,AH!$P$12=1,$A18=TODAY()),TODAY(),NA()),IF(AH!$P$10=1,INDEX('Live History'!$G$5:$G$3004,MATCH($A18,'Live History'!$G$5:$G$3004,1)),INDEX('AH History'!$F$1:$F$18046,AH!$P$7+13))),NA()),NA())</ns0:f>
        <ns0:v>46052</ns0:v>
      </ns0:c>
      <ns0:c r="H18" s="1">
        <ns0:f>IFERROR(IF(AND(AH!$E$4="Bloomberg",AH!$P$10=1,ISNUMBER($A18),$A18&lt;=AH!$P$17),AH!$P$7-1+MATCH($A18,INDEX('AH History'!$A$1:$A$18046,AH!$P$7):INDEX('AH History'!$A$1:$A$18046,AH!$P$7+AH!$P$8-1),0),0),0)</ns0:f>
        <ns0:v/>
      </ns0:c>
      <ns0:c r="I18" s="1">
        <ns0:f>IF($H18=0,0,IFERROR(IF(AND(ABS($C18-INDEX('AH History'!$B$1:$B$18046,$H18))&lt;=MAX(0.005,ABS(INDEX('AH History'!$B$1:$B$18046,$H18))*0.00005),ABS($D18-INDEX('AH History'!$C$1:$C$18046,$H18))&lt;=MAX(0.005,ABS(INDEX('AH History'!$C$1:$C$18046,$H18))*0.00005),ABS($E18-INDEX('AH History'!$D$1:$D$18046,$H18))&lt;=0.00005,$F18=INDEX('AH History'!$E$1:$E$18046,$H18),$G18=INDEX('AH History'!$F$1:$F$18046,$H18)),1,-1),-1))</ns0:f>
        <ns0:v/>
      </ns0:c>
      <ns0:c r="J18" s="1" t="n"/>
      <ns0:c r="K18" s="1" t="n"/>
      <ns0:c r="L18" s="1" t="n"/>
      <ns0:c r="M18" s="1" t="n"/>
      <ns0:c r="N18" s="1" t="n"/>
      <ns0:c r="O18" s="1" t="n"/>
      <ns0:c r="P18" s="1" t="n"/>
      <ns0:c r="Q18" s="1" t="n"/>
    </ns0:row>
    <ns0:row r="19" ht="22" customHeight="1">
      <ns0:c r="A19" s="217">
        <ns0:f>IF(OR(AH!$P$3=0,14+1&gt;AH!$P$11,AND(AH!$E$4&lt;&gt;"Stored",AH!$P$10&lt;&gt;1)),"",IFERROR(IF(AND(AH!$P$21=1,14+1=AH!$P$11),TODAY(),IF(AH!$P$10=1,INDEX('Live History'!$A$5:$A$3004,AH!$P$13+14),INDEX('AH History'!$A$1:$A$18046,AH!$P$7+14))),""))</ns0:f>
        <ns0:v>46055</ns0:v>
      </ns0:c>
      <ns0:c r="B19" s="218">
        <ns0:f>IFERROR(IF(AND(AH!$P$9&lt;&gt;1,$C19&gt;0,$D19&gt;0,$E19&gt;0,$F19&gt;0,$G19&gt;0,$F19&lt;=$A19,$G19&lt;=$A19,$A19-$F19&lt;=10,$A19-$G19&lt;=5),$D19*$E19/$C19-1,NA()),NA())</ns0:f>
        <ns0:v>0.04739913503982507</ns0:v>
      </ns0:c>
      <ns0:c r="C19" s="1">
        <ns0:f>IFERROR(IF(ISNUMBER($A19),IF(AND(AH!$P$10=1,AH!$P$12=1,$A19=TODAY()),AH!$P$19,IF(AH!$P$10=1,INDEX('Live History'!$B$5:$B$3004,AH!$P$13+14),INDEX('AH History'!$B$1:$B$18046,AH!$P$7+14))),NA()),NA())</ns0:f>
        <ns0:v>304.0</ns0:v>
      </ns0:c>
      <ns0:c r="D19" s="1">
        <ns0:f>IFERROR(IF(ISNUMBER($A19),IF(AND(AH!$P$10=1,AH!$P$12=1,$A19=TODAY()),AH!$P$18,IF(AH!$P$10=1,INDEX('Live History'!$E$5:$E$3004,MATCH($A19,'Live History'!$D$5:$D$3004,1)),INDEX('AH History'!$C$1:$C$18046,AH!$P$7+14))),NA()),NA())</ns0:f>
        <ns0:v>283.39</ns0:v>
      </ns0:c>
      <ns0:c r="E19" s="1">
        <ns0:f>IFERROR(IF(ISNUMBER($A19),IF(AND(AH!$P$10=1,AH!$P$12=1,$A19=TODAY()),AH!$P$20,IF(AH!$P$10=1,INDEX('Live History'!$H$5:$H$3004,MATCH($A19,'Live History'!$G$5:$G$3004,1)),INDEX('AH History'!$D$1:$D$18046,AH!$P$7+14))),NA()),NA())</ns0:f>
        <ns0:v>1.1235729455947876</ns0:v>
      </ns0:c>
      <ns0:c r="F19" s="1">
        <ns0:f>IFERROR(IF(ISNUMBER($A19),IF(AND(AH!$P$10=1,AH!$P$12=1,$A19=TODAY()),IF(AND(AH!$P$10=1,AH!$P$12=1,$A19=TODAY()),TODAY(),NA()),IF(AH!$P$10=1,INDEX('Live History'!$D$5:$D$3004,MATCH($A19,'Live History'!$D$5:$D$3004,1)),INDEX('AH History'!$E$1:$E$18046,AH!$P$7+14))),NA()),NA())</ns0:f>
        <ns0:v>46055</ns0:v>
      </ns0:c>
      <ns0:c r="G19" s="1">
        <ns0:f>IFERROR(IF(ISNUMBER($A19),IF(AND(AH!$P$10=1,AH!$P$12=1,$A19=TODAY()),IF(AND(AH!$P$10=1,AH!$P$12=1,$A19=TODAY()),TODAY(),NA()),IF(AH!$P$10=1,INDEX('Live History'!$G$5:$G$3004,MATCH($A19,'Live History'!$G$5:$G$3004,1)),INDEX('AH History'!$F$1:$F$18046,AH!$P$7+14))),NA()),NA())</ns0:f>
        <ns0:v>46055</ns0:v>
      </ns0:c>
      <ns0:c r="H19" s="1">
        <ns0:f>IFERROR(IF(AND(AH!$E$4="Bloomberg",AH!$P$10=1,ISNUMBER($A19),$A19&lt;=AH!$P$17),AH!$P$7-1+MATCH($A19,INDEX('AH History'!$A$1:$A$18046,AH!$P$7):INDEX('AH History'!$A$1:$A$18046,AH!$P$7+AH!$P$8-1),0),0),0)</ns0:f>
        <ns0:v/>
      </ns0:c>
      <ns0:c r="I19" s="1">
        <ns0:f>IF($H19=0,0,IFERROR(IF(AND(ABS($C19-INDEX('AH History'!$B$1:$B$18046,$H19))&lt;=MAX(0.005,ABS(INDEX('AH History'!$B$1:$B$18046,$H19))*0.00005),ABS($D19-INDEX('AH History'!$C$1:$C$18046,$H19))&lt;=MAX(0.005,ABS(INDEX('AH History'!$C$1:$C$18046,$H19))*0.00005),ABS($E19-INDEX('AH History'!$D$1:$D$18046,$H19))&lt;=0.00005,$F19=INDEX('AH History'!$E$1:$E$18046,$H19),$G19=INDEX('AH History'!$F$1:$F$18046,$H19)),1,-1),-1))</ns0:f>
        <ns0:v/>
      </ns0:c>
      <ns0:c r="J19" s="1" t="n"/>
      <ns0:c r="K19" s="1" t="n"/>
      <ns0:c r="L19" s="1" t="n"/>
      <ns0:c r="M19" s="1" t="n"/>
      <ns0:c r="N19" s="1" t="n"/>
      <ns0:c r="O19" s="1" t="n"/>
      <ns0:c r="P19" s="1" t="n"/>
      <ns0:c r="Q19" s="1" t="n"/>
    </ns0:row>
    <ns0:row r="20" ht="22" customHeight="1">
      <ns0:c r="A20" s="217">
        <ns0:f>IF(OR(AH!$P$3=0,15+1&gt;AH!$P$11,AND(AH!$E$4&lt;&gt;"Stored",AH!$P$10&lt;&gt;1)),"",IFERROR(IF(AND(AH!$P$21=1,15+1=AH!$P$11),TODAY(),IF(AH!$P$10=1,INDEX('Live History'!$A$5:$A$3004,AH!$P$13+15),INDEX('AH History'!$A$1:$A$18046,AH!$P$7+15))),""))</ns0:f>
        <ns0:v>46056</ns0:v>
      </ns0:c>
      <ns0:c r="B20" s="218">
        <ns0:f>IFERROR(IF(AND(AH!$P$9&lt;&gt;1,$C20&gt;0,$D20&gt;0,$E20&gt;0,$F20&gt;0,$G20&gt;0,$F20&lt;=$A20,$G20&lt;=$A20,$A20-$F20&lt;=10,$A20-$G20&lt;=5),$D20*$E20/$C20-1,NA()),NA())</ns0:f>
        <ns0:v>0.0389422858808135</ns0:v>
      </ns0:c>
      <ns0:c r="C20" s="1">
        <ns0:f>IFERROR(IF(ISNUMBER($A20),IF(AND(AH!$P$10=1,AH!$P$12=1,$A20=TODAY()),AH!$P$19,IF(AH!$P$10=1,INDEX('Live History'!$B$5:$B$3004,AH!$P$13+15),INDEX('AH History'!$B$1:$B$18046,AH!$P$7+15))),NA()),NA())</ns0:f>
        <ns0:v>316.6</ns0:v>
      </ns0:c>
      <ns0:c r="D20" s="1">
        <ns0:f>IFERROR(IF(ISNUMBER($A20),IF(AND(AH!$P$10=1,AH!$P$12=1,$A20=TODAY()),AH!$P$18,IF(AH!$P$10=1,INDEX('Live History'!$E$5:$E$3004,MATCH($A20,'Live History'!$D$5:$D$3004,1)),INDEX('AH History'!$C$1:$C$18046,AH!$P$7+15))),NA()),NA())</ns0:f>
        <ns0:v>292.57</ns0:v>
      </ns0:c>
      <ns0:c r="E20" s="1">
        <ns0:f>IFERROR(IF(ISNUMBER($A20),IF(AND(AH!$P$10=1,AH!$P$12=1,$A20=TODAY()),AH!$P$20,IF(AH!$P$10=1,INDEX('Live History'!$H$5:$H$3004,MATCH($A20,'Live History'!$G$5:$G$3004,1)),INDEX('AH History'!$D$1:$D$18046,AH!$P$7+15))),NA()),NA())</ns0:f>
        <ns0:v>1.1242749691009521</ns0:v>
      </ns0:c>
      <ns0:c r="F20" s="1">
        <ns0:f>IFERROR(IF(ISNUMBER($A20),IF(AND(AH!$P$10=1,AH!$P$12=1,$A20=TODAY()),IF(AND(AH!$P$10=1,AH!$P$12=1,$A20=TODAY()),TODAY(),NA()),IF(AH!$P$10=1,INDEX('Live History'!$D$5:$D$3004,MATCH($A20,'Live History'!$D$5:$D$3004,1)),INDEX('AH History'!$E$1:$E$18046,AH!$P$7+15))),NA()),NA())</ns0:f>
        <ns0:v>46056</ns0:v>
      </ns0:c>
      <ns0:c r="G20" s="1">
        <ns0:f>IFERROR(IF(ISNUMBER($A20),IF(AND(AH!$P$10=1,AH!$P$12=1,$A20=TODAY()),IF(AND(AH!$P$10=1,AH!$P$12=1,$A20=TODAY()),TODAY(),NA()),IF(AH!$P$10=1,INDEX('Live History'!$G$5:$G$3004,MATCH($A20,'Live History'!$G$5:$G$3004,1)),INDEX('AH History'!$F$1:$F$18046,AH!$P$7+15))),NA()),NA())</ns0:f>
        <ns0:v>46056</ns0:v>
      </ns0:c>
      <ns0:c r="H20" s="1">
        <ns0:f>IFERROR(IF(AND(AH!$E$4="Bloomberg",AH!$P$10=1,ISNUMBER($A20),$A20&lt;=AH!$P$17),AH!$P$7-1+MATCH($A20,INDEX('AH History'!$A$1:$A$18046,AH!$P$7):INDEX('AH History'!$A$1:$A$18046,AH!$P$7+AH!$P$8-1),0),0),0)</ns0:f>
        <ns0:v/>
      </ns0:c>
      <ns0:c r="I20" s="1">
        <ns0:f>IF($H20=0,0,IFERROR(IF(AND(ABS($C20-INDEX('AH History'!$B$1:$B$18046,$H20))&lt;=MAX(0.005,ABS(INDEX('AH History'!$B$1:$B$18046,$H20))*0.00005),ABS($D20-INDEX('AH History'!$C$1:$C$18046,$H20))&lt;=MAX(0.005,ABS(INDEX('AH History'!$C$1:$C$18046,$H20))*0.00005),ABS($E20-INDEX('AH History'!$D$1:$D$18046,$H20))&lt;=0.00005,$F20=INDEX('AH History'!$E$1:$E$18046,$H20),$G20=INDEX('AH History'!$F$1:$F$18046,$H20)),1,-1),-1))</ns0:f>
        <ns0:v/>
      </ns0:c>
      <ns0:c r="J20" s="1" t="n"/>
      <ns0:c r="K20" s="1" t="n"/>
      <ns0:c r="L20" s="1" t="n"/>
      <ns0:c r="M20" s="1" t="n"/>
      <ns0:c r="N20" s="1" t="n"/>
      <ns0:c r="O20" s="1" t="n"/>
      <ns0:c r="P20" s="1" t="n"/>
      <ns0:c r="Q20" s="1" t="n"/>
    </ns0:row>
    <ns0:row r="21" ht="22" customHeight="1">
      <ns0:c r="A21" s="217">
        <ns0:f>IF(OR(AH!$P$3=0,16+1&gt;AH!$P$11,AND(AH!$E$4&lt;&gt;"Stored",AH!$P$10&lt;&gt;1)),"",IFERROR(IF(AND(AH!$P$21=1,16+1=AH!$P$11),TODAY(),IF(AH!$P$10=1,INDEX('Live History'!$A$5:$A$3004,AH!$P$13+16),INDEX('AH History'!$A$1:$A$18046,AH!$P$7+16))),""))</ns0:f>
        <ns0:v>46057</ns0:v>
      </ns0:c>
      <ns0:c r="B21" s="218">
        <ns0:f>IFERROR(IF(AND(AH!$P$9&lt;&gt;1,$C21&gt;0,$D21&gt;0,$E21&gt;0,$F21&gt;0,$G21&gt;0,$F21&lt;=$A21,$G21&lt;=$A21,$A21-$F21&lt;=10,$A21-$G21&lt;=5),$D21*$E21/$C21-1,NA()),NA())</ns0:f>
        <ns0:v>0.04437151635445047</ns0:v>
      </ns0:c>
      <ns0:c r="C21" s="1">
        <ns0:f>IFERROR(IF(ISNUMBER($A21),IF(AND(AH!$P$10=1,AH!$P$12=1,$A21=TODAY()),AH!$P$19,IF(AH!$P$10=1,INDEX('Live History'!$B$5:$B$3004,AH!$P$13+16),INDEX('AH History'!$B$1:$B$18046,AH!$P$7+16))),NA()),NA())</ns0:f>
        <ns0:v>304.4</ns0:v>
      </ns0:c>
      <ns0:c r="D21" s="1">
        <ns0:f>IFERROR(IF(ISNUMBER($A21),IF(AND(AH!$P$10=1,AH!$P$12=1,$A21=TODAY()),AH!$P$18,IF(AH!$P$10=1,INDEX('Live History'!$E$5:$E$3004,MATCH($A21,'Live History'!$D$5:$D$3004,1)),INDEX('AH History'!$C$1:$C$18046,AH!$P$7+16))),NA()),NA())</ns0:f>
        <ns0:v>282.33</ns0:v>
      </ns0:c>
      <ns0:c r="E21" s="1">
        <ns0:f>IFERROR(IF(ISNUMBER($A21),IF(AND(AH!$P$10=1,AH!$P$12=1,$A21=TODAY()),AH!$P$20,IF(AH!$P$10=1,INDEX('Live History'!$H$5:$H$3004,MATCH($A21,'Live History'!$G$5:$G$3004,1)),INDEX('AH History'!$D$1:$D$18046,AH!$P$7+16))),NA()),NA())</ns0:f>
        <ns0:v>1.1260110139846802</ns0:v>
      </ns0:c>
      <ns0:c r="F21" s="1">
        <ns0:f>IFERROR(IF(ISNUMBER($A21),IF(AND(AH!$P$10=1,AH!$P$12=1,$A21=TODAY()),IF(AND(AH!$P$10=1,AH!$P$12=1,$A21=TODAY()),TODAY(),NA()),IF(AH!$P$10=1,INDEX('Live History'!$D$5:$D$3004,MATCH($A21,'Live History'!$D$5:$D$3004,1)),INDEX('AH History'!$E$1:$E$18046,AH!$P$7+16))),NA()),NA())</ns0:f>
        <ns0:v>46057</ns0:v>
      </ns0:c>
      <ns0:c r="G21" s="1">
        <ns0:f>IFERROR(IF(ISNUMBER($A21),IF(AND(AH!$P$10=1,AH!$P$12=1,$A21=TODAY()),IF(AND(AH!$P$10=1,AH!$P$12=1,$A21=TODAY()),TODAY(),NA()),IF(AH!$P$10=1,INDEX('Live History'!$G$5:$G$3004,MATCH($A21,'Live History'!$G$5:$G$3004,1)),INDEX('AH History'!$F$1:$F$18046,AH!$P$7+16))),NA()),NA())</ns0:f>
        <ns0:v>46057</ns0:v>
      </ns0:c>
      <ns0:c r="H21" s="1">
        <ns0:f>IFERROR(IF(AND(AH!$E$4="Bloomberg",AH!$P$10=1,ISNUMBER($A21),$A21&lt;=AH!$P$17),AH!$P$7-1+MATCH($A21,INDEX('AH History'!$A$1:$A$18046,AH!$P$7):INDEX('AH History'!$A$1:$A$18046,AH!$P$7+AH!$P$8-1),0),0),0)</ns0:f>
        <ns0:v/>
      </ns0:c>
      <ns0:c r="I21" s="1">
        <ns0:f>IF($H21=0,0,IFERROR(IF(AND(ABS($C21-INDEX('AH History'!$B$1:$B$18046,$H21))&lt;=MAX(0.005,ABS(INDEX('AH History'!$B$1:$B$18046,$H21))*0.00005),ABS($D21-INDEX('AH History'!$C$1:$C$18046,$H21))&lt;=MAX(0.005,ABS(INDEX('AH History'!$C$1:$C$18046,$H21))*0.00005),ABS($E21-INDEX('AH History'!$D$1:$D$18046,$H21))&lt;=0.00005,$F21=INDEX('AH History'!$E$1:$E$18046,$H21),$G21=INDEX('AH History'!$F$1:$F$18046,$H21)),1,-1),-1))</ns0:f>
        <ns0:v/>
      </ns0:c>
      <ns0:c r="J21" s="1" t="n"/>
      <ns0:c r="K21" s="1" t="n"/>
      <ns0:c r="L21" s="1" t="n"/>
      <ns0:c r="M21" s="1" t="n"/>
      <ns0:c r="N21" s="1" t="n"/>
      <ns0:c r="O21" s="1" t="n"/>
      <ns0:c r="P21" s="1" t="n"/>
      <ns0:c r="Q21" s="1" t="n"/>
    </ns0:row>
    <ns0:row r="22" ht="22" customHeight="1">
      <ns0:c r="A22" s="217">
        <ns0:f>IF(OR(AH!$P$3=0,17+1&gt;AH!$P$11,AND(AH!$E$4&lt;&gt;"Stored",AH!$P$10&lt;&gt;1)),"",IFERROR(IF(AND(AH!$P$21=1,17+1=AH!$P$11),TODAY(),IF(AH!$P$10=1,INDEX('Live History'!$A$5:$A$3004,AH!$P$13+17),INDEX('AH History'!$A$1:$A$18046,AH!$P$7+17))),""))</ns0:f>
        <ns0:v>46058</ns0:v>
      </ns0:c>
      <ns0:c r="B22" s="218">
        <ns0:f>IFERROR(IF(AND(AH!$P$9&lt;&gt;1,$C22&gt;0,$D22&gt;0,$E22&gt;0,$F22&gt;0,$G22&gt;0,$F22&lt;=$A22,$G22&lt;=$A22,$A22-$F22&lt;=10,$A22-$G22&lt;=5),$D22*$E22/$C22-1,NA()),NA())</ns0:f>
        <ns0:v>0.07532847636831508</ns0:v>
      </ns0:c>
      <ns0:c r="C22" s="1">
        <ns0:f>IFERROR(IF(ISNUMBER($A22),IF(AND(AH!$P$10=1,AH!$P$12=1,$A22=TODAY()),AH!$P$19,IF(AH!$P$10=1,INDEX('Live History'!$B$5:$B$3004,AH!$P$13+17),INDEX('AH History'!$B$1:$B$18046,AH!$P$7+17))),NA()),NA())</ns0:f>
        <ns0:v>290.8</ns0:v>
      </ns0:c>
      <ns0:c r="D22" s="1">
        <ns0:f>IFERROR(IF(ISNUMBER($A22),IF(AND(AH!$P$10=1,AH!$P$12=1,$A22=TODAY()),AH!$P$18,IF(AH!$P$10=1,INDEX('Live History'!$E$5:$E$3004,MATCH($A22,'Live History'!$D$5:$D$3004,1)),INDEX('AH History'!$C$1:$C$18046,AH!$P$7+17))),NA()),NA())</ns0:f>
        <ns0:v>277.74</ns0:v>
      </ns0:c>
      <ns0:c r="E22" s="1">
        <ns0:f>IFERROR(IF(ISNUMBER($A22),IF(AND(AH!$P$10=1,AH!$P$12=1,$A22=TODAY()),AH!$P$20,IF(AH!$P$10=1,INDEX('Live History'!$H$5:$H$3004,MATCH($A22,'Live History'!$G$5:$G$3004,1)),INDEX('AH History'!$D$1:$D$18046,AH!$P$7+17))),NA()),NA())</ns0:f>
        <ns0:v>1.125892996788025</ns0:v>
      </ns0:c>
      <ns0:c r="F22" s="1">
        <ns0:f>IFERROR(IF(ISNUMBER($A22),IF(AND(AH!$P$10=1,AH!$P$12=1,$A22=TODAY()),IF(AND(AH!$P$10=1,AH!$P$12=1,$A22=TODAY()),TODAY(),NA()),IF(AH!$P$10=1,INDEX('Live History'!$D$5:$D$3004,MATCH($A22,'Live History'!$D$5:$D$3004,1)),INDEX('AH History'!$E$1:$E$18046,AH!$P$7+17))),NA()),NA())</ns0:f>
        <ns0:v>46058</ns0:v>
      </ns0:c>
      <ns0:c r="G22" s="1">
        <ns0:f>IFERROR(IF(ISNUMBER($A22),IF(AND(AH!$P$10=1,AH!$P$12=1,$A22=TODAY()),IF(AND(AH!$P$10=1,AH!$P$12=1,$A22=TODAY()),TODAY(),NA()),IF(AH!$P$10=1,INDEX('Live History'!$G$5:$G$3004,MATCH($A22,'Live History'!$G$5:$G$3004,1)),INDEX('AH History'!$F$1:$F$18046,AH!$P$7+17))),NA()),NA())</ns0:f>
        <ns0:v>46058</ns0:v>
      </ns0:c>
      <ns0:c r="H22" s="1">
        <ns0:f>IFERROR(IF(AND(AH!$E$4="Bloomberg",AH!$P$10=1,ISNUMBER($A22),$A22&lt;=AH!$P$17),AH!$P$7-1+MATCH($A22,INDEX('AH History'!$A$1:$A$18046,AH!$P$7):INDEX('AH History'!$A$1:$A$18046,AH!$P$7+AH!$P$8-1),0),0),0)</ns0:f>
        <ns0:v/>
      </ns0:c>
      <ns0:c r="I22" s="1">
        <ns0:f>IF($H22=0,0,IFERROR(IF(AND(ABS($C22-INDEX('AH History'!$B$1:$B$18046,$H22))&lt;=MAX(0.005,ABS(INDEX('AH History'!$B$1:$B$18046,$H22))*0.00005),ABS($D22-INDEX('AH History'!$C$1:$C$18046,$H22))&lt;=MAX(0.005,ABS(INDEX('AH History'!$C$1:$C$18046,$H22))*0.00005),ABS($E22-INDEX('AH History'!$D$1:$D$18046,$H22))&lt;=0.00005,$F22=INDEX('AH History'!$E$1:$E$18046,$H22),$G22=INDEX('AH History'!$F$1:$F$18046,$H22)),1,-1),-1))</ns0:f>
        <ns0:v/>
      </ns0:c>
      <ns0:c r="J22" s="1" t="n"/>
      <ns0:c r="K22" s="1" t="n"/>
      <ns0:c r="L22" s="1" t="n"/>
      <ns0:c r="M22" s="1" t="n"/>
      <ns0:c r="N22" s="1" t="n"/>
      <ns0:c r="O22" s="1" t="n"/>
      <ns0:c r="P22" s="1" t="n"/>
      <ns0:c r="Q22" s="1" t="n"/>
    </ns0:row>
    <ns0:row r="23" ht="22" customHeight="1">
      <ns0:c r="A23" s="217">
        <ns0:f>IF(OR(AH!$P$3=0,18+1&gt;AH!$P$11,AND(AH!$E$4&lt;&gt;"Stored",AH!$P$10&lt;&gt;1)),"",IFERROR(IF(AND(AH!$P$21=1,18+1=AH!$P$11),TODAY(),IF(AH!$P$10=1,INDEX('Live History'!$A$5:$A$3004,AH!$P$13+18),INDEX('AH History'!$A$1:$A$18046,AH!$P$7+18))),""))</ns0:f>
        <ns0:v>46059</ns0:v>
      </ns0:c>
      <ns0:c r="B23" s="218">
        <ns0:f>IFERROR(IF(AND(AH!$P$9&lt;&gt;1,$C23&gt;0,$D23&gt;0,$E23&gt;0,$F23&gt;0,$G23&gt;0,$F23&lt;=$A23,$G23&lt;=$A23,$A23-$F23&lt;=10,$A23-$G23&lt;=5),$D23*$E23/$C23-1,NA()),NA())</ns0:f>
        <ns0:v>0.10356477062020253</ns0:v>
      </ns0:c>
      <ns0:c r="C23" s="1">
        <ns0:f>IFERROR(IF(ISNUMBER($A23),IF(AND(AH!$P$10=1,AH!$P$12=1,$A23=TODAY()),AH!$P$19,IF(AH!$P$10=1,INDEX('Live History'!$B$5:$B$3004,AH!$P$13+18),INDEX('AH History'!$B$1:$B$18046,AH!$P$7+18))),NA()),NA())</ns0:f>
        <ns0:v>281.8</ns0:v>
      </ns0:c>
      <ns0:c r="D23" s="1">
        <ns0:f>IFERROR(IF(ISNUMBER($A23),IF(AND(AH!$P$10=1,AH!$P$12=1,$A23=TODAY()),AH!$P$18,IF(AH!$P$10=1,INDEX('Live History'!$E$5:$E$3004,MATCH($A23,'Live History'!$D$5:$D$3004,1)),INDEX('AH History'!$C$1:$C$18046,AH!$P$7+18))),NA()),NA())</ns0:f>
        <ns0:v>276.17</ns0:v>
      </ns0:c>
      <ns0:c r="E23" s="1">
        <ns0:f>IFERROR(IF(ISNUMBER($A23),IF(AND(AH!$P$10=1,AH!$P$12=1,$A23=TODAY()),AH!$P$20,IF(AH!$P$10=1,INDEX('Live History'!$H$5:$H$3004,MATCH($A23,'Live History'!$G$5:$G$3004,1)),INDEX('AH History'!$D$1:$D$18046,AH!$P$7+18))),NA()),NA())</ns0:f>
        <ns0:v>1.126062035560608</ns0:v>
      </ns0:c>
      <ns0:c r="F23" s="1">
        <ns0:f>IFERROR(IF(ISNUMBER($A23),IF(AND(AH!$P$10=1,AH!$P$12=1,$A23=TODAY()),IF(AND(AH!$P$10=1,AH!$P$12=1,$A23=TODAY()),TODAY(),NA()),IF(AH!$P$10=1,INDEX('Live History'!$D$5:$D$3004,MATCH($A23,'Live History'!$D$5:$D$3004,1)),INDEX('AH History'!$E$1:$E$18046,AH!$P$7+18))),NA()),NA())</ns0:f>
        <ns0:v>46059</ns0:v>
      </ns0:c>
      <ns0:c r="G23" s="1">
        <ns0:f>IFERROR(IF(ISNUMBER($A23),IF(AND(AH!$P$10=1,AH!$P$12=1,$A23=TODAY()),IF(AND(AH!$P$10=1,AH!$P$12=1,$A23=TODAY()),TODAY(),NA()),IF(AH!$P$10=1,INDEX('Live History'!$G$5:$G$3004,MATCH($A23,'Live History'!$G$5:$G$3004,1)),INDEX('AH History'!$F$1:$F$18046,AH!$P$7+18))),NA()),NA())</ns0:f>
        <ns0:v>46059</ns0:v>
      </ns0:c>
      <ns0:c r="H23" s="1">
        <ns0:f>IFERROR(IF(AND(AH!$E$4="Bloomberg",AH!$P$10=1,ISNUMBER($A23),$A23&lt;=AH!$P$17),AH!$P$7-1+MATCH($A23,INDEX('AH History'!$A$1:$A$18046,AH!$P$7):INDEX('AH History'!$A$1:$A$18046,AH!$P$7+AH!$P$8-1),0),0),0)</ns0:f>
        <ns0:v/>
      </ns0:c>
      <ns0:c r="I23" s="1">
        <ns0:f>IF($H23=0,0,IFERROR(IF(AND(ABS($C23-INDEX('AH History'!$B$1:$B$18046,$H23))&lt;=MAX(0.005,ABS(INDEX('AH History'!$B$1:$B$18046,$H23))*0.00005),ABS($D23-INDEX('AH History'!$C$1:$C$18046,$H23))&lt;=MAX(0.005,ABS(INDEX('AH History'!$C$1:$C$18046,$H23))*0.00005),ABS($E23-INDEX('AH History'!$D$1:$D$18046,$H23))&lt;=0.00005,$F23=INDEX('AH History'!$E$1:$E$18046,$H23),$G23=INDEX('AH History'!$F$1:$F$18046,$H23)),1,-1),-1))</ns0:f>
        <ns0:v/>
      </ns0:c>
      <ns0:c r="J23" s="1" t="n"/>
      <ns0:c r="K23" s="1" t="n"/>
      <ns0:c r="L23" s="1" t="n"/>
      <ns0:c r="M23" s="1" t="n"/>
      <ns0:c r="N23" s="1" t="n"/>
      <ns0:c r="O23" s="1" t="n"/>
      <ns0:c r="P23" s="1" t="n"/>
      <ns0:c r="Q23" s="1" t="n"/>
    </ns0:row>
    <ns0:row r="24" ht="22" customHeight="1">
      <ns0:c r="A24" s="217">
        <ns0:f>IF(OR(AH!$P$3=0,19+1&gt;AH!$P$11,AND(AH!$E$4&lt;&gt;"Stored",AH!$P$10&lt;&gt;1)),"",IFERROR(IF(AND(AH!$P$21=1,19+1=AH!$P$11),TODAY(),IF(AH!$P$10=1,INDEX('Live History'!$A$5:$A$3004,AH!$P$13+19),INDEX('AH History'!$A$1:$A$18046,AH!$P$7+19))),""))</ns0:f>
        <ns0:v>46062</ns0:v>
      </ns0:c>
      <ns0:c r="B24" s="218">
        <ns0:f>IFERROR(IF(AND(AH!$P$9&lt;&gt;1,$C24&gt;0,$D24&gt;0,$E24&gt;0,$F24&gt;0,$G24&gt;0,$F24&lt;=$A24,$G24&lt;=$A24,$A24-$F24&lt;=10,$A24-$G24&lt;=5),$D24*$E24/$C24-1,NA()),NA())</ns0:f>
        <ns0:v>0.05039301450844791</ns0:v>
      </ns0:c>
      <ns0:c r="C24" s="1">
        <ns0:f>IFERROR(IF(ISNUMBER($A24),IF(AND(AH!$P$10=1,AH!$P$12=1,$A24=TODAY()),AH!$P$19,IF(AH!$P$10=1,INDEX('Live History'!$B$5:$B$3004,AH!$P$13+19),INDEX('AH History'!$B$1:$B$18046,AH!$P$7+19))),NA()),NA())</ns0:f>
        <ns0:v>314.0</ns0:v>
      </ns0:c>
      <ns0:c r="D24" s="1">
        <ns0:f>IFERROR(IF(ISNUMBER($A24),IF(AND(AH!$P$10=1,AH!$P$12=1,$A24=TODAY()),AH!$P$18,IF(AH!$P$10=1,INDEX('Live History'!$E$5:$E$3004,MATCH($A24,'Live History'!$D$5:$D$3004,1)),INDEX('AH History'!$C$1:$C$18046,AH!$P$7+19))),NA()),NA())</ns0:f>
        <ns0:v>292.98</ns0:v>
      </ns0:c>
      <ns0:c r="E24" s="1">
        <ns0:f>IFERROR(IF(ISNUMBER($A24),IF(AND(AH!$P$10=1,AH!$P$12=1,$A24=TODAY()),AH!$P$20,IF(AH!$P$10=1,INDEX('Live History'!$H$5:$H$3004,MATCH($A24,'Live History'!$G$5:$G$3004,1)),INDEX('AH History'!$D$1:$D$18046,AH!$P$7+19))),NA()),NA())</ns0:f>
        <ns0:v>1.1257539987564087</ns0:v>
      </ns0:c>
      <ns0:c r="F24" s="1">
        <ns0:f>IFERROR(IF(ISNUMBER($A24),IF(AND(AH!$P$10=1,AH!$P$12=1,$A24=TODAY()),IF(AND(AH!$P$10=1,AH!$P$12=1,$A24=TODAY()),TODAY(),NA()),IF(AH!$P$10=1,INDEX('Live History'!$D$5:$D$3004,MATCH($A24,'Live History'!$D$5:$D$3004,1)),INDEX('AH History'!$E$1:$E$18046,AH!$P$7+19))),NA()),NA())</ns0:f>
        <ns0:v>46062</ns0:v>
      </ns0:c>
      <ns0:c r="G24" s="1">
        <ns0:f>IFERROR(IF(ISNUMBER($A24),IF(AND(AH!$P$10=1,AH!$P$12=1,$A24=TODAY()),IF(AND(AH!$P$10=1,AH!$P$12=1,$A24=TODAY()),TODAY(),NA()),IF(AH!$P$10=1,INDEX('Live History'!$G$5:$G$3004,MATCH($A24,'Live History'!$G$5:$G$3004,1)),INDEX('AH History'!$F$1:$F$18046,AH!$P$7+19))),NA()),NA())</ns0:f>
        <ns0:v>46062</ns0:v>
      </ns0:c>
      <ns0:c r="H24" s="1">
        <ns0:f>IFERROR(IF(AND(AH!$E$4="Bloomberg",AH!$P$10=1,ISNUMBER($A24),$A24&lt;=AH!$P$17),AH!$P$7-1+MATCH($A24,INDEX('AH History'!$A$1:$A$18046,AH!$P$7):INDEX('AH History'!$A$1:$A$18046,AH!$P$7+AH!$P$8-1),0),0),0)</ns0:f>
        <ns0:v/>
      </ns0:c>
      <ns0:c r="I24" s="1">
        <ns0:f>IF($H24=0,0,IFERROR(IF(AND(ABS($C24-INDEX('AH History'!$B$1:$B$18046,$H24))&lt;=MAX(0.005,ABS(INDEX('AH History'!$B$1:$B$18046,$H24))*0.00005),ABS($D24-INDEX('AH History'!$C$1:$C$18046,$H24))&lt;=MAX(0.005,ABS(INDEX('AH History'!$C$1:$C$18046,$H24))*0.00005),ABS($E24-INDEX('AH History'!$D$1:$D$18046,$H24))&lt;=0.00005,$F24=INDEX('AH History'!$E$1:$E$18046,$H24),$G24=INDEX('AH History'!$F$1:$F$18046,$H24)),1,-1),-1))</ns0:f>
        <ns0:v/>
      </ns0:c>
      <ns0:c r="J24" s="1" t="n"/>
      <ns0:c r="K24" s="1" t="n"/>
      <ns0:c r="L24" s="1" t="n"/>
      <ns0:c r="M24" s="1" t="n"/>
      <ns0:c r="N24" s="1" t="n"/>
      <ns0:c r="O24" s="1" t="n"/>
      <ns0:c r="P24" s="1" t="n"/>
      <ns0:c r="Q24" s="1" t="n"/>
    </ns0:row>
    <ns0:row r="25" ht="22" customHeight="1">
      <ns0:c r="A25" s="217">
        <ns0:f>IF(OR(AH!$P$3=0,20+1&gt;AH!$P$11,AND(AH!$E$4&lt;&gt;"Stored",AH!$P$10&lt;&gt;1)),"",IFERROR(IF(AND(AH!$P$21=1,20+1=AH!$P$11),TODAY(),IF(AH!$P$10=1,INDEX('Live History'!$A$5:$A$3004,AH!$P$13+20),INDEX('AH History'!$A$1:$A$18046,AH!$P$7+20))),""))</ns0:f>
        <ns0:v>46063</ns0:v>
      </ns0:c>
      <ns0:c r="B25" s="218">
        <ns0:f>IFERROR(IF(AND(AH!$P$9&lt;&gt;1,$C25&gt;0,$D25&gt;0,$E25&gt;0,$F25&gt;0,$G25&gt;0,$F25&lt;=$A25,$G25&lt;=$A25,$A25-$F25&lt;=10,$A25-$G25&lt;=5),$D25*$E25/$C25-1,NA()),NA())</ns0:f>
        <ns0:v>0.0837681576116196</ns0:v>
      </ns0:c>
      <ns0:c r="C25" s="1">
        <ns0:f>IFERROR(IF(ISNUMBER($A25),IF(AND(AH!$P$10=1,AH!$P$12=1,$A25=TODAY()),AH!$P$19,IF(AH!$P$10=1,INDEX('Live History'!$B$5:$B$3004,AH!$P$13+20),INDEX('AH History'!$B$1:$B$18046,AH!$P$7+20))),NA()),NA())</ns0:f>
        <ns0:v>302.0</ns0:v>
      </ns0:c>
      <ns0:c r="D25" s="1">
        <ns0:f>IFERROR(IF(ISNUMBER($A25),IF(AND(AH!$P$10=1,AH!$P$12=1,$A25=TODAY()),AH!$P$18,IF(AH!$P$10=1,INDEX('Live History'!$E$5:$E$3004,MATCH($A25,'Live History'!$D$5:$D$3004,1)),INDEX('AH History'!$C$1:$C$18046,AH!$P$7+20))),NA()),NA())</ns0:f>
        <ns0:v>289.9</ns0:v>
      </ns0:c>
      <ns0:c r="E25" s="1">
        <ns0:f>IFERROR(IF(ISNUMBER($A25),IF(AND(AH!$P$10=1,AH!$P$12=1,$A25=TODAY()),AH!$P$20,IF(AH!$P$10=1,INDEX('Live History'!$H$5:$H$3004,MATCH($A25,'Live History'!$G$5:$G$3004,1)),INDEX('AH History'!$D$1:$D$18046,AH!$P$7+20))),NA()),NA())</ns0:f>
        <ns0:v>1.1290030479431152</ns0:v>
      </ns0:c>
      <ns0:c r="F25" s="1">
        <ns0:f>IFERROR(IF(ISNUMBER($A25),IF(AND(AH!$P$10=1,AH!$P$12=1,$A25=TODAY()),IF(AND(AH!$P$10=1,AH!$P$12=1,$A25=TODAY()),TODAY(),NA()),IF(AH!$P$10=1,INDEX('Live History'!$D$5:$D$3004,MATCH($A25,'Live History'!$D$5:$D$3004,1)),INDEX('AH History'!$E$1:$E$18046,AH!$P$7+20))),NA()),NA())</ns0:f>
        <ns0:v>46063</ns0:v>
      </ns0:c>
      <ns0:c r="G25" s="1">
        <ns0:f>IFERROR(IF(ISNUMBER($A25),IF(AND(AH!$P$10=1,AH!$P$12=1,$A25=TODAY()),IF(AND(AH!$P$10=1,AH!$P$12=1,$A25=TODAY()),TODAY(),NA()),IF(AH!$P$10=1,INDEX('Live History'!$G$5:$G$3004,MATCH($A25,'Live History'!$G$5:$G$3004,1)),INDEX('AH History'!$F$1:$F$18046,AH!$P$7+20))),NA()),NA())</ns0:f>
        <ns0:v>46063</ns0:v>
      </ns0:c>
      <ns0:c r="H25" s="1">
        <ns0:f>IFERROR(IF(AND(AH!$E$4="Bloomberg",AH!$P$10=1,ISNUMBER($A25),$A25&lt;=AH!$P$17),AH!$P$7-1+MATCH($A25,INDEX('AH History'!$A$1:$A$18046,AH!$P$7):INDEX('AH History'!$A$1:$A$18046,AH!$P$7+AH!$P$8-1),0),0),0)</ns0:f>
        <ns0:v/>
      </ns0:c>
      <ns0:c r="I25" s="1">
        <ns0:f>IF($H25=0,0,IFERROR(IF(AND(ABS($C25-INDEX('AH History'!$B$1:$B$18046,$H25))&lt;=MAX(0.005,ABS(INDEX('AH History'!$B$1:$B$18046,$H25))*0.00005),ABS($D25-INDEX('AH History'!$C$1:$C$18046,$H25))&lt;=MAX(0.005,ABS(INDEX('AH History'!$C$1:$C$18046,$H25))*0.00005),ABS($E25-INDEX('AH History'!$D$1:$D$18046,$H25))&lt;=0.00005,$F25=INDEX('AH History'!$E$1:$E$18046,$H25),$G25=INDEX('AH History'!$F$1:$F$18046,$H25)),1,-1),-1))</ns0:f>
        <ns0:v/>
      </ns0:c>
      <ns0:c r="J25" s="1" t="n"/>
      <ns0:c r="K25" s="1" t="n"/>
      <ns0:c r="L25" s="1" t="n"/>
      <ns0:c r="M25" s="1" t="n"/>
      <ns0:c r="N25" s="1" t="n"/>
      <ns0:c r="O25" s="1" t="n"/>
      <ns0:c r="P25" s="1" t="n"/>
      <ns0:c r="Q25" s="1" t="n"/>
    </ns0:row>
    <ns0:row r="26" ht="22" customHeight="1">
      <ns0:c r="A26" s="217">
        <ns0:f>IF(OR(AH!$P$3=0,21+1&gt;AH!$P$11,AND(AH!$E$4&lt;&gt;"Stored",AH!$P$10&lt;&gt;1)),"",IFERROR(IF(AND(AH!$P$21=1,21+1=AH!$P$11),TODAY(),IF(AH!$P$10=1,INDEX('Live History'!$A$5:$A$3004,AH!$P$13+21),INDEX('AH History'!$A$1:$A$18046,AH!$P$7+21))),""))</ns0:f>
        <ns0:v>46064</ns0:v>
      </ns0:c>
      <ns0:c r="B26" s="218">
        <ns0:f>IFERROR(IF(AND(AH!$P$9&lt;&gt;1,$C26&gt;0,$D26&gt;0,$E26&gt;0,$F26&gt;0,$G26&gt;0,$F26&lt;=$A26,$G26&lt;=$A26,$A26-$F26&lt;=10,$A26-$G26&lt;=5),$D26*$E26/$C26-1,NA()),NA())</ns0:f>
        <ns0:v>0.08736648520505086</ns0:v>
      </ns0:c>
      <ns0:c r="C26" s="1">
        <ns0:f>IFERROR(IF(ISNUMBER($A26),IF(AND(AH!$P$10=1,AH!$P$12=1,$A26=TODAY()),AH!$P$19,IF(AH!$P$10=1,INDEX('Live History'!$B$5:$B$3004,AH!$P$13+21),INDEX('AH History'!$B$1:$B$18046,AH!$P$7+21))),NA()),NA())</ns0:f>
        <ns0:v>296.0</ns0:v>
      </ns0:c>
      <ns0:c r="D26" s="1">
        <ns0:f>IFERROR(IF(ISNUMBER($A26),IF(AND(AH!$P$10=1,AH!$P$12=1,$A26=TODAY()),AH!$P$18,IF(AH!$P$10=1,INDEX('Live History'!$E$5:$E$3004,MATCH($A26,'Live History'!$D$5:$D$3004,1)),INDEX('AH History'!$C$1:$C$18046,AH!$P$7+21))),NA()),NA())</ns0:f>
        <ns0:v>284.59</ns0:v>
      </ns0:c>
      <ns0:c r="E26" s="1">
        <ns0:f>IFERROR(IF(ISNUMBER($A26),IF(AND(AH!$P$10=1,AH!$P$12=1,$A26=TODAY()),AH!$P$20,IF(AH!$P$10=1,INDEX('Live History'!$H$5:$H$3004,MATCH($A26,'Live History'!$G$5:$G$3004,1)),INDEX('AH History'!$D$1:$D$18046,AH!$P$7+21))),NA()),NA())</ns0:f>
        <ns0:v>1.1309620141983032</ns0:v>
      </ns0:c>
      <ns0:c r="F26" s="1">
        <ns0:f>IFERROR(IF(ISNUMBER($A26),IF(AND(AH!$P$10=1,AH!$P$12=1,$A26=TODAY()),IF(AND(AH!$P$10=1,AH!$P$12=1,$A26=TODAY()),TODAY(),NA()),IF(AH!$P$10=1,INDEX('Live History'!$D$5:$D$3004,MATCH($A26,'Live History'!$D$5:$D$3004,1)),INDEX('AH History'!$E$1:$E$18046,AH!$P$7+21))),NA()),NA())</ns0:f>
        <ns0:v>46064</ns0:v>
      </ns0:c>
      <ns0:c r="G26" s="1">
        <ns0:f>IFERROR(IF(ISNUMBER($A26),IF(AND(AH!$P$10=1,AH!$P$12=1,$A26=TODAY()),IF(AND(AH!$P$10=1,AH!$P$12=1,$A26=TODAY()),TODAY(),NA()),IF(AH!$P$10=1,INDEX('Live History'!$G$5:$G$3004,MATCH($A26,'Live History'!$G$5:$G$3004,1)),INDEX('AH History'!$F$1:$F$18046,AH!$P$7+21))),NA()),NA())</ns0:f>
        <ns0:v>46064</ns0:v>
      </ns0:c>
      <ns0:c r="H26" s="1">
        <ns0:f>IFERROR(IF(AND(AH!$E$4="Bloomberg",AH!$P$10=1,ISNUMBER($A26),$A26&lt;=AH!$P$17),AH!$P$7-1+MATCH($A26,INDEX('AH History'!$A$1:$A$18046,AH!$P$7):INDEX('AH History'!$A$1:$A$18046,AH!$P$7+AH!$P$8-1),0),0),0)</ns0:f>
        <ns0:v/>
      </ns0:c>
      <ns0:c r="I26" s="1">
        <ns0:f>IF($H26=0,0,IFERROR(IF(AND(ABS($C26-INDEX('AH History'!$B$1:$B$18046,$H26))&lt;=MAX(0.005,ABS(INDEX('AH History'!$B$1:$B$18046,$H26))*0.00005),ABS($D26-INDEX('AH History'!$C$1:$C$18046,$H26))&lt;=MAX(0.005,ABS(INDEX('AH History'!$C$1:$C$18046,$H26))*0.00005),ABS($E26-INDEX('AH History'!$D$1:$D$18046,$H26))&lt;=0.00005,$F26=INDEX('AH History'!$E$1:$E$18046,$H26),$G26=INDEX('AH History'!$F$1:$F$18046,$H26)),1,-1),-1))</ns0:f>
        <ns0:v/>
      </ns0:c>
      <ns0:c r="J26" s="1" t="n"/>
      <ns0:c r="K26" s="1" t="n"/>
      <ns0:c r="L26" s="1" t="n"/>
      <ns0:c r="M26" s="1" t="n"/>
      <ns0:c r="N26" s="1" t="n"/>
      <ns0:c r="O26" s="1" t="n"/>
      <ns0:c r="P26" s="1" t="n"/>
      <ns0:c r="Q26" s="1" t="n"/>
    </ns0:row>
    <ns0:row r="27" ht="22" customHeight="1">
      <ns0:c r="A27" s="217">
        <ns0:f>IF(OR(AH!$P$3=0,22+1&gt;AH!$P$11,AND(AH!$E$4&lt;&gt;"Stored",AH!$P$10&lt;&gt;1)),"",IFERROR(IF(AND(AH!$P$21=1,22+1=AH!$P$11),TODAY(),IF(AH!$P$10=1,INDEX('Live History'!$A$5:$A$3004,AH!$P$13+22),INDEX('AH History'!$A$1:$A$18046,AH!$P$7+22))),""))</ns0:f>
        <ns0:v>46065</ns0:v>
      </ns0:c>
      <ns0:c r="B27" s="218">
        <ns0:f>IFERROR(IF(AND(AH!$P$9&lt;&gt;1,$C27&gt;0,$D27&gt;0,$E27&gt;0,$F27&gt;0,$G27&gt;0,$F27&lt;=$A27,$G27&lt;=$A27,$A27-$F27&lt;=10,$A27-$G27&lt;=5),$D27*$E27/$C27-1,NA()),NA())</ns0:f>
        <ns0:v>-0.04227661841408492</ns0:v>
      </ns0:c>
      <ns0:c r="C27" s="1">
        <ns0:f>IFERROR(IF(ISNUMBER($A27),IF(AND(AH!$P$10=1,AH!$P$12=1,$A27=TODAY()),AH!$P$19,IF(AH!$P$10=1,INDEX('Live History'!$B$5:$B$3004,AH!$P$13+22),INDEX('AH History'!$B$1:$B$18046,AH!$P$7+22))),NA()),NA())</ns0:f>
        <ns0:v>358.0</ns0:v>
      </ns0:c>
      <ns0:c r="D27" s="1">
        <ns0:f>IFERROR(IF(ISNUMBER($A27),IF(AND(AH!$P$10=1,AH!$P$12=1,$A27=TODAY()),AH!$P$18,IF(AH!$P$10=1,INDEX('Live History'!$E$5:$E$3004,MATCH($A27,'Live History'!$D$5:$D$3004,1)),INDEX('AH History'!$C$1:$C$18046,AH!$P$7+22))),NA()),NA())</ns0:f>
        <ns0:v>303.24</ns0:v>
      </ns0:c>
      <ns0:c r="E27" s="1">
        <ns0:f>IFERROR(IF(ISNUMBER($A27),IF(AND(AH!$P$10=1,AH!$P$12=1,$A27=TODAY()),AH!$P$20,IF(AH!$P$10=1,INDEX('Live History'!$H$5:$H$3004,MATCH($A27,'Live History'!$G$5:$G$3004,1)),INDEX('AH History'!$D$1:$D$18046,AH!$P$7+22))),NA()),NA())</ns0:f>
        <ns0:v>1.1306719779968262</ns0:v>
      </ns0:c>
      <ns0:c r="F27" s="1">
        <ns0:f>IFERROR(IF(ISNUMBER($A27),IF(AND(AH!$P$10=1,AH!$P$12=1,$A27=TODAY()),IF(AND(AH!$P$10=1,AH!$P$12=1,$A27=TODAY()),TODAY(),NA()),IF(AH!$P$10=1,INDEX('Live History'!$D$5:$D$3004,MATCH($A27,'Live History'!$D$5:$D$3004,1)),INDEX('AH History'!$E$1:$E$18046,AH!$P$7+22))),NA()),NA())</ns0:f>
        <ns0:v>46065</ns0:v>
      </ns0:c>
      <ns0:c r="G27" s="1">
        <ns0:f>IFERROR(IF(ISNUMBER($A27),IF(AND(AH!$P$10=1,AH!$P$12=1,$A27=TODAY()),IF(AND(AH!$P$10=1,AH!$P$12=1,$A27=TODAY()),TODAY(),NA()),IF(AH!$P$10=1,INDEX('Live History'!$G$5:$G$3004,MATCH($A27,'Live History'!$G$5:$G$3004,1)),INDEX('AH History'!$F$1:$F$18046,AH!$P$7+22))),NA()),NA())</ns0:f>
        <ns0:v>46065</ns0:v>
      </ns0:c>
      <ns0:c r="H27" s="1">
        <ns0:f>IFERROR(IF(AND(AH!$E$4="Bloomberg",AH!$P$10=1,ISNUMBER($A27),$A27&lt;=AH!$P$17),AH!$P$7-1+MATCH($A27,INDEX('AH History'!$A$1:$A$18046,AH!$P$7):INDEX('AH History'!$A$1:$A$18046,AH!$P$7+AH!$P$8-1),0),0),0)</ns0:f>
        <ns0:v/>
      </ns0:c>
      <ns0:c r="I27" s="1">
        <ns0:f>IF($H27=0,0,IFERROR(IF(AND(ABS($C27-INDEX('AH History'!$B$1:$B$18046,$H27))&lt;=MAX(0.005,ABS(INDEX('AH History'!$B$1:$B$18046,$H27))*0.00005),ABS($D27-INDEX('AH History'!$C$1:$C$18046,$H27))&lt;=MAX(0.005,ABS(INDEX('AH History'!$C$1:$C$18046,$H27))*0.00005),ABS($E27-INDEX('AH History'!$D$1:$D$18046,$H27))&lt;=0.00005,$F27=INDEX('AH History'!$E$1:$E$18046,$H27),$G27=INDEX('AH History'!$F$1:$F$18046,$H27)),1,-1),-1))</ns0:f>
        <ns0:v/>
      </ns0:c>
      <ns0:c r="J27" s="1" t="n"/>
      <ns0:c r="K27" s="1" t="n"/>
      <ns0:c r="L27" s="1" t="n"/>
      <ns0:c r="M27" s="1" t="n"/>
      <ns0:c r="N27" s="1" t="n"/>
      <ns0:c r="O27" s="1" t="n"/>
      <ns0:c r="P27" s="1" t="n"/>
      <ns0:c r="Q27" s="1" t="n"/>
    </ns0:row>
    <ns0:row r="28" ht="22" customHeight="1">
      <ns0:c r="A28" s="217">
        <ns0:f>IF(OR(AH!$P$3=0,23+1&gt;AH!$P$11,AND(AH!$E$4&lt;&gt;"Stored",AH!$P$10&lt;&gt;1)),"",IFERROR(IF(AND(AH!$P$21=1,23+1=AH!$P$11),TODAY(),IF(AH!$P$10=1,INDEX('Live History'!$A$5:$A$3004,AH!$P$13+23),INDEX('AH History'!$A$1:$A$18046,AH!$P$7+23))),""))</ns0:f>
        <ns0:v>46066</ns0:v>
      </ns0:c>
      <ns0:c r="B28" s="218">
        <ns0:f>IFERROR(IF(AND(AH!$P$9&lt;&gt;1,$C28&gt;0,$D28&gt;0,$E28&gt;0,$F28&gt;0,$G28&gt;0,$F28&lt;=$A28,$G28&lt;=$A28,$A28-$F28&lt;=10,$A28-$G28&lt;=5),$D28*$E28/$C28-1,NA()),NA())</ns0:f>
        <ns0:v>-0.055135217840607154</ns0:v>
      </ns0:c>
      <ns0:c r="C28" s="1">
        <ns0:f>IFERROR(IF(ISNUMBER($A28),IF(AND(AH!$P$10=1,AH!$P$12=1,$A28=TODAY()),AH!$P$19,IF(AH!$P$10=1,INDEX('Live History'!$B$5:$B$3004,AH!$P$13+23),INDEX('AH History'!$B$1:$B$18046,AH!$P$7+23))),NA()),NA())</ns0:f>
        <ns0:v>370.0</ns0:v>
      </ns0:c>
      <ns0:c r="D28" s="1">
        <ns0:f>IFERROR(IF(ISNUMBER($A28),IF(AND(AH!$P$10=1,AH!$P$12=1,$A28=TODAY()),AH!$P$18,IF(AH!$P$10=1,INDEX('Live History'!$E$5:$E$3004,MATCH($A28,'Live History'!$D$5:$D$3004,1)),INDEX('AH History'!$C$1:$C$18046,AH!$P$7+23))),NA()),NA())</ns0:f>
        <ns0:v>308.7</ns0:v>
      </ns0:c>
      <ns0:c r="E28" s="1">
        <ns0:f>IFERROR(IF(ISNUMBER($A28),IF(AND(AH!$P$10=1,AH!$P$12=1,$A28=TODAY()),AH!$P$20,IF(AH!$P$10=1,INDEX('Live History'!$H$5:$H$3004,MATCH($A28,'Live History'!$G$5:$G$3004,1)),INDEX('AH History'!$D$1:$D$18046,AH!$P$7+23))),NA()),NA())</ns0:f>
        <ns0:v>1.1324909925460815</ns0:v>
      </ns0:c>
      <ns0:c r="F28" s="1">
        <ns0:f>IFERROR(IF(ISNUMBER($A28),IF(AND(AH!$P$10=1,AH!$P$12=1,$A28=TODAY()),IF(AND(AH!$P$10=1,AH!$P$12=1,$A28=TODAY()),TODAY(),NA()),IF(AH!$P$10=1,INDEX('Live History'!$D$5:$D$3004,MATCH($A28,'Live History'!$D$5:$D$3004,1)),INDEX('AH History'!$E$1:$E$18046,AH!$P$7+23))),NA()),NA())</ns0:f>
        <ns0:v>46066</ns0:v>
      </ns0:c>
      <ns0:c r="G28" s="1">
        <ns0:f>IFERROR(IF(ISNUMBER($A28),IF(AND(AH!$P$10=1,AH!$P$12=1,$A28=TODAY()),IF(AND(AH!$P$10=1,AH!$P$12=1,$A28=TODAY()),TODAY(),NA()),IF(AH!$P$10=1,INDEX('Live History'!$G$5:$G$3004,MATCH($A28,'Live History'!$G$5:$G$3004,1)),INDEX('AH History'!$F$1:$F$18046,AH!$P$7+23))),NA()),NA())</ns0:f>
        <ns0:v>46066</ns0:v>
      </ns0:c>
      <ns0:c r="H28" s="1">
        <ns0:f>IFERROR(IF(AND(AH!$E$4="Bloomberg",AH!$P$10=1,ISNUMBER($A28),$A28&lt;=AH!$P$17),AH!$P$7-1+MATCH($A28,INDEX('AH History'!$A$1:$A$18046,AH!$P$7):INDEX('AH History'!$A$1:$A$18046,AH!$P$7+AH!$P$8-1),0),0),0)</ns0:f>
        <ns0:v/>
      </ns0:c>
      <ns0:c r="I28" s="1">
        <ns0:f>IF($H28=0,0,IFERROR(IF(AND(ABS($C28-INDEX('AH History'!$B$1:$B$18046,$H28))&lt;=MAX(0.005,ABS(INDEX('AH History'!$B$1:$B$18046,$H28))*0.00005),ABS($D28-INDEX('AH History'!$C$1:$C$18046,$H28))&lt;=MAX(0.005,ABS(INDEX('AH History'!$C$1:$C$18046,$H28))*0.00005),ABS($E28-INDEX('AH History'!$D$1:$D$18046,$H28))&lt;=0.00005,$F28=INDEX('AH History'!$E$1:$E$18046,$H28),$G28=INDEX('AH History'!$F$1:$F$18046,$H28)),1,-1),-1))</ns0:f>
        <ns0:v/>
      </ns0:c>
      <ns0:c r="J28" s="1" t="n"/>
      <ns0:c r="K28" s="1" t="n"/>
      <ns0:c r="L28" s="1" t="n"/>
      <ns0:c r="M28" s="1" t="n"/>
      <ns0:c r="N28" s="1" t="n"/>
      <ns0:c r="O28" s="1" t="n"/>
      <ns0:c r="P28" s="1" t="n"/>
      <ns0:c r="Q28" s="1" t="n"/>
    </ns0:row>
    <ns0:row r="29" ht="22" customHeight="1">
      <ns0:c r="A29" s="217">
        <ns0:f>IF(OR(AH!$P$3=0,24+1&gt;AH!$P$11,AND(AH!$E$4&lt;&gt;"Stored",AH!$P$10&lt;&gt;1)),"",IFERROR(IF(AND(AH!$P$21=1,24+1=AH!$P$11),TODAY(),IF(AH!$P$10=1,INDEX('Live History'!$A$5:$A$3004,AH!$P$13+24),INDEX('AH History'!$A$1:$A$18046,AH!$P$7+24))),""))</ns0:f>
        <ns0:v>46069</ns0:v>
      </ns0:c>
      <ns0:c r="B29" s="218">
        <ns0:f>IFERROR(IF(AND(AH!$P$9&lt;&gt;1,$C29&gt;0,$D29&gt;0,$E29&gt;0,$F29&gt;0,$G29&gt;0,$F29&lt;=$A29,$G29&lt;=$A29,$A29-$F29&lt;=10,$A29-$G29&lt;=5),$D29*$E29/$C29-1,NA()),NA())</ns0:f>
        <ns0:v>-0.14030315120604042</ns0:v>
      </ns0:c>
      <ns0:c r="C29" s="1">
        <ns0:f>IFERROR(IF(ISNUMBER($A29),IF(AND(AH!$P$10=1,AH!$P$12=1,$A29=TODAY()),AH!$P$19,IF(AH!$P$10=1,INDEX('Live History'!$B$5:$B$3004,AH!$P$13+24),INDEX('AH History'!$B$1:$B$18046,AH!$P$7+24))),NA()),NA())</ns0:f>
        <ns0:v>406.2</ns0:v>
      </ns0:c>
      <ns0:c r="D29" s="1">
        <ns0:f>IFERROR(IF(ISNUMBER($A29),IF(AND(AH!$P$10=1,AH!$P$12=1,$A29=TODAY()),AH!$P$18,IF(AH!$P$10=1,INDEX('Live History'!$E$5:$E$3004,MATCH($A29,'Live History'!$D$5:$D$3004,1)),INDEX('AH History'!$C$1:$C$18046,AH!$P$7+24))),NA()),NA())</ns0:f>
        <ns0:v>308.7</ns0:v>
      </ns0:c>
      <ns0:c r="E29" s="1">
        <ns0:f>IFERROR(IF(ISNUMBER($A29),IF(AND(AH!$P$10=1,AH!$P$12=1,$A29=TODAY()),AH!$P$20,IF(AH!$P$10=1,INDEX('Live History'!$H$5:$H$3004,MATCH($A29,'Live History'!$G$5:$G$3004,1)),INDEX('AH History'!$D$1:$D$18046,AH!$P$7+24))),NA()),NA())</ns0:f>
        <ns0:v>1.1312240362167358</ns0:v>
      </ns0:c>
      <ns0:c r="F29" s="1">
        <ns0:f>IFERROR(IF(ISNUMBER($A29),IF(AND(AH!$P$10=1,AH!$P$12=1,$A29=TODAY()),IF(AND(AH!$P$10=1,AH!$P$12=1,$A29=TODAY()),TODAY(),NA()),IF(AH!$P$10=1,INDEX('Live History'!$D$5:$D$3004,MATCH($A29,'Live History'!$D$5:$D$3004,1)),INDEX('AH History'!$E$1:$E$18046,AH!$P$7+24))),NA()),NA())</ns0:f>
        <ns0:v>46066</ns0:v>
      </ns0:c>
      <ns0:c r="G29" s="1">
        <ns0:f>IFERROR(IF(ISNUMBER($A29),IF(AND(AH!$P$10=1,AH!$P$12=1,$A29=TODAY()),IF(AND(AH!$P$10=1,AH!$P$12=1,$A29=TODAY()),TODAY(),NA()),IF(AH!$P$10=1,INDEX('Live History'!$G$5:$G$3004,MATCH($A29,'Live History'!$G$5:$G$3004,1)),INDEX('AH History'!$F$1:$F$18046,AH!$P$7+24))),NA()),NA())</ns0:f>
        <ns0:v>46069</ns0:v>
      </ns0:c>
      <ns0:c r="H29" s="1">
        <ns0:f>IFERROR(IF(AND(AH!$E$4="Bloomberg",AH!$P$10=1,ISNUMBER($A29),$A29&lt;=AH!$P$17),AH!$P$7-1+MATCH($A29,INDEX('AH History'!$A$1:$A$18046,AH!$P$7):INDEX('AH History'!$A$1:$A$18046,AH!$P$7+AH!$P$8-1),0),0),0)</ns0:f>
        <ns0:v/>
      </ns0:c>
      <ns0:c r="I29" s="1">
        <ns0:f>IF($H29=0,0,IFERROR(IF(AND(ABS($C29-INDEX('AH History'!$B$1:$B$18046,$H29))&lt;=MAX(0.005,ABS(INDEX('AH History'!$B$1:$B$18046,$H29))*0.00005),ABS($D29-INDEX('AH History'!$C$1:$C$18046,$H29))&lt;=MAX(0.005,ABS(INDEX('AH History'!$C$1:$C$18046,$H29))*0.00005),ABS($E29-INDEX('AH History'!$D$1:$D$18046,$H29))&lt;=0.00005,$F29=INDEX('AH History'!$E$1:$E$18046,$H29),$G29=INDEX('AH History'!$F$1:$F$18046,$H29)),1,-1),-1))</ns0:f>
        <ns0:v/>
      </ns0:c>
      <ns0:c r="J29" s="1" t="n"/>
      <ns0:c r="K29" s="1" t="n"/>
      <ns0:c r="L29" s="1" t="n"/>
      <ns0:c r="M29" s="1" t="n"/>
      <ns0:c r="N29" s="1" t="n"/>
      <ns0:c r="O29" s="1" t="n"/>
      <ns0:c r="P29" s="1" t="n"/>
      <ns0:c r="Q29" s="1" t="n"/>
    </ns0:row>
    <ns0:row r="30" ht="22" customHeight="1">
      <ns0:c r="A30" s="217">
        <ns0:f>IF(OR(AH!$P$3=0,25+1&gt;AH!$P$11,AND(AH!$E$4&lt;&gt;"Stored",AH!$P$10&lt;&gt;1)),"",IFERROR(IF(AND(AH!$P$21=1,25+1=AH!$P$11),TODAY(),IF(AH!$P$10=1,INDEX('Live History'!$A$5:$A$3004,AH!$P$13+25),INDEX('AH History'!$A$1:$A$18046,AH!$P$7+25))),""))</ns0:f>
        <ns0:v>46073</ns0:v>
      </ns0:c>
      <ns0:c r="B30" s="218">
        <ns0:f>IFERROR(IF(AND(AH!$P$9&lt;&gt;1,$C30&gt;0,$D30&gt;0,$E30&gt;0,$F30&gt;0,$G30&gt;0,$F30&lt;=$A30,$G30&lt;=$A30,$A30-$F30&lt;=10,$A30-$G30&lt;=5),$D30*$E30/$C30-1,NA()),NA())</ns0:f>
        <ns0:v>-0.13364451972781577</ns0:v>
      </ns0:c>
      <ns0:c r="C30" s="1">
        <ns0:f>IFERROR(IF(ISNUMBER($A30),IF(AND(AH!$P$10=1,AH!$P$12=1,$A30=TODAY()),AH!$P$19,IF(AH!$P$10=1,INDEX('Live History'!$B$5:$B$3004,AH!$P$13+25),INDEX('AH History'!$B$1:$B$18046,AH!$P$7+25))),NA()),NA())</ns0:f>
        <ns0:v>403.0</ns0:v>
      </ns0:c>
      <ns0:c r="D30" s="1">
        <ns0:f>IFERROR(IF(ISNUMBER($A30),IF(AND(AH!$P$10=1,AH!$P$12=1,$A30=TODAY()),AH!$P$18,IF(AH!$P$10=1,INDEX('Live History'!$E$5:$E$3004,MATCH($A30,'Live History'!$D$5:$D$3004,1)),INDEX('AH History'!$C$1:$C$18046,AH!$P$7+25))),NA()),NA())</ns0:f>
        <ns0:v>308.7</ns0:v>
      </ns0:c>
      <ns0:c r="E30" s="1">
        <ns0:f>IFERROR(IF(ISNUMBER($A30),IF(AND(AH!$P$10=1,AH!$P$12=1,$A30=TODAY()),AH!$P$20,IF(AH!$P$10=1,INDEX('Live History'!$H$5:$H$3004,MATCH($A30,'Live History'!$G$5:$G$3004,1)),INDEX('AH History'!$D$1:$D$18046,AH!$P$7+25))),NA()),NA())</ns0:f>
        <ns0:v>1.131005048751831</ns0:v>
      </ns0:c>
      <ns0:c r="F30" s="1">
        <ns0:f>IFERROR(IF(ISNUMBER($A30),IF(AND(AH!$P$10=1,AH!$P$12=1,$A30=TODAY()),IF(AND(AH!$P$10=1,AH!$P$12=1,$A30=TODAY()),TODAY(),NA()),IF(AH!$P$10=1,INDEX('Live History'!$D$5:$D$3004,MATCH($A30,'Live History'!$D$5:$D$3004,1)),INDEX('AH History'!$E$1:$E$18046,AH!$P$7+25))),NA()),NA())</ns0:f>
        <ns0:v>46066</ns0:v>
      </ns0:c>
      <ns0:c r="G30" s="1">
        <ns0:f>IFERROR(IF(ISNUMBER($A30),IF(AND(AH!$P$10=1,AH!$P$12=1,$A30=TODAY()),IF(AND(AH!$P$10=1,AH!$P$12=1,$A30=TODAY()),TODAY(),NA()),IF(AH!$P$10=1,INDEX('Live History'!$G$5:$G$3004,MATCH($A30,'Live History'!$G$5:$G$3004,1)),INDEX('AH History'!$F$1:$F$18046,AH!$P$7+25))),NA()),NA())</ns0:f>
        <ns0:v>46073</ns0:v>
      </ns0:c>
      <ns0:c r="H30" s="1">
        <ns0:f>IFERROR(IF(AND(AH!$E$4="Bloomberg",AH!$P$10=1,ISNUMBER($A30),$A30&lt;=AH!$P$17),AH!$P$7-1+MATCH($A30,INDEX('AH History'!$A$1:$A$18046,AH!$P$7):INDEX('AH History'!$A$1:$A$18046,AH!$P$7+AH!$P$8-1),0),0),0)</ns0:f>
        <ns0:v/>
      </ns0:c>
      <ns0:c r="I30" s="1">
        <ns0:f>IF($H30=0,0,IFERROR(IF(AND(ABS($C30-INDEX('AH History'!$B$1:$B$18046,$H30))&lt;=MAX(0.005,ABS(INDEX('AH History'!$B$1:$B$18046,$H30))*0.00005),ABS($D30-INDEX('AH History'!$C$1:$C$18046,$H30))&lt;=MAX(0.005,ABS(INDEX('AH History'!$C$1:$C$18046,$H30))*0.00005),ABS($E30-INDEX('AH History'!$D$1:$D$18046,$H30))&lt;=0.00005,$F30=INDEX('AH History'!$E$1:$E$18046,$H30),$G30=INDEX('AH History'!$F$1:$F$18046,$H30)),1,-1),-1))</ns0:f>
        <ns0:v/>
      </ns0:c>
      <ns0:c r="J30" s="1" t="n"/>
      <ns0:c r="K30" s="1" t="n"/>
      <ns0:c r="L30" s="1" t="n"/>
      <ns0:c r="M30" s="1" t="n"/>
      <ns0:c r="N30" s="1" t="n"/>
      <ns0:c r="O30" s="1" t="n"/>
      <ns0:c r="P30" s="1" t="n"/>
      <ns0:c r="Q30" s="1" t="n"/>
    </ns0:row>
    <ns0:row r="31" ht="22" customHeight="1">
      <ns0:c r="A31" s="217">
        <ns0:f>IF(OR(AH!$P$3=0,26+1&gt;AH!$P$11,AND(AH!$E$4&lt;&gt;"Stored",AH!$P$10&lt;&gt;1)),"",IFERROR(IF(AND(AH!$P$21=1,26+1=AH!$P$11),TODAY(),IF(AH!$P$10=1,INDEX('Live History'!$A$5:$A$3004,AH!$P$13+26),INDEX('AH History'!$A$1:$A$18046,AH!$P$7+26))),""))</ns0:f>
        <ns0:v>46076</ns0:v>
      </ns0:c>
      <ns0:c r="B31" s="218">
        <ns0:f>IFERROR(IF(AND(AH!$P$9&lt;&gt;1,$C31&gt;0,$D31&gt;0,$E31&gt;0,$F31&gt;0,$G31&gt;0,$F31&lt;=$A31,$G31&lt;=$A31,$A31-$F31&lt;=10,$A31-$G31&lt;=5),$D31*$E31/$C31-1,NA()),NA())</ns0:f>
        <ns0:v>-0.09605972177929245</ns0:v>
      </ns0:c>
      <ns0:c r="C31" s="1">
        <ns0:f>IFERROR(IF(ISNUMBER($A31),IF(AND(AH!$P$10=1,AH!$P$12=1,$A31=TODAY()),AH!$P$19,IF(AH!$P$10=1,INDEX('Live History'!$B$5:$B$3004,AH!$P$13+26),INDEX('AH History'!$B$1:$B$18046,AH!$P$7+26))),NA()),NA())</ns0:f>
        <ns0:v>386.2</ns0:v>
      </ns0:c>
      <ns0:c r="D31" s="1">
        <ns0:f>IFERROR(IF(ISNUMBER($A31),IF(AND(AH!$P$10=1,AH!$P$12=1,$A31=TODAY()),AH!$P$18,IF(AH!$P$10=1,INDEX('Live History'!$E$5:$E$3004,MATCH($A31,'Live History'!$D$5:$D$3004,1)),INDEX('AH History'!$C$1:$C$18046,AH!$P$7+26))),NA()),NA())</ns0:f>
        <ns0:v>308.7</ns0:v>
      </ns0:c>
      <ns0:c r="E31" s="1">
        <ns0:f>IFERROR(IF(ISNUMBER($A31),IF(AND(AH!$P$10=1,AH!$P$12=1,$A31=TODAY()),AH!$P$20,IF(AH!$P$10=1,INDEX('Live History'!$H$5:$H$3004,MATCH($A31,'Live History'!$G$5:$G$3004,1)),INDEX('AH History'!$D$1:$D$18046,AH!$P$7+26))),NA()),NA())</ns0:f>
        <ns0:v>1.1308770179748535</ns0:v>
      </ns0:c>
      <ns0:c r="F31" s="1">
        <ns0:f>IFERROR(IF(ISNUMBER($A31),IF(AND(AH!$P$10=1,AH!$P$12=1,$A31=TODAY()),IF(AND(AH!$P$10=1,AH!$P$12=1,$A31=TODAY()),TODAY(),NA()),IF(AH!$P$10=1,INDEX('Live History'!$D$5:$D$3004,MATCH($A31,'Live History'!$D$5:$D$3004,1)),INDEX('AH History'!$E$1:$E$18046,AH!$P$7+26))),NA()),NA())</ns0:f>
        <ns0:v>46066</ns0:v>
      </ns0:c>
      <ns0:c r="G31" s="1">
        <ns0:f>IFERROR(IF(ISNUMBER($A31),IF(AND(AH!$P$10=1,AH!$P$12=1,$A31=TODAY()),IF(AND(AH!$P$10=1,AH!$P$12=1,$A31=TODAY()),TODAY(),NA()),IF(AH!$P$10=1,INDEX('Live History'!$G$5:$G$3004,MATCH($A31,'Live History'!$G$5:$G$3004,1)),INDEX('AH History'!$F$1:$F$18046,AH!$P$7+26))),NA()),NA())</ns0:f>
        <ns0:v>46076</ns0:v>
      </ns0:c>
      <ns0:c r="H31" s="1">
        <ns0:f>IFERROR(IF(AND(AH!$E$4="Bloomberg",AH!$P$10=1,ISNUMBER($A31),$A31&lt;=AH!$P$17),AH!$P$7-1+MATCH($A31,INDEX('AH History'!$A$1:$A$18046,AH!$P$7):INDEX('AH History'!$A$1:$A$18046,AH!$P$7+AH!$P$8-1),0),0),0)</ns0:f>
        <ns0:v/>
      </ns0:c>
      <ns0:c r="I31" s="1">
        <ns0:f>IF($H31=0,0,IFERROR(IF(AND(ABS($C31-INDEX('AH History'!$B$1:$B$18046,$H31))&lt;=MAX(0.005,ABS(INDEX('AH History'!$B$1:$B$18046,$H31))*0.00005),ABS($D31-INDEX('AH History'!$C$1:$C$18046,$H31))&lt;=MAX(0.005,ABS(INDEX('AH History'!$C$1:$C$18046,$H31))*0.00005),ABS($E31-INDEX('AH History'!$D$1:$D$18046,$H31))&lt;=0.00005,$F31=INDEX('AH History'!$E$1:$E$18046,$H31),$G31=INDEX('AH History'!$F$1:$F$18046,$H31)),1,-1),-1))</ns0:f>
        <ns0:v/>
      </ns0:c>
      <ns0:c r="J31" s="1" t="n"/>
      <ns0:c r="K31" s="1" t="n"/>
      <ns0:c r="L31" s="1" t="n"/>
      <ns0:c r="M31" s="1" t="n"/>
      <ns0:c r="N31" s="1" t="n"/>
      <ns0:c r="O31" s="1" t="n"/>
      <ns0:c r="P31" s="1" t="n"/>
      <ns0:c r="Q31" s="1" t="n"/>
    </ns0:row>
    <ns0:row r="32" ht="22" customHeight="1">
      <ns0:c r="A32" s="217">
        <ns0:f>IF(OR(AH!$P$3=0,27+1&gt;AH!$P$11,AND(AH!$E$4&lt;&gt;"Stored",AH!$P$10&lt;&gt;1)),"",IFERROR(IF(AND(AH!$P$21=1,27+1=AH!$P$11),TODAY(),IF(AH!$P$10=1,INDEX('Live History'!$A$5:$A$3004,AH!$P$13+27),INDEX('AH History'!$A$1:$A$18046,AH!$P$7+27))),""))</ns0:f>
        <ns0:v>46077</ns0:v>
      </ns0:c>
      <ns0:c r="B32" s="218">
        <ns0:f>IFERROR(IF(AND(AH!$P$9&lt;&gt;1,$C32&gt;0,$D32&gt;0,$E32&gt;0,$F32&gt;0,$G32&gt;0,$F32&lt;=$A32,$G32&lt;=$A32,$A32-$F32&lt;=10,$A32-$G32&lt;=5),$D32*$E32/$C32-1,NA()),NA())</ns0:f>
        <ns0:v>-0.1541568719226416</ns0:v>
      </ns0:c>
      <ns0:c r="C32" s="1">
        <ns0:f>IFERROR(IF(ISNUMBER($A32),IF(AND(AH!$P$10=1,AH!$P$12=1,$A32=TODAY()),AH!$P$19,IF(AH!$P$10=1,INDEX('Live History'!$B$5:$B$3004,AH!$P$13+27),INDEX('AH History'!$B$1:$B$18046,AH!$P$7+27))),NA()),NA())</ns0:f>
        <ns0:v>432.2</ns0:v>
      </ns0:c>
      <ns0:c r="D32" s="1">
        <ns0:f>IFERROR(IF(ISNUMBER($A32),IF(AND(AH!$P$10=1,AH!$P$12=1,$A32=TODAY()),AH!$P$18,IF(AH!$P$10=1,INDEX('Live History'!$E$5:$E$3004,MATCH($A32,'Live History'!$D$5:$D$3004,1)),INDEX('AH History'!$C$1:$C$18046,AH!$P$7+27))),NA()),NA())</ns0:f>
        <ns0:v>323.05</ns0:v>
      </ns0:c>
      <ns0:c r="E32" s="1">
        <ns0:f>IFERROR(IF(ISNUMBER($A32),IF(AND(AH!$P$10=1,AH!$P$12=1,$A32=TODAY()),AH!$P$20,IF(AH!$P$10=1,INDEX('Live History'!$H$5:$H$3004,MATCH($A32,'Live History'!$G$5:$G$3004,1)),INDEX('AH History'!$D$1:$D$18046,AH!$P$7+27))),NA()),NA())</ns0:f>
        <ns0:v>1.1316310167312622</ns0:v>
      </ns0:c>
      <ns0:c r="F32" s="1">
        <ns0:f>IFERROR(IF(ISNUMBER($A32),IF(AND(AH!$P$10=1,AH!$P$12=1,$A32=TODAY()),IF(AND(AH!$P$10=1,AH!$P$12=1,$A32=TODAY()),TODAY(),NA()),IF(AH!$P$10=1,INDEX('Live History'!$D$5:$D$3004,MATCH($A32,'Live History'!$D$5:$D$3004,1)),INDEX('AH History'!$E$1:$E$18046,AH!$P$7+27))),NA()),NA())</ns0:f>
        <ns0:v>46077</ns0:v>
      </ns0:c>
      <ns0:c r="G32" s="1">
        <ns0:f>IFERROR(IF(ISNUMBER($A32),IF(AND(AH!$P$10=1,AH!$P$12=1,$A32=TODAY()),IF(AND(AH!$P$10=1,AH!$P$12=1,$A32=TODAY()),TODAY(),NA()),IF(AH!$P$10=1,INDEX('Live History'!$G$5:$G$3004,MATCH($A32,'Live History'!$G$5:$G$3004,1)),INDEX('AH History'!$F$1:$F$18046,AH!$P$7+27))),NA()),NA())</ns0:f>
        <ns0:v>46077</ns0:v>
      </ns0:c>
      <ns0:c r="H32" s="1">
        <ns0:f>IFERROR(IF(AND(AH!$E$4="Bloomberg",AH!$P$10=1,ISNUMBER($A32),$A32&lt;=AH!$P$17),AH!$P$7-1+MATCH($A32,INDEX('AH History'!$A$1:$A$18046,AH!$P$7):INDEX('AH History'!$A$1:$A$18046,AH!$P$7+AH!$P$8-1),0),0),0)</ns0:f>
        <ns0:v/>
      </ns0:c>
      <ns0:c r="I32" s="1">
        <ns0:f>IF($H32=0,0,IFERROR(IF(AND(ABS($C32-INDEX('AH History'!$B$1:$B$18046,$H32))&lt;=MAX(0.005,ABS(INDEX('AH History'!$B$1:$B$18046,$H32))*0.00005),ABS($D32-INDEX('AH History'!$C$1:$C$18046,$H32))&lt;=MAX(0.005,ABS(INDEX('AH History'!$C$1:$C$18046,$H32))*0.00005),ABS($E32-INDEX('AH History'!$D$1:$D$18046,$H32))&lt;=0.00005,$F32=INDEX('AH History'!$E$1:$E$18046,$H32),$G32=INDEX('AH History'!$F$1:$F$18046,$H32)),1,-1),-1))</ns0:f>
        <ns0:v/>
      </ns0:c>
      <ns0:c r="J32" s="1" t="n"/>
      <ns0:c r="K32" s="1" t="n"/>
      <ns0:c r="L32" s="1" t="n"/>
      <ns0:c r="M32" s="1" t="n"/>
      <ns0:c r="N32" s="1" t="n"/>
      <ns0:c r="O32" s="1" t="n"/>
      <ns0:c r="P32" s="1" t="n"/>
      <ns0:c r="Q32" s="1" t="n"/>
    </ns0:row>
    <ns0:row r="33" ht="22" customHeight="1">
      <ns0:c r="A33" s="217">
        <ns0:f>IF(OR(AH!$P$3=0,28+1&gt;AH!$P$11,AND(AH!$E$4&lt;&gt;"Stored",AH!$P$10&lt;&gt;1)),"",IFERROR(IF(AND(AH!$P$21=1,28+1=AH!$P$11),TODAY(),IF(AH!$P$10=1,INDEX('Live History'!$A$5:$A$3004,AH!$P$13+28),INDEX('AH History'!$A$1:$A$18046,AH!$P$7+28))),""))</ns0:f>
        <ns0:v>46078</ns0:v>
      </ns0:c>
      <ns0:c r="B33" s="218">
        <ns0:f>IFERROR(IF(AND(AH!$P$9&lt;&gt;1,$C33&gt;0,$D33&gt;0,$E33&gt;0,$F33&gt;0,$G33&gt;0,$F33&lt;=$A33,$G33&lt;=$A33,$A33-$F33&lt;=10,$A33-$G33&lt;=5),$D33*$E33/$C33-1,NA()),NA())</ns0:f>
        <ns0:v>-0.14267478696478264</ns0:v>
      </ns0:c>
      <ns0:c r="C33" s="1">
        <ns0:f>IFERROR(IF(ISNUMBER($A33),IF(AND(AH!$P$10=1,AH!$P$12=1,$A33=TODAY()),AH!$P$19,IF(AH!$P$10=1,INDEX('Live History'!$B$5:$B$3004,AH!$P$13+28),INDEX('AH History'!$B$1:$B$18046,AH!$P$7+28))),NA()),NA())</ns0:f>
        <ns0:v>412.6</ns0:v>
      </ns0:c>
      <ns0:c r="D33" s="1">
        <ns0:f>IFERROR(IF(ISNUMBER($A33),IF(AND(AH!$P$10=1,AH!$P$12=1,$A33=TODAY()),AH!$P$18,IF(AH!$P$10=1,INDEX('Live History'!$E$5:$E$3004,MATCH($A33,'Live History'!$D$5:$D$3004,1)),INDEX('AH History'!$C$1:$C$18046,AH!$P$7+28))),NA()),NA())</ns0:f>
        <ns0:v>311.32</ns0:v>
      </ns0:c>
      <ns0:c r="E33" s="1">
        <ns0:f>IFERROR(IF(ISNUMBER($A33),IF(AND(AH!$P$10=1,AH!$P$12=1,$A33=TODAY()),AH!$P$20,IF(AH!$P$10=1,INDEX('Live History'!$H$5:$H$3004,MATCH($A33,'Live History'!$G$5:$G$3004,1)),INDEX('AH History'!$D$1:$D$18046,AH!$P$7+28))),NA()),NA())</ns0:f>
        <ns0:v>1.1362340450286865</ns0:v>
      </ns0:c>
      <ns0:c r="F33" s="1">
        <ns0:f>IFERROR(IF(ISNUMBER($A33),IF(AND(AH!$P$10=1,AH!$P$12=1,$A33=TODAY()),IF(AND(AH!$P$10=1,AH!$P$12=1,$A33=TODAY()),TODAY(),NA()),IF(AH!$P$10=1,INDEX('Live History'!$D$5:$D$3004,MATCH($A33,'Live History'!$D$5:$D$3004,1)),INDEX('AH History'!$E$1:$E$18046,AH!$P$7+28))),NA()),NA())</ns0:f>
        <ns0:v>46078</ns0:v>
      </ns0:c>
      <ns0:c r="G33" s="1">
        <ns0:f>IFERROR(IF(ISNUMBER($A33),IF(AND(AH!$P$10=1,AH!$P$12=1,$A33=TODAY()),IF(AND(AH!$P$10=1,AH!$P$12=1,$A33=TODAY()),TODAY(),NA()),IF(AH!$P$10=1,INDEX('Live History'!$G$5:$G$3004,MATCH($A33,'Live History'!$G$5:$G$3004,1)),INDEX('AH History'!$F$1:$F$18046,AH!$P$7+28))),NA()),NA())</ns0:f>
        <ns0:v>46078</ns0:v>
      </ns0:c>
      <ns0:c r="H33" s="1">
        <ns0:f>IFERROR(IF(AND(AH!$E$4="Bloomberg",AH!$P$10=1,ISNUMBER($A33),$A33&lt;=AH!$P$17),AH!$P$7-1+MATCH($A33,INDEX('AH History'!$A$1:$A$18046,AH!$P$7):INDEX('AH History'!$A$1:$A$18046,AH!$P$7+AH!$P$8-1),0),0),0)</ns0:f>
        <ns0:v/>
      </ns0:c>
      <ns0:c r="I33" s="1">
        <ns0:f>IF($H33=0,0,IFERROR(IF(AND(ABS($C33-INDEX('AH History'!$B$1:$B$18046,$H33))&lt;=MAX(0.005,ABS(INDEX('AH History'!$B$1:$B$18046,$H33))*0.00005),ABS($D33-INDEX('AH History'!$C$1:$C$18046,$H33))&lt;=MAX(0.005,ABS(INDEX('AH History'!$C$1:$C$18046,$H33))*0.00005),ABS($E33-INDEX('AH History'!$D$1:$D$18046,$H33))&lt;=0.00005,$F33=INDEX('AH History'!$E$1:$E$18046,$H33),$G33=INDEX('AH History'!$F$1:$F$18046,$H33)),1,-1),-1))</ns0:f>
        <ns0:v/>
      </ns0:c>
      <ns0:c r="J33" s="1" t="n"/>
      <ns0:c r="K33" s="1" t="n"/>
      <ns0:c r="L33" s="1" t="n"/>
      <ns0:c r="M33" s="1" t="n"/>
      <ns0:c r="N33" s="1" t="n"/>
      <ns0:c r="O33" s="1" t="n"/>
      <ns0:c r="P33" s="1" t="n"/>
      <ns0:c r="Q33" s="1" t="n"/>
    </ns0:row>
    <ns0:row r="34" ht="22" customHeight="1">
      <ns0:c r="A34" s="217">
        <ns0:f>IF(OR(AH!$P$3=0,29+1&gt;AH!$P$11,AND(AH!$E$4&lt;&gt;"Stored",AH!$P$10&lt;&gt;1)),"",IFERROR(IF(AND(AH!$P$21=1,29+1=AH!$P$11),TODAY(),IF(AH!$P$10=1,INDEX('Live History'!$A$5:$A$3004,AH!$P$13+29),INDEX('AH History'!$A$1:$A$18046,AH!$P$7+29))),""))</ns0:f>
        <ns0:v>46079</ns0:v>
      </ns0:c>
      <ns0:c r="B34" s="218">
        <ns0:f>IFERROR(IF(AND(AH!$P$9&lt;&gt;1,$C34&gt;0,$D34&gt;0,$E34&gt;0,$F34&gt;0,$G34&gt;0,$F34&lt;=$A34,$G34&lt;=$A34,$A34-$F34&lt;=10,$A34-$G34&lt;=5),$D34*$E34/$C34-1,NA()),NA())</ns0:f>
        <ns0:v>-0.17255930014346776</ns0:v>
      </ns0:c>
      <ns0:c r="C34" s="1">
        <ns0:f>IFERROR(IF(ISNUMBER($A34),IF(AND(AH!$P$10=1,AH!$P$12=1,$A34=TODAY()),AH!$P$19,IF(AH!$P$10=1,INDEX('Live History'!$B$5:$B$3004,AH!$P$13+29),INDEX('AH History'!$B$1:$B$18046,AH!$P$7+29))),NA()),NA())</ns0:f>
        <ns0:v>425.6</ns0:v>
      </ns0:c>
      <ns0:c r="D34" s="1">
        <ns0:f>IFERROR(IF(ISNUMBER($A34),IF(AND(AH!$P$10=1,AH!$P$12=1,$A34=TODAY()),AH!$P$18,IF(AH!$P$10=1,INDEX('Live History'!$E$5:$E$3004,MATCH($A34,'Live History'!$D$5:$D$3004,1)),INDEX('AH History'!$C$1:$C$18046,AH!$P$7+29))),NA()),NA())</ns0:f>
        <ns0:v>309.4</ns0:v>
      </ns0:c>
      <ns0:c r="E34" s="1">
        <ns0:f>IFERROR(IF(ISNUMBER($A34),IF(AND(AH!$P$10=1,AH!$P$12=1,$A34=TODAY()),AH!$P$20,IF(AH!$P$10=1,INDEX('Live History'!$H$5:$H$3004,MATCH($A34,'Live History'!$G$5:$G$3004,1)),INDEX('AH History'!$D$1:$D$18046,AH!$P$7+29))),NA()),NA())</ns0:f>
        <ns0:v>1.138198971748352</ns0:v>
      </ns0:c>
      <ns0:c r="F34" s="1">
        <ns0:f>IFERROR(IF(ISNUMBER($A34),IF(AND(AH!$P$10=1,AH!$P$12=1,$A34=TODAY()),IF(AND(AH!$P$10=1,AH!$P$12=1,$A34=TODAY()),TODAY(),NA()),IF(AH!$P$10=1,INDEX('Live History'!$D$5:$D$3004,MATCH($A34,'Live History'!$D$5:$D$3004,1)),INDEX('AH History'!$E$1:$E$18046,AH!$P$7+29))),NA()),NA())</ns0:f>
        <ns0:v>46079</ns0:v>
      </ns0:c>
      <ns0:c r="G34" s="1">
        <ns0:f>IFERROR(IF(ISNUMBER($A34),IF(AND(AH!$P$10=1,AH!$P$12=1,$A34=TODAY()),IF(AND(AH!$P$10=1,AH!$P$12=1,$A34=TODAY()),TODAY(),NA()),IF(AH!$P$10=1,INDEX('Live History'!$G$5:$G$3004,MATCH($A34,'Live History'!$G$5:$G$3004,1)),INDEX('AH History'!$F$1:$F$18046,AH!$P$7+29))),NA()),NA())</ns0:f>
        <ns0:v>46079</ns0:v>
      </ns0:c>
      <ns0:c r="H34" s="1">
        <ns0:f>IFERROR(IF(AND(AH!$E$4="Bloomberg",AH!$P$10=1,ISNUMBER($A34),$A34&lt;=AH!$P$17),AH!$P$7-1+MATCH($A34,INDEX('AH History'!$A$1:$A$18046,AH!$P$7):INDEX('AH History'!$A$1:$A$18046,AH!$P$7+AH!$P$8-1),0),0),0)</ns0:f>
        <ns0:v/>
      </ns0:c>
      <ns0:c r="I34" s="1">
        <ns0:f>IF($H34=0,0,IFERROR(IF(AND(ABS($C34-INDEX('AH History'!$B$1:$B$18046,$H34))&lt;=MAX(0.005,ABS(INDEX('AH History'!$B$1:$B$18046,$H34))*0.00005),ABS($D34-INDEX('AH History'!$C$1:$C$18046,$H34))&lt;=MAX(0.005,ABS(INDEX('AH History'!$C$1:$C$18046,$H34))*0.00005),ABS($E34-INDEX('AH History'!$D$1:$D$18046,$H34))&lt;=0.00005,$F34=INDEX('AH History'!$E$1:$E$18046,$H34),$G34=INDEX('AH History'!$F$1:$F$18046,$H34)),1,-1),-1))</ns0:f>
        <ns0:v/>
      </ns0:c>
      <ns0:c r="J34" s="1" t="n"/>
      <ns0:c r="K34" s="1" t="n"/>
      <ns0:c r="L34" s="1" t="n"/>
      <ns0:c r="M34" s="1" t="n"/>
      <ns0:c r="N34" s="1" t="n"/>
      <ns0:c r="O34" s="1" t="n"/>
      <ns0:c r="P34" s="1" t="n"/>
      <ns0:c r="Q34" s="1" t="n"/>
    </ns0:row>
    <ns0:row r="35" ht="22" customHeight="1">
      <ns0:c r="A35" s="217">
        <ns0:f>IF(OR(AH!$P$3=0,30+1&gt;AH!$P$11,AND(AH!$E$4&lt;&gt;"Stored",AH!$P$10&lt;&gt;1)),"",IFERROR(IF(AND(AH!$P$21=1,30+1=AH!$P$11),TODAY(),IF(AH!$P$10=1,INDEX('Live History'!$A$5:$A$3004,AH!$P$13+30),INDEX('AH History'!$A$1:$A$18046,AH!$P$7+30))),""))</ns0:f>
        <ns0:v>46080</ns0:v>
      </ns0:c>
      <ns0:c r="B35" s="218">
        <ns0:f>IFERROR(IF(AND(AH!$P$9&lt;&gt;1,$C35&gt;0,$D35&gt;0,$E35&gt;0,$F35&gt;0,$G35&gt;0,$F35&lt;=$A35,$G35&lt;=$A35,$A35-$F35&lt;=10,$A35-$G35&lt;=5),$D35*$E35/$C35-1,NA()),NA())</ns0:f>
        <ns0:v>-0.12495129570669061</ns0:v>
      </ns0:c>
      <ns0:c r="C35" s="1">
        <ns0:f>IFERROR(IF(ISNUMBER($A35),IF(AND(AH!$P$10=1,AH!$P$12=1,$A35=TODAY()),AH!$P$19,IF(AH!$P$10=1,INDEX('Live History'!$B$5:$B$3004,AH!$P$13+30),INDEX('AH History'!$B$1:$B$18046,AH!$P$7+30))),NA()),NA())</ns0:f>
        <ns0:v>392.0</ns0:v>
      </ns0:c>
      <ns0:c r="D35" s="1">
        <ns0:f>IFERROR(IF(ISNUMBER($A35),IF(AND(AH!$P$10=1,AH!$P$12=1,$A35=TODAY()),AH!$P$18,IF(AH!$P$10=1,INDEX('Live History'!$E$5:$E$3004,MATCH($A35,'Live History'!$D$5:$D$3004,1)),INDEX('AH History'!$C$1:$C$18046,AH!$P$7+30))),NA()),NA())</ns0:f>
        <ns0:v>300.0</ns0:v>
      </ns0:c>
      <ns0:c r="E35" s="1">
        <ns0:f>IFERROR(IF(ISNUMBER($A35),IF(AND(AH!$P$10=1,AH!$P$12=1,$A35=TODAY()),AH!$P$20,IF(AH!$P$10=1,INDEX('Live History'!$H$5:$H$3004,MATCH($A35,'Live History'!$G$5:$G$3004,1)),INDEX('AH History'!$D$1:$D$18046,AH!$P$7+30))),NA()),NA())</ns0:f>
        <ns0:v>1.1433969736099243</ns0:v>
      </ns0:c>
      <ns0:c r="F35" s="1">
        <ns0:f>IFERROR(IF(ISNUMBER($A35),IF(AND(AH!$P$10=1,AH!$P$12=1,$A35=TODAY()),IF(AND(AH!$P$10=1,AH!$P$12=1,$A35=TODAY()),TODAY(),NA()),IF(AH!$P$10=1,INDEX('Live History'!$D$5:$D$3004,MATCH($A35,'Live History'!$D$5:$D$3004,1)),INDEX('AH History'!$E$1:$E$18046,AH!$P$7+30))),NA()),NA())</ns0:f>
        <ns0:v>46080</ns0:v>
      </ns0:c>
      <ns0:c r="G35" s="1">
        <ns0:f>IFERROR(IF(ISNUMBER($A35),IF(AND(AH!$P$10=1,AH!$P$12=1,$A35=TODAY()),IF(AND(AH!$P$10=1,AH!$P$12=1,$A35=TODAY()),TODAY(),NA()),IF(AH!$P$10=1,INDEX('Live History'!$G$5:$G$3004,MATCH($A35,'Live History'!$G$5:$G$3004,1)),INDEX('AH History'!$F$1:$F$18046,AH!$P$7+30))),NA()),NA())</ns0:f>
        <ns0:v>46080</ns0:v>
      </ns0:c>
      <ns0:c r="H35" s="1">
        <ns0:f>IFERROR(IF(AND(AH!$E$4="Bloomberg",AH!$P$10=1,ISNUMBER($A35),$A35&lt;=AH!$P$17),AH!$P$7-1+MATCH($A35,INDEX('AH History'!$A$1:$A$18046,AH!$P$7):INDEX('AH History'!$A$1:$A$18046,AH!$P$7+AH!$P$8-1),0),0),0)</ns0:f>
        <ns0:v/>
      </ns0:c>
      <ns0:c r="I35" s="1">
        <ns0:f>IF($H35=0,0,IFERROR(IF(AND(ABS($C35-INDEX('AH History'!$B$1:$B$18046,$H35))&lt;=MAX(0.005,ABS(INDEX('AH History'!$B$1:$B$18046,$H35))*0.00005),ABS($D35-INDEX('AH History'!$C$1:$C$18046,$H35))&lt;=MAX(0.005,ABS(INDEX('AH History'!$C$1:$C$18046,$H35))*0.00005),ABS($E35-INDEX('AH History'!$D$1:$D$18046,$H35))&lt;=0.00005,$F35=INDEX('AH History'!$E$1:$E$18046,$H35),$G35=INDEX('AH History'!$F$1:$F$18046,$H35)),1,-1),-1))</ns0:f>
        <ns0:v/>
      </ns0:c>
      <ns0:c r="J35" s="1" t="n"/>
      <ns0:c r="K35" s="1" t="n"/>
      <ns0:c r="L35" s="1" t="n"/>
      <ns0:c r="M35" s="1" t="n"/>
      <ns0:c r="N35" s="1" t="n"/>
      <ns0:c r="O35" s="1" t="n"/>
      <ns0:c r="P35" s="1" t="n"/>
      <ns0:c r="Q35" s="1" t="n"/>
    </ns0:row>
    <ns0:row r="36" ht="22" customHeight="1">
      <ns0:c r="A36" s="217">
        <ns0:f>IF(OR(AH!$P$3=0,31+1&gt;AH!$P$11,AND(AH!$E$4&lt;&gt;"Stored",AH!$P$10&lt;&gt;1)),"",IFERROR(IF(AND(AH!$P$21=1,31+1=AH!$P$11),TODAY(),IF(AH!$P$10=1,INDEX('Live History'!$A$5:$A$3004,AH!$P$13+31),INDEX('AH History'!$A$1:$A$18046,AH!$P$7+31))),""))</ns0:f>
        <ns0:v>46083</ns0:v>
      </ns0:c>
      <ns0:c r="B36" s="218">
        <ns0:f>IFERROR(IF(AND(AH!$P$9&lt;&gt;1,$C36&gt;0,$D36&gt;0,$E36&gt;0,$F36&gt;0,$G36&gt;0,$F36&lt;=$A36,$G36&lt;=$A36,$A36-$F36&lt;=10,$A36-$G36&lt;=5),$D36*$E36/$C36-1,NA()),NA())</ns0:f>
        <ns0:v>-0.10839244887034105</ns0:v>
      </ns0:c>
      <ns0:c r="C36" s="1">
        <ns0:f>IFERROR(IF(ISNUMBER($A36),IF(AND(AH!$P$10=1,AH!$P$12=1,$A36=TODAY()),AH!$P$19,IF(AH!$P$10=1,INDEX('Live History'!$B$5:$B$3004,AH!$P$13+31),INDEX('AH History'!$B$1:$B$18046,AH!$P$7+31))),NA()),NA())</ns0:f>
        <ns0:v>375.0</ns0:v>
      </ns0:c>
      <ns0:c r="D36" s="1">
        <ns0:f>IFERROR(IF(ISNUMBER($A36),IF(AND(AH!$P$10=1,AH!$P$12=1,$A36=TODAY()),AH!$P$18,IF(AH!$P$10=1,INDEX('Live History'!$E$5:$E$3004,MATCH($A36,'Live History'!$D$5:$D$3004,1)),INDEX('AH History'!$C$1:$C$18046,AH!$P$7+31))),NA()),NA())</ns0:f>
        <ns0:v>293.15</ns0:v>
      </ns0:c>
      <ns0:c r="E36" s="1">
        <ns0:f>IFERROR(IF(ISNUMBER($A36),IF(AND(AH!$P$10=1,AH!$P$12=1,$A36=TODAY()),AH!$P$20,IF(AH!$P$10=1,INDEX('Live History'!$H$5:$H$3004,MATCH($A36,'Live History'!$G$5:$G$3004,1)),INDEX('AH History'!$D$1:$D$18046,AH!$P$7+31))),NA()),NA())</ns0:f>
        <ns0:v>1.140552043914795</ns0:v>
      </ns0:c>
      <ns0:c r="F36" s="1">
        <ns0:f>IFERROR(IF(ISNUMBER($A36),IF(AND(AH!$P$10=1,AH!$P$12=1,$A36=TODAY()),IF(AND(AH!$P$10=1,AH!$P$12=1,$A36=TODAY()),TODAY(),NA()),IF(AH!$P$10=1,INDEX('Live History'!$D$5:$D$3004,MATCH($A36,'Live History'!$D$5:$D$3004,1)),INDEX('AH History'!$E$1:$E$18046,AH!$P$7+31))),NA()),NA())</ns0:f>
        <ns0:v>46083</ns0:v>
      </ns0:c>
      <ns0:c r="G36" s="1">
        <ns0:f>IFERROR(IF(ISNUMBER($A36),IF(AND(AH!$P$10=1,AH!$P$12=1,$A36=TODAY()),IF(AND(AH!$P$10=1,AH!$P$12=1,$A36=TODAY()),TODAY(),NA()),IF(AH!$P$10=1,INDEX('Live History'!$G$5:$G$3004,MATCH($A36,'Live History'!$G$5:$G$3004,1)),INDEX('AH History'!$F$1:$F$18046,AH!$P$7+31))),NA()),NA())</ns0:f>
        <ns0:v>46083</ns0:v>
      </ns0:c>
      <ns0:c r="H36" s="1">
        <ns0:f>IFERROR(IF(AND(AH!$E$4="Bloomberg",AH!$P$10=1,ISNUMBER($A36),$A36&lt;=AH!$P$17),AH!$P$7-1+MATCH($A36,INDEX('AH History'!$A$1:$A$18046,AH!$P$7):INDEX('AH History'!$A$1:$A$18046,AH!$P$7+AH!$P$8-1),0),0),0)</ns0:f>
        <ns0:v/>
      </ns0:c>
      <ns0:c r="I36" s="1">
        <ns0:f>IF($H36=0,0,IFERROR(IF(AND(ABS($C36-INDEX('AH History'!$B$1:$B$18046,$H36))&lt;=MAX(0.005,ABS(INDEX('AH History'!$B$1:$B$18046,$H36))*0.00005),ABS($D36-INDEX('AH History'!$C$1:$C$18046,$H36))&lt;=MAX(0.005,ABS(INDEX('AH History'!$C$1:$C$18046,$H36))*0.00005),ABS($E36-INDEX('AH History'!$D$1:$D$18046,$H36))&lt;=0.00005,$F36=INDEX('AH History'!$E$1:$E$18046,$H36),$G36=INDEX('AH History'!$F$1:$F$18046,$H36)),1,-1),-1))</ns0:f>
        <ns0:v/>
      </ns0:c>
      <ns0:c r="J36" s="1" t="n"/>
      <ns0:c r="K36" s="1" t="n"/>
      <ns0:c r="L36" s="1" t="n"/>
      <ns0:c r="M36" s="1" t="n"/>
      <ns0:c r="N36" s="1" t="n"/>
      <ns0:c r="O36" s="1" t="n"/>
      <ns0:c r="P36" s="1" t="n"/>
      <ns0:c r="Q36" s="1" t="n"/>
    </ns0:row>
    <ns0:row r="37" ht="22" customHeight="1">
      <ns0:c r="A37" s="217">
        <ns0:f>IF(OR(AH!$P$3=0,32+1&gt;AH!$P$11,AND(AH!$E$4&lt;&gt;"Stored",AH!$P$10&lt;&gt;1)),"",IFERROR(IF(AND(AH!$P$21=1,32+1=AH!$P$11),TODAY(),IF(AH!$P$10=1,INDEX('Live History'!$A$5:$A$3004,AH!$P$13+32),INDEX('AH History'!$A$1:$A$18046,AH!$P$7+32))),""))</ns0:f>
        <ns0:v>46084</ns0:v>
      </ns0:c>
      <ns0:c r="B37" s="218">
        <ns0:f>IFERROR(IF(AND(AH!$P$9&lt;&gt;1,$C37&gt;0,$D37&gt;0,$E37&gt;0,$F37&gt;0,$G37&gt;0,$F37&lt;=$A37,$G37&lt;=$A37,$A37-$F37&lt;=10,$A37-$G37&lt;=5),$D37*$E37/$C37-1,NA()),NA())</ns0:f>
        <ns0:v>-0.10372198921407572</ns0:v>
      </ns0:c>
      <ns0:c r="C37" s="1">
        <ns0:f>IFERROR(IF(ISNUMBER($A37),IF(AND(AH!$P$10=1,AH!$P$12=1,$A37=TODAY()),AH!$P$19,IF(AH!$P$10=1,INDEX('Live History'!$B$5:$B$3004,AH!$P$13+32),INDEX('AH History'!$B$1:$B$18046,AH!$P$7+32))),NA()),NA())</ns0:f>
        <ns0:v>346.0</ns0:v>
      </ns0:c>
      <ns0:c r="D37" s="1">
        <ns0:f>IFERROR(IF(ISNUMBER($A37),IF(AND(AH!$P$10=1,AH!$P$12=1,$A37=TODAY()),AH!$P$18,IF(AH!$P$10=1,INDEX('Live History'!$E$5:$E$3004,MATCH($A37,'Live History'!$D$5:$D$3004,1)),INDEX('AH History'!$C$1:$C$18046,AH!$P$7+32))),NA()),NA())</ns0:f>
        <ns0:v>272.89</ns0:v>
      </ns0:c>
      <ns0:c r="E37" s="1">
        <ns0:f>IFERROR(IF(ISNUMBER($A37),IF(AND(AH!$P$10=1,AH!$P$12=1,$A37=TODAY()),AH!$P$20,IF(AH!$P$10=1,INDEX('Live History'!$H$5:$H$3004,MATCH($A37,'Live History'!$G$5:$G$3004,1)),INDEX('AH History'!$D$1:$D$18046,AH!$P$7+32))),NA()),NA())</ns0:f>
        <ns0:v>1.1363999843597412</ns0:v>
      </ns0:c>
      <ns0:c r="F37" s="1">
        <ns0:f>IFERROR(IF(ISNUMBER($A37),IF(AND(AH!$P$10=1,AH!$P$12=1,$A37=TODAY()),IF(AND(AH!$P$10=1,AH!$P$12=1,$A37=TODAY()),TODAY(),NA()),IF(AH!$P$10=1,INDEX('Live History'!$D$5:$D$3004,MATCH($A37,'Live History'!$D$5:$D$3004,1)),INDEX('AH History'!$E$1:$E$18046,AH!$P$7+32))),NA()),NA())</ns0:f>
        <ns0:v>46084</ns0:v>
      </ns0:c>
      <ns0:c r="G37" s="1">
        <ns0:f>IFERROR(IF(ISNUMBER($A37),IF(AND(AH!$P$10=1,AH!$P$12=1,$A37=TODAY()),IF(AND(AH!$P$10=1,AH!$P$12=1,$A37=TODAY()),TODAY(),NA()),IF(AH!$P$10=1,INDEX('Live History'!$G$5:$G$3004,MATCH($A37,'Live History'!$G$5:$G$3004,1)),INDEX('AH History'!$F$1:$F$18046,AH!$P$7+32))),NA()),NA())</ns0:f>
        <ns0:v>46084</ns0:v>
      </ns0:c>
      <ns0:c r="H37" s="1">
        <ns0:f>IFERROR(IF(AND(AH!$E$4="Bloomberg",AH!$P$10=1,ISNUMBER($A37),$A37&lt;=AH!$P$17),AH!$P$7-1+MATCH($A37,INDEX('AH History'!$A$1:$A$18046,AH!$P$7):INDEX('AH History'!$A$1:$A$18046,AH!$P$7+AH!$P$8-1),0),0),0)</ns0:f>
        <ns0:v/>
      </ns0:c>
      <ns0:c r="I37" s="1">
        <ns0:f>IF($H37=0,0,IFERROR(IF(AND(ABS($C37-INDEX('AH History'!$B$1:$B$18046,$H37))&lt;=MAX(0.005,ABS(INDEX('AH History'!$B$1:$B$18046,$H37))*0.00005),ABS($D37-INDEX('AH History'!$C$1:$C$18046,$H37))&lt;=MAX(0.005,ABS(INDEX('AH History'!$C$1:$C$18046,$H37))*0.00005),ABS($E37-INDEX('AH History'!$D$1:$D$18046,$H37))&lt;=0.00005,$F37=INDEX('AH History'!$E$1:$E$18046,$H37),$G37=INDEX('AH History'!$F$1:$F$18046,$H37)),1,-1),-1))</ns0:f>
        <ns0:v/>
      </ns0:c>
      <ns0:c r="J37" s="1" t="n"/>
      <ns0:c r="K37" s="1" t="n"/>
      <ns0:c r="L37" s="1" t="n"/>
      <ns0:c r="M37" s="1" t="n"/>
      <ns0:c r="N37" s="1" t="n"/>
      <ns0:c r="O37" s="1" t="n"/>
      <ns0:c r="P37" s="1" t="n"/>
      <ns0:c r="Q37" s="1" t="n"/>
    </ns0:row>
    <ns0:row r="38" ht="22" customHeight="1">
      <ns0:c r="A38" s="217">
        <ns0:f>IF(OR(AH!$P$3=0,33+1&gt;AH!$P$11,AND(AH!$E$4&lt;&gt;"Stored",AH!$P$10&lt;&gt;1)),"",IFERROR(IF(AND(AH!$P$21=1,33+1=AH!$P$11),TODAY(),IF(AH!$P$10=1,INDEX('Live History'!$A$5:$A$3004,AH!$P$13+33),INDEX('AH History'!$A$1:$A$18046,AH!$P$7+33))),""))</ns0:f>
        <ns0:v>46085</ns0:v>
      </ns0:c>
      <ns0:c r="B38" s="218">
        <ns0:f>IFERROR(IF(AND(AH!$P$9&lt;&gt;1,$C38&gt;0,$D38&gt;0,$E38&gt;0,$F38&gt;0,$G38&gt;0,$F38&lt;=$A38,$G38&lt;=$A38,$A38-$F38&lt;=10,$A38-$G38&lt;=5),$D38*$E38/$C38-1,NA()),NA())</ns0:f>
        <ns0:v>-0.14050012489289754</ns0:v>
      </ns0:c>
      <ns0:c r="C38" s="1">
        <ns0:f>IFERROR(IF(ISNUMBER($A38),IF(AND(AH!$P$10=1,AH!$P$12=1,$A38=TODAY()),AH!$P$19,IF(AH!$P$10=1,INDEX('Live History'!$B$5:$B$3004,AH!$P$13+33),INDEX('AH History'!$B$1:$B$18046,AH!$P$7+33))),NA()),NA())</ns0:f>
        <ns0:v>367.2</ns0:v>
      </ns0:c>
      <ns0:c r="D38" s="1">
        <ns0:f>IFERROR(IF(ISNUMBER($A38),IF(AND(AH!$P$10=1,AH!$P$12=1,$A38=TODAY()),AH!$P$18,IF(AH!$P$10=1,INDEX('Live History'!$E$5:$E$3004,MATCH($A38,'Live History'!$D$5:$D$3004,1)),INDEX('AH History'!$C$1:$C$18046,AH!$P$7+33))),NA()),NA())</ns0:f>
        <ns0:v>279.07</ns0:v>
      </ns0:c>
      <ns0:c r="E38" s="1">
        <ns0:f>IFERROR(IF(ISNUMBER($A38),IF(AND(AH!$P$10=1,AH!$P$12=1,$A38=TODAY()),AH!$P$20,IF(AH!$P$10=1,INDEX('Live History'!$H$5:$H$3004,MATCH($A38,'Live History'!$G$5:$G$3004,1)),INDEX('AH History'!$D$1:$D$18046,AH!$P$7+33))),NA()),NA())</ns0:f>
        <ns0:v>1.1309289932250977</ns0:v>
      </ns0:c>
      <ns0:c r="F38" s="1">
        <ns0:f>IFERROR(IF(ISNUMBER($A38),IF(AND(AH!$P$10=1,AH!$P$12=1,$A38=TODAY()),IF(AND(AH!$P$10=1,AH!$P$12=1,$A38=TODAY()),TODAY(),NA()),IF(AH!$P$10=1,INDEX('Live History'!$D$5:$D$3004,MATCH($A38,'Live History'!$D$5:$D$3004,1)),INDEX('AH History'!$E$1:$E$18046,AH!$P$7+33))),NA()),NA())</ns0:f>
        <ns0:v>46085</ns0:v>
      </ns0:c>
      <ns0:c r="G38" s="1">
        <ns0:f>IFERROR(IF(ISNUMBER($A38),IF(AND(AH!$P$10=1,AH!$P$12=1,$A38=TODAY()),IF(AND(AH!$P$10=1,AH!$P$12=1,$A38=TODAY()),TODAY(),NA()),IF(AH!$P$10=1,INDEX('Live History'!$G$5:$G$3004,MATCH($A38,'Live History'!$G$5:$G$3004,1)),INDEX('AH History'!$F$1:$F$18046,AH!$P$7+33))),NA()),NA())</ns0:f>
        <ns0:v>46085</ns0:v>
      </ns0:c>
      <ns0:c r="H38" s="1">
        <ns0:f>IFERROR(IF(AND(AH!$E$4="Bloomberg",AH!$P$10=1,ISNUMBER($A38),$A38&lt;=AH!$P$17),AH!$P$7-1+MATCH($A38,INDEX('AH History'!$A$1:$A$18046,AH!$P$7):INDEX('AH History'!$A$1:$A$18046,AH!$P$7+AH!$P$8-1),0),0),0)</ns0:f>
        <ns0:v/>
      </ns0:c>
      <ns0:c r="I38" s="1">
        <ns0:f>IF($H38=0,0,IFERROR(IF(AND(ABS($C38-INDEX('AH History'!$B$1:$B$18046,$H38))&lt;=MAX(0.005,ABS(INDEX('AH History'!$B$1:$B$18046,$H38))*0.00005),ABS($D38-INDEX('AH History'!$C$1:$C$18046,$H38))&lt;=MAX(0.005,ABS(INDEX('AH History'!$C$1:$C$18046,$H38))*0.00005),ABS($E38-INDEX('AH History'!$D$1:$D$18046,$H38))&lt;=0.00005,$F38=INDEX('AH History'!$E$1:$E$18046,$H38),$G38=INDEX('AH History'!$F$1:$F$18046,$H38)),1,-1),-1))</ns0:f>
        <ns0:v/>
      </ns0:c>
      <ns0:c r="J38" s="1" t="n"/>
      <ns0:c r="K38" s="1" t="n"/>
      <ns0:c r="L38" s="1" t="n"/>
      <ns0:c r="M38" s="1" t="n"/>
      <ns0:c r="N38" s="1" t="n"/>
      <ns0:c r="O38" s="1" t="n"/>
      <ns0:c r="P38" s="1" t="n"/>
      <ns0:c r="Q38" s="1" t="n"/>
    </ns0:row>
    <ns0:row r="39" ht="22" customHeight="1">
      <ns0:c r="A39" s="217">
        <ns0:f>IF(OR(AH!$P$3=0,34+1&gt;AH!$P$11,AND(AH!$E$4&lt;&gt;"Stored",AH!$P$10&lt;&gt;1)),"",IFERROR(IF(AND(AH!$P$21=1,34+1=AH!$P$11),TODAY(),IF(AH!$P$10=1,INDEX('Live History'!$A$5:$A$3004,AH!$P$13+34),INDEX('AH History'!$A$1:$A$18046,AH!$P$7+34))),""))</ns0:f>
        <ns0:v>46086</ns0:v>
      </ns0:c>
      <ns0:c r="B39" s="218">
        <ns0:f>IFERROR(IF(AND(AH!$P$9&lt;&gt;1,$C39&gt;0,$D39&gt;0,$E39&gt;0,$F39&gt;0,$G39&gt;0,$F39&lt;=$A39,$G39&lt;=$A39,$A39-$F39&lt;=10,$A39-$G39&lt;=5),$D39*$E39/$C39-1,NA()),NA())</ns0:f>
        <ns0:v>-0.14223712861410298</ns0:v>
      </ns0:c>
      <ns0:c r="C39" s="1">
        <ns0:f>IFERROR(IF(ISNUMBER($A39),IF(AND(AH!$P$10=1,AH!$P$12=1,$A39=TODAY()),AH!$P$19,IF(AH!$P$10=1,INDEX('Live History'!$B$5:$B$3004,AH!$P$13+34),INDEX('AH History'!$B$1:$B$18046,AH!$P$7+34))),NA()),NA())</ns0:f>
        <ns0:v>373.6</ns0:v>
      </ns0:c>
      <ns0:c r="D39" s="1">
        <ns0:f>IFERROR(IF(ISNUMBER($A39),IF(AND(AH!$P$10=1,AH!$P$12=1,$A39=TODAY()),AH!$P$18,IF(AH!$P$10=1,INDEX('Live History'!$E$5:$E$3004,MATCH($A39,'Live History'!$D$5:$D$3004,1)),INDEX('AH History'!$C$1:$C$18046,AH!$P$7+34))),NA()),NA())</ns0:f>
        <ns0:v>282.8</ns0:v>
      </ns0:c>
      <ns0:c r="E39" s="1">
        <ns0:f>IFERROR(IF(ISNUMBER($A39),IF(AND(AH!$P$10=1,AH!$P$12=1,$A39=TODAY()),AH!$P$20,IF(AH!$P$10=1,INDEX('Live History'!$H$5:$H$3004,MATCH($A39,'Live History'!$G$5:$G$3004,1)),INDEX('AH History'!$D$1:$D$18046,AH!$P$7+34))),NA()),NA())</ns0:f>
        <ns0:v>1.1331690549850464</ns0:v>
      </ns0:c>
      <ns0:c r="F39" s="1">
        <ns0:f>IFERROR(IF(ISNUMBER($A39),IF(AND(AH!$P$10=1,AH!$P$12=1,$A39=TODAY()),IF(AND(AH!$P$10=1,AH!$P$12=1,$A39=TODAY()),TODAY(),NA()),IF(AH!$P$10=1,INDEX('Live History'!$D$5:$D$3004,MATCH($A39,'Live History'!$D$5:$D$3004,1)),INDEX('AH History'!$E$1:$E$18046,AH!$P$7+34))),NA()),NA())</ns0:f>
        <ns0:v>46086</ns0:v>
      </ns0:c>
      <ns0:c r="G39" s="1">
        <ns0:f>IFERROR(IF(ISNUMBER($A39),IF(AND(AH!$P$10=1,AH!$P$12=1,$A39=TODAY()),IF(AND(AH!$P$10=1,AH!$P$12=1,$A39=TODAY()),TODAY(),NA()),IF(AH!$P$10=1,INDEX('Live History'!$G$5:$G$3004,MATCH($A39,'Live History'!$G$5:$G$3004,1)),INDEX('AH History'!$F$1:$F$18046,AH!$P$7+34))),NA()),NA())</ns0:f>
        <ns0:v>46086</ns0:v>
      </ns0:c>
      <ns0:c r="H39" s="1">
        <ns0:f>IFERROR(IF(AND(AH!$E$4="Bloomberg",AH!$P$10=1,ISNUMBER($A39),$A39&lt;=AH!$P$17),AH!$P$7-1+MATCH($A39,INDEX('AH History'!$A$1:$A$18046,AH!$P$7):INDEX('AH History'!$A$1:$A$18046,AH!$P$7+AH!$P$8-1),0),0),0)</ns0:f>
        <ns0:v/>
      </ns0:c>
      <ns0:c r="I39" s="1">
        <ns0:f>IF($H39=0,0,IFERROR(IF(AND(ABS($C39-INDEX('AH History'!$B$1:$B$18046,$H39))&lt;=MAX(0.005,ABS(INDEX('AH History'!$B$1:$B$18046,$H39))*0.00005),ABS($D39-INDEX('AH History'!$C$1:$C$18046,$H39))&lt;=MAX(0.005,ABS(INDEX('AH History'!$C$1:$C$18046,$H39))*0.00005),ABS($E39-INDEX('AH History'!$D$1:$D$18046,$H39))&lt;=0.00005,$F39=INDEX('AH History'!$E$1:$E$18046,$H39),$G39=INDEX('AH History'!$F$1:$F$18046,$H39)),1,-1),-1))</ns0:f>
        <ns0:v/>
      </ns0:c>
      <ns0:c r="J39" s="1" t="n"/>
      <ns0:c r="K39" s="1" t="n"/>
      <ns0:c r="L39" s="1" t="n"/>
      <ns0:c r="M39" s="1" t="n"/>
      <ns0:c r="N39" s="1" t="n"/>
      <ns0:c r="O39" s="1" t="n"/>
      <ns0:c r="P39" s="1" t="n"/>
      <ns0:c r="Q39" s="1" t="n"/>
    </ns0:row>
    <ns0:row r="40" ht="22" customHeight="1">
      <ns0:c r="A40" s="217">
        <ns0:f>IF(OR(AH!$P$3=0,35+1&gt;AH!$P$11,AND(AH!$E$4&lt;&gt;"Stored",AH!$P$10&lt;&gt;1)),"",IFERROR(IF(AND(AH!$P$21=1,35+1=AH!$P$11),TODAY(),IF(AH!$P$10=1,INDEX('Live History'!$A$5:$A$3004,AH!$P$13+35),INDEX('AH History'!$A$1:$A$18046,AH!$P$7+35))),""))</ns0:f>
        <ns0:v>46087</ns0:v>
      </ns0:c>
      <ns0:c r="B40" s="218">
        <ns0:f>IFERROR(IF(AND(AH!$P$9&lt;&gt;1,$C40&gt;0,$D40&gt;0,$E40&gt;0,$F40&gt;0,$G40&gt;0,$F40&lt;=$A40,$G40&lt;=$A40,$A40-$F40&lt;=10,$A40-$G40&lt;=5),$D40*$E40/$C40-1,NA()),NA())</ns0:f>
        <ns0:v>-0.17512857969070228</ns0:v>
      </ns0:c>
      <ns0:c r="C40" s="1">
        <ns0:f>IFERROR(IF(ISNUMBER($A40),IF(AND(AH!$P$10=1,AH!$P$12=1,$A40=TODAY()),AH!$P$19,IF(AH!$P$10=1,INDEX('Live History'!$B$5:$B$3004,AH!$P$13+35),INDEX('AH History'!$B$1:$B$18046,AH!$P$7+35))),NA()),NA())</ns0:f>
        <ns0:v>391.6</ns0:v>
      </ns0:c>
      <ns0:c r="D40" s="1">
        <ns0:f>IFERROR(IF(ISNUMBER($A40),IF(AND(AH!$P$10=1,AH!$P$12=1,$A40=TODAY()),AH!$P$18,IF(AH!$P$10=1,INDEX('Live History'!$E$5:$E$3004,MATCH($A40,'Live History'!$D$5:$D$3004,1)),INDEX('AH History'!$C$1:$C$18046,AH!$P$7+35))),NA()),NA())</ns0:f>
        <ns0:v>284.99</ns0:v>
      </ns0:c>
      <ns0:c r="E40" s="1">
        <ns0:f>IFERROR(IF(ISNUMBER($A40),IF(AND(AH!$P$10=1,AH!$P$12=1,$A40=TODAY()),AH!$P$20,IF(AH!$P$10=1,INDEX('Live History'!$H$5:$H$3004,MATCH($A40,'Live History'!$G$5:$G$3004,1)),INDEX('AH History'!$D$1:$D$18046,AH!$P$7+35))),NA()),NA())</ns0:f>
        <ns0:v>1.1334420442581177</ns0:v>
      </ns0:c>
      <ns0:c r="F40" s="1">
        <ns0:f>IFERROR(IF(ISNUMBER($A40),IF(AND(AH!$P$10=1,AH!$P$12=1,$A40=TODAY()),IF(AND(AH!$P$10=1,AH!$P$12=1,$A40=TODAY()),TODAY(),NA()),IF(AH!$P$10=1,INDEX('Live History'!$D$5:$D$3004,MATCH($A40,'Live History'!$D$5:$D$3004,1)),INDEX('AH History'!$E$1:$E$18046,AH!$P$7+35))),NA()),NA())</ns0:f>
        <ns0:v>46087</ns0:v>
      </ns0:c>
      <ns0:c r="G40" s="1">
        <ns0:f>IFERROR(IF(ISNUMBER($A40),IF(AND(AH!$P$10=1,AH!$P$12=1,$A40=TODAY()),IF(AND(AH!$P$10=1,AH!$P$12=1,$A40=TODAY()),TODAY(),NA()),IF(AH!$P$10=1,INDEX('Live History'!$G$5:$G$3004,MATCH($A40,'Live History'!$G$5:$G$3004,1)),INDEX('AH History'!$F$1:$F$18046,AH!$P$7+35))),NA()),NA())</ns0:f>
        <ns0:v>46087</ns0:v>
      </ns0:c>
      <ns0:c r="H40" s="1">
        <ns0:f>IFERROR(IF(AND(AH!$E$4="Bloomberg",AH!$P$10=1,ISNUMBER($A40),$A40&lt;=AH!$P$17),AH!$P$7-1+MATCH($A40,INDEX('AH History'!$A$1:$A$18046,AH!$P$7):INDEX('AH History'!$A$1:$A$18046,AH!$P$7+AH!$P$8-1),0),0),0)</ns0:f>
        <ns0:v/>
      </ns0:c>
      <ns0:c r="I40" s="1">
        <ns0:f>IF($H40=0,0,IFERROR(IF(AND(ABS($C40-INDEX('AH History'!$B$1:$B$18046,$H40))&lt;=MAX(0.005,ABS(INDEX('AH History'!$B$1:$B$18046,$H40))*0.00005),ABS($D40-INDEX('AH History'!$C$1:$C$18046,$H40))&lt;=MAX(0.005,ABS(INDEX('AH History'!$C$1:$C$18046,$H40))*0.00005),ABS($E40-INDEX('AH History'!$D$1:$D$18046,$H40))&lt;=0.00005,$F40=INDEX('AH History'!$E$1:$E$18046,$H40),$G40=INDEX('AH History'!$F$1:$F$18046,$H40)),1,-1),-1))</ns0:f>
        <ns0:v/>
      </ns0:c>
      <ns0:c r="J40" s="1" t="n"/>
      <ns0:c r="K40" s="1" t="n"/>
      <ns0:c r="L40" s="1" t="n"/>
      <ns0:c r="M40" s="1" t="n"/>
      <ns0:c r="N40" s="1" t="n"/>
      <ns0:c r="O40" s="1" t="n"/>
      <ns0:c r="P40" s="1" t="n"/>
      <ns0:c r="Q40" s="1" t="n"/>
    </ns0:row>
    <ns0:row r="41" ht="22" customHeight="1">
      <ns0:c r="A41" s="217">
        <ns0:f>IF(OR(AH!$P$3=0,36+1&gt;AH!$P$11,AND(AH!$E$4&lt;&gt;"Stored",AH!$P$10&lt;&gt;1)),"",IFERROR(IF(AND(AH!$P$21=1,36+1=AH!$P$11),TODAY(),IF(AH!$P$10=1,INDEX('Live History'!$A$5:$A$3004,AH!$P$13+36),INDEX('AH History'!$A$1:$A$18046,AH!$P$7+36))),""))</ns0:f>
        <ns0:v>46090</ns0:v>
      </ns0:c>
      <ns0:c r="B41" s="218">
        <ns0:f>IFERROR(IF(AND(AH!$P$9&lt;&gt;1,$C41&gt;0,$D41&gt;0,$E41&gt;0,$F41&gt;0,$G41&gt;0,$F41&lt;=$A41,$G41&lt;=$A41,$A41-$F41&lt;=10,$A41-$G41&lt;=5),$D41*$E41/$C41-1,NA()),NA())</ns0:f>
        <ns0:v>-0.1446862796964119</ns0:v>
      </ns0:c>
      <ns0:c r="C41" s="1">
        <ns0:f>IFERROR(IF(ISNUMBER($A41),IF(AND(AH!$P$10=1,AH!$P$12=1,$A41=TODAY()),AH!$P$19,IF(AH!$P$10=1,INDEX('Live History'!$B$5:$B$3004,AH!$P$13+36),INDEX('AH History'!$B$1:$B$18046,AH!$P$7+36))),NA()),NA())</ns0:f>
        <ns0:v>365.8</ns0:v>
      </ns0:c>
      <ns0:c r="D41" s="1">
        <ns0:f>IFERROR(IF(ISNUMBER($A41),IF(AND(AH!$P$10=1,AH!$P$12=1,$A41=TODAY()),AH!$P$18,IF(AH!$P$10=1,INDEX('Live History'!$E$5:$E$3004,MATCH($A41,'Live History'!$D$5:$D$3004,1)),INDEX('AH History'!$C$1:$C$18046,AH!$P$7+36))),NA()),NA())</ns0:f>
        <ns0:v>276.09</ns0:v>
      </ns0:c>
      <ns0:c r="E41" s="1">
        <ns0:f>IFERROR(IF(ISNUMBER($A41),IF(AND(AH!$P$10=1,AH!$P$12=1,$A41=TODAY()),AH!$P$20,IF(AH!$P$10=1,INDEX('Live History'!$H$5:$H$3004,MATCH($A41,'Live History'!$G$5:$G$3004,1)),INDEX('AH History'!$D$1:$D$18046,AH!$P$7+36))),NA()),NA())</ns0:f>
        <ns0:v>1.1332310438156128</ns0:v>
      </ns0:c>
      <ns0:c r="F41" s="1">
        <ns0:f>IFERROR(IF(ISNUMBER($A41),IF(AND(AH!$P$10=1,AH!$P$12=1,$A41=TODAY()),IF(AND(AH!$P$10=1,AH!$P$12=1,$A41=TODAY()),TODAY(),NA()),IF(AH!$P$10=1,INDEX('Live History'!$D$5:$D$3004,MATCH($A41,'Live History'!$D$5:$D$3004,1)),INDEX('AH History'!$E$1:$E$18046,AH!$P$7+36))),NA()),NA())</ns0:f>
        <ns0:v>46090</ns0:v>
      </ns0:c>
      <ns0:c r="G41" s="1">
        <ns0:f>IFERROR(IF(ISNUMBER($A41),IF(AND(AH!$P$10=1,AH!$P$12=1,$A41=TODAY()),IF(AND(AH!$P$10=1,AH!$P$12=1,$A41=TODAY()),TODAY(),NA()),IF(AH!$P$10=1,INDEX('Live History'!$G$5:$G$3004,MATCH($A41,'Live History'!$G$5:$G$3004,1)),INDEX('AH History'!$F$1:$F$18046,AH!$P$7+36))),NA()),NA())</ns0:f>
        <ns0:v>46090</ns0:v>
      </ns0:c>
      <ns0:c r="H41" s="1">
        <ns0:f>IFERROR(IF(AND(AH!$E$4="Bloomberg",AH!$P$10=1,ISNUMBER($A41),$A41&lt;=AH!$P$17),AH!$P$7-1+MATCH($A41,INDEX('AH History'!$A$1:$A$18046,AH!$P$7):INDEX('AH History'!$A$1:$A$18046,AH!$P$7+AH!$P$8-1),0),0),0)</ns0:f>
        <ns0:v/>
      </ns0:c>
      <ns0:c r="I41" s="1">
        <ns0:f>IF($H41=0,0,IFERROR(IF(AND(ABS($C41-INDEX('AH History'!$B$1:$B$18046,$H41))&lt;=MAX(0.005,ABS(INDEX('AH History'!$B$1:$B$18046,$H41))*0.00005),ABS($D41-INDEX('AH History'!$C$1:$C$18046,$H41))&lt;=MAX(0.005,ABS(INDEX('AH History'!$C$1:$C$18046,$H41))*0.00005),ABS($E41-INDEX('AH History'!$D$1:$D$18046,$H41))&lt;=0.00005,$F41=INDEX('AH History'!$E$1:$E$18046,$H41),$G41=INDEX('AH History'!$F$1:$F$18046,$H41)),1,-1),-1))</ns0:f>
        <ns0:v/>
      </ns0:c>
      <ns0:c r="J41" s="1" t="n"/>
      <ns0:c r="K41" s="1" t="n"/>
      <ns0:c r="L41" s="1" t="n"/>
      <ns0:c r="M41" s="1" t="n"/>
      <ns0:c r="N41" s="1" t="n"/>
      <ns0:c r="O41" s="1" t="n"/>
      <ns0:c r="P41" s="1" t="n"/>
      <ns0:c r="Q41" s="1" t="n"/>
    </ns0:row>
    <ns0:row r="42" ht="22" customHeight="1">
      <ns0:c r="A42" s="217">
        <ns0:f>IF(OR(AH!$P$3=0,37+1&gt;AH!$P$11,AND(AH!$E$4&lt;&gt;"Stored",AH!$P$10&lt;&gt;1)),"",IFERROR(IF(AND(AH!$P$21=1,37+1=AH!$P$11),TODAY(),IF(AH!$P$10=1,INDEX('Live History'!$A$5:$A$3004,AH!$P$13+37),INDEX('AH History'!$A$1:$A$18046,AH!$P$7+37))),""))</ns0:f>
        <ns0:v>46091</ns0:v>
      </ns0:c>
      <ns0:c r="B42" s="218">
        <ns0:f>IFERROR(IF(AND(AH!$P$9&lt;&gt;1,$C42&gt;0,$D42&gt;0,$E42&gt;0,$F42&gt;0,$G42&gt;0,$F42&lt;=$A42,$G42&lt;=$A42,$A42-$F42&lt;=10,$A42-$G42&lt;=5),$D42*$E42/$C42-1,NA()),NA())</ns0:f>
        <ns0:v>-0.14549608139764703</ns0:v>
      </ns0:c>
      <ns0:c r="C42" s="1">
        <ns0:f>IFERROR(IF(ISNUMBER($A42),IF(AND(AH!$P$10=1,AH!$P$12=1,$A42=TODAY()),AH!$P$19,IF(AH!$P$10=1,INDEX('Live History'!$B$5:$B$3004,AH!$P$13+37),INDEX('AH History'!$B$1:$B$18046,AH!$P$7+37))),NA()),NA())</ns0:f>
        <ns0:v>378.0</ns0:v>
      </ns0:c>
      <ns0:c r="D42" s="1">
        <ns0:f>IFERROR(IF(ISNUMBER($A42),IF(AND(AH!$P$10=1,AH!$P$12=1,$A42=TODAY()),AH!$P$18,IF(AH!$P$10=1,INDEX('Live History'!$E$5:$E$3004,MATCH($A42,'Live History'!$D$5:$D$3004,1)),INDEX('AH History'!$C$1:$C$18046,AH!$P$7+37))),NA()),NA())</ns0:f>
        <ns0:v>285.44</ns0:v>
      </ns0:c>
      <ns0:c r="E42" s="1">
        <ns0:f>IFERROR(IF(ISNUMBER($A42),IF(AND(AH!$P$10=1,AH!$P$12=1,$A42=TODAY()),AH!$P$20,IF(AH!$P$10=1,INDEX('Live History'!$H$5:$H$3004,MATCH($A42,'Live History'!$G$5:$G$3004,1)),INDEX('AH History'!$D$1:$D$18046,AH!$P$7+37))),NA()),NA())</ns0:f>
        <ns0:v>1.1315950155258179</ns0:v>
      </ns0:c>
      <ns0:c r="F42" s="1">
        <ns0:f>IFERROR(IF(ISNUMBER($A42),IF(AND(AH!$P$10=1,AH!$P$12=1,$A42=TODAY()),IF(AND(AH!$P$10=1,AH!$P$12=1,$A42=TODAY()),TODAY(),NA()),IF(AH!$P$10=1,INDEX('Live History'!$D$5:$D$3004,MATCH($A42,'Live History'!$D$5:$D$3004,1)),INDEX('AH History'!$E$1:$E$18046,AH!$P$7+37))),NA()),NA())</ns0:f>
        <ns0:v>46091</ns0:v>
      </ns0:c>
      <ns0:c r="G42" s="1">
        <ns0:f>IFERROR(IF(ISNUMBER($A42),IF(AND(AH!$P$10=1,AH!$P$12=1,$A42=TODAY()),IF(AND(AH!$P$10=1,AH!$P$12=1,$A42=TODAY()),TODAY(),NA()),IF(AH!$P$10=1,INDEX('Live History'!$G$5:$G$3004,MATCH($A42,'Live History'!$G$5:$G$3004,1)),INDEX('AH History'!$F$1:$F$18046,AH!$P$7+37))),NA()),NA())</ns0:f>
        <ns0:v>46091</ns0:v>
      </ns0:c>
      <ns0:c r="H42" s="1">
        <ns0:f>IFERROR(IF(AND(AH!$E$4="Bloomberg",AH!$P$10=1,ISNUMBER($A42),$A42&lt;=AH!$P$17),AH!$P$7-1+MATCH($A42,INDEX('AH History'!$A$1:$A$18046,AH!$P$7):INDEX('AH History'!$A$1:$A$18046,AH!$P$7+AH!$P$8-1),0),0),0)</ns0:f>
        <ns0:v/>
      </ns0:c>
      <ns0:c r="I42" s="1">
        <ns0:f>IF($H42=0,0,IFERROR(IF(AND(ABS($C42-INDEX('AH History'!$B$1:$B$18046,$H42))&lt;=MAX(0.005,ABS(INDEX('AH History'!$B$1:$B$18046,$H42))*0.00005),ABS($D42-INDEX('AH History'!$C$1:$C$18046,$H42))&lt;=MAX(0.005,ABS(INDEX('AH History'!$C$1:$C$18046,$H42))*0.00005),ABS($E42-INDEX('AH History'!$D$1:$D$18046,$H42))&lt;=0.00005,$F42=INDEX('AH History'!$E$1:$E$18046,$H42),$G42=INDEX('AH History'!$F$1:$F$18046,$H42)),1,-1),-1))</ns0:f>
        <ns0:v/>
      </ns0:c>
      <ns0:c r="J42" s="1" t="n"/>
      <ns0:c r="K42" s="1" t="n"/>
      <ns0:c r="L42" s="1" t="n"/>
      <ns0:c r="M42" s="1" t="n"/>
      <ns0:c r="N42" s="1" t="n"/>
      <ns0:c r="O42" s="1" t="n"/>
      <ns0:c r="P42" s="1" t="n"/>
      <ns0:c r="Q42" s="1" t="n"/>
    </ns0:row>
    <ns0:row r="43" ht="22" customHeight="1">
      <ns0:c r="A43" s="217">
        <ns0:f>IF(OR(AH!$P$3=0,38+1&gt;AH!$P$11,AND(AH!$E$4&lt;&gt;"Stored",AH!$P$10&lt;&gt;1)),"",IFERROR(IF(AND(AH!$P$21=1,38+1=AH!$P$11),TODAY(),IF(AH!$P$10=1,INDEX('Live History'!$A$5:$A$3004,AH!$P$13+38),INDEX('AH History'!$A$1:$A$18046,AH!$P$7+38))),""))</ns0:f>
        <ns0:v>46092</ns0:v>
      </ns0:c>
      <ns0:c r="B43" s="218">
        <ns0:f>IFERROR(IF(AND(AH!$P$9&lt;&gt;1,$C43&gt;0,$D43&gt;0,$E43&gt;0,$F43&gt;0,$G43&gt;0,$F43&lt;=$A43,$G43&lt;=$A43,$A43-$F43&lt;=10,$A43-$G43&lt;=5),$D43*$E43/$C43-1,NA()),NA())</ns0:f>
        <ns0:v>-0.13861130335883742</ns0:v>
      </ns0:c>
      <ns0:c r="C43" s="1">
        <ns0:f>IFERROR(IF(ISNUMBER($A43),IF(AND(AH!$P$10=1,AH!$P$12=1,$A43=TODAY()),AH!$P$19,IF(AH!$P$10=1,INDEX('Live History'!$B$5:$B$3004,AH!$P$13+38),INDEX('AH History'!$B$1:$B$18046,AH!$P$7+38))),NA()),NA())</ns0:f>
        <ns0:v>371.8</ns0:v>
      </ns0:c>
      <ns0:c r="D43" s="1">
        <ns0:f>IFERROR(IF(ISNUMBER($A43),IF(AND(AH!$P$10=1,AH!$P$12=1,$A43=TODAY()),AH!$P$18,IF(AH!$P$10=1,INDEX('Live History'!$E$5:$E$3004,MATCH($A43,'Live History'!$D$5:$D$3004,1)),INDEX('AH History'!$C$1:$C$18046,AH!$P$7+38))),NA()),NA())</ns0:f>
        <ns0:v>281.53</ns0:v>
      </ns0:c>
      <ns0:c r="E43" s="1">
        <ns0:f>IFERROR(IF(ISNUMBER($A43),IF(AND(AH!$P$10=1,AH!$P$12=1,$A43=TODAY()),AH!$P$20,IF(AH!$P$10=1,INDEX('Live History'!$H$5:$H$3004,MATCH($A43,'Live History'!$G$5:$G$3004,1)),INDEX('AH History'!$D$1:$D$18046,AH!$P$7+38))),NA()),NA())</ns0:f>
        <ns0:v>1.1375850439071655</ns0:v>
      </ns0:c>
      <ns0:c r="F43" s="1">
        <ns0:f>IFERROR(IF(ISNUMBER($A43),IF(AND(AH!$P$10=1,AH!$P$12=1,$A43=TODAY()),IF(AND(AH!$P$10=1,AH!$P$12=1,$A43=TODAY()),TODAY(),NA()),IF(AH!$P$10=1,INDEX('Live History'!$D$5:$D$3004,MATCH($A43,'Live History'!$D$5:$D$3004,1)),INDEX('AH History'!$E$1:$E$18046,AH!$P$7+38))),NA()),NA())</ns0:f>
        <ns0:v>46092</ns0:v>
      </ns0:c>
      <ns0:c r="G43" s="1">
        <ns0:f>IFERROR(IF(ISNUMBER($A43),IF(AND(AH!$P$10=1,AH!$P$12=1,$A43=TODAY()),IF(AND(AH!$P$10=1,AH!$P$12=1,$A43=TODAY()),TODAY(),NA()),IF(AH!$P$10=1,INDEX('Live History'!$G$5:$G$3004,MATCH($A43,'Live History'!$G$5:$G$3004,1)),INDEX('AH History'!$F$1:$F$18046,AH!$P$7+38))),NA()),NA())</ns0:f>
        <ns0:v>46092</ns0:v>
      </ns0:c>
      <ns0:c r="H43" s="1">
        <ns0:f>IFERROR(IF(AND(AH!$E$4="Bloomberg",AH!$P$10=1,ISNUMBER($A43),$A43&lt;=AH!$P$17),AH!$P$7-1+MATCH($A43,INDEX('AH History'!$A$1:$A$18046,AH!$P$7):INDEX('AH History'!$A$1:$A$18046,AH!$P$7+AH!$P$8-1),0),0),0)</ns0:f>
        <ns0:v/>
      </ns0:c>
      <ns0:c r="I43" s="1">
        <ns0:f>IF($H43=0,0,IFERROR(IF(AND(ABS($C43-INDEX('AH History'!$B$1:$B$18046,$H43))&lt;=MAX(0.005,ABS(INDEX('AH History'!$B$1:$B$18046,$H43))*0.00005),ABS($D43-INDEX('AH History'!$C$1:$C$18046,$H43))&lt;=MAX(0.005,ABS(INDEX('AH History'!$C$1:$C$18046,$H43))*0.00005),ABS($E43-INDEX('AH History'!$D$1:$D$18046,$H43))&lt;=0.00005,$F43=INDEX('AH History'!$E$1:$E$18046,$H43),$G43=INDEX('AH History'!$F$1:$F$18046,$H43)),1,-1),-1))</ns0:f>
        <ns0:v/>
      </ns0:c>
      <ns0:c r="J43" s="1" t="n"/>
      <ns0:c r="K43" s="1" t="n"/>
      <ns0:c r="L43" s="1" t="n"/>
      <ns0:c r="M43" s="1" t="n"/>
      <ns0:c r="N43" s="1" t="n"/>
      <ns0:c r="O43" s="1" t="n"/>
      <ns0:c r="P43" s="1" t="n"/>
      <ns0:c r="Q43" s="1" t="n"/>
    </ns0:row>
    <ns0:row r="44" ht="22" customHeight="1">
      <ns0:c r="A44" s="217">
        <ns0:f>IF(OR(AH!$P$3=0,39+1&gt;AH!$P$11,AND(AH!$E$4&lt;&gt;"Stored",AH!$P$10&lt;&gt;1)),"",IFERROR(IF(AND(AH!$P$21=1,39+1=AH!$P$11),TODAY(),IF(AH!$P$10=1,INDEX('Live History'!$A$5:$A$3004,AH!$P$13+39),INDEX('AH History'!$A$1:$A$18046,AH!$P$7+39))),""))</ns0:f>
        <ns0:v>46093</ns0:v>
      </ns0:c>
      <ns0:c r="B44" s="218">
        <ns0:f>IFERROR(IF(AND(AH!$P$9&lt;&gt;1,$C44&gt;0,$D44&gt;0,$E44&gt;0,$F44&gt;0,$G44&gt;0,$F44&lt;=$A44,$G44&lt;=$A44,$A44-$F44&lt;=10,$A44-$G44&lt;=5),$D44*$E44/$C44-1,NA()),NA())</ns0:f>
        <ns0:v>-0.13016861503654065</ns0:v>
      </ns0:c>
      <ns0:c r="C44" s="1">
        <ns0:f>IFERROR(IF(ISNUMBER($A44),IF(AND(AH!$P$10=1,AH!$P$12=1,$A44=TODAY()),AH!$P$19,IF(AH!$P$10=1,INDEX('Live History'!$B$5:$B$3004,AH!$P$13+39),INDEX('AH History'!$B$1:$B$18046,AH!$P$7+39))),NA()),NA())</ns0:f>
        <ns0:v>360.0</ns0:v>
      </ns0:c>
      <ns0:c r="D44" s="1">
        <ns0:f>IFERROR(IF(ISNUMBER($A44),IF(AND(AH!$P$10=1,AH!$P$12=1,$A44=TODAY()),AH!$P$18,IF(AH!$P$10=1,INDEX('Live History'!$E$5:$E$3004,MATCH($A44,'Live History'!$D$5:$D$3004,1)),INDEX('AH History'!$C$1:$C$18046,AH!$P$7+39))),NA()),NA())</ns0:f>
        <ns0:v>274.78</ns0:v>
      </ns0:c>
      <ns0:c r="E44" s="1">
        <ns0:f>IFERROR(IF(ISNUMBER($A44),IF(AND(AH!$P$10=1,AH!$P$12=1,$A44=TODAY()),AH!$P$20,IF(AH!$P$10=1,INDEX('Live History'!$H$5:$H$3004,MATCH($A44,'Live History'!$G$5:$G$3004,1)),INDEX('AH History'!$D$1:$D$18046,AH!$P$7+39))),NA()),NA())</ns0:f>
        <ns0:v>1.1396000385284424</ns0:v>
      </ns0:c>
      <ns0:c r="F44" s="1">
        <ns0:f>IFERROR(IF(ISNUMBER($A44),IF(AND(AH!$P$10=1,AH!$P$12=1,$A44=TODAY()),IF(AND(AH!$P$10=1,AH!$P$12=1,$A44=TODAY()),TODAY(),NA()),IF(AH!$P$10=1,INDEX('Live History'!$D$5:$D$3004,MATCH($A44,'Live History'!$D$5:$D$3004,1)),INDEX('AH History'!$E$1:$E$18046,AH!$P$7+39))),NA()),NA())</ns0:f>
        <ns0:v>46093</ns0:v>
      </ns0:c>
      <ns0:c r="G44" s="1">
        <ns0:f>IFERROR(IF(ISNUMBER($A44),IF(AND(AH!$P$10=1,AH!$P$12=1,$A44=TODAY()),IF(AND(AH!$P$10=1,AH!$P$12=1,$A44=TODAY()),TODAY(),NA()),IF(AH!$P$10=1,INDEX('Live History'!$G$5:$G$3004,MATCH($A44,'Live History'!$G$5:$G$3004,1)),INDEX('AH History'!$F$1:$F$18046,AH!$P$7+39))),NA()),NA())</ns0:f>
        <ns0:v>46093</ns0:v>
      </ns0:c>
      <ns0:c r="H44" s="1">
        <ns0:f>IFERROR(IF(AND(AH!$E$4="Bloomberg",AH!$P$10=1,ISNUMBER($A44),$A44&lt;=AH!$P$17),AH!$P$7-1+MATCH($A44,INDEX('AH History'!$A$1:$A$18046,AH!$P$7):INDEX('AH History'!$A$1:$A$18046,AH!$P$7+AH!$P$8-1),0),0),0)</ns0:f>
        <ns0:v/>
      </ns0:c>
      <ns0:c r="I44" s="1">
        <ns0:f>IF($H44=0,0,IFERROR(IF(AND(ABS($C44-INDEX('AH History'!$B$1:$B$18046,$H44))&lt;=MAX(0.005,ABS(INDEX('AH History'!$B$1:$B$18046,$H44))*0.00005),ABS($D44-INDEX('AH History'!$C$1:$C$18046,$H44))&lt;=MAX(0.005,ABS(INDEX('AH History'!$C$1:$C$18046,$H44))*0.00005),ABS($E44-INDEX('AH History'!$D$1:$D$18046,$H44))&lt;=0.00005,$F44=INDEX('AH History'!$E$1:$E$18046,$H44),$G44=INDEX('AH History'!$F$1:$F$18046,$H44)),1,-1),-1))</ns0:f>
        <ns0:v/>
      </ns0:c>
      <ns0:c r="J44" s="1" t="n"/>
      <ns0:c r="K44" s="1" t="n"/>
      <ns0:c r="L44" s="1" t="n"/>
      <ns0:c r="M44" s="1" t="n"/>
      <ns0:c r="N44" s="1" t="n"/>
      <ns0:c r="O44" s="1" t="n"/>
      <ns0:c r="P44" s="1" t="n"/>
      <ns0:c r="Q44" s="1" t="n"/>
    </ns0:row>
    <ns0:row r="45" ht="22" customHeight="1">
      <ns0:c r="A45" s="217">
        <ns0:f>IF(OR(AH!$P$3=0,40+1&gt;AH!$P$11,AND(AH!$E$4&lt;&gt;"Stored",AH!$P$10&lt;&gt;1)),"",IFERROR(IF(AND(AH!$P$21=1,40+1=AH!$P$11),TODAY(),IF(AH!$P$10=1,INDEX('Live History'!$A$5:$A$3004,AH!$P$13+40),INDEX('AH History'!$A$1:$A$18046,AH!$P$7+40))),""))</ns0:f>
        <ns0:v>46094</ns0:v>
      </ns0:c>
      <ns0:c r="B45" s="218">
        <ns0:f>IFERROR(IF(AND(AH!$P$9&lt;&gt;1,$C45&gt;0,$D45&gt;0,$E45&gt;0,$F45&gt;0,$G45&gt;0,$F45&lt;=$A45,$G45&lt;=$A45,$A45-$F45&lt;=10,$A45-$G45&lt;=5),$D45*$E45/$C45-1,NA()),NA())</ns0:f>
        <ns0:v>-0.12883474464927402</ns0:v>
      </ns0:c>
      <ns0:c r="C45" s="1">
        <ns0:f>IFERROR(IF(ISNUMBER($A45),IF(AND(AH!$P$10=1,AH!$P$12=1,$A45=TODAY()),AH!$P$19,IF(AH!$P$10=1,INDEX('Live History'!$B$5:$B$3004,AH!$P$13+40),INDEX('AH History'!$B$1:$B$18046,AH!$P$7+40))),NA()),NA())</ns0:f>
        <ns0:v>364.0</ns0:v>
      </ns0:c>
      <ns0:c r="D45" s="1">
        <ns0:f>IFERROR(IF(ISNUMBER($A45),IF(AND(AH!$P$10=1,AH!$P$12=1,$A45=TODAY()),AH!$P$18,IF(AH!$P$10=1,INDEX('Live History'!$E$5:$E$3004,MATCH($A45,'Live History'!$D$5:$D$3004,1)),INDEX('AH History'!$C$1:$C$18046,AH!$P$7+40))),NA()),NA())</ns0:f>
        <ns0:v>278.33</ns0:v>
      </ns0:c>
      <ns0:c r="E45" s="1">
        <ns0:f>IFERROR(IF(ISNUMBER($A45),IF(AND(AH!$P$10=1,AH!$P$12=1,$A45=TODAY()),AH!$P$20,IF(AH!$P$10=1,INDEX('Live History'!$H$5:$H$3004,MATCH($A45,'Live History'!$G$5:$G$3004,1)),INDEX('AH History'!$D$1:$D$18046,AH!$P$7+40))),NA()),NA())</ns0:f>
        <ns0:v>1.1393100023269653</ns0:v>
      </ns0:c>
      <ns0:c r="F45" s="1">
        <ns0:f>IFERROR(IF(ISNUMBER($A45),IF(AND(AH!$P$10=1,AH!$P$12=1,$A45=TODAY()),IF(AND(AH!$P$10=1,AH!$P$12=1,$A45=TODAY()),TODAY(),NA()),IF(AH!$P$10=1,INDEX('Live History'!$D$5:$D$3004,MATCH($A45,'Live History'!$D$5:$D$3004,1)),INDEX('AH History'!$E$1:$E$18046,AH!$P$7+40))),NA()),NA())</ns0:f>
        <ns0:v>46094</ns0:v>
      </ns0:c>
      <ns0:c r="G45" s="1">
        <ns0:f>IFERROR(IF(ISNUMBER($A45),IF(AND(AH!$P$10=1,AH!$P$12=1,$A45=TODAY()),IF(AND(AH!$P$10=1,AH!$P$12=1,$A45=TODAY()),TODAY(),NA()),IF(AH!$P$10=1,INDEX('Live History'!$G$5:$G$3004,MATCH($A45,'Live History'!$G$5:$G$3004,1)),INDEX('AH History'!$F$1:$F$18046,AH!$P$7+40))),NA()),NA())</ns0:f>
        <ns0:v>46094</ns0:v>
      </ns0:c>
      <ns0:c r="H45" s="1">
        <ns0:f>IFERROR(IF(AND(AH!$E$4="Bloomberg",AH!$P$10=1,ISNUMBER($A45),$A45&lt;=AH!$P$17),AH!$P$7-1+MATCH($A45,INDEX('AH History'!$A$1:$A$18046,AH!$P$7):INDEX('AH History'!$A$1:$A$18046,AH!$P$7+AH!$P$8-1),0),0),0)</ns0:f>
        <ns0:v/>
      </ns0:c>
      <ns0:c r="I45" s="1">
        <ns0:f>IF($H45=0,0,IFERROR(IF(AND(ABS($C45-INDEX('AH History'!$B$1:$B$18046,$H45))&lt;=MAX(0.005,ABS(INDEX('AH History'!$B$1:$B$18046,$H45))*0.00005),ABS($D45-INDEX('AH History'!$C$1:$C$18046,$H45))&lt;=MAX(0.005,ABS(INDEX('AH History'!$C$1:$C$18046,$H45))*0.00005),ABS($E45-INDEX('AH History'!$D$1:$D$18046,$H45))&lt;=0.00005,$F45=INDEX('AH History'!$E$1:$E$18046,$H45),$G45=INDEX('AH History'!$F$1:$F$18046,$H45)),1,-1),-1))</ns0:f>
        <ns0:v/>
      </ns0:c>
      <ns0:c r="J45" s="1" t="n"/>
      <ns0:c r="K45" s="1" t="n"/>
      <ns0:c r="L45" s="1" t="n"/>
      <ns0:c r="M45" s="1" t="n"/>
      <ns0:c r="N45" s="1" t="n"/>
      <ns0:c r="O45" s="1" t="n"/>
      <ns0:c r="P45" s="1" t="n"/>
      <ns0:c r="Q45" s="1" t="n"/>
    </ns0:row>
    <ns0:row r="46" ht="22" customHeight="1">
      <ns0:c r="A46" s="217">
        <ns0:f>IF(OR(AH!$P$3=0,41+1&gt;AH!$P$11,AND(AH!$E$4&lt;&gt;"Stored",AH!$P$10&lt;&gt;1)),"",IFERROR(IF(AND(AH!$P$21=1,41+1=AH!$P$11),TODAY(),IF(AH!$P$10=1,INDEX('Live History'!$A$5:$A$3004,AH!$P$13+41),INDEX('AH History'!$A$1:$A$18046,AH!$P$7+41))),""))</ns0:f>
        <ns0:v>46097</ns0:v>
      </ns0:c>
      <ns0:c r="B46" s="218">
        <ns0:f>IFERROR(IF(AND(AH!$P$9&lt;&gt;1,$C46&gt;0,$D46&gt;0,$E46&gt;0,$F46&gt;0,$G46&gt;0,$F46&lt;=$A46,$G46&lt;=$A46,$A46-$F46&lt;=10,$A46-$G46&lt;=5),$D46*$E46/$C46-1,NA()),NA())</ns0:f>
        <ns0:v>-0.1938373888949506</ns0:v>
      </ns0:c>
      <ns0:c r="C46" s="1">
        <ns0:f>IFERROR(IF(ISNUMBER($A46),IF(AND(AH!$P$10=1,AH!$P$12=1,$A46=TODAY()),AH!$P$19,IF(AH!$P$10=1,INDEX('Live History'!$B$5:$B$3004,AH!$P$13+41),INDEX('AH History'!$B$1:$B$18046,AH!$P$7+41))),NA()),NA())</ns0:f>
        <ns0:v>431.0</ns0:v>
      </ns0:c>
      <ns0:c r="D46" s="1">
        <ns0:f>IFERROR(IF(ISNUMBER($A46),IF(AND(AH!$P$10=1,AH!$P$12=1,$A46=TODAY()),AH!$P$18,IF(AH!$P$10=1,INDEX('Live History'!$E$5:$E$3004,MATCH($A46,'Live History'!$D$5:$D$3004,1)),INDEX('AH History'!$C$1:$C$18046,AH!$P$7+41))),NA()),NA())</ns0:f>
        <ns0:v>306.16</ns0:v>
      </ns0:c>
      <ns0:c r="E46" s="1">
        <ns0:f>IFERROR(IF(ISNUMBER($A46),IF(AND(AH!$P$10=1,AH!$P$12=1,$A46=TODAY()),AH!$P$20,IF(AH!$P$10=1,INDEX('Live History'!$H$5:$H$3004,MATCH($A46,'Live History'!$G$5:$G$3004,1)),INDEX('AH History'!$D$1:$D$18046,AH!$P$7+41))),NA()),NA())</ns0:f>
        <ns0:v>1.134883999824524</ns0:v>
      </ns0:c>
      <ns0:c r="F46" s="1">
        <ns0:f>IFERROR(IF(ISNUMBER($A46),IF(AND(AH!$P$10=1,AH!$P$12=1,$A46=TODAY()),IF(AND(AH!$P$10=1,AH!$P$12=1,$A46=TODAY()),TODAY(),NA()),IF(AH!$P$10=1,INDEX('Live History'!$D$5:$D$3004,MATCH($A46,'Live History'!$D$5:$D$3004,1)),INDEX('AH History'!$E$1:$E$18046,AH!$P$7+41))),NA()),NA())</ns0:f>
        <ns0:v>46097</ns0:v>
      </ns0:c>
      <ns0:c r="G46" s="1">
        <ns0:f>IFERROR(IF(ISNUMBER($A46),IF(AND(AH!$P$10=1,AH!$P$12=1,$A46=TODAY()),IF(AND(AH!$P$10=1,AH!$P$12=1,$A46=TODAY()),TODAY(),NA()),IF(AH!$P$10=1,INDEX('Live History'!$G$5:$G$3004,MATCH($A46,'Live History'!$G$5:$G$3004,1)),INDEX('AH History'!$F$1:$F$18046,AH!$P$7+41))),NA()),NA())</ns0:f>
        <ns0:v>46097</ns0:v>
      </ns0:c>
      <ns0:c r="H46" s="1">
        <ns0:f>IFERROR(IF(AND(AH!$E$4="Bloomberg",AH!$P$10=1,ISNUMBER($A46),$A46&lt;=AH!$P$17),AH!$P$7-1+MATCH($A46,INDEX('AH History'!$A$1:$A$18046,AH!$P$7):INDEX('AH History'!$A$1:$A$18046,AH!$P$7+AH!$P$8-1),0),0),0)</ns0:f>
        <ns0:v/>
      </ns0:c>
      <ns0:c r="I46" s="1">
        <ns0:f>IF($H46=0,0,IFERROR(IF(AND(ABS($C46-INDEX('AH History'!$B$1:$B$18046,$H46))&lt;=MAX(0.005,ABS(INDEX('AH History'!$B$1:$B$18046,$H46))*0.00005),ABS($D46-INDEX('AH History'!$C$1:$C$18046,$H46))&lt;=MAX(0.005,ABS(INDEX('AH History'!$C$1:$C$18046,$H46))*0.00005),ABS($E46-INDEX('AH History'!$D$1:$D$18046,$H46))&lt;=0.00005,$F46=INDEX('AH History'!$E$1:$E$18046,$H46),$G46=INDEX('AH History'!$F$1:$F$18046,$H46)),1,-1),-1))</ns0:f>
        <ns0:v/>
      </ns0:c>
      <ns0:c r="J46" s="1" t="n"/>
      <ns0:c r="K46" s="1" t="n"/>
      <ns0:c r="L46" s="1" t="n"/>
      <ns0:c r="M46" s="1" t="n"/>
      <ns0:c r="N46" s="1" t="n"/>
      <ns0:c r="O46" s="1" t="n"/>
      <ns0:c r="P46" s="1" t="n"/>
      <ns0:c r="Q46" s="1" t="n"/>
    </ns0:row>
    <ns0:row r="47" ht="22" customHeight="1">
      <ns0:c r="A47" s="217">
        <ns0:f>IF(OR(AH!$P$3=0,42+1&gt;AH!$P$11,AND(AH!$E$4&lt;&gt;"Stored",AH!$P$10&lt;&gt;1)),"",IFERROR(IF(AND(AH!$P$21=1,42+1=AH!$P$11),TODAY(),IF(AH!$P$10=1,INDEX('Live History'!$A$5:$A$3004,AH!$P$13+42),INDEX('AH History'!$A$1:$A$18046,AH!$P$7+42))),""))</ns0:f>
        <ns0:v>46098</ns0:v>
      </ns0:c>
      <ns0:c r="B47" s="218">
        <ns0:f>IFERROR(IF(AND(AH!$P$9&lt;&gt;1,$C47&gt;0,$D47&gt;0,$E47&gt;0,$F47&gt;0,$G47&gt;0,$F47&lt;=$A47,$G47&lt;=$A47,$A47-$F47&lt;=10,$A47-$G47&lt;=5),$D47*$E47/$C47-1,NA()),NA())</ns0:f>
        <ns0:v>-0.17424072413144276</ns0:v>
      </ns0:c>
      <ns0:c r="C47" s="1">
        <ns0:f>IFERROR(IF(ISNUMBER($A47),IF(AND(AH!$P$10=1,AH!$P$12=1,$A47=TODAY()),AH!$P$19,IF(AH!$P$10=1,INDEX('Live History'!$B$5:$B$3004,AH!$P$13+42),INDEX('AH History'!$B$1:$B$18046,AH!$P$7+42))),NA()),NA())</ns0:f>
        <ns0:v>403.4</ns0:v>
      </ns0:c>
      <ns0:c r="D47" s="1">
        <ns0:f>IFERROR(IF(ISNUMBER($A47),IF(AND(AH!$P$10=1,AH!$P$12=1,$A47=TODAY()),AH!$P$18,IF(AH!$P$10=1,INDEX('Live History'!$E$5:$E$3004,MATCH($A47,'Live History'!$D$5:$D$3004,1)),INDEX('AH History'!$C$1:$C$18046,AH!$P$7+42))),NA()),NA())</ns0:f>
        <ns0:v>296.0</ns0:v>
      </ns0:c>
      <ns0:c r="E47" s="1">
        <ns0:f>IFERROR(IF(ISNUMBER($A47),IF(AND(AH!$P$10=1,AH!$P$12=1,$A47=TODAY()),AH!$P$20,IF(AH!$P$10=1,INDEX('Live History'!$H$5:$H$3004,MATCH($A47,'Live History'!$G$5:$G$3004,1)),INDEX('AH History'!$D$1:$D$18046,AH!$P$7+42))),NA()),NA())</ns0:f>
        <ns0:v>1.1253759860992432</ns0:v>
      </ns0:c>
      <ns0:c r="F47" s="1">
        <ns0:f>IFERROR(IF(ISNUMBER($A47),IF(AND(AH!$P$10=1,AH!$P$12=1,$A47=TODAY()),IF(AND(AH!$P$10=1,AH!$P$12=1,$A47=TODAY()),TODAY(),NA()),IF(AH!$P$10=1,INDEX('Live History'!$D$5:$D$3004,MATCH($A47,'Live History'!$D$5:$D$3004,1)),INDEX('AH History'!$E$1:$E$18046,AH!$P$7+42))),NA()),NA())</ns0:f>
        <ns0:v>46098</ns0:v>
      </ns0:c>
      <ns0:c r="G47" s="1">
        <ns0:f>IFERROR(IF(ISNUMBER($A47),IF(AND(AH!$P$10=1,AH!$P$12=1,$A47=TODAY()),IF(AND(AH!$P$10=1,AH!$P$12=1,$A47=TODAY()),TODAY(),NA()),IF(AH!$P$10=1,INDEX('Live History'!$G$5:$G$3004,MATCH($A47,'Live History'!$G$5:$G$3004,1)),INDEX('AH History'!$F$1:$F$18046,AH!$P$7+42))),NA()),NA())</ns0:f>
        <ns0:v>46098</ns0:v>
      </ns0:c>
      <ns0:c r="H47" s="1">
        <ns0:f>IFERROR(IF(AND(AH!$E$4="Bloomberg",AH!$P$10=1,ISNUMBER($A47),$A47&lt;=AH!$P$17),AH!$P$7-1+MATCH($A47,INDEX('AH History'!$A$1:$A$18046,AH!$P$7):INDEX('AH History'!$A$1:$A$18046,AH!$P$7+AH!$P$8-1),0),0),0)</ns0:f>
        <ns0:v/>
      </ns0:c>
      <ns0:c r="I47" s="1">
        <ns0:f>IF($H47=0,0,IFERROR(IF(AND(ABS($C47-INDEX('AH History'!$B$1:$B$18046,$H47))&lt;=MAX(0.005,ABS(INDEX('AH History'!$B$1:$B$18046,$H47))*0.00005),ABS($D47-INDEX('AH History'!$C$1:$C$18046,$H47))&lt;=MAX(0.005,ABS(INDEX('AH History'!$C$1:$C$18046,$H47))*0.00005),ABS($E47-INDEX('AH History'!$D$1:$D$18046,$H47))&lt;=0.00005,$F47=INDEX('AH History'!$E$1:$E$18046,$H47),$G47=INDEX('AH History'!$F$1:$F$18046,$H47)),1,-1),-1))</ns0:f>
        <ns0:v/>
      </ns0:c>
      <ns0:c r="J47" s="1" t="n"/>
      <ns0:c r="K47" s="1" t="n"/>
      <ns0:c r="L47" s="1" t="n"/>
      <ns0:c r="M47" s="1" t="n"/>
      <ns0:c r="N47" s="1" t="n"/>
      <ns0:c r="O47" s="1" t="n"/>
      <ns0:c r="P47" s="1" t="n"/>
      <ns0:c r="Q47" s="1" t="n"/>
    </ns0:row>
    <ns0:row r="48" ht="22" customHeight="1">
      <ns0:c r="A48" s="217">
        <ns0:f>IF(OR(AH!$P$3=0,43+1&gt;AH!$P$11,AND(AH!$E$4&lt;&gt;"Stored",AH!$P$10&lt;&gt;1)),"",IFERROR(IF(AND(AH!$P$21=1,43+1=AH!$P$11),TODAY(),IF(AH!$P$10=1,INDEX('Live History'!$A$5:$A$3004,AH!$P$13+43),INDEX('AH History'!$A$1:$A$18046,AH!$P$7+43))),""))</ns0:f>
        <ns0:v>46099</ns0:v>
      </ns0:c>
      <ns0:c r="B48" s="218">
        <ns0:f>IFERROR(IF(AND(AH!$P$9&lt;&gt;1,$C48&gt;0,$D48&gt;0,$E48&gt;0,$F48&gt;0,$G48&gt;0,$F48&lt;=$A48,$G48&lt;=$A48,$A48-$F48&lt;=10,$A48-$G48&lt;=5),$D48*$E48/$C48-1,NA()),NA())</ns0:f>
        <ns0:v>-0.21265855968237035</ns0:v>
      </ns0:c>
      <ns0:c r="C48" s="1">
        <ns0:f>IFERROR(IF(ISNUMBER($A48),IF(AND(AH!$P$10=1,AH!$P$12=1,$A48=TODAY()),AH!$P$19,IF(AH!$P$10=1,INDEX('Live History'!$B$5:$B$3004,AH!$P$13+43),INDEX('AH History'!$B$1:$B$18046,AH!$P$7+43))),NA()),NA())</ns0:f>
        <ns0:v>449.8</ns0:v>
      </ns0:c>
      <ns0:c r="D48" s="1">
        <ns0:f>IFERROR(IF(ISNUMBER($A48),IF(AND(AH!$P$10=1,AH!$P$12=1,$A48=TODAY()),AH!$P$18,IF(AH!$P$10=1,INDEX('Live History'!$E$5:$E$3004,MATCH($A48,'Live History'!$D$5:$D$3004,1)),INDEX('AH History'!$C$1:$C$18046,AH!$P$7+43))),NA()),NA())</ns0:f>
        <ns0:v>311.25</ns0:v>
      </ns0:c>
      <ns0:c r="E48" s="1">
        <ns0:f>IFERROR(IF(ISNUMBER($A48),IF(AND(AH!$P$10=1,AH!$P$12=1,$A48=TODAY()),AH!$P$20,IF(AH!$P$10=1,INDEX('Live History'!$H$5:$H$3004,MATCH($A48,'Live History'!$G$5:$G$3004,1)),INDEX('AH History'!$D$1:$D$18046,AH!$P$7+43))),NA()),NA())</ns0:f>
        <ns0:v>1.1378190517425537</ns0:v>
      </ns0:c>
      <ns0:c r="F48" s="1">
        <ns0:f>IFERROR(IF(ISNUMBER($A48),IF(AND(AH!$P$10=1,AH!$P$12=1,$A48=TODAY()),IF(AND(AH!$P$10=1,AH!$P$12=1,$A48=TODAY()),TODAY(),NA()),IF(AH!$P$10=1,INDEX('Live History'!$D$5:$D$3004,MATCH($A48,'Live History'!$D$5:$D$3004,1)),INDEX('AH History'!$E$1:$E$18046,AH!$P$7+43))),NA()),NA())</ns0:f>
        <ns0:v>46099</ns0:v>
      </ns0:c>
      <ns0:c r="G48" s="1">
        <ns0:f>IFERROR(IF(ISNUMBER($A48),IF(AND(AH!$P$10=1,AH!$P$12=1,$A48=TODAY()),IF(AND(AH!$P$10=1,AH!$P$12=1,$A48=TODAY()),TODAY(),NA()),IF(AH!$P$10=1,INDEX('Live History'!$G$5:$G$3004,MATCH($A48,'Live History'!$G$5:$G$3004,1)),INDEX('AH History'!$F$1:$F$18046,AH!$P$7+43))),NA()),NA())</ns0:f>
        <ns0:v>46099</ns0:v>
      </ns0:c>
      <ns0:c r="H48" s="1">
        <ns0:f>IFERROR(IF(AND(AH!$E$4="Bloomberg",AH!$P$10=1,ISNUMBER($A48),$A48&lt;=AH!$P$17),AH!$P$7-1+MATCH($A48,INDEX('AH History'!$A$1:$A$18046,AH!$P$7):INDEX('AH History'!$A$1:$A$18046,AH!$P$7+AH!$P$8-1),0),0),0)</ns0:f>
        <ns0:v/>
      </ns0:c>
      <ns0:c r="I48" s="1">
        <ns0:f>IF($H48=0,0,IFERROR(IF(AND(ABS($C48-INDEX('AH History'!$B$1:$B$18046,$H48))&lt;=MAX(0.005,ABS(INDEX('AH History'!$B$1:$B$18046,$H48))*0.00005),ABS($D48-INDEX('AH History'!$C$1:$C$18046,$H48))&lt;=MAX(0.005,ABS(INDEX('AH History'!$C$1:$C$18046,$H48))*0.00005),ABS($E48-INDEX('AH History'!$D$1:$D$18046,$H48))&lt;=0.00005,$F48=INDEX('AH History'!$E$1:$E$18046,$H48),$G48=INDEX('AH History'!$F$1:$F$18046,$H48)),1,-1),-1))</ns0:f>
        <ns0:v/>
      </ns0:c>
      <ns0:c r="J48" s="1" t="n"/>
      <ns0:c r="K48" s="1" t="n"/>
      <ns0:c r="L48" s="1" t="n"/>
      <ns0:c r="M48" s="1" t="n"/>
      <ns0:c r="N48" s="1" t="n"/>
      <ns0:c r="O48" s="1" t="n"/>
      <ns0:c r="P48" s="1" t="n"/>
      <ns0:c r="Q48" s="1" t="n"/>
    </ns0:row>
    <ns0:row r="49" ht="22" customHeight="1">
      <ns0:c r="A49" s="217">
        <ns0:f>IF(OR(AH!$P$3=0,44+1&gt;AH!$P$11,AND(AH!$E$4&lt;&gt;"Stored",AH!$P$10&lt;&gt;1)),"",IFERROR(IF(AND(AH!$P$21=1,44+1=AH!$P$11),TODAY(),IF(AH!$P$10=1,INDEX('Live History'!$A$5:$A$3004,AH!$P$13+44),INDEX('AH History'!$A$1:$A$18046,AH!$P$7+44))),""))</ns0:f>
        <ns0:v>46100</ns0:v>
      </ns0:c>
      <ns0:c r="B49" s="218">
        <ns0:f>IFERROR(IF(AND(AH!$P$9&lt;&gt;1,$C49&gt;0,$D49&gt;0,$E49&gt;0,$F49&gt;0,$G49&gt;0,$F49&lt;=$A49,$G49&lt;=$A49,$A49-$F49&lt;=10,$A49-$G49&lt;=5),$D49*$E49/$C49-1,NA()),NA())</ns0:f>
        <ns0:v>-0.20189212255623012</ns0:v>
      </ns0:c>
      <ns0:c r="C49" s="1">
        <ns0:f>IFERROR(IF(ISNUMBER($A49),IF(AND(AH!$P$10=1,AH!$P$12=1,$A49=TODAY()),AH!$P$19,IF(AH!$P$10=1,INDEX('Live History'!$B$5:$B$3004,AH!$P$13+44),INDEX('AH History'!$B$1:$B$18046,AH!$P$7+44))),NA()),NA())</ns0:f>
        <ns0:v>433.8</ns0:v>
      </ns0:c>
      <ns0:c r="D49" s="1">
        <ns0:f>IFERROR(IF(ISNUMBER($A49),IF(AND(AH!$P$10=1,AH!$P$12=1,$A49=TODAY()),AH!$P$18,IF(AH!$P$10=1,INDEX('Live History'!$E$5:$E$3004,MATCH($A49,'Live History'!$D$5:$D$3004,1)),INDEX('AH History'!$C$1:$C$18046,AH!$P$7+44))),NA()),NA())</ns0:f>
        <ns0:v>303.68</ns0:v>
      </ns0:c>
      <ns0:c r="E49" s="1">
        <ns0:f>IFERROR(IF(ISNUMBER($A49),IF(AND(AH!$P$10=1,AH!$P$12=1,$A49=TODAY()),AH!$P$20,IF(AH!$P$10=1,INDEX('Live History'!$H$5:$H$3004,MATCH($A49,'Live History'!$G$5:$G$3004,1)),INDEX('AH History'!$D$1:$D$18046,AH!$P$7+44))),NA()),NA())</ns0:f>
        <ns0:v>1.1400790214538574</ns0:v>
      </ns0:c>
      <ns0:c r="F49" s="1">
        <ns0:f>IFERROR(IF(ISNUMBER($A49),IF(AND(AH!$P$10=1,AH!$P$12=1,$A49=TODAY()),IF(AND(AH!$P$10=1,AH!$P$12=1,$A49=TODAY()),TODAY(),NA()),IF(AH!$P$10=1,INDEX('Live History'!$D$5:$D$3004,MATCH($A49,'Live History'!$D$5:$D$3004,1)),INDEX('AH History'!$E$1:$E$18046,AH!$P$7+44))),NA()),NA())</ns0:f>
        <ns0:v>46100</ns0:v>
      </ns0:c>
      <ns0:c r="G49" s="1">
        <ns0:f>IFERROR(IF(ISNUMBER($A49),IF(AND(AH!$P$10=1,AH!$P$12=1,$A49=TODAY()),IF(AND(AH!$P$10=1,AH!$P$12=1,$A49=TODAY()),TODAY(),NA()),IF(AH!$P$10=1,INDEX('Live History'!$G$5:$G$3004,MATCH($A49,'Live History'!$G$5:$G$3004,1)),INDEX('AH History'!$F$1:$F$18046,AH!$P$7+44))),NA()),NA())</ns0:f>
        <ns0:v>46100</ns0:v>
      </ns0:c>
      <ns0:c r="H49" s="1">
        <ns0:f>IFERROR(IF(AND(AH!$E$4="Bloomberg",AH!$P$10=1,ISNUMBER($A49),$A49&lt;=AH!$P$17),AH!$P$7-1+MATCH($A49,INDEX('AH History'!$A$1:$A$18046,AH!$P$7):INDEX('AH History'!$A$1:$A$18046,AH!$P$7+AH!$P$8-1),0),0),0)</ns0:f>
        <ns0:v/>
      </ns0:c>
      <ns0:c r="I49" s="1">
        <ns0:f>IF($H49=0,0,IFERROR(IF(AND(ABS($C49-INDEX('AH History'!$B$1:$B$18046,$H49))&lt;=MAX(0.005,ABS(INDEX('AH History'!$B$1:$B$18046,$H49))*0.00005),ABS($D49-INDEX('AH History'!$C$1:$C$18046,$H49))&lt;=MAX(0.005,ABS(INDEX('AH History'!$C$1:$C$18046,$H49))*0.00005),ABS($E49-INDEX('AH History'!$D$1:$D$18046,$H49))&lt;=0.00005,$F49=INDEX('AH History'!$E$1:$E$18046,$H49),$G49=INDEX('AH History'!$F$1:$F$18046,$H49)),1,-1),-1))</ns0:f>
        <ns0:v/>
      </ns0:c>
      <ns0:c r="J49" s="1" t="n"/>
      <ns0:c r="K49" s="1" t="n"/>
      <ns0:c r="L49" s="1" t="n"/>
      <ns0:c r="M49" s="1" t="n"/>
      <ns0:c r="N49" s="1" t="n"/>
      <ns0:c r="O49" s="1" t="n"/>
      <ns0:c r="P49" s="1" t="n"/>
      <ns0:c r="Q49" s="1" t="n"/>
    </ns0:row>
    <ns0:row r="50" ht="22" customHeight="1">
      <ns0:c r="A50" s="217">
        <ns0:f>IF(OR(AH!$P$3=0,45+1&gt;AH!$P$11,AND(AH!$E$4&lt;&gt;"Stored",AH!$P$10&lt;&gt;1)),"",IFERROR(IF(AND(AH!$P$21=1,45+1=AH!$P$11),TODAY(),IF(AH!$P$10=1,INDEX('Live History'!$A$5:$A$3004,AH!$P$13+45),INDEX('AH History'!$A$1:$A$18046,AH!$P$7+45))),""))</ns0:f>
        <ns0:v>46101</ns0:v>
      </ns0:c>
      <ns0:c r="B50" s="218">
        <ns0:f>IFERROR(IF(AND(AH!$P$9&lt;&gt;1,$C50&gt;0,$D50&gt;0,$E50&gt;0,$F50&gt;0,$G50&gt;0,$F50&lt;=$A50,$G50&lt;=$A50,$A50-$F50&lt;=10,$A50-$G50&lt;=5),$D50*$E50/$C50-1,NA()),NA())</ns0:f>
        <ns0:v>-0.21583190094856985</ns0:v>
      </ns0:c>
      <ns0:c r="C50" s="1">
        <ns0:f>IFERROR(IF(ISNUMBER($A50),IF(AND(AH!$P$10=1,AH!$P$12=1,$A50=TODAY()),AH!$P$19,IF(AH!$P$10=1,INDEX('Live History'!$B$5:$B$3004,AH!$P$13+45),INDEX('AH History'!$B$1:$B$18046,AH!$P$7+45))),NA()),NA())</ns0:f>
        <ns0:v>420.0</ns0:v>
      </ns0:c>
      <ns0:c r="D50" s="1">
        <ns0:f>IFERROR(IF(ISNUMBER($A50),IF(AND(AH!$P$10=1,AH!$P$12=1,$A50=TODAY()),AH!$P$18,IF(AH!$P$10=1,INDEX('Live History'!$E$5:$E$3004,MATCH($A50,'Live History'!$D$5:$D$3004,1)),INDEX('AH History'!$C$1:$C$18046,AH!$P$7+45))),NA()),NA())</ns0:f>
        <ns0:v>290.2</ns0:v>
      </ns0:c>
      <ns0:c r="E50" s="1">
        <ns0:f>IFERROR(IF(ISNUMBER($A50),IF(AND(AH!$P$10=1,AH!$P$12=1,$A50=TODAY()),AH!$P$20,IF(AH!$P$10=1,INDEX('Live History'!$H$5:$H$3004,MATCH($A50,'Live History'!$G$5:$G$3004,1)),INDEX('AH History'!$D$1:$D$18046,AH!$P$7+45))),NA()),NA())</ns0:f>
        <ns0:v>1.1349090337753296</ns0:v>
      </ns0:c>
      <ns0:c r="F50" s="1">
        <ns0:f>IFERROR(IF(ISNUMBER($A50),IF(AND(AH!$P$10=1,AH!$P$12=1,$A50=TODAY()),IF(AND(AH!$P$10=1,AH!$P$12=1,$A50=TODAY()),TODAY(),NA()),IF(AH!$P$10=1,INDEX('Live History'!$D$5:$D$3004,MATCH($A50,'Live History'!$D$5:$D$3004,1)),INDEX('AH History'!$E$1:$E$18046,AH!$P$7+45))),NA()),NA())</ns0:f>
        <ns0:v>46101</ns0:v>
      </ns0:c>
      <ns0:c r="G50" s="1">
        <ns0:f>IFERROR(IF(ISNUMBER($A50),IF(AND(AH!$P$10=1,AH!$P$12=1,$A50=TODAY()),IF(AND(AH!$P$10=1,AH!$P$12=1,$A50=TODAY()),TODAY(),NA()),IF(AH!$P$10=1,INDEX('Live History'!$G$5:$G$3004,MATCH($A50,'Live History'!$G$5:$G$3004,1)),INDEX('AH History'!$F$1:$F$18046,AH!$P$7+45))),NA()),NA())</ns0:f>
        <ns0:v>46101</ns0:v>
      </ns0:c>
      <ns0:c r="H50" s="1">
        <ns0:f>IFERROR(IF(AND(AH!$E$4="Bloomberg",AH!$P$10=1,ISNUMBER($A50),$A50&lt;=AH!$P$17),AH!$P$7-1+MATCH($A50,INDEX('AH History'!$A$1:$A$18046,AH!$P$7):INDEX('AH History'!$A$1:$A$18046,AH!$P$7+AH!$P$8-1),0),0),0)</ns0:f>
        <ns0:v/>
      </ns0:c>
      <ns0:c r="I50" s="1">
        <ns0:f>IF($H50=0,0,IFERROR(IF(AND(ABS($C50-INDEX('AH History'!$B$1:$B$18046,$H50))&lt;=MAX(0.005,ABS(INDEX('AH History'!$B$1:$B$18046,$H50))*0.00005),ABS($D50-INDEX('AH History'!$C$1:$C$18046,$H50))&lt;=MAX(0.005,ABS(INDEX('AH History'!$C$1:$C$18046,$H50))*0.00005),ABS($E50-INDEX('AH History'!$D$1:$D$18046,$H50))&lt;=0.00005,$F50=INDEX('AH History'!$E$1:$E$18046,$H50),$G50=INDEX('AH History'!$F$1:$F$18046,$H50)),1,-1),-1))</ns0:f>
        <ns0:v/>
      </ns0:c>
      <ns0:c r="J50" s="1" t="n"/>
      <ns0:c r="K50" s="1" t="n"/>
      <ns0:c r="L50" s="1" t="n"/>
      <ns0:c r="M50" s="1" t="n"/>
      <ns0:c r="N50" s="1" t="n"/>
      <ns0:c r="O50" s="1" t="n"/>
      <ns0:c r="P50" s="1" t="n"/>
      <ns0:c r="Q50" s="1" t="n"/>
    </ns0:row>
    <ns0:row r="51" ht="22" customHeight="1">
      <ns0:c r="A51" s="217">
        <ns0:f>IF(OR(AH!$P$3=0,46+1&gt;AH!$P$11,AND(AH!$E$4&lt;&gt;"Stored",AH!$P$10&lt;&gt;1)),"",IFERROR(IF(AND(AH!$P$21=1,46+1=AH!$P$11),TODAY(),IF(AH!$P$10=1,INDEX('Live History'!$A$5:$A$3004,AH!$P$13+46),INDEX('AH History'!$A$1:$A$18046,AH!$P$7+46))),""))</ns0:f>
        <ns0:v>46104</ns0:v>
      </ns0:c>
      <ns0:c r="B51" s="218">
        <ns0:f>IFERROR(IF(AND(AH!$P$9&lt;&gt;1,$C51&gt;0,$D51&gt;0,$E51&gt;0,$F51&gt;0,$G51&gt;0,$F51&lt;=$A51,$G51&lt;=$A51,$A51-$F51&lt;=10,$A51-$G51&lt;=5),$D51*$E51/$C51-1,NA()),NA())</ns0:f>
        <ns0:v>-0.1990112903528395</ns0:v>
      </ns0:c>
      <ns0:c r="C51" s="1">
        <ns0:f>IFERROR(IF(ISNUMBER($A51),IF(AND(AH!$P$10=1,AH!$P$12=1,$A51=TODAY()),AH!$P$19,IF(AH!$P$10=1,INDEX('Live History'!$B$5:$B$3004,AH!$P$13+46),INDEX('AH History'!$B$1:$B$18046,AH!$P$7+46))),NA()),NA())</ns0:f>
        <ns0:v>388.2</ns0:v>
      </ns0:c>
      <ns0:c r="D51" s="1">
        <ns0:f>IFERROR(IF(ISNUMBER($A51),IF(AND(AH!$P$10=1,AH!$P$12=1,$A51=TODAY()),AH!$P$18,IF(AH!$P$10=1,INDEX('Live History'!$E$5:$E$3004,MATCH($A51,'Live History'!$D$5:$D$3004,1)),INDEX('AH History'!$C$1:$C$18046,AH!$P$7+46))),NA()),NA())</ns0:f>
        <ns0:v>273.35</ns0:v>
      </ns0:c>
      <ns0:c r="E51" s="1">
        <ns0:f>IFERROR(IF(ISNUMBER($A51),IF(AND(AH!$P$10=1,AH!$P$12=1,$A51=TODAY()),AH!$P$20,IF(AH!$P$10=1,INDEX('Live History'!$H$5:$H$3004,MATCH($A51,'Live History'!$G$5:$G$3004,1)),INDEX('AH History'!$D$1:$D$18046,AH!$P$7+46))),NA()),NA())</ns0:f>
        <ns0:v>1.137529969215393</ns0:v>
      </ns0:c>
      <ns0:c r="F51" s="1">
        <ns0:f>IFERROR(IF(ISNUMBER($A51),IF(AND(AH!$P$10=1,AH!$P$12=1,$A51=TODAY()),IF(AND(AH!$P$10=1,AH!$P$12=1,$A51=TODAY()),TODAY(),NA()),IF(AH!$P$10=1,INDEX('Live History'!$D$5:$D$3004,MATCH($A51,'Live History'!$D$5:$D$3004,1)),INDEX('AH History'!$E$1:$E$18046,AH!$P$7+46))),NA()),NA())</ns0:f>
        <ns0:v>46104</ns0:v>
      </ns0:c>
      <ns0:c r="G51" s="1">
        <ns0:f>IFERROR(IF(ISNUMBER($A51),IF(AND(AH!$P$10=1,AH!$P$12=1,$A51=TODAY()),IF(AND(AH!$P$10=1,AH!$P$12=1,$A51=TODAY()),TODAY(),NA()),IF(AH!$P$10=1,INDEX('Live History'!$G$5:$G$3004,MATCH($A51,'Live History'!$G$5:$G$3004,1)),INDEX('AH History'!$F$1:$F$18046,AH!$P$7+46))),NA()),NA())</ns0:f>
        <ns0:v>46104</ns0:v>
      </ns0:c>
      <ns0:c r="H51" s="1">
        <ns0:f>IFERROR(IF(AND(AH!$E$4="Bloomberg",AH!$P$10=1,ISNUMBER($A51),$A51&lt;=AH!$P$17),AH!$P$7-1+MATCH($A51,INDEX('AH History'!$A$1:$A$18046,AH!$P$7):INDEX('AH History'!$A$1:$A$18046,AH!$P$7+AH!$P$8-1),0),0),0)</ns0:f>
        <ns0:v/>
      </ns0:c>
      <ns0:c r="I51" s="1">
        <ns0:f>IF($H51=0,0,IFERROR(IF(AND(ABS($C51-INDEX('AH History'!$B$1:$B$18046,$H51))&lt;=MAX(0.005,ABS(INDEX('AH History'!$B$1:$B$18046,$H51))*0.00005),ABS($D51-INDEX('AH History'!$C$1:$C$18046,$H51))&lt;=MAX(0.005,ABS(INDEX('AH History'!$C$1:$C$18046,$H51))*0.00005),ABS($E51-INDEX('AH History'!$D$1:$D$18046,$H51))&lt;=0.00005,$F51=INDEX('AH History'!$E$1:$E$18046,$H51),$G51=INDEX('AH History'!$F$1:$F$18046,$H51)),1,-1),-1))</ns0:f>
        <ns0:v/>
      </ns0:c>
      <ns0:c r="J51" s="1" t="n"/>
      <ns0:c r="K51" s="1" t="n"/>
      <ns0:c r="L51" s="1" t="n"/>
      <ns0:c r="M51" s="1" t="n"/>
      <ns0:c r="N51" s="1" t="n"/>
      <ns0:c r="O51" s="1" t="n"/>
      <ns0:c r="P51" s="1" t="n"/>
      <ns0:c r="Q51" s="1" t="n"/>
    </ns0:row>
    <ns0:row r="52" ht="22" customHeight="1">
      <ns0:c r="A52" s="217">
        <ns0:f>IF(OR(AH!$P$3=0,47+1&gt;AH!$P$11,AND(AH!$E$4&lt;&gt;"Stored",AH!$P$10&lt;&gt;1)),"",IFERROR(IF(AND(AH!$P$21=1,47+1=AH!$P$11),TODAY(),IF(AH!$P$10=1,INDEX('Live History'!$A$5:$A$3004,AH!$P$13+47),INDEX('AH History'!$A$1:$A$18046,AH!$P$7+47))),""))</ns0:f>
        <ns0:v>46105</ns0:v>
      </ns0:c>
      <ns0:c r="B52" s="218">
        <ns0:f>IFERROR(IF(AND(AH!$P$9&lt;&gt;1,$C52&gt;0,$D52&gt;0,$E52&gt;0,$F52&gt;0,$G52&gt;0,$F52&lt;=$A52,$G52&lt;=$A52,$A52-$F52&lt;=10,$A52-$G52&lt;=5),$D52*$E52/$C52-1,NA()),NA())</ns0:f>
        <ns0:v>-0.22406897094560818</ns0:v>
      </ns0:c>
      <ns0:c r="C52" s="1">
        <ns0:f>IFERROR(IF(ISNUMBER($A52),IF(AND(AH!$P$10=1,AH!$P$12=1,$A52=TODAY()),AH!$P$19,IF(AH!$P$10=1,INDEX('Live History'!$B$5:$B$3004,AH!$P$13+47),INDEX('AH History'!$B$1:$B$18046,AH!$P$7+47))),NA()),NA())</ns0:f>
        <ns0:v>401.6</ns0:v>
      </ns0:c>
      <ns0:c r="D52" s="1">
        <ns0:f>IFERROR(IF(ISNUMBER($A52),IF(AND(AH!$P$10=1,AH!$P$12=1,$A52=TODAY()),AH!$P$18,IF(AH!$P$10=1,INDEX('Live History'!$E$5:$E$3004,MATCH($A52,'Live History'!$D$5:$D$3004,1)),INDEX('AH History'!$C$1:$C$18046,AH!$P$7+47))),NA()),NA())</ns0:f>
        <ns0:v>273.71</ns0:v>
      </ns0:c>
      <ns0:c r="E52" s="1">
        <ns0:f>IFERROR(IF(ISNUMBER($A52),IF(AND(AH!$P$10=1,AH!$P$12=1,$A52=TODAY()),AH!$P$20,IF(AH!$P$10=1,INDEX('Live History'!$H$5:$H$3004,MATCH($A52,'Live History'!$G$5:$G$3004,1)),INDEX('AH History'!$D$1:$D$18046,AH!$P$7+47))),NA()),NA())</ns0:f>
        <ns0:v>1.1384819746017456</ns0:v>
      </ns0:c>
      <ns0:c r="F52" s="1">
        <ns0:f>IFERROR(IF(ISNUMBER($A52),IF(AND(AH!$P$10=1,AH!$P$12=1,$A52=TODAY()),IF(AND(AH!$P$10=1,AH!$P$12=1,$A52=TODAY()),TODAY(),NA()),IF(AH!$P$10=1,INDEX('Live History'!$D$5:$D$3004,MATCH($A52,'Live History'!$D$5:$D$3004,1)),INDEX('AH History'!$E$1:$E$18046,AH!$P$7+47))),NA()),NA())</ns0:f>
        <ns0:v>46105</ns0:v>
      </ns0:c>
      <ns0:c r="G52" s="1">
        <ns0:f>IFERROR(IF(ISNUMBER($A52),IF(AND(AH!$P$10=1,AH!$P$12=1,$A52=TODAY()),IF(AND(AH!$P$10=1,AH!$P$12=1,$A52=TODAY()),TODAY(),NA()),IF(AH!$P$10=1,INDEX('Live History'!$G$5:$G$3004,MATCH($A52,'Live History'!$G$5:$G$3004,1)),INDEX('AH History'!$F$1:$F$18046,AH!$P$7+47))),NA()),NA())</ns0:f>
        <ns0:v>46105</ns0:v>
      </ns0:c>
      <ns0:c r="H52" s="1">
        <ns0:f>IFERROR(IF(AND(AH!$E$4="Bloomberg",AH!$P$10=1,ISNUMBER($A52),$A52&lt;=AH!$P$17),AH!$P$7-1+MATCH($A52,INDEX('AH History'!$A$1:$A$18046,AH!$P$7):INDEX('AH History'!$A$1:$A$18046,AH!$P$7+AH!$P$8-1),0),0),0)</ns0:f>
        <ns0:v/>
      </ns0:c>
      <ns0:c r="I52" s="1">
        <ns0:f>IF($H52=0,0,IFERROR(IF(AND(ABS($C52-INDEX('AH History'!$B$1:$B$18046,$H52))&lt;=MAX(0.005,ABS(INDEX('AH History'!$B$1:$B$18046,$H52))*0.00005),ABS($D52-INDEX('AH History'!$C$1:$C$18046,$H52))&lt;=MAX(0.005,ABS(INDEX('AH History'!$C$1:$C$18046,$H52))*0.00005),ABS($E52-INDEX('AH History'!$D$1:$D$18046,$H52))&lt;=0.00005,$F52=INDEX('AH History'!$E$1:$E$18046,$H52),$G52=INDEX('AH History'!$F$1:$F$18046,$H52)),1,-1),-1))</ns0:f>
        <ns0:v/>
      </ns0:c>
      <ns0:c r="J52" s="1" t="n"/>
      <ns0:c r="K52" s="1" t="n"/>
      <ns0:c r="L52" s="1" t="n"/>
      <ns0:c r="M52" s="1" t="n"/>
      <ns0:c r="N52" s="1" t="n"/>
      <ns0:c r="O52" s="1" t="n"/>
      <ns0:c r="P52" s="1" t="n"/>
      <ns0:c r="Q52" s="1" t="n"/>
    </ns0:row>
    <ns0:row r="53" ht="22" customHeight="1">
      <ns0:c r="A53" s="217">
        <ns0:f>IF(OR(AH!$P$3=0,48+1&gt;AH!$P$11,AND(AH!$E$4&lt;&gt;"Stored",AH!$P$10&lt;&gt;1)),"",IFERROR(IF(AND(AH!$P$21=1,48+1=AH!$P$11),TODAY(),IF(AH!$P$10=1,INDEX('Live History'!$A$5:$A$3004,AH!$P$13+48),INDEX('AH History'!$A$1:$A$18046,AH!$P$7+48))),""))</ns0:f>
        <ns0:v>46106</ns0:v>
      </ns0:c>
      <ns0:c r="B53" s="218">
        <ns0:f>IFERROR(IF(AND(AH!$P$9&lt;&gt;1,$C53&gt;0,$D53&gt;0,$E53&gt;0,$F53&gt;0,$G53&gt;0,$F53&lt;=$A53,$G53&lt;=$A53,$A53-$F53&lt;=10,$A53-$G53&lt;=5),$D53*$E53/$C53-1,NA()),NA())</ns0:f>
        <ns0:v>-0.22439443702435713</ns0:v>
      </ns0:c>
      <ns0:c r="C53" s="1">
        <ns0:f>IFERROR(IF(ISNUMBER($A53),IF(AND(AH!$P$10=1,AH!$P$12=1,$A53=TODAY()),AH!$P$19,IF(AH!$P$10=1,INDEX('Live History'!$B$5:$B$3004,AH!$P$13+48),INDEX('AH History'!$B$1:$B$18046,AH!$P$7+48))),NA()),NA())</ns0:f>
        <ns0:v>407.6</ns0:v>
      </ns0:c>
      <ns0:c r="D53" s="1">
        <ns0:f>IFERROR(IF(ISNUMBER($A53),IF(AND(AH!$P$10=1,AH!$P$12=1,$A53=TODAY()),AH!$P$18,IF(AH!$P$10=1,INDEX('Live History'!$E$5:$E$3004,MATCH($A53,'Live History'!$D$5:$D$3004,1)),INDEX('AH History'!$C$1:$C$18046,AH!$P$7+48))),NA()),NA())</ns0:f>
        <ns0:v>278.4</ns0:v>
      </ns0:c>
      <ns0:c r="E53" s="1">
        <ns0:f>IFERROR(IF(ISNUMBER($A53),IF(AND(AH!$P$10=1,AH!$P$12=1,$A53=TODAY()),AH!$P$20,IF(AH!$P$10=1,INDEX('Live History'!$H$5:$H$3004,MATCH($A53,'Live History'!$G$5:$G$3004,1)),INDEX('AH History'!$D$1:$D$18046,AH!$P$7+48))),NA()),NA())</ns0:f>
        <ns0:v>1.1355489492416382</ns0:v>
      </ns0:c>
      <ns0:c r="F53" s="1">
        <ns0:f>IFERROR(IF(ISNUMBER($A53),IF(AND(AH!$P$10=1,AH!$P$12=1,$A53=TODAY()),IF(AND(AH!$P$10=1,AH!$P$12=1,$A53=TODAY()),TODAY(),NA()),IF(AH!$P$10=1,INDEX('Live History'!$D$5:$D$3004,MATCH($A53,'Live History'!$D$5:$D$3004,1)),INDEX('AH History'!$E$1:$E$18046,AH!$P$7+48))),NA()),NA())</ns0:f>
        <ns0:v>46106</ns0:v>
      </ns0:c>
      <ns0:c r="G53" s="1">
        <ns0:f>IFERROR(IF(ISNUMBER($A53),IF(AND(AH!$P$10=1,AH!$P$12=1,$A53=TODAY()),IF(AND(AH!$P$10=1,AH!$P$12=1,$A53=TODAY()),TODAY(),NA()),IF(AH!$P$10=1,INDEX('Live History'!$G$5:$G$3004,MATCH($A53,'Live History'!$G$5:$G$3004,1)),INDEX('AH History'!$F$1:$F$18046,AH!$P$7+48))),NA()),NA())</ns0:f>
        <ns0:v>46106</ns0:v>
      </ns0:c>
      <ns0:c r="H53" s="1">
        <ns0:f>IFERROR(IF(AND(AH!$E$4="Bloomberg",AH!$P$10=1,ISNUMBER($A53),$A53&lt;=AH!$P$17),AH!$P$7-1+MATCH($A53,INDEX('AH History'!$A$1:$A$18046,AH!$P$7):INDEX('AH History'!$A$1:$A$18046,AH!$P$7+AH!$P$8-1),0),0),0)</ns0:f>
        <ns0:v/>
      </ns0:c>
      <ns0:c r="I53" s="1">
        <ns0:f>IF($H53=0,0,IFERROR(IF(AND(ABS($C53-INDEX('AH History'!$B$1:$B$18046,$H53))&lt;=MAX(0.005,ABS(INDEX('AH History'!$B$1:$B$18046,$H53))*0.00005),ABS($D53-INDEX('AH History'!$C$1:$C$18046,$H53))&lt;=MAX(0.005,ABS(INDEX('AH History'!$C$1:$C$18046,$H53))*0.00005),ABS($E53-INDEX('AH History'!$D$1:$D$18046,$H53))&lt;=0.00005,$F53=INDEX('AH History'!$E$1:$E$18046,$H53),$G53=INDEX('AH History'!$F$1:$F$18046,$H53)),1,-1),-1))</ns0:f>
        <ns0:v/>
      </ns0:c>
      <ns0:c r="J53" s="1" t="n"/>
      <ns0:c r="K53" s="1" t="n"/>
      <ns0:c r="L53" s="1" t="n"/>
      <ns0:c r="M53" s="1" t="n"/>
      <ns0:c r="N53" s="1" t="n"/>
      <ns0:c r="O53" s="1" t="n"/>
      <ns0:c r="P53" s="1" t="n"/>
      <ns0:c r="Q53" s="1" t="n"/>
    </ns0:row>
    <ns0:row r="54" ht="22" customHeight="1">
      <ns0:c r="A54" s="217">
        <ns0:f>IF(OR(AH!$P$3=0,49+1&gt;AH!$P$11,AND(AH!$E$4&lt;&gt;"Stored",AH!$P$10&lt;&gt;1)),"",IFERROR(IF(AND(AH!$P$21=1,49+1=AH!$P$11),TODAY(),IF(AH!$P$10=1,INDEX('Live History'!$A$5:$A$3004,AH!$P$13+49),INDEX('AH History'!$A$1:$A$18046,AH!$P$7+49))),""))</ns0:f>
        <ns0:v>46107</ns0:v>
      </ns0:c>
      <ns0:c r="B54" s="218">
        <ns0:f>IFERROR(IF(AND(AH!$P$9&lt;&gt;1,$C54&gt;0,$D54&gt;0,$E54&gt;0,$F54&gt;0,$G54&gt;0,$F54&lt;=$A54,$G54&lt;=$A54,$A54-$F54&lt;=10,$A54-$G54&lt;=5),$D54*$E54/$C54-1,NA()),NA())</ns0:f>
        <ns0:v>-0.21245149492964377</ns0:v>
      </ns0:c>
      <ns0:c r="C54" s="1">
        <ns0:f>IFERROR(IF(ISNUMBER($A54),IF(AND(AH!$P$10=1,AH!$P$12=1,$A54=TODAY()),AH!$P$19,IF(AH!$P$10=1,INDEX('Live History'!$B$5:$B$3004,AH!$P$13+49),INDEX('AH History'!$B$1:$B$18046,AH!$P$7+49))),NA()),NA())</ns0:f>
        <ns0:v>376.8</ns0:v>
      </ns0:c>
      <ns0:c r="D54" s="1">
        <ns0:f>IFERROR(IF(ISNUMBER($A54),IF(AND(AH!$P$10=1,AH!$P$12=1,$A54=TODAY()),AH!$P$18,IF(AH!$P$10=1,INDEX('Live History'!$E$5:$E$3004,MATCH($A54,'Live History'!$D$5:$D$3004,1)),INDEX('AH History'!$C$1:$C$18046,AH!$P$7+49))),NA()),NA())</ns0:f>
        <ns0:v>262.0</ns0:v>
      </ns0:c>
      <ns0:c r="E54" s="1">
        <ns0:f>IFERROR(IF(ISNUMBER($A54),IF(AND(AH!$P$10=1,AH!$P$12=1,$A54=TODAY()),AH!$P$20,IF(AH!$P$10=1,INDEX('Live History'!$H$5:$H$3004,MATCH($A54,'Live History'!$G$5:$G$3004,1)),INDEX('AH History'!$D$1:$D$18046,AH!$P$7+49))),NA()),NA())</ns0:f>
        <ns0:v>1.132627010345459</ns0:v>
      </ns0:c>
      <ns0:c r="F54" s="1">
        <ns0:f>IFERROR(IF(ISNUMBER($A54),IF(AND(AH!$P$10=1,AH!$P$12=1,$A54=TODAY()),IF(AND(AH!$P$10=1,AH!$P$12=1,$A54=TODAY()),TODAY(),NA()),IF(AH!$P$10=1,INDEX('Live History'!$D$5:$D$3004,MATCH($A54,'Live History'!$D$5:$D$3004,1)),INDEX('AH History'!$E$1:$E$18046,AH!$P$7+49))),NA()),NA())</ns0:f>
        <ns0:v>46107</ns0:v>
      </ns0:c>
      <ns0:c r="G54" s="1">
        <ns0:f>IFERROR(IF(ISNUMBER($A54),IF(AND(AH!$P$10=1,AH!$P$12=1,$A54=TODAY()),IF(AND(AH!$P$10=1,AH!$P$12=1,$A54=TODAY()),TODAY(),NA()),IF(AH!$P$10=1,INDEX('Live History'!$G$5:$G$3004,MATCH($A54,'Live History'!$G$5:$G$3004,1)),INDEX('AH History'!$F$1:$F$18046,AH!$P$7+49))),NA()),NA())</ns0:f>
        <ns0:v>46107</ns0:v>
      </ns0:c>
      <ns0:c r="H54" s="1">
        <ns0:f>IFERROR(IF(AND(AH!$E$4="Bloomberg",AH!$P$10=1,ISNUMBER($A54),$A54&lt;=AH!$P$17),AH!$P$7-1+MATCH($A54,INDEX('AH History'!$A$1:$A$18046,AH!$P$7):INDEX('AH History'!$A$1:$A$18046,AH!$P$7+AH!$P$8-1),0),0),0)</ns0:f>
        <ns0:v/>
      </ns0:c>
      <ns0:c r="I54" s="1">
        <ns0:f>IF($H54=0,0,IFERROR(IF(AND(ABS($C54-INDEX('AH History'!$B$1:$B$18046,$H54))&lt;=MAX(0.005,ABS(INDEX('AH History'!$B$1:$B$18046,$H54))*0.00005),ABS($D54-INDEX('AH History'!$C$1:$C$18046,$H54))&lt;=MAX(0.005,ABS(INDEX('AH History'!$C$1:$C$18046,$H54))*0.00005),ABS($E54-INDEX('AH History'!$D$1:$D$18046,$H54))&lt;=0.00005,$F54=INDEX('AH History'!$E$1:$E$18046,$H54),$G54=INDEX('AH History'!$F$1:$F$18046,$H54)),1,-1),-1))</ns0:f>
        <ns0:v/>
      </ns0:c>
      <ns0:c r="J54" s="1" t="n"/>
      <ns0:c r="K54" s="1" t="n"/>
      <ns0:c r="L54" s="1" t="n"/>
      <ns0:c r="M54" s="1" t="n"/>
      <ns0:c r="N54" s="1" t="n"/>
      <ns0:c r="O54" s="1" t="n"/>
      <ns0:c r="P54" s="1" t="n"/>
      <ns0:c r="Q54" s="1" t="n"/>
    </ns0:row>
    <ns0:row r="55" ht="22" customHeight="1">
      <ns0:c r="A55" s="217">
        <ns0:f>IF(OR(AH!$P$3=0,50+1&gt;AH!$P$11,AND(AH!$E$4&lt;&gt;"Stored",AH!$P$10&lt;&gt;1)),"",IFERROR(IF(AND(AH!$P$21=1,50+1=AH!$P$11),TODAY(),IF(AH!$P$10=1,INDEX('Live History'!$A$5:$A$3004,AH!$P$13+50),INDEX('AH History'!$A$1:$A$18046,AH!$P$7+50))),""))</ns0:f>
        <ns0:v>46108</ns0:v>
      </ns0:c>
      <ns0:c r="B55" s="218">
        <ns0:f>IFERROR(IF(AND(AH!$P$9&lt;&gt;1,$C55&gt;0,$D55&gt;0,$E55&gt;0,$F55&gt;0,$G55&gt;0,$F55&lt;=$A55,$G55&lt;=$A55,$A55-$F55&lt;=10,$A55-$G55&lt;=5),$D55*$E55/$C55-1,NA()),NA())</ns0:f>
        <ns0:v>-0.19947207696845848</ns0:v>
      </ns0:c>
      <ns0:c r="C55" s="1">
        <ns0:f>IFERROR(IF(ISNUMBER($A55),IF(AND(AH!$P$10=1,AH!$P$12=1,$A55=TODAY()),AH!$P$19,IF(AH!$P$10=1,INDEX('Live History'!$B$5:$B$3004,AH!$P$13+50),INDEX('AH History'!$B$1:$B$18046,AH!$P$7+50))),NA()),NA())</ns0:f>
        <ns0:v>365.8</ns0:v>
      </ns0:c>
      <ns0:c r="D55" s="1">
        <ns0:f>IFERROR(IF(ISNUMBER($A55),IF(AND(AH!$P$10=1,AH!$P$12=1,$A55=TODAY()),AH!$P$18,IF(AH!$P$10=1,INDEX('Live History'!$E$5:$E$3004,MATCH($A55,'Live History'!$D$5:$D$3004,1)),INDEX('AH History'!$C$1:$C$18046,AH!$P$7+50))),NA()),NA())</ns0:f>
        <ns0:v>258.66</ns0:v>
      </ns0:c>
      <ns0:c r="E55" s="1">
        <ns0:f>IFERROR(IF(ISNUMBER($A55),IF(AND(AH!$P$10=1,AH!$P$12=1,$A55=TODAY()),AH!$P$20,IF(AH!$P$10=1,INDEX('Live History'!$H$5:$H$3004,MATCH($A55,'Live History'!$G$5:$G$3004,1)),INDEX('AH History'!$D$1:$D$18046,AH!$P$7+50))),NA()),NA())</ns0:f>
        <ns0:v>1.1321159601211548</ns0:v>
      </ns0:c>
      <ns0:c r="F55" s="1">
        <ns0:f>IFERROR(IF(ISNUMBER($A55),IF(AND(AH!$P$10=1,AH!$P$12=1,$A55=TODAY()),IF(AND(AH!$P$10=1,AH!$P$12=1,$A55=TODAY()),TODAY(),NA()),IF(AH!$P$10=1,INDEX('Live History'!$D$5:$D$3004,MATCH($A55,'Live History'!$D$5:$D$3004,1)),INDEX('AH History'!$E$1:$E$18046,AH!$P$7+50))),NA()),NA())</ns0:f>
        <ns0:v>46108</ns0:v>
      </ns0:c>
      <ns0:c r="G55" s="1">
        <ns0:f>IFERROR(IF(ISNUMBER($A55),IF(AND(AH!$P$10=1,AH!$P$12=1,$A55=TODAY()),IF(AND(AH!$P$10=1,AH!$P$12=1,$A55=TODAY()),TODAY(),NA()),IF(AH!$P$10=1,INDEX('Live History'!$G$5:$G$3004,MATCH($A55,'Live History'!$G$5:$G$3004,1)),INDEX('AH History'!$F$1:$F$18046,AH!$P$7+50))),NA()),NA())</ns0:f>
        <ns0:v>46108</ns0:v>
      </ns0:c>
      <ns0:c r="H55" s="1">
        <ns0:f>IFERROR(IF(AND(AH!$E$4="Bloomberg",AH!$P$10=1,ISNUMBER($A55),$A55&lt;=AH!$P$17),AH!$P$7-1+MATCH($A55,INDEX('AH History'!$A$1:$A$18046,AH!$P$7):INDEX('AH History'!$A$1:$A$18046,AH!$P$7+AH!$P$8-1),0),0),0)</ns0:f>
        <ns0:v/>
      </ns0:c>
      <ns0:c r="I55" s="1">
        <ns0:f>IF($H55=0,0,IFERROR(IF(AND(ABS($C55-INDEX('AH History'!$B$1:$B$18046,$H55))&lt;=MAX(0.005,ABS(INDEX('AH History'!$B$1:$B$18046,$H55))*0.00005),ABS($D55-INDEX('AH History'!$C$1:$C$18046,$H55))&lt;=MAX(0.005,ABS(INDEX('AH History'!$C$1:$C$18046,$H55))*0.00005),ABS($E55-INDEX('AH History'!$D$1:$D$18046,$H55))&lt;=0.00005,$F55=INDEX('AH History'!$E$1:$E$18046,$H55),$G55=INDEX('AH History'!$F$1:$F$18046,$H55)),1,-1),-1))</ns0:f>
        <ns0:v/>
      </ns0:c>
      <ns0:c r="J55" s="1" t="n"/>
      <ns0:c r="K55" s="1" t="n"/>
      <ns0:c r="L55" s="1" t="n"/>
      <ns0:c r="M55" s="1" t="n"/>
      <ns0:c r="N55" s="1" t="n"/>
      <ns0:c r="O55" s="1" t="n"/>
      <ns0:c r="P55" s="1" t="n"/>
      <ns0:c r="Q55" s="1" t="n"/>
    </ns0:row>
    <ns0:row r="56" ht="22" customHeight="1">
      <ns0:c r="A56" s="217">
        <ns0:f>IF(OR(AH!$P$3=0,51+1&gt;AH!$P$11,AND(AH!$E$4&lt;&gt;"Stored",AH!$P$10&lt;&gt;1)),"",IFERROR(IF(AND(AH!$P$21=1,51+1=AH!$P$11),TODAY(),IF(AH!$P$10=1,INDEX('Live History'!$A$5:$A$3004,AH!$P$13+51),INDEX('AH History'!$A$1:$A$18046,AH!$P$7+51))),""))</ns0:f>
        <ns0:v>46111</ns0:v>
      </ns0:c>
      <ns0:c r="B56" s="218">
        <ns0:f>IFERROR(IF(AND(AH!$P$9&lt;&gt;1,$C56&gt;0,$D56&gt;0,$E56&gt;0,$F56&gt;0,$G56&gt;0,$F56&lt;=$A56,$G56&lt;=$A56,$A56-$F56&lt;=10,$A56-$G56&lt;=5),$D56*$E56/$C56-1,NA()),NA())</ns0:f>
        <ns0:v>-0.2252605923161286</ns0:v>
      </ns0:c>
      <ns0:c r="C56" s="1">
        <ns0:f>IFERROR(IF(ISNUMBER($A56),IF(AND(AH!$P$10=1,AH!$P$12=1,$A56=TODAY()),AH!$P$19,IF(AH!$P$10=1,INDEX('Live History'!$B$5:$B$3004,AH!$P$13+51),INDEX('AH History'!$B$1:$B$18046,AH!$P$7+51))),NA()),NA())</ns0:f>
        <ns0:v>374.2</ns0:v>
      </ns0:c>
      <ns0:c r="D56" s="1">
        <ns0:f>IFERROR(IF(ISNUMBER($A56),IF(AND(AH!$P$10=1,AH!$P$12=1,$A56=TODAY()),AH!$P$18,IF(AH!$P$10=1,INDEX('Live History'!$E$5:$E$3004,MATCH($A56,'Live History'!$D$5:$D$3004,1)),INDEX('AH History'!$C$1:$C$18046,AH!$P$7+51))),NA()),NA())</ns0:f>
        <ns0:v>255.85</ns0:v>
      </ns0:c>
      <ns0:c r="E56" s="1">
        <ns0:f>IFERROR(IF(ISNUMBER($A56),IF(AND(AH!$P$10=1,AH!$P$12=1,$A56=TODAY()),AH!$P$20,IF(AH!$P$10=1,INDEX('Live History'!$H$5:$H$3004,MATCH($A56,'Live History'!$G$5:$G$3004,1)),INDEX('AH History'!$D$1:$D$18046,AH!$P$7+51))),NA()),NA())</ns0:f>
        <ns0:v>1.1331150531768799</ns0:v>
      </ns0:c>
      <ns0:c r="F56" s="1">
        <ns0:f>IFERROR(IF(ISNUMBER($A56),IF(AND(AH!$P$10=1,AH!$P$12=1,$A56=TODAY()),IF(AND(AH!$P$10=1,AH!$P$12=1,$A56=TODAY()),TODAY(),NA()),IF(AH!$P$10=1,INDEX('Live History'!$D$5:$D$3004,MATCH($A56,'Live History'!$D$5:$D$3004,1)),INDEX('AH History'!$E$1:$E$18046,AH!$P$7+51))),NA()),NA())</ns0:f>
        <ns0:v>46111</ns0:v>
      </ns0:c>
      <ns0:c r="G56" s="1">
        <ns0:f>IFERROR(IF(ISNUMBER($A56),IF(AND(AH!$P$10=1,AH!$P$12=1,$A56=TODAY()),IF(AND(AH!$P$10=1,AH!$P$12=1,$A56=TODAY()),TODAY(),NA()),IF(AH!$P$10=1,INDEX('Live History'!$G$5:$G$3004,MATCH($A56,'Live History'!$G$5:$G$3004,1)),INDEX('AH History'!$F$1:$F$18046,AH!$P$7+51))),NA()),NA())</ns0:f>
        <ns0:v>46111</ns0:v>
      </ns0:c>
      <ns0:c r="H56" s="1">
        <ns0:f>IFERROR(IF(AND(AH!$E$4="Bloomberg",AH!$P$10=1,ISNUMBER($A56),$A56&lt;=AH!$P$17),AH!$P$7-1+MATCH($A56,INDEX('AH History'!$A$1:$A$18046,AH!$P$7):INDEX('AH History'!$A$1:$A$18046,AH!$P$7+AH!$P$8-1),0),0),0)</ns0:f>
        <ns0:v/>
      </ns0:c>
      <ns0:c r="I56" s="1">
        <ns0:f>IF($H56=0,0,IFERROR(IF(AND(ABS($C56-INDEX('AH History'!$B$1:$B$18046,$H56))&lt;=MAX(0.005,ABS(INDEX('AH History'!$B$1:$B$18046,$H56))*0.00005),ABS($D56-INDEX('AH History'!$C$1:$C$18046,$H56))&lt;=MAX(0.005,ABS(INDEX('AH History'!$C$1:$C$18046,$H56))*0.00005),ABS($E56-INDEX('AH History'!$D$1:$D$18046,$H56))&lt;=0.00005,$F56=INDEX('AH History'!$E$1:$E$18046,$H56),$G56=INDEX('AH History'!$F$1:$F$18046,$H56)),1,-1),-1))</ns0:f>
        <ns0:v/>
      </ns0:c>
      <ns0:c r="J56" s="1" t="n"/>
      <ns0:c r="K56" s="1" t="n"/>
      <ns0:c r="L56" s="1" t="n"/>
      <ns0:c r="M56" s="1" t="n"/>
      <ns0:c r="N56" s="1" t="n"/>
      <ns0:c r="O56" s="1" t="n"/>
      <ns0:c r="P56" s="1" t="n"/>
      <ns0:c r="Q56" s="1" t="n"/>
    </ns0:row>
    <ns0:row r="57" ht="22" customHeight="1">
      <ns0:c r="A57" s="217">
        <ns0:f>IF(OR(AH!$P$3=0,52+1&gt;AH!$P$11,AND(AH!$E$4&lt;&gt;"Stored",AH!$P$10&lt;&gt;1)),"",IFERROR(IF(AND(AH!$P$21=1,52+1=AH!$P$11),TODAY(),IF(AH!$P$10=1,INDEX('Live History'!$A$5:$A$3004,AH!$P$13+52),INDEX('AH History'!$A$1:$A$18046,AH!$P$7+52))),""))</ns0:f>
        <ns0:v>46112</ns0:v>
      </ns0:c>
      <ns0:c r="B57" s="218">
        <ns0:f>IFERROR(IF(AND(AH!$P$9&lt;&gt;1,$C57&gt;0,$D57&gt;0,$E57&gt;0,$F57&gt;0,$G57&gt;0,$F57&lt;=$A57,$G57&lt;=$A57,$A57-$F57&lt;=10,$A57-$G57&lt;=5),$D57*$E57/$C57-1,NA()),NA())</ns0:f>
        <ns0:v>-0.2131308768650534</ns0:v>
      </ns0:c>
      <ns0:c r="C57" s="1">
        <ns0:f>IFERROR(IF(ISNUMBER($A57),IF(AND(AH!$P$10=1,AH!$P$12=1,$A57=TODAY()),AH!$P$19,IF(AH!$P$10=1,INDEX('Live History'!$B$5:$B$3004,AH!$P$13+52),INDEX('AH History'!$B$1:$B$18046,AH!$P$7+52))),NA()),NA())</ns0:f>
        <ns0:v>343.0</ns0:v>
      </ns0:c>
      <ns0:c r="D57" s="1">
        <ns0:f>IFERROR(IF(ISNUMBER($A57),IF(AND(AH!$P$10=1,AH!$P$12=1,$A57=TODAY()),AH!$P$18,IF(AH!$P$10=1,INDEX('Live History'!$E$5:$E$3004,MATCH($A57,'Live History'!$D$5:$D$3004,1)),INDEX('AH History'!$C$1:$C$18046,AH!$P$7+52))),NA()),NA())</ns0:f>
        <ns0:v>238.1</ns0:v>
      </ns0:c>
      <ns0:c r="E57" s="1">
        <ns0:f>IFERROR(IF(ISNUMBER($A57),IF(AND(AH!$P$10=1,AH!$P$12=1,$A57=TODAY()),AH!$P$20,IF(AH!$P$10=1,INDEX('Live History'!$H$5:$H$3004,MATCH($A57,'Live History'!$G$5:$G$3004,1)),INDEX('AH History'!$D$1:$D$18046,AH!$P$7+52))),NA()),NA())</ns0:f>
        <ns0:v>1.1335409879684448</ns0:v>
      </ns0:c>
      <ns0:c r="F57" s="1">
        <ns0:f>IFERROR(IF(ISNUMBER($A57),IF(AND(AH!$P$10=1,AH!$P$12=1,$A57=TODAY()),IF(AND(AH!$P$10=1,AH!$P$12=1,$A57=TODAY()),TODAY(),NA()),IF(AH!$P$10=1,INDEX('Live History'!$D$5:$D$3004,MATCH($A57,'Live History'!$D$5:$D$3004,1)),INDEX('AH History'!$E$1:$E$18046,AH!$P$7+52))),NA()),NA())</ns0:f>
        <ns0:v>46112</ns0:v>
      </ns0:c>
      <ns0:c r="G57" s="1">
        <ns0:f>IFERROR(IF(ISNUMBER($A57),IF(AND(AH!$P$10=1,AH!$P$12=1,$A57=TODAY()),IF(AND(AH!$P$10=1,AH!$P$12=1,$A57=TODAY()),TODAY(),NA()),IF(AH!$P$10=1,INDEX('Live History'!$G$5:$G$3004,MATCH($A57,'Live History'!$G$5:$G$3004,1)),INDEX('AH History'!$F$1:$F$18046,AH!$P$7+52))),NA()),NA())</ns0:f>
        <ns0:v>46112</ns0:v>
      </ns0:c>
      <ns0:c r="H57" s="1">
        <ns0:f>IFERROR(IF(AND(AH!$E$4="Bloomberg",AH!$P$10=1,ISNUMBER($A57),$A57&lt;=AH!$P$17),AH!$P$7-1+MATCH($A57,INDEX('AH History'!$A$1:$A$18046,AH!$P$7):INDEX('AH History'!$A$1:$A$18046,AH!$P$7+AH!$P$8-1),0),0),0)</ns0:f>
        <ns0:v/>
      </ns0:c>
      <ns0:c r="I57" s="1">
        <ns0:f>IF($H57=0,0,IFERROR(IF(AND(ABS($C57-INDEX('AH History'!$B$1:$B$18046,$H57))&lt;=MAX(0.005,ABS(INDEX('AH History'!$B$1:$B$18046,$H57))*0.00005),ABS($D57-INDEX('AH History'!$C$1:$C$18046,$H57))&lt;=MAX(0.005,ABS(INDEX('AH History'!$C$1:$C$18046,$H57))*0.00005),ABS($E57-INDEX('AH History'!$D$1:$D$18046,$H57))&lt;=0.00005,$F57=INDEX('AH History'!$E$1:$E$18046,$H57),$G57=INDEX('AH History'!$F$1:$F$18046,$H57)),1,-1),-1))</ns0:f>
        <ns0:v/>
      </ns0:c>
      <ns0:c r="J57" s="1" t="n"/>
      <ns0:c r="K57" s="1" t="n"/>
      <ns0:c r="L57" s="1" t="n"/>
      <ns0:c r="M57" s="1" t="n"/>
      <ns0:c r="N57" s="1" t="n"/>
      <ns0:c r="O57" s="1" t="n"/>
      <ns0:c r="P57" s="1" t="n"/>
      <ns0:c r="Q57" s="1" t="n"/>
    </ns0:row>
    <ns0:row r="58" ht="22" customHeight="1">
      <ns0:c r="A58" s="217">
        <ns0:f>IF(OR(AH!$P$3=0,53+1&gt;AH!$P$11,AND(AH!$E$4&lt;&gt;"Stored",AH!$P$10&lt;&gt;1)),"",IFERROR(IF(AND(AH!$P$21=1,53+1=AH!$P$11),TODAY(),IF(AH!$P$10=1,INDEX('Live History'!$A$5:$A$3004,AH!$P$13+53),INDEX('AH History'!$A$1:$A$18046,AH!$P$7+53))),""))</ns0:f>
        <ns0:v>46113</ns0:v>
      </ns0:c>
      <ns0:c r="B58" s="218">
        <ns0:f>IFERROR(IF(AND(AH!$P$9&lt;&gt;1,$C58&gt;0,$D58&gt;0,$E58&gt;0,$F58&gt;0,$G58&gt;0,$F58&lt;=$A58,$G58&lt;=$A58,$A58-$F58&lt;=10,$A58-$G58&lt;=5),$D58*$E58/$C58-1,NA()),NA())</ns0:f>
        <ns0:v>-0.2080577914832068</ns0:v>
      </ns0:c>
      <ns0:c r="C58" s="1">
        <ns0:f>IFERROR(IF(ISNUMBER($A58),IF(AND(AH!$P$10=1,AH!$P$12=1,$A58=TODAY()),AH!$P$19,IF(AH!$P$10=1,INDEX('Live History'!$B$5:$B$3004,AH!$P$13+53),INDEX('AH History'!$B$1:$B$18046,AH!$P$7+53))),NA()),NA())</ns0:f>
        <ns0:v>366.0</ns0:v>
      </ns0:c>
      <ns0:c r="D58" s="1">
        <ns0:f>IFERROR(IF(ISNUMBER($A58),IF(AND(AH!$P$10=1,AH!$P$12=1,$A58=TODAY()),AH!$P$18,IF(AH!$P$10=1,INDEX('Live History'!$E$5:$E$3004,MATCH($A58,'Live History'!$D$5:$D$3004,1)),INDEX('AH History'!$C$1:$C$18046,AH!$P$7+53))),NA()),NA())</ns0:f>
        <ns0:v>255.0</ns0:v>
      </ns0:c>
      <ns0:c r="E58" s="1">
        <ns0:f>IFERROR(IF(ISNUMBER($A58),IF(AND(AH!$P$10=1,AH!$P$12=1,$A58=TODAY()),AH!$P$20,IF(AH!$P$10=1,INDEX('Live History'!$H$5:$H$3004,MATCH($A58,'Live History'!$G$5:$G$3004,1)),INDEX('AH History'!$D$1:$D$18046,AH!$P$7+53))),NA()),NA())</ns0:f>
        <ns0:v>1.1366699934005737</ns0:v>
      </ns0:c>
      <ns0:c r="F58" s="1">
        <ns0:f>IFERROR(IF(ISNUMBER($A58),IF(AND(AH!$P$10=1,AH!$P$12=1,$A58=TODAY()),IF(AND(AH!$P$10=1,AH!$P$12=1,$A58=TODAY()),TODAY(),NA()),IF(AH!$P$10=1,INDEX('Live History'!$D$5:$D$3004,MATCH($A58,'Live History'!$D$5:$D$3004,1)),INDEX('AH History'!$E$1:$E$18046,AH!$P$7+53))),NA()),NA())</ns0:f>
        <ns0:v>46113</ns0:v>
      </ns0:c>
      <ns0:c r="G58" s="1">
        <ns0:f>IFERROR(IF(ISNUMBER($A58),IF(AND(AH!$P$10=1,AH!$P$12=1,$A58=TODAY()),IF(AND(AH!$P$10=1,AH!$P$12=1,$A58=TODAY()),TODAY(),NA()),IF(AH!$P$10=1,INDEX('Live History'!$G$5:$G$3004,MATCH($A58,'Live History'!$G$5:$G$3004,1)),INDEX('AH History'!$F$1:$F$18046,AH!$P$7+53))),NA()),NA())</ns0:f>
        <ns0:v>46113</ns0:v>
      </ns0:c>
      <ns0:c r="H58" s="1">
        <ns0:f>IFERROR(IF(AND(AH!$E$4="Bloomberg",AH!$P$10=1,ISNUMBER($A58),$A58&lt;=AH!$P$17),AH!$P$7-1+MATCH($A58,INDEX('AH History'!$A$1:$A$18046,AH!$P$7):INDEX('AH History'!$A$1:$A$18046,AH!$P$7+AH!$P$8-1),0),0),0)</ns0:f>
        <ns0:v/>
      </ns0:c>
      <ns0:c r="I58" s="1">
        <ns0:f>IF($H58=0,0,IFERROR(IF(AND(ABS($C58-INDEX('AH History'!$B$1:$B$18046,$H58))&lt;=MAX(0.005,ABS(INDEX('AH History'!$B$1:$B$18046,$H58))*0.00005),ABS($D58-INDEX('AH History'!$C$1:$C$18046,$H58))&lt;=MAX(0.005,ABS(INDEX('AH History'!$C$1:$C$18046,$H58))*0.00005),ABS($E58-INDEX('AH History'!$D$1:$D$18046,$H58))&lt;=0.00005,$F58=INDEX('AH History'!$E$1:$E$18046,$H58),$G58=INDEX('AH History'!$F$1:$F$18046,$H58)),1,-1),-1))</ns0:f>
        <ns0:v/>
      </ns0:c>
      <ns0:c r="J58" s="1" t="n"/>
      <ns0:c r="K58" s="1" t="n"/>
      <ns0:c r="L58" s="1" t="n"/>
      <ns0:c r="M58" s="1" t="n"/>
      <ns0:c r="N58" s="1" t="n"/>
      <ns0:c r="O58" s="1" t="n"/>
      <ns0:c r="P58" s="1" t="n"/>
      <ns0:c r="Q58" s="1" t="n"/>
    </ns0:row>
    <ns0:row r="59" ht="22" customHeight="1">
      <ns0:c r="A59" s="217">
        <ns0:f>IF(OR(AH!$P$3=0,54+1&gt;AH!$P$11,AND(AH!$E$4&lt;&gt;"Stored",AH!$P$10&lt;&gt;1)),"",IFERROR(IF(AND(AH!$P$21=1,54+1=AH!$P$11),TODAY(),IF(AH!$P$10=1,INDEX('Live History'!$A$5:$A$3004,AH!$P$13+54),INDEX('AH History'!$A$1:$A$18046,AH!$P$7+54))),""))</ns0:f>
        <ns0:v>46114</ns0:v>
      </ns0:c>
      <ns0:c r="B59" s="218">
        <ns0:f>IFERROR(IF(AND(AH!$P$9&lt;&gt;1,$C59&gt;0,$D59&gt;0,$E59&gt;0,$F59&gt;0,$G59&gt;0,$F59&lt;=$A59,$G59&lt;=$A59,$A59-$F59&lt;=10,$A59-$G59&lt;=5),$D59*$E59/$C59-1,NA()),NA())</ns0:f>
        <ns0:v>-0.18607658345575273</ns0:v>
      </ns0:c>
      <ns0:c r="C59" s="1">
        <ns0:f>IFERROR(IF(ISNUMBER($A59),IF(AND(AH!$P$10=1,AH!$P$12=1,$A59=TODAY()),AH!$P$19,IF(AH!$P$10=1,INDEX('Live History'!$B$5:$B$3004,AH!$P$13+54),INDEX('AH History'!$B$1:$B$18046,AH!$P$7+54))),NA()),NA())</ns0:f>
        <ns0:v>346.0</ns0:v>
      </ns0:c>
      <ns0:c r="D59" s="1">
        <ns0:f>IFERROR(IF(ISNUMBER($A59),IF(AND(AH!$P$10=1,AH!$P$12=1,$A59=TODAY()),AH!$P$18,IF(AH!$P$10=1,INDEX('Live History'!$E$5:$E$3004,MATCH($A59,'Live History'!$D$5:$D$3004,1)),INDEX('AH History'!$C$1:$C$18046,AH!$P$7+54))),NA()),NA())</ns0:f>
        <ns0:v>246.99</ns0:v>
      </ns0:c>
      <ns0:c r="E59" s="1">
        <ns0:f>IFERROR(IF(ISNUMBER($A59),IF(AND(AH!$P$10=1,AH!$P$12=1,$A59=TODAY()),AH!$P$20,IF(AH!$P$10=1,INDEX('Live History'!$H$5:$H$3004,MATCH($A59,'Live History'!$G$5:$G$3004,1)),INDEX('AH History'!$D$1:$D$18046,AH!$P$7+54))),NA()),NA())</ns0:f>
        <ns0:v>1.140197992324829</ns0:v>
      </ns0:c>
      <ns0:c r="F59" s="1">
        <ns0:f>IFERROR(IF(ISNUMBER($A59),IF(AND(AH!$P$10=1,AH!$P$12=1,$A59=TODAY()),IF(AND(AH!$P$10=1,AH!$P$12=1,$A59=TODAY()),TODAY(),NA()),IF(AH!$P$10=1,INDEX('Live History'!$D$5:$D$3004,MATCH($A59,'Live History'!$D$5:$D$3004,1)),INDEX('AH History'!$E$1:$E$18046,AH!$P$7+54))),NA()),NA())</ns0:f>
        <ns0:v>46114</ns0:v>
      </ns0:c>
      <ns0:c r="G59" s="1">
        <ns0:f>IFERROR(IF(ISNUMBER($A59),IF(AND(AH!$P$10=1,AH!$P$12=1,$A59=TODAY()),IF(AND(AH!$P$10=1,AH!$P$12=1,$A59=TODAY()),TODAY(),NA()),IF(AH!$P$10=1,INDEX('Live History'!$G$5:$G$3004,MATCH($A59,'Live History'!$G$5:$G$3004,1)),INDEX('AH History'!$F$1:$F$18046,AH!$P$7+54))),NA()),NA())</ns0:f>
        <ns0:v>46114</ns0:v>
      </ns0:c>
      <ns0:c r="H59" s="1">
        <ns0:f>IFERROR(IF(AND(AH!$E$4="Bloomberg",AH!$P$10=1,ISNUMBER($A59),$A59&lt;=AH!$P$17),AH!$P$7-1+MATCH($A59,INDEX('AH History'!$A$1:$A$18046,AH!$P$7):INDEX('AH History'!$A$1:$A$18046,AH!$P$7+AH!$P$8-1),0),0),0)</ns0:f>
        <ns0:v/>
      </ns0:c>
      <ns0:c r="I59" s="1">
        <ns0:f>IF($H59=0,0,IFERROR(IF(AND(ABS($C59-INDEX('AH History'!$B$1:$B$18046,$H59))&lt;=MAX(0.005,ABS(INDEX('AH History'!$B$1:$B$18046,$H59))*0.00005),ABS($D59-INDEX('AH History'!$C$1:$C$18046,$H59))&lt;=MAX(0.005,ABS(INDEX('AH History'!$C$1:$C$18046,$H59))*0.00005),ABS($E59-INDEX('AH History'!$D$1:$D$18046,$H59))&lt;=0.00005,$F59=INDEX('AH History'!$E$1:$E$18046,$H59),$G59=INDEX('AH History'!$F$1:$F$18046,$H59)),1,-1),-1))</ns0:f>
        <ns0:v/>
      </ns0:c>
      <ns0:c r="J59" s="1" t="n"/>
      <ns0:c r="K59" s="1" t="n"/>
      <ns0:c r="L59" s="1" t="n"/>
      <ns0:c r="M59" s="1" t="n"/>
      <ns0:c r="N59" s="1" t="n"/>
      <ns0:c r="O59" s="1" t="n"/>
      <ns0:c r="P59" s="1" t="n"/>
      <ns0:c r="Q59" s="1" t="n"/>
    </ns0:row>
    <ns0:row r="60" ht="22" customHeight="1">
      <ns0:c r="A60" s="217">
        <ns0:f>IF(OR(AH!$P$3=0,55+1&gt;AH!$P$11,AND(AH!$E$4&lt;&gt;"Stored",AH!$P$10&lt;&gt;1)),"",IFERROR(IF(AND(AH!$P$21=1,55+1=AH!$P$11),TODAY(),IF(AH!$P$10=1,INDEX('Live History'!$A$5:$A$3004,AH!$P$13+55),INDEX('AH History'!$A$1:$A$18046,AH!$P$7+55))),""))</ns0:f>
        <ns0:v>46120</ns0:v>
      </ns0:c>
      <ns0:c r="B60" s="218">
        <ns0:f>IFERROR(IF(AND(AH!$P$9&lt;&gt;1,$C60&gt;0,$D60&gt;0,$E60&gt;0,$F60&gt;0,$G60&gt;0,$F60&lt;=$A60,$G60&lt;=$A60,$A60-$F60&lt;=10,$A60-$G60&lt;=5),$D60*$E60/$C60-1,NA()),NA())</ns0:f>
        <ns0:v>-0.2011041110460875</ns0:v>
      </ns0:c>
      <ns0:c r="C60" s="1">
        <ns0:f>IFERROR(IF(ISNUMBER($A60),IF(AND(AH!$P$10=1,AH!$P$12=1,$A60=TODAY()),AH!$P$19,IF(AH!$P$10=1,INDEX('Live History'!$B$5:$B$3004,AH!$P$13+55),INDEX('AH History'!$B$1:$B$18046,AH!$P$7+55))),NA()),NA())</ns0:f>
        <ns0:v>366.0</ns0:v>
      </ns0:c>
      <ns0:c r="D60" s="1">
        <ns0:f>IFERROR(IF(ISNUMBER($A60),IF(AND(AH!$P$10=1,AH!$P$12=1,$A60=TODAY()),AH!$P$18,IF(AH!$P$10=1,INDEX('Live History'!$E$5:$E$3004,MATCH($A60,'Live History'!$D$5:$D$3004,1)),INDEX('AH History'!$C$1:$C$18046,AH!$P$7+55))),NA()),NA())</ns0:f>
        <ns0:v>255.96</ns0:v>
      </ns0:c>
      <ns0:c r="E60" s="1">
        <ns0:f>IFERROR(IF(ISNUMBER($A60),IF(AND(AH!$P$10=1,AH!$P$12=1,$A60=TODAY()),AH!$P$20,IF(AH!$P$10=1,INDEX('Live History'!$H$5:$H$3004,MATCH($A60,'Live History'!$G$5:$G$3004,1)),INDEX('AH History'!$D$1:$D$18046,AH!$P$7+55))),NA()),NA())</ns0:f>
        <ns0:v>1.1423499584197998</ns0:v>
      </ns0:c>
      <ns0:c r="F60" s="1">
        <ns0:f>IFERROR(IF(ISNUMBER($A60),IF(AND(AH!$P$10=1,AH!$P$12=1,$A60=TODAY()),IF(AND(AH!$P$10=1,AH!$P$12=1,$A60=TODAY()),TODAY(),NA()),IF(AH!$P$10=1,INDEX('Live History'!$D$5:$D$3004,MATCH($A60,'Live History'!$D$5:$D$3004,1)),INDEX('AH History'!$E$1:$E$18046,AH!$P$7+55))),NA()),NA())</ns0:f>
        <ns0:v>46120</ns0:v>
      </ns0:c>
      <ns0:c r="G60" s="1">
        <ns0:f>IFERROR(IF(ISNUMBER($A60),IF(AND(AH!$P$10=1,AH!$P$12=1,$A60=TODAY()),IF(AND(AH!$P$10=1,AH!$P$12=1,$A60=TODAY()),TODAY(),NA()),IF(AH!$P$10=1,INDEX('Live History'!$G$5:$G$3004,MATCH($A60,'Live History'!$G$5:$G$3004,1)),INDEX('AH History'!$F$1:$F$18046,AH!$P$7+55))),NA()),NA())</ns0:f>
        <ns0:v>46120</ns0:v>
      </ns0:c>
      <ns0:c r="H60" s="1">
        <ns0:f>IFERROR(IF(AND(AH!$E$4="Bloomberg",AH!$P$10=1,ISNUMBER($A60),$A60&lt;=AH!$P$17),AH!$P$7-1+MATCH($A60,INDEX('AH History'!$A$1:$A$18046,AH!$P$7):INDEX('AH History'!$A$1:$A$18046,AH!$P$7+AH!$P$8-1),0),0),0)</ns0:f>
        <ns0:v/>
      </ns0:c>
      <ns0:c r="I60" s="1">
        <ns0:f>IF($H60=0,0,IFERROR(IF(AND(ABS($C60-INDEX('AH History'!$B$1:$B$18046,$H60))&lt;=MAX(0.005,ABS(INDEX('AH History'!$B$1:$B$18046,$H60))*0.00005),ABS($D60-INDEX('AH History'!$C$1:$C$18046,$H60))&lt;=MAX(0.005,ABS(INDEX('AH History'!$C$1:$C$18046,$H60))*0.00005),ABS($E60-INDEX('AH History'!$D$1:$D$18046,$H60))&lt;=0.00005,$F60=INDEX('AH History'!$E$1:$E$18046,$H60),$G60=INDEX('AH History'!$F$1:$F$18046,$H60)),1,-1),-1))</ns0:f>
        <ns0:v/>
      </ns0:c>
      <ns0:c r="J60" s="1" t="n"/>
      <ns0:c r="K60" s="1" t="n"/>
      <ns0:c r="L60" s="1" t="n"/>
      <ns0:c r="M60" s="1" t="n"/>
      <ns0:c r="N60" s="1" t="n"/>
      <ns0:c r="O60" s="1" t="n"/>
      <ns0:c r="P60" s="1" t="n"/>
      <ns0:c r="Q60" s="1" t="n"/>
    </ns0:row>
    <ns0:row r="61" ht="22" customHeight="1">
      <ns0:c r="A61" s="217">
        <ns0:f>IF(OR(AH!$P$3=0,56+1&gt;AH!$P$11,AND(AH!$E$4&lt;&gt;"Stored",AH!$P$10&lt;&gt;1)),"",IFERROR(IF(AND(AH!$P$21=1,56+1=AH!$P$11),TODAY(),IF(AH!$P$10=1,INDEX('Live History'!$A$5:$A$3004,AH!$P$13+56),INDEX('AH History'!$A$1:$A$18046,AH!$P$7+56))),""))</ns0:f>
        <ns0:v>46121</ns0:v>
      </ns0:c>
      <ns0:c r="B61" s="218">
        <ns0:f>IFERROR(IF(AND(AH!$P$9&lt;&gt;1,$C61&gt;0,$D61&gt;0,$E61&gt;0,$F61&gt;0,$G61&gt;0,$F61&lt;=$A61,$G61&lt;=$A61,$A61-$F61&lt;=10,$A61-$G61&lt;=5),$D61*$E61/$C61-1,NA()),NA())</ns0:f>
        <ns0:v>-0.17930030902794425</ns0:v>
      </ns0:c>
      <ns0:c r="C61" s="1">
        <ns0:f>IFERROR(IF(ISNUMBER($A61),IF(AND(AH!$P$10=1,AH!$P$12=1,$A61=TODAY()),AH!$P$19,IF(AH!$P$10=1,INDEX('Live History'!$B$5:$B$3004,AH!$P$13+56),INDEX('AH History'!$B$1:$B$18046,AH!$P$7+56))),NA()),NA())</ns0:f>
        <ns0:v>350.0</ns0:v>
      </ns0:c>
      <ns0:c r="D61" s="1">
        <ns0:f>IFERROR(IF(ISNUMBER($A61),IF(AND(AH!$P$10=1,AH!$P$12=1,$A61=TODAY()),AH!$P$18,IF(AH!$P$10=1,INDEX('Live History'!$E$5:$E$3004,MATCH($A61,'Live History'!$D$5:$D$3004,1)),INDEX('AH History'!$C$1:$C$18046,AH!$P$7+56))),NA()),NA())</ns0:f>
        <ns0:v>250.49</ns0:v>
      </ns0:c>
      <ns0:c r="E61" s="1">
        <ns0:f>IFERROR(IF(ISNUMBER($A61),IF(AND(AH!$P$10=1,AH!$P$12=1,$A61=TODAY()),AH!$P$20,IF(AH!$P$10=1,INDEX('Live History'!$H$5:$H$3004,MATCH($A61,'Live History'!$G$5:$G$3004,1)),INDEX('AH History'!$D$1:$D$18046,AH!$P$7+56))),NA()),NA())</ns0:f>
        <ns0:v>1.146731972694397</ns0:v>
      </ns0:c>
      <ns0:c r="F61" s="1">
        <ns0:f>IFERROR(IF(ISNUMBER($A61),IF(AND(AH!$P$10=1,AH!$P$12=1,$A61=TODAY()),IF(AND(AH!$P$10=1,AH!$P$12=1,$A61=TODAY()),TODAY(),NA()),IF(AH!$P$10=1,INDEX('Live History'!$D$5:$D$3004,MATCH($A61,'Live History'!$D$5:$D$3004,1)),INDEX('AH History'!$E$1:$E$18046,AH!$P$7+56))),NA()),NA())</ns0:f>
        <ns0:v>46121</ns0:v>
      </ns0:c>
      <ns0:c r="G61" s="1">
        <ns0:f>IFERROR(IF(ISNUMBER($A61),IF(AND(AH!$P$10=1,AH!$P$12=1,$A61=TODAY()),IF(AND(AH!$P$10=1,AH!$P$12=1,$A61=TODAY()),TODAY(),NA()),IF(AH!$P$10=1,INDEX('Live History'!$G$5:$G$3004,MATCH($A61,'Live History'!$G$5:$G$3004,1)),INDEX('AH History'!$F$1:$F$18046,AH!$P$7+56))),NA()),NA())</ns0:f>
        <ns0:v>46121</ns0:v>
      </ns0:c>
      <ns0:c r="H61" s="1">
        <ns0:f>IFERROR(IF(AND(AH!$E$4="Bloomberg",AH!$P$10=1,ISNUMBER($A61),$A61&lt;=AH!$P$17),AH!$P$7-1+MATCH($A61,INDEX('AH History'!$A$1:$A$18046,AH!$P$7):INDEX('AH History'!$A$1:$A$18046,AH!$P$7+AH!$P$8-1),0),0),0)</ns0:f>
        <ns0:v/>
      </ns0:c>
      <ns0:c r="I61" s="1">
        <ns0:f>IF($H61=0,0,IFERROR(IF(AND(ABS($C61-INDEX('AH History'!$B$1:$B$18046,$H61))&lt;=MAX(0.005,ABS(INDEX('AH History'!$B$1:$B$18046,$H61))*0.00005),ABS($D61-INDEX('AH History'!$C$1:$C$18046,$H61))&lt;=MAX(0.005,ABS(INDEX('AH History'!$C$1:$C$18046,$H61))*0.00005),ABS($E61-INDEX('AH History'!$D$1:$D$18046,$H61))&lt;=0.00005,$F61=INDEX('AH History'!$E$1:$E$18046,$H61),$G61=INDEX('AH History'!$F$1:$F$18046,$H61)),1,-1),-1))</ns0:f>
        <ns0:v/>
      </ns0:c>
      <ns0:c r="J61" s="1" t="n"/>
      <ns0:c r="K61" s="1" t="n"/>
      <ns0:c r="L61" s="1" t="n"/>
      <ns0:c r="M61" s="1" t="n"/>
      <ns0:c r="N61" s="1" t="n"/>
      <ns0:c r="O61" s="1" t="n"/>
      <ns0:c r="P61" s="1" t="n"/>
      <ns0:c r="Q61" s="1" t="n"/>
    </ns0:row>
    <ns0:row r="62" ht="22" customHeight="1">
      <ns0:c r="A62" s="217">
        <ns0:f>IF(OR(AH!$P$3=0,57+1&gt;AH!$P$11,AND(AH!$E$4&lt;&gt;"Stored",AH!$P$10&lt;&gt;1)),"",IFERROR(IF(AND(AH!$P$21=1,57+1=AH!$P$11),TODAY(),IF(AH!$P$10=1,INDEX('Live History'!$A$5:$A$3004,AH!$P$13+57),INDEX('AH History'!$A$1:$A$18046,AH!$P$7+57))),""))</ns0:f>
        <ns0:v>46122</ns0:v>
      </ns0:c>
      <ns0:c r="B62" s="218">
        <ns0:f>IFERROR(IF(AND(AH!$P$9&lt;&gt;1,$C62&gt;0,$D62&gt;0,$E62&gt;0,$F62&gt;0,$G62&gt;0,$F62&lt;=$A62,$G62&lt;=$A62,$A62-$F62&lt;=10,$A62-$G62&lt;=5),$D62*$E62/$C62-1,NA()),NA())</ns0:f>
        <ns0:v>-0.2250355112072402</ns0:v>
      </ns0:c>
      <ns0:c r="C62" s="1">
        <ns0:f>IFERROR(IF(ISNUMBER($A62),IF(AND(AH!$P$10=1,AH!$P$12=1,$A62=TODAY()),AH!$P$19,IF(AH!$P$10=1,INDEX('Live History'!$B$5:$B$3004,AH!$P$13+57),INDEX('AH History'!$B$1:$B$18046,AH!$P$7+57))),NA()),NA())</ns0:f>
        <ns0:v>392.2</ns0:v>
      </ns0:c>
      <ns0:c r="D62" s="1">
        <ns0:f>IFERROR(IF(ISNUMBER($A62),IF(AND(AH!$P$10=1,AH!$P$12=1,$A62=TODAY()),AH!$P$18,IF(AH!$P$10=1,INDEX('Live History'!$E$5:$E$3004,MATCH($A62,'Live History'!$D$5:$D$3004,1)),INDEX('AH History'!$C$1:$C$18046,AH!$P$7+57))),NA()),NA())</ns0:f>
        <ns0:v>265.09</ns0:v>
      </ns0:c>
      <ns0:c r="E62" s="1">
        <ns0:f>IFERROR(IF(ISNUMBER($A62),IF(AND(AH!$P$10=1,AH!$P$12=1,$A62=TODAY()),AH!$P$20,IF(AH!$P$10=1,INDEX('Live History'!$H$5:$H$3004,MATCH($A62,'Live History'!$G$5:$G$3004,1)),INDEX('AH History'!$D$1:$D$18046,AH!$P$7+57))),NA()),NA())</ns0:f>
        <ns0:v>1.1465580463409424</ns0:v>
      </ns0:c>
      <ns0:c r="F62" s="1">
        <ns0:f>IFERROR(IF(ISNUMBER($A62),IF(AND(AH!$P$10=1,AH!$P$12=1,$A62=TODAY()),IF(AND(AH!$P$10=1,AH!$P$12=1,$A62=TODAY()),TODAY(),NA()),IF(AH!$P$10=1,INDEX('Live History'!$D$5:$D$3004,MATCH($A62,'Live History'!$D$5:$D$3004,1)),INDEX('AH History'!$E$1:$E$18046,AH!$P$7+57))),NA()),NA())</ns0:f>
        <ns0:v>46122</ns0:v>
      </ns0:c>
      <ns0:c r="G62" s="1">
        <ns0:f>IFERROR(IF(ISNUMBER($A62),IF(AND(AH!$P$10=1,AH!$P$12=1,$A62=TODAY()),IF(AND(AH!$P$10=1,AH!$P$12=1,$A62=TODAY()),TODAY(),NA()),IF(AH!$P$10=1,INDEX('Live History'!$G$5:$G$3004,MATCH($A62,'Live History'!$G$5:$G$3004,1)),INDEX('AH History'!$F$1:$F$18046,AH!$P$7+57))),NA()),NA())</ns0:f>
        <ns0:v>46122</ns0:v>
      </ns0:c>
      <ns0:c r="H62" s="1">
        <ns0:f>IFERROR(IF(AND(AH!$E$4="Bloomberg",AH!$P$10=1,ISNUMBER($A62),$A62&lt;=AH!$P$17),AH!$P$7-1+MATCH($A62,INDEX('AH History'!$A$1:$A$18046,AH!$P$7):INDEX('AH History'!$A$1:$A$18046,AH!$P$7+AH!$P$8-1),0),0),0)</ns0:f>
        <ns0:v/>
      </ns0:c>
      <ns0:c r="I62" s="1">
        <ns0:f>IF($H62=0,0,IFERROR(IF(AND(ABS($C62-INDEX('AH History'!$B$1:$B$18046,$H62))&lt;=MAX(0.005,ABS(INDEX('AH History'!$B$1:$B$18046,$H62))*0.00005),ABS($D62-INDEX('AH History'!$C$1:$C$18046,$H62))&lt;=MAX(0.005,ABS(INDEX('AH History'!$C$1:$C$18046,$H62))*0.00005),ABS($E62-INDEX('AH History'!$D$1:$D$18046,$H62))&lt;=0.00005,$F62=INDEX('AH History'!$E$1:$E$18046,$H62),$G62=INDEX('AH History'!$F$1:$F$18046,$H62)),1,-1),-1))</ns0:f>
        <ns0:v/>
      </ns0:c>
      <ns0:c r="J62" s="1" t="n"/>
      <ns0:c r="K62" s="1" t="n"/>
      <ns0:c r="L62" s="1" t="n"/>
      <ns0:c r="M62" s="1" t="n"/>
      <ns0:c r="N62" s="1" t="n"/>
      <ns0:c r="O62" s="1" t="n"/>
      <ns0:c r="P62" s="1" t="n"/>
      <ns0:c r="Q62" s="1" t="n"/>
    </ns0:row>
    <ns0:row r="63" ht="22" customHeight="1">
      <ns0:c r="A63" s="217">
        <ns0:f>IF(OR(AH!$P$3=0,58+1&gt;AH!$P$11,AND(AH!$E$4&lt;&gt;"Stored",AH!$P$10&lt;&gt;1)),"",IFERROR(IF(AND(AH!$P$21=1,58+1=AH!$P$11),TODAY(),IF(AH!$P$10=1,INDEX('Live History'!$A$5:$A$3004,AH!$P$13+58),INDEX('AH History'!$A$1:$A$18046,AH!$P$7+58))),""))</ns0:f>
        <ns0:v>46125</ns0:v>
      </ns0:c>
      <ns0:c r="B63" s="218">
        <ns0:f>IFERROR(IF(AND(AH!$P$9&lt;&gt;1,$C63&gt;0,$D63&gt;0,$E63&gt;0,$F63&gt;0,$G63&gt;0,$F63&lt;=$A63,$G63&lt;=$A63,$A63-$F63&lt;=10,$A63-$G63&lt;=5),$D63*$E63/$C63-1,NA()),NA())</ns0:f>
        <ns0:v>-0.23211055853393647</ns0:v>
      </ns0:c>
      <ns0:c r="C63" s="1">
        <ns0:f>IFERROR(IF(ISNUMBER($A63),IF(AND(AH!$P$10=1,AH!$P$12=1,$A63=TODAY()),AH!$P$19,IF(AH!$P$10=1,INDEX('Live History'!$B$5:$B$3004,AH!$P$13+58),INDEX('AH History'!$B$1:$B$18046,AH!$P$7+58))),NA()),NA())</ns0:f>
        <ns0:v>391.6</ns0:v>
      </ns0:c>
      <ns0:c r="D63" s="1">
        <ns0:f>IFERROR(IF(ISNUMBER($A63),IF(AND(AH!$P$10=1,AH!$P$12=1,$A63=TODAY()),AH!$P$18,IF(AH!$P$10=1,INDEX('Live History'!$E$5:$E$3004,MATCH($A63,'Live History'!$D$5:$D$3004,1)),INDEX('AH History'!$C$1:$C$18046,AH!$P$7+58))),NA()),NA())</ns0:f>
        <ns0:v>262.14</ns0:v>
      </ns0:c>
      <ns0:c r="E63" s="1">
        <ns0:f>IFERROR(IF(ISNUMBER($A63),IF(AND(AH!$P$10=1,AH!$P$12=1,$A63=TODAY()),AH!$P$20,IF(AH!$P$10=1,INDEX('Live History'!$H$5:$H$3004,MATCH($A63,'Live History'!$G$5:$G$3004,1)),INDEX('AH History'!$D$1:$D$18046,AH!$P$7+58))),NA()),NA())</ns0:f>
        <ns0:v>1.1471179723739624</ns0:v>
      </ns0:c>
      <ns0:c r="F63" s="1">
        <ns0:f>IFERROR(IF(ISNUMBER($A63),IF(AND(AH!$P$10=1,AH!$P$12=1,$A63=TODAY()),IF(AND(AH!$P$10=1,AH!$P$12=1,$A63=TODAY()),TODAY(),NA()),IF(AH!$P$10=1,INDEX('Live History'!$D$5:$D$3004,MATCH($A63,'Live History'!$D$5:$D$3004,1)),INDEX('AH History'!$E$1:$E$18046,AH!$P$7+58))),NA()),NA())</ns0:f>
        <ns0:v>46125</ns0:v>
      </ns0:c>
      <ns0:c r="G63" s="1">
        <ns0:f>IFERROR(IF(ISNUMBER($A63),IF(AND(AH!$P$10=1,AH!$P$12=1,$A63=TODAY()),IF(AND(AH!$P$10=1,AH!$P$12=1,$A63=TODAY()),TODAY(),NA()),IF(AH!$P$10=1,INDEX('Live History'!$G$5:$G$3004,MATCH($A63,'Live History'!$G$5:$G$3004,1)),INDEX('AH History'!$F$1:$F$18046,AH!$P$7+58))),NA()),NA())</ns0:f>
        <ns0:v>46125</ns0:v>
      </ns0:c>
      <ns0:c r="H63" s="1">
        <ns0:f>IFERROR(IF(AND(AH!$E$4="Bloomberg",AH!$P$10=1,ISNUMBER($A63),$A63&lt;=AH!$P$17),AH!$P$7-1+MATCH($A63,INDEX('AH History'!$A$1:$A$18046,AH!$P$7):INDEX('AH History'!$A$1:$A$18046,AH!$P$7+AH!$P$8-1),0),0),0)</ns0:f>
        <ns0:v/>
      </ns0:c>
      <ns0:c r="I63" s="1">
        <ns0:f>IF($H63=0,0,IFERROR(IF(AND(ABS($C63-INDEX('AH History'!$B$1:$B$18046,$H63))&lt;=MAX(0.005,ABS(INDEX('AH History'!$B$1:$B$18046,$H63))*0.00005),ABS($D63-INDEX('AH History'!$C$1:$C$18046,$H63))&lt;=MAX(0.005,ABS(INDEX('AH History'!$C$1:$C$18046,$H63))*0.00005),ABS($E63-INDEX('AH History'!$D$1:$D$18046,$H63))&lt;=0.00005,$F63=INDEX('AH History'!$E$1:$E$18046,$H63),$G63=INDEX('AH History'!$F$1:$F$18046,$H63)),1,-1),-1))</ns0:f>
        <ns0:v/>
      </ns0:c>
      <ns0:c r="J63" s="1" t="n"/>
      <ns0:c r="K63" s="1" t="n"/>
      <ns0:c r="L63" s="1" t="n"/>
      <ns0:c r="M63" s="1" t="n"/>
      <ns0:c r="N63" s="1" t="n"/>
      <ns0:c r="O63" s="1" t="n"/>
      <ns0:c r="P63" s="1" t="n"/>
      <ns0:c r="Q63" s="1" t="n"/>
    </ns0:row>
    <ns0:row r="64" ht="22" customHeight="1">
      <ns0:c r="A64" s="217">
        <ns0:f>IF(OR(AH!$P$3=0,59+1&gt;AH!$P$11,AND(AH!$E$4&lt;&gt;"Stored",AH!$P$10&lt;&gt;1)),"",IFERROR(IF(AND(AH!$P$21=1,59+1=AH!$P$11),TODAY(),IF(AH!$P$10=1,INDEX('Live History'!$A$5:$A$3004,AH!$P$13+59),INDEX('AH History'!$A$1:$A$18046,AH!$P$7+59))),""))</ns0:f>
        <ns0:v>46126</ns0:v>
      </ns0:c>
      <ns0:c r="B64" s="218">
        <ns0:f>IFERROR(IF(AND(AH!$P$9&lt;&gt;1,$C64&gt;0,$D64&gt;0,$E64&gt;0,$F64&gt;0,$G64&gt;0,$F64&lt;=$A64,$G64&lt;=$A64,$A64-$F64&lt;=10,$A64-$G64&lt;=5),$D64*$E64/$C64-1,NA()),NA())</ns0:f>
        <ns0:v>-0.24834951795794646</ns0:v>
      </ns0:c>
      <ns0:c r="C64" s="1">
        <ns0:f>IFERROR(IF(ISNUMBER($A64),IF(AND(AH!$P$10=1,AH!$P$12=1,$A64=TODAY()),AH!$P$19,IF(AH!$P$10=1,INDEX('Live History'!$B$5:$B$3004,AH!$P$13+59),INDEX('AH History'!$B$1:$B$18046,AH!$P$7+59))),NA()),NA())</ns0:f>
        <ns0:v>427.0</ns0:v>
      </ns0:c>
      <ns0:c r="D64" s="1">
        <ns0:f>IFERROR(IF(ISNUMBER($A64),IF(AND(AH!$P$10=1,AH!$P$12=1,$A64=TODAY()),AH!$P$18,IF(AH!$P$10=1,INDEX('Live History'!$E$5:$E$3004,MATCH($A64,'Live History'!$D$5:$D$3004,1)),INDEX('AH History'!$C$1:$C$18046,AH!$P$7+59))),NA()),NA())</ns0:f>
        <ns0:v>280.01</ns0:v>
      </ns0:c>
      <ns0:c r="E64" s="1">
        <ns0:f>IFERROR(IF(ISNUMBER($A64),IF(AND(AH!$P$10=1,AH!$P$12=1,$A64=TODAY()),AH!$P$20,IF(AH!$P$10=1,INDEX('Live History'!$H$5:$H$3004,MATCH($A64,'Live History'!$G$5:$G$3004,1)),INDEX('AH History'!$D$1:$D$18046,AH!$P$7+59))),NA()),NA())</ns0:f>
        <ns0:v>1.1462260484695435</ns0:v>
      </ns0:c>
      <ns0:c r="F64" s="1">
        <ns0:f>IFERROR(IF(ISNUMBER($A64),IF(AND(AH!$P$10=1,AH!$P$12=1,$A64=TODAY()),IF(AND(AH!$P$10=1,AH!$P$12=1,$A64=TODAY()),TODAY(),NA()),IF(AH!$P$10=1,INDEX('Live History'!$D$5:$D$3004,MATCH($A64,'Live History'!$D$5:$D$3004,1)),INDEX('AH History'!$E$1:$E$18046,AH!$P$7+59))),NA()),NA())</ns0:f>
        <ns0:v>46126</ns0:v>
      </ns0:c>
      <ns0:c r="G64" s="1">
        <ns0:f>IFERROR(IF(ISNUMBER($A64),IF(AND(AH!$P$10=1,AH!$P$12=1,$A64=TODAY()),IF(AND(AH!$P$10=1,AH!$P$12=1,$A64=TODAY()),TODAY(),NA()),IF(AH!$P$10=1,INDEX('Live History'!$G$5:$G$3004,MATCH($A64,'Live History'!$G$5:$G$3004,1)),INDEX('AH History'!$F$1:$F$18046,AH!$P$7+59))),NA()),NA())</ns0:f>
        <ns0:v>46126</ns0:v>
      </ns0:c>
      <ns0:c r="H64" s="1">
        <ns0:f>IFERROR(IF(AND(AH!$E$4="Bloomberg",AH!$P$10=1,ISNUMBER($A64),$A64&lt;=AH!$P$17),AH!$P$7-1+MATCH($A64,INDEX('AH History'!$A$1:$A$18046,AH!$P$7):INDEX('AH History'!$A$1:$A$18046,AH!$P$7+AH!$P$8-1),0),0),0)</ns0:f>
        <ns0:v/>
      </ns0:c>
      <ns0:c r="I64" s="1">
        <ns0:f>IF($H64=0,0,IFERROR(IF(AND(ABS($C64-INDEX('AH History'!$B$1:$B$18046,$H64))&lt;=MAX(0.005,ABS(INDEX('AH History'!$B$1:$B$18046,$H64))*0.00005),ABS($D64-INDEX('AH History'!$C$1:$C$18046,$H64))&lt;=MAX(0.005,ABS(INDEX('AH History'!$C$1:$C$18046,$H64))*0.00005),ABS($E64-INDEX('AH History'!$D$1:$D$18046,$H64))&lt;=0.00005,$F64=INDEX('AH History'!$E$1:$E$18046,$H64),$G64=INDEX('AH History'!$F$1:$F$18046,$H64)),1,-1),-1))</ns0:f>
        <ns0:v/>
      </ns0:c>
      <ns0:c r="J64" s="1" t="n"/>
      <ns0:c r="K64" s="1" t="n"/>
      <ns0:c r="L64" s="1" t="n"/>
      <ns0:c r="M64" s="1" t="n"/>
      <ns0:c r="N64" s="1" t="n"/>
      <ns0:c r="O64" s="1" t="n"/>
      <ns0:c r="P64" s="1" t="n"/>
      <ns0:c r="Q64" s="1" t="n"/>
    </ns0:row>
    <ns0:row r="65" ht="22" customHeight="1">
      <ns0:c r="A65" s="217">
        <ns0:f>IF(OR(AH!$P$3=0,60+1&gt;AH!$P$11,AND(AH!$E$4&lt;&gt;"Stored",AH!$P$10&lt;&gt;1)),"",IFERROR(IF(AND(AH!$P$21=1,60+1=AH!$P$11),TODAY(),IF(AH!$P$10=1,INDEX('Live History'!$A$5:$A$3004,AH!$P$13+60),INDEX('AH History'!$A$1:$A$18046,AH!$P$7+60))),""))</ns0:f>
        <ns0:v>46127</ns0:v>
      </ns0:c>
      <ns0:c r="B65" s="218">
        <ns0:f>IFERROR(IF(AND(AH!$P$9&lt;&gt;1,$C65&gt;0,$D65&gt;0,$E65&gt;0,$F65&gt;0,$G65&gt;0,$F65&lt;=$A65,$G65&lt;=$A65,$A65-$F65&lt;=10,$A65-$G65&lt;=5),$D65*$E65/$C65-1,NA()),NA())</ns0:f>
        <ns0:v>-0.22743158672695896</ns0:v>
      </ns0:c>
      <ns0:c r="C65" s="1">
        <ns0:f>IFERROR(IF(ISNUMBER($A65),IF(AND(AH!$P$10=1,AH!$P$12=1,$A65=TODAY()),AH!$P$19,IF(AH!$P$10=1,INDEX('Live History'!$B$5:$B$3004,AH!$P$13+60),INDEX('AH History'!$B$1:$B$18046,AH!$P$7+60))),NA()),NA())</ns0:f>
        <ns0:v>407.6</ns0:v>
      </ns0:c>
      <ns0:c r="D65" s="1">
        <ns0:f>IFERROR(IF(ISNUMBER($A65),IF(AND(AH!$P$10=1,AH!$P$12=1,$A65=TODAY()),AH!$P$18,IF(AH!$P$10=1,INDEX('Live History'!$E$5:$E$3004,MATCH($A65,'Live History'!$D$5:$D$3004,1)),INDEX('AH History'!$C$1:$C$18046,AH!$P$7+60))),NA()),NA())</ns0:f>
        <ns0:v>274.0</ns0:v>
      </ns0:c>
      <ns0:c r="E65" s="1">
        <ns0:f>IFERROR(IF(ISNUMBER($A65),IF(AND(AH!$P$10=1,AH!$P$12=1,$A65=TODAY()),AH!$P$20,IF(AH!$P$10=1,INDEX('Live History'!$H$5:$H$3004,MATCH($A65,'Live History'!$G$5:$G$3004,1)),INDEX('AH History'!$D$1:$D$18046,AH!$P$7+60))),NA()),NA())</ns0:f>
        <ns0:v>1.149266004562378</ns0:v>
      </ns0:c>
      <ns0:c r="F65" s="1">
        <ns0:f>IFERROR(IF(ISNUMBER($A65),IF(AND(AH!$P$10=1,AH!$P$12=1,$A65=TODAY()),IF(AND(AH!$P$10=1,AH!$P$12=1,$A65=TODAY()),TODAY(),NA()),IF(AH!$P$10=1,INDEX('Live History'!$D$5:$D$3004,MATCH($A65,'Live History'!$D$5:$D$3004,1)),INDEX('AH History'!$E$1:$E$18046,AH!$P$7+60))),NA()),NA())</ns0:f>
        <ns0:v>46127</ns0:v>
      </ns0:c>
      <ns0:c r="G65" s="1">
        <ns0:f>IFERROR(IF(ISNUMBER($A65),IF(AND(AH!$P$10=1,AH!$P$12=1,$A65=TODAY()),IF(AND(AH!$P$10=1,AH!$P$12=1,$A65=TODAY()),TODAY(),NA()),IF(AH!$P$10=1,INDEX('Live History'!$G$5:$G$3004,MATCH($A65,'Live History'!$G$5:$G$3004,1)),INDEX('AH History'!$F$1:$F$18046,AH!$P$7+60))),NA()),NA())</ns0:f>
        <ns0:v>46127</ns0:v>
      </ns0:c>
      <ns0:c r="H65" s="1">
        <ns0:f>IFERROR(IF(AND(AH!$E$4="Bloomberg",AH!$P$10=1,ISNUMBER($A65),$A65&lt;=AH!$P$17),AH!$P$7-1+MATCH($A65,INDEX('AH History'!$A$1:$A$18046,AH!$P$7):INDEX('AH History'!$A$1:$A$18046,AH!$P$7+AH!$P$8-1),0),0),0)</ns0:f>
        <ns0:v/>
      </ns0:c>
      <ns0:c r="I65" s="1">
        <ns0:f>IF($H65=0,0,IFERROR(IF(AND(ABS($C65-INDEX('AH History'!$B$1:$B$18046,$H65))&lt;=MAX(0.005,ABS(INDEX('AH History'!$B$1:$B$18046,$H65))*0.00005),ABS($D65-INDEX('AH History'!$C$1:$C$18046,$H65))&lt;=MAX(0.005,ABS(INDEX('AH History'!$C$1:$C$18046,$H65))*0.00005),ABS($E65-INDEX('AH History'!$D$1:$D$18046,$H65))&lt;=0.00005,$F65=INDEX('AH History'!$E$1:$E$18046,$H65),$G65=INDEX('AH History'!$F$1:$F$18046,$H65)),1,-1),-1))</ns0:f>
        <ns0:v/>
      </ns0:c>
      <ns0:c r="J65" s="1" t="n"/>
      <ns0:c r="K65" s="1" t="n"/>
      <ns0:c r="L65" s="1" t="n"/>
      <ns0:c r="M65" s="1" t="n"/>
      <ns0:c r="N65" s="1" t="n"/>
      <ns0:c r="O65" s="1" t="n"/>
      <ns0:c r="P65" s="1" t="n"/>
      <ns0:c r="Q65" s="1" t="n"/>
    </ns0:row>
    <ns0:row r="66" ht="22" customHeight="1">
      <ns0:c r="A66" s="217">
        <ns0:f>IF(OR(AH!$P$3=0,61+1&gt;AH!$P$11,AND(AH!$E$4&lt;&gt;"Stored",AH!$P$10&lt;&gt;1)),"",IFERROR(IF(AND(AH!$P$21=1,61+1=AH!$P$11),TODAY(),IF(AH!$P$10=1,INDEX('Live History'!$A$5:$A$3004,AH!$P$13+61),INDEX('AH History'!$A$1:$A$18046,AH!$P$7+61))),""))</ns0:f>
        <ns0:v>46128</ns0:v>
      </ns0:c>
      <ns0:c r="B66" s="218">
        <ns0:f>IFERROR(IF(AND(AH!$P$9&lt;&gt;1,$C66&gt;0,$D66&gt;0,$E66&gt;0,$F66&gt;0,$G66&gt;0,$F66&lt;=$A66,$G66&lt;=$A66,$A66-$F66&lt;=10,$A66-$G66&lt;=5),$D66*$E66/$C66-1,NA()),NA())</ns0:f>
        <ns0:v>-0.28779465587081376</ns0:v>
      </ns0:c>
      <ns0:c r="C66" s="1">
        <ns0:f>IFERROR(IF(ISNUMBER($A66),IF(AND(AH!$P$10=1,AH!$P$12=1,$A66=TODAY()),AH!$P$19,IF(AH!$P$10=1,INDEX('Live History'!$B$5:$B$3004,AH!$P$13+61),INDEX('AH History'!$B$1:$B$18046,AH!$P$7+61))),NA()),NA())</ns0:f>
        <ns0:v>462.4</ns0:v>
      </ns0:c>
      <ns0:c r="D66" s="1">
        <ns0:f>IFERROR(IF(ISNUMBER($A66),IF(AND(AH!$P$10=1,AH!$P$12=1,$A66=TODAY()),AH!$P$18,IF(AH!$P$10=1,INDEX('Live History'!$E$5:$E$3004,MATCH($A66,'Live History'!$D$5:$D$3004,1)),INDEX('AH History'!$C$1:$C$18046,AH!$P$7+61))),NA()),NA())</ns0:f>
        <ns0:v>286.73</ns0:v>
      </ns0:c>
      <ns0:c r="E66" s="1">
        <ns0:f>IFERROR(IF(ISNUMBER($A66),IF(AND(AH!$P$10=1,AH!$P$12=1,$A66=TODAY()),AH!$P$20,IF(AH!$P$10=1,INDEX('Live History'!$H$5:$H$3004,MATCH($A66,'Live History'!$G$5:$G$3004,1)),INDEX('AH History'!$D$1:$D$18046,AH!$P$7+61))),NA()),NA())</ns0:f>
        <ns0:v>1.148550033569336</ns0:v>
      </ns0:c>
      <ns0:c r="F66" s="1">
        <ns0:f>IFERROR(IF(ISNUMBER($A66),IF(AND(AH!$P$10=1,AH!$P$12=1,$A66=TODAY()),IF(AND(AH!$P$10=1,AH!$P$12=1,$A66=TODAY()),TODAY(),NA()),IF(AH!$P$10=1,INDEX('Live History'!$D$5:$D$3004,MATCH($A66,'Live History'!$D$5:$D$3004,1)),INDEX('AH History'!$E$1:$E$18046,AH!$P$7+61))),NA()),NA())</ns0:f>
        <ns0:v>46128</ns0:v>
      </ns0:c>
      <ns0:c r="G66" s="1">
        <ns0:f>IFERROR(IF(ISNUMBER($A66),IF(AND(AH!$P$10=1,AH!$P$12=1,$A66=TODAY()),IF(AND(AH!$P$10=1,AH!$P$12=1,$A66=TODAY()),TODAY(),NA()),IF(AH!$P$10=1,INDEX('Live History'!$G$5:$G$3004,MATCH($A66,'Live History'!$G$5:$G$3004,1)),INDEX('AH History'!$F$1:$F$18046,AH!$P$7+61))),NA()),NA())</ns0:f>
        <ns0:v>46128</ns0:v>
      </ns0:c>
      <ns0:c r="H66" s="1">
        <ns0:f>IFERROR(IF(AND(AH!$E$4="Bloomberg",AH!$P$10=1,ISNUMBER($A66),$A66&lt;=AH!$P$17),AH!$P$7-1+MATCH($A66,INDEX('AH History'!$A$1:$A$18046,AH!$P$7):INDEX('AH History'!$A$1:$A$18046,AH!$P$7+AH!$P$8-1),0),0),0)</ns0:f>
        <ns0:v/>
      </ns0:c>
      <ns0:c r="I66" s="1">
        <ns0:f>IF($H66=0,0,IFERROR(IF(AND(ABS($C66-INDEX('AH History'!$B$1:$B$18046,$H66))&lt;=MAX(0.005,ABS(INDEX('AH History'!$B$1:$B$18046,$H66))*0.00005),ABS($D66-INDEX('AH History'!$C$1:$C$18046,$H66))&lt;=MAX(0.005,ABS(INDEX('AH History'!$C$1:$C$18046,$H66))*0.00005),ABS($E66-INDEX('AH History'!$D$1:$D$18046,$H66))&lt;=0.00005,$F66=INDEX('AH History'!$E$1:$E$18046,$H66),$G66=INDEX('AH History'!$F$1:$F$18046,$H66)),1,-1),-1))</ns0:f>
        <ns0:v/>
      </ns0:c>
      <ns0:c r="J66" s="1" t="n"/>
      <ns0:c r="K66" s="1" t="n"/>
      <ns0:c r="L66" s="1" t="n"/>
      <ns0:c r="M66" s="1" t="n"/>
      <ns0:c r="N66" s="1" t="n"/>
      <ns0:c r="O66" s="1" t="n"/>
      <ns0:c r="P66" s="1" t="n"/>
      <ns0:c r="Q66" s="1" t="n"/>
    </ns0:row>
    <ns0:row r="67" ht="22" customHeight="1">
      <ns0:c r="A67" s="217">
        <ns0:f>IF(OR(AH!$P$3=0,62+1&gt;AH!$P$11,AND(AH!$E$4&lt;&gt;"Stored",AH!$P$10&lt;&gt;1)),"",IFERROR(IF(AND(AH!$P$21=1,62+1=AH!$P$11),TODAY(),IF(AH!$P$10=1,INDEX('Live History'!$A$5:$A$3004,AH!$P$13+62),INDEX('AH History'!$A$1:$A$18046,AH!$P$7+62))),""))</ns0:f>
        <ns0:v>46129</ns0:v>
      </ns0:c>
      <ns0:c r="B67" s="218">
        <ns0:f>IFERROR(IF(AND(AH!$P$9&lt;&gt;1,$C67&gt;0,$D67&gt;0,$E67&gt;0,$F67&gt;0,$G67&gt;0,$F67&lt;=$A67,$G67&lt;=$A67,$A67-$F67&lt;=10,$A67-$G67&lt;=5),$D67*$E67/$C67-1,NA()),NA())</ns0:f>
        <ns0:v>-0.23091229090783594</ns0:v>
      </ns0:c>
      <ns0:c r="C67" s="1">
        <ns0:f>IFERROR(IF(ISNUMBER($A67),IF(AND(AH!$P$10=1,AH!$P$12=1,$A67=TODAY()),AH!$P$19,IF(AH!$P$10=1,INDEX('Live History'!$B$5:$B$3004,AH!$P$13+62),INDEX('AH History'!$B$1:$B$18046,AH!$P$7+62))),NA()),NA())</ns0:f>
        <ns0:v>430.8</ns0:v>
      </ns0:c>
      <ns0:c r="D67" s="1">
        <ns0:f>IFERROR(IF(ISNUMBER($A67),IF(AND(AH!$P$10=1,AH!$P$12=1,$A67=TODAY()),AH!$P$18,IF(AH!$P$10=1,INDEX('Live History'!$E$5:$E$3004,MATCH($A67,'Live History'!$D$5:$D$3004,1)),INDEX('AH History'!$C$1:$C$18046,AH!$P$7+62))),NA()),NA())</ns0:f>
        <ns0:v>288.96</ns0:v>
      </ns0:c>
      <ns0:c r="E67" s="1">
        <ns0:f>IFERROR(IF(ISNUMBER($A67),IF(AND(AH!$P$10=1,AH!$P$12=1,$A67=TODAY()),AH!$P$20,IF(AH!$P$10=1,INDEX('Live History'!$H$5:$H$3004,MATCH($A67,'Live History'!$G$5:$G$3004,1)),INDEX('AH History'!$D$1:$D$18046,AH!$P$7+62))),NA()),NA())</ns0:f>
        <ns0:v>1.1466050148010254</ns0:v>
      </ns0:c>
      <ns0:c r="F67" s="1">
        <ns0:f>IFERROR(IF(ISNUMBER($A67),IF(AND(AH!$P$10=1,AH!$P$12=1,$A67=TODAY()),IF(AND(AH!$P$10=1,AH!$P$12=1,$A67=TODAY()),TODAY(),NA()),IF(AH!$P$10=1,INDEX('Live History'!$D$5:$D$3004,MATCH($A67,'Live History'!$D$5:$D$3004,1)),INDEX('AH History'!$E$1:$E$18046,AH!$P$7+62))),NA()),NA())</ns0:f>
        <ns0:v>46129</ns0:v>
      </ns0:c>
      <ns0:c r="G67" s="1">
        <ns0:f>IFERROR(IF(ISNUMBER($A67),IF(AND(AH!$P$10=1,AH!$P$12=1,$A67=TODAY()),IF(AND(AH!$P$10=1,AH!$P$12=1,$A67=TODAY()),TODAY(),NA()),IF(AH!$P$10=1,INDEX('Live History'!$G$5:$G$3004,MATCH($A67,'Live History'!$G$5:$G$3004,1)),INDEX('AH History'!$F$1:$F$18046,AH!$P$7+62))),NA()),NA())</ns0:f>
        <ns0:v>46129</ns0:v>
      </ns0:c>
      <ns0:c r="H67" s="1">
        <ns0:f>IFERROR(IF(AND(AH!$E$4="Bloomberg",AH!$P$10=1,ISNUMBER($A67),$A67&lt;=AH!$P$17),AH!$P$7-1+MATCH($A67,INDEX('AH History'!$A$1:$A$18046,AH!$P$7):INDEX('AH History'!$A$1:$A$18046,AH!$P$7+AH!$P$8-1),0),0),0)</ns0:f>
        <ns0:v/>
      </ns0:c>
      <ns0:c r="I67" s="1">
        <ns0:f>IF($H67=0,0,IFERROR(IF(AND(ABS($C67-INDEX('AH History'!$B$1:$B$18046,$H67))&lt;=MAX(0.005,ABS(INDEX('AH History'!$B$1:$B$18046,$H67))*0.00005),ABS($D67-INDEX('AH History'!$C$1:$C$18046,$H67))&lt;=MAX(0.005,ABS(INDEX('AH History'!$C$1:$C$18046,$H67))*0.00005),ABS($E67-INDEX('AH History'!$D$1:$D$18046,$H67))&lt;=0.00005,$F67=INDEX('AH History'!$E$1:$E$18046,$H67),$G67=INDEX('AH History'!$F$1:$F$18046,$H67)),1,-1),-1))</ns0:f>
        <ns0:v/>
      </ns0:c>
      <ns0:c r="J67" s="1" t="n"/>
      <ns0:c r="K67" s="1" t="n"/>
      <ns0:c r="L67" s="1" t="n"/>
      <ns0:c r="M67" s="1" t="n"/>
      <ns0:c r="N67" s="1" t="n"/>
      <ns0:c r="O67" s="1" t="n"/>
      <ns0:c r="P67" s="1" t="n"/>
      <ns0:c r="Q67" s="1" t="n"/>
    </ns0:row>
    <ns0:row r="68" ht="22" customHeight="1">
      <ns0:c r="A68" s="217">
        <ns0:f>IF(OR(AH!$P$3=0,63+1&gt;AH!$P$11,AND(AH!$E$4&lt;&gt;"Stored",AH!$P$10&lt;&gt;1)),"",IFERROR(IF(AND(AH!$P$21=1,63+1=AH!$P$11),TODAY(),IF(AH!$P$10=1,INDEX('Live History'!$A$5:$A$3004,AH!$P$13+63),INDEX('AH History'!$A$1:$A$18046,AH!$P$7+63))),""))</ns0:f>
        <ns0:v>46132</ns0:v>
      </ns0:c>
      <ns0:c r="B68" s="218">
        <ns0:f>IFERROR(IF(AND(AH!$P$9&lt;&gt;1,$C68&gt;0,$D68&gt;0,$E68&gt;0,$F68&gt;0,$G68&gt;0,$F68&lt;=$A68,$G68&lt;=$A68,$A68-$F68&lt;=10,$A68-$G68&lt;=5),$D68*$E68/$C68-1,NA()),NA())</ns0:f>
        <ns0:v>-0.21124161811585118</ns0:v>
      </ns0:c>
      <ns0:c r="C68" s="1">
        <ns0:f>IFERROR(IF(ISNUMBER($A68),IF(AND(AH!$P$10=1,AH!$P$12=1,$A68=TODAY()),AH!$P$19,IF(AH!$P$10=1,INDEX('Live History'!$B$5:$B$3004,AH!$P$13+63),INDEX('AH History'!$B$1:$B$18046,AH!$P$7+63))),NA()),NA())</ns0:f>
        <ns0:v>423.0</ns0:v>
      </ns0:c>
      <ns0:c r="D68" s="1">
        <ns0:f>IFERROR(IF(ISNUMBER($A68),IF(AND(AH!$P$10=1,AH!$P$12=1,$A68=TODAY()),AH!$P$18,IF(AH!$P$10=1,INDEX('Live History'!$E$5:$E$3004,MATCH($A68,'Live History'!$D$5:$D$3004,1)),INDEX('AH History'!$C$1:$C$18046,AH!$P$7+63))),NA()),NA())</ns0:f>
        <ns0:v>290.54</ns0:v>
      </ns0:c>
      <ns0:c r="E68" s="1">
        <ns0:f>IFERROR(IF(ISNUMBER($A68),IF(AND(AH!$P$10=1,AH!$P$12=1,$A68=TODAY()),AH!$P$20,IF(AH!$P$10=1,INDEX('Live History'!$H$5:$H$3004,MATCH($A68,'Live History'!$G$5:$G$3004,1)),INDEX('AH History'!$D$1:$D$18046,AH!$P$7+63))),NA()),NA())</ns0:f>
        <ns0:v>1.1483609676361084</ns0:v>
      </ns0:c>
      <ns0:c r="F68" s="1">
        <ns0:f>IFERROR(IF(ISNUMBER($A68),IF(AND(AH!$P$10=1,AH!$P$12=1,$A68=TODAY()),IF(AND(AH!$P$10=1,AH!$P$12=1,$A68=TODAY()),TODAY(),NA()),IF(AH!$P$10=1,INDEX('Live History'!$D$5:$D$3004,MATCH($A68,'Live History'!$D$5:$D$3004,1)),INDEX('AH History'!$E$1:$E$18046,AH!$P$7+63))),NA()),NA())</ns0:f>
        <ns0:v>46132</ns0:v>
      </ns0:c>
      <ns0:c r="G68" s="1">
        <ns0:f>IFERROR(IF(ISNUMBER($A68),IF(AND(AH!$P$10=1,AH!$P$12=1,$A68=TODAY()),IF(AND(AH!$P$10=1,AH!$P$12=1,$A68=TODAY()),TODAY(),NA()),IF(AH!$P$10=1,INDEX('Live History'!$G$5:$G$3004,MATCH($A68,'Live History'!$G$5:$G$3004,1)),INDEX('AH History'!$F$1:$F$18046,AH!$P$7+63))),NA()),NA())</ns0:f>
        <ns0:v>46132</ns0:v>
      </ns0:c>
      <ns0:c r="H68" s="1">
        <ns0:f>IFERROR(IF(AND(AH!$E$4="Bloomberg",AH!$P$10=1,ISNUMBER($A68),$A68&lt;=AH!$P$17),AH!$P$7-1+MATCH($A68,INDEX('AH History'!$A$1:$A$18046,AH!$P$7):INDEX('AH History'!$A$1:$A$18046,AH!$P$7+AH!$P$8-1),0),0),0)</ns0:f>
        <ns0:v/>
      </ns0:c>
      <ns0:c r="I68" s="1">
        <ns0:f>IF($H68=0,0,IFERROR(IF(AND(ABS($C68-INDEX('AH History'!$B$1:$B$18046,$H68))&lt;=MAX(0.005,ABS(INDEX('AH History'!$B$1:$B$18046,$H68))*0.00005),ABS($D68-INDEX('AH History'!$C$1:$C$18046,$H68))&lt;=MAX(0.005,ABS(INDEX('AH History'!$C$1:$C$18046,$H68))*0.00005),ABS($E68-INDEX('AH History'!$D$1:$D$18046,$H68))&lt;=0.00005,$F68=INDEX('AH History'!$E$1:$E$18046,$H68),$G68=INDEX('AH History'!$F$1:$F$18046,$H68)),1,-1),-1))</ns0:f>
        <ns0:v/>
      </ns0:c>
      <ns0:c r="J68" s="1" t="n"/>
      <ns0:c r="K68" s="1" t="n"/>
      <ns0:c r="L68" s="1" t="n"/>
      <ns0:c r="M68" s="1" t="n"/>
      <ns0:c r="N68" s="1" t="n"/>
      <ns0:c r="O68" s="1" t="n"/>
      <ns0:c r="P68" s="1" t="n"/>
      <ns0:c r="Q68" s="1" t="n"/>
    </ns0:row>
    <ns0:row r="69" ht="22" customHeight="1">
      <ns0:c r="A69" s="217">
        <ns0:f>IF(OR(AH!$P$3=0,64+1&gt;AH!$P$11,AND(AH!$E$4&lt;&gt;"Stored",AH!$P$10&lt;&gt;1)),"",IFERROR(IF(AND(AH!$P$21=1,64+1=AH!$P$11),TODAY(),IF(AH!$P$10=1,INDEX('Live History'!$A$5:$A$3004,AH!$P$13+64),INDEX('AH History'!$A$1:$A$18046,AH!$P$7+64))),""))</ns0:f>
        <ns0:v>46133</ns0:v>
      </ns0:c>
      <ns0:c r="B69" s="218">
        <ns0:f>IFERROR(IF(AND(AH!$P$9&lt;&gt;1,$C69&gt;0,$D69&gt;0,$E69&gt;0,$F69&gt;0,$G69&gt;0,$F69&lt;=$A69,$G69&lt;=$A69,$A69-$F69&lt;=10,$A69-$G69&lt;=5),$D69*$E69/$C69-1,NA()),NA())</ns0:f>
        <ns0:v>-0.20247014135730512</ns0:v>
      </ns0:c>
      <ns0:c r="C69" s="1">
        <ns0:f>IFERROR(IF(ISNUMBER($A69),IF(AND(AH!$P$10=1,AH!$P$12=1,$A69=TODAY()),AH!$P$19,IF(AH!$P$10=1,INDEX('Live History'!$B$5:$B$3004,AH!$P$13+64),INDEX('AH History'!$B$1:$B$18046,AH!$P$7+64))),NA()),NA())</ns0:f>
        <ns0:v>441.0</ns0:v>
      </ns0:c>
      <ns0:c r="D69" s="1">
        <ns0:f>IFERROR(IF(ISNUMBER($A69),IF(AND(AH!$P$10=1,AH!$P$12=1,$A69=TODAY()),AH!$P$18,IF(AH!$P$10=1,INDEX('Live History'!$E$5:$E$3004,MATCH($A69,'Live History'!$D$5:$D$3004,1)),INDEX('AH History'!$C$1:$C$18046,AH!$P$7+64))),NA()),NA())</ns0:f>
        <ns0:v>306.27</ns0:v>
      </ns0:c>
      <ns0:c r="E69" s="1">
        <ns0:f>IFERROR(IF(ISNUMBER($A69),IF(AND(AH!$P$10=1,AH!$P$12=1,$A69=TODAY()),AH!$P$20,IF(AH!$P$10=1,INDEX('Live History'!$H$5:$H$3004,MATCH($A69,'Live History'!$G$5:$G$3004,1)),INDEX('AH History'!$D$1:$D$18046,AH!$P$7+64))),NA()),NA())</ns0:f>
        <ns0:v>1.148368000984192</ns0:v>
      </ns0:c>
      <ns0:c r="F69" s="1">
        <ns0:f>IFERROR(IF(ISNUMBER($A69),IF(AND(AH!$P$10=1,AH!$P$12=1,$A69=TODAY()),IF(AND(AH!$P$10=1,AH!$P$12=1,$A69=TODAY()),TODAY(),NA()),IF(AH!$P$10=1,INDEX('Live History'!$D$5:$D$3004,MATCH($A69,'Live History'!$D$5:$D$3004,1)),INDEX('AH History'!$E$1:$E$18046,AH!$P$7+64))),NA()),NA())</ns0:f>
        <ns0:v>46133</ns0:v>
      </ns0:c>
      <ns0:c r="G69" s="1">
        <ns0:f>IFERROR(IF(ISNUMBER($A69),IF(AND(AH!$P$10=1,AH!$P$12=1,$A69=TODAY()),IF(AND(AH!$P$10=1,AH!$P$12=1,$A69=TODAY()),TODAY(),NA()),IF(AH!$P$10=1,INDEX('Live History'!$G$5:$G$3004,MATCH($A69,'Live History'!$G$5:$G$3004,1)),INDEX('AH History'!$F$1:$F$18046,AH!$P$7+64))),NA()),NA())</ns0:f>
        <ns0:v>46133</ns0:v>
      </ns0:c>
      <ns0:c r="H69" s="1">
        <ns0:f>IFERROR(IF(AND(AH!$E$4="Bloomberg",AH!$P$10=1,ISNUMBER($A69),$A69&lt;=AH!$P$17),AH!$P$7-1+MATCH($A69,INDEX('AH History'!$A$1:$A$18046,AH!$P$7):INDEX('AH History'!$A$1:$A$18046,AH!$P$7+AH!$P$8-1),0),0),0)</ns0:f>
        <ns0:v/>
      </ns0:c>
      <ns0:c r="I69" s="1">
        <ns0:f>IF($H69=0,0,IFERROR(IF(AND(ABS($C69-INDEX('AH History'!$B$1:$B$18046,$H69))&lt;=MAX(0.005,ABS(INDEX('AH History'!$B$1:$B$18046,$H69))*0.00005),ABS($D69-INDEX('AH History'!$C$1:$C$18046,$H69))&lt;=MAX(0.005,ABS(INDEX('AH History'!$C$1:$C$18046,$H69))*0.00005),ABS($E69-INDEX('AH History'!$D$1:$D$18046,$H69))&lt;=0.00005,$F69=INDEX('AH History'!$E$1:$E$18046,$H69),$G69=INDEX('AH History'!$F$1:$F$18046,$H69)),1,-1),-1))</ns0:f>
        <ns0:v/>
      </ns0:c>
      <ns0:c r="J69" s="1" t="n"/>
      <ns0:c r="K69" s="1" t="n"/>
      <ns0:c r="L69" s="1" t="n"/>
      <ns0:c r="M69" s="1" t="n"/>
      <ns0:c r="N69" s="1" t="n"/>
      <ns0:c r="O69" s="1" t="n"/>
      <ns0:c r="P69" s="1" t="n"/>
      <ns0:c r="Q69" s="1" t="n"/>
    </ns0:row>
    <ns0:row r="70" ht="22" customHeight="1">
      <ns0:c r="A70" s="217">
        <ns0:f>IF(OR(AH!$P$3=0,65+1&gt;AH!$P$11,AND(AH!$E$4&lt;&gt;"Stored",AH!$P$10&lt;&gt;1)),"",IFERROR(IF(AND(AH!$P$21=1,65+1=AH!$P$11),TODAY(),IF(AH!$P$10=1,INDEX('Live History'!$A$5:$A$3004,AH!$P$13+65),INDEX('AH History'!$A$1:$A$18046,AH!$P$7+65))),""))</ns0:f>
        <ns0:v>46134</ns0:v>
      </ns0:c>
      <ns0:c r="B70" s="218">
        <ns0:f>IFERROR(IF(AND(AH!$P$9&lt;&gt;1,$C70&gt;0,$D70&gt;0,$E70&gt;0,$F70&gt;0,$G70&gt;0,$F70&lt;=$A70,$G70&lt;=$A70,$A70-$F70&lt;=10,$A70-$G70&lt;=5),$D70*$E70/$C70-1,NA()),NA())</ns0:f>
        <ns0:v>-0.19911450317700696</ns0:v>
      </ns0:c>
      <ns0:c r="C70" s="1">
        <ns0:f>IFERROR(IF(ISNUMBER($A70),IF(AND(AH!$P$10=1,AH!$P$12=1,$A70=TODAY()),AH!$P$19,IF(AH!$P$10=1,INDEX('Live History'!$B$5:$B$3004,AH!$P$13+65),INDEX('AH History'!$B$1:$B$18046,AH!$P$7+65))),NA()),NA())</ns0:f>
        <ns0:v>450.0</ns0:v>
      </ns0:c>
      <ns0:c r="D70" s="1">
        <ns0:f>IFERROR(IF(ISNUMBER($A70),IF(AND(AH!$P$10=1,AH!$P$12=1,$A70=TODAY()),AH!$P$18,IF(AH!$P$10=1,INDEX('Live History'!$E$5:$E$3004,MATCH($A70,'Live History'!$D$5:$D$3004,1)),INDEX('AH History'!$C$1:$C$18046,AH!$P$7+65))),NA()),NA())</ns0:f>
        <ns0:v>313.98</ns0:v>
      </ns0:c>
      <ns0:c r="E70" s="1">
        <ns0:f>IFERROR(IF(ISNUMBER($A70),IF(AND(AH!$P$10=1,AH!$P$12=1,$A70=TODAY()),AH!$P$20,IF(AH!$P$10=1,INDEX('Live History'!$H$5:$H$3004,MATCH($A70,'Live History'!$G$5:$G$3004,1)),INDEX('AH History'!$D$1:$D$18046,AH!$P$7+65))),NA()),NA())</ns0:f>
        <ns0:v>1.1478389501571655</ns0:v>
      </ns0:c>
      <ns0:c r="F70" s="1">
        <ns0:f>IFERROR(IF(ISNUMBER($A70),IF(AND(AH!$P$10=1,AH!$P$12=1,$A70=TODAY()),IF(AND(AH!$P$10=1,AH!$P$12=1,$A70=TODAY()),TODAY(),NA()),IF(AH!$P$10=1,INDEX('Live History'!$D$5:$D$3004,MATCH($A70,'Live History'!$D$5:$D$3004,1)),INDEX('AH History'!$E$1:$E$18046,AH!$P$7+65))),NA()),NA())</ns0:f>
        <ns0:v>46134</ns0:v>
      </ns0:c>
      <ns0:c r="G70" s="1">
        <ns0:f>IFERROR(IF(ISNUMBER($A70),IF(AND(AH!$P$10=1,AH!$P$12=1,$A70=TODAY()),IF(AND(AH!$P$10=1,AH!$P$12=1,$A70=TODAY()),TODAY(),NA()),IF(AH!$P$10=1,INDEX('Live History'!$G$5:$G$3004,MATCH($A70,'Live History'!$G$5:$G$3004,1)),INDEX('AH History'!$F$1:$F$18046,AH!$P$7+65))),NA()),NA())</ns0:f>
        <ns0:v>46134</ns0:v>
      </ns0:c>
      <ns0:c r="H70" s="1">
        <ns0:f>IFERROR(IF(AND(AH!$E$4="Bloomberg",AH!$P$10=1,ISNUMBER($A70),$A70&lt;=AH!$P$17),AH!$P$7-1+MATCH($A70,INDEX('AH History'!$A$1:$A$18046,AH!$P$7):INDEX('AH History'!$A$1:$A$18046,AH!$P$7+AH!$P$8-1),0),0),0)</ns0:f>
        <ns0:v/>
      </ns0:c>
      <ns0:c r="I70" s="1">
        <ns0:f>IF($H70=0,0,IFERROR(IF(AND(ABS($C70-INDEX('AH History'!$B$1:$B$18046,$H70))&lt;=MAX(0.005,ABS(INDEX('AH History'!$B$1:$B$18046,$H70))*0.00005),ABS($D70-INDEX('AH History'!$C$1:$C$18046,$H70))&lt;=MAX(0.005,ABS(INDEX('AH History'!$C$1:$C$18046,$H70))*0.00005),ABS($E70-INDEX('AH History'!$D$1:$D$18046,$H70))&lt;=0.00005,$F70=INDEX('AH History'!$E$1:$E$18046,$H70),$G70=INDEX('AH History'!$F$1:$F$18046,$H70)),1,-1),-1))</ns0:f>
        <ns0:v/>
      </ns0:c>
      <ns0:c r="J70" s="1" t="n"/>
      <ns0:c r="K70" s="1" t="n"/>
      <ns0:c r="L70" s="1" t="n"/>
      <ns0:c r="M70" s="1" t="n"/>
      <ns0:c r="N70" s="1" t="n"/>
      <ns0:c r="O70" s="1" t="n"/>
      <ns0:c r="P70" s="1" t="n"/>
      <ns0:c r="Q70" s="1" t="n"/>
    </ns0:row>
    <ns0:row r="71" ht="22" customHeight="1">
      <ns0:c r="A71" s="217">
        <ns0:f>IF(OR(AH!$P$3=0,66+1&gt;AH!$P$11,AND(AH!$E$4&lt;&gt;"Stored",AH!$P$10&lt;&gt;1)),"",IFERROR(IF(AND(AH!$P$21=1,66+1=AH!$P$11),TODAY(),IF(AH!$P$10=1,INDEX('Live History'!$A$5:$A$3004,AH!$P$13+66),INDEX('AH History'!$A$1:$A$18046,AH!$P$7+66))),""))</ns0:f>
        <ns0:v>46135</ns0:v>
      </ns0:c>
      <ns0:c r="B71" s="218">
        <ns0:f>IFERROR(IF(AND(AH!$P$9&lt;&gt;1,$C71&gt;0,$D71&gt;0,$E71&gt;0,$F71&gt;0,$G71&gt;0,$F71&lt;=$A71,$G71&lt;=$A71,$A71-$F71&lt;=10,$A71-$G71&lt;=5),$D71*$E71/$C71-1,NA()),NA())</ns0:f>
        <ns0:v>-0.22550493325671872</ns0:v>
      </ns0:c>
      <ns0:c r="C71" s="1">
        <ns0:f>IFERROR(IF(ISNUMBER($A71),IF(AND(AH!$P$10=1,AH!$P$12=1,$A71=TODAY()),AH!$P$19,IF(AH!$P$10=1,INDEX('Live History'!$B$5:$B$3004,AH!$P$13+66),INDEX('AH History'!$B$1:$B$18046,AH!$P$7+66))),NA()),NA())</ns0:f>
        <ns0:v>451.6</ns0:v>
      </ns0:c>
      <ns0:c r="D71" s="1">
        <ns0:f>IFERROR(IF(ISNUMBER($A71),IF(AND(AH!$P$10=1,AH!$P$12=1,$A71=TODAY()),AH!$P$18,IF(AH!$P$10=1,INDEX('Live History'!$E$5:$E$3004,MATCH($A71,'Live History'!$D$5:$D$3004,1)),INDEX('AH History'!$C$1:$C$18046,AH!$P$7+66))),NA()),NA())</ns0:f>
        <ns0:v>304.8</ns0:v>
      </ns0:c>
      <ns0:c r="E71" s="1">
        <ns0:f>IFERROR(IF(ISNUMBER($A71),IF(AND(AH!$P$10=1,AH!$P$12=1,$A71=TODAY()),AH!$P$20,IF(AH!$P$10=1,INDEX('Live History'!$H$5:$H$3004,MATCH($A71,'Live History'!$G$5:$G$3004,1)),INDEX('AH History'!$D$1:$D$18046,AH!$P$7+66))),NA()),NA())</ns0:f>
        <ns0:v>1.1475130319595337</ns0:v>
      </ns0:c>
      <ns0:c r="F71" s="1">
        <ns0:f>IFERROR(IF(ISNUMBER($A71),IF(AND(AH!$P$10=1,AH!$P$12=1,$A71=TODAY()),IF(AND(AH!$P$10=1,AH!$P$12=1,$A71=TODAY()),TODAY(),NA()),IF(AH!$P$10=1,INDEX('Live History'!$D$5:$D$3004,MATCH($A71,'Live History'!$D$5:$D$3004,1)),INDEX('AH History'!$E$1:$E$18046,AH!$P$7+66))),NA()),NA())</ns0:f>
        <ns0:v>46135</ns0:v>
      </ns0:c>
      <ns0:c r="G71" s="1">
        <ns0:f>IFERROR(IF(ISNUMBER($A71),IF(AND(AH!$P$10=1,AH!$P$12=1,$A71=TODAY()),IF(AND(AH!$P$10=1,AH!$P$12=1,$A71=TODAY()),TODAY(),NA()),IF(AH!$P$10=1,INDEX('Live History'!$G$5:$G$3004,MATCH($A71,'Live History'!$G$5:$G$3004,1)),INDEX('AH History'!$F$1:$F$18046,AH!$P$7+66))),NA()),NA())</ns0:f>
        <ns0:v>46135</ns0:v>
      </ns0:c>
      <ns0:c r="H71" s="1">
        <ns0:f>IFERROR(IF(AND(AH!$E$4="Bloomberg",AH!$P$10=1,ISNUMBER($A71),$A71&lt;=AH!$P$17),AH!$P$7-1+MATCH($A71,INDEX('AH History'!$A$1:$A$18046,AH!$P$7):INDEX('AH History'!$A$1:$A$18046,AH!$P$7+AH!$P$8-1),0),0),0)</ns0:f>
        <ns0:v/>
      </ns0:c>
      <ns0:c r="I71" s="1">
        <ns0:f>IF($H71=0,0,IFERROR(IF(AND(ABS($C71-INDEX('AH History'!$B$1:$B$18046,$H71))&lt;=MAX(0.005,ABS(INDEX('AH History'!$B$1:$B$18046,$H71))*0.00005),ABS($D71-INDEX('AH History'!$C$1:$C$18046,$H71))&lt;=MAX(0.005,ABS(INDEX('AH History'!$C$1:$C$18046,$H71))*0.00005),ABS($E71-INDEX('AH History'!$D$1:$D$18046,$H71))&lt;=0.00005,$F71=INDEX('AH History'!$E$1:$E$18046,$H71),$G71=INDEX('AH History'!$F$1:$F$18046,$H71)),1,-1),-1))</ns0:f>
        <ns0:v/>
      </ns0:c>
      <ns0:c r="J71" s="1" t="n"/>
      <ns0:c r="K71" s="1" t="n"/>
      <ns0:c r="L71" s="1" t="n"/>
      <ns0:c r="M71" s="1" t="n"/>
      <ns0:c r="N71" s="1" t="n"/>
      <ns0:c r="O71" s="1" t="n"/>
      <ns0:c r="P71" s="1" t="n"/>
      <ns0:c r="Q71" s="1" t="n"/>
    </ns0:row>
    <ns0:row r="72" ht="22" customHeight="1">
      <ns0:c r="A72" s="217">
        <ns0:f>IF(OR(AH!$P$3=0,67+1&gt;AH!$P$11,AND(AH!$E$4&lt;&gt;"Stored",AH!$P$10&lt;&gt;1)),"",IFERROR(IF(AND(AH!$P$21=1,67+1=AH!$P$11),TODAY(),IF(AH!$P$10=1,INDEX('Live History'!$A$5:$A$3004,AH!$P$13+67),INDEX('AH History'!$A$1:$A$18046,AH!$P$7+67))),""))</ns0:f>
        <ns0:v>46136</ns0:v>
      </ns0:c>
      <ns0:c r="B72" s="218">
        <ns0:f>IFERROR(IF(AND(AH!$P$9&lt;&gt;1,$C72&gt;0,$D72&gt;0,$E72&gt;0,$F72&gt;0,$G72&gt;0,$F72&lt;=$A72,$G72&lt;=$A72,$A72-$F72&lt;=10,$A72-$G72&lt;=5),$D72*$E72/$C72-1,NA()),NA())</ns0:f>
        <ns0:v>-0.2399382301314863</ns0:v>
      </ns0:c>
      <ns0:c r="C72" s="1">
        <ns0:f>IFERROR(IF(ISNUMBER($A72),IF(AND(AH!$P$10=1,AH!$P$12=1,$A72=TODAY()),AH!$P$19,IF(AH!$P$10=1,INDEX('Live History'!$B$5:$B$3004,AH!$P$13+67),INDEX('AH History'!$B$1:$B$18046,AH!$P$7+67))),NA()),NA())</ns0:f>
        <ns0:v>449.4</ns0:v>
      </ns0:c>
      <ns0:c r="D72" s="1">
        <ns0:f>IFERROR(IF(ISNUMBER($A72),IF(AND(AH!$P$10=1,AH!$P$12=1,$A72=TODAY()),AH!$P$18,IF(AH!$P$10=1,INDEX('Live History'!$E$5:$E$3004,MATCH($A72,'Live History'!$D$5:$D$3004,1)),INDEX('AH History'!$C$1:$C$18046,AH!$P$7+67))),NA()),NA())</ns0:f>
        <ns0:v>297.7</ns0:v>
      </ns0:c>
      <ns0:c r="E72" s="1">
        <ns0:f>IFERROR(IF(ISNUMBER($A72),IF(AND(AH!$P$10=1,AH!$P$12=1,$A72=TODAY()),AH!$P$20,IF(AH!$P$10=1,INDEX('Live History'!$H$5:$H$3004,MATCH($A72,'Live History'!$G$5:$G$3004,1)),INDEX('AH History'!$D$1:$D$18046,AH!$P$7+67))),NA()),NA())</ns0:f>
        <ns0:v>1.1473690271377563</ns0:v>
      </ns0:c>
      <ns0:c r="F72" s="1">
        <ns0:f>IFERROR(IF(ISNUMBER($A72),IF(AND(AH!$P$10=1,AH!$P$12=1,$A72=TODAY()),IF(AND(AH!$P$10=1,AH!$P$12=1,$A72=TODAY()),TODAY(),NA()),IF(AH!$P$10=1,INDEX('Live History'!$D$5:$D$3004,MATCH($A72,'Live History'!$D$5:$D$3004,1)),INDEX('AH History'!$E$1:$E$18046,AH!$P$7+67))),NA()),NA())</ns0:f>
        <ns0:v>46136</ns0:v>
      </ns0:c>
      <ns0:c r="G72" s="1">
        <ns0:f>IFERROR(IF(ISNUMBER($A72),IF(AND(AH!$P$10=1,AH!$P$12=1,$A72=TODAY()),IF(AND(AH!$P$10=1,AH!$P$12=1,$A72=TODAY()),TODAY(),NA()),IF(AH!$P$10=1,INDEX('Live History'!$G$5:$G$3004,MATCH($A72,'Live History'!$G$5:$G$3004,1)),INDEX('AH History'!$F$1:$F$18046,AH!$P$7+67))),NA()),NA())</ns0:f>
        <ns0:v>46136</ns0:v>
      </ns0:c>
      <ns0:c r="H72" s="1">
        <ns0:f>IFERROR(IF(AND(AH!$E$4="Bloomberg",AH!$P$10=1,ISNUMBER($A72),$A72&lt;=AH!$P$17),AH!$P$7-1+MATCH($A72,INDEX('AH History'!$A$1:$A$18046,AH!$P$7):INDEX('AH History'!$A$1:$A$18046,AH!$P$7+AH!$P$8-1),0),0),0)</ns0:f>
        <ns0:v/>
      </ns0:c>
      <ns0:c r="I72" s="1">
        <ns0:f>IF($H72=0,0,IFERROR(IF(AND(ABS($C72-INDEX('AH History'!$B$1:$B$18046,$H72))&lt;=MAX(0.005,ABS(INDEX('AH History'!$B$1:$B$18046,$H72))*0.00005),ABS($D72-INDEX('AH History'!$C$1:$C$18046,$H72))&lt;=MAX(0.005,ABS(INDEX('AH History'!$C$1:$C$18046,$H72))*0.00005),ABS($E72-INDEX('AH History'!$D$1:$D$18046,$H72))&lt;=0.00005,$F72=INDEX('AH History'!$E$1:$E$18046,$H72),$G72=INDEX('AH History'!$F$1:$F$18046,$H72)),1,-1),-1))</ns0:f>
        <ns0:v/>
      </ns0:c>
      <ns0:c r="J72" s="1" t="n"/>
      <ns0:c r="K72" s="1" t="n"/>
      <ns0:c r="L72" s="1" t="n"/>
      <ns0:c r="M72" s="1" t="n"/>
      <ns0:c r="N72" s="1" t="n"/>
      <ns0:c r="O72" s="1" t="n"/>
      <ns0:c r="P72" s="1" t="n"/>
      <ns0:c r="Q72" s="1" t="n"/>
    </ns0:row>
    <ns0:row r="73" ht="22" customHeight="1">
      <ns0:c r="A73" s="217">
        <ns0:f>IF(OR(AH!$P$3=0,68+1&gt;AH!$P$11,AND(AH!$E$4&lt;&gt;"Stored",AH!$P$10&lt;&gt;1)),"",IFERROR(IF(AND(AH!$P$21=1,68+1=AH!$P$11),TODAY(),IF(AH!$P$10=1,INDEX('Live History'!$A$5:$A$3004,AH!$P$13+68),INDEX('AH History'!$A$1:$A$18046,AH!$P$7+68))),""))</ns0:f>
        <ns0:v>46139</ns0:v>
      </ns0:c>
      <ns0:c r="B73" s="218">
        <ns0:f>IFERROR(IF(AND(AH!$P$9&lt;&gt;1,$C73&gt;0,$D73&gt;0,$E73&gt;0,$F73&gt;0,$G73&gt;0,$F73&lt;=$A73,$G73&lt;=$A73,$A73-$F73&lt;=10,$A73-$G73&lt;=5),$D73*$E73/$C73-1,NA()),NA())</ns0:f>
        <ns0:v>-0.23070809006690984</ns0:v>
      </ns0:c>
      <ns0:c r="C73" s="1">
        <ns0:f>IFERROR(IF(ISNUMBER($A73),IF(AND(AH!$P$10=1,AH!$P$12=1,$A73=TODAY()),AH!$P$19,IF(AH!$P$10=1,INDEX('Live History'!$B$5:$B$3004,AH!$P$13+68),INDEX('AH History'!$B$1:$B$18046,AH!$P$7+68))),NA()),NA())</ns0:f>
        <ns0:v>452.0</ns0:v>
      </ns0:c>
      <ns0:c r="D73" s="1">
        <ns0:f>IFERROR(IF(ISNUMBER($A73),IF(AND(AH!$P$10=1,AH!$P$12=1,$A73=TODAY()),AH!$P$18,IF(AH!$P$10=1,INDEX('Live History'!$E$5:$E$3004,MATCH($A73,'Live History'!$D$5:$D$3004,1)),INDEX('AH History'!$C$1:$C$18046,AH!$P$7+68))),NA()),NA())</ns0:f>
        <ns0:v>303.42</ns0:v>
      </ns0:c>
      <ns0:c r="E73" s="1">
        <ns0:f>IFERROR(IF(ISNUMBER($A73),IF(AND(AH!$P$10=1,AH!$P$12=1,$A73=TODAY()),AH!$P$20,IF(AH!$P$10=1,INDEX('Live History'!$H$5:$H$3004,MATCH($A73,'Live History'!$G$5:$G$3004,1)),INDEX('AH History'!$D$1:$D$18046,AH!$P$7+68))),NA()),NA())</ns0:f>
        <ns0:v>1.1460020542144775</ns0:v>
      </ns0:c>
      <ns0:c r="F73" s="1">
        <ns0:f>IFERROR(IF(ISNUMBER($A73),IF(AND(AH!$P$10=1,AH!$P$12=1,$A73=TODAY()),IF(AND(AH!$P$10=1,AH!$P$12=1,$A73=TODAY()),TODAY(),NA()),IF(AH!$P$10=1,INDEX('Live History'!$D$5:$D$3004,MATCH($A73,'Live History'!$D$5:$D$3004,1)),INDEX('AH History'!$E$1:$E$18046,AH!$P$7+68))),NA()),NA())</ns0:f>
        <ns0:v>46139</ns0:v>
      </ns0:c>
      <ns0:c r="G73" s="1">
        <ns0:f>IFERROR(IF(ISNUMBER($A73),IF(AND(AH!$P$10=1,AH!$P$12=1,$A73=TODAY()),IF(AND(AH!$P$10=1,AH!$P$12=1,$A73=TODAY()),TODAY(),NA()),IF(AH!$P$10=1,INDEX('Live History'!$G$5:$G$3004,MATCH($A73,'Live History'!$G$5:$G$3004,1)),INDEX('AH History'!$F$1:$F$18046,AH!$P$7+68))),NA()),NA())</ns0:f>
        <ns0:v>46139</ns0:v>
      </ns0:c>
      <ns0:c r="H73" s="1">
        <ns0:f>IFERROR(IF(AND(AH!$E$4="Bloomberg",AH!$P$10=1,ISNUMBER($A73),$A73&lt;=AH!$P$17),AH!$P$7-1+MATCH($A73,INDEX('AH History'!$A$1:$A$18046,AH!$P$7):INDEX('AH History'!$A$1:$A$18046,AH!$P$7+AH!$P$8-1),0),0),0)</ns0:f>
        <ns0:v/>
      </ns0:c>
      <ns0:c r="I73" s="1">
        <ns0:f>IF($H73=0,0,IFERROR(IF(AND(ABS($C73-INDEX('AH History'!$B$1:$B$18046,$H73))&lt;=MAX(0.005,ABS(INDEX('AH History'!$B$1:$B$18046,$H73))*0.00005),ABS($D73-INDEX('AH History'!$C$1:$C$18046,$H73))&lt;=MAX(0.005,ABS(INDEX('AH History'!$C$1:$C$18046,$H73))*0.00005),ABS($E73-INDEX('AH History'!$D$1:$D$18046,$H73))&lt;=0.00005,$F73=INDEX('AH History'!$E$1:$E$18046,$H73),$G73=INDEX('AH History'!$F$1:$F$18046,$H73)),1,-1),-1))</ns0:f>
        <ns0:v/>
      </ns0:c>
      <ns0:c r="J73" s="1" t="n"/>
      <ns0:c r="K73" s="1" t="n"/>
      <ns0:c r="L73" s="1" t="n"/>
      <ns0:c r="M73" s="1" t="n"/>
      <ns0:c r="N73" s="1" t="n"/>
      <ns0:c r="O73" s="1" t="n"/>
      <ns0:c r="P73" s="1" t="n"/>
      <ns0:c r="Q73" s="1" t="n"/>
    </ns0:row>
    <ns0:row r="74" ht="22" customHeight="1">
      <ns0:c r="A74" s="217">
        <ns0:f>IF(OR(AH!$P$3=0,69+1&gt;AH!$P$11,AND(AH!$E$4&lt;&gt;"Stored",AH!$P$10&lt;&gt;1)),"",IFERROR(IF(AND(AH!$P$21=1,69+1=AH!$P$11),TODAY(),IF(AH!$P$10=1,INDEX('Live History'!$A$5:$A$3004,AH!$P$13+69),INDEX('AH History'!$A$1:$A$18046,AH!$P$7+69))),""))</ns0:f>
        <ns0:v>46140</ns0:v>
      </ns0:c>
      <ns0:c r="B74" s="218">
        <ns0:f>IFERROR(IF(AND(AH!$P$9&lt;&gt;1,$C74&gt;0,$D74&gt;0,$E74&gt;0,$F74&gt;0,$G74&gt;0,$F74&lt;=$A74,$G74&lt;=$A74,$A74-$F74&lt;=10,$A74-$G74&lt;=5),$D74*$E74/$C74-1,NA()),NA())</ns0:f>
        <ns0:v>-0.20671491248588358</ns0:v>
      </ns0:c>
      <ns0:c r="C74" s="1">
        <ns0:f>IFERROR(IF(ISNUMBER($A74),IF(AND(AH!$P$10=1,AH!$P$12=1,$A74=TODAY()),AH!$P$19,IF(AH!$P$10=1,INDEX('Live History'!$B$5:$B$3004,AH!$P$13+69),INDEX('AH History'!$B$1:$B$18046,AH!$P$7+69))),NA()),NA())</ns0:f>
        <ns0:v>445.2</ns0:v>
      </ns0:c>
      <ns0:c r="D74" s="1">
        <ns0:f>IFERROR(IF(ISNUMBER($A74),IF(AND(AH!$P$10=1,AH!$P$12=1,$A74=TODAY()),AH!$P$18,IF(AH!$P$10=1,INDEX('Live History'!$E$5:$E$3004,MATCH($A74,'Live History'!$D$5:$D$3004,1)),INDEX('AH History'!$C$1:$C$18046,AH!$P$7+69))),NA()),NA())</ns0:f>
        <ns0:v>307.5</ns0:v>
      </ns0:c>
      <ns0:c r="E74" s="1">
        <ns0:f>IFERROR(IF(ISNUMBER($A74),IF(AND(AH!$P$10=1,AH!$P$12=1,$A74=TODAY()),AH!$P$20,IF(AH!$P$10=1,INDEX('Live History'!$H$5:$H$3004,MATCH($A74,'Live History'!$G$5:$G$3004,1)),INDEX('AH History'!$D$1:$D$18046,AH!$P$7+69))),NA()),NA())</ns0:f>
        <ns0:v>1.1485220193862915</ns0:v>
      </ns0:c>
      <ns0:c r="F74" s="1">
        <ns0:f>IFERROR(IF(ISNUMBER($A74),IF(AND(AH!$P$10=1,AH!$P$12=1,$A74=TODAY()),IF(AND(AH!$P$10=1,AH!$P$12=1,$A74=TODAY()),TODAY(),NA()),IF(AH!$P$10=1,INDEX('Live History'!$D$5:$D$3004,MATCH($A74,'Live History'!$D$5:$D$3004,1)),INDEX('AH History'!$E$1:$E$18046,AH!$P$7+69))),NA()),NA())</ns0:f>
        <ns0:v>46140</ns0:v>
      </ns0:c>
      <ns0:c r="G74" s="1">
        <ns0:f>IFERROR(IF(ISNUMBER($A74),IF(AND(AH!$P$10=1,AH!$P$12=1,$A74=TODAY()),IF(AND(AH!$P$10=1,AH!$P$12=1,$A74=TODAY()),TODAY(),NA()),IF(AH!$P$10=1,INDEX('Live History'!$G$5:$G$3004,MATCH($A74,'Live History'!$G$5:$G$3004,1)),INDEX('AH History'!$F$1:$F$18046,AH!$P$7+69))),NA()),NA())</ns0:f>
        <ns0:v>46140</ns0:v>
      </ns0:c>
      <ns0:c r="H74" s="1">
        <ns0:f>IFERROR(IF(AND(AH!$E$4="Bloomberg",AH!$P$10=1,ISNUMBER($A74),$A74&lt;=AH!$P$17),AH!$P$7-1+MATCH($A74,INDEX('AH History'!$A$1:$A$18046,AH!$P$7):INDEX('AH History'!$A$1:$A$18046,AH!$P$7+AH!$P$8-1),0),0),0)</ns0:f>
        <ns0:v/>
      </ns0:c>
      <ns0:c r="I74" s="1">
        <ns0:f>IF($H74=0,0,IFERROR(IF(AND(ABS($C74-INDEX('AH History'!$B$1:$B$18046,$H74))&lt;=MAX(0.005,ABS(INDEX('AH History'!$B$1:$B$18046,$H74))*0.00005),ABS($D74-INDEX('AH History'!$C$1:$C$18046,$H74))&lt;=MAX(0.005,ABS(INDEX('AH History'!$C$1:$C$18046,$H74))*0.00005),ABS($E74-INDEX('AH History'!$D$1:$D$18046,$H74))&lt;=0.00005,$F74=INDEX('AH History'!$E$1:$E$18046,$H74),$G74=INDEX('AH History'!$F$1:$F$18046,$H74)),1,-1),-1))</ns0:f>
        <ns0:v/>
      </ns0:c>
      <ns0:c r="J74" s="1" t="n"/>
      <ns0:c r="K74" s="1" t="n"/>
      <ns0:c r="L74" s="1" t="n"/>
      <ns0:c r="M74" s="1" t="n"/>
      <ns0:c r="N74" s="1" t="n"/>
      <ns0:c r="O74" s="1" t="n"/>
      <ns0:c r="P74" s="1" t="n"/>
      <ns0:c r="Q74" s="1" t="n"/>
    </ns0:row>
    <ns0:row r="75" ht="22" customHeight="1">
      <ns0:c r="A75" s="217">
        <ns0:f>IF(OR(AH!$P$3=0,70+1&gt;AH!$P$11,AND(AH!$E$4&lt;&gt;"Stored",AH!$P$10&lt;&gt;1)),"",IFERROR(IF(AND(AH!$P$21=1,70+1=AH!$P$11),TODAY(),IF(AH!$P$10=1,INDEX('Live History'!$A$5:$A$3004,AH!$P$13+70),INDEX('AH History'!$A$1:$A$18046,AH!$P$7+70))),""))</ns0:f>
        <ns0:v>46141</ns0:v>
      </ns0:c>
      <ns0:c r="B75" s="218">
        <ns0:f>IFERROR(IF(AND(AH!$P$9&lt;&gt;1,$C75&gt;0,$D75&gt;0,$E75&gt;0,$F75&gt;0,$G75&gt;0,$F75&lt;=$A75,$G75&lt;=$A75,$A75-$F75&lt;=10,$A75-$G75&lt;=5),$D75*$E75/$C75-1,NA()),NA())</ns0:f>
        <ns0:v>-0.25792835465517183</ns0:v>
      </ns0:c>
      <ns0:c r="C75" s="1">
        <ns0:f>IFERROR(IF(ISNUMBER($A75),IF(AND(AH!$P$10=1,AH!$P$12=1,$A75=TODAY()),AH!$P$19,IF(AH!$P$10=1,INDEX('Live History'!$B$5:$B$3004,AH!$P$13+70),INDEX('AH History'!$B$1:$B$18046,AH!$P$7+70))),NA()),NA())</ns0:f>
        <ns0:v>477.0</ns0:v>
      </ns0:c>
      <ns0:c r="D75" s="1">
        <ns0:f>IFERROR(IF(ISNUMBER($A75),IF(AND(AH!$P$10=1,AH!$P$12=1,$A75=TODAY()),AH!$P$18,IF(AH!$P$10=1,INDEX('Live History'!$E$5:$E$3004,MATCH($A75,'Live History'!$D$5:$D$3004,1)),INDEX('AH History'!$C$1:$C$18046,AH!$P$7+70))),NA()),NA())</ns0:f>
        <ns0:v>308.89</ns0:v>
      </ns0:c>
      <ns0:c r="E75" s="1">
        <ns0:f>IFERROR(IF(ISNUMBER($A75),IF(AND(AH!$P$10=1,AH!$P$12=1,$A75=TODAY()),AH!$P$20,IF(AH!$P$10=1,INDEX('Live History'!$H$5:$H$3004,MATCH($A75,'Live History'!$G$5:$G$3004,1)),INDEX('AH History'!$D$1:$D$18046,AH!$P$7+70))),NA()),NA())</ns0:f>
        <ns0:v>1.1459360122680664</ns0:v>
      </ns0:c>
      <ns0:c r="F75" s="1">
        <ns0:f>IFERROR(IF(ISNUMBER($A75),IF(AND(AH!$P$10=1,AH!$P$12=1,$A75=TODAY()),IF(AND(AH!$P$10=1,AH!$P$12=1,$A75=TODAY()),TODAY(),NA()),IF(AH!$P$10=1,INDEX('Live History'!$D$5:$D$3004,MATCH($A75,'Live History'!$D$5:$D$3004,1)),INDEX('AH History'!$E$1:$E$18046,AH!$P$7+70))),NA()),NA())</ns0:f>
        <ns0:v>46141</ns0:v>
      </ns0:c>
      <ns0:c r="G75" s="1">
        <ns0:f>IFERROR(IF(ISNUMBER($A75),IF(AND(AH!$P$10=1,AH!$P$12=1,$A75=TODAY()),IF(AND(AH!$P$10=1,AH!$P$12=1,$A75=TODAY()),TODAY(),NA()),IF(AH!$P$10=1,INDEX('Live History'!$G$5:$G$3004,MATCH($A75,'Live History'!$G$5:$G$3004,1)),INDEX('AH History'!$F$1:$F$18046,AH!$P$7+70))),NA()),NA())</ns0:f>
        <ns0:v>46141</ns0:v>
      </ns0:c>
      <ns0:c r="H75" s="1">
        <ns0:f>IFERROR(IF(AND(AH!$E$4="Bloomberg",AH!$P$10=1,ISNUMBER($A75),$A75&lt;=AH!$P$17),AH!$P$7-1+MATCH($A75,INDEX('AH History'!$A$1:$A$18046,AH!$P$7):INDEX('AH History'!$A$1:$A$18046,AH!$P$7+AH!$P$8-1),0),0),0)</ns0:f>
        <ns0:v/>
      </ns0:c>
      <ns0:c r="I75" s="1">
        <ns0:f>IF($H75=0,0,IFERROR(IF(AND(ABS($C75-INDEX('AH History'!$B$1:$B$18046,$H75))&lt;=MAX(0.005,ABS(INDEX('AH History'!$B$1:$B$18046,$H75))*0.00005),ABS($D75-INDEX('AH History'!$C$1:$C$18046,$H75))&lt;=MAX(0.005,ABS(INDEX('AH History'!$C$1:$C$18046,$H75))*0.00005),ABS($E75-INDEX('AH History'!$D$1:$D$18046,$H75))&lt;=0.00005,$F75=INDEX('AH History'!$E$1:$E$18046,$H75),$G75=INDEX('AH History'!$F$1:$F$18046,$H75)),1,-1),-1))</ns0:f>
        <ns0:v/>
      </ns0:c>
      <ns0:c r="J75" s="1" t="n"/>
      <ns0:c r="K75" s="1" t="n"/>
      <ns0:c r="L75" s="1" t="n"/>
      <ns0:c r="M75" s="1" t="n"/>
      <ns0:c r="N75" s="1" t="n"/>
      <ns0:c r="O75" s="1" t="n"/>
      <ns0:c r="P75" s="1" t="n"/>
      <ns0:c r="Q75" s="1" t="n"/>
    </ns0:row>
    <ns0:row r="76" ht="22" customHeight="1">
      <ns0:c r="A76" s="217">
        <ns0:f>IF(OR(AH!$P$3=0,71+1&gt;AH!$P$11,AND(AH!$E$4&lt;&gt;"Stored",AH!$P$10&lt;&gt;1)),"",IFERROR(IF(AND(AH!$P$21=1,71+1=AH!$P$11),TODAY(),IF(AH!$P$10=1,INDEX('Live History'!$A$5:$A$3004,AH!$P$13+71),INDEX('AH History'!$A$1:$A$18046,AH!$P$7+71))),""))</ns0:f>
        <ns0:v>46142</ns0:v>
      </ns0:c>
      <ns0:c r="B76" s="218">
        <ns0:f>IFERROR(IF(AND(AH!$P$9&lt;&gt;1,$C76&gt;0,$D76&gt;0,$E76&gt;0,$F76&gt;0,$G76&gt;0,$F76&lt;=$A76,$G76&lt;=$A76,$A76-$F76&lt;=10,$A76-$G76&lt;=5),$D76*$E76/$C76-1,NA()),NA())</ns0:f>
        <ns0:v>-0.23436925616862936</ns0:v>
      </ns0:c>
      <ns0:c r="C76" s="1">
        <ns0:f>IFERROR(IF(ISNUMBER($A76),IF(AND(AH!$P$10=1,AH!$P$12=1,$A76=TODAY()),AH!$P$19,IF(AH!$P$10=1,INDEX('Live History'!$B$5:$B$3004,AH!$P$13+71),INDEX('AH History'!$B$1:$B$18046,AH!$P$7+71))),NA()),NA())</ns0:f>
        <ns0:v>468.4</ns0:v>
      </ns0:c>
      <ns0:c r="D76" s="1">
        <ns0:f>IFERROR(IF(ISNUMBER($A76),IF(AND(AH!$P$10=1,AH!$P$12=1,$A76=TODAY()),AH!$P$18,IF(AH!$P$10=1,INDEX('Live History'!$E$5:$E$3004,MATCH($A76,'Live History'!$D$5:$D$3004,1)),INDEX('AH History'!$C$1:$C$18046,AH!$P$7+71))),NA()),NA())</ns0:f>
        <ns0:v>312.99</ns0:v>
      </ns0:c>
      <ns0:c r="E76" s="1">
        <ns0:f>IFERROR(IF(ISNUMBER($A76),IF(AND(AH!$P$10=1,AH!$P$12=1,$A76=TODAY()),AH!$P$20,IF(AH!$P$10=1,INDEX('Live History'!$H$5:$H$3004,MATCH($A76,'Live History'!$G$5:$G$3004,1)),INDEX('AH History'!$D$1:$D$18046,AH!$P$7+71))),NA()),NA())</ns0:f>
        <ns0:v>1.145792007446289</ns0:v>
      </ns0:c>
      <ns0:c r="F76" s="1">
        <ns0:f>IFERROR(IF(ISNUMBER($A76),IF(AND(AH!$P$10=1,AH!$P$12=1,$A76=TODAY()),IF(AND(AH!$P$10=1,AH!$P$12=1,$A76=TODAY()),TODAY(),NA()),IF(AH!$P$10=1,INDEX('Live History'!$D$5:$D$3004,MATCH($A76,'Live History'!$D$5:$D$3004,1)),INDEX('AH History'!$E$1:$E$18046,AH!$P$7+71))),NA()),NA())</ns0:f>
        <ns0:v>46142</ns0:v>
      </ns0:c>
      <ns0:c r="G76" s="1">
        <ns0:f>IFERROR(IF(ISNUMBER($A76),IF(AND(AH!$P$10=1,AH!$P$12=1,$A76=TODAY()),IF(AND(AH!$P$10=1,AH!$P$12=1,$A76=TODAY()),TODAY(),NA()),IF(AH!$P$10=1,INDEX('Live History'!$G$5:$G$3004,MATCH($A76,'Live History'!$G$5:$G$3004,1)),INDEX('AH History'!$F$1:$F$18046,AH!$P$7+71))),NA()),NA())</ns0:f>
        <ns0:v>46142</ns0:v>
      </ns0:c>
      <ns0:c r="H76" s="1">
        <ns0:f>IFERROR(IF(AND(AH!$E$4="Bloomberg",AH!$P$10=1,ISNUMBER($A76),$A76&lt;=AH!$P$17),AH!$P$7-1+MATCH($A76,INDEX('AH History'!$A$1:$A$18046,AH!$P$7):INDEX('AH History'!$A$1:$A$18046,AH!$P$7+AH!$P$8-1),0),0),0)</ns0:f>
        <ns0:v/>
      </ns0:c>
      <ns0:c r="I76" s="1">
        <ns0:f>IF($H76=0,0,IFERROR(IF(AND(ABS($C76-INDEX('AH History'!$B$1:$B$18046,$H76))&lt;=MAX(0.005,ABS(INDEX('AH History'!$B$1:$B$18046,$H76))*0.00005),ABS($D76-INDEX('AH History'!$C$1:$C$18046,$H76))&lt;=MAX(0.005,ABS(INDEX('AH History'!$C$1:$C$18046,$H76))*0.00005),ABS($E76-INDEX('AH History'!$D$1:$D$18046,$H76))&lt;=0.00005,$F76=INDEX('AH History'!$E$1:$E$18046,$H76),$G76=INDEX('AH History'!$F$1:$F$18046,$H76)),1,-1),-1))</ns0:f>
        <ns0:v/>
      </ns0:c>
      <ns0:c r="J76" s="1" t="n"/>
      <ns0:c r="K76" s="1" t="n"/>
      <ns0:c r="L76" s="1" t="n"/>
      <ns0:c r="M76" s="1" t="n"/>
      <ns0:c r="N76" s="1" t="n"/>
      <ns0:c r="O76" s="1" t="n"/>
      <ns0:c r="P76" s="1" t="n"/>
      <ns0:c r="Q76" s="1" t="n"/>
    </ns0:row>
    <ns0:row r="77" ht="22" customHeight="1">
      <ns0:c r="A77" s="217">
        <ns0:f>IF(OR(AH!$P$3=0,72+1&gt;AH!$P$11,AND(AH!$E$4&lt;&gt;"Stored",AH!$P$10&lt;&gt;1)),"",IFERROR(IF(AND(AH!$P$21=1,72+1=AH!$P$11),TODAY(),IF(AH!$P$10=1,INDEX('Live History'!$A$5:$A$3004,AH!$P$13+72),INDEX('AH History'!$A$1:$A$18046,AH!$P$7+72))),""))</ns0:f>
        <ns0:v>46146</ns0:v>
      </ns0:c>
      <ns0:c r="B77" s="218">
        <ns0:f>IFERROR(IF(AND(AH!$P$9&lt;&gt;1,$C77&gt;0,$D77&gt;0,$E77&gt;0,$F77&gt;0,$G77&gt;0,$F77&lt;=$A77,$G77&lt;=$A77,$A77-$F77&lt;=10,$A77-$G77&lt;=5),$D77*$E77/$C77-1,NA()),NA())</ns0:f>
        <ns0:v>-0.2562013977751223</ns0:v>
      </ns0:c>
      <ns0:c r="C77" s="1">
        <ns0:f>IFERROR(IF(ISNUMBER($A77),IF(AND(AH!$P$10=1,AH!$P$12=1,$A77=TODAY()),AH!$P$19,IF(AH!$P$10=1,INDEX('Live History'!$B$5:$B$3004,AH!$P$13+72),INDEX('AH History'!$B$1:$B$18046,AH!$P$7+72))),NA()),NA())</ns0:f>
        <ns0:v>482.8</ns0:v>
      </ns0:c>
      <ns0:c r="D77" s="1">
        <ns0:f>IFERROR(IF(ISNUMBER($A77),IF(AND(AH!$P$10=1,AH!$P$12=1,$A77=TODAY()),AH!$P$18,IF(AH!$P$10=1,INDEX('Live History'!$E$5:$E$3004,MATCH($A77,'Live History'!$D$5:$D$3004,1)),INDEX('AH History'!$C$1:$C$18046,AH!$P$7+72))),NA()),NA())</ns0:f>
        <ns0:v>312.99</ns0:v>
      </ns0:c>
      <ns0:c r="E77" s="1">
        <ns0:f>IFERROR(IF(ISNUMBER($A77),IF(AND(AH!$P$10=1,AH!$P$12=1,$A77=TODAY()),AH!$P$20,IF(AH!$P$10=1,INDEX('Live History'!$H$5:$H$3004,MATCH($A77,'Live History'!$G$5:$G$3004,1)),INDEX('AH History'!$D$1:$D$18046,AH!$P$7+72))),NA()),NA())</ns0:f>
        <ns0:v>1.1473400592803955</ns0:v>
      </ns0:c>
      <ns0:c r="F77" s="1">
        <ns0:f>IFERROR(IF(ISNUMBER($A77),IF(AND(AH!$P$10=1,AH!$P$12=1,$A77=TODAY()),IF(AND(AH!$P$10=1,AH!$P$12=1,$A77=TODAY()),TODAY(),NA()),IF(AH!$P$10=1,INDEX('Live History'!$D$5:$D$3004,MATCH($A77,'Live History'!$D$5:$D$3004,1)),INDEX('AH History'!$E$1:$E$18046,AH!$P$7+72))),NA()),NA())</ns0:f>
        <ns0:v>46142</ns0:v>
      </ns0:c>
      <ns0:c r="G77" s="1">
        <ns0:f>IFERROR(IF(ISNUMBER($A77),IF(AND(AH!$P$10=1,AH!$P$12=1,$A77=TODAY()),IF(AND(AH!$P$10=1,AH!$P$12=1,$A77=TODAY()),TODAY(),NA()),IF(AH!$P$10=1,INDEX('Live History'!$G$5:$G$3004,MATCH($A77,'Live History'!$G$5:$G$3004,1)),INDEX('AH History'!$F$1:$F$18046,AH!$P$7+72))),NA()),NA())</ns0:f>
        <ns0:v>46146</ns0:v>
      </ns0:c>
      <ns0:c r="H77" s="1">
        <ns0:f>IFERROR(IF(AND(AH!$E$4="Bloomberg",AH!$P$10=1,ISNUMBER($A77),$A77&lt;=AH!$P$17),AH!$P$7-1+MATCH($A77,INDEX('AH History'!$A$1:$A$18046,AH!$P$7):INDEX('AH History'!$A$1:$A$18046,AH!$P$7+AH!$P$8-1),0),0),0)</ns0:f>
        <ns0:v/>
      </ns0:c>
      <ns0:c r="I77" s="1">
        <ns0:f>IF($H77=0,0,IFERROR(IF(AND(ABS($C77-INDEX('AH History'!$B$1:$B$18046,$H77))&lt;=MAX(0.005,ABS(INDEX('AH History'!$B$1:$B$18046,$H77))*0.00005),ABS($D77-INDEX('AH History'!$C$1:$C$18046,$H77))&lt;=MAX(0.005,ABS(INDEX('AH History'!$C$1:$C$18046,$H77))*0.00005),ABS($E77-INDEX('AH History'!$D$1:$D$18046,$H77))&lt;=0.00005,$F77=INDEX('AH History'!$E$1:$E$18046,$H77),$G77=INDEX('AH History'!$F$1:$F$18046,$H77)),1,-1),-1))</ns0:f>
        <ns0:v/>
      </ns0:c>
      <ns0:c r="J77" s="1" t="n"/>
      <ns0:c r="K77" s="1" t="n"/>
      <ns0:c r="L77" s="1" t="n"/>
      <ns0:c r="M77" s="1" t="n"/>
      <ns0:c r="N77" s="1" t="n"/>
      <ns0:c r="O77" s="1" t="n"/>
      <ns0:c r="P77" s="1" t="n"/>
      <ns0:c r="Q77" s="1" t="n"/>
    </ns0:row>
    <ns0:row r="78" ht="22" customHeight="1">
      <ns0:c r="A78" s="217">
        <ns0:f>IF(OR(AH!$P$3=0,73+1&gt;AH!$P$11,AND(AH!$E$4&lt;&gt;"Stored",AH!$P$10&lt;&gt;1)),"",IFERROR(IF(AND(AH!$P$21=1,73+1=AH!$P$11),TODAY(),IF(AH!$P$10=1,INDEX('Live History'!$A$5:$A$3004,AH!$P$13+73),INDEX('AH History'!$A$1:$A$18046,AH!$P$7+73))),""))</ns0:f>
        <ns0:v>46147</ns0:v>
      </ns0:c>
      <ns0:c r="B78" s="218">
        <ns0:f>IFERROR(IF(AND(AH!$P$9&lt;&gt;1,$C78&gt;0,$D78&gt;0,$E78&gt;0,$F78&gt;0,$G78&gt;0,$F78&lt;=$A78,$G78&lt;=$A78,$A78-$F78&lt;=10,$A78-$G78&lt;=5),$D78*$E78/$C78-1,NA()),NA())</ns0:f>
        <ns0:v>-0.22973967742766432</ns0:v>
      </ns0:c>
      <ns0:c r="C78" s="1">
        <ns0:f>IFERROR(IF(ISNUMBER($A78),IF(AND(AH!$P$10=1,AH!$P$12=1,$A78=TODAY()),AH!$P$19,IF(AH!$P$10=1,INDEX('Live History'!$B$5:$B$3004,AH!$P$13+73),INDEX('AH History'!$B$1:$B$18046,AH!$P$7+73))),NA()),NA())</ns0:f>
        <ns0:v>466.0</ns0:v>
      </ns0:c>
      <ns0:c r="D78" s="1">
        <ns0:f>IFERROR(IF(ISNUMBER($A78),IF(AND(AH!$P$10=1,AH!$P$12=1,$A78=TODAY()),AH!$P$18,IF(AH!$P$10=1,INDEX('Live History'!$E$5:$E$3004,MATCH($A78,'Live History'!$D$5:$D$3004,1)),INDEX('AH History'!$C$1:$C$18046,AH!$P$7+73))),NA()),NA())</ns0:f>
        <ns0:v>312.99</ns0:v>
      </ns0:c>
      <ns0:c r="E78" s="1">
        <ns0:f>IFERROR(IF(ISNUMBER($A78),IF(AND(AH!$P$10=1,AH!$P$12=1,$A78=TODAY()),AH!$P$20,IF(AH!$P$10=1,INDEX('Live History'!$H$5:$H$3004,MATCH($A78,'Live History'!$G$5:$G$3004,1)),INDEX('AH History'!$D$1:$D$18046,AH!$P$7+73))),NA()),NA())</ns0:f>
        <ns0:v>1.146813988685608</ns0:v>
      </ns0:c>
      <ns0:c r="F78" s="1">
        <ns0:f>IFERROR(IF(ISNUMBER($A78),IF(AND(AH!$P$10=1,AH!$P$12=1,$A78=TODAY()),IF(AND(AH!$P$10=1,AH!$P$12=1,$A78=TODAY()),TODAY(),NA()),IF(AH!$P$10=1,INDEX('Live History'!$D$5:$D$3004,MATCH($A78,'Live History'!$D$5:$D$3004,1)),INDEX('AH History'!$E$1:$E$18046,AH!$P$7+73))),NA()),NA())</ns0:f>
        <ns0:v>46142</ns0:v>
      </ns0:c>
      <ns0:c r="G78" s="1">
        <ns0:f>IFERROR(IF(ISNUMBER($A78),IF(AND(AH!$P$10=1,AH!$P$12=1,$A78=TODAY()),IF(AND(AH!$P$10=1,AH!$P$12=1,$A78=TODAY()),TODAY(),NA()),IF(AH!$P$10=1,INDEX('Live History'!$G$5:$G$3004,MATCH($A78,'Live History'!$G$5:$G$3004,1)),INDEX('AH History'!$F$1:$F$18046,AH!$P$7+73))),NA()),NA())</ns0:f>
        <ns0:v>46147</ns0:v>
      </ns0:c>
      <ns0:c r="H78" s="1">
        <ns0:f>IFERROR(IF(AND(AH!$E$4="Bloomberg",AH!$P$10=1,ISNUMBER($A78),$A78&lt;=AH!$P$17),AH!$P$7-1+MATCH($A78,INDEX('AH History'!$A$1:$A$18046,AH!$P$7):INDEX('AH History'!$A$1:$A$18046,AH!$P$7+AH!$P$8-1),0),0),0)</ns0:f>
        <ns0:v/>
      </ns0:c>
      <ns0:c r="I78" s="1">
        <ns0:f>IF($H78=0,0,IFERROR(IF(AND(ABS($C78-INDEX('AH History'!$B$1:$B$18046,$H78))&lt;=MAX(0.005,ABS(INDEX('AH History'!$B$1:$B$18046,$H78))*0.00005),ABS($D78-INDEX('AH History'!$C$1:$C$18046,$H78))&lt;=MAX(0.005,ABS(INDEX('AH History'!$C$1:$C$18046,$H78))*0.00005),ABS($E78-INDEX('AH History'!$D$1:$D$18046,$H78))&lt;=0.00005,$F78=INDEX('AH History'!$E$1:$E$18046,$H78),$G78=INDEX('AH History'!$F$1:$F$18046,$H78)),1,-1),-1))</ns0:f>
        <ns0:v/>
      </ns0:c>
      <ns0:c r="J78" s="1" t="n"/>
      <ns0:c r="K78" s="1" t="n"/>
      <ns0:c r="L78" s="1" t="n"/>
      <ns0:c r="M78" s="1" t="n"/>
      <ns0:c r="N78" s="1" t="n"/>
      <ns0:c r="O78" s="1" t="n"/>
      <ns0:c r="P78" s="1" t="n"/>
      <ns0:c r="Q78" s="1" t="n"/>
    </ns0:row>
    <ns0:row r="79" ht="22" customHeight="1">
      <ns0:c r="A79" s="217">
        <ns0:f>IF(OR(AH!$P$3=0,74+1&gt;AH!$P$11,AND(AH!$E$4&lt;&gt;"Stored",AH!$P$10&lt;&gt;1)),"",IFERROR(IF(AND(AH!$P$21=1,74+1=AH!$P$11),TODAY(),IF(AH!$P$10=1,INDEX('Live History'!$A$5:$A$3004,AH!$P$13+74),INDEX('AH History'!$A$1:$A$18046,AH!$P$7+74))),""))</ns0:f>
        <ns0:v>46148</ns0:v>
      </ns0:c>
      <ns0:c r="B79" s="218">
        <ns0:f>IFERROR(IF(AND(AH!$P$9&lt;&gt;1,$C79&gt;0,$D79&gt;0,$E79&gt;0,$F79&gt;0,$G79&gt;0,$F79&lt;=$A79,$G79&lt;=$A79,$A79-$F79&lt;=10,$A79-$G79&lt;=5),$D79*$E79/$C79-1,NA()),NA())</ns0:f>
        <ns0:v>-0.2597384262844683</ns0:v>
      </ns0:c>
      <ns0:c r="C79" s="1">
        <ns0:f>IFERROR(IF(ISNUMBER($A79),IF(AND(AH!$P$10=1,AH!$P$12=1,$A79=TODAY()),AH!$P$19,IF(AH!$P$10=1,INDEX('Live History'!$B$5:$B$3004,AH!$P$13+74),INDEX('AH History'!$B$1:$B$18046,AH!$P$7+74))),NA()),NA())</ns0:f>
        <ns0:v>533.5</ns0:v>
      </ns0:c>
      <ns0:c r="D79" s="1">
        <ns0:f>IFERROR(IF(ISNUMBER($A79),IF(AND(AH!$P$10=1,AH!$P$12=1,$A79=TODAY()),AH!$P$18,IF(AH!$P$10=1,INDEX('Live History'!$E$5:$E$3004,MATCH($A79,'Live History'!$D$5:$D$3004,1)),INDEX('AH History'!$C$1:$C$18046,AH!$P$7+74))),NA()),NA())</ns0:f>
        <ns0:v>344.29</ns0:v>
      </ns0:c>
      <ns0:c r="E79" s="1">
        <ns0:f>IFERROR(IF(ISNUMBER($A79),IF(AND(AH!$P$10=1,AH!$P$12=1,$A79=TODAY()),AH!$P$20,IF(AH!$P$10=1,INDEX('Live History'!$H$5:$H$3004,MATCH($A79,'Live History'!$G$5:$G$3004,1)),INDEX('AH History'!$D$1:$D$18046,AH!$P$7+74))),NA()),NA())</ns0:f>
        <ns0:v>1.1470839977264404</ns0:v>
      </ns0:c>
      <ns0:c r="F79" s="1">
        <ns0:f>IFERROR(IF(ISNUMBER($A79),IF(AND(AH!$P$10=1,AH!$P$12=1,$A79=TODAY()),IF(AND(AH!$P$10=1,AH!$P$12=1,$A79=TODAY()),TODAY(),NA()),IF(AH!$P$10=1,INDEX('Live History'!$D$5:$D$3004,MATCH($A79,'Live History'!$D$5:$D$3004,1)),INDEX('AH History'!$E$1:$E$18046,AH!$P$7+74))),NA()),NA())</ns0:f>
        <ns0:v>46148</ns0:v>
      </ns0:c>
      <ns0:c r="G79" s="1">
        <ns0:f>IFERROR(IF(ISNUMBER($A79),IF(AND(AH!$P$10=1,AH!$P$12=1,$A79=TODAY()),IF(AND(AH!$P$10=1,AH!$P$12=1,$A79=TODAY()),TODAY(),NA()),IF(AH!$P$10=1,INDEX('Live History'!$G$5:$G$3004,MATCH($A79,'Live History'!$G$5:$G$3004,1)),INDEX('AH History'!$F$1:$F$18046,AH!$P$7+74))),NA()),NA())</ns0:f>
        <ns0:v>46148</ns0:v>
      </ns0:c>
      <ns0:c r="H79" s="1">
        <ns0:f>IFERROR(IF(AND(AH!$E$4="Bloomberg",AH!$P$10=1,ISNUMBER($A79),$A79&lt;=AH!$P$17),AH!$P$7-1+MATCH($A79,INDEX('AH History'!$A$1:$A$18046,AH!$P$7):INDEX('AH History'!$A$1:$A$18046,AH!$P$7+AH!$P$8-1),0),0),0)</ns0:f>
        <ns0:v/>
      </ns0:c>
      <ns0:c r="I79" s="1">
        <ns0:f>IF($H79=0,0,IFERROR(IF(AND(ABS($C79-INDEX('AH History'!$B$1:$B$18046,$H79))&lt;=MAX(0.005,ABS(INDEX('AH History'!$B$1:$B$18046,$H79))*0.00005),ABS($D79-INDEX('AH History'!$C$1:$C$18046,$H79))&lt;=MAX(0.005,ABS(INDEX('AH History'!$C$1:$C$18046,$H79))*0.00005),ABS($E79-INDEX('AH History'!$D$1:$D$18046,$H79))&lt;=0.00005,$F79=INDEX('AH History'!$E$1:$E$18046,$H79),$G79=INDEX('AH History'!$F$1:$F$18046,$H79)),1,-1),-1))</ns0:f>
        <ns0:v/>
      </ns0:c>
      <ns0:c r="J79" s="1" t="n"/>
      <ns0:c r="K79" s="1" t="n"/>
      <ns0:c r="L79" s="1" t="n"/>
      <ns0:c r="M79" s="1" t="n"/>
      <ns0:c r="N79" s="1" t="n"/>
      <ns0:c r="O79" s="1" t="n"/>
      <ns0:c r="P79" s="1" t="n"/>
      <ns0:c r="Q79" s="1" t="n"/>
    </ns0:row>
    <ns0:row r="80" ht="22" customHeight="1">
      <ns0:c r="A80" s="217">
        <ns0:f>IF(OR(AH!$P$3=0,75+1&gt;AH!$P$11,AND(AH!$E$4&lt;&gt;"Stored",AH!$P$10&lt;&gt;1)),"",IFERROR(IF(AND(AH!$P$21=1,75+1=AH!$P$11),TODAY(),IF(AH!$P$10=1,INDEX('Live History'!$A$5:$A$3004,AH!$P$13+75),INDEX('AH History'!$A$1:$A$18046,AH!$P$7+75))),""))</ns0:f>
        <ns0:v>46149</ns0:v>
      </ns0:c>
      <ns0:c r="B80" s="218">
        <ns0:f>IFERROR(IF(AND(AH!$P$9&lt;&gt;1,$C80&gt;0,$D80&gt;0,$E80&gt;0,$F80&gt;0,$G80&gt;0,$F80&lt;=$A80,$G80&lt;=$A80,$A80-$F80&lt;=10,$A80-$G80&lt;=5),$D80*$E80/$C80-1,NA()),NA())</ns0:f>
        <ns0:v>-0.22328297135914987</ns0:v>
      </ns0:c>
      <ns0:c r="C80" s="1">
        <ns0:f>IFERROR(IF(ISNUMBER($A80),IF(AND(AH!$P$10=1,AH!$P$12=1,$A80=TODAY()),AH!$P$19,IF(AH!$P$10=1,INDEX('Live History'!$B$5:$B$3004,AH!$P$13+75),INDEX('AH History'!$B$1:$B$18046,AH!$P$7+75))),NA()),NA())</ns0:f>
        <ns0:v>518.5</ns0:v>
      </ns0:c>
      <ns0:c r="D80" s="1">
        <ns0:f>IFERROR(IF(ISNUMBER($A80),IF(AND(AH!$P$10=1,AH!$P$12=1,$A80=TODAY()),AH!$P$18,IF(AH!$P$10=1,INDEX('Live History'!$E$5:$E$3004,MATCH($A80,'Live History'!$D$5:$D$3004,1)),INDEX('AH History'!$C$1:$C$18046,AH!$P$7+75))),NA()),NA())</ns0:f>
        <ns0:v>350.16</ns0:v>
      </ns0:c>
      <ns0:c r="E80" s="1">
        <ns0:f>IFERROR(IF(ISNUMBER($A80),IF(AND(AH!$P$10=1,AH!$P$12=1,$A80=TODAY()),AH!$P$20,IF(AH!$P$10=1,INDEX('Live History'!$H$5:$H$3004,MATCH($A80,'Live History'!$G$5:$G$3004,1)),INDEX('AH History'!$D$1:$D$18046,AH!$P$7+75))),NA()),NA())</ns0:f>
        <ns0:v>1.1501250267028809</ns0:v>
      </ns0:c>
      <ns0:c r="F80" s="1">
        <ns0:f>IFERROR(IF(ISNUMBER($A80),IF(AND(AH!$P$10=1,AH!$P$12=1,$A80=TODAY()),IF(AND(AH!$P$10=1,AH!$P$12=1,$A80=TODAY()),TODAY(),NA()),IF(AH!$P$10=1,INDEX('Live History'!$D$5:$D$3004,MATCH($A80,'Live History'!$D$5:$D$3004,1)),INDEX('AH History'!$E$1:$E$18046,AH!$P$7+75))),NA()),NA())</ns0:f>
        <ns0:v>46149</ns0:v>
      </ns0:c>
      <ns0:c r="G80" s="1">
        <ns0:f>IFERROR(IF(ISNUMBER($A80),IF(AND(AH!$P$10=1,AH!$P$12=1,$A80=TODAY()),IF(AND(AH!$P$10=1,AH!$P$12=1,$A80=TODAY()),TODAY(),NA()),IF(AH!$P$10=1,INDEX('Live History'!$G$5:$G$3004,MATCH($A80,'Live History'!$G$5:$G$3004,1)),INDEX('AH History'!$F$1:$F$18046,AH!$P$7+75))),NA()),NA())</ns0:f>
        <ns0:v>46149</ns0:v>
      </ns0:c>
      <ns0:c r="H80" s="1">
        <ns0:f>IFERROR(IF(AND(AH!$E$4="Bloomberg",AH!$P$10=1,ISNUMBER($A80),$A80&lt;=AH!$P$17),AH!$P$7-1+MATCH($A80,INDEX('AH History'!$A$1:$A$18046,AH!$P$7):INDEX('AH History'!$A$1:$A$18046,AH!$P$7+AH!$P$8-1),0),0),0)</ns0:f>
        <ns0:v/>
      </ns0:c>
      <ns0:c r="I80" s="1">
        <ns0:f>IF($H80=0,0,IFERROR(IF(AND(ABS($C80-INDEX('AH History'!$B$1:$B$18046,$H80))&lt;=MAX(0.005,ABS(INDEX('AH History'!$B$1:$B$18046,$H80))*0.00005),ABS($D80-INDEX('AH History'!$C$1:$C$18046,$H80))&lt;=MAX(0.005,ABS(INDEX('AH History'!$C$1:$C$18046,$H80))*0.00005),ABS($E80-INDEX('AH History'!$D$1:$D$18046,$H80))&lt;=0.00005,$F80=INDEX('AH History'!$E$1:$E$18046,$H80),$G80=INDEX('AH History'!$F$1:$F$18046,$H80)),1,-1),-1))</ns0:f>
        <ns0:v/>
      </ns0:c>
      <ns0:c r="J80" s="1" t="n"/>
      <ns0:c r="K80" s="1" t="n"/>
      <ns0:c r="L80" s="1" t="n"/>
      <ns0:c r="M80" s="1" t="n"/>
      <ns0:c r="N80" s="1" t="n"/>
      <ns0:c r="O80" s="1" t="n"/>
      <ns0:c r="P80" s="1" t="n"/>
      <ns0:c r="Q80" s="1" t="n"/>
    </ns0:row>
    <ns0:row r="81">
      <ns0:c r="A81" s="215">
        <ns0:f>IF(OR(AH!$P$3=0,76+1&gt;AH!$P$11,AND(AH!$E$4&lt;&gt;"Stored",AH!$P$10&lt;&gt;1)),"",IFERROR(IF(AND(AH!$P$21=1,76+1=AH!$P$11),TODAY(),IF(AH!$P$10=1,INDEX('Live History'!$A$5:$A$3004,AH!$P$13+76),INDEX('AH History'!$A$1:$A$18046,AH!$P$7+76))),""))</ns0:f>
        <ns0:v>46150</ns0:v>
      </ns0:c>
      <ns0:c r="B81" s="219">
        <ns0:f>IFERROR(IF(AND(AH!$P$9&lt;&gt;1,$C81&gt;0,$D81&gt;0,$E81&gt;0,$F81&gt;0,$G81&gt;0,$F81&lt;=$A81,$G81&lt;=$A81,$A81-$F81&lt;=10,$A81-$G81&lt;=5),$D81*$E81/$C81-1,NA()),NA())</ns0:f>
        <ns0:v>-0.21471496387403832</ns0:v>
      </ns0:c>
      <ns0:c r="C81">
        <ns0:f>IFERROR(IF(ISNUMBER($A81),IF(AND(AH!$P$10=1,AH!$P$12=1,$A81=TODAY()),AH!$P$19,IF(AH!$P$10=1,INDEX('Live History'!$B$5:$B$3004,AH!$P$13+76),INDEX('AH History'!$B$1:$B$18046,AH!$P$7+76))),NA()),NA())</ns0:f>
        <ns0:v>490.0</ns0:v>
      </ns0:c>
      <ns0:c r="D81">
        <ns0:f>IFERROR(IF(ISNUMBER($A81),IF(AND(AH!$P$10=1,AH!$P$12=1,$A81=TODAY()),AH!$P$18,IF(AH!$P$10=1,INDEX('Live History'!$E$5:$E$3004,MATCH($A81,'Live History'!$D$5:$D$3004,1)),INDEX('AH History'!$C$1:$C$18046,AH!$P$7+76))),NA()),NA())</ns0:f>
        <ns0:v>334.1</ns0:v>
      </ns0:c>
      <ns0:c r="E81">
        <ns0:f>IFERROR(IF(ISNUMBER($A81),IF(AND(AH!$P$10=1,AH!$P$12=1,$A81=TODAY()),AH!$P$20,IF(AH!$P$10=1,INDEX('Live History'!$H$5:$H$3004,MATCH($A81,'Live History'!$G$5:$G$3004,1)),INDEX('AH History'!$D$1:$D$18046,AH!$P$7+76))),NA()),NA())</ns0:f>
        <ns0:v>1.1517200469970703</ns0:v>
      </ns0:c>
      <ns0:c r="F81">
        <ns0:f>IFERROR(IF(ISNUMBER($A81),IF(AND(AH!$P$10=1,AH!$P$12=1,$A81=TODAY()),IF(AND(AH!$P$10=1,AH!$P$12=1,$A81=TODAY()),TODAY(),NA()),IF(AH!$P$10=1,INDEX('Live History'!$D$5:$D$3004,MATCH($A81,'Live History'!$D$5:$D$3004,1)),INDEX('AH History'!$E$1:$E$18046,AH!$P$7+76))),NA()),NA())</ns0:f>
        <ns0:v>46150</ns0:v>
      </ns0:c>
      <ns0:c r="G81">
        <ns0:f>IFERROR(IF(ISNUMBER($A81),IF(AND(AH!$P$10=1,AH!$P$12=1,$A81=TODAY()),IF(AND(AH!$P$10=1,AH!$P$12=1,$A81=TODAY()),TODAY(),NA()),IF(AH!$P$10=1,INDEX('Live History'!$G$5:$G$3004,MATCH($A81,'Live History'!$G$5:$G$3004,1)),INDEX('AH History'!$F$1:$F$18046,AH!$P$7+76))),NA()),NA())</ns0:f>
        <ns0:v>46150</ns0:v>
      </ns0:c>
      <ns0:c r="H81">
        <ns0:f>IFERROR(IF(AND(AH!$E$4="Bloomberg",AH!$P$10=1,ISNUMBER($A81),$A81&lt;=AH!$P$17),AH!$P$7-1+MATCH($A81,INDEX('AH History'!$A$1:$A$18046,AH!$P$7):INDEX('AH History'!$A$1:$A$18046,AH!$P$7+AH!$P$8-1),0),0),0)</ns0:f>
        <ns0:v/>
      </ns0:c>
      <ns0:c r="I81">
        <ns0:f>IF($H81=0,0,IFERROR(IF(AND(ABS($C81-INDEX('AH History'!$B$1:$B$18046,$H81))&lt;=MAX(0.005,ABS(INDEX('AH History'!$B$1:$B$18046,$H81))*0.00005),ABS($D81-INDEX('AH History'!$C$1:$C$18046,$H81))&lt;=MAX(0.005,ABS(INDEX('AH History'!$C$1:$C$18046,$H81))*0.00005),ABS($E81-INDEX('AH History'!$D$1:$D$18046,$H81))&lt;=0.00005,$F81=INDEX('AH History'!$E$1:$E$18046,$H81),$G81=INDEX('AH History'!$F$1:$F$18046,$H81)),1,-1),-1))</ns0:f>
        <ns0:v/>
      </ns0:c>
    </ns0:row>
    <ns0:row r="82">
      <ns0:c r="A82" s="215">
        <ns0:f>IF(OR(AH!$P$3=0,77+1&gt;AH!$P$11,AND(AH!$E$4&lt;&gt;"Stored",AH!$P$10&lt;&gt;1)),"",IFERROR(IF(AND(AH!$P$21=1,77+1=AH!$P$11),TODAY(),IF(AH!$P$10=1,INDEX('Live History'!$A$5:$A$3004,AH!$P$13+77),INDEX('AH History'!$A$1:$A$18046,AH!$P$7+77))),""))</ns0:f>
        <ns0:v>46153</ns0:v>
      </ns0:c>
      <ns0:c r="B82" s="219">
        <ns0:f>IFERROR(IF(AND(AH!$P$9&lt;&gt;1,$C82&gt;0,$D82&gt;0,$E82&gt;0,$F82&gt;0,$G82&gt;0,$F82&lt;=$A82,$G82&lt;=$A82,$A82-$F82&lt;=10,$A82-$G82&lt;=5),$D82*$E82/$C82-1,NA()),NA())</ns0:f>
        <ns0:v>-0.21201468604949558</ns0:v>
      </ns0:c>
      <ns0:c r="C82">
        <ns0:f>IFERROR(IF(ISNUMBER($A82),IF(AND(AH!$P$10=1,AH!$P$12=1,$A82=TODAY()),AH!$P$19,IF(AH!$P$10=1,INDEX('Live History'!$B$5:$B$3004,AH!$P$13+77),INDEX('AH History'!$B$1:$B$18046,AH!$P$7+77))),NA()),NA())</ns0:f>
        <ns0:v>529.0</ns0:v>
      </ns0:c>
      <ns0:c r="D82">
        <ns0:f>IFERROR(IF(ISNUMBER($A82),IF(AND(AH!$P$10=1,AH!$P$12=1,$A82=TODAY()),AH!$P$18,IF(AH!$P$10=1,INDEX('Live History'!$E$5:$E$3004,MATCH($A82,'Live History'!$D$5:$D$3004,1)),INDEX('AH History'!$C$1:$C$18046,AH!$P$7+77))),NA()),NA())</ns0:f>
        <ns0:v>362.13</ns0:v>
      </ns0:c>
      <ns0:c r="E82">
        <ns0:f>IFERROR(IF(ISNUMBER($A82),IF(AND(AH!$P$10=1,AH!$P$12=1,$A82=TODAY()),AH!$P$20,IF(AH!$P$10=1,INDEX('Live History'!$H$5:$H$3004,MATCH($A82,'Live History'!$G$5:$G$3004,1)),INDEX('AH History'!$D$1:$D$18046,AH!$P$7+77))),NA()),NA())</ns0:f>
        <ns0:v>1.1510900259017944</ns0:v>
      </ns0:c>
      <ns0:c r="F82">
        <ns0:f>IFERROR(IF(ISNUMBER($A82),IF(AND(AH!$P$10=1,AH!$P$12=1,$A82=TODAY()),IF(AND(AH!$P$10=1,AH!$P$12=1,$A82=TODAY()),TODAY(),NA()),IF(AH!$P$10=1,INDEX('Live History'!$D$5:$D$3004,MATCH($A82,'Live History'!$D$5:$D$3004,1)),INDEX('AH History'!$E$1:$E$18046,AH!$P$7+77))),NA()),NA())</ns0:f>
        <ns0:v>46153</ns0:v>
      </ns0:c>
      <ns0:c r="G82">
        <ns0:f>IFERROR(IF(ISNUMBER($A82),IF(AND(AH!$P$10=1,AH!$P$12=1,$A82=TODAY()),IF(AND(AH!$P$10=1,AH!$P$12=1,$A82=TODAY()),TODAY(),NA()),IF(AH!$P$10=1,INDEX('Live History'!$G$5:$G$3004,MATCH($A82,'Live History'!$G$5:$G$3004,1)),INDEX('AH History'!$F$1:$F$18046,AH!$P$7+77))),NA()),NA())</ns0:f>
        <ns0:v>46153</ns0:v>
      </ns0:c>
      <ns0:c r="H82">
        <ns0:f>IFERROR(IF(AND(AH!$E$4="Bloomberg",AH!$P$10=1,ISNUMBER($A82),$A82&lt;=AH!$P$17),AH!$P$7-1+MATCH($A82,INDEX('AH History'!$A$1:$A$18046,AH!$P$7):INDEX('AH History'!$A$1:$A$18046,AH!$P$7+AH!$P$8-1),0),0),0)</ns0:f>
        <ns0:v/>
      </ns0:c>
      <ns0:c r="I82">
        <ns0:f>IF($H82=0,0,IFERROR(IF(AND(ABS($C82-INDEX('AH History'!$B$1:$B$18046,$H82))&lt;=MAX(0.005,ABS(INDEX('AH History'!$B$1:$B$18046,$H82))*0.00005),ABS($D82-INDEX('AH History'!$C$1:$C$18046,$H82))&lt;=MAX(0.005,ABS(INDEX('AH History'!$C$1:$C$18046,$H82))*0.00005),ABS($E82-INDEX('AH History'!$D$1:$D$18046,$H82))&lt;=0.00005,$F82=INDEX('AH History'!$E$1:$E$18046,$H82),$G82=INDEX('AH History'!$F$1:$F$18046,$H82)),1,-1),-1))</ns0:f>
        <ns0:v/>
      </ns0:c>
    </ns0:row>
    <ns0:row r="83">
      <ns0:c r="A83" s="215">
        <ns0:f>IF(OR(AH!$P$3=0,78+1&gt;AH!$P$11,AND(AH!$E$4&lt;&gt;"Stored",AH!$P$10&lt;&gt;1)),"",IFERROR(IF(AND(AH!$P$21=1,78+1=AH!$P$11),TODAY(),IF(AH!$P$10=1,INDEX('Live History'!$A$5:$A$3004,AH!$P$13+78),INDEX('AH History'!$A$1:$A$18046,AH!$P$7+78))),""))</ns0:f>
        <ns0:v>46154</ns0:v>
      </ns0:c>
      <ns0:c r="B83" s="219">
        <ns0:f>IFERROR(IF(AND(AH!$P$9&lt;&gt;1,$C83&gt;0,$D83&gt;0,$E83&gt;0,$F83&gt;0,$G83&gt;0,$F83&lt;=$A83,$G83&lt;=$A83,$A83-$F83&lt;=10,$A83-$G83&lt;=5),$D83*$E83/$C83-1,NA()),NA())</ns0:f>
        <ns0:v>-0.1934306424561113</ns0:v>
      </ns0:c>
      <ns0:c r="C83">
        <ns0:f>IFERROR(IF(ISNUMBER($A83),IF(AND(AH!$P$10=1,AH!$P$12=1,$A83=TODAY()),AH!$P$19,IF(AH!$P$10=1,INDEX('Live History'!$B$5:$B$3004,AH!$P$13+78),INDEX('AH History'!$B$1:$B$18046,AH!$P$7+78))),NA()),NA())</ns0:f>
        <ns0:v>505.0</ns0:v>
      </ns0:c>
      <ns0:c r="D83">
        <ns0:f>IFERROR(IF(ISNUMBER($A83),IF(AND(AH!$P$10=1,AH!$P$12=1,$A83=TODAY()),AH!$P$18,IF(AH!$P$10=1,INDEX('Live History'!$E$5:$E$3004,MATCH($A83,'Live History'!$D$5:$D$3004,1)),INDEX('AH History'!$C$1:$C$18046,AH!$P$7+78))),NA()),NA())</ns0:f>
        <ns0:v>353.55</ns0:v>
      </ns0:c>
      <ns0:c r="E83">
        <ns0:f>IFERROR(IF(ISNUMBER($A83),IF(AND(AH!$P$10=1,AH!$P$12=1,$A83=TODAY()),AH!$P$20,IF(AH!$P$10=1,INDEX('Live History'!$H$5:$H$3004,MATCH($A83,'Live History'!$G$5:$G$3004,1)),INDEX('AH History'!$D$1:$D$18046,AH!$P$7+78))),NA()),NA())</ns0:f>
        <ns0:v>1.1520789861679077</ns0:v>
      </ns0:c>
      <ns0:c r="F83">
        <ns0:f>IFERROR(IF(ISNUMBER($A83),IF(AND(AH!$P$10=1,AH!$P$12=1,$A83=TODAY()),IF(AND(AH!$P$10=1,AH!$P$12=1,$A83=TODAY()),TODAY(),NA()),IF(AH!$P$10=1,INDEX('Live History'!$D$5:$D$3004,MATCH($A83,'Live History'!$D$5:$D$3004,1)),INDEX('AH History'!$E$1:$E$18046,AH!$P$7+78))),NA()),NA())</ns0:f>
        <ns0:v>46154</ns0:v>
      </ns0:c>
      <ns0:c r="G83">
        <ns0:f>IFERROR(IF(ISNUMBER($A83),IF(AND(AH!$P$10=1,AH!$P$12=1,$A83=TODAY()),IF(AND(AH!$P$10=1,AH!$P$12=1,$A83=TODAY()),TODAY(),NA()),IF(AH!$P$10=1,INDEX('Live History'!$G$5:$G$3004,MATCH($A83,'Live History'!$G$5:$G$3004,1)),INDEX('AH History'!$F$1:$F$18046,AH!$P$7+78))),NA()),NA())</ns0:f>
        <ns0:v>46154</ns0:v>
      </ns0:c>
      <ns0:c r="H83">
        <ns0:f>IFERROR(IF(AND(AH!$E$4="Bloomberg",AH!$P$10=1,ISNUMBER($A83),$A83&lt;=AH!$P$17),AH!$P$7-1+MATCH($A83,INDEX('AH History'!$A$1:$A$18046,AH!$P$7):INDEX('AH History'!$A$1:$A$18046,AH!$P$7+AH!$P$8-1),0),0),0)</ns0:f>
        <ns0:v/>
      </ns0:c>
      <ns0:c r="I83">
        <ns0:f>IF($H83=0,0,IFERROR(IF(AND(ABS($C83-INDEX('AH History'!$B$1:$B$18046,$H83))&lt;=MAX(0.005,ABS(INDEX('AH History'!$B$1:$B$18046,$H83))*0.00005),ABS($D83-INDEX('AH History'!$C$1:$C$18046,$H83))&lt;=MAX(0.005,ABS(INDEX('AH History'!$C$1:$C$18046,$H83))*0.00005),ABS($E83-INDEX('AH History'!$D$1:$D$18046,$H83))&lt;=0.00005,$F83=INDEX('AH History'!$E$1:$E$18046,$H83),$G83=INDEX('AH History'!$F$1:$F$18046,$H83)),1,-1),-1))</ns0:f>
        <ns0:v/>
      </ns0:c>
    </ns0:row>
    <ns0:row r="84">
      <ns0:c r="A84" s="215">
        <ns0:f>IF(OR(AH!$P$3=0,79+1&gt;AH!$P$11,AND(AH!$E$4&lt;&gt;"Stored",AH!$P$10&lt;&gt;1)),"",IFERROR(IF(AND(AH!$P$21=1,79+1=AH!$P$11),TODAY(),IF(AH!$P$10=1,INDEX('Live History'!$A$5:$A$3004,AH!$P$13+79),INDEX('AH History'!$A$1:$A$18046,AH!$P$7+79))),""))</ns0:f>
        <ns0:v>46155</ns0:v>
      </ns0:c>
      <ns0:c r="B84" s="219">
        <ns0:f>IFERROR(IF(AND(AH!$P$9&lt;&gt;1,$C84&gt;0,$D84&gt;0,$E84&gt;0,$F84&gt;0,$G84&gt;0,$F84&lt;=$A84,$G84&lt;=$A84,$A84-$F84&lt;=10,$A84-$G84&lt;=5),$D84*$E84/$C84-1,NA()),NA())</ns0:f>
        <ns0:v>-0.23234242918717596</ns0:v>
      </ns0:c>
      <ns0:c r="C84">
        <ns0:f>IFERROR(IF(ISNUMBER($A84),IF(AND(AH!$P$10=1,AH!$P$12=1,$A84=TODAY()),AH!$P$19,IF(AH!$P$10=1,INDEX('Live History'!$B$5:$B$3004,AH!$P$13+79),INDEX('AH History'!$B$1:$B$18046,AH!$P$7+79))),NA()),NA())</ns0:f>
        <ns0:v>548.0</ns0:v>
      </ns0:c>
      <ns0:c r="D84">
        <ns0:f>IFERROR(IF(ISNUMBER($A84),IF(AND(AH!$P$10=1,AH!$P$12=1,$A84=TODAY()),AH!$P$18,IF(AH!$P$10=1,INDEX('Live History'!$E$5:$E$3004,MATCH($A84,'Live History'!$D$5:$D$3004,1)),INDEX('AH History'!$C$1:$C$18046,AH!$P$7+79))),NA()),NA())</ns0:f>
        <ns0:v>365.0</ns0:v>
      </ns0:c>
      <ns0:c r="E84">
        <ns0:f>IFERROR(IF(ISNUMBER($A84),IF(AND(AH!$P$10=1,AH!$P$12=1,$A84=TODAY()),AH!$P$20,IF(AH!$P$10=1,INDEX('Live History'!$H$5:$H$3004,MATCH($A84,'Live History'!$G$5:$G$3004,1)),INDEX('AH History'!$D$1:$D$18046,AH!$P$7+79))),NA()),NA())</ns0:f>
        <ns0:v>1.1525379419326782</ns0:v>
      </ns0:c>
      <ns0:c r="F84">
        <ns0:f>IFERROR(IF(ISNUMBER($A84),IF(AND(AH!$P$10=1,AH!$P$12=1,$A84=TODAY()),IF(AND(AH!$P$10=1,AH!$P$12=1,$A84=TODAY()),TODAY(),NA()),IF(AH!$P$10=1,INDEX('Live History'!$D$5:$D$3004,MATCH($A84,'Live History'!$D$5:$D$3004,1)),INDEX('AH History'!$E$1:$E$18046,AH!$P$7+79))),NA()),NA())</ns0:f>
        <ns0:v>46155</ns0:v>
      </ns0:c>
      <ns0:c r="G84">
        <ns0:f>IFERROR(IF(ISNUMBER($A84),IF(AND(AH!$P$10=1,AH!$P$12=1,$A84=TODAY()),IF(AND(AH!$P$10=1,AH!$P$12=1,$A84=TODAY()),TODAY(),NA()),IF(AH!$P$10=1,INDEX('Live History'!$G$5:$G$3004,MATCH($A84,'Live History'!$G$5:$G$3004,1)),INDEX('AH History'!$F$1:$F$18046,AH!$P$7+79))),NA()),NA())</ns0:f>
        <ns0:v>46155</ns0:v>
      </ns0:c>
      <ns0:c r="H84">
        <ns0:f>IFERROR(IF(AND(AH!$E$4="Bloomberg",AH!$P$10=1,ISNUMBER($A84),$A84&lt;=AH!$P$17),AH!$P$7-1+MATCH($A84,INDEX('AH History'!$A$1:$A$18046,AH!$P$7):INDEX('AH History'!$A$1:$A$18046,AH!$P$7+AH!$P$8-1),0),0),0)</ns0:f>
        <ns0:v/>
      </ns0:c>
      <ns0:c r="I84">
        <ns0:f>IF($H84=0,0,IFERROR(IF(AND(ABS($C84-INDEX('AH History'!$B$1:$B$18046,$H84))&lt;=MAX(0.005,ABS(INDEX('AH History'!$B$1:$B$18046,$H84))*0.00005),ABS($D84-INDEX('AH History'!$C$1:$C$18046,$H84))&lt;=MAX(0.005,ABS(INDEX('AH History'!$C$1:$C$18046,$H84))*0.00005),ABS($E84-INDEX('AH History'!$D$1:$D$18046,$H84))&lt;=0.00005,$F84=INDEX('AH History'!$E$1:$E$18046,$H84),$G84=INDEX('AH History'!$F$1:$F$18046,$H84)),1,-1),-1))</ns0:f>
        <ns0:v/>
      </ns0:c>
    </ns0:row>
    <ns0:row r="85">
      <ns0:c r="A85" s="215">
        <ns0:f>IF(OR(AH!$P$3=0,80+1&gt;AH!$P$11,AND(AH!$E$4&lt;&gt;"Stored",AH!$P$10&lt;&gt;1)),"",IFERROR(IF(AND(AH!$P$21=1,80+1=AH!$P$11),TODAY(),IF(AH!$P$10=1,INDEX('Live History'!$A$5:$A$3004,AH!$P$13+80),INDEX('AH History'!$A$1:$A$18046,AH!$P$7+80))),""))</ns0:f>
        <ns0:v>46156</ns0:v>
      </ns0:c>
      <ns0:c r="B85" s="219">
        <ns0:f>IFERROR(IF(AND(AH!$P$9&lt;&gt;1,$C85&gt;0,$D85&gt;0,$E85&gt;0,$F85&gt;0,$G85&gt;0,$F85&lt;=$A85,$G85&lt;=$A85,$A85-$F85&lt;=10,$A85-$G85&lt;=5),$D85*$E85/$C85-1,NA()),NA())</ns0:f>
        <ns0:v>-0.21722205664341065</ns0:v>
      </ns0:c>
      <ns0:c r="C85">
        <ns0:f>IFERROR(IF(ISNUMBER($A85),IF(AND(AH!$P$10=1,AH!$P$12=1,$A85=TODAY()),AH!$P$19,IF(AH!$P$10=1,INDEX('Live History'!$B$5:$B$3004,AH!$P$13+80),INDEX('AH History'!$B$1:$B$18046,AH!$P$7+80))),NA()),NA())</ns0:f>
        <ns0:v>524.5</ns0:v>
      </ns0:c>
      <ns0:c r="D85">
        <ns0:f>IFERROR(IF(ISNUMBER($A85),IF(AND(AH!$P$10=1,AH!$P$12=1,$A85=TODAY()),AH!$P$18,IF(AH!$P$10=1,INDEX('Live History'!$E$5:$E$3004,MATCH($A85,'Live History'!$D$5:$D$3004,1)),INDEX('AH History'!$C$1:$C$18046,AH!$P$7+80))),NA()),NA())</ns0:f>
        <ns0:v>356.19</ns0:v>
      </ns0:c>
      <ns0:c r="E85">
        <ns0:f>IFERROR(IF(ISNUMBER($A85),IF(AND(AH!$P$10=1,AH!$P$12=1,$A85=TODAY()),AH!$P$20,IF(AH!$P$10=1,INDEX('Live History'!$H$5:$H$3004,MATCH($A85,'Live History'!$G$5:$G$3004,1)),INDEX('AH History'!$D$1:$D$18046,AH!$P$7+80))),NA()),NA())</ns0:f>
        <ns0:v>1.152662992477417</ns0:v>
      </ns0:c>
      <ns0:c r="F85">
        <ns0:f>IFERROR(IF(ISNUMBER($A85),IF(AND(AH!$P$10=1,AH!$P$12=1,$A85=TODAY()),IF(AND(AH!$P$10=1,AH!$P$12=1,$A85=TODAY()),TODAY(),NA()),IF(AH!$P$10=1,INDEX('Live History'!$D$5:$D$3004,MATCH($A85,'Live History'!$D$5:$D$3004,1)),INDEX('AH History'!$E$1:$E$18046,AH!$P$7+80))),NA()),NA())</ns0:f>
        <ns0:v>46156</ns0:v>
      </ns0:c>
      <ns0:c r="G85">
        <ns0:f>IFERROR(IF(ISNUMBER($A85),IF(AND(AH!$P$10=1,AH!$P$12=1,$A85=TODAY()),IF(AND(AH!$P$10=1,AH!$P$12=1,$A85=TODAY()),TODAY(),NA()),IF(AH!$P$10=1,INDEX('Live History'!$G$5:$G$3004,MATCH($A85,'Live History'!$G$5:$G$3004,1)),INDEX('AH History'!$F$1:$F$18046,AH!$P$7+80))),NA()),NA())</ns0:f>
        <ns0:v>46156</ns0:v>
      </ns0:c>
      <ns0:c r="H85">
        <ns0:f>IFERROR(IF(AND(AH!$E$4="Bloomberg",AH!$P$10=1,ISNUMBER($A85),$A85&lt;=AH!$P$17),AH!$P$7-1+MATCH($A85,INDEX('AH History'!$A$1:$A$18046,AH!$P$7):INDEX('AH History'!$A$1:$A$18046,AH!$P$7+AH!$P$8-1),0),0),0)</ns0:f>
        <ns0:v/>
      </ns0:c>
      <ns0:c r="I85">
        <ns0:f>IF($H85=0,0,IFERROR(IF(AND(ABS($C85-INDEX('AH History'!$B$1:$B$18046,$H85))&lt;=MAX(0.005,ABS(INDEX('AH History'!$B$1:$B$18046,$H85))*0.00005),ABS($D85-INDEX('AH History'!$C$1:$C$18046,$H85))&lt;=MAX(0.005,ABS(INDEX('AH History'!$C$1:$C$18046,$H85))*0.00005),ABS($E85-INDEX('AH History'!$D$1:$D$18046,$H85))&lt;=0.00005,$F85=INDEX('AH History'!$E$1:$E$18046,$H85),$G85=INDEX('AH History'!$F$1:$F$18046,$H85)),1,-1),-1))</ns0:f>
        <ns0:v/>
      </ns0:c>
    </ns0:row>
    <ns0:row r="86">
      <ns0:c r="A86" s="215">
        <ns0:f>IF(OR(AH!$P$3=0,81+1&gt;AH!$P$11,AND(AH!$E$4&lt;&gt;"Stored",AH!$P$10&lt;&gt;1)),"",IFERROR(IF(AND(AH!$P$21=1,81+1=AH!$P$11),TODAY(),IF(AH!$P$10=1,INDEX('Live History'!$A$5:$A$3004,AH!$P$13+81),INDEX('AH History'!$A$1:$A$18046,AH!$P$7+81))),""))</ns0:f>
        <ns0:v>46157</ns0:v>
      </ns0:c>
      <ns0:c r="B86" s="219">
        <ns0:f>IFERROR(IF(AND(AH!$P$9&lt;&gt;1,$C86&gt;0,$D86&gt;0,$E86&gt;0,$F86&gt;0,$G86&gt;0,$F86&lt;=$A86,$G86&lt;=$A86,$A86-$F86&lt;=10,$A86-$G86&lt;=5),$D86*$E86/$C86-1,NA()),NA())</ns0:f>
        <ns0:v>-0.20356163712985387</ns0:v>
      </ns0:c>
      <ns0:c r="C86">
        <ns0:f>IFERROR(IF(ISNUMBER($A86),IF(AND(AH!$P$10=1,AH!$P$12=1,$A86=TODAY()),AH!$P$19,IF(AH!$P$10=1,INDEX('Live History'!$B$5:$B$3004,AH!$P$13+81),INDEX('AH History'!$B$1:$B$18046,AH!$P$7+81))),NA()),NA())</ns0:f>
        <ns0:v>544.0</ns0:v>
      </ns0:c>
      <ns0:c r="D86">
        <ns0:f>IFERROR(IF(ISNUMBER($A86),IF(AND(AH!$P$10=1,AH!$P$12=1,$A86=TODAY()),AH!$P$18,IF(AH!$P$10=1,INDEX('Live History'!$E$5:$E$3004,MATCH($A86,'Live History'!$D$5:$D$3004,1)),INDEX('AH History'!$C$1:$C$18046,AH!$P$7+81))),NA()),NA())</ns0:f>
        <ns0:v>375.34</ns0:v>
      </ns0:c>
      <ns0:c r="E86">
        <ns0:f>IFERROR(IF(ISNUMBER($A86),IF(AND(AH!$P$10=1,AH!$P$12=1,$A86=TODAY()),AH!$P$20,IF(AH!$P$10=1,INDEX('Live History'!$H$5:$H$3004,MATCH($A86,'Live History'!$G$5:$G$3004,1)),INDEX('AH History'!$D$1:$D$18046,AH!$P$7+81))),NA()),NA())</ns0:f>
        <ns0:v>1.1543200016021729</ns0:v>
      </ns0:c>
      <ns0:c r="F86">
        <ns0:f>IFERROR(IF(ISNUMBER($A86),IF(AND(AH!$P$10=1,AH!$P$12=1,$A86=TODAY()),IF(AND(AH!$P$10=1,AH!$P$12=1,$A86=TODAY()),TODAY(),NA()),IF(AH!$P$10=1,INDEX('Live History'!$D$5:$D$3004,MATCH($A86,'Live History'!$D$5:$D$3004,1)),INDEX('AH History'!$E$1:$E$18046,AH!$P$7+81))),NA()),NA())</ns0:f>
        <ns0:v>46157</ns0:v>
      </ns0:c>
      <ns0:c r="G86">
        <ns0:f>IFERROR(IF(ISNUMBER($A86),IF(AND(AH!$P$10=1,AH!$P$12=1,$A86=TODAY()),IF(AND(AH!$P$10=1,AH!$P$12=1,$A86=TODAY()),TODAY(),NA()),IF(AH!$P$10=1,INDEX('Live History'!$G$5:$G$3004,MATCH($A86,'Live History'!$G$5:$G$3004,1)),INDEX('AH History'!$F$1:$F$18046,AH!$P$7+81))),NA()),NA())</ns0:f>
        <ns0:v>46157</ns0:v>
      </ns0:c>
      <ns0:c r="H86">
        <ns0:f>IFERROR(IF(AND(AH!$E$4="Bloomberg",AH!$P$10=1,ISNUMBER($A86),$A86&lt;=AH!$P$17),AH!$P$7-1+MATCH($A86,INDEX('AH History'!$A$1:$A$18046,AH!$P$7):INDEX('AH History'!$A$1:$A$18046,AH!$P$7+AH!$P$8-1),0),0),0)</ns0:f>
        <ns0:v/>
      </ns0:c>
      <ns0:c r="I86">
        <ns0:f>IF($H86=0,0,IFERROR(IF(AND(ABS($C86-INDEX('AH History'!$B$1:$B$18046,$H86))&lt;=MAX(0.005,ABS(INDEX('AH History'!$B$1:$B$18046,$H86))*0.00005),ABS($D86-INDEX('AH History'!$C$1:$C$18046,$H86))&lt;=MAX(0.005,ABS(INDEX('AH History'!$C$1:$C$18046,$H86))*0.00005),ABS($E86-INDEX('AH History'!$D$1:$D$18046,$H86))&lt;=0.00005,$F86=INDEX('AH History'!$E$1:$E$18046,$H86),$G86=INDEX('AH History'!$F$1:$F$18046,$H86)),1,-1),-1))</ns0:f>
        <ns0:v/>
      </ns0:c>
    </ns0:row>
    <ns0:row r="87">
      <ns0:c r="A87" s="215">
        <ns0:f>IF(OR(AH!$P$3=0,82+1&gt;AH!$P$11,AND(AH!$E$4&lt;&gt;"Stored",AH!$P$10&lt;&gt;1)),"",IFERROR(IF(AND(AH!$P$21=1,82+1=AH!$P$11),TODAY(),IF(AH!$P$10=1,INDEX('Live History'!$A$5:$A$3004,AH!$P$13+82),INDEX('AH History'!$A$1:$A$18046,AH!$P$7+82))),""))</ns0:f>
        <ns0:v>46160</ns0:v>
      </ns0:c>
      <ns0:c r="B87" s="219">
        <ns0:f>IFERROR(IF(AND(AH!$P$9&lt;&gt;1,$C87&gt;0,$D87&gt;0,$E87&gt;0,$F87&gt;0,$G87&gt;0,$F87&lt;=$A87,$G87&lt;=$A87,$A87-$F87&lt;=10,$A87-$G87&lt;=5),$D87*$E87/$C87-1,NA()),NA())</ns0:f>
        <ns0:v>-0.21780816551779403</ns0:v>
      </ns0:c>
      <ns0:c r="C87">
        <ns0:f>IFERROR(IF(ISNUMBER($A87),IF(AND(AH!$P$10=1,AH!$P$12=1,$A87=TODAY()),AH!$P$19,IF(AH!$P$10=1,INDEX('Live History'!$B$5:$B$3004,AH!$P$13+82),INDEX('AH History'!$B$1:$B$18046,AH!$P$7+82))),NA()),NA())</ns0:f>
        <ns0:v>588.0</ns0:v>
      </ns0:c>
      <ns0:c r="D87">
        <ns0:f>IFERROR(IF(ISNUMBER($A87),IF(AND(AH!$P$10=1,AH!$P$12=1,$A87=TODAY()),AH!$P$18,IF(AH!$P$10=1,INDEX('Live History'!$E$5:$E$3004,MATCH($A87,'Live History'!$D$5:$D$3004,1)),INDEX('AH History'!$C$1:$C$18046,AH!$P$7+82))),NA()),NA())</ns0:f>
        <ns0:v>400.0</ns0:v>
      </ns0:c>
      <ns0:c r="E87">
        <ns0:f>IFERROR(IF(ISNUMBER($A87),IF(AND(AH!$P$10=1,AH!$P$12=1,$A87=TODAY()),AH!$P$20,IF(AH!$P$10=1,INDEX('Live History'!$H$5:$H$3004,MATCH($A87,'Live History'!$G$5:$G$3004,1)),INDEX('AH History'!$D$1:$D$18046,AH!$P$7+82))),NA()),NA())</ns0:f>
        <ns0:v>1.1498219966888428</ns0:v>
      </ns0:c>
      <ns0:c r="F87">
        <ns0:f>IFERROR(IF(ISNUMBER($A87),IF(AND(AH!$P$10=1,AH!$P$12=1,$A87=TODAY()),IF(AND(AH!$P$10=1,AH!$P$12=1,$A87=TODAY()),TODAY(),NA()),IF(AH!$P$10=1,INDEX('Live History'!$D$5:$D$3004,MATCH($A87,'Live History'!$D$5:$D$3004,1)),INDEX('AH History'!$E$1:$E$18046,AH!$P$7+82))),NA()),NA())</ns0:f>
        <ns0:v>46160</ns0:v>
      </ns0:c>
      <ns0:c r="G87">
        <ns0:f>IFERROR(IF(ISNUMBER($A87),IF(AND(AH!$P$10=1,AH!$P$12=1,$A87=TODAY()),IF(AND(AH!$P$10=1,AH!$P$12=1,$A87=TODAY()),TODAY(),NA()),IF(AH!$P$10=1,INDEX('Live History'!$G$5:$G$3004,MATCH($A87,'Live History'!$G$5:$G$3004,1)),INDEX('AH History'!$F$1:$F$18046,AH!$P$7+82))),NA()),NA())</ns0:f>
        <ns0:v>46160</ns0:v>
      </ns0:c>
      <ns0:c r="H87">
        <ns0:f>IFERROR(IF(AND(AH!$E$4="Bloomberg",AH!$P$10=1,ISNUMBER($A87),$A87&lt;=AH!$P$17),AH!$P$7-1+MATCH($A87,INDEX('AH History'!$A$1:$A$18046,AH!$P$7):INDEX('AH History'!$A$1:$A$18046,AH!$P$7+AH!$P$8-1),0),0),0)</ns0:f>
        <ns0:v/>
      </ns0:c>
      <ns0:c r="I87">
        <ns0:f>IF($H87=0,0,IFERROR(IF(AND(ABS($C87-INDEX('AH History'!$B$1:$B$18046,$H87))&lt;=MAX(0.005,ABS(INDEX('AH History'!$B$1:$B$18046,$H87))*0.00005),ABS($D87-INDEX('AH History'!$C$1:$C$18046,$H87))&lt;=MAX(0.005,ABS(INDEX('AH History'!$C$1:$C$18046,$H87))*0.00005),ABS($E87-INDEX('AH History'!$D$1:$D$18046,$H87))&lt;=0.00005,$F87=INDEX('AH History'!$E$1:$E$18046,$H87),$G87=INDEX('AH History'!$F$1:$F$18046,$H87)),1,-1),-1))</ns0:f>
        <ns0:v/>
      </ns0:c>
    </ns0:row>
    <ns0:row r="88">
      <ns0:c r="A88" s="215">
        <ns0:f>IF(OR(AH!$P$3=0,83+1&gt;AH!$P$11,AND(AH!$E$4&lt;&gt;"Stored",AH!$P$10&lt;&gt;1)),"",IFERROR(IF(AND(AH!$P$21=1,83+1=AH!$P$11),TODAY(),IF(AH!$P$10=1,INDEX('Live History'!$A$5:$A$3004,AH!$P$13+83),INDEX('AH History'!$A$1:$A$18046,AH!$P$7+83))),""))</ns0:f>
        <ns0:v>46161</ns0:v>
      </ns0:c>
      <ns0:c r="B88" s="219">
        <ns0:f>IFERROR(IF(AND(AH!$P$9&lt;&gt;1,$C88&gt;0,$D88&gt;0,$E88&gt;0,$F88&gt;0,$G88&gt;0,$F88&lt;=$A88,$G88&lt;=$A88,$A88-$F88&lt;=10,$A88-$G88&lt;=5),$D88*$E88/$C88-1,NA()),NA())</ns0:f>
        <ns0:v>-0.22613985424421956</ns0:v>
      </ns0:c>
      <ns0:c r="C88">
        <ns0:f>IFERROR(IF(ISNUMBER($A88),IF(AND(AH!$P$10=1,AH!$P$12=1,$A88=TODAY()),AH!$P$19,IF(AH!$P$10=1,INDEX('Live History'!$B$5:$B$3004,AH!$P$13+83),INDEX('AH History'!$B$1:$B$18046,AH!$P$7+83))),NA()),NA())</ns0:f>
        <ns0:v>602.0</ns0:v>
      </ns0:c>
      <ns0:c r="D88">
        <ns0:f>IFERROR(IF(ISNUMBER($A88),IF(AND(AH!$P$10=1,AH!$P$12=1,$A88=TODAY()),AH!$P$18,IF(AH!$P$10=1,INDEX('Live History'!$E$5:$E$3004,MATCH($A88,'Live History'!$D$5:$D$3004,1)),INDEX('AH History'!$C$1:$C$18046,AH!$P$7+83))),NA()),NA())</ns0:f>
        <ns0:v>404.56</ns0:v>
      </ns0:c>
      <ns0:c r="E88">
        <ns0:f>IFERROR(IF(ISNUMBER($A88),IF(AND(AH!$P$10=1,AH!$P$12=1,$A88=TODAY()),AH!$P$20,IF(AH!$P$10=1,INDEX('Live History'!$H$5:$H$3004,MATCH($A88,'Live History'!$G$5:$G$3004,1)),INDEX('AH History'!$D$1:$D$18046,AH!$P$7+83))),NA()),NA())</ns0:f>
        <ns0:v>1.1515320539474487</ns0:v>
      </ns0:c>
      <ns0:c r="F88">
        <ns0:f>IFERROR(IF(ISNUMBER($A88),IF(AND(AH!$P$10=1,AH!$P$12=1,$A88=TODAY()),IF(AND(AH!$P$10=1,AH!$P$12=1,$A88=TODAY()),TODAY(),NA()),IF(AH!$P$10=1,INDEX('Live History'!$D$5:$D$3004,MATCH($A88,'Live History'!$D$5:$D$3004,1)),INDEX('AH History'!$E$1:$E$18046,AH!$P$7+83))),NA()),NA())</ns0:f>
        <ns0:v>46161</ns0:v>
      </ns0:c>
      <ns0:c r="G88">
        <ns0:f>IFERROR(IF(ISNUMBER($A88),IF(AND(AH!$P$10=1,AH!$P$12=1,$A88=TODAY()),IF(AND(AH!$P$10=1,AH!$P$12=1,$A88=TODAY()),TODAY(),NA()),IF(AH!$P$10=1,INDEX('Live History'!$G$5:$G$3004,MATCH($A88,'Live History'!$G$5:$G$3004,1)),INDEX('AH History'!$F$1:$F$18046,AH!$P$7+83))),NA()),NA())</ns0:f>
        <ns0:v>46161</ns0:v>
      </ns0:c>
      <ns0:c r="H88">
        <ns0:f>IFERROR(IF(AND(AH!$E$4="Bloomberg",AH!$P$10=1,ISNUMBER($A88),$A88&lt;=AH!$P$17),AH!$P$7-1+MATCH($A88,INDEX('AH History'!$A$1:$A$18046,AH!$P$7):INDEX('AH History'!$A$1:$A$18046,AH!$P$7+AH!$P$8-1),0),0),0)</ns0:f>
        <ns0:v/>
      </ns0:c>
      <ns0:c r="I88">
        <ns0:f>IF($H88=0,0,IFERROR(IF(AND(ABS($C88-INDEX('AH History'!$B$1:$B$18046,$H88))&lt;=MAX(0.005,ABS(INDEX('AH History'!$B$1:$B$18046,$H88))*0.00005),ABS($D88-INDEX('AH History'!$C$1:$C$18046,$H88))&lt;=MAX(0.005,ABS(INDEX('AH History'!$C$1:$C$18046,$H88))*0.00005),ABS($E88-INDEX('AH History'!$D$1:$D$18046,$H88))&lt;=0.00005,$F88=INDEX('AH History'!$E$1:$E$18046,$H88),$G88=INDEX('AH History'!$F$1:$F$18046,$H88)),1,-1),-1))</ns0:f>
        <ns0:v/>
      </ns0:c>
    </ns0:row>
    <ns0:row r="89">
      <ns0:c r="A89" s="215">
        <ns0:f>IF(OR(AH!$P$3=0,84+1&gt;AH!$P$11,AND(AH!$E$4&lt;&gt;"Stored",AH!$P$10&lt;&gt;1)),"",IFERROR(IF(AND(AH!$P$21=1,84+1=AH!$P$11),TODAY(),IF(AH!$P$10=1,INDEX('Live History'!$A$5:$A$3004,AH!$P$13+84),INDEX('AH History'!$A$1:$A$18046,AH!$P$7+84))),""))</ns0:f>
        <ns0:v>46162</ns0:v>
      </ns0:c>
      <ns0:c r="B89" s="219">
        <ns0:f>IFERROR(IF(AND(AH!$P$9&lt;&gt;1,$C89&gt;0,$D89&gt;0,$E89&gt;0,$F89&gt;0,$G89&gt;0,$F89&lt;=$A89,$G89&lt;=$A89,$A89-$F89&lt;=10,$A89-$G89&lt;=5),$D89*$E89/$C89-1,NA()),NA())</ns0:f>
        <ns0:v>-0.2740122827999638</ns0:v>
      </ns0:c>
      <ns0:c r="C89">
        <ns0:f>IFERROR(IF(ISNUMBER($A89),IF(AND(AH!$P$10=1,AH!$P$12=1,$A89=TODAY()),AH!$P$19,IF(AH!$P$10=1,INDEX('Live History'!$B$5:$B$3004,AH!$P$13+84),INDEX('AH History'!$B$1:$B$18046,AH!$P$7+84))),NA()),NA())</ns0:f>
        <ns0:v>704.5</ns0:v>
      </ns0:c>
      <ns0:c r="D89">
        <ns0:f>IFERROR(IF(ISNUMBER($A89),IF(AND(AH!$P$10=1,AH!$P$12=1,$A89=TODAY()),AH!$P$18,IF(AH!$P$10=1,INDEX('Live History'!$E$5:$E$3004,MATCH($A89,'Live History'!$D$5:$D$3004,1)),INDEX('AH History'!$C$1:$C$18046,AH!$P$7+84))),NA()),NA())</ns0:f>
        <ns0:v>445.02</ns0:v>
      </ns0:c>
      <ns0:c r="E89">
        <ns0:f>IFERROR(IF(ISNUMBER($A89),IF(AND(AH!$P$10=1,AH!$P$12=1,$A89=TODAY()),AH!$P$20,IF(AH!$P$10=1,INDEX('Live History'!$H$5:$H$3004,MATCH($A89,'Live History'!$G$5:$G$3004,1)),INDEX('AH History'!$D$1:$D$18046,AH!$P$7+84))),NA()),NA())</ns0:f>
        <ns0:v>1.1492929458618164</ns0:v>
      </ns0:c>
      <ns0:c r="F89">
        <ns0:f>IFERROR(IF(ISNUMBER($A89),IF(AND(AH!$P$10=1,AH!$P$12=1,$A89=TODAY()),IF(AND(AH!$P$10=1,AH!$P$12=1,$A89=TODAY()),TODAY(),NA()),IF(AH!$P$10=1,INDEX('Live History'!$D$5:$D$3004,MATCH($A89,'Live History'!$D$5:$D$3004,1)),INDEX('AH History'!$E$1:$E$18046,AH!$P$7+84))),NA()),NA())</ns0:f>
        <ns0:v>46162</ns0:v>
      </ns0:c>
      <ns0:c r="G89">
        <ns0:f>IFERROR(IF(ISNUMBER($A89),IF(AND(AH!$P$10=1,AH!$P$12=1,$A89=TODAY()),IF(AND(AH!$P$10=1,AH!$P$12=1,$A89=TODAY()),TODAY(),NA()),IF(AH!$P$10=1,INDEX('Live History'!$G$5:$G$3004,MATCH($A89,'Live History'!$G$5:$G$3004,1)),INDEX('AH History'!$F$1:$F$18046,AH!$P$7+84))),NA()),NA())</ns0:f>
        <ns0:v>46162</ns0:v>
      </ns0:c>
      <ns0:c r="H89">
        <ns0:f>IFERROR(IF(AND(AH!$E$4="Bloomberg",AH!$P$10=1,ISNUMBER($A89),$A89&lt;=AH!$P$17),AH!$P$7-1+MATCH($A89,INDEX('AH History'!$A$1:$A$18046,AH!$P$7):INDEX('AH History'!$A$1:$A$18046,AH!$P$7+AH!$P$8-1),0),0),0)</ns0:f>
        <ns0:v/>
      </ns0:c>
      <ns0:c r="I89">
        <ns0:f>IF($H89=0,0,IFERROR(IF(AND(ABS($C89-INDEX('AH History'!$B$1:$B$18046,$H89))&lt;=MAX(0.005,ABS(INDEX('AH History'!$B$1:$B$18046,$H89))*0.00005),ABS($D89-INDEX('AH History'!$C$1:$C$18046,$H89))&lt;=MAX(0.005,ABS(INDEX('AH History'!$C$1:$C$18046,$H89))*0.00005),ABS($E89-INDEX('AH History'!$D$1:$D$18046,$H89))&lt;=0.00005,$F89=INDEX('AH History'!$E$1:$E$18046,$H89),$G89=INDEX('AH History'!$F$1:$F$18046,$H89)),1,-1),-1))</ns0:f>
        <ns0:v/>
      </ns0:c>
    </ns0:row>
    <ns0:row r="90">
      <ns0:c r="A90" s="215">
        <ns0:f>IF(OR(AH!$P$3=0,85+1&gt;AH!$P$11,AND(AH!$E$4&lt;&gt;"Stored",AH!$P$10&lt;&gt;1)),"",IFERROR(IF(AND(AH!$P$21=1,85+1=AH!$P$11),TODAY(),IF(AH!$P$10=1,INDEX('Live History'!$A$5:$A$3004,AH!$P$13+85),INDEX('AH History'!$A$1:$A$18046,AH!$P$7+85))),""))</ns0:f>
        <ns0:v>46163</ns0:v>
      </ns0:c>
      <ns0:c r="B90" s="219">
        <ns0:f>IFERROR(IF(AND(AH!$P$9&lt;&gt;1,$C90&gt;0,$D90&gt;0,$E90&gt;0,$F90&gt;0,$G90&gt;0,$F90&lt;=$A90,$G90&lt;=$A90,$A90-$F90&lt;=10,$A90-$G90&lt;=5),$D90*$E90/$C90-1,NA()),NA())</ns0:f>
        <ns0:v>-0.2783502311941848</ns0:v>
      </ns0:c>
      <ns0:c r="C90">
        <ns0:f>IFERROR(IF(ISNUMBER($A90),IF(AND(AH!$P$10=1,AH!$P$12=1,$A90=TODAY()),AH!$P$19,IF(AH!$P$10=1,INDEX('Live History'!$B$5:$B$3004,AH!$P$13+85),INDEX('AH History'!$B$1:$B$18046,AH!$P$7+85))),NA()),NA())</ns0:f>
        <ns0:v>689.0</ns0:v>
      </ns0:c>
      <ns0:c r="D90">
        <ns0:f>IFERROR(IF(ISNUMBER($A90),IF(AND(AH!$P$10=1,AH!$P$12=1,$A90=TODAY()),AH!$P$18,IF(AH!$P$10=1,INDEX('Live History'!$E$5:$E$3004,MATCH($A90,'Live History'!$D$5:$D$3004,1)),INDEX('AH History'!$C$1:$C$18046,AH!$P$7+85))),NA()),NA())</ns0:f>
        <ns0:v>431.9</ns0:v>
      </ns0:c>
      <ns0:c r="E90">
        <ns0:f>IFERROR(IF(ISNUMBER($A90),IF(AND(AH!$P$10=1,AH!$P$12=1,$A90=TODAY()),AH!$P$20,IF(AH!$P$10=1,INDEX('Live History'!$H$5:$H$3004,MATCH($A90,'Live History'!$G$5:$G$3004,1)),INDEX('AH History'!$D$1:$D$18046,AH!$P$7+85))),NA()),NA())</ns0:f>
        <ns0:v>1.151231050491333</ns0:v>
      </ns0:c>
      <ns0:c r="F90">
        <ns0:f>IFERROR(IF(ISNUMBER($A90),IF(AND(AH!$P$10=1,AH!$P$12=1,$A90=TODAY()),IF(AND(AH!$P$10=1,AH!$P$12=1,$A90=TODAY()),TODAY(),NA()),IF(AH!$P$10=1,INDEX('Live History'!$D$5:$D$3004,MATCH($A90,'Live History'!$D$5:$D$3004,1)),INDEX('AH History'!$E$1:$E$18046,AH!$P$7+85))),NA()),NA())</ns0:f>
        <ns0:v>46163</ns0:v>
      </ns0:c>
      <ns0:c r="G90">
        <ns0:f>IFERROR(IF(ISNUMBER($A90),IF(AND(AH!$P$10=1,AH!$P$12=1,$A90=TODAY()),IF(AND(AH!$P$10=1,AH!$P$12=1,$A90=TODAY()),TODAY(),NA()),IF(AH!$P$10=1,INDEX('Live History'!$G$5:$G$3004,MATCH($A90,'Live History'!$G$5:$G$3004,1)),INDEX('AH History'!$F$1:$F$18046,AH!$P$7+85))),NA()),NA())</ns0:f>
        <ns0:v>46163</ns0:v>
      </ns0:c>
      <ns0:c r="H90">
        <ns0:f>IFERROR(IF(AND(AH!$E$4="Bloomberg",AH!$P$10=1,ISNUMBER($A90),$A90&lt;=AH!$P$17),AH!$P$7-1+MATCH($A90,INDEX('AH History'!$A$1:$A$18046,AH!$P$7):INDEX('AH History'!$A$1:$A$18046,AH!$P$7+AH!$P$8-1),0),0),0)</ns0:f>
        <ns0:v/>
      </ns0:c>
      <ns0:c r="I90">
        <ns0:f>IF($H90=0,0,IFERROR(IF(AND(ABS($C90-INDEX('AH History'!$B$1:$B$18046,$H90))&lt;=MAX(0.005,ABS(INDEX('AH History'!$B$1:$B$18046,$H90))*0.00005),ABS($D90-INDEX('AH History'!$C$1:$C$18046,$H90))&lt;=MAX(0.005,ABS(INDEX('AH History'!$C$1:$C$18046,$H90))*0.00005),ABS($E90-INDEX('AH History'!$D$1:$D$18046,$H90))&lt;=0.00005,$F90=INDEX('AH History'!$E$1:$E$18046,$H90),$G90=INDEX('AH History'!$F$1:$F$18046,$H90)),1,-1),-1))</ns0:f>
        <ns0:v/>
      </ns0:c>
    </ns0:row>
    <ns0:row r="91">
      <ns0:c r="A91" s="215">
        <ns0:f>IF(OR(AH!$P$3=0,86+1&gt;AH!$P$11,AND(AH!$E$4&lt;&gt;"Stored",AH!$P$10&lt;&gt;1)),"",IFERROR(IF(AND(AH!$P$21=1,86+1=AH!$P$11),TODAY(),IF(AH!$P$10=1,INDEX('Live History'!$A$5:$A$3004,AH!$P$13+86),INDEX('AH History'!$A$1:$A$18046,AH!$P$7+86))),""))</ns0:f>
        <ns0:v>46164</ns0:v>
      </ns0:c>
      <ns0:c r="B91" s="219">
        <ns0:f>IFERROR(IF(AND(AH!$P$9&lt;&gt;1,$C91&gt;0,$D91&gt;0,$E91&gt;0,$F91&gt;0,$G91&gt;0,$F91&lt;=$A91,$G91&lt;=$A91,$A91-$F91&lt;=10,$A91-$G91&lt;=5),$D91*$E91/$C91-1,NA()),NA())</ns0:f>
        <ns0:v>-0.3062359125356747</ns0:v>
      </ns0:c>
      <ns0:c r="C91">
        <ns0:f>IFERROR(IF(ISNUMBER($A91),IF(AND(AH!$P$10=1,AH!$P$12=1,$A91=TODAY()),AH!$P$19,IF(AH!$P$10=1,INDEX('Live History'!$B$5:$B$3004,AH!$P$13+86),INDEX('AH History'!$B$1:$B$18046,AH!$P$7+86))),NA()),NA())</ns0:f>
        <ns0:v>778.0</ns0:v>
      </ns0:c>
      <ns0:c r="D91">
        <ns0:f>IFERROR(IF(ISNUMBER($A91),IF(AND(AH!$P$10=1,AH!$P$12=1,$A91=TODAY()),AH!$P$18,IF(AH!$P$10=1,INDEX('Live History'!$E$5:$E$3004,MATCH($A91,'Live History'!$D$5:$D$3004,1)),INDEX('AH History'!$C$1:$C$18046,AH!$P$7+86))),NA()),NA())</ns0:f>
        <ns0:v>468.74</ns0:v>
      </ns0:c>
      <ns0:c r="E91">
        <ns0:f>IFERROR(IF(ISNUMBER($A91),IF(AND(AH!$P$10=1,AH!$P$12=1,$A91=TODAY()),AH!$P$20,IF(AH!$P$10=1,INDEX('Live History'!$H$5:$H$3004,MATCH($A91,'Live History'!$G$5:$G$3004,1)),INDEX('AH History'!$D$1:$D$18046,AH!$P$7+86))),NA()),NA())</ns0:f>
        <ns0:v>1.151487946510315</ns0:v>
      </ns0:c>
      <ns0:c r="F91">
        <ns0:f>IFERROR(IF(ISNUMBER($A91),IF(AND(AH!$P$10=1,AH!$P$12=1,$A91=TODAY()),IF(AND(AH!$P$10=1,AH!$P$12=1,$A91=TODAY()),TODAY(),NA()),IF(AH!$P$10=1,INDEX('Live History'!$D$5:$D$3004,MATCH($A91,'Live History'!$D$5:$D$3004,1)),INDEX('AH History'!$E$1:$E$18046,AH!$P$7+86))),NA()),NA())</ns0:f>
        <ns0:v>46164</ns0:v>
      </ns0:c>
      <ns0:c r="G91">
        <ns0:f>IFERROR(IF(ISNUMBER($A91),IF(AND(AH!$P$10=1,AH!$P$12=1,$A91=TODAY()),IF(AND(AH!$P$10=1,AH!$P$12=1,$A91=TODAY()),TODAY(),NA()),IF(AH!$P$10=1,INDEX('Live History'!$G$5:$G$3004,MATCH($A91,'Live History'!$G$5:$G$3004,1)),INDEX('AH History'!$F$1:$F$18046,AH!$P$7+86))),NA()),NA())</ns0:f>
        <ns0:v>46164</ns0:v>
      </ns0:c>
      <ns0:c r="H91">
        <ns0:f>IFERROR(IF(AND(AH!$E$4="Bloomberg",AH!$P$10=1,ISNUMBER($A91),$A91&lt;=AH!$P$17),AH!$P$7-1+MATCH($A91,INDEX('AH History'!$A$1:$A$18046,AH!$P$7):INDEX('AH History'!$A$1:$A$18046,AH!$P$7+AH!$P$8-1),0),0),0)</ns0:f>
        <ns0:v/>
      </ns0:c>
      <ns0:c r="I91">
        <ns0:f>IF($H91=0,0,IFERROR(IF(AND(ABS($C91-INDEX('AH History'!$B$1:$B$18046,$H91))&lt;=MAX(0.005,ABS(INDEX('AH History'!$B$1:$B$18046,$H91))*0.00005),ABS($D91-INDEX('AH History'!$C$1:$C$18046,$H91))&lt;=MAX(0.005,ABS(INDEX('AH History'!$C$1:$C$18046,$H91))*0.00005),ABS($E91-INDEX('AH History'!$D$1:$D$18046,$H91))&lt;=0.00005,$F91=INDEX('AH History'!$E$1:$E$18046,$H91),$G91=INDEX('AH History'!$F$1:$F$18046,$H91)),1,-1),-1))</ns0:f>
        <ns0:v/>
      </ns0:c>
    </ns0:row>
    <ns0:row r="92">
      <ns0:c r="A92" s="215">
        <ns0:f>IF(OR(AH!$P$3=0,87+1&gt;AH!$P$11,AND(AH!$E$4&lt;&gt;"Stored",AH!$P$10&lt;&gt;1)),"",IFERROR(IF(AND(AH!$P$21=1,87+1=AH!$P$11),TODAY(),IF(AH!$P$10=1,INDEX('Live History'!$A$5:$A$3004,AH!$P$13+87),INDEX('AH History'!$A$1:$A$18046,AH!$P$7+87))),""))</ns0:f>
        <ns0:v>46168</ns0:v>
      </ns0:c>
      <ns0:c r="B92" s="219">
        <ns0:f>IFERROR(IF(AND(AH!$P$9&lt;&gt;1,$C92&gt;0,$D92&gt;0,$E92&gt;0,$F92&gt;0,$G92&gt;0,$F92&lt;=$A92,$G92&lt;=$A92,$A92-$F92&lt;=10,$A92-$G92&lt;=5),$D92*$E92/$C92-1,NA()),NA())</ns0:f>
        <ns0:v>-0.2645880645202867</ns0:v>
      </ns0:c>
      <ns0:c r="C92">
        <ns0:f>IFERROR(IF(ISNUMBER($A92),IF(AND(AH!$P$10=1,AH!$P$12=1,$A92=TODAY()),AH!$P$19,IF(AH!$P$10=1,INDEX('Live History'!$B$5:$B$3004,AH!$P$13+87),INDEX('AH History'!$B$1:$B$18046,AH!$P$7+87))),NA()),NA())</ns0:f>
        <ns0:v>825.0</ns0:v>
      </ns0:c>
      <ns0:c r="D92">
        <ns0:f>IFERROR(IF(ISNUMBER($A92),IF(AND(AH!$P$10=1,AH!$P$12=1,$A92=TODAY()),AH!$P$18,IF(AH!$P$10=1,INDEX('Live History'!$E$5:$E$3004,MATCH($A92,'Live History'!$D$5:$D$3004,1)),INDEX('AH History'!$C$1:$C$18046,AH!$P$7+87))),NA()),NA())</ns0:f>
        <ns0:v>526.22</ns0:v>
      </ns0:c>
      <ns0:c r="E92">
        <ns0:f>IFERROR(IF(ISNUMBER($A92),IF(AND(AH!$P$10=1,AH!$P$12=1,$A92=TODAY()),AH!$P$20,IF(AH!$P$10=1,INDEX('Live History'!$H$5:$H$3004,MATCH($A92,'Live History'!$G$5:$G$3004,1)),INDEX('AH History'!$D$1:$D$18046,AH!$P$7+87))),NA()),NA())</ns0:f>
        <ns0:v>1.1529680490493774</ns0:v>
      </ns0:c>
      <ns0:c r="F92">
        <ns0:f>IFERROR(IF(ISNUMBER($A92),IF(AND(AH!$P$10=1,AH!$P$12=1,$A92=TODAY()),IF(AND(AH!$P$10=1,AH!$P$12=1,$A92=TODAY()),TODAY(),NA()),IF(AH!$P$10=1,INDEX('Live History'!$D$5:$D$3004,MATCH($A92,'Live History'!$D$5:$D$3004,1)),INDEX('AH History'!$E$1:$E$18046,AH!$P$7+87))),NA()),NA())</ns0:f>
        <ns0:v>46168</ns0:v>
      </ns0:c>
      <ns0:c r="G92">
        <ns0:f>IFERROR(IF(ISNUMBER($A92),IF(AND(AH!$P$10=1,AH!$P$12=1,$A92=TODAY()),IF(AND(AH!$P$10=1,AH!$P$12=1,$A92=TODAY()),TODAY(),NA()),IF(AH!$P$10=1,INDEX('Live History'!$G$5:$G$3004,MATCH($A92,'Live History'!$G$5:$G$3004,1)),INDEX('AH History'!$F$1:$F$18046,AH!$P$7+87))),NA()),NA())</ns0:f>
        <ns0:v>46168</ns0:v>
      </ns0:c>
      <ns0:c r="H92">
        <ns0:f>IFERROR(IF(AND(AH!$E$4="Bloomberg",AH!$P$10=1,ISNUMBER($A92),$A92&lt;=AH!$P$17),AH!$P$7-1+MATCH($A92,INDEX('AH History'!$A$1:$A$18046,AH!$P$7):INDEX('AH History'!$A$1:$A$18046,AH!$P$7+AH!$P$8-1),0),0),0)</ns0:f>
        <ns0:v/>
      </ns0:c>
      <ns0:c r="I92">
        <ns0:f>IF($H92=0,0,IFERROR(IF(AND(ABS($C92-INDEX('AH History'!$B$1:$B$18046,$H92))&lt;=MAX(0.005,ABS(INDEX('AH History'!$B$1:$B$18046,$H92))*0.00005),ABS($D92-INDEX('AH History'!$C$1:$C$18046,$H92))&lt;=MAX(0.005,ABS(INDEX('AH History'!$C$1:$C$18046,$H92))*0.00005),ABS($E92-INDEX('AH History'!$D$1:$D$18046,$H92))&lt;=0.00005,$F92=INDEX('AH History'!$E$1:$E$18046,$H92),$G92=INDEX('AH History'!$F$1:$F$18046,$H92)),1,-1),-1))</ns0:f>
        <ns0:v/>
      </ns0:c>
    </ns0:row>
    <ns0:row r="93">
      <ns0:c r="A93" s="215">
        <ns0:f>IF(OR(AH!$P$3=0,88+1&gt;AH!$P$11,AND(AH!$E$4&lt;&gt;"Stored",AH!$P$10&lt;&gt;1)),"",IFERROR(IF(AND(AH!$P$21=1,88+1=AH!$P$11),TODAY(),IF(AH!$P$10=1,INDEX('Live History'!$A$5:$A$3004,AH!$P$13+88),INDEX('AH History'!$A$1:$A$18046,AH!$P$7+88))),""))</ns0:f>
        <ns0:v>46169</ns0:v>
      </ns0:c>
      <ns0:c r="B93" s="219">
        <ns0:f>IFERROR(IF(AND(AH!$P$9&lt;&gt;1,$C93&gt;0,$D93&gt;0,$E93&gt;0,$F93&gt;0,$G93&gt;0,$F93&lt;=$A93,$G93&lt;=$A93,$A93-$F93&lt;=10,$A93-$G93&lt;=5),$D93*$E93/$C93-1,NA()),NA())</ns0:f>
        <ns0:v>-0.2953671481305131</ns0:v>
      </ns0:c>
      <ns0:c r="C93">
        <ns0:f>IFERROR(IF(ISNUMBER($A93),IF(AND(AH!$P$10=1,AH!$P$12=1,$A93=TODAY()),AH!$P$19,IF(AH!$P$10=1,INDEX('Live History'!$B$5:$B$3004,AH!$P$13+88),INDEX('AH History'!$B$1:$B$18046,AH!$P$7+88))),NA()),NA())</ns0:f>
        <ns0:v>842.5</ns0:v>
      </ns0:c>
      <ns0:c r="D93">
        <ns0:f>IFERROR(IF(ISNUMBER($A93),IF(AND(AH!$P$10=1,AH!$P$12=1,$A93=TODAY()),AH!$P$18,IF(AH!$P$10=1,INDEX('Live History'!$E$5:$E$3004,MATCH($A93,'Live History'!$D$5:$D$3004,1)),INDEX('AH History'!$C$1:$C$18046,AH!$P$7+88))),NA()),NA())</ns0:f>
        <ns0:v>514.18</ns0:v>
      </ns0:c>
      <ns0:c r="E93">
        <ns0:f>IFERROR(IF(ISNUMBER($A93),IF(AND(AH!$P$10=1,AH!$P$12=1,$A93=TODAY()),AH!$P$20,IF(AH!$P$10=1,INDEX('Live History'!$H$5:$H$3004,MATCH($A93,'Live History'!$G$5:$G$3004,1)),INDEX('AH History'!$D$1:$D$18046,AH!$P$7+88))),NA()),NA())</ns0:f>
        <ns0:v>1.1545629501342773</ns0:v>
      </ns0:c>
      <ns0:c r="F93">
        <ns0:f>IFERROR(IF(ISNUMBER($A93),IF(AND(AH!$P$10=1,AH!$P$12=1,$A93=TODAY()),IF(AND(AH!$P$10=1,AH!$P$12=1,$A93=TODAY()),TODAY(),NA()),IF(AH!$P$10=1,INDEX('Live History'!$D$5:$D$3004,MATCH($A93,'Live History'!$D$5:$D$3004,1)),INDEX('AH History'!$E$1:$E$18046,AH!$P$7+88))),NA()),NA())</ns0:f>
        <ns0:v>46169</ns0:v>
      </ns0:c>
      <ns0:c r="G93">
        <ns0:f>IFERROR(IF(ISNUMBER($A93),IF(AND(AH!$P$10=1,AH!$P$12=1,$A93=TODAY()),IF(AND(AH!$P$10=1,AH!$P$12=1,$A93=TODAY()),TODAY(),NA()),IF(AH!$P$10=1,INDEX('Live History'!$G$5:$G$3004,MATCH($A93,'Live History'!$G$5:$G$3004,1)),INDEX('AH History'!$F$1:$F$18046,AH!$P$7+88))),NA()),NA())</ns0:f>
        <ns0:v>46169</ns0:v>
      </ns0:c>
      <ns0:c r="H93">
        <ns0:f>IFERROR(IF(AND(AH!$E$4="Bloomberg",AH!$P$10=1,ISNUMBER($A93),$A93&lt;=AH!$P$17),AH!$P$7-1+MATCH($A93,INDEX('AH History'!$A$1:$A$18046,AH!$P$7):INDEX('AH History'!$A$1:$A$18046,AH!$P$7+AH!$P$8-1),0),0),0)</ns0:f>
        <ns0:v/>
      </ns0:c>
      <ns0:c r="I93">
        <ns0:f>IF($H93=0,0,IFERROR(IF(AND(ABS($C93-INDEX('AH History'!$B$1:$B$18046,$H93))&lt;=MAX(0.005,ABS(INDEX('AH History'!$B$1:$B$18046,$H93))*0.00005),ABS($D93-INDEX('AH History'!$C$1:$C$18046,$H93))&lt;=MAX(0.005,ABS(INDEX('AH History'!$C$1:$C$18046,$H93))*0.00005),ABS($E93-INDEX('AH History'!$D$1:$D$18046,$H93))&lt;=0.00005,$F93=INDEX('AH History'!$E$1:$E$18046,$H93),$G93=INDEX('AH History'!$F$1:$F$18046,$H93)),1,-1),-1))</ns0:f>
        <ns0:v/>
      </ns0:c>
    </ns0:row>
    <ns0:row r="94">
      <ns0:c r="A94" s="215">
        <ns0:f>IF(OR(AH!$P$3=0,89+1&gt;AH!$P$11,AND(AH!$E$4&lt;&gt;"Stored",AH!$P$10&lt;&gt;1)),"",IFERROR(IF(AND(AH!$P$21=1,89+1=AH!$P$11),TODAY(),IF(AH!$P$10=1,INDEX('Live History'!$A$5:$A$3004,AH!$P$13+89),INDEX('AH History'!$A$1:$A$18046,AH!$P$7+89))),""))</ns0:f>
        <ns0:v>46170</ns0:v>
      </ns0:c>
      <ns0:c r="B94" s="219">
        <ns0:f>IFERROR(IF(AND(AH!$P$9&lt;&gt;1,$C94&gt;0,$D94&gt;0,$E94&gt;0,$F94&gt;0,$G94&gt;0,$F94&lt;=$A94,$G94&lt;=$A94,$A94-$F94&lt;=10,$A94-$G94&lt;=5),$D94*$E94/$C94-1,NA()),NA())</ns0:f>
        <ns0:v>-0.2936057923715326</ns0:v>
      </ns0:c>
      <ns0:c r="C94">
        <ns0:f>IFERROR(IF(ISNUMBER($A94),IF(AND(AH!$P$10=1,AH!$P$12=1,$A94=TODAY()),AH!$P$19,IF(AH!$P$10=1,INDEX('Live History'!$B$5:$B$3004,AH!$P$13+89),INDEX('AH History'!$B$1:$B$18046,AH!$P$7+89))),NA()),NA())</ns0:f>
        <ns0:v>790.0</ns0:v>
      </ns0:c>
      <ns0:c r="D94">
        <ns0:f>IFERROR(IF(ISNUMBER($A94),IF(AND(AH!$P$10=1,AH!$P$12=1,$A94=TODAY()),AH!$P$18,IF(AH!$P$10=1,INDEX('Live History'!$E$5:$E$3004,MATCH($A94,'Live History'!$D$5:$D$3004,1)),INDEX('AH History'!$C$1:$C$18046,AH!$P$7+89))),NA()),NA())</ns0:f>
        <ns0:v>483.0</ns0:v>
      </ns0:c>
      <ns0:c r="E94">
        <ns0:f>IFERROR(IF(ISNUMBER($A94),IF(AND(AH!$P$10=1,AH!$P$12=1,$A94=TODAY()),AH!$P$20,IF(AH!$P$10=1,INDEX('Live History'!$H$5:$H$3004,MATCH($A94,'Live History'!$G$5:$G$3004,1)),INDEX('AH History'!$D$1:$D$18046,AH!$P$7+89))),NA()),NA())</ns0:f>
        <ns0:v>1.155385971069336</ns0:v>
      </ns0:c>
      <ns0:c r="F94">
        <ns0:f>IFERROR(IF(ISNUMBER($A94),IF(AND(AH!$P$10=1,AH!$P$12=1,$A94=TODAY()),IF(AND(AH!$P$10=1,AH!$P$12=1,$A94=TODAY()),TODAY(),NA()),IF(AH!$P$10=1,INDEX('Live History'!$D$5:$D$3004,MATCH($A94,'Live History'!$D$5:$D$3004,1)),INDEX('AH History'!$E$1:$E$18046,AH!$P$7+89))),NA()),NA())</ns0:f>
        <ns0:v>46170</ns0:v>
      </ns0:c>
      <ns0:c r="G94">
        <ns0:f>IFERROR(IF(ISNUMBER($A94),IF(AND(AH!$P$10=1,AH!$P$12=1,$A94=TODAY()),IF(AND(AH!$P$10=1,AH!$P$12=1,$A94=TODAY()),TODAY(),NA()),IF(AH!$P$10=1,INDEX('Live History'!$G$5:$G$3004,MATCH($A94,'Live History'!$G$5:$G$3004,1)),INDEX('AH History'!$F$1:$F$18046,AH!$P$7+89))),NA()),NA())</ns0:f>
        <ns0:v>46170</ns0:v>
      </ns0:c>
      <ns0:c r="H94">
        <ns0:f>IFERROR(IF(AND(AH!$E$4="Bloomberg",AH!$P$10=1,ISNUMBER($A94),$A94&lt;=AH!$P$17),AH!$P$7-1+MATCH($A94,INDEX('AH History'!$A$1:$A$18046,AH!$P$7):INDEX('AH History'!$A$1:$A$18046,AH!$P$7+AH!$P$8-1),0),0),0)</ns0:f>
        <ns0:v/>
      </ns0:c>
      <ns0:c r="I94">
        <ns0:f>IF($H94=0,0,IFERROR(IF(AND(ABS($C94-INDEX('AH History'!$B$1:$B$18046,$H94))&lt;=MAX(0.005,ABS(INDEX('AH History'!$B$1:$B$18046,$H94))*0.00005),ABS($D94-INDEX('AH History'!$C$1:$C$18046,$H94))&lt;=MAX(0.005,ABS(INDEX('AH History'!$C$1:$C$18046,$H94))*0.00005),ABS($E94-INDEX('AH History'!$D$1:$D$18046,$H94))&lt;=0.00005,$F94=INDEX('AH History'!$E$1:$E$18046,$H94),$G94=INDEX('AH History'!$F$1:$F$18046,$H94)),1,-1),-1))</ns0:f>
        <ns0:v/>
      </ns0:c>
    </ns0:row>
    <ns0:row r="95">
      <ns0:c r="A95" s="215">
        <ns0:f>IF(OR(AH!$P$3=0,90+1&gt;AH!$P$11,AND(AH!$E$4&lt;&gt;"Stored",AH!$P$10&lt;&gt;1)),"",IFERROR(IF(AND(AH!$P$21=1,90+1=AH!$P$11),TODAY(),IF(AH!$P$10=1,INDEX('Live History'!$A$5:$A$3004,AH!$P$13+90),INDEX('AH History'!$A$1:$A$18046,AH!$P$7+90))),""))</ns0:f>
        <ns0:v>46171</ns0:v>
      </ns0:c>
      <ns0:c r="B95" s="219">
        <ns0:f>IFERROR(IF(AND(AH!$P$9&lt;&gt;1,$C95&gt;0,$D95&gt;0,$E95&gt;0,$F95&gt;0,$G95&gt;0,$F95&lt;=$A95,$G95&lt;=$A95,$A95-$F95&lt;=10,$A95-$G95&lt;=5),$D95*$E95/$C95-1,NA()),NA())</ns0:f>
        <ns0:v>-0.27090715972797297</ns0:v>
      </ns0:c>
      <ns0:c r="C95">
        <ns0:f>IFERROR(IF(ISNUMBER($A95),IF(AND(AH!$P$10=1,AH!$P$12=1,$A95=TODAY()),AH!$P$19,IF(AH!$P$10=1,INDEX('Live History'!$B$5:$B$3004,AH!$P$13+90),INDEX('AH History'!$B$1:$B$18046,AH!$P$7+90))),NA()),NA())</ns0:f>
        <ns0:v>740.0</ns0:v>
      </ns0:c>
      <ns0:c r="D95">
        <ns0:f>IFERROR(IF(ISNUMBER($A95),IF(AND(AH!$P$10=1,AH!$P$12=1,$A95=TODAY()),AH!$P$18,IF(AH!$P$10=1,INDEX('Live History'!$E$5:$E$3004,MATCH($A95,'Live History'!$D$5:$D$3004,1)),INDEX('AH History'!$C$1:$C$18046,AH!$P$7+90))),NA()),NA())</ns0:f>
        <ns0:v>467.01</ns0:v>
      </ns0:c>
      <ns0:c r="E95">
        <ns0:f>IFERROR(IF(ISNUMBER($A95),IF(AND(AH!$P$10=1,AH!$P$12=1,$A95=TODAY()),AH!$P$20,IF(AH!$P$10=1,INDEX('Live History'!$H$5:$H$3004,MATCH($A95,'Live History'!$G$5:$G$3004,1)),INDEX('AH History'!$D$1:$D$18046,AH!$P$7+90))),NA()),NA())</ns0:f>
        <ns0:v>1.155282974243164</ns0:v>
      </ns0:c>
      <ns0:c r="F95">
        <ns0:f>IFERROR(IF(ISNUMBER($A95),IF(AND(AH!$P$10=1,AH!$P$12=1,$A95=TODAY()),IF(AND(AH!$P$10=1,AH!$P$12=1,$A95=TODAY()),TODAY(),NA()),IF(AH!$P$10=1,INDEX('Live History'!$D$5:$D$3004,MATCH($A95,'Live History'!$D$5:$D$3004,1)),INDEX('AH History'!$E$1:$E$18046,AH!$P$7+90))),NA()),NA())</ns0:f>
        <ns0:v>46171</ns0:v>
      </ns0:c>
      <ns0:c r="G95">
        <ns0:f>IFERROR(IF(ISNUMBER($A95),IF(AND(AH!$P$10=1,AH!$P$12=1,$A95=TODAY()),IF(AND(AH!$P$10=1,AH!$P$12=1,$A95=TODAY()),TODAY(),NA()),IF(AH!$P$10=1,INDEX('Live History'!$G$5:$G$3004,MATCH($A95,'Live History'!$G$5:$G$3004,1)),INDEX('AH History'!$F$1:$F$18046,AH!$P$7+90))),NA()),NA())</ns0:f>
        <ns0:v>46171</ns0:v>
      </ns0:c>
      <ns0:c r="H95">
        <ns0:f>IFERROR(IF(AND(AH!$E$4="Bloomberg",AH!$P$10=1,ISNUMBER($A95),$A95&lt;=AH!$P$17),AH!$P$7-1+MATCH($A95,INDEX('AH History'!$A$1:$A$18046,AH!$P$7):INDEX('AH History'!$A$1:$A$18046,AH!$P$7+AH!$P$8-1),0),0),0)</ns0:f>
        <ns0:v/>
      </ns0:c>
      <ns0:c r="I95">
        <ns0:f>IF($H95=0,0,IFERROR(IF(AND(ABS($C95-INDEX('AH History'!$B$1:$B$18046,$H95))&lt;=MAX(0.005,ABS(INDEX('AH History'!$B$1:$B$18046,$H95))*0.00005),ABS($D95-INDEX('AH History'!$C$1:$C$18046,$H95))&lt;=MAX(0.005,ABS(INDEX('AH History'!$C$1:$C$18046,$H95))*0.00005),ABS($E95-INDEX('AH History'!$D$1:$D$18046,$H95))&lt;=0.00005,$F95=INDEX('AH History'!$E$1:$E$18046,$H95),$G95=INDEX('AH History'!$F$1:$F$18046,$H95)),1,-1),-1))</ns0:f>
        <ns0:v/>
      </ns0:c>
    </ns0:row>
    <ns0:row r="96">
      <ns0:c r="A96" s="215">
        <ns0:f>IF(OR(AH!$P$3=0,91+1&gt;AH!$P$11,AND(AH!$E$4&lt;&gt;"Stored",AH!$P$10&lt;&gt;1)),"",IFERROR(IF(AND(AH!$P$21=1,91+1=AH!$P$11),TODAY(),IF(AH!$P$10=1,INDEX('Live History'!$A$5:$A$3004,AH!$P$13+91),INDEX('AH History'!$A$1:$A$18046,AH!$P$7+91))),""))</ns0:f>
        <ns0:v>46174</ns0:v>
      </ns0:c>
      <ns0:c r="B96" s="219">
        <ns0:f>IFERROR(IF(AND(AH!$P$9&lt;&gt;1,$C96&gt;0,$D96&gt;0,$E96&gt;0,$F96&gt;0,$G96&gt;0,$F96&lt;=$A96,$G96&lt;=$A96,$A96-$F96&lt;=10,$A96-$G96&lt;=5),$D96*$E96/$C96-1,NA()),NA())</ns0:f>
        <ns0:v>-0.23504958021531408</ns0:v>
      </ns0:c>
      <ns0:c r="C96">
        <ns0:f>IFERROR(IF(ISNUMBER($A96),IF(AND(AH!$P$10=1,AH!$P$12=1,$A96=TODAY()),AH!$P$19,IF(AH!$P$10=1,INDEX('Live History'!$B$5:$B$3004,AH!$P$13+91),INDEX('AH History'!$B$1:$B$18046,AH!$P$7+91))),NA()),NA())</ns0:f>
        <ns0:v>708.5</ns0:v>
      </ns0:c>
      <ns0:c r="D96">
        <ns0:f>IFERROR(IF(ISNUMBER($A96),IF(AND(AH!$P$10=1,AH!$P$12=1,$A96=TODAY()),AH!$P$18,IF(AH!$P$10=1,INDEX('Live History'!$E$5:$E$3004,MATCH($A96,'Live History'!$D$5:$D$3004,1)),INDEX('AH History'!$C$1:$C$18046,AH!$P$7+91))),NA()),NA())</ns0:f>
        <ns0:v>468.0</ns0:v>
      </ns0:c>
      <ns0:c r="E96">
        <ns0:f>IFERROR(IF(ISNUMBER($A96),IF(AND(AH!$P$10=1,AH!$P$12=1,$A96=TODAY()),AH!$P$20,IF(AH!$P$10=1,INDEX('Live History'!$H$5:$H$3004,MATCH($A96,'Live History'!$G$5:$G$3004,1)),INDEX('AH History'!$D$1:$D$18046,AH!$P$7+91))),NA()),NA())</ns0:f>
        <ns0:v>1.1580499410629272</ns0:v>
      </ns0:c>
      <ns0:c r="F96">
        <ns0:f>IFERROR(IF(ISNUMBER($A96),IF(AND(AH!$P$10=1,AH!$P$12=1,$A96=TODAY()),IF(AND(AH!$P$10=1,AH!$P$12=1,$A96=TODAY()),TODAY(),NA()),IF(AH!$P$10=1,INDEX('Live History'!$D$5:$D$3004,MATCH($A96,'Live History'!$D$5:$D$3004,1)),INDEX('AH History'!$E$1:$E$18046,AH!$P$7+91))),NA()),NA())</ns0:f>
        <ns0:v>46174</ns0:v>
      </ns0:c>
      <ns0:c r="G96">
        <ns0:f>IFERROR(IF(ISNUMBER($A96),IF(AND(AH!$P$10=1,AH!$P$12=1,$A96=TODAY()),IF(AND(AH!$P$10=1,AH!$P$12=1,$A96=TODAY()),TODAY(),NA()),IF(AH!$P$10=1,INDEX('Live History'!$G$5:$G$3004,MATCH($A96,'Live History'!$G$5:$G$3004,1)),INDEX('AH History'!$F$1:$F$18046,AH!$P$7+91))),NA()),NA())</ns0:f>
        <ns0:v>46174</ns0:v>
      </ns0:c>
      <ns0:c r="H96">
        <ns0:f>IFERROR(IF(AND(AH!$E$4="Bloomberg",AH!$P$10=1,ISNUMBER($A96),$A96&lt;=AH!$P$17),AH!$P$7-1+MATCH($A96,INDEX('AH History'!$A$1:$A$18046,AH!$P$7):INDEX('AH History'!$A$1:$A$18046,AH!$P$7+AH!$P$8-1),0),0),0)</ns0:f>
        <ns0:v/>
      </ns0:c>
      <ns0:c r="I96">
        <ns0:f>IF($H96=0,0,IFERROR(IF(AND(ABS($C96-INDEX('AH History'!$B$1:$B$18046,$H96))&lt;=MAX(0.005,ABS(INDEX('AH History'!$B$1:$B$18046,$H96))*0.00005),ABS($D96-INDEX('AH History'!$C$1:$C$18046,$H96))&lt;=MAX(0.005,ABS(INDEX('AH History'!$C$1:$C$18046,$H96))*0.00005),ABS($E96-INDEX('AH History'!$D$1:$D$18046,$H96))&lt;=0.00005,$F96=INDEX('AH History'!$E$1:$E$18046,$H96),$G96=INDEX('AH History'!$F$1:$F$18046,$H96)),1,-1),-1))</ns0:f>
        <ns0:v/>
      </ns0:c>
    </ns0:row>
    <ns0:row r="97">
      <ns0:c r="A97" s="215">
        <ns0:f>IF(OR(AH!$P$3=0,92+1&gt;AH!$P$11,AND(AH!$E$4&lt;&gt;"Stored",AH!$P$10&lt;&gt;1)),"",IFERROR(IF(AND(AH!$P$21=1,92+1=AH!$P$11),TODAY(),IF(AH!$P$10=1,INDEX('Live History'!$A$5:$A$3004,AH!$P$13+92),INDEX('AH History'!$A$1:$A$18046,AH!$P$7+92))),""))</ns0:f>
        <ns0:v>46175</ns0:v>
      </ns0:c>
      <ns0:c r="B97" s="219">
        <ns0:f>IFERROR(IF(AND(AH!$P$9&lt;&gt;1,$C97&gt;0,$D97&gt;0,$E97&gt;0,$F97&gt;0,$G97&gt;0,$F97&lt;=$A97,$G97&lt;=$A97,$A97-$F97&lt;=10,$A97-$G97&lt;=5),$D97*$E97/$C97-1,NA()),NA())</ns0:f>
        <ns0:v>-0.22660449232230206</ns0:v>
      </ns0:c>
      <ns0:c r="C97">
        <ns0:f>IFERROR(IF(ISNUMBER($A97),IF(AND(AH!$P$10=1,AH!$P$12=1,$A97=TODAY()),AH!$P$19,IF(AH!$P$10=1,INDEX('Live History'!$B$5:$B$3004,AH!$P$13+92),INDEX('AH History'!$B$1:$B$18046,AH!$P$7+92))),NA()),NA())</ns0:f>
        <ns0:v>711.0</ns0:v>
      </ns0:c>
      <ns0:c r="D97">
        <ns0:f>IFERROR(IF(ISNUMBER($A97),IF(AND(AH!$P$10=1,AH!$P$12=1,$A97=TODAY()),AH!$P$18,IF(AH!$P$10=1,INDEX('Live History'!$E$5:$E$3004,MATCH($A97,'Live History'!$D$5:$D$3004,1)),INDEX('AH History'!$C$1:$C$18046,AH!$P$7+92))),NA()),NA())</ns0:f>
        <ns0:v>474.69</ns0:v>
      </ns0:c>
      <ns0:c r="E97">
        <ns0:f>IFERROR(IF(ISNUMBER($A97),IF(AND(AH!$P$10=1,AH!$P$12=1,$A97=TODAY()),AH!$P$20,IF(AH!$P$10=1,INDEX('Live History'!$H$5:$H$3004,MATCH($A97,'Live History'!$G$5:$G$3004,1)),INDEX('AH History'!$D$1:$D$18046,AH!$P$7+92))),NA()),NA())</ns0:f>
        <ns0:v>1.1584069728851318</ns0:v>
      </ns0:c>
      <ns0:c r="F97">
        <ns0:f>IFERROR(IF(ISNUMBER($A97),IF(AND(AH!$P$10=1,AH!$P$12=1,$A97=TODAY()),IF(AND(AH!$P$10=1,AH!$P$12=1,$A97=TODAY()),TODAY(),NA()),IF(AH!$P$10=1,INDEX('Live History'!$D$5:$D$3004,MATCH($A97,'Live History'!$D$5:$D$3004,1)),INDEX('AH History'!$E$1:$E$18046,AH!$P$7+92))),NA()),NA())</ns0:f>
        <ns0:v>46175</ns0:v>
      </ns0:c>
      <ns0:c r="G97">
        <ns0:f>IFERROR(IF(ISNUMBER($A97),IF(AND(AH!$P$10=1,AH!$P$12=1,$A97=TODAY()),IF(AND(AH!$P$10=1,AH!$P$12=1,$A97=TODAY()),TODAY(),NA()),IF(AH!$P$10=1,INDEX('Live History'!$G$5:$G$3004,MATCH($A97,'Live History'!$G$5:$G$3004,1)),INDEX('AH History'!$F$1:$F$18046,AH!$P$7+92))),NA()),NA())</ns0:f>
        <ns0:v>46175</ns0:v>
      </ns0:c>
      <ns0:c r="H97">
        <ns0:f>IFERROR(IF(AND(AH!$E$4="Bloomberg",AH!$P$10=1,ISNUMBER($A97),$A97&lt;=AH!$P$17),AH!$P$7-1+MATCH($A97,INDEX('AH History'!$A$1:$A$18046,AH!$P$7):INDEX('AH History'!$A$1:$A$18046,AH!$P$7+AH!$P$8-1),0),0),0)</ns0:f>
        <ns0:v/>
      </ns0:c>
      <ns0:c r="I97">
        <ns0:f>IF($H97=0,0,IFERROR(IF(AND(ABS($C97-INDEX('AH History'!$B$1:$B$18046,$H97))&lt;=MAX(0.005,ABS(INDEX('AH History'!$B$1:$B$18046,$H97))*0.00005),ABS($D97-INDEX('AH History'!$C$1:$C$18046,$H97))&lt;=MAX(0.005,ABS(INDEX('AH History'!$C$1:$C$18046,$H97))*0.00005),ABS($E97-INDEX('AH History'!$D$1:$D$18046,$H97))&lt;=0.00005,$F97=INDEX('AH History'!$E$1:$E$18046,$H97),$G97=INDEX('AH History'!$F$1:$F$18046,$H97)),1,-1),-1))</ns0:f>
        <ns0:v/>
      </ns0:c>
    </ns0:row>
    <ns0:row r="98">
      <ns0:c r="A98" s="215">
        <ns0:f>IF(OR(AH!$P$3=0,93+1&gt;AH!$P$11,AND(AH!$E$4&lt;&gt;"Stored",AH!$P$10&lt;&gt;1)),"",IFERROR(IF(AND(AH!$P$21=1,93+1=AH!$P$11),TODAY(),IF(AH!$P$10=1,INDEX('Live History'!$A$5:$A$3004,AH!$P$13+93),INDEX('AH History'!$A$1:$A$18046,AH!$P$7+93))),""))</ns0:f>
        <ns0:v>46176</ns0:v>
      </ns0:c>
      <ns0:c r="B98" s="219">
        <ns0:f>IFERROR(IF(AND(AH!$P$9&lt;&gt;1,$C98&gt;0,$D98&gt;0,$E98&gt;0,$F98&gt;0,$G98&gt;0,$F98&lt;=$A98,$G98&lt;=$A98,$A98-$F98&lt;=10,$A98-$G98&lt;=5),$D98*$E98/$C98-1,NA()),NA())</ns0:f>
        <ns0:v>-0.22448176421736632</ns0:v>
      </ns0:c>
      <ns0:c r="C98">
        <ns0:f>IFERROR(IF(ISNUMBER($A98),IF(AND(AH!$P$10=1,AH!$P$12=1,$A98=TODAY()),AH!$P$19,IF(AH!$P$10=1,INDEX('Live History'!$B$5:$B$3004,AH!$P$13+93),INDEX('AH History'!$B$1:$B$18046,AH!$P$7+93))),NA()),NA())</ns0:f>
        <ns0:v>735.5</ns0:v>
      </ns0:c>
      <ns0:c r="D98">
        <ns0:f>IFERROR(IF(ISNUMBER($A98),IF(AND(AH!$P$10=1,AH!$P$12=1,$A98=TODAY()),AH!$P$18,IF(AH!$P$10=1,INDEX('Live History'!$E$5:$E$3004,MATCH($A98,'Live History'!$D$5:$D$3004,1)),INDEX('AH History'!$C$1:$C$18046,AH!$P$7+93))),NA()),NA())</ns0:f>
        <ns0:v>492.23</ns0:v>
      </ns0:c>
      <ns0:c r="E98">
        <ns0:f>IFERROR(IF(ISNUMBER($A98),IF(AND(AH!$P$10=1,AH!$P$12=1,$A98=TODAY()),AH!$P$20,IF(AH!$P$10=1,INDEX('Live History'!$H$5:$H$3004,MATCH($A98,'Live History'!$G$5:$G$3004,1)),INDEX('AH History'!$D$1:$D$18046,AH!$P$7+93))),NA()),NA())</ns0:f>
        <ns0:v>1.1587949991226196</ns0:v>
      </ns0:c>
      <ns0:c r="F98">
        <ns0:f>IFERROR(IF(ISNUMBER($A98),IF(AND(AH!$P$10=1,AH!$P$12=1,$A98=TODAY()),IF(AND(AH!$P$10=1,AH!$P$12=1,$A98=TODAY()),TODAY(),NA()),IF(AH!$P$10=1,INDEX('Live History'!$D$5:$D$3004,MATCH($A98,'Live History'!$D$5:$D$3004,1)),INDEX('AH History'!$E$1:$E$18046,AH!$P$7+93))),NA()),NA())</ns0:f>
        <ns0:v>46176</ns0:v>
      </ns0:c>
      <ns0:c r="G98">
        <ns0:f>IFERROR(IF(ISNUMBER($A98),IF(AND(AH!$P$10=1,AH!$P$12=1,$A98=TODAY()),IF(AND(AH!$P$10=1,AH!$P$12=1,$A98=TODAY()),TODAY(),NA()),IF(AH!$P$10=1,INDEX('Live History'!$G$5:$G$3004,MATCH($A98,'Live History'!$G$5:$G$3004,1)),INDEX('AH History'!$F$1:$F$18046,AH!$P$7+93))),NA()),NA())</ns0:f>
        <ns0:v>46176</ns0:v>
      </ns0:c>
      <ns0:c r="H98">
        <ns0:f>IFERROR(IF(AND(AH!$E$4="Bloomberg",AH!$P$10=1,ISNUMBER($A98),$A98&lt;=AH!$P$17),AH!$P$7-1+MATCH($A98,INDEX('AH History'!$A$1:$A$18046,AH!$P$7):INDEX('AH History'!$A$1:$A$18046,AH!$P$7+AH!$P$8-1),0),0),0)</ns0:f>
        <ns0:v/>
      </ns0:c>
      <ns0:c r="I98">
        <ns0:f>IF($H98=0,0,IFERROR(IF(AND(ABS($C98-INDEX('AH History'!$B$1:$B$18046,$H98))&lt;=MAX(0.005,ABS(INDEX('AH History'!$B$1:$B$18046,$H98))*0.00005),ABS($D98-INDEX('AH History'!$C$1:$C$18046,$H98))&lt;=MAX(0.005,ABS(INDEX('AH History'!$C$1:$C$18046,$H98))*0.00005),ABS($E98-INDEX('AH History'!$D$1:$D$18046,$H98))&lt;=0.00005,$F98=INDEX('AH History'!$E$1:$E$18046,$H98),$G98=INDEX('AH History'!$F$1:$F$18046,$H98)),1,-1),-1))</ns0:f>
        <ns0:v/>
      </ns0:c>
    </ns0:row>
    <ns0:row r="99">
      <ns0:c r="A99" s="215">
        <ns0:f>IF(OR(AH!$P$3=0,94+1&gt;AH!$P$11,AND(AH!$E$4&lt;&gt;"Stored",AH!$P$10&lt;&gt;1)),"",IFERROR(IF(AND(AH!$P$21=1,94+1=AH!$P$11),TODAY(),IF(AH!$P$10=1,INDEX('Live History'!$A$5:$A$3004,AH!$P$13+94),INDEX('AH History'!$A$1:$A$18046,AH!$P$7+94))),""))</ns0:f>
        <ns0:v>46177</ns0:v>
      </ns0:c>
      <ns0:c r="B99" s="219">
        <ns0:f>IFERROR(IF(AND(AH!$P$9&lt;&gt;1,$C99&gt;0,$D99&gt;0,$E99&gt;0,$F99&gt;0,$G99&gt;0,$F99&lt;=$A99,$G99&lt;=$A99,$A99-$F99&lt;=10,$A99-$G99&lt;=5),$D99*$E99/$C99-1,NA()),NA())</ns0:f>
        <ns0:v>-0.22056742883365577</ns0:v>
      </ns0:c>
      <ns0:c r="C99">
        <ns0:f>IFERROR(IF(ISNUMBER($A99),IF(AND(AH!$P$10=1,AH!$P$12=1,$A99=TODAY()),AH!$P$19,IF(AH!$P$10=1,INDEX('Live History'!$B$5:$B$3004,AH!$P$13+94),INDEX('AH History'!$B$1:$B$18046,AH!$P$7+94))),NA()),NA())</ns0:f>
        <ns0:v>786.0</ns0:v>
      </ns0:c>
      <ns0:c r="D99">
        <ns0:f>IFERROR(IF(ISNUMBER($A99),IF(AND(AH!$P$10=1,AH!$P$12=1,$A99=TODAY()),AH!$P$18,IF(AH!$P$10=1,INDEX('Live History'!$E$5:$E$3004,MATCH($A99,'Live History'!$D$5:$D$3004,1)),INDEX('AH History'!$C$1:$C$18046,AH!$P$7+94))),NA()),NA())</ns0:f>
        <ns0:v>529.31</ns0:v>
      </ns0:c>
      <ns0:c r="E99">
        <ns0:f>IFERROR(IF(ISNUMBER($A99),IF(AND(AH!$P$10=1,AH!$P$12=1,$A99=TODAY()),AH!$P$20,IF(AH!$P$10=1,INDEX('Live History'!$H$5:$H$3004,MATCH($A99,'Live History'!$G$5:$G$3004,1)),INDEX('AH History'!$D$1:$D$18046,AH!$P$7+94))),NA()),NA())</ns0:f>
        <ns0:v>1.157420039176941</ns0:v>
      </ns0:c>
      <ns0:c r="F99">
        <ns0:f>IFERROR(IF(ISNUMBER($A99),IF(AND(AH!$P$10=1,AH!$P$12=1,$A99=TODAY()),IF(AND(AH!$P$10=1,AH!$P$12=1,$A99=TODAY()),TODAY(),NA()),IF(AH!$P$10=1,INDEX('Live History'!$D$5:$D$3004,MATCH($A99,'Live History'!$D$5:$D$3004,1)),INDEX('AH History'!$E$1:$E$18046,AH!$P$7+94))),NA()),NA())</ns0:f>
        <ns0:v>46177</ns0:v>
      </ns0:c>
      <ns0:c r="G99">
        <ns0:f>IFERROR(IF(ISNUMBER($A99),IF(AND(AH!$P$10=1,AH!$P$12=1,$A99=TODAY()),IF(AND(AH!$P$10=1,AH!$P$12=1,$A99=TODAY()),TODAY(),NA()),IF(AH!$P$10=1,INDEX('Live History'!$G$5:$G$3004,MATCH($A99,'Live History'!$G$5:$G$3004,1)),INDEX('AH History'!$F$1:$F$18046,AH!$P$7+94))),NA()),NA())</ns0:f>
        <ns0:v>46177</ns0:v>
      </ns0:c>
      <ns0:c r="H99">
        <ns0:f>IFERROR(IF(AND(AH!$E$4="Bloomberg",AH!$P$10=1,ISNUMBER($A99),$A99&lt;=AH!$P$17),AH!$P$7-1+MATCH($A99,INDEX('AH History'!$A$1:$A$18046,AH!$P$7):INDEX('AH History'!$A$1:$A$18046,AH!$P$7+AH!$P$8-1),0),0),0)</ns0:f>
        <ns0:v/>
      </ns0:c>
      <ns0:c r="I99">
        <ns0:f>IF($H99=0,0,IFERROR(IF(AND(ABS($C99-INDEX('AH History'!$B$1:$B$18046,$H99))&lt;=MAX(0.005,ABS(INDEX('AH History'!$B$1:$B$18046,$H99))*0.00005),ABS($D99-INDEX('AH History'!$C$1:$C$18046,$H99))&lt;=MAX(0.005,ABS(INDEX('AH History'!$C$1:$C$18046,$H99))*0.00005),ABS($E99-INDEX('AH History'!$D$1:$D$18046,$H99))&lt;=0.00005,$F99=INDEX('AH History'!$E$1:$E$18046,$H99),$G99=INDEX('AH History'!$F$1:$F$18046,$H99)),1,-1),-1))</ns0:f>
        <ns0:v/>
      </ns0:c>
    </ns0:row>
    <ns0:row r="100">
      <ns0:c r="A100" s="215">
        <ns0:f>IF(OR(AH!$P$3=0,95+1&gt;AH!$P$11,AND(AH!$E$4&lt;&gt;"Stored",AH!$P$10&lt;&gt;1)),"",IFERROR(IF(AND(AH!$P$21=1,95+1=AH!$P$11),TODAY(),IF(AH!$P$10=1,INDEX('Live History'!$A$5:$A$3004,AH!$P$13+95),INDEX('AH History'!$A$1:$A$18046,AH!$P$7+95))),""))</ns0:f>
        <ns0:v>46178</ns0:v>
      </ns0:c>
      <ns0:c r="B100" s="219">
        <ns0:f>IFERROR(IF(AND(AH!$P$9&lt;&gt;1,$C100&gt;0,$D100&gt;0,$E100&gt;0,$F100&gt;0,$G100&gt;0,$F100&lt;=$A100,$G100&lt;=$A100,$A100-$F100&lt;=10,$A100-$G100&lt;=5),$D100*$E100/$C100-1,NA()),NA())</ns0:f>
        <ns0:v>-0.21940789282074613</ns0:v>
      </ns0:c>
      <ns0:c r="C100">
        <ns0:f>IFERROR(IF(ISNUMBER($A100),IF(AND(AH!$P$10=1,AH!$P$12=1,$A100=TODAY()),AH!$P$19,IF(AH!$P$10=1,INDEX('Live History'!$B$5:$B$3004,AH!$P$13+95),INDEX('AH History'!$B$1:$B$18046,AH!$P$7+95))),NA()),NA())</ns0:f>
        <ns0:v>723.0</ns0:v>
      </ns0:c>
      <ns0:c r="D100">
        <ns0:f>IFERROR(IF(ISNUMBER($A100),IF(AND(AH!$P$10=1,AH!$P$12=1,$A100=TODAY()),AH!$P$18,IF(AH!$P$10=1,INDEX('Live History'!$E$5:$E$3004,MATCH($A100,'Live History'!$D$5:$D$3004,1)),INDEX('AH History'!$C$1:$C$18046,AH!$P$7+95))),NA()),NA())</ns0:f>
        <ns0:v>488.0</ns0:v>
      </ns0:c>
      <ns0:c r="E100">
        <ns0:f>IFERROR(IF(ISNUMBER($A100),IF(AND(AH!$P$10=1,AH!$P$12=1,$A100=TODAY()),AH!$P$20,IF(AH!$P$10=1,INDEX('Live History'!$H$5:$H$3004,MATCH($A100,'Live History'!$G$5:$G$3004,1)),INDEX('AH History'!$D$1:$D$18046,AH!$P$7+95))),NA()),NA())</ns0:f>
        <ns0:v>1.156491994857788</ns0:v>
      </ns0:c>
      <ns0:c r="F100">
        <ns0:f>IFERROR(IF(ISNUMBER($A100),IF(AND(AH!$P$10=1,AH!$P$12=1,$A100=TODAY()),IF(AND(AH!$P$10=1,AH!$P$12=1,$A100=TODAY()),TODAY(),NA()),IF(AH!$P$10=1,INDEX('Live History'!$D$5:$D$3004,MATCH($A100,'Live History'!$D$5:$D$3004,1)),INDEX('AH History'!$E$1:$E$18046,AH!$P$7+95))),NA()),NA())</ns0:f>
        <ns0:v>46178</ns0:v>
      </ns0:c>
      <ns0:c r="G100">
        <ns0:f>IFERROR(IF(ISNUMBER($A100),IF(AND(AH!$P$10=1,AH!$P$12=1,$A100=TODAY()),IF(AND(AH!$P$10=1,AH!$P$12=1,$A100=TODAY()),TODAY(),NA()),IF(AH!$P$10=1,INDEX('Live History'!$G$5:$G$3004,MATCH($A100,'Live History'!$G$5:$G$3004,1)),INDEX('AH History'!$F$1:$F$18046,AH!$P$7+95))),NA()),NA())</ns0:f>
        <ns0:v>46178</ns0:v>
      </ns0:c>
      <ns0:c r="H100">
        <ns0:f>IFERROR(IF(AND(AH!$E$4="Bloomberg",AH!$P$10=1,ISNUMBER($A100),$A100&lt;=AH!$P$17),AH!$P$7-1+MATCH($A100,INDEX('AH History'!$A$1:$A$18046,AH!$P$7):INDEX('AH History'!$A$1:$A$18046,AH!$P$7+AH!$P$8-1),0),0),0)</ns0:f>
        <ns0:v/>
      </ns0:c>
      <ns0:c r="I100">
        <ns0:f>IF($H100=0,0,IFERROR(IF(AND(ABS($C100-INDEX('AH History'!$B$1:$B$18046,$H100))&lt;=MAX(0.005,ABS(INDEX('AH History'!$B$1:$B$18046,$H100))*0.00005),ABS($D100-INDEX('AH History'!$C$1:$C$18046,$H100))&lt;=MAX(0.005,ABS(INDEX('AH History'!$C$1:$C$18046,$H100))*0.00005),ABS($E100-INDEX('AH History'!$D$1:$D$18046,$H100))&lt;=0.00005,$F100=INDEX('AH History'!$E$1:$E$18046,$H100),$G100=INDEX('AH History'!$F$1:$F$18046,$H100)),1,-1),-1))</ns0:f>
        <ns0:v/>
      </ns0:c>
    </ns0:row>
    <ns0:row r="101">
      <ns0:c r="A101" s="215">
        <ns0:f>IF(OR(AH!$P$3=0,96+1&gt;AH!$P$11,AND(AH!$E$4&lt;&gt;"Stored",AH!$P$10&lt;&gt;1)),"",IFERROR(IF(AND(AH!$P$21=1,96+1=AH!$P$11),TODAY(),IF(AH!$P$10=1,INDEX('Live History'!$A$5:$A$3004,AH!$P$13+96),INDEX('AH History'!$A$1:$A$18046,AH!$P$7+96))),""))</ns0:f>
        <ns0:v>46181</ns0:v>
      </ns0:c>
      <ns0:c r="B101" s="219">
        <ns0:f>IFERROR(IF(AND(AH!$P$9&lt;&gt;1,$C101&gt;0,$D101&gt;0,$E101&gt;0,$F101&gt;0,$G101&gt;0,$F101&lt;=$A101,$G101&lt;=$A101,$A101-$F101&lt;=10,$A101-$G101&lt;=5),$D101*$E101/$C101-1,NA()),NA())</ns0:f>
        <ns0:v>-0.21043849573547047</ns0:v>
      </ns0:c>
      <ns0:c r="C101">
        <ns0:f>IFERROR(IF(ISNUMBER($A101),IF(AND(AH!$P$10=1,AH!$P$12=1,$A101=TODAY()),AH!$P$19,IF(AH!$P$10=1,INDEX('Live History'!$B$5:$B$3004,AH!$P$13+96),INDEX('AH History'!$B$1:$B$18046,AH!$P$7+96))),NA()),NA())</ns0:f>
        <ns0:v>695.0</ns0:v>
      </ns0:c>
      <ns0:c r="D101">
        <ns0:f>IFERROR(IF(ISNUMBER($A101),IF(AND(AH!$P$10=1,AH!$P$12=1,$A101=TODAY()),AH!$P$18,IF(AH!$P$10=1,INDEX('Live History'!$E$5:$E$3004,MATCH($A101,'Live History'!$D$5:$D$3004,1)),INDEX('AH History'!$C$1:$C$18046,AH!$P$7+96))),NA()),NA())</ns0:f>
        <ns0:v>474.01</ns0:v>
      </ns0:c>
      <ns0:c r="E101">
        <ns0:f>IFERROR(IF(ISNUMBER($A101),IF(AND(AH!$P$10=1,AH!$P$12=1,$A101=TODAY()),AH!$P$20,IF(AH!$P$10=1,INDEX('Live History'!$H$5:$H$3004,MATCH($A101,'Live History'!$G$5:$G$3004,1)),INDEX('AH History'!$D$1:$D$18046,AH!$P$7+96))),NA()),NA())</ns0:f>
        <ns0:v>1.1576659679412842</ns0:v>
      </ns0:c>
      <ns0:c r="F101">
        <ns0:f>IFERROR(IF(ISNUMBER($A101),IF(AND(AH!$P$10=1,AH!$P$12=1,$A101=TODAY()),IF(AND(AH!$P$10=1,AH!$P$12=1,$A101=TODAY()),TODAY(),NA()),IF(AH!$P$10=1,INDEX('Live History'!$D$5:$D$3004,MATCH($A101,'Live History'!$D$5:$D$3004,1)),INDEX('AH History'!$E$1:$E$18046,AH!$P$7+96))),NA()),NA())</ns0:f>
        <ns0:v>46181</ns0:v>
      </ns0:c>
      <ns0:c r="G101">
        <ns0:f>IFERROR(IF(ISNUMBER($A101),IF(AND(AH!$P$10=1,AH!$P$12=1,$A101=TODAY()),IF(AND(AH!$P$10=1,AH!$P$12=1,$A101=TODAY()),TODAY(),NA()),IF(AH!$P$10=1,INDEX('Live History'!$G$5:$G$3004,MATCH($A101,'Live History'!$G$5:$G$3004,1)),INDEX('AH History'!$F$1:$F$18046,AH!$P$7+96))),NA()),NA())</ns0:f>
        <ns0:v>46181</ns0:v>
      </ns0:c>
      <ns0:c r="H101">
        <ns0:f>IFERROR(IF(AND(AH!$E$4="Bloomberg",AH!$P$10=1,ISNUMBER($A101),$A101&lt;=AH!$P$17),AH!$P$7-1+MATCH($A101,INDEX('AH History'!$A$1:$A$18046,AH!$P$7):INDEX('AH History'!$A$1:$A$18046,AH!$P$7+AH!$P$8-1),0),0),0)</ns0:f>
        <ns0:v/>
      </ns0:c>
      <ns0:c r="I101">
        <ns0:f>IF($H101=0,0,IFERROR(IF(AND(ABS($C101-INDEX('AH History'!$B$1:$B$18046,$H101))&lt;=MAX(0.005,ABS(INDEX('AH History'!$B$1:$B$18046,$H101))*0.00005),ABS($D101-INDEX('AH History'!$C$1:$C$18046,$H101))&lt;=MAX(0.005,ABS(INDEX('AH History'!$C$1:$C$18046,$H101))*0.00005),ABS($E101-INDEX('AH History'!$D$1:$D$18046,$H101))&lt;=0.00005,$F101=INDEX('AH History'!$E$1:$E$18046,$H101),$G101=INDEX('AH History'!$F$1:$F$18046,$H101)),1,-1),-1))</ns0:f>
        <ns0:v/>
      </ns0:c>
    </ns0:row>
    <ns0:row r="102">
      <ns0:c r="A102" s="215">
        <ns0:f>IF(OR(AH!$P$3=0,97+1&gt;AH!$P$11,AND(AH!$E$4&lt;&gt;"Stored",AH!$P$10&lt;&gt;1)),"",IFERROR(IF(AND(AH!$P$21=1,97+1=AH!$P$11),TODAY(),IF(AH!$P$10=1,INDEX('Live History'!$A$5:$A$3004,AH!$P$13+97),INDEX('AH History'!$A$1:$A$18046,AH!$P$7+97))),""))</ns0:f>
        <ns0:v>46182</ns0:v>
      </ns0:c>
      <ns0:c r="B102" s="219">
        <ns0:f>IFERROR(IF(AND(AH!$P$9&lt;&gt;1,$C102&gt;0,$D102&gt;0,$E102&gt;0,$F102&gt;0,$G102&gt;0,$F102&lt;=$A102,$G102&lt;=$A102,$A102-$F102&lt;=10,$A102-$G102&lt;=5),$D102*$E102/$C102-1,NA()),NA())</ns0:f>
        <ns0:v>-0.18020857147651148</ns0:v>
      </ns0:c>
      <ns0:c r="C102">
        <ns0:f>IFERROR(IF(ISNUMBER($A102),IF(AND(AH!$P$10=1,AH!$P$12=1,$A102=TODAY()),AH!$P$19,IF(AH!$P$10=1,INDEX('Live History'!$B$5:$B$3004,AH!$P$13+97),INDEX('AH History'!$B$1:$B$18046,AH!$P$7+97))),NA()),NA())</ns0:f>
        <ns0:v>707.0</ns0:v>
      </ns0:c>
      <ns0:c r="D102">
        <ns0:f>IFERROR(IF(ISNUMBER($A102),IF(AND(AH!$P$10=1,AH!$P$12=1,$A102=TODAY()),AH!$P$18,IF(AH!$P$10=1,INDEX('Live History'!$E$5:$E$3004,MATCH($A102,'Live History'!$D$5:$D$3004,1)),INDEX('AH History'!$C$1:$C$18046,AH!$P$7+97))),NA()),NA())</ns0:f>
        <ns0:v>500.5</ns0:v>
      </ns0:c>
      <ns0:c r="E102">
        <ns0:f>IFERROR(IF(ISNUMBER($A102),IF(AND(AH!$P$10=1,AH!$P$12=1,$A102=TODAY()),AH!$P$20,IF(AH!$P$10=1,INDEX('Live History'!$H$5:$H$3004,MATCH($A102,'Live History'!$G$5:$G$3004,1)),INDEX('AH History'!$D$1:$D$18046,AH!$P$7+97))),NA()),NA())</ns0:f>
        <ns0:v>1.1580270528793335</ns0:v>
      </ns0:c>
      <ns0:c r="F102">
        <ns0:f>IFERROR(IF(ISNUMBER($A102),IF(AND(AH!$P$10=1,AH!$P$12=1,$A102=TODAY()),IF(AND(AH!$P$10=1,AH!$P$12=1,$A102=TODAY()),TODAY(),NA()),IF(AH!$P$10=1,INDEX('Live History'!$D$5:$D$3004,MATCH($A102,'Live History'!$D$5:$D$3004,1)),INDEX('AH History'!$E$1:$E$18046,AH!$P$7+97))),NA()),NA())</ns0:f>
        <ns0:v>46182</ns0:v>
      </ns0:c>
      <ns0:c r="G102">
        <ns0:f>IFERROR(IF(ISNUMBER($A102),IF(AND(AH!$P$10=1,AH!$P$12=1,$A102=TODAY()),IF(AND(AH!$P$10=1,AH!$P$12=1,$A102=TODAY()),TODAY(),NA()),IF(AH!$P$10=1,INDEX('Live History'!$G$5:$G$3004,MATCH($A102,'Live History'!$G$5:$G$3004,1)),INDEX('AH History'!$F$1:$F$18046,AH!$P$7+97))),NA()),NA())</ns0:f>
        <ns0:v>46182</ns0:v>
      </ns0:c>
      <ns0:c r="H102">
        <ns0:f>IFERROR(IF(AND(AH!$E$4="Bloomberg",AH!$P$10=1,ISNUMBER($A102),$A102&lt;=AH!$P$17),AH!$P$7-1+MATCH($A102,INDEX('AH History'!$A$1:$A$18046,AH!$P$7):INDEX('AH History'!$A$1:$A$18046,AH!$P$7+AH!$P$8-1),0),0),0)</ns0:f>
        <ns0:v/>
      </ns0:c>
      <ns0:c r="I102">
        <ns0:f>IF($H102=0,0,IFERROR(IF(AND(ABS($C102-INDEX('AH History'!$B$1:$B$18046,$H102))&lt;=MAX(0.005,ABS(INDEX('AH History'!$B$1:$B$18046,$H102))*0.00005),ABS($D102-INDEX('AH History'!$C$1:$C$18046,$H102))&lt;=MAX(0.005,ABS(INDEX('AH History'!$C$1:$C$18046,$H102))*0.00005),ABS($E102-INDEX('AH History'!$D$1:$D$18046,$H102))&lt;=0.00005,$F102=INDEX('AH History'!$E$1:$E$18046,$H102),$G102=INDEX('AH History'!$F$1:$F$18046,$H102)),1,-1),-1))</ns0:f>
        <ns0:v/>
      </ns0:c>
    </ns0:row>
    <ns0:row r="103">
      <ns0:c r="A103" s="215">
        <ns0:f>IF(OR(AH!$P$3=0,98+1&gt;AH!$P$11,AND(AH!$E$4&lt;&gt;"Stored",AH!$P$10&lt;&gt;1)),"",IFERROR(IF(AND(AH!$P$21=1,98+1=AH!$P$11),TODAY(),IF(AH!$P$10=1,INDEX('Live History'!$A$5:$A$3004,AH!$P$13+98),INDEX('AH History'!$A$1:$A$18046,AH!$P$7+98))),""))</ns0:f>
        <ns0:v>46183</ns0:v>
      </ns0:c>
      <ns0:c r="B103" s="219">
        <ns0:f>IFERROR(IF(AND(AH!$P$9&lt;&gt;1,$C103&gt;0,$D103&gt;0,$E103&gt;0,$F103&gt;0,$G103&gt;0,$F103&lt;=$A103,$G103&lt;=$A103,$A103-$F103&lt;=10,$A103-$G103&lt;=5),$D103*$E103/$C103-1,NA()),NA())</ns0:f>
        <ns0:v>-0.14925728559494034</ns0:v>
      </ns0:c>
      <ns0:c r="C103">
        <ns0:f>IFERROR(IF(ISNUMBER($A103),IF(AND(AH!$P$10=1,AH!$P$12=1,$A103=TODAY()),AH!$P$19,IF(AH!$P$10=1,INDEX('Live History'!$B$5:$B$3004,AH!$P$13+98),INDEX('AH History'!$B$1:$B$18046,AH!$P$7+98))),NA()),NA())</ns0:f>
        <ns0:v>654.0</ns0:v>
      </ns0:c>
      <ns0:c r="D103">
        <ns0:f>IFERROR(IF(ISNUMBER($A103),IF(AND(AH!$P$10=1,AH!$P$12=1,$A103=TODAY()),AH!$P$18,IF(AH!$P$10=1,INDEX('Live History'!$E$5:$E$3004,MATCH($A103,'Live History'!$D$5:$D$3004,1)),INDEX('AH History'!$C$1:$C$18046,AH!$P$7+98))),NA()),NA())</ns0:f>
        <ns0:v>480.84</ns0:v>
      </ns0:c>
      <ns0:c r="E103">
        <ns0:f>IFERROR(IF(ISNUMBER($A103),IF(AND(AH!$P$10=1,AH!$P$12=1,$A103=TODAY()),AH!$P$20,IF(AH!$P$10=1,INDEX('Live History'!$H$5:$H$3004,MATCH($A103,'Live History'!$G$5:$G$3004,1)),INDEX('AH History'!$D$1:$D$18046,AH!$P$7+98))),NA()),NA())</ns0:f>
        <ns0:v>1.1571120023727417</ns0:v>
      </ns0:c>
      <ns0:c r="F103">
        <ns0:f>IFERROR(IF(ISNUMBER($A103),IF(AND(AH!$P$10=1,AH!$P$12=1,$A103=TODAY()),IF(AND(AH!$P$10=1,AH!$P$12=1,$A103=TODAY()),TODAY(),NA()),IF(AH!$P$10=1,INDEX('Live History'!$D$5:$D$3004,MATCH($A103,'Live History'!$D$5:$D$3004,1)),INDEX('AH History'!$E$1:$E$18046,AH!$P$7+98))),NA()),NA())</ns0:f>
        <ns0:v>46183</ns0:v>
      </ns0:c>
      <ns0:c r="G103">
        <ns0:f>IFERROR(IF(ISNUMBER($A103),IF(AND(AH!$P$10=1,AH!$P$12=1,$A103=TODAY()),IF(AND(AH!$P$10=1,AH!$P$12=1,$A103=TODAY()),TODAY(),NA()),IF(AH!$P$10=1,INDEX('Live History'!$G$5:$G$3004,MATCH($A103,'Live History'!$G$5:$G$3004,1)),INDEX('AH History'!$F$1:$F$18046,AH!$P$7+98))),NA()),NA())</ns0:f>
        <ns0:v>46183</ns0:v>
      </ns0:c>
      <ns0:c r="H103">
        <ns0:f>IFERROR(IF(AND(AH!$E$4="Bloomberg",AH!$P$10=1,ISNUMBER($A103),$A103&lt;=AH!$P$17),AH!$P$7-1+MATCH($A103,INDEX('AH History'!$A$1:$A$18046,AH!$P$7):INDEX('AH History'!$A$1:$A$18046,AH!$P$7+AH!$P$8-1),0),0),0)</ns0:f>
        <ns0:v/>
      </ns0:c>
      <ns0:c r="I103">
        <ns0:f>IF($H103=0,0,IFERROR(IF(AND(ABS($C103-INDEX('AH History'!$B$1:$B$18046,$H103))&lt;=MAX(0.005,ABS(INDEX('AH History'!$B$1:$B$18046,$H103))*0.00005),ABS($D103-INDEX('AH History'!$C$1:$C$18046,$H103))&lt;=MAX(0.005,ABS(INDEX('AH History'!$C$1:$C$18046,$H103))*0.00005),ABS($E103-INDEX('AH History'!$D$1:$D$18046,$H103))&lt;=0.00005,$F103=INDEX('AH History'!$E$1:$E$18046,$H103),$G103=INDEX('AH History'!$F$1:$F$18046,$H103)),1,-1),-1))</ns0:f>
        <ns0:v/>
      </ns0:c>
    </ns0:row>
    <ns0:row r="104">
      <ns0:c r="A104" s="215">
        <ns0:f>IF(OR(AH!$P$3=0,99+1&gt;AH!$P$11,AND(AH!$E$4&lt;&gt;"Stored",AH!$P$10&lt;&gt;1)),"",IFERROR(IF(AND(AH!$P$21=1,99+1=AH!$P$11),TODAY(),IF(AH!$P$10=1,INDEX('Live History'!$A$5:$A$3004,AH!$P$13+99),INDEX('AH History'!$A$1:$A$18046,AH!$P$7+99))),""))</ns0:f>
        <ns0:v>46184</ns0:v>
      </ns0:c>
      <ns0:c r="B104" s="219">
        <ns0:f>IFERROR(IF(AND(AH!$P$9&lt;&gt;1,$C104&gt;0,$D104&gt;0,$E104&gt;0,$F104&gt;0,$G104&gt;0,$F104&lt;=$A104,$G104&lt;=$A104,$A104-$F104&lt;=10,$A104-$G104&lt;=5),$D104*$E104/$C104-1,NA()),NA())</ns0:f>
        <ns0:v>-0.1857712091837388</ns0:v>
      </ns0:c>
      <ns0:c r="C104">
        <ns0:f>IFERROR(IF(ISNUMBER($A104),IF(AND(AH!$P$10=1,AH!$P$12=1,$A104=TODAY()),AH!$P$19,IF(AH!$P$10=1,INDEX('Live History'!$B$5:$B$3004,AH!$P$13+99),INDEX('AH History'!$B$1:$B$18046,AH!$P$7+99))),NA()),NA())</ns0:f>
        <ns0:v>687.0</ns0:v>
      </ns0:c>
      <ns0:c r="D104">
        <ns0:f>IFERROR(IF(ISNUMBER($A104),IF(AND(AH!$P$10=1,AH!$P$12=1,$A104=TODAY()),AH!$P$18,IF(AH!$P$10=1,INDEX('Live History'!$E$5:$E$3004,MATCH($A104,'Live History'!$D$5:$D$3004,1)),INDEX('AH History'!$C$1:$C$18046,AH!$P$7+99))),NA()),NA())</ns0:f>
        <ns0:v>483.5</ns0:v>
      </ns0:c>
      <ns0:c r="E104">
        <ns0:f>IFERROR(IF(ISNUMBER($A104),IF(AND(AH!$P$10=1,AH!$P$12=1,$A104=TODAY()),AH!$P$20,IF(AH!$P$10=1,INDEX('Live History'!$H$5:$H$3004,MATCH($A104,'Live History'!$G$5:$G$3004,1)),INDEX('AH History'!$D$1:$D$18046,AH!$P$7+99))),NA()),NA())</ns0:f>
        <ns0:v>1.1569290161132812</ns0:v>
      </ns0:c>
      <ns0:c r="F104">
        <ns0:f>IFERROR(IF(ISNUMBER($A104),IF(AND(AH!$P$10=1,AH!$P$12=1,$A104=TODAY()),IF(AND(AH!$P$10=1,AH!$P$12=1,$A104=TODAY()),TODAY(),NA()),IF(AH!$P$10=1,INDEX('Live History'!$D$5:$D$3004,MATCH($A104,'Live History'!$D$5:$D$3004,1)),INDEX('AH History'!$E$1:$E$18046,AH!$P$7+99))),NA()),NA())</ns0:f>
        <ns0:v>46184</ns0:v>
      </ns0:c>
      <ns0:c r="G104">
        <ns0:f>IFERROR(IF(ISNUMBER($A104),IF(AND(AH!$P$10=1,AH!$P$12=1,$A104=TODAY()),IF(AND(AH!$P$10=1,AH!$P$12=1,$A104=TODAY()),TODAY(),NA()),IF(AH!$P$10=1,INDEX('Live History'!$G$5:$G$3004,MATCH($A104,'Live History'!$G$5:$G$3004,1)),INDEX('AH History'!$F$1:$F$18046,AH!$P$7+99))),NA()),NA())</ns0:f>
        <ns0:v>46184</ns0:v>
      </ns0:c>
      <ns0:c r="H104">
        <ns0:f>IFERROR(IF(AND(AH!$E$4="Bloomberg",AH!$P$10=1,ISNUMBER($A104),$A104&lt;=AH!$P$17),AH!$P$7-1+MATCH($A104,INDEX('AH History'!$A$1:$A$18046,AH!$P$7):INDEX('AH History'!$A$1:$A$18046,AH!$P$7+AH!$P$8-1),0),0),0)</ns0:f>
        <ns0:v/>
      </ns0:c>
      <ns0:c r="I104">
        <ns0:f>IF($H104=0,0,IFERROR(IF(AND(ABS($C104-INDEX('AH History'!$B$1:$B$18046,$H104))&lt;=MAX(0.005,ABS(INDEX('AH History'!$B$1:$B$18046,$H104))*0.00005),ABS($D104-INDEX('AH History'!$C$1:$C$18046,$H104))&lt;=MAX(0.005,ABS(INDEX('AH History'!$C$1:$C$18046,$H104))*0.00005),ABS($E104-INDEX('AH History'!$D$1:$D$18046,$H104))&lt;=0.00005,$F104=INDEX('AH History'!$E$1:$E$18046,$H104),$G104=INDEX('AH History'!$F$1:$F$18046,$H104)),1,-1),-1))</ns0:f>
        <ns0:v/>
      </ns0:c>
    </ns0:row>
    <ns0:row r="105">
      <ns0:c r="A105" s="215">
        <ns0:f>IF(OR(AH!$P$3=0,100+1&gt;AH!$P$11,AND(AH!$E$4&lt;&gt;"Stored",AH!$P$10&lt;&gt;1)),"",IFERROR(IF(AND(AH!$P$21=1,100+1=AH!$P$11),TODAY(),IF(AH!$P$10=1,INDEX('Live History'!$A$5:$A$3004,AH!$P$13+100),INDEX('AH History'!$A$1:$A$18046,AH!$P$7+100))),""))</ns0:f>
        <ns0:v>46185</ns0:v>
      </ns0:c>
      <ns0:c r="B105" s="219">
        <ns0:f>IFERROR(IF(AND(AH!$P$9&lt;&gt;1,$C105&gt;0,$D105&gt;0,$E105&gt;0,$F105&gt;0,$G105&gt;0,$F105&lt;=$A105,$G105&lt;=$A105,$A105-$F105&lt;=10,$A105-$G105&lt;=5),$D105*$E105/$C105-1,NA()),NA())</ns0:f>
        <ns0:v>-0.14805525472716874</ns0:v>
      </ns0:c>
      <ns0:c r="C105">
        <ns0:f>IFERROR(IF(ISNUMBER($A105),IF(AND(AH!$P$10=1,AH!$P$12=1,$A105=TODAY()),AH!$P$19,IF(AH!$P$10=1,INDEX('Live History'!$B$5:$B$3004,AH!$P$13+100),INDEX('AH History'!$B$1:$B$18046,AH!$P$7+100))),NA()),NA())</ns0:f>
        <ns0:v>653.5</ns0:v>
      </ns0:c>
      <ns0:c r="D105">
        <ns0:f>IFERROR(IF(ISNUMBER($A105),IF(AND(AH!$P$10=1,AH!$P$12=1,$A105=TODAY()),AH!$P$18,IF(AH!$P$10=1,INDEX('Live History'!$E$5:$E$3004,MATCH($A105,'Live History'!$D$5:$D$3004,1)),INDEX('AH History'!$C$1:$C$18046,AH!$P$7+100))),NA()),NA())</ns0:f>
        <ns0:v>481.47</ns0:v>
      </ns0:c>
      <ns0:c r="E105">
        <ns0:f>IFERROR(IF(ISNUMBER($A105),IF(AND(AH!$P$10=1,AH!$P$12=1,$A105=TODAY()),AH!$P$20,IF(AH!$P$10=1,INDEX('Live History'!$H$5:$H$3004,MATCH($A105,'Live History'!$G$5:$G$3004,1)),INDEX('AH History'!$D$1:$D$18046,AH!$P$7+100))),NA()),NA())</ns0:f>
        <ns0:v>1.1563459634780884</ns0:v>
      </ns0:c>
      <ns0:c r="F105">
        <ns0:f>IFERROR(IF(ISNUMBER($A105),IF(AND(AH!$P$10=1,AH!$P$12=1,$A105=TODAY()),IF(AND(AH!$P$10=1,AH!$P$12=1,$A105=TODAY()),TODAY(),NA()),IF(AH!$P$10=1,INDEX('Live History'!$D$5:$D$3004,MATCH($A105,'Live History'!$D$5:$D$3004,1)),INDEX('AH History'!$E$1:$E$18046,AH!$P$7+100))),NA()),NA())</ns0:f>
        <ns0:v>46185</ns0:v>
      </ns0:c>
      <ns0:c r="G105">
        <ns0:f>IFERROR(IF(ISNUMBER($A105),IF(AND(AH!$P$10=1,AH!$P$12=1,$A105=TODAY()),IF(AND(AH!$P$10=1,AH!$P$12=1,$A105=TODAY()),TODAY(),NA()),IF(AH!$P$10=1,INDEX('Live History'!$G$5:$G$3004,MATCH($A105,'Live History'!$G$5:$G$3004,1)),INDEX('AH History'!$F$1:$F$18046,AH!$P$7+100))),NA()),NA())</ns0:f>
        <ns0:v>46185</ns0:v>
      </ns0:c>
      <ns0:c r="H105">
        <ns0:f>IFERROR(IF(AND(AH!$E$4="Bloomberg",AH!$P$10=1,ISNUMBER($A105),$A105&lt;=AH!$P$17),AH!$P$7-1+MATCH($A105,INDEX('AH History'!$A$1:$A$18046,AH!$P$7):INDEX('AH History'!$A$1:$A$18046,AH!$P$7+AH!$P$8-1),0),0),0)</ns0:f>
        <ns0:v/>
      </ns0:c>
      <ns0:c r="I105">
        <ns0:f>IF($H105=0,0,IFERROR(IF(AND(ABS($C105-INDEX('AH History'!$B$1:$B$18046,$H105))&lt;=MAX(0.005,ABS(INDEX('AH History'!$B$1:$B$18046,$H105))*0.00005),ABS($D105-INDEX('AH History'!$C$1:$C$18046,$H105))&lt;=MAX(0.005,ABS(INDEX('AH History'!$C$1:$C$18046,$H105))*0.00005),ABS($E105-INDEX('AH History'!$D$1:$D$18046,$H105))&lt;=0.00005,$F105=INDEX('AH History'!$E$1:$E$18046,$H105),$G105=INDEX('AH History'!$F$1:$F$18046,$H105)),1,-1),-1))</ns0:f>
        <ns0:v/>
      </ns0:c>
    </ns0:row>
    <ns0:row r="106">
      <ns0:c r="A106" s="215">
        <ns0:f>IF(OR(AH!$P$3=0,101+1&gt;AH!$P$11,AND(AH!$E$4&lt;&gt;"Stored",AH!$P$10&lt;&gt;1)),"",IFERROR(IF(AND(AH!$P$21=1,101+1=AH!$P$11),TODAY(),IF(AH!$P$10=1,INDEX('Live History'!$A$5:$A$3004,AH!$P$13+101),INDEX('AH History'!$A$1:$A$18046,AH!$P$7+101))),""))</ns0:f>
        <ns0:v>46188</ns0:v>
      </ns0:c>
      <ns0:c r="B106" s="219">
        <ns0:f>IFERROR(IF(AND(AH!$P$9&lt;&gt;1,$C106&gt;0,$D106&gt;0,$E106&gt;0,$F106&gt;0,$G106&gt;0,$F106&lt;=$A106,$G106&lt;=$A106,$A106-$F106&lt;=10,$A106-$G106&lt;=5),$D106*$E106/$C106-1,NA()),NA())</ns0:f>
        <ns0:v>-0.17114266815027257</ns0:v>
      </ns0:c>
      <ns0:c r="C106">
        <ns0:f>IFERROR(IF(ISNUMBER($A106),IF(AND(AH!$P$10=1,AH!$P$12=1,$A106=TODAY()),AH!$P$19,IF(AH!$P$10=1,INDEX('Live History'!$B$5:$B$3004,AH!$P$13+101),INDEX('AH History'!$B$1:$B$18046,AH!$P$7+101))),NA()),NA())</ns0:f>
        <ns0:v>723.0</ns0:v>
      </ns0:c>
      <ns0:c r="D106">
        <ns0:f>IFERROR(IF(ISNUMBER($A106),IF(AND(AH!$P$10=1,AH!$P$12=1,$A106=TODAY()),AH!$P$18,IF(AH!$P$10=1,INDEX('Live History'!$E$5:$E$3004,MATCH($A106,'Live History'!$D$5:$D$3004,1)),INDEX('AH History'!$C$1:$C$18046,AH!$P$7+101))),NA()),NA())</ns0:f>
        <ns0:v>518.0</ns0:v>
      </ns0:c>
      <ns0:c r="E106">
        <ns0:f>IFERROR(IF(ISNUMBER($A106),IF(AND(AH!$P$10=1,AH!$P$12=1,$A106=TODAY()),AH!$P$20,IF(AH!$P$10=1,INDEX('Live History'!$H$5:$H$3004,MATCH($A106,'Live History'!$G$5:$G$3004,1)),INDEX('AH History'!$D$1:$D$18046,AH!$P$7+101))),NA()),NA())</ns0:f>
        <ns0:v>1.1568800210952759</ns0:v>
      </ns0:c>
      <ns0:c r="F106">
        <ns0:f>IFERROR(IF(ISNUMBER($A106),IF(AND(AH!$P$10=1,AH!$P$12=1,$A106=TODAY()),IF(AND(AH!$P$10=1,AH!$P$12=1,$A106=TODAY()),TODAY(),NA()),IF(AH!$P$10=1,INDEX('Live History'!$D$5:$D$3004,MATCH($A106,'Live History'!$D$5:$D$3004,1)),INDEX('AH History'!$E$1:$E$18046,AH!$P$7+101))),NA()),NA())</ns0:f>
        <ns0:v>46188</ns0:v>
      </ns0:c>
      <ns0:c r="G106">
        <ns0:f>IFERROR(IF(ISNUMBER($A106),IF(AND(AH!$P$10=1,AH!$P$12=1,$A106=TODAY()),IF(AND(AH!$P$10=1,AH!$P$12=1,$A106=TODAY()),TODAY(),NA()),IF(AH!$P$10=1,INDEX('Live History'!$G$5:$G$3004,MATCH($A106,'Live History'!$G$5:$G$3004,1)),INDEX('AH History'!$F$1:$F$18046,AH!$P$7+101))),NA()),NA())</ns0:f>
        <ns0:v>46188</ns0:v>
      </ns0:c>
      <ns0:c r="H106">
        <ns0:f>IFERROR(IF(AND(AH!$E$4="Bloomberg",AH!$P$10=1,ISNUMBER($A106),$A106&lt;=AH!$P$17),AH!$P$7-1+MATCH($A106,INDEX('AH History'!$A$1:$A$18046,AH!$P$7):INDEX('AH History'!$A$1:$A$18046,AH!$P$7+AH!$P$8-1),0),0),0)</ns0:f>
        <ns0:v/>
      </ns0:c>
      <ns0:c r="I106">
        <ns0:f>IF($H106=0,0,IFERROR(IF(AND(ABS($C106-INDEX('AH History'!$B$1:$B$18046,$H106))&lt;=MAX(0.005,ABS(INDEX('AH History'!$B$1:$B$18046,$H106))*0.00005),ABS($D106-INDEX('AH History'!$C$1:$C$18046,$H106))&lt;=MAX(0.005,ABS(INDEX('AH History'!$C$1:$C$18046,$H106))*0.00005),ABS($E106-INDEX('AH History'!$D$1:$D$18046,$H106))&lt;=0.00005,$F106=INDEX('AH History'!$E$1:$E$18046,$H106),$G106=INDEX('AH History'!$F$1:$F$18046,$H106)),1,-1),-1))</ns0:f>
        <ns0:v/>
      </ns0:c>
    </ns0:row>
    <ns0:row r="107">
      <ns0:c r="A107" s="215">
        <ns0:f>IF(OR(AH!$P$3=0,102+1&gt;AH!$P$11,AND(AH!$E$4&lt;&gt;"Stored",AH!$P$10&lt;&gt;1)),"",IFERROR(IF(AND(AH!$P$21=1,102+1=AH!$P$11),TODAY(),IF(AH!$P$10=1,INDEX('Live History'!$A$5:$A$3004,AH!$P$13+102),INDEX('AH History'!$A$1:$A$18046,AH!$P$7+102))),""))</ns0:f>
        <ns0:v>46189</ns0:v>
      </ns0:c>
      <ns0:c r="B107" s="219">
        <ns0:f>IFERROR(IF(AND(AH!$P$9&lt;&gt;1,$C107&gt;0,$D107&gt;0,$E107&gt;0,$F107&gt;0,$G107&gt;0,$F107&lt;=$A107,$G107&lt;=$A107,$A107-$F107&lt;=10,$A107-$G107&lt;=5),$D107*$E107/$C107-1,NA()),NA())</ns0:f>
        <ns0:v>-0.16133440107755037</ns0:v>
      </ns0:c>
      <ns0:c r="C107">
        <ns0:f>IFERROR(IF(ISNUMBER($A107),IF(AND(AH!$P$10=1,AH!$P$12=1,$A107=TODAY()),AH!$P$19,IF(AH!$P$10=1,INDEX('Live History'!$B$5:$B$3004,AH!$P$13+102),INDEX('AH History'!$B$1:$B$18046,AH!$P$7+102))),NA()),NA())</ns0:f>
        <ns0:v>736.0</ns0:v>
      </ns0:c>
      <ns0:c r="D107">
        <ns0:f>IFERROR(IF(ISNUMBER($A107),IF(AND(AH!$P$10=1,AH!$P$12=1,$A107=TODAY()),AH!$P$18,IF(AH!$P$10=1,INDEX('Live History'!$E$5:$E$3004,MATCH($A107,'Live History'!$D$5:$D$3004,1)),INDEX('AH History'!$C$1:$C$18046,AH!$P$7+102))),NA()),NA())</ns0:f>
        <ns0:v>532.76</ns0:v>
      </ns0:c>
      <ns0:c r="E107">
        <ns0:f>IFERROR(IF(ISNUMBER($A107),IF(AND(AH!$P$10=1,AH!$P$12=1,$A107=TODAY()),AH!$P$20,IF(AH!$P$10=1,INDEX('Live History'!$H$5:$H$3004,MATCH($A107,'Live History'!$G$5:$G$3004,1)),INDEX('AH History'!$D$1:$D$18046,AH!$P$7+102))),NA()),NA())</ns0:f>
        <ns0:v>1.1586040258407593</ns0:v>
      </ns0:c>
      <ns0:c r="F107">
        <ns0:f>IFERROR(IF(ISNUMBER($A107),IF(AND(AH!$P$10=1,AH!$P$12=1,$A107=TODAY()),IF(AND(AH!$P$10=1,AH!$P$12=1,$A107=TODAY()),TODAY(),NA()),IF(AH!$P$10=1,INDEX('Live History'!$D$5:$D$3004,MATCH($A107,'Live History'!$D$5:$D$3004,1)),INDEX('AH History'!$E$1:$E$18046,AH!$P$7+102))),NA()),NA())</ns0:f>
        <ns0:v>46189</ns0:v>
      </ns0:c>
      <ns0:c r="G107">
        <ns0:f>IFERROR(IF(ISNUMBER($A107),IF(AND(AH!$P$10=1,AH!$P$12=1,$A107=TODAY()),IF(AND(AH!$P$10=1,AH!$P$12=1,$A107=TODAY()),TODAY(),NA()),IF(AH!$P$10=1,INDEX('Live History'!$G$5:$G$3004,MATCH($A107,'Live History'!$G$5:$G$3004,1)),INDEX('AH History'!$F$1:$F$18046,AH!$P$7+102))),NA()),NA())</ns0:f>
        <ns0:v>46189</ns0:v>
      </ns0:c>
      <ns0:c r="H107">
        <ns0:f>IFERROR(IF(AND(AH!$E$4="Bloomberg",AH!$P$10=1,ISNUMBER($A107),$A107&lt;=AH!$P$17),AH!$P$7-1+MATCH($A107,INDEX('AH History'!$A$1:$A$18046,AH!$P$7):INDEX('AH History'!$A$1:$A$18046,AH!$P$7+AH!$P$8-1),0),0),0)</ns0:f>
        <ns0:v/>
      </ns0:c>
      <ns0:c r="I107">
        <ns0:f>IF($H107=0,0,IFERROR(IF(AND(ABS($C107-INDEX('AH History'!$B$1:$B$18046,$H107))&lt;=MAX(0.005,ABS(INDEX('AH History'!$B$1:$B$18046,$H107))*0.00005),ABS($D107-INDEX('AH History'!$C$1:$C$18046,$H107))&lt;=MAX(0.005,ABS(INDEX('AH History'!$C$1:$C$18046,$H107))*0.00005),ABS($E107-INDEX('AH History'!$D$1:$D$18046,$H107))&lt;=0.00005,$F107=INDEX('AH History'!$E$1:$E$18046,$H107),$G107=INDEX('AH History'!$F$1:$F$18046,$H107)),1,-1),-1))</ns0:f>
        <ns0:v/>
      </ns0:c>
    </ns0:row>
    <ns0:row r="108">
      <ns0:c r="A108" s="215">
        <ns0:f>IF(OR(AH!$P$3=0,103+1&gt;AH!$P$11,AND(AH!$E$4&lt;&gt;"Stored",AH!$P$10&lt;&gt;1)),"",IFERROR(IF(AND(AH!$P$21=1,103+1=AH!$P$11),TODAY(),IF(AH!$P$10=1,INDEX('Live History'!$A$5:$A$3004,AH!$P$13+103),INDEX('AH History'!$A$1:$A$18046,AH!$P$7+103))),""))</ns0:f>
        <ns0:v>46190</ns0:v>
      </ns0:c>
      <ns0:c r="B108" s="219">
        <ns0:f>IFERROR(IF(AND(AH!$P$9&lt;&gt;1,$C108&gt;0,$D108&gt;0,$E108&gt;0,$F108&gt;0,$G108&gt;0,$F108&lt;=$A108,$G108&lt;=$A108,$A108-$F108&lt;=10,$A108-$G108&lt;=5),$D108*$E108/$C108-1,NA()),NA())</ns0:f>
        <ns0:v>-0.19429993697898384</ns0:v>
      </ns0:c>
      <ns0:c r="C108">
        <ns0:f>IFERROR(IF(ISNUMBER($A108),IF(AND(AH!$P$10=1,AH!$P$12=1,$A108=TODAY()),AH!$P$19,IF(AH!$P$10=1,INDEX('Live History'!$B$5:$B$3004,AH!$P$13+103),INDEX('AH History'!$B$1:$B$18046,AH!$P$7+103))),NA()),NA())</ns0:f>
        <ns0:v>843.0</ns0:v>
      </ns0:c>
      <ns0:c r="D108">
        <ns0:f>IFERROR(IF(ISNUMBER($A108),IF(AND(AH!$P$10=1,AH!$P$12=1,$A108=TODAY()),AH!$P$18,IF(AH!$P$10=1,INDEX('Live History'!$E$5:$E$3004,MATCH($A108,'Live History'!$D$5:$D$3004,1)),INDEX('AH History'!$C$1:$C$18046,AH!$P$7+103))),NA()),NA())</ns0:f>
        <ns0:v>586.04</ns0:v>
      </ns0:c>
      <ns0:c r="E108">
        <ns0:f>IFERROR(IF(ISNUMBER($A108),IF(AND(AH!$P$10=1,AH!$P$12=1,$A108=TODAY()),AH!$P$20,IF(AH!$P$10=1,INDEX('Live History'!$H$5:$H$3004,MATCH($A108,'Live History'!$G$5:$G$3004,1)),INDEX('AH History'!$D$1:$D$18046,AH!$P$7+103))),NA()),NA())</ns0:f>
        <ns0:v>1.158974051475525</ns0:v>
      </ns0:c>
      <ns0:c r="F108">
        <ns0:f>IFERROR(IF(ISNUMBER($A108),IF(AND(AH!$P$10=1,AH!$P$12=1,$A108=TODAY()),IF(AND(AH!$P$10=1,AH!$P$12=1,$A108=TODAY()),TODAY(),NA()),IF(AH!$P$10=1,INDEX('Live History'!$D$5:$D$3004,MATCH($A108,'Live History'!$D$5:$D$3004,1)),INDEX('AH History'!$E$1:$E$18046,AH!$P$7+103))),NA()),NA())</ns0:f>
        <ns0:v>46190</ns0:v>
      </ns0:c>
      <ns0:c r="G108">
        <ns0:f>IFERROR(IF(ISNUMBER($A108),IF(AND(AH!$P$10=1,AH!$P$12=1,$A108=TODAY()),IF(AND(AH!$P$10=1,AH!$P$12=1,$A108=TODAY()),TODAY(),NA()),IF(AH!$P$10=1,INDEX('Live History'!$G$5:$G$3004,MATCH($A108,'Live History'!$G$5:$G$3004,1)),INDEX('AH History'!$F$1:$F$18046,AH!$P$7+103))),NA()),NA())</ns0:f>
        <ns0:v>46190</ns0:v>
      </ns0:c>
      <ns0:c r="H108">
        <ns0:f>IFERROR(IF(AND(AH!$E$4="Bloomberg",AH!$P$10=1,ISNUMBER($A108),$A108&lt;=AH!$P$17),AH!$P$7-1+MATCH($A108,INDEX('AH History'!$A$1:$A$18046,AH!$P$7):INDEX('AH History'!$A$1:$A$18046,AH!$P$7+AH!$P$8-1),0),0),0)</ns0:f>
        <ns0:v/>
      </ns0:c>
      <ns0:c r="I108">
        <ns0:f>IF($H108=0,0,IFERROR(IF(AND(ABS($C108-INDEX('AH History'!$B$1:$B$18046,$H108))&lt;=MAX(0.005,ABS(INDEX('AH History'!$B$1:$B$18046,$H108))*0.00005),ABS($D108-INDEX('AH History'!$C$1:$C$18046,$H108))&lt;=MAX(0.005,ABS(INDEX('AH History'!$C$1:$C$18046,$H108))*0.00005),ABS($E108-INDEX('AH History'!$D$1:$D$18046,$H108))&lt;=0.00005,$F108=INDEX('AH History'!$E$1:$E$18046,$H108),$G108=INDEX('AH History'!$F$1:$F$18046,$H108)),1,-1),-1))</ns0:f>
        <ns0:v/>
      </ns0:c>
    </ns0:row>
    <ns0:row r="109">
      <ns0:c r="A109" s="215">
        <ns0:f>IF(OR(AH!$P$3=0,104+1&gt;AH!$P$11,AND(AH!$E$4&lt;&gt;"Stored",AH!$P$10&lt;&gt;1)),"",IFERROR(IF(AND(AH!$P$21=1,104+1=AH!$P$11),TODAY(),IF(AH!$P$10=1,INDEX('Live History'!$A$5:$A$3004,AH!$P$13+104),INDEX('AH History'!$A$1:$A$18046,AH!$P$7+104))),""))</ns0:f>
        <ns0:v>46191</ns0:v>
      </ns0:c>
      <ns0:c r="B109" s="219">
        <ns0:f>IFERROR(IF(AND(AH!$P$9&lt;&gt;1,$C109&gt;0,$D109&gt;0,$E109&gt;0,$F109&gt;0,$G109&gt;0,$F109&lt;=$A109,$G109&lt;=$A109,$A109-$F109&lt;=10,$A109-$G109&lt;=5),$D109*$E109/$C109-1,NA()),NA())</ns0:f>
        <ns0:v>-0.2233919885338813</ns0:v>
      </ns0:c>
      <ns0:c r="C109">
        <ns0:f>IFERROR(IF(ISNUMBER($A109),IF(AND(AH!$P$10=1,AH!$P$12=1,$A109=TODAY()),AH!$P$19,IF(AH!$P$10=1,INDEX('Live History'!$B$5:$B$3004,AH!$P$13+104),INDEX('AH History'!$B$1:$B$18046,AH!$P$7+104))),NA()),NA())</ns0:f>
        <ns0:v>939.0</ns0:v>
      </ns0:c>
      <ns0:c r="D109">
        <ns0:f>IFERROR(IF(ISNUMBER($A109),IF(AND(AH!$P$10=1,AH!$P$12=1,$A109=TODAY()),AH!$P$18,IF(AH!$P$10=1,INDEX('Live History'!$E$5:$E$3004,MATCH($A109,'Live History'!$D$5:$D$3004,1)),INDEX('AH History'!$C$1:$C$18046,AH!$P$7+104))),NA()),NA())</ns0:f>
        <ns0:v>629.0</ns0:v>
      </ns0:c>
      <ns0:c r="E109">
        <ns0:f>IFERROR(IF(ISNUMBER($A109),IF(AND(AH!$P$10=1,AH!$P$12=1,$A109=TODAY()),AH!$P$20,IF(AH!$P$10=1,INDEX('Live History'!$H$5:$H$3004,MATCH($A109,'Live History'!$G$5:$G$3004,1)),INDEX('AH History'!$D$1:$D$18046,AH!$P$7+104))),NA()),NA())</ns0:f>
        <ns0:v>1.1593559980392456</ns0:v>
      </ns0:c>
      <ns0:c r="F109">
        <ns0:f>IFERROR(IF(ISNUMBER($A109),IF(AND(AH!$P$10=1,AH!$P$12=1,$A109=TODAY()),IF(AND(AH!$P$10=1,AH!$P$12=1,$A109=TODAY()),TODAY(),NA()),IF(AH!$P$10=1,INDEX('Live History'!$D$5:$D$3004,MATCH($A109,'Live History'!$D$5:$D$3004,1)),INDEX('AH History'!$E$1:$E$18046,AH!$P$7+104))),NA()),NA())</ns0:f>
        <ns0:v>46191</ns0:v>
      </ns0:c>
      <ns0:c r="G109">
        <ns0:f>IFERROR(IF(ISNUMBER($A109),IF(AND(AH!$P$10=1,AH!$P$12=1,$A109=TODAY()),IF(AND(AH!$P$10=1,AH!$P$12=1,$A109=TODAY()),TODAY(),NA()),IF(AH!$P$10=1,INDEX('Live History'!$G$5:$G$3004,MATCH($A109,'Live History'!$G$5:$G$3004,1)),INDEX('AH History'!$F$1:$F$18046,AH!$P$7+104))),NA()),NA())</ns0:f>
        <ns0:v>46191</ns0:v>
      </ns0:c>
      <ns0:c r="H109">
        <ns0:f>IFERROR(IF(AND(AH!$E$4="Bloomberg",AH!$P$10=1,ISNUMBER($A109),$A109&lt;=AH!$P$17),AH!$P$7-1+MATCH($A109,INDEX('AH History'!$A$1:$A$18046,AH!$P$7):INDEX('AH History'!$A$1:$A$18046,AH!$P$7+AH!$P$8-1),0),0),0)</ns0:f>
        <ns0:v/>
      </ns0:c>
      <ns0:c r="I109">
        <ns0:f>IF($H109=0,0,IFERROR(IF(AND(ABS($C109-INDEX('AH History'!$B$1:$B$18046,$H109))&lt;=MAX(0.005,ABS(INDEX('AH History'!$B$1:$B$18046,$H109))*0.00005),ABS($D109-INDEX('AH History'!$C$1:$C$18046,$H109))&lt;=MAX(0.005,ABS(INDEX('AH History'!$C$1:$C$18046,$H109))*0.00005),ABS($E109-INDEX('AH History'!$D$1:$D$18046,$H109))&lt;=0.00005,$F109=INDEX('AH History'!$E$1:$E$18046,$H109),$G109=INDEX('AH History'!$F$1:$F$18046,$H109)),1,-1),-1))</ns0:f>
        <ns0:v/>
      </ns0:c>
    </ns0:row>
    <ns0:row r="110">
      <ns0:c r="A110" s="215">
        <ns0:f>IF(OR(AH!$P$3=0,105+1&gt;AH!$P$11,AND(AH!$E$4&lt;&gt;"Stored",AH!$P$10&lt;&gt;1)),"",IFERROR(IF(AND(AH!$P$21=1,105+1=AH!$P$11),TODAY(),IF(AH!$P$10=1,INDEX('Live History'!$A$5:$A$3004,AH!$P$13+105),INDEX('AH History'!$A$1:$A$18046,AH!$P$7+105))),""))</ns0:f>
        <ns0:v>46195</ns0:v>
      </ns0:c>
      <ns0:c r="B110" s="219">
        <ns0:f>IFERROR(IF(AND(AH!$P$9&lt;&gt;1,$C110&gt;0,$D110&gt;0,$E110&gt;0,$F110&gt;0,$G110&gt;0,$F110&lt;=$A110,$G110&lt;=$A110,$A110-$F110&lt;=10,$A110-$G110&lt;=5),$D110*$E110/$C110-1,NA()),NA())</ns0:f>
        <ns0:v>-0.2353222446537565</ns0:v>
      </ns0:c>
      <ns0:c r="C110">
        <ns0:f>IFERROR(IF(ISNUMBER($A110),IF(AND(AH!$P$10=1,AH!$P$12=1,$A110=TODAY()),AH!$P$19,IF(AH!$P$10=1,INDEX('Live History'!$B$5:$B$3004,AH!$P$13+105),INDEX('AH History'!$B$1:$B$18046,AH!$P$7+105))),NA()),NA())</ns0:f>
        <ns0:v>1044.0</ns0:v>
      </ns0:c>
      <ns0:c r="D110">
        <ns0:f>IFERROR(IF(ISNUMBER($A110),IF(AND(AH!$P$10=1,AH!$P$12=1,$A110=TODAY()),AH!$P$18,IF(AH!$P$10=1,INDEX('Live History'!$E$5:$E$3004,MATCH($A110,'Live History'!$D$5:$D$3004,1)),INDEX('AH History'!$C$1:$C$18046,AH!$P$7+105))),NA()),NA())</ns0:f>
        <ns0:v>689.7</ns0:v>
      </ns0:c>
      <ns0:c r="E110">
        <ns0:f>IFERROR(IF(ISNUMBER($A110),IF(AND(AH!$P$10=1,AH!$P$12=1,$A110=TODAY()),AH!$P$20,IF(AH!$P$10=1,INDEX('Live History'!$H$5:$H$3004,MATCH($A110,'Live History'!$G$5:$G$3004,1)),INDEX('AH History'!$D$1:$D$18046,AH!$P$7+105))),NA()),NA())</ns0:f>
        <ns0:v>1.1574939489364624</ns0:v>
      </ns0:c>
      <ns0:c r="F110">
        <ns0:f>IFERROR(IF(ISNUMBER($A110),IF(AND(AH!$P$10=1,AH!$P$12=1,$A110=TODAY()),IF(AND(AH!$P$10=1,AH!$P$12=1,$A110=TODAY()),TODAY(),NA()),IF(AH!$P$10=1,INDEX('Live History'!$D$5:$D$3004,MATCH($A110,'Live History'!$D$5:$D$3004,1)),INDEX('AH History'!$E$1:$E$18046,AH!$P$7+105))),NA()),NA())</ns0:f>
        <ns0:v>46195</ns0:v>
      </ns0:c>
      <ns0:c r="G110">
        <ns0:f>IFERROR(IF(ISNUMBER($A110),IF(AND(AH!$P$10=1,AH!$P$12=1,$A110=TODAY()),IF(AND(AH!$P$10=1,AH!$P$12=1,$A110=TODAY()),TODAY(),NA()),IF(AH!$P$10=1,INDEX('Live History'!$G$5:$G$3004,MATCH($A110,'Live History'!$G$5:$G$3004,1)),INDEX('AH History'!$F$1:$F$18046,AH!$P$7+105))),NA()),NA())</ns0:f>
        <ns0:v>46195</ns0:v>
      </ns0:c>
      <ns0:c r="H110">
        <ns0:f>IFERROR(IF(AND(AH!$E$4="Bloomberg",AH!$P$10=1,ISNUMBER($A110),$A110&lt;=AH!$P$17),AH!$P$7-1+MATCH($A110,INDEX('AH History'!$A$1:$A$18046,AH!$P$7):INDEX('AH History'!$A$1:$A$18046,AH!$P$7+AH!$P$8-1),0),0),0)</ns0:f>
        <ns0:v/>
      </ns0:c>
      <ns0:c r="I110">
        <ns0:f>IF($H110=0,0,IFERROR(IF(AND(ABS($C110-INDEX('AH History'!$B$1:$B$18046,$H110))&lt;=MAX(0.005,ABS(INDEX('AH History'!$B$1:$B$18046,$H110))*0.00005),ABS($D110-INDEX('AH History'!$C$1:$C$18046,$H110))&lt;=MAX(0.005,ABS(INDEX('AH History'!$C$1:$C$18046,$H110))*0.00005),ABS($E110-INDEX('AH History'!$D$1:$D$18046,$H110))&lt;=0.00005,$F110=INDEX('AH History'!$E$1:$E$18046,$H110),$G110=INDEX('AH History'!$F$1:$F$18046,$H110)),1,-1),-1))</ns0:f>
        <ns0:v/>
      </ns0:c>
    </ns0:row>
    <ns0:row r="111">
      <ns0:c r="A111" s="215">
        <ns0:f>IF(OR(AH!$P$3=0,106+1&gt;AH!$P$11,AND(AH!$E$4&lt;&gt;"Stored",AH!$P$10&lt;&gt;1)),"",IFERROR(IF(AND(AH!$P$21=1,106+1=AH!$P$11),TODAY(),IF(AH!$P$10=1,INDEX('Live History'!$A$5:$A$3004,AH!$P$13+106),INDEX('AH History'!$A$1:$A$18046,AH!$P$7+106))),""))</ns0:f>
        <ns0:v>46196</ns0:v>
      </ns0:c>
      <ns0:c r="B111" s="219">
        <ns0:f>IFERROR(IF(AND(AH!$P$9&lt;&gt;1,$C111&gt;0,$D111&gt;0,$E111&gt;0,$F111&gt;0,$G111&gt;0,$F111&lt;=$A111,$G111&lt;=$A111,$A111-$F111&lt;=10,$A111-$G111&lt;=5),$D111*$E111/$C111-1,NA()),NA())</ns0:f>
        <ns0:v>-0.20815870238063305</ns0:v>
      </ns0:c>
      <ns0:c r="C111">
        <ns0:f>IFERROR(IF(ISNUMBER($A111),IF(AND(AH!$P$10=1,AH!$P$12=1,$A111=TODAY()),AH!$P$19,IF(AH!$P$10=1,INDEX('Live History'!$B$5:$B$3004,AH!$P$13+106),INDEX('AH History'!$B$1:$B$18046,AH!$P$7+106))),NA()),NA())</ns0:f>
        <ns0:v>936.5</ns0:v>
      </ns0:c>
      <ns0:c r="D111">
        <ns0:f>IFERROR(IF(ISNUMBER($A111),IF(AND(AH!$P$10=1,AH!$P$12=1,$A111=TODAY()),AH!$P$18,IF(AH!$P$10=1,INDEX('Live History'!$E$5:$E$3004,MATCH($A111,'Live History'!$D$5:$D$3004,1)),INDEX('AH History'!$C$1:$C$18046,AH!$P$7+106))),NA()),NA())</ns0:f>
        <ns0:v>640.99</ns0:v>
      </ns0:c>
      <ns0:c r="E111">
        <ns0:f>IFERROR(IF(ISNUMBER($A111),IF(AND(AH!$P$10=1,AH!$P$12=1,$A111=TODAY()),AH!$P$20,IF(AH!$P$10=1,INDEX('Live History'!$H$5:$H$3004,MATCH($A111,'Live History'!$G$5:$G$3004,1)),INDEX('AH History'!$D$1:$D$18046,AH!$P$7+106))),NA()),NA())</ns0:f>
        <ns0:v>1.156896948814392</ns0:v>
      </ns0:c>
      <ns0:c r="F111">
        <ns0:f>IFERROR(IF(ISNUMBER($A111),IF(AND(AH!$P$10=1,AH!$P$12=1,$A111=TODAY()),IF(AND(AH!$P$10=1,AH!$P$12=1,$A111=TODAY()),TODAY(),NA()),IF(AH!$P$10=1,INDEX('Live History'!$D$5:$D$3004,MATCH($A111,'Live History'!$D$5:$D$3004,1)),INDEX('AH History'!$E$1:$E$18046,AH!$P$7+106))),NA()),NA())</ns0:f>
        <ns0:v>46196</ns0:v>
      </ns0:c>
      <ns0:c r="G111">
        <ns0:f>IFERROR(IF(ISNUMBER($A111),IF(AND(AH!$P$10=1,AH!$P$12=1,$A111=TODAY()),IF(AND(AH!$P$10=1,AH!$P$12=1,$A111=TODAY()),TODAY(),NA()),IF(AH!$P$10=1,INDEX('Live History'!$G$5:$G$3004,MATCH($A111,'Live History'!$G$5:$G$3004,1)),INDEX('AH History'!$F$1:$F$18046,AH!$P$7+106))),NA()),NA())</ns0:f>
        <ns0:v>46196</ns0:v>
      </ns0:c>
      <ns0:c r="H111">
        <ns0:f>IFERROR(IF(AND(AH!$E$4="Bloomberg",AH!$P$10=1,ISNUMBER($A111),$A111&lt;=AH!$P$17),AH!$P$7-1+MATCH($A111,INDEX('AH History'!$A$1:$A$18046,AH!$P$7):INDEX('AH History'!$A$1:$A$18046,AH!$P$7+AH!$P$8-1),0),0),0)</ns0:f>
        <ns0:v/>
      </ns0:c>
      <ns0:c r="I111">
        <ns0:f>IF($H111=0,0,IFERROR(IF(AND(ABS($C111-INDEX('AH History'!$B$1:$B$18046,$H111))&lt;=MAX(0.005,ABS(INDEX('AH History'!$B$1:$B$18046,$H111))*0.00005),ABS($D111-INDEX('AH History'!$C$1:$C$18046,$H111))&lt;=MAX(0.005,ABS(INDEX('AH History'!$C$1:$C$18046,$H111))*0.00005),ABS($E111-INDEX('AH History'!$D$1:$D$18046,$H111))&lt;=0.00005,$F111=INDEX('AH History'!$E$1:$E$18046,$H111),$G111=INDEX('AH History'!$F$1:$F$18046,$H111)),1,-1),-1))</ns0:f>
        <ns0:v/>
      </ns0:c>
    </ns0:row>
    <ns0:row r="112">
      <ns0:c r="A112" s="215">
        <ns0:f>IF(OR(AH!$P$3=0,107+1&gt;AH!$P$11,AND(AH!$E$4&lt;&gt;"Stored",AH!$P$10&lt;&gt;1)),"",IFERROR(IF(AND(AH!$P$21=1,107+1=AH!$P$11),TODAY(),IF(AH!$P$10=1,INDEX('Live History'!$A$5:$A$3004,AH!$P$13+107),INDEX('AH History'!$A$1:$A$18046,AH!$P$7+107))),""))</ns0:f>
        <ns0:v>46197</ns0:v>
      </ns0:c>
      <ns0:c r="B112" s="219">
        <ns0:f>IFERROR(IF(AND(AH!$P$9&lt;&gt;1,$C112&gt;0,$D112&gt;0,$E112&gt;0,$F112&gt;0,$G112&gt;0,$F112&lt;=$A112,$G112&lt;=$A112,$A112-$F112&lt;=10,$A112-$G112&lt;=5),$D112*$E112/$C112-1,NA()),NA())</ns0:f>
        <ns0:v>-0.1748274562845843</ns0:v>
      </ns0:c>
      <ns0:c r="C112">
        <ns0:f>IFERROR(IF(ISNUMBER($A112),IF(AND(AH!$P$10=1,AH!$P$12=1,$A112=TODAY()),AH!$P$19,IF(AH!$P$10=1,INDEX('Live History'!$B$5:$B$3004,AH!$P$13+107),INDEX('AH History'!$B$1:$B$18046,AH!$P$7+107))),NA()),NA())</ns0:f>
        <ns0:v>986.5</ns0:v>
      </ns0:c>
      <ns0:c r="D112">
        <ns0:f>IFERROR(IF(ISNUMBER($A112),IF(AND(AH!$P$10=1,AH!$P$12=1,$A112=TODAY()),AH!$P$18,IF(AH!$P$10=1,INDEX('Live History'!$E$5:$E$3004,MATCH($A112,'Live History'!$D$5:$D$3004,1)),INDEX('AH History'!$C$1:$C$18046,AH!$P$7+107))),NA()),NA())</ns0:f>
        <ns0:v>705.09</ns0:v>
      </ns0:c>
      <ns0:c r="E112">
        <ns0:f>IFERROR(IF(ISNUMBER($A112),IF(AND(AH!$P$10=1,AH!$P$12=1,$A112=TODAY()),AH!$P$20,IF(AH!$P$10=1,INDEX('Live History'!$H$5:$H$3004,MATCH($A112,'Live History'!$G$5:$G$3004,1)),INDEX('AH History'!$D$1:$D$18046,AH!$P$7+107))),NA()),NA())</ns0:f>
        <ns0:v>1.1545089483261108</ns0:v>
      </ns0:c>
      <ns0:c r="F112">
        <ns0:f>IFERROR(IF(ISNUMBER($A112),IF(AND(AH!$P$10=1,AH!$P$12=1,$A112=TODAY()),IF(AND(AH!$P$10=1,AH!$P$12=1,$A112=TODAY()),TODAY(),NA()),IF(AH!$P$10=1,INDEX('Live History'!$D$5:$D$3004,MATCH($A112,'Live History'!$D$5:$D$3004,1)),INDEX('AH History'!$E$1:$E$18046,AH!$P$7+107))),NA()),NA())</ns0:f>
        <ns0:v>46197</ns0:v>
      </ns0:c>
      <ns0:c r="G112">
        <ns0:f>IFERROR(IF(ISNUMBER($A112),IF(AND(AH!$P$10=1,AH!$P$12=1,$A112=TODAY()),IF(AND(AH!$P$10=1,AH!$P$12=1,$A112=TODAY()),TODAY(),NA()),IF(AH!$P$10=1,INDEX('Live History'!$G$5:$G$3004,MATCH($A112,'Live History'!$G$5:$G$3004,1)),INDEX('AH History'!$F$1:$F$18046,AH!$P$7+107))),NA()),NA())</ns0:f>
        <ns0:v>46197</ns0:v>
      </ns0:c>
      <ns0:c r="H112">
        <ns0:f>IFERROR(IF(AND(AH!$E$4="Bloomberg",AH!$P$10=1,ISNUMBER($A112),$A112&lt;=AH!$P$17),AH!$P$7-1+MATCH($A112,INDEX('AH History'!$A$1:$A$18046,AH!$P$7):INDEX('AH History'!$A$1:$A$18046,AH!$P$7+AH!$P$8-1),0),0),0)</ns0:f>
        <ns0:v/>
      </ns0:c>
      <ns0:c r="I112">
        <ns0:f>IF($H112=0,0,IFERROR(IF(AND(ABS($C112-INDEX('AH History'!$B$1:$B$18046,$H112))&lt;=MAX(0.005,ABS(INDEX('AH History'!$B$1:$B$18046,$H112))*0.00005),ABS($D112-INDEX('AH History'!$C$1:$C$18046,$H112))&lt;=MAX(0.005,ABS(INDEX('AH History'!$C$1:$C$18046,$H112))*0.00005),ABS($E112-INDEX('AH History'!$D$1:$D$18046,$H112))&lt;=0.00005,$F112=INDEX('AH History'!$E$1:$E$18046,$H112),$G112=INDEX('AH History'!$F$1:$F$18046,$H112)),1,-1),-1))</ns0:f>
        <ns0:v/>
      </ns0:c>
    </ns0:row>
    <ns0:row r="113">
      <ns0:c r="A113" s="215">
        <ns0:f>IF(OR(AH!$P$3=0,108+1&gt;AH!$P$11,AND(AH!$E$4&lt;&gt;"Stored",AH!$P$10&lt;&gt;1)),"",IFERROR(IF(AND(AH!$P$21=1,108+1=AH!$P$11),TODAY(),IF(AH!$P$10=1,INDEX('Live History'!$A$5:$A$3004,AH!$P$13+108),INDEX('AH History'!$A$1:$A$18046,AH!$P$7+108))),""))</ns0:f>
        <ns0:v>46198</ns0:v>
      </ns0:c>
      <ns0:c r="B113" s="219">
        <ns0:f>IFERROR(IF(AND(AH!$P$9&lt;&gt;1,$C113&gt;0,$D113&gt;0,$E113&gt;0,$F113&gt;0,$G113&gt;0,$F113&lt;=$A113,$G113&lt;=$A113,$A113-$F113&lt;=10,$A113-$G113&lt;=5),$D113*$E113/$C113-1,NA()),NA())</ns0:f>
        <ns0:v>-0.1924998198508786</ns0:v>
      </ns0:c>
      <ns0:c r="C113">
        <ns0:f>IFERROR(IF(ISNUMBER($A113),IF(AND(AH!$P$10=1,AH!$P$12=1,$A113=TODAY()),AH!$P$19,IF(AH!$P$10=1,INDEX('Live History'!$B$5:$B$3004,AH!$P$13+108),INDEX('AH History'!$B$1:$B$18046,AH!$P$7+108))),NA()),NA())</ns0:f>
        <ns0:v>1108.0</ns0:v>
      </ns0:c>
      <ns0:c r="D113">
        <ns0:f>IFERROR(IF(ISNUMBER($A113),IF(AND(AH!$P$10=1,AH!$P$12=1,$A113=TODAY()),AH!$P$18,IF(AH!$P$10=1,INDEX('Live History'!$E$5:$E$3004,MATCH($A113,'Live History'!$D$5:$D$3004,1)),INDEX('AH History'!$C$1:$C$18046,AH!$P$7+108))),NA()),NA())</ns0:f>
        <ns0:v>775.21</ns0:v>
      </ns0:c>
      <ns0:c r="E113">
        <ns0:f>IFERROR(IF(ISNUMBER($A113),IF(AND(AH!$P$10=1,AH!$P$12=1,$A113=TODAY()),AH!$P$20,IF(AH!$P$10=1,INDEX('Live History'!$H$5:$H$3004,MATCH($A113,'Live History'!$G$5:$G$3004,1)),INDEX('AH History'!$D$1:$D$18046,AH!$P$7+108))),NA()),NA())</ns0:f>
        <ns0:v>1.1541520357131958</ns0:v>
      </ns0:c>
      <ns0:c r="F113">
        <ns0:f>IFERROR(IF(ISNUMBER($A113),IF(AND(AH!$P$10=1,AH!$P$12=1,$A113=TODAY()),IF(AND(AH!$P$10=1,AH!$P$12=1,$A113=TODAY()),TODAY(),NA()),IF(AH!$P$10=1,INDEX('Live History'!$D$5:$D$3004,MATCH($A113,'Live History'!$D$5:$D$3004,1)),INDEX('AH History'!$E$1:$E$18046,AH!$P$7+108))),NA()),NA())</ns0:f>
        <ns0:v>46198</ns0:v>
      </ns0:c>
      <ns0:c r="G113">
        <ns0:f>IFERROR(IF(ISNUMBER($A113),IF(AND(AH!$P$10=1,AH!$P$12=1,$A113=TODAY()),IF(AND(AH!$P$10=1,AH!$P$12=1,$A113=TODAY()),TODAY(),NA()),IF(AH!$P$10=1,INDEX('Live History'!$G$5:$G$3004,MATCH($A113,'Live History'!$G$5:$G$3004,1)),INDEX('AH History'!$F$1:$F$18046,AH!$P$7+108))),NA()),NA())</ns0:f>
        <ns0:v>46198</ns0:v>
      </ns0:c>
      <ns0:c r="H113">
        <ns0:f>IFERROR(IF(AND(AH!$E$4="Bloomberg",AH!$P$10=1,ISNUMBER($A113),$A113&lt;=AH!$P$17),AH!$P$7-1+MATCH($A113,INDEX('AH History'!$A$1:$A$18046,AH!$P$7):INDEX('AH History'!$A$1:$A$18046,AH!$P$7+AH!$P$8-1),0),0),0)</ns0:f>
        <ns0:v/>
      </ns0:c>
      <ns0:c r="I113">
        <ns0:f>IF($H113=0,0,IFERROR(IF(AND(ABS($C113-INDEX('AH History'!$B$1:$B$18046,$H113))&lt;=MAX(0.005,ABS(INDEX('AH History'!$B$1:$B$18046,$H113))*0.00005),ABS($D113-INDEX('AH History'!$C$1:$C$18046,$H113))&lt;=MAX(0.005,ABS(INDEX('AH History'!$C$1:$C$18046,$H113))*0.00005),ABS($E113-INDEX('AH History'!$D$1:$D$18046,$H113))&lt;=0.00005,$F113=INDEX('AH History'!$E$1:$E$18046,$H113),$G113=INDEX('AH History'!$F$1:$F$18046,$H113)),1,-1),-1))</ns0:f>
        <ns0:v/>
      </ns0:c>
    </ns0:row>
    <ns0:row r="114">
      <ns0:c r="A114" s="215">
        <ns0:f>IF(OR(AH!$P$3=0,109+1&gt;AH!$P$11,AND(AH!$E$4&lt;&gt;"Stored",AH!$P$10&lt;&gt;1)),"",IFERROR(IF(AND(AH!$P$21=1,109+1=AH!$P$11),TODAY(),IF(AH!$P$10=1,INDEX('Live History'!$A$5:$A$3004,AH!$P$13+109),INDEX('AH History'!$A$1:$A$18046,AH!$P$7+109))),""))</ns0:f>
        <ns0:v>46199</ns0:v>
      </ns0:c>
      <ns0:c r="B114" s="219">
        <ns0:f>IFERROR(IF(AND(AH!$P$9&lt;&gt;1,$C114&gt;0,$D114&gt;0,$E114&gt;0,$F114&gt;0,$G114&gt;0,$F114&lt;=$A114,$G114&lt;=$A114,$A114-$F114&lt;=10,$A114-$G114&lt;=5),$D114*$E114/$C114-1,NA()),NA())</ns0:f>
        <ns0:v>-0.179163674788682</ns0:v>
      </ns0:c>
      <ns0:c r="C114">
        <ns0:f>IFERROR(IF(ISNUMBER($A114),IF(AND(AH!$P$10=1,AH!$P$12=1,$A114=TODAY()),AH!$P$19,IF(AH!$P$10=1,INDEX('Live History'!$B$5:$B$3004,AH!$P$13+109),INDEX('AH History'!$B$1:$B$18046,AH!$P$7+109))),NA()),NA())</ns0:f>
        <ns0:v>1083.0</ns0:v>
      </ns0:c>
      <ns0:c r="D114">
        <ns0:f>IFERROR(IF(ISNUMBER($A114),IF(AND(AH!$P$10=1,AH!$P$12=1,$A114=TODAY()),AH!$P$18,IF(AH!$P$10=1,INDEX('Live History'!$E$5:$E$3004,MATCH($A114,'Live History'!$D$5:$D$3004,1)),INDEX('AH History'!$C$1:$C$18046,AH!$P$7+109))),NA()),NA())</ns0:f>
        <ns0:v>770.0</ns0:v>
      </ns0:c>
      <ns0:c r="E114">
        <ns0:f>IFERROR(IF(ISNUMBER($A114),IF(AND(AH!$P$10=1,AH!$P$12=1,$A114=TODAY()),AH!$P$20,IF(AH!$P$10=1,INDEX('Live History'!$H$5:$H$3004,MATCH($A114,'Live History'!$G$5:$G$3004,1)),INDEX('AH History'!$D$1:$D$18046,AH!$P$7+109))),NA()),NA())</ns0:f>
        <ns0:v>1.154500961303711</ns0:v>
      </ns0:c>
      <ns0:c r="F114">
        <ns0:f>IFERROR(IF(ISNUMBER($A114),IF(AND(AH!$P$10=1,AH!$P$12=1,$A114=TODAY()),IF(AND(AH!$P$10=1,AH!$P$12=1,$A114=TODAY()),TODAY(),NA()),IF(AH!$P$10=1,INDEX('Live History'!$D$5:$D$3004,MATCH($A114,'Live History'!$D$5:$D$3004,1)),INDEX('AH History'!$E$1:$E$18046,AH!$P$7+109))),NA()),NA())</ns0:f>
        <ns0:v>46199</ns0:v>
      </ns0:c>
      <ns0:c r="G114">
        <ns0:f>IFERROR(IF(ISNUMBER($A114),IF(AND(AH!$P$10=1,AH!$P$12=1,$A114=TODAY()),IF(AND(AH!$P$10=1,AH!$P$12=1,$A114=TODAY()),TODAY(),NA()),IF(AH!$P$10=1,INDEX('Live History'!$G$5:$G$3004,MATCH($A114,'Live History'!$G$5:$G$3004,1)),INDEX('AH History'!$F$1:$F$18046,AH!$P$7+109))),NA()),NA())</ns0:f>
        <ns0:v>46199</ns0:v>
      </ns0:c>
      <ns0:c r="H114">
        <ns0:f>IFERROR(IF(AND(AH!$E$4="Bloomberg",AH!$P$10=1,ISNUMBER($A114),$A114&lt;=AH!$P$17),AH!$P$7-1+MATCH($A114,INDEX('AH History'!$A$1:$A$18046,AH!$P$7):INDEX('AH History'!$A$1:$A$18046,AH!$P$7+AH!$P$8-1),0),0),0)</ns0:f>
        <ns0:v/>
      </ns0:c>
      <ns0:c r="I114">
        <ns0:f>IF($H114=0,0,IFERROR(IF(AND(ABS($C114-INDEX('AH History'!$B$1:$B$18046,$H114))&lt;=MAX(0.005,ABS(INDEX('AH History'!$B$1:$B$18046,$H114))*0.00005),ABS($D114-INDEX('AH History'!$C$1:$C$18046,$H114))&lt;=MAX(0.005,ABS(INDEX('AH History'!$C$1:$C$18046,$H114))*0.00005),ABS($E114-INDEX('AH History'!$D$1:$D$18046,$H114))&lt;=0.00005,$F114=INDEX('AH History'!$E$1:$E$18046,$H114),$G114=INDEX('AH History'!$F$1:$F$18046,$H114)),1,-1),-1))</ns0:f>
        <ns0:v/>
      </ns0:c>
    </ns0:row>
    <ns0:row r="115">
      <ns0:c r="A115" s="215">
        <ns0:f>IF(OR(AH!$P$3=0,110+1&gt;AH!$P$11,AND(AH!$E$4&lt;&gt;"Stored",AH!$P$10&lt;&gt;1)),"",IFERROR(IF(AND(AH!$P$21=1,110+1=AH!$P$11),TODAY(),IF(AH!$P$10=1,INDEX('Live History'!$A$5:$A$3004,AH!$P$13+110),INDEX('AH History'!$A$1:$A$18046,AH!$P$7+110))),""))</ns0:f>
        <ns0:v>46202</ns0:v>
      </ns0:c>
      <ns0:c r="B115" s="219">
        <ns0:f>IFERROR(IF(AND(AH!$P$9&lt;&gt;1,$C115&gt;0,$D115&gt;0,$E115&gt;0,$F115&gt;0,$G115&gt;0,$F115&lt;=$A115,$G115&lt;=$A115,$A115-$F115&lt;=10,$A115-$G115&lt;=5),$D115*$E115/$C115-1,NA()),NA())</ns0:f>
        <ns0:v>-0.21921830711395485</ns0:v>
      </ns0:c>
      <ns0:c r="C115">
        <ns0:f>IFERROR(IF(ISNUMBER($A115),IF(AND(AH!$P$10=1,AH!$P$12=1,$A115=TODAY()),AH!$P$19,IF(AH!$P$10=1,INDEX('Live History'!$B$5:$B$3004,AH!$P$13+110),INDEX('AH History'!$B$1:$B$18046,AH!$P$7+110))),NA()),NA())</ns0:f>
        <ns0:v>1241.0</ns0:v>
      </ns0:c>
      <ns0:c r="D115">
        <ns0:f>IFERROR(IF(ISNUMBER($A115),IF(AND(AH!$P$10=1,AH!$P$12=1,$A115=TODAY()),AH!$P$18,IF(AH!$P$10=1,INDEX('Live History'!$E$5:$E$3004,MATCH($A115,'Live History'!$D$5:$D$3004,1)),INDEX('AH History'!$C$1:$C$18046,AH!$P$7+110))),NA()),NA())</ns0:f>
        <ns0:v>840.0</ns0:v>
      </ns0:c>
      <ns0:c r="E115">
        <ns0:f>IFERROR(IF(ISNUMBER($A115),IF(AND(AH!$P$10=1,AH!$P$12=1,$A115=TODAY()),AH!$P$20,IF(AH!$P$10=1,INDEX('Live History'!$H$5:$H$3004,MATCH($A115,'Live History'!$G$5:$G$3004,1)),INDEX('AH History'!$D$1:$D$18046,AH!$P$7+110))),NA()),NA())</ns0:f>
        <ns0:v>1.1535120010375977</ns0:v>
      </ns0:c>
      <ns0:c r="F115">
        <ns0:f>IFERROR(IF(ISNUMBER($A115),IF(AND(AH!$P$10=1,AH!$P$12=1,$A115=TODAY()),IF(AND(AH!$P$10=1,AH!$P$12=1,$A115=TODAY()),TODAY(),NA()),IF(AH!$P$10=1,INDEX('Live History'!$D$5:$D$3004,MATCH($A115,'Live History'!$D$5:$D$3004,1)),INDEX('AH History'!$E$1:$E$18046,AH!$P$7+110))),NA()),NA())</ns0:f>
        <ns0:v>46202</ns0:v>
      </ns0:c>
      <ns0:c r="G115">
        <ns0:f>IFERROR(IF(ISNUMBER($A115),IF(AND(AH!$P$10=1,AH!$P$12=1,$A115=TODAY()),IF(AND(AH!$P$10=1,AH!$P$12=1,$A115=TODAY()),TODAY(),NA()),IF(AH!$P$10=1,INDEX('Live History'!$G$5:$G$3004,MATCH($A115,'Live History'!$G$5:$G$3004,1)),INDEX('AH History'!$F$1:$F$18046,AH!$P$7+110))),NA()),NA())</ns0:f>
        <ns0:v>46202</ns0:v>
      </ns0:c>
      <ns0:c r="H115">
        <ns0:f>IFERROR(IF(AND(AH!$E$4="Bloomberg",AH!$P$10=1,ISNUMBER($A115),$A115&lt;=AH!$P$17),AH!$P$7-1+MATCH($A115,INDEX('AH History'!$A$1:$A$18046,AH!$P$7):INDEX('AH History'!$A$1:$A$18046,AH!$P$7+AH!$P$8-1),0),0),0)</ns0:f>
        <ns0:v/>
      </ns0:c>
      <ns0:c r="I115">
        <ns0:f>IF($H115=0,0,IFERROR(IF(AND(ABS($C115-INDEX('AH History'!$B$1:$B$18046,$H115))&lt;=MAX(0.005,ABS(INDEX('AH History'!$B$1:$B$18046,$H115))*0.00005),ABS($D115-INDEX('AH History'!$C$1:$C$18046,$H115))&lt;=MAX(0.005,ABS(INDEX('AH History'!$C$1:$C$18046,$H115))*0.00005),ABS($E115-INDEX('AH History'!$D$1:$D$18046,$H115))&lt;=0.00005,$F115=INDEX('AH History'!$E$1:$E$18046,$H115),$G115=INDEX('AH History'!$F$1:$F$18046,$H115)),1,-1),-1))</ns0:f>
        <ns0:v/>
      </ns0:c>
    </ns0:row>
    <ns0:row r="116">
      <ns0:c r="A116" s="215">
        <ns0:f>IF(OR(AH!$P$3=0,111+1&gt;AH!$P$11,AND(AH!$E$4&lt;&gt;"Stored",AH!$P$10&lt;&gt;1)),"",IFERROR(IF(AND(AH!$P$21=1,111+1=AH!$P$11),TODAY(),IF(AH!$P$10=1,INDEX('Live History'!$A$5:$A$3004,AH!$P$13+111),INDEX('AH History'!$A$1:$A$18046,AH!$P$7+111))),""))</ns0:f>
        <ns0:v>46203</ns0:v>
      </ns0:c>
      <ns0:c r="B116" s="219">
        <ns0:f>IFERROR(IF(AND(AH!$P$9&lt;&gt;1,$C116&gt;0,$D116&gt;0,$E116&gt;0,$F116&gt;0,$G116&gt;0,$F116&lt;=$A116,$G116&lt;=$A116,$A116-$F116&lt;=10,$A116-$G116&lt;=5),$D116*$E116/$C116-1,NA()),NA())</ns0:f>
        <ns0:v>-0.2083530183191653</ns0:v>
      </ns0:c>
      <ns0:c r="C116">
        <ns0:f>IFERROR(IF(ISNUMBER($A116),IF(AND(AH!$P$10=1,AH!$P$12=1,$A116=TODAY()),AH!$P$19,IF(AH!$P$10=1,INDEX('Live History'!$B$5:$B$3004,AH!$P$13+111),INDEX('AH History'!$B$1:$B$18046,AH!$P$7+111))),NA()),NA())</ns0:f>
        <ns0:v>1188.0</ns0:v>
      </ns0:c>
      <ns0:c r="D116">
        <ns0:f>IFERROR(IF(ISNUMBER($A116),IF(AND(AH!$P$10=1,AH!$P$12=1,$A116=TODAY()),AH!$P$18,IF(AH!$P$10=1,INDEX('Live History'!$E$5:$E$3004,MATCH($A116,'Live History'!$D$5:$D$3004,1)),INDEX('AH History'!$C$1:$C$18046,AH!$P$7+111))),NA()),NA())</ns0:f>
        <ns0:v>815.0</ns0:v>
      </ns0:c>
      <ns0:c r="E116">
        <ns0:f>IFERROR(IF(ISNUMBER($A116),IF(AND(AH!$P$10=1,AH!$P$12=1,$A116=TODAY()),AH!$P$20,IF(AH!$P$10=1,INDEX('Live History'!$H$5:$H$3004,MATCH($A116,'Live History'!$G$5:$G$3004,1)),INDEX('AH History'!$D$1:$D$18046,AH!$P$7+111))),NA()),NA())</ns0:f>
        <ns0:v>1.153959035873413</ns0:v>
      </ns0:c>
      <ns0:c r="F116">
        <ns0:f>IFERROR(IF(ISNUMBER($A116),IF(AND(AH!$P$10=1,AH!$P$12=1,$A116=TODAY()),IF(AND(AH!$P$10=1,AH!$P$12=1,$A116=TODAY()),TODAY(),NA()),IF(AH!$P$10=1,INDEX('Live History'!$D$5:$D$3004,MATCH($A116,'Live History'!$D$5:$D$3004,1)),INDEX('AH History'!$E$1:$E$18046,AH!$P$7+111))),NA()),NA())</ns0:f>
        <ns0:v>46203</ns0:v>
      </ns0:c>
      <ns0:c r="G116">
        <ns0:f>IFERROR(IF(ISNUMBER($A116),IF(AND(AH!$P$10=1,AH!$P$12=1,$A116=TODAY()),IF(AND(AH!$P$10=1,AH!$P$12=1,$A116=TODAY()),TODAY(),NA()),IF(AH!$P$10=1,INDEX('Live History'!$G$5:$G$3004,MATCH($A116,'Live History'!$G$5:$G$3004,1)),INDEX('AH History'!$F$1:$F$18046,AH!$P$7+111))),NA()),NA())</ns0:f>
        <ns0:v>46203</ns0:v>
      </ns0:c>
      <ns0:c r="H116">
        <ns0:f>IFERROR(IF(AND(AH!$E$4="Bloomberg",AH!$P$10=1,ISNUMBER($A116),$A116&lt;=AH!$P$17),AH!$P$7-1+MATCH($A116,INDEX('AH History'!$A$1:$A$18046,AH!$P$7):INDEX('AH History'!$A$1:$A$18046,AH!$P$7+AH!$P$8-1),0),0),0)</ns0:f>
        <ns0:v/>
      </ns0:c>
      <ns0:c r="I116">
        <ns0:f>IF($H116=0,0,IFERROR(IF(AND(ABS($C116-INDEX('AH History'!$B$1:$B$18046,$H116))&lt;=MAX(0.005,ABS(INDEX('AH History'!$B$1:$B$18046,$H116))*0.00005),ABS($D116-INDEX('AH History'!$C$1:$C$18046,$H116))&lt;=MAX(0.005,ABS(INDEX('AH History'!$C$1:$C$18046,$H116))*0.00005),ABS($E116-INDEX('AH History'!$D$1:$D$18046,$H116))&lt;=0.00005,$F116=INDEX('AH History'!$E$1:$E$18046,$H116),$G116=INDEX('AH History'!$F$1:$F$18046,$H116)),1,-1),-1))</ns0:f>
        <ns0:v/>
      </ns0:c>
    </ns0:row>
    <ns0:row r="117">
      <ns0:c r="A117" s="215">
        <ns0:f>IF(OR(AH!$P$3=0,112+1&gt;AH!$P$11,AND(AH!$E$4&lt;&gt;"Stored",AH!$P$10&lt;&gt;1)),"",IFERROR(IF(AND(AH!$P$21=1,112+1=AH!$P$11),TODAY(),IF(AH!$P$10=1,INDEX('Live History'!$A$5:$A$3004,AH!$P$13+112),INDEX('AH History'!$A$1:$A$18046,AH!$P$7+112))),""))</ns0:f>
        <ns0:v>46205</ns0:v>
      </ns0:c>
      <ns0:c r="B117" s="219">
        <ns0:f>IFERROR(IF(AND(AH!$P$9&lt;&gt;1,$C117&gt;0,$D117&gt;0,$E117&gt;0,$F117&gt;0,$G117&gt;0,$F117&lt;=$A117,$G117&lt;=$A117,$A117-$F117&lt;=10,$A117-$G117&lt;=5),$D117*$E117/$C117-1,NA()),NA())</ns0:f>
        <ns0:v>-0.17271023033696897</ns0:v>
      </ns0:c>
      <ns0:c r="C117">
        <ns0:f>IFERROR(IF(ISNUMBER($A117),IF(AND(AH!$P$10=1,AH!$P$12=1,$A117=TODAY()),AH!$P$19,IF(AH!$P$10=1,INDEX('Live History'!$B$5:$B$3004,AH!$P$13+112),INDEX('AH History'!$B$1:$B$18046,AH!$P$7+112))),NA()),NA())</ns0:f>
        <ns0:v>969.5</ns0:v>
      </ns0:c>
      <ns0:c r="D117">
        <ns0:f>IFERROR(IF(ISNUMBER($A117),IF(AND(AH!$P$10=1,AH!$P$12=1,$A117=TODAY()),AH!$P$18,IF(AH!$P$10=1,INDEX('Live History'!$E$5:$E$3004,MATCH($A117,'Live History'!$D$5:$D$3004,1)),INDEX('AH History'!$C$1:$C$18046,AH!$P$7+112))),NA()),NA())</ns0:f>
        <ns0:v>694.81</ns0:v>
      </ns0:c>
      <ns0:c r="E117">
        <ns0:f>IFERROR(IF(ISNUMBER($A117),IF(AND(AH!$P$10=1,AH!$P$12=1,$A117=TODAY()),AH!$P$20,IF(AH!$P$10=1,INDEX('Live History'!$H$5:$H$3004,MATCH($A117,'Live History'!$G$5:$G$3004,1)),INDEX('AH History'!$D$1:$D$18046,AH!$P$7+112))),NA()),NA())</ns0:f>
        <ns0:v>1.1543550491333008</ns0:v>
      </ns0:c>
      <ns0:c r="F117">
        <ns0:f>IFERROR(IF(ISNUMBER($A117),IF(AND(AH!$P$10=1,AH!$P$12=1,$A117=TODAY()),IF(AND(AH!$P$10=1,AH!$P$12=1,$A117=TODAY()),TODAY(),NA()),IF(AH!$P$10=1,INDEX('Live History'!$D$5:$D$3004,MATCH($A117,'Live History'!$D$5:$D$3004,1)),INDEX('AH History'!$E$1:$E$18046,AH!$P$7+112))),NA()),NA())</ns0:f>
        <ns0:v>46205</ns0:v>
      </ns0:c>
      <ns0:c r="G117">
        <ns0:f>IFERROR(IF(ISNUMBER($A117),IF(AND(AH!$P$10=1,AH!$P$12=1,$A117=TODAY()),IF(AND(AH!$P$10=1,AH!$P$12=1,$A117=TODAY()),TODAY(),NA()),IF(AH!$P$10=1,INDEX('Live History'!$G$5:$G$3004,MATCH($A117,'Live History'!$G$5:$G$3004,1)),INDEX('AH History'!$F$1:$F$18046,AH!$P$7+112))),NA()),NA())</ns0:f>
        <ns0:v>46205</ns0:v>
      </ns0:c>
      <ns0:c r="H117">
        <ns0:f>IFERROR(IF(AND(AH!$E$4="Bloomberg",AH!$P$10=1,ISNUMBER($A117),$A117&lt;=AH!$P$17),AH!$P$7-1+MATCH($A117,INDEX('AH History'!$A$1:$A$18046,AH!$P$7):INDEX('AH History'!$A$1:$A$18046,AH!$P$7+AH!$P$8-1),0),0),0)</ns0:f>
        <ns0:v/>
      </ns0:c>
      <ns0:c r="I117">
        <ns0:f>IF($H117=0,0,IFERROR(IF(AND(ABS($C117-INDEX('AH History'!$B$1:$B$18046,$H117))&lt;=MAX(0.005,ABS(INDEX('AH History'!$B$1:$B$18046,$H117))*0.00005),ABS($D117-INDEX('AH History'!$C$1:$C$18046,$H117))&lt;=MAX(0.005,ABS(INDEX('AH History'!$C$1:$C$18046,$H117))*0.00005),ABS($E117-INDEX('AH History'!$D$1:$D$18046,$H117))&lt;=0.00005,$F117=INDEX('AH History'!$E$1:$E$18046,$H117),$G117=INDEX('AH History'!$F$1:$F$18046,$H117)),1,-1),-1))</ns0:f>
        <ns0:v/>
      </ns0:c>
    </ns0:row>
    <ns0:row r="118">
      <ns0:c r="A118" s="215">
        <ns0:f>IF(OR(AH!$P$3=0,113+1&gt;AH!$P$11,AND(AH!$E$4&lt;&gt;"Stored",AH!$P$10&lt;&gt;1)),"",IFERROR(IF(AND(AH!$P$21=1,113+1=AH!$P$11),TODAY(),IF(AH!$P$10=1,INDEX('Live History'!$A$5:$A$3004,AH!$P$13+113),INDEX('AH History'!$A$1:$A$18046,AH!$P$7+113))),""))</ns0:f>
        <ns0:v>46206</ns0:v>
      </ns0:c>
      <ns0:c r="B118" s="219">
        <ns0:f>IFERROR(IF(AND(AH!$P$9&lt;&gt;1,$C118&gt;0,$D118&gt;0,$E118&gt;0,$F118&gt;0,$G118&gt;0,$F118&lt;=$A118,$G118&lt;=$A118,$A118-$F118&lt;=10,$A118-$G118&lt;=5),$D118*$E118/$C118-1,NA()),NA())</ns0:f>
        <ns0:v>-0.14662220459608033</ns0:v>
      </ns0:c>
      <ns0:c r="C118">
        <ns0:f>IFERROR(IF(ISNUMBER($A118),IF(AND(AH!$P$10=1,AH!$P$12=1,$A118=TODAY()),AH!$P$19,IF(AH!$P$10=1,INDEX('Live History'!$B$5:$B$3004,AH!$P$13+113),INDEX('AH History'!$B$1:$B$18046,AH!$P$7+113))),NA()),NA())</ns0:f>
        <ns0:v>917.5</ns0:v>
      </ns0:c>
      <ns0:c r="D118">
        <ns0:f>IFERROR(IF(ISNUMBER($A118),IF(AND(AH!$P$10=1,AH!$P$12=1,$A118=TODAY()),AH!$P$18,IF(AH!$P$10=1,INDEX('Live History'!$E$5:$E$3004,MATCH($A118,'Live History'!$D$5:$D$3004,1)),INDEX('AH History'!$C$1:$C$18046,AH!$P$7+113))),NA()),NA())</ns0:f>
        <ns0:v>677.77</ns0:v>
      </ns0:c>
      <ns0:c r="E118">
        <ns0:f>IFERROR(IF(ISNUMBER($A118),IF(AND(AH!$P$10=1,AH!$P$12=1,$A118=TODAY()),AH!$P$20,IF(AH!$P$10=1,INDEX('Live History'!$H$5:$H$3004,MATCH($A118,'Live History'!$G$5:$G$3004,1)),INDEX('AH History'!$D$1:$D$18046,AH!$P$7+113))),NA()),NA())</ns0:f>
        <ns0:v>1.1552209854125977</ns0:v>
      </ns0:c>
      <ns0:c r="F118">
        <ns0:f>IFERROR(IF(ISNUMBER($A118),IF(AND(AH!$P$10=1,AH!$P$12=1,$A118=TODAY()),IF(AND(AH!$P$10=1,AH!$P$12=1,$A118=TODAY()),TODAY(),NA()),IF(AH!$P$10=1,INDEX('Live History'!$D$5:$D$3004,MATCH($A118,'Live History'!$D$5:$D$3004,1)),INDEX('AH History'!$E$1:$E$18046,AH!$P$7+113))),NA()),NA())</ns0:f>
        <ns0:v>46206</ns0:v>
      </ns0:c>
      <ns0:c r="G118">
        <ns0:f>IFERROR(IF(ISNUMBER($A118),IF(AND(AH!$P$10=1,AH!$P$12=1,$A118=TODAY()),IF(AND(AH!$P$10=1,AH!$P$12=1,$A118=TODAY()),TODAY(),NA()),IF(AH!$P$10=1,INDEX('Live History'!$G$5:$G$3004,MATCH($A118,'Live History'!$G$5:$G$3004,1)),INDEX('AH History'!$F$1:$F$18046,AH!$P$7+113))),NA()),NA())</ns0:f>
        <ns0:v>46206</ns0:v>
      </ns0:c>
      <ns0:c r="H118">
        <ns0:f>IFERROR(IF(AND(AH!$E$4="Bloomberg",AH!$P$10=1,ISNUMBER($A118),$A118&lt;=AH!$P$17),AH!$P$7-1+MATCH($A118,INDEX('AH History'!$A$1:$A$18046,AH!$P$7):INDEX('AH History'!$A$1:$A$18046,AH!$P$7+AH!$P$8-1),0),0),0)</ns0:f>
        <ns0:v/>
      </ns0:c>
      <ns0:c r="I118">
        <ns0:f>IF($H118=0,0,IFERROR(IF(AND(ABS($C118-INDEX('AH History'!$B$1:$B$18046,$H118))&lt;=MAX(0.005,ABS(INDEX('AH History'!$B$1:$B$18046,$H118))*0.00005),ABS($D118-INDEX('AH History'!$C$1:$C$18046,$H118))&lt;=MAX(0.005,ABS(INDEX('AH History'!$C$1:$C$18046,$H118))*0.00005),ABS($E118-INDEX('AH History'!$D$1:$D$18046,$H118))&lt;=0.00005,$F118=INDEX('AH History'!$E$1:$E$18046,$H118),$G118=INDEX('AH History'!$F$1:$F$18046,$H118)),1,-1),-1))</ns0:f>
        <ns0:v/>
      </ns0:c>
    </ns0:row>
    <ns0:row r="119">
      <ns0:c r="A119" s="215">
        <ns0:f>IF(OR(AH!$P$3=0,114+1&gt;AH!$P$11,AND(AH!$E$4&lt;&gt;"Stored",AH!$P$10&lt;&gt;1)),"",IFERROR(IF(AND(AH!$P$21=1,114+1=AH!$P$11),TODAY(),IF(AH!$P$10=1,INDEX('Live History'!$A$5:$A$3004,AH!$P$13+114),INDEX('AH History'!$A$1:$A$18046,AH!$P$7+114))),""))</ns0:f>
        <ns0:v>46209</ns0:v>
      </ns0:c>
      <ns0:c r="B119" s="219">
        <ns0:f>IFERROR(IF(AND(AH!$P$9&lt;&gt;1,$C119&gt;0,$D119&gt;0,$E119&gt;0,$F119&gt;0,$G119&gt;0,$F119&lt;=$A119,$G119&lt;=$A119,$A119-$F119&lt;=10,$A119-$G119&lt;=5),$D119*$E119/$C119-1,NA()),NA())</ns0:f>
        <ns0:v>-0.13776444059062953</ns0:v>
      </ns0:c>
      <ns0:c r="C119">
        <ns0:f>IFERROR(IF(ISNUMBER($A119),IF(AND(AH!$P$10=1,AH!$P$12=1,$A119=TODAY()),AH!$P$19,IF(AH!$P$10=1,INDEX('Live History'!$B$5:$B$3004,AH!$P$13+114),INDEX('AH History'!$B$1:$B$18046,AH!$P$7+114))),NA()),NA())</ns0:f>
        <ns0:v>876.5</ns0:v>
      </ns0:c>
      <ns0:c r="D119">
        <ns0:f>IFERROR(IF(ISNUMBER($A119),IF(AND(AH!$P$10=1,AH!$P$12=1,$A119=TODAY()),AH!$P$18,IF(AH!$P$10=1,INDEX('Live History'!$E$5:$E$3004,MATCH($A119,'Live History'!$D$5:$D$3004,1)),INDEX('AH History'!$C$1:$C$18046,AH!$P$7+114))),NA()),NA())</ns0:f>
        <ns0:v>654.29</ns0:v>
      </ns0:c>
      <ns0:c r="E119">
        <ns0:f>IFERROR(IF(ISNUMBER($A119),IF(AND(AH!$P$10=1,AH!$P$12=1,$A119=TODAY()),AH!$P$20,IF(AH!$P$10=1,INDEX('Live History'!$H$5:$H$3004,MATCH($A119,'Live History'!$G$5:$G$3004,1)),INDEX('AH History'!$D$1:$D$18046,AH!$P$7+114))),NA()),NA())</ns0:f>
        <ns0:v>1.155068039894104</ns0:v>
      </ns0:c>
      <ns0:c r="F119">
        <ns0:f>IFERROR(IF(ISNUMBER($A119),IF(AND(AH!$P$10=1,AH!$P$12=1,$A119=TODAY()),IF(AND(AH!$P$10=1,AH!$P$12=1,$A119=TODAY()),TODAY(),NA()),IF(AH!$P$10=1,INDEX('Live History'!$D$5:$D$3004,MATCH($A119,'Live History'!$D$5:$D$3004,1)),INDEX('AH History'!$E$1:$E$18046,AH!$P$7+114))),NA()),NA())</ns0:f>
        <ns0:v>46209</ns0:v>
      </ns0:c>
      <ns0:c r="G119">
        <ns0:f>IFERROR(IF(ISNUMBER($A119),IF(AND(AH!$P$10=1,AH!$P$12=1,$A119=TODAY()),IF(AND(AH!$P$10=1,AH!$P$12=1,$A119=TODAY()),TODAY(),NA()),IF(AH!$P$10=1,INDEX('Live History'!$G$5:$G$3004,MATCH($A119,'Live History'!$G$5:$G$3004,1)),INDEX('AH History'!$F$1:$F$18046,AH!$P$7+114))),NA()),NA())</ns0:f>
        <ns0:v>46209</ns0:v>
      </ns0:c>
      <ns0:c r="H119">
        <ns0:f>IFERROR(IF(AND(AH!$E$4="Bloomberg",AH!$P$10=1,ISNUMBER($A119),$A119&lt;=AH!$P$17),AH!$P$7-1+MATCH($A119,INDEX('AH History'!$A$1:$A$18046,AH!$P$7):INDEX('AH History'!$A$1:$A$18046,AH!$P$7+AH!$P$8-1),0),0),0)</ns0:f>
        <ns0:v/>
      </ns0:c>
      <ns0:c r="I119">
        <ns0:f>IF($H119=0,0,IFERROR(IF(AND(ABS($C119-INDEX('AH History'!$B$1:$B$18046,$H119))&lt;=MAX(0.005,ABS(INDEX('AH History'!$B$1:$B$18046,$H119))*0.00005),ABS($D119-INDEX('AH History'!$C$1:$C$18046,$H119))&lt;=MAX(0.005,ABS(INDEX('AH History'!$C$1:$C$18046,$H119))*0.00005),ABS($E119-INDEX('AH History'!$D$1:$D$18046,$H119))&lt;=0.00005,$F119=INDEX('AH History'!$E$1:$E$18046,$H119),$G119=INDEX('AH History'!$F$1:$F$18046,$H119)),1,-1),-1))</ns0:f>
        <ns0:v/>
      </ns0:c>
    </ns0:row>
    <ns0:row r="120">
      <ns0:c r="A120" s="215">
        <ns0:f>IF(OR(AH!$P$3=0,115+1&gt;AH!$P$11,AND(AH!$E$4&lt;&gt;"Stored",AH!$P$10&lt;&gt;1)),"",IFERROR(IF(AND(AH!$P$21=1,115+1=AH!$P$11),TODAY(),IF(AH!$P$10=1,INDEX('Live History'!$A$5:$A$3004,AH!$P$13+115),INDEX('AH History'!$A$1:$A$18046,AH!$P$7+115))),""))</ns0:f>
        <ns0:v>46210</ns0:v>
      </ns0:c>
      <ns0:c r="B120" s="219">
        <ns0:f>IFERROR(IF(AND(AH!$P$9&lt;&gt;1,$C120&gt;0,$D120&gt;0,$E120&gt;0,$F120&gt;0,$G120&gt;0,$F120&lt;=$A120,$G120&lt;=$A120,$A120-$F120&lt;=10,$A120-$G120&lt;=5),$D120*$E120/$C120-1,NA()),NA())</ns0:f>
        <ns0:v>-0.07095979405688002</ns0:v>
      </ns0:c>
      <ns0:c r="C120">
        <ns0:f>IFERROR(IF(ISNUMBER($A120),IF(AND(AH!$P$10=1,AH!$P$12=1,$A120=TODAY()),AH!$P$19,IF(AH!$P$10=1,INDEX('Live History'!$B$5:$B$3004,AH!$P$13+115),INDEX('AH History'!$B$1:$B$18046,AH!$P$7+115))),NA()),NA())</ns0:f>
        <ns0:v>770.0</ns0:v>
      </ns0:c>
      <ns0:c r="D120">
        <ns0:f>IFERROR(IF(ISNUMBER($A120),IF(AND(AH!$P$10=1,AH!$P$12=1,$A120=TODAY()),AH!$P$18,IF(AH!$P$10=1,INDEX('Live History'!$E$5:$E$3004,MATCH($A120,'Live History'!$D$5:$D$3004,1)),INDEX('AH History'!$C$1:$C$18046,AH!$P$7+115))),NA()),NA())</ns0:f>
        <ns0:v>620.0</ns0:v>
      </ns0:c>
      <ns0:c r="E120">
        <ns0:f>IFERROR(IF(ISNUMBER($A120),IF(AND(AH!$P$10=1,AH!$P$12=1,$A120=TODAY()),AH!$P$20,IF(AH!$P$10=1,INDEX('Live History'!$H$5:$H$3004,MATCH($A120,'Live History'!$G$5:$G$3004,1)),INDEX('AH History'!$D$1:$D$18046,AH!$P$7+115))),NA()),NA())</ns0:f>
        <ns0:v>1.1538079977035522</ns0:v>
      </ns0:c>
      <ns0:c r="F120">
        <ns0:f>IFERROR(IF(ISNUMBER($A120),IF(AND(AH!$P$10=1,AH!$P$12=1,$A120=TODAY()),IF(AND(AH!$P$10=1,AH!$P$12=1,$A120=TODAY()),TODAY(),NA()),IF(AH!$P$10=1,INDEX('Live History'!$D$5:$D$3004,MATCH($A120,'Live History'!$D$5:$D$3004,1)),INDEX('AH History'!$E$1:$E$18046,AH!$P$7+115))),NA()),NA())</ns0:f>
        <ns0:v>46210</ns0:v>
      </ns0:c>
      <ns0:c r="G120">
        <ns0:f>IFERROR(IF(ISNUMBER($A120),IF(AND(AH!$P$10=1,AH!$P$12=1,$A120=TODAY()),IF(AND(AH!$P$10=1,AH!$P$12=1,$A120=TODAY()),TODAY(),NA()),IF(AH!$P$10=1,INDEX('Live History'!$G$5:$G$3004,MATCH($A120,'Live History'!$G$5:$G$3004,1)),INDEX('AH History'!$F$1:$F$18046,AH!$P$7+115))),NA()),NA())</ns0:f>
        <ns0:v>46210</ns0:v>
      </ns0:c>
      <ns0:c r="H120">
        <ns0:f>IFERROR(IF(AND(AH!$E$4="Bloomberg",AH!$P$10=1,ISNUMBER($A120),$A120&lt;=AH!$P$17),AH!$P$7-1+MATCH($A120,INDEX('AH History'!$A$1:$A$18046,AH!$P$7):INDEX('AH History'!$A$1:$A$18046,AH!$P$7+AH!$P$8-1),0),0),0)</ns0:f>
        <ns0:v/>
      </ns0:c>
      <ns0:c r="I120">
        <ns0:f>IF($H120=0,0,IFERROR(IF(AND(ABS($C120-INDEX('AH History'!$B$1:$B$18046,$H120))&lt;=MAX(0.005,ABS(INDEX('AH History'!$B$1:$B$18046,$H120))*0.00005),ABS($D120-INDEX('AH History'!$C$1:$C$18046,$H120))&lt;=MAX(0.005,ABS(INDEX('AH History'!$C$1:$C$18046,$H120))*0.00005),ABS($E120-INDEX('AH History'!$D$1:$D$18046,$H120))&lt;=0.00005,$F120=INDEX('AH History'!$E$1:$E$18046,$H120),$G120=INDEX('AH History'!$F$1:$F$18046,$H120)),1,-1),-1))</ns0:f>
        <ns0:v/>
      </ns0:c>
    </ns0:row>
    <ns0:row r="121">
      <ns0:c r="A121" s="215">
        <ns0:f>IF(OR(AH!$P$3=0,116+1&gt;AH!$P$11,AND(AH!$E$4&lt;&gt;"Stored",AH!$P$10&lt;&gt;1)),"",IFERROR(IF(AND(AH!$P$21=1,116+1=AH!$P$11),TODAY(),IF(AH!$P$10=1,INDEX('Live History'!$A$5:$A$3004,AH!$P$13+116),INDEX('AH History'!$A$1:$A$18046,AH!$P$7+116))),""))</ns0:f>
        <ns0:v>46211</ns0:v>
      </ns0:c>
      <ns0:c r="B121" s="219">
        <ns0:f>IFERROR(IF(AND(AH!$P$9&lt;&gt;1,$C121&gt;0,$D121&gt;0,$E121&gt;0,$F121&gt;0,$G121&gt;0,$F121&lt;=$A121,$G121&lt;=$A121,$A121-$F121&lt;=10,$A121-$G121&lt;=5),$D121*$E121/$C121-1,NA()),NA())</ns0:f>
        <ns0:v>-0.09883361315650085</ns0:v>
      </ns0:c>
      <ns0:c r="C121">
        <ns0:f>IFERROR(IF(ISNUMBER($A121),IF(AND(AH!$P$10=1,AH!$P$12=1,$A121=TODAY()),AH!$P$19,IF(AH!$P$10=1,INDEX('Live History'!$B$5:$B$3004,AH!$P$13+116),INDEX('AH History'!$B$1:$B$18046,AH!$P$7+116))),NA()),NA())</ns0:f>
        <ns0:v>772.5</ns0:v>
      </ns0:c>
      <ns0:c r="D121">
        <ns0:f>IFERROR(IF(ISNUMBER($A121),IF(AND(AH!$P$10=1,AH!$P$12=1,$A121=TODAY()),AH!$P$18,IF(AH!$P$10=1,INDEX('Live History'!$E$5:$E$3004,MATCH($A121,'Live History'!$D$5:$D$3004,1)),INDEX('AH History'!$C$1:$C$18046,AH!$P$7+116))),NA()),NA())</ns0:f>
        <ns0:v>603.17</ns0:v>
      </ns0:c>
      <ns0:c r="E121">
        <ns0:f>IFERROR(IF(ISNUMBER($A121),IF(AND(AH!$P$10=1,AH!$P$12=1,$A121=TODAY()),AH!$P$20,IF(AH!$P$10=1,INDEX('Live History'!$H$5:$H$3004,MATCH($A121,'Live History'!$G$5:$G$3004,1)),INDEX('AH History'!$D$1:$D$18046,AH!$P$7+116))),NA()),NA())</ns0:f>
        <ns0:v>1.1541539430618286</ns0:v>
      </ns0:c>
      <ns0:c r="F121">
        <ns0:f>IFERROR(IF(ISNUMBER($A121),IF(AND(AH!$P$10=1,AH!$P$12=1,$A121=TODAY()),IF(AND(AH!$P$10=1,AH!$P$12=1,$A121=TODAY()),TODAY(),NA()),IF(AH!$P$10=1,INDEX('Live History'!$D$5:$D$3004,MATCH($A121,'Live History'!$D$5:$D$3004,1)),INDEX('AH History'!$E$1:$E$18046,AH!$P$7+116))),NA()),NA())</ns0:f>
        <ns0:v>46211</ns0:v>
      </ns0:c>
      <ns0:c r="G121">
        <ns0:f>IFERROR(IF(ISNUMBER($A121),IF(AND(AH!$P$10=1,AH!$P$12=1,$A121=TODAY()),IF(AND(AH!$P$10=1,AH!$P$12=1,$A121=TODAY()),TODAY(),NA()),IF(AH!$P$10=1,INDEX('Live History'!$G$5:$G$3004,MATCH($A121,'Live History'!$G$5:$G$3004,1)),INDEX('AH History'!$F$1:$F$18046,AH!$P$7+116))),NA()),NA())</ns0:f>
        <ns0:v>46211</ns0:v>
      </ns0:c>
      <ns0:c r="H121">
        <ns0:f>IFERROR(IF(AND(AH!$E$4="Bloomberg",AH!$P$10=1,ISNUMBER($A121),$A121&lt;=AH!$P$17),AH!$P$7-1+MATCH($A121,INDEX('AH History'!$A$1:$A$18046,AH!$P$7):INDEX('AH History'!$A$1:$A$18046,AH!$P$7+AH!$P$8-1),0),0),0)</ns0:f>
        <ns0:v/>
      </ns0:c>
      <ns0:c r="I121">
        <ns0:f>IF($H121=0,0,IFERROR(IF(AND(ABS($C121-INDEX('AH History'!$B$1:$B$18046,$H121))&lt;=MAX(0.005,ABS(INDEX('AH History'!$B$1:$B$18046,$H121))*0.00005),ABS($D121-INDEX('AH History'!$C$1:$C$18046,$H121))&lt;=MAX(0.005,ABS(INDEX('AH History'!$C$1:$C$18046,$H121))*0.00005),ABS($E121-INDEX('AH History'!$D$1:$D$18046,$H121))&lt;=0.00005,$F121=INDEX('AH History'!$E$1:$E$18046,$H121),$G121=INDEX('AH History'!$F$1:$F$18046,$H121)),1,-1),-1))</ns0:f>
        <ns0:v/>
      </ns0:c>
    </ns0:row>
    <ns0:row r="122">
      <ns0:c r="A122" s="215">
        <ns0:f>IF(OR(AH!$P$3=0,117+1&gt;AH!$P$11,AND(AH!$E$4&lt;&gt;"Stored",AH!$P$10&lt;&gt;1)),"",IFERROR(IF(AND(AH!$P$21=1,117+1=AH!$P$11),TODAY(),IF(AH!$P$10=1,INDEX('Live History'!$A$5:$A$3004,AH!$P$13+117),INDEX('AH History'!$A$1:$A$18046,AH!$P$7+117))),""))</ns0:f>
        <ns0:v>46212</ns0:v>
      </ns0:c>
      <ns0:c r="B122" s="219">
        <ns0:f>IFERROR(IF(AND(AH!$P$9&lt;&gt;1,$C122&gt;0,$D122&gt;0,$E122&gt;0,$F122&gt;0,$G122&gt;0,$F122&lt;=$A122,$G122&lt;=$A122,$A122-$F122&lt;=10,$A122-$G122&lt;=5),$D122*$E122/$C122-1,NA()),NA())</ns0:f>
        <ns0:v>-0.1872194631286025</ns0:v>
      </ns0:c>
      <ns0:c r="C122">
        <ns0:f>IFERROR(IF(ISNUMBER($A122),IF(AND(AH!$P$10=1,AH!$P$12=1,$A122=TODAY()),AH!$P$19,IF(AH!$P$10=1,INDEX('Live History'!$B$5:$B$3004,AH!$P$13+117),INDEX('AH History'!$B$1:$B$18046,AH!$P$7+117))),NA()),NA())</ns0:f>
        <ns0:v>940.5</ns0:v>
      </ns0:c>
      <ns0:c r="D122">
        <ns0:f>IFERROR(IF(ISNUMBER($A122),IF(AND(AH!$P$10=1,AH!$P$12=1,$A122=TODAY()),AH!$P$18,IF(AH!$P$10=1,INDEX('Live History'!$E$5:$E$3004,MATCH($A122,'Live History'!$D$5:$D$3004,1)),INDEX('AH History'!$C$1:$C$18046,AH!$P$7+117))),NA()),NA())</ns0:f>
        <ns0:v>663.49</ns0:v>
      </ns0:c>
      <ns0:c r="E122">
        <ns0:f>IFERROR(IF(ISNUMBER($A122),IF(AND(AH!$P$10=1,AH!$P$12=1,$A122=TODAY()),AH!$P$20,IF(AH!$P$10=1,INDEX('Live History'!$H$5:$H$3004,MATCH($A122,'Live History'!$G$5:$G$3004,1)),INDEX('AH History'!$D$1:$D$18046,AH!$P$7+117))),NA()),NA())</ns0:f>
        <ns0:v>1.1521199941635132</ns0:v>
      </ns0:c>
      <ns0:c r="F122">
        <ns0:f>IFERROR(IF(ISNUMBER($A122),IF(AND(AH!$P$10=1,AH!$P$12=1,$A122=TODAY()),IF(AND(AH!$P$10=1,AH!$P$12=1,$A122=TODAY()),TODAY(),NA()),IF(AH!$P$10=1,INDEX('Live History'!$D$5:$D$3004,MATCH($A122,'Live History'!$D$5:$D$3004,1)),INDEX('AH History'!$E$1:$E$18046,AH!$P$7+117))),NA()),NA())</ns0:f>
        <ns0:v>46212</ns0:v>
      </ns0:c>
      <ns0:c r="G122">
        <ns0:f>IFERROR(IF(ISNUMBER($A122),IF(AND(AH!$P$10=1,AH!$P$12=1,$A122=TODAY()),IF(AND(AH!$P$10=1,AH!$P$12=1,$A122=TODAY()),TODAY(),NA()),IF(AH!$P$10=1,INDEX('Live History'!$G$5:$G$3004,MATCH($A122,'Live History'!$G$5:$G$3004,1)),INDEX('AH History'!$F$1:$F$18046,AH!$P$7+117))),NA()),NA())</ns0:f>
        <ns0:v>46212</ns0:v>
      </ns0:c>
      <ns0:c r="H122">
        <ns0:f>IFERROR(IF(AND(AH!$E$4="Bloomberg",AH!$P$10=1,ISNUMBER($A122),$A122&lt;=AH!$P$17),AH!$P$7-1+MATCH($A122,INDEX('AH History'!$A$1:$A$18046,AH!$P$7):INDEX('AH History'!$A$1:$A$18046,AH!$P$7+AH!$P$8-1),0),0),0)</ns0:f>
        <ns0:v/>
      </ns0:c>
      <ns0:c r="I122">
        <ns0:f>IF($H122=0,0,IFERROR(IF(AND(ABS($C122-INDEX('AH History'!$B$1:$B$18046,$H122))&lt;=MAX(0.005,ABS(INDEX('AH History'!$B$1:$B$18046,$H122))*0.00005),ABS($D122-INDEX('AH History'!$C$1:$C$18046,$H122))&lt;=MAX(0.005,ABS(INDEX('AH History'!$C$1:$C$18046,$H122))*0.00005),ABS($E122-INDEX('AH History'!$D$1:$D$18046,$H122))&lt;=0.00005,$F122=INDEX('AH History'!$E$1:$E$18046,$H122),$G122=INDEX('AH History'!$F$1:$F$18046,$H122)),1,-1),-1))</ns0:f>
        <ns0:v/>
      </ns0:c>
    </ns0:row>
    <ns0:row r="123">
      <ns0:c r="A123" s="215">
        <ns0:f>IF(OR(AH!$P$3=0,118+1&gt;AH!$P$11,AND(AH!$E$4&lt;&gt;"Stored",AH!$P$10&lt;&gt;1)),"",IFERROR(IF(AND(AH!$P$21=1,118+1=AH!$P$11),TODAY(),IF(AH!$P$10=1,INDEX('Live History'!$A$5:$A$3004,AH!$P$13+118),INDEX('AH History'!$A$1:$A$18046,AH!$P$7+118))),""))</ns0:f>
        <ns0:v>46213</ns0:v>
      </ns0:c>
      <ns0:c r="B123" s="219">
        <ns0:f>IFERROR(IF(AND(AH!$P$9&lt;&gt;1,$C123&gt;0,$D123&gt;0,$E123&gt;0,$F123&gt;0,$G123&gt;0,$F123&lt;=$A123,$G123&lt;=$A123,$A123-$F123&lt;=10,$A123-$G123&lt;=5),$D123*$E123/$C123-1,NA()),NA())</ns0:f>
        <ns0:v>-0.04919512777617485</ns0:v>
      </ns0:c>
      <ns0:c r="C123">
        <ns0:f>IFERROR(IF(ISNUMBER($A123),IF(AND(AH!$P$10=1,AH!$P$12=1,$A123=TODAY()),AH!$P$19,IF(AH!$P$10=1,INDEX('Live History'!$B$5:$B$3004,AH!$P$13+118),INDEX('AH History'!$B$1:$B$18046,AH!$P$7+118))),NA()),NA())</ns0:f>
        <ns0:v>742.5</ns0:v>
      </ns0:c>
      <ns0:c r="D123">
        <ns0:f>IFERROR(IF(ISNUMBER($A123),IF(AND(AH!$P$10=1,AH!$P$12=1,$A123=TODAY()),AH!$P$18,IF(AH!$P$10=1,INDEX('Live History'!$E$5:$E$3004,MATCH($A123,'Live History'!$D$5:$D$3004,1)),INDEX('AH History'!$C$1:$C$18046,AH!$P$7+118))),NA()),NA())</ns0:f>
        <ns0:v>612.0</ns0:v>
      </ns0:c>
      <ns0:c r="E123">
        <ns0:f>IFERROR(IF(ISNUMBER($A123),IF(AND(AH!$P$10=1,AH!$P$12=1,$A123=TODAY()),AH!$P$20,IF(AH!$P$10=1,INDEX('Live History'!$H$5:$H$3004,MATCH($A123,'Live History'!$G$5:$G$3004,1)),INDEX('AH History'!$D$1:$D$18046,AH!$P$7+118))),NA()),NA())</ns0:f>
        <ns0:v>1.1535500288009644</ns0:v>
      </ns0:c>
      <ns0:c r="F123">
        <ns0:f>IFERROR(IF(ISNUMBER($A123),IF(AND(AH!$P$10=1,AH!$P$12=1,$A123=TODAY()),IF(AND(AH!$P$10=1,AH!$P$12=1,$A123=TODAY()),TODAY(),NA()),IF(AH!$P$10=1,INDEX('Live History'!$D$5:$D$3004,MATCH($A123,'Live History'!$D$5:$D$3004,1)),INDEX('AH History'!$E$1:$E$18046,AH!$P$7+118))),NA()),NA())</ns0:f>
        <ns0:v>46213</ns0:v>
      </ns0:c>
      <ns0:c r="G123">
        <ns0:f>IFERROR(IF(ISNUMBER($A123),IF(AND(AH!$P$10=1,AH!$P$12=1,$A123=TODAY()),IF(AND(AH!$P$10=1,AH!$P$12=1,$A123=TODAY()),TODAY(),NA()),IF(AH!$P$10=1,INDEX('Live History'!$G$5:$G$3004,MATCH($A123,'Live History'!$G$5:$G$3004,1)),INDEX('AH History'!$F$1:$F$18046,AH!$P$7+118))),NA()),NA())</ns0:f>
        <ns0:v>46213</ns0:v>
      </ns0:c>
      <ns0:c r="H123">
        <ns0:f>IFERROR(IF(AND(AH!$E$4="Bloomberg",AH!$P$10=1,ISNUMBER($A123),$A123&lt;=AH!$P$17),AH!$P$7-1+MATCH($A123,INDEX('AH History'!$A$1:$A$18046,AH!$P$7):INDEX('AH History'!$A$1:$A$18046,AH!$P$7+AH!$P$8-1),0),0),0)</ns0:f>
        <ns0:v/>
      </ns0:c>
      <ns0:c r="I123">
        <ns0:f>IF($H123=0,0,IFERROR(IF(AND(ABS($C123-INDEX('AH History'!$B$1:$B$18046,$H123))&lt;=MAX(0.005,ABS(INDEX('AH History'!$B$1:$B$18046,$H123))*0.00005),ABS($D123-INDEX('AH History'!$C$1:$C$18046,$H123))&lt;=MAX(0.005,ABS(INDEX('AH History'!$C$1:$C$18046,$H123))*0.00005),ABS($E123-INDEX('AH History'!$D$1:$D$18046,$H123))&lt;=0.00005,$F123=INDEX('AH History'!$E$1:$E$18046,$H123),$G123=INDEX('AH History'!$F$1:$F$18046,$H123)),1,-1),-1))</ns0:f>
        <ns0:v/>
      </ns0:c>
    </ns0:row>
    <ns0:row r="124">
      <ns0:c r="A124" s="215">
        <ns0:f>IF(OR(AH!$P$3=0,119+1&gt;AH!$P$11,AND(AH!$E$4&lt;&gt;"Stored",AH!$P$10&lt;&gt;1)),"",IFERROR(IF(AND(AH!$P$21=1,119+1=AH!$P$11),TODAY(),IF(AH!$P$10=1,INDEX('Live History'!$A$5:$A$3004,AH!$P$13+119),INDEX('AH History'!$A$1:$A$18046,AH!$P$7+119))),""))</ns0:f>
        <ns0:v>46216</ns0:v>
      </ns0:c>
      <ns0:c r="B124" s="219">
        <ns0:f>IFERROR(IF(AND(AH!$P$9&lt;&gt;1,$C124&gt;0,$D124&gt;0,$E124&gt;0,$F124&gt;0,$G124&gt;0,$F124&lt;=$A124,$G124&lt;=$A124,$A124-$F124&lt;=10,$A124-$G124&lt;=5),$D124*$E124/$C124-1,NA()),NA())</ns0:f>
        <ns0:v>0.012947514250471803</ns0:v>
      </ns0:c>
      <ns0:c r="C124">
        <ns0:f>IFERROR(IF(ISNUMBER($A124),IF(AND(AH!$P$10=1,AH!$P$12=1,$A124=TODAY()),AH!$P$19,IF(AH!$P$10=1,INDEX('Live History'!$B$5:$B$3004,AH!$P$13+119),INDEX('AH History'!$B$1:$B$18046,AH!$P$7+119))),NA()),NA())</ns0:f>
        <ns0:v>629.0</ns0:v>
      </ns0:c>
      <ns0:c r="D124">
        <ns0:f>IFERROR(IF(ISNUMBER($A124),IF(AND(AH!$P$10=1,AH!$P$12=1,$A124=TODAY()),AH!$P$18,IF(AH!$P$10=1,INDEX('Live History'!$E$5:$E$3004,MATCH($A124,'Live History'!$D$5:$D$3004,1)),INDEX('AH History'!$C$1:$C$18046,AH!$P$7+119))),NA()),NA())</ns0:f>
        <ns0:v>550.8</ns0:v>
      </ns0:c>
      <ns0:c r="E124">
        <ns0:f>IFERROR(IF(ISNUMBER($A124),IF(AND(AH!$P$10=1,AH!$P$12=1,$A124=TODAY()),AH!$P$20,IF(AH!$P$10=1,INDEX('Live History'!$H$5:$H$3004,MATCH($A124,'Live History'!$G$5:$G$3004,1)),INDEX('AH History'!$D$1:$D$18046,AH!$P$7+119))),NA()),NA())</ns0:f>
        <ns0:v>1.1567610502243042</ns0:v>
      </ns0:c>
      <ns0:c r="F124">
        <ns0:f>IFERROR(IF(ISNUMBER($A124),IF(AND(AH!$P$10=1,AH!$P$12=1,$A124=TODAY()),IF(AND(AH!$P$10=1,AH!$P$12=1,$A124=TODAY()),TODAY(),NA()),IF(AH!$P$10=1,INDEX('Live History'!$D$5:$D$3004,MATCH($A124,'Live History'!$D$5:$D$3004,1)),INDEX('AH History'!$E$1:$E$18046,AH!$P$7+119))),NA()),NA())</ns0:f>
        <ns0:v>46216</ns0:v>
      </ns0:c>
      <ns0:c r="G124">
        <ns0:f>IFERROR(IF(ISNUMBER($A124),IF(AND(AH!$P$10=1,AH!$P$12=1,$A124=TODAY()),IF(AND(AH!$P$10=1,AH!$P$12=1,$A124=TODAY()),TODAY(),NA()),IF(AH!$P$10=1,INDEX('Live History'!$G$5:$G$3004,MATCH($A124,'Live History'!$G$5:$G$3004,1)),INDEX('AH History'!$F$1:$F$18046,AH!$P$7+119))),NA()),NA())</ns0:f>
        <ns0:v>46216</ns0:v>
      </ns0:c>
      <ns0:c r="H124">
        <ns0:f>IFERROR(IF(AND(AH!$E$4="Bloomberg",AH!$P$10=1,ISNUMBER($A124),$A124&lt;=AH!$P$17),AH!$P$7-1+MATCH($A124,INDEX('AH History'!$A$1:$A$18046,AH!$P$7):INDEX('AH History'!$A$1:$A$18046,AH!$P$7+AH!$P$8-1),0),0),0)</ns0:f>
        <ns0:v/>
      </ns0:c>
      <ns0:c r="I124">
        <ns0:f>IF($H124=0,0,IFERROR(IF(AND(ABS($C124-INDEX('AH History'!$B$1:$B$18046,$H124))&lt;=MAX(0.005,ABS(INDEX('AH History'!$B$1:$B$18046,$H124))*0.00005),ABS($D124-INDEX('AH History'!$C$1:$C$18046,$H124))&lt;=MAX(0.005,ABS(INDEX('AH History'!$C$1:$C$18046,$H124))*0.00005),ABS($E124-INDEX('AH History'!$D$1:$D$18046,$H124))&lt;=0.00005,$F124=INDEX('AH History'!$E$1:$E$18046,$H124),$G124=INDEX('AH History'!$F$1:$F$18046,$H124)),1,-1),-1))</ns0:f>
        <ns0:v/>
      </ns0:c>
    </ns0:row>
    <ns0:row r="125">
      <ns0:c r="A125" s="215">
        <ns0:f>IF(OR(AH!$P$3=0,120+1&gt;AH!$P$11,AND(AH!$E$4&lt;&gt;"Stored",AH!$P$10&lt;&gt;1)),"",IFERROR(IF(AND(AH!$P$21=1,120+1=AH!$P$11),TODAY(),IF(AH!$P$10=1,INDEX('Live History'!$A$5:$A$3004,AH!$P$13+120),INDEX('AH History'!$A$1:$A$18046,AH!$P$7+120))),""))</ns0:f>
        <ns0:v>46217</ns0:v>
      </ns0:c>
      <ns0:c r="B125" s="219">
        <ns0:f>IFERROR(IF(AND(AH!$P$9&lt;&gt;1,$C125&gt;0,$D125&gt;0,$E125&gt;0,$F125&gt;0,$G125&gt;0,$F125&lt;=$A125,$G125&lt;=$A125,$A125-$F125&lt;=10,$A125-$G125&lt;=5),$D125*$E125/$C125-1,NA()),NA())</ns0:f>
        <ns0:v>-0.020332641925105865</ns0:v>
      </ns0:c>
      <ns0:c r="C125">
        <ns0:f>IFERROR(IF(ISNUMBER($A125),IF(AND(AH!$P$10=1,AH!$P$12=1,$A125=TODAY()),AH!$P$19,IF(AH!$P$10=1,INDEX('Live History'!$B$5:$B$3004,AH!$P$13+120),INDEX('AH History'!$B$1:$B$18046,AH!$P$7+120))),NA()),NA())</ns0:f>
        <ns0:v>689.0</ns0:v>
      </ns0:c>
      <ns0:c r="D125">
        <ns0:f>IFERROR(IF(ISNUMBER($A125),IF(AND(AH!$P$10=1,AH!$P$12=1,$A125=TODAY()),AH!$P$18,IF(AH!$P$10=1,INDEX('Live History'!$E$5:$E$3004,MATCH($A125,'Live History'!$D$5:$D$3004,1)),INDEX('AH History'!$C$1:$C$18046,AH!$P$7+120))),NA()),NA())</ns0:f>
        <ns0:v>583.99</ns0:v>
      </ns0:c>
      <ns0:c r="E125">
        <ns0:f>IFERROR(IF(ISNUMBER($A125),IF(AND(AH!$P$10=1,AH!$P$12=1,$A125=TODAY()),AH!$P$20,IF(AH!$P$10=1,INDEX('Live History'!$H$5:$H$3004,MATCH($A125,'Live History'!$G$5:$G$3004,1)),INDEX('AH History'!$D$1:$D$18046,AH!$P$7+120))),NA()),NA())</ns0:f>
        <ns0:v>1.1558259725570679</ns0:v>
      </ns0:c>
      <ns0:c r="F125">
        <ns0:f>IFERROR(IF(ISNUMBER($A125),IF(AND(AH!$P$10=1,AH!$P$12=1,$A125=TODAY()),IF(AND(AH!$P$10=1,AH!$P$12=1,$A125=TODAY()),TODAY(),NA()),IF(AH!$P$10=1,INDEX('Live History'!$D$5:$D$3004,MATCH($A125,'Live History'!$D$5:$D$3004,1)),INDEX('AH History'!$E$1:$E$18046,AH!$P$7+120))),NA()),NA())</ns0:f>
        <ns0:v>46217</ns0:v>
      </ns0:c>
      <ns0:c r="G125">
        <ns0:f>IFERROR(IF(ISNUMBER($A125),IF(AND(AH!$P$10=1,AH!$P$12=1,$A125=TODAY()),IF(AND(AH!$P$10=1,AH!$P$12=1,$A125=TODAY()),TODAY(),NA()),IF(AH!$P$10=1,INDEX('Live History'!$G$5:$G$3004,MATCH($A125,'Live History'!$G$5:$G$3004,1)),INDEX('AH History'!$F$1:$F$18046,AH!$P$7+120))),NA()),NA())</ns0:f>
        <ns0:v>46217</ns0:v>
      </ns0:c>
      <ns0:c r="H125">
        <ns0:f>IFERROR(IF(AND(AH!$E$4="Bloomberg",AH!$P$10=1,ISNUMBER($A125),$A125&lt;=AH!$P$17),AH!$P$7-1+MATCH($A125,INDEX('AH History'!$A$1:$A$18046,AH!$P$7):INDEX('AH History'!$A$1:$A$18046,AH!$P$7+AH!$P$8-1),0),0),0)</ns0:f>
        <ns0:v/>
      </ns0:c>
      <ns0:c r="I125">
        <ns0:f>IF($H125=0,0,IFERROR(IF(AND(ABS($C125-INDEX('AH History'!$B$1:$B$18046,$H125))&lt;=MAX(0.005,ABS(INDEX('AH History'!$B$1:$B$18046,$H125))*0.00005),ABS($D125-INDEX('AH History'!$C$1:$C$18046,$H125))&lt;=MAX(0.005,ABS(INDEX('AH History'!$C$1:$C$18046,$H125))*0.00005),ABS($E125-INDEX('AH History'!$D$1:$D$18046,$H125))&lt;=0.00005,$F125=INDEX('AH History'!$E$1:$E$18046,$H125),$G125=INDEX('AH History'!$F$1:$F$18046,$H125)),1,-1),-1))</ns0:f>
        <ns0:v/>
      </ns0:c>
    </ns0:row>
    <ns0:row r="126">
      <ns0:c r="A126" s="215">
        <ns0:f>IF(OR(AH!$P$3=0,121+1&gt;AH!$P$11,AND(AH!$E$4&lt;&gt;"Stored",AH!$P$10&lt;&gt;1)),"",IFERROR(IF(AND(AH!$P$21=1,121+1=AH!$P$11),TODAY(),IF(AH!$P$10=1,INDEX('Live History'!$A$5:$A$3004,AH!$P$13+121),INDEX('AH History'!$A$1:$A$18046,AH!$P$7+121))),""))</ns0:f>
        <ns0:v>46218</ns0:v>
      </ns0:c>
      <ns0:c r="B126" s="219">
        <ns0:f>IFERROR(IF(AND(AH!$P$9&lt;&gt;1,$C126&gt;0,$D126&gt;0,$E126&gt;0,$F126&gt;0,$G126&gt;0,$F126&lt;=$A126,$G126&lt;=$A126,$A126-$F126&lt;=10,$A126-$G126&lt;=5),$D126*$E126/$C126-1,NA()),NA())</ns0:f>
        <ns0:v>0.007426145842449161</ns0:v>
      </ns0:c>
      <ns0:c r="C126">
        <ns0:f>IFERROR(IF(ISNUMBER($A126),IF(AND(AH!$P$10=1,AH!$P$12=1,$A126=TODAY()),AH!$P$19,IF(AH!$P$10=1,INDEX('Live History'!$B$5:$B$3004,AH!$P$13+121),INDEX('AH History'!$B$1:$B$18046,AH!$P$7+121))),NA()),NA())</ns0:f>
        <ns0:v>657.0</ns0:v>
      </ns0:c>
      <ns0:c r="D126">
        <ns0:f>IFERROR(IF(ISNUMBER($A126),IF(AND(AH!$P$10=1,AH!$P$12=1,$A126=TODAY()),AH!$P$18,IF(AH!$P$10=1,INDEX('Live History'!$E$5:$E$3004,MATCH($A126,'Live History'!$D$5:$D$3004,1)),INDEX('AH History'!$C$1:$C$18046,AH!$P$7+121))),NA()),NA())</ns0:f>
        <ns0:v>571.79</ns0:v>
      </ns0:c>
      <ns0:c r="E126">
        <ns0:f>IFERROR(IF(ISNUMBER($A126),IF(AND(AH!$P$10=1,AH!$P$12=1,$A126=TODAY()),AH!$P$20,IF(AH!$P$10=1,INDEX('Live History'!$H$5:$H$3004,MATCH($A126,'Live History'!$G$5:$G$3004,1)),INDEX('AH History'!$D$1:$D$18046,AH!$P$7+121))),NA()),NA())</ns0:f>
        <ns0:v>1.1575560569763184</ns0:v>
      </ns0:c>
      <ns0:c r="F126">
        <ns0:f>IFERROR(IF(ISNUMBER($A126),IF(AND(AH!$P$10=1,AH!$P$12=1,$A126=TODAY()),IF(AND(AH!$P$10=1,AH!$P$12=1,$A126=TODAY()),TODAY(),NA()),IF(AH!$P$10=1,INDEX('Live History'!$D$5:$D$3004,MATCH($A126,'Live History'!$D$5:$D$3004,1)),INDEX('AH History'!$E$1:$E$18046,AH!$P$7+121))),NA()),NA())</ns0:f>
        <ns0:v>46218</ns0:v>
      </ns0:c>
      <ns0:c r="G126">
        <ns0:f>IFERROR(IF(ISNUMBER($A126),IF(AND(AH!$P$10=1,AH!$P$12=1,$A126=TODAY()),IF(AND(AH!$P$10=1,AH!$P$12=1,$A126=TODAY()),TODAY(),NA()),IF(AH!$P$10=1,INDEX('Live History'!$G$5:$G$3004,MATCH($A126,'Live History'!$G$5:$G$3004,1)),INDEX('AH History'!$F$1:$F$18046,AH!$P$7+121))),NA()),NA())</ns0:f>
        <ns0:v>46218</ns0:v>
      </ns0:c>
      <ns0:c r="H126">
        <ns0:f>IFERROR(IF(AND(AH!$E$4="Bloomberg",AH!$P$10=1,ISNUMBER($A126),$A126&lt;=AH!$P$17),AH!$P$7-1+MATCH($A126,INDEX('AH History'!$A$1:$A$18046,AH!$P$7):INDEX('AH History'!$A$1:$A$18046,AH!$P$7+AH!$P$8-1),0),0),0)</ns0:f>
        <ns0:v/>
      </ns0:c>
      <ns0:c r="I126">
        <ns0:f>IF($H126=0,0,IFERROR(IF(AND(ABS($C126-INDEX('AH History'!$B$1:$B$18046,$H126))&lt;=MAX(0.005,ABS(INDEX('AH History'!$B$1:$B$18046,$H126))*0.00005),ABS($D126-INDEX('AH History'!$C$1:$C$18046,$H126))&lt;=MAX(0.005,ABS(INDEX('AH History'!$C$1:$C$18046,$H126))*0.00005),ABS($E126-INDEX('AH History'!$D$1:$D$18046,$H126))&lt;=0.00005,$F126=INDEX('AH History'!$E$1:$E$18046,$H126),$G126=INDEX('AH History'!$F$1:$F$18046,$H126)),1,-1),-1))</ns0:f>
        <ns0:v/>
      </ns0:c>
    </ns0:row>
    <ns0:row r="127">
      <ns0:c r="A127" s="215">
        <ns0:f>IF(OR(AH!$P$3=0,122+1&gt;AH!$P$11,AND(AH!$E$4&lt;&gt;"Stored",AH!$P$10&lt;&gt;1)),"",IFERROR(IF(AND(AH!$P$21=1,122+1=AH!$P$11),TODAY(),IF(AH!$P$10=1,INDEX('Live History'!$A$5:$A$3004,AH!$P$13+122),INDEX('AH History'!$A$1:$A$18046,AH!$P$7+122))),""))</ns0:f>
        <ns0:v>46219</ns0:v>
      </ns0:c>
      <ns0:c r="B127" s="219">
        <ns0:f>IFERROR(IF(AND(AH!$P$9&lt;&gt;1,$C127&gt;0,$D127&gt;0,$E127&gt;0,$F127&gt;0,$G127&gt;0,$F127&lt;=$A127,$G127&lt;=$A127,$A127-$F127&lt;=10,$A127-$G127&lt;=5),$D127*$E127/$C127-1,NA()),NA())</ns0:f>
        <ns0:v>-0.006877344532807639</ns0:v>
      </ns0:c>
      <ns0:c r="C127">
        <ns0:f>IFERROR(IF(ISNUMBER($A127),IF(AND(AH!$P$10=1,AH!$P$12=1,$A127=TODAY()),AH!$P$19,IF(AH!$P$10=1,INDEX('Live History'!$B$5:$B$3004,AH!$P$13+122),INDEX('AH History'!$B$1:$B$18046,AH!$P$7+122))),NA()),NA())</ns0:f>
        <ns0:v>600.0</ns0:v>
      </ns0:c>
      <ns0:c r="D127">
        <ns0:f>IFERROR(IF(ISNUMBER($A127),IF(AND(AH!$P$10=1,AH!$P$12=1,$A127=TODAY()),AH!$P$18,IF(AH!$P$10=1,INDEX('Live History'!$E$5:$E$3004,MATCH($A127,'Live History'!$D$5:$D$3004,1)),INDEX('AH History'!$C$1:$C$18046,AH!$P$7+122))),NA()),NA())</ns0:f>
        <ns0:v>514.61</ns0:v>
      </ns0:c>
      <ns0:c r="E127">
        <ns0:f>IFERROR(IF(ISNUMBER($A127),IF(AND(AH!$P$10=1,AH!$P$12=1,$A127=TODAY()),AH!$P$20,IF(AH!$P$10=1,INDEX('Live History'!$H$5:$H$3004,MATCH($A127,'Live History'!$G$5:$G$3004,1)),INDEX('AH History'!$D$1:$D$18046,AH!$P$7+122))),NA()),NA())</ns0:f>
        <ns0:v>1.1579129695892334</ns0:v>
      </ns0:c>
      <ns0:c r="F127">
        <ns0:f>IFERROR(IF(ISNUMBER($A127),IF(AND(AH!$P$10=1,AH!$P$12=1,$A127=TODAY()),IF(AND(AH!$P$10=1,AH!$P$12=1,$A127=TODAY()),TODAY(),NA()),IF(AH!$P$10=1,INDEX('Live History'!$D$5:$D$3004,MATCH($A127,'Live History'!$D$5:$D$3004,1)),INDEX('AH History'!$E$1:$E$18046,AH!$P$7+122))),NA()),NA())</ns0:f>
        <ns0:v>46219</ns0:v>
      </ns0:c>
      <ns0:c r="G127">
        <ns0:f>IFERROR(IF(ISNUMBER($A127),IF(AND(AH!$P$10=1,AH!$P$12=1,$A127=TODAY()),IF(AND(AH!$P$10=1,AH!$P$12=1,$A127=TODAY()),TODAY(),NA()),IF(AH!$P$10=1,INDEX('Live History'!$G$5:$G$3004,MATCH($A127,'Live History'!$G$5:$G$3004,1)),INDEX('AH History'!$F$1:$F$18046,AH!$P$7+122))),NA()),NA())</ns0:f>
        <ns0:v>46219</ns0:v>
      </ns0:c>
      <ns0:c r="H127">
        <ns0:f>IFERROR(IF(AND(AH!$E$4="Bloomberg",AH!$P$10=1,ISNUMBER($A127),$A127&lt;=AH!$P$17),AH!$P$7-1+MATCH($A127,INDEX('AH History'!$A$1:$A$18046,AH!$P$7):INDEX('AH History'!$A$1:$A$18046,AH!$P$7+AH!$P$8-1),0),0),0)</ns0:f>
        <ns0:v/>
      </ns0:c>
      <ns0:c r="I127">
        <ns0:f>IF($H127=0,0,IFERROR(IF(AND(ABS($C127-INDEX('AH History'!$B$1:$B$18046,$H127))&lt;=MAX(0.005,ABS(INDEX('AH History'!$B$1:$B$18046,$H127))*0.00005),ABS($D127-INDEX('AH History'!$C$1:$C$18046,$H127))&lt;=MAX(0.005,ABS(INDEX('AH History'!$C$1:$C$18046,$H127))*0.00005),ABS($E127-INDEX('AH History'!$D$1:$D$18046,$H127))&lt;=0.00005,$F127=INDEX('AH History'!$E$1:$E$18046,$H127),$G127=INDEX('AH History'!$F$1:$F$18046,$H127)),1,-1),-1))</ns0:f>
        <ns0:v/>
      </ns0:c>
    </ns0:row>
    <ns0:row r="128">
      <ns0:c r="A128" s="215">
        <ns0:f>IF(OR(AH!$P$3=0,123+1&gt;AH!$P$11,AND(AH!$E$4&lt;&gt;"Stored",AH!$P$10&lt;&gt;1)),"",IFERROR(IF(AND(AH!$P$21=1,123+1=AH!$P$11),TODAY(),IF(AH!$P$10=1,INDEX('Live History'!$A$5:$A$3004,AH!$P$13+123),INDEX('AH History'!$A$1:$A$18046,AH!$P$7+123))),""))</ns0:f>
        <ns0:v>46220</ns0:v>
      </ns0:c>
      <ns0:c r="B128" s="219">
        <ns0:f>IFERROR(IF(AND(AH!$P$9&lt;&gt;1,$C128&gt;0,$D128&gt;0,$E128&gt;0,$F128&gt;0,$G128&gt;0,$F128&lt;=$A128,$G128&lt;=$A128,$A128-$F128&lt;=10,$A128-$G128&lt;=5),$D128*$E128/$C128-1,NA()),NA())</ns0:f>
        <ns0:v>0.004841918429148384</ns0:v>
      </ns0:c>
      <ns0:c r="C128">
        <ns0:f>IFERROR(IF(ISNUMBER($A128),IF(AND(AH!$P$10=1,AH!$P$12=1,$A128=TODAY()),AH!$P$19,IF(AH!$P$10=1,INDEX('Live History'!$B$5:$B$3004,AH!$P$13+123),INDEX('AH History'!$B$1:$B$18046,AH!$P$7+123))),NA()),NA())</ns0:f>
        <ns0:v>533.5</ns0:v>
      </ns0:c>
      <ns0:c r="D128">
        <ns0:f>IFERROR(IF(ISNUMBER($A128),IF(AND(AH!$P$10=1,AH!$P$12=1,$A128=TODAY()),AH!$P$18,IF(AH!$P$10=1,INDEX('Live History'!$E$5:$E$3004,MATCH($A128,'Live History'!$D$5:$D$3004,1)),INDEX('AH History'!$C$1:$C$18046,AH!$P$7+123))),NA()),NA())</ns0:f>
        <ns0:v>463.15</ns0:v>
      </ns0:c>
      <ns0:c r="E128">
        <ns0:f>IFERROR(IF(ISNUMBER($A128),IF(AND(AH!$P$10=1,AH!$P$12=1,$A128=TODAY()),AH!$P$20,IF(AH!$P$10=1,INDEX('Live History'!$H$5:$H$3004,MATCH($A128,'Live History'!$G$5:$G$3004,1)),INDEX('AH History'!$D$1:$D$18046,AH!$P$7+123))),NA()),NA())</ns0:f>
        <ns0:v>1.157472014427185</ns0:v>
      </ns0:c>
      <ns0:c r="F128">
        <ns0:f>IFERROR(IF(ISNUMBER($A128),IF(AND(AH!$P$10=1,AH!$P$12=1,$A128=TODAY()),IF(AND(AH!$P$10=1,AH!$P$12=1,$A128=TODAY()),TODAY(),NA()),IF(AH!$P$10=1,INDEX('Live History'!$D$5:$D$3004,MATCH($A128,'Live History'!$D$5:$D$3004,1)),INDEX('AH History'!$E$1:$E$18046,AH!$P$7+123))),NA()),NA())</ns0:f>
        <ns0:v>46220</ns0:v>
      </ns0:c>
      <ns0:c r="G128">
        <ns0:f>IFERROR(IF(ISNUMBER($A128),IF(AND(AH!$P$10=1,AH!$P$12=1,$A128=TODAY()),IF(AND(AH!$P$10=1,AH!$P$12=1,$A128=TODAY()),TODAY(),NA()),IF(AH!$P$10=1,INDEX('Live History'!$G$5:$G$3004,MATCH($A128,'Live History'!$G$5:$G$3004,1)),INDEX('AH History'!$F$1:$F$18046,AH!$P$7+123))),NA()),NA())</ns0:f>
        <ns0:v>46220</ns0:v>
      </ns0:c>
      <ns0:c r="H128">
        <ns0:f>IFERROR(IF(AND(AH!$E$4="Bloomberg",AH!$P$10=1,ISNUMBER($A128),$A128&lt;=AH!$P$17),AH!$P$7-1+MATCH($A128,INDEX('AH History'!$A$1:$A$18046,AH!$P$7):INDEX('AH History'!$A$1:$A$18046,AH!$P$7+AH!$P$8-1),0),0),0)</ns0:f>
        <ns0:v/>
      </ns0:c>
      <ns0:c r="I128">
        <ns0:f>IF($H128=0,0,IFERROR(IF(AND(ABS($C128-INDEX('AH History'!$B$1:$B$18046,$H128))&lt;=MAX(0.005,ABS(INDEX('AH History'!$B$1:$B$18046,$H128))*0.00005),ABS($D128-INDEX('AH History'!$C$1:$C$18046,$H128))&lt;=MAX(0.005,ABS(INDEX('AH History'!$C$1:$C$18046,$H128))*0.00005),ABS($E128-INDEX('AH History'!$D$1:$D$18046,$H128))&lt;=0.00005,$F128=INDEX('AH History'!$E$1:$E$18046,$H128),$G128=INDEX('AH History'!$F$1:$F$18046,$H128)),1,-1),-1))</ns0:f>
        <ns0:v/>
      </ns0:c>
    </ns0:row>
    <ns0:row r="129">
      <ns0:c r="A129" s="215">
        <ns0:f>IF(OR(AH!$P$3=0,124+1&gt;AH!$P$11,AND(AH!$E$4&lt;&gt;"Stored",AH!$P$10&lt;&gt;1)),"",IFERROR(IF(AND(AH!$P$21=1,124+1=AH!$P$11),TODAY(),IF(AH!$P$10=1,INDEX('Live History'!$A$5:$A$3004,AH!$P$13+124),INDEX('AH History'!$A$1:$A$18046,AH!$P$7+124))),""))</ns0:f>
        <ns0:v>46223</ns0:v>
      </ns0:c>
      <ns0:c r="B129" s="219">
        <ns0:f>IFERROR(IF(AND(AH!$P$9&lt;&gt;1,$C129&gt;0,$D129&gt;0,$E129&gt;0,$F129&gt;0,$G129&gt;0,$F129&lt;=$A129,$G129&lt;=$A129,$A129-$F129&lt;=10,$A129-$G129&lt;=5),$D129*$E129/$C129-1,NA()),NA())</ns0:f>
        <ns0:v>-0.06210668824382659</ns0:v>
      </ns0:c>
      <ns0:c r="C129">
        <ns0:f>IFERROR(IF(ISNUMBER($A129),IF(AND(AH!$P$10=1,AH!$P$12=1,$A129=TODAY()),AH!$P$19,IF(AH!$P$10=1,INDEX('Live History'!$B$5:$B$3004,AH!$P$13+124),INDEX('AH History'!$B$1:$B$18046,AH!$P$7+124))),NA()),NA())</ns0:f>
        <ns0:v>533.5</ns0:v>
      </ns0:c>
      <ns0:c r="D129">
        <ns0:f>IFERROR(IF(ISNUMBER($A129),IF(AND(AH!$P$10=1,AH!$P$12=1,$A129=TODAY()),AH!$P$18,IF(AH!$P$10=1,INDEX('Live History'!$E$5:$E$3004,MATCH($A129,'Live History'!$D$5:$D$3004,1)),INDEX('AH History'!$C$1:$C$18046,AH!$P$7+124))),NA()),NA())</ns0:f>
        <ns0:v>432.3</ns0:v>
      </ns0:c>
      <ns0:c r="E129">
        <ns0:f>IFERROR(IF(ISNUMBER($A129),IF(AND(AH!$P$10=1,AH!$P$12=1,$A129=TODAY()),AH!$P$20,IF(AH!$P$10=1,INDEX('Live History'!$H$5:$H$3004,MATCH($A129,'Live History'!$G$5:$G$3004,1)),INDEX('AH History'!$D$1:$D$18046,AH!$P$7+124))),NA()),NA())</ns0:f>
        <ns0:v>1.1574510335922241</ns0:v>
      </ns0:c>
      <ns0:c r="F129">
        <ns0:f>IFERROR(IF(ISNUMBER($A129),IF(AND(AH!$P$10=1,AH!$P$12=1,$A129=TODAY()),IF(AND(AH!$P$10=1,AH!$P$12=1,$A129=TODAY()),TODAY(),NA()),IF(AH!$P$10=1,INDEX('Live History'!$D$5:$D$3004,MATCH($A129,'Live History'!$D$5:$D$3004,1)),INDEX('AH History'!$E$1:$E$18046,AH!$P$7+124))),NA()),NA())</ns0:f>
        <ns0:v>46223</ns0:v>
      </ns0:c>
      <ns0:c r="G129">
        <ns0:f>IFERROR(IF(ISNUMBER($A129),IF(AND(AH!$P$10=1,AH!$P$12=1,$A129=TODAY()),IF(AND(AH!$P$10=1,AH!$P$12=1,$A129=TODAY()),TODAY(),NA()),IF(AH!$P$10=1,INDEX('Live History'!$G$5:$G$3004,MATCH($A129,'Live History'!$G$5:$G$3004,1)),INDEX('AH History'!$F$1:$F$18046,AH!$P$7+124))),NA()),NA())</ns0:f>
        <ns0:v>46223</ns0:v>
      </ns0:c>
      <ns0:c r="H129">
        <ns0:f>IFERROR(IF(AND(AH!$E$4="Bloomberg",AH!$P$10=1,ISNUMBER($A129),$A129&lt;=AH!$P$17),AH!$P$7-1+MATCH($A129,INDEX('AH History'!$A$1:$A$18046,AH!$P$7):INDEX('AH History'!$A$1:$A$18046,AH!$P$7+AH!$P$8-1),0),0),0)</ns0:f>
        <ns0:v/>
      </ns0:c>
      <ns0:c r="I129">
        <ns0:f>IF($H129=0,0,IFERROR(IF(AND(ABS($C129-INDEX('AH History'!$B$1:$B$18046,$H129))&lt;=MAX(0.005,ABS(INDEX('AH History'!$B$1:$B$18046,$H129))*0.00005),ABS($D129-INDEX('AH History'!$C$1:$C$18046,$H129))&lt;=MAX(0.005,ABS(INDEX('AH History'!$C$1:$C$18046,$H129))*0.00005),ABS($E129-INDEX('AH History'!$D$1:$D$18046,$H129))&lt;=0.00005,$F129=INDEX('AH History'!$E$1:$E$18046,$H129),$G129=INDEX('AH History'!$F$1:$F$18046,$H129)),1,-1),-1))</ns0:f>
        <ns0:v/>
      </ns0:c>
    </ns0:row>
    <ns0:row r="130">
      <ns0:c r="A130" s="215">
        <ns0:f>IF(OR(AH!$P$3=0,125+1&gt;AH!$P$11,AND(AH!$E$4&lt;&gt;"Stored",AH!$P$10&lt;&gt;1)),"",IFERROR(IF(AND(AH!$P$21=1,125+1=AH!$P$11),TODAY(),IF(AH!$P$10=1,INDEX('Live History'!$A$5:$A$3004,AH!$P$13+125),INDEX('AH History'!$A$1:$A$18046,AH!$P$7+125))),""))</ns0:f>
        <ns0:v>46224</ns0:v>
      </ns0:c>
      <ns0:c r="B130" s="219">
        <ns0:f>IFERROR(IF(AND(AH!$P$9&lt;&gt;1,$C130&gt;0,$D130&gt;0,$E130&gt;0,$F130&gt;0,$G130&gt;0,$F130&lt;=$A130,$G130&lt;=$A130,$A130-$F130&lt;=10,$A130-$G130&lt;=5),$D130*$E130/$C130-1,NA()),NA())</ns0:f>
        <ns0:v>-0.10353538031686793</ns0:v>
      </ns0:c>
      <ns0:c r="C130">
        <ns0:f>IFERROR(IF(ISNUMBER($A130),IF(AND(AH!$P$10=1,AH!$P$12=1,$A130=TODAY()),AH!$P$19,IF(AH!$P$10=1,INDEX('Live History'!$B$5:$B$3004,AH!$P$13+125),INDEX('AH History'!$B$1:$B$18046,AH!$P$7+125))),NA()),NA())</ns0:f>
        <ns0:v>614.0</ns0:v>
      </ns0:c>
      <ns0:c r="D130">
        <ns0:f>IFERROR(IF(ISNUMBER($A130),IF(AND(AH!$P$10=1,AH!$P$12=1,$A130=TODAY()),AH!$P$18,IF(AH!$P$10=1,INDEX('Live History'!$E$5:$E$3004,MATCH($A130,'Live History'!$D$5:$D$3004,1)),INDEX('AH History'!$C$1:$C$18046,AH!$P$7+125))),NA()),NA())</ns0:f>
        <ns0:v>475.53</ns0:v>
      </ns0:c>
      <ns0:c r="E130">
        <ns0:f>IFERROR(IF(ISNUMBER($A130),IF(AND(AH!$P$10=1,AH!$P$12=1,$A130=TODAY()),AH!$P$20,IF(AH!$P$10=1,INDEX('Live History'!$H$5:$H$3004,MATCH($A130,'Live History'!$G$5:$G$3004,1)),INDEX('AH History'!$D$1:$D$18046,AH!$P$7+125))),NA()),NA())</ns0:f>
        <ns0:v>1.1575069427490234</ns0:v>
      </ns0:c>
      <ns0:c r="F130">
        <ns0:f>IFERROR(IF(ISNUMBER($A130),IF(AND(AH!$P$10=1,AH!$P$12=1,$A130=TODAY()),IF(AND(AH!$P$10=1,AH!$P$12=1,$A130=TODAY()),TODAY(),NA()),IF(AH!$P$10=1,INDEX('Live History'!$D$5:$D$3004,MATCH($A130,'Live History'!$D$5:$D$3004,1)),INDEX('AH History'!$E$1:$E$18046,AH!$P$7+125))),NA()),NA())</ns0:f>
        <ns0:v>46224</ns0:v>
      </ns0:c>
      <ns0:c r="G130">
        <ns0:f>IFERROR(IF(ISNUMBER($A130),IF(AND(AH!$P$10=1,AH!$P$12=1,$A130=TODAY()),IF(AND(AH!$P$10=1,AH!$P$12=1,$A130=TODAY()),TODAY(),NA()),IF(AH!$P$10=1,INDEX('Live History'!$G$5:$G$3004,MATCH($A130,'Live History'!$G$5:$G$3004,1)),INDEX('AH History'!$F$1:$F$18046,AH!$P$7+125))),NA()),NA())</ns0:f>
        <ns0:v>46224</ns0:v>
      </ns0:c>
      <ns0:c r="H130">
        <ns0:f>IFERROR(IF(AND(AH!$E$4="Bloomberg",AH!$P$10=1,ISNUMBER($A130),$A130&lt;=AH!$P$17),AH!$P$7-1+MATCH($A130,INDEX('AH History'!$A$1:$A$18046,AH!$P$7):INDEX('AH History'!$A$1:$A$18046,AH!$P$7+AH!$P$8-1),0),0),0)</ns0:f>
        <ns0:v/>
      </ns0:c>
      <ns0:c r="I130">
        <ns0:f>IF($H130=0,0,IFERROR(IF(AND(ABS($C130-INDEX('AH History'!$B$1:$B$18046,$H130))&lt;=MAX(0.005,ABS(INDEX('AH History'!$B$1:$B$18046,$H130))*0.00005),ABS($D130-INDEX('AH History'!$C$1:$C$18046,$H130))&lt;=MAX(0.005,ABS(INDEX('AH History'!$C$1:$C$18046,$H130))*0.00005),ABS($E130-INDEX('AH History'!$D$1:$D$18046,$H130))&lt;=0.00005,$F130=INDEX('AH History'!$E$1:$E$18046,$H130),$G130=INDEX('AH History'!$F$1:$F$18046,$H130)),1,-1),-1))</ns0:f>
        <ns0:v/>
      </ns0:c>
    </ns0:row>
    <ns0:row r="131">
      <ns0:c r="A131" s="215">
        <ns0:f>IF(OR(AH!$P$3=0,126+1&gt;AH!$P$11,AND(AH!$E$4&lt;&gt;"Stored",AH!$P$10&lt;&gt;1)),"",IFERROR(IF(AND(AH!$P$21=1,126+1=AH!$P$11),TODAY(),IF(AH!$P$10=1,INDEX('Live History'!$A$5:$A$3004,AH!$P$13+126),INDEX('AH History'!$A$1:$A$18046,AH!$P$7+126))),""))</ns0:f>
        <ns0:v>46225</ns0:v>
      </ns0:c>
      <ns0:c r="B131" s="219">
        <ns0:f>IFERROR(IF(AND(AH!$P$9&lt;&gt;1,$C131&gt;0,$D131&gt;0,$E131&gt;0,$F131&gt;0,$G131&gt;0,$F131&lt;=$A131,$G131&lt;=$A131,$A131-$F131&lt;=10,$A131-$G131&lt;=5),$D131*$E131/$C131-1,NA()),NA())</ns0:f>
        <ns0:v>-0.06729300748812006</ns0:v>
      </ns0:c>
      <ns0:c r="C131">
        <ns0:f>IFERROR(IF(ISNUMBER($A131),IF(AND(AH!$P$10=1,AH!$P$12=1,$A131=TODAY()),AH!$P$19,IF(AH!$P$10=1,INDEX('Live History'!$B$5:$B$3004,AH!$P$13+126),INDEX('AH History'!$B$1:$B$18046,AH!$P$7+126))),NA()),NA())</ns0:f>
        <ns0:v>584.0</ns0:v>
      </ns0:c>
      <ns0:c r="D131">
        <ns0:f>IFERROR(IF(ISNUMBER($A131),IF(AND(AH!$P$10=1,AH!$P$12=1,$A131=TODAY()),AH!$P$18,IF(AH!$P$10=1,INDEX('Live History'!$E$5:$E$3004,MATCH($A131,'Live History'!$D$5:$D$3004,1)),INDEX('AH History'!$C$1:$C$18046,AH!$P$7+126))),NA()),NA())</ns0:f>
        <ns0:v>470.0</ns0:v>
      </ns0:c>
      <ns0:c r="E131">
        <ns0:f>IFERROR(IF(ISNUMBER($A131),IF(AND(AH!$P$10=1,AH!$P$12=1,$A131=TODAY()),AH!$P$20,IF(AH!$P$10=1,INDEX('Live History'!$H$5:$H$3004,MATCH($A131,'Live History'!$G$5:$G$3004,1)),INDEX('AH History'!$D$1:$D$18046,AH!$P$7+126))),NA()),NA())</ns0:f>
        <ns0:v>1.1589380502700806</ns0:v>
      </ns0:c>
      <ns0:c r="F131">
        <ns0:f>IFERROR(IF(ISNUMBER($A131),IF(AND(AH!$P$10=1,AH!$P$12=1,$A131=TODAY()),IF(AND(AH!$P$10=1,AH!$P$12=1,$A131=TODAY()),TODAY(),NA()),IF(AH!$P$10=1,INDEX('Live History'!$D$5:$D$3004,MATCH($A131,'Live History'!$D$5:$D$3004,1)),INDEX('AH History'!$E$1:$E$18046,AH!$P$7+126))),NA()),NA())</ns0:f>
        <ns0:v>46225</ns0:v>
      </ns0:c>
      <ns0:c r="G131">
        <ns0:f>IFERROR(IF(ISNUMBER($A131),IF(AND(AH!$P$10=1,AH!$P$12=1,$A131=TODAY()),IF(AND(AH!$P$10=1,AH!$P$12=1,$A131=TODAY()),TODAY(),NA()),IF(AH!$P$10=1,INDEX('Live History'!$G$5:$G$3004,MATCH($A131,'Live History'!$G$5:$G$3004,1)),INDEX('AH History'!$F$1:$F$18046,AH!$P$7+126))),NA()),NA())</ns0:f>
        <ns0:v>46225</ns0:v>
      </ns0:c>
      <ns0:c r="H131">
        <ns0:f>IFERROR(IF(AND(AH!$E$4="Bloomberg",AH!$P$10=1,ISNUMBER($A131),$A131&lt;=AH!$P$17),AH!$P$7-1+MATCH($A131,INDEX('AH History'!$A$1:$A$18046,AH!$P$7):INDEX('AH History'!$A$1:$A$18046,AH!$P$7+AH!$P$8-1),0),0),0)</ns0:f>
        <ns0:v/>
      </ns0:c>
      <ns0:c r="I131">
        <ns0:f>IF($H131=0,0,IFERROR(IF(AND(ABS($C131-INDEX('AH History'!$B$1:$B$18046,$H131))&lt;=MAX(0.005,ABS(INDEX('AH History'!$B$1:$B$18046,$H131))*0.00005),ABS($D131-INDEX('AH History'!$C$1:$C$18046,$H131))&lt;=MAX(0.005,ABS(INDEX('AH History'!$C$1:$C$18046,$H131))*0.00005),ABS($E131-INDEX('AH History'!$D$1:$D$18046,$H131))&lt;=0.00005,$F131=INDEX('AH History'!$E$1:$E$18046,$H131),$G131=INDEX('AH History'!$F$1:$F$18046,$H131)),1,-1),-1))</ns0:f>
        <ns0:v/>
      </ns0:c>
    </ns0:row>
    <ns0:row r="132">
      <ns0:c r="A132" s="215">
        <ns0:f>IF(OR(AH!$P$3=0,127+1&gt;AH!$P$11,AND(AH!$E$4&lt;&gt;"Stored",AH!$P$10&lt;&gt;1)),"",IFERROR(IF(AND(AH!$P$21=1,127+1=AH!$P$11),TODAY(),IF(AH!$P$10=1,INDEX('Live History'!$A$5:$A$3004,AH!$P$13+127),INDEX('AH History'!$A$1:$A$18046,AH!$P$7+127))),""))</ns0:f>
        <ns0:v>46226</ns0:v>
      </ns0:c>
      <ns0:c r="B132" s="219">
        <ns0:f>IFERROR(IF(AND(AH!$P$9&lt;&gt;1,$C132&gt;0,$D132&gt;0,$E132&gt;0,$F132&gt;0,$G132&gt;0,$F132&lt;=$A132,$G132&lt;=$A132,$A132-$F132&lt;=10,$A132-$G132&lt;=5),$D132*$E132/$C132-1,NA()),NA())</ns0:f>
        <ns0:v>-0.06505189241949638</ns0:v>
      </ns0:c>
      <ns0:c r="C132">
        <ns0:f>IFERROR(IF(ISNUMBER($A132),IF(AND(AH!$P$10=1,AH!$P$12=1,$A132=TODAY()),AH!$P$19,IF(AH!$P$10=1,INDEX('Live History'!$B$5:$B$3004,AH!$P$13+127),INDEX('AH History'!$B$1:$B$18046,AH!$P$7+127))),NA()),NA())</ns0:f>
        <ns0:v>559.5</ns0:v>
      </ns0:c>
      <ns0:c r="D132">
        <ns0:f>IFERROR(IF(ISNUMBER($A132),IF(AND(AH!$P$10=1,AH!$P$12=1,$A132=TODAY()),AH!$P$18,IF(AH!$P$10=1,INDEX('Live History'!$E$5:$E$3004,MATCH($A132,'Live History'!$D$5:$D$3004,1)),INDEX('AH History'!$C$1:$C$18046,AH!$P$7+127))),NA()),NA())</ns0:f>
        <ns0:v>451.96</ns0:v>
      </ns0:c>
      <ns0:c r="E132">
        <ns0:f>IFERROR(IF(ISNUMBER($A132),IF(AND(AH!$P$10=1,AH!$P$12=1,$A132=TODAY()),AH!$P$20,IF(AH!$P$10=1,INDEX('Live History'!$H$5:$H$3004,MATCH($A132,'Live History'!$G$5:$G$3004,1)),INDEX('AH History'!$D$1:$D$18046,AH!$P$7+127))),NA()),NA())</ns0:f>
        <ns0:v>1.157410979270935</ns0:v>
      </ns0:c>
      <ns0:c r="F132">
        <ns0:f>IFERROR(IF(ISNUMBER($A132),IF(AND(AH!$P$10=1,AH!$P$12=1,$A132=TODAY()),IF(AND(AH!$P$10=1,AH!$P$12=1,$A132=TODAY()),TODAY(),NA()),IF(AH!$P$10=1,INDEX('Live History'!$D$5:$D$3004,MATCH($A132,'Live History'!$D$5:$D$3004,1)),INDEX('AH History'!$E$1:$E$18046,AH!$P$7+127))),NA()),NA())</ns0:f>
        <ns0:v>46226</ns0:v>
      </ns0:c>
      <ns0:c r="G132">
        <ns0:f>IFERROR(IF(ISNUMBER($A132),IF(AND(AH!$P$10=1,AH!$P$12=1,$A132=TODAY()),IF(AND(AH!$P$10=1,AH!$P$12=1,$A132=TODAY()),TODAY(),NA()),IF(AH!$P$10=1,INDEX('Live History'!$G$5:$G$3004,MATCH($A132,'Live History'!$G$5:$G$3004,1)),INDEX('AH History'!$F$1:$F$18046,AH!$P$7+127))),NA()),NA())</ns0:f>
        <ns0:v>46226</ns0:v>
      </ns0:c>
      <ns0:c r="H132">
        <ns0:f>IFERROR(IF(AND(AH!$E$4="Bloomberg",AH!$P$10=1,ISNUMBER($A132),$A132&lt;=AH!$P$17),AH!$P$7-1+MATCH($A132,INDEX('AH History'!$A$1:$A$18046,AH!$P$7):INDEX('AH History'!$A$1:$A$18046,AH!$P$7+AH!$P$8-1),0),0),0)</ns0:f>
        <ns0:v/>
      </ns0:c>
      <ns0:c r="I132">
        <ns0:f>IF($H132=0,0,IFERROR(IF(AND(ABS($C132-INDEX('AH History'!$B$1:$B$18046,$H132))&lt;=MAX(0.005,ABS(INDEX('AH History'!$B$1:$B$18046,$H132))*0.00005),ABS($D132-INDEX('AH History'!$C$1:$C$18046,$H132))&lt;=MAX(0.005,ABS(INDEX('AH History'!$C$1:$C$18046,$H132))*0.00005),ABS($E132-INDEX('AH History'!$D$1:$D$18046,$H132))&lt;=0.00005,$F132=INDEX('AH History'!$E$1:$E$18046,$H132),$G132=INDEX('AH History'!$F$1:$F$18046,$H132)),1,-1),-1))</ns0:f>
        <ns0:v/>
      </ns0:c>
    </ns0:row>
    <ns0:row r="133">
      <ns0:c r="A133" s="215">
        <ns0:f>IF(OR(AH!$P$3=0,128+1&gt;AH!$P$11,AND(AH!$E$4&lt;&gt;"Stored",AH!$P$10&lt;&gt;1)),"",IFERROR(IF(AND(AH!$P$21=1,128+1=AH!$P$11),TODAY(),IF(AH!$P$10=1,INDEX('Live History'!$A$5:$A$3004,AH!$P$13+128),INDEX('AH History'!$A$1:$A$18046,AH!$P$7+128))),""))</ns0:f>
        <ns0:v>46227</ns0:v>
      </ns0:c>
      <ns0:c r="B133" s="219">
        <ns0:f>IFERROR(IF(AND(AH!$P$9&lt;&gt;1,$C133&gt;0,$D133&gt;0,$E133&gt;0,$F133&gt;0,$G133&gt;0,$F133&lt;=$A133,$G133&lt;=$A133,$A133-$F133&lt;=10,$A133-$G133&lt;=5),$D133*$E133/$C133-1,NA()),NA())</ns0:f>
        <ns0:v>-0.06860344237844707</ns0:v>
      </ns0:c>
      <ns0:c r="C133">
        <ns0:f>IFERROR(IF(ISNUMBER($A133),IF(AND(AH!$P$10=1,AH!$P$12=1,$A133=TODAY()),AH!$P$19,IF(AH!$P$10=1,INDEX('Live History'!$B$5:$B$3004,AH!$P$13+128),INDEX('AH History'!$B$1:$B$18046,AH!$P$7+128))),NA()),NA())</ns0:f>
        <ns0:v>568.0</ns0:v>
      </ns0:c>
      <ns0:c r="D133">
        <ns0:f>IFERROR(IF(ISNUMBER($A133),IF(AND(AH!$P$10=1,AH!$P$12=1,$A133=TODAY()),AH!$P$18,IF(AH!$P$10=1,INDEX('Live History'!$E$5:$E$3004,MATCH($A133,'Live History'!$D$5:$D$3004,1)),INDEX('AH History'!$C$1:$C$18046,AH!$P$7+128))),NA()),NA())</ns0:f>
        <ns0:v>457.0</ns0:v>
      </ns0:c>
      <ns0:c r="E133">
        <ns0:f>IFERROR(IF(ISNUMBER($A133),IF(AND(AH!$P$10=1,AH!$P$12=1,$A133=TODAY()),AH!$P$20,IF(AH!$P$10=1,INDEX('Live History'!$H$5:$H$3004,MATCH($A133,'Live History'!$G$5:$G$3004,1)),INDEX('AH History'!$D$1:$D$18046,AH!$P$7+128))),NA()),NA())</ns0:f>
        <ns0:v>1.15762197971344</ns0:v>
      </ns0:c>
      <ns0:c r="F133">
        <ns0:f>IFERROR(IF(ISNUMBER($A133),IF(AND(AH!$P$10=1,AH!$P$12=1,$A133=TODAY()),IF(AND(AH!$P$10=1,AH!$P$12=1,$A133=TODAY()),TODAY(),NA()),IF(AH!$P$10=1,INDEX('Live History'!$D$5:$D$3004,MATCH($A133,'Live History'!$D$5:$D$3004,1)),INDEX('AH History'!$E$1:$E$18046,AH!$P$7+128))),NA()),NA())</ns0:f>
        <ns0:v>46227</ns0:v>
      </ns0:c>
      <ns0:c r="G133">
        <ns0:f>IFERROR(IF(ISNUMBER($A133),IF(AND(AH!$P$10=1,AH!$P$12=1,$A133=TODAY()),IF(AND(AH!$P$10=1,AH!$P$12=1,$A133=TODAY()),TODAY(),NA()),IF(AH!$P$10=1,INDEX('Live History'!$G$5:$G$3004,MATCH($A133,'Live History'!$G$5:$G$3004,1)),INDEX('AH History'!$F$1:$F$18046,AH!$P$7+128))),NA()),NA())</ns0:f>
        <ns0:v>46227</ns0:v>
      </ns0:c>
      <ns0:c r="H133">
        <ns0:f>IFERROR(IF(AND(AH!$E$4="Bloomberg",AH!$P$10=1,ISNUMBER($A133),$A133&lt;=AH!$P$17),AH!$P$7-1+MATCH($A133,INDEX('AH History'!$A$1:$A$18046,AH!$P$7):INDEX('AH History'!$A$1:$A$18046,AH!$P$7+AH!$P$8-1),0),0),0)</ns0:f>
        <ns0:v/>
      </ns0:c>
      <ns0:c r="I133">
        <ns0:f>IF($H133=0,0,IFERROR(IF(AND(ABS($C133-INDEX('AH History'!$B$1:$B$18046,$H133))&lt;=MAX(0.005,ABS(INDEX('AH History'!$B$1:$B$18046,$H133))*0.00005),ABS($D133-INDEX('AH History'!$C$1:$C$18046,$H133))&lt;=MAX(0.005,ABS(INDEX('AH History'!$C$1:$C$18046,$H133))*0.00005),ABS($E133-INDEX('AH History'!$D$1:$D$18046,$H133))&lt;=0.00005,$F133=INDEX('AH History'!$E$1:$E$18046,$H133),$G133=INDEX('AH History'!$F$1:$F$18046,$H133)),1,-1),-1))</ns0:f>
        <ns0:v/>
      </ns0:c>
    </ns0:row>
    <ns0:row r="134">
      <ns0:c r="A134" s="215">
        <ns0:f>IF(OR(AH!$P$3=0,129+1&gt;AH!$P$11,AND(AH!$E$4&lt;&gt;"Stored",AH!$P$10&lt;&gt;1)),"",IFERROR(IF(AND(AH!$P$21=1,129+1=AH!$P$11),TODAY(),IF(AH!$P$10=1,INDEX('Live History'!$A$5:$A$3004,AH!$P$13+129),INDEX('AH History'!$A$1:$A$18046,AH!$P$7+129))),""))</ns0:f>
        <ns0:v>46230</ns0:v>
      </ns0:c>
      <ns0:c r="B134" s="219">
        <ns0:f>IFERROR(IF(AND(AH!$P$9&lt;&gt;1,$C134&gt;0,$D134&gt;0,$E134&gt;0,$F134&gt;0,$G134&gt;0,$F134&lt;=$A134,$G134&lt;=$A134,$A134-$F134&lt;=10,$A134-$G134&lt;=5),$D134*$E134/$C134-1,NA()),NA())</ns0:f>
        <ns0:v>-0.07955595805968119</ns0:v>
      </ns0:c>
      <ns0:c r="C134">
        <ns0:f>IFERROR(IF(ISNUMBER($A134),IF(AND(AH!$P$10=1,AH!$P$12=1,$A134=TODAY()),AH!$P$19,IF(AH!$P$10=1,INDEX('Live History'!$B$5:$B$3004,AH!$P$13+129),INDEX('AH History'!$B$1:$B$18046,AH!$P$7+129))),NA()),NA())</ns0:f>
        <ns0:v>546.0</ns0:v>
      </ns0:c>
      <ns0:c r="D134">
        <ns0:f>IFERROR(IF(ISNUMBER($A134),IF(AND(AH!$P$10=1,AH!$P$12=1,$A134=TODAY()),AH!$P$18,IF(AH!$P$10=1,INDEX('Live History'!$E$5:$E$3004,MATCH($A134,'Live History'!$D$5:$D$3004,1)),INDEX('AH History'!$C$1:$C$18046,AH!$P$7+129))),NA()),NA())</ns0:f>
        <ns0:v>434.03</ns0:v>
      </ns0:c>
      <ns0:c r="E134">
        <ns0:f>IFERROR(IF(ISNUMBER($A134),IF(AND(AH!$P$10=1,AH!$P$12=1,$A134=TODAY()),AH!$P$20,IF(AH!$P$10=1,INDEX('Live History'!$H$5:$H$3004,MATCH($A134,'Live History'!$G$5:$G$3004,1)),INDEX('AH History'!$D$1:$D$18046,AH!$P$7+129))),NA()),NA())</ns0:f>
        <ns0:v>1.15789794921875</ns0:v>
      </ns0:c>
      <ns0:c r="F134">
        <ns0:f>IFERROR(IF(ISNUMBER($A134),IF(AND(AH!$P$10=1,AH!$P$12=1,$A134=TODAY()),IF(AND(AH!$P$10=1,AH!$P$12=1,$A134=TODAY()),TODAY(),NA()),IF(AH!$P$10=1,INDEX('Live History'!$D$5:$D$3004,MATCH($A134,'Live History'!$D$5:$D$3004,1)),INDEX('AH History'!$E$1:$E$18046,AH!$P$7+129))),NA()),NA())</ns0:f>
        <ns0:v>46230</ns0:v>
      </ns0:c>
      <ns0:c r="G134">
        <ns0:f>IFERROR(IF(ISNUMBER($A134),IF(AND(AH!$P$10=1,AH!$P$12=1,$A134=TODAY()),IF(AND(AH!$P$10=1,AH!$P$12=1,$A134=TODAY()),TODAY(),NA()),IF(AH!$P$10=1,INDEX('Live History'!$G$5:$G$3004,MATCH($A134,'Live History'!$G$5:$G$3004,1)),INDEX('AH History'!$F$1:$F$18046,AH!$P$7+129))),NA()),NA())</ns0:f>
        <ns0:v>46230</ns0:v>
      </ns0:c>
      <ns0:c r="H134">
        <ns0:f>IFERROR(IF(AND(AH!$E$4="Bloomberg",AH!$P$10=1,ISNUMBER($A134),$A134&lt;=AH!$P$17),AH!$P$7-1+MATCH($A134,INDEX('AH History'!$A$1:$A$18046,AH!$P$7):INDEX('AH History'!$A$1:$A$18046,AH!$P$7+AH!$P$8-1),0),0),0)</ns0:f>
        <ns0:v/>
      </ns0:c>
      <ns0:c r="I134">
        <ns0:f>IF($H134=0,0,IFERROR(IF(AND(ABS($C134-INDEX('AH History'!$B$1:$B$18046,$H134))&lt;=MAX(0.005,ABS(INDEX('AH History'!$B$1:$B$18046,$H134))*0.00005),ABS($D134-INDEX('AH History'!$C$1:$C$18046,$H134))&lt;=MAX(0.005,ABS(INDEX('AH History'!$C$1:$C$18046,$H134))*0.00005),ABS($E134-INDEX('AH History'!$D$1:$D$18046,$H134))&lt;=0.00005,$F134=INDEX('AH History'!$E$1:$E$18046,$H134),$G134=INDEX('AH History'!$F$1:$F$18046,$H134)),1,-1),-1))</ns0:f>
        <ns0:v/>
      </ns0:c>
    </ns0:row>
    <ns0:row r="135">
      <ns0:c r="A135" s="215">
        <ns0:f>IF(OR(AH!$P$3=0,130+1&gt;AH!$P$11,AND(AH!$E$4&lt;&gt;"Stored",AH!$P$10&lt;&gt;1)),"",IFERROR(IF(AND(AH!$P$21=1,130+1=AH!$P$11),TODAY(),IF(AH!$P$10=1,INDEX('Live History'!$A$5:$A$3004,AH!$P$13+130),INDEX('AH History'!$A$1:$A$18046,AH!$P$7+130))),""))</ns0:f>
        <ns0:v>46231</ns0:v>
      </ns0:c>
      <ns0:c r="B135" s="219">
        <ns0:f>IFERROR(IF(AND(AH!$P$9&lt;&gt;1,$C135&gt;0,$D135&gt;0,$E135&gt;0,$F135&gt;0,$G135&gt;0,$F135&lt;=$A135,$G135&lt;=$A135,$A135-$F135&lt;=10,$A135-$G135&lt;=5),$D135*$E135/$C135-1,NA()),NA())</ns0:f>
        <ns0:v>0.0031529350483672225</ns0:v>
      </ns0:c>
      <ns0:c r="C135">
        <ns0:f>IFERROR(IF(ISNUMBER($A135),IF(AND(AH!$P$10=1,AH!$P$12=1,$A135=TODAY()),AH!$P$19,IF(AH!$P$10=1,INDEX('Live History'!$B$5:$B$3004,AH!$P$13+130),INDEX('AH History'!$B$1:$B$18046,AH!$P$7+130))),NA()),NA())</ns0:f>
        <ns0:v>451.2</ns0:v>
      </ns0:c>
      <ns0:c r="D135">
        <ns0:f>IFERROR(IF(ISNUMBER($A135),IF(AND(AH!$P$10=1,AH!$P$12=1,$A135=TODAY()),AH!$P$18,IF(AH!$P$10=1,INDEX('Live History'!$E$5:$E$3004,MATCH($A135,'Live History'!$D$5:$D$3004,1)),INDEX('AH History'!$C$1:$C$18046,AH!$P$7+130))),NA()),NA())</ns0:f>
        <ns0:v>390.63</ns0:v>
      </ns0:c>
      <ns0:c r="E135">
        <ns0:f>IFERROR(IF(ISNUMBER($A135),IF(AND(AH!$P$10=1,AH!$P$12=1,$A135=TODAY()),AH!$P$20,IF(AH!$P$10=1,INDEX('Live History'!$H$5:$H$3004,MATCH($A135,'Live History'!$G$5:$G$3004,1)),INDEX('AH History'!$D$1:$D$18046,AH!$P$7+130))),NA()),NA())</ns0:f>
        <ns0:v>1.1586990356445312</ns0:v>
      </ns0:c>
      <ns0:c r="F135">
        <ns0:f>IFERROR(IF(ISNUMBER($A135),IF(AND(AH!$P$10=1,AH!$P$12=1,$A135=TODAY()),IF(AND(AH!$P$10=1,AH!$P$12=1,$A135=TODAY()),TODAY(),NA()),IF(AH!$P$10=1,INDEX('Live History'!$D$5:$D$3004,MATCH($A135,'Live History'!$D$5:$D$3004,1)),INDEX('AH History'!$E$1:$E$18046,AH!$P$7+130))),NA()),NA())</ns0:f>
        <ns0:v>46231</ns0:v>
      </ns0:c>
      <ns0:c r="G135">
        <ns0:f>IFERROR(IF(ISNUMBER($A135),IF(AND(AH!$P$10=1,AH!$P$12=1,$A135=TODAY()),IF(AND(AH!$P$10=1,AH!$P$12=1,$A135=TODAY()),TODAY(),NA()),IF(AH!$P$10=1,INDEX('Live History'!$G$5:$G$3004,MATCH($A135,'Live History'!$G$5:$G$3004,1)),INDEX('AH History'!$F$1:$F$18046,AH!$P$7+130))),NA()),NA())</ns0:f>
        <ns0:v>46231</ns0:v>
      </ns0:c>
      <ns0:c r="H135">
        <ns0:f>IFERROR(IF(AND(AH!$E$4="Bloomberg",AH!$P$10=1,ISNUMBER($A135),$A135&lt;=AH!$P$17),AH!$P$7-1+MATCH($A135,INDEX('AH History'!$A$1:$A$18046,AH!$P$7):INDEX('AH History'!$A$1:$A$18046,AH!$P$7+AH!$P$8-1),0),0),0)</ns0:f>
        <ns0:v/>
      </ns0:c>
      <ns0:c r="I135">
        <ns0:f>IF($H135=0,0,IFERROR(IF(AND(ABS($C135-INDEX('AH History'!$B$1:$B$18046,$H135))&lt;=MAX(0.005,ABS(INDEX('AH History'!$B$1:$B$18046,$H135))*0.00005),ABS($D135-INDEX('AH History'!$C$1:$C$18046,$H135))&lt;=MAX(0.005,ABS(INDEX('AH History'!$C$1:$C$18046,$H135))*0.00005),ABS($E135-INDEX('AH History'!$D$1:$D$18046,$H135))&lt;=0.00005,$F135=INDEX('AH History'!$E$1:$E$18046,$H135),$G135=INDEX('AH History'!$F$1:$F$18046,$H135)),1,-1),-1))</ns0:f>
        <ns0:v/>
      </ns0:c>
    </ns0:row>
    <ns0:row r="136">
      <ns0:c r="A136" s="215">
        <ns0:f>IF(OR(AH!$P$3=0,131+1&gt;AH!$P$11,AND(AH!$E$4&lt;&gt;"Stored",AH!$P$10&lt;&gt;1)),"",IFERROR(IF(AND(AH!$P$21=1,131+1=AH!$P$11),TODAY(),IF(AH!$P$10=1,INDEX('Live History'!$A$5:$A$3004,AH!$P$13+131),INDEX('AH History'!$A$1:$A$18046,AH!$P$7+131))),""))</ns0:f>
        <ns0:v>46232</ns0:v>
      </ns0:c>
      <ns0:c r="B136" s="219">
        <ns0:f>IFERROR(IF(AND(AH!$P$9&lt;&gt;1,$C136&gt;0,$D136&gt;0,$E136&gt;0,$F136&gt;0,$G136&gt;0,$F136&lt;=$A136,$G136&lt;=$A136,$A136-$F136&lt;=10,$A136-$G136&lt;=5),$D136*$E136/$C136-1,NA()),NA())</ns0:f>
        <ns0:v>-0.034553427792884395</ns0:v>
      </ns0:c>
      <ns0:c r="C136">
        <ns0:f>IFERROR(IF(ISNUMBER($A136),IF(AND(AH!$P$10=1,AH!$P$12=1,$A136=TODAY()),AH!$P$19,IF(AH!$P$10=1,INDEX('Live History'!$B$5:$B$3004,AH!$P$13+131),INDEX('AH History'!$B$1:$B$18046,AH!$P$7+131))),NA()),NA())</ns0:f>
        <ns0:v>436.6</ns0:v>
      </ns0:c>
      <ns0:c r="D136">
        <ns0:f>IFERROR(IF(ISNUMBER($A136),IF(AND(AH!$P$10=1,AH!$P$12=1,$A136=TODAY()),AH!$P$18,IF(AH!$P$10=1,INDEX('Live History'!$E$5:$E$3004,MATCH($A136,'Live History'!$D$5:$D$3004,1)),INDEX('AH History'!$C$1:$C$18046,AH!$P$7+131))),NA()),NA())</ns0:f>
        <ns0:v>364.03</ns0:v>
      </ns0:c>
      <ns0:c r="E136">
        <ns0:f>IFERROR(IF(ISNUMBER($A136),IF(AND(AH!$P$10=1,AH!$P$12=1,$A136=TODAY()),AH!$P$20,IF(AH!$P$10=1,INDEX('Live History'!$H$5:$H$3004,MATCH($A136,'Live History'!$G$5:$G$3004,1)),INDEX('AH History'!$D$1:$D$18046,AH!$P$7+131))),NA()),NA())</ns0:f>
        <ns0:v>1.1579099893569946</ns0:v>
      </ns0:c>
      <ns0:c r="F136">
        <ns0:f>IFERROR(IF(ISNUMBER($A136),IF(AND(AH!$P$10=1,AH!$P$12=1,$A136=TODAY()),IF(AND(AH!$P$10=1,AH!$P$12=1,$A136=TODAY()),TODAY(),NA()),IF(AH!$P$10=1,INDEX('Live History'!$D$5:$D$3004,MATCH($A136,'Live History'!$D$5:$D$3004,1)),INDEX('AH History'!$E$1:$E$18046,AH!$P$7+131))),NA()),NA())</ns0:f>
        <ns0:v>46232</ns0:v>
      </ns0:c>
      <ns0:c r="G136">
        <ns0:f>IFERROR(IF(ISNUMBER($A136),IF(AND(AH!$P$10=1,AH!$P$12=1,$A136=TODAY()),IF(AND(AH!$P$10=1,AH!$P$12=1,$A136=TODAY()),TODAY(),NA()),IF(AH!$P$10=1,INDEX('Live History'!$G$5:$G$3004,MATCH($A136,'Live History'!$G$5:$G$3004,1)),INDEX('AH History'!$F$1:$F$18046,AH!$P$7+131))),NA()),NA())</ns0:f>
        <ns0:v>46232</ns0:v>
      </ns0:c>
      <ns0:c r="H136">
        <ns0:f>IFERROR(IF(AND(AH!$E$4="Bloomberg",AH!$P$10=1,ISNUMBER($A136),$A136&lt;=AH!$P$17),AH!$P$7-1+MATCH($A136,INDEX('AH History'!$A$1:$A$18046,AH!$P$7):INDEX('AH History'!$A$1:$A$18046,AH!$P$7+AH!$P$8-1),0),0),0)</ns0:f>
        <ns0:v/>
      </ns0:c>
      <ns0:c r="I136">
        <ns0:f>IF($H136=0,0,IFERROR(IF(AND(ABS($C136-INDEX('AH History'!$B$1:$B$18046,$H136))&lt;=MAX(0.005,ABS(INDEX('AH History'!$B$1:$B$18046,$H136))*0.00005),ABS($D136-INDEX('AH History'!$C$1:$C$18046,$H136))&lt;=MAX(0.005,ABS(INDEX('AH History'!$C$1:$C$18046,$H136))*0.00005),ABS($E136-INDEX('AH History'!$D$1:$D$18046,$H136))&lt;=0.00005,$F136=INDEX('AH History'!$E$1:$E$18046,$H136),$G136=INDEX('AH History'!$F$1:$F$18046,$H136)),1,-1),-1))</ns0:f>
        <ns0:v/>
      </ns0:c>
    </ns0:row>
    <ns0:row r="137">
      <ns0:c r="A137" s="215">
        <ns0:f>IF(OR(AH!$P$3=0,132+1&gt;AH!$P$11,AND(AH!$E$4&lt;&gt;"Stored",AH!$P$10&lt;&gt;1)),"",IFERROR(IF(AND(AH!$P$21=1,132+1=AH!$P$11),TODAY(),IF(AH!$P$10=1,INDEX('Live History'!$A$5:$A$3004,AH!$P$13+132),INDEX('AH History'!$A$1:$A$18046,AH!$P$7+132))),""))</ns0:f>
        <ns0:v>46233</ns0:v>
      </ns0:c>
      <ns0:c r="B137" s="219">
        <ns0:f>IFERROR(IF(AND(AH!$P$9&lt;&gt;1,$C137&gt;0,$D137&gt;0,$E137&gt;0,$F137&gt;0,$G137&gt;0,$F137&lt;=$A137,$G137&lt;=$A137,$A137-$F137&lt;=10,$A137-$G137&lt;=5),$D137*$E137/$C137-1,NA()),NA())</ns0:f>
        <ns0:v>0.004399272477944249</ns0:v>
      </ns0:c>
      <ns0:c r="C137">
        <ns0:f>IFERROR(IF(ISNUMBER($A137),IF(AND(AH!$P$10=1,AH!$P$12=1,$A137=TODAY()),AH!$P$19,IF(AH!$P$10=1,INDEX('Live History'!$B$5:$B$3004,AH!$P$13+132),INDEX('AH History'!$B$1:$B$18046,AH!$P$7+132))),NA()),NA())</ns0:f>
        <ns0:v>428.2</ns0:v>
      </ns0:c>
      <ns0:c r="D137">
        <ns0:f>IFERROR(IF(ISNUMBER($A137),IF(AND(AH!$P$10=1,AH!$P$12=1,$A137=TODAY()),AH!$P$18,IF(AH!$P$10=1,INDEX('Live History'!$E$5:$E$3004,MATCH($A137,'Live History'!$D$5:$D$3004,1)),INDEX('AH History'!$C$1:$C$18046,AH!$P$7+132))),NA()),NA())</ns0:f>
        <ns0:v>371.1</ns0:v>
      </ns0:c>
      <ns0:c r="E137">
        <ns0:f>IFERROR(IF(ISNUMBER($A137),IF(AND(AH!$P$10=1,AH!$P$12=1,$A137=TODAY()),AH!$P$20,IF(AH!$P$10=1,INDEX('Live History'!$H$5:$H$3004,MATCH($A137,'Live History'!$G$5:$G$3004,1)),INDEX('AH History'!$D$1:$D$18046,AH!$P$7+132))),NA()),NA())</ns0:f>
        <ns0:v>1.1589430570602417</ns0:v>
      </ns0:c>
      <ns0:c r="F137">
        <ns0:f>IFERROR(IF(ISNUMBER($A137),IF(AND(AH!$P$10=1,AH!$P$12=1,$A137=TODAY()),IF(AND(AH!$P$10=1,AH!$P$12=1,$A137=TODAY()),TODAY(),NA()),IF(AH!$P$10=1,INDEX('Live History'!$D$5:$D$3004,MATCH($A137,'Live History'!$D$5:$D$3004,1)),INDEX('AH History'!$E$1:$E$18046,AH!$P$7+132))),NA()),NA())</ns0:f>
        <ns0:v>46233</ns0:v>
      </ns0:c>
      <ns0:c r="G137">
        <ns0:f>IFERROR(IF(ISNUMBER($A137),IF(AND(AH!$P$10=1,AH!$P$12=1,$A137=TODAY()),IF(AND(AH!$P$10=1,AH!$P$12=1,$A137=TODAY()),TODAY(),NA()),IF(AH!$P$10=1,INDEX('Live History'!$G$5:$G$3004,MATCH($A137,'Live History'!$G$5:$G$3004,1)),INDEX('AH History'!$F$1:$F$18046,AH!$P$7+132))),NA()),NA())</ns0:f>
        <ns0:v>46233</ns0:v>
      </ns0:c>
      <ns0:c r="H137">
        <ns0:f>IFERROR(IF(AND(AH!$E$4="Bloomberg",AH!$P$10=1,ISNUMBER($A137),$A137&lt;=AH!$P$17),AH!$P$7-1+MATCH($A137,INDEX('AH History'!$A$1:$A$18046,AH!$P$7):INDEX('AH History'!$A$1:$A$18046,AH!$P$7+AH!$P$8-1),0),0),0)</ns0:f>
        <ns0:v/>
      </ns0:c>
      <ns0:c r="I137">
        <ns0:f>IF($H137=0,0,IFERROR(IF(AND(ABS($C137-INDEX('AH History'!$B$1:$B$18046,$H137))&lt;=MAX(0.005,ABS(INDEX('AH History'!$B$1:$B$18046,$H137))*0.00005),ABS($D137-INDEX('AH History'!$C$1:$C$18046,$H137))&lt;=MAX(0.005,ABS(INDEX('AH History'!$C$1:$C$18046,$H137))*0.00005),ABS($E137-INDEX('AH History'!$D$1:$D$18046,$H137))&lt;=0.00005,$F137=INDEX('AH History'!$E$1:$E$18046,$H137),$G137=INDEX('AH History'!$F$1:$F$18046,$H137)),1,-1),-1))</ns0:f>
        <ns0:v/>
      </ns0:c>
    </ns0:row>
    <ns0:row r="138">
      <ns0:c r="A138" s="215">
        <ns0:f>IF(OR(AH!$P$3=0,133+1&gt;AH!$P$11,AND(AH!$E$4&lt;&gt;"Stored",AH!$P$10&lt;&gt;1)),"",IFERROR(IF(AND(AH!$P$21=1,133+1=AH!$P$11),TODAY(),IF(AH!$P$10=1,INDEX('Live History'!$A$5:$A$3004,AH!$P$13+133),INDEX('AH History'!$A$1:$A$18046,AH!$P$7+133))),""))</ns0:f>
        <ns0:v>46234</ns0:v>
      </ns0:c>
      <ns0:c r="B138" s="219">
        <ns0:f>IFERROR(IF(AND(AH!$P$9&lt;&gt;1,$C138&gt;0,$D138&gt;0,$E138&gt;0,$F138&gt;0,$G138&gt;0,$F138&lt;=$A138,$G138&lt;=$A138,$A138-$F138&lt;=10,$A138-$G138&lt;=5),$D138*$E138/$C138-1,NA()),NA())</ns0:f>
        <ns0:v>-0.042410024162990556</ns0:v>
      </ns0:c>
      <ns0:c r="C138">
        <ns0:f>IFERROR(IF(ISNUMBER($A138),IF(AND(AH!$P$10=1,AH!$P$12=1,$A138=TODAY()),AH!$P$19,IF(AH!$P$10=1,INDEX('Live History'!$B$5:$B$3004,AH!$P$13+133),INDEX('AH History'!$B$1:$B$18046,AH!$P$7+133))),NA()),NA())</ns0:f>
        <ns0:v>459.0</ns0:v>
      </ns0:c>
      <ns0:c r="D138">
        <ns0:f>IFERROR(IF(ISNUMBER($A138),IF(AND(AH!$P$10=1,AH!$P$12=1,$A138=TODAY()),AH!$P$18,IF(AH!$P$10=1,INDEX('Live History'!$E$5:$E$3004,MATCH($A138,'Live History'!$D$5:$D$3004,1)),INDEX('AH History'!$C$1:$C$18046,AH!$P$7+133))),NA()),NA())</ns0:f>
        <ns0:v>378.6</ns0:v>
      </ns0:c>
      <ns0:c r="E138">
        <ns0:f>IFERROR(IF(ISNUMBER($A138),IF(AND(AH!$P$10=1,AH!$P$12=1,$A138=TODAY()),AH!$P$20,IF(AH!$P$10=1,INDEX('Live History'!$H$5:$H$3004,MATCH($A138,'Live History'!$G$5:$G$3004,1)),INDEX('AH History'!$D$1:$D$18046,AH!$P$7+133))),NA()),NA())</ns0:f>
        <ns0:v>1.1609450578689575</ns0:v>
      </ns0:c>
      <ns0:c r="F138">
        <ns0:f>IFERROR(IF(ISNUMBER($A138),IF(AND(AH!$P$10=1,AH!$P$12=1,$A138=TODAY()),IF(AND(AH!$P$10=1,AH!$P$12=1,$A138=TODAY()),TODAY(),NA()),IF(AH!$P$10=1,INDEX('Live History'!$D$5:$D$3004,MATCH($A138,'Live History'!$D$5:$D$3004,1)),INDEX('AH History'!$E$1:$E$18046,AH!$P$7+133))),NA()),NA())</ns0:f>
        <ns0:v>46234</ns0:v>
      </ns0:c>
      <ns0:c r="G138">
        <ns0:f>IFERROR(IF(ISNUMBER($A138),IF(AND(AH!$P$10=1,AH!$P$12=1,$A138=TODAY()),IF(AND(AH!$P$10=1,AH!$P$12=1,$A138=TODAY()),TODAY(),NA()),IF(AH!$P$10=1,INDEX('Live History'!$G$5:$G$3004,MATCH($A138,'Live History'!$G$5:$G$3004,1)),INDEX('AH History'!$F$1:$F$18046,AH!$P$7+133))),NA()),NA())</ns0:f>
        <ns0:v>46234</ns0:v>
      </ns0:c>
      <ns0:c r="H138">
        <ns0:f>IFERROR(IF(AND(AH!$E$4="Bloomberg",AH!$P$10=1,ISNUMBER($A138),$A138&lt;=AH!$P$17),AH!$P$7-1+MATCH($A138,INDEX('AH History'!$A$1:$A$18046,AH!$P$7):INDEX('AH History'!$A$1:$A$18046,AH!$P$7+AH!$P$8-1),0),0),0)</ns0:f>
        <ns0:v/>
      </ns0:c>
      <ns0:c r="I138">
        <ns0:f>IF($H138=0,0,IFERROR(IF(AND(ABS($C138-INDEX('AH History'!$B$1:$B$18046,$H138))&lt;=MAX(0.005,ABS(INDEX('AH History'!$B$1:$B$18046,$H138))*0.00005),ABS($D138-INDEX('AH History'!$C$1:$C$18046,$H138))&lt;=MAX(0.005,ABS(INDEX('AH History'!$C$1:$C$18046,$H138))*0.00005),ABS($E138-INDEX('AH History'!$D$1:$D$18046,$H138))&lt;=0.00005,$F138=INDEX('AH History'!$E$1:$E$18046,$H138),$G138=INDEX('AH History'!$F$1:$F$18046,$H138)),1,-1),-1))</ns0:f>
        <ns0:v/>
      </ns0:c>
    </ns0:row>
    <ns0:row r="139">
      <ns0:c r="A139" s="215">
        <ns0:f>IF(OR(AH!$P$3=0,134+1&gt;AH!$P$11,AND(AH!$E$4&lt;&gt;"Stored",AH!$P$10&lt;&gt;1)),"",IFERROR(IF(AND(AH!$P$21=1,134+1=AH!$P$11),TODAY(),IF(AH!$P$10=1,INDEX('Live History'!$A$5:$A$3004,AH!$P$13+134),INDEX('AH History'!$A$1:$A$18046,AH!$P$7+134))),""))</ns0:f>
        <ns0:v>46237</ns0:v>
      </ns0:c>
      <ns0:c r="B139" s="219">
        <ns0:f>IFERROR(IF(AND(AH!$P$9&lt;&gt;1,$C139&gt;0,$D139&gt;0,$E139&gt;0,$F139&gt;0,$G139&gt;0,$F139&lt;=$A139,$G139&lt;=$A139,$A139-$F139&lt;=10,$A139-$G139&lt;=5),$D139*$E139/$C139-1,NA()),NA())</ns0:f>
        <ns0:v>-0.0678361804037233</ns0:v>
      </ns0:c>
      <ns0:c r="C139">
        <ns0:f>IFERROR(IF(ISNUMBER($A139),IF(AND(AH!$P$10=1,AH!$P$12=1,$A139=TODAY()),AH!$P$19,IF(AH!$P$10=1,INDEX('Live History'!$B$5:$B$3004,AH!$P$13+134),INDEX('AH History'!$B$1:$B$18046,AH!$P$7+134))),NA()),NA())</ns0:f>
        <ns0:v>424.6</ns0:v>
      </ns0:c>
      <ns0:c r="D139">
        <ns0:f>IFERROR(IF(ISNUMBER($A139),IF(AND(AH!$P$10=1,AH!$P$12=1,$A139=TODAY()),AH!$P$18,IF(AH!$P$10=1,INDEX('Live History'!$E$5:$E$3004,MATCH($A139,'Live History'!$D$5:$D$3004,1)),INDEX('AH History'!$C$1:$C$18046,AH!$P$7+134))),NA()),NA())</ns0:f>
        <ns0:v>340.74</ns0:v>
      </ns0:c>
      <ns0:c r="E139">
        <ns0:f>IFERROR(IF(ISNUMBER($A139),IF(AND(AH!$P$10=1,AH!$P$12=1,$A139=TODAY()),AH!$P$20,IF(AH!$P$10=1,INDEX('Live History'!$H$5:$H$3004,MATCH($A139,'Live History'!$G$5:$G$3004,1)),INDEX('AH History'!$D$1:$D$18046,AH!$P$7+134))),NA()),NA())</ns0:f>
        <ns0:v>1.161579966545105</ns0:v>
      </ns0:c>
      <ns0:c r="F139">
        <ns0:f>IFERROR(IF(ISNUMBER($A139),IF(AND(AH!$P$10=1,AH!$P$12=1,$A139=TODAY()),IF(AND(AH!$P$10=1,AH!$P$12=1,$A139=TODAY()),TODAY(),NA()),IF(AH!$P$10=1,INDEX('Live History'!$D$5:$D$3004,MATCH($A139,'Live History'!$D$5:$D$3004,1)),INDEX('AH History'!$E$1:$E$18046,AH!$P$7+134))),NA()),NA())</ns0:f>
        <ns0:v>46237</ns0:v>
      </ns0:c>
      <ns0:c r="G139">
        <ns0:f>IFERROR(IF(ISNUMBER($A139),IF(AND(AH!$P$10=1,AH!$P$12=1,$A139=TODAY()),IF(AND(AH!$P$10=1,AH!$P$12=1,$A139=TODAY()),TODAY(),NA()),IF(AH!$P$10=1,INDEX('Live History'!$G$5:$G$3004,MATCH($A139,'Live History'!$G$5:$G$3004,1)),INDEX('AH History'!$F$1:$F$18046,AH!$P$7+134))),NA()),NA())</ns0:f>
        <ns0:v>46237</ns0:v>
      </ns0:c>
      <ns0:c r="H139">
        <ns0:f>IFERROR(IF(AND(AH!$E$4="Bloomberg",AH!$P$10=1,ISNUMBER($A139),$A139&lt;=AH!$P$17),AH!$P$7-1+MATCH($A139,INDEX('AH History'!$A$1:$A$18046,AH!$P$7):INDEX('AH History'!$A$1:$A$18046,AH!$P$7+AH!$P$8-1),0),0),0)</ns0:f>
        <ns0:v/>
      </ns0:c>
      <ns0:c r="I139">
        <ns0:f>IF($H139=0,0,IFERROR(IF(AND(ABS($C139-INDEX('AH History'!$B$1:$B$18046,$H139))&lt;=MAX(0.005,ABS(INDEX('AH History'!$B$1:$B$18046,$H139))*0.00005),ABS($D139-INDEX('AH History'!$C$1:$C$18046,$H139))&lt;=MAX(0.005,ABS(INDEX('AH History'!$C$1:$C$18046,$H139))*0.00005),ABS($E139-INDEX('AH History'!$D$1:$D$18046,$H139))&lt;=0.00005,$F139=INDEX('AH History'!$E$1:$E$18046,$H139),$G139=INDEX('AH History'!$F$1:$F$18046,$H139)),1,-1),-1))</ns0:f>
        <ns0:v/>
      </ns0:c>
    </ns0:row>
    <ns0:row r="140">
      <ns0:c r="A140" s="215">
        <ns0:f>IF(OR(AH!$P$3=0,135+1&gt;AH!$P$11,AND(AH!$E$4&lt;&gt;"Stored",AH!$P$10&lt;&gt;1)),"",IFERROR(IF(AND(AH!$P$21=1,135+1=AH!$P$11),TODAY(),IF(AH!$P$10=1,INDEX('Live History'!$A$5:$A$3004,AH!$P$13+135),INDEX('AH History'!$A$1:$A$18046,AH!$P$7+135))),""))</ns0:f>
        <ns0:v>46238</ns0:v>
      </ns0:c>
      <ns0:c r="B140" s="219">
        <ns0:f>IFERROR(IF(AND(AH!$P$9&lt;&gt;1,$C140&gt;0,$D140&gt;0,$E140&gt;0,$F140&gt;0,$G140&gt;0,$F140&lt;=$A140,$G140&lt;=$A140,$A140-$F140&lt;=10,$A140-$G140&lt;=5),$D140*$E140/$C140-1,NA()),NA())</ns0:f>
        <ns0:v>-0.10099531309456355</ns0:v>
      </ns0:c>
      <ns0:c r="C140">
        <ns0:f>IFERROR(IF(ISNUMBER($A140),IF(AND(AH!$P$10=1,AH!$P$12=1,$A140=TODAY()),AH!$P$19,IF(AH!$P$10=1,INDEX('Live History'!$B$5:$B$3004,AH!$P$13+135),INDEX('AH History'!$B$1:$B$18046,AH!$P$7+135))),NA()),NA())</ns0:f>
        <ns0:v>459.8</ns0:v>
      </ns0:c>
      <ns0:c r="D140">
        <ns0:f>IFERROR(IF(ISNUMBER($A140),IF(AND(AH!$P$10=1,AH!$P$12=1,$A140=TODAY()),AH!$P$18,IF(AH!$P$10=1,INDEX('Live History'!$E$5:$E$3004,MATCH($A140,'Live History'!$D$5:$D$3004,1)),INDEX('AH History'!$C$1:$C$18046,AH!$P$7+135))),NA()),NA())</ns0:f>
        <ns0:v>356.02</ns0:v>
      </ns0:c>
      <ns0:c r="E140">
        <ns0:f>IFERROR(IF(ISNUMBER($A140),IF(AND(AH!$P$10=1,AH!$P$12=1,$A140=TODAY()),AH!$P$20,IF(AH!$P$10=1,INDEX('Live History'!$H$5:$H$3004,MATCH($A140,'Live History'!$G$5:$G$3004,1)),INDEX('AH History'!$D$1:$D$18046,AH!$P$7+135))),NA()),NA())</ns0:f>
        <ns0:v>1.1610649824142456</ns0:v>
      </ns0:c>
      <ns0:c r="F140">
        <ns0:f>IFERROR(IF(ISNUMBER($A140),IF(AND(AH!$P$10=1,AH!$P$12=1,$A140=TODAY()),IF(AND(AH!$P$10=1,AH!$P$12=1,$A140=TODAY()),TODAY(),NA()),IF(AH!$P$10=1,INDEX('Live History'!$D$5:$D$3004,MATCH($A140,'Live History'!$D$5:$D$3004,1)),INDEX('AH History'!$E$1:$E$18046,AH!$P$7+135))),NA()),NA())</ns0:f>
        <ns0:v>46238</ns0:v>
      </ns0:c>
      <ns0:c r="G140">
        <ns0:f>IFERROR(IF(ISNUMBER($A140),IF(AND(AH!$P$10=1,AH!$P$12=1,$A140=TODAY()),IF(AND(AH!$P$10=1,AH!$P$12=1,$A140=TODAY()),TODAY(),NA()),IF(AH!$P$10=1,INDEX('Live History'!$G$5:$G$3004,MATCH($A140,'Live History'!$G$5:$G$3004,1)),INDEX('AH History'!$F$1:$F$18046,AH!$P$7+135))),NA()),NA())</ns0:f>
        <ns0:v>46238</ns0:v>
      </ns0:c>
      <ns0:c r="H140">
        <ns0:f>IFERROR(IF(AND(AH!$E$4="Bloomberg",AH!$P$10=1,ISNUMBER($A140),$A140&lt;=AH!$P$17),AH!$P$7-1+MATCH($A140,INDEX('AH History'!$A$1:$A$18046,AH!$P$7):INDEX('AH History'!$A$1:$A$18046,AH!$P$7+AH!$P$8-1),0),0),0)</ns0:f>
        <ns0:v/>
      </ns0:c>
      <ns0:c r="I140">
        <ns0:f>IF($H140=0,0,IFERROR(IF(AND(ABS($C140-INDEX('AH History'!$B$1:$B$18046,$H140))&lt;=MAX(0.005,ABS(INDEX('AH History'!$B$1:$B$18046,$H140))*0.00005),ABS($D140-INDEX('AH History'!$C$1:$C$18046,$H140))&lt;=MAX(0.005,ABS(INDEX('AH History'!$C$1:$C$18046,$H140))*0.00005),ABS($E140-INDEX('AH History'!$D$1:$D$18046,$H140))&lt;=0.00005,$F140=INDEX('AH History'!$E$1:$E$18046,$H140),$G140=INDEX('AH History'!$F$1:$F$18046,$H140)),1,-1),-1))</ns0:f>
        <ns0:v/>
      </ns0:c>
    </ns0:row>
    <ns0:row r="141">
      <ns0:c r="A141" s="215">
        <ns0:f>IF(OR(AH!$P$3=0,136+1&gt;AH!$P$11,AND(AH!$E$4&lt;&gt;"Stored",AH!$P$10&lt;&gt;1)),"",IFERROR(IF(AND(AH!$P$21=1,136+1=AH!$P$11),TODAY(),IF(AH!$P$10=1,INDEX('Live History'!$A$5:$A$3004,AH!$P$13+136),INDEX('AH History'!$A$1:$A$18046,AH!$P$7+136))),""))</ns0:f>
        <ns0:v>46239</ns0:v>
      </ns0:c>
      <ns0:c r="B141" s="219">
        <ns0:f>IFERROR(IF(AND(AH!$P$9&lt;&gt;1,$C141&gt;0,$D141&gt;0,$E141&gt;0,$F141&gt;0,$G141&gt;0,$F141&lt;=$A141,$G141&lt;=$A141,$A141-$F141&lt;=10,$A141-$G141&lt;=5),$D141*$E141/$C141-1,NA()),NA())</ns0:f>
        <ns0:v>-0.07911008422757371</ns0:v>
      </ns0:c>
      <ns0:c r="C141">
        <ns0:f>IFERROR(IF(ISNUMBER($A141),IF(AND(AH!$P$10=1,AH!$P$12=1,$A141=TODAY()),AH!$P$19,IF(AH!$P$10=1,INDEX('Live History'!$B$5:$B$3004,AH!$P$13+136),INDEX('AH History'!$B$1:$B$18046,AH!$P$7+136))),NA()),NA())</ns0:f>
        <ns0:v>486.0</ns0:v>
      </ns0:c>
      <ns0:c r="D141">
        <ns0:f>IFERROR(IF(ISNUMBER($A141),IF(AND(AH!$P$10=1,AH!$P$12=1,$A141=TODAY()),AH!$P$18,IF(AH!$P$10=1,INDEX('Live History'!$E$5:$E$3004,MATCH($A141,'Live History'!$D$5:$D$3004,1)),INDEX('AH History'!$C$1:$C$18046,AH!$P$7+136))),NA()),NA())</ns0:f>
        <ns0:v>385.44</ns0:v>
      </ns0:c>
      <ns0:c r="E141">
        <ns0:f>IFERROR(IF(ISNUMBER($A141),IF(AND(AH!$P$10=1,AH!$P$12=1,$A141=TODAY()),AH!$P$20,IF(AH!$P$10=1,INDEX('Live History'!$H$5:$H$3004,MATCH($A141,'Live History'!$G$5:$G$3004,1)),INDEX('AH History'!$D$1:$D$18046,AH!$P$7+136))),NA()),NA())</ns0:f>
        <ns0:v>1.1611469984054565</ns0:v>
      </ns0:c>
      <ns0:c r="F141">
        <ns0:f>IFERROR(IF(ISNUMBER($A141),IF(AND(AH!$P$10=1,AH!$P$12=1,$A141=TODAY()),IF(AND(AH!$P$10=1,AH!$P$12=1,$A141=TODAY()),TODAY(),NA()),IF(AH!$P$10=1,INDEX('Live History'!$D$5:$D$3004,MATCH($A141,'Live History'!$D$5:$D$3004,1)),INDEX('AH History'!$E$1:$E$18046,AH!$P$7+136))),NA()),NA())</ns0:f>
        <ns0:v>46239</ns0:v>
      </ns0:c>
      <ns0:c r="G141">
        <ns0:f>IFERROR(IF(ISNUMBER($A141),IF(AND(AH!$P$10=1,AH!$P$12=1,$A141=TODAY()),IF(AND(AH!$P$10=1,AH!$P$12=1,$A141=TODAY()),TODAY(),NA()),IF(AH!$P$10=1,INDEX('Live History'!$G$5:$G$3004,MATCH($A141,'Live History'!$G$5:$G$3004,1)),INDEX('AH History'!$F$1:$F$18046,AH!$P$7+136))),NA()),NA())</ns0:f>
        <ns0:v>46239</ns0:v>
      </ns0:c>
      <ns0:c r="H141">
        <ns0:f>IFERROR(IF(AND(AH!$E$4="Bloomberg",AH!$P$10=1,ISNUMBER($A141),$A141&lt;=AH!$P$17),AH!$P$7-1+MATCH($A141,INDEX('AH History'!$A$1:$A$18046,AH!$P$7):INDEX('AH History'!$A$1:$A$18046,AH!$P$7+AH!$P$8-1),0),0),0)</ns0:f>
        <ns0:v/>
      </ns0:c>
      <ns0:c r="I141">
        <ns0:f>IF($H141=0,0,IFERROR(IF(AND(ABS($C141-INDEX('AH History'!$B$1:$B$18046,$H141))&lt;=MAX(0.005,ABS(INDEX('AH History'!$B$1:$B$18046,$H141))*0.00005),ABS($D141-INDEX('AH History'!$C$1:$C$18046,$H141))&lt;=MAX(0.005,ABS(INDEX('AH History'!$C$1:$C$18046,$H141))*0.00005),ABS($E141-INDEX('AH History'!$D$1:$D$18046,$H141))&lt;=0.00005,$F141=INDEX('AH History'!$E$1:$E$18046,$H141),$G141=INDEX('AH History'!$F$1:$F$18046,$H141)),1,-1),-1))</ns0:f>
        <ns0:v/>
      </ns0:c>
    </ns0:row>
    <ns0:row r="142">
      <ns0:c r="A142" s="215">
        <ns0:f>IF(OR(AH!$P$3=0,137+1&gt;AH!$P$11,AND(AH!$E$4&lt;&gt;"Stored",AH!$P$10&lt;&gt;1)),"",IFERROR(IF(AND(AH!$P$21=1,137+1=AH!$P$11),TODAY(),IF(AH!$P$10=1,INDEX('Live History'!$A$5:$A$3004,AH!$P$13+137),INDEX('AH History'!$A$1:$A$18046,AH!$P$7+137))),""))</ns0:f>
        <ns0:v>46240</ns0:v>
      </ns0:c>
      <ns0:c r="B142" s="219">
        <ns0:f>IFERROR(IF(AND(AH!$P$9&lt;&gt;1,$C142&gt;0,$D142&gt;0,$E142&gt;0,$F142&gt;0,$G142&gt;0,$F142&lt;=$A142,$G142&lt;=$A142,$A142-$F142&lt;=10,$A142-$G142&lt;=5),$D142*$E142/$C142-1,NA()),NA())</ns0:f>
        <ns0:v>-0.09517520791504375</ns0:v>
      </ns0:c>
      <ns0:c r="C142">
        <ns0:f>IFERROR(IF(ISNUMBER($A142),IF(AND(AH!$P$10=1,AH!$P$12=1,$A142=TODAY()),AH!$P$19,IF(AH!$P$10=1,INDEX('Live History'!$B$5:$B$3004,AH!$P$13+137),INDEX('AH History'!$B$1:$B$18046,AH!$P$7+137))),NA()),NA())</ns0:f>
        <ns0:v>494.4</ns0:v>
      </ns0:c>
      <ns0:c r="D142">
        <ns0:f>IFERROR(IF(ISNUMBER($A142),IF(AND(AH!$P$10=1,AH!$P$12=1,$A142=TODAY()),AH!$P$18,IF(AH!$P$10=1,INDEX('Live History'!$E$5:$E$3004,MATCH($A142,'Live History'!$D$5:$D$3004,1)),INDEX('AH History'!$C$1:$C$18046,AH!$P$7+137))),NA()),NA())</ns0:f>
        <ns0:v>385.0</ns0:v>
      </ns0:c>
      <ns0:c r="E142">
        <ns0:f>IFERROR(IF(ISNUMBER($A142),IF(AND(AH!$P$10=1,AH!$P$12=1,$A142=TODAY()),AH!$P$20,IF(AH!$P$10=1,INDEX('Live History'!$H$5:$H$3004,MATCH($A142,'Live History'!$G$5:$G$3004,1)),INDEX('AH History'!$D$1:$D$18046,AH!$P$7+137))),NA()),NA())</ns0:f>
        <ns0:v>1.1619360446929932</ns0:v>
      </ns0:c>
      <ns0:c r="F142">
        <ns0:f>IFERROR(IF(ISNUMBER($A142),IF(AND(AH!$P$10=1,AH!$P$12=1,$A142=TODAY()),IF(AND(AH!$P$10=1,AH!$P$12=1,$A142=TODAY()),TODAY(),NA()),IF(AH!$P$10=1,INDEX('Live History'!$D$5:$D$3004,MATCH($A142,'Live History'!$D$5:$D$3004,1)),INDEX('AH History'!$E$1:$E$18046,AH!$P$7+137))),NA()),NA())</ns0:f>
        <ns0:v>46240</ns0:v>
      </ns0:c>
      <ns0:c r="G142">
        <ns0:f>IFERROR(IF(ISNUMBER($A142),IF(AND(AH!$P$10=1,AH!$P$12=1,$A142=TODAY()),IF(AND(AH!$P$10=1,AH!$P$12=1,$A142=TODAY()),TODAY(),NA()),IF(AH!$P$10=1,INDEX('Live History'!$G$5:$G$3004,MATCH($A142,'Live History'!$G$5:$G$3004,1)),INDEX('AH History'!$F$1:$F$18046,AH!$P$7+137))),NA()),NA())</ns0:f>
        <ns0:v>46240</ns0:v>
      </ns0:c>
      <ns0:c r="H142">
        <ns0:f>IFERROR(IF(AND(AH!$E$4="Bloomberg",AH!$P$10=1,ISNUMBER($A142),$A142&lt;=AH!$P$17),AH!$P$7-1+MATCH($A142,INDEX('AH History'!$A$1:$A$18046,AH!$P$7):INDEX('AH History'!$A$1:$A$18046,AH!$P$7+AH!$P$8-1),0),0),0)</ns0:f>
        <ns0:v/>
      </ns0:c>
      <ns0:c r="I142">
        <ns0:f>IF($H142=0,0,IFERROR(IF(AND(ABS($C142-INDEX('AH History'!$B$1:$B$18046,$H142))&lt;=MAX(0.005,ABS(INDEX('AH History'!$B$1:$B$18046,$H142))*0.00005),ABS($D142-INDEX('AH History'!$C$1:$C$18046,$H142))&lt;=MAX(0.005,ABS(INDEX('AH History'!$C$1:$C$18046,$H142))*0.00005),ABS($E142-INDEX('AH History'!$D$1:$D$18046,$H142))&lt;=0.00005,$F142=INDEX('AH History'!$E$1:$E$18046,$H142),$G142=INDEX('AH History'!$F$1:$F$18046,$H142)),1,-1),-1))</ns0:f>
        <ns0:v/>
      </ns0:c>
    </ns0:row>
    <ns0:row r="143">
      <ns0:c r="A143" s="215">
        <ns0:f>IF(OR(AH!$P$3=0,138+1&gt;AH!$P$11,AND(AH!$E$4&lt;&gt;"Stored",AH!$P$10&lt;&gt;1)),"",IFERROR(IF(AND(AH!$P$21=1,138+1=AH!$P$11),TODAY(),IF(AH!$P$10=1,INDEX('Live History'!$A$5:$A$3004,AH!$P$13+138),INDEX('AH History'!$A$1:$A$18046,AH!$P$7+138))),""))</ns0:f>
        <ns0:v>46241</ns0:v>
      </ns0:c>
      <ns0:c r="B143" s="219">
        <ns0:f>IFERROR(IF(AND(AH!$P$9&lt;&gt;1,$C143&gt;0,$D143&gt;0,$E143&gt;0,$F143&gt;0,$G143&gt;0,$F143&lt;=$A143,$G143&lt;=$A143,$A143-$F143&lt;=10,$A143-$G143&lt;=5),$D143*$E143/$C143-1,NA()),NA())</ns0:f>
        <ns0:v>-0.0819497175627586</ns0:v>
      </ns0:c>
      <ns0:c r="C143">
        <ns0:f>IFERROR(IF(ISNUMBER($A143),IF(AND(AH!$P$10=1,AH!$P$12=1,$A143=TODAY()),AH!$P$19,IF(AH!$P$10=1,INDEX('Live History'!$B$5:$B$3004,AH!$P$13+138),INDEX('AH History'!$B$1:$B$18046,AH!$P$7+138))),NA()),NA())</ns0:f>
        <ns0:v>528.0</ns0:v>
      </ns0:c>
      <ns0:c r="D143">
        <ns0:f>IFERROR(IF(ISNUMBER($A143),IF(AND(AH!$P$10=1,AH!$P$12=1,$A143=TODAY()),AH!$P$18,IF(AH!$P$10=1,INDEX('Live History'!$E$5:$E$3004,MATCH($A143,'Live History'!$D$5:$D$3004,1)),INDEX('AH History'!$C$1:$C$18046,AH!$P$7+138))),NA()),NA())</ns0:f>
        <ns0:v>417.05</ns0:v>
      </ns0:c>
      <ns0:c r="E143">
        <ns0:f>IFERROR(IF(ISNUMBER($A143),IF(AND(AH!$P$10=1,AH!$P$12=1,$A143=TODAY()),AH!$P$20,IF(AH!$P$10=1,INDEX('Live History'!$H$5:$H$3004,MATCH($A143,'Live History'!$G$5:$G$3004,1)),INDEX('AH History'!$D$1:$D$18046,AH!$P$7+138))),NA()),NA())</ns0:f>
        <ns0:v>1.162284016609192</ns0:v>
      </ns0:c>
      <ns0:c r="F143">
        <ns0:f>IFERROR(IF(ISNUMBER($A143),IF(AND(AH!$P$10=1,AH!$P$12=1,$A143=TODAY()),IF(AND(AH!$P$10=1,AH!$P$12=1,$A143=TODAY()),TODAY(),NA()),IF(AH!$P$10=1,INDEX('Live History'!$D$5:$D$3004,MATCH($A143,'Live History'!$D$5:$D$3004,1)),INDEX('AH History'!$E$1:$E$18046,AH!$P$7+138))),NA()),NA())</ns0:f>
        <ns0:v>46241</ns0:v>
      </ns0:c>
      <ns0:c r="G143">
        <ns0:f>IFERROR(IF(ISNUMBER($A143),IF(AND(AH!$P$10=1,AH!$P$12=1,$A143=TODAY()),IF(AND(AH!$P$10=1,AH!$P$12=1,$A143=TODAY()),TODAY(),NA()),IF(AH!$P$10=1,INDEX('Live History'!$G$5:$G$3004,MATCH($A143,'Live History'!$G$5:$G$3004,1)),INDEX('AH History'!$F$1:$F$18046,AH!$P$7+138))),NA()),NA())</ns0:f>
        <ns0:v>46241</ns0:v>
      </ns0:c>
      <ns0:c r="H143">
        <ns0:f>IFERROR(IF(AND(AH!$E$4="Bloomberg",AH!$P$10=1,ISNUMBER($A143),$A143&lt;=AH!$P$17),AH!$P$7-1+MATCH($A143,INDEX('AH History'!$A$1:$A$18046,AH!$P$7):INDEX('AH History'!$A$1:$A$18046,AH!$P$7+AH!$P$8-1),0),0),0)</ns0:f>
        <ns0:v/>
      </ns0:c>
      <ns0:c r="I143">
        <ns0:f>IF($H143=0,0,IFERROR(IF(AND(ABS($C143-INDEX('AH History'!$B$1:$B$18046,$H143))&lt;=MAX(0.005,ABS(INDEX('AH History'!$B$1:$B$18046,$H143))*0.00005),ABS($D143-INDEX('AH History'!$C$1:$C$18046,$H143))&lt;=MAX(0.005,ABS(INDEX('AH History'!$C$1:$C$18046,$H143))*0.00005),ABS($E143-INDEX('AH History'!$D$1:$D$18046,$H143))&lt;=0.00005,$F143=INDEX('AH History'!$E$1:$E$18046,$H143),$G143=INDEX('AH History'!$F$1:$F$18046,$H143)),1,-1),-1))</ns0:f>
        <ns0:v/>
      </ns0:c>
    </ns0:row>
    <ns0:row r="144">
      <ns0:c r="A144" s="215">
        <ns0:f>IF(OR(AH!$P$3=0,139+1&gt;AH!$P$11,AND(AH!$E$4&lt;&gt;"Stored",AH!$P$10&lt;&gt;1)),"",IFERROR(IF(AND(AH!$P$21=1,139+1=AH!$P$11),TODAY(),IF(AH!$P$10=1,INDEX('Live History'!$A$5:$A$3004,AH!$P$13+139),INDEX('AH History'!$A$1:$A$18046,AH!$P$7+139))),""))</ns0:f>
        <ns0:v>46244</ns0:v>
      </ns0:c>
      <ns0:c r="B144" s="219">
        <ns0:f>IFERROR(IF(AND(AH!$P$9&lt;&gt;1,$C144&gt;0,$D144&gt;0,$E144&gt;0,$F144&gt;0,$G144&gt;0,$F144&lt;=$A144,$G144&lt;=$A144,$A144-$F144&lt;=10,$A144-$G144&lt;=5),$D144*$E144/$C144-1,NA()),NA())</ns0:f>
        <ns0:v>-0.06472105075499257</ns0:v>
      </ns0:c>
      <ns0:c r="C144">
        <ns0:f>IFERROR(IF(ISNUMBER($A144),IF(AND(AH!$P$10=1,AH!$P$12=1,$A144=TODAY()),AH!$P$19,IF(AH!$P$10=1,INDEX('Live History'!$B$5:$B$3004,AH!$P$13+139),INDEX('AH History'!$B$1:$B$18046,AH!$P$7+139))),NA()),NA())</ns0:f>
        <ns0:v>501.0</ns0:v>
      </ns0:c>
      <ns0:c r="D144">
        <ns0:f>IFERROR(IF(ISNUMBER($A144),IF(AND(AH!$P$10=1,AH!$P$12=1,$A144=TODAY()),AH!$P$18,IF(AH!$P$10=1,INDEX('Live History'!$E$5:$E$3004,MATCH($A144,'Live History'!$D$5:$D$3004,1)),INDEX('AH History'!$C$1:$C$18046,AH!$P$7+139))),NA()),NA())</ns0:f>
        <ns0:v>403.03</ns0:v>
      </ns0:c>
      <ns0:c r="E144">
        <ns0:f>IFERROR(IF(ISNUMBER($A144),IF(AND(AH!$P$10=1,AH!$P$12=1,$A144=TODAY()),AH!$P$20,IF(AH!$P$10=1,INDEX('Live History'!$H$5:$H$3004,MATCH($A144,'Live History'!$G$5:$G$3004,1)),INDEX('AH History'!$D$1:$D$18046,AH!$P$7+139))),NA()),NA())</ns0:f>
        <ns0:v>1.1626299619674683</ns0:v>
      </ns0:c>
      <ns0:c r="F144">
        <ns0:f>IFERROR(IF(ISNUMBER($A144),IF(AND(AH!$P$10=1,AH!$P$12=1,$A144=TODAY()),IF(AND(AH!$P$10=1,AH!$P$12=1,$A144=TODAY()),TODAY(),NA()),IF(AH!$P$10=1,INDEX('Live History'!$D$5:$D$3004,MATCH($A144,'Live History'!$D$5:$D$3004,1)),INDEX('AH History'!$E$1:$E$18046,AH!$P$7+139))),NA()),NA())</ns0:f>
        <ns0:v>46244</ns0:v>
      </ns0:c>
      <ns0:c r="G144">
        <ns0:f>IFERROR(IF(ISNUMBER($A144),IF(AND(AH!$P$10=1,AH!$P$12=1,$A144=TODAY()),IF(AND(AH!$P$10=1,AH!$P$12=1,$A144=TODAY()),TODAY(),NA()),IF(AH!$P$10=1,INDEX('Live History'!$G$5:$G$3004,MATCH($A144,'Live History'!$G$5:$G$3004,1)),INDEX('AH History'!$F$1:$F$18046,AH!$P$7+139))),NA()),NA())</ns0:f>
        <ns0:v>46244</ns0:v>
      </ns0:c>
      <ns0:c r="H144">
        <ns0:f>IFERROR(IF(AND(AH!$E$4="Bloomberg",AH!$P$10=1,ISNUMBER($A144),$A144&lt;=AH!$P$17),AH!$P$7-1+MATCH($A144,INDEX('AH History'!$A$1:$A$18046,AH!$P$7):INDEX('AH History'!$A$1:$A$18046,AH!$P$7+AH!$P$8-1),0),0),0)</ns0:f>
        <ns0:v/>
      </ns0:c>
      <ns0:c r="I144">
        <ns0:f>IF($H144=0,0,IFERROR(IF(AND(ABS($C144-INDEX('AH History'!$B$1:$B$18046,$H144))&lt;=MAX(0.005,ABS(INDEX('AH History'!$B$1:$B$18046,$H144))*0.00005),ABS($D144-INDEX('AH History'!$C$1:$C$18046,$H144))&lt;=MAX(0.005,ABS(INDEX('AH History'!$C$1:$C$18046,$H144))*0.00005),ABS($E144-INDEX('AH History'!$D$1:$D$18046,$H144))&lt;=0.00005,$F144=INDEX('AH History'!$E$1:$E$18046,$H144),$G144=INDEX('AH History'!$F$1:$F$18046,$H144)),1,-1),-1))</ns0:f>
        <ns0:v/>
      </ns0:c>
    </ns0:row>
    <ns0:row r="145">
      <ns0:c r="A145" s="215">
        <ns0:f>IF(OR(AH!$P$3=0,140+1&gt;AH!$P$11,AND(AH!$E$4&lt;&gt;"Stored",AH!$P$10&lt;&gt;1)),"",IFERROR(IF(AND(AH!$P$21=1,140+1=AH!$P$11),TODAY(),IF(AH!$P$10=1,INDEX('Live History'!$A$5:$A$3004,AH!$P$13+140),INDEX('AH History'!$A$1:$A$18046,AH!$P$7+140))),""))</ns0:f>
        <ns0:v>46245</ns0:v>
      </ns0:c>
      <ns0:c r="B145" s="219">
        <ns0:f>IFERROR(IF(AND(AH!$P$9&lt;&gt;1,$C145&gt;0,$D145&gt;0,$E145&gt;0,$F145&gt;0,$G145&gt;0,$F145&lt;=$A145,$G145&lt;=$A145,$A145-$F145&lt;=10,$A145-$G145&lt;=5),$D145*$E145/$C145-1,NA()),NA())</ns0:f>
        <ns0:v>-0.04551525175571436</ns0:v>
      </ns0:c>
      <ns0:c r="C145">
        <ns0:f>IFERROR(IF(ISNUMBER($A145),IF(AND(AH!$P$10=1,AH!$P$12=1,$A145=TODAY()),AH!$P$19,IF(AH!$P$10=1,INDEX('Live History'!$B$5:$B$3004,AH!$P$13+140),INDEX('AH History'!$B$1:$B$18046,AH!$P$7+140))),NA()),NA())</ns0:f>
        <ns0:v>490.0</ns0:v>
      </ns0:c>
      <ns0:c r="D145">
        <ns0:f>IFERROR(IF(ISNUMBER($A145),IF(AND(AH!$P$10=1,AH!$P$12=1,$A145=TODAY()),AH!$P$18,IF(AH!$P$10=1,INDEX('Live History'!$E$5:$E$3004,MATCH($A145,'Live History'!$D$5:$D$3004,1)),INDEX('AH History'!$C$1:$C$18046,AH!$P$7+140))),NA()),NA())</ns0:f>
        <ns0:v>402.29</ns0:v>
      </ns0:c>
      <ns0:c r="E145">
        <ns0:f>IFERROR(IF(ISNUMBER($A145),IF(AND(AH!$P$10=1,AH!$P$12=1,$A145=TODAY()),AH!$P$20,IF(AH!$P$10=1,INDEX('Live History'!$H$5:$H$3004,MATCH($A145,'Live History'!$G$5:$G$3004,1)),INDEX('AH History'!$D$1:$D$18046,AH!$P$7+140))),NA()),NA())</ns0:f>
        <ns0:v>1.1625880002975464</ns0:v>
      </ns0:c>
      <ns0:c r="F145">
        <ns0:f>IFERROR(IF(ISNUMBER($A145),IF(AND(AH!$P$10=1,AH!$P$12=1,$A145=TODAY()),IF(AND(AH!$P$10=1,AH!$P$12=1,$A145=TODAY()),TODAY(),NA()),IF(AH!$P$10=1,INDEX('Live History'!$D$5:$D$3004,MATCH($A145,'Live History'!$D$5:$D$3004,1)),INDEX('AH History'!$E$1:$E$18046,AH!$P$7+140))),NA()),NA())</ns0:f>
        <ns0:v>46245</ns0:v>
      </ns0:c>
      <ns0:c r="G145">
        <ns0:f>IFERROR(IF(ISNUMBER($A145),IF(AND(AH!$P$10=1,AH!$P$12=1,$A145=TODAY()),IF(AND(AH!$P$10=1,AH!$P$12=1,$A145=TODAY()),TODAY(),NA()),IF(AH!$P$10=1,INDEX('Live History'!$G$5:$G$3004,MATCH($A145,'Live History'!$G$5:$G$3004,1)),INDEX('AH History'!$F$1:$F$18046,AH!$P$7+140))),NA()),NA())</ns0:f>
        <ns0:v>46245</ns0:v>
      </ns0:c>
      <ns0:c r="H145">
        <ns0:f>IFERROR(IF(AND(AH!$E$4="Bloomberg",AH!$P$10=1,ISNUMBER($A145),$A145&lt;=AH!$P$17),AH!$P$7-1+MATCH($A145,INDEX('AH History'!$A$1:$A$18046,AH!$P$7):INDEX('AH History'!$A$1:$A$18046,AH!$P$7+AH!$P$8-1),0),0),0)</ns0:f>
        <ns0:v/>
      </ns0:c>
      <ns0:c r="I145">
        <ns0:f>IF($H145=0,0,IFERROR(IF(AND(ABS($C145-INDEX('AH History'!$B$1:$B$18046,$H145))&lt;=MAX(0.005,ABS(INDEX('AH History'!$B$1:$B$18046,$H145))*0.00005),ABS($D145-INDEX('AH History'!$C$1:$C$18046,$H145))&lt;=MAX(0.005,ABS(INDEX('AH History'!$C$1:$C$18046,$H145))*0.00005),ABS($E145-INDEX('AH History'!$D$1:$D$18046,$H145))&lt;=0.00005,$F145=INDEX('AH History'!$E$1:$E$18046,$H145),$G145=INDEX('AH History'!$F$1:$F$18046,$H145)),1,-1),-1))</ns0:f>
        <ns0:v/>
      </ns0:c>
    </ns0:row>
    <ns0:row r="146">
      <ns0:c r="A146" s="215">
        <ns0:f>IF(OR(AH!$P$3=0,141+1&gt;AH!$P$11,AND(AH!$E$4&lt;&gt;"Stored",AH!$P$10&lt;&gt;1)),"",IFERROR(IF(AND(AH!$P$21=1,141+1=AH!$P$11),TODAY(),IF(AH!$P$10=1,INDEX('Live History'!$A$5:$A$3004,AH!$P$13+141),INDEX('AH History'!$A$1:$A$18046,AH!$P$7+141))),""))</ns0:f>
        <ns0:v>46246</ns0:v>
      </ns0:c>
      <ns0:c r="B146" s="219">
        <ns0:f>IFERROR(IF(AND(AH!$P$9&lt;&gt;1,$C146&gt;0,$D146&gt;0,$E146&gt;0,$F146&gt;0,$G146&gt;0,$F146&lt;=$A146,$G146&lt;=$A146,$A146-$F146&lt;=10,$A146-$G146&lt;=5),$D146*$E146/$C146-1,NA()),NA())</ns0:f>
        <ns0:v>-0.06684949646181271</ns0:v>
      </ns0:c>
      <ns0:c r="C146">
        <ns0:f>IFERROR(IF(ISNUMBER($A146),IF(AND(AH!$P$10=1,AH!$P$12=1,$A146=TODAY()),AH!$P$19,IF(AH!$P$10=1,INDEX('Live History'!$B$5:$B$3004,AH!$P$13+141),INDEX('AH History'!$B$1:$B$18046,AH!$P$7+141))),NA()),NA())</ns0:f>
        <ns0:v>515.0</ns0:v>
      </ns0:c>
      <ns0:c r="D146">
        <ns0:f>IFERROR(IF(ISNUMBER($A146),IF(AND(AH!$P$10=1,AH!$P$12=1,$A146=TODAY()),AH!$P$18,IF(AH!$P$10=1,INDEX('Live History'!$E$5:$E$3004,MATCH($A146,'Live History'!$D$5:$D$3004,1)),INDEX('AH History'!$C$1:$C$18046,AH!$P$7+141))),NA()),NA())</ns0:f>
        <ns0:v>413.17</ns0:v>
      </ns0:c>
      <ns0:c r="E146">
        <ns0:f>IFERROR(IF(ISNUMBER($A146),IF(AND(AH!$P$10=1,AH!$P$12=1,$A146=TODAY()),AH!$P$20,IF(AH!$P$10=1,INDEX('Live History'!$H$5:$H$3004,MATCH($A146,'Live History'!$G$5:$G$3004,1)),INDEX('AH History'!$D$1:$D$18046,AH!$P$7+141))),NA()),NA())</ns0:f>
        <ns0:v>1.163135051727295</ns0:v>
      </ns0:c>
      <ns0:c r="F146">
        <ns0:f>IFERROR(IF(ISNUMBER($A146),IF(AND(AH!$P$10=1,AH!$P$12=1,$A146=TODAY()),IF(AND(AH!$P$10=1,AH!$P$12=1,$A146=TODAY()),TODAY(),NA()),IF(AH!$P$10=1,INDEX('Live History'!$D$5:$D$3004,MATCH($A146,'Live History'!$D$5:$D$3004,1)),INDEX('AH History'!$E$1:$E$18046,AH!$P$7+141))),NA()),NA())</ns0:f>
        <ns0:v>46246</ns0:v>
      </ns0:c>
      <ns0:c r="G146">
        <ns0:f>IFERROR(IF(ISNUMBER($A146),IF(AND(AH!$P$10=1,AH!$P$12=1,$A146=TODAY()),IF(AND(AH!$P$10=1,AH!$P$12=1,$A146=TODAY()),TODAY(),NA()),IF(AH!$P$10=1,INDEX('Live History'!$G$5:$G$3004,MATCH($A146,'Live History'!$G$5:$G$3004,1)),INDEX('AH History'!$F$1:$F$18046,AH!$P$7+141))),NA()),NA())</ns0:f>
        <ns0:v>46246</ns0:v>
      </ns0:c>
      <ns0:c r="H146">
        <ns0:f>IFERROR(IF(AND(AH!$E$4="Bloomberg",AH!$P$10=1,ISNUMBER($A146),$A146&lt;=AH!$P$17),AH!$P$7-1+MATCH($A146,INDEX('AH History'!$A$1:$A$18046,AH!$P$7):INDEX('AH History'!$A$1:$A$18046,AH!$P$7+AH!$P$8-1),0),0),0)</ns0:f>
        <ns0:v/>
      </ns0:c>
      <ns0:c r="I146">
        <ns0:f>IF($H146=0,0,IFERROR(IF(AND(ABS($C146-INDEX('AH History'!$B$1:$B$18046,$H146))&lt;=MAX(0.005,ABS(INDEX('AH History'!$B$1:$B$18046,$H146))*0.00005),ABS($D146-INDEX('AH History'!$C$1:$C$18046,$H146))&lt;=MAX(0.005,ABS(INDEX('AH History'!$C$1:$C$18046,$H146))*0.00005),ABS($E146-INDEX('AH History'!$D$1:$D$18046,$H146))&lt;=0.00005,$F146=INDEX('AH History'!$E$1:$E$18046,$H146),$G146=INDEX('AH History'!$F$1:$F$18046,$H146)),1,-1),-1))</ns0:f>
        <ns0:v/>
      </ns0:c>
    </ns0:row>
    <ns0:row r="147">
      <ns0:c r="A147" s="215">
        <ns0:f>IF(OR(AH!$P$3=0,142+1&gt;AH!$P$11,AND(AH!$E$4&lt;&gt;"Stored",AH!$P$10&lt;&gt;1)),"",IFERROR(IF(AND(AH!$P$21=1,142+1=AH!$P$11),TODAY(),IF(AH!$P$10=1,INDEX('Live History'!$A$5:$A$3004,AH!$P$13+142),INDEX('AH History'!$A$1:$A$18046,AH!$P$7+142))),""))</ns0:f>
        <ns0:v>46247</ns0:v>
      </ns0:c>
      <ns0:c r="B147" s="219">
        <ns0:f>IFERROR(IF(AND(AH!$P$9&lt;&gt;1,$C147&gt;0,$D147&gt;0,$E147&gt;0,$F147&gt;0,$G147&gt;0,$F147&lt;=$A147,$G147&lt;=$A147,$A147-$F147&lt;=10,$A147-$G147&lt;=5),$D147*$E147/$C147-1,NA()),NA())</ns0:f>
        <ns0:v>-0.0607356230417887</ns0:v>
      </ns0:c>
      <ns0:c r="C147">
        <ns0:f>IFERROR(IF(ISNUMBER($A147),IF(AND(AH!$P$10=1,AH!$P$12=1,$A147=TODAY()),AH!$P$19,IF(AH!$P$10=1,INDEX('Live History'!$B$5:$B$3004,AH!$P$13+142),INDEX('AH History'!$B$1:$B$18046,AH!$P$7+142))),NA()),NA())</ns0:f>
        <ns0:v>501.0</ns0:v>
      </ns0:c>
      <ns0:c r="D147">
        <ns0:f>IFERROR(IF(ISNUMBER($A147),IF(AND(AH!$P$10=1,AH!$P$12=1,$A147=TODAY()),AH!$P$18,IF(AH!$P$10=1,INDEX('Live History'!$E$5:$E$3004,MATCH($A147,'Live History'!$D$5:$D$3004,1)),INDEX('AH History'!$C$1:$C$18046,AH!$P$7+142))),NA()),NA())</ns0:f>
        <ns0:v>404.5</ns0:v>
      </ns0:c>
      <ns0:c r="E147">
        <ns0:f>IFERROR(IF(ISNUMBER($A147),IF(AND(AH!$P$10=1,AH!$P$12=1,$A147=TODAY()),AH!$P$20,IF(AH!$P$10=1,INDEX('Live History'!$H$5:$H$3004,MATCH($A147,'Live History'!$G$5:$G$3004,1)),INDEX('AH History'!$D$1:$D$18046,AH!$P$7+142))),NA()),NA())</ns0:f>
        <ns0:v>1.1633410453796387</ns0:v>
      </ns0:c>
      <ns0:c r="F147">
        <ns0:f>IFERROR(IF(ISNUMBER($A147),IF(AND(AH!$P$10=1,AH!$P$12=1,$A147=TODAY()),IF(AND(AH!$P$10=1,AH!$P$12=1,$A147=TODAY()),TODAY(),NA()),IF(AH!$P$10=1,INDEX('Live History'!$D$5:$D$3004,MATCH($A147,'Live History'!$D$5:$D$3004,1)),INDEX('AH History'!$E$1:$E$18046,AH!$P$7+142))),NA()),NA())</ns0:f>
        <ns0:v>46247</ns0:v>
      </ns0:c>
      <ns0:c r="G147">
        <ns0:f>IFERROR(IF(ISNUMBER($A147),IF(AND(AH!$P$10=1,AH!$P$12=1,$A147=TODAY()),IF(AND(AH!$P$10=1,AH!$P$12=1,$A147=TODAY()),TODAY(),NA()),IF(AH!$P$10=1,INDEX('Live History'!$G$5:$G$3004,MATCH($A147,'Live History'!$G$5:$G$3004,1)),INDEX('AH History'!$F$1:$F$18046,AH!$P$7+142))),NA()),NA())</ns0:f>
        <ns0:v>46247</ns0:v>
      </ns0:c>
      <ns0:c r="H147">
        <ns0:f>IFERROR(IF(AND(AH!$E$4="Bloomberg",AH!$P$10=1,ISNUMBER($A147),$A147&lt;=AH!$P$17),AH!$P$7-1+MATCH($A147,INDEX('AH History'!$A$1:$A$18046,AH!$P$7):INDEX('AH History'!$A$1:$A$18046,AH!$P$7+AH!$P$8-1),0),0),0)</ns0:f>
        <ns0:v/>
      </ns0:c>
      <ns0:c r="I147">
        <ns0:f>IF($H147=0,0,IFERROR(IF(AND(ABS($C147-INDEX('AH History'!$B$1:$B$18046,$H147))&lt;=MAX(0.005,ABS(INDEX('AH History'!$B$1:$B$18046,$H147))*0.00005),ABS($D147-INDEX('AH History'!$C$1:$C$18046,$H147))&lt;=MAX(0.005,ABS(INDEX('AH History'!$C$1:$C$18046,$H147))*0.00005),ABS($E147-INDEX('AH History'!$D$1:$D$18046,$H147))&lt;=0.00005,$F147=INDEX('AH History'!$E$1:$E$18046,$H147),$G147=INDEX('AH History'!$F$1:$F$18046,$H147)),1,-1),-1))</ns0:f>
        <ns0:v/>
      </ns0:c>
    </ns0:row>
    <ns0:row r="148">
      <ns0:c r="A148" s="215">
        <ns0:f>IF(OR(AH!$P$3=0,143+1&gt;AH!$P$11,AND(AH!$E$4&lt;&gt;"Stored",AH!$P$10&lt;&gt;1)),"",IFERROR(IF(AND(AH!$P$21=1,143+1=AH!$P$11),TODAY(),IF(AH!$P$10=1,INDEX('Live History'!$A$5:$A$3004,AH!$P$13+143),INDEX('AH History'!$A$1:$A$18046,AH!$P$7+143))),""))</ns0:f>
        <ns0:v>46248</ns0:v>
      </ns0:c>
      <ns0:c r="B148" s="219">
        <ns0:f>IFERROR(IF(AND(AH!$P$9&lt;&gt;1,$C148&gt;0,$D148&gt;0,$E148&gt;0,$F148&gt;0,$G148&gt;0,$F148&lt;=$A148,$G148&lt;=$A148,$A148-$F148&lt;=10,$A148-$G148&lt;=5),$D148*$E148/$C148-1,NA()),NA())</ns0:f>
        <ns0:v>-0.04937843224773664</ns0:v>
      </ns0:c>
      <ns0:c r="C148">
        <ns0:f>IFERROR(IF(ISNUMBER($A148),IF(AND(AH!$P$10=1,AH!$P$12=1,$A148=TODAY()),AH!$P$19,IF(AH!$P$10=1,INDEX('Live History'!$B$5:$B$3004,AH!$P$13+143),INDEX('AH History'!$B$1:$B$18046,AH!$P$7+143))),NA()),NA())</ns0:f>
        <ns0:v>511.0</ns0:v>
      </ns0:c>
      <ns0:c r="D148">
        <ns0:f>IFERROR(IF(ISNUMBER($A148),IF(AND(AH!$P$10=1,AH!$P$12=1,$A148=TODAY()),AH!$P$18,IF(AH!$P$10=1,INDEX('Live History'!$E$5:$E$3004,MATCH($A148,'Live History'!$D$5:$D$3004,1)),INDEX('AH History'!$C$1:$C$18046,AH!$P$7+143))),NA()),NA())</ns0:f>
        <ns0:v>417.48</ns0:v>
      </ns0:c>
      <ns0:c r="E148">
        <ns0:f>IFERROR(IF(ISNUMBER($A148),IF(AND(AH!$P$10=1,AH!$P$12=1,$A148=TODAY()),AH!$P$20,IF(AH!$P$10=1,INDEX('Live History'!$H$5:$H$3004,MATCH($A148,'Live History'!$G$5:$G$3004,1)),INDEX('AH History'!$D$1:$D$18046,AH!$P$7+143))),NA()),NA())</ns0:f>
        <ns0:v>1.1635710000991821</ns0:v>
      </ns0:c>
      <ns0:c r="F148">
        <ns0:f>IFERROR(IF(ISNUMBER($A148),IF(AND(AH!$P$10=1,AH!$P$12=1,$A148=TODAY()),IF(AND(AH!$P$10=1,AH!$P$12=1,$A148=TODAY()),TODAY(),NA()),IF(AH!$P$10=1,INDEX('Live History'!$D$5:$D$3004,MATCH($A148,'Live History'!$D$5:$D$3004,1)),INDEX('AH History'!$E$1:$E$18046,AH!$P$7+143))),NA()),NA())</ns0:f>
        <ns0:v>46248</ns0:v>
      </ns0:c>
      <ns0:c r="G148">
        <ns0:f>IFERROR(IF(ISNUMBER($A148),IF(AND(AH!$P$10=1,AH!$P$12=1,$A148=TODAY()),IF(AND(AH!$P$10=1,AH!$P$12=1,$A148=TODAY()),TODAY(),NA()),IF(AH!$P$10=1,INDEX('Live History'!$G$5:$G$3004,MATCH($A148,'Live History'!$G$5:$G$3004,1)),INDEX('AH History'!$F$1:$F$18046,AH!$P$7+143))),NA()),NA())</ns0:f>
        <ns0:v>46248</ns0:v>
      </ns0:c>
      <ns0:c r="H148">
        <ns0:f>IFERROR(IF(AND(AH!$E$4="Bloomberg",AH!$P$10=1,ISNUMBER($A148),$A148&lt;=AH!$P$17),AH!$P$7-1+MATCH($A148,INDEX('AH History'!$A$1:$A$18046,AH!$P$7):INDEX('AH History'!$A$1:$A$18046,AH!$P$7+AH!$P$8-1),0),0),0)</ns0:f>
        <ns0:v/>
      </ns0:c>
      <ns0:c r="I148">
        <ns0:f>IF($H148=0,0,IFERROR(IF(AND(ABS($C148-INDEX('AH History'!$B$1:$B$18046,$H148))&lt;=MAX(0.005,ABS(INDEX('AH History'!$B$1:$B$18046,$H148))*0.00005),ABS($D148-INDEX('AH History'!$C$1:$C$18046,$H148))&lt;=MAX(0.005,ABS(INDEX('AH History'!$C$1:$C$18046,$H148))*0.00005),ABS($E148-INDEX('AH History'!$D$1:$D$18046,$H148))&lt;=0.00005,$F148=INDEX('AH History'!$E$1:$E$18046,$H148),$G148=INDEX('AH History'!$F$1:$F$18046,$H148)),1,-1),-1))</ns0:f>
        <ns0:v/>
      </ns0:c>
    </ns0:row>
    <ns0:row r="149">
      <ns0:c r="A149" s="215">
        <ns0:f>IF(OR(AH!$P$3=0,144+1&gt;AH!$P$11,AND(AH!$E$4&lt;&gt;"Stored",AH!$P$10&lt;&gt;1)),"",IFERROR(IF(AND(AH!$P$21=1,144+1=AH!$P$11),TODAY(),IF(AH!$P$10=1,INDEX('Live History'!$A$5:$A$3004,AH!$P$13+144),INDEX('AH History'!$A$1:$A$18046,AH!$P$7+144))),""))</ns0:f>
        <ns0:v>46251</ns0:v>
      </ns0:c>
      <ns0:c r="B149" s="219">
        <ns0:f>IFERROR(IF(AND(AH!$P$9&lt;&gt;1,$C149&gt;0,$D149&gt;0,$E149&gt;0,$F149&gt;0,$G149&gt;0,$F149&lt;=$A149,$G149&lt;=$A149,$A149-$F149&lt;=10,$A149-$G149&lt;=5),$D149*$E149/$C149-1,NA()),NA())</ns0:f>
        <ns0:v>-0.06743811269959821</ns0:v>
      </ns0:c>
      <ns0:c r="C149">
        <ns0:f>IFERROR(IF(ISNUMBER($A149),IF(AND(AH!$P$10=1,AH!$P$12=1,$A149=TODAY()),AH!$P$19,IF(AH!$P$10=1,INDEX('Live History'!$B$5:$B$3004,AH!$P$13+144),INDEX('AH History'!$B$1:$B$18046,AH!$P$7+144))),NA()),NA())</ns0:f>
        <ns0:v>554.0</ns0:v>
      </ns0:c>
      <ns0:c r="D149">
        <ns0:f>IFERROR(IF(ISNUMBER($A149),IF(AND(AH!$P$10=1,AH!$P$12=1,$A149=TODAY()),AH!$P$18,IF(AH!$P$10=1,INDEX('Live History'!$E$5:$E$3004,MATCH($A149,'Live History'!$D$5:$D$3004,1)),INDEX('AH History'!$C$1:$C$18046,AH!$P$7+144))),NA()),NA())</ns0:f>
        <ns0:v>444.0</ns0:v>
      </ns0:c>
      <ns0:c r="E149">
        <ns0:f>IFERROR(IF(ISNUMBER($A149),IF(AND(AH!$P$10=1,AH!$P$12=1,$A149=TODAY()),AH!$P$20,IF(AH!$P$10=1,INDEX('Live History'!$H$5:$H$3004,MATCH($A149,'Live History'!$G$5:$G$3004,1)),INDEX('AH History'!$D$1:$D$18046,AH!$P$7+144))),NA()),NA())</ns0:f>
        <ns0:v>1.1636019945144653</ns0:v>
      </ns0:c>
      <ns0:c r="F149">
        <ns0:f>IFERROR(IF(ISNUMBER($A149),IF(AND(AH!$P$10=1,AH!$P$12=1,$A149=TODAY()),IF(AND(AH!$P$10=1,AH!$P$12=1,$A149=TODAY()),TODAY(),NA()),IF(AH!$P$10=1,INDEX('Live History'!$D$5:$D$3004,MATCH($A149,'Live History'!$D$5:$D$3004,1)),INDEX('AH History'!$E$1:$E$18046,AH!$P$7+144))),NA()),NA())</ns0:f>
        <ns0:v>46251</ns0:v>
      </ns0:c>
      <ns0:c r="G149">
        <ns0:f>IFERROR(IF(ISNUMBER($A149),IF(AND(AH!$P$10=1,AH!$P$12=1,$A149=TODAY()),IF(AND(AH!$P$10=1,AH!$P$12=1,$A149=TODAY()),TODAY(),NA()),IF(AH!$P$10=1,INDEX('Live History'!$G$5:$G$3004,MATCH($A149,'Live History'!$G$5:$G$3004,1)),INDEX('AH History'!$F$1:$F$18046,AH!$P$7+144))),NA()),NA())</ns0:f>
        <ns0:v>46251</ns0:v>
      </ns0:c>
      <ns0:c r="H149">
        <ns0:f>IFERROR(IF(AND(AH!$E$4="Bloomberg",AH!$P$10=1,ISNUMBER($A149),$A149&lt;=AH!$P$17),AH!$P$7-1+MATCH($A149,INDEX('AH History'!$A$1:$A$18046,AH!$P$7):INDEX('AH History'!$A$1:$A$18046,AH!$P$7+AH!$P$8-1),0),0),0)</ns0:f>
        <ns0:v/>
      </ns0:c>
      <ns0:c r="I149">
        <ns0:f>IF($H149=0,0,IFERROR(IF(AND(ABS($C149-INDEX('AH History'!$B$1:$B$18046,$H149))&lt;=MAX(0.005,ABS(INDEX('AH History'!$B$1:$B$18046,$H149))*0.00005),ABS($D149-INDEX('AH History'!$C$1:$C$18046,$H149))&lt;=MAX(0.005,ABS(INDEX('AH History'!$C$1:$C$18046,$H149))*0.00005),ABS($E149-INDEX('AH History'!$D$1:$D$18046,$H149))&lt;=0.00005,$F149=INDEX('AH History'!$E$1:$E$18046,$H149),$G149=INDEX('AH History'!$F$1:$F$18046,$H149)),1,-1),-1))</ns0:f>
        <ns0:v/>
      </ns0:c>
    </ns0:row>
    <ns0:row r="150">
      <ns0:c r="A150" s="215">
        <ns0:f>IF(OR(AH!$P$3=0,145+1&gt;AH!$P$11,AND(AH!$E$4&lt;&gt;"Stored",AH!$P$10&lt;&gt;1)),"",IFERROR(IF(AND(AH!$P$21=1,145+1=AH!$P$11),TODAY(),IF(AH!$P$10=1,INDEX('Live History'!$A$5:$A$3004,AH!$P$13+145),INDEX('AH History'!$A$1:$A$18046,AH!$P$7+145))),""))</ns0:f>
        <ns0:v>46252</ns0:v>
      </ns0:c>
      <ns0:c r="B150" s="219">
        <ns0:f>IFERROR(IF(AND(AH!$P$9&lt;&gt;1,$C150&gt;0,$D150&gt;0,$E150&gt;0,$F150&gt;0,$G150&gt;0,$F150&lt;=$A150,$G150&lt;=$A150,$A150-$F150&lt;=10,$A150-$G150&lt;=5),$D150*$E150/$C150-1,NA()),NA())</ns0:f>
        <ns0:v>-0.017876806120941557</ns0:v>
      </ns0:c>
      <ns0:c r="C150">
        <ns0:f>IFERROR(IF(ISNUMBER($A150),IF(AND(AH!$P$10=1,AH!$P$12=1,$A150=TODAY()),AH!$P$19,IF(AH!$P$10=1,INDEX('Live History'!$B$5:$B$3004,AH!$P$13+145),INDEX('AH History'!$B$1:$B$18046,AH!$P$7+145))),NA()),NA())</ns0:f>
        <ns0:v>517.5</ns0:v>
      </ns0:c>
      <ns0:c r="D150">
        <ns0:f>IFERROR(IF(ISNUMBER($A150),IF(AND(AH!$P$10=1,AH!$P$12=1,$A150=TODAY()),AH!$P$18,IF(AH!$P$10=1,INDEX('Live History'!$E$5:$E$3004,MATCH($A150,'Live History'!$D$5:$D$3004,1)),INDEX('AH History'!$C$1:$C$18046,AH!$P$7+145))),NA()),NA())</ns0:f>
        <ns0:v>436.74</ns0:v>
      </ns0:c>
      <ns0:c r="E150">
        <ns0:f>IFERROR(IF(ISNUMBER($A150),IF(AND(AH!$P$10=1,AH!$P$12=1,$A150=TODAY()),AH!$P$20,IF(AH!$P$10=1,INDEX('Live History'!$H$5:$H$3004,MATCH($A150,'Live History'!$G$5:$G$3004,1)),INDEX('AH History'!$D$1:$D$18046,AH!$P$7+145))),NA()),NA())</ns0:f>
        <ns0:v>1.1637330055236816</ns0:v>
      </ns0:c>
      <ns0:c r="F150">
        <ns0:f>IFERROR(IF(ISNUMBER($A150),IF(AND(AH!$P$10=1,AH!$P$12=1,$A150=TODAY()),IF(AND(AH!$P$10=1,AH!$P$12=1,$A150=TODAY()),TODAY(),NA()),IF(AH!$P$10=1,INDEX('Live History'!$D$5:$D$3004,MATCH($A150,'Live History'!$D$5:$D$3004,1)),INDEX('AH History'!$E$1:$E$18046,AH!$P$7+145))),NA()),NA())</ns0:f>
        <ns0:v>46252</ns0:v>
      </ns0:c>
      <ns0:c r="G150">
        <ns0:f>IFERROR(IF(ISNUMBER($A150),IF(AND(AH!$P$10=1,AH!$P$12=1,$A150=TODAY()),IF(AND(AH!$P$10=1,AH!$P$12=1,$A150=TODAY()),TODAY(),NA()),IF(AH!$P$10=1,INDEX('Live History'!$G$5:$G$3004,MATCH($A150,'Live History'!$G$5:$G$3004,1)),INDEX('AH History'!$F$1:$F$18046,AH!$P$7+145))),NA()),NA())</ns0:f>
        <ns0:v>46252</ns0:v>
      </ns0:c>
      <ns0:c r="H150">
        <ns0:f>IFERROR(IF(AND(AH!$E$4="Bloomberg",AH!$P$10=1,ISNUMBER($A150),$A150&lt;=AH!$P$17),AH!$P$7-1+MATCH($A150,INDEX('AH History'!$A$1:$A$18046,AH!$P$7):INDEX('AH History'!$A$1:$A$18046,AH!$P$7+AH!$P$8-1),0),0),0)</ns0:f>
        <ns0:v/>
      </ns0:c>
      <ns0:c r="I150">
        <ns0:f>IF($H150=0,0,IFERROR(IF(AND(ABS($C150-INDEX('AH History'!$B$1:$B$18046,$H150))&lt;=MAX(0.005,ABS(INDEX('AH History'!$B$1:$B$18046,$H150))*0.00005),ABS($D150-INDEX('AH History'!$C$1:$C$18046,$H150))&lt;=MAX(0.005,ABS(INDEX('AH History'!$C$1:$C$18046,$H150))*0.00005),ABS($E150-INDEX('AH History'!$D$1:$D$18046,$H150))&lt;=0.00005,$F150=INDEX('AH History'!$E$1:$E$18046,$H150),$G150=INDEX('AH History'!$F$1:$F$18046,$H150)),1,-1),-1))</ns0:f>
        <ns0:v/>
      </ns0:c>
    </ns0:row>
    <ns0:row r="151">
      <ns0:c r="A151" s="215">
        <ns0:f>IF(OR(AH!$P$3=0,146+1&gt;AH!$P$11,AND(AH!$E$4&lt;&gt;"Stored",AH!$P$10&lt;&gt;1)),"",IFERROR(IF(AND(AH!$P$21=1,146+1=AH!$P$11),TODAY(),IF(AH!$P$10=1,INDEX('Live History'!$A$5:$A$3004,AH!$P$13+146),INDEX('AH History'!$A$1:$A$18046,AH!$P$7+146))),""))</ns0:f>
        <ns0:v>46253</ns0:v>
      </ns0:c>
      <ns0:c r="B151" s="219">
        <ns0:f>IFERROR(IF(AND(AH!$P$9&lt;&gt;1,$C151&gt;0,$D151&gt;0,$E151&gt;0,$F151&gt;0,$G151&gt;0,$F151&lt;=$A151,$G151&lt;=$A151,$A151-$F151&lt;=10,$A151-$G151&lt;=5),$D151*$E151/$C151-1,NA()),NA())</ns0:f>
        <ns0:v>-0.05484726599593093</ns0:v>
      </ns0:c>
      <ns0:c r="C151">
        <ns0:f>IFERROR(IF(ISNUMBER($A151),IF(AND(AH!$P$10=1,AH!$P$12=1,$A151=TODAY()),AH!$P$19,IF(AH!$P$10=1,INDEX('Live History'!$B$5:$B$3004,AH!$P$13+146),INDEX('AH History'!$B$1:$B$18046,AH!$P$7+146))),NA()),NA())</ns0:f>
        <ns0:v>496.8</ns0:v>
      </ns0:c>
      <ns0:c r="D151">
        <ns0:f>IFERROR(IF(ISNUMBER($A151),IF(AND(AH!$P$10=1,AH!$P$12=1,$A151=TODAY()),AH!$P$18,IF(AH!$P$10=1,INDEX('Live History'!$E$5:$E$3004,MATCH($A151,'Live History'!$D$5:$D$3004,1)),INDEX('AH History'!$C$1:$C$18046,AH!$P$7+146))),NA()),NA())</ns0:f>
        <ns0:v>403.71</ns0:v>
      </ns0:c>
      <ns0:c r="E151">
        <ns0:f>IFERROR(IF(ISNUMBER($A151),IF(AND(AH!$P$10=1,AH!$P$12=1,$A151=TODAY()),AH!$P$20,IF(AH!$P$10=1,INDEX('Live History'!$H$5:$H$3004,MATCH($A151,'Live History'!$G$5:$G$3004,1)),INDEX('AH History'!$D$1:$D$18046,AH!$P$7+146))),NA()),NA())</ns0:f>
        <ns0:v>1.163092017173767</ns0:v>
      </ns0:c>
      <ns0:c r="F151">
        <ns0:f>IFERROR(IF(ISNUMBER($A151),IF(AND(AH!$P$10=1,AH!$P$12=1,$A151=TODAY()),IF(AND(AH!$P$10=1,AH!$P$12=1,$A151=TODAY()),TODAY(),NA()),IF(AH!$P$10=1,INDEX('Live History'!$D$5:$D$3004,MATCH($A151,'Live History'!$D$5:$D$3004,1)),INDEX('AH History'!$E$1:$E$18046,AH!$P$7+146))),NA()),NA())</ns0:f>
        <ns0:v>46253</ns0:v>
      </ns0:c>
      <ns0:c r="G151">
        <ns0:f>IFERROR(IF(ISNUMBER($A151),IF(AND(AH!$P$10=1,AH!$P$12=1,$A151=TODAY()),IF(AND(AH!$P$10=1,AH!$P$12=1,$A151=TODAY()),TODAY(),NA()),IF(AH!$P$10=1,INDEX('Live History'!$G$5:$G$3004,MATCH($A151,'Live History'!$G$5:$G$3004,1)),INDEX('AH History'!$F$1:$F$18046,AH!$P$7+146))),NA()),NA())</ns0:f>
        <ns0:v>46253</ns0:v>
      </ns0:c>
      <ns0:c r="H151">
        <ns0:f>IFERROR(IF(AND(AH!$E$4="Bloomberg",AH!$P$10=1,ISNUMBER($A151),$A151&lt;=AH!$P$17),AH!$P$7-1+MATCH($A151,INDEX('AH History'!$A$1:$A$18046,AH!$P$7):INDEX('AH History'!$A$1:$A$18046,AH!$P$7+AH!$P$8-1),0),0),0)</ns0:f>
        <ns0:v/>
      </ns0:c>
      <ns0:c r="I151">
        <ns0:f>IF($H151=0,0,IFERROR(IF(AND(ABS($C151-INDEX('AH History'!$B$1:$B$18046,$H151))&lt;=MAX(0.005,ABS(INDEX('AH History'!$B$1:$B$18046,$H151))*0.00005),ABS($D151-INDEX('AH History'!$C$1:$C$18046,$H151))&lt;=MAX(0.005,ABS(INDEX('AH History'!$C$1:$C$18046,$H151))*0.00005),ABS($E151-INDEX('AH History'!$D$1:$D$18046,$H151))&lt;=0.00005,$F151=INDEX('AH History'!$E$1:$E$18046,$H151),$G151=INDEX('AH History'!$F$1:$F$18046,$H151)),1,-1),-1))</ns0:f>
        <ns0:v/>
      </ns0:c>
    </ns0:row>
    <ns0:row r="152">
      <ns0:c r="A152" s="215">
        <ns0:f>IF(OR(AH!$P$3=0,147+1&gt;AH!$P$11,AND(AH!$E$4&lt;&gt;"Stored",AH!$P$10&lt;&gt;1)),"",IFERROR(IF(AND(AH!$P$21=1,147+1=AH!$P$11),TODAY(),IF(AH!$P$10=1,INDEX('Live History'!$A$5:$A$3004,AH!$P$13+147),INDEX('AH History'!$A$1:$A$18046,AH!$P$7+147))),""))</ns0:f>
        <ns0:v>46254</ns0:v>
      </ns0:c>
      <ns0:c r="B152" s="219">
        <ns0:f>IFERROR(IF(AND(AH!$P$9&lt;&gt;1,$C152&gt;0,$D152&gt;0,$E152&gt;0,$F152&gt;0,$G152&gt;0,$F152&lt;=$A152,$G152&lt;=$A152,$A152-$F152&lt;=10,$A152-$G152&lt;=5),$D152*$E152/$C152-1,NA()),NA())</ns0:f>
        <ns0:v>-0.04110553433874686</ns0:v>
      </ns0:c>
      <ns0:c r="C152">
        <ns0:f>IFERROR(IF(ISNUMBER($A152),IF(AND(AH!$P$10=1,AH!$P$12=1,$A152=TODAY()),AH!$P$19,IF(AH!$P$10=1,INDEX('Live History'!$B$5:$B$3004,AH!$P$13+147),INDEX('AH History'!$B$1:$B$18046,AH!$P$7+147))),NA()),NA())</ns0:f>
        <ns0:v>490.2</ns0:v>
      </ns0:c>
      <ns0:c r="D152">
        <ns0:f>IFERROR(IF(ISNUMBER($A152),IF(AND(AH!$P$10=1,AH!$P$12=1,$A152=TODAY()),AH!$P$18,IF(AH!$P$10=1,INDEX('Live History'!$E$5:$E$3004,MATCH($A152,'Live History'!$D$5:$D$3004,1)),INDEX('AH History'!$C$1:$C$18046,AH!$P$7+147))),NA()),NA())</ns0:f>
        <ns0:v>403.5</ns0:v>
      </ns0:c>
      <ns0:c r="E152">
        <ns0:f>IFERROR(IF(ISNUMBER($A152),IF(AND(AH!$P$10=1,AH!$P$12=1,$A152=TODAY()),AH!$P$20,IF(AH!$P$10=1,INDEX('Live History'!$H$5:$H$3004,MATCH($A152,'Live History'!$G$5:$G$3004,1)),INDEX('AH History'!$D$1:$D$18046,AH!$P$7+147))),NA()),NA())</ns0:f>
        <ns0:v>1.1649320125579834</ns0:v>
      </ns0:c>
      <ns0:c r="F152">
        <ns0:f>IFERROR(IF(ISNUMBER($A152),IF(AND(AH!$P$10=1,AH!$P$12=1,$A152=TODAY()),IF(AND(AH!$P$10=1,AH!$P$12=1,$A152=TODAY()),TODAY(),NA()),IF(AH!$P$10=1,INDEX('Live History'!$D$5:$D$3004,MATCH($A152,'Live History'!$D$5:$D$3004,1)),INDEX('AH History'!$E$1:$E$18046,AH!$P$7+147))),NA()),NA())</ns0:f>
        <ns0:v>46254</ns0:v>
      </ns0:c>
      <ns0:c r="G152">
        <ns0:f>IFERROR(IF(ISNUMBER($A152),IF(AND(AH!$P$10=1,AH!$P$12=1,$A152=TODAY()),IF(AND(AH!$P$10=1,AH!$P$12=1,$A152=TODAY()),TODAY(),NA()),IF(AH!$P$10=1,INDEX('Live History'!$G$5:$G$3004,MATCH($A152,'Live History'!$G$5:$G$3004,1)),INDEX('AH History'!$F$1:$F$18046,AH!$P$7+147))),NA()),NA())</ns0:f>
        <ns0:v>46254</ns0:v>
      </ns0:c>
      <ns0:c r="H152">
        <ns0:f>IFERROR(IF(AND(AH!$E$4="Bloomberg",AH!$P$10=1,ISNUMBER($A152),$A152&lt;=AH!$P$17),AH!$P$7-1+MATCH($A152,INDEX('AH History'!$A$1:$A$18046,AH!$P$7):INDEX('AH History'!$A$1:$A$18046,AH!$P$7+AH!$P$8-1),0),0),0)</ns0:f>
        <ns0:v/>
      </ns0:c>
      <ns0:c r="I152">
        <ns0:f>IF($H152=0,0,IFERROR(IF(AND(ABS($C152-INDEX('AH History'!$B$1:$B$18046,$H152))&lt;=MAX(0.005,ABS(INDEX('AH History'!$B$1:$B$18046,$H152))*0.00005),ABS($D152-INDEX('AH History'!$C$1:$C$18046,$H152))&lt;=MAX(0.005,ABS(INDEX('AH History'!$C$1:$C$18046,$H152))*0.00005),ABS($E152-INDEX('AH History'!$D$1:$D$18046,$H152))&lt;=0.00005,$F152=INDEX('AH History'!$E$1:$E$18046,$H152),$G152=INDEX('AH History'!$F$1:$F$18046,$H152)),1,-1),-1))</ns0:f>
        <ns0:v/>
      </ns0:c>
    </ns0:row>
    <ns0:row r="153">
      <ns0:c r="A153" s="215">
        <ns0:f>IF(OR(AH!$P$3=0,148+1&gt;AH!$P$11,AND(AH!$E$4&lt;&gt;"Stored",AH!$P$10&lt;&gt;1)),"",IFERROR(IF(AND(AH!$P$21=1,148+1=AH!$P$11),TODAY(),IF(AH!$P$10=1,INDEX('Live History'!$A$5:$A$3004,AH!$P$13+148),INDEX('AH History'!$A$1:$A$18046,AH!$P$7+148))),""))</ns0:f>
        <ns0:v>46255</ns0:v>
      </ns0:c>
      <ns0:c r="B153" s="219">
        <ns0:f>IFERROR(IF(AND(AH!$P$9&lt;&gt;1,$C153&gt;0,$D153&gt;0,$E153&gt;0,$F153&gt;0,$G153&gt;0,$F153&lt;=$A153,$G153&lt;=$A153,$A153-$F153&lt;=10,$A153-$G153&lt;=5),$D153*$E153/$C153-1,NA()),NA())</ns0:f>
        <ns0:v>-0.05131012417450098</ns0:v>
      </ns0:c>
      <ns0:c r="C153">
        <ns0:f>IFERROR(IF(ISNUMBER($A153),IF(AND(AH!$P$10=1,AH!$P$12=1,$A153=TODAY()),AH!$P$19,IF(AH!$P$10=1,INDEX('Live History'!$B$5:$B$3004,AH!$P$13+148),INDEX('AH History'!$B$1:$B$18046,AH!$P$7+148))),NA()),NA())</ns0:f>
        <ns0:v>503.0</ns0:v>
      </ns0:c>
      <ns0:c r="D153">
        <ns0:f>IFERROR(IF(ISNUMBER($A153),IF(AND(AH!$P$10=1,AH!$P$12=1,$A153=TODAY()),AH!$P$18,IF(AH!$P$10=1,INDEX('Live History'!$E$5:$E$3004,MATCH($A153,'Live History'!$D$5:$D$3004,1)),INDEX('AH History'!$C$1:$C$18046,AH!$P$7+148))),NA()),NA())</ns0:f>
        <ns0:v>409.06</ns0:v>
      </ns0:c>
      <ns0:c r="E153">
        <ns0:f>IFERROR(IF(ISNUMBER($A153),IF(AND(AH!$P$10=1,AH!$P$12=1,$A153=TODAY()),AH!$P$20,IF(AH!$P$10=1,INDEX('Live History'!$H$5:$H$3004,MATCH($A153,'Live History'!$G$5:$G$3004,1)),INDEX('AH History'!$D$1:$D$18046,AH!$P$7+148))),NA()),NA())</ns0:f>
        <ns0:v>1.1665550470352173</ns0:v>
      </ns0:c>
      <ns0:c r="F153">
        <ns0:f>IFERROR(IF(ISNUMBER($A153),IF(AND(AH!$P$10=1,AH!$P$12=1,$A153=TODAY()),IF(AND(AH!$P$10=1,AH!$P$12=1,$A153=TODAY()),TODAY(),NA()),IF(AH!$P$10=1,INDEX('Live History'!$D$5:$D$3004,MATCH($A153,'Live History'!$D$5:$D$3004,1)),INDEX('AH History'!$E$1:$E$18046,AH!$P$7+148))),NA()),NA())</ns0:f>
        <ns0:v>46255</ns0:v>
      </ns0:c>
      <ns0:c r="G153">
        <ns0:f>IFERROR(IF(ISNUMBER($A153),IF(AND(AH!$P$10=1,AH!$P$12=1,$A153=TODAY()),IF(AND(AH!$P$10=1,AH!$P$12=1,$A153=TODAY()),TODAY(),NA()),IF(AH!$P$10=1,INDEX('Live History'!$G$5:$G$3004,MATCH($A153,'Live History'!$G$5:$G$3004,1)),INDEX('AH History'!$F$1:$F$18046,AH!$P$7+148))),NA()),NA())</ns0:f>
        <ns0:v>46255</ns0:v>
      </ns0:c>
      <ns0:c r="H153">
        <ns0:f>IFERROR(IF(AND(AH!$E$4="Bloomberg",AH!$P$10=1,ISNUMBER($A153),$A153&lt;=AH!$P$17),AH!$P$7-1+MATCH($A153,INDEX('AH History'!$A$1:$A$18046,AH!$P$7):INDEX('AH History'!$A$1:$A$18046,AH!$P$7+AH!$P$8-1),0),0),0)</ns0:f>
        <ns0:v/>
      </ns0:c>
      <ns0:c r="I153">
        <ns0:f>IF($H153=0,0,IFERROR(IF(AND(ABS($C153-INDEX('AH History'!$B$1:$B$18046,$H153))&lt;=MAX(0.005,ABS(INDEX('AH History'!$B$1:$B$18046,$H153))*0.00005),ABS($D153-INDEX('AH History'!$C$1:$C$18046,$H153))&lt;=MAX(0.005,ABS(INDEX('AH History'!$C$1:$C$18046,$H153))*0.00005),ABS($E153-INDEX('AH History'!$D$1:$D$18046,$H153))&lt;=0.00005,$F153=INDEX('AH History'!$E$1:$E$18046,$H153),$G153=INDEX('AH History'!$F$1:$F$18046,$H153)),1,-1),-1))</ns0:f>
        <ns0:v/>
      </ns0:c>
    </ns0:row>
    <ns0:row r="154">
      <ns0:c r="A154" s="215">
        <ns0:f>IF(OR(AH!$P$3=0,149+1&gt;AH!$P$11,AND(AH!$E$4&lt;&gt;"Stored",AH!$P$10&lt;&gt;1)),"",IFERROR(IF(AND(AH!$P$21=1,149+1=AH!$P$11),TODAY(),IF(AH!$P$10=1,INDEX('Live History'!$A$5:$A$3004,AH!$P$13+149),INDEX('AH History'!$A$1:$A$18046,AH!$P$7+149))),""))</ns0:f>
        <ns0:v>46258</ns0:v>
      </ns0:c>
      <ns0:c r="B154" s="219">
        <ns0:f>IFERROR(IF(AND(AH!$P$9&lt;&gt;1,$C154&gt;0,$D154&gt;0,$E154&gt;0,$F154&gt;0,$G154&gt;0,$F154&lt;=$A154,$G154&lt;=$A154,$A154-$F154&lt;=10,$A154-$G154&lt;=5),$D154*$E154/$C154-1,NA()),NA())</ns0:f>
        <ns0:v>-0.05491180274137253</ns0:v>
      </ns0:c>
      <ns0:c r="C154">
        <ns0:f>IFERROR(IF(ISNUMBER($A154),IF(AND(AH!$P$10=1,AH!$P$12=1,$A154=TODAY()),AH!$P$19,IF(AH!$P$10=1,INDEX('Live History'!$B$5:$B$3004,AH!$P$13+149),INDEX('AH History'!$B$1:$B$18046,AH!$P$7+149))),NA()),NA())</ns0:f>
        <ns0:v>471.0</ns0:v>
      </ns0:c>
      <ns0:c r="D154">
        <ns0:f>IFERROR(IF(ISNUMBER($A154),IF(AND(AH!$P$10=1,AH!$P$12=1,$A154=TODAY()),AH!$P$18,IF(AH!$P$10=1,INDEX('Live History'!$E$5:$E$3004,MATCH($A154,'Live History'!$D$5:$D$3004,1)),INDEX('AH History'!$C$1:$C$18046,AH!$P$7+149))),NA()),NA())</ns0:f>
        <ns0:v>381.66</ns0:v>
      </ns0:c>
      <ns0:c r="E154">
        <ns0:f>IFERROR(IF(ISNUMBER($A154),IF(AND(AH!$P$10=1,AH!$P$12=1,$A154=TODAY()),AH!$P$20,IF(AH!$P$10=1,INDEX('Live History'!$H$5:$H$3004,MATCH($A154,'Live History'!$G$5:$G$3004,1)),INDEX('AH History'!$D$1:$D$18046,AH!$P$7+149))),NA()),NA())</ns0:f>
        <ns0:v>1.1663169860839844</ns0:v>
      </ns0:c>
      <ns0:c r="F154">
        <ns0:f>IFERROR(IF(ISNUMBER($A154),IF(AND(AH!$P$10=1,AH!$P$12=1,$A154=TODAY()),IF(AND(AH!$P$10=1,AH!$P$12=1,$A154=TODAY()),TODAY(),NA()),IF(AH!$P$10=1,INDEX('Live History'!$D$5:$D$3004,MATCH($A154,'Live History'!$D$5:$D$3004,1)),INDEX('AH History'!$E$1:$E$18046,AH!$P$7+149))),NA()),NA())</ns0:f>
        <ns0:v>46258</ns0:v>
      </ns0:c>
      <ns0:c r="G154">
        <ns0:f>IFERROR(IF(ISNUMBER($A154),IF(AND(AH!$P$10=1,AH!$P$12=1,$A154=TODAY()),IF(AND(AH!$P$10=1,AH!$P$12=1,$A154=TODAY()),TODAY(),NA()),IF(AH!$P$10=1,INDEX('Live History'!$G$5:$G$3004,MATCH($A154,'Live History'!$G$5:$G$3004,1)),INDEX('AH History'!$F$1:$F$18046,AH!$P$7+149))),NA()),NA())</ns0:f>
        <ns0:v>46258</ns0:v>
      </ns0:c>
      <ns0:c r="H154">
        <ns0:f>IFERROR(IF(AND(AH!$E$4="Bloomberg",AH!$P$10=1,ISNUMBER($A154),$A154&lt;=AH!$P$17),AH!$P$7-1+MATCH($A154,INDEX('AH History'!$A$1:$A$18046,AH!$P$7):INDEX('AH History'!$A$1:$A$18046,AH!$P$7+AH!$P$8-1),0),0),0)</ns0:f>
        <ns0:v/>
      </ns0:c>
      <ns0:c r="I154">
        <ns0:f>IF($H154=0,0,IFERROR(IF(AND(ABS($C154-INDEX('AH History'!$B$1:$B$18046,$H154))&lt;=MAX(0.005,ABS(INDEX('AH History'!$B$1:$B$18046,$H154))*0.00005),ABS($D154-INDEX('AH History'!$C$1:$C$18046,$H154))&lt;=MAX(0.005,ABS(INDEX('AH History'!$C$1:$C$18046,$H154))*0.00005),ABS($E154-INDEX('AH History'!$D$1:$D$18046,$H154))&lt;=0.00005,$F154=INDEX('AH History'!$E$1:$E$18046,$H154),$G154=INDEX('AH History'!$F$1:$F$18046,$H154)),1,-1),-1))</ns0:f>
        <ns0:v/>
      </ns0:c>
    </ns0:row>
    <ns0:row r="155">
      <ns0:c r="A155" s="215">
        <ns0:f>IF(OR(AH!$P$3=0,150+1&gt;AH!$P$11,AND(AH!$E$4&lt;&gt;"Stored",AH!$P$10&lt;&gt;1)),"",IFERROR(IF(AND(AH!$P$21=1,150+1=AH!$P$11),TODAY(),IF(AH!$P$10=1,INDEX('Live History'!$A$5:$A$3004,AH!$P$13+150),INDEX('AH History'!$A$1:$A$18046,AH!$P$7+150))),""))</ns0:f>
        <ns0:v>46259</ns0:v>
      </ns0:c>
      <ns0:c r="B155" s="219">
        <ns0:f>IFERROR(IF(AND(AH!$P$9&lt;&gt;1,$C155&gt;0,$D155&gt;0,$E155&gt;0,$F155&gt;0,$G155&gt;0,$F155&lt;=$A155,$G155&lt;=$A155,$A155-$F155&lt;=10,$A155-$G155&lt;=5),$D155*$E155/$C155-1,NA()),NA())</ns0:f>
        <ns0:v>-0.06744388687567215</ns0:v>
      </ns0:c>
      <ns0:c r="C155">
        <ns0:f>IFERROR(IF(ISNUMBER($A155),IF(AND(AH!$P$10=1,AH!$P$12=1,$A155=TODAY()),AH!$P$19,IF(AH!$P$10=1,INDEX('Live History'!$B$5:$B$3004,AH!$P$13+150),INDEX('AH History'!$B$1:$B$18046,AH!$P$7+150))),NA()),NA())</ns0:f>
        <ns0:v>494.2</ns0:v>
      </ns0:c>
      <ns0:c r="D155">
        <ns0:f>IFERROR(IF(ISNUMBER($A155),IF(AND(AH!$P$10=1,AH!$P$12=1,$A155=TODAY()),AH!$P$18,IF(AH!$P$10=1,INDEX('Live History'!$E$5:$E$3004,MATCH($A155,'Live History'!$D$5:$D$3004,1)),INDEX('AH History'!$C$1:$C$18046,AH!$P$7+150))),NA()),NA())</ns0:f>
        <ns0:v>395.51</ns0:v>
      </ns0:c>
      <ns0:c r="E155">
        <ns0:f>IFERROR(IF(ISNUMBER($A155),IF(AND(AH!$P$10=1,AH!$P$12=1,$A155=TODAY()),AH!$P$20,IF(AH!$P$10=1,INDEX('Live History'!$H$5:$H$3004,MATCH($A155,'Live History'!$G$5:$G$3004,1)),INDEX('AH History'!$D$1:$D$18046,AH!$P$7+150))),NA()),NA())</ns0:f>
        <ns0:v>1.1652530431747437</ns0:v>
      </ns0:c>
      <ns0:c r="F155">
        <ns0:f>IFERROR(IF(ISNUMBER($A155),IF(AND(AH!$P$10=1,AH!$P$12=1,$A155=TODAY()),IF(AND(AH!$P$10=1,AH!$P$12=1,$A155=TODAY()),TODAY(),NA()),IF(AH!$P$10=1,INDEX('Live History'!$D$5:$D$3004,MATCH($A155,'Live History'!$D$5:$D$3004,1)),INDEX('AH History'!$E$1:$E$18046,AH!$P$7+150))),NA()),NA())</ns0:f>
        <ns0:v>46259</ns0:v>
      </ns0:c>
      <ns0:c r="G155">
        <ns0:f>IFERROR(IF(ISNUMBER($A155),IF(AND(AH!$P$10=1,AH!$P$12=1,$A155=TODAY()),IF(AND(AH!$P$10=1,AH!$P$12=1,$A155=TODAY()),TODAY(),NA()),IF(AH!$P$10=1,INDEX('Live History'!$G$5:$G$3004,MATCH($A155,'Live History'!$G$5:$G$3004,1)),INDEX('AH History'!$F$1:$F$18046,AH!$P$7+150))),NA()),NA())</ns0:f>
        <ns0:v>46259</ns0:v>
      </ns0:c>
      <ns0:c r="H155">
        <ns0:f>IFERROR(IF(AND(AH!$E$4="Bloomberg",AH!$P$10=1,ISNUMBER($A155),$A155&lt;=AH!$P$17),AH!$P$7-1+MATCH($A155,INDEX('AH History'!$A$1:$A$18046,AH!$P$7):INDEX('AH History'!$A$1:$A$18046,AH!$P$7+AH!$P$8-1),0),0),0)</ns0:f>
        <ns0:v/>
      </ns0:c>
      <ns0:c r="I155">
        <ns0:f>IF($H155=0,0,IFERROR(IF(AND(ABS($C155-INDEX('AH History'!$B$1:$B$18046,$H155))&lt;=MAX(0.005,ABS(INDEX('AH History'!$B$1:$B$18046,$H155))*0.00005),ABS($D155-INDEX('AH History'!$C$1:$C$18046,$H155))&lt;=MAX(0.005,ABS(INDEX('AH History'!$C$1:$C$18046,$H155))*0.00005),ABS($E155-INDEX('AH History'!$D$1:$D$18046,$H155))&lt;=0.00005,$F155=INDEX('AH History'!$E$1:$E$18046,$H155),$G155=INDEX('AH History'!$F$1:$F$18046,$H155)),1,-1),-1))</ns0:f>
        <ns0:v/>
      </ns0:c>
    </ns0:row>
    <ns0:row r="156">
      <ns0:c r="A156" s="215">
        <ns0:f>IF(OR(AH!$P$3=0,151+1&gt;AH!$P$11,AND(AH!$E$4&lt;&gt;"Stored",AH!$P$10&lt;&gt;1)),"",IFERROR(IF(AND(AH!$P$21=1,151+1=AH!$P$11),TODAY(),IF(AH!$P$10=1,INDEX('Live History'!$A$5:$A$3004,AH!$P$13+151),INDEX('AH History'!$A$1:$A$18046,AH!$P$7+151))),""))</ns0:f>
        <ns0:v>46260</ns0:v>
      </ns0:c>
      <ns0:c r="B156" s="219">
        <ns0:f>IFERROR(IF(AND(AH!$P$9&lt;&gt;1,$C156&gt;0,$D156&gt;0,$E156&gt;0,$F156&gt;0,$G156&gt;0,$F156&lt;=$A156,$G156&lt;=$A156,$A156-$F156&lt;=10,$A156-$G156&lt;=5),$D156*$E156/$C156-1,NA()),NA())</ns0:f>
        <ns0:v>-0.05032996691114178</ns0:v>
      </ns0:c>
      <ns0:c r="C156">
        <ns0:f>IFERROR(IF(ISNUMBER($A156),IF(AND(AH!$P$10=1,AH!$P$12=1,$A156=TODAY()),AH!$P$19,IF(AH!$P$10=1,INDEX('Live History'!$B$5:$B$3004,AH!$P$13+151),INDEX('AH History'!$B$1:$B$18046,AH!$P$7+151))),NA()),NA())</ns0:f>
        <ns0:v>482.0</ns0:v>
      </ns0:c>
      <ns0:c r="D156">
        <ns0:f>IFERROR(IF(ISNUMBER($A156),IF(AND(AH!$P$10=1,AH!$P$12=1,$A156=TODAY()),AH!$P$18,IF(AH!$P$10=1,INDEX('Live History'!$E$5:$E$3004,MATCH($A156,'Live History'!$D$5:$D$3004,1)),INDEX('AH History'!$C$1:$C$18046,AH!$P$7+151))),NA()),NA())</ns0:f>
        <ns0:v>392.5</ns0:v>
      </ns0:c>
      <ns0:c r="E156">
        <ns0:f>IFERROR(IF(ISNUMBER($A156),IF(AND(AH!$P$10=1,AH!$P$12=1,$A156=TODAY()),AH!$P$20,IF(AH!$P$10=1,INDEX('Live History'!$H$5:$H$3004,MATCH($A156,'Live History'!$G$5:$G$3004,1)),INDEX('AH History'!$D$1:$D$18046,AH!$P$7+151))),NA()),NA())</ns0:f>
        <ns0:v>1.1662189960479736</ns0:v>
      </ns0:c>
      <ns0:c r="F156">
        <ns0:f>IFERROR(IF(ISNUMBER($A156),IF(AND(AH!$P$10=1,AH!$P$12=1,$A156=TODAY()),IF(AND(AH!$P$10=1,AH!$P$12=1,$A156=TODAY()),TODAY(),NA()),IF(AH!$P$10=1,INDEX('Live History'!$D$5:$D$3004,MATCH($A156,'Live History'!$D$5:$D$3004,1)),INDEX('AH History'!$E$1:$E$18046,AH!$P$7+151))),NA()),NA())</ns0:f>
        <ns0:v>46260</ns0:v>
      </ns0:c>
      <ns0:c r="G156">
        <ns0:f>IFERROR(IF(ISNUMBER($A156),IF(AND(AH!$P$10=1,AH!$P$12=1,$A156=TODAY()),IF(AND(AH!$P$10=1,AH!$P$12=1,$A156=TODAY()),TODAY(),NA()),IF(AH!$P$10=1,INDEX('Live History'!$G$5:$G$3004,MATCH($A156,'Live History'!$G$5:$G$3004,1)),INDEX('AH History'!$F$1:$F$18046,AH!$P$7+151))),NA()),NA())</ns0:f>
        <ns0:v>46260</ns0:v>
      </ns0:c>
      <ns0:c r="H156">
        <ns0:f>IFERROR(IF(AND(AH!$E$4="Bloomberg",AH!$P$10=1,ISNUMBER($A156),$A156&lt;=AH!$P$17),AH!$P$7-1+MATCH($A156,INDEX('AH History'!$A$1:$A$18046,AH!$P$7):INDEX('AH History'!$A$1:$A$18046,AH!$P$7+AH!$P$8-1),0),0),0)</ns0:f>
        <ns0:v/>
      </ns0:c>
      <ns0:c r="I156">
        <ns0:f>IF($H156=0,0,IFERROR(IF(AND(ABS($C156-INDEX('AH History'!$B$1:$B$18046,$H156))&lt;=MAX(0.005,ABS(INDEX('AH History'!$B$1:$B$18046,$H156))*0.00005),ABS($D156-INDEX('AH History'!$C$1:$C$18046,$H156))&lt;=MAX(0.005,ABS(INDEX('AH History'!$C$1:$C$18046,$H156))*0.00005),ABS($E156-INDEX('AH History'!$D$1:$D$18046,$H156))&lt;=0.00005,$F156=INDEX('AH History'!$E$1:$E$18046,$H156),$G156=INDEX('AH History'!$F$1:$F$18046,$H156)),1,-1),-1))</ns0:f>
        <ns0:v/>
      </ns0:c>
    </ns0:row>
    <ns0:row r="157">
      <ns0:c r="A157" s="215">
        <ns0:f>IF(OR(AH!$P$3=0,152+1&gt;AH!$P$11,AND(AH!$E$4&lt;&gt;"Stored",AH!$P$10&lt;&gt;1)),"",IFERROR(IF(AND(AH!$P$21=1,152+1=AH!$P$11),TODAY(),IF(AH!$P$10=1,INDEX('Live History'!$A$5:$A$3004,AH!$P$13+152),INDEX('AH History'!$A$1:$A$18046,AH!$P$7+152))),""))</ns0:f>
        <ns0:v>46261</ns0:v>
      </ns0:c>
      <ns0:c r="B157" s="219">
        <ns0:f>IFERROR(IF(AND(AH!$P$9&lt;&gt;1,$C157&gt;0,$D157&gt;0,$E157&gt;0,$F157&gt;0,$G157&gt;0,$F157&lt;=$A157,$G157&lt;=$A157,$A157-$F157&lt;=10,$A157-$G157&lt;=5),$D157*$E157/$C157-1,NA()),NA())</ns0:f>
        <ns0:v>-0.0708385814992033</ns0:v>
      </ns0:c>
      <ns0:c r="C157">
        <ns0:f>IFERROR(IF(ISNUMBER($A157),IF(AND(AH!$P$10=1,AH!$P$12=1,$A157=TODAY()),AH!$P$19,IF(AH!$P$10=1,INDEX('Live History'!$B$5:$B$3004,AH!$P$13+152),INDEX('AH History'!$B$1:$B$18046,AH!$P$7+152))),NA()),NA())</ns0:f>
        <ns0:v>516.0</ns0:v>
      </ns0:c>
      <ns0:c r="D157">
        <ns0:f>IFERROR(IF(ISNUMBER($A157),IF(AND(AH!$P$10=1,AH!$P$12=1,$A157=TODAY()),AH!$P$18,IF(AH!$P$10=1,INDEX('Live History'!$E$5:$E$3004,MATCH($A157,'Live History'!$D$5:$D$3004,1)),INDEX('AH History'!$C$1:$C$18046,AH!$P$7+152))),NA()),NA())</ns0:f>
        <ns0:v>411.2</ns0:v>
      </ns0:c>
      <ns0:c r="E157">
        <ns0:f>IFERROR(IF(ISNUMBER($A157),IF(AND(AH!$P$10=1,AH!$P$12=1,$A157=TODAY()),AH!$P$20,IF(AH!$P$10=1,INDEX('Live History'!$H$5:$H$3004,MATCH($A157,'Live History'!$G$5:$G$3004,1)),INDEX('AH History'!$D$1:$D$18046,AH!$P$7+152))),NA()),NA())</ns0:f>
        <ns0:v>1.165971040725708</ns0:v>
      </ns0:c>
      <ns0:c r="F157">
        <ns0:f>IFERROR(IF(ISNUMBER($A157),IF(AND(AH!$P$10=1,AH!$P$12=1,$A157=TODAY()),IF(AND(AH!$P$10=1,AH!$P$12=1,$A157=TODAY()),TODAY(),NA()),IF(AH!$P$10=1,INDEX('Live History'!$D$5:$D$3004,MATCH($A157,'Live History'!$D$5:$D$3004,1)),INDEX('AH History'!$E$1:$E$18046,AH!$P$7+152))),NA()),NA())</ns0:f>
        <ns0:v>46261</ns0:v>
      </ns0:c>
      <ns0:c r="G157">
        <ns0:f>IFERROR(IF(ISNUMBER($A157),IF(AND(AH!$P$10=1,AH!$P$12=1,$A157=TODAY()),IF(AND(AH!$P$10=1,AH!$P$12=1,$A157=TODAY()),TODAY(),NA()),IF(AH!$P$10=1,INDEX('Live History'!$G$5:$G$3004,MATCH($A157,'Live History'!$G$5:$G$3004,1)),INDEX('AH History'!$F$1:$F$18046,AH!$P$7+152))),NA()),NA())</ns0:f>
        <ns0:v>46261</ns0:v>
      </ns0:c>
      <ns0:c r="H157">
        <ns0:f>IFERROR(IF(AND(AH!$E$4="Bloomberg",AH!$P$10=1,ISNUMBER($A157),$A157&lt;=AH!$P$17),AH!$P$7-1+MATCH($A157,INDEX('AH History'!$A$1:$A$18046,AH!$P$7):INDEX('AH History'!$A$1:$A$18046,AH!$P$7+AH!$P$8-1),0),0),0)</ns0:f>
        <ns0:v/>
      </ns0:c>
      <ns0:c r="I157">
        <ns0:f>IF($H157=0,0,IFERROR(IF(AND(ABS($C157-INDEX('AH History'!$B$1:$B$18046,$H157))&lt;=MAX(0.005,ABS(INDEX('AH History'!$B$1:$B$18046,$H157))*0.00005),ABS($D157-INDEX('AH History'!$C$1:$C$18046,$H157))&lt;=MAX(0.005,ABS(INDEX('AH History'!$C$1:$C$18046,$H157))*0.00005),ABS($E157-INDEX('AH History'!$D$1:$D$18046,$H157))&lt;=0.00005,$F157=INDEX('AH History'!$E$1:$E$18046,$H157),$G157=INDEX('AH History'!$F$1:$F$18046,$H157)),1,-1),-1))</ns0:f>
        <ns0:v/>
      </ns0:c>
    </ns0:row>
    <ns0:row r="158">
      <ns0:c r="A158" s="215">
        <ns0:f>IF(OR(AH!$P$3=0,153+1&gt;AH!$P$11,AND(AH!$E$4&lt;&gt;"Stored",AH!$P$10&lt;&gt;1)),"",IFERROR(IF(AND(AH!$P$21=1,153+1=AH!$P$11),TODAY(),IF(AH!$P$10=1,INDEX('Live History'!$A$5:$A$3004,AH!$P$13+153),INDEX('AH History'!$A$1:$A$18046,AH!$P$7+153))),""))</ns0:f>
        <ns0:v>46262</ns0:v>
      </ns0:c>
      <ns0:c r="B158" s="219">
        <ns0:f>IFERROR(IF(AND(AH!$P$9&lt;&gt;1,$C158&gt;0,$D158&gt;0,$E158&gt;0,$F158&gt;0,$G158&gt;0,$F158&lt;=$A158,$G158&lt;=$A158,$A158-$F158&lt;=10,$A158-$G158&lt;=5),$D158*$E158/$C158-1,NA()),NA())</ns0:f>
        <ns0:v>-0.0481219213244356</ns0:v>
      </ns0:c>
      <ns0:c r="C158">
        <ns0:f>IFERROR(IF(ISNUMBER($A158),IF(AND(AH!$P$10=1,AH!$P$12=1,$A158=TODAY()),AH!$P$19,IF(AH!$P$10=1,INDEX('Live History'!$B$5:$B$3004,AH!$P$13+153),INDEX('AH History'!$B$1:$B$18046,AH!$P$7+153))),NA()),NA())</ns0:f>
        <ns0:v>486.0</ns0:v>
      </ns0:c>
      <ns0:c r="D158">
        <ns0:f>IFERROR(IF(ISNUMBER($A158),IF(AND(AH!$P$10=1,AH!$P$12=1,$A158=TODAY()),AH!$P$18,IF(AH!$P$10=1,INDEX('Live History'!$E$5:$E$3004,MATCH($A158,'Live History'!$D$5:$D$3004,1)),INDEX('AH History'!$C$1:$C$18046,AH!$P$7+153))),NA()),NA())</ns0:f>
        <ns0:v>396.82</ns0:v>
      </ns0:c>
      <ns0:c r="E158">
        <ns0:f>IFERROR(IF(ISNUMBER($A158),IF(AND(AH!$P$10=1,AH!$P$12=1,$A158=TODAY()),AH!$P$20,IF(AH!$P$10=1,INDEX('Live History'!$H$5:$H$3004,MATCH($A158,'Live History'!$G$5:$G$3004,1)),INDEX('AH History'!$D$1:$D$18046,AH!$P$7+153))),NA()),NA())</ns0:f>
        <ns0:v>1.1657999753952026</ns0:v>
      </ns0:c>
      <ns0:c r="F158">
        <ns0:f>IFERROR(IF(ISNUMBER($A158),IF(AND(AH!$P$10=1,AH!$P$12=1,$A158=TODAY()),IF(AND(AH!$P$10=1,AH!$P$12=1,$A158=TODAY()),TODAY(),NA()),IF(AH!$P$10=1,INDEX('Live History'!$D$5:$D$3004,MATCH($A158,'Live History'!$D$5:$D$3004,1)),INDEX('AH History'!$E$1:$E$18046,AH!$P$7+153))),NA()),NA())</ns0:f>
        <ns0:v>46262</ns0:v>
      </ns0:c>
      <ns0:c r="G158">
        <ns0:f>IFERROR(IF(ISNUMBER($A158),IF(AND(AH!$P$10=1,AH!$P$12=1,$A158=TODAY()),IF(AND(AH!$P$10=1,AH!$P$12=1,$A158=TODAY()),TODAY(),NA()),IF(AH!$P$10=1,INDEX('Live History'!$G$5:$G$3004,MATCH($A158,'Live History'!$G$5:$G$3004,1)),INDEX('AH History'!$F$1:$F$18046,AH!$P$7+153))),NA()),NA())</ns0:f>
        <ns0:v>46262</ns0:v>
      </ns0:c>
      <ns0:c r="H158">
        <ns0:f>IFERROR(IF(AND(AH!$E$4="Bloomberg",AH!$P$10=1,ISNUMBER($A158),$A158&lt;=AH!$P$17),AH!$P$7-1+MATCH($A158,INDEX('AH History'!$A$1:$A$18046,AH!$P$7):INDEX('AH History'!$A$1:$A$18046,AH!$P$7+AH!$P$8-1),0),0),0)</ns0:f>
        <ns0:v/>
      </ns0:c>
      <ns0:c r="I158">
        <ns0:f>IF($H158=0,0,IFERROR(IF(AND(ABS($C158-INDEX('AH History'!$B$1:$B$18046,$H158))&lt;=MAX(0.005,ABS(INDEX('AH History'!$B$1:$B$18046,$H158))*0.00005),ABS($D158-INDEX('AH History'!$C$1:$C$18046,$H158))&lt;=MAX(0.005,ABS(INDEX('AH History'!$C$1:$C$18046,$H158))*0.00005),ABS($E158-INDEX('AH History'!$D$1:$D$18046,$H158))&lt;=0.00005,$F158=INDEX('AH History'!$E$1:$E$18046,$H158),$G158=INDEX('AH History'!$F$1:$F$18046,$H158)),1,-1),-1))</ns0:f>
        <ns0:v/>
      </ns0:c>
    </ns0:row>
    <ns0:row r="159">
      <ns0:c r="A159" s="215">
        <ns0:f>IF(OR(AH!$P$3=0,154+1&gt;AH!$P$11,AND(AH!$E$4&lt;&gt;"Stored",AH!$P$10&lt;&gt;1)),"",IFERROR(IF(AND(AH!$P$21=1,154+1=AH!$P$11),TODAY(),IF(AH!$P$10=1,INDEX('Live History'!$A$5:$A$3004,AH!$P$13+154),INDEX('AH History'!$A$1:$A$18046,AH!$P$7+154))),""))</ns0:f>
        <ns0:v>46265</ns0:v>
      </ns0:c>
      <ns0:c r="B159" s="219">
        <ns0:f>IFERROR(IF(AND(AH!$P$9&lt;&gt;1,$C159&gt;0,$D159&gt;0,$E159&gt;0,$F159&gt;0,$G159&gt;0,$F159&lt;=$A159,$G159&lt;=$A159,$A159-$F159&lt;=10,$A159-$G159&lt;=5),$D159*$E159/$C159-1,NA()),NA())</ns0:f>
        <ns0:v>-0.026845900524991473</ns0:v>
      </ns0:c>
      <ns0:c r="C159">
        <ns0:f>IFERROR(IF(ISNUMBER($A159),IF(AND(AH!$P$10=1,AH!$P$12=1,$A159=TODAY()),AH!$P$19,IF(AH!$P$10=1,INDEX('Live History'!$B$5:$B$3004,AH!$P$13+154),INDEX('AH History'!$B$1:$B$18046,AH!$P$7+154))),NA()),NA())</ns0:f>
        <ns0:v>486.2</ns0:v>
      </ns0:c>
      <ns0:c r="D159">
        <ns0:f>IFERROR(IF(ISNUMBER($A159),IF(AND(AH!$P$10=1,AH!$P$12=1,$A159=TODAY()),AH!$P$18,IF(AH!$P$10=1,INDEX('Live History'!$E$5:$E$3004,MATCH($A159,'Live History'!$D$5:$D$3004,1)),INDEX('AH History'!$C$1:$C$18046,AH!$P$7+154))),NA()),NA())</ns0:f>
        <ns0:v>406.0</ns0:v>
      </ns0:c>
      <ns0:c r="E159">
        <ns0:f>IFERROR(IF(ISNUMBER($A159),IF(AND(AH!$P$10=1,AH!$P$12=1,$A159=TODAY()),AH!$P$20,IF(AH!$P$10=1,INDEX('Live History'!$H$5:$H$3004,MATCH($A159,'Live History'!$G$5:$G$3004,1)),INDEX('AH History'!$D$1:$D$18046,AH!$P$7+154))),NA()),NA())</ns0:f>
        <ns0:v>1.1653879880905151</ns0:v>
      </ns0:c>
      <ns0:c r="F159">
        <ns0:f>IFERROR(IF(ISNUMBER($A159),IF(AND(AH!$P$10=1,AH!$P$12=1,$A159=TODAY()),IF(AND(AH!$P$10=1,AH!$P$12=1,$A159=TODAY()),TODAY(),NA()),IF(AH!$P$10=1,INDEX('Live History'!$D$5:$D$3004,MATCH($A159,'Live History'!$D$5:$D$3004,1)),INDEX('AH History'!$E$1:$E$18046,AH!$P$7+154))),NA()),NA())</ns0:f>
        <ns0:v>46265</ns0:v>
      </ns0:c>
      <ns0:c r="G159">
        <ns0:f>IFERROR(IF(ISNUMBER($A159),IF(AND(AH!$P$10=1,AH!$P$12=1,$A159=TODAY()),IF(AND(AH!$P$10=1,AH!$P$12=1,$A159=TODAY()),TODAY(),NA()),IF(AH!$P$10=1,INDEX('Live History'!$G$5:$G$3004,MATCH($A159,'Live History'!$G$5:$G$3004,1)),INDEX('AH History'!$F$1:$F$18046,AH!$P$7+154))),NA()),NA())</ns0:f>
        <ns0:v>46265</ns0:v>
      </ns0:c>
      <ns0:c r="H159">
        <ns0:f>IFERROR(IF(AND(AH!$E$4="Bloomberg",AH!$P$10=1,ISNUMBER($A159),$A159&lt;=AH!$P$17),AH!$P$7-1+MATCH($A159,INDEX('AH History'!$A$1:$A$18046,AH!$P$7):INDEX('AH History'!$A$1:$A$18046,AH!$P$7+AH!$P$8-1),0),0),0)</ns0:f>
        <ns0:v/>
      </ns0:c>
      <ns0:c r="I159">
        <ns0:f>IF($H159=0,0,IFERROR(IF(AND(ABS($C159-INDEX('AH History'!$B$1:$B$18046,$H159))&lt;=MAX(0.005,ABS(INDEX('AH History'!$B$1:$B$18046,$H159))*0.00005),ABS($D159-INDEX('AH History'!$C$1:$C$18046,$H159))&lt;=MAX(0.005,ABS(INDEX('AH History'!$C$1:$C$18046,$H159))*0.00005),ABS($E159-INDEX('AH History'!$D$1:$D$18046,$H159))&lt;=0.00005,$F159=INDEX('AH History'!$E$1:$E$18046,$H159),$G159=INDEX('AH History'!$F$1:$F$18046,$H159)),1,-1),-1))</ns0:f>
        <ns0:v/>
      </ns0:c>
    </ns0:row>
    <ns0:row r="160">
      <ns0:c r="A160" s="215">
        <ns0:f>IF(OR(AH!$P$3=0,155+1&gt;AH!$P$11,AND(AH!$E$4&lt;&gt;"Stored",AH!$P$10&lt;&gt;1)),"",IFERROR(IF(AND(AH!$P$21=1,155+1=AH!$P$11),TODAY(),IF(AH!$P$10=1,INDEX('Live History'!$A$5:$A$3004,AH!$P$13+155),INDEX('AH History'!$A$1:$A$18046,AH!$P$7+155))),""))</ns0:f>
        <ns0:v>46266</ns0:v>
      </ns0:c>
      <ns0:c r="B160" s="219">
        <ns0:f>IFERROR(IF(AND(AH!$P$9&lt;&gt;1,$C160&gt;0,$D160&gt;0,$E160&gt;0,$F160&gt;0,$G160&gt;0,$F160&lt;=$A160,$G160&lt;=$A160,$A160-$F160&lt;=10,$A160-$G160&lt;=5),$D160*$E160/$C160-1,NA()),NA())</ns0:f>
        <ns0:v>-0.036741660179889224</ns0:v>
      </ns0:c>
      <ns0:c r="C160">
        <ns0:f>IFERROR(IF(ISNUMBER($A160),IF(AND(AH!$P$10=1,AH!$P$12=1,$A160=TODAY()),AH!$P$19,IF(AH!$P$10=1,INDEX('Live History'!$B$5:$B$3004,AH!$P$13+155),INDEX('AH History'!$B$1:$B$18046,AH!$P$7+155))),NA()),NA())</ns0:f>
        <ns0:v>475.4</ns0:v>
      </ns0:c>
      <ns0:c r="D160">
        <ns0:f>IFERROR(IF(ISNUMBER($A160),IF(AND(AH!$P$10=1,AH!$P$12=1,$A160=TODAY()),AH!$P$18,IF(AH!$P$10=1,INDEX('Live History'!$E$5:$E$3004,MATCH($A160,'Live History'!$D$5:$D$3004,1)),INDEX('AH History'!$C$1:$C$18046,AH!$P$7+155))),NA()),NA())</ns0:f>
        <ns0:v>393.0</ns0:v>
      </ns0:c>
      <ns0:c r="E160">
        <ns0:f>IFERROR(IF(ISNUMBER($A160),IF(AND(AH!$P$10=1,AH!$P$12=1,$A160=TODAY()),AH!$P$20,IF(AH!$P$10=1,INDEX('Live History'!$H$5:$H$3004,MATCH($A160,'Live History'!$G$5:$G$3004,1)),INDEX('AH History'!$D$1:$D$18046,AH!$P$7+155))),NA()),NA())</ns0:f>
        <ns0:v>1.1652239561080933</ns0:v>
      </ns0:c>
      <ns0:c r="F160">
        <ns0:f>IFERROR(IF(ISNUMBER($A160),IF(AND(AH!$P$10=1,AH!$P$12=1,$A160=TODAY()),IF(AND(AH!$P$10=1,AH!$P$12=1,$A160=TODAY()),TODAY(),NA()),IF(AH!$P$10=1,INDEX('Live History'!$D$5:$D$3004,MATCH($A160,'Live History'!$D$5:$D$3004,1)),INDEX('AH History'!$E$1:$E$18046,AH!$P$7+155))),NA()),NA())</ns0:f>
        <ns0:v>46266</ns0:v>
      </ns0:c>
      <ns0:c r="G160">
        <ns0:f>IFERROR(IF(ISNUMBER($A160),IF(AND(AH!$P$10=1,AH!$P$12=1,$A160=TODAY()),IF(AND(AH!$P$10=1,AH!$P$12=1,$A160=TODAY()),TODAY(),NA()),IF(AH!$P$10=1,INDEX('Live History'!$G$5:$G$3004,MATCH($A160,'Live History'!$G$5:$G$3004,1)),INDEX('AH History'!$F$1:$F$18046,AH!$P$7+155))),NA()),NA())</ns0:f>
        <ns0:v>46266</ns0:v>
      </ns0:c>
      <ns0:c r="H160">
        <ns0:f>IFERROR(IF(AND(AH!$E$4="Bloomberg",AH!$P$10=1,ISNUMBER($A160),$A160&lt;=AH!$P$17),AH!$P$7-1+MATCH($A160,INDEX('AH History'!$A$1:$A$18046,AH!$P$7):INDEX('AH History'!$A$1:$A$18046,AH!$P$7+AH!$P$8-1),0),0),0)</ns0:f>
        <ns0:v/>
      </ns0:c>
      <ns0:c r="I160">
        <ns0:f>IF($H160=0,0,IFERROR(IF(AND(ABS($C160-INDEX('AH History'!$B$1:$B$18046,$H160))&lt;=MAX(0.005,ABS(INDEX('AH History'!$B$1:$B$18046,$H160))*0.00005),ABS($D160-INDEX('AH History'!$C$1:$C$18046,$H160))&lt;=MAX(0.005,ABS(INDEX('AH History'!$C$1:$C$18046,$H160))*0.00005),ABS($E160-INDEX('AH History'!$D$1:$D$18046,$H160))&lt;=0.00005,$F160=INDEX('AH History'!$E$1:$E$18046,$H160),$G160=INDEX('AH History'!$F$1:$F$18046,$H160)),1,-1),-1))</ns0:f>
        <ns0:v/>
      </ns0:c>
    </ns0:row>
    <ns0:row r="161">
      <ns0:c r="A161" s="215">
        <ns0:f>IF(OR(AH!$P$3=0,156+1&gt;AH!$P$11,AND(AH!$E$4&lt;&gt;"Stored",AH!$P$10&lt;&gt;1)),"",IFERROR(IF(AND(AH!$P$21=1,156+1=AH!$P$11),TODAY(),IF(AH!$P$10=1,INDEX('Live History'!$A$5:$A$3004,AH!$P$13+156),INDEX('AH History'!$A$1:$A$18046,AH!$P$7+156))),""))</ns0:f>
        <ns0:v>46267</ns0:v>
      </ns0:c>
      <ns0:c r="B161" s="219">
        <ns0:f>IFERROR(IF(AND(AH!$P$9&lt;&gt;1,$C161&gt;0,$D161&gt;0,$E161&gt;0,$F161&gt;0,$G161&gt;0,$F161&lt;=$A161,$G161&lt;=$A161,$A161-$F161&lt;=10,$A161-$G161&lt;=5),$D161*$E161/$C161-1,NA()),NA())</ns0:f>
        <ns0:v>-0.0394400839884369</ns0:v>
      </ns0:c>
      <ns0:c r="C161">
        <ns0:f>IFERROR(IF(ISNUMBER($A161),IF(AND(AH!$P$10=1,AH!$P$12=1,$A161=TODAY()),AH!$P$19,IF(AH!$P$10=1,INDEX('Live History'!$B$5:$B$3004,AH!$P$13+156),INDEX('AH History'!$B$1:$B$18046,AH!$P$7+156))),NA()),NA())</ns0:f>
        <ns0:v>472.2</ns0:v>
      </ns0:c>
      <ns0:c r="D161">
        <ns0:f>IFERROR(IF(ISNUMBER($A161),IF(AND(AH!$P$10=1,AH!$P$12=1,$A161=TODAY()),AH!$P$18,IF(AH!$P$10=1,INDEX('Live History'!$E$5:$E$3004,MATCH($A161,'Live History'!$D$5:$D$3004,1)),INDEX('AH History'!$C$1:$C$18046,AH!$P$7+156))),NA()),NA())</ns0:f>
        <ns0:v>388.86</ns0:v>
      </ns0:c>
      <ns0:c r="E161">
        <ns0:f>IFERROR(IF(ISNUMBER($A161),IF(AND(AH!$P$10=1,AH!$P$12=1,$A161=TODAY()),AH!$P$20,IF(AH!$P$10=1,INDEX('Live History'!$H$5:$H$3004,MATCH($A161,'Live History'!$G$5:$G$3004,1)),INDEX('AH History'!$D$1:$D$18046,AH!$P$7+156))),NA()),NA())</ns0:f>
        <ns0:v>1.1664259433746338</ns0:v>
      </ns0:c>
      <ns0:c r="F161">
        <ns0:f>IFERROR(IF(ISNUMBER($A161),IF(AND(AH!$P$10=1,AH!$P$12=1,$A161=TODAY()),IF(AND(AH!$P$10=1,AH!$P$12=1,$A161=TODAY()),TODAY(),NA()),IF(AH!$P$10=1,INDEX('Live History'!$D$5:$D$3004,MATCH($A161,'Live History'!$D$5:$D$3004,1)),INDEX('AH History'!$E$1:$E$18046,AH!$P$7+156))),NA()),NA())</ns0:f>
        <ns0:v>46267</ns0:v>
      </ns0:c>
      <ns0:c r="G161">
        <ns0:f>IFERROR(IF(ISNUMBER($A161),IF(AND(AH!$P$10=1,AH!$P$12=1,$A161=TODAY()),IF(AND(AH!$P$10=1,AH!$P$12=1,$A161=TODAY()),TODAY(),NA()),IF(AH!$P$10=1,INDEX('Live History'!$G$5:$G$3004,MATCH($A161,'Live History'!$G$5:$G$3004,1)),INDEX('AH History'!$F$1:$F$18046,AH!$P$7+156))),NA()),NA())</ns0:f>
        <ns0:v>46267</ns0:v>
      </ns0:c>
      <ns0:c r="H161">
        <ns0:f>IFERROR(IF(AND(AH!$E$4="Bloomberg",AH!$P$10=1,ISNUMBER($A161),$A161&lt;=AH!$P$17),AH!$P$7-1+MATCH($A161,INDEX('AH History'!$A$1:$A$18046,AH!$P$7):INDEX('AH History'!$A$1:$A$18046,AH!$P$7+AH!$P$8-1),0),0),0)</ns0:f>
        <ns0:v/>
      </ns0:c>
      <ns0:c r="I161">
        <ns0:f>IF($H161=0,0,IFERROR(IF(AND(ABS($C161-INDEX('AH History'!$B$1:$B$18046,$H161))&lt;=MAX(0.005,ABS(INDEX('AH History'!$B$1:$B$18046,$H161))*0.00005),ABS($D161-INDEX('AH History'!$C$1:$C$18046,$H161))&lt;=MAX(0.005,ABS(INDEX('AH History'!$C$1:$C$18046,$H161))*0.00005),ABS($E161-INDEX('AH History'!$D$1:$D$18046,$H161))&lt;=0.00005,$F161=INDEX('AH History'!$E$1:$E$18046,$H161),$G161=INDEX('AH History'!$F$1:$F$18046,$H161)),1,-1),-1))</ns0:f>
        <ns0:v/>
      </ns0:c>
    </ns0:row>
    <ns0:row r="162">
      <ns0:c r="A162" s="215">
        <ns0:f>IF(OR(AH!$P$3=0,157+1&gt;AH!$P$11,AND(AH!$E$4&lt;&gt;"Stored",AH!$P$10&lt;&gt;1)),"",IFERROR(IF(AND(AH!$P$21=1,157+1=AH!$P$11),TODAY(),IF(AH!$P$10=1,INDEX('Live History'!$A$5:$A$3004,AH!$P$13+157),INDEX('AH History'!$A$1:$A$18046,AH!$P$7+157))),""))</ns0:f>
        <ns0:v>46268</ns0:v>
      </ns0:c>
      <ns0:c r="B162" s="219">
        <ns0:f>IFERROR(IF(AND(AH!$P$9&lt;&gt;1,$C162&gt;0,$D162&gt;0,$E162&gt;0,$F162&gt;0,$G162&gt;0,$F162&lt;=$A162,$G162&lt;=$A162,$A162-$F162&lt;=10,$A162-$G162&lt;=5),$D162*$E162/$C162-1,NA()),NA())</ns0:f>
        <ns0:v>-0.04195317756240968</ns0:v>
      </ns0:c>
      <ns0:c r="C162">
        <ns0:f>IFERROR(IF(ISNUMBER($A162),IF(AND(AH!$P$10=1,AH!$P$12=1,$A162=TODAY()),AH!$P$19,IF(AH!$P$10=1,INDEX('Live History'!$B$5:$B$3004,AH!$P$13+157),INDEX('AH History'!$B$1:$B$18046,AH!$P$7+157))),NA()),NA())</ns0:f>
        <ns0:v>466.8</ns0:v>
      </ns0:c>
      <ns0:c r="D162">
        <ns0:f>IFERROR(IF(ISNUMBER($A162),IF(AND(AH!$P$10=1,AH!$P$12=1,$A162=TODAY()),AH!$P$18,IF(AH!$P$10=1,INDEX('Live History'!$E$5:$E$3004,MATCH($A162,'Live History'!$D$5:$D$3004,1)),INDEX('AH History'!$C$1:$C$18046,AH!$P$7+157))),NA()),NA())</ns0:f>
        <ns0:v>383.2</ns0:v>
      </ns0:c>
      <ns0:c r="E162">
        <ns0:f>IFERROR(IF(ISNUMBER($A162),IF(AND(AH!$P$10=1,AH!$P$12=1,$A162=TODAY()),AH!$P$20,IF(AH!$P$10=1,INDEX('Live History'!$H$5:$H$3004,MATCH($A162,'Live History'!$G$5:$G$3004,1)),INDEX('AH History'!$D$1:$D$18046,AH!$P$7+157))),NA()),NA())</ns0:f>
        <ns0:v>1.1670570373535156</ns0:v>
      </ns0:c>
      <ns0:c r="F162">
        <ns0:f>IFERROR(IF(ISNUMBER($A162),IF(AND(AH!$P$10=1,AH!$P$12=1,$A162=TODAY()),IF(AND(AH!$P$10=1,AH!$P$12=1,$A162=TODAY()),TODAY(),NA()),IF(AH!$P$10=1,INDEX('Live History'!$D$5:$D$3004,MATCH($A162,'Live History'!$D$5:$D$3004,1)),INDEX('AH History'!$E$1:$E$18046,AH!$P$7+157))),NA()),NA())</ns0:f>
        <ns0:v>46268</ns0:v>
      </ns0:c>
      <ns0:c r="G162">
        <ns0:f>IFERROR(IF(ISNUMBER($A162),IF(AND(AH!$P$10=1,AH!$P$12=1,$A162=TODAY()),IF(AND(AH!$P$10=1,AH!$P$12=1,$A162=TODAY()),TODAY(),NA()),IF(AH!$P$10=1,INDEX('Live History'!$G$5:$G$3004,MATCH($A162,'Live History'!$G$5:$G$3004,1)),INDEX('AH History'!$F$1:$F$18046,AH!$P$7+157))),NA()),NA())</ns0:f>
        <ns0:v>46268</ns0:v>
      </ns0:c>
      <ns0:c r="H162">
        <ns0:f>IFERROR(IF(AND(AH!$E$4="Bloomberg",AH!$P$10=1,ISNUMBER($A162),$A162&lt;=AH!$P$17),AH!$P$7-1+MATCH($A162,INDEX('AH History'!$A$1:$A$18046,AH!$P$7):INDEX('AH History'!$A$1:$A$18046,AH!$P$7+AH!$P$8-1),0),0),0)</ns0:f>
        <ns0:v/>
      </ns0:c>
      <ns0:c r="I162">
        <ns0:f>IF($H162=0,0,IFERROR(IF(AND(ABS($C162-INDEX('AH History'!$B$1:$B$18046,$H162))&lt;=MAX(0.005,ABS(INDEX('AH History'!$B$1:$B$18046,$H162))*0.00005),ABS($D162-INDEX('AH History'!$C$1:$C$18046,$H162))&lt;=MAX(0.005,ABS(INDEX('AH History'!$C$1:$C$18046,$H162))*0.00005),ABS($E162-INDEX('AH History'!$D$1:$D$18046,$H162))&lt;=0.00005,$F162=INDEX('AH History'!$E$1:$E$18046,$H162),$G162=INDEX('AH History'!$F$1:$F$18046,$H162)),1,-1),-1))</ns0:f>
        <ns0:v/>
      </ns0:c>
    </ns0:row>
    <ns0:row r="163">
      <ns0:c r="A163" s="215">
        <ns0:f>IF(OR(AH!$P$3=0,158+1&gt;AH!$P$11,AND(AH!$E$4&lt;&gt;"Stored",AH!$P$10&lt;&gt;1)),"",IFERROR(IF(AND(AH!$P$21=1,158+1=AH!$P$11),TODAY(),IF(AH!$P$10=1,INDEX('Live History'!$A$5:$A$3004,AH!$P$13+158),INDEX('AH History'!$A$1:$A$18046,AH!$P$7+158))),""))</ns0:f>
        <ns0:v>46269</ns0:v>
      </ns0:c>
      <ns0:c r="B163" s="219">
        <ns0:f>IFERROR(IF(AND(AH!$P$9&lt;&gt;1,$C163&gt;0,$D163&gt;0,$E163&gt;0,$F163&gt;0,$G163&gt;0,$F163&lt;=$A163,$G163&lt;=$A163,$A163-$F163&lt;=10,$A163-$G163&lt;=5),$D163*$E163/$C163-1,NA()),NA())</ns0:f>
        <ns0:v>-0.0664852258157812</ns0:v>
      </ns0:c>
      <ns0:c r="C163">
        <ns0:f>IFERROR(IF(ISNUMBER($A163),IF(AND(AH!$P$10=1,AH!$P$12=1,$A163=TODAY()),AH!$P$19,IF(AH!$P$10=1,INDEX('Live History'!$B$5:$B$3004,AH!$P$13+158),INDEX('AH History'!$B$1:$B$18046,AH!$P$7+158))),NA()),NA())</ns0:f>
        <ns0:v>464.8</ns0:v>
      </ns0:c>
      <ns0:c r="D163">
        <ns0:f>IFERROR(IF(ISNUMBER($A163),IF(AND(AH!$P$10=1,AH!$P$12=1,$A163=TODAY()),AH!$P$18,IF(AH!$P$10=1,INDEX('Live History'!$E$5:$E$3004,MATCH($A163,'Live History'!$D$5:$D$3004,1)),INDEX('AH History'!$C$1:$C$18046,AH!$P$7+158))),NA()),NA())</ns0:f>
        <ns0:v>371.88</ns0:v>
      </ns0:c>
      <ns0:c r="E163">
        <ns0:f>IFERROR(IF(ISNUMBER($A163),IF(AND(AH!$P$10=1,AH!$P$12=1,$A163=TODAY()),AH!$P$20,IF(AH!$P$10=1,INDEX('Live History'!$H$5:$H$3004,MATCH($A163,'Live History'!$G$5:$G$3004,1)),INDEX('AH History'!$D$1:$D$18046,AH!$P$7+158))),NA()),NA())</ns0:f>
        <ns0:v>1.166767954826355</ns0:v>
      </ns0:c>
      <ns0:c r="F163">
        <ns0:f>IFERROR(IF(ISNUMBER($A163),IF(AND(AH!$P$10=1,AH!$P$12=1,$A163=TODAY()),IF(AND(AH!$P$10=1,AH!$P$12=1,$A163=TODAY()),TODAY(),NA()),IF(AH!$P$10=1,INDEX('Live History'!$D$5:$D$3004,MATCH($A163,'Live History'!$D$5:$D$3004,1)),INDEX('AH History'!$E$1:$E$18046,AH!$P$7+158))),NA()),NA())</ns0:f>
        <ns0:v>46269</ns0:v>
      </ns0:c>
      <ns0:c r="G163">
        <ns0:f>IFERROR(IF(ISNUMBER($A163),IF(AND(AH!$P$10=1,AH!$P$12=1,$A163=TODAY()),IF(AND(AH!$P$10=1,AH!$P$12=1,$A163=TODAY()),TODAY(),NA()),IF(AH!$P$10=1,INDEX('Live History'!$G$5:$G$3004,MATCH($A163,'Live History'!$G$5:$G$3004,1)),INDEX('AH History'!$F$1:$F$18046,AH!$P$7+158))),NA()),NA())</ns0:f>
        <ns0:v>46269</ns0:v>
      </ns0:c>
      <ns0:c r="H163">
        <ns0:f>IFERROR(IF(AND(AH!$E$4="Bloomberg",AH!$P$10=1,ISNUMBER($A163),$A163&lt;=AH!$P$17),AH!$P$7-1+MATCH($A163,INDEX('AH History'!$A$1:$A$18046,AH!$P$7):INDEX('AH History'!$A$1:$A$18046,AH!$P$7+AH!$P$8-1),0),0),0)</ns0:f>
        <ns0:v/>
      </ns0:c>
      <ns0:c r="I163">
        <ns0:f>IF($H163=0,0,IFERROR(IF(AND(ABS($C163-INDEX('AH History'!$B$1:$B$18046,$H163))&lt;=MAX(0.005,ABS(INDEX('AH History'!$B$1:$B$18046,$H163))*0.00005),ABS($D163-INDEX('AH History'!$C$1:$C$18046,$H163))&lt;=MAX(0.005,ABS(INDEX('AH History'!$C$1:$C$18046,$H163))*0.00005),ABS($E163-INDEX('AH History'!$D$1:$D$18046,$H163))&lt;=0.00005,$F163=INDEX('AH History'!$E$1:$E$18046,$H163),$G163=INDEX('AH History'!$F$1:$F$18046,$H163)),1,-1),-1))</ns0:f>
        <ns0:v/>
      </ns0:c>
    </ns0:row>
    <ns0:row r="164">
      <ns0:c r="A164" s="215">
        <ns0:f>IF(OR(AH!$P$3=0,159+1&gt;AH!$P$11,AND(AH!$E$4&lt;&gt;"Stored",AH!$P$10&lt;&gt;1)),"",IFERROR(IF(AND(AH!$P$21=1,159+1=AH!$P$11),TODAY(),IF(AH!$P$10=1,INDEX('Live History'!$A$5:$A$3004,AH!$P$13+159),INDEX('AH History'!$A$1:$A$18046,AH!$P$7+159))),""))</ns0:f>
        <ns0:v>46272</ns0:v>
      </ns0:c>
      <ns0:c r="B164" s="219">
        <ns0:f>IFERROR(IF(AND(AH!$P$9&lt;&gt;1,$C164&gt;0,$D164&gt;0,$E164&gt;0,$F164&gt;0,$G164&gt;0,$F164&lt;=$A164,$G164&lt;=$A164,$A164-$F164&lt;=10,$A164-$G164&lt;=5),$D164*$E164/$C164-1,NA()),NA())</ns0:f>
        <ns0:v>-0.08416363294770612</ns0:v>
      </ns0:c>
      <ns0:c r="C164">
        <ns0:f>IFERROR(IF(ISNUMBER($A164),IF(AND(AH!$P$10=1,AH!$P$12=1,$A164=TODAY()),AH!$P$19,IF(AH!$P$10=1,INDEX('Live History'!$B$5:$B$3004,AH!$P$13+159),INDEX('AH History'!$B$1:$B$18046,AH!$P$7+159))),NA()),NA())</ns0:f>
        <ns0:v>491.6</ns0:v>
      </ns0:c>
      <ns0:c r="D164">
        <ns0:f>IFERROR(IF(ISNUMBER($A164),IF(AND(AH!$P$10=1,AH!$P$12=1,$A164=TODAY()),AH!$P$18,IF(AH!$P$10=1,INDEX('Live History'!$E$5:$E$3004,MATCH($A164,'Live History'!$D$5:$D$3004,1)),INDEX('AH History'!$C$1:$C$18046,AH!$P$7+159))),NA()),NA())</ns0:f>
        <ns0:v>385.44</ns0:v>
      </ns0:c>
      <ns0:c r="E164">
        <ns0:f>IFERROR(IF(ISNUMBER($A164),IF(AND(AH!$P$10=1,AH!$P$12=1,$A164=TODAY()),AH!$P$20,IF(AH!$P$10=1,INDEX('Live History'!$H$5:$H$3004,MATCH($A164,'Live History'!$G$5:$G$3004,1)),INDEX('AH History'!$D$1:$D$18046,AH!$P$7+159))),NA()),NA())</ns0:f>
        <ns0:v>1.1680810451507568</ns0:v>
      </ns0:c>
      <ns0:c r="F164">
        <ns0:f>IFERROR(IF(ISNUMBER($A164),IF(AND(AH!$P$10=1,AH!$P$12=1,$A164=TODAY()),IF(AND(AH!$P$10=1,AH!$P$12=1,$A164=TODAY()),TODAY(),NA()),IF(AH!$P$10=1,INDEX('Live History'!$D$5:$D$3004,MATCH($A164,'Live History'!$D$5:$D$3004,1)),INDEX('AH History'!$E$1:$E$18046,AH!$P$7+159))),NA()),NA())</ns0:f>
        <ns0:v>46272</ns0:v>
      </ns0:c>
      <ns0:c r="G164">
        <ns0:f>IFERROR(IF(ISNUMBER($A164),IF(AND(AH!$P$10=1,AH!$P$12=1,$A164=TODAY()),IF(AND(AH!$P$10=1,AH!$P$12=1,$A164=TODAY()),TODAY(),NA()),IF(AH!$P$10=1,INDEX('Live History'!$G$5:$G$3004,MATCH($A164,'Live History'!$G$5:$G$3004,1)),INDEX('AH History'!$F$1:$F$18046,AH!$P$7+159))),NA()),NA())</ns0:f>
        <ns0:v>46272</ns0:v>
      </ns0:c>
      <ns0:c r="H164">
        <ns0:f>IFERROR(IF(AND(AH!$E$4="Bloomberg",AH!$P$10=1,ISNUMBER($A164),$A164&lt;=AH!$P$17),AH!$P$7-1+MATCH($A164,INDEX('AH History'!$A$1:$A$18046,AH!$P$7):INDEX('AH History'!$A$1:$A$18046,AH!$P$7+AH!$P$8-1),0),0),0)</ns0:f>
        <ns0:v/>
      </ns0:c>
      <ns0:c r="I164">
        <ns0:f>IF($H164=0,0,IFERROR(IF(AND(ABS($C164-INDEX('AH History'!$B$1:$B$18046,$H164))&lt;=MAX(0.005,ABS(INDEX('AH History'!$B$1:$B$18046,$H164))*0.00005),ABS($D164-INDEX('AH History'!$C$1:$C$18046,$H164))&lt;=MAX(0.005,ABS(INDEX('AH History'!$C$1:$C$18046,$H164))*0.00005),ABS($E164-INDEX('AH History'!$D$1:$D$18046,$H164))&lt;=0.00005,$F164=INDEX('AH History'!$E$1:$E$18046,$H164),$G164=INDEX('AH History'!$F$1:$F$18046,$H164)),1,-1),-1))</ns0:f>
        <ns0:v/>
      </ns0:c>
    </ns0:row>
    <ns0:row r="165">
      <ns0:c r="A165" s="215">
        <ns0:f>IF(OR(AH!$P$3=0,160+1&gt;AH!$P$11,AND(AH!$E$4&lt;&gt;"Stored",AH!$P$10&lt;&gt;1)),"",IFERROR(IF(AND(AH!$P$21=1,160+1=AH!$P$11),TODAY(),IF(AH!$P$10=1,INDEX('Live History'!$A$5:$A$3004,AH!$P$13+160),INDEX('AH History'!$A$1:$A$18046,AH!$P$7+160))),""))</ns0:f>
        <ns0:v>46273</ns0:v>
      </ns0:c>
      <ns0:c r="B165" s="219">
        <ns0:f>IFERROR(IF(AND(AH!$P$9&lt;&gt;1,$C165&gt;0,$D165&gt;0,$E165&gt;0,$F165&gt;0,$G165&gt;0,$F165&lt;=$A165,$G165&lt;=$A165,$A165-$F165&lt;=10,$A165-$G165&lt;=5),$D165*$E165/$C165-1,NA()),NA())</ns0:f>
        <ns0:v>-0.07156986605983595</ns0:v>
      </ns0:c>
      <ns0:c r="C165">
        <ns0:f>IFERROR(IF(ISNUMBER($A165),IF(AND(AH!$P$10=1,AH!$P$12=1,$A165=TODAY()),AH!$P$19,IF(AH!$P$10=1,INDEX('Live History'!$B$5:$B$3004,AH!$P$13+160),INDEX('AH History'!$B$1:$B$18046,AH!$P$7+160))),NA()),NA())</ns0:f>
        <ns0:v>485.6</ns0:v>
      </ns0:c>
      <ns0:c r="D165">
        <ns0:f>IFERROR(IF(ISNUMBER($A165),IF(AND(AH!$P$10=1,AH!$P$12=1,$A165=TODAY()),AH!$P$18,IF(AH!$P$10=1,INDEX('Live History'!$E$5:$E$3004,MATCH($A165,'Live History'!$D$5:$D$3004,1)),INDEX('AH History'!$C$1:$C$18046,AH!$P$7+160))),NA()),NA())</ns0:f>
        <ns0:v>385.96</ns0:v>
      </ns0:c>
      <ns0:c r="E165">
        <ns0:f>IFERROR(IF(ISNUMBER($A165),IF(AND(AH!$P$10=1,AH!$P$12=1,$A165=TODAY()),AH!$P$20,IF(AH!$P$10=1,INDEX('Live History'!$H$5:$H$3004,MATCH($A165,'Live History'!$G$5:$G$3004,1)),INDEX('AH History'!$D$1:$D$18046,AH!$P$7+160))),NA()),NA())</ns0:f>
        <ns0:v>1.1681150197982788</ns0:v>
      </ns0:c>
      <ns0:c r="F165">
        <ns0:f>IFERROR(IF(ISNUMBER($A165),IF(AND(AH!$P$10=1,AH!$P$12=1,$A165=TODAY()),IF(AND(AH!$P$10=1,AH!$P$12=1,$A165=TODAY()),TODAY(),NA()),IF(AH!$P$10=1,INDEX('Live History'!$D$5:$D$3004,MATCH($A165,'Live History'!$D$5:$D$3004,1)),INDEX('AH History'!$E$1:$E$18046,AH!$P$7+160))),NA()),NA())</ns0:f>
        <ns0:v>46273</ns0:v>
      </ns0:c>
      <ns0:c r="G165">
        <ns0:f>IFERROR(IF(ISNUMBER($A165),IF(AND(AH!$P$10=1,AH!$P$12=1,$A165=TODAY()),IF(AND(AH!$P$10=1,AH!$P$12=1,$A165=TODAY()),TODAY(),NA()),IF(AH!$P$10=1,INDEX('Live History'!$G$5:$G$3004,MATCH($A165,'Live History'!$G$5:$G$3004,1)),INDEX('AH History'!$F$1:$F$18046,AH!$P$7+160))),NA()),NA())</ns0:f>
        <ns0:v>46273</ns0:v>
      </ns0:c>
      <ns0:c r="H165">
        <ns0:f>IFERROR(IF(AND(AH!$E$4="Bloomberg",AH!$P$10=1,ISNUMBER($A165),$A165&lt;=AH!$P$17),AH!$P$7-1+MATCH($A165,INDEX('AH History'!$A$1:$A$18046,AH!$P$7):INDEX('AH History'!$A$1:$A$18046,AH!$P$7+AH!$P$8-1),0),0),0)</ns0:f>
        <ns0:v/>
      </ns0:c>
      <ns0:c r="I165">
        <ns0:f>IF($H165=0,0,IFERROR(IF(AND(ABS($C165-INDEX('AH History'!$B$1:$B$18046,$H165))&lt;=MAX(0.005,ABS(INDEX('AH History'!$B$1:$B$18046,$H165))*0.00005),ABS($D165-INDEX('AH History'!$C$1:$C$18046,$H165))&lt;=MAX(0.005,ABS(INDEX('AH History'!$C$1:$C$18046,$H165))*0.00005),ABS($E165-INDEX('AH History'!$D$1:$D$18046,$H165))&lt;=0.00005,$F165=INDEX('AH History'!$E$1:$E$18046,$H165),$G165=INDEX('AH History'!$F$1:$F$18046,$H165)),1,-1),-1))</ns0:f>
        <ns0:v/>
      </ns0:c>
    </ns0:row>
    <ns0:row r="166">
      <ns0:c r="A166" s="215">
        <ns0:f>IF(OR(AH!$P$3=0,161+1&gt;AH!$P$11,AND(AH!$E$4&lt;&gt;"Stored",AH!$P$10&lt;&gt;1)),"",IFERROR(IF(AND(AH!$P$21=1,161+1=AH!$P$11),TODAY(),IF(AH!$P$10=1,INDEX('Live History'!$A$5:$A$3004,AH!$P$13+161),INDEX('AH History'!$A$1:$A$18046,AH!$P$7+161))),""))</ns0:f>
        <ns0:v>46274</ns0:v>
      </ns0:c>
      <ns0:c r="B166" s="219">
        <ns0:f>IFERROR(IF(AND(AH!$P$9&lt;&gt;1,$C166&gt;0,$D166&gt;0,$E166&gt;0,$F166&gt;0,$G166&gt;0,$F166&lt;=$A166,$G166&lt;=$A166,$A166-$F166&lt;=10,$A166-$G166&lt;=5),$D166*$E166/$C166-1,NA()),NA())</ns0:f>
        <ns0:v>-0.07123159663712941</ns0:v>
      </ns0:c>
      <ns0:c r="C166">
        <ns0:f>IFERROR(IF(ISNUMBER($A166),IF(AND(AH!$P$10=1,AH!$P$12=1,$A166=TODAY()),AH!$P$19,IF(AH!$P$10=1,INDEX('Live History'!$B$5:$B$3004,AH!$P$13+161),INDEX('AH History'!$B$1:$B$18046,AH!$P$7+161))),NA()),NA())</ns0:f>
        <ns0:v>480.4</ns0:v>
      </ns0:c>
      <ns0:c r="D166">
        <ns0:f>IFERROR(IF(ISNUMBER($A166),IF(AND(AH!$P$10=1,AH!$P$12=1,$A166=TODAY()),AH!$P$18,IF(AH!$P$10=1,INDEX('Live History'!$E$5:$E$3004,MATCH($A166,'Live History'!$D$5:$D$3004,1)),INDEX('AH History'!$C$1:$C$18046,AH!$P$7+161))),NA()),NA())</ns0:f>
        <ns0:v>381.87</ns0:v>
      </ns0:c>
      <ns0:c r="E166">
        <ns0:f>IFERROR(IF(ISNUMBER($A166),IF(AND(AH!$P$10=1,AH!$P$12=1,$A166=TODAY()),AH!$P$20,IF(AH!$P$10=1,INDEX('Live History'!$H$5:$H$3004,MATCH($A166,'Live History'!$G$5:$G$3004,1)),INDEX('AH History'!$D$1:$D$18046,AH!$P$7+161))),NA()),NA())</ns0:f>
        <ns0:v>1.168408989906311</ns0:v>
      </ns0:c>
      <ns0:c r="F166">
        <ns0:f>IFERROR(IF(ISNUMBER($A166),IF(AND(AH!$P$10=1,AH!$P$12=1,$A166=TODAY()),IF(AND(AH!$P$10=1,AH!$P$12=1,$A166=TODAY()),TODAY(),NA()),IF(AH!$P$10=1,INDEX('Live History'!$D$5:$D$3004,MATCH($A166,'Live History'!$D$5:$D$3004,1)),INDEX('AH History'!$E$1:$E$18046,AH!$P$7+161))),NA()),NA())</ns0:f>
        <ns0:v>46274</ns0:v>
      </ns0:c>
      <ns0:c r="G166">
        <ns0:f>IFERROR(IF(ISNUMBER($A166),IF(AND(AH!$P$10=1,AH!$P$12=1,$A166=TODAY()),IF(AND(AH!$P$10=1,AH!$P$12=1,$A166=TODAY()),TODAY(),NA()),IF(AH!$P$10=1,INDEX('Live History'!$G$5:$G$3004,MATCH($A166,'Live History'!$G$5:$G$3004,1)),INDEX('AH History'!$F$1:$F$18046,AH!$P$7+161))),NA()),NA())</ns0:f>
        <ns0:v>46274</ns0:v>
      </ns0:c>
      <ns0:c r="H166">
        <ns0:f>IFERROR(IF(AND(AH!$E$4="Bloomberg",AH!$P$10=1,ISNUMBER($A166),$A166&lt;=AH!$P$17),AH!$P$7-1+MATCH($A166,INDEX('AH History'!$A$1:$A$18046,AH!$P$7):INDEX('AH History'!$A$1:$A$18046,AH!$P$7+AH!$P$8-1),0),0),0)</ns0:f>
        <ns0:v/>
      </ns0:c>
      <ns0:c r="I166">
        <ns0:f>IF($H166=0,0,IFERROR(IF(AND(ABS($C166-INDEX('AH History'!$B$1:$B$18046,$H166))&lt;=MAX(0.005,ABS(INDEX('AH History'!$B$1:$B$18046,$H166))*0.00005),ABS($D166-INDEX('AH History'!$C$1:$C$18046,$H166))&lt;=MAX(0.005,ABS(INDEX('AH History'!$C$1:$C$18046,$H166))*0.00005),ABS($E166-INDEX('AH History'!$D$1:$D$18046,$H166))&lt;=0.00005,$F166=INDEX('AH History'!$E$1:$E$18046,$H166),$G166=INDEX('AH History'!$F$1:$F$18046,$H166)),1,-1),-1))</ns0:f>
        <ns0:v/>
      </ns0:c>
    </ns0:row>
    <ns0:row r="167">
      <ns0:c r="A167" s="215">
        <ns0:f>IF(OR(AH!$P$3=0,162+1&gt;AH!$P$11,AND(AH!$E$4&lt;&gt;"Stored",AH!$P$10&lt;&gt;1)),"",IFERROR(IF(AND(AH!$P$21=1,162+1=AH!$P$11),TODAY(),IF(AH!$P$10=1,INDEX('Live History'!$A$5:$A$3004,AH!$P$13+162),INDEX('AH History'!$A$1:$A$18046,AH!$P$7+162))),""))</ns0:f>
        <ns0:v>46275</ns0:v>
      </ns0:c>
      <ns0:c r="B167" s="219">
        <ns0:f>IFERROR(IF(AND(AH!$P$9&lt;&gt;1,$C167&gt;0,$D167&gt;0,$E167&gt;0,$F167&gt;0,$G167&gt;0,$F167&lt;=$A167,$G167&lt;=$A167,$A167-$F167&lt;=10,$A167-$G167&lt;=5),$D167*$E167/$C167-1,NA()),NA())</ns0:f>
        <ns0:v>-0.06640689931528387</ns0:v>
      </ns0:c>
      <ns0:c r="C167">
        <ns0:f>IFERROR(IF(ISNUMBER($A167),IF(AND(AH!$P$10=1,AH!$P$12=1,$A167=TODAY()),AH!$P$19,IF(AH!$P$10=1,INDEX('Live History'!$B$5:$B$3004,AH!$P$13+162),INDEX('AH History'!$B$1:$B$18046,AH!$P$7+162))),NA()),NA())</ns0:f>
        <ns0:v>476.4</ns0:v>
      </ns0:c>
      <ns0:c r="D167">
        <ns0:f>IFERROR(IF(ISNUMBER($A167),IF(AND(AH!$P$10=1,AH!$P$12=1,$A167=TODAY()),AH!$P$18,IF(AH!$P$10=1,INDEX('Live History'!$E$5:$E$3004,MATCH($A167,'Live History'!$D$5:$D$3004,1)),INDEX('AH History'!$C$1:$C$18046,AH!$P$7+162))),NA()),NA())</ns0:f>
        <ns0:v>380.64</ns0:v>
      </ns0:c>
      <ns0:c r="E167">
        <ns0:f>IFERROR(IF(ISNUMBER($A167),IF(AND(AH!$P$10=1,AH!$P$12=1,$A167=TODAY()),AH!$P$20,IF(AH!$P$10=1,INDEX('Live History'!$H$5:$H$3004,MATCH($A167,'Live History'!$G$5:$G$3004,1)),INDEX('AH History'!$D$1:$D$18046,AH!$P$7+162))),NA()),NA())</ns0:f>
        <ns0:v>1.1684629917144775</ns0:v>
      </ns0:c>
      <ns0:c r="F167">
        <ns0:f>IFERROR(IF(ISNUMBER($A167),IF(AND(AH!$P$10=1,AH!$P$12=1,$A167=TODAY()),IF(AND(AH!$P$10=1,AH!$P$12=1,$A167=TODAY()),TODAY(),NA()),IF(AH!$P$10=1,INDEX('Live History'!$D$5:$D$3004,MATCH($A167,'Live History'!$D$5:$D$3004,1)),INDEX('AH History'!$E$1:$E$18046,AH!$P$7+162))),NA()),NA())</ns0:f>
        <ns0:v>46275</ns0:v>
      </ns0:c>
      <ns0:c r="G167">
        <ns0:f>IFERROR(IF(ISNUMBER($A167),IF(AND(AH!$P$10=1,AH!$P$12=1,$A167=TODAY()),IF(AND(AH!$P$10=1,AH!$P$12=1,$A167=TODAY()),TODAY(),NA()),IF(AH!$P$10=1,INDEX('Live History'!$G$5:$G$3004,MATCH($A167,'Live History'!$G$5:$G$3004,1)),INDEX('AH History'!$F$1:$F$18046,AH!$P$7+162))),NA()),NA())</ns0:f>
        <ns0:v>46275</ns0:v>
      </ns0:c>
      <ns0:c r="H167">
        <ns0:f>IFERROR(IF(AND(AH!$E$4="Bloomberg",AH!$P$10=1,ISNUMBER($A167),$A167&lt;=AH!$P$17),AH!$P$7-1+MATCH($A167,INDEX('AH History'!$A$1:$A$18046,AH!$P$7):INDEX('AH History'!$A$1:$A$18046,AH!$P$7+AH!$P$8-1),0),0),0)</ns0:f>
        <ns0:v/>
      </ns0:c>
      <ns0:c r="I167">
        <ns0:f>IF($H167=0,0,IFERROR(IF(AND(ABS($C167-INDEX('AH History'!$B$1:$B$18046,$H167))&lt;=MAX(0.005,ABS(INDEX('AH History'!$B$1:$B$18046,$H167))*0.00005),ABS($D167-INDEX('AH History'!$C$1:$C$18046,$H167))&lt;=MAX(0.005,ABS(INDEX('AH History'!$C$1:$C$18046,$H167))*0.00005),ABS($E167-INDEX('AH History'!$D$1:$D$18046,$H167))&lt;=0.00005,$F167=INDEX('AH History'!$E$1:$E$18046,$H167),$G167=INDEX('AH History'!$F$1:$F$18046,$H167)),1,-1),-1))</ns0:f>
        <ns0:v/>
      </ns0:c>
    </ns0:row>
    <ns0:row r="168">
      <ns0:c r="A168" s="215">
        <ns0:f>IF(OR(AH!$P$3=0,163+1&gt;AH!$P$11,AND(AH!$E$4&lt;&gt;"Stored",AH!$P$10&lt;&gt;1)),"",IFERROR(IF(AND(AH!$P$21=1,163+1=AH!$P$11),TODAY(),IF(AH!$P$10=1,INDEX('Live History'!$A$5:$A$3004,AH!$P$13+163),INDEX('AH History'!$A$1:$A$18046,AH!$P$7+163))),""))</ns0:f>
        <ns0:v>46276</ns0:v>
      </ns0:c>
      <ns0:c r="B168" s="219">
        <ns0:f>IFERROR(IF(AND(AH!$P$9&lt;&gt;1,$C168&gt;0,$D168&gt;0,$E168&gt;0,$F168&gt;0,$G168&gt;0,$F168&lt;=$A168,$G168&lt;=$A168,$A168-$F168&lt;=10,$A168-$G168&lt;=5),$D168*$E168/$C168-1,NA()),NA())</ns0:f>
        <ns0:v>-0.03995056733363811</ns0:v>
      </ns0:c>
      <ns0:c r="C168">
        <ns0:f>IFERROR(IF(ISNUMBER($A168),IF(AND(AH!$P$10=1,AH!$P$12=1,$A168=TODAY()),AH!$P$19,IF(AH!$P$10=1,INDEX('Live History'!$B$5:$B$3004,AH!$P$13+163),INDEX('AH History'!$B$1:$B$18046,AH!$P$7+163))),NA()),NA())</ns0:f>
        <ns0:v>452.2</ns0:v>
      </ns0:c>
      <ns0:c r="D168">
        <ns0:f>IFERROR(IF(ISNUMBER($A168),IF(AND(AH!$P$10=1,AH!$P$12=1,$A168=TODAY()),AH!$P$18,IF(AH!$P$10=1,INDEX('Live History'!$E$5:$E$3004,MATCH($A168,'Live History'!$D$5:$D$3004,1)),INDEX('AH History'!$C$1:$C$18046,AH!$P$7+163))),NA()),NA())</ns0:f>
        <ns0:v>371.32</ns0:v>
      </ns0:c>
      <ns0:c r="E168">
        <ns0:f>IFERROR(IF(ISNUMBER($A168),IF(AND(AH!$P$10=1,AH!$P$12=1,$A168=TODAY()),AH!$P$20,IF(AH!$P$10=1,INDEX('Live History'!$H$5:$H$3004,MATCH($A168,'Live History'!$G$5:$G$3004,1)),INDEX('AH History'!$D$1:$D$18046,AH!$P$7+163))),NA()),NA())</ns0:f>
        <ns0:v>1.169165015220642</ns0:v>
      </ns0:c>
      <ns0:c r="F168">
        <ns0:f>IFERROR(IF(ISNUMBER($A168),IF(AND(AH!$P$10=1,AH!$P$12=1,$A168=TODAY()),IF(AND(AH!$P$10=1,AH!$P$12=1,$A168=TODAY()),TODAY(),NA()),IF(AH!$P$10=1,INDEX('Live History'!$D$5:$D$3004,MATCH($A168,'Live History'!$D$5:$D$3004,1)),INDEX('AH History'!$E$1:$E$18046,AH!$P$7+163))),NA()),NA())</ns0:f>
        <ns0:v>46276</ns0:v>
      </ns0:c>
      <ns0:c r="G168">
        <ns0:f>IFERROR(IF(ISNUMBER($A168),IF(AND(AH!$P$10=1,AH!$P$12=1,$A168=TODAY()),IF(AND(AH!$P$10=1,AH!$P$12=1,$A168=TODAY()),TODAY(),NA()),IF(AH!$P$10=1,INDEX('Live History'!$G$5:$G$3004,MATCH($A168,'Live History'!$G$5:$G$3004,1)),INDEX('AH History'!$F$1:$F$18046,AH!$P$7+163))),NA()),NA())</ns0:f>
        <ns0:v>46276</ns0:v>
      </ns0:c>
      <ns0:c r="H168">
        <ns0:f>IFERROR(IF(AND(AH!$E$4="Bloomberg",AH!$P$10=1,ISNUMBER($A168),$A168&lt;=AH!$P$17),AH!$P$7-1+MATCH($A168,INDEX('AH History'!$A$1:$A$18046,AH!$P$7):INDEX('AH History'!$A$1:$A$18046,AH!$P$7+AH!$P$8-1),0),0),0)</ns0:f>
        <ns0:v/>
      </ns0:c>
      <ns0:c r="I168">
        <ns0:f>IF($H168=0,0,IFERROR(IF(AND(ABS($C168-INDEX('AH History'!$B$1:$B$18046,$H168))&lt;=MAX(0.005,ABS(INDEX('AH History'!$B$1:$B$18046,$H168))*0.00005),ABS($D168-INDEX('AH History'!$C$1:$C$18046,$H168))&lt;=MAX(0.005,ABS(INDEX('AH History'!$C$1:$C$18046,$H168))*0.00005),ABS($E168-INDEX('AH History'!$D$1:$D$18046,$H168))&lt;=0.00005,$F168=INDEX('AH History'!$E$1:$E$18046,$H168),$G168=INDEX('AH History'!$F$1:$F$18046,$H168)),1,-1),-1))</ns0:f>
        <ns0:v/>
      </ns0:c>
    </ns0:row>
    <ns0:row r="169">
      <ns0:c r="A169" s="215">
        <ns0:f>IF(OR(AH!$P$3=0,164+1&gt;AH!$P$11,AND(AH!$E$4&lt;&gt;"Stored",AH!$P$10&lt;&gt;1)),"",IFERROR(IF(AND(AH!$P$21=1,164+1=AH!$P$11),TODAY(),IF(AH!$P$10=1,INDEX('Live History'!$A$5:$A$3004,AH!$P$13+164),INDEX('AH History'!$A$1:$A$18046,AH!$P$7+164))),""))</ns0:f>
        <ns0:v>46279</ns0:v>
      </ns0:c>
      <ns0:c r="B169" s="219">
        <ns0:f>IFERROR(IF(AND(AH!$P$9&lt;&gt;1,$C169&gt;0,$D169&gt;0,$E169&gt;0,$F169&gt;0,$G169&gt;0,$F169&lt;=$A169,$G169&lt;=$A169,$A169-$F169&lt;=10,$A169-$G169&lt;=5),$D169*$E169/$C169-1,NA()),NA())</ns0:f>
        <ns0:v>-0.006735026972634506</ns0:v>
      </ns0:c>
      <ns0:c r="C169">
        <ns0:f>IFERROR(IF(ISNUMBER($A169),IF(AND(AH!$P$10=1,AH!$P$12=1,$A169=TODAY()),AH!$P$19,IF(AH!$P$10=1,INDEX('Live History'!$B$5:$B$3004,AH!$P$13+164),INDEX('AH History'!$B$1:$B$18046,AH!$P$7+164))),NA()),NA())</ns0:f>
        <ns0:v>420.0</ns0:v>
      </ns0:c>
      <ns0:c r="D169">
        <ns0:f>IFERROR(IF(ISNUMBER($A169),IF(AND(AH!$P$10=1,AH!$P$12=1,$A169=TODAY()),AH!$P$18,IF(AH!$P$10=1,INDEX('Live History'!$E$5:$E$3004,MATCH($A169,'Live History'!$D$5:$D$3004,1)),INDEX('AH History'!$C$1:$C$18046,AH!$P$7+164))),NA()),NA())</ns0:f>
        <ns0:v>356.88</ns0:v>
      </ns0:c>
      <ns0:c r="E169">
        <ns0:f>IFERROR(IF(ISNUMBER($A169),IF(AND(AH!$P$10=1,AH!$P$12=1,$A169=TODAY()),AH!$P$20,IF(AH!$P$10=1,INDEX('Live History'!$H$5:$H$3004,MATCH($A169,'Live History'!$G$5:$G$3004,1)),INDEX('AH History'!$D$1:$D$18046,AH!$P$7+164))),NA()),NA())</ns0:f>
        <ns0:v>1.1689399480819702</ns0:v>
      </ns0:c>
      <ns0:c r="F169">
        <ns0:f>IFERROR(IF(ISNUMBER($A169),IF(AND(AH!$P$10=1,AH!$P$12=1,$A169=TODAY()),IF(AND(AH!$P$10=1,AH!$P$12=1,$A169=TODAY()),TODAY(),NA()),IF(AH!$P$10=1,INDEX('Live History'!$D$5:$D$3004,MATCH($A169,'Live History'!$D$5:$D$3004,1)),INDEX('AH History'!$E$1:$E$18046,AH!$P$7+164))),NA()),NA())</ns0:f>
        <ns0:v>46279</ns0:v>
      </ns0:c>
      <ns0:c r="G169">
        <ns0:f>IFERROR(IF(ISNUMBER($A169),IF(AND(AH!$P$10=1,AH!$P$12=1,$A169=TODAY()),IF(AND(AH!$P$10=1,AH!$P$12=1,$A169=TODAY()),TODAY(),NA()),IF(AH!$P$10=1,INDEX('Live History'!$G$5:$G$3004,MATCH($A169,'Live History'!$G$5:$G$3004,1)),INDEX('AH History'!$F$1:$F$18046,AH!$P$7+164))),NA()),NA())</ns0:f>
        <ns0:v>46279</ns0:v>
      </ns0:c>
      <ns0:c r="H169">
        <ns0:f>IFERROR(IF(AND(AH!$E$4="Bloomberg",AH!$P$10=1,ISNUMBER($A169),$A169&lt;=AH!$P$17),AH!$P$7-1+MATCH($A169,INDEX('AH History'!$A$1:$A$18046,AH!$P$7):INDEX('AH History'!$A$1:$A$18046,AH!$P$7+AH!$P$8-1),0),0),0)</ns0:f>
        <ns0:v/>
      </ns0:c>
      <ns0:c r="I169">
        <ns0:f>IF($H169=0,0,IFERROR(IF(AND(ABS($C169-INDEX('AH History'!$B$1:$B$18046,$H169))&lt;=MAX(0.005,ABS(INDEX('AH History'!$B$1:$B$18046,$H169))*0.00005),ABS($D169-INDEX('AH History'!$C$1:$C$18046,$H169))&lt;=MAX(0.005,ABS(INDEX('AH History'!$C$1:$C$18046,$H169))*0.00005),ABS($E169-INDEX('AH History'!$D$1:$D$18046,$H169))&lt;=0.00005,$F169=INDEX('AH History'!$E$1:$E$18046,$H169),$G169=INDEX('AH History'!$F$1:$F$18046,$H169)),1,-1),-1))</ns0:f>
        <ns0:v/>
      </ns0:c>
    </ns0:row>
    <ns0:row r="170">
      <ns0:c r="A170" s="215">
        <ns0:f>IF(OR(AH!$P$3=0,165+1&gt;AH!$P$11,AND(AH!$E$4&lt;&gt;"Stored",AH!$P$10&lt;&gt;1)),"",IFERROR(IF(AND(AH!$P$21=1,165+1=AH!$P$11),TODAY(),IF(AH!$P$10=1,INDEX('Live History'!$A$5:$A$3004,AH!$P$13+165),INDEX('AH History'!$A$1:$A$18046,AH!$P$7+165))),""))</ns0:f>
        <ns0:v>46280</ns0:v>
      </ns0:c>
      <ns0:c r="B170" s="219">
        <ns0:f>IFERROR(IF(AND(AH!$P$9&lt;&gt;1,$C170&gt;0,$D170&gt;0,$E170&gt;0,$F170&gt;0,$G170&gt;0,$F170&lt;=$A170,$G170&lt;=$A170,$A170-$F170&lt;=10,$A170-$G170&lt;=5),$D170*$E170/$C170-1,NA()),NA())</ns0:f>
        <ns0:v>-0.028114615129682163</ns0:v>
      </ns0:c>
      <ns0:c r="C170">
        <ns0:f>IFERROR(IF(ISNUMBER($A170),IF(AND(AH!$P$10=1,AH!$P$12=1,$A170=TODAY()),AH!$P$19,IF(AH!$P$10=1,INDEX('Live History'!$B$5:$B$3004,AH!$P$13+165),INDEX('AH History'!$B$1:$B$18046,AH!$P$7+165))),NA()),NA())</ns0:f>
        <ns0:v>436.8</ns0:v>
      </ns0:c>
      <ns0:c r="D170">
        <ns0:f>IFERROR(IF(ISNUMBER($A170),IF(AND(AH!$P$10=1,AH!$P$12=1,$A170=TODAY()),AH!$P$18,IF(AH!$P$10=1,INDEX('Live History'!$E$5:$E$3004,MATCH($A170,'Live History'!$D$5:$D$3004,1)),INDEX('AH History'!$C$1:$C$18046,AH!$P$7+165))),NA()),NA())</ns0:f>
        <ns0:v>363.11</ns0:v>
      </ns0:c>
      <ns0:c r="E170">
        <ns0:f>IFERROR(IF(ISNUMBER($A170),IF(AND(AH!$P$10=1,AH!$P$12=1,$A170=TODAY()),AH!$P$20,IF(AH!$P$10=1,INDEX('Live History'!$H$5:$H$3004,MATCH($A170,'Live History'!$G$5:$G$3004,1)),INDEX('AH History'!$D$1:$D$18046,AH!$P$7+165))),NA()),NA())</ns0:f>
        <ns0:v>1.1691210269927979</ns0:v>
      </ns0:c>
      <ns0:c r="F170">
        <ns0:f>IFERROR(IF(ISNUMBER($A170),IF(AND(AH!$P$10=1,AH!$P$12=1,$A170=TODAY()),IF(AND(AH!$P$10=1,AH!$P$12=1,$A170=TODAY()),TODAY(),NA()),IF(AH!$P$10=1,INDEX('Live History'!$D$5:$D$3004,MATCH($A170,'Live History'!$D$5:$D$3004,1)),INDEX('AH History'!$E$1:$E$18046,AH!$P$7+165))),NA()),NA())</ns0:f>
        <ns0:v>46280</ns0:v>
      </ns0:c>
      <ns0:c r="G170">
        <ns0:f>IFERROR(IF(ISNUMBER($A170),IF(AND(AH!$P$10=1,AH!$P$12=1,$A170=TODAY()),IF(AND(AH!$P$10=1,AH!$P$12=1,$A170=TODAY()),TODAY(),NA()),IF(AH!$P$10=1,INDEX('Live History'!$G$5:$G$3004,MATCH($A170,'Live History'!$G$5:$G$3004,1)),INDEX('AH History'!$F$1:$F$18046,AH!$P$7+165))),NA()),NA())</ns0:f>
        <ns0:v>46280</ns0:v>
      </ns0:c>
      <ns0:c r="H170">
        <ns0:f>IFERROR(IF(AND(AH!$E$4="Bloomberg",AH!$P$10=1,ISNUMBER($A170),$A170&lt;=AH!$P$17),AH!$P$7-1+MATCH($A170,INDEX('AH History'!$A$1:$A$18046,AH!$P$7):INDEX('AH History'!$A$1:$A$18046,AH!$P$7+AH!$P$8-1),0),0),0)</ns0:f>
        <ns0:v/>
      </ns0:c>
      <ns0:c r="I170">
        <ns0:f>IF($H170=0,0,IFERROR(IF(AND(ABS($C170-INDEX('AH History'!$B$1:$B$18046,$H170))&lt;=MAX(0.005,ABS(INDEX('AH History'!$B$1:$B$18046,$H170))*0.00005),ABS($D170-INDEX('AH History'!$C$1:$C$18046,$H170))&lt;=MAX(0.005,ABS(INDEX('AH History'!$C$1:$C$18046,$H170))*0.00005),ABS($E170-INDEX('AH History'!$D$1:$D$18046,$H170))&lt;=0.00005,$F170=INDEX('AH History'!$E$1:$E$18046,$H170),$G170=INDEX('AH History'!$F$1:$F$18046,$H170)),1,-1),-1))</ns0:f>
        <ns0:v/>
      </ns0:c>
    </ns0:row>
    <ns0:row r="171">
      <ns0:c r="A171" s="215">
        <ns0:f>IF(OR(AH!$P$3=0,166+1&gt;AH!$P$11,AND(AH!$E$4&lt;&gt;"Stored",AH!$P$10&lt;&gt;1)),"",IFERROR(IF(AND(AH!$P$21=1,166+1=AH!$P$11),TODAY(),IF(AH!$P$10=1,INDEX('Live History'!$A$5:$A$3004,AH!$P$13+166),INDEX('AH History'!$A$1:$A$18046,AH!$P$7+166))),""))</ns0:f>
        <ns0:v>46281</ns0:v>
      </ns0:c>
      <ns0:c r="B171" s="219">
        <ns0:f>IFERROR(IF(AND(AH!$P$9&lt;&gt;1,$C171&gt;0,$D171&gt;0,$E171&gt;0,$F171&gt;0,$G171&gt;0,$F171&lt;=$A171,$G171&lt;=$A171,$A171-$F171&lt;=10,$A171-$G171&lt;=5),$D171*$E171/$C171-1,NA()),NA())</ns0:f>
        <ns0:v>-0.030855952787399277</ns0:v>
      </ns0:c>
      <ns0:c r="C171">
        <ns0:f>IFERROR(IF(ISNUMBER($A171),IF(AND(AH!$P$10=1,AH!$P$12=1,$A171=TODAY()),AH!$P$19,IF(AH!$P$10=1,INDEX('Live History'!$B$5:$B$3004,AH!$P$13+166),INDEX('AH History'!$B$1:$B$18046,AH!$P$7+166))),NA()),NA())</ns0:f>
        <ns0:v>450.0</ns0:v>
      </ns0:c>
      <ns0:c r="D171">
        <ns0:f>IFERROR(IF(ISNUMBER($A171),IF(AND(AH!$P$10=1,AH!$P$12=1,$A171=TODAY()),AH!$P$18,IF(AH!$P$10=1,INDEX('Live History'!$E$5:$E$3004,MATCH($A171,'Live History'!$D$5:$D$3004,1)),INDEX('AH History'!$C$1:$C$18046,AH!$P$7+166))),NA()),NA())</ns0:f>
        <ns0:v>373.14</ns0:v>
      </ns0:c>
      <ns0:c r="E171">
        <ns0:f>IFERROR(IF(ISNUMBER($A171),IF(AND(AH!$P$10=1,AH!$P$12=1,$A171=TODAY()),AH!$P$20,IF(AH!$P$10=1,INDEX('Live History'!$H$5:$H$3004,MATCH($A171,'Live History'!$G$5:$G$3004,1)),INDEX('AH History'!$D$1:$D$18046,AH!$P$7+166))),NA()),NA())</ns0:f>
        <ns0:v>1.1687699556350708</ns0:v>
      </ns0:c>
      <ns0:c r="F171">
        <ns0:f>IFERROR(IF(ISNUMBER($A171),IF(AND(AH!$P$10=1,AH!$P$12=1,$A171=TODAY()),IF(AND(AH!$P$10=1,AH!$P$12=1,$A171=TODAY()),TODAY(),NA()),IF(AH!$P$10=1,INDEX('Live History'!$D$5:$D$3004,MATCH($A171,'Live History'!$D$5:$D$3004,1)),INDEX('AH History'!$E$1:$E$18046,AH!$P$7+166))),NA()),NA())</ns0:f>
        <ns0:v>46281</ns0:v>
      </ns0:c>
      <ns0:c r="G171">
        <ns0:f>IFERROR(IF(ISNUMBER($A171),IF(AND(AH!$P$10=1,AH!$P$12=1,$A171=TODAY()),IF(AND(AH!$P$10=1,AH!$P$12=1,$A171=TODAY()),TODAY(),NA()),IF(AH!$P$10=1,INDEX('Live History'!$G$5:$G$3004,MATCH($A171,'Live History'!$G$5:$G$3004,1)),INDEX('AH History'!$F$1:$F$18046,AH!$P$7+166))),NA()),NA())</ns0:f>
        <ns0:v>46281</ns0:v>
      </ns0:c>
      <ns0:c r="H171">
        <ns0:f>IFERROR(IF(AND(AH!$E$4="Bloomberg",AH!$P$10=1,ISNUMBER($A171),$A171&lt;=AH!$P$17),AH!$P$7-1+MATCH($A171,INDEX('AH History'!$A$1:$A$18046,AH!$P$7):INDEX('AH History'!$A$1:$A$18046,AH!$P$7+AH!$P$8-1),0),0),0)</ns0:f>
        <ns0:v/>
      </ns0:c>
      <ns0:c r="I171">
        <ns0:f>IF($H171=0,0,IFERROR(IF(AND(ABS($C171-INDEX('AH History'!$B$1:$B$18046,$H171))&lt;=MAX(0.005,ABS(INDEX('AH History'!$B$1:$B$18046,$H171))*0.00005),ABS($D171-INDEX('AH History'!$C$1:$C$18046,$H171))&lt;=MAX(0.005,ABS(INDEX('AH History'!$C$1:$C$18046,$H171))*0.00005),ABS($E171-INDEX('AH History'!$D$1:$D$18046,$H171))&lt;=0.00005,$F171=INDEX('AH History'!$E$1:$E$18046,$H171),$G171=INDEX('AH History'!$F$1:$F$18046,$H171)),1,-1),-1))</ns0:f>
        <ns0:v/>
      </ns0:c>
    </ns0:row>
    <ns0:row r="172">
      <ns0:c r="A172" s="215">
        <ns0:f>IF(OR(AH!$P$3=0,167+1&gt;AH!$P$11,AND(AH!$E$4&lt;&gt;"Stored",AH!$P$10&lt;&gt;1)),"",IFERROR(IF(AND(AH!$P$21=1,167+1=AH!$P$11),TODAY(),IF(AH!$P$10=1,INDEX('Live History'!$A$5:$A$3004,AH!$P$13+167),INDEX('AH History'!$A$1:$A$18046,AH!$P$7+167))),""))</ns0:f>
        <ns0:v>46282</ns0:v>
      </ns0:c>
      <ns0:c r="B172" s="219">
        <ns0:f>IFERROR(IF(AND(AH!$P$9&lt;&gt;1,$C172&gt;0,$D172&gt;0,$E172&gt;0,$F172&gt;0,$G172&gt;0,$F172&lt;=$A172,$G172&lt;=$A172,$A172-$F172&lt;=10,$A172-$G172&lt;=5),$D172*$E172/$C172-1,NA()),NA())</ns0:f>
        <ns0:v>-0.0730090879341384</ns0:v>
      </ns0:c>
      <ns0:c r="C172">
        <ns0:f>IFERROR(IF(ISNUMBER($A172),IF(AND(AH!$P$10=1,AH!$P$12=1,$A172=TODAY()),AH!$P$19,IF(AH!$P$10=1,INDEX('Live History'!$B$5:$B$3004,AH!$P$13+167),INDEX('AH History'!$B$1:$B$18046,AH!$P$7+167))),NA()),NA())</ns0:f>
        <ns0:v>466.6</ns0:v>
      </ns0:c>
      <ns0:c r="D172">
        <ns0:f>IFERROR(IF(ISNUMBER($A172),IF(AND(AH!$P$10=1,AH!$P$12=1,$A172=TODAY()),AH!$P$18,IF(AH!$P$10=1,INDEX('Live History'!$E$5:$E$3004,MATCH($A172,'Live History'!$D$5:$D$3004,1)),INDEX('AH History'!$C$1:$C$18046,AH!$P$7+167))),NA()),NA())</ns0:f>
        <ns0:v>369.88</ns0:v>
      </ns0:c>
      <ns0:c r="E172">
        <ns0:f>IFERROR(IF(ISNUMBER($A172),IF(AND(AH!$P$10=1,AH!$P$12=1,$A172=TODAY()),AH!$P$20,IF(AH!$P$10=1,INDEX('Live History'!$H$5:$H$3004,MATCH($A172,'Live History'!$G$5:$G$3004,1)),INDEX('AH History'!$D$1:$D$18046,AH!$P$7+167))),NA()),NA())</ns0:f>
        <ns0:v>1.1693899631500244</ns0:v>
      </ns0:c>
      <ns0:c r="F172">
        <ns0:f>IFERROR(IF(ISNUMBER($A172),IF(AND(AH!$P$10=1,AH!$P$12=1,$A172=TODAY()),IF(AND(AH!$P$10=1,AH!$P$12=1,$A172=TODAY()),TODAY(),NA()),IF(AH!$P$10=1,INDEX('Live History'!$D$5:$D$3004,MATCH($A172,'Live History'!$D$5:$D$3004,1)),INDEX('AH History'!$E$1:$E$18046,AH!$P$7+167))),NA()),NA())</ns0:f>
        <ns0:v>46282</ns0:v>
      </ns0:c>
      <ns0:c r="G172">
        <ns0:f>IFERROR(IF(ISNUMBER($A172),IF(AND(AH!$P$10=1,AH!$P$12=1,$A172=TODAY()),IF(AND(AH!$P$10=1,AH!$P$12=1,$A172=TODAY()),TODAY(),NA()),IF(AH!$P$10=1,INDEX('Live History'!$G$5:$G$3004,MATCH($A172,'Live History'!$G$5:$G$3004,1)),INDEX('AH History'!$F$1:$F$18046,AH!$P$7+167))),NA()),NA())</ns0:f>
        <ns0:v>46282</ns0:v>
      </ns0:c>
      <ns0:c r="H172">
        <ns0:f>IFERROR(IF(AND(AH!$E$4="Bloomberg",AH!$P$10=1,ISNUMBER($A172),$A172&lt;=AH!$P$17),AH!$P$7-1+MATCH($A172,INDEX('AH History'!$A$1:$A$18046,AH!$P$7):INDEX('AH History'!$A$1:$A$18046,AH!$P$7+AH!$P$8-1),0),0),0)</ns0:f>
        <ns0:v/>
      </ns0:c>
      <ns0:c r="I172">
        <ns0:f>IF($H172=0,0,IFERROR(IF(AND(ABS($C172-INDEX('AH History'!$B$1:$B$18046,$H172))&lt;=MAX(0.005,ABS(INDEX('AH History'!$B$1:$B$18046,$H172))*0.00005),ABS($D172-INDEX('AH History'!$C$1:$C$18046,$H172))&lt;=MAX(0.005,ABS(INDEX('AH History'!$C$1:$C$18046,$H172))*0.00005),ABS($E172-INDEX('AH History'!$D$1:$D$18046,$H172))&lt;=0.00005,$F172=INDEX('AH History'!$E$1:$E$18046,$H172),$G172=INDEX('AH History'!$F$1:$F$18046,$H172)),1,-1),-1))</ns0:f>
        <ns0:v/>
      </ns0:c>
    </ns0:row>
    <ns0:row r="173">
      <ns0:c r="A173" s="215">
        <ns0:f>IF(OR(AH!$P$3=0,168+1&gt;AH!$P$11,AND(AH!$E$4&lt;&gt;"Stored",AH!$P$10&lt;&gt;1)),"",IFERROR(IF(AND(AH!$P$21=1,168+1=AH!$P$11),TODAY(),IF(AH!$P$10=1,INDEX('Live History'!$A$5:$A$3004,AH!$P$13+168),INDEX('AH History'!$A$1:$A$18046,AH!$P$7+168))),""))</ns0:f>
        <ns0:v>46283</ns0:v>
      </ns0:c>
      <ns0:c r="B173" s="219">
        <ns0:f>IFERROR(IF(AND(AH!$P$9&lt;&gt;1,$C173&gt;0,$D173&gt;0,$E173&gt;0,$F173&gt;0,$G173&gt;0,$F173&lt;=$A173,$G173&lt;=$A173,$A173-$F173&lt;=10,$A173-$G173&lt;=5),$D173*$E173/$C173-1,NA()),NA())</ns0:f>
        <ns0:v>-0.11338551957625898</ns0:v>
      </ns0:c>
      <ns0:c r="C173">
        <ns0:f>IFERROR(IF(ISNUMBER($A173),IF(AND(AH!$P$10=1,AH!$P$12=1,$A173=TODAY()),AH!$P$19,IF(AH!$P$10=1,INDEX('Live History'!$B$5:$B$3004,AH!$P$13+168),INDEX('AH History'!$B$1:$B$18046,AH!$P$7+168))),NA()),NA())</ns0:f>
        <ns0:v>512.0</ns0:v>
      </ns0:c>
      <ns0:c r="D173">
        <ns0:f>IFERROR(IF(ISNUMBER($A173),IF(AND(AH!$P$10=1,AH!$P$12=1,$A173=TODAY()),AH!$P$18,IF(AH!$P$10=1,INDEX('Live History'!$E$5:$E$3004,MATCH($A173,'Live History'!$D$5:$D$3004,1)),INDEX('AH History'!$C$1:$C$18046,AH!$P$7+168))),NA()),NA())</ns0:f>
        <ns0:v>388.18</ns0:v>
      </ns0:c>
      <ns0:c r="E173">
        <ns0:f>IFERROR(IF(ISNUMBER($A173),IF(AND(AH!$P$10=1,AH!$P$12=1,$A173=TODAY()),AH!$P$20,IF(AH!$P$10=1,INDEX('Live History'!$H$5:$H$3004,MATCH($A173,'Live History'!$G$5:$G$3004,1)),INDEX('AH History'!$D$1:$D$18046,AH!$P$7+168))),NA()),NA())</ns0:f>
        <ns0:v>1.16942298412323</ns0:v>
      </ns0:c>
      <ns0:c r="F173">
        <ns0:f>IFERROR(IF(ISNUMBER($A173),IF(AND(AH!$P$10=1,AH!$P$12=1,$A173=TODAY()),IF(AND(AH!$P$10=1,AH!$P$12=1,$A173=TODAY()),TODAY(),NA()),IF(AH!$P$10=1,INDEX('Live History'!$D$5:$D$3004,MATCH($A173,'Live History'!$D$5:$D$3004,1)),INDEX('AH History'!$E$1:$E$18046,AH!$P$7+168))),NA()),NA())</ns0:f>
        <ns0:v>46283</ns0:v>
      </ns0:c>
      <ns0:c r="G173">
        <ns0:f>IFERROR(IF(ISNUMBER($A173),IF(AND(AH!$P$10=1,AH!$P$12=1,$A173=TODAY()),IF(AND(AH!$P$10=1,AH!$P$12=1,$A173=TODAY()),TODAY(),NA()),IF(AH!$P$10=1,INDEX('Live History'!$G$5:$G$3004,MATCH($A173,'Live History'!$G$5:$G$3004,1)),INDEX('AH History'!$F$1:$F$18046,AH!$P$7+168))),NA()),NA())</ns0:f>
        <ns0:v>46283</ns0:v>
      </ns0:c>
      <ns0:c r="H173">
        <ns0:f>IFERROR(IF(AND(AH!$E$4="Bloomberg",AH!$P$10=1,ISNUMBER($A173),$A173&lt;=AH!$P$17),AH!$P$7-1+MATCH($A173,INDEX('AH History'!$A$1:$A$18046,AH!$P$7):INDEX('AH History'!$A$1:$A$18046,AH!$P$7+AH!$P$8-1),0),0),0)</ns0:f>
        <ns0:v/>
      </ns0:c>
      <ns0:c r="I173">
        <ns0:f>IF($H173=0,0,IFERROR(IF(AND(ABS($C173-INDEX('AH History'!$B$1:$B$18046,$H173))&lt;=MAX(0.005,ABS(INDEX('AH History'!$B$1:$B$18046,$H173))*0.00005),ABS($D173-INDEX('AH History'!$C$1:$C$18046,$H173))&lt;=MAX(0.005,ABS(INDEX('AH History'!$C$1:$C$18046,$H173))*0.00005),ABS($E173-INDEX('AH History'!$D$1:$D$18046,$H173))&lt;=0.00005,$F173=INDEX('AH History'!$E$1:$E$18046,$H173),$G173=INDEX('AH History'!$F$1:$F$18046,$H173)),1,-1),-1))</ns0:f>
        <ns0:v/>
      </ns0:c>
    </ns0:row>
    <ns0:row r="174">
      <ns0:c r="A174" s="215">
        <ns0:f>IF(OR(AH!$P$3=0,169+1&gt;AH!$P$11,AND(AH!$E$4&lt;&gt;"Stored",AH!$P$10&lt;&gt;1)),"",IFERROR(IF(AND(AH!$P$21=1,169+1=AH!$P$11),TODAY(),IF(AH!$P$10=1,INDEX('Live History'!$A$5:$A$3004,AH!$P$13+169),INDEX('AH History'!$A$1:$A$18046,AH!$P$7+169))),""))</ns0:f>
        <ns0:v>46286</ns0:v>
      </ns0:c>
      <ns0:c r="B174" s="219">
        <ns0:f>IFERROR(IF(AND(AH!$P$9&lt;&gt;1,$C174&gt;0,$D174&gt;0,$E174&gt;0,$F174&gt;0,$G174&gt;0,$F174&lt;=$A174,$G174&lt;=$A174,$A174-$F174&lt;=10,$A174-$G174&lt;=5),$D174*$E174/$C174-1,NA()),NA())</ns0:f>
        <ns0:v>-0.10651976795484408</ns0:v>
      </ns0:c>
      <ns0:c r="C174">
        <ns0:f>IFERROR(IF(ISNUMBER($A174),IF(AND(AH!$P$10=1,AH!$P$12=1,$A174=TODAY()),AH!$P$19,IF(AH!$P$10=1,INDEX('Live History'!$B$5:$B$3004,AH!$P$13+169),INDEX('AH History'!$B$1:$B$18046,AH!$P$7+169))),NA()),NA())</ns0:f>
        <ns0:v>513.5</ns0:v>
      </ns0:c>
      <ns0:c r="D174">
        <ns0:f>IFERROR(IF(ISNUMBER($A174),IF(AND(AH!$P$10=1,AH!$P$12=1,$A174=TODAY()),AH!$P$18,IF(AH!$P$10=1,INDEX('Live History'!$E$5:$E$3004,MATCH($A174,'Live History'!$D$5:$D$3004,1)),INDEX('AH History'!$C$1:$C$18046,AH!$P$7+169))),NA()),NA())</ns0:f>
        <ns0:v>391.71</ns0:v>
      </ns0:c>
      <ns0:c r="E174">
        <ns0:f>IFERROR(IF(ISNUMBER($A174),IF(AND(AH!$P$10=1,AH!$P$12=1,$A174=TODAY()),AH!$P$20,IF(AH!$P$10=1,INDEX('Live History'!$H$5:$H$3004,MATCH($A174,'Live History'!$G$5:$G$3004,1)),INDEX('AH History'!$D$1:$D$18046,AH!$P$7+169))),NA()),NA())</ns0:f>
        <ns0:v>1.171280026435852</ns0:v>
      </ns0:c>
      <ns0:c r="F174">
        <ns0:f>IFERROR(IF(ISNUMBER($A174),IF(AND(AH!$P$10=1,AH!$P$12=1,$A174=TODAY()),IF(AND(AH!$P$10=1,AH!$P$12=1,$A174=TODAY()),TODAY(),NA()),IF(AH!$P$10=1,INDEX('Live History'!$D$5:$D$3004,MATCH($A174,'Live History'!$D$5:$D$3004,1)),INDEX('AH History'!$E$1:$E$18046,AH!$P$7+169))),NA()),NA())</ns0:f>
        <ns0:v>46286</ns0:v>
      </ns0:c>
      <ns0:c r="G174">
        <ns0:f>IFERROR(IF(ISNUMBER($A174),IF(AND(AH!$P$10=1,AH!$P$12=1,$A174=TODAY()),IF(AND(AH!$P$10=1,AH!$P$12=1,$A174=TODAY()),TODAY(),NA()),IF(AH!$P$10=1,INDEX('Live History'!$G$5:$G$3004,MATCH($A174,'Live History'!$G$5:$G$3004,1)),INDEX('AH History'!$F$1:$F$18046,AH!$P$7+169))),NA()),NA())</ns0:f>
        <ns0:v>46286</ns0:v>
      </ns0:c>
      <ns0:c r="H174">
        <ns0:f>IFERROR(IF(AND(AH!$E$4="Bloomberg",AH!$P$10=1,ISNUMBER($A174),$A174&lt;=AH!$P$17),AH!$P$7-1+MATCH($A174,INDEX('AH History'!$A$1:$A$18046,AH!$P$7):INDEX('AH History'!$A$1:$A$18046,AH!$P$7+AH!$P$8-1),0),0),0)</ns0:f>
        <ns0:v/>
      </ns0:c>
      <ns0:c r="I174">
        <ns0:f>IF($H174=0,0,IFERROR(IF(AND(ABS($C174-INDEX('AH History'!$B$1:$B$18046,$H174))&lt;=MAX(0.005,ABS(INDEX('AH History'!$B$1:$B$18046,$H174))*0.00005),ABS($D174-INDEX('AH History'!$C$1:$C$18046,$H174))&lt;=MAX(0.005,ABS(INDEX('AH History'!$C$1:$C$18046,$H174))*0.00005),ABS($E174-INDEX('AH History'!$D$1:$D$18046,$H174))&lt;=0.00005,$F174=INDEX('AH History'!$E$1:$E$18046,$H174),$G174=INDEX('AH History'!$F$1:$F$18046,$H174)),1,-1),-1))</ns0:f>
        <ns0:v/>
      </ns0:c>
    </ns0:row>
    <ns0:row r="175">
      <ns0:c r="A175" s="215">
        <ns0:f>IF(OR(AH!$P$3=0,170+1&gt;AH!$P$11,AND(AH!$E$4&lt;&gt;"Stored",AH!$P$10&lt;&gt;1)),"",IFERROR(IF(AND(AH!$P$21=1,170+1=AH!$P$11),TODAY(),IF(AH!$P$10=1,INDEX('Live History'!$A$5:$A$3004,AH!$P$13+170),INDEX('AH History'!$A$1:$A$18046,AH!$P$7+170))),""))</ns0:f>
        <ns0:v>46287</ns0:v>
      </ns0:c>
      <ns0:c r="B175" s="219">
        <ns0:f>IFERROR(IF(AND(AH!$P$9&lt;&gt;1,$C175&gt;0,$D175&gt;0,$E175&gt;0,$F175&gt;0,$G175&gt;0,$F175&lt;=$A175,$G175&lt;=$A175,$A175-$F175&lt;=10,$A175-$G175&lt;=5),$D175*$E175/$C175-1,NA()),NA())</ns0:f>
        <ns0:v>-0.08693297764127561</ns0:v>
      </ns0:c>
      <ns0:c r="C175">
        <ns0:f>IFERROR(IF(ISNUMBER($A175),IF(AND(AH!$P$10=1,AH!$P$12=1,$A175=TODAY()),AH!$P$19,IF(AH!$P$10=1,INDEX('Live History'!$B$5:$B$3004,AH!$P$13+170),INDEX('AH History'!$B$1:$B$18046,AH!$P$7+170))),NA()),NA())</ns0:f>
        <ns0:v>516.0</ns0:v>
      </ns0:c>
      <ns0:c r="D175">
        <ns0:f>IFERROR(IF(ISNUMBER($A175),IF(AND(AH!$P$10=1,AH!$P$12=1,$A175=TODAY()),AH!$P$18,IF(AH!$P$10=1,INDEX('Live History'!$E$5:$E$3004,MATCH($A175,'Live History'!$D$5:$D$3004,1)),INDEX('AH History'!$C$1:$C$18046,AH!$P$7+170))),NA()),NA())</ns0:f>
        <ns0:v>402.1</ns0:v>
      </ns0:c>
      <ns0:c r="E175">
        <ns0:f>IFERROR(IF(ISNUMBER($A175),IF(AND(AH!$P$10=1,AH!$P$12=1,$A175=TODAY()),AH!$P$20,IF(AH!$P$10=1,INDEX('Live History'!$H$5:$H$3004,MATCH($A175,'Live History'!$G$5:$G$3004,1)),INDEX('AH History'!$D$1:$D$18046,AH!$P$7+170))),NA()),NA())</ns0:f>
        <ns0:v>1.1717050075531006</ns0:v>
      </ns0:c>
      <ns0:c r="F175">
        <ns0:f>IFERROR(IF(ISNUMBER($A175),IF(AND(AH!$P$10=1,AH!$P$12=1,$A175=TODAY()),IF(AND(AH!$P$10=1,AH!$P$12=1,$A175=TODAY()),TODAY(),NA()),IF(AH!$P$10=1,INDEX('Live History'!$D$5:$D$3004,MATCH($A175,'Live History'!$D$5:$D$3004,1)),INDEX('AH History'!$E$1:$E$18046,AH!$P$7+170))),NA()),NA())</ns0:f>
        <ns0:v>46287</ns0:v>
      </ns0:c>
      <ns0:c r="G175">
        <ns0:f>IFERROR(IF(ISNUMBER($A175),IF(AND(AH!$P$10=1,AH!$P$12=1,$A175=TODAY()),IF(AND(AH!$P$10=1,AH!$P$12=1,$A175=TODAY()),TODAY(),NA()),IF(AH!$P$10=1,INDEX('Live History'!$G$5:$G$3004,MATCH($A175,'Live History'!$G$5:$G$3004,1)),INDEX('AH History'!$F$1:$F$18046,AH!$P$7+170))),NA()),NA())</ns0:f>
        <ns0:v>46287</ns0:v>
      </ns0:c>
      <ns0:c r="H175">
        <ns0:f>IFERROR(IF(AND(AH!$E$4="Bloomberg",AH!$P$10=1,ISNUMBER($A175),$A175&lt;=AH!$P$17),AH!$P$7-1+MATCH($A175,INDEX('AH History'!$A$1:$A$18046,AH!$P$7):INDEX('AH History'!$A$1:$A$18046,AH!$P$7+AH!$P$8-1),0),0),0)</ns0:f>
        <ns0:v/>
      </ns0:c>
      <ns0:c r="I175">
        <ns0:f>IF($H175=0,0,IFERROR(IF(AND(ABS($C175-INDEX('AH History'!$B$1:$B$18046,$H175))&lt;=MAX(0.005,ABS(INDEX('AH History'!$B$1:$B$18046,$H175))*0.00005),ABS($D175-INDEX('AH History'!$C$1:$C$18046,$H175))&lt;=MAX(0.005,ABS(INDEX('AH History'!$C$1:$C$18046,$H175))*0.00005),ABS($E175-INDEX('AH History'!$D$1:$D$18046,$H175))&lt;=0.00005,$F175=INDEX('AH History'!$E$1:$E$18046,$H175),$G175=INDEX('AH History'!$F$1:$F$18046,$H175)),1,-1),-1))</ns0:f>
        <ns0:v/>
      </ns0:c>
    </ns0:row>
    <ns0:row r="176">
      <ns0:c r="A176" s="215">
        <ns0:f>IF(OR(AH!$P$3=0,171+1&gt;AH!$P$11,AND(AH!$E$4&lt;&gt;"Stored",AH!$P$10&lt;&gt;1)),"",IFERROR(IF(AND(AH!$P$21=1,171+1=AH!$P$11),TODAY(),IF(AH!$P$10=1,INDEX('Live History'!$A$5:$A$3004,AH!$P$13+171),INDEX('AH History'!$A$1:$A$18046,AH!$P$7+171))),""))</ns0:f>
        <ns0:v>46288</ns0:v>
      </ns0:c>
      <ns0:c r="B176" s="219">
        <ns0:f>IFERROR(IF(AND(AH!$P$9&lt;&gt;1,$C176&gt;0,$D176&gt;0,$E176&gt;0,$F176&gt;0,$G176&gt;0,$F176&lt;=$A176,$G176&lt;=$A176,$A176-$F176&lt;=10,$A176-$G176&lt;=5),$D176*$E176/$C176-1,NA()),NA())</ns0:f>
        <ns0:v>-0.09545343517333038</ns0:v>
      </ns0:c>
      <ns0:c r="C176">
        <ns0:f>IFERROR(IF(ISNUMBER($A176),IF(AND(AH!$P$10=1,AH!$P$12=1,$A176=TODAY()),AH!$P$19,IF(AH!$P$10=1,INDEX('Live History'!$B$5:$B$3004,AH!$P$13+171),INDEX('AH History'!$B$1:$B$18046,AH!$P$7+171))),NA()),NA())</ns0:f>
        <ns0:v>516.0</ns0:v>
      </ns0:c>
      <ns0:c r="D176">
        <ns0:f>IFERROR(IF(ISNUMBER($A176),IF(AND(AH!$P$10=1,AH!$P$12=1,$A176=TODAY()),AH!$P$18,IF(AH!$P$10=1,INDEX('Live History'!$E$5:$E$3004,MATCH($A176,'Live History'!$D$5:$D$3004,1)),INDEX('AH History'!$C$1:$C$18046,AH!$P$7+171))),NA()),NA())</ns0:f>
        <ns0:v>398.72</ns0:v>
      </ns0:c>
      <ns0:c r="E176">
        <ns0:f>IFERROR(IF(ISNUMBER($A176),IF(AND(AH!$P$10=1,AH!$P$12=1,$A176=TODAY()),AH!$P$20,IF(AH!$P$10=1,INDEX('Live History'!$H$5:$H$3004,MATCH($A176,'Live History'!$G$5:$G$3004,1)),INDEX('AH History'!$D$1:$D$18046,AH!$P$7+171))),NA()),NA())</ns0:f>
        <ns0:v>1.170611023902893</ns0:v>
      </ns0:c>
      <ns0:c r="F176">
        <ns0:f>IFERROR(IF(ISNUMBER($A176),IF(AND(AH!$P$10=1,AH!$P$12=1,$A176=TODAY()),IF(AND(AH!$P$10=1,AH!$P$12=1,$A176=TODAY()),TODAY(),NA()),IF(AH!$P$10=1,INDEX('Live History'!$D$5:$D$3004,MATCH($A176,'Live History'!$D$5:$D$3004,1)),INDEX('AH History'!$E$1:$E$18046,AH!$P$7+171))),NA()),NA())</ns0:f>
        <ns0:v>46288</ns0:v>
      </ns0:c>
      <ns0:c r="G176">
        <ns0:f>IFERROR(IF(ISNUMBER($A176),IF(AND(AH!$P$10=1,AH!$P$12=1,$A176=TODAY()),IF(AND(AH!$P$10=1,AH!$P$12=1,$A176=TODAY()),TODAY(),NA()),IF(AH!$P$10=1,INDEX('Live History'!$G$5:$G$3004,MATCH($A176,'Live History'!$G$5:$G$3004,1)),INDEX('AH History'!$F$1:$F$18046,AH!$P$7+171))),NA()),NA())</ns0:f>
        <ns0:v>46288</ns0:v>
      </ns0:c>
      <ns0:c r="H176">
        <ns0:f>IFERROR(IF(AND(AH!$E$4="Bloomberg",AH!$P$10=1,ISNUMBER($A176),$A176&lt;=AH!$P$17),AH!$P$7-1+MATCH($A176,INDEX('AH History'!$A$1:$A$18046,AH!$P$7):INDEX('AH History'!$A$1:$A$18046,AH!$P$7+AH!$P$8-1),0),0),0)</ns0:f>
        <ns0:v/>
      </ns0:c>
      <ns0:c r="I176">
        <ns0:f>IF($H176=0,0,IFERROR(IF(AND(ABS($C176-INDEX('AH History'!$B$1:$B$18046,$H176))&lt;=MAX(0.005,ABS(INDEX('AH History'!$B$1:$B$18046,$H176))*0.00005),ABS($D176-INDEX('AH History'!$C$1:$C$18046,$H176))&lt;=MAX(0.005,ABS(INDEX('AH History'!$C$1:$C$18046,$H176))*0.00005),ABS($E176-INDEX('AH History'!$D$1:$D$18046,$H176))&lt;=0.00005,$F176=INDEX('AH History'!$E$1:$E$18046,$H176),$G176=INDEX('AH History'!$F$1:$F$18046,$H176)),1,-1),-1))</ns0:f>
        <ns0:v/>
      </ns0:c>
    </ns0:row>
    <ns0:row r="177">
      <ns0:c r="A177" s="215">
        <ns0:f>IF(OR(AH!$P$3=0,172+1&gt;AH!$P$11,AND(AH!$E$4&lt;&gt;"Stored",AH!$P$10&lt;&gt;1)),"",IFERROR(IF(AND(AH!$P$21=1,172+1=AH!$P$11),TODAY(),IF(AH!$P$10=1,INDEX('Live History'!$A$5:$A$3004,AH!$P$13+172),INDEX('AH History'!$A$1:$A$18046,AH!$P$7+172))),""))</ns0:f>
        <ns0:v>46289</ns0:v>
      </ns0:c>
      <ns0:c r="B177" s="219">
        <ns0:f>IFERROR(IF(AND(AH!$P$9&lt;&gt;1,$C177&gt;0,$D177&gt;0,$E177&gt;0,$F177&gt;0,$G177&gt;0,$F177&lt;=$A177,$G177&lt;=$A177,$A177-$F177&lt;=10,$A177-$G177&lt;=5),$D177*$E177/$C177-1,NA()),NA())</ns0:f>
        <ns0:v>-0.08405791763824977</ns0:v>
      </ns0:c>
      <ns0:c r="C177">
        <ns0:f>IFERROR(IF(ISNUMBER($A177),IF(AND(AH!$P$10=1,AH!$P$12=1,$A177=TODAY()),AH!$P$19,IF(AH!$P$10=1,INDEX('Live History'!$B$5:$B$3004,AH!$P$13+172),INDEX('AH History'!$B$1:$B$18046,AH!$P$7+172))),NA()),NA())</ns0:f>
        <ns0:v>489.6</ns0:v>
      </ns0:c>
      <ns0:c r="D177">
        <ns0:f>IFERROR(IF(ISNUMBER($A177),IF(AND(AH!$P$10=1,AH!$P$12=1,$A177=TODAY()),AH!$P$18,IF(AH!$P$10=1,INDEX('Live History'!$E$5:$E$3004,MATCH($A177,'Live History'!$D$5:$D$3004,1)),INDEX('AH History'!$C$1:$C$18046,AH!$P$7+172))),NA()),NA())</ns0:f>
        <ns0:v>383.77</ns0:v>
      </ns0:c>
      <ns0:c r="E177">
        <ns0:f>IFERROR(IF(ISNUMBER($A177),IF(AND(AH!$P$10=1,AH!$P$12=1,$A177=TODAY()),AH!$P$20,IF(AH!$P$10=1,INDEX('Live History'!$H$5:$H$3004,MATCH($A177,'Live History'!$G$5:$G$3004,1)),INDEX('AH History'!$D$1:$D$18046,AH!$P$7+172))),NA()),NA())</ns0:f>
        <ns0:v>1.16852605342865</ns0:v>
      </ns0:c>
      <ns0:c r="F177">
        <ns0:f>IFERROR(IF(ISNUMBER($A177),IF(AND(AH!$P$10=1,AH!$P$12=1,$A177=TODAY()),IF(AND(AH!$P$10=1,AH!$P$12=1,$A177=TODAY()),TODAY(),NA()),IF(AH!$P$10=1,INDEX('Live History'!$D$5:$D$3004,MATCH($A177,'Live History'!$D$5:$D$3004,1)),INDEX('AH History'!$E$1:$E$18046,AH!$P$7+172))),NA()),NA())</ns0:f>
        <ns0:v>46289</ns0:v>
      </ns0:c>
      <ns0:c r="G177">
        <ns0:f>IFERROR(IF(ISNUMBER($A177),IF(AND(AH!$P$10=1,AH!$P$12=1,$A177=TODAY()),IF(AND(AH!$P$10=1,AH!$P$12=1,$A177=TODAY()),TODAY(),NA()),IF(AH!$P$10=1,INDEX('Live History'!$G$5:$G$3004,MATCH($A177,'Live History'!$G$5:$G$3004,1)),INDEX('AH History'!$F$1:$F$18046,AH!$P$7+172))),NA()),NA())</ns0:f>
        <ns0:v>46289</ns0:v>
      </ns0:c>
      <ns0:c r="H177">
        <ns0:f>IFERROR(IF(AND(AH!$E$4="Bloomberg",AH!$P$10=1,ISNUMBER($A177),$A177&lt;=AH!$P$17),AH!$P$7-1+MATCH($A177,INDEX('AH History'!$A$1:$A$18046,AH!$P$7):INDEX('AH History'!$A$1:$A$18046,AH!$P$7+AH!$P$8-1),0),0),0)</ns0:f>
        <ns0:v/>
      </ns0:c>
      <ns0:c r="I177">
        <ns0:f>IF($H177=0,0,IFERROR(IF(AND(ABS($C177-INDEX('AH History'!$B$1:$B$18046,$H177))&lt;=MAX(0.005,ABS(INDEX('AH History'!$B$1:$B$18046,$H177))*0.00005),ABS($D177-INDEX('AH History'!$C$1:$C$18046,$H177))&lt;=MAX(0.005,ABS(INDEX('AH History'!$C$1:$C$18046,$H177))*0.00005),ABS($E177-INDEX('AH History'!$D$1:$D$18046,$H177))&lt;=0.00005,$F177=INDEX('AH History'!$E$1:$E$18046,$H177),$G177=INDEX('AH History'!$F$1:$F$18046,$H177)),1,-1),-1))</ns0:f>
        <ns0:v/>
      </ns0:c>
    </ns0:row>
    <ns0:row r="178">
      <ns0:c r="A178" s="215">
        <ns0:f>IF(OR(AH!$P$3=0,173+1&gt;AH!$P$11,AND(AH!$E$4&lt;&gt;"Stored",AH!$P$10&lt;&gt;1)),"",IFERROR(IF(AND(AH!$P$21=1,173+1=AH!$P$11),TODAY(),IF(AH!$P$10=1,INDEX('Live History'!$A$5:$A$3004,AH!$P$13+173),INDEX('AH History'!$A$1:$A$18046,AH!$P$7+173))),""))</ns0:f>
        <ns0:v>46290</ns0:v>
      </ns0:c>
      <ns0:c r="B178" s="219">
        <ns0:f>IFERROR(IF(AND(AH!$P$9&lt;&gt;1,$C178&gt;0,$D178&gt;0,$E178&gt;0,$F178&gt;0,$G178&gt;0,$F178&lt;=$A178,$G178&lt;=$A178,$A178-$F178&lt;=10,$A178-$G178&lt;=5),$D178*$E178/$C178-1,NA()),NA())</ns0:f>
        <ns0:v>-0.071623017755848</ns0:v>
      </ns0:c>
      <ns0:c r="C178">
        <ns0:f>IFERROR(IF(ISNUMBER($A178),IF(AND(AH!$P$10=1,AH!$P$12=1,$A178=TODAY()),AH!$P$19,IF(AH!$P$10=1,INDEX('Live History'!$B$5:$B$3004,AH!$P$13+173),INDEX('AH History'!$B$1:$B$18046,AH!$P$7+173))),NA()),NA())</ns0:f>
        <ns0:v>483.0</ns0:v>
      </ns0:c>
      <ns0:c r="D178">
        <ns0:f>IFERROR(IF(ISNUMBER($A178),IF(AND(AH!$P$10=1,AH!$P$12=1,$A178=TODAY()),AH!$P$18,IF(AH!$P$10=1,INDEX('Live History'!$E$5:$E$3004,MATCH($A178,'Live History'!$D$5:$D$3004,1)),INDEX('AH History'!$C$1:$C$18046,AH!$P$7+173))),NA()),NA())</ns0:f>
        <ns0:v>383.77</ns0:v>
      </ns0:c>
      <ns0:c r="E178">
        <ns0:f>IFERROR(IF(ISNUMBER($A178),IF(AND(AH!$P$10=1,AH!$P$12=1,$A178=TODAY()),AH!$P$20,IF(AH!$P$10=1,INDEX('Live History'!$H$5:$H$3004,MATCH($A178,'Live History'!$G$5:$G$3004,1)),INDEX('AH History'!$D$1:$D$18046,AH!$P$7+173))),NA()),NA())</ns0:f>
        <ns0:v>1.1684240102767944</ns0:v>
      </ns0:c>
      <ns0:c r="F178">
        <ns0:f>IFERROR(IF(ISNUMBER($A178),IF(AND(AH!$P$10=1,AH!$P$12=1,$A178=TODAY()),IF(AND(AH!$P$10=1,AH!$P$12=1,$A178=TODAY()),TODAY(),NA()),IF(AH!$P$10=1,INDEX('Live History'!$D$5:$D$3004,MATCH($A178,'Live History'!$D$5:$D$3004,1)),INDEX('AH History'!$E$1:$E$18046,AH!$P$7+173))),NA()),NA())</ns0:f>
        <ns0:v>46289</ns0:v>
      </ns0:c>
      <ns0:c r="G178">
        <ns0:f>IFERROR(IF(ISNUMBER($A178),IF(AND(AH!$P$10=1,AH!$P$12=1,$A178=TODAY()),IF(AND(AH!$P$10=1,AH!$P$12=1,$A178=TODAY()),TODAY(),NA()),IF(AH!$P$10=1,INDEX('Live History'!$G$5:$G$3004,MATCH($A178,'Live History'!$G$5:$G$3004,1)),INDEX('AH History'!$F$1:$F$18046,AH!$P$7+173))),NA()),NA())</ns0:f>
        <ns0:v>46290</ns0:v>
      </ns0:c>
      <ns0:c r="H178">
        <ns0:f>IFERROR(IF(AND(AH!$E$4="Bloomberg",AH!$P$10=1,ISNUMBER($A178),$A178&lt;=AH!$P$17),AH!$P$7-1+MATCH($A178,INDEX('AH History'!$A$1:$A$18046,AH!$P$7):INDEX('AH History'!$A$1:$A$18046,AH!$P$7+AH!$P$8-1),0),0),0)</ns0:f>
        <ns0:v/>
      </ns0:c>
      <ns0:c r="I178">
        <ns0:f>IF($H178=0,0,IFERROR(IF(AND(ABS($C178-INDEX('AH History'!$B$1:$B$18046,$H178))&lt;=MAX(0.005,ABS(INDEX('AH History'!$B$1:$B$18046,$H178))*0.00005),ABS($D178-INDEX('AH History'!$C$1:$C$18046,$H178))&lt;=MAX(0.005,ABS(INDEX('AH History'!$C$1:$C$18046,$H178))*0.00005),ABS($E178-INDEX('AH History'!$D$1:$D$18046,$H178))&lt;=0.00005,$F178=INDEX('AH History'!$E$1:$E$18046,$H178),$G178=INDEX('AH History'!$F$1:$F$18046,$H178)),1,-1),-1))</ns0:f>
        <ns0:v/>
      </ns0:c>
    </ns0:row>
    <ns0:row r="179">
      <ns0:c r="A179" s="215">
        <ns0:f>IF(OR(AH!$P$3=0,174+1&gt;AH!$P$11,AND(AH!$E$4&lt;&gt;"Stored",AH!$P$10&lt;&gt;1)),"",IFERROR(IF(AND(AH!$P$21=1,174+1=AH!$P$11),TODAY(),IF(AH!$P$10=1,INDEX('Live History'!$A$5:$A$3004,AH!$P$13+174),INDEX('AH History'!$A$1:$A$18046,AH!$P$7+174))),""))</ns0:f>
        <ns0:v>46293</ns0:v>
      </ns0:c>
      <ns0:c r="B179" s="219">
        <ns0:f>IFERROR(IF(AND(AH!$P$9&lt;&gt;1,$C179&gt;0,$D179&gt;0,$E179&gt;0,$F179&gt;0,$G179&gt;0,$F179&lt;=$A179,$G179&lt;=$A179,$A179-$F179&lt;=10,$A179-$G179&lt;=5),$D179*$E179/$C179-1,NA()),NA())</ns0:f>
        <ns0:v>-0.06542718191595809</ns0:v>
      </ns0:c>
      <ns0:c r="C179">
        <ns0:f>IFERROR(IF(ISNUMBER($A179),IF(AND(AH!$P$10=1,AH!$P$12=1,$A179=TODAY()),AH!$P$19,IF(AH!$P$10=1,INDEX('Live History'!$B$5:$B$3004,AH!$P$13+174),INDEX('AH History'!$B$1:$B$18046,AH!$P$7+174))),NA()),NA())</ns0:f>
        <ns0:v>448.2</ns0:v>
      </ns0:c>
      <ns0:c r="D179">
        <ns0:f>IFERROR(IF(ISNUMBER($A179),IF(AND(AH!$P$10=1,AH!$P$12=1,$A179=TODAY()),AH!$P$18,IF(AH!$P$10=1,INDEX('Live History'!$E$5:$E$3004,MATCH($A179,'Live History'!$D$5:$D$3004,1)),INDEX('AH History'!$C$1:$C$18046,AH!$P$7+174))),NA()),NA())</ns0:f>
        <ns0:v>358.51</ns0:v>
      </ns0:c>
      <ns0:c r="E179">
        <ns0:f>IFERROR(IF(ISNUMBER($A179),IF(AND(AH!$P$10=1,AH!$P$12=1,$A179=TODAY()),AH!$P$20,IF(AH!$P$10=1,INDEX('Live History'!$H$5:$H$3004,MATCH($A179,'Live History'!$G$5:$G$3004,1)),INDEX('AH History'!$D$1:$D$18046,AH!$P$7+174))),NA()),NA())</ns0:f>
        <ns0:v>1.1683789491653442</ns0:v>
      </ns0:c>
      <ns0:c r="F179">
        <ns0:f>IFERROR(IF(ISNUMBER($A179),IF(AND(AH!$P$10=1,AH!$P$12=1,$A179=TODAY()),IF(AND(AH!$P$10=1,AH!$P$12=1,$A179=TODAY()),TODAY(),NA()),IF(AH!$P$10=1,INDEX('Live History'!$D$5:$D$3004,MATCH($A179,'Live History'!$D$5:$D$3004,1)),INDEX('AH History'!$E$1:$E$18046,AH!$P$7+174))),NA()),NA())</ns0:f>
        <ns0:v>46293</ns0:v>
      </ns0:c>
      <ns0:c r="G179">
        <ns0:f>IFERROR(IF(ISNUMBER($A179),IF(AND(AH!$P$10=1,AH!$P$12=1,$A179=TODAY()),IF(AND(AH!$P$10=1,AH!$P$12=1,$A179=TODAY()),TODAY(),NA()),IF(AH!$P$10=1,INDEX('Live History'!$G$5:$G$3004,MATCH($A179,'Live History'!$G$5:$G$3004,1)),INDEX('AH History'!$F$1:$F$18046,AH!$P$7+174))),NA()),NA())</ns0:f>
        <ns0:v>46293</ns0:v>
      </ns0:c>
      <ns0:c r="H179">
        <ns0:f>IFERROR(IF(AND(AH!$E$4="Bloomberg",AH!$P$10=1,ISNUMBER($A179),$A179&lt;=AH!$P$17),AH!$P$7-1+MATCH($A179,INDEX('AH History'!$A$1:$A$18046,AH!$P$7):INDEX('AH History'!$A$1:$A$18046,AH!$P$7+AH!$P$8-1),0),0),0)</ns0:f>
        <ns0:v/>
      </ns0:c>
      <ns0:c r="I179">
        <ns0:f>IF($H179=0,0,IFERROR(IF(AND(ABS($C179-INDEX('AH History'!$B$1:$B$18046,$H179))&lt;=MAX(0.005,ABS(INDEX('AH History'!$B$1:$B$18046,$H179))*0.00005),ABS($D179-INDEX('AH History'!$C$1:$C$18046,$H179))&lt;=MAX(0.005,ABS(INDEX('AH History'!$C$1:$C$18046,$H179))*0.00005),ABS($E179-INDEX('AH History'!$D$1:$D$18046,$H179))&lt;=0.00005,$F179=INDEX('AH History'!$E$1:$E$18046,$H179),$G179=INDEX('AH History'!$F$1:$F$18046,$H179)),1,-1),-1))</ns0:f>
        <ns0:v/>
      </ns0:c>
    </ns0:row>
    <ns0:row r="180">
      <ns0:c r="A180" s="215">
        <ns0:f>IF(OR(AH!$P$3=0,175+1&gt;AH!$P$11,AND(AH!$E$4&lt;&gt;"Stored",AH!$P$10&lt;&gt;1)),"",IFERROR(IF(AND(AH!$P$21=1,175+1=AH!$P$11),TODAY(),IF(AH!$P$10=1,INDEX('Live History'!$A$5:$A$3004,AH!$P$13+175),INDEX('AH History'!$A$1:$A$18046,AH!$P$7+175))),""))</ns0:f>
        <ns0:v>46294</ns0:v>
      </ns0:c>
      <ns0:c r="B180" s="219">
        <ns0:f>IFERROR(IF(AND(AH!$P$9&lt;&gt;1,$C180&gt;0,$D180&gt;0,$E180&gt;0,$F180&gt;0,$G180&gt;0,$F180&lt;=$A180,$G180&lt;=$A180,$A180-$F180&lt;=10,$A180-$G180&lt;=5),$D180*$E180/$C180-1,NA()),NA())</ns0:f>
        <ns0:v>-0.07806505097084293</ns0:v>
      </ns0:c>
      <ns0:c r="C180">
        <ns0:f>IFERROR(IF(ISNUMBER($A180),IF(AND(AH!$P$10=1,AH!$P$12=1,$A180=TODAY()),AH!$P$19,IF(AH!$P$10=1,INDEX('Live History'!$B$5:$B$3004,AH!$P$13+175),INDEX('AH History'!$B$1:$B$18046,AH!$P$7+175))),NA()),NA())</ns0:f>
        <ns0:v>466.0</ns0:v>
      </ns0:c>
      <ns0:c r="D180">
        <ns0:f>IFERROR(IF(ISNUMBER($A180),IF(AND(AH!$P$10=1,AH!$P$12=1,$A180=TODAY()),AH!$P$18,IF(AH!$P$10=1,INDEX('Live History'!$E$5:$E$3004,MATCH($A180,'Live History'!$D$5:$D$3004,1)),INDEX('AH History'!$C$1:$C$18046,AH!$P$7+175))),NA()),NA())</ns0:f>
        <ns0:v>367.57</ns0:v>
      </ns0:c>
      <ns0:c r="E180">
        <ns0:f>IFERROR(IF(ISNUMBER($A180),IF(AND(AH!$P$10=1,AH!$P$12=1,$A180=TODAY()),AH!$P$20,IF(AH!$P$10=1,INDEX('Live History'!$H$5:$H$3004,MATCH($A180,'Live History'!$G$5:$G$3004,1)),INDEX('AH History'!$D$1:$D$18046,AH!$P$7+175))),NA()),NA())</ns0:f>
        <ns0:v>1.1688159704208374</ns0:v>
      </ns0:c>
      <ns0:c r="F180">
        <ns0:f>IFERROR(IF(ISNUMBER($A180),IF(AND(AH!$P$10=1,AH!$P$12=1,$A180=TODAY()),IF(AND(AH!$P$10=1,AH!$P$12=1,$A180=TODAY()),TODAY(),NA()),IF(AH!$P$10=1,INDEX('Live History'!$D$5:$D$3004,MATCH($A180,'Live History'!$D$5:$D$3004,1)),INDEX('AH History'!$E$1:$E$18046,AH!$P$7+175))),NA()),NA())</ns0:f>
        <ns0:v>46294</ns0:v>
      </ns0:c>
      <ns0:c r="G180">
        <ns0:f>IFERROR(IF(ISNUMBER($A180),IF(AND(AH!$P$10=1,AH!$P$12=1,$A180=TODAY()),IF(AND(AH!$P$10=1,AH!$P$12=1,$A180=TODAY()),TODAY(),NA()),IF(AH!$P$10=1,INDEX('Live History'!$G$5:$G$3004,MATCH($A180,'Live History'!$G$5:$G$3004,1)),INDEX('AH History'!$F$1:$F$18046,AH!$P$7+175))),NA()),NA())</ns0:f>
        <ns0:v>46294</ns0:v>
      </ns0:c>
      <ns0:c r="H180">
        <ns0:f>IFERROR(IF(AND(AH!$E$4="Bloomberg",AH!$P$10=1,ISNUMBER($A180),$A180&lt;=AH!$P$17),AH!$P$7-1+MATCH($A180,INDEX('AH History'!$A$1:$A$18046,AH!$P$7):INDEX('AH History'!$A$1:$A$18046,AH!$P$7+AH!$P$8-1),0),0),0)</ns0:f>
        <ns0:v/>
      </ns0:c>
      <ns0:c r="I180">
        <ns0:f>IF($H180=0,0,IFERROR(IF(AND(ABS($C180-INDEX('AH History'!$B$1:$B$18046,$H180))&lt;=MAX(0.005,ABS(INDEX('AH History'!$B$1:$B$18046,$H180))*0.00005),ABS($D180-INDEX('AH History'!$C$1:$C$18046,$H180))&lt;=MAX(0.005,ABS(INDEX('AH History'!$C$1:$C$18046,$H180))*0.00005),ABS($E180-INDEX('AH History'!$D$1:$D$18046,$H180))&lt;=0.00005,$F180=INDEX('AH History'!$E$1:$E$18046,$H180),$G180=INDEX('AH History'!$F$1:$F$18046,$H180)),1,-1),-1))</ns0:f>
        <ns0:v/>
      </ns0:c>
    </ns0:row>
    <ns0:row r="181">
      <ns0:c r="A181" s="215">
        <ns0:f>IF(OR(AH!$P$3=0,176+1&gt;AH!$P$11,AND(AH!$E$4&lt;&gt;"Stored",AH!$P$10&lt;&gt;1)),"",IFERROR(IF(AND(AH!$P$21=1,176+1=AH!$P$11),TODAY(),IF(AH!$P$10=1,INDEX('Live History'!$A$5:$A$3004,AH!$P$13+176),INDEX('AH History'!$A$1:$A$18046,AH!$P$7+176))),""))</ns0:f>
        <ns0:v>46295</ns0:v>
      </ns0:c>
      <ns0:c r="B181" s="219">
        <ns0:f>IFERROR(IF(AND(AH!$P$9&lt;&gt;1,$C181&gt;0,$D181&gt;0,$E181&gt;0,$F181&gt;0,$G181&gt;0,$F181&lt;=$A181,$G181&lt;=$A181,$A181-$F181&lt;=10,$A181-$G181&lt;=5),$D181*$E181/$C181-1,NA()),NA())</ns0:f>
        <ns0:v>-0.07857222942589026</ns0:v>
      </ns0:c>
      <ns0:c r="C181">
        <ns0:f>IFERROR(IF(ISNUMBER($A181),IF(AND(AH!$P$10=1,AH!$P$12=1,$A181=TODAY()),AH!$P$19,IF(AH!$P$10=1,INDEX('Live History'!$B$5:$B$3004,AH!$P$13+176),INDEX('AH History'!$B$1:$B$18046,AH!$P$7+176))),NA()),NA())</ns0:f>
        <ns0:v>449.6</ns0:v>
      </ns0:c>
      <ns0:c r="D181">
        <ns0:f>IFERROR(IF(ISNUMBER($A181),IF(AND(AH!$P$10=1,AH!$P$12=1,$A181=TODAY()),AH!$P$18,IF(AH!$P$10=1,INDEX('Live History'!$E$5:$E$3004,MATCH($A181,'Live History'!$D$5:$D$3004,1)),INDEX('AH History'!$C$1:$C$18046,AH!$P$7+176))),NA()),NA())</ns0:f>
        <ns0:v>353.9</ns0:v>
      </ns0:c>
      <ns0:c r="E181">
        <ns0:f>IFERROR(IF(ISNUMBER($A181),IF(AND(AH!$P$10=1,AH!$P$12=1,$A181=TODAY()),AH!$P$20,IF(AH!$P$10=1,INDEX('Live History'!$H$5:$H$3004,MATCH($A181,'Live History'!$G$5:$G$3004,1)),INDEX('AH History'!$D$1:$D$18046,AH!$P$7+176))),NA()),NA())</ns0:f>
        <ns0:v>1.1705960035324097</ns0:v>
      </ns0:c>
      <ns0:c r="F181">
        <ns0:f>IFERROR(IF(ISNUMBER($A181),IF(AND(AH!$P$10=1,AH!$P$12=1,$A181=TODAY()),IF(AND(AH!$P$10=1,AH!$P$12=1,$A181=TODAY()),TODAY(),NA()),IF(AH!$P$10=1,INDEX('Live History'!$D$5:$D$3004,MATCH($A181,'Live History'!$D$5:$D$3004,1)),INDEX('AH History'!$E$1:$E$18046,AH!$P$7+176))),NA()),NA())</ns0:f>
        <ns0:v>46295</ns0:v>
      </ns0:c>
      <ns0:c r="G181">
        <ns0:f>IFERROR(IF(ISNUMBER($A181),IF(AND(AH!$P$10=1,AH!$P$12=1,$A181=TODAY()),IF(AND(AH!$P$10=1,AH!$P$12=1,$A181=TODAY()),TODAY(),NA()),IF(AH!$P$10=1,INDEX('Live History'!$G$5:$G$3004,MATCH($A181,'Live History'!$G$5:$G$3004,1)),INDEX('AH History'!$F$1:$F$18046,AH!$P$7+176))),NA()),NA())</ns0:f>
        <ns0:v>46295</ns0:v>
      </ns0:c>
      <ns0:c r="H181">
        <ns0:f>IFERROR(IF(AND(AH!$E$4="Bloomberg",AH!$P$10=1,ISNUMBER($A181),$A181&lt;=AH!$P$17),AH!$P$7-1+MATCH($A181,INDEX('AH History'!$A$1:$A$18046,AH!$P$7):INDEX('AH History'!$A$1:$A$18046,AH!$P$7+AH!$P$8-1),0),0),0)</ns0:f>
        <ns0:v/>
      </ns0:c>
      <ns0:c r="I181">
        <ns0:f>IF($H181=0,0,IFERROR(IF(AND(ABS($C181-INDEX('AH History'!$B$1:$B$18046,$H181))&lt;=MAX(0.005,ABS(INDEX('AH History'!$B$1:$B$18046,$H181))*0.00005),ABS($D181-INDEX('AH History'!$C$1:$C$18046,$H181))&lt;=MAX(0.005,ABS(INDEX('AH History'!$C$1:$C$18046,$H181))*0.00005),ABS($E181-INDEX('AH History'!$D$1:$D$18046,$H181))&lt;=0.00005,$F181=INDEX('AH History'!$E$1:$E$18046,$H181),$G181=INDEX('AH History'!$F$1:$F$18046,$H181)),1,-1),-1))</ns0:f>
        <ns0:v/>
      </ns0:c>
    </ns0:row>
    <ns0:row r="182">
      <ns0:c r="A182" s="215">
        <ns0:f>IF(OR(AH!$P$3=0,177+1&gt;AH!$P$11,AND(AH!$E$4&lt;&gt;"Stored",AH!$P$10&lt;&gt;1)),"",IFERROR(IF(AND(AH!$P$21=1,177+1=AH!$P$11),TODAY(),IF(AH!$P$10=1,INDEX('Live History'!$A$5:$A$3004,AH!$P$13+177),INDEX('AH History'!$A$1:$A$18046,AH!$P$7+177))),""))</ns0:f>
        <ns0:v>46297</ns0:v>
      </ns0:c>
      <ns0:c r="B182" s="219">
        <ns0:f>IFERROR(IF(AND(AH!$P$9&lt;&gt;1,$C182&gt;0,$D182&gt;0,$E182&gt;0,$F182&gt;0,$G182&gt;0,$F182&lt;=$A182,$G182&lt;=$A182,$A182-$F182&lt;=10,$A182-$G182&lt;=5),$D182*$E182/$C182-1,NA()),NA())</ns0:f>
        <ns0:v>-0.08939929271121771</ns0:v>
      </ns0:c>
      <ns0:c r="C182">
        <ns0:f>IFERROR(IF(ISNUMBER($A182),IF(AND(AH!$P$10=1,AH!$P$12=1,$A182=TODAY()),AH!$P$19,IF(AH!$P$10=1,INDEX('Live History'!$B$5:$B$3004,AH!$P$13+177),INDEX('AH History'!$B$1:$B$18046,AH!$P$7+177))),NA()),NA())</ns0:f>
        <ns0:v>454.8</ns0:v>
      </ns0:c>
      <ns0:c r="D182">
        <ns0:f>IFERROR(IF(ISNUMBER($A182),IF(AND(AH!$P$10=1,AH!$P$12=1,$A182=TODAY()),AH!$P$18,IF(AH!$P$10=1,INDEX('Live History'!$E$5:$E$3004,MATCH($A182,'Live History'!$D$5:$D$3004,1)),INDEX('AH History'!$C$1:$C$18046,AH!$P$7+177))),NA()),NA())</ns0:f>
        <ns0:v>353.9</ns0:v>
      </ns0:c>
      <ns0:c r="E182">
        <ns0:f>IFERROR(IF(ISNUMBER($A182),IF(AND(AH!$P$10=1,AH!$P$12=1,$A182=TODAY()),AH!$P$20,IF(AH!$P$10=1,INDEX('Live History'!$H$5:$H$3004,MATCH($A182,'Live History'!$G$5:$G$3004,1)),INDEX('AH History'!$D$1:$D$18046,AH!$P$7+177))),NA()),NA())</ns0:f>
        <ns0:v>1.170220971107483</ns0:v>
      </ns0:c>
      <ns0:c r="F182">
        <ns0:f>IFERROR(IF(ISNUMBER($A182),IF(AND(AH!$P$10=1,AH!$P$12=1,$A182=TODAY()),IF(AND(AH!$P$10=1,AH!$P$12=1,$A182=TODAY()),TODAY(),NA()),IF(AH!$P$10=1,INDEX('Live History'!$D$5:$D$3004,MATCH($A182,'Live History'!$D$5:$D$3004,1)),INDEX('AH History'!$E$1:$E$18046,AH!$P$7+177))),NA()),NA())</ns0:f>
        <ns0:v>46295</ns0:v>
      </ns0:c>
      <ns0:c r="G182">
        <ns0:f>IFERROR(IF(ISNUMBER($A182),IF(AND(AH!$P$10=1,AH!$P$12=1,$A182=TODAY()),IF(AND(AH!$P$10=1,AH!$P$12=1,$A182=TODAY()),TODAY(),NA()),IF(AH!$P$10=1,INDEX('Live History'!$G$5:$G$3004,MATCH($A182,'Live History'!$G$5:$G$3004,1)),INDEX('AH History'!$F$1:$F$18046,AH!$P$7+177))),NA()),NA())</ns0:f>
        <ns0:v>46297</ns0:v>
      </ns0:c>
      <ns0:c r="H182">
        <ns0:f>IFERROR(IF(AND(AH!$E$4="Bloomberg",AH!$P$10=1,ISNUMBER($A182),$A182&lt;=AH!$P$17),AH!$P$7-1+MATCH($A182,INDEX('AH History'!$A$1:$A$18046,AH!$P$7):INDEX('AH History'!$A$1:$A$18046,AH!$P$7+AH!$P$8-1),0),0),0)</ns0:f>
        <ns0:v/>
      </ns0:c>
      <ns0:c r="I182">
        <ns0:f>IF($H182=0,0,IFERROR(IF(AND(ABS($C182-INDEX('AH History'!$B$1:$B$18046,$H182))&lt;=MAX(0.005,ABS(INDEX('AH History'!$B$1:$B$18046,$H182))*0.00005),ABS($D182-INDEX('AH History'!$C$1:$C$18046,$H182))&lt;=MAX(0.005,ABS(INDEX('AH History'!$C$1:$C$18046,$H182))*0.00005),ABS($E182-INDEX('AH History'!$D$1:$D$18046,$H182))&lt;=0.00005,$F182=INDEX('AH History'!$E$1:$E$18046,$H182),$G182=INDEX('AH History'!$F$1:$F$18046,$H182)),1,-1),-1))</ns0:f>
        <ns0:v/>
      </ns0:c>
    </ns0:row>
    <ns0:row r="183">
      <ns0:c r="A183" s="215">
        <ns0:f>IF(OR(AH!$P$3=0,178+1&gt;AH!$P$11,AND(AH!$E$4&lt;&gt;"Stored",AH!$P$10&lt;&gt;1)),"",IFERROR(IF(AND(AH!$P$21=1,178+1=AH!$P$11),TODAY(),IF(AH!$P$10=1,INDEX('Live History'!$A$5:$A$3004,AH!$P$13+178),INDEX('AH History'!$A$1:$A$18046,AH!$P$7+178))),""))</ns0:f>
        <ns0:v/>
      </ns0:c>
      <ns0:c r="B183" s="219">
        <ns0:f>IFERROR(IF(AND(AH!$P$9&lt;&gt;1,$C183&gt;0,$D183&gt;0,$E183&gt;0,$F183&gt;0,$G183&gt;0,$F183&lt;=$A183,$G183&lt;=$A183,$A183-$F183&lt;=10,$A183-$G183&lt;=5),$D183*$E183/$C183-1,NA()),NA())</ns0:f>
        <ns0:v/>
      </ns0:c>
      <ns0:c r="C183">
        <ns0:f>IFERROR(IF(ISNUMBER($A183),IF(AND(AH!$P$10=1,AH!$P$12=1,$A183=TODAY()),AH!$P$19,IF(AH!$P$10=1,INDEX('Live History'!$B$5:$B$3004,AH!$P$13+178),INDEX('AH History'!$B$1:$B$18046,AH!$P$7+178))),NA()),NA())</ns0:f>
        <ns0:v/>
      </ns0:c>
      <ns0:c r="D183">
        <ns0:f>IFERROR(IF(ISNUMBER($A183),IF(AND(AH!$P$10=1,AH!$P$12=1,$A183=TODAY()),AH!$P$18,IF(AH!$P$10=1,INDEX('Live History'!$E$5:$E$3004,MATCH($A183,'Live History'!$D$5:$D$3004,1)),INDEX('AH History'!$C$1:$C$18046,AH!$P$7+178))),NA()),NA())</ns0:f>
        <ns0:v/>
      </ns0:c>
      <ns0:c r="E183">
        <ns0:f>IFERROR(IF(ISNUMBER($A183),IF(AND(AH!$P$10=1,AH!$P$12=1,$A183=TODAY()),AH!$P$20,IF(AH!$P$10=1,INDEX('Live History'!$H$5:$H$3004,MATCH($A183,'Live History'!$G$5:$G$3004,1)),INDEX('AH History'!$D$1:$D$18046,AH!$P$7+178))),NA()),NA())</ns0:f>
        <ns0:v/>
      </ns0:c>
      <ns0:c r="F183">
        <ns0:f>IFERROR(IF(ISNUMBER($A183),IF(AND(AH!$P$10=1,AH!$P$12=1,$A183=TODAY()),IF(AND(AH!$P$10=1,AH!$P$12=1,$A183=TODAY()),TODAY(),NA()),IF(AH!$P$10=1,INDEX('Live History'!$D$5:$D$3004,MATCH($A183,'Live History'!$D$5:$D$3004,1)),INDEX('AH History'!$E$1:$E$18046,AH!$P$7+178))),NA()),NA())</ns0:f>
        <ns0:v/>
      </ns0:c>
      <ns0:c r="G183">
        <ns0:f>IFERROR(IF(ISNUMBER($A183),IF(AND(AH!$P$10=1,AH!$P$12=1,$A183=TODAY()),IF(AND(AH!$P$10=1,AH!$P$12=1,$A183=TODAY()),TODAY(),NA()),IF(AH!$P$10=1,INDEX('Live History'!$G$5:$G$3004,MATCH($A183,'Live History'!$G$5:$G$3004,1)),INDEX('AH History'!$F$1:$F$18046,AH!$P$7+178))),NA()),NA())</ns0:f>
        <ns0:v/>
      </ns0:c>
      <ns0:c r="H183">
        <ns0:f>IFERROR(IF(AND(AH!$E$4="Bloomberg",AH!$P$10=1,ISNUMBER($A183),$A183&lt;=AH!$P$17),AH!$P$7-1+MATCH($A183,INDEX('AH History'!$A$1:$A$18046,AH!$P$7):INDEX('AH History'!$A$1:$A$18046,AH!$P$7+AH!$P$8-1),0),0),0)</ns0:f>
        <ns0:v/>
      </ns0:c>
      <ns0:c r="I183">
        <ns0:f>IF($H183=0,0,IFERROR(IF(AND(ABS($C183-INDEX('AH History'!$B$1:$B$18046,$H183))&lt;=MAX(0.005,ABS(INDEX('AH History'!$B$1:$B$18046,$H183))*0.00005),ABS($D183-INDEX('AH History'!$C$1:$C$18046,$H183))&lt;=MAX(0.005,ABS(INDEX('AH History'!$C$1:$C$18046,$H183))*0.00005),ABS($E183-INDEX('AH History'!$D$1:$D$18046,$H183))&lt;=0.00005,$F183=INDEX('AH History'!$E$1:$E$18046,$H183),$G183=INDEX('AH History'!$F$1:$F$18046,$H183)),1,-1),-1))</ns0:f>
        <ns0:v/>
      </ns0:c>
    </ns0:row>
    <ns0:row r="184">
      <ns0:c r="A184" s="215">
        <ns0:f>IF(OR(AH!$P$3=0,179+1&gt;AH!$P$11,AND(AH!$E$4&lt;&gt;"Stored",AH!$P$10&lt;&gt;1)),"",IFERROR(IF(AND(AH!$P$21=1,179+1=AH!$P$11),TODAY(),IF(AH!$P$10=1,INDEX('Live History'!$A$5:$A$3004,AH!$P$13+179),INDEX('AH History'!$A$1:$A$18046,AH!$P$7+179))),""))</ns0:f>
        <ns0:v/>
      </ns0:c>
      <ns0:c r="B184" s="219">
        <ns0:f>IFERROR(IF(AND(AH!$P$9&lt;&gt;1,$C184&gt;0,$D184&gt;0,$E184&gt;0,$F184&gt;0,$G184&gt;0,$F184&lt;=$A184,$G184&lt;=$A184,$A184-$F184&lt;=10,$A184-$G184&lt;=5),$D184*$E184/$C184-1,NA()),NA())</ns0:f>
        <ns0:v/>
      </ns0:c>
      <ns0:c r="C184">
        <ns0:f>IFERROR(IF(ISNUMBER($A184),IF(AND(AH!$P$10=1,AH!$P$12=1,$A184=TODAY()),AH!$P$19,IF(AH!$P$10=1,INDEX('Live History'!$B$5:$B$3004,AH!$P$13+179),INDEX('AH History'!$B$1:$B$18046,AH!$P$7+179))),NA()),NA())</ns0:f>
        <ns0:v/>
      </ns0:c>
      <ns0:c r="D184">
        <ns0:f>IFERROR(IF(ISNUMBER($A184),IF(AND(AH!$P$10=1,AH!$P$12=1,$A184=TODAY()),AH!$P$18,IF(AH!$P$10=1,INDEX('Live History'!$E$5:$E$3004,MATCH($A184,'Live History'!$D$5:$D$3004,1)),INDEX('AH History'!$C$1:$C$18046,AH!$P$7+179))),NA()),NA())</ns0:f>
        <ns0:v/>
      </ns0:c>
      <ns0:c r="E184">
        <ns0:f>IFERROR(IF(ISNUMBER($A184),IF(AND(AH!$P$10=1,AH!$P$12=1,$A184=TODAY()),AH!$P$20,IF(AH!$P$10=1,INDEX('Live History'!$H$5:$H$3004,MATCH($A184,'Live History'!$G$5:$G$3004,1)),INDEX('AH History'!$D$1:$D$18046,AH!$P$7+179))),NA()),NA())</ns0:f>
        <ns0:v/>
      </ns0:c>
      <ns0:c r="F184">
        <ns0:f>IFERROR(IF(ISNUMBER($A184),IF(AND(AH!$P$10=1,AH!$P$12=1,$A184=TODAY()),IF(AND(AH!$P$10=1,AH!$P$12=1,$A184=TODAY()),TODAY(),NA()),IF(AH!$P$10=1,INDEX('Live History'!$D$5:$D$3004,MATCH($A184,'Live History'!$D$5:$D$3004,1)),INDEX('AH History'!$E$1:$E$18046,AH!$P$7+179))),NA()),NA())</ns0:f>
        <ns0:v/>
      </ns0:c>
      <ns0:c r="G184">
        <ns0:f>IFERROR(IF(ISNUMBER($A184),IF(AND(AH!$P$10=1,AH!$P$12=1,$A184=TODAY()),IF(AND(AH!$P$10=1,AH!$P$12=1,$A184=TODAY()),TODAY(),NA()),IF(AH!$P$10=1,INDEX('Live History'!$G$5:$G$3004,MATCH($A184,'Live History'!$G$5:$G$3004,1)),INDEX('AH History'!$F$1:$F$18046,AH!$P$7+179))),NA()),NA())</ns0:f>
        <ns0:v/>
      </ns0:c>
      <ns0:c r="H184">
        <ns0:f>IFERROR(IF(AND(AH!$E$4="Bloomberg",AH!$P$10=1,ISNUMBER($A184),$A184&lt;=AH!$P$17),AH!$P$7-1+MATCH($A184,INDEX('AH History'!$A$1:$A$18046,AH!$P$7):INDEX('AH History'!$A$1:$A$18046,AH!$P$7+AH!$P$8-1),0),0),0)</ns0:f>
        <ns0:v/>
      </ns0:c>
      <ns0:c r="I184">
        <ns0:f>IF($H184=0,0,IFERROR(IF(AND(ABS($C184-INDEX('AH History'!$B$1:$B$18046,$H184))&lt;=MAX(0.005,ABS(INDEX('AH History'!$B$1:$B$18046,$H184))*0.00005),ABS($D184-INDEX('AH History'!$C$1:$C$18046,$H184))&lt;=MAX(0.005,ABS(INDEX('AH History'!$C$1:$C$18046,$H184))*0.00005),ABS($E184-INDEX('AH History'!$D$1:$D$18046,$H184))&lt;=0.00005,$F184=INDEX('AH History'!$E$1:$E$18046,$H184),$G184=INDEX('AH History'!$F$1:$F$18046,$H184)),1,-1),-1))</ns0:f>
        <ns0:v/>
      </ns0:c>
    </ns0:row>
    <ns0:row r="185">
      <ns0:c r="A185" s="215">
        <ns0:f>IF(OR(AH!$P$3=0,180+1&gt;AH!$P$11,AND(AH!$E$4&lt;&gt;"Stored",AH!$P$10&lt;&gt;1)),"",IFERROR(IF(AND(AH!$P$21=1,180+1=AH!$P$11),TODAY(),IF(AH!$P$10=1,INDEX('Live History'!$A$5:$A$3004,AH!$P$13+180),INDEX('AH History'!$A$1:$A$18046,AH!$P$7+180))),""))</ns0:f>
        <ns0:v/>
      </ns0:c>
      <ns0:c r="B185" s="219">
        <ns0:f>IFERROR(IF(AND(AH!$P$9&lt;&gt;1,$C185&gt;0,$D185&gt;0,$E185&gt;0,$F185&gt;0,$G185&gt;0,$F185&lt;=$A185,$G185&lt;=$A185,$A185-$F185&lt;=10,$A185-$G185&lt;=5),$D185*$E185/$C185-1,NA()),NA())</ns0:f>
        <ns0:v/>
      </ns0:c>
      <ns0:c r="C185">
        <ns0:f>IFERROR(IF(ISNUMBER($A185),IF(AND(AH!$P$10=1,AH!$P$12=1,$A185=TODAY()),AH!$P$19,IF(AH!$P$10=1,INDEX('Live History'!$B$5:$B$3004,AH!$P$13+180),INDEX('AH History'!$B$1:$B$18046,AH!$P$7+180))),NA()),NA())</ns0:f>
        <ns0:v/>
      </ns0:c>
      <ns0:c r="D185">
        <ns0:f>IFERROR(IF(ISNUMBER($A185),IF(AND(AH!$P$10=1,AH!$P$12=1,$A185=TODAY()),AH!$P$18,IF(AH!$P$10=1,INDEX('Live History'!$E$5:$E$3004,MATCH($A185,'Live History'!$D$5:$D$3004,1)),INDEX('AH History'!$C$1:$C$18046,AH!$P$7+180))),NA()),NA())</ns0:f>
        <ns0:v/>
      </ns0:c>
      <ns0:c r="E185">
        <ns0:f>IFERROR(IF(ISNUMBER($A185),IF(AND(AH!$P$10=1,AH!$P$12=1,$A185=TODAY()),AH!$P$20,IF(AH!$P$10=1,INDEX('Live History'!$H$5:$H$3004,MATCH($A185,'Live History'!$G$5:$G$3004,1)),INDEX('AH History'!$D$1:$D$18046,AH!$P$7+180))),NA()),NA())</ns0:f>
        <ns0:v/>
      </ns0:c>
      <ns0:c r="F185">
        <ns0:f>IFERROR(IF(ISNUMBER($A185),IF(AND(AH!$P$10=1,AH!$P$12=1,$A185=TODAY()),IF(AND(AH!$P$10=1,AH!$P$12=1,$A185=TODAY()),TODAY(),NA()),IF(AH!$P$10=1,INDEX('Live History'!$D$5:$D$3004,MATCH($A185,'Live History'!$D$5:$D$3004,1)),INDEX('AH History'!$E$1:$E$18046,AH!$P$7+180))),NA()),NA())</ns0:f>
        <ns0:v/>
      </ns0:c>
      <ns0:c r="G185">
        <ns0:f>IFERROR(IF(ISNUMBER($A185),IF(AND(AH!$P$10=1,AH!$P$12=1,$A185=TODAY()),IF(AND(AH!$P$10=1,AH!$P$12=1,$A185=TODAY()),TODAY(),NA()),IF(AH!$P$10=1,INDEX('Live History'!$G$5:$G$3004,MATCH($A185,'Live History'!$G$5:$G$3004,1)),INDEX('AH History'!$F$1:$F$18046,AH!$P$7+180))),NA()),NA())</ns0:f>
        <ns0:v/>
      </ns0:c>
      <ns0:c r="H185">
        <ns0:f>IFERROR(IF(AND(AH!$E$4="Bloomberg",AH!$P$10=1,ISNUMBER($A185),$A185&lt;=AH!$P$17),AH!$P$7-1+MATCH($A185,INDEX('AH History'!$A$1:$A$18046,AH!$P$7):INDEX('AH History'!$A$1:$A$18046,AH!$P$7+AH!$P$8-1),0),0),0)</ns0:f>
        <ns0:v/>
      </ns0:c>
      <ns0:c r="I185">
        <ns0:f>IF($H185=0,0,IFERROR(IF(AND(ABS($C185-INDEX('AH History'!$B$1:$B$18046,$H185))&lt;=MAX(0.005,ABS(INDEX('AH History'!$B$1:$B$18046,$H185))*0.00005),ABS($D185-INDEX('AH History'!$C$1:$C$18046,$H185))&lt;=MAX(0.005,ABS(INDEX('AH History'!$C$1:$C$18046,$H185))*0.00005),ABS($E185-INDEX('AH History'!$D$1:$D$18046,$H185))&lt;=0.00005,$F185=INDEX('AH History'!$E$1:$E$18046,$H185),$G185=INDEX('AH History'!$F$1:$F$18046,$H185)),1,-1),-1))</ns0:f>
        <ns0:v/>
      </ns0:c>
    </ns0:row>
    <ns0:row r="186">
      <ns0:c r="A186" s="215">
        <ns0:f>IF(OR(AH!$P$3=0,181+1&gt;AH!$P$11,AND(AH!$E$4&lt;&gt;"Stored",AH!$P$10&lt;&gt;1)),"",IFERROR(IF(AND(AH!$P$21=1,181+1=AH!$P$11),TODAY(),IF(AH!$P$10=1,INDEX('Live History'!$A$5:$A$3004,AH!$P$13+181),INDEX('AH History'!$A$1:$A$18046,AH!$P$7+181))),""))</ns0:f>
        <ns0:v/>
      </ns0:c>
      <ns0:c r="B186" s="219">
        <ns0:f>IFERROR(IF(AND(AH!$P$9&lt;&gt;1,$C186&gt;0,$D186&gt;0,$E186&gt;0,$F186&gt;0,$G186&gt;0,$F186&lt;=$A186,$G186&lt;=$A186,$A186-$F186&lt;=10,$A186-$G186&lt;=5),$D186*$E186/$C186-1,NA()),NA())</ns0:f>
        <ns0:v/>
      </ns0:c>
      <ns0:c r="C186">
        <ns0:f>IFERROR(IF(ISNUMBER($A186),IF(AND(AH!$P$10=1,AH!$P$12=1,$A186=TODAY()),AH!$P$19,IF(AH!$P$10=1,INDEX('Live History'!$B$5:$B$3004,AH!$P$13+181),INDEX('AH History'!$B$1:$B$18046,AH!$P$7+181))),NA()),NA())</ns0:f>
        <ns0:v/>
      </ns0:c>
      <ns0:c r="D186">
        <ns0:f>IFERROR(IF(ISNUMBER($A186),IF(AND(AH!$P$10=1,AH!$P$12=1,$A186=TODAY()),AH!$P$18,IF(AH!$P$10=1,INDEX('Live History'!$E$5:$E$3004,MATCH($A186,'Live History'!$D$5:$D$3004,1)),INDEX('AH History'!$C$1:$C$18046,AH!$P$7+181))),NA()),NA())</ns0:f>
        <ns0:v/>
      </ns0:c>
      <ns0:c r="E186">
        <ns0:f>IFERROR(IF(ISNUMBER($A186),IF(AND(AH!$P$10=1,AH!$P$12=1,$A186=TODAY()),AH!$P$20,IF(AH!$P$10=1,INDEX('Live History'!$H$5:$H$3004,MATCH($A186,'Live History'!$G$5:$G$3004,1)),INDEX('AH History'!$D$1:$D$18046,AH!$P$7+181))),NA()),NA())</ns0:f>
        <ns0:v/>
      </ns0:c>
      <ns0:c r="F186">
        <ns0:f>IFERROR(IF(ISNUMBER($A186),IF(AND(AH!$P$10=1,AH!$P$12=1,$A186=TODAY()),IF(AND(AH!$P$10=1,AH!$P$12=1,$A186=TODAY()),TODAY(),NA()),IF(AH!$P$10=1,INDEX('Live History'!$D$5:$D$3004,MATCH($A186,'Live History'!$D$5:$D$3004,1)),INDEX('AH History'!$E$1:$E$18046,AH!$P$7+181))),NA()),NA())</ns0:f>
        <ns0:v/>
      </ns0:c>
      <ns0:c r="G186">
        <ns0:f>IFERROR(IF(ISNUMBER($A186),IF(AND(AH!$P$10=1,AH!$P$12=1,$A186=TODAY()),IF(AND(AH!$P$10=1,AH!$P$12=1,$A186=TODAY()),TODAY(),NA()),IF(AH!$P$10=1,INDEX('Live History'!$G$5:$G$3004,MATCH($A186,'Live History'!$G$5:$G$3004,1)),INDEX('AH History'!$F$1:$F$18046,AH!$P$7+181))),NA()),NA())</ns0:f>
        <ns0:v/>
      </ns0:c>
      <ns0:c r="H186">
        <ns0:f>IFERROR(IF(AND(AH!$E$4="Bloomberg",AH!$P$10=1,ISNUMBER($A186),$A186&lt;=AH!$P$17),AH!$P$7-1+MATCH($A186,INDEX('AH History'!$A$1:$A$18046,AH!$P$7):INDEX('AH History'!$A$1:$A$18046,AH!$P$7+AH!$P$8-1),0),0),0)</ns0:f>
        <ns0:v/>
      </ns0:c>
      <ns0:c r="I186">
        <ns0:f>IF($H186=0,0,IFERROR(IF(AND(ABS($C186-INDEX('AH History'!$B$1:$B$18046,$H186))&lt;=MAX(0.005,ABS(INDEX('AH History'!$B$1:$B$18046,$H186))*0.00005),ABS($D186-INDEX('AH History'!$C$1:$C$18046,$H186))&lt;=MAX(0.005,ABS(INDEX('AH History'!$C$1:$C$18046,$H186))*0.00005),ABS($E186-INDEX('AH History'!$D$1:$D$18046,$H186))&lt;=0.00005,$F186=INDEX('AH History'!$E$1:$E$18046,$H186),$G186=INDEX('AH History'!$F$1:$F$18046,$H186)),1,-1),-1))</ns0:f>
        <ns0:v/>
      </ns0:c>
    </ns0:row>
    <ns0:row r="187">
      <ns0:c r="A187" s="215">
        <ns0:f>IF(OR(AH!$P$3=0,182+1&gt;AH!$P$11,AND(AH!$E$4&lt;&gt;"Stored",AH!$P$10&lt;&gt;1)),"",IFERROR(IF(AND(AH!$P$21=1,182+1=AH!$P$11),TODAY(),IF(AH!$P$10=1,INDEX('Live History'!$A$5:$A$3004,AH!$P$13+182),INDEX('AH History'!$A$1:$A$18046,AH!$P$7+182))),""))</ns0:f>
        <ns0:v/>
      </ns0:c>
      <ns0:c r="B187" s="219">
        <ns0:f>IFERROR(IF(AND(AH!$P$9&lt;&gt;1,$C187&gt;0,$D187&gt;0,$E187&gt;0,$F187&gt;0,$G187&gt;0,$F187&lt;=$A187,$G187&lt;=$A187,$A187-$F187&lt;=10,$A187-$G187&lt;=5),$D187*$E187/$C187-1,NA()),NA())</ns0:f>
        <ns0:v/>
      </ns0:c>
      <ns0:c r="C187">
        <ns0:f>IFERROR(IF(ISNUMBER($A187),IF(AND(AH!$P$10=1,AH!$P$12=1,$A187=TODAY()),AH!$P$19,IF(AH!$P$10=1,INDEX('Live History'!$B$5:$B$3004,AH!$P$13+182),INDEX('AH History'!$B$1:$B$18046,AH!$P$7+182))),NA()),NA())</ns0:f>
        <ns0:v/>
      </ns0:c>
      <ns0:c r="D187">
        <ns0:f>IFERROR(IF(ISNUMBER($A187),IF(AND(AH!$P$10=1,AH!$P$12=1,$A187=TODAY()),AH!$P$18,IF(AH!$P$10=1,INDEX('Live History'!$E$5:$E$3004,MATCH($A187,'Live History'!$D$5:$D$3004,1)),INDEX('AH History'!$C$1:$C$18046,AH!$P$7+182))),NA()),NA())</ns0:f>
        <ns0:v/>
      </ns0:c>
      <ns0:c r="E187">
        <ns0:f>IFERROR(IF(ISNUMBER($A187),IF(AND(AH!$P$10=1,AH!$P$12=1,$A187=TODAY()),AH!$P$20,IF(AH!$P$10=1,INDEX('Live History'!$H$5:$H$3004,MATCH($A187,'Live History'!$G$5:$G$3004,1)),INDEX('AH History'!$D$1:$D$18046,AH!$P$7+182))),NA()),NA())</ns0:f>
        <ns0:v/>
      </ns0:c>
      <ns0:c r="F187">
        <ns0:f>IFERROR(IF(ISNUMBER($A187),IF(AND(AH!$P$10=1,AH!$P$12=1,$A187=TODAY()),IF(AND(AH!$P$10=1,AH!$P$12=1,$A187=TODAY()),TODAY(),NA()),IF(AH!$P$10=1,INDEX('Live History'!$D$5:$D$3004,MATCH($A187,'Live History'!$D$5:$D$3004,1)),INDEX('AH History'!$E$1:$E$18046,AH!$P$7+182))),NA()),NA())</ns0:f>
        <ns0:v/>
      </ns0:c>
      <ns0:c r="G187">
        <ns0:f>IFERROR(IF(ISNUMBER($A187),IF(AND(AH!$P$10=1,AH!$P$12=1,$A187=TODAY()),IF(AND(AH!$P$10=1,AH!$P$12=1,$A187=TODAY()),TODAY(),NA()),IF(AH!$P$10=1,INDEX('Live History'!$G$5:$G$3004,MATCH($A187,'Live History'!$G$5:$G$3004,1)),INDEX('AH History'!$F$1:$F$18046,AH!$P$7+182))),NA()),NA())</ns0:f>
        <ns0:v/>
      </ns0:c>
      <ns0:c r="H187">
        <ns0:f>IFERROR(IF(AND(AH!$E$4="Bloomberg",AH!$P$10=1,ISNUMBER($A187),$A187&lt;=AH!$P$17),AH!$P$7-1+MATCH($A187,INDEX('AH History'!$A$1:$A$18046,AH!$P$7):INDEX('AH History'!$A$1:$A$18046,AH!$P$7+AH!$P$8-1),0),0),0)</ns0:f>
        <ns0:v/>
      </ns0:c>
      <ns0:c r="I187">
        <ns0:f>IF($H187=0,0,IFERROR(IF(AND(ABS($C187-INDEX('AH History'!$B$1:$B$18046,$H187))&lt;=MAX(0.005,ABS(INDEX('AH History'!$B$1:$B$18046,$H187))*0.00005),ABS($D187-INDEX('AH History'!$C$1:$C$18046,$H187))&lt;=MAX(0.005,ABS(INDEX('AH History'!$C$1:$C$18046,$H187))*0.00005),ABS($E187-INDEX('AH History'!$D$1:$D$18046,$H187))&lt;=0.00005,$F187=INDEX('AH History'!$E$1:$E$18046,$H187),$G187=INDEX('AH History'!$F$1:$F$18046,$H187)),1,-1),-1))</ns0:f>
        <ns0:v/>
      </ns0:c>
    </ns0:row>
    <ns0:row r="188">
      <ns0:c r="A188" s="215">
        <ns0:f>IF(OR(AH!$P$3=0,183+1&gt;AH!$P$11,AND(AH!$E$4&lt;&gt;"Stored",AH!$P$10&lt;&gt;1)),"",IFERROR(IF(AND(AH!$P$21=1,183+1=AH!$P$11),TODAY(),IF(AH!$P$10=1,INDEX('Live History'!$A$5:$A$3004,AH!$P$13+183),INDEX('AH History'!$A$1:$A$18046,AH!$P$7+183))),""))</ns0:f>
        <ns0:v/>
      </ns0:c>
      <ns0:c r="B188" s="219">
        <ns0:f>IFERROR(IF(AND(AH!$P$9&lt;&gt;1,$C188&gt;0,$D188&gt;0,$E188&gt;0,$F188&gt;0,$G188&gt;0,$F188&lt;=$A188,$G188&lt;=$A188,$A188-$F188&lt;=10,$A188-$G188&lt;=5),$D188*$E188/$C188-1,NA()),NA())</ns0:f>
        <ns0:v/>
      </ns0:c>
      <ns0:c r="C188">
        <ns0:f>IFERROR(IF(ISNUMBER($A188),IF(AND(AH!$P$10=1,AH!$P$12=1,$A188=TODAY()),AH!$P$19,IF(AH!$P$10=1,INDEX('Live History'!$B$5:$B$3004,AH!$P$13+183),INDEX('AH History'!$B$1:$B$18046,AH!$P$7+183))),NA()),NA())</ns0:f>
        <ns0:v/>
      </ns0:c>
      <ns0:c r="D188">
        <ns0:f>IFERROR(IF(ISNUMBER($A188),IF(AND(AH!$P$10=1,AH!$P$12=1,$A188=TODAY()),AH!$P$18,IF(AH!$P$10=1,INDEX('Live History'!$E$5:$E$3004,MATCH($A188,'Live History'!$D$5:$D$3004,1)),INDEX('AH History'!$C$1:$C$18046,AH!$P$7+183))),NA()),NA())</ns0:f>
        <ns0:v/>
      </ns0:c>
      <ns0:c r="E188">
        <ns0:f>IFERROR(IF(ISNUMBER($A188),IF(AND(AH!$P$10=1,AH!$P$12=1,$A188=TODAY()),AH!$P$20,IF(AH!$P$10=1,INDEX('Live History'!$H$5:$H$3004,MATCH($A188,'Live History'!$G$5:$G$3004,1)),INDEX('AH History'!$D$1:$D$18046,AH!$P$7+183))),NA()),NA())</ns0:f>
        <ns0:v/>
      </ns0:c>
      <ns0:c r="F188">
        <ns0:f>IFERROR(IF(ISNUMBER($A188),IF(AND(AH!$P$10=1,AH!$P$12=1,$A188=TODAY()),IF(AND(AH!$P$10=1,AH!$P$12=1,$A188=TODAY()),TODAY(),NA()),IF(AH!$P$10=1,INDEX('Live History'!$D$5:$D$3004,MATCH($A188,'Live History'!$D$5:$D$3004,1)),INDEX('AH History'!$E$1:$E$18046,AH!$P$7+183))),NA()),NA())</ns0:f>
        <ns0:v/>
      </ns0:c>
      <ns0:c r="G188">
        <ns0:f>IFERROR(IF(ISNUMBER($A188),IF(AND(AH!$P$10=1,AH!$P$12=1,$A188=TODAY()),IF(AND(AH!$P$10=1,AH!$P$12=1,$A188=TODAY()),TODAY(),NA()),IF(AH!$P$10=1,INDEX('Live History'!$G$5:$G$3004,MATCH($A188,'Live History'!$G$5:$G$3004,1)),INDEX('AH History'!$F$1:$F$18046,AH!$P$7+183))),NA()),NA())</ns0:f>
        <ns0:v/>
      </ns0:c>
      <ns0:c r="H188">
        <ns0:f>IFERROR(IF(AND(AH!$E$4="Bloomberg",AH!$P$10=1,ISNUMBER($A188),$A188&lt;=AH!$P$17),AH!$P$7-1+MATCH($A188,INDEX('AH History'!$A$1:$A$18046,AH!$P$7):INDEX('AH History'!$A$1:$A$18046,AH!$P$7+AH!$P$8-1),0),0),0)</ns0:f>
        <ns0:v/>
      </ns0:c>
      <ns0:c r="I188">
        <ns0:f>IF($H188=0,0,IFERROR(IF(AND(ABS($C188-INDEX('AH History'!$B$1:$B$18046,$H188))&lt;=MAX(0.005,ABS(INDEX('AH History'!$B$1:$B$18046,$H188))*0.00005),ABS($D188-INDEX('AH History'!$C$1:$C$18046,$H188))&lt;=MAX(0.005,ABS(INDEX('AH History'!$C$1:$C$18046,$H188))*0.00005),ABS($E188-INDEX('AH History'!$D$1:$D$18046,$H188))&lt;=0.00005,$F188=INDEX('AH History'!$E$1:$E$18046,$H188),$G188=INDEX('AH History'!$F$1:$F$18046,$H188)),1,-1),-1))</ns0:f>
        <ns0:v/>
      </ns0:c>
    </ns0:row>
    <ns0:row r="189">
      <ns0:c r="A189" s="215">
        <ns0:f>IF(OR(AH!$P$3=0,184+1&gt;AH!$P$11,AND(AH!$E$4&lt;&gt;"Stored",AH!$P$10&lt;&gt;1)),"",IFERROR(IF(AND(AH!$P$21=1,184+1=AH!$P$11),TODAY(),IF(AH!$P$10=1,INDEX('Live History'!$A$5:$A$3004,AH!$P$13+184),INDEX('AH History'!$A$1:$A$18046,AH!$P$7+184))),""))</ns0:f>
        <ns0:v/>
      </ns0:c>
      <ns0:c r="B189" s="219">
        <ns0:f>IFERROR(IF(AND(AH!$P$9&lt;&gt;1,$C189&gt;0,$D189&gt;0,$E189&gt;0,$F189&gt;0,$G189&gt;0,$F189&lt;=$A189,$G189&lt;=$A189,$A189-$F189&lt;=10,$A189-$G189&lt;=5),$D189*$E189/$C189-1,NA()),NA())</ns0:f>
        <ns0:v/>
      </ns0:c>
      <ns0:c r="C189">
        <ns0:f>IFERROR(IF(ISNUMBER($A189),IF(AND(AH!$P$10=1,AH!$P$12=1,$A189=TODAY()),AH!$P$19,IF(AH!$P$10=1,INDEX('Live History'!$B$5:$B$3004,AH!$P$13+184),INDEX('AH History'!$B$1:$B$18046,AH!$P$7+184))),NA()),NA())</ns0:f>
        <ns0:v/>
      </ns0:c>
      <ns0:c r="D189">
        <ns0:f>IFERROR(IF(ISNUMBER($A189),IF(AND(AH!$P$10=1,AH!$P$12=1,$A189=TODAY()),AH!$P$18,IF(AH!$P$10=1,INDEX('Live History'!$E$5:$E$3004,MATCH($A189,'Live History'!$D$5:$D$3004,1)),INDEX('AH History'!$C$1:$C$18046,AH!$P$7+184))),NA()),NA())</ns0:f>
        <ns0:v/>
      </ns0:c>
      <ns0:c r="E189">
        <ns0:f>IFERROR(IF(ISNUMBER($A189),IF(AND(AH!$P$10=1,AH!$P$12=1,$A189=TODAY()),AH!$P$20,IF(AH!$P$10=1,INDEX('Live History'!$H$5:$H$3004,MATCH($A189,'Live History'!$G$5:$G$3004,1)),INDEX('AH History'!$D$1:$D$18046,AH!$P$7+184))),NA()),NA())</ns0:f>
        <ns0:v/>
      </ns0:c>
      <ns0:c r="F189">
        <ns0:f>IFERROR(IF(ISNUMBER($A189),IF(AND(AH!$P$10=1,AH!$P$12=1,$A189=TODAY()),IF(AND(AH!$P$10=1,AH!$P$12=1,$A189=TODAY()),TODAY(),NA()),IF(AH!$P$10=1,INDEX('Live History'!$D$5:$D$3004,MATCH($A189,'Live History'!$D$5:$D$3004,1)),INDEX('AH History'!$E$1:$E$18046,AH!$P$7+184))),NA()),NA())</ns0:f>
        <ns0:v/>
      </ns0:c>
      <ns0:c r="G189">
        <ns0:f>IFERROR(IF(ISNUMBER($A189),IF(AND(AH!$P$10=1,AH!$P$12=1,$A189=TODAY()),IF(AND(AH!$P$10=1,AH!$P$12=1,$A189=TODAY()),TODAY(),NA()),IF(AH!$P$10=1,INDEX('Live History'!$G$5:$G$3004,MATCH($A189,'Live History'!$G$5:$G$3004,1)),INDEX('AH History'!$F$1:$F$18046,AH!$P$7+184))),NA()),NA())</ns0:f>
        <ns0:v/>
      </ns0:c>
      <ns0:c r="H189">
        <ns0:f>IFERROR(IF(AND(AH!$E$4="Bloomberg",AH!$P$10=1,ISNUMBER($A189),$A189&lt;=AH!$P$17),AH!$P$7-1+MATCH($A189,INDEX('AH History'!$A$1:$A$18046,AH!$P$7):INDEX('AH History'!$A$1:$A$18046,AH!$P$7+AH!$P$8-1),0),0),0)</ns0:f>
        <ns0:v/>
      </ns0:c>
      <ns0:c r="I189">
        <ns0:f>IF($H189=0,0,IFERROR(IF(AND(ABS($C189-INDEX('AH History'!$B$1:$B$18046,$H189))&lt;=MAX(0.005,ABS(INDEX('AH History'!$B$1:$B$18046,$H189))*0.00005),ABS($D189-INDEX('AH History'!$C$1:$C$18046,$H189))&lt;=MAX(0.005,ABS(INDEX('AH History'!$C$1:$C$18046,$H189))*0.00005),ABS($E189-INDEX('AH History'!$D$1:$D$18046,$H189))&lt;=0.00005,$F189=INDEX('AH History'!$E$1:$E$18046,$H189),$G189=INDEX('AH History'!$F$1:$F$18046,$H189)),1,-1),-1))</ns0:f>
        <ns0:v/>
      </ns0:c>
    </ns0:row>
    <ns0:row r="190">
      <ns0:c r="A190" s="215">
        <ns0:f>IF(OR(AH!$P$3=0,185+1&gt;AH!$P$11,AND(AH!$E$4&lt;&gt;"Stored",AH!$P$10&lt;&gt;1)),"",IFERROR(IF(AND(AH!$P$21=1,185+1=AH!$P$11),TODAY(),IF(AH!$P$10=1,INDEX('Live History'!$A$5:$A$3004,AH!$P$13+185),INDEX('AH History'!$A$1:$A$18046,AH!$P$7+185))),""))</ns0:f>
        <ns0:v/>
      </ns0:c>
      <ns0:c r="B190" s="219">
        <ns0:f>IFERROR(IF(AND(AH!$P$9&lt;&gt;1,$C190&gt;0,$D190&gt;0,$E190&gt;0,$F190&gt;0,$G190&gt;0,$F190&lt;=$A190,$G190&lt;=$A190,$A190-$F190&lt;=10,$A190-$G190&lt;=5),$D190*$E190/$C190-1,NA()),NA())</ns0:f>
        <ns0:v/>
      </ns0:c>
      <ns0:c r="C190">
        <ns0:f>IFERROR(IF(ISNUMBER($A190),IF(AND(AH!$P$10=1,AH!$P$12=1,$A190=TODAY()),AH!$P$19,IF(AH!$P$10=1,INDEX('Live History'!$B$5:$B$3004,AH!$P$13+185),INDEX('AH History'!$B$1:$B$18046,AH!$P$7+185))),NA()),NA())</ns0:f>
        <ns0:v/>
      </ns0:c>
      <ns0:c r="D190">
        <ns0:f>IFERROR(IF(ISNUMBER($A190),IF(AND(AH!$P$10=1,AH!$P$12=1,$A190=TODAY()),AH!$P$18,IF(AH!$P$10=1,INDEX('Live History'!$E$5:$E$3004,MATCH($A190,'Live History'!$D$5:$D$3004,1)),INDEX('AH History'!$C$1:$C$18046,AH!$P$7+185))),NA()),NA())</ns0:f>
        <ns0:v/>
      </ns0:c>
      <ns0:c r="E190">
        <ns0:f>IFERROR(IF(ISNUMBER($A190),IF(AND(AH!$P$10=1,AH!$P$12=1,$A190=TODAY()),AH!$P$20,IF(AH!$P$10=1,INDEX('Live History'!$H$5:$H$3004,MATCH($A190,'Live History'!$G$5:$G$3004,1)),INDEX('AH History'!$D$1:$D$18046,AH!$P$7+185))),NA()),NA())</ns0:f>
        <ns0:v/>
      </ns0:c>
      <ns0:c r="F190">
        <ns0:f>IFERROR(IF(ISNUMBER($A190),IF(AND(AH!$P$10=1,AH!$P$12=1,$A190=TODAY()),IF(AND(AH!$P$10=1,AH!$P$12=1,$A190=TODAY()),TODAY(),NA()),IF(AH!$P$10=1,INDEX('Live History'!$D$5:$D$3004,MATCH($A190,'Live History'!$D$5:$D$3004,1)),INDEX('AH History'!$E$1:$E$18046,AH!$P$7+185))),NA()),NA())</ns0:f>
        <ns0:v/>
      </ns0:c>
      <ns0:c r="G190">
        <ns0:f>IFERROR(IF(ISNUMBER($A190),IF(AND(AH!$P$10=1,AH!$P$12=1,$A190=TODAY()),IF(AND(AH!$P$10=1,AH!$P$12=1,$A190=TODAY()),TODAY(),NA()),IF(AH!$P$10=1,INDEX('Live History'!$G$5:$G$3004,MATCH($A190,'Live History'!$G$5:$G$3004,1)),INDEX('AH History'!$F$1:$F$18046,AH!$P$7+185))),NA()),NA())</ns0:f>
        <ns0:v/>
      </ns0:c>
      <ns0:c r="H190">
        <ns0:f>IFERROR(IF(AND(AH!$E$4="Bloomberg",AH!$P$10=1,ISNUMBER($A190),$A190&lt;=AH!$P$17),AH!$P$7-1+MATCH($A190,INDEX('AH History'!$A$1:$A$18046,AH!$P$7):INDEX('AH History'!$A$1:$A$18046,AH!$P$7+AH!$P$8-1),0),0),0)</ns0:f>
        <ns0:v/>
      </ns0:c>
      <ns0:c r="I190">
        <ns0:f>IF($H190=0,0,IFERROR(IF(AND(ABS($C190-INDEX('AH History'!$B$1:$B$18046,$H190))&lt;=MAX(0.005,ABS(INDEX('AH History'!$B$1:$B$18046,$H190))*0.00005),ABS($D190-INDEX('AH History'!$C$1:$C$18046,$H190))&lt;=MAX(0.005,ABS(INDEX('AH History'!$C$1:$C$18046,$H190))*0.00005),ABS($E190-INDEX('AH History'!$D$1:$D$18046,$H190))&lt;=0.00005,$F190=INDEX('AH History'!$E$1:$E$18046,$H190),$G190=INDEX('AH History'!$F$1:$F$18046,$H190)),1,-1),-1))</ns0:f>
        <ns0:v/>
      </ns0:c>
    </ns0:row>
    <ns0:row r="191">
      <ns0:c r="A191" s="215">
        <ns0:f>IF(OR(AH!$P$3=0,186+1&gt;AH!$P$11,AND(AH!$E$4&lt;&gt;"Stored",AH!$P$10&lt;&gt;1)),"",IFERROR(IF(AND(AH!$P$21=1,186+1=AH!$P$11),TODAY(),IF(AH!$P$10=1,INDEX('Live History'!$A$5:$A$3004,AH!$P$13+186),INDEX('AH History'!$A$1:$A$18046,AH!$P$7+186))),""))</ns0:f>
        <ns0:v/>
      </ns0:c>
      <ns0:c r="B191" s="219">
        <ns0:f>IFERROR(IF(AND(AH!$P$9&lt;&gt;1,$C191&gt;0,$D191&gt;0,$E191&gt;0,$F191&gt;0,$G191&gt;0,$F191&lt;=$A191,$G191&lt;=$A191,$A191-$F191&lt;=10,$A191-$G191&lt;=5),$D191*$E191/$C191-1,NA()),NA())</ns0:f>
        <ns0:v/>
      </ns0:c>
      <ns0:c r="C191">
        <ns0:f>IFERROR(IF(ISNUMBER($A191),IF(AND(AH!$P$10=1,AH!$P$12=1,$A191=TODAY()),AH!$P$19,IF(AH!$P$10=1,INDEX('Live History'!$B$5:$B$3004,AH!$P$13+186),INDEX('AH History'!$B$1:$B$18046,AH!$P$7+186))),NA()),NA())</ns0:f>
        <ns0:v/>
      </ns0:c>
      <ns0:c r="D191">
        <ns0:f>IFERROR(IF(ISNUMBER($A191),IF(AND(AH!$P$10=1,AH!$P$12=1,$A191=TODAY()),AH!$P$18,IF(AH!$P$10=1,INDEX('Live History'!$E$5:$E$3004,MATCH($A191,'Live History'!$D$5:$D$3004,1)),INDEX('AH History'!$C$1:$C$18046,AH!$P$7+186))),NA()),NA())</ns0:f>
        <ns0:v/>
      </ns0:c>
      <ns0:c r="E191">
        <ns0:f>IFERROR(IF(ISNUMBER($A191),IF(AND(AH!$P$10=1,AH!$P$12=1,$A191=TODAY()),AH!$P$20,IF(AH!$P$10=1,INDEX('Live History'!$H$5:$H$3004,MATCH($A191,'Live History'!$G$5:$G$3004,1)),INDEX('AH History'!$D$1:$D$18046,AH!$P$7+186))),NA()),NA())</ns0:f>
        <ns0:v/>
      </ns0:c>
      <ns0:c r="F191">
        <ns0:f>IFERROR(IF(ISNUMBER($A191),IF(AND(AH!$P$10=1,AH!$P$12=1,$A191=TODAY()),IF(AND(AH!$P$10=1,AH!$P$12=1,$A191=TODAY()),TODAY(),NA()),IF(AH!$P$10=1,INDEX('Live History'!$D$5:$D$3004,MATCH($A191,'Live History'!$D$5:$D$3004,1)),INDEX('AH History'!$E$1:$E$18046,AH!$P$7+186))),NA()),NA())</ns0:f>
        <ns0:v/>
      </ns0:c>
      <ns0:c r="G191">
        <ns0:f>IFERROR(IF(ISNUMBER($A191),IF(AND(AH!$P$10=1,AH!$P$12=1,$A191=TODAY()),IF(AND(AH!$P$10=1,AH!$P$12=1,$A191=TODAY()),TODAY(),NA()),IF(AH!$P$10=1,INDEX('Live History'!$G$5:$G$3004,MATCH($A191,'Live History'!$G$5:$G$3004,1)),INDEX('AH History'!$F$1:$F$18046,AH!$P$7+186))),NA()),NA())</ns0:f>
        <ns0:v/>
      </ns0:c>
      <ns0:c r="H191">
        <ns0:f>IFERROR(IF(AND(AH!$E$4="Bloomberg",AH!$P$10=1,ISNUMBER($A191),$A191&lt;=AH!$P$17),AH!$P$7-1+MATCH($A191,INDEX('AH History'!$A$1:$A$18046,AH!$P$7):INDEX('AH History'!$A$1:$A$18046,AH!$P$7+AH!$P$8-1),0),0),0)</ns0:f>
        <ns0:v/>
      </ns0:c>
      <ns0:c r="I191">
        <ns0:f>IF($H191=0,0,IFERROR(IF(AND(ABS($C191-INDEX('AH History'!$B$1:$B$18046,$H191))&lt;=MAX(0.005,ABS(INDEX('AH History'!$B$1:$B$18046,$H191))*0.00005),ABS($D191-INDEX('AH History'!$C$1:$C$18046,$H191))&lt;=MAX(0.005,ABS(INDEX('AH History'!$C$1:$C$18046,$H191))*0.00005),ABS($E191-INDEX('AH History'!$D$1:$D$18046,$H191))&lt;=0.00005,$F191=INDEX('AH History'!$E$1:$E$18046,$H191),$G191=INDEX('AH History'!$F$1:$F$18046,$H191)),1,-1),-1))</ns0:f>
        <ns0:v/>
      </ns0:c>
    </ns0:row>
    <ns0:row r="192">
      <ns0:c r="A192" s="215">
        <ns0:f>IF(OR(AH!$P$3=0,187+1&gt;AH!$P$11,AND(AH!$E$4&lt;&gt;"Stored",AH!$P$10&lt;&gt;1)),"",IFERROR(IF(AND(AH!$P$21=1,187+1=AH!$P$11),TODAY(),IF(AH!$P$10=1,INDEX('Live History'!$A$5:$A$3004,AH!$P$13+187),INDEX('AH History'!$A$1:$A$18046,AH!$P$7+187))),""))</ns0:f>
        <ns0:v/>
      </ns0:c>
      <ns0:c r="B192" s="219">
        <ns0:f>IFERROR(IF(AND(AH!$P$9&lt;&gt;1,$C192&gt;0,$D192&gt;0,$E192&gt;0,$F192&gt;0,$G192&gt;0,$F192&lt;=$A192,$G192&lt;=$A192,$A192-$F192&lt;=10,$A192-$G192&lt;=5),$D192*$E192/$C192-1,NA()),NA())</ns0:f>
        <ns0:v/>
      </ns0:c>
      <ns0:c r="C192">
        <ns0:f>IFERROR(IF(ISNUMBER($A192),IF(AND(AH!$P$10=1,AH!$P$12=1,$A192=TODAY()),AH!$P$19,IF(AH!$P$10=1,INDEX('Live History'!$B$5:$B$3004,AH!$P$13+187),INDEX('AH History'!$B$1:$B$18046,AH!$P$7+187))),NA()),NA())</ns0:f>
        <ns0:v/>
      </ns0:c>
      <ns0:c r="D192">
        <ns0:f>IFERROR(IF(ISNUMBER($A192),IF(AND(AH!$P$10=1,AH!$P$12=1,$A192=TODAY()),AH!$P$18,IF(AH!$P$10=1,INDEX('Live History'!$E$5:$E$3004,MATCH($A192,'Live History'!$D$5:$D$3004,1)),INDEX('AH History'!$C$1:$C$18046,AH!$P$7+187))),NA()),NA())</ns0:f>
        <ns0:v/>
      </ns0:c>
      <ns0:c r="E192">
        <ns0:f>IFERROR(IF(ISNUMBER($A192),IF(AND(AH!$P$10=1,AH!$P$12=1,$A192=TODAY()),AH!$P$20,IF(AH!$P$10=1,INDEX('Live History'!$H$5:$H$3004,MATCH($A192,'Live History'!$G$5:$G$3004,1)),INDEX('AH History'!$D$1:$D$18046,AH!$P$7+187))),NA()),NA())</ns0:f>
        <ns0:v/>
      </ns0:c>
      <ns0:c r="F192">
        <ns0:f>IFERROR(IF(ISNUMBER($A192),IF(AND(AH!$P$10=1,AH!$P$12=1,$A192=TODAY()),IF(AND(AH!$P$10=1,AH!$P$12=1,$A192=TODAY()),TODAY(),NA()),IF(AH!$P$10=1,INDEX('Live History'!$D$5:$D$3004,MATCH($A192,'Live History'!$D$5:$D$3004,1)),INDEX('AH History'!$E$1:$E$18046,AH!$P$7+187))),NA()),NA())</ns0:f>
        <ns0:v/>
      </ns0:c>
      <ns0:c r="G192">
        <ns0:f>IFERROR(IF(ISNUMBER($A192),IF(AND(AH!$P$10=1,AH!$P$12=1,$A192=TODAY()),IF(AND(AH!$P$10=1,AH!$P$12=1,$A192=TODAY()),TODAY(),NA()),IF(AH!$P$10=1,INDEX('Live History'!$G$5:$G$3004,MATCH($A192,'Live History'!$G$5:$G$3004,1)),INDEX('AH History'!$F$1:$F$18046,AH!$P$7+187))),NA()),NA())</ns0:f>
        <ns0:v/>
      </ns0:c>
      <ns0:c r="H192">
        <ns0:f>IFERROR(IF(AND(AH!$E$4="Bloomberg",AH!$P$10=1,ISNUMBER($A192),$A192&lt;=AH!$P$17),AH!$P$7-1+MATCH($A192,INDEX('AH History'!$A$1:$A$18046,AH!$P$7):INDEX('AH History'!$A$1:$A$18046,AH!$P$7+AH!$P$8-1),0),0),0)</ns0:f>
        <ns0:v/>
      </ns0:c>
      <ns0:c r="I192">
        <ns0:f>IF($H192=0,0,IFERROR(IF(AND(ABS($C192-INDEX('AH History'!$B$1:$B$18046,$H192))&lt;=MAX(0.005,ABS(INDEX('AH History'!$B$1:$B$18046,$H192))*0.00005),ABS($D192-INDEX('AH History'!$C$1:$C$18046,$H192))&lt;=MAX(0.005,ABS(INDEX('AH History'!$C$1:$C$18046,$H192))*0.00005),ABS($E192-INDEX('AH History'!$D$1:$D$18046,$H192))&lt;=0.00005,$F192=INDEX('AH History'!$E$1:$E$18046,$H192),$G192=INDEX('AH History'!$F$1:$F$18046,$H192)),1,-1),-1))</ns0:f>
        <ns0:v/>
      </ns0:c>
    </ns0:row>
    <ns0:row r="193">
      <ns0:c r="A193" s="215">
        <ns0:f>IF(OR(AH!$P$3=0,188+1&gt;AH!$P$11,AND(AH!$E$4&lt;&gt;"Stored",AH!$P$10&lt;&gt;1)),"",IFERROR(IF(AND(AH!$P$21=1,188+1=AH!$P$11),TODAY(),IF(AH!$P$10=1,INDEX('Live History'!$A$5:$A$3004,AH!$P$13+188),INDEX('AH History'!$A$1:$A$18046,AH!$P$7+188))),""))</ns0:f>
        <ns0:v/>
      </ns0:c>
      <ns0:c r="B193" s="219">
        <ns0:f>IFERROR(IF(AND(AH!$P$9&lt;&gt;1,$C193&gt;0,$D193&gt;0,$E193&gt;0,$F193&gt;0,$G193&gt;0,$F193&lt;=$A193,$G193&lt;=$A193,$A193-$F193&lt;=10,$A193-$G193&lt;=5),$D193*$E193/$C193-1,NA()),NA())</ns0:f>
        <ns0:v/>
      </ns0:c>
      <ns0:c r="C193">
        <ns0:f>IFERROR(IF(ISNUMBER($A193),IF(AND(AH!$P$10=1,AH!$P$12=1,$A193=TODAY()),AH!$P$19,IF(AH!$P$10=1,INDEX('Live History'!$B$5:$B$3004,AH!$P$13+188),INDEX('AH History'!$B$1:$B$18046,AH!$P$7+188))),NA()),NA())</ns0:f>
        <ns0:v/>
      </ns0:c>
      <ns0:c r="D193">
        <ns0:f>IFERROR(IF(ISNUMBER($A193),IF(AND(AH!$P$10=1,AH!$P$12=1,$A193=TODAY()),AH!$P$18,IF(AH!$P$10=1,INDEX('Live History'!$E$5:$E$3004,MATCH($A193,'Live History'!$D$5:$D$3004,1)),INDEX('AH History'!$C$1:$C$18046,AH!$P$7+188))),NA()),NA())</ns0:f>
        <ns0:v/>
      </ns0:c>
      <ns0:c r="E193">
        <ns0:f>IFERROR(IF(ISNUMBER($A193),IF(AND(AH!$P$10=1,AH!$P$12=1,$A193=TODAY()),AH!$P$20,IF(AH!$P$10=1,INDEX('Live History'!$H$5:$H$3004,MATCH($A193,'Live History'!$G$5:$G$3004,1)),INDEX('AH History'!$D$1:$D$18046,AH!$P$7+188))),NA()),NA())</ns0:f>
        <ns0:v/>
      </ns0:c>
      <ns0:c r="F193">
        <ns0:f>IFERROR(IF(ISNUMBER($A193),IF(AND(AH!$P$10=1,AH!$P$12=1,$A193=TODAY()),IF(AND(AH!$P$10=1,AH!$P$12=1,$A193=TODAY()),TODAY(),NA()),IF(AH!$P$10=1,INDEX('Live History'!$D$5:$D$3004,MATCH($A193,'Live History'!$D$5:$D$3004,1)),INDEX('AH History'!$E$1:$E$18046,AH!$P$7+188))),NA()),NA())</ns0:f>
        <ns0:v/>
      </ns0:c>
      <ns0:c r="G193">
        <ns0:f>IFERROR(IF(ISNUMBER($A193),IF(AND(AH!$P$10=1,AH!$P$12=1,$A193=TODAY()),IF(AND(AH!$P$10=1,AH!$P$12=1,$A193=TODAY()),TODAY(),NA()),IF(AH!$P$10=1,INDEX('Live History'!$G$5:$G$3004,MATCH($A193,'Live History'!$G$5:$G$3004,1)),INDEX('AH History'!$F$1:$F$18046,AH!$P$7+188))),NA()),NA())</ns0:f>
        <ns0:v/>
      </ns0:c>
      <ns0:c r="H193">
        <ns0:f>IFERROR(IF(AND(AH!$E$4="Bloomberg",AH!$P$10=1,ISNUMBER($A193),$A193&lt;=AH!$P$17),AH!$P$7-1+MATCH($A193,INDEX('AH History'!$A$1:$A$18046,AH!$P$7):INDEX('AH History'!$A$1:$A$18046,AH!$P$7+AH!$P$8-1),0),0),0)</ns0:f>
        <ns0:v/>
      </ns0:c>
      <ns0:c r="I193">
        <ns0:f>IF($H193=0,0,IFERROR(IF(AND(ABS($C193-INDEX('AH History'!$B$1:$B$18046,$H193))&lt;=MAX(0.005,ABS(INDEX('AH History'!$B$1:$B$18046,$H193))*0.00005),ABS($D193-INDEX('AH History'!$C$1:$C$18046,$H193))&lt;=MAX(0.005,ABS(INDEX('AH History'!$C$1:$C$18046,$H193))*0.00005),ABS($E193-INDEX('AH History'!$D$1:$D$18046,$H193))&lt;=0.00005,$F193=INDEX('AH History'!$E$1:$E$18046,$H193),$G193=INDEX('AH History'!$F$1:$F$18046,$H193)),1,-1),-1))</ns0:f>
        <ns0:v/>
      </ns0:c>
    </ns0:row>
    <ns0:row r="194">
      <ns0:c r="A194" s="215">
        <ns0:f>IF(OR(AH!$P$3=0,189+1&gt;AH!$P$11,AND(AH!$E$4&lt;&gt;"Stored",AH!$P$10&lt;&gt;1)),"",IFERROR(IF(AND(AH!$P$21=1,189+1=AH!$P$11),TODAY(),IF(AH!$P$10=1,INDEX('Live History'!$A$5:$A$3004,AH!$P$13+189),INDEX('AH History'!$A$1:$A$18046,AH!$P$7+189))),""))</ns0:f>
        <ns0:v/>
      </ns0:c>
      <ns0:c r="B194" s="219">
        <ns0:f>IFERROR(IF(AND(AH!$P$9&lt;&gt;1,$C194&gt;0,$D194&gt;0,$E194&gt;0,$F194&gt;0,$G194&gt;0,$F194&lt;=$A194,$G194&lt;=$A194,$A194-$F194&lt;=10,$A194-$G194&lt;=5),$D194*$E194/$C194-1,NA()),NA())</ns0:f>
        <ns0:v/>
      </ns0:c>
      <ns0:c r="C194">
        <ns0:f>IFERROR(IF(ISNUMBER($A194),IF(AND(AH!$P$10=1,AH!$P$12=1,$A194=TODAY()),AH!$P$19,IF(AH!$P$10=1,INDEX('Live History'!$B$5:$B$3004,AH!$P$13+189),INDEX('AH History'!$B$1:$B$18046,AH!$P$7+189))),NA()),NA())</ns0:f>
        <ns0:v/>
      </ns0:c>
      <ns0:c r="D194">
        <ns0:f>IFERROR(IF(ISNUMBER($A194),IF(AND(AH!$P$10=1,AH!$P$12=1,$A194=TODAY()),AH!$P$18,IF(AH!$P$10=1,INDEX('Live History'!$E$5:$E$3004,MATCH($A194,'Live History'!$D$5:$D$3004,1)),INDEX('AH History'!$C$1:$C$18046,AH!$P$7+189))),NA()),NA())</ns0:f>
        <ns0:v/>
      </ns0:c>
      <ns0:c r="E194">
        <ns0:f>IFERROR(IF(ISNUMBER($A194),IF(AND(AH!$P$10=1,AH!$P$12=1,$A194=TODAY()),AH!$P$20,IF(AH!$P$10=1,INDEX('Live History'!$H$5:$H$3004,MATCH($A194,'Live History'!$G$5:$G$3004,1)),INDEX('AH History'!$D$1:$D$18046,AH!$P$7+189))),NA()),NA())</ns0:f>
        <ns0:v/>
      </ns0:c>
      <ns0:c r="F194">
        <ns0:f>IFERROR(IF(ISNUMBER($A194),IF(AND(AH!$P$10=1,AH!$P$12=1,$A194=TODAY()),IF(AND(AH!$P$10=1,AH!$P$12=1,$A194=TODAY()),TODAY(),NA()),IF(AH!$P$10=1,INDEX('Live History'!$D$5:$D$3004,MATCH($A194,'Live History'!$D$5:$D$3004,1)),INDEX('AH History'!$E$1:$E$18046,AH!$P$7+189))),NA()),NA())</ns0:f>
        <ns0:v/>
      </ns0:c>
      <ns0:c r="G194">
        <ns0:f>IFERROR(IF(ISNUMBER($A194),IF(AND(AH!$P$10=1,AH!$P$12=1,$A194=TODAY()),IF(AND(AH!$P$10=1,AH!$P$12=1,$A194=TODAY()),TODAY(),NA()),IF(AH!$P$10=1,INDEX('Live History'!$G$5:$G$3004,MATCH($A194,'Live History'!$G$5:$G$3004,1)),INDEX('AH History'!$F$1:$F$18046,AH!$P$7+189))),NA()),NA())</ns0:f>
        <ns0:v/>
      </ns0:c>
      <ns0:c r="H194">
        <ns0:f>IFERROR(IF(AND(AH!$E$4="Bloomberg",AH!$P$10=1,ISNUMBER($A194),$A194&lt;=AH!$P$17),AH!$P$7-1+MATCH($A194,INDEX('AH History'!$A$1:$A$18046,AH!$P$7):INDEX('AH History'!$A$1:$A$18046,AH!$P$7+AH!$P$8-1),0),0),0)</ns0:f>
        <ns0:v/>
      </ns0:c>
      <ns0:c r="I194">
        <ns0:f>IF($H194=0,0,IFERROR(IF(AND(ABS($C194-INDEX('AH History'!$B$1:$B$18046,$H194))&lt;=MAX(0.005,ABS(INDEX('AH History'!$B$1:$B$18046,$H194))*0.00005),ABS($D194-INDEX('AH History'!$C$1:$C$18046,$H194))&lt;=MAX(0.005,ABS(INDEX('AH History'!$C$1:$C$18046,$H194))*0.00005),ABS($E194-INDEX('AH History'!$D$1:$D$18046,$H194))&lt;=0.00005,$F194=INDEX('AH History'!$E$1:$E$18046,$H194),$G194=INDEX('AH History'!$F$1:$F$18046,$H194)),1,-1),-1))</ns0:f>
        <ns0:v/>
      </ns0:c>
    </ns0:row>
    <ns0:row r="195">
      <ns0:c r="A195" s="215">
        <ns0:f>IF(OR(AH!$P$3=0,190+1&gt;AH!$P$11,AND(AH!$E$4&lt;&gt;"Stored",AH!$P$10&lt;&gt;1)),"",IFERROR(IF(AND(AH!$P$21=1,190+1=AH!$P$11),TODAY(),IF(AH!$P$10=1,INDEX('Live History'!$A$5:$A$3004,AH!$P$13+190),INDEX('AH History'!$A$1:$A$18046,AH!$P$7+190))),""))</ns0:f>
        <ns0:v/>
      </ns0:c>
      <ns0:c r="B195" s="219">
        <ns0:f>IFERROR(IF(AND(AH!$P$9&lt;&gt;1,$C195&gt;0,$D195&gt;0,$E195&gt;0,$F195&gt;0,$G195&gt;0,$F195&lt;=$A195,$G195&lt;=$A195,$A195-$F195&lt;=10,$A195-$G195&lt;=5),$D195*$E195/$C195-1,NA()),NA())</ns0:f>
        <ns0:v/>
      </ns0:c>
      <ns0:c r="C195">
        <ns0:f>IFERROR(IF(ISNUMBER($A195),IF(AND(AH!$P$10=1,AH!$P$12=1,$A195=TODAY()),AH!$P$19,IF(AH!$P$10=1,INDEX('Live History'!$B$5:$B$3004,AH!$P$13+190),INDEX('AH History'!$B$1:$B$18046,AH!$P$7+190))),NA()),NA())</ns0:f>
        <ns0:v/>
      </ns0:c>
      <ns0:c r="D195">
        <ns0:f>IFERROR(IF(ISNUMBER($A195),IF(AND(AH!$P$10=1,AH!$P$12=1,$A195=TODAY()),AH!$P$18,IF(AH!$P$10=1,INDEX('Live History'!$E$5:$E$3004,MATCH($A195,'Live History'!$D$5:$D$3004,1)),INDEX('AH History'!$C$1:$C$18046,AH!$P$7+190))),NA()),NA())</ns0:f>
        <ns0:v/>
      </ns0:c>
      <ns0:c r="E195">
        <ns0:f>IFERROR(IF(ISNUMBER($A195),IF(AND(AH!$P$10=1,AH!$P$12=1,$A195=TODAY()),AH!$P$20,IF(AH!$P$10=1,INDEX('Live History'!$H$5:$H$3004,MATCH($A195,'Live History'!$G$5:$G$3004,1)),INDEX('AH History'!$D$1:$D$18046,AH!$P$7+190))),NA()),NA())</ns0:f>
        <ns0:v/>
      </ns0:c>
      <ns0:c r="F195">
        <ns0:f>IFERROR(IF(ISNUMBER($A195),IF(AND(AH!$P$10=1,AH!$P$12=1,$A195=TODAY()),IF(AND(AH!$P$10=1,AH!$P$12=1,$A195=TODAY()),TODAY(),NA()),IF(AH!$P$10=1,INDEX('Live History'!$D$5:$D$3004,MATCH($A195,'Live History'!$D$5:$D$3004,1)),INDEX('AH History'!$E$1:$E$18046,AH!$P$7+190))),NA()),NA())</ns0:f>
        <ns0:v/>
      </ns0:c>
      <ns0:c r="G195">
        <ns0:f>IFERROR(IF(ISNUMBER($A195),IF(AND(AH!$P$10=1,AH!$P$12=1,$A195=TODAY()),IF(AND(AH!$P$10=1,AH!$P$12=1,$A195=TODAY()),TODAY(),NA()),IF(AH!$P$10=1,INDEX('Live History'!$G$5:$G$3004,MATCH($A195,'Live History'!$G$5:$G$3004,1)),INDEX('AH History'!$F$1:$F$18046,AH!$P$7+190))),NA()),NA())</ns0:f>
        <ns0:v/>
      </ns0:c>
      <ns0:c r="H195">
        <ns0:f>IFERROR(IF(AND(AH!$E$4="Bloomberg",AH!$P$10=1,ISNUMBER($A195),$A195&lt;=AH!$P$17),AH!$P$7-1+MATCH($A195,INDEX('AH History'!$A$1:$A$18046,AH!$P$7):INDEX('AH History'!$A$1:$A$18046,AH!$P$7+AH!$P$8-1),0),0),0)</ns0:f>
        <ns0:v/>
      </ns0:c>
      <ns0:c r="I195">
        <ns0:f>IF($H195=0,0,IFERROR(IF(AND(ABS($C195-INDEX('AH History'!$B$1:$B$18046,$H195))&lt;=MAX(0.005,ABS(INDEX('AH History'!$B$1:$B$18046,$H195))*0.00005),ABS($D195-INDEX('AH History'!$C$1:$C$18046,$H195))&lt;=MAX(0.005,ABS(INDEX('AH History'!$C$1:$C$18046,$H195))*0.00005),ABS($E195-INDEX('AH History'!$D$1:$D$18046,$H195))&lt;=0.00005,$F195=INDEX('AH History'!$E$1:$E$18046,$H195),$G195=INDEX('AH History'!$F$1:$F$18046,$H195)),1,-1),-1))</ns0:f>
        <ns0:v/>
      </ns0:c>
    </ns0:row>
    <ns0:row r="196">
      <ns0:c r="A196" s="215">
        <ns0:f>IF(OR(AH!$P$3=0,191+1&gt;AH!$P$11,AND(AH!$E$4&lt;&gt;"Stored",AH!$P$10&lt;&gt;1)),"",IFERROR(IF(AND(AH!$P$21=1,191+1=AH!$P$11),TODAY(),IF(AH!$P$10=1,INDEX('Live History'!$A$5:$A$3004,AH!$P$13+191),INDEX('AH History'!$A$1:$A$18046,AH!$P$7+191))),""))</ns0:f>
        <ns0:v/>
      </ns0:c>
      <ns0:c r="B196" s="219">
        <ns0:f>IFERROR(IF(AND(AH!$P$9&lt;&gt;1,$C196&gt;0,$D196&gt;0,$E196&gt;0,$F196&gt;0,$G196&gt;0,$F196&lt;=$A196,$G196&lt;=$A196,$A196-$F196&lt;=10,$A196-$G196&lt;=5),$D196*$E196/$C196-1,NA()),NA())</ns0:f>
        <ns0:v/>
      </ns0:c>
      <ns0:c r="C196">
        <ns0:f>IFERROR(IF(ISNUMBER($A196),IF(AND(AH!$P$10=1,AH!$P$12=1,$A196=TODAY()),AH!$P$19,IF(AH!$P$10=1,INDEX('Live History'!$B$5:$B$3004,AH!$P$13+191),INDEX('AH History'!$B$1:$B$18046,AH!$P$7+191))),NA()),NA())</ns0:f>
        <ns0:v/>
      </ns0:c>
      <ns0:c r="D196">
        <ns0:f>IFERROR(IF(ISNUMBER($A196),IF(AND(AH!$P$10=1,AH!$P$12=1,$A196=TODAY()),AH!$P$18,IF(AH!$P$10=1,INDEX('Live History'!$E$5:$E$3004,MATCH($A196,'Live History'!$D$5:$D$3004,1)),INDEX('AH History'!$C$1:$C$18046,AH!$P$7+191))),NA()),NA())</ns0:f>
        <ns0:v/>
      </ns0:c>
      <ns0:c r="E196">
        <ns0:f>IFERROR(IF(ISNUMBER($A196),IF(AND(AH!$P$10=1,AH!$P$12=1,$A196=TODAY()),AH!$P$20,IF(AH!$P$10=1,INDEX('Live History'!$H$5:$H$3004,MATCH($A196,'Live History'!$G$5:$G$3004,1)),INDEX('AH History'!$D$1:$D$18046,AH!$P$7+191))),NA()),NA())</ns0:f>
        <ns0:v/>
      </ns0:c>
      <ns0:c r="F196">
        <ns0:f>IFERROR(IF(ISNUMBER($A196),IF(AND(AH!$P$10=1,AH!$P$12=1,$A196=TODAY()),IF(AND(AH!$P$10=1,AH!$P$12=1,$A196=TODAY()),TODAY(),NA()),IF(AH!$P$10=1,INDEX('Live History'!$D$5:$D$3004,MATCH($A196,'Live History'!$D$5:$D$3004,1)),INDEX('AH History'!$E$1:$E$18046,AH!$P$7+191))),NA()),NA())</ns0:f>
        <ns0:v/>
      </ns0:c>
      <ns0:c r="G196">
        <ns0:f>IFERROR(IF(ISNUMBER($A196),IF(AND(AH!$P$10=1,AH!$P$12=1,$A196=TODAY()),IF(AND(AH!$P$10=1,AH!$P$12=1,$A196=TODAY()),TODAY(),NA()),IF(AH!$P$10=1,INDEX('Live History'!$G$5:$G$3004,MATCH($A196,'Live History'!$G$5:$G$3004,1)),INDEX('AH History'!$F$1:$F$18046,AH!$P$7+191))),NA()),NA())</ns0:f>
        <ns0:v/>
      </ns0:c>
      <ns0:c r="H196">
        <ns0:f>IFERROR(IF(AND(AH!$E$4="Bloomberg",AH!$P$10=1,ISNUMBER($A196),$A196&lt;=AH!$P$17),AH!$P$7-1+MATCH($A196,INDEX('AH History'!$A$1:$A$18046,AH!$P$7):INDEX('AH History'!$A$1:$A$18046,AH!$P$7+AH!$P$8-1),0),0),0)</ns0:f>
        <ns0:v/>
      </ns0:c>
      <ns0:c r="I196">
        <ns0:f>IF($H196=0,0,IFERROR(IF(AND(ABS($C196-INDEX('AH History'!$B$1:$B$18046,$H196))&lt;=MAX(0.005,ABS(INDEX('AH History'!$B$1:$B$18046,$H196))*0.00005),ABS($D196-INDEX('AH History'!$C$1:$C$18046,$H196))&lt;=MAX(0.005,ABS(INDEX('AH History'!$C$1:$C$18046,$H196))*0.00005),ABS($E196-INDEX('AH History'!$D$1:$D$18046,$H196))&lt;=0.00005,$F196=INDEX('AH History'!$E$1:$E$18046,$H196),$G196=INDEX('AH History'!$F$1:$F$18046,$H196)),1,-1),-1))</ns0:f>
        <ns0:v/>
      </ns0:c>
    </ns0:row>
    <ns0:row r="197">
      <ns0:c r="A197" s="215">
        <ns0:f>IF(OR(AH!$P$3=0,192+1&gt;AH!$P$11,AND(AH!$E$4&lt;&gt;"Stored",AH!$P$10&lt;&gt;1)),"",IFERROR(IF(AND(AH!$P$21=1,192+1=AH!$P$11),TODAY(),IF(AH!$P$10=1,INDEX('Live History'!$A$5:$A$3004,AH!$P$13+192),INDEX('AH History'!$A$1:$A$18046,AH!$P$7+192))),""))</ns0:f>
        <ns0:v/>
      </ns0:c>
      <ns0:c r="B197" s="219">
        <ns0:f>IFERROR(IF(AND(AH!$P$9&lt;&gt;1,$C197&gt;0,$D197&gt;0,$E197&gt;0,$F197&gt;0,$G197&gt;0,$F197&lt;=$A197,$G197&lt;=$A197,$A197-$F197&lt;=10,$A197-$G197&lt;=5),$D197*$E197/$C197-1,NA()),NA())</ns0:f>
        <ns0:v/>
      </ns0:c>
      <ns0:c r="C197">
        <ns0:f>IFERROR(IF(ISNUMBER($A197),IF(AND(AH!$P$10=1,AH!$P$12=1,$A197=TODAY()),AH!$P$19,IF(AH!$P$10=1,INDEX('Live History'!$B$5:$B$3004,AH!$P$13+192),INDEX('AH History'!$B$1:$B$18046,AH!$P$7+192))),NA()),NA())</ns0:f>
        <ns0:v/>
      </ns0:c>
      <ns0:c r="D197">
        <ns0:f>IFERROR(IF(ISNUMBER($A197),IF(AND(AH!$P$10=1,AH!$P$12=1,$A197=TODAY()),AH!$P$18,IF(AH!$P$10=1,INDEX('Live History'!$E$5:$E$3004,MATCH($A197,'Live History'!$D$5:$D$3004,1)),INDEX('AH History'!$C$1:$C$18046,AH!$P$7+192))),NA()),NA())</ns0:f>
        <ns0:v/>
      </ns0:c>
      <ns0:c r="E197">
        <ns0:f>IFERROR(IF(ISNUMBER($A197),IF(AND(AH!$P$10=1,AH!$P$12=1,$A197=TODAY()),AH!$P$20,IF(AH!$P$10=1,INDEX('Live History'!$H$5:$H$3004,MATCH($A197,'Live History'!$G$5:$G$3004,1)),INDEX('AH History'!$D$1:$D$18046,AH!$P$7+192))),NA()),NA())</ns0:f>
        <ns0:v/>
      </ns0:c>
      <ns0:c r="F197">
        <ns0:f>IFERROR(IF(ISNUMBER($A197),IF(AND(AH!$P$10=1,AH!$P$12=1,$A197=TODAY()),IF(AND(AH!$P$10=1,AH!$P$12=1,$A197=TODAY()),TODAY(),NA()),IF(AH!$P$10=1,INDEX('Live History'!$D$5:$D$3004,MATCH($A197,'Live History'!$D$5:$D$3004,1)),INDEX('AH History'!$E$1:$E$18046,AH!$P$7+192))),NA()),NA())</ns0:f>
        <ns0:v/>
      </ns0:c>
      <ns0:c r="G197">
        <ns0:f>IFERROR(IF(ISNUMBER($A197),IF(AND(AH!$P$10=1,AH!$P$12=1,$A197=TODAY()),IF(AND(AH!$P$10=1,AH!$P$12=1,$A197=TODAY()),TODAY(),NA()),IF(AH!$P$10=1,INDEX('Live History'!$G$5:$G$3004,MATCH($A197,'Live History'!$G$5:$G$3004,1)),INDEX('AH History'!$F$1:$F$18046,AH!$P$7+192))),NA()),NA())</ns0:f>
        <ns0:v/>
      </ns0:c>
      <ns0:c r="H197">
        <ns0:f>IFERROR(IF(AND(AH!$E$4="Bloomberg",AH!$P$10=1,ISNUMBER($A197),$A197&lt;=AH!$P$17),AH!$P$7-1+MATCH($A197,INDEX('AH History'!$A$1:$A$18046,AH!$P$7):INDEX('AH History'!$A$1:$A$18046,AH!$P$7+AH!$P$8-1),0),0),0)</ns0:f>
        <ns0:v/>
      </ns0:c>
      <ns0:c r="I197">
        <ns0:f>IF($H197=0,0,IFERROR(IF(AND(ABS($C197-INDEX('AH History'!$B$1:$B$18046,$H197))&lt;=MAX(0.005,ABS(INDEX('AH History'!$B$1:$B$18046,$H197))*0.00005),ABS($D197-INDEX('AH History'!$C$1:$C$18046,$H197))&lt;=MAX(0.005,ABS(INDEX('AH History'!$C$1:$C$18046,$H197))*0.00005),ABS($E197-INDEX('AH History'!$D$1:$D$18046,$H197))&lt;=0.00005,$F197=INDEX('AH History'!$E$1:$E$18046,$H197),$G197=INDEX('AH History'!$F$1:$F$18046,$H197)),1,-1),-1))</ns0:f>
        <ns0:v/>
      </ns0:c>
    </ns0:row>
    <ns0:row r="198">
      <ns0:c r="A198" s="215">
        <ns0:f>IF(OR(AH!$P$3=0,193+1&gt;AH!$P$11,AND(AH!$E$4&lt;&gt;"Stored",AH!$P$10&lt;&gt;1)),"",IFERROR(IF(AND(AH!$P$21=1,193+1=AH!$P$11),TODAY(),IF(AH!$P$10=1,INDEX('Live History'!$A$5:$A$3004,AH!$P$13+193),INDEX('AH History'!$A$1:$A$18046,AH!$P$7+193))),""))</ns0:f>
        <ns0:v/>
      </ns0:c>
      <ns0:c r="B198" s="219">
        <ns0:f>IFERROR(IF(AND(AH!$P$9&lt;&gt;1,$C198&gt;0,$D198&gt;0,$E198&gt;0,$F198&gt;0,$G198&gt;0,$F198&lt;=$A198,$G198&lt;=$A198,$A198-$F198&lt;=10,$A198-$G198&lt;=5),$D198*$E198/$C198-1,NA()),NA())</ns0:f>
        <ns0:v/>
      </ns0:c>
      <ns0:c r="C198">
        <ns0:f>IFERROR(IF(ISNUMBER($A198),IF(AND(AH!$P$10=1,AH!$P$12=1,$A198=TODAY()),AH!$P$19,IF(AH!$P$10=1,INDEX('Live History'!$B$5:$B$3004,AH!$P$13+193),INDEX('AH History'!$B$1:$B$18046,AH!$P$7+193))),NA()),NA())</ns0:f>
        <ns0:v/>
      </ns0:c>
      <ns0:c r="D198">
        <ns0:f>IFERROR(IF(ISNUMBER($A198),IF(AND(AH!$P$10=1,AH!$P$12=1,$A198=TODAY()),AH!$P$18,IF(AH!$P$10=1,INDEX('Live History'!$E$5:$E$3004,MATCH($A198,'Live History'!$D$5:$D$3004,1)),INDEX('AH History'!$C$1:$C$18046,AH!$P$7+193))),NA()),NA())</ns0:f>
        <ns0:v/>
      </ns0:c>
      <ns0:c r="E198">
        <ns0:f>IFERROR(IF(ISNUMBER($A198),IF(AND(AH!$P$10=1,AH!$P$12=1,$A198=TODAY()),AH!$P$20,IF(AH!$P$10=1,INDEX('Live History'!$H$5:$H$3004,MATCH($A198,'Live History'!$G$5:$G$3004,1)),INDEX('AH History'!$D$1:$D$18046,AH!$P$7+193))),NA()),NA())</ns0:f>
        <ns0:v/>
      </ns0:c>
      <ns0:c r="F198">
        <ns0:f>IFERROR(IF(ISNUMBER($A198),IF(AND(AH!$P$10=1,AH!$P$12=1,$A198=TODAY()),IF(AND(AH!$P$10=1,AH!$P$12=1,$A198=TODAY()),TODAY(),NA()),IF(AH!$P$10=1,INDEX('Live History'!$D$5:$D$3004,MATCH($A198,'Live History'!$D$5:$D$3004,1)),INDEX('AH History'!$E$1:$E$18046,AH!$P$7+193))),NA()),NA())</ns0:f>
        <ns0:v/>
      </ns0:c>
      <ns0:c r="G198">
        <ns0:f>IFERROR(IF(ISNUMBER($A198),IF(AND(AH!$P$10=1,AH!$P$12=1,$A198=TODAY()),IF(AND(AH!$P$10=1,AH!$P$12=1,$A198=TODAY()),TODAY(),NA()),IF(AH!$P$10=1,INDEX('Live History'!$G$5:$G$3004,MATCH($A198,'Live History'!$G$5:$G$3004,1)),INDEX('AH History'!$F$1:$F$18046,AH!$P$7+193))),NA()),NA())</ns0:f>
        <ns0:v/>
      </ns0:c>
      <ns0:c r="H198">
        <ns0:f>IFERROR(IF(AND(AH!$E$4="Bloomberg",AH!$P$10=1,ISNUMBER($A198),$A198&lt;=AH!$P$17),AH!$P$7-1+MATCH($A198,INDEX('AH History'!$A$1:$A$18046,AH!$P$7):INDEX('AH History'!$A$1:$A$18046,AH!$P$7+AH!$P$8-1),0),0),0)</ns0:f>
        <ns0:v/>
      </ns0:c>
      <ns0:c r="I198">
        <ns0:f>IF($H198=0,0,IFERROR(IF(AND(ABS($C198-INDEX('AH History'!$B$1:$B$18046,$H198))&lt;=MAX(0.005,ABS(INDEX('AH History'!$B$1:$B$18046,$H198))*0.00005),ABS($D198-INDEX('AH History'!$C$1:$C$18046,$H198))&lt;=MAX(0.005,ABS(INDEX('AH History'!$C$1:$C$18046,$H198))*0.00005),ABS($E198-INDEX('AH History'!$D$1:$D$18046,$H198))&lt;=0.00005,$F198=INDEX('AH History'!$E$1:$E$18046,$H198),$G198=INDEX('AH History'!$F$1:$F$18046,$H198)),1,-1),-1))</ns0:f>
        <ns0:v/>
      </ns0:c>
    </ns0:row>
    <ns0:row r="199">
      <ns0:c r="A199" s="215">
        <ns0:f>IF(OR(AH!$P$3=0,194+1&gt;AH!$P$11,AND(AH!$E$4&lt;&gt;"Stored",AH!$P$10&lt;&gt;1)),"",IFERROR(IF(AND(AH!$P$21=1,194+1=AH!$P$11),TODAY(),IF(AH!$P$10=1,INDEX('Live History'!$A$5:$A$3004,AH!$P$13+194),INDEX('AH History'!$A$1:$A$18046,AH!$P$7+194))),""))</ns0:f>
        <ns0:v/>
      </ns0:c>
      <ns0:c r="B199" s="219">
        <ns0:f>IFERROR(IF(AND(AH!$P$9&lt;&gt;1,$C199&gt;0,$D199&gt;0,$E199&gt;0,$F199&gt;0,$G199&gt;0,$F199&lt;=$A199,$G199&lt;=$A199,$A199-$F199&lt;=10,$A199-$G199&lt;=5),$D199*$E199/$C199-1,NA()),NA())</ns0:f>
        <ns0:v/>
      </ns0:c>
      <ns0:c r="C199">
        <ns0:f>IFERROR(IF(ISNUMBER($A199),IF(AND(AH!$P$10=1,AH!$P$12=1,$A199=TODAY()),AH!$P$19,IF(AH!$P$10=1,INDEX('Live History'!$B$5:$B$3004,AH!$P$13+194),INDEX('AH History'!$B$1:$B$18046,AH!$P$7+194))),NA()),NA())</ns0:f>
        <ns0:v/>
      </ns0:c>
      <ns0:c r="D199">
        <ns0:f>IFERROR(IF(ISNUMBER($A199),IF(AND(AH!$P$10=1,AH!$P$12=1,$A199=TODAY()),AH!$P$18,IF(AH!$P$10=1,INDEX('Live History'!$E$5:$E$3004,MATCH($A199,'Live History'!$D$5:$D$3004,1)),INDEX('AH History'!$C$1:$C$18046,AH!$P$7+194))),NA()),NA())</ns0:f>
        <ns0:v/>
      </ns0:c>
      <ns0:c r="E199">
        <ns0:f>IFERROR(IF(ISNUMBER($A199),IF(AND(AH!$P$10=1,AH!$P$12=1,$A199=TODAY()),AH!$P$20,IF(AH!$P$10=1,INDEX('Live History'!$H$5:$H$3004,MATCH($A199,'Live History'!$G$5:$G$3004,1)),INDEX('AH History'!$D$1:$D$18046,AH!$P$7+194))),NA()),NA())</ns0:f>
        <ns0:v/>
      </ns0:c>
      <ns0:c r="F199">
        <ns0:f>IFERROR(IF(ISNUMBER($A199),IF(AND(AH!$P$10=1,AH!$P$12=1,$A199=TODAY()),IF(AND(AH!$P$10=1,AH!$P$12=1,$A199=TODAY()),TODAY(),NA()),IF(AH!$P$10=1,INDEX('Live History'!$D$5:$D$3004,MATCH($A199,'Live History'!$D$5:$D$3004,1)),INDEX('AH History'!$E$1:$E$18046,AH!$P$7+194))),NA()),NA())</ns0:f>
        <ns0:v/>
      </ns0:c>
      <ns0:c r="G199">
        <ns0:f>IFERROR(IF(ISNUMBER($A199),IF(AND(AH!$P$10=1,AH!$P$12=1,$A199=TODAY()),IF(AND(AH!$P$10=1,AH!$P$12=1,$A199=TODAY()),TODAY(),NA()),IF(AH!$P$10=1,INDEX('Live History'!$G$5:$G$3004,MATCH($A199,'Live History'!$G$5:$G$3004,1)),INDEX('AH History'!$F$1:$F$18046,AH!$P$7+194))),NA()),NA())</ns0:f>
        <ns0:v/>
      </ns0:c>
      <ns0:c r="H199">
        <ns0:f>IFERROR(IF(AND(AH!$E$4="Bloomberg",AH!$P$10=1,ISNUMBER($A199),$A199&lt;=AH!$P$17),AH!$P$7-1+MATCH($A199,INDEX('AH History'!$A$1:$A$18046,AH!$P$7):INDEX('AH History'!$A$1:$A$18046,AH!$P$7+AH!$P$8-1),0),0),0)</ns0:f>
        <ns0:v/>
      </ns0:c>
      <ns0:c r="I199">
        <ns0:f>IF($H199=0,0,IFERROR(IF(AND(ABS($C199-INDEX('AH History'!$B$1:$B$18046,$H199))&lt;=MAX(0.005,ABS(INDEX('AH History'!$B$1:$B$18046,$H199))*0.00005),ABS($D199-INDEX('AH History'!$C$1:$C$18046,$H199))&lt;=MAX(0.005,ABS(INDEX('AH History'!$C$1:$C$18046,$H199))*0.00005),ABS($E199-INDEX('AH History'!$D$1:$D$18046,$H199))&lt;=0.00005,$F199=INDEX('AH History'!$E$1:$E$18046,$H199),$G199=INDEX('AH History'!$F$1:$F$18046,$H199)),1,-1),-1))</ns0:f>
        <ns0:v/>
      </ns0:c>
    </ns0:row>
    <ns0:row r="200">
      <ns0:c r="A200" s="215">
        <ns0:f>IF(OR(AH!$P$3=0,195+1&gt;AH!$P$11,AND(AH!$E$4&lt;&gt;"Stored",AH!$P$10&lt;&gt;1)),"",IFERROR(IF(AND(AH!$P$21=1,195+1=AH!$P$11),TODAY(),IF(AH!$P$10=1,INDEX('Live History'!$A$5:$A$3004,AH!$P$13+195),INDEX('AH History'!$A$1:$A$18046,AH!$P$7+195))),""))</ns0:f>
        <ns0:v/>
      </ns0:c>
      <ns0:c r="B200" s="219">
        <ns0:f>IFERROR(IF(AND(AH!$P$9&lt;&gt;1,$C200&gt;0,$D200&gt;0,$E200&gt;0,$F200&gt;0,$G200&gt;0,$F200&lt;=$A200,$G200&lt;=$A200,$A200-$F200&lt;=10,$A200-$G200&lt;=5),$D200*$E200/$C200-1,NA()),NA())</ns0:f>
        <ns0:v/>
      </ns0:c>
      <ns0:c r="C200">
        <ns0:f>IFERROR(IF(ISNUMBER($A200),IF(AND(AH!$P$10=1,AH!$P$12=1,$A200=TODAY()),AH!$P$19,IF(AH!$P$10=1,INDEX('Live History'!$B$5:$B$3004,AH!$P$13+195),INDEX('AH History'!$B$1:$B$18046,AH!$P$7+195))),NA()),NA())</ns0:f>
        <ns0:v/>
      </ns0:c>
      <ns0:c r="D200">
        <ns0:f>IFERROR(IF(ISNUMBER($A200),IF(AND(AH!$P$10=1,AH!$P$12=1,$A200=TODAY()),AH!$P$18,IF(AH!$P$10=1,INDEX('Live History'!$E$5:$E$3004,MATCH($A200,'Live History'!$D$5:$D$3004,1)),INDEX('AH History'!$C$1:$C$18046,AH!$P$7+195))),NA()),NA())</ns0:f>
        <ns0:v/>
      </ns0:c>
      <ns0:c r="E200">
        <ns0:f>IFERROR(IF(ISNUMBER($A200),IF(AND(AH!$P$10=1,AH!$P$12=1,$A200=TODAY()),AH!$P$20,IF(AH!$P$10=1,INDEX('Live History'!$H$5:$H$3004,MATCH($A200,'Live History'!$G$5:$G$3004,1)),INDEX('AH History'!$D$1:$D$18046,AH!$P$7+195))),NA()),NA())</ns0:f>
        <ns0:v/>
      </ns0:c>
      <ns0:c r="F200">
        <ns0:f>IFERROR(IF(ISNUMBER($A200),IF(AND(AH!$P$10=1,AH!$P$12=1,$A200=TODAY()),IF(AND(AH!$P$10=1,AH!$P$12=1,$A200=TODAY()),TODAY(),NA()),IF(AH!$P$10=1,INDEX('Live History'!$D$5:$D$3004,MATCH($A200,'Live History'!$D$5:$D$3004,1)),INDEX('AH History'!$E$1:$E$18046,AH!$P$7+195))),NA()),NA())</ns0:f>
        <ns0:v/>
      </ns0:c>
      <ns0:c r="G200">
        <ns0:f>IFERROR(IF(ISNUMBER($A200),IF(AND(AH!$P$10=1,AH!$P$12=1,$A200=TODAY()),IF(AND(AH!$P$10=1,AH!$P$12=1,$A200=TODAY()),TODAY(),NA()),IF(AH!$P$10=1,INDEX('Live History'!$G$5:$G$3004,MATCH($A200,'Live History'!$G$5:$G$3004,1)),INDEX('AH History'!$F$1:$F$18046,AH!$P$7+195))),NA()),NA())</ns0:f>
        <ns0:v/>
      </ns0:c>
      <ns0:c r="H200">
        <ns0:f>IFERROR(IF(AND(AH!$E$4="Bloomberg",AH!$P$10=1,ISNUMBER($A200),$A200&lt;=AH!$P$17),AH!$P$7-1+MATCH($A200,INDEX('AH History'!$A$1:$A$18046,AH!$P$7):INDEX('AH History'!$A$1:$A$18046,AH!$P$7+AH!$P$8-1),0),0),0)</ns0:f>
        <ns0:v/>
      </ns0:c>
      <ns0:c r="I200">
        <ns0:f>IF($H200=0,0,IFERROR(IF(AND(ABS($C200-INDEX('AH History'!$B$1:$B$18046,$H200))&lt;=MAX(0.005,ABS(INDEX('AH History'!$B$1:$B$18046,$H200))*0.00005),ABS($D200-INDEX('AH History'!$C$1:$C$18046,$H200))&lt;=MAX(0.005,ABS(INDEX('AH History'!$C$1:$C$18046,$H200))*0.00005),ABS($E200-INDEX('AH History'!$D$1:$D$18046,$H200))&lt;=0.00005,$F200=INDEX('AH History'!$E$1:$E$18046,$H200),$G200=INDEX('AH History'!$F$1:$F$18046,$H200)),1,-1),-1))</ns0:f>
        <ns0:v/>
      </ns0:c>
    </ns0:row>
    <ns0:row r="201">
      <ns0:c r="A201" s="215">
        <ns0:f>IF(OR(AH!$P$3=0,196+1&gt;AH!$P$11,AND(AH!$E$4&lt;&gt;"Stored",AH!$P$10&lt;&gt;1)),"",IFERROR(IF(AND(AH!$P$21=1,196+1=AH!$P$11),TODAY(),IF(AH!$P$10=1,INDEX('Live History'!$A$5:$A$3004,AH!$P$13+196),INDEX('AH History'!$A$1:$A$18046,AH!$P$7+196))),""))</ns0:f>
        <ns0:v/>
      </ns0:c>
      <ns0:c r="B201" s="219">
        <ns0:f>IFERROR(IF(AND(AH!$P$9&lt;&gt;1,$C201&gt;0,$D201&gt;0,$E201&gt;0,$F201&gt;0,$G201&gt;0,$F201&lt;=$A201,$G201&lt;=$A201,$A201-$F201&lt;=10,$A201-$G201&lt;=5),$D201*$E201/$C201-1,NA()),NA())</ns0:f>
        <ns0:v/>
      </ns0:c>
      <ns0:c r="C201">
        <ns0:f>IFERROR(IF(ISNUMBER($A201),IF(AND(AH!$P$10=1,AH!$P$12=1,$A201=TODAY()),AH!$P$19,IF(AH!$P$10=1,INDEX('Live History'!$B$5:$B$3004,AH!$P$13+196),INDEX('AH History'!$B$1:$B$18046,AH!$P$7+196))),NA()),NA())</ns0:f>
        <ns0:v/>
      </ns0:c>
      <ns0:c r="D201">
        <ns0:f>IFERROR(IF(ISNUMBER($A201),IF(AND(AH!$P$10=1,AH!$P$12=1,$A201=TODAY()),AH!$P$18,IF(AH!$P$10=1,INDEX('Live History'!$E$5:$E$3004,MATCH($A201,'Live History'!$D$5:$D$3004,1)),INDEX('AH History'!$C$1:$C$18046,AH!$P$7+196))),NA()),NA())</ns0:f>
        <ns0:v/>
      </ns0:c>
      <ns0:c r="E201">
        <ns0:f>IFERROR(IF(ISNUMBER($A201),IF(AND(AH!$P$10=1,AH!$P$12=1,$A201=TODAY()),AH!$P$20,IF(AH!$P$10=1,INDEX('Live History'!$H$5:$H$3004,MATCH($A201,'Live History'!$G$5:$G$3004,1)),INDEX('AH History'!$D$1:$D$18046,AH!$P$7+196))),NA()),NA())</ns0:f>
        <ns0:v/>
      </ns0:c>
      <ns0:c r="F201">
        <ns0:f>IFERROR(IF(ISNUMBER($A201),IF(AND(AH!$P$10=1,AH!$P$12=1,$A201=TODAY()),IF(AND(AH!$P$10=1,AH!$P$12=1,$A201=TODAY()),TODAY(),NA()),IF(AH!$P$10=1,INDEX('Live History'!$D$5:$D$3004,MATCH($A201,'Live History'!$D$5:$D$3004,1)),INDEX('AH History'!$E$1:$E$18046,AH!$P$7+196))),NA()),NA())</ns0:f>
        <ns0:v/>
      </ns0:c>
      <ns0:c r="G201">
        <ns0:f>IFERROR(IF(ISNUMBER($A201),IF(AND(AH!$P$10=1,AH!$P$12=1,$A201=TODAY()),IF(AND(AH!$P$10=1,AH!$P$12=1,$A201=TODAY()),TODAY(),NA()),IF(AH!$P$10=1,INDEX('Live History'!$G$5:$G$3004,MATCH($A201,'Live History'!$G$5:$G$3004,1)),INDEX('AH History'!$F$1:$F$18046,AH!$P$7+196))),NA()),NA())</ns0:f>
        <ns0:v/>
      </ns0:c>
      <ns0:c r="H201">
        <ns0:f>IFERROR(IF(AND(AH!$E$4="Bloomberg",AH!$P$10=1,ISNUMBER($A201),$A201&lt;=AH!$P$17),AH!$P$7-1+MATCH($A201,INDEX('AH History'!$A$1:$A$18046,AH!$P$7):INDEX('AH History'!$A$1:$A$18046,AH!$P$7+AH!$P$8-1),0),0),0)</ns0:f>
        <ns0:v/>
      </ns0:c>
      <ns0:c r="I201">
        <ns0:f>IF($H201=0,0,IFERROR(IF(AND(ABS($C201-INDEX('AH History'!$B$1:$B$18046,$H201))&lt;=MAX(0.005,ABS(INDEX('AH History'!$B$1:$B$18046,$H201))*0.00005),ABS($D201-INDEX('AH History'!$C$1:$C$18046,$H201))&lt;=MAX(0.005,ABS(INDEX('AH History'!$C$1:$C$18046,$H201))*0.00005),ABS($E201-INDEX('AH History'!$D$1:$D$18046,$H201))&lt;=0.00005,$F201=INDEX('AH History'!$E$1:$E$18046,$H201),$G201=INDEX('AH History'!$F$1:$F$18046,$H201)),1,-1),-1))</ns0:f>
        <ns0:v/>
      </ns0:c>
    </ns0:row>
    <ns0:row r="202">
      <ns0:c r="A202" s="215">
        <ns0:f>IF(OR(AH!$P$3=0,197+1&gt;AH!$P$11,AND(AH!$E$4&lt;&gt;"Stored",AH!$P$10&lt;&gt;1)),"",IFERROR(IF(AND(AH!$P$21=1,197+1=AH!$P$11),TODAY(),IF(AH!$P$10=1,INDEX('Live History'!$A$5:$A$3004,AH!$P$13+197),INDEX('AH History'!$A$1:$A$18046,AH!$P$7+197))),""))</ns0:f>
        <ns0:v/>
      </ns0:c>
      <ns0:c r="B202" s="219">
        <ns0:f>IFERROR(IF(AND(AH!$P$9&lt;&gt;1,$C202&gt;0,$D202&gt;0,$E202&gt;0,$F202&gt;0,$G202&gt;0,$F202&lt;=$A202,$G202&lt;=$A202,$A202-$F202&lt;=10,$A202-$G202&lt;=5),$D202*$E202/$C202-1,NA()),NA())</ns0:f>
        <ns0:v/>
      </ns0:c>
      <ns0:c r="C202">
        <ns0:f>IFERROR(IF(ISNUMBER($A202),IF(AND(AH!$P$10=1,AH!$P$12=1,$A202=TODAY()),AH!$P$19,IF(AH!$P$10=1,INDEX('Live History'!$B$5:$B$3004,AH!$P$13+197),INDEX('AH History'!$B$1:$B$18046,AH!$P$7+197))),NA()),NA())</ns0:f>
        <ns0:v/>
      </ns0:c>
      <ns0:c r="D202">
        <ns0:f>IFERROR(IF(ISNUMBER($A202),IF(AND(AH!$P$10=1,AH!$P$12=1,$A202=TODAY()),AH!$P$18,IF(AH!$P$10=1,INDEX('Live History'!$E$5:$E$3004,MATCH($A202,'Live History'!$D$5:$D$3004,1)),INDEX('AH History'!$C$1:$C$18046,AH!$P$7+197))),NA()),NA())</ns0:f>
        <ns0:v/>
      </ns0:c>
      <ns0:c r="E202">
        <ns0:f>IFERROR(IF(ISNUMBER($A202),IF(AND(AH!$P$10=1,AH!$P$12=1,$A202=TODAY()),AH!$P$20,IF(AH!$P$10=1,INDEX('Live History'!$H$5:$H$3004,MATCH($A202,'Live History'!$G$5:$G$3004,1)),INDEX('AH History'!$D$1:$D$18046,AH!$P$7+197))),NA()),NA())</ns0:f>
        <ns0:v/>
      </ns0:c>
      <ns0:c r="F202">
        <ns0:f>IFERROR(IF(ISNUMBER($A202),IF(AND(AH!$P$10=1,AH!$P$12=1,$A202=TODAY()),IF(AND(AH!$P$10=1,AH!$P$12=1,$A202=TODAY()),TODAY(),NA()),IF(AH!$P$10=1,INDEX('Live History'!$D$5:$D$3004,MATCH($A202,'Live History'!$D$5:$D$3004,1)),INDEX('AH History'!$E$1:$E$18046,AH!$P$7+197))),NA()),NA())</ns0:f>
        <ns0:v/>
      </ns0:c>
      <ns0:c r="G202">
        <ns0:f>IFERROR(IF(ISNUMBER($A202),IF(AND(AH!$P$10=1,AH!$P$12=1,$A202=TODAY()),IF(AND(AH!$P$10=1,AH!$P$12=1,$A202=TODAY()),TODAY(),NA()),IF(AH!$P$10=1,INDEX('Live History'!$G$5:$G$3004,MATCH($A202,'Live History'!$G$5:$G$3004,1)),INDEX('AH History'!$F$1:$F$18046,AH!$P$7+197))),NA()),NA())</ns0:f>
        <ns0:v/>
      </ns0:c>
      <ns0:c r="H202">
        <ns0:f>IFERROR(IF(AND(AH!$E$4="Bloomberg",AH!$P$10=1,ISNUMBER($A202),$A202&lt;=AH!$P$17),AH!$P$7-1+MATCH($A202,INDEX('AH History'!$A$1:$A$18046,AH!$P$7):INDEX('AH History'!$A$1:$A$18046,AH!$P$7+AH!$P$8-1),0),0),0)</ns0:f>
        <ns0:v/>
      </ns0:c>
      <ns0:c r="I202">
        <ns0:f>IF($H202=0,0,IFERROR(IF(AND(ABS($C202-INDEX('AH History'!$B$1:$B$18046,$H202))&lt;=MAX(0.005,ABS(INDEX('AH History'!$B$1:$B$18046,$H202))*0.00005),ABS($D202-INDEX('AH History'!$C$1:$C$18046,$H202))&lt;=MAX(0.005,ABS(INDEX('AH History'!$C$1:$C$18046,$H202))*0.00005),ABS($E202-INDEX('AH History'!$D$1:$D$18046,$H202))&lt;=0.00005,$F202=INDEX('AH History'!$E$1:$E$18046,$H202),$G202=INDEX('AH History'!$F$1:$F$18046,$H202)),1,-1),-1))</ns0:f>
        <ns0:v/>
      </ns0:c>
    </ns0:row>
    <ns0:row r="203">
      <ns0:c r="A203" s="215">
        <ns0:f>IF(OR(AH!$P$3=0,198+1&gt;AH!$P$11,AND(AH!$E$4&lt;&gt;"Stored",AH!$P$10&lt;&gt;1)),"",IFERROR(IF(AND(AH!$P$21=1,198+1=AH!$P$11),TODAY(),IF(AH!$P$10=1,INDEX('Live History'!$A$5:$A$3004,AH!$P$13+198),INDEX('AH History'!$A$1:$A$18046,AH!$P$7+198))),""))</ns0:f>
        <ns0:v/>
      </ns0:c>
      <ns0:c r="B203" s="219">
        <ns0:f>IFERROR(IF(AND(AH!$P$9&lt;&gt;1,$C203&gt;0,$D203&gt;0,$E203&gt;0,$F203&gt;0,$G203&gt;0,$F203&lt;=$A203,$G203&lt;=$A203,$A203-$F203&lt;=10,$A203-$G203&lt;=5),$D203*$E203/$C203-1,NA()),NA())</ns0:f>
        <ns0:v/>
      </ns0:c>
      <ns0:c r="C203">
        <ns0:f>IFERROR(IF(ISNUMBER($A203),IF(AND(AH!$P$10=1,AH!$P$12=1,$A203=TODAY()),AH!$P$19,IF(AH!$P$10=1,INDEX('Live History'!$B$5:$B$3004,AH!$P$13+198),INDEX('AH History'!$B$1:$B$18046,AH!$P$7+198))),NA()),NA())</ns0:f>
        <ns0:v/>
      </ns0:c>
      <ns0:c r="D203">
        <ns0:f>IFERROR(IF(ISNUMBER($A203),IF(AND(AH!$P$10=1,AH!$P$12=1,$A203=TODAY()),AH!$P$18,IF(AH!$P$10=1,INDEX('Live History'!$E$5:$E$3004,MATCH($A203,'Live History'!$D$5:$D$3004,1)),INDEX('AH History'!$C$1:$C$18046,AH!$P$7+198))),NA()),NA())</ns0:f>
        <ns0:v/>
      </ns0:c>
      <ns0:c r="E203">
        <ns0:f>IFERROR(IF(ISNUMBER($A203),IF(AND(AH!$P$10=1,AH!$P$12=1,$A203=TODAY()),AH!$P$20,IF(AH!$P$10=1,INDEX('Live History'!$H$5:$H$3004,MATCH($A203,'Live History'!$G$5:$G$3004,1)),INDEX('AH History'!$D$1:$D$18046,AH!$P$7+198))),NA()),NA())</ns0:f>
        <ns0:v/>
      </ns0:c>
      <ns0:c r="F203">
        <ns0:f>IFERROR(IF(ISNUMBER($A203),IF(AND(AH!$P$10=1,AH!$P$12=1,$A203=TODAY()),IF(AND(AH!$P$10=1,AH!$P$12=1,$A203=TODAY()),TODAY(),NA()),IF(AH!$P$10=1,INDEX('Live History'!$D$5:$D$3004,MATCH($A203,'Live History'!$D$5:$D$3004,1)),INDEX('AH History'!$E$1:$E$18046,AH!$P$7+198))),NA()),NA())</ns0:f>
        <ns0:v/>
      </ns0:c>
      <ns0:c r="G203">
        <ns0:f>IFERROR(IF(ISNUMBER($A203),IF(AND(AH!$P$10=1,AH!$P$12=1,$A203=TODAY()),IF(AND(AH!$P$10=1,AH!$P$12=1,$A203=TODAY()),TODAY(),NA()),IF(AH!$P$10=1,INDEX('Live History'!$G$5:$G$3004,MATCH($A203,'Live History'!$G$5:$G$3004,1)),INDEX('AH History'!$F$1:$F$18046,AH!$P$7+198))),NA()),NA())</ns0:f>
        <ns0:v/>
      </ns0:c>
      <ns0:c r="H203">
        <ns0:f>IFERROR(IF(AND(AH!$E$4="Bloomberg",AH!$P$10=1,ISNUMBER($A203),$A203&lt;=AH!$P$17),AH!$P$7-1+MATCH($A203,INDEX('AH History'!$A$1:$A$18046,AH!$P$7):INDEX('AH History'!$A$1:$A$18046,AH!$P$7+AH!$P$8-1),0),0),0)</ns0:f>
        <ns0:v/>
      </ns0:c>
      <ns0:c r="I203">
        <ns0:f>IF($H203=0,0,IFERROR(IF(AND(ABS($C203-INDEX('AH History'!$B$1:$B$18046,$H203))&lt;=MAX(0.005,ABS(INDEX('AH History'!$B$1:$B$18046,$H203))*0.00005),ABS($D203-INDEX('AH History'!$C$1:$C$18046,$H203))&lt;=MAX(0.005,ABS(INDEX('AH History'!$C$1:$C$18046,$H203))*0.00005),ABS($E203-INDEX('AH History'!$D$1:$D$18046,$H203))&lt;=0.00005,$F203=INDEX('AH History'!$E$1:$E$18046,$H203),$G203=INDEX('AH History'!$F$1:$F$18046,$H203)),1,-1),-1))</ns0:f>
        <ns0:v/>
      </ns0:c>
    </ns0:row>
    <ns0:row r="204">
      <ns0:c r="A204" s="215">
        <ns0:f>IF(OR(AH!$P$3=0,199+1&gt;AH!$P$11,AND(AH!$E$4&lt;&gt;"Stored",AH!$P$10&lt;&gt;1)),"",IFERROR(IF(AND(AH!$P$21=1,199+1=AH!$P$11),TODAY(),IF(AH!$P$10=1,INDEX('Live History'!$A$5:$A$3004,AH!$P$13+199),INDEX('AH History'!$A$1:$A$18046,AH!$P$7+199))),""))</ns0:f>
        <ns0:v/>
      </ns0:c>
      <ns0:c r="B204" s="219">
        <ns0:f>IFERROR(IF(AND(AH!$P$9&lt;&gt;1,$C204&gt;0,$D204&gt;0,$E204&gt;0,$F204&gt;0,$G204&gt;0,$F204&lt;=$A204,$G204&lt;=$A204,$A204-$F204&lt;=10,$A204-$G204&lt;=5),$D204*$E204/$C204-1,NA()),NA())</ns0:f>
        <ns0:v/>
      </ns0:c>
      <ns0:c r="C204">
        <ns0:f>IFERROR(IF(ISNUMBER($A204),IF(AND(AH!$P$10=1,AH!$P$12=1,$A204=TODAY()),AH!$P$19,IF(AH!$P$10=1,INDEX('Live History'!$B$5:$B$3004,AH!$P$13+199),INDEX('AH History'!$B$1:$B$18046,AH!$P$7+199))),NA()),NA())</ns0:f>
        <ns0:v/>
      </ns0:c>
      <ns0:c r="D204">
        <ns0:f>IFERROR(IF(ISNUMBER($A204),IF(AND(AH!$P$10=1,AH!$P$12=1,$A204=TODAY()),AH!$P$18,IF(AH!$P$10=1,INDEX('Live History'!$E$5:$E$3004,MATCH($A204,'Live History'!$D$5:$D$3004,1)),INDEX('AH History'!$C$1:$C$18046,AH!$P$7+199))),NA()),NA())</ns0:f>
        <ns0:v/>
      </ns0:c>
      <ns0:c r="E204">
        <ns0:f>IFERROR(IF(ISNUMBER($A204),IF(AND(AH!$P$10=1,AH!$P$12=1,$A204=TODAY()),AH!$P$20,IF(AH!$P$10=1,INDEX('Live History'!$H$5:$H$3004,MATCH($A204,'Live History'!$G$5:$G$3004,1)),INDEX('AH History'!$D$1:$D$18046,AH!$P$7+199))),NA()),NA())</ns0:f>
        <ns0:v/>
      </ns0:c>
      <ns0:c r="F204">
        <ns0:f>IFERROR(IF(ISNUMBER($A204),IF(AND(AH!$P$10=1,AH!$P$12=1,$A204=TODAY()),IF(AND(AH!$P$10=1,AH!$P$12=1,$A204=TODAY()),TODAY(),NA()),IF(AH!$P$10=1,INDEX('Live History'!$D$5:$D$3004,MATCH($A204,'Live History'!$D$5:$D$3004,1)),INDEX('AH History'!$E$1:$E$18046,AH!$P$7+199))),NA()),NA())</ns0:f>
        <ns0:v/>
      </ns0:c>
      <ns0:c r="G204">
        <ns0:f>IFERROR(IF(ISNUMBER($A204),IF(AND(AH!$P$10=1,AH!$P$12=1,$A204=TODAY()),IF(AND(AH!$P$10=1,AH!$P$12=1,$A204=TODAY()),TODAY(),NA()),IF(AH!$P$10=1,INDEX('Live History'!$G$5:$G$3004,MATCH($A204,'Live History'!$G$5:$G$3004,1)),INDEX('AH History'!$F$1:$F$18046,AH!$P$7+199))),NA()),NA())</ns0:f>
        <ns0:v/>
      </ns0:c>
      <ns0:c r="H204">
        <ns0:f>IFERROR(IF(AND(AH!$E$4="Bloomberg",AH!$P$10=1,ISNUMBER($A204),$A204&lt;=AH!$P$17),AH!$P$7-1+MATCH($A204,INDEX('AH History'!$A$1:$A$18046,AH!$P$7):INDEX('AH History'!$A$1:$A$18046,AH!$P$7+AH!$P$8-1),0),0),0)</ns0:f>
        <ns0:v/>
      </ns0:c>
      <ns0:c r="I204">
        <ns0:f>IF($H204=0,0,IFERROR(IF(AND(ABS($C204-INDEX('AH History'!$B$1:$B$18046,$H204))&lt;=MAX(0.005,ABS(INDEX('AH History'!$B$1:$B$18046,$H204))*0.00005),ABS($D204-INDEX('AH History'!$C$1:$C$18046,$H204))&lt;=MAX(0.005,ABS(INDEX('AH History'!$C$1:$C$18046,$H204))*0.00005),ABS($E204-INDEX('AH History'!$D$1:$D$18046,$H204))&lt;=0.00005,$F204=INDEX('AH History'!$E$1:$E$18046,$H204),$G204=INDEX('AH History'!$F$1:$F$18046,$H204)),1,-1),-1))</ns0:f>
        <ns0:v/>
      </ns0:c>
    </ns0:row>
    <ns0:row r="205">
      <ns0:c r="A205" s="215">
        <ns0:f>IF(OR(AH!$P$3=0,200+1&gt;AH!$P$11,AND(AH!$E$4&lt;&gt;"Stored",AH!$P$10&lt;&gt;1)),"",IFERROR(IF(AND(AH!$P$21=1,200+1=AH!$P$11),TODAY(),IF(AH!$P$10=1,INDEX('Live History'!$A$5:$A$3004,AH!$P$13+200),INDEX('AH History'!$A$1:$A$18046,AH!$P$7+200))),""))</ns0:f>
        <ns0:v/>
      </ns0:c>
      <ns0:c r="B205" s="219">
        <ns0:f>IFERROR(IF(AND(AH!$P$9&lt;&gt;1,$C205&gt;0,$D205&gt;0,$E205&gt;0,$F205&gt;0,$G205&gt;0,$F205&lt;=$A205,$G205&lt;=$A205,$A205-$F205&lt;=10,$A205-$G205&lt;=5),$D205*$E205/$C205-1,NA()),NA())</ns0:f>
        <ns0:v/>
      </ns0:c>
      <ns0:c r="C205">
        <ns0:f>IFERROR(IF(ISNUMBER($A205),IF(AND(AH!$P$10=1,AH!$P$12=1,$A205=TODAY()),AH!$P$19,IF(AH!$P$10=1,INDEX('Live History'!$B$5:$B$3004,AH!$P$13+200),INDEX('AH History'!$B$1:$B$18046,AH!$P$7+200))),NA()),NA())</ns0:f>
        <ns0:v/>
      </ns0:c>
      <ns0:c r="D205">
        <ns0:f>IFERROR(IF(ISNUMBER($A205),IF(AND(AH!$P$10=1,AH!$P$12=1,$A205=TODAY()),AH!$P$18,IF(AH!$P$10=1,INDEX('Live History'!$E$5:$E$3004,MATCH($A205,'Live History'!$D$5:$D$3004,1)),INDEX('AH History'!$C$1:$C$18046,AH!$P$7+200))),NA()),NA())</ns0:f>
        <ns0:v/>
      </ns0:c>
      <ns0:c r="E205">
        <ns0:f>IFERROR(IF(ISNUMBER($A205),IF(AND(AH!$P$10=1,AH!$P$12=1,$A205=TODAY()),AH!$P$20,IF(AH!$P$10=1,INDEX('Live History'!$H$5:$H$3004,MATCH($A205,'Live History'!$G$5:$G$3004,1)),INDEX('AH History'!$D$1:$D$18046,AH!$P$7+200))),NA()),NA())</ns0:f>
        <ns0:v/>
      </ns0:c>
      <ns0:c r="F205">
        <ns0:f>IFERROR(IF(ISNUMBER($A205),IF(AND(AH!$P$10=1,AH!$P$12=1,$A205=TODAY()),IF(AND(AH!$P$10=1,AH!$P$12=1,$A205=TODAY()),TODAY(),NA()),IF(AH!$P$10=1,INDEX('Live History'!$D$5:$D$3004,MATCH($A205,'Live History'!$D$5:$D$3004,1)),INDEX('AH History'!$E$1:$E$18046,AH!$P$7+200))),NA()),NA())</ns0:f>
        <ns0:v/>
      </ns0:c>
      <ns0:c r="G205">
        <ns0:f>IFERROR(IF(ISNUMBER($A205),IF(AND(AH!$P$10=1,AH!$P$12=1,$A205=TODAY()),IF(AND(AH!$P$10=1,AH!$P$12=1,$A205=TODAY()),TODAY(),NA()),IF(AH!$P$10=1,INDEX('Live History'!$G$5:$G$3004,MATCH($A205,'Live History'!$G$5:$G$3004,1)),INDEX('AH History'!$F$1:$F$18046,AH!$P$7+200))),NA()),NA())</ns0:f>
        <ns0:v/>
      </ns0:c>
      <ns0:c r="H205">
        <ns0:f>IFERROR(IF(AND(AH!$E$4="Bloomberg",AH!$P$10=1,ISNUMBER($A205),$A205&lt;=AH!$P$17),AH!$P$7-1+MATCH($A205,INDEX('AH History'!$A$1:$A$18046,AH!$P$7):INDEX('AH History'!$A$1:$A$18046,AH!$P$7+AH!$P$8-1),0),0),0)</ns0:f>
        <ns0:v/>
      </ns0:c>
      <ns0:c r="I205">
        <ns0:f>IF($H205=0,0,IFERROR(IF(AND(ABS($C205-INDEX('AH History'!$B$1:$B$18046,$H205))&lt;=MAX(0.005,ABS(INDEX('AH History'!$B$1:$B$18046,$H205))*0.00005),ABS($D205-INDEX('AH History'!$C$1:$C$18046,$H205))&lt;=MAX(0.005,ABS(INDEX('AH History'!$C$1:$C$18046,$H205))*0.00005),ABS($E205-INDEX('AH History'!$D$1:$D$18046,$H205))&lt;=0.00005,$F205=INDEX('AH History'!$E$1:$E$18046,$H205),$G205=INDEX('AH History'!$F$1:$F$18046,$H205)),1,-1),-1))</ns0:f>
        <ns0:v/>
      </ns0:c>
    </ns0:row>
    <ns0:row r="206">
      <ns0:c r="A206" s="215">
        <ns0:f>IF(OR(AH!$P$3=0,201+1&gt;AH!$P$11,AND(AH!$E$4&lt;&gt;"Stored",AH!$P$10&lt;&gt;1)),"",IFERROR(IF(AND(AH!$P$21=1,201+1=AH!$P$11),TODAY(),IF(AH!$P$10=1,INDEX('Live History'!$A$5:$A$3004,AH!$P$13+201),INDEX('AH History'!$A$1:$A$18046,AH!$P$7+201))),""))</ns0:f>
        <ns0:v/>
      </ns0:c>
      <ns0:c r="B206" s="219">
        <ns0:f>IFERROR(IF(AND(AH!$P$9&lt;&gt;1,$C206&gt;0,$D206&gt;0,$E206&gt;0,$F206&gt;0,$G206&gt;0,$F206&lt;=$A206,$G206&lt;=$A206,$A206-$F206&lt;=10,$A206-$G206&lt;=5),$D206*$E206/$C206-1,NA()),NA())</ns0:f>
        <ns0:v/>
      </ns0:c>
      <ns0:c r="C206">
        <ns0:f>IFERROR(IF(ISNUMBER($A206),IF(AND(AH!$P$10=1,AH!$P$12=1,$A206=TODAY()),AH!$P$19,IF(AH!$P$10=1,INDEX('Live History'!$B$5:$B$3004,AH!$P$13+201),INDEX('AH History'!$B$1:$B$18046,AH!$P$7+201))),NA()),NA())</ns0:f>
        <ns0:v/>
      </ns0:c>
      <ns0:c r="D206">
        <ns0:f>IFERROR(IF(ISNUMBER($A206),IF(AND(AH!$P$10=1,AH!$P$12=1,$A206=TODAY()),AH!$P$18,IF(AH!$P$10=1,INDEX('Live History'!$E$5:$E$3004,MATCH($A206,'Live History'!$D$5:$D$3004,1)),INDEX('AH History'!$C$1:$C$18046,AH!$P$7+201))),NA()),NA())</ns0:f>
        <ns0:v/>
      </ns0:c>
      <ns0:c r="E206">
        <ns0:f>IFERROR(IF(ISNUMBER($A206),IF(AND(AH!$P$10=1,AH!$P$12=1,$A206=TODAY()),AH!$P$20,IF(AH!$P$10=1,INDEX('Live History'!$H$5:$H$3004,MATCH($A206,'Live History'!$G$5:$G$3004,1)),INDEX('AH History'!$D$1:$D$18046,AH!$P$7+201))),NA()),NA())</ns0:f>
        <ns0:v/>
      </ns0:c>
      <ns0:c r="F206">
        <ns0:f>IFERROR(IF(ISNUMBER($A206),IF(AND(AH!$P$10=1,AH!$P$12=1,$A206=TODAY()),IF(AND(AH!$P$10=1,AH!$P$12=1,$A206=TODAY()),TODAY(),NA()),IF(AH!$P$10=1,INDEX('Live History'!$D$5:$D$3004,MATCH($A206,'Live History'!$D$5:$D$3004,1)),INDEX('AH History'!$E$1:$E$18046,AH!$P$7+201))),NA()),NA())</ns0:f>
        <ns0:v/>
      </ns0:c>
      <ns0:c r="G206">
        <ns0:f>IFERROR(IF(ISNUMBER($A206),IF(AND(AH!$P$10=1,AH!$P$12=1,$A206=TODAY()),IF(AND(AH!$P$10=1,AH!$P$12=1,$A206=TODAY()),TODAY(),NA()),IF(AH!$P$10=1,INDEX('Live History'!$G$5:$G$3004,MATCH($A206,'Live History'!$G$5:$G$3004,1)),INDEX('AH History'!$F$1:$F$18046,AH!$P$7+201))),NA()),NA())</ns0:f>
        <ns0:v/>
      </ns0:c>
      <ns0:c r="H206">
        <ns0:f>IFERROR(IF(AND(AH!$E$4="Bloomberg",AH!$P$10=1,ISNUMBER($A206),$A206&lt;=AH!$P$17),AH!$P$7-1+MATCH($A206,INDEX('AH History'!$A$1:$A$18046,AH!$P$7):INDEX('AH History'!$A$1:$A$18046,AH!$P$7+AH!$P$8-1),0),0),0)</ns0:f>
        <ns0:v/>
      </ns0:c>
      <ns0:c r="I206">
        <ns0:f>IF($H206=0,0,IFERROR(IF(AND(ABS($C206-INDEX('AH History'!$B$1:$B$18046,$H206))&lt;=MAX(0.005,ABS(INDEX('AH History'!$B$1:$B$18046,$H206))*0.00005),ABS($D206-INDEX('AH History'!$C$1:$C$18046,$H206))&lt;=MAX(0.005,ABS(INDEX('AH History'!$C$1:$C$18046,$H206))*0.00005),ABS($E206-INDEX('AH History'!$D$1:$D$18046,$H206))&lt;=0.00005,$F206=INDEX('AH History'!$E$1:$E$18046,$H206),$G206=INDEX('AH History'!$F$1:$F$18046,$H206)),1,-1),-1))</ns0:f>
        <ns0:v/>
      </ns0:c>
    </ns0:row>
    <ns0:row r="207">
      <ns0:c r="A207" s="215">
        <ns0:f>IF(OR(AH!$P$3=0,202+1&gt;AH!$P$11,AND(AH!$E$4&lt;&gt;"Stored",AH!$P$10&lt;&gt;1)),"",IFERROR(IF(AND(AH!$P$21=1,202+1=AH!$P$11),TODAY(),IF(AH!$P$10=1,INDEX('Live History'!$A$5:$A$3004,AH!$P$13+202),INDEX('AH History'!$A$1:$A$18046,AH!$P$7+202))),""))</ns0:f>
        <ns0:v/>
      </ns0:c>
      <ns0:c r="B207" s="219">
        <ns0:f>IFERROR(IF(AND(AH!$P$9&lt;&gt;1,$C207&gt;0,$D207&gt;0,$E207&gt;0,$F207&gt;0,$G207&gt;0,$F207&lt;=$A207,$G207&lt;=$A207,$A207-$F207&lt;=10,$A207-$G207&lt;=5),$D207*$E207/$C207-1,NA()),NA())</ns0:f>
        <ns0:v/>
      </ns0:c>
      <ns0:c r="C207">
        <ns0:f>IFERROR(IF(ISNUMBER($A207),IF(AND(AH!$P$10=1,AH!$P$12=1,$A207=TODAY()),AH!$P$19,IF(AH!$P$10=1,INDEX('Live History'!$B$5:$B$3004,AH!$P$13+202),INDEX('AH History'!$B$1:$B$18046,AH!$P$7+202))),NA()),NA())</ns0:f>
        <ns0:v/>
      </ns0:c>
      <ns0:c r="D207">
        <ns0:f>IFERROR(IF(ISNUMBER($A207),IF(AND(AH!$P$10=1,AH!$P$12=1,$A207=TODAY()),AH!$P$18,IF(AH!$P$10=1,INDEX('Live History'!$E$5:$E$3004,MATCH($A207,'Live History'!$D$5:$D$3004,1)),INDEX('AH History'!$C$1:$C$18046,AH!$P$7+202))),NA()),NA())</ns0:f>
        <ns0:v/>
      </ns0:c>
      <ns0:c r="E207">
        <ns0:f>IFERROR(IF(ISNUMBER($A207),IF(AND(AH!$P$10=1,AH!$P$12=1,$A207=TODAY()),AH!$P$20,IF(AH!$P$10=1,INDEX('Live History'!$H$5:$H$3004,MATCH($A207,'Live History'!$G$5:$G$3004,1)),INDEX('AH History'!$D$1:$D$18046,AH!$P$7+202))),NA()),NA())</ns0:f>
        <ns0:v/>
      </ns0:c>
      <ns0:c r="F207">
        <ns0:f>IFERROR(IF(ISNUMBER($A207),IF(AND(AH!$P$10=1,AH!$P$12=1,$A207=TODAY()),IF(AND(AH!$P$10=1,AH!$P$12=1,$A207=TODAY()),TODAY(),NA()),IF(AH!$P$10=1,INDEX('Live History'!$D$5:$D$3004,MATCH($A207,'Live History'!$D$5:$D$3004,1)),INDEX('AH History'!$E$1:$E$18046,AH!$P$7+202))),NA()),NA())</ns0:f>
        <ns0:v/>
      </ns0:c>
      <ns0:c r="G207">
        <ns0:f>IFERROR(IF(ISNUMBER($A207),IF(AND(AH!$P$10=1,AH!$P$12=1,$A207=TODAY()),IF(AND(AH!$P$10=1,AH!$P$12=1,$A207=TODAY()),TODAY(),NA()),IF(AH!$P$10=1,INDEX('Live History'!$G$5:$G$3004,MATCH($A207,'Live History'!$G$5:$G$3004,1)),INDEX('AH History'!$F$1:$F$18046,AH!$P$7+202))),NA()),NA())</ns0:f>
        <ns0:v/>
      </ns0:c>
      <ns0:c r="H207">
        <ns0:f>IFERROR(IF(AND(AH!$E$4="Bloomberg",AH!$P$10=1,ISNUMBER($A207),$A207&lt;=AH!$P$17),AH!$P$7-1+MATCH($A207,INDEX('AH History'!$A$1:$A$18046,AH!$P$7):INDEX('AH History'!$A$1:$A$18046,AH!$P$7+AH!$P$8-1),0),0),0)</ns0:f>
        <ns0:v/>
      </ns0:c>
      <ns0:c r="I207">
        <ns0:f>IF($H207=0,0,IFERROR(IF(AND(ABS($C207-INDEX('AH History'!$B$1:$B$18046,$H207))&lt;=MAX(0.005,ABS(INDEX('AH History'!$B$1:$B$18046,$H207))*0.00005),ABS($D207-INDEX('AH History'!$C$1:$C$18046,$H207))&lt;=MAX(0.005,ABS(INDEX('AH History'!$C$1:$C$18046,$H207))*0.00005),ABS($E207-INDEX('AH History'!$D$1:$D$18046,$H207))&lt;=0.00005,$F207=INDEX('AH History'!$E$1:$E$18046,$H207),$G207=INDEX('AH History'!$F$1:$F$18046,$H207)),1,-1),-1))</ns0:f>
        <ns0:v/>
      </ns0:c>
    </ns0:row>
    <ns0:row r="208">
      <ns0:c r="A208" s="215">
        <ns0:f>IF(OR(AH!$P$3=0,203+1&gt;AH!$P$11,AND(AH!$E$4&lt;&gt;"Stored",AH!$P$10&lt;&gt;1)),"",IFERROR(IF(AND(AH!$P$21=1,203+1=AH!$P$11),TODAY(),IF(AH!$P$10=1,INDEX('Live History'!$A$5:$A$3004,AH!$P$13+203),INDEX('AH History'!$A$1:$A$18046,AH!$P$7+203))),""))</ns0:f>
        <ns0:v/>
      </ns0:c>
      <ns0:c r="B208" s="219">
        <ns0:f>IFERROR(IF(AND(AH!$P$9&lt;&gt;1,$C208&gt;0,$D208&gt;0,$E208&gt;0,$F208&gt;0,$G208&gt;0,$F208&lt;=$A208,$G208&lt;=$A208,$A208-$F208&lt;=10,$A208-$G208&lt;=5),$D208*$E208/$C208-1,NA()),NA())</ns0:f>
        <ns0:v/>
      </ns0:c>
      <ns0:c r="C208">
        <ns0:f>IFERROR(IF(ISNUMBER($A208),IF(AND(AH!$P$10=1,AH!$P$12=1,$A208=TODAY()),AH!$P$19,IF(AH!$P$10=1,INDEX('Live History'!$B$5:$B$3004,AH!$P$13+203),INDEX('AH History'!$B$1:$B$18046,AH!$P$7+203))),NA()),NA())</ns0:f>
        <ns0:v/>
      </ns0:c>
      <ns0:c r="D208">
        <ns0:f>IFERROR(IF(ISNUMBER($A208),IF(AND(AH!$P$10=1,AH!$P$12=1,$A208=TODAY()),AH!$P$18,IF(AH!$P$10=1,INDEX('Live History'!$E$5:$E$3004,MATCH($A208,'Live History'!$D$5:$D$3004,1)),INDEX('AH History'!$C$1:$C$18046,AH!$P$7+203))),NA()),NA())</ns0:f>
        <ns0:v/>
      </ns0:c>
      <ns0:c r="E208">
        <ns0:f>IFERROR(IF(ISNUMBER($A208),IF(AND(AH!$P$10=1,AH!$P$12=1,$A208=TODAY()),AH!$P$20,IF(AH!$P$10=1,INDEX('Live History'!$H$5:$H$3004,MATCH($A208,'Live History'!$G$5:$G$3004,1)),INDEX('AH History'!$D$1:$D$18046,AH!$P$7+203))),NA()),NA())</ns0:f>
        <ns0:v/>
      </ns0:c>
      <ns0:c r="F208">
        <ns0:f>IFERROR(IF(ISNUMBER($A208),IF(AND(AH!$P$10=1,AH!$P$12=1,$A208=TODAY()),IF(AND(AH!$P$10=1,AH!$P$12=1,$A208=TODAY()),TODAY(),NA()),IF(AH!$P$10=1,INDEX('Live History'!$D$5:$D$3004,MATCH($A208,'Live History'!$D$5:$D$3004,1)),INDEX('AH History'!$E$1:$E$18046,AH!$P$7+203))),NA()),NA())</ns0:f>
        <ns0:v/>
      </ns0:c>
      <ns0:c r="G208">
        <ns0:f>IFERROR(IF(ISNUMBER($A208),IF(AND(AH!$P$10=1,AH!$P$12=1,$A208=TODAY()),IF(AND(AH!$P$10=1,AH!$P$12=1,$A208=TODAY()),TODAY(),NA()),IF(AH!$P$10=1,INDEX('Live History'!$G$5:$G$3004,MATCH($A208,'Live History'!$G$5:$G$3004,1)),INDEX('AH History'!$F$1:$F$18046,AH!$P$7+203))),NA()),NA())</ns0:f>
        <ns0:v/>
      </ns0:c>
      <ns0:c r="H208">
        <ns0:f>IFERROR(IF(AND(AH!$E$4="Bloomberg",AH!$P$10=1,ISNUMBER($A208),$A208&lt;=AH!$P$17),AH!$P$7-1+MATCH($A208,INDEX('AH History'!$A$1:$A$18046,AH!$P$7):INDEX('AH History'!$A$1:$A$18046,AH!$P$7+AH!$P$8-1),0),0),0)</ns0:f>
        <ns0:v/>
      </ns0:c>
      <ns0:c r="I208">
        <ns0:f>IF($H208=0,0,IFERROR(IF(AND(ABS($C208-INDEX('AH History'!$B$1:$B$18046,$H208))&lt;=MAX(0.005,ABS(INDEX('AH History'!$B$1:$B$18046,$H208))*0.00005),ABS($D208-INDEX('AH History'!$C$1:$C$18046,$H208))&lt;=MAX(0.005,ABS(INDEX('AH History'!$C$1:$C$18046,$H208))*0.00005),ABS($E208-INDEX('AH History'!$D$1:$D$18046,$H208))&lt;=0.00005,$F208=INDEX('AH History'!$E$1:$E$18046,$H208),$G208=INDEX('AH History'!$F$1:$F$18046,$H208)),1,-1),-1))</ns0:f>
        <ns0:v/>
      </ns0:c>
    </ns0:row>
    <ns0:row r="209">
      <ns0:c r="A209" s="215">
        <ns0:f>IF(OR(AH!$P$3=0,204+1&gt;AH!$P$11,AND(AH!$E$4&lt;&gt;"Stored",AH!$P$10&lt;&gt;1)),"",IFERROR(IF(AND(AH!$P$21=1,204+1=AH!$P$11),TODAY(),IF(AH!$P$10=1,INDEX('Live History'!$A$5:$A$3004,AH!$P$13+204),INDEX('AH History'!$A$1:$A$18046,AH!$P$7+204))),""))</ns0:f>
        <ns0:v/>
      </ns0:c>
      <ns0:c r="B209" s="219">
        <ns0:f>IFERROR(IF(AND(AH!$P$9&lt;&gt;1,$C209&gt;0,$D209&gt;0,$E209&gt;0,$F209&gt;0,$G209&gt;0,$F209&lt;=$A209,$G209&lt;=$A209,$A209-$F209&lt;=10,$A209-$G209&lt;=5),$D209*$E209/$C209-1,NA()),NA())</ns0:f>
        <ns0:v/>
      </ns0:c>
      <ns0:c r="C209">
        <ns0:f>IFERROR(IF(ISNUMBER($A209),IF(AND(AH!$P$10=1,AH!$P$12=1,$A209=TODAY()),AH!$P$19,IF(AH!$P$10=1,INDEX('Live History'!$B$5:$B$3004,AH!$P$13+204),INDEX('AH History'!$B$1:$B$18046,AH!$P$7+204))),NA()),NA())</ns0:f>
        <ns0:v/>
      </ns0:c>
      <ns0:c r="D209">
        <ns0:f>IFERROR(IF(ISNUMBER($A209),IF(AND(AH!$P$10=1,AH!$P$12=1,$A209=TODAY()),AH!$P$18,IF(AH!$P$10=1,INDEX('Live History'!$E$5:$E$3004,MATCH($A209,'Live History'!$D$5:$D$3004,1)),INDEX('AH History'!$C$1:$C$18046,AH!$P$7+204))),NA()),NA())</ns0:f>
        <ns0:v/>
      </ns0:c>
      <ns0:c r="E209">
        <ns0:f>IFERROR(IF(ISNUMBER($A209),IF(AND(AH!$P$10=1,AH!$P$12=1,$A209=TODAY()),AH!$P$20,IF(AH!$P$10=1,INDEX('Live History'!$H$5:$H$3004,MATCH($A209,'Live History'!$G$5:$G$3004,1)),INDEX('AH History'!$D$1:$D$18046,AH!$P$7+204))),NA()),NA())</ns0:f>
        <ns0:v/>
      </ns0:c>
      <ns0:c r="F209">
        <ns0:f>IFERROR(IF(ISNUMBER($A209),IF(AND(AH!$P$10=1,AH!$P$12=1,$A209=TODAY()),IF(AND(AH!$P$10=1,AH!$P$12=1,$A209=TODAY()),TODAY(),NA()),IF(AH!$P$10=1,INDEX('Live History'!$D$5:$D$3004,MATCH($A209,'Live History'!$D$5:$D$3004,1)),INDEX('AH History'!$E$1:$E$18046,AH!$P$7+204))),NA()),NA())</ns0:f>
        <ns0:v/>
      </ns0:c>
      <ns0:c r="G209">
        <ns0:f>IFERROR(IF(ISNUMBER($A209),IF(AND(AH!$P$10=1,AH!$P$12=1,$A209=TODAY()),IF(AND(AH!$P$10=1,AH!$P$12=1,$A209=TODAY()),TODAY(),NA()),IF(AH!$P$10=1,INDEX('Live History'!$G$5:$G$3004,MATCH($A209,'Live History'!$G$5:$G$3004,1)),INDEX('AH History'!$F$1:$F$18046,AH!$P$7+204))),NA()),NA())</ns0:f>
        <ns0:v/>
      </ns0:c>
      <ns0:c r="H209">
        <ns0:f>IFERROR(IF(AND(AH!$E$4="Bloomberg",AH!$P$10=1,ISNUMBER($A209),$A209&lt;=AH!$P$17),AH!$P$7-1+MATCH($A209,INDEX('AH History'!$A$1:$A$18046,AH!$P$7):INDEX('AH History'!$A$1:$A$18046,AH!$P$7+AH!$P$8-1),0),0),0)</ns0:f>
        <ns0:v/>
      </ns0:c>
      <ns0:c r="I209">
        <ns0:f>IF($H209=0,0,IFERROR(IF(AND(ABS($C209-INDEX('AH History'!$B$1:$B$18046,$H209))&lt;=MAX(0.005,ABS(INDEX('AH History'!$B$1:$B$18046,$H209))*0.00005),ABS($D209-INDEX('AH History'!$C$1:$C$18046,$H209))&lt;=MAX(0.005,ABS(INDEX('AH History'!$C$1:$C$18046,$H209))*0.00005),ABS($E209-INDEX('AH History'!$D$1:$D$18046,$H209))&lt;=0.00005,$F209=INDEX('AH History'!$E$1:$E$18046,$H209),$G209=INDEX('AH History'!$F$1:$F$18046,$H209)),1,-1),-1))</ns0:f>
        <ns0:v/>
      </ns0:c>
    </ns0:row>
    <ns0:row r="210">
      <ns0:c r="A210" s="215">
        <ns0:f>IF(OR(AH!$P$3=0,205+1&gt;AH!$P$11,AND(AH!$E$4&lt;&gt;"Stored",AH!$P$10&lt;&gt;1)),"",IFERROR(IF(AND(AH!$P$21=1,205+1=AH!$P$11),TODAY(),IF(AH!$P$10=1,INDEX('Live History'!$A$5:$A$3004,AH!$P$13+205),INDEX('AH History'!$A$1:$A$18046,AH!$P$7+205))),""))</ns0:f>
        <ns0:v/>
      </ns0:c>
      <ns0:c r="B210" s="219">
        <ns0:f>IFERROR(IF(AND(AH!$P$9&lt;&gt;1,$C210&gt;0,$D210&gt;0,$E210&gt;0,$F210&gt;0,$G210&gt;0,$F210&lt;=$A210,$G210&lt;=$A210,$A210-$F210&lt;=10,$A210-$G210&lt;=5),$D210*$E210/$C210-1,NA()),NA())</ns0:f>
        <ns0:v/>
      </ns0:c>
      <ns0:c r="C210">
        <ns0:f>IFERROR(IF(ISNUMBER($A210),IF(AND(AH!$P$10=1,AH!$P$12=1,$A210=TODAY()),AH!$P$19,IF(AH!$P$10=1,INDEX('Live History'!$B$5:$B$3004,AH!$P$13+205),INDEX('AH History'!$B$1:$B$18046,AH!$P$7+205))),NA()),NA())</ns0:f>
        <ns0:v/>
      </ns0:c>
      <ns0:c r="D210">
        <ns0:f>IFERROR(IF(ISNUMBER($A210),IF(AND(AH!$P$10=1,AH!$P$12=1,$A210=TODAY()),AH!$P$18,IF(AH!$P$10=1,INDEX('Live History'!$E$5:$E$3004,MATCH($A210,'Live History'!$D$5:$D$3004,1)),INDEX('AH History'!$C$1:$C$18046,AH!$P$7+205))),NA()),NA())</ns0:f>
        <ns0:v/>
      </ns0:c>
      <ns0:c r="E210">
        <ns0:f>IFERROR(IF(ISNUMBER($A210),IF(AND(AH!$P$10=1,AH!$P$12=1,$A210=TODAY()),AH!$P$20,IF(AH!$P$10=1,INDEX('Live History'!$H$5:$H$3004,MATCH($A210,'Live History'!$G$5:$G$3004,1)),INDEX('AH History'!$D$1:$D$18046,AH!$P$7+205))),NA()),NA())</ns0:f>
        <ns0:v/>
      </ns0:c>
      <ns0:c r="F210">
        <ns0:f>IFERROR(IF(ISNUMBER($A210),IF(AND(AH!$P$10=1,AH!$P$12=1,$A210=TODAY()),IF(AND(AH!$P$10=1,AH!$P$12=1,$A210=TODAY()),TODAY(),NA()),IF(AH!$P$10=1,INDEX('Live History'!$D$5:$D$3004,MATCH($A210,'Live History'!$D$5:$D$3004,1)),INDEX('AH History'!$E$1:$E$18046,AH!$P$7+205))),NA()),NA())</ns0:f>
        <ns0:v/>
      </ns0:c>
      <ns0:c r="G210">
        <ns0:f>IFERROR(IF(ISNUMBER($A210),IF(AND(AH!$P$10=1,AH!$P$12=1,$A210=TODAY()),IF(AND(AH!$P$10=1,AH!$P$12=1,$A210=TODAY()),TODAY(),NA()),IF(AH!$P$10=1,INDEX('Live History'!$G$5:$G$3004,MATCH($A210,'Live History'!$G$5:$G$3004,1)),INDEX('AH History'!$F$1:$F$18046,AH!$P$7+205))),NA()),NA())</ns0:f>
        <ns0:v/>
      </ns0:c>
      <ns0:c r="H210">
        <ns0:f>IFERROR(IF(AND(AH!$E$4="Bloomberg",AH!$P$10=1,ISNUMBER($A210),$A210&lt;=AH!$P$17),AH!$P$7-1+MATCH($A210,INDEX('AH History'!$A$1:$A$18046,AH!$P$7):INDEX('AH History'!$A$1:$A$18046,AH!$P$7+AH!$P$8-1),0),0),0)</ns0:f>
        <ns0:v/>
      </ns0:c>
      <ns0:c r="I210">
        <ns0:f>IF($H210=0,0,IFERROR(IF(AND(ABS($C210-INDEX('AH History'!$B$1:$B$18046,$H210))&lt;=MAX(0.005,ABS(INDEX('AH History'!$B$1:$B$18046,$H210))*0.00005),ABS($D210-INDEX('AH History'!$C$1:$C$18046,$H210))&lt;=MAX(0.005,ABS(INDEX('AH History'!$C$1:$C$18046,$H210))*0.00005),ABS($E210-INDEX('AH History'!$D$1:$D$18046,$H210))&lt;=0.00005,$F210=INDEX('AH History'!$E$1:$E$18046,$H210),$G210=INDEX('AH History'!$F$1:$F$18046,$H210)),1,-1),-1))</ns0:f>
        <ns0:v/>
      </ns0:c>
    </ns0:row>
    <ns0:row r="211">
      <ns0:c r="A211" s="215">
        <ns0:f>IF(OR(AH!$P$3=0,206+1&gt;AH!$P$11,AND(AH!$E$4&lt;&gt;"Stored",AH!$P$10&lt;&gt;1)),"",IFERROR(IF(AND(AH!$P$21=1,206+1=AH!$P$11),TODAY(),IF(AH!$P$10=1,INDEX('Live History'!$A$5:$A$3004,AH!$P$13+206),INDEX('AH History'!$A$1:$A$18046,AH!$P$7+206))),""))</ns0:f>
        <ns0:v/>
      </ns0:c>
      <ns0:c r="B211" s="219">
        <ns0:f>IFERROR(IF(AND(AH!$P$9&lt;&gt;1,$C211&gt;0,$D211&gt;0,$E211&gt;0,$F211&gt;0,$G211&gt;0,$F211&lt;=$A211,$G211&lt;=$A211,$A211-$F211&lt;=10,$A211-$G211&lt;=5),$D211*$E211/$C211-1,NA()),NA())</ns0:f>
        <ns0:v/>
      </ns0:c>
      <ns0:c r="C211">
        <ns0:f>IFERROR(IF(ISNUMBER($A211),IF(AND(AH!$P$10=1,AH!$P$12=1,$A211=TODAY()),AH!$P$19,IF(AH!$P$10=1,INDEX('Live History'!$B$5:$B$3004,AH!$P$13+206),INDEX('AH History'!$B$1:$B$18046,AH!$P$7+206))),NA()),NA())</ns0:f>
        <ns0:v/>
      </ns0:c>
      <ns0:c r="D211">
        <ns0:f>IFERROR(IF(ISNUMBER($A211),IF(AND(AH!$P$10=1,AH!$P$12=1,$A211=TODAY()),AH!$P$18,IF(AH!$P$10=1,INDEX('Live History'!$E$5:$E$3004,MATCH($A211,'Live History'!$D$5:$D$3004,1)),INDEX('AH History'!$C$1:$C$18046,AH!$P$7+206))),NA()),NA())</ns0:f>
        <ns0:v/>
      </ns0:c>
      <ns0:c r="E211">
        <ns0:f>IFERROR(IF(ISNUMBER($A211),IF(AND(AH!$P$10=1,AH!$P$12=1,$A211=TODAY()),AH!$P$20,IF(AH!$P$10=1,INDEX('Live History'!$H$5:$H$3004,MATCH($A211,'Live History'!$G$5:$G$3004,1)),INDEX('AH History'!$D$1:$D$18046,AH!$P$7+206))),NA()),NA())</ns0:f>
        <ns0:v/>
      </ns0:c>
      <ns0:c r="F211">
        <ns0:f>IFERROR(IF(ISNUMBER($A211),IF(AND(AH!$P$10=1,AH!$P$12=1,$A211=TODAY()),IF(AND(AH!$P$10=1,AH!$P$12=1,$A211=TODAY()),TODAY(),NA()),IF(AH!$P$10=1,INDEX('Live History'!$D$5:$D$3004,MATCH($A211,'Live History'!$D$5:$D$3004,1)),INDEX('AH History'!$E$1:$E$18046,AH!$P$7+206))),NA()),NA())</ns0:f>
        <ns0:v/>
      </ns0:c>
      <ns0:c r="G211">
        <ns0:f>IFERROR(IF(ISNUMBER($A211),IF(AND(AH!$P$10=1,AH!$P$12=1,$A211=TODAY()),IF(AND(AH!$P$10=1,AH!$P$12=1,$A211=TODAY()),TODAY(),NA()),IF(AH!$P$10=1,INDEX('Live History'!$G$5:$G$3004,MATCH($A211,'Live History'!$G$5:$G$3004,1)),INDEX('AH History'!$F$1:$F$18046,AH!$P$7+206))),NA()),NA())</ns0:f>
        <ns0:v/>
      </ns0:c>
      <ns0:c r="H211">
        <ns0:f>IFERROR(IF(AND(AH!$E$4="Bloomberg",AH!$P$10=1,ISNUMBER($A211),$A211&lt;=AH!$P$17),AH!$P$7-1+MATCH($A211,INDEX('AH History'!$A$1:$A$18046,AH!$P$7):INDEX('AH History'!$A$1:$A$18046,AH!$P$7+AH!$P$8-1),0),0),0)</ns0:f>
        <ns0:v/>
      </ns0:c>
      <ns0:c r="I211">
        <ns0:f>IF($H211=0,0,IFERROR(IF(AND(ABS($C211-INDEX('AH History'!$B$1:$B$18046,$H211))&lt;=MAX(0.005,ABS(INDEX('AH History'!$B$1:$B$18046,$H211))*0.00005),ABS($D211-INDEX('AH History'!$C$1:$C$18046,$H211))&lt;=MAX(0.005,ABS(INDEX('AH History'!$C$1:$C$18046,$H211))*0.00005),ABS($E211-INDEX('AH History'!$D$1:$D$18046,$H211))&lt;=0.00005,$F211=INDEX('AH History'!$E$1:$E$18046,$H211),$G211=INDEX('AH History'!$F$1:$F$18046,$H211)),1,-1),-1))</ns0:f>
        <ns0:v/>
      </ns0:c>
    </ns0:row>
    <ns0:row r="212">
      <ns0:c r="A212" s="215">
        <ns0:f>IF(OR(AH!$P$3=0,207+1&gt;AH!$P$11,AND(AH!$E$4&lt;&gt;"Stored",AH!$P$10&lt;&gt;1)),"",IFERROR(IF(AND(AH!$P$21=1,207+1=AH!$P$11),TODAY(),IF(AH!$P$10=1,INDEX('Live History'!$A$5:$A$3004,AH!$P$13+207),INDEX('AH History'!$A$1:$A$18046,AH!$P$7+207))),""))</ns0:f>
        <ns0:v/>
      </ns0:c>
      <ns0:c r="B212" s="219">
        <ns0:f>IFERROR(IF(AND(AH!$P$9&lt;&gt;1,$C212&gt;0,$D212&gt;0,$E212&gt;0,$F212&gt;0,$G212&gt;0,$F212&lt;=$A212,$G212&lt;=$A212,$A212-$F212&lt;=10,$A212-$G212&lt;=5),$D212*$E212/$C212-1,NA()),NA())</ns0:f>
        <ns0:v/>
      </ns0:c>
      <ns0:c r="C212">
        <ns0:f>IFERROR(IF(ISNUMBER($A212),IF(AND(AH!$P$10=1,AH!$P$12=1,$A212=TODAY()),AH!$P$19,IF(AH!$P$10=1,INDEX('Live History'!$B$5:$B$3004,AH!$P$13+207),INDEX('AH History'!$B$1:$B$18046,AH!$P$7+207))),NA()),NA())</ns0:f>
        <ns0:v/>
      </ns0:c>
      <ns0:c r="D212">
        <ns0:f>IFERROR(IF(ISNUMBER($A212),IF(AND(AH!$P$10=1,AH!$P$12=1,$A212=TODAY()),AH!$P$18,IF(AH!$P$10=1,INDEX('Live History'!$E$5:$E$3004,MATCH($A212,'Live History'!$D$5:$D$3004,1)),INDEX('AH History'!$C$1:$C$18046,AH!$P$7+207))),NA()),NA())</ns0:f>
        <ns0:v/>
      </ns0:c>
      <ns0:c r="E212">
        <ns0:f>IFERROR(IF(ISNUMBER($A212),IF(AND(AH!$P$10=1,AH!$P$12=1,$A212=TODAY()),AH!$P$20,IF(AH!$P$10=1,INDEX('Live History'!$H$5:$H$3004,MATCH($A212,'Live History'!$G$5:$G$3004,1)),INDEX('AH History'!$D$1:$D$18046,AH!$P$7+207))),NA()),NA())</ns0:f>
        <ns0:v/>
      </ns0:c>
      <ns0:c r="F212">
        <ns0:f>IFERROR(IF(ISNUMBER($A212),IF(AND(AH!$P$10=1,AH!$P$12=1,$A212=TODAY()),IF(AND(AH!$P$10=1,AH!$P$12=1,$A212=TODAY()),TODAY(),NA()),IF(AH!$P$10=1,INDEX('Live History'!$D$5:$D$3004,MATCH($A212,'Live History'!$D$5:$D$3004,1)),INDEX('AH History'!$E$1:$E$18046,AH!$P$7+207))),NA()),NA())</ns0:f>
        <ns0:v/>
      </ns0:c>
      <ns0:c r="G212">
        <ns0:f>IFERROR(IF(ISNUMBER($A212),IF(AND(AH!$P$10=1,AH!$P$12=1,$A212=TODAY()),IF(AND(AH!$P$10=1,AH!$P$12=1,$A212=TODAY()),TODAY(),NA()),IF(AH!$P$10=1,INDEX('Live History'!$G$5:$G$3004,MATCH($A212,'Live History'!$G$5:$G$3004,1)),INDEX('AH History'!$F$1:$F$18046,AH!$P$7+207))),NA()),NA())</ns0:f>
        <ns0:v/>
      </ns0:c>
      <ns0:c r="H212">
        <ns0:f>IFERROR(IF(AND(AH!$E$4="Bloomberg",AH!$P$10=1,ISNUMBER($A212),$A212&lt;=AH!$P$17),AH!$P$7-1+MATCH($A212,INDEX('AH History'!$A$1:$A$18046,AH!$P$7):INDEX('AH History'!$A$1:$A$18046,AH!$P$7+AH!$P$8-1),0),0),0)</ns0:f>
        <ns0:v/>
      </ns0:c>
      <ns0:c r="I212">
        <ns0:f>IF($H212=0,0,IFERROR(IF(AND(ABS($C212-INDEX('AH History'!$B$1:$B$18046,$H212))&lt;=MAX(0.005,ABS(INDEX('AH History'!$B$1:$B$18046,$H212))*0.00005),ABS($D212-INDEX('AH History'!$C$1:$C$18046,$H212))&lt;=MAX(0.005,ABS(INDEX('AH History'!$C$1:$C$18046,$H212))*0.00005),ABS($E212-INDEX('AH History'!$D$1:$D$18046,$H212))&lt;=0.00005,$F212=INDEX('AH History'!$E$1:$E$18046,$H212),$G212=INDEX('AH History'!$F$1:$F$18046,$H212)),1,-1),-1))</ns0:f>
        <ns0:v/>
      </ns0:c>
    </ns0:row>
    <ns0:row r="213">
      <ns0:c r="A213" s="215">
        <ns0:f>IF(OR(AH!$P$3=0,208+1&gt;AH!$P$11,AND(AH!$E$4&lt;&gt;"Stored",AH!$P$10&lt;&gt;1)),"",IFERROR(IF(AND(AH!$P$21=1,208+1=AH!$P$11),TODAY(),IF(AH!$P$10=1,INDEX('Live History'!$A$5:$A$3004,AH!$P$13+208),INDEX('AH History'!$A$1:$A$18046,AH!$P$7+208))),""))</ns0:f>
        <ns0:v/>
      </ns0:c>
      <ns0:c r="B213" s="219">
        <ns0:f>IFERROR(IF(AND(AH!$P$9&lt;&gt;1,$C213&gt;0,$D213&gt;0,$E213&gt;0,$F213&gt;0,$G213&gt;0,$F213&lt;=$A213,$G213&lt;=$A213,$A213-$F213&lt;=10,$A213-$G213&lt;=5),$D213*$E213/$C213-1,NA()),NA())</ns0:f>
        <ns0:v/>
      </ns0:c>
      <ns0:c r="C213">
        <ns0:f>IFERROR(IF(ISNUMBER($A213),IF(AND(AH!$P$10=1,AH!$P$12=1,$A213=TODAY()),AH!$P$19,IF(AH!$P$10=1,INDEX('Live History'!$B$5:$B$3004,AH!$P$13+208),INDEX('AH History'!$B$1:$B$18046,AH!$P$7+208))),NA()),NA())</ns0:f>
        <ns0:v/>
      </ns0:c>
      <ns0:c r="D213">
        <ns0:f>IFERROR(IF(ISNUMBER($A213),IF(AND(AH!$P$10=1,AH!$P$12=1,$A213=TODAY()),AH!$P$18,IF(AH!$P$10=1,INDEX('Live History'!$E$5:$E$3004,MATCH($A213,'Live History'!$D$5:$D$3004,1)),INDEX('AH History'!$C$1:$C$18046,AH!$P$7+208))),NA()),NA())</ns0:f>
        <ns0:v/>
      </ns0:c>
      <ns0:c r="E213">
        <ns0:f>IFERROR(IF(ISNUMBER($A213),IF(AND(AH!$P$10=1,AH!$P$12=1,$A213=TODAY()),AH!$P$20,IF(AH!$P$10=1,INDEX('Live History'!$H$5:$H$3004,MATCH($A213,'Live History'!$G$5:$G$3004,1)),INDEX('AH History'!$D$1:$D$18046,AH!$P$7+208))),NA()),NA())</ns0:f>
        <ns0:v/>
      </ns0:c>
      <ns0:c r="F213">
        <ns0:f>IFERROR(IF(ISNUMBER($A213),IF(AND(AH!$P$10=1,AH!$P$12=1,$A213=TODAY()),IF(AND(AH!$P$10=1,AH!$P$12=1,$A213=TODAY()),TODAY(),NA()),IF(AH!$P$10=1,INDEX('Live History'!$D$5:$D$3004,MATCH($A213,'Live History'!$D$5:$D$3004,1)),INDEX('AH History'!$E$1:$E$18046,AH!$P$7+208))),NA()),NA())</ns0:f>
        <ns0:v/>
      </ns0:c>
      <ns0:c r="G213">
        <ns0:f>IFERROR(IF(ISNUMBER($A213),IF(AND(AH!$P$10=1,AH!$P$12=1,$A213=TODAY()),IF(AND(AH!$P$10=1,AH!$P$12=1,$A213=TODAY()),TODAY(),NA()),IF(AH!$P$10=1,INDEX('Live History'!$G$5:$G$3004,MATCH($A213,'Live History'!$G$5:$G$3004,1)),INDEX('AH History'!$F$1:$F$18046,AH!$P$7+208))),NA()),NA())</ns0:f>
        <ns0:v/>
      </ns0:c>
      <ns0:c r="H213">
        <ns0:f>IFERROR(IF(AND(AH!$E$4="Bloomberg",AH!$P$10=1,ISNUMBER($A213),$A213&lt;=AH!$P$17),AH!$P$7-1+MATCH($A213,INDEX('AH History'!$A$1:$A$18046,AH!$P$7):INDEX('AH History'!$A$1:$A$18046,AH!$P$7+AH!$P$8-1),0),0),0)</ns0:f>
        <ns0:v/>
      </ns0:c>
      <ns0:c r="I213">
        <ns0:f>IF($H213=0,0,IFERROR(IF(AND(ABS($C213-INDEX('AH History'!$B$1:$B$18046,$H213))&lt;=MAX(0.005,ABS(INDEX('AH History'!$B$1:$B$18046,$H213))*0.00005),ABS($D213-INDEX('AH History'!$C$1:$C$18046,$H213))&lt;=MAX(0.005,ABS(INDEX('AH History'!$C$1:$C$18046,$H213))*0.00005),ABS($E213-INDEX('AH History'!$D$1:$D$18046,$H213))&lt;=0.00005,$F213=INDEX('AH History'!$E$1:$E$18046,$H213),$G213=INDEX('AH History'!$F$1:$F$18046,$H213)),1,-1),-1))</ns0:f>
        <ns0:v/>
      </ns0:c>
    </ns0:row>
    <ns0:row r="214">
      <ns0:c r="A214" s="215">
        <ns0:f>IF(OR(AH!$P$3=0,209+1&gt;AH!$P$11,AND(AH!$E$4&lt;&gt;"Stored",AH!$P$10&lt;&gt;1)),"",IFERROR(IF(AND(AH!$P$21=1,209+1=AH!$P$11),TODAY(),IF(AH!$P$10=1,INDEX('Live History'!$A$5:$A$3004,AH!$P$13+209),INDEX('AH History'!$A$1:$A$18046,AH!$P$7+209))),""))</ns0:f>
        <ns0:v/>
      </ns0:c>
      <ns0:c r="B214" s="219">
        <ns0:f>IFERROR(IF(AND(AH!$P$9&lt;&gt;1,$C214&gt;0,$D214&gt;0,$E214&gt;0,$F214&gt;0,$G214&gt;0,$F214&lt;=$A214,$G214&lt;=$A214,$A214-$F214&lt;=10,$A214-$G214&lt;=5),$D214*$E214/$C214-1,NA()),NA())</ns0:f>
        <ns0:v/>
      </ns0:c>
      <ns0:c r="C214">
        <ns0:f>IFERROR(IF(ISNUMBER($A214),IF(AND(AH!$P$10=1,AH!$P$12=1,$A214=TODAY()),AH!$P$19,IF(AH!$P$10=1,INDEX('Live History'!$B$5:$B$3004,AH!$P$13+209),INDEX('AH History'!$B$1:$B$18046,AH!$P$7+209))),NA()),NA())</ns0:f>
        <ns0:v/>
      </ns0:c>
      <ns0:c r="D214">
        <ns0:f>IFERROR(IF(ISNUMBER($A214),IF(AND(AH!$P$10=1,AH!$P$12=1,$A214=TODAY()),AH!$P$18,IF(AH!$P$10=1,INDEX('Live History'!$E$5:$E$3004,MATCH($A214,'Live History'!$D$5:$D$3004,1)),INDEX('AH History'!$C$1:$C$18046,AH!$P$7+209))),NA()),NA())</ns0:f>
        <ns0:v/>
      </ns0:c>
      <ns0:c r="E214">
        <ns0:f>IFERROR(IF(ISNUMBER($A214),IF(AND(AH!$P$10=1,AH!$P$12=1,$A214=TODAY()),AH!$P$20,IF(AH!$P$10=1,INDEX('Live History'!$H$5:$H$3004,MATCH($A214,'Live History'!$G$5:$G$3004,1)),INDEX('AH History'!$D$1:$D$18046,AH!$P$7+209))),NA()),NA())</ns0:f>
        <ns0:v/>
      </ns0:c>
      <ns0:c r="F214">
        <ns0:f>IFERROR(IF(ISNUMBER($A214),IF(AND(AH!$P$10=1,AH!$P$12=1,$A214=TODAY()),IF(AND(AH!$P$10=1,AH!$P$12=1,$A214=TODAY()),TODAY(),NA()),IF(AH!$P$10=1,INDEX('Live History'!$D$5:$D$3004,MATCH($A214,'Live History'!$D$5:$D$3004,1)),INDEX('AH History'!$E$1:$E$18046,AH!$P$7+209))),NA()),NA())</ns0:f>
        <ns0:v/>
      </ns0:c>
      <ns0:c r="G214">
        <ns0:f>IFERROR(IF(ISNUMBER($A214),IF(AND(AH!$P$10=1,AH!$P$12=1,$A214=TODAY()),IF(AND(AH!$P$10=1,AH!$P$12=1,$A214=TODAY()),TODAY(),NA()),IF(AH!$P$10=1,INDEX('Live History'!$G$5:$G$3004,MATCH($A214,'Live History'!$G$5:$G$3004,1)),INDEX('AH History'!$F$1:$F$18046,AH!$P$7+209))),NA()),NA())</ns0:f>
        <ns0:v/>
      </ns0:c>
      <ns0:c r="H214">
        <ns0:f>IFERROR(IF(AND(AH!$E$4="Bloomberg",AH!$P$10=1,ISNUMBER($A214),$A214&lt;=AH!$P$17),AH!$P$7-1+MATCH($A214,INDEX('AH History'!$A$1:$A$18046,AH!$P$7):INDEX('AH History'!$A$1:$A$18046,AH!$P$7+AH!$P$8-1),0),0),0)</ns0:f>
        <ns0:v/>
      </ns0:c>
      <ns0:c r="I214">
        <ns0:f>IF($H214=0,0,IFERROR(IF(AND(ABS($C214-INDEX('AH History'!$B$1:$B$18046,$H214))&lt;=MAX(0.005,ABS(INDEX('AH History'!$B$1:$B$18046,$H214))*0.00005),ABS($D214-INDEX('AH History'!$C$1:$C$18046,$H214))&lt;=MAX(0.005,ABS(INDEX('AH History'!$C$1:$C$18046,$H214))*0.00005),ABS($E214-INDEX('AH History'!$D$1:$D$18046,$H214))&lt;=0.00005,$F214=INDEX('AH History'!$E$1:$E$18046,$H214),$G214=INDEX('AH History'!$F$1:$F$18046,$H214)),1,-1),-1))</ns0:f>
        <ns0:v/>
      </ns0:c>
    </ns0:row>
    <ns0:row r="215">
      <ns0:c r="A215" s="215">
        <ns0:f>IF(OR(AH!$P$3=0,210+1&gt;AH!$P$11,AND(AH!$E$4&lt;&gt;"Stored",AH!$P$10&lt;&gt;1)),"",IFERROR(IF(AND(AH!$P$21=1,210+1=AH!$P$11),TODAY(),IF(AH!$P$10=1,INDEX('Live History'!$A$5:$A$3004,AH!$P$13+210),INDEX('AH History'!$A$1:$A$18046,AH!$P$7+210))),""))</ns0:f>
        <ns0:v/>
      </ns0:c>
      <ns0:c r="B215" s="219">
        <ns0:f>IFERROR(IF(AND(AH!$P$9&lt;&gt;1,$C215&gt;0,$D215&gt;0,$E215&gt;0,$F215&gt;0,$G215&gt;0,$F215&lt;=$A215,$G215&lt;=$A215,$A215-$F215&lt;=10,$A215-$G215&lt;=5),$D215*$E215/$C215-1,NA()),NA())</ns0:f>
        <ns0:v/>
      </ns0:c>
      <ns0:c r="C215">
        <ns0:f>IFERROR(IF(ISNUMBER($A215),IF(AND(AH!$P$10=1,AH!$P$12=1,$A215=TODAY()),AH!$P$19,IF(AH!$P$10=1,INDEX('Live History'!$B$5:$B$3004,AH!$P$13+210),INDEX('AH History'!$B$1:$B$18046,AH!$P$7+210))),NA()),NA())</ns0:f>
        <ns0:v/>
      </ns0:c>
      <ns0:c r="D215">
        <ns0:f>IFERROR(IF(ISNUMBER($A215),IF(AND(AH!$P$10=1,AH!$P$12=1,$A215=TODAY()),AH!$P$18,IF(AH!$P$10=1,INDEX('Live History'!$E$5:$E$3004,MATCH($A215,'Live History'!$D$5:$D$3004,1)),INDEX('AH History'!$C$1:$C$18046,AH!$P$7+210))),NA()),NA())</ns0:f>
        <ns0:v/>
      </ns0:c>
      <ns0:c r="E215">
        <ns0:f>IFERROR(IF(ISNUMBER($A215),IF(AND(AH!$P$10=1,AH!$P$12=1,$A215=TODAY()),AH!$P$20,IF(AH!$P$10=1,INDEX('Live History'!$H$5:$H$3004,MATCH($A215,'Live History'!$G$5:$G$3004,1)),INDEX('AH History'!$D$1:$D$18046,AH!$P$7+210))),NA()),NA())</ns0:f>
        <ns0:v/>
      </ns0:c>
      <ns0:c r="F215">
        <ns0:f>IFERROR(IF(ISNUMBER($A215),IF(AND(AH!$P$10=1,AH!$P$12=1,$A215=TODAY()),IF(AND(AH!$P$10=1,AH!$P$12=1,$A215=TODAY()),TODAY(),NA()),IF(AH!$P$10=1,INDEX('Live History'!$D$5:$D$3004,MATCH($A215,'Live History'!$D$5:$D$3004,1)),INDEX('AH History'!$E$1:$E$18046,AH!$P$7+210))),NA()),NA())</ns0:f>
        <ns0:v/>
      </ns0:c>
      <ns0:c r="G215">
        <ns0:f>IFERROR(IF(ISNUMBER($A215),IF(AND(AH!$P$10=1,AH!$P$12=1,$A215=TODAY()),IF(AND(AH!$P$10=1,AH!$P$12=1,$A215=TODAY()),TODAY(),NA()),IF(AH!$P$10=1,INDEX('Live History'!$G$5:$G$3004,MATCH($A215,'Live History'!$G$5:$G$3004,1)),INDEX('AH History'!$F$1:$F$18046,AH!$P$7+210))),NA()),NA())</ns0:f>
        <ns0:v/>
      </ns0:c>
      <ns0:c r="H215">
        <ns0:f>IFERROR(IF(AND(AH!$E$4="Bloomberg",AH!$P$10=1,ISNUMBER($A215),$A215&lt;=AH!$P$17),AH!$P$7-1+MATCH($A215,INDEX('AH History'!$A$1:$A$18046,AH!$P$7):INDEX('AH History'!$A$1:$A$18046,AH!$P$7+AH!$P$8-1),0),0),0)</ns0:f>
        <ns0:v/>
      </ns0:c>
      <ns0:c r="I215">
        <ns0:f>IF($H215=0,0,IFERROR(IF(AND(ABS($C215-INDEX('AH History'!$B$1:$B$18046,$H215))&lt;=MAX(0.005,ABS(INDEX('AH History'!$B$1:$B$18046,$H215))*0.00005),ABS($D215-INDEX('AH History'!$C$1:$C$18046,$H215))&lt;=MAX(0.005,ABS(INDEX('AH History'!$C$1:$C$18046,$H215))*0.00005),ABS($E215-INDEX('AH History'!$D$1:$D$18046,$H215))&lt;=0.00005,$F215=INDEX('AH History'!$E$1:$E$18046,$H215),$G215=INDEX('AH History'!$F$1:$F$18046,$H215)),1,-1),-1))</ns0:f>
        <ns0:v/>
      </ns0:c>
    </ns0:row>
    <ns0:row r="216">
      <ns0:c r="A216" s="215">
        <ns0:f>IF(OR(AH!$P$3=0,211+1&gt;AH!$P$11,AND(AH!$E$4&lt;&gt;"Stored",AH!$P$10&lt;&gt;1)),"",IFERROR(IF(AND(AH!$P$21=1,211+1=AH!$P$11),TODAY(),IF(AH!$P$10=1,INDEX('Live History'!$A$5:$A$3004,AH!$P$13+211),INDEX('AH History'!$A$1:$A$18046,AH!$P$7+211))),""))</ns0:f>
        <ns0:v/>
      </ns0:c>
      <ns0:c r="B216" s="219">
        <ns0:f>IFERROR(IF(AND(AH!$P$9&lt;&gt;1,$C216&gt;0,$D216&gt;0,$E216&gt;0,$F216&gt;0,$G216&gt;0,$F216&lt;=$A216,$G216&lt;=$A216,$A216-$F216&lt;=10,$A216-$G216&lt;=5),$D216*$E216/$C216-1,NA()),NA())</ns0:f>
        <ns0:v/>
      </ns0:c>
      <ns0:c r="C216">
        <ns0:f>IFERROR(IF(ISNUMBER($A216),IF(AND(AH!$P$10=1,AH!$P$12=1,$A216=TODAY()),AH!$P$19,IF(AH!$P$10=1,INDEX('Live History'!$B$5:$B$3004,AH!$P$13+211),INDEX('AH History'!$B$1:$B$18046,AH!$P$7+211))),NA()),NA())</ns0:f>
        <ns0:v/>
      </ns0:c>
      <ns0:c r="D216">
        <ns0:f>IFERROR(IF(ISNUMBER($A216),IF(AND(AH!$P$10=1,AH!$P$12=1,$A216=TODAY()),AH!$P$18,IF(AH!$P$10=1,INDEX('Live History'!$E$5:$E$3004,MATCH($A216,'Live History'!$D$5:$D$3004,1)),INDEX('AH History'!$C$1:$C$18046,AH!$P$7+211))),NA()),NA())</ns0:f>
        <ns0:v/>
      </ns0:c>
      <ns0:c r="E216">
        <ns0:f>IFERROR(IF(ISNUMBER($A216),IF(AND(AH!$P$10=1,AH!$P$12=1,$A216=TODAY()),AH!$P$20,IF(AH!$P$10=1,INDEX('Live History'!$H$5:$H$3004,MATCH($A216,'Live History'!$G$5:$G$3004,1)),INDEX('AH History'!$D$1:$D$18046,AH!$P$7+211))),NA()),NA())</ns0:f>
        <ns0:v/>
      </ns0:c>
      <ns0:c r="F216">
        <ns0:f>IFERROR(IF(ISNUMBER($A216),IF(AND(AH!$P$10=1,AH!$P$12=1,$A216=TODAY()),IF(AND(AH!$P$10=1,AH!$P$12=1,$A216=TODAY()),TODAY(),NA()),IF(AH!$P$10=1,INDEX('Live History'!$D$5:$D$3004,MATCH($A216,'Live History'!$D$5:$D$3004,1)),INDEX('AH History'!$E$1:$E$18046,AH!$P$7+211))),NA()),NA())</ns0:f>
        <ns0:v/>
      </ns0:c>
      <ns0:c r="G216">
        <ns0:f>IFERROR(IF(ISNUMBER($A216),IF(AND(AH!$P$10=1,AH!$P$12=1,$A216=TODAY()),IF(AND(AH!$P$10=1,AH!$P$12=1,$A216=TODAY()),TODAY(),NA()),IF(AH!$P$10=1,INDEX('Live History'!$G$5:$G$3004,MATCH($A216,'Live History'!$G$5:$G$3004,1)),INDEX('AH History'!$F$1:$F$18046,AH!$P$7+211))),NA()),NA())</ns0:f>
        <ns0:v/>
      </ns0:c>
      <ns0:c r="H216">
        <ns0:f>IFERROR(IF(AND(AH!$E$4="Bloomberg",AH!$P$10=1,ISNUMBER($A216),$A216&lt;=AH!$P$17),AH!$P$7-1+MATCH($A216,INDEX('AH History'!$A$1:$A$18046,AH!$P$7):INDEX('AH History'!$A$1:$A$18046,AH!$P$7+AH!$P$8-1),0),0),0)</ns0:f>
        <ns0:v/>
      </ns0:c>
      <ns0:c r="I216">
        <ns0:f>IF($H216=0,0,IFERROR(IF(AND(ABS($C216-INDEX('AH History'!$B$1:$B$18046,$H216))&lt;=MAX(0.005,ABS(INDEX('AH History'!$B$1:$B$18046,$H216))*0.00005),ABS($D216-INDEX('AH History'!$C$1:$C$18046,$H216))&lt;=MAX(0.005,ABS(INDEX('AH History'!$C$1:$C$18046,$H216))*0.00005),ABS($E216-INDEX('AH History'!$D$1:$D$18046,$H216))&lt;=0.00005,$F216=INDEX('AH History'!$E$1:$E$18046,$H216),$G216=INDEX('AH History'!$F$1:$F$18046,$H216)),1,-1),-1))</ns0:f>
        <ns0:v/>
      </ns0:c>
    </ns0:row>
    <ns0:row r="217">
      <ns0:c r="A217" s="215">
        <ns0:f>IF(OR(AH!$P$3=0,212+1&gt;AH!$P$11,AND(AH!$E$4&lt;&gt;"Stored",AH!$P$10&lt;&gt;1)),"",IFERROR(IF(AND(AH!$P$21=1,212+1=AH!$P$11),TODAY(),IF(AH!$P$10=1,INDEX('Live History'!$A$5:$A$3004,AH!$P$13+212),INDEX('AH History'!$A$1:$A$18046,AH!$P$7+212))),""))</ns0:f>
        <ns0:v/>
      </ns0:c>
      <ns0:c r="B217" s="219">
        <ns0:f>IFERROR(IF(AND(AH!$P$9&lt;&gt;1,$C217&gt;0,$D217&gt;0,$E217&gt;0,$F217&gt;0,$G217&gt;0,$F217&lt;=$A217,$G217&lt;=$A217,$A217-$F217&lt;=10,$A217-$G217&lt;=5),$D217*$E217/$C217-1,NA()),NA())</ns0:f>
        <ns0:v/>
      </ns0:c>
      <ns0:c r="C217">
        <ns0:f>IFERROR(IF(ISNUMBER($A217),IF(AND(AH!$P$10=1,AH!$P$12=1,$A217=TODAY()),AH!$P$19,IF(AH!$P$10=1,INDEX('Live History'!$B$5:$B$3004,AH!$P$13+212),INDEX('AH History'!$B$1:$B$18046,AH!$P$7+212))),NA()),NA())</ns0:f>
        <ns0:v/>
      </ns0:c>
      <ns0:c r="D217">
        <ns0:f>IFERROR(IF(ISNUMBER($A217),IF(AND(AH!$P$10=1,AH!$P$12=1,$A217=TODAY()),AH!$P$18,IF(AH!$P$10=1,INDEX('Live History'!$E$5:$E$3004,MATCH($A217,'Live History'!$D$5:$D$3004,1)),INDEX('AH History'!$C$1:$C$18046,AH!$P$7+212))),NA()),NA())</ns0:f>
        <ns0:v/>
      </ns0:c>
      <ns0:c r="E217">
        <ns0:f>IFERROR(IF(ISNUMBER($A217),IF(AND(AH!$P$10=1,AH!$P$12=1,$A217=TODAY()),AH!$P$20,IF(AH!$P$10=1,INDEX('Live History'!$H$5:$H$3004,MATCH($A217,'Live History'!$G$5:$G$3004,1)),INDEX('AH History'!$D$1:$D$18046,AH!$P$7+212))),NA()),NA())</ns0:f>
        <ns0:v/>
      </ns0:c>
      <ns0:c r="F217">
        <ns0:f>IFERROR(IF(ISNUMBER($A217),IF(AND(AH!$P$10=1,AH!$P$12=1,$A217=TODAY()),IF(AND(AH!$P$10=1,AH!$P$12=1,$A217=TODAY()),TODAY(),NA()),IF(AH!$P$10=1,INDEX('Live History'!$D$5:$D$3004,MATCH($A217,'Live History'!$D$5:$D$3004,1)),INDEX('AH History'!$E$1:$E$18046,AH!$P$7+212))),NA()),NA())</ns0:f>
        <ns0:v/>
      </ns0:c>
      <ns0:c r="G217">
        <ns0:f>IFERROR(IF(ISNUMBER($A217),IF(AND(AH!$P$10=1,AH!$P$12=1,$A217=TODAY()),IF(AND(AH!$P$10=1,AH!$P$12=1,$A217=TODAY()),TODAY(),NA()),IF(AH!$P$10=1,INDEX('Live History'!$G$5:$G$3004,MATCH($A217,'Live History'!$G$5:$G$3004,1)),INDEX('AH History'!$F$1:$F$18046,AH!$P$7+212))),NA()),NA())</ns0:f>
        <ns0:v/>
      </ns0:c>
      <ns0:c r="H217">
        <ns0:f>IFERROR(IF(AND(AH!$E$4="Bloomberg",AH!$P$10=1,ISNUMBER($A217),$A217&lt;=AH!$P$17),AH!$P$7-1+MATCH($A217,INDEX('AH History'!$A$1:$A$18046,AH!$P$7):INDEX('AH History'!$A$1:$A$18046,AH!$P$7+AH!$P$8-1),0),0),0)</ns0:f>
        <ns0:v/>
      </ns0:c>
      <ns0:c r="I217">
        <ns0:f>IF($H217=0,0,IFERROR(IF(AND(ABS($C217-INDEX('AH History'!$B$1:$B$18046,$H217))&lt;=MAX(0.005,ABS(INDEX('AH History'!$B$1:$B$18046,$H217))*0.00005),ABS($D217-INDEX('AH History'!$C$1:$C$18046,$H217))&lt;=MAX(0.005,ABS(INDEX('AH History'!$C$1:$C$18046,$H217))*0.00005),ABS($E217-INDEX('AH History'!$D$1:$D$18046,$H217))&lt;=0.00005,$F217=INDEX('AH History'!$E$1:$E$18046,$H217),$G217=INDEX('AH History'!$F$1:$F$18046,$H217)),1,-1),-1))</ns0:f>
        <ns0:v/>
      </ns0:c>
    </ns0:row>
    <ns0:row r="218">
      <ns0:c r="A218" s="215">
        <ns0:f>IF(OR(AH!$P$3=0,213+1&gt;AH!$P$11,AND(AH!$E$4&lt;&gt;"Stored",AH!$P$10&lt;&gt;1)),"",IFERROR(IF(AND(AH!$P$21=1,213+1=AH!$P$11),TODAY(),IF(AH!$P$10=1,INDEX('Live History'!$A$5:$A$3004,AH!$P$13+213),INDEX('AH History'!$A$1:$A$18046,AH!$P$7+213))),""))</ns0:f>
        <ns0:v/>
      </ns0:c>
      <ns0:c r="B218" s="219">
        <ns0:f>IFERROR(IF(AND(AH!$P$9&lt;&gt;1,$C218&gt;0,$D218&gt;0,$E218&gt;0,$F218&gt;0,$G218&gt;0,$F218&lt;=$A218,$G218&lt;=$A218,$A218-$F218&lt;=10,$A218-$G218&lt;=5),$D218*$E218/$C218-1,NA()),NA())</ns0:f>
        <ns0:v/>
      </ns0:c>
      <ns0:c r="C218">
        <ns0:f>IFERROR(IF(ISNUMBER($A218),IF(AND(AH!$P$10=1,AH!$P$12=1,$A218=TODAY()),AH!$P$19,IF(AH!$P$10=1,INDEX('Live History'!$B$5:$B$3004,AH!$P$13+213),INDEX('AH History'!$B$1:$B$18046,AH!$P$7+213))),NA()),NA())</ns0:f>
        <ns0:v/>
      </ns0:c>
      <ns0:c r="D218">
        <ns0:f>IFERROR(IF(ISNUMBER($A218),IF(AND(AH!$P$10=1,AH!$P$12=1,$A218=TODAY()),AH!$P$18,IF(AH!$P$10=1,INDEX('Live History'!$E$5:$E$3004,MATCH($A218,'Live History'!$D$5:$D$3004,1)),INDEX('AH History'!$C$1:$C$18046,AH!$P$7+213))),NA()),NA())</ns0:f>
        <ns0:v/>
      </ns0:c>
      <ns0:c r="E218">
        <ns0:f>IFERROR(IF(ISNUMBER($A218),IF(AND(AH!$P$10=1,AH!$P$12=1,$A218=TODAY()),AH!$P$20,IF(AH!$P$10=1,INDEX('Live History'!$H$5:$H$3004,MATCH($A218,'Live History'!$G$5:$G$3004,1)),INDEX('AH History'!$D$1:$D$18046,AH!$P$7+213))),NA()),NA())</ns0:f>
        <ns0:v/>
      </ns0:c>
      <ns0:c r="F218">
        <ns0:f>IFERROR(IF(ISNUMBER($A218),IF(AND(AH!$P$10=1,AH!$P$12=1,$A218=TODAY()),IF(AND(AH!$P$10=1,AH!$P$12=1,$A218=TODAY()),TODAY(),NA()),IF(AH!$P$10=1,INDEX('Live History'!$D$5:$D$3004,MATCH($A218,'Live History'!$D$5:$D$3004,1)),INDEX('AH History'!$E$1:$E$18046,AH!$P$7+213))),NA()),NA())</ns0:f>
        <ns0:v/>
      </ns0:c>
      <ns0:c r="G218">
        <ns0:f>IFERROR(IF(ISNUMBER($A218),IF(AND(AH!$P$10=1,AH!$P$12=1,$A218=TODAY()),IF(AND(AH!$P$10=1,AH!$P$12=1,$A218=TODAY()),TODAY(),NA()),IF(AH!$P$10=1,INDEX('Live History'!$G$5:$G$3004,MATCH($A218,'Live History'!$G$5:$G$3004,1)),INDEX('AH History'!$F$1:$F$18046,AH!$P$7+213))),NA()),NA())</ns0:f>
        <ns0:v/>
      </ns0:c>
      <ns0:c r="H218">
        <ns0:f>IFERROR(IF(AND(AH!$E$4="Bloomberg",AH!$P$10=1,ISNUMBER($A218),$A218&lt;=AH!$P$17),AH!$P$7-1+MATCH($A218,INDEX('AH History'!$A$1:$A$18046,AH!$P$7):INDEX('AH History'!$A$1:$A$18046,AH!$P$7+AH!$P$8-1),0),0),0)</ns0:f>
        <ns0:v/>
      </ns0:c>
      <ns0:c r="I218">
        <ns0:f>IF($H218=0,0,IFERROR(IF(AND(ABS($C218-INDEX('AH History'!$B$1:$B$18046,$H218))&lt;=MAX(0.005,ABS(INDEX('AH History'!$B$1:$B$18046,$H218))*0.00005),ABS($D218-INDEX('AH History'!$C$1:$C$18046,$H218))&lt;=MAX(0.005,ABS(INDEX('AH History'!$C$1:$C$18046,$H218))*0.00005),ABS($E218-INDEX('AH History'!$D$1:$D$18046,$H218))&lt;=0.00005,$F218=INDEX('AH History'!$E$1:$E$18046,$H218),$G218=INDEX('AH History'!$F$1:$F$18046,$H218)),1,-1),-1))</ns0:f>
        <ns0:v/>
      </ns0:c>
    </ns0:row>
    <ns0:row r="219">
      <ns0:c r="A219" s="215">
        <ns0:f>IF(OR(AH!$P$3=0,214+1&gt;AH!$P$11,AND(AH!$E$4&lt;&gt;"Stored",AH!$P$10&lt;&gt;1)),"",IFERROR(IF(AND(AH!$P$21=1,214+1=AH!$P$11),TODAY(),IF(AH!$P$10=1,INDEX('Live History'!$A$5:$A$3004,AH!$P$13+214),INDEX('AH History'!$A$1:$A$18046,AH!$P$7+214))),""))</ns0:f>
        <ns0:v/>
      </ns0:c>
      <ns0:c r="B219" s="219">
        <ns0:f>IFERROR(IF(AND(AH!$P$9&lt;&gt;1,$C219&gt;0,$D219&gt;0,$E219&gt;0,$F219&gt;0,$G219&gt;0,$F219&lt;=$A219,$G219&lt;=$A219,$A219-$F219&lt;=10,$A219-$G219&lt;=5),$D219*$E219/$C219-1,NA()),NA())</ns0:f>
        <ns0:v/>
      </ns0:c>
      <ns0:c r="C219">
        <ns0:f>IFERROR(IF(ISNUMBER($A219),IF(AND(AH!$P$10=1,AH!$P$12=1,$A219=TODAY()),AH!$P$19,IF(AH!$P$10=1,INDEX('Live History'!$B$5:$B$3004,AH!$P$13+214),INDEX('AH History'!$B$1:$B$18046,AH!$P$7+214))),NA()),NA())</ns0:f>
        <ns0:v/>
      </ns0:c>
      <ns0:c r="D219">
        <ns0:f>IFERROR(IF(ISNUMBER($A219),IF(AND(AH!$P$10=1,AH!$P$12=1,$A219=TODAY()),AH!$P$18,IF(AH!$P$10=1,INDEX('Live History'!$E$5:$E$3004,MATCH($A219,'Live History'!$D$5:$D$3004,1)),INDEX('AH History'!$C$1:$C$18046,AH!$P$7+214))),NA()),NA())</ns0:f>
        <ns0:v/>
      </ns0:c>
      <ns0:c r="E219">
        <ns0:f>IFERROR(IF(ISNUMBER($A219),IF(AND(AH!$P$10=1,AH!$P$12=1,$A219=TODAY()),AH!$P$20,IF(AH!$P$10=1,INDEX('Live History'!$H$5:$H$3004,MATCH($A219,'Live History'!$G$5:$G$3004,1)),INDEX('AH History'!$D$1:$D$18046,AH!$P$7+214))),NA()),NA())</ns0:f>
        <ns0:v/>
      </ns0:c>
      <ns0:c r="F219">
        <ns0:f>IFERROR(IF(ISNUMBER($A219),IF(AND(AH!$P$10=1,AH!$P$12=1,$A219=TODAY()),IF(AND(AH!$P$10=1,AH!$P$12=1,$A219=TODAY()),TODAY(),NA()),IF(AH!$P$10=1,INDEX('Live History'!$D$5:$D$3004,MATCH($A219,'Live History'!$D$5:$D$3004,1)),INDEX('AH History'!$E$1:$E$18046,AH!$P$7+214))),NA()),NA())</ns0:f>
        <ns0:v/>
      </ns0:c>
      <ns0:c r="G219">
        <ns0:f>IFERROR(IF(ISNUMBER($A219),IF(AND(AH!$P$10=1,AH!$P$12=1,$A219=TODAY()),IF(AND(AH!$P$10=1,AH!$P$12=1,$A219=TODAY()),TODAY(),NA()),IF(AH!$P$10=1,INDEX('Live History'!$G$5:$G$3004,MATCH($A219,'Live History'!$G$5:$G$3004,1)),INDEX('AH History'!$F$1:$F$18046,AH!$P$7+214))),NA()),NA())</ns0:f>
        <ns0:v/>
      </ns0:c>
      <ns0:c r="H219">
        <ns0:f>IFERROR(IF(AND(AH!$E$4="Bloomberg",AH!$P$10=1,ISNUMBER($A219),$A219&lt;=AH!$P$17),AH!$P$7-1+MATCH($A219,INDEX('AH History'!$A$1:$A$18046,AH!$P$7):INDEX('AH History'!$A$1:$A$18046,AH!$P$7+AH!$P$8-1),0),0),0)</ns0:f>
        <ns0:v/>
      </ns0:c>
      <ns0:c r="I219">
        <ns0:f>IF($H219=0,0,IFERROR(IF(AND(ABS($C219-INDEX('AH History'!$B$1:$B$18046,$H219))&lt;=MAX(0.005,ABS(INDEX('AH History'!$B$1:$B$18046,$H219))*0.00005),ABS($D219-INDEX('AH History'!$C$1:$C$18046,$H219))&lt;=MAX(0.005,ABS(INDEX('AH History'!$C$1:$C$18046,$H219))*0.00005),ABS($E219-INDEX('AH History'!$D$1:$D$18046,$H219))&lt;=0.00005,$F219=INDEX('AH History'!$E$1:$E$18046,$H219),$G219=INDEX('AH History'!$F$1:$F$18046,$H219)),1,-1),-1))</ns0:f>
        <ns0:v/>
      </ns0:c>
    </ns0:row>
    <ns0:row r="220">
      <ns0:c r="A220" s="215">
        <ns0:f>IF(OR(AH!$P$3=0,215+1&gt;AH!$P$11,AND(AH!$E$4&lt;&gt;"Stored",AH!$P$10&lt;&gt;1)),"",IFERROR(IF(AND(AH!$P$21=1,215+1=AH!$P$11),TODAY(),IF(AH!$P$10=1,INDEX('Live History'!$A$5:$A$3004,AH!$P$13+215),INDEX('AH History'!$A$1:$A$18046,AH!$P$7+215))),""))</ns0:f>
        <ns0:v/>
      </ns0:c>
      <ns0:c r="B220" s="219">
        <ns0:f>IFERROR(IF(AND(AH!$P$9&lt;&gt;1,$C220&gt;0,$D220&gt;0,$E220&gt;0,$F220&gt;0,$G220&gt;0,$F220&lt;=$A220,$G220&lt;=$A220,$A220-$F220&lt;=10,$A220-$G220&lt;=5),$D220*$E220/$C220-1,NA()),NA())</ns0:f>
        <ns0:v/>
      </ns0:c>
      <ns0:c r="C220">
        <ns0:f>IFERROR(IF(ISNUMBER($A220),IF(AND(AH!$P$10=1,AH!$P$12=1,$A220=TODAY()),AH!$P$19,IF(AH!$P$10=1,INDEX('Live History'!$B$5:$B$3004,AH!$P$13+215),INDEX('AH History'!$B$1:$B$18046,AH!$P$7+215))),NA()),NA())</ns0:f>
        <ns0:v/>
      </ns0:c>
      <ns0:c r="D220">
        <ns0:f>IFERROR(IF(ISNUMBER($A220),IF(AND(AH!$P$10=1,AH!$P$12=1,$A220=TODAY()),AH!$P$18,IF(AH!$P$10=1,INDEX('Live History'!$E$5:$E$3004,MATCH($A220,'Live History'!$D$5:$D$3004,1)),INDEX('AH History'!$C$1:$C$18046,AH!$P$7+215))),NA()),NA())</ns0:f>
        <ns0:v/>
      </ns0:c>
      <ns0:c r="E220">
        <ns0:f>IFERROR(IF(ISNUMBER($A220),IF(AND(AH!$P$10=1,AH!$P$12=1,$A220=TODAY()),AH!$P$20,IF(AH!$P$10=1,INDEX('Live History'!$H$5:$H$3004,MATCH($A220,'Live History'!$G$5:$G$3004,1)),INDEX('AH History'!$D$1:$D$18046,AH!$P$7+215))),NA()),NA())</ns0:f>
        <ns0:v/>
      </ns0:c>
      <ns0:c r="F220">
        <ns0:f>IFERROR(IF(ISNUMBER($A220),IF(AND(AH!$P$10=1,AH!$P$12=1,$A220=TODAY()),IF(AND(AH!$P$10=1,AH!$P$12=1,$A220=TODAY()),TODAY(),NA()),IF(AH!$P$10=1,INDEX('Live History'!$D$5:$D$3004,MATCH($A220,'Live History'!$D$5:$D$3004,1)),INDEX('AH History'!$E$1:$E$18046,AH!$P$7+215))),NA()),NA())</ns0:f>
        <ns0:v/>
      </ns0:c>
      <ns0:c r="G220">
        <ns0:f>IFERROR(IF(ISNUMBER($A220),IF(AND(AH!$P$10=1,AH!$P$12=1,$A220=TODAY()),IF(AND(AH!$P$10=1,AH!$P$12=1,$A220=TODAY()),TODAY(),NA()),IF(AH!$P$10=1,INDEX('Live History'!$G$5:$G$3004,MATCH($A220,'Live History'!$G$5:$G$3004,1)),INDEX('AH History'!$F$1:$F$18046,AH!$P$7+215))),NA()),NA())</ns0:f>
        <ns0:v/>
      </ns0:c>
      <ns0:c r="H220">
        <ns0:f>IFERROR(IF(AND(AH!$E$4="Bloomberg",AH!$P$10=1,ISNUMBER($A220),$A220&lt;=AH!$P$17),AH!$P$7-1+MATCH($A220,INDEX('AH History'!$A$1:$A$18046,AH!$P$7):INDEX('AH History'!$A$1:$A$18046,AH!$P$7+AH!$P$8-1),0),0),0)</ns0:f>
        <ns0:v/>
      </ns0:c>
      <ns0:c r="I220">
        <ns0:f>IF($H220=0,0,IFERROR(IF(AND(ABS($C220-INDEX('AH History'!$B$1:$B$18046,$H220))&lt;=MAX(0.005,ABS(INDEX('AH History'!$B$1:$B$18046,$H220))*0.00005),ABS($D220-INDEX('AH History'!$C$1:$C$18046,$H220))&lt;=MAX(0.005,ABS(INDEX('AH History'!$C$1:$C$18046,$H220))*0.00005),ABS($E220-INDEX('AH History'!$D$1:$D$18046,$H220))&lt;=0.00005,$F220=INDEX('AH History'!$E$1:$E$18046,$H220),$G220=INDEX('AH History'!$F$1:$F$18046,$H220)),1,-1),-1))</ns0:f>
        <ns0:v/>
      </ns0:c>
    </ns0:row>
    <ns0:row r="221">
      <ns0:c r="A221" s="215">
        <ns0:f>IF(OR(AH!$P$3=0,216+1&gt;AH!$P$11,AND(AH!$E$4&lt;&gt;"Stored",AH!$P$10&lt;&gt;1)),"",IFERROR(IF(AND(AH!$P$21=1,216+1=AH!$P$11),TODAY(),IF(AH!$P$10=1,INDEX('Live History'!$A$5:$A$3004,AH!$P$13+216),INDEX('AH History'!$A$1:$A$18046,AH!$P$7+216))),""))</ns0:f>
        <ns0:v/>
      </ns0:c>
      <ns0:c r="B221" s="219">
        <ns0:f>IFERROR(IF(AND(AH!$P$9&lt;&gt;1,$C221&gt;0,$D221&gt;0,$E221&gt;0,$F221&gt;0,$G221&gt;0,$F221&lt;=$A221,$G221&lt;=$A221,$A221-$F221&lt;=10,$A221-$G221&lt;=5),$D221*$E221/$C221-1,NA()),NA())</ns0:f>
        <ns0:v/>
      </ns0:c>
      <ns0:c r="C221">
        <ns0:f>IFERROR(IF(ISNUMBER($A221),IF(AND(AH!$P$10=1,AH!$P$12=1,$A221=TODAY()),AH!$P$19,IF(AH!$P$10=1,INDEX('Live History'!$B$5:$B$3004,AH!$P$13+216),INDEX('AH History'!$B$1:$B$18046,AH!$P$7+216))),NA()),NA())</ns0:f>
        <ns0:v/>
      </ns0:c>
      <ns0:c r="D221">
        <ns0:f>IFERROR(IF(ISNUMBER($A221),IF(AND(AH!$P$10=1,AH!$P$12=1,$A221=TODAY()),AH!$P$18,IF(AH!$P$10=1,INDEX('Live History'!$E$5:$E$3004,MATCH($A221,'Live History'!$D$5:$D$3004,1)),INDEX('AH History'!$C$1:$C$18046,AH!$P$7+216))),NA()),NA())</ns0:f>
        <ns0:v/>
      </ns0:c>
      <ns0:c r="E221">
        <ns0:f>IFERROR(IF(ISNUMBER($A221),IF(AND(AH!$P$10=1,AH!$P$12=1,$A221=TODAY()),AH!$P$20,IF(AH!$P$10=1,INDEX('Live History'!$H$5:$H$3004,MATCH($A221,'Live History'!$G$5:$G$3004,1)),INDEX('AH History'!$D$1:$D$18046,AH!$P$7+216))),NA()),NA())</ns0:f>
        <ns0:v/>
      </ns0:c>
      <ns0:c r="F221">
        <ns0:f>IFERROR(IF(ISNUMBER($A221),IF(AND(AH!$P$10=1,AH!$P$12=1,$A221=TODAY()),IF(AND(AH!$P$10=1,AH!$P$12=1,$A221=TODAY()),TODAY(),NA()),IF(AH!$P$10=1,INDEX('Live History'!$D$5:$D$3004,MATCH($A221,'Live History'!$D$5:$D$3004,1)),INDEX('AH History'!$E$1:$E$18046,AH!$P$7+216))),NA()),NA())</ns0:f>
        <ns0:v/>
      </ns0:c>
      <ns0:c r="G221">
        <ns0:f>IFERROR(IF(ISNUMBER($A221),IF(AND(AH!$P$10=1,AH!$P$12=1,$A221=TODAY()),IF(AND(AH!$P$10=1,AH!$P$12=1,$A221=TODAY()),TODAY(),NA()),IF(AH!$P$10=1,INDEX('Live History'!$G$5:$G$3004,MATCH($A221,'Live History'!$G$5:$G$3004,1)),INDEX('AH History'!$F$1:$F$18046,AH!$P$7+216))),NA()),NA())</ns0:f>
        <ns0:v/>
      </ns0:c>
      <ns0:c r="H221">
        <ns0:f>IFERROR(IF(AND(AH!$E$4="Bloomberg",AH!$P$10=1,ISNUMBER($A221),$A221&lt;=AH!$P$17),AH!$P$7-1+MATCH($A221,INDEX('AH History'!$A$1:$A$18046,AH!$P$7):INDEX('AH History'!$A$1:$A$18046,AH!$P$7+AH!$P$8-1),0),0),0)</ns0:f>
        <ns0:v/>
      </ns0:c>
      <ns0:c r="I221">
        <ns0:f>IF($H221=0,0,IFERROR(IF(AND(ABS($C221-INDEX('AH History'!$B$1:$B$18046,$H221))&lt;=MAX(0.005,ABS(INDEX('AH History'!$B$1:$B$18046,$H221))*0.00005),ABS($D221-INDEX('AH History'!$C$1:$C$18046,$H221))&lt;=MAX(0.005,ABS(INDEX('AH History'!$C$1:$C$18046,$H221))*0.00005),ABS($E221-INDEX('AH History'!$D$1:$D$18046,$H221))&lt;=0.00005,$F221=INDEX('AH History'!$E$1:$E$18046,$H221),$G221=INDEX('AH History'!$F$1:$F$18046,$H221)),1,-1),-1))</ns0:f>
        <ns0:v/>
      </ns0:c>
    </ns0:row>
    <ns0:row r="222">
      <ns0:c r="A222" s="215">
        <ns0:f>IF(OR(AH!$P$3=0,217+1&gt;AH!$P$11,AND(AH!$E$4&lt;&gt;"Stored",AH!$P$10&lt;&gt;1)),"",IFERROR(IF(AND(AH!$P$21=1,217+1=AH!$P$11),TODAY(),IF(AH!$P$10=1,INDEX('Live History'!$A$5:$A$3004,AH!$P$13+217),INDEX('AH History'!$A$1:$A$18046,AH!$P$7+217))),""))</ns0:f>
        <ns0:v/>
      </ns0:c>
      <ns0:c r="B222" s="219">
        <ns0:f>IFERROR(IF(AND(AH!$P$9&lt;&gt;1,$C222&gt;0,$D222&gt;0,$E222&gt;0,$F222&gt;0,$G222&gt;0,$F222&lt;=$A222,$G222&lt;=$A222,$A222-$F222&lt;=10,$A222-$G222&lt;=5),$D222*$E222/$C222-1,NA()),NA())</ns0:f>
        <ns0:v/>
      </ns0:c>
      <ns0:c r="C222">
        <ns0:f>IFERROR(IF(ISNUMBER($A222),IF(AND(AH!$P$10=1,AH!$P$12=1,$A222=TODAY()),AH!$P$19,IF(AH!$P$10=1,INDEX('Live History'!$B$5:$B$3004,AH!$P$13+217),INDEX('AH History'!$B$1:$B$18046,AH!$P$7+217))),NA()),NA())</ns0:f>
        <ns0:v/>
      </ns0:c>
      <ns0:c r="D222">
        <ns0:f>IFERROR(IF(ISNUMBER($A222),IF(AND(AH!$P$10=1,AH!$P$12=1,$A222=TODAY()),AH!$P$18,IF(AH!$P$10=1,INDEX('Live History'!$E$5:$E$3004,MATCH($A222,'Live History'!$D$5:$D$3004,1)),INDEX('AH History'!$C$1:$C$18046,AH!$P$7+217))),NA()),NA())</ns0:f>
        <ns0:v/>
      </ns0:c>
      <ns0:c r="E222">
        <ns0:f>IFERROR(IF(ISNUMBER($A222),IF(AND(AH!$P$10=1,AH!$P$12=1,$A222=TODAY()),AH!$P$20,IF(AH!$P$10=1,INDEX('Live History'!$H$5:$H$3004,MATCH($A222,'Live History'!$G$5:$G$3004,1)),INDEX('AH History'!$D$1:$D$18046,AH!$P$7+217))),NA()),NA())</ns0:f>
        <ns0:v/>
      </ns0:c>
      <ns0:c r="F222">
        <ns0:f>IFERROR(IF(ISNUMBER($A222),IF(AND(AH!$P$10=1,AH!$P$12=1,$A222=TODAY()),IF(AND(AH!$P$10=1,AH!$P$12=1,$A222=TODAY()),TODAY(),NA()),IF(AH!$P$10=1,INDEX('Live History'!$D$5:$D$3004,MATCH($A222,'Live History'!$D$5:$D$3004,1)),INDEX('AH History'!$E$1:$E$18046,AH!$P$7+217))),NA()),NA())</ns0:f>
        <ns0:v/>
      </ns0:c>
      <ns0:c r="G222">
        <ns0:f>IFERROR(IF(ISNUMBER($A222),IF(AND(AH!$P$10=1,AH!$P$12=1,$A222=TODAY()),IF(AND(AH!$P$10=1,AH!$P$12=1,$A222=TODAY()),TODAY(),NA()),IF(AH!$P$10=1,INDEX('Live History'!$G$5:$G$3004,MATCH($A222,'Live History'!$G$5:$G$3004,1)),INDEX('AH History'!$F$1:$F$18046,AH!$P$7+217))),NA()),NA())</ns0:f>
        <ns0:v/>
      </ns0:c>
      <ns0:c r="H222">
        <ns0:f>IFERROR(IF(AND(AH!$E$4="Bloomberg",AH!$P$10=1,ISNUMBER($A222),$A222&lt;=AH!$P$17),AH!$P$7-1+MATCH($A222,INDEX('AH History'!$A$1:$A$18046,AH!$P$7):INDEX('AH History'!$A$1:$A$18046,AH!$P$7+AH!$P$8-1),0),0),0)</ns0:f>
        <ns0:v/>
      </ns0:c>
      <ns0:c r="I222">
        <ns0:f>IF($H222=0,0,IFERROR(IF(AND(ABS($C222-INDEX('AH History'!$B$1:$B$18046,$H222))&lt;=MAX(0.005,ABS(INDEX('AH History'!$B$1:$B$18046,$H222))*0.00005),ABS($D222-INDEX('AH History'!$C$1:$C$18046,$H222))&lt;=MAX(0.005,ABS(INDEX('AH History'!$C$1:$C$18046,$H222))*0.00005),ABS($E222-INDEX('AH History'!$D$1:$D$18046,$H222))&lt;=0.00005,$F222=INDEX('AH History'!$E$1:$E$18046,$H222),$G222=INDEX('AH History'!$F$1:$F$18046,$H222)),1,-1),-1))</ns0:f>
        <ns0:v/>
      </ns0:c>
    </ns0:row>
    <ns0:row r="223">
      <ns0:c r="A223" s="215">
        <ns0:f>IF(OR(AH!$P$3=0,218+1&gt;AH!$P$11,AND(AH!$E$4&lt;&gt;"Stored",AH!$P$10&lt;&gt;1)),"",IFERROR(IF(AND(AH!$P$21=1,218+1=AH!$P$11),TODAY(),IF(AH!$P$10=1,INDEX('Live History'!$A$5:$A$3004,AH!$P$13+218),INDEX('AH History'!$A$1:$A$18046,AH!$P$7+218))),""))</ns0:f>
        <ns0:v/>
      </ns0:c>
      <ns0:c r="B223" s="219">
        <ns0:f>IFERROR(IF(AND(AH!$P$9&lt;&gt;1,$C223&gt;0,$D223&gt;0,$E223&gt;0,$F223&gt;0,$G223&gt;0,$F223&lt;=$A223,$G223&lt;=$A223,$A223-$F223&lt;=10,$A223-$G223&lt;=5),$D223*$E223/$C223-1,NA()),NA())</ns0:f>
        <ns0:v/>
      </ns0:c>
      <ns0:c r="C223">
        <ns0:f>IFERROR(IF(ISNUMBER($A223),IF(AND(AH!$P$10=1,AH!$P$12=1,$A223=TODAY()),AH!$P$19,IF(AH!$P$10=1,INDEX('Live History'!$B$5:$B$3004,AH!$P$13+218),INDEX('AH History'!$B$1:$B$18046,AH!$P$7+218))),NA()),NA())</ns0:f>
        <ns0:v/>
      </ns0:c>
      <ns0:c r="D223">
        <ns0:f>IFERROR(IF(ISNUMBER($A223),IF(AND(AH!$P$10=1,AH!$P$12=1,$A223=TODAY()),AH!$P$18,IF(AH!$P$10=1,INDEX('Live History'!$E$5:$E$3004,MATCH($A223,'Live History'!$D$5:$D$3004,1)),INDEX('AH History'!$C$1:$C$18046,AH!$P$7+218))),NA()),NA())</ns0:f>
        <ns0:v/>
      </ns0:c>
      <ns0:c r="E223">
        <ns0:f>IFERROR(IF(ISNUMBER($A223),IF(AND(AH!$P$10=1,AH!$P$12=1,$A223=TODAY()),AH!$P$20,IF(AH!$P$10=1,INDEX('Live History'!$H$5:$H$3004,MATCH($A223,'Live History'!$G$5:$G$3004,1)),INDEX('AH History'!$D$1:$D$18046,AH!$P$7+218))),NA()),NA())</ns0:f>
        <ns0:v/>
      </ns0:c>
      <ns0:c r="F223">
        <ns0:f>IFERROR(IF(ISNUMBER($A223),IF(AND(AH!$P$10=1,AH!$P$12=1,$A223=TODAY()),IF(AND(AH!$P$10=1,AH!$P$12=1,$A223=TODAY()),TODAY(),NA()),IF(AH!$P$10=1,INDEX('Live History'!$D$5:$D$3004,MATCH($A223,'Live History'!$D$5:$D$3004,1)),INDEX('AH History'!$E$1:$E$18046,AH!$P$7+218))),NA()),NA())</ns0:f>
        <ns0:v/>
      </ns0:c>
      <ns0:c r="G223">
        <ns0:f>IFERROR(IF(ISNUMBER($A223),IF(AND(AH!$P$10=1,AH!$P$12=1,$A223=TODAY()),IF(AND(AH!$P$10=1,AH!$P$12=1,$A223=TODAY()),TODAY(),NA()),IF(AH!$P$10=1,INDEX('Live History'!$G$5:$G$3004,MATCH($A223,'Live History'!$G$5:$G$3004,1)),INDEX('AH History'!$F$1:$F$18046,AH!$P$7+218))),NA()),NA())</ns0:f>
        <ns0:v/>
      </ns0:c>
      <ns0:c r="H223">
        <ns0:f>IFERROR(IF(AND(AH!$E$4="Bloomberg",AH!$P$10=1,ISNUMBER($A223),$A223&lt;=AH!$P$17),AH!$P$7-1+MATCH($A223,INDEX('AH History'!$A$1:$A$18046,AH!$P$7):INDEX('AH History'!$A$1:$A$18046,AH!$P$7+AH!$P$8-1),0),0),0)</ns0:f>
        <ns0:v/>
      </ns0:c>
      <ns0:c r="I223">
        <ns0:f>IF($H223=0,0,IFERROR(IF(AND(ABS($C223-INDEX('AH History'!$B$1:$B$18046,$H223))&lt;=MAX(0.005,ABS(INDEX('AH History'!$B$1:$B$18046,$H223))*0.00005),ABS($D223-INDEX('AH History'!$C$1:$C$18046,$H223))&lt;=MAX(0.005,ABS(INDEX('AH History'!$C$1:$C$18046,$H223))*0.00005),ABS($E223-INDEX('AH History'!$D$1:$D$18046,$H223))&lt;=0.00005,$F223=INDEX('AH History'!$E$1:$E$18046,$H223),$G223=INDEX('AH History'!$F$1:$F$18046,$H223)),1,-1),-1))</ns0:f>
        <ns0:v/>
      </ns0:c>
    </ns0:row>
    <ns0:row r="224">
      <ns0:c r="A224" s="215">
        <ns0:f>IF(OR(AH!$P$3=0,219+1&gt;AH!$P$11,AND(AH!$E$4&lt;&gt;"Stored",AH!$P$10&lt;&gt;1)),"",IFERROR(IF(AND(AH!$P$21=1,219+1=AH!$P$11),TODAY(),IF(AH!$P$10=1,INDEX('Live History'!$A$5:$A$3004,AH!$P$13+219),INDEX('AH History'!$A$1:$A$18046,AH!$P$7+219))),""))</ns0:f>
        <ns0:v/>
      </ns0:c>
      <ns0:c r="B224" s="219">
        <ns0:f>IFERROR(IF(AND(AH!$P$9&lt;&gt;1,$C224&gt;0,$D224&gt;0,$E224&gt;0,$F224&gt;0,$G224&gt;0,$F224&lt;=$A224,$G224&lt;=$A224,$A224-$F224&lt;=10,$A224-$G224&lt;=5),$D224*$E224/$C224-1,NA()),NA())</ns0:f>
        <ns0:v/>
      </ns0:c>
      <ns0:c r="C224">
        <ns0:f>IFERROR(IF(ISNUMBER($A224),IF(AND(AH!$P$10=1,AH!$P$12=1,$A224=TODAY()),AH!$P$19,IF(AH!$P$10=1,INDEX('Live History'!$B$5:$B$3004,AH!$P$13+219),INDEX('AH History'!$B$1:$B$18046,AH!$P$7+219))),NA()),NA())</ns0:f>
        <ns0:v/>
      </ns0:c>
      <ns0:c r="D224">
        <ns0:f>IFERROR(IF(ISNUMBER($A224),IF(AND(AH!$P$10=1,AH!$P$12=1,$A224=TODAY()),AH!$P$18,IF(AH!$P$10=1,INDEX('Live History'!$E$5:$E$3004,MATCH($A224,'Live History'!$D$5:$D$3004,1)),INDEX('AH History'!$C$1:$C$18046,AH!$P$7+219))),NA()),NA())</ns0:f>
        <ns0:v/>
      </ns0:c>
      <ns0:c r="E224">
        <ns0:f>IFERROR(IF(ISNUMBER($A224),IF(AND(AH!$P$10=1,AH!$P$12=1,$A224=TODAY()),AH!$P$20,IF(AH!$P$10=1,INDEX('Live History'!$H$5:$H$3004,MATCH($A224,'Live History'!$G$5:$G$3004,1)),INDEX('AH History'!$D$1:$D$18046,AH!$P$7+219))),NA()),NA())</ns0:f>
        <ns0:v/>
      </ns0:c>
      <ns0:c r="F224">
        <ns0:f>IFERROR(IF(ISNUMBER($A224),IF(AND(AH!$P$10=1,AH!$P$12=1,$A224=TODAY()),IF(AND(AH!$P$10=1,AH!$P$12=1,$A224=TODAY()),TODAY(),NA()),IF(AH!$P$10=1,INDEX('Live History'!$D$5:$D$3004,MATCH($A224,'Live History'!$D$5:$D$3004,1)),INDEX('AH History'!$E$1:$E$18046,AH!$P$7+219))),NA()),NA())</ns0:f>
        <ns0:v/>
      </ns0:c>
      <ns0:c r="G224">
        <ns0:f>IFERROR(IF(ISNUMBER($A224),IF(AND(AH!$P$10=1,AH!$P$12=1,$A224=TODAY()),IF(AND(AH!$P$10=1,AH!$P$12=1,$A224=TODAY()),TODAY(),NA()),IF(AH!$P$10=1,INDEX('Live History'!$G$5:$G$3004,MATCH($A224,'Live History'!$G$5:$G$3004,1)),INDEX('AH History'!$F$1:$F$18046,AH!$P$7+219))),NA()),NA())</ns0:f>
        <ns0:v/>
      </ns0:c>
      <ns0:c r="H224">
        <ns0:f>IFERROR(IF(AND(AH!$E$4="Bloomberg",AH!$P$10=1,ISNUMBER($A224),$A224&lt;=AH!$P$17),AH!$P$7-1+MATCH($A224,INDEX('AH History'!$A$1:$A$18046,AH!$P$7):INDEX('AH History'!$A$1:$A$18046,AH!$P$7+AH!$P$8-1),0),0),0)</ns0:f>
        <ns0:v/>
      </ns0:c>
      <ns0:c r="I224">
        <ns0:f>IF($H224=0,0,IFERROR(IF(AND(ABS($C224-INDEX('AH History'!$B$1:$B$18046,$H224))&lt;=MAX(0.005,ABS(INDEX('AH History'!$B$1:$B$18046,$H224))*0.00005),ABS($D224-INDEX('AH History'!$C$1:$C$18046,$H224))&lt;=MAX(0.005,ABS(INDEX('AH History'!$C$1:$C$18046,$H224))*0.00005),ABS($E224-INDEX('AH History'!$D$1:$D$18046,$H224))&lt;=0.00005,$F224=INDEX('AH History'!$E$1:$E$18046,$H224),$G224=INDEX('AH History'!$F$1:$F$18046,$H224)),1,-1),-1))</ns0:f>
        <ns0:v/>
      </ns0:c>
    </ns0:row>
    <ns0:row r="225">
      <ns0:c r="A225" s="215">
        <ns0:f>IF(OR(AH!$P$3=0,220+1&gt;AH!$P$11,AND(AH!$E$4&lt;&gt;"Stored",AH!$P$10&lt;&gt;1)),"",IFERROR(IF(AND(AH!$P$21=1,220+1=AH!$P$11),TODAY(),IF(AH!$P$10=1,INDEX('Live History'!$A$5:$A$3004,AH!$P$13+220),INDEX('AH History'!$A$1:$A$18046,AH!$P$7+220))),""))</ns0:f>
        <ns0:v/>
      </ns0:c>
      <ns0:c r="B225" s="219">
        <ns0:f>IFERROR(IF(AND(AH!$P$9&lt;&gt;1,$C225&gt;0,$D225&gt;0,$E225&gt;0,$F225&gt;0,$G225&gt;0,$F225&lt;=$A225,$G225&lt;=$A225,$A225-$F225&lt;=10,$A225-$G225&lt;=5),$D225*$E225/$C225-1,NA()),NA())</ns0:f>
        <ns0:v/>
      </ns0:c>
      <ns0:c r="C225">
        <ns0:f>IFERROR(IF(ISNUMBER($A225),IF(AND(AH!$P$10=1,AH!$P$12=1,$A225=TODAY()),AH!$P$19,IF(AH!$P$10=1,INDEX('Live History'!$B$5:$B$3004,AH!$P$13+220),INDEX('AH History'!$B$1:$B$18046,AH!$P$7+220))),NA()),NA())</ns0:f>
        <ns0:v/>
      </ns0:c>
      <ns0:c r="D225">
        <ns0:f>IFERROR(IF(ISNUMBER($A225),IF(AND(AH!$P$10=1,AH!$P$12=1,$A225=TODAY()),AH!$P$18,IF(AH!$P$10=1,INDEX('Live History'!$E$5:$E$3004,MATCH($A225,'Live History'!$D$5:$D$3004,1)),INDEX('AH History'!$C$1:$C$18046,AH!$P$7+220))),NA()),NA())</ns0:f>
        <ns0:v/>
      </ns0:c>
      <ns0:c r="E225">
        <ns0:f>IFERROR(IF(ISNUMBER($A225),IF(AND(AH!$P$10=1,AH!$P$12=1,$A225=TODAY()),AH!$P$20,IF(AH!$P$10=1,INDEX('Live History'!$H$5:$H$3004,MATCH($A225,'Live History'!$G$5:$G$3004,1)),INDEX('AH History'!$D$1:$D$18046,AH!$P$7+220))),NA()),NA())</ns0:f>
        <ns0:v/>
      </ns0:c>
      <ns0:c r="F225">
        <ns0:f>IFERROR(IF(ISNUMBER($A225),IF(AND(AH!$P$10=1,AH!$P$12=1,$A225=TODAY()),IF(AND(AH!$P$10=1,AH!$P$12=1,$A225=TODAY()),TODAY(),NA()),IF(AH!$P$10=1,INDEX('Live History'!$D$5:$D$3004,MATCH($A225,'Live History'!$D$5:$D$3004,1)),INDEX('AH History'!$E$1:$E$18046,AH!$P$7+220))),NA()),NA())</ns0:f>
        <ns0:v/>
      </ns0:c>
      <ns0:c r="G225">
        <ns0:f>IFERROR(IF(ISNUMBER($A225),IF(AND(AH!$P$10=1,AH!$P$12=1,$A225=TODAY()),IF(AND(AH!$P$10=1,AH!$P$12=1,$A225=TODAY()),TODAY(),NA()),IF(AH!$P$10=1,INDEX('Live History'!$G$5:$G$3004,MATCH($A225,'Live History'!$G$5:$G$3004,1)),INDEX('AH History'!$F$1:$F$18046,AH!$P$7+220))),NA()),NA())</ns0:f>
        <ns0:v/>
      </ns0:c>
      <ns0:c r="H225">
        <ns0:f>IFERROR(IF(AND(AH!$E$4="Bloomberg",AH!$P$10=1,ISNUMBER($A225),$A225&lt;=AH!$P$17),AH!$P$7-1+MATCH($A225,INDEX('AH History'!$A$1:$A$18046,AH!$P$7):INDEX('AH History'!$A$1:$A$18046,AH!$P$7+AH!$P$8-1),0),0),0)</ns0:f>
        <ns0:v/>
      </ns0:c>
      <ns0:c r="I225">
        <ns0:f>IF($H225=0,0,IFERROR(IF(AND(ABS($C225-INDEX('AH History'!$B$1:$B$18046,$H225))&lt;=MAX(0.005,ABS(INDEX('AH History'!$B$1:$B$18046,$H225))*0.00005),ABS($D225-INDEX('AH History'!$C$1:$C$18046,$H225))&lt;=MAX(0.005,ABS(INDEX('AH History'!$C$1:$C$18046,$H225))*0.00005),ABS($E225-INDEX('AH History'!$D$1:$D$18046,$H225))&lt;=0.00005,$F225=INDEX('AH History'!$E$1:$E$18046,$H225),$G225=INDEX('AH History'!$F$1:$F$18046,$H225)),1,-1),-1))</ns0:f>
        <ns0:v/>
      </ns0:c>
    </ns0:row>
    <ns0:row r="226">
      <ns0:c r="A226" s="215">
        <ns0:f>IF(OR(AH!$P$3=0,221+1&gt;AH!$P$11,AND(AH!$E$4&lt;&gt;"Stored",AH!$P$10&lt;&gt;1)),"",IFERROR(IF(AND(AH!$P$21=1,221+1=AH!$P$11),TODAY(),IF(AH!$P$10=1,INDEX('Live History'!$A$5:$A$3004,AH!$P$13+221),INDEX('AH History'!$A$1:$A$18046,AH!$P$7+221))),""))</ns0:f>
        <ns0:v/>
      </ns0:c>
      <ns0:c r="B226" s="219">
        <ns0:f>IFERROR(IF(AND(AH!$P$9&lt;&gt;1,$C226&gt;0,$D226&gt;0,$E226&gt;0,$F226&gt;0,$G226&gt;0,$F226&lt;=$A226,$G226&lt;=$A226,$A226-$F226&lt;=10,$A226-$G226&lt;=5),$D226*$E226/$C226-1,NA()),NA())</ns0:f>
        <ns0:v/>
      </ns0:c>
      <ns0:c r="C226">
        <ns0:f>IFERROR(IF(ISNUMBER($A226),IF(AND(AH!$P$10=1,AH!$P$12=1,$A226=TODAY()),AH!$P$19,IF(AH!$P$10=1,INDEX('Live History'!$B$5:$B$3004,AH!$P$13+221),INDEX('AH History'!$B$1:$B$18046,AH!$P$7+221))),NA()),NA())</ns0:f>
        <ns0:v/>
      </ns0:c>
      <ns0:c r="D226">
        <ns0:f>IFERROR(IF(ISNUMBER($A226),IF(AND(AH!$P$10=1,AH!$P$12=1,$A226=TODAY()),AH!$P$18,IF(AH!$P$10=1,INDEX('Live History'!$E$5:$E$3004,MATCH($A226,'Live History'!$D$5:$D$3004,1)),INDEX('AH History'!$C$1:$C$18046,AH!$P$7+221))),NA()),NA())</ns0:f>
        <ns0:v/>
      </ns0:c>
      <ns0:c r="E226">
        <ns0:f>IFERROR(IF(ISNUMBER($A226),IF(AND(AH!$P$10=1,AH!$P$12=1,$A226=TODAY()),AH!$P$20,IF(AH!$P$10=1,INDEX('Live History'!$H$5:$H$3004,MATCH($A226,'Live History'!$G$5:$G$3004,1)),INDEX('AH History'!$D$1:$D$18046,AH!$P$7+221))),NA()),NA())</ns0:f>
        <ns0:v/>
      </ns0:c>
      <ns0:c r="F226">
        <ns0:f>IFERROR(IF(ISNUMBER($A226),IF(AND(AH!$P$10=1,AH!$P$12=1,$A226=TODAY()),IF(AND(AH!$P$10=1,AH!$P$12=1,$A226=TODAY()),TODAY(),NA()),IF(AH!$P$10=1,INDEX('Live History'!$D$5:$D$3004,MATCH($A226,'Live History'!$D$5:$D$3004,1)),INDEX('AH History'!$E$1:$E$18046,AH!$P$7+221))),NA()),NA())</ns0:f>
        <ns0:v/>
      </ns0:c>
      <ns0:c r="G226">
        <ns0:f>IFERROR(IF(ISNUMBER($A226),IF(AND(AH!$P$10=1,AH!$P$12=1,$A226=TODAY()),IF(AND(AH!$P$10=1,AH!$P$12=1,$A226=TODAY()),TODAY(),NA()),IF(AH!$P$10=1,INDEX('Live History'!$G$5:$G$3004,MATCH($A226,'Live History'!$G$5:$G$3004,1)),INDEX('AH History'!$F$1:$F$18046,AH!$P$7+221))),NA()),NA())</ns0:f>
        <ns0:v/>
      </ns0:c>
      <ns0:c r="H226">
        <ns0:f>IFERROR(IF(AND(AH!$E$4="Bloomberg",AH!$P$10=1,ISNUMBER($A226),$A226&lt;=AH!$P$17),AH!$P$7-1+MATCH($A226,INDEX('AH History'!$A$1:$A$18046,AH!$P$7):INDEX('AH History'!$A$1:$A$18046,AH!$P$7+AH!$P$8-1),0),0),0)</ns0:f>
        <ns0:v/>
      </ns0:c>
      <ns0:c r="I226">
        <ns0:f>IF($H226=0,0,IFERROR(IF(AND(ABS($C226-INDEX('AH History'!$B$1:$B$18046,$H226))&lt;=MAX(0.005,ABS(INDEX('AH History'!$B$1:$B$18046,$H226))*0.00005),ABS($D226-INDEX('AH History'!$C$1:$C$18046,$H226))&lt;=MAX(0.005,ABS(INDEX('AH History'!$C$1:$C$18046,$H226))*0.00005),ABS($E226-INDEX('AH History'!$D$1:$D$18046,$H226))&lt;=0.00005,$F226=INDEX('AH History'!$E$1:$E$18046,$H226),$G226=INDEX('AH History'!$F$1:$F$18046,$H226)),1,-1),-1))</ns0:f>
        <ns0:v/>
      </ns0:c>
    </ns0:row>
    <ns0:row r="227">
      <ns0:c r="A227" s="215">
        <ns0:f>IF(OR(AH!$P$3=0,222+1&gt;AH!$P$11,AND(AH!$E$4&lt;&gt;"Stored",AH!$P$10&lt;&gt;1)),"",IFERROR(IF(AND(AH!$P$21=1,222+1=AH!$P$11),TODAY(),IF(AH!$P$10=1,INDEX('Live History'!$A$5:$A$3004,AH!$P$13+222),INDEX('AH History'!$A$1:$A$18046,AH!$P$7+222))),""))</ns0:f>
        <ns0:v/>
      </ns0:c>
      <ns0:c r="B227" s="219">
        <ns0:f>IFERROR(IF(AND(AH!$P$9&lt;&gt;1,$C227&gt;0,$D227&gt;0,$E227&gt;0,$F227&gt;0,$G227&gt;0,$F227&lt;=$A227,$G227&lt;=$A227,$A227-$F227&lt;=10,$A227-$G227&lt;=5),$D227*$E227/$C227-1,NA()),NA())</ns0:f>
        <ns0:v/>
      </ns0:c>
      <ns0:c r="C227">
        <ns0:f>IFERROR(IF(ISNUMBER($A227),IF(AND(AH!$P$10=1,AH!$P$12=1,$A227=TODAY()),AH!$P$19,IF(AH!$P$10=1,INDEX('Live History'!$B$5:$B$3004,AH!$P$13+222),INDEX('AH History'!$B$1:$B$18046,AH!$P$7+222))),NA()),NA())</ns0:f>
        <ns0:v/>
      </ns0:c>
      <ns0:c r="D227">
        <ns0:f>IFERROR(IF(ISNUMBER($A227),IF(AND(AH!$P$10=1,AH!$P$12=1,$A227=TODAY()),AH!$P$18,IF(AH!$P$10=1,INDEX('Live History'!$E$5:$E$3004,MATCH($A227,'Live History'!$D$5:$D$3004,1)),INDEX('AH History'!$C$1:$C$18046,AH!$P$7+222))),NA()),NA())</ns0:f>
        <ns0:v/>
      </ns0:c>
      <ns0:c r="E227">
        <ns0:f>IFERROR(IF(ISNUMBER($A227),IF(AND(AH!$P$10=1,AH!$P$12=1,$A227=TODAY()),AH!$P$20,IF(AH!$P$10=1,INDEX('Live History'!$H$5:$H$3004,MATCH($A227,'Live History'!$G$5:$G$3004,1)),INDEX('AH History'!$D$1:$D$18046,AH!$P$7+222))),NA()),NA())</ns0:f>
        <ns0:v/>
      </ns0:c>
      <ns0:c r="F227">
        <ns0:f>IFERROR(IF(ISNUMBER($A227),IF(AND(AH!$P$10=1,AH!$P$12=1,$A227=TODAY()),IF(AND(AH!$P$10=1,AH!$P$12=1,$A227=TODAY()),TODAY(),NA()),IF(AH!$P$10=1,INDEX('Live History'!$D$5:$D$3004,MATCH($A227,'Live History'!$D$5:$D$3004,1)),INDEX('AH History'!$E$1:$E$18046,AH!$P$7+222))),NA()),NA())</ns0:f>
        <ns0:v/>
      </ns0:c>
      <ns0:c r="G227">
        <ns0:f>IFERROR(IF(ISNUMBER($A227),IF(AND(AH!$P$10=1,AH!$P$12=1,$A227=TODAY()),IF(AND(AH!$P$10=1,AH!$P$12=1,$A227=TODAY()),TODAY(),NA()),IF(AH!$P$10=1,INDEX('Live History'!$G$5:$G$3004,MATCH($A227,'Live History'!$G$5:$G$3004,1)),INDEX('AH History'!$F$1:$F$18046,AH!$P$7+222))),NA()),NA())</ns0:f>
        <ns0:v/>
      </ns0:c>
      <ns0:c r="H227">
        <ns0:f>IFERROR(IF(AND(AH!$E$4="Bloomberg",AH!$P$10=1,ISNUMBER($A227),$A227&lt;=AH!$P$17),AH!$P$7-1+MATCH($A227,INDEX('AH History'!$A$1:$A$18046,AH!$P$7):INDEX('AH History'!$A$1:$A$18046,AH!$P$7+AH!$P$8-1),0),0),0)</ns0:f>
        <ns0:v/>
      </ns0:c>
      <ns0:c r="I227">
        <ns0:f>IF($H227=0,0,IFERROR(IF(AND(ABS($C227-INDEX('AH History'!$B$1:$B$18046,$H227))&lt;=MAX(0.005,ABS(INDEX('AH History'!$B$1:$B$18046,$H227))*0.00005),ABS($D227-INDEX('AH History'!$C$1:$C$18046,$H227))&lt;=MAX(0.005,ABS(INDEX('AH History'!$C$1:$C$18046,$H227))*0.00005),ABS($E227-INDEX('AH History'!$D$1:$D$18046,$H227))&lt;=0.00005,$F227=INDEX('AH History'!$E$1:$E$18046,$H227),$G227=INDEX('AH History'!$F$1:$F$18046,$H227)),1,-1),-1))</ns0:f>
        <ns0:v/>
      </ns0:c>
    </ns0:row>
    <ns0:row r="228">
      <ns0:c r="A228" s="215">
        <ns0:f>IF(OR(AH!$P$3=0,223+1&gt;AH!$P$11,AND(AH!$E$4&lt;&gt;"Stored",AH!$P$10&lt;&gt;1)),"",IFERROR(IF(AND(AH!$P$21=1,223+1=AH!$P$11),TODAY(),IF(AH!$P$10=1,INDEX('Live History'!$A$5:$A$3004,AH!$P$13+223),INDEX('AH History'!$A$1:$A$18046,AH!$P$7+223))),""))</ns0:f>
        <ns0:v/>
      </ns0:c>
      <ns0:c r="B228" s="219">
        <ns0:f>IFERROR(IF(AND(AH!$P$9&lt;&gt;1,$C228&gt;0,$D228&gt;0,$E228&gt;0,$F228&gt;0,$G228&gt;0,$F228&lt;=$A228,$G228&lt;=$A228,$A228-$F228&lt;=10,$A228-$G228&lt;=5),$D228*$E228/$C228-1,NA()),NA())</ns0:f>
        <ns0:v/>
      </ns0:c>
      <ns0:c r="C228">
        <ns0:f>IFERROR(IF(ISNUMBER($A228),IF(AND(AH!$P$10=1,AH!$P$12=1,$A228=TODAY()),AH!$P$19,IF(AH!$P$10=1,INDEX('Live History'!$B$5:$B$3004,AH!$P$13+223),INDEX('AH History'!$B$1:$B$18046,AH!$P$7+223))),NA()),NA())</ns0:f>
        <ns0:v/>
      </ns0:c>
      <ns0:c r="D228">
        <ns0:f>IFERROR(IF(ISNUMBER($A228),IF(AND(AH!$P$10=1,AH!$P$12=1,$A228=TODAY()),AH!$P$18,IF(AH!$P$10=1,INDEX('Live History'!$E$5:$E$3004,MATCH($A228,'Live History'!$D$5:$D$3004,1)),INDEX('AH History'!$C$1:$C$18046,AH!$P$7+223))),NA()),NA())</ns0:f>
        <ns0:v/>
      </ns0:c>
      <ns0:c r="E228">
        <ns0:f>IFERROR(IF(ISNUMBER($A228),IF(AND(AH!$P$10=1,AH!$P$12=1,$A228=TODAY()),AH!$P$20,IF(AH!$P$10=1,INDEX('Live History'!$H$5:$H$3004,MATCH($A228,'Live History'!$G$5:$G$3004,1)),INDEX('AH History'!$D$1:$D$18046,AH!$P$7+223))),NA()),NA())</ns0:f>
        <ns0:v/>
      </ns0:c>
      <ns0:c r="F228">
        <ns0:f>IFERROR(IF(ISNUMBER($A228),IF(AND(AH!$P$10=1,AH!$P$12=1,$A228=TODAY()),IF(AND(AH!$P$10=1,AH!$P$12=1,$A228=TODAY()),TODAY(),NA()),IF(AH!$P$10=1,INDEX('Live History'!$D$5:$D$3004,MATCH($A228,'Live History'!$D$5:$D$3004,1)),INDEX('AH History'!$E$1:$E$18046,AH!$P$7+223))),NA()),NA())</ns0:f>
        <ns0:v/>
      </ns0:c>
      <ns0:c r="G228">
        <ns0:f>IFERROR(IF(ISNUMBER($A228),IF(AND(AH!$P$10=1,AH!$P$12=1,$A228=TODAY()),IF(AND(AH!$P$10=1,AH!$P$12=1,$A228=TODAY()),TODAY(),NA()),IF(AH!$P$10=1,INDEX('Live History'!$G$5:$G$3004,MATCH($A228,'Live History'!$G$5:$G$3004,1)),INDEX('AH History'!$F$1:$F$18046,AH!$P$7+223))),NA()),NA())</ns0:f>
        <ns0:v/>
      </ns0:c>
      <ns0:c r="H228">
        <ns0:f>IFERROR(IF(AND(AH!$E$4="Bloomberg",AH!$P$10=1,ISNUMBER($A228),$A228&lt;=AH!$P$17),AH!$P$7-1+MATCH($A228,INDEX('AH History'!$A$1:$A$18046,AH!$P$7):INDEX('AH History'!$A$1:$A$18046,AH!$P$7+AH!$P$8-1),0),0),0)</ns0:f>
        <ns0:v/>
      </ns0:c>
      <ns0:c r="I228">
        <ns0:f>IF($H228=0,0,IFERROR(IF(AND(ABS($C228-INDEX('AH History'!$B$1:$B$18046,$H228))&lt;=MAX(0.005,ABS(INDEX('AH History'!$B$1:$B$18046,$H228))*0.00005),ABS($D228-INDEX('AH History'!$C$1:$C$18046,$H228))&lt;=MAX(0.005,ABS(INDEX('AH History'!$C$1:$C$18046,$H228))*0.00005),ABS($E228-INDEX('AH History'!$D$1:$D$18046,$H228))&lt;=0.00005,$F228=INDEX('AH History'!$E$1:$E$18046,$H228),$G228=INDEX('AH History'!$F$1:$F$18046,$H228)),1,-1),-1))</ns0:f>
        <ns0:v/>
      </ns0:c>
    </ns0:row>
    <ns0:row r="229">
      <ns0:c r="A229" s="215">
        <ns0:f>IF(OR(AH!$P$3=0,224+1&gt;AH!$P$11,AND(AH!$E$4&lt;&gt;"Stored",AH!$P$10&lt;&gt;1)),"",IFERROR(IF(AND(AH!$P$21=1,224+1=AH!$P$11),TODAY(),IF(AH!$P$10=1,INDEX('Live History'!$A$5:$A$3004,AH!$P$13+224),INDEX('AH History'!$A$1:$A$18046,AH!$P$7+224))),""))</ns0:f>
        <ns0:v/>
      </ns0:c>
      <ns0:c r="B229" s="219">
        <ns0:f>IFERROR(IF(AND(AH!$P$9&lt;&gt;1,$C229&gt;0,$D229&gt;0,$E229&gt;0,$F229&gt;0,$G229&gt;0,$F229&lt;=$A229,$G229&lt;=$A229,$A229-$F229&lt;=10,$A229-$G229&lt;=5),$D229*$E229/$C229-1,NA()),NA())</ns0:f>
        <ns0:v/>
      </ns0:c>
      <ns0:c r="C229">
        <ns0:f>IFERROR(IF(ISNUMBER($A229),IF(AND(AH!$P$10=1,AH!$P$12=1,$A229=TODAY()),AH!$P$19,IF(AH!$P$10=1,INDEX('Live History'!$B$5:$B$3004,AH!$P$13+224),INDEX('AH History'!$B$1:$B$18046,AH!$P$7+224))),NA()),NA())</ns0:f>
        <ns0:v/>
      </ns0:c>
      <ns0:c r="D229">
        <ns0:f>IFERROR(IF(ISNUMBER($A229),IF(AND(AH!$P$10=1,AH!$P$12=1,$A229=TODAY()),AH!$P$18,IF(AH!$P$10=1,INDEX('Live History'!$E$5:$E$3004,MATCH($A229,'Live History'!$D$5:$D$3004,1)),INDEX('AH History'!$C$1:$C$18046,AH!$P$7+224))),NA()),NA())</ns0:f>
        <ns0:v/>
      </ns0:c>
      <ns0:c r="E229">
        <ns0:f>IFERROR(IF(ISNUMBER($A229),IF(AND(AH!$P$10=1,AH!$P$12=1,$A229=TODAY()),AH!$P$20,IF(AH!$P$10=1,INDEX('Live History'!$H$5:$H$3004,MATCH($A229,'Live History'!$G$5:$G$3004,1)),INDEX('AH History'!$D$1:$D$18046,AH!$P$7+224))),NA()),NA())</ns0:f>
        <ns0:v/>
      </ns0:c>
      <ns0:c r="F229">
        <ns0:f>IFERROR(IF(ISNUMBER($A229),IF(AND(AH!$P$10=1,AH!$P$12=1,$A229=TODAY()),IF(AND(AH!$P$10=1,AH!$P$12=1,$A229=TODAY()),TODAY(),NA()),IF(AH!$P$10=1,INDEX('Live History'!$D$5:$D$3004,MATCH($A229,'Live History'!$D$5:$D$3004,1)),INDEX('AH History'!$E$1:$E$18046,AH!$P$7+224))),NA()),NA())</ns0:f>
        <ns0:v/>
      </ns0:c>
      <ns0:c r="G229">
        <ns0:f>IFERROR(IF(ISNUMBER($A229),IF(AND(AH!$P$10=1,AH!$P$12=1,$A229=TODAY()),IF(AND(AH!$P$10=1,AH!$P$12=1,$A229=TODAY()),TODAY(),NA()),IF(AH!$P$10=1,INDEX('Live History'!$G$5:$G$3004,MATCH($A229,'Live History'!$G$5:$G$3004,1)),INDEX('AH History'!$F$1:$F$18046,AH!$P$7+224))),NA()),NA())</ns0:f>
        <ns0:v/>
      </ns0:c>
      <ns0:c r="H229">
        <ns0:f>IFERROR(IF(AND(AH!$E$4="Bloomberg",AH!$P$10=1,ISNUMBER($A229),$A229&lt;=AH!$P$17),AH!$P$7-1+MATCH($A229,INDEX('AH History'!$A$1:$A$18046,AH!$P$7):INDEX('AH History'!$A$1:$A$18046,AH!$P$7+AH!$P$8-1),0),0),0)</ns0:f>
        <ns0:v/>
      </ns0:c>
      <ns0:c r="I229">
        <ns0:f>IF($H229=0,0,IFERROR(IF(AND(ABS($C229-INDEX('AH History'!$B$1:$B$18046,$H229))&lt;=MAX(0.005,ABS(INDEX('AH History'!$B$1:$B$18046,$H229))*0.00005),ABS($D229-INDEX('AH History'!$C$1:$C$18046,$H229))&lt;=MAX(0.005,ABS(INDEX('AH History'!$C$1:$C$18046,$H229))*0.00005),ABS($E229-INDEX('AH History'!$D$1:$D$18046,$H229))&lt;=0.00005,$F229=INDEX('AH History'!$E$1:$E$18046,$H229),$G229=INDEX('AH History'!$F$1:$F$18046,$H229)),1,-1),-1))</ns0:f>
        <ns0:v/>
      </ns0:c>
    </ns0:row>
    <ns0:row r="230">
      <ns0:c r="A230" s="215">
        <ns0:f>IF(OR(AH!$P$3=0,225+1&gt;AH!$P$11,AND(AH!$E$4&lt;&gt;"Stored",AH!$P$10&lt;&gt;1)),"",IFERROR(IF(AND(AH!$P$21=1,225+1=AH!$P$11),TODAY(),IF(AH!$P$10=1,INDEX('Live History'!$A$5:$A$3004,AH!$P$13+225),INDEX('AH History'!$A$1:$A$18046,AH!$P$7+225))),""))</ns0:f>
        <ns0:v/>
      </ns0:c>
      <ns0:c r="B230" s="219">
        <ns0:f>IFERROR(IF(AND(AH!$P$9&lt;&gt;1,$C230&gt;0,$D230&gt;0,$E230&gt;0,$F230&gt;0,$G230&gt;0,$F230&lt;=$A230,$G230&lt;=$A230,$A230-$F230&lt;=10,$A230-$G230&lt;=5),$D230*$E230/$C230-1,NA()),NA())</ns0:f>
        <ns0:v/>
      </ns0:c>
      <ns0:c r="C230">
        <ns0:f>IFERROR(IF(ISNUMBER($A230),IF(AND(AH!$P$10=1,AH!$P$12=1,$A230=TODAY()),AH!$P$19,IF(AH!$P$10=1,INDEX('Live History'!$B$5:$B$3004,AH!$P$13+225),INDEX('AH History'!$B$1:$B$18046,AH!$P$7+225))),NA()),NA())</ns0:f>
        <ns0:v/>
      </ns0:c>
      <ns0:c r="D230">
        <ns0:f>IFERROR(IF(ISNUMBER($A230),IF(AND(AH!$P$10=1,AH!$P$12=1,$A230=TODAY()),AH!$P$18,IF(AH!$P$10=1,INDEX('Live History'!$E$5:$E$3004,MATCH($A230,'Live History'!$D$5:$D$3004,1)),INDEX('AH History'!$C$1:$C$18046,AH!$P$7+225))),NA()),NA())</ns0:f>
        <ns0:v/>
      </ns0:c>
      <ns0:c r="E230">
        <ns0:f>IFERROR(IF(ISNUMBER($A230),IF(AND(AH!$P$10=1,AH!$P$12=1,$A230=TODAY()),AH!$P$20,IF(AH!$P$10=1,INDEX('Live History'!$H$5:$H$3004,MATCH($A230,'Live History'!$G$5:$G$3004,1)),INDEX('AH History'!$D$1:$D$18046,AH!$P$7+225))),NA()),NA())</ns0:f>
        <ns0:v/>
      </ns0:c>
      <ns0:c r="F230">
        <ns0:f>IFERROR(IF(ISNUMBER($A230),IF(AND(AH!$P$10=1,AH!$P$12=1,$A230=TODAY()),IF(AND(AH!$P$10=1,AH!$P$12=1,$A230=TODAY()),TODAY(),NA()),IF(AH!$P$10=1,INDEX('Live History'!$D$5:$D$3004,MATCH($A230,'Live History'!$D$5:$D$3004,1)),INDEX('AH History'!$E$1:$E$18046,AH!$P$7+225))),NA()),NA())</ns0:f>
        <ns0:v/>
      </ns0:c>
      <ns0:c r="G230">
        <ns0:f>IFERROR(IF(ISNUMBER($A230),IF(AND(AH!$P$10=1,AH!$P$12=1,$A230=TODAY()),IF(AND(AH!$P$10=1,AH!$P$12=1,$A230=TODAY()),TODAY(),NA()),IF(AH!$P$10=1,INDEX('Live History'!$G$5:$G$3004,MATCH($A230,'Live History'!$G$5:$G$3004,1)),INDEX('AH History'!$F$1:$F$18046,AH!$P$7+225))),NA()),NA())</ns0:f>
        <ns0:v/>
      </ns0:c>
      <ns0:c r="H230">
        <ns0:f>IFERROR(IF(AND(AH!$E$4="Bloomberg",AH!$P$10=1,ISNUMBER($A230),$A230&lt;=AH!$P$17),AH!$P$7-1+MATCH($A230,INDEX('AH History'!$A$1:$A$18046,AH!$P$7):INDEX('AH History'!$A$1:$A$18046,AH!$P$7+AH!$P$8-1),0),0),0)</ns0:f>
        <ns0:v/>
      </ns0:c>
      <ns0:c r="I230">
        <ns0:f>IF($H230=0,0,IFERROR(IF(AND(ABS($C230-INDEX('AH History'!$B$1:$B$18046,$H230))&lt;=MAX(0.005,ABS(INDEX('AH History'!$B$1:$B$18046,$H230))*0.00005),ABS($D230-INDEX('AH History'!$C$1:$C$18046,$H230))&lt;=MAX(0.005,ABS(INDEX('AH History'!$C$1:$C$18046,$H230))*0.00005),ABS($E230-INDEX('AH History'!$D$1:$D$18046,$H230))&lt;=0.00005,$F230=INDEX('AH History'!$E$1:$E$18046,$H230),$G230=INDEX('AH History'!$F$1:$F$18046,$H230)),1,-1),-1))</ns0:f>
        <ns0:v/>
      </ns0:c>
    </ns0:row>
    <ns0:row r="231">
      <ns0:c r="A231" s="215">
        <ns0:f>IF(OR(AH!$P$3=0,226+1&gt;AH!$P$11,AND(AH!$E$4&lt;&gt;"Stored",AH!$P$10&lt;&gt;1)),"",IFERROR(IF(AND(AH!$P$21=1,226+1=AH!$P$11),TODAY(),IF(AH!$P$10=1,INDEX('Live History'!$A$5:$A$3004,AH!$P$13+226),INDEX('AH History'!$A$1:$A$18046,AH!$P$7+226))),""))</ns0:f>
        <ns0:v/>
      </ns0:c>
      <ns0:c r="B231" s="219">
        <ns0:f>IFERROR(IF(AND(AH!$P$9&lt;&gt;1,$C231&gt;0,$D231&gt;0,$E231&gt;0,$F231&gt;0,$G231&gt;0,$F231&lt;=$A231,$G231&lt;=$A231,$A231-$F231&lt;=10,$A231-$G231&lt;=5),$D231*$E231/$C231-1,NA()),NA())</ns0:f>
        <ns0:v/>
      </ns0:c>
      <ns0:c r="C231">
        <ns0:f>IFERROR(IF(ISNUMBER($A231),IF(AND(AH!$P$10=1,AH!$P$12=1,$A231=TODAY()),AH!$P$19,IF(AH!$P$10=1,INDEX('Live History'!$B$5:$B$3004,AH!$P$13+226),INDEX('AH History'!$B$1:$B$18046,AH!$P$7+226))),NA()),NA())</ns0:f>
        <ns0:v/>
      </ns0:c>
      <ns0:c r="D231">
        <ns0:f>IFERROR(IF(ISNUMBER($A231),IF(AND(AH!$P$10=1,AH!$P$12=1,$A231=TODAY()),AH!$P$18,IF(AH!$P$10=1,INDEX('Live History'!$E$5:$E$3004,MATCH($A231,'Live History'!$D$5:$D$3004,1)),INDEX('AH History'!$C$1:$C$18046,AH!$P$7+226))),NA()),NA())</ns0:f>
        <ns0:v/>
      </ns0:c>
      <ns0:c r="E231">
        <ns0:f>IFERROR(IF(ISNUMBER($A231),IF(AND(AH!$P$10=1,AH!$P$12=1,$A231=TODAY()),AH!$P$20,IF(AH!$P$10=1,INDEX('Live History'!$H$5:$H$3004,MATCH($A231,'Live History'!$G$5:$G$3004,1)),INDEX('AH History'!$D$1:$D$18046,AH!$P$7+226))),NA()),NA())</ns0:f>
        <ns0:v/>
      </ns0:c>
      <ns0:c r="F231">
        <ns0:f>IFERROR(IF(ISNUMBER($A231),IF(AND(AH!$P$10=1,AH!$P$12=1,$A231=TODAY()),IF(AND(AH!$P$10=1,AH!$P$12=1,$A231=TODAY()),TODAY(),NA()),IF(AH!$P$10=1,INDEX('Live History'!$D$5:$D$3004,MATCH($A231,'Live History'!$D$5:$D$3004,1)),INDEX('AH History'!$E$1:$E$18046,AH!$P$7+226))),NA()),NA())</ns0:f>
        <ns0:v/>
      </ns0:c>
      <ns0:c r="G231">
        <ns0:f>IFERROR(IF(ISNUMBER($A231),IF(AND(AH!$P$10=1,AH!$P$12=1,$A231=TODAY()),IF(AND(AH!$P$10=1,AH!$P$12=1,$A231=TODAY()),TODAY(),NA()),IF(AH!$P$10=1,INDEX('Live History'!$G$5:$G$3004,MATCH($A231,'Live History'!$G$5:$G$3004,1)),INDEX('AH History'!$F$1:$F$18046,AH!$P$7+226))),NA()),NA())</ns0:f>
        <ns0:v/>
      </ns0:c>
      <ns0:c r="H231">
        <ns0:f>IFERROR(IF(AND(AH!$E$4="Bloomberg",AH!$P$10=1,ISNUMBER($A231),$A231&lt;=AH!$P$17),AH!$P$7-1+MATCH($A231,INDEX('AH History'!$A$1:$A$18046,AH!$P$7):INDEX('AH History'!$A$1:$A$18046,AH!$P$7+AH!$P$8-1),0),0),0)</ns0:f>
        <ns0:v/>
      </ns0:c>
      <ns0:c r="I231">
        <ns0:f>IF($H231=0,0,IFERROR(IF(AND(ABS($C231-INDEX('AH History'!$B$1:$B$18046,$H231))&lt;=MAX(0.005,ABS(INDEX('AH History'!$B$1:$B$18046,$H231))*0.00005),ABS($D231-INDEX('AH History'!$C$1:$C$18046,$H231))&lt;=MAX(0.005,ABS(INDEX('AH History'!$C$1:$C$18046,$H231))*0.00005),ABS($E231-INDEX('AH History'!$D$1:$D$18046,$H231))&lt;=0.00005,$F231=INDEX('AH History'!$E$1:$E$18046,$H231),$G231=INDEX('AH History'!$F$1:$F$18046,$H231)),1,-1),-1))</ns0:f>
        <ns0:v/>
      </ns0:c>
    </ns0:row>
    <ns0:row r="232">
      <ns0:c r="A232" s="215">
        <ns0:f>IF(OR(AH!$P$3=0,227+1&gt;AH!$P$11,AND(AH!$E$4&lt;&gt;"Stored",AH!$P$10&lt;&gt;1)),"",IFERROR(IF(AND(AH!$P$21=1,227+1=AH!$P$11),TODAY(),IF(AH!$P$10=1,INDEX('Live History'!$A$5:$A$3004,AH!$P$13+227),INDEX('AH History'!$A$1:$A$18046,AH!$P$7+227))),""))</ns0:f>
        <ns0:v/>
      </ns0:c>
      <ns0:c r="B232" s="219">
        <ns0:f>IFERROR(IF(AND(AH!$P$9&lt;&gt;1,$C232&gt;0,$D232&gt;0,$E232&gt;0,$F232&gt;0,$G232&gt;0,$F232&lt;=$A232,$G232&lt;=$A232,$A232-$F232&lt;=10,$A232-$G232&lt;=5),$D232*$E232/$C232-1,NA()),NA())</ns0:f>
        <ns0:v/>
      </ns0:c>
      <ns0:c r="C232">
        <ns0:f>IFERROR(IF(ISNUMBER($A232),IF(AND(AH!$P$10=1,AH!$P$12=1,$A232=TODAY()),AH!$P$19,IF(AH!$P$10=1,INDEX('Live History'!$B$5:$B$3004,AH!$P$13+227),INDEX('AH History'!$B$1:$B$18046,AH!$P$7+227))),NA()),NA())</ns0:f>
        <ns0:v/>
      </ns0:c>
      <ns0:c r="D232">
        <ns0:f>IFERROR(IF(ISNUMBER($A232),IF(AND(AH!$P$10=1,AH!$P$12=1,$A232=TODAY()),AH!$P$18,IF(AH!$P$10=1,INDEX('Live History'!$E$5:$E$3004,MATCH($A232,'Live History'!$D$5:$D$3004,1)),INDEX('AH History'!$C$1:$C$18046,AH!$P$7+227))),NA()),NA())</ns0:f>
        <ns0:v/>
      </ns0:c>
      <ns0:c r="E232">
        <ns0:f>IFERROR(IF(ISNUMBER($A232),IF(AND(AH!$P$10=1,AH!$P$12=1,$A232=TODAY()),AH!$P$20,IF(AH!$P$10=1,INDEX('Live History'!$H$5:$H$3004,MATCH($A232,'Live History'!$G$5:$G$3004,1)),INDEX('AH History'!$D$1:$D$18046,AH!$P$7+227))),NA()),NA())</ns0:f>
        <ns0:v/>
      </ns0:c>
      <ns0:c r="F232">
        <ns0:f>IFERROR(IF(ISNUMBER($A232),IF(AND(AH!$P$10=1,AH!$P$12=1,$A232=TODAY()),IF(AND(AH!$P$10=1,AH!$P$12=1,$A232=TODAY()),TODAY(),NA()),IF(AH!$P$10=1,INDEX('Live History'!$D$5:$D$3004,MATCH($A232,'Live History'!$D$5:$D$3004,1)),INDEX('AH History'!$E$1:$E$18046,AH!$P$7+227))),NA()),NA())</ns0:f>
        <ns0:v/>
      </ns0:c>
      <ns0:c r="G232">
        <ns0:f>IFERROR(IF(ISNUMBER($A232),IF(AND(AH!$P$10=1,AH!$P$12=1,$A232=TODAY()),IF(AND(AH!$P$10=1,AH!$P$12=1,$A232=TODAY()),TODAY(),NA()),IF(AH!$P$10=1,INDEX('Live History'!$G$5:$G$3004,MATCH($A232,'Live History'!$G$5:$G$3004,1)),INDEX('AH History'!$F$1:$F$18046,AH!$P$7+227))),NA()),NA())</ns0:f>
        <ns0:v/>
      </ns0:c>
      <ns0:c r="H232">
        <ns0:f>IFERROR(IF(AND(AH!$E$4="Bloomberg",AH!$P$10=1,ISNUMBER($A232),$A232&lt;=AH!$P$17),AH!$P$7-1+MATCH($A232,INDEX('AH History'!$A$1:$A$18046,AH!$P$7):INDEX('AH History'!$A$1:$A$18046,AH!$P$7+AH!$P$8-1),0),0),0)</ns0:f>
        <ns0:v/>
      </ns0:c>
      <ns0:c r="I232">
        <ns0:f>IF($H232=0,0,IFERROR(IF(AND(ABS($C232-INDEX('AH History'!$B$1:$B$18046,$H232))&lt;=MAX(0.005,ABS(INDEX('AH History'!$B$1:$B$18046,$H232))*0.00005),ABS($D232-INDEX('AH History'!$C$1:$C$18046,$H232))&lt;=MAX(0.005,ABS(INDEX('AH History'!$C$1:$C$18046,$H232))*0.00005),ABS($E232-INDEX('AH History'!$D$1:$D$18046,$H232))&lt;=0.00005,$F232=INDEX('AH History'!$E$1:$E$18046,$H232),$G232=INDEX('AH History'!$F$1:$F$18046,$H232)),1,-1),-1))</ns0:f>
        <ns0:v/>
      </ns0:c>
    </ns0:row>
    <ns0:row r="233">
      <ns0:c r="A233" s="215">
        <ns0:f>IF(OR(AH!$P$3=0,228+1&gt;AH!$P$11,AND(AH!$E$4&lt;&gt;"Stored",AH!$P$10&lt;&gt;1)),"",IFERROR(IF(AND(AH!$P$21=1,228+1=AH!$P$11),TODAY(),IF(AH!$P$10=1,INDEX('Live History'!$A$5:$A$3004,AH!$P$13+228),INDEX('AH History'!$A$1:$A$18046,AH!$P$7+228))),""))</ns0:f>
        <ns0:v/>
      </ns0:c>
      <ns0:c r="B233" s="219">
        <ns0:f>IFERROR(IF(AND(AH!$P$9&lt;&gt;1,$C233&gt;0,$D233&gt;0,$E233&gt;0,$F233&gt;0,$G233&gt;0,$F233&lt;=$A233,$G233&lt;=$A233,$A233-$F233&lt;=10,$A233-$G233&lt;=5),$D233*$E233/$C233-1,NA()),NA())</ns0:f>
        <ns0:v/>
      </ns0:c>
      <ns0:c r="C233">
        <ns0:f>IFERROR(IF(ISNUMBER($A233),IF(AND(AH!$P$10=1,AH!$P$12=1,$A233=TODAY()),AH!$P$19,IF(AH!$P$10=1,INDEX('Live History'!$B$5:$B$3004,AH!$P$13+228),INDEX('AH History'!$B$1:$B$18046,AH!$P$7+228))),NA()),NA())</ns0:f>
        <ns0:v/>
      </ns0:c>
      <ns0:c r="D233">
        <ns0:f>IFERROR(IF(ISNUMBER($A233),IF(AND(AH!$P$10=1,AH!$P$12=1,$A233=TODAY()),AH!$P$18,IF(AH!$P$10=1,INDEX('Live History'!$E$5:$E$3004,MATCH($A233,'Live History'!$D$5:$D$3004,1)),INDEX('AH History'!$C$1:$C$18046,AH!$P$7+228))),NA()),NA())</ns0:f>
        <ns0:v/>
      </ns0:c>
      <ns0:c r="E233">
        <ns0:f>IFERROR(IF(ISNUMBER($A233),IF(AND(AH!$P$10=1,AH!$P$12=1,$A233=TODAY()),AH!$P$20,IF(AH!$P$10=1,INDEX('Live History'!$H$5:$H$3004,MATCH($A233,'Live History'!$G$5:$G$3004,1)),INDEX('AH History'!$D$1:$D$18046,AH!$P$7+228))),NA()),NA())</ns0:f>
        <ns0:v/>
      </ns0:c>
      <ns0:c r="F233">
        <ns0:f>IFERROR(IF(ISNUMBER($A233),IF(AND(AH!$P$10=1,AH!$P$12=1,$A233=TODAY()),IF(AND(AH!$P$10=1,AH!$P$12=1,$A233=TODAY()),TODAY(),NA()),IF(AH!$P$10=1,INDEX('Live History'!$D$5:$D$3004,MATCH($A233,'Live History'!$D$5:$D$3004,1)),INDEX('AH History'!$E$1:$E$18046,AH!$P$7+228))),NA()),NA())</ns0:f>
        <ns0:v/>
      </ns0:c>
      <ns0:c r="G233">
        <ns0:f>IFERROR(IF(ISNUMBER($A233),IF(AND(AH!$P$10=1,AH!$P$12=1,$A233=TODAY()),IF(AND(AH!$P$10=1,AH!$P$12=1,$A233=TODAY()),TODAY(),NA()),IF(AH!$P$10=1,INDEX('Live History'!$G$5:$G$3004,MATCH($A233,'Live History'!$G$5:$G$3004,1)),INDEX('AH History'!$F$1:$F$18046,AH!$P$7+228))),NA()),NA())</ns0:f>
        <ns0:v/>
      </ns0:c>
      <ns0:c r="H233">
        <ns0:f>IFERROR(IF(AND(AH!$E$4="Bloomberg",AH!$P$10=1,ISNUMBER($A233),$A233&lt;=AH!$P$17),AH!$P$7-1+MATCH($A233,INDEX('AH History'!$A$1:$A$18046,AH!$P$7):INDEX('AH History'!$A$1:$A$18046,AH!$P$7+AH!$P$8-1),0),0),0)</ns0:f>
        <ns0:v/>
      </ns0:c>
      <ns0:c r="I233">
        <ns0:f>IF($H233=0,0,IFERROR(IF(AND(ABS($C233-INDEX('AH History'!$B$1:$B$18046,$H233))&lt;=MAX(0.005,ABS(INDEX('AH History'!$B$1:$B$18046,$H233))*0.00005),ABS($D233-INDEX('AH History'!$C$1:$C$18046,$H233))&lt;=MAX(0.005,ABS(INDEX('AH History'!$C$1:$C$18046,$H233))*0.00005),ABS($E233-INDEX('AH History'!$D$1:$D$18046,$H233))&lt;=0.00005,$F233=INDEX('AH History'!$E$1:$E$18046,$H233),$G233=INDEX('AH History'!$F$1:$F$18046,$H233)),1,-1),-1))</ns0:f>
        <ns0:v/>
      </ns0:c>
    </ns0:row>
    <ns0:row r="234">
      <ns0:c r="A234" s="215">
        <ns0:f>IF(OR(AH!$P$3=0,229+1&gt;AH!$P$11,AND(AH!$E$4&lt;&gt;"Stored",AH!$P$10&lt;&gt;1)),"",IFERROR(IF(AND(AH!$P$21=1,229+1=AH!$P$11),TODAY(),IF(AH!$P$10=1,INDEX('Live History'!$A$5:$A$3004,AH!$P$13+229),INDEX('AH History'!$A$1:$A$18046,AH!$P$7+229))),""))</ns0:f>
        <ns0:v/>
      </ns0:c>
      <ns0:c r="B234" s="219">
        <ns0:f>IFERROR(IF(AND(AH!$P$9&lt;&gt;1,$C234&gt;0,$D234&gt;0,$E234&gt;0,$F234&gt;0,$G234&gt;0,$F234&lt;=$A234,$G234&lt;=$A234,$A234-$F234&lt;=10,$A234-$G234&lt;=5),$D234*$E234/$C234-1,NA()),NA())</ns0:f>
        <ns0:v/>
      </ns0:c>
      <ns0:c r="C234">
        <ns0:f>IFERROR(IF(ISNUMBER($A234),IF(AND(AH!$P$10=1,AH!$P$12=1,$A234=TODAY()),AH!$P$19,IF(AH!$P$10=1,INDEX('Live History'!$B$5:$B$3004,AH!$P$13+229),INDEX('AH History'!$B$1:$B$18046,AH!$P$7+229))),NA()),NA())</ns0:f>
        <ns0:v/>
      </ns0:c>
      <ns0:c r="D234">
        <ns0:f>IFERROR(IF(ISNUMBER($A234),IF(AND(AH!$P$10=1,AH!$P$12=1,$A234=TODAY()),AH!$P$18,IF(AH!$P$10=1,INDEX('Live History'!$E$5:$E$3004,MATCH($A234,'Live History'!$D$5:$D$3004,1)),INDEX('AH History'!$C$1:$C$18046,AH!$P$7+229))),NA()),NA())</ns0:f>
        <ns0:v/>
      </ns0:c>
      <ns0:c r="E234">
        <ns0:f>IFERROR(IF(ISNUMBER($A234),IF(AND(AH!$P$10=1,AH!$P$12=1,$A234=TODAY()),AH!$P$20,IF(AH!$P$10=1,INDEX('Live History'!$H$5:$H$3004,MATCH($A234,'Live History'!$G$5:$G$3004,1)),INDEX('AH History'!$D$1:$D$18046,AH!$P$7+229))),NA()),NA())</ns0:f>
        <ns0:v/>
      </ns0:c>
      <ns0:c r="F234">
        <ns0:f>IFERROR(IF(ISNUMBER($A234),IF(AND(AH!$P$10=1,AH!$P$12=1,$A234=TODAY()),IF(AND(AH!$P$10=1,AH!$P$12=1,$A234=TODAY()),TODAY(),NA()),IF(AH!$P$10=1,INDEX('Live History'!$D$5:$D$3004,MATCH($A234,'Live History'!$D$5:$D$3004,1)),INDEX('AH History'!$E$1:$E$18046,AH!$P$7+229))),NA()),NA())</ns0:f>
        <ns0:v/>
      </ns0:c>
      <ns0:c r="G234">
        <ns0:f>IFERROR(IF(ISNUMBER($A234),IF(AND(AH!$P$10=1,AH!$P$12=1,$A234=TODAY()),IF(AND(AH!$P$10=1,AH!$P$12=1,$A234=TODAY()),TODAY(),NA()),IF(AH!$P$10=1,INDEX('Live History'!$G$5:$G$3004,MATCH($A234,'Live History'!$G$5:$G$3004,1)),INDEX('AH History'!$F$1:$F$18046,AH!$P$7+229))),NA()),NA())</ns0:f>
        <ns0:v/>
      </ns0:c>
      <ns0:c r="H234">
        <ns0:f>IFERROR(IF(AND(AH!$E$4="Bloomberg",AH!$P$10=1,ISNUMBER($A234),$A234&lt;=AH!$P$17),AH!$P$7-1+MATCH($A234,INDEX('AH History'!$A$1:$A$18046,AH!$P$7):INDEX('AH History'!$A$1:$A$18046,AH!$P$7+AH!$P$8-1),0),0),0)</ns0:f>
        <ns0:v/>
      </ns0:c>
      <ns0:c r="I234">
        <ns0:f>IF($H234=0,0,IFERROR(IF(AND(ABS($C234-INDEX('AH History'!$B$1:$B$18046,$H234))&lt;=MAX(0.005,ABS(INDEX('AH History'!$B$1:$B$18046,$H234))*0.00005),ABS($D234-INDEX('AH History'!$C$1:$C$18046,$H234))&lt;=MAX(0.005,ABS(INDEX('AH History'!$C$1:$C$18046,$H234))*0.00005),ABS($E234-INDEX('AH History'!$D$1:$D$18046,$H234))&lt;=0.00005,$F234=INDEX('AH History'!$E$1:$E$18046,$H234),$G234=INDEX('AH History'!$F$1:$F$18046,$H234)),1,-1),-1))</ns0:f>
        <ns0:v/>
      </ns0:c>
    </ns0:row>
    <ns0:row r="235">
      <ns0:c r="A235" s="215">
        <ns0:f>IF(OR(AH!$P$3=0,230+1&gt;AH!$P$11,AND(AH!$E$4&lt;&gt;"Stored",AH!$P$10&lt;&gt;1)),"",IFERROR(IF(AND(AH!$P$21=1,230+1=AH!$P$11),TODAY(),IF(AH!$P$10=1,INDEX('Live History'!$A$5:$A$3004,AH!$P$13+230),INDEX('AH History'!$A$1:$A$18046,AH!$P$7+230))),""))</ns0:f>
        <ns0:v/>
      </ns0:c>
      <ns0:c r="B235" s="219">
        <ns0:f>IFERROR(IF(AND(AH!$P$9&lt;&gt;1,$C235&gt;0,$D235&gt;0,$E235&gt;0,$F235&gt;0,$G235&gt;0,$F235&lt;=$A235,$G235&lt;=$A235,$A235-$F235&lt;=10,$A235-$G235&lt;=5),$D235*$E235/$C235-1,NA()),NA())</ns0:f>
        <ns0:v/>
      </ns0:c>
      <ns0:c r="C235">
        <ns0:f>IFERROR(IF(ISNUMBER($A235),IF(AND(AH!$P$10=1,AH!$P$12=1,$A235=TODAY()),AH!$P$19,IF(AH!$P$10=1,INDEX('Live History'!$B$5:$B$3004,AH!$P$13+230),INDEX('AH History'!$B$1:$B$18046,AH!$P$7+230))),NA()),NA())</ns0:f>
        <ns0:v/>
      </ns0:c>
      <ns0:c r="D235">
        <ns0:f>IFERROR(IF(ISNUMBER($A235),IF(AND(AH!$P$10=1,AH!$P$12=1,$A235=TODAY()),AH!$P$18,IF(AH!$P$10=1,INDEX('Live History'!$E$5:$E$3004,MATCH($A235,'Live History'!$D$5:$D$3004,1)),INDEX('AH History'!$C$1:$C$18046,AH!$P$7+230))),NA()),NA())</ns0:f>
        <ns0:v/>
      </ns0:c>
      <ns0:c r="E235">
        <ns0:f>IFERROR(IF(ISNUMBER($A235),IF(AND(AH!$P$10=1,AH!$P$12=1,$A235=TODAY()),AH!$P$20,IF(AH!$P$10=1,INDEX('Live History'!$H$5:$H$3004,MATCH($A235,'Live History'!$G$5:$G$3004,1)),INDEX('AH History'!$D$1:$D$18046,AH!$P$7+230))),NA()),NA())</ns0:f>
        <ns0:v/>
      </ns0:c>
      <ns0:c r="F235">
        <ns0:f>IFERROR(IF(ISNUMBER($A235),IF(AND(AH!$P$10=1,AH!$P$12=1,$A235=TODAY()),IF(AND(AH!$P$10=1,AH!$P$12=1,$A235=TODAY()),TODAY(),NA()),IF(AH!$P$10=1,INDEX('Live History'!$D$5:$D$3004,MATCH($A235,'Live History'!$D$5:$D$3004,1)),INDEX('AH History'!$E$1:$E$18046,AH!$P$7+230))),NA()),NA())</ns0:f>
        <ns0:v/>
      </ns0:c>
      <ns0:c r="G235">
        <ns0:f>IFERROR(IF(ISNUMBER($A235),IF(AND(AH!$P$10=1,AH!$P$12=1,$A235=TODAY()),IF(AND(AH!$P$10=1,AH!$P$12=1,$A235=TODAY()),TODAY(),NA()),IF(AH!$P$10=1,INDEX('Live History'!$G$5:$G$3004,MATCH($A235,'Live History'!$G$5:$G$3004,1)),INDEX('AH History'!$F$1:$F$18046,AH!$P$7+230))),NA()),NA())</ns0:f>
        <ns0:v/>
      </ns0:c>
      <ns0:c r="H235">
        <ns0:f>IFERROR(IF(AND(AH!$E$4="Bloomberg",AH!$P$10=1,ISNUMBER($A235),$A235&lt;=AH!$P$17),AH!$P$7-1+MATCH($A235,INDEX('AH History'!$A$1:$A$18046,AH!$P$7):INDEX('AH History'!$A$1:$A$18046,AH!$P$7+AH!$P$8-1),0),0),0)</ns0:f>
        <ns0:v/>
      </ns0:c>
      <ns0:c r="I235">
        <ns0:f>IF($H235=0,0,IFERROR(IF(AND(ABS($C235-INDEX('AH History'!$B$1:$B$18046,$H235))&lt;=MAX(0.005,ABS(INDEX('AH History'!$B$1:$B$18046,$H235))*0.00005),ABS($D235-INDEX('AH History'!$C$1:$C$18046,$H235))&lt;=MAX(0.005,ABS(INDEX('AH History'!$C$1:$C$18046,$H235))*0.00005),ABS($E235-INDEX('AH History'!$D$1:$D$18046,$H235))&lt;=0.00005,$F235=INDEX('AH History'!$E$1:$E$18046,$H235),$G235=INDEX('AH History'!$F$1:$F$18046,$H235)),1,-1),-1))</ns0:f>
        <ns0:v/>
      </ns0:c>
    </ns0:row>
    <ns0:row r="236">
      <ns0:c r="A236" s="215">
        <ns0:f>IF(OR(AH!$P$3=0,231+1&gt;AH!$P$11,AND(AH!$E$4&lt;&gt;"Stored",AH!$P$10&lt;&gt;1)),"",IFERROR(IF(AND(AH!$P$21=1,231+1=AH!$P$11),TODAY(),IF(AH!$P$10=1,INDEX('Live History'!$A$5:$A$3004,AH!$P$13+231),INDEX('AH History'!$A$1:$A$18046,AH!$P$7+231))),""))</ns0:f>
        <ns0:v/>
      </ns0:c>
      <ns0:c r="B236" s="219">
        <ns0:f>IFERROR(IF(AND(AH!$P$9&lt;&gt;1,$C236&gt;0,$D236&gt;0,$E236&gt;0,$F236&gt;0,$G236&gt;0,$F236&lt;=$A236,$G236&lt;=$A236,$A236-$F236&lt;=10,$A236-$G236&lt;=5),$D236*$E236/$C236-1,NA()),NA())</ns0:f>
        <ns0:v/>
      </ns0:c>
      <ns0:c r="C236">
        <ns0:f>IFERROR(IF(ISNUMBER($A236),IF(AND(AH!$P$10=1,AH!$P$12=1,$A236=TODAY()),AH!$P$19,IF(AH!$P$10=1,INDEX('Live History'!$B$5:$B$3004,AH!$P$13+231),INDEX('AH History'!$B$1:$B$18046,AH!$P$7+231))),NA()),NA())</ns0:f>
        <ns0:v/>
      </ns0:c>
      <ns0:c r="D236">
        <ns0:f>IFERROR(IF(ISNUMBER($A236),IF(AND(AH!$P$10=1,AH!$P$12=1,$A236=TODAY()),AH!$P$18,IF(AH!$P$10=1,INDEX('Live History'!$E$5:$E$3004,MATCH($A236,'Live History'!$D$5:$D$3004,1)),INDEX('AH History'!$C$1:$C$18046,AH!$P$7+231))),NA()),NA())</ns0:f>
        <ns0:v/>
      </ns0:c>
      <ns0:c r="E236">
        <ns0:f>IFERROR(IF(ISNUMBER($A236),IF(AND(AH!$P$10=1,AH!$P$12=1,$A236=TODAY()),AH!$P$20,IF(AH!$P$10=1,INDEX('Live History'!$H$5:$H$3004,MATCH($A236,'Live History'!$G$5:$G$3004,1)),INDEX('AH History'!$D$1:$D$18046,AH!$P$7+231))),NA()),NA())</ns0:f>
        <ns0:v/>
      </ns0:c>
      <ns0:c r="F236">
        <ns0:f>IFERROR(IF(ISNUMBER($A236),IF(AND(AH!$P$10=1,AH!$P$12=1,$A236=TODAY()),IF(AND(AH!$P$10=1,AH!$P$12=1,$A236=TODAY()),TODAY(),NA()),IF(AH!$P$10=1,INDEX('Live History'!$D$5:$D$3004,MATCH($A236,'Live History'!$D$5:$D$3004,1)),INDEX('AH History'!$E$1:$E$18046,AH!$P$7+231))),NA()),NA())</ns0:f>
        <ns0:v/>
      </ns0:c>
      <ns0:c r="G236">
        <ns0:f>IFERROR(IF(ISNUMBER($A236),IF(AND(AH!$P$10=1,AH!$P$12=1,$A236=TODAY()),IF(AND(AH!$P$10=1,AH!$P$12=1,$A236=TODAY()),TODAY(),NA()),IF(AH!$P$10=1,INDEX('Live History'!$G$5:$G$3004,MATCH($A236,'Live History'!$G$5:$G$3004,1)),INDEX('AH History'!$F$1:$F$18046,AH!$P$7+231))),NA()),NA())</ns0:f>
        <ns0:v/>
      </ns0:c>
      <ns0:c r="H236">
        <ns0:f>IFERROR(IF(AND(AH!$E$4="Bloomberg",AH!$P$10=1,ISNUMBER($A236),$A236&lt;=AH!$P$17),AH!$P$7-1+MATCH($A236,INDEX('AH History'!$A$1:$A$18046,AH!$P$7):INDEX('AH History'!$A$1:$A$18046,AH!$P$7+AH!$P$8-1),0),0),0)</ns0:f>
        <ns0:v/>
      </ns0:c>
      <ns0:c r="I236">
        <ns0:f>IF($H236=0,0,IFERROR(IF(AND(ABS($C236-INDEX('AH History'!$B$1:$B$18046,$H236))&lt;=MAX(0.005,ABS(INDEX('AH History'!$B$1:$B$18046,$H236))*0.00005),ABS($D236-INDEX('AH History'!$C$1:$C$18046,$H236))&lt;=MAX(0.005,ABS(INDEX('AH History'!$C$1:$C$18046,$H236))*0.00005),ABS($E236-INDEX('AH History'!$D$1:$D$18046,$H236))&lt;=0.00005,$F236=INDEX('AH History'!$E$1:$E$18046,$H236),$G236=INDEX('AH History'!$F$1:$F$18046,$H236)),1,-1),-1))</ns0:f>
        <ns0:v/>
      </ns0:c>
    </ns0:row>
    <ns0:row r="237">
      <ns0:c r="A237" s="215">
        <ns0:f>IF(OR(AH!$P$3=0,232+1&gt;AH!$P$11,AND(AH!$E$4&lt;&gt;"Stored",AH!$P$10&lt;&gt;1)),"",IFERROR(IF(AND(AH!$P$21=1,232+1=AH!$P$11),TODAY(),IF(AH!$P$10=1,INDEX('Live History'!$A$5:$A$3004,AH!$P$13+232),INDEX('AH History'!$A$1:$A$18046,AH!$P$7+232))),""))</ns0:f>
        <ns0:v/>
      </ns0:c>
      <ns0:c r="B237" s="219">
        <ns0:f>IFERROR(IF(AND(AH!$P$9&lt;&gt;1,$C237&gt;0,$D237&gt;0,$E237&gt;0,$F237&gt;0,$G237&gt;0,$F237&lt;=$A237,$G237&lt;=$A237,$A237-$F237&lt;=10,$A237-$G237&lt;=5),$D237*$E237/$C237-1,NA()),NA())</ns0:f>
        <ns0:v/>
      </ns0:c>
      <ns0:c r="C237">
        <ns0:f>IFERROR(IF(ISNUMBER($A237),IF(AND(AH!$P$10=1,AH!$P$12=1,$A237=TODAY()),AH!$P$19,IF(AH!$P$10=1,INDEX('Live History'!$B$5:$B$3004,AH!$P$13+232),INDEX('AH History'!$B$1:$B$18046,AH!$P$7+232))),NA()),NA())</ns0:f>
        <ns0:v/>
      </ns0:c>
      <ns0:c r="D237">
        <ns0:f>IFERROR(IF(ISNUMBER($A237),IF(AND(AH!$P$10=1,AH!$P$12=1,$A237=TODAY()),AH!$P$18,IF(AH!$P$10=1,INDEX('Live History'!$E$5:$E$3004,MATCH($A237,'Live History'!$D$5:$D$3004,1)),INDEX('AH History'!$C$1:$C$18046,AH!$P$7+232))),NA()),NA())</ns0:f>
        <ns0:v/>
      </ns0:c>
      <ns0:c r="E237">
        <ns0:f>IFERROR(IF(ISNUMBER($A237),IF(AND(AH!$P$10=1,AH!$P$12=1,$A237=TODAY()),AH!$P$20,IF(AH!$P$10=1,INDEX('Live History'!$H$5:$H$3004,MATCH($A237,'Live History'!$G$5:$G$3004,1)),INDEX('AH History'!$D$1:$D$18046,AH!$P$7+232))),NA()),NA())</ns0:f>
        <ns0:v/>
      </ns0:c>
      <ns0:c r="F237">
        <ns0:f>IFERROR(IF(ISNUMBER($A237),IF(AND(AH!$P$10=1,AH!$P$12=1,$A237=TODAY()),IF(AND(AH!$P$10=1,AH!$P$12=1,$A237=TODAY()),TODAY(),NA()),IF(AH!$P$10=1,INDEX('Live History'!$D$5:$D$3004,MATCH($A237,'Live History'!$D$5:$D$3004,1)),INDEX('AH History'!$E$1:$E$18046,AH!$P$7+232))),NA()),NA())</ns0:f>
        <ns0:v/>
      </ns0:c>
      <ns0:c r="G237">
        <ns0:f>IFERROR(IF(ISNUMBER($A237),IF(AND(AH!$P$10=1,AH!$P$12=1,$A237=TODAY()),IF(AND(AH!$P$10=1,AH!$P$12=1,$A237=TODAY()),TODAY(),NA()),IF(AH!$P$10=1,INDEX('Live History'!$G$5:$G$3004,MATCH($A237,'Live History'!$G$5:$G$3004,1)),INDEX('AH History'!$F$1:$F$18046,AH!$P$7+232))),NA()),NA())</ns0:f>
        <ns0:v/>
      </ns0:c>
      <ns0:c r="H237">
        <ns0:f>IFERROR(IF(AND(AH!$E$4="Bloomberg",AH!$P$10=1,ISNUMBER($A237),$A237&lt;=AH!$P$17),AH!$P$7-1+MATCH($A237,INDEX('AH History'!$A$1:$A$18046,AH!$P$7):INDEX('AH History'!$A$1:$A$18046,AH!$P$7+AH!$P$8-1),0),0),0)</ns0:f>
        <ns0:v/>
      </ns0:c>
      <ns0:c r="I237">
        <ns0:f>IF($H237=0,0,IFERROR(IF(AND(ABS($C237-INDEX('AH History'!$B$1:$B$18046,$H237))&lt;=MAX(0.005,ABS(INDEX('AH History'!$B$1:$B$18046,$H237))*0.00005),ABS($D237-INDEX('AH History'!$C$1:$C$18046,$H237))&lt;=MAX(0.005,ABS(INDEX('AH History'!$C$1:$C$18046,$H237))*0.00005),ABS($E237-INDEX('AH History'!$D$1:$D$18046,$H237))&lt;=0.00005,$F237=INDEX('AH History'!$E$1:$E$18046,$H237),$G237=INDEX('AH History'!$F$1:$F$18046,$H237)),1,-1),-1))</ns0:f>
        <ns0:v/>
      </ns0:c>
    </ns0:row>
    <ns0:row r="238">
      <ns0:c r="A238" s="215">
        <ns0:f>IF(OR(AH!$P$3=0,233+1&gt;AH!$P$11,AND(AH!$E$4&lt;&gt;"Stored",AH!$P$10&lt;&gt;1)),"",IFERROR(IF(AND(AH!$P$21=1,233+1=AH!$P$11),TODAY(),IF(AH!$P$10=1,INDEX('Live History'!$A$5:$A$3004,AH!$P$13+233),INDEX('AH History'!$A$1:$A$18046,AH!$P$7+233))),""))</ns0:f>
        <ns0:v/>
      </ns0:c>
      <ns0:c r="B238" s="219">
        <ns0:f>IFERROR(IF(AND(AH!$P$9&lt;&gt;1,$C238&gt;0,$D238&gt;0,$E238&gt;0,$F238&gt;0,$G238&gt;0,$F238&lt;=$A238,$G238&lt;=$A238,$A238-$F238&lt;=10,$A238-$G238&lt;=5),$D238*$E238/$C238-1,NA()),NA())</ns0:f>
        <ns0:v/>
      </ns0:c>
      <ns0:c r="C238">
        <ns0:f>IFERROR(IF(ISNUMBER($A238),IF(AND(AH!$P$10=1,AH!$P$12=1,$A238=TODAY()),AH!$P$19,IF(AH!$P$10=1,INDEX('Live History'!$B$5:$B$3004,AH!$P$13+233),INDEX('AH History'!$B$1:$B$18046,AH!$P$7+233))),NA()),NA())</ns0:f>
        <ns0:v/>
      </ns0:c>
      <ns0:c r="D238">
        <ns0:f>IFERROR(IF(ISNUMBER($A238),IF(AND(AH!$P$10=1,AH!$P$12=1,$A238=TODAY()),AH!$P$18,IF(AH!$P$10=1,INDEX('Live History'!$E$5:$E$3004,MATCH($A238,'Live History'!$D$5:$D$3004,1)),INDEX('AH History'!$C$1:$C$18046,AH!$P$7+233))),NA()),NA())</ns0:f>
        <ns0:v/>
      </ns0:c>
      <ns0:c r="E238">
        <ns0:f>IFERROR(IF(ISNUMBER($A238),IF(AND(AH!$P$10=1,AH!$P$12=1,$A238=TODAY()),AH!$P$20,IF(AH!$P$10=1,INDEX('Live History'!$H$5:$H$3004,MATCH($A238,'Live History'!$G$5:$G$3004,1)),INDEX('AH History'!$D$1:$D$18046,AH!$P$7+233))),NA()),NA())</ns0:f>
        <ns0:v/>
      </ns0:c>
      <ns0:c r="F238">
        <ns0:f>IFERROR(IF(ISNUMBER($A238),IF(AND(AH!$P$10=1,AH!$P$12=1,$A238=TODAY()),IF(AND(AH!$P$10=1,AH!$P$12=1,$A238=TODAY()),TODAY(),NA()),IF(AH!$P$10=1,INDEX('Live History'!$D$5:$D$3004,MATCH($A238,'Live History'!$D$5:$D$3004,1)),INDEX('AH History'!$E$1:$E$18046,AH!$P$7+233))),NA()),NA())</ns0:f>
        <ns0:v/>
      </ns0:c>
      <ns0:c r="G238">
        <ns0:f>IFERROR(IF(ISNUMBER($A238),IF(AND(AH!$P$10=1,AH!$P$12=1,$A238=TODAY()),IF(AND(AH!$P$10=1,AH!$P$12=1,$A238=TODAY()),TODAY(),NA()),IF(AH!$P$10=1,INDEX('Live History'!$G$5:$G$3004,MATCH($A238,'Live History'!$G$5:$G$3004,1)),INDEX('AH History'!$F$1:$F$18046,AH!$P$7+233))),NA()),NA())</ns0:f>
        <ns0:v/>
      </ns0:c>
      <ns0:c r="H238">
        <ns0:f>IFERROR(IF(AND(AH!$E$4="Bloomberg",AH!$P$10=1,ISNUMBER($A238),$A238&lt;=AH!$P$17),AH!$P$7-1+MATCH($A238,INDEX('AH History'!$A$1:$A$18046,AH!$P$7):INDEX('AH History'!$A$1:$A$18046,AH!$P$7+AH!$P$8-1),0),0),0)</ns0:f>
        <ns0:v/>
      </ns0:c>
      <ns0:c r="I238">
        <ns0:f>IF($H238=0,0,IFERROR(IF(AND(ABS($C238-INDEX('AH History'!$B$1:$B$18046,$H238))&lt;=MAX(0.005,ABS(INDEX('AH History'!$B$1:$B$18046,$H238))*0.00005),ABS($D238-INDEX('AH History'!$C$1:$C$18046,$H238))&lt;=MAX(0.005,ABS(INDEX('AH History'!$C$1:$C$18046,$H238))*0.00005),ABS($E238-INDEX('AH History'!$D$1:$D$18046,$H238))&lt;=0.00005,$F238=INDEX('AH History'!$E$1:$E$18046,$H238),$G238=INDEX('AH History'!$F$1:$F$18046,$H238)),1,-1),-1))</ns0:f>
        <ns0:v/>
      </ns0:c>
    </ns0:row>
    <ns0:row r="239">
      <ns0:c r="A239" s="215">
        <ns0:f>IF(OR(AH!$P$3=0,234+1&gt;AH!$P$11,AND(AH!$E$4&lt;&gt;"Stored",AH!$P$10&lt;&gt;1)),"",IFERROR(IF(AND(AH!$P$21=1,234+1=AH!$P$11),TODAY(),IF(AH!$P$10=1,INDEX('Live History'!$A$5:$A$3004,AH!$P$13+234),INDEX('AH History'!$A$1:$A$18046,AH!$P$7+234))),""))</ns0:f>
        <ns0:v/>
      </ns0:c>
      <ns0:c r="B239" s="219">
        <ns0:f>IFERROR(IF(AND(AH!$P$9&lt;&gt;1,$C239&gt;0,$D239&gt;0,$E239&gt;0,$F239&gt;0,$G239&gt;0,$F239&lt;=$A239,$G239&lt;=$A239,$A239-$F239&lt;=10,$A239-$G239&lt;=5),$D239*$E239/$C239-1,NA()),NA())</ns0:f>
        <ns0:v/>
      </ns0:c>
      <ns0:c r="C239">
        <ns0:f>IFERROR(IF(ISNUMBER($A239),IF(AND(AH!$P$10=1,AH!$P$12=1,$A239=TODAY()),AH!$P$19,IF(AH!$P$10=1,INDEX('Live History'!$B$5:$B$3004,AH!$P$13+234),INDEX('AH History'!$B$1:$B$18046,AH!$P$7+234))),NA()),NA())</ns0:f>
        <ns0:v/>
      </ns0:c>
      <ns0:c r="D239">
        <ns0:f>IFERROR(IF(ISNUMBER($A239),IF(AND(AH!$P$10=1,AH!$P$12=1,$A239=TODAY()),AH!$P$18,IF(AH!$P$10=1,INDEX('Live History'!$E$5:$E$3004,MATCH($A239,'Live History'!$D$5:$D$3004,1)),INDEX('AH History'!$C$1:$C$18046,AH!$P$7+234))),NA()),NA())</ns0:f>
        <ns0:v/>
      </ns0:c>
      <ns0:c r="E239">
        <ns0:f>IFERROR(IF(ISNUMBER($A239),IF(AND(AH!$P$10=1,AH!$P$12=1,$A239=TODAY()),AH!$P$20,IF(AH!$P$10=1,INDEX('Live History'!$H$5:$H$3004,MATCH($A239,'Live History'!$G$5:$G$3004,1)),INDEX('AH History'!$D$1:$D$18046,AH!$P$7+234))),NA()),NA())</ns0:f>
        <ns0:v/>
      </ns0:c>
      <ns0:c r="F239">
        <ns0:f>IFERROR(IF(ISNUMBER($A239),IF(AND(AH!$P$10=1,AH!$P$12=1,$A239=TODAY()),IF(AND(AH!$P$10=1,AH!$P$12=1,$A239=TODAY()),TODAY(),NA()),IF(AH!$P$10=1,INDEX('Live History'!$D$5:$D$3004,MATCH($A239,'Live History'!$D$5:$D$3004,1)),INDEX('AH History'!$E$1:$E$18046,AH!$P$7+234))),NA()),NA())</ns0:f>
        <ns0:v/>
      </ns0:c>
      <ns0:c r="G239">
        <ns0:f>IFERROR(IF(ISNUMBER($A239),IF(AND(AH!$P$10=1,AH!$P$12=1,$A239=TODAY()),IF(AND(AH!$P$10=1,AH!$P$12=1,$A239=TODAY()),TODAY(),NA()),IF(AH!$P$10=1,INDEX('Live History'!$G$5:$G$3004,MATCH($A239,'Live History'!$G$5:$G$3004,1)),INDEX('AH History'!$F$1:$F$18046,AH!$P$7+234))),NA()),NA())</ns0:f>
        <ns0:v/>
      </ns0:c>
      <ns0:c r="H239">
        <ns0:f>IFERROR(IF(AND(AH!$E$4="Bloomberg",AH!$P$10=1,ISNUMBER($A239),$A239&lt;=AH!$P$17),AH!$P$7-1+MATCH($A239,INDEX('AH History'!$A$1:$A$18046,AH!$P$7):INDEX('AH History'!$A$1:$A$18046,AH!$P$7+AH!$P$8-1),0),0),0)</ns0:f>
        <ns0:v/>
      </ns0:c>
      <ns0:c r="I239">
        <ns0:f>IF($H239=0,0,IFERROR(IF(AND(ABS($C239-INDEX('AH History'!$B$1:$B$18046,$H239))&lt;=MAX(0.005,ABS(INDEX('AH History'!$B$1:$B$18046,$H239))*0.00005),ABS($D239-INDEX('AH History'!$C$1:$C$18046,$H239))&lt;=MAX(0.005,ABS(INDEX('AH History'!$C$1:$C$18046,$H239))*0.00005),ABS($E239-INDEX('AH History'!$D$1:$D$18046,$H239))&lt;=0.00005,$F239=INDEX('AH History'!$E$1:$E$18046,$H239),$G239=INDEX('AH History'!$F$1:$F$18046,$H239)),1,-1),-1))</ns0:f>
        <ns0:v/>
      </ns0:c>
    </ns0:row>
    <ns0:row r="240">
      <ns0:c r="A240" s="215">
        <ns0:f>IF(OR(AH!$P$3=0,235+1&gt;AH!$P$11,AND(AH!$E$4&lt;&gt;"Stored",AH!$P$10&lt;&gt;1)),"",IFERROR(IF(AND(AH!$P$21=1,235+1=AH!$P$11),TODAY(),IF(AH!$P$10=1,INDEX('Live History'!$A$5:$A$3004,AH!$P$13+235),INDEX('AH History'!$A$1:$A$18046,AH!$P$7+235))),""))</ns0:f>
        <ns0:v/>
      </ns0:c>
      <ns0:c r="B240" s="219">
        <ns0:f>IFERROR(IF(AND(AH!$P$9&lt;&gt;1,$C240&gt;0,$D240&gt;0,$E240&gt;0,$F240&gt;0,$G240&gt;0,$F240&lt;=$A240,$G240&lt;=$A240,$A240-$F240&lt;=10,$A240-$G240&lt;=5),$D240*$E240/$C240-1,NA()),NA())</ns0:f>
        <ns0:v/>
      </ns0:c>
      <ns0:c r="C240">
        <ns0:f>IFERROR(IF(ISNUMBER($A240),IF(AND(AH!$P$10=1,AH!$P$12=1,$A240=TODAY()),AH!$P$19,IF(AH!$P$10=1,INDEX('Live History'!$B$5:$B$3004,AH!$P$13+235),INDEX('AH History'!$B$1:$B$18046,AH!$P$7+235))),NA()),NA())</ns0:f>
        <ns0:v/>
      </ns0:c>
      <ns0:c r="D240">
        <ns0:f>IFERROR(IF(ISNUMBER($A240),IF(AND(AH!$P$10=1,AH!$P$12=1,$A240=TODAY()),AH!$P$18,IF(AH!$P$10=1,INDEX('Live History'!$E$5:$E$3004,MATCH($A240,'Live History'!$D$5:$D$3004,1)),INDEX('AH History'!$C$1:$C$18046,AH!$P$7+235))),NA()),NA())</ns0:f>
        <ns0:v/>
      </ns0:c>
      <ns0:c r="E240">
        <ns0:f>IFERROR(IF(ISNUMBER($A240),IF(AND(AH!$P$10=1,AH!$P$12=1,$A240=TODAY()),AH!$P$20,IF(AH!$P$10=1,INDEX('Live History'!$H$5:$H$3004,MATCH($A240,'Live History'!$G$5:$G$3004,1)),INDEX('AH History'!$D$1:$D$18046,AH!$P$7+235))),NA()),NA())</ns0:f>
        <ns0:v/>
      </ns0:c>
      <ns0:c r="F240">
        <ns0:f>IFERROR(IF(ISNUMBER($A240),IF(AND(AH!$P$10=1,AH!$P$12=1,$A240=TODAY()),IF(AND(AH!$P$10=1,AH!$P$12=1,$A240=TODAY()),TODAY(),NA()),IF(AH!$P$10=1,INDEX('Live History'!$D$5:$D$3004,MATCH($A240,'Live History'!$D$5:$D$3004,1)),INDEX('AH History'!$E$1:$E$18046,AH!$P$7+235))),NA()),NA())</ns0:f>
        <ns0:v/>
      </ns0:c>
      <ns0:c r="G240">
        <ns0:f>IFERROR(IF(ISNUMBER($A240),IF(AND(AH!$P$10=1,AH!$P$12=1,$A240=TODAY()),IF(AND(AH!$P$10=1,AH!$P$12=1,$A240=TODAY()),TODAY(),NA()),IF(AH!$P$10=1,INDEX('Live History'!$G$5:$G$3004,MATCH($A240,'Live History'!$G$5:$G$3004,1)),INDEX('AH History'!$F$1:$F$18046,AH!$P$7+235))),NA()),NA())</ns0:f>
        <ns0:v/>
      </ns0:c>
      <ns0:c r="H240">
        <ns0:f>IFERROR(IF(AND(AH!$E$4="Bloomberg",AH!$P$10=1,ISNUMBER($A240),$A240&lt;=AH!$P$17),AH!$P$7-1+MATCH($A240,INDEX('AH History'!$A$1:$A$18046,AH!$P$7):INDEX('AH History'!$A$1:$A$18046,AH!$P$7+AH!$P$8-1),0),0),0)</ns0:f>
        <ns0:v/>
      </ns0:c>
      <ns0:c r="I240">
        <ns0:f>IF($H240=0,0,IFERROR(IF(AND(ABS($C240-INDEX('AH History'!$B$1:$B$18046,$H240))&lt;=MAX(0.005,ABS(INDEX('AH History'!$B$1:$B$18046,$H240))*0.00005),ABS($D240-INDEX('AH History'!$C$1:$C$18046,$H240))&lt;=MAX(0.005,ABS(INDEX('AH History'!$C$1:$C$18046,$H240))*0.00005),ABS($E240-INDEX('AH History'!$D$1:$D$18046,$H240))&lt;=0.00005,$F240=INDEX('AH History'!$E$1:$E$18046,$H240),$G240=INDEX('AH History'!$F$1:$F$18046,$H240)),1,-1),-1))</ns0:f>
        <ns0:v/>
      </ns0:c>
    </ns0:row>
    <ns0:row r="241">
      <ns0:c r="A241" s="215">
        <ns0:f>IF(OR(AH!$P$3=0,236+1&gt;AH!$P$11,AND(AH!$E$4&lt;&gt;"Stored",AH!$P$10&lt;&gt;1)),"",IFERROR(IF(AND(AH!$P$21=1,236+1=AH!$P$11),TODAY(),IF(AH!$P$10=1,INDEX('Live History'!$A$5:$A$3004,AH!$P$13+236),INDEX('AH History'!$A$1:$A$18046,AH!$P$7+236))),""))</ns0:f>
        <ns0:v/>
      </ns0:c>
      <ns0:c r="B241" s="219">
        <ns0:f>IFERROR(IF(AND(AH!$P$9&lt;&gt;1,$C241&gt;0,$D241&gt;0,$E241&gt;0,$F241&gt;0,$G241&gt;0,$F241&lt;=$A241,$G241&lt;=$A241,$A241-$F241&lt;=10,$A241-$G241&lt;=5),$D241*$E241/$C241-1,NA()),NA())</ns0:f>
        <ns0:v/>
      </ns0:c>
      <ns0:c r="C241">
        <ns0:f>IFERROR(IF(ISNUMBER($A241),IF(AND(AH!$P$10=1,AH!$P$12=1,$A241=TODAY()),AH!$P$19,IF(AH!$P$10=1,INDEX('Live History'!$B$5:$B$3004,AH!$P$13+236),INDEX('AH History'!$B$1:$B$18046,AH!$P$7+236))),NA()),NA())</ns0:f>
        <ns0:v/>
      </ns0:c>
      <ns0:c r="D241">
        <ns0:f>IFERROR(IF(ISNUMBER($A241),IF(AND(AH!$P$10=1,AH!$P$12=1,$A241=TODAY()),AH!$P$18,IF(AH!$P$10=1,INDEX('Live History'!$E$5:$E$3004,MATCH($A241,'Live History'!$D$5:$D$3004,1)),INDEX('AH History'!$C$1:$C$18046,AH!$P$7+236))),NA()),NA())</ns0:f>
        <ns0:v/>
      </ns0:c>
      <ns0:c r="E241">
        <ns0:f>IFERROR(IF(ISNUMBER($A241),IF(AND(AH!$P$10=1,AH!$P$12=1,$A241=TODAY()),AH!$P$20,IF(AH!$P$10=1,INDEX('Live History'!$H$5:$H$3004,MATCH($A241,'Live History'!$G$5:$G$3004,1)),INDEX('AH History'!$D$1:$D$18046,AH!$P$7+236))),NA()),NA())</ns0:f>
        <ns0:v/>
      </ns0:c>
      <ns0:c r="F241">
        <ns0:f>IFERROR(IF(ISNUMBER($A241),IF(AND(AH!$P$10=1,AH!$P$12=1,$A241=TODAY()),IF(AND(AH!$P$10=1,AH!$P$12=1,$A241=TODAY()),TODAY(),NA()),IF(AH!$P$10=1,INDEX('Live History'!$D$5:$D$3004,MATCH($A241,'Live History'!$D$5:$D$3004,1)),INDEX('AH History'!$E$1:$E$18046,AH!$P$7+236))),NA()),NA())</ns0:f>
        <ns0:v/>
      </ns0:c>
      <ns0:c r="G241">
        <ns0:f>IFERROR(IF(ISNUMBER($A241),IF(AND(AH!$P$10=1,AH!$P$12=1,$A241=TODAY()),IF(AND(AH!$P$10=1,AH!$P$12=1,$A241=TODAY()),TODAY(),NA()),IF(AH!$P$10=1,INDEX('Live History'!$G$5:$G$3004,MATCH($A241,'Live History'!$G$5:$G$3004,1)),INDEX('AH History'!$F$1:$F$18046,AH!$P$7+236))),NA()),NA())</ns0:f>
        <ns0:v/>
      </ns0:c>
      <ns0:c r="H241">
        <ns0:f>IFERROR(IF(AND(AH!$E$4="Bloomberg",AH!$P$10=1,ISNUMBER($A241),$A241&lt;=AH!$P$17),AH!$P$7-1+MATCH($A241,INDEX('AH History'!$A$1:$A$18046,AH!$P$7):INDEX('AH History'!$A$1:$A$18046,AH!$P$7+AH!$P$8-1),0),0),0)</ns0:f>
        <ns0:v/>
      </ns0:c>
      <ns0:c r="I241">
        <ns0:f>IF($H241=0,0,IFERROR(IF(AND(ABS($C241-INDEX('AH History'!$B$1:$B$18046,$H241))&lt;=MAX(0.005,ABS(INDEX('AH History'!$B$1:$B$18046,$H241))*0.00005),ABS($D241-INDEX('AH History'!$C$1:$C$18046,$H241))&lt;=MAX(0.005,ABS(INDEX('AH History'!$C$1:$C$18046,$H241))*0.00005),ABS($E241-INDEX('AH History'!$D$1:$D$18046,$H241))&lt;=0.00005,$F241=INDEX('AH History'!$E$1:$E$18046,$H241),$G241=INDEX('AH History'!$F$1:$F$18046,$H241)),1,-1),-1))</ns0:f>
        <ns0:v/>
      </ns0:c>
    </ns0:row>
    <ns0:row r="242">
      <ns0:c r="A242" s="215">
        <ns0:f>IF(OR(AH!$P$3=0,237+1&gt;AH!$P$11,AND(AH!$E$4&lt;&gt;"Stored",AH!$P$10&lt;&gt;1)),"",IFERROR(IF(AND(AH!$P$21=1,237+1=AH!$P$11),TODAY(),IF(AH!$P$10=1,INDEX('Live History'!$A$5:$A$3004,AH!$P$13+237),INDEX('AH History'!$A$1:$A$18046,AH!$P$7+237))),""))</ns0:f>
        <ns0:v/>
      </ns0:c>
      <ns0:c r="B242" s="219">
        <ns0:f>IFERROR(IF(AND(AH!$P$9&lt;&gt;1,$C242&gt;0,$D242&gt;0,$E242&gt;0,$F242&gt;0,$G242&gt;0,$F242&lt;=$A242,$G242&lt;=$A242,$A242-$F242&lt;=10,$A242-$G242&lt;=5),$D242*$E242/$C242-1,NA()),NA())</ns0:f>
        <ns0:v/>
      </ns0:c>
      <ns0:c r="C242">
        <ns0:f>IFERROR(IF(ISNUMBER($A242),IF(AND(AH!$P$10=1,AH!$P$12=1,$A242=TODAY()),AH!$P$19,IF(AH!$P$10=1,INDEX('Live History'!$B$5:$B$3004,AH!$P$13+237),INDEX('AH History'!$B$1:$B$18046,AH!$P$7+237))),NA()),NA())</ns0:f>
        <ns0:v/>
      </ns0:c>
      <ns0:c r="D242">
        <ns0:f>IFERROR(IF(ISNUMBER($A242),IF(AND(AH!$P$10=1,AH!$P$12=1,$A242=TODAY()),AH!$P$18,IF(AH!$P$10=1,INDEX('Live History'!$E$5:$E$3004,MATCH($A242,'Live History'!$D$5:$D$3004,1)),INDEX('AH History'!$C$1:$C$18046,AH!$P$7+237))),NA()),NA())</ns0:f>
        <ns0:v/>
      </ns0:c>
      <ns0:c r="E242">
        <ns0:f>IFERROR(IF(ISNUMBER($A242),IF(AND(AH!$P$10=1,AH!$P$12=1,$A242=TODAY()),AH!$P$20,IF(AH!$P$10=1,INDEX('Live History'!$H$5:$H$3004,MATCH($A242,'Live History'!$G$5:$G$3004,1)),INDEX('AH History'!$D$1:$D$18046,AH!$P$7+237))),NA()),NA())</ns0:f>
        <ns0:v/>
      </ns0:c>
      <ns0:c r="F242">
        <ns0:f>IFERROR(IF(ISNUMBER($A242),IF(AND(AH!$P$10=1,AH!$P$12=1,$A242=TODAY()),IF(AND(AH!$P$10=1,AH!$P$12=1,$A242=TODAY()),TODAY(),NA()),IF(AH!$P$10=1,INDEX('Live History'!$D$5:$D$3004,MATCH($A242,'Live History'!$D$5:$D$3004,1)),INDEX('AH History'!$E$1:$E$18046,AH!$P$7+237))),NA()),NA())</ns0:f>
        <ns0:v/>
      </ns0:c>
      <ns0:c r="G242">
        <ns0:f>IFERROR(IF(ISNUMBER($A242),IF(AND(AH!$P$10=1,AH!$P$12=1,$A242=TODAY()),IF(AND(AH!$P$10=1,AH!$P$12=1,$A242=TODAY()),TODAY(),NA()),IF(AH!$P$10=1,INDEX('Live History'!$G$5:$G$3004,MATCH($A242,'Live History'!$G$5:$G$3004,1)),INDEX('AH History'!$F$1:$F$18046,AH!$P$7+237))),NA()),NA())</ns0:f>
        <ns0:v/>
      </ns0:c>
      <ns0:c r="H242">
        <ns0:f>IFERROR(IF(AND(AH!$E$4="Bloomberg",AH!$P$10=1,ISNUMBER($A242),$A242&lt;=AH!$P$17),AH!$P$7-1+MATCH($A242,INDEX('AH History'!$A$1:$A$18046,AH!$P$7):INDEX('AH History'!$A$1:$A$18046,AH!$P$7+AH!$P$8-1),0),0),0)</ns0:f>
        <ns0:v/>
      </ns0:c>
      <ns0:c r="I242">
        <ns0:f>IF($H242=0,0,IFERROR(IF(AND(ABS($C242-INDEX('AH History'!$B$1:$B$18046,$H242))&lt;=MAX(0.005,ABS(INDEX('AH History'!$B$1:$B$18046,$H242))*0.00005),ABS($D242-INDEX('AH History'!$C$1:$C$18046,$H242))&lt;=MAX(0.005,ABS(INDEX('AH History'!$C$1:$C$18046,$H242))*0.00005),ABS($E242-INDEX('AH History'!$D$1:$D$18046,$H242))&lt;=0.00005,$F242=INDEX('AH History'!$E$1:$E$18046,$H242),$G242=INDEX('AH History'!$F$1:$F$18046,$H242)),1,-1),-1))</ns0:f>
        <ns0:v/>
      </ns0:c>
    </ns0:row>
    <ns0:row r="243">
      <ns0:c r="A243" s="215">
        <ns0:f>IF(OR(AH!$P$3=0,238+1&gt;AH!$P$11,AND(AH!$E$4&lt;&gt;"Stored",AH!$P$10&lt;&gt;1)),"",IFERROR(IF(AND(AH!$P$21=1,238+1=AH!$P$11),TODAY(),IF(AH!$P$10=1,INDEX('Live History'!$A$5:$A$3004,AH!$P$13+238),INDEX('AH History'!$A$1:$A$18046,AH!$P$7+238))),""))</ns0:f>
        <ns0:v/>
      </ns0:c>
      <ns0:c r="B243" s="219">
        <ns0:f>IFERROR(IF(AND(AH!$P$9&lt;&gt;1,$C243&gt;0,$D243&gt;0,$E243&gt;0,$F243&gt;0,$G243&gt;0,$F243&lt;=$A243,$G243&lt;=$A243,$A243-$F243&lt;=10,$A243-$G243&lt;=5),$D243*$E243/$C243-1,NA()),NA())</ns0:f>
        <ns0:v/>
      </ns0:c>
      <ns0:c r="C243">
        <ns0:f>IFERROR(IF(ISNUMBER($A243),IF(AND(AH!$P$10=1,AH!$P$12=1,$A243=TODAY()),AH!$P$19,IF(AH!$P$10=1,INDEX('Live History'!$B$5:$B$3004,AH!$P$13+238),INDEX('AH History'!$B$1:$B$18046,AH!$P$7+238))),NA()),NA())</ns0:f>
        <ns0:v/>
      </ns0:c>
      <ns0:c r="D243">
        <ns0:f>IFERROR(IF(ISNUMBER($A243),IF(AND(AH!$P$10=1,AH!$P$12=1,$A243=TODAY()),AH!$P$18,IF(AH!$P$10=1,INDEX('Live History'!$E$5:$E$3004,MATCH($A243,'Live History'!$D$5:$D$3004,1)),INDEX('AH History'!$C$1:$C$18046,AH!$P$7+238))),NA()),NA())</ns0:f>
        <ns0:v/>
      </ns0:c>
      <ns0:c r="E243">
        <ns0:f>IFERROR(IF(ISNUMBER($A243),IF(AND(AH!$P$10=1,AH!$P$12=1,$A243=TODAY()),AH!$P$20,IF(AH!$P$10=1,INDEX('Live History'!$H$5:$H$3004,MATCH($A243,'Live History'!$G$5:$G$3004,1)),INDEX('AH History'!$D$1:$D$18046,AH!$P$7+238))),NA()),NA())</ns0:f>
        <ns0:v/>
      </ns0:c>
      <ns0:c r="F243">
        <ns0:f>IFERROR(IF(ISNUMBER($A243),IF(AND(AH!$P$10=1,AH!$P$12=1,$A243=TODAY()),IF(AND(AH!$P$10=1,AH!$P$12=1,$A243=TODAY()),TODAY(),NA()),IF(AH!$P$10=1,INDEX('Live History'!$D$5:$D$3004,MATCH($A243,'Live History'!$D$5:$D$3004,1)),INDEX('AH History'!$E$1:$E$18046,AH!$P$7+238))),NA()),NA())</ns0:f>
        <ns0:v/>
      </ns0:c>
      <ns0:c r="G243">
        <ns0:f>IFERROR(IF(ISNUMBER($A243),IF(AND(AH!$P$10=1,AH!$P$12=1,$A243=TODAY()),IF(AND(AH!$P$10=1,AH!$P$12=1,$A243=TODAY()),TODAY(),NA()),IF(AH!$P$10=1,INDEX('Live History'!$G$5:$G$3004,MATCH($A243,'Live History'!$G$5:$G$3004,1)),INDEX('AH History'!$F$1:$F$18046,AH!$P$7+238))),NA()),NA())</ns0:f>
        <ns0:v/>
      </ns0:c>
      <ns0:c r="H243">
        <ns0:f>IFERROR(IF(AND(AH!$E$4="Bloomberg",AH!$P$10=1,ISNUMBER($A243),$A243&lt;=AH!$P$17),AH!$P$7-1+MATCH($A243,INDEX('AH History'!$A$1:$A$18046,AH!$P$7):INDEX('AH History'!$A$1:$A$18046,AH!$P$7+AH!$P$8-1),0),0),0)</ns0:f>
        <ns0:v/>
      </ns0:c>
      <ns0:c r="I243">
        <ns0:f>IF($H243=0,0,IFERROR(IF(AND(ABS($C243-INDEX('AH History'!$B$1:$B$18046,$H243))&lt;=MAX(0.005,ABS(INDEX('AH History'!$B$1:$B$18046,$H243))*0.00005),ABS($D243-INDEX('AH History'!$C$1:$C$18046,$H243))&lt;=MAX(0.005,ABS(INDEX('AH History'!$C$1:$C$18046,$H243))*0.00005),ABS($E243-INDEX('AH History'!$D$1:$D$18046,$H243))&lt;=0.00005,$F243=INDEX('AH History'!$E$1:$E$18046,$H243),$G243=INDEX('AH History'!$F$1:$F$18046,$H243)),1,-1),-1))</ns0:f>
        <ns0:v/>
      </ns0:c>
    </ns0:row>
    <ns0:row r="244">
      <ns0:c r="A244" s="215">
        <ns0:f>IF(OR(AH!$P$3=0,239+1&gt;AH!$P$11,AND(AH!$E$4&lt;&gt;"Stored",AH!$P$10&lt;&gt;1)),"",IFERROR(IF(AND(AH!$P$21=1,239+1=AH!$P$11),TODAY(),IF(AH!$P$10=1,INDEX('Live History'!$A$5:$A$3004,AH!$P$13+239),INDEX('AH History'!$A$1:$A$18046,AH!$P$7+239))),""))</ns0:f>
        <ns0:v/>
      </ns0:c>
      <ns0:c r="B244" s="219">
        <ns0:f>IFERROR(IF(AND(AH!$P$9&lt;&gt;1,$C244&gt;0,$D244&gt;0,$E244&gt;0,$F244&gt;0,$G244&gt;0,$F244&lt;=$A244,$G244&lt;=$A244,$A244-$F244&lt;=10,$A244-$G244&lt;=5),$D244*$E244/$C244-1,NA()),NA())</ns0:f>
        <ns0:v/>
      </ns0:c>
      <ns0:c r="C244">
        <ns0:f>IFERROR(IF(ISNUMBER($A244),IF(AND(AH!$P$10=1,AH!$P$12=1,$A244=TODAY()),AH!$P$19,IF(AH!$P$10=1,INDEX('Live History'!$B$5:$B$3004,AH!$P$13+239),INDEX('AH History'!$B$1:$B$18046,AH!$P$7+239))),NA()),NA())</ns0:f>
        <ns0:v/>
      </ns0:c>
      <ns0:c r="D244">
        <ns0:f>IFERROR(IF(ISNUMBER($A244),IF(AND(AH!$P$10=1,AH!$P$12=1,$A244=TODAY()),AH!$P$18,IF(AH!$P$10=1,INDEX('Live History'!$E$5:$E$3004,MATCH($A244,'Live History'!$D$5:$D$3004,1)),INDEX('AH History'!$C$1:$C$18046,AH!$P$7+239))),NA()),NA())</ns0:f>
        <ns0:v/>
      </ns0:c>
      <ns0:c r="E244">
        <ns0:f>IFERROR(IF(ISNUMBER($A244),IF(AND(AH!$P$10=1,AH!$P$12=1,$A244=TODAY()),AH!$P$20,IF(AH!$P$10=1,INDEX('Live History'!$H$5:$H$3004,MATCH($A244,'Live History'!$G$5:$G$3004,1)),INDEX('AH History'!$D$1:$D$18046,AH!$P$7+239))),NA()),NA())</ns0:f>
        <ns0:v/>
      </ns0:c>
      <ns0:c r="F244">
        <ns0:f>IFERROR(IF(ISNUMBER($A244),IF(AND(AH!$P$10=1,AH!$P$12=1,$A244=TODAY()),IF(AND(AH!$P$10=1,AH!$P$12=1,$A244=TODAY()),TODAY(),NA()),IF(AH!$P$10=1,INDEX('Live History'!$D$5:$D$3004,MATCH($A244,'Live History'!$D$5:$D$3004,1)),INDEX('AH History'!$E$1:$E$18046,AH!$P$7+239))),NA()),NA())</ns0:f>
        <ns0:v/>
      </ns0:c>
      <ns0:c r="G244">
        <ns0:f>IFERROR(IF(ISNUMBER($A244),IF(AND(AH!$P$10=1,AH!$P$12=1,$A244=TODAY()),IF(AND(AH!$P$10=1,AH!$P$12=1,$A244=TODAY()),TODAY(),NA()),IF(AH!$P$10=1,INDEX('Live History'!$G$5:$G$3004,MATCH($A244,'Live History'!$G$5:$G$3004,1)),INDEX('AH History'!$F$1:$F$18046,AH!$P$7+239))),NA()),NA())</ns0:f>
        <ns0:v/>
      </ns0:c>
      <ns0:c r="H244">
        <ns0:f>IFERROR(IF(AND(AH!$E$4="Bloomberg",AH!$P$10=1,ISNUMBER($A244),$A244&lt;=AH!$P$17),AH!$P$7-1+MATCH($A244,INDEX('AH History'!$A$1:$A$18046,AH!$P$7):INDEX('AH History'!$A$1:$A$18046,AH!$P$7+AH!$P$8-1),0),0),0)</ns0:f>
        <ns0:v/>
      </ns0:c>
      <ns0:c r="I244">
        <ns0:f>IF($H244=0,0,IFERROR(IF(AND(ABS($C244-INDEX('AH History'!$B$1:$B$18046,$H244))&lt;=MAX(0.005,ABS(INDEX('AH History'!$B$1:$B$18046,$H244))*0.00005),ABS($D244-INDEX('AH History'!$C$1:$C$18046,$H244))&lt;=MAX(0.005,ABS(INDEX('AH History'!$C$1:$C$18046,$H244))*0.00005),ABS($E244-INDEX('AH History'!$D$1:$D$18046,$H244))&lt;=0.00005,$F244=INDEX('AH History'!$E$1:$E$18046,$H244),$G244=INDEX('AH History'!$F$1:$F$18046,$H244)),1,-1),-1))</ns0:f>
        <ns0:v/>
      </ns0:c>
    </ns0:row>
    <ns0:row r="245">
      <ns0:c r="A245" s="215">
        <ns0:f>IF(OR(AH!$P$3=0,240+1&gt;AH!$P$11,AND(AH!$E$4&lt;&gt;"Stored",AH!$P$10&lt;&gt;1)),"",IFERROR(IF(AND(AH!$P$21=1,240+1=AH!$P$11),TODAY(),IF(AH!$P$10=1,INDEX('Live History'!$A$5:$A$3004,AH!$P$13+240),INDEX('AH History'!$A$1:$A$18046,AH!$P$7+240))),""))</ns0:f>
        <ns0:v/>
      </ns0:c>
      <ns0:c r="B245" s="219">
        <ns0:f>IFERROR(IF(AND(AH!$P$9&lt;&gt;1,$C245&gt;0,$D245&gt;0,$E245&gt;0,$F245&gt;0,$G245&gt;0,$F245&lt;=$A245,$G245&lt;=$A245,$A245-$F245&lt;=10,$A245-$G245&lt;=5),$D245*$E245/$C245-1,NA()),NA())</ns0:f>
        <ns0:v/>
      </ns0:c>
      <ns0:c r="C245">
        <ns0:f>IFERROR(IF(ISNUMBER($A245),IF(AND(AH!$P$10=1,AH!$P$12=1,$A245=TODAY()),AH!$P$19,IF(AH!$P$10=1,INDEX('Live History'!$B$5:$B$3004,AH!$P$13+240),INDEX('AH History'!$B$1:$B$18046,AH!$P$7+240))),NA()),NA())</ns0:f>
        <ns0:v/>
      </ns0:c>
      <ns0:c r="D245">
        <ns0:f>IFERROR(IF(ISNUMBER($A245),IF(AND(AH!$P$10=1,AH!$P$12=1,$A245=TODAY()),AH!$P$18,IF(AH!$P$10=1,INDEX('Live History'!$E$5:$E$3004,MATCH($A245,'Live History'!$D$5:$D$3004,1)),INDEX('AH History'!$C$1:$C$18046,AH!$P$7+240))),NA()),NA())</ns0:f>
        <ns0:v/>
      </ns0:c>
      <ns0:c r="E245">
        <ns0:f>IFERROR(IF(ISNUMBER($A245),IF(AND(AH!$P$10=1,AH!$P$12=1,$A245=TODAY()),AH!$P$20,IF(AH!$P$10=1,INDEX('Live History'!$H$5:$H$3004,MATCH($A245,'Live History'!$G$5:$G$3004,1)),INDEX('AH History'!$D$1:$D$18046,AH!$P$7+240))),NA()),NA())</ns0:f>
        <ns0:v/>
      </ns0:c>
      <ns0:c r="F245">
        <ns0:f>IFERROR(IF(ISNUMBER($A245),IF(AND(AH!$P$10=1,AH!$P$12=1,$A245=TODAY()),IF(AND(AH!$P$10=1,AH!$P$12=1,$A245=TODAY()),TODAY(),NA()),IF(AH!$P$10=1,INDEX('Live History'!$D$5:$D$3004,MATCH($A245,'Live History'!$D$5:$D$3004,1)),INDEX('AH History'!$E$1:$E$18046,AH!$P$7+240))),NA()),NA())</ns0:f>
        <ns0:v/>
      </ns0:c>
      <ns0:c r="G245">
        <ns0:f>IFERROR(IF(ISNUMBER($A245),IF(AND(AH!$P$10=1,AH!$P$12=1,$A245=TODAY()),IF(AND(AH!$P$10=1,AH!$P$12=1,$A245=TODAY()),TODAY(),NA()),IF(AH!$P$10=1,INDEX('Live History'!$G$5:$G$3004,MATCH($A245,'Live History'!$G$5:$G$3004,1)),INDEX('AH History'!$F$1:$F$18046,AH!$P$7+240))),NA()),NA())</ns0:f>
        <ns0:v/>
      </ns0:c>
      <ns0:c r="H245">
        <ns0:f>IFERROR(IF(AND(AH!$E$4="Bloomberg",AH!$P$10=1,ISNUMBER($A245),$A245&lt;=AH!$P$17),AH!$P$7-1+MATCH($A245,INDEX('AH History'!$A$1:$A$18046,AH!$P$7):INDEX('AH History'!$A$1:$A$18046,AH!$P$7+AH!$P$8-1),0),0),0)</ns0:f>
        <ns0:v/>
      </ns0:c>
      <ns0:c r="I245">
        <ns0:f>IF($H245=0,0,IFERROR(IF(AND(ABS($C245-INDEX('AH History'!$B$1:$B$18046,$H245))&lt;=MAX(0.005,ABS(INDEX('AH History'!$B$1:$B$18046,$H245))*0.00005),ABS($D245-INDEX('AH History'!$C$1:$C$18046,$H245))&lt;=MAX(0.005,ABS(INDEX('AH History'!$C$1:$C$18046,$H245))*0.00005),ABS($E245-INDEX('AH History'!$D$1:$D$18046,$H245))&lt;=0.00005,$F245=INDEX('AH History'!$E$1:$E$18046,$H245),$G245=INDEX('AH History'!$F$1:$F$18046,$H245)),1,-1),-1))</ns0:f>
        <ns0:v/>
      </ns0:c>
    </ns0:row>
    <ns0:row r="246">
      <ns0:c r="A246" s="215">
        <ns0:f>IF(OR(AH!$P$3=0,241+1&gt;AH!$P$11,AND(AH!$E$4&lt;&gt;"Stored",AH!$P$10&lt;&gt;1)),"",IFERROR(IF(AND(AH!$P$21=1,241+1=AH!$P$11),TODAY(),IF(AH!$P$10=1,INDEX('Live History'!$A$5:$A$3004,AH!$P$13+241),INDEX('AH History'!$A$1:$A$18046,AH!$P$7+241))),""))</ns0:f>
        <ns0:v/>
      </ns0:c>
      <ns0:c r="B246" s="219">
        <ns0:f>IFERROR(IF(AND(AH!$P$9&lt;&gt;1,$C246&gt;0,$D246&gt;0,$E246&gt;0,$F246&gt;0,$G246&gt;0,$F246&lt;=$A246,$G246&lt;=$A246,$A246-$F246&lt;=10,$A246-$G246&lt;=5),$D246*$E246/$C246-1,NA()),NA())</ns0:f>
        <ns0:v/>
      </ns0:c>
      <ns0:c r="C246">
        <ns0:f>IFERROR(IF(ISNUMBER($A246),IF(AND(AH!$P$10=1,AH!$P$12=1,$A246=TODAY()),AH!$P$19,IF(AH!$P$10=1,INDEX('Live History'!$B$5:$B$3004,AH!$P$13+241),INDEX('AH History'!$B$1:$B$18046,AH!$P$7+241))),NA()),NA())</ns0:f>
        <ns0:v/>
      </ns0:c>
      <ns0:c r="D246">
        <ns0:f>IFERROR(IF(ISNUMBER($A246),IF(AND(AH!$P$10=1,AH!$P$12=1,$A246=TODAY()),AH!$P$18,IF(AH!$P$10=1,INDEX('Live History'!$E$5:$E$3004,MATCH($A246,'Live History'!$D$5:$D$3004,1)),INDEX('AH History'!$C$1:$C$18046,AH!$P$7+241))),NA()),NA())</ns0:f>
        <ns0:v/>
      </ns0:c>
      <ns0:c r="E246">
        <ns0:f>IFERROR(IF(ISNUMBER($A246),IF(AND(AH!$P$10=1,AH!$P$12=1,$A246=TODAY()),AH!$P$20,IF(AH!$P$10=1,INDEX('Live History'!$H$5:$H$3004,MATCH($A246,'Live History'!$G$5:$G$3004,1)),INDEX('AH History'!$D$1:$D$18046,AH!$P$7+241))),NA()),NA())</ns0:f>
        <ns0:v/>
      </ns0:c>
      <ns0:c r="F246">
        <ns0:f>IFERROR(IF(ISNUMBER($A246),IF(AND(AH!$P$10=1,AH!$P$12=1,$A246=TODAY()),IF(AND(AH!$P$10=1,AH!$P$12=1,$A246=TODAY()),TODAY(),NA()),IF(AH!$P$10=1,INDEX('Live History'!$D$5:$D$3004,MATCH($A246,'Live History'!$D$5:$D$3004,1)),INDEX('AH History'!$E$1:$E$18046,AH!$P$7+241))),NA()),NA())</ns0:f>
        <ns0:v/>
      </ns0:c>
      <ns0:c r="G246">
        <ns0:f>IFERROR(IF(ISNUMBER($A246),IF(AND(AH!$P$10=1,AH!$P$12=1,$A246=TODAY()),IF(AND(AH!$P$10=1,AH!$P$12=1,$A246=TODAY()),TODAY(),NA()),IF(AH!$P$10=1,INDEX('Live History'!$G$5:$G$3004,MATCH($A246,'Live History'!$G$5:$G$3004,1)),INDEX('AH History'!$F$1:$F$18046,AH!$P$7+241))),NA()),NA())</ns0:f>
        <ns0:v/>
      </ns0:c>
      <ns0:c r="H246">
        <ns0:f>IFERROR(IF(AND(AH!$E$4="Bloomberg",AH!$P$10=1,ISNUMBER($A246),$A246&lt;=AH!$P$17),AH!$P$7-1+MATCH($A246,INDEX('AH History'!$A$1:$A$18046,AH!$P$7):INDEX('AH History'!$A$1:$A$18046,AH!$P$7+AH!$P$8-1),0),0),0)</ns0:f>
        <ns0:v/>
      </ns0:c>
      <ns0:c r="I246">
        <ns0:f>IF($H246=0,0,IFERROR(IF(AND(ABS($C246-INDEX('AH History'!$B$1:$B$18046,$H246))&lt;=MAX(0.005,ABS(INDEX('AH History'!$B$1:$B$18046,$H246))*0.00005),ABS($D246-INDEX('AH History'!$C$1:$C$18046,$H246))&lt;=MAX(0.005,ABS(INDEX('AH History'!$C$1:$C$18046,$H246))*0.00005),ABS($E246-INDEX('AH History'!$D$1:$D$18046,$H246))&lt;=0.00005,$F246=INDEX('AH History'!$E$1:$E$18046,$H246),$G246=INDEX('AH History'!$F$1:$F$18046,$H246)),1,-1),-1))</ns0:f>
        <ns0:v/>
      </ns0:c>
    </ns0:row>
    <ns0:row r="247">
      <ns0:c r="A247" s="215">
        <ns0:f>IF(OR(AH!$P$3=0,242+1&gt;AH!$P$11,AND(AH!$E$4&lt;&gt;"Stored",AH!$P$10&lt;&gt;1)),"",IFERROR(IF(AND(AH!$P$21=1,242+1=AH!$P$11),TODAY(),IF(AH!$P$10=1,INDEX('Live History'!$A$5:$A$3004,AH!$P$13+242),INDEX('AH History'!$A$1:$A$18046,AH!$P$7+242))),""))</ns0:f>
        <ns0:v/>
      </ns0:c>
      <ns0:c r="B247" s="219">
        <ns0:f>IFERROR(IF(AND(AH!$P$9&lt;&gt;1,$C247&gt;0,$D247&gt;0,$E247&gt;0,$F247&gt;0,$G247&gt;0,$F247&lt;=$A247,$G247&lt;=$A247,$A247-$F247&lt;=10,$A247-$G247&lt;=5),$D247*$E247/$C247-1,NA()),NA())</ns0:f>
        <ns0:v/>
      </ns0:c>
      <ns0:c r="C247">
        <ns0:f>IFERROR(IF(ISNUMBER($A247),IF(AND(AH!$P$10=1,AH!$P$12=1,$A247=TODAY()),AH!$P$19,IF(AH!$P$10=1,INDEX('Live History'!$B$5:$B$3004,AH!$P$13+242),INDEX('AH History'!$B$1:$B$18046,AH!$P$7+242))),NA()),NA())</ns0:f>
        <ns0:v/>
      </ns0:c>
      <ns0:c r="D247">
        <ns0:f>IFERROR(IF(ISNUMBER($A247),IF(AND(AH!$P$10=1,AH!$P$12=1,$A247=TODAY()),AH!$P$18,IF(AH!$P$10=1,INDEX('Live History'!$E$5:$E$3004,MATCH($A247,'Live History'!$D$5:$D$3004,1)),INDEX('AH History'!$C$1:$C$18046,AH!$P$7+242))),NA()),NA())</ns0:f>
        <ns0:v/>
      </ns0:c>
      <ns0:c r="E247">
        <ns0:f>IFERROR(IF(ISNUMBER($A247),IF(AND(AH!$P$10=1,AH!$P$12=1,$A247=TODAY()),AH!$P$20,IF(AH!$P$10=1,INDEX('Live History'!$H$5:$H$3004,MATCH($A247,'Live History'!$G$5:$G$3004,1)),INDEX('AH History'!$D$1:$D$18046,AH!$P$7+242))),NA()),NA())</ns0:f>
        <ns0:v/>
      </ns0:c>
      <ns0:c r="F247">
        <ns0:f>IFERROR(IF(ISNUMBER($A247),IF(AND(AH!$P$10=1,AH!$P$12=1,$A247=TODAY()),IF(AND(AH!$P$10=1,AH!$P$12=1,$A247=TODAY()),TODAY(),NA()),IF(AH!$P$10=1,INDEX('Live History'!$D$5:$D$3004,MATCH($A247,'Live History'!$D$5:$D$3004,1)),INDEX('AH History'!$E$1:$E$18046,AH!$P$7+242))),NA()),NA())</ns0:f>
        <ns0:v/>
      </ns0:c>
      <ns0:c r="G247">
        <ns0:f>IFERROR(IF(ISNUMBER($A247),IF(AND(AH!$P$10=1,AH!$P$12=1,$A247=TODAY()),IF(AND(AH!$P$10=1,AH!$P$12=1,$A247=TODAY()),TODAY(),NA()),IF(AH!$P$10=1,INDEX('Live History'!$G$5:$G$3004,MATCH($A247,'Live History'!$G$5:$G$3004,1)),INDEX('AH History'!$F$1:$F$18046,AH!$P$7+242))),NA()),NA())</ns0:f>
        <ns0:v/>
      </ns0:c>
      <ns0:c r="H247">
        <ns0:f>IFERROR(IF(AND(AH!$E$4="Bloomberg",AH!$P$10=1,ISNUMBER($A247),$A247&lt;=AH!$P$17),AH!$P$7-1+MATCH($A247,INDEX('AH History'!$A$1:$A$18046,AH!$P$7):INDEX('AH History'!$A$1:$A$18046,AH!$P$7+AH!$P$8-1),0),0),0)</ns0:f>
        <ns0:v/>
      </ns0:c>
      <ns0:c r="I247">
        <ns0:f>IF($H247=0,0,IFERROR(IF(AND(ABS($C247-INDEX('AH History'!$B$1:$B$18046,$H247))&lt;=MAX(0.005,ABS(INDEX('AH History'!$B$1:$B$18046,$H247))*0.00005),ABS($D247-INDEX('AH History'!$C$1:$C$18046,$H247))&lt;=MAX(0.005,ABS(INDEX('AH History'!$C$1:$C$18046,$H247))*0.00005),ABS($E247-INDEX('AH History'!$D$1:$D$18046,$H247))&lt;=0.00005,$F247=INDEX('AH History'!$E$1:$E$18046,$H247),$G247=INDEX('AH History'!$F$1:$F$18046,$H247)),1,-1),-1))</ns0:f>
        <ns0:v/>
      </ns0:c>
    </ns0:row>
    <ns0:row r="248">
      <ns0:c r="A248" s="215">
        <ns0:f>IF(OR(AH!$P$3=0,243+1&gt;AH!$P$11,AND(AH!$E$4&lt;&gt;"Stored",AH!$P$10&lt;&gt;1)),"",IFERROR(IF(AND(AH!$P$21=1,243+1=AH!$P$11),TODAY(),IF(AH!$P$10=1,INDEX('Live History'!$A$5:$A$3004,AH!$P$13+243),INDEX('AH History'!$A$1:$A$18046,AH!$P$7+243))),""))</ns0:f>
        <ns0:v/>
      </ns0:c>
      <ns0:c r="B248" s="219">
        <ns0:f>IFERROR(IF(AND(AH!$P$9&lt;&gt;1,$C248&gt;0,$D248&gt;0,$E248&gt;0,$F248&gt;0,$G248&gt;0,$F248&lt;=$A248,$G248&lt;=$A248,$A248-$F248&lt;=10,$A248-$G248&lt;=5),$D248*$E248/$C248-1,NA()),NA())</ns0:f>
        <ns0:v/>
      </ns0:c>
      <ns0:c r="C248">
        <ns0:f>IFERROR(IF(ISNUMBER($A248),IF(AND(AH!$P$10=1,AH!$P$12=1,$A248=TODAY()),AH!$P$19,IF(AH!$P$10=1,INDEX('Live History'!$B$5:$B$3004,AH!$P$13+243),INDEX('AH History'!$B$1:$B$18046,AH!$P$7+243))),NA()),NA())</ns0:f>
        <ns0:v/>
      </ns0:c>
      <ns0:c r="D248">
        <ns0:f>IFERROR(IF(ISNUMBER($A248),IF(AND(AH!$P$10=1,AH!$P$12=1,$A248=TODAY()),AH!$P$18,IF(AH!$P$10=1,INDEX('Live History'!$E$5:$E$3004,MATCH($A248,'Live History'!$D$5:$D$3004,1)),INDEX('AH History'!$C$1:$C$18046,AH!$P$7+243))),NA()),NA())</ns0:f>
        <ns0:v/>
      </ns0:c>
      <ns0:c r="E248">
        <ns0:f>IFERROR(IF(ISNUMBER($A248),IF(AND(AH!$P$10=1,AH!$P$12=1,$A248=TODAY()),AH!$P$20,IF(AH!$P$10=1,INDEX('Live History'!$H$5:$H$3004,MATCH($A248,'Live History'!$G$5:$G$3004,1)),INDEX('AH History'!$D$1:$D$18046,AH!$P$7+243))),NA()),NA())</ns0:f>
        <ns0:v/>
      </ns0:c>
      <ns0:c r="F248">
        <ns0:f>IFERROR(IF(ISNUMBER($A248),IF(AND(AH!$P$10=1,AH!$P$12=1,$A248=TODAY()),IF(AND(AH!$P$10=1,AH!$P$12=1,$A248=TODAY()),TODAY(),NA()),IF(AH!$P$10=1,INDEX('Live History'!$D$5:$D$3004,MATCH($A248,'Live History'!$D$5:$D$3004,1)),INDEX('AH History'!$E$1:$E$18046,AH!$P$7+243))),NA()),NA())</ns0:f>
        <ns0:v/>
      </ns0:c>
      <ns0:c r="G248">
        <ns0:f>IFERROR(IF(ISNUMBER($A248),IF(AND(AH!$P$10=1,AH!$P$12=1,$A248=TODAY()),IF(AND(AH!$P$10=1,AH!$P$12=1,$A248=TODAY()),TODAY(),NA()),IF(AH!$P$10=1,INDEX('Live History'!$G$5:$G$3004,MATCH($A248,'Live History'!$G$5:$G$3004,1)),INDEX('AH History'!$F$1:$F$18046,AH!$P$7+243))),NA()),NA())</ns0:f>
        <ns0:v/>
      </ns0:c>
      <ns0:c r="H248">
        <ns0:f>IFERROR(IF(AND(AH!$E$4="Bloomberg",AH!$P$10=1,ISNUMBER($A248),$A248&lt;=AH!$P$17),AH!$P$7-1+MATCH($A248,INDEX('AH History'!$A$1:$A$18046,AH!$P$7):INDEX('AH History'!$A$1:$A$18046,AH!$P$7+AH!$P$8-1),0),0),0)</ns0:f>
        <ns0:v/>
      </ns0:c>
      <ns0:c r="I248">
        <ns0:f>IF($H248=0,0,IFERROR(IF(AND(ABS($C248-INDEX('AH History'!$B$1:$B$18046,$H248))&lt;=MAX(0.005,ABS(INDEX('AH History'!$B$1:$B$18046,$H248))*0.00005),ABS($D248-INDEX('AH History'!$C$1:$C$18046,$H248))&lt;=MAX(0.005,ABS(INDEX('AH History'!$C$1:$C$18046,$H248))*0.00005),ABS($E248-INDEX('AH History'!$D$1:$D$18046,$H248))&lt;=0.00005,$F248=INDEX('AH History'!$E$1:$E$18046,$H248),$G248=INDEX('AH History'!$F$1:$F$18046,$H248)),1,-1),-1))</ns0:f>
        <ns0:v/>
      </ns0:c>
    </ns0:row>
    <ns0:row r="249">
      <ns0:c r="A249" s="215">
        <ns0:f>IF(OR(AH!$P$3=0,244+1&gt;AH!$P$11,AND(AH!$E$4&lt;&gt;"Stored",AH!$P$10&lt;&gt;1)),"",IFERROR(IF(AND(AH!$P$21=1,244+1=AH!$P$11),TODAY(),IF(AH!$P$10=1,INDEX('Live History'!$A$5:$A$3004,AH!$P$13+244),INDEX('AH History'!$A$1:$A$18046,AH!$P$7+244))),""))</ns0:f>
        <ns0:v/>
      </ns0:c>
      <ns0:c r="B249" s="219">
        <ns0:f>IFERROR(IF(AND(AH!$P$9&lt;&gt;1,$C249&gt;0,$D249&gt;0,$E249&gt;0,$F249&gt;0,$G249&gt;0,$F249&lt;=$A249,$G249&lt;=$A249,$A249-$F249&lt;=10,$A249-$G249&lt;=5),$D249*$E249/$C249-1,NA()),NA())</ns0:f>
        <ns0:v/>
      </ns0:c>
      <ns0:c r="C249">
        <ns0:f>IFERROR(IF(ISNUMBER($A249),IF(AND(AH!$P$10=1,AH!$P$12=1,$A249=TODAY()),AH!$P$19,IF(AH!$P$10=1,INDEX('Live History'!$B$5:$B$3004,AH!$P$13+244),INDEX('AH History'!$B$1:$B$18046,AH!$P$7+244))),NA()),NA())</ns0:f>
        <ns0:v/>
      </ns0:c>
      <ns0:c r="D249">
        <ns0:f>IFERROR(IF(ISNUMBER($A249),IF(AND(AH!$P$10=1,AH!$P$12=1,$A249=TODAY()),AH!$P$18,IF(AH!$P$10=1,INDEX('Live History'!$E$5:$E$3004,MATCH($A249,'Live History'!$D$5:$D$3004,1)),INDEX('AH History'!$C$1:$C$18046,AH!$P$7+244))),NA()),NA())</ns0:f>
        <ns0:v/>
      </ns0:c>
      <ns0:c r="E249">
        <ns0:f>IFERROR(IF(ISNUMBER($A249),IF(AND(AH!$P$10=1,AH!$P$12=1,$A249=TODAY()),AH!$P$20,IF(AH!$P$10=1,INDEX('Live History'!$H$5:$H$3004,MATCH($A249,'Live History'!$G$5:$G$3004,1)),INDEX('AH History'!$D$1:$D$18046,AH!$P$7+244))),NA()),NA())</ns0:f>
        <ns0:v/>
      </ns0:c>
      <ns0:c r="F249">
        <ns0:f>IFERROR(IF(ISNUMBER($A249),IF(AND(AH!$P$10=1,AH!$P$12=1,$A249=TODAY()),IF(AND(AH!$P$10=1,AH!$P$12=1,$A249=TODAY()),TODAY(),NA()),IF(AH!$P$10=1,INDEX('Live History'!$D$5:$D$3004,MATCH($A249,'Live History'!$D$5:$D$3004,1)),INDEX('AH History'!$E$1:$E$18046,AH!$P$7+244))),NA()),NA())</ns0:f>
        <ns0:v/>
      </ns0:c>
      <ns0:c r="G249">
        <ns0:f>IFERROR(IF(ISNUMBER($A249),IF(AND(AH!$P$10=1,AH!$P$12=1,$A249=TODAY()),IF(AND(AH!$P$10=1,AH!$P$12=1,$A249=TODAY()),TODAY(),NA()),IF(AH!$P$10=1,INDEX('Live History'!$G$5:$G$3004,MATCH($A249,'Live History'!$G$5:$G$3004,1)),INDEX('AH History'!$F$1:$F$18046,AH!$P$7+244))),NA()),NA())</ns0:f>
        <ns0:v/>
      </ns0:c>
      <ns0:c r="H249">
        <ns0:f>IFERROR(IF(AND(AH!$E$4="Bloomberg",AH!$P$10=1,ISNUMBER($A249),$A249&lt;=AH!$P$17),AH!$P$7-1+MATCH($A249,INDEX('AH History'!$A$1:$A$18046,AH!$P$7):INDEX('AH History'!$A$1:$A$18046,AH!$P$7+AH!$P$8-1),0),0),0)</ns0:f>
        <ns0:v/>
      </ns0:c>
      <ns0:c r="I249">
        <ns0:f>IF($H249=0,0,IFERROR(IF(AND(ABS($C249-INDEX('AH History'!$B$1:$B$18046,$H249))&lt;=MAX(0.005,ABS(INDEX('AH History'!$B$1:$B$18046,$H249))*0.00005),ABS($D249-INDEX('AH History'!$C$1:$C$18046,$H249))&lt;=MAX(0.005,ABS(INDEX('AH History'!$C$1:$C$18046,$H249))*0.00005),ABS($E249-INDEX('AH History'!$D$1:$D$18046,$H249))&lt;=0.00005,$F249=INDEX('AH History'!$E$1:$E$18046,$H249),$G249=INDEX('AH History'!$F$1:$F$18046,$H249)),1,-1),-1))</ns0:f>
        <ns0:v/>
      </ns0:c>
    </ns0:row>
    <ns0:row r="250">
      <ns0:c r="A250" s="215">
        <ns0:f>IF(OR(AH!$P$3=0,245+1&gt;AH!$P$11,AND(AH!$E$4&lt;&gt;"Stored",AH!$P$10&lt;&gt;1)),"",IFERROR(IF(AND(AH!$P$21=1,245+1=AH!$P$11),TODAY(),IF(AH!$P$10=1,INDEX('Live History'!$A$5:$A$3004,AH!$P$13+245),INDEX('AH History'!$A$1:$A$18046,AH!$P$7+245))),""))</ns0:f>
        <ns0:v/>
      </ns0:c>
      <ns0:c r="B250" s="219">
        <ns0:f>IFERROR(IF(AND(AH!$P$9&lt;&gt;1,$C250&gt;0,$D250&gt;0,$E250&gt;0,$F250&gt;0,$G250&gt;0,$F250&lt;=$A250,$G250&lt;=$A250,$A250-$F250&lt;=10,$A250-$G250&lt;=5),$D250*$E250/$C250-1,NA()),NA())</ns0:f>
        <ns0:v/>
      </ns0:c>
      <ns0:c r="C250">
        <ns0:f>IFERROR(IF(ISNUMBER($A250),IF(AND(AH!$P$10=1,AH!$P$12=1,$A250=TODAY()),AH!$P$19,IF(AH!$P$10=1,INDEX('Live History'!$B$5:$B$3004,AH!$P$13+245),INDEX('AH History'!$B$1:$B$18046,AH!$P$7+245))),NA()),NA())</ns0:f>
        <ns0:v/>
      </ns0:c>
      <ns0:c r="D250">
        <ns0:f>IFERROR(IF(ISNUMBER($A250),IF(AND(AH!$P$10=1,AH!$P$12=1,$A250=TODAY()),AH!$P$18,IF(AH!$P$10=1,INDEX('Live History'!$E$5:$E$3004,MATCH($A250,'Live History'!$D$5:$D$3004,1)),INDEX('AH History'!$C$1:$C$18046,AH!$P$7+245))),NA()),NA())</ns0:f>
        <ns0:v/>
      </ns0:c>
      <ns0:c r="E250">
        <ns0:f>IFERROR(IF(ISNUMBER($A250),IF(AND(AH!$P$10=1,AH!$P$12=1,$A250=TODAY()),AH!$P$20,IF(AH!$P$10=1,INDEX('Live History'!$H$5:$H$3004,MATCH($A250,'Live History'!$G$5:$G$3004,1)),INDEX('AH History'!$D$1:$D$18046,AH!$P$7+245))),NA()),NA())</ns0:f>
        <ns0:v/>
      </ns0:c>
      <ns0:c r="F250">
        <ns0:f>IFERROR(IF(ISNUMBER($A250),IF(AND(AH!$P$10=1,AH!$P$12=1,$A250=TODAY()),IF(AND(AH!$P$10=1,AH!$P$12=1,$A250=TODAY()),TODAY(),NA()),IF(AH!$P$10=1,INDEX('Live History'!$D$5:$D$3004,MATCH($A250,'Live History'!$D$5:$D$3004,1)),INDEX('AH History'!$E$1:$E$18046,AH!$P$7+245))),NA()),NA())</ns0:f>
        <ns0:v/>
      </ns0:c>
      <ns0:c r="G250">
        <ns0:f>IFERROR(IF(ISNUMBER($A250),IF(AND(AH!$P$10=1,AH!$P$12=1,$A250=TODAY()),IF(AND(AH!$P$10=1,AH!$P$12=1,$A250=TODAY()),TODAY(),NA()),IF(AH!$P$10=1,INDEX('Live History'!$G$5:$G$3004,MATCH($A250,'Live History'!$G$5:$G$3004,1)),INDEX('AH History'!$F$1:$F$18046,AH!$P$7+245))),NA()),NA())</ns0:f>
        <ns0:v/>
      </ns0:c>
      <ns0:c r="H250">
        <ns0:f>IFERROR(IF(AND(AH!$E$4="Bloomberg",AH!$P$10=1,ISNUMBER($A250),$A250&lt;=AH!$P$17),AH!$P$7-1+MATCH($A250,INDEX('AH History'!$A$1:$A$18046,AH!$P$7):INDEX('AH History'!$A$1:$A$18046,AH!$P$7+AH!$P$8-1),0),0),0)</ns0:f>
        <ns0:v/>
      </ns0:c>
      <ns0:c r="I250">
        <ns0:f>IF($H250=0,0,IFERROR(IF(AND(ABS($C250-INDEX('AH History'!$B$1:$B$18046,$H250))&lt;=MAX(0.005,ABS(INDEX('AH History'!$B$1:$B$18046,$H250))*0.00005),ABS($D250-INDEX('AH History'!$C$1:$C$18046,$H250))&lt;=MAX(0.005,ABS(INDEX('AH History'!$C$1:$C$18046,$H250))*0.00005),ABS($E250-INDEX('AH History'!$D$1:$D$18046,$H250))&lt;=0.00005,$F250=INDEX('AH History'!$E$1:$E$18046,$H250),$G250=INDEX('AH History'!$F$1:$F$18046,$H250)),1,-1),-1))</ns0:f>
        <ns0:v/>
      </ns0:c>
    </ns0:row>
    <ns0:row r="251">
      <ns0:c r="A251" s="215">
        <ns0:f>IF(OR(AH!$P$3=0,246+1&gt;AH!$P$11,AND(AH!$E$4&lt;&gt;"Stored",AH!$P$10&lt;&gt;1)),"",IFERROR(IF(AND(AH!$P$21=1,246+1=AH!$P$11),TODAY(),IF(AH!$P$10=1,INDEX('Live History'!$A$5:$A$3004,AH!$P$13+246),INDEX('AH History'!$A$1:$A$18046,AH!$P$7+246))),""))</ns0:f>
        <ns0:v/>
      </ns0:c>
      <ns0:c r="B251" s="219">
        <ns0:f>IFERROR(IF(AND(AH!$P$9&lt;&gt;1,$C251&gt;0,$D251&gt;0,$E251&gt;0,$F251&gt;0,$G251&gt;0,$F251&lt;=$A251,$G251&lt;=$A251,$A251-$F251&lt;=10,$A251-$G251&lt;=5),$D251*$E251/$C251-1,NA()),NA())</ns0:f>
        <ns0:v/>
      </ns0:c>
      <ns0:c r="C251">
        <ns0:f>IFERROR(IF(ISNUMBER($A251),IF(AND(AH!$P$10=1,AH!$P$12=1,$A251=TODAY()),AH!$P$19,IF(AH!$P$10=1,INDEX('Live History'!$B$5:$B$3004,AH!$P$13+246),INDEX('AH History'!$B$1:$B$18046,AH!$P$7+246))),NA()),NA())</ns0:f>
        <ns0:v/>
      </ns0:c>
      <ns0:c r="D251">
        <ns0:f>IFERROR(IF(ISNUMBER($A251),IF(AND(AH!$P$10=1,AH!$P$12=1,$A251=TODAY()),AH!$P$18,IF(AH!$P$10=1,INDEX('Live History'!$E$5:$E$3004,MATCH($A251,'Live History'!$D$5:$D$3004,1)),INDEX('AH History'!$C$1:$C$18046,AH!$P$7+246))),NA()),NA())</ns0:f>
        <ns0:v/>
      </ns0:c>
      <ns0:c r="E251">
        <ns0:f>IFERROR(IF(ISNUMBER($A251),IF(AND(AH!$P$10=1,AH!$P$12=1,$A251=TODAY()),AH!$P$20,IF(AH!$P$10=1,INDEX('Live History'!$H$5:$H$3004,MATCH($A251,'Live History'!$G$5:$G$3004,1)),INDEX('AH History'!$D$1:$D$18046,AH!$P$7+246))),NA()),NA())</ns0:f>
        <ns0:v/>
      </ns0:c>
      <ns0:c r="F251">
        <ns0:f>IFERROR(IF(ISNUMBER($A251),IF(AND(AH!$P$10=1,AH!$P$12=1,$A251=TODAY()),IF(AND(AH!$P$10=1,AH!$P$12=1,$A251=TODAY()),TODAY(),NA()),IF(AH!$P$10=1,INDEX('Live History'!$D$5:$D$3004,MATCH($A251,'Live History'!$D$5:$D$3004,1)),INDEX('AH History'!$E$1:$E$18046,AH!$P$7+246))),NA()),NA())</ns0:f>
        <ns0:v/>
      </ns0:c>
      <ns0:c r="G251">
        <ns0:f>IFERROR(IF(ISNUMBER($A251),IF(AND(AH!$P$10=1,AH!$P$12=1,$A251=TODAY()),IF(AND(AH!$P$10=1,AH!$P$12=1,$A251=TODAY()),TODAY(),NA()),IF(AH!$P$10=1,INDEX('Live History'!$G$5:$G$3004,MATCH($A251,'Live History'!$G$5:$G$3004,1)),INDEX('AH History'!$F$1:$F$18046,AH!$P$7+246))),NA()),NA())</ns0:f>
        <ns0:v/>
      </ns0:c>
      <ns0:c r="H251">
        <ns0:f>IFERROR(IF(AND(AH!$E$4="Bloomberg",AH!$P$10=1,ISNUMBER($A251),$A251&lt;=AH!$P$17),AH!$P$7-1+MATCH($A251,INDEX('AH History'!$A$1:$A$18046,AH!$P$7):INDEX('AH History'!$A$1:$A$18046,AH!$P$7+AH!$P$8-1),0),0),0)</ns0:f>
        <ns0:v/>
      </ns0:c>
      <ns0:c r="I251">
        <ns0:f>IF($H251=0,0,IFERROR(IF(AND(ABS($C251-INDEX('AH History'!$B$1:$B$18046,$H251))&lt;=MAX(0.005,ABS(INDEX('AH History'!$B$1:$B$18046,$H251))*0.00005),ABS($D251-INDEX('AH History'!$C$1:$C$18046,$H251))&lt;=MAX(0.005,ABS(INDEX('AH History'!$C$1:$C$18046,$H251))*0.00005),ABS($E251-INDEX('AH History'!$D$1:$D$18046,$H251))&lt;=0.00005,$F251=INDEX('AH History'!$E$1:$E$18046,$H251),$G251=INDEX('AH History'!$F$1:$F$18046,$H251)),1,-1),-1))</ns0:f>
        <ns0:v/>
      </ns0:c>
    </ns0:row>
    <ns0:row r="252">
      <ns0:c r="A252" s="215">
        <ns0:f>IF(OR(AH!$P$3=0,247+1&gt;AH!$P$11,AND(AH!$E$4&lt;&gt;"Stored",AH!$P$10&lt;&gt;1)),"",IFERROR(IF(AND(AH!$P$21=1,247+1=AH!$P$11),TODAY(),IF(AH!$P$10=1,INDEX('Live History'!$A$5:$A$3004,AH!$P$13+247),INDEX('AH History'!$A$1:$A$18046,AH!$P$7+247))),""))</ns0:f>
        <ns0:v/>
      </ns0:c>
      <ns0:c r="B252" s="219">
        <ns0:f>IFERROR(IF(AND(AH!$P$9&lt;&gt;1,$C252&gt;0,$D252&gt;0,$E252&gt;0,$F252&gt;0,$G252&gt;0,$F252&lt;=$A252,$G252&lt;=$A252,$A252-$F252&lt;=10,$A252-$G252&lt;=5),$D252*$E252/$C252-1,NA()),NA())</ns0:f>
        <ns0:v/>
      </ns0:c>
      <ns0:c r="C252">
        <ns0:f>IFERROR(IF(ISNUMBER($A252),IF(AND(AH!$P$10=1,AH!$P$12=1,$A252=TODAY()),AH!$P$19,IF(AH!$P$10=1,INDEX('Live History'!$B$5:$B$3004,AH!$P$13+247),INDEX('AH History'!$B$1:$B$18046,AH!$P$7+247))),NA()),NA())</ns0:f>
        <ns0:v/>
      </ns0:c>
      <ns0:c r="D252">
        <ns0:f>IFERROR(IF(ISNUMBER($A252),IF(AND(AH!$P$10=1,AH!$P$12=1,$A252=TODAY()),AH!$P$18,IF(AH!$P$10=1,INDEX('Live History'!$E$5:$E$3004,MATCH($A252,'Live History'!$D$5:$D$3004,1)),INDEX('AH History'!$C$1:$C$18046,AH!$P$7+247))),NA()),NA())</ns0:f>
        <ns0:v/>
      </ns0:c>
      <ns0:c r="E252">
        <ns0:f>IFERROR(IF(ISNUMBER($A252),IF(AND(AH!$P$10=1,AH!$P$12=1,$A252=TODAY()),AH!$P$20,IF(AH!$P$10=1,INDEX('Live History'!$H$5:$H$3004,MATCH($A252,'Live History'!$G$5:$G$3004,1)),INDEX('AH History'!$D$1:$D$18046,AH!$P$7+247))),NA()),NA())</ns0:f>
        <ns0:v/>
      </ns0:c>
      <ns0:c r="F252">
        <ns0:f>IFERROR(IF(ISNUMBER($A252),IF(AND(AH!$P$10=1,AH!$P$12=1,$A252=TODAY()),IF(AND(AH!$P$10=1,AH!$P$12=1,$A252=TODAY()),TODAY(),NA()),IF(AH!$P$10=1,INDEX('Live History'!$D$5:$D$3004,MATCH($A252,'Live History'!$D$5:$D$3004,1)),INDEX('AH History'!$E$1:$E$18046,AH!$P$7+247))),NA()),NA())</ns0:f>
        <ns0:v/>
      </ns0:c>
      <ns0:c r="G252">
        <ns0:f>IFERROR(IF(ISNUMBER($A252),IF(AND(AH!$P$10=1,AH!$P$12=1,$A252=TODAY()),IF(AND(AH!$P$10=1,AH!$P$12=1,$A252=TODAY()),TODAY(),NA()),IF(AH!$P$10=1,INDEX('Live History'!$G$5:$G$3004,MATCH($A252,'Live History'!$G$5:$G$3004,1)),INDEX('AH History'!$F$1:$F$18046,AH!$P$7+247))),NA()),NA())</ns0:f>
        <ns0:v/>
      </ns0:c>
      <ns0:c r="H252">
        <ns0:f>IFERROR(IF(AND(AH!$E$4="Bloomberg",AH!$P$10=1,ISNUMBER($A252),$A252&lt;=AH!$P$17),AH!$P$7-1+MATCH($A252,INDEX('AH History'!$A$1:$A$18046,AH!$P$7):INDEX('AH History'!$A$1:$A$18046,AH!$P$7+AH!$P$8-1),0),0),0)</ns0:f>
        <ns0:v/>
      </ns0:c>
      <ns0:c r="I252">
        <ns0:f>IF($H252=0,0,IFERROR(IF(AND(ABS($C252-INDEX('AH History'!$B$1:$B$18046,$H252))&lt;=MAX(0.005,ABS(INDEX('AH History'!$B$1:$B$18046,$H252))*0.00005),ABS($D252-INDEX('AH History'!$C$1:$C$18046,$H252))&lt;=MAX(0.005,ABS(INDEX('AH History'!$C$1:$C$18046,$H252))*0.00005),ABS($E252-INDEX('AH History'!$D$1:$D$18046,$H252))&lt;=0.00005,$F252=INDEX('AH History'!$E$1:$E$18046,$H252),$G252=INDEX('AH History'!$F$1:$F$18046,$H252)),1,-1),-1))</ns0:f>
        <ns0:v/>
      </ns0:c>
    </ns0:row>
    <ns0:row r="253">
      <ns0:c r="A253" s="215">
        <ns0:f>IF(OR(AH!$P$3=0,248+1&gt;AH!$P$11,AND(AH!$E$4&lt;&gt;"Stored",AH!$P$10&lt;&gt;1)),"",IFERROR(IF(AND(AH!$P$21=1,248+1=AH!$P$11),TODAY(),IF(AH!$P$10=1,INDEX('Live History'!$A$5:$A$3004,AH!$P$13+248),INDEX('AH History'!$A$1:$A$18046,AH!$P$7+248))),""))</ns0:f>
        <ns0:v/>
      </ns0:c>
      <ns0:c r="B253" s="219">
        <ns0:f>IFERROR(IF(AND(AH!$P$9&lt;&gt;1,$C253&gt;0,$D253&gt;0,$E253&gt;0,$F253&gt;0,$G253&gt;0,$F253&lt;=$A253,$G253&lt;=$A253,$A253-$F253&lt;=10,$A253-$G253&lt;=5),$D253*$E253/$C253-1,NA()),NA())</ns0:f>
        <ns0:v/>
      </ns0:c>
      <ns0:c r="C253">
        <ns0:f>IFERROR(IF(ISNUMBER($A253),IF(AND(AH!$P$10=1,AH!$P$12=1,$A253=TODAY()),AH!$P$19,IF(AH!$P$10=1,INDEX('Live History'!$B$5:$B$3004,AH!$P$13+248),INDEX('AH History'!$B$1:$B$18046,AH!$P$7+248))),NA()),NA())</ns0:f>
        <ns0:v/>
      </ns0:c>
      <ns0:c r="D253">
        <ns0:f>IFERROR(IF(ISNUMBER($A253),IF(AND(AH!$P$10=1,AH!$P$12=1,$A253=TODAY()),AH!$P$18,IF(AH!$P$10=1,INDEX('Live History'!$E$5:$E$3004,MATCH($A253,'Live History'!$D$5:$D$3004,1)),INDEX('AH History'!$C$1:$C$18046,AH!$P$7+248))),NA()),NA())</ns0:f>
        <ns0:v/>
      </ns0:c>
      <ns0:c r="E253">
        <ns0:f>IFERROR(IF(ISNUMBER($A253),IF(AND(AH!$P$10=1,AH!$P$12=1,$A253=TODAY()),AH!$P$20,IF(AH!$P$10=1,INDEX('Live History'!$H$5:$H$3004,MATCH($A253,'Live History'!$G$5:$G$3004,1)),INDEX('AH History'!$D$1:$D$18046,AH!$P$7+248))),NA()),NA())</ns0:f>
        <ns0:v/>
      </ns0:c>
      <ns0:c r="F253">
        <ns0:f>IFERROR(IF(ISNUMBER($A253),IF(AND(AH!$P$10=1,AH!$P$12=1,$A253=TODAY()),IF(AND(AH!$P$10=1,AH!$P$12=1,$A253=TODAY()),TODAY(),NA()),IF(AH!$P$10=1,INDEX('Live History'!$D$5:$D$3004,MATCH($A253,'Live History'!$D$5:$D$3004,1)),INDEX('AH History'!$E$1:$E$18046,AH!$P$7+248))),NA()),NA())</ns0:f>
        <ns0:v/>
      </ns0:c>
      <ns0:c r="G253">
        <ns0:f>IFERROR(IF(ISNUMBER($A253),IF(AND(AH!$P$10=1,AH!$P$12=1,$A253=TODAY()),IF(AND(AH!$P$10=1,AH!$P$12=1,$A253=TODAY()),TODAY(),NA()),IF(AH!$P$10=1,INDEX('Live History'!$G$5:$G$3004,MATCH($A253,'Live History'!$G$5:$G$3004,1)),INDEX('AH History'!$F$1:$F$18046,AH!$P$7+248))),NA()),NA())</ns0:f>
        <ns0:v/>
      </ns0:c>
      <ns0:c r="H253">
        <ns0:f>IFERROR(IF(AND(AH!$E$4="Bloomberg",AH!$P$10=1,ISNUMBER($A253),$A253&lt;=AH!$P$17),AH!$P$7-1+MATCH($A253,INDEX('AH History'!$A$1:$A$18046,AH!$P$7):INDEX('AH History'!$A$1:$A$18046,AH!$P$7+AH!$P$8-1),0),0),0)</ns0:f>
        <ns0:v/>
      </ns0:c>
      <ns0:c r="I253">
        <ns0:f>IF($H253=0,0,IFERROR(IF(AND(ABS($C253-INDEX('AH History'!$B$1:$B$18046,$H253))&lt;=MAX(0.005,ABS(INDEX('AH History'!$B$1:$B$18046,$H253))*0.00005),ABS($D253-INDEX('AH History'!$C$1:$C$18046,$H253))&lt;=MAX(0.005,ABS(INDEX('AH History'!$C$1:$C$18046,$H253))*0.00005),ABS($E253-INDEX('AH History'!$D$1:$D$18046,$H253))&lt;=0.00005,$F253=INDEX('AH History'!$E$1:$E$18046,$H253),$G253=INDEX('AH History'!$F$1:$F$18046,$H253)),1,-1),-1))</ns0:f>
        <ns0:v/>
      </ns0:c>
    </ns0:row>
    <ns0:row r="254">
      <ns0:c r="A254" s="215">
        <ns0:f>IF(OR(AH!$P$3=0,249+1&gt;AH!$P$11,AND(AH!$E$4&lt;&gt;"Stored",AH!$P$10&lt;&gt;1)),"",IFERROR(IF(AND(AH!$P$21=1,249+1=AH!$P$11),TODAY(),IF(AH!$P$10=1,INDEX('Live History'!$A$5:$A$3004,AH!$P$13+249),INDEX('AH History'!$A$1:$A$18046,AH!$P$7+249))),""))</ns0:f>
        <ns0:v/>
      </ns0:c>
      <ns0:c r="B254" s="219">
        <ns0:f>IFERROR(IF(AND(AH!$P$9&lt;&gt;1,$C254&gt;0,$D254&gt;0,$E254&gt;0,$F254&gt;0,$G254&gt;0,$F254&lt;=$A254,$G254&lt;=$A254,$A254-$F254&lt;=10,$A254-$G254&lt;=5),$D254*$E254/$C254-1,NA()),NA())</ns0:f>
        <ns0:v/>
      </ns0:c>
      <ns0:c r="C254">
        <ns0:f>IFERROR(IF(ISNUMBER($A254),IF(AND(AH!$P$10=1,AH!$P$12=1,$A254=TODAY()),AH!$P$19,IF(AH!$P$10=1,INDEX('Live History'!$B$5:$B$3004,AH!$P$13+249),INDEX('AH History'!$B$1:$B$18046,AH!$P$7+249))),NA()),NA())</ns0:f>
        <ns0:v/>
      </ns0:c>
      <ns0:c r="D254">
        <ns0:f>IFERROR(IF(ISNUMBER($A254),IF(AND(AH!$P$10=1,AH!$P$12=1,$A254=TODAY()),AH!$P$18,IF(AH!$P$10=1,INDEX('Live History'!$E$5:$E$3004,MATCH($A254,'Live History'!$D$5:$D$3004,1)),INDEX('AH History'!$C$1:$C$18046,AH!$P$7+249))),NA()),NA())</ns0:f>
        <ns0:v/>
      </ns0:c>
      <ns0:c r="E254">
        <ns0:f>IFERROR(IF(ISNUMBER($A254),IF(AND(AH!$P$10=1,AH!$P$12=1,$A254=TODAY()),AH!$P$20,IF(AH!$P$10=1,INDEX('Live History'!$H$5:$H$3004,MATCH($A254,'Live History'!$G$5:$G$3004,1)),INDEX('AH History'!$D$1:$D$18046,AH!$P$7+249))),NA()),NA())</ns0:f>
        <ns0:v/>
      </ns0:c>
      <ns0:c r="F254">
        <ns0:f>IFERROR(IF(ISNUMBER($A254),IF(AND(AH!$P$10=1,AH!$P$12=1,$A254=TODAY()),IF(AND(AH!$P$10=1,AH!$P$12=1,$A254=TODAY()),TODAY(),NA()),IF(AH!$P$10=1,INDEX('Live History'!$D$5:$D$3004,MATCH($A254,'Live History'!$D$5:$D$3004,1)),INDEX('AH History'!$E$1:$E$18046,AH!$P$7+249))),NA()),NA())</ns0:f>
        <ns0:v/>
      </ns0:c>
      <ns0:c r="G254">
        <ns0:f>IFERROR(IF(ISNUMBER($A254),IF(AND(AH!$P$10=1,AH!$P$12=1,$A254=TODAY()),IF(AND(AH!$P$10=1,AH!$P$12=1,$A254=TODAY()),TODAY(),NA()),IF(AH!$P$10=1,INDEX('Live History'!$G$5:$G$3004,MATCH($A254,'Live History'!$G$5:$G$3004,1)),INDEX('AH History'!$F$1:$F$18046,AH!$P$7+249))),NA()),NA())</ns0:f>
        <ns0:v/>
      </ns0:c>
      <ns0:c r="H254">
        <ns0:f>IFERROR(IF(AND(AH!$E$4="Bloomberg",AH!$P$10=1,ISNUMBER($A254),$A254&lt;=AH!$P$17),AH!$P$7-1+MATCH($A254,INDEX('AH History'!$A$1:$A$18046,AH!$P$7):INDEX('AH History'!$A$1:$A$18046,AH!$P$7+AH!$P$8-1),0),0),0)</ns0:f>
        <ns0:v/>
      </ns0:c>
      <ns0:c r="I254">
        <ns0:f>IF($H254=0,0,IFERROR(IF(AND(ABS($C254-INDEX('AH History'!$B$1:$B$18046,$H254))&lt;=MAX(0.005,ABS(INDEX('AH History'!$B$1:$B$18046,$H254))*0.00005),ABS($D254-INDEX('AH History'!$C$1:$C$18046,$H254))&lt;=MAX(0.005,ABS(INDEX('AH History'!$C$1:$C$18046,$H254))*0.00005),ABS($E254-INDEX('AH History'!$D$1:$D$18046,$H254))&lt;=0.00005,$F254=INDEX('AH History'!$E$1:$E$18046,$H254),$G254=INDEX('AH History'!$F$1:$F$18046,$H254)),1,-1),-1))</ns0:f>
        <ns0:v/>
      </ns0:c>
    </ns0:row>
    <ns0:row r="255">
      <ns0:c r="A255" s="215">
        <ns0:f>IF(OR(AH!$P$3=0,250+1&gt;AH!$P$11,AND(AH!$E$4&lt;&gt;"Stored",AH!$P$10&lt;&gt;1)),"",IFERROR(IF(AND(AH!$P$21=1,250+1=AH!$P$11),TODAY(),IF(AH!$P$10=1,INDEX('Live History'!$A$5:$A$3004,AH!$P$13+250),INDEX('AH History'!$A$1:$A$18046,AH!$P$7+250))),""))</ns0:f>
        <ns0:v/>
      </ns0:c>
      <ns0:c r="B255" s="219">
        <ns0:f>IFERROR(IF(AND(AH!$P$9&lt;&gt;1,$C255&gt;0,$D255&gt;0,$E255&gt;0,$F255&gt;0,$G255&gt;0,$F255&lt;=$A255,$G255&lt;=$A255,$A255-$F255&lt;=10,$A255-$G255&lt;=5),$D255*$E255/$C255-1,NA()),NA())</ns0:f>
        <ns0:v/>
      </ns0:c>
      <ns0:c r="C255">
        <ns0:f>IFERROR(IF(ISNUMBER($A255),IF(AND(AH!$P$10=1,AH!$P$12=1,$A255=TODAY()),AH!$P$19,IF(AH!$P$10=1,INDEX('Live History'!$B$5:$B$3004,AH!$P$13+250),INDEX('AH History'!$B$1:$B$18046,AH!$P$7+250))),NA()),NA())</ns0:f>
        <ns0:v/>
      </ns0:c>
      <ns0:c r="D255">
        <ns0:f>IFERROR(IF(ISNUMBER($A255),IF(AND(AH!$P$10=1,AH!$P$12=1,$A255=TODAY()),AH!$P$18,IF(AH!$P$10=1,INDEX('Live History'!$E$5:$E$3004,MATCH($A255,'Live History'!$D$5:$D$3004,1)),INDEX('AH History'!$C$1:$C$18046,AH!$P$7+250))),NA()),NA())</ns0:f>
        <ns0:v/>
      </ns0:c>
      <ns0:c r="E255">
        <ns0:f>IFERROR(IF(ISNUMBER($A255),IF(AND(AH!$P$10=1,AH!$P$12=1,$A255=TODAY()),AH!$P$20,IF(AH!$P$10=1,INDEX('Live History'!$H$5:$H$3004,MATCH($A255,'Live History'!$G$5:$G$3004,1)),INDEX('AH History'!$D$1:$D$18046,AH!$P$7+250))),NA()),NA())</ns0:f>
        <ns0:v/>
      </ns0:c>
      <ns0:c r="F255">
        <ns0:f>IFERROR(IF(ISNUMBER($A255),IF(AND(AH!$P$10=1,AH!$P$12=1,$A255=TODAY()),IF(AND(AH!$P$10=1,AH!$P$12=1,$A255=TODAY()),TODAY(),NA()),IF(AH!$P$10=1,INDEX('Live History'!$D$5:$D$3004,MATCH($A255,'Live History'!$D$5:$D$3004,1)),INDEX('AH History'!$E$1:$E$18046,AH!$P$7+250))),NA()),NA())</ns0:f>
        <ns0:v/>
      </ns0:c>
      <ns0:c r="G255">
        <ns0:f>IFERROR(IF(ISNUMBER($A255),IF(AND(AH!$P$10=1,AH!$P$12=1,$A255=TODAY()),IF(AND(AH!$P$10=1,AH!$P$12=1,$A255=TODAY()),TODAY(),NA()),IF(AH!$P$10=1,INDEX('Live History'!$G$5:$G$3004,MATCH($A255,'Live History'!$G$5:$G$3004,1)),INDEX('AH History'!$F$1:$F$18046,AH!$P$7+250))),NA()),NA())</ns0:f>
        <ns0:v/>
      </ns0:c>
      <ns0:c r="H255">
        <ns0:f>IFERROR(IF(AND(AH!$E$4="Bloomberg",AH!$P$10=1,ISNUMBER($A255),$A255&lt;=AH!$P$17),AH!$P$7-1+MATCH($A255,INDEX('AH History'!$A$1:$A$18046,AH!$P$7):INDEX('AH History'!$A$1:$A$18046,AH!$P$7+AH!$P$8-1),0),0),0)</ns0:f>
        <ns0:v/>
      </ns0:c>
      <ns0:c r="I255">
        <ns0:f>IF($H255=0,0,IFERROR(IF(AND(ABS($C255-INDEX('AH History'!$B$1:$B$18046,$H255))&lt;=MAX(0.005,ABS(INDEX('AH History'!$B$1:$B$18046,$H255))*0.00005),ABS($D255-INDEX('AH History'!$C$1:$C$18046,$H255))&lt;=MAX(0.005,ABS(INDEX('AH History'!$C$1:$C$18046,$H255))*0.00005),ABS($E255-INDEX('AH History'!$D$1:$D$18046,$H255))&lt;=0.00005,$F255=INDEX('AH History'!$E$1:$E$18046,$H255),$G255=INDEX('AH History'!$F$1:$F$18046,$H255)),1,-1),-1))</ns0:f>
        <ns0:v/>
      </ns0:c>
    </ns0:row>
    <ns0:row r="256">
      <ns0:c r="A256" s="215">
        <ns0:f>IF(OR(AH!$P$3=0,251+1&gt;AH!$P$11,AND(AH!$E$4&lt;&gt;"Stored",AH!$P$10&lt;&gt;1)),"",IFERROR(IF(AND(AH!$P$21=1,251+1=AH!$P$11),TODAY(),IF(AH!$P$10=1,INDEX('Live History'!$A$5:$A$3004,AH!$P$13+251),INDEX('AH History'!$A$1:$A$18046,AH!$P$7+251))),""))</ns0:f>
        <ns0:v/>
      </ns0:c>
      <ns0:c r="B256" s="219">
        <ns0:f>IFERROR(IF(AND(AH!$P$9&lt;&gt;1,$C256&gt;0,$D256&gt;0,$E256&gt;0,$F256&gt;0,$G256&gt;0,$F256&lt;=$A256,$G256&lt;=$A256,$A256-$F256&lt;=10,$A256-$G256&lt;=5),$D256*$E256/$C256-1,NA()),NA())</ns0:f>
        <ns0:v/>
      </ns0:c>
      <ns0:c r="C256">
        <ns0:f>IFERROR(IF(ISNUMBER($A256),IF(AND(AH!$P$10=1,AH!$P$12=1,$A256=TODAY()),AH!$P$19,IF(AH!$P$10=1,INDEX('Live History'!$B$5:$B$3004,AH!$P$13+251),INDEX('AH History'!$B$1:$B$18046,AH!$P$7+251))),NA()),NA())</ns0:f>
        <ns0:v/>
      </ns0:c>
      <ns0:c r="D256">
        <ns0:f>IFERROR(IF(ISNUMBER($A256),IF(AND(AH!$P$10=1,AH!$P$12=1,$A256=TODAY()),AH!$P$18,IF(AH!$P$10=1,INDEX('Live History'!$E$5:$E$3004,MATCH($A256,'Live History'!$D$5:$D$3004,1)),INDEX('AH History'!$C$1:$C$18046,AH!$P$7+251))),NA()),NA())</ns0:f>
        <ns0:v/>
      </ns0:c>
      <ns0:c r="E256">
        <ns0:f>IFERROR(IF(ISNUMBER($A256),IF(AND(AH!$P$10=1,AH!$P$12=1,$A256=TODAY()),AH!$P$20,IF(AH!$P$10=1,INDEX('Live History'!$H$5:$H$3004,MATCH($A256,'Live History'!$G$5:$G$3004,1)),INDEX('AH History'!$D$1:$D$18046,AH!$P$7+251))),NA()),NA())</ns0:f>
        <ns0:v/>
      </ns0:c>
      <ns0:c r="F256">
        <ns0:f>IFERROR(IF(ISNUMBER($A256),IF(AND(AH!$P$10=1,AH!$P$12=1,$A256=TODAY()),IF(AND(AH!$P$10=1,AH!$P$12=1,$A256=TODAY()),TODAY(),NA()),IF(AH!$P$10=1,INDEX('Live History'!$D$5:$D$3004,MATCH($A256,'Live History'!$D$5:$D$3004,1)),INDEX('AH History'!$E$1:$E$18046,AH!$P$7+251))),NA()),NA())</ns0:f>
        <ns0:v/>
      </ns0:c>
      <ns0:c r="G256">
        <ns0:f>IFERROR(IF(ISNUMBER($A256),IF(AND(AH!$P$10=1,AH!$P$12=1,$A256=TODAY()),IF(AND(AH!$P$10=1,AH!$P$12=1,$A256=TODAY()),TODAY(),NA()),IF(AH!$P$10=1,INDEX('Live History'!$G$5:$G$3004,MATCH($A256,'Live History'!$G$5:$G$3004,1)),INDEX('AH History'!$F$1:$F$18046,AH!$P$7+251))),NA()),NA())</ns0:f>
        <ns0:v/>
      </ns0:c>
      <ns0:c r="H256">
        <ns0:f>IFERROR(IF(AND(AH!$E$4="Bloomberg",AH!$P$10=1,ISNUMBER($A256),$A256&lt;=AH!$P$17),AH!$P$7-1+MATCH($A256,INDEX('AH History'!$A$1:$A$18046,AH!$P$7):INDEX('AH History'!$A$1:$A$18046,AH!$P$7+AH!$P$8-1),0),0),0)</ns0:f>
        <ns0:v/>
      </ns0:c>
      <ns0:c r="I256">
        <ns0:f>IF($H256=0,0,IFERROR(IF(AND(ABS($C256-INDEX('AH History'!$B$1:$B$18046,$H256))&lt;=MAX(0.005,ABS(INDEX('AH History'!$B$1:$B$18046,$H256))*0.00005),ABS($D256-INDEX('AH History'!$C$1:$C$18046,$H256))&lt;=MAX(0.005,ABS(INDEX('AH History'!$C$1:$C$18046,$H256))*0.00005),ABS($E256-INDEX('AH History'!$D$1:$D$18046,$H256))&lt;=0.00005,$F256=INDEX('AH History'!$E$1:$E$18046,$H256),$G256=INDEX('AH History'!$F$1:$F$18046,$H256)),1,-1),-1))</ns0:f>
        <ns0:v/>
      </ns0:c>
    </ns0:row>
    <ns0:row r="257">
      <ns0:c r="A257" s="215">
        <ns0:f>IF(OR(AH!$P$3=0,252+1&gt;AH!$P$11,AND(AH!$E$4&lt;&gt;"Stored",AH!$P$10&lt;&gt;1)),"",IFERROR(IF(AND(AH!$P$21=1,252+1=AH!$P$11),TODAY(),IF(AH!$P$10=1,INDEX('Live History'!$A$5:$A$3004,AH!$P$13+252),INDEX('AH History'!$A$1:$A$18046,AH!$P$7+252))),""))</ns0:f>
        <ns0:v/>
      </ns0:c>
      <ns0:c r="B257" s="219">
        <ns0:f>IFERROR(IF(AND(AH!$P$9&lt;&gt;1,$C257&gt;0,$D257&gt;0,$E257&gt;0,$F257&gt;0,$G257&gt;0,$F257&lt;=$A257,$G257&lt;=$A257,$A257-$F257&lt;=10,$A257-$G257&lt;=5),$D257*$E257/$C257-1,NA()),NA())</ns0:f>
        <ns0:v/>
      </ns0:c>
      <ns0:c r="C257">
        <ns0:f>IFERROR(IF(ISNUMBER($A257),IF(AND(AH!$P$10=1,AH!$P$12=1,$A257=TODAY()),AH!$P$19,IF(AH!$P$10=1,INDEX('Live History'!$B$5:$B$3004,AH!$P$13+252),INDEX('AH History'!$B$1:$B$18046,AH!$P$7+252))),NA()),NA())</ns0:f>
        <ns0:v/>
      </ns0:c>
      <ns0:c r="D257">
        <ns0:f>IFERROR(IF(ISNUMBER($A257),IF(AND(AH!$P$10=1,AH!$P$12=1,$A257=TODAY()),AH!$P$18,IF(AH!$P$10=1,INDEX('Live History'!$E$5:$E$3004,MATCH($A257,'Live History'!$D$5:$D$3004,1)),INDEX('AH History'!$C$1:$C$18046,AH!$P$7+252))),NA()),NA())</ns0:f>
        <ns0:v/>
      </ns0:c>
      <ns0:c r="E257">
        <ns0:f>IFERROR(IF(ISNUMBER($A257),IF(AND(AH!$P$10=1,AH!$P$12=1,$A257=TODAY()),AH!$P$20,IF(AH!$P$10=1,INDEX('Live History'!$H$5:$H$3004,MATCH($A257,'Live History'!$G$5:$G$3004,1)),INDEX('AH History'!$D$1:$D$18046,AH!$P$7+252))),NA()),NA())</ns0:f>
        <ns0:v/>
      </ns0:c>
      <ns0:c r="F257">
        <ns0:f>IFERROR(IF(ISNUMBER($A257),IF(AND(AH!$P$10=1,AH!$P$12=1,$A257=TODAY()),IF(AND(AH!$P$10=1,AH!$P$12=1,$A257=TODAY()),TODAY(),NA()),IF(AH!$P$10=1,INDEX('Live History'!$D$5:$D$3004,MATCH($A257,'Live History'!$D$5:$D$3004,1)),INDEX('AH History'!$E$1:$E$18046,AH!$P$7+252))),NA()),NA())</ns0:f>
        <ns0:v/>
      </ns0:c>
      <ns0:c r="G257">
        <ns0:f>IFERROR(IF(ISNUMBER($A257),IF(AND(AH!$P$10=1,AH!$P$12=1,$A257=TODAY()),IF(AND(AH!$P$10=1,AH!$P$12=1,$A257=TODAY()),TODAY(),NA()),IF(AH!$P$10=1,INDEX('Live History'!$G$5:$G$3004,MATCH($A257,'Live History'!$G$5:$G$3004,1)),INDEX('AH History'!$F$1:$F$18046,AH!$P$7+252))),NA()),NA())</ns0:f>
        <ns0:v/>
      </ns0:c>
      <ns0:c r="H257">
        <ns0:f>IFERROR(IF(AND(AH!$E$4="Bloomberg",AH!$P$10=1,ISNUMBER($A257),$A257&lt;=AH!$P$17),AH!$P$7-1+MATCH($A257,INDEX('AH History'!$A$1:$A$18046,AH!$P$7):INDEX('AH History'!$A$1:$A$18046,AH!$P$7+AH!$P$8-1),0),0),0)</ns0:f>
        <ns0:v/>
      </ns0:c>
      <ns0:c r="I257">
        <ns0:f>IF($H257=0,0,IFERROR(IF(AND(ABS($C257-INDEX('AH History'!$B$1:$B$18046,$H257))&lt;=MAX(0.005,ABS(INDEX('AH History'!$B$1:$B$18046,$H257))*0.00005),ABS($D257-INDEX('AH History'!$C$1:$C$18046,$H257))&lt;=MAX(0.005,ABS(INDEX('AH History'!$C$1:$C$18046,$H257))*0.00005),ABS($E257-INDEX('AH History'!$D$1:$D$18046,$H257))&lt;=0.00005,$F257=INDEX('AH History'!$E$1:$E$18046,$H257),$G257=INDEX('AH History'!$F$1:$F$18046,$H257)),1,-1),-1))</ns0:f>
        <ns0:v/>
      </ns0:c>
    </ns0:row>
    <ns0:row r="258">
      <ns0:c r="A258" s="215">
        <ns0:f>IF(OR(AH!$P$3=0,253+1&gt;AH!$P$11,AND(AH!$E$4&lt;&gt;"Stored",AH!$P$10&lt;&gt;1)),"",IFERROR(IF(AND(AH!$P$21=1,253+1=AH!$P$11),TODAY(),IF(AH!$P$10=1,INDEX('Live History'!$A$5:$A$3004,AH!$P$13+253),INDEX('AH History'!$A$1:$A$18046,AH!$P$7+253))),""))</ns0:f>
        <ns0:v/>
      </ns0:c>
      <ns0:c r="B258" s="219">
        <ns0:f>IFERROR(IF(AND(AH!$P$9&lt;&gt;1,$C258&gt;0,$D258&gt;0,$E258&gt;0,$F258&gt;0,$G258&gt;0,$F258&lt;=$A258,$G258&lt;=$A258,$A258-$F258&lt;=10,$A258-$G258&lt;=5),$D258*$E258/$C258-1,NA()),NA())</ns0:f>
        <ns0:v/>
      </ns0:c>
      <ns0:c r="C258">
        <ns0:f>IFERROR(IF(ISNUMBER($A258),IF(AND(AH!$P$10=1,AH!$P$12=1,$A258=TODAY()),AH!$P$19,IF(AH!$P$10=1,INDEX('Live History'!$B$5:$B$3004,AH!$P$13+253),INDEX('AH History'!$B$1:$B$18046,AH!$P$7+253))),NA()),NA())</ns0:f>
        <ns0:v/>
      </ns0:c>
      <ns0:c r="D258">
        <ns0:f>IFERROR(IF(ISNUMBER($A258),IF(AND(AH!$P$10=1,AH!$P$12=1,$A258=TODAY()),AH!$P$18,IF(AH!$P$10=1,INDEX('Live History'!$E$5:$E$3004,MATCH($A258,'Live History'!$D$5:$D$3004,1)),INDEX('AH History'!$C$1:$C$18046,AH!$P$7+253))),NA()),NA())</ns0:f>
        <ns0:v/>
      </ns0:c>
      <ns0:c r="E258">
        <ns0:f>IFERROR(IF(ISNUMBER($A258),IF(AND(AH!$P$10=1,AH!$P$12=1,$A258=TODAY()),AH!$P$20,IF(AH!$P$10=1,INDEX('Live History'!$H$5:$H$3004,MATCH($A258,'Live History'!$G$5:$G$3004,1)),INDEX('AH History'!$D$1:$D$18046,AH!$P$7+253))),NA()),NA())</ns0:f>
        <ns0:v/>
      </ns0:c>
      <ns0:c r="F258">
        <ns0:f>IFERROR(IF(ISNUMBER($A258),IF(AND(AH!$P$10=1,AH!$P$12=1,$A258=TODAY()),IF(AND(AH!$P$10=1,AH!$P$12=1,$A258=TODAY()),TODAY(),NA()),IF(AH!$P$10=1,INDEX('Live History'!$D$5:$D$3004,MATCH($A258,'Live History'!$D$5:$D$3004,1)),INDEX('AH History'!$E$1:$E$18046,AH!$P$7+253))),NA()),NA())</ns0:f>
        <ns0:v/>
      </ns0:c>
      <ns0:c r="G258">
        <ns0:f>IFERROR(IF(ISNUMBER($A258),IF(AND(AH!$P$10=1,AH!$P$12=1,$A258=TODAY()),IF(AND(AH!$P$10=1,AH!$P$12=1,$A258=TODAY()),TODAY(),NA()),IF(AH!$P$10=1,INDEX('Live History'!$G$5:$G$3004,MATCH($A258,'Live History'!$G$5:$G$3004,1)),INDEX('AH History'!$F$1:$F$18046,AH!$P$7+253))),NA()),NA())</ns0:f>
        <ns0:v/>
      </ns0:c>
      <ns0:c r="H258">
        <ns0:f>IFERROR(IF(AND(AH!$E$4="Bloomberg",AH!$P$10=1,ISNUMBER($A258),$A258&lt;=AH!$P$17),AH!$P$7-1+MATCH($A258,INDEX('AH History'!$A$1:$A$18046,AH!$P$7):INDEX('AH History'!$A$1:$A$18046,AH!$P$7+AH!$P$8-1),0),0),0)</ns0:f>
        <ns0:v/>
      </ns0:c>
      <ns0:c r="I258">
        <ns0:f>IF($H258=0,0,IFERROR(IF(AND(ABS($C258-INDEX('AH History'!$B$1:$B$18046,$H258))&lt;=MAX(0.005,ABS(INDEX('AH History'!$B$1:$B$18046,$H258))*0.00005),ABS($D258-INDEX('AH History'!$C$1:$C$18046,$H258))&lt;=MAX(0.005,ABS(INDEX('AH History'!$C$1:$C$18046,$H258))*0.00005),ABS($E258-INDEX('AH History'!$D$1:$D$18046,$H258))&lt;=0.00005,$F258=INDEX('AH History'!$E$1:$E$18046,$H258),$G258=INDEX('AH History'!$F$1:$F$18046,$H258)),1,-1),-1))</ns0:f>
        <ns0:v/>
      </ns0:c>
    </ns0:row>
    <ns0:row r="259">
      <ns0:c r="A259" s="215">
        <ns0:f>IF(OR(AH!$P$3=0,254+1&gt;AH!$P$11,AND(AH!$E$4&lt;&gt;"Stored",AH!$P$10&lt;&gt;1)),"",IFERROR(IF(AND(AH!$P$21=1,254+1=AH!$P$11),TODAY(),IF(AH!$P$10=1,INDEX('Live History'!$A$5:$A$3004,AH!$P$13+254),INDEX('AH History'!$A$1:$A$18046,AH!$P$7+254))),""))</ns0:f>
        <ns0:v/>
      </ns0:c>
      <ns0:c r="B259" s="219">
        <ns0:f>IFERROR(IF(AND(AH!$P$9&lt;&gt;1,$C259&gt;0,$D259&gt;0,$E259&gt;0,$F259&gt;0,$G259&gt;0,$F259&lt;=$A259,$G259&lt;=$A259,$A259-$F259&lt;=10,$A259-$G259&lt;=5),$D259*$E259/$C259-1,NA()),NA())</ns0:f>
        <ns0:v/>
      </ns0:c>
      <ns0:c r="C259">
        <ns0:f>IFERROR(IF(ISNUMBER($A259),IF(AND(AH!$P$10=1,AH!$P$12=1,$A259=TODAY()),AH!$P$19,IF(AH!$P$10=1,INDEX('Live History'!$B$5:$B$3004,AH!$P$13+254),INDEX('AH History'!$B$1:$B$18046,AH!$P$7+254))),NA()),NA())</ns0:f>
        <ns0:v/>
      </ns0:c>
      <ns0:c r="D259">
        <ns0:f>IFERROR(IF(ISNUMBER($A259),IF(AND(AH!$P$10=1,AH!$P$12=1,$A259=TODAY()),AH!$P$18,IF(AH!$P$10=1,INDEX('Live History'!$E$5:$E$3004,MATCH($A259,'Live History'!$D$5:$D$3004,1)),INDEX('AH History'!$C$1:$C$18046,AH!$P$7+254))),NA()),NA())</ns0:f>
        <ns0:v/>
      </ns0:c>
      <ns0:c r="E259">
        <ns0:f>IFERROR(IF(ISNUMBER($A259),IF(AND(AH!$P$10=1,AH!$P$12=1,$A259=TODAY()),AH!$P$20,IF(AH!$P$10=1,INDEX('Live History'!$H$5:$H$3004,MATCH($A259,'Live History'!$G$5:$G$3004,1)),INDEX('AH History'!$D$1:$D$18046,AH!$P$7+254))),NA()),NA())</ns0:f>
        <ns0:v/>
      </ns0:c>
      <ns0:c r="F259">
        <ns0:f>IFERROR(IF(ISNUMBER($A259),IF(AND(AH!$P$10=1,AH!$P$12=1,$A259=TODAY()),IF(AND(AH!$P$10=1,AH!$P$12=1,$A259=TODAY()),TODAY(),NA()),IF(AH!$P$10=1,INDEX('Live History'!$D$5:$D$3004,MATCH($A259,'Live History'!$D$5:$D$3004,1)),INDEX('AH History'!$E$1:$E$18046,AH!$P$7+254))),NA()),NA())</ns0:f>
        <ns0:v/>
      </ns0:c>
      <ns0:c r="G259">
        <ns0:f>IFERROR(IF(ISNUMBER($A259),IF(AND(AH!$P$10=1,AH!$P$12=1,$A259=TODAY()),IF(AND(AH!$P$10=1,AH!$P$12=1,$A259=TODAY()),TODAY(),NA()),IF(AH!$P$10=1,INDEX('Live History'!$G$5:$G$3004,MATCH($A259,'Live History'!$G$5:$G$3004,1)),INDEX('AH History'!$F$1:$F$18046,AH!$P$7+254))),NA()),NA())</ns0:f>
        <ns0:v/>
      </ns0:c>
      <ns0:c r="H259">
        <ns0:f>IFERROR(IF(AND(AH!$E$4="Bloomberg",AH!$P$10=1,ISNUMBER($A259),$A259&lt;=AH!$P$17),AH!$P$7-1+MATCH($A259,INDEX('AH History'!$A$1:$A$18046,AH!$P$7):INDEX('AH History'!$A$1:$A$18046,AH!$P$7+AH!$P$8-1),0),0),0)</ns0:f>
        <ns0:v/>
      </ns0:c>
      <ns0:c r="I259">
        <ns0:f>IF($H259=0,0,IFERROR(IF(AND(ABS($C259-INDEX('AH History'!$B$1:$B$18046,$H259))&lt;=MAX(0.005,ABS(INDEX('AH History'!$B$1:$B$18046,$H259))*0.00005),ABS($D259-INDEX('AH History'!$C$1:$C$18046,$H259))&lt;=MAX(0.005,ABS(INDEX('AH History'!$C$1:$C$18046,$H259))*0.00005),ABS($E259-INDEX('AH History'!$D$1:$D$18046,$H259))&lt;=0.00005,$F259=INDEX('AH History'!$E$1:$E$18046,$H259),$G259=INDEX('AH History'!$F$1:$F$18046,$H259)),1,-1),-1))</ns0:f>
        <ns0:v/>
      </ns0:c>
    </ns0:row>
    <ns0:row r="260">
      <ns0:c r="A260" s="215">
        <ns0:f>IF(OR(AH!$P$3=0,255+1&gt;AH!$P$11,AND(AH!$E$4&lt;&gt;"Stored",AH!$P$10&lt;&gt;1)),"",IFERROR(IF(AND(AH!$P$21=1,255+1=AH!$P$11),TODAY(),IF(AH!$P$10=1,INDEX('Live History'!$A$5:$A$3004,AH!$P$13+255),INDEX('AH History'!$A$1:$A$18046,AH!$P$7+255))),""))</ns0:f>
        <ns0:v/>
      </ns0:c>
      <ns0:c r="B260" s="219">
        <ns0:f>IFERROR(IF(AND(AH!$P$9&lt;&gt;1,$C260&gt;0,$D260&gt;0,$E260&gt;0,$F260&gt;0,$G260&gt;0,$F260&lt;=$A260,$G260&lt;=$A260,$A260-$F260&lt;=10,$A260-$G260&lt;=5),$D260*$E260/$C260-1,NA()),NA())</ns0:f>
        <ns0:v/>
      </ns0:c>
      <ns0:c r="C260">
        <ns0:f>IFERROR(IF(ISNUMBER($A260),IF(AND(AH!$P$10=1,AH!$P$12=1,$A260=TODAY()),AH!$P$19,IF(AH!$P$10=1,INDEX('Live History'!$B$5:$B$3004,AH!$P$13+255),INDEX('AH History'!$B$1:$B$18046,AH!$P$7+255))),NA()),NA())</ns0:f>
        <ns0:v/>
      </ns0:c>
      <ns0:c r="D260">
        <ns0:f>IFERROR(IF(ISNUMBER($A260),IF(AND(AH!$P$10=1,AH!$P$12=1,$A260=TODAY()),AH!$P$18,IF(AH!$P$10=1,INDEX('Live History'!$E$5:$E$3004,MATCH($A260,'Live History'!$D$5:$D$3004,1)),INDEX('AH History'!$C$1:$C$18046,AH!$P$7+255))),NA()),NA())</ns0:f>
        <ns0:v/>
      </ns0:c>
      <ns0:c r="E260">
        <ns0:f>IFERROR(IF(ISNUMBER($A260),IF(AND(AH!$P$10=1,AH!$P$12=1,$A260=TODAY()),AH!$P$20,IF(AH!$P$10=1,INDEX('Live History'!$H$5:$H$3004,MATCH($A260,'Live History'!$G$5:$G$3004,1)),INDEX('AH History'!$D$1:$D$18046,AH!$P$7+255))),NA()),NA())</ns0:f>
        <ns0:v/>
      </ns0:c>
      <ns0:c r="F260">
        <ns0:f>IFERROR(IF(ISNUMBER($A260),IF(AND(AH!$P$10=1,AH!$P$12=1,$A260=TODAY()),IF(AND(AH!$P$10=1,AH!$P$12=1,$A260=TODAY()),TODAY(),NA()),IF(AH!$P$10=1,INDEX('Live History'!$D$5:$D$3004,MATCH($A260,'Live History'!$D$5:$D$3004,1)),INDEX('AH History'!$E$1:$E$18046,AH!$P$7+255))),NA()),NA())</ns0:f>
        <ns0:v/>
      </ns0:c>
      <ns0:c r="G260">
        <ns0:f>IFERROR(IF(ISNUMBER($A260),IF(AND(AH!$P$10=1,AH!$P$12=1,$A260=TODAY()),IF(AND(AH!$P$10=1,AH!$P$12=1,$A260=TODAY()),TODAY(),NA()),IF(AH!$P$10=1,INDEX('Live History'!$G$5:$G$3004,MATCH($A260,'Live History'!$G$5:$G$3004,1)),INDEX('AH History'!$F$1:$F$18046,AH!$P$7+255))),NA()),NA())</ns0:f>
        <ns0:v/>
      </ns0:c>
      <ns0:c r="H260">
        <ns0:f>IFERROR(IF(AND(AH!$E$4="Bloomberg",AH!$P$10=1,ISNUMBER($A260),$A260&lt;=AH!$P$17),AH!$P$7-1+MATCH($A260,INDEX('AH History'!$A$1:$A$18046,AH!$P$7):INDEX('AH History'!$A$1:$A$18046,AH!$P$7+AH!$P$8-1),0),0),0)</ns0:f>
        <ns0:v/>
      </ns0:c>
      <ns0:c r="I260">
        <ns0:f>IF($H260=0,0,IFERROR(IF(AND(ABS($C260-INDEX('AH History'!$B$1:$B$18046,$H260))&lt;=MAX(0.005,ABS(INDEX('AH History'!$B$1:$B$18046,$H260))*0.00005),ABS($D260-INDEX('AH History'!$C$1:$C$18046,$H260))&lt;=MAX(0.005,ABS(INDEX('AH History'!$C$1:$C$18046,$H260))*0.00005),ABS($E260-INDEX('AH History'!$D$1:$D$18046,$H260))&lt;=0.00005,$F260=INDEX('AH History'!$E$1:$E$18046,$H260),$G260=INDEX('AH History'!$F$1:$F$18046,$H260)),1,-1),-1))</ns0:f>
        <ns0:v/>
      </ns0:c>
    </ns0:row>
    <ns0:row r="261">
      <ns0:c r="A261" s="215">
        <ns0:f>IF(OR(AH!$P$3=0,256+1&gt;AH!$P$11,AND(AH!$E$4&lt;&gt;"Stored",AH!$P$10&lt;&gt;1)),"",IFERROR(IF(AND(AH!$P$21=1,256+1=AH!$P$11),TODAY(),IF(AH!$P$10=1,INDEX('Live History'!$A$5:$A$3004,AH!$P$13+256),INDEX('AH History'!$A$1:$A$18046,AH!$P$7+256))),""))</ns0:f>
        <ns0:v/>
      </ns0:c>
      <ns0:c r="B261" s="219">
        <ns0:f>IFERROR(IF(AND(AH!$P$9&lt;&gt;1,$C261&gt;0,$D261&gt;0,$E261&gt;0,$F261&gt;0,$G261&gt;0,$F261&lt;=$A261,$G261&lt;=$A261,$A261-$F261&lt;=10,$A261-$G261&lt;=5),$D261*$E261/$C261-1,NA()),NA())</ns0:f>
        <ns0:v/>
      </ns0:c>
      <ns0:c r="C261">
        <ns0:f>IFERROR(IF(ISNUMBER($A261),IF(AND(AH!$P$10=1,AH!$P$12=1,$A261=TODAY()),AH!$P$19,IF(AH!$P$10=1,INDEX('Live History'!$B$5:$B$3004,AH!$P$13+256),INDEX('AH History'!$B$1:$B$18046,AH!$P$7+256))),NA()),NA())</ns0:f>
        <ns0:v/>
      </ns0:c>
      <ns0:c r="D261">
        <ns0:f>IFERROR(IF(ISNUMBER($A261),IF(AND(AH!$P$10=1,AH!$P$12=1,$A261=TODAY()),AH!$P$18,IF(AH!$P$10=1,INDEX('Live History'!$E$5:$E$3004,MATCH($A261,'Live History'!$D$5:$D$3004,1)),INDEX('AH History'!$C$1:$C$18046,AH!$P$7+256))),NA()),NA())</ns0:f>
        <ns0:v/>
      </ns0:c>
      <ns0:c r="E261">
        <ns0:f>IFERROR(IF(ISNUMBER($A261),IF(AND(AH!$P$10=1,AH!$P$12=1,$A261=TODAY()),AH!$P$20,IF(AH!$P$10=1,INDEX('Live History'!$H$5:$H$3004,MATCH($A261,'Live History'!$G$5:$G$3004,1)),INDEX('AH History'!$D$1:$D$18046,AH!$P$7+256))),NA()),NA())</ns0:f>
        <ns0:v/>
      </ns0:c>
      <ns0:c r="F261">
        <ns0:f>IFERROR(IF(ISNUMBER($A261),IF(AND(AH!$P$10=1,AH!$P$12=1,$A261=TODAY()),IF(AND(AH!$P$10=1,AH!$P$12=1,$A261=TODAY()),TODAY(),NA()),IF(AH!$P$10=1,INDEX('Live History'!$D$5:$D$3004,MATCH($A261,'Live History'!$D$5:$D$3004,1)),INDEX('AH History'!$E$1:$E$18046,AH!$P$7+256))),NA()),NA())</ns0:f>
        <ns0:v/>
      </ns0:c>
      <ns0:c r="G261">
        <ns0:f>IFERROR(IF(ISNUMBER($A261),IF(AND(AH!$P$10=1,AH!$P$12=1,$A261=TODAY()),IF(AND(AH!$P$10=1,AH!$P$12=1,$A261=TODAY()),TODAY(),NA()),IF(AH!$P$10=1,INDEX('Live History'!$G$5:$G$3004,MATCH($A261,'Live History'!$G$5:$G$3004,1)),INDEX('AH History'!$F$1:$F$18046,AH!$P$7+256))),NA()),NA())</ns0:f>
        <ns0:v/>
      </ns0:c>
      <ns0:c r="H261">
        <ns0:f>IFERROR(IF(AND(AH!$E$4="Bloomberg",AH!$P$10=1,ISNUMBER($A261),$A261&lt;=AH!$P$17),AH!$P$7-1+MATCH($A261,INDEX('AH History'!$A$1:$A$18046,AH!$P$7):INDEX('AH History'!$A$1:$A$18046,AH!$P$7+AH!$P$8-1),0),0),0)</ns0:f>
        <ns0:v/>
      </ns0:c>
      <ns0:c r="I261">
        <ns0:f>IF($H261=0,0,IFERROR(IF(AND(ABS($C261-INDEX('AH History'!$B$1:$B$18046,$H261))&lt;=MAX(0.005,ABS(INDEX('AH History'!$B$1:$B$18046,$H261))*0.00005),ABS($D261-INDEX('AH History'!$C$1:$C$18046,$H261))&lt;=MAX(0.005,ABS(INDEX('AH History'!$C$1:$C$18046,$H261))*0.00005),ABS($E261-INDEX('AH History'!$D$1:$D$18046,$H261))&lt;=0.00005,$F261=INDEX('AH History'!$E$1:$E$18046,$H261),$G261=INDEX('AH History'!$F$1:$F$18046,$H261)),1,-1),-1))</ns0:f>
        <ns0:v/>
      </ns0:c>
    </ns0:row>
    <ns0:row r="262">
      <ns0:c r="A262" s="215">
        <ns0:f>IF(OR(AH!$P$3=0,257+1&gt;AH!$P$11,AND(AH!$E$4&lt;&gt;"Stored",AH!$P$10&lt;&gt;1)),"",IFERROR(IF(AND(AH!$P$21=1,257+1=AH!$P$11),TODAY(),IF(AH!$P$10=1,INDEX('Live History'!$A$5:$A$3004,AH!$P$13+257),INDEX('AH History'!$A$1:$A$18046,AH!$P$7+257))),""))</ns0:f>
        <ns0:v/>
      </ns0:c>
      <ns0:c r="B262" s="219">
        <ns0:f>IFERROR(IF(AND(AH!$P$9&lt;&gt;1,$C262&gt;0,$D262&gt;0,$E262&gt;0,$F262&gt;0,$G262&gt;0,$F262&lt;=$A262,$G262&lt;=$A262,$A262-$F262&lt;=10,$A262-$G262&lt;=5),$D262*$E262/$C262-1,NA()),NA())</ns0:f>
        <ns0:v/>
      </ns0:c>
      <ns0:c r="C262">
        <ns0:f>IFERROR(IF(ISNUMBER($A262),IF(AND(AH!$P$10=1,AH!$P$12=1,$A262=TODAY()),AH!$P$19,IF(AH!$P$10=1,INDEX('Live History'!$B$5:$B$3004,AH!$P$13+257),INDEX('AH History'!$B$1:$B$18046,AH!$P$7+257))),NA()),NA())</ns0:f>
        <ns0:v/>
      </ns0:c>
      <ns0:c r="D262">
        <ns0:f>IFERROR(IF(ISNUMBER($A262),IF(AND(AH!$P$10=1,AH!$P$12=1,$A262=TODAY()),AH!$P$18,IF(AH!$P$10=1,INDEX('Live History'!$E$5:$E$3004,MATCH($A262,'Live History'!$D$5:$D$3004,1)),INDEX('AH History'!$C$1:$C$18046,AH!$P$7+257))),NA()),NA())</ns0:f>
        <ns0:v/>
      </ns0:c>
      <ns0:c r="E262">
        <ns0:f>IFERROR(IF(ISNUMBER($A262),IF(AND(AH!$P$10=1,AH!$P$12=1,$A262=TODAY()),AH!$P$20,IF(AH!$P$10=1,INDEX('Live History'!$H$5:$H$3004,MATCH($A262,'Live History'!$G$5:$G$3004,1)),INDEX('AH History'!$D$1:$D$18046,AH!$P$7+257))),NA()),NA())</ns0:f>
        <ns0:v/>
      </ns0:c>
      <ns0:c r="F262">
        <ns0:f>IFERROR(IF(ISNUMBER($A262),IF(AND(AH!$P$10=1,AH!$P$12=1,$A262=TODAY()),IF(AND(AH!$P$10=1,AH!$P$12=1,$A262=TODAY()),TODAY(),NA()),IF(AH!$P$10=1,INDEX('Live History'!$D$5:$D$3004,MATCH($A262,'Live History'!$D$5:$D$3004,1)),INDEX('AH History'!$E$1:$E$18046,AH!$P$7+257))),NA()),NA())</ns0:f>
        <ns0:v/>
      </ns0:c>
      <ns0:c r="G262">
        <ns0:f>IFERROR(IF(ISNUMBER($A262),IF(AND(AH!$P$10=1,AH!$P$12=1,$A262=TODAY()),IF(AND(AH!$P$10=1,AH!$P$12=1,$A262=TODAY()),TODAY(),NA()),IF(AH!$P$10=1,INDEX('Live History'!$G$5:$G$3004,MATCH($A262,'Live History'!$G$5:$G$3004,1)),INDEX('AH History'!$F$1:$F$18046,AH!$P$7+257))),NA()),NA())</ns0:f>
        <ns0:v/>
      </ns0:c>
      <ns0:c r="H262">
        <ns0:f>IFERROR(IF(AND(AH!$E$4="Bloomberg",AH!$P$10=1,ISNUMBER($A262),$A262&lt;=AH!$P$17),AH!$P$7-1+MATCH($A262,INDEX('AH History'!$A$1:$A$18046,AH!$P$7):INDEX('AH History'!$A$1:$A$18046,AH!$P$7+AH!$P$8-1),0),0),0)</ns0:f>
        <ns0:v/>
      </ns0:c>
      <ns0:c r="I262">
        <ns0:f>IF($H262=0,0,IFERROR(IF(AND(ABS($C262-INDEX('AH History'!$B$1:$B$18046,$H262))&lt;=MAX(0.005,ABS(INDEX('AH History'!$B$1:$B$18046,$H262))*0.00005),ABS($D262-INDEX('AH History'!$C$1:$C$18046,$H262))&lt;=MAX(0.005,ABS(INDEX('AH History'!$C$1:$C$18046,$H262))*0.00005),ABS($E262-INDEX('AH History'!$D$1:$D$18046,$H262))&lt;=0.00005,$F262=INDEX('AH History'!$E$1:$E$18046,$H262),$G262=INDEX('AH History'!$F$1:$F$18046,$H262)),1,-1),-1))</ns0:f>
        <ns0:v/>
      </ns0:c>
    </ns0:row>
    <ns0:row r="263">
      <ns0:c r="A263" s="215">
        <ns0:f>IF(OR(AH!$P$3=0,258+1&gt;AH!$P$11,AND(AH!$E$4&lt;&gt;"Stored",AH!$P$10&lt;&gt;1)),"",IFERROR(IF(AND(AH!$P$21=1,258+1=AH!$P$11),TODAY(),IF(AH!$P$10=1,INDEX('Live History'!$A$5:$A$3004,AH!$P$13+258),INDEX('AH History'!$A$1:$A$18046,AH!$P$7+258))),""))</ns0:f>
        <ns0:v/>
      </ns0:c>
      <ns0:c r="B263" s="219">
        <ns0:f>IFERROR(IF(AND(AH!$P$9&lt;&gt;1,$C263&gt;0,$D263&gt;0,$E263&gt;0,$F263&gt;0,$G263&gt;0,$F263&lt;=$A263,$G263&lt;=$A263,$A263-$F263&lt;=10,$A263-$G263&lt;=5),$D263*$E263/$C263-1,NA()),NA())</ns0:f>
        <ns0:v/>
      </ns0:c>
      <ns0:c r="C263">
        <ns0:f>IFERROR(IF(ISNUMBER($A263),IF(AND(AH!$P$10=1,AH!$P$12=1,$A263=TODAY()),AH!$P$19,IF(AH!$P$10=1,INDEX('Live History'!$B$5:$B$3004,AH!$P$13+258),INDEX('AH History'!$B$1:$B$18046,AH!$P$7+258))),NA()),NA())</ns0:f>
        <ns0:v/>
      </ns0:c>
      <ns0:c r="D263">
        <ns0:f>IFERROR(IF(ISNUMBER($A263),IF(AND(AH!$P$10=1,AH!$P$12=1,$A263=TODAY()),AH!$P$18,IF(AH!$P$10=1,INDEX('Live History'!$E$5:$E$3004,MATCH($A263,'Live History'!$D$5:$D$3004,1)),INDEX('AH History'!$C$1:$C$18046,AH!$P$7+258))),NA()),NA())</ns0:f>
        <ns0:v/>
      </ns0:c>
      <ns0:c r="E263">
        <ns0:f>IFERROR(IF(ISNUMBER($A263),IF(AND(AH!$P$10=1,AH!$P$12=1,$A263=TODAY()),AH!$P$20,IF(AH!$P$10=1,INDEX('Live History'!$H$5:$H$3004,MATCH($A263,'Live History'!$G$5:$G$3004,1)),INDEX('AH History'!$D$1:$D$18046,AH!$P$7+258))),NA()),NA())</ns0:f>
        <ns0:v/>
      </ns0:c>
      <ns0:c r="F263">
        <ns0:f>IFERROR(IF(ISNUMBER($A263),IF(AND(AH!$P$10=1,AH!$P$12=1,$A263=TODAY()),IF(AND(AH!$P$10=1,AH!$P$12=1,$A263=TODAY()),TODAY(),NA()),IF(AH!$P$10=1,INDEX('Live History'!$D$5:$D$3004,MATCH($A263,'Live History'!$D$5:$D$3004,1)),INDEX('AH History'!$E$1:$E$18046,AH!$P$7+258))),NA()),NA())</ns0:f>
        <ns0:v/>
      </ns0:c>
      <ns0:c r="G263">
        <ns0:f>IFERROR(IF(ISNUMBER($A263),IF(AND(AH!$P$10=1,AH!$P$12=1,$A263=TODAY()),IF(AND(AH!$P$10=1,AH!$P$12=1,$A263=TODAY()),TODAY(),NA()),IF(AH!$P$10=1,INDEX('Live History'!$G$5:$G$3004,MATCH($A263,'Live History'!$G$5:$G$3004,1)),INDEX('AH History'!$F$1:$F$18046,AH!$P$7+258))),NA()),NA())</ns0:f>
        <ns0:v/>
      </ns0:c>
      <ns0:c r="H263">
        <ns0:f>IFERROR(IF(AND(AH!$E$4="Bloomberg",AH!$P$10=1,ISNUMBER($A263),$A263&lt;=AH!$P$17),AH!$P$7-1+MATCH($A263,INDEX('AH History'!$A$1:$A$18046,AH!$P$7):INDEX('AH History'!$A$1:$A$18046,AH!$P$7+AH!$P$8-1),0),0),0)</ns0:f>
        <ns0:v/>
      </ns0:c>
      <ns0:c r="I263">
        <ns0:f>IF($H263=0,0,IFERROR(IF(AND(ABS($C263-INDEX('AH History'!$B$1:$B$18046,$H263))&lt;=MAX(0.005,ABS(INDEX('AH History'!$B$1:$B$18046,$H263))*0.00005),ABS($D263-INDEX('AH History'!$C$1:$C$18046,$H263))&lt;=MAX(0.005,ABS(INDEX('AH History'!$C$1:$C$18046,$H263))*0.00005),ABS($E263-INDEX('AH History'!$D$1:$D$18046,$H263))&lt;=0.00005,$F263=INDEX('AH History'!$E$1:$E$18046,$H263),$G263=INDEX('AH History'!$F$1:$F$18046,$H263)),1,-1),-1))</ns0:f>
        <ns0:v/>
      </ns0:c>
    </ns0:row>
    <ns0:row r="264">
      <ns0:c r="A264" s="215">
        <ns0:f>IF(OR(AH!$P$3=0,259+1&gt;AH!$P$11,AND(AH!$E$4&lt;&gt;"Stored",AH!$P$10&lt;&gt;1)),"",IFERROR(IF(AND(AH!$P$21=1,259+1=AH!$P$11),TODAY(),IF(AH!$P$10=1,INDEX('Live History'!$A$5:$A$3004,AH!$P$13+259),INDEX('AH History'!$A$1:$A$18046,AH!$P$7+259))),""))</ns0:f>
        <ns0:v/>
      </ns0:c>
      <ns0:c r="B264" s="219">
        <ns0:f>IFERROR(IF(AND(AH!$P$9&lt;&gt;1,$C264&gt;0,$D264&gt;0,$E264&gt;0,$F264&gt;0,$G264&gt;0,$F264&lt;=$A264,$G264&lt;=$A264,$A264-$F264&lt;=10,$A264-$G264&lt;=5),$D264*$E264/$C264-1,NA()),NA())</ns0:f>
        <ns0:v/>
      </ns0:c>
      <ns0:c r="C264">
        <ns0:f>IFERROR(IF(ISNUMBER($A264),IF(AND(AH!$P$10=1,AH!$P$12=1,$A264=TODAY()),AH!$P$19,IF(AH!$P$10=1,INDEX('Live History'!$B$5:$B$3004,AH!$P$13+259),INDEX('AH History'!$B$1:$B$18046,AH!$P$7+259))),NA()),NA())</ns0:f>
        <ns0:v/>
      </ns0:c>
      <ns0:c r="D264">
        <ns0:f>IFERROR(IF(ISNUMBER($A264),IF(AND(AH!$P$10=1,AH!$P$12=1,$A264=TODAY()),AH!$P$18,IF(AH!$P$10=1,INDEX('Live History'!$E$5:$E$3004,MATCH($A264,'Live History'!$D$5:$D$3004,1)),INDEX('AH History'!$C$1:$C$18046,AH!$P$7+259))),NA()),NA())</ns0:f>
        <ns0:v/>
      </ns0:c>
      <ns0:c r="E264">
        <ns0:f>IFERROR(IF(ISNUMBER($A264),IF(AND(AH!$P$10=1,AH!$P$12=1,$A264=TODAY()),AH!$P$20,IF(AH!$P$10=1,INDEX('Live History'!$H$5:$H$3004,MATCH($A264,'Live History'!$G$5:$G$3004,1)),INDEX('AH History'!$D$1:$D$18046,AH!$P$7+259))),NA()),NA())</ns0:f>
        <ns0:v/>
      </ns0:c>
      <ns0:c r="F264">
        <ns0:f>IFERROR(IF(ISNUMBER($A264),IF(AND(AH!$P$10=1,AH!$P$12=1,$A264=TODAY()),IF(AND(AH!$P$10=1,AH!$P$12=1,$A264=TODAY()),TODAY(),NA()),IF(AH!$P$10=1,INDEX('Live History'!$D$5:$D$3004,MATCH($A264,'Live History'!$D$5:$D$3004,1)),INDEX('AH History'!$E$1:$E$18046,AH!$P$7+259))),NA()),NA())</ns0:f>
        <ns0:v/>
      </ns0:c>
      <ns0:c r="G264">
        <ns0:f>IFERROR(IF(ISNUMBER($A264),IF(AND(AH!$P$10=1,AH!$P$12=1,$A264=TODAY()),IF(AND(AH!$P$10=1,AH!$P$12=1,$A264=TODAY()),TODAY(),NA()),IF(AH!$P$10=1,INDEX('Live History'!$G$5:$G$3004,MATCH($A264,'Live History'!$G$5:$G$3004,1)),INDEX('AH History'!$F$1:$F$18046,AH!$P$7+259))),NA()),NA())</ns0:f>
        <ns0:v/>
      </ns0:c>
      <ns0:c r="H264">
        <ns0:f>IFERROR(IF(AND(AH!$E$4="Bloomberg",AH!$P$10=1,ISNUMBER($A264),$A264&lt;=AH!$P$17),AH!$P$7-1+MATCH($A264,INDEX('AH History'!$A$1:$A$18046,AH!$P$7):INDEX('AH History'!$A$1:$A$18046,AH!$P$7+AH!$P$8-1),0),0),0)</ns0:f>
        <ns0:v/>
      </ns0:c>
      <ns0:c r="I264">
        <ns0:f>IF($H264=0,0,IFERROR(IF(AND(ABS($C264-INDEX('AH History'!$B$1:$B$18046,$H264))&lt;=MAX(0.005,ABS(INDEX('AH History'!$B$1:$B$18046,$H264))*0.00005),ABS($D264-INDEX('AH History'!$C$1:$C$18046,$H264))&lt;=MAX(0.005,ABS(INDEX('AH History'!$C$1:$C$18046,$H264))*0.00005),ABS($E264-INDEX('AH History'!$D$1:$D$18046,$H264))&lt;=0.00005,$F264=INDEX('AH History'!$E$1:$E$18046,$H264),$G264=INDEX('AH History'!$F$1:$F$18046,$H264)),1,-1),-1))</ns0:f>
        <ns0:v/>
      </ns0:c>
    </ns0:row>
    <ns0:row r="265">
      <ns0:c r="A265" s="215">
        <ns0:f>IF(OR(AH!$P$3=0,260+1&gt;AH!$P$11,AND(AH!$E$4&lt;&gt;"Stored",AH!$P$10&lt;&gt;1)),"",IFERROR(IF(AND(AH!$P$21=1,260+1=AH!$P$11),TODAY(),IF(AH!$P$10=1,INDEX('Live History'!$A$5:$A$3004,AH!$P$13+260),INDEX('AH History'!$A$1:$A$18046,AH!$P$7+260))),""))</ns0:f>
        <ns0:v/>
      </ns0:c>
      <ns0:c r="B265" s="219">
        <ns0:f>IFERROR(IF(AND(AH!$P$9&lt;&gt;1,$C265&gt;0,$D265&gt;0,$E265&gt;0,$F265&gt;0,$G265&gt;0,$F265&lt;=$A265,$G265&lt;=$A265,$A265-$F265&lt;=10,$A265-$G265&lt;=5),$D265*$E265/$C265-1,NA()),NA())</ns0:f>
        <ns0:v/>
      </ns0:c>
      <ns0:c r="C265">
        <ns0:f>IFERROR(IF(ISNUMBER($A265),IF(AND(AH!$P$10=1,AH!$P$12=1,$A265=TODAY()),AH!$P$19,IF(AH!$P$10=1,INDEX('Live History'!$B$5:$B$3004,AH!$P$13+260),INDEX('AH History'!$B$1:$B$18046,AH!$P$7+260))),NA()),NA())</ns0:f>
        <ns0:v/>
      </ns0:c>
      <ns0:c r="D265">
        <ns0:f>IFERROR(IF(ISNUMBER($A265),IF(AND(AH!$P$10=1,AH!$P$12=1,$A265=TODAY()),AH!$P$18,IF(AH!$P$10=1,INDEX('Live History'!$E$5:$E$3004,MATCH($A265,'Live History'!$D$5:$D$3004,1)),INDEX('AH History'!$C$1:$C$18046,AH!$P$7+260))),NA()),NA())</ns0:f>
        <ns0:v/>
      </ns0:c>
      <ns0:c r="E265">
        <ns0:f>IFERROR(IF(ISNUMBER($A265),IF(AND(AH!$P$10=1,AH!$P$12=1,$A265=TODAY()),AH!$P$20,IF(AH!$P$10=1,INDEX('Live History'!$H$5:$H$3004,MATCH($A265,'Live History'!$G$5:$G$3004,1)),INDEX('AH History'!$D$1:$D$18046,AH!$P$7+260))),NA()),NA())</ns0:f>
        <ns0:v/>
      </ns0:c>
      <ns0:c r="F265">
        <ns0:f>IFERROR(IF(ISNUMBER($A265),IF(AND(AH!$P$10=1,AH!$P$12=1,$A265=TODAY()),IF(AND(AH!$P$10=1,AH!$P$12=1,$A265=TODAY()),TODAY(),NA()),IF(AH!$P$10=1,INDEX('Live History'!$D$5:$D$3004,MATCH($A265,'Live History'!$D$5:$D$3004,1)),INDEX('AH History'!$E$1:$E$18046,AH!$P$7+260))),NA()),NA())</ns0:f>
        <ns0:v/>
      </ns0:c>
      <ns0:c r="G265">
        <ns0:f>IFERROR(IF(ISNUMBER($A265),IF(AND(AH!$P$10=1,AH!$P$12=1,$A265=TODAY()),IF(AND(AH!$P$10=1,AH!$P$12=1,$A265=TODAY()),TODAY(),NA()),IF(AH!$P$10=1,INDEX('Live History'!$G$5:$G$3004,MATCH($A265,'Live History'!$G$5:$G$3004,1)),INDEX('AH History'!$F$1:$F$18046,AH!$P$7+260))),NA()),NA())</ns0:f>
        <ns0:v/>
      </ns0:c>
      <ns0:c r="H265">
        <ns0:f>IFERROR(IF(AND(AH!$E$4="Bloomberg",AH!$P$10=1,ISNUMBER($A265),$A265&lt;=AH!$P$17),AH!$P$7-1+MATCH($A265,INDEX('AH History'!$A$1:$A$18046,AH!$P$7):INDEX('AH History'!$A$1:$A$18046,AH!$P$7+AH!$P$8-1),0),0),0)</ns0:f>
        <ns0:v/>
      </ns0:c>
      <ns0:c r="I265">
        <ns0:f>IF($H265=0,0,IFERROR(IF(AND(ABS($C265-INDEX('AH History'!$B$1:$B$18046,$H265))&lt;=MAX(0.005,ABS(INDEX('AH History'!$B$1:$B$18046,$H265))*0.00005),ABS($D265-INDEX('AH History'!$C$1:$C$18046,$H265))&lt;=MAX(0.005,ABS(INDEX('AH History'!$C$1:$C$18046,$H265))*0.00005),ABS($E265-INDEX('AH History'!$D$1:$D$18046,$H265))&lt;=0.00005,$F265=INDEX('AH History'!$E$1:$E$18046,$H265),$G265=INDEX('AH History'!$F$1:$F$18046,$H265)),1,-1),-1))</ns0:f>
        <ns0:v/>
      </ns0:c>
    </ns0:row>
    <ns0:row r="266">
      <ns0:c r="A266" s="215">
        <ns0:f>IF(OR(AH!$P$3=0,261+1&gt;AH!$P$11,AND(AH!$E$4&lt;&gt;"Stored",AH!$P$10&lt;&gt;1)),"",IFERROR(IF(AND(AH!$P$21=1,261+1=AH!$P$11),TODAY(),IF(AH!$P$10=1,INDEX('Live History'!$A$5:$A$3004,AH!$P$13+261),INDEX('AH History'!$A$1:$A$18046,AH!$P$7+261))),""))</ns0:f>
        <ns0:v/>
      </ns0:c>
      <ns0:c r="B266" s="219">
        <ns0:f>IFERROR(IF(AND(AH!$P$9&lt;&gt;1,$C266&gt;0,$D266&gt;0,$E266&gt;0,$F266&gt;0,$G266&gt;0,$F266&lt;=$A266,$G266&lt;=$A266,$A266-$F266&lt;=10,$A266-$G266&lt;=5),$D266*$E266/$C266-1,NA()),NA())</ns0:f>
        <ns0:v/>
      </ns0:c>
      <ns0:c r="C266">
        <ns0:f>IFERROR(IF(ISNUMBER($A266),IF(AND(AH!$P$10=1,AH!$P$12=1,$A266=TODAY()),AH!$P$19,IF(AH!$P$10=1,INDEX('Live History'!$B$5:$B$3004,AH!$P$13+261),INDEX('AH History'!$B$1:$B$18046,AH!$P$7+261))),NA()),NA())</ns0:f>
        <ns0:v/>
      </ns0:c>
      <ns0:c r="D266">
        <ns0:f>IFERROR(IF(ISNUMBER($A266),IF(AND(AH!$P$10=1,AH!$P$12=1,$A266=TODAY()),AH!$P$18,IF(AH!$P$10=1,INDEX('Live History'!$E$5:$E$3004,MATCH($A266,'Live History'!$D$5:$D$3004,1)),INDEX('AH History'!$C$1:$C$18046,AH!$P$7+261))),NA()),NA())</ns0:f>
        <ns0:v/>
      </ns0:c>
      <ns0:c r="E266">
        <ns0:f>IFERROR(IF(ISNUMBER($A266),IF(AND(AH!$P$10=1,AH!$P$12=1,$A266=TODAY()),AH!$P$20,IF(AH!$P$10=1,INDEX('Live History'!$H$5:$H$3004,MATCH($A266,'Live History'!$G$5:$G$3004,1)),INDEX('AH History'!$D$1:$D$18046,AH!$P$7+261))),NA()),NA())</ns0:f>
        <ns0:v/>
      </ns0:c>
      <ns0:c r="F266">
        <ns0:f>IFERROR(IF(ISNUMBER($A266),IF(AND(AH!$P$10=1,AH!$P$12=1,$A266=TODAY()),IF(AND(AH!$P$10=1,AH!$P$12=1,$A266=TODAY()),TODAY(),NA()),IF(AH!$P$10=1,INDEX('Live History'!$D$5:$D$3004,MATCH($A266,'Live History'!$D$5:$D$3004,1)),INDEX('AH History'!$E$1:$E$18046,AH!$P$7+261))),NA()),NA())</ns0:f>
        <ns0:v/>
      </ns0:c>
      <ns0:c r="G266">
        <ns0:f>IFERROR(IF(ISNUMBER($A266),IF(AND(AH!$P$10=1,AH!$P$12=1,$A266=TODAY()),IF(AND(AH!$P$10=1,AH!$P$12=1,$A266=TODAY()),TODAY(),NA()),IF(AH!$P$10=1,INDEX('Live History'!$G$5:$G$3004,MATCH($A266,'Live History'!$G$5:$G$3004,1)),INDEX('AH History'!$F$1:$F$18046,AH!$P$7+261))),NA()),NA())</ns0:f>
        <ns0:v/>
      </ns0:c>
      <ns0:c r="H266">
        <ns0:f>IFERROR(IF(AND(AH!$E$4="Bloomberg",AH!$P$10=1,ISNUMBER($A266),$A266&lt;=AH!$P$17),AH!$P$7-1+MATCH($A266,INDEX('AH History'!$A$1:$A$18046,AH!$P$7):INDEX('AH History'!$A$1:$A$18046,AH!$P$7+AH!$P$8-1),0),0),0)</ns0:f>
        <ns0:v/>
      </ns0:c>
      <ns0:c r="I266">
        <ns0:f>IF($H266=0,0,IFERROR(IF(AND(ABS($C266-INDEX('AH History'!$B$1:$B$18046,$H266))&lt;=MAX(0.005,ABS(INDEX('AH History'!$B$1:$B$18046,$H266))*0.00005),ABS($D266-INDEX('AH History'!$C$1:$C$18046,$H266))&lt;=MAX(0.005,ABS(INDEX('AH History'!$C$1:$C$18046,$H266))*0.00005),ABS($E266-INDEX('AH History'!$D$1:$D$18046,$H266))&lt;=0.00005,$F266=INDEX('AH History'!$E$1:$E$18046,$H266),$G266=INDEX('AH History'!$F$1:$F$18046,$H266)),1,-1),-1))</ns0:f>
        <ns0:v/>
      </ns0:c>
    </ns0:row>
    <ns0:row r="267">
      <ns0:c r="A267" s="215">
        <ns0:f>IF(OR(AH!$P$3=0,262+1&gt;AH!$P$11,AND(AH!$E$4&lt;&gt;"Stored",AH!$P$10&lt;&gt;1)),"",IFERROR(IF(AND(AH!$P$21=1,262+1=AH!$P$11),TODAY(),IF(AH!$P$10=1,INDEX('Live History'!$A$5:$A$3004,AH!$P$13+262),INDEX('AH History'!$A$1:$A$18046,AH!$P$7+262))),""))</ns0:f>
        <ns0:v/>
      </ns0:c>
      <ns0:c r="B267" s="219">
        <ns0:f>IFERROR(IF(AND(AH!$P$9&lt;&gt;1,$C267&gt;0,$D267&gt;0,$E267&gt;0,$F267&gt;0,$G267&gt;0,$F267&lt;=$A267,$G267&lt;=$A267,$A267-$F267&lt;=10,$A267-$G267&lt;=5),$D267*$E267/$C267-1,NA()),NA())</ns0:f>
        <ns0:v/>
      </ns0:c>
      <ns0:c r="C267">
        <ns0:f>IFERROR(IF(ISNUMBER($A267),IF(AND(AH!$P$10=1,AH!$P$12=1,$A267=TODAY()),AH!$P$19,IF(AH!$P$10=1,INDEX('Live History'!$B$5:$B$3004,AH!$P$13+262),INDEX('AH History'!$B$1:$B$18046,AH!$P$7+262))),NA()),NA())</ns0:f>
        <ns0:v/>
      </ns0:c>
      <ns0:c r="D267">
        <ns0:f>IFERROR(IF(ISNUMBER($A267),IF(AND(AH!$P$10=1,AH!$P$12=1,$A267=TODAY()),AH!$P$18,IF(AH!$P$10=1,INDEX('Live History'!$E$5:$E$3004,MATCH($A267,'Live History'!$D$5:$D$3004,1)),INDEX('AH History'!$C$1:$C$18046,AH!$P$7+262))),NA()),NA())</ns0:f>
        <ns0:v/>
      </ns0:c>
      <ns0:c r="E267">
        <ns0:f>IFERROR(IF(ISNUMBER($A267),IF(AND(AH!$P$10=1,AH!$P$12=1,$A267=TODAY()),AH!$P$20,IF(AH!$P$10=1,INDEX('Live History'!$H$5:$H$3004,MATCH($A267,'Live History'!$G$5:$G$3004,1)),INDEX('AH History'!$D$1:$D$18046,AH!$P$7+262))),NA()),NA())</ns0:f>
        <ns0:v/>
      </ns0:c>
      <ns0:c r="F267">
        <ns0:f>IFERROR(IF(ISNUMBER($A267),IF(AND(AH!$P$10=1,AH!$P$12=1,$A267=TODAY()),IF(AND(AH!$P$10=1,AH!$P$12=1,$A267=TODAY()),TODAY(),NA()),IF(AH!$P$10=1,INDEX('Live History'!$D$5:$D$3004,MATCH($A267,'Live History'!$D$5:$D$3004,1)),INDEX('AH History'!$E$1:$E$18046,AH!$P$7+262))),NA()),NA())</ns0:f>
        <ns0:v/>
      </ns0:c>
      <ns0:c r="G267">
        <ns0:f>IFERROR(IF(ISNUMBER($A267),IF(AND(AH!$P$10=1,AH!$P$12=1,$A267=TODAY()),IF(AND(AH!$P$10=1,AH!$P$12=1,$A267=TODAY()),TODAY(),NA()),IF(AH!$P$10=1,INDEX('Live History'!$G$5:$G$3004,MATCH($A267,'Live History'!$G$5:$G$3004,1)),INDEX('AH History'!$F$1:$F$18046,AH!$P$7+262))),NA()),NA())</ns0:f>
        <ns0:v/>
      </ns0:c>
      <ns0:c r="H267">
        <ns0:f>IFERROR(IF(AND(AH!$E$4="Bloomberg",AH!$P$10=1,ISNUMBER($A267),$A267&lt;=AH!$P$17),AH!$P$7-1+MATCH($A267,INDEX('AH History'!$A$1:$A$18046,AH!$P$7):INDEX('AH History'!$A$1:$A$18046,AH!$P$7+AH!$P$8-1),0),0),0)</ns0:f>
        <ns0:v/>
      </ns0:c>
      <ns0:c r="I267">
        <ns0:f>IF($H267=0,0,IFERROR(IF(AND(ABS($C267-INDEX('AH History'!$B$1:$B$18046,$H267))&lt;=MAX(0.005,ABS(INDEX('AH History'!$B$1:$B$18046,$H267))*0.00005),ABS($D267-INDEX('AH History'!$C$1:$C$18046,$H267))&lt;=MAX(0.005,ABS(INDEX('AH History'!$C$1:$C$18046,$H267))*0.00005),ABS($E267-INDEX('AH History'!$D$1:$D$18046,$H267))&lt;=0.00005,$F267=INDEX('AH History'!$E$1:$E$18046,$H267),$G267=INDEX('AH History'!$F$1:$F$18046,$H267)),1,-1),-1))</ns0:f>
        <ns0:v/>
      </ns0:c>
    </ns0:row>
    <ns0:row r="268">
      <ns0:c r="A268" s="215">
        <ns0:f>IF(OR(AH!$P$3=0,263+1&gt;AH!$P$11,AND(AH!$E$4&lt;&gt;"Stored",AH!$P$10&lt;&gt;1)),"",IFERROR(IF(AND(AH!$P$21=1,263+1=AH!$P$11),TODAY(),IF(AH!$P$10=1,INDEX('Live History'!$A$5:$A$3004,AH!$P$13+263),INDEX('AH History'!$A$1:$A$18046,AH!$P$7+263))),""))</ns0:f>
        <ns0:v/>
      </ns0:c>
      <ns0:c r="B268" s="219">
        <ns0:f>IFERROR(IF(AND(AH!$P$9&lt;&gt;1,$C268&gt;0,$D268&gt;0,$E268&gt;0,$F268&gt;0,$G268&gt;0,$F268&lt;=$A268,$G268&lt;=$A268,$A268-$F268&lt;=10,$A268-$G268&lt;=5),$D268*$E268/$C268-1,NA()),NA())</ns0:f>
        <ns0:v/>
      </ns0:c>
      <ns0:c r="C268">
        <ns0:f>IFERROR(IF(ISNUMBER($A268),IF(AND(AH!$P$10=1,AH!$P$12=1,$A268=TODAY()),AH!$P$19,IF(AH!$P$10=1,INDEX('Live History'!$B$5:$B$3004,AH!$P$13+263),INDEX('AH History'!$B$1:$B$18046,AH!$P$7+263))),NA()),NA())</ns0:f>
        <ns0:v/>
      </ns0:c>
      <ns0:c r="D268">
        <ns0:f>IFERROR(IF(ISNUMBER($A268),IF(AND(AH!$P$10=1,AH!$P$12=1,$A268=TODAY()),AH!$P$18,IF(AH!$P$10=1,INDEX('Live History'!$E$5:$E$3004,MATCH($A268,'Live History'!$D$5:$D$3004,1)),INDEX('AH History'!$C$1:$C$18046,AH!$P$7+263))),NA()),NA())</ns0:f>
        <ns0:v/>
      </ns0:c>
      <ns0:c r="E268">
        <ns0:f>IFERROR(IF(ISNUMBER($A268),IF(AND(AH!$P$10=1,AH!$P$12=1,$A268=TODAY()),AH!$P$20,IF(AH!$P$10=1,INDEX('Live History'!$H$5:$H$3004,MATCH($A268,'Live History'!$G$5:$G$3004,1)),INDEX('AH History'!$D$1:$D$18046,AH!$P$7+263))),NA()),NA())</ns0:f>
        <ns0:v/>
      </ns0:c>
      <ns0:c r="F268">
        <ns0:f>IFERROR(IF(ISNUMBER($A268),IF(AND(AH!$P$10=1,AH!$P$12=1,$A268=TODAY()),IF(AND(AH!$P$10=1,AH!$P$12=1,$A268=TODAY()),TODAY(),NA()),IF(AH!$P$10=1,INDEX('Live History'!$D$5:$D$3004,MATCH($A268,'Live History'!$D$5:$D$3004,1)),INDEX('AH History'!$E$1:$E$18046,AH!$P$7+263))),NA()),NA())</ns0:f>
        <ns0:v/>
      </ns0:c>
      <ns0:c r="G268">
        <ns0:f>IFERROR(IF(ISNUMBER($A268),IF(AND(AH!$P$10=1,AH!$P$12=1,$A268=TODAY()),IF(AND(AH!$P$10=1,AH!$P$12=1,$A268=TODAY()),TODAY(),NA()),IF(AH!$P$10=1,INDEX('Live History'!$G$5:$G$3004,MATCH($A268,'Live History'!$G$5:$G$3004,1)),INDEX('AH History'!$F$1:$F$18046,AH!$P$7+263))),NA()),NA())</ns0:f>
        <ns0:v/>
      </ns0:c>
      <ns0:c r="H268">
        <ns0:f>IFERROR(IF(AND(AH!$E$4="Bloomberg",AH!$P$10=1,ISNUMBER($A268),$A268&lt;=AH!$P$17),AH!$P$7-1+MATCH($A268,INDEX('AH History'!$A$1:$A$18046,AH!$P$7):INDEX('AH History'!$A$1:$A$18046,AH!$P$7+AH!$P$8-1),0),0),0)</ns0:f>
        <ns0:v/>
      </ns0:c>
      <ns0:c r="I268">
        <ns0:f>IF($H268=0,0,IFERROR(IF(AND(ABS($C268-INDEX('AH History'!$B$1:$B$18046,$H268))&lt;=MAX(0.005,ABS(INDEX('AH History'!$B$1:$B$18046,$H268))*0.00005),ABS($D268-INDEX('AH History'!$C$1:$C$18046,$H268))&lt;=MAX(0.005,ABS(INDEX('AH History'!$C$1:$C$18046,$H268))*0.00005),ABS($E268-INDEX('AH History'!$D$1:$D$18046,$H268))&lt;=0.00005,$F268=INDEX('AH History'!$E$1:$E$18046,$H268),$G268=INDEX('AH History'!$F$1:$F$18046,$H268)),1,-1),-1))</ns0:f>
        <ns0:v/>
      </ns0:c>
    </ns0:row>
    <ns0:row r="269">
      <ns0:c r="A269" s="215">
        <ns0:f>IF(OR(AH!$P$3=0,264+1&gt;AH!$P$11,AND(AH!$E$4&lt;&gt;"Stored",AH!$P$10&lt;&gt;1)),"",IFERROR(IF(AND(AH!$P$21=1,264+1=AH!$P$11),TODAY(),IF(AH!$P$10=1,INDEX('Live History'!$A$5:$A$3004,AH!$P$13+264),INDEX('AH History'!$A$1:$A$18046,AH!$P$7+264))),""))</ns0:f>
        <ns0:v/>
      </ns0:c>
      <ns0:c r="B269" s="219">
        <ns0:f>IFERROR(IF(AND(AH!$P$9&lt;&gt;1,$C269&gt;0,$D269&gt;0,$E269&gt;0,$F269&gt;0,$G269&gt;0,$F269&lt;=$A269,$G269&lt;=$A269,$A269-$F269&lt;=10,$A269-$G269&lt;=5),$D269*$E269/$C269-1,NA()),NA())</ns0:f>
        <ns0:v/>
      </ns0:c>
      <ns0:c r="C269">
        <ns0:f>IFERROR(IF(ISNUMBER($A269),IF(AND(AH!$P$10=1,AH!$P$12=1,$A269=TODAY()),AH!$P$19,IF(AH!$P$10=1,INDEX('Live History'!$B$5:$B$3004,AH!$P$13+264),INDEX('AH History'!$B$1:$B$18046,AH!$P$7+264))),NA()),NA())</ns0:f>
        <ns0:v/>
      </ns0:c>
      <ns0:c r="D269">
        <ns0:f>IFERROR(IF(ISNUMBER($A269),IF(AND(AH!$P$10=1,AH!$P$12=1,$A269=TODAY()),AH!$P$18,IF(AH!$P$10=1,INDEX('Live History'!$E$5:$E$3004,MATCH($A269,'Live History'!$D$5:$D$3004,1)),INDEX('AH History'!$C$1:$C$18046,AH!$P$7+264))),NA()),NA())</ns0:f>
        <ns0:v/>
      </ns0:c>
      <ns0:c r="E269">
        <ns0:f>IFERROR(IF(ISNUMBER($A269),IF(AND(AH!$P$10=1,AH!$P$12=1,$A269=TODAY()),AH!$P$20,IF(AH!$P$10=1,INDEX('Live History'!$H$5:$H$3004,MATCH($A269,'Live History'!$G$5:$G$3004,1)),INDEX('AH History'!$D$1:$D$18046,AH!$P$7+264))),NA()),NA())</ns0:f>
        <ns0:v/>
      </ns0:c>
      <ns0:c r="F269">
        <ns0:f>IFERROR(IF(ISNUMBER($A269),IF(AND(AH!$P$10=1,AH!$P$12=1,$A269=TODAY()),IF(AND(AH!$P$10=1,AH!$P$12=1,$A269=TODAY()),TODAY(),NA()),IF(AH!$P$10=1,INDEX('Live History'!$D$5:$D$3004,MATCH($A269,'Live History'!$D$5:$D$3004,1)),INDEX('AH History'!$E$1:$E$18046,AH!$P$7+264))),NA()),NA())</ns0:f>
        <ns0:v/>
      </ns0:c>
      <ns0:c r="G269">
        <ns0:f>IFERROR(IF(ISNUMBER($A269),IF(AND(AH!$P$10=1,AH!$P$12=1,$A269=TODAY()),IF(AND(AH!$P$10=1,AH!$P$12=1,$A269=TODAY()),TODAY(),NA()),IF(AH!$P$10=1,INDEX('Live History'!$G$5:$G$3004,MATCH($A269,'Live History'!$G$5:$G$3004,1)),INDEX('AH History'!$F$1:$F$18046,AH!$P$7+264))),NA()),NA())</ns0:f>
        <ns0:v/>
      </ns0:c>
      <ns0:c r="H269">
        <ns0:f>IFERROR(IF(AND(AH!$E$4="Bloomberg",AH!$P$10=1,ISNUMBER($A269),$A269&lt;=AH!$P$17),AH!$P$7-1+MATCH($A269,INDEX('AH History'!$A$1:$A$18046,AH!$P$7):INDEX('AH History'!$A$1:$A$18046,AH!$P$7+AH!$P$8-1),0),0),0)</ns0:f>
        <ns0:v/>
      </ns0:c>
      <ns0:c r="I269">
        <ns0:f>IF($H269=0,0,IFERROR(IF(AND(ABS($C269-INDEX('AH History'!$B$1:$B$18046,$H269))&lt;=MAX(0.005,ABS(INDEX('AH History'!$B$1:$B$18046,$H269))*0.00005),ABS($D269-INDEX('AH History'!$C$1:$C$18046,$H269))&lt;=MAX(0.005,ABS(INDEX('AH History'!$C$1:$C$18046,$H269))*0.00005),ABS($E269-INDEX('AH History'!$D$1:$D$18046,$H269))&lt;=0.00005,$F269=INDEX('AH History'!$E$1:$E$18046,$H269),$G269=INDEX('AH History'!$F$1:$F$18046,$H269)),1,-1),-1))</ns0:f>
        <ns0:v/>
      </ns0:c>
    </ns0:row>
    <ns0:row r="270">
      <ns0:c r="A270" s="215">
        <ns0:f>IF(OR(AH!$P$3=0,265+1&gt;AH!$P$11,AND(AH!$E$4&lt;&gt;"Stored",AH!$P$10&lt;&gt;1)),"",IFERROR(IF(AND(AH!$P$21=1,265+1=AH!$P$11),TODAY(),IF(AH!$P$10=1,INDEX('Live History'!$A$5:$A$3004,AH!$P$13+265),INDEX('AH History'!$A$1:$A$18046,AH!$P$7+265))),""))</ns0:f>
        <ns0:v/>
      </ns0:c>
      <ns0:c r="B270" s="219">
        <ns0:f>IFERROR(IF(AND(AH!$P$9&lt;&gt;1,$C270&gt;0,$D270&gt;0,$E270&gt;0,$F270&gt;0,$G270&gt;0,$F270&lt;=$A270,$G270&lt;=$A270,$A270-$F270&lt;=10,$A270-$G270&lt;=5),$D270*$E270/$C270-1,NA()),NA())</ns0:f>
        <ns0:v/>
      </ns0:c>
      <ns0:c r="C270">
        <ns0:f>IFERROR(IF(ISNUMBER($A270),IF(AND(AH!$P$10=1,AH!$P$12=1,$A270=TODAY()),AH!$P$19,IF(AH!$P$10=1,INDEX('Live History'!$B$5:$B$3004,AH!$P$13+265),INDEX('AH History'!$B$1:$B$18046,AH!$P$7+265))),NA()),NA())</ns0:f>
        <ns0:v/>
      </ns0:c>
      <ns0:c r="D270">
        <ns0:f>IFERROR(IF(ISNUMBER($A270),IF(AND(AH!$P$10=1,AH!$P$12=1,$A270=TODAY()),AH!$P$18,IF(AH!$P$10=1,INDEX('Live History'!$E$5:$E$3004,MATCH($A270,'Live History'!$D$5:$D$3004,1)),INDEX('AH History'!$C$1:$C$18046,AH!$P$7+265))),NA()),NA())</ns0:f>
        <ns0:v/>
      </ns0:c>
      <ns0:c r="E270">
        <ns0:f>IFERROR(IF(ISNUMBER($A270),IF(AND(AH!$P$10=1,AH!$P$12=1,$A270=TODAY()),AH!$P$20,IF(AH!$P$10=1,INDEX('Live History'!$H$5:$H$3004,MATCH($A270,'Live History'!$G$5:$G$3004,1)),INDEX('AH History'!$D$1:$D$18046,AH!$P$7+265))),NA()),NA())</ns0:f>
        <ns0:v/>
      </ns0:c>
      <ns0:c r="F270">
        <ns0:f>IFERROR(IF(ISNUMBER($A270),IF(AND(AH!$P$10=1,AH!$P$12=1,$A270=TODAY()),IF(AND(AH!$P$10=1,AH!$P$12=1,$A270=TODAY()),TODAY(),NA()),IF(AH!$P$10=1,INDEX('Live History'!$D$5:$D$3004,MATCH($A270,'Live History'!$D$5:$D$3004,1)),INDEX('AH History'!$E$1:$E$18046,AH!$P$7+265))),NA()),NA())</ns0:f>
        <ns0:v/>
      </ns0:c>
      <ns0:c r="G270">
        <ns0:f>IFERROR(IF(ISNUMBER($A270),IF(AND(AH!$P$10=1,AH!$P$12=1,$A270=TODAY()),IF(AND(AH!$P$10=1,AH!$P$12=1,$A270=TODAY()),TODAY(),NA()),IF(AH!$P$10=1,INDEX('Live History'!$G$5:$G$3004,MATCH($A270,'Live History'!$G$5:$G$3004,1)),INDEX('AH History'!$F$1:$F$18046,AH!$P$7+265))),NA()),NA())</ns0:f>
        <ns0:v/>
      </ns0:c>
      <ns0:c r="H270">
        <ns0:f>IFERROR(IF(AND(AH!$E$4="Bloomberg",AH!$P$10=1,ISNUMBER($A270),$A270&lt;=AH!$P$17),AH!$P$7-1+MATCH($A270,INDEX('AH History'!$A$1:$A$18046,AH!$P$7):INDEX('AH History'!$A$1:$A$18046,AH!$P$7+AH!$P$8-1),0),0),0)</ns0:f>
        <ns0:v/>
      </ns0:c>
      <ns0:c r="I270">
        <ns0:f>IF($H270=0,0,IFERROR(IF(AND(ABS($C270-INDEX('AH History'!$B$1:$B$18046,$H270))&lt;=MAX(0.005,ABS(INDEX('AH History'!$B$1:$B$18046,$H270))*0.00005),ABS($D270-INDEX('AH History'!$C$1:$C$18046,$H270))&lt;=MAX(0.005,ABS(INDEX('AH History'!$C$1:$C$18046,$H270))*0.00005),ABS($E270-INDEX('AH History'!$D$1:$D$18046,$H270))&lt;=0.00005,$F270=INDEX('AH History'!$E$1:$E$18046,$H270),$G270=INDEX('AH History'!$F$1:$F$18046,$H270)),1,-1),-1))</ns0:f>
        <ns0:v/>
      </ns0:c>
    </ns0:row>
    <ns0:row r="271">
      <ns0:c r="A271" s="215">
        <ns0:f>IF(OR(AH!$P$3=0,266+1&gt;AH!$P$11,AND(AH!$E$4&lt;&gt;"Stored",AH!$P$10&lt;&gt;1)),"",IFERROR(IF(AND(AH!$P$21=1,266+1=AH!$P$11),TODAY(),IF(AH!$P$10=1,INDEX('Live History'!$A$5:$A$3004,AH!$P$13+266),INDEX('AH History'!$A$1:$A$18046,AH!$P$7+266))),""))</ns0:f>
        <ns0:v/>
      </ns0:c>
      <ns0:c r="B271" s="219">
        <ns0:f>IFERROR(IF(AND(AH!$P$9&lt;&gt;1,$C271&gt;0,$D271&gt;0,$E271&gt;0,$F271&gt;0,$G271&gt;0,$F271&lt;=$A271,$G271&lt;=$A271,$A271-$F271&lt;=10,$A271-$G271&lt;=5),$D271*$E271/$C271-1,NA()),NA())</ns0:f>
        <ns0:v/>
      </ns0:c>
      <ns0:c r="C271">
        <ns0:f>IFERROR(IF(ISNUMBER($A271),IF(AND(AH!$P$10=1,AH!$P$12=1,$A271=TODAY()),AH!$P$19,IF(AH!$P$10=1,INDEX('Live History'!$B$5:$B$3004,AH!$P$13+266),INDEX('AH History'!$B$1:$B$18046,AH!$P$7+266))),NA()),NA())</ns0:f>
        <ns0:v/>
      </ns0:c>
      <ns0:c r="D271">
        <ns0:f>IFERROR(IF(ISNUMBER($A271),IF(AND(AH!$P$10=1,AH!$P$12=1,$A271=TODAY()),AH!$P$18,IF(AH!$P$10=1,INDEX('Live History'!$E$5:$E$3004,MATCH($A271,'Live History'!$D$5:$D$3004,1)),INDEX('AH History'!$C$1:$C$18046,AH!$P$7+266))),NA()),NA())</ns0:f>
        <ns0:v/>
      </ns0:c>
      <ns0:c r="E271">
        <ns0:f>IFERROR(IF(ISNUMBER($A271),IF(AND(AH!$P$10=1,AH!$P$12=1,$A271=TODAY()),AH!$P$20,IF(AH!$P$10=1,INDEX('Live History'!$H$5:$H$3004,MATCH($A271,'Live History'!$G$5:$G$3004,1)),INDEX('AH History'!$D$1:$D$18046,AH!$P$7+266))),NA()),NA())</ns0:f>
        <ns0:v/>
      </ns0:c>
      <ns0:c r="F271">
        <ns0:f>IFERROR(IF(ISNUMBER($A271),IF(AND(AH!$P$10=1,AH!$P$12=1,$A271=TODAY()),IF(AND(AH!$P$10=1,AH!$P$12=1,$A271=TODAY()),TODAY(),NA()),IF(AH!$P$10=1,INDEX('Live History'!$D$5:$D$3004,MATCH($A271,'Live History'!$D$5:$D$3004,1)),INDEX('AH History'!$E$1:$E$18046,AH!$P$7+266))),NA()),NA())</ns0:f>
        <ns0:v/>
      </ns0:c>
      <ns0:c r="G271">
        <ns0:f>IFERROR(IF(ISNUMBER($A271),IF(AND(AH!$P$10=1,AH!$P$12=1,$A271=TODAY()),IF(AND(AH!$P$10=1,AH!$P$12=1,$A271=TODAY()),TODAY(),NA()),IF(AH!$P$10=1,INDEX('Live History'!$G$5:$G$3004,MATCH($A271,'Live History'!$G$5:$G$3004,1)),INDEX('AH History'!$F$1:$F$18046,AH!$P$7+266))),NA()),NA())</ns0:f>
        <ns0:v/>
      </ns0:c>
      <ns0:c r="H271">
        <ns0:f>IFERROR(IF(AND(AH!$E$4="Bloomberg",AH!$P$10=1,ISNUMBER($A271),$A271&lt;=AH!$P$17),AH!$P$7-1+MATCH($A271,INDEX('AH History'!$A$1:$A$18046,AH!$P$7):INDEX('AH History'!$A$1:$A$18046,AH!$P$7+AH!$P$8-1),0),0),0)</ns0:f>
        <ns0:v/>
      </ns0:c>
      <ns0:c r="I271">
        <ns0:f>IF($H271=0,0,IFERROR(IF(AND(ABS($C271-INDEX('AH History'!$B$1:$B$18046,$H271))&lt;=MAX(0.005,ABS(INDEX('AH History'!$B$1:$B$18046,$H271))*0.00005),ABS($D271-INDEX('AH History'!$C$1:$C$18046,$H271))&lt;=MAX(0.005,ABS(INDEX('AH History'!$C$1:$C$18046,$H271))*0.00005),ABS($E271-INDEX('AH History'!$D$1:$D$18046,$H271))&lt;=0.00005,$F271=INDEX('AH History'!$E$1:$E$18046,$H271),$G271=INDEX('AH History'!$F$1:$F$18046,$H271)),1,-1),-1))</ns0:f>
        <ns0:v/>
      </ns0:c>
    </ns0:row>
    <ns0:row r="272">
      <ns0:c r="A272" s="215">
        <ns0:f>IF(OR(AH!$P$3=0,267+1&gt;AH!$P$11,AND(AH!$E$4&lt;&gt;"Stored",AH!$P$10&lt;&gt;1)),"",IFERROR(IF(AND(AH!$P$21=1,267+1=AH!$P$11),TODAY(),IF(AH!$P$10=1,INDEX('Live History'!$A$5:$A$3004,AH!$P$13+267),INDEX('AH History'!$A$1:$A$18046,AH!$P$7+267))),""))</ns0:f>
        <ns0:v/>
      </ns0:c>
      <ns0:c r="B272" s="219">
        <ns0:f>IFERROR(IF(AND(AH!$P$9&lt;&gt;1,$C272&gt;0,$D272&gt;0,$E272&gt;0,$F272&gt;0,$G272&gt;0,$F272&lt;=$A272,$G272&lt;=$A272,$A272-$F272&lt;=10,$A272-$G272&lt;=5),$D272*$E272/$C272-1,NA()),NA())</ns0:f>
        <ns0:v/>
      </ns0:c>
      <ns0:c r="C272">
        <ns0:f>IFERROR(IF(ISNUMBER($A272),IF(AND(AH!$P$10=1,AH!$P$12=1,$A272=TODAY()),AH!$P$19,IF(AH!$P$10=1,INDEX('Live History'!$B$5:$B$3004,AH!$P$13+267),INDEX('AH History'!$B$1:$B$18046,AH!$P$7+267))),NA()),NA())</ns0:f>
        <ns0:v/>
      </ns0:c>
      <ns0:c r="D272">
        <ns0:f>IFERROR(IF(ISNUMBER($A272),IF(AND(AH!$P$10=1,AH!$P$12=1,$A272=TODAY()),AH!$P$18,IF(AH!$P$10=1,INDEX('Live History'!$E$5:$E$3004,MATCH($A272,'Live History'!$D$5:$D$3004,1)),INDEX('AH History'!$C$1:$C$18046,AH!$P$7+267))),NA()),NA())</ns0:f>
        <ns0:v/>
      </ns0:c>
      <ns0:c r="E272">
        <ns0:f>IFERROR(IF(ISNUMBER($A272),IF(AND(AH!$P$10=1,AH!$P$12=1,$A272=TODAY()),AH!$P$20,IF(AH!$P$10=1,INDEX('Live History'!$H$5:$H$3004,MATCH($A272,'Live History'!$G$5:$G$3004,1)),INDEX('AH History'!$D$1:$D$18046,AH!$P$7+267))),NA()),NA())</ns0:f>
        <ns0:v/>
      </ns0:c>
      <ns0:c r="F272">
        <ns0:f>IFERROR(IF(ISNUMBER($A272),IF(AND(AH!$P$10=1,AH!$P$12=1,$A272=TODAY()),IF(AND(AH!$P$10=1,AH!$P$12=1,$A272=TODAY()),TODAY(),NA()),IF(AH!$P$10=1,INDEX('Live History'!$D$5:$D$3004,MATCH($A272,'Live History'!$D$5:$D$3004,1)),INDEX('AH History'!$E$1:$E$18046,AH!$P$7+267))),NA()),NA())</ns0:f>
        <ns0:v/>
      </ns0:c>
      <ns0:c r="G272">
        <ns0:f>IFERROR(IF(ISNUMBER($A272),IF(AND(AH!$P$10=1,AH!$P$12=1,$A272=TODAY()),IF(AND(AH!$P$10=1,AH!$P$12=1,$A272=TODAY()),TODAY(),NA()),IF(AH!$P$10=1,INDEX('Live History'!$G$5:$G$3004,MATCH($A272,'Live History'!$G$5:$G$3004,1)),INDEX('AH History'!$F$1:$F$18046,AH!$P$7+267))),NA()),NA())</ns0:f>
        <ns0:v/>
      </ns0:c>
      <ns0:c r="H272">
        <ns0:f>IFERROR(IF(AND(AH!$E$4="Bloomberg",AH!$P$10=1,ISNUMBER($A272),$A272&lt;=AH!$P$17),AH!$P$7-1+MATCH($A272,INDEX('AH History'!$A$1:$A$18046,AH!$P$7):INDEX('AH History'!$A$1:$A$18046,AH!$P$7+AH!$P$8-1),0),0),0)</ns0:f>
        <ns0:v/>
      </ns0:c>
      <ns0:c r="I272">
        <ns0:f>IF($H272=0,0,IFERROR(IF(AND(ABS($C272-INDEX('AH History'!$B$1:$B$18046,$H272))&lt;=MAX(0.005,ABS(INDEX('AH History'!$B$1:$B$18046,$H272))*0.00005),ABS($D272-INDEX('AH History'!$C$1:$C$18046,$H272))&lt;=MAX(0.005,ABS(INDEX('AH History'!$C$1:$C$18046,$H272))*0.00005),ABS($E272-INDEX('AH History'!$D$1:$D$18046,$H272))&lt;=0.00005,$F272=INDEX('AH History'!$E$1:$E$18046,$H272),$G272=INDEX('AH History'!$F$1:$F$18046,$H272)),1,-1),-1))</ns0:f>
        <ns0:v/>
      </ns0:c>
    </ns0:row>
    <ns0:row r="273">
      <ns0:c r="A273" s="215">
        <ns0:f>IF(OR(AH!$P$3=0,268+1&gt;AH!$P$11,AND(AH!$E$4&lt;&gt;"Stored",AH!$P$10&lt;&gt;1)),"",IFERROR(IF(AND(AH!$P$21=1,268+1=AH!$P$11),TODAY(),IF(AH!$P$10=1,INDEX('Live History'!$A$5:$A$3004,AH!$P$13+268),INDEX('AH History'!$A$1:$A$18046,AH!$P$7+268))),""))</ns0:f>
        <ns0:v/>
      </ns0:c>
      <ns0:c r="B273" s="219">
        <ns0:f>IFERROR(IF(AND(AH!$P$9&lt;&gt;1,$C273&gt;0,$D273&gt;0,$E273&gt;0,$F273&gt;0,$G273&gt;0,$F273&lt;=$A273,$G273&lt;=$A273,$A273-$F273&lt;=10,$A273-$G273&lt;=5),$D273*$E273/$C273-1,NA()),NA())</ns0:f>
        <ns0:v/>
      </ns0:c>
      <ns0:c r="C273">
        <ns0:f>IFERROR(IF(ISNUMBER($A273),IF(AND(AH!$P$10=1,AH!$P$12=1,$A273=TODAY()),AH!$P$19,IF(AH!$P$10=1,INDEX('Live History'!$B$5:$B$3004,AH!$P$13+268),INDEX('AH History'!$B$1:$B$18046,AH!$P$7+268))),NA()),NA())</ns0:f>
        <ns0:v/>
      </ns0:c>
      <ns0:c r="D273">
        <ns0:f>IFERROR(IF(ISNUMBER($A273),IF(AND(AH!$P$10=1,AH!$P$12=1,$A273=TODAY()),AH!$P$18,IF(AH!$P$10=1,INDEX('Live History'!$E$5:$E$3004,MATCH($A273,'Live History'!$D$5:$D$3004,1)),INDEX('AH History'!$C$1:$C$18046,AH!$P$7+268))),NA()),NA())</ns0:f>
        <ns0:v/>
      </ns0:c>
      <ns0:c r="E273">
        <ns0:f>IFERROR(IF(ISNUMBER($A273),IF(AND(AH!$P$10=1,AH!$P$12=1,$A273=TODAY()),AH!$P$20,IF(AH!$P$10=1,INDEX('Live History'!$H$5:$H$3004,MATCH($A273,'Live History'!$G$5:$G$3004,1)),INDEX('AH History'!$D$1:$D$18046,AH!$P$7+268))),NA()),NA())</ns0:f>
        <ns0:v/>
      </ns0:c>
      <ns0:c r="F273">
        <ns0:f>IFERROR(IF(ISNUMBER($A273),IF(AND(AH!$P$10=1,AH!$P$12=1,$A273=TODAY()),IF(AND(AH!$P$10=1,AH!$P$12=1,$A273=TODAY()),TODAY(),NA()),IF(AH!$P$10=1,INDEX('Live History'!$D$5:$D$3004,MATCH($A273,'Live History'!$D$5:$D$3004,1)),INDEX('AH History'!$E$1:$E$18046,AH!$P$7+268))),NA()),NA())</ns0:f>
        <ns0:v/>
      </ns0:c>
      <ns0:c r="G273">
        <ns0:f>IFERROR(IF(ISNUMBER($A273),IF(AND(AH!$P$10=1,AH!$P$12=1,$A273=TODAY()),IF(AND(AH!$P$10=1,AH!$P$12=1,$A273=TODAY()),TODAY(),NA()),IF(AH!$P$10=1,INDEX('Live History'!$G$5:$G$3004,MATCH($A273,'Live History'!$G$5:$G$3004,1)),INDEX('AH History'!$F$1:$F$18046,AH!$P$7+268))),NA()),NA())</ns0:f>
        <ns0:v/>
      </ns0:c>
      <ns0:c r="H273">
        <ns0:f>IFERROR(IF(AND(AH!$E$4="Bloomberg",AH!$P$10=1,ISNUMBER($A273),$A273&lt;=AH!$P$17),AH!$P$7-1+MATCH($A273,INDEX('AH History'!$A$1:$A$18046,AH!$P$7):INDEX('AH History'!$A$1:$A$18046,AH!$P$7+AH!$P$8-1),0),0),0)</ns0:f>
        <ns0:v/>
      </ns0:c>
      <ns0:c r="I273">
        <ns0:f>IF($H273=0,0,IFERROR(IF(AND(ABS($C273-INDEX('AH History'!$B$1:$B$18046,$H273))&lt;=MAX(0.005,ABS(INDEX('AH History'!$B$1:$B$18046,$H273))*0.00005),ABS($D273-INDEX('AH History'!$C$1:$C$18046,$H273))&lt;=MAX(0.005,ABS(INDEX('AH History'!$C$1:$C$18046,$H273))*0.00005),ABS($E273-INDEX('AH History'!$D$1:$D$18046,$H273))&lt;=0.00005,$F273=INDEX('AH History'!$E$1:$E$18046,$H273),$G273=INDEX('AH History'!$F$1:$F$18046,$H273)),1,-1),-1))</ns0:f>
        <ns0:v/>
      </ns0:c>
    </ns0:row>
    <ns0:row r="274">
      <ns0:c r="A274" s="215">
        <ns0:f>IF(OR(AH!$P$3=0,269+1&gt;AH!$P$11,AND(AH!$E$4&lt;&gt;"Stored",AH!$P$10&lt;&gt;1)),"",IFERROR(IF(AND(AH!$P$21=1,269+1=AH!$P$11),TODAY(),IF(AH!$P$10=1,INDEX('Live History'!$A$5:$A$3004,AH!$P$13+269),INDEX('AH History'!$A$1:$A$18046,AH!$P$7+269))),""))</ns0:f>
        <ns0:v/>
      </ns0:c>
      <ns0:c r="B274" s="219">
        <ns0:f>IFERROR(IF(AND(AH!$P$9&lt;&gt;1,$C274&gt;0,$D274&gt;0,$E274&gt;0,$F274&gt;0,$G274&gt;0,$F274&lt;=$A274,$G274&lt;=$A274,$A274-$F274&lt;=10,$A274-$G274&lt;=5),$D274*$E274/$C274-1,NA()),NA())</ns0:f>
        <ns0:v/>
      </ns0:c>
      <ns0:c r="C274">
        <ns0:f>IFERROR(IF(ISNUMBER($A274),IF(AND(AH!$P$10=1,AH!$P$12=1,$A274=TODAY()),AH!$P$19,IF(AH!$P$10=1,INDEX('Live History'!$B$5:$B$3004,AH!$P$13+269),INDEX('AH History'!$B$1:$B$18046,AH!$P$7+269))),NA()),NA())</ns0:f>
        <ns0:v/>
      </ns0:c>
      <ns0:c r="D274">
        <ns0:f>IFERROR(IF(ISNUMBER($A274),IF(AND(AH!$P$10=1,AH!$P$12=1,$A274=TODAY()),AH!$P$18,IF(AH!$P$10=1,INDEX('Live History'!$E$5:$E$3004,MATCH($A274,'Live History'!$D$5:$D$3004,1)),INDEX('AH History'!$C$1:$C$18046,AH!$P$7+269))),NA()),NA())</ns0:f>
        <ns0:v/>
      </ns0:c>
      <ns0:c r="E274">
        <ns0:f>IFERROR(IF(ISNUMBER($A274),IF(AND(AH!$P$10=1,AH!$P$12=1,$A274=TODAY()),AH!$P$20,IF(AH!$P$10=1,INDEX('Live History'!$H$5:$H$3004,MATCH($A274,'Live History'!$G$5:$G$3004,1)),INDEX('AH History'!$D$1:$D$18046,AH!$P$7+269))),NA()),NA())</ns0:f>
        <ns0:v/>
      </ns0:c>
      <ns0:c r="F274">
        <ns0:f>IFERROR(IF(ISNUMBER($A274),IF(AND(AH!$P$10=1,AH!$P$12=1,$A274=TODAY()),IF(AND(AH!$P$10=1,AH!$P$12=1,$A274=TODAY()),TODAY(),NA()),IF(AH!$P$10=1,INDEX('Live History'!$D$5:$D$3004,MATCH($A274,'Live History'!$D$5:$D$3004,1)),INDEX('AH History'!$E$1:$E$18046,AH!$P$7+269))),NA()),NA())</ns0:f>
        <ns0:v/>
      </ns0:c>
      <ns0:c r="G274">
        <ns0:f>IFERROR(IF(ISNUMBER($A274),IF(AND(AH!$P$10=1,AH!$P$12=1,$A274=TODAY()),IF(AND(AH!$P$10=1,AH!$P$12=1,$A274=TODAY()),TODAY(),NA()),IF(AH!$P$10=1,INDEX('Live History'!$G$5:$G$3004,MATCH($A274,'Live History'!$G$5:$G$3004,1)),INDEX('AH History'!$F$1:$F$18046,AH!$P$7+269))),NA()),NA())</ns0:f>
        <ns0:v/>
      </ns0:c>
      <ns0:c r="H274">
        <ns0:f>IFERROR(IF(AND(AH!$E$4="Bloomberg",AH!$P$10=1,ISNUMBER($A274),$A274&lt;=AH!$P$17),AH!$P$7-1+MATCH($A274,INDEX('AH History'!$A$1:$A$18046,AH!$P$7):INDEX('AH History'!$A$1:$A$18046,AH!$P$7+AH!$P$8-1),0),0),0)</ns0:f>
        <ns0:v/>
      </ns0:c>
      <ns0:c r="I274">
        <ns0:f>IF($H274=0,0,IFERROR(IF(AND(ABS($C274-INDEX('AH History'!$B$1:$B$18046,$H274))&lt;=MAX(0.005,ABS(INDEX('AH History'!$B$1:$B$18046,$H274))*0.00005),ABS($D274-INDEX('AH History'!$C$1:$C$18046,$H274))&lt;=MAX(0.005,ABS(INDEX('AH History'!$C$1:$C$18046,$H274))*0.00005),ABS($E274-INDEX('AH History'!$D$1:$D$18046,$H274))&lt;=0.00005,$F274=INDEX('AH History'!$E$1:$E$18046,$H274),$G274=INDEX('AH History'!$F$1:$F$18046,$H274)),1,-1),-1))</ns0:f>
        <ns0:v/>
      </ns0:c>
    </ns0:row>
    <ns0:row r="275">
      <ns0:c r="A275" s="215">
        <ns0:f>IF(OR(AH!$P$3=0,270+1&gt;AH!$P$11,AND(AH!$E$4&lt;&gt;"Stored",AH!$P$10&lt;&gt;1)),"",IFERROR(IF(AND(AH!$P$21=1,270+1=AH!$P$11),TODAY(),IF(AH!$P$10=1,INDEX('Live History'!$A$5:$A$3004,AH!$P$13+270),INDEX('AH History'!$A$1:$A$18046,AH!$P$7+270))),""))</ns0:f>
        <ns0:v/>
      </ns0:c>
      <ns0:c r="B275" s="219">
        <ns0:f>IFERROR(IF(AND(AH!$P$9&lt;&gt;1,$C275&gt;0,$D275&gt;0,$E275&gt;0,$F275&gt;0,$G275&gt;0,$F275&lt;=$A275,$G275&lt;=$A275,$A275-$F275&lt;=10,$A275-$G275&lt;=5),$D275*$E275/$C275-1,NA()),NA())</ns0:f>
        <ns0:v/>
      </ns0:c>
      <ns0:c r="C275">
        <ns0:f>IFERROR(IF(ISNUMBER($A275),IF(AND(AH!$P$10=1,AH!$P$12=1,$A275=TODAY()),AH!$P$19,IF(AH!$P$10=1,INDEX('Live History'!$B$5:$B$3004,AH!$P$13+270),INDEX('AH History'!$B$1:$B$18046,AH!$P$7+270))),NA()),NA())</ns0:f>
        <ns0:v/>
      </ns0:c>
      <ns0:c r="D275">
        <ns0:f>IFERROR(IF(ISNUMBER($A275),IF(AND(AH!$P$10=1,AH!$P$12=1,$A275=TODAY()),AH!$P$18,IF(AH!$P$10=1,INDEX('Live History'!$E$5:$E$3004,MATCH($A275,'Live History'!$D$5:$D$3004,1)),INDEX('AH History'!$C$1:$C$18046,AH!$P$7+270))),NA()),NA())</ns0:f>
        <ns0:v/>
      </ns0:c>
      <ns0:c r="E275">
        <ns0:f>IFERROR(IF(ISNUMBER($A275),IF(AND(AH!$P$10=1,AH!$P$12=1,$A275=TODAY()),AH!$P$20,IF(AH!$P$10=1,INDEX('Live History'!$H$5:$H$3004,MATCH($A275,'Live History'!$G$5:$G$3004,1)),INDEX('AH History'!$D$1:$D$18046,AH!$P$7+270))),NA()),NA())</ns0:f>
        <ns0:v/>
      </ns0:c>
      <ns0:c r="F275">
        <ns0:f>IFERROR(IF(ISNUMBER($A275),IF(AND(AH!$P$10=1,AH!$P$12=1,$A275=TODAY()),IF(AND(AH!$P$10=1,AH!$P$12=1,$A275=TODAY()),TODAY(),NA()),IF(AH!$P$10=1,INDEX('Live History'!$D$5:$D$3004,MATCH($A275,'Live History'!$D$5:$D$3004,1)),INDEX('AH History'!$E$1:$E$18046,AH!$P$7+270))),NA()),NA())</ns0:f>
        <ns0:v/>
      </ns0:c>
      <ns0:c r="G275">
        <ns0:f>IFERROR(IF(ISNUMBER($A275),IF(AND(AH!$P$10=1,AH!$P$12=1,$A275=TODAY()),IF(AND(AH!$P$10=1,AH!$P$12=1,$A275=TODAY()),TODAY(),NA()),IF(AH!$P$10=1,INDEX('Live History'!$G$5:$G$3004,MATCH($A275,'Live History'!$G$5:$G$3004,1)),INDEX('AH History'!$F$1:$F$18046,AH!$P$7+270))),NA()),NA())</ns0:f>
        <ns0:v/>
      </ns0:c>
      <ns0:c r="H275">
        <ns0:f>IFERROR(IF(AND(AH!$E$4="Bloomberg",AH!$P$10=1,ISNUMBER($A275),$A275&lt;=AH!$P$17),AH!$P$7-1+MATCH($A275,INDEX('AH History'!$A$1:$A$18046,AH!$P$7):INDEX('AH History'!$A$1:$A$18046,AH!$P$7+AH!$P$8-1),0),0),0)</ns0:f>
        <ns0:v/>
      </ns0:c>
      <ns0:c r="I275">
        <ns0:f>IF($H275=0,0,IFERROR(IF(AND(ABS($C275-INDEX('AH History'!$B$1:$B$18046,$H275))&lt;=MAX(0.005,ABS(INDEX('AH History'!$B$1:$B$18046,$H275))*0.00005),ABS($D275-INDEX('AH History'!$C$1:$C$18046,$H275))&lt;=MAX(0.005,ABS(INDEX('AH History'!$C$1:$C$18046,$H275))*0.00005),ABS($E275-INDEX('AH History'!$D$1:$D$18046,$H275))&lt;=0.00005,$F275=INDEX('AH History'!$E$1:$E$18046,$H275),$G275=INDEX('AH History'!$F$1:$F$18046,$H275)),1,-1),-1))</ns0:f>
        <ns0:v/>
      </ns0:c>
    </ns0:row>
    <ns0:row r="276">
      <ns0:c r="A276" s="215">
        <ns0:f>IF(OR(AH!$P$3=0,271+1&gt;AH!$P$11,AND(AH!$E$4&lt;&gt;"Stored",AH!$P$10&lt;&gt;1)),"",IFERROR(IF(AND(AH!$P$21=1,271+1=AH!$P$11),TODAY(),IF(AH!$P$10=1,INDEX('Live History'!$A$5:$A$3004,AH!$P$13+271),INDEX('AH History'!$A$1:$A$18046,AH!$P$7+271))),""))</ns0:f>
        <ns0:v/>
      </ns0:c>
      <ns0:c r="B276" s="219">
        <ns0:f>IFERROR(IF(AND(AH!$P$9&lt;&gt;1,$C276&gt;0,$D276&gt;0,$E276&gt;0,$F276&gt;0,$G276&gt;0,$F276&lt;=$A276,$G276&lt;=$A276,$A276-$F276&lt;=10,$A276-$G276&lt;=5),$D276*$E276/$C276-1,NA()),NA())</ns0:f>
        <ns0:v/>
      </ns0:c>
      <ns0:c r="C276">
        <ns0:f>IFERROR(IF(ISNUMBER($A276),IF(AND(AH!$P$10=1,AH!$P$12=1,$A276=TODAY()),AH!$P$19,IF(AH!$P$10=1,INDEX('Live History'!$B$5:$B$3004,AH!$P$13+271),INDEX('AH History'!$B$1:$B$18046,AH!$P$7+271))),NA()),NA())</ns0:f>
        <ns0:v/>
      </ns0:c>
      <ns0:c r="D276">
        <ns0:f>IFERROR(IF(ISNUMBER($A276),IF(AND(AH!$P$10=1,AH!$P$12=1,$A276=TODAY()),AH!$P$18,IF(AH!$P$10=1,INDEX('Live History'!$E$5:$E$3004,MATCH($A276,'Live History'!$D$5:$D$3004,1)),INDEX('AH History'!$C$1:$C$18046,AH!$P$7+271))),NA()),NA())</ns0:f>
        <ns0:v/>
      </ns0:c>
      <ns0:c r="E276">
        <ns0:f>IFERROR(IF(ISNUMBER($A276),IF(AND(AH!$P$10=1,AH!$P$12=1,$A276=TODAY()),AH!$P$20,IF(AH!$P$10=1,INDEX('Live History'!$H$5:$H$3004,MATCH($A276,'Live History'!$G$5:$G$3004,1)),INDEX('AH History'!$D$1:$D$18046,AH!$P$7+271))),NA()),NA())</ns0:f>
        <ns0:v/>
      </ns0:c>
      <ns0:c r="F276">
        <ns0:f>IFERROR(IF(ISNUMBER($A276),IF(AND(AH!$P$10=1,AH!$P$12=1,$A276=TODAY()),IF(AND(AH!$P$10=1,AH!$P$12=1,$A276=TODAY()),TODAY(),NA()),IF(AH!$P$10=1,INDEX('Live History'!$D$5:$D$3004,MATCH($A276,'Live History'!$D$5:$D$3004,1)),INDEX('AH History'!$E$1:$E$18046,AH!$P$7+271))),NA()),NA())</ns0:f>
        <ns0:v/>
      </ns0:c>
      <ns0:c r="G276">
        <ns0:f>IFERROR(IF(ISNUMBER($A276),IF(AND(AH!$P$10=1,AH!$P$12=1,$A276=TODAY()),IF(AND(AH!$P$10=1,AH!$P$12=1,$A276=TODAY()),TODAY(),NA()),IF(AH!$P$10=1,INDEX('Live History'!$G$5:$G$3004,MATCH($A276,'Live History'!$G$5:$G$3004,1)),INDEX('AH History'!$F$1:$F$18046,AH!$P$7+271))),NA()),NA())</ns0:f>
        <ns0:v/>
      </ns0:c>
      <ns0:c r="H276">
        <ns0:f>IFERROR(IF(AND(AH!$E$4="Bloomberg",AH!$P$10=1,ISNUMBER($A276),$A276&lt;=AH!$P$17),AH!$P$7-1+MATCH($A276,INDEX('AH History'!$A$1:$A$18046,AH!$P$7):INDEX('AH History'!$A$1:$A$18046,AH!$P$7+AH!$P$8-1),0),0),0)</ns0:f>
        <ns0:v/>
      </ns0:c>
      <ns0:c r="I276">
        <ns0:f>IF($H276=0,0,IFERROR(IF(AND(ABS($C276-INDEX('AH History'!$B$1:$B$18046,$H276))&lt;=MAX(0.005,ABS(INDEX('AH History'!$B$1:$B$18046,$H276))*0.00005),ABS($D276-INDEX('AH History'!$C$1:$C$18046,$H276))&lt;=MAX(0.005,ABS(INDEX('AH History'!$C$1:$C$18046,$H276))*0.00005),ABS($E276-INDEX('AH History'!$D$1:$D$18046,$H276))&lt;=0.00005,$F276=INDEX('AH History'!$E$1:$E$18046,$H276),$G276=INDEX('AH History'!$F$1:$F$18046,$H276)),1,-1),-1))</ns0:f>
        <ns0:v/>
      </ns0:c>
    </ns0:row>
    <ns0:row r="277">
      <ns0:c r="A277" s="215">
        <ns0:f>IF(OR(AH!$P$3=0,272+1&gt;AH!$P$11,AND(AH!$E$4&lt;&gt;"Stored",AH!$P$10&lt;&gt;1)),"",IFERROR(IF(AND(AH!$P$21=1,272+1=AH!$P$11),TODAY(),IF(AH!$P$10=1,INDEX('Live History'!$A$5:$A$3004,AH!$P$13+272),INDEX('AH History'!$A$1:$A$18046,AH!$P$7+272))),""))</ns0:f>
        <ns0:v/>
      </ns0:c>
      <ns0:c r="B277" s="219">
        <ns0:f>IFERROR(IF(AND(AH!$P$9&lt;&gt;1,$C277&gt;0,$D277&gt;0,$E277&gt;0,$F277&gt;0,$G277&gt;0,$F277&lt;=$A277,$G277&lt;=$A277,$A277-$F277&lt;=10,$A277-$G277&lt;=5),$D277*$E277/$C277-1,NA()),NA())</ns0:f>
        <ns0:v/>
      </ns0:c>
      <ns0:c r="C277">
        <ns0:f>IFERROR(IF(ISNUMBER($A277),IF(AND(AH!$P$10=1,AH!$P$12=1,$A277=TODAY()),AH!$P$19,IF(AH!$P$10=1,INDEX('Live History'!$B$5:$B$3004,AH!$P$13+272),INDEX('AH History'!$B$1:$B$18046,AH!$P$7+272))),NA()),NA())</ns0:f>
        <ns0:v/>
      </ns0:c>
      <ns0:c r="D277">
        <ns0:f>IFERROR(IF(ISNUMBER($A277),IF(AND(AH!$P$10=1,AH!$P$12=1,$A277=TODAY()),AH!$P$18,IF(AH!$P$10=1,INDEX('Live History'!$E$5:$E$3004,MATCH($A277,'Live History'!$D$5:$D$3004,1)),INDEX('AH History'!$C$1:$C$18046,AH!$P$7+272))),NA()),NA())</ns0:f>
        <ns0:v/>
      </ns0:c>
      <ns0:c r="E277">
        <ns0:f>IFERROR(IF(ISNUMBER($A277),IF(AND(AH!$P$10=1,AH!$P$12=1,$A277=TODAY()),AH!$P$20,IF(AH!$P$10=1,INDEX('Live History'!$H$5:$H$3004,MATCH($A277,'Live History'!$G$5:$G$3004,1)),INDEX('AH History'!$D$1:$D$18046,AH!$P$7+272))),NA()),NA())</ns0:f>
        <ns0:v/>
      </ns0:c>
      <ns0:c r="F277">
        <ns0:f>IFERROR(IF(ISNUMBER($A277),IF(AND(AH!$P$10=1,AH!$P$12=1,$A277=TODAY()),IF(AND(AH!$P$10=1,AH!$P$12=1,$A277=TODAY()),TODAY(),NA()),IF(AH!$P$10=1,INDEX('Live History'!$D$5:$D$3004,MATCH($A277,'Live History'!$D$5:$D$3004,1)),INDEX('AH History'!$E$1:$E$18046,AH!$P$7+272))),NA()),NA())</ns0:f>
        <ns0:v/>
      </ns0:c>
      <ns0:c r="G277">
        <ns0:f>IFERROR(IF(ISNUMBER($A277),IF(AND(AH!$P$10=1,AH!$P$12=1,$A277=TODAY()),IF(AND(AH!$P$10=1,AH!$P$12=1,$A277=TODAY()),TODAY(),NA()),IF(AH!$P$10=1,INDEX('Live History'!$G$5:$G$3004,MATCH($A277,'Live History'!$G$5:$G$3004,1)),INDEX('AH History'!$F$1:$F$18046,AH!$P$7+272))),NA()),NA())</ns0:f>
        <ns0:v/>
      </ns0:c>
      <ns0:c r="H277">
        <ns0:f>IFERROR(IF(AND(AH!$E$4="Bloomberg",AH!$P$10=1,ISNUMBER($A277),$A277&lt;=AH!$P$17),AH!$P$7-1+MATCH($A277,INDEX('AH History'!$A$1:$A$18046,AH!$P$7):INDEX('AH History'!$A$1:$A$18046,AH!$P$7+AH!$P$8-1),0),0),0)</ns0:f>
        <ns0:v/>
      </ns0:c>
      <ns0:c r="I277">
        <ns0:f>IF($H277=0,0,IFERROR(IF(AND(ABS($C277-INDEX('AH History'!$B$1:$B$18046,$H277))&lt;=MAX(0.005,ABS(INDEX('AH History'!$B$1:$B$18046,$H277))*0.00005),ABS($D277-INDEX('AH History'!$C$1:$C$18046,$H277))&lt;=MAX(0.005,ABS(INDEX('AH History'!$C$1:$C$18046,$H277))*0.00005),ABS($E277-INDEX('AH History'!$D$1:$D$18046,$H277))&lt;=0.00005,$F277=INDEX('AH History'!$E$1:$E$18046,$H277),$G277=INDEX('AH History'!$F$1:$F$18046,$H277)),1,-1),-1))</ns0:f>
        <ns0:v/>
      </ns0:c>
    </ns0:row>
    <ns0:row r="278">
      <ns0:c r="A278" s="215">
        <ns0:f>IF(OR(AH!$P$3=0,273+1&gt;AH!$P$11,AND(AH!$E$4&lt;&gt;"Stored",AH!$P$10&lt;&gt;1)),"",IFERROR(IF(AND(AH!$P$21=1,273+1=AH!$P$11),TODAY(),IF(AH!$P$10=1,INDEX('Live History'!$A$5:$A$3004,AH!$P$13+273),INDEX('AH History'!$A$1:$A$18046,AH!$P$7+273))),""))</ns0:f>
        <ns0:v/>
      </ns0:c>
      <ns0:c r="B278" s="219">
        <ns0:f>IFERROR(IF(AND(AH!$P$9&lt;&gt;1,$C278&gt;0,$D278&gt;0,$E278&gt;0,$F278&gt;0,$G278&gt;0,$F278&lt;=$A278,$G278&lt;=$A278,$A278-$F278&lt;=10,$A278-$G278&lt;=5),$D278*$E278/$C278-1,NA()),NA())</ns0:f>
        <ns0:v/>
      </ns0:c>
      <ns0:c r="C278">
        <ns0:f>IFERROR(IF(ISNUMBER($A278),IF(AND(AH!$P$10=1,AH!$P$12=1,$A278=TODAY()),AH!$P$19,IF(AH!$P$10=1,INDEX('Live History'!$B$5:$B$3004,AH!$P$13+273),INDEX('AH History'!$B$1:$B$18046,AH!$P$7+273))),NA()),NA())</ns0:f>
        <ns0:v/>
      </ns0:c>
      <ns0:c r="D278">
        <ns0:f>IFERROR(IF(ISNUMBER($A278),IF(AND(AH!$P$10=1,AH!$P$12=1,$A278=TODAY()),AH!$P$18,IF(AH!$P$10=1,INDEX('Live History'!$E$5:$E$3004,MATCH($A278,'Live History'!$D$5:$D$3004,1)),INDEX('AH History'!$C$1:$C$18046,AH!$P$7+273))),NA()),NA())</ns0:f>
        <ns0:v/>
      </ns0:c>
      <ns0:c r="E278">
        <ns0:f>IFERROR(IF(ISNUMBER($A278),IF(AND(AH!$P$10=1,AH!$P$12=1,$A278=TODAY()),AH!$P$20,IF(AH!$P$10=1,INDEX('Live History'!$H$5:$H$3004,MATCH($A278,'Live History'!$G$5:$G$3004,1)),INDEX('AH History'!$D$1:$D$18046,AH!$P$7+273))),NA()),NA())</ns0:f>
        <ns0:v/>
      </ns0:c>
      <ns0:c r="F278">
        <ns0:f>IFERROR(IF(ISNUMBER($A278),IF(AND(AH!$P$10=1,AH!$P$12=1,$A278=TODAY()),IF(AND(AH!$P$10=1,AH!$P$12=1,$A278=TODAY()),TODAY(),NA()),IF(AH!$P$10=1,INDEX('Live History'!$D$5:$D$3004,MATCH($A278,'Live History'!$D$5:$D$3004,1)),INDEX('AH History'!$E$1:$E$18046,AH!$P$7+273))),NA()),NA())</ns0:f>
        <ns0:v/>
      </ns0:c>
      <ns0:c r="G278">
        <ns0:f>IFERROR(IF(ISNUMBER($A278),IF(AND(AH!$P$10=1,AH!$P$12=1,$A278=TODAY()),IF(AND(AH!$P$10=1,AH!$P$12=1,$A278=TODAY()),TODAY(),NA()),IF(AH!$P$10=1,INDEX('Live History'!$G$5:$G$3004,MATCH($A278,'Live History'!$G$5:$G$3004,1)),INDEX('AH History'!$F$1:$F$18046,AH!$P$7+273))),NA()),NA())</ns0:f>
        <ns0:v/>
      </ns0:c>
      <ns0:c r="H278">
        <ns0:f>IFERROR(IF(AND(AH!$E$4="Bloomberg",AH!$P$10=1,ISNUMBER($A278),$A278&lt;=AH!$P$17),AH!$P$7-1+MATCH($A278,INDEX('AH History'!$A$1:$A$18046,AH!$P$7):INDEX('AH History'!$A$1:$A$18046,AH!$P$7+AH!$P$8-1),0),0),0)</ns0:f>
        <ns0:v/>
      </ns0:c>
      <ns0:c r="I278">
        <ns0:f>IF($H278=0,0,IFERROR(IF(AND(ABS($C278-INDEX('AH History'!$B$1:$B$18046,$H278))&lt;=MAX(0.005,ABS(INDEX('AH History'!$B$1:$B$18046,$H278))*0.00005),ABS($D278-INDEX('AH History'!$C$1:$C$18046,$H278))&lt;=MAX(0.005,ABS(INDEX('AH History'!$C$1:$C$18046,$H278))*0.00005),ABS($E278-INDEX('AH History'!$D$1:$D$18046,$H278))&lt;=0.00005,$F278=INDEX('AH History'!$E$1:$E$18046,$H278),$G278=INDEX('AH History'!$F$1:$F$18046,$H278)),1,-1),-1))</ns0:f>
        <ns0:v/>
      </ns0:c>
    </ns0:row>
    <ns0:row r="279">
      <ns0:c r="A279" s="215">
        <ns0:f>IF(OR(AH!$P$3=0,274+1&gt;AH!$P$11,AND(AH!$E$4&lt;&gt;"Stored",AH!$P$10&lt;&gt;1)),"",IFERROR(IF(AND(AH!$P$21=1,274+1=AH!$P$11),TODAY(),IF(AH!$P$10=1,INDEX('Live History'!$A$5:$A$3004,AH!$P$13+274),INDEX('AH History'!$A$1:$A$18046,AH!$P$7+274))),""))</ns0:f>
        <ns0:v/>
      </ns0:c>
      <ns0:c r="B279" s="219">
        <ns0:f>IFERROR(IF(AND(AH!$P$9&lt;&gt;1,$C279&gt;0,$D279&gt;0,$E279&gt;0,$F279&gt;0,$G279&gt;0,$F279&lt;=$A279,$G279&lt;=$A279,$A279-$F279&lt;=10,$A279-$G279&lt;=5),$D279*$E279/$C279-1,NA()),NA())</ns0:f>
        <ns0:v/>
      </ns0:c>
      <ns0:c r="C279">
        <ns0:f>IFERROR(IF(ISNUMBER($A279),IF(AND(AH!$P$10=1,AH!$P$12=1,$A279=TODAY()),AH!$P$19,IF(AH!$P$10=1,INDEX('Live History'!$B$5:$B$3004,AH!$P$13+274),INDEX('AH History'!$B$1:$B$18046,AH!$P$7+274))),NA()),NA())</ns0:f>
        <ns0:v/>
      </ns0:c>
      <ns0:c r="D279">
        <ns0:f>IFERROR(IF(ISNUMBER($A279),IF(AND(AH!$P$10=1,AH!$P$12=1,$A279=TODAY()),AH!$P$18,IF(AH!$P$10=1,INDEX('Live History'!$E$5:$E$3004,MATCH($A279,'Live History'!$D$5:$D$3004,1)),INDEX('AH History'!$C$1:$C$18046,AH!$P$7+274))),NA()),NA())</ns0:f>
        <ns0:v/>
      </ns0:c>
      <ns0:c r="E279">
        <ns0:f>IFERROR(IF(ISNUMBER($A279),IF(AND(AH!$P$10=1,AH!$P$12=1,$A279=TODAY()),AH!$P$20,IF(AH!$P$10=1,INDEX('Live History'!$H$5:$H$3004,MATCH($A279,'Live History'!$G$5:$G$3004,1)),INDEX('AH History'!$D$1:$D$18046,AH!$P$7+274))),NA()),NA())</ns0:f>
        <ns0:v/>
      </ns0:c>
      <ns0:c r="F279">
        <ns0:f>IFERROR(IF(ISNUMBER($A279),IF(AND(AH!$P$10=1,AH!$P$12=1,$A279=TODAY()),IF(AND(AH!$P$10=1,AH!$P$12=1,$A279=TODAY()),TODAY(),NA()),IF(AH!$P$10=1,INDEX('Live History'!$D$5:$D$3004,MATCH($A279,'Live History'!$D$5:$D$3004,1)),INDEX('AH History'!$E$1:$E$18046,AH!$P$7+274))),NA()),NA())</ns0:f>
        <ns0:v/>
      </ns0:c>
      <ns0:c r="G279">
        <ns0:f>IFERROR(IF(ISNUMBER($A279),IF(AND(AH!$P$10=1,AH!$P$12=1,$A279=TODAY()),IF(AND(AH!$P$10=1,AH!$P$12=1,$A279=TODAY()),TODAY(),NA()),IF(AH!$P$10=1,INDEX('Live History'!$G$5:$G$3004,MATCH($A279,'Live History'!$G$5:$G$3004,1)),INDEX('AH History'!$F$1:$F$18046,AH!$P$7+274))),NA()),NA())</ns0:f>
        <ns0:v/>
      </ns0:c>
      <ns0:c r="H279">
        <ns0:f>IFERROR(IF(AND(AH!$E$4="Bloomberg",AH!$P$10=1,ISNUMBER($A279),$A279&lt;=AH!$P$17),AH!$P$7-1+MATCH($A279,INDEX('AH History'!$A$1:$A$18046,AH!$P$7):INDEX('AH History'!$A$1:$A$18046,AH!$P$7+AH!$P$8-1),0),0),0)</ns0:f>
        <ns0:v/>
      </ns0:c>
      <ns0:c r="I279">
        <ns0:f>IF($H279=0,0,IFERROR(IF(AND(ABS($C279-INDEX('AH History'!$B$1:$B$18046,$H279))&lt;=MAX(0.005,ABS(INDEX('AH History'!$B$1:$B$18046,$H279))*0.00005),ABS($D279-INDEX('AH History'!$C$1:$C$18046,$H279))&lt;=MAX(0.005,ABS(INDEX('AH History'!$C$1:$C$18046,$H279))*0.00005),ABS($E279-INDEX('AH History'!$D$1:$D$18046,$H279))&lt;=0.00005,$F279=INDEX('AH History'!$E$1:$E$18046,$H279),$G279=INDEX('AH History'!$F$1:$F$18046,$H279)),1,-1),-1))</ns0:f>
        <ns0:v/>
      </ns0:c>
    </ns0:row>
    <ns0:row r="280">
      <ns0:c r="A280" s="215">
        <ns0:f>IF(OR(AH!$P$3=0,275+1&gt;AH!$P$11,AND(AH!$E$4&lt;&gt;"Stored",AH!$P$10&lt;&gt;1)),"",IFERROR(IF(AND(AH!$P$21=1,275+1=AH!$P$11),TODAY(),IF(AH!$P$10=1,INDEX('Live History'!$A$5:$A$3004,AH!$P$13+275),INDEX('AH History'!$A$1:$A$18046,AH!$P$7+275))),""))</ns0:f>
        <ns0:v/>
      </ns0:c>
      <ns0:c r="B280" s="219">
        <ns0:f>IFERROR(IF(AND(AH!$P$9&lt;&gt;1,$C280&gt;0,$D280&gt;0,$E280&gt;0,$F280&gt;0,$G280&gt;0,$F280&lt;=$A280,$G280&lt;=$A280,$A280-$F280&lt;=10,$A280-$G280&lt;=5),$D280*$E280/$C280-1,NA()),NA())</ns0:f>
        <ns0:v/>
      </ns0:c>
      <ns0:c r="C280">
        <ns0:f>IFERROR(IF(ISNUMBER($A280),IF(AND(AH!$P$10=1,AH!$P$12=1,$A280=TODAY()),AH!$P$19,IF(AH!$P$10=1,INDEX('Live History'!$B$5:$B$3004,AH!$P$13+275),INDEX('AH History'!$B$1:$B$18046,AH!$P$7+275))),NA()),NA())</ns0:f>
        <ns0:v/>
      </ns0:c>
      <ns0:c r="D280">
        <ns0:f>IFERROR(IF(ISNUMBER($A280),IF(AND(AH!$P$10=1,AH!$P$12=1,$A280=TODAY()),AH!$P$18,IF(AH!$P$10=1,INDEX('Live History'!$E$5:$E$3004,MATCH($A280,'Live History'!$D$5:$D$3004,1)),INDEX('AH History'!$C$1:$C$18046,AH!$P$7+275))),NA()),NA())</ns0:f>
        <ns0:v/>
      </ns0:c>
      <ns0:c r="E280">
        <ns0:f>IFERROR(IF(ISNUMBER($A280),IF(AND(AH!$P$10=1,AH!$P$12=1,$A280=TODAY()),AH!$P$20,IF(AH!$P$10=1,INDEX('Live History'!$H$5:$H$3004,MATCH($A280,'Live History'!$G$5:$G$3004,1)),INDEX('AH History'!$D$1:$D$18046,AH!$P$7+275))),NA()),NA())</ns0:f>
        <ns0:v/>
      </ns0:c>
      <ns0:c r="F280">
        <ns0:f>IFERROR(IF(ISNUMBER($A280),IF(AND(AH!$P$10=1,AH!$P$12=1,$A280=TODAY()),IF(AND(AH!$P$10=1,AH!$P$12=1,$A280=TODAY()),TODAY(),NA()),IF(AH!$P$10=1,INDEX('Live History'!$D$5:$D$3004,MATCH($A280,'Live History'!$D$5:$D$3004,1)),INDEX('AH History'!$E$1:$E$18046,AH!$P$7+275))),NA()),NA())</ns0:f>
        <ns0:v/>
      </ns0:c>
      <ns0:c r="G280">
        <ns0:f>IFERROR(IF(ISNUMBER($A280),IF(AND(AH!$P$10=1,AH!$P$12=1,$A280=TODAY()),IF(AND(AH!$P$10=1,AH!$P$12=1,$A280=TODAY()),TODAY(),NA()),IF(AH!$P$10=1,INDEX('Live History'!$G$5:$G$3004,MATCH($A280,'Live History'!$G$5:$G$3004,1)),INDEX('AH History'!$F$1:$F$18046,AH!$P$7+275))),NA()),NA())</ns0:f>
        <ns0:v/>
      </ns0:c>
      <ns0:c r="H280">
        <ns0:f>IFERROR(IF(AND(AH!$E$4="Bloomberg",AH!$P$10=1,ISNUMBER($A280),$A280&lt;=AH!$P$17),AH!$P$7-1+MATCH($A280,INDEX('AH History'!$A$1:$A$18046,AH!$P$7):INDEX('AH History'!$A$1:$A$18046,AH!$P$7+AH!$P$8-1),0),0),0)</ns0:f>
        <ns0:v/>
      </ns0:c>
      <ns0:c r="I280">
        <ns0:f>IF($H280=0,0,IFERROR(IF(AND(ABS($C280-INDEX('AH History'!$B$1:$B$18046,$H280))&lt;=MAX(0.005,ABS(INDEX('AH History'!$B$1:$B$18046,$H280))*0.00005),ABS($D280-INDEX('AH History'!$C$1:$C$18046,$H280))&lt;=MAX(0.005,ABS(INDEX('AH History'!$C$1:$C$18046,$H280))*0.00005),ABS($E280-INDEX('AH History'!$D$1:$D$18046,$H280))&lt;=0.00005,$F280=INDEX('AH History'!$E$1:$E$18046,$H280),$G280=INDEX('AH History'!$F$1:$F$18046,$H280)),1,-1),-1))</ns0:f>
        <ns0:v/>
      </ns0:c>
    </ns0:row>
    <ns0:row r="281">
      <ns0:c r="A281" s="215">
        <ns0:f>IF(OR(AH!$P$3=0,276+1&gt;AH!$P$11,AND(AH!$E$4&lt;&gt;"Stored",AH!$P$10&lt;&gt;1)),"",IFERROR(IF(AND(AH!$P$21=1,276+1=AH!$P$11),TODAY(),IF(AH!$P$10=1,INDEX('Live History'!$A$5:$A$3004,AH!$P$13+276),INDEX('AH History'!$A$1:$A$18046,AH!$P$7+276))),""))</ns0:f>
        <ns0:v/>
      </ns0:c>
      <ns0:c r="B281" s="219">
        <ns0:f>IFERROR(IF(AND(AH!$P$9&lt;&gt;1,$C281&gt;0,$D281&gt;0,$E281&gt;0,$F281&gt;0,$G281&gt;0,$F281&lt;=$A281,$G281&lt;=$A281,$A281-$F281&lt;=10,$A281-$G281&lt;=5),$D281*$E281/$C281-1,NA()),NA())</ns0:f>
        <ns0:v/>
      </ns0:c>
      <ns0:c r="C281">
        <ns0:f>IFERROR(IF(ISNUMBER($A281),IF(AND(AH!$P$10=1,AH!$P$12=1,$A281=TODAY()),AH!$P$19,IF(AH!$P$10=1,INDEX('Live History'!$B$5:$B$3004,AH!$P$13+276),INDEX('AH History'!$B$1:$B$18046,AH!$P$7+276))),NA()),NA())</ns0:f>
        <ns0:v/>
      </ns0:c>
      <ns0:c r="D281">
        <ns0:f>IFERROR(IF(ISNUMBER($A281),IF(AND(AH!$P$10=1,AH!$P$12=1,$A281=TODAY()),AH!$P$18,IF(AH!$P$10=1,INDEX('Live History'!$E$5:$E$3004,MATCH($A281,'Live History'!$D$5:$D$3004,1)),INDEX('AH History'!$C$1:$C$18046,AH!$P$7+276))),NA()),NA())</ns0:f>
        <ns0:v/>
      </ns0:c>
      <ns0:c r="E281">
        <ns0:f>IFERROR(IF(ISNUMBER($A281),IF(AND(AH!$P$10=1,AH!$P$12=1,$A281=TODAY()),AH!$P$20,IF(AH!$P$10=1,INDEX('Live History'!$H$5:$H$3004,MATCH($A281,'Live History'!$G$5:$G$3004,1)),INDEX('AH History'!$D$1:$D$18046,AH!$P$7+276))),NA()),NA())</ns0:f>
        <ns0:v/>
      </ns0:c>
      <ns0:c r="F281">
        <ns0:f>IFERROR(IF(ISNUMBER($A281),IF(AND(AH!$P$10=1,AH!$P$12=1,$A281=TODAY()),IF(AND(AH!$P$10=1,AH!$P$12=1,$A281=TODAY()),TODAY(),NA()),IF(AH!$P$10=1,INDEX('Live History'!$D$5:$D$3004,MATCH($A281,'Live History'!$D$5:$D$3004,1)),INDEX('AH History'!$E$1:$E$18046,AH!$P$7+276))),NA()),NA())</ns0:f>
        <ns0:v/>
      </ns0:c>
      <ns0:c r="G281">
        <ns0:f>IFERROR(IF(ISNUMBER($A281),IF(AND(AH!$P$10=1,AH!$P$12=1,$A281=TODAY()),IF(AND(AH!$P$10=1,AH!$P$12=1,$A281=TODAY()),TODAY(),NA()),IF(AH!$P$10=1,INDEX('Live History'!$G$5:$G$3004,MATCH($A281,'Live History'!$G$5:$G$3004,1)),INDEX('AH History'!$F$1:$F$18046,AH!$P$7+276))),NA()),NA())</ns0:f>
        <ns0:v/>
      </ns0:c>
      <ns0:c r="H281">
        <ns0:f>IFERROR(IF(AND(AH!$E$4="Bloomberg",AH!$P$10=1,ISNUMBER($A281),$A281&lt;=AH!$P$17),AH!$P$7-1+MATCH($A281,INDEX('AH History'!$A$1:$A$18046,AH!$P$7):INDEX('AH History'!$A$1:$A$18046,AH!$P$7+AH!$P$8-1),0),0),0)</ns0:f>
        <ns0:v/>
      </ns0:c>
      <ns0:c r="I281">
        <ns0:f>IF($H281=0,0,IFERROR(IF(AND(ABS($C281-INDEX('AH History'!$B$1:$B$18046,$H281))&lt;=MAX(0.005,ABS(INDEX('AH History'!$B$1:$B$18046,$H281))*0.00005),ABS($D281-INDEX('AH History'!$C$1:$C$18046,$H281))&lt;=MAX(0.005,ABS(INDEX('AH History'!$C$1:$C$18046,$H281))*0.00005),ABS($E281-INDEX('AH History'!$D$1:$D$18046,$H281))&lt;=0.00005,$F281=INDEX('AH History'!$E$1:$E$18046,$H281),$G281=INDEX('AH History'!$F$1:$F$18046,$H281)),1,-1),-1))</ns0:f>
        <ns0:v/>
      </ns0:c>
    </ns0:row>
    <ns0:row r="282">
      <ns0:c r="A282" s="215">
        <ns0:f>IF(OR(AH!$P$3=0,277+1&gt;AH!$P$11,AND(AH!$E$4&lt;&gt;"Stored",AH!$P$10&lt;&gt;1)),"",IFERROR(IF(AND(AH!$P$21=1,277+1=AH!$P$11),TODAY(),IF(AH!$P$10=1,INDEX('Live History'!$A$5:$A$3004,AH!$P$13+277),INDEX('AH History'!$A$1:$A$18046,AH!$P$7+277))),""))</ns0:f>
        <ns0:v/>
      </ns0:c>
      <ns0:c r="B282" s="219">
        <ns0:f>IFERROR(IF(AND(AH!$P$9&lt;&gt;1,$C282&gt;0,$D282&gt;0,$E282&gt;0,$F282&gt;0,$G282&gt;0,$F282&lt;=$A282,$G282&lt;=$A282,$A282-$F282&lt;=10,$A282-$G282&lt;=5),$D282*$E282/$C282-1,NA()),NA())</ns0:f>
        <ns0:v/>
      </ns0:c>
      <ns0:c r="C282">
        <ns0:f>IFERROR(IF(ISNUMBER($A282),IF(AND(AH!$P$10=1,AH!$P$12=1,$A282=TODAY()),AH!$P$19,IF(AH!$P$10=1,INDEX('Live History'!$B$5:$B$3004,AH!$P$13+277),INDEX('AH History'!$B$1:$B$18046,AH!$P$7+277))),NA()),NA())</ns0:f>
        <ns0:v/>
      </ns0:c>
      <ns0:c r="D282">
        <ns0:f>IFERROR(IF(ISNUMBER($A282),IF(AND(AH!$P$10=1,AH!$P$12=1,$A282=TODAY()),AH!$P$18,IF(AH!$P$10=1,INDEX('Live History'!$E$5:$E$3004,MATCH($A282,'Live History'!$D$5:$D$3004,1)),INDEX('AH History'!$C$1:$C$18046,AH!$P$7+277))),NA()),NA())</ns0:f>
        <ns0:v/>
      </ns0:c>
      <ns0:c r="E282">
        <ns0:f>IFERROR(IF(ISNUMBER($A282),IF(AND(AH!$P$10=1,AH!$P$12=1,$A282=TODAY()),AH!$P$20,IF(AH!$P$10=1,INDEX('Live History'!$H$5:$H$3004,MATCH($A282,'Live History'!$G$5:$G$3004,1)),INDEX('AH History'!$D$1:$D$18046,AH!$P$7+277))),NA()),NA())</ns0:f>
        <ns0:v/>
      </ns0:c>
      <ns0:c r="F282">
        <ns0:f>IFERROR(IF(ISNUMBER($A282),IF(AND(AH!$P$10=1,AH!$P$12=1,$A282=TODAY()),IF(AND(AH!$P$10=1,AH!$P$12=1,$A282=TODAY()),TODAY(),NA()),IF(AH!$P$10=1,INDEX('Live History'!$D$5:$D$3004,MATCH($A282,'Live History'!$D$5:$D$3004,1)),INDEX('AH History'!$E$1:$E$18046,AH!$P$7+277))),NA()),NA())</ns0:f>
        <ns0:v/>
      </ns0:c>
      <ns0:c r="G282">
        <ns0:f>IFERROR(IF(ISNUMBER($A282),IF(AND(AH!$P$10=1,AH!$P$12=1,$A282=TODAY()),IF(AND(AH!$P$10=1,AH!$P$12=1,$A282=TODAY()),TODAY(),NA()),IF(AH!$P$10=1,INDEX('Live History'!$G$5:$G$3004,MATCH($A282,'Live History'!$G$5:$G$3004,1)),INDEX('AH History'!$F$1:$F$18046,AH!$P$7+277))),NA()),NA())</ns0:f>
        <ns0:v/>
      </ns0:c>
      <ns0:c r="H282">
        <ns0:f>IFERROR(IF(AND(AH!$E$4="Bloomberg",AH!$P$10=1,ISNUMBER($A282),$A282&lt;=AH!$P$17),AH!$P$7-1+MATCH($A282,INDEX('AH History'!$A$1:$A$18046,AH!$P$7):INDEX('AH History'!$A$1:$A$18046,AH!$P$7+AH!$P$8-1),0),0),0)</ns0:f>
        <ns0:v/>
      </ns0:c>
      <ns0:c r="I282">
        <ns0:f>IF($H282=0,0,IFERROR(IF(AND(ABS($C282-INDEX('AH History'!$B$1:$B$18046,$H282))&lt;=MAX(0.005,ABS(INDEX('AH History'!$B$1:$B$18046,$H282))*0.00005),ABS($D282-INDEX('AH History'!$C$1:$C$18046,$H282))&lt;=MAX(0.005,ABS(INDEX('AH History'!$C$1:$C$18046,$H282))*0.00005),ABS($E282-INDEX('AH History'!$D$1:$D$18046,$H282))&lt;=0.00005,$F282=INDEX('AH History'!$E$1:$E$18046,$H282),$G282=INDEX('AH History'!$F$1:$F$18046,$H282)),1,-1),-1))</ns0:f>
        <ns0:v/>
      </ns0:c>
    </ns0:row>
    <ns0:row r="283">
      <ns0:c r="A283" s="215">
        <ns0:f>IF(OR(AH!$P$3=0,278+1&gt;AH!$P$11,AND(AH!$E$4&lt;&gt;"Stored",AH!$P$10&lt;&gt;1)),"",IFERROR(IF(AND(AH!$P$21=1,278+1=AH!$P$11),TODAY(),IF(AH!$P$10=1,INDEX('Live History'!$A$5:$A$3004,AH!$P$13+278),INDEX('AH History'!$A$1:$A$18046,AH!$P$7+278))),""))</ns0:f>
        <ns0:v/>
      </ns0:c>
      <ns0:c r="B283" s="219">
        <ns0:f>IFERROR(IF(AND(AH!$P$9&lt;&gt;1,$C283&gt;0,$D283&gt;0,$E283&gt;0,$F283&gt;0,$G283&gt;0,$F283&lt;=$A283,$G283&lt;=$A283,$A283-$F283&lt;=10,$A283-$G283&lt;=5),$D283*$E283/$C283-1,NA()),NA())</ns0:f>
        <ns0:v/>
      </ns0:c>
      <ns0:c r="C283">
        <ns0:f>IFERROR(IF(ISNUMBER($A283),IF(AND(AH!$P$10=1,AH!$P$12=1,$A283=TODAY()),AH!$P$19,IF(AH!$P$10=1,INDEX('Live History'!$B$5:$B$3004,AH!$P$13+278),INDEX('AH History'!$B$1:$B$18046,AH!$P$7+278))),NA()),NA())</ns0:f>
        <ns0:v/>
      </ns0:c>
      <ns0:c r="D283">
        <ns0:f>IFERROR(IF(ISNUMBER($A283),IF(AND(AH!$P$10=1,AH!$P$12=1,$A283=TODAY()),AH!$P$18,IF(AH!$P$10=1,INDEX('Live History'!$E$5:$E$3004,MATCH($A283,'Live History'!$D$5:$D$3004,1)),INDEX('AH History'!$C$1:$C$18046,AH!$P$7+278))),NA()),NA())</ns0:f>
        <ns0:v/>
      </ns0:c>
      <ns0:c r="E283">
        <ns0:f>IFERROR(IF(ISNUMBER($A283),IF(AND(AH!$P$10=1,AH!$P$12=1,$A283=TODAY()),AH!$P$20,IF(AH!$P$10=1,INDEX('Live History'!$H$5:$H$3004,MATCH($A283,'Live History'!$G$5:$G$3004,1)),INDEX('AH History'!$D$1:$D$18046,AH!$P$7+278))),NA()),NA())</ns0:f>
        <ns0:v/>
      </ns0:c>
      <ns0:c r="F283">
        <ns0:f>IFERROR(IF(ISNUMBER($A283),IF(AND(AH!$P$10=1,AH!$P$12=1,$A283=TODAY()),IF(AND(AH!$P$10=1,AH!$P$12=1,$A283=TODAY()),TODAY(),NA()),IF(AH!$P$10=1,INDEX('Live History'!$D$5:$D$3004,MATCH($A283,'Live History'!$D$5:$D$3004,1)),INDEX('AH History'!$E$1:$E$18046,AH!$P$7+278))),NA()),NA())</ns0:f>
        <ns0:v/>
      </ns0:c>
      <ns0:c r="G283">
        <ns0:f>IFERROR(IF(ISNUMBER($A283),IF(AND(AH!$P$10=1,AH!$P$12=1,$A283=TODAY()),IF(AND(AH!$P$10=1,AH!$P$12=1,$A283=TODAY()),TODAY(),NA()),IF(AH!$P$10=1,INDEX('Live History'!$G$5:$G$3004,MATCH($A283,'Live History'!$G$5:$G$3004,1)),INDEX('AH History'!$F$1:$F$18046,AH!$P$7+278))),NA()),NA())</ns0:f>
        <ns0:v/>
      </ns0:c>
      <ns0:c r="H283">
        <ns0:f>IFERROR(IF(AND(AH!$E$4="Bloomberg",AH!$P$10=1,ISNUMBER($A283),$A283&lt;=AH!$P$17),AH!$P$7-1+MATCH($A283,INDEX('AH History'!$A$1:$A$18046,AH!$P$7):INDEX('AH History'!$A$1:$A$18046,AH!$P$7+AH!$P$8-1),0),0),0)</ns0:f>
        <ns0:v/>
      </ns0:c>
      <ns0:c r="I283">
        <ns0:f>IF($H283=0,0,IFERROR(IF(AND(ABS($C283-INDEX('AH History'!$B$1:$B$18046,$H283))&lt;=MAX(0.005,ABS(INDEX('AH History'!$B$1:$B$18046,$H283))*0.00005),ABS($D283-INDEX('AH History'!$C$1:$C$18046,$H283))&lt;=MAX(0.005,ABS(INDEX('AH History'!$C$1:$C$18046,$H283))*0.00005),ABS($E283-INDEX('AH History'!$D$1:$D$18046,$H283))&lt;=0.00005,$F283=INDEX('AH History'!$E$1:$E$18046,$H283),$G283=INDEX('AH History'!$F$1:$F$18046,$H283)),1,-1),-1))</ns0:f>
        <ns0:v/>
      </ns0:c>
    </ns0:row>
    <ns0:row r="284">
      <ns0:c r="A284" s="215">
        <ns0:f>IF(OR(AH!$P$3=0,279+1&gt;AH!$P$11,AND(AH!$E$4&lt;&gt;"Stored",AH!$P$10&lt;&gt;1)),"",IFERROR(IF(AND(AH!$P$21=1,279+1=AH!$P$11),TODAY(),IF(AH!$P$10=1,INDEX('Live History'!$A$5:$A$3004,AH!$P$13+279),INDEX('AH History'!$A$1:$A$18046,AH!$P$7+279))),""))</ns0:f>
        <ns0:v/>
      </ns0:c>
      <ns0:c r="B284" s="219">
        <ns0:f>IFERROR(IF(AND(AH!$P$9&lt;&gt;1,$C284&gt;0,$D284&gt;0,$E284&gt;0,$F284&gt;0,$G284&gt;0,$F284&lt;=$A284,$G284&lt;=$A284,$A284-$F284&lt;=10,$A284-$G284&lt;=5),$D284*$E284/$C284-1,NA()),NA())</ns0:f>
        <ns0:v/>
      </ns0:c>
      <ns0:c r="C284">
        <ns0:f>IFERROR(IF(ISNUMBER($A284),IF(AND(AH!$P$10=1,AH!$P$12=1,$A284=TODAY()),AH!$P$19,IF(AH!$P$10=1,INDEX('Live History'!$B$5:$B$3004,AH!$P$13+279),INDEX('AH History'!$B$1:$B$18046,AH!$P$7+279))),NA()),NA())</ns0:f>
        <ns0:v/>
      </ns0:c>
      <ns0:c r="D284">
        <ns0:f>IFERROR(IF(ISNUMBER($A284),IF(AND(AH!$P$10=1,AH!$P$12=1,$A284=TODAY()),AH!$P$18,IF(AH!$P$10=1,INDEX('Live History'!$E$5:$E$3004,MATCH($A284,'Live History'!$D$5:$D$3004,1)),INDEX('AH History'!$C$1:$C$18046,AH!$P$7+279))),NA()),NA())</ns0:f>
        <ns0:v/>
      </ns0:c>
      <ns0:c r="E284">
        <ns0:f>IFERROR(IF(ISNUMBER($A284),IF(AND(AH!$P$10=1,AH!$P$12=1,$A284=TODAY()),AH!$P$20,IF(AH!$P$10=1,INDEX('Live History'!$H$5:$H$3004,MATCH($A284,'Live History'!$G$5:$G$3004,1)),INDEX('AH History'!$D$1:$D$18046,AH!$P$7+279))),NA()),NA())</ns0:f>
        <ns0:v/>
      </ns0:c>
      <ns0:c r="F284">
        <ns0:f>IFERROR(IF(ISNUMBER($A284),IF(AND(AH!$P$10=1,AH!$P$12=1,$A284=TODAY()),IF(AND(AH!$P$10=1,AH!$P$12=1,$A284=TODAY()),TODAY(),NA()),IF(AH!$P$10=1,INDEX('Live History'!$D$5:$D$3004,MATCH($A284,'Live History'!$D$5:$D$3004,1)),INDEX('AH History'!$E$1:$E$18046,AH!$P$7+279))),NA()),NA())</ns0:f>
        <ns0:v/>
      </ns0:c>
      <ns0:c r="G284">
        <ns0:f>IFERROR(IF(ISNUMBER($A284),IF(AND(AH!$P$10=1,AH!$P$12=1,$A284=TODAY()),IF(AND(AH!$P$10=1,AH!$P$12=1,$A284=TODAY()),TODAY(),NA()),IF(AH!$P$10=1,INDEX('Live History'!$G$5:$G$3004,MATCH($A284,'Live History'!$G$5:$G$3004,1)),INDEX('AH History'!$F$1:$F$18046,AH!$P$7+279))),NA()),NA())</ns0:f>
        <ns0:v/>
      </ns0:c>
      <ns0:c r="H284">
        <ns0:f>IFERROR(IF(AND(AH!$E$4="Bloomberg",AH!$P$10=1,ISNUMBER($A284),$A284&lt;=AH!$P$17),AH!$P$7-1+MATCH($A284,INDEX('AH History'!$A$1:$A$18046,AH!$P$7):INDEX('AH History'!$A$1:$A$18046,AH!$P$7+AH!$P$8-1),0),0),0)</ns0:f>
        <ns0:v/>
      </ns0:c>
      <ns0:c r="I284">
        <ns0:f>IF($H284=0,0,IFERROR(IF(AND(ABS($C284-INDEX('AH History'!$B$1:$B$18046,$H284))&lt;=MAX(0.005,ABS(INDEX('AH History'!$B$1:$B$18046,$H284))*0.00005),ABS($D284-INDEX('AH History'!$C$1:$C$18046,$H284))&lt;=MAX(0.005,ABS(INDEX('AH History'!$C$1:$C$18046,$H284))*0.00005),ABS($E284-INDEX('AH History'!$D$1:$D$18046,$H284))&lt;=0.00005,$F284=INDEX('AH History'!$E$1:$E$18046,$H284),$G284=INDEX('AH History'!$F$1:$F$18046,$H284)),1,-1),-1))</ns0:f>
        <ns0:v/>
      </ns0:c>
    </ns0:row>
    <ns0:row r="285">
      <ns0:c r="A285" s="215">
        <ns0:f>IF(OR(AH!$P$3=0,280+1&gt;AH!$P$11,AND(AH!$E$4&lt;&gt;"Stored",AH!$P$10&lt;&gt;1)),"",IFERROR(IF(AND(AH!$P$21=1,280+1=AH!$P$11),TODAY(),IF(AH!$P$10=1,INDEX('Live History'!$A$5:$A$3004,AH!$P$13+280),INDEX('AH History'!$A$1:$A$18046,AH!$P$7+280))),""))</ns0:f>
        <ns0:v/>
      </ns0:c>
      <ns0:c r="B285" s="219">
        <ns0:f>IFERROR(IF(AND(AH!$P$9&lt;&gt;1,$C285&gt;0,$D285&gt;0,$E285&gt;0,$F285&gt;0,$G285&gt;0,$F285&lt;=$A285,$G285&lt;=$A285,$A285-$F285&lt;=10,$A285-$G285&lt;=5),$D285*$E285/$C285-1,NA()),NA())</ns0:f>
        <ns0:v/>
      </ns0:c>
      <ns0:c r="C285">
        <ns0:f>IFERROR(IF(ISNUMBER($A285),IF(AND(AH!$P$10=1,AH!$P$12=1,$A285=TODAY()),AH!$P$19,IF(AH!$P$10=1,INDEX('Live History'!$B$5:$B$3004,AH!$P$13+280),INDEX('AH History'!$B$1:$B$18046,AH!$P$7+280))),NA()),NA())</ns0:f>
        <ns0:v/>
      </ns0:c>
      <ns0:c r="D285">
        <ns0:f>IFERROR(IF(ISNUMBER($A285),IF(AND(AH!$P$10=1,AH!$P$12=1,$A285=TODAY()),AH!$P$18,IF(AH!$P$10=1,INDEX('Live History'!$E$5:$E$3004,MATCH($A285,'Live History'!$D$5:$D$3004,1)),INDEX('AH History'!$C$1:$C$18046,AH!$P$7+280))),NA()),NA())</ns0:f>
        <ns0:v/>
      </ns0:c>
      <ns0:c r="E285">
        <ns0:f>IFERROR(IF(ISNUMBER($A285),IF(AND(AH!$P$10=1,AH!$P$12=1,$A285=TODAY()),AH!$P$20,IF(AH!$P$10=1,INDEX('Live History'!$H$5:$H$3004,MATCH($A285,'Live History'!$G$5:$G$3004,1)),INDEX('AH History'!$D$1:$D$18046,AH!$P$7+280))),NA()),NA())</ns0:f>
        <ns0:v/>
      </ns0:c>
      <ns0:c r="F285">
        <ns0:f>IFERROR(IF(ISNUMBER($A285),IF(AND(AH!$P$10=1,AH!$P$12=1,$A285=TODAY()),IF(AND(AH!$P$10=1,AH!$P$12=1,$A285=TODAY()),TODAY(),NA()),IF(AH!$P$10=1,INDEX('Live History'!$D$5:$D$3004,MATCH($A285,'Live History'!$D$5:$D$3004,1)),INDEX('AH History'!$E$1:$E$18046,AH!$P$7+280))),NA()),NA())</ns0:f>
        <ns0:v/>
      </ns0:c>
      <ns0:c r="G285">
        <ns0:f>IFERROR(IF(ISNUMBER($A285),IF(AND(AH!$P$10=1,AH!$P$12=1,$A285=TODAY()),IF(AND(AH!$P$10=1,AH!$P$12=1,$A285=TODAY()),TODAY(),NA()),IF(AH!$P$10=1,INDEX('Live History'!$G$5:$G$3004,MATCH($A285,'Live History'!$G$5:$G$3004,1)),INDEX('AH History'!$F$1:$F$18046,AH!$P$7+280))),NA()),NA())</ns0:f>
        <ns0:v/>
      </ns0:c>
      <ns0:c r="H285">
        <ns0:f>IFERROR(IF(AND(AH!$E$4="Bloomberg",AH!$P$10=1,ISNUMBER($A285),$A285&lt;=AH!$P$17),AH!$P$7-1+MATCH($A285,INDEX('AH History'!$A$1:$A$18046,AH!$P$7):INDEX('AH History'!$A$1:$A$18046,AH!$P$7+AH!$P$8-1),0),0),0)</ns0:f>
        <ns0:v/>
      </ns0:c>
      <ns0:c r="I285">
        <ns0:f>IF($H285=0,0,IFERROR(IF(AND(ABS($C285-INDEX('AH History'!$B$1:$B$18046,$H285))&lt;=MAX(0.005,ABS(INDEX('AH History'!$B$1:$B$18046,$H285))*0.00005),ABS($D285-INDEX('AH History'!$C$1:$C$18046,$H285))&lt;=MAX(0.005,ABS(INDEX('AH History'!$C$1:$C$18046,$H285))*0.00005),ABS($E285-INDEX('AH History'!$D$1:$D$18046,$H285))&lt;=0.00005,$F285=INDEX('AH History'!$E$1:$E$18046,$H285),$G285=INDEX('AH History'!$F$1:$F$18046,$H285)),1,-1),-1))</ns0:f>
        <ns0:v/>
      </ns0:c>
    </ns0:row>
    <ns0:row r="286">
      <ns0:c r="A286" s="215">
        <ns0:f>IF(OR(AH!$P$3=0,281+1&gt;AH!$P$11,AND(AH!$E$4&lt;&gt;"Stored",AH!$P$10&lt;&gt;1)),"",IFERROR(IF(AND(AH!$P$21=1,281+1=AH!$P$11),TODAY(),IF(AH!$P$10=1,INDEX('Live History'!$A$5:$A$3004,AH!$P$13+281),INDEX('AH History'!$A$1:$A$18046,AH!$P$7+281))),""))</ns0:f>
        <ns0:v/>
      </ns0:c>
      <ns0:c r="B286" s="219">
        <ns0:f>IFERROR(IF(AND(AH!$P$9&lt;&gt;1,$C286&gt;0,$D286&gt;0,$E286&gt;0,$F286&gt;0,$G286&gt;0,$F286&lt;=$A286,$G286&lt;=$A286,$A286-$F286&lt;=10,$A286-$G286&lt;=5),$D286*$E286/$C286-1,NA()),NA())</ns0:f>
        <ns0:v/>
      </ns0:c>
      <ns0:c r="C286">
        <ns0:f>IFERROR(IF(ISNUMBER($A286),IF(AND(AH!$P$10=1,AH!$P$12=1,$A286=TODAY()),AH!$P$19,IF(AH!$P$10=1,INDEX('Live History'!$B$5:$B$3004,AH!$P$13+281),INDEX('AH History'!$B$1:$B$18046,AH!$P$7+281))),NA()),NA())</ns0:f>
        <ns0:v/>
      </ns0:c>
      <ns0:c r="D286">
        <ns0:f>IFERROR(IF(ISNUMBER($A286),IF(AND(AH!$P$10=1,AH!$P$12=1,$A286=TODAY()),AH!$P$18,IF(AH!$P$10=1,INDEX('Live History'!$E$5:$E$3004,MATCH($A286,'Live History'!$D$5:$D$3004,1)),INDEX('AH History'!$C$1:$C$18046,AH!$P$7+281))),NA()),NA())</ns0:f>
        <ns0:v/>
      </ns0:c>
      <ns0:c r="E286">
        <ns0:f>IFERROR(IF(ISNUMBER($A286),IF(AND(AH!$P$10=1,AH!$P$12=1,$A286=TODAY()),AH!$P$20,IF(AH!$P$10=1,INDEX('Live History'!$H$5:$H$3004,MATCH($A286,'Live History'!$G$5:$G$3004,1)),INDEX('AH History'!$D$1:$D$18046,AH!$P$7+281))),NA()),NA())</ns0:f>
        <ns0:v/>
      </ns0:c>
      <ns0:c r="F286">
        <ns0:f>IFERROR(IF(ISNUMBER($A286),IF(AND(AH!$P$10=1,AH!$P$12=1,$A286=TODAY()),IF(AND(AH!$P$10=1,AH!$P$12=1,$A286=TODAY()),TODAY(),NA()),IF(AH!$P$10=1,INDEX('Live History'!$D$5:$D$3004,MATCH($A286,'Live History'!$D$5:$D$3004,1)),INDEX('AH History'!$E$1:$E$18046,AH!$P$7+281))),NA()),NA())</ns0:f>
        <ns0:v/>
      </ns0:c>
      <ns0:c r="G286">
        <ns0:f>IFERROR(IF(ISNUMBER($A286),IF(AND(AH!$P$10=1,AH!$P$12=1,$A286=TODAY()),IF(AND(AH!$P$10=1,AH!$P$12=1,$A286=TODAY()),TODAY(),NA()),IF(AH!$P$10=1,INDEX('Live History'!$G$5:$G$3004,MATCH($A286,'Live History'!$G$5:$G$3004,1)),INDEX('AH History'!$F$1:$F$18046,AH!$P$7+281))),NA()),NA())</ns0:f>
        <ns0:v/>
      </ns0:c>
      <ns0:c r="H286">
        <ns0:f>IFERROR(IF(AND(AH!$E$4="Bloomberg",AH!$P$10=1,ISNUMBER($A286),$A286&lt;=AH!$P$17),AH!$P$7-1+MATCH($A286,INDEX('AH History'!$A$1:$A$18046,AH!$P$7):INDEX('AH History'!$A$1:$A$18046,AH!$P$7+AH!$P$8-1),0),0),0)</ns0:f>
        <ns0:v/>
      </ns0:c>
      <ns0:c r="I286">
        <ns0:f>IF($H286=0,0,IFERROR(IF(AND(ABS($C286-INDEX('AH History'!$B$1:$B$18046,$H286))&lt;=MAX(0.005,ABS(INDEX('AH History'!$B$1:$B$18046,$H286))*0.00005),ABS($D286-INDEX('AH History'!$C$1:$C$18046,$H286))&lt;=MAX(0.005,ABS(INDEX('AH History'!$C$1:$C$18046,$H286))*0.00005),ABS($E286-INDEX('AH History'!$D$1:$D$18046,$H286))&lt;=0.00005,$F286=INDEX('AH History'!$E$1:$E$18046,$H286),$G286=INDEX('AH History'!$F$1:$F$18046,$H286)),1,-1),-1))</ns0:f>
        <ns0:v/>
      </ns0:c>
    </ns0:row>
    <ns0:row r="287">
      <ns0:c r="A287" s="215">
        <ns0:f>IF(OR(AH!$P$3=0,282+1&gt;AH!$P$11,AND(AH!$E$4&lt;&gt;"Stored",AH!$P$10&lt;&gt;1)),"",IFERROR(IF(AND(AH!$P$21=1,282+1=AH!$P$11),TODAY(),IF(AH!$P$10=1,INDEX('Live History'!$A$5:$A$3004,AH!$P$13+282),INDEX('AH History'!$A$1:$A$18046,AH!$P$7+282))),""))</ns0:f>
        <ns0:v/>
      </ns0:c>
      <ns0:c r="B287" s="219">
        <ns0:f>IFERROR(IF(AND(AH!$P$9&lt;&gt;1,$C287&gt;0,$D287&gt;0,$E287&gt;0,$F287&gt;0,$G287&gt;0,$F287&lt;=$A287,$G287&lt;=$A287,$A287-$F287&lt;=10,$A287-$G287&lt;=5),$D287*$E287/$C287-1,NA()),NA())</ns0:f>
        <ns0:v/>
      </ns0:c>
      <ns0:c r="C287">
        <ns0:f>IFERROR(IF(ISNUMBER($A287),IF(AND(AH!$P$10=1,AH!$P$12=1,$A287=TODAY()),AH!$P$19,IF(AH!$P$10=1,INDEX('Live History'!$B$5:$B$3004,AH!$P$13+282),INDEX('AH History'!$B$1:$B$18046,AH!$P$7+282))),NA()),NA())</ns0:f>
        <ns0:v/>
      </ns0:c>
      <ns0:c r="D287">
        <ns0:f>IFERROR(IF(ISNUMBER($A287),IF(AND(AH!$P$10=1,AH!$P$12=1,$A287=TODAY()),AH!$P$18,IF(AH!$P$10=1,INDEX('Live History'!$E$5:$E$3004,MATCH($A287,'Live History'!$D$5:$D$3004,1)),INDEX('AH History'!$C$1:$C$18046,AH!$P$7+282))),NA()),NA())</ns0:f>
        <ns0:v/>
      </ns0:c>
      <ns0:c r="E287">
        <ns0:f>IFERROR(IF(ISNUMBER($A287),IF(AND(AH!$P$10=1,AH!$P$12=1,$A287=TODAY()),AH!$P$20,IF(AH!$P$10=1,INDEX('Live History'!$H$5:$H$3004,MATCH($A287,'Live History'!$G$5:$G$3004,1)),INDEX('AH History'!$D$1:$D$18046,AH!$P$7+282))),NA()),NA())</ns0:f>
        <ns0:v/>
      </ns0:c>
      <ns0:c r="F287">
        <ns0:f>IFERROR(IF(ISNUMBER($A287),IF(AND(AH!$P$10=1,AH!$P$12=1,$A287=TODAY()),IF(AND(AH!$P$10=1,AH!$P$12=1,$A287=TODAY()),TODAY(),NA()),IF(AH!$P$10=1,INDEX('Live History'!$D$5:$D$3004,MATCH($A287,'Live History'!$D$5:$D$3004,1)),INDEX('AH History'!$E$1:$E$18046,AH!$P$7+282))),NA()),NA())</ns0:f>
        <ns0:v/>
      </ns0:c>
      <ns0:c r="G287">
        <ns0:f>IFERROR(IF(ISNUMBER($A287),IF(AND(AH!$P$10=1,AH!$P$12=1,$A287=TODAY()),IF(AND(AH!$P$10=1,AH!$P$12=1,$A287=TODAY()),TODAY(),NA()),IF(AH!$P$10=1,INDEX('Live History'!$G$5:$G$3004,MATCH($A287,'Live History'!$G$5:$G$3004,1)),INDEX('AH History'!$F$1:$F$18046,AH!$P$7+282))),NA()),NA())</ns0:f>
        <ns0:v/>
      </ns0:c>
      <ns0:c r="H287">
        <ns0:f>IFERROR(IF(AND(AH!$E$4="Bloomberg",AH!$P$10=1,ISNUMBER($A287),$A287&lt;=AH!$P$17),AH!$P$7-1+MATCH($A287,INDEX('AH History'!$A$1:$A$18046,AH!$P$7):INDEX('AH History'!$A$1:$A$18046,AH!$P$7+AH!$P$8-1),0),0),0)</ns0:f>
        <ns0:v/>
      </ns0:c>
      <ns0:c r="I287">
        <ns0:f>IF($H287=0,0,IFERROR(IF(AND(ABS($C287-INDEX('AH History'!$B$1:$B$18046,$H287))&lt;=MAX(0.005,ABS(INDEX('AH History'!$B$1:$B$18046,$H287))*0.00005),ABS($D287-INDEX('AH History'!$C$1:$C$18046,$H287))&lt;=MAX(0.005,ABS(INDEX('AH History'!$C$1:$C$18046,$H287))*0.00005),ABS($E287-INDEX('AH History'!$D$1:$D$18046,$H287))&lt;=0.00005,$F287=INDEX('AH History'!$E$1:$E$18046,$H287),$G287=INDEX('AH History'!$F$1:$F$18046,$H287)),1,-1),-1))</ns0:f>
        <ns0:v/>
      </ns0:c>
    </ns0:row>
    <ns0:row r="288">
      <ns0:c r="A288" s="215">
        <ns0:f>IF(OR(AH!$P$3=0,283+1&gt;AH!$P$11,AND(AH!$E$4&lt;&gt;"Stored",AH!$P$10&lt;&gt;1)),"",IFERROR(IF(AND(AH!$P$21=1,283+1=AH!$P$11),TODAY(),IF(AH!$P$10=1,INDEX('Live History'!$A$5:$A$3004,AH!$P$13+283),INDEX('AH History'!$A$1:$A$18046,AH!$P$7+283))),""))</ns0:f>
        <ns0:v/>
      </ns0:c>
      <ns0:c r="B288" s="219">
        <ns0:f>IFERROR(IF(AND(AH!$P$9&lt;&gt;1,$C288&gt;0,$D288&gt;0,$E288&gt;0,$F288&gt;0,$G288&gt;0,$F288&lt;=$A288,$G288&lt;=$A288,$A288-$F288&lt;=10,$A288-$G288&lt;=5),$D288*$E288/$C288-1,NA()),NA())</ns0:f>
        <ns0:v/>
      </ns0:c>
      <ns0:c r="C288">
        <ns0:f>IFERROR(IF(ISNUMBER($A288),IF(AND(AH!$P$10=1,AH!$P$12=1,$A288=TODAY()),AH!$P$19,IF(AH!$P$10=1,INDEX('Live History'!$B$5:$B$3004,AH!$P$13+283),INDEX('AH History'!$B$1:$B$18046,AH!$P$7+283))),NA()),NA())</ns0:f>
        <ns0:v/>
      </ns0:c>
      <ns0:c r="D288">
        <ns0:f>IFERROR(IF(ISNUMBER($A288),IF(AND(AH!$P$10=1,AH!$P$12=1,$A288=TODAY()),AH!$P$18,IF(AH!$P$10=1,INDEX('Live History'!$E$5:$E$3004,MATCH($A288,'Live History'!$D$5:$D$3004,1)),INDEX('AH History'!$C$1:$C$18046,AH!$P$7+283))),NA()),NA())</ns0:f>
        <ns0:v/>
      </ns0:c>
      <ns0:c r="E288">
        <ns0:f>IFERROR(IF(ISNUMBER($A288),IF(AND(AH!$P$10=1,AH!$P$12=1,$A288=TODAY()),AH!$P$20,IF(AH!$P$10=1,INDEX('Live History'!$H$5:$H$3004,MATCH($A288,'Live History'!$G$5:$G$3004,1)),INDEX('AH History'!$D$1:$D$18046,AH!$P$7+283))),NA()),NA())</ns0:f>
        <ns0:v/>
      </ns0:c>
      <ns0:c r="F288">
        <ns0:f>IFERROR(IF(ISNUMBER($A288),IF(AND(AH!$P$10=1,AH!$P$12=1,$A288=TODAY()),IF(AND(AH!$P$10=1,AH!$P$12=1,$A288=TODAY()),TODAY(),NA()),IF(AH!$P$10=1,INDEX('Live History'!$D$5:$D$3004,MATCH($A288,'Live History'!$D$5:$D$3004,1)),INDEX('AH History'!$E$1:$E$18046,AH!$P$7+283))),NA()),NA())</ns0:f>
        <ns0:v/>
      </ns0:c>
      <ns0:c r="G288">
        <ns0:f>IFERROR(IF(ISNUMBER($A288),IF(AND(AH!$P$10=1,AH!$P$12=1,$A288=TODAY()),IF(AND(AH!$P$10=1,AH!$P$12=1,$A288=TODAY()),TODAY(),NA()),IF(AH!$P$10=1,INDEX('Live History'!$G$5:$G$3004,MATCH($A288,'Live History'!$G$5:$G$3004,1)),INDEX('AH History'!$F$1:$F$18046,AH!$P$7+283))),NA()),NA())</ns0:f>
        <ns0:v/>
      </ns0:c>
      <ns0:c r="H288">
        <ns0:f>IFERROR(IF(AND(AH!$E$4="Bloomberg",AH!$P$10=1,ISNUMBER($A288),$A288&lt;=AH!$P$17),AH!$P$7-1+MATCH($A288,INDEX('AH History'!$A$1:$A$18046,AH!$P$7):INDEX('AH History'!$A$1:$A$18046,AH!$P$7+AH!$P$8-1),0),0),0)</ns0:f>
        <ns0:v/>
      </ns0:c>
      <ns0:c r="I288">
        <ns0:f>IF($H288=0,0,IFERROR(IF(AND(ABS($C288-INDEX('AH History'!$B$1:$B$18046,$H288))&lt;=MAX(0.005,ABS(INDEX('AH History'!$B$1:$B$18046,$H288))*0.00005),ABS($D288-INDEX('AH History'!$C$1:$C$18046,$H288))&lt;=MAX(0.005,ABS(INDEX('AH History'!$C$1:$C$18046,$H288))*0.00005),ABS($E288-INDEX('AH History'!$D$1:$D$18046,$H288))&lt;=0.00005,$F288=INDEX('AH History'!$E$1:$E$18046,$H288),$G288=INDEX('AH History'!$F$1:$F$18046,$H288)),1,-1),-1))</ns0:f>
        <ns0:v/>
      </ns0:c>
    </ns0:row>
    <ns0:row r="289">
      <ns0:c r="A289" s="215">
        <ns0:f>IF(OR(AH!$P$3=0,284+1&gt;AH!$P$11,AND(AH!$E$4&lt;&gt;"Stored",AH!$P$10&lt;&gt;1)),"",IFERROR(IF(AND(AH!$P$21=1,284+1=AH!$P$11),TODAY(),IF(AH!$P$10=1,INDEX('Live History'!$A$5:$A$3004,AH!$P$13+284),INDEX('AH History'!$A$1:$A$18046,AH!$P$7+284))),""))</ns0:f>
        <ns0:v/>
      </ns0:c>
      <ns0:c r="B289" s="219">
        <ns0:f>IFERROR(IF(AND(AH!$P$9&lt;&gt;1,$C289&gt;0,$D289&gt;0,$E289&gt;0,$F289&gt;0,$G289&gt;0,$F289&lt;=$A289,$G289&lt;=$A289,$A289-$F289&lt;=10,$A289-$G289&lt;=5),$D289*$E289/$C289-1,NA()),NA())</ns0:f>
        <ns0:v/>
      </ns0:c>
      <ns0:c r="C289">
        <ns0:f>IFERROR(IF(ISNUMBER($A289),IF(AND(AH!$P$10=1,AH!$P$12=1,$A289=TODAY()),AH!$P$19,IF(AH!$P$10=1,INDEX('Live History'!$B$5:$B$3004,AH!$P$13+284),INDEX('AH History'!$B$1:$B$18046,AH!$P$7+284))),NA()),NA())</ns0:f>
        <ns0:v/>
      </ns0:c>
      <ns0:c r="D289">
        <ns0:f>IFERROR(IF(ISNUMBER($A289),IF(AND(AH!$P$10=1,AH!$P$12=1,$A289=TODAY()),AH!$P$18,IF(AH!$P$10=1,INDEX('Live History'!$E$5:$E$3004,MATCH($A289,'Live History'!$D$5:$D$3004,1)),INDEX('AH History'!$C$1:$C$18046,AH!$P$7+284))),NA()),NA())</ns0:f>
        <ns0:v/>
      </ns0:c>
      <ns0:c r="E289">
        <ns0:f>IFERROR(IF(ISNUMBER($A289),IF(AND(AH!$P$10=1,AH!$P$12=1,$A289=TODAY()),AH!$P$20,IF(AH!$P$10=1,INDEX('Live History'!$H$5:$H$3004,MATCH($A289,'Live History'!$G$5:$G$3004,1)),INDEX('AH History'!$D$1:$D$18046,AH!$P$7+284))),NA()),NA())</ns0:f>
        <ns0:v/>
      </ns0:c>
      <ns0:c r="F289">
        <ns0:f>IFERROR(IF(ISNUMBER($A289),IF(AND(AH!$P$10=1,AH!$P$12=1,$A289=TODAY()),IF(AND(AH!$P$10=1,AH!$P$12=1,$A289=TODAY()),TODAY(),NA()),IF(AH!$P$10=1,INDEX('Live History'!$D$5:$D$3004,MATCH($A289,'Live History'!$D$5:$D$3004,1)),INDEX('AH History'!$E$1:$E$18046,AH!$P$7+284))),NA()),NA())</ns0:f>
        <ns0:v/>
      </ns0:c>
      <ns0:c r="G289">
        <ns0:f>IFERROR(IF(ISNUMBER($A289),IF(AND(AH!$P$10=1,AH!$P$12=1,$A289=TODAY()),IF(AND(AH!$P$10=1,AH!$P$12=1,$A289=TODAY()),TODAY(),NA()),IF(AH!$P$10=1,INDEX('Live History'!$G$5:$G$3004,MATCH($A289,'Live History'!$G$5:$G$3004,1)),INDEX('AH History'!$F$1:$F$18046,AH!$P$7+284))),NA()),NA())</ns0:f>
        <ns0:v/>
      </ns0:c>
      <ns0:c r="H289">
        <ns0:f>IFERROR(IF(AND(AH!$E$4="Bloomberg",AH!$P$10=1,ISNUMBER($A289),$A289&lt;=AH!$P$17),AH!$P$7-1+MATCH($A289,INDEX('AH History'!$A$1:$A$18046,AH!$P$7):INDEX('AH History'!$A$1:$A$18046,AH!$P$7+AH!$P$8-1),0),0),0)</ns0:f>
        <ns0:v/>
      </ns0:c>
      <ns0:c r="I289">
        <ns0:f>IF($H289=0,0,IFERROR(IF(AND(ABS($C289-INDEX('AH History'!$B$1:$B$18046,$H289))&lt;=MAX(0.005,ABS(INDEX('AH History'!$B$1:$B$18046,$H289))*0.00005),ABS($D289-INDEX('AH History'!$C$1:$C$18046,$H289))&lt;=MAX(0.005,ABS(INDEX('AH History'!$C$1:$C$18046,$H289))*0.00005),ABS($E289-INDEX('AH History'!$D$1:$D$18046,$H289))&lt;=0.00005,$F289=INDEX('AH History'!$E$1:$E$18046,$H289),$G289=INDEX('AH History'!$F$1:$F$18046,$H289)),1,-1),-1))</ns0:f>
        <ns0:v/>
      </ns0:c>
    </ns0:row>
    <ns0:row r="290">
      <ns0:c r="A290" s="215">
        <ns0:f>IF(OR(AH!$P$3=0,285+1&gt;AH!$P$11,AND(AH!$E$4&lt;&gt;"Stored",AH!$P$10&lt;&gt;1)),"",IFERROR(IF(AND(AH!$P$21=1,285+1=AH!$P$11),TODAY(),IF(AH!$P$10=1,INDEX('Live History'!$A$5:$A$3004,AH!$P$13+285),INDEX('AH History'!$A$1:$A$18046,AH!$P$7+285))),""))</ns0:f>
        <ns0:v/>
      </ns0:c>
      <ns0:c r="B290" s="219">
        <ns0:f>IFERROR(IF(AND(AH!$P$9&lt;&gt;1,$C290&gt;0,$D290&gt;0,$E290&gt;0,$F290&gt;0,$G290&gt;0,$F290&lt;=$A290,$G290&lt;=$A290,$A290-$F290&lt;=10,$A290-$G290&lt;=5),$D290*$E290/$C290-1,NA()),NA())</ns0:f>
        <ns0:v/>
      </ns0:c>
      <ns0:c r="C290">
        <ns0:f>IFERROR(IF(ISNUMBER($A290),IF(AND(AH!$P$10=1,AH!$P$12=1,$A290=TODAY()),AH!$P$19,IF(AH!$P$10=1,INDEX('Live History'!$B$5:$B$3004,AH!$P$13+285),INDEX('AH History'!$B$1:$B$18046,AH!$P$7+285))),NA()),NA())</ns0:f>
        <ns0:v/>
      </ns0:c>
      <ns0:c r="D290">
        <ns0:f>IFERROR(IF(ISNUMBER($A290),IF(AND(AH!$P$10=1,AH!$P$12=1,$A290=TODAY()),AH!$P$18,IF(AH!$P$10=1,INDEX('Live History'!$E$5:$E$3004,MATCH($A290,'Live History'!$D$5:$D$3004,1)),INDEX('AH History'!$C$1:$C$18046,AH!$P$7+285))),NA()),NA())</ns0:f>
        <ns0:v/>
      </ns0:c>
      <ns0:c r="E290">
        <ns0:f>IFERROR(IF(ISNUMBER($A290),IF(AND(AH!$P$10=1,AH!$P$12=1,$A290=TODAY()),AH!$P$20,IF(AH!$P$10=1,INDEX('Live History'!$H$5:$H$3004,MATCH($A290,'Live History'!$G$5:$G$3004,1)),INDEX('AH History'!$D$1:$D$18046,AH!$P$7+285))),NA()),NA())</ns0:f>
        <ns0:v/>
      </ns0:c>
      <ns0:c r="F290">
        <ns0:f>IFERROR(IF(ISNUMBER($A290),IF(AND(AH!$P$10=1,AH!$P$12=1,$A290=TODAY()),IF(AND(AH!$P$10=1,AH!$P$12=1,$A290=TODAY()),TODAY(),NA()),IF(AH!$P$10=1,INDEX('Live History'!$D$5:$D$3004,MATCH($A290,'Live History'!$D$5:$D$3004,1)),INDEX('AH History'!$E$1:$E$18046,AH!$P$7+285))),NA()),NA())</ns0:f>
        <ns0:v/>
      </ns0:c>
      <ns0:c r="G290">
        <ns0:f>IFERROR(IF(ISNUMBER($A290),IF(AND(AH!$P$10=1,AH!$P$12=1,$A290=TODAY()),IF(AND(AH!$P$10=1,AH!$P$12=1,$A290=TODAY()),TODAY(),NA()),IF(AH!$P$10=1,INDEX('Live History'!$G$5:$G$3004,MATCH($A290,'Live History'!$G$5:$G$3004,1)),INDEX('AH History'!$F$1:$F$18046,AH!$P$7+285))),NA()),NA())</ns0:f>
        <ns0:v/>
      </ns0:c>
      <ns0:c r="H290">
        <ns0:f>IFERROR(IF(AND(AH!$E$4="Bloomberg",AH!$P$10=1,ISNUMBER($A290),$A290&lt;=AH!$P$17),AH!$P$7-1+MATCH($A290,INDEX('AH History'!$A$1:$A$18046,AH!$P$7):INDEX('AH History'!$A$1:$A$18046,AH!$P$7+AH!$P$8-1),0),0),0)</ns0:f>
        <ns0:v/>
      </ns0:c>
      <ns0:c r="I290">
        <ns0:f>IF($H290=0,0,IFERROR(IF(AND(ABS($C290-INDEX('AH History'!$B$1:$B$18046,$H290))&lt;=MAX(0.005,ABS(INDEX('AH History'!$B$1:$B$18046,$H290))*0.00005),ABS($D290-INDEX('AH History'!$C$1:$C$18046,$H290))&lt;=MAX(0.005,ABS(INDEX('AH History'!$C$1:$C$18046,$H290))*0.00005),ABS($E290-INDEX('AH History'!$D$1:$D$18046,$H290))&lt;=0.00005,$F290=INDEX('AH History'!$E$1:$E$18046,$H290),$G290=INDEX('AH History'!$F$1:$F$18046,$H290)),1,-1),-1))</ns0:f>
        <ns0:v/>
      </ns0:c>
    </ns0:row>
    <ns0:row r="291">
      <ns0:c r="A291" s="215">
        <ns0:f>IF(OR(AH!$P$3=0,286+1&gt;AH!$P$11,AND(AH!$E$4&lt;&gt;"Stored",AH!$P$10&lt;&gt;1)),"",IFERROR(IF(AND(AH!$P$21=1,286+1=AH!$P$11),TODAY(),IF(AH!$P$10=1,INDEX('Live History'!$A$5:$A$3004,AH!$P$13+286),INDEX('AH History'!$A$1:$A$18046,AH!$P$7+286))),""))</ns0:f>
        <ns0:v/>
      </ns0:c>
      <ns0:c r="B291" s="219">
        <ns0:f>IFERROR(IF(AND(AH!$P$9&lt;&gt;1,$C291&gt;0,$D291&gt;0,$E291&gt;0,$F291&gt;0,$G291&gt;0,$F291&lt;=$A291,$G291&lt;=$A291,$A291-$F291&lt;=10,$A291-$G291&lt;=5),$D291*$E291/$C291-1,NA()),NA())</ns0:f>
        <ns0:v/>
      </ns0:c>
      <ns0:c r="C291">
        <ns0:f>IFERROR(IF(ISNUMBER($A291),IF(AND(AH!$P$10=1,AH!$P$12=1,$A291=TODAY()),AH!$P$19,IF(AH!$P$10=1,INDEX('Live History'!$B$5:$B$3004,AH!$P$13+286),INDEX('AH History'!$B$1:$B$18046,AH!$P$7+286))),NA()),NA())</ns0:f>
        <ns0:v/>
      </ns0:c>
      <ns0:c r="D291">
        <ns0:f>IFERROR(IF(ISNUMBER($A291),IF(AND(AH!$P$10=1,AH!$P$12=1,$A291=TODAY()),AH!$P$18,IF(AH!$P$10=1,INDEX('Live History'!$E$5:$E$3004,MATCH($A291,'Live History'!$D$5:$D$3004,1)),INDEX('AH History'!$C$1:$C$18046,AH!$P$7+286))),NA()),NA())</ns0:f>
        <ns0:v/>
      </ns0:c>
      <ns0:c r="E291">
        <ns0:f>IFERROR(IF(ISNUMBER($A291),IF(AND(AH!$P$10=1,AH!$P$12=1,$A291=TODAY()),AH!$P$20,IF(AH!$P$10=1,INDEX('Live History'!$H$5:$H$3004,MATCH($A291,'Live History'!$G$5:$G$3004,1)),INDEX('AH History'!$D$1:$D$18046,AH!$P$7+286))),NA()),NA())</ns0:f>
        <ns0:v/>
      </ns0:c>
      <ns0:c r="F291">
        <ns0:f>IFERROR(IF(ISNUMBER($A291),IF(AND(AH!$P$10=1,AH!$P$12=1,$A291=TODAY()),IF(AND(AH!$P$10=1,AH!$P$12=1,$A291=TODAY()),TODAY(),NA()),IF(AH!$P$10=1,INDEX('Live History'!$D$5:$D$3004,MATCH($A291,'Live History'!$D$5:$D$3004,1)),INDEX('AH History'!$E$1:$E$18046,AH!$P$7+286))),NA()),NA())</ns0:f>
        <ns0:v/>
      </ns0:c>
      <ns0:c r="G291">
        <ns0:f>IFERROR(IF(ISNUMBER($A291),IF(AND(AH!$P$10=1,AH!$P$12=1,$A291=TODAY()),IF(AND(AH!$P$10=1,AH!$P$12=1,$A291=TODAY()),TODAY(),NA()),IF(AH!$P$10=1,INDEX('Live History'!$G$5:$G$3004,MATCH($A291,'Live History'!$G$5:$G$3004,1)),INDEX('AH History'!$F$1:$F$18046,AH!$P$7+286))),NA()),NA())</ns0:f>
        <ns0:v/>
      </ns0:c>
      <ns0:c r="H291">
        <ns0:f>IFERROR(IF(AND(AH!$E$4="Bloomberg",AH!$P$10=1,ISNUMBER($A291),$A291&lt;=AH!$P$17),AH!$P$7-1+MATCH($A291,INDEX('AH History'!$A$1:$A$18046,AH!$P$7):INDEX('AH History'!$A$1:$A$18046,AH!$P$7+AH!$P$8-1),0),0),0)</ns0:f>
        <ns0:v/>
      </ns0:c>
      <ns0:c r="I291">
        <ns0:f>IF($H291=0,0,IFERROR(IF(AND(ABS($C291-INDEX('AH History'!$B$1:$B$18046,$H291))&lt;=MAX(0.005,ABS(INDEX('AH History'!$B$1:$B$18046,$H291))*0.00005),ABS($D291-INDEX('AH History'!$C$1:$C$18046,$H291))&lt;=MAX(0.005,ABS(INDEX('AH History'!$C$1:$C$18046,$H291))*0.00005),ABS($E291-INDEX('AH History'!$D$1:$D$18046,$H291))&lt;=0.00005,$F291=INDEX('AH History'!$E$1:$E$18046,$H291),$G291=INDEX('AH History'!$F$1:$F$18046,$H291)),1,-1),-1))</ns0:f>
        <ns0:v/>
      </ns0:c>
    </ns0:row>
    <ns0:row r="292">
      <ns0:c r="A292" s="215">
        <ns0:f>IF(OR(AH!$P$3=0,287+1&gt;AH!$P$11,AND(AH!$E$4&lt;&gt;"Stored",AH!$P$10&lt;&gt;1)),"",IFERROR(IF(AND(AH!$P$21=1,287+1=AH!$P$11),TODAY(),IF(AH!$P$10=1,INDEX('Live History'!$A$5:$A$3004,AH!$P$13+287),INDEX('AH History'!$A$1:$A$18046,AH!$P$7+287))),""))</ns0:f>
        <ns0:v/>
      </ns0:c>
      <ns0:c r="B292" s="219">
        <ns0:f>IFERROR(IF(AND(AH!$P$9&lt;&gt;1,$C292&gt;0,$D292&gt;0,$E292&gt;0,$F292&gt;0,$G292&gt;0,$F292&lt;=$A292,$G292&lt;=$A292,$A292-$F292&lt;=10,$A292-$G292&lt;=5),$D292*$E292/$C292-1,NA()),NA())</ns0:f>
        <ns0:v/>
      </ns0:c>
      <ns0:c r="C292">
        <ns0:f>IFERROR(IF(ISNUMBER($A292),IF(AND(AH!$P$10=1,AH!$P$12=1,$A292=TODAY()),AH!$P$19,IF(AH!$P$10=1,INDEX('Live History'!$B$5:$B$3004,AH!$P$13+287),INDEX('AH History'!$B$1:$B$18046,AH!$P$7+287))),NA()),NA())</ns0:f>
        <ns0:v/>
      </ns0:c>
      <ns0:c r="D292">
        <ns0:f>IFERROR(IF(ISNUMBER($A292),IF(AND(AH!$P$10=1,AH!$P$12=1,$A292=TODAY()),AH!$P$18,IF(AH!$P$10=1,INDEX('Live History'!$E$5:$E$3004,MATCH($A292,'Live History'!$D$5:$D$3004,1)),INDEX('AH History'!$C$1:$C$18046,AH!$P$7+287))),NA()),NA())</ns0:f>
        <ns0:v/>
      </ns0:c>
      <ns0:c r="E292">
        <ns0:f>IFERROR(IF(ISNUMBER($A292),IF(AND(AH!$P$10=1,AH!$P$12=1,$A292=TODAY()),AH!$P$20,IF(AH!$P$10=1,INDEX('Live History'!$H$5:$H$3004,MATCH($A292,'Live History'!$G$5:$G$3004,1)),INDEX('AH History'!$D$1:$D$18046,AH!$P$7+287))),NA()),NA())</ns0:f>
        <ns0:v/>
      </ns0:c>
      <ns0:c r="F292">
        <ns0:f>IFERROR(IF(ISNUMBER($A292),IF(AND(AH!$P$10=1,AH!$P$12=1,$A292=TODAY()),IF(AND(AH!$P$10=1,AH!$P$12=1,$A292=TODAY()),TODAY(),NA()),IF(AH!$P$10=1,INDEX('Live History'!$D$5:$D$3004,MATCH($A292,'Live History'!$D$5:$D$3004,1)),INDEX('AH History'!$E$1:$E$18046,AH!$P$7+287))),NA()),NA())</ns0:f>
        <ns0:v/>
      </ns0:c>
      <ns0:c r="G292">
        <ns0:f>IFERROR(IF(ISNUMBER($A292),IF(AND(AH!$P$10=1,AH!$P$12=1,$A292=TODAY()),IF(AND(AH!$P$10=1,AH!$P$12=1,$A292=TODAY()),TODAY(),NA()),IF(AH!$P$10=1,INDEX('Live History'!$G$5:$G$3004,MATCH($A292,'Live History'!$G$5:$G$3004,1)),INDEX('AH History'!$F$1:$F$18046,AH!$P$7+287))),NA()),NA())</ns0:f>
        <ns0:v/>
      </ns0:c>
      <ns0:c r="H292">
        <ns0:f>IFERROR(IF(AND(AH!$E$4="Bloomberg",AH!$P$10=1,ISNUMBER($A292),$A292&lt;=AH!$P$17),AH!$P$7-1+MATCH($A292,INDEX('AH History'!$A$1:$A$18046,AH!$P$7):INDEX('AH History'!$A$1:$A$18046,AH!$P$7+AH!$P$8-1),0),0),0)</ns0:f>
        <ns0:v/>
      </ns0:c>
      <ns0:c r="I292">
        <ns0:f>IF($H292=0,0,IFERROR(IF(AND(ABS($C292-INDEX('AH History'!$B$1:$B$18046,$H292))&lt;=MAX(0.005,ABS(INDEX('AH History'!$B$1:$B$18046,$H292))*0.00005),ABS($D292-INDEX('AH History'!$C$1:$C$18046,$H292))&lt;=MAX(0.005,ABS(INDEX('AH History'!$C$1:$C$18046,$H292))*0.00005),ABS($E292-INDEX('AH History'!$D$1:$D$18046,$H292))&lt;=0.00005,$F292=INDEX('AH History'!$E$1:$E$18046,$H292),$G292=INDEX('AH History'!$F$1:$F$18046,$H292)),1,-1),-1))</ns0:f>
        <ns0:v/>
      </ns0:c>
    </ns0:row>
    <ns0:row r="293">
      <ns0:c r="A293" s="215">
        <ns0:f>IF(OR(AH!$P$3=0,288+1&gt;AH!$P$11,AND(AH!$E$4&lt;&gt;"Stored",AH!$P$10&lt;&gt;1)),"",IFERROR(IF(AND(AH!$P$21=1,288+1=AH!$P$11),TODAY(),IF(AH!$P$10=1,INDEX('Live History'!$A$5:$A$3004,AH!$P$13+288),INDEX('AH History'!$A$1:$A$18046,AH!$P$7+288))),""))</ns0:f>
        <ns0:v/>
      </ns0:c>
      <ns0:c r="B293" s="219">
        <ns0:f>IFERROR(IF(AND(AH!$P$9&lt;&gt;1,$C293&gt;0,$D293&gt;0,$E293&gt;0,$F293&gt;0,$G293&gt;0,$F293&lt;=$A293,$G293&lt;=$A293,$A293-$F293&lt;=10,$A293-$G293&lt;=5),$D293*$E293/$C293-1,NA()),NA())</ns0:f>
        <ns0:v/>
      </ns0:c>
      <ns0:c r="C293">
        <ns0:f>IFERROR(IF(ISNUMBER($A293),IF(AND(AH!$P$10=1,AH!$P$12=1,$A293=TODAY()),AH!$P$19,IF(AH!$P$10=1,INDEX('Live History'!$B$5:$B$3004,AH!$P$13+288),INDEX('AH History'!$B$1:$B$18046,AH!$P$7+288))),NA()),NA())</ns0:f>
        <ns0:v/>
      </ns0:c>
      <ns0:c r="D293">
        <ns0:f>IFERROR(IF(ISNUMBER($A293),IF(AND(AH!$P$10=1,AH!$P$12=1,$A293=TODAY()),AH!$P$18,IF(AH!$P$10=1,INDEX('Live History'!$E$5:$E$3004,MATCH($A293,'Live History'!$D$5:$D$3004,1)),INDEX('AH History'!$C$1:$C$18046,AH!$P$7+288))),NA()),NA())</ns0:f>
        <ns0:v/>
      </ns0:c>
      <ns0:c r="E293">
        <ns0:f>IFERROR(IF(ISNUMBER($A293),IF(AND(AH!$P$10=1,AH!$P$12=1,$A293=TODAY()),AH!$P$20,IF(AH!$P$10=1,INDEX('Live History'!$H$5:$H$3004,MATCH($A293,'Live History'!$G$5:$G$3004,1)),INDEX('AH History'!$D$1:$D$18046,AH!$P$7+288))),NA()),NA())</ns0:f>
        <ns0:v/>
      </ns0:c>
      <ns0:c r="F293">
        <ns0:f>IFERROR(IF(ISNUMBER($A293),IF(AND(AH!$P$10=1,AH!$P$12=1,$A293=TODAY()),IF(AND(AH!$P$10=1,AH!$P$12=1,$A293=TODAY()),TODAY(),NA()),IF(AH!$P$10=1,INDEX('Live History'!$D$5:$D$3004,MATCH($A293,'Live History'!$D$5:$D$3004,1)),INDEX('AH History'!$E$1:$E$18046,AH!$P$7+288))),NA()),NA())</ns0:f>
        <ns0:v/>
      </ns0:c>
      <ns0:c r="G293">
        <ns0:f>IFERROR(IF(ISNUMBER($A293),IF(AND(AH!$P$10=1,AH!$P$12=1,$A293=TODAY()),IF(AND(AH!$P$10=1,AH!$P$12=1,$A293=TODAY()),TODAY(),NA()),IF(AH!$P$10=1,INDEX('Live History'!$G$5:$G$3004,MATCH($A293,'Live History'!$G$5:$G$3004,1)),INDEX('AH History'!$F$1:$F$18046,AH!$P$7+288))),NA()),NA())</ns0:f>
        <ns0:v/>
      </ns0:c>
      <ns0:c r="H293">
        <ns0:f>IFERROR(IF(AND(AH!$E$4="Bloomberg",AH!$P$10=1,ISNUMBER($A293),$A293&lt;=AH!$P$17),AH!$P$7-1+MATCH($A293,INDEX('AH History'!$A$1:$A$18046,AH!$P$7):INDEX('AH History'!$A$1:$A$18046,AH!$P$7+AH!$P$8-1),0),0),0)</ns0:f>
        <ns0:v/>
      </ns0:c>
      <ns0:c r="I293">
        <ns0:f>IF($H293=0,0,IFERROR(IF(AND(ABS($C293-INDEX('AH History'!$B$1:$B$18046,$H293))&lt;=MAX(0.005,ABS(INDEX('AH History'!$B$1:$B$18046,$H293))*0.00005),ABS($D293-INDEX('AH History'!$C$1:$C$18046,$H293))&lt;=MAX(0.005,ABS(INDEX('AH History'!$C$1:$C$18046,$H293))*0.00005),ABS($E293-INDEX('AH History'!$D$1:$D$18046,$H293))&lt;=0.00005,$F293=INDEX('AH History'!$E$1:$E$18046,$H293),$G293=INDEX('AH History'!$F$1:$F$18046,$H293)),1,-1),-1))</ns0:f>
        <ns0:v/>
      </ns0:c>
    </ns0:row>
    <ns0:row r="294">
      <ns0:c r="A294" s="215">
        <ns0:f>IF(OR(AH!$P$3=0,289+1&gt;AH!$P$11,AND(AH!$E$4&lt;&gt;"Stored",AH!$P$10&lt;&gt;1)),"",IFERROR(IF(AND(AH!$P$21=1,289+1=AH!$P$11),TODAY(),IF(AH!$P$10=1,INDEX('Live History'!$A$5:$A$3004,AH!$P$13+289),INDEX('AH History'!$A$1:$A$18046,AH!$P$7+289))),""))</ns0:f>
        <ns0:v/>
      </ns0:c>
      <ns0:c r="B294" s="219">
        <ns0:f>IFERROR(IF(AND(AH!$P$9&lt;&gt;1,$C294&gt;0,$D294&gt;0,$E294&gt;0,$F294&gt;0,$G294&gt;0,$F294&lt;=$A294,$G294&lt;=$A294,$A294-$F294&lt;=10,$A294-$G294&lt;=5),$D294*$E294/$C294-1,NA()),NA())</ns0:f>
        <ns0:v/>
      </ns0:c>
      <ns0:c r="C294">
        <ns0:f>IFERROR(IF(ISNUMBER($A294),IF(AND(AH!$P$10=1,AH!$P$12=1,$A294=TODAY()),AH!$P$19,IF(AH!$P$10=1,INDEX('Live History'!$B$5:$B$3004,AH!$P$13+289),INDEX('AH History'!$B$1:$B$18046,AH!$P$7+289))),NA()),NA())</ns0:f>
        <ns0:v/>
      </ns0:c>
      <ns0:c r="D294">
        <ns0:f>IFERROR(IF(ISNUMBER($A294),IF(AND(AH!$P$10=1,AH!$P$12=1,$A294=TODAY()),AH!$P$18,IF(AH!$P$10=1,INDEX('Live History'!$E$5:$E$3004,MATCH($A294,'Live History'!$D$5:$D$3004,1)),INDEX('AH History'!$C$1:$C$18046,AH!$P$7+289))),NA()),NA())</ns0:f>
        <ns0:v/>
      </ns0:c>
      <ns0:c r="E294">
        <ns0:f>IFERROR(IF(ISNUMBER($A294),IF(AND(AH!$P$10=1,AH!$P$12=1,$A294=TODAY()),AH!$P$20,IF(AH!$P$10=1,INDEX('Live History'!$H$5:$H$3004,MATCH($A294,'Live History'!$G$5:$G$3004,1)),INDEX('AH History'!$D$1:$D$18046,AH!$P$7+289))),NA()),NA())</ns0:f>
        <ns0:v/>
      </ns0:c>
      <ns0:c r="F294">
        <ns0:f>IFERROR(IF(ISNUMBER($A294),IF(AND(AH!$P$10=1,AH!$P$12=1,$A294=TODAY()),IF(AND(AH!$P$10=1,AH!$P$12=1,$A294=TODAY()),TODAY(),NA()),IF(AH!$P$10=1,INDEX('Live History'!$D$5:$D$3004,MATCH($A294,'Live History'!$D$5:$D$3004,1)),INDEX('AH History'!$E$1:$E$18046,AH!$P$7+289))),NA()),NA())</ns0:f>
        <ns0:v/>
      </ns0:c>
      <ns0:c r="G294">
        <ns0:f>IFERROR(IF(ISNUMBER($A294),IF(AND(AH!$P$10=1,AH!$P$12=1,$A294=TODAY()),IF(AND(AH!$P$10=1,AH!$P$12=1,$A294=TODAY()),TODAY(),NA()),IF(AH!$P$10=1,INDEX('Live History'!$G$5:$G$3004,MATCH($A294,'Live History'!$G$5:$G$3004,1)),INDEX('AH History'!$F$1:$F$18046,AH!$P$7+289))),NA()),NA())</ns0:f>
        <ns0:v/>
      </ns0:c>
      <ns0:c r="H294">
        <ns0:f>IFERROR(IF(AND(AH!$E$4="Bloomberg",AH!$P$10=1,ISNUMBER($A294),$A294&lt;=AH!$P$17),AH!$P$7-1+MATCH($A294,INDEX('AH History'!$A$1:$A$18046,AH!$P$7):INDEX('AH History'!$A$1:$A$18046,AH!$P$7+AH!$P$8-1),0),0),0)</ns0:f>
        <ns0:v/>
      </ns0:c>
      <ns0:c r="I294">
        <ns0:f>IF($H294=0,0,IFERROR(IF(AND(ABS($C294-INDEX('AH History'!$B$1:$B$18046,$H294))&lt;=MAX(0.005,ABS(INDEX('AH History'!$B$1:$B$18046,$H294))*0.00005),ABS($D294-INDEX('AH History'!$C$1:$C$18046,$H294))&lt;=MAX(0.005,ABS(INDEX('AH History'!$C$1:$C$18046,$H294))*0.00005),ABS($E294-INDEX('AH History'!$D$1:$D$18046,$H294))&lt;=0.00005,$F294=INDEX('AH History'!$E$1:$E$18046,$H294),$G294=INDEX('AH History'!$F$1:$F$18046,$H294)),1,-1),-1))</ns0:f>
        <ns0:v/>
      </ns0:c>
    </ns0:row>
    <ns0:row r="295">
      <ns0:c r="A295" s="215">
        <ns0:f>IF(OR(AH!$P$3=0,290+1&gt;AH!$P$11,AND(AH!$E$4&lt;&gt;"Stored",AH!$P$10&lt;&gt;1)),"",IFERROR(IF(AND(AH!$P$21=1,290+1=AH!$P$11),TODAY(),IF(AH!$P$10=1,INDEX('Live History'!$A$5:$A$3004,AH!$P$13+290),INDEX('AH History'!$A$1:$A$18046,AH!$P$7+290))),""))</ns0:f>
        <ns0:v/>
      </ns0:c>
      <ns0:c r="B295" s="219">
        <ns0:f>IFERROR(IF(AND(AH!$P$9&lt;&gt;1,$C295&gt;0,$D295&gt;0,$E295&gt;0,$F295&gt;0,$G295&gt;0,$F295&lt;=$A295,$G295&lt;=$A295,$A295-$F295&lt;=10,$A295-$G295&lt;=5),$D295*$E295/$C295-1,NA()),NA())</ns0:f>
        <ns0:v/>
      </ns0:c>
      <ns0:c r="C295">
        <ns0:f>IFERROR(IF(ISNUMBER($A295),IF(AND(AH!$P$10=1,AH!$P$12=1,$A295=TODAY()),AH!$P$19,IF(AH!$P$10=1,INDEX('Live History'!$B$5:$B$3004,AH!$P$13+290),INDEX('AH History'!$B$1:$B$18046,AH!$P$7+290))),NA()),NA())</ns0:f>
        <ns0:v/>
      </ns0:c>
      <ns0:c r="D295">
        <ns0:f>IFERROR(IF(ISNUMBER($A295),IF(AND(AH!$P$10=1,AH!$P$12=1,$A295=TODAY()),AH!$P$18,IF(AH!$P$10=1,INDEX('Live History'!$E$5:$E$3004,MATCH($A295,'Live History'!$D$5:$D$3004,1)),INDEX('AH History'!$C$1:$C$18046,AH!$P$7+290))),NA()),NA())</ns0:f>
        <ns0:v/>
      </ns0:c>
      <ns0:c r="E295">
        <ns0:f>IFERROR(IF(ISNUMBER($A295),IF(AND(AH!$P$10=1,AH!$P$12=1,$A295=TODAY()),AH!$P$20,IF(AH!$P$10=1,INDEX('Live History'!$H$5:$H$3004,MATCH($A295,'Live History'!$G$5:$G$3004,1)),INDEX('AH History'!$D$1:$D$18046,AH!$P$7+290))),NA()),NA())</ns0:f>
        <ns0:v/>
      </ns0:c>
      <ns0:c r="F295">
        <ns0:f>IFERROR(IF(ISNUMBER($A295),IF(AND(AH!$P$10=1,AH!$P$12=1,$A295=TODAY()),IF(AND(AH!$P$10=1,AH!$P$12=1,$A295=TODAY()),TODAY(),NA()),IF(AH!$P$10=1,INDEX('Live History'!$D$5:$D$3004,MATCH($A295,'Live History'!$D$5:$D$3004,1)),INDEX('AH History'!$E$1:$E$18046,AH!$P$7+290))),NA()),NA())</ns0:f>
        <ns0:v/>
      </ns0:c>
      <ns0:c r="G295">
        <ns0:f>IFERROR(IF(ISNUMBER($A295),IF(AND(AH!$P$10=1,AH!$P$12=1,$A295=TODAY()),IF(AND(AH!$P$10=1,AH!$P$12=1,$A295=TODAY()),TODAY(),NA()),IF(AH!$P$10=1,INDEX('Live History'!$G$5:$G$3004,MATCH($A295,'Live History'!$G$5:$G$3004,1)),INDEX('AH History'!$F$1:$F$18046,AH!$P$7+290))),NA()),NA())</ns0:f>
        <ns0:v/>
      </ns0:c>
      <ns0:c r="H295">
        <ns0:f>IFERROR(IF(AND(AH!$E$4="Bloomberg",AH!$P$10=1,ISNUMBER($A295),$A295&lt;=AH!$P$17),AH!$P$7-1+MATCH($A295,INDEX('AH History'!$A$1:$A$18046,AH!$P$7):INDEX('AH History'!$A$1:$A$18046,AH!$P$7+AH!$P$8-1),0),0),0)</ns0:f>
        <ns0:v/>
      </ns0:c>
      <ns0:c r="I295">
        <ns0:f>IF($H295=0,0,IFERROR(IF(AND(ABS($C295-INDEX('AH History'!$B$1:$B$18046,$H295))&lt;=MAX(0.005,ABS(INDEX('AH History'!$B$1:$B$18046,$H295))*0.00005),ABS($D295-INDEX('AH History'!$C$1:$C$18046,$H295))&lt;=MAX(0.005,ABS(INDEX('AH History'!$C$1:$C$18046,$H295))*0.00005),ABS($E295-INDEX('AH History'!$D$1:$D$18046,$H295))&lt;=0.00005,$F295=INDEX('AH History'!$E$1:$E$18046,$H295),$G295=INDEX('AH History'!$F$1:$F$18046,$H295)),1,-1),-1))</ns0:f>
        <ns0:v/>
      </ns0:c>
    </ns0:row>
    <ns0:row r="296">
      <ns0:c r="A296" s="215">
        <ns0:f>IF(OR(AH!$P$3=0,291+1&gt;AH!$P$11,AND(AH!$E$4&lt;&gt;"Stored",AH!$P$10&lt;&gt;1)),"",IFERROR(IF(AND(AH!$P$21=1,291+1=AH!$P$11),TODAY(),IF(AH!$P$10=1,INDEX('Live History'!$A$5:$A$3004,AH!$P$13+291),INDEX('AH History'!$A$1:$A$18046,AH!$P$7+291))),""))</ns0:f>
        <ns0:v/>
      </ns0:c>
      <ns0:c r="B296" s="219">
        <ns0:f>IFERROR(IF(AND(AH!$P$9&lt;&gt;1,$C296&gt;0,$D296&gt;0,$E296&gt;0,$F296&gt;0,$G296&gt;0,$F296&lt;=$A296,$G296&lt;=$A296,$A296-$F296&lt;=10,$A296-$G296&lt;=5),$D296*$E296/$C296-1,NA()),NA())</ns0:f>
        <ns0:v/>
      </ns0:c>
      <ns0:c r="C296">
        <ns0:f>IFERROR(IF(ISNUMBER($A296),IF(AND(AH!$P$10=1,AH!$P$12=1,$A296=TODAY()),AH!$P$19,IF(AH!$P$10=1,INDEX('Live History'!$B$5:$B$3004,AH!$P$13+291),INDEX('AH History'!$B$1:$B$18046,AH!$P$7+291))),NA()),NA())</ns0:f>
        <ns0:v/>
      </ns0:c>
      <ns0:c r="D296">
        <ns0:f>IFERROR(IF(ISNUMBER($A296),IF(AND(AH!$P$10=1,AH!$P$12=1,$A296=TODAY()),AH!$P$18,IF(AH!$P$10=1,INDEX('Live History'!$E$5:$E$3004,MATCH($A296,'Live History'!$D$5:$D$3004,1)),INDEX('AH History'!$C$1:$C$18046,AH!$P$7+291))),NA()),NA())</ns0:f>
        <ns0:v/>
      </ns0:c>
      <ns0:c r="E296">
        <ns0:f>IFERROR(IF(ISNUMBER($A296),IF(AND(AH!$P$10=1,AH!$P$12=1,$A296=TODAY()),AH!$P$20,IF(AH!$P$10=1,INDEX('Live History'!$H$5:$H$3004,MATCH($A296,'Live History'!$G$5:$G$3004,1)),INDEX('AH History'!$D$1:$D$18046,AH!$P$7+291))),NA()),NA())</ns0:f>
        <ns0:v/>
      </ns0:c>
      <ns0:c r="F296">
        <ns0:f>IFERROR(IF(ISNUMBER($A296),IF(AND(AH!$P$10=1,AH!$P$12=1,$A296=TODAY()),IF(AND(AH!$P$10=1,AH!$P$12=1,$A296=TODAY()),TODAY(),NA()),IF(AH!$P$10=1,INDEX('Live History'!$D$5:$D$3004,MATCH($A296,'Live History'!$D$5:$D$3004,1)),INDEX('AH History'!$E$1:$E$18046,AH!$P$7+291))),NA()),NA())</ns0:f>
        <ns0:v/>
      </ns0:c>
      <ns0:c r="G296">
        <ns0:f>IFERROR(IF(ISNUMBER($A296),IF(AND(AH!$P$10=1,AH!$P$12=1,$A296=TODAY()),IF(AND(AH!$P$10=1,AH!$P$12=1,$A296=TODAY()),TODAY(),NA()),IF(AH!$P$10=1,INDEX('Live History'!$G$5:$G$3004,MATCH($A296,'Live History'!$G$5:$G$3004,1)),INDEX('AH History'!$F$1:$F$18046,AH!$P$7+291))),NA()),NA())</ns0:f>
        <ns0:v/>
      </ns0:c>
      <ns0:c r="H296">
        <ns0:f>IFERROR(IF(AND(AH!$E$4="Bloomberg",AH!$P$10=1,ISNUMBER($A296),$A296&lt;=AH!$P$17),AH!$P$7-1+MATCH($A296,INDEX('AH History'!$A$1:$A$18046,AH!$P$7):INDEX('AH History'!$A$1:$A$18046,AH!$P$7+AH!$P$8-1),0),0),0)</ns0:f>
        <ns0:v/>
      </ns0:c>
      <ns0:c r="I296">
        <ns0:f>IF($H296=0,0,IFERROR(IF(AND(ABS($C296-INDEX('AH History'!$B$1:$B$18046,$H296))&lt;=MAX(0.005,ABS(INDEX('AH History'!$B$1:$B$18046,$H296))*0.00005),ABS($D296-INDEX('AH History'!$C$1:$C$18046,$H296))&lt;=MAX(0.005,ABS(INDEX('AH History'!$C$1:$C$18046,$H296))*0.00005),ABS($E296-INDEX('AH History'!$D$1:$D$18046,$H296))&lt;=0.00005,$F296=INDEX('AH History'!$E$1:$E$18046,$H296),$G296=INDEX('AH History'!$F$1:$F$18046,$H296)),1,-1),-1))</ns0:f>
        <ns0:v/>
      </ns0:c>
    </ns0:row>
    <ns0:row r="297">
      <ns0:c r="A297" s="215">
        <ns0:f>IF(OR(AH!$P$3=0,292+1&gt;AH!$P$11,AND(AH!$E$4&lt;&gt;"Stored",AH!$P$10&lt;&gt;1)),"",IFERROR(IF(AND(AH!$P$21=1,292+1=AH!$P$11),TODAY(),IF(AH!$P$10=1,INDEX('Live History'!$A$5:$A$3004,AH!$P$13+292),INDEX('AH History'!$A$1:$A$18046,AH!$P$7+292))),""))</ns0:f>
        <ns0:v/>
      </ns0:c>
      <ns0:c r="B297" s="219">
        <ns0:f>IFERROR(IF(AND(AH!$P$9&lt;&gt;1,$C297&gt;0,$D297&gt;0,$E297&gt;0,$F297&gt;0,$G297&gt;0,$F297&lt;=$A297,$G297&lt;=$A297,$A297-$F297&lt;=10,$A297-$G297&lt;=5),$D297*$E297/$C297-1,NA()),NA())</ns0:f>
        <ns0:v/>
      </ns0:c>
      <ns0:c r="C297">
        <ns0:f>IFERROR(IF(ISNUMBER($A297),IF(AND(AH!$P$10=1,AH!$P$12=1,$A297=TODAY()),AH!$P$19,IF(AH!$P$10=1,INDEX('Live History'!$B$5:$B$3004,AH!$P$13+292),INDEX('AH History'!$B$1:$B$18046,AH!$P$7+292))),NA()),NA())</ns0:f>
        <ns0:v/>
      </ns0:c>
      <ns0:c r="D297">
        <ns0:f>IFERROR(IF(ISNUMBER($A297),IF(AND(AH!$P$10=1,AH!$P$12=1,$A297=TODAY()),AH!$P$18,IF(AH!$P$10=1,INDEX('Live History'!$E$5:$E$3004,MATCH($A297,'Live History'!$D$5:$D$3004,1)),INDEX('AH History'!$C$1:$C$18046,AH!$P$7+292))),NA()),NA())</ns0:f>
        <ns0:v/>
      </ns0:c>
      <ns0:c r="E297">
        <ns0:f>IFERROR(IF(ISNUMBER($A297),IF(AND(AH!$P$10=1,AH!$P$12=1,$A297=TODAY()),AH!$P$20,IF(AH!$P$10=1,INDEX('Live History'!$H$5:$H$3004,MATCH($A297,'Live History'!$G$5:$G$3004,1)),INDEX('AH History'!$D$1:$D$18046,AH!$P$7+292))),NA()),NA())</ns0:f>
        <ns0:v/>
      </ns0:c>
      <ns0:c r="F297">
        <ns0:f>IFERROR(IF(ISNUMBER($A297),IF(AND(AH!$P$10=1,AH!$P$12=1,$A297=TODAY()),IF(AND(AH!$P$10=1,AH!$P$12=1,$A297=TODAY()),TODAY(),NA()),IF(AH!$P$10=1,INDEX('Live History'!$D$5:$D$3004,MATCH($A297,'Live History'!$D$5:$D$3004,1)),INDEX('AH History'!$E$1:$E$18046,AH!$P$7+292))),NA()),NA())</ns0:f>
        <ns0:v/>
      </ns0:c>
      <ns0:c r="G297">
        <ns0:f>IFERROR(IF(ISNUMBER($A297),IF(AND(AH!$P$10=1,AH!$P$12=1,$A297=TODAY()),IF(AND(AH!$P$10=1,AH!$P$12=1,$A297=TODAY()),TODAY(),NA()),IF(AH!$P$10=1,INDEX('Live History'!$G$5:$G$3004,MATCH($A297,'Live History'!$G$5:$G$3004,1)),INDEX('AH History'!$F$1:$F$18046,AH!$P$7+292))),NA()),NA())</ns0:f>
        <ns0:v/>
      </ns0:c>
      <ns0:c r="H297">
        <ns0:f>IFERROR(IF(AND(AH!$E$4="Bloomberg",AH!$P$10=1,ISNUMBER($A297),$A297&lt;=AH!$P$17),AH!$P$7-1+MATCH($A297,INDEX('AH History'!$A$1:$A$18046,AH!$P$7):INDEX('AH History'!$A$1:$A$18046,AH!$P$7+AH!$P$8-1),0),0),0)</ns0:f>
        <ns0:v/>
      </ns0:c>
      <ns0:c r="I297">
        <ns0:f>IF($H297=0,0,IFERROR(IF(AND(ABS($C297-INDEX('AH History'!$B$1:$B$18046,$H297))&lt;=MAX(0.005,ABS(INDEX('AH History'!$B$1:$B$18046,$H297))*0.00005),ABS($D297-INDEX('AH History'!$C$1:$C$18046,$H297))&lt;=MAX(0.005,ABS(INDEX('AH History'!$C$1:$C$18046,$H297))*0.00005),ABS($E297-INDEX('AH History'!$D$1:$D$18046,$H297))&lt;=0.00005,$F297=INDEX('AH History'!$E$1:$E$18046,$H297),$G297=INDEX('AH History'!$F$1:$F$18046,$H297)),1,-1),-1))</ns0:f>
        <ns0:v/>
      </ns0:c>
    </ns0:row>
    <ns0:row r="298">
      <ns0:c r="A298" s="215">
        <ns0:f>IF(OR(AH!$P$3=0,293+1&gt;AH!$P$11,AND(AH!$E$4&lt;&gt;"Stored",AH!$P$10&lt;&gt;1)),"",IFERROR(IF(AND(AH!$P$21=1,293+1=AH!$P$11),TODAY(),IF(AH!$P$10=1,INDEX('Live History'!$A$5:$A$3004,AH!$P$13+293),INDEX('AH History'!$A$1:$A$18046,AH!$P$7+293))),""))</ns0:f>
        <ns0:v/>
      </ns0:c>
      <ns0:c r="B298" s="219">
        <ns0:f>IFERROR(IF(AND(AH!$P$9&lt;&gt;1,$C298&gt;0,$D298&gt;0,$E298&gt;0,$F298&gt;0,$G298&gt;0,$F298&lt;=$A298,$G298&lt;=$A298,$A298-$F298&lt;=10,$A298-$G298&lt;=5),$D298*$E298/$C298-1,NA()),NA())</ns0:f>
        <ns0:v/>
      </ns0:c>
      <ns0:c r="C298">
        <ns0:f>IFERROR(IF(ISNUMBER($A298),IF(AND(AH!$P$10=1,AH!$P$12=1,$A298=TODAY()),AH!$P$19,IF(AH!$P$10=1,INDEX('Live History'!$B$5:$B$3004,AH!$P$13+293),INDEX('AH History'!$B$1:$B$18046,AH!$P$7+293))),NA()),NA())</ns0:f>
        <ns0:v/>
      </ns0:c>
      <ns0:c r="D298">
        <ns0:f>IFERROR(IF(ISNUMBER($A298),IF(AND(AH!$P$10=1,AH!$P$12=1,$A298=TODAY()),AH!$P$18,IF(AH!$P$10=1,INDEX('Live History'!$E$5:$E$3004,MATCH($A298,'Live History'!$D$5:$D$3004,1)),INDEX('AH History'!$C$1:$C$18046,AH!$P$7+293))),NA()),NA())</ns0:f>
        <ns0:v/>
      </ns0:c>
      <ns0:c r="E298">
        <ns0:f>IFERROR(IF(ISNUMBER($A298),IF(AND(AH!$P$10=1,AH!$P$12=1,$A298=TODAY()),AH!$P$20,IF(AH!$P$10=1,INDEX('Live History'!$H$5:$H$3004,MATCH($A298,'Live History'!$G$5:$G$3004,1)),INDEX('AH History'!$D$1:$D$18046,AH!$P$7+293))),NA()),NA())</ns0:f>
        <ns0:v/>
      </ns0:c>
      <ns0:c r="F298">
        <ns0:f>IFERROR(IF(ISNUMBER($A298),IF(AND(AH!$P$10=1,AH!$P$12=1,$A298=TODAY()),IF(AND(AH!$P$10=1,AH!$P$12=1,$A298=TODAY()),TODAY(),NA()),IF(AH!$P$10=1,INDEX('Live History'!$D$5:$D$3004,MATCH($A298,'Live History'!$D$5:$D$3004,1)),INDEX('AH History'!$E$1:$E$18046,AH!$P$7+293))),NA()),NA())</ns0:f>
        <ns0:v/>
      </ns0:c>
      <ns0:c r="G298">
        <ns0:f>IFERROR(IF(ISNUMBER($A298),IF(AND(AH!$P$10=1,AH!$P$12=1,$A298=TODAY()),IF(AND(AH!$P$10=1,AH!$P$12=1,$A298=TODAY()),TODAY(),NA()),IF(AH!$P$10=1,INDEX('Live History'!$G$5:$G$3004,MATCH($A298,'Live History'!$G$5:$G$3004,1)),INDEX('AH History'!$F$1:$F$18046,AH!$P$7+293))),NA()),NA())</ns0:f>
        <ns0:v/>
      </ns0:c>
      <ns0:c r="H298">
        <ns0:f>IFERROR(IF(AND(AH!$E$4="Bloomberg",AH!$P$10=1,ISNUMBER($A298),$A298&lt;=AH!$P$17),AH!$P$7-1+MATCH($A298,INDEX('AH History'!$A$1:$A$18046,AH!$P$7):INDEX('AH History'!$A$1:$A$18046,AH!$P$7+AH!$P$8-1),0),0),0)</ns0:f>
        <ns0:v/>
      </ns0:c>
      <ns0:c r="I298">
        <ns0:f>IF($H298=0,0,IFERROR(IF(AND(ABS($C298-INDEX('AH History'!$B$1:$B$18046,$H298))&lt;=MAX(0.005,ABS(INDEX('AH History'!$B$1:$B$18046,$H298))*0.00005),ABS($D298-INDEX('AH History'!$C$1:$C$18046,$H298))&lt;=MAX(0.005,ABS(INDEX('AH History'!$C$1:$C$18046,$H298))*0.00005),ABS($E298-INDEX('AH History'!$D$1:$D$18046,$H298))&lt;=0.00005,$F298=INDEX('AH History'!$E$1:$E$18046,$H298),$G298=INDEX('AH History'!$F$1:$F$18046,$H298)),1,-1),-1))</ns0:f>
        <ns0:v/>
      </ns0:c>
    </ns0:row>
    <ns0:row r="299">
      <ns0:c r="A299" s="215">
        <ns0:f>IF(OR(AH!$P$3=0,294+1&gt;AH!$P$11,AND(AH!$E$4&lt;&gt;"Stored",AH!$P$10&lt;&gt;1)),"",IFERROR(IF(AND(AH!$P$21=1,294+1=AH!$P$11),TODAY(),IF(AH!$P$10=1,INDEX('Live History'!$A$5:$A$3004,AH!$P$13+294),INDEX('AH History'!$A$1:$A$18046,AH!$P$7+294))),""))</ns0:f>
        <ns0:v/>
      </ns0:c>
      <ns0:c r="B299" s="219">
        <ns0:f>IFERROR(IF(AND(AH!$P$9&lt;&gt;1,$C299&gt;0,$D299&gt;0,$E299&gt;0,$F299&gt;0,$G299&gt;0,$F299&lt;=$A299,$G299&lt;=$A299,$A299-$F299&lt;=10,$A299-$G299&lt;=5),$D299*$E299/$C299-1,NA()),NA())</ns0:f>
        <ns0:v/>
      </ns0:c>
      <ns0:c r="C299">
        <ns0:f>IFERROR(IF(ISNUMBER($A299),IF(AND(AH!$P$10=1,AH!$P$12=1,$A299=TODAY()),AH!$P$19,IF(AH!$P$10=1,INDEX('Live History'!$B$5:$B$3004,AH!$P$13+294),INDEX('AH History'!$B$1:$B$18046,AH!$P$7+294))),NA()),NA())</ns0:f>
        <ns0:v/>
      </ns0:c>
      <ns0:c r="D299">
        <ns0:f>IFERROR(IF(ISNUMBER($A299),IF(AND(AH!$P$10=1,AH!$P$12=1,$A299=TODAY()),AH!$P$18,IF(AH!$P$10=1,INDEX('Live History'!$E$5:$E$3004,MATCH($A299,'Live History'!$D$5:$D$3004,1)),INDEX('AH History'!$C$1:$C$18046,AH!$P$7+294))),NA()),NA())</ns0:f>
        <ns0:v/>
      </ns0:c>
      <ns0:c r="E299">
        <ns0:f>IFERROR(IF(ISNUMBER($A299),IF(AND(AH!$P$10=1,AH!$P$12=1,$A299=TODAY()),AH!$P$20,IF(AH!$P$10=1,INDEX('Live History'!$H$5:$H$3004,MATCH($A299,'Live History'!$G$5:$G$3004,1)),INDEX('AH History'!$D$1:$D$18046,AH!$P$7+294))),NA()),NA())</ns0:f>
        <ns0:v/>
      </ns0:c>
      <ns0:c r="F299">
        <ns0:f>IFERROR(IF(ISNUMBER($A299),IF(AND(AH!$P$10=1,AH!$P$12=1,$A299=TODAY()),IF(AND(AH!$P$10=1,AH!$P$12=1,$A299=TODAY()),TODAY(),NA()),IF(AH!$P$10=1,INDEX('Live History'!$D$5:$D$3004,MATCH($A299,'Live History'!$D$5:$D$3004,1)),INDEX('AH History'!$E$1:$E$18046,AH!$P$7+294))),NA()),NA())</ns0:f>
        <ns0:v/>
      </ns0:c>
      <ns0:c r="G299">
        <ns0:f>IFERROR(IF(ISNUMBER($A299),IF(AND(AH!$P$10=1,AH!$P$12=1,$A299=TODAY()),IF(AND(AH!$P$10=1,AH!$P$12=1,$A299=TODAY()),TODAY(),NA()),IF(AH!$P$10=1,INDEX('Live History'!$G$5:$G$3004,MATCH($A299,'Live History'!$G$5:$G$3004,1)),INDEX('AH History'!$F$1:$F$18046,AH!$P$7+294))),NA()),NA())</ns0:f>
        <ns0:v/>
      </ns0:c>
      <ns0:c r="H299">
        <ns0:f>IFERROR(IF(AND(AH!$E$4="Bloomberg",AH!$P$10=1,ISNUMBER($A299),$A299&lt;=AH!$P$17),AH!$P$7-1+MATCH($A299,INDEX('AH History'!$A$1:$A$18046,AH!$P$7):INDEX('AH History'!$A$1:$A$18046,AH!$P$7+AH!$P$8-1),0),0),0)</ns0:f>
        <ns0:v/>
      </ns0:c>
      <ns0:c r="I299">
        <ns0:f>IF($H299=0,0,IFERROR(IF(AND(ABS($C299-INDEX('AH History'!$B$1:$B$18046,$H299))&lt;=MAX(0.005,ABS(INDEX('AH History'!$B$1:$B$18046,$H299))*0.00005),ABS($D299-INDEX('AH History'!$C$1:$C$18046,$H299))&lt;=MAX(0.005,ABS(INDEX('AH History'!$C$1:$C$18046,$H299))*0.00005),ABS($E299-INDEX('AH History'!$D$1:$D$18046,$H299))&lt;=0.00005,$F299=INDEX('AH History'!$E$1:$E$18046,$H299),$G299=INDEX('AH History'!$F$1:$F$18046,$H299)),1,-1),-1))</ns0:f>
        <ns0:v/>
      </ns0:c>
    </ns0:row>
    <ns0:row r="300">
      <ns0:c r="A300" s="215">
        <ns0:f>IF(OR(AH!$P$3=0,295+1&gt;AH!$P$11,AND(AH!$E$4&lt;&gt;"Stored",AH!$P$10&lt;&gt;1)),"",IFERROR(IF(AND(AH!$P$21=1,295+1=AH!$P$11),TODAY(),IF(AH!$P$10=1,INDEX('Live History'!$A$5:$A$3004,AH!$P$13+295),INDEX('AH History'!$A$1:$A$18046,AH!$P$7+295))),""))</ns0:f>
        <ns0:v/>
      </ns0:c>
      <ns0:c r="B300" s="219">
        <ns0:f>IFERROR(IF(AND(AH!$P$9&lt;&gt;1,$C300&gt;0,$D300&gt;0,$E300&gt;0,$F300&gt;0,$G300&gt;0,$F300&lt;=$A300,$G300&lt;=$A300,$A300-$F300&lt;=10,$A300-$G300&lt;=5),$D300*$E300/$C300-1,NA()),NA())</ns0:f>
        <ns0:v/>
      </ns0:c>
      <ns0:c r="C300">
        <ns0:f>IFERROR(IF(ISNUMBER($A300),IF(AND(AH!$P$10=1,AH!$P$12=1,$A300=TODAY()),AH!$P$19,IF(AH!$P$10=1,INDEX('Live History'!$B$5:$B$3004,AH!$P$13+295),INDEX('AH History'!$B$1:$B$18046,AH!$P$7+295))),NA()),NA())</ns0:f>
        <ns0:v/>
      </ns0:c>
      <ns0:c r="D300">
        <ns0:f>IFERROR(IF(ISNUMBER($A300),IF(AND(AH!$P$10=1,AH!$P$12=1,$A300=TODAY()),AH!$P$18,IF(AH!$P$10=1,INDEX('Live History'!$E$5:$E$3004,MATCH($A300,'Live History'!$D$5:$D$3004,1)),INDEX('AH History'!$C$1:$C$18046,AH!$P$7+295))),NA()),NA())</ns0:f>
        <ns0:v/>
      </ns0:c>
      <ns0:c r="E300">
        <ns0:f>IFERROR(IF(ISNUMBER($A300),IF(AND(AH!$P$10=1,AH!$P$12=1,$A300=TODAY()),AH!$P$20,IF(AH!$P$10=1,INDEX('Live History'!$H$5:$H$3004,MATCH($A300,'Live History'!$G$5:$G$3004,1)),INDEX('AH History'!$D$1:$D$18046,AH!$P$7+295))),NA()),NA())</ns0:f>
        <ns0:v/>
      </ns0:c>
      <ns0:c r="F300">
        <ns0:f>IFERROR(IF(ISNUMBER($A300),IF(AND(AH!$P$10=1,AH!$P$12=1,$A300=TODAY()),IF(AND(AH!$P$10=1,AH!$P$12=1,$A300=TODAY()),TODAY(),NA()),IF(AH!$P$10=1,INDEX('Live History'!$D$5:$D$3004,MATCH($A300,'Live History'!$D$5:$D$3004,1)),INDEX('AH History'!$E$1:$E$18046,AH!$P$7+295))),NA()),NA())</ns0:f>
        <ns0:v/>
      </ns0:c>
      <ns0:c r="G300">
        <ns0:f>IFERROR(IF(ISNUMBER($A300),IF(AND(AH!$P$10=1,AH!$P$12=1,$A300=TODAY()),IF(AND(AH!$P$10=1,AH!$P$12=1,$A300=TODAY()),TODAY(),NA()),IF(AH!$P$10=1,INDEX('Live History'!$G$5:$G$3004,MATCH($A300,'Live History'!$G$5:$G$3004,1)),INDEX('AH History'!$F$1:$F$18046,AH!$P$7+295))),NA()),NA())</ns0:f>
        <ns0:v/>
      </ns0:c>
      <ns0:c r="H300">
        <ns0:f>IFERROR(IF(AND(AH!$E$4="Bloomberg",AH!$P$10=1,ISNUMBER($A300),$A300&lt;=AH!$P$17),AH!$P$7-1+MATCH($A300,INDEX('AH History'!$A$1:$A$18046,AH!$P$7):INDEX('AH History'!$A$1:$A$18046,AH!$P$7+AH!$P$8-1),0),0),0)</ns0:f>
        <ns0:v/>
      </ns0:c>
      <ns0:c r="I300">
        <ns0:f>IF($H300=0,0,IFERROR(IF(AND(ABS($C300-INDEX('AH History'!$B$1:$B$18046,$H300))&lt;=MAX(0.005,ABS(INDEX('AH History'!$B$1:$B$18046,$H300))*0.00005),ABS($D300-INDEX('AH History'!$C$1:$C$18046,$H300))&lt;=MAX(0.005,ABS(INDEX('AH History'!$C$1:$C$18046,$H300))*0.00005),ABS($E300-INDEX('AH History'!$D$1:$D$18046,$H300))&lt;=0.00005,$F300=INDEX('AH History'!$E$1:$E$18046,$H300),$G300=INDEX('AH History'!$F$1:$F$18046,$H300)),1,-1),-1))</ns0:f>
        <ns0:v/>
      </ns0:c>
    </ns0:row>
    <ns0:row r="301">
      <ns0:c r="A301" s="215">
        <ns0:f>IF(OR(AH!$P$3=0,296+1&gt;AH!$P$11,AND(AH!$E$4&lt;&gt;"Stored",AH!$P$10&lt;&gt;1)),"",IFERROR(IF(AND(AH!$P$21=1,296+1=AH!$P$11),TODAY(),IF(AH!$P$10=1,INDEX('Live History'!$A$5:$A$3004,AH!$P$13+296),INDEX('AH History'!$A$1:$A$18046,AH!$P$7+296))),""))</ns0:f>
        <ns0:v/>
      </ns0:c>
      <ns0:c r="B301" s="219">
        <ns0:f>IFERROR(IF(AND(AH!$P$9&lt;&gt;1,$C301&gt;0,$D301&gt;0,$E301&gt;0,$F301&gt;0,$G301&gt;0,$F301&lt;=$A301,$G301&lt;=$A301,$A301-$F301&lt;=10,$A301-$G301&lt;=5),$D301*$E301/$C301-1,NA()),NA())</ns0:f>
        <ns0:v/>
      </ns0:c>
      <ns0:c r="C301">
        <ns0:f>IFERROR(IF(ISNUMBER($A301),IF(AND(AH!$P$10=1,AH!$P$12=1,$A301=TODAY()),AH!$P$19,IF(AH!$P$10=1,INDEX('Live History'!$B$5:$B$3004,AH!$P$13+296),INDEX('AH History'!$B$1:$B$18046,AH!$P$7+296))),NA()),NA())</ns0:f>
        <ns0:v/>
      </ns0:c>
      <ns0:c r="D301">
        <ns0:f>IFERROR(IF(ISNUMBER($A301),IF(AND(AH!$P$10=1,AH!$P$12=1,$A301=TODAY()),AH!$P$18,IF(AH!$P$10=1,INDEX('Live History'!$E$5:$E$3004,MATCH($A301,'Live History'!$D$5:$D$3004,1)),INDEX('AH History'!$C$1:$C$18046,AH!$P$7+296))),NA()),NA())</ns0:f>
        <ns0:v/>
      </ns0:c>
      <ns0:c r="E301">
        <ns0:f>IFERROR(IF(ISNUMBER($A301),IF(AND(AH!$P$10=1,AH!$P$12=1,$A301=TODAY()),AH!$P$20,IF(AH!$P$10=1,INDEX('Live History'!$H$5:$H$3004,MATCH($A301,'Live History'!$G$5:$G$3004,1)),INDEX('AH History'!$D$1:$D$18046,AH!$P$7+296))),NA()),NA())</ns0:f>
        <ns0:v/>
      </ns0:c>
      <ns0:c r="F301">
        <ns0:f>IFERROR(IF(ISNUMBER($A301),IF(AND(AH!$P$10=1,AH!$P$12=1,$A301=TODAY()),IF(AND(AH!$P$10=1,AH!$P$12=1,$A301=TODAY()),TODAY(),NA()),IF(AH!$P$10=1,INDEX('Live History'!$D$5:$D$3004,MATCH($A301,'Live History'!$D$5:$D$3004,1)),INDEX('AH History'!$E$1:$E$18046,AH!$P$7+296))),NA()),NA())</ns0:f>
        <ns0:v/>
      </ns0:c>
      <ns0:c r="G301">
        <ns0:f>IFERROR(IF(ISNUMBER($A301),IF(AND(AH!$P$10=1,AH!$P$12=1,$A301=TODAY()),IF(AND(AH!$P$10=1,AH!$P$12=1,$A301=TODAY()),TODAY(),NA()),IF(AH!$P$10=1,INDEX('Live History'!$G$5:$G$3004,MATCH($A301,'Live History'!$G$5:$G$3004,1)),INDEX('AH History'!$F$1:$F$18046,AH!$P$7+296))),NA()),NA())</ns0:f>
        <ns0:v/>
      </ns0:c>
      <ns0:c r="H301">
        <ns0:f>IFERROR(IF(AND(AH!$E$4="Bloomberg",AH!$P$10=1,ISNUMBER($A301),$A301&lt;=AH!$P$17),AH!$P$7-1+MATCH($A301,INDEX('AH History'!$A$1:$A$18046,AH!$P$7):INDEX('AH History'!$A$1:$A$18046,AH!$P$7+AH!$P$8-1),0),0),0)</ns0:f>
        <ns0:v/>
      </ns0:c>
      <ns0:c r="I301">
        <ns0:f>IF($H301=0,0,IFERROR(IF(AND(ABS($C301-INDEX('AH History'!$B$1:$B$18046,$H301))&lt;=MAX(0.005,ABS(INDEX('AH History'!$B$1:$B$18046,$H301))*0.00005),ABS($D301-INDEX('AH History'!$C$1:$C$18046,$H301))&lt;=MAX(0.005,ABS(INDEX('AH History'!$C$1:$C$18046,$H301))*0.00005),ABS($E301-INDEX('AH History'!$D$1:$D$18046,$H301))&lt;=0.00005,$F301=INDEX('AH History'!$E$1:$E$18046,$H301),$G301=INDEX('AH History'!$F$1:$F$18046,$H301)),1,-1),-1))</ns0:f>
        <ns0:v/>
      </ns0:c>
    </ns0:row>
    <ns0:row r="302">
      <ns0:c r="A302" s="215">
        <ns0:f>IF(OR(AH!$P$3=0,297+1&gt;AH!$P$11,AND(AH!$E$4&lt;&gt;"Stored",AH!$P$10&lt;&gt;1)),"",IFERROR(IF(AND(AH!$P$21=1,297+1=AH!$P$11),TODAY(),IF(AH!$P$10=1,INDEX('Live History'!$A$5:$A$3004,AH!$P$13+297),INDEX('AH History'!$A$1:$A$18046,AH!$P$7+297))),""))</ns0:f>
        <ns0:v/>
      </ns0:c>
      <ns0:c r="B302" s="219">
        <ns0:f>IFERROR(IF(AND(AH!$P$9&lt;&gt;1,$C302&gt;0,$D302&gt;0,$E302&gt;0,$F302&gt;0,$G302&gt;0,$F302&lt;=$A302,$G302&lt;=$A302,$A302-$F302&lt;=10,$A302-$G302&lt;=5),$D302*$E302/$C302-1,NA()),NA())</ns0:f>
        <ns0:v/>
      </ns0:c>
      <ns0:c r="C302">
        <ns0:f>IFERROR(IF(ISNUMBER($A302),IF(AND(AH!$P$10=1,AH!$P$12=1,$A302=TODAY()),AH!$P$19,IF(AH!$P$10=1,INDEX('Live History'!$B$5:$B$3004,AH!$P$13+297),INDEX('AH History'!$B$1:$B$18046,AH!$P$7+297))),NA()),NA())</ns0:f>
        <ns0:v/>
      </ns0:c>
      <ns0:c r="D302">
        <ns0:f>IFERROR(IF(ISNUMBER($A302),IF(AND(AH!$P$10=1,AH!$P$12=1,$A302=TODAY()),AH!$P$18,IF(AH!$P$10=1,INDEX('Live History'!$E$5:$E$3004,MATCH($A302,'Live History'!$D$5:$D$3004,1)),INDEX('AH History'!$C$1:$C$18046,AH!$P$7+297))),NA()),NA())</ns0:f>
        <ns0:v/>
      </ns0:c>
      <ns0:c r="E302">
        <ns0:f>IFERROR(IF(ISNUMBER($A302),IF(AND(AH!$P$10=1,AH!$P$12=1,$A302=TODAY()),AH!$P$20,IF(AH!$P$10=1,INDEX('Live History'!$H$5:$H$3004,MATCH($A302,'Live History'!$G$5:$G$3004,1)),INDEX('AH History'!$D$1:$D$18046,AH!$P$7+297))),NA()),NA())</ns0:f>
        <ns0:v/>
      </ns0:c>
      <ns0:c r="F302">
        <ns0:f>IFERROR(IF(ISNUMBER($A302),IF(AND(AH!$P$10=1,AH!$P$12=1,$A302=TODAY()),IF(AND(AH!$P$10=1,AH!$P$12=1,$A302=TODAY()),TODAY(),NA()),IF(AH!$P$10=1,INDEX('Live History'!$D$5:$D$3004,MATCH($A302,'Live History'!$D$5:$D$3004,1)),INDEX('AH History'!$E$1:$E$18046,AH!$P$7+297))),NA()),NA())</ns0:f>
        <ns0:v/>
      </ns0:c>
      <ns0:c r="G302">
        <ns0:f>IFERROR(IF(ISNUMBER($A302),IF(AND(AH!$P$10=1,AH!$P$12=1,$A302=TODAY()),IF(AND(AH!$P$10=1,AH!$P$12=1,$A302=TODAY()),TODAY(),NA()),IF(AH!$P$10=1,INDEX('Live History'!$G$5:$G$3004,MATCH($A302,'Live History'!$G$5:$G$3004,1)),INDEX('AH History'!$F$1:$F$18046,AH!$P$7+297))),NA()),NA())</ns0:f>
        <ns0:v/>
      </ns0:c>
      <ns0:c r="H302">
        <ns0:f>IFERROR(IF(AND(AH!$E$4="Bloomberg",AH!$P$10=1,ISNUMBER($A302),$A302&lt;=AH!$P$17),AH!$P$7-1+MATCH($A302,INDEX('AH History'!$A$1:$A$18046,AH!$P$7):INDEX('AH History'!$A$1:$A$18046,AH!$P$7+AH!$P$8-1),0),0),0)</ns0:f>
        <ns0:v/>
      </ns0:c>
      <ns0:c r="I302">
        <ns0:f>IF($H302=0,0,IFERROR(IF(AND(ABS($C302-INDEX('AH History'!$B$1:$B$18046,$H302))&lt;=MAX(0.005,ABS(INDEX('AH History'!$B$1:$B$18046,$H302))*0.00005),ABS($D302-INDEX('AH History'!$C$1:$C$18046,$H302))&lt;=MAX(0.005,ABS(INDEX('AH History'!$C$1:$C$18046,$H302))*0.00005),ABS($E302-INDEX('AH History'!$D$1:$D$18046,$H302))&lt;=0.00005,$F302=INDEX('AH History'!$E$1:$E$18046,$H302),$G302=INDEX('AH History'!$F$1:$F$18046,$H302)),1,-1),-1))</ns0:f>
        <ns0:v/>
      </ns0:c>
    </ns0:row>
    <ns0:row r="303">
      <ns0:c r="A303" s="215">
        <ns0:f>IF(OR(AH!$P$3=0,298+1&gt;AH!$P$11,AND(AH!$E$4&lt;&gt;"Stored",AH!$P$10&lt;&gt;1)),"",IFERROR(IF(AND(AH!$P$21=1,298+1=AH!$P$11),TODAY(),IF(AH!$P$10=1,INDEX('Live History'!$A$5:$A$3004,AH!$P$13+298),INDEX('AH History'!$A$1:$A$18046,AH!$P$7+298))),""))</ns0:f>
        <ns0:v/>
      </ns0:c>
      <ns0:c r="B303" s="219">
        <ns0:f>IFERROR(IF(AND(AH!$P$9&lt;&gt;1,$C303&gt;0,$D303&gt;0,$E303&gt;0,$F303&gt;0,$G303&gt;0,$F303&lt;=$A303,$G303&lt;=$A303,$A303-$F303&lt;=10,$A303-$G303&lt;=5),$D303*$E303/$C303-1,NA()),NA())</ns0:f>
        <ns0:v/>
      </ns0:c>
      <ns0:c r="C303">
        <ns0:f>IFERROR(IF(ISNUMBER($A303),IF(AND(AH!$P$10=1,AH!$P$12=1,$A303=TODAY()),AH!$P$19,IF(AH!$P$10=1,INDEX('Live History'!$B$5:$B$3004,AH!$P$13+298),INDEX('AH History'!$B$1:$B$18046,AH!$P$7+298))),NA()),NA())</ns0:f>
        <ns0:v/>
      </ns0:c>
      <ns0:c r="D303">
        <ns0:f>IFERROR(IF(ISNUMBER($A303),IF(AND(AH!$P$10=1,AH!$P$12=1,$A303=TODAY()),AH!$P$18,IF(AH!$P$10=1,INDEX('Live History'!$E$5:$E$3004,MATCH($A303,'Live History'!$D$5:$D$3004,1)),INDEX('AH History'!$C$1:$C$18046,AH!$P$7+298))),NA()),NA())</ns0:f>
        <ns0:v/>
      </ns0:c>
      <ns0:c r="E303">
        <ns0:f>IFERROR(IF(ISNUMBER($A303),IF(AND(AH!$P$10=1,AH!$P$12=1,$A303=TODAY()),AH!$P$20,IF(AH!$P$10=1,INDEX('Live History'!$H$5:$H$3004,MATCH($A303,'Live History'!$G$5:$G$3004,1)),INDEX('AH History'!$D$1:$D$18046,AH!$P$7+298))),NA()),NA())</ns0:f>
        <ns0:v/>
      </ns0:c>
      <ns0:c r="F303">
        <ns0:f>IFERROR(IF(ISNUMBER($A303),IF(AND(AH!$P$10=1,AH!$P$12=1,$A303=TODAY()),IF(AND(AH!$P$10=1,AH!$P$12=1,$A303=TODAY()),TODAY(),NA()),IF(AH!$P$10=1,INDEX('Live History'!$D$5:$D$3004,MATCH($A303,'Live History'!$D$5:$D$3004,1)),INDEX('AH History'!$E$1:$E$18046,AH!$P$7+298))),NA()),NA())</ns0:f>
        <ns0:v/>
      </ns0:c>
      <ns0:c r="G303">
        <ns0:f>IFERROR(IF(ISNUMBER($A303),IF(AND(AH!$P$10=1,AH!$P$12=1,$A303=TODAY()),IF(AND(AH!$P$10=1,AH!$P$12=1,$A303=TODAY()),TODAY(),NA()),IF(AH!$P$10=1,INDEX('Live History'!$G$5:$G$3004,MATCH($A303,'Live History'!$G$5:$G$3004,1)),INDEX('AH History'!$F$1:$F$18046,AH!$P$7+298))),NA()),NA())</ns0:f>
        <ns0:v/>
      </ns0:c>
      <ns0:c r="H303">
        <ns0:f>IFERROR(IF(AND(AH!$E$4="Bloomberg",AH!$P$10=1,ISNUMBER($A303),$A303&lt;=AH!$P$17),AH!$P$7-1+MATCH($A303,INDEX('AH History'!$A$1:$A$18046,AH!$P$7):INDEX('AH History'!$A$1:$A$18046,AH!$P$7+AH!$P$8-1),0),0),0)</ns0:f>
        <ns0:v/>
      </ns0:c>
      <ns0:c r="I303">
        <ns0:f>IF($H303=0,0,IFERROR(IF(AND(ABS($C303-INDEX('AH History'!$B$1:$B$18046,$H303))&lt;=MAX(0.005,ABS(INDEX('AH History'!$B$1:$B$18046,$H303))*0.00005),ABS($D303-INDEX('AH History'!$C$1:$C$18046,$H303))&lt;=MAX(0.005,ABS(INDEX('AH History'!$C$1:$C$18046,$H303))*0.00005),ABS($E303-INDEX('AH History'!$D$1:$D$18046,$H303))&lt;=0.00005,$F303=INDEX('AH History'!$E$1:$E$18046,$H303),$G303=INDEX('AH History'!$F$1:$F$18046,$H303)),1,-1),-1))</ns0:f>
        <ns0:v/>
      </ns0:c>
    </ns0:row>
    <ns0:row r="304">
      <ns0:c r="A304" s="215">
        <ns0:f>IF(OR(AH!$P$3=0,299+1&gt;AH!$P$11,AND(AH!$E$4&lt;&gt;"Stored",AH!$P$10&lt;&gt;1)),"",IFERROR(IF(AND(AH!$P$21=1,299+1=AH!$P$11),TODAY(),IF(AH!$P$10=1,INDEX('Live History'!$A$5:$A$3004,AH!$P$13+299),INDEX('AH History'!$A$1:$A$18046,AH!$P$7+299))),""))</ns0:f>
        <ns0:v/>
      </ns0:c>
      <ns0:c r="B304" s="219">
        <ns0:f>IFERROR(IF(AND(AH!$P$9&lt;&gt;1,$C304&gt;0,$D304&gt;0,$E304&gt;0,$F304&gt;0,$G304&gt;0,$F304&lt;=$A304,$G304&lt;=$A304,$A304-$F304&lt;=10,$A304-$G304&lt;=5),$D304*$E304/$C304-1,NA()),NA())</ns0:f>
        <ns0:v/>
      </ns0:c>
      <ns0:c r="C304">
        <ns0:f>IFERROR(IF(ISNUMBER($A304),IF(AND(AH!$P$10=1,AH!$P$12=1,$A304=TODAY()),AH!$P$19,IF(AH!$P$10=1,INDEX('Live History'!$B$5:$B$3004,AH!$P$13+299),INDEX('AH History'!$B$1:$B$18046,AH!$P$7+299))),NA()),NA())</ns0:f>
        <ns0:v/>
      </ns0:c>
      <ns0:c r="D304">
        <ns0:f>IFERROR(IF(ISNUMBER($A304),IF(AND(AH!$P$10=1,AH!$P$12=1,$A304=TODAY()),AH!$P$18,IF(AH!$P$10=1,INDEX('Live History'!$E$5:$E$3004,MATCH($A304,'Live History'!$D$5:$D$3004,1)),INDEX('AH History'!$C$1:$C$18046,AH!$P$7+299))),NA()),NA())</ns0:f>
        <ns0:v/>
      </ns0:c>
      <ns0:c r="E304">
        <ns0:f>IFERROR(IF(ISNUMBER($A304),IF(AND(AH!$P$10=1,AH!$P$12=1,$A304=TODAY()),AH!$P$20,IF(AH!$P$10=1,INDEX('Live History'!$H$5:$H$3004,MATCH($A304,'Live History'!$G$5:$G$3004,1)),INDEX('AH History'!$D$1:$D$18046,AH!$P$7+299))),NA()),NA())</ns0:f>
        <ns0:v/>
      </ns0:c>
      <ns0:c r="F304">
        <ns0:f>IFERROR(IF(ISNUMBER($A304),IF(AND(AH!$P$10=1,AH!$P$12=1,$A304=TODAY()),IF(AND(AH!$P$10=1,AH!$P$12=1,$A304=TODAY()),TODAY(),NA()),IF(AH!$P$10=1,INDEX('Live History'!$D$5:$D$3004,MATCH($A304,'Live History'!$D$5:$D$3004,1)),INDEX('AH History'!$E$1:$E$18046,AH!$P$7+299))),NA()),NA())</ns0:f>
        <ns0:v/>
      </ns0:c>
      <ns0:c r="G304">
        <ns0:f>IFERROR(IF(ISNUMBER($A304),IF(AND(AH!$P$10=1,AH!$P$12=1,$A304=TODAY()),IF(AND(AH!$P$10=1,AH!$P$12=1,$A304=TODAY()),TODAY(),NA()),IF(AH!$P$10=1,INDEX('Live History'!$G$5:$G$3004,MATCH($A304,'Live History'!$G$5:$G$3004,1)),INDEX('AH History'!$F$1:$F$18046,AH!$P$7+299))),NA()),NA())</ns0:f>
        <ns0:v/>
      </ns0:c>
      <ns0:c r="H304">
        <ns0:f>IFERROR(IF(AND(AH!$E$4="Bloomberg",AH!$P$10=1,ISNUMBER($A304),$A304&lt;=AH!$P$17),AH!$P$7-1+MATCH($A304,INDEX('AH History'!$A$1:$A$18046,AH!$P$7):INDEX('AH History'!$A$1:$A$18046,AH!$P$7+AH!$P$8-1),0),0),0)</ns0:f>
        <ns0:v/>
      </ns0:c>
      <ns0:c r="I304">
        <ns0:f>IF($H304=0,0,IFERROR(IF(AND(ABS($C304-INDEX('AH History'!$B$1:$B$18046,$H304))&lt;=MAX(0.005,ABS(INDEX('AH History'!$B$1:$B$18046,$H304))*0.00005),ABS($D304-INDEX('AH History'!$C$1:$C$18046,$H304))&lt;=MAX(0.005,ABS(INDEX('AH History'!$C$1:$C$18046,$H304))*0.00005),ABS($E304-INDEX('AH History'!$D$1:$D$18046,$H304))&lt;=0.00005,$F304=INDEX('AH History'!$E$1:$E$18046,$H304),$G304=INDEX('AH History'!$F$1:$F$18046,$H304)),1,-1),-1))</ns0:f>
        <ns0:v/>
      </ns0:c>
    </ns0:row>
    <ns0:row r="305">
      <ns0:c r="A305" s="215">
        <ns0:f>IF(OR(AH!$P$3=0,300+1&gt;AH!$P$11,AND(AH!$E$4&lt;&gt;"Stored",AH!$P$10&lt;&gt;1)),"",IFERROR(IF(AND(AH!$P$21=1,300+1=AH!$P$11),TODAY(),IF(AH!$P$10=1,INDEX('Live History'!$A$5:$A$3004,AH!$P$13+300),INDEX('AH History'!$A$1:$A$18046,AH!$P$7+300))),""))</ns0:f>
        <ns0:v/>
      </ns0:c>
      <ns0:c r="B305" s="219">
        <ns0:f>IFERROR(IF(AND(AH!$P$9&lt;&gt;1,$C305&gt;0,$D305&gt;0,$E305&gt;0,$F305&gt;0,$G305&gt;0,$F305&lt;=$A305,$G305&lt;=$A305,$A305-$F305&lt;=10,$A305-$G305&lt;=5),$D305*$E305/$C305-1,NA()),NA())</ns0:f>
        <ns0:v/>
      </ns0:c>
      <ns0:c r="C305">
        <ns0:f>IFERROR(IF(ISNUMBER($A305),IF(AND(AH!$P$10=1,AH!$P$12=1,$A305=TODAY()),AH!$P$19,IF(AH!$P$10=1,INDEX('Live History'!$B$5:$B$3004,AH!$P$13+300),INDEX('AH History'!$B$1:$B$18046,AH!$P$7+300))),NA()),NA())</ns0:f>
        <ns0:v/>
      </ns0:c>
      <ns0:c r="D305">
        <ns0:f>IFERROR(IF(ISNUMBER($A305),IF(AND(AH!$P$10=1,AH!$P$12=1,$A305=TODAY()),AH!$P$18,IF(AH!$P$10=1,INDEX('Live History'!$E$5:$E$3004,MATCH($A305,'Live History'!$D$5:$D$3004,1)),INDEX('AH History'!$C$1:$C$18046,AH!$P$7+300))),NA()),NA())</ns0:f>
        <ns0:v/>
      </ns0:c>
      <ns0:c r="E305">
        <ns0:f>IFERROR(IF(ISNUMBER($A305),IF(AND(AH!$P$10=1,AH!$P$12=1,$A305=TODAY()),AH!$P$20,IF(AH!$P$10=1,INDEX('Live History'!$H$5:$H$3004,MATCH($A305,'Live History'!$G$5:$G$3004,1)),INDEX('AH History'!$D$1:$D$18046,AH!$P$7+300))),NA()),NA())</ns0:f>
        <ns0:v/>
      </ns0:c>
      <ns0:c r="F305">
        <ns0:f>IFERROR(IF(ISNUMBER($A305),IF(AND(AH!$P$10=1,AH!$P$12=1,$A305=TODAY()),IF(AND(AH!$P$10=1,AH!$P$12=1,$A305=TODAY()),TODAY(),NA()),IF(AH!$P$10=1,INDEX('Live History'!$D$5:$D$3004,MATCH($A305,'Live History'!$D$5:$D$3004,1)),INDEX('AH History'!$E$1:$E$18046,AH!$P$7+300))),NA()),NA())</ns0:f>
        <ns0:v/>
      </ns0:c>
      <ns0:c r="G305">
        <ns0:f>IFERROR(IF(ISNUMBER($A305),IF(AND(AH!$P$10=1,AH!$P$12=1,$A305=TODAY()),IF(AND(AH!$P$10=1,AH!$P$12=1,$A305=TODAY()),TODAY(),NA()),IF(AH!$P$10=1,INDEX('Live History'!$G$5:$G$3004,MATCH($A305,'Live History'!$G$5:$G$3004,1)),INDEX('AH History'!$F$1:$F$18046,AH!$P$7+300))),NA()),NA())</ns0:f>
        <ns0:v/>
      </ns0:c>
      <ns0:c r="H305">
        <ns0:f>IFERROR(IF(AND(AH!$E$4="Bloomberg",AH!$P$10=1,ISNUMBER($A305),$A305&lt;=AH!$P$17),AH!$P$7-1+MATCH($A305,INDEX('AH History'!$A$1:$A$18046,AH!$P$7):INDEX('AH History'!$A$1:$A$18046,AH!$P$7+AH!$P$8-1),0),0),0)</ns0:f>
        <ns0:v/>
      </ns0:c>
      <ns0:c r="I305">
        <ns0:f>IF($H305=0,0,IFERROR(IF(AND(ABS($C305-INDEX('AH History'!$B$1:$B$18046,$H305))&lt;=MAX(0.005,ABS(INDEX('AH History'!$B$1:$B$18046,$H305))*0.00005),ABS($D305-INDEX('AH History'!$C$1:$C$18046,$H305))&lt;=MAX(0.005,ABS(INDEX('AH History'!$C$1:$C$18046,$H305))*0.00005),ABS($E305-INDEX('AH History'!$D$1:$D$18046,$H305))&lt;=0.00005,$F305=INDEX('AH History'!$E$1:$E$18046,$H305),$G305=INDEX('AH History'!$F$1:$F$18046,$H305)),1,-1),-1))</ns0:f>
        <ns0:v/>
      </ns0:c>
    </ns0:row>
    <ns0:row r="306">
      <ns0:c r="A306" s="215">
        <ns0:f>IF(OR(AH!$P$3=0,301+1&gt;AH!$P$11,AND(AH!$E$4&lt;&gt;"Stored",AH!$P$10&lt;&gt;1)),"",IFERROR(IF(AND(AH!$P$21=1,301+1=AH!$P$11),TODAY(),IF(AH!$P$10=1,INDEX('Live History'!$A$5:$A$3004,AH!$P$13+301),INDEX('AH History'!$A$1:$A$18046,AH!$P$7+301))),""))</ns0:f>
        <ns0:v/>
      </ns0:c>
      <ns0:c r="B306" s="219">
        <ns0:f>IFERROR(IF(AND(AH!$P$9&lt;&gt;1,$C306&gt;0,$D306&gt;0,$E306&gt;0,$F306&gt;0,$G306&gt;0,$F306&lt;=$A306,$G306&lt;=$A306,$A306-$F306&lt;=10,$A306-$G306&lt;=5),$D306*$E306/$C306-1,NA()),NA())</ns0:f>
        <ns0:v/>
      </ns0:c>
      <ns0:c r="C306">
        <ns0:f>IFERROR(IF(ISNUMBER($A306),IF(AND(AH!$P$10=1,AH!$P$12=1,$A306=TODAY()),AH!$P$19,IF(AH!$P$10=1,INDEX('Live History'!$B$5:$B$3004,AH!$P$13+301),INDEX('AH History'!$B$1:$B$18046,AH!$P$7+301))),NA()),NA())</ns0:f>
        <ns0:v/>
      </ns0:c>
      <ns0:c r="D306">
        <ns0:f>IFERROR(IF(ISNUMBER($A306),IF(AND(AH!$P$10=1,AH!$P$12=1,$A306=TODAY()),AH!$P$18,IF(AH!$P$10=1,INDEX('Live History'!$E$5:$E$3004,MATCH($A306,'Live History'!$D$5:$D$3004,1)),INDEX('AH History'!$C$1:$C$18046,AH!$P$7+301))),NA()),NA())</ns0:f>
        <ns0:v/>
      </ns0:c>
      <ns0:c r="E306">
        <ns0:f>IFERROR(IF(ISNUMBER($A306),IF(AND(AH!$P$10=1,AH!$P$12=1,$A306=TODAY()),AH!$P$20,IF(AH!$P$10=1,INDEX('Live History'!$H$5:$H$3004,MATCH($A306,'Live History'!$G$5:$G$3004,1)),INDEX('AH History'!$D$1:$D$18046,AH!$P$7+301))),NA()),NA())</ns0:f>
        <ns0:v/>
      </ns0:c>
      <ns0:c r="F306">
        <ns0:f>IFERROR(IF(ISNUMBER($A306),IF(AND(AH!$P$10=1,AH!$P$12=1,$A306=TODAY()),IF(AND(AH!$P$10=1,AH!$P$12=1,$A306=TODAY()),TODAY(),NA()),IF(AH!$P$10=1,INDEX('Live History'!$D$5:$D$3004,MATCH($A306,'Live History'!$D$5:$D$3004,1)),INDEX('AH History'!$E$1:$E$18046,AH!$P$7+301))),NA()),NA())</ns0:f>
        <ns0:v/>
      </ns0:c>
      <ns0:c r="G306">
        <ns0:f>IFERROR(IF(ISNUMBER($A306),IF(AND(AH!$P$10=1,AH!$P$12=1,$A306=TODAY()),IF(AND(AH!$P$10=1,AH!$P$12=1,$A306=TODAY()),TODAY(),NA()),IF(AH!$P$10=1,INDEX('Live History'!$G$5:$G$3004,MATCH($A306,'Live History'!$G$5:$G$3004,1)),INDEX('AH History'!$F$1:$F$18046,AH!$P$7+301))),NA()),NA())</ns0:f>
        <ns0:v/>
      </ns0:c>
      <ns0:c r="H306">
        <ns0:f>IFERROR(IF(AND(AH!$E$4="Bloomberg",AH!$P$10=1,ISNUMBER($A306),$A306&lt;=AH!$P$17),AH!$P$7-1+MATCH($A306,INDEX('AH History'!$A$1:$A$18046,AH!$P$7):INDEX('AH History'!$A$1:$A$18046,AH!$P$7+AH!$P$8-1),0),0),0)</ns0:f>
        <ns0:v/>
      </ns0:c>
      <ns0:c r="I306">
        <ns0:f>IF($H306=0,0,IFERROR(IF(AND(ABS($C306-INDEX('AH History'!$B$1:$B$18046,$H306))&lt;=MAX(0.005,ABS(INDEX('AH History'!$B$1:$B$18046,$H306))*0.00005),ABS($D306-INDEX('AH History'!$C$1:$C$18046,$H306))&lt;=MAX(0.005,ABS(INDEX('AH History'!$C$1:$C$18046,$H306))*0.00005),ABS($E306-INDEX('AH History'!$D$1:$D$18046,$H306))&lt;=0.00005,$F306=INDEX('AH History'!$E$1:$E$18046,$H306),$G306=INDEX('AH History'!$F$1:$F$18046,$H306)),1,-1),-1))</ns0:f>
        <ns0:v/>
      </ns0:c>
    </ns0:row>
    <ns0:row r="307">
      <ns0:c r="A307" s="215">
        <ns0:f>IF(OR(AH!$P$3=0,302+1&gt;AH!$P$11,AND(AH!$E$4&lt;&gt;"Stored",AH!$P$10&lt;&gt;1)),"",IFERROR(IF(AND(AH!$P$21=1,302+1=AH!$P$11),TODAY(),IF(AH!$P$10=1,INDEX('Live History'!$A$5:$A$3004,AH!$P$13+302),INDEX('AH History'!$A$1:$A$18046,AH!$P$7+302))),""))</ns0:f>
        <ns0:v/>
      </ns0:c>
      <ns0:c r="B307" s="219">
        <ns0:f>IFERROR(IF(AND(AH!$P$9&lt;&gt;1,$C307&gt;0,$D307&gt;0,$E307&gt;0,$F307&gt;0,$G307&gt;0,$F307&lt;=$A307,$G307&lt;=$A307,$A307-$F307&lt;=10,$A307-$G307&lt;=5),$D307*$E307/$C307-1,NA()),NA())</ns0:f>
        <ns0:v/>
      </ns0:c>
      <ns0:c r="C307">
        <ns0:f>IFERROR(IF(ISNUMBER($A307),IF(AND(AH!$P$10=1,AH!$P$12=1,$A307=TODAY()),AH!$P$19,IF(AH!$P$10=1,INDEX('Live History'!$B$5:$B$3004,AH!$P$13+302),INDEX('AH History'!$B$1:$B$18046,AH!$P$7+302))),NA()),NA())</ns0:f>
        <ns0:v/>
      </ns0:c>
      <ns0:c r="D307">
        <ns0:f>IFERROR(IF(ISNUMBER($A307),IF(AND(AH!$P$10=1,AH!$P$12=1,$A307=TODAY()),AH!$P$18,IF(AH!$P$10=1,INDEX('Live History'!$E$5:$E$3004,MATCH($A307,'Live History'!$D$5:$D$3004,1)),INDEX('AH History'!$C$1:$C$18046,AH!$P$7+302))),NA()),NA())</ns0:f>
        <ns0:v/>
      </ns0:c>
      <ns0:c r="E307">
        <ns0:f>IFERROR(IF(ISNUMBER($A307),IF(AND(AH!$P$10=1,AH!$P$12=1,$A307=TODAY()),AH!$P$20,IF(AH!$P$10=1,INDEX('Live History'!$H$5:$H$3004,MATCH($A307,'Live History'!$G$5:$G$3004,1)),INDEX('AH History'!$D$1:$D$18046,AH!$P$7+302))),NA()),NA())</ns0:f>
        <ns0:v/>
      </ns0:c>
      <ns0:c r="F307">
        <ns0:f>IFERROR(IF(ISNUMBER($A307),IF(AND(AH!$P$10=1,AH!$P$12=1,$A307=TODAY()),IF(AND(AH!$P$10=1,AH!$P$12=1,$A307=TODAY()),TODAY(),NA()),IF(AH!$P$10=1,INDEX('Live History'!$D$5:$D$3004,MATCH($A307,'Live History'!$D$5:$D$3004,1)),INDEX('AH History'!$E$1:$E$18046,AH!$P$7+302))),NA()),NA())</ns0:f>
        <ns0:v/>
      </ns0:c>
      <ns0:c r="G307">
        <ns0:f>IFERROR(IF(ISNUMBER($A307),IF(AND(AH!$P$10=1,AH!$P$12=1,$A307=TODAY()),IF(AND(AH!$P$10=1,AH!$P$12=1,$A307=TODAY()),TODAY(),NA()),IF(AH!$P$10=1,INDEX('Live History'!$G$5:$G$3004,MATCH($A307,'Live History'!$G$5:$G$3004,1)),INDEX('AH History'!$F$1:$F$18046,AH!$P$7+302))),NA()),NA())</ns0:f>
        <ns0:v/>
      </ns0:c>
      <ns0:c r="H307">
        <ns0:f>IFERROR(IF(AND(AH!$E$4="Bloomberg",AH!$P$10=1,ISNUMBER($A307),$A307&lt;=AH!$P$17),AH!$P$7-1+MATCH($A307,INDEX('AH History'!$A$1:$A$18046,AH!$P$7):INDEX('AH History'!$A$1:$A$18046,AH!$P$7+AH!$P$8-1),0),0),0)</ns0:f>
        <ns0:v/>
      </ns0:c>
      <ns0:c r="I307">
        <ns0:f>IF($H307=0,0,IFERROR(IF(AND(ABS($C307-INDEX('AH History'!$B$1:$B$18046,$H307))&lt;=MAX(0.005,ABS(INDEX('AH History'!$B$1:$B$18046,$H307))*0.00005),ABS($D307-INDEX('AH History'!$C$1:$C$18046,$H307))&lt;=MAX(0.005,ABS(INDEX('AH History'!$C$1:$C$18046,$H307))*0.00005),ABS($E307-INDEX('AH History'!$D$1:$D$18046,$H307))&lt;=0.00005,$F307=INDEX('AH History'!$E$1:$E$18046,$H307),$G307=INDEX('AH History'!$F$1:$F$18046,$H307)),1,-1),-1))</ns0:f>
        <ns0:v/>
      </ns0:c>
    </ns0:row>
    <ns0:row r="308">
      <ns0:c r="A308" s="215">
        <ns0:f>IF(OR(AH!$P$3=0,303+1&gt;AH!$P$11,AND(AH!$E$4&lt;&gt;"Stored",AH!$P$10&lt;&gt;1)),"",IFERROR(IF(AND(AH!$P$21=1,303+1=AH!$P$11),TODAY(),IF(AH!$P$10=1,INDEX('Live History'!$A$5:$A$3004,AH!$P$13+303),INDEX('AH History'!$A$1:$A$18046,AH!$P$7+303))),""))</ns0:f>
        <ns0:v/>
      </ns0:c>
      <ns0:c r="B308" s="219">
        <ns0:f>IFERROR(IF(AND(AH!$P$9&lt;&gt;1,$C308&gt;0,$D308&gt;0,$E308&gt;0,$F308&gt;0,$G308&gt;0,$F308&lt;=$A308,$G308&lt;=$A308,$A308-$F308&lt;=10,$A308-$G308&lt;=5),$D308*$E308/$C308-1,NA()),NA())</ns0:f>
        <ns0:v/>
      </ns0:c>
      <ns0:c r="C308">
        <ns0:f>IFERROR(IF(ISNUMBER($A308),IF(AND(AH!$P$10=1,AH!$P$12=1,$A308=TODAY()),AH!$P$19,IF(AH!$P$10=1,INDEX('Live History'!$B$5:$B$3004,AH!$P$13+303),INDEX('AH History'!$B$1:$B$18046,AH!$P$7+303))),NA()),NA())</ns0:f>
        <ns0:v/>
      </ns0:c>
      <ns0:c r="D308">
        <ns0:f>IFERROR(IF(ISNUMBER($A308),IF(AND(AH!$P$10=1,AH!$P$12=1,$A308=TODAY()),AH!$P$18,IF(AH!$P$10=1,INDEX('Live History'!$E$5:$E$3004,MATCH($A308,'Live History'!$D$5:$D$3004,1)),INDEX('AH History'!$C$1:$C$18046,AH!$P$7+303))),NA()),NA())</ns0:f>
        <ns0:v/>
      </ns0:c>
      <ns0:c r="E308">
        <ns0:f>IFERROR(IF(ISNUMBER($A308),IF(AND(AH!$P$10=1,AH!$P$12=1,$A308=TODAY()),AH!$P$20,IF(AH!$P$10=1,INDEX('Live History'!$H$5:$H$3004,MATCH($A308,'Live History'!$G$5:$G$3004,1)),INDEX('AH History'!$D$1:$D$18046,AH!$P$7+303))),NA()),NA())</ns0:f>
        <ns0:v/>
      </ns0:c>
      <ns0:c r="F308">
        <ns0:f>IFERROR(IF(ISNUMBER($A308),IF(AND(AH!$P$10=1,AH!$P$12=1,$A308=TODAY()),IF(AND(AH!$P$10=1,AH!$P$12=1,$A308=TODAY()),TODAY(),NA()),IF(AH!$P$10=1,INDEX('Live History'!$D$5:$D$3004,MATCH($A308,'Live History'!$D$5:$D$3004,1)),INDEX('AH History'!$E$1:$E$18046,AH!$P$7+303))),NA()),NA())</ns0:f>
        <ns0:v/>
      </ns0:c>
      <ns0:c r="G308">
        <ns0:f>IFERROR(IF(ISNUMBER($A308),IF(AND(AH!$P$10=1,AH!$P$12=1,$A308=TODAY()),IF(AND(AH!$P$10=1,AH!$P$12=1,$A308=TODAY()),TODAY(),NA()),IF(AH!$P$10=1,INDEX('Live History'!$G$5:$G$3004,MATCH($A308,'Live History'!$G$5:$G$3004,1)),INDEX('AH History'!$F$1:$F$18046,AH!$P$7+303))),NA()),NA())</ns0:f>
        <ns0:v/>
      </ns0:c>
      <ns0:c r="H308">
        <ns0:f>IFERROR(IF(AND(AH!$E$4="Bloomberg",AH!$P$10=1,ISNUMBER($A308),$A308&lt;=AH!$P$17),AH!$P$7-1+MATCH($A308,INDEX('AH History'!$A$1:$A$18046,AH!$P$7):INDEX('AH History'!$A$1:$A$18046,AH!$P$7+AH!$P$8-1),0),0),0)</ns0:f>
        <ns0:v/>
      </ns0:c>
      <ns0:c r="I308">
        <ns0:f>IF($H308=0,0,IFERROR(IF(AND(ABS($C308-INDEX('AH History'!$B$1:$B$18046,$H308))&lt;=MAX(0.005,ABS(INDEX('AH History'!$B$1:$B$18046,$H308))*0.00005),ABS($D308-INDEX('AH History'!$C$1:$C$18046,$H308))&lt;=MAX(0.005,ABS(INDEX('AH History'!$C$1:$C$18046,$H308))*0.00005),ABS($E308-INDEX('AH History'!$D$1:$D$18046,$H308))&lt;=0.00005,$F308=INDEX('AH History'!$E$1:$E$18046,$H308),$G308=INDEX('AH History'!$F$1:$F$18046,$H308)),1,-1),-1))</ns0:f>
        <ns0:v/>
      </ns0:c>
    </ns0:row>
    <ns0:row r="309">
      <ns0:c r="A309" s="215">
        <ns0:f>IF(OR(AH!$P$3=0,304+1&gt;AH!$P$11,AND(AH!$E$4&lt;&gt;"Stored",AH!$P$10&lt;&gt;1)),"",IFERROR(IF(AND(AH!$P$21=1,304+1=AH!$P$11),TODAY(),IF(AH!$P$10=1,INDEX('Live History'!$A$5:$A$3004,AH!$P$13+304),INDEX('AH History'!$A$1:$A$18046,AH!$P$7+304))),""))</ns0:f>
        <ns0:v/>
      </ns0:c>
      <ns0:c r="B309" s="219">
        <ns0:f>IFERROR(IF(AND(AH!$P$9&lt;&gt;1,$C309&gt;0,$D309&gt;0,$E309&gt;0,$F309&gt;0,$G309&gt;0,$F309&lt;=$A309,$G309&lt;=$A309,$A309-$F309&lt;=10,$A309-$G309&lt;=5),$D309*$E309/$C309-1,NA()),NA())</ns0:f>
        <ns0:v/>
      </ns0:c>
      <ns0:c r="C309">
        <ns0:f>IFERROR(IF(ISNUMBER($A309),IF(AND(AH!$P$10=1,AH!$P$12=1,$A309=TODAY()),AH!$P$19,IF(AH!$P$10=1,INDEX('Live History'!$B$5:$B$3004,AH!$P$13+304),INDEX('AH History'!$B$1:$B$18046,AH!$P$7+304))),NA()),NA())</ns0:f>
        <ns0:v/>
      </ns0:c>
      <ns0:c r="D309">
        <ns0:f>IFERROR(IF(ISNUMBER($A309),IF(AND(AH!$P$10=1,AH!$P$12=1,$A309=TODAY()),AH!$P$18,IF(AH!$P$10=1,INDEX('Live History'!$E$5:$E$3004,MATCH($A309,'Live History'!$D$5:$D$3004,1)),INDEX('AH History'!$C$1:$C$18046,AH!$P$7+304))),NA()),NA())</ns0:f>
        <ns0:v/>
      </ns0:c>
      <ns0:c r="E309">
        <ns0:f>IFERROR(IF(ISNUMBER($A309),IF(AND(AH!$P$10=1,AH!$P$12=1,$A309=TODAY()),AH!$P$20,IF(AH!$P$10=1,INDEX('Live History'!$H$5:$H$3004,MATCH($A309,'Live History'!$G$5:$G$3004,1)),INDEX('AH History'!$D$1:$D$18046,AH!$P$7+304))),NA()),NA())</ns0:f>
        <ns0:v/>
      </ns0:c>
      <ns0:c r="F309">
        <ns0:f>IFERROR(IF(ISNUMBER($A309),IF(AND(AH!$P$10=1,AH!$P$12=1,$A309=TODAY()),IF(AND(AH!$P$10=1,AH!$P$12=1,$A309=TODAY()),TODAY(),NA()),IF(AH!$P$10=1,INDEX('Live History'!$D$5:$D$3004,MATCH($A309,'Live History'!$D$5:$D$3004,1)),INDEX('AH History'!$E$1:$E$18046,AH!$P$7+304))),NA()),NA())</ns0:f>
        <ns0:v/>
      </ns0:c>
      <ns0:c r="G309">
        <ns0:f>IFERROR(IF(ISNUMBER($A309),IF(AND(AH!$P$10=1,AH!$P$12=1,$A309=TODAY()),IF(AND(AH!$P$10=1,AH!$P$12=1,$A309=TODAY()),TODAY(),NA()),IF(AH!$P$10=1,INDEX('Live History'!$G$5:$G$3004,MATCH($A309,'Live History'!$G$5:$G$3004,1)),INDEX('AH History'!$F$1:$F$18046,AH!$P$7+304))),NA()),NA())</ns0:f>
        <ns0:v/>
      </ns0:c>
      <ns0:c r="H309">
        <ns0:f>IFERROR(IF(AND(AH!$E$4="Bloomberg",AH!$P$10=1,ISNUMBER($A309),$A309&lt;=AH!$P$17),AH!$P$7-1+MATCH($A309,INDEX('AH History'!$A$1:$A$18046,AH!$P$7):INDEX('AH History'!$A$1:$A$18046,AH!$P$7+AH!$P$8-1),0),0),0)</ns0:f>
        <ns0:v/>
      </ns0:c>
      <ns0:c r="I309">
        <ns0:f>IF($H309=0,0,IFERROR(IF(AND(ABS($C309-INDEX('AH History'!$B$1:$B$18046,$H309))&lt;=MAX(0.005,ABS(INDEX('AH History'!$B$1:$B$18046,$H309))*0.00005),ABS($D309-INDEX('AH History'!$C$1:$C$18046,$H309))&lt;=MAX(0.005,ABS(INDEX('AH History'!$C$1:$C$18046,$H309))*0.00005),ABS($E309-INDEX('AH History'!$D$1:$D$18046,$H309))&lt;=0.00005,$F309=INDEX('AH History'!$E$1:$E$18046,$H309),$G309=INDEX('AH History'!$F$1:$F$18046,$H309)),1,-1),-1))</ns0:f>
        <ns0:v/>
      </ns0:c>
    </ns0:row>
    <ns0:row r="310">
      <ns0:c r="A310" s="215">
        <ns0:f>IF(OR(AH!$P$3=0,305+1&gt;AH!$P$11,AND(AH!$E$4&lt;&gt;"Stored",AH!$P$10&lt;&gt;1)),"",IFERROR(IF(AND(AH!$P$21=1,305+1=AH!$P$11),TODAY(),IF(AH!$P$10=1,INDEX('Live History'!$A$5:$A$3004,AH!$P$13+305),INDEX('AH History'!$A$1:$A$18046,AH!$P$7+305))),""))</ns0:f>
        <ns0:v/>
      </ns0:c>
      <ns0:c r="B310" s="219">
        <ns0:f>IFERROR(IF(AND(AH!$P$9&lt;&gt;1,$C310&gt;0,$D310&gt;0,$E310&gt;0,$F310&gt;0,$G310&gt;0,$F310&lt;=$A310,$G310&lt;=$A310,$A310-$F310&lt;=10,$A310-$G310&lt;=5),$D310*$E310/$C310-1,NA()),NA())</ns0:f>
        <ns0:v/>
      </ns0:c>
      <ns0:c r="C310">
        <ns0:f>IFERROR(IF(ISNUMBER($A310),IF(AND(AH!$P$10=1,AH!$P$12=1,$A310=TODAY()),AH!$P$19,IF(AH!$P$10=1,INDEX('Live History'!$B$5:$B$3004,AH!$P$13+305),INDEX('AH History'!$B$1:$B$18046,AH!$P$7+305))),NA()),NA())</ns0:f>
        <ns0:v/>
      </ns0:c>
      <ns0:c r="D310">
        <ns0:f>IFERROR(IF(ISNUMBER($A310),IF(AND(AH!$P$10=1,AH!$P$12=1,$A310=TODAY()),AH!$P$18,IF(AH!$P$10=1,INDEX('Live History'!$E$5:$E$3004,MATCH($A310,'Live History'!$D$5:$D$3004,1)),INDEX('AH History'!$C$1:$C$18046,AH!$P$7+305))),NA()),NA())</ns0:f>
        <ns0:v/>
      </ns0:c>
      <ns0:c r="E310">
        <ns0:f>IFERROR(IF(ISNUMBER($A310),IF(AND(AH!$P$10=1,AH!$P$12=1,$A310=TODAY()),AH!$P$20,IF(AH!$P$10=1,INDEX('Live History'!$H$5:$H$3004,MATCH($A310,'Live History'!$G$5:$G$3004,1)),INDEX('AH History'!$D$1:$D$18046,AH!$P$7+305))),NA()),NA())</ns0:f>
        <ns0:v/>
      </ns0:c>
      <ns0:c r="F310">
        <ns0:f>IFERROR(IF(ISNUMBER($A310),IF(AND(AH!$P$10=1,AH!$P$12=1,$A310=TODAY()),IF(AND(AH!$P$10=1,AH!$P$12=1,$A310=TODAY()),TODAY(),NA()),IF(AH!$P$10=1,INDEX('Live History'!$D$5:$D$3004,MATCH($A310,'Live History'!$D$5:$D$3004,1)),INDEX('AH History'!$E$1:$E$18046,AH!$P$7+305))),NA()),NA())</ns0:f>
        <ns0:v/>
      </ns0:c>
      <ns0:c r="G310">
        <ns0:f>IFERROR(IF(ISNUMBER($A310),IF(AND(AH!$P$10=1,AH!$P$12=1,$A310=TODAY()),IF(AND(AH!$P$10=1,AH!$P$12=1,$A310=TODAY()),TODAY(),NA()),IF(AH!$P$10=1,INDEX('Live History'!$G$5:$G$3004,MATCH($A310,'Live History'!$G$5:$G$3004,1)),INDEX('AH History'!$F$1:$F$18046,AH!$P$7+305))),NA()),NA())</ns0:f>
        <ns0:v/>
      </ns0:c>
      <ns0:c r="H310">
        <ns0:f>IFERROR(IF(AND(AH!$E$4="Bloomberg",AH!$P$10=1,ISNUMBER($A310),$A310&lt;=AH!$P$17),AH!$P$7-1+MATCH($A310,INDEX('AH History'!$A$1:$A$18046,AH!$P$7):INDEX('AH History'!$A$1:$A$18046,AH!$P$7+AH!$P$8-1),0),0),0)</ns0:f>
        <ns0:v/>
      </ns0:c>
      <ns0:c r="I310">
        <ns0:f>IF($H310=0,0,IFERROR(IF(AND(ABS($C310-INDEX('AH History'!$B$1:$B$18046,$H310))&lt;=MAX(0.005,ABS(INDEX('AH History'!$B$1:$B$18046,$H310))*0.00005),ABS($D310-INDEX('AH History'!$C$1:$C$18046,$H310))&lt;=MAX(0.005,ABS(INDEX('AH History'!$C$1:$C$18046,$H310))*0.00005),ABS($E310-INDEX('AH History'!$D$1:$D$18046,$H310))&lt;=0.00005,$F310=INDEX('AH History'!$E$1:$E$18046,$H310),$G310=INDEX('AH History'!$F$1:$F$18046,$H310)),1,-1),-1))</ns0:f>
        <ns0:v/>
      </ns0:c>
    </ns0:row>
    <ns0:row r="311">
      <ns0:c r="A311" s="215">
        <ns0:f>IF(OR(AH!$P$3=0,306+1&gt;AH!$P$11,AND(AH!$E$4&lt;&gt;"Stored",AH!$P$10&lt;&gt;1)),"",IFERROR(IF(AND(AH!$P$21=1,306+1=AH!$P$11),TODAY(),IF(AH!$P$10=1,INDEX('Live History'!$A$5:$A$3004,AH!$P$13+306),INDEX('AH History'!$A$1:$A$18046,AH!$P$7+306))),""))</ns0:f>
        <ns0:v/>
      </ns0:c>
      <ns0:c r="B311" s="219">
        <ns0:f>IFERROR(IF(AND(AH!$P$9&lt;&gt;1,$C311&gt;0,$D311&gt;0,$E311&gt;0,$F311&gt;0,$G311&gt;0,$F311&lt;=$A311,$G311&lt;=$A311,$A311-$F311&lt;=10,$A311-$G311&lt;=5),$D311*$E311/$C311-1,NA()),NA())</ns0:f>
        <ns0:v/>
      </ns0:c>
      <ns0:c r="C311">
        <ns0:f>IFERROR(IF(ISNUMBER($A311),IF(AND(AH!$P$10=1,AH!$P$12=1,$A311=TODAY()),AH!$P$19,IF(AH!$P$10=1,INDEX('Live History'!$B$5:$B$3004,AH!$P$13+306),INDEX('AH History'!$B$1:$B$18046,AH!$P$7+306))),NA()),NA())</ns0:f>
        <ns0:v/>
      </ns0:c>
      <ns0:c r="D311">
        <ns0:f>IFERROR(IF(ISNUMBER($A311),IF(AND(AH!$P$10=1,AH!$P$12=1,$A311=TODAY()),AH!$P$18,IF(AH!$P$10=1,INDEX('Live History'!$E$5:$E$3004,MATCH($A311,'Live History'!$D$5:$D$3004,1)),INDEX('AH History'!$C$1:$C$18046,AH!$P$7+306))),NA()),NA())</ns0:f>
        <ns0:v/>
      </ns0:c>
      <ns0:c r="E311">
        <ns0:f>IFERROR(IF(ISNUMBER($A311),IF(AND(AH!$P$10=1,AH!$P$12=1,$A311=TODAY()),AH!$P$20,IF(AH!$P$10=1,INDEX('Live History'!$H$5:$H$3004,MATCH($A311,'Live History'!$G$5:$G$3004,1)),INDEX('AH History'!$D$1:$D$18046,AH!$P$7+306))),NA()),NA())</ns0:f>
        <ns0:v/>
      </ns0:c>
      <ns0:c r="F311">
        <ns0:f>IFERROR(IF(ISNUMBER($A311),IF(AND(AH!$P$10=1,AH!$P$12=1,$A311=TODAY()),IF(AND(AH!$P$10=1,AH!$P$12=1,$A311=TODAY()),TODAY(),NA()),IF(AH!$P$10=1,INDEX('Live History'!$D$5:$D$3004,MATCH($A311,'Live History'!$D$5:$D$3004,1)),INDEX('AH History'!$E$1:$E$18046,AH!$P$7+306))),NA()),NA())</ns0:f>
        <ns0:v/>
      </ns0:c>
      <ns0:c r="G311">
        <ns0:f>IFERROR(IF(ISNUMBER($A311),IF(AND(AH!$P$10=1,AH!$P$12=1,$A311=TODAY()),IF(AND(AH!$P$10=1,AH!$P$12=1,$A311=TODAY()),TODAY(),NA()),IF(AH!$P$10=1,INDEX('Live History'!$G$5:$G$3004,MATCH($A311,'Live History'!$G$5:$G$3004,1)),INDEX('AH History'!$F$1:$F$18046,AH!$P$7+306))),NA()),NA())</ns0:f>
        <ns0:v/>
      </ns0:c>
      <ns0:c r="H311">
        <ns0:f>IFERROR(IF(AND(AH!$E$4="Bloomberg",AH!$P$10=1,ISNUMBER($A311),$A311&lt;=AH!$P$17),AH!$P$7-1+MATCH($A311,INDEX('AH History'!$A$1:$A$18046,AH!$P$7):INDEX('AH History'!$A$1:$A$18046,AH!$P$7+AH!$P$8-1),0),0),0)</ns0:f>
        <ns0:v/>
      </ns0:c>
      <ns0:c r="I311">
        <ns0:f>IF($H311=0,0,IFERROR(IF(AND(ABS($C311-INDEX('AH History'!$B$1:$B$18046,$H311))&lt;=MAX(0.005,ABS(INDEX('AH History'!$B$1:$B$18046,$H311))*0.00005),ABS($D311-INDEX('AH History'!$C$1:$C$18046,$H311))&lt;=MAX(0.005,ABS(INDEX('AH History'!$C$1:$C$18046,$H311))*0.00005),ABS($E311-INDEX('AH History'!$D$1:$D$18046,$H311))&lt;=0.00005,$F311=INDEX('AH History'!$E$1:$E$18046,$H311),$G311=INDEX('AH History'!$F$1:$F$18046,$H311)),1,-1),-1))</ns0:f>
        <ns0:v/>
      </ns0:c>
    </ns0:row>
    <ns0:row r="312">
      <ns0:c r="A312" s="215">
        <ns0:f>IF(OR(AH!$P$3=0,307+1&gt;AH!$P$11,AND(AH!$E$4&lt;&gt;"Stored",AH!$P$10&lt;&gt;1)),"",IFERROR(IF(AND(AH!$P$21=1,307+1=AH!$P$11),TODAY(),IF(AH!$P$10=1,INDEX('Live History'!$A$5:$A$3004,AH!$P$13+307),INDEX('AH History'!$A$1:$A$18046,AH!$P$7+307))),""))</ns0:f>
        <ns0:v/>
      </ns0:c>
      <ns0:c r="B312" s="219">
        <ns0:f>IFERROR(IF(AND(AH!$P$9&lt;&gt;1,$C312&gt;0,$D312&gt;0,$E312&gt;0,$F312&gt;0,$G312&gt;0,$F312&lt;=$A312,$G312&lt;=$A312,$A312-$F312&lt;=10,$A312-$G312&lt;=5),$D312*$E312/$C312-1,NA()),NA())</ns0:f>
        <ns0:v/>
      </ns0:c>
      <ns0:c r="C312">
        <ns0:f>IFERROR(IF(ISNUMBER($A312),IF(AND(AH!$P$10=1,AH!$P$12=1,$A312=TODAY()),AH!$P$19,IF(AH!$P$10=1,INDEX('Live History'!$B$5:$B$3004,AH!$P$13+307),INDEX('AH History'!$B$1:$B$18046,AH!$P$7+307))),NA()),NA())</ns0:f>
        <ns0:v/>
      </ns0:c>
      <ns0:c r="D312">
        <ns0:f>IFERROR(IF(ISNUMBER($A312),IF(AND(AH!$P$10=1,AH!$P$12=1,$A312=TODAY()),AH!$P$18,IF(AH!$P$10=1,INDEX('Live History'!$E$5:$E$3004,MATCH($A312,'Live History'!$D$5:$D$3004,1)),INDEX('AH History'!$C$1:$C$18046,AH!$P$7+307))),NA()),NA())</ns0:f>
        <ns0:v/>
      </ns0:c>
      <ns0:c r="E312">
        <ns0:f>IFERROR(IF(ISNUMBER($A312),IF(AND(AH!$P$10=1,AH!$P$12=1,$A312=TODAY()),AH!$P$20,IF(AH!$P$10=1,INDEX('Live History'!$H$5:$H$3004,MATCH($A312,'Live History'!$G$5:$G$3004,1)),INDEX('AH History'!$D$1:$D$18046,AH!$P$7+307))),NA()),NA())</ns0:f>
        <ns0:v/>
      </ns0:c>
      <ns0:c r="F312">
        <ns0:f>IFERROR(IF(ISNUMBER($A312),IF(AND(AH!$P$10=1,AH!$P$12=1,$A312=TODAY()),IF(AND(AH!$P$10=1,AH!$P$12=1,$A312=TODAY()),TODAY(),NA()),IF(AH!$P$10=1,INDEX('Live History'!$D$5:$D$3004,MATCH($A312,'Live History'!$D$5:$D$3004,1)),INDEX('AH History'!$E$1:$E$18046,AH!$P$7+307))),NA()),NA())</ns0:f>
        <ns0:v/>
      </ns0:c>
      <ns0:c r="G312">
        <ns0:f>IFERROR(IF(ISNUMBER($A312),IF(AND(AH!$P$10=1,AH!$P$12=1,$A312=TODAY()),IF(AND(AH!$P$10=1,AH!$P$12=1,$A312=TODAY()),TODAY(),NA()),IF(AH!$P$10=1,INDEX('Live History'!$G$5:$G$3004,MATCH($A312,'Live History'!$G$5:$G$3004,1)),INDEX('AH History'!$F$1:$F$18046,AH!$P$7+307))),NA()),NA())</ns0:f>
        <ns0:v/>
      </ns0:c>
      <ns0:c r="H312">
        <ns0:f>IFERROR(IF(AND(AH!$E$4="Bloomberg",AH!$P$10=1,ISNUMBER($A312),$A312&lt;=AH!$P$17),AH!$P$7-1+MATCH($A312,INDEX('AH History'!$A$1:$A$18046,AH!$P$7):INDEX('AH History'!$A$1:$A$18046,AH!$P$7+AH!$P$8-1),0),0),0)</ns0:f>
        <ns0:v/>
      </ns0:c>
      <ns0:c r="I312">
        <ns0:f>IF($H312=0,0,IFERROR(IF(AND(ABS($C312-INDEX('AH History'!$B$1:$B$18046,$H312))&lt;=MAX(0.005,ABS(INDEX('AH History'!$B$1:$B$18046,$H312))*0.00005),ABS($D312-INDEX('AH History'!$C$1:$C$18046,$H312))&lt;=MAX(0.005,ABS(INDEX('AH History'!$C$1:$C$18046,$H312))*0.00005),ABS($E312-INDEX('AH History'!$D$1:$D$18046,$H312))&lt;=0.00005,$F312=INDEX('AH History'!$E$1:$E$18046,$H312),$G312=INDEX('AH History'!$F$1:$F$18046,$H312)),1,-1),-1))</ns0:f>
        <ns0:v/>
      </ns0:c>
    </ns0:row>
    <ns0:row r="313">
      <ns0:c r="A313" s="215">
        <ns0:f>IF(OR(AH!$P$3=0,308+1&gt;AH!$P$11,AND(AH!$E$4&lt;&gt;"Stored",AH!$P$10&lt;&gt;1)),"",IFERROR(IF(AND(AH!$P$21=1,308+1=AH!$P$11),TODAY(),IF(AH!$P$10=1,INDEX('Live History'!$A$5:$A$3004,AH!$P$13+308),INDEX('AH History'!$A$1:$A$18046,AH!$P$7+308))),""))</ns0:f>
        <ns0:v/>
      </ns0:c>
      <ns0:c r="B313" s="219">
        <ns0:f>IFERROR(IF(AND(AH!$P$9&lt;&gt;1,$C313&gt;0,$D313&gt;0,$E313&gt;0,$F313&gt;0,$G313&gt;0,$F313&lt;=$A313,$G313&lt;=$A313,$A313-$F313&lt;=10,$A313-$G313&lt;=5),$D313*$E313/$C313-1,NA()),NA())</ns0:f>
        <ns0:v/>
      </ns0:c>
      <ns0:c r="C313">
        <ns0:f>IFERROR(IF(ISNUMBER($A313),IF(AND(AH!$P$10=1,AH!$P$12=1,$A313=TODAY()),AH!$P$19,IF(AH!$P$10=1,INDEX('Live History'!$B$5:$B$3004,AH!$P$13+308),INDEX('AH History'!$B$1:$B$18046,AH!$P$7+308))),NA()),NA())</ns0:f>
        <ns0:v/>
      </ns0:c>
      <ns0:c r="D313">
        <ns0:f>IFERROR(IF(ISNUMBER($A313),IF(AND(AH!$P$10=1,AH!$P$12=1,$A313=TODAY()),AH!$P$18,IF(AH!$P$10=1,INDEX('Live History'!$E$5:$E$3004,MATCH($A313,'Live History'!$D$5:$D$3004,1)),INDEX('AH History'!$C$1:$C$18046,AH!$P$7+308))),NA()),NA())</ns0:f>
        <ns0:v/>
      </ns0:c>
      <ns0:c r="E313">
        <ns0:f>IFERROR(IF(ISNUMBER($A313),IF(AND(AH!$P$10=1,AH!$P$12=1,$A313=TODAY()),AH!$P$20,IF(AH!$P$10=1,INDEX('Live History'!$H$5:$H$3004,MATCH($A313,'Live History'!$G$5:$G$3004,1)),INDEX('AH History'!$D$1:$D$18046,AH!$P$7+308))),NA()),NA())</ns0:f>
        <ns0:v/>
      </ns0:c>
      <ns0:c r="F313">
        <ns0:f>IFERROR(IF(ISNUMBER($A313),IF(AND(AH!$P$10=1,AH!$P$12=1,$A313=TODAY()),IF(AND(AH!$P$10=1,AH!$P$12=1,$A313=TODAY()),TODAY(),NA()),IF(AH!$P$10=1,INDEX('Live History'!$D$5:$D$3004,MATCH($A313,'Live History'!$D$5:$D$3004,1)),INDEX('AH History'!$E$1:$E$18046,AH!$P$7+308))),NA()),NA())</ns0:f>
        <ns0:v/>
      </ns0:c>
      <ns0:c r="G313">
        <ns0:f>IFERROR(IF(ISNUMBER($A313),IF(AND(AH!$P$10=1,AH!$P$12=1,$A313=TODAY()),IF(AND(AH!$P$10=1,AH!$P$12=1,$A313=TODAY()),TODAY(),NA()),IF(AH!$P$10=1,INDEX('Live History'!$G$5:$G$3004,MATCH($A313,'Live History'!$G$5:$G$3004,1)),INDEX('AH History'!$F$1:$F$18046,AH!$P$7+308))),NA()),NA())</ns0:f>
        <ns0:v/>
      </ns0:c>
      <ns0:c r="H313">
        <ns0:f>IFERROR(IF(AND(AH!$E$4="Bloomberg",AH!$P$10=1,ISNUMBER($A313),$A313&lt;=AH!$P$17),AH!$P$7-1+MATCH($A313,INDEX('AH History'!$A$1:$A$18046,AH!$P$7):INDEX('AH History'!$A$1:$A$18046,AH!$P$7+AH!$P$8-1),0),0),0)</ns0:f>
        <ns0:v/>
      </ns0:c>
      <ns0:c r="I313">
        <ns0:f>IF($H313=0,0,IFERROR(IF(AND(ABS($C313-INDEX('AH History'!$B$1:$B$18046,$H313))&lt;=MAX(0.005,ABS(INDEX('AH History'!$B$1:$B$18046,$H313))*0.00005),ABS($D313-INDEX('AH History'!$C$1:$C$18046,$H313))&lt;=MAX(0.005,ABS(INDEX('AH History'!$C$1:$C$18046,$H313))*0.00005),ABS($E313-INDEX('AH History'!$D$1:$D$18046,$H313))&lt;=0.00005,$F313=INDEX('AH History'!$E$1:$E$18046,$H313),$G313=INDEX('AH History'!$F$1:$F$18046,$H313)),1,-1),-1))</ns0:f>
        <ns0:v/>
      </ns0:c>
    </ns0:row>
    <ns0:row r="314">
      <ns0:c r="A314" s="215">
        <ns0:f>IF(OR(AH!$P$3=0,309+1&gt;AH!$P$11,AND(AH!$E$4&lt;&gt;"Stored",AH!$P$10&lt;&gt;1)),"",IFERROR(IF(AND(AH!$P$21=1,309+1=AH!$P$11),TODAY(),IF(AH!$P$10=1,INDEX('Live History'!$A$5:$A$3004,AH!$P$13+309),INDEX('AH History'!$A$1:$A$18046,AH!$P$7+309))),""))</ns0:f>
        <ns0:v/>
      </ns0:c>
      <ns0:c r="B314" s="219">
        <ns0:f>IFERROR(IF(AND(AH!$P$9&lt;&gt;1,$C314&gt;0,$D314&gt;0,$E314&gt;0,$F314&gt;0,$G314&gt;0,$F314&lt;=$A314,$G314&lt;=$A314,$A314-$F314&lt;=10,$A314-$G314&lt;=5),$D314*$E314/$C314-1,NA()),NA())</ns0:f>
        <ns0:v/>
      </ns0:c>
      <ns0:c r="C314">
        <ns0:f>IFERROR(IF(ISNUMBER($A314),IF(AND(AH!$P$10=1,AH!$P$12=1,$A314=TODAY()),AH!$P$19,IF(AH!$P$10=1,INDEX('Live History'!$B$5:$B$3004,AH!$P$13+309),INDEX('AH History'!$B$1:$B$18046,AH!$P$7+309))),NA()),NA())</ns0:f>
        <ns0:v/>
      </ns0:c>
      <ns0:c r="D314">
        <ns0:f>IFERROR(IF(ISNUMBER($A314),IF(AND(AH!$P$10=1,AH!$P$12=1,$A314=TODAY()),AH!$P$18,IF(AH!$P$10=1,INDEX('Live History'!$E$5:$E$3004,MATCH($A314,'Live History'!$D$5:$D$3004,1)),INDEX('AH History'!$C$1:$C$18046,AH!$P$7+309))),NA()),NA())</ns0:f>
        <ns0:v/>
      </ns0:c>
      <ns0:c r="E314">
        <ns0:f>IFERROR(IF(ISNUMBER($A314),IF(AND(AH!$P$10=1,AH!$P$12=1,$A314=TODAY()),AH!$P$20,IF(AH!$P$10=1,INDEX('Live History'!$H$5:$H$3004,MATCH($A314,'Live History'!$G$5:$G$3004,1)),INDEX('AH History'!$D$1:$D$18046,AH!$P$7+309))),NA()),NA())</ns0:f>
        <ns0:v/>
      </ns0:c>
      <ns0:c r="F314">
        <ns0:f>IFERROR(IF(ISNUMBER($A314),IF(AND(AH!$P$10=1,AH!$P$12=1,$A314=TODAY()),IF(AND(AH!$P$10=1,AH!$P$12=1,$A314=TODAY()),TODAY(),NA()),IF(AH!$P$10=1,INDEX('Live History'!$D$5:$D$3004,MATCH($A314,'Live History'!$D$5:$D$3004,1)),INDEX('AH History'!$E$1:$E$18046,AH!$P$7+309))),NA()),NA())</ns0:f>
        <ns0:v/>
      </ns0:c>
      <ns0:c r="G314">
        <ns0:f>IFERROR(IF(ISNUMBER($A314),IF(AND(AH!$P$10=1,AH!$P$12=1,$A314=TODAY()),IF(AND(AH!$P$10=1,AH!$P$12=1,$A314=TODAY()),TODAY(),NA()),IF(AH!$P$10=1,INDEX('Live History'!$G$5:$G$3004,MATCH($A314,'Live History'!$G$5:$G$3004,1)),INDEX('AH History'!$F$1:$F$18046,AH!$P$7+309))),NA()),NA())</ns0:f>
        <ns0:v/>
      </ns0:c>
      <ns0:c r="H314">
        <ns0:f>IFERROR(IF(AND(AH!$E$4="Bloomberg",AH!$P$10=1,ISNUMBER($A314),$A314&lt;=AH!$P$17),AH!$P$7-1+MATCH($A314,INDEX('AH History'!$A$1:$A$18046,AH!$P$7):INDEX('AH History'!$A$1:$A$18046,AH!$P$7+AH!$P$8-1),0),0),0)</ns0:f>
        <ns0:v/>
      </ns0:c>
      <ns0:c r="I314">
        <ns0:f>IF($H314=0,0,IFERROR(IF(AND(ABS($C314-INDEX('AH History'!$B$1:$B$18046,$H314))&lt;=MAX(0.005,ABS(INDEX('AH History'!$B$1:$B$18046,$H314))*0.00005),ABS($D314-INDEX('AH History'!$C$1:$C$18046,$H314))&lt;=MAX(0.005,ABS(INDEX('AH History'!$C$1:$C$18046,$H314))*0.00005),ABS($E314-INDEX('AH History'!$D$1:$D$18046,$H314))&lt;=0.00005,$F314=INDEX('AH History'!$E$1:$E$18046,$H314),$G314=INDEX('AH History'!$F$1:$F$18046,$H314)),1,-1),-1))</ns0:f>
        <ns0:v/>
      </ns0:c>
    </ns0:row>
    <ns0:row r="315">
      <ns0:c r="A315" s="215">
        <ns0:f>IF(OR(AH!$P$3=0,310+1&gt;AH!$P$11,AND(AH!$E$4&lt;&gt;"Stored",AH!$P$10&lt;&gt;1)),"",IFERROR(IF(AND(AH!$P$21=1,310+1=AH!$P$11),TODAY(),IF(AH!$P$10=1,INDEX('Live History'!$A$5:$A$3004,AH!$P$13+310),INDEX('AH History'!$A$1:$A$18046,AH!$P$7+310))),""))</ns0:f>
        <ns0:v/>
      </ns0:c>
      <ns0:c r="B315" s="219">
        <ns0:f>IFERROR(IF(AND(AH!$P$9&lt;&gt;1,$C315&gt;0,$D315&gt;0,$E315&gt;0,$F315&gt;0,$G315&gt;0,$F315&lt;=$A315,$G315&lt;=$A315,$A315-$F315&lt;=10,$A315-$G315&lt;=5),$D315*$E315/$C315-1,NA()),NA())</ns0:f>
        <ns0:v/>
      </ns0:c>
      <ns0:c r="C315">
        <ns0:f>IFERROR(IF(ISNUMBER($A315),IF(AND(AH!$P$10=1,AH!$P$12=1,$A315=TODAY()),AH!$P$19,IF(AH!$P$10=1,INDEX('Live History'!$B$5:$B$3004,AH!$P$13+310),INDEX('AH History'!$B$1:$B$18046,AH!$P$7+310))),NA()),NA())</ns0:f>
        <ns0:v/>
      </ns0:c>
      <ns0:c r="D315">
        <ns0:f>IFERROR(IF(ISNUMBER($A315),IF(AND(AH!$P$10=1,AH!$P$12=1,$A315=TODAY()),AH!$P$18,IF(AH!$P$10=1,INDEX('Live History'!$E$5:$E$3004,MATCH($A315,'Live History'!$D$5:$D$3004,1)),INDEX('AH History'!$C$1:$C$18046,AH!$P$7+310))),NA()),NA())</ns0:f>
        <ns0:v/>
      </ns0:c>
      <ns0:c r="E315">
        <ns0:f>IFERROR(IF(ISNUMBER($A315),IF(AND(AH!$P$10=1,AH!$P$12=1,$A315=TODAY()),AH!$P$20,IF(AH!$P$10=1,INDEX('Live History'!$H$5:$H$3004,MATCH($A315,'Live History'!$G$5:$G$3004,1)),INDEX('AH History'!$D$1:$D$18046,AH!$P$7+310))),NA()),NA())</ns0:f>
        <ns0:v/>
      </ns0:c>
      <ns0:c r="F315">
        <ns0:f>IFERROR(IF(ISNUMBER($A315),IF(AND(AH!$P$10=1,AH!$P$12=1,$A315=TODAY()),IF(AND(AH!$P$10=1,AH!$P$12=1,$A315=TODAY()),TODAY(),NA()),IF(AH!$P$10=1,INDEX('Live History'!$D$5:$D$3004,MATCH($A315,'Live History'!$D$5:$D$3004,1)),INDEX('AH History'!$E$1:$E$18046,AH!$P$7+310))),NA()),NA())</ns0:f>
        <ns0:v/>
      </ns0:c>
      <ns0:c r="G315">
        <ns0:f>IFERROR(IF(ISNUMBER($A315),IF(AND(AH!$P$10=1,AH!$P$12=1,$A315=TODAY()),IF(AND(AH!$P$10=1,AH!$P$12=1,$A315=TODAY()),TODAY(),NA()),IF(AH!$P$10=1,INDEX('Live History'!$G$5:$G$3004,MATCH($A315,'Live History'!$G$5:$G$3004,1)),INDEX('AH History'!$F$1:$F$18046,AH!$P$7+310))),NA()),NA())</ns0:f>
        <ns0:v/>
      </ns0:c>
      <ns0:c r="H315">
        <ns0:f>IFERROR(IF(AND(AH!$E$4="Bloomberg",AH!$P$10=1,ISNUMBER($A315),$A315&lt;=AH!$P$17),AH!$P$7-1+MATCH($A315,INDEX('AH History'!$A$1:$A$18046,AH!$P$7):INDEX('AH History'!$A$1:$A$18046,AH!$P$7+AH!$P$8-1),0),0),0)</ns0:f>
        <ns0:v/>
      </ns0:c>
      <ns0:c r="I315">
        <ns0:f>IF($H315=0,0,IFERROR(IF(AND(ABS($C315-INDEX('AH History'!$B$1:$B$18046,$H315))&lt;=MAX(0.005,ABS(INDEX('AH History'!$B$1:$B$18046,$H315))*0.00005),ABS($D315-INDEX('AH History'!$C$1:$C$18046,$H315))&lt;=MAX(0.005,ABS(INDEX('AH History'!$C$1:$C$18046,$H315))*0.00005),ABS($E315-INDEX('AH History'!$D$1:$D$18046,$H315))&lt;=0.00005,$F315=INDEX('AH History'!$E$1:$E$18046,$H315),$G315=INDEX('AH History'!$F$1:$F$18046,$H315)),1,-1),-1))</ns0:f>
        <ns0:v/>
      </ns0:c>
    </ns0:row>
    <ns0:row r="316">
      <ns0:c r="A316" s="215">
        <ns0:f>IF(OR(AH!$P$3=0,311+1&gt;AH!$P$11,AND(AH!$E$4&lt;&gt;"Stored",AH!$P$10&lt;&gt;1)),"",IFERROR(IF(AND(AH!$P$21=1,311+1=AH!$P$11),TODAY(),IF(AH!$P$10=1,INDEX('Live History'!$A$5:$A$3004,AH!$P$13+311),INDEX('AH History'!$A$1:$A$18046,AH!$P$7+311))),""))</ns0:f>
        <ns0:v/>
      </ns0:c>
      <ns0:c r="B316" s="219">
        <ns0:f>IFERROR(IF(AND(AH!$P$9&lt;&gt;1,$C316&gt;0,$D316&gt;0,$E316&gt;0,$F316&gt;0,$G316&gt;0,$F316&lt;=$A316,$G316&lt;=$A316,$A316-$F316&lt;=10,$A316-$G316&lt;=5),$D316*$E316/$C316-1,NA()),NA())</ns0:f>
        <ns0:v/>
      </ns0:c>
      <ns0:c r="C316">
        <ns0:f>IFERROR(IF(ISNUMBER($A316),IF(AND(AH!$P$10=1,AH!$P$12=1,$A316=TODAY()),AH!$P$19,IF(AH!$P$10=1,INDEX('Live History'!$B$5:$B$3004,AH!$P$13+311),INDEX('AH History'!$B$1:$B$18046,AH!$P$7+311))),NA()),NA())</ns0:f>
        <ns0:v/>
      </ns0:c>
      <ns0:c r="D316">
        <ns0:f>IFERROR(IF(ISNUMBER($A316),IF(AND(AH!$P$10=1,AH!$P$12=1,$A316=TODAY()),AH!$P$18,IF(AH!$P$10=1,INDEX('Live History'!$E$5:$E$3004,MATCH($A316,'Live History'!$D$5:$D$3004,1)),INDEX('AH History'!$C$1:$C$18046,AH!$P$7+311))),NA()),NA())</ns0:f>
        <ns0:v/>
      </ns0:c>
      <ns0:c r="E316">
        <ns0:f>IFERROR(IF(ISNUMBER($A316),IF(AND(AH!$P$10=1,AH!$P$12=1,$A316=TODAY()),AH!$P$20,IF(AH!$P$10=1,INDEX('Live History'!$H$5:$H$3004,MATCH($A316,'Live History'!$G$5:$G$3004,1)),INDEX('AH History'!$D$1:$D$18046,AH!$P$7+311))),NA()),NA())</ns0:f>
        <ns0:v/>
      </ns0:c>
      <ns0:c r="F316">
        <ns0:f>IFERROR(IF(ISNUMBER($A316),IF(AND(AH!$P$10=1,AH!$P$12=1,$A316=TODAY()),IF(AND(AH!$P$10=1,AH!$P$12=1,$A316=TODAY()),TODAY(),NA()),IF(AH!$P$10=1,INDEX('Live History'!$D$5:$D$3004,MATCH($A316,'Live History'!$D$5:$D$3004,1)),INDEX('AH History'!$E$1:$E$18046,AH!$P$7+311))),NA()),NA())</ns0:f>
        <ns0:v/>
      </ns0:c>
      <ns0:c r="G316">
        <ns0:f>IFERROR(IF(ISNUMBER($A316),IF(AND(AH!$P$10=1,AH!$P$12=1,$A316=TODAY()),IF(AND(AH!$P$10=1,AH!$P$12=1,$A316=TODAY()),TODAY(),NA()),IF(AH!$P$10=1,INDEX('Live History'!$G$5:$G$3004,MATCH($A316,'Live History'!$G$5:$G$3004,1)),INDEX('AH History'!$F$1:$F$18046,AH!$P$7+311))),NA()),NA())</ns0:f>
        <ns0:v/>
      </ns0:c>
      <ns0:c r="H316">
        <ns0:f>IFERROR(IF(AND(AH!$E$4="Bloomberg",AH!$P$10=1,ISNUMBER($A316),$A316&lt;=AH!$P$17),AH!$P$7-1+MATCH($A316,INDEX('AH History'!$A$1:$A$18046,AH!$P$7):INDEX('AH History'!$A$1:$A$18046,AH!$P$7+AH!$P$8-1),0),0),0)</ns0:f>
        <ns0:v/>
      </ns0:c>
      <ns0:c r="I316">
        <ns0:f>IF($H316=0,0,IFERROR(IF(AND(ABS($C316-INDEX('AH History'!$B$1:$B$18046,$H316))&lt;=MAX(0.005,ABS(INDEX('AH History'!$B$1:$B$18046,$H316))*0.00005),ABS($D316-INDEX('AH History'!$C$1:$C$18046,$H316))&lt;=MAX(0.005,ABS(INDEX('AH History'!$C$1:$C$18046,$H316))*0.00005),ABS($E316-INDEX('AH History'!$D$1:$D$18046,$H316))&lt;=0.00005,$F316=INDEX('AH History'!$E$1:$E$18046,$H316),$G316=INDEX('AH History'!$F$1:$F$18046,$H316)),1,-1),-1))</ns0:f>
        <ns0:v/>
      </ns0:c>
    </ns0:row>
    <ns0:row r="317">
      <ns0:c r="A317" s="215">
        <ns0:f>IF(OR(AH!$P$3=0,312+1&gt;AH!$P$11,AND(AH!$E$4&lt;&gt;"Stored",AH!$P$10&lt;&gt;1)),"",IFERROR(IF(AND(AH!$P$21=1,312+1=AH!$P$11),TODAY(),IF(AH!$P$10=1,INDEX('Live History'!$A$5:$A$3004,AH!$P$13+312),INDEX('AH History'!$A$1:$A$18046,AH!$P$7+312))),""))</ns0:f>
        <ns0:v/>
      </ns0:c>
      <ns0:c r="B317" s="219">
        <ns0:f>IFERROR(IF(AND(AH!$P$9&lt;&gt;1,$C317&gt;0,$D317&gt;0,$E317&gt;0,$F317&gt;0,$G317&gt;0,$F317&lt;=$A317,$G317&lt;=$A317,$A317-$F317&lt;=10,$A317-$G317&lt;=5),$D317*$E317/$C317-1,NA()),NA())</ns0:f>
        <ns0:v/>
      </ns0:c>
      <ns0:c r="C317">
        <ns0:f>IFERROR(IF(ISNUMBER($A317),IF(AND(AH!$P$10=1,AH!$P$12=1,$A317=TODAY()),AH!$P$19,IF(AH!$P$10=1,INDEX('Live History'!$B$5:$B$3004,AH!$P$13+312),INDEX('AH History'!$B$1:$B$18046,AH!$P$7+312))),NA()),NA())</ns0:f>
        <ns0:v/>
      </ns0:c>
      <ns0:c r="D317">
        <ns0:f>IFERROR(IF(ISNUMBER($A317),IF(AND(AH!$P$10=1,AH!$P$12=1,$A317=TODAY()),AH!$P$18,IF(AH!$P$10=1,INDEX('Live History'!$E$5:$E$3004,MATCH($A317,'Live History'!$D$5:$D$3004,1)),INDEX('AH History'!$C$1:$C$18046,AH!$P$7+312))),NA()),NA())</ns0:f>
        <ns0:v/>
      </ns0:c>
      <ns0:c r="E317">
        <ns0:f>IFERROR(IF(ISNUMBER($A317),IF(AND(AH!$P$10=1,AH!$P$12=1,$A317=TODAY()),AH!$P$20,IF(AH!$P$10=1,INDEX('Live History'!$H$5:$H$3004,MATCH($A317,'Live History'!$G$5:$G$3004,1)),INDEX('AH History'!$D$1:$D$18046,AH!$P$7+312))),NA()),NA())</ns0:f>
        <ns0:v/>
      </ns0:c>
      <ns0:c r="F317">
        <ns0:f>IFERROR(IF(ISNUMBER($A317),IF(AND(AH!$P$10=1,AH!$P$12=1,$A317=TODAY()),IF(AND(AH!$P$10=1,AH!$P$12=1,$A317=TODAY()),TODAY(),NA()),IF(AH!$P$10=1,INDEX('Live History'!$D$5:$D$3004,MATCH($A317,'Live History'!$D$5:$D$3004,1)),INDEX('AH History'!$E$1:$E$18046,AH!$P$7+312))),NA()),NA())</ns0:f>
        <ns0:v/>
      </ns0:c>
      <ns0:c r="G317">
        <ns0:f>IFERROR(IF(ISNUMBER($A317),IF(AND(AH!$P$10=1,AH!$P$12=1,$A317=TODAY()),IF(AND(AH!$P$10=1,AH!$P$12=1,$A317=TODAY()),TODAY(),NA()),IF(AH!$P$10=1,INDEX('Live History'!$G$5:$G$3004,MATCH($A317,'Live History'!$G$5:$G$3004,1)),INDEX('AH History'!$F$1:$F$18046,AH!$P$7+312))),NA()),NA())</ns0:f>
        <ns0:v/>
      </ns0:c>
      <ns0:c r="H317">
        <ns0:f>IFERROR(IF(AND(AH!$E$4="Bloomberg",AH!$P$10=1,ISNUMBER($A317),$A317&lt;=AH!$P$17),AH!$P$7-1+MATCH($A317,INDEX('AH History'!$A$1:$A$18046,AH!$P$7):INDEX('AH History'!$A$1:$A$18046,AH!$P$7+AH!$P$8-1),0),0),0)</ns0:f>
        <ns0:v/>
      </ns0:c>
      <ns0:c r="I317">
        <ns0:f>IF($H317=0,0,IFERROR(IF(AND(ABS($C317-INDEX('AH History'!$B$1:$B$18046,$H317))&lt;=MAX(0.005,ABS(INDEX('AH History'!$B$1:$B$18046,$H317))*0.00005),ABS($D317-INDEX('AH History'!$C$1:$C$18046,$H317))&lt;=MAX(0.005,ABS(INDEX('AH History'!$C$1:$C$18046,$H317))*0.00005),ABS($E317-INDEX('AH History'!$D$1:$D$18046,$H317))&lt;=0.00005,$F317=INDEX('AH History'!$E$1:$E$18046,$H317),$G317=INDEX('AH History'!$F$1:$F$18046,$H317)),1,-1),-1))</ns0:f>
        <ns0:v/>
      </ns0:c>
    </ns0:row>
    <ns0:row r="318">
      <ns0:c r="A318" s="215">
        <ns0:f>IF(OR(AH!$P$3=0,313+1&gt;AH!$P$11,AND(AH!$E$4&lt;&gt;"Stored",AH!$P$10&lt;&gt;1)),"",IFERROR(IF(AND(AH!$P$21=1,313+1=AH!$P$11),TODAY(),IF(AH!$P$10=1,INDEX('Live History'!$A$5:$A$3004,AH!$P$13+313),INDEX('AH History'!$A$1:$A$18046,AH!$P$7+313))),""))</ns0:f>
        <ns0:v/>
      </ns0:c>
      <ns0:c r="B318" s="219">
        <ns0:f>IFERROR(IF(AND(AH!$P$9&lt;&gt;1,$C318&gt;0,$D318&gt;0,$E318&gt;0,$F318&gt;0,$G318&gt;0,$F318&lt;=$A318,$G318&lt;=$A318,$A318-$F318&lt;=10,$A318-$G318&lt;=5),$D318*$E318/$C318-1,NA()),NA())</ns0:f>
        <ns0:v/>
      </ns0:c>
      <ns0:c r="C318">
        <ns0:f>IFERROR(IF(ISNUMBER($A318),IF(AND(AH!$P$10=1,AH!$P$12=1,$A318=TODAY()),AH!$P$19,IF(AH!$P$10=1,INDEX('Live History'!$B$5:$B$3004,AH!$P$13+313),INDEX('AH History'!$B$1:$B$18046,AH!$P$7+313))),NA()),NA())</ns0:f>
        <ns0:v/>
      </ns0:c>
      <ns0:c r="D318">
        <ns0:f>IFERROR(IF(ISNUMBER($A318),IF(AND(AH!$P$10=1,AH!$P$12=1,$A318=TODAY()),AH!$P$18,IF(AH!$P$10=1,INDEX('Live History'!$E$5:$E$3004,MATCH($A318,'Live History'!$D$5:$D$3004,1)),INDEX('AH History'!$C$1:$C$18046,AH!$P$7+313))),NA()),NA())</ns0:f>
        <ns0:v/>
      </ns0:c>
      <ns0:c r="E318">
        <ns0:f>IFERROR(IF(ISNUMBER($A318),IF(AND(AH!$P$10=1,AH!$P$12=1,$A318=TODAY()),AH!$P$20,IF(AH!$P$10=1,INDEX('Live History'!$H$5:$H$3004,MATCH($A318,'Live History'!$G$5:$G$3004,1)),INDEX('AH History'!$D$1:$D$18046,AH!$P$7+313))),NA()),NA())</ns0:f>
        <ns0:v/>
      </ns0:c>
      <ns0:c r="F318">
        <ns0:f>IFERROR(IF(ISNUMBER($A318),IF(AND(AH!$P$10=1,AH!$P$12=1,$A318=TODAY()),IF(AND(AH!$P$10=1,AH!$P$12=1,$A318=TODAY()),TODAY(),NA()),IF(AH!$P$10=1,INDEX('Live History'!$D$5:$D$3004,MATCH($A318,'Live History'!$D$5:$D$3004,1)),INDEX('AH History'!$E$1:$E$18046,AH!$P$7+313))),NA()),NA())</ns0:f>
        <ns0:v/>
      </ns0:c>
      <ns0:c r="G318">
        <ns0:f>IFERROR(IF(ISNUMBER($A318),IF(AND(AH!$P$10=1,AH!$P$12=1,$A318=TODAY()),IF(AND(AH!$P$10=1,AH!$P$12=1,$A318=TODAY()),TODAY(),NA()),IF(AH!$P$10=1,INDEX('Live History'!$G$5:$G$3004,MATCH($A318,'Live History'!$G$5:$G$3004,1)),INDEX('AH History'!$F$1:$F$18046,AH!$P$7+313))),NA()),NA())</ns0:f>
        <ns0:v/>
      </ns0:c>
      <ns0:c r="H318">
        <ns0:f>IFERROR(IF(AND(AH!$E$4="Bloomberg",AH!$P$10=1,ISNUMBER($A318),$A318&lt;=AH!$P$17),AH!$P$7-1+MATCH($A318,INDEX('AH History'!$A$1:$A$18046,AH!$P$7):INDEX('AH History'!$A$1:$A$18046,AH!$P$7+AH!$P$8-1),0),0),0)</ns0:f>
        <ns0:v/>
      </ns0:c>
      <ns0:c r="I318">
        <ns0:f>IF($H318=0,0,IFERROR(IF(AND(ABS($C318-INDEX('AH History'!$B$1:$B$18046,$H318))&lt;=MAX(0.005,ABS(INDEX('AH History'!$B$1:$B$18046,$H318))*0.00005),ABS($D318-INDEX('AH History'!$C$1:$C$18046,$H318))&lt;=MAX(0.005,ABS(INDEX('AH History'!$C$1:$C$18046,$H318))*0.00005),ABS($E318-INDEX('AH History'!$D$1:$D$18046,$H318))&lt;=0.00005,$F318=INDEX('AH History'!$E$1:$E$18046,$H318),$G318=INDEX('AH History'!$F$1:$F$18046,$H318)),1,-1),-1))</ns0:f>
        <ns0:v/>
      </ns0:c>
    </ns0:row>
    <ns0:row r="319">
      <ns0:c r="A319" s="215">
        <ns0:f>IF(OR(AH!$P$3=0,314+1&gt;AH!$P$11,AND(AH!$E$4&lt;&gt;"Stored",AH!$P$10&lt;&gt;1)),"",IFERROR(IF(AND(AH!$P$21=1,314+1=AH!$P$11),TODAY(),IF(AH!$P$10=1,INDEX('Live History'!$A$5:$A$3004,AH!$P$13+314),INDEX('AH History'!$A$1:$A$18046,AH!$P$7+314))),""))</ns0:f>
        <ns0:v/>
      </ns0:c>
      <ns0:c r="B319" s="219">
        <ns0:f>IFERROR(IF(AND(AH!$P$9&lt;&gt;1,$C319&gt;0,$D319&gt;0,$E319&gt;0,$F319&gt;0,$G319&gt;0,$F319&lt;=$A319,$G319&lt;=$A319,$A319-$F319&lt;=10,$A319-$G319&lt;=5),$D319*$E319/$C319-1,NA()),NA())</ns0:f>
        <ns0:v/>
      </ns0:c>
      <ns0:c r="C319">
        <ns0:f>IFERROR(IF(ISNUMBER($A319),IF(AND(AH!$P$10=1,AH!$P$12=1,$A319=TODAY()),AH!$P$19,IF(AH!$P$10=1,INDEX('Live History'!$B$5:$B$3004,AH!$P$13+314),INDEX('AH History'!$B$1:$B$18046,AH!$P$7+314))),NA()),NA())</ns0:f>
        <ns0:v/>
      </ns0:c>
      <ns0:c r="D319">
        <ns0:f>IFERROR(IF(ISNUMBER($A319),IF(AND(AH!$P$10=1,AH!$P$12=1,$A319=TODAY()),AH!$P$18,IF(AH!$P$10=1,INDEX('Live History'!$E$5:$E$3004,MATCH($A319,'Live History'!$D$5:$D$3004,1)),INDEX('AH History'!$C$1:$C$18046,AH!$P$7+314))),NA()),NA())</ns0:f>
        <ns0:v/>
      </ns0:c>
      <ns0:c r="E319">
        <ns0:f>IFERROR(IF(ISNUMBER($A319),IF(AND(AH!$P$10=1,AH!$P$12=1,$A319=TODAY()),AH!$P$20,IF(AH!$P$10=1,INDEX('Live History'!$H$5:$H$3004,MATCH($A319,'Live History'!$G$5:$G$3004,1)),INDEX('AH History'!$D$1:$D$18046,AH!$P$7+314))),NA()),NA())</ns0:f>
        <ns0:v/>
      </ns0:c>
      <ns0:c r="F319">
        <ns0:f>IFERROR(IF(ISNUMBER($A319),IF(AND(AH!$P$10=1,AH!$P$12=1,$A319=TODAY()),IF(AND(AH!$P$10=1,AH!$P$12=1,$A319=TODAY()),TODAY(),NA()),IF(AH!$P$10=1,INDEX('Live History'!$D$5:$D$3004,MATCH($A319,'Live History'!$D$5:$D$3004,1)),INDEX('AH History'!$E$1:$E$18046,AH!$P$7+314))),NA()),NA())</ns0:f>
        <ns0:v/>
      </ns0:c>
      <ns0:c r="G319">
        <ns0:f>IFERROR(IF(ISNUMBER($A319),IF(AND(AH!$P$10=1,AH!$P$12=1,$A319=TODAY()),IF(AND(AH!$P$10=1,AH!$P$12=1,$A319=TODAY()),TODAY(),NA()),IF(AH!$P$10=1,INDEX('Live History'!$G$5:$G$3004,MATCH($A319,'Live History'!$G$5:$G$3004,1)),INDEX('AH History'!$F$1:$F$18046,AH!$P$7+314))),NA()),NA())</ns0:f>
        <ns0:v/>
      </ns0:c>
      <ns0:c r="H319">
        <ns0:f>IFERROR(IF(AND(AH!$E$4="Bloomberg",AH!$P$10=1,ISNUMBER($A319),$A319&lt;=AH!$P$17),AH!$P$7-1+MATCH($A319,INDEX('AH History'!$A$1:$A$18046,AH!$P$7):INDEX('AH History'!$A$1:$A$18046,AH!$P$7+AH!$P$8-1),0),0),0)</ns0:f>
        <ns0:v/>
      </ns0:c>
      <ns0:c r="I319">
        <ns0:f>IF($H319=0,0,IFERROR(IF(AND(ABS($C319-INDEX('AH History'!$B$1:$B$18046,$H319))&lt;=MAX(0.005,ABS(INDEX('AH History'!$B$1:$B$18046,$H319))*0.00005),ABS($D319-INDEX('AH History'!$C$1:$C$18046,$H319))&lt;=MAX(0.005,ABS(INDEX('AH History'!$C$1:$C$18046,$H319))*0.00005),ABS($E319-INDEX('AH History'!$D$1:$D$18046,$H319))&lt;=0.00005,$F319=INDEX('AH History'!$E$1:$E$18046,$H319),$G319=INDEX('AH History'!$F$1:$F$18046,$H319)),1,-1),-1))</ns0:f>
        <ns0:v/>
      </ns0:c>
    </ns0:row>
    <ns0:row r="320">
      <ns0:c r="A320" s="215">
        <ns0:f>IF(OR(AH!$P$3=0,315+1&gt;AH!$P$11,AND(AH!$E$4&lt;&gt;"Stored",AH!$P$10&lt;&gt;1)),"",IFERROR(IF(AND(AH!$P$21=1,315+1=AH!$P$11),TODAY(),IF(AH!$P$10=1,INDEX('Live History'!$A$5:$A$3004,AH!$P$13+315),INDEX('AH History'!$A$1:$A$18046,AH!$P$7+315))),""))</ns0:f>
        <ns0:v/>
      </ns0:c>
      <ns0:c r="B320" s="219">
        <ns0:f>IFERROR(IF(AND(AH!$P$9&lt;&gt;1,$C320&gt;0,$D320&gt;0,$E320&gt;0,$F320&gt;0,$G320&gt;0,$F320&lt;=$A320,$G320&lt;=$A320,$A320-$F320&lt;=10,$A320-$G320&lt;=5),$D320*$E320/$C320-1,NA()),NA())</ns0:f>
        <ns0:v/>
      </ns0:c>
      <ns0:c r="C320">
        <ns0:f>IFERROR(IF(ISNUMBER($A320),IF(AND(AH!$P$10=1,AH!$P$12=1,$A320=TODAY()),AH!$P$19,IF(AH!$P$10=1,INDEX('Live History'!$B$5:$B$3004,AH!$P$13+315),INDEX('AH History'!$B$1:$B$18046,AH!$P$7+315))),NA()),NA())</ns0:f>
        <ns0:v/>
      </ns0:c>
      <ns0:c r="D320">
        <ns0:f>IFERROR(IF(ISNUMBER($A320),IF(AND(AH!$P$10=1,AH!$P$12=1,$A320=TODAY()),AH!$P$18,IF(AH!$P$10=1,INDEX('Live History'!$E$5:$E$3004,MATCH($A320,'Live History'!$D$5:$D$3004,1)),INDEX('AH History'!$C$1:$C$18046,AH!$P$7+315))),NA()),NA())</ns0:f>
        <ns0:v/>
      </ns0:c>
      <ns0:c r="E320">
        <ns0:f>IFERROR(IF(ISNUMBER($A320),IF(AND(AH!$P$10=1,AH!$P$12=1,$A320=TODAY()),AH!$P$20,IF(AH!$P$10=1,INDEX('Live History'!$H$5:$H$3004,MATCH($A320,'Live History'!$G$5:$G$3004,1)),INDEX('AH History'!$D$1:$D$18046,AH!$P$7+315))),NA()),NA())</ns0:f>
        <ns0:v/>
      </ns0:c>
      <ns0:c r="F320">
        <ns0:f>IFERROR(IF(ISNUMBER($A320),IF(AND(AH!$P$10=1,AH!$P$12=1,$A320=TODAY()),IF(AND(AH!$P$10=1,AH!$P$12=1,$A320=TODAY()),TODAY(),NA()),IF(AH!$P$10=1,INDEX('Live History'!$D$5:$D$3004,MATCH($A320,'Live History'!$D$5:$D$3004,1)),INDEX('AH History'!$E$1:$E$18046,AH!$P$7+315))),NA()),NA())</ns0:f>
        <ns0:v/>
      </ns0:c>
      <ns0:c r="G320">
        <ns0:f>IFERROR(IF(ISNUMBER($A320),IF(AND(AH!$P$10=1,AH!$P$12=1,$A320=TODAY()),IF(AND(AH!$P$10=1,AH!$P$12=1,$A320=TODAY()),TODAY(),NA()),IF(AH!$P$10=1,INDEX('Live History'!$G$5:$G$3004,MATCH($A320,'Live History'!$G$5:$G$3004,1)),INDEX('AH History'!$F$1:$F$18046,AH!$P$7+315))),NA()),NA())</ns0:f>
        <ns0:v/>
      </ns0:c>
      <ns0:c r="H320">
        <ns0:f>IFERROR(IF(AND(AH!$E$4="Bloomberg",AH!$P$10=1,ISNUMBER($A320),$A320&lt;=AH!$P$17),AH!$P$7-1+MATCH($A320,INDEX('AH History'!$A$1:$A$18046,AH!$P$7):INDEX('AH History'!$A$1:$A$18046,AH!$P$7+AH!$P$8-1),0),0),0)</ns0:f>
        <ns0:v/>
      </ns0:c>
      <ns0:c r="I320">
        <ns0:f>IF($H320=0,0,IFERROR(IF(AND(ABS($C320-INDEX('AH History'!$B$1:$B$18046,$H320))&lt;=MAX(0.005,ABS(INDEX('AH History'!$B$1:$B$18046,$H320))*0.00005),ABS($D320-INDEX('AH History'!$C$1:$C$18046,$H320))&lt;=MAX(0.005,ABS(INDEX('AH History'!$C$1:$C$18046,$H320))*0.00005),ABS($E320-INDEX('AH History'!$D$1:$D$18046,$H320))&lt;=0.00005,$F320=INDEX('AH History'!$E$1:$E$18046,$H320),$G320=INDEX('AH History'!$F$1:$F$18046,$H320)),1,-1),-1))</ns0:f>
        <ns0:v/>
      </ns0:c>
    </ns0:row>
    <ns0:row r="321">
      <ns0:c r="A321" s="215">
        <ns0:f>IF(OR(AH!$P$3=0,316+1&gt;AH!$P$11,AND(AH!$E$4&lt;&gt;"Stored",AH!$P$10&lt;&gt;1)),"",IFERROR(IF(AND(AH!$P$21=1,316+1=AH!$P$11),TODAY(),IF(AH!$P$10=1,INDEX('Live History'!$A$5:$A$3004,AH!$P$13+316),INDEX('AH History'!$A$1:$A$18046,AH!$P$7+316))),""))</ns0:f>
        <ns0:v/>
      </ns0:c>
      <ns0:c r="B321" s="219">
        <ns0:f>IFERROR(IF(AND(AH!$P$9&lt;&gt;1,$C321&gt;0,$D321&gt;0,$E321&gt;0,$F321&gt;0,$G321&gt;0,$F321&lt;=$A321,$G321&lt;=$A321,$A321-$F321&lt;=10,$A321-$G321&lt;=5),$D321*$E321/$C321-1,NA()),NA())</ns0:f>
        <ns0:v/>
      </ns0:c>
      <ns0:c r="C321">
        <ns0:f>IFERROR(IF(ISNUMBER($A321),IF(AND(AH!$P$10=1,AH!$P$12=1,$A321=TODAY()),AH!$P$19,IF(AH!$P$10=1,INDEX('Live History'!$B$5:$B$3004,AH!$P$13+316),INDEX('AH History'!$B$1:$B$18046,AH!$P$7+316))),NA()),NA())</ns0:f>
        <ns0:v/>
      </ns0:c>
      <ns0:c r="D321">
        <ns0:f>IFERROR(IF(ISNUMBER($A321),IF(AND(AH!$P$10=1,AH!$P$12=1,$A321=TODAY()),AH!$P$18,IF(AH!$P$10=1,INDEX('Live History'!$E$5:$E$3004,MATCH($A321,'Live History'!$D$5:$D$3004,1)),INDEX('AH History'!$C$1:$C$18046,AH!$P$7+316))),NA()),NA())</ns0:f>
        <ns0:v/>
      </ns0:c>
      <ns0:c r="E321">
        <ns0:f>IFERROR(IF(ISNUMBER($A321),IF(AND(AH!$P$10=1,AH!$P$12=1,$A321=TODAY()),AH!$P$20,IF(AH!$P$10=1,INDEX('Live History'!$H$5:$H$3004,MATCH($A321,'Live History'!$G$5:$G$3004,1)),INDEX('AH History'!$D$1:$D$18046,AH!$P$7+316))),NA()),NA())</ns0:f>
        <ns0:v/>
      </ns0:c>
      <ns0:c r="F321">
        <ns0:f>IFERROR(IF(ISNUMBER($A321),IF(AND(AH!$P$10=1,AH!$P$12=1,$A321=TODAY()),IF(AND(AH!$P$10=1,AH!$P$12=1,$A321=TODAY()),TODAY(),NA()),IF(AH!$P$10=1,INDEX('Live History'!$D$5:$D$3004,MATCH($A321,'Live History'!$D$5:$D$3004,1)),INDEX('AH History'!$E$1:$E$18046,AH!$P$7+316))),NA()),NA())</ns0:f>
        <ns0:v/>
      </ns0:c>
      <ns0:c r="G321">
        <ns0:f>IFERROR(IF(ISNUMBER($A321),IF(AND(AH!$P$10=1,AH!$P$12=1,$A321=TODAY()),IF(AND(AH!$P$10=1,AH!$P$12=1,$A321=TODAY()),TODAY(),NA()),IF(AH!$P$10=1,INDEX('Live History'!$G$5:$G$3004,MATCH($A321,'Live History'!$G$5:$G$3004,1)),INDEX('AH History'!$F$1:$F$18046,AH!$P$7+316))),NA()),NA())</ns0:f>
        <ns0:v/>
      </ns0:c>
      <ns0:c r="H321">
        <ns0:f>IFERROR(IF(AND(AH!$E$4="Bloomberg",AH!$P$10=1,ISNUMBER($A321),$A321&lt;=AH!$P$17),AH!$P$7-1+MATCH($A321,INDEX('AH History'!$A$1:$A$18046,AH!$P$7):INDEX('AH History'!$A$1:$A$18046,AH!$P$7+AH!$P$8-1),0),0),0)</ns0:f>
        <ns0:v/>
      </ns0:c>
      <ns0:c r="I321">
        <ns0:f>IF($H321=0,0,IFERROR(IF(AND(ABS($C321-INDEX('AH History'!$B$1:$B$18046,$H321))&lt;=MAX(0.005,ABS(INDEX('AH History'!$B$1:$B$18046,$H321))*0.00005),ABS($D321-INDEX('AH History'!$C$1:$C$18046,$H321))&lt;=MAX(0.005,ABS(INDEX('AH History'!$C$1:$C$18046,$H321))*0.00005),ABS($E321-INDEX('AH History'!$D$1:$D$18046,$H321))&lt;=0.00005,$F321=INDEX('AH History'!$E$1:$E$18046,$H321),$G321=INDEX('AH History'!$F$1:$F$18046,$H321)),1,-1),-1))</ns0:f>
        <ns0:v/>
      </ns0:c>
    </ns0:row>
    <ns0:row r="322">
      <ns0:c r="A322" s="215">
        <ns0:f>IF(OR(AH!$P$3=0,317+1&gt;AH!$P$11,AND(AH!$E$4&lt;&gt;"Stored",AH!$P$10&lt;&gt;1)),"",IFERROR(IF(AND(AH!$P$21=1,317+1=AH!$P$11),TODAY(),IF(AH!$P$10=1,INDEX('Live History'!$A$5:$A$3004,AH!$P$13+317),INDEX('AH History'!$A$1:$A$18046,AH!$P$7+317))),""))</ns0:f>
        <ns0:v/>
      </ns0:c>
      <ns0:c r="B322" s="219">
        <ns0:f>IFERROR(IF(AND(AH!$P$9&lt;&gt;1,$C322&gt;0,$D322&gt;0,$E322&gt;0,$F322&gt;0,$G322&gt;0,$F322&lt;=$A322,$G322&lt;=$A322,$A322-$F322&lt;=10,$A322-$G322&lt;=5),$D322*$E322/$C322-1,NA()),NA())</ns0:f>
        <ns0:v/>
      </ns0:c>
      <ns0:c r="C322">
        <ns0:f>IFERROR(IF(ISNUMBER($A322),IF(AND(AH!$P$10=1,AH!$P$12=1,$A322=TODAY()),AH!$P$19,IF(AH!$P$10=1,INDEX('Live History'!$B$5:$B$3004,AH!$P$13+317),INDEX('AH History'!$B$1:$B$18046,AH!$P$7+317))),NA()),NA())</ns0:f>
        <ns0:v/>
      </ns0:c>
      <ns0:c r="D322">
        <ns0:f>IFERROR(IF(ISNUMBER($A322),IF(AND(AH!$P$10=1,AH!$P$12=1,$A322=TODAY()),AH!$P$18,IF(AH!$P$10=1,INDEX('Live History'!$E$5:$E$3004,MATCH($A322,'Live History'!$D$5:$D$3004,1)),INDEX('AH History'!$C$1:$C$18046,AH!$P$7+317))),NA()),NA())</ns0:f>
        <ns0:v/>
      </ns0:c>
      <ns0:c r="E322">
        <ns0:f>IFERROR(IF(ISNUMBER($A322),IF(AND(AH!$P$10=1,AH!$P$12=1,$A322=TODAY()),AH!$P$20,IF(AH!$P$10=1,INDEX('Live History'!$H$5:$H$3004,MATCH($A322,'Live History'!$G$5:$G$3004,1)),INDEX('AH History'!$D$1:$D$18046,AH!$P$7+317))),NA()),NA())</ns0:f>
        <ns0:v/>
      </ns0:c>
      <ns0:c r="F322">
        <ns0:f>IFERROR(IF(ISNUMBER($A322),IF(AND(AH!$P$10=1,AH!$P$12=1,$A322=TODAY()),IF(AND(AH!$P$10=1,AH!$P$12=1,$A322=TODAY()),TODAY(),NA()),IF(AH!$P$10=1,INDEX('Live History'!$D$5:$D$3004,MATCH($A322,'Live History'!$D$5:$D$3004,1)),INDEX('AH History'!$E$1:$E$18046,AH!$P$7+317))),NA()),NA())</ns0:f>
        <ns0:v/>
      </ns0:c>
      <ns0:c r="G322">
        <ns0:f>IFERROR(IF(ISNUMBER($A322),IF(AND(AH!$P$10=1,AH!$P$12=1,$A322=TODAY()),IF(AND(AH!$P$10=1,AH!$P$12=1,$A322=TODAY()),TODAY(),NA()),IF(AH!$P$10=1,INDEX('Live History'!$G$5:$G$3004,MATCH($A322,'Live History'!$G$5:$G$3004,1)),INDEX('AH History'!$F$1:$F$18046,AH!$P$7+317))),NA()),NA())</ns0:f>
        <ns0:v/>
      </ns0:c>
      <ns0:c r="H322">
        <ns0:f>IFERROR(IF(AND(AH!$E$4="Bloomberg",AH!$P$10=1,ISNUMBER($A322),$A322&lt;=AH!$P$17),AH!$P$7-1+MATCH($A322,INDEX('AH History'!$A$1:$A$18046,AH!$P$7):INDEX('AH History'!$A$1:$A$18046,AH!$P$7+AH!$P$8-1),0),0),0)</ns0:f>
        <ns0:v/>
      </ns0:c>
      <ns0:c r="I322">
        <ns0:f>IF($H322=0,0,IFERROR(IF(AND(ABS($C322-INDEX('AH History'!$B$1:$B$18046,$H322))&lt;=MAX(0.005,ABS(INDEX('AH History'!$B$1:$B$18046,$H322))*0.00005),ABS($D322-INDEX('AH History'!$C$1:$C$18046,$H322))&lt;=MAX(0.005,ABS(INDEX('AH History'!$C$1:$C$18046,$H322))*0.00005),ABS($E322-INDEX('AH History'!$D$1:$D$18046,$H322))&lt;=0.00005,$F322=INDEX('AH History'!$E$1:$E$18046,$H322),$G322=INDEX('AH History'!$F$1:$F$18046,$H322)),1,-1),-1))</ns0:f>
        <ns0:v/>
      </ns0:c>
    </ns0:row>
    <ns0:row r="323">
      <ns0:c r="A323" s="215">
        <ns0:f>IF(OR(AH!$P$3=0,318+1&gt;AH!$P$11,AND(AH!$E$4&lt;&gt;"Stored",AH!$P$10&lt;&gt;1)),"",IFERROR(IF(AND(AH!$P$21=1,318+1=AH!$P$11),TODAY(),IF(AH!$P$10=1,INDEX('Live History'!$A$5:$A$3004,AH!$P$13+318),INDEX('AH History'!$A$1:$A$18046,AH!$P$7+318))),""))</ns0:f>
        <ns0:v/>
      </ns0:c>
      <ns0:c r="B323" s="219">
        <ns0:f>IFERROR(IF(AND(AH!$P$9&lt;&gt;1,$C323&gt;0,$D323&gt;0,$E323&gt;0,$F323&gt;0,$G323&gt;0,$F323&lt;=$A323,$G323&lt;=$A323,$A323-$F323&lt;=10,$A323-$G323&lt;=5),$D323*$E323/$C323-1,NA()),NA())</ns0:f>
        <ns0:v/>
      </ns0:c>
      <ns0:c r="C323">
        <ns0:f>IFERROR(IF(ISNUMBER($A323),IF(AND(AH!$P$10=1,AH!$P$12=1,$A323=TODAY()),AH!$P$19,IF(AH!$P$10=1,INDEX('Live History'!$B$5:$B$3004,AH!$P$13+318),INDEX('AH History'!$B$1:$B$18046,AH!$P$7+318))),NA()),NA())</ns0:f>
        <ns0:v/>
      </ns0:c>
      <ns0:c r="D323">
        <ns0:f>IFERROR(IF(ISNUMBER($A323),IF(AND(AH!$P$10=1,AH!$P$12=1,$A323=TODAY()),AH!$P$18,IF(AH!$P$10=1,INDEX('Live History'!$E$5:$E$3004,MATCH($A323,'Live History'!$D$5:$D$3004,1)),INDEX('AH History'!$C$1:$C$18046,AH!$P$7+318))),NA()),NA())</ns0:f>
        <ns0:v/>
      </ns0:c>
      <ns0:c r="E323">
        <ns0:f>IFERROR(IF(ISNUMBER($A323),IF(AND(AH!$P$10=1,AH!$P$12=1,$A323=TODAY()),AH!$P$20,IF(AH!$P$10=1,INDEX('Live History'!$H$5:$H$3004,MATCH($A323,'Live History'!$G$5:$G$3004,1)),INDEX('AH History'!$D$1:$D$18046,AH!$P$7+318))),NA()),NA())</ns0:f>
        <ns0:v/>
      </ns0:c>
      <ns0:c r="F323">
        <ns0:f>IFERROR(IF(ISNUMBER($A323),IF(AND(AH!$P$10=1,AH!$P$12=1,$A323=TODAY()),IF(AND(AH!$P$10=1,AH!$P$12=1,$A323=TODAY()),TODAY(),NA()),IF(AH!$P$10=1,INDEX('Live History'!$D$5:$D$3004,MATCH($A323,'Live History'!$D$5:$D$3004,1)),INDEX('AH History'!$E$1:$E$18046,AH!$P$7+318))),NA()),NA())</ns0:f>
        <ns0:v/>
      </ns0:c>
      <ns0:c r="G323">
        <ns0:f>IFERROR(IF(ISNUMBER($A323),IF(AND(AH!$P$10=1,AH!$P$12=1,$A323=TODAY()),IF(AND(AH!$P$10=1,AH!$P$12=1,$A323=TODAY()),TODAY(),NA()),IF(AH!$P$10=1,INDEX('Live History'!$G$5:$G$3004,MATCH($A323,'Live History'!$G$5:$G$3004,1)),INDEX('AH History'!$F$1:$F$18046,AH!$P$7+318))),NA()),NA())</ns0:f>
        <ns0:v/>
      </ns0:c>
      <ns0:c r="H323">
        <ns0:f>IFERROR(IF(AND(AH!$E$4="Bloomberg",AH!$P$10=1,ISNUMBER($A323),$A323&lt;=AH!$P$17),AH!$P$7-1+MATCH($A323,INDEX('AH History'!$A$1:$A$18046,AH!$P$7):INDEX('AH History'!$A$1:$A$18046,AH!$P$7+AH!$P$8-1),0),0),0)</ns0:f>
        <ns0:v/>
      </ns0:c>
      <ns0:c r="I323">
        <ns0:f>IF($H323=0,0,IFERROR(IF(AND(ABS($C323-INDEX('AH History'!$B$1:$B$18046,$H323))&lt;=MAX(0.005,ABS(INDEX('AH History'!$B$1:$B$18046,$H323))*0.00005),ABS($D323-INDEX('AH History'!$C$1:$C$18046,$H323))&lt;=MAX(0.005,ABS(INDEX('AH History'!$C$1:$C$18046,$H323))*0.00005),ABS($E323-INDEX('AH History'!$D$1:$D$18046,$H323))&lt;=0.00005,$F323=INDEX('AH History'!$E$1:$E$18046,$H323),$G323=INDEX('AH History'!$F$1:$F$18046,$H323)),1,-1),-1))</ns0:f>
        <ns0:v/>
      </ns0:c>
    </ns0:row>
    <ns0:row r="324">
      <ns0:c r="A324" s="215">
        <ns0:f>IF(OR(AH!$P$3=0,319+1&gt;AH!$P$11,AND(AH!$E$4&lt;&gt;"Stored",AH!$P$10&lt;&gt;1)),"",IFERROR(IF(AND(AH!$P$21=1,319+1=AH!$P$11),TODAY(),IF(AH!$P$10=1,INDEX('Live History'!$A$5:$A$3004,AH!$P$13+319),INDEX('AH History'!$A$1:$A$18046,AH!$P$7+319))),""))</ns0:f>
        <ns0:v/>
      </ns0:c>
      <ns0:c r="B324" s="219">
        <ns0:f>IFERROR(IF(AND(AH!$P$9&lt;&gt;1,$C324&gt;0,$D324&gt;0,$E324&gt;0,$F324&gt;0,$G324&gt;0,$F324&lt;=$A324,$G324&lt;=$A324,$A324-$F324&lt;=10,$A324-$G324&lt;=5),$D324*$E324/$C324-1,NA()),NA())</ns0:f>
        <ns0:v/>
      </ns0:c>
      <ns0:c r="C324">
        <ns0:f>IFERROR(IF(ISNUMBER($A324),IF(AND(AH!$P$10=1,AH!$P$12=1,$A324=TODAY()),AH!$P$19,IF(AH!$P$10=1,INDEX('Live History'!$B$5:$B$3004,AH!$P$13+319),INDEX('AH History'!$B$1:$B$18046,AH!$P$7+319))),NA()),NA())</ns0:f>
        <ns0:v/>
      </ns0:c>
      <ns0:c r="D324">
        <ns0:f>IFERROR(IF(ISNUMBER($A324),IF(AND(AH!$P$10=1,AH!$P$12=1,$A324=TODAY()),AH!$P$18,IF(AH!$P$10=1,INDEX('Live History'!$E$5:$E$3004,MATCH($A324,'Live History'!$D$5:$D$3004,1)),INDEX('AH History'!$C$1:$C$18046,AH!$P$7+319))),NA()),NA())</ns0:f>
        <ns0:v/>
      </ns0:c>
      <ns0:c r="E324">
        <ns0:f>IFERROR(IF(ISNUMBER($A324),IF(AND(AH!$P$10=1,AH!$P$12=1,$A324=TODAY()),AH!$P$20,IF(AH!$P$10=1,INDEX('Live History'!$H$5:$H$3004,MATCH($A324,'Live History'!$G$5:$G$3004,1)),INDEX('AH History'!$D$1:$D$18046,AH!$P$7+319))),NA()),NA())</ns0:f>
        <ns0:v/>
      </ns0:c>
      <ns0:c r="F324">
        <ns0:f>IFERROR(IF(ISNUMBER($A324),IF(AND(AH!$P$10=1,AH!$P$12=1,$A324=TODAY()),IF(AND(AH!$P$10=1,AH!$P$12=1,$A324=TODAY()),TODAY(),NA()),IF(AH!$P$10=1,INDEX('Live History'!$D$5:$D$3004,MATCH($A324,'Live History'!$D$5:$D$3004,1)),INDEX('AH History'!$E$1:$E$18046,AH!$P$7+319))),NA()),NA())</ns0:f>
        <ns0:v/>
      </ns0:c>
      <ns0:c r="G324">
        <ns0:f>IFERROR(IF(ISNUMBER($A324),IF(AND(AH!$P$10=1,AH!$P$12=1,$A324=TODAY()),IF(AND(AH!$P$10=1,AH!$P$12=1,$A324=TODAY()),TODAY(),NA()),IF(AH!$P$10=1,INDEX('Live History'!$G$5:$G$3004,MATCH($A324,'Live History'!$G$5:$G$3004,1)),INDEX('AH History'!$F$1:$F$18046,AH!$P$7+319))),NA()),NA())</ns0:f>
        <ns0:v/>
      </ns0:c>
      <ns0:c r="H324">
        <ns0:f>IFERROR(IF(AND(AH!$E$4="Bloomberg",AH!$P$10=1,ISNUMBER($A324),$A324&lt;=AH!$P$17),AH!$P$7-1+MATCH($A324,INDEX('AH History'!$A$1:$A$18046,AH!$P$7):INDEX('AH History'!$A$1:$A$18046,AH!$P$7+AH!$P$8-1),0),0),0)</ns0:f>
        <ns0:v/>
      </ns0:c>
      <ns0:c r="I324">
        <ns0:f>IF($H324=0,0,IFERROR(IF(AND(ABS($C324-INDEX('AH History'!$B$1:$B$18046,$H324))&lt;=MAX(0.005,ABS(INDEX('AH History'!$B$1:$B$18046,$H324))*0.00005),ABS($D324-INDEX('AH History'!$C$1:$C$18046,$H324))&lt;=MAX(0.005,ABS(INDEX('AH History'!$C$1:$C$18046,$H324))*0.00005),ABS($E324-INDEX('AH History'!$D$1:$D$18046,$H324))&lt;=0.00005,$F324=INDEX('AH History'!$E$1:$E$18046,$H324),$G324=INDEX('AH History'!$F$1:$F$18046,$H324)),1,-1),-1))</ns0:f>
        <ns0:v/>
      </ns0:c>
    </ns0:row>
    <ns0:row r="325">
      <ns0:c r="A325" s="215">
        <ns0:f>IF(OR(AH!$P$3=0,320+1&gt;AH!$P$11,AND(AH!$E$4&lt;&gt;"Stored",AH!$P$10&lt;&gt;1)),"",IFERROR(IF(AND(AH!$P$21=1,320+1=AH!$P$11),TODAY(),IF(AH!$P$10=1,INDEX('Live History'!$A$5:$A$3004,AH!$P$13+320),INDEX('AH History'!$A$1:$A$18046,AH!$P$7+320))),""))</ns0:f>
        <ns0:v/>
      </ns0:c>
      <ns0:c r="B325" s="219">
        <ns0:f>IFERROR(IF(AND(AH!$P$9&lt;&gt;1,$C325&gt;0,$D325&gt;0,$E325&gt;0,$F325&gt;0,$G325&gt;0,$F325&lt;=$A325,$G325&lt;=$A325,$A325-$F325&lt;=10,$A325-$G325&lt;=5),$D325*$E325/$C325-1,NA()),NA())</ns0:f>
        <ns0:v/>
      </ns0:c>
      <ns0:c r="C325">
        <ns0:f>IFERROR(IF(ISNUMBER($A325),IF(AND(AH!$P$10=1,AH!$P$12=1,$A325=TODAY()),AH!$P$19,IF(AH!$P$10=1,INDEX('Live History'!$B$5:$B$3004,AH!$P$13+320),INDEX('AH History'!$B$1:$B$18046,AH!$P$7+320))),NA()),NA())</ns0:f>
        <ns0:v/>
      </ns0:c>
      <ns0:c r="D325">
        <ns0:f>IFERROR(IF(ISNUMBER($A325),IF(AND(AH!$P$10=1,AH!$P$12=1,$A325=TODAY()),AH!$P$18,IF(AH!$P$10=1,INDEX('Live History'!$E$5:$E$3004,MATCH($A325,'Live History'!$D$5:$D$3004,1)),INDEX('AH History'!$C$1:$C$18046,AH!$P$7+320))),NA()),NA())</ns0:f>
        <ns0:v/>
      </ns0:c>
      <ns0:c r="E325">
        <ns0:f>IFERROR(IF(ISNUMBER($A325),IF(AND(AH!$P$10=1,AH!$P$12=1,$A325=TODAY()),AH!$P$20,IF(AH!$P$10=1,INDEX('Live History'!$H$5:$H$3004,MATCH($A325,'Live History'!$G$5:$G$3004,1)),INDEX('AH History'!$D$1:$D$18046,AH!$P$7+320))),NA()),NA())</ns0:f>
        <ns0:v/>
      </ns0:c>
      <ns0:c r="F325">
        <ns0:f>IFERROR(IF(ISNUMBER($A325),IF(AND(AH!$P$10=1,AH!$P$12=1,$A325=TODAY()),IF(AND(AH!$P$10=1,AH!$P$12=1,$A325=TODAY()),TODAY(),NA()),IF(AH!$P$10=1,INDEX('Live History'!$D$5:$D$3004,MATCH($A325,'Live History'!$D$5:$D$3004,1)),INDEX('AH History'!$E$1:$E$18046,AH!$P$7+320))),NA()),NA())</ns0:f>
        <ns0:v/>
      </ns0:c>
      <ns0:c r="G325">
        <ns0:f>IFERROR(IF(ISNUMBER($A325),IF(AND(AH!$P$10=1,AH!$P$12=1,$A325=TODAY()),IF(AND(AH!$P$10=1,AH!$P$12=1,$A325=TODAY()),TODAY(),NA()),IF(AH!$P$10=1,INDEX('Live History'!$G$5:$G$3004,MATCH($A325,'Live History'!$G$5:$G$3004,1)),INDEX('AH History'!$F$1:$F$18046,AH!$P$7+320))),NA()),NA())</ns0:f>
        <ns0:v/>
      </ns0:c>
      <ns0:c r="H325">
        <ns0:f>IFERROR(IF(AND(AH!$E$4="Bloomberg",AH!$P$10=1,ISNUMBER($A325),$A325&lt;=AH!$P$17),AH!$P$7-1+MATCH($A325,INDEX('AH History'!$A$1:$A$18046,AH!$P$7):INDEX('AH History'!$A$1:$A$18046,AH!$P$7+AH!$P$8-1),0),0),0)</ns0:f>
        <ns0:v/>
      </ns0:c>
      <ns0:c r="I325">
        <ns0:f>IF($H325=0,0,IFERROR(IF(AND(ABS($C325-INDEX('AH History'!$B$1:$B$18046,$H325))&lt;=MAX(0.005,ABS(INDEX('AH History'!$B$1:$B$18046,$H325))*0.00005),ABS($D325-INDEX('AH History'!$C$1:$C$18046,$H325))&lt;=MAX(0.005,ABS(INDEX('AH History'!$C$1:$C$18046,$H325))*0.00005),ABS($E325-INDEX('AH History'!$D$1:$D$18046,$H325))&lt;=0.00005,$F325=INDEX('AH History'!$E$1:$E$18046,$H325),$G325=INDEX('AH History'!$F$1:$F$18046,$H325)),1,-1),-1))</ns0:f>
        <ns0:v/>
      </ns0:c>
    </ns0:row>
    <ns0:row r="326">
      <ns0:c r="A326" s="215">
        <ns0:f>IF(OR(AH!$P$3=0,321+1&gt;AH!$P$11,AND(AH!$E$4&lt;&gt;"Stored",AH!$P$10&lt;&gt;1)),"",IFERROR(IF(AND(AH!$P$21=1,321+1=AH!$P$11),TODAY(),IF(AH!$P$10=1,INDEX('Live History'!$A$5:$A$3004,AH!$P$13+321),INDEX('AH History'!$A$1:$A$18046,AH!$P$7+321))),""))</ns0:f>
        <ns0:v/>
      </ns0:c>
      <ns0:c r="B326" s="219">
        <ns0:f>IFERROR(IF(AND(AH!$P$9&lt;&gt;1,$C326&gt;0,$D326&gt;0,$E326&gt;0,$F326&gt;0,$G326&gt;0,$F326&lt;=$A326,$G326&lt;=$A326,$A326-$F326&lt;=10,$A326-$G326&lt;=5),$D326*$E326/$C326-1,NA()),NA())</ns0:f>
        <ns0:v/>
      </ns0:c>
      <ns0:c r="C326">
        <ns0:f>IFERROR(IF(ISNUMBER($A326),IF(AND(AH!$P$10=1,AH!$P$12=1,$A326=TODAY()),AH!$P$19,IF(AH!$P$10=1,INDEX('Live History'!$B$5:$B$3004,AH!$P$13+321),INDEX('AH History'!$B$1:$B$18046,AH!$P$7+321))),NA()),NA())</ns0:f>
        <ns0:v/>
      </ns0:c>
      <ns0:c r="D326">
        <ns0:f>IFERROR(IF(ISNUMBER($A326),IF(AND(AH!$P$10=1,AH!$P$12=1,$A326=TODAY()),AH!$P$18,IF(AH!$P$10=1,INDEX('Live History'!$E$5:$E$3004,MATCH($A326,'Live History'!$D$5:$D$3004,1)),INDEX('AH History'!$C$1:$C$18046,AH!$P$7+321))),NA()),NA())</ns0:f>
        <ns0:v/>
      </ns0:c>
      <ns0:c r="E326">
        <ns0:f>IFERROR(IF(ISNUMBER($A326),IF(AND(AH!$P$10=1,AH!$P$12=1,$A326=TODAY()),AH!$P$20,IF(AH!$P$10=1,INDEX('Live History'!$H$5:$H$3004,MATCH($A326,'Live History'!$G$5:$G$3004,1)),INDEX('AH History'!$D$1:$D$18046,AH!$P$7+321))),NA()),NA())</ns0:f>
        <ns0:v/>
      </ns0:c>
      <ns0:c r="F326">
        <ns0:f>IFERROR(IF(ISNUMBER($A326),IF(AND(AH!$P$10=1,AH!$P$12=1,$A326=TODAY()),IF(AND(AH!$P$10=1,AH!$P$12=1,$A326=TODAY()),TODAY(),NA()),IF(AH!$P$10=1,INDEX('Live History'!$D$5:$D$3004,MATCH($A326,'Live History'!$D$5:$D$3004,1)),INDEX('AH History'!$E$1:$E$18046,AH!$P$7+321))),NA()),NA())</ns0:f>
        <ns0:v/>
      </ns0:c>
      <ns0:c r="G326">
        <ns0:f>IFERROR(IF(ISNUMBER($A326),IF(AND(AH!$P$10=1,AH!$P$12=1,$A326=TODAY()),IF(AND(AH!$P$10=1,AH!$P$12=1,$A326=TODAY()),TODAY(),NA()),IF(AH!$P$10=1,INDEX('Live History'!$G$5:$G$3004,MATCH($A326,'Live History'!$G$5:$G$3004,1)),INDEX('AH History'!$F$1:$F$18046,AH!$P$7+321))),NA()),NA())</ns0:f>
        <ns0:v/>
      </ns0:c>
      <ns0:c r="H326">
        <ns0:f>IFERROR(IF(AND(AH!$E$4="Bloomberg",AH!$P$10=1,ISNUMBER($A326),$A326&lt;=AH!$P$17),AH!$P$7-1+MATCH($A326,INDEX('AH History'!$A$1:$A$18046,AH!$P$7):INDEX('AH History'!$A$1:$A$18046,AH!$P$7+AH!$P$8-1),0),0),0)</ns0:f>
        <ns0:v/>
      </ns0:c>
      <ns0:c r="I326">
        <ns0:f>IF($H326=0,0,IFERROR(IF(AND(ABS($C326-INDEX('AH History'!$B$1:$B$18046,$H326))&lt;=MAX(0.005,ABS(INDEX('AH History'!$B$1:$B$18046,$H326))*0.00005),ABS($D326-INDEX('AH History'!$C$1:$C$18046,$H326))&lt;=MAX(0.005,ABS(INDEX('AH History'!$C$1:$C$18046,$H326))*0.00005),ABS($E326-INDEX('AH History'!$D$1:$D$18046,$H326))&lt;=0.00005,$F326=INDEX('AH History'!$E$1:$E$18046,$H326),$G326=INDEX('AH History'!$F$1:$F$18046,$H326)),1,-1),-1))</ns0:f>
        <ns0:v/>
      </ns0:c>
    </ns0:row>
    <ns0:row r="327">
      <ns0:c r="A327" s="215">
        <ns0:f>IF(OR(AH!$P$3=0,322+1&gt;AH!$P$11,AND(AH!$E$4&lt;&gt;"Stored",AH!$P$10&lt;&gt;1)),"",IFERROR(IF(AND(AH!$P$21=1,322+1=AH!$P$11),TODAY(),IF(AH!$P$10=1,INDEX('Live History'!$A$5:$A$3004,AH!$P$13+322),INDEX('AH History'!$A$1:$A$18046,AH!$P$7+322))),""))</ns0:f>
        <ns0:v/>
      </ns0:c>
      <ns0:c r="B327" s="219">
        <ns0:f>IFERROR(IF(AND(AH!$P$9&lt;&gt;1,$C327&gt;0,$D327&gt;0,$E327&gt;0,$F327&gt;0,$G327&gt;0,$F327&lt;=$A327,$G327&lt;=$A327,$A327-$F327&lt;=10,$A327-$G327&lt;=5),$D327*$E327/$C327-1,NA()),NA())</ns0:f>
        <ns0:v/>
      </ns0:c>
      <ns0:c r="C327">
        <ns0:f>IFERROR(IF(ISNUMBER($A327),IF(AND(AH!$P$10=1,AH!$P$12=1,$A327=TODAY()),AH!$P$19,IF(AH!$P$10=1,INDEX('Live History'!$B$5:$B$3004,AH!$P$13+322),INDEX('AH History'!$B$1:$B$18046,AH!$P$7+322))),NA()),NA())</ns0:f>
        <ns0:v/>
      </ns0:c>
      <ns0:c r="D327">
        <ns0:f>IFERROR(IF(ISNUMBER($A327),IF(AND(AH!$P$10=1,AH!$P$12=1,$A327=TODAY()),AH!$P$18,IF(AH!$P$10=1,INDEX('Live History'!$E$5:$E$3004,MATCH($A327,'Live History'!$D$5:$D$3004,1)),INDEX('AH History'!$C$1:$C$18046,AH!$P$7+322))),NA()),NA())</ns0:f>
        <ns0:v/>
      </ns0:c>
      <ns0:c r="E327">
        <ns0:f>IFERROR(IF(ISNUMBER($A327),IF(AND(AH!$P$10=1,AH!$P$12=1,$A327=TODAY()),AH!$P$20,IF(AH!$P$10=1,INDEX('Live History'!$H$5:$H$3004,MATCH($A327,'Live History'!$G$5:$G$3004,1)),INDEX('AH History'!$D$1:$D$18046,AH!$P$7+322))),NA()),NA())</ns0:f>
        <ns0:v/>
      </ns0:c>
      <ns0:c r="F327">
        <ns0:f>IFERROR(IF(ISNUMBER($A327),IF(AND(AH!$P$10=1,AH!$P$12=1,$A327=TODAY()),IF(AND(AH!$P$10=1,AH!$P$12=1,$A327=TODAY()),TODAY(),NA()),IF(AH!$P$10=1,INDEX('Live History'!$D$5:$D$3004,MATCH($A327,'Live History'!$D$5:$D$3004,1)),INDEX('AH History'!$E$1:$E$18046,AH!$P$7+322))),NA()),NA())</ns0:f>
        <ns0:v/>
      </ns0:c>
      <ns0:c r="G327">
        <ns0:f>IFERROR(IF(ISNUMBER($A327),IF(AND(AH!$P$10=1,AH!$P$12=1,$A327=TODAY()),IF(AND(AH!$P$10=1,AH!$P$12=1,$A327=TODAY()),TODAY(),NA()),IF(AH!$P$10=1,INDEX('Live History'!$G$5:$G$3004,MATCH($A327,'Live History'!$G$5:$G$3004,1)),INDEX('AH History'!$F$1:$F$18046,AH!$P$7+322))),NA()),NA())</ns0:f>
        <ns0:v/>
      </ns0:c>
      <ns0:c r="H327">
        <ns0:f>IFERROR(IF(AND(AH!$E$4="Bloomberg",AH!$P$10=1,ISNUMBER($A327),$A327&lt;=AH!$P$17),AH!$P$7-1+MATCH($A327,INDEX('AH History'!$A$1:$A$18046,AH!$P$7):INDEX('AH History'!$A$1:$A$18046,AH!$P$7+AH!$P$8-1),0),0),0)</ns0:f>
        <ns0:v/>
      </ns0:c>
      <ns0:c r="I327">
        <ns0:f>IF($H327=0,0,IFERROR(IF(AND(ABS($C327-INDEX('AH History'!$B$1:$B$18046,$H327))&lt;=MAX(0.005,ABS(INDEX('AH History'!$B$1:$B$18046,$H327))*0.00005),ABS($D327-INDEX('AH History'!$C$1:$C$18046,$H327))&lt;=MAX(0.005,ABS(INDEX('AH History'!$C$1:$C$18046,$H327))*0.00005),ABS($E327-INDEX('AH History'!$D$1:$D$18046,$H327))&lt;=0.00005,$F327=INDEX('AH History'!$E$1:$E$18046,$H327),$G327=INDEX('AH History'!$F$1:$F$18046,$H327)),1,-1),-1))</ns0:f>
        <ns0:v/>
      </ns0:c>
    </ns0:row>
    <ns0:row r="328">
      <ns0:c r="A328" s="215">
        <ns0:f>IF(OR(AH!$P$3=0,323+1&gt;AH!$P$11,AND(AH!$E$4&lt;&gt;"Stored",AH!$P$10&lt;&gt;1)),"",IFERROR(IF(AND(AH!$P$21=1,323+1=AH!$P$11),TODAY(),IF(AH!$P$10=1,INDEX('Live History'!$A$5:$A$3004,AH!$P$13+323),INDEX('AH History'!$A$1:$A$18046,AH!$P$7+323))),""))</ns0:f>
        <ns0:v/>
      </ns0:c>
      <ns0:c r="B328" s="219">
        <ns0:f>IFERROR(IF(AND(AH!$P$9&lt;&gt;1,$C328&gt;0,$D328&gt;0,$E328&gt;0,$F328&gt;0,$G328&gt;0,$F328&lt;=$A328,$G328&lt;=$A328,$A328-$F328&lt;=10,$A328-$G328&lt;=5),$D328*$E328/$C328-1,NA()),NA())</ns0:f>
        <ns0:v/>
      </ns0:c>
      <ns0:c r="C328">
        <ns0:f>IFERROR(IF(ISNUMBER($A328),IF(AND(AH!$P$10=1,AH!$P$12=1,$A328=TODAY()),AH!$P$19,IF(AH!$P$10=1,INDEX('Live History'!$B$5:$B$3004,AH!$P$13+323),INDEX('AH History'!$B$1:$B$18046,AH!$P$7+323))),NA()),NA())</ns0:f>
        <ns0:v/>
      </ns0:c>
      <ns0:c r="D328">
        <ns0:f>IFERROR(IF(ISNUMBER($A328),IF(AND(AH!$P$10=1,AH!$P$12=1,$A328=TODAY()),AH!$P$18,IF(AH!$P$10=1,INDEX('Live History'!$E$5:$E$3004,MATCH($A328,'Live History'!$D$5:$D$3004,1)),INDEX('AH History'!$C$1:$C$18046,AH!$P$7+323))),NA()),NA())</ns0:f>
        <ns0:v/>
      </ns0:c>
      <ns0:c r="E328">
        <ns0:f>IFERROR(IF(ISNUMBER($A328),IF(AND(AH!$P$10=1,AH!$P$12=1,$A328=TODAY()),AH!$P$20,IF(AH!$P$10=1,INDEX('Live History'!$H$5:$H$3004,MATCH($A328,'Live History'!$G$5:$G$3004,1)),INDEX('AH History'!$D$1:$D$18046,AH!$P$7+323))),NA()),NA())</ns0:f>
        <ns0:v/>
      </ns0:c>
      <ns0:c r="F328">
        <ns0:f>IFERROR(IF(ISNUMBER($A328),IF(AND(AH!$P$10=1,AH!$P$12=1,$A328=TODAY()),IF(AND(AH!$P$10=1,AH!$P$12=1,$A328=TODAY()),TODAY(),NA()),IF(AH!$P$10=1,INDEX('Live History'!$D$5:$D$3004,MATCH($A328,'Live History'!$D$5:$D$3004,1)),INDEX('AH History'!$E$1:$E$18046,AH!$P$7+323))),NA()),NA())</ns0:f>
        <ns0:v/>
      </ns0:c>
      <ns0:c r="G328">
        <ns0:f>IFERROR(IF(ISNUMBER($A328),IF(AND(AH!$P$10=1,AH!$P$12=1,$A328=TODAY()),IF(AND(AH!$P$10=1,AH!$P$12=1,$A328=TODAY()),TODAY(),NA()),IF(AH!$P$10=1,INDEX('Live History'!$G$5:$G$3004,MATCH($A328,'Live History'!$G$5:$G$3004,1)),INDEX('AH History'!$F$1:$F$18046,AH!$P$7+323))),NA()),NA())</ns0:f>
        <ns0:v/>
      </ns0:c>
      <ns0:c r="H328">
        <ns0:f>IFERROR(IF(AND(AH!$E$4="Bloomberg",AH!$P$10=1,ISNUMBER($A328),$A328&lt;=AH!$P$17),AH!$P$7-1+MATCH($A328,INDEX('AH History'!$A$1:$A$18046,AH!$P$7):INDEX('AH History'!$A$1:$A$18046,AH!$P$7+AH!$P$8-1),0),0),0)</ns0:f>
        <ns0:v/>
      </ns0:c>
      <ns0:c r="I328">
        <ns0:f>IF($H328=0,0,IFERROR(IF(AND(ABS($C328-INDEX('AH History'!$B$1:$B$18046,$H328))&lt;=MAX(0.005,ABS(INDEX('AH History'!$B$1:$B$18046,$H328))*0.00005),ABS($D328-INDEX('AH History'!$C$1:$C$18046,$H328))&lt;=MAX(0.005,ABS(INDEX('AH History'!$C$1:$C$18046,$H328))*0.00005),ABS($E328-INDEX('AH History'!$D$1:$D$18046,$H328))&lt;=0.00005,$F328=INDEX('AH History'!$E$1:$E$18046,$H328),$G328=INDEX('AH History'!$F$1:$F$18046,$H328)),1,-1),-1))</ns0:f>
        <ns0:v/>
      </ns0:c>
    </ns0:row>
    <ns0:row r="329">
      <ns0:c r="A329" s="215">
        <ns0:f>IF(OR(AH!$P$3=0,324+1&gt;AH!$P$11,AND(AH!$E$4&lt;&gt;"Stored",AH!$P$10&lt;&gt;1)),"",IFERROR(IF(AND(AH!$P$21=1,324+1=AH!$P$11),TODAY(),IF(AH!$P$10=1,INDEX('Live History'!$A$5:$A$3004,AH!$P$13+324),INDEX('AH History'!$A$1:$A$18046,AH!$P$7+324))),""))</ns0:f>
        <ns0:v/>
      </ns0:c>
      <ns0:c r="B329" s="219">
        <ns0:f>IFERROR(IF(AND(AH!$P$9&lt;&gt;1,$C329&gt;0,$D329&gt;0,$E329&gt;0,$F329&gt;0,$G329&gt;0,$F329&lt;=$A329,$G329&lt;=$A329,$A329-$F329&lt;=10,$A329-$G329&lt;=5),$D329*$E329/$C329-1,NA()),NA())</ns0:f>
        <ns0:v/>
      </ns0:c>
      <ns0:c r="C329">
        <ns0:f>IFERROR(IF(ISNUMBER($A329),IF(AND(AH!$P$10=1,AH!$P$12=1,$A329=TODAY()),AH!$P$19,IF(AH!$P$10=1,INDEX('Live History'!$B$5:$B$3004,AH!$P$13+324),INDEX('AH History'!$B$1:$B$18046,AH!$P$7+324))),NA()),NA())</ns0:f>
        <ns0:v/>
      </ns0:c>
      <ns0:c r="D329">
        <ns0:f>IFERROR(IF(ISNUMBER($A329),IF(AND(AH!$P$10=1,AH!$P$12=1,$A329=TODAY()),AH!$P$18,IF(AH!$P$10=1,INDEX('Live History'!$E$5:$E$3004,MATCH($A329,'Live History'!$D$5:$D$3004,1)),INDEX('AH History'!$C$1:$C$18046,AH!$P$7+324))),NA()),NA())</ns0:f>
        <ns0:v/>
      </ns0:c>
      <ns0:c r="E329">
        <ns0:f>IFERROR(IF(ISNUMBER($A329),IF(AND(AH!$P$10=1,AH!$P$12=1,$A329=TODAY()),AH!$P$20,IF(AH!$P$10=1,INDEX('Live History'!$H$5:$H$3004,MATCH($A329,'Live History'!$G$5:$G$3004,1)),INDEX('AH History'!$D$1:$D$18046,AH!$P$7+324))),NA()),NA())</ns0:f>
        <ns0:v/>
      </ns0:c>
      <ns0:c r="F329">
        <ns0:f>IFERROR(IF(ISNUMBER($A329),IF(AND(AH!$P$10=1,AH!$P$12=1,$A329=TODAY()),IF(AND(AH!$P$10=1,AH!$P$12=1,$A329=TODAY()),TODAY(),NA()),IF(AH!$P$10=1,INDEX('Live History'!$D$5:$D$3004,MATCH($A329,'Live History'!$D$5:$D$3004,1)),INDEX('AH History'!$E$1:$E$18046,AH!$P$7+324))),NA()),NA())</ns0:f>
        <ns0:v/>
      </ns0:c>
      <ns0:c r="G329">
        <ns0:f>IFERROR(IF(ISNUMBER($A329),IF(AND(AH!$P$10=1,AH!$P$12=1,$A329=TODAY()),IF(AND(AH!$P$10=1,AH!$P$12=1,$A329=TODAY()),TODAY(),NA()),IF(AH!$P$10=1,INDEX('Live History'!$G$5:$G$3004,MATCH($A329,'Live History'!$G$5:$G$3004,1)),INDEX('AH History'!$F$1:$F$18046,AH!$P$7+324))),NA()),NA())</ns0:f>
        <ns0:v/>
      </ns0:c>
      <ns0:c r="H329">
        <ns0:f>IFERROR(IF(AND(AH!$E$4="Bloomberg",AH!$P$10=1,ISNUMBER($A329),$A329&lt;=AH!$P$17),AH!$P$7-1+MATCH($A329,INDEX('AH History'!$A$1:$A$18046,AH!$P$7):INDEX('AH History'!$A$1:$A$18046,AH!$P$7+AH!$P$8-1),0),0),0)</ns0:f>
        <ns0:v/>
      </ns0:c>
      <ns0:c r="I329">
        <ns0:f>IF($H329=0,0,IFERROR(IF(AND(ABS($C329-INDEX('AH History'!$B$1:$B$18046,$H329))&lt;=MAX(0.005,ABS(INDEX('AH History'!$B$1:$B$18046,$H329))*0.00005),ABS($D329-INDEX('AH History'!$C$1:$C$18046,$H329))&lt;=MAX(0.005,ABS(INDEX('AH History'!$C$1:$C$18046,$H329))*0.00005),ABS($E329-INDEX('AH History'!$D$1:$D$18046,$H329))&lt;=0.00005,$F329=INDEX('AH History'!$E$1:$E$18046,$H329),$G329=INDEX('AH History'!$F$1:$F$18046,$H329)),1,-1),-1))</ns0:f>
        <ns0:v/>
      </ns0:c>
    </ns0:row>
    <ns0:row r="330">
      <ns0:c r="A330" s="215">
        <ns0:f>IF(OR(AH!$P$3=0,325+1&gt;AH!$P$11,AND(AH!$E$4&lt;&gt;"Stored",AH!$P$10&lt;&gt;1)),"",IFERROR(IF(AND(AH!$P$21=1,325+1=AH!$P$11),TODAY(),IF(AH!$P$10=1,INDEX('Live History'!$A$5:$A$3004,AH!$P$13+325),INDEX('AH History'!$A$1:$A$18046,AH!$P$7+325))),""))</ns0:f>
        <ns0:v/>
      </ns0:c>
      <ns0:c r="B330" s="219">
        <ns0:f>IFERROR(IF(AND(AH!$P$9&lt;&gt;1,$C330&gt;0,$D330&gt;0,$E330&gt;0,$F330&gt;0,$G330&gt;0,$F330&lt;=$A330,$G330&lt;=$A330,$A330-$F330&lt;=10,$A330-$G330&lt;=5),$D330*$E330/$C330-1,NA()),NA())</ns0:f>
        <ns0:v/>
      </ns0:c>
      <ns0:c r="C330">
        <ns0:f>IFERROR(IF(ISNUMBER($A330),IF(AND(AH!$P$10=1,AH!$P$12=1,$A330=TODAY()),AH!$P$19,IF(AH!$P$10=1,INDEX('Live History'!$B$5:$B$3004,AH!$P$13+325),INDEX('AH History'!$B$1:$B$18046,AH!$P$7+325))),NA()),NA())</ns0:f>
        <ns0:v/>
      </ns0:c>
      <ns0:c r="D330">
        <ns0:f>IFERROR(IF(ISNUMBER($A330),IF(AND(AH!$P$10=1,AH!$P$12=1,$A330=TODAY()),AH!$P$18,IF(AH!$P$10=1,INDEX('Live History'!$E$5:$E$3004,MATCH($A330,'Live History'!$D$5:$D$3004,1)),INDEX('AH History'!$C$1:$C$18046,AH!$P$7+325))),NA()),NA())</ns0:f>
        <ns0:v/>
      </ns0:c>
      <ns0:c r="E330">
        <ns0:f>IFERROR(IF(ISNUMBER($A330),IF(AND(AH!$P$10=1,AH!$P$12=1,$A330=TODAY()),AH!$P$20,IF(AH!$P$10=1,INDEX('Live History'!$H$5:$H$3004,MATCH($A330,'Live History'!$G$5:$G$3004,1)),INDEX('AH History'!$D$1:$D$18046,AH!$P$7+325))),NA()),NA())</ns0:f>
        <ns0:v/>
      </ns0:c>
      <ns0:c r="F330">
        <ns0:f>IFERROR(IF(ISNUMBER($A330),IF(AND(AH!$P$10=1,AH!$P$12=1,$A330=TODAY()),IF(AND(AH!$P$10=1,AH!$P$12=1,$A330=TODAY()),TODAY(),NA()),IF(AH!$P$10=1,INDEX('Live History'!$D$5:$D$3004,MATCH($A330,'Live History'!$D$5:$D$3004,1)),INDEX('AH History'!$E$1:$E$18046,AH!$P$7+325))),NA()),NA())</ns0:f>
        <ns0:v/>
      </ns0:c>
      <ns0:c r="G330">
        <ns0:f>IFERROR(IF(ISNUMBER($A330),IF(AND(AH!$P$10=1,AH!$P$12=1,$A330=TODAY()),IF(AND(AH!$P$10=1,AH!$P$12=1,$A330=TODAY()),TODAY(),NA()),IF(AH!$P$10=1,INDEX('Live History'!$G$5:$G$3004,MATCH($A330,'Live History'!$G$5:$G$3004,1)),INDEX('AH History'!$F$1:$F$18046,AH!$P$7+325))),NA()),NA())</ns0:f>
        <ns0:v/>
      </ns0:c>
      <ns0:c r="H330">
        <ns0:f>IFERROR(IF(AND(AH!$E$4="Bloomberg",AH!$P$10=1,ISNUMBER($A330),$A330&lt;=AH!$P$17),AH!$P$7-1+MATCH($A330,INDEX('AH History'!$A$1:$A$18046,AH!$P$7):INDEX('AH History'!$A$1:$A$18046,AH!$P$7+AH!$P$8-1),0),0),0)</ns0:f>
        <ns0:v/>
      </ns0:c>
      <ns0:c r="I330">
        <ns0:f>IF($H330=0,0,IFERROR(IF(AND(ABS($C330-INDEX('AH History'!$B$1:$B$18046,$H330))&lt;=MAX(0.005,ABS(INDEX('AH History'!$B$1:$B$18046,$H330))*0.00005),ABS($D330-INDEX('AH History'!$C$1:$C$18046,$H330))&lt;=MAX(0.005,ABS(INDEX('AH History'!$C$1:$C$18046,$H330))*0.00005),ABS($E330-INDEX('AH History'!$D$1:$D$18046,$H330))&lt;=0.00005,$F330=INDEX('AH History'!$E$1:$E$18046,$H330),$G330=INDEX('AH History'!$F$1:$F$18046,$H330)),1,-1),-1))</ns0:f>
        <ns0:v/>
      </ns0:c>
    </ns0:row>
    <ns0:row r="331">
      <ns0:c r="A331" s="215">
        <ns0:f>IF(OR(AH!$P$3=0,326+1&gt;AH!$P$11,AND(AH!$E$4&lt;&gt;"Stored",AH!$P$10&lt;&gt;1)),"",IFERROR(IF(AND(AH!$P$21=1,326+1=AH!$P$11),TODAY(),IF(AH!$P$10=1,INDEX('Live History'!$A$5:$A$3004,AH!$P$13+326),INDEX('AH History'!$A$1:$A$18046,AH!$P$7+326))),""))</ns0:f>
        <ns0:v/>
      </ns0:c>
      <ns0:c r="B331" s="219">
        <ns0:f>IFERROR(IF(AND(AH!$P$9&lt;&gt;1,$C331&gt;0,$D331&gt;0,$E331&gt;0,$F331&gt;0,$G331&gt;0,$F331&lt;=$A331,$G331&lt;=$A331,$A331-$F331&lt;=10,$A331-$G331&lt;=5),$D331*$E331/$C331-1,NA()),NA())</ns0:f>
        <ns0:v/>
      </ns0:c>
      <ns0:c r="C331">
        <ns0:f>IFERROR(IF(ISNUMBER($A331),IF(AND(AH!$P$10=1,AH!$P$12=1,$A331=TODAY()),AH!$P$19,IF(AH!$P$10=1,INDEX('Live History'!$B$5:$B$3004,AH!$P$13+326),INDEX('AH History'!$B$1:$B$18046,AH!$P$7+326))),NA()),NA())</ns0:f>
        <ns0:v/>
      </ns0:c>
      <ns0:c r="D331">
        <ns0:f>IFERROR(IF(ISNUMBER($A331),IF(AND(AH!$P$10=1,AH!$P$12=1,$A331=TODAY()),AH!$P$18,IF(AH!$P$10=1,INDEX('Live History'!$E$5:$E$3004,MATCH($A331,'Live History'!$D$5:$D$3004,1)),INDEX('AH History'!$C$1:$C$18046,AH!$P$7+326))),NA()),NA())</ns0:f>
        <ns0:v/>
      </ns0:c>
      <ns0:c r="E331">
        <ns0:f>IFERROR(IF(ISNUMBER($A331),IF(AND(AH!$P$10=1,AH!$P$12=1,$A331=TODAY()),AH!$P$20,IF(AH!$P$10=1,INDEX('Live History'!$H$5:$H$3004,MATCH($A331,'Live History'!$G$5:$G$3004,1)),INDEX('AH History'!$D$1:$D$18046,AH!$P$7+326))),NA()),NA())</ns0:f>
        <ns0:v/>
      </ns0:c>
      <ns0:c r="F331">
        <ns0:f>IFERROR(IF(ISNUMBER($A331),IF(AND(AH!$P$10=1,AH!$P$12=1,$A331=TODAY()),IF(AND(AH!$P$10=1,AH!$P$12=1,$A331=TODAY()),TODAY(),NA()),IF(AH!$P$10=1,INDEX('Live History'!$D$5:$D$3004,MATCH($A331,'Live History'!$D$5:$D$3004,1)),INDEX('AH History'!$E$1:$E$18046,AH!$P$7+326))),NA()),NA())</ns0:f>
        <ns0:v/>
      </ns0:c>
      <ns0:c r="G331">
        <ns0:f>IFERROR(IF(ISNUMBER($A331),IF(AND(AH!$P$10=1,AH!$P$12=1,$A331=TODAY()),IF(AND(AH!$P$10=1,AH!$P$12=1,$A331=TODAY()),TODAY(),NA()),IF(AH!$P$10=1,INDEX('Live History'!$G$5:$G$3004,MATCH($A331,'Live History'!$G$5:$G$3004,1)),INDEX('AH History'!$F$1:$F$18046,AH!$P$7+326))),NA()),NA())</ns0:f>
        <ns0:v/>
      </ns0:c>
      <ns0:c r="H331">
        <ns0:f>IFERROR(IF(AND(AH!$E$4="Bloomberg",AH!$P$10=1,ISNUMBER($A331),$A331&lt;=AH!$P$17),AH!$P$7-1+MATCH($A331,INDEX('AH History'!$A$1:$A$18046,AH!$P$7):INDEX('AH History'!$A$1:$A$18046,AH!$P$7+AH!$P$8-1),0),0),0)</ns0:f>
        <ns0:v/>
      </ns0:c>
      <ns0:c r="I331">
        <ns0:f>IF($H331=0,0,IFERROR(IF(AND(ABS($C331-INDEX('AH History'!$B$1:$B$18046,$H331))&lt;=MAX(0.005,ABS(INDEX('AH History'!$B$1:$B$18046,$H331))*0.00005),ABS($D331-INDEX('AH History'!$C$1:$C$18046,$H331))&lt;=MAX(0.005,ABS(INDEX('AH History'!$C$1:$C$18046,$H331))*0.00005),ABS($E331-INDEX('AH History'!$D$1:$D$18046,$H331))&lt;=0.00005,$F331=INDEX('AH History'!$E$1:$E$18046,$H331),$G331=INDEX('AH History'!$F$1:$F$18046,$H331)),1,-1),-1))</ns0:f>
        <ns0:v/>
      </ns0:c>
    </ns0:row>
    <ns0:row r="332">
      <ns0:c r="A332" s="215">
        <ns0:f>IF(OR(AH!$P$3=0,327+1&gt;AH!$P$11,AND(AH!$E$4&lt;&gt;"Stored",AH!$P$10&lt;&gt;1)),"",IFERROR(IF(AND(AH!$P$21=1,327+1=AH!$P$11),TODAY(),IF(AH!$P$10=1,INDEX('Live History'!$A$5:$A$3004,AH!$P$13+327),INDEX('AH History'!$A$1:$A$18046,AH!$P$7+327))),""))</ns0:f>
        <ns0:v/>
      </ns0:c>
      <ns0:c r="B332" s="219">
        <ns0:f>IFERROR(IF(AND(AH!$P$9&lt;&gt;1,$C332&gt;0,$D332&gt;0,$E332&gt;0,$F332&gt;0,$G332&gt;0,$F332&lt;=$A332,$G332&lt;=$A332,$A332-$F332&lt;=10,$A332-$G332&lt;=5),$D332*$E332/$C332-1,NA()),NA())</ns0:f>
        <ns0:v/>
      </ns0:c>
      <ns0:c r="C332">
        <ns0:f>IFERROR(IF(ISNUMBER($A332),IF(AND(AH!$P$10=1,AH!$P$12=1,$A332=TODAY()),AH!$P$19,IF(AH!$P$10=1,INDEX('Live History'!$B$5:$B$3004,AH!$P$13+327),INDEX('AH History'!$B$1:$B$18046,AH!$P$7+327))),NA()),NA())</ns0:f>
        <ns0:v/>
      </ns0:c>
      <ns0:c r="D332">
        <ns0:f>IFERROR(IF(ISNUMBER($A332),IF(AND(AH!$P$10=1,AH!$P$12=1,$A332=TODAY()),AH!$P$18,IF(AH!$P$10=1,INDEX('Live History'!$E$5:$E$3004,MATCH($A332,'Live History'!$D$5:$D$3004,1)),INDEX('AH History'!$C$1:$C$18046,AH!$P$7+327))),NA()),NA())</ns0:f>
        <ns0:v/>
      </ns0:c>
      <ns0:c r="E332">
        <ns0:f>IFERROR(IF(ISNUMBER($A332),IF(AND(AH!$P$10=1,AH!$P$12=1,$A332=TODAY()),AH!$P$20,IF(AH!$P$10=1,INDEX('Live History'!$H$5:$H$3004,MATCH($A332,'Live History'!$G$5:$G$3004,1)),INDEX('AH History'!$D$1:$D$18046,AH!$P$7+327))),NA()),NA())</ns0:f>
        <ns0:v/>
      </ns0:c>
      <ns0:c r="F332">
        <ns0:f>IFERROR(IF(ISNUMBER($A332),IF(AND(AH!$P$10=1,AH!$P$12=1,$A332=TODAY()),IF(AND(AH!$P$10=1,AH!$P$12=1,$A332=TODAY()),TODAY(),NA()),IF(AH!$P$10=1,INDEX('Live History'!$D$5:$D$3004,MATCH($A332,'Live History'!$D$5:$D$3004,1)),INDEX('AH History'!$E$1:$E$18046,AH!$P$7+327))),NA()),NA())</ns0:f>
        <ns0:v/>
      </ns0:c>
      <ns0:c r="G332">
        <ns0:f>IFERROR(IF(ISNUMBER($A332),IF(AND(AH!$P$10=1,AH!$P$12=1,$A332=TODAY()),IF(AND(AH!$P$10=1,AH!$P$12=1,$A332=TODAY()),TODAY(),NA()),IF(AH!$P$10=1,INDEX('Live History'!$G$5:$G$3004,MATCH($A332,'Live History'!$G$5:$G$3004,1)),INDEX('AH History'!$F$1:$F$18046,AH!$P$7+327))),NA()),NA())</ns0:f>
        <ns0:v/>
      </ns0:c>
      <ns0:c r="H332">
        <ns0:f>IFERROR(IF(AND(AH!$E$4="Bloomberg",AH!$P$10=1,ISNUMBER($A332),$A332&lt;=AH!$P$17),AH!$P$7-1+MATCH($A332,INDEX('AH History'!$A$1:$A$18046,AH!$P$7):INDEX('AH History'!$A$1:$A$18046,AH!$P$7+AH!$P$8-1),0),0),0)</ns0:f>
        <ns0:v/>
      </ns0:c>
      <ns0:c r="I332">
        <ns0:f>IF($H332=0,0,IFERROR(IF(AND(ABS($C332-INDEX('AH History'!$B$1:$B$18046,$H332))&lt;=MAX(0.005,ABS(INDEX('AH History'!$B$1:$B$18046,$H332))*0.00005),ABS($D332-INDEX('AH History'!$C$1:$C$18046,$H332))&lt;=MAX(0.005,ABS(INDEX('AH History'!$C$1:$C$18046,$H332))*0.00005),ABS($E332-INDEX('AH History'!$D$1:$D$18046,$H332))&lt;=0.00005,$F332=INDEX('AH History'!$E$1:$E$18046,$H332),$G332=INDEX('AH History'!$F$1:$F$18046,$H332)),1,-1),-1))</ns0:f>
        <ns0:v/>
      </ns0:c>
    </ns0:row>
    <ns0:row r="333">
      <ns0:c r="A333" s="215">
        <ns0:f>IF(OR(AH!$P$3=0,328+1&gt;AH!$P$11,AND(AH!$E$4&lt;&gt;"Stored",AH!$P$10&lt;&gt;1)),"",IFERROR(IF(AND(AH!$P$21=1,328+1=AH!$P$11),TODAY(),IF(AH!$P$10=1,INDEX('Live History'!$A$5:$A$3004,AH!$P$13+328),INDEX('AH History'!$A$1:$A$18046,AH!$P$7+328))),""))</ns0:f>
        <ns0:v/>
      </ns0:c>
      <ns0:c r="B333" s="219">
        <ns0:f>IFERROR(IF(AND(AH!$P$9&lt;&gt;1,$C333&gt;0,$D333&gt;0,$E333&gt;0,$F333&gt;0,$G333&gt;0,$F333&lt;=$A333,$G333&lt;=$A333,$A333-$F333&lt;=10,$A333-$G333&lt;=5),$D333*$E333/$C333-1,NA()),NA())</ns0:f>
        <ns0:v/>
      </ns0:c>
      <ns0:c r="C333">
        <ns0:f>IFERROR(IF(ISNUMBER($A333),IF(AND(AH!$P$10=1,AH!$P$12=1,$A333=TODAY()),AH!$P$19,IF(AH!$P$10=1,INDEX('Live History'!$B$5:$B$3004,AH!$P$13+328),INDEX('AH History'!$B$1:$B$18046,AH!$P$7+328))),NA()),NA())</ns0:f>
        <ns0:v/>
      </ns0:c>
      <ns0:c r="D333">
        <ns0:f>IFERROR(IF(ISNUMBER($A333),IF(AND(AH!$P$10=1,AH!$P$12=1,$A333=TODAY()),AH!$P$18,IF(AH!$P$10=1,INDEX('Live History'!$E$5:$E$3004,MATCH($A333,'Live History'!$D$5:$D$3004,1)),INDEX('AH History'!$C$1:$C$18046,AH!$P$7+328))),NA()),NA())</ns0:f>
        <ns0:v/>
      </ns0:c>
      <ns0:c r="E333">
        <ns0:f>IFERROR(IF(ISNUMBER($A333),IF(AND(AH!$P$10=1,AH!$P$12=1,$A333=TODAY()),AH!$P$20,IF(AH!$P$10=1,INDEX('Live History'!$H$5:$H$3004,MATCH($A333,'Live History'!$G$5:$G$3004,1)),INDEX('AH History'!$D$1:$D$18046,AH!$P$7+328))),NA()),NA())</ns0:f>
        <ns0:v/>
      </ns0:c>
      <ns0:c r="F333">
        <ns0:f>IFERROR(IF(ISNUMBER($A333),IF(AND(AH!$P$10=1,AH!$P$12=1,$A333=TODAY()),IF(AND(AH!$P$10=1,AH!$P$12=1,$A333=TODAY()),TODAY(),NA()),IF(AH!$P$10=1,INDEX('Live History'!$D$5:$D$3004,MATCH($A333,'Live History'!$D$5:$D$3004,1)),INDEX('AH History'!$E$1:$E$18046,AH!$P$7+328))),NA()),NA())</ns0:f>
        <ns0:v/>
      </ns0:c>
      <ns0:c r="G333">
        <ns0:f>IFERROR(IF(ISNUMBER($A333),IF(AND(AH!$P$10=1,AH!$P$12=1,$A333=TODAY()),IF(AND(AH!$P$10=1,AH!$P$12=1,$A333=TODAY()),TODAY(),NA()),IF(AH!$P$10=1,INDEX('Live History'!$G$5:$G$3004,MATCH($A333,'Live History'!$G$5:$G$3004,1)),INDEX('AH History'!$F$1:$F$18046,AH!$P$7+328))),NA()),NA())</ns0:f>
        <ns0:v/>
      </ns0:c>
      <ns0:c r="H333">
        <ns0:f>IFERROR(IF(AND(AH!$E$4="Bloomberg",AH!$P$10=1,ISNUMBER($A333),$A333&lt;=AH!$P$17),AH!$P$7-1+MATCH($A333,INDEX('AH History'!$A$1:$A$18046,AH!$P$7):INDEX('AH History'!$A$1:$A$18046,AH!$P$7+AH!$P$8-1),0),0),0)</ns0:f>
        <ns0:v/>
      </ns0:c>
      <ns0:c r="I333">
        <ns0:f>IF($H333=0,0,IFERROR(IF(AND(ABS($C333-INDEX('AH History'!$B$1:$B$18046,$H333))&lt;=MAX(0.005,ABS(INDEX('AH History'!$B$1:$B$18046,$H333))*0.00005),ABS($D333-INDEX('AH History'!$C$1:$C$18046,$H333))&lt;=MAX(0.005,ABS(INDEX('AH History'!$C$1:$C$18046,$H333))*0.00005),ABS($E333-INDEX('AH History'!$D$1:$D$18046,$H333))&lt;=0.00005,$F333=INDEX('AH History'!$E$1:$E$18046,$H333),$G333=INDEX('AH History'!$F$1:$F$18046,$H333)),1,-1),-1))</ns0:f>
        <ns0:v/>
      </ns0:c>
    </ns0:row>
    <ns0:row r="334">
      <ns0:c r="A334" s="215">
        <ns0:f>IF(OR(AH!$P$3=0,329+1&gt;AH!$P$11,AND(AH!$E$4&lt;&gt;"Stored",AH!$P$10&lt;&gt;1)),"",IFERROR(IF(AND(AH!$P$21=1,329+1=AH!$P$11),TODAY(),IF(AH!$P$10=1,INDEX('Live History'!$A$5:$A$3004,AH!$P$13+329),INDEX('AH History'!$A$1:$A$18046,AH!$P$7+329))),""))</ns0:f>
        <ns0:v/>
      </ns0:c>
      <ns0:c r="B334" s="219">
        <ns0:f>IFERROR(IF(AND(AH!$P$9&lt;&gt;1,$C334&gt;0,$D334&gt;0,$E334&gt;0,$F334&gt;0,$G334&gt;0,$F334&lt;=$A334,$G334&lt;=$A334,$A334-$F334&lt;=10,$A334-$G334&lt;=5),$D334*$E334/$C334-1,NA()),NA())</ns0:f>
        <ns0:v/>
      </ns0:c>
      <ns0:c r="C334">
        <ns0:f>IFERROR(IF(ISNUMBER($A334),IF(AND(AH!$P$10=1,AH!$P$12=1,$A334=TODAY()),AH!$P$19,IF(AH!$P$10=1,INDEX('Live History'!$B$5:$B$3004,AH!$P$13+329),INDEX('AH History'!$B$1:$B$18046,AH!$P$7+329))),NA()),NA())</ns0:f>
        <ns0:v/>
      </ns0:c>
      <ns0:c r="D334">
        <ns0:f>IFERROR(IF(ISNUMBER($A334),IF(AND(AH!$P$10=1,AH!$P$12=1,$A334=TODAY()),AH!$P$18,IF(AH!$P$10=1,INDEX('Live History'!$E$5:$E$3004,MATCH($A334,'Live History'!$D$5:$D$3004,1)),INDEX('AH History'!$C$1:$C$18046,AH!$P$7+329))),NA()),NA())</ns0:f>
        <ns0:v/>
      </ns0:c>
      <ns0:c r="E334">
        <ns0:f>IFERROR(IF(ISNUMBER($A334),IF(AND(AH!$P$10=1,AH!$P$12=1,$A334=TODAY()),AH!$P$20,IF(AH!$P$10=1,INDEX('Live History'!$H$5:$H$3004,MATCH($A334,'Live History'!$G$5:$G$3004,1)),INDEX('AH History'!$D$1:$D$18046,AH!$P$7+329))),NA()),NA())</ns0:f>
        <ns0:v/>
      </ns0:c>
      <ns0:c r="F334">
        <ns0:f>IFERROR(IF(ISNUMBER($A334),IF(AND(AH!$P$10=1,AH!$P$12=1,$A334=TODAY()),IF(AND(AH!$P$10=1,AH!$P$12=1,$A334=TODAY()),TODAY(),NA()),IF(AH!$P$10=1,INDEX('Live History'!$D$5:$D$3004,MATCH($A334,'Live History'!$D$5:$D$3004,1)),INDEX('AH History'!$E$1:$E$18046,AH!$P$7+329))),NA()),NA())</ns0:f>
        <ns0:v/>
      </ns0:c>
      <ns0:c r="G334">
        <ns0:f>IFERROR(IF(ISNUMBER($A334),IF(AND(AH!$P$10=1,AH!$P$12=1,$A334=TODAY()),IF(AND(AH!$P$10=1,AH!$P$12=1,$A334=TODAY()),TODAY(),NA()),IF(AH!$P$10=1,INDEX('Live History'!$G$5:$G$3004,MATCH($A334,'Live History'!$G$5:$G$3004,1)),INDEX('AH History'!$F$1:$F$18046,AH!$P$7+329))),NA()),NA())</ns0:f>
        <ns0:v/>
      </ns0:c>
      <ns0:c r="H334">
        <ns0:f>IFERROR(IF(AND(AH!$E$4="Bloomberg",AH!$P$10=1,ISNUMBER($A334),$A334&lt;=AH!$P$17),AH!$P$7-1+MATCH($A334,INDEX('AH History'!$A$1:$A$18046,AH!$P$7):INDEX('AH History'!$A$1:$A$18046,AH!$P$7+AH!$P$8-1),0),0),0)</ns0:f>
        <ns0:v/>
      </ns0:c>
      <ns0:c r="I334">
        <ns0:f>IF($H334=0,0,IFERROR(IF(AND(ABS($C334-INDEX('AH History'!$B$1:$B$18046,$H334))&lt;=MAX(0.005,ABS(INDEX('AH History'!$B$1:$B$18046,$H334))*0.00005),ABS($D334-INDEX('AH History'!$C$1:$C$18046,$H334))&lt;=MAX(0.005,ABS(INDEX('AH History'!$C$1:$C$18046,$H334))*0.00005),ABS($E334-INDEX('AH History'!$D$1:$D$18046,$H334))&lt;=0.00005,$F334=INDEX('AH History'!$E$1:$E$18046,$H334),$G334=INDEX('AH History'!$F$1:$F$18046,$H334)),1,-1),-1))</ns0:f>
        <ns0:v/>
      </ns0:c>
    </ns0:row>
    <ns0:row r="335">
      <ns0:c r="A335" s="215">
        <ns0:f>IF(OR(AH!$P$3=0,330+1&gt;AH!$P$11,AND(AH!$E$4&lt;&gt;"Stored",AH!$P$10&lt;&gt;1)),"",IFERROR(IF(AND(AH!$P$21=1,330+1=AH!$P$11),TODAY(),IF(AH!$P$10=1,INDEX('Live History'!$A$5:$A$3004,AH!$P$13+330),INDEX('AH History'!$A$1:$A$18046,AH!$P$7+330))),""))</ns0:f>
        <ns0:v/>
      </ns0:c>
      <ns0:c r="B335" s="219">
        <ns0:f>IFERROR(IF(AND(AH!$P$9&lt;&gt;1,$C335&gt;0,$D335&gt;0,$E335&gt;0,$F335&gt;0,$G335&gt;0,$F335&lt;=$A335,$G335&lt;=$A335,$A335-$F335&lt;=10,$A335-$G335&lt;=5),$D335*$E335/$C335-1,NA()),NA())</ns0:f>
        <ns0:v/>
      </ns0:c>
      <ns0:c r="C335">
        <ns0:f>IFERROR(IF(ISNUMBER($A335),IF(AND(AH!$P$10=1,AH!$P$12=1,$A335=TODAY()),AH!$P$19,IF(AH!$P$10=1,INDEX('Live History'!$B$5:$B$3004,AH!$P$13+330),INDEX('AH History'!$B$1:$B$18046,AH!$P$7+330))),NA()),NA())</ns0:f>
        <ns0:v/>
      </ns0:c>
      <ns0:c r="D335">
        <ns0:f>IFERROR(IF(ISNUMBER($A335),IF(AND(AH!$P$10=1,AH!$P$12=1,$A335=TODAY()),AH!$P$18,IF(AH!$P$10=1,INDEX('Live History'!$E$5:$E$3004,MATCH($A335,'Live History'!$D$5:$D$3004,1)),INDEX('AH History'!$C$1:$C$18046,AH!$P$7+330))),NA()),NA())</ns0:f>
        <ns0:v/>
      </ns0:c>
      <ns0:c r="E335">
        <ns0:f>IFERROR(IF(ISNUMBER($A335),IF(AND(AH!$P$10=1,AH!$P$12=1,$A335=TODAY()),AH!$P$20,IF(AH!$P$10=1,INDEX('Live History'!$H$5:$H$3004,MATCH($A335,'Live History'!$G$5:$G$3004,1)),INDEX('AH History'!$D$1:$D$18046,AH!$P$7+330))),NA()),NA())</ns0:f>
        <ns0:v/>
      </ns0:c>
      <ns0:c r="F335">
        <ns0:f>IFERROR(IF(ISNUMBER($A335),IF(AND(AH!$P$10=1,AH!$P$12=1,$A335=TODAY()),IF(AND(AH!$P$10=1,AH!$P$12=1,$A335=TODAY()),TODAY(),NA()),IF(AH!$P$10=1,INDEX('Live History'!$D$5:$D$3004,MATCH($A335,'Live History'!$D$5:$D$3004,1)),INDEX('AH History'!$E$1:$E$18046,AH!$P$7+330))),NA()),NA())</ns0:f>
        <ns0:v/>
      </ns0:c>
      <ns0:c r="G335">
        <ns0:f>IFERROR(IF(ISNUMBER($A335),IF(AND(AH!$P$10=1,AH!$P$12=1,$A335=TODAY()),IF(AND(AH!$P$10=1,AH!$P$12=1,$A335=TODAY()),TODAY(),NA()),IF(AH!$P$10=1,INDEX('Live History'!$G$5:$G$3004,MATCH($A335,'Live History'!$G$5:$G$3004,1)),INDEX('AH History'!$F$1:$F$18046,AH!$P$7+330))),NA()),NA())</ns0:f>
        <ns0:v/>
      </ns0:c>
      <ns0:c r="H335">
        <ns0:f>IFERROR(IF(AND(AH!$E$4="Bloomberg",AH!$P$10=1,ISNUMBER($A335),$A335&lt;=AH!$P$17),AH!$P$7-1+MATCH($A335,INDEX('AH History'!$A$1:$A$18046,AH!$P$7):INDEX('AH History'!$A$1:$A$18046,AH!$P$7+AH!$P$8-1),0),0),0)</ns0:f>
        <ns0:v/>
      </ns0:c>
      <ns0:c r="I335">
        <ns0:f>IF($H335=0,0,IFERROR(IF(AND(ABS($C335-INDEX('AH History'!$B$1:$B$18046,$H335))&lt;=MAX(0.005,ABS(INDEX('AH History'!$B$1:$B$18046,$H335))*0.00005),ABS($D335-INDEX('AH History'!$C$1:$C$18046,$H335))&lt;=MAX(0.005,ABS(INDEX('AH History'!$C$1:$C$18046,$H335))*0.00005),ABS($E335-INDEX('AH History'!$D$1:$D$18046,$H335))&lt;=0.00005,$F335=INDEX('AH History'!$E$1:$E$18046,$H335),$G335=INDEX('AH History'!$F$1:$F$18046,$H335)),1,-1),-1))</ns0:f>
        <ns0:v/>
      </ns0:c>
    </ns0:row>
    <ns0:row r="336">
      <ns0:c r="A336" s="215">
        <ns0:f>IF(OR(AH!$P$3=0,331+1&gt;AH!$P$11,AND(AH!$E$4&lt;&gt;"Stored",AH!$P$10&lt;&gt;1)),"",IFERROR(IF(AND(AH!$P$21=1,331+1=AH!$P$11),TODAY(),IF(AH!$P$10=1,INDEX('Live History'!$A$5:$A$3004,AH!$P$13+331),INDEX('AH History'!$A$1:$A$18046,AH!$P$7+331))),""))</ns0:f>
        <ns0:v/>
      </ns0:c>
      <ns0:c r="B336" s="219">
        <ns0:f>IFERROR(IF(AND(AH!$P$9&lt;&gt;1,$C336&gt;0,$D336&gt;0,$E336&gt;0,$F336&gt;0,$G336&gt;0,$F336&lt;=$A336,$G336&lt;=$A336,$A336-$F336&lt;=10,$A336-$G336&lt;=5),$D336*$E336/$C336-1,NA()),NA())</ns0:f>
        <ns0:v/>
      </ns0:c>
      <ns0:c r="C336">
        <ns0:f>IFERROR(IF(ISNUMBER($A336),IF(AND(AH!$P$10=1,AH!$P$12=1,$A336=TODAY()),AH!$P$19,IF(AH!$P$10=1,INDEX('Live History'!$B$5:$B$3004,AH!$P$13+331),INDEX('AH History'!$B$1:$B$18046,AH!$P$7+331))),NA()),NA())</ns0:f>
        <ns0:v/>
      </ns0:c>
      <ns0:c r="D336">
        <ns0:f>IFERROR(IF(ISNUMBER($A336),IF(AND(AH!$P$10=1,AH!$P$12=1,$A336=TODAY()),AH!$P$18,IF(AH!$P$10=1,INDEX('Live History'!$E$5:$E$3004,MATCH($A336,'Live History'!$D$5:$D$3004,1)),INDEX('AH History'!$C$1:$C$18046,AH!$P$7+331))),NA()),NA())</ns0:f>
        <ns0:v/>
      </ns0:c>
      <ns0:c r="E336">
        <ns0:f>IFERROR(IF(ISNUMBER($A336),IF(AND(AH!$P$10=1,AH!$P$12=1,$A336=TODAY()),AH!$P$20,IF(AH!$P$10=1,INDEX('Live History'!$H$5:$H$3004,MATCH($A336,'Live History'!$G$5:$G$3004,1)),INDEX('AH History'!$D$1:$D$18046,AH!$P$7+331))),NA()),NA())</ns0:f>
        <ns0:v/>
      </ns0:c>
      <ns0:c r="F336">
        <ns0:f>IFERROR(IF(ISNUMBER($A336),IF(AND(AH!$P$10=1,AH!$P$12=1,$A336=TODAY()),IF(AND(AH!$P$10=1,AH!$P$12=1,$A336=TODAY()),TODAY(),NA()),IF(AH!$P$10=1,INDEX('Live History'!$D$5:$D$3004,MATCH($A336,'Live History'!$D$5:$D$3004,1)),INDEX('AH History'!$E$1:$E$18046,AH!$P$7+331))),NA()),NA())</ns0:f>
        <ns0:v/>
      </ns0:c>
      <ns0:c r="G336">
        <ns0:f>IFERROR(IF(ISNUMBER($A336),IF(AND(AH!$P$10=1,AH!$P$12=1,$A336=TODAY()),IF(AND(AH!$P$10=1,AH!$P$12=1,$A336=TODAY()),TODAY(),NA()),IF(AH!$P$10=1,INDEX('Live History'!$G$5:$G$3004,MATCH($A336,'Live History'!$G$5:$G$3004,1)),INDEX('AH History'!$F$1:$F$18046,AH!$P$7+331))),NA()),NA())</ns0:f>
        <ns0:v/>
      </ns0:c>
      <ns0:c r="H336">
        <ns0:f>IFERROR(IF(AND(AH!$E$4="Bloomberg",AH!$P$10=1,ISNUMBER($A336),$A336&lt;=AH!$P$17),AH!$P$7-1+MATCH($A336,INDEX('AH History'!$A$1:$A$18046,AH!$P$7):INDEX('AH History'!$A$1:$A$18046,AH!$P$7+AH!$P$8-1),0),0),0)</ns0:f>
        <ns0:v/>
      </ns0:c>
      <ns0:c r="I336">
        <ns0:f>IF($H336=0,0,IFERROR(IF(AND(ABS($C336-INDEX('AH History'!$B$1:$B$18046,$H336))&lt;=MAX(0.005,ABS(INDEX('AH History'!$B$1:$B$18046,$H336))*0.00005),ABS($D336-INDEX('AH History'!$C$1:$C$18046,$H336))&lt;=MAX(0.005,ABS(INDEX('AH History'!$C$1:$C$18046,$H336))*0.00005),ABS($E336-INDEX('AH History'!$D$1:$D$18046,$H336))&lt;=0.00005,$F336=INDEX('AH History'!$E$1:$E$18046,$H336),$G336=INDEX('AH History'!$F$1:$F$18046,$H336)),1,-1),-1))</ns0:f>
        <ns0:v/>
      </ns0:c>
    </ns0:row>
    <ns0:row r="337">
      <ns0:c r="A337" s="215">
        <ns0:f>IF(OR(AH!$P$3=0,332+1&gt;AH!$P$11,AND(AH!$E$4&lt;&gt;"Stored",AH!$P$10&lt;&gt;1)),"",IFERROR(IF(AND(AH!$P$21=1,332+1=AH!$P$11),TODAY(),IF(AH!$P$10=1,INDEX('Live History'!$A$5:$A$3004,AH!$P$13+332),INDEX('AH History'!$A$1:$A$18046,AH!$P$7+332))),""))</ns0:f>
        <ns0:v/>
      </ns0:c>
      <ns0:c r="B337" s="219">
        <ns0:f>IFERROR(IF(AND(AH!$P$9&lt;&gt;1,$C337&gt;0,$D337&gt;0,$E337&gt;0,$F337&gt;0,$G337&gt;0,$F337&lt;=$A337,$G337&lt;=$A337,$A337-$F337&lt;=10,$A337-$G337&lt;=5),$D337*$E337/$C337-1,NA()),NA())</ns0:f>
        <ns0:v/>
      </ns0:c>
      <ns0:c r="C337">
        <ns0:f>IFERROR(IF(ISNUMBER($A337),IF(AND(AH!$P$10=1,AH!$P$12=1,$A337=TODAY()),AH!$P$19,IF(AH!$P$10=1,INDEX('Live History'!$B$5:$B$3004,AH!$P$13+332),INDEX('AH History'!$B$1:$B$18046,AH!$P$7+332))),NA()),NA())</ns0:f>
        <ns0:v/>
      </ns0:c>
      <ns0:c r="D337">
        <ns0:f>IFERROR(IF(ISNUMBER($A337),IF(AND(AH!$P$10=1,AH!$P$12=1,$A337=TODAY()),AH!$P$18,IF(AH!$P$10=1,INDEX('Live History'!$E$5:$E$3004,MATCH($A337,'Live History'!$D$5:$D$3004,1)),INDEX('AH History'!$C$1:$C$18046,AH!$P$7+332))),NA()),NA())</ns0:f>
        <ns0:v/>
      </ns0:c>
      <ns0:c r="E337">
        <ns0:f>IFERROR(IF(ISNUMBER($A337),IF(AND(AH!$P$10=1,AH!$P$12=1,$A337=TODAY()),AH!$P$20,IF(AH!$P$10=1,INDEX('Live History'!$H$5:$H$3004,MATCH($A337,'Live History'!$G$5:$G$3004,1)),INDEX('AH History'!$D$1:$D$18046,AH!$P$7+332))),NA()),NA())</ns0:f>
        <ns0:v/>
      </ns0:c>
      <ns0:c r="F337">
        <ns0:f>IFERROR(IF(ISNUMBER($A337),IF(AND(AH!$P$10=1,AH!$P$12=1,$A337=TODAY()),IF(AND(AH!$P$10=1,AH!$P$12=1,$A337=TODAY()),TODAY(),NA()),IF(AH!$P$10=1,INDEX('Live History'!$D$5:$D$3004,MATCH($A337,'Live History'!$D$5:$D$3004,1)),INDEX('AH History'!$E$1:$E$18046,AH!$P$7+332))),NA()),NA())</ns0:f>
        <ns0:v/>
      </ns0:c>
      <ns0:c r="G337">
        <ns0:f>IFERROR(IF(ISNUMBER($A337),IF(AND(AH!$P$10=1,AH!$P$12=1,$A337=TODAY()),IF(AND(AH!$P$10=1,AH!$P$12=1,$A337=TODAY()),TODAY(),NA()),IF(AH!$P$10=1,INDEX('Live History'!$G$5:$G$3004,MATCH($A337,'Live History'!$G$5:$G$3004,1)),INDEX('AH History'!$F$1:$F$18046,AH!$P$7+332))),NA()),NA())</ns0:f>
        <ns0:v/>
      </ns0:c>
      <ns0:c r="H337">
        <ns0:f>IFERROR(IF(AND(AH!$E$4="Bloomberg",AH!$P$10=1,ISNUMBER($A337),$A337&lt;=AH!$P$17),AH!$P$7-1+MATCH($A337,INDEX('AH History'!$A$1:$A$18046,AH!$P$7):INDEX('AH History'!$A$1:$A$18046,AH!$P$7+AH!$P$8-1),0),0),0)</ns0:f>
        <ns0:v/>
      </ns0:c>
      <ns0:c r="I337">
        <ns0:f>IF($H337=0,0,IFERROR(IF(AND(ABS($C337-INDEX('AH History'!$B$1:$B$18046,$H337))&lt;=MAX(0.005,ABS(INDEX('AH History'!$B$1:$B$18046,$H337))*0.00005),ABS($D337-INDEX('AH History'!$C$1:$C$18046,$H337))&lt;=MAX(0.005,ABS(INDEX('AH History'!$C$1:$C$18046,$H337))*0.00005),ABS($E337-INDEX('AH History'!$D$1:$D$18046,$H337))&lt;=0.00005,$F337=INDEX('AH History'!$E$1:$E$18046,$H337),$G337=INDEX('AH History'!$F$1:$F$18046,$H337)),1,-1),-1))</ns0:f>
        <ns0:v/>
      </ns0:c>
    </ns0:row>
    <ns0:row r="338">
      <ns0:c r="A338" s="215">
        <ns0:f>IF(OR(AH!$P$3=0,333+1&gt;AH!$P$11,AND(AH!$E$4&lt;&gt;"Stored",AH!$P$10&lt;&gt;1)),"",IFERROR(IF(AND(AH!$P$21=1,333+1=AH!$P$11),TODAY(),IF(AH!$P$10=1,INDEX('Live History'!$A$5:$A$3004,AH!$P$13+333),INDEX('AH History'!$A$1:$A$18046,AH!$P$7+333))),""))</ns0:f>
        <ns0:v/>
      </ns0:c>
      <ns0:c r="B338" s="219">
        <ns0:f>IFERROR(IF(AND(AH!$P$9&lt;&gt;1,$C338&gt;0,$D338&gt;0,$E338&gt;0,$F338&gt;0,$G338&gt;0,$F338&lt;=$A338,$G338&lt;=$A338,$A338-$F338&lt;=10,$A338-$G338&lt;=5),$D338*$E338/$C338-1,NA()),NA())</ns0:f>
        <ns0:v/>
      </ns0:c>
      <ns0:c r="C338">
        <ns0:f>IFERROR(IF(ISNUMBER($A338),IF(AND(AH!$P$10=1,AH!$P$12=1,$A338=TODAY()),AH!$P$19,IF(AH!$P$10=1,INDEX('Live History'!$B$5:$B$3004,AH!$P$13+333),INDEX('AH History'!$B$1:$B$18046,AH!$P$7+333))),NA()),NA())</ns0:f>
        <ns0:v/>
      </ns0:c>
      <ns0:c r="D338">
        <ns0:f>IFERROR(IF(ISNUMBER($A338),IF(AND(AH!$P$10=1,AH!$P$12=1,$A338=TODAY()),AH!$P$18,IF(AH!$P$10=1,INDEX('Live History'!$E$5:$E$3004,MATCH($A338,'Live History'!$D$5:$D$3004,1)),INDEX('AH History'!$C$1:$C$18046,AH!$P$7+333))),NA()),NA())</ns0:f>
        <ns0:v/>
      </ns0:c>
      <ns0:c r="E338">
        <ns0:f>IFERROR(IF(ISNUMBER($A338),IF(AND(AH!$P$10=1,AH!$P$12=1,$A338=TODAY()),AH!$P$20,IF(AH!$P$10=1,INDEX('Live History'!$H$5:$H$3004,MATCH($A338,'Live History'!$G$5:$G$3004,1)),INDEX('AH History'!$D$1:$D$18046,AH!$P$7+333))),NA()),NA())</ns0:f>
        <ns0:v/>
      </ns0:c>
      <ns0:c r="F338">
        <ns0:f>IFERROR(IF(ISNUMBER($A338),IF(AND(AH!$P$10=1,AH!$P$12=1,$A338=TODAY()),IF(AND(AH!$P$10=1,AH!$P$12=1,$A338=TODAY()),TODAY(),NA()),IF(AH!$P$10=1,INDEX('Live History'!$D$5:$D$3004,MATCH($A338,'Live History'!$D$5:$D$3004,1)),INDEX('AH History'!$E$1:$E$18046,AH!$P$7+333))),NA()),NA())</ns0:f>
        <ns0:v/>
      </ns0:c>
      <ns0:c r="G338">
        <ns0:f>IFERROR(IF(ISNUMBER($A338),IF(AND(AH!$P$10=1,AH!$P$12=1,$A338=TODAY()),IF(AND(AH!$P$10=1,AH!$P$12=1,$A338=TODAY()),TODAY(),NA()),IF(AH!$P$10=1,INDEX('Live History'!$G$5:$G$3004,MATCH($A338,'Live History'!$G$5:$G$3004,1)),INDEX('AH History'!$F$1:$F$18046,AH!$P$7+333))),NA()),NA())</ns0:f>
        <ns0:v/>
      </ns0:c>
      <ns0:c r="H338">
        <ns0:f>IFERROR(IF(AND(AH!$E$4="Bloomberg",AH!$P$10=1,ISNUMBER($A338),$A338&lt;=AH!$P$17),AH!$P$7-1+MATCH($A338,INDEX('AH History'!$A$1:$A$18046,AH!$P$7):INDEX('AH History'!$A$1:$A$18046,AH!$P$7+AH!$P$8-1),0),0),0)</ns0:f>
        <ns0:v/>
      </ns0:c>
      <ns0:c r="I338">
        <ns0:f>IF($H338=0,0,IFERROR(IF(AND(ABS($C338-INDEX('AH History'!$B$1:$B$18046,$H338))&lt;=MAX(0.005,ABS(INDEX('AH History'!$B$1:$B$18046,$H338))*0.00005),ABS($D338-INDEX('AH History'!$C$1:$C$18046,$H338))&lt;=MAX(0.005,ABS(INDEX('AH History'!$C$1:$C$18046,$H338))*0.00005),ABS($E338-INDEX('AH History'!$D$1:$D$18046,$H338))&lt;=0.00005,$F338=INDEX('AH History'!$E$1:$E$18046,$H338),$G338=INDEX('AH History'!$F$1:$F$18046,$H338)),1,-1),-1))</ns0:f>
        <ns0:v/>
      </ns0:c>
    </ns0:row>
    <ns0:row r="339">
      <ns0:c r="A339" s="215">
        <ns0:f>IF(OR(AH!$P$3=0,334+1&gt;AH!$P$11,AND(AH!$E$4&lt;&gt;"Stored",AH!$P$10&lt;&gt;1)),"",IFERROR(IF(AND(AH!$P$21=1,334+1=AH!$P$11),TODAY(),IF(AH!$P$10=1,INDEX('Live History'!$A$5:$A$3004,AH!$P$13+334),INDEX('AH History'!$A$1:$A$18046,AH!$P$7+334))),""))</ns0:f>
        <ns0:v/>
      </ns0:c>
      <ns0:c r="B339" s="219">
        <ns0:f>IFERROR(IF(AND(AH!$P$9&lt;&gt;1,$C339&gt;0,$D339&gt;0,$E339&gt;0,$F339&gt;0,$G339&gt;0,$F339&lt;=$A339,$G339&lt;=$A339,$A339-$F339&lt;=10,$A339-$G339&lt;=5),$D339*$E339/$C339-1,NA()),NA())</ns0:f>
        <ns0:v/>
      </ns0:c>
      <ns0:c r="C339">
        <ns0:f>IFERROR(IF(ISNUMBER($A339),IF(AND(AH!$P$10=1,AH!$P$12=1,$A339=TODAY()),AH!$P$19,IF(AH!$P$10=1,INDEX('Live History'!$B$5:$B$3004,AH!$P$13+334),INDEX('AH History'!$B$1:$B$18046,AH!$P$7+334))),NA()),NA())</ns0:f>
        <ns0:v/>
      </ns0:c>
      <ns0:c r="D339">
        <ns0:f>IFERROR(IF(ISNUMBER($A339),IF(AND(AH!$P$10=1,AH!$P$12=1,$A339=TODAY()),AH!$P$18,IF(AH!$P$10=1,INDEX('Live History'!$E$5:$E$3004,MATCH($A339,'Live History'!$D$5:$D$3004,1)),INDEX('AH History'!$C$1:$C$18046,AH!$P$7+334))),NA()),NA())</ns0:f>
        <ns0:v/>
      </ns0:c>
      <ns0:c r="E339">
        <ns0:f>IFERROR(IF(ISNUMBER($A339),IF(AND(AH!$P$10=1,AH!$P$12=1,$A339=TODAY()),AH!$P$20,IF(AH!$P$10=1,INDEX('Live History'!$H$5:$H$3004,MATCH($A339,'Live History'!$G$5:$G$3004,1)),INDEX('AH History'!$D$1:$D$18046,AH!$P$7+334))),NA()),NA())</ns0:f>
        <ns0:v/>
      </ns0:c>
      <ns0:c r="F339">
        <ns0:f>IFERROR(IF(ISNUMBER($A339),IF(AND(AH!$P$10=1,AH!$P$12=1,$A339=TODAY()),IF(AND(AH!$P$10=1,AH!$P$12=1,$A339=TODAY()),TODAY(),NA()),IF(AH!$P$10=1,INDEX('Live History'!$D$5:$D$3004,MATCH($A339,'Live History'!$D$5:$D$3004,1)),INDEX('AH History'!$E$1:$E$18046,AH!$P$7+334))),NA()),NA())</ns0:f>
        <ns0:v/>
      </ns0:c>
      <ns0:c r="G339">
        <ns0:f>IFERROR(IF(ISNUMBER($A339),IF(AND(AH!$P$10=1,AH!$P$12=1,$A339=TODAY()),IF(AND(AH!$P$10=1,AH!$P$12=1,$A339=TODAY()),TODAY(),NA()),IF(AH!$P$10=1,INDEX('Live History'!$G$5:$G$3004,MATCH($A339,'Live History'!$G$5:$G$3004,1)),INDEX('AH History'!$F$1:$F$18046,AH!$P$7+334))),NA()),NA())</ns0:f>
        <ns0:v/>
      </ns0:c>
      <ns0:c r="H339">
        <ns0:f>IFERROR(IF(AND(AH!$E$4="Bloomberg",AH!$P$10=1,ISNUMBER($A339),$A339&lt;=AH!$P$17),AH!$P$7-1+MATCH($A339,INDEX('AH History'!$A$1:$A$18046,AH!$P$7):INDEX('AH History'!$A$1:$A$18046,AH!$P$7+AH!$P$8-1),0),0),0)</ns0:f>
        <ns0:v/>
      </ns0:c>
      <ns0:c r="I339">
        <ns0:f>IF($H339=0,0,IFERROR(IF(AND(ABS($C339-INDEX('AH History'!$B$1:$B$18046,$H339))&lt;=MAX(0.005,ABS(INDEX('AH History'!$B$1:$B$18046,$H339))*0.00005),ABS($D339-INDEX('AH History'!$C$1:$C$18046,$H339))&lt;=MAX(0.005,ABS(INDEX('AH History'!$C$1:$C$18046,$H339))*0.00005),ABS($E339-INDEX('AH History'!$D$1:$D$18046,$H339))&lt;=0.00005,$F339=INDEX('AH History'!$E$1:$E$18046,$H339),$G339=INDEX('AH History'!$F$1:$F$18046,$H339)),1,-1),-1))</ns0:f>
        <ns0:v/>
      </ns0:c>
    </ns0:row>
    <ns0:row r="340">
      <ns0:c r="A340" s="215">
        <ns0:f>IF(OR(AH!$P$3=0,335+1&gt;AH!$P$11,AND(AH!$E$4&lt;&gt;"Stored",AH!$P$10&lt;&gt;1)),"",IFERROR(IF(AND(AH!$P$21=1,335+1=AH!$P$11),TODAY(),IF(AH!$P$10=1,INDEX('Live History'!$A$5:$A$3004,AH!$P$13+335),INDEX('AH History'!$A$1:$A$18046,AH!$P$7+335))),""))</ns0:f>
        <ns0:v/>
      </ns0:c>
      <ns0:c r="B340" s="219">
        <ns0:f>IFERROR(IF(AND(AH!$P$9&lt;&gt;1,$C340&gt;0,$D340&gt;0,$E340&gt;0,$F340&gt;0,$G340&gt;0,$F340&lt;=$A340,$G340&lt;=$A340,$A340-$F340&lt;=10,$A340-$G340&lt;=5),$D340*$E340/$C340-1,NA()),NA())</ns0:f>
        <ns0:v/>
      </ns0:c>
      <ns0:c r="C340">
        <ns0:f>IFERROR(IF(ISNUMBER($A340),IF(AND(AH!$P$10=1,AH!$P$12=1,$A340=TODAY()),AH!$P$19,IF(AH!$P$10=1,INDEX('Live History'!$B$5:$B$3004,AH!$P$13+335),INDEX('AH History'!$B$1:$B$18046,AH!$P$7+335))),NA()),NA())</ns0:f>
        <ns0:v/>
      </ns0:c>
      <ns0:c r="D340">
        <ns0:f>IFERROR(IF(ISNUMBER($A340),IF(AND(AH!$P$10=1,AH!$P$12=1,$A340=TODAY()),AH!$P$18,IF(AH!$P$10=1,INDEX('Live History'!$E$5:$E$3004,MATCH($A340,'Live History'!$D$5:$D$3004,1)),INDEX('AH History'!$C$1:$C$18046,AH!$P$7+335))),NA()),NA())</ns0:f>
        <ns0:v/>
      </ns0:c>
      <ns0:c r="E340">
        <ns0:f>IFERROR(IF(ISNUMBER($A340),IF(AND(AH!$P$10=1,AH!$P$12=1,$A340=TODAY()),AH!$P$20,IF(AH!$P$10=1,INDEX('Live History'!$H$5:$H$3004,MATCH($A340,'Live History'!$G$5:$G$3004,1)),INDEX('AH History'!$D$1:$D$18046,AH!$P$7+335))),NA()),NA())</ns0:f>
        <ns0:v/>
      </ns0:c>
      <ns0:c r="F340">
        <ns0:f>IFERROR(IF(ISNUMBER($A340),IF(AND(AH!$P$10=1,AH!$P$12=1,$A340=TODAY()),IF(AND(AH!$P$10=1,AH!$P$12=1,$A340=TODAY()),TODAY(),NA()),IF(AH!$P$10=1,INDEX('Live History'!$D$5:$D$3004,MATCH($A340,'Live History'!$D$5:$D$3004,1)),INDEX('AH History'!$E$1:$E$18046,AH!$P$7+335))),NA()),NA())</ns0:f>
        <ns0:v/>
      </ns0:c>
      <ns0:c r="G340">
        <ns0:f>IFERROR(IF(ISNUMBER($A340),IF(AND(AH!$P$10=1,AH!$P$12=1,$A340=TODAY()),IF(AND(AH!$P$10=1,AH!$P$12=1,$A340=TODAY()),TODAY(),NA()),IF(AH!$P$10=1,INDEX('Live History'!$G$5:$G$3004,MATCH($A340,'Live History'!$G$5:$G$3004,1)),INDEX('AH History'!$F$1:$F$18046,AH!$P$7+335))),NA()),NA())</ns0:f>
        <ns0:v/>
      </ns0:c>
      <ns0:c r="H340">
        <ns0:f>IFERROR(IF(AND(AH!$E$4="Bloomberg",AH!$P$10=1,ISNUMBER($A340),$A340&lt;=AH!$P$17),AH!$P$7-1+MATCH($A340,INDEX('AH History'!$A$1:$A$18046,AH!$P$7):INDEX('AH History'!$A$1:$A$18046,AH!$P$7+AH!$P$8-1),0),0),0)</ns0:f>
        <ns0:v/>
      </ns0:c>
      <ns0:c r="I340">
        <ns0:f>IF($H340=0,0,IFERROR(IF(AND(ABS($C340-INDEX('AH History'!$B$1:$B$18046,$H340))&lt;=MAX(0.005,ABS(INDEX('AH History'!$B$1:$B$18046,$H340))*0.00005),ABS($D340-INDEX('AH History'!$C$1:$C$18046,$H340))&lt;=MAX(0.005,ABS(INDEX('AH History'!$C$1:$C$18046,$H340))*0.00005),ABS($E340-INDEX('AH History'!$D$1:$D$18046,$H340))&lt;=0.00005,$F340=INDEX('AH History'!$E$1:$E$18046,$H340),$G340=INDEX('AH History'!$F$1:$F$18046,$H340)),1,-1),-1))</ns0:f>
        <ns0:v/>
      </ns0:c>
    </ns0:row>
    <ns0:row r="341">
      <ns0:c r="A341" s="215">
        <ns0:f>IF(OR(AH!$P$3=0,336+1&gt;AH!$P$11,AND(AH!$E$4&lt;&gt;"Stored",AH!$P$10&lt;&gt;1)),"",IFERROR(IF(AND(AH!$P$21=1,336+1=AH!$P$11),TODAY(),IF(AH!$P$10=1,INDEX('Live History'!$A$5:$A$3004,AH!$P$13+336),INDEX('AH History'!$A$1:$A$18046,AH!$P$7+336))),""))</ns0:f>
        <ns0:v/>
      </ns0:c>
      <ns0:c r="B341" s="219">
        <ns0:f>IFERROR(IF(AND(AH!$P$9&lt;&gt;1,$C341&gt;0,$D341&gt;0,$E341&gt;0,$F341&gt;0,$G341&gt;0,$F341&lt;=$A341,$G341&lt;=$A341,$A341-$F341&lt;=10,$A341-$G341&lt;=5),$D341*$E341/$C341-1,NA()),NA())</ns0:f>
        <ns0:v/>
      </ns0:c>
      <ns0:c r="C341">
        <ns0:f>IFERROR(IF(ISNUMBER($A341),IF(AND(AH!$P$10=1,AH!$P$12=1,$A341=TODAY()),AH!$P$19,IF(AH!$P$10=1,INDEX('Live History'!$B$5:$B$3004,AH!$P$13+336),INDEX('AH History'!$B$1:$B$18046,AH!$P$7+336))),NA()),NA())</ns0:f>
        <ns0:v/>
      </ns0:c>
      <ns0:c r="D341">
        <ns0:f>IFERROR(IF(ISNUMBER($A341),IF(AND(AH!$P$10=1,AH!$P$12=1,$A341=TODAY()),AH!$P$18,IF(AH!$P$10=1,INDEX('Live History'!$E$5:$E$3004,MATCH($A341,'Live History'!$D$5:$D$3004,1)),INDEX('AH History'!$C$1:$C$18046,AH!$P$7+336))),NA()),NA())</ns0:f>
        <ns0:v/>
      </ns0:c>
      <ns0:c r="E341">
        <ns0:f>IFERROR(IF(ISNUMBER($A341),IF(AND(AH!$P$10=1,AH!$P$12=1,$A341=TODAY()),AH!$P$20,IF(AH!$P$10=1,INDEX('Live History'!$H$5:$H$3004,MATCH($A341,'Live History'!$G$5:$G$3004,1)),INDEX('AH History'!$D$1:$D$18046,AH!$P$7+336))),NA()),NA())</ns0:f>
        <ns0:v/>
      </ns0:c>
      <ns0:c r="F341">
        <ns0:f>IFERROR(IF(ISNUMBER($A341),IF(AND(AH!$P$10=1,AH!$P$12=1,$A341=TODAY()),IF(AND(AH!$P$10=1,AH!$P$12=1,$A341=TODAY()),TODAY(),NA()),IF(AH!$P$10=1,INDEX('Live History'!$D$5:$D$3004,MATCH($A341,'Live History'!$D$5:$D$3004,1)),INDEX('AH History'!$E$1:$E$18046,AH!$P$7+336))),NA()),NA())</ns0:f>
        <ns0:v/>
      </ns0:c>
      <ns0:c r="G341">
        <ns0:f>IFERROR(IF(ISNUMBER($A341),IF(AND(AH!$P$10=1,AH!$P$12=1,$A341=TODAY()),IF(AND(AH!$P$10=1,AH!$P$12=1,$A341=TODAY()),TODAY(),NA()),IF(AH!$P$10=1,INDEX('Live History'!$G$5:$G$3004,MATCH($A341,'Live History'!$G$5:$G$3004,1)),INDEX('AH History'!$F$1:$F$18046,AH!$P$7+336))),NA()),NA())</ns0:f>
        <ns0:v/>
      </ns0:c>
      <ns0:c r="H341">
        <ns0:f>IFERROR(IF(AND(AH!$E$4="Bloomberg",AH!$P$10=1,ISNUMBER($A341),$A341&lt;=AH!$P$17),AH!$P$7-1+MATCH($A341,INDEX('AH History'!$A$1:$A$18046,AH!$P$7):INDEX('AH History'!$A$1:$A$18046,AH!$P$7+AH!$P$8-1),0),0),0)</ns0:f>
        <ns0:v/>
      </ns0:c>
      <ns0:c r="I341">
        <ns0:f>IF($H341=0,0,IFERROR(IF(AND(ABS($C341-INDEX('AH History'!$B$1:$B$18046,$H341))&lt;=MAX(0.005,ABS(INDEX('AH History'!$B$1:$B$18046,$H341))*0.00005),ABS($D341-INDEX('AH History'!$C$1:$C$18046,$H341))&lt;=MAX(0.005,ABS(INDEX('AH History'!$C$1:$C$18046,$H341))*0.00005),ABS($E341-INDEX('AH History'!$D$1:$D$18046,$H341))&lt;=0.00005,$F341=INDEX('AH History'!$E$1:$E$18046,$H341),$G341=INDEX('AH History'!$F$1:$F$18046,$H341)),1,-1),-1))</ns0:f>
        <ns0:v/>
      </ns0:c>
    </ns0:row>
    <ns0:row r="342">
      <ns0:c r="A342" s="215">
        <ns0:f>IF(OR(AH!$P$3=0,337+1&gt;AH!$P$11,AND(AH!$E$4&lt;&gt;"Stored",AH!$P$10&lt;&gt;1)),"",IFERROR(IF(AND(AH!$P$21=1,337+1=AH!$P$11),TODAY(),IF(AH!$P$10=1,INDEX('Live History'!$A$5:$A$3004,AH!$P$13+337),INDEX('AH History'!$A$1:$A$18046,AH!$P$7+337))),""))</ns0:f>
        <ns0:v/>
      </ns0:c>
      <ns0:c r="B342" s="219">
        <ns0:f>IFERROR(IF(AND(AH!$P$9&lt;&gt;1,$C342&gt;0,$D342&gt;0,$E342&gt;0,$F342&gt;0,$G342&gt;0,$F342&lt;=$A342,$G342&lt;=$A342,$A342-$F342&lt;=10,$A342-$G342&lt;=5),$D342*$E342/$C342-1,NA()),NA())</ns0:f>
        <ns0:v/>
      </ns0:c>
      <ns0:c r="C342">
        <ns0:f>IFERROR(IF(ISNUMBER($A342),IF(AND(AH!$P$10=1,AH!$P$12=1,$A342=TODAY()),AH!$P$19,IF(AH!$P$10=1,INDEX('Live History'!$B$5:$B$3004,AH!$P$13+337),INDEX('AH History'!$B$1:$B$18046,AH!$P$7+337))),NA()),NA())</ns0:f>
        <ns0:v/>
      </ns0:c>
      <ns0:c r="D342">
        <ns0:f>IFERROR(IF(ISNUMBER($A342),IF(AND(AH!$P$10=1,AH!$P$12=1,$A342=TODAY()),AH!$P$18,IF(AH!$P$10=1,INDEX('Live History'!$E$5:$E$3004,MATCH($A342,'Live History'!$D$5:$D$3004,1)),INDEX('AH History'!$C$1:$C$18046,AH!$P$7+337))),NA()),NA())</ns0:f>
        <ns0:v/>
      </ns0:c>
      <ns0:c r="E342">
        <ns0:f>IFERROR(IF(ISNUMBER($A342),IF(AND(AH!$P$10=1,AH!$P$12=1,$A342=TODAY()),AH!$P$20,IF(AH!$P$10=1,INDEX('Live History'!$H$5:$H$3004,MATCH($A342,'Live History'!$G$5:$G$3004,1)),INDEX('AH History'!$D$1:$D$18046,AH!$P$7+337))),NA()),NA())</ns0:f>
        <ns0:v/>
      </ns0:c>
      <ns0:c r="F342">
        <ns0:f>IFERROR(IF(ISNUMBER($A342),IF(AND(AH!$P$10=1,AH!$P$12=1,$A342=TODAY()),IF(AND(AH!$P$10=1,AH!$P$12=1,$A342=TODAY()),TODAY(),NA()),IF(AH!$P$10=1,INDEX('Live History'!$D$5:$D$3004,MATCH($A342,'Live History'!$D$5:$D$3004,1)),INDEX('AH History'!$E$1:$E$18046,AH!$P$7+337))),NA()),NA())</ns0:f>
        <ns0:v/>
      </ns0:c>
      <ns0:c r="G342">
        <ns0:f>IFERROR(IF(ISNUMBER($A342),IF(AND(AH!$P$10=1,AH!$P$12=1,$A342=TODAY()),IF(AND(AH!$P$10=1,AH!$P$12=1,$A342=TODAY()),TODAY(),NA()),IF(AH!$P$10=1,INDEX('Live History'!$G$5:$G$3004,MATCH($A342,'Live History'!$G$5:$G$3004,1)),INDEX('AH History'!$F$1:$F$18046,AH!$P$7+337))),NA()),NA())</ns0:f>
        <ns0:v/>
      </ns0:c>
      <ns0:c r="H342">
        <ns0:f>IFERROR(IF(AND(AH!$E$4="Bloomberg",AH!$P$10=1,ISNUMBER($A342),$A342&lt;=AH!$P$17),AH!$P$7-1+MATCH($A342,INDEX('AH History'!$A$1:$A$18046,AH!$P$7):INDEX('AH History'!$A$1:$A$18046,AH!$P$7+AH!$P$8-1),0),0),0)</ns0:f>
        <ns0:v/>
      </ns0:c>
      <ns0:c r="I342">
        <ns0:f>IF($H342=0,0,IFERROR(IF(AND(ABS($C342-INDEX('AH History'!$B$1:$B$18046,$H342))&lt;=MAX(0.005,ABS(INDEX('AH History'!$B$1:$B$18046,$H342))*0.00005),ABS($D342-INDEX('AH History'!$C$1:$C$18046,$H342))&lt;=MAX(0.005,ABS(INDEX('AH History'!$C$1:$C$18046,$H342))*0.00005),ABS($E342-INDEX('AH History'!$D$1:$D$18046,$H342))&lt;=0.00005,$F342=INDEX('AH History'!$E$1:$E$18046,$H342),$G342=INDEX('AH History'!$F$1:$F$18046,$H342)),1,-1),-1))</ns0:f>
        <ns0:v/>
      </ns0:c>
    </ns0:row>
    <ns0:row r="343">
      <ns0:c r="A343" s="215">
        <ns0:f>IF(OR(AH!$P$3=0,338+1&gt;AH!$P$11,AND(AH!$E$4&lt;&gt;"Stored",AH!$P$10&lt;&gt;1)),"",IFERROR(IF(AND(AH!$P$21=1,338+1=AH!$P$11),TODAY(),IF(AH!$P$10=1,INDEX('Live History'!$A$5:$A$3004,AH!$P$13+338),INDEX('AH History'!$A$1:$A$18046,AH!$P$7+338))),""))</ns0:f>
        <ns0:v/>
      </ns0:c>
      <ns0:c r="B343" s="219">
        <ns0:f>IFERROR(IF(AND(AH!$P$9&lt;&gt;1,$C343&gt;0,$D343&gt;0,$E343&gt;0,$F343&gt;0,$G343&gt;0,$F343&lt;=$A343,$G343&lt;=$A343,$A343-$F343&lt;=10,$A343-$G343&lt;=5),$D343*$E343/$C343-1,NA()),NA())</ns0:f>
        <ns0:v/>
      </ns0:c>
      <ns0:c r="C343">
        <ns0:f>IFERROR(IF(ISNUMBER($A343),IF(AND(AH!$P$10=1,AH!$P$12=1,$A343=TODAY()),AH!$P$19,IF(AH!$P$10=1,INDEX('Live History'!$B$5:$B$3004,AH!$P$13+338),INDEX('AH History'!$B$1:$B$18046,AH!$P$7+338))),NA()),NA())</ns0:f>
        <ns0:v/>
      </ns0:c>
      <ns0:c r="D343">
        <ns0:f>IFERROR(IF(ISNUMBER($A343),IF(AND(AH!$P$10=1,AH!$P$12=1,$A343=TODAY()),AH!$P$18,IF(AH!$P$10=1,INDEX('Live History'!$E$5:$E$3004,MATCH($A343,'Live History'!$D$5:$D$3004,1)),INDEX('AH History'!$C$1:$C$18046,AH!$P$7+338))),NA()),NA())</ns0:f>
        <ns0:v/>
      </ns0:c>
      <ns0:c r="E343">
        <ns0:f>IFERROR(IF(ISNUMBER($A343),IF(AND(AH!$P$10=1,AH!$P$12=1,$A343=TODAY()),AH!$P$20,IF(AH!$P$10=1,INDEX('Live History'!$H$5:$H$3004,MATCH($A343,'Live History'!$G$5:$G$3004,1)),INDEX('AH History'!$D$1:$D$18046,AH!$P$7+338))),NA()),NA())</ns0:f>
        <ns0:v/>
      </ns0:c>
      <ns0:c r="F343">
        <ns0:f>IFERROR(IF(ISNUMBER($A343),IF(AND(AH!$P$10=1,AH!$P$12=1,$A343=TODAY()),IF(AND(AH!$P$10=1,AH!$P$12=1,$A343=TODAY()),TODAY(),NA()),IF(AH!$P$10=1,INDEX('Live History'!$D$5:$D$3004,MATCH($A343,'Live History'!$D$5:$D$3004,1)),INDEX('AH History'!$E$1:$E$18046,AH!$P$7+338))),NA()),NA())</ns0:f>
        <ns0:v/>
      </ns0:c>
      <ns0:c r="G343">
        <ns0:f>IFERROR(IF(ISNUMBER($A343),IF(AND(AH!$P$10=1,AH!$P$12=1,$A343=TODAY()),IF(AND(AH!$P$10=1,AH!$P$12=1,$A343=TODAY()),TODAY(),NA()),IF(AH!$P$10=1,INDEX('Live History'!$G$5:$G$3004,MATCH($A343,'Live History'!$G$5:$G$3004,1)),INDEX('AH History'!$F$1:$F$18046,AH!$P$7+338))),NA()),NA())</ns0:f>
        <ns0:v/>
      </ns0:c>
      <ns0:c r="H343">
        <ns0:f>IFERROR(IF(AND(AH!$E$4="Bloomberg",AH!$P$10=1,ISNUMBER($A343),$A343&lt;=AH!$P$17),AH!$P$7-1+MATCH($A343,INDEX('AH History'!$A$1:$A$18046,AH!$P$7):INDEX('AH History'!$A$1:$A$18046,AH!$P$7+AH!$P$8-1),0),0),0)</ns0:f>
        <ns0:v/>
      </ns0:c>
      <ns0:c r="I343">
        <ns0:f>IF($H343=0,0,IFERROR(IF(AND(ABS($C343-INDEX('AH History'!$B$1:$B$18046,$H343))&lt;=MAX(0.005,ABS(INDEX('AH History'!$B$1:$B$18046,$H343))*0.00005),ABS($D343-INDEX('AH History'!$C$1:$C$18046,$H343))&lt;=MAX(0.005,ABS(INDEX('AH History'!$C$1:$C$18046,$H343))*0.00005),ABS($E343-INDEX('AH History'!$D$1:$D$18046,$H343))&lt;=0.00005,$F343=INDEX('AH History'!$E$1:$E$18046,$H343),$G343=INDEX('AH History'!$F$1:$F$18046,$H343)),1,-1),-1))</ns0:f>
        <ns0:v/>
      </ns0:c>
    </ns0:row>
    <ns0:row r="344">
      <ns0:c r="A344" s="215">
        <ns0:f>IF(OR(AH!$P$3=0,339+1&gt;AH!$P$11,AND(AH!$E$4&lt;&gt;"Stored",AH!$P$10&lt;&gt;1)),"",IFERROR(IF(AND(AH!$P$21=1,339+1=AH!$P$11),TODAY(),IF(AH!$P$10=1,INDEX('Live History'!$A$5:$A$3004,AH!$P$13+339),INDEX('AH History'!$A$1:$A$18046,AH!$P$7+339))),""))</ns0:f>
        <ns0:v/>
      </ns0:c>
      <ns0:c r="B344" s="219">
        <ns0:f>IFERROR(IF(AND(AH!$P$9&lt;&gt;1,$C344&gt;0,$D344&gt;0,$E344&gt;0,$F344&gt;0,$G344&gt;0,$F344&lt;=$A344,$G344&lt;=$A344,$A344-$F344&lt;=10,$A344-$G344&lt;=5),$D344*$E344/$C344-1,NA()),NA())</ns0:f>
        <ns0:v/>
      </ns0:c>
      <ns0:c r="C344">
        <ns0:f>IFERROR(IF(ISNUMBER($A344),IF(AND(AH!$P$10=1,AH!$P$12=1,$A344=TODAY()),AH!$P$19,IF(AH!$P$10=1,INDEX('Live History'!$B$5:$B$3004,AH!$P$13+339),INDEX('AH History'!$B$1:$B$18046,AH!$P$7+339))),NA()),NA())</ns0:f>
        <ns0:v/>
      </ns0:c>
      <ns0:c r="D344">
        <ns0:f>IFERROR(IF(ISNUMBER($A344),IF(AND(AH!$P$10=1,AH!$P$12=1,$A344=TODAY()),AH!$P$18,IF(AH!$P$10=1,INDEX('Live History'!$E$5:$E$3004,MATCH($A344,'Live History'!$D$5:$D$3004,1)),INDEX('AH History'!$C$1:$C$18046,AH!$P$7+339))),NA()),NA())</ns0:f>
        <ns0:v/>
      </ns0:c>
      <ns0:c r="E344">
        <ns0:f>IFERROR(IF(ISNUMBER($A344),IF(AND(AH!$P$10=1,AH!$P$12=1,$A344=TODAY()),AH!$P$20,IF(AH!$P$10=1,INDEX('Live History'!$H$5:$H$3004,MATCH($A344,'Live History'!$G$5:$G$3004,1)),INDEX('AH History'!$D$1:$D$18046,AH!$P$7+339))),NA()),NA())</ns0:f>
        <ns0:v/>
      </ns0:c>
      <ns0:c r="F344">
        <ns0:f>IFERROR(IF(ISNUMBER($A344),IF(AND(AH!$P$10=1,AH!$P$12=1,$A344=TODAY()),IF(AND(AH!$P$10=1,AH!$P$12=1,$A344=TODAY()),TODAY(),NA()),IF(AH!$P$10=1,INDEX('Live History'!$D$5:$D$3004,MATCH($A344,'Live History'!$D$5:$D$3004,1)),INDEX('AH History'!$E$1:$E$18046,AH!$P$7+339))),NA()),NA())</ns0:f>
        <ns0:v/>
      </ns0:c>
      <ns0:c r="G344">
        <ns0:f>IFERROR(IF(ISNUMBER($A344),IF(AND(AH!$P$10=1,AH!$P$12=1,$A344=TODAY()),IF(AND(AH!$P$10=1,AH!$P$12=1,$A344=TODAY()),TODAY(),NA()),IF(AH!$P$10=1,INDEX('Live History'!$G$5:$G$3004,MATCH($A344,'Live History'!$G$5:$G$3004,1)),INDEX('AH History'!$F$1:$F$18046,AH!$P$7+339))),NA()),NA())</ns0:f>
        <ns0:v/>
      </ns0:c>
      <ns0:c r="H344">
        <ns0:f>IFERROR(IF(AND(AH!$E$4="Bloomberg",AH!$P$10=1,ISNUMBER($A344),$A344&lt;=AH!$P$17),AH!$P$7-1+MATCH($A344,INDEX('AH History'!$A$1:$A$18046,AH!$P$7):INDEX('AH History'!$A$1:$A$18046,AH!$P$7+AH!$P$8-1),0),0),0)</ns0:f>
        <ns0:v/>
      </ns0:c>
      <ns0:c r="I344">
        <ns0:f>IF($H344=0,0,IFERROR(IF(AND(ABS($C344-INDEX('AH History'!$B$1:$B$18046,$H344))&lt;=MAX(0.005,ABS(INDEX('AH History'!$B$1:$B$18046,$H344))*0.00005),ABS($D344-INDEX('AH History'!$C$1:$C$18046,$H344))&lt;=MAX(0.005,ABS(INDEX('AH History'!$C$1:$C$18046,$H344))*0.00005),ABS($E344-INDEX('AH History'!$D$1:$D$18046,$H344))&lt;=0.00005,$F344=INDEX('AH History'!$E$1:$E$18046,$H344),$G344=INDEX('AH History'!$F$1:$F$18046,$H344)),1,-1),-1))</ns0:f>
        <ns0:v/>
      </ns0:c>
    </ns0:row>
    <ns0:row r="345">
      <ns0:c r="A345" s="215">
        <ns0:f>IF(OR(AH!$P$3=0,340+1&gt;AH!$P$11,AND(AH!$E$4&lt;&gt;"Stored",AH!$P$10&lt;&gt;1)),"",IFERROR(IF(AND(AH!$P$21=1,340+1=AH!$P$11),TODAY(),IF(AH!$P$10=1,INDEX('Live History'!$A$5:$A$3004,AH!$P$13+340),INDEX('AH History'!$A$1:$A$18046,AH!$P$7+340))),""))</ns0:f>
        <ns0:v/>
      </ns0:c>
      <ns0:c r="B345" s="219">
        <ns0:f>IFERROR(IF(AND(AH!$P$9&lt;&gt;1,$C345&gt;0,$D345&gt;0,$E345&gt;0,$F345&gt;0,$G345&gt;0,$F345&lt;=$A345,$G345&lt;=$A345,$A345-$F345&lt;=10,$A345-$G345&lt;=5),$D345*$E345/$C345-1,NA()),NA())</ns0:f>
        <ns0:v/>
      </ns0:c>
      <ns0:c r="C345">
        <ns0:f>IFERROR(IF(ISNUMBER($A345),IF(AND(AH!$P$10=1,AH!$P$12=1,$A345=TODAY()),AH!$P$19,IF(AH!$P$10=1,INDEX('Live History'!$B$5:$B$3004,AH!$P$13+340),INDEX('AH History'!$B$1:$B$18046,AH!$P$7+340))),NA()),NA())</ns0:f>
        <ns0:v/>
      </ns0:c>
      <ns0:c r="D345">
        <ns0:f>IFERROR(IF(ISNUMBER($A345),IF(AND(AH!$P$10=1,AH!$P$12=1,$A345=TODAY()),AH!$P$18,IF(AH!$P$10=1,INDEX('Live History'!$E$5:$E$3004,MATCH($A345,'Live History'!$D$5:$D$3004,1)),INDEX('AH History'!$C$1:$C$18046,AH!$P$7+340))),NA()),NA())</ns0:f>
        <ns0:v/>
      </ns0:c>
      <ns0:c r="E345">
        <ns0:f>IFERROR(IF(ISNUMBER($A345),IF(AND(AH!$P$10=1,AH!$P$12=1,$A345=TODAY()),AH!$P$20,IF(AH!$P$10=1,INDEX('Live History'!$H$5:$H$3004,MATCH($A345,'Live History'!$G$5:$G$3004,1)),INDEX('AH History'!$D$1:$D$18046,AH!$P$7+340))),NA()),NA())</ns0:f>
        <ns0:v/>
      </ns0:c>
      <ns0:c r="F345">
        <ns0:f>IFERROR(IF(ISNUMBER($A345),IF(AND(AH!$P$10=1,AH!$P$12=1,$A345=TODAY()),IF(AND(AH!$P$10=1,AH!$P$12=1,$A345=TODAY()),TODAY(),NA()),IF(AH!$P$10=1,INDEX('Live History'!$D$5:$D$3004,MATCH($A345,'Live History'!$D$5:$D$3004,1)),INDEX('AH History'!$E$1:$E$18046,AH!$P$7+340))),NA()),NA())</ns0:f>
        <ns0:v/>
      </ns0:c>
      <ns0:c r="G345">
        <ns0:f>IFERROR(IF(ISNUMBER($A345),IF(AND(AH!$P$10=1,AH!$P$12=1,$A345=TODAY()),IF(AND(AH!$P$10=1,AH!$P$12=1,$A345=TODAY()),TODAY(),NA()),IF(AH!$P$10=1,INDEX('Live History'!$G$5:$G$3004,MATCH($A345,'Live History'!$G$5:$G$3004,1)),INDEX('AH History'!$F$1:$F$18046,AH!$P$7+340))),NA()),NA())</ns0:f>
        <ns0:v/>
      </ns0:c>
      <ns0:c r="H345">
        <ns0:f>IFERROR(IF(AND(AH!$E$4="Bloomberg",AH!$P$10=1,ISNUMBER($A345),$A345&lt;=AH!$P$17),AH!$P$7-1+MATCH($A345,INDEX('AH History'!$A$1:$A$18046,AH!$P$7):INDEX('AH History'!$A$1:$A$18046,AH!$P$7+AH!$P$8-1),0),0),0)</ns0:f>
        <ns0:v/>
      </ns0:c>
      <ns0:c r="I345">
        <ns0:f>IF($H345=0,0,IFERROR(IF(AND(ABS($C345-INDEX('AH History'!$B$1:$B$18046,$H345))&lt;=MAX(0.005,ABS(INDEX('AH History'!$B$1:$B$18046,$H345))*0.00005),ABS($D345-INDEX('AH History'!$C$1:$C$18046,$H345))&lt;=MAX(0.005,ABS(INDEX('AH History'!$C$1:$C$18046,$H345))*0.00005),ABS($E345-INDEX('AH History'!$D$1:$D$18046,$H345))&lt;=0.00005,$F345=INDEX('AH History'!$E$1:$E$18046,$H345),$G345=INDEX('AH History'!$F$1:$F$18046,$H345)),1,-1),-1))</ns0:f>
        <ns0:v/>
      </ns0:c>
    </ns0:row>
    <ns0:row r="346">
      <ns0:c r="A346" s="215">
        <ns0:f>IF(OR(AH!$P$3=0,341+1&gt;AH!$P$11,AND(AH!$E$4&lt;&gt;"Stored",AH!$P$10&lt;&gt;1)),"",IFERROR(IF(AND(AH!$P$21=1,341+1=AH!$P$11),TODAY(),IF(AH!$P$10=1,INDEX('Live History'!$A$5:$A$3004,AH!$P$13+341),INDEX('AH History'!$A$1:$A$18046,AH!$P$7+341))),""))</ns0:f>
        <ns0:v/>
      </ns0:c>
      <ns0:c r="B346" s="219">
        <ns0:f>IFERROR(IF(AND(AH!$P$9&lt;&gt;1,$C346&gt;0,$D346&gt;0,$E346&gt;0,$F346&gt;0,$G346&gt;0,$F346&lt;=$A346,$G346&lt;=$A346,$A346-$F346&lt;=10,$A346-$G346&lt;=5),$D346*$E346/$C346-1,NA()),NA())</ns0:f>
        <ns0:v/>
      </ns0:c>
      <ns0:c r="C346">
        <ns0:f>IFERROR(IF(ISNUMBER($A346),IF(AND(AH!$P$10=1,AH!$P$12=1,$A346=TODAY()),AH!$P$19,IF(AH!$P$10=1,INDEX('Live History'!$B$5:$B$3004,AH!$P$13+341),INDEX('AH History'!$B$1:$B$18046,AH!$P$7+341))),NA()),NA())</ns0:f>
        <ns0:v/>
      </ns0:c>
      <ns0:c r="D346">
        <ns0:f>IFERROR(IF(ISNUMBER($A346),IF(AND(AH!$P$10=1,AH!$P$12=1,$A346=TODAY()),AH!$P$18,IF(AH!$P$10=1,INDEX('Live History'!$E$5:$E$3004,MATCH($A346,'Live History'!$D$5:$D$3004,1)),INDEX('AH History'!$C$1:$C$18046,AH!$P$7+341))),NA()),NA())</ns0:f>
        <ns0:v/>
      </ns0:c>
      <ns0:c r="E346">
        <ns0:f>IFERROR(IF(ISNUMBER($A346),IF(AND(AH!$P$10=1,AH!$P$12=1,$A346=TODAY()),AH!$P$20,IF(AH!$P$10=1,INDEX('Live History'!$H$5:$H$3004,MATCH($A346,'Live History'!$G$5:$G$3004,1)),INDEX('AH History'!$D$1:$D$18046,AH!$P$7+341))),NA()),NA())</ns0:f>
        <ns0:v/>
      </ns0:c>
      <ns0:c r="F346">
        <ns0:f>IFERROR(IF(ISNUMBER($A346),IF(AND(AH!$P$10=1,AH!$P$12=1,$A346=TODAY()),IF(AND(AH!$P$10=1,AH!$P$12=1,$A346=TODAY()),TODAY(),NA()),IF(AH!$P$10=1,INDEX('Live History'!$D$5:$D$3004,MATCH($A346,'Live History'!$D$5:$D$3004,1)),INDEX('AH History'!$E$1:$E$18046,AH!$P$7+341))),NA()),NA())</ns0:f>
        <ns0:v/>
      </ns0:c>
      <ns0:c r="G346">
        <ns0:f>IFERROR(IF(ISNUMBER($A346),IF(AND(AH!$P$10=1,AH!$P$12=1,$A346=TODAY()),IF(AND(AH!$P$10=1,AH!$P$12=1,$A346=TODAY()),TODAY(),NA()),IF(AH!$P$10=1,INDEX('Live History'!$G$5:$G$3004,MATCH($A346,'Live History'!$G$5:$G$3004,1)),INDEX('AH History'!$F$1:$F$18046,AH!$P$7+341))),NA()),NA())</ns0:f>
        <ns0:v/>
      </ns0:c>
      <ns0:c r="H346">
        <ns0:f>IFERROR(IF(AND(AH!$E$4="Bloomberg",AH!$P$10=1,ISNUMBER($A346),$A346&lt;=AH!$P$17),AH!$P$7-1+MATCH($A346,INDEX('AH History'!$A$1:$A$18046,AH!$P$7):INDEX('AH History'!$A$1:$A$18046,AH!$P$7+AH!$P$8-1),0),0),0)</ns0:f>
        <ns0:v/>
      </ns0:c>
      <ns0:c r="I346">
        <ns0:f>IF($H346=0,0,IFERROR(IF(AND(ABS($C346-INDEX('AH History'!$B$1:$B$18046,$H346))&lt;=MAX(0.005,ABS(INDEX('AH History'!$B$1:$B$18046,$H346))*0.00005),ABS($D346-INDEX('AH History'!$C$1:$C$18046,$H346))&lt;=MAX(0.005,ABS(INDEX('AH History'!$C$1:$C$18046,$H346))*0.00005),ABS($E346-INDEX('AH History'!$D$1:$D$18046,$H346))&lt;=0.00005,$F346=INDEX('AH History'!$E$1:$E$18046,$H346),$G346=INDEX('AH History'!$F$1:$F$18046,$H346)),1,-1),-1))</ns0:f>
        <ns0:v/>
      </ns0:c>
    </ns0:row>
    <ns0:row r="347">
      <ns0:c r="A347" s="215">
        <ns0:f>IF(OR(AH!$P$3=0,342+1&gt;AH!$P$11,AND(AH!$E$4&lt;&gt;"Stored",AH!$P$10&lt;&gt;1)),"",IFERROR(IF(AND(AH!$P$21=1,342+1=AH!$P$11),TODAY(),IF(AH!$P$10=1,INDEX('Live History'!$A$5:$A$3004,AH!$P$13+342),INDEX('AH History'!$A$1:$A$18046,AH!$P$7+342))),""))</ns0:f>
        <ns0:v/>
      </ns0:c>
      <ns0:c r="B347" s="219">
        <ns0:f>IFERROR(IF(AND(AH!$P$9&lt;&gt;1,$C347&gt;0,$D347&gt;0,$E347&gt;0,$F347&gt;0,$G347&gt;0,$F347&lt;=$A347,$G347&lt;=$A347,$A347-$F347&lt;=10,$A347-$G347&lt;=5),$D347*$E347/$C347-1,NA()),NA())</ns0:f>
        <ns0:v/>
      </ns0:c>
      <ns0:c r="C347">
        <ns0:f>IFERROR(IF(ISNUMBER($A347),IF(AND(AH!$P$10=1,AH!$P$12=1,$A347=TODAY()),AH!$P$19,IF(AH!$P$10=1,INDEX('Live History'!$B$5:$B$3004,AH!$P$13+342),INDEX('AH History'!$B$1:$B$18046,AH!$P$7+342))),NA()),NA())</ns0:f>
        <ns0:v/>
      </ns0:c>
      <ns0:c r="D347">
        <ns0:f>IFERROR(IF(ISNUMBER($A347),IF(AND(AH!$P$10=1,AH!$P$12=1,$A347=TODAY()),AH!$P$18,IF(AH!$P$10=1,INDEX('Live History'!$E$5:$E$3004,MATCH($A347,'Live History'!$D$5:$D$3004,1)),INDEX('AH History'!$C$1:$C$18046,AH!$P$7+342))),NA()),NA())</ns0:f>
        <ns0:v/>
      </ns0:c>
      <ns0:c r="E347">
        <ns0:f>IFERROR(IF(ISNUMBER($A347),IF(AND(AH!$P$10=1,AH!$P$12=1,$A347=TODAY()),AH!$P$20,IF(AH!$P$10=1,INDEX('Live History'!$H$5:$H$3004,MATCH($A347,'Live History'!$G$5:$G$3004,1)),INDEX('AH History'!$D$1:$D$18046,AH!$P$7+342))),NA()),NA())</ns0:f>
        <ns0:v/>
      </ns0:c>
      <ns0:c r="F347">
        <ns0:f>IFERROR(IF(ISNUMBER($A347),IF(AND(AH!$P$10=1,AH!$P$12=1,$A347=TODAY()),IF(AND(AH!$P$10=1,AH!$P$12=1,$A347=TODAY()),TODAY(),NA()),IF(AH!$P$10=1,INDEX('Live History'!$D$5:$D$3004,MATCH($A347,'Live History'!$D$5:$D$3004,1)),INDEX('AH History'!$E$1:$E$18046,AH!$P$7+342))),NA()),NA())</ns0:f>
        <ns0:v/>
      </ns0:c>
      <ns0:c r="G347">
        <ns0:f>IFERROR(IF(ISNUMBER($A347),IF(AND(AH!$P$10=1,AH!$P$12=1,$A347=TODAY()),IF(AND(AH!$P$10=1,AH!$P$12=1,$A347=TODAY()),TODAY(),NA()),IF(AH!$P$10=1,INDEX('Live History'!$G$5:$G$3004,MATCH($A347,'Live History'!$G$5:$G$3004,1)),INDEX('AH History'!$F$1:$F$18046,AH!$P$7+342))),NA()),NA())</ns0:f>
        <ns0:v/>
      </ns0:c>
      <ns0:c r="H347">
        <ns0:f>IFERROR(IF(AND(AH!$E$4="Bloomberg",AH!$P$10=1,ISNUMBER($A347),$A347&lt;=AH!$P$17),AH!$P$7-1+MATCH($A347,INDEX('AH History'!$A$1:$A$18046,AH!$P$7):INDEX('AH History'!$A$1:$A$18046,AH!$P$7+AH!$P$8-1),0),0),0)</ns0:f>
        <ns0:v/>
      </ns0:c>
      <ns0:c r="I347">
        <ns0:f>IF($H347=0,0,IFERROR(IF(AND(ABS($C347-INDEX('AH History'!$B$1:$B$18046,$H347))&lt;=MAX(0.005,ABS(INDEX('AH History'!$B$1:$B$18046,$H347))*0.00005),ABS($D347-INDEX('AH History'!$C$1:$C$18046,$H347))&lt;=MAX(0.005,ABS(INDEX('AH History'!$C$1:$C$18046,$H347))*0.00005),ABS($E347-INDEX('AH History'!$D$1:$D$18046,$H347))&lt;=0.00005,$F347=INDEX('AH History'!$E$1:$E$18046,$H347),$G347=INDEX('AH History'!$F$1:$F$18046,$H347)),1,-1),-1))</ns0:f>
        <ns0:v/>
      </ns0:c>
    </ns0:row>
    <ns0:row r="348">
      <ns0:c r="A348" s="215">
        <ns0:f>IF(OR(AH!$P$3=0,343+1&gt;AH!$P$11,AND(AH!$E$4&lt;&gt;"Stored",AH!$P$10&lt;&gt;1)),"",IFERROR(IF(AND(AH!$P$21=1,343+1=AH!$P$11),TODAY(),IF(AH!$P$10=1,INDEX('Live History'!$A$5:$A$3004,AH!$P$13+343),INDEX('AH History'!$A$1:$A$18046,AH!$P$7+343))),""))</ns0:f>
        <ns0:v/>
      </ns0:c>
      <ns0:c r="B348" s="219">
        <ns0:f>IFERROR(IF(AND(AH!$P$9&lt;&gt;1,$C348&gt;0,$D348&gt;0,$E348&gt;0,$F348&gt;0,$G348&gt;0,$F348&lt;=$A348,$G348&lt;=$A348,$A348-$F348&lt;=10,$A348-$G348&lt;=5),$D348*$E348/$C348-1,NA()),NA())</ns0:f>
        <ns0:v/>
      </ns0:c>
      <ns0:c r="C348">
        <ns0:f>IFERROR(IF(ISNUMBER($A348),IF(AND(AH!$P$10=1,AH!$P$12=1,$A348=TODAY()),AH!$P$19,IF(AH!$P$10=1,INDEX('Live History'!$B$5:$B$3004,AH!$P$13+343),INDEX('AH History'!$B$1:$B$18046,AH!$P$7+343))),NA()),NA())</ns0:f>
        <ns0:v/>
      </ns0:c>
      <ns0:c r="D348">
        <ns0:f>IFERROR(IF(ISNUMBER($A348),IF(AND(AH!$P$10=1,AH!$P$12=1,$A348=TODAY()),AH!$P$18,IF(AH!$P$10=1,INDEX('Live History'!$E$5:$E$3004,MATCH($A348,'Live History'!$D$5:$D$3004,1)),INDEX('AH History'!$C$1:$C$18046,AH!$P$7+343))),NA()),NA())</ns0:f>
        <ns0:v/>
      </ns0:c>
      <ns0:c r="E348">
        <ns0:f>IFERROR(IF(ISNUMBER($A348),IF(AND(AH!$P$10=1,AH!$P$12=1,$A348=TODAY()),AH!$P$20,IF(AH!$P$10=1,INDEX('Live History'!$H$5:$H$3004,MATCH($A348,'Live History'!$G$5:$G$3004,1)),INDEX('AH History'!$D$1:$D$18046,AH!$P$7+343))),NA()),NA())</ns0:f>
        <ns0:v/>
      </ns0:c>
      <ns0:c r="F348">
        <ns0:f>IFERROR(IF(ISNUMBER($A348),IF(AND(AH!$P$10=1,AH!$P$12=1,$A348=TODAY()),IF(AND(AH!$P$10=1,AH!$P$12=1,$A348=TODAY()),TODAY(),NA()),IF(AH!$P$10=1,INDEX('Live History'!$D$5:$D$3004,MATCH($A348,'Live History'!$D$5:$D$3004,1)),INDEX('AH History'!$E$1:$E$18046,AH!$P$7+343))),NA()),NA())</ns0:f>
        <ns0:v/>
      </ns0:c>
      <ns0:c r="G348">
        <ns0:f>IFERROR(IF(ISNUMBER($A348),IF(AND(AH!$P$10=1,AH!$P$12=1,$A348=TODAY()),IF(AND(AH!$P$10=1,AH!$P$12=1,$A348=TODAY()),TODAY(),NA()),IF(AH!$P$10=1,INDEX('Live History'!$G$5:$G$3004,MATCH($A348,'Live History'!$G$5:$G$3004,1)),INDEX('AH History'!$F$1:$F$18046,AH!$P$7+343))),NA()),NA())</ns0:f>
        <ns0:v/>
      </ns0:c>
      <ns0:c r="H348">
        <ns0:f>IFERROR(IF(AND(AH!$E$4="Bloomberg",AH!$P$10=1,ISNUMBER($A348),$A348&lt;=AH!$P$17),AH!$P$7-1+MATCH($A348,INDEX('AH History'!$A$1:$A$18046,AH!$P$7):INDEX('AH History'!$A$1:$A$18046,AH!$P$7+AH!$P$8-1),0),0),0)</ns0:f>
        <ns0:v/>
      </ns0:c>
      <ns0:c r="I348">
        <ns0:f>IF($H348=0,0,IFERROR(IF(AND(ABS($C348-INDEX('AH History'!$B$1:$B$18046,$H348))&lt;=MAX(0.005,ABS(INDEX('AH History'!$B$1:$B$18046,$H348))*0.00005),ABS($D348-INDEX('AH History'!$C$1:$C$18046,$H348))&lt;=MAX(0.005,ABS(INDEX('AH History'!$C$1:$C$18046,$H348))*0.00005),ABS($E348-INDEX('AH History'!$D$1:$D$18046,$H348))&lt;=0.00005,$F348=INDEX('AH History'!$E$1:$E$18046,$H348),$G348=INDEX('AH History'!$F$1:$F$18046,$H348)),1,-1),-1))</ns0:f>
        <ns0:v/>
      </ns0:c>
    </ns0:row>
    <ns0:row r="349">
      <ns0:c r="A349" s="215">
        <ns0:f>IF(OR(AH!$P$3=0,344+1&gt;AH!$P$11,AND(AH!$E$4&lt;&gt;"Stored",AH!$P$10&lt;&gt;1)),"",IFERROR(IF(AND(AH!$P$21=1,344+1=AH!$P$11),TODAY(),IF(AH!$P$10=1,INDEX('Live History'!$A$5:$A$3004,AH!$P$13+344),INDEX('AH History'!$A$1:$A$18046,AH!$P$7+344))),""))</ns0:f>
        <ns0:v/>
      </ns0:c>
      <ns0:c r="B349" s="219">
        <ns0:f>IFERROR(IF(AND(AH!$P$9&lt;&gt;1,$C349&gt;0,$D349&gt;0,$E349&gt;0,$F349&gt;0,$G349&gt;0,$F349&lt;=$A349,$G349&lt;=$A349,$A349-$F349&lt;=10,$A349-$G349&lt;=5),$D349*$E349/$C349-1,NA()),NA())</ns0:f>
        <ns0:v/>
      </ns0:c>
      <ns0:c r="C349">
        <ns0:f>IFERROR(IF(ISNUMBER($A349),IF(AND(AH!$P$10=1,AH!$P$12=1,$A349=TODAY()),AH!$P$19,IF(AH!$P$10=1,INDEX('Live History'!$B$5:$B$3004,AH!$P$13+344),INDEX('AH History'!$B$1:$B$18046,AH!$P$7+344))),NA()),NA())</ns0:f>
        <ns0:v/>
      </ns0:c>
      <ns0:c r="D349">
        <ns0:f>IFERROR(IF(ISNUMBER($A349),IF(AND(AH!$P$10=1,AH!$P$12=1,$A349=TODAY()),AH!$P$18,IF(AH!$P$10=1,INDEX('Live History'!$E$5:$E$3004,MATCH($A349,'Live History'!$D$5:$D$3004,1)),INDEX('AH History'!$C$1:$C$18046,AH!$P$7+344))),NA()),NA())</ns0:f>
        <ns0:v/>
      </ns0:c>
      <ns0:c r="E349">
        <ns0:f>IFERROR(IF(ISNUMBER($A349),IF(AND(AH!$P$10=1,AH!$P$12=1,$A349=TODAY()),AH!$P$20,IF(AH!$P$10=1,INDEX('Live History'!$H$5:$H$3004,MATCH($A349,'Live History'!$G$5:$G$3004,1)),INDEX('AH History'!$D$1:$D$18046,AH!$P$7+344))),NA()),NA())</ns0:f>
        <ns0:v/>
      </ns0:c>
      <ns0:c r="F349">
        <ns0:f>IFERROR(IF(ISNUMBER($A349),IF(AND(AH!$P$10=1,AH!$P$12=1,$A349=TODAY()),IF(AND(AH!$P$10=1,AH!$P$12=1,$A349=TODAY()),TODAY(),NA()),IF(AH!$P$10=1,INDEX('Live History'!$D$5:$D$3004,MATCH($A349,'Live History'!$D$5:$D$3004,1)),INDEX('AH History'!$E$1:$E$18046,AH!$P$7+344))),NA()),NA())</ns0:f>
        <ns0:v/>
      </ns0:c>
      <ns0:c r="G349">
        <ns0:f>IFERROR(IF(ISNUMBER($A349),IF(AND(AH!$P$10=1,AH!$P$12=1,$A349=TODAY()),IF(AND(AH!$P$10=1,AH!$P$12=1,$A349=TODAY()),TODAY(),NA()),IF(AH!$P$10=1,INDEX('Live History'!$G$5:$G$3004,MATCH($A349,'Live History'!$G$5:$G$3004,1)),INDEX('AH History'!$F$1:$F$18046,AH!$P$7+344))),NA()),NA())</ns0:f>
        <ns0:v/>
      </ns0:c>
      <ns0:c r="H349">
        <ns0:f>IFERROR(IF(AND(AH!$E$4="Bloomberg",AH!$P$10=1,ISNUMBER($A349),$A349&lt;=AH!$P$17),AH!$P$7-1+MATCH($A349,INDEX('AH History'!$A$1:$A$18046,AH!$P$7):INDEX('AH History'!$A$1:$A$18046,AH!$P$7+AH!$P$8-1),0),0),0)</ns0:f>
        <ns0:v/>
      </ns0:c>
      <ns0:c r="I349">
        <ns0:f>IF($H349=0,0,IFERROR(IF(AND(ABS($C349-INDEX('AH History'!$B$1:$B$18046,$H349))&lt;=MAX(0.005,ABS(INDEX('AH History'!$B$1:$B$18046,$H349))*0.00005),ABS($D349-INDEX('AH History'!$C$1:$C$18046,$H349))&lt;=MAX(0.005,ABS(INDEX('AH History'!$C$1:$C$18046,$H349))*0.00005),ABS($E349-INDEX('AH History'!$D$1:$D$18046,$H349))&lt;=0.00005,$F349=INDEX('AH History'!$E$1:$E$18046,$H349),$G349=INDEX('AH History'!$F$1:$F$18046,$H349)),1,-1),-1))</ns0:f>
        <ns0:v/>
      </ns0:c>
    </ns0:row>
    <ns0:row r="350">
      <ns0:c r="A350" s="215">
        <ns0:f>IF(OR(AH!$P$3=0,345+1&gt;AH!$P$11,AND(AH!$E$4&lt;&gt;"Stored",AH!$P$10&lt;&gt;1)),"",IFERROR(IF(AND(AH!$P$21=1,345+1=AH!$P$11),TODAY(),IF(AH!$P$10=1,INDEX('Live History'!$A$5:$A$3004,AH!$P$13+345),INDEX('AH History'!$A$1:$A$18046,AH!$P$7+345))),""))</ns0:f>
        <ns0:v/>
      </ns0:c>
      <ns0:c r="B350" s="219">
        <ns0:f>IFERROR(IF(AND(AH!$P$9&lt;&gt;1,$C350&gt;0,$D350&gt;0,$E350&gt;0,$F350&gt;0,$G350&gt;0,$F350&lt;=$A350,$G350&lt;=$A350,$A350-$F350&lt;=10,$A350-$G350&lt;=5),$D350*$E350/$C350-1,NA()),NA())</ns0:f>
        <ns0:v/>
      </ns0:c>
      <ns0:c r="C350">
        <ns0:f>IFERROR(IF(ISNUMBER($A350),IF(AND(AH!$P$10=1,AH!$P$12=1,$A350=TODAY()),AH!$P$19,IF(AH!$P$10=1,INDEX('Live History'!$B$5:$B$3004,AH!$P$13+345),INDEX('AH History'!$B$1:$B$18046,AH!$P$7+345))),NA()),NA())</ns0:f>
        <ns0:v/>
      </ns0:c>
      <ns0:c r="D350">
        <ns0:f>IFERROR(IF(ISNUMBER($A350),IF(AND(AH!$P$10=1,AH!$P$12=1,$A350=TODAY()),AH!$P$18,IF(AH!$P$10=1,INDEX('Live History'!$E$5:$E$3004,MATCH($A350,'Live History'!$D$5:$D$3004,1)),INDEX('AH History'!$C$1:$C$18046,AH!$P$7+345))),NA()),NA())</ns0:f>
        <ns0:v/>
      </ns0:c>
      <ns0:c r="E350">
        <ns0:f>IFERROR(IF(ISNUMBER($A350),IF(AND(AH!$P$10=1,AH!$P$12=1,$A350=TODAY()),AH!$P$20,IF(AH!$P$10=1,INDEX('Live History'!$H$5:$H$3004,MATCH($A350,'Live History'!$G$5:$G$3004,1)),INDEX('AH History'!$D$1:$D$18046,AH!$P$7+345))),NA()),NA())</ns0:f>
        <ns0:v/>
      </ns0:c>
      <ns0:c r="F350">
        <ns0:f>IFERROR(IF(ISNUMBER($A350),IF(AND(AH!$P$10=1,AH!$P$12=1,$A350=TODAY()),IF(AND(AH!$P$10=1,AH!$P$12=1,$A350=TODAY()),TODAY(),NA()),IF(AH!$P$10=1,INDEX('Live History'!$D$5:$D$3004,MATCH($A350,'Live History'!$D$5:$D$3004,1)),INDEX('AH History'!$E$1:$E$18046,AH!$P$7+345))),NA()),NA())</ns0:f>
        <ns0:v/>
      </ns0:c>
      <ns0:c r="G350">
        <ns0:f>IFERROR(IF(ISNUMBER($A350),IF(AND(AH!$P$10=1,AH!$P$12=1,$A350=TODAY()),IF(AND(AH!$P$10=1,AH!$P$12=1,$A350=TODAY()),TODAY(),NA()),IF(AH!$P$10=1,INDEX('Live History'!$G$5:$G$3004,MATCH($A350,'Live History'!$G$5:$G$3004,1)),INDEX('AH History'!$F$1:$F$18046,AH!$P$7+345))),NA()),NA())</ns0:f>
        <ns0:v/>
      </ns0:c>
      <ns0:c r="H350">
        <ns0:f>IFERROR(IF(AND(AH!$E$4="Bloomberg",AH!$P$10=1,ISNUMBER($A350),$A350&lt;=AH!$P$17),AH!$P$7-1+MATCH($A350,INDEX('AH History'!$A$1:$A$18046,AH!$P$7):INDEX('AH History'!$A$1:$A$18046,AH!$P$7+AH!$P$8-1),0),0),0)</ns0:f>
        <ns0:v/>
      </ns0:c>
      <ns0:c r="I350">
        <ns0:f>IF($H350=0,0,IFERROR(IF(AND(ABS($C350-INDEX('AH History'!$B$1:$B$18046,$H350))&lt;=MAX(0.005,ABS(INDEX('AH History'!$B$1:$B$18046,$H350))*0.00005),ABS($D350-INDEX('AH History'!$C$1:$C$18046,$H350))&lt;=MAX(0.005,ABS(INDEX('AH History'!$C$1:$C$18046,$H350))*0.00005),ABS($E350-INDEX('AH History'!$D$1:$D$18046,$H350))&lt;=0.00005,$F350=INDEX('AH History'!$E$1:$E$18046,$H350),$G350=INDEX('AH History'!$F$1:$F$18046,$H350)),1,-1),-1))</ns0:f>
        <ns0:v/>
      </ns0:c>
    </ns0:row>
    <ns0:row r="351">
      <ns0:c r="A351" s="215">
        <ns0:f>IF(OR(AH!$P$3=0,346+1&gt;AH!$P$11,AND(AH!$E$4&lt;&gt;"Stored",AH!$P$10&lt;&gt;1)),"",IFERROR(IF(AND(AH!$P$21=1,346+1=AH!$P$11),TODAY(),IF(AH!$P$10=1,INDEX('Live History'!$A$5:$A$3004,AH!$P$13+346),INDEX('AH History'!$A$1:$A$18046,AH!$P$7+346))),""))</ns0:f>
        <ns0:v/>
      </ns0:c>
      <ns0:c r="B351" s="219">
        <ns0:f>IFERROR(IF(AND(AH!$P$9&lt;&gt;1,$C351&gt;0,$D351&gt;0,$E351&gt;0,$F351&gt;0,$G351&gt;0,$F351&lt;=$A351,$G351&lt;=$A351,$A351-$F351&lt;=10,$A351-$G351&lt;=5),$D351*$E351/$C351-1,NA()),NA())</ns0:f>
        <ns0:v/>
      </ns0:c>
      <ns0:c r="C351">
        <ns0:f>IFERROR(IF(ISNUMBER($A351),IF(AND(AH!$P$10=1,AH!$P$12=1,$A351=TODAY()),AH!$P$19,IF(AH!$P$10=1,INDEX('Live History'!$B$5:$B$3004,AH!$P$13+346),INDEX('AH History'!$B$1:$B$18046,AH!$P$7+346))),NA()),NA())</ns0:f>
        <ns0:v/>
      </ns0:c>
      <ns0:c r="D351">
        <ns0:f>IFERROR(IF(ISNUMBER($A351),IF(AND(AH!$P$10=1,AH!$P$12=1,$A351=TODAY()),AH!$P$18,IF(AH!$P$10=1,INDEX('Live History'!$E$5:$E$3004,MATCH($A351,'Live History'!$D$5:$D$3004,1)),INDEX('AH History'!$C$1:$C$18046,AH!$P$7+346))),NA()),NA())</ns0:f>
        <ns0:v/>
      </ns0:c>
      <ns0:c r="E351">
        <ns0:f>IFERROR(IF(ISNUMBER($A351),IF(AND(AH!$P$10=1,AH!$P$12=1,$A351=TODAY()),AH!$P$20,IF(AH!$P$10=1,INDEX('Live History'!$H$5:$H$3004,MATCH($A351,'Live History'!$G$5:$G$3004,1)),INDEX('AH History'!$D$1:$D$18046,AH!$P$7+346))),NA()),NA())</ns0:f>
        <ns0:v/>
      </ns0:c>
      <ns0:c r="F351">
        <ns0:f>IFERROR(IF(ISNUMBER($A351),IF(AND(AH!$P$10=1,AH!$P$12=1,$A351=TODAY()),IF(AND(AH!$P$10=1,AH!$P$12=1,$A351=TODAY()),TODAY(),NA()),IF(AH!$P$10=1,INDEX('Live History'!$D$5:$D$3004,MATCH($A351,'Live History'!$D$5:$D$3004,1)),INDEX('AH History'!$E$1:$E$18046,AH!$P$7+346))),NA()),NA())</ns0:f>
        <ns0:v/>
      </ns0:c>
      <ns0:c r="G351">
        <ns0:f>IFERROR(IF(ISNUMBER($A351),IF(AND(AH!$P$10=1,AH!$P$12=1,$A351=TODAY()),IF(AND(AH!$P$10=1,AH!$P$12=1,$A351=TODAY()),TODAY(),NA()),IF(AH!$P$10=1,INDEX('Live History'!$G$5:$G$3004,MATCH($A351,'Live History'!$G$5:$G$3004,1)),INDEX('AH History'!$F$1:$F$18046,AH!$P$7+346))),NA()),NA())</ns0:f>
        <ns0:v/>
      </ns0:c>
      <ns0:c r="H351">
        <ns0:f>IFERROR(IF(AND(AH!$E$4="Bloomberg",AH!$P$10=1,ISNUMBER($A351),$A351&lt;=AH!$P$17),AH!$P$7-1+MATCH($A351,INDEX('AH History'!$A$1:$A$18046,AH!$P$7):INDEX('AH History'!$A$1:$A$18046,AH!$P$7+AH!$P$8-1),0),0),0)</ns0:f>
        <ns0:v/>
      </ns0:c>
      <ns0:c r="I351">
        <ns0:f>IF($H351=0,0,IFERROR(IF(AND(ABS($C351-INDEX('AH History'!$B$1:$B$18046,$H351))&lt;=MAX(0.005,ABS(INDEX('AH History'!$B$1:$B$18046,$H351))*0.00005),ABS($D351-INDEX('AH History'!$C$1:$C$18046,$H351))&lt;=MAX(0.005,ABS(INDEX('AH History'!$C$1:$C$18046,$H351))*0.00005),ABS($E351-INDEX('AH History'!$D$1:$D$18046,$H351))&lt;=0.00005,$F351=INDEX('AH History'!$E$1:$E$18046,$H351),$G351=INDEX('AH History'!$F$1:$F$18046,$H351)),1,-1),-1))</ns0:f>
        <ns0:v/>
      </ns0:c>
    </ns0:row>
    <ns0:row r="352">
      <ns0:c r="A352" s="215">
        <ns0:f>IF(OR(AH!$P$3=0,347+1&gt;AH!$P$11,AND(AH!$E$4&lt;&gt;"Stored",AH!$P$10&lt;&gt;1)),"",IFERROR(IF(AND(AH!$P$21=1,347+1=AH!$P$11),TODAY(),IF(AH!$P$10=1,INDEX('Live History'!$A$5:$A$3004,AH!$P$13+347),INDEX('AH History'!$A$1:$A$18046,AH!$P$7+347))),""))</ns0:f>
        <ns0:v/>
      </ns0:c>
      <ns0:c r="B352" s="219">
        <ns0:f>IFERROR(IF(AND(AH!$P$9&lt;&gt;1,$C352&gt;0,$D352&gt;0,$E352&gt;0,$F352&gt;0,$G352&gt;0,$F352&lt;=$A352,$G352&lt;=$A352,$A352-$F352&lt;=10,$A352-$G352&lt;=5),$D352*$E352/$C352-1,NA()),NA())</ns0:f>
        <ns0:v/>
      </ns0:c>
      <ns0:c r="C352">
        <ns0:f>IFERROR(IF(ISNUMBER($A352),IF(AND(AH!$P$10=1,AH!$P$12=1,$A352=TODAY()),AH!$P$19,IF(AH!$P$10=1,INDEX('Live History'!$B$5:$B$3004,AH!$P$13+347),INDEX('AH History'!$B$1:$B$18046,AH!$P$7+347))),NA()),NA())</ns0:f>
        <ns0:v/>
      </ns0:c>
      <ns0:c r="D352">
        <ns0:f>IFERROR(IF(ISNUMBER($A352),IF(AND(AH!$P$10=1,AH!$P$12=1,$A352=TODAY()),AH!$P$18,IF(AH!$P$10=1,INDEX('Live History'!$E$5:$E$3004,MATCH($A352,'Live History'!$D$5:$D$3004,1)),INDEX('AH History'!$C$1:$C$18046,AH!$P$7+347))),NA()),NA())</ns0:f>
        <ns0:v/>
      </ns0:c>
      <ns0:c r="E352">
        <ns0:f>IFERROR(IF(ISNUMBER($A352),IF(AND(AH!$P$10=1,AH!$P$12=1,$A352=TODAY()),AH!$P$20,IF(AH!$P$10=1,INDEX('Live History'!$H$5:$H$3004,MATCH($A352,'Live History'!$G$5:$G$3004,1)),INDEX('AH History'!$D$1:$D$18046,AH!$P$7+347))),NA()),NA())</ns0:f>
        <ns0:v/>
      </ns0:c>
      <ns0:c r="F352">
        <ns0:f>IFERROR(IF(ISNUMBER($A352),IF(AND(AH!$P$10=1,AH!$P$12=1,$A352=TODAY()),IF(AND(AH!$P$10=1,AH!$P$12=1,$A352=TODAY()),TODAY(),NA()),IF(AH!$P$10=1,INDEX('Live History'!$D$5:$D$3004,MATCH($A352,'Live History'!$D$5:$D$3004,1)),INDEX('AH History'!$E$1:$E$18046,AH!$P$7+347))),NA()),NA())</ns0:f>
        <ns0:v/>
      </ns0:c>
      <ns0:c r="G352">
        <ns0:f>IFERROR(IF(ISNUMBER($A352),IF(AND(AH!$P$10=1,AH!$P$12=1,$A352=TODAY()),IF(AND(AH!$P$10=1,AH!$P$12=1,$A352=TODAY()),TODAY(),NA()),IF(AH!$P$10=1,INDEX('Live History'!$G$5:$G$3004,MATCH($A352,'Live History'!$G$5:$G$3004,1)),INDEX('AH History'!$F$1:$F$18046,AH!$P$7+347))),NA()),NA())</ns0:f>
        <ns0:v/>
      </ns0:c>
      <ns0:c r="H352">
        <ns0:f>IFERROR(IF(AND(AH!$E$4="Bloomberg",AH!$P$10=1,ISNUMBER($A352),$A352&lt;=AH!$P$17),AH!$P$7-1+MATCH($A352,INDEX('AH History'!$A$1:$A$18046,AH!$P$7):INDEX('AH History'!$A$1:$A$18046,AH!$P$7+AH!$P$8-1),0),0),0)</ns0:f>
        <ns0:v/>
      </ns0:c>
      <ns0:c r="I352">
        <ns0:f>IF($H352=0,0,IFERROR(IF(AND(ABS($C352-INDEX('AH History'!$B$1:$B$18046,$H352))&lt;=MAX(0.005,ABS(INDEX('AH History'!$B$1:$B$18046,$H352))*0.00005),ABS($D352-INDEX('AH History'!$C$1:$C$18046,$H352))&lt;=MAX(0.005,ABS(INDEX('AH History'!$C$1:$C$18046,$H352))*0.00005),ABS($E352-INDEX('AH History'!$D$1:$D$18046,$H352))&lt;=0.00005,$F352=INDEX('AH History'!$E$1:$E$18046,$H352),$G352=INDEX('AH History'!$F$1:$F$18046,$H352)),1,-1),-1))</ns0:f>
        <ns0:v/>
      </ns0:c>
    </ns0:row>
    <ns0:row r="353">
      <ns0:c r="A353" s="215">
        <ns0:f>IF(OR(AH!$P$3=0,348+1&gt;AH!$P$11,AND(AH!$E$4&lt;&gt;"Stored",AH!$P$10&lt;&gt;1)),"",IFERROR(IF(AND(AH!$P$21=1,348+1=AH!$P$11),TODAY(),IF(AH!$P$10=1,INDEX('Live History'!$A$5:$A$3004,AH!$P$13+348),INDEX('AH History'!$A$1:$A$18046,AH!$P$7+348))),""))</ns0:f>
        <ns0:v/>
      </ns0:c>
      <ns0:c r="B353" s="219">
        <ns0:f>IFERROR(IF(AND(AH!$P$9&lt;&gt;1,$C353&gt;0,$D353&gt;0,$E353&gt;0,$F353&gt;0,$G353&gt;0,$F353&lt;=$A353,$G353&lt;=$A353,$A353-$F353&lt;=10,$A353-$G353&lt;=5),$D353*$E353/$C353-1,NA()),NA())</ns0:f>
        <ns0:v/>
      </ns0:c>
      <ns0:c r="C353">
        <ns0:f>IFERROR(IF(ISNUMBER($A353),IF(AND(AH!$P$10=1,AH!$P$12=1,$A353=TODAY()),AH!$P$19,IF(AH!$P$10=1,INDEX('Live History'!$B$5:$B$3004,AH!$P$13+348),INDEX('AH History'!$B$1:$B$18046,AH!$P$7+348))),NA()),NA())</ns0:f>
        <ns0:v/>
      </ns0:c>
      <ns0:c r="D353">
        <ns0:f>IFERROR(IF(ISNUMBER($A353),IF(AND(AH!$P$10=1,AH!$P$12=1,$A353=TODAY()),AH!$P$18,IF(AH!$P$10=1,INDEX('Live History'!$E$5:$E$3004,MATCH($A353,'Live History'!$D$5:$D$3004,1)),INDEX('AH History'!$C$1:$C$18046,AH!$P$7+348))),NA()),NA())</ns0:f>
        <ns0:v/>
      </ns0:c>
      <ns0:c r="E353">
        <ns0:f>IFERROR(IF(ISNUMBER($A353),IF(AND(AH!$P$10=1,AH!$P$12=1,$A353=TODAY()),AH!$P$20,IF(AH!$P$10=1,INDEX('Live History'!$H$5:$H$3004,MATCH($A353,'Live History'!$G$5:$G$3004,1)),INDEX('AH History'!$D$1:$D$18046,AH!$P$7+348))),NA()),NA())</ns0:f>
        <ns0:v/>
      </ns0:c>
      <ns0:c r="F353">
        <ns0:f>IFERROR(IF(ISNUMBER($A353),IF(AND(AH!$P$10=1,AH!$P$12=1,$A353=TODAY()),IF(AND(AH!$P$10=1,AH!$P$12=1,$A353=TODAY()),TODAY(),NA()),IF(AH!$P$10=1,INDEX('Live History'!$D$5:$D$3004,MATCH($A353,'Live History'!$D$5:$D$3004,1)),INDEX('AH History'!$E$1:$E$18046,AH!$P$7+348))),NA()),NA())</ns0:f>
        <ns0:v/>
      </ns0:c>
      <ns0:c r="G353">
        <ns0:f>IFERROR(IF(ISNUMBER($A353),IF(AND(AH!$P$10=1,AH!$P$12=1,$A353=TODAY()),IF(AND(AH!$P$10=1,AH!$P$12=1,$A353=TODAY()),TODAY(),NA()),IF(AH!$P$10=1,INDEX('Live History'!$G$5:$G$3004,MATCH($A353,'Live History'!$G$5:$G$3004,1)),INDEX('AH History'!$F$1:$F$18046,AH!$P$7+348))),NA()),NA())</ns0:f>
        <ns0:v/>
      </ns0:c>
      <ns0:c r="H353">
        <ns0:f>IFERROR(IF(AND(AH!$E$4="Bloomberg",AH!$P$10=1,ISNUMBER($A353),$A353&lt;=AH!$P$17),AH!$P$7-1+MATCH($A353,INDEX('AH History'!$A$1:$A$18046,AH!$P$7):INDEX('AH History'!$A$1:$A$18046,AH!$P$7+AH!$P$8-1),0),0),0)</ns0:f>
        <ns0:v/>
      </ns0:c>
      <ns0:c r="I353">
        <ns0:f>IF($H353=0,0,IFERROR(IF(AND(ABS($C353-INDEX('AH History'!$B$1:$B$18046,$H353))&lt;=MAX(0.005,ABS(INDEX('AH History'!$B$1:$B$18046,$H353))*0.00005),ABS($D353-INDEX('AH History'!$C$1:$C$18046,$H353))&lt;=MAX(0.005,ABS(INDEX('AH History'!$C$1:$C$18046,$H353))*0.00005),ABS($E353-INDEX('AH History'!$D$1:$D$18046,$H353))&lt;=0.00005,$F353=INDEX('AH History'!$E$1:$E$18046,$H353),$G353=INDEX('AH History'!$F$1:$F$18046,$H353)),1,-1),-1))</ns0:f>
        <ns0:v/>
      </ns0:c>
    </ns0:row>
    <ns0:row r="354">
      <ns0:c r="A354" s="215">
        <ns0:f>IF(OR(AH!$P$3=0,349+1&gt;AH!$P$11,AND(AH!$E$4&lt;&gt;"Stored",AH!$P$10&lt;&gt;1)),"",IFERROR(IF(AND(AH!$P$21=1,349+1=AH!$P$11),TODAY(),IF(AH!$P$10=1,INDEX('Live History'!$A$5:$A$3004,AH!$P$13+349),INDEX('AH History'!$A$1:$A$18046,AH!$P$7+349))),""))</ns0:f>
        <ns0:v/>
      </ns0:c>
      <ns0:c r="B354" s="219">
        <ns0:f>IFERROR(IF(AND(AH!$P$9&lt;&gt;1,$C354&gt;0,$D354&gt;0,$E354&gt;0,$F354&gt;0,$G354&gt;0,$F354&lt;=$A354,$G354&lt;=$A354,$A354-$F354&lt;=10,$A354-$G354&lt;=5),$D354*$E354/$C354-1,NA()),NA())</ns0:f>
        <ns0:v/>
      </ns0:c>
      <ns0:c r="C354">
        <ns0:f>IFERROR(IF(ISNUMBER($A354),IF(AND(AH!$P$10=1,AH!$P$12=1,$A354=TODAY()),AH!$P$19,IF(AH!$P$10=1,INDEX('Live History'!$B$5:$B$3004,AH!$P$13+349),INDEX('AH History'!$B$1:$B$18046,AH!$P$7+349))),NA()),NA())</ns0:f>
        <ns0:v/>
      </ns0:c>
      <ns0:c r="D354">
        <ns0:f>IFERROR(IF(ISNUMBER($A354),IF(AND(AH!$P$10=1,AH!$P$12=1,$A354=TODAY()),AH!$P$18,IF(AH!$P$10=1,INDEX('Live History'!$E$5:$E$3004,MATCH($A354,'Live History'!$D$5:$D$3004,1)),INDEX('AH History'!$C$1:$C$18046,AH!$P$7+349))),NA()),NA())</ns0:f>
        <ns0:v/>
      </ns0:c>
      <ns0:c r="E354">
        <ns0:f>IFERROR(IF(ISNUMBER($A354),IF(AND(AH!$P$10=1,AH!$P$12=1,$A354=TODAY()),AH!$P$20,IF(AH!$P$10=1,INDEX('Live History'!$H$5:$H$3004,MATCH($A354,'Live History'!$G$5:$G$3004,1)),INDEX('AH History'!$D$1:$D$18046,AH!$P$7+349))),NA()),NA())</ns0:f>
        <ns0:v/>
      </ns0:c>
      <ns0:c r="F354">
        <ns0:f>IFERROR(IF(ISNUMBER($A354),IF(AND(AH!$P$10=1,AH!$P$12=1,$A354=TODAY()),IF(AND(AH!$P$10=1,AH!$P$12=1,$A354=TODAY()),TODAY(),NA()),IF(AH!$P$10=1,INDEX('Live History'!$D$5:$D$3004,MATCH($A354,'Live History'!$D$5:$D$3004,1)),INDEX('AH History'!$E$1:$E$18046,AH!$P$7+349))),NA()),NA())</ns0:f>
        <ns0:v/>
      </ns0:c>
      <ns0:c r="G354">
        <ns0:f>IFERROR(IF(ISNUMBER($A354),IF(AND(AH!$P$10=1,AH!$P$12=1,$A354=TODAY()),IF(AND(AH!$P$10=1,AH!$P$12=1,$A354=TODAY()),TODAY(),NA()),IF(AH!$P$10=1,INDEX('Live History'!$G$5:$G$3004,MATCH($A354,'Live History'!$G$5:$G$3004,1)),INDEX('AH History'!$F$1:$F$18046,AH!$P$7+349))),NA()),NA())</ns0:f>
        <ns0:v/>
      </ns0:c>
      <ns0:c r="H354">
        <ns0:f>IFERROR(IF(AND(AH!$E$4="Bloomberg",AH!$P$10=1,ISNUMBER($A354),$A354&lt;=AH!$P$17),AH!$P$7-1+MATCH($A354,INDEX('AH History'!$A$1:$A$18046,AH!$P$7):INDEX('AH History'!$A$1:$A$18046,AH!$P$7+AH!$P$8-1),0),0),0)</ns0:f>
        <ns0:v/>
      </ns0:c>
      <ns0:c r="I354">
        <ns0:f>IF($H354=0,0,IFERROR(IF(AND(ABS($C354-INDEX('AH History'!$B$1:$B$18046,$H354))&lt;=MAX(0.005,ABS(INDEX('AH History'!$B$1:$B$18046,$H354))*0.00005),ABS($D354-INDEX('AH History'!$C$1:$C$18046,$H354))&lt;=MAX(0.005,ABS(INDEX('AH History'!$C$1:$C$18046,$H354))*0.00005),ABS($E354-INDEX('AH History'!$D$1:$D$18046,$H354))&lt;=0.00005,$F354=INDEX('AH History'!$E$1:$E$18046,$H354),$G354=INDEX('AH History'!$F$1:$F$18046,$H354)),1,-1),-1))</ns0:f>
        <ns0:v/>
      </ns0:c>
    </ns0:row>
    <ns0:row r="355">
      <ns0:c r="A355" s="215">
        <ns0:f>IF(OR(AH!$P$3=0,350+1&gt;AH!$P$11,AND(AH!$E$4&lt;&gt;"Stored",AH!$P$10&lt;&gt;1)),"",IFERROR(IF(AND(AH!$P$21=1,350+1=AH!$P$11),TODAY(),IF(AH!$P$10=1,INDEX('Live History'!$A$5:$A$3004,AH!$P$13+350),INDEX('AH History'!$A$1:$A$18046,AH!$P$7+350))),""))</ns0:f>
        <ns0:v/>
      </ns0:c>
      <ns0:c r="B355" s="219">
        <ns0:f>IFERROR(IF(AND(AH!$P$9&lt;&gt;1,$C355&gt;0,$D355&gt;0,$E355&gt;0,$F355&gt;0,$G355&gt;0,$F355&lt;=$A355,$G355&lt;=$A355,$A355-$F355&lt;=10,$A355-$G355&lt;=5),$D355*$E355/$C355-1,NA()),NA())</ns0:f>
        <ns0:v/>
      </ns0:c>
      <ns0:c r="C355">
        <ns0:f>IFERROR(IF(ISNUMBER($A355),IF(AND(AH!$P$10=1,AH!$P$12=1,$A355=TODAY()),AH!$P$19,IF(AH!$P$10=1,INDEX('Live History'!$B$5:$B$3004,AH!$P$13+350),INDEX('AH History'!$B$1:$B$18046,AH!$P$7+350))),NA()),NA())</ns0:f>
        <ns0:v/>
      </ns0:c>
      <ns0:c r="D355">
        <ns0:f>IFERROR(IF(ISNUMBER($A355),IF(AND(AH!$P$10=1,AH!$P$12=1,$A355=TODAY()),AH!$P$18,IF(AH!$P$10=1,INDEX('Live History'!$E$5:$E$3004,MATCH($A355,'Live History'!$D$5:$D$3004,1)),INDEX('AH History'!$C$1:$C$18046,AH!$P$7+350))),NA()),NA())</ns0:f>
        <ns0:v/>
      </ns0:c>
      <ns0:c r="E355">
        <ns0:f>IFERROR(IF(ISNUMBER($A355),IF(AND(AH!$P$10=1,AH!$P$12=1,$A355=TODAY()),AH!$P$20,IF(AH!$P$10=1,INDEX('Live History'!$H$5:$H$3004,MATCH($A355,'Live History'!$G$5:$G$3004,1)),INDEX('AH History'!$D$1:$D$18046,AH!$P$7+350))),NA()),NA())</ns0:f>
        <ns0:v/>
      </ns0:c>
      <ns0:c r="F355">
        <ns0:f>IFERROR(IF(ISNUMBER($A355),IF(AND(AH!$P$10=1,AH!$P$12=1,$A355=TODAY()),IF(AND(AH!$P$10=1,AH!$P$12=1,$A355=TODAY()),TODAY(),NA()),IF(AH!$P$10=1,INDEX('Live History'!$D$5:$D$3004,MATCH($A355,'Live History'!$D$5:$D$3004,1)),INDEX('AH History'!$E$1:$E$18046,AH!$P$7+350))),NA()),NA())</ns0:f>
        <ns0:v/>
      </ns0:c>
      <ns0:c r="G355">
        <ns0:f>IFERROR(IF(ISNUMBER($A355),IF(AND(AH!$P$10=1,AH!$P$12=1,$A355=TODAY()),IF(AND(AH!$P$10=1,AH!$P$12=1,$A355=TODAY()),TODAY(),NA()),IF(AH!$P$10=1,INDEX('Live History'!$G$5:$G$3004,MATCH($A355,'Live History'!$G$5:$G$3004,1)),INDEX('AH History'!$F$1:$F$18046,AH!$P$7+350))),NA()),NA())</ns0:f>
        <ns0:v/>
      </ns0:c>
      <ns0:c r="H355">
        <ns0:f>IFERROR(IF(AND(AH!$E$4="Bloomberg",AH!$P$10=1,ISNUMBER($A355),$A355&lt;=AH!$P$17),AH!$P$7-1+MATCH($A355,INDEX('AH History'!$A$1:$A$18046,AH!$P$7):INDEX('AH History'!$A$1:$A$18046,AH!$P$7+AH!$P$8-1),0),0),0)</ns0:f>
        <ns0:v/>
      </ns0:c>
      <ns0:c r="I355">
        <ns0:f>IF($H355=0,0,IFERROR(IF(AND(ABS($C355-INDEX('AH History'!$B$1:$B$18046,$H355))&lt;=MAX(0.005,ABS(INDEX('AH History'!$B$1:$B$18046,$H355))*0.00005),ABS($D355-INDEX('AH History'!$C$1:$C$18046,$H355))&lt;=MAX(0.005,ABS(INDEX('AH History'!$C$1:$C$18046,$H355))*0.00005),ABS($E355-INDEX('AH History'!$D$1:$D$18046,$H355))&lt;=0.00005,$F355=INDEX('AH History'!$E$1:$E$18046,$H355),$G355=INDEX('AH History'!$F$1:$F$18046,$H355)),1,-1),-1))</ns0:f>
        <ns0:v/>
      </ns0:c>
    </ns0:row>
    <ns0:row r="356">
      <ns0:c r="A356" s="215">
        <ns0:f>IF(OR(AH!$P$3=0,351+1&gt;AH!$P$11,AND(AH!$E$4&lt;&gt;"Stored",AH!$P$10&lt;&gt;1)),"",IFERROR(IF(AND(AH!$P$21=1,351+1=AH!$P$11),TODAY(),IF(AH!$P$10=1,INDEX('Live History'!$A$5:$A$3004,AH!$P$13+351),INDEX('AH History'!$A$1:$A$18046,AH!$P$7+351))),""))</ns0:f>
        <ns0:v/>
      </ns0:c>
      <ns0:c r="B356" s="219">
        <ns0:f>IFERROR(IF(AND(AH!$P$9&lt;&gt;1,$C356&gt;0,$D356&gt;0,$E356&gt;0,$F356&gt;0,$G356&gt;0,$F356&lt;=$A356,$G356&lt;=$A356,$A356-$F356&lt;=10,$A356-$G356&lt;=5),$D356*$E356/$C356-1,NA()),NA())</ns0:f>
        <ns0:v/>
      </ns0:c>
      <ns0:c r="C356">
        <ns0:f>IFERROR(IF(ISNUMBER($A356),IF(AND(AH!$P$10=1,AH!$P$12=1,$A356=TODAY()),AH!$P$19,IF(AH!$P$10=1,INDEX('Live History'!$B$5:$B$3004,AH!$P$13+351),INDEX('AH History'!$B$1:$B$18046,AH!$P$7+351))),NA()),NA())</ns0:f>
        <ns0:v/>
      </ns0:c>
      <ns0:c r="D356">
        <ns0:f>IFERROR(IF(ISNUMBER($A356),IF(AND(AH!$P$10=1,AH!$P$12=1,$A356=TODAY()),AH!$P$18,IF(AH!$P$10=1,INDEX('Live History'!$E$5:$E$3004,MATCH($A356,'Live History'!$D$5:$D$3004,1)),INDEX('AH History'!$C$1:$C$18046,AH!$P$7+351))),NA()),NA())</ns0:f>
        <ns0:v/>
      </ns0:c>
      <ns0:c r="E356">
        <ns0:f>IFERROR(IF(ISNUMBER($A356),IF(AND(AH!$P$10=1,AH!$P$12=1,$A356=TODAY()),AH!$P$20,IF(AH!$P$10=1,INDEX('Live History'!$H$5:$H$3004,MATCH($A356,'Live History'!$G$5:$G$3004,1)),INDEX('AH History'!$D$1:$D$18046,AH!$P$7+351))),NA()),NA())</ns0:f>
        <ns0:v/>
      </ns0:c>
      <ns0:c r="F356">
        <ns0:f>IFERROR(IF(ISNUMBER($A356),IF(AND(AH!$P$10=1,AH!$P$12=1,$A356=TODAY()),IF(AND(AH!$P$10=1,AH!$P$12=1,$A356=TODAY()),TODAY(),NA()),IF(AH!$P$10=1,INDEX('Live History'!$D$5:$D$3004,MATCH($A356,'Live History'!$D$5:$D$3004,1)),INDEX('AH History'!$E$1:$E$18046,AH!$P$7+351))),NA()),NA())</ns0:f>
        <ns0:v/>
      </ns0:c>
      <ns0:c r="G356">
        <ns0:f>IFERROR(IF(ISNUMBER($A356),IF(AND(AH!$P$10=1,AH!$P$12=1,$A356=TODAY()),IF(AND(AH!$P$10=1,AH!$P$12=1,$A356=TODAY()),TODAY(),NA()),IF(AH!$P$10=1,INDEX('Live History'!$G$5:$G$3004,MATCH($A356,'Live History'!$G$5:$G$3004,1)),INDEX('AH History'!$F$1:$F$18046,AH!$P$7+351))),NA()),NA())</ns0:f>
        <ns0:v/>
      </ns0:c>
      <ns0:c r="H356">
        <ns0:f>IFERROR(IF(AND(AH!$E$4="Bloomberg",AH!$P$10=1,ISNUMBER($A356),$A356&lt;=AH!$P$17),AH!$P$7-1+MATCH($A356,INDEX('AH History'!$A$1:$A$18046,AH!$P$7):INDEX('AH History'!$A$1:$A$18046,AH!$P$7+AH!$P$8-1),0),0),0)</ns0:f>
        <ns0:v/>
      </ns0:c>
      <ns0:c r="I356">
        <ns0:f>IF($H356=0,0,IFERROR(IF(AND(ABS($C356-INDEX('AH History'!$B$1:$B$18046,$H356))&lt;=MAX(0.005,ABS(INDEX('AH History'!$B$1:$B$18046,$H356))*0.00005),ABS($D356-INDEX('AH History'!$C$1:$C$18046,$H356))&lt;=MAX(0.005,ABS(INDEX('AH History'!$C$1:$C$18046,$H356))*0.00005),ABS($E356-INDEX('AH History'!$D$1:$D$18046,$H356))&lt;=0.00005,$F356=INDEX('AH History'!$E$1:$E$18046,$H356),$G356=INDEX('AH History'!$F$1:$F$18046,$H356)),1,-1),-1))</ns0:f>
        <ns0:v/>
      </ns0:c>
    </ns0:row>
    <ns0:row r="357">
      <ns0:c r="A357" s="215">
        <ns0:f>IF(OR(AH!$P$3=0,352+1&gt;AH!$P$11,AND(AH!$E$4&lt;&gt;"Stored",AH!$P$10&lt;&gt;1)),"",IFERROR(IF(AND(AH!$P$21=1,352+1=AH!$P$11),TODAY(),IF(AH!$P$10=1,INDEX('Live History'!$A$5:$A$3004,AH!$P$13+352),INDEX('AH History'!$A$1:$A$18046,AH!$P$7+352))),""))</ns0:f>
        <ns0:v/>
      </ns0:c>
      <ns0:c r="B357" s="219">
        <ns0:f>IFERROR(IF(AND(AH!$P$9&lt;&gt;1,$C357&gt;0,$D357&gt;0,$E357&gt;0,$F357&gt;0,$G357&gt;0,$F357&lt;=$A357,$G357&lt;=$A357,$A357-$F357&lt;=10,$A357-$G357&lt;=5),$D357*$E357/$C357-1,NA()),NA())</ns0:f>
        <ns0:v/>
      </ns0:c>
      <ns0:c r="C357">
        <ns0:f>IFERROR(IF(ISNUMBER($A357),IF(AND(AH!$P$10=1,AH!$P$12=1,$A357=TODAY()),AH!$P$19,IF(AH!$P$10=1,INDEX('Live History'!$B$5:$B$3004,AH!$P$13+352),INDEX('AH History'!$B$1:$B$18046,AH!$P$7+352))),NA()),NA())</ns0:f>
        <ns0:v/>
      </ns0:c>
      <ns0:c r="D357">
        <ns0:f>IFERROR(IF(ISNUMBER($A357),IF(AND(AH!$P$10=1,AH!$P$12=1,$A357=TODAY()),AH!$P$18,IF(AH!$P$10=1,INDEX('Live History'!$E$5:$E$3004,MATCH($A357,'Live History'!$D$5:$D$3004,1)),INDEX('AH History'!$C$1:$C$18046,AH!$P$7+352))),NA()),NA())</ns0:f>
        <ns0:v/>
      </ns0:c>
      <ns0:c r="E357">
        <ns0:f>IFERROR(IF(ISNUMBER($A357),IF(AND(AH!$P$10=1,AH!$P$12=1,$A357=TODAY()),AH!$P$20,IF(AH!$P$10=1,INDEX('Live History'!$H$5:$H$3004,MATCH($A357,'Live History'!$G$5:$G$3004,1)),INDEX('AH History'!$D$1:$D$18046,AH!$P$7+352))),NA()),NA())</ns0:f>
        <ns0:v/>
      </ns0:c>
      <ns0:c r="F357">
        <ns0:f>IFERROR(IF(ISNUMBER($A357),IF(AND(AH!$P$10=1,AH!$P$12=1,$A357=TODAY()),IF(AND(AH!$P$10=1,AH!$P$12=1,$A357=TODAY()),TODAY(),NA()),IF(AH!$P$10=1,INDEX('Live History'!$D$5:$D$3004,MATCH($A357,'Live History'!$D$5:$D$3004,1)),INDEX('AH History'!$E$1:$E$18046,AH!$P$7+352))),NA()),NA())</ns0:f>
        <ns0:v/>
      </ns0:c>
      <ns0:c r="G357">
        <ns0:f>IFERROR(IF(ISNUMBER($A357),IF(AND(AH!$P$10=1,AH!$P$12=1,$A357=TODAY()),IF(AND(AH!$P$10=1,AH!$P$12=1,$A357=TODAY()),TODAY(),NA()),IF(AH!$P$10=1,INDEX('Live History'!$G$5:$G$3004,MATCH($A357,'Live History'!$G$5:$G$3004,1)),INDEX('AH History'!$F$1:$F$18046,AH!$P$7+352))),NA()),NA())</ns0:f>
        <ns0:v/>
      </ns0:c>
      <ns0:c r="H357">
        <ns0:f>IFERROR(IF(AND(AH!$E$4="Bloomberg",AH!$P$10=1,ISNUMBER($A357),$A357&lt;=AH!$P$17),AH!$P$7-1+MATCH($A357,INDEX('AH History'!$A$1:$A$18046,AH!$P$7):INDEX('AH History'!$A$1:$A$18046,AH!$P$7+AH!$P$8-1),0),0),0)</ns0:f>
        <ns0:v/>
      </ns0:c>
      <ns0:c r="I357">
        <ns0:f>IF($H357=0,0,IFERROR(IF(AND(ABS($C357-INDEX('AH History'!$B$1:$B$18046,$H357))&lt;=MAX(0.005,ABS(INDEX('AH History'!$B$1:$B$18046,$H357))*0.00005),ABS($D357-INDEX('AH History'!$C$1:$C$18046,$H357))&lt;=MAX(0.005,ABS(INDEX('AH History'!$C$1:$C$18046,$H357))*0.00005),ABS($E357-INDEX('AH History'!$D$1:$D$18046,$H357))&lt;=0.00005,$F357=INDEX('AH History'!$E$1:$E$18046,$H357),$G357=INDEX('AH History'!$F$1:$F$18046,$H357)),1,-1),-1))</ns0:f>
        <ns0:v/>
      </ns0:c>
    </ns0:row>
    <ns0:row r="358">
      <ns0:c r="A358" s="215">
        <ns0:f>IF(OR(AH!$P$3=0,353+1&gt;AH!$P$11,AND(AH!$E$4&lt;&gt;"Stored",AH!$P$10&lt;&gt;1)),"",IFERROR(IF(AND(AH!$P$21=1,353+1=AH!$P$11),TODAY(),IF(AH!$P$10=1,INDEX('Live History'!$A$5:$A$3004,AH!$P$13+353),INDEX('AH History'!$A$1:$A$18046,AH!$P$7+353))),""))</ns0:f>
        <ns0:v/>
      </ns0:c>
      <ns0:c r="B358" s="219">
        <ns0:f>IFERROR(IF(AND(AH!$P$9&lt;&gt;1,$C358&gt;0,$D358&gt;0,$E358&gt;0,$F358&gt;0,$G358&gt;0,$F358&lt;=$A358,$G358&lt;=$A358,$A358-$F358&lt;=10,$A358-$G358&lt;=5),$D358*$E358/$C358-1,NA()),NA())</ns0:f>
        <ns0:v/>
      </ns0:c>
      <ns0:c r="C358">
        <ns0:f>IFERROR(IF(ISNUMBER($A358),IF(AND(AH!$P$10=1,AH!$P$12=1,$A358=TODAY()),AH!$P$19,IF(AH!$P$10=1,INDEX('Live History'!$B$5:$B$3004,AH!$P$13+353),INDEX('AH History'!$B$1:$B$18046,AH!$P$7+353))),NA()),NA())</ns0:f>
        <ns0:v/>
      </ns0:c>
      <ns0:c r="D358">
        <ns0:f>IFERROR(IF(ISNUMBER($A358),IF(AND(AH!$P$10=1,AH!$P$12=1,$A358=TODAY()),AH!$P$18,IF(AH!$P$10=1,INDEX('Live History'!$E$5:$E$3004,MATCH($A358,'Live History'!$D$5:$D$3004,1)),INDEX('AH History'!$C$1:$C$18046,AH!$P$7+353))),NA()),NA())</ns0:f>
        <ns0:v/>
      </ns0:c>
      <ns0:c r="E358">
        <ns0:f>IFERROR(IF(ISNUMBER($A358),IF(AND(AH!$P$10=1,AH!$P$12=1,$A358=TODAY()),AH!$P$20,IF(AH!$P$10=1,INDEX('Live History'!$H$5:$H$3004,MATCH($A358,'Live History'!$G$5:$G$3004,1)),INDEX('AH History'!$D$1:$D$18046,AH!$P$7+353))),NA()),NA())</ns0:f>
        <ns0:v/>
      </ns0:c>
      <ns0:c r="F358">
        <ns0:f>IFERROR(IF(ISNUMBER($A358),IF(AND(AH!$P$10=1,AH!$P$12=1,$A358=TODAY()),IF(AND(AH!$P$10=1,AH!$P$12=1,$A358=TODAY()),TODAY(),NA()),IF(AH!$P$10=1,INDEX('Live History'!$D$5:$D$3004,MATCH($A358,'Live History'!$D$5:$D$3004,1)),INDEX('AH History'!$E$1:$E$18046,AH!$P$7+353))),NA()),NA())</ns0:f>
        <ns0:v/>
      </ns0:c>
      <ns0:c r="G358">
        <ns0:f>IFERROR(IF(ISNUMBER($A358),IF(AND(AH!$P$10=1,AH!$P$12=1,$A358=TODAY()),IF(AND(AH!$P$10=1,AH!$P$12=1,$A358=TODAY()),TODAY(),NA()),IF(AH!$P$10=1,INDEX('Live History'!$G$5:$G$3004,MATCH($A358,'Live History'!$G$5:$G$3004,1)),INDEX('AH History'!$F$1:$F$18046,AH!$P$7+353))),NA()),NA())</ns0:f>
        <ns0:v/>
      </ns0:c>
      <ns0:c r="H358">
        <ns0:f>IFERROR(IF(AND(AH!$E$4="Bloomberg",AH!$P$10=1,ISNUMBER($A358),$A358&lt;=AH!$P$17),AH!$P$7-1+MATCH($A358,INDEX('AH History'!$A$1:$A$18046,AH!$P$7):INDEX('AH History'!$A$1:$A$18046,AH!$P$7+AH!$P$8-1),0),0),0)</ns0:f>
        <ns0:v/>
      </ns0:c>
      <ns0:c r="I358">
        <ns0:f>IF($H358=0,0,IFERROR(IF(AND(ABS($C358-INDEX('AH History'!$B$1:$B$18046,$H358))&lt;=MAX(0.005,ABS(INDEX('AH History'!$B$1:$B$18046,$H358))*0.00005),ABS($D358-INDEX('AH History'!$C$1:$C$18046,$H358))&lt;=MAX(0.005,ABS(INDEX('AH History'!$C$1:$C$18046,$H358))*0.00005),ABS($E358-INDEX('AH History'!$D$1:$D$18046,$H358))&lt;=0.00005,$F358=INDEX('AH History'!$E$1:$E$18046,$H358),$G358=INDEX('AH History'!$F$1:$F$18046,$H358)),1,-1),-1))</ns0:f>
        <ns0:v/>
      </ns0:c>
    </ns0:row>
    <ns0:row r="359">
      <ns0:c r="A359" s="215">
        <ns0:f>IF(OR(AH!$P$3=0,354+1&gt;AH!$P$11,AND(AH!$E$4&lt;&gt;"Stored",AH!$P$10&lt;&gt;1)),"",IFERROR(IF(AND(AH!$P$21=1,354+1=AH!$P$11),TODAY(),IF(AH!$P$10=1,INDEX('Live History'!$A$5:$A$3004,AH!$P$13+354),INDEX('AH History'!$A$1:$A$18046,AH!$P$7+354))),""))</ns0:f>
        <ns0:v/>
      </ns0:c>
      <ns0:c r="B359" s="219">
        <ns0:f>IFERROR(IF(AND(AH!$P$9&lt;&gt;1,$C359&gt;0,$D359&gt;0,$E359&gt;0,$F359&gt;0,$G359&gt;0,$F359&lt;=$A359,$G359&lt;=$A359,$A359-$F359&lt;=10,$A359-$G359&lt;=5),$D359*$E359/$C359-1,NA()),NA())</ns0:f>
        <ns0:v/>
      </ns0:c>
      <ns0:c r="C359">
        <ns0:f>IFERROR(IF(ISNUMBER($A359),IF(AND(AH!$P$10=1,AH!$P$12=1,$A359=TODAY()),AH!$P$19,IF(AH!$P$10=1,INDEX('Live History'!$B$5:$B$3004,AH!$P$13+354),INDEX('AH History'!$B$1:$B$18046,AH!$P$7+354))),NA()),NA())</ns0:f>
        <ns0:v/>
      </ns0:c>
      <ns0:c r="D359">
        <ns0:f>IFERROR(IF(ISNUMBER($A359),IF(AND(AH!$P$10=1,AH!$P$12=1,$A359=TODAY()),AH!$P$18,IF(AH!$P$10=1,INDEX('Live History'!$E$5:$E$3004,MATCH($A359,'Live History'!$D$5:$D$3004,1)),INDEX('AH History'!$C$1:$C$18046,AH!$P$7+354))),NA()),NA())</ns0:f>
        <ns0:v/>
      </ns0:c>
      <ns0:c r="E359">
        <ns0:f>IFERROR(IF(ISNUMBER($A359),IF(AND(AH!$P$10=1,AH!$P$12=1,$A359=TODAY()),AH!$P$20,IF(AH!$P$10=1,INDEX('Live History'!$H$5:$H$3004,MATCH($A359,'Live History'!$G$5:$G$3004,1)),INDEX('AH History'!$D$1:$D$18046,AH!$P$7+354))),NA()),NA())</ns0:f>
        <ns0:v/>
      </ns0:c>
      <ns0:c r="F359">
        <ns0:f>IFERROR(IF(ISNUMBER($A359),IF(AND(AH!$P$10=1,AH!$P$12=1,$A359=TODAY()),IF(AND(AH!$P$10=1,AH!$P$12=1,$A359=TODAY()),TODAY(),NA()),IF(AH!$P$10=1,INDEX('Live History'!$D$5:$D$3004,MATCH($A359,'Live History'!$D$5:$D$3004,1)),INDEX('AH History'!$E$1:$E$18046,AH!$P$7+354))),NA()),NA())</ns0:f>
        <ns0:v/>
      </ns0:c>
      <ns0:c r="G359">
        <ns0:f>IFERROR(IF(ISNUMBER($A359),IF(AND(AH!$P$10=1,AH!$P$12=1,$A359=TODAY()),IF(AND(AH!$P$10=1,AH!$P$12=1,$A359=TODAY()),TODAY(),NA()),IF(AH!$P$10=1,INDEX('Live History'!$G$5:$G$3004,MATCH($A359,'Live History'!$G$5:$G$3004,1)),INDEX('AH History'!$F$1:$F$18046,AH!$P$7+354))),NA()),NA())</ns0:f>
        <ns0:v/>
      </ns0:c>
      <ns0:c r="H359">
        <ns0:f>IFERROR(IF(AND(AH!$E$4="Bloomberg",AH!$P$10=1,ISNUMBER($A359),$A359&lt;=AH!$P$17),AH!$P$7-1+MATCH($A359,INDEX('AH History'!$A$1:$A$18046,AH!$P$7):INDEX('AH History'!$A$1:$A$18046,AH!$P$7+AH!$P$8-1),0),0),0)</ns0:f>
        <ns0:v/>
      </ns0:c>
      <ns0:c r="I359">
        <ns0:f>IF($H359=0,0,IFERROR(IF(AND(ABS($C359-INDEX('AH History'!$B$1:$B$18046,$H359))&lt;=MAX(0.005,ABS(INDEX('AH History'!$B$1:$B$18046,$H359))*0.00005),ABS($D359-INDEX('AH History'!$C$1:$C$18046,$H359))&lt;=MAX(0.005,ABS(INDEX('AH History'!$C$1:$C$18046,$H359))*0.00005),ABS($E359-INDEX('AH History'!$D$1:$D$18046,$H359))&lt;=0.00005,$F359=INDEX('AH History'!$E$1:$E$18046,$H359),$G359=INDEX('AH History'!$F$1:$F$18046,$H359)),1,-1),-1))</ns0:f>
        <ns0:v/>
      </ns0:c>
    </ns0:row>
    <ns0:row r="360">
      <ns0:c r="A360" s="215">
        <ns0:f>IF(OR(AH!$P$3=0,355+1&gt;AH!$P$11,AND(AH!$E$4&lt;&gt;"Stored",AH!$P$10&lt;&gt;1)),"",IFERROR(IF(AND(AH!$P$21=1,355+1=AH!$P$11),TODAY(),IF(AH!$P$10=1,INDEX('Live History'!$A$5:$A$3004,AH!$P$13+355),INDEX('AH History'!$A$1:$A$18046,AH!$P$7+355))),""))</ns0:f>
        <ns0:v/>
      </ns0:c>
      <ns0:c r="B360" s="219">
        <ns0:f>IFERROR(IF(AND(AH!$P$9&lt;&gt;1,$C360&gt;0,$D360&gt;0,$E360&gt;0,$F360&gt;0,$G360&gt;0,$F360&lt;=$A360,$G360&lt;=$A360,$A360-$F360&lt;=10,$A360-$G360&lt;=5),$D360*$E360/$C360-1,NA()),NA())</ns0:f>
        <ns0:v/>
      </ns0:c>
      <ns0:c r="C360">
        <ns0:f>IFERROR(IF(ISNUMBER($A360),IF(AND(AH!$P$10=1,AH!$P$12=1,$A360=TODAY()),AH!$P$19,IF(AH!$P$10=1,INDEX('Live History'!$B$5:$B$3004,AH!$P$13+355),INDEX('AH History'!$B$1:$B$18046,AH!$P$7+355))),NA()),NA())</ns0:f>
        <ns0:v/>
      </ns0:c>
      <ns0:c r="D360">
        <ns0:f>IFERROR(IF(ISNUMBER($A360),IF(AND(AH!$P$10=1,AH!$P$12=1,$A360=TODAY()),AH!$P$18,IF(AH!$P$10=1,INDEX('Live History'!$E$5:$E$3004,MATCH($A360,'Live History'!$D$5:$D$3004,1)),INDEX('AH History'!$C$1:$C$18046,AH!$P$7+355))),NA()),NA())</ns0:f>
        <ns0:v/>
      </ns0:c>
      <ns0:c r="E360">
        <ns0:f>IFERROR(IF(ISNUMBER($A360),IF(AND(AH!$P$10=1,AH!$P$12=1,$A360=TODAY()),AH!$P$20,IF(AH!$P$10=1,INDEX('Live History'!$H$5:$H$3004,MATCH($A360,'Live History'!$G$5:$G$3004,1)),INDEX('AH History'!$D$1:$D$18046,AH!$P$7+355))),NA()),NA())</ns0:f>
        <ns0:v/>
      </ns0:c>
      <ns0:c r="F360">
        <ns0:f>IFERROR(IF(ISNUMBER($A360),IF(AND(AH!$P$10=1,AH!$P$12=1,$A360=TODAY()),IF(AND(AH!$P$10=1,AH!$P$12=1,$A360=TODAY()),TODAY(),NA()),IF(AH!$P$10=1,INDEX('Live History'!$D$5:$D$3004,MATCH($A360,'Live History'!$D$5:$D$3004,1)),INDEX('AH History'!$E$1:$E$18046,AH!$P$7+355))),NA()),NA())</ns0:f>
        <ns0:v/>
      </ns0:c>
      <ns0:c r="G360">
        <ns0:f>IFERROR(IF(ISNUMBER($A360),IF(AND(AH!$P$10=1,AH!$P$12=1,$A360=TODAY()),IF(AND(AH!$P$10=1,AH!$P$12=1,$A360=TODAY()),TODAY(),NA()),IF(AH!$P$10=1,INDEX('Live History'!$G$5:$G$3004,MATCH($A360,'Live History'!$G$5:$G$3004,1)),INDEX('AH History'!$F$1:$F$18046,AH!$P$7+355))),NA()),NA())</ns0:f>
        <ns0:v/>
      </ns0:c>
      <ns0:c r="H360">
        <ns0:f>IFERROR(IF(AND(AH!$E$4="Bloomberg",AH!$P$10=1,ISNUMBER($A360),$A360&lt;=AH!$P$17),AH!$P$7-1+MATCH($A360,INDEX('AH History'!$A$1:$A$18046,AH!$P$7):INDEX('AH History'!$A$1:$A$18046,AH!$P$7+AH!$P$8-1),0),0),0)</ns0:f>
        <ns0:v/>
      </ns0:c>
      <ns0:c r="I360">
        <ns0:f>IF($H360=0,0,IFERROR(IF(AND(ABS($C360-INDEX('AH History'!$B$1:$B$18046,$H360))&lt;=MAX(0.005,ABS(INDEX('AH History'!$B$1:$B$18046,$H360))*0.00005),ABS($D360-INDEX('AH History'!$C$1:$C$18046,$H360))&lt;=MAX(0.005,ABS(INDEX('AH History'!$C$1:$C$18046,$H360))*0.00005),ABS($E360-INDEX('AH History'!$D$1:$D$18046,$H360))&lt;=0.00005,$F360=INDEX('AH History'!$E$1:$E$18046,$H360),$G360=INDEX('AH History'!$F$1:$F$18046,$H360)),1,-1),-1))</ns0:f>
        <ns0:v/>
      </ns0:c>
    </ns0:row>
    <ns0:row r="361">
      <ns0:c r="A361" s="215">
        <ns0:f>IF(OR(AH!$P$3=0,356+1&gt;AH!$P$11,AND(AH!$E$4&lt;&gt;"Stored",AH!$P$10&lt;&gt;1)),"",IFERROR(IF(AND(AH!$P$21=1,356+1=AH!$P$11),TODAY(),IF(AH!$P$10=1,INDEX('Live History'!$A$5:$A$3004,AH!$P$13+356),INDEX('AH History'!$A$1:$A$18046,AH!$P$7+356))),""))</ns0:f>
        <ns0:v/>
      </ns0:c>
      <ns0:c r="B361" s="219">
        <ns0:f>IFERROR(IF(AND(AH!$P$9&lt;&gt;1,$C361&gt;0,$D361&gt;0,$E361&gt;0,$F361&gt;0,$G361&gt;0,$F361&lt;=$A361,$G361&lt;=$A361,$A361-$F361&lt;=10,$A361-$G361&lt;=5),$D361*$E361/$C361-1,NA()),NA())</ns0:f>
        <ns0:v/>
      </ns0:c>
      <ns0:c r="C361">
        <ns0:f>IFERROR(IF(ISNUMBER($A361),IF(AND(AH!$P$10=1,AH!$P$12=1,$A361=TODAY()),AH!$P$19,IF(AH!$P$10=1,INDEX('Live History'!$B$5:$B$3004,AH!$P$13+356),INDEX('AH History'!$B$1:$B$18046,AH!$P$7+356))),NA()),NA())</ns0:f>
        <ns0:v/>
      </ns0:c>
      <ns0:c r="D361">
        <ns0:f>IFERROR(IF(ISNUMBER($A361),IF(AND(AH!$P$10=1,AH!$P$12=1,$A361=TODAY()),AH!$P$18,IF(AH!$P$10=1,INDEX('Live History'!$E$5:$E$3004,MATCH($A361,'Live History'!$D$5:$D$3004,1)),INDEX('AH History'!$C$1:$C$18046,AH!$P$7+356))),NA()),NA())</ns0:f>
        <ns0:v/>
      </ns0:c>
      <ns0:c r="E361">
        <ns0:f>IFERROR(IF(ISNUMBER($A361),IF(AND(AH!$P$10=1,AH!$P$12=1,$A361=TODAY()),AH!$P$20,IF(AH!$P$10=1,INDEX('Live History'!$H$5:$H$3004,MATCH($A361,'Live History'!$G$5:$G$3004,1)),INDEX('AH History'!$D$1:$D$18046,AH!$P$7+356))),NA()),NA())</ns0:f>
        <ns0:v/>
      </ns0:c>
      <ns0:c r="F361">
        <ns0:f>IFERROR(IF(ISNUMBER($A361),IF(AND(AH!$P$10=1,AH!$P$12=1,$A361=TODAY()),IF(AND(AH!$P$10=1,AH!$P$12=1,$A361=TODAY()),TODAY(),NA()),IF(AH!$P$10=1,INDEX('Live History'!$D$5:$D$3004,MATCH($A361,'Live History'!$D$5:$D$3004,1)),INDEX('AH History'!$E$1:$E$18046,AH!$P$7+356))),NA()),NA())</ns0:f>
        <ns0:v/>
      </ns0:c>
      <ns0:c r="G361">
        <ns0:f>IFERROR(IF(ISNUMBER($A361),IF(AND(AH!$P$10=1,AH!$P$12=1,$A361=TODAY()),IF(AND(AH!$P$10=1,AH!$P$12=1,$A361=TODAY()),TODAY(),NA()),IF(AH!$P$10=1,INDEX('Live History'!$G$5:$G$3004,MATCH($A361,'Live History'!$G$5:$G$3004,1)),INDEX('AH History'!$F$1:$F$18046,AH!$P$7+356))),NA()),NA())</ns0:f>
        <ns0:v/>
      </ns0:c>
      <ns0:c r="H361">
        <ns0:f>IFERROR(IF(AND(AH!$E$4="Bloomberg",AH!$P$10=1,ISNUMBER($A361),$A361&lt;=AH!$P$17),AH!$P$7-1+MATCH($A361,INDEX('AH History'!$A$1:$A$18046,AH!$P$7):INDEX('AH History'!$A$1:$A$18046,AH!$P$7+AH!$P$8-1),0),0),0)</ns0:f>
        <ns0:v/>
      </ns0:c>
      <ns0:c r="I361">
        <ns0:f>IF($H361=0,0,IFERROR(IF(AND(ABS($C361-INDEX('AH History'!$B$1:$B$18046,$H361))&lt;=MAX(0.005,ABS(INDEX('AH History'!$B$1:$B$18046,$H361))*0.00005),ABS($D361-INDEX('AH History'!$C$1:$C$18046,$H361))&lt;=MAX(0.005,ABS(INDEX('AH History'!$C$1:$C$18046,$H361))*0.00005),ABS($E361-INDEX('AH History'!$D$1:$D$18046,$H361))&lt;=0.00005,$F361=INDEX('AH History'!$E$1:$E$18046,$H361),$G361=INDEX('AH History'!$F$1:$F$18046,$H361)),1,-1),-1))</ns0:f>
        <ns0:v/>
      </ns0:c>
    </ns0:row>
    <ns0:row r="362">
      <ns0:c r="A362" s="215">
        <ns0:f>IF(OR(AH!$P$3=0,357+1&gt;AH!$P$11,AND(AH!$E$4&lt;&gt;"Stored",AH!$P$10&lt;&gt;1)),"",IFERROR(IF(AND(AH!$P$21=1,357+1=AH!$P$11),TODAY(),IF(AH!$P$10=1,INDEX('Live History'!$A$5:$A$3004,AH!$P$13+357),INDEX('AH History'!$A$1:$A$18046,AH!$P$7+357))),""))</ns0:f>
        <ns0:v/>
      </ns0:c>
      <ns0:c r="B362" s="219">
        <ns0:f>IFERROR(IF(AND(AH!$P$9&lt;&gt;1,$C362&gt;0,$D362&gt;0,$E362&gt;0,$F362&gt;0,$G362&gt;0,$F362&lt;=$A362,$G362&lt;=$A362,$A362-$F362&lt;=10,$A362-$G362&lt;=5),$D362*$E362/$C362-1,NA()),NA())</ns0:f>
        <ns0:v/>
      </ns0:c>
      <ns0:c r="C362">
        <ns0:f>IFERROR(IF(ISNUMBER($A362),IF(AND(AH!$P$10=1,AH!$P$12=1,$A362=TODAY()),AH!$P$19,IF(AH!$P$10=1,INDEX('Live History'!$B$5:$B$3004,AH!$P$13+357),INDEX('AH History'!$B$1:$B$18046,AH!$P$7+357))),NA()),NA())</ns0:f>
        <ns0:v/>
      </ns0:c>
      <ns0:c r="D362">
        <ns0:f>IFERROR(IF(ISNUMBER($A362),IF(AND(AH!$P$10=1,AH!$P$12=1,$A362=TODAY()),AH!$P$18,IF(AH!$P$10=1,INDEX('Live History'!$E$5:$E$3004,MATCH($A362,'Live History'!$D$5:$D$3004,1)),INDEX('AH History'!$C$1:$C$18046,AH!$P$7+357))),NA()),NA())</ns0:f>
        <ns0:v/>
      </ns0:c>
      <ns0:c r="E362">
        <ns0:f>IFERROR(IF(ISNUMBER($A362),IF(AND(AH!$P$10=1,AH!$P$12=1,$A362=TODAY()),AH!$P$20,IF(AH!$P$10=1,INDEX('Live History'!$H$5:$H$3004,MATCH($A362,'Live History'!$G$5:$G$3004,1)),INDEX('AH History'!$D$1:$D$18046,AH!$P$7+357))),NA()),NA())</ns0:f>
        <ns0:v/>
      </ns0:c>
      <ns0:c r="F362">
        <ns0:f>IFERROR(IF(ISNUMBER($A362),IF(AND(AH!$P$10=1,AH!$P$12=1,$A362=TODAY()),IF(AND(AH!$P$10=1,AH!$P$12=1,$A362=TODAY()),TODAY(),NA()),IF(AH!$P$10=1,INDEX('Live History'!$D$5:$D$3004,MATCH($A362,'Live History'!$D$5:$D$3004,1)),INDEX('AH History'!$E$1:$E$18046,AH!$P$7+357))),NA()),NA())</ns0:f>
        <ns0:v/>
      </ns0:c>
      <ns0:c r="G362">
        <ns0:f>IFERROR(IF(ISNUMBER($A362),IF(AND(AH!$P$10=1,AH!$P$12=1,$A362=TODAY()),IF(AND(AH!$P$10=1,AH!$P$12=1,$A362=TODAY()),TODAY(),NA()),IF(AH!$P$10=1,INDEX('Live History'!$G$5:$G$3004,MATCH($A362,'Live History'!$G$5:$G$3004,1)),INDEX('AH History'!$F$1:$F$18046,AH!$P$7+357))),NA()),NA())</ns0:f>
        <ns0:v/>
      </ns0:c>
      <ns0:c r="H362">
        <ns0:f>IFERROR(IF(AND(AH!$E$4="Bloomberg",AH!$P$10=1,ISNUMBER($A362),$A362&lt;=AH!$P$17),AH!$P$7-1+MATCH($A362,INDEX('AH History'!$A$1:$A$18046,AH!$P$7):INDEX('AH History'!$A$1:$A$18046,AH!$P$7+AH!$P$8-1),0),0),0)</ns0:f>
        <ns0:v/>
      </ns0:c>
      <ns0:c r="I362">
        <ns0:f>IF($H362=0,0,IFERROR(IF(AND(ABS($C362-INDEX('AH History'!$B$1:$B$18046,$H362))&lt;=MAX(0.005,ABS(INDEX('AH History'!$B$1:$B$18046,$H362))*0.00005),ABS($D362-INDEX('AH History'!$C$1:$C$18046,$H362))&lt;=MAX(0.005,ABS(INDEX('AH History'!$C$1:$C$18046,$H362))*0.00005),ABS($E362-INDEX('AH History'!$D$1:$D$18046,$H362))&lt;=0.00005,$F362=INDEX('AH History'!$E$1:$E$18046,$H362),$G362=INDEX('AH History'!$F$1:$F$18046,$H362)),1,-1),-1))</ns0:f>
        <ns0:v/>
      </ns0:c>
    </ns0:row>
    <ns0:row r="363">
      <ns0:c r="A363" s="215">
        <ns0:f>IF(OR(AH!$P$3=0,358+1&gt;AH!$P$11,AND(AH!$E$4&lt;&gt;"Stored",AH!$P$10&lt;&gt;1)),"",IFERROR(IF(AND(AH!$P$21=1,358+1=AH!$P$11),TODAY(),IF(AH!$P$10=1,INDEX('Live History'!$A$5:$A$3004,AH!$P$13+358),INDEX('AH History'!$A$1:$A$18046,AH!$P$7+358))),""))</ns0:f>
        <ns0:v/>
      </ns0:c>
      <ns0:c r="B363" s="219">
        <ns0:f>IFERROR(IF(AND(AH!$P$9&lt;&gt;1,$C363&gt;0,$D363&gt;0,$E363&gt;0,$F363&gt;0,$G363&gt;0,$F363&lt;=$A363,$G363&lt;=$A363,$A363-$F363&lt;=10,$A363-$G363&lt;=5),$D363*$E363/$C363-1,NA()),NA())</ns0:f>
        <ns0:v/>
      </ns0:c>
      <ns0:c r="C363">
        <ns0:f>IFERROR(IF(ISNUMBER($A363),IF(AND(AH!$P$10=1,AH!$P$12=1,$A363=TODAY()),AH!$P$19,IF(AH!$P$10=1,INDEX('Live History'!$B$5:$B$3004,AH!$P$13+358),INDEX('AH History'!$B$1:$B$18046,AH!$P$7+358))),NA()),NA())</ns0:f>
        <ns0:v/>
      </ns0:c>
      <ns0:c r="D363">
        <ns0:f>IFERROR(IF(ISNUMBER($A363),IF(AND(AH!$P$10=1,AH!$P$12=1,$A363=TODAY()),AH!$P$18,IF(AH!$P$10=1,INDEX('Live History'!$E$5:$E$3004,MATCH($A363,'Live History'!$D$5:$D$3004,1)),INDEX('AH History'!$C$1:$C$18046,AH!$P$7+358))),NA()),NA())</ns0:f>
        <ns0:v/>
      </ns0:c>
      <ns0:c r="E363">
        <ns0:f>IFERROR(IF(ISNUMBER($A363),IF(AND(AH!$P$10=1,AH!$P$12=1,$A363=TODAY()),AH!$P$20,IF(AH!$P$10=1,INDEX('Live History'!$H$5:$H$3004,MATCH($A363,'Live History'!$G$5:$G$3004,1)),INDEX('AH History'!$D$1:$D$18046,AH!$P$7+358))),NA()),NA())</ns0:f>
        <ns0:v/>
      </ns0:c>
      <ns0:c r="F363">
        <ns0:f>IFERROR(IF(ISNUMBER($A363),IF(AND(AH!$P$10=1,AH!$P$12=1,$A363=TODAY()),IF(AND(AH!$P$10=1,AH!$P$12=1,$A363=TODAY()),TODAY(),NA()),IF(AH!$P$10=1,INDEX('Live History'!$D$5:$D$3004,MATCH($A363,'Live History'!$D$5:$D$3004,1)),INDEX('AH History'!$E$1:$E$18046,AH!$P$7+358))),NA()),NA())</ns0:f>
        <ns0:v/>
      </ns0:c>
      <ns0:c r="G363">
        <ns0:f>IFERROR(IF(ISNUMBER($A363),IF(AND(AH!$P$10=1,AH!$P$12=1,$A363=TODAY()),IF(AND(AH!$P$10=1,AH!$P$12=1,$A363=TODAY()),TODAY(),NA()),IF(AH!$P$10=1,INDEX('Live History'!$G$5:$G$3004,MATCH($A363,'Live History'!$G$5:$G$3004,1)),INDEX('AH History'!$F$1:$F$18046,AH!$P$7+358))),NA()),NA())</ns0:f>
        <ns0:v/>
      </ns0:c>
      <ns0:c r="H363">
        <ns0:f>IFERROR(IF(AND(AH!$E$4="Bloomberg",AH!$P$10=1,ISNUMBER($A363),$A363&lt;=AH!$P$17),AH!$P$7-1+MATCH($A363,INDEX('AH History'!$A$1:$A$18046,AH!$P$7):INDEX('AH History'!$A$1:$A$18046,AH!$P$7+AH!$P$8-1),0),0),0)</ns0:f>
        <ns0:v/>
      </ns0:c>
      <ns0:c r="I363">
        <ns0:f>IF($H363=0,0,IFERROR(IF(AND(ABS($C363-INDEX('AH History'!$B$1:$B$18046,$H363))&lt;=MAX(0.005,ABS(INDEX('AH History'!$B$1:$B$18046,$H363))*0.00005),ABS($D363-INDEX('AH History'!$C$1:$C$18046,$H363))&lt;=MAX(0.005,ABS(INDEX('AH History'!$C$1:$C$18046,$H363))*0.00005),ABS($E363-INDEX('AH History'!$D$1:$D$18046,$H363))&lt;=0.00005,$F363=INDEX('AH History'!$E$1:$E$18046,$H363),$G363=INDEX('AH History'!$F$1:$F$18046,$H363)),1,-1),-1))</ns0:f>
        <ns0:v/>
      </ns0:c>
    </ns0:row>
    <ns0:row r="364">
      <ns0:c r="A364" s="215">
        <ns0:f>IF(OR(AH!$P$3=0,359+1&gt;AH!$P$11,AND(AH!$E$4&lt;&gt;"Stored",AH!$P$10&lt;&gt;1)),"",IFERROR(IF(AND(AH!$P$21=1,359+1=AH!$P$11),TODAY(),IF(AH!$P$10=1,INDEX('Live History'!$A$5:$A$3004,AH!$P$13+359),INDEX('AH History'!$A$1:$A$18046,AH!$P$7+359))),""))</ns0:f>
        <ns0:v/>
      </ns0:c>
      <ns0:c r="B364" s="219">
        <ns0:f>IFERROR(IF(AND(AH!$P$9&lt;&gt;1,$C364&gt;0,$D364&gt;0,$E364&gt;0,$F364&gt;0,$G364&gt;0,$F364&lt;=$A364,$G364&lt;=$A364,$A364-$F364&lt;=10,$A364-$G364&lt;=5),$D364*$E364/$C364-1,NA()),NA())</ns0:f>
        <ns0:v/>
      </ns0:c>
      <ns0:c r="C364">
        <ns0:f>IFERROR(IF(ISNUMBER($A364),IF(AND(AH!$P$10=1,AH!$P$12=1,$A364=TODAY()),AH!$P$19,IF(AH!$P$10=1,INDEX('Live History'!$B$5:$B$3004,AH!$P$13+359),INDEX('AH History'!$B$1:$B$18046,AH!$P$7+359))),NA()),NA())</ns0:f>
        <ns0:v/>
      </ns0:c>
      <ns0:c r="D364">
        <ns0:f>IFERROR(IF(ISNUMBER($A364),IF(AND(AH!$P$10=1,AH!$P$12=1,$A364=TODAY()),AH!$P$18,IF(AH!$P$10=1,INDEX('Live History'!$E$5:$E$3004,MATCH($A364,'Live History'!$D$5:$D$3004,1)),INDEX('AH History'!$C$1:$C$18046,AH!$P$7+359))),NA()),NA())</ns0:f>
        <ns0:v/>
      </ns0:c>
      <ns0:c r="E364">
        <ns0:f>IFERROR(IF(ISNUMBER($A364),IF(AND(AH!$P$10=1,AH!$P$12=1,$A364=TODAY()),AH!$P$20,IF(AH!$P$10=1,INDEX('Live History'!$H$5:$H$3004,MATCH($A364,'Live History'!$G$5:$G$3004,1)),INDEX('AH History'!$D$1:$D$18046,AH!$P$7+359))),NA()),NA())</ns0:f>
        <ns0:v/>
      </ns0:c>
      <ns0:c r="F364">
        <ns0:f>IFERROR(IF(ISNUMBER($A364),IF(AND(AH!$P$10=1,AH!$P$12=1,$A364=TODAY()),IF(AND(AH!$P$10=1,AH!$P$12=1,$A364=TODAY()),TODAY(),NA()),IF(AH!$P$10=1,INDEX('Live History'!$D$5:$D$3004,MATCH($A364,'Live History'!$D$5:$D$3004,1)),INDEX('AH History'!$E$1:$E$18046,AH!$P$7+359))),NA()),NA())</ns0:f>
        <ns0:v/>
      </ns0:c>
      <ns0:c r="G364">
        <ns0:f>IFERROR(IF(ISNUMBER($A364),IF(AND(AH!$P$10=1,AH!$P$12=1,$A364=TODAY()),IF(AND(AH!$P$10=1,AH!$P$12=1,$A364=TODAY()),TODAY(),NA()),IF(AH!$P$10=1,INDEX('Live History'!$G$5:$G$3004,MATCH($A364,'Live History'!$G$5:$G$3004,1)),INDEX('AH History'!$F$1:$F$18046,AH!$P$7+359))),NA()),NA())</ns0:f>
        <ns0:v/>
      </ns0:c>
      <ns0:c r="H364">
        <ns0:f>IFERROR(IF(AND(AH!$E$4="Bloomberg",AH!$P$10=1,ISNUMBER($A364),$A364&lt;=AH!$P$17),AH!$P$7-1+MATCH($A364,INDEX('AH History'!$A$1:$A$18046,AH!$P$7):INDEX('AH History'!$A$1:$A$18046,AH!$P$7+AH!$P$8-1),0),0),0)</ns0:f>
        <ns0:v/>
      </ns0:c>
      <ns0:c r="I364">
        <ns0:f>IF($H364=0,0,IFERROR(IF(AND(ABS($C364-INDEX('AH History'!$B$1:$B$18046,$H364))&lt;=MAX(0.005,ABS(INDEX('AH History'!$B$1:$B$18046,$H364))*0.00005),ABS($D364-INDEX('AH History'!$C$1:$C$18046,$H364))&lt;=MAX(0.005,ABS(INDEX('AH History'!$C$1:$C$18046,$H364))*0.00005),ABS($E364-INDEX('AH History'!$D$1:$D$18046,$H364))&lt;=0.00005,$F364=INDEX('AH History'!$E$1:$E$18046,$H364),$G364=INDEX('AH History'!$F$1:$F$18046,$H364)),1,-1),-1))</ns0:f>
        <ns0:v/>
      </ns0:c>
    </ns0:row>
    <ns0:row r="365">
      <ns0:c r="A365" s="215">
        <ns0:f>IF(OR(AH!$P$3=0,360+1&gt;AH!$P$11,AND(AH!$E$4&lt;&gt;"Stored",AH!$P$10&lt;&gt;1)),"",IFERROR(IF(AND(AH!$P$21=1,360+1=AH!$P$11),TODAY(),IF(AH!$P$10=1,INDEX('Live History'!$A$5:$A$3004,AH!$P$13+360),INDEX('AH History'!$A$1:$A$18046,AH!$P$7+360))),""))</ns0:f>
        <ns0:v/>
      </ns0:c>
      <ns0:c r="B365" s="219">
        <ns0:f>IFERROR(IF(AND(AH!$P$9&lt;&gt;1,$C365&gt;0,$D365&gt;0,$E365&gt;0,$F365&gt;0,$G365&gt;0,$F365&lt;=$A365,$G365&lt;=$A365,$A365-$F365&lt;=10,$A365-$G365&lt;=5),$D365*$E365/$C365-1,NA()),NA())</ns0:f>
        <ns0:v/>
      </ns0:c>
      <ns0:c r="C365">
        <ns0:f>IFERROR(IF(ISNUMBER($A365),IF(AND(AH!$P$10=1,AH!$P$12=1,$A365=TODAY()),AH!$P$19,IF(AH!$P$10=1,INDEX('Live History'!$B$5:$B$3004,AH!$P$13+360),INDEX('AH History'!$B$1:$B$18046,AH!$P$7+360))),NA()),NA())</ns0:f>
        <ns0:v/>
      </ns0:c>
      <ns0:c r="D365">
        <ns0:f>IFERROR(IF(ISNUMBER($A365),IF(AND(AH!$P$10=1,AH!$P$12=1,$A365=TODAY()),AH!$P$18,IF(AH!$P$10=1,INDEX('Live History'!$E$5:$E$3004,MATCH($A365,'Live History'!$D$5:$D$3004,1)),INDEX('AH History'!$C$1:$C$18046,AH!$P$7+360))),NA()),NA())</ns0:f>
        <ns0:v/>
      </ns0:c>
      <ns0:c r="E365">
        <ns0:f>IFERROR(IF(ISNUMBER($A365),IF(AND(AH!$P$10=1,AH!$P$12=1,$A365=TODAY()),AH!$P$20,IF(AH!$P$10=1,INDEX('Live History'!$H$5:$H$3004,MATCH($A365,'Live History'!$G$5:$G$3004,1)),INDEX('AH History'!$D$1:$D$18046,AH!$P$7+360))),NA()),NA())</ns0:f>
        <ns0:v/>
      </ns0:c>
      <ns0:c r="F365">
        <ns0:f>IFERROR(IF(ISNUMBER($A365),IF(AND(AH!$P$10=1,AH!$P$12=1,$A365=TODAY()),IF(AND(AH!$P$10=1,AH!$P$12=1,$A365=TODAY()),TODAY(),NA()),IF(AH!$P$10=1,INDEX('Live History'!$D$5:$D$3004,MATCH($A365,'Live History'!$D$5:$D$3004,1)),INDEX('AH History'!$E$1:$E$18046,AH!$P$7+360))),NA()),NA())</ns0:f>
        <ns0:v/>
      </ns0:c>
      <ns0:c r="G365">
        <ns0:f>IFERROR(IF(ISNUMBER($A365),IF(AND(AH!$P$10=1,AH!$P$12=1,$A365=TODAY()),IF(AND(AH!$P$10=1,AH!$P$12=1,$A365=TODAY()),TODAY(),NA()),IF(AH!$P$10=1,INDEX('Live History'!$G$5:$G$3004,MATCH($A365,'Live History'!$G$5:$G$3004,1)),INDEX('AH History'!$F$1:$F$18046,AH!$P$7+360))),NA()),NA())</ns0:f>
        <ns0:v/>
      </ns0:c>
      <ns0:c r="H365">
        <ns0:f>IFERROR(IF(AND(AH!$E$4="Bloomberg",AH!$P$10=1,ISNUMBER($A365),$A365&lt;=AH!$P$17),AH!$P$7-1+MATCH($A365,INDEX('AH History'!$A$1:$A$18046,AH!$P$7):INDEX('AH History'!$A$1:$A$18046,AH!$P$7+AH!$P$8-1),0),0),0)</ns0:f>
        <ns0:v/>
      </ns0:c>
      <ns0:c r="I365">
        <ns0:f>IF($H365=0,0,IFERROR(IF(AND(ABS($C365-INDEX('AH History'!$B$1:$B$18046,$H365))&lt;=MAX(0.005,ABS(INDEX('AH History'!$B$1:$B$18046,$H365))*0.00005),ABS($D365-INDEX('AH History'!$C$1:$C$18046,$H365))&lt;=MAX(0.005,ABS(INDEX('AH History'!$C$1:$C$18046,$H365))*0.00005),ABS($E365-INDEX('AH History'!$D$1:$D$18046,$H365))&lt;=0.00005,$F365=INDEX('AH History'!$E$1:$E$18046,$H365),$G365=INDEX('AH History'!$F$1:$F$18046,$H365)),1,-1),-1))</ns0:f>
        <ns0:v/>
      </ns0:c>
    </ns0:row>
    <ns0:row r="366">
      <ns0:c r="A366" s="215">
        <ns0:f>IF(OR(AH!$P$3=0,361+1&gt;AH!$P$11,AND(AH!$E$4&lt;&gt;"Stored",AH!$P$10&lt;&gt;1)),"",IFERROR(IF(AND(AH!$P$21=1,361+1=AH!$P$11),TODAY(),IF(AH!$P$10=1,INDEX('Live History'!$A$5:$A$3004,AH!$P$13+361),INDEX('AH History'!$A$1:$A$18046,AH!$P$7+361))),""))</ns0:f>
        <ns0:v/>
      </ns0:c>
      <ns0:c r="B366" s="219">
        <ns0:f>IFERROR(IF(AND(AH!$P$9&lt;&gt;1,$C366&gt;0,$D366&gt;0,$E366&gt;0,$F366&gt;0,$G366&gt;0,$F366&lt;=$A366,$G366&lt;=$A366,$A366-$F366&lt;=10,$A366-$G366&lt;=5),$D366*$E366/$C366-1,NA()),NA())</ns0:f>
        <ns0:v/>
      </ns0:c>
      <ns0:c r="C366">
        <ns0:f>IFERROR(IF(ISNUMBER($A366),IF(AND(AH!$P$10=1,AH!$P$12=1,$A366=TODAY()),AH!$P$19,IF(AH!$P$10=1,INDEX('Live History'!$B$5:$B$3004,AH!$P$13+361),INDEX('AH History'!$B$1:$B$18046,AH!$P$7+361))),NA()),NA())</ns0:f>
        <ns0:v/>
      </ns0:c>
      <ns0:c r="D366">
        <ns0:f>IFERROR(IF(ISNUMBER($A366),IF(AND(AH!$P$10=1,AH!$P$12=1,$A366=TODAY()),AH!$P$18,IF(AH!$P$10=1,INDEX('Live History'!$E$5:$E$3004,MATCH($A366,'Live History'!$D$5:$D$3004,1)),INDEX('AH History'!$C$1:$C$18046,AH!$P$7+361))),NA()),NA())</ns0:f>
        <ns0:v/>
      </ns0:c>
      <ns0:c r="E366">
        <ns0:f>IFERROR(IF(ISNUMBER($A366),IF(AND(AH!$P$10=1,AH!$P$12=1,$A366=TODAY()),AH!$P$20,IF(AH!$P$10=1,INDEX('Live History'!$H$5:$H$3004,MATCH($A366,'Live History'!$G$5:$G$3004,1)),INDEX('AH History'!$D$1:$D$18046,AH!$P$7+361))),NA()),NA())</ns0:f>
        <ns0:v/>
      </ns0:c>
      <ns0:c r="F366">
        <ns0:f>IFERROR(IF(ISNUMBER($A366),IF(AND(AH!$P$10=1,AH!$P$12=1,$A366=TODAY()),IF(AND(AH!$P$10=1,AH!$P$12=1,$A366=TODAY()),TODAY(),NA()),IF(AH!$P$10=1,INDEX('Live History'!$D$5:$D$3004,MATCH($A366,'Live History'!$D$5:$D$3004,1)),INDEX('AH History'!$E$1:$E$18046,AH!$P$7+361))),NA()),NA())</ns0:f>
        <ns0:v/>
      </ns0:c>
      <ns0:c r="G366">
        <ns0:f>IFERROR(IF(ISNUMBER($A366),IF(AND(AH!$P$10=1,AH!$P$12=1,$A366=TODAY()),IF(AND(AH!$P$10=1,AH!$P$12=1,$A366=TODAY()),TODAY(),NA()),IF(AH!$P$10=1,INDEX('Live History'!$G$5:$G$3004,MATCH($A366,'Live History'!$G$5:$G$3004,1)),INDEX('AH History'!$F$1:$F$18046,AH!$P$7+361))),NA()),NA())</ns0:f>
        <ns0:v/>
      </ns0:c>
      <ns0:c r="H366">
        <ns0:f>IFERROR(IF(AND(AH!$E$4="Bloomberg",AH!$P$10=1,ISNUMBER($A366),$A366&lt;=AH!$P$17),AH!$P$7-1+MATCH($A366,INDEX('AH History'!$A$1:$A$18046,AH!$P$7):INDEX('AH History'!$A$1:$A$18046,AH!$P$7+AH!$P$8-1),0),0),0)</ns0:f>
        <ns0:v/>
      </ns0:c>
      <ns0:c r="I366">
        <ns0:f>IF($H366=0,0,IFERROR(IF(AND(ABS($C366-INDEX('AH History'!$B$1:$B$18046,$H366))&lt;=MAX(0.005,ABS(INDEX('AH History'!$B$1:$B$18046,$H366))*0.00005),ABS($D366-INDEX('AH History'!$C$1:$C$18046,$H366))&lt;=MAX(0.005,ABS(INDEX('AH History'!$C$1:$C$18046,$H366))*0.00005),ABS($E366-INDEX('AH History'!$D$1:$D$18046,$H366))&lt;=0.00005,$F366=INDEX('AH History'!$E$1:$E$18046,$H366),$G366=INDEX('AH History'!$F$1:$F$18046,$H366)),1,-1),-1))</ns0:f>
        <ns0:v/>
      </ns0:c>
    </ns0:row>
    <ns0:row r="367">
      <ns0:c r="A367" s="215">
        <ns0:f>IF(OR(AH!$P$3=0,362+1&gt;AH!$P$11,AND(AH!$E$4&lt;&gt;"Stored",AH!$P$10&lt;&gt;1)),"",IFERROR(IF(AND(AH!$P$21=1,362+1=AH!$P$11),TODAY(),IF(AH!$P$10=1,INDEX('Live History'!$A$5:$A$3004,AH!$P$13+362),INDEX('AH History'!$A$1:$A$18046,AH!$P$7+362))),""))</ns0:f>
        <ns0:v/>
      </ns0:c>
      <ns0:c r="B367" s="219">
        <ns0:f>IFERROR(IF(AND(AH!$P$9&lt;&gt;1,$C367&gt;0,$D367&gt;0,$E367&gt;0,$F367&gt;0,$G367&gt;0,$F367&lt;=$A367,$G367&lt;=$A367,$A367-$F367&lt;=10,$A367-$G367&lt;=5),$D367*$E367/$C367-1,NA()),NA())</ns0:f>
        <ns0:v/>
      </ns0:c>
      <ns0:c r="C367">
        <ns0:f>IFERROR(IF(ISNUMBER($A367),IF(AND(AH!$P$10=1,AH!$P$12=1,$A367=TODAY()),AH!$P$19,IF(AH!$P$10=1,INDEX('Live History'!$B$5:$B$3004,AH!$P$13+362),INDEX('AH History'!$B$1:$B$18046,AH!$P$7+362))),NA()),NA())</ns0:f>
        <ns0:v/>
      </ns0:c>
      <ns0:c r="D367">
        <ns0:f>IFERROR(IF(ISNUMBER($A367),IF(AND(AH!$P$10=1,AH!$P$12=1,$A367=TODAY()),AH!$P$18,IF(AH!$P$10=1,INDEX('Live History'!$E$5:$E$3004,MATCH($A367,'Live History'!$D$5:$D$3004,1)),INDEX('AH History'!$C$1:$C$18046,AH!$P$7+362))),NA()),NA())</ns0:f>
        <ns0:v/>
      </ns0:c>
      <ns0:c r="E367">
        <ns0:f>IFERROR(IF(ISNUMBER($A367),IF(AND(AH!$P$10=1,AH!$P$12=1,$A367=TODAY()),AH!$P$20,IF(AH!$P$10=1,INDEX('Live History'!$H$5:$H$3004,MATCH($A367,'Live History'!$G$5:$G$3004,1)),INDEX('AH History'!$D$1:$D$18046,AH!$P$7+362))),NA()),NA())</ns0:f>
        <ns0:v/>
      </ns0:c>
      <ns0:c r="F367">
        <ns0:f>IFERROR(IF(ISNUMBER($A367),IF(AND(AH!$P$10=1,AH!$P$12=1,$A367=TODAY()),IF(AND(AH!$P$10=1,AH!$P$12=1,$A367=TODAY()),TODAY(),NA()),IF(AH!$P$10=1,INDEX('Live History'!$D$5:$D$3004,MATCH($A367,'Live History'!$D$5:$D$3004,1)),INDEX('AH History'!$E$1:$E$18046,AH!$P$7+362))),NA()),NA())</ns0:f>
        <ns0:v/>
      </ns0:c>
      <ns0:c r="G367">
        <ns0:f>IFERROR(IF(ISNUMBER($A367),IF(AND(AH!$P$10=1,AH!$P$12=1,$A367=TODAY()),IF(AND(AH!$P$10=1,AH!$P$12=1,$A367=TODAY()),TODAY(),NA()),IF(AH!$P$10=1,INDEX('Live History'!$G$5:$G$3004,MATCH($A367,'Live History'!$G$5:$G$3004,1)),INDEX('AH History'!$F$1:$F$18046,AH!$P$7+362))),NA()),NA())</ns0:f>
        <ns0:v/>
      </ns0:c>
      <ns0:c r="H367">
        <ns0:f>IFERROR(IF(AND(AH!$E$4="Bloomberg",AH!$P$10=1,ISNUMBER($A367),$A367&lt;=AH!$P$17),AH!$P$7-1+MATCH($A367,INDEX('AH History'!$A$1:$A$18046,AH!$P$7):INDEX('AH History'!$A$1:$A$18046,AH!$P$7+AH!$P$8-1),0),0),0)</ns0:f>
        <ns0:v/>
      </ns0:c>
      <ns0:c r="I367">
        <ns0:f>IF($H367=0,0,IFERROR(IF(AND(ABS($C367-INDEX('AH History'!$B$1:$B$18046,$H367))&lt;=MAX(0.005,ABS(INDEX('AH History'!$B$1:$B$18046,$H367))*0.00005),ABS($D367-INDEX('AH History'!$C$1:$C$18046,$H367))&lt;=MAX(0.005,ABS(INDEX('AH History'!$C$1:$C$18046,$H367))*0.00005),ABS($E367-INDEX('AH History'!$D$1:$D$18046,$H367))&lt;=0.00005,$F367=INDEX('AH History'!$E$1:$E$18046,$H367),$G367=INDEX('AH History'!$F$1:$F$18046,$H367)),1,-1),-1))</ns0:f>
        <ns0:v/>
      </ns0:c>
    </ns0:row>
    <ns0:row r="368">
      <ns0:c r="A368" s="215">
        <ns0:f>IF(OR(AH!$P$3=0,363+1&gt;AH!$P$11,AND(AH!$E$4&lt;&gt;"Stored",AH!$P$10&lt;&gt;1)),"",IFERROR(IF(AND(AH!$P$21=1,363+1=AH!$P$11),TODAY(),IF(AH!$P$10=1,INDEX('Live History'!$A$5:$A$3004,AH!$P$13+363),INDEX('AH History'!$A$1:$A$18046,AH!$P$7+363))),""))</ns0:f>
        <ns0:v/>
      </ns0:c>
      <ns0:c r="B368" s="219">
        <ns0:f>IFERROR(IF(AND(AH!$P$9&lt;&gt;1,$C368&gt;0,$D368&gt;0,$E368&gt;0,$F368&gt;0,$G368&gt;0,$F368&lt;=$A368,$G368&lt;=$A368,$A368-$F368&lt;=10,$A368-$G368&lt;=5),$D368*$E368/$C368-1,NA()),NA())</ns0:f>
        <ns0:v/>
      </ns0:c>
      <ns0:c r="C368">
        <ns0:f>IFERROR(IF(ISNUMBER($A368),IF(AND(AH!$P$10=1,AH!$P$12=1,$A368=TODAY()),AH!$P$19,IF(AH!$P$10=1,INDEX('Live History'!$B$5:$B$3004,AH!$P$13+363),INDEX('AH History'!$B$1:$B$18046,AH!$P$7+363))),NA()),NA())</ns0:f>
        <ns0:v/>
      </ns0:c>
      <ns0:c r="D368">
        <ns0:f>IFERROR(IF(ISNUMBER($A368),IF(AND(AH!$P$10=1,AH!$P$12=1,$A368=TODAY()),AH!$P$18,IF(AH!$P$10=1,INDEX('Live History'!$E$5:$E$3004,MATCH($A368,'Live History'!$D$5:$D$3004,1)),INDEX('AH History'!$C$1:$C$18046,AH!$P$7+363))),NA()),NA())</ns0:f>
        <ns0:v/>
      </ns0:c>
      <ns0:c r="E368">
        <ns0:f>IFERROR(IF(ISNUMBER($A368),IF(AND(AH!$P$10=1,AH!$P$12=1,$A368=TODAY()),AH!$P$20,IF(AH!$P$10=1,INDEX('Live History'!$H$5:$H$3004,MATCH($A368,'Live History'!$G$5:$G$3004,1)),INDEX('AH History'!$D$1:$D$18046,AH!$P$7+363))),NA()),NA())</ns0:f>
        <ns0:v/>
      </ns0:c>
      <ns0:c r="F368">
        <ns0:f>IFERROR(IF(ISNUMBER($A368),IF(AND(AH!$P$10=1,AH!$P$12=1,$A368=TODAY()),IF(AND(AH!$P$10=1,AH!$P$12=1,$A368=TODAY()),TODAY(),NA()),IF(AH!$P$10=1,INDEX('Live History'!$D$5:$D$3004,MATCH($A368,'Live History'!$D$5:$D$3004,1)),INDEX('AH History'!$E$1:$E$18046,AH!$P$7+363))),NA()),NA())</ns0:f>
        <ns0:v/>
      </ns0:c>
      <ns0:c r="G368">
        <ns0:f>IFERROR(IF(ISNUMBER($A368),IF(AND(AH!$P$10=1,AH!$P$12=1,$A368=TODAY()),IF(AND(AH!$P$10=1,AH!$P$12=1,$A368=TODAY()),TODAY(),NA()),IF(AH!$P$10=1,INDEX('Live History'!$G$5:$G$3004,MATCH($A368,'Live History'!$G$5:$G$3004,1)),INDEX('AH History'!$F$1:$F$18046,AH!$P$7+363))),NA()),NA())</ns0:f>
        <ns0:v/>
      </ns0:c>
      <ns0:c r="H368">
        <ns0:f>IFERROR(IF(AND(AH!$E$4="Bloomberg",AH!$P$10=1,ISNUMBER($A368),$A368&lt;=AH!$P$17),AH!$P$7-1+MATCH($A368,INDEX('AH History'!$A$1:$A$18046,AH!$P$7):INDEX('AH History'!$A$1:$A$18046,AH!$P$7+AH!$P$8-1),0),0),0)</ns0:f>
        <ns0:v/>
      </ns0:c>
      <ns0:c r="I368">
        <ns0:f>IF($H368=0,0,IFERROR(IF(AND(ABS($C368-INDEX('AH History'!$B$1:$B$18046,$H368))&lt;=MAX(0.005,ABS(INDEX('AH History'!$B$1:$B$18046,$H368))*0.00005),ABS($D368-INDEX('AH History'!$C$1:$C$18046,$H368))&lt;=MAX(0.005,ABS(INDEX('AH History'!$C$1:$C$18046,$H368))*0.00005),ABS($E368-INDEX('AH History'!$D$1:$D$18046,$H368))&lt;=0.00005,$F368=INDEX('AH History'!$E$1:$E$18046,$H368),$G368=INDEX('AH History'!$F$1:$F$18046,$H368)),1,-1),-1))</ns0:f>
        <ns0:v/>
      </ns0:c>
    </ns0:row>
    <ns0:row r="369">
      <ns0:c r="A369" s="215">
        <ns0:f>IF(OR(AH!$P$3=0,364+1&gt;AH!$P$11,AND(AH!$E$4&lt;&gt;"Stored",AH!$P$10&lt;&gt;1)),"",IFERROR(IF(AND(AH!$P$21=1,364+1=AH!$P$11),TODAY(),IF(AH!$P$10=1,INDEX('Live History'!$A$5:$A$3004,AH!$P$13+364),INDEX('AH History'!$A$1:$A$18046,AH!$P$7+364))),""))</ns0:f>
        <ns0:v/>
      </ns0:c>
      <ns0:c r="B369" s="219">
        <ns0:f>IFERROR(IF(AND(AH!$P$9&lt;&gt;1,$C369&gt;0,$D369&gt;0,$E369&gt;0,$F369&gt;0,$G369&gt;0,$F369&lt;=$A369,$G369&lt;=$A369,$A369-$F369&lt;=10,$A369-$G369&lt;=5),$D369*$E369/$C369-1,NA()),NA())</ns0:f>
        <ns0:v/>
      </ns0:c>
      <ns0:c r="C369">
        <ns0:f>IFERROR(IF(ISNUMBER($A369),IF(AND(AH!$P$10=1,AH!$P$12=1,$A369=TODAY()),AH!$P$19,IF(AH!$P$10=1,INDEX('Live History'!$B$5:$B$3004,AH!$P$13+364),INDEX('AH History'!$B$1:$B$18046,AH!$P$7+364))),NA()),NA())</ns0:f>
        <ns0:v/>
      </ns0:c>
      <ns0:c r="D369">
        <ns0:f>IFERROR(IF(ISNUMBER($A369),IF(AND(AH!$P$10=1,AH!$P$12=1,$A369=TODAY()),AH!$P$18,IF(AH!$P$10=1,INDEX('Live History'!$E$5:$E$3004,MATCH($A369,'Live History'!$D$5:$D$3004,1)),INDEX('AH History'!$C$1:$C$18046,AH!$P$7+364))),NA()),NA())</ns0:f>
        <ns0:v/>
      </ns0:c>
      <ns0:c r="E369">
        <ns0:f>IFERROR(IF(ISNUMBER($A369),IF(AND(AH!$P$10=1,AH!$P$12=1,$A369=TODAY()),AH!$P$20,IF(AH!$P$10=1,INDEX('Live History'!$H$5:$H$3004,MATCH($A369,'Live History'!$G$5:$G$3004,1)),INDEX('AH History'!$D$1:$D$18046,AH!$P$7+364))),NA()),NA())</ns0:f>
        <ns0:v/>
      </ns0:c>
      <ns0:c r="F369">
        <ns0:f>IFERROR(IF(ISNUMBER($A369),IF(AND(AH!$P$10=1,AH!$P$12=1,$A369=TODAY()),IF(AND(AH!$P$10=1,AH!$P$12=1,$A369=TODAY()),TODAY(),NA()),IF(AH!$P$10=1,INDEX('Live History'!$D$5:$D$3004,MATCH($A369,'Live History'!$D$5:$D$3004,1)),INDEX('AH History'!$E$1:$E$18046,AH!$P$7+364))),NA()),NA())</ns0:f>
        <ns0:v/>
      </ns0:c>
      <ns0:c r="G369">
        <ns0:f>IFERROR(IF(ISNUMBER($A369),IF(AND(AH!$P$10=1,AH!$P$12=1,$A369=TODAY()),IF(AND(AH!$P$10=1,AH!$P$12=1,$A369=TODAY()),TODAY(),NA()),IF(AH!$P$10=1,INDEX('Live History'!$G$5:$G$3004,MATCH($A369,'Live History'!$G$5:$G$3004,1)),INDEX('AH History'!$F$1:$F$18046,AH!$P$7+364))),NA()),NA())</ns0:f>
        <ns0:v/>
      </ns0:c>
      <ns0:c r="H369">
        <ns0:f>IFERROR(IF(AND(AH!$E$4="Bloomberg",AH!$P$10=1,ISNUMBER($A369),$A369&lt;=AH!$P$17),AH!$P$7-1+MATCH($A369,INDEX('AH History'!$A$1:$A$18046,AH!$P$7):INDEX('AH History'!$A$1:$A$18046,AH!$P$7+AH!$P$8-1),0),0),0)</ns0:f>
        <ns0:v/>
      </ns0:c>
      <ns0:c r="I369">
        <ns0:f>IF($H369=0,0,IFERROR(IF(AND(ABS($C369-INDEX('AH History'!$B$1:$B$18046,$H369))&lt;=MAX(0.005,ABS(INDEX('AH History'!$B$1:$B$18046,$H369))*0.00005),ABS($D369-INDEX('AH History'!$C$1:$C$18046,$H369))&lt;=MAX(0.005,ABS(INDEX('AH History'!$C$1:$C$18046,$H369))*0.00005),ABS($E369-INDEX('AH History'!$D$1:$D$18046,$H369))&lt;=0.00005,$F369=INDEX('AH History'!$E$1:$E$18046,$H369),$G369=INDEX('AH History'!$F$1:$F$18046,$H369)),1,-1),-1))</ns0:f>
        <ns0:v/>
      </ns0:c>
    </ns0:row>
    <ns0:row r="370">
      <ns0:c r="A370" s="215">
        <ns0:f>IF(OR(AH!$P$3=0,365+1&gt;AH!$P$11,AND(AH!$E$4&lt;&gt;"Stored",AH!$P$10&lt;&gt;1)),"",IFERROR(IF(AND(AH!$P$21=1,365+1=AH!$P$11),TODAY(),IF(AH!$P$10=1,INDEX('Live History'!$A$5:$A$3004,AH!$P$13+365),INDEX('AH History'!$A$1:$A$18046,AH!$P$7+365))),""))</ns0:f>
        <ns0:v/>
      </ns0:c>
      <ns0:c r="B370" s="219">
        <ns0:f>IFERROR(IF(AND(AH!$P$9&lt;&gt;1,$C370&gt;0,$D370&gt;0,$E370&gt;0,$F370&gt;0,$G370&gt;0,$F370&lt;=$A370,$G370&lt;=$A370,$A370-$F370&lt;=10,$A370-$G370&lt;=5),$D370*$E370/$C370-1,NA()),NA())</ns0:f>
        <ns0:v/>
      </ns0:c>
      <ns0:c r="C370">
        <ns0:f>IFERROR(IF(ISNUMBER($A370),IF(AND(AH!$P$10=1,AH!$P$12=1,$A370=TODAY()),AH!$P$19,IF(AH!$P$10=1,INDEX('Live History'!$B$5:$B$3004,AH!$P$13+365),INDEX('AH History'!$B$1:$B$18046,AH!$P$7+365))),NA()),NA())</ns0:f>
        <ns0:v/>
      </ns0:c>
      <ns0:c r="D370">
        <ns0:f>IFERROR(IF(ISNUMBER($A370),IF(AND(AH!$P$10=1,AH!$P$12=1,$A370=TODAY()),AH!$P$18,IF(AH!$P$10=1,INDEX('Live History'!$E$5:$E$3004,MATCH($A370,'Live History'!$D$5:$D$3004,1)),INDEX('AH History'!$C$1:$C$18046,AH!$P$7+365))),NA()),NA())</ns0:f>
        <ns0:v/>
      </ns0:c>
      <ns0:c r="E370">
        <ns0:f>IFERROR(IF(ISNUMBER($A370),IF(AND(AH!$P$10=1,AH!$P$12=1,$A370=TODAY()),AH!$P$20,IF(AH!$P$10=1,INDEX('Live History'!$H$5:$H$3004,MATCH($A370,'Live History'!$G$5:$G$3004,1)),INDEX('AH History'!$D$1:$D$18046,AH!$P$7+365))),NA()),NA())</ns0:f>
        <ns0:v/>
      </ns0:c>
      <ns0:c r="F370">
        <ns0:f>IFERROR(IF(ISNUMBER($A370),IF(AND(AH!$P$10=1,AH!$P$12=1,$A370=TODAY()),IF(AND(AH!$P$10=1,AH!$P$12=1,$A370=TODAY()),TODAY(),NA()),IF(AH!$P$10=1,INDEX('Live History'!$D$5:$D$3004,MATCH($A370,'Live History'!$D$5:$D$3004,1)),INDEX('AH History'!$E$1:$E$18046,AH!$P$7+365))),NA()),NA())</ns0:f>
        <ns0:v/>
      </ns0:c>
      <ns0:c r="G370">
        <ns0:f>IFERROR(IF(ISNUMBER($A370),IF(AND(AH!$P$10=1,AH!$P$12=1,$A370=TODAY()),IF(AND(AH!$P$10=1,AH!$P$12=1,$A370=TODAY()),TODAY(),NA()),IF(AH!$P$10=1,INDEX('Live History'!$G$5:$G$3004,MATCH($A370,'Live History'!$G$5:$G$3004,1)),INDEX('AH History'!$F$1:$F$18046,AH!$P$7+365))),NA()),NA())</ns0:f>
        <ns0:v/>
      </ns0:c>
      <ns0:c r="H370">
        <ns0:f>IFERROR(IF(AND(AH!$E$4="Bloomberg",AH!$P$10=1,ISNUMBER($A370),$A370&lt;=AH!$P$17),AH!$P$7-1+MATCH($A370,INDEX('AH History'!$A$1:$A$18046,AH!$P$7):INDEX('AH History'!$A$1:$A$18046,AH!$P$7+AH!$P$8-1),0),0),0)</ns0:f>
        <ns0:v/>
      </ns0:c>
      <ns0:c r="I370">
        <ns0:f>IF($H370=0,0,IFERROR(IF(AND(ABS($C370-INDEX('AH History'!$B$1:$B$18046,$H370))&lt;=MAX(0.005,ABS(INDEX('AH History'!$B$1:$B$18046,$H370))*0.00005),ABS($D370-INDEX('AH History'!$C$1:$C$18046,$H370))&lt;=MAX(0.005,ABS(INDEX('AH History'!$C$1:$C$18046,$H370))*0.00005),ABS($E370-INDEX('AH History'!$D$1:$D$18046,$H370))&lt;=0.00005,$F370=INDEX('AH History'!$E$1:$E$18046,$H370),$G370=INDEX('AH History'!$F$1:$F$18046,$H370)),1,-1),-1))</ns0:f>
        <ns0:v/>
      </ns0:c>
    </ns0:row>
    <ns0:row r="371">
      <ns0:c r="A371" s="215">
        <ns0:f>IF(OR(AH!$P$3=0,366+1&gt;AH!$P$11,AND(AH!$E$4&lt;&gt;"Stored",AH!$P$10&lt;&gt;1)),"",IFERROR(IF(AND(AH!$P$21=1,366+1=AH!$P$11),TODAY(),IF(AH!$P$10=1,INDEX('Live History'!$A$5:$A$3004,AH!$P$13+366),INDEX('AH History'!$A$1:$A$18046,AH!$P$7+366))),""))</ns0:f>
        <ns0:v/>
      </ns0:c>
      <ns0:c r="B371" s="219">
        <ns0:f>IFERROR(IF(AND(AH!$P$9&lt;&gt;1,$C371&gt;0,$D371&gt;0,$E371&gt;0,$F371&gt;0,$G371&gt;0,$F371&lt;=$A371,$G371&lt;=$A371,$A371-$F371&lt;=10,$A371-$G371&lt;=5),$D371*$E371/$C371-1,NA()),NA())</ns0:f>
        <ns0:v/>
      </ns0:c>
      <ns0:c r="C371">
        <ns0:f>IFERROR(IF(ISNUMBER($A371),IF(AND(AH!$P$10=1,AH!$P$12=1,$A371=TODAY()),AH!$P$19,IF(AH!$P$10=1,INDEX('Live History'!$B$5:$B$3004,AH!$P$13+366),INDEX('AH History'!$B$1:$B$18046,AH!$P$7+366))),NA()),NA())</ns0:f>
        <ns0:v/>
      </ns0:c>
      <ns0:c r="D371">
        <ns0:f>IFERROR(IF(ISNUMBER($A371),IF(AND(AH!$P$10=1,AH!$P$12=1,$A371=TODAY()),AH!$P$18,IF(AH!$P$10=1,INDEX('Live History'!$E$5:$E$3004,MATCH($A371,'Live History'!$D$5:$D$3004,1)),INDEX('AH History'!$C$1:$C$18046,AH!$P$7+366))),NA()),NA())</ns0:f>
        <ns0:v/>
      </ns0:c>
      <ns0:c r="E371">
        <ns0:f>IFERROR(IF(ISNUMBER($A371),IF(AND(AH!$P$10=1,AH!$P$12=1,$A371=TODAY()),AH!$P$20,IF(AH!$P$10=1,INDEX('Live History'!$H$5:$H$3004,MATCH($A371,'Live History'!$G$5:$G$3004,1)),INDEX('AH History'!$D$1:$D$18046,AH!$P$7+366))),NA()),NA())</ns0:f>
        <ns0:v/>
      </ns0:c>
      <ns0:c r="F371">
        <ns0:f>IFERROR(IF(ISNUMBER($A371),IF(AND(AH!$P$10=1,AH!$P$12=1,$A371=TODAY()),IF(AND(AH!$P$10=1,AH!$P$12=1,$A371=TODAY()),TODAY(),NA()),IF(AH!$P$10=1,INDEX('Live History'!$D$5:$D$3004,MATCH($A371,'Live History'!$D$5:$D$3004,1)),INDEX('AH History'!$E$1:$E$18046,AH!$P$7+366))),NA()),NA())</ns0:f>
        <ns0:v/>
      </ns0:c>
      <ns0:c r="G371">
        <ns0:f>IFERROR(IF(ISNUMBER($A371),IF(AND(AH!$P$10=1,AH!$P$12=1,$A371=TODAY()),IF(AND(AH!$P$10=1,AH!$P$12=1,$A371=TODAY()),TODAY(),NA()),IF(AH!$P$10=1,INDEX('Live History'!$G$5:$G$3004,MATCH($A371,'Live History'!$G$5:$G$3004,1)),INDEX('AH History'!$F$1:$F$18046,AH!$P$7+366))),NA()),NA())</ns0:f>
        <ns0:v/>
      </ns0:c>
      <ns0:c r="H371">
        <ns0:f>IFERROR(IF(AND(AH!$E$4="Bloomberg",AH!$P$10=1,ISNUMBER($A371),$A371&lt;=AH!$P$17),AH!$P$7-1+MATCH($A371,INDEX('AH History'!$A$1:$A$18046,AH!$P$7):INDEX('AH History'!$A$1:$A$18046,AH!$P$7+AH!$P$8-1),0),0),0)</ns0:f>
        <ns0:v/>
      </ns0:c>
      <ns0:c r="I371">
        <ns0:f>IF($H371=0,0,IFERROR(IF(AND(ABS($C371-INDEX('AH History'!$B$1:$B$18046,$H371))&lt;=MAX(0.005,ABS(INDEX('AH History'!$B$1:$B$18046,$H371))*0.00005),ABS($D371-INDEX('AH History'!$C$1:$C$18046,$H371))&lt;=MAX(0.005,ABS(INDEX('AH History'!$C$1:$C$18046,$H371))*0.00005),ABS($E371-INDEX('AH History'!$D$1:$D$18046,$H371))&lt;=0.00005,$F371=INDEX('AH History'!$E$1:$E$18046,$H371),$G371=INDEX('AH History'!$F$1:$F$18046,$H371)),1,-1),-1))</ns0:f>
        <ns0:v/>
      </ns0:c>
    </ns0:row>
    <ns0:row r="372">
      <ns0:c r="A372" s="215">
        <ns0:f>IF(OR(AH!$P$3=0,367+1&gt;AH!$P$11,AND(AH!$E$4&lt;&gt;"Stored",AH!$P$10&lt;&gt;1)),"",IFERROR(IF(AND(AH!$P$21=1,367+1=AH!$P$11),TODAY(),IF(AH!$P$10=1,INDEX('Live History'!$A$5:$A$3004,AH!$P$13+367),INDEX('AH History'!$A$1:$A$18046,AH!$P$7+367))),""))</ns0:f>
        <ns0:v/>
      </ns0:c>
      <ns0:c r="B372" s="219">
        <ns0:f>IFERROR(IF(AND(AH!$P$9&lt;&gt;1,$C372&gt;0,$D372&gt;0,$E372&gt;0,$F372&gt;0,$G372&gt;0,$F372&lt;=$A372,$G372&lt;=$A372,$A372-$F372&lt;=10,$A372-$G372&lt;=5),$D372*$E372/$C372-1,NA()),NA())</ns0:f>
        <ns0:v/>
      </ns0:c>
      <ns0:c r="C372">
        <ns0:f>IFERROR(IF(ISNUMBER($A372),IF(AND(AH!$P$10=1,AH!$P$12=1,$A372=TODAY()),AH!$P$19,IF(AH!$P$10=1,INDEX('Live History'!$B$5:$B$3004,AH!$P$13+367),INDEX('AH History'!$B$1:$B$18046,AH!$P$7+367))),NA()),NA())</ns0:f>
        <ns0:v/>
      </ns0:c>
      <ns0:c r="D372">
        <ns0:f>IFERROR(IF(ISNUMBER($A372),IF(AND(AH!$P$10=1,AH!$P$12=1,$A372=TODAY()),AH!$P$18,IF(AH!$P$10=1,INDEX('Live History'!$E$5:$E$3004,MATCH($A372,'Live History'!$D$5:$D$3004,1)),INDEX('AH History'!$C$1:$C$18046,AH!$P$7+367))),NA()),NA())</ns0:f>
        <ns0:v/>
      </ns0:c>
      <ns0:c r="E372">
        <ns0:f>IFERROR(IF(ISNUMBER($A372),IF(AND(AH!$P$10=1,AH!$P$12=1,$A372=TODAY()),AH!$P$20,IF(AH!$P$10=1,INDEX('Live History'!$H$5:$H$3004,MATCH($A372,'Live History'!$G$5:$G$3004,1)),INDEX('AH History'!$D$1:$D$18046,AH!$P$7+367))),NA()),NA())</ns0:f>
        <ns0:v/>
      </ns0:c>
      <ns0:c r="F372">
        <ns0:f>IFERROR(IF(ISNUMBER($A372),IF(AND(AH!$P$10=1,AH!$P$12=1,$A372=TODAY()),IF(AND(AH!$P$10=1,AH!$P$12=1,$A372=TODAY()),TODAY(),NA()),IF(AH!$P$10=1,INDEX('Live History'!$D$5:$D$3004,MATCH($A372,'Live History'!$D$5:$D$3004,1)),INDEX('AH History'!$E$1:$E$18046,AH!$P$7+367))),NA()),NA())</ns0:f>
        <ns0:v/>
      </ns0:c>
      <ns0:c r="G372">
        <ns0:f>IFERROR(IF(ISNUMBER($A372),IF(AND(AH!$P$10=1,AH!$P$12=1,$A372=TODAY()),IF(AND(AH!$P$10=1,AH!$P$12=1,$A372=TODAY()),TODAY(),NA()),IF(AH!$P$10=1,INDEX('Live History'!$G$5:$G$3004,MATCH($A372,'Live History'!$G$5:$G$3004,1)),INDEX('AH History'!$F$1:$F$18046,AH!$P$7+367))),NA()),NA())</ns0:f>
        <ns0:v/>
      </ns0:c>
      <ns0:c r="H372">
        <ns0:f>IFERROR(IF(AND(AH!$E$4="Bloomberg",AH!$P$10=1,ISNUMBER($A372),$A372&lt;=AH!$P$17),AH!$P$7-1+MATCH($A372,INDEX('AH History'!$A$1:$A$18046,AH!$P$7):INDEX('AH History'!$A$1:$A$18046,AH!$P$7+AH!$P$8-1),0),0),0)</ns0:f>
        <ns0:v/>
      </ns0:c>
      <ns0:c r="I372">
        <ns0:f>IF($H372=0,0,IFERROR(IF(AND(ABS($C372-INDEX('AH History'!$B$1:$B$18046,$H372))&lt;=MAX(0.005,ABS(INDEX('AH History'!$B$1:$B$18046,$H372))*0.00005),ABS($D372-INDEX('AH History'!$C$1:$C$18046,$H372))&lt;=MAX(0.005,ABS(INDEX('AH History'!$C$1:$C$18046,$H372))*0.00005),ABS($E372-INDEX('AH History'!$D$1:$D$18046,$H372))&lt;=0.00005,$F372=INDEX('AH History'!$E$1:$E$18046,$H372),$G372=INDEX('AH History'!$F$1:$F$18046,$H372)),1,-1),-1))</ns0:f>
        <ns0:v/>
      </ns0:c>
    </ns0:row>
    <ns0:row r="373">
      <ns0:c r="A373" s="215">
        <ns0:f>IF(OR(AH!$P$3=0,368+1&gt;AH!$P$11,AND(AH!$E$4&lt;&gt;"Stored",AH!$P$10&lt;&gt;1)),"",IFERROR(IF(AND(AH!$P$21=1,368+1=AH!$P$11),TODAY(),IF(AH!$P$10=1,INDEX('Live History'!$A$5:$A$3004,AH!$P$13+368),INDEX('AH History'!$A$1:$A$18046,AH!$P$7+368))),""))</ns0:f>
        <ns0:v/>
      </ns0:c>
      <ns0:c r="B373" s="219">
        <ns0:f>IFERROR(IF(AND(AH!$P$9&lt;&gt;1,$C373&gt;0,$D373&gt;0,$E373&gt;0,$F373&gt;0,$G373&gt;0,$F373&lt;=$A373,$G373&lt;=$A373,$A373-$F373&lt;=10,$A373-$G373&lt;=5),$D373*$E373/$C373-1,NA()),NA())</ns0:f>
        <ns0:v/>
      </ns0:c>
      <ns0:c r="C373">
        <ns0:f>IFERROR(IF(ISNUMBER($A373),IF(AND(AH!$P$10=1,AH!$P$12=1,$A373=TODAY()),AH!$P$19,IF(AH!$P$10=1,INDEX('Live History'!$B$5:$B$3004,AH!$P$13+368),INDEX('AH History'!$B$1:$B$18046,AH!$P$7+368))),NA()),NA())</ns0:f>
        <ns0:v/>
      </ns0:c>
      <ns0:c r="D373">
        <ns0:f>IFERROR(IF(ISNUMBER($A373),IF(AND(AH!$P$10=1,AH!$P$12=1,$A373=TODAY()),AH!$P$18,IF(AH!$P$10=1,INDEX('Live History'!$E$5:$E$3004,MATCH($A373,'Live History'!$D$5:$D$3004,1)),INDEX('AH History'!$C$1:$C$18046,AH!$P$7+368))),NA()),NA())</ns0:f>
        <ns0:v/>
      </ns0:c>
      <ns0:c r="E373">
        <ns0:f>IFERROR(IF(ISNUMBER($A373),IF(AND(AH!$P$10=1,AH!$P$12=1,$A373=TODAY()),AH!$P$20,IF(AH!$P$10=1,INDEX('Live History'!$H$5:$H$3004,MATCH($A373,'Live History'!$G$5:$G$3004,1)),INDEX('AH History'!$D$1:$D$18046,AH!$P$7+368))),NA()),NA())</ns0:f>
        <ns0:v/>
      </ns0:c>
      <ns0:c r="F373">
        <ns0:f>IFERROR(IF(ISNUMBER($A373),IF(AND(AH!$P$10=1,AH!$P$12=1,$A373=TODAY()),IF(AND(AH!$P$10=1,AH!$P$12=1,$A373=TODAY()),TODAY(),NA()),IF(AH!$P$10=1,INDEX('Live History'!$D$5:$D$3004,MATCH($A373,'Live History'!$D$5:$D$3004,1)),INDEX('AH History'!$E$1:$E$18046,AH!$P$7+368))),NA()),NA())</ns0:f>
        <ns0:v/>
      </ns0:c>
      <ns0:c r="G373">
        <ns0:f>IFERROR(IF(ISNUMBER($A373),IF(AND(AH!$P$10=1,AH!$P$12=1,$A373=TODAY()),IF(AND(AH!$P$10=1,AH!$P$12=1,$A373=TODAY()),TODAY(),NA()),IF(AH!$P$10=1,INDEX('Live History'!$G$5:$G$3004,MATCH($A373,'Live History'!$G$5:$G$3004,1)),INDEX('AH History'!$F$1:$F$18046,AH!$P$7+368))),NA()),NA())</ns0:f>
        <ns0:v/>
      </ns0:c>
      <ns0:c r="H373">
        <ns0:f>IFERROR(IF(AND(AH!$E$4="Bloomberg",AH!$P$10=1,ISNUMBER($A373),$A373&lt;=AH!$P$17),AH!$P$7-1+MATCH($A373,INDEX('AH History'!$A$1:$A$18046,AH!$P$7):INDEX('AH History'!$A$1:$A$18046,AH!$P$7+AH!$P$8-1),0),0),0)</ns0:f>
        <ns0:v/>
      </ns0:c>
      <ns0:c r="I373">
        <ns0:f>IF($H373=0,0,IFERROR(IF(AND(ABS($C373-INDEX('AH History'!$B$1:$B$18046,$H373))&lt;=MAX(0.005,ABS(INDEX('AH History'!$B$1:$B$18046,$H373))*0.00005),ABS($D373-INDEX('AH History'!$C$1:$C$18046,$H373))&lt;=MAX(0.005,ABS(INDEX('AH History'!$C$1:$C$18046,$H373))*0.00005),ABS($E373-INDEX('AH History'!$D$1:$D$18046,$H373))&lt;=0.00005,$F373=INDEX('AH History'!$E$1:$E$18046,$H373),$G373=INDEX('AH History'!$F$1:$F$18046,$H373)),1,-1),-1))</ns0:f>
        <ns0:v/>
      </ns0:c>
    </ns0:row>
    <ns0:row r="374">
      <ns0:c r="A374" s="215">
        <ns0:f>IF(OR(AH!$P$3=0,369+1&gt;AH!$P$11,AND(AH!$E$4&lt;&gt;"Stored",AH!$P$10&lt;&gt;1)),"",IFERROR(IF(AND(AH!$P$21=1,369+1=AH!$P$11),TODAY(),IF(AH!$P$10=1,INDEX('Live History'!$A$5:$A$3004,AH!$P$13+369),INDEX('AH History'!$A$1:$A$18046,AH!$P$7+369))),""))</ns0:f>
        <ns0:v/>
      </ns0:c>
      <ns0:c r="B374" s="219">
        <ns0:f>IFERROR(IF(AND(AH!$P$9&lt;&gt;1,$C374&gt;0,$D374&gt;0,$E374&gt;0,$F374&gt;0,$G374&gt;0,$F374&lt;=$A374,$G374&lt;=$A374,$A374-$F374&lt;=10,$A374-$G374&lt;=5),$D374*$E374/$C374-1,NA()),NA())</ns0:f>
        <ns0:v/>
      </ns0:c>
      <ns0:c r="C374">
        <ns0:f>IFERROR(IF(ISNUMBER($A374),IF(AND(AH!$P$10=1,AH!$P$12=1,$A374=TODAY()),AH!$P$19,IF(AH!$P$10=1,INDEX('Live History'!$B$5:$B$3004,AH!$P$13+369),INDEX('AH History'!$B$1:$B$18046,AH!$P$7+369))),NA()),NA())</ns0:f>
        <ns0:v/>
      </ns0:c>
      <ns0:c r="D374">
        <ns0:f>IFERROR(IF(ISNUMBER($A374),IF(AND(AH!$P$10=1,AH!$P$12=1,$A374=TODAY()),AH!$P$18,IF(AH!$P$10=1,INDEX('Live History'!$E$5:$E$3004,MATCH($A374,'Live History'!$D$5:$D$3004,1)),INDEX('AH History'!$C$1:$C$18046,AH!$P$7+369))),NA()),NA())</ns0:f>
        <ns0:v/>
      </ns0:c>
      <ns0:c r="E374">
        <ns0:f>IFERROR(IF(ISNUMBER($A374),IF(AND(AH!$P$10=1,AH!$P$12=1,$A374=TODAY()),AH!$P$20,IF(AH!$P$10=1,INDEX('Live History'!$H$5:$H$3004,MATCH($A374,'Live History'!$G$5:$G$3004,1)),INDEX('AH History'!$D$1:$D$18046,AH!$P$7+369))),NA()),NA())</ns0:f>
        <ns0:v/>
      </ns0:c>
      <ns0:c r="F374">
        <ns0:f>IFERROR(IF(ISNUMBER($A374),IF(AND(AH!$P$10=1,AH!$P$12=1,$A374=TODAY()),IF(AND(AH!$P$10=1,AH!$P$12=1,$A374=TODAY()),TODAY(),NA()),IF(AH!$P$10=1,INDEX('Live History'!$D$5:$D$3004,MATCH($A374,'Live History'!$D$5:$D$3004,1)),INDEX('AH History'!$E$1:$E$18046,AH!$P$7+369))),NA()),NA())</ns0:f>
        <ns0:v/>
      </ns0:c>
      <ns0:c r="G374">
        <ns0:f>IFERROR(IF(ISNUMBER($A374),IF(AND(AH!$P$10=1,AH!$P$12=1,$A374=TODAY()),IF(AND(AH!$P$10=1,AH!$P$12=1,$A374=TODAY()),TODAY(),NA()),IF(AH!$P$10=1,INDEX('Live History'!$G$5:$G$3004,MATCH($A374,'Live History'!$G$5:$G$3004,1)),INDEX('AH History'!$F$1:$F$18046,AH!$P$7+369))),NA()),NA())</ns0:f>
        <ns0:v/>
      </ns0:c>
      <ns0:c r="H374">
        <ns0:f>IFERROR(IF(AND(AH!$E$4="Bloomberg",AH!$P$10=1,ISNUMBER($A374),$A374&lt;=AH!$P$17),AH!$P$7-1+MATCH($A374,INDEX('AH History'!$A$1:$A$18046,AH!$P$7):INDEX('AH History'!$A$1:$A$18046,AH!$P$7+AH!$P$8-1),0),0),0)</ns0:f>
        <ns0:v/>
      </ns0:c>
      <ns0:c r="I374">
        <ns0:f>IF($H374=0,0,IFERROR(IF(AND(ABS($C374-INDEX('AH History'!$B$1:$B$18046,$H374))&lt;=MAX(0.005,ABS(INDEX('AH History'!$B$1:$B$18046,$H374))*0.00005),ABS($D374-INDEX('AH History'!$C$1:$C$18046,$H374))&lt;=MAX(0.005,ABS(INDEX('AH History'!$C$1:$C$18046,$H374))*0.00005),ABS($E374-INDEX('AH History'!$D$1:$D$18046,$H374))&lt;=0.00005,$F374=INDEX('AH History'!$E$1:$E$18046,$H374),$G374=INDEX('AH History'!$F$1:$F$18046,$H374)),1,-1),-1))</ns0:f>
        <ns0:v/>
      </ns0:c>
    </ns0:row>
    <ns0:row r="375">
      <ns0:c r="A375" s="215">
        <ns0:f>IF(OR(AH!$P$3=0,370+1&gt;AH!$P$11,AND(AH!$E$4&lt;&gt;"Stored",AH!$P$10&lt;&gt;1)),"",IFERROR(IF(AND(AH!$P$21=1,370+1=AH!$P$11),TODAY(),IF(AH!$P$10=1,INDEX('Live History'!$A$5:$A$3004,AH!$P$13+370),INDEX('AH History'!$A$1:$A$18046,AH!$P$7+370))),""))</ns0:f>
        <ns0:v/>
      </ns0:c>
      <ns0:c r="B375" s="219">
        <ns0:f>IFERROR(IF(AND(AH!$P$9&lt;&gt;1,$C375&gt;0,$D375&gt;0,$E375&gt;0,$F375&gt;0,$G375&gt;0,$F375&lt;=$A375,$G375&lt;=$A375,$A375-$F375&lt;=10,$A375-$G375&lt;=5),$D375*$E375/$C375-1,NA()),NA())</ns0:f>
        <ns0:v/>
      </ns0:c>
      <ns0:c r="C375">
        <ns0:f>IFERROR(IF(ISNUMBER($A375),IF(AND(AH!$P$10=1,AH!$P$12=1,$A375=TODAY()),AH!$P$19,IF(AH!$P$10=1,INDEX('Live History'!$B$5:$B$3004,AH!$P$13+370),INDEX('AH History'!$B$1:$B$18046,AH!$P$7+370))),NA()),NA())</ns0:f>
        <ns0:v/>
      </ns0:c>
      <ns0:c r="D375">
        <ns0:f>IFERROR(IF(ISNUMBER($A375),IF(AND(AH!$P$10=1,AH!$P$12=1,$A375=TODAY()),AH!$P$18,IF(AH!$P$10=1,INDEX('Live History'!$E$5:$E$3004,MATCH($A375,'Live History'!$D$5:$D$3004,1)),INDEX('AH History'!$C$1:$C$18046,AH!$P$7+370))),NA()),NA())</ns0:f>
        <ns0:v/>
      </ns0:c>
      <ns0:c r="E375">
        <ns0:f>IFERROR(IF(ISNUMBER($A375),IF(AND(AH!$P$10=1,AH!$P$12=1,$A375=TODAY()),AH!$P$20,IF(AH!$P$10=1,INDEX('Live History'!$H$5:$H$3004,MATCH($A375,'Live History'!$G$5:$G$3004,1)),INDEX('AH History'!$D$1:$D$18046,AH!$P$7+370))),NA()),NA())</ns0:f>
        <ns0:v/>
      </ns0:c>
      <ns0:c r="F375">
        <ns0:f>IFERROR(IF(ISNUMBER($A375),IF(AND(AH!$P$10=1,AH!$P$12=1,$A375=TODAY()),IF(AND(AH!$P$10=1,AH!$P$12=1,$A375=TODAY()),TODAY(),NA()),IF(AH!$P$10=1,INDEX('Live History'!$D$5:$D$3004,MATCH($A375,'Live History'!$D$5:$D$3004,1)),INDEX('AH History'!$E$1:$E$18046,AH!$P$7+370))),NA()),NA())</ns0:f>
        <ns0:v/>
      </ns0:c>
      <ns0:c r="G375">
        <ns0:f>IFERROR(IF(ISNUMBER($A375),IF(AND(AH!$P$10=1,AH!$P$12=1,$A375=TODAY()),IF(AND(AH!$P$10=1,AH!$P$12=1,$A375=TODAY()),TODAY(),NA()),IF(AH!$P$10=1,INDEX('Live History'!$G$5:$G$3004,MATCH($A375,'Live History'!$G$5:$G$3004,1)),INDEX('AH History'!$F$1:$F$18046,AH!$P$7+370))),NA()),NA())</ns0:f>
        <ns0:v/>
      </ns0:c>
      <ns0:c r="H375">
        <ns0:f>IFERROR(IF(AND(AH!$E$4="Bloomberg",AH!$P$10=1,ISNUMBER($A375),$A375&lt;=AH!$P$17),AH!$P$7-1+MATCH($A375,INDEX('AH History'!$A$1:$A$18046,AH!$P$7):INDEX('AH History'!$A$1:$A$18046,AH!$P$7+AH!$P$8-1),0),0),0)</ns0:f>
        <ns0:v/>
      </ns0:c>
      <ns0:c r="I375">
        <ns0:f>IF($H375=0,0,IFERROR(IF(AND(ABS($C375-INDEX('AH History'!$B$1:$B$18046,$H375))&lt;=MAX(0.005,ABS(INDEX('AH History'!$B$1:$B$18046,$H375))*0.00005),ABS($D375-INDEX('AH History'!$C$1:$C$18046,$H375))&lt;=MAX(0.005,ABS(INDEX('AH History'!$C$1:$C$18046,$H375))*0.00005),ABS($E375-INDEX('AH History'!$D$1:$D$18046,$H375))&lt;=0.00005,$F375=INDEX('AH History'!$E$1:$E$18046,$H375),$G375=INDEX('AH History'!$F$1:$F$18046,$H375)),1,-1),-1))</ns0:f>
        <ns0:v/>
      </ns0:c>
    </ns0:row>
    <ns0:row r="376">
      <ns0:c r="A376" s="215">
        <ns0:f>IF(OR(AH!$P$3=0,371+1&gt;AH!$P$11,AND(AH!$E$4&lt;&gt;"Stored",AH!$P$10&lt;&gt;1)),"",IFERROR(IF(AND(AH!$P$21=1,371+1=AH!$P$11),TODAY(),IF(AH!$P$10=1,INDEX('Live History'!$A$5:$A$3004,AH!$P$13+371),INDEX('AH History'!$A$1:$A$18046,AH!$P$7+371))),""))</ns0:f>
        <ns0:v/>
      </ns0:c>
      <ns0:c r="B376" s="219">
        <ns0:f>IFERROR(IF(AND(AH!$P$9&lt;&gt;1,$C376&gt;0,$D376&gt;0,$E376&gt;0,$F376&gt;0,$G376&gt;0,$F376&lt;=$A376,$G376&lt;=$A376,$A376-$F376&lt;=10,$A376-$G376&lt;=5),$D376*$E376/$C376-1,NA()),NA())</ns0:f>
        <ns0:v/>
      </ns0:c>
      <ns0:c r="C376">
        <ns0:f>IFERROR(IF(ISNUMBER($A376),IF(AND(AH!$P$10=1,AH!$P$12=1,$A376=TODAY()),AH!$P$19,IF(AH!$P$10=1,INDEX('Live History'!$B$5:$B$3004,AH!$P$13+371),INDEX('AH History'!$B$1:$B$18046,AH!$P$7+371))),NA()),NA())</ns0:f>
        <ns0:v/>
      </ns0:c>
      <ns0:c r="D376">
        <ns0:f>IFERROR(IF(ISNUMBER($A376),IF(AND(AH!$P$10=1,AH!$P$12=1,$A376=TODAY()),AH!$P$18,IF(AH!$P$10=1,INDEX('Live History'!$E$5:$E$3004,MATCH($A376,'Live History'!$D$5:$D$3004,1)),INDEX('AH History'!$C$1:$C$18046,AH!$P$7+371))),NA()),NA())</ns0:f>
        <ns0:v/>
      </ns0:c>
      <ns0:c r="E376">
        <ns0:f>IFERROR(IF(ISNUMBER($A376),IF(AND(AH!$P$10=1,AH!$P$12=1,$A376=TODAY()),AH!$P$20,IF(AH!$P$10=1,INDEX('Live History'!$H$5:$H$3004,MATCH($A376,'Live History'!$G$5:$G$3004,1)),INDEX('AH History'!$D$1:$D$18046,AH!$P$7+371))),NA()),NA())</ns0:f>
        <ns0:v/>
      </ns0:c>
      <ns0:c r="F376">
        <ns0:f>IFERROR(IF(ISNUMBER($A376),IF(AND(AH!$P$10=1,AH!$P$12=1,$A376=TODAY()),IF(AND(AH!$P$10=1,AH!$P$12=1,$A376=TODAY()),TODAY(),NA()),IF(AH!$P$10=1,INDEX('Live History'!$D$5:$D$3004,MATCH($A376,'Live History'!$D$5:$D$3004,1)),INDEX('AH History'!$E$1:$E$18046,AH!$P$7+371))),NA()),NA())</ns0:f>
        <ns0:v/>
      </ns0:c>
      <ns0:c r="G376">
        <ns0:f>IFERROR(IF(ISNUMBER($A376),IF(AND(AH!$P$10=1,AH!$P$12=1,$A376=TODAY()),IF(AND(AH!$P$10=1,AH!$P$12=1,$A376=TODAY()),TODAY(),NA()),IF(AH!$P$10=1,INDEX('Live History'!$G$5:$G$3004,MATCH($A376,'Live History'!$G$5:$G$3004,1)),INDEX('AH History'!$F$1:$F$18046,AH!$P$7+371))),NA()),NA())</ns0:f>
        <ns0:v/>
      </ns0:c>
      <ns0:c r="H376">
        <ns0:f>IFERROR(IF(AND(AH!$E$4="Bloomberg",AH!$P$10=1,ISNUMBER($A376),$A376&lt;=AH!$P$17),AH!$P$7-1+MATCH($A376,INDEX('AH History'!$A$1:$A$18046,AH!$P$7):INDEX('AH History'!$A$1:$A$18046,AH!$P$7+AH!$P$8-1),0),0),0)</ns0:f>
        <ns0:v/>
      </ns0:c>
      <ns0:c r="I376">
        <ns0:f>IF($H376=0,0,IFERROR(IF(AND(ABS($C376-INDEX('AH History'!$B$1:$B$18046,$H376))&lt;=MAX(0.005,ABS(INDEX('AH History'!$B$1:$B$18046,$H376))*0.00005),ABS($D376-INDEX('AH History'!$C$1:$C$18046,$H376))&lt;=MAX(0.005,ABS(INDEX('AH History'!$C$1:$C$18046,$H376))*0.00005),ABS($E376-INDEX('AH History'!$D$1:$D$18046,$H376))&lt;=0.00005,$F376=INDEX('AH History'!$E$1:$E$18046,$H376),$G376=INDEX('AH History'!$F$1:$F$18046,$H376)),1,-1),-1))</ns0:f>
        <ns0:v/>
      </ns0:c>
    </ns0:row>
    <ns0:row r="377">
      <ns0:c r="A377" s="215">
        <ns0:f>IF(OR(AH!$P$3=0,372+1&gt;AH!$P$11,AND(AH!$E$4&lt;&gt;"Stored",AH!$P$10&lt;&gt;1)),"",IFERROR(IF(AND(AH!$P$21=1,372+1=AH!$P$11),TODAY(),IF(AH!$P$10=1,INDEX('Live History'!$A$5:$A$3004,AH!$P$13+372),INDEX('AH History'!$A$1:$A$18046,AH!$P$7+372))),""))</ns0:f>
        <ns0:v/>
      </ns0:c>
      <ns0:c r="B377" s="219">
        <ns0:f>IFERROR(IF(AND(AH!$P$9&lt;&gt;1,$C377&gt;0,$D377&gt;0,$E377&gt;0,$F377&gt;0,$G377&gt;0,$F377&lt;=$A377,$G377&lt;=$A377,$A377-$F377&lt;=10,$A377-$G377&lt;=5),$D377*$E377/$C377-1,NA()),NA())</ns0:f>
        <ns0:v/>
      </ns0:c>
      <ns0:c r="C377">
        <ns0:f>IFERROR(IF(ISNUMBER($A377),IF(AND(AH!$P$10=1,AH!$P$12=1,$A377=TODAY()),AH!$P$19,IF(AH!$P$10=1,INDEX('Live History'!$B$5:$B$3004,AH!$P$13+372),INDEX('AH History'!$B$1:$B$18046,AH!$P$7+372))),NA()),NA())</ns0:f>
        <ns0:v/>
      </ns0:c>
      <ns0:c r="D377">
        <ns0:f>IFERROR(IF(ISNUMBER($A377),IF(AND(AH!$P$10=1,AH!$P$12=1,$A377=TODAY()),AH!$P$18,IF(AH!$P$10=1,INDEX('Live History'!$E$5:$E$3004,MATCH($A377,'Live History'!$D$5:$D$3004,1)),INDEX('AH History'!$C$1:$C$18046,AH!$P$7+372))),NA()),NA())</ns0:f>
        <ns0:v/>
      </ns0:c>
      <ns0:c r="E377">
        <ns0:f>IFERROR(IF(ISNUMBER($A377),IF(AND(AH!$P$10=1,AH!$P$12=1,$A377=TODAY()),AH!$P$20,IF(AH!$P$10=1,INDEX('Live History'!$H$5:$H$3004,MATCH($A377,'Live History'!$G$5:$G$3004,1)),INDEX('AH History'!$D$1:$D$18046,AH!$P$7+372))),NA()),NA())</ns0:f>
        <ns0:v/>
      </ns0:c>
      <ns0:c r="F377">
        <ns0:f>IFERROR(IF(ISNUMBER($A377),IF(AND(AH!$P$10=1,AH!$P$12=1,$A377=TODAY()),IF(AND(AH!$P$10=1,AH!$P$12=1,$A377=TODAY()),TODAY(),NA()),IF(AH!$P$10=1,INDEX('Live History'!$D$5:$D$3004,MATCH($A377,'Live History'!$D$5:$D$3004,1)),INDEX('AH History'!$E$1:$E$18046,AH!$P$7+372))),NA()),NA())</ns0:f>
        <ns0:v/>
      </ns0:c>
      <ns0:c r="G377">
        <ns0:f>IFERROR(IF(ISNUMBER($A377),IF(AND(AH!$P$10=1,AH!$P$12=1,$A377=TODAY()),IF(AND(AH!$P$10=1,AH!$P$12=1,$A377=TODAY()),TODAY(),NA()),IF(AH!$P$10=1,INDEX('Live History'!$G$5:$G$3004,MATCH($A377,'Live History'!$G$5:$G$3004,1)),INDEX('AH History'!$F$1:$F$18046,AH!$P$7+372))),NA()),NA())</ns0:f>
        <ns0:v/>
      </ns0:c>
      <ns0:c r="H377">
        <ns0:f>IFERROR(IF(AND(AH!$E$4="Bloomberg",AH!$P$10=1,ISNUMBER($A377),$A377&lt;=AH!$P$17),AH!$P$7-1+MATCH($A377,INDEX('AH History'!$A$1:$A$18046,AH!$P$7):INDEX('AH History'!$A$1:$A$18046,AH!$P$7+AH!$P$8-1),0),0),0)</ns0:f>
        <ns0:v/>
      </ns0:c>
      <ns0:c r="I377">
        <ns0:f>IF($H377=0,0,IFERROR(IF(AND(ABS($C377-INDEX('AH History'!$B$1:$B$18046,$H377))&lt;=MAX(0.005,ABS(INDEX('AH History'!$B$1:$B$18046,$H377))*0.00005),ABS($D377-INDEX('AH History'!$C$1:$C$18046,$H377))&lt;=MAX(0.005,ABS(INDEX('AH History'!$C$1:$C$18046,$H377))*0.00005),ABS($E377-INDEX('AH History'!$D$1:$D$18046,$H377))&lt;=0.00005,$F377=INDEX('AH History'!$E$1:$E$18046,$H377),$G377=INDEX('AH History'!$F$1:$F$18046,$H377)),1,-1),-1))</ns0:f>
        <ns0:v/>
      </ns0:c>
    </ns0:row>
    <ns0:row r="378">
      <ns0:c r="A378" s="215">
        <ns0:f>IF(OR(AH!$P$3=0,373+1&gt;AH!$P$11,AND(AH!$E$4&lt;&gt;"Stored",AH!$P$10&lt;&gt;1)),"",IFERROR(IF(AND(AH!$P$21=1,373+1=AH!$P$11),TODAY(),IF(AH!$P$10=1,INDEX('Live History'!$A$5:$A$3004,AH!$P$13+373),INDEX('AH History'!$A$1:$A$18046,AH!$P$7+373))),""))</ns0:f>
        <ns0:v/>
      </ns0:c>
      <ns0:c r="B378" s="219">
        <ns0:f>IFERROR(IF(AND(AH!$P$9&lt;&gt;1,$C378&gt;0,$D378&gt;0,$E378&gt;0,$F378&gt;0,$G378&gt;0,$F378&lt;=$A378,$G378&lt;=$A378,$A378-$F378&lt;=10,$A378-$G378&lt;=5),$D378*$E378/$C378-1,NA()),NA())</ns0:f>
        <ns0:v/>
      </ns0:c>
      <ns0:c r="C378">
        <ns0:f>IFERROR(IF(ISNUMBER($A378),IF(AND(AH!$P$10=1,AH!$P$12=1,$A378=TODAY()),AH!$P$19,IF(AH!$P$10=1,INDEX('Live History'!$B$5:$B$3004,AH!$P$13+373),INDEX('AH History'!$B$1:$B$18046,AH!$P$7+373))),NA()),NA())</ns0:f>
        <ns0:v/>
      </ns0:c>
      <ns0:c r="D378">
        <ns0:f>IFERROR(IF(ISNUMBER($A378),IF(AND(AH!$P$10=1,AH!$P$12=1,$A378=TODAY()),AH!$P$18,IF(AH!$P$10=1,INDEX('Live History'!$E$5:$E$3004,MATCH($A378,'Live History'!$D$5:$D$3004,1)),INDEX('AH History'!$C$1:$C$18046,AH!$P$7+373))),NA()),NA())</ns0:f>
        <ns0:v/>
      </ns0:c>
      <ns0:c r="E378">
        <ns0:f>IFERROR(IF(ISNUMBER($A378),IF(AND(AH!$P$10=1,AH!$P$12=1,$A378=TODAY()),AH!$P$20,IF(AH!$P$10=1,INDEX('Live History'!$H$5:$H$3004,MATCH($A378,'Live History'!$G$5:$G$3004,1)),INDEX('AH History'!$D$1:$D$18046,AH!$P$7+373))),NA()),NA())</ns0:f>
        <ns0:v/>
      </ns0:c>
      <ns0:c r="F378">
        <ns0:f>IFERROR(IF(ISNUMBER($A378),IF(AND(AH!$P$10=1,AH!$P$12=1,$A378=TODAY()),IF(AND(AH!$P$10=1,AH!$P$12=1,$A378=TODAY()),TODAY(),NA()),IF(AH!$P$10=1,INDEX('Live History'!$D$5:$D$3004,MATCH($A378,'Live History'!$D$5:$D$3004,1)),INDEX('AH History'!$E$1:$E$18046,AH!$P$7+373))),NA()),NA())</ns0:f>
        <ns0:v/>
      </ns0:c>
      <ns0:c r="G378">
        <ns0:f>IFERROR(IF(ISNUMBER($A378),IF(AND(AH!$P$10=1,AH!$P$12=1,$A378=TODAY()),IF(AND(AH!$P$10=1,AH!$P$12=1,$A378=TODAY()),TODAY(),NA()),IF(AH!$P$10=1,INDEX('Live History'!$G$5:$G$3004,MATCH($A378,'Live History'!$G$5:$G$3004,1)),INDEX('AH History'!$F$1:$F$18046,AH!$P$7+373))),NA()),NA())</ns0:f>
        <ns0:v/>
      </ns0:c>
      <ns0:c r="H378">
        <ns0:f>IFERROR(IF(AND(AH!$E$4="Bloomberg",AH!$P$10=1,ISNUMBER($A378),$A378&lt;=AH!$P$17),AH!$P$7-1+MATCH($A378,INDEX('AH History'!$A$1:$A$18046,AH!$P$7):INDEX('AH History'!$A$1:$A$18046,AH!$P$7+AH!$P$8-1),0),0),0)</ns0:f>
        <ns0:v/>
      </ns0:c>
      <ns0:c r="I378">
        <ns0:f>IF($H378=0,0,IFERROR(IF(AND(ABS($C378-INDEX('AH History'!$B$1:$B$18046,$H378))&lt;=MAX(0.005,ABS(INDEX('AH History'!$B$1:$B$18046,$H378))*0.00005),ABS($D378-INDEX('AH History'!$C$1:$C$18046,$H378))&lt;=MAX(0.005,ABS(INDEX('AH History'!$C$1:$C$18046,$H378))*0.00005),ABS($E378-INDEX('AH History'!$D$1:$D$18046,$H378))&lt;=0.00005,$F378=INDEX('AH History'!$E$1:$E$18046,$H378),$G378=INDEX('AH History'!$F$1:$F$18046,$H378)),1,-1),-1))</ns0:f>
        <ns0:v/>
      </ns0:c>
    </ns0:row>
    <ns0:row r="379">
      <ns0:c r="A379" s="215">
        <ns0:f>IF(OR(AH!$P$3=0,374+1&gt;AH!$P$11,AND(AH!$E$4&lt;&gt;"Stored",AH!$P$10&lt;&gt;1)),"",IFERROR(IF(AND(AH!$P$21=1,374+1=AH!$P$11),TODAY(),IF(AH!$P$10=1,INDEX('Live History'!$A$5:$A$3004,AH!$P$13+374),INDEX('AH History'!$A$1:$A$18046,AH!$P$7+374))),""))</ns0:f>
        <ns0:v/>
      </ns0:c>
      <ns0:c r="B379" s="219">
        <ns0:f>IFERROR(IF(AND(AH!$P$9&lt;&gt;1,$C379&gt;0,$D379&gt;0,$E379&gt;0,$F379&gt;0,$G379&gt;0,$F379&lt;=$A379,$G379&lt;=$A379,$A379-$F379&lt;=10,$A379-$G379&lt;=5),$D379*$E379/$C379-1,NA()),NA())</ns0:f>
        <ns0:v/>
      </ns0:c>
      <ns0:c r="C379">
        <ns0:f>IFERROR(IF(ISNUMBER($A379),IF(AND(AH!$P$10=1,AH!$P$12=1,$A379=TODAY()),AH!$P$19,IF(AH!$P$10=1,INDEX('Live History'!$B$5:$B$3004,AH!$P$13+374),INDEX('AH History'!$B$1:$B$18046,AH!$P$7+374))),NA()),NA())</ns0:f>
        <ns0:v/>
      </ns0:c>
      <ns0:c r="D379">
        <ns0:f>IFERROR(IF(ISNUMBER($A379),IF(AND(AH!$P$10=1,AH!$P$12=1,$A379=TODAY()),AH!$P$18,IF(AH!$P$10=1,INDEX('Live History'!$E$5:$E$3004,MATCH($A379,'Live History'!$D$5:$D$3004,1)),INDEX('AH History'!$C$1:$C$18046,AH!$P$7+374))),NA()),NA())</ns0:f>
        <ns0:v/>
      </ns0:c>
      <ns0:c r="E379">
        <ns0:f>IFERROR(IF(ISNUMBER($A379),IF(AND(AH!$P$10=1,AH!$P$12=1,$A379=TODAY()),AH!$P$20,IF(AH!$P$10=1,INDEX('Live History'!$H$5:$H$3004,MATCH($A379,'Live History'!$G$5:$G$3004,1)),INDEX('AH History'!$D$1:$D$18046,AH!$P$7+374))),NA()),NA())</ns0:f>
        <ns0:v/>
      </ns0:c>
      <ns0:c r="F379">
        <ns0:f>IFERROR(IF(ISNUMBER($A379),IF(AND(AH!$P$10=1,AH!$P$12=1,$A379=TODAY()),IF(AND(AH!$P$10=1,AH!$P$12=1,$A379=TODAY()),TODAY(),NA()),IF(AH!$P$10=1,INDEX('Live History'!$D$5:$D$3004,MATCH($A379,'Live History'!$D$5:$D$3004,1)),INDEX('AH History'!$E$1:$E$18046,AH!$P$7+374))),NA()),NA())</ns0:f>
        <ns0:v/>
      </ns0:c>
      <ns0:c r="G379">
        <ns0:f>IFERROR(IF(ISNUMBER($A379),IF(AND(AH!$P$10=1,AH!$P$12=1,$A379=TODAY()),IF(AND(AH!$P$10=1,AH!$P$12=1,$A379=TODAY()),TODAY(),NA()),IF(AH!$P$10=1,INDEX('Live History'!$G$5:$G$3004,MATCH($A379,'Live History'!$G$5:$G$3004,1)),INDEX('AH History'!$F$1:$F$18046,AH!$P$7+374))),NA()),NA())</ns0:f>
        <ns0:v/>
      </ns0:c>
      <ns0:c r="H379">
        <ns0:f>IFERROR(IF(AND(AH!$E$4="Bloomberg",AH!$P$10=1,ISNUMBER($A379),$A379&lt;=AH!$P$17),AH!$P$7-1+MATCH($A379,INDEX('AH History'!$A$1:$A$18046,AH!$P$7):INDEX('AH History'!$A$1:$A$18046,AH!$P$7+AH!$P$8-1),0),0),0)</ns0:f>
        <ns0:v/>
      </ns0:c>
      <ns0:c r="I379">
        <ns0:f>IF($H379=0,0,IFERROR(IF(AND(ABS($C379-INDEX('AH History'!$B$1:$B$18046,$H379))&lt;=MAX(0.005,ABS(INDEX('AH History'!$B$1:$B$18046,$H379))*0.00005),ABS($D379-INDEX('AH History'!$C$1:$C$18046,$H379))&lt;=MAX(0.005,ABS(INDEX('AH History'!$C$1:$C$18046,$H379))*0.00005),ABS($E379-INDEX('AH History'!$D$1:$D$18046,$H379))&lt;=0.00005,$F379=INDEX('AH History'!$E$1:$E$18046,$H379),$G379=INDEX('AH History'!$F$1:$F$18046,$H379)),1,-1),-1))</ns0:f>
        <ns0:v/>
      </ns0:c>
    </ns0:row>
    <ns0:row r="380">
      <ns0:c r="A380" s="215">
        <ns0:f>IF(OR(AH!$P$3=0,375+1&gt;AH!$P$11,AND(AH!$E$4&lt;&gt;"Stored",AH!$P$10&lt;&gt;1)),"",IFERROR(IF(AND(AH!$P$21=1,375+1=AH!$P$11),TODAY(),IF(AH!$P$10=1,INDEX('Live History'!$A$5:$A$3004,AH!$P$13+375),INDEX('AH History'!$A$1:$A$18046,AH!$P$7+375))),""))</ns0:f>
        <ns0:v/>
      </ns0:c>
      <ns0:c r="B380" s="219">
        <ns0:f>IFERROR(IF(AND(AH!$P$9&lt;&gt;1,$C380&gt;0,$D380&gt;0,$E380&gt;0,$F380&gt;0,$G380&gt;0,$F380&lt;=$A380,$G380&lt;=$A380,$A380-$F380&lt;=10,$A380-$G380&lt;=5),$D380*$E380/$C380-1,NA()),NA())</ns0:f>
        <ns0:v/>
      </ns0:c>
      <ns0:c r="C380">
        <ns0:f>IFERROR(IF(ISNUMBER($A380),IF(AND(AH!$P$10=1,AH!$P$12=1,$A380=TODAY()),AH!$P$19,IF(AH!$P$10=1,INDEX('Live History'!$B$5:$B$3004,AH!$P$13+375),INDEX('AH History'!$B$1:$B$18046,AH!$P$7+375))),NA()),NA())</ns0:f>
        <ns0:v/>
      </ns0:c>
      <ns0:c r="D380">
        <ns0:f>IFERROR(IF(ISNUMBER($A380),IF(AND(AH!$P$10=1,AH!$P$12=1,$A380=TODAY()),AH!$P$18,IF(AH!$P$10=1,INDEX('Live History'!$E$5:$E$3004,MATCH($A380,'Live History'!$D$5:$D$3004,1)),INDEX('AH History'!$C$1:$C$18046,AH!$P$7+375))),NA()),NA())</ns0:f>
        <ns0:v/>
      </ns0:c>
      <ns0:c r="E380">
        <ns0:f>IFERROR(IF(ISNUMBER($A380),IF(AND(AH!$P$10=1,AH!$P$12=1,$A380=TODAY()),AH!$P$20,IF(AH!$P$10=1,INDEX('Live History'!$H$5:$H$3004,MATCH($A380,'Live History'!$G$5:$G$3004,1)),INDEX('AH History'!$D$1:$D$18046,AH!$P$7+375))),NA()),NA())</ns0:f>
        <ns0:v/>
      </ns0:c>
      <ns0:c r="F380">
        <ns0:f>IFERROR(IF(ISNUMBER($A380),IF(AND(AH!$P$10=1,AH!$P$12=1,$A380=TODAY()),IF(AND(AH!$P$10=1,AH!$P$12=1,$A380=TODAY()),TODAY(),NA()),IF(AH!$P$10=1,INDEX('Live History'!$D$5:$D$3004,MATCH($A380,'Live History'!$D$5:$D$3004,1)),INDEX('AH History'!$E$1:$E$18046,AH!$P$7+375))),NA()),NA())</ns0:f>
        <ns0:v/>
      </ns0:c>
      <ns0:c r="G380">
        <ns0:f>IFERROR(IF(ISNUMBER($A380),IF(AND(AH!$P$10=1,AH!$P$12=1,$A380=TODAY()),IF(AND(AH!$P$10=1,AH!$P$12=1,$A380=TODAY()),TODAY(),NA()),IF(AH!$P$10=1,INDEX('Live History'!$G$5:$G$3004,MATCH($A380,'Live History'!$G$5:$G$3004,1)),INDEX('AH History'!$F$1:$F$18046,AH!$P$7+375))),NA()),NA())</ns0:f>
        <ns0:v/>
      </ns0:c>
      <ns0:c r="H380">
        <ns0:f>IFERROR(IF(AND(AH!$E$4="Bloomberg",AH!$P$10=1,ISNUMBER($A380),$A380&lt;=AH!$P$17),AH!$P$7-1+MATCH($A380,INDEX('AH History'!$A$1:$A$18046,AH!$P$7):INDEX('AH History'!$A$1:$A$18046,AH!$P$7+AH!$P$8-1),0),0),0)</ns0:f>
        <ns0:v/>
      </ns0:c>
      <ns0:c r="I380">
        <ns0:f>IF($H380=0,0,IFERROR(IF(AND(ABS($C380-INDEX('AH History'!$B$1:$B$18046,$H380))&lt;=MAX(0.005,ABS(INDEX('AH History'!$B$1:$B$18046,$H380))*0.00005),ABS($D380-INDEX('AH History'!$C$1:$C$18046,$H380))&lt;=MAX(0.005,ABS(INDEX('AH History'!$C$1:$C$18046,$H380))*0.00005),ABS($E380-INDEX('AH History'!$D$1:$D$18046,$H380))&lt;=0.00005,$F380=INDEX('AH History'!$E$1:$E$18046,$H380),$G380=INDEX('AH History'!$F$1:$F$18046,$H380)),1,-1),-1))</ns0:f>
        <ns0:v/>
      </ns0:c>
    </ns0:row>
    <ns0:row r="381">
      <ns0:c r="A381" s="215">
        <ns0:f>IF(OR(AH!$P$3=0,376+1&gt;AH!$P$11,AND(AH!$E$4&lt;&gt;"Stored",AH!$P$10&lt;&gt;1)),"",IFERROR(IF(AND(AH!$P$21=1,376+1=AH!$P$11),TODAY(),IF(AH!$P$10=1,INDEX('Live History'!$A$5:$A$3004,AH!$P$13+376),INDEX('AH History'!$A$1:$A$18046,AH!$P$7+376))),""))</ns0:f>
        <ns0:v/>
      </ns0:c>
      <ns0:c r="B381" s="219">
        <ns0:f>IFERROR(IF(AND(AH!$P$9&lt;&gt;1,$C381&gt;0,$D381&gt;0,$E381&gt;0,$F381&gt;0,$G381&gt;0,$F381&lt;=$A381,$G381&lt;=$A381,$A381-$F381&lt;=10,$A381-$G381&lt;=5),$D381*$E381/$C381-1,NA()),NA())</ns0:f>
        <ns0:v/>
      </ns0:c>
      <ns0:c r="C381">
        <ns0:f>IFERROR(IF(ISNUMBER($A381),IF(AND(AH!$P$10=1,AH!$P$12=1,$A381=TODAY()),AH!$P$19,IF(AH!$P$10=1,INDEX('Live History'!$B$5:$B$3004,AH!$P$13+376),INDEX('AH History'!$B$1:$B$18046,AH!$P$7+376))),NA()),NA())</ns0:f>
        <ns0:v/>
      </ns0:c>
      <ns0:c r="D381">
        <ns0:f>IFERROR(IF(ISNUMBER($A381),IF(AND(AH!$P$10=1,AH!$P$12=1,$A381=TODAY()),AH!$P$18,IF(AH!$P$10=1,INDEX('Live History'!$E$5:$E$3004,MATCH($A381,'Live History'!$D$5:$D$3004,1)),INDEX('AH History'!$C$1:$C$18046,AH!$P$7+376))),NA()),NA())</ns0:f>
        <ns0:v/>
      </ns0:c>
      <ns0:c r="E381">
        <ns0:f>IFERROR(IF(ISNUMBER($A381),IF(AND(AH!$P$10=1,AH!$P$12=1,$A381=TODAY()),AH!$P$20,IF(AH!$P$10=1,INDEX('Live History'!$H$5:$H$3004,MATCH($A381,'Live History'!$G$5:$G$3004,1)),INDEX('AH History'!$D$1:$D$18046,AH!$P$7+376))),NA()),NA())</ns0:f>
        <ns0:v/>
      </ns0:c>
      <ns0:c r="F381">
        <ns0:f>IFERROR(IF(ISNUMBER($A381),IF(AND(AH!$P$10=1,AH!$P$12=1,$A381=TODAY()),IF(AND(AH!$P$10=1,AH!$P$12=1,$A381=TODAY()),TODAY(),NA()),IF(AH!$P$10=1,INDEX('Live History'!$D$5:$D$3004,MATCH($A381,'Live History'!$D$5:$D$3004,1)),INDEX('AH History'!$E$1:$E$18046,AH!$P$7+376))),NA()),NA())</ns0:f>
        <ns0:v/>
      </ns0:c>
      <ns0:c r="G381">
        <ns0:f>IFERROR(IF(ISNUMBER($A381),IF(AND(AH!$P$10=1,AH!$P$12=1,$A381=TODAY()),IF(AND(AH!$P$10=1,AH!$P$12=1,$A381=TODAY()),TODAY(),NA()),IF(AH!$P$10=1,INDEX('Live History'!$G$5:$G$3004,MATCH($A381,'Live History'!$G$5:$G$3004,1)),INDEX('AH History'!$F$1:$F$18046,AH!$P$7+376))),NA()),NA())</ns0:f>
        <ns0:v/>
      </ns0:c>
      <ns0:c r="H381">
        <ns0:f>IFERROR(IF(AND(AH!$E$4="Bloomberg",AH!$P$10=1,ISNUMBER($A381),$A381&lt;=AH!$P$17),AH!$P$7-1+MATCH($A381,INDEX('AH History'!$A$1:$A$18046,AH!$P$7):INDEX('AH History'!$A$1:$A$18046,AH!$P$7+AH!$P$8-1),0),0),0)</ns0:f>
        <ns0:v/>
      </ns0:c>
      <ns0:c r="I381">
        <ns0:f>IF($H381=0,0,IFERROR(IF(AND(ABS($C381-INDEX('AH History'!$B$1:$B$18046,$H381))&lt;=MAX(0.005,ABS(INDEX('AH History'!$B$1:$B$18046,$H381))*0.00005),ABS($D381-INDEX('AH History'!$C$1:$C$18046,$H381))&lt;=MAX(0.005,ABS(INDEX('AH History'!$C$1:$C$18046,$H381))*0.00005),ABS($E381-INDEX('AH History'!$D$1:$D$18046,$H381))&lt;=0.00005,$F381=INDEX('AH History'!$E$1:$E$18046,$H381),$G381=INDEX('AH History'!$F$1:$F$18046,$H381)),1,-1),-1))</ns0:f>
        <ns0:v/>
      </ns0:c>
    </ns0:row>
    <ns0:row r="382">
      <ns0:c r="A382" s="215">
        <ns0:f>IF(OR(AH!$P$3=0,377+1&gt;AH!$P$11,AND(AH!$E$4&lt;&gt;"Stored",AH!$P$10&lt;&gt;1)),"",IFERROR(IF(AND(AH!$P$21=1,377+1=AH!$P$11),TODAY(),IF(AH!$P$10=1,INDEX('Live History'!$A$5:$A$3004,AH!$P$13+377),INDEX('AH History'!$A$1:$A$18046,AH!$P$7+377))),""))</ns0:f>
        <ns0:v/>
      </ns0:c>
      <ns0:c r="B382" s="219">
        <ns0:f>IFERROR(IF(AND(AH!$P$9&lt;&gt;1,$C382&gt;0,$D382&gt;0,$E382&gt;0,$F382&gt;0,$G382&gt;0,$F382&lt;=$A382,$G382&lt;=$A382,$A382-$F382&lt;=10,$A382-$G382&lt;=5),$D382*$E382/$C382-1,NA()),NA())</ns0:f>
        <ns0:v/>
      </ns0:c>
      <ns0:c r="C382">
        <ns0:f>IFERROR(IF(ISNUMBER($A382),IF(AND(AH!$P$10=1,AH!$P$12=1,$A382=TODAY()),AH!$P$19,IF(AH!$P$10=1,INDEX('Live History'!$B$5:$B$3004,AH!$P$13+377),INDEX('AH History'!$B$1:$B$18046,AH!$P$7+377))),NA()),NA())</ns0:f>
        <ns0:v/>
      </ns0:c>
      <ns0:c r="D382">
        <ns0:f>IFERROR(IF(ISNUMBER($A382),IF(AND(AH!$P$10=1,AH!$P$12=1,$A382=TODAY()),AH!$P$18,IF(AH!$P$10=1,INDEX('Live History'!$E$5:$E$3004,MATCH($A382,'Live History'!$D$5:$D$3004,1)),INDEX('AH History'!$C$1:$C$18046,AH!$P$7+377))),NA()),NA())</ns0:f>
        <ns0:v/>
      </ns0:c>
      <ns0:c r="E382">
        <ns0:f>IFERROR(IF(ISNUMBER($A382),IF(AND(AH!$P$10=1,AH!$P$12=1,$A382=TODAY()),AH!$P$20,IF(AH!$P$10=1,INDEX('Live History'!$H$5:$H$3004,MATCH($A382,'Live History'!$G$5:$G$3004,1)),INDEX('AH History'!$D$1:$D$18046,AH!$P$7+377))),NA()),NA())</ns0:f>
        <ns0:v/>
      </ns0:c>
      <ns0:c r="F382">
        <ns0:f>IFERROR(IF(ISNUMBER($A382),IF(AND(AH!$P$10=1,AH!$P$12=1,$A382=TODAY()),IF(AND(AH!$P$10=1,AH!$P$12=1,$A382=TODAY()),TODAY(),NA()),IF(AH!$P$10=1,INDEX('Live History'!$D$5:$D$3004,MATCH($A382,'Live History'!$D$5:$D$3004,1)),INDEX('AH History'!$E$1:$E$18046,AH!$P$7+377))),NA()),NA())</ns0:f>
        <ns0:v/>
      </ns0:c>
      <ns0:c r="G382">
        <ns0:f>IFERROR(IF(ISNUMBER($A382),IF(AND(AH!$P$10=1,AH!$P$12=1,$A382=TODAY()),IF(AND(AH!$P$10=1,AH!$P$12=1,$A382=TODAY()),TODAY(),NA()),IF(AH!$P$10=1,INDEX('Live History'!$G$5:$G$3004,MATCH($A382,'Live History'!$G$5:$G$3004,1)),INDEX('AH History'!$F$1:$F$18046,AH!$P$7+377))),NA()),NA())</ns0:f>
        <ns0:v/>
      </ns0:c>
      <ns0:c r="H382">
        <ns0:f>IFERROR(IF(AND(AH!$E$4="Bloomberg",AH!$P$10=1,ISNUMBER($A382),$A382&lt;=AH!$P$17),AH!$P$7-1+MATCH($A382,INDEX('AH History'!$A$1:$A$18046,AH!$P$7):INDEX('AH History'!$A$1:$A$18046,AH!$P$7+AH!$P$8-1),0),0),0)</ns0:f>
        <ns0:v/>
      </ns0:c>
      <ns0:c r="I382">
        <ns0:f>IF($H382=0,0,IFERROR(IF(AND(ABS($C382-INDEX('AH History'!$B$1:$B$18046,$H382))&lt;=MAX(0.005,ABS(INDEX('AH History'!$B$1:$B$18046,$H382))*0.00005),ABS($D382-INDEX('AH History'!$C$1:$C$18046,$H382))&lt;=MAX(0.005,ABS(INDEX('AH History'!$C$1:$C$18046,$H382))*0.00005),ABS($E382-INDEX('AH History'!$D$1:$D$18046,$H382))&lt;=0.00005,$F382=INDEX('AH History'!$E$1:$E$18046,$H382),$G382=INDEX('AH History'!$F$1:$F$18046,$H382)),1,-1),-1))</ns0:f>
        <ns0:v/>
      </ns0:c>
    </ns0:row>
    <ns0:row r="383">
      <ns0:c r="A383" s="215">
        <ns0:f>IF(OR(AH!$P$3=0,378+1&gt;AH!$P$11,AND(AH!$E$4&lt;&gt;"Stored",AH!$P$10&lt;&gt;1)),"",IFERROR(IF(AND(AH!$P$21=1,378+1=AH!$P$11),TODAY(),IF(AH!$P$10=1,INDEX('Live History'!$A$5:$A$3004,AH!$P$13+378),INDEX('AH History'!$A$1:$A$18046,AH!$P$7+378))),""))</ns0:f>
        <ns0:v/>
      </ns0:c>
      <ns0:c r="B383" s="219">
        <ns0:f>IFERROR(IF(AND(AH!$P$9&lt;&gt;1,$C383&gt;0,$D383&gt;0,$E383&gt;0,$F383&gt;0,$G383&gt;0,$F383&lt;=$A383,$G383&lt;=$A383,$A383-$F383&lt;=10,$A383-$G383&lt;=5),$D383*$E383/$C383-1,NA()),NA())</ns0:f>
        <ns0:v/>
      </ns0:c>
      <ns0:c r="C383">
        <ns0:f>IFERROR(IF(ISNUMBER($A383),IF(AND(AH!$P$10=1,AH!$P$12=1,$A383=TODAY()),AH!$P$19,IF(AH!$P$10=1,INDEX('Live History'!$B$5:$B$3004,AH!$P$13+378),INDEX('AH History'!$B$1:$B$18046,AH!$P$7+378))),NA()),NA())</ns0:f>
        <ns0:v/>
      </ns0:c>
      <ns0:c r="D383">
        <ns0:f>IFERROR(IF(ISNUMBER($A383),IF(AND(AH!$P$10=1,AH!$P$12=1,$A383=TODAY()),AH!$P$18,IF(AH!$P$10=1,INDEX('Live History'!$E$5:$E$3004,MATCH($A383,'Live History'!$D$5:$D$3004,1)),INDEX('AH History'!$C$1:$C$18046,AH!$P$7+378))),NA()),NA())</ns0:f>
        <ns0:v/>
      </ns0:c>
      <ns0:c r="E383">
        <ns0:f>IFERROR(IF(ISNUMBER($A383),IF(AND(AH!$P$10=1,AH!$P$12=1,$A383=TODAY()),AH!$P$20,IF(AH!$P$10=1,INDEX('Live History'!$H$5:$H$3004,MATCH($A383,'Live History'!$G$5:$G$3004,1)),INDEX('AH History'!$D$1:$D$18046,AH!$P$7+378))),NA()),NA())</ns0:f>
        <ns0:v/>
      </ns0:c>
      <ns0:c r="F383">
        <ns0:f>IFERROR(IF(ISNUMBER($A383),IF(AND(AH!$P$10=1,AH!$P$12=1,$A383=TODAY()),IF(AND(AH!$P$10=1,AH!$P$12=1,$A383=TODAY()),TODAY(),NA()),IF(AH!$P$10=1,INDEX('Live History'!$D$5:$D$3004,MATCH($A383,'Live History'!$D$5:$D$3004,1)),INDEX('AH History'!$E$1:$E$18046,AH!$P$7+378))),NA()),NA())</ns0:f>
        <ns0:v/>
      </ns0:c>
      <ns0:c r="G383">
        <ns0:f>IFERROR(IF(ISNUMBER($A383),IF(AND(AH!$P$10=1,AH!$P$12=1,$A383=TODAY()),IF(AND(AH!$P$10=1,AH!$P$12=1,$A383=TODAY()),TODAY(),NA()),IF(AH!$P$10=1,INDEX('Live History'!$G$5:$G$3004,MATCH($A383,'Live History'!$G$5:$G$3004,1)),INDEX('AH History'!$F$1:$F$18046,AH!$P$7+378))),NA()),NA())</ns0:f>
        <ns0:v/>
      </ns0:c>
      <ns0:c r="H383">
        <ns0:f>IFERROR(IF(AND(AH!$E$4="Bloomberg",AH!$P$10=1,ISNUMBER($A383),$A383&lt;=AH!$P$17),AH!$P$7-1+MATCH($A383,INDEX('AH History'!$A$1:$A$18046,AH!$P$7):INDEX('AH History'!$A$1:$A$18046,AH!$P$7+AH!$P$8-1),0),0),0)</ns0:f>
        <ns0:v/>
      </ns0:c>
      <ns0:c r="I383">
        <ns0:f>IF($H383=0,0,IFERROR(IF(AND(ABS($C383-INDEX('AH History'!$B$1:$B$18046,$H383))&lt;=MAX(0.005,ABS(INDEX('AH History'!$B$1:$B$18046,$H383))*0.00005),ABS($D383-INDEX('AH History'!$C$1:$C$18046,$H383))&lt;=MAX(0.005,ABS(INDEX('AH History'!$C$1:$C$18046,$H383))*0.00005),ABS($E383-INDEX('AH History'!$D$1:$D$18046,$H383))&lt;=0.00005,$F383=INDEX('AH History'!$E$1:$E$18046,$H383),$G383=INDEX('AH History'!$F$1:$F$18046,$H383)),1,-1),-1))</ns0:f>
        <ns0:v/>
      </ns0:c>
    </ns0:row>
    <ns0:row r="384">
      <ns0:c r="A384" s="215">
        <ns0:f>IF(OR(AH!$P$3=0,379+1&gt;AH!$P$11,AND(AH!$E$4&lt;&gt;"Stored",AH!$P$10&lt;&gt;1)),"",IFERROR(IF(AND(AH!$P$21=1,379+1=AH!$P$11),TODAY(),IF(AH!$P$10=1,INDEX('Live History'!$A$5:$A$3004,AH!$P$13+379),INDEX('AH History'!$A$1:$A$18046,AH!$P$7+379))),""))</ns0:f>
        <ns0:v/>
      </ns0:c>
      <ns0:c r="B384" s="219">
        <ns0:f>IFERROR(IF(AND(AH!$P$9&lt;&gt;1,$C384&gt;0,$D384&gt;0,$E384&gt;0,$F384&gt;0,$G384&gt;0,$F384&lt;=$A384,$G384&lt;=$A384,$A384-$F384&lt;=10,$A384-$G384&lt;=5),$D384*$E384/$C384-1,NA()),NA())</ns0:f>
        <ns0:v/>
      </ns0:c>
      <ns0:c r="C384">
        <ns0:f>IFERROR(IF(ISNUMBER($A384),IF(AND(AH!$P$10=1,AH!$P$12=1,$A384=TODAY()),AH!$P$19,IF(AH!$P$10=1,INDEX('Live History'!$B$5:$B$3004,AH!$P$13+379),INDEX('AH History'!$B$1:$B$18046,AH!$P$7+379))),NA()),NA())</ns0:f>
        <ns0:v/>
      </ns0:c>
      <ns0:c r="D384">
        <ns0:f>IFERROR(IF(ISNUMBER($A384),IF(AND(AH!$P$10=1,AH!$P$12=1,$A384=TODAY()),AH!$P$18,IF(AH!$P$10=1,INDEX('Live History'!$E$5:$E$3004,MATCH($A384,'Live History'!$D$5:$D$3004,1)),INDEX('AH History'!$C$1:$C$18046,AH!$P$7+379))),NA()),NA())</ns0:f>
        <ns0:v/>
      </ns0:c>
      <ns0:c r="E384">
        <ns0:f>IFERROR(IF(ISNUMBER($A384),IF(AND(AH!$P$10=1,AH!$P$12=1,$A384=TODAY()),AH!$P$20,IF(AH!$P$10=1,INDEX('Live History'!$H$5:$H$3004,MATCH($A384,'Live History'!$G$5:$G$3004,1)),INDEX('AH History'!$D$1:$D$18046,AH!$P$7+379))),NA()),NA())</ns0:f>
        <ns0:v/>
      </ns0:c>
      <ns0:c r="F384">
        <ns0:f>IFERROR(IF(ISNUMBER($A384),IF(AND(AH!$P$10=1,AH!$P$12=1,$A384=TODAY()),IF(AND(AH!$P$10=1,AH!$P$12=1,$A384=TODAY()),TODAY(),NA()),IF(AH!$P$10=1,INDEX('Live History'!$D$5:$D$3004,MATCH($A384,'Live History'!$D$5:$D$3004,1)),INDEX('AH History'!$E$1:$E$18046,AH!$P$7+379))),NA()),NA())</ns0:f>
        <ns0:v/>
      </ns0:c>
      <ns0:c r="G384">
        <ns0:f>IFERROR(IF(ISNUMBER($A384),IF(AND(AH!$P$10=1,AH!$P$12=1,$A384=TODAY()),IF(AND(AH!$P$10=1,AH!$P$12=1,$A384=TODAY()),TODAY(),NA()),IF(AH!$P$10=1,INDEX('Live History'!$G$5:$G$3004,MATCH($A384,'Live History'!$G$5:$G$3004,1)),INDEX('AH History'!$F$1:$F$18046,AH!$P$7+379))),NA()),NA())</ns0:f>
        <ns0:v/>
      </ns0:c>
      <ns0:c r="H384">
        <ns0:f>IFERROR(IF(AND(AH!$E$4="Bloomberg",AH!$P$10=1,ISNUMBER($A384),$A384&lt;=AH!$P$17),AH!$P$7-1+MATCH($A384,INDEX('AH History'!$A$1:$A$18046,AH!$P$7):INDEX('AH History'!$A$1:$A$18046,AH!$P$7+AH!$P$8-1),0),0),0)</ns0:f>
        <ns0:v/>
      </ns0:c>
      <ns0:c r="I384">
        <ns0:f>IF($H384=0,0,IFERROR(IF(AND(ABS($C384-INDEX('AH History'!$B$1:$B$18046,$H384))&lt;=MAX(0.005,ABS(INDEX('AH History'!$B$1:$B$18046,$H384))*0.00005),ABS($D384-INDEX('AH History'!$C$1:$C$18046,$H384))&lt;=MAX(0.005,ABS(INDEX('AH History'!$C$1:$C$18046,$H384))*0.00005),ABS($E384-INDEX('AH History'!$D$1:$D$18046,$H384))&lt;=0.00005,$F384=INDEX('AH History'!$E$1:$E$18046,$H384),$G384=INDEX('AH History'!$F$1:$F$18046,$H384)),1,-1),-1))</ns0:f>
        <ns0:v/>
      </ns0:c>
    </ns0:row>
    <ns0:row r="385">
      <ns0:c r="A385" s="215">
        <ns0:f>IF(OR(AH!$P$3=0,380+1&gt;AH!$P$11,AND(AH!$E$4&lt;&gt;"Stored",AH!$P$10&lt;&gt;1)),"",IFERROR(IF(AND(AH!$P$21=1,380+1=AH!$P$11),TODAY(),IF(AH!$P$10=1,INDEX('Live History'!$A$5:$A$3004,AH!$P$13+380),INDEX('AH History'!$A$1:$A$18046,AH!$P$7+380))),""))</ns0:f>
        <ns0:v/>
      </ns0:c>
      <ns0:c r="B385" s="219">
        <ns0:f>IFERROR(IF(AND(AH!$P$9&lt;&gt;1,$C385&gt;0,$D385&gt;0,$E385&gt;0,$F385&gt;0,$G385&gt;0,$F385&lt;=$A385,$G385&lt;=$A385,$A385-$F385&lt;=10,$A385-$G385&lt;=5),$D385*$E385/$C385-1,NA()),NA())</ns0:f>
        <ns0:v/>
      </ns0:c>
      <ns0:c r="C385">
        <ns0:f>IFERROR(IF(ISNUMBER($A385),IF(AND(AH!$P$10=1,AH!$P$12=1,$A385=TODAY()),AH!$P$19,IF(AH!$P$10=1,INDEX('Live History'!$B$5:$B$3004,AH!$P$13+380),INDEX('AH History'!$B$1:$B$18046,AH!$P$7+380))),NA()),NA())</ns0:f>
        <ns0:v/>
      </ns0:c>
      <ns0:c r="D385">
        <ns0:f>IFERROR(IF(ISNUMBER($A385),IF(AND(AH!$P$10=1,AH!$P$12=1,$A385=TODAY()),AH!$P$18,IF(AH!$P$10=1,INDEX('Live History'!$E$5:$E$3004,MATCH($A385,'Live History'!$D$5:$D$3004,1)),INDEX('AH History'!$C$1:$C$18046,AH!$P$7+380))),NA()),NA())</ns0:f>
        <ns0:v/>
      </ns0:c>
      <ns0:c r="E385">
        <ns0:f>IFERROR(IF(ISNUMBER($A385),IF(AND(AH!$P$10=1,AH!$P$12=1,$A385=TODAY()),AH!$P$20,IF(AH!$P$10=1,INDEX('Live History'!$H$5:$H$3004,MATCH($A385,'Live History'!$G$5:$G$3004,1)),INDEX('AH History'!$D$1:$D$18046,AH!$P$7+380))),NA()),NA())</ns0:f>
        <ns0:v/>
      </ns0:c>
      <ns0:c r="F385">
        <ns0:f>IFERROR(IF(ISNUMBER($A385),IF(AND(AH!$P$10=1,AH!$P$12=1,$A385=TODAY()),IF(AND(AH!$P$10=1,AH!$P$12=1,$A385=TODAY()),TODAY(),NA()),IF(AH!$P$10=1,INDEX('Live History'!$D$5:$D$3004,MATCH($A385,'Live History'!$D$5:$D$3004,1)),INDEX('AH History'!$E$1:$E$18046,AH!$P$7+380))),NA()),NA())</ns0:f>
        <ns0:v/>
      </ns0:c>
      <ns0:c r="G385">
        <ns0:f>IFERROR(IF(ISNUMBER($A385),IF(AND(AH!$P$10=1,AH!$P$12=1,$A385=TODAY()),IF(AND(AH!$P$10=1,AH!$P$12=1,$A385=TODAY()),TODAY(),NA()),IF(AH!$P$10=1,INDEX('Live History'!$G$5:$G$3004,MATCH($A385,'Live History'!$G$5:$G$3004,1)),INDEX('AH History'!$F$1:$F$18046,AH!$P$7+380))),NA()),NA())</ns0:f>
        <ns0:v/>
      </ns0:c>
      <ns0:c r="H385">
        <ns0:f>IFERROR(IF(AND(AH!$E$4="Bloomberg",AH!$P$10=1,ISNUMBER($A385),$A385&lt;=AH!$P$17),AH!$P$7-1+MATCH($A385,INDEX('AH History'!$A$1:$A$18046,AH!$P$7):INDEX('AH History'!$A$1:$A$18046,AH!$P$7+AH!$P$8-1),0),0),0)</ns0:f>
        <ns0:v/>
      </ns0:c>
      <ns0:c r="I385">
        <ns0:f>IF($H385=0,0,IFERROR(IF(AND(ABS($C385-INDEX('AH History'!$B$1:$B$18046,$H385))&lt;=MAX(0.005,ABS(INDEX('AH History'!$B$1:$B$18046,$H385))*0.00005),ABS($D385-INDEX('AH History'!$C$1:$C$18046,$H385))&lt;=MAX(0.005,ABS(INDEX('AH History'!$C$1:$C$18046,$H385))*0.00005),ABS($E385-INDEX('AH History'!$D$1:$D$18046,$H385))&lt;=0.00005,$F385=INDEX('AH History'!$E$1:$E$18046,$H385),$G385=INDEX('AH History'!$F$1:$F$18046,$H385)),1,-1),-1))</ns0:f>
        <ns0:v/>
      </ns0:c>
    </ns0:row>
    <ns0:row r="386">
      <ns0:c r="A386" s="215">
        <ns0:f>IF(OR(AH!$P$3=0,381+1&gt;AH!$P$11,AND(AH!$E$4&lt;&gt;"Stored",AH!$P$10&lt;&gt;1)),"",IFERROR(IF(AND(AH!$P$21=1,381+1=AH!$P$11),TODAY(),IF(AH!$P$10=1,INDEX('Live History'!$A$5:$A$3004,AH!$P$13+381),INDEX('AH History'!$A$1:$A$18046,AH!$P$7+381))),""))</ns0:f>
        <ns0:v/>
      </ns0:c>
      <ns0:c r="B386" s="219">
        <ns0:f>IFERROR(IF(AND(AH!$P$9&lt;&gt;1,$C386&gt;0,$D386&gt;0,$E386&gt;0,$F386&gt;0,$G386&gt;0,$F386&lt;=$A386,$G386&lt;=$A386,$A386-$F386&lt;=10,$A386-$G386&lt;=5),$D386*$E386/$C386-1,NA()),NA())</ns0:f>
        <ns0:v/>
      </ns0:c>
      <ns0:c r="C386">
        <ns0:f>IFERROR(IF(ISNUMBER($A386),IF(AND(AH!$P$10=1,AH!$P$12=1,$A386=TODAY()),AH!$P$19,IF(AH!$P$10=1,INDEX('Live History'!$B$5:$B$3004,AH!$P$13+381),INDEX('AH History'!$B$1:$B$18046,AH!$P$7+381))),NA()),NA())</ns0:f>
        <ns0:v/>
      </ns0:c>
      <ns0:c r="D386">
        <ns0:f>IFERROR(IF(ISNUMBER($A386),IF(AND(AH!$P$10=1,AH!$P$12=1,$A386=TODAY()),AH!$P$18,IF(AH!$P$10=1,INDEX('Live History'!$E$5:$E$3004,MATCH($A386,'Live History'!$D$5:$D$3004,1)),INDEX('AH History'!$C$1:$C$18046,AH!$P$7+381))),NA()),NA())</ns0:f>
        <ns0:v/>
      </ns0:c>
      <ns0:c r="E386">
        <ns0:f>IFERROR(IF(ISNUMBER($A386),IF(AND(AH!$P$10=1,AH!$P$12=1,$A386=TODAY()),AH!$P$20,IF(AH!$P$10=1,INDEX('Live History'!$H$5:$H$3004,MATCH($A386,'Live History'!$G$5:$G$3004,1)),INDEX('AH History'!$D$1:$D$18046,AH!$P$7+381))),NA()),NA())</ns0:f>
        <ns0:v/>
      </ns0:c>
      <ns0:c r="F386">
        <ns0:f>IFERROR(IF(ISNUMBER($A386),IF(AND(AH!$P$10=1,AH!$P$12=1,$A386=TODAY()),IF(AND(AH!$P$10=1,AH!$P$12=1,$A386=TODAY()),TODAY(),NA()),IF(AH!$P$10=1,INDEX('Live History'!$D$5:$D$3004,MATCH($A386,'Live History'!$D$5:$D$3004,1)),INDEX('AH History'!$E$1:$E$18046,AH!$P$7+381))),NA()),NA())</ns0:f>
        <ns0:v/>
      </ns0:c>
      <ns0:c r="G386">
        <ns0:f>IFERROR(IF(ISNUMBER($A386),IF(AND(AH!$P$10=1,AH!$P$12=1,$A386=TODAY()),IF(AND(AH!$P$10=1,AH!$P$12=1,$A386=TODAY()),TODAY(),NA()),IF(AH!$P$10=1,INDEX('Live History'!$G$5:$G$3004,MATCH($A386,'Live History'!$G$5:$G$3004,1)),INDEX('AH History'!$F$1:$F$18046,AH!$P$7+381))),NA()),NA())</ns0:f>
        <ns0:v/>
      </ns0:c>
      <ns0:c r="H386">
        <ns0:f>IFERROR(IF(AND(AH!$E$4="Bloomberg",AH!$P$10=1,ISNUMBER($A386),$A386&lt;=AH!$P$17),AH!$P$7-1+MATCH($A386,INDEX('AH History'!$A$1:$A$18046,AH!$P$7):INDEX('AH History'!$A$1:$A$18046,AH!$P$7+AH!$P$8-1),0),0),0)</ns0:f>
        <ns0:v/>
      </ns0:c>
      <ns0:c r="I386">
        <ns0:f>IF($H386=0,0,IFERROR(IF(AND(ABS($C386-INDEX('AH History'!$B$1:$B$18046,$H386))&lt;=MAX(0.005,ABS(INDEX('AH History'!$B$1:$B$18046,$H386))*0.00005),ABS($D386-INDEX('AH History'!$C$1:$C$18046,$H386))&lt;=MAX(0.005,ABS(INDEX('AH History'!$C$1:$C$18046,$H386))*0.00005),ABS($E386-INDEX('AH History'!$D$1:$D$18046,$H386))&lt;=0.00005,$F386=INDEX('AH History'!$E$1:$E$18046,$H386),$G386=INDEX('AH History'!$F$1:$F$18046,$H386)),1,-1),-1))</ns0:f>
        <ns0:v/>
      </ns0:c>
    </ns0:row>
    <ns0:row r="387">
      <ns0:c r="A387" s="215">
        <ns0:f>IF(OR(AH!$P$3=0,382+1&gt;AH!$P$11,AND(AH!$E$4&lt;&gt;"Stored",AH!$P$10&lt;&gt;1)),"",IFERROR(IF(AND(AH!$P$21=1,382+1=AH!$P$11),TODAY(),IF(AH!$P$10=1,INDEX('Live History'!$A$5:$A$3004,AH!$P$13+382),INDEX('AH History'!$A$1:$A$18046,AH!$P$7+382))),""))</ns0:f>
        <ns0:v/>
      </ns0:c>
      <ns0:c r="B387" s="219">
        <ns0:f>IFERROR(IF(AND(AH!$P$9&lt;&gt;1,$C387&gt;0,$D387&gt;0,$E387&gt;0,$F387&gt;0,$G387&gt;0,$F387&lt;=$A387,$G387&lt;=$A387,$A387-$F387&lt;=10,$A387-$G387&lt;=5),$D387*$E387/$C387-1,NA()),NA())</ns0:f>
        <ns0:v/>
      </ns0:c>
      <ns0:c r="C387">
        <ns0:f>IFERROR(IF(ISNUMBER($A387),IF(AND(AH!$P$10=1,AH!$P$12=1,$A387=TODAY()),AH!$P$19,IF(AH!$P$10=1,INDEX('Live History'!$B$5:$B$3004,AH!$P$13+382),INDEX('AH History'!$B$1:$B$18046,AH!$P$7+382))),NA()),NA())</ns0:f>
        <ns0:v/>
      </ns0:c>
      <ns0:c r="D387">
        <ns0:f>IFERROR(IF(ISNUMBER($A387),IF(AND(AH!$P$10=1,AH!$P$12=1,$A387=TODAY()),AH!$P$18,IF(AH!$P$10=1,INDEX('Live History'!$E$5:$E$3004,MATCH($A387,'Live History'!$D$5:$D$3004,1)),INDEX('AH History'!$C$1:$C$18046,AH!$P$7+382))),NA()),NA())</ns0:f>
        <ns0:v/>
      </ns0:c>
      <ns0:c r="E387">
        <ns0:f>IFERROR(IF(ISNUMBER($A387),IF(AND(AH!$P$10=1,AH!$P$12=1,$A387=TODAY()),AH!$P$20,IF(AH!$P$10=1,INDEX('Live History'!$H$5:$H$3004,MATCH($A387,'Live History'!$G$5:$G$3004,1)),INDEX('AH History'!$D$1:$D$18046,AH!$P$7+382))),NA()),NA())</ns0:f>
        <ns0:v/>
      </ns0:c>
      <ns0:c r="F387">
        <ns0:f>IFERROR(IF(ISNUMBER($A387),IF(AND(AH!$P$10=1,AH!$P$12=1,$A387=TODAY()),IF(AND(AH!$P$10=1,AH!$P$12=1,$A387=TODAY()),TODAY(),NA()),IF(AH!$P$10=1,INDEX('Live History'!$D$5:$D$3004,MATCH($A387,'Live History'!$D$5:$D$3004,1)),INDEX('AH History'!$E$1:$E$18046,AH!$P$7+382))),NA()),NA())</ns0:f>
        <ns0:v/>
      </ns0:c>
      <ns0:c r="G387">
        <ns0:f>IFERROR(IF(ISNUMBER($A387),IF(AND(AH!$P$10=1,AH!$P$12=1,$A387=TODAY()),IF(AND(AH!$P$10=1,AH!$P$12=1,$A387=TODAY()),TODAY(),NA()),IF(AH!$P$10=1,INDEX('Live History'!$G$5:$G$3004,MATCH($A387,'Live History'!$G$5:$G$3004,1)),INDEX('AH History'!$F$1:$F$18046,AH!$P$7+382))),NA()),NA())</ns0:f>
        <ns0:v/>
      </ns0:c>
      <ns0:c r="H387">
        <ns0:f>IFERROR(IF(AND(AH!$E$4="Bloomberg",AH!$P$10=1,ISNUMBER($A387),$A387&lt;=AH!$P$17),AH!$P$7-1+MATCH($A387,INDEX('AH History'!$A$1:$A$18046,AH!$P$7):INDEX('AH History'!$A$1:$A$18046,AH!$P$7+AH!$P$8-1),0),0),0)</ns0:f>
        <ns0:v/>
      </ns0:c>
      <ns0:c r="I387">
        <ns0:f>IF($H387=0,0,IFERROR(IF(AND(ABS($C387-INDEX('AH History'!$B$1:$B$18046,$H387))&lt;=MAX(0.005,ABS(INDEX('AH History'!$B$1:$B$18046,$H387))*0.00005),ABS($D387-INDEX('AH History'!$C$1:$C$18046,$H387))&lt;=MAX(0.005,ABS(INDEX('AH History'!$C$1:$C$18046,$H387))*0.00005),ABS($E387-INDEX('AH History'!$D$1:$D$18046,$H387))&lt;=0.00005,$F387=INDEX('AH History'!$E$1:$E$18046,$H387),$G387=INDEX('AH History'!$F$1:$F$18046,$H387)),1,-1),-1))</ns0:f>
        <ns0:v/>
      </ns0:c>
    </ns0:row>
    <ns0:row r="388">
      <ns0:c r="A388" s="215">
        <ns0:f>IF(OR(AH!$P$3=0,383+1&gt;AH!$P$11,AND(AH!$E$4&lt;&gt;"Stored",AH!$P$10&lt;&gt;1)),"",IFERROR(IF(AND(AH!$P$21=1,383+1=AH!$P$11),TODAY(),IF(AH!$P$10=1,INDEX('Live History'!$A$5:$A$3004,AH!$P$13+383),INDEX('AH History'!$A$1:$A$18046,AH!$P$7+383))),""))</ns0:f>
        <ns0:v/>
      </ns0:c>
      <ns0:c r="B388" s="219">
        <ns0:f>IFERROR(IF(AND(AH!$P$9&lt;&gt;1,$C388&gt;0,$D388&gt;0,$E388&gt;0,$F388&gt;0,$G388&gt;0,$F388&lt;=$A388,$G388&lt;=$A388,$A388-$F388&lt;=10,$A388-$G388&lt;=5),$D388*$E388/$C388-1,NA()),NA())</ns0:f>
        <ns0:v/>
      </ns0:c>
      <ns0:c r="C388">
        <ns0:f>IFERROR(IF(ISNUMBER($A388),IF(AND(AH!$P$10=1,AH!$P$12=1,$A388=TODAY()),AH!$P$19,IF(AH!$P$10=1,INDEX('Live History'!$B$5:$B$3004,AH!$P$13+383),INDEX('AH History'!$B$1:$B$18046,AH!$P$7+383))),NA()),NA())</ns0:f>
        <ns0:v/>
      </ns0:c>
      <ns0:c r="D388">
        <ns0:f>IFERROR(IF(ISNUMBER($A388),IF(AND(AH!$P$10=1,AH!$P$12=1,$A388=TODAY()),AH!$P$18,IF(AH!$P$10=1,INDEX('Live History'!$E$5:$E$3004,MATCH($A388,'Live History'!$D$5:$D$3004,1)),INDEX('AH History'!$C$1:$C$18046,AH!$P$7+383))),NA()),NA())</ns0:f>
        <ns0:v/>
      </ns0:c>
      <ns0:c r="E388">
        <ns0:f>IFERROR(IF(ISNUMBER($A388),IF(AND(AH!$P$10=1,AH!$P$12=1,$A388=TODAY()),AH!$P$20,IF(AH!$P$10=1,INDEX('Live History'!$H$5:$H$3004,MATCH($A388,'Live History'!$G$5:$G$3004,1)),INDEX('AH History'!$D$1:$D$18046,AH!$P$7+383))),NA()),NA())</ns0:f>
        <ns0:v/>
      </ns0:c>
      <ns0:c r="F388">
        <ns0:f>IFERROR(IF(ISNUMBER($A388),IF(AND(AH!$P$10=1,AH!$P$12=1,$A388=TODAY()),IF(AND(AH!$P$10=1,AH!$P$12=1,$A388=TODAY()),TODAY(),NA()),IF(AH!$P$10=1,INDEX('Live History'!$D$5:$D$3004,MATCH($A388,'Live History'!$D$5:$D$3004,1)),INDEX('AH History'!$E$1:$E$18046,AH!$P$7+383))),NA()),NA())</ns0:f>
        <ns0:v/>
      </ns0:c>
      <ns0:c r="G388">
        <ns0:f>IFERROR(IF(ISNUMBER($A388),IF(AND(AH!$P$10=1,AH!$P$12=1,$A388=TODAY()),IF(AND(AH!$P$10=1,AH!$P$12=1,$A388=TODAY()),TODAY(),NA()),IF(AH!$P$10=1,INDEX('Live History'!$G$5:$G$3004,MATCH($A388,'Live History'!$G$5:$G$3004,1)),INDEX('AH History'!$F$1:$F$18046,AH!$P$7+383))),NA()),NA())</ns0:f>
        <ns0:v/>
      </ns0:c>
      <ns0:c r="H388">
        <ns0:f>IFERROR(IF(AND(AH!$E$4="Bloomberg",AH!$P$10=1,ISNUMBER($A388),$A388&lt;=AH!$P$17),AH!$P$7-1+MATCH($A388,INDEX('AH History'!$A$1:$A$18046,AH!$P$7):INDEX('AH History'!$A$1:$A$18046,AH!$P$7+AH!$P$8-1),0),0),0)</ns0:f>
        <ns0:v/>
      </ns0:c>
      <ns0:c r="I388">
        <ns0:f>IF($H388=0,0,IFERROR(IF(AND(ABS($C388-INDEX('AH History'!$B$1:$B$18046,$H388))&lt;=MAX(0.005,ABS(INDEX('AH History'!$B$1:$B$18046,$H388))*0.00005),ABS($D388-INDEX('AH History'!$C$1:$C$18046,$H388))&lt;=MAX(0.005,ABS(INDEX('AH History'!$C$1:$C$18046,$H388))*0.00005),ABS($E388-INDEX('AH History'!$D$1:$D$18046,$H388))&lt;=0.00005,$F388=INDEX('AH History'!$E$1:$E$18046,$H388),$G388=INDEX('AH History'!$F$1:$F$18046,$H388)),1,-1),-1))</ns0:f>
        <ns0:v/>
      </ns0:c>
    </ns0:row>
    <ns0:row r="389">
      <ns0:c r="A389" s="215">
        <ns0:f>IF(OR(AH!$P$3=0,384+1&gt;AH!$P$11,AND(AH!$E$4&lt;&gt;"Stored",AH!$P$10&lt;&gt;1)),"",IFERROR(IF(AND(AH!$P$21=1,384+1=AH!$P$11),TODAY(),IF(AH!$P$10=1,INDEX('Live History'!$A$5:$A$3004,AH!$P$13+384),INDEX('AH History'!$A$1:$A$18046,AH!$P$7+384))),""))</ns0:f>
        <ns0:v/>
      </ns0:c>
      <ns0:c r="B389" s="219">
        <ns0:f>IFERROR(IF(AND(AH!$P$9&lt;&gt;1,$C389&gt;0,$D389&gt;0,$E389&gt;0,$F389&gt;0,$G389&gt;0,$F389&lt;=$A389,$G389&lt;=$A389,$A389-$F389&lt;=10,$A389-$G389&lt;=5),$D389*$E389/$C389-1,NA()),NA())</ns0:f>
        <ns0:v/>
      </ns0:c>
      <ns0:c r="C389">
        <ns0:f>IFERROR(IF(ISNUMBER($A389),IF(AND(AH!$P$10=1,AH!$P$12=1,$A389=TODAY()),AH!$P$19,IF(AH!$P$10=1,INDEX('Live History'!$B$5:$B$3004,AH!$P$13+384),INDEX('AH History'!$B$1:$B$18046,AH!$P$7+384))),NA()),NA())</ns0:f>
        <ns0:v/>
      </ns0:c>
      <ns0:c r="D389">
        <ns0:f>IFERROR(IF(ISNUMBER($A389),IF(AND(AH!$P$10=1,AH!$P$12=1,$A389=TODAY()),AH!$P$18,IF(AH!$P$10=1,INDEX('Live History'!$E$5:$E$3004,MATCH($A389,'Live History'!$D$5:$D$3004,1)),INDEX('AH History'!$C$1:$C$18046,AH!$P$7+384))),NA()),NA())</ns0:f>
        <ns0:v/>
      </ns0:c>
      <ns0:c r="E389">
        <ns0:f>IFERROR(IF(ISNUMBER($A389),IF(AND(AH!$P$10=1,AH!$P$12=1,$A389=TODAY()),AH!$P$20,IF(AH!$P$10=1,INDEX('Live History'!$H$5:$H$3004,MATCH($A389,'Live History'!$G$5:$G$3004,1)),INDEX('AH History'!$D$1:$D$18046,AH!$P$7+384))),NA()),NA())</ns0:f>
        <ns0:v/>
      </ns0:c>
      <ns0:c r="F389">
        <ns0:f>IFERROR(IF(ISNUMBER($A389),IF(AND(AH!$P$10=1,AH!$P$12=1,$A389=TODAY()),IF(AND(AH!$P$10=1,AH!$P$12=1,$A389=TODAY()),TODAY(),NA()),IF(AH!$P$10=1,INDEX('Live History'!$D$5:$D$3004,MATCH($A389,'Live History'!$D$5:$D$3004,1)),INDEX('AH History'!$E$1:$E$18046,AH!$P$7+384))),NA()),NA())</ns0:f>
        <ns0:v/>
      </ns0:c>
      <ns0:c r="G389">
        <ns0:f>IFERROR(IF(ISNUMBER($A389),IF(AND(AH!$P$10=1,AH!$P$12=1,$A389=TODAY()),IF(AND(AH!$P$10=1,AH!$P$12=1,$A389=TODAY()),TODAY(),NA()),IF(AH!$P$10=1,INDEX('Live History'!$G$5:$G$3004,MATCH($A389,'Live History'!$G$5:$G$3004,1)),INDEX('AH History'!$F$1:$F$18046,AH!$P$7+384))),NA()),NA())</ns0:f>
        <ns0:v/>
      </ns0:c>
      <ns0:c r="H389">
        <ns0:f>IFERROR(IF(AND(AH!$E$4="Bloomberg",AH!$P$10=1,ISNUMBER($A389),$A389&lt;=AH!$P$17),AH!$P$7-1+MATCH($A389,INDEX('AH History'!$A$1:$A$18046,AH!$P$7):INDEX('AH History'!$A$1:$A$18046,AH!$P$7+AH!$P$8-1),0),0),0)</ns0:f>
        <ns0:v/>
      </ns0:c>
      <ns0:c r="I389">
        <ns0:f>IF($H389=0,0,IFERROR(IF(AND(ABS($C389-INDEX('AH History'!$B$1:$B$18046,$H389))&lt;=MAX(0.005,ABS(INDEX('AH History'!$B$1:$B$18046,$H389))*0.00005),ABS($D389-INDEX('AH History'!$C$1:$C$18046,$H389))&lt;=MAX(0.005,ABS(INDEX('AH History'!$C$1:$C$18046,$H389))*0.00005),ABS($E389-INDEX('AH History'!$D$1:$D$18046,$H389))&lt;=0.00005,$F389=INDEX('AH History'!$E$1:$E$18046,$H389),$G389=INDEX('AH History'!$F$1:$F$18046,$H389)),1,-1),-1))</ns0:f>
        <ns0:v/>
      </ns0:c>
    </ns0:row>
    <ns0:row r="390">
      <ns0:c r="A390" s="215">
        <ns0:f>IF(OR(AH!$P$3=0,385+1&gt;AH!$P$11,AND(AH!$E$4&lt;&gt;"Stored",AH!$P$10&lt;&gt;1)),"",IFERROR(IF(AND(AH!$P$21=1,385+1=AH!$P$11),TODAY(),IF(AH!$P$10=1,INDEX('Live History'!$A$5:$A$3004,AH!$P$13+385),INDEX('AH History'!$A$1:$A$18046,AH!$P$7+385))),""))</ns0:f>
        <ns0:v/>
      </ns0:c>
      <ns0:c r="B390" s="219">
        <ns0:f>IFERROR(IF(AND(AH!$P$9&lt;&gt;1,$C390&gt;0,$D390&gt;0,$E390&gt;0,$F390&gt;0,$G390&gt;0,$F390&lt;=$A390,$G390&lt;=$A390,$A390-$F390&lt;=10,$A390-$G390&lt;=5),$D390*$E390/$C390-1,NA()),NA())</ns0:f>
        <ns0:v/>
      </ns0:c>
      <ns0:c r="C390">
        <ns0:f>IFERROR(IF(ISNUMBER($A390),IF(AND(AH!$P$10=1,AH!$P$12=1,$A390=TODAY()),AH!$P$19,IF(AH!$P$10=1,INDEX('Live History'!$B$5:$B$3004,AH!$P$13+385),INDEX('AH History'!$B$1:$B$18046,AH!$P$7+385))),NA()),NA())</ns0:f>
        <ns0:v/>
      </ns0:c>
      <ns0:c r="D390">
        <ns0:f>IFERROR(IF(ISNUMBER($A390),IF(AND(AH!$P$10=1,AH!$P$12=1,$A390=TODAY()),AH!$P$18,IF(AH!$P$10=1,INDEX('Live History'!$E$5:$E$3004,MATCH($A390,'Live History'!$D$5:$D$3004,1)),INDEX('AH History'!$C$1:$C$18046,AH!$P$7+385))),NA()),NA())</ns0:f>
        <ns0:v/>
      </ns0:c>
      <ns0:c r="E390">
        <ns0:f>IFERROR(IF(ISNUMBER($A390),IF(AND(AH!$P$10=1,AH!$P$12=1,$A390=TODAY()),AH!$P$20,IF(AH!$P$10=1,INDEX('Live History'!$H$5:$H$3004,MATCH($A390,'Live History'!$G$5:$G$3004,1)),INDEX('AH History'!$D$1:$D$18046,AH!$P$7+385))),NA()),NA())</ns0:f>
        <ns0:v/>
      </ns0:c>
      <ns0:c r="F390">
        <ns0:f>IFERROR(IF(ISNUMBER($A390),IF(AND(AH!$P$10=1,AH!$P$12=1,$A390=TODAY()),IF(AND(AH!$P$10=1,AH!$P$12=1,$A390=TODAY()),TODAY(),NA()),IF(AH!$P$10=1,INDEX('Live History'!$D$5:$D$3004,MATCH($A390,'Live History'!$D$5:$D$3004,1)),INDEX('AH History'!$E$1:$E$18046,AH!$P$7+385))),NA()),NA())</ns0:f>
        <ns0:v/>
      </ns0:c>
      <ns0:c r="G390">
        <ns0:f>IFERROR(IF(ISNUMBER($A390),IF(AND(AH!$P$10=1,AH!$P$12=1,$A390=TODAY()),IF(AND(AH!$P$10=1,AH!$P$12=1,$A390=TODAY()),TODAY(),NA()),IF(AH!$P$10=1,INDEX('Live History'!$G$5:$G$3004,MATCH($A390,'Live History'!$G$5:$G$3004,1)),INDEX('AH History'!$F$1:$F$18046,AH!$P$7+385))),NA()),NA())</ns0:f>
        <ns0:v/>
      </ns0:c>
      <ns0:c r="H390">
        <ns0:f>IFERROR(IF(AND(AH!$E$4="Bloomberg",AH!$P$10=1,ISNUMBER($A390),$A390&lt;=AH!$P$17),AH!$P$7-1+MATCH($A390,INDEX('AH History'!$A$1:$A$18046,AH!$P$7):INDEX('AH History'!$A$1:$A$18046,AH!$P$7+AH!$P$8-1),0),0),0)</ns0:f>
        <ns0:v/>
      </ns0:c>
      <ns0:c r="I390">
        <ns0:f>IF($H390=0,0,IFERROR(IF(AND(ABS($C390-INDEX('AH History'!$B$1:$B$18046,$H390))&lt;=MAX(0.005,ABS(INDEX('AH History'!$B$1:$B$18046,$H390))*0.00005),ABS($D390-INDEX('AH History'!$C$1:$C$18046,$H390))&lt;=MAX(0.005,ABS(INDEX('AH History'!$C$1:$C$18046,$H390))*0.00005),ABS($E390-INDEX('AH History'!$D$1:$D$18046,$H390))&lt;=0.00005,$F390=INDEX('AH History'!$E$1:$E$18046,$H390),$G390=INDEX('AH History'!$F$1:$F$18046,$H390)),1,-1),-1))</ns0:f>
        <ns0:v/>
      </ns0:c>
    </ns0:row>
    <ns0:row r="391">
      <ns0:c r="A391" s="215">
        <ns0:f>IF(OR(AH!$P$3=0,386+1&gt;AH!$P$11,AND(AH!$E$4&lt;&gt;"Stored",AH!$P$10&lt;&gt;1)),"",IFERROR(IF(AND(AH!$P$21=1,386+1=AH!$P$11),TODAY(),IF(AH!$P$10=1,INDEX('Live History'!$A$5:$A$3004,AH!$P$13+386),INDEX('AH History'!$A$1:$A$18046,AH!$P$7+386))),""))</ns0:f>
        <ns0:v/>
      </ns0:c>
      <ns0:c r="B391" s="219">
        <ns0:f>IFERROR(IF(AND(AH!$P$9&lt;&gt;1,$C391&gt;0,$D391&gt;0,$E391&gt;0,$F391&gt;0,$G391&gt;0,$F391&lt;=$A391,$G391&lt;=$A391,$A391-$F391&lt;=10,$A391-$G391&lt;=5),$D391*$E391/$C391-1,NA()),NA())</ns0:f>
        <ns0:v/>
      </ns0:c>
      <ns0:c r="C391">
        <ns0:f>IFERROR(IF(ISNUMBER($A391),IF(AND(AH!$P$10=1,AH!$P$12=1,$A391=TODAY()),AH!$P$19,IF(AH!$P$10=1,INDEX('Live History'!$B$5:$B$3004,AH!$P$13+386),INDEX('AH History'!$B$1:$B$18046,AH!$P$7+386))),NA()),NA())</ns0:f>
        <ns0:v/>
      </ns0:c>
      <ns0:c r="D391">
        <ns0:f>IFERROR(IF(ISNUMBER($A391),IF(AND(AH!$P$10=1,AH!$P$12=1,$A391=TODAY()),AH!$P$18,IF(AH!$P$10=1,INDEX('Live History'!$E$5:$E$3004,MATCH($A391,'Live History'!$D$5:$D$3004,1)),INDEX('AH History'!$C$1:$C$18046,AH!$P$7+386))),NA()),NA())</ns0:f>
        <ns0:v/>
      </ns0:c>
      <ns0:c r="E391">
        <ns0:f>IFERROR(IF(ISNUMBER($A391),IF(AND(AH!$P$10=1,AH!$P$12=1,$A391=TODAY()),AH!$P$20,IF(AH!$P$10=1,INDEX('Live History'!$H$5:$H$3004,MATCH($A391,'Live History'!$G$5:$G$3004,1)),INDEX('AH History'!$D$1:$D$18046,AH!$P$7+386))),NA()),NA())</ns0:f>
        <ns0:v/>
      </ns0:c>
      <ns0:c r="F391">
        <ns0:f>IFERROR(IF(ISNUMBER($A391),IF(AND(AH!$P$10=1,AH!$P$12=1,$A391=TODAY()),IF(AND(AH!$P$10=1,AH!$P$12=1,$A391=TODAY()),TODAY(),NA()),IF(AH!$P$10=1,INDEX('Live History'!$D$5:$D$3004,MATCH($A391,'Live History'!$D$5:$D$3004,1)),INDEX('AH History'!$E$1:$E$18046,AH!$P$7+386))),NA()),NA())</ns0:f>
        <ns0:v/>
      </ns0:c>
      <ns0:c r="G391">
        <ns0:f>IFERROR(IF(ISNUMBER($A391),IF(AND(AH!$P$10=1,AH!$P$12=1,$A391=TODAY()),IF(AND(AH!$P$10=1,AH!$P$12=1,$A391=TODAY()),TODAY(),NA()),IF(AH!$P$10=1,INDEX('Live History'!$G$5:$G$3004,MATCH($A391,'Live History'!$G$5:$G$3004,1)),INDEX('AH History'!$F$1:$F$18046,AH!$P$7+386))),NA()),NA())</ns0:f>
        <ns0:v/>
      </ns0:c>
      <ns0:c r="H391">
        <ns0:f>IFERROR(IF(AND(AH!$E$4="Bloomberg",AH!$P$10=1,ISNUMBER($A391),$A391&lt;=AH!$P$17),AH!$P$7-1+MATCH($A391,INDEX('AH History'!$A$1:$A$18046,AH!$P$7):INDEX('AH History'!$A$1:$A$18046,AH!$P$7+AH!$P$8-1),0),0),0)</ns0:f>
        <ns0:v/>
      </ns0:c>
      <ns0:c r="I391">
        <ns0:f>IF($H391=0,0,IFERROR(IF(AND(ABS($C391-INDEX('AH History'!$B$1:$B$18046,$H391))&lt;=MAX(0.005,ABS(INDEX('AH History'!$B$1:$B$18046,$H391))*0.00005),ABS($D391-INDEX('AH History'!$C$1:$C$18046,$H391))&lt;=MAX(0.005,ABS(INDEX('AH History'!$C$1:$C$18046,$H391))*0.00005),ABS($E391-INDEX('AH History'!$D$1:$D$18046,$H391))&lt;=0.00005,$F391=INDEX('AH History'!$E$1:$E$18046,$H391),$G391=INDEX('AH History'!$F$1:$F$18046,$H391)),1,-1),-1))</ns0:f>
        <ns0:v/>
      </ns0:c>
    </ns0:row>
    <ns0:row r="392">
      <ns0:c r="A392" s="215">
        <ns0:f>IF(OR(AH!$P$3=0,387+1&gt;AH!$P$11,AND(AH!$E$4&lt;&gt;"Stored",AH!$P$10&lt;&gt;1)),"",IFERROR(IF(AND(AH!$P$21=1,387+1=AH!$P$11),TODAY(),IF(AH!$P$10=1,INDEX('Live History'!$A$5:$A$3004,AH!$P$13+387),INDEX('AH History'!$A$1:$A$18046,AH!$P$7+387))),""))</ns0:f>
        <ns0:v/>
      </ns0:c>
      <ns0:c r="B392" s="219">
        <ns0:f>IFERROR(IF(AND(AH!$P$9&lt;&gt;1,$C392&gt;0,$D392&gt;0,$E392&gt;0,$F392&gt;0,$G392&gt;0,$F392&lt;=$A392,$G392&lt;=$A392,$A392-$F392&lt;=10,$A392-$G392&lt;=5),$D392*$E392/$C392-1,NA()),NA())</ns0:f>
        <ns0:v/>
      </ns0:c>
      <ns0:c r="C392">
        <ns0:f>IFERROR(IF(ISNUMBER($A392),IF(AND(AH!$P$10=1,AH!$P$12=1,$A392=TODAY()),AH!$P$19,IF(AH!$P$10=1,INDEX('Live History'!$B$5:$B$3004,AH!$P$13+387),INDEX('AH History'!$B$1:$B$18046,AH!$P$7+387))),NA()),NA())</ns0:f>
        <ns0:v/>
      </ns0:c>
      <ns0:c r="D392">
        <ns0:f>IFERROR(IF(ISNUMBER($A392),IF(AND(AH!$P$10=1,AH!$P$12=1,$A392=TODAY()),AH!$P$18,IF(AH!$P$10=1,INDEX('Live History'!$E$5:$E$3004,MATCH($A392,'Live History'!$D$5:$D$3004,1)),INDEX('AH History'!$C$1:$C$18046,AH!$P$7+387))),NA()),NA())</ns0:f>
        <ns0:v/>
      </ns0:c>
      <ns0:c r="E392">
        <ns0:f>IFERROR(IF(ISNUMBER($A392),IF(AND(AH!$P$10=1,AH!$P$12=1,$A392=TODAY()),AH!$P$20,IF(AH!$P$10=1,INDEX('Live History'!$H$5:$H$3004,MATCH($A392,'Live History'!$G$5:$G$3004,1)),INDEX('AH History'!$D$1:$D$18046,AH!$P$7+387))),NA()),NA())</ns0:f>
        <ns0:v/>
      </ns0:c>
      <ns0:c r="F392">
        <ns0:f>IFERROR(IF(ISNUMBER($A392),IF(AND(AH!$P$10=1,AH!$P$12=1,$A392=TODAY()),IF(AND(AH!$P$10=1,AH!$P$12=1,$A392=TODAY()),TODAY(),NA()),IF(AH!$P$10=1,INDEX('Live History'!$D$5:$D$3004,MATCH($A392,'Live History'!$D$5:$D$3004,1)),INDEX('AH History'!$E$1:$E$18046,AH!$P$7+387))),NA()),NA())</ns0:f>
        <ns0:v/>
      </ns0:c>
      <ns0:c r="G392">
        <ns0:f>IFERROR(IF(ISNUMBER($A392),IF(AND(AH!$P$10=1,AH!$P$12=1,$A392=TODAY()),IF(AND(AH!$P$10=1,AH!$P$12=1,$A392=TODAY()),TODAY(),NA()),IF(AH!$P$10=1,INDEX('Live History'!$G$5:$G$3004,MATCH($A392,'Live History'!$G$5:$G$3004,1)),INDEX('AH History'!$F$1:$F$18046,AH!$P$7+387))),NA()),NA())</ns0:f>
        <ns0:v/>
      </ns0:c>
      <ns0:c r="H392">
        <ns0:f>IFERROR(IF(AND(AH!$E$4="Bloomberg",AH!$P$10=1,ISNUMBER($A392),$A392&lt;=AH!$P$17),AH!$P$7-1+MATCH($A392,INDEX('AH History'!$A$1:$A$18046,AH!$P$7):INDEX('AH History'!$A$1:$A$18046,AH!$P$7+AH!$P$8-1),0),0),0)</ns0:f>
        <ns0:v/>
      </ns0:c>
      <ns0:c r="I392">
        <ns0:f>IF($H392=0,0,IFERROR(IF(AND(ABS($C392-INDEX('AH History'!$B$1:$B$18046,$H392))&lt;=MAX(0.005,ABS(INDEX('AH History'!$B$1:$B$18046,$H392))*0.00005),ABS($D392-INDEX('AH History'!$C$1:$C$18046,$H392))&lt;=MAX(0.005,ABS(INDEX('AH History'!$C$1:$C$18046,$H392))*0.00005),ABS($E392-INDEX('AH History'!$D$1:$D$18046,$H392))&lt;=0.00005,$F392=INDEX('AH History'!$E$1:$E$18046,$H392),$G392=INDEX('AH History'!$F$1:$F$18046,$H392)),1,-1),-1))</ns0:f>
        <ns0:v/>
      </ns0:c>
    </ns0:row>
    <ns0:row r="393">
      <ns0:c r="A393" s="215">
        <ns0:f>IF(OR(AH!$P$3=0,388+1&gt;AH!$P$11,AND(AH!$E$4&lt;&gt;"Stored",AH!$P$10&lt;&gt;1)),"",IFERROR(IF(AND(AH!$P$21=1,388+1=AH!$P$11),TODAY(),IF(AH!$P$10=1,INDEX('Live History'!$A$5:$A$3004,AH!$P$13+388),INDEX('AH History'!$A$1:$A$18046,AH!$P$7+388))),""))</ns0:f>
        <ns0:v/>
      </ns0:c>
      <ns0:c r="B393" s="219">
        <ns0:f>IFERROR(IF(AND(AH!$P$9&lt;&gt;1,$C393&gt;0,$D393&gt;0,$E393&gt;0,$F393&gt;0,$G393&gt;0,$F393&lt;=$A393,$G393&lt;=$A393,$A393-$F393&lt;=10,$A393-$G393&lt;=5),$D393*$E393/$C393-1,NA()),NA())</ns0:f>
        <ns0:v/>
      </ns0:c>
      <ns0:c r="C393">
        <ns0:f>IFERROR(IF(ISNUMBER($A393),IF(AND(AH!$P$10=1,AH!$P$12=1,$A393=TODAY()),AH!$P$19,IF(AH!$P$10=1,INDEX('Live History'!$B$5:$B$3004,AH!$P$13+388),INDEX('AH History'!$B$1:$B$18046,AH!$P$7+388))),NA()),NA())</ns0:f>
        <ns0:v/>
      </ns0:c>
      <ns0:c r="D393">
        <ns0:f>IFERROR(IF(ISNUMBER($A393),IF(AND(AH!$P$10=1,AH!$P$12=1,$A393=TODAY()),AH!$P$18,IF(AH!$P$10=1,INDEX('Live History'!$E$5:$E$3004,MATCH($A393,'Live History'!$D$5:$D$3004,1)),INDEX('AH History'!$C$1:$C$18046,AH!$P$7+388))),NA()),NA())</ns0:f>
        <ns0:v/>
      </ns0:c>
      <ns0:c r="E393">
        <ns0:f>IFERROR(IF(ISNUMBER($A393),IF(AND(AH!$P$10=1,AH!$P$12=1,$A393=TODAY()),AH!$P$20,IF(AH!$P$10=1,INDEX('Live History'!$H$5:$H$3004,MATCH($A393,'Live History'!$G$5:$G$3004,1)),INDEX('AH History'!$D$1:$D$18046,AH!$P$7+388))),NA()),NA())</ns0:f>
        <ns0:v/>
      </ns0:c>
      <ns0:c r="F393">
        <ns0:f>IFERROR(IF(ISNUMBER($A393),IF(AND(AH!$P$10=1,AH!$P$12=1,$A393=TODAY()),IF(AND(AH!$P$10=1,AH!$P$12=1,$A393=TODAY()),TODAY(),NA()),IF(AH!$P$10=1,INDEX('Live History'!$D$5:$D$3004,MATCH($A393,'Live History'!$D$5:$D$3004,1)),INDEX('AH History'!$E$1:$E$18046,AH!$P$7+388))),NA()),NA())</ns0:f>
        <ns0:v/>
      </ns0:c>
      <ns0:c r="G393">
        <ns0:f>IFERROR(IF(ISNUMBER($A393),IF(AND(AH!$P$10=1,AH!$P$12=1,$A393=TODAY()),IF(AND(AH!$P$10=1,AH!$P$12=1,$A393=TODAY()),TODAY(),NA()),IF(AH!$P$10=1,INDEX('Live History'!$G$5:$G$3004,MATCH($A393,'Live History'!$G$5:$G$3004,1)),INDEX('AH History'!$F$1:$F$18046,AH!$P$7+388))),NA()),NA())</ns0:f>
        <ns0:v/>
      </ns0:c>
      <ns0:c r="H393">
        <ns0:f>IFERROR(IF(AND(AH!$E$4="Bloomberg",AH!$P$10=1,ISNUMBER($A393),$A393&lt;=AH!$P$17),AH!$P$7-1+MATCH($A393,INDEX('AH History'!$A$1:$A$18046,AH!$P$7):INDEX('AH History'!$A$1:$A$18046,AH!$P$7+AH!$P$8-1),0),0),0)</ns0:f>
        <ns0:v/>
      </ns0:c>
      <ns0:c r="I393">
        <ns0:f>IF($H393=0,0,IFERROR(IF(AND(ABS($C393-INDEX('AH History'!$B$1:$B$18046,$H393))&lt;=MAX(0.005,ABS(INDEX('AH History'!$B$1:$B$18046,$H393))*0.00005),ABS($D393-INDEX('AH History'!$C$1:$C$18046,$H393))&lt;=MAX(0.005,ABS(INDEX('AH History'!$C$1:$C$18046,$H393))*0.00005),ABS($E393-INDEX('AH History'!$D$1:$D$18046,$H393))&lt;=0.00005,$F393=INDEX('AH History'!$E$1:$E$18046,$H393),$G393=INDEX('AH History'!$F$1:$F$18046,$H393)),1,-1),-1))</ns0:f>
        <ns0:v/>
      </ns0:c>
    </ns0:row>
    <ns0:row r="394">
      <ns0:c r="A394" s="215">
        <ns0:f>IF(OR(AH!$P$3=0,389+1&gt;AH!$P$11,AND(AH!$E$4&lt;&gt;"Stored",AH!$P$10&lt;&gt;1)),"",IFERROR(IF(AND(AH!$P$21=1,389+1=AH!$P$11),TODAY(),IF(AH!$P$10=1,INDEX('Live History'!$A$5:$A$3004,AH!$P$13+389),INDEX('AH History'!$A$1:$A$18046,AH!$P$7+389))),""))</ns0:f>
        <ns0:v/>
      </ns0:c>
      <ns0:c r="B394" s="219">
        <ns0:f>IFERROR(IF(AND(AH!$P$9&lt;&gt;1,$C394&gt;0,$D394&gt;0,$E394&gt;0,$F394&gt;0,$G394&gt;0,$F394&lt;=$A394,$G394&lt;=$A394,$A394-$F394&lt;=10,$A394-$G394&lt;=5),$D394*$E394/$C394-1,NA()),NA())</ns0:f>
        <ns0:v/>
      </ns0:c>
      <ns0:c r="C394">
        <ns0:f>IFERROR(IF(ISNUMBER($A394),IF(AND(AH!$P$10=1,AH!$P$12=1,$A394=TODAY()),AH!$P$19,IF(AH!$P$10=1,INDEX('Live History'!$B$5:$B$3004,AH!$P$13+389),INDEX('AH History'!$B$1:$B$18046,AH!$P$7+389))),NA()),NA())</ns0:f>
        <ns0:v/>
      </ns0:c>
      <ns0:c r="D394">
        <ns0:f>IFERROR(IF(ISNUMBER($A394),IF(AND(AH!$P$10=1,AH!$P$12=1,$A394=TODAY()),AH!$P$18,IF(AH!$P$10=1,INDEX('Live History'!$E$5:$E$3004,MATCH($A394,'Live History'!$D$5:$D$3004,1)),INDEX('AH History'!$C$1:$C$18046,AH!$P$7+389))),NA()),NA())</ns0:f>
        <ns0:v/>
      </ns0:c>
      <ns0:c r="E394">
        <ns0:f>IFERROR(IF(ISNUMBER($A394),IF(AND(AH!$P$10=1,AH!$P$12=1,$A394=TODAY()),AH!$P$20,IF(AH!$P$10=1,INDEX('Live History'!$H$5:$H$3004,MATCH($A394,'Live History'!$G$5:$G$3004,1)),INDEX('AH History'!$D$1:$D$18046,AH!$P$7+389))),NA()),NA())</ns0:f>
        <ns0:v/>
      </ns0:c>
      <ns0:c r="F394">
        <ns0:f>IFERROR(IF(ISNUMBER($A394),IF(AND(AH!$P$10=1,AH!$P$12=1,$A394=TODAY()),IF(AND(AH!$P$10=1,AH!$P$12=1,$A394=TODAY()),TODAY(),NA()),IF(AH!$P$10=1,INDEX('Live History'!$D$5:$D$3004,MATCH($A394,'Live History'!$D$5:$D$3004,1)),INDEX('AH History'!$E$1:$E$18046,AH!$P$7+389))),NA()),NA())</ns0:f>
        <ns0:v/>
      </ns0:c>
      <ns0:c r="G394">
        <ns0:f>IFERROR(IF(ISNUMBER($A394),IF(AND(AH!$P$10=1,AH!$P$12=1,$A394=TODAY()),IF(AND(AH!$P$10=1,AH!$P$12=1,$A394=TODAY()),TODAY(),NA()),IF(AH!$P$10=1,INDEX('Live History'!$G$5:$G$3004,MATCH($A394,'Live History'!$G$5:$G$3004,1)),INDEX('AH History'!$F$1:$F$18046,AH!$P$7+389))),NA()),NA())</ns0:f>
        <ns0:v/>
      </ns0:c>
      <ns0:c r="H394">
        <ns0:f>IFERROR(IF(AND(AH!$E$4="Bloomberg",AH!$P$10=1,ISNUMBER($A394),$A394&lt;=AH!$P$17),AH!$P$7-1+MATCH($A394,INDEX('AH History'!$A$1:$A$18046,AH!$P$7):INDEX('AH History'!$A$1:$A$18046,AH!$P$7+AH!$P$8-1),0),0),0)</ns0:f>
        <ns0:v/>
      </ns0:c>
      <ns0:c r="I394">
        <ns0:f>IF($H394=0,0,IFERROR(IF(AND(ABS($C394-INDEX('AH History'!$B$1:$B$18046,$H394))&lt;=MAX(0.005,ABS(INDEX('AH History'!$B$1:$B$18046,$H394))*0.00005),ABS($D394-INDEX('AH History'!$C$1:$C$18046,$H394))&lt;=MAX(0.005,ABS(INDEX('AH History'!$C$1:$C$18046,$H394))*0.00005),ABS($E394-INDEX('AH History'!$D$1:$D$18046,$H394))&lt;=0.00005,$F394=INDEX('AH History'!$E$1:$E$18046,$H394),$G394=INDEX('AH History'!$F$1:$F$18046,$H394)),1,-1),-1))</ns0:f>
        <ns0:v/>
      </ns0:c>
    </ns0:row>
    <ns0:row r="395">
      <ns0:c r="A395" s="215">
        <ns0:f>IF(OR(AH!$P$3=0,390+1&gt;AH!$P$11,AND(AH!$E$4&lt;&gt;"Stored",AH!$P$10&lt;&gt;1)),"",IFERROR(IF(AND(AH!$P$21=1,390+1=AH!$P$11),TODAY(),IF(AH!$P$10=1,INDEX('Live History'!$A$5:$A$3004,AH!$P$13+390),INDEX('AH History'!$A$1:$A$18046,AH!$P$7+390))),""))</ns0:f>
        <ns0:v/>
      </ns0:c>
      <ns0:c r="B395" s="219">
        <ns0:f>IFERROR(IF(AND(AH!$P$9&lt;&gt;1,$C395&gt;0,$D395&gt;0,$E395&gt;0,$F395&gt;0,$G395&gt;0,$F395&lt;=$A395,$G395&lt;=$A395,$A395-$F395&lt;=10,$A395-$G395&lt;=5),$D395*$E395/$C395-1,NA()),NA())</ns0:f>
        <ns0:v/>
      </ns0:c>
      <ns0:c r="C395">
        <ns0:f>IFERROR(IF(ISNUMBER($A395),IF(AND(AH!$P$10=1,AH!$P$12=1,$A395=TODAY()),AH!$P$19,IF(AH!$P$10=1,INDEX('Live History'!$B$5:$B$3004,AH!$P$13+390),INDEX('AH History'!$B$1:$B$18046,AH!$P$7+390))),NA()),NA())</ns0:f>
        <ns0:v/>
      </ns0:c>
      <ns0:c r="D395">
        <ns0:f>IFERROR(IF(ISNUMBER($A395),IF(AND(AH!$P$10=1,AH!$P$12=1,$A395=TODAY()),AH!$P$18,IF(AH!$P$10=1,INDEX('Live History'!$E$5:$E$3004,MATCH($A395,'Live History'!$D$5:$D$3004,1)),INDEX('AH History'!$C$1:$C$18046,AH!$P$7+390))),NA()),NA())</ns0:f>
        <ns0:v/>
      </ns0:c>
      <ns0:c r="E395">
        <ns0:f>IFERROR(IF(ISNUMBER($A395),IF(AND(AH!$P$10=1,AH!$P$12=1,$A395=TODAY()),AH!$P$20,IF(AH!$P$10=1,INDEX('Live History'!$H$5:$H$3004,MATCH($A395,'Live History'!$G$5:$G$3004,1)),INDEX('AH History'!$D$1:$D$18046,AH!$P$7+390))),NA()),NA())</ns0:f>
        <ns0:v/>
      </ns0:c>
      <ns0:c r="F395">
        <ns0:f>IFERROR(IF(ISNUMBER($A395),IF(AND(AH!$P$10=1,AH!$P$12=1,$A395=TODAY()),IF(AND(AH!$P$10=1,AH!$P$12=1,$A395=TODAY()),TODAY(),NA()),IF(AH!$P$10=1,INDEX('Live History'!$D$5:$D$3004,MATCH($A395,'Live History'!$D$5:$D$3004,1)),INDEX('AH History'!$E$1:$E$18046,AH!$P$7+390))),NA()),NA())</ns0:f>
        <ns0:v/>
      </ns0:c>
      <ns0:c r="G395">
        <ns0:f>IFERROR(IF(ISNUMBER($A395),IF(AND(AH!$P$10=1,AH!$P$12=1,$A395=TODAY()),IF(AND(AH!$P$10=1,AH!$P$12=1,$A395=TODAY()),TODAY(),NA()),IF(AH!$P$10=1,INDEX('Live History'!$G$5:$G$3004,MATCH($A395,'Live History'!$G$5:$G$3004,1)),INDEX('AH History'!$F$1:$F$18046,AH!$P$7+390))),NA()),NA())</ns0:f>
        <ns0:v/>
      </ns0:c>
      <ns0:c r="H395">
        <ns0:f>IFERROR(IF(AND(AH!$E$4="Bloomberg",AH!$P$10=1,ISNUMBER($A395),$A395&lt;=AH!$P$17),AH!$P$7-1+MATCH($A395,INDEX('AH History'!$A$1:$A$18046,AH!$P$7):INDEX('AH History'!$A$1:$A$18046,AH!$P$7+AH!$P$8-1),0),0),0)</ns0:f>
        <ns0:v/>
      </ns0:c>
      <ns0:c r="I395">
        <ns0:f>IF($H395=0,0,IFERROR(IF(AND(ABS($C395-INDEX('AH History'!$B$1:$B$18046,$H395))&lt;=MAX(0.005,ABS(INDEX('AH History'!$B$1:$B$18046,$H395))*0.00005),ABS($D395-INDEX('AH History'!$C$1:$C$18046,$H395))&lt;=MAX(0.005,ABS(INDEX('AH History'!$C$1:$C$18046,$H395))*0.00005),ABS($E395-INDEX('AH History'!$D$1:$D$18046,$H395))&lt;=0.00005,$F395=INDEX('AH History'!$E$1:$E$18046,$H395),$G395=INDEX('AH History'!$F$1:$F$18046,$H395)),1,-1),-1))</ns0:f>
        <ns0:v/>
      </ns0:c>
    </ns0:row>
    <ns0:row r="396">
      <ns0:c r="A396" s="215">
        <ns0:f>IF(OR(AH!$P$3=0,391+1&gt;AH!$P$11,AND(AH!$E$4&lt;&gt;"Stored",AH!$P$10&lt;&gt;1)),"",IFERROR(IF(AND(AH!$P$21=1,391+1=AH!$P$11),TODAY(),IF(AH!$P$10=1,INDEX('Live History'!$A$5:$A$3004,AH!$P$13+391),INDEX('AH History'!$A$1:$A$18046,AH!$P$7+391))),""))</ns0:f>
        <ns0:v/>
      </ns0:c>
      <ns0:c r="B396" s="219">
        <ns0:f>IFERROR(IF(AND(AH!$P$9&lt;&gt;1,$C396&gt;0,$D396&gt;0,$E396&gt;0,$F396&gt;0,$G396&gt;0,$F396&lt;=$A396,$G396&lt;=$A396,$A396-$F396&lt;=10,$A396-$G396&lt;=5),$D396*$E396/$C396-1,NA()),NA())</ns0:f>
        <ns0:v/>
      </ns0:c>
      <ns0:c r="C396">
        <ns0:f>IFERROR(IF(ISNUMBER($A396),IF(AND(AH!$P$10=1,AH!$P$12=1,$A396=TODAY()),AH!$P$19,IF(AH!$P$10=1,INDEX('Live History'!$B$5:$B$3004,AH!$P$13+391),INDEX('AH History'!$B$1:$B$18046,AH!$P$7+391))),NA()),NA())</ns0:f>
        <ns0:v/>
      </ns0:c>
      <ns0:c r="D396">
        <ns0:f>IFERROR(IF(ISNUMBER($A396),IF(AND(AH!$P$10=1,AH!$P$12=1,$A396=TODAY()),AH!$P$18,IF(AH!$P$10=1,INDEX('Live History'!$E$5:$E$3004,MATCH($A396,'Live History'!$D$5:$D$3004,1)),INDEX('AH History'!$C$1:$C$18046,AH!$P$7+391))),NA()),NA())</ns0:f>
        <ns0:v/>
      </ns0:c>
      <ns0:c r="E396">
        <ns0:f>IFERROR(IF(ISNUMBER($A396),IF(AND(AH!$P$10=1,AH!$P$12=1,$A396=TODAY()),AH!$P$20,IF(AH!$P$10=1,INDEX('Live History'!$H$5:$H$3004,MATCH($A396,'Live History'!$G$5:$G$3004,1)),INDEX('AH History'!$D$1:$D$18046,AH!$P$7+391))),NA()),NA())</ns0:f>
        <ns0:v/>
      </ns0:c>
      <ns0:c r="F396">
        <ns0:f>IFERROR(IF(ISNUMBER($A396),IF(AND(AH!$P$10=1,AH!$P$12=1,$A396=TODAY()),IF(AND(AH!$P$10=1,AH!$P$12=1,$A396=TODAY()),TODAY(),NA()),IF(AH!$P$10=1,INDEX('Live History'!$D$5:$D$3004,MATCH($A396,'Live History'!$D$5:$D$3004,1)),INDEX('AH History'!$E$1:$E$18046,AH!$P$7+391))),NA()),NA())</ns0:f>
        <ns0:v/>
      </ns0:c>
      <ns0:c r="G396">
        <ns0:f>IFERROR(IF(ISNUMBER($A396),IF(AND(AH!$P$10=1,AH!$P$12=1,$A396=TODAY()),IF(AND(AH!$P$10=1,AH!$P$12=1,$A396=TODAY()),TODAY(),NA()),IF(AH!$P$10=1,INDEX('Live History'!$G$5:$G$3004,MATCH($A396,'Live History'!$G$5:$G$3004,1)),INDEX('AH History'!$F$1:$F$18046,AH!$P$7+391))),NA()),NA())</ns0:f>
        <ns0:v/>
      </ns0:c>
      <ns0:c r="H396">
        <ns0:f>IFERROR(IF(AND(AH!$E$4="Bloomberg",AH!$P$10=1,ISNUMBER($A396),$A396&lt;=AH!$P$17),AH!$P$7-1+MATCH($A396,INDEX('AH History'!$A$1:$A$18046,AH!$P$7):INDEX('AH History'!$A$1:$A$18046,AH!$P$7+AH!$P$8-1),0),0),0)</ns0:f>
        <ns0:v/>
      </ns0:c>
      <ns0:c r="I396">
        <ns0:f>IF($H396=0,0,IFERROR(IF(AND(ABS($C396-INDEX('AH History'!$B$1:$B$18046,$H396))&lt;=MAX(0.005,ABS(INDEX('AH History'!$B$1:$B$18046,$H396))*0.00005),ABS($D396-INDEX('AH History'!$C$1:$C$18046,$H396))&lt;=MAX(0.005,ABS(INDEX('AH History'!$C$1:$C$18046,$H396))*0.00005),ABS($E396-INDEX('AH History'!$D$1:$D$18046,$H396))&lt;=0.00005,$F396=INDEX('AH History'!$E$1:$E$18046,$H396),$G396=INDEX('AH History'!$F$1:$F$18046,$H396)),1,-1),-1))</ns0:f>
        <ns0:v/>
      </ns0:c>
    </ns0:row>
    <ns0:row r="397">
      <ns0:c r="A397" s="215">
        <ns0:f>IF(OR(AH!$P$3=0,392+1&gt;AH!$P$11,AND(AH!$E$4&lt;&gt;"Stored",AH!$P$10&lt;&gt;1)),"",IFERROR(IF(AND(AH!$P$21=1,392+1=AH!$P$11),TODAY(),IF(AH!$P$10=1,INDEX('Live History'!$A$5:$A$3004,AH!$P$13+392),INDEX('AH History'!$A$1:$A$18046,AH!$P$7+392))),""))</ns0:f>
        <ns0:v/>
      </ns0:c>
      <ns0:c r="B397" s="219">
        <ns0:f>IFERROR(IF(AND(AH!$P$9&lt;&gt;1,$C397&gt;0,$D397&gt;0,$E397&gt;0,$F397&gt;0,$G397&gt;0,$F397&lt;=$A397,$G397&lt;=$A397,$A397-$F397&lt;=10,$A397-$G397&lt;=5),$D397*$E397/$C397-1,NA()),NA())</ns0:f>
        <ns0:v/>
      </ns0:c>
      <ns0:c r="C397">
        <ns0:f>IFERROR(IF(ISNUMBER($A397),IF(AND(AH!$P$10=1,AH!$P$12=1,$A397=TODAY()),AH!$P$19,IF(AH!$P$10=1,INDEX('Live History'!$B$5:$B$3004,AH!$P$13+392),INDEX('AH History'!$B$1:$B$18046,AH!$P$7+392))),NA()),NA())</ns0:f>
        <ns0:v/>
      </ns0:c>
      <ns0:c r="D397">
        <ns0:f>IFERROR(IF(ISNUMBER($A397),IF(AND(AH!$P$10=1,AH!$P$12=1,$A397=TODAY()),AH!$P$18,IF(AH!$P$10=1,INDEX('Live History'!$E$5:$E$3004,MATCH($A397,'Live History'!$D$5:$D$3004,1)),INDEX('AH History'!$C$1:$C$18046,AH!$P$7+392))),NA()),NA())</ns0:f>
        <ns0:v/>
      </ns0:c>
      <ns0:c r="E397">
        <ns0:f>IFERROR(IF(ISNUMBER($A397),IF(AND(AH!$P$10=1,AH!$P$12=1,$A397=TODAY()),AH!$P$20,IF(AH!$P$10=1,INDEX('Live History'!$H$5:$H$3004,MATCH($A397,'Live History'!$G$5:$G$3004,1)),INDEX('AH History'!$D$1:$D$18046,AH!$P$7+392))),NA()),NA())</ns0:f>
        <ns0:v/>
      </ns0:c>
      <ns0:c r="F397">
        <ns0:f>IFERROR(IF(ISNUMBER($A397),IF(AND(AH!$P$10=1,AH!$P$12=1,$A397=TODAY()),IF(AND(AH!$P$10=1,AH!$P$12=1,$A397=TODAY()),TODAY(),NA()),IF(AH!$P$10=1,INDEX('Live History'!$D$5:$D$3004,MATCH($A397,'Live History'!$D$5:$D$3004,1)),INDEX('AH History'!$E$1:$E$18046,AH!$P$7+392))),NA()),NA())</ns0:f>
        <ns0:v/>
      </ns0:c>
      <ns0:c r="G397">
        <ns0:f>IFERROR(IF(ISNUMBER($A397),IF(AND(AH!$P$10=1,AH!$P$12=1,$A397=TODAY()),IF(AND(AH!$P$10=1,AH!$P$12=1,$A397=TODAY()),TODAY(),NA()),IF(AH!$P$10=1,INDEX('Live History'!$G$5:$G$3004,MATCH($A397,'Live History'!$G$5:$G$3004,1)),INDEX('AH History'!$F$1:$F$18046,AH!$P$7+392))),NA()),NA())</ns0:f>
        <ns0:v/>
      </ns0:c>
      <ns0:c r="H397">
        <ns0:f>IFERROR(IF(AND(AH!$E$4="Bloomberg",AH!$P$10=1,ISNUMBER($A397),$A397&lt;=AH!$P$17),AH!$P$7-1+MATCH($A397,INDEX('AH History'!$A$1:$A$18046,AH!$P$7):INDEX('AH History'!$A$1:$A$18046,AH!$P$7+AH!$P$8-1),0),0),0)</ns0:f>
        <ns0:v/>
      </ns0:c>
      <ns0:c r="I397">
        <ns0:f>IF($H397=0,0,IFERROR(IF(AND(ABS($C397-INDEX('AH History'!$B$1:$B$18046,$H397))&lt;=MAX(0.005,ABS(INDEX('AH History'!$B$1:$B$18046,$H397))*0.00005),ABS($D397-INDEX('AH History'!$C$1:$C$18046,$H397))&lt;=MAX(0.005,ABS(INDEX('AH History'!$C$1:$C$18046,$H397))*0.00005),ABS($E397-INDEX('AH History'!$D$1:$D$18046,$H397))&lt;=0.00005,$F397=INDEX('AH History'!$E$1:$E$18046,$H397),$G397=INDEX('AH History'!$F$1:$F$18046,$H397)),1,-1),-1))</ns0:f>
        <ns0:v/>
      </ns0:c>
    </ns0:row>
    <ns0:row r="398">
      <ns0:c r="A398" s="215">
        <ns0:f>IF(OR(AH!$P$3=0,393+1&gt;AH!$P$11,AND(AH!$E$4&lt;&gt;"Stored",AH!$P$10&lt;&gt;1)),"",IFERROR(IF(AND(AH!$P$21=1,393+1=AH!$P$11),TODAY(),IF(AH!$P$10=1,INDEX('Live History'!$A$5:$A$3004,AH!$P$13+393),INDEX('AH History'!$A$1:$A$18046,AH!$P$7+393))),""))</ns0:f>
        <ns0:v/>
      </ns0:c>
      <ns0:c r="B398" s="219">
        <ns0:f>IFERROR(IF(AND(AH!$P$9&lt;&gt;1,$C398&gt;0,$D398&gt;0,$E398&gt;0,$F398&gt;0,$G398&gt;0,$F398&lt;=$A398,$G398&lt;=$A398,$A398-$F398&lt;=10,$A398-$G398&lt;=5),$D398*$E398/$C398-1,NA()),NA())</ns0:f>
        <ns0:v/>
      </ns0:c>
      <ns0:c r="C398">
        <ns0:f>IFERROR(IF(ISNUMBER($A398),IF(AND(AH!$P$10=1,AH!$P$12=1,$A398=TODAY()),AH!$P$19,IF(AH!$P$10=1,INDEX('Live History'!$B$5:$B$3004,AH!$P$13+393),INDEX('AH History'!$B$1:$B$18046,AH!$P$7+393))),NA()),NA())</ns0:f>
        <ns0:v/>
      </ns0:c>
      <ns0:c r="D398">
        <ns0:f>IFERROR(IF(ISNUMBER($A398),IF(AND(AH!$P$10=1,AH!$P$12=1,$A398=TODAY()),AH!$P$18,IF(AH!$P$10=1,INDEX('Live History'!$E$5:$E$3004,MATCH($A398,'Live History'!$D$5:$D$3004,1)),INDEX('AH History'!$C$1:$C$18046,AH!$P$7+393))),NA()),NA())</ns0:f>
        <ns0:v/>
      </ns0:c>
      <ns0:c r="E398">
        <ns0:f>IFERROR(IF(ISNUMBER($A398),IF(AND(AH!$P$10=1,AH!$P$12=1,$A398=TODAY()),AH!$P$20,IF(AH!$P$10=1,INDEX('Live History'!$H$5:$H$3004,MATCH($A398,'Live History'!$G$5:$G$3004,1)),INDEX('AH History'!$D$1:$D$18046,AH!$P$7+393))),NA()),NA())</ns0:f>
        <ns0:v/>
      </ns0:c>
      <ns0:c r="F398">
        <ns0:f>IFERROR(IF(ISNUMBER($A398),IF(AND(AH!$P$10=1,AH!$P$12=1,$A398=TODAY()),IF(AND(AH!$P$10=1,AH!$P$12=1,$A398=TODAY()),TODAY(),NA()),IF(AH!$P$10=1,INDEX('Live History'!$D$5:$D$3004,MATCH($A398,'Live History'!$D$5:$D$3004,1)),INDEX('AH History'!$E$1:$E$18046,AH!$P$7+393))),NA()),NA())</ns0:f>
        <ns0:v/>
      </ns0:c>
      <ns0:c r="G398">
        <ns0:f>IFERROR(IF(ISNUMBER($A398),IF(AND(AH!$P$10=1,AH!$P$12=1,$A398=TODAY()),IF(AND(AH!$P$10=1,AH!$P$12=1,$A398=TODAY()),TODAY(),NA()),IF(AH!$P$10=1,INDEX('Live History'!$G$5:$G$3004,MATCH($A398,'Live History'!$G$5:$G$3004,1)),INDEX('AH History'!$F$1:$F$18046,AH!$P$7+393))),NA()),NA())</ns0:f>
        <ns0:v/>
      </ns0:c>
      <ns0:c r="H398">
        <ns0:f>IFERROR(IF(AND(AH!$E$4="Bloomberg",AH!$P$10=1,ISNUMBER($A398),$A398&lt;=AH!$P$17),AH!$P$7-1+MATCH($A398,INDEX('AH History'!$A$1:$A$18046,AH!$P$7):INDEX('AH History'!$A$1:$A$18046,AH!$P$7+AH!$P$8-1),0),0),0)</ns0:f>
        <ns0:v/>
      </ns0:c>
      <ns0:c r="I398">
        <ns0:f>IF($H398=0,0,IFERROR(IF(AND(ABS($C398-INDEX('AH History'!$B$1:$B$18046,$H398))&lt;=MAX(0.005,ABS(INDEX('AH History'!$B$1:$B$18046,$H398))*0.00005),ABS($D398-INDEX('AH History'!$C$1:$C$18046,$H398))&lt;=MAX(0.005,ABS(INDEX('AH History'!$C$1:$C$18046,$H398))*0.00005),ABS($E398-INDEX('AH History'!$D$1:$D$18046,$H398))&lt;=0.00005,$F398=INDEX('AH History'!$E$1:$E$18046,$H398),$G398=INDEX('AH History'!$F$1:$F$18046,$H398)),1,-1),-1))</ns0:f>
        <ns0:v/>
      </ns0:c>
    </ns0:row>
    <ns0:row r="399">
      <ns0:c r="A399" s="215">
        <ns0:f>IF(OR(AH!$P$3=0,394+1&gt;AH!$P$11,AND(AH!$E$4&lt;&gt;"Stored",AH!$P$10&lt;&gt;1)),"",IFERROR(IF(AND(AH!$P$21=1,394+1=AH!$P$11),TODAY(),IF(AH!$P$10=1,INDEX('Live History'!$A$5:$A$3004,AH!$P$13+394),INDEX('AH History'!$A$1:$A$18046,AH!$P$7+394))),""))</ns0:f>
        <ns0:v/>
      </ns0:c>
      <ns0:c r="B399" s="219">
        <ns0:f>IFERROR(IF(AND(AH!$P$9&lt;&gt;1,$C399&gt;0,$D399&gt;0,$E399&gt;0,$F399&gt;0,$G399&gt;0,$F399&lt;=$A399,$G399&lt;=$A399,$A399-$F399&lt;=10,$A399-$G399&lt;=5),$D399*$E399/$C399-1,NA()),NA())</ns0:f>
        <ns0:v/>
      </ns0:c>
      <ns0:c r="C399">
        <ns0:f>IFERROR(IF(ISNUMBER($A399),IF(AND(AH!$P$10=1,AH!$P$12=1,$A399=TODAY()),AH!$P$19,IF(AH!$P$10=1,INDEX('Live History'!$B$5:$B$3004,AH!$P$13+394),INDEX('AH History'!$B$1:$B$18046,AH!$P$7+394))),NA()),NA())</ns0:f>
        <ns0:v/>
      </ns0:c>
      <ns0:c r="D399">
        <ns0:f>IFERROR(IF(ISNUMBER($A399),IF(AND(AH!$P$10=1,AH!$P$12=1,$A399=TODAY()),AH!$P$18,IF(AH!$P$10=1,INDEX('Live History'!$E$5:$E$3004,MATCH($A399,'Live History'!$D$5:$D$3004,1)),INDEX('AH History'!$C$1:$C$18046,AH!$P$7+394))),NA()),NA())</ns0:f>
        <ns0:v/>
      </ns0:c>
      <ns0:c r="E399">
        <ns0:f>IFERROR(IF(ISNUMBER($A399),IF(AND(AH!$P$10=1,AH!$P$12=1,$A399=TODAY()),AH!$P$20,IF(AH!$P$10=1,INDEX('Live History'!$H$5:$H$3004,MATCH($A399,'Live History'!$G$5:$G$3004,1)),INDEX('AH History'!$D$1:$D$18046,AH!$P$7+394))),NA()),NA())</ns0:f>
        <ns0:v/>
      </ns0:c>
      <ns0:c r="F399">
        <ns0:f>IFERROR(IF(ISNUMBER($A399),IF(AND(AH!$P$10=1,AH!$P$12=1,$A399=TODAY()),IF(AND(AH!$P$10=1,AH!$P$12=1,$A399=TODAY()),TODAY(),NA()),IF(AH!$P$10=1,INDEX('Live History'!$D$5:$D$3004,MATCH($A399,'Live History'!$D$5:$D$3004,1)),INDEX('AH History'!$E$1:$E$18046,AH!$P$7+394))),NA()),NA())</ns0:f>
        <ns0:v/>
      </ns0:c>
      <ns0:c r="G399">
        <ns0:f>IFERROR(IF(ISNUMBER($A399),IF(AND(AH!$P$10=1,AH!$P$12=1,$A399=TODAY()),IF(AND(AH!$P$10=1,AH!$P$12=1,$A399=TODAY()),TODAY(),NA()),IF(AH!$P$10=1,INDEX('Live History'!$G$5:$G$3004,MATCH($A399,'Live History'!$G$5:$G$3004,1)),INDEX('AH History'!$F$1:$F$18046,AH!$P$7+394))),NA()),NA())</ns0:f>
        <ns0:v/>
      </ns0:c>
      <ns0:c r="H399">
        <ns0:f>IFERROR(IF(AND(AH!$E$4="Bloomberg",AH!$P$10=1,ISNUMBER($A399),$A399&lt;=AH!$P$17),AH!$P$7-1+MATCH($A399,INDEX('AH History'!$A$1:$A$18046,AH!$P$7):INDEX('AH History'!$A$1:$A$18046,AH!$P$7+AH!$P$8-1),0),0),0)</ns0:f>
        <ns0:v/>
      </ns0:c>
      <ns0:c r="I399">
        <ns0:f>IF($H399=0,0,IFERROR(IF(AND(ABS($C399-INDEX('AH History'!$B$1:$B$18046,$H399))&lt;=MAX(0.005,ABS(INDEX('AH History'!$B$1:$B$18046,$H399))*0.00005),ABS($D399-INDEX('AH History'!$C$1:$C$18046,$H399))&lt;=MAX(0.005,ABS(INDEX('AH History'!$C$1:$C$18046,$H399))*0.00005),ABS($E399-INDEX('AH History'!$D$1:$D$18046,$H399))&lt;=0.00005,$F399=INDEX('AH History'!$E$1:$E$18046,$H399),$G399=INDEX('AH History'!$F$1:$F$18046,$H399)),1,-1),-1))</ns0:f>
        <ns0:v/>
      </ns0:c>
    </ns0:row>
    <ns0:row r="400">
      <ns0:c r="A400" s="215">
        <ns0:f>IF(OR(AH!$P$3=0,395+1&gt;AH!$P$11,AND(AH!$E$4&lt;&gt;"Stored",AH!$P$10&lt;&gt;1)),"",IFERROR(IF(AND(AH!$P$21=1,395+1=AH!$P$11),TODAY(),IF(AH!$P$10=1,INDEX('Live History'!$A$5:$A$3004,AH!$P$13+395),INDEX('AH History'!$A$1:$A$18046,AH!$P$7+395))),""))</ns0:f>
        <ns0:v/>
      </ns0:c>
      <ns0:c r="B400" s="219">
        <ns0:f>IFERROR(IF(AND(AH!$P$9&lt;&gt;1,$C400&gt;0,$D400&gt;0,$E400&gt;0,$F400&gt;0,$G400&gt;0,$F400&lt;=$A400,$G400&lt;=$A400,$A400-$F400&lt;=10,$A400-$G400&lt;=5),$D400*$E400/$C400-1,NA()),NA())</ns0:f>
        <ns0:v/>
      </ns0:c>
      <ns0:c r="C400">
        <ns0:f>IFERROR(IF(ISNUMBER($A400),IF(AND(AH!$P$10=1,AH!$P$12=1,$A400=TODAY()),AH!$P$19,IF(AH!$P$10=1,INDEX('Live History'!$B$5:$B$3004,AH!$P$13+395),INDEX('AH History'!$B$1:$B$18046,AH!$P$7+395))),NA()),NA())</ns0:f>
        <ns0:v/>
      </ns0:c>
      <ns0:c r="D400">
        <ns0:f>IFERROR(IF(ISNUMBER($A400),IF(AND(AH!$P$10=1,AH!$P$12=1,$A400=TODAY()),AH!$P$18,IF(AH!$P$10=1,INDEX('Live History'!$E$5:$E$3004,MATCH($A400,'Live History'!$D$5:$D$3004,1)),INDEX('AH History'!$C$1:$C$18046,AH!$P$7+395))),NA()),NA())</ns0:f>
        <ns0:v/>
      </ns0:c>
      <ns0:c r="E400">
        <ns0:f>IFERROR(IF(ISNUMBER($A400),IF(AND(AH!$P$10=1,AH!$P$12=1,$A400=TODAY()),AH!$P$20,IF(AH!$P$10=1,INDEX('Live History'!$H$5:$H$3004,MATCH($A400,'Live History'!$G$5:$G$3004,1)),INDEX('AH History'!$D$1:$D$18046,AH!$P$7+395))),NA()),NA())</ns0:f>
        <ns0:v/>
      </ns0:c>
      <ns0:c r="F400">
        <ns0:f>IFERROR(IF(ISNUMBER($A400),IF(AND(AH!$P$10=1,AH!$P$12=1,$A400=TODAY()),IF(AND(AH!$P$10=1,AH!$P$12=1,$A400=TODAY()),TODAY(),NA()),IF(AH!$P$10=1,INDEX('Live History'!$D$5:$D$3004,MATCH($A400,'Live History'!$D$5:$D$3004,1)),INDEX('AH History'!$E$1:$E$18046,AH!$P$7+395))),NA()),NA())</ns0:f>
        <ns0:v/>
      </ns0:c>
      <ns0:c r="G400">
        <ns0:f>IFERROR(IF(ISNUMBER($A400),IF(AND(AH!$P$10=1,AH!$P$12=1,$A400=TODAY()),IF(AND(AH!$P$10=1,AH!$P$12=1,$A400=TODAY()),TODAY(),NA()),IF(AH!$P$10=1,INDEX('Live History'!$G$5:$G$3004,MATCH($A400,'Live History'!$G$5:$G$3004,1)),INDEX('AH History'!$F$1:$F$18046,AH!$P$7+395))),NA()),NA())</ns0:f>
        <ns0:v/>
      </ns0:c>
      <ns0:c r="H400">
        <ns0:f>IFERROR(IF(AND(AH!$E$4="Bloomberg",AH!$P$10=1,ISNUMBER($A400),$A400&lt;=AH!$P$17),AH!$P$7-1+MATCH($A400,INDEX('AH History'!$A$1:$A$18046,AH!$P$7):INDEX('AH History'!$A$1:$A$18046,AH!$P$7+AH!$P$8-1),0),0),0)</ns0:f>
        <ns0:v/>
      </ns0:c>
      <ns0:c r="I400">
        <ns0:f>IF($H400=0,0,IFERROR(IF(AND(ABS($C400-INDEX('AH History'!$B$1:$B$18046,$H400))&lt;=MAX(0.005,ABS(INDEX('AH History'!$B$1:$B$18046,$H400))*0.00005),ABS($D400-INDEX('AH History'!$C$1:$C$18046,$H400))&lt;=MAX(0.005,ABS(INDEX('AH History'!$C$1:$C$18046,$H400))*0.00005),ABS($E400-INDEX('AH History'!$D$1:$D$18046,$H400))&lt;=0.00005,$F400=INDEX('AH History'!$E$1:$E$18046,$H400),$G400=INDEX('AH History'!$F$1:$F$18046,$H400)),1,-1),-1))</ns0:f>
        <ns0:v/>
      </ns0:c>
    </ns0:row>
    <ns0:row r="401">
      <ns0:c r="A401" s="215">
        <ns0:f>IF(OR(AH!$P$3=0,396+1&gt;AH!$P$11,AND(AH!$E$4&lt;&gt;"Stored",AH!$P$10&lt;&gt;1)),"",IFERROR(IF(AND(AH!$P$21=1,396+1=AH!$P$11),TODAY(),IF(AH!$P$10=1,INDEX('Live History'!$A$5:$A$3004,AH!$P$13+396),INDEX('AH History'!$A$1:$A$18046,AH!$P$7+396))),""))</ns0:f>
        <ns0:v/>
      </ns0:c>
      <ns0:c r="B401" s="219">
        <ns0:f>IFERROR(IF(AND(AH!$P$9&lt;&gt;1,$C401&gt;0,$D401&gt;0,$E401&gt;0,$F401&gt;0,$G401&gt;0,$F401&lt;=$A401,$G401&lt;=$A401,$A401-$F401&lt;=10,$A401-$G401&lt;=5),$D401*$E401/$C401-1,NA()),NA())</ns0:f>
        <ns0:v/>
      </ns0:c>
      <ns0:c r="C401">
        <ns0:f>IFERROR(IF(ISNUMBER($A401),IF(AND(AH!$P$10=1,AH!$P$12=1,$A401=TODAY()),AH!$P$19,IF(AH!$P$10=1,INDEX('Live History'!$B$5:$B$3004,AH!$P$13+396),INDEX('AH History'!$B$1:$B$18046,AH!$P$7+396))),NA()),NA())</ns0:f>
        <ns0:v/>
      </ns0:c>
      <ns0:c r="D401">
        <ns0:f>IFERROR(IF(ISNUMBER($A401),IF(AND(AH!$P$10=1,AH!$P$12=1,$A401=TODAY()),AH!$P$18,IF(AH!$P$10=1,INDEX('Live History'!$E$5:$E$3004,MATCH($A401,'Live History'!$D$5:$D$3004,1)),INDEX('AH History'!$C$1:$C$18046,AH!$P$7+396))),NA()),NA())</ns0:f>
        <ns0:v/>
      </ns0:c>
      <ns0:c r="E401">
        <ns0:f>IFERROR(IF(ISNUMBER($A401),IF(AND(AH!$P$10=1,AH!$P$12=1,$A401=TODAY()),AH!$P$20,IF(AH!$P$10=1,INDEX('Live History'!$H$5:$H$3004,MATCH($A401,'Live History'!$G$5:$G$3004,1)),INDEX('AH History'!$D$1:$D$18046,AH!$P$7+396))),NA()),NA())</ns0:f>
        <ns0:v/>
      </ns0:c>
      <ns0:c r="F401">
        <ns0:f>IFERROR(IF(ISNUMBER($A401),IF(AND(AH!$P$10=1,AH!$P$12=1,$A401=TODAY()),IF(AND(AH!$P$10=1,AH!$P$12=1,$A401=TODAY()),TODAY(),NA()),IF(AH!$P$10=1,INDEX('Live History'!$D$5:$D$3004,MATCH($A401,'Live History'!$D$5:$D$3004,1)),INDEX('AH History'!$E$1:$E$18046,AH!$P$7+396))),NA()),NA())</ns0:f>
        <ns0:v/>
      </ns0:c>
      <ns0:c r="G401">
        <ns0:f>IFERROR(IF(ISNUMBER($A401),IF(AND(AH!$P$10=1,AH!$P$12=1,$A401=TODAY()),IF(AND(AH!$P$10=1,AH!$P$12=1,$A401=TODAY()),TODAY(),NA()),IF(AH!$P$10=1,INDEX('Live History'!$G$5:$G$3004,MATCH($A401,'Live History'!$G$5:$G$3004,1)),INDEX('AH History'!$F$1:$F$18046,AH!$P$7+396))),NA()),NA())</ns0:f>
        <ns0:v/>
      </ns0:c>
      <ns0:c r="H401">
        <ns0:f>IFERROR(IF(AND(AH!$E$4="Bloomberg",AH!$P$10=1,ISNUMBER($A401),$A401&lt;=AH!$P$17),AH!$P$7-1+MATCH($A401,INDEX('AH History'!$A$1:$A$18046,AH!$P$7):INDEX('AH History'!$A$1:$A$18046,AH!$P$7+AH!$P$8-1),0),0),0)</ns0:f>
        <ns0:v/>
      </ns0:c>
      <ns0:c r="I401">
        <ns0:f>IF($H401=0,0,IFERROR(IF(AND(ABS($C401-INDEX('AH History'!$B$1:$B$18046,$H401))&lt;=MAX(0.005,ABS(INDEX('AH History'!$B$1:$B$18046,$H401))*0.00005),ABS($D401-INDEX('AH History'!$C$1:$C$18046,$H401))&lt;=MAX(0.005,ABS(INDEX('AH History'!$C$1:$C$18046,$H401))*0.00005),ABS($E401-INDEX('AH History'!$D$1:$D$18046,$H401))&lt;=0.00005,$F401=INDEX('AH History'!$E$1:$E$18046,$H401),$G401=INDEX('AH History'!$F$1:$F$18046,$H401)),1,-1),-1))</ns0:f>
        <ns0:v/>
      </ns0:c>
    </ns0:row>
    <ns0:row r="402">
      <ns0:c r="A402" s="215">
        <ns0:f>IF(OR(AH!$P$3=0,397+1&gt;AH!$P$11,AND(AH!$E$4&lt;&gt;"Stored",AH!$P$10&lt;&gt;1)),"",IFERROR(IF(AND(AH!$P$21=1,397+1=AH!$P$11),TODAY(),IF(AH!$P$10=1,INDEX('Live History'!$A$5:$A$3004,AH!$P$13+397),INDEX('AH History'!$A$1:$A$18046,AH!$P$7+397))),""))</ns0:f>
        <ns0:v/>
      </ns0:c>
      <ns0:c r="B402" s="219">
        <ns0:f>IFERROR(IF(AND(AH!$P$9&lt;&gt;1,$C402&gt;0,$D402&gt;0,$E402&gt;0,$F402&gt;0,$G402&gt;0,$F402&lt;=$A402,$G402&lt;=$A402,$A402-$F402&lt;=10,$A402-$G402&lt;=5),$D402*$E402/$C402-1,NA()),NA())</ns0:f>
        <ns0:v/>
      </ns0:c>
      <ns0:c r="C402">
        <ns0:f>IFERROR(IF(ISNUMBER($A402),IF(AND(AH!$P$10=1,AH!$P$12=1,$A402=TODAY()),AH!$P$19,IF(AH!$P$10=1,INDEX('Live History'!$B$5:$B$3004,AH!$P$13+397),INDEX('AH History'!$B$1:$B$18046,AH!$P$7+397))),NA()),NA())</ns0:f>
        <ns0:v/>
      </ns0:c>
      <ns0:c r="D402">
        <ns0:f>IFERROR(IF(ISNUMBER($A402),IF(AND(AH!$P$10=1,AH!$P$12=1,$A402=TODAY()),AH!$P$18,IF(AH!$P$10=1,INDEX('Live History'!$E$5:$E$3004,MATCH($A402,'Live History'!$D$5:$D$3004,1)),INDEX('AH History'!$C$1:$C$18046,AH!$P$7+397))),NA()),NA())</ns0:f>
        <ns0:v/>
      </ns0:c>
      <ns0:c r="E402">
        <ns0:f>IFERROR(IF(ISNUMBER($A402),IF(AND(AH!$P$10=1,AH!$P$12=1,$A402=TODAY()),AH!$P$20,IF(AH!$P$10=1,INDEX('Live History'!$H$5:$H$3004,MATCH($A402,'Live History'!$G$5:$G$3004,1)),INDEX('AH History'!$D$1:$D$18046,AH!$P$7+397))),NA()),NA())</ns0:f>
        <ns0:v/>
      </ns0:c>
      <ns0:c r="F402">
        <ns0:f>IFERROR(IF(ISNUMBER($A402),IF(AND(AH!$P$10=1,AH!$P$12=1,$A402=TODAY()),IF(AND(AH!$P$10=1,AH!$P$12=1,$A402=TODAY()),TODAY(),NA()),IF(AH!$P$10=1,INDEX('Live History'!$D$5:$D$3004,MATCH($A402,'Live History'!$D$5:$D$3004,1)),INDEX('AH History'!$E$1:$E$18046,AH!$P$7+397))),NA()),NA())</ns0:f>
        <ns0:v/>
      </ns0:c>
      <ns0:c r="G402">
        <ns0:f>IFERROR(IF(ISNUMBER($A402),IF(AND(AH!$P$10=1,AH!$P$12=1,$A402=TODAY()),IF(AND(AH!$P$10=1,AH!$P$12=1,$A402=TODAY()),TODAY(),NA()),IF(AH!$P$10=1,INDEX('Live History'!$G$5:$G$3004,MATCH($A402,'Live History'!$G$5:$G$3004,1)),INDEX('AH History'!$F$1:$F$18046,AH!$P$7+397))),NA()),NA())</ns0:f>
        <ns0:v/>
      </ns0:c>
      <ns0:c r="H402">
        <ns0:f>IFERROR(IF(AND(AH!$E$4="Bloomberg",AH!$P$10=1,ISNUMBER($A402),$A402&lt;=AH!$P$17),AH!$P$7-1+MATCH($A402,INDEX('AH History'!$A$1:$A$18046,AH!$P$7):INDEX('AH History'!$A$1:$A$18046,AH!$P$7+AH!$P$8-1),0),0),0)</ns0:f>
        <ns0:v/>
      </ns0:c>
      <ns0:c r="I402">
        <ns0:f>IF($H402=0,0,IFERROR(IF(AND(ABS($C402-INDEX('AH History'!$B$1:$B$18046,$H402))&lt;=MAX(0.005,ABS(INDEX('AH History'!$B$1:$B$18046,$H402))*0.00005),ABS($D402-INDEX('AH History'!$C$1:$C$18046,$H402))&lt;=MAX(0.005,ABS(INDEX('AH History'!$C$1:$C$18046,$H402))*0.00005),ABS($E402-INDEX('AH History'!$D$1:$D$18046,$H402))&lt;=0.00005,$F402=INDEX('AH History'!$E$1:$E$18046,$H402),$G402=INDEX('AH History'!$F$1:$F$18046,$H402)),1,-1),-1))</ns0:f>
        <ns0:v/>
      </ns0:c>
    </ns0:row>
    <ns0:row r="403">
      <ns0:c r="A403" s="215">
        <ns0:f>IF(OR(AH!$P$3=0,398+1&gt;AH!$P$11,AND(AH!$E$4&lt;&gt;"Stored",AH!$P$10&lt;&gt;1)),"",IFERROR(IF(AND(AH!$P$21=1,398+1=AH!$P$11),TODAY(),IF(AH!$P$10=1,INDEX('Live History'!$A$5:$A$3004,AH!$P$13+398),INDEX('AH History'!$A$1:$A$18046,AH!$P$7+398))),""))</ns0:f>
        <ns0:v/>
      </ns0:c>
      <ns0:c r="B403" s="219">
        <ns0:f>IFERROR(IF(AND(AH!$P$9&lt;&gt;1,$C403&gt;0,$D403&gt;0,$E403&gt;0,$F403&gt;0,$G403&gt;0,$F403&lt;=$A403,$G403&lt;=$A403,$A403-$F403&lt;=10,$A403-$G403&lt;=5),$D403*$E403/$C403-1,NA()),NA())</ns0:f>
        <ns0:v/>
      </ns0:c>
      <ns0:c r="C403">
        <ns0:f>IFERROR(IF(ISNUMBER($A403),IF(AND(AH!$P$10=1,AH!$P$12=1,$A403=TODAY()),AH!$P$19,IF(AH!$P$10=1,INDEX('Live History'!$B$5:$B$3004,AH!$P$13+398),INDEX('AH History'!$B$1:$B$18046,AH!$P$7+398))),NA()),NA())</ns0:f>
        <ns0:v/>
      </ns0:c>
      <ns0:c r="D403">
        <ns0:f>IFERROR(IF(ISNUMBER($A403),IF(AND(AH!$P$10=1,AH!$P$12=1,$A403=TODAY()),AH!$P$18,IF(AH!$P$10=1,INDEX('Live History'!$E$5:$E$3004,MATCH($A403,'Live History'!$D$5:$D$3004,1)),INDEX('AH History'!$C$1:$C$18046,AH!$P$7+398))),NA()),NA())</ns0:f>
        <ns0:v/>
      </ns0:c>
      <ns0:c r="E403">
        <ns0:f>IFERROR(IF(ISNUMBER($A403),IF(AND(AH!$P$10=1,AH!$P$12=1,$A403=TODAY()),AH!$P$20,IF(AH!$P$10=1,INDEX('Live History'!$H$5:$H$3004,MATCH($A403,'Live History'!$G$5:$G$3004,1)),INDEX('AH History'!$D$1:$D$18046,AH!$P$7+398))),NA()),NA())</ns0:f>
        <ns0:v/>
      </ns0:c>
      <ns0:c r="F403">
        <ns0:f>IFERROR(IF(ISNUMBER($A403),IF(AND(AH!$P$10=1,AH!$P$12=1,$A403=TODAY()),IF(AND(AH!$P$10=1,AH!$P$12=1,$A403=TODAY()),TODAY(),NA()),IF(AH!$P$10=1,INDEX('Live History'!$D$5:$D$3004,MATCH($A403,'Live History'!$D$5:$D$3004,1)),INDEX('AH History'!$E$1:$E$18046,AH!$P$7+398))),NA()),NA())</ns0:f>
        <ns0:v/>
      </ns0:c>
      <ns0:c r="G403">
        <ns0:f>IFERROR(IF(ISNUMBER($A403),IF(AND(AH!$P$10=1,AH!$P$12=1,$A403=TODAY()),IF(AND(AH!$P$10=1,AH!$P$12=1,$A403=TODAY()),TODAY(),NA()),IF(AH!$P$10=1,INDEX('Live History'!$G$5:$G$3004,MATCH($A403,'Live History'!$G$5:$G$3004,1)),INDEX('AH History'!$F$1:$F$18046,AH!$P$7+398))),NA()),NA())</ns0:f>
        <ns0:v/>
      </ns0:c>
      <ns0:c r="H403">
        <ns0:f>IFERROR(IF(AND(AH!$E$4="Bloomberg",AH!$P$10=1,ISNUMBER($A403),$A403&lt;=AH!$P$17),AH!$P$7-1+MATCH($A403,INDEX('AH History'!$A$1:$A$18046,AH!$P$7):INDEX('AH History'!$A$1:$A$18046,AH!$P$7+AH!$P$8-1),0),0),0)</ns0:f>
        <ns0:v/>
      </ns0:c>
      <ns0:c r="I403">
        <ns0:f>IF($H403=0,0,IFERROR(IF(AND(ABS($C403-INDEX('AH History'!$B$1:$B$18046,$H403))&lt;=MAX(0.005,ABS(INDEX('AH History'!$B$1:$B$18046,$H403))*0.00005),ABS($D403-INDEX('AH History'!$C$1:$C$18046,$H403))&lt;=MAX(0.005,ABS(INDEX('AH History'!$C$1:$C$18046,$H403))*0.00005),ABS($E403-INDEX('AH History'!$D$1:$D$18046,$H403))&lt;=0.00005,$F403=INDEX('AH History'!$E$1:$E$18046,$H403),$G403=INDEX('AH History'!$F$1:$F$18046,$H403)),1,-1),-1))</ns0:f>
        <ns0:v/>
      </ns0:c>
    </ns0:row>
    <ns0:row r="404">
      <ns0:c r="A404" s="215">
        <ns0:f>IF(OR(AH!$P$3=0,399+1&gt;AH!$P$11,AND(AH!$E$4&lt;&gt;"Stored",AH!$P$10&lt;&gt;1)),"",IFERROR(IF(AND(AH!$P$21=1,399+1=AH!$P$11),TODAY(),IF(AH!$P$10=1,INDEX('Live History'!$A$5:$A$3004,AH!$P$13+399),INDEX('AH History'!$A$1:$A$18046,AH!$P$7+399))),""))</ns0:f>
        <ns0:v/>
      </ns0:c>
      <ns0:c r="B404" s="219">
        <ns0:f>IFERROR(IF(AND(AH!$P$9&lt;&gt;1,$C404&gt;0,$D404&gt;0,$E404&gt;0,$F404&gt;0,$G404&gt;0,$F404&lt;=$A404,$G404&lt;=$A404,$A404-$F404&lt;=10,$A404-$G404&lt;=5),$D404*$E404/$C404-1,NA()),NA())</ns0:f>
        <ns0:v/>
      </ns0:c>
      <ns0:c r="C404">
        <ns0:f>IFERROR(IF(ISNUMBER($A404),IF(AND(AH!$P$10=1,AH!$P$12=1,$A404=TODAY()),AH!$P$19,IF(AH!$P$10=1,INDEX('Live History'!$B$5:$B$3004,AH!$P$13+399),INDEX('AH History'!$B$1:$B$18046,AH!$P$7+399))),NA()),NA())</ns0:f>
        <ns0:v/>
      </ns0:c>
      <ns0:c r="D404">
        <ns0:f>IFERROR(IF(ISNUMBER($A404),IF(AND(AH!$P$10=1,AH!$P$12=1,$A404=TODAY()),AH!$P$18,IF(AH!$P$10=1,INDEX('Live History'!$E$5:$E$3004,MATCH($A404,'Live History'!$D$5:$D$3004,1)),INDEX('AH History'!$C$1:$C$18046,AH!$P$7+399))),NA()),NA())</ns0:f>
        <ns0:v/>
      </ns0:c>
      <ns0:c r="E404">
        <ns0:f>IFERROR(IF(ISNUMBER($A404),IF(AND(AH!$P$10=1,AH!$P$12=1,$A404=TODAY()),AH!$P$20,IF(AH!$P$10=1,INDEX('Live History'!$H$5:$H$3004,MATCH($A404,'Live History'!$G$5:$G$3004,1)),INDEX('AH History'!$D$1:$D$18046,AH!$P$7+399))),NA()),NA())</ns0:f>
        <ns0:v/>
      </ns0:c>
      <ns0:c r="F404">
        <ns0:f>IFERROR(IF(ISNUMBER($A404),IF(AND(AH!$P$10=1,AH!$P$12=1,$A404=TODAY()),IF(AND(AH!$P$10=1,AH!$P$12=1,$A404=TODAY()),TODAY(),NA()),IF(AH!$P$10=1,INDEX('Live History'!$D$5:$D$3004,MATCH($A404,'Live History'!$D$5:$D$3004,1)),INDEX('AH History'!$E$1:$E$18046,AH!$P$7+399))),NA()),NA())</ns0:f>
        <ns0:v/>
      </ns0:c>
      <ns0:c r="G404">
        <ns0:f>IFERROR(IF(ISNUMBER($A404),IF(AND(AH!$P$10=1,AH!$P$12=1,$A404=TODAY()),IF(AND(AH!$P$10=1,AH!$P$12=1,$A404=TODAY()),TODAY(),NA()),IF(AH!$P$10=1,INDEX('Live History'!$G$5:$G$3004,MATCH($A404,'Live History'!$G$5:$G$3004,1)),INDEX('AH History'!$F$1:$F$18046,AH!$P$7+399))),NA()),NA())</ns0:f>
        <ns0:v/>
      </ns0:c>
      <ns0:c r="H404">
        <ns0:f>IFERROR(IF(AND(AH!$E$4="Bloomberg",AH!$P$10=1,ISNUMBER($A404),$A404&lt;=AH!$P$17),AH!$P$7-1+MATCH($A404,INDEX('AH History'!$A$1:$A$18046,AH!$P$7):INDEX('AH History'!$A$1:$A$18046,AH!$P$7+AH!$P$8-1),0),0),0)</ns0:f>
        <ns0:v/>
      </ns0:c>
      <ns0:c r="I404">
        <ns0:f>IF($H404=0,0,IFERROR(IF(AND(ABS($C404-INDEX('AH History'!$B$1:$B$18046,$H404))&lt;=MAX(0.005,ABS(INDEX('AH History'!$B$1:$B$18046,$H404))*0.00005),ABS($D404-INDEX('AH History'!$C$1:$C$18046,$H404))&lt;=MAX(0.005,ABS(INDEX('AH History'!$C$1:$C$18046,$H404))*0.00005),ABS($E404-INDEX('AH History'!$D$1:$D$18046,$H404))&lt;=0.00005,$F404=INDEX('AH History'!$E$1:$E$18046,$H404),$G404=INDEX('AH History'!$F$1:$F$18046,$H404)),1,-1),-1))</ns0:f>
        <ns0:v/>
      </ns0:c>
    </ns0:row>
    <ns0:row r="405">
      <ns0:c r="A405" s="215">
        <ns0:f>IF(OR(AH!$P$3=0,400+1&gt;AH!$P$11,AND(AH!$E$4&lt;&gt;"Stored",AH!$P$10&lt;&gt;1)),"",IFERROR(IF(AND(AH!$P$21=1,400+1=AH!$P$11),TODAY(),IF(AH!$P$10=1,INDEX('Live History'!$A$5:$A$3004,AH!$P$13+400),INDEX('AH History'!$A$1:$A$18046,AH!$P$7+400))),""))</ns0:f>
        <ns0:v/>
      </ns0:c>
      <ns0:c r="B405" s="219">
        <ns0:f>IFERROR(IF(AND(AH!$P$9&lt;&gt;1,$C405&gt;0,$D405&gt;0,$E405&gt;0,$F405&gt;0,$G405&gt;0,$F405&lt;=$A405,$G405&lt;=$A405,$A405-$F405&lt;=10,$A405-$G405&lt;=5),$D405*$E405/$C405-1,NA()),NA())</ns0:f>
        <ns0:v/>
      </ns0:c>
      <ns0:c r="C405">
        <ns0:f>IFERROR(IF(ISNUMBER($A405),IF(AND(AH!$P$10=1,AH!$P$12=1,$A405=TODAY()),AH!$P$19,IF(AH!$P$10=1,INDEX('Live History'!$B$5:$B$3004,AH!$P$13+400),INDEX('AH History'!$B$1:$B$18046,AH!$P$7+400))),NA()),NA())</ns0:f>
        <ns0:v/>
      </ns0:c>
      <ns0:c r="D405">
        <ns0:f>IFERROR(IF(ISNUMBER($A405),IF(AND(AH!$P$10=1,AH!$P$12=1,$A405=TODAY()),AH!$P$18,IF(AH!$P$10=1,INDEX('Live History'!$E$5:$E$3004,MATCH($A405,'Live History'!$D$5:$D$3004,1)),INDEX('AH History'!$C$1:$C$18046,AH!$P$7+400))),NA()),NA())</ns0:f>
        <ns0:v/>
      </ns0:c>
      <ns0:c r="E405">
        <ns0:f>IFERROR(IF(ISNUMBER($A405),IF(AND(AH!$P$10=1,AH!$P$12=1,$A405=TODAY()),AH!$P$20,IF(AH!$P$10=1,INDEX('Live History'!$H$5:$H$3004,MATCH($A405,'Live History'!$G$5:$G$3004,1)),INDEX('AH History'!$D$1:$D$18046,AH!$P$7+400))),NA()),NA())</ns0:f>
        <ns0:v/>
      </ns0:c>
      <ns0:c r="F405">
        <ns0:f>IFERROR(IF(ISNUMBER($A405),IF(AND(AH!$P$10=1,AH!$P$12=1,$A405=TODAY()),IF(AND(AH!$P$10=1,AH!$P$12=1,$A405=TODAY()),TODAY(),NA()),IF(AH!$P$10=1,INDEX('Live History'!$D$5:$D$3004,MATCH($A405,'Live History'!$D$5:$D$3004,1)),INDEX('AH History'!$E$1:$E$18046,AH!$P$7+400))),NA()),NA())</ns0:f>
        <ns0:v/>
      </ns0:c>
      <ns0:c r="G405">
        <ns0:f>IFERROR(IF(ISNUMBER($A405),IF(AND(AH!$P$10=1,AH!$P$12=1,$A405=TODAY()),IF(AND(AH!$P$10=1,AH!$P$12=1,$A405=TODAY()),TODAY(),NA()),IF(AH!$P$10=1,INDEX('Live History'!$G$5:$G$3004,MATCH($A405,'Live History'!$G$5:$G$3004,1)),INDEX('AH History'!$F$1:$F$18046,AH!$P$7+400))),NA()),NA())</ns0:f>
        <ns0:v/>
      </ns0:c>
      <ns0:c r="H405">
        <ns0:f>IFERROR(IF(AND(AH!$E$4="Bloomberg",AH!$P$10=1,ISNUMBER($A405),$A405&lt;=AH!$P$17),AH!$P$7-1+MATCH($A405,INDEX('AH History'!$A$1:$A$18046,AH!$P$7):INDEX('AH History'!$A$1:$A$18046,AH!$P$7+AH!$P$8-1),0),0),0)</ns0:f>
        <ns0:v/>
      </ns0:c>
      <ns0:c r="I405">
        <ns0:f>IF($H405=0,0,IFERROR(IF(AND(ABS($C405-INDEX('AH History'!$B$1:$B$18046,$H405))&lt;=MAX(0.005,ABS(INDEX('AH History'!$B$1:$B$18046,$H405))*0.00005),ABS($D405-INDEX('AH History'!$C$1:$C$18046,$H405))&lt;=MAX(0.005,ABS(INDEX('AH History'!$C$1:$C$18046,$H405))*0.00005),ABS($E405-INDEX('AH History'!$D$1:$D$18046,$H405))&lt;=0.00005,$F405=INDEX('AH History'!$E$1:$E$18046,$H405),$G405=INDEX('AH History'!$F$1:$F$18046,$H405)),1,-1),-1))</ns0:f>
        <ns0:v/>
      </ns0:c>
    </ns0:row>
    <ns0:row r="406">
      <ns0:c r="A406" s="215">
        <ns0:f>IF(OR(AH!$P$3=0,401+1&gt;AH!$P$11,AND(AH!$E$4&lt;&gt;"Stored",AH!$P$10&lt;&gt;1)),"",IFERROR(IF(AND(AH!$P$21=1,401+1=AH!$P$11),TODAY(),IF(AH!$P$10=1,INDEX('Live History'!$A$5:$A$3004,AH!$P$13+401),INDEX('AH History'!$A$1:$A$18046,AH!$P$7+401))),""))</ns0:f>
        <ns0:v/>
      </ns0:c>
      <ns0:c r="B406" s="219">
        <ns0:f>IFERROR(IF(AND(AH!$P$9&lt;&gt;1,$C406&gt;0,$D406&gt;0,$E406&gt;0,$F406&gt;0,$G406&gt;0,$F406&lt;=$A406,$G406&lt;=$A406,$A406-$F406&lt;=10,$A406-$G406&lt;=5),$D406*$E406/$C406-1,NA()),NA())</ns0:f>
        <ns0:v/>
      </ns0:c>
      <ns0:c r="C406">
        <ns0:f>IFERROR(IF(ISNUMBER($A406),IF(AND(AH!$P$10=1,AH!$P$12=1,$A406=TODAY()),AH!$P$19,IF(AH!$P$10=1,INDEX('Live History'!$B$5:$B$3004,AH!$P$13+401),INDEX('AH History'!$B$1:$B$18046,AH!$P$7+401))),NA()),NA())</ns0:f>
        <ns0:v/>
      </ns0:c>
      <ns0:c r="D406">
        <ns0:f>IFERROR(IF(ISNUMBER($A406),IF(AND(AH!$P$10=1,AH!$P$12=1,$A406=TODAY()),AH!$P$18,IF(AH!$P$10=1,INDEX('Live History'!$E$5:$E$3004,MATCH($A406,'Live History'!$D$5:$D$3004,1)),INDEX('AH History'!$C$1:$C$18046,AH!$P$7+401))),NA()),NA())</ns0:f>
        <ns0:v/>
      </ns0:c>
      <ns0:c r="E406">
        <ns0:f>IFERROR(IF(ISNUMBER($A406),IF(AND(AH!$P$10=1,AH!$P$12=1,$A406=TODAY()),AH!$P$20,IF(AH!$P$10=1,INDEX('Live History'!$H$5:$H$3004,MATCH($A406,'Live History'!$G$5:$G$3004,1)),INDEX('AH History'!$D$1:$D$18046,AH!$P$7+401))),NA()),NA())</ns0:f>
        <ns0:v/>
      </ns0:c>
      <ns0:c r="F406">
        <ns0:f>IFERROR(IF(ISNUMBER($A406),IF(AND(AH!$P$10=1,AH!$P$12=1,$A406=TODAY()),IF(AND(AH!$P$10=1,AH!$P$12=1,$A406=TODAY()),TODAY(),NA()),IF(AH!$P$10=1,INDEX('Live History'!$D$5:$D$3004,MATCH($A406,'Live History'!$D$5:$D$3004,1)),INDEX('AH History'!$E$1:$E$18046,AH!$P$7+401))),NA()),NA())</ns0:f>
        <ns0:v/>
      </ns0:c>
      <ns0:c r="G406">
        <ns0:f>IFERROR(IF(ISNUMBER($A406),IF(AND(AH!$P$10=1,AH!$P$12=1,$A406=TODAY()),IF(AND(AH!$P$10=1,AH!$P$12=1,$A406=TODAY()),TODAY(),NA()),IF(AH!$P$10=1,INDEX('Live History'!$G$5:$G$3004,MATCH($A406,'Live History'!$G$5:$G$3004,1)),INDEX('AH History'!$F$1:$F$18046,AH!$P$7+401))),NA()),NA())</ns0:f>
        <ns0:v/>
      </ns0:c>
      <ns0:c r="H406">
        <ns0:f>IFERROR(IF(AND(AH!$E$4="Bloomberg",AH!$P$10=1,ISNUMBER($A406),$A406&lt;=AH!$P$17),AH!$P$7-1+MATCH($A406,INDEX('AH History'!$A$1:$A$18046,AH!$P$7):INDEX('AH History'!$A$1:$A$18046,AH!$P$7+AH!$P$8-1),0),0),0)</ns0:f>
        <ns0:v/>
      </ns0:c>
      <ns0:c r="I406">
        <ns0:f>IF($H406=0,0,IFERROR(IF(AND(ABS($C406-INDEX('AH History'!$B$1:$B$18046,$H406))&lt;=MAX(0.005,ABS(INDEX('AH History'!$B$1:$B$18046,$H406))*0.00005),ABS($D406-INDEX('AH History'!$C$1:$C$18046,$H406))&lt;=MAX(0.005,ABS(INDEX('AH History'!$C$1:$C$18046,$H406))*0.00005),ABS($E406-INDEX('AH History'!$D$1:$D$18046,$H406))&lt;=0.00005,$F406=INDEX('AH History'!$E$1:$E$18046,$H406),$G406=INDEX('AH History'!$F$1:$F$18046,$H406)),1,-1),-1))</ns0:f>
        <ns0:v/>
      </ns0:c>
    </ns0:row>
    <ns0:row r="407">
      <ns0:c r="A407" s="215">
        <ns0:f>IF(OR(AH!$P$3=0,402+1&gt;AH!$P$11,AND(AH!$E$4&lt;&gt;"Stored",AH!$P$10&lt;&gt;1)),"",IFERROR(IF(AND(AH!$P$21=1,402+1=AH!$P$11),TODAY(),IF(AH!$P$10=1,INDEX('Live History'!$A$5:$A$3004,AH!$P$13+402),INDEX('AH History'!$A$1:$A$18046,AH!$P$7+402))),""))</ns0:f>
        <ns0:v/>
      </ns0:c>
      <ns0:c r="B407" s="219">
        <ns0:f>IFERROR(IF(AND(AH!$P$9&lt;&gt;1,$C407&gt;0,$D407&gt;0,$E407&gt;0,$F407&gt;0,$G407&gt;0,$F407&lt;=$A407,$G407&lt;=$A407,$A407-$F407&lt;=10,$A407-$G407&lt;=5),$D407*$E407/$C407-1,NA()),NA())</ns0:f>
        <ns0:v/>
      </ns0:c>
      <ns0:c r="C407">
        <ns0:f>IFERROR(IF(ISNUMBER($A407),IF(AND(AH!$P$10=1,AH!$P$12=1,$A407=TODAY()),AH!$P$19,IF(AH!$P$10=1,INDEX('Live History'!$B$5:$B$3004,AH!$P$13+402),INDEX('AH History'!$B$1:$B$18046,AH!$P$7+402))),NA()),NA())</ns0:f>
        <ns0:v/>
      </ns0:c>
      <ns0:c r="D407">
        <ns0:f>IFERROR(IF(ISNUMBER($A407),IF(AND(AH!$P$10=1,AH!$P$12=1,$A407=TODAY()),AH!$P$18,IF(AH!$P$10=1,INDEX('Live History'!$E$5:$E$3004,MATCH($A407,'Live History'!$D$5:$D$3004,1)),INDEX('AH History'!$C$1:$C$18046,AH!$P$7+402))),NA()),NA())</ns0:f>
        <ns0:v/>
      </ns0:c>
      <ns0:c r="E407">
        <ns0:f>IFERROR(IF(ISNUMBER($A407),IF(AND(AH!$P$10=1,AH!$P$12=1,$A407=TODAY()),AH!$P$20,IF(AH!$P$10=1,INDEX('Live History'!$H$5:$H$3004,MATCH($A407,'Live History'!$G$5:$G$3004,1)),INDEX('AH History'!$D$1:$D$18046,AH!$P$7+402))),NA()),NA())</ns0:f>
        <ns0:v/>
      </ns0:c>
      <ns0:c r="F407">
        <ns0:f>IFERROR(IF(ISNUMBER($A407),IF(AND(AH!$P$10=1,AH!$P$12=1,$A407=TODAY()),IF(AND(AH!$P$10=1,AH!$P$12=1,$A407=TODAY()),TODAY(),NA()),IF(AH!$P$10=1,INDEX('Live History'!$D$5:$D$3004,MATCH($A407,'Live History'!$D$5:$D$3004,1)),INDEX('AH History'!$E$1:$E$18046,AH!$P$7+402))),NA()),NA())</ns0:f>
        <ns0:v/>
      </ns0:c>
      <ns0:c r="G407">
        <ns0:f>IFERROR(IF(ISNUMBER($A407),IF(AND(AH!$P$10=1,AH!$P$12=1,$A407=TODAY()),IF(AND(AH!$P$10=1,AH!$P$12=1,$A407=TODAY()),TODAY(),NA()),IF(AH!$P$10=1,INDEX('Live History'!$G$5:$G$3004,MATCH($A407,'Live History'!$G$5:$G$3004,1)),INDEX('AH History'!$F$1:$F$18046,AH!$P$7+402))),NA()),NA())</ns0:f>
        <ns0:v/>
      </ns0:c>
      <ns0:c r="H407">
        <ns0:f>IFERROR(IF(AND(AH!$E$4="Bloomberg",AH!$P$10=1,ISNUMBER($A407),$A407&lt;=AH!$P$17),AH!$P$7-1+MATCH($A407,INDEX('AH History'!$A$1:$A$18046,AH!$P$7):INDEX('AH History'!$A$1:$A$18046,AH!$P$7+AH!$P$8-1),0),0),0)</ns0:f>
        <ns0:v/>
      </ns0:c>
      <ns0:c r="I407">
        <ns0:f>IF($H407=0,0,IFERROR(IF(AND(ABS($C407-INDEX('AH History'!$B$1:$B$18046,$H407))&lt;=MAX(0.005,ABS(INDEX('AH History'!$B$1:$B$18046,$H407))*0.00005),ABS($D407-INDEX('AH History'!$C$1:$C$18046,$H407))&lt;=MAX(0.005,ABS(INDEX('AH History'!$C$1:$C$18046,$H407))*0.00005),ABS($E407-INDEX('AH History'!$D$1:$D$18046,$H407))&lt;=0.00005,$F407=INDEX('AH History'!$E$1:$E$18046,$H407),$G407=INDEX('AH History'!$F$1:$F$18046,$H407)),1,-1),-1))</ns0:f>
        <ns0:v/>
      </ns0:c>
    </ns0:row>
    <ns0:row r="408">
      <ns0:c r="A408" s="215">
        <ns0:f>IF(OR(AH!$P$3=0,403+1&gt;AH!$P$11,AND(AH!$E$4&lt;&gt;"Stored",AH!$P$10&lt;&gt;1)),"",IFERROR(IF(AND(AH!$P$21=1,403+1=AH!$P$11),TODAY(),IF(AH!$P$10=1,INDEX('Live History'!$A$5:$A$3004,AH!$P$13+403),INDEX('AH History'!$A$1:$A$18046,AH!$P$7+403))),""))</ns0:f>
        <ns0:v/>
      </ns0:c>
      <ns0:c r="B408" s="219">
        <ns0:f>IFERROR(IF(AND(AH!$P$9&lt;&gt;1,$C408&gt;0,$D408&gt;0,$E408&gt;0,$F408&gt;0,$G408&gt;0,$F408&lt;=$A408,$G408&lt;=$A408,$A408-$F408&lt;=10,$A408-$G408&lt;=5),$D408*$E408/$C408-1,NA()),NA())</ns0:f>
        <ns0:v/>
      </ns0:c>
      <ns0:c r="C408">
        <ns0:f>IFERROR(IF(ISNUMBER($A408),IF(AND(AH!$P$10=1,AH!$P$12=1,$A408=TODAY()),AH!$P$19,IF(AH!$P$10=1,INDEX('Live History'!$B$5:$B$3004,AH!$P$13+403),INDEX('AH History'!$B$1:$B$18046,AH!$P$7+403))),NA()),NA())</ns0:f>
        <ns0:v/>
      </ns0:c>
      <ns0:c r="D408">
        <ns0:f>IFERROR(IF(ISNUMBER($A408),IF(AND(AH!$P$10=1,AH!$P$12=1,$A408=TODAY()),AH!$P$18,IF(AH!$P$10=1,INDEX('Live History'!$E$5:$E$3004,MATCH($A408,'Live History'!$D$5:$D$3004,1)),INDEX('AH History'!$C$1:$C$18046,AH!$P$7+403))),NA()),NA())</ns0:f>
        <ns0:v/>
      </ns0:c>
      <ns0:c r="E408">
        <ns0:f>IFERROR(IF(ISNUMBER($A408),IF(AND(AH!$P$10=1,AH!$P$12=1,$A408=TODAY()),AH!$P$20,IF(AH!$P$10=1,INDEX('Live History'!$H$5:$H$3004,MATCH($A408,'Live History'!$G$5:$G$3004,1)),INDEX('AH History'!$D$1:$D$18046,AH!$P$7+403))),NA()),NA())</ns0:f>
        <ns0:v/>
      </ns0:c>
      <ns0:c r="F408">
        <ns0:f>IFERROR(IF(ISNUMBER($A408),IF(AND(AH!$P$10=1,AH!$P$12=1,$A408=TODAY()),IF(AND(AH!$P$10=1,AH!$P$12=1,$A408=TODAY()),TODAY(),NA()),IF(AH!$P$10=1,INDEX('Live History'!$D$5:$D$3004,MATCH($A408,'Live History'!$D$5:$D$3004,1)),INDEX('AH History'!$E$1:$E$18046,AH!$P$7+403))),NA()),NA())</ns0:f>
        <ns0:v/>
      </ns0:c>
      <ns0:c r="G408">
        <ns0:f>IFERROR(IF(ISNUMBER($A408),IF(AND(AH!$P$10=1,AH!$P$12=1,$A408=TODAY()),IF(AND(AH!$P$10=1,AH!$P$12=1,$A408=TODAY()),TODAY(),NA()),IF(AH!$P$10=1,INDEX('Live History'!$G$5:$G$3004,MATCH($A408,'Live History'!$G$5:$G$3004,1)),INDEX('AH History'!$F$1:$F$18046,AH!$P$7+403))),NA()),NA())</ns0:f>
        <ns0:v/>
      </ns0:c>
      <ns0:c r="H408">
        <ns0:f>IFERROR(IF(AND(AH!$E$4="Bloomberg",AH!$P$10=1,ISNUMBER($A408),$A408&lt;=AH!$P$17),AH!$P$7-1+MATCH($A408,INDEX('AH History'!$A$1:$A$18046,AH!$P$7):INDEX('AH History'!$A$1:$A$18046,AH!$P$7+AH!$P$8-1),0),0),0)</ns0:f>
        <ns0:v/>
      </ns0:c>
      <ns0:c r="I408">
        <ns0:f>IF($H408=0,0,IFERROR(IF(AND(ABS($C408-INDEX('AH History'!$B$1:$B$18046,$H408))&lt;=MAX(0.005,ABS(INDEX('AH History'!$B$1:$B$18046,$H408))*0.00005),ABS($D408-INDEX('AH History'!$C$1:$C$18046,$H408))&lt;=MAX(0.005,ABS(INDEX('AH History'!$C$1:$C$18046,$H408))*0.00005),ABS($E408-INDEX('AH History'!$D$1:$D$18046,$H408))&lt;=0.00005,$F408=INDEX('AH History'!$E$1:$E$18046,$H408),$G408=INDEX('AH History'!$F$1:$F$18046,$H408)),1,-1),-1))</ns0:f>
        <ns0:v/>
      </ns0:c>
    </ns0:row>
    <ns0:row r="409">
      <ns0:c r="A409" s="215">
        <ns0:f>IF(OR(AH!$P$3=0,404+1&gt;AH!$P$11,AND(AH!$E$4&lt;&gt;"Stored",AH!$P$10&lt;&gt;1)),"",IFERROR(IF(AND(AH!$P$21=1,404+1=AH!$P$11),TODAY(),IF(AH!$P$10=1,INDEX('Live History'!$A$5:$A$3004,AH!$P$13+404),INDEX('AH History'!$A$1:$A$18046,AH!$P$7+404))),""))</ns0:f>
        <ns0:v/>
      </ns0:c>
      <ns0:c r="B409" s="219">
        <ns0:f>IFERROR(IF(AND(AH!$P$9&lt;&gt;1,$C409&gt;0,$D409&gt;0,$E409&gt;0,$F409&gt;0,$G409&gt;0,$F409&lt;=$A409,$G409&lt;=$A409,$A409-$F409&lt;=10,$A409-$G409&lt;=5),$D409*$E409/$C409-1,NA()),NA())</ns0:f>
        <ns0:v/>
      </ns0:c>
      <ns0:c r="C409">
        <ns0:f>IFERROR(IF(ISNUMBER($A409),IF(AND(AH!$P$10=1,AH!$P$12=1,$A409=TODAY()),AH!$P$19,IF(AH!$P$10=1,INDEX('Live History'!$B$5:$B$3004,AH!$P$13+404),INDEX('AH History'!$B$1:$B$18046,AH!$P$7+404))),NA()),NA())</ns0:f>
        <ns0:v/>
      </ns0:c>
      <ns0:c r="D409">
        <ns0:f>IFERROR(IF(ISNUMBER($A409),IF(AND(AH!$P$10=1,AH!$P$12=1,$A409=TODAY()),AH!$P$18,IF(AH!$P$10=1,INDEX('Live History'!$E$5:$E$3004,MATCH($A409,'Live History'!$D$5:$D$3004,1)),INDEX('AH History'!$C$1:$C$18046,AH!$P$7+404))),NA()),NA())</ns0:f>
        <ns0:v/>
      </ns0:c>
      <ns0:c r="E409">
        <ns0:f>IFERROR(IF(ISNUMBER($A409),IF(AND(AH!$P$10=1,AH!$P$12=1,$A409=TODAY()),AH!$P$20,IF(AH!$P$10=1,INDEX('Live History'!$H$5:$H$3004,MATCH($A409,'Live History'!$G$5:$G$3004,1)),INDEX('AH History'!$D$1:$D$18046,AH!$P$7+404))),NA()),NA())</ns0:f>
        <ns0:v/>
      </ns0:c>
      <ns0:c r="F409">
        <ns0:f>IFERROR(IF(ISNUMBER($A409),IF(AND(AH!$P$10=1,AH!$P$12=1,$A409=TODAY()),IF(AND(AH!$P$10=1,AH!$P$12=1,$A409=TODAY()),TODAY(),NA()),IF(AH!$P$10=1,INDEX('Live History'!$D$5:$D$3004,MATCH($A409,'Live History'!$D$5:$D$3004,1)),INDEX('AH History'!$E$1:$E$18046,AH!$P$7+404))),NA()),NA())</ns0:f>
        <ns0:v/>
      </ns0:c>
      <ns0:c r="G409">
        <ns0:f>IFERROR(IF(ISNUMBER($A409),IF(AND(AH!$P$10=1,AH!$P$12=1,$A409=TODAY()),IF(AND(AH!$P$10=1,AH!$P$12=1,$A409=TODAY()),TODAY(),NA()),IF(AH!$P$10=1,INDEX('Live History'!$G$5:$G$3004,MATCH($A409,'Live History'!$G$5:$G$3004,1)),INDEX('AH History'!$F$1:$F$18046,AH!$P$7+404))),NA()),NA())</ns0:f>
        <ns0:v/>
      </ns0:c>
      <ns0:c r="H409">
        <ns0:f>IFERROR(IF(AND(AH!$E$4="Bloomberg",AH!$P$10=1,ISNUMBER($A409),$A409&lt;=AH!$P$17),AH!$P$7-1+MATCH($A409,INDEX('AH History'!$A$1:$A$18046,AH!$P$7):INDEX('AH History'!$A$1:$A$18046,AH!$P$7+AH!$P$8-1),0),0),0)</ns0:f>
        <ns0:v/>
      </ns0:c>
      <ns0:c r="I409">
        <ns0:f>IF($H409=0,0,IFERROR(IF(AND(ABS($C409-INDEX('AH History'!$B$1:$B$18046,$H409))&lt;=MAX(0.005,ABS(INDEX('AH History'!$B$1:$B$18046,$H409))*0.00005),ABS($D409-INDEX('AH History'!$C$1:$C$18046,$H409))&lt;=MAX(0.005,ABS(INDEX('AH History'!$C$1:$C$18046,$H409))*0.00005),ABS($E409-INDEX('AH History'!$D$1:$D$18046,$H409))&lt;=0.00005,$F409=INDEX('AH History'!$E$1:$E$18046,$H409),$G409=INDEX('AH History'!$F$1:$F$18046,$H409)),1,-1),-1))</ns0:f>
        <ns0:v/>
      </ns0:c>
    </ns0:row>
    <ns0:row r="410">
      <ns0:c r="A410" s="215">
        <ns0:f>IF(OR(AH!$P$3=0,405+1&gt;AH!$P$11,AND(AH!$E$4&lt;&gt;"Stored",AH!$P$10&lt;&gt;1)),"",IFERROR(IF(AND(AH!$P$21=1,405+1=AH!$P$11),TODAY(),IF(AH!$P$10=1,INDEX('Live History'!$A$5:$A$3004,AH!$P$13+405),INDEX('AH History'!$A$1:$A$18046,AH!$P$7+405))),""))</ns0:f>
        <ns0:v/>
      </ns0:c>
      <ns0:c r="B410" s="219">
        <ns0:f>IFERROR(IF(AND(AH!$P$9&lt;&gt;1,$C410&gt;0,$D410&gt;0,$E410&gt;0,$F410&gt;0,$G410&gt;0,$F410&lt;=$A410,$G410&lt;=$A410,$A410-$F410&lt;=10,$A410-$G410&lt;=5),$D410*$E410/$C410-1,NA()),NA())</ns0:f>
        <ns0:v/>
      </ns0:c>
      <ns0:c r="C410">
        <ns0:f>IFERROR(IF(ISNUMBER($A410),IF(AND(AH!$P$10=1,AH!$P$12=1,$A410=TODAY()),AH!$P$19,IF(AH!$P$10=1,INDEX('Live History'!$B$5:$B$3004,AH!$P$13+405),INDEX('AH History'!$B$1:$B$18046,AH!$P$7+405))),NA()),NA())</ns0:f>
        <ns0:v/>
      </ns0:c>
      <ns0:c r="D410">
        <ns0:f>IFERROR(IF(ISNUMBER($A410),IF(AND(AH!$P$10=1,AH!$P$12=1,$A410=TODAY()),AH!$P$18,IF(AH!$P$10=1,INDEX('Live History'!$E$5:$E$3004,MATCH($A410,'Live History'!$D$5:$D$3004,1)),INDEX('AH History'!$C$1:$C$18046,AH!$P$7+405))),NA()),NA())</ns0:f>
        <ns0:v/>
      </ns0:c>
      <ns0:c r="E410">
        <ns0:f>IFERROR(IF(ISNUMBER($A410),IF(AND(AH!$P$10=1,AH!$P$12=1,$A410=TODAY()),AH!$P$20,IF(AH!$P$10=1,INDEX('Live History'!$H$5:$H$3004,MATCH($A410,'Live History'!$G$5:$G$3004,1)),INDEX('AH History'!$D$1:$D$18046,AH!$P$7+405))),NA()),NA())</ns0:f>
        <ns0:v/>
      </ns0:c>
      <ns0:c r="F410">
        <ns0:f>IFERROR(IF(ISNUMBER($A410),IF(AND(AH!$P$10=1,AH!$P$12=1,$A410=TODAY()),IF(AND(AH!$P$10=1,AH!$P$12=1,$A410=TODAY()),TODAY(),NA()),IF(AH!$P$10=1,INDEX('Live History'!$D$5:$D$3004,MATCH($A410,'Live History'!$D$5:$D$3004,1)),INDEX('AH History'!$E$1:$E$18046,AH!$P$7+405))),NA()),NA())</ns0:f>
        <ns0:v/>
      </ns0:c>
      <ns0:c r="G410">
        <ns0:f>IFERROR(IF(ISNUMBER($A410),IF(AND(AH!$P$10=1,AH!$P$12=1,$A410=TODAY()),IF(AND(AH!$P$10=1,AH!$P$12=1,$A410=TODAY()),TODAY(),NA()),IF(AH!$P$10=1,INDEX('Live History'!$G$5:$G$3004,MATCH($A410,'Live History'!$G$5:$G$3004,1)),INDEX('AH History'!$F$1:$F$18046,AH!$P$7+405))),NA()),NA())</ns0:f>
        <ns0:v/>
      </ns0:c>
      <ns0:c r="H410">
        <ns0:f>IFERROR(IF(AND(AH!$E$4="Bloomberg",AH!$P$10=1,ISNUMBER($A410),$A410&lt;=AH!$P$17),AH!$P$7-1+MATCH($A410,INDEX('AH History'!$A$1:$A$18046,AH!$P$7):INDEX('AH History'!$A$1:$A$18046,AH!$P$7+AH!$P$8-1),0),0),0)</ns0:f>
        <ns0:v/>
      </ns0:c>
      <ns0:c r="I410">
        <ns0:f>IF($H410=0,0,IFERROR(IF(AND(ABS($C410-INDEX('AH History'!$B$1:$B$18046,$H410))&lt;=MAX(0.005,ABS(INDEX('AH History'!$B$1:$B$18046,$H410))*0.00005),ABS($D410-INDEX('AH History'!$C$1:$C$18046,$H410))&lt;=MAX(0.005,ABS(INDEX('AH History'!$C$1:$C$18046,$H410))*0.00005),ABS($E410-INDEX('AH History'!$D$1:$D$18046,$H410))&lt;=0.00005,$F410=INDEX('AH History'!$E$1:$E$18046,$H410),$G410=INDEX('AH History'!$F$1:$F$18046,$H410)),1,-1),-1))</ns0:f>
        <ns0:v/>
      </ns0:c>
    </ns0:row>
    <ns0:row r="411">
      <ns0:c r="A411" s="215">
        <ns0:f>IF(OR(AH!$P$3=0,406+1&gt;AH!$P$11,AND(AH!$E$4&lt;&gt;"Stored",AH!$P$10&lt;&gt;1)),"",IFERROR(IF(AND(AH!$P$21=1,406+1=AH!$P$11),TODAY(),IF(AH!$P$10=1,INDEX('Live History'!$A$5:$A$3004,AH!$P$13+406),INDEX('AH History'!$A$1:$A$18046,AH!$P$7+406))),""))</ns0:f>
        <ns0:v/>
      </ns0:c>
      <ns0:c r="B411" s="219">
        <ns0:f>IFERROR(IF(AND(AH!$P$9&lt;&gt;1,$C411&gt;0,$D411&gt;0,$E411&gt;0,$F411&gt;0,$G411&gt;0,$F411&lt;=$A411,$G411&lt;=$A411,$A411-$F411&lt;=10,$A411-$G411&lt;=5),$D411*$E411/$C411-1,NA()),NA())</ns0:f>
        <ns0:v/>
      </ns0:c>
      <ns0:c r="C411">
        <ns0:f>IFERROR(IF(ISNUMBER($A411),IF(AND(AH!$P$10=1,AH!$P$12=1,$A411=TODAY()),AH!$P$19,IF(AH!$P$10=1,INDEX('Live History'!$B$5:$B$3004,AH!$P$13+406),INDEX('AH History'!$B$1:$B$18046,AH!$P$7+406))),NA()),NA())</ns0:f>
        <ns0:v/>
      </ns0:c>
      <ns0:c r="D411">
        <ns0:f>IFERROR(IF(ISNUMBER($A411),IF(AND(AH!$P$10=1,AH!$P$12=1,$A411=TODAY()),AH!$P$18,IF(AH!$P$10=1,INDEX('Live History'!$E$5:$E$3004,MATCH($A411,'Live History'!$D$5:$D$3004,1)),INDEX('AH History'!$C$1:$C$18046,AH!$P$7+406))),NA()),NA())</ns0:f>
        <ns0:v/>
      </ns0:c>
      <ns0:c r="E411">
        <ns0:f>IFERROR(IF(ISNUMBER($A411),IF(AND(AH!$P$10=1,AH!$P$12=1,$A411=TODAY()),AH!$P$20,IF(AH!$P$10=1,INDEX('Live History'!$H$5:$H$3004,MATCH($A411,'Live History'!$G$5:$G$3004,1)),INDEX('AH History'!$D$1:$D$18046,AH!$P$7+406))),NA()),NA())</ns0:f>
        <ns0:v/>
      </ns0:c>
      <ns0:c r="F411">
        <ns0:f>IFERROR(IF(ISNUMBER($A411),IF(AND(AH!$P$10=1,AH!$P$12=1,$A411=TODAY()),IF(AND(AH!$P$10=1,AH!$P$12=1,$A411=TODAY()),TODAY(),NA()),IF(AH!$P$10=1,INDEX('Live History'!$D$5:$D$3004,MATCH($A411,'Live History'!$D$5:$D$3004,1)),INDEX('AH History'!$E$1:$E$18046,AH!$P$7+406))),NA()),NA())</ns0:f>
        <ns0:v/>
      </ns0:c>
      <ns0:c r="G411">
        <ns0:f>IFERROR(IF(ISNUMBER($A411),IF(AND(AH!$P$10=1,AH!$P$12=1,$A411=TODAY()),IF(AND(AH!$P$10=1,AH!$P$12=1,$A411=TODAY()),TODAY(),NA()),IF(AH!$P$10=1,INDEX('Live History'!$G$5:$G$3004,MATCH($A411,'Live History'!$G$5:$G$3004,1)),INDEX('AH History'!$F$1:$F$18046,AH!$P$7+406))),NA()),NA())</ns0:f>
        <ns0:v/>
      </ns0:c>
      <ns0:c r="H411">
        <ns0:f>IFERROR(IF(AND(AH!$E$4="Bloomberg",AH!$P$10=1,ISNUMBER($A411),$A411&lt;=AH!$P$17),AH!$P$7-1+MATCH($A411,INDEX('AH History'!$A$1:$A$18046,AH!$P$7):INDEX('AH History'!$A$1:$A$18046,AH!$P$7+AH!$P$8-1),0),0),0)</ns0:f>
        <ns0:v/>
      </ns0:c>
      <ns0:c r="I411">
        <ns0:f>IF($H411=0,0,IFERROR(IF(AND(ABS($C411-INDEX('AH History'!$B$1:$B$18046,$H411))&lt;=MAX(0.005,ABS(INDEX('AH History'!$B$1:$B$18046,$H411))*0.00005),ABS($D411-INDEX('AH History'!$C$1:$C$18046,$H411))&lt;=MAX(0.005,ABS(INDEX('AH History'!$C$1:$C$18046,$H411))*0.00005),ABS($E411-INDEX('AH History'!$D$1:$D$18046,$H411))&lt;=0.00005,$F411=INDEX('AH History'!$E$1:$E$18046,$H411),$G411=INDEX('AH History'!$F$1:$F$18046,$H411)),1,-1),-1))</ns0:f>
        <ns0:v/>
      </ns0:c>
    </ns0:row>
    <ns0:row r="412">
      <ns0:c r="A412" s="215">
        <ns0:f>IF(OR(AH!$P$3=0,407+1&gt;AH!$P$11,AND(AH!$E$4&lt;&gt;"Stored",AH!$P$10&lt;&gt;1)),"",IFERROR(IF(AND(AH!$P$21=1,407+1=AH!$P$11),TODAY(),IF(AH!$P$10=1,INDEX('Live History'!$A$5:$A$3004,AH!$P$13+407),INDEX('AH History'!$A$1:$A$18046,AH!$P$7+407))),""))</ns0:f>
        <ns0:v/>
      </ns0:c>
      <ns0:c r="B412" s="219">
        <ns0:f>IFERROR(IF(AND(AH!$P$9&lt;&gt;1,$C412&gt;0,$D412&gt;0,$E412&gt;0,$F412&gt;0,$G412&gt;0,$F412&lt;=$A412,$G412&lt;=$A412,$A412-$F412&lt;=10,$A412-$G412&lt;=5),$D412*$E412/$C412-1,NA()),NA())</ns0:f>
        <ns0:v/>
      </ns0:c>
      <ns0:c r="C412">
        <ns0:f>IFERROR(IF(ISNUMBER($A412),IF(AND(AH!$P$10=1,AH!$P$12=1,$A412=TODAY()),AH!$P$19,IF(AH!$P$10=1,INDEX('Live History'!$B$5:$B$3004,AH!$P$13+407),INDEX('AH History'!$B$1:$B$18046,AH!$P$7+407))),NA()),NA())</ns0:f>
        <ns0:v/>
      </ns0:c>
      <ns0:c r="D412">
        <ns0:f>IFERROR(IF(ISNUMBER($A412),IF(AND(AH!$P$10=1,AH!$P$12=1,$A412=TODAY()),AH!$P$18,IF(AH!$P$10=1,INDEX('Live History'!$E$5:$E$3004,MATCH($A412,'Live History'!$D$5:$D$3004,1)),INDEX('AH History'!$C$1:$C$18046,AH!$P$7+407))),NA()),NA())</ns0:f>
        <ns0:v/>
      </ns0:c>
      <ns0:c r="E412">
        <ns0:f>IFERROR(IF(ISNUMBER($A412),IF(AND(AH!$P$10=1,AH!$P$12=1,$A412=TODAY()),AH!$P$20,IF(AH!$P$10=1,INDEX('Live History'!$H$5:$H$3004,MATCH($A412,'Live History'!$G$5:$G$3004,1)),INDEX('AH History'!$D$1:$D$18046,AH!$P$7+407))),NA()),NA())</ns0:f>
        <ns0:v/>
      </ns0:c>
      <ns0:c r="F412">
        <ns0:f>IFERROR(IF(ISNUMBER($A412),IF(AND(AH!$P$10=1,AH!$P$12=1,$A412=TODAY()),IF(AND(AH!$P$10=1,AH!$P$12=1,$A412=TODAY()),TODAY(),NA()),IF(AH!$P$10=1,INDEX('Live History'!$D$5:$D$3004,MATCH($A412,'Live History'!$D$5:$D$3004,1)),INDEX('AH History'!$E$1:$E$18046,AH!$P$7+407))),NA()),NA())</ns0:f>
        <ns0:v/>
      </ns0:c>
      <ns0:c r="G412">
        <ns0:f>IFERROR(IF(ISNUMBER($A412),IF(AND(AH!$P$10=1,AH!$P$12=1,$A412=TODAY()),IF(AND(AH!$P$10=1,AH!$P$12=1,$A412=TODAY()),TODAY(),NA()),IF(AH!$P$10=1,INDEX('Live History'!$G$5:$G$3004,MATCH($A412,'Live History'!$G$5:$G$3004,1)),INDEX('AH History'!$F$1:$F$18046,AH!$P$7+407))),NA()),NA())</ns0:f>
        <ns0:v/>
      </ns0:c>
      <ns0:c r="H412">
        <ns0:f>IFERROR(IF(AND(AH!$E$4="Bloomberg",AH!$P$10=1,ISNUMBER($A412),$A412&lt;=AH!$P$17),AH!$P$7-1+MATCH($A412,INDEX('AH History'!$A$1:$A$18046,AH!$P$7):INDEX('AH History'!$A$1:$A$18046,AH!$P$7+AH!$P$8-1),0),0),0)</ns0:f>
        <ns0:v/>
      </ns0:c>
      <ns0:c r="I412">
        <ns0:f>IF($H412=0,0,IFERROR(IF(AND(ABS($C412-INDEX('AH History'!$B$1:$B$18046,$H412))&lt;=MAX(0.005,ABS(INDEX('AH History'!$B$1:$B$18046,$H412))*0.00005),ABS($D412-INDEX('AH History'!$C$1:$C$18046,$H412))&lt;=MAX(0.005,ABS(INDEX('AH History'!$C$1:$C$18046,$H412))*0.00005),ABS($E412-INDEX('AH History'!$D$1:$D$18046,$H412))&lt;=0.00005,$F412=INDEX('AH History'!$E$1:$E$18046,$H412),$G412=INDEX('AH History'!$F$1:$F$18046,$H412)),1,-1),-1))</ns0:f>
        <ns0:v/>
      </ns0:c>
    </ns0:row>
    <ns0:row r="413">
      <ns0:c r="A413" s="215">
        <ns0:f>IF(OR(AH!$P$3=0,408+1&gt;AH!$P$11,AND(AH!$E$4&lt;&gt;"Stored",AH!$P$10&lt;&gt;1)),"",IFERROR(IF(AND(AH!$P$21=1,408+1=AH!$P$11),TODAY(),IF(AH!$P$10=1,INDEX('Live History'!$A$5:$A$3004,AH!$P$13+408),INDEX('AH History'!$A$1:$A$18046,AH!$P$7+408))),""))</ns0:f>
        <ns0:v/>
      </ns0:c>
      <ns0:c r="B413" s="219">
        <ns0:f>IFERROR(IF(AND(AH!$P$9&lt;&gt;1,$C413&gt;0,$D413&gt;0,$E413&gt;0,$F413&gt;0,$G413&gt;0,$F413&lt;=$A413,$G413&lt;=$A413,$A413-$F413&lt;=10,$A413-$G413&lt;=5),$D413*$E413/$C413-1,NA()),NA())</ns0:f>
        <ns0:v/>
      </ns0:c>
      <ns0:c r="C413">
        <ns0:f>IFERROR(IF(ISNUMBER($A413),IF(AND(AH!$P$10=1,AH!$P$12=1,$A413=TODAY()),AH!$P$19,IF(AH!$P$10=1,INDEX('Live History'!$B$5:$B$3004,AH!$P$13+408),INDEX('AH History'!$B$1:$B$18046,AH!$P$7+408))),NA()),NA())</ns0:f>
        <ns0:v/>
      </ns0:c>
      <ns0:c r="D413">
        <ns0:f>IFERROR(IF(ISNUMBER($A413),IF(AND(AH!$P$10=1,AH!$P$12=1,$A413=TODAY()),AH!$P$18,IF(AH!$P$10=1,INDEX('Live History'!$E$5:$E$3004,MATCH($A413,'Live History'!$D$5:$D$3004,1)),INDEX('AH History'!$C$1:$C$18046,AH!$P$7+408))),NA()),NA())</ns0:f>
        <ns0:v/>
      </ns0:c>
      <ns0:c r="E413">
        <ns0:f>IFERROR(IF(ISNUMBER($A413),IF(AND(AH!$P$10=1,AH!$P$12=1,$A413=TODAY()),AH!$P$20,IF(AH!$P$10=1,INDEX('Live History'!$H$5:$H$3004,MATCH($A413,'Live History'!$G$5:$G$3004,1)),INDEX('AH History'!$D$1:$D$18046,AH!$P$7+408))),NA()),NA())</ns0:f>
        <ns0:v/>
      </ns0:c>
      <ns0:c r="F413">
        <ns0:f>IFERROR(IF(ISNUMBER($A413),IF(AND(AH!$P$10=1,AH!$P$12=1,$A413=TODAY()),IF(AND(AH!$P$10=1,AH!$P$12=1,$A413=TODAY()),TODAY(),NA()),IF(AH!$P$10=1,INDEX('Live History'!$D$5:$D$3004,MATCH($A413,'Live History'!$D$5:$D$3004,1)),INDEX('AH History'!$E$1:$E$18046,AH!$P$7+408))),NA()),NA())</ns0:f>
        <ns0:v/>
      </ns0:c>
      <ns0:c r="G413">
        <ns0:f>IFERROR(IF(ISNUMBER($A413),IF(AND(AH!$P$10=1,AH!$P$12=1,$A413=TODAY()),IF(AND(AH!$P$10=1,AH!$P$12=1,$A413=TODAY()),TODAY(),NA()),IF(AH!$P$10=1,INDEX('Live History'!$G$5:$G$3004,MATCH($A413,'Live History'!$G$5:$G$3004,1)),INDEX('AH History'!$F$1:$F$18046,AH!$P$7+408))),NA()),NA())</ns0:f>
        <ns0:v/>
      </ns0:c>
      <ns0:c r="H413">
        <ns0:f>IFERROR(IF(AND(AH!$E$4="Bloomberg",AH!$P$10=1,ISNUMBER($A413),$A413&lt;=AH!$P$17),AH!$P$7-1+MATCH($A413,INDEX('AH History'!$A$1:$A$18046,AH!$P$7):INDEX('AH History'!$A$1:$A$18046,AH!$P$7+AH!$P$8-1),0),0),0)</ns0:f>
        <ns0:v/>
      </ns0:c>
      <ns0:c r="I413">
        <ns0:f>IF($H413=0,0,IFERROR(IF(AND(ABS($C413-INDEX('AH History'!$B$1:$B$18046,$H413))&lt;=MAX(0.005,ABS(INDEX('AH History'!$B$1:$B$18046,$H413))*0.00005),ABS($D413-INDEX('AH History'!$C$1:$C$18046,$H413))&lt;=MAX(0.005,ABS(INDEX('AH History'!$C$1:$C$18046,$H413))*0.00005),ABS($E413-INDEX('AH History'!$D$1:$D$18046,$H413))&lt;=0.00005,$F413=INDEX('AH History'!$E$1:$E$18046,$H413),$G413=INDEX('AH History'!$F$1:$F$18046,$H413)),1,-1),-1))</ns0:f>
        <ns0:v/>
      </ns0:c>
    </ns0:row>
    <ns0:row r="414">
      <ns0:c r="A414" s="215">
        <ns0:f>IF(OR(AH!$P$3=0,409+1&gt;AH!$P$11,AND(AH!$E$4&lt;&gt;"Stored",AH!$P$10&lt;&gt;1)),"",IFERROR(IF(AND(AH!$P$21=1,409+1=AH!$P$11),TODAY(),IF(AH!$P$10=1,INDEX('Live History'!$A$5:$A$3004,AH!$P$13+409),INDEX('AH History'!$A$1:$A$18046,AH!$P$7+409))),""))</ns0:f>
        <ns0:v/>
      </ns0:c>
      <ns0:c r="B414" s="219">
        <ns0:f>IFERROR(IF(AND(AH!$P$9&lt;&gt;1,$C414&gt;0,$D414&gt;0,$E414&gt;0,$F414&gt;0,$G414&gt;0,$F414&lt;=$A414,$G414&lt;=$A414,$A414-$F414&lt;=10,$A414-$G414&lt;=5),$D414*$E414/$C414-1,NA()),NA())</ns0:f>
        <ns0:v/>
      </ns0:c>
      <ns0:c r="C414">
        <ns0:f>IFERROR(IF(ISNUMBER($A414),IF(AND(AH!$P$10=1,AH!$P$12=1,$A414=TODAY()),AH!$P$19,IF(AH!$P$10=1,INDEX('Live History'!$B$5:$B$3004,AH!$P$13+409),INDEX('AH History'!$B$1:$B$18046,AH!$P$7+409))),NA()),NA())</ns0:f>
        <ns0:v/>
      </ns0:c>
      <ns0:c r="D414">
        <ns0:f>IFERROR(IF(ISNUMBER($A414),IF(AND(AH!$P$10=1,AH!$P$12=1,$A414=TODAY()),AH!$P$18,IF(AH!$P$10=1,INDEX('Live History'!$E$5:$E$3004,MATCH($A414,'Live History'!$D$5:$D$3004,1)),INDEX('AH History'!$C$1:$C$18046,AH!$P$7+409))),NA()),NA())</ns0:f>
        <ns0:v/>
      </ns0:c>
      <ns0:c r="E414">
        <ns0:f>IFERROR(IF(ISNUMBER($A414),IF(AND(AH!$P$10=1,AH!$P$12=1,$A414=TODAY()),AH!$P$20,IF(AH!$P$10=1,INDEX('Live History'!$H$5:$H$3004,MATCH($A414,'Live History'!$G$5:$G$3004,1)),INDEX('AH History'!$D$1:$D$18046,AH!$P$7+409))),NA()),NA())</ns0:f>
        <ns0:v/>
      </ns0:c>
      <ns0:c r="F414">
        <ns0:f>IFERROR(IF(ISNUMBER($A414),IF(AND(AH!$P$10=1,AH!$P$12=1,$A414=TODAY()),IF(AND(AH!$P$10=1,AH!$P$12=1,$A414=TODAY()),TODAY(),NA()),IF(AH!$P$10=1,INDEX('Live History'!$D$5:$D$3004,MATCH($A414,'Live History'!$D$5:$D$3004,1)),INDEX('AH History'!$E$1:$E$18046,AH!$P$7+409))),NA()),NA())</ns0:f>
        <ns0:v/>
      </ns0:c>
      <ns0:c r="G414">
        <ns0:f>IFERROR(IF(ISNUMBER($A414),IF(AND(AH!$P$10=1,AH!$P$12=1,$A414=TODAY()),IF(AND(AH!$P$10=1,AH!$P$12=1,$A414=TODAY()),TODAY(),NA()),IF(AH!$P$10=1,INDEX('Live History'!$G$5:$G$3004,MATCH($A414,'Live History'!$G$5:$G$3004,1)),INDEX('AH History'!$F$1:$F$18046,AH!$P$7+409))),NA()),NA())</ns0:f>
        <ns0:v/>
      </ns0:c>
      <ns0:c r="H414">
        <ns0:f>IFERROR(IF(AND(AH!$E$4="Bloomberg",AH!$P$10=1,ISNUMBER($A414),$A414&lt;=AH!$P$17),AH!$P$7-1+MATCH($A414,INDEX('AH History'!$A$1:$A$18046,AH!$P$7):INDEX('AH History'!$A$1:$A$18046,AH!$P$7+AH!$P$8-1),0),0),0)</ns0:f>
        <ns0:v/>
      </ns0:c>
      <ns0:c r="I414">
        <ns0:f>IF($H414=0,0,IFERROR(IF(AND(ABS($C414-INDEX('AH History'!$B$1:$B$18046,$H414))&lt;=MAX(0.005,ABS(INDEX('AH History'!$B$1:$B$18046,$H414))*0.00005),ABS($D414-INDEX('AH History'!$C$1:$C$18046,$H414))&lt;=MAX(0.005,ABS(INDEX('AH History'!$C$1:$C$18046,$H414))*0.00005),ABS($E414-INDEX('AH History'!$D$1:$D$18046,$H414))&lt;=0.00005,$F414=INDEX('AH History'!$E$1:$E$18046,$H414),$G414=INDEX('AH History'!$F$1:$F$18046,$H414)),1,-1),-1))</ns0:f>
        <ns0:v/>
      </ns0:c>
    </ns0:row>
    <ns0:row r="415">
      <ns0:c r="A415" s="215">
        <ns0:f>IF(OR(AH!$P$3=0,410+1&gt;AH!$P$11,AND(AH!$E$4&lt;&gt;"Stored",AH!$P$10&lt;&gt;1)),"",IFERROR(IF(AND(AH!$P$21=1,410+1=AH!$P$11),TODAY(),IF(AH!$P$10=1,INDEX('Live History'!$A$5:$A$3004,AH!$P$13+410),INDEX('AH History'!$A$1:$A$18046,AH!$P$7+410))),""))</ns0:f>
        <ns0:v/>
      </ns0:c>
      <ns0:c r="B415" s="219">
        <ns0:f>IFERROR(IF(AND(AH!$P$9&lt;&gt;1,$C415&gt;0,$D415&gt;0,$E415&gt;0,$F415&gt;0,$G415&gt;0,$F415&lt;=$A415,$G415&lt;=$A415,$A415-$F415&lt;=10,$A415-$G415&lt;=5),$D415*$E415/$C415-1,NA()),NA())</ns0:f>
        <ns0:v/>
      </ns0:c>
      <ns0:c r="C415">
        <ns0:f>IFERROR(IF(ISNUMBER($A415),IF(AND(AH!$P$10=1,AH!$P$12=1,$A415=TODAY()),AH!$P$19,IF(AH!$P$10=1,INDEX('Live History'!$B$5:$B$3004,AH!$P$13+410),INDEX('AH History'!$B$1:$B$18046,AH!$P$7+410))),NA()),NA())</ns0:f>
        <ns0:v/>
      </ns0:c>
      <ns0:c r="D415">
        <ns0:f>IFERROR(IF(ISNUMBER($A415),IF(AND(AH!$P$10=1,AH!$P$12=1,$A415=TODAY()),AH!$P$18,IF(AH!$P$10=1,INDEX('Live History'!$E$5:$E$3004,MATCH($A415,'Live History'!$D$5:$D$3004,1)),INDEX('AH History'!$C$1:$C$18046,AH!$P$7+410))),NA()),NA())</ns0:f>
        <ns0:v/>
      </ns0:c>
      <ns0:c r="E415">
        <ns0:f>IFERROR(IF(ISNUMBER($A415),IF(AND(AH!$P$10=1,AH!$P$12=1,$A415=TODAY()),AH!$P$20,IF(AH!$P$10=1,INDEX('Live History'!$H$5:$H$3004,MATCH($A415,'Live History'!$G$5:$G$3004,1)),INDEX('AH History'!$D$1:$D$18046,AH!$P$7+410))),NA()),NA())</ns0:f>
        <ns0:v/>
      </ns0:c>
      <ns0:c r="F415">
        <ns0:f>IFERROR(IF(ISNUMBER($A415),IF(AND(AH!$P$10=1,AH!$P$12=1,$A415=TODAY()),IF(AND(AH!$P$10=1,AH!$P$12=1,$A415=TODAY()),TODAY(),NA()),IF(AH!$P$10=1,INDEX('Live History'!$D$5:$D$3004,MATCH($A415,'Live History'!$D$5:$D$3004,1)),INDEX('AH History'!$E$1:$E$18046,AH!$P$7+410))),NA()),NA())</ns0:f>
        <ns0:v/>
      </ns0:c>
      <ns0:c r="G415">
        <ns0:f>IFERROR(IF(ISNUMBER($A415),IF(AND(AH!$P$10=1,AH!$P$12=1,$A415=TODAY()),IF(AND(AH!$P$10=1,AH!$P$12=1,$A415=TODAY()),TODAY(),NA()),IF(AH!$P$10=1,INDEX('Live History'!$G$5:$G$3004,MATCH($A415,'Live History'!$G$5:$G$3004,1)),INDEX('AH History'!$F$1:$F$18046,AH!$P$7+410))),NA()),NA())</ns0:f>
        <ns0:v/>
      </ns0:c>
      <ns0:c r="H415">
        <ns0:f>IFERROR(IF(AND(AH!$E$4="Bloomberg",AH!$P$10=1,ISNUMBER($A415),$A415&lt;=AH!$P$17),AH!$P$7-1+MATCH($A415,INDEX('AH History'!$A$1:$A$18046,AH!$P$7):INDEX('AH History'!$A$1:$A$18046,AH!$P$7+AH!$P$8-1),0),0),0)</ns0:f>
        <ns0:v/>
      </ns0:c>
      <ns0:c r="I415">
        <ns0:f>IF($H415=0,0,IFERROR(IF(AND(ABS($C415-INDEX('AH History'!$B$1:$B$18046,$H415))&lt;=MAX(0.005,ABS(INDEX('AH History'!$B$1:$B$18046,$H415))*0.00005),ABS($D415-INDEX('AH History'!$C$1:$C$18046,$H415))&lt;=MAX(0.005,ABS(INDEX('AH History'!$C$1:$C$18046,$H415))*0.00005),ABS($E415-INDEX('AH History'!$D$1:$D$18046,$H415))&lt;=0.00005,$F415=INDEX('AH History'!$E$1:$E$18046,$H415),$G415=INDEX('AH History'!$F$1:$F$18046,$H415)),1,-1),-1))</ns0:f>
        <ns0:v/>
      </ns0:c>
    </ns0:row>
    <ns0:row r="416">
      <ns0:c r="A416" s="215">
        <ns0:f>IF(OR(AH!$P$3=0,411+1&gt;AH!$P$11,AND(AH!$E$4&lt;&gt;"Stored",AH!$P$10&lt;&gt;1)),"",IFERROR(IF(AND(AH!$P$21=1,411+1=AH!$P$11),TODAY(),IF(AH!$P$10=1,INDEX('Live History'!$A$5:$A$3004,AH!$P$13+411),INDEX('AH History'!$A$1:$A$18046,AH!$P$7+411))),""))</ns0:f>
        <ns0:v/>
      </ns0:c>
      <ns0:c r="B416" s="219">
        <ns0:f>IFERROR(IF(AND(AH!$P$9&lt;&gt;1,$C416&gt;0,$D416&gt;0,$E416&gt;0,$F416&gt;0,$G416&gt;0,$F416&lt;=$A416,$G416&lt;=$A416,$A416-$F416&lt;=10,$A416-$G416&lt;=5),$D416*$E416/$C416-1,NA()),NA())</ns0:f>
        <ns0:v/>
      </ns0:c>
      <ns0:c r="C416">
        <ns0:f>IFERROR(IF(ISNUMBER($A416),IF(AND(AH!$P$10=1,AH!$P$12=1,$A416=TODAY()),AH!$P$19,IF(AH!$P$10=1,INDEX('Live History'!$B$5:$B$3004,AH!$P$13+411),INDEX('AH History'!$B$1:$B$18046,AH!$P$7+411))),NA()),NA())</ns0:f>
        <ns0:v/>
      </ns0:c>
      <ns0:c r="D416">
        <ns0:f>IFERROR(IF(ISNUMBER($A416),IF(AND(AH!$P$10=1,AH!$P$12=1,$A416=TODAY()),AH!$P$18,IF(AH!$P$10=1,INDEX('Live History'!$E$5:$E$3004,MATCH($A416,'Live History'!$D$5:$D$3004,1)),INDEX('AH History'!$C$1:$C$18046,AH!$P$7+411))),NA()),NA())</ns0:f>
        <ns0:v/>
      </ns0:c>
      <ns0:c r="E416">
        <ns0:f>IFERROR(IF(ISNUMBER($A416),IF(AND(AH!$P$10=1,AH!$P$12=1,$A416=TODAY()),AH!$P$20,IF(AH!$P$10=1,INDEX('Live History'!$H$5:$H$3004,MATCH($A416,'Live History'!$G$5:$G$3004,1)),INDEX('AH History'!$D$1:$D$18046,AH!$P$7+411))),NA()),NA())</ns0:f>
        <ns0:v/>
      </ns0:c>
      <ns0:c r="F416">
        <ns0:f>IFERROR(IF(ISNUMBER($A416),IF(AND(AH!$P$10=1,AH!$P$12=1,$A416=TODAY()),IF(AND(AH!$P$10=1,AH!$P$12=1,$A416=TODAY()),TODAY(),NA()),IF(AH!$P$10=1,INDEX('Live History'!$D$5:$D$3004,MATCH($A416,'Live History'!$D$5:$D$3004,1)),INDEX('AH History'!$E$1:$E$18046,AH!$P$7+411))),NA()),NA())</ns0:f>
        <ns0:v/>
      </ns0:c>
      <ns0:c r="G416">
        <ns0:f>IFERROR(IF(ISNUMBER($A416),IF(AND(AH!$P$10=1,AH!$P$12=1,$A416=TODAY()),IF(AND(AH!$P$10=1,AH!$P$12=1,$A416=TODAY()),TODAY(),NA()),IF(AH!$P$10=1,INDEX('Live History'!$G$5:$G$3004,MATCH($A416,'Live History'!$G$5:$G$3004,1)),INDEX('AH History'!$F$1:$F$18046,AH!$P$7+411))),NA()),NA())</ns0:f>
        <ns0:v/>
      </ns0:c>
      <ns0:c r="H416">
        <ns0:f>IFERROR(IF(AND(AH!$E$4="Bloomberg",AH!$P$10=1,ISNUMBER($A416),$A416&lt;=AH!$P$17),AH!$P$7-1+MATCH($A416,INDEX('AH History'!$A$1:$A$18046,AH!$P$7):INDEX('AH History'!$A$1:$A$18046,AH!$P$7+AH!$P$8-1),0),0),0)</ns0:f>
        <ns0:v/>
      </ns0:c>
      <ns0:c r="I416">
        <ns0:f>IF($H416=0,0,IFERROR(IF(AND(ABS($C416-INDEX('AH History'!$B$1:$B$18046,$H416))&lt;=MAX(0.005,ABS(INDEX('AH History'!$B$1:$B$18046,$H416))*0.00005),ABS($D416-INDEX('AH History'!$C$1:$C$18046,$H416))&lt;=MAX(0.005,ABS(INDEX('AH History'!$C$1:$C$18046,$H416))*0.00005),ABS($E416-INDEX('AH History'!$D$1:$D$18046,$H416))&lt;=0.00005,$F416=INDEX('AH History'!$E$1:$E$18046,$H416),$G416=INDEX('AH History'!$F$1:$F$18046,$H416)),1,-1),-1))</ns0:f>
        <ns0:v/>
      </ns0:c>
    </ns0:row>
    <ns0:row r="417">
      <ns0:c r="A417" s="215">
        <ns0:f>IF(OR(AH!$P$3=0,412+1&gt;AH!$P$11,AND(AH!$E$4&lt;&gt;"Stored",AH!$P$10&lt;&gt;1)),"",IFERROR(IF(AND(AH!$P$21=1,412+1=AH!$P$11),TODAY(),IF(AH!$P$10=1,INDEX('Live History'!$A$5:$A$3004,AH!$P$13+412),INDEX('AH History'!$A$1:$A$18046,AH!$P$7+412))),""))</ns0:f>
        <ns0:v/>
      </ns0:c>
      <ns0:c r="B417" s="219">
        <ns0:f>IFERROR(IF(AND(AH!$P$9&lt;&gt;1,$C417&gt;0,$D417&gt;0,$E417&gt;0,$F417&gt;0,$G417&gt;0,$F417&lt;=$A417,$G417&lt;=$A417,$A417-$F417&lt;=10,$A417-$G417&lt;=5),$D417*$E417/$C417-1,NA()),NA())</ns0:f>
        <ns0:v/>
      </ns0:c>
      <ns0:c r="C417">
        <ns0:f>IFERROR(IF(ISNUMBER($A417),IF(AND(AH!$P$10=1,AH!$P$12=1,$A417=TODAY()),AH!$P$19,IF(AH!$P$10=1,INDEX('Live History'!$B$5:$B$3004,AH!$P$13+412),INDEX('AH History'!$B$1:$B$18046,AH!$P$7+412))),NA()),NA())</ns0:f>
        <ns0:v/>
      </ns0:c>
      <ns0:c r="D417">
        <ns0:f>IFERROR(IF(ISNUMBER($A417),IF(AND(AH!$P$10=1,AH!$P$12=1,$A417=TODAY()),AH!$P$18,IF(AH!$P$10=1,INDEX('Live History'!$E$5:$E$3004,MATCH($A417,'Live History'!$D$5:$D$3004,1)),INDEX('AH History'!$C$1:$C$18046,AH!$P$7+412))),NA()),NA())</ns0:f>
        <ns0:v/>
      </ns0:c>
      <ns0:c r="E417">
        <ns0:f>IFERROR(IF(ISNUMBER($A417),IF(AND(AH!$P$10=1,AH!$P$12=1,$A417=TODAY()),AH!$P$20,IF(AH!$P$10=1,INDEX('Live History'!$H$5:$H$3004,MATCH($A417,'Live History'!$G$5:$G$3004,1)),INDEX('AH History'!$D$1:$D$18046,AH!$P$7+412))),NA()),NA())</ns0:f>
        <ns0:v/>
      </ns0:c>
      <ns0:c r="F417">
        <ns0:f>IFERROR(IF(ISNUMBER($A417),IF(AND(AH!$P$10=1,AH!$P$12=1,$A417=TODAY()),IF(AND(AH!$P$10=1,AH!$P$12=1,$A417=TODAY()),TODAY(),NA()),IF(AH!$P$10=1,INDEX('Live History'!$D$5:$D$3004,MATCH($A417,'Live History'!$D$5:$D$3004,1)),INDEX('AH History'!$E$1:$E$18046,AH!$P$7+412))),NA()),NA())</ns0:f>
        <ns0:v/>
      </ns0:c>
      <ns0:c r="G417">
        <ns0:f>IFERROR(IF(ISNUMBER($A417),IF(AND(AH!$P$10=1,AH!$P$12=1,$A417=TODAY()),IF(AND(AH!$P$10=1,AH!$P$12=1,$A417=TODAY()),TODAY(),NA()),IF(AH!$P$10=1,INDEX('Live History'!$G$5:$G$3004,MATCH($A417,'Live History'!$G$5:$G$3004,1)),INDEX('AH History'!$F$1:$F$18046,AH!$P$7+412))),NA()),NA())</ns0:f>
        <ns0:v/>
      </ns0:c>
      <ns0:c r="H417">
        <ns0:f>IFERROR(IF(AND(AH!$E$4="Bloomberg",AH!$P$10=1,ISNUMBER($A417),$A417&lt;=AH!$P$17),AH!$P$7-1+MATCH($A417,INDEX('AH History'!$A$1:$A$18046,AH!$P$7):INDEX('AH History'!$A$1:$A$18046,AH!$P$7+AH!$P$8-1),0),0),0)</ns0:f>
        <ns0:v/>
      </ns0:c>
      <ns0:c r="I417">
        <ns0:f>IF($H417=0,0,IFERROR(IF(AND(ABS($C417-INDEX('AH History'!$B$1:$B$18046,$H417))&lt;=MAX(0.005,ABS(INDEX('AH History'!$B$1:$B$18046,$H417))*0.00005),ABS($D417-INDEX('AH History'!$C$1:$C$18046,$H417))&lt;=MAX(0.005,ABS(INDEX('AH History'!$C$1:$C$18046,$H417))*0.00005),ABS($E417-INDEX('AH History'!$D$1:$D$18046,$H417))&lt;=0.00005,$F417=INDEX('AH History'!$E$1:$E$18046,$H417),$G417=INDEX('AH History'!$F$1:$F$18046,$H417)),1,-1),-1))</ns0:f>
        <ns0:v/>
      </ns0:c>
    </ns0:row>
    <ns0:row r="418">
      <ns0:c r="A418" s="215">
        <ns0:f>IF(OR(AH!$P$3=0,413+1&gt;AH!$P$11,AND(AH!$E$4&lt;&gt;"Stored",AH!$P$10&lt;&gt;1)),"",IFERROR(IF(AND(AH!$P$21=1,413+1=AH!$P$11),TODAY(),IF(AH!$P$10=1,INDEX('Live History'!$A$5:$A$3004,AH!$P$13+413),INDEX('AH History'!$A$1:$A$18046,AH!$P$7+413))),""))</ns0:f>
        <ns0:v/>
      </ns0:c>
      <ns0:c r="B418" s="219">
        <ns0:f>IFERROR(IF(AND(AH!$P$9&lt;&gt;1,$C418&gt;0,$D418&gt;0,$E418&gt;0,$F418&gt;0,$G418&gt;0,$F418&lt;=$A418,$G418&lt;=$A418,$A418-$F418&lt;=10,$A418-$G418&lt;=5),$D418*$E418/$C418-1,NA()),NA())</ns0:f>
        <ns0:v/>
      </ns0:c>
      <ns0:c r="C418">
        <ns0:f>IFERROR(IF(ISNUMBER($A418),IF(AND(AH!$P$10=1,AH!$P$12=1,$A418=TODAY()),AH!$P$19,IF(AH!$P$10=1,INDEX('Live History'!$B$5:$B$3004,AH!$P$13+413),INDEX('AH History'!$B$1:$B$18046,AH!$P$7+413))),NA()),NA())</ns0:f>
        <ns0:v/>
      </ns0:c>
      <ns0:c r="D418">
        <ns0:f>IFERROR(IF(ISNUMBER($A418),IF(AND(AH!$P$10=1,AH!$P$12=1,$A418=TODAY()),AH!$P$18,IF(AH!$P$10=1,INDEX('Live History'!$E$5:$E$3004,MATCH($A418,'Live History'!$D$5:$D$3004,1)),INDEX('AH History'!$C$1:$C$18046,AH!$P$7+413))),NA()),NA())</ns0:f>
        <ns0:v/>
      </ns0:c>
      <ns0:c r="E418">
        <ns0:f>IFERROR(IF(ISNUMBER($A418),IF(AND(AH!$P$10=1,AH!$P$12=1,$A418=TODAY()),AH!$P$20,IF(AH!$P$10=1,INDEX('Live History'!$H$5:$H$3004,MATCH($A418,'Live History'!$G$5:$G$3004,1)),INDEX('AH History'!$D$1:$D$18046,AH!$P$7+413))),NA()),NA())</ns0:f>
        <ns0:v/>
      </ns0:c>
      <ns0:c r="F418">
        <ns0:f>IFERROR(IF(ISNUMBER($A418),IF(AND(AH!$P$10=1,AH!$P$12=1,$A418=TODAY()),IF(AND(AH!$P$10=1,AH!$P$12=1,$A418=TODAY()),TODAY(),NA()),IF(AH!$P$10=1,INDEX('Live History'!$D$5:$D$3004,MATCH($A418,'Live History'!$D$5:$D$3004,1)),INDEX('AH History'!$E$1:$E$18046,AH!$P$7+413))),NA()),NA())</ns0:f>
        <ns0:v/>
      </ns0:c>
      <ns0:c r="G418">
        <ns0:f>IFERROR(IF(ISNUMBER($A418),IF(AND(AH!$P$10=1,AH!$P$12=1,$A418=TODAY()),IF(AND(AH!$P$10=1,AH!$P$12=1,$A418=TODAY()),TODAY(),NA()),IF(AH!$P$10=1,INDEX('Live History'!$G$5:$G$3004,MATCH($A418,'Live History'!$G$5:$G$3004,1)),INDEX('AH History'!$F$1:$F$18046,AH!$P$7+413))),NA()),NA())</ns0:f>
        <ns0:v/>
      </ns0:c>
      <ns0:c r="H418">
        <ns0:f>IFERROR(IF(AND(AH!$E$4="Bloomberg",AH!$P$10=1,ISNUMBER($A418),$A418&lt;=AH!$P$17),AH!$P$7-1+MATCH($A418,INDEX('AH History'!$A$1:$A$18046,AH!$P$7):INDEX('AH History'!$A$1:$A$18046,AH!$P$7+AH!$P$8-1),0),0),0)</ns0:f>
        <ns0:v/>
      </ns0:c>
      <ns0:c r="I418">
        <ns0:f>IF($H418=0,0,IFERROR(IF(AND(ABS($C418-INDEX('AH History'!$B$1:$B$18046,$H418))&lt;=MAX(0.005,ABS(INDEX('AH History'!$B$1:$B$18046,$H418))*0.00005),ABS($D418-INDEX('AH History'!$C$1:$C$18046,$H418))&lt;=MAX(0.005,ABS(INDEX('AH History'!$C$1:$C$18046,$H418))*0.00005),ABS($E418-INDEX('AH History'!$D$1:$D$18046,$H418))&lt;=0.00005,$F418=INDEX('AH History'!$E$1:$E$18046,$H418),$G418=INDEX('AH History'!$F$1:$F$18046,$H418)),1,-1),-1))</ns0:f>
        <ns0:v/>
      </ns0:c>
    </ns0:row>
    <ns0:row r="419">
      <ns0:c r="A419" s="215">
        <ns0:f>IF(OR(AH!$P$3=0,414+1&gt;AH!$P$11,AND(AH!$E$4&lt;&gt;"Stored",AH!$P$10&lt;&gt;1)),"",IFERROR(IF(AND(AH!$P$21=1,414+1=AH!$P$11),TODAY(),IF(AH!$P$10=1,INDEX('Live History'!$A$5:$A$3004,AH!$P$13+414),INDEX('AH History'!$A$1:$A$18046,AH!$P$7+414))),""))</ns0:f>
        <ns0:v/>
      </ns0:c>
      <ns0:c r="B419" s="219">
        <ns0:f>IFERROR(IF(AND(AH!$P$9&lt;&gt;1,$C419&gt;0,$D419&gt;0,$E419&gt;0,$F419&gt;0,$G419&gt;0,$F419&lt;=$A419,$G419&lt;=$A419,$A419-$F419&lt;=10,$A419-$G419&lt;=5),$D419*$E419/$C419-1,NA()),NA())</ns0:f>
        <ns0:v/>
      </ns0:c>
      <ns0:c r="C419">
        <ns0:f>IFERROR(IF(ISNUMBER($A419),IF(AND(AH!$P$10=1,AH!$P$12=1,$A419=TODAY()),AH!$P$19,IF(AH!$P$10=1,INDEX('Live History'!$B$5:$B$3004,AH!$P$13+414),INDEX('AH History'!$B$1:$B$18046,AH!$P$7+414))),NA()),NA())</ns0:f>
        <ns0:v/>
      </ns0:c>
      <ns0:c r="D419">
        <ns0:f>IFERROR(IF(ISNUMBER($A419),IF(AND(AH!$P$10=1,AH!$P$12=1,$A419=TODAY()),AH!$P$18,IF(AH!$P$10=1,INDEX('Live History'!$E$5:$E$3004,MATCH($A419,'Live History'!$D$5:$D$3004,1)),INDEX('AH History'!$C$1:$C$18046,AH!$P$7+414))),NA()),NA())</ns0:f>
        <ns0:v/>
      </ns0:c>
      <ns0:c r="E419">
        <ns0:f>IFERROR(IF(ISNUMBER($A419),IF(AND(AH!$P$10=1,AH!$P$12=1,$A419=TODAY()),AH!$P$20,IF(AH!$P$10=1,INDEX('Live History'!$H$5:$H$3004,MATCH($A419,'Live History'!$G$5:$G$3004,1)),INDEX('AH History'!$D$1:$D$18046,AH!$P$7+414))),NA()),NA())</ns0:f>
        <ns0:v/>
      </ns0:c>
      <ns0:c r="F419">
        <ns0:f>IFERROR(IF(ISNUMBER($A419),IF(AND(AH!$P$10=1,AH!$P$12=1,$A419=TODAY()),IF(AND(AH!$P$10=1,AH!$P$12=1,$A419=TODAY()),TODAY(),NA()),IF(AH!$P$10=1,INDEX('Live History'!$D$5:$D$3004,MATCH($A419,'Live History'!$D$5:$D$3004,1)),INDEX('AH History'!$E$1:$E$18046,AH!$P$7+414))),NA()),NA())</ns0:f>
        <ns0:v/>
      </ns0:c>
      <ns0:c r="G419">
        <ns0:f>IFERROR(IF(ISNUMBER($A419),IF(AND(AH!$P$10=1,AH!$P$12=1,$A419=TODAY()),IF(AND(AH!$P$10=1,AH!$P$12=1,$A419=TODAY()),TODAY(),NA()),IF(AH!$P$10=1,INDEX('Live History'!$G$5:$G$3004,MATCH($A419,'Live History'!$G$5:$G$3004,1)),INDEX('AH History'!$F$1:$F$18046,AH!$P$7+414))),NA()),NA())</ns0:f>
        <ns0:v/>
      </ns0:c>
      <ns0:c r="H419">
        <ns0:f>IFERROR(IF(AND(AH!$E$4="Bloomberg",AH!$P$10=1,ISNUMBER($A419),$A419&lt;=AH!$P$17),AH!$P$7-1+MATCH($A419,INDEX('AH History'!$A$1:$A$18046,AH!$P$7):INDEX('AH History'!$A$1:$A$18046,AH!$P$7+AH!$P$8-1),0),0),0)</ns0:f>
        <ns0:v/>
      </ns0:c>
      <ns0:c r="I419">
        <ns0:f>IF($H419=0,0,IFERROR(IF(AND(ABS($C419-INDEX('AH History'!$B$1:$B$18046,$H419))&lt;=MAX(0.005,ABS(INDEX('AH History'!$B$1:$B$18046,$H419))*0.00005),ABS($D419-INDEX('AH History'!$C$1:$C$18046,$H419))&lt;=MAX(0.005,ABS(INDEX('AH History'!$C$1:$C$18046,$H419))*0.00005),ABS($E419-INDEX('AH History'!$D$1:$D$18046,$H419))&lt;=0.00005,$F419=INDEX('AH History'!$E$1:$E$18046,$H419),$G419=INDEX('AH History'!$F$1:$F$18046,$H419)),1,-1),-1))</ns0:f>
        <ns0:v/>
      </ns0:c>
    </ns0:row>
    <ns0:row r="420">
      <ns0:c r="A420" s="215">
        <ns0:f>IF(OR(AH!$P$3=0,415+1&gt;AH!$P$11,AND(AH!$E$4&lt;&gt;"Stored",AH!$P$10&lt;&gt;1)),"",IFERROR(IF(AND(AH!$P$21=1,415+1=AH!$P$11),TODAY(),IF(AH!$P$10=1,INDEX('Live History'!$A$5:$A$3004,AH!$P$13+415),INDEX('AH History'!$A$1:$A$18046,AH!$P$7+415))),""))</ns0:f>
        <ns0:v/>
      </ns0:c>
      <ns0:c r="B420" s="219">
        <ns0:f>IFERROR(IF(AND(AH!$P$9&lt;&gt;1,$C420&gt;0,$D420&gt;0,$E420&gt;0,$F420&gt;0,$G420&gt;0,$F420&lt;=$A420,$G420&lt;=$A420,$A420-$F420&lt;=10,$A420-$G420&lt;=5),$D420*$E420/$C420-1,NA()),NA())</ns0:f>
        <ns0:v/>
      </ns0:c>
      <ns0:c r="C420">
        <ns0:f>IFERROR(IF(ISNUMBER($A420),IF(AND(AH!$P$10=1,AH!$P$12=1,$A420=TODAY()),AH!$P$19,IF(AH!$P$10=1,INDEX('Live History'!$B$5:$B$3004,AH!$P$13+415),INDEX('AH History'!$B$1:$B$18046,AH!$P$7+415))),NA()),NA())</ns0:f>
        <ns0:v/>
      </ns0:c>
      <ns0:c r="D420">
        <ns0:f>IFERROR(IF(ISNUMBER($A420),IF(AND(AH!$P$10=1,AH!$P$12=1,$A420=TODAY()),AH!$P$18,IF(AH!$P$10=1,INDEX('Live History'!$E$5:$E$3004,MATCH($A420,'Live History'!$D$5:$D$3004,1)),INDEX('AH History'!$C$1:$C$18046,AH!$P$7+415))),NA()),NA())</ns0:f>
        <ns0:v/>
      </ns0:c>
      <ns0:c r="E420">
        <ns0:f>IFERROR(IF(ISNUMBER($A420),IF(AND(AH!$P$10=1,AH!$P$12=1,$A420=TODAY()),AH!$P$20,IF(AH!$P$10=1,INDEX('Live History'!$H$5:$H$3004,MATCH($A420,'Live History'!$G$5:$G$3004,1)),INDEX('AH History'!$D$1:$D$18046,AH!$P$7+415))),NA()),NA())</ns0:f>
        <ns0:v/>
      </ns0:c>
      <ns0:c r="F420">
        <ns0:f>IFERROR(IF(ISNUMBER($A420),IF(AND(AH!$P$10=1,AH!$P$12=1,$A420=TODAY()),IF(AND(AH!$P$10=1,AH!$P$12=1,$A420=TODAY()),TODAY(),NA()),IF(AH!$P$10=1,INDEX('Live History'!$D$5:$D$3004,MATCH($A420,'Live History'!$D$5:$D$3004,1)),INDEX('AH History'!$E$1:$E$18046,AH!$P$7+415))),NA()),NA())</ns0:f>
        <ns0:v/>
      </ns0:c>
      <ns0:c r="G420">
        <ns0:f>IFERROR(IF(ISNUMBER($A420),IF(AND(AH!$P$10=1,AH!$P$12=1,$A420=TODAY()),IF(AND(AH!$P$10=1,AH!$P$12=1,$A420=TODAY()),TODAY(),NA()),IF(AH!$P$10=1,INDEX('Live History'!$G$5:$G$3004,MATCH($A420,'Live History'!$G$5:$G$3004,1)),INDEX('AH History'!$F$1:$F$18046,AH!$P$7+415))),NA()),NA())</ns0:f>
        <ns0:v/>
      </ns0:c>
      <ns0:c r="H420">
        <ns0:f>IFERROR(IF(AND(AH!$E$4="Bloomberg",AH!$P$10=1,ISNUMBER($A420),$A420&lt;=AH!$P$17),AH!$P$7-1+MATCH($A420,INDEX('AH History'!$A$1:$A$18046,AH!$P$7):INDEX('AH History'!$A$1:$A$18046,AH!$P$7+AH!$P$8-1),0),0),0)</ns0:f>
        <ns0:v/>
      </ns0:c>
      <ns0:c r="I420">
        <ns0:f>IF($H420=0,0,IFERROR(IF(AND(ABS($C420-INDEX('AH History'!$B$1:$B$18046,$H420))&lt;=MAX(0.005,ABS(INDEX('AH History'!$B$1:$B$18046,$H420))*0.00005),ABS($D420-INDEX('AH History'!$C$1:$C$18046,$H420))&lt;=MAX(0.005,ABS(INDEX('AH History'!$C$1:$C$18046,$H420))*0.00005),ABS($E420-INDEX('AH History'!$D$1:$D$18046,$H420))&lt;=0.00005,$F420=INDEX('AH History'!$E$1:$E$18046,$H420),$G420=INDEX('AH History'!$F$1:$F$18046,$H420)),1,-1),-1))</ns0:f>
        <ns0:v/>
      </ns0:c>
    </ns0:row>
    <ns0:row r="421">
      <ns0:c r="A421" s="215">
        <ns0:f>IF(OR(AH!$P$3=0,416+1&gt;AH!$P$11,AND(AH!$E$4&lt;&gt;"Stored",AH!$P$10&lt;&gt;1)),"",IFERROR(IF(AND(AH!$P$21=1,416+1=AH!$P$11),TODAY(),IF(AH!$P$10=1,INDEX('Live History'!$A$5:$A$3004,AH!$P$13+416),INDEX('AH History'!$A$1:$A$18046,AH!$P$7+416))),""))</ns0:f>
        <ns0:v/>
      </ns0:c>
      <ns0:c r="B421" s="219">
        <ns0:f>IFERROR(IF(AND(AH!$P$9&lt;&gt;1,$C421&gt;0,$D421&gt;0,$E421&gt;0,$F421&gt;0,$G421&gt;0,$F421&lt;=$A421,$G421&lt;=$A421,$A421-$F421&lt;=10,$A421-$G421&lt;=5),$D421*$E421/$C421-1,NA()),NA())</ns0:f>
        <ns0:v/>
      </ns0:c>
      <ns0:c r="C421">
        <ns0:f>IFERROR(IF(ISNUMBER($A421),IF(AND(AH!$P$10=1,AH!$P$12=1,$A421=TODAY()),AH!$P$19,IF(AH!$P$10=1,INDEX('Live History'!$B$5:$B$3004,AH!$P$13+416),INDEX('AH History'!$B$1:$B$18046,AH!$P$7+416))),NA()),NA())</ns0:f>
        <ns0:v/>
      </ns0:c>
      <ns0:c r="D421">
        <ns0:f>IFERROR(IF(ISNUMBER($A421),IF(AND(AH!$P$10=1,AH!$P$12=1,$A421=TODAY()),AH!$P$18,IF(AH!$P$10=1,INDEX('Live History'!$E$5:$E$3004,MATCH($A421,'Live History'!$D$5:$D$3004,1)),INDEX('AH History'!$C$1:$C$18046,AH!$P$7+416))),NA()),NA())</ns0:f>
        <ns0:v/>
      </ns0:c>
      <ns0:c r="E421">
        <ns0:f>IFERROR(IF(ISNUMBER($A421),IF(AND(AH!$P$10=1,AH!$P$12=1,$A421=TODAY()),AH!$P$20,IF(AH!$P$10=1,INDEX('Live History'!$H$5:$H$3004,MATCH($A421,'Live History'!$G$5:$G$3004,1)),INDEX('AH History'!$D$1:$D$18046,AH!$P$7+416))),NA()),NA())</ns0:f>
        <ns0:v/>
      </ns0:c>
      <ns0:c r="F421">
        <ns0:f>IFERROR(IF(ISNUMBER($A421),IF(AND(AH!$P$10=1,AH!$P$12=1,$A421=TODAY()),IF(AND(AH!$P$10=1,AH!$P$12=1,$A421=TODAY()),TODAY(),NA()),IF(AH!$P$10=1,INDEX('Live History'!$D$5:$D$3004,MATCH($A421,'Live History'!$D$5:$D$3004,1)),INDEX('AH History'!$E$1:$E$18046,AH!$P$7+416))),NA()),NA())</ns0:f>
        <ns0:v/>
      </ns0:c>
      <ns0:c r="G421">
        <ns0:f>IFERROR(IF(ISNUMBER($A421),IF(AND(AH!$P$10=1,AH!$P$12=1,$A421=TODAY()),IF(AND(AH!$P$10=1,AH!$P$12=1,$A421=TODAY()),TODAY(),NA()),IF(AH!$P$10=1,INDEX('Live History'!$G$5:$G$3004,MATCH($A421,'Live History'!$G$5:$G$3004,1)),INDEX('AH History'!$F$1:$F$18046,AH!$P$7+416))),NA()),NA())</ns0:f>
        <ns0:v/>
      </ns0:c>
      <ns0:c r="H421">
        <ns0:f>IFERROR(IF(AND(AH!$E$4="Bloomberg",AH!$P$10=1,ISNUMBER($A421),$A421&lt;=AH!$P$17),AH!$P$7-1+MATCH($A421,INDEX('AH History'!$A$1:$A$18046,AH!$P$7):INDEX('AH History'!$A$1:$A$18046,AH!$P$7+AH!$P$8-1),0),0),0)</ns0:f>
        <ns0:v/>
      </ns0:c>
      <ns0:c r="I421">
        <ns0:f>IF($H421=0,0,IFERROR(IF(AND(ABS($C421-INDEX('AH History'!$B$1:$B$18046,$H421))&lt;=MAX(0.005,ABS(INDEX('AH History'!$B$1:$B$18046,$H421))*0.00005),ABS($D421-INDEX('AH History'!$C$1:$C$18046,$H421))&lt;=MAX(0.005,ABS(INDEX('AH History'!$C$1:$C$18046,$H421))*0.00005),ABS($E421-INDEX('AH History'!$D$1:$D$18046,$H421))&lt;=0.00005,$F421=INDEX('AH History'!$E$1:$E$18046,$H421),$G421=INDEX('AH History'!$F$1:$F$18046,$H421)),1,-1),-1))</ns0:f>
        <ns0:v/>
      </ns0:c>
    </ns0:row>
    <ns0:row r="422">
      <ns0:c r="A422" s="215">
        <ns0:f>IF(OR(AH!$P$3=0,417+1&gt;AH!$P$11,AND(AH!$E$4&lt;&gt;"Stored",AH!$P$10&lt;&gt;1)),"",IFERROR(IF(AND(AH!$P$21=1,417+1=AH!$P$11),TODAY(),IF(AH!$P$10=1,INDEX('Live History'!$A$5:$A$3004,AH!$P$13+417),INDEX('AH History'!$A$1:$A$18046,AH!$P$7+417))),""))</ns0:f>
        <ns0:v/>
      </ns0:c>
      <ns0:c r="B422" s="219">
        <ns0:f>IFERROR(IF(AND(AH!$P$9&lt;&gt;1,$C422&gt;0,$D422&gt;0,$E422&gt;0,$F422&gt;0,$G422&gt;0,$F422&lt;=$A422,$G422&lt;=$A422,$A422-$F422&lt;=10,$A422-$G422&lt;=5),$D422*$E422/$C422-1,NA()),NA())</ns0:f>
        <ns0:v/>
      </ns0:c>
      <ns0:c r="C422">
        <ns0:f>IFERROR(IF(ISNUMBER($A422),IF(AND(AH!$P$10=1,AH!$P$12=1,$A422=TODAY()),AH!$P$19,IF(AH!$P$10=1,INDEX('Live History'!$B$5:$B$3004,AH!$P$13+417),INDEX('AH History'!$B$1:$B$18046,AH!$P$7+417))),NA()),NA())</ns0:f>
        <ns0:v/>
      </ns0:c>
      <ns0:c r="D422">
        <ns0:f>IFERROR(IF(ISNUMBER($A422),IF(AND(AH!$P$10=1,AH!$P$12=1,$A422=TODAY()),AH!$P$18,IF(AH!$P$10=1,INDEX('Live History'!$E$5:$E$3004,MATCH($A422,'Live History'!$D$5:$D$3004,1)),INDEX('AH History'!$C$1:$C$18046,AH!$P$7+417))),NA()),NA())</ns0:f>
        <ns0:v/>
      </ns0:c>
      <ns0:c r="E422">
        <ns0:f>IFERROR(IF(ISNUMBER($A422),IF(AND(AH!$P$10=1,AH!$P$12=1,$A422=TODAY()),AH!$P$20,IF(AH!$P$10=1,INDEX('Live History'!$H$5:$H$3004,MATCH($A422,'Live History'!$G$5:$G$3004,1)),INDEX('AH History'!$D$1:$D$18046,AH!$P$7+417))),NA()),NA())</ns0:f>
        <ns0:v/>
      </ns0:c>
      <ns0:c r="F422">
        <ns0:f>IFERROR(IF(ISNUMBER($A422),IF(AND(AH!$P$10=1,AH!$P$12=1,$A422=TODAY()),IF(AND(AH!$P$10=1,AH!$P$12=1,$A422=TODAY()),TODAY(),NA()),IF(AH!$P$10=1,INDEX('Live History'!$D$5:$D$3004,MATCH($A422,'Live History'!$D$5:$D$3004,1)),INDEX('AH History'!$E$1:$E$18046,AH!$P$7+417))),NA()),NA())</ns0:f>
        <ns0:v/>
      </ns0:c>
      <ns0:c r="G422">
        <ns0:f>IFERROR(IF(ISNUMBER($A422),IF(AND(AH!$P$10=1,AH!$P$12=1,$A422=TODAY()),IF(AND(AH!$P$10=1,AH!$P$12=1,$A422=TODAY()),TODAY(),NA()),IF(AH!$P$10=1,INDEX('Live History'!$G$5:$G$3004,MATCH($A422,'Live History'!$G$5:$G$3004,1)),INDEX('AH History'!$F$1:$F$18046,AH!$P$7+417))),NA()),NA())</ns0:f>
        <ns0:v/>
      </ns0:c>
      <ns0:c r="H422">
        <ns0:f>IFERROR(IF(AND(AH!$E$4="Bloomberg",AH!$P$10=1,ISNUMBER($A422),$A422&lt;=AH!$P$17),AH!$P$7-1+MATCH($A422,INDEX('AH History'!$A$1:$A$18046,AH!$P$7):INDEX('AH History'!$A$1:$A$18046,AH!$P$7+AH!$P$8-1),0),0),0)</ns0:f>
        <ns0:v/>
      </ns0:c>
      <ns0:c r="I422">
        <ns0:f>IF($H422=0,0,IFERROR(IF(AND(ABS($C422-INDEX('AH History'!$B$1:$B$18046,$H422))&lt;=MAX(0.005,ABS(INDEX('AH History'!$B$1:$B$18046,$H422))*0.00005),ABS($D422-INDEX('AH History'!$C$1:$C$18046,$H422))&lt;=MAX(0.005,ABS(INDEX('AH History'!$C$1:$C$18046,$H422))*0.00005),ABS($E422-INDEX('AH History'!$D$1:$D$18046,$H422))&lt;=0.00005,$F422=INDEX('AH History'!$E$1:$E$18046,$H422),$G422=INDEX('AH History'!$F$1:$F$18046,$H422)),1,-1),-1))</ns0:f>
        <ns0:v/>
      </ns0:c>
    </ns0:row>
    <ns0:row r="423">
      <ns0:c r="A423" s="215">
        <ns0:f>IF(OR(AH!$P$3=0,418+1&gt;AH!$P$11,AND(AH!$E$4&lt;&gt;"Stored",AH!$P$10&lt;&gt;1)),"",IFERROR(IF(AND(AH!$P$21=1,418+1=AH!$P$11),TODAY(),IF(AH!$P$10=1,INDEX('Live History'!$A$5:$A$3004,AH!$P$13+418),INDEX('AH History'!$A$1:$A$18046,AH!$P$7+418))),""))</ns0:f>
        <ns0:v/>
      </ns0:c>
      <ns0:c r="B423" s="219">
        <ns0:f>IFERROR(IF(AND(AH!$P$9&lt;&gt;1,$C423&gt;0,$D423&gt;0,$E423&gt;0,$F423&gt;0,$G423&gt;0,$F423&lt;=$A423,$G423&lt;=$A423,$A423-$F423&lt;=10,$A423-$G423&lt;=5),$D423*$E423/$C423-1,NA()),NA())</ns0:f>
        <ns0:v/>
      </ns0:c>
      <ns0:c r="C423">
        <ns0:f>IFERROR(IF(ISNUMBER($A423),IF(AND(AH!$P$10=1,AH!$P$12=1,$A423=TODAY()),AH!$P$19,IF(AH!$P$10=1,INDEX('Live History'!$B$5:$B$3004,AH!$P$13+418),INDEX('AH History'!$B$1:$B$18046,AH!$P$7+418))),NA()),NA())</ns0:f>
        <ns0:v/>
      </ns0:c>
      <ns0:c r="D423">
        <ns0:f>IFERROR(IF(ISNUMBER($A423),IF(AND(AH!$P$10=1,AH!$P$12=1,$A423=TODAY()),AH!$P$18,IF(AH!$P$10=1,INDEX('Live History'!$E$5:$E$3004,MATCH($A423,'Live History'!$D$5:$D$3004,1)),INDEX('AH History'!$C$1:$C$18046,AH!$P$7+418))),NA()),NA())</ns0:f>
        <ns0:v/>
      </ns0:c>
      <ns0:c r="E423">
        <ns0:f>IFERROR(IF(ISNUMBER($A423),IF(AND(AH!$P$10=1,AH!$P$12=1,$A423=TODAY()),AH!$P$20,IF(AH!$P$10=1,INDEX('Live History'!$H$5:$H$3004,MATCH($A423,'Live History'!$G$5:$G$3004,1)),INDEX('AH History'!$D$1:$D$18046,AH!$P$7+418))),NA()),NA())</ns0:f>
        <ns0:v/>
      </ns0:c>
      <ns0:c r="F423">
        <ns0:f>IFERROR(IF(ISNUMBER($A423),IF(AND(AH!$P$10=1,AH!$P$12=1,$A423=TODAY()),IF(AND(AH!$P$10=1,AH!$P$12=1,$A423=TODAY()),TODAY(),NA()),IF(AH!$P$10=1,INDEX('Live History'!$D$5:$D$3004,MATCH($A423,'Live History'!$D$5:$D$3004,1)),INDEX('AH History'!$E$1:$E$18046,AH!$P$7+418))),NA()),NA())</ns0:f>
        <ns0:v/>
      </ns0:c>
      <ns0:c r="G423">
        <ns0:f>IFERROR(IF(ISNUMBER($A423),IF(AND(AH!$P$10=1,AH!$P$12=1,$A423=TODAY()),IF(AND(AH!$P$10=1,AH!$P$12=1,$A423=TODAY()),TODAY(),NA()),IF(AH!$P$10=1,INDEX('Live History'!$G$5:$G$3004,MATCH($A423,'Live History'!$G$5:$G$3004,1)),INDEX('AH History'!$F$1:$F$18046,AH!$P$7+418))),NA()),NA())</ns0:f>
        <ns0:v/>
      </ns0:c>
      <ns0:c r="H423">
        <ns0:f>IFERROR(IF(AND(AH!$E$4="Bloomberg",AH!$P$10=1,ISNUMBER($A423),$A423&lt;=AH!$P$17),AH!$P$7-1+MATCH($A423,INDEX('AH History'!$A$1:$A$18046,AH!$P$7):INDEX('AH History'!$A$1:$A$18046,AH!$P$7+AH!$P$8-1),0),0),0)</ns0:f>
        <ns0:v/>
      </ns0:c>
      <ns0:c r="I423">
        <ns0:f>IF($H423=0,0,IFERROR(IF(AND(ABS($C423-INDEX('AH History'!$B$1:$B$18046,$H423))&lt;=MAX(0.005,ABS(INDEX('AH History'!$B$1:$B$18046,$H423))*0.00005),ABS($D423-INDEX('AH History'!$C$1:$C$18046,$H423))&lt;=MAX(0.005,ABS(INDEX('AH History'!$C$1:$C$18046,$H423))*0.00005),ABS($E423-INDEX('AH History'!$D$1:$D$18046,$H423))&lt;=0.00005,$F423=INDEX('AH History'!$E$1:$E$18046,$H423),$G423=INDEX('AH History'!$F$1:$F$18046,$H423)),1,-1),-1))</ns0:f>
        <ns0:v/>
      </ns0:c>
    </ns0:row>
    <ns0:row r="424">
      <ns0:c r="A424" s="215">
        <ns0:f>IF(OR(AH!$P$3=0,419+1&gt;AH!$P$11,AND(AH!$E$4&lt;&gt;"Stored",AH!$P$10&lt;&gt;1)),"",IFERROR(IF(AND(AH!$P$21=1,419+1=AH!$P$11),TODAY(),IF(AH!$P$10=1,INDEX('Live History'!$A$5:$A$3004,AH!$P$13+419),INDEX('AH History'!$A$1:$A$18046,AH!$P$7+419))),""))</ns0:f>
        <ns0:v/>
      </ns0:c>
      <ns0:c r="B424" s="219">
        <ns0:f>IFERROR(IF(AND(AH!$P$9&lt;&gt;1,$C424&gt;0,$D424&gt;0,$E424&gt;0,$F424&gt;0,$G424&gt;0,$F424&lt;=$A424,$G424&lt;=$A424,$A424-$F424&lt;=10,$A424-$G424&lt;=5),$D424*$E424/$C424-1,NA()),NA())</ns0:f>
        <ns0:v/>
      </ns0:c>
      <ns0:c r="C424">
        <ns0:f>IFERROR(IF(ISNUMBER($A424),IF(AND(AH!$P$10=1,AH!$P$12=1,$A424=TODAY()),AH!$P$19,IF(AH!$P$10=1,INDEX('Live History'!$B$5:$B$3004,AH!$P$13+419),INDEX('AH History'!$B$1:$B$18046,AH!$P$7+419))),NA()),NA())</ns0:f>
        <ns0:v/>
      </ns0:c>
      <ns0:c r="D424">
        <ns0:f>IFERROR(IF(ISNUMBER($A424),IF(AND(AH!$P$10=1,AH!$P$12=1,$A424=TODAY()),AH!$P$18,IF(AH!$P$10=1,INDEX('Live History'!$E$5:$E$3004,MATCH($A424,'Live History'!$D$5:$D$3004,1)),INDEX('AH History'!$C$1:$C$18046,AH!$P$7+419))),NA()),NA())</ns0:f>
        <ns0:v/>
      </ns0:c>
      <ns0:c r="E424">
        <ns0:f>IFERROR(IF(ISNUMBER($A424),IF(AND(AH!$P$10=1,AH!$P$12=1,$A424=TODAY()),AH!$P$20,IF(AH!$P$10=1,INDEX('Live History'!$H$5:$H$3004,MATCH($A424,'Live History'!$G$5:$G$3004,1)),INDEX('AH History'!$D$1:$D$18046,AH!$P$7+419))),NA()),NA())</ns0:f>
        <ns0:v/>
      </ns0:c>
      <ns0:c r="F424">
        <ns0:f>IFERROR(IF(ISNUMBER($A424),IF(AND(AH!$P$10=1,AH!$P$12=1,$A424=TODAY()),IF(AND(AH!$P$10=1,AH!$P$12=1,$A424=TODAY()),TODAY(),NA()),IF(AH!$P$10=1,INDEX('Live History'!$D$5:$D$3004,MATCH($A424,'Live History'!$D$5:$D$3004,1)),INDEX('AH History'!$E$1:$E$18046,AH!$P$7+419))),NA()),NA())</ns0:f>
        <ns0:v/>
      </ns0:c>
      <ns0:c r="G424">
        <ns0:f>IFERROR(IF(ISNUMBER($A424),IF(AND(AH!$P$10=1,AH!$P$12=1,$A424=TODAY()),IF(AND(AH!$P$10=1,AH!$P$12=1,$A424=TODAY()),TODAY(),NA()),IF(AH!$P$10=1,INDEX('Live History'!$G$5:$G$3004,MATCH($A424,'Live History'!$G$5:$G$3004,1)),INDEX('AH History'!$F$1:$F$18046,AH!$P$7+419))),NA()),NA())</ns0:f>
        <ns0:v/>
      </ns0:c>
      <ns0:c r="H424">
        <ns0:f>IFERROR(IF(AND(AH!$E$4="Bloomberg",AH!$P$10=1,ISNUMBER($A424),$A424&lt;=AH!$P$17),AH!$P$7-1+MATCH($A424,INDEX('AH History'!$A$1:$A$18046,AH!$P$7):INDEX('AH History'!$A$1:$A$18046,AH!$P$7+AH!$P$8-1),0),0),0)</ns0:f>
        <ns0:v/>
      </ns0:c>
      <ns0:c r="I424">
        <ns0:f>IF($H424=0,0,IFERROR(IF(AND(ABS($C424-INDEX('AH History'!$B$1:$B$18046,$H424))&lt;=MAX(0.005,ABS(INDEX('AH History'!$B$1:$B$18046,$H424))*0.00005),ABS($D424-INDEX('AH History'!$C$1:$C$18046,$H424))&lt;=MAX(0.005,ABS(INDEX('AH History'!$C$1:$C$18046,$H424))*0.00005),ABS($E424-INDEX('AH History'!$D$1:$D$18046,$H424))&lt;=0.00005,$F424=INDEX('AH History'!$E$1:$E$18046,$H424),$G424=INDEX('AH History'!$F$1:$F$18046,$H424)),1,-1),-1))</ns0:f>
        <ns0:v/>
      </ns0:c>
    </ns0:row>
    <ns0:row r="425">
      <ns0:c r="A425" s="215">
        <ns0:f>IF(OR(AH!$P$3=0,420+1&gt;AH!$P$11,AND(AH!$E$4&lt;&gt;"Stored",AH!$P$10&lt;&gt;1)),"",IFERROR(IF(AND(AH!$P$21=1,420+1=AH!$P$11),TODAY(),IF(AH!$P$10=1,INDEX('Live History'!$A$5:$A$3004,AH!$P$13+420),INDEX('AH History'!$A$1:$A$18046,AH!$P$7+420))),""))</ns0:f>
        <ns0:v/>
      </ns0:c>
      <ns0:c r="B425" s="219">
        <ns0:f>IFERROR(IF(AND(AH!$P$9&lt;&gt;1,$C425&gt;0,$D425&gt;0,$E425&gt;0,$F425&gt;0,$G425&gt;0,$F425&lt;=$A425,$G425&lt;=$A425,$A425-$F425&lt;=10,$A425-$G425&lt;=5),$D425*$E425/$C425-1,NA()),NA())</ns0:f>
        <ns0:v/>
      </ns0:c>
      <ns0:c r="C425">
        <ns0:f>IFERROR(IF(ISNUMBER($A425),IF(AND(AH!$P$10=1,AH!$P$12=1,$A425=TODAY()),AH!$P$19,IF(AH!$P$10=1,INDEX('Live History'!$B$5:$B$3004,AH!$P$13+420),INDEX('AH History'!$B$1:$B$18046,AH!$P$7+420))),NA()),NA())</ns0:f>
        <ns0:v/>
      </ns0:c>
      <ns0:c r="D425">
        <ns0:f>IFERROR(IF(ISNUMBER($A425),IF(AND(AH!$P$10=1,AH!$P$12=1,$A425=TODAY()),AH!$P$18,IF(AH!$P$10=1,INDEX('Live History'!$E$5:$E$3004,MATCH($A425,'Live History'!$D$5:$D$3004,1)),INDEX('AH History'!$C$1:$C$18046,AH!$P$7+420))),NA()),NA())</ns0:f>
        <ns0:v/>
      </ns0:c>
      <ns0:c r="E425">
        <ns0:f>IFERROR(IF(ISNUMBER($A425),IF(AND(AH!$P$10=1,AH!$P$12=1,$A425=TODAY()),AH!$P$20,IF(AH!$P$10=1,INDEX('Live History'!$H$5:$H$3004,MATCH($A425,'Live History'!$G$5:$G$3004,1)),INDEX('AH History'!$D$1:$D$18046,AH!$P$7+420))),NA()),NA())</ns0:f>
        <ns0:v/>
      </ns0:c>
      <ns0:c r="F425">
        <ns0:f>IFERROR(IF(ISNUMBER($A425),IF(AND(AH!$P$10=1,AH!$P$12=1,$A425=TODAY()),IF(AND(AH!$P$10=1,AH!$P$12=1,$A425=TODAY()),TODAY(),NA()),IF(AH!$P$10=1,INDEX('Live History'!$D$5:$D$3004,MATCH($A425,'Live History'!$D$5:$D$3004,1)),INDEX('AH History'!$E$1:$E$18046,AH!$P$7+420))),NA()),NA())</ns0:f>
        <ns0:v/>
      </ns0:c>
      <ns0:c r="G425">
        <ns0:f>IFERROR(IF(ISNUMBER($A425),IF(AND(AH!$P$10=1,AH!$P$12=1,$A425=TODAY()),IF(AND(AH!$P$10=1,AH!$P$12=1,$A425=TODAY()),TODAY(),NA()),IF(AH!$P$10=1,INDEX('Live History'!$G$5:$G$3004,MATCH($A425,'Live History'!$G$5:$G$3004,1)),INDEX('AH History'!$F$1:$F$18046,AH!$P$7+420))),NA()),NA())</ns0:f>
        <ns0:v/>
      </ns0:c>
      <ns0:c r="H425">
        <ns0:f>IFERROR(IF(AND(AH!$E$4="Bloomberg",AH!$P$10=1,ISNUMBER($A425),$A425&lt;=AH!$P$17),AH!$P$7-1+MATCH($A425,INDEX('AH History'!$A$1:$A$18046,AH!$P$7):INDEX('AH History'!$A$1:$A$18046,AH!$P$7+AH!$P$8-1),0),0),0)</ns0:f>
        <ns0:v/>
      </ns0:c>
      <ns0:c r="I425">
        <ns0:f>IF($H425=0,0,IFERROR(IF(AND(ABS($C425-INDEX('AH History'!$B$1:$B$18046,$H425))&lt;=MAX(0.005,ABS(INDEX('AH History'!$B$1:$B$18046,$H425))*0.00005),ABS($D425-INDEX('AH History'!$C$1:$C$18046,$H425))&lt;=MAX(0.005,ABS(INDEX('AH History'!$C$1:$C$18046,$H425))*0.00005),ABS($E425-INDEX('AH History'!$D$1:$D$18046,$H425))&lt;=0.00005,$F425=INDEX('AH History'!$E$1:$E$18046,$H425),$G425=INDEX('AH History'!$F$1:$F$18046,$H425)),1,-1),-1))</ns0:f>
        <ns0:v/>
      </ns0:c>
    </ns0:row>
    <ns0:row r="426">
      <ns0:c r="A426" s="215">
        <ns0:f>IF(OR(AH!$P$3=0,421+1&gt;AH!$P$11,AND(AH!$E$4&lt;&gt;"Stored",AH!$P$10&lt;&gt;1)),"",IFERROR(IF(AND(AH!$P$21=1,421+1=AH!$P$11),TODAY(),IF(AH!$P$10=1,INDEX('Live History'!$A$5:$A$3004,AH!$P$13+421),INDEX('AH History'!$A$1:$A$18046,AH!$P$7+421))),""))</ns0:f>
        <ns0:v/>
      </ns0:c>
      <ns0:c r="B426" s="219">
        <ns0:f>IFERROR(IF(AND(AH!$P$9&lt;&gt;1,$C426&gt;0,$D426&gt;0,$E426&gt;0,$F426&gt;0,$G426&gt;0,$F426&lt;=$A426,$G426&lt;=$A426,$A426-$F426&lt;=10,$A426-$G426&lt;=5),$D426*$E426/$C426-1,NA()),NA())</ns0:f>
        <ns0:v/>
      </ns0:c>
      <ns0:c r="C426">
        <ns0:f>IFERROR(IF(ISNUMBER($A426),IF(AND(AH!$P$10=1,AH!$P$12=1,$A426=TODAY()),AH!$P$19,IF(AH!$P$10=1,INDEX('Live History'!$B$5:$B$3004,AH!$P$13+421),INDEX('AH History'!$B$1:$B$18046,AH!$P$7+421))),NA()),NA())</ns0:f>
        <ns0:v/>
      </ns0:c>
      <ns0:c r="D426">
        <ns0:f>IFERROR(IF(ISNUMBER($A426),IF(AND(AH!$P$10=1,AH!$P$12=1,$A426=TODAY()),AH!$P$18,IF(AH!$P$10=1,INDEX('Live History'!$E$5:$E$3004,MATCH($A426,'Live History'!$D$5:$D$3004,1)),INDEX('AH History'!$C$1:$C$18046,AH!$P$7+421))),NA()),NA())</ns0:f>
        <ns0:v/>
      </ns0:c>
      <ns0:c r="E426">
        <ns0:f>IFERROR(IF(ISNUMBER($A426),IF(AND(AH!$P$10=1,AH!$P$12=1,$A426=TODAY()),AH!$P$20,IF(AH!$P$10=1,INDEX('Live History'!$H$5:$H$3004,MATCH($A426,'Live History'!$G$5:$G$3004,1)),INDEX('AH History'!$D$1:$D$18046,AH!$P$7+421))),NA()),NA())</ns0:f>
        <ns0:v/>
      </ns0:c>
      <ns0:c r="F426">
        <ns0:f>IFERROR(IF(ISNUMBER($A426),IF(AND(AH!$P$10=1,AH!$P$12=1,$A426=TODAY()),IF(AND(AH!$P$10=1,AH!$P$12=1,$A426=TODAY()),TODAY(),NA()),IF(AH!$P$10=1,INDEX('Live History'!$D$5:$D$3004,MATCH($A426,'Live History'!$D$5:$D$3004,1)),INDEX('AH History'!$E$1:$E$18046,AH!$P$7+421))),NA()),NA())</ns0:f>
        <ns0:v/>
      </ns0:c>
      <ns0:c r="G426">
        <ns0:f>IFERROR(IF(ISNUMBER($A426),IF(AND(AH!$P$10=1,AH!$P$12=1,$A426=TODAY()),IF(AND(AH!$P$10=1,AH!$P$12=1,$A426=TODAY()),TODAY(),NA()),IF(AH!$P$10=1,INDEX('Live History'!$G$5:$G$3004,MATCH($A426,'Live History'!$G$5:$G$3004,1)),INDEX('AH History'!$F$1:$F$18046,AH!$P$7+421))),NA()),NA())</ns0:f>
        <ns0:v/>
      </ns0:c>
      <ns0:c r="H426">
        <ns0:f>IFERROR(IF(AND(AH!$E$4="Bloomberg",AH!$P$10=1,ISNUMBER($A426),$A426&lt;=AH!$P$17),AH!$P$7-1+MATCH($A426,INDEX('AH History'!$A$1:$A$18046,AH!$P$7):INDEX('AH History'!$A$1:$A$18046,AH!$P$7+AH!$P$8-1),0),0),0)</ns0:f>
        <ns0:v/>
      </ns0:c>
      <ns0:c r="I426">
        <ns0:f>IF($H426=0,0,IFERROR(IF(AND(ABS($C426-INDEX('AH History'!$B$1:$B$18046,$H426))&lt;=MAX(0.005,ABS(INDEX('AH History'!$B$1:$B$18046,$H426))*0.00005),ABS($D426-INDEX('AH History'!$C$1:$C$18046,$H426))&lt;=MAX(0.005,ABS(INDEX('AH History'!$C$1:$C$18046,$H426))*0.00005),ABS($E426-INDEX('AH History'!$D$1:$D$18046,$H426))&lt;=0.00005,$F426=INDEX('AH History'!$E$1:$E$18046,$H426),$G426=INDEX('AH History'!$F$1:$F$18046,$H426)),1,-1),-1))</ns0:f>
        <ns0:v/>
      </ns0:c>
    </ns0:row>
    <ns0:row r="427">
      <ns0:c r="A427" s="215">
        <ns0:f>IF(OR(AH!$P$3=0,422+1&gt;AH!$P$11,AND(AH!$E$4&lt;&gt;"Stored",AH!$P$10&lt;&gt;1)),"",IFERROR(IF(AND(AH!$P$21=1,422+1=AH!$P$11),TODAY(),IF(AH!$P$10=1,INDEX('Live History'!$A$5:$A$3004,AH!$P$13+422),INDEX('AH History'!$A$1:$A$18046,AH!$P$7+422))),""))</ns0:f>
        <ns0:v/>
      </ns0:c>
      <ns0:c r="B427" s="219">
        <ns0:f>IFERROR(IF(AND(AH!$P$9&lt;&gt;1,$C427&gt;0,$D427&gt;0,$E427&gt;0,$F427&gt;0,$G427&gt;0,$F427&lt;=$A427,$G427&lt;=$A427,$A427-$F427&lt;=10,$A427-$G427&lt;=5),$D427*$E427/$C427-1,NA()),NA())</ns0:f>
        <ns0:v/>
      </ns0:c>
      <ns0:c r="C427">
        <ns0:f>IFERROR(IF(ISNUMBER($A427),IF(AND(AH!$P$10=1,AH!$P$12=1,$A427=TODAY()),AH!$P$19,IF(AH!$P$10=1,INDEX('Live History'!$B$5:$B$3004,AH!$P$13+422),INDEX('AH History'!$B$1:$B$18046,AH!$P$7+422))),NA()),NA())</ns0:f>
        <ns0:v/>
      </ns0:c>
      <ns0:c r="D427">
        <ns0:f>IFERROR(IF(ISNUMBER($A427),IF(AND(AH!$P$10=1,AH!$P$12=1,$A427=TODAY()),AH!$P$18,IF(AH!$P$10=1,INDEX('Live History'!$E$5:$E$3004,MATCH($A427,'Live History'!$D$5:$D$3004,1)),INDEX('AH History'!$C$1:$C$18046,AH!$P$7+422))),NA()),NA())</ns0:f>
        <ns0:v/>
      </ns0:c>
      <ns0:c r="E427">
        <ns0:f>IFERROR(IF(ISNUMBER($A427),IF(AND(AH!$P$10=1,AH!$P$12=1,$A427=TODAY()),AH!$P$20,IF(AH!$P$10=1,INDEX('Live History'!$H$5:$H$3004,MATCH($A427,'Live History'!$G$5:$G$3004,1)),INDEX('AH History'!$D$1:$D$18046,AH!$P$7+422))),NA()),NA())</ns0:f>
        <ns0:v/>
      </ns0:c>
      <ns0:c r="F427">
        <ns0:f>IFERROR(IF(ISNUMBER($A427),IF(AND(AH!$P$10=1,AH!$P$12=1,$A427=TODAY()),IF(AND(AH!$P$10=1,AH!$P$12=1,$A427=TODAY()),TODAY(),NA()),IF(AH!$P$10=1,INDEX('Live History'!$D$5:$D$3004,MATCH($A427,'Live History'!$D$5:$D$3004,1)),INDEX('AH History'!$E$1:$E$18046,AH!$P$7+422))),NA()),NA())</ns0:f>
        <ns0:v/>
      </ns0:c>
      <ns0:c r="G427">
        <ns0:f>IFERROR(IF(ISNUMBER($A427),IF(AND(AH!$P$10=1,AH!$P$12=1,$A427=TODAY()),IF(AND(AH!$P$10=1,AH!$P$12=1,$A427=TODAY()),TODAY(),NA()),IF(AH!$P$10=1,INDEX('Live History'!$G$5:$G$3004,MATCH($A427,'Live History'!$G$5:$G$3004,1)),INDEX('AH History'!$F$1:$F$18046,AH!$P$7+422))),NA()),NA())</ns0:f>
        <ns0:v/>
      </ns0:c>
      <ns0:c r="H427">
        <ns0:f>IFERROR(IF(AND(AH!$E$4="Bloomberg",AH!$P$10=1,ISNUMBER($A427),$A427&lt;=AH!$P$17),AH!$P$7-1+MATCH($A427,INDEX('AH History'!$A$1:$A$18046,AH!$P$7):INDEX('AH History'!$A$1:$A$18046,AH!$P$7+AH!$P$8-1),0),0),0)</ns0:f>
        <ns0:v/>
      </ns0:c>
      <ns0:c r="I427">
        <ns0:f>IF($H427=0,0,IFERROR(IF(AND(ABS($C427-INDEX('AH History'!$B$1:$B$18046,$H427))&lt;=MAX(0.005,ABS(INDEX('AH History'!$B$1:$B$18046,$H427))*0.00005),ABS($D427-INDEX('AH History'!$C$1:$C$18046,$H427))&lt;=MAX(0.005,ABS(INDEX('AH History'!$C$1:$C$18046,$H427))*0.00005),ABS($E427-INDEX('AH History'!$D$1:$D$18046,$H427))&lt;=0.00005,$F427=INDEX('AH History'!$E$1:$E$18046,$H427),$G427=INDEX('AH History'!$F$1:$F$18046,$H427)),1,-1),-1))</ns0:f>
        <ns0:v/>
      </ns0:c>
    </ns0:row>
    <ns0:row r="428">
      <ns0:c r="A428" s="215">
        <ns0:f>IF(OR(AH!$P$3=0,423+1&gt;AH!$P$11,AND(AH!$E$4&lt;&gt;"Stored",AH!$P$10&lt;&gt;1)),"",IFERROR(IF(AND(AH!$P$21=1,423+1=AH!$P$11),TODAY(),IF(AH!$P$10=1,INDEX('Live History'!$A$5:$A$3004,AH!$P$13+423),INDEX('AH History'!$A$1:$A$18046,AH!$P$7+423))),""))</ns0:f>
        <ns0:v/>
      </ns0:c>
      <ns0:c r="B428" s="219">
        <ns0:f>IFERROR(IF(AND(AH!$P$9&lt;&gt;1,$C428&gt;0,$D428&gt;0,$E428&gt;0,$F428&gt;0,$G428&gt;0,$F428&lt;=$A428,$G428&lt;=$A428,$A428-$F428&lt;=10,$A428-$G428&lt;=5),$D428*$E428/$C428-1,NA()),NA())</ns0:f>
        <ns0:v/>
      </ns0:c>
      <ns0:c r="C428">
        <ns0:f>IFERROR(IF(ISNUMBER($A428),IF(AND(AH!$P$10=1,AH!$P$12=1,$A428=TODAY()),AH!$P$19,IF(AH!$P$10=1,INDEX('Live History'!$B$5:$B$3004,AH!$P$13+423),INDEX('AH History'!$B$1:$B$18046,AH!$P$7+423))),NA()),NA())</ns0:f>
        <ns0:v/>
      </ns0:c>
      <ns0:c r="D428">
        <ns0:f>IFERROR(IF(ISNUMBER($A428),IF(AND(AH!$P$10=1,AH!$P$12=1,$A428=TODAY()),AH!$P$18,IF(AH!$P$10=1,INDEX('Live History'!$E$5:$E$3004,MATCH($A428,'Live History'!$D$5:$D$3004,1)),INDEX('AH History'!$C$1:$C$18046,AH!$P$7+423))),NA()),NA())</ns0:f>
        <ns0:v/>
      </ns0:c>
      <ns0:c r="E428">
        <ns0:f>IFERROR(IF(ISNUMBER($A428),IF(AND(AH!$P$10=1,AH!$P$12=1,$A428=TODAY()),AH!$P$20,IF(AH!$P$10=1,INDEX('Live History'!$H$5:$H$3004,MATCH($A428,'Live History'!$G$5:$G$3004,1)),INDEX('AH History'!$D$1:$D$18046,AH!$P$7+423))),NA()),NA())</ns0:f>
        <ns0:v/>
      </ns0:c>
      <ns0:c r="F428">
        <ns0:f>IFERROR(IF(ISNUMBER($A428),IF(AND(AH!$P$10=1,AH!$P$12=1,$A428=TODAY()),IF(AND(AH!$P$10=1,AH!$P$12=1,$A428=TODAY()),TODAY(),NA()),IF(AH!$P$10=1,INDEX('Live History'!$D$5:$D$3004,MATCH($A428,'Live History'!$D$5:$D$3004,1)),INDEX('AH History'!$E$1:$E$18046,AH!$P$7+423))),NA()),NA())</ns0:f>
        <ns0:v/>
      </ns0:c>
      <ns0:c r="G428">
        <ns0:f>IFERROR(IF(ISNUMBER($A428),IF(AND(AH!$P$10=1,AH!$P$12=1,$A428=TODAY()),IF(AND(AH!$P$10=1,AH!$P$12=1,$A428=TODAY()),TODAY(),NA()),IF(AH!$P$10=1,INDEX('Live History'!$G$5:$G$3004,MATCH($A428,'Live History'!$G$5:$G$3004,1)),INDEX('AH History'!$F$1:$F$18046,AH!$P$7+423))),NA()),NA())</ns0:f>
        <ns0:v/>
      </ns0:c>
      <ns0:c r="H428">
        <ns0:f>IFERROR(IF(AND(AH!$E$4="Bloomberg",AH!$P$10=1,ISNUMBER($A428),$A428&lt;=AH!$P$17),AH!$P$7-1+MATCH($A428,INDEX('AH History'!$A$1:$A$18046,AH!$P$7):INDEX('AH History'!$A$1:$A$18046,AH!$P$7+AH!$P$8-1),0),0),0)</ns0:f>
        <ns0:v/>
      </ns0:c>
      <ns0:c r="I428">
        <ns0:f>IF($H428=0,0,IFERROR(IF(AND(ABS($C428-INDEX('AH History'!$B$1:$B$18046,$H428))&lt;=MAX(0.005,ABS(INDEX('AH History'!$B$1:$B$18046,$H428))*0.00005),ABS($D428-INDEX('AH History'!$C$1:$C$18046,$H428))&lt;=MAX(0.005,ABS(INDEX('AH History'!$C$1:$C$18046,$H428))*0.00005),ABS($E428-INDEX('AH History'!$D$1:$D$18046,$H428))&lt;=0.00005,$F428=INDEX('AH History'!$E$1:$E$18046,$H428),$G428=INDEX('AH History'!$F$1:$F$18046,$H428)),1,-1),-1))</ns0:f>
        <ns0:v/>
      </ns0:c>
    </ns0:row>
    <ns0:row r="429">
      <ns0:c r="A429" s="215">
        <ns0:f>IF(OR(AH!$P$3=0,424+1&gt;AH!$P$11,AND(AH!$E$4&lt;&gt;"Stored",AH!$P$10&lt;&gt;1)),"",IFERROR(IF(AND(AH!$P$21=1,424+1=AH!$P$11),TODAY(),IF(AH!$P$10=1,INDEX('Live History'!$A$5:$A$3004,AH!$P$13+424),INDEX('AH History'!$A$1:$A$18046,AH!$P$7+424))),""))</ns0:f>
        <ns0:v/>
      </ns0:c>
      <ns0:c r="B429" s="219">
        <ns0:f>IFERROR(IF(AND(AH!$P$9&lt;&gt;1,$C429&gt;0,$D429&gt;0,$E429&gt;0,$F429&gt;0,$G429&gt;0,$F429&lt;=$A429,$G429&lt;=$A429,$A429-$F429&lt;=10,$A429-$G429&lt;=5),$D429*$E429/$C429-1,NA()),NA())</ns0:f>
        <ns0:v/>
      </ns0:c>
      <ns0:c r="C429">
        <ns0:f>IFERROR(IF(ISNUMBER($A429),IF(AND(AH!$P$10=1,AH!$P$12=1,$A429=TODAY()),AH!$P$19,IF(AH!$P$10=1,INDEX('Live History'!$B$5:$B$3004,AH!$P$13+424),INDEX('AH History'!$B$1:$B$18046,AH!$P$7+424))),NA()),NA())</ns0:f>
        <ns0:v/>
      </ns0:c>
      <ns0:c r="D429">
        <ns0:f>IFERROR(IF(ISNUMBER($A429),IF(AND(AH!$P$10=1,AH!$P$12=1,$A429=TODAY()),AH!$P$18,IF(AH!$P$10=1,INDEX('Live History'!$E$5:$E$3004,MATCH($A429,'Live History'!$D$5:$D$3004,1)),INDEX('AH History'!$C$1:$C$18046,AH!$P$7+424))),NA()),NA())</ns0:f>
        <ns0:v/>
      </ns0:c>
      <ns0:c r="E429">
        <ns0:f>IFERROR(IF(ISNUMBER($A429),IF(AND(AH!$P$10=1,AH!$P$12=1,$A429=TODAY()),AH!$P$20,IF(AH!$P$10=1,INDEX('Live History'!$H$5:$H$3004,MATCH($A429,'Live History'!$G$5:$G$3004,1)),INDEX('AH History'!$D$1:$D$18046,AH!$P$7+424))),NA()),NA())</ns0:f>
        <ns0:v/>
      </ns0:c>
      <ns0:c r="F429">
        <ns0:f>IFERROR(IF(ISNUMBER($A429),IF(AND(AH!$P$10=1,AH!$P$12=1,$A429=TODAY()),IF(AND(AH!$P$10=1,AH!$P$12=1,$A429=TODAY()),TODAY(),NA()),IF(AH!$P$10=1,INDEX('Live History'!$D$5:$D$3004,MATCH($A429,'Live History'!$D$5:$D$3004,1)),INDEX('AH History'!$E$1:$E$18046,AH!$P$7+424))),NA()),NA())</ns0:f>
        <ns0:v/>
      </ns0:c>
      <ns0:c r="G429">
        <ns0:f>IFERROR(IF(ISNUMBER($A429),IF(AND(AH!$P$10=1,AH!$P$12=1,$A429=TODAY()),IF(AND(AH!$P$10=1,AH!$P$12=1,$A429=TODAY()),TODAY(),NA()),IF(AH!$P$10=1,INDEX('Live History'!$G$5:$G$3004,MATCH($A429,'Live History'!$G$5:$G$3004,1)),INDEX('AH History'!$F$1:$F$18046,AH!$P$7+424))),NA()),NA())</ns0:f>
        <ns0:v/>
      </ns0:c>
      <ns0:c r="H429">
        <ns0:f>IFERROR(IF(AND(AH!$E$4="Bloomberg",AH!$P$10=1,ISNUMBER($A429),$A429&lt;=AH!$P$17),AH!$P$7-1+MATCH($A429,INDEX('AH History'!$A$1:$A$18046,AH!$P$7):INDEX('AH History'!$A$1:$A$18046,AH!$P$7+AH!$P$8-1),0),0),0)</ns0:f>
        <ns0:v/>
      </ns0:c>
      <ns0:c r="I429">
        <ns0:f>IF($H429=0,0,IFERROR(IF(AND(ABS($C429-INDEX('AH History'!$B$1:$B$18046,$H429))&lt;=MAX(0.005,ABS(INDEX('AH History'!$B$1:$B$18046,$H429))*0.00005),ABS($D429-INDEX('AH History'!$C$1:$C$18046,$H429))&lt;=MAX(0.005,ABS(INDEX('AH History'!$C$1:$C$18046,$H429))*0.00005),ABS($E429-INDEX('AH History'!$D$1:$D$18046,$H429))&lt;=0.00005,$F429=INDEX('AH History'!$E$1:$E$18046,$H429),$G429=INDEX('AH History'!$F$1:$F$18046,$H429)),1,-1),-1))</ns0:f>
        <ns0:v/>
      </ns0:c>
    </ns0:row>
    <ns0:row r="430">
      <ns0:c r="A430" s="215">
        <ns0:f>IF(OR(AH!$P$3=0,425+1&gt;AH!$P$11,AND(AH!$E$4&lt;&gt;"Stored",AH!$P$10&lt;&gt;1)),"",IFERROR(IF(AND(AH!$P$21=1,425+1=AH!$P$11),TODAY(),IF(AH!$P$10=1,INDEX('Live History'!$A$5:$A$3004,AH!$P$13+425),INDEX('AH History'!$A$1:$A$18046,AH!$P$7+425))),""))</ns0:f>
        <ns0:v/>
      </ns0:c>
      <ns0:c r="B430" s="219">
        <ns0:f>IFERROR(IF(AND(AH!$P$9&lt;&gt;1,$C430&gt;0,$D430&gt;0,$E430&gt;0,$F430&gt;0,$G430&gt;0,$F430&lt;=$A430,$G430&lt;=$A430,$A430-$F430&lt;=10,$A430-$G430&lt;=5),$D430*$E430/$C430-1,NA()),NA())</ns0:f>
        <ns0:v/>
      </ns0:c>
      <ns0:c r="C430">
        <ns0:f>IFERROR(IF(ISNUMBER($A430),IF(AND(AH!$P$10=1,AH!$P$12=1,$A430=TODAY()),AH!$P$19,IF(AH!$P$10=1,INDEX('Live History'!$B$5:$B$3004,AH!$P$13+425),INDEX('AH History'!$B$1:$B$18046,AH!$P$7+425))),NA()),NA())</ns0:f>
        <ns0:v/>
      </ns0:c>
      <ns0:c r="D430">
        <ns0:f>IFERROR(IF(ISNUMBER($A430),IF(AND(AH!$P$10=1,AH!$P$12=1,$A430=TODAY()),AH!$P$18,IF(AH!$P$10=1,INDEX('Live History'!$E$5:$E$3004,MATCH($A430,'Live History'!$D$5:$D$3004,1)),INDEX('AH History'!$C$1:$C$18046,AH!$P$7+425))),NA()),NA())</ns0:f>
        <ns0:v/>
      </ns0:c>
      <ns0:c r="E430">
        <ns0:f>IFERROR(IF(ISNUMBER($A430),IF(AND(AH!$P$10=1,AH!$P$12=1,$A430=TODAY()),AH!$P$20,IF(AH!$P$10=1,INDEX('Live History'!$H$5:$H$3004,MATCH($A430,'Live History'!$G$5:$G$3004,1)),INDEX('AH History'!$D$1:$D$18046,AH!$P$7+425))),NA()),NA())</ns0:f>
        <ns0:v/>
      </ns0:c>
      <ns0:c r="F430">
        <ns0:f>IFERROR(IF(ISNUMBER($A430),IF(AND(AH!$P$10=1,AH!$P$12=1,$A430=TODAY()),IF(AND(AH!$P$10=1,AH!$P$12=1,$A430=TODAY()),TODAY(),NA()),IF(AH!$P$10=1,INDEX('Live History'!$D$5:$D$3004,MATCH($A430,'Live History'!$D$5:$D$3004,1)),INDEX('AH History'!$E$1:$E$18046,AH!$P$7+425))),NA()),NA())</ns0:f>
        <ns0:v/>
      </ns0:c>
      <ns0:c r="G430">
        <ns0:f>IFERROR(IF(ISNUMBER($A430),IF(AND(AH!$P$10=1,AH!$P$12=1,$A430=TODAY()),IF(AND(AH!$P$10=1,AH!$P$12=1,$A430=TODAY()),TODAY(),NA()),IF(AH!$P$10=1,INDEX('Live History'!$G$5:$G$3004,MATCH($A430,'Live History'!$G$5:$G$3004,1)),INDEX('AH History'!$F$1:$F$18046,AH!$P$7+425))),NA()),NA())</ns0:f>
        <ns0:v/>
      </ns0:c>
      <ns0:c r="H430">
        <ns0:f>IFERROR(IF(AND(AH!$E$4="Bloomberg",AH!$P$10=1,ISNUMBER($A430),$A430&lt;=AH!$P$17),AH!$P$7-1+MATCH($A430,INDEX('AH History'!$A$1:$A$18046,AH!$P$7):INDEX('AH History'!$A$1:$A$18046,AH!$P$7+AH!$P$8-1),0),0),0)</ns0:f>
        <ns0:v/>
      </ns0:c>
      <ns0:c r="I430">
        <ns0:f>IF($H430=0,0,IFERROR(IF(AND(ABS($C430-INDEX('AH History'!$B$1:$B$18046,$H430))&lt;=MAX(0.005,ABS(INDEX('AH History'!$B$1:$B$18046,$H430))*0.00005),ABS($D430-INDEX('AH History'!$C$1:$C$18046,$H430))&lt;=MAX(0.005,ABS(INDEX('AH History'!$C$1:$C$18046,$H430))*0.00005),ABS($E430-INDEX('AH History'!$D$1:$D$18046,$H430))&lt;=0.00005,$F430=INDEX('AH History'!$E$1:$E$18046,$H430),$G430=INDEX('AH History'!$F$1:$F$18046,$H430)),1,-1),-1))</ns0:f>
        <ns0:v/>
      </ns0:c>
    </ns0:row>
    <ns0:row r="431">
      <ns0:c r="A431" s="215">
        <ns0:f>IF(OR(AH!$P$3=0,426+1&gt;AH!$P$11,AND(AH!$E$4&lt;&gt;"Stored",AH!$P$10&lt;&gt;1)),"",IFERROR(IF(AND(AH!$P$21=1,426+1=AH!$P$11),TODAY(),IF(AH!$P$10=1,INDEX('Live History'!$A$5:$A$3004,AH!$P$13+426),INDEX('AH History'!$A$1:$A$18046,AH!$P$7+426))),""))</ns0:f>
        <ns0:v/>
      </ns0:c>
      <ns0:c r="B431" s="219">
        <ns0:f>IFERROR(IF(AND(AH!$P$9&lt;&gt;1,$C431&gt;0,$D431&gt;0,$E431&gt;0,$F431&gt;0,$G431&gt;0,$F431&lt;=$A431,$G431&lt;=$A431,$A431-$F431&lt;=10,$A431-$G431&lt;=5),$D431*$E431/$C431-1,NA()),NA())</ns0:f>
        <ns0:v/>
      </ns0:c>
      <ns0:c r="C431">
        <ns0:f>IFERROR(IF(ISNUMBER($A431),IF(AND(AH!$P$10=1,AH!$P$12=1,$A431=TODAY()),AH!$P$19,IF(AH!$P$10=1,INDEX('Live History'!$B$5:$B$3004,AH!$P$13+426),INDEX('AH History'!$B$1:$B$18046,AH!$P$7+426))),NA()),NA())</ns0:f>
        <ns0:v/>
      </ns0:c>
      <ns0:c r="D431">
        <ns0:f>IFERROR(IF(ISNUMBER($A431),IF(AND(AH!$P$10=1,AH!$P$12=1,$A431=TODAY()),AH!$P$18,IF(AH!$P$10=1,INDEX('Live History'!$E$5:$E$3004,MATCH($A431,'Live History'!$D$5:$D$3004,1)),INDEX('AH History'!$C$1:$C$18046,AH!$P$7+426))),NA()),NA())</ns0:f>
        <ns0:v/>
      </ns0:c>
      <ns0:c r="E431">
        <ns0:f>IFERROR(IF(ISNUMBER($A431),IF(AND(AH!$P$10=1,AH!$P$12=1,$A431=TODAY()),AH!$P$20,IF(AH!$P$10=1,INDEX('Live History'!$H$5:$H$3004,MATCH($A431,'Live History'!$G$5:$G$3004,1)),INDEX('AH History'!$D$1:$D$18046,AH!$P$7+426))),NA()),NA())</ns0:f>
        <ns0:v/>
      </ns0:c>
      <ns0:c r="F431">
        <ns0:f>IFERROR(IF(ISNUMBER($A431),IF(AND(AH!$P$10=1,AH!$P$12=1,$A431=TODAY()),IF(AND(AH!$P$10=1,AH!$P$12=1,$A431=TODAY()),TODAY(),NA()),IF(AH!$P$10=1,INDEX('Live History'!$D$5:$D$3004,MATCH($A431,'Live History'!$D$5:$D$3004,1)),INDEX('AH History'!$E$1:$E$18046,AH!$P$7+426))),NA()),NA())</ns0:f>
        <ns0:v/>
      </ns0:c>
      <ns0:c r="G431">
        <ns0:f>IFERROR(IF(ISNUMBER($A431),IF(AND(AH!$P$10=1,AH!$P$12=1,$A431=TODAY()),IF(AND(AH!$P$10=1,AH!$P$12=1,$A431=TODAY()),TODAY(),NA()),IF(AH!$P$10=1,INDEX('Live History'!$G$5:$G$3004,MATCH($A431,'Live History'!$G$5:$G$3004,1)),INDEX('AH History'!$F$1:$F$18046,AH!$P$7+426))),NA()),NA())</ns0:f>
        <ns0:v/>
      </ns0:c>
      <ns0:c r="H431">
        <ns0:f>IFERROR(IF(AND(AH!$E$4="Bloomberg",AH!$P$10=1,ISNUMBER($A431),$A431&lt;=AH!$P$17),AH!$P$7-1+MATCH($A431,INDEX('AH History'!$A$1:$A$18046,AH!$P$7):INDEX('AH History'!$A$1:$A$18046,AH!$P$7+AH!$P$8-1),0),0),0)</ns0:f>
        <ns0:v/>
      </ns0:c>
      <ns0:c r="I431">
        <ns0:f>IF($H431=0,0,IFERROR(IF(AND(ABS($C431-INDEX('AH History'!$B$1:$B$18046,$H431))&lt;=MAX(0.005,ABS(INDEX('AH History'!$B$1:$B$18046,$H431))*0.00005),ABS($D431-INDEX('AH History'!$C$1:$C$18046,$H431))&lt;=MAX(0.005,ABS(INDEX('AH History'!$C$1:$C$18046,$H431))*0.00005),ABS($E431-INDEX('AH History'!$D$1:$D$18046,$H431))&lt;=0.00005,$F431=INDEX('AH History'!$E$1:$E$18046,$H431),$G431=INDEX('AH History'!$F$1:$F$18046,$H431)),1,-1),-1))</ns0:f>
        <ns0:v/>
      </ns0:c>
    </ns0:row>
    <ns0:row r="432">
      <ns0:c r="A432" s="215">
        <ns0:f>IF(OR(AH!$P$3=0,427+1&gt;AH!$P$11,AND(AH!$E$4&lt;&gt;"Stored",AH!$P$10&lt;&gt;1)),"",IFERROR(IF(AND(AH!$P$21=1,427+1=AH!$P$11),TODAY(),IF(AH!$P$10=1,INDEX('Live History'!$A$5:$A$3004,AH!$P$13+427),INDEX('AH History'!$A$1:$A$18046,AH!$P$7+427))),""))</ns0:f>
        <ns0:v/>
      </ns0:c>
      <ns0:c r="B432" s="219">
        <ns0:f>IFERROR(IF(AND(AH!$P$9&lt;&gt;1,$C432&gt;0,$D432&gt;0,$E432&gt;0,$F432&gt;0,$G432&gt;0,$F432&lt;=$A432,$G432&lt;=$A432,$A432-$F432&lt;=10,$A432-$G432&lt;=5),$D432*$E432/$C432-1,NA()),NA())</ns0:f>
        <ns0:v/>
      </ns0:c>
      <ns0:c r="C432">
        <ns0:f>IFERROR(IF(ISNUMBER($A432),IF(AND(AH!$P$10=1,AH!$P$12=1,$A432=TODAY()),AH!$P$19,IF(AH!$P$10=1,INDEX('Live History'!$B$5:$B$3004,AH!$P$13+427),INDEX('AH History'!$B$1:$B$18046,AH!$P$7+427))),NA()),NA())</ns0:f>
        <ns0:v/>
      </ns0:c>
      <ns0:c r="D432">
        <ns0:f>IFERROR(IF(ISNUMBER($A432),IF(AND(AH!$P$10=1,AH!$P$12=1,$A432=TODAY()),AH!$P$18,IF(AH!$P$10=1,INDEX('Live History'!$E$5:$E$3004,MATCH($A432,'Live History'!$D$5:$D$3004,1)),INDEX('AH History'!$C$1:$C$18046,AH!$P$7+427))),NA()),NA())</ns0:f>
        <ns0:v/>
      </ns0:c>
      <ns0:c r="E432">
        <ns0:f>IFERROR(IF(ISNUMBER($A432),IF(AND(AH!$P$10=1,AH!$P$12=1,$A432=TODAY()),AH!$P$20,IF(AH!$P$10=1,INDEX('Live History'!$H$5:$H$3004,MATCH($A432,'Live History'!$G$5:$G$3004,1)),INDEX('AH History'!$D$1:$D$18046,AH!$P$7+427))),NA()),NA())</ns0:f>
        <ns0:v/>
      </ns0:c>
      <ns0:c r="F432">
        <ns0:f>IFERROR(IF(ISNUMBER($A432),IF(AND(AH!$P$10=1,AH!$P$12=1,$A432=TODAY()),IF(AND(AH!$P$10=1,AH!$P$12=1,$A432=TODAY()),TODAY(),NA()),IF(AH!$P$10=1,INDEX('Live History'!$D$5:$D$3004,MATCH($A432,'Live History'!$D$5:$D$3004,1)),INDEX('AH History'!$E$1:$E$18046,AH!$P$7+427))),NA()),NA())</ns0:f>
        <ns0:v/>
      </ns0:c>
      <ns0:c r="G432">
        <ns0:f>IFERROR(IF(ISNUMBER($A432),IF(AND(AH!$P$10=1,AH!$P$12=1,$A432=TODAY()),IF(AND(AH!$P$10=1,AH!$P$12=1,$A432=TODAY()),TODAY(),NA()),IF(AH!$P$10=1,INDEX('Live History'!$G$5:$G$3004,MATCH($A432,'Live History'!$G$5:$G$3004,1)),INDEX('AH History'!$F$1:$F$18046,AH!$P$7+427))),NA()),NA())</ns0:f>
        <ns0:v/>
      </ns0:c>
      <ns0:c r="H432">
        <ns0:f>IFERROR(IF(AND(AH!$E$4="Bloomberg",AH!$P$10=1,ISNUMBER($A432),$A432&lt;=AH!$P$17),AH!$P$7-1+MATCH($A432,INDEX('AH History'!$A$1:$A$18046,AH!$P$7):INDEX('AH History'!$A$1:$A$18046,AH!$P$7+AH!$P$8-1),0),0),0)</ns0:f>
        <ns0:v/>
      </ns0:c>
      <ns0:c r="I432">
        <ns0:f>IF($H432=0,0,IFERROR(IF(AND(ABS($C432-INDEX('AH History'!$B$1:$B$18046,$H432))&lt;=MAX(0.005,ABS(INDEX('AH History'!$B$1:$B$18046,$H432))*0.00005),ABS($D432-INDEX('AH History'!$C$1:$C$18046,$H432))&lt;=MAX(0.005,ABS(INDEX('AH History'!$C$1:$C$18046,$H432))*0.00005),ABS($E432-INDEX('AH History'!$D$1:$D$18046,$H432))&lt;=0.00005,$F432=INDEX('AH History'!$E$1:$E$18046,$H432),$G432=INDEX('AH History'!$F$1:$F$18046,$H432)),1,-1),-1))</ns0:f>
        <ns0:v/>
      </ns0:c>
    </ns0:row>
    <ns0:row r="433">
      <ns0:c r="A433" s="215">
        <ns0:f>IF(OR(AH!$P$3=0,428+1&gt;AH!$P$11,AND(AH!$E$4&lt;&gt;"Stored",AH!$P$10&lt;&gt;1)),"",IFERROR(IF(AND(AH!$P$21=1,428+1=AH!$P$11),TODAY(),IF(AH!$P$10=1,INDEX('Live History'!$A$5:$A$3004,AH!$P$13+428),INDEX('AH History'!$A$1:$A$18046,AH!$P$7+428))),""))</ns0:f>
        <ns0:v/>
      </ns0:c>
      <ns0:c r="B433" s="219">
        <ns0:f>IFERROR(IF(AND(AH!$P$9&lt;&gt;1,$C433&gt;0,$D433&gt;0,$E433&gt;0,$F433&gt;0,$G433&gt;0,$F433&lt;=$A433,$G433&lt;=$A433,$A433-$F433&lt;=10,$A433-$G433&lt;=5),$D433*$E433/$C433-1,NA()),NA())</ns0:f>
        <ns0:v/>
      </ns0:c>
      <ns0:c r="C433">
        <ns0:f>IFERROR(IF(ISNUMBER($A433),IF(AND(AH!$P$10=1,AH!$P$12=1,$A433=TODAY()),AH!$P$19,IF(AH!$P$10=1,INDEX('Live History'!$B$5:$B$3004,AH!$P$13+428),INDEX('AH History'!$B$1:$B$18046,AH!$P$7+428))),NA()),NA())</ns0:f>
        <ns0:v/>
      </ns0:c>
      <ns0:c r="D433">
        <ns0:f>IFERROR(IF(ISNUMBER($A433),IF(AND(AH!$P$10=1,AH!$P$12=1,$A433=TODAY()),AH!$P$18,IF(AH!$P$10=1,INDEX('Live History'!$E$5:$E$3004,MATCH($A433,'Live History'!$D$5:$D$3004,1)),INDEX('AH History'!$C$1:$C$18046,AH!$P$7+428))),NA()),NA())</ns0:f>
        <ns0:v/>
      </ns0:c>
      <ns0:c r="E433">
        <ns0:f>IFERROR(IF(ISNUMBER($A433),IF(AND(AH!$P$10=1,AH!$P$12=1,$A433=TODAY()),AH!$P$20,IF(AH!$P$10=1,INDEX('Live History'!$H$5:$H$3004,MATCH($A433,'Live History'!$G$5:$G$3004,1)),INDEX('AH History'!$D$1:$D$18046,AH!$P$7+428))),NA()),NA())</ns0:f>
        <ns0:v/>
      </ns0:c>
      <ns0:c r="F433">
        <ns0:f>IFERROR(IF(ISNUMBER($A433),IF(AND(AH!$P$10=1,AH!$P$12=1,$A433=TODAY()),IF(AND(AH!$P$10=1,AH!$P$12=1,$A433=TODAY()),TODAY(),NA()),IF(AH!$P$10=1,INDEX('Live History'!$D$5:$D$3004,MATCH($A433,'Live History'!$D$5:$D$3004,1)),INDEX('AH History'!$E$1:$E$18046,AH!$P$7+428))),NA()),NA())</ns0:f>
        <ns0:v/>
      </ns0:c>
      <ns0:c r="G433">
        <ns0:f>IFERROR(IF(ISNUMBER($A433),IF(AND(AH!$P$10=1,AH!$P$12=1,$A433=TODAY()),IF(AND(AH!$P$10=1,AH!$P$12=1,$A433=TODAY()),TODAY(),NA()),IF(AH!$P$10=1,INDEX('Live History'!$G$5:$G$3004,MATCH($A433,'Live History'!$G$5:$G$3004,1)),INDEX('AH History'!$F$1:$F$18046,AH!$P$7+428))),NA()),NA())</ns0:f>
        <ns0:v/>
      </ns0:c>
      <ns0:c r="H433">
        <ns0:f>IFERROR(IF(AND(AH!$E$4="Bloomberg",AH!$P$10=1,ISNUMBER($A433),$A433&lt;=AH!$P$17),AH!$P$7-1+MATCH($A433,INDEX('AH History'!$A$1:$A$18046,AH!$P$7):INDEX('AH History'!$A$1:$A$18046,AH!$P$7+AH!$P$8-1),0),0),0)</ns0:f>
        <ns0:v/>
      </ns0:c>
      <ns0:c r="I433">
        <ns0:f>IF($H433=0,0,IFERROR(IF(AND(ABS($C433-INDEX('AH History'!$B$1:$B$18046,$H433))&lt;=MAX(0.005,ABS(INDEX('AH History'!$B$1:$B$18046,$H433))*0.00005),ABS($D433-INDEX('AH History'!$C$1:$C$18046,$H433))&lt;=MAX(0.005,ABS(INDEX('AH History'!$C$1:$C$18046,$H433))*0.00005),ABS($E433-INDEX('AH History'!$D$1:$D$18046,$H433))&lt;=0.00005,$F433=INDEX('AH History'!$E$1:$E$18046,$H433),$G433=INDEX('AH History'!$F$1:$F$18046,$H433)),1,-1),-1))</ns0:f>
        <ns0:v/>
      </ns0:c>
    </ns0:row>
    <ns0:row r="434">
      <ns0:c r="A434" s="215">
        <ns0:f>IF(OR(AH!$P$3=0,429+1&gt;AH!$P$11,AND(AH!$E$4&lt;&gt;"Stored",AH!$P$10&lt;&gt;1)),"",IFERROR(IF(AND(AH!$P$21=1,429+1=AH!$P$11),TODAY(),IF(AH!$P$10=1,INDEX('Live History'!$A$5:$A$3004,AH!$P$13+429),INDEX('AH History'!$A$1:$A$18046,AH!$P$7+429))),""))</ns0:f>
        <ns0:v/>
      </ns0:c>
      <ns0:c r="B434" s="219">
        <ns0:f>IFERROR(IF(AND(AH!$P$9&lt;&gt;1,$C434&gt;0,$D434&gt;0,$E434&gt;0,$F434&gt;0,$G434&gt;0,$F434&lt;=$A434,$G434&lt;=$A434,$A434-$F434&lt;=10,$A434-$G434&lt;=5),$D434*$E434/$C434-1,NA()),NA())</ns0:f>
        <ns0:v/>
      </ns0:c>
      <ns0:c r="C434">
        <ns0:f>IFERROR(IF(ISNUMBER($A434),IF(AND(AH!$P$10=1,AH!$P$12=1,$A434=TODAY()),AH!$P$19,IF(AH!$P$10=1,INDEX('Live History'!$B$5:$B$3004,AH!$P$13+429),INDEX('AH History'!$B$1:$B$18046,AH!$P$7+429))),NA()),NA())</ns0:f>
        <ns0:v/>
      </ns0:c>
      <ns0:c r="D434">
        <ns0:f>IFERROR(IF(ISNUMBER($A434),IF(AND(AH!$P$10=1,AH!$P$12=1,$A434=TODAY()),AH!$P$18,IF(AH!$P$10=1,INDEX('Live History'!$E$5:$E$3004,MATCH($A434,'Live History'!$D$5:$D$3004,1)),INDEX('AH History'!$C$1:$C$18046,AH!$P$7+429))),NA()),NA())</ns0:f>
        <ns0:v/>
      </ns0:c>
      <ns0:c r="E434">
        <ns0:f>IFERROR(IF(ISNUMBER($A434),IF(AND(AH!$P$10=1,AH!$P$12=1,$A434=TODAY()),AH!$P$20,IF(AH!$P$10=1,INDEX('Live History'!$H$5:$H$3004,MATCH($A434,'Live History'!$G$5:$G$3004,1)),INDEX('AH History'!$D$1:$D$18046,AH!$P$7+429))),NA()),NA())</ns0:f>
        <ns0:v/>
      </ns0:c>
      <ns0:c r="F434">
        <ns0:f>IFERROR(IF(ISNUMBER($A434),IF(AND(AH!$P$10=1,AH!$P$12=1,$A434=TODAY()),IF(AND(AH!$P$10=1,AH!$P$12=1,$A434=TODAY()),TODAY(),NA()),IF(AH!$P$10=1,INDEX('Live History'!$D$5:$D$3004,MATCH($A434,'Live History'!$D$5:$D$3004,1)),INDEX('AH History'!$E$1:$E$18046,AH!$P$7+429))),NA()),NA())</ns0:f>
        <ns0:v/>
      </ns0:c>
      <ns0:c r="G434">
        <ns0:f>IFERROR(IF(ISNUMBER($A434),IF(AND(AH!$P$10=1,AH!$P$12=1,$A434=TODAY()),IF(AND(AH!$P$10=1,AH!$P$12=1,$A434=TODAY()),TODAY(),NA()),IF(AH!$P$10=1,INDEX('Live History'!$G$5:$G$3004,MATCH($A434,'Live History'!$G$5:$G$3004,1)),INDEX('AH History'!$F$1:$F$18046,AH!$P$7+429))),NA()),NA())</ns0:f>
        <ns0:v/>
      </ns0:c>
      <ns0:c r="H434">
        <ns0:f>IFERROR(IF(AND(AH!$E$4="Bloomberg",AH!$P$10=1,ISNUMBER($A434),$A434&lt;=AH!$P$17),AH!$P$7-1+MATCH($A434,INDEX('AH History'!$A$1:$A$18046,AH!$P$7):INDEX('AH History'!$A$1:$A$18046,AH!$P$7+AH!$P$8-1),0),0),0)</ns0:f>
        <ns0:v/>
      </ns0:c>
      <ns0:c r="I434">
        <ns0:f>IF($H434=0,0,IFERROR(IF(AND(ABS($C434-INDEX('AH History'!$B$1:$B$18046,$H434))&lt;=MAX(0.005,ABS(INDEX('AH History'!$B$1:$B$18046,$H434))*0.00005),ABS($D434-INDEX('AH History'!$C$1:$C$18046,$H434))&lt;=MAX(0.005,ABS(INDEX('AH History'!$C$1:$C$18046,$H434))*0.00005),ABS($E434-INDEX('AH History'!$D$1:$D$18046,$H434))&lt;=0.00005,$F434=INDEX('AH History'!$E$1:$E$18046,$H434),$G434=INDEX('AH History'!$F$1:$F$18046,$H434)),1,-1),-1))</ns0:f>
        <ns0:v/>
      </ns0:c>
    </ns0:row>
    <ns0:row r="435">
      <ns0:c r="A435" s="215">
        <ns0:f>IF(OR(AH!$P$3=0,430+1&gt;AH!$P$11,AND(AH!$E$4&lt;&gt;"Stored",AH!$P$10&lt;&gt;1)),"",IFERROR(IF(AND(AH!$P$21=1,430+1=AH!$P$11),TODAY(),IF(AH!$P$10=1,INDEX('Live History'!$A$5:$A$3004,AH!$P$13+430),INDEX('AH History'!$A$1:$A$18046,AH!$P$7+430))),""))</ns0:f>
        <ns0:v/>
      </ns0:c>
      <ns0:c r="B435" s="219">
        <ns0:f>IFERROR(IF(AND(AH!$P$9&lt;&gt;1,$C435&gt;0,$D435&gt;0,$E435&gt;0,$F435&gt;0,$G435&gt;0,$F435&lt;=$A435,$G435&lt;=$A435,$A435-$F435&lt;=10,$A435-$G435&lt;=5),$D435*$E435/$C435-1,NA()),NA())</ns0:f>
        <ns0:v/>
      </ns0:c>
      <ns0:c r="C435">
        <ns0:f>IFERROR(IF(ISNUMBER($A435),IF(AND(AH!$P$10=1,AH!$P$12=1,$A435=TODAY()),AH!$P$19,IF(AH!$P$10=1,INDEX('Live History'!$B$5:$B$3004,AH!$P$13+430),INDEX('AH History'!$B$1:$B$18046,AH!$P$7+430))),NA()),NA())</ns0:f>
        <ns0:v/>
      </ns0:c>
      <ns0:c r="D435">
        <ns0:f>IFERROR(IF(ISNUMBER($A435),IF(AND(AH!$P$10=1,AH!$P$12=1,$A435=TODAY()),AH!$P$18,IF(AH!$P$10=1,INDEX('Live History'!$E$5:$E$3004,MATCH($A435,'Live History'!$D$5:$D$3004,1)),INDEX('AH History'!$C$1:$C$18046,AH!$P$7+430))),NA()),NA())</ns0:f>
        <ns0:v/>
      </ns0:c>
      <ns0:c r="E435">
        <ns0:f>IFERROR(IF(ISNUMBER($A435),IF(AND(AH!$P$10=1,AH!$P$12=1,$A435=TODAY()),AH!$P$20,IF(AH!$P$10=1,INDEX('Live History'!$H$5:$H$3004,MATCH($A435,'Live History'!$G$5:$G$3004,1)),INDEX('AH History'!$D$1:$D$18046,AH!$P$7+430))),NA()),NA())</ns0:f>
        <ns0:v/>
      </ns0:c>
      <ns0:c r="F435">
        <ns0:f>IFERROR(IF(ISNUMBER($A435),IF(AND(AH!$P$10=1,AH!$P$12=1,$A435=TODAY()),IF(AND(AH!$P$10=1,AH!$P$12=1,$A435=TODAY()),TODAY(),NA()),IF(AH!$P$10=1,INDEX('Live History'!$D$5:$D$3004,MATCH($A435,'Live History'!$D$5:$D$3004,1)),INDEX('AH History'!$E$1:$E$18046,AH!$P$7+430))),NA()),NA())</ns0:f>
        <ns0:v/>
      </ns0:c>
      <ns0:c r="G435">
        <ns0:f>IFERROR(IF(ISNUMBER($A435),IF(AND(AH!$P$10=1,AH!$P$12=1,$A435=TODAY()),IF(AND(AH!$P$10=1,AH!$P$12=1,$A435=TODAY()),TODAY(),NA()),IF(AH!$P$10=1,INDEX('Live History'!$G$5:$G$3004,MATCH($A435,'Live History'!$G$5:$G$3004,1)),INDEX('AH History'!$F$1:$F$18046,AH!$P$7+430))),NA()),NA())</ns0:f>
        <ns0:v/>
      </ns0:c>
      <ns0:c r="H435">
        <ns0:f>IFERROR(IF(AND(AH!$E$4="Bloomberg",AH!$P$10=1,ISNUMBER($A435),$A435&lt;=AH!$P$17),AH!$P$7-1+MATCH($A435,INDEX('AH History'!$A$1:$A$18046,AH!$P$7):INDEX('AH History'!$A$1:$A$18046,AH!$P$7+AH!$P$8-1),0),0),0)</ns0:f>
        <ns0:v/>
      </ns0:c>
      <ns0:c r="I435">
        <ns0:f>IF($H435=0,0,IFERROR(IF(AND(ABS($C435-INDEX('AH History'!$B$1:$B$18046,$H435))&lt;=MAX(0.005,ABS(INDEX('AH History'!$B$1:$B$18046,$H435))*0.00005),ABS($D435-INDEX('AH History'!$C$1:$C$18046,$H435))&lt;=MAX(0.005,ABS(INDEX('AH History'!$C$1:$C$18046,$H435))*0.00005),ABS($E435-INDEX('AH History'!$D$1:$D$18046,$H435))&lt;=0.00005,$F435=INDEX('AH History'!$E$1:$E$18046,$H435),$G435=INDEX('AH History'!$F$1:$F$18046,$H435)),1,-1),-1))</ns0:f>
        <ns0:v/>
      </ns0:c>
    </ns0:row>
    <ns0:row r="436">
      <ns0:c r="A436" s="215">
        <ns0:f>IF(OR(AH!$P$3=0,431+1&gt;AH!$P$11,AND(AH!$E$4&lt;&gt;"Stored",AH!$P$10&lt;&gt;1)),"",IFERROR(IF(AND(AH!$P$21=1,431+1=AH!$P$11),TODAY(),IF(AH!$P$10=1,INDEX('Live History'!$A$5:$A$3004,AH!$P$13+431),INDEX('AH History'!$A$1:$A$18046,AH!$P$7+431))),""))</ns0:f>
        <ns0:v/>
      </ns0:c>
      <ns0:c r="B436" s="219">
        <ns0:f>IFERROR(IF(AND(AH!$P$9&lt;&gt;1,$C436&gt;0,$D436&gt;0,$E436&gt;0,$F436&gt;0,$G436&gt;0,$F436&lt;=$A436,$G436&lt;=$A436,$A436-$F436&lt;=10,$A436-$G436&lt;=5),$D436*$E436/$C436-1,NA()),NA())</ns0:f>
        <ns0:v/>
      </ns0:c>
      <ns0:c r="C436">
        <ns0:f>IFERROR(IF(ISNUMBER($A436),IF(AND(AH!$P$10=1,AH!$P$12=1,$A436=TODAY()),AH!$P$19,IF(AH!$P$10=1,INDEX('Live History'!$B$5:$B$3004,AH!$P$13+431),INDEX('AH History'!$B$1:$B$18046,AH!$P$7+431))),NA()),NA())</ns0:f>
        <ns0:v/>
      </ns0:c>
      <ns0:c r="D436">
        <ns0:f>IFERROR(IF(ISNUMBER($A436),IF(AND(AH!$P$10=1,AH!$P$12=1,$A436=TODAY()),AH!$P$18,IF(AH!$P$10=1,INDEX('Live History'!$E$5:$E$3004,MATCH($A436,'Live History'!$D$5:$D$3004,1)),INDEX('AH History'!$C$1:$C$18046,AH!$P$7+431))),NA()),NA())</ns0:f>
        <ns0:v/>
      </ns0:c>
      <ns0:c r="E436">
        <ns0:f>IFERROR(IF(ISNUMBER($A436),IF(AND(AH!$P$10=1,AH!$P$12=1,$A436=TODAY()),AH!$P$20,IF(AH!$P$10=1,INDEX('Live History'!$H$5:$H$3004,MATCH($A436,'Live History'!$G$5:$G$3004,1)),INDEX('AH History'!$D$1:$D$18046,AH!$P$7+431))),NA()),NA())</ns0:f>
        <ns0:v/>
      </ns0:c>
      <ns0:c r="F436">
        <ns0:f>IFERROR(IF(ISNUMBER($A436),IF(AND(AH!$P$10=1,AH!$P$12=1,$A436=TODAY()),IF(AND(AH!$P$10=1,AH!$P$12=1,$A436=TODAY()),TODAY(),NA()),IF(AH!$P$10=1,INDEX('Live History'!$D$5:$D$3004,MATCH($A436,'Live History'!$D$5:$D$3004,1)),INDEX('AH History'!$E$1:$E$18046,AH!$P$7+431))),NA()),NA())</ns0:f>
        <ns0:v/>
      </ns0:c>
      <ns0:c r="G436">
        <ns0:f>IFERROR(IF(ISNUMBER($A436),IF(AND(AH!$P$10=1,AH!$P$12=1,$A436=TODAY()),IF(AND(AH!$P$10=1,AH!$P$12=1,$A436=TODAY()),TODAY(),NA()),IF(AH!$P$10=1,INDEX('Live History'!$G$5:$G$3004,MATCH($A436,'Live History'!$G$5:$G$3004,1)),INDEX('AH History'!$F$1:$F$18046,AH!$P$7+431))),NA()),NA())</ns0:f>
        <ns0:v/>
      </ns0:c>
      <ns0:c r="H436">
        <ns0:f>IFERROR(IF(AND(AH!$E$4="Bloomberg",AH!$P$10=1,ISNUMBER($A436),$A436&lt;=AH!$P$17),AH!$P$7-1+MATCH($A436,INDEX('AH History'!$A$1:$A$18046,AH!$P$7):INDEX('AH History'!$A$1:$A$18046,AH!$P$7+AH!$P$8-1),0),0),0)</ns0:f>
        <ns0:v/>
      </ns0:c>
      <ns0:c r="I436">
        <ns0:f>IF($H436=0,0,IFERROR(IF(AND(ABS($C436-INDEX('AH History'!$B$1:$B$18046,$H436))&lt;=MAX(0.005,ABS(INDEX('AH History'!$B$1:$B$18046,$H436))*0.00005),ABS($D436-INDEX('AH History'!$C$1:$C$18046,$H436))&lt;=MAX(0.005,ABS(INDEX('AH History'!$C$1:$C$18046,$H436))*0.00005),ABS($E436-INDEX('AH History'!$D$1:$D$18046,$H436))&lt;=0.00005,$F436=INDEX('AH History'!$E$1:$E$18046,$H436),$G436=INDEX('AH History'!$F$1:$F$18046,$H436)),1,-1),-1))</ns0:f>
        <ns0:v/>
      </ns0:c>
    </ns0:row>
    <ns0:row r="437">
      <ns0:c r="A437" s="215">
        <ns0:f>IF(OR(AH!$P$3=0,432+1&gt;AH!$P$11,AND(AH!$E$4&lt;&gt;"Stored",AH!$P$10&lt;&gt;1)),"",IFERROR(IF(AND(AH!$P$21=1,432+1=AH!$P$11),TODAY(),IF(AH!$P$10=1,INDEX('Live History'!$A$5:$A$3004,AH!$P$13+432),INDEX('AH History'!$A$1:$A$18046,AH!$P$7+432))),""))</ns0:f>
        <ns0:v/>
      </ns0:c>
      <ns0:c r="B437" s="219">
        <ns0:f>IFERROR(IF(AND(AH!$P$9&lt;&gt;1,$C437&gt;0,$D437&gt;0,$E437&gt;0,$F437&gt;0,$G437&gt;0,$F437&lt;=$A437,$G437&lt;=$A437,$A437-$F437&lt;=10,$A437-$G437&lt;=5),$D437*$E437/$C437-1,NA()),NA())</ns0:f>
        <ns0:v/>
      </ns0:c>
      <ns0:c r="C437">
        <ns0:f>IFERROR(IF(ISNUMBER($A437),IF(AND(AH!$P$10=1,AH!$P$12=1,$A437=TODAY()),AH!$P$19,IF(AH!$P$10=1,INDEX('Live History'!$B$5:$B$3004,AH!$P$13+432),INDEX('AH History'!$B$1:$B$18046,AH!$P$7+432))),NA()),NA())</ns0:f>
        <ns0:v/>
      </ns0:c>
      <ns0:c r="D437">
        <ns0:f>IFERROR(IF(ISNUMBER($A437),IF(AND(AH!$P$10=1,AH!$P$12=1,$A437=TODAY()),AH!$P$18,IF(AH!$P$10=1,INDEX('Live History'!$E$5:$E$3004,MATCH($A437,'Live History'!$D$5:$D$3004,1)),INDEX('AH History'!$C$1:$C$18046,AH!$P$7+432))),NA()),NA())</ns0:f>
        <ns0:v/>
      </ns0:c>
      <ns0:c r="E437">
        <ns0:f>IFERROR(IF(ISNUMBER($A437),IF(AND(AH!$P$10=1,AH!$P$12=1,$A437=TODAY()),AH!$P$20,IF(AH!$P$10=1,INDEX('Live History'!$H$5:$H$3004,MATCH($A437,'Live History'!$G$5:$G$3004,1)),INDEX('AH History'!$D$1:$D$18046,AH!$P$7+432))),NA()),NA())</ns0:f>
        <ns0:v/>
      </ns0:c>
      <ns0:c r="F437">
        <ns0:f>IFERROR(IF(ISNUMBER($A437),IF(AND(AH!$P$10=1,AH!$P$12=1,$A437=TODAY()),IF(AND(AH!$P$10=1,AH!$P$12=1,$A437=TODAY()),TODAY(),NA()),IF(AH!$P$10=1,INDEX('Live History'!$D$5:$D$3004,MATCH($A437,'Live History'!$D$5:$D$3004,1)),INDEX('AH History'!$E$1:$E$18046,AH!$P$7+432))),NA()),NA())</ns0:f>
        <ns0:v/>
      </ns0:c>
      <ns0:c r="G437">
        <ns0:f>IFERROR(IF(ISNUMBER($A437),IF(AND(AH!$P$10=1,AH!$P$12=1,$A437=TODAY()),IF(AND(AH!$P$10=1,AH!$P$12=1,$A437=TODAY()),TODAY(),NA()),IF(AH!$P$10=1,INDEX('Live History'!$G$5:$G$3004,MATCH($A437,'Live History'!$G$5:$G$3004,1)),INDEX('AH History'!$F$1:$F$18046,AH!$P$7+432))),NA()),NA())</ns0:f>
        <ns0:v/>
      </ns0:c>
      <ns0:c r="H437">
        <ns0:f>IFERROR(IF(AND(AH!$E$4="Bloomberg",AH!$P$10=1,ISNUMBER($A437),$A437&lt;=AH!$P$17),AH!$P$7-1+MATCH($A437,INDEX('AH History'!$A$1:$A$18046,AH!$P$7):INDEX('AH History'!$A$1:$A$18046,AH!$P$7+AH!$P$8-1),0),0),0)</ns0:f>
        <ns0:v/>
      </ns0:c>
      <ns0:c r="I437">
        <ns0:f>IF($H437=0,0,IFERROR(IF(AND(ABS($C437-INDEX('AH History'!$B$1:$B$18046,$H437))&lt;=MAX(0.005,ABS(INDEX('AH History'!$B$1:$B$18046,$H437))*0.00005),ABS($D437-INDEX('AH History'!$C$1:$C$18046,$H437))&lt;=MAX(0.005,ABS(INDEX('AH History'!$C$1:$C$18046,$H437))*0.00005),ABS($E437-INDEX('AH History'!$D$1:$D$18046,$H437))&lt;=0.00005,$F437=INDEX('AH History'!$E$1:$E$18046,$H437),$G437=INDEX('AH History'!$F$1:$F$18046,$H437)),1,-1),-1))</ns0:f>
        <ns0:v/>
      </ns0:c>
    </ns0:row>
    <ns0:row r="438">
      <ns0:c r="A438" s="215">
        <ns0:f>IF(OR(AH!$P$3=0,433+1&gt;AH!$P$11,AND(AH!$E$4&lt;&gt;"Stored",AH!$P$10&lt;&gt;1)),"",IFERROR(IF(AND(AH!$P$21=1,433+1=AH!$P$11),TODAY(),IF(AH!$P$10=1,INDEX('Live History'!$A$5:$A$3004,AH!$P$13+433),INDEX('AH History'!$A$1:$A$18046,AH!$P$7+433))),""))</ns0:f>
        <ns0:v/>
      </ns0:c>
      <ns0:c r="B438" s="219">
        <ns0:f>IFERROR(IF(AND(AH!$P$9&lt;&gt;1,$C438&gt;0,$D438&gt;0,$E438&gt;0,$F438&gt;0,$G438&gt;0,$F438&lt;=$A438,$G438&lt;=$A438,$A438-$F438&lt;=10,$A438-$G438&lt;=5),$D438*$E438/$C438-1,NA()),NA())</ns0:f>
        <ns0:v/>
      </ns0:c>
      <ns0:c r="C438">
        <ns0:f>IFERROR(IF(ISNUMBER($A438),IF(AND(AH!$P$10=1,AH!$P$12=1,$A438=TODAY()),AH!$P$19,IF(AH!$P$10=1,INDEX('Live History'!$B$5:$B$3004,AH!$P$13+433),INDEX('AH History'!$B$1:$B$18046,AH!$P$7+433))),NA()),NA())</ns0:f>
        <ns0:v/>
      </ns0:c>
      <ns0:c r="D438">
        <ns0:f>IFERROR(IF(ISNUMBER($A438),IF(AND(AH!$P$10=1,AH!$P$12=1,$A438=TODAY()),AH!$P$18,IF(AH!$P$10=1,INDEX('Live History'!$E$5:$E$3004,MATCH($A438,'Live History'!$D$5:$D$3004,1)),INDEX('AH History'!$C$1:$C$18046,AH!$P$7+433))),NA()),NA())</ns0:f>
        <ns0:v/>
      </ns0:c>
      <ns0:c r="E438">
        <ns0:f>IFERROR(IF(ISNUMBER($A438),IF(AND(AH!$P$10=1,AH!$P$12=1,$A438=TODAY()),AH!$P$20,IF(AH!$P$10=1,INDEX('Live History'!$H$5:$H$3004,MATCH($A438,'Live History'!$G$5:$G$3004,1)),INDEX('AH History'!$D$1:$D$18046,AH!$P$7+433))),NA()),NA())</ns0:f>
        <ns0:v/>
      </ns0:c>
      <ns0:c r="F438">
        <ns0:f>IFERROR(IF(ISNUMBER($A438),IF(AND(AH!$P$10=1,AH!$P$12=1,$A438=TODAY()),IF(AND(AH!$P$10=1,AH!$P$12=1,$A438=TODAY()),TODAY(),NA()),IF(AH!$P$10=1,INDEX('Live History'!$D$5:$D$3004,MATCH($A438,'Live History'!$D$5:$D$3004,1)),INDEX('AH History'!$E$1:$E$18046,AH!$P$7+433))),NA()),NA())</ns0:f>
        <ns0:v/>
      </ns0:c>
      <ns0:c r="G438">
        <ns0:f>IFERROR(IF(ISNUMBER($A438),IF(AND(AH!$P$10=1,AH!$P$12=1,$A438=TODAY()),IF(AND(AH!$P$10=1,AH!$P$12=1,$A438=TODAY()),TODAY(),NA()),IF(AH!$P$10=1,INDEX('Live History'!$G$5:$G$3004,MATCH($A438,'Live History'!$G$5:$G$3004,1)),INDEX('AH History'!$F$1:$F$18046,AH!$P$7+433))),NA()),NA())</ns0:f>
        <ns0:v/>
      </ns0:c>
      <ns0:c r="H438">
        <ns0:f>IFERROR(IF(AND(AH!$E$4="Bloomberg",AH!$P$10=1,ISNUMBER($A438),$A438&lt;=AH!$P$17),AH!$P$7-1+MATCH($A438,INDEX('AH History'!$A$1:$A$18046,AH!$P$7):INDEX('AH History'!$A$1:$A$18046,AH!$P$7+AH!$P$8-1),0),0),0)</ns0:f>
        <ns0:v/>
      </ns0:c>
      <ns0:c r="I438">
        <ns0:f>IF($H438=0,0,IFERROR(IF(AND(ABS($C438-INDEX('AH History'!$B$1:$B$18046,$H438))&lt;=MAX(0.005,ABS(INDEX('AH History'!$B$1:$B$18046,$H438))*0.00005),ABS($D438-INDEX('AH History'!$C$1:$C$18046,$H438))&lt;=MAX(0.005,ABS(INDEX('AH History'!$C$1:$C$18046,$H438))*0.00005),ABS($E438-INDEX('AH History'!$D$1:$D$18046,$H438))&lt;=0.00005,$F438=INDEX('AH History'!$E$1:$E$18046,$H438),$G438=INDEX('AH History'!$F$1:$F$18046,$H438)),1,-1),-1))</ns0:f>
        <ns0:v/>
      </ns0:c>
    </ns0:row>
    <ns0:row r="439">
      <ns0:c r="A439" s="215">
        <ns0:f>IF(OR(AH!$P$3=0,434+1&gt;AH!$P$11,AND(AH!$E$4&lt;&gt;"Stored",AH!$P$10&lt;&gt;1)),"",IFERROR(IF(AND(AH!$P$21=1,434+1=AH!$P$11),TODAY(),IF(AH!$P$10=1,INDEX('Live History'!$A$5:$A$3004,AH!$P$13+434),INDEX('AH History'!$A$1:$A$18046,AH!$P$7+434))),""))</ns0:f>
        <ns0:v/>
      </ns0:c>
      <ns0:c r="B439" s="219">
        <ns0:f>IFERROR(IF(AND(AH!$P$9&lt;&gt;1,$C439&gt;0,$D439&gt;0,$E439&gt;0,$F439&gt;0,$G439&gt;0,$F439&lt;=$A439,$G439&lt;=$A439,$A439-$F439&lt;=10,$A439-$G439&lt;=5),$D439*$E439/$C439-1,NA()),NA())</ns0:f>
        <ns0:v/>
      </ns0:c>
      <ns0:c r="C439">
        <ns0:f>IFERROR(IF(ISNUMBER($A439),IF(AND(AH!$P$10=1,AH!$P$12=1,$A439=TODAY()),AH!$P$19,IF(AH!$P$10=1,INDEX('Live History'!$B$5:$B$3004,AH!$P$13+434),INDEX('AH History'!$B$1:$B$18046,AH!$P$7+434))),NA()),NA())</ns0:f>
        <ns0:v/>
      </ns0:c>
      <ns0:c r="D439">
        <ns0:f>IFERROR(IF(ISNUMBER($A439),IF(AND(AH!$P$10=1,AH!$P$12=1,$A439=TODAY()),AH!$P$18,IF(AH!$P$10=1,INDEX('Live History'!$E$5:$E$3004,MATCH($A439,'Live History'!$D$5:$D$3004,1)),INDEX('AH History'!$C$1:$C$18046,AH!$P$7+434))),NA()),NA())</ns0:f>
        <ns0:v/>
      </ns0:c>
      <ns0:c r="E439">
        <ns0:f>IFERROR(IF(ISNUMBER($A439),IF(AND(AH!$P$10=1,AH!$P$12=1,$A439=TODAY()),AH!$P$20,IF(AH!$P$10=1,INDEX('Live History'!$H$5:$H$3004,MATCH($A439,'Live History'!$G$5:$G$3004,1)),INDEX('AH History'!$D$1:$D$18046,AH!$P$7+434))),NA()),NA())</ns0:f>
        <ns0:v/>
      </ns0:c>
      <ns0:c r="F439">
        <ns0:f>IFERROR(IF(ISNUMBER($A439),IF(AND(AH!$P$10=1,AH!$P$12=1,$A439=TODAY()),IF(AND(AH!$P$10=1,AH!$P$12=1,$A439=TODAY()),TODAY(),NA()),IF(AH!$P$10=1,INDEX('Live History'!$D$5:$D$3004,MATCH($A439,'Live History'!$D$5:$D$3004,1)),INDEX('AH History'!$E$1:$E$18046,AH!$P$7+434))),NA()),NA())</ns0:f>
        <ns0:v/>
      </ns0:c>
      <ns0:c r="G439">
        <ns0:f>IFERROR(IF(ISNUMBER($A439),IF(AND(AH!$P$10=1,AH!$P$12=1,$A439=TODAY()),IF(AND(AH!$P$10=1,AH!$P$12=1,$A439=TODAY()),TODAY(),NA()),IF(AH!$P$10=1,INDEX('Live History'!$G$5:$G$3004,MATCH($A439,'Live History'!$G$5:$G$3004,1)),INDEX('AH History'!$F$1:$F$18046,AH!$P$7+434))),NA()),NA())</ns0:f>
        <ns0:v/>
      </ns0:c>
      <ns0:c r="H439">
        <ns0:f>IFERROR(IF(AND(AH!$E$4="Bloomberg",AH!$P$10=1,ISNUMBER($A439),$A439&lt;=AH!$P$17),AH!$P$7-1+MATCH($A439,INDEX('AH History'!$A$1:$A$18046,AH!$P$7):INDEX('AH History'!$A$1:$A$18046,AH!$P$7+AH!$P$8-1),0),0),0)</ns0:f>
        <ns0:v/>
      </ns0:c>
      <ns0:c r="I439">
        <ns0:f>IF($H439=0,0,IFERROR(IF(AND(ABS($C439-INDEX('AH History'!$B$1:$B$18046,$H439))&lt;=MAX(0.005,ABS(INDEX('AH History'!$B$1:$B$18046,$H439))*0.00005),ABS($D439-INDEX('AH History'!$C$1:$C$18046,$H439))&lt;=MAX(0.005,ABS(INDEX('AH History'!$C$1:$C$18046,$H439))*0.00005),ABS($E439-INDEX('AH History'!$D$1:$D$18046,$H439))&lt;=0.00005,$F439=INDEX('AH History'!$E$1:$E$18046,$H439),$G439=INDEX('AH History'!$F$1:$F$18046,$H439)),1,-1),-1))</ns0:f>
        <ns0:v/>
      </ns0:c>
    </ns0:row>
    <ns0:row r="440">
      <ns0:c r="A440" s="215">
        <ns0:f>IF(OR(AH!$P$3=0,435+1&gt;AH!$P$11,AND(AH!$E$4&lt;&gt;"Stored",AH!$P$10&lt;&gt;1)),"",IFERROR(IF(AND(AH!$P$21=1,435+1=AH!$P$11),TODAY(),IF(AH!$P$10=1,INDEX('Live History'!$A$5:$A$3004,AH!$P$13+435),INDEX('AH History'!$A$1:$A$18046,AH!$P$7+435))),""))</ns0:f>
        <ns0:v/>
      </ns0:c>
      <ns0:c r="B440" s="219">
        <ns0:f>IFERROR(IF(AND(AH!$P$9&lt;&gt;1,$C440&gt;0,$D440&gt;0,$E440&gt;0,$F440&gt;0,$G440&gt;0,$F440&lt;=$A440,$G440&lt;=$A440,$A440-$F440&lt;=10,$A440-$G440&lt;=5),$D440*$E440/$C440-1,NA()),NA())</ns0:f>
        <ns0:v/>
      </ns0:c>
      <ns0:c r="C440">
        <ns0:f>IFERROR(IF(ISNUMBER($A440),IF(AND(AH!$P$10=1,AH!$P$12=1,$A440=TODAY()),AH!$P$19,IF(AH!$P$10=1,INDEX('Live History'!$B$5:$B$3004,AH!$P$13+435),INDEX('AH History'!$B$1:$B$18046,AH!$P$7+435))),NA()),NA())</ns0:f>
        <ns0:v/>
      </ns0:c>
      <ns0:c r="D440">
        <ns0:f>IFERROR(IF(ISNUMBER($A440),IF(AND(AH!$P$10=1,AH!$P$12=1,$A440=TODAY()),AH!$P$18,IF(AH!$P$10=1,INDEX('Live History'!$E$5:$E$3004,MATCH($A440,'Live History'!$D$5:$D$3004,1)),INDEX('AH History'!$C$1:$C$18046,AH!$P$7+435))),NA()),NA())</ns0:f>
        <ns0:v/>
      </ns0:c>
      <ns0:c r="E440">
        <ns0:f>IFERROR(IF(ISNUMBER($A440),IF(AND(AH!$P$10=1,AH!$P$12=1,$A440=TODAY()),AH!$P$20,IF(AH!$P$10=1,INDEX('Live History'!$H$5:$H$3004,MATCH($A440,'Live History'!$G$5:$G$3004,1)),INDEX('AH History'!$D$1:$D$18046,AH!$P$7+435))),NA()),NA())</ns0:f>
        <ns0:v/>
      </ns0:c>
      <ns0:c r="F440">
        <ns0:f>IFERROR(IF(ISNUMBER($A440),IF(AND(AH!$P$10=1,AH!$P$12=1,$A440=TODAY()),IF(AND(AH!$P$10=1,AH!$P$12=1,$A440=TODAY()),TODAY(),NA()),IF(AH!$P$10=1,INDEX('Live History'!$D$5:$D$3004,MATCH($A440,'Live History'!$D$5:$D$3004,1)),INDEX('AH History'!$E$1:$E$18046,AH!$P$7+435))),NA()),NA())</ns0:f>
        <ns0:v/>
      </ns0:c>
      <ns0:c r="G440">
        <ns0:f>IFERROR(IF(ISNUMBER($A440),IF(AND(AH!$P$10=1,AH!$P$12=1,$A440=TODAY()),IF(AND(AH!$P$10=1,AH!$P$12=1,$A440=TODAY()),TODAY(),NA()),IF(AH!$P$10=1,INDEX('Live History'!$G$5:$G$3004,MATCH($A440,'Live History'!$G$5:$G$3004,1)),INDEX('AH History'!$F$1:$F$18046,AH!$P$7+435))),NA()),NA())</ns0:f>
        <ns0:v/>
      </ns0:c>
      <ns0:c r="H440">
        <ns0:f>IFERROR(IF(AND(AH!$E$4="Bloomberg",AH!$P$10=1,ISNUMBER($A440),$A440&lt;=AH!$P$17),AH!$P$7-1+MATCH($A440,INDEX('AH History'!$A$1:$A$18046,AH!$P$7):INDEX('AH History'!$A$1:$A$18046,AH!$P$7+AH!$P$8-1),0),0),0)</ns0:f>
        <ns0:v/>
      </ns0:c>
      <ns0:c r="I440">
        <ns0:f>IF($H440=0,0,IFERROR(IF(AND(ABS($C440-INDEX('AH History'!$B$1:$B$18046,$H440))&lt;=MAX(0.005,ABS(INDEX('AH History'!$B$1:$B$18046,$H440))*0.00005),ABS($D440-INDEX('AH History'!$C$1:$C$18046,$H440))&lt;=MAX(0.005,ABS(INDEX('AH History'!$C$1:$C$18046,$H440))*0.00005),ABS($E440-INDEX('AH History'!$D$1:$D$18046,$H440))&lt;=0.00005,$F440=INDEX('AH History'!$E$1:$E$18046,$H440),$G440=INDEX('AH History'!$F$1:$F$18046,$H440)),1,-1),-1))</ns0:f>
        <ns0:v/>
      </ns0:c>
    </ns0:row>
    <ns0:row r="441">
      <ns0:c r="A441" s="215">
        <ns0:f>IF(OR(AH!$P$3=0,436+1&gt;AH!$P$11,AND(AH!$E$4&lt;&gt;"Stored",AH!$P$10&lt;&gt;1)),"",IFERROR(IF(AND(AH!$P$21=1,436+1=AH!$P$11),TODAY(),IF(AH!$P$10=1,INDEX('Live History'!$A$5:$A$3004,AH!$P$13+436),INDEX('AH History'!$A$1:$A$18046,AH!$P$7+436))),""))</ns0:f>
        <ns0:v/>
      </ns0:c>
      <ns0:c r="B441" s="219">
        <ns0:f>IFERROR(IF(AND(AH!$P$9&lt;&gt;1,$C441&gt;0,$D441&gt;0,$E441&gt;0,$F441&gt;0,$G441&gt;0,$F441&lt;=$A441,$G441&lt;=$A441,$A441-$F441&lt;=10,$A441-$G441&lt;=5),$D441*$E441/$C441-1,NA()),NA())</ns0:f>
        <ns0:v/>
      </ns0:c>
      <ns0:c r="C441">
        <ns0:f>IFERROR(IF(ISNUMBER($A441),IF(AND(AH!$P$10=1,AH!$P$12=1,$A441=TODAY()),AH!$P$19,IF(AH!$P$10=1,INDEX('Live History'!$B$5:$B$3004,AH!$P$13+436),INDEX('AH History'!$B$1:$B$18046,AH!$P$7+436))),NA()),NA())</ns0:f>
        <ns0:v/>
      </ns0:c>
      <ns0:c r="D441">
        <ns0:f>IFERROR(IF(ISNUMBER($A441),IF(AND(AH!$P$10=1,AH!$P$12=1,$A441=TODAY()),AH!$P$18,IF(AH!$P$10=1,INDEX('Live History'!$E$5:$E$3004,MATCH($A441,'Live History'!$D$5:$D$3004,1)),INDEX('AH History'!$C$1:$C$18046,AH!$P$7+436))),NA()),NA())</ns0:f>
        <ns0:v/>
      </ns0:c>
      <ns0:c r="E441">
        <ns0:f>IFERROR(IF(ISNUMBER($A441),IF(AND(AH!$P$10=1,AH!$P$12=1,$A441=TODAY()),AH!$P$20,IF(AH!$P$10=1,INDEX('Live History'!$H$5:$H$3004,MATCH($A441,'Live History'!$G$5:$G$3004,1)),INDEX('AH History'!$D$1:$D$18046,AH!$P$7+436))),NA()),NA())</ns0:f>
        <ns0:v/>
      </ns0:c>
      <ns0:c r="F441">
        <ns0:f>IFERROR(IF(ISNUMBER($A441),IF(AND(AH!$P$10=1,AH!$P$12=1,$A441=TODAY()),IF(AND(AH!$P$10=1,AH!$P$12=1,$A441=TODAY()),TODAY(),NA()),IF(AH!$P$10=1,INDEX('Live History'!$D$5:$D$3004,MATCH($A441,'Live History'!$D$5:$D$3004,1)),INDEX('AH History'!$E$1:$E$18046,AH!$P$7+436))),NA()),NA())</ns0:f>
        <ns0:v/>
      </ns0:c>
      <ns0:c r="G441">
        <ns0:f>IFERROR(IF(ISNUMBER($A441),IF(AND(AH!$P$10=1,AH!$P$12=1,$A441=TODAY()),IF(AND(AH!$P$10=1,AH!$P$12=1,$A441=TODAY()),TODAY(),NA()),IF(AH!$P$10=1,INDEX('Live History'!$G$5:$G$3004,MATCH($A441,'Live History'!$G$5:$G$3004,1)),INDEX('AH History'!$F$1:$F$18046,AH!$P$7+436))),NA()),NA())</ns0:f>
        <ns0:v/>
      </ns0:c>
      <ns0:c r="H441">
        <ns0:f>IFERROR(IF(AND(AH!$E$4="Bloomberg",AH!$P$10=1,ISNUMBER($A441),$A441&lt;=AH!$P$17),AH!$P$7-1+MATCH($A441,INDEX('AH History'!$A$1:$A$18046,AH!$P$7):INDEX('AH History'!$A$1:$A$18046,AH!$P$7+AH!$P$8-1),0),0),0)</ns0:f>
        <ns0:v/>
      </ns0:c>
      <ns0:c r="I441">
        <ns0:f>IF($H441=0,0,IFERROR(IF(AND(ABS($C441-INDEX('AH History'!$B$1:$B$18046,$H441))&lt;=MAX(0.005,ABS(INDEX('AH History'!$B$1:$B$18046,$H441))*0.00005),ABS($D441-INDEX('AH History'!$C$1:$C$18046,$H441))&lt;=MAX(0.005,ABS(INDEX('AH History'!$C$1:$C$18046,$H441))*0.00005),ABS($E441-INDEX('AH History'!$D$1:$D$18046,$H441))&lt;=0.00005,$F441=INDEX('AH History'!$E$1:$E$18046,$H441),$G441=INDEX('AH History'!$F$1:$F$18046,$H441)),1,-1),-1))</ns0:f>
        <ns0:v/>
      </ns0:c>
    </ns0:row>
    <ns0:row r="442">
      <ns0:c r="A442" s="215">
        <ns0:f>IF(OR(AH!$P$3=0,437+1&gt;AH!$P$11,AND(AH!$E$4&lt;&gt;"Stored",AH!$P$10&lt;&gt;1)),"",IFERROR(IF(AND(AH!$P$21=1,437+1=AH!$P$11),TODAY(),IF(AH!$P$10=1,INDEX('Live History'!$A$5:$A$3004,AH!$P$13+437),INDEX('AH History'!$A$1:$A$18046,AH!$P$7+437))),""))</ns0:f>
        <ns0:v/>
      </ns0:c>
      <ns0:c r="B442" s="219">
        <ns0:f>IFERROR(IF(AND(AH!$P$9&lt;&gt;1,$C442&gt;0,$D442&gt;0,$E442&gt;0,$F442&gt;0,$G442&gt;0,$F442&lt;=$A442,$G442&lt;=$A442,$A442-$F442&lt;=10,$A442-$G442&lt;=5),$D442*$E442/$C442-1,NA()),NA())</ns0:f>
        <ns0:v/>
      </ns0:c>
      <ns0:c r="C442">
        <ns0:f>IFERROR(IF(ISNUMBER($A442),IF(AND(AH!$P$10=1,AH!$P$12=1,$A442=TODAY()),AH!$P$19,IF(AH!$P$10=1,INDEX('Live History'!$B$5:$B$3004,AH!$P$13+437),INDEX('AH History'!$B$1:$B$18046,AH!$P$7+437))),NA()),NA())</ns0:f>
        <ns0:v/>
      </ns0:c>
      <ns0:c r="D442">
        <ns0:f>IFERROR(IF(ISNUMBER($A442),IF(AND(AH!$P$10=1,AH!$P$12=1,$A442=TODAY()),AH!$P$18,IF(AH!$P$10=1,INDEX('Live History'!$E$5:$E$3004,MATCH($A442,'Live History'!$D$5:$D$3004,1)),INDEX('AH History'!$C$1:$C$18046,AH!$P$7+437))),NA()),NA())</ns0:f>
        <ns0:v/>
      </ns0:c>
      <ns0:c r="E442">
        <ns0:f>IFERROR(IF(ISNUMBER($A442),IF(AND(AH!$P$10=1,AH!$P$12=1,$A442=TODAY()),AH!$P$20,IF(AH!$P$10=1,INDEX('Live History'!$H$5:$H$3004,MATCH($A442,'Live History'!$G$5:$G$3004,1)),INDEX('AH History'!$D$1:$D$18046,AH!$P$7+437))),NA()),NA())</ns0:f>
        <ns0:v/>
      </ns0:c>
      <ns0:c r="F442">
        <ns0:f>IFERROR(IF(ISNUMBER($A442),IF(AND(AH!$P$10=1,AH!$P$12=1,$A442=TODAY()),IF(AND(AH!$P$10=1,AH!$P$12=1,$A442=TODAY()),TODAY(),NA()),IF(AH!$P$10=1,INDEX('Live History'!$D$5:$D$3004,MATCH($A442,'Live History'!$D$5:$D$3004,1)),INDEX('AH History'!$E$1:$E$18046,AH!$P$7+437))),NA()),NA())</ns0:f>
        <ns0:v/>
      </ns0:c>
      <ns0:c r="G442">
        <ns0:f>IFERROR(IF(ISNUMBER($A442),IF(AND(AH!$P$10=1,AH!$P$12=1,$A442=TODAY()),IF(AND(AH!$P$10=1,AH!$P$12=1,$A442=TODAY()),TODAY(),NA()),IF(AH!$P$10=1,INDEX('Live History'!$G$5:$G$3004,MATCH($A442,'Live History'!$G$5:$G$3004,1)),INDEX('AH History'!$F$1:$F$18046,AH!$P$7+437))),NA()),NA())</ns0:f>
        <ns0:v/>
      </ns0:c>
      <ns0:c r="H442">
        <ns0:f>IFERROR(IF(AND(AH!$E$4="Bloomberg",AH!$P$10=1,ISNUMBER($A442),$A442&lt;=AH!$P$17),AH!$P$7-1+MATCH($A442,INDEX('AH History'!$A$1:$A$18046,AH!$P$7):INDEX('AH History'!$A$1:$A$18046,AH!$P$7+AH!$P$8-1),0),0),0)</ns0:f>
        <ns0:v/>
      </ns0:c>
      <ns0:c r="I442">
        <ns0:f>IF($H442=0,0,IFERROR(IF(AND(ABS($C442-INDEX('AH History'!$B$1:$B$18046,$H442))&lt;=MAX(0.005,ABS(INDEX('AH History'!$B$1:$B$18046,$H442))*0.00005),ABS($D442-INDEX('AH History'!$C$1:$C$18046,$H442))&lt;=MAX(0.005,ABS(INDEX('AH History'!$C$1:$C$18046,$H442))*0.00005),ABS($E442-INDEX('AH History'!$D$1:$D$18046,$H442))&lt;=0.00005,$F442=INDEX('AH History'!$E$1:$E$18046,$H442),$G442=INDEX('AH History'!$F$1:$F$18046,$H442)),1,-1),-1))</ns0:f>
        <ns0:v/>
      </ns0:c>
    </ns0:row>
    <ns0:row r="443">
      <ns0:c r="A443" s="215">
        <ns0:f>IF(OR(AH!$P$3=0,438+1&gt;AH!$P$11,AND(AH!$E$4&lt;&gt;"Stored",AH!$P$10&lt;&gt;1)),"",IFERROR(IF(AND(AH!$P$21=1,438+1=AH!$P$11),TODAY(),IF(AH!$P$10=1,INDEX('Live History'!$A$5:$A$3004,AH!$P$13+438),INDEX('AH History'!$A$1:$A$18046,AH!$P$7+438))),""))</ns0:f>
        <ns0:v/>
      </ns0:c>
      <ns0:c r="B443" s="219">
        <ns0:f>IFERROR(IF(AND(AH!$P$9&lt;&gt;1,$C443&gt;0,$D443&gt;0,$E443&gt;0,$F443&gt;0,$G443&gt;0,$F443&lt;=$A443,$G443&lt;=$A443,$A443-$F443&lt;=10,$A443-$G443&lt;=5),$D443*$E443/$C443-1,NA()),NA())</ns0:f>
        <ns0:v/>
      </ns0:c>
      <ns0:c r="C443">
        <ns0:f>IFERROR(IF(ISNUMBER($A443),IF(AND(AH!$P$10=1,AH!$P$12=1,$A443=TODAY()),AH!$P$19,IF(AH!$P$10=1,INDEX('Live History'!$B$5:$B$3004,AH!$P$13+438),INDEX('AH History'!$B$1:$B$18046,AH!$P$7+438))),NA()),NA())</ns0:f>
        <ns0:v/>
      </ns0:c>
      <ns0:c r="D443">
        <ns0:f>IFERROR(IF(ISNUMBER($A443),IF(AND(AH!$P$10=1,AH!$P$12=1,$A443=TODAY()),AH!$P$18,IF(AH!$P$10=1,INDEX('Live History'!$E$5:$E$3004,MATCH($A443,'Live History'!$D$5:$D$3004,1)),INDEX('AH History'!$C$1:$C$18046,AH!$P$7+438))),NA()),NA())</ns0:f>
        <ns0:v/>
      </ns0:c>
      <ns0:c r="E443">
        <ns0:f>IFERROR(IF(ISNUMBER($A443),IF(AND(AH!$P$10=1,AH!$P$12=1,$A443=TODAY()),AH!$P$20,IF(AH!$P$10=1,INDEX('Live History'!$H$5:$H$3004,MATCH($A443,'Live History'!$G$5:$G$3004,1)),INDEX('AH History'!$D$1:$D$18046,AH!$P$7+438))),NA()),NA())</ns0:f>
        <ns0:v/>
      </ns0:c>
      <ns0:c r="F443">
        <ns0:f>IFERROR(IF(ISNUMBER($A443),IF(AND(AH!$P$10=1,AH!$P$12=1,$A443=TODAY()),IF(AND(AH!$P$10=1,AH!$P$12=1,$A443=TODAY()),TODAY(),NA()),IF(AH!$P$10=1,INDEX('Live History'!$D$5:$D$3004,MATCH($A443,'Live History'!$D$5:$D$3004,1)),INDEX('AH History'!$E$1:$E$18046,AH!$P$7+438))),NA()),NA())</ns0:f>
        <ns0:v/>
      </ns0:c>
      <ns0:c r="G443">
        <ns0:f>IFERROR(IF(ISNUMBER($A443),IF(AND(AH!$P$10=1,AH!$P$12=1,$A443=TODAY()),IF(AND(AH!$P$10=1,AH!$P$12=1,$A443=TODAY()),TODAY(),NA()),IF(AH!$P$10=1,INDEX('Live History'!$G$5:$G$3004,MATCH($A443,'Live History'!$G$5:$G$3004,1)),INDEX('AH History'!$F$1:$F$18046,AH!$P$7+438))),NA()),NA())</ns0:f>
        <ns0:v/>
      </ns0:c>
      <ns0:c r="H443">
        <ns0:f>IFERROR(IF(AND(AH!$E$4="Bloomberg",AH!$P$10=1,ISNUMBER($A443),$A443&lt;=AH!$P$17),AH!$P$7-1+MATCH($A443,INDEX('AH History'!$A$1:$A$18046,AH!$P$7):INDEX('AH History'!$A$1:$A$18046,AH!$P$7+AH!$P$8-1),0),0),0)</ns0:f>
        <ns0:v/>
      </ns0:c>
      <ns0:c r="I443">
        <ns0:f>IF($H443=0,0,IFERROR(IF(AND(ABS($C443-INDEX('AH History'!$B$1:$B$18046,$H443))&lt;=MAX(0.005,ABS(INDEX('AH History'!$B$1:$B$18046,$H443))*0.00005),ABS($D443-INDEX('AH History'!$C$1:$C$18046,$H443))&lt;=MAX(0.005,ABS(INDEX('AH History'!$C$1:$C$18046,$H443))*0.00005),ABS($E443-INDEX('AH History'!$D$1:$D$18046,$H443))&lt;=0.00005,$F443=INDEX('AH History'!$E$1:$E$18046,$H443),$G443=INDEX('AH History'!$F$1:$F$18046,$H443)),1,-1),-1))</ns0:f>
        <ns0:v/>
      </ns0:c>
    </ns0:row>
    <ns0:row r="444">
      <ns0:c r="A444" s="215">
        <ns0:f>IF(OR(AH!$P$3=0,439+1&gt;AH!$P$11,AND(AH!$E$4&lt;&gt;"Stored",AH!$P$10&lt;&gt;1)),"",IFERROR(IF(AND(AH!$P$21=1,439+1=AH!$P$11),TODAY(),IF(AH!$P$10=1,INDEX('Live History'!$A$5:$A$3004,AH!$P$13+439),INDEX('AH History'!$A$1:$A$18046,AH!$P$7+439))),""))</ns0:f>
        <ns0:v/>
      </ns0:c>
      <ns0:c r="B444" s="219">
        <ns0:f>IFERROR(IF(AND(AH!$P$9&lt;&gt;1,$C444&gt;0,$D444&gt;0,$E444&gt;0,$F444&gt;0,$G444&gt;0,$F444&lt;=$A444,$G444&lt;=$A444,$A444-$F444&lt;=10,$A444-$G444&lt;=5),$D444*$E444/$C444-1,NA()),NA())</ns0:f>
        <ns0:v/>
      </ns0:c>
      <ns0:c r="C444">
        <ns0:f>IFERROR(IF(ISNUMBER($A444),IF(AND(AH!$P$10=1,AH!$P$12=1,$A444=TODAY()),AH!$P$19,IF(AH!$P$10=1,INDEX('Live History'!$B$5:$B$3004,AH!$P$13+439),INDEX('AH History'!$B$1:$B$18046,AH!$P$7+439))),NA()),NA())</ns0:f>
        <ns0:v/>
      </ns0:c>
      <ns0:c r="D444">
        <ns0:f>IFERROR(IF(ISNUMBER($A444),IF(AND(AH!$P$10=1,AH!$P$12=1,$A444=TODAY()),AH!$P$18,IF(AH!$P$10=1,INDEX('Live History'!$E$5:$E$3004,MATCH($A444,'Live History'!$D$5:$D$3004,1)),INDEX('AH History'!$C$1:$C$18046,AH!$P$7+439))),NA()),NA())</ns0:f>
        <ns0:v/>
      </ns0:c>
      <ns0:c r="E444">
        <ns0:f>IFERROR(IF(ISNUMBER($A444),IF(AND(AH!$P$10=1,AH!$P$12=1,$A444=TODAY()),AH!$P$20,IF(AH!$P$10=1,INDEX('Live History'!$H$5:$H$3004,MATCH($A444,'Live History'!$G$5:$G$3004,1)),INDEX('AH History'!$D$1:$D$18046,AH!$P$7+439))),NA()),NA())</ns0:f>
        <ns0:v/>
      </ns0:c>
      <ns0:c r="F444">
        <ns0:f>IFERROR(IF(ISNUMBER($A444),IF(AND(AH!$P$10=1,AH!$P$12=1,$A444=TODAY()),IF(AND(AH!$P$10=1,AH!$P$12=1,$A444=TODAY()),TODAY(),NA()),IF(AH!$P$10=1,INDEX('Live History'!$D$5:$D$3004,MATCH($A444,'Live History'!$D$5:$D$3004,1)),INDEX('AH History'!$E$1:$E$18046,AH!$P$7+439))),NA()),NA())</ns0:f>
        <ns0:v/>
      </ns0:c>
      <ns0:c r="G444">
        <ns0:f>IFERROR(IF(ISNUMBER($A444),IF(AND(AH!$P$10=1,AH!$P$12=1,$A444=TODAY()),IF(AND(AH!$P$10=1,AH!$P$12=1,$A444=TODAY()),TODAY(),NA()),IF(AH!$P$10=1,INDEX('Live History'!$G$5:$G$3004,MATCH($A444,'Live History'!$G$5:$G$3004,1)),INDEX('AH History'!$F$1:$F$18046,AH!$P$7+439))),NA()),NA())</ns0:f>
        <ns0:v/>
      </ns0:c>
      <ns0:c r="H444">
        <ns0:f>IFERROR(IF(AND(AH!$E$4="Bloomberg",AH!$P$10=1,ISNUMBER($A444),$A444&lt;=AH!$P$17),AH!$P$7-1+MATCH($A444,INDEX('AH History'!$A$1:$A$18046,AH!$P$7):INDEX('AH History'!$A$1:$A$18046,AH!$P$7+AH!$P$8-1),0),0),0)</ns0:f>
        <ns0:v/>
      </ns0:c>
      <ns0:c r="I444">
        <ns0:f>IF($H444=0,0,IFERROR(IF(AND(ABS($C444-INDEX('AH History'!$B$1:$B$18046,$H444))&lt;=MAX(0.005,ABS(INDEX('AH History'!$B$1:$B$18046,$H444))*0.00005),ABS($D444-INDEX('AH History'!$C$1:$C$18046,$H444))&lt;=MAX(0.005,ABS(INDEX('AH History'!$C$1:$C$18046,$H444))*0.00005),ABS($E444-INDEX('AH History'!$D$1:$D$18046,$H444))&lt;=0.00005,$F444=INDEX('AH History'!$E$1:$E$18046,$H444),$G444=INDEX('AH History'!$F$1:$F$18046,$H444)),1,-1),-1))</ns0:f>
        <ns0:v/>
      </ns0:c>
    </ns0:row>
    <ns0:row r="445">
      <ns0:c r="A445" s="215">
        <ns0:f>IF(OR(AH!$P$3=0,440+1&gt;AH!$P$11,AND(AH!$E$4&lt;&gt;"Stored",AH!$P$10&lt;&gt;1)),"",IFERROR(IF(AND(AH!$P$21=1,440+1=AH!$P$11),TODAY(),IF(AH!$P$10=1,INDEX('Live History'!$A$5:$A$3004,AH!$P$13+440),INDEX('AH History'!$A$1:$A$18046,AH!$P$7+440))),""))</ns0:f>
        <ns0:v/>
      </ns0:c>
      <ns0:c r="B445" s="219">
        <ns0:f>IFERROR(IF(AND(AH!$P$9&lt;&gt;1,$C445&gt;0,$D445&gt;0,$E445&gt;0,$F445&gt;0,$G445&gt;0,$F445&lt;=$A445,$G445&lt;=$A445,$A445-$F445&lt;=10,$A445-$G445&lt;=5),$D445*$E445/$C445-1,NA()),NA())</ns0:f>
        <ns0:v/>
      </ns0:c>
      <ns0:c r="C445">
        <ns0:f>IFERROR(IF(ISNUMBER($A445),IF(AND(AH!$P$10=1,AH!$P$12=1,$A445=TODAY()),AH!$P$19,IF(AH!$P$10=1,INDEX('Live History'!$B$5:$B$3004,AH!$P$13+440),INDEX('AH History'!$B$1:$B$18046,AH!$P$7+440))),NA()),NA())</ns0:f>
        <ns0:v/>
      </ns0:c>
      <ns0:c r="D445">
        <ns0:f>IFERROR(IF(ISNUMBER($A445),IF(AND(AH!$P$10=1,AH!$P$12=1,$A445=TODAY()),AH!$P$18,IF(AH!$P$10=1,INDEX('Live History'!$E$5:$E$3004,MATCH($A445,'Live History'!$D$5:$D$3004,1)),INDEX('AH History'!$C$1:$C$18046,AH!$P$7+440))),NA()),NA())</ns0:f>
        <ns0:v/>
      </ns0:c>
      <ns0:c r="E445">
        <ns0:f>IFERROR(IF(ISNUMBER($A445),IF(AND(AH!$P$10=1,AH!$P$12=1,$A445=TODAY()),AH!$P$20,IF(AH!$P$10=1,INDEX('Live History'!$H$5:$H$3004,MATCH($A445,'Live History'!$G$5:$G$3004,1)),INDEX('AH History'!$D$1:$D$18046,AH!$P$7+440))),NA()),NA())</ns0:f>
        <ns0:v/>
      </ns0:c>
      <ns0:c r="F445">
        <ns0:f>IFERROR(IF(ISNUMBER($A445),IF(AND(AH!$P$10=1,AH!$P$12=1,$A445=TODAY()),IF(AND(AH!$P$10=1,AH!$P$12=1,$A445=TODAY()),TODAY(),NA()),IF(AH!$P$10=1,INDEX('Live History'!$D$5:$D$3004,MATCH($A445,'Live History'!$D$5:$D$3004,1)),INDEX('AH History'!$E$1:$E$18046,AH!$P$7+440))),NA()),NA())</ns0:f>
        <ns0:v/>
      </ns0:c>
      <ns0:c r="G445">
        <ns0:f>IFERROR(IF(ISNUMBER($A445),IF(AND(AH!$P$10=1,AH!$P$12=1,$A445=TODAY()),IF(AND(AH!$P$10=1,AH!$P$12=1,$A445=TODAY()),TODAY(),NA()),IF(AH!$P$10=1,INDEX('Live History'!$G$5:$G$3004,MATCH($A445,'Live History'!$G$5:$G$3004,1)),INDEX('AH History'!$F$1:$F$18046,AH!$P$7+440))),NA()),NA())</ns0:f>
        <ns0:v/>
      </ns0:c>
      <ns0:c r="H445">
        <ns0:f>IFERROR(IF(AND(AH!$E$4="Bloomberg",AH!$P$10=1,ISNUMBER($A445),$A445&lt;=AH!$P$17),AH!$P$7-1+MATCH($A445,INDEX('AH History'!$A$1:$A$18046,AH!$P$7):INDEX('AH History'!$A$1:$A$18046,AH!$P$7+AH!$P$8-1),0),0),0)</ns0:f>
        <ns0:v/>
      </ns0:c>
      <ns0:c r="I445">
        <ns0:f>IF($H445=0,0,IFERROR(IF(AND(ABS($C445-INDEX('AH History'!$B$1:$B$18046,$H445))&lt;=MAX(0.005,ABS(INDEX('AH History'!$B$1:$B$18046,$H445))*0.00005),ABS($D445-INDEX('AH History'!$C$1:$C$18046,$H445))&lt;=MAX(0.005,ABS(INDEX('AH History'!$C$1:$C$18046,$H445))*0.00005),ABS($E445-INDEX('AH History'!$D$1:$D$18046,$H445))&lt;=0.00005,$F445=INDEX('AH History'!$E$1:$E$18046,$H445),$G445=INDEX('AH History'!$F$1:$F$18046,$H445)),1,-1),-1))</ns0:f>
        <ns0:v/>
      </ns0:c>
    </ns0:row>
    <ns0:row r="446">
      <ns0:c r="A446" s="215">
        <ns0:f>IF(OR(AH!$P$3=0,441+1&gt;AH!$P$11,AND(AH!$E$4&lt;&gt;"Stored",AH!$P$10&lt;&gt;1)),"",IFERROR(IF(AND(AH!$P$21=1,441+1=AH!$P$11),TODAY(),IF(AH!$P$10=1,INDEX('Live History'!$A$5:$A$3004,AH!$P$13+441),INDEX('AH History'!$A$1:$A$18046,AH!$P$7+441))),""))</ns0:f>
        <ns0:v/>
      </ns0:c>
      <ns0:c r="B446" s="219">
        <ns0:f>IFERROR(IF(AND(AH!$P$9&lt;&gt;1,$C446&gt;0,$D446&gt;0,$E446&gt;0,$F446&gt;0,$G446&gt;0,$F446&lt;=$A446,$G446&lt;=$A446,$A446-$F446&lt;=10,$A446-$G446&lt;=5),$D446*$E446/$C446-1,NA()),NA())</ns0:f>
        <ns0:v/>
      </ns0:c>
      <ns0:c r="C446">
        <ns0:f>IFERROR(IF(ISNUMBER($A446),IF(AND(AH!$P$10=1,AH!$P$12=1,$A446=TODAY()),AH!$P$19,IF(AH!$P$10=1,INDEX('Live History'!$B$5:$B$3004,AH!$P$13+441),INDEX('AH History'!$B$1:$B$18046,AH!$P$7+441))),NA()),NA())</ns0:f>
        <ns0:v/>
      </ns0:c>
      <ns0:c r="D446">
        <ns0:f>IFERROR(IF(ISNUMBER($A446),IF(AND(AH!$P$10=1,AH!$P$12=1,$A446=TODAY()),AH!$P$18,IF(AH!$P$10=1,INDEX('Live History'!$E$5:$E$3004,MATCH($A446,'Live History'!$D$5:$D$3004,1)),INDEX('AH History'!$C$1:$C$18046,AH!$P$7+441))),NA()),NA())</ns0:f>
        <ns0:v/>
      </ns0:c>
      <ns0:c r="E446">
        <ns0:f>IFERROR(IF(ISNUMBER($A446),IF(AND(AH!$P$10=1,AH!$P$12=1,$A446=TODAY()),AH!$P$20,IF(AH!$P$10=1,INDEX('Live History'!$H$5:$H$3004,MATCH($A446,'Live History'!$G$5:$G$3004,1)),INDEX('AH History'!$D$1:$D$18046,AH!$P$7+441))),NA()),NA())</ns0:f>
        <ns0:v/>
      </ns0:c>
      <ns0:c r="F446">
        <ns0:f>IFERROR(IF(ISNUMBER($A446),IF(AND(AH!$P$10=1,AH!$P$12=1,$A446=TODAY()),IF(AND(AH!$P$10=1,AH!$P$12=1,$A446=TODAY()),TODAY(),NA()),IF(AH!$P$10=1,INDEX('Live History'!$D$5:$D$3004,MATCH($A446,'Live History'!$D$5:$D$3004,1)),INDEX('AH History'!$E$1:$E$18046,AH!$P$7+441))),NA()),NA())</ns0:f>
        <ns0:v/>
      </ns0:c>
      <ns0:c r="G446">
        <ns0:f>IFERROR(IF(ISNUMBER($A446),IF(AND(AH!$P$10=1,AH!$P$12=1,$A446=TODAY()),IF(AND(AH!$P$10=1,AH!$P$12=1,$A446=TODAY()),TODAY(),NA()),IF(AH!$P$10=1,INDEX('Live History'!$G$5:$G$3004,MATCH($A446,'Live History'!$G$5:$G$3004,1)),INDEX('AH History'!$F$1:$F$18046,AH!$P$7+441))),NA()),NA())</ns0:f>
        <ns0:v/>
      </ns0:c>
      <ns0:c r="H446">
        <ns0:f>IFERROR(IF(AND(AH!$E$4="Bloomberg",AH!$P$10=1,ISNUMBER($A446),$A446&lt;=AH!$P$17),AH!$P$7-1+MATCH($A446,INDEX('AH History'!$A$1:$A$18046,AH!$P$7):INDEX('AH History'!$A$1:$A$18046,AH!$P$7+AH!$P$8-1),0),0),0)</ns0:f>
        <ns0:v/>
      </ns0:c>
      <ns0:c r="I446">
        <ns0:f>IF($H446=0,0,IFERROR(IF(AND(ABS($C446-INDEX('AH History'!$B$1:$B$18046,$H446))&lt;=MAX(0.005,ABS(INDEX('AH History'!$B$1:$B$18046,$H446))*0.00005),ABS($D446-INDEX('AH History'!$C$1:$C$18046,$H446))&lt;=MAX(0.005,ABS(INDEX('AH History'!$C$1:$C$18046,$H446))*0.00005),ABS($E446-INDEX('AH History'!$D$1:$D$18046,$H446))&lt;=0.00005,$F446=INDEX('AH History'!$E$1:$E$18046,$H446),$G446=INDEX('AH History'!$F$1:$F$18046,$H446)),1,-1),-1))</ns0:f>
        <ns0:v/>
      </ns0:c>
    </ns0:row>
    <ns0:row r="447">
      <ns0:c r="A447" s="215">
        <ns0:f>IF(OR(AH!$P$3=0,442+1&gt;AH!$P$11,AND(AH!$E$4&lt;&gt;"Stored",AH!$P$10&lt;&gt;1)),"",IFERROR(IF(AND(AH!$P$21=1,442+1=AH!$P$11),TODAY(),IF(AH!$P$10=1,INDEX('Live History'!$A$5:$A$3004,AH!$P$13+442),INDEX('AH History'!$A$1:$A$18046,AH!$P$7+442))),""))</ns0:f>
        <ns0:v/>
      </ns0:c>
      <ns0:c r="B447" s="219">
        <ns0:f>IFERROR(IF(AND(AH!$P$9&lt;&gt;1,$C447&gt;0,$D447&gt;0,$E447&gt;0,$F447&gt;0,$G447&gt;0,$F447&lt;=$A447,$G447&lt;=$A447,$A447-$F447&lt;=10,$A447-$G447&lt;=5),$D447*$E447/$C447-1,NA()),NA())</ns0:f>
        <ns0:v/>
      </ns0:c>
      <ns0:c r="C447">
        <ns0:f>IFERROR(IF(ISNUMBER($A447),IF(AND(AH!$P$10=1,AH!$P$12=1,$A447=TODAY()),AH!$P$19,IF(AH!$P$10=1,INDEX('Live History'!$B$5:$B$3004,AH!$P$13+442),INDEX('AH History'!$B$1:$B$18046,AH!$P$7+442))),NA()),NA())</ns0:f>
        <ns0:v/>
      </ns0:c>
      <ns0:c r="D447">
        <ns0:f>IFERROR(IF(ISNUMBER($A447),IF(AND(AH!$P$10=1,AH!$P$12=1,$A447=TODAY()),AH!$P$18,IF(AH!$P$10=1,INDEX('Live History'!$E$5:$E$3004,MATCH($A447,'Live History'!$D$5:$D$3004,1)),INDEX('AH History'!$C$1:$C$18046,AH!$P$7+442))),NA()),NA())</ns0:f>
        <ns0:v/>
      </ns0:c>
      <ns0:c r="E447">
        <ns0:f>IFERROR(IF(ISNUMBER($A447),IF(AND(AH!$P$10=1,AH!$P$12=1,$A447=TODAY()),AH!$P$20,IF(AH!$P$10=1,INDEX('Live History'!$H$5:$H$3004,MATCH($A447,'Live History'!$G$5:$G$3004,1)),INDEX('AH History'!$D$1:$D$18046,AH!$P$7+442))),NA()),NA())</ns0:f>
        <ns0:v/>
      </ns0:c>
      <ns0:c r="F447">
        <ns0:f>IFERROR(IF(ISNUMBER($A447),IF(AND(AH!$P$10=1,AH!$P$12=1,$A447=TODAY()),IF(AND(AH!$P$10=1,AH!$P$12=1,$A447=TODAY()),TODAY(),NA()),IF(AH!$P$10=1,INDEX('Live History'!$D$5:$D$3004,MATCH($A447,'Live History'!$D$5:$D$3004,1)),INDEX('AH History'!$E$1:$E$18046,AH!$P$7+442))),NA()),NA())</ns0:f>
        <ns0:v/>
      </ns0:c>
      <ns0:c r="G447">
        <ns0:f>IFERROR(IF(ISNUMBER($A447),IF(AND(AH!$P$10=1,AH!$P$12=1,$A447=TODAY()),IF(AND(AH!$P$10=1,AH!$P$12=1,$A447=TODAY()),TODAY(),NA()),IF(AH!$P$10=1,INDEX('Live History'!$G$5:$G$3004,MATCH($A447,'Live History'!$G$5:$G$3004,1)),INDEX('AH History'!$F$1:$F$18046,AH!$P$7+442))),NA()),NA())</ns0:f>
        <ns0:v/>
      </ns0:c>
      <ns0:c r="H447">
        <ns0:f>IFERROR(IF(AND(AH!$E$4="Bloomberg",AH!$P$10=1,ISNUMBER($A447),$A447&lt;=AH!$P$17),AH!$P$7-1+MATCH($A447,INDEX('AH History'!$A$1:$A$18046,AH!$P$7):INDEX('AH History'!$A$1:$A$18046,AH!$P$7+AH!$P$8-1),0),0),0)</ns0:f>
        <ns0:v/>
      </ns0:c>
      <ns0:c r="I447">
        <ns0:f>IF($H447=0,0,IFERROR(IF(AND(ABS($C447-INDEX('AH History'!$B$1:$B$18046,$H447))&lt;=MAX(0.005,ABS(INDEX('AH History'!$B$1:$B$18046,$H447))*0.00005),ABS($D447-INDEX('AH History'!$C$1:$C$18046,$H447))&lt;=MAX(0.005,ABS(INDEX('AH History'!$C$1:$C$18046,$H447))*0.00005),ABS($E447-INDEX('AH History'!$D$1:$D$18046,$H447))&lt;=0.00005,$F447=INDEX('AH History'!$E$1:$E$18046,$H447),$G447=INDEX('AH History'!$F$1:$F$18046,$H447)),1,-1),-1))</ns0:f>
        <ns0:v/>
      </ns0:c>
    </ns0:row>
    <ns0:row r="448">
      <ns0:c r="A448" s="215">
        <ns0:f>IF(OR(AH!$P$3=0,443+1&gt;AH!$P$11,AND(AH!$E$4&lt;&gt;"Stored",AH!$P$10&lt;&gt;1)),"",IFERROR(IF(AND(AH!$P$21=1,443+1=AH!$P$11),TODAY(),IF(AH!$P$10=1,INDEX('Live History'!$A$5:$A$3004,AH!$P$13+443),INDEX('AH History'!$A$1:$A$18046,AH!$P$7+443))),""))</ns0:f>
        <ns0:v/>
      </ns0:c>
      <ns0:c r="B448" s="219">
        <ns0:f>IFERROR(IF(AND(AH!$P$9&lt;&gt;1,$C448&gt;0,$D448&gt;0,$E448&gt;0,$F448&gt;0,$G448&gt;0,$F448&lt;=$A448,$G448&lt;=$A448,$A448-$F448&lt;=10,$A448-$G448&lt;=5),$D448*$E448/$C448-1,NA()),NA())</ns0:f>
        <ns0:v/>
      </ns0:c>
      <ns0:c r="C448">
        <ns0:f>IFERROR(IF(ISNUMBER($A448),IF(AND(AH!$P$10=1,AH!$P$12=1,$A448=TODAY()),AH!$P$19,IF(AH!$P$10=1,INDEX('Live History'!$B$5:$B$3004,AH!$P$13+443),INDEX('AH History'!$B$1:$B$18046,AH!$P$7+443))),NA()),NA())</ns0:f>
        <ns0:v/>
      </ns0:c>
      <ns0:c r="D448">
        <ns0:f>IFERROR(IF(ISNUMBER($A448),IF(AND(AH!$P$10=1,AH!$P$12=1,$A448=TODAY()),AH!$P$18,IF(AH!$P$10=1,INDEX('Live History'!$E$5:$E$3004,MATCH($A448,'Live History'!$D$5:$D$3004,1)),INDEX('AH History'!$C$1:$C$18046,AH!$P$7+443))),NA()),NA())</ns0:f>
        <ns0:v/>
      </ns0:c>
      <ns0:c r="E448">
        <ns0:f>IFERROR(IF(ISNUMBER($A448),IF(AND(AH!$P$10=1,AH!$P$12=1,$A448=TODAY()),AH!$P$20,IF(AH!$P$10=1,INDEX('Live History'!$H$5:$H$3004,MATCH($A448,'Live History'!$G$5:$G$3004,1)),INDEX('AH History'!$D$1:$D$18046,AH!$P$7+443))),NA()),NA())</ns0:f>
        <ns0:v/>
      </ns0:c>
      <ns0:c r="F448">
        <ns0:f>IFERROR(IF(ISNUMBER($A448),IF(AND(AH!$P$10=1,AH!$P$12=1,$A448=TODAY()),IF(AND(AH!$P$10=1,AH!$P$12=1,$A448=TODAY()),TODAY(),NA()),IF(AH!$P$10=1,INDEX('Live History'!$D$5:$D$3004,MATCH($A448,'Live History'!$D$5:$D$3004,1)),INDEX('AH History'!$E$1:$E$18046,AH!$P$7+443))),NA()),NA())</ns0:f>
        <ns0:v/>
      </ns0:c>
      <ns0:c r="G448">
        <ns0:f>IFERROR(IF(ISNUMBER($A448),IF(AND(AH!$P$10=1,AH!$P$12=1,$A448=TODAY()),IF(AND(AH!$P$10=1,AH!$P$12=1,$A448=TODAY()),TODAY(),NA()),IF(AH!$P$10=1,INDEX('Live History'!$G$5:$G$3004,MATCH($A448,'Live History'!$G$5:$G$3004,1)),INDEX('AH History'!$F$1:$F$18046,AH!$P$7+443))),NA()),NA())</ns0:f>
        <ns0:v/>
      </ns0:c>
      <ns0:c r="H448">
        <ns0:f>IFERROR(IF(AND(AH!$E$4="Bloomberg",AH!$P$10=1,ISNUMBER($A448),$A448&lt;=AH!$P$17),AH!$P$7-1+MATCH($A448,INDEX('AH History'!$A$1:$A$18046,AH!$P$7):INDEX('AH History'!$A$1:$A$18046,AH!$P$7+AH!$P$8-1),0),0),0)</ns0:f>
        <ns0:v/>
      </ns0:c>
      <ns0:c r="I448">
        <ns0:f>IF($H448=0,0,IFERROR(IF(AND(ABS($C448-INDEX('AH History'!$B$1:$B$18046,$H448))&lt;=MAX(0.005,ABS(INDEX('AH History'!$B$1:$B$18046,$H448))*0.00005),ABS($D448-INDEX('AH History'!$C$1:$C$18046,$H448))&lt;=MAX(0.005,ABS(INDEX('AH History'!$C$1:$C$18046,$H448))*0.00005),ABS($E448-INDEX('AH History'!$D$1:$D$18046,$H448))&lt;=0.00005,$F448=INDEX('AH History'!$E$1:$E$18046,$H448),$G448=INDEX('AH History'!$F$1:$F$18046,$H448)),1,-1),-1))</ns0:f>
        <ns0:v/>
      </ns0:c>
    </ns0:row>
    <ns0:row r="449">
      <ns0:c r="A449" s="215">
        <ns0:f>IF(OR(AH!$P$3=0,444+1&gt;AH!$P$11,AND(AH!$E$4&lt;&gt;"Stored",AH!$P$10&lt;&gt;1)),"",IFERROR(IF(AND(AH!$P$21=1,444+1=AH!$P$11),TODAY(),IF(AH!$P$10=1,INDEX('Live History'!$A$5:$A$3004,AH!$P$13+444),INDEX('AH History'!$A$1:$A$18046,AH!$P$7+444))),""))</ns0:f>
        <ns0:v/>
      </ns0:c>
      <ns0:c r="B449" s="219">
        <ns0:f>IFERROR(IF(AND(AH!$P$9&lt;&gt;1,$C449&gt;0,$D449&gt;0,$E449&gt;0,$F449&gt;0,$G449&gt;0,$F449&lt;=$A449,$G449&lt;=$A449,$A449-$F449&lt;=10,$A449-$G449&lt;=5),$D449*$E449/$C449-1,NA()),NA())</ns0:f>
        <ns0:v/>
      </ns0:c>
      <ns0:c r="C449">
        <ns0:f>IFERROR(IF(ISNUMBER($A449),IF(AND(AH!$P$10=1,AH!$P$12=1,$A449=TODAY()),AH!$P$19,IF(AH!$P$10=1,INDEX('Live History'!$B$5:$B$3004,AH!$P$13+444),INDEX('AH History'!$B$1:$B$18046,AH!$P$7+444))),NA()),NA())</ns0:f>
        <ns0:v/>
      </ns0:c>
      <ns0:c r="D449">
        <ns0:f>IFERROR(IF(ISNUMBER($A449),IF(AND(AH!$P$10=1,AH!$P$12=1,$A449=TODAY()),AH!$P$18,IF(AH!$P$10=1,INDEX('Live History'!$E$5:$E$3004,MATCH($A449,'Live History'!$D$5:$D$3004,1)),INDEX('AH History'!$C$1:$C$18046,AH!$P$7+444))),NA()),NA())</ns0:f>
        <ns0:v/>
      </ns0:c>
      <ns0:c r="E449">
        <ns0:f>IFERROR(IF(ISNUMBER($A449),IF(AND(AH!$P$10=1,AH!$P$12=1,$A449=TODAY()),AH!$P$20,IF(AH!$P$10=1,INDEX('Live History'!$H$5:$H$3004,MATCH($A449,'Live History'!$G$5:$G$3004,1)),INDEX('AH History'!$D$1:$D$18046,AH!$P$7+444))),NA()),NA())</ns0:f>
        <ns0:v/>
      </ns0:c>
      <ns0:c r="F449">
        <ns0:f>IFERROR(IF(ISNUMBER($A449),IF(AND(AH!$P$10=1,AH!$P$12=1,$A449=TODAY()),IF(AND(AH!$P$10=1,AH!$P$12=1,$A449=TODAY()),TODAY(),NA()),IF(AH!$P$10=1,INDEX('Live History'!$D$5:$D$3004,MATCH($A449,'Live History'!$D$5:$D$3004,1)),INDEX('AH History'!$E$1:$E$18046,AH!$P$7+444))),NA()),NA())</ns0:f>
        <ns0:v/>
      </ns0:c>
      <ns0:c r="G449">
        <ns0:f>IFERROR(IF(ISNUMBER($A449),IF(AND(AH!$P$10=1,AH!$P$12=1,$A449=TODAY()),IF(AND(AH!$P$10=1,AH!$P$12=1,$A449=TODAY()),TODAY(),NA()),IF(AH!$P$10=1,INDEX('Live History'!$G$5:$G$3004,MATCH($A449,'Live History'!$G$5:$G$3004,1)),INDEX('AH History'!$F$1:$F$18046,AH!$P$7+444))),NA()),NA())</ns0:f>
        <ns0:v/>
      </ns0:c>
      <ns0:c r="H449">
        <ns0:f>IFERROR(IF(AND(AH!$E$4="Bloomberg",AH!$P$10=1,ISNUMBER($A449),$A449&lt;=AH!$P$17),AH!$P$7-1+MATCH($A449,INDEX('AH History'!$A$1:$A$18046,AH!$P$7):INDEX('AH History'!$A$1:$A$18046,AH!$P$7+AH!$P$8-1),0),0),0)</ns0:f>
        <ns0:v/>
      </ns0:c>
      <ns0:c r="I449">
        <ns0:f>IF($H449=0,0,IFERROR(IF(AND(ABS($C449-INDEX('AH History'!$B$1:$B$18046,$H449))&lt;=MAX(0.005,ABS(INDEX('AH History'!$B$1:$B$18046,$H449))*0.00005),ABS($D449-INDEX('AH History'!$C$1:$C$18046,$H449))&lt;=MAX(0.005,ABS(INDEX('AH History'!$C$1:$C$18046,$H449))*0.00005),ABS($E449-INDEX('AH History'!$D$1:$D$18046,$H449))&lt;=0.00005,$F449=INDEX('AH History'!$E$1:$E$18046,$H449),$G449=INDEX('AH History'!$F$1:$F$18046,$H449)),1,-1),-1))</ns0:f>
        <ns0:v/>
      </ns0:c>
    </ns0:row>
    <ns0:row r="450">
      <ns0:c r="A450" s="215">
        <ns0:f>IF(OR(AH!$P$3=0,445+1&gt;AH!$P$11,AND(AH!$E$4&lt;&gt;"Stored",AH!$P$10&lt;&gt;1)),"",IFERROR(IF(AND(AH!$P$21=1,445+1=AH!$P$11),TODAY(),IF(AH!$P$10=1,INDEX('Live History'!$A$5:$A$3004,AH!$P$13+445),INDEX('AH History'!$A$1:$A$18046,AH!$P$7+445))),""))</ns0:f>
        <ns0:v/>
      </ns0:c>
      <ns0:c r="B450" s="219">
        <ns0:f>IFERROR(IF(AND(AH!$P$9&lt;&gt;1,$C450&gt;0,$D450&gt;0,$E450&gt;0,$F450&gt;0,$G450&gt;0,$F450&lt;=$A450,$G450&lt;=$A450,$A450-$F450&lt;=10,$A450-$G450&lt;=5),$D450*$E450/$C450-1,NA()),NA())</ns0:f>
        <ns0:v/>
      </ns0:c>
      <ns0:c r="C450">
        <ns0:f>IFERROR(IF(ISNUMBER($A450),IF(AND(AH!$P$10=1,AH!$P$12=1,$A450=TODAY()),AH!$P$19,IF(AH!$P$10=1,INDEX('Live History'!$B$5:$B$3004,AH!$P$13+445),INDEX('AH History'!$B$1:$B$18046,AH!$P$7+445))),NA()),NA())</ns0:f>
        <ns0:v/>
      </ns0:c>
      <ns0:c r="D450">
        <ns0:f>IFERROR(IF(ISNUMBER($A450),IF(AND(AH!$P$10=1,AH!$P$12=1,$A450=TODAY()),AH!$P$18,IF(AH!$P$10=1,INDEX('Live History'!$E$5:$E$3004,MATCH($A450,'Live History'!$D$5:$D$3004,1)),INDEX('AH History'!$C$1:$C$18046,AH!$P$7+445))),NA()),NA())</ns0:f>
        <ns0:v/>
      </ns0:c>
      <ns0:c r="E450">
        <ns0:f>IFERROR(IF(ISNUMBER($A450),IF(AND(AH!$P$10=1,AH!$P$12=1,$A450=TODAY()),AH!$P$20,IF(AH!$P$10=1,INDEX('Live History'!$H$5:$H$3004,MATCH($A450,'Live History'!$G$5:$G$3004,1)),INDEX('AH History'!$D$1:$D$18046,AH!$P$7+445))),NA()),NA())</ns0:f>
        <ns0:v/>
      </ns0:c>
      <ns0:c r="F450">
        <ns0:f>IFERROR(IF(ISNUMBER($A450),IF(AND(AH!$P$10=1,AH!$P$12=1,$A450=TODAY()),IF(AND(AH!$P$10=1,AH!$P$12=1,$A450=TODAY()),TODAY(),NA()),IF(AH!$P$10=1,INDEX('Live History'!$D$5:$D$3004,MATCH($A450,'Live History'!$D$5:$D$3004,1)),INDEX('AH History'!$E$1:$E$18046,AH!$P$7+445))),NA()),NA())</ns0:f>
        <ns0:v/>
      </ns0:c>
      <ns0:c r="G450">
        <ns0:f>IFERROR(IF(ISNUMBER($A450),IF(AND(AH!$P$10=1,AH!$P$12=1,$A450=TODAY()),IF(AND(AH!$P$10=1,AH!$P$12=1,$A450=TODAY()),TODAY(),NA()),IF(AH!$P$10=1,INDEX('Live History'!$G$5:$G$3004,MATCH($A450,'Live History'!$G$5:$G$3004,1)),INDEX('AH History'!$F$1:$F$18046,AH!$P$7+445))),NA()),NA())</ns0:f>
        <ns0:v/>
      </ns0:c>
      <ns0:c r="H450">
        <ns0:f>IFERROR(IF(AND(AH!$E$4="Bloomberg",AH!$P$10=1,ISNUMBER($A450),$A450&lt;=AH!$P$17),AH!$P$7-1+MATCH($A450,INDEX('AH History'!$A$1:$A$18046,AH!$P$7):INDEX('AH History'!$A$1:$A$18046,AH!$P$7+AH!$P$8-1),0),0),0)</ns0:f>
        <ns0:v/>
      </ns0:c>
      <ns0:c r="I450">
        <ns0:f>IF($H450=0,0,IFERROR(IF(AND(ABS($C450-INDEX('AH History'!$B$1:$B$18046,$H450))&lt;=MAX(0.005,ABS(INDEX('AH History'!$B$1:$B$18046,$H450))*0.00005),ABS($D450-INDEX('AH History'!$C$1:$C$18046,$H450))&lt;=MAX(0.005,ABS(INDEX('AH History'!$C$1:$C$18046,$H450))*0.00005),ABS($E450-INDEX('AH History'!$D$1:$D$18046,$H450))&lt;=0.00005,$F450=INDEX('AH History'!$E$1:$E$18046,$H450),$G450=INDEX('AH History'!$F$1:$F$18046,$H450)),1,-1),-1))</ns0:f>
        <ns0:v/>
      </ns0:c>
    </ns0:row>
    <ns0:row r="451">
      <ns0:c r="A451" s="215">
        <ns0:f>IF(OR(AH!$P$3=0,446+1&gt;AH!$P$11,AND(AH!$E$4&lt;&gt;"Stored",AH!$P$10&lt;&gt;1)),"",IFERROR(IF(AND(AH!$P$21=1,446+1=AH!$P$11),TODAY(),IF(AH!$P$10=1,INDEX('Live History'!$A$5:$A$3004,AH!$P$13+446),INDEX('AH History'!$A$1:$A$18046,AH!$P$7+446))),""))</ns0:f>
        <ns0:v/>
      </ns0:c>
      <ns0:c r="B451" s="219">
        <ns0:f>IFERROR(IF(AND(AH!$P$9&lt;&gt;1,$C451&gt;0,$D451&gt;0,$E451&gt;0,$F451&gt;0,$G451&gt;0,$F451&lt;=$A451,$G451&lt;=$A451,$A451-$F451&lt;=10,$A451-$G451&lt;=5),$D451*$E451/$C451-1,NA()),NA())</ns0:f>
        <ns0:v/>
      </ns0:c>
      <ns0:c r="C451">
        <ns0:f>IFERROR(IF(ISNUMBER($A451),IF(AND(AH!$P$10=1,AH!$P$12=1,$A451=TODAY()),AH!$P$19,IF(AH!$P$10=1,INDEX('Live History'!$B$5:$B$3004,AH!$P$13+446),INDEX('AH History'!$B$1:$B$18046,AH!$P$7+446))),NA()),NA())</ns0:f>
        <ns0:v/>
      </ns0:c>
      <ns0:c r="D451">
        <ns0:f>IFERROR(IF(ISNUMBER($A451),IF(AND(AH!$P$10=1,AH!$P$12=1,$A451=TODAY()),AH!$P$18,IF(AH!$P$10=1,INDEX('Live History'!$E$5:$E$3004,MATCH($A451,'Live History'!$D$5:$D$3004,1)),INDEX('AH History'!$C$1:$C$18046,AH!$P$7+446))),NA()),NA())</ns0:f>
        <ns0:v/>
      </ns0:c>
      <ns0:c r="E451">
        <ns0:f>IFERROR(IF(ISNUMBER($A451),IF(AND(AH!$P$10=1,AH!$P$12=1,$A451=TODAY()),AH!$P$20,IF(AH!$P$10=1,INDEX('Live History'!$H$5:$H$3004,MATCH($A451,'Live History'!$G$5:$G$3004,1)),INDEX('AH History'!$D$1:$D$18046,AH!$P$7+446))),NA()),NA())</ns0:f>
        <ns0:v/>
      </ns0:c>
      <ns0:c r="F451">
        <ns0:f>IFERROR(IF(ISNUMBER($A451),IF(AND(AH!$P$10=1,AH!$P$12=1,$A451=TODAY()),IF(AND(AH!$P$10=1,AH!$P$12=1,$A451=TODAY()),TODAY(),NA()),IF(AH!$P$10=1,INDEX('Live History'!$D$5:$D$3004,MATCH($A451,'Live History'!$D$5:$D$3004,1)),INDEX('AH History'!$E$1:$E$18046,AH!$P$7+446))),NA()),NA())</ns0:f>
        <ns0:v/>
      </ns0:c>
      <ns0:c r="G451">
        <ns0:f>IFERROR(IF(ISNUMBER($A451),IF(AND(AH!$P$10=1,AH!$P$12=1,$A451=TODAY()),IF(AND(AH!$P$10=1,AH!$P$12=1,$A451=TODAY()),TODAY(),NA()),IF(AH!$P$10=1,INDEX('Live History'!$G$5:$G$3004,MATCH($A451,'Live History'!$G$5:$G$3004,1)),INDEX('AH History'!$F$1:$F$18046,AH!$P$7+446))),NA()),NA())</ns0:f>
        <ns0:v/>
      </ns0:c>
      <ns0:c r="H451">
        <ns0:f>IFERROR(IF(AND(AH!$E$4="Bloomberg",AH!$P$10=1,ISNUMBER($A451),$A451&lt;=AH!$P$17),AH!$P$7-1+MATCH($A451,INDEX('AH History'!$A$1:$A$18046,AH!$P$7):INDEX('AH History'!$A$1:$A$18046,AH!$P$7+AH!$P$8-1),0),0),0)</ns0:f>
        <ns0:v/>
      </ns0:c>
      <ns0:c r="I451">
        <ns0:f>IF($H451=0,0,IFERROR(IF(AND(ABS($C451-INDEX('AH History'!$B$1:$B$18046,$H451))&lt;=MAX(0.005,ABS(INDEX('AH History'!$B$1:$B$18046,$H451))*0.00005),ABS($D451-INDEX('AH History'!$C$1:$C$18046,$H451))&lt;=MAX(0.005,ABS(INDEX('AH History'!$C$1:$C$18046,$H451))*0.00005),ABS($E451-INDEX('AH History'!$D$1:$D$18046,$H451))&lt;=0.00005,$F451=INDEX('AH History'!$E$1:$E$18046,$H451),$G451=INDEX('AH History'!$F$1:$F$18046,$H451)),1,-1),-1))</ns0:f>
        <ns0:v/>
      </ns0:c>
    </ns0:row>
    <ns0:row r="452">
      <ns0:c r="A452" s="215">
        <ns0:f>IF(OR(AH!$P$3=0,447+1&gt;AH!$P$11,AND(AH!$E$4&lt;&gt;"Stored",AH!$P$10&lt;&gt;1)),"",IFERROR(IF(AND(AH!$P$21=1,447+1=AH!$P$11),TODAY(),IF(AH!$P$10=1,INDEX('Live History'!$A$5:$A$3004,AH!$P$13+447),INDEX('AH History'!$A$1:$A$18046,AH!$P$7+447))),""))</ns0:f>
        <ns0:v/>
      </ns0:c>
      <ns0:c r="B452" s="219">
        <ns0:f>IFERROR(IF(AND(AH!$P$9&lt;&gt;1,$C452&gt;0,$D452&gt;0,$E452&gt;0,$F452&gt;0,$G452&gt;0,$F452&lt;=$A452,$G452&lt;=$A452,$A452-$F452&lt;=10,$A452-$G452&lt;=5),$D452*$E452/$C452-1,NA()),NA())</ns0:f>
        <ns0:v/>
      </ns0:c>
      <ns0:c r="C452">
        <ns0:f>IFERROR(IF(ISNUMBER($A452),IF(AND(AH!$P$10=1,AH!$P$12=1,$A452=TODAY()),AH!$P$19,IF(AH!$P$10=1,INDEX('Live History'!$B$5:$B$3004,AH!$P$13+447),INDEX('AH History'!$B$1:$B$18046,AH!$P$7+447))),NA()),NA())</ns0:f>
        <ns0:v/>
      </ns0:c>
      <ns0:c r="D452">
        <ns0:f>IFERROR(IF(ISNUMBER($A452),IF(AND(AH!$P$10=1,AH!$P$12=1,$A452=TODAY()),AH!$P$18,IF(AH!$P$10=1,INDEX('Live History'!$E$5:$E$3004,MATCH($A452,'Live History'!$D$5:$D$3004,1)),INDEX('AH History'!$C$1:$C$18046,AH!$P$7+447))),NA()),NA())</ns0:f>
        <ns0:v/>
      </ns0:c>
      <ns0:c r="E452">
        <ns0:f>IFERROR(IF(ISNUMBER($A452),IF(AND(AH!$P$10=1,AH!$P$12=1,$A452=TODAY()),AH!$P$20,IF(AH!$P$10=1,INDEX('Live History'!$H$5:$H$3004,MATCH($A452,'Live History'!$G$5:$G$3004,1)),INDEX('AH History'!$D$1:$D$18046,AH!$P$7+447))),NA()),NA())</ns0:f>
        <ns0:v/>
      </ns0:c>
      <ns0:c r="F452">
        <ns0:f>IFERROR(IF(ISNUMBER($A452),IF(AND(AH!$P$10=1,AH!$P$12=1,$A452=TODAY()),IF(AND(AH!$P$10=1,AH!$P$12=1,$A452=TODAY()),TODAY(),NA()),IF(AH!$P$10=1,INDEX('Live History'!$D$5:$D$3004,MATCH($A452,'Live History'!$D$5:$D$3004,1)),INDEX('AH History'!$E$1:$E$18046,AH!$P$7+447))),NA()),NA())</ns0:f>
        <ns0:v/>
      </ns0:c>
      <ns0:c r="G452">
        <ns0:f>IFERROR(IF(ISNUMBER($A452),IF(AND(AH!$P$10=1,AH!$P$12=1,$A452=TODAY()),IF(AND(AH!$P$10=1,AH!$P$12=1,$A452=TODAY()),TODAY(),NA()),IF(AH!$P$10=1,INDEX('Live History'!$G$5:$G$3004,MATCH($A452,'Live History'!$G$5:$G$3004,1)),INDEX('AH History'!$F$1:$F$18046,AH!$P$7+447))),NA()),NA())</ns0:f>
        <ns0:v/>
      </ns0:c>
      <ns0:c r="H452">
        <ns0:f>IFERROR(IF(AND(AH!$E$4="Bloomberg",AH!$P$10=1,ISNUMBER($A452),$A452&lt;=AH!$P$17),AH!$P$7-1+MATCH($A452,INDEX('AH History'!$A$1:$A$18046,AH!$P$7):INDEX('AH History'!$A$1:$A$18046,AH!$P$7+AH!$P$8-1),0),0),0)</ns0:f>
        <ns0:v/>
      </ns0:c>
      <ns0:c r="I452">
        <ns0:f>IF($H452=0,0,IFERROR(IF(AND(ABS($C452-INDEX('AH History'!$B$1:$B$18046,$H452))&lt;=MAX(0.005,ABS(INDEX('AH History'!$B$1:$B$18046,$H452))*0.00005),ABS($D452-INDEX('AH History'!$C$1:$C$18046,$H452))&lt;=MAX(0.005,ABS(INDEX('AH History'!$C$1:$C$18046,$H452))*0.00005),ABS($E452-INDEX('AH History'!$D$1:$D$18046,$H452))&lt;=0.00005,$F452=INDEX('AH History'!$E$1:$E$18046,$H452),$G452=INDEX('AH History'!$F$1:$F$18046,$H452)),1,-1),-1))</ns0:f>
        <ns0:v/>
      </ns0:c>
    </ns0:row>
    <ns0:row r="453">
      <ns0:c r="A453" s="215">
        <ns0:f>IF(OR(AH!$P$3=0,448+1&gt;AH!$P$11,AND(AH!$E$4&lt;&gt;"Stored",AH!$P$10&lt;&gt;1)),"",IFERROR(IF(AND(AH!$P$21=1,448+1=AH!$P$11),TODAY(),IF(AH!$P$10=1,INDEX('Live History'!$A$5:$A$3004,AH!$P$13+448),INDEX('AH History'!$A$1:$A$18046,AH!$P$7+448))),""))</ns0:f>
        <ns0:v/>
      </ns0:c>
      <ns0:c r="B453" s="219">
        <ns0:f>IFERROR(IF(AND(AH!$P$9&lt;&gt;1,$C453&gt;0,$D453&gt;0,$E453&gt;0,$F453&gt;0,$G453&gt;0,$F453&lt;=$A453,$G453&lt;=$A453,$A453-$F453&lt;=10,$A453-$G453&lt;=5),$D453*$E453/$C453-1,NA()),NA())</ns0:f>
        <ns0:v/>
      </ns0:c>
      <ns0:c r="C453">
        <ns0:f>IFERROR(IF(ISNUMBER($A453),IF(AND(AH!$P$10=1,AH!$P$12=1,$A453=TODAY()),AH!$P$19,IF(AH!$P$10=1,INDEX('Live History'!$B$5:$B$3004,AH!$P$13+448),INDEX('AH History'!$B$1:$B$18046,AH!$P$7+448))),NA()),NA())</ns0:f>
        <ns0:v/>
      </ns0:c>
      <ns0:c r="D453">
        <ns0:f>IFERROR(IF(ISNUMBER($A453),IF(AND(AH!$P$10=1,AH!$P$12=1,$A453=TODAY()),AH!$P$18,IF(AH!$P$10=1,INDEX('Live History'!$E$5:$E$3004,MATCH($A453,'Live History'!$D$5:$D$3004,1)),INDEX('AH History'!$C$1:$C$18046,AH!$P$7+448))),NA()),NA())</ns0:f>
        <ns0:v/>
      </ns0:c>
      <ns0:c r="E453">
        <ns0:f>IFERROR(IF(ISNUMBER($A453),IF(AND(AH!$P$10=1,AH!$P$12=1,$A453=TODAY()),AH!$P$20,IF(AH!$P$10=1,INDEX('Live History'!$H$5:$H$3004,MATCH($A453,'Live History'!$G$5:$G$3004,1)),INDEX('AH History'!$D$1:$D$18046,AH!$P$7+448))),NA()),NA())</ns0:f>
        <ns0:v/>
      </ns0:c>
      <ns0:c r="F453">
        <ns0:f>IFERROR(IF(ISNUMBER($A453),IF(AND(AH!$P$10=1,AH!$P$12=1,$A453=TODAY()),IF(AND(AH!$P$10=1,AH!$P$12=1,$A453=TODAY()),TODAY(),NA()),IF(AH!$P$10=1,INDEX('Live History'!$D$5:$D$3004,MATCH($A453,'Live History'!$D$5:$D$3004,1)),INDEX('AH History'!$E$1:$E$18046,AH!$P$7+448))),NA()),NA())</ns0:f>
        <ns0:v/>
      </ns0:c>
      <ns0:c r="G453">
        <ns0:f>IFERROR(IF(ISNUMBER($A453),IF(AND(AH!$P$10=1,AH!$P$12=1,$A453=TODAY()),IF(AND(AH!$P$10=1,AH!$P$12=1,$A453=TODAY()),TODAY(),NA()),IF(AH!$P$10=1,INDEX('Live History'!$G$5:$G$3004,MATCH($A453,'Live History'!$G$5:$G$3004,1)),INDEX('AH History'!$F$1:$F$18046,AH!$P$7+448))),NA()),NA())</ns0:f>
        <ns0:v/>
      </ns0:c>
      <ns0:c r="H453">
        <ns0:f>IFERROR(IF(AND(AH!$E$4="Bloomberg",AH!$P$10=1,ISNUMBER($A453),$A453&lt;=AH!$P$17),AH!$P$7-1+MATCH($A453,INDEX('AH History'!$A$1:$A$18046,AH!$P$7):INDEX('AH History'!$A$1:$A$18046,AH!$P$7+AH!$P$8-1),0),0),0)</ns0:f>
        <ns0:v/>
      </ns0:c>
      <ns0:c r="I453">
        <ns0:f>IF($H453=0,0,IFERROR(IF(AND(ABS($C453-INDEX('AH History'!$B$1:$B$18046,$H453))&lt;=MAX(0.005,ABS(INDEX('AH History'!$B$1:$B$18046,$H453))*0.00005),ABS($D453-INDEX('AH History'!$C$1:$C$18046,$H453))&lt;=MAX(0.005,ABS(INDEX('AH History'!$C$1:$C$18046,$H453))*0.00005),ABS($E453-INDEX('AH History'!$D$1:$D$18046,$H453))&lt;=0.00005,$F453=INDEX('AH History'!$E$1:$E$18046,$H453),$G453=INDEX('AH History'!$F$1:$F$18046,$H453)),1,-1),-1))</ns0:f>
        <ns0:v/>
      </ns0:c>
    </ns0:row>
    <ns0:row r="454">
      <ns0:c r="A454" s="215">
        <ns0:f>IF(OR(AH!$P$3=0,449+1&gt;AH!$P$11,AND(AH!$E$4&lt;&gt;"Stored",AH!$P$10&lt;&gt;1)),"",IFERROR(IF(AND(AH!$P$21=1,449+1=AH!$P$11),TODAY(),IF(AH!$P$10=1,INDEX('Live History'!$A$5:$A$3004,AH!$P$13+449),INDEX('AH History'!$A$1:$A$18046,AH!$P$7+449))),""))</ns0:f>
        <ns0:v/>
      </ns0:c>
      <ns0:c r="B454" s="219">
        <ns0:f>IFERROR(IF(AND(AH!$P$9&lt;&gt;1,$C454&gt;0,$D454&gt;0,$E454&gt;0,$F454&gt;0,$G454&gt;0,$F454&lt;=$A454,$G454&lt;=$A454,$A454-$F454&lt;=10,$A454-$G454&lt;=5),$D454*$E454/$C454-1,NA()),NA())</ns0:f>
        <ns0:v/>
      </ns0:c>
      <ns0:c r="C454">
        <ns0:f>IFERROR(IF(ISNUMBER($A454),IF(AND(AH!$P$10=1,AH!$P$12=1,$A454=TODAY()),AH!$P$19,IF(AH!$P$10=1,INDEX('Live History'!$B$5:$B$3004,AH!$P$13+449),INDEX('AH History'!$B$1:$B$18046,AH!$P$7+449))),NA()),NA())</ns0:f>
        <ns0:v/>
      </ns0:c>
      <ns0:c r="D454">
        <ns0:f>IFERROR(IF(ISNUMBER($A454),IF(AND(AH!$P$10=1,AH!$P$12=1,$A454=TODAY()),AH!$P$18,IF(AH!$P$10=1,INDEX('Live History'!$E$5:$E$3004,MATCH($A454,'Live History'!$D$5:$D$3004,1)),INDEX('AH History'!$C$1:$C$18046,AH!$P$7+449))),NA()),NA())</ns0:f>
        <ns0:v/>
      </ns0:c>
      <ns0:c r="E454">
        <ns0:f>IFERROR(IF(ISNUMBER($A454),IF(AND(AH!$P$10=1,AH!$P$12=1,$A454=TODAY()),AH!$P$20,IF(AH!$P$10=1,INDEX('Live History'!$H$5:$H$3004,MATCH($A454,'Live History'!$G$5:$G$3004,1)),INDEX('AH History'!$D$1:$D$18046,AH!$P$7+449))),NA()),NA())</ns0:f>
        <ns0:v/>
      </ns0:c>
      <ns0:c r="F454">
        <ns0:f>IFERROR(IF(ISNUMBER($A454),IF(AND(AH!$P$10=1,AH!$P$12=1,$A454=TODAY()),IF(AND(AH!$P$10=1,AH!$P$12=1,$A454=TODAY()),TODAY(),NA()),IF(AH!$P$10=1,INDEX('Live History'!$D$5:$D$3004,MATCH($A454,'Live History'!$D$5:$D$3004,1)),INDEX('AH History'!$E$1:$E$18046,AH!$P$7+449))),NA()),NA())</ns0:f>
        <ns0:v/>
      </ns0:c>
      <ns0:c r="G454">
        <ns0:f>IFERROR(IF(ISNUMBER($A454),IF(AND(AH!$P$10=1,AH!$P$12=1,$A454=TODAY()),IF(AND(AH!$P$10=1,AH!$P$12=1,$A454=TODAY()),TODAY(),NA()),IF(AH!$P$10=1,INDEX('Live History'!$G$5:$G$3004,MATCH($A454,'Live History'!$G$5:$G$3004,1)),INDEX('AH History'!$F$1:$F$18046,AH!$P$7+449))),NA()),NA())</ns0:f>
        <ns0:v/>
      </ns0:c>
      <ns0:c r="H454">
        <ns0:f>IFERROR(IF(AND(AH!$E$4="Bloomberg",AH!$P$10=1,ISNUMBER($A454),$A454&lt;=AH!$P$17),AH!$P$7-1+MATCH($A454,INDEX('AH History'!$A$1:$A$18046,AH!$P$7):INDEX('AH History'!$A$1:$A$18046,AH!$P$7+AH!$P$8-1),0),0),0)</ns0:f>
        <ns0:v/>
      </ns0:c>
      <ns0:c r="I454">
        <ns0:f>IF($H454=0,0,IFERROR(IF(AND(ABS($C454-INDEX('AH History'!$B$1:$B$18046,$H454))&lt;=MAX(0.005,ABS(INDEX('AH History'!$B$1:$B$18046,$H454))*0.00005),ABS($D454-INDEX('AH History'!$C$1:$C$18046,$H454))&lt;=MAX(0.005,ABS(INDEX('AH History'!$C$1:$C$18046,$H454))*0.00005),ABS($E454-INDEX('AH History'!$D$1:$D$18046,$H454))&lt;=0.00005,$F454=INDEX('AH History'!$E$1:$E$18046,$H454),$G454=INDEX('AH History'!$F$1:$F$18046,$H454)),1,-1),-1))</ns0:f>
        <ns0:v/>
      </ns0:c>
    </ns0:row>
    <ns0:row r="455">
      <ns0:c r="A455" s="215">
        <ns0:f>IF(OR(AH!$P$3=0,450+1&gt;AH!$P$11,AND(AH!$E$4&lt;&gt;"Stored",AH!$P$10&lt;&gt;1)),"",IFERROR(IF(AND(AH!$P$21=1,450+1=AH!$P$11),TODAY(),IF(AH!$P$10=1,INDEX('Live History'!$A$5:$A$3004,AH!$P$13+450),INDEX('AH History'!$A$1:$A$18046,AH!$P$7+450))),""))</ns0:f>
        <ns0:v/>
      </ns0:c>
      <ns0:c r="B455" s="219">
        <ns0:f>IFERROR(IF(AND(AH!$P$9&lt;&gt;1,$C455&gt;0,$D455&gt;0,$E455&gt;0,$F455&gt;0,$G455&gt;0,$F455&lt;=$A455,$G455&lt;=$A455,$A455-$F455&lt;=10,$A455-$G455&lt;=5),$D455*$E455/$C455-1,NA()),NA())</ns0:f>
        <ns0:v/>
      </ns0:c>
      <ns0:c r="C455">
        <ns0:f>IFERROR(IF(ISNUMBER($A455),IF(AND(AH!$P$10=1,AH!$P$12=1,$A455=TODAY()),AH!$P$19,IF(AH!$P$10=1,INDEX('Live History'!$B$5:$B$3004,AH!$P$13+450),INDEX('AH History'!$B$1:$B$18046,AH!$P$7+450))),NA()),NA())</ns0:f>
        <ns0:v/>
      </ns0:c>
      <ns0:c r="D455">
        <ns0:f>IFERROR(IF(ISNUMBER($A455),IF(AND(AH!$P$10=1,AH!$P$12=1,$A455=TODAY()),AH!$P$18,IF(AH!$P$10=1,INDEX('Live History'!$E$5:$E$3004,MATCH($A455,'Live History'!$D$5:$D$3004,1)),INDEX('AH History'!$C$1:$C$18046,AH!$P$7+450))),NA()),NA())</ns0:f>
        <ns0:v/>
      </ns0:c>
      <ns0:c r="E455">
        <ns0:f>IFERROR(IF(ISNUMBER($A455),IF(AND(AH!$P$10=1,AH!$P$12=1,$A455=TODAY()),AH!$P$20,IF(AH!$P$10=1,INDEX('Live History'!$H$5:$H$3004,MATCH($A455,'Live History'!$G$5:$G$3004,1)),INDEX('AH History'!$D$1:$D$18046,AH!$P$7+450))),NA()),NA())</ns0:f>
        <ns0:v/>
      </ns0:c>
      <ns0:c r="F455">
        <ns0:f>IFERROR(IF(ISNUMBER($A455),IF(AND(AH!$P$10=1,AH!$P$12=1,$A455=TODAY()),IF(AND(AH!$P$10=1,AH!$P$12=1,$A455=TODAY()),TODAY(),NA()),IF(AH!$P$10=1,INDEX('Live History'!$D$5:$D$3004,MATCH($A455,'Live History'!$D$5:$D$3004,1)),INDEX('AH History'!$E$1:$E$18046,AH!$P$7+450))),NA()),NA())</ns0:f>
        <ns0:v/>
      </ns0:c>
      <ns0:c r="G455">
        <ns0:f>IFERROR(IF(ISNUMBER($A455),IF(AND(AH!$P$10=1,AH!$P$12=1,$A455=TODAY()),IF(AND(AH!$P$10=1,AH!$P$12=1,$A455=TODAY()),TODAY(),NA()),IF(AH!$P$10=1,INDEX('Live History'!$G$5:$G$3004,MATCH($A455,'Live History'!$G$5:$G$3004,1)),INDEX('AH History'!$F$1:$F$18046,AH!$P$7+450))),NA()),NA())</ns0:f>
        <ns0:v/>
      </ns0:c>
      <ns0:c r="H455">
        <ns0:f>IFERROR(IF(AND(AH!$E$4="Bloomberg",AH!$P$10=1,ISNUMBER($A455),$A455&lt;=AH!$P$17),AH!$P$7-1+MATCH($A455,INDEX('AH History'!$A$1:$A$18046,AH!$P$7):INDEX('AH History'!$A$1:$A$18046,AH!$P$7+AH!$P$8-1),0),0),0)</ns0:f>
        <ns0:v/>
      </ns0:c>
      <ns0:c r="I455">
        <ns0:f>IF($H455=0,0,IFERROR(IF(AND(ABS($C455-INDEX('AH History'!$B$1:$B$18046,$H455))&lt;=MAX(0.005,ABS(INDEX('AH History'!$B$1:$B$18046,$H455))*0.00005),ABS($D455-INDEX('AH History'!$C$1:$C$18046,$H455))&lt;=MAX(0.005,ABS(INDEX('AH History'!$C$1:$C$18046,$H455))*0.00005),ABS($E455-INDEX('AH History'!$D$1:$D$18046,$H455))&lt;=0.00005,$F455=INDEX('AH History'!$E$1:$E$18046,$H455),$G455=INDEX('AH History'!$F$1:$F$18046,$H455)),1,-1),-1))</ns0:f>
        <ns0:v/>
      </ns0:c>
    </ns0:row>
    <ns0:row r="456">
      <ns0:c r="A456" s="215">
        <ns0:f>IF(OR(AH!$P$3=0,451+1&gt;AH!$P$11,AND(AH!$E$4&lt;&gt;"Stored",AH!$P$10&lt;&gt;1)),"",IFERROR(IF(AND(AH!$P$21=1,451+1=AH!$P$11),TODAY(),IF(AH!$P$10=1,INDEX('Live History'!$A$5:$A$3004,AH!$P$13+451),INDEX('AH History'!$A$1:$A$18046,AH!$P$7+451))),""))</ns0:f>
        <ns0:v/>
      </ns0:c>
      <ns0:c r="B456" s="219">
        <ns0:f>IFERROR(IF(AND(AH!$P$9&lt;&gt;1,$C456&gt;0,$D456&gt;0,$E456&gt;0,$F456&gt;0,$G456&gt;0,$F456&lt;=$A456,$G456&lt;=$A456,$A456-$F456&lt;=10,$A456-$G456&lt;=5),$D456*$E456/$C456-1,NA()),NA())</ns0:f>
        <ns0:v/>
      </ns0:c>
      <ns0:c r="C456">
        <ns0:f>IFERROR(IF(ISNUMBER($A456),IF(AND(AH!$P$10=1,AH!$P$12=1,$A456=TODAY()),AH!$P$19,IF(AH!$P$10=1,INDEX('Live History'!$B$5:$B$3004,AH!$P$13+451),INDEX('AH History'!$B$1:$B$18046,AH!$P$7+451))),NA()),NA())</ns0:f>
        <ns0:v/>
      </ns0:c>
      <ns0:c r="D456">
        <ns0:f>IFERROR(IF(ISNUMBER($A456),IF(AND(AH!$P$10=1,AH!$P$12=1,$A456=TODAY()),AH!$P$18,IF(AH!$P$10=1,INDEX('Live History'!$E$5:$E$3004,MATCH($A456,'Live History'!$D$5:$D$3004,1)),INDEX('AH History'!$C$1:$C$18046,AH!$P$7+451))),NA()),NA())</ns0:f>
        <ns0:v/>
      </ns0:c>
      <ns0:c r="E456">
        <ns0:f>IFERROR(IF(ISNUMBER($A456),IF(AND(AH!$P$10=1,AH!$P$12=1,$A456=TODAY()),AH!$P$20,IF(AH!$P$10=1,INDEX('Live History'!$H$5:$H$3004,MATCH($A456,'Live History'!$G$5:$G$3004,1)),INDEX('AH History'!$D$1:$D$18046,AH!$P$7+451))),NA()),NA())</ns0:f>
        <ns0:v/>
      </ns0:c>
      <ns0:c r="F456">
        <ns0:f>IFERROR(IF(ISNUMBER($A456),IF(AND(AH!$P$10=1,AH!$P$12=1,$A456=TODAY()),IF(AND(AH!$P$10=1,AH!$P$12=1,$A456=TODAY()),TODAY(),NA()),IF(AH!$P$10=1,INDEX('Live History'!$D$5:$D$3004,MATCH($A456,'Live History'!$D$5:$D$3004,1)),INDEX('AH History'!$E$1:$E$18046,AH!$P$7+451))),NA()),NA())</ns0:f>
        <ns0:v/>
      </ns0:c>
      <ns0:c r="G456">
        <ns0:f>IFERROR(IF(ISNUMBER($A456),IF(AND(AH!$P$10=1,AH!$P$12=1,$A456=TODAY()),IF(AND(AH!$P$10=1,AH!$P$12=1,$A456=TODAY()),TODAY(),NA()),IF(AH!$P$10=1,INDEX('Live History'!$G$5:$G$3004,MATCH($A456,'Live History'!$G$5:$G$3004,1)),INDEX('AH History'!$F$1:$F$18046,AH!$P$7+451))),NA()),NA())</ns0:f>
        <ns0:v/>
      </ns0:c>
      <ns0:c r="H456">
        <ns0:f>IFERROR(IF(AND(AH!$E$4="Bloomberg",AH!$P$10=1,ISNUMBER($A456),$A456&lt;=AH!$P$17),AH!$P$7-1+MATCH($A456,INDEX('AH History'!$A$1:$A$18046,AH!$P$7):INDEX('AH History'!$A$1:$A$18046,AH!$P$7+AH!$P$8-1),0),0),0)</ns0:f>
        <ns0:v/>
      </ns0:c>
      <ns0:c r="I456">
        <ns0:f>IF($H456=0,0,IFERROR(IF(AND(ABS($C456-INDEX('AH History'!$B$1:$B$18046,$H456))&lt;=MAX(0.005,ABS(INDEX('AH History'!$B$1:$B$18046,$H456))*0.00005),ABS($D456-INDEX('AH History'!$C$1:$C$18046,$H456))&lt;=MAX(0.005,ABS(INDEX('AH History'!$C$1:$C$18046,$H456))*0.00005),ABS($E456-INDEX('AH History'!$D$1:$D$18046,$H456))&lt;=0.00005,$F456=INDEX('AH History'!$E$1:$E$18046,$H456),$G456=INDEX('AH History'!$F$1:$F$18046,$H456)),1,-1),-1))</ns0:f>
        <ns0:v/>
      </ns0:c>
    </ns0:row>
    <ns0:row r="457">
      <ns0:c r="A457" s="215">
        <ns0:f>IF(OR(AH!$P$3=0,452+1&gt;AH!$P$11,AND(AH!$E$4&lt;&gt;"Stored",AH!$P$10&lt;&gt;1)),"",IFERROR(IF(AND(AH!$P$21=1,452+1=AH!$P$11),TODAY(),IF(AH!$P$10=1,INDEX('Live History'!$A$5:$A$3004,AH!$P$13+452),INDEX('AH History'!$A$1:$A$18046,AH!$P$7+452))),""))</ns0:f>
        <ns0:v/>
      </ns0:c>
      <ns0:c r="B457" s="219">
        <ns0:f>IFERROR(IF(AND(AH!$P$9&lt;&gt;1,$C457&gt;0,$D457&gt;0,$E457&gt;0,$F457&gt;0,$G457&gt;0,$F457&lt;=$A457,$G457&lt;=$A457,$A457-$F457&lt;=10,$A457-$G457&lt;=5),$D457*$E457/$C457-1,NA()),NA())</ns0:f>
        <ns0:v/>
      </ns0:c>
      <ns0:c r="C457">
        <ns0:f>IFERROR(IF(ISNUMBER($A457),IF(AND(AH!$P$10=1,AH!$P$12=1,$A457=TODAY()),AH!$P$19,IF(AH!$P$10=1,INDEX('Live History'!$B$5:$B$3004,AH!$P$13+452),INDEX('AH History'!$B$1:$B$18046,AH!$P$7+452))),NA()),NA())</ns0:f>
        <ns0:v/>
      </ns0:c>
      <ns0:c r="D457">
        <ns0:f>IFERROR(IF(ISNUMBER($A457),IF(AND(AH!$P$10=1,AH!$P$12=1,$A457=TODAY()),AH!$P$18,IF(AH!$P$10=1,INDEX('Live History'!$E$5:$E$3004,MATCH($A457,'Live History'!$D$5:$D$3004,1)),INDEX('AH History'!$C$1:$C$18046,AH!$P$7+452))),NA()),NA())</ns0:f>
        <ns0:v/>
      </ns0:c>
      <ns0:c r="E457">
        <ns0:f>IFERROR(IF(ISNUMBER($A457),IF(AND(AH!$P$10=1,AH!$P$12=1,$A457=TODAY()),AH!$P$20,IF(AH!$P$10=1,INDEX('Live History'!$H$5:$H$3004,MATCH($A457,'Live History'!$G$5:$G$3004,1)),INDEX('AH History'!$D$1:$D$18046,AH!$P$7+452))),NA()),NA())</ns0:f>
        <ns0:v/>
      </ns0:c>
      <ns0:c r="F457">
        <ns0:f>IFERROR(IF(ISNUMBER($A457),IF(AND(AH!$P$10=1,AH!$P$12=1,$A457=TODAY()),IF(AND(AH!$P$10=1,AH!$P$12=1,$A457=TODAY()),TODAY(),NA()),IF(AH!$P$10=1,INDEX('Live History'!$D$5:$D$3004,MATCH($A457,'Live History'!$D$5:$D$3004,1)),INDEX('AH History'!$E$1:$E$18046,AH!$P$7+452))),NA()),NA())</ns0:f>
        <ns0:v/>
      </ns0:c>
      <ns0:c r="G457">
        <ns0:f>IFERROR(IF(ISNUMBER($A457),IF(AND(AH!$P$10=1,AH!$P$12=1,$A457=TODAY()),IF(AND(AH!$P$10=1,AH!$P$12=1,$A457=TODAY()),TODAY(),NA()),IF(AH!$P$10=1,INDEX('Live History'!$G$5:$G$3004,MATCH($A457,'Live History'!$G$5:$G$3004,1)),INDEX('AH History'!$F$1:$F$18046,AH!$P$7+452))),NA()),NA())</ns0:f>
        <ns0:v/>
      </ns0:c>
      <ns0:c r="H457">
        <ns0:f>IFERROR(IF(AND(AH!$E$4="Bloomberg",AH!$P$10=1,ISNUMBER($A457),$A457&lt;=AH!$P$17),AH!$P$7-1+MATCH($A457,INDEX('AH History'!$A$1:$A$18046,AH!$P$7):INDEX('AH History'!$A$1:$A$18046,AH!$P$7+AH!$P$8-1),0),0),0)</ns0:f>
        <ns0:v/>
      </ns0:c>
      <ns0:c r="I457">
        <ns0:f>IF($H457=0,0,IFERROR(IF(AND(ABS($C457-INDEX('AH History'!$B$1:$B$18046,$H457))&lt;=MAX(0.005,ABS(INDEX('AH History'!$B$1:$B$18046,$H457))*0.00005),ABS($D457-INDEX('AH History'!$C$1:$C$18046,$H457))&lt;=MAX(0.005,ABS(INDEX('AH History'!$C$1:$C$18046,$H457))*0.00005),ABS($E457-INDEX('AH History'!$D$1:$D$18046,$H457))&lt;=0.00005,$F457=INDEX('AH History'!$E$1:$E$18046,$H457),$G457=INDEX('AH History'!$F$1:$F$18046,$H457)),1,-1),-1))</ns0:f>
        <ns0:v/>
      </ns0:c>
    </ns0:row>
    <ns0:row r="458">
      <ns0:c r="A458" s="215">
        <ns0:f>IF(OR(AH!$P$3=0,453+1&gt;AH!$P$11,AND(AH!$E$4&lt;&gt;"Stored",AH!$P$10&lt;&gt;1)),"",IFERROR(IF(AND(AH!$P$21=1,453+1=AH!$P$11),TODAY(),IF(AH!$P$10=1,INDEX('Live History'!$A$5:$A$3004,AH!$P$13+453),INDEX('AH History'!$A$1:$A$18046,AH!$P$7+453))),""))</ns0:f>
        <ns0:v/>
      </ns0:c>
      <ns0:c r="B458" s="219">
        <ns0:f>IFERROR(IF(AND(AH!$P$9&lt;&gt;1,$C458&gt;0,$D458&gt;0,$E458&gt;0,$F458&gt;0,$G458&gt;0,$F458&lt;=$A458,$G458&lt;=$A458,$A458-$F458&lt;=10,$A458-$G458&lt;=5),$D458*$E458/$C458-1,NA()),NA())</ns0:f>
        <ns0:v/>
      </ns0:c>
      <ns0:c r="C458">
        <ns0:f>IFERROR(IF(ISNUMBER($A458),IF(AND(AH!$P$10=1,AH!$P$12=1,$A458=TODAY()),AH!$P$19,IF(AH!$P$10=1,INDEX('Live History'!$B$5:$B$3004,AH!$P$13+453),INDEX('AH History'!$B$1:$B$18046,AH!$P$7+453))),NA()),NA())</ns0:f>
        <ns0:v/>
      </ns0:c>
      <ns0:c r="D458">
        <ns0:f>IFERROR(IF(ISNUMBER($A458),IF(AND(AH!$P$10=1,AH!$P$12=1,$A458=TODAY()),AH!$P$18,IF(AH!$P$10=1,INDEX('Live History'!$E$5:$E$3004,MATCH($A458,'Live History'!$D$5:$D$3004,1)),INDEX('AH History'!$C$1:$C$18046,AH!$P$7+453))),NA()),NA())</ns0:f>
        <ns0:v/>
      </ns0:c>
      <ns0:c r="E458">
        <ns0:f>IFERROR(IF(ISNUMBER($A458),IF(AND(AH!$P$10=1,AH!$P$12=1,$A458=TODAY()),AH!$P$20,IF(AH!$P$10=1,INDEX('Live History'!$H$5:$H$3004,MATCH($A458,'Live History'!$G$5:$G$3004,1)),INDEX('AH History'!$D$1:$D$18046,AH!$P$7+453))),NA()),NA())</ns0:f>
        <ns0:v/>
      </ns0:c>
      <ns0:c r="F458">
        <ns0:f>IFERROR(IF(ISNUMBER($A458),IF(AND(AH!$P$10=1,AH!$P$12=1,$A458=TODAY()),IF(AND(AH!$P$10=1,AH!$P$12=1,$A458=TODAY()),TODAY(),NA()),IF(AH!$P$10=1,INDEX('Live History'!$D$5:$D$3004,MATCH($A458,'Live History'!$D$5:$D$3004,1)),INDEX('AH History'!$E$1:$E$18046,AH!$P$7+453))),NA()),NA())</ns0:f>
        <ns0:v/>
      </ns0:c>
      <ns0:c r="G458">
        <ns0:f>IFERROR(IF(ISNUMBER($A458),IF(AND(AH!$P$10=1,AH!$P$12=1,$A458=TODAY()),IF(AND(AH!$P$10=1,AH!$P$12=1,$A458=TODAY()),TODAY(),NA()),IF(AH!$P$10=1,INDEX('Live History'!$G$5:$G$3004,MATCH($A458,'Live History'!$G$5:$G$3004,1)),INDEX('AH History'!$F$1:$F$18046,AH!$P$7+453))),NA()),NA())</ns0:f>
        <ns0:v/>
      </ns0:c>
      <ns0:c r="H458">
        <ns0:f>IFERROR(IF(AND(AH!$E$4="Bloomberg",AH!$P$10=1,ISNUMBER($A458),$A458&lt;=AH!$P$17),AH!$P$7-1+MATCH($A458,INDEX('AH History'!$A$1:$A$18046,AH!$P$7):INDEX('AH History'!$A$1:$A$18046,AH!$P$7+AH!$P$8-1),0),0),0)</ns0:f>
        <ns0:v/>
      </ns0:c>
      <ns0:c r="I458">
        <ns0:f>IF($H458=0,0,IFERROR(IF(AND(ABS($C458-INDEX('AH History'!$B$1:$B$18046,$H458))&lt;=MAX(0.005,ABS(INDEX('AH History'!$B$1:$B$18046,$H458))*0.00005),ABS($D458-INDEX('AH History'!$C$1:$C$18046,$H458))&lt;=MAX(0.005,ABS(INDEX('AH History'!$C$1:$C$18046,$H458))*0.00005),ABS($E458-INDEX('AH History'!$D$1:$D$18046,$H458))&lt;=0.00005,$F458=INDEX('AH History'!$E$1:$E$18046,$H458),$G458=INDEX('AH History'!$F$1:$F$18046,$H458)),1,-1),-1))</ns0:f>
        <ns0:v/>
      </ns0:c>
    </ns0:row>
    <ns0:row r="459">
      <ns0:c r="A459" s="215">
        <ns0:f>IF(OR(AH!$P$3=0,454+1&gt;AH!$P$11,AND(AH!$E$4&lt;&gt;"Stored",AH!$P$10&lt;&gt;1)),"",IFERROR(IF(AND(AH!$P$21=1,454+1=AH!$P$11),TODAY(),IF(AH!$P$10=1,INDEX('Live History'!$A$5:$A$3004,AH!$P$13+454),INDEX('AH History'!$A$1:$A$18046,AH!$P$7+454))),""))</ns0:f>
        <ns0:v/>
      </ns0:c>
      <ns0:c r="B459" s="219">
        <ns0:f>IFERROR(IF(AND(AH!$P$9&lt;&gt;1,$C459&gt;0,$D459&gt;0,$E459&gt;0,$F459&gt;0,$G459&gt;0,$F459&lt;=$A459,$G459&lt;=$A459,$A459-$F459&lt;=10,$A459-$G459&lt;=5),$D459*$E459/$C459-1,NA()),NA())</ns0:f>
        <ns0:v/>
      </ns0:c>
      <ns0:c r="C459">
        <ns0:f>IFERROR(IF(ISNUMBER($A459),IF(AND(AH!$P$10=1,AH!$P$12=1,$A459=TODAY()),AH!$P$19,IF(AH!$P$10=1,INDEX('Live History'!$B$5:$B$3004,AH!$P$13+454),INDEX('AH History'!$B$1:$B$18046,AH!$P$7+454))),NA()),NA())</ns0:f>
        <ns0:v/>
      </ns0:c>
      <ns0:c r="D459">
        <ns0:f>IFERROR(IF(ISNUMBER($A459),IF(AND(AH!$P$10=1,AH!$P$12=1,$A459=TODAY()),AH!$P$18,IF(AH!$P$10=1,INDEX('Live History'!$E$5:$E$3004,MATCH($A459,'Live History'!$D$5:$D$3004,1)),INDEX('AH History'!$C$1:$C$18046,AH!$P$7+454))),NA()),NA())</ns0:f>
        <ns0:v/>
      </ns0:c>
      <ns0:c r="E459">
        <ns0:f>IFERROR(IF(ISNUMBER($A459),IF(AND(AH!$P$10=1,AH!$P$12=1,$A459=TODAY()),AH!$P$20,IF(AH!$P$10=1,INDEX('Live History'!$H$5:$H$3004,MATCH($A459,'Live History'!$G$5:$G$3004,1)),INDEX('AH History'!$D$1:$D$18046,AH!$P$7+454))),NA()),NA())</ns0:f>
        <ns0:v/>
      </ns0:c>
      <ns0:c r="F459">
        <ns0:f>IFERROR(IF(ISNUMBER($A459),IF(AND(AH!$P$10=1,AH!$P$12=1,$A459=TODAY()),IF(AND(AH!$P$10=1,AH!$P$12=1,$A459=TODAY()),TODAY(),NA()),IF(AH!$P$10=1,INDEX('Live History'!$D$5:$D$3004,MATCH($A459,'Live History'!$D$5:$D$3004,1)),INDEX('AH History'!$E$1:$E$18046,AH!$P$7+454))),NA()),NA())</ns0:f>
        <ns0:v/>
      </ns0:c>
      <ns0:c r="G459">
        <ns0:f>IFERROR(IF(ISNUMBER($A459),IF(AND(AH!$P$10=1,AH!$P$12=1,$A459=TODAY()),IF(AND(AH!$P$10=1,AH!$P$12=1,$A459=TODAY()),TODAY(),NA()),IF(AH!$P$10=1,INDEX('Live History'!$G$5:$G$3004,MATCH($A459,'Live History'!$G$5:$G$3004,1)),INDEX('AH History'!$F$1:$F$18046,AH!$P$7+454))),NA()),NA())</ns0:f>
        <ns0:v/>
      </ns0:c>
      <ns0:c r="H459">
        <ns0:f>IFERROR(IF(AND(AH!$E$4="Bloomberg",AH!$P$10=1,ISNUMBER($A459),$A459&lt;=AH!$P$17),AH!$P$7-1+MATCH($A459,INDEX('AH History'!$A$1:$A$18046,AH!$P$7):INDEX('AH History'!$A$1:$A$18046,AH!$P$7+AH!$P$8-1),0),0),0)</ns0:f>
        <ns0:v/>
      </ns0:c>
      <ns0:c r="I459">
        <ns0:f>IF($H459=0,0,IFERROR(IF(AND(ABS($C459-INDEX('AH History'!$B$1:$B$18046,$H459))&lt;=MAX(0.005,ABS(INDEX('AH History'!$B$1:$B$18046,$H459))*0.00005),ABS($D459-INDEX('AH History'!$C$1:$C$18046,$H459))&lt;=MAX(0.005,ABS(INDEX('AH History'!$C$1:$C$18046,$H459))*0.00005),ABS($E459-INDEX('AH History'!$D$1:$D$18046,$H459))&lt;=0.00005,$F459=INDEX('AH History'!$E$1:$E$18046,$H459),$G459=INDEX('AH History'!$F$1:$F$18046,$H459)),1,-1),-1))</ns0:f>
        <ns0:v/>
      </ns0:c>
    </ns0:row>
    <ns0:row r="460">
      <ns0:c r="A460" s="215">
        <ns0:f>IF(OR(AH!$P$3=0,455+1&gt;AH!$P$11,AND(AH!$E$4&lt;&gt;"Stored",AH!$P$10&lt;&gt;1)),"",IFERROR(IF(AND(AH!$P$21=1,455+1=AH!$P$11),TODAY(),IF(AH!$P$10=1,INDEX('Live History'!$A$5:$A$3004,AH!$P$13+455),INDEX('AH History'!$A$1:$A$18046,AH!$P$7+455))),""))</ns0:f>
        <ns0:v/>
      </ns0:c>
      <ns0:c r="B460" s="219">
        <ns0:f>IFERROR(IF(AND(AH!$P$9&lt;&gt;1,$C460&gt;0,$D460&gt;0,$E460&gt;0,$F460&gt;0,$G460&gt;0,$F460&lt;=$A460,$G460&lt;=$A460,$A460-$F460&lt;=10,$A460-$G460&lt;=5),$D460*$E460/$C460-1,NA()),NA())</ns0:f>
        <ns0:v/>
      </ns0:c>
      <ns0:c r="C460">
        <ns0:f>IFERROR(IF(ISNUMBER($A460),IF(AND(AH!$P$10=1,AH!$P$12=1,$A460=TODAY()),AH!$P$19,IF(AH!$P$10=1,INDEX('Live History'!$B$5:$B$3004,AH!$P$13+455),INDEX('AH History'!$B$1:$B$18046,AH!$P$7+455))),NA()),NA())</ns0:f>
        <ns0:v/>
      </ns0:c>
      <ns0:c r="D460">
        <ns0:f>IFERROR(IF(ISNUMBER($A460),IF(AND(AH!$P$10=1,AH!$P$12=1,$A460=TODAY()),AH!$P$18,IF(AH!$P$10=1,INDEX('Live History'!$E$5:$E$3004,MATCH($A460,'Live History'!$D$5:$D$3004,1)),INDEX('AH History'!$C$1:$C$18046,AH!$P$7+455))),NA()),NA())</ns0:f>
        <ns0:v/>
      </ns0:c>
      <ns0:c r="E460">
        <ns0:f>IFERROR(IF(ISNUMBER($A460),IF(AND(AH!$P$10=1,AH!$P$12=1,$A460=TODAY()),AH!$P$20,IF(AH!$P$10=1,INDEX('Live History'!$H$5:$H$3004,MATCH($A460,'Live History'!$G$5:$G$3004,1)),INDEX('AH History'!$D$1:$D$18046,AH!$P$7+455))),NA()),NA())</ns0:f>
        <ns0:v/>
      </ns0:c>
      <ns0:c r="F460">
        <ns0:f>IFERROR(IF(ISNUMBER($A460),IF(AND(AH!$P$10=1,AH!$P$12=1,$A460=TODAY()),IF(AND(AH!$P$10=1,AH!$P$12=1,$A460=TODAY()),TODAY(),NA()),IF(AH!$P$10=1,INDEX('Live History'!$D$5:$D$3004,MATCH($A460,'Live History'!$D$5:$D$3004,1)),INDEX('AH History'!$E$1:$E$18046,AH!$P$7+455))),NA()),NA())</ns0:f>
        <ns0:v/>
      </ns0:c>
      <ns0:c r="G460">
        <ns0:f>IFERROR(IF(ISNUMBER($A460),IF(AND(AH!$P$10=1,AH!$P$12=1,$A460=TODAY()),IF(AND(AH!$P$10=1,AH!$P$12=1,$A460=TODAY()),TODAY(),NA()),IF(AH!$P$10=1,INDEX('Live History'!$G$5:$G$3004,MATCH($A460,'Live History'!$G$5:$G$3004,1)),INDEX('AH History'!$F$1:$F$18046,AH!$P$7+455))),NA()),NA())</ns0:f>
        <ns0:v/>
      </ns0:c>
      <ns0:c r="H460">
        <ns0:f>IFERROR(IF(AND(AH!$E$4="Bloomberg",AH!$P$10=1,ISNUMBER($A460),$A460&lt;=AH!$P$17),AH!$P$7-1+MATCH($A460,INDEX('AH History'!$A$1:$A$18046,AH!$P$7):INDEX('AH History'!$A$1:$A$18046,AH!$P$7+AH!$P$8-1),0),0),0)</ns0:f>
        <ns0:v/>
      </ns0:c>
      <ns0:c r="I460">
        <ns0:f>IF($H460=0,0,IFERROR(IF(AND(ABS($C460-INDEX('AH History'!$B$1:$B$18046,$H460))&lt;=MAX(0.005,ABS(INDEX('AH History'!$B$1:$B$18046,$H460))*0.00005),ABS($D460-INDEX('AH History'!$C$1:$C$18046,$H460))&lt;=MAX(0.005,ABS(INDEX('AH History'!$C$1:$C$18046,$H460))*0.00005),ABS($E460-INDEX('AH History'!$D$1:$D$18046,$H460))&lt;=0.00005,$F460=INDEX('AH History'!$E$1:$E$18046,$H460),$G460=INDEX('AH History'!$F$1:$F$18046,$H460)),1,-1),-1))</ns0:f>
        <ns0:v/>
      </ns0:c>
    </ns0:row>
    <ns0:row r="461">
      <ns0:c r="A461" s="215">
        <ns0:f>IF(OR(AH!$P$3=0,456+1&gt;AH!$P$11,AND(AH!$E$4&lt;&gt;"Stored",AH!$P$10&lt;&gt;1)),"",IFERROR(IF(AND(AH!$P$21=1,456+1=AH!$P$11),TODAY(),IF(AH!$P$10=1,INDEX('Live History'!$A$5:$A$3004,AH!$P$13+456),INDEX('AH History'!$A$1:$A$18046,AH!$P$7+456))),""))</ns0:f>
        <ns0:v/>
      </ns0:c>
      <ns0:c r="B461" s="219">
        <ns0:f>IFERROR(IF(AND(AH!$P$9&lt;&gt;1,$C461&gt;0,$D461&gt;0,$E461&gt;0,$F461&gt;0,$G461&gt;0,$F461&lt;=$A461,$G461&lt;=$A461,$A461-$F461&lt;=10,$A461-$G461&lt;=5),$D461*$E461/$C461-1,NA()),NA())</ns0:f>
        <ns0:v/>
      </ns0:c>
      <ns0:c r="C461">
        <ns0:f>IFERROR(IF(ISNUMBER($A461),IF(AND(AH!$P$10=1,AH!$P$12=1,$A461=TODAY()),AH!$P$19,IF(AH!$P$10=1,INDEX('Live History'!$B$5:$B$3004,AH!$P$13+456),INDEX('AH History'!$B$1:$B$18046,AH!$P$7+456))),NA()),NA())</ns0:f>
        <ns0:v/>
      </ns0:c>
      <ns0:c r="D461">
        <ns0:f>IFERROR(IF(ISNUMBER($A461),IF(AND(AH!$P$10=1,AH!$P$12=1,$A461=TODAY()),AH!$P$18,IF(AH!$P$10=1,INDEX('Live History'!$E$5:$E$3004,MATCH($A461,'Live History'!$D$5:$D$3004,1)),INDEX('AH History'!$C$1:$C$18046,AH!$P$7+456))),NA()),NA())</ns0:f>
        <ns0:v/>
      </ns0:c>
      <ns0:c r="E461">
        <ns0:f>IFERROR(IF(ISNUMBER($A461),IF(AND(AH!$P$10=1,AH!$P$12=1,$A461=TODAY()),AH!$P$20,IF(AH!$P$10=1,INDEX('Live History'!$H$5:$H$3004,MATCH($A461,'Live History'!$G$5:$G$3004,1)),INDEX('AH History'!$D$1:$D$18046,AH!$P$7+456))),NA()),NA())</ns0:f>
        <ns0:v/>
      </ns0:c>
      <ns0:c r="F461">
        <ns0:f>IFERROR(IF(ISNUMBER($A461),IF(AND(AH!$P$10=1,AH!$P$12=1,$A461=TODAY()),IF(AND(AH!$P$10=1,AH!$P$12=1,$A461=TODAY()),TODAY(),NA()),IF(AH!$P$10=1,INDEX('Live History'!$D$5:$D$3004,MATCH($A461,'Live History'!$D$5:$D$3004,1)),INDEX('AH History'!$E$1:$E$18046,AH!$P$7+456))),NA()),NA())</ns0:f>
        <ns0:v/>
      </ns0:c>
      <ns0:c r="G461">
        <ns0:f>IFERROR(IF(ISNUMBER($A461),IF(AND(AH!$P$10=1,AH!$P$12=1,$A461=TODAY()),IF(AND(AH!$P$10=1,AH!$P$12=1,$A461=TODAY()),TODAY(),NA()),IF(AH!$P$10=1,INDEX('Live History'!$G$5:$G$3004,MATCH($A461,'Live History'!$G$5:$G$3004,1)),INDEX('AH History'!$F$1:$F$18046,AH!$P$7+456))),NA()),NA())</ns0:f>
        <ns0:v/>
      </ns0:c>
      <ns0:c r="H461">
        <ns0:f>IFERROR(IF(AND(AH!$E$4="Bloomberg",AH!$P$10=1,ISNUMBER($A461),$A461&lt;=AH!$P$17),AH!$P$7-1+MATCH($A461,INDEX('AH History'!$A$1:$A$18046,AH!$P$7):INDEX('AH History'!$A$1:$A$18046,AH!$P$7+AH!$P$8-1),0),0),0)</ns0:f>
        <ns0:v/>
      </ns0:c>
      <ns0:c r="I461">
        <ns0:f>IF($H461=0,0,IFERROR(IF(AND(ABS($C461-INDEX('AH History'!$B$1:$B$18046,$H461))&lt;=MAX(0.005,ABS(INDEX('AH History'!$B$1:$B$18046,$H461))*0.00005),ABS($D461-INDEX('AH History'!$C$1:$C$18046,$H461))&lt;=MAX(0.005,ABS(INDEX('AH History'!$C$1:$C$18046,$H461))*0.00005),ABS($E461-INDEX('AH History'!$D$1:$D$18046,$H461))&lt;=0.00005,$F461=INDEX('AH History'!$E$1:$E$18046,$H461),$G461=INDEX('AH History'!$F$1:$F$18046,$H461)),1,-1),-1))</ns0:f>
        <ns0:v/>
      </ns0:c>
    </ns0:row>
    <ns0:row r="462">
      <ns0:c r="A462" s="215">
        <ns0:f>IF(OR(AH!$P$3=0,457+1&gt;AH!$P$11,AND(AH!$E$4&lt;&gt;"Stored",AH!$P$10&lt;&gt;1)),"",IFERROR(IF(AND(AH!$P$21=1,457+1=AH!$P$11),TODAY(),IF(AH!$P$10=1,INDEX('Live History'!$A$5:$A$3004,AH!$P$13+457),INDEX('AH History'!$A$1:$A$18046,AH!$P$7+457))),""))</ns0:f>
        <ns0:v/>
      </ns0:c>
      <ns0:c r="B462" s="219">
        <ns0:f>IFERROR(IF(AND(AH!$P$9&lt;&gt;1,$C462&gt;0,$D462&gt;0,$E462&gt;0,$F462&gt;0,$G462&gt;0,$F462&lt;=$A462,$G462&lt;=$A462,$A462-$F462&lt;=10,$A462-$G462&lt;=5),$D462*$E462/$C462-1,NA()),NA())</ns0:f>
        <ns0:v/>
      </ns0:c>
      <ns0:c r="C462">
        <ns0:f>IFERROR(IF(ISNUMBER($A462),IF(AND(AH!$P$10=1,AH!$P$12=1,$A462=TODAY()),AH!$P$19,IF(AH!$P$10=1,INDEX('Live History'!$B$5:$B$3004,AH!$P$13+457),INDEX('AH History'!$B$1:$B$18046,AH!$P$7+457))),NA()),NA())</ns0:f>
        <ns0:v/>
      </ns0:c>
      <ns0:c r="D462">
        <ns0:f>IFERROR(IF(ISNUMBER($A462),IF(AND(AH!$P$10=1,AH!$P$12=1,$A462=TODAY()),AH!$P$18,IF(AH!$P$10=1,INDEX('Live History'!$E$5:$E$3004,MATCH($A462,'Live History'!$D$5:$D$3004,1)),INDEX('AH History'!$C$1:$C$18046,AH!$P$7+457))),NA()),NA())</ns0:f>
        <ns0:v/>
      </ns0:c>
      <ns0:c r="E462">
        <ns0:f>IFERROR(IF(ISNUMBER($A462),IF(AND(AH!$P$10=1,AH!$P$12=1,$A462=TODAY()),AH!$P$20,IF(AH!$P$10=1,INDEX('Live History'!$H$5:$H$3004,MATCH($A462,'Live History'!$G$5:$G$3004,1)),INDEX('AH History'!$D$1:$D$18046,AH!$P$7+457))),NA()),NA())</ns0:f>
        <ns0:v/>
      </ns0:c>
      <ns0:c r="F462">
        <ns0:f>IFERROR(IF(ISNUMBER($A462),IF(AND(AH!$P$10=1,AH!$P$12=1,$A462=TODAY()),IF(AND(AH!$P$10=1,AH!$P$12=1,$A462=TODAY()),TODAY(),NA()),IF(AH!$P$10=1,INDEX('Live History'!$D$5:$D$3004,MATCH($A462,'Live History'!$D$5:$D$3004,1)),INDEX('AH History'!$E$1:$E$18046,AH!$P$7+457))),NA()),NA())</ns0:f>
        <ns0:v/>
      </ns0:c>
      <ns0:c r="G462">
        <ns0:f>IFERROR(IF(ISNUMBER($A462),IF(AND(AH!$P$10=1,AH!$P$12=1,$A462=TODAY()),IF(AND(AH!$P$10=1,AH!$P$12=1,$A462=TODAY()),TODAY(),NA()),IF(AH!$P$10=1,INDEX('Live History'!$G$5:$G$3004,MATCH($A462,'Live History'!$G$5:$G$3004,1)),INDEX('AH History'!$F$1:$F$18046,AH!$P$7+457))),NA()),NA())</ns0:f>
        <ns0:v/>
      </ns0:c>
      <ns0:c r="H462">
        <ns0:f>IFERROR(IF(AND(AH!$E$4="Bloomberg",AH!$P$10=1,ISNUMBER($A462),$A462&lt;=AH!$P$17),AH!$P$7-1+MATCH($A462,INDEX('AH History'!$A$1:$A$18046,AH!$P$7):INDEX('AH History'!$A$1:$A$18046,AH!$P$7+AH!$P$8-1),0),0),0)</ns0:f>
        <ns0:v/>
      </ns0:c>
      <ns0:c r="I462">
        <ns0:f>IF($H462=0,0,IFERROR(IF(AND(ABS($C462-INDEX('AH History'!$B$1:$B$18046,$H462))&lt;=MAX(0.005,ABS(INDEX('AH History'!$B$1:$B$18046,$H462))*0.00005),ABS($D462-INDEX('AH History'!$C$1:$C$18046,$H462))&lt;=MAX(0.005,ABS(INDEX('AH History'!$C$1:$C$18046,$H462))*0.00005),ABS($E462-INDEX('AH History'!$D$1:$D$18046,$H462))&lt;=0.00005,$F462=INDEX('AH History'!$E$1:$E$18046,$H462),$G462=INDEX('AH History'!$F$1:$F$18046,$H462)),1,-1),-1))</ns0:f>
        <ns0:v/>
      </ns0:c>
    </ns0:row>
    <ns0:row r="463">
      <ns0:c r="A463" s="215">
        <ns0:f>IF(OR(AH!$P$3=0,458+1&gt;AH!$P$11,AND(AH!$E$4&lt;&gt;"Stored",AH!$P$10&lt;&gt;1)),"",IFERROR(IF(AND(AH!$P$21=1,458+1=AH!$P$11),TODAY(),IF(AH!$P$10=1,INDEX('Live History'!$A$5:$A$3004,AH!$P$13+458),INDEX('AH History'!$A$1:$A$18046,AH!$P$7+458))),""))</ns0:f>
        <ns0:v/>
      </ns0:c>
      <ns0:c r="B463" s="219">
        <ns0:f>IFERROR(IF(AND(AH!$P$9&lt;&gt;1,$C463&gt;0,$D463&gt;0,$E463&gt;0,$F463&gt;0,$G463&gt;0,$F463&lt;=$A463,$G463&lt;=$A463,$A463-$F463&lt;=10,$A463-$G463&lt;=5),$D463*$E463/$C463-1,NA()),NA())</ns0:f>
        <ns0:v/>
      </ns0:c>
      <ns0:c r="C463">
        <ns0:f>IFERROR(IF(ISNUMBER($A463),IF(AND(AH!$P$10=1,AH!$P$12=1,$A463=TODAY()),AH!$P$19,IF(AH!$P$10=1,INDEX('Live History'!$B$5:$B$3004,AH!$P$13+458),INDEX('AH History'!$B$1:$B$18046,AH!$P$7+458))),NA()),NA())</ns0:f>
        <ns0:v/>
      </ns0:c>
      <ns0:c r="D463">
        <ns0:f>IFERROR(IF(ISNUMBER($A463),IF(AND(AH!$P$10=1,AH!$P$12=1,$A463=TODAY()),AH!$P$18,IF(AH!$P$10=1,INDEX('Live History'!$E$5:$E$3004,MATCH($A463,'Live History'!$D$5:$D$3004,1)),INDEX('AH History'!$C$1:$C$18046,AH!$P$7+458))),NA()),NA())</ns0:f>
        <ns0:v/>
      </ns0:c>
      <ns0:c r="E463">
        <ns0:f>IFERROR(IF(ISNUMBER($A463),IF(AND(AH!$P$10=1,AH!$P$12=1,$A463=TODAY()),AH!$P$20,IF(AH!$P$10=1,INDEX('Live History'!$H$5:$H$3004,MATCH($A463,'Live History'!$G$5:$G$3004,1)),INDEX('AH History'!$D$1:$D$18046,AH!$P$7+458))),NA()),NA())</ns0:f>
        <ns0:v/>
      </ns0:c>
      <ns0:c r="F463">
        <ns0:f>IFERROR(IF(ISNUMBER($A463),IF(AND(AH!$P$10=1,AH!$P$12=1,$A463=TODAY()),IF(AND(AH!$P$10=1,AH!$P$12=1,$A463=TODAY()),TODAY(),NA()),IF(AH!$P$10=1,INDEX('Live History'!$D$5:$D$3004,MATCH($A463,'Live History'!$D$5:$D$3004,1)),INDEX('AH History'!$E$1:$E$18046,AH!$P$7+458))),NA()),NA())</ns0:f>
        <ns0:v/>
      </ns0:c>
      <ns0:c r="G463">
        <ns0:f>IFERROR(IF(ISNUMBER($A463),IF(AND(AH!$P$10=1,AH!$P$12=1,$A463=TODAY()),IF(AND(AH!$P$10=1,AH!$P$12=1,$A463=TODAY()),TODAY(),NA()),IF(AH!$P$10=1,INDEX('Live History'!$G$5:$G$3004,MATCH($A463,'Live History'!$G$5:$G$3004,1)),INDEX('AH History'!$F$1:$F$18046,AH!$P$7+458))),NA()),NA())</ns0:f>
        <ns0:v/>
      </ns0:c>
      <ns0:c r="H463">
        <ns0:f>IFERROR(IF(AND(AH!$E$4="Bloomberg",AH!$P$10=1,ISNUMBER($A463),$A463&lt;=AH!$P$17),AH!$P$7-1+MATCH($A463,INDEX('AH History'!$A$1:$A$18046,AH!$P$7):INDEX('AH History'!$A$1:$A$18046,AH!$P$7+AH!$P$8-1),0),0),0)</ns0:f>
        <ns0:v/>
      </ns0:c>
      <ns0:c r="I463">
        <ns0:f>IF($H463=0,0,IFERROR(IF(AND(ABS($C463-INDEX('AH History'!$B$1:$B$18046,$H463))&lt;=MAX(0.005,ABS(INDEX('AH History'!$B$1:$B$18046,$H463))*0.00005),ABS($D463-INDEX('AH History'!$C$1:$C$18046,$H463))&lt;=MAX(0.005,ABS(INDEX('AH History'!$C$1:$C$18046,$H463))*0.00005),ABS($E463-INDEX('AH History'!$D$1:$D$18046,$H463))&lt;=0.00005,$F463=INDEX('AH History'!$E$1:$E$18046,$H463),$G463=INDEX('AH History'!$F$1:$F$18046,$H463)),1,-1),-1))</ns0:f>
        <ns0:v/>
      </ns0:c>
    </ns0:row>
    <ns0:row r="464">
      <ns0:c r="A464" s="215">
        <ns0:f>IF(OR(AH!$P$3=0,459+1&gt;AH!$P$11,AND(AH!$E$4&lt;&gt;"Stored",AH!$P$10&lt;&gt;1)),"",IFERROR(IF(AND(AH!$P$21=1,459+1=AH!$P$11),TODAY(),IF(AH!$P$10=1,INDEX('Live History'!$A$5:$A$3004,AH!$P$13+459),INDEX('AH History'!$A$1:$A$18046,AH!$P$7+459))),""))</ns0:f>
        <ns0:v/>
      </ns0:c>
      <ns0:c r="B464" s="219">
        <ns0:f>IFERROR(IF(AND(AH!$P$9&lt;&gt;1,$C464&gt;0,$D464&gt;0,$E464&gt;0,$F464&gt;0,$G464&gt;0,$F464&lt;=$A464,$G464&lt;=$A464,$A464-$F464&lt;=10,$A464-$G464&lt;=5),$D464*$E464/$C464-1,NA()),NA())</ns0:f>
        <ns0:v/>
      </ns0:c>
      <ns0:c r="C464">
        <ns0:f>IFERROR(IF(ISNUMBER($A464),IF(AND(AH!$P$10=1,AH!$P$12=1,$A464=TODAY()),AH!$P$19,IF(AH!$P$10=1,INDEX('Live History'!$B$5:$B$3004,AH!$P$13+459),INDEX('AH History'!$B$1:$B$18046,AH!$P$7+459))),NA()),NA())</ns0:f>
        <ns0:v/>
      </ns0:c>
      <ns0:c r="D464">
        <ns0:f>IFERROR(IF(ISNUMBER($A464),IF(AND(AH!$P$10=1,AH!$P$12=1,$A464=TODAY()),AH!$P$18,IF(AH!$P$10=1,INDEX('Live History'!$E$5:$E$3004,MATCH($A464,'Live History'!$D$5:$D$3004,1)),INDEX('AH History'!$C$1:$C$18046,AH!$P$7+459))),NA()),NA())</ns0:f>
        <ns0:v/>
      </ns0:c>
      <ns0:c r="E464">
        <ns0:f>IFERROR(IF(ISNUMBER($A464),IF(AND(AH!$P$10=1,AH!$P$12=1,$A464=TODAY()),AH!$P$20,IF(AH!$P$10=1,INDEX('Live History'!$H$5:$H$3004,MATCH($A464,'Live History'!$G$5:$G$3004,1)),INDEX('AH History'!$D$1:$D$18046,AH!$P$7+459))),NA()),NA())</ns0:f>
        <ns0:v/>
      </ns0:c>
      <ns0:c r="F464">
        <ns0:f>IFERROR(IF(ISNUMBER($A464),IF(AND(AH!$P$10=1,AH!$P$12=1,$A464=TODAY()),IF(AND(AH!$P$10=1,AH!$P$12=1,$A464=TODAY()),TODAY(),NA()),IF(AH!$P$10=1,INDEX('Live History'!$D$5:$D$3004,MATCH($A464,'Live History'!$D$5:$D$3004,1)),INDEX('AH History'!$E$1:$E$18046,AH!$P$7+459))),NA()),NA())</ns0:f>
        <ns0:v/>
      </ns0:c>
      <ns0:c r="G464">
        <ns0:f>IFERROR(IF(ISNUMBER($A464),IF(AND(AH!$P$10=1,AH!$P$12=1,$A464=TODAY()),IF(AND(AH!$P$10=1,AH!$P$12=1,$A464=TODAY()),TODAY(),NA()),IF(AH!$P$10=1,INDEX('Live History'!$G$5:$G$3004,MATCH($A464,'Live History'!$G$5:$G$3004,1)),INDEX('AH History'!$F$1:$F$18046,AH!$P$7+459))),NA()),NA())</ns0:f>
        <ns0:v/>
      </ns0:c>
      <ns0:c r="H464">
        <ns0:f>IFERROR(IF(AND(AH!$E$4="Bloomberg",AH!$P$10=1,ISNUMBER($A464),$A464&lt;=AH!$P$17),AH!$P$7-1+MATCH($A464,INDEX('AH History'!$A$1:$A$18046,AH!$P$7):INDEX('AH History'!$A$1:$A$18046,AH!$P$7+AH!$P$8-1),0),0),0)</ns0:f>
        <ns0:v/>
      </ns0:c>
      <ns0:c r="I464">
        <ns0:f>IF($H464=0,0,IFERROR(IF(AND(ABS($C464-INDEX('AH History'!$B$1:$B$18046,$H464))&lt;=MAX(0.005,ABS(INDEX('AH History'!$B$1:$B$18046,$H464))*0.00005),ABS($D464-INDEX('AH History'!$C$1:$C$18046,$H464))&lt;=MAX(0.005,ABS(INDEX('AH History'!$C$1:$C$18046,$H464))*0.00005),ABS($E464-INDEX('AH History'!$D$1:$D$18046,$H464))&lt;=0.00005,$F464=INDEX('AH History'!$E$1:$E$18046,$H464),$G464=INDEX('AH History'!$F$1:$F$18046,$H464)),1,-1),-1))</ns0:f>
        <ns0:v/>
      </ns0:c>
    </ns0:row>
    <ns0:row r="465">
      <ns0:c r="A465" s="215">
        <ns0:f>IF(OR(AH!$P$3=0,460+1&gt;AH!$P$11,AND(AH!$E$4&lt;&gt;"Stored",AH!$P$10&lt;&gt;1)),"",IFERROR(IF(AND(AH!$P$21=1,460+1=AH!$P$11),TODAY(),IF(AH!$P$10=1,INDEX('Live History'!$A$5:$A$3004,AH!$P$13+460),INDEX('AH History'!$A$1:$A$18046,AH!$P$7+460))),""))</ns0:f>
        <ns0:v/>
      </ns0:c>
      <ns0:c r="B465" s="219">
        <ns0:f>IFERROR(IF(AND(AH!$P$9&lt;&gt;1,$C465&gt;0,$D465&gt;0,$E465&gt;0,$F465&gt;0,$G465&gt;0,$F465&lt;=$A465,$G465&lt;=$A465,$A465-$F465&lt;=10,$A465-$G465&lt;=5),$D465*$E465/$C465-1,NA()),NA())</ns0:f>
        <ns0:v/>
      </ns0:c>
      <ns0:c r="C465">
        <ns0:f>IFERROR(IF(ISNUMBER($A465),IF(AND(AH!$P$10=1,AH!$P$12=1,$A465=TODAY()),AH!$P$19,IF(AH!$P$10=1,INDEX('Live History'!$B$5:$B$3004,AH!$P$13+460),INDEX('AH History'!$B$1:$B$18046,AH!$P$7+460))),NA()),NA())</ns0:f>
        <ns0:v/>
      </ns0:c>
      <ns0:c r="D465">
        <ns0:f>IFERROR(IF(ISNUMBER($A465),IF(AND(AH!$P$10=1,AH!$P$12=1,$A465=TODAY()),AH!$P$18,IF(AH!$P$10=1,INDEX('Live History'!$E$5:$E$3004,MATCH($A465,'Live History'!$D$5:$D$3004,1)),INDEX('AH History'!$C$1:$C$18046,AH!$P$7+460))),NA()),NA())</ns0:f>
        <ns0:v/>
      </ns0:c>
      <ns0:c r="E465">
        <ns0:f>IFERROR(IF(ISNUMBER($A465),IF(AND(AH!$P$10=1,AH!$P$12=1,$A465=TODAY()),AH!$P$20,IF(AH!$P$10=1,INDEX('Live History'!$H$5:$H$3004,MATCH($A465,'Live History'!$G$5:$G$3004,1)),INDEX('AH History'!$D$1:$D$18046,AH!$P$7+460))),NA()),NA())</ns0:f>
        <ns0:v/>
      </ns0:c>
      <ns0:c r="F465">
        <ns0:f>IFERROR(IF(ISNUMBER($A465),IF(AND(AH!$P$10=1,AH!$P$12=1,$A465=TODAY()),IF(AND(AH!$P$10=1,AH!$P$12=1,$A465=TODAY()),TODAY(),NA()),IF(AH!$P$10=1,INDEX('Live History'!$D$5:$D$3004,MATCH($A465,'Live History'!$D$5:$D$3004,1)),INDEX('AH History'!$E$1:$E$18046,AH!$P$7+460))),NA()),NA())</ns0:f>
        <ns0:v/>
      </ns0:c>
      <ns0:c r="G465">
        <ns0:f>IFERROR(IF(ISNUMBER($A465),IF(AND(AH!$P$10=1,AH!$P$12=1,$A465=TODAY()),IF(AND(AH!$P$10=1,AH!$P$12=1,$A465=TODAY()),TODAY(),NA()),IF(AH!$P$10=1,INDEX('Live History'!$G$5:$G$3004,MATCH($A465,'Live History'!$G$5:$G$3004,1)),INDEX('AH History'!$F$1:$F$18046,AH!$P$7+460))),NA()),NA())</ns0:f>
        <ns0:v/>
      </ns0:c>
      <ns0:c r="H465">
        <ns0:f>IFERROR(IF(AND(AH!$E$4="Bloomberg",AH!$P$10=1,ISNUMBER($A465),$A465&lt;=AH!$P$17),AH!$P$7-1+MATCH($A465,INDEX('AH History'!$A$1:$A$18046,AH!$P$7):INDEX('AH History'!$A$1:$A$18046,AH!$P$7+AH!$P$8-1),0),0),0)</ns0:f>
        <ns0:v/>
      </ns0:c>
      <ns0:c r="I465">
        <ns0:f>IF($H465=0,0,IFERROR(IF(AND(ABS($C465-INDEX('AH History'!$B$1:$B$18046,$H465))&lt;=MAX(0.005,ABS(INDEX('AH History'!$B$1:$B$18046,$H465))*0.00005),ABS($D465-INDEX('AH History'!$C$1:$C$18046,$H465))&lt;=MAX(0.005,ABS(INDEX('AH History'!$C$1:$C$18046,$H465))*0.00005),ABS($E465-INDEX('AH History'!$D$1:$D$18046,$H465))&lt;=0.00005,$F465=INDEX('AH History'!$E$1:$E$18046,$H465),$G465=INDEX('AH History'!$F$1:$F$18046,$H465)),1,-1),-1))</ns0:f>
        <ns0:v/>
      </ns0:c>
    </ns0:row>
    <ns0:row r="466">
      <ns0:c r="A466" s="215">
        <ns0:f>IF(OR(AH!$P$3=0,461+1&gt;AH!$P$11,AND(AH!$E$4&lt;&gt;"Stored",AH!$P$10&lt;&gt;1)),"",IFERROR(IF(AND(AH!$P$21=1,461+1=AH!$P$11),TODAY(),IF(AH!$P$10=1,INDEX('Live History'!$A$5:$A$3004,AH!$P$13+461),INDEX('AH History'!$A$1:$A$18046,AH!$P$7+461))),""))</ns0:f>
        <ns0:v/>
      </ns0:c>
      <ns0:c r="B466" s="219">
        <ns0:f>IFERROR(IF(AND(AH!$P$9&lt;&gt;1,$C466&gt;0,$D466&gt;0,$E466&gt;0,$F466&gt;0,$G466&gt;0,$F466&lt;=$A466,$G466&lt;=$A466,$A466-$F466&lt;=10,$A466-$G466&lt;=5),$D466*$E466/$C466-1,NA()),NA())</ns0:f>
        <ns0:v/>
      </ns0:c>
      <ns0:c r="C466">
        <ns0:f>IFERROR(IF(ISNUMBER($A466),IF(AND(AH!$P$10=1,AH!$P$12=1,$A466=TODAY()),AH!$P$19,IF(AH!$P$10=1,INDEX('Live History'!$B$5:$B$3004,AH!$P$13+461),INDEX('AH History'!$B$1:$B$18046,AH!$P$7+461))),NA()),NA())</ns0:f>
        <ns0:v/>
      </ns0:c>
      <ns0:c r="D466">
        <ns0:f>IFERROR(IF(ISNUMBER($A466),IF(AND(AH!$P$10=1,AH!$P$12=1,$A466=TODAY()),AH!$P$18,IF(AH!$P$10=1,INDEX('Live History'!$E$5:$E$3004,MATCH($A466,'Live History'!$D$5:$D$3004,1)),INDEX('AH History'!$C$1:$C$18046,AH!$P$7+461))),NA()),NA())</ns0:f>
        <ns0:v/>
      </ns0:c>
      <ns0:c r="E466">
        <ns0:f>IFERROR(IF(ISNUMBER($A466),IF(AND(AH!$P$10=1,AH!$P$12=1,$A466=TODAY()),AH!$P$20,IF(AH!$P$10=1,INDEX('Live History'!$H$5:$H$3004,MATCH($A466,'Live History'!$G$5:$G$3004,1)),INDEX('AH History'!$D$1:$D$18046,AH!$P$7+461))),NA()),NA())</ns0:f>
        <ns0:v/>
      </ns0:c>
      <ns0:c r="F466">
        <ns0:f>IFERROR(IF(ISNUMBER($A466),IF(AND(AH!$P$10=1,AH!$P$12=1,$A466=TODAY()),IF(AND(AH!$P$10=1,AH!$P$12=1,$A466=TODAY()),TODAY(),NA()),IF(AH!$P$10=1,INDEX('Live History'!$D$5:$D$3004,MATCH($A466,'Live History'!$D$5:$D$3004,1)),INDEX('AH History'!$E$1:$E$18046,AH!$P$7+461))),NA()),NA())</ns0:f>
        <ns0:v/>
      </ns0:c>
      <ns0:c r="G466">
        <ns0:f>IFERROR(IF(ISNUMBER($A466),IF(AND(AH!$P$10=1,AH!$P$12=1,$A466=TODAY()),IF(AND(AH!$P$10=1,AH!$P$12=1,$A466=TODAY()),TODAY(),NA()),IF(AH!$P$10=1,INDEX('Live History'!$G$5:$G$3004,MATCH($A466,'Live History'!$G$5:$G$3004,1)),INDEX('AH History'!$F$1:$F$18046,AH!$P$7+461))),NA()),NA())</ns0:f>
        <ns0:v/>
      </ns0:c>
      <ns0:c r="H466">
        <ns0:f>IFERROR(IF(AND(AH!$E$4="Bloomberg",AH!$P$10=1,ISNUMBER($A466),$A466&lt;=AH!$P$17),AH!$P$7-1+MATCH($A466,INDEX('AH History'!$A$1:$A$18046,AH!$P$7):INDEX('AH History'!$A$1:$A$18046,AH!$P$7+AH!$P$8-1),0),0),0)</ns0:f>
        <ns0:v/>
      </ns0:c>
      <ns0:c r="I466">
        <ns0:f>IF($H466=0,0,IFERROR(IF(AND(ABS($C466-INDEX('AH History'!$B$1:$B$18046,$H466))&lt;=MAX(0.005,ABS(INDEX('AH History'!$B$1:$B$18046,$H466))*0.00005),ABS($D466-INDEX('AH History'!$C$1:$C$18046,$H466))&lt;=MAX(0.005,ABS(INDEX('AH History'!$C$1:$C$18046,$H466))*0.00005),ABS($E466-INDEX('AH History'!$D$1:$D$18046,$H466))&lt;=0.00005,$F466=INDEX('AH History'!$E$1:$E$18046,$H466),$G466=INDEX('AH History'!$F$1:$F$18046,$H466)),1,-1),-1))</ns0:f>
        <ns0:v/>
      </ns0:c>
    </ns0:row>
    <ns0:row r="467">
      <ns0:c r="A467" s="215">
        <ns0:f>IF(OR(AH!$P$3=0,462+1&gt;AH!$P$11,AND(AH!$E$4&lt;&gt;"Stored",AH!$P$10&lt;&gt;1)),"",IFERROR(IF(AND(AH!$P$21=1,462+1=AH!$P$11),TODAY(),IF(AH!$P$10=1,INDEX('Live History'!$A$5:$A$3004,AH!$P$13+462),INDEX('AH History'!$A$1:$A$18046,AH!$P$7+462))),""))</ns0:f>
        <ns0:v/>
      </ns0:c>
      <ns0:c r="B467" s="219">
        <ns0:f>IFERROR(IF(AND(AH!$P$9&lt;&gt;1,$C467&gt;0,$D467&gt;0,$E467&gt;0,$F467&gt;0,$G467&gt;0,$F467&lt;=$A467,$G467&lt;=$A467,$A467-$F467&lt;=10,$A467-$G467&lt;=5),$D467*$E467/$C467-1,NA()),NA())</ns0:f>
        <ns0:v/>
      </ns0:c>
      <ns0:c r="C467">
        <ns0:f>IFERROR(IF(ISNUMBER($A467),IF(AND(AH!$P$10=1,AH!$P$12=1,$A467=TODAY()),AH!$P$19,IF(AH!$P$10=1,INDEX('Live History'!$B$5:$B$3004,AH!$P$13+462),INDEX('AH History'!$B$1:$B$18046,AH!$P$7+462))),NA()),NA())</ns0:f>
        <ns0:v/>
      </ns0:c>
      <ns0:c r="D467">
        <ns0:f>IFERROR(IF(ISNUMBER($A467),IF(AND(AH!$P$10=1,AH!$P$12=1,$A467=TODAY()),AH!$P$18,IF(AH!$P$10=1,INDEX('Live History'!$E$5:$E$3004,MATCH($A467,'Live History'!$D$5:$D$3004,1)),INDEX('AH History'!$C$1:$C$18046,AH!$P$7+462))),NA()),NA())</ns0:f>
        <ns0:v/>
      </ns0:c>
      <ns0:c r="E467">
        <ns0:f>IFERROR(IF(ISNUMBER($A467),IF(AND(AH!$P$10=1,AH!$P$12=1,$A467=TODAY()),AH!$P$20,IF(AH!$P$10=1,INDEX('Live History'!$H$5:$H$3004,MATCH($A467,'Live History'!$G$5:$G$3004,1)),INDEX('AH History'!$D$1:$D$18046,AH!$P$7+462))),NA()),NA())</ns0:f>
        <ns0:v/>
      </ns0:c>
      <ns0:c r="F467">
        <ns0:f>IFERROR(IF(ISNUMBER($A467),IF(AND(AH!$P$10=1,AH!$P$12=1,$A467=TODAY()),IF(AND(AH!$P$10=1,AH!$P$12=1,$A467=TODAY()),TODAY(),NA()),IF(AH!$P$10=1,INDEX('Live History'!$D$5:$D$3004,MATCH($A467,'Live History'!$D$5:$D$3004,1)),INDEX('AH History'!$E$1:$E$18046,AH!$P$7+462))),NA()),NA())</ns0:f>
        <ns0:v/>
      </ns0:c>
      <ns0:c r="G467">
        <ns0:f>IFERROR(IF(ISNUMBER($A467),IF(AND(AH!$P$10=1,AH!$P$12=1,$A467=TODAY()),IF(AND(AH!$P$10=1,AH!$P$12=1,$A467=TODAY()),TODAY(),NA()),IF(AH!$P$10=1,INDEX('Live History'!$G$5:$G$3004,MATCH($A467,'Live History'!$G$5:$G$3004,1)),INDEX('AH History'!$F$1:$F$18046,AH!$P$7+462))),NA()),NA())</ns0:f>
        <ns0:v/>
      </ns0:c>
      <ns0:c r="H467">
        <ns0:f>IFERROR(IF(AND(AH!$E$4="Bloomberg",AH!$P$10=1,ISNUMBER($A467),$A467&lt;=AH!$P$17),AH!$P$7-1+MATCH($A467,INDEX('AH History'!$A$1:$A$18046,AH!$P$7):INDEX('AH History'!$A$1:$A$18046,AH!$P$7+AH!$P$8-1),0),0),0)</ns0:f>
        <ns0:v/>
      </ns0:c>
      <ns0:c r="I467">
        <ns0:f>IF($H467=0,0,IFERROR(IF(AND(ABS($C467-INDEX('AH History'!$B$1:$B$18046,$H467))&lt;=MAX(0.005,ABS(INDEX('AH History'!$B$1:$B$18046,$H467))*0.00005),ABS($D467-INDEX('AH History'!$C$1:$C$18046,$H467))&lt;=MAX(0.005,ABS(INDEX('AH History'!$C$1:$C$18046,$H467))*0.00005),ABS($E467-INDEX('AH History'!$D$1:$D$18046,$H467))&lt;=0.00005,$F467=INDEX('AH History'!$E$1:$E$18046,$H467),$G467=INDEX('AH History'!$F$1:$F$18046,$H467)),1,-1),-1))</ns0:f>
        <ns0:v/>
      </ns0:c>
    </ns0:row>
    <ns0:row r="468">
      <ns0:c r="A468" s="215">
        <ns0:f>IF(OR(AH!$P$3=0,463+1&gt;AH!$P$11,AND(AH!$E$4&lt;&gt;"Stored",AH!$P$10&lt;&gt;1)),"",IFERROR(IF(AND(AH!$P$21=1,463+1=AH!$P$11),TODAY(),IF(AH!$P$10=1,INDEX('Live History'!$A$5:$A$3004,AH!$P$13+463),INDEX('AH History'!$A$1:$A$18046,AH!$P$7+463))),""))</ns0:f>
        <ns0:v/>
      </ns0:c>
      <ns0:c r="B468" s="219">
        <ns0:f>IFERROR(IF(AND(AH!$P$9&lt;&gt;1,$C468&gt;0,$D468&gt;0,$E468&gt;0,$F468&gt;0,$G468&gt;0,$F468&lt;=$A468,$G468&lt;=$A468,$A468-$F468&lt;=10,$A468-$G468&lt;=5),$D468*$E468/$C468-1,NA()),NA())</ns0:f>
        <ns0:v/>
      </ns0:c>
      <ns0:c r="C468">
        <ns0:f>IFERROR(IF(ISNUMBER($A468),IF(AND(AH!$P$10=1,AH!$P$12=1,$A468=TODAY()),AH!$P$19,IF(AH!$P$10=1,INDEX('Live History'!$B$5:$B$3004,AH!$P$13+463),INDEX('AH History'!$B$1:$B$18046,AH!$P$7+463))),NA()),NA())</ns0:f>
        <ns0:v/>
      </ns0:c>
      <ns0:c r="D468">
        <ns0:f>IFERROR(IF(ISNUMBER($A468),IF(AND(AH!$P$10=1,AH!$P$12=1,$A468=TODAY()),AH!$P$18,IF(AH!$P$10=1,INDEX('Live History'!$E$5:$E$3004,MATCH($A468,'Live History'!$D$5:$D$3004,1)),INDEX('AH History'!$C$1:$C$18046,AH!$P$7+463))),NA()),NA())</ns0:f>
        <ns0:v/>
      </ns0:c>
      <ns0:c r="E468">
        <ns0:f>IFERROR(IF(ISNUMBER($A468),IF(AND(AH!$P$10=1,AH!$P$12=1,$A468=TODAY()),AH!$P$20,IF(AH!$P$10=1,INDEX('Live History'!$H$5:$H$3004,MATCH($A468,'Live History'!$G$5:$G$3004,1)),INDEX('AH History'!$D$1:$D$18046,AH!$P$7+463))),NA()),NA())</ns0:f>
        <ns0:v/>
      </ns0:c>
      <ns0:c r="F468">
        <ns0:f>IFERROR(IF(ISNUMBER($A468),IF(AND(AH!$P$10=1,AH!$P$12=1,$A468=TODAY()),IF(AND(AH!$P$10=1,AH!$P$12=1,$A468=TODAY()),TODAY(),NA()),IF(AH!$P$10=1,INDEX('Live History'!$D$5:$D$3004,MATCH($A468,'Live History'!$D$5:$D$3004,1)),INDEX('AH History'!$E$1:$E$18046,AH!$P$7+463))),NA()),NA())</ns0:f>
        <ns0:v/>
      </ns0:c>
      <ns0:c r="G468">
        <ns0:f>IFERROR(IF(ISNUMBER($A468),IF(AND(AH!$P$10=1,AH!$P$12=1,$A468=TODAY()),IF(AND(AH!$P$10=1,AH!$P$12=1,$A468=TODAY()),TODAY(),NA()),IF(AH!$P$10=1,INDEX('Live History'!$G$5:$G$3004,MATCH($A468,'Live History'!$G$5:$G$3004,1)),INDEX('AH History'!$F$1:$F$18046,AH!$P$7+463))),NA()),NA())</ns0:f>
        <ns0:v/>
      </ns0:c>
      <ns0:c r="H468">
        <ns0:f>IFERROR(IF(AND(AH!$E$4="Bloomberg",AH!$P$10=1,ISNUMBER($A468),$A468&lt;=AH!$P$17),AH!$P$7-1+MATCH($A468,INDEX('AH History'!$A$1:$A$18046,AH!$P$7):INDEX('AH History'!$A$1:$A$18046,AH!$P$7+AH!$P$8-1),0),0),0)</ns0:f>
        <ns0:v/>
      </ns0:c>
      <ns0:c r="I468">
        <ns0:f>IF($H468=0,0,IFERROR(IF(AND(ABS($C468-INDEX('AH History'!$B$1:$B$18046,$H468))&lt;=MAX(0.005,ABS(INDEX('AH History'!$B$1:$B$18046,$H468))*0.00005),ABS($D468-INDEX('AH History'!$C$1:$C$18046,$H468))&lt;=MAX(0.005,ABS(INDEX('AH History'!$C$1:$C$18046,$H468))*0.00005),ABS($E468-INDEX('AH History'!$D$1:$D$18046,$H468))&lt;=0.00005,$F468=INDEX('AH History'!$E$1:$E$18046,$H468),$G468=INDEX('AH History'!$F$1:$F$18046,$H468)),1,-1),-1))</ns0:f>
        <ns0:v/>
      </ns0:c>
    </ns0:row>
    <ns0:row r="469">
      <ns0:c r="A469" s="215">
        <ns0:f>IF(OR(AH!$P$3=0,464+1&gt;AH!$P$11,AND(AH!$E$4&lt;&gt;"Stored",AH!$P$10&lt;&gt;1)),"",IFERROR(IF(AND(AH!$P$21=1,464+1=AH!$P$11),TODAY(),IF(AH!$P$10=1,INDEX('Live History'!$A$5:$A$3004,AH!$P$13+464),INDEX('AH History'!$A$1:$A$18046,AH!$P$7+464))),""))</ns0:f>
        <ns0:v/>
      </ns0:c>
      <ns0:c r="B469" s="219">
        <ns0:f>IFERROR(IF(AND(AH!$P$9&lt;&gt;1,$C469&gt;0,$D469&gt;0,$E469&gt;0,$F469&gt;0,$G469&gt;0,$F469&lt;=$A469,$G469&lt;=$A469,$A469-$F469&lt;=10,$A469-$G469&lt;=5),$D469*$E469/$C469-1,NA()),NA())</ns0:f>
        <ns0:v/>
      </ns0:c>
      <ns0:c r="C469">
        <ns0:f>IFERROR(IF(ISNUMBER($A469),IF(AND(AH!$P$10=1,AH!$P$12=1,$A469=TODAY()),AH!$P$19,IF(AH!$P$10=1,INDEX('Live History'!$B$5:$B$3004,AH!$P$13+464),INDEX('AH History'!$B$1:$B$18046,AH!$P$7+464))),NA()),NA())</ns0:f>
        <ns0:v/>
      </ns0:c>
      <ns0:c r="D469">
        <ns0:f>IFERROR(IF(ISNUMBER($A469),IF(AND(AH!$P$10=1,AH!$P$12=1,$A469=TODAY()),AH!$P$18,IF(AH!$P$10=1,INDEX('Live History'!$E$5:$E$3004,MATCH($A469,'Live History'!$D$5:$D$3004,1)),INDEX('AH History'!$C$1:$C$18046,AH!$P$7+464))),NA()),NA())</ns0:f>
        <ns0:v/>
      </ns0:c>
      <ns0:c r="E469">
        <ns0:f>IFERROR(IF(ISNUMBER($A469),IF(AND(AH!$P$10=1,AH!$P$12=1,$A469=TODAY()),AH!$P$20,IF(AH!$P$10=1,INDEX('Live History'!$H$5:$H$3004,MATCH($A469,'Live History'!$G$5:$G$3004,1)),INDEX('AH History'!$D$1:$D$18046,AH!$P$7+464))),NA()),NA())</ns0:f>
        <ns0:v/>
      </ns0:c>
      <ns0:c r="F469">
        <ns0:f>IFERROR(IF(ISNUMBER($A469),IF(AND(AH!$P$10=1,AH!$P$12=1,$A469=TODAY()),IF(AND(AH!$P$10=1,AH!$P$12=1,$A469=TODAY()),TODAY(),NA()),IF(AH!$P$10=1,INDEX('Live History'!$D$5:$D$3004,MATCH($A469,'Live History'!$D$5:$D$3004,1)),INDEX('AH History'!$E$1:$E$18046,AH!$P$7+464))),NA()),NA())</ns0:f>
        <ns0:v/>
      </ns0:c>
      <ns0:c r="G469">
        <ns0:f>IFERROR(IF(ISNUMBER($A469),IF(AND(AH!$P$10=1,AH!$P$12=1,$A469=TODAY()),IF(AND(AH!$P$10=1,AH!$P$12=1,$A469=TODAY()),TODAY(),NA()),IF(AH!$P$10=1,INDEX('Live History'!$G$5:$G$3004,MATCH($A469,'Live History'!$G$5:$G$3004,1)),INDEX('AH History'!$F$1:$F$18046,AH!$P$7+464))),NA()),NA())</ns0:f>
        <ns0:v/>
      </ns0:c>
      <ns0:c r="H469">
        <ns0:f>IFERROR(IF(AND(AH!$E$4="Bloomberg",AH!$P$10=1,ISNUMBER($A469),$A469&lt;=AH!$P$17),AH!$P$7-1+MATCH($A469,INDEX('AH History'!$A$1:$A$18046,AH!$P$7):INDEX('AH History'!$A$1:$A$18046,AH!$P$7+AH!$P$8-1),0),0),0)</ns0:f>
        <ns0:v/>
      </ns0:c>
      <ns0:c r="I469">
        <ns0:f>IF($H469=0,0,IFERROR(IF(AND(ABS($C469-INDEX('AH History'!$B$1:$B$18046,$H469))&lt;=MAX(0.005,ABS(INDEX('AH History'!$B$1:$B$18046,$H469))*0.00005),ABS($D469-INDEX('AH History'!$C$1:$C$18046,$H469))&lt;=MAX(0.005,ABS(INDEX('AH History'!$C$1:$C$18046,$H469))*0.00005),ABS($E469-INDEX('AH History'!$D$1:$D$18046,$H469))&lt;=0.00005,$F469=INDEX('AH History'!$E$1:$E$18046,$H469),$G469=INDEX('AH History'!$F$1:$F$18046,$H469)),1,-1),-1))</ns0:f>
        <ns0:v/>
      </ns0:c>
    </ns0:row>
    <ns0:row r="470">
      <ns0:c r="A470" s="215">
        <ns0:f>IF(OR(AH!$P$3=0,465+1&gt;AH!$P$11,AND(AH!$E$4&lt;&gt;"Stored",AH!$P$10&lt;&gt;1)),"",IFERROR(IF(AND(AH!$P$21=1,465+1=AH!$P$11),TODAY(),IF(AH!$P$10=1,INDEX('Live History'!$A$5:$A$3004,AH!$P$13+465),INDEX('AH History'!$A$1:$A$18046,AH!$P$7+465))),""))</ns0:f>
        <ns0:v/>
      </ns0:c>
      <ns0:c r="B470" s="219">
        <ns0:f>IFERROR(IF(AND(AH!$P$9&lt;&gt;1,$C470&gt;0,$D470&gt;0,$E470&gt;0,$F470&gt;0,$G470&gt;0,$F470&lt;=$A470,$G470&lt;=$A470,$A470-$F470&lt;=10,$A470-$G470&lt;=5),$D470*$E470/$C470-1,NA()),NA())</ns0:f>
        <ns0:v/>
      </ns0:c>
      <ns0:c r="C470">
        <ns0:f>IFERROR(IF(ISNUMBER($A470),IF(AND(AH!$P$10=1,AH!$P$12=1,$A470=TODAY()),AH!$P$19,IF(AH!$P$10=1,INDEX('Live History'!$B$5:$B$3004,AH!$P$13+465),INDEX('AH History'!$B$1:$B$18046,AH!$P$7+465))),NA()),NA())</ns0:f>
        <ns0:v/>
      </ns0:c>
      <ns0:c r="D470">
        <ns0:f>IFERROR(IF(ISNUMBER($A470),IF(AND(AH!$P$10=1,AH!$P$12=1,$A470=TODAY()),AH!$P$18,IF(AH!$P$10=1,INDEX('Live History'!$E$5:$E$3004,MATCH($A470,'Live History'!$D$5:$D$3004,1)),INDEX('AH History'!$C$1:$C$18046,AH!$P$7+465))),NA()),NA())</ns0:f>
        <ns0:v/>
      </ns0:c>
      <ns0:c r="E470">
        <ns0:f>IFERROR(IF(ISNUMBER($A470),IF(AND(AH!$P$10=1,AH!$P$12=1,$A470=TODAY()),AH!$P$20,IF(AH!$P$10=1,INDEX('Live History'!$H$5:$H$3004,MATCH($A470,'Live History'!$G$5:$G$3004,1)),INDEX('AH History'!$D$1:$D$18046,AH!$P$7+465))),NA()),NA())</ns0:f>
        <ns0:v/>
      </ns0:c>
      <ns0:c r="F470">
        <ns0:f>IFERROR(IF(ISNUMBER($A470),IF(AND(AH!$P$10=1,AH!$P$12=1,$A470=TODAY()),IF(AND(AH!$P$10=1,AH!$P$12=1,$A470=TODAY()),TODAY(),NA()),IF(AH!$P$10=1,INDEX('Live History'!$D$5:$D$3004,MATCH($A470,'Live History'!$D$5:$D$3004,1)),INDEX('AH History'!$E$1:$E$18046,AH!$P$7+465))),NA()),NA())</ns0:f>
        <ns0:v/>
      </ns0:c>
      <ns0:c r="G470">
        <ns0:f>IFERROR(IF(ISNUMBER($A470),IF(AND(AH!$P$10=1,AH!$P$12=1,$A470=TODAY()),IF(AND(AH!$P$10=1,AH!$P$12=1,$A470=TODAY()),TODAY(),NA()),IF(AH!$P$10=1,INDEX('Live History'!$G$5:$G$3004,MATCH($A470,'Live History'!$G$5:$G$3004,1)),INDEX('AH History'!$F$1:$F$18046,AH!$P$7+465))),NA()),NA())</ns0:f>
        <ns0:v/>
      </ns0:c>
      <ns0:c r="H470">
        <ns0:f>IFERROR(IF(AND(AH!$E$4="Bloomberg",AH!$P$10=1,ISNUMBER($A470),$A470&lt;=AH!$P$17),AH!$P$7-1+MATCH($A470,INDEX('AH History'!$A$1:$A$18046,AH!$P$7):INDEX('AH History'!$A$1:$A$18046,AH!$P$7+AH!$P$8-1),0),0),0)</ns0:f>
        <ns0:v/>
      </ns0:c>
      <ns0:c r="I470">
        <ns0:f>IF($H470=0,0,IFERROR(IF(AND(ABS($C470-INDEX('AH History'!$B$1:$B$18046,$H470))&lt;=MAX(0.005,ABS(INDEX('AH History'!$B$1:$B$18046,$H470))*0.00005),ABS($D470-INDEX('AH History'!$C$1:$C$18046,$H470))&lt;=MAX(0.005,ABS(INDEX('AH History'!$C$1:$C$18046,$H470))*0.00005),ABS($E470-INDEX('AH History'!$D$1:$D$18046,$H470))&lt;=0.00005,$F470=INDEX('AH History'!$E$1:$E$18046,$H470),$G470=INDEX('AH History'!$F$1:$F$18046,$H470)),1,-1),-1))</ns0:f>
        <ns0:v/>
      </ns0:c>
    </ns0:row>
    <ns0:row r="471">
      <ns0:c r="A471" s="215">
        <ns0:f>IF(OR(AH!$P$3=0,466+1&gt;AH!$P$11,AND(AH!$E$4&lt;&gt;"Stored",AH!$P$10&lt;&gt;1)),"",IFERROR(IF(AND(AH!$P$21=1,466+1=AH!$P$11),TODAY(),IF(AH!$P$10=1,INDEX('Live History'!$A$5:$A$3004,AH!$P$13+466),INDEX('AH History'!$A$1:$A$18046,AH!$P$7+466))),""))</ns0:f>
        <ns0:v/>
      </ns0:c>
      <ns0:c r="B471" s="219">
        <ns0:f>IFERROR(IF(AND(AH!$P$9&lt;&gt;1,$C471&gt;0,$D471&gt;0,$E471&gt;0,$F471&gt;0,$G471&gt;0,$F471&lt;=$A471,$G471&lt;=$A471,$A471-$F471&lt;=10,$A471-$G471&lt;=5),$D471*$E471/$C471-1,NA()),NA())</ns0:f>
        <ns0:v/>
      </ns0:c>
      <ns0:c r="C471">
        <ns0:f>IFERROR(IF(ISNUMBER($A471),IF(AND(AH!$P$10=1,AH!$P$12=1,$A471=TODAY()),AH!$P$19,IF(AH!$P$10=1,INDEX('Live History'!$B$5:$B$3004,AH!$P$13+466),INDEX('AH History'!$B$1:$B$18046,AH!$P$7+466))),NA()),NA())</ns0:f>
        <ns0:v/>
      </ns0:c>
      <ns0:c r="D471">
        <ns0:f>IFERROR(IF(ISNUMBER($A471),IF(AND(AH!$P$10=1,AH!$P$12=1,$A471=TODAY()),AH!$P$18,IF(AH!$P$10=1,INDEX('Live History'!$E$5:$E$3004,MATCH($A471,'Live History'!$D$5:$D$3004,1)),INDEX('AH History'!$C$1:$C$18046,AH!$P$7+466))),NA()),NA())</ns0:f>
        <ns0:v/>
      </ns0:c>
      <ns0:c r="E471">
        <ns0:f>IFERROR(IF(ISNUMBER($A471),IF(AND(AH!$P$10=1,AH!$P$12=1,$A471=TODAY()),AH!$P$20,IF(AH!$P$10=1,INDEX('Live History'!$H$5:$H$3004,MATCH($A471,'Live History'!$G$5:$G$3004,1)),INDEX('AH History'!$D$1:$D$18046,AH!$P$7+466))),NA()),NA())</ns0:f>
        <ns0:v/>
      </ns0:c>
      <ns0:c r="F471">
        <ns0:f>IFERROR(IF(ISNUMBER($A471),IF(AND(AH!$P$10=1,AH!$P$12=1,$A471=TODAY()),IF(AND(AH!$P$10=1,AH!$P$12=1,$A471=TODAY()),TODAY(),NA()),IF(AH!$P$10=1,INDEX('Live History'!$D$5:$D$3004,MATCH($A471,'Live History'!$D$5:$D$3004,1)),INDEX('AH History'!$E$1:$E$18046,AH!$P$7+466))),NA()),NA())</ns0:f>
        <ns0:v/>
      </ns0:c>
      <ns0:c r="G471">
        <ns0:f>IFERROR(IF(ISNUMBER($A471),IF(AND(AH!$P$10=1,AH!$P$12=1,$A471=TODAY()),IF(AND(AH!$P$10=1,AH!$P$12=1,$A471=TODAY()),TODAY(),NA()),IF(AH!$P$10=1,INDEX('Live History'!$G$5:$G$3004,MATCH($A471,'Live History'!$G$5:$G$3004,1)),INDEX('AH History'!$F$1:$F$18046,AH!$P$7+466))),NA()),NA())</ns0:f>
        <ns0:v/>
      </ns0:c>
      <ns0:c r="H471">
        <ns0:f>IFERROR(IF(AND(AH!$E$4="Bloomberg",AH!$P$10=1,ISNUMBER($A471),$A471&lt;=AH!$P$17),AH!$P$7-1+MATCH($A471,INDEX('AH History'!$A$1:$A$18046,AH!$P$7):INDEX('AH History'!$A$1:$A$18046,AH!$P$7+AH!$P$8-1),0),0),0)</ns0:f>
        <ns0:v/>
      </ns0:c>
      <ns0:c r="I471">
        <ns0:f>IF($H471=0,0,IFERROR(IF(AND(ABS($C471-INDEX('AH History'!$B$1:$B$18046,$H471))&lt;=MAX(0.005,ABS(INDEX('AH History'!$B$1:$B$18046,$H471))*0.00005),ABS($D471-INDEX('AH History'!$C$1:$C$18046,$H471))&lt;=MAX(0.005,ABS(INDEX('AH History'!$C$1:$C$18046,$H471))*0.00005),ABS($E471-INDEX('AH History'!$D$1:$D$18046,$H471))&lt;=0.00005,$F471=INDEX('AH History'!$E$1:$E$18046,$H471),$G471=INDEX('AH History'!$F$1:$F$18046,$H471)),1,-1),-1))</ns0:f>
        <ns0:v/>
      </ns0:c>
    </ns0:row>
    <ns0:row r="472">
      <ns0:c r="A472" s="215">
        <ns0:f>IF(OR(AH!$P$3=0,467+1&gt;AH!$P$11,AND(AH!$E$4&lt;&gt;"Stored",AH!$P$10&lt;&gt;1)),"",IFERROR(IF(AND(AH!$P$21=1,467+1=AH!$P$11),TODAY(),IF(AH!$P$10=1,INDEX('Live History'!$A$5:$A$3004,AH!$P$13+467),INDEX('AH History'!$A$1:$A$18046,AH!$P$7+467))),""))</ns0:f>
        <ns0:v/>
      </ns0:c>
      <ns0:c r="B472" s="219">
        <ns0:f>IFERROR(IF(AND(AH!$P$9&lt;&gt;1,$C472&gt;0,$D472&gt;0,$E472&gt;0,$F472&gt;0,$G472&gt;0,$F472&lt;=$A472,$G472&lt;=$A472,$A472-$F472&lt;=10,$A472-$G472&lt;=5),$D472*$E472/$C472-1,NA()),NA())</ns0:f>
        <ns0:v/>
      </ns0:c>
      <ns0:c r="C472">
        <ns0:f>IFERROR(IF(ISNUMBER($A472),IF(AND(AH!$P$10=1,AH!$P$12=1,$A472=TODAY()),AH!$P$19,IF(AH!$P$10=1,INDEX('Live History'!$B$5:$B$3004,AH!$P$13+467),INDEX('AH History'!$B$1:$B$18046,AH!$P$7+467))),NA()),NA())</ns0:f>
        <ns0:v/>
      </ns0:c>
      <ns0:c r="D472">
        <ns0:f>IFERROR(IF(ISNUMBER($A472),IF(AND(AH!$P$10=1,AH!$P$12=1,$A472=TODAY()),AH!$P$18,IF(AH!$P$10=1,INDEX('Live History'!$E$5:$E$3004,MATCH($A472,'Live History'!$D$5:$D$3004,1)),INDEX('AH History'!$C$1:$C$18046,AH!$P$7+467))),NA()),NA())</ns0:f>
        <ns0:v/>
      </ns0:c>
      <ns0:c r="E472">
        <ns0:f>IFERROR(IF(ISNUMBER($A472),IF(AND(AH!$P$10=1,AH!$P$12=1,$A472=TODAY()),AH!$P$20,IF(AH!$P$10=1,INDEX('Live History'!$H$5:$H$3004,MATCH($A472,'Live History'!$G$5:$G$3004,1)),INDEX('AH History'!$D$1:$D$18046,AH!$P$7+467))),NA()),NA())</ns0:f>
        <ns0:v/>
      </ns0:c>
      <ns0:c r="F472">
        <ns0:f>IFERROR(IF(ISNUMBER($A472),IF(AND(AH!$P$10=1,AH!$P$12=1,$A472=TODAY()),IF(AND(AH!$P$10=1,AH!$P$12=1,$A472=TODAY()),TODAY(),NA()),IF(AH!$P$10=1,INDEX('Live History'!$D$5:$D$3004,MATCH($A472,'Live History'!$D$5:$D$3004,1)),INDEX('AH History'!$E$1:$E$18046,AH!$P$7+467))),NA()),NA())</ns0:f>
        <ns0:v/>
      </ns0:c>
      <ns0:c r="G472">
        <ns0:f>IFERROR(IF(ISNUMBER($A472),IF(AND(AH!$P$10=1,AH!$P$12=1,$A472=TODAY()),IF(AND(AH!$P$10=1,AH!$P$12=1,$A472=TODAY()),TODAY(),NA()),IF(AH!$P$10=1,INDEX('Live History'!$G$5:$G$3004,MATCH($A472,'Live History'!$G$5:$G$3004,1)),INDEX('AH History'!$F$1:$F$18046,AH!$P$7+467))),NA()),NA())</ns0:f>
        <ns0:v/>
      </ns0:c>
      <ns0:c r="H472">
        <ns0:f>IFERROR(IF(AND(AH!$E$4="Bloomberg",AH!$P$10=1,ISNUMBER($A472),$A472&lt;=AH!$P$17),AH!$P$7-1+MATCH($A472,INDEX('AH History'!$A$1:$A$18046,AH!$P$7):INDEX('AH History'!$A$1:$A$18046,AH!$P$7+AH!$P$8-1),0),0),0)</ns0:f>
        <ns0:v/>
      </ns0:c>
      <ns0:c r="I472">
        <ns0:f>IF($H472=0,0,IFERROR(IF(AND(ABS($C472-INDEX('AH History'!$B$1:$B$18046,$H472))&lt;=MAX(0.005,ABS(INDEX('AH History'!$B$1:$B$18046,$H472))*0.00005),ABS($D472-INDEX('AH History'!$C$1:$C$18046,$H472))&lt;=MAX(0.005,ABS(INDEX('AH History'!$C$1:$C$18046,$H472))*0.00005),ABS($E472-INDEX('AH History'!$D$1:$D$18046,$H472))&lt;=0.00005,$F472=INDEX('AH History'!$E$1:$E$18046,$H472),$G472=INDEX('AH History'!$F$1:$F$18046,$H472)),1,-1),-1))</ns0:f>
        <ns0:v/>
      </ns0:c>
    </ns0:row>
    <ns0:row r="473">
      <ns0:c r="A473" s="215">
        <ns0:f>IF(OR(AH!$P$3=0,468+1&gt;AH!$P$11,AND(AH!$E$4&lt;&gt;"Stored",AH!$P$10&lt;&gt;1)),"",IFERROR(IF(AND(AH!$P$21=1,468+1=AH!$P$11),TODAY(),IF(AH!$P$10=1,INDEX('Live History'!$A$5:$A$3004,AH!$P$13+468),INDEX('AH History'!$A$1:$A$18046,AH!$P$7+468))),""))</ns0:f>
        <ns0:v/>
      </ns0:c>
      <ns0:c r="B473" s="219">
        <ns0:f>IFERROR(IF(AND(AH!$P$9&lt;&gt;1,$C473&gt;0,$D473&gt;0,$E473&gt;0,$F473&gt;0,$G473&gt;0,$F473&lt;=$A473,$G473&lt;=$A473,$A473-$F473&lt;=10,$A473-$G473&lt;=5),$D473*$E473/$C473-1,NA()),NA())</ns0:f>
        <ns0:v/>
      </ns0:c>
      <ns0:c r="C473">
        <ns0:f>IFERROR(IF(ISNUMBER($A473),IF(AND(AH!$P$10=1,AH!$P$12=1,$A473=TODAY()),AH!$P$19,IF(AH!$P$10=1,INDEX('Live History'!$B$5:$B$3004,AH!$P$13+468),INDEX('AH History'!$B$1:$B$18046,AH!$P$7+468))),NA()),NA())</ns0:f>
        <ns0:v/>
      </ns0:c>
      <ns0:c r="D473">
        <ns0:f>IFERROR(IF(ISNUMBER($A473),IF(AND(AH!$P$10=1,AH!$P$12=1,$A473=TODAY()),AH!$P$18,IF(AH!$P$10=1,INDEX('Live History'!$E$5:$E$3004,MATCH($A473,'Live History'!$D$5:$D$3004,1)),INDEX('AH History'!$C$1:$C$18046,AH!$P$7+468))),NA()),NA())</ns0:f>
        <ns0:v/>
      </ns0:c>
      <ns0:c r="E473">
        <ns0:f>IFERROR(IF(ISNUMBER($A473),IF(AND(AH!$P$10=1,AH!$P$12=1,$A473=TODAY()),AH!$P$20,IF(AH!$P$10=1,INDEX('Live History'!$H$5:$H$3004,MATCH($A473,'Live History'!$G$5:$G$3004,1)),INDEX('AH History'!$D$1:$D$18046,AH!$P$7+468))),NA()),NA())</ns0:f>
        <ns0:v/>
      </ns0:c>
      <ns0:c r="F473">
        <ns0:f>IFERROR(IF(ISNUMBER($A473),IF(AND(AH!$P$10=1,AH!$P$12=1,$A473=TODAY()),IF(AND(AH!$P$10=1,AH!$P$12=1,$A473=TODAY()),TODAY(),NA()),IF(AH!$P$10=1,INDEX('Live History'!$D$5:$D$3004,MATCH($A473,'Live History'!$D$5:$D$3004,1)),INDEX('AH History'!$E$1:$E$18046,AH!$P$7+468))),NA()),NA())</ns0:f>
        <ns0:v/>
      </ns0:c>
      <ns0:c r="G473">
        <ns0:f>IFERROR(IF(ISNUMBER($A473),IF(AND(AH!$P$10=1,AH!$P$12=1,$A473=TODAY()),IF(AND(AH!$P$10=1,AH!$P$12=1,$A473=TODAY()),TODAY(),NA()),IF(AH!$P$10=1,INDEX('Live History'!$G$5:$G$3004,MATCH($A473,'Live History'!$G$5:$G$3004,1)),INDEX('AH History'!$F$1:$F$18046,AH!$P$7+468))),NA()),NA())</ns0:f>
        <ns0:v/>
      </ns0:c>
      <ns0:c r="H473">
        <ns0:f>IFERROR(IF(AND(AH!$E$4="Bloomberg",AH!$P$10=1,ISNUMBER($A473),$A473&lt;=AH!$P$17),AH!$P$7-1+MATCH($A473,INDEX('AH History'!$A$1:$A$18046,AH!$P$7):INDEX('AH History'!$A$1:$A$18046,AH!$P$7+AH!$P$8-1),0),0),0)</ns0:f>
        <ns0:v/>
      </ns0:c>
      <ns0:c r="I473">
        <ns0:f>IF($H473=0,0,IFERROR(IF(AND(ABS($C473-INDEX('AH History'!$B$1:$B$18046,$H473))&lt;=MAX(0.005,ABS(INDEX('AH History'!$B$1:$B$18046,$H473))*0.00005),ABS($D473-INDEX('AH History'!$C$1:$C$18046,$H473))&lt;=MAX(0.005,ABS(INDEX('AH History'!$C$1:$C$18046,$H473))*0.00005),ABS($E473-INDEX('AH History'!$D$1:$D$18046,$H473))&lt;=0.00005,$F473=INDEX('AH History'!$E$1:$E$18046,$H473),$G473=INDEX('AH History'!$F$1:$F$18046,$H473)),1,-1),-1))</ns0:f>
        <ns0:v/>
      </ns0:c>
    </ns0:row>
    <ns0:row r="474">
      <ns0:c r="A474" s="215">
        <ns0:f>IF(OR(AH!$P$3=0,469+1&gt;AH!$P$11,AND(AH!$E$4&lt;&gt;"Stored",AH!$P$10&lt;&gt;1)),"",IFERROR(IF(AND(AH!$P$21=1,469+1=AH!$P$11),TODAY(),IF(AH!$P$10=1,INDEX('Live History'!$A$5:$A$3004,AH!$P$13+469),INDEX('AH History'!$A$1:$A$18046,AH!$P$7+469))),""))</ns0:f>
        <ns0:v/>
      </ns0:c>
      <ns0:c r="B474" s="219">
        <ns0:f>IFERROR(IF(AND(AH!$P$9&lt;&gt;1,$C474&gt;0,$D474&gt;0,$E474&gt;0,$F474&gt;0,$G474&gt;0,$F474&lt;=$A474,$G474&lt;=$A474,$A474-$F474&lt;=10,$A474-$G474&lt;=5),$D474*$E474/$C474-1,NA()),NA())</ns0:f>
        <ns0:v/>
      </ns0:c>
      <ns0:c r="C474">
        <ns0:f>IFERROR(IF(ISNUMBER($A474),IF(AND(AH!$P$10=1,AH!$P$12=1,$A474=TODAY()),AH!$P$19,IF(AH!$P$10=1,INDEX('Live History'!$B$5:$B$3004,AH!$P$13+469),INDEX('AH History'!$B$1:$B$18046,AH!$P$7+469))),NA()),NA())</ns0:f>
        <ns0:v/>
      </ns0:c>
      <ns0:c r="D474">
        <ns0:f>IFERROR(IF(ISNUMBER($A474),IF(AND(AH!$P$10=1,AH!$P$12=1,$A474=TODAY()),AH!$P$18,IF(AH!$P$10=1,INDEX('Live History'!$E$5:$E$3004,MATCH($A474,'Live History'!$D$5:$D$3004,1)),INDEX('AH History'!$C$1:$C$18046,AH!$P$7+469))),NA()),NA())</ns0:f>
        <ns0:v/>
      </ns0:c>
      <ns0:c r="E474">
        <ns0:f>IFERROR(IF(ISNUMBER($A474),IF(AND(AH!$P$10=1,AH!$P$12=1,$A474=TODAY()),AH!$P$20,IF(AH!$P$10=1,INDEX('Live History'!$H$5:$H$3004,MATCH($A474,'Live History'!$G$5:$G$3004,1)),INDEX('AH History'!$D$1:$D$18046,AH!$P$7+469))),NA()),NA())</ns0:f>
        <ns0:v/>
      </ns0:c>
      <ns0:c r="F474">
        <ns0:f>IFERROR(IF(ISNUMBER($A474),IF(AND(AH!$P$10=1,AH!$P$12=1,$A474=TODAY()),IF(AND(AH!$P$10=1,AH!$P$12=1,$A474=TODAY()),TODAY(),NA()),IF(AH!$P$10=1,INDEX('Live History'!$D$5:$D$3004,MATCH($A474,'Live History'!$D$5:$D$3004,1)),INDEX('AH History'!$E$1:$E$18046,AH!$P$7+469))),NA()),NA())</ns0:f>
        <ns0:v/>
      </ns0:c>
      <ns0:c r="G474">
        <ns0:f>IFERROR(IF(ISNUMBER($A474),IF(AND(AH!$P$10=1,AH!$P$12=1,$A474=TODAY()),IF(AND(AH!$P$10=1,AH!$P$12=1,$A474=TODAY()),TODAY(),NA()),IF(AH!$P$10=1,INDEX('Live History'!$G$5:$G$3004,MATCH($A474,'Live History'!$G$5:$G$3004,1)),INDEX('AH History'!$F$1:$F$18046,AH!$P$7+469))),NA()),NA())</ns0:f>
        <ns0:v/>
      </ns0:c>
      <ns0:c r="H474">
        <ns0:f>IFERROR(IF(AND(AH!$E$4="Bloomberg",AH!$P$10=1,ISNUMBER($A474),$A474&lt;=AH!$P$17),AH!$P$7-1+MATCH($A474,INDEX('AH History'!$A$1:$A$18046,AH!$P$7):INDEX('AH History'!$A$1:$A$18046,AH!$P$7+AH!$P$8-1),0),0),0)</ns0:f>
        <ns0:v/>
      </ns0:c>
      <ns0:c r="I474">
        <ns0:f>IF($H474=0,0,IFERROR(IF(AND(ABS($C474-INDEX('AH History'!$B$1:$B$18046,$H474))&lt;=MAX(0.005,ABS(INDEX('AH History'!$B$1:$B$18046,$H474))*0.00005),ABS($D474-INDEX('AH History'!$C$1:$C$18046,$H474))&lt;=MAX(0.005,ABS(INDEX('AH History'!$C$1:$C$18046,$H474))*0.00005),ABS($E474-INDEX('AH History'!$D$1:$D$18046,$H474))&lt;=0.00005,$F474=INDEX('AH History'!$E$1:$E$18046,$H474),$G474=INDEX('AH History'!$F$1:$F$18046,$H474)),1,-1),-1))</ns0:f>
        <ns0:v/>
      </ns0:c>
    </ns0:row>
    <ns0:row r="475">
      <ns0:c r="A475" s="215">
        <ns0:f>IF(OR(AH!$P$3=0,470+1&gt;AH!$P$11,AND(AH!$E$4&lt;&gt;"Stored",AH!$P$10&lt;&gt;1)),"",IFERROR(IF(AND(AH!$P$21=1,470+1=AH!$P$11),TODAY(),IF(AH!$P$10=1,INDEX('Live History'!$A$5:$A$3004,AH!$P$13+470),INDEX('AH History'!$A$1:$A$18046,AH!$P$7+470))),""))</ns0:f>
        <ns0:v/>
      </ns0:c>
      <ns0:c r="B475" s="219">
        <ns0:f>IFERROR(IF(AND(AH!$P$9&lt;&gt;1,$C475&gt;0,$D475&gt;0,$E475&gt;0,$F475&gt;0,$G475&gt;0,$F475&lt;=$A475,$G475&lt;=$A475,$A475-$F475&lt;=10,$A475-$G475&lt;=5),$D475*$E475/$C475-1,NA()),NA())</ns0:f>
        <ns0:v/>
      </ns0:c>
      <ns0:c r="C475">
        <ns0:f>IFERROR(IF(ISNUMBER($A475),IF(AND(AH!$P$10=1,AH!$P$12=1,$A475=TODAY()),AH!$P$19,IF(AH!$P$10=1,INDEX('Live History'!$B$5:$B$3004,AH!$P$13+470),INDEX('AH History'!$B$1:$B$18046,AH!$P$7+470))),NA()),NA())</ns0:f>
        <ns0:v/>
      </ns0:c>
      <ns0:c r="D475">
        <ns0:f>IFERROR(IF(ISNUMBER($A475),IF(AND(AH!$P$10=1,AH!$P$12=1,$A475=TODAY()),AH!$P$18,IF(AH!$P$10=1,INDEX('Live History'!$E$5:$E$3004,MATCH($A475,'Live History'!$D$5:$D$3004,1)),INDEX('AH History'!$C$1:$C$18046,AH!$P$7+470))),NA()),NA())</ns0:f>
        <ns0:v/>
      </ns0:c>
      <ns0:c r="E475">
        <ns0:f>IFERROR(IF(ISNUMBER($A475),IF(AND(AH!$P$10=1,AH!$P$12=1,$A475=TODAY()),AH!$P$20,IF(AH!$P$10=1,INDEX('Live History'!$H$5:$H$3004,MATCH($A475,'Live History'!$G$5:$G$3004,1)),INDEX('AH History'!$D$1:$D$18046,AH!$P$7+470))),NA()),NA())</ns0:f>
        <ns0:v/>
      </ns0:c>
      <ns0:c r="F475">
        <ns0:f>IFERROR(IF(ISNUMBER($A475),IF(AND(AH!$P$10=1,AH!$P$12=1,$A475=TODAY()),IF(AND(AH!$P$10=1,AH!$P$12=1,$A475=TODAY()),TODAY(),NA()),IF(AH!$P$10=1,INDEX('Live History'!$D$5:$D$3004,MATCH($A475,'Live History'!$D$5:$D$3004,1)),INDEX('AH History'!$E$1:$E$18046,AH!$P$7+470))),NA()),NA())</ns0:f>
        <ns0:v/>
      </ns0:c>
      <ns0:c r="G475">
        <ns0:f>IFERROR(IF(ISNUMBER($A475),IF(AND(AH!$P$10=1,AH!$P$12=1,$A475=TODAY()),IF(AND(AH!$P$10=1,AH!$P$12=1,$A475=TODAY()),TODAY(),NA()),IF(AH!$P$10=1,INDEX('Live History'!$G$5:$G$3004,MATCH($A475,'Live History'!$G$5:$G$3004,1)),INDEX('AH History'!$F$1:$F$18046,AH!$P$7+470))),NA()),NA())</ns0:f>
        <ns0:v/>
      </ns0:c>
      <ns0:c r="H475">
        <ns0:f>IFERROR(IF(AND(AH!$E$4="Bloomberg",AH!$P$10=1,ISNUMBER($A475),$A475&lt;=AH!$P$17),AH!$P$7-1+MATCH($A475,INDEX('AH History'!$A$1:$A$18046,AH!$P$7):INDEX('AH History'!$A$1:$A$18046,AH!$P$7+AH!$P$8-1),0),0),0)</ns0:f>
        <ns0:v/>
      </ns0:c>
      <ns0:c r="I475">
        <ns0:f>IF($H475=0,0,IFERROR(IF(AND(ABS($C475-INDEX('AH History'!$B$1:$B$18046,$H475))&lt;=MAX(0.005,ABS(INDEX('AH History'!$B$1:$B$18046,$H475))*0.00005),ABS($D475-INDEX('AH History'!$C$1:$C$18046,$H475))&lt;=MAX(0.005,ABS(INDEX('AH History'!$C$1:$C$18046,$H475))*0.00005),ABS($E475-INDEX('AH History'!$D$1:$D$18046,$H475))&lt;=0.00005,$F475=INDEX('AH History'!$E$1:$E$18046,$H475),$G475=INDEX('AH History'!$F$1:$F$18046,$H475)),1,-1),-1))</ns0:f>
        <ns0:v/>
      </ns0:c>
    </ns0:row>
    <ns0:row r="476">
      <ns0:c r="A476" s="215">
        <ns0:f>IF(OR(AH!$P$3=0,471+1&gt;AH!$P$11,AND(AH!$E$4&lt;&gt;"Stored",AH!$P$10&lt;&gt;1)),"",IFERROR(IF(AND(AH!$P$21=1,471+1=AH!$P$11),TODAY(),IF(AH!$P$10=1,INDEX('Live History'!$A$5:$A$3004,AH!$P$13+471),INDEX('AH History'!$A$1:$A$18046,AH!$P$7+471))),""))</ns0:f>
        <ns0:v/>
      </ns0:c>
      <ns0:c r="B476" s="219">
        <ns0:f>IFERROR(IF(AND(AH!$P$9&lt;&gt;1,$C476&gt;0,$D476&gt;0,$E476&gt;0,$F476&gt;0,$G476&gt;0,$F476&lt;=$A476,$G476&lt;=$A476,$A476-$F476&lt;=10,$A476-$G476&lt;=5),$D476*$E476/$C476-1,NA()),NA())</ns0:f>
        <ns0:v/>
      </ns0:c>
      <ns0:c r="C476">
        <ns0:f>IFERROR(IF(ISNUMBER($A476),IF(AND(AH!$P$10=1,AH!$P$12=1,$A476=TODAY()),AH!$P$19,IF(AH!$P$10=1,INDEX('Live History'!$B$5:$B$3004,AH!$P$13+471),INDEX('AH History'!$B$1:$B$18046,AH!$P$7+471))),NA()),NA())</ns0:f>
        <ns0:v/>
      </ns0:c>
      <ns0:c r="D476">
        <ns0:f>IFERROR(IF(ISNUMBER($A476),IF(AND(AH!$P$10=1,AH!$P$12=1,$A476=TODAY()),AH!$P$18,IF(AH!$P$10=1,INDEX('Live History'!$E$5:$E$3004,MATCH($A476,'Live History'!$D$5:$D$3004,1)),INDEX('AH History'!$C$1:$C$18046,AH!$P$7+471))),NA()),NA())</ns0:f>
        <ns0:v/>
      </ns0:c>
      <ns0:c r="E476">
        <ns0:f>IFERROR(IF(ISNUMBER($A476),IF(AND(AH!$P$10=1,AH!$P$12=1,$A476=TODAY()),AH!$P$20,IF(AH!$P$10=1,INDEX('Live History'!$H$5:$H$3004,MATCH($A476,'Live History'!$G$5:$G$3004,1)),INDEX('AH History'!$D$1:$D$18046,AH!$P$7+471))),NA()),NA())</ns0:f>
        <ns0:v/>
      </ns0:c>
      <ns0:c r="F476">
        <ns0:f>IFERROR(IF(ISNUMBER($A476),IF(AND(AH!$P$10=1,AH!$P$12=1,$A476=TODAY()),IF(AND(AH!$P$10=1,AH!$P$12=1,$A476=TODAY()),TODAY(),NA()),IF(AH!$P$10=1,INDEX('Live History'!$D$5:$D$3004,MATCH($A476,'Live History'!$D$5:$D$3004,1)),INDEX('AH History'!$E$1:$E$18046,AH!$P$7+471))),NA()),NA())</ns0:f>
        <ns0:v/>
      </ns0:c>
      <ns0:c r="G476">
        <ns0:f>IFERROR(IF(ISNUMBER($A476),IF(AND(AH!$P$10=1,AH!$P$12=1,$A476=TODAY()),IF(AND(AH!$P$10=1,AH!$P$12=1,$A476=TODAY()),TODAY(),NA()),IF(AH!$P$10=1,INDEX('Live History'!$G$5:$G$3004,MATCH($A476,'Live History'!$G$5:$G$3004,1)),INDEX('AH History'!$F$1:$F$18046,AH!$P$7+471))),NA()),NA())</ns0:f>
        <ns0:v/>
      </ns0:c>
      <ns0:c r="H476">
        <ns0:f>IFERROR(IF(AND(AH!$E$4="Bloomberg",AH!$P$10=1,ISNUMBER($A476),$A476&lt;=AH!$P$17),AH!$P$7-1+MATCH($A476,INDEX('AH History'!$A$1:$A$18046,AH!$P$7):INDEX('AH History'!$A$1:$A$18046,AH!$P$7+AH!$P$8-1),0),0),0)</ns0:f>
        <ns0:v/>
      </ns0:c>
      <ns0:c r="I476">
        <ns0:f>IF($H476=0,0,IFERROR(IF(AND(ABS($C476-INDEX('AH History'!$B$1:$B$18046,$H476))&lt;=MAX(0.005,ABS(INDEX('AH History'!$B$1:$B$18046,$H476))*0.00005),ABS($D476-INDEX('AH History'!$C$1:$C$18046,$H476))&lt;=MAX(0.005,ABS(INDEX('AH History'!$C$1:$C$18046,$H476))*0.00005),ABS($E476-INDEX('AH History'!$D$1:$D$18046,$H476))&lt;=0.00005,$F476=INDEX('AH History'!$E$1:$E$18046,$H476),$G476=INDEX('AH History'!$F$1:$F$18046,$H476)),1,-1),-1))</ns0:f>
        <ns0:v/>
      </ns0:c>
    </ns0:row>
    <ns0:row r="477">
      <ns0:c r="A477" s="215">
        <ns0:f>IF(OR(AH!$P$3=0,472+1&gt;AH!$P$11,AND(AH!$E$4&lt;&gt;"Stored",AH!$P$10&lt;&gt;1)),"",IFERROR(IF(AND(AH!$P$21=1,472+1=AH!$P$11),TODAY(),IF(AH!$P$10=1,INDEX('Live History'!$A$5:$A$3004,AH!$P$13+472),INDEX('AH History'!$A$1:$A$18046,AH!$P$7+472))),""))</ns0:f>
        <ns0:v/>
      </ns0:c>
      <ns0:c r="B477" s="219">
        <ns0:f>IFERROR(IF(AND(AH!$P$9&lt;&gt;1,$C477&gt;0,$D477&gt;0,$E477&gt;0,$F477&gt;0,$G477&gt;0,$F477&lt;=$A477,$G477&lt;=$A477,$A477-$F477&lt;=10,$A477-$G477&lt;=5),$D477*$E477/$C477-1,NA()),NA())</ns0:f>
        <ns0:v/>
      </ns0:c>
      <ns0:c r="C477">
        <ns0:f>IFERROR(IF(ISNUMBER($A477),IF(AND(AH!$P$10=1,AH!$P$12=1,$A477=TODAY()),AH!$P$19,IF(AH!$P$10=1,INDEX('Live History'!$B$5:$B$3004,AH!$P$13+472),INDEX('AH History'!$B$1:$B$18046,AH!$P$7+472))),NA()),NA())</ns0:f>
        <ns0:v/>
      </ns0:c>
      <ns0:c r="D477">
        <ns0:f>IFERROR(IF(ISNUMBER($A477),IF(AND(AH!$P$10=1,AH!$P$12=1,$A477=TODAY()),AH!$P$18,IF(AH!$P$10=1,INDEX('Live History'!$E$5:$E$3004,MATCH($A477,'Live History'!$D$5:$D$3004,1)),INDEX('AH History'!$C$1:$C$18046,AH!$P$7+472))),NA()),NA())</ns0:f>
        <ns0:v/>
      </ns0:c>
      <ns0:c r="E477">
        <ns0:f>IFERROR(IF(ISNUMBER($A477),IF(AND(AH!$P$10=1,AH!$P$12=1,$A477=TODAY()),AH!$P$20,IF(AH!$P$10=1,INDEX('Live History'!$H$5:$H$3004,MATCH($A477,'Live History'!$G$5:$G$3004,1)),INDEX('AH History'!$D$1:$D$18046,AH!$P$7+472))),NA()),NA())</ns0:f>
        <ns0:v/>
      </ns0:c>
      <ns0:c r="F477">
        <ns0:f>IFERROR(IF(ISNUMBER($A477),IF(AND(AH!$P$10=1,AH!$P$12=1,$A477=TODAY()),IF(AND(AH!$P$10=1,AH!$P$12=1,$A477=TODAY()),TODAY(),NA()),IF(AH!$P$10=1,INDEX('Live History'!$D$5:$D$3004,MATCH($A477,'Live History'!$D$5:$D$3004,1)),INDEX('AH History'!$E$1:$E$18046,AH!$P$7+472))),NA()),NA())</ns0:f>
        <ns0:v/>
      </ns0:c>
      <ns0:c r="G477">
        <ns0:f>IFERROR(IF(ISNUMBER($A477),IF(AND(AH!$P$10=1,AH!$P$12=1,$A477=TODAY()),IF(AND(AH!$P$10=1,AH!$P$12=1,$A477=TODAY()),TODAY(),NA()),IF(AH!$P$10=1,INDEX('Live History'!$G$5:$G$3004,MATCH($A477,'Live History'!$G$5:$G$3004,1)),INDEX('AH History'!$F$1:$F$18046,AH!$P$7+472))),NA()),NA())</ns0:f>
        <ns0:v/>
      </ns0:c>
      <ns0:c r="H477">
        <ns0:f>IFERROR(IF(AND(AH!$E$4="Bloomberg",AH!$P$10=1,ISNUMBER($A477),$A477&lt;=AH!$P$17),AH!$P$7-1+MATCH($A477,INDEX('AH History'!$A$1:$A$18046,AH!$P$7):INDEX('AH History'!$A$1:$A$18046,AH!$P$7+AH!$P$8-1),0),0),0)</ns0:f>
        <ns0:v/>
      </ns0:c>
      <ns0:c r="I477">
        <ns0:f>IF($H477=0,0,IFERROR(IF(AND(ABS($C477-INDEX('AH History'!$B$1:$B$18046,$H477))&lt;=MAX(0.005,ABS(INDEX('AH History'!$B$1:$B$18046,$H477))*0.00005),ABS($D477-INDEX('AH History'!$C$1:$C$18046,$H477))&lt;=MAX(0.005,ABS(INDEX('AH History'!$C$1:$C$18046,$H477))*0.00005),ABS($E477-INDEX('AH History'!$D$1:$D$18046,$H477))&lt;=0.00005,$F477=INDEX('AH History'!$E$1:$E$18046,$H477),$G477=INDEX('AH History'!$F$1:$F$18046,$H477)),1,-1),-1))</ns0:f>
        <ns0:v/>
      </ns0:c>
    </ns0:row>
    <ns0:row r="478">
      <ns0:c r="A478" s="215">
        <ns0:f>IF(OR(AH!$P$3=0,473+1&gt;AH!$P$11,AND(AH!$E$4&lt;&gt;"Stored",AH!$P$10&lt;&gt;1)),"",IFERROR(IF(AND(AH!$P$21=1,473+1=AH!$P$11),TODAY(),IF(AH!$P$10=1,INDEX('Live History'!$A$5:$A$3004,AH!$P$13+473),INDEX('AH History'!$A$1:$A$18046,AH!$P$7+473))),""))</ns0:f>
        <ns0:v/>
      </ns0:c>
      <ns0:c r="B478" s="219">
        <ns0:f>IFERROR(IF(AND(AH!$P$9&lt;&gt;1,$C478&gt;0,$D478&gt;0,$E478&gt;0,$F478&gt;0,$G478&gt;0,$F478&lt;=$A478,$G478&lt;=$A478,$A478-$F478&lt;=10,$A478-$G478&lt;=5),$D478*$E478/$C478-1,NA()),NA())</ns0:f>
        <ns0:v/>
      </ns0:c>
      <ns0:c r="C478">
        <ns0:f>IFERROR(IF(ISNUMBER($A478),IF(AND(AH!$P$10=1,AH!$P$12=1,$A478=TODAY()),AH!$P$19,IF(AH!$P$10=1,INDEX('Live History'!$B$5:$B$3004,AH!$P$13+473),INDEX('AH History'!$B$1:$B$18046,AH!$P$7+473))),NA()),NA())</ns0:f>
        <ns0:v/>
      </ns0:c>
      <ns0:c r="D478">
        <ns0:f>IFERROR(IF(ISNUMBER($A478),IF(AND(AH!$P$10=1,AH!$P$12=1,$A478=TODAY()),AH!$P$18,IF(AH!$P$10=1,INDEX('Live History'!$E$5:$E$3004,MATCH($A478,'Live History'!$D$5:$D$3004,1)),INDEX('AH History'!$C$1:$C$18046,AH!$P$7+473))),NA()),NA())</ns0:f>
        <ns0:v/>
      </ns0:c>
      <ns0:c r="E478">
        <ns0:f>IFERROR(IF(ISNUMBER($A478),IF(AND(AH!$P$10=1,AH!$P$12=1,$A478=TODAY()),AH!$P$20,IF(AH!$P$10=1,INDEX('Live History'!$H$5:$H$3004,MATCH($A478,'Live History'!$G$5:$G$3004,1)),INDEX('AH History'!$D$1:$D$18046,AH!$P$7+473))),NA()),NA())</ns0:f>
        <ns0:v/>
      </ns0:c>
      <ns0:c r="F478">
        <ns0:f>IFERROR(IF(ISNUMBER($A478),IF(AND(AH!$P$10=1,AH!$P$12=1,$A478=TODAY()),IF(AND(AH!$P$10=1,AH!$P$12=1,$A478=TODAY()),TODAY(),NA()),IF(AH!$P$10=1,INDEX('Live History'!$D$5:$D$3004,MATCH($A478,'Live History'!$D$5:$D$3004,1)),INDEX('AH History'!$E$1:$E$18046,AH!$P$7+473))),NA()),NA())</ns0:f>
        <ns0:v/>
      </ns0:c>
      <ns0:c r="G478">
        <ns0:f>IFERROR(IF(ISNUMBER($A478),IF(AND(AH!$P$10=1,AH!$P$12=1,$A478=TODAY()),IF(AND(AH!$P$10=1,AH!$P$12=1,$A478=TODAY()),TODAY(),NA()),IF(AH!$P$10=1,INDEX('Live History'!$G$5:$G$3004,MATCH($A478,'Live History'!$G$5:$G$3004,1)),INDEX('AH History'!$F$1:$F$18046,AH!$P$7+473))),NA()),NA())</ns0:f>
        <ns0:v/>
      </ns0:c>
      <ns0:c r="H478">
        <ns0:f>IFERROR(IF(AND(AH!$E$4="Bloomberg",AH!$P$10=1,ISNUMBER($A478),$A478&lt;=AH!$P$17),AH!$P$7-1+MATCH($A478,INDEX('AH History'!$A$1:$A$18046,AH!$P$7):INDEX('AH History'!$A$1:$A$18046,AH!$P$7+AH!$P$8-1),0),0),0)</ns0:f>
        <ns0:v/>
      </ns0:c>
      <ns0:c r="I478">
        <ns0:f>IF($H478=0,0,IFERROR(IF(AND(ABS($C478-INDEX('AH History'!$B$1:$B$18046,$H478))&lt;=MAX(0.005,ABS(INDEX('AH History'!$B$1:$B$18046,$H478))*0.00005),ABS($D478-INDEX('AH History'!$C$1:$C$18046,$H478))&lt;=MAX(0.005,ABS(INDEX('AH History'!$C$1:$C$18046,$H478))*0.00005),ABS($E478-INDEX('AH History'!$D$1:$D$18046,$H478))&lt;=0.00005,$F478=INDEX('AH History'!$E$1:$E$18046,$H478),$G478=INDEX('AH History'!$F$1:$F$18046,$H478)),1,-1),-1))</ns0:f>
        <ns0:v/>
      </ns0:c>
    </ns0:row>
    <ns0:row r="479">
      <ns0:c r="A479" s="215">
        <ns0:f>IF(OR(AH!$P$3=0,474+1&gt;AH!$P$11,AND(AH!$E$4&lt;&gt;"Stored",AH!$P$10&lt;&gt;1)),"",IFERROR(IF(AND(AH!$P$21=1,474+1=AH!$P$11),TODAY(),IF(AH!$P$10=1,INDEX('Live History'!$A$5:$A$3004,AH!$P$13+474),INDEX('AH History'!$A$1:$A$18046,AH!$P$7+474))),""))</ns0:f>
        <ns0:v/>
      </ns0:c>
      <ns0:c r="B479" s="219">
        <ns0:f>IFERROR(IF(AND(AH!$P$9&lt;&gt;1,$C479&gt;0,$D479&gt;0,$E479&gt;0,$F479&gt;0,$G479&gt;0,$F479&lt;=$A479,$G479&lt;=$A479,$A479-$F479&lt;=10,$A479-$G479&lt;=5),$D479*$E479/$C479-1,NA()),NA())</ns0:f>
        <ns0:v/>
      </ns0:c>
      <ns0:c r="C479">
        <ns0:f>IFERROR(IF(ISNUMBER($A479),IF(AND(AH!$P$10=1,AH!$P$12=1,$A479=TODAY()),AH!$P$19,IF(AH!$P$10=1,INDEX('Live History'!$B$5:$B$3004,AH!$P$13+474),INDEX('AH History'!$B$1:$B$18046,AH!$P$7+474))),NA()),NA())</ns0:f>
        <ns0:v/>
      </ns0:c>
      <ns0:c r="D479">
        <ns0:f>IFERROR(IF(ISNUMBER($A479),IF(AND(AH!$P$10=1,AH!$P$12=1,$A479=TODAY()),AH!$P$18,IF(AH!$P$10=1,INDEX('Live History'!$E$5:$E$3004,MATCH($A479,'Live History'!$D$5:$D$3004,1)),INDEX('AH History'!$C$1:$C$18046,AH!$P$7+474))),NA()),NA())</ns0:f>
        <ns0:v/>
      </ns0:c>
      <ns0:c r="E479">
        <ns0:f>IFERROR(IF(ISNUMBER($A479),IF(AND(AH!$P$10=1,AH!$P$12=1,$A479=TODAY()),AH!$P$20,IF(AH!$P$10=1,INDEX('Live History'!$H$5:$H$3004,MATCH($A479,'Live History'!$G$5:$G$3004,1)),INDEX('AH History'!$D$1:$D$18046,AH!$P$7+474))),NA()),NA())</ns0:f>
        <ns0:v/>
      </ns0:c>
      <ns0:c r="F479">
        <ns0:f>IFERROR(IF(ISNUMBER($A479),IF(AND(AH!$P$10=1,AH!$P$12=1,$A479=TODAY()),IF(AND(AH!$P$10=1,AH!$P$12=1,$A479=TODAY()),TODAY(),NA()),IF(AH!$P$10=1,INDEX('Live History'!$D$5:$D$3004,MATCH($A479,'Live History'!$D$5:$D$3004,1)),INDEX('AH History'!$E$1:$E$18046,AH!$P$7+474))),NA()),NA())</ns0:f>
        <ns0:v/>
      </ns0:c>
      <ns0:c r="G479">
        <ns0:f>IFERROR(IF(ISNUMBER($A479),IF(AND(AH!$P$10=1,AH!$P$12=1,$A479=TODAY()),IF(AND(AH!$P$10=1,AH!$P$12=1,$A479=TODAY()),TODAY(),NA()),IF(AH!$P$10=1,INDEX('Live History'!$G$5:$G$3004,MATCH($A479,'Live History'!$G$5:$G$3004,1)),INDEX('AH History'!$F$1:$F$18046,AH!$P$7+474))),NA()),NA())</ns0:f>
        <ns0:v/>
      </ns0:c>
      <ns0:c r="H479">
        <ns0:f>IFERROR(IF(AND(AH!$E$4="Bloomberg",AH!$P$10=1,ISNUMBER($A479),$A479&lt;=AH!$P$17),AH!$P$7-1+MATCH($A479,INDEX('AH History'!$A$1:$A$18046,AH!$P$7):INDEX('AH History'!$A$1:$A$18046,AH!$P$7+AH!$P$8-1),0),0),0)</ns0:f>
        <ns0:v/>
      </ns0:c>
      <ns0:c r="I479">
        <ns0:f>IF($H479=0,0,IFERROR(IF(AND(ABS($C479-INDEX('AH History'!$B$1:$B$18046,$H479))&lt;=MAX(0.005,ABS(INDEX('AH History'!$B$1:$B$18046,$H479))*0.00005),ABS($D479-INDEX('AH History'!$C$1:$C$18046,$H479))&lt;=MAX(0.005,ABS(INDEX('AH History'!$C$1:$C$18046,$H479))*0.00005),ABS($E479-INDEX('AH History'!$D$1:$D$18046,$H479))&lt;=0.00005,$F479=INDEX('AH History'!$E$1:$E$18046,$H479),$G479=INDEX('AH History'!$F$1:$F$18046,$H479)),1,-1),-1))</ns0:f>
        <ns0:v/>
      </ns0:c>
    </ns0:row>
    <ns0:row r="480">
      <ns0:c r="A480" s="215">
        <ns0:f>IF(OR(AH!$P$3=0,475+1&gt;AH!$P$11,AND(AH!$E$4&lt;&gt;"Stored",AH!$P$10&lt;&gt;1)),"",IFERROR(IF(AND(AH!$P$21=1,475+1=AH!$P$11),TODAY(),IF(AH!$P$10=1,INDEX('Live History'!$A$5:$A$3004,AH!$P$13+475),INDEX('AH History'!$A$1:$A$18046,AH!$P$7+475))),""))</ns0:f>
        <ns0:v/>
      </ns0:c>
      <ns0:c r="B480" s="219">
        <ns0:f>IFERROR(IF(AND(AH!$P$9&lt;&gt;1,$C480&gt;0,$D480&gt;0,$E480&gt;0,$F480&gt;0,$G480&gt;0,$F480&lt;=$A480,$G480&lt;=$A480,$A480-$F480&lt;=10,$A480-$G480&lt;=5),$D480*$E480/$C480-1,NA()),NA())</ns0:f>
        <ns0:v/>
      </ns0:c>
      <ns0:c r="C480">
        <ns0:f>IFERROR(IF(ISNUMBER($A480),IF(AND(AH!$P$10=1,AH!$P$12=1,$A480=TODAY()),AH!$P$19,IF(AH!$P$10=1,INDEX('Live History'!$B$5:$B$3004,AH!$P$13+475),INDEX('AH History'!$B$1:$B$18046,AH!$P$7+475))),NA()),NA())</ns0:f>
        <ns0:v/>
      </ns0:c>
      <ns0:c r="D480">
        <ns0:f>IFERROR(IF(ISNUMBER($A480),IF(AND(AH!$P$10=1,AH!$P$12=1,$A480=TODAY()),AH!$P$18,IF(AH!$P$10=1,INDEX('Live History'!$E$5:$E$3004,MATCH($A480,'Live History'!$D$5:$D$3004,1)),INDEX('AH History'!$C$1:$C$18046,AH!$P$7+475))),NA()),NA())</ns0:f>
        <ns0:v/>
      </ns0:c>
      <ns0:c r="E480">
        <ns0:f>IFERROR(IF(ISNUMBER($A480),IF(AND(AH!$P$10=1,AH!$P$12=1,$A480=TODAY()),AH!$P$20,IF(AH!$P$10=1,INDEX('Live History'!$H$5:$H$3004,MATCH($A480,'Live History'!$G$5:$G$3004,1)),INDEX('AH History'!$D$1:$D$18046,AH!$P$7+475))),NA()),NA())</ns0:f>
        <ns0:v/>
      </ns0:c>
      <ns0:c r="F480">
        <ns0:f>IFERROR(IF(ISNUMBER($A480),IF(AND(AH!$P$10=1,AH!$P$12=1,$A480=TODAY()),IF(AND(AH!$P$10=1,AH!$P$12=1,$A480=TODAY()),TODAY(),NA()),IF(AH!$P$10=1,INDEX('Live History'!$D$5:$D$3004,MATCH($A480,'Live History'!$D$5:$D$3004,1)),INDEX('AH History'!$E$1:$E$18046,AH!$P$7+475))),NA()),NA())</ns0:f>
        <ns0:v/>
      </ns0:c>
      <ns0:c r="G480">
        <ns0:f>IFERROR(IF(ISNUMBER($A480),IF(AND(AH!$P$10=1,AH!$P$12=1,$A480=TODAY()),IF(AND(AH!$P$10=1,AH!$P$12=1,$A480=TODAY()),TODAY(),NA()),IF(AH!$P$10=1,INDEX('Live History'!$G$5:$G$3004,MATCH($A480,'Live History'!$G$5:$G$3004,1)),INDEX('AH History'!$F$1:$F$18046,AH!$P$7+475))),NA()),NA())</ns0:f>
        <ns0:v/>
      </ns0:c>
      <ns0:c r="H480">
        <ns0:f>IFERROR(IF(AND(AH!$E$4="Bloomberg",AH!$P$10=1,ISNUMBER($A480),$A480&lt;=AH!$P$17),AH!$P$7-1+MATCH($A480,INDEX('AH History'!$A$1:$A$18046,AH!$P$7):INDEX('AH History'!$A$1:$A$18046,AH!$P$7+AH!$P$8-1),0),0),0)</ns0:f>
        <ns0:v/>
      </ns0:c>
      <ns0:c r="I480">
        <ns0:f>IF($H480=0,0,IFERROR(IF(AND(ABS($C480-INDEX('AH History'!$B$1:$B$18046,$H480))&lt;=MAX(0.005,ABS(INDEX('AH History'!$B$1:$B$18046,$H480))*0.00005),ABS($D480-INDEX('AH History'!$C$1:$C$18046,$H480))&lt;=MAX(0.005,ABS(INDEX('AH History'!$C$1:$C$18046,$H480))*0.00005),ABS($E480-INDEX('AH History'!$D$1:$D$18046,$H480))&lt;=0.00005,$F480=INDEX('AH History'!$E$1:$E$18046,$H480),$G480=INDEX('AH History'!$F$1:$F$18046,$H480)),1,-1),-1))</ns0:f>
        <ns0:v/>
      </ns0:c>
    </ns0:row>
    <ns0:row r="481">
      <ns0:c r="A481" s="215">
        <ns0:f>IF(OR(AH!$P$3=0,476+1&gt;AH!$P$11,AND(AH!$E$4&lt;&gt;"Stored",AH!$P$10&lt;&gt;1)),"",IFERROR(IF(AND(AH!$P$21=1,476+1=AH!$P$11),TODAY(),IF(AH!$P$10=1,INDEX('Live History'!$A$5:$A$3004,AH!$P$13+476),INDEX('AH History'!$A$1:$A$18046,AH!$P$7+476))),""))</ns0:f>
        <ns0:v/>
      </ns0:c>
      <ns0:c r="B481" s="219">
        <ns0:f>IFERROR(IF(AND(AH!$P$9&lt;&gt;1,$C481&gt;0,$D481&gt;0,$E481&gt;0,$F481&gt;0,$G481&gt;0,$F481&lt;=$A481,$G481&lt;=$A481,$A481-$F481&lt;=10,$A481-$G481&lt;=5),$D481*$E481/$C481-1,NA()),NA())</ns0:f>
        <ns0:v/>
      </ns0:c>
      <ns0:c r="C481">
        <ns0:f>IFERROR(IF(ISNUMBER($A481),IF(AND(AH!$P$10=1,AH!$P$12=1,$A481=TODAY()),AH!$P$19,IF(AH!$P$10=1,INDEX('Live History'!$B$5:$B$3004,AH!$P$13+476),INDEX('AH History'!$B$1:$B$18046,AH!$P$7+476))),NA()),NA())</ns0:f>
        <ns0:v/>
      </ns0:c>
      <ns0:c r="D481">
        <ns0:f>IFERROR(IF(ISNUMBER($A481),IF(AND(AH!$P$10=1,AH!$P$12=1,$A481=TODAY()),AH!$P$18,IF(AH!$P$10=1,INDEX('Live History'!$E$5:$E$3004,MATCH($A481,'Live History'!$D$5:$D$3004,1)),INDEX('AH History'!$C$1:$C$18046,AH!$P$7+476))),NA()),NA())</ns0:f>
        <ns0:v/>
      </ns0:c>
      <ns0:c r="E481">
        <ns0:f>IFERROR(IF(ISNUMBER($A481),IF(AND(AH!$P$10=1,AH!$P$12=1,$A481=TODAY()),AH!$P$20,IF(AH!$P$10=1,INDEX('Live History'!$H$5:$H$3004,MATCH($A481,'Live History'!$G$5:$G$3004,1)),INDEX('AH History'!$D$1:$D$18046,AH!$P$7+476))),NA()),NA())</ns0:f>
        <ns0:v/>
      </ns0:c>
      <ns0:c r="F481">
        <ns0:f>IFERROR(IF(ISNUMBER($A481),IF(AND(AH!$P$10=1,AH!$P$12=1,$A481=TODAY()),IF(AND(AH!$P$10=1,AH!$P$12=1,$A481=TODAY()),TODAY(),NA()),IF(AH!$P$10=1,INDEX('Live History'!$D$5:$D$3004,MATCH($A481,'Live History'!$D$5:$D$3004,1)),INDEX('AH History'!$E$1:$E$18046,AH!$P$7+476))),NA()),NA())</ns0:f>
        <ns0:v/>
      </ns0:c>
      <ns0:c r="G481">
        <ns0:f>IFERROR(IF(ISNUMBER($A481),IF(AND(AH!$P$10=1,AH!$P$12=1,$A481=TODAY()),IF(AND(AH!$P$10=1,AH!$P$12=1,$A481=TODAY()),TODAY(),NA()),IF(AH!$P$10=1,INDEX('Live History'!$G$5:$G$3004,MATCH($A481,'Live History'!$G$5:$G$3004,1)),INDEX('AH History'!$F$1:$F$18046,AH!$P$7+476))),NA()),NA())</ns0:f>
        <ns0:v/>
      </ns0:c>
      <ns0:c r="H481">
        <ns0:f>IFERROR(IF(AND(AH!$E$4="Bloomberg",AH!$P$10=1,ISNUMBER($A481),$A481&lt;=AH!$P$17),AH!$P$7-1+MATCH($A481,INDEX('AH History'!$A$1:$A$18046,AH!$P$7):INDEX('AH History'!$A$1:$A$18046,AH!$P$7+AH!$P$8-1),0),0),0)</ns0:f>
        <ns0:v/>
      </ns0:c>
      <ns0:c r="I481">
        <ns0:f>IF($H481=0,0,IFERROR(IF(AND(ABS($C481-INDEX('AH History'!$B$1:$B$18046,$H481))&lt;=MAX(0.005,ABS(INDEX('AH History'!$B$1:$B$18046,$H481))*0.00005),ABS($D481-INDEX('AH History'!$C$1:$C$18046,$H481))&lt;=MAX(0.005,ABS(INDEX('AH History'!$C$1:$C$18046,$H481))*0.00005),ABS($E481-INDEX('AH History'!$D$1:$D$18046,$H481))&lt;=0.00005,$F481=INDEX('AH History'!$E$1:$E$18046,$H481),$G481=INDEX('AH History'!$F$1:$F$18046,$H481)),1,-1),-1))</ns0:f>
        <ns0:v/>
      </ns0:c>
    </ns0:row>
    <ns0:row r="482">
      <ns0:c r="A482" s="215">
        <ns0:f>IF(OR(AH!$P$3=0,477+1&gt;AH!$P$11,AND(AH!$E$4&lt;&gt;"Stored",AH!$P$10&lt;&gt;1)),"",IFERROR(IF(AND(AH!$P$21=1,477+1=AH!$P$11),TODAY(),IF(AH!$P$10=1,INDEX('Live History'!$A$5:$A$3004,AH!$P$13+477),INDEX('AH History'!$A$1:$A$18046,AH!$P$7+477))),""))</ns0:f>
        <ns0:v/>
      </ns0:c>
      <ns0:c r="B482" s="219">
        <ns0:f>IFERROR(IF(AND(AH!$P$9&lt;&gt;1,$C482&gt;0,$D482&gt;0,$E482&gt;0,$F482&gt;0,$G482&gt;0,$F482&lt;=$A482,$G482&lt;=$A482,$A482-$F482&lt;=10,$A482-$G482&lt;=5),$D482*$E482/$C482-1,NA()),NA())</ns0:f>
        <ns0:v/>
      </ns0:c>
      <ns0:c r="C482">
        <ns0:f>IFERROR(IF(ISNUMBER($A482),IF(AND(AH!$P$10=1,AH!$P$12=1,$A482=TODAY()),AH!$P$19,IF(AH!$P$10=1,INDEX('Live History'!$B$5:$B$3004,AH!$P$13+477),INDEX('AH History'!$B$1:$B$18046,AH!$P$7+477))),NA()),NA())</ns0:f>
        <ns0:v/>
      </ns0:c>
      <ns0:c r="D482">
        <ns0:f>IFERROR(IF(ISNUMBER($A482),IF(AND(AH!$P$10=1,AH!$P$12=1,$A482=TODAY()),AH!$P$18,IF(AH!$P$10=1,INDEX('Live History'!$E$5:$E$3004,MATCH($A482,'Live History'!$D$5:$D$3004,1)),INDEX('AH History'!$C$1:$C$18046,AH!$P$7+477))),NA()),NA())</ns0:f>
        <ns0:v/>
      </ns0:c>
      <ns0:c r="E482">
        <ns0:f>IFERROR(IF(ISNUMBER($A482),IF(AND(AH!$P$10=1,AH!$P$12=1,$A482=TODAY()),AH!$P$20,IF(AH!$P$10=1,INDEX('Live History'!$H$5:$H$3004,MATCH($A482,'Live History'!$G$5:$G$3004,1)),INDEX('AH History'!$D$1:$D$18046,AH!$P$7+477))),NA()),NA())</ns0:f>
        <ns0:v/>
      </ns0:c>
      <ns0:c r="F482">
        <ns0:f>IFERROR(IF(ISNUMBER($A482),IF(AND(AH!$P$10=1,AH!$P$12=1,$A482=TODAY()),IF(AND(AH!$P$10=1,AH!$P$12=1,$A482=TODAY()),TODAY(),NA()),IF(AH!$P$10=1,INDEX('Live History'!$D$5:$D$3004,MATCH($A482,'Live History'!$D$5:$D$3004,1)),INDEX('AH History'!$E$1:$E$18046,AH!$P$7+477))),NA()),NA())</ns0:f>
        <ns0:v/>
      </ns0:c>
      <ns0:c r="G482">
        <ns0:f>IFERROR(IF(ISNUMBER($A482),IF(AND(AH!$P$10=1,AH!$P$12=1,$A482=TODAY()),IF(AND(AH!$P$10=1,AH!$P$12=1,$A482=TODAY()),TODAY(),NA()),IF(AH!$P$10=1,INDEX('Live History'!$G$5:$G$3004,MATCH($A482,'Live History'!$G$5:$G$3004,1)),INDEX('AH History'!$F$1:$F$18046,AH!$P$7+477))),NA()),NA())</ns0:f>
        <ns0:v/>
      </ns0:c>
      <ns0:c r="H482">
        <ns0:f>IFERROR(IF(AND(AH!$E$4="Bloomberg",AH!$P$10=1,ISNUMBER($A482),$A482&lt;=AH!$P$17),AH!$P$7-1+MATCH($A482,INDEX('AH History'!$A$1:$A$18046,AH!$P$7):INDEX('AH History'!$A$1:$A$18046,AH!$P$7+AH!$P$8-1),0),0),0)</ns0:f>
        <ns0:v/>
      </ns0:c>
      <ns0:c r="I482">
        <ns0:f>IF($H482=0,0,IFERROR(IF(AND(ABS($C482-INDEX('AH History'!$B$1:$B$18046,$H482))&lt;=MAX(0.005,ABS(INDEX('AH History'!$B$1:$B$18046,$H482))*0.00005),ABS($D482-INDEX('AH History'!$C$1:$C$18046,$H482))&lt;=MAX(0.005,ABS(INDEX('AH History'!$C$1:$C$18046,$H482))*0.00005),ABS($E482-INDEX('AH History'!$D$1:$D$18046,$H482))&lt;=0.00005,$F482=INDEX('AH History'!$E$1:$E$18046,$H482),$G482=INDEX('AH History'!$F$1:$F$18046,$H482)),1,-1),-1))</ns0:f>
        <ns0:v/>
      </ns0:c>
    </ns0:row>
    <ns0:row r="483">
      <ns0:c r="A483" s="215">
        <ns0:f>IF(OR(AH!$P$3=0,478+1&gt;AH!$P$11,AND(AH!$E$4&lt;&gt;"Stored",AH!$P$10&lt;&gt;1)),"",IFERROR(IF(AND(AH!$P$21=1,478+1=AH!$P$11),TODAY(),IF(AH!$P$10=1,INDEX('Live History'!$A$5:$A$3004,AH!$P$13+478),INDEX('AH History'!$A$1:$A$18046,AH!$P$7+478))),""))</ns0:f>
        <ns0:v/>
      </ns0:c>
      <ns0:c r="B483" s="219">
        <ns0:f>IFERROR(IF(AND(AH!$P$9&lt;&gt;1,$C483&gt;0,$D483&gt;0,$E483&gt;0,$F483&gt;0,$G483&gt;0,$F483&lt;=$A483,$G483&lt;=$A483,$A483-$F483&lt;=10,$A483-$G483&lt;=5),$D483*$E483/$C483-1,NA()),NA())</ns0:f>
        <ns0:v/>
      </ns0:c>
      <ns0:c r="C483">
        <ns0:f>IFERROR(IF(ISNUMBER($A483),IF(AND(AH!$P$10=1,AH!$P$12=1,$A483=TODAY()),AH!$P$19,IF(AH!$P$10=1,INDEX('Live History'!$B$5:$B$3004,AH!$P$13+478),INDEX('AH History'!$B$1:$B$18046,AH!$P$7+478))),NA()),NA())</ns0:f>
        <ns0:v/>
      </ns0:c>
      <ns0:c r="D483">
        <ns0:f>IFERROR(IF(ISNUMBER($A483),IF(AND(AH!$P$10=1,AH!$P$12=1,$A483=TODAY()),AH!$P$18,IF(AH!$P$10=1,INDEX('Live History'!$E$5:$E$3004,MATCH($A483,'Live History'!$D$5:$D$3004,1)),INDEX('AH History'!$C$1:$C$18046,AH!$P$7+478))),NA()),NA())</ns0:f>
        <ns0:v/>
      </ns0:c>
      <ns0:c r="E483">
        <ns0:f>IFERROR(IF(ISNUMBER($A483),IF(AND(AH!$P$10=1,AH!$P$12=1,$A483=TODAY()),AH!$P$20,IF(AH!$P$10=1,INDEX('Live History'!$H$5:$H$3004,MATCH($A483,'Live History'!$G$5:$G$3004,1)),INDEX('AH History'!$D$1:$D$18046,AH!$P$7+478))),NA()),NA())</ns0:f>
        <ns0:v/>
      </ns0:c>
      <ns0:c r="F483">
        <ns0:f>IFERROR(IF(ISNUMBER($A483),IF(AND(AH!$P$10=1,AH!$P$12=1,$A483=TODAY()),IF(AND(AH!$P$10=1,AH!$P$12=1,$A483=TODAY()),TODAY(),NA()),IF(AH!$P$10=1,INDEX('Live History'!$D$5:$D$3004,MATCH($A483,'Live History'!$D$5:$D$3004,1)),INDEX('AH History'!$E$1:$E$18046,AH!$P$7+478))),NA()),NA())</ns0:f>
        <ns0:v/>
      </ns0:c>
      <ns0:c r="G483">
        <ns0:f>IFERROR(IF(ISNUMBER($A483),IF(AND(AH!$P$10=1,AH!$P$12=1,$A483=TODAY()),IF(AND(AH!$P$10=1,AH!$P$12=1,$A483=TODAY()),TODAY(),NA()),IF(AH!$P$10=1,INDEX('Live History'!$G$5:$G$3004,MATCH($A483,'Live History'!$G$5:$G$3004,1)),INDEX('AH History'!$F$1:$F$18046,AH!$P$7+478))),NA()),NA())</ns0:f>
        <ns0:v/>
      </ns0:c>
      <ns0:c r="H483">
        <ns0:f>IFERROR(IF(AND(AH!$E$4="Bloomberg",AH!$P$10=1,ISNUMBER($A483),$A483&lt;=AH!$P$17),AH!$P$7-1+MATCH($A483,INDEX('AH History'!$A$1:$A$18046,AH!$P$7):INDEX('AH History'!$A$1:$A$18046,AH!$P$7+AH!$P$8-1),0),0),0)</ns0:f>
        <ns0:v/>
      </ns0:c>
      <ns0:c r="I483">
        <ns0:f>IF($H483=0,0,IFERROR(IF(AND(ABS($C483-INDEX('AH History'!$B$1:$B$18046,$H483))&lt;=MAX(0.005,ABS(INDEX('AH History'!$B$1:$B$18046,$H483))*0.00005),ABS($D483-INDEX('AH History'!$C$1:$C$18046,$H483))&lt;=MAX(0.005,ABS(INDEX('AH History'!$C$1:$C$18046,$H483))*0.00005),ABS($E483-INDEX('AH History'!$D$1:$D$18046,$H483))&lt;=0.00005,$F483=INDEX('AH History'!$E$1:$E$18046,$H483),$G483=INDEX('AH History'!$F$1:$F$18046,$H483)),1,-1),-1))</ns0:f>
        <ns0:v/>
      </ns0:c>
    </ns0:row>
    <ns0:row r="484">
      <ns0:c r="A484" s="215">
        <ns0:f>IF(OR(AH!$P$3=0,479+1&gt;AH!$P$11,AND(AH!$E$4&lt;&gt;"Stored",AH!$P$10&lt;&gt;1)),"",IFERROR(IF(AND(AH!$P$21=1,479+1=AH!$P$11),TODAY(),IF(AH!$P$10=1,INDEX('Live History'!$A$5:$A$3004,AH!$P$13+479),INDEX('AH History'!$A$1:$A$18046,AH!$P$7+479))),""))</ns0:f>
        <ns0:v/>
      </ns0:c>
      <ns0:c r="B484" s="219">
        <ns0:f>IFERROR(IF(AND(AH!$P$9&lt;&gt;1,$C484&gt;0,$D484&gt;0,$E484&gt;0,$F484&gt;0,$G484&gt;0,$F484&lt;=$A484,$G484&lt;=$A484,$A484-$F484&lt;=10,$A484-$G484&lt;=5),$D484*$E484/$C484-1,NA()),NA())</ns0:f>
        <ns0:v/>
      </ns0:c>
      <ns0:c r="C484">
        <ns0:f>IFERROR(IF(ISNUMBER($A484),IF(AND(AH!$P$10=1,AH!$P$12=1,$A484=TODAY()),AH!$P$19,IF(AH!$P$10=1,INDEX('Live History'!$B$5:$B$3004,AH!$P$13+479),INDEX('AH History'!$B$1:$B$18046,AH!$P$7+479))),NA()),NA())</ns0:f>
        <ns0:v/>
      </ns0:c>
      <ns0:c r="D484">
        <ns0:f>IFERROR(IF(ISNUMBER($A484),IF(AND(AH!$P$10=1,AH!$P$12=1,$A484=TODAY()),AH!$P$18,IF(AH!$P$10=1,INDEX('Live History'!$E$5:$E$3004,MATCH($A484,'Live History'!$D$5:$D$3004,1)),INDEX('AH History'!$C$1:$C$18046,AH!$P$7+479))),NA()),NA())</ns0:f>
        <ns0:v/>
      </ns0:c>
      <ns0:c r="E484">
        <ns0:f>IFERROR(IF(ISNUMBER($A484),IF(AND(AH!$P$10=1,AH!$P$12=1,$A484=TODAY()),AH!$P$20,IF(AH!$P$10=1,INDEX('Live History'!$H$5:$H$3004,MATCH($A484,'Live History'!$G$5:$G$3004,1)),INDEX('AH History'!$D$1:$D$18046,AH!$P$7+479))),NA()),NA())</ns0:f>
        <ns0:v/>
      </ns0:c>
      <ns0:c r="F484">
        <ns0:f>IFERROR(IF(ISNUMBER($A484),IF(AND(AH!$P$10=1,AH!$P$12=1,$A484=TODAY()),IF(AND(AH!$P$10=1,AH!$P$12=1,$A484=TODAY()),TODAY(),NA()),IF(AH!$P$10=1,INDEX('Live History'!$D$5:$D$3004,MATCH($A484,'Live History'!$D$5:$D$3004,1)),INDEX('AH History'!$E$1:$E$18046,AH!$P$7+479))),NA()),NA())</ns0:f>
        <ns0:v/>
      </ns0:c>
      <ns0:c r="G484">
        <ns0:f>IFERROR(IF(ISNUMBER($A484),IF(AND(AH!$P$10=1,AH!$P$12=1,$A484=TODAY()),IF(AND(AH!$P$10=1,AH!$P$12=1,$A484=TODAY()),TODAY(),NA()),IF(AH!$P$10=1,INDEX('Live History'!$G$5:$G$3004,MATCH($A484,'Live History'!$G$5:$G$3004,1)),INDEX('AH History'!$F$1:$F$18046,AH!$P$7+479))),NA()),NA())</ns0:f>
        <ns0:v/>
      </ns0:c>
      <ns0:c r="H484">
        <ns0:f>IFERROR(IF(AND(AH!$E$4="Bloomberg",AH!$P$10=1,ISNUMBER($A484),$A484&lt;=AH!$P$17),AH!$P$7-1+MATCH($A484,INDEX('AH History'!$A$1:$A$18046,AH!$P$7):INDEX('AH History'!$A$1:$A$18046,AH!$P$7+AH!$P$8-1),0),0),0)</ns0:f>
        <ns0:v/>
      </ns0:c>
      <ns0:c r="I484">
        <ns0:f>IF($H484=0,0,IFERROR(IF(AND(ABS($C484-INDEX('AH History'!$B$1:$B$18046,$H484))&lt;=MAX(0.005,ABS(INDEX('AH History'!$B$1:$B$18046,$H484))*0.00005),ABS($D484-INDEX('AH History'!$C$1:$C$18046,$H484))&lt;=MAX(0.005,ABS(INDEX('AH History'!$C$1:$C$18046,$H484))*0.00005),ABS($E484-INDEX('AH History'!$D$1:$D$18046,$H484))&lt;=0.00005,$F484=INDEX('AH History'!$E$1:$E$18046,$H484),$G484=INDEX('AH History'!$F$1:$F$18046,$H484)),1,-1),-1))</ns0:f>
        <ns0:v/>
      </ns0:c>
    </ns0:row>
    <ns0:row r="485">
      <ns0:c r="A485" s="215">
        <ns0:f>IF(OR(AH!$P$3=0,480+1&gt;AH!$P$11,AND(AH!$E$4&lt;&gt;"Stored",AH!$P$10&lt;&gt;1)),"",IFERROR(IF(AND(AH!$P$21=1,480+1=AH!$P$11),TODAY(),IF(AH!$P$10=1,INDEX('Live History'!$A$5:$A$3004,AH!$P$13+480),INDEX('AH History'!$A$1:$A$18046,AH!$P$7+480))),""))</ns0:f>
        <ns0:v/>
      </ns0:c>
      <ns0:c r="B485" s="219">
        <ns0:f>IFERROR(IF(AND(AH!$P$9&lt;&gt;1,$C485&gt;0,$D485&gt;0,$E485&gt;0,$F485&gt;0,$G485&gt;0,$F485&lt;=$A485,$G485&lt;=$A485,$A485-$F485&lt;=10,$A485-$G485&lt;=5),$D485*$E485/$C485-1,NA()),NA())</ns0:f>
        <ns0:v/>
      </ns0:c>
      <ns0:c r="C485">
        <ns0:f>IFERROR(IF(ISNUMBER($A485),IF(AND(AH!$P$10=1,AH!$P$12=1,$A485=TODAY()),AH!$P$19,IF(AH!$P$10=1,INDEX('Live History'!$B$5:$B$3004,AH!$P$13+480),INDEX('AH History'!$B$1:$B$18046,AH!$P$7+480))),NA()),NA())</ns0:f>
        <ns0:v/>
      </ns0:c>
      <ns0:c r="D485">
        <ns0:f>IFERROR(IF(ISNUMBER($A485),IF(AND(AH!$P$10=1,AH!$P$12=1,$A485=TODAY()),AH!$P$18,IF(AH!$P$10=1,INDEX('Live History'!$E$5:$E$3004,MATCH($A485,'Live History'!$D$5:$D$3004,1)),INDEX('AH History'!$C$1:$C$18046,AH!$P$7+480))),NA()),NA())</ns0:f>
        <ns0:v/>
      </ns0:c>
      <ns0:c r="E485">
        <ns0:f>IFERROR(IF(ISNUMBER($A485),IF(AND(AH!$P$10=1,AH!$P$12=1,$A485=TODAY()),AH!$P$20,IF(AH!$P$10=1,INDEX('Live History'!$H$5:$H$3004,MATCH($A485,'Live History'!$G$5:$G$3004,1)),INDEX('AH History'!$D$1:$D$18046,AH!$P$7+480))),NA()),NA())</ns0:f>
        <ns0:v/>
      </ns0:c>
      <ns0:c r="F485">
        <ns0:f>IFERROR(IF(ISNUMBER($A485),IF(AND(AH!$P$10=1,AH!$P$12=1,$A485=TODAY()),IF(AND(AH!$P$10=1,AH!$P$12=1,$A485=TODAY()),TODAY(),NA()),IF(AH!$P$10=1,INDEX('Live History'!$D$5:$D$3004,MATCH($A485,'Live History'!$D$5:$D$3004,1)),INDEX('AH History'!$E$1:$E$18046,AH!$P$7+480))),NA()),NA())</ns0:f>
        <ns0:v/>
      </ns0:c>
      <ns0:c r="G485">
        <ns0:f>IFERROR(IF(ISNUMBER($A485),IF(AND(AH!$P$10=1,AH!$P$12=1,$A485=TODAY()),IF(AND(AH!$P$10=1,AH!$P$12=1,$A485=TODAY()),TODAY(),NA()),IF(AH!$P$10=1,INDEX('Live History'!$G$5:$G$3004,MATCH($A485,'Live History'!$G$5:$G$3004,1)),INDEX('AH History'!$F$1:$F$18046,AH!$P$7+480))),NA()),NA())</ns0:f>
        <ns0:v/>
      </ns0:c>
      <ns0:c r="H485">
        <ns0:f>IFERROR(IF(AND(AH!$E$4="Bloomberg",AH!$P$10=1,ISNUMBER($A485),$A485&lt;=AH!$P$17),AH!$P$7-1+MATCH($A485,INDEX('AH History'!$A$1:$A$18046,AH!$P$7):INDEX('AH History'!$A$1:$A$18046,AH!$P$7+AH!$P$8-1),0),0),0)</ns0:f>
        <ns0:v/>
      </ns0:c>
      <ns0:c r="I485">
        <ns0:f>IF($H485=0,0,IFERROR(IF(AND(ABS($C485-INDEX('AH History'!$B$1:$B$18046,$H485))&lt;=MAX(0.005,ABS(INDEX('AH History'!$B$1:$B$18046,$H485))*0.00005),ABS($D485-INDEX('AH History'!$C$1:$C$18046,$H485))&lt;=MAX(0.005,ABS(INDEX('AH History'!$C$1:$C$18046,$H485))*0.00005),ABS($E485-INDEX('AH History'!$D$1:$D$18046,$H485))&lt;=0.00005,$F485=INDEX('AH History'!$E$1:$E$18046,$H485),$G485=INDEX('AH History'!$F$1:$F$18046,$H485)),1,-1),-1))</ns0:f>
        <ns0:v/>
      </ns0:c>
    </ns0:row>
    <ns0:row r="486">
      <ns0:c r="A486" s="215">
        <ns0:f>IF(OR(AH!$P$3=0,481+1&gt;AH!$P$11,AND(AH!$E$4&lt;&gt;"Stored",AH!$P$10&lt;&gt;1)),"",IFERROR(IF(AND(AH!$P$21=1,481+1=AH!$P$11),TODAY(),IF(AH!$P$10=1,INDEX('Live History'!$A$5:$A$3004,AH!$P$13+481),INDEX('AH History'!$A$1:$A$18046,AH!$P$7+481))),""))</ns0:f>
        <ns0:v/>
      </ns0:c>
      <ns0:c r="B486" s="219">
        <ns0:f>IFERROR(IF(AND(AH!$P$9&lt;&gt;1,$C486&gt;0,$D486&gt;0,$E486&gt;0,$F486&gt;0,$G486&gt;0,$F486&lt;=$A486,$G486&lt;=$A486,$A486-$F486&lt;=10,$A486-$G486&lt;=5),$D486*$E486/$C486-1,NA()),NA())</ns0:f>
        <ns0:v/>
      </ns0:c>
      <ns0:c r="C486">
        <ns0:f>IFERROR(IF(ISNUMBER($A486),IF(AND(AH!$P$10=1,AH!$P$12=1,$A486=TODAY()),AH!$P$19,IF(AH!$P$10=1,INDEX('Live History'!$B$5:$B$3004,AH!$P$13+481),INDEX('AH History'!$B$1:$B$18046,AH!$P$7+481))),NA()),NA())</ns0:f>
        <ns0:v/>
      </ns0:c>
      <ns0:c r="D486">
        <ns0:f>IFERROR(IF(ISNUMBER($A486),IF(AND(AH!$P$10=1,AH!$P$12=1,$A486=TODAY()),AH!$P$18,IF(AH!$P$10=1,INDEX('Live History'!$E$5:$E$3004,MATCH($A486,'Live History'!$D$5:$D$3004,1)),INDEX('AH History'!$C$1:$C$18046,AH!$P$7+481))),NA()),NA())</ns0:f>
        <ns0:v/>
      </ns0:c>
      <ns0:c r="E486">
        <ns0:f>IFERROR(IF(ISNUMBER($A486),IF(AND(AH!$P$10=1,AH!$P$12=1,$A486=TODAY()),AH!$P$20,IF(AH!$P$10=1,INDEX('Live History'!$H$5:$H$3004,MATCH($A486,'Live History'!$G$5:$G$3004,1)),INDEX('AH History'!$D$1:$D$18046,AH!$P$7+481))),NA()),NA())</ns0:f>
        <ns0:v/>
      </ns0:c>
      <ns0:c r="F486">
        <ns0:f>IFERROR(IF(ISNUMBER($A486),IF(AND(AH!$P$10=1,AH!$P$12=1,$A486=TODAY()),IF(AND(AH!$P$10=1,AH!$P$12=1,$A486=TODAY()),TODAY(),NA()),IF(AH!$P$10=1,INDEX('Live History'!$D$5:$D$3004,MATCH($A486,'Live History'!$D$5:$D$3004,1)),INDEX('AH History'!$E$1:$E$18046,AH!$P$7+481))),NA()),NA())</ns0:f>
        <ns0:v/>
      </ns0:c>
      <ns0:c r="G486">
        <ns0:f>IFERROR(IF(ISNUMBER($A486),IF(AND(AH!$P$10=1,AH!$P$12=1,$A486=TODAY()),IF(AND(AH!$P$10=1,AH!$P$12=1,$A486=TODAY()),TODAY(),NA()),IF(AH!$P$10=1,INDEX('Live History'!$G$5:$G$3004,MATCH($A486,'Live History'!$G$5:$G$3004,1)),INDEX('AH History'!$F$1:$F$18046,AH!$P$7+481))),NA()),NA())</ns0:f>
        <ns0:v/>
      </ns0:c>
      <ns0:c r="H486">
        <ns0:f>IFERROR(IF(AND(AH!$E$4="Bloomberg",AH!$P$10=1,ISNUMBER($A486),$A486&lt;=AH!$P$17),AH!$P$7-1+MATCH($A486,INDEX('AH History'!$A$1:$A$18046,AH!$P$7):INDEX('AH History'!$A$1:$A$18046,AH!$P$7+AH!$P$8-1),0),0),0)</ns0:f>
        <ns0:v/>
      </ns0:c>
      <ns0:c r="I486">
        <ns0:f>IF($H486=0,0,IFERROR(IF(AND(ABS($C486-INDEX('AH History'!$B$1:$B$18046,$H486))&lt;=MAX(0.005,ABS(INDEX('AH History'!$B$1:$B$18046,$H486))*0.00005),ABS($D486-INDEX('AH History'!$C$1:$C$18046,$H486))&lt;=MAX(0.005,ABS(INDEX('AH History'!$C$1:$C$18046,$H486))*0.00005),ABS($E486-INDEX('AH History'!$D$1:$D$18046,$H486))&lt;=0.00005,$F486=INDEX('AH History'!$E$1:$E$18046,$H486),$G486=INDEX('AH History'!$F$1:$F$18046,$H486)),1,-1),-1))</ns0:f>
        <ns0:v/>
      </ns0:c>
    </ns0:row>
    <ns0:row r="487">
      <ns0:c r="A487" s="215">
        <ns0:f>IF(OR(AH!$P$3=0,482+1&gt;AH!$P$11,AND(AH!$E$4&lt;&gt;"Stored",AH!$P$10&lt;&gt;1)),"",IFERROR(IF(AND(AH!$P$21=1,482+1=AH!$P$11),TODAY(),IF(AH!$P$10=1,INDEX('Live History'!$A$5:$A$3004,AH!$P$13+482),INDEX('AH History'!$A$1:$A$18046,AH!$P$7+482))),""))</ns0:f>
        <ns0:v/>
      </ns0:c>
      <ns0:c r="B487" s="219">
        <ns0:f>IFERROR(IF(AND(AH!$P$9&lt;&gt;1,$C487&gt;0,$D487&gt;0,$E487&gt;0,$F487&gt;0,$G487&gt;0,$F487&lt;=$A487,$G487&lt;=$A487,$A487-$F487&lt;=10,$A487-$G487&lt;=5),$D487*$E487/$C487-1,NA()),NA())</ns0:f>
        <ns0:v/>
      </ns0:c>
      <ns0:c r="C487">
        <ns0:f>IFERROR(IF(ISNUMBER($A487),IF(AND(AH!$P$10=1,AH!$P$12=1,$A487=TODAY()),AH!$P$19,IF(AH!$P$10=1,INDEX('Live History'!$B$5:$B$3004,AH!$P$13+482),INDEX('AH History'!$B$1:$B$18046,AH!$P$7+482))),NA()),NA())</ns0:f>
        <ns0:v/>
      </ns0:c>
      <ns0:c r="D487">
        <ns0:f>IFERROR(IF(ISNUMBER($A487),IF(AND(AH!$P$10=1,AH!$P$12=1,$A487=TODAY()),AH!$P$18,IF(AH!$P$10=1,INDEX('Live History'!$E$5:$E$3004,MATCH($A487,'Live History'!$D$5:$D$3004,1)),INDEX('AH History'!$C$1:$C$18046,AH!$P$7+482))),NA()),NA())</ns0:f>
        <ns0:v/>
      </ns0:c>
      <ns0:c r="E487">
        <ns0:f>IFERROR(IF(ISNUMBER($A487),IF(AND(AH!$P$10=1,AH!$P$12=1,$A487=TODAY()),AH!$P$20,IF(AH!$P$10=1,INDEX('Live History'!$H$5:$H$3004,MATCH($A487,'Live History'!$G$5:$G$3004,1)),INDEX('AH History'!$D$1:$D$18046,AH!$P$7+482))),NA()),NA())</ns0:f>
        <ns0:v/>
      </ns0:c>
      <ns0:c r="F487">
        <ns0:f>IFERROR(IF(ISNUMBER($A487),IF(AND(AH!$P$10=1,AH!$P$12=1,$A487=TODAY()),IF(AND(AH!$P$10=1,AH!$P$12=1,$A487=TODAY()),TODAY(),NA()),IF(AH!$P$10=1,INDEX('Live History'!$D$5:$D$3004,MATCH($A487,'Live History'!$D$5:$D$3004,1)),INDEX('AH History'!$E$1:$E$18046,AH!$P$7+482))),NA()),NA())</ns0:f>
        <ns0:v/>
      </ns0:c>
      <ns0:c r="G487">
        <ns0:f>IFERROR(IF(ISNUMBER($A487),IF(AND(AH!$P$10=1,AH!$P$12=1,$A487=TODAY()),IF(AND(AH!$P$10=1,AH!$P$12=1,$A487=TODAY()),TODAY(),NA()),IF(AH!$P$10=1,INDEX('Live History'!$G$5:$G$3004,MATCH($A487,'Live History'!$G$5:$G$3004,1)),INDEX('AH History'!$F$1:$F$18046,AH!$P$7+482))),NA()),NA())</ns0:f>
        <ns0:v/>
      </ns0:c>
      <ns0:c r="H487">
        <ns0:f>IFERROR(IF(AND(AH!$E$4="Bloomberg",AH!$P$10=1,ISNUMBER($A487),$A487&lt;=AH!$P$17),AH!$P$7-1+MATCH($A487,INDEX('AH History'!$A$1:$A$18046,AH!$P$7):INDEX('AH History'!$A$1:$A$18046,AH!$P$7+AH!$P$8-1),0),0),0)</ns0:f>
        <ns0:v/>
      </ns0:c>
      <ns0:c r="I487">
        <ns0:f>IF($H487=0,0,IFERROR(IF(AND(ABS($C487-INDEX('AH History'!$B$1:$B$18046,$H487))&lt;=MAX(0.005,ABS(INDEX('AH History'!$B$1:$B$18046,$H487))*0.00005),ABS($D487-INDEX('AH History'!$C$1:$C$18046,$H487))&lt;=MAX(0.005,ABS(INDEX('AH History'!$C$1:$C$18046,$H487))*0.00005),ABS($E487-INDEX('AH History'!$D$1:$D$18046,$H487))&lt;=0.00005,$F487=INDEX('AH History'!$E$1:$E$18046,$H487),$G487=INDEX('AH History'!$F$1:$F$18046,$H487)),1,-1),-1))</ns0:f>
        <ns0:v/>
      </ns0:c>
    </ns0:row>
    <ns0:row r="488">
      <ns0:c r="A488" s="215">
        <ns0:f>IF(OR(AH!$P$3=0,483+1&gt;AH!$P$11,AND(AH!$E$4&lt;&gt;"Stored",AH!$P$10&lt;&gt;1)),"",IFERROR(IF(AND(AH!$P$21=1,483+1=AH!$P$11),TODAY(),IF(AH!$P$10=1,INDEX('Live History'!$A$5:$A$3004,AH!$P$13+483),INDEX('AH History'!$A$1:$A$18046,AH!$P$7+483))),""))</ns0:f>
        <ns0:v/>
      </ns0:c>
      <ns0:c r="B488" s="219">
        <ns0:f>IFERROR(IF(AND(AH!$P$9&lt;&gt;1,$C488&gt;0,$D488&gt;0,$E488&gt;0,$F488&gt;0,$G488&gt;0,$F488&lt;=$A488,$G488&lt;=$A488,$A488-$F488&lt;=10,$A488-$G488&lt;=5),$D488*$E488/$C488-1,NA()),NA())</ns0:f>
        <ns0:v/>
      </ns0:c>
      <ns0:c r="C488">
        <ns0:f>IFERROR(IF(ISNUMBER($A488),IF(AND(AH!$P$10=1,AH!$P$12=1,$A488=TODAY()),AH!$P$19,IF(AH!$P$10=1,INDEX('Live History'!$B$5:$B$3004,AH!$P$13+483),INDEX('AH History'!$B$1:$B$18046,AH!$P$7+483))),NA()),NA())</ns0:f>
        <ns0:v/>
      </ns0:c>
      <ns0:c r="D488">
        <ns0:f>IFERROR(IF(ISNUMBER($A488),IF(AND(AH!$P$10=1,AH!$P$12=1,$A488=TODAY()),AH!$P$18,IF(AH!$P$10=1,INDEX('Live History'!$E$5:$E$3004,MATCH($A488,'Live History'!$D$5:$D$3004,1)),INDEX('AH History'!$C$1:$C$18046,AH!$P$7+483))),NA()),NA())</ns0:f>
        <ns0:v/>
      </ns0:c>
      <ns0:c r="E488">
        <ns0:f>IFERROR(IF(ISNUMBER($A488),IF(AND(AH!$P$10=1,AH!$P$12=1,$A488=TODAY()),AH!$P$20,IF(AH!$P$10=1,INDEX('Live History'!$H$5:$H$3004,MATCH($A488,'Live History'!$G$5:$G$3004,1)),INDEX('AH History'!$D$1:$D$18046,AH!$P$7+483))),NA()),NA())</ns0:f>
        <ns0:v/>
      </ns0:c>
      <ns0:c r="F488">
        <ns0:f>IFERROR(IF(ISNUMBER($A488),IF(AND(AH!$P$10=1,AH!$P$12=1,$A488=TODAY()),IF(AND(AH!$P$10=1,AH!$P$12=1,$A488=TODAY()),TODAY(),NA()),IF(AH!$P$10=1,INDEX('Live History'!$D$5:$D$3004,MATCH($A488,'Live History'!$D$5:$D$3004,1)),INDEX('AH History'!$E$1:$E$18046,AH!$P$7+483))),NA()),NA())</ns0:f>
        <ns0:v/>
      </ns0:c>
      <ns0:c r="G488">
        <ns0:f>IFERROR(IF(ISNUMBER($A488),IF(AND(AH!$P$10=1,AH!$P$12=1,$A488=TODAY()),IF(AND(AH!$P$10=1,AH!$P$12=1,$A488=TODAY()),TODAY(),NA()),IF(AH!$P$10=1,INDEX('Live History'!$G$5:$G$3004,MATCH($A488,'Live History'!$G$5:$G$3004,1)),INDEX('AH History'!$F$1:$F$18046,AH!$P$7+483))),NA()),NA())</ns0:f>
        <ns0:v/>
      </ns0:c>
      <ns0:c r="H488">
        <ns0:f>IFERROR(IF(AND(AH!$E$4="Bloomberg",AH!$P$10=1,ISNUMBER($A488),$A488&lt;=AH!$P$17),AH!$P$7-1+MATCH($A488,INDEX('AH History'!$A$1:$A$18046,AH!$P$7):INDEX('AH History'!$A$1:$A$18046,AH!$P$7+AH!$P$8-1),0),0),0)</ns0:f>
        <ns0:v/>
      </ns0:c>
      <ns0:c r="I488">
        <ns0:f>IF($H488=0,0,IFERROR(IF(AND(ABS($C488-INDEX('AH History'!$B$1:$B$18046,$H488))&lt;=MAX(0.005,ABS(INDEX('AH History'!$B$1:$B$18046,$H488))*0.00005),ABS($D488-INDEX('AH History'!$C$1:$C$18046,$H488))&lt;=MAX(0.005,ABS(INDEX('AH History'!$C$1:$C$18046,$H488))*0.00005),ABS($E488-INDEX('AH History'!$D$1:$D$18046,$H488))&lt;=0.00005,$F488=INDEX('AH History'!$E$1:$E$18046,$H488),$G488=INDEX('AH History'!$F$1:$F$18046,$H488)),1,-1),-1))</ns0:f>
        <ns0:v/>
      </ns0:c>
    </ns0:row>
    <ns0:row r="489">
      <ns0:c r="A489" s="215">
        <ns0:f>IF(OR(AH!$P$3=0,484+1&gt;AH!$P$11,AND(AH!$E$4&lt;&gt;"Stored",AH!$P$10&lt;&gt;1)),"",IFERROR(IF(AND(AH!$P$21=1,484+1=AH!$P$11),TODAY(),IF(AH!$P$10=1,INDEX('Live History'!$A$5:$A$3004,AH!$P$13+484),INDEX('AH History'!$A$1:$A$18046,AH!$P$7+484))),""))</ns0:f>
        <ns0:v/>
      </ns0:c>
      <ns0:c r="B489" s="219">
        <ns0:f>IFERROR(IF(AND(AH!$P$9&lt;&gt;1,$C489&gt;0,$D489&gt;0,$E489&gt;0,$F489&gt;0,$G489&gt;0,$F489&lt;=$A489,$G489&lt;=$A489,$A489-$F489&lt;=10,$A489-$G489&lt;=5),$D489*$E489/$C489-1,NA()),NA())</ns0:f>
        <ns0:v/>
      </ns0:c>
      <ns0:c r="C489">
        <ns0:f>IFERROR(IF(ISNUMBER($A489),IF(AND(AH!$P$10=1,AH!$P$12=1,$A489=TODAY()),AH!$P$19,IF(AH!$P$10=1,INDEX('Live History'!$B$5:$B$3004,AH!$P$13+484),INDEX('AH History'!$B$1:$B$18046,AH!$P$7+484))),NA()),NA())</ns0:f>
        <ns0:v/>
      </ns0:c>
      <ns0:c r="D489">
        <ns0:f>IFERROR(IF(ISNUMBER($A489),IF(AND(AH!$P$10=1,AH!$P$12=1,$A489=TODAY()),AH!$P$18,IF(AH!$P$10=1,INDEX('Live History'!$E$5:$E$3004,MATCH($A489,'Live History'!$D$5:$D$3004,1)),INDEX('AH History'!$C$1:$C$18046,AH!$P$7+484))),NA()),NA())</ns0:f>
        <ns0:v/>
      </ns0:c>
      <ns0:c r="E489">
        <ns0:f>IFERROR(IF(ISNUMBER($A489),IF(AND(AH!$P$10=1,AH!$P$12=1,$A489=TODAY()),AH!$P$20,IF(AH!$P$10=1,INDEX('Live History'!$H$5:$H$3004,MATCH($A489,'Live History'!$G$5:$G$3004,1)),INDEX('AH History'!$D$1:$D$18046,AH!$P$7+484))),NA()),NA())</ns0:f>
        <ns0:v/>
      </ns0:c>
      <ns0:c r="F489">
        <ns0:f>IFERROR(IF(ISNUMBER($A489),IF(AND(AH!$P$10=1,AH!$P$12=1,$A489=TODAY()),IF(AND(AH!$P$10=1,AH!$P$12=1,$A489=TODAY()),TODAY(),NA()),IF(AH!$P$10=1,INDEX('Live History'!$D$5:$D$3004,MATCH($A489,'Live History'!$D$5:$D$3004,1)),INDEX('AH History'!$E$1:$E$18046,AH!$P$7+484))),NA()),NA())</ns0:f>
        <ns0:v/>
      </ns0:c>
      <ns0:c r="G489">
        <ns0:f>IFERROR(IF(ISNUMBER($A489),IF(AND(AH!$P$10=1,AH!$P$12=1,$A489=TODAY()),IF(AND(AH!$P$10=1,AH!$P$12=1,$A489=TODAY()),TODAY(),NA()),IF(AH!$P$10=1,INDEX('Live History'!$G$5:$G$3004,MATCH($A489,'Live History'!$G$5:$G$3004,1)),INDEX('AH History'!$F$1:$F$18046,AH!$P$7+484))),NA()),NA())</ns0:f>
        <ns0:v/>
      </ns0:c>
      <ns0:c r="H489">
        <ns0:f>IFERROR(IF(AND(AH!$E$4="Bloomberg",AH!$P$10=1,ISNUMBER($A489),$A489&lt;=AH!$P$17),AH!$P$7-1+MATCH($A489,INDEX('AH History'!$A$1:$A$18046,AH!$P$7):INDEX('AH History'!$A$1:$A$18046,AH!$P$7+AH!$P$8-1),0),0),0)</ns0:f>
        <ns0:v/>
      </ns0:c>
      <ns0:c r="I489">
        <ns0:f>IF($H489=0,0,IFERROR(IF(AND(ABS($C489-INDEX('AH History'!$B$1:$B$18046,$H489))&lt;=MAX(0.005,ABS(INDEX('AH History'!$B$1:$B$18046,$H489))*0.00005),ABS($D489-INDEX('AH History'!$C$1:$C$18046,$H489))&lt;=MAX(0.005,ABS(INDEX('AH History'!$C$1:$C$18046,$H489))*0.00005),ABS($E489-INDEX('AH History'!$D$1:$D$18046,$H489))&lt;=0.00005,$F489=INDEX('AH History'!$E$1:$E$18046,$H489),$G489=INDEX('AH History'!$F$1:$F$18046,$H489)),1,-1),-1))</ns0:f>
        <ns0:v/>
      </ns0:c>
    </ns0:row>
    <ns0:row r="490">
      <ns0:c r="A490" s="215">
        <ns0:f>IF(OR(AH!$P$3=0,485+1&gt;AH!$P$11,AND(AH!$E$4&lt;&gt;"Stored",AH!$P$10&lt;&gt;1)),"",IFERROR(IF(AND(AH!$P$21=1,485+1=AH!$P$11),TODAY(),IF(AH!$P$10=1,INDEX('Live History'!$A$5:$A$3004,AH!$P$13+485),INDEX('AH History'!$A$1:$A$18046,AH!$P$7+485))),""))</ns0:f>
        <ns0:v/>
      </ns0:c>
      <ns0:c r="B490" s="219">
        <ns0:f>IFERROR(IF(AND(AH!$P$9&lt;&gt;1,$C490&gt;0,$D490&gt;0,$E490&gt;0,$F490&gt;0,$G490&gt;0,$F490&lt;=$A490,$G490&lt;=$A490,$A490-$F490&lt;=10,$A490-$G490&lt;=5),$D490*$E490/$C490-1,NA()),NA())</ns0:f>
        <ns0:v/>
      </ns0:c>
      <ns0:c r="C490">
        <ns0:f>IFERROR(IF(ISNUMBER($A490),IF(AND(AH!$P$10=1,AH!$P$12=1,$A490=TODAY()),AH!$P$19,IF(AH!$P$10=1,INDEX('Live History'!$B$5:$B$3004,AH!$P$13+485),INDEX('AH History'!$B$1:$B$18046,AH!$P$7+485))),NA()),NA())</ns0:f>
        <ns0:v/>
      </ns0:c>
      <ns0:c r="D490">
        <ns0:f>IFERROR(IF(ISNUMBER($A490),IF(AND(AH!$P$10=1,AH!$P$12=1,$A490=TODAY()),AH!$P$18,IF(AH!$P$10=1,INDEX('Live History'!$E$5:$E$3004,MATCH($A490,'Live History'!$D$5:$D$3004,1)),INDEX('AH History'!$C$1:$C$18046,AH!$P$7+485))),NA()),NA())</ns0:f>
        <ns0:v/>
      </ns0:c>
      <ns0:c r="E490">
        <ns0:f>IFERROR(IF(ISNUMBER($A490),IF(AND(AH!$P$10=1,AH!$P$12=1,$A490=TODAY()),AH!$P$20,IF(AH!$P$10=1,INDEX('Live History'!$H$5:$H$3004,MATCH($A490,'Live History'!$G$5:$G$3004,1)),INDEX('AH History'!$D$1:$D$18046,AH!$P$7+485))),NA()),NA())</ns0:f>
        <ns0:v/>
      </ns0:c>
      <ns0:c r="F490">
        <ns0:f>IFERROR(IF(ISNUMBER($A490),IF(AND(AH!$P$10=1,AH!$P$12=1,$A490=TODAY()),IF(AND(AH!$P$10=1,AH!$P$12=1,$A490=TODAY()),TODAY(),NA()),IF(AH!$P$10=1,INDEX('Live History'!$D$5:$D$3004,MATCH($A490,'Live History'!$D$5:$D$3004,1)),INDEX('AH History'!$E$1:$E$18046,AH!$P$7+485))),NA()),NA())</ns0:f>
        <ns0:v/>
      </ns0:c>
      <ns0:c r="G490">
        <ns0:f>IFERROR(IF(ISNUMBER($A490),IF(AND(AH!$P$10=1,AH!$P$12=1,$A490=TODAY()),IF(AND(AH!$P$10=1,AH!$P$12=1,$A490=TODAY()),TODAY(),NA()),IF(AH!$P$10=1,INDEX('Live History'!$G$5:$G$3004,MATCH($A490,'Live History'!$G$5:$G$3004,1)),INDEX('AH History'!$F$1:$F$18046,AH!$P$7+485))),NA()),NA())</ns0:f>
        <ns0:v/>
      </ns0:c>
      <ns0:c r="H490">
        <ns0:f>IFERROR(IF(AND(AH!$E$4="Bloomberg",AH!$P$10=1,ISNUMBER($A490),$A490&lt;=AH!$P$17),AH!$P$7-1+MATCH($A490,INDEX('AH History'!$A$1:$A$18046,AH!$P$7):INDEX('AH History'!$A$1:$A$18046,AH!$P$7+AH!$P$8-1),0),0),0)</ns0:f>
        <ns0:v/>
      </ns0:c>
      <ns0:c r="I490">
        <ns0:f>IF($H490=0,0,IFERROR(IF(AND(ABS($C490-INDEX('AH History'!$B$1:$B$18046,$H490))&lt;=MAX(0.005,ABS(INDEX('AH History'!$B$1:$B$18046,$H490))*0.00005),ABS($D490-INDEX('AH History'!$C$1:$C$18046,$H490))&lt;=MAX(0.005,ABS(INDEX('AH History'!$C$1:$C$18046,$H490))*0.00005),ABS($E490-INDEX('AH History'!$D$1:$D$18046,$H490))&lt;=0.00005,$F490=INDEX('AH History'!$E$1:$E$18046,$H490),$G490=INDEX('AH History'!$F$1:$F$18046,$H490)),1,-1),-1))</ns0:f>
        <ns0:v/>
      </ns0:c>
    </ns0:row>
    <ns0:row r="491">
      <ns0:c r="A491" s="215">
        <ns0:f>IF(OR(AH!$P$3=0,486+1&gt;AH!$P$11,AND(AH!$E$4&lt;&gt;"Stored",AH!$P$10&lt;&gt;1)),"",IFERROR(IF(AND(AH!$P$21=1,486+1=AH!$P$11),TODAY(),IF(AH!$P$10=1,INDEX('Live History'!$A$5:$A$3004,AH!$P$13+486),INDEX('AH History'!$A$1:$A$18046,AH!$P$7+486))),""))</ns0:f>
        <ns0:v/>
      </ns0:c>
      <ns0:c r="B491" s="219">
        <ns0:f>IFERROR(IF(AND(AH!$P$9&lt;&gt;1,$C491&gt;0,$D491&gt;0,$E491&gt;0,$F491&gt;0,$G491&gt;0,$F491&lt;=$A491,$G491&lt;=$A491,$A491-$F491&lt;=10,$A491-$G491&lt;=5),$D491*$E491/$C491-1,NA()),NA())</ns0:f>
        <ns0:v/>
      </ns0:c>
      <ns0:c r="C491">
        <ns0:f>IFERROR(IF(ISNUMBER($A491),IF(AND(AH!$P$10=1,AH!$P$12=1,$A491=TODAY()),AH!$P$19,IF(AH!$P$10=1,INDEX('Live History'!$B$5:$B$3004,AH!$P$13+486),INDEX('AH History'!$B$1:$B$18046,AH!$P$7+486))),NA()),NA())</ns0:f>
        <ns0:v/>
      </ns0:c>
      <ns0:c r="D491">
        <ns0:f>IFERROR(IF(ISNUMBER($A491),IF(AND(AH!$P$10=1,AH!$P$12=1,$A491=TODAY()),AH!$P$18,IF(AH!$P$10=1,INDEX('Live History'!$E$5:$E$3004,MATCH($A491,'Live History'!$D$5:$D$3004,1)),INDEX('AH History'!$C$1:$C$18046,AH!$P$7+486))),NA()),NA())</ns0:f>
        <ns0:v/>
      </ns0:c>
      <ns0:c r="E491">
        <ns0:f>IFERROR(IF(ISNUMBER($A491),IF(AND(AH!$P$10=1,AH!$P$12=1,$A491=TODAY()),AH!$P$20,IF(AH!$P$10=1,INDEX('Live History'!$H$5:$H$3004,MATCH($A491,'Live History'!$G$5:$G$3004,1)),INDEX('AH History'!$D$1:$D$18046,AH!$P$7+486))),NA()),NA())</ns0:f>
        <ns0:v/>
      </ns0:c>
      <ns0:c r="F491">
        <ns0:f>IFERROR(IF(ISNUMBER($A491),IF(AND(AH!$P$10=1,AH!$P$12=1,$A491=TODAY()),IF(AND(AH!$P$10=1,AH!$P$12=1,$A491=TODAY()),TODAY(),NA()),IF(AH!$P$10=1,INDEX('Live History'!$D$5:$D$3004,MATCH($A491,'Live History'!$D$5:$D$3004,1)),INDEX('AH History'!$E$1:$E$18046,AH!$P$7+486))),NA()),NA())</ns0:f>
        <ns0:v/>
      </ns0:c>
      <ns0:c r="G491">
        <ns0:f>IFERROR(IF(ISNUMBER($A491),IF(AND(AH!$P$10=1,AH!$P$12=1,$A491=TODAY()),IF(AND(AH!$P$10=1,AH!$P$12=1,$A491=TODAY()),TODAY(),NA()),IF(AH!$P$10=1,INDEX('Live History'!$G$5:$G$3004,MATCH($A491,'Live History'!$G$5:$G$3004,1)),INDEX('AH History'!$F$1:$F$18046,AH!$P$7+486))),NA()),NA())</ns0:f>
        <ns0:v/>
      </ns0:c>
      <ns0:c r="H491">
        <ns0:f>IFERROR(IF(AND(AH!$E$4="Bloomberg",AH!$P$10=1,ISNUMBER($A491),$A491&lt;=AH!$P$17),AH!$P$7-1+MATCH($A491,INDEX('AH History'!$A$1:$A$18046,AH!$P$7):INDEX('AH History'!$A$1:$A$18046,AH!$P$7+AH!$P$8-1),0),0),0)</ns0:f>
        <ns0:v/>
      </ns0:c>
      <ns0:c r="I491">
        <ns0:f>IF($H491=0,0,IFERROR(IF(AND(ABS($C491-INDEX('AH History'!$B$1:$B$18046,$H491))&lt;=MAX(0.005,ABS(INDEX('AH History'!$B$1:$B$18046,$H491))*0.00005),ABS($D491-INDEX('AH History'!$C$1:$C$18046,$H491))&lt;=MAX(0.005,ABS(INDEX('AH History'!$C$1:$C$18046,$H491))*0.00005),ABS($E491-INDEX('AH History'!$D$1:$D$18046,$H491))&lt;=0.00005,$F491=INDEX('AH History'!$E$1:$E$18046,$H491),$G491=INDEX('AH History'!$F$1:$F$18046,$H491)),1,-1),-1))</ns0:f>
        <ns0:v/>
      </ns0:c>
    </ns0:row>
    <ns0:row r="492">
      <ns0:c r="A492" s="215">
        <ns0:f>IF(OR(AH!$P$3=0,487+1&gt;AH!$P$11,AND(AH!$E$4&lt;&gt;"Stored",AH!$P$10&lt;&gt;1)),"",IFERROR(IF(AND(AH!$P$21=1,487+1=AH!$P$11),TODAY(),IF(AH!$P$10=1,INDEX('Live History'!$A$5:$A$3004,AH!$P$13+487),INDEX('AH History'!$A$1:$A$18046,AH!$P$7+487))),""))</ns0:f>
        <ns0:v/>
      </ns0:c>
      <ns0:c r="B492" s="219">
        <ns0:f>IFERROR(IF(AND(AH!$P$9&lt;&gt;1,$C492&gt;0,$D492&gt;0,$E492&gt;0,$F492&gt;0,$G492&gt;0,$F492&lt;=$A492,$G492&lt;=$A492,$A492-$F492&lt;=10,$A492-$G492&lt;=5),$D492*$E492/$C492-1,NA()),NA())</ns0:f>
        <ns0:v/>
      </ns0:c>
      <ns0:c r="C492">
        <ns0:f>IFERROR(IF(ISNUMBER($A492),IF(AND(AH!$P$10=1,AH!$P$12=1,$A492=TODAY()),AH!$P$19,IF(AH!$P$10=1,INDEX('Live History'!$B$5:$B$3004,AH!$P$13+487),INDEX('AH History'!$B$1:$B$18046,AH!$P$7+487))),NA()),NA())</ns0:f>
        <ns0:v/>
      </ns0:c>
      <ns0:c r="D492">
        <ns0:f>IFERROR(IF(ISNUMBER($A492),IF(AND(AH!$P$10=1,AH!$P$12=1,$A492=TODAY()),AH!$P$18,IF(AH!$P$10=1,INDEX('Live History'!$E$5:$E$3004,MATCH($A492,'Live History'!$D$5:$D$3004,1)),INDEX('AH History'!$C$1:$C$18046,AH!$P$7+487))),NA()),NA())</ns0:f>
        <ns0:v/>
      </ns0:c>
      <ns0:c r="E492">
        <ns0:f>IFERROR(IF(ISNUMBER($A492),IF(AND(AH!$P$10=1,AH!$P$12=1,$A492=TODAY()),AH!$P$20,IF(AH!$P$10=1,INDEX('Live History'!$H$5:$H$3004,MATCH($A492,'Live History'!$G$5:$G$3004,1)),INDEX('AH History'!$D$1:$D$18046,AH!$P$7+487))),NA()),NA())</ns0:f>
        <ns0:v/>
      </ns0:c>
      <ns0:c r="F492">
        <ns0:f>IFERROR(IF(ISNUMBER($A492),IF(AND(AH!$P$10=1,AH!$P$12=1,$A492=TODAY()),IF(AND(AH!$P$10=1,AH!$P$12=1,$A492=TODAY()),TODAY(),NA()),IF(AH!$P$10=1,INDEX('Live History'!$D$5:$D$3004,MATCH($A492,'Live History'!$D$5:$D$3004,1)),INDEX('AH History'!$E$1:$E$18046,AH!$P$7+487))),NA()),NA())</ns0:f>
        <ns0:v/>
      </ns0:c>
      <ns0:c r="G492">
        <ns0:f>IFERROR(IF(ISNUMBER($A492),IF(AND(AH!$P$10=1,AH!$P$12=1,$A492=TODAY()),IF(AND(AH!$P$10=1,AH!$P$12=1,$A492=TODAY()),TODAY(),NA()),IF(AH!$P$10=1,INDEX('Live History'!$G$5:$G$3004,MATCH($A492,'Live History'!$G$5:$G$3004,1)),INDEX('AH History'!$F$1:$F$18046,AH!$P$7+487))),NA()),NA())</ns0:f>
        <ns0:v/>
      </ns0:c>
      <ns0:c r="H492">
        <ns0:f>IFERROR(IF(AND(AH!$E$4="Bloomberg",AH!$P$10=1,ISNUMBER($A492),$A492&lt;=AH!$P$17),AH!$P$7-1+MATCH($A492,INDEX('AH History'!$A$1:$A$18046,AH!$P$7):INDEX('AH History'!$A$1:$A$18046,AH!$P$7+AH!$P$8-1),0),0),0)</ns0:f>
        <ns0:v/>
      </ns0:c>
      <ns0:c r="I492">
        <ns0:f>IF($H492=0,0,IFERROR(IF(AND(ABS($C492-INDEX('AH History'!$B$1:$B$18046,$H492))&lt;=MAX(0.005,ABS(INDEX('AH History'!$B$1:$B$18046,$H492))*0.00005),ABS($D492-INDEX('AH History'!$C$1:$C$18046,$H492))&lt;=MAX(0.005,ABS(INDEX('AH History'!$C$1:$C$18046,$H492))*0.00005),ABS($E492-INDEX('AH History'!$D$1:$D$18046,$H492))&lt;=0.00005,$F492=INDEX('AH History'!$E$1:$E$18046,$H492),$G492=INDEX('AH History'!$F$1:$F$18046,$H492)),1,-1),-1))</ns0:f>
        <ns0:v/>
      </ns0:c>
    </ns0:row>
    <ns0:row r="493">
      <ns0:c r="A493" s="215">
        <ns0:f>IF(OR(AH!$P$3=0,488+1&gt;AH!$P$11,AND(AH!$E$4&lt;&gt;"Stored",AH!$P$10&lt;&gt;1)),"",IFERROR(IF(AND(AH!$P$21=1,488+1=AH!$P$11),TODAY(),IF(AH!$P$10=1,INDEX('Live History'!$A$5:$A$3004,AH!$P$13+488),INDEX('AH History'!$A$1:$A$18046,AH!$P$7+488))),""))</ns0:f>
        <ns0:v/>
      </ns0:c>
      <ns0:c r="B493" s="219">
        <ns0:f>IFERROR(IF(AND(AH!$P$9&lt;&gt;1,$C493&gt;0,$D493&gt;0,$E493&gt;0,$F493&gt;0,$G493&gt;0,$F493&lt;=$A493,$G493&lt;=$A493,$A493-$F493&lt;=10,$A493-$G493&lt;=5),$D493*$E493/$C493-1,NA()),NA())</ns0:f>
        <ns0:v/>
      </ns0:c>
      <ns0:c r="C493">
        <ns0:f>IFERROR(IF(ISNUMBER($A493),IF(AND(AH!$P$10=1,AH!$P$12=1,$A493=TODAY()),AH!$P$19,IF(AH!$P$10=1,INDEX('Live History'!$B$5:$B$3004,AH!$P$13+488),INDEX('AH History'!$B$1:$B$18046,AH!$P$7+488))),NA()),NA())</ns0:f>
        <ns0:v/>
      </ns0:c>
      <ns0:c r="D493">
        <ns0:f>IFERROR(IF(ISNUMBER($A493),IF(AND(AH!$P$10=1,AH!$P$12=1,$A493=TODAY()),AH!$P$18,IF(AH!$P$10=1,INDEX('Live History'!$E$5:$E$3004,MATCH($A493,'Live History'!$D$5:$D$3004,1)),INDEX('AH History'!$C$1:$C$18046,AH!$P$7+488))),NA()),NA())</ns0:f>
        <ns0:v/>
      </ns0:c>
      <ns0:c r="E493">
        <ns0:f>IFERROR(IF(ISNUMBER($A493),IF(AND(AH!$P$10=1,AH!$P$12=1,$A493=TODAY()),AH!$P$20,IF(AH!$P$10=1,INDEX('Live History'!$H$5:$H$3004,MATCH($A493,'Live History'!$G$5:$G$3004,1)),INDEX('AH History'!$D$1:$D$18046,AH!$P$7+488))),NA()),NA())</ns0:f>
        <ns0:v/>
      </ns0:c>
      <ns0:c r="F493">
        <ns0:f>IFERROR(IF(ISNUMBER($A493),IF(AND(AH!$P$10=1,AH!$P$12=1,$A493=TODAY()),IF(AND(AH!$P$10=1,AH!$P$12=1,$A493=TODAY()),TODAY(),NA()),IF(AH!$P$10=1,INDEX('Live History'!$D$5:$D$3004,MATCH($A493,'Live History'!$D$5:$D$3004,1)),INDEX('AH History'!$E$1:$E$18046,AH!$P$7+488))),NA()),NA())</ns0:f>
        <ns0:v/>
      </ns0:c>
      <ns0:c r="G493">
        <ns0:f>IFERROR(IF(ISNUMBER($A493),IF(AND(AH!$P$10=1,AH!$P$12=1,$A493=TODAY()),IF(AND(AH!$P$10=1,AH!$P$12=1,$A493=TODAY()),TODAY(),NA()),IF(AH!$P$10=1,INDEX('Live History'!$G$5:$G$3004,MATCH($A493,'Live History'!$G$5:$G$3004,1)),INDEX('AH History'!$F$1:$F$18046,AH!$P$7+488))),NA()),NA())</ns0:f>
        <ns0:v/>
      </ns0:c>
      <ns0:c r="H493">
        <ns0:f>IFERROR(IF(AND(AH!$E$4="Bloomberg",AH!$P$10=1,ISNUMBER($A493),$A493&lt;=AH!$P$17),AH!$P$7-1+MATCH($A493,INDEX('AH History'!$A$1:$A$18046,AH!$P$7):INDEX('AH History'!$A$1:$A$18046,AH!$P$7+AH!$P$8-1),0),0),0)</ns0:f>
        <ns0:v/>
      </ns0:c>
      <ns0:c r="I493">
        <ns0:f>IF($H493=0,0,IFERROR(IF(AND(ABS($C493-INDEX('AH History'!$B$1:$B$18046,$H493))&lt;=MAX(0.005,ABS(INDEX('AH History'!$B$1:$B$18046,$H493))*0.00005),ABS($D493-INDEX('AH History'!$C$1:$C$18046,$H493))&lt;=MAX(0.005,ABS(INDEX('AH History'!$C$1:$C$18046,$H493))*0.00005),ABS($E493-INDEX('AH History'!$D$1:$D$18046,$H493))&lt;=0.00005,$F493=INDEX('AH History'!$E$1:$E$18046,$H493),$G493=INDEX('AH History'!$F$1:$F$18046,$H493)),1,-1),-1))</ns0:f>
        <ns0:v/>
      </ns0:c>
    </ns0:row>
    <ns0:row r="494">
      <ns0:c r="A494" s="215">
        <ns0:f>IF(OR(AH!$P$3=0,489+1&gt;AH!$P$11,AND(AH!$E$4&lt;&gt;"Stored",AH!$P$10&lt;&gt;1)),"",IFERROR(IF(AND(AH!$P$21=1,489+1=AH!$P$11),TODAY(),IF(AH!$P$10=1,INDEX('Live History'!$A$5:$A$3004,AH!$P$13+489),INDEX('AH History'!$A$1:$A$18046,AH!$P$7+489))),""))</ns0:f>
        <ns0:v/>
      </ns0:c>
      <ns0:c r="B494" s="219">
        <ns0:f>IFERROR(IF(AND(AH!$P$9&lt;&gt;1,$C494&gt;0,$D494&gt;0,$E494&gt;0,$F494&gt;0,$G494&gt;0,$F494&lt;=$A494,$G494&lt;=$A494,$A494-$F494&lt;=10,$A494-$G494&lt;=5),$D494*$E494/$C494-1,NA()),NA())</ns0:f>
        <ns0:v/>
      </ns0:c>
      <ns0:c r="C494">
        <ns0:f>IFERROR(IF(ISNUMBER($A494),IF(AND(AH!$P$10=1,AH!$P$12=1,$A494=TODAY()),AH!$P$19,IF(AH!$P$10=1,INDEX('Live History'!$B$5:$B$3004,AH!$P$13+489),INDEX('AH History'!$B$1:$B$18046,AH!$P$7+489))),NA()),NA())</ns0:f>
        <ns0:v/>
      </ns0:c>
      <ns0:c r="D494">
        <ns0:f>IFERROR(IF(ISNUMBER($A494),IF(AND(AH!$P$10=1,AH!$P$12=1,$A494=TODAY()),AH!$P$18,IF(AH!$P$10=1,INDEX('Live History'!$E$5:$E$3004,MATCH($A494,'Live History'!$D$5:$D$3004,1)),INDEX('AH History'!$C$1:$C$18046,AH!$P$7+489))),NA()),NA())</ns0:f>
        <ns0:v/>
      </ns0:c>
      <ns0:c r="E494">
        <ns0:f>IFERROR(IF(ISNUMBER($A494),IF(AND(AH!$P$10=1,AH!$P$12=1,$A494=TODAY()),AH!$P$20,IF(AH!$P$10=1,INDEX('Live History'!$H$5:$H$3004,MATCH($A494,'Live History'!$G$5:$G$3004,1)),INDEX('AH History'!$D$1:$D$18046,AH!$P$7+489))),NA()),NA())</ns0:f>
        <ns0:v/>
      </ns0:c>
      <ns0:c r="F494">
        <ns0:f>IFERROR(IF(ISNUMBER($A494),IF(AND(AH!$P$10=1,AH!$P$12=1,$A494=TODAY()),IF(AND(AH!$P$10=1,AH!$P$12=1,$A494=TODAY()),TODAY(),NA()),IF(AH!$P$10=1,INDEX('Live History'!$D$5:$D$3004,MATCH($A494,'Live History'!$D$5:$D$3004,1)),INDEX('AH History'!$E$1:$E$18046,AH!$P$7+489))),NA()),NA())</ns0:f>
        <ns0:v/>
      </ns0:c>
      <ns0:c r="G494">
        <ns0:f>IFERROR(IF(ISNUMBER($A494),IF(AND(AH!$P$10=1,AH!$P$12=1,$A494=TODAY()),IF(AND(AH!$P$10=1,AH!$P$12=1,$A494=TODAY()),TODAY(),NA()),IF(AH!$P$10=1,INDEX('Live History'!$G$5:$G$3004,MATCH($A494,'Live History'!$G$5:$G$3004,1)),INDEX('AH History'!$F$1:$F$18046,AH!$P$7+489))),NA()),NA())</ns0:f>
        <ns0:v/>
      </ns0:c>
      <ns0:c r="H494">
        <ns0:f>IFERROR(IF(AND(AH!$E$4="Bloomberg",AH!$P$10=1,ISNUMBER($A494),$A494&lt;=AH!$P$17),AH!$P$7-1+MATCH($A494,INDEX('AH History'!$A$1:$A$18046,AH!$P$7):INDEX('AH History'!$A$1:$A$18046,AH!$P$7+AH!$P$8-1),0),0),0)</ns0:f>
        <ns0:v/>
      </ns0:c>
      <ns0:c r="I494">
        <ns0:f>IF($H494=0,0,IFERROR(IF(AND(ABS($C494-INDEX('AH History'!$B$1:$B$18046,$H494))&lt;=MAX(0.005,ABS(INDEX('AH History'!$B$1:$B$18046,$H494))*0.00005),ABS($D494-INDEX('AH History'!$C$1:$C$18046,$H494))&lt;=MAX(0.005,ABS(INDEX('AH History'!$C$1:$C$18046,$H494))*0.00005),ABS($E494-INDEX('AH History'!$D$1:$D$18046,$H494))&lt;=0.00005,$F494=INDEX('AH History'!$E$1:$E$18046,$H494),$G494=INDEX('AH History'!$F$1:$F$18046,$H494)),1,-1),-1))</ns0:f>
        <ns0:v/>
      </ns0:c>
    </ns0:row>
    <ns0:row r="495">
      <ns0:c r="A495" s="215">
        <ns0:f>IF(OR(AH!$P$3=0,490+1&gt;AH!$P$11,AND(AH!$E$4&lt;&gt;"Stored",AH!$P$10&lt;&gt;1)),"",IFERROR(IF(AND(AH!$P$21=1,490+1=AH!$P$11),TODAY(),IF(AH!$P$10=1,INDEX('Live History'!$A$5:$A$3004,AH!$P$13+490),INDEX('AH History'!$A$1:$A$18046,AH!$P$7+490))),""))</ns0:f>
        <ns0:v/>
      </ns0:c>
      <ns0:c r="B495" s="219">
        <ns0:f>IFERROR(IF(AND(AH!$P$9&lt;&gt;1,$C495&gt;0,$D495&gt;0,$E495&gt;0,$F495&gt;0,$G495&gt;0,$F495&lt;=$A495,$G495&lt;=$A495,$A495-$F495&lt;=10,$A495-$G495&lt;=5),$D495*$E495/$C495-1,NA()),NA())</ns0:f>
        <ns0:v/>
      </ns0:c>
      <ns0:c r="C495">
        <ns0:f>IFERROR(IF(ISNUMBER($A495),IF(AND(AH!$P$10=1,AH!$P$12=1,$A495=TODAY()),AH!$P$19,IF(AH!$P$10=1,INDEX('Live History'!$B$5:$B$3004,AH!$P$13+490),INDEX('AH History'!$B$1:$B$18046,AH!$P$7+490))),NA()),NA())</ns0:f>
        <ns0:v/>
      </ns0:c>
      <ns0:c r="D495">
        <ns0:f>IFERROR(IF(ISNUMBER($A495),IF(AND(AH!$P$10=1,AH!$P$12=1,$A495=TODAY()),AH!$P$18,IF(AH!$P$10=1,INDEX('Live History'!$E$5:$E$3004,MATCH($A495,'Live History'!$D$5:$D$3004,1)),INDEX('AH History'!$C$1:$C$18046,AH!$P$7+490))),NA()),NA())</ns0:f>
        <ns0:v/>
      </ns0:c>
      <ns0:c r="E495">
        <ns0:f>IFERROR(IF(ISNUMBER($A495),IF(AND(AH!$P$10=1,AH!$P$12=1,$A495=TODAY()),AH!$P$20,IF(AH!$P$10=1,INDEX('Live History'!$H$5:$H$3004,MATCH($A495,'Live History'!$G$5:$G$3004,1)),INDEX('AH History'!$D$1:$D$18046,AH!$P$7+490))),NA()),NA())</ns0:f>
        <ns0:v/>
      </ns0:c>
      <ns0:c r="F495">
        <ns0:f>IFERROR(IF(ISNUMBER($A495),IF(AND(AH!$P$10=1,AH!$P$12=1,$A495=TODAY()),IF(AND(AH!$P$10=1,AH!$P$12=1,$A495=TODAY()),TODAY(),NA()),IF(AH!$P$10=1,INDEX('Live History'!$D$5:$D$3004,MATCH($A495,'Live History'!$D$5:$D$3004,1)),INDEX('AH History'!$E$1:$E$18046,AH!$P$7+490))),NA()),NA())</ns0:f>
        <ns0:v/>
      </ns0:c>
      <ns0:c r="G495">
        <ns0:f>IFERROR(IF(ISNUMBER($A495),IF(AND(AH!$P$10=1,AH!$P$12=1,$A495=TODAY()),IF(AND(AH!$P$10=1,AH!$P$12=1,$A495=TODAY()),TODAY(),NA()),IF(AH!$P$10=1,INDEX('Live History'!$G$5:$G$3004,MATCH($A495,'Live History'!$G$5:$G$3004,1)),INDEX('AH History'!$F$1:$F$18046,AH!$P$7+490))),NA()),NA())</ns0:f>
        <ns0:v/>
      </ns0:c>
      <ns0:c r="H495">
        <ns0:f>IFERROR(IF(AND(AH!$E$4="Bloomberg",AH!$P$10=1,ISNUMBER($A495),$A495&lt;=AH!$P$17),AH!$P$7-1+MATCH($A495,INDEX('AH History'!$A$1:$A$18046,AH!$P$7):INDEX('AH History'!$A$1:$A$18046,AH!$P$7+AH!$P$8-1),0),0),0)</ns0:f>
        <ns0:v/>
      </ns0:c>
      <ns0:c r="I495">
        <ns0:f>IF($H495=0,0,IFERROR(IF(AND(ABS($C495-INDEX('AH History'!$B$1:$B$18046,$H495))&lt;=MAX(0.005,ABS(INDEX('AH History'!$B$1:$B$18046,$H495))*0.00005),ABS($D495-INDEX('AH History'!$C$1:$C$18046,$H495))&lt;=MAX(0.005,ABS(INDEX('AH History'!$C$1:$C$18046,$H495))*0.00005),ABS($E495-INDEX('AH History'!$D$1:$D$18046,$H495))&lt;=0.00005,$F495=INDEX('AH History'!$E$1:$E$18046,$H495),$G495=INDEX('AH History'!$F$1:$F$18046,$H495)),1,-1),-1))</ns0:f>
        <ns0:v/>
      </ns0:c>
    </ns0:row>
    <ns0:row r="496">
      <ns0:c r="A496" s="215">
        <ns0:f>IF(OR(AH!$P$3=0,491+1&gt;AH!$P$11,AND(AH!$E$4&lt;&gt;"Stored",AH!$P$10&lt;&gt;1)),"",IFERROR(IF(AND(AH!$P$21=1,491+1=AH!$P$11),TODAY(),IF(AH!$P$10=1,INDEX('Live History'!$A$5:$A$3004,AH!$P$13+491),INDEX('AH History'!$A$1:$A$18046,AH!$P$7+491))),""))</ns0:f>
        <ns0:v/>
      </ns0:c>
      <ns0:c r="B496" s="219">
        <ns0:f>IFERROR(IF(AND(AH!$P$9&lt;&gt;1,$C496&gt;0,$D496&gt;0,$E496&gt;0,$F496&gt;0,$G496&gt;0,$F496&lt;=$A496,$G496&lt;=$A496,$A496-$F496&lt;=10,$A496-$G496&lt;=5),$D496*$E496/$C496-1,NA()),NA())</ns0:f>
        <ns0:v/>
      </ns0:c>
      <ns0:c r="C496">
        <ns0:f>IFERROR(IF(ISNUMBER($A496),IF(AND(AH!$P$10=1,AH!$P$12=1,$A496=TODAY()),AH!$P$19,IF(AH!$P$10=1,INDEX('Live History'!$B$5:$B$3004,AH!$P$13+491),INDEX('AH History'!$B$1:$B$18046,AH!$P$7+491))),NA()),NA())</ns0:f>
        <ns0:v/>
      </ns0:c>
      <ns0:c r="D496">
        <ns0:f>IFERROR(IF(ISNUMBER($A496),IF(AND(AH!$P$10=1,AH!$P$12=1,$A496=TODAY()),AH!$P$18,IF(AH!$P$10=1,INDEX('Live History'!$E$5:$E$3004,MATCH($A496,'Live History'!$D$5:$D$3004,1)),INDEX('AH History'!$C$1:$C$18046,AH!$P$7+491))),NA()),NA())</ns0:f>
        <ns0:v/>
      </ns0:c>
      <ns0:c r="E496">
        <ns0:f>IFERROR(IF(ISNUMBER($A496),IF(AND(AH!$P$10=1,AH!$P$12=1,$A496=TODAY()),AH!$P$20,IF(AH!$P$10=1,INDEX('Live History'!$H$5:$H$3004,MATCH($A496,'Live History'!$G$5:$G$3004,1)),INDEX('AH History'!$D$1:$D$18046,AH!$P$7+491))),NA()),NA())</ns0:f>
        <ns0:v/>
      </ns0:c>
      <ns0:c r="F496">
        <ns0:f>IFERROR(IF(ISNUMBER($A496),IF(AND(AH!$P$10=1,AH!$P$12=1,$A496=TODAY()),IF(AND(AH!$P$10=1,AH!$P$12=1,$A496=TODAY()),TODAY(),NA()),IF(AH!$P$10=1,INDEX('Live History'!$D$5:$D$3004,MATCH($A496,'Live History'!$D$5:$D$3004,1)),INDEX('AH History'!$E$1:$E$18046,AH!$P$7+491))),NA()),NA())</ns0:f>
        <ns0:v/>
      </ns0:c>
      <ns0:c r="G496">
        <ns0:f>IFERROR(IF(ISNUMBER($A496),IF(AND(AH!$P$10=1,AH!$P$12=1,$A496=TODAY()),IF(AND(AH!$P$10=1,AH!$P$12=1,$A496=TODAY()),TODAY(),NA()),IF(AH!$P$10=1,INDEX('Live History'!$G$5:$G$3004,MATCH($A496,'Live History'!$G$5:$G$3004,1)),INDEX('AH History'!$F$1:$F$18046,AH!$P$7+491))),NA()),NA())</ns0:f>
        <ns0:v/>
      </ns0:c>
      <ns0:c r="H496">
        <ns0:f>IFERROR(IF(AND(AH!$E$4="Bloomberg",AH!$P$10=1,ISNUMBER($A496),$A496&lt;=AH!$P$17),AH!$P$7-1+MATCH($A496,INDEX('AH History'!$A$1:$A$18046,AH!$P$7):INDEX('AH History'!$A$1:$A$18046,AH!$P$7+AH!$P$8-1),0),0),0)</ns0:f>
        <ns0:v/>
      </ns0:c>
      <ns0:c r="I496">
        <ns0:f>IF($H496=0,0,IFERROR(IF(AND(ABS($C496-INDEX('AH History'!$B$1:$B$18046,$H496))&lt;=MAX(0.005,ABS(INDEX('AH History'!$B$1:$B$18046,$H496))*0.00005),ABS($D496-INDEX('AH History'!$C$1:$C$18046,$H496))&lt;=MAX(0.005,ABS(INDEX('AH History'!$C$1:$C$18046,$H496))*0.00005),ABS($E496-INDEX('AH History'!$D$1:$D$18046,$H496))&lt;=0.00005,$F496=INDEX('AH History'!$E$1:$E$18046,$H496),$G496=INDEX('AH History'!$F$1:$F$18046,$H496)),1,-1),-1))</ns0:f>
        <ns0:v/>
      </ns0:c>
    </ns0:row>
    <ns0:row r="497">
      <ns0:c r="A497" s="215">
        <ns0:f>IF(OR(AH!$P$3=0,492+1&gt;AH!$P$11,AND(AH!$E$4&lt;&gt;"Stored",AH!$P$10&lt;&gt;1)),"",IFERROR(IF(AND(AH!$P$21=1,492+1=AH!$P$11),TODAY(),IF(AH!$P$10=1,INDEX('Live History'!$A$5:$A$3004,AH!$P$13+492),INDEX('AH History'!$A$1:$A$18046,AH!$P$7+492))),""))</ns0:f>
        <ns0:v/>
      </ns0:c>
      <ns0:c r="B497" s="219">
        <ns0:f>IFERROR(IF(AND(AH!$P$9&lt;&gt;1,$C497&gt;0,$D497&gt;0,$E497&gt;0,$F497&gt;0,$G497&gt;0,$F497&lt;=$A497,$G497&lt;=$A497,$A497-$F497&lt;=10,$A497-$G497&lt;=5),$D497*$E497/$C497-1,NA()),NA())</ns0:f>
        <ns0:v/>
      </ns0:c>
      <ns0:c r="C497">
        <ns0:f>IFERROR(IF(ISNUMBER($A497),IF(AND(AH!$P$10=1,AH!$P$12=1,$A497=TODAY()),AH!$P$19,IF(AH!$P$10=1,INDEX('Live History'!$B$5:$B$3004,AH!$P$13+492),INDEX('AH History'!$B$1:$B$18046,AH!$P$7+492))),NA()),NA())</ns0:f>
        <ns0:v/>
      </ns0:c>
      <ns0:c r="D497">
        <ns0:f>IFERROR(IF(ISNUMBER($A497),IF(AND(AH!$P$10=1,AH!$P$12=1,$A497=TODAY()),AH!$P$18,IF(AH!$P$10=1,INDEX('Live History'!$E$5:$E$3004,MATCH($A497,'Live History'!$D$5:$D$3004,1)),INDEX('AH History'!$C$1:$C$18046,AH!$P$7+492))),NA()),NA())</ns0:f>
        <ns0:v/>
      </ns0:c>
      <ns0:c r="E497">
        <ns0:f>IFERROR(IF(ISNUMBER($A497),IF(AND(AH!$P$10=1,AH!$P$12=1,$A497=TODAY()),AH!$P$20,IF(AH!$P$10=1,INDEX('Live History'!$H$5:$H$3004,MATCH($A497,'Live History'!$G$5:$G$3004,1)),INDEX('AH History'!$D$1:$D$18046,AH!$P$7+492))),NA()),NA())</ns0:f>
        <ns0:v/>
      </ns0:c>
      <ns0:c r="F497">
        <ns0:f>IFERROR(IF(ISNUMBER($A497),IF(AND(AH!$P$10=1,AH!$P$12=1,$A497=TODAY()),IF(AND(AH!$P$10=1,AH!$P$12=1,$A497=TODAY()),TODAY(),NA()),IF(AH!$P$10=1,INDEX('Live History'!$D$5:$D$3004,MATCH($A497,'Live History'!$D$5:$D$3004,1)),INDEX('AH History'!$E$1:$E$18046,AH!$P$7+492))),NA()),NA())</ns0:f>
        <ns0:v/>
      </ns0:c>
      <ns0:c r="G497">
        <ns0:f>IFERROR(IF(ISNUMBER($A497),IF(AND(AH!$P$10=1,AH!$P$12=1,$A497=TODAY()),IF(AND(AH!$P$10=1,AH!$P$12=1,$A497=TODAY()),TODAY(),NA()),IF(AH!$P$10=1,INDEX('Live History'!$G$5:$G$3004,MATCH($A497,'Live History'!$G$5:$G$3004,1)),INDEX('AH History'!$F$1:$F$18046,AH!$P$7+492))),NA()),NA())</ns0:f>
        <ns0:v/>
      </ns0:c>
      <ns0:c r="H497">
        <ns0:f>IFERROR(IF(AND(AH!$E$4="Bloomberg",AH!$P$10=1,ISNUMBER($A497),$A497&lt;=AH!$P$17),AH!$P$7-1+MATCH($A497,INDEX('AH History'!$A$1:$A$18046,AH!$P$7):INDEX('AH History'!$A$1:$A$18046,AH!$P$7+AH!$P$8-1),0),0),0)</ns0:f>
        <ns0:v/>
      </ns0:c>
      <ns0:c r="I497">
        <ns0:f>IF($H497=0,0,IFERROR(IF(AND(ABS($C497-INDEX('AH History'!$B$1:$B$18046,$H497))&lt;=MAX(0.005,ABS(INDEX('AH History'!$B$1:$B$18046,$H497))*0.00005),ABS($D497-INDEX('AH History'!$C$1:$C$18046,$H497))&lt;=MAX(0.005,ABS(INDEX('AH History'!$C$1:$C$18046,$H497))*0.00005),ABS($E497-INDEX('AH History'!$D$1:$D$18046,$H497))&lt;=0.00005,$F497=INDEX('AH History'!$E$1:$E$18046,$H497),$G497=INDEX('AH History'!$F$1:$F$18046,$H497)),1,-1),-1))</ns0:f>
        <ns0:v/>
      </ns0:c>
    </ns0:row>
    <ns0:row r="498">
      <ns0:c r="A498" s="215">
        <ns0:f>IF(OR(AH!$P$3=0,493+1&gt;AH!$P$11,AND(AH!$E$4&lt;&gt;"Stored",AH!$P$10&lt;&gt;1)),"",IFERROR(IF(AND(AH!$P$21=1,493+1=AH!$P$11),TODAY(),IF(AH!$P$10=1,INDEX('Live History'!$A$5:$A$3004,AH!$P$13+493),INDEX('AH History'!$A$1:$A$18046,AH!$P$7+493))),""))</ns0:f>
        <ns0:v/>
      </ns0:c>
      <ns0:c r="B498" s="219">
        <ns0:f>IFERROR(IF(AND(AH!$P$9&lt;&gt;1,$C498&gt;0,$D498&gt;0,$E498&gt;0,$F498&gt;0,$G498&gt;0,$F498&lt;=$A498,$G498&lt;=$A498,$A498-$F498&lt;=10,$A498-$G498&lt;=5),$D498*$E498/$C498-1,NA()),NA())</ns0:f>
        <ns0:v/>
      </ns0:c>
      <ns0:c r="C498">
        <ns0:f>IFERROR(IF(ISNUMBER($A498),IF(AND(AH!$P$10=1,AH!$P$12=1,$A498=TODAY()),AH!$P$19,IF(AH!$P$10=1,INDEX('Live History'!$B$5:$B$3004,AH!$P$13+493),INDEX('AH History'!$B$1:$B$18046,AH!$P$7+493))),NA()),NA())</ns0:f>
        <ns0:v/>
      </ns0:c>
      <ns0:c r="D498">
        <ns0:f>IFERROR(IF(ISNUMBER($A498),IF(AND(AH!$P$10=1,AH!$P$12=1,$A498=TODAY()),AH!$P$18,IF(AH!$P$10=1,INDEX('Live History'!$E$5:$E$3004,MATCH($A498,'Live History'!$D$5:$D$3004,1)),INDEX('AH History'!$C$1:$C$18046,AH!$P$7+493))),NA()),NA())</ns0:f>
        <ns0:v/>
      </ns0:c>
      <ns0:c r="E498">
        <ns0:f>IFERROR(IF(ISNUMBER($A498),IF(AND(AH!$P$10=1,AH!$P$12=1,$A498=TODAY()),AH!$P$20,IF(AH!$P$10=1,INDEX('Live History'!$H$5:$H$3004,MATCH($A498,'Live History'!$G$5:$G$3004,1)),INDEX('AH History'!$D$1:$D$18046,AH!$P$7+493))),NA()),NA())</ns0:f>
        <ns0:v/>
      </ns0:c>
      <ns0:c r="F498">
        <ns0:f>IFERROR(IF(ISNUMBER($A498),IF(AND(AH!$P$10=1,AH!$P$12=1,$A498=TODAY()),IF(AND(AH!$P$10=1,AH!$P$12=1,$A498=TODAY()),TODAY(),NA()),IF(AH!$P$10=1,INDEX('Live History'!$D$5:$D$3004,MATCH($A498,'Live History'!$D$5:$D$3004,1)),INDEX('AH History'!$E$1:$E$18046,AH!$P$7+493))),NA()),NA())</ns0:f>
        <ns0:v/>
      </ns0:c>
      <ns0:c r="G498">
        <ns0:f>IFERROR(IF(ISNUMBER($A498),IF(AND(AH!$P$10=1,AH!$P$12=1,$A498=TODAY()),IF(AND(AH!$P$10=1,AH!$P$12=1,$A498=TODAY()),TODAY(),NA()),IF(AH!$P$10=1,INDEX('Live History'!$G$5:$G$3004,MATCH($A498,'Live History'!$G$5:$G$3004,1)),INDEX('AH History'!$F$1:$F$18046,AH!$P$7+493))),NA()),NA())</ns0:f>
        <ns0:v/>
      </ns0:c>
      <ns0:c r="H498">
        <ns0:f>IFERROR(IF(AND(AH!$E$4="Bloomberg",AH!$P$10=1,ISNUMBER($A498),$A498&lt;=AH!$P$17),AH!$P$7-1+MATCH($A498,INDEX('AH History'!$A$1:$A$18046,AH!$P$7):INDEX('AH History'!$A$1:$A$18046,AH!$P$7+AH!$P$8-1),0),0),0)</ns0:f>
        <ns0:v/>
      </ns0:c>
      <ns0:c r="I498">
        <ns0:f>IF($H498=0,0,IFERROR(IF(AND(ABS($C498-INDEX('AH History'!$B$1:$B$18046,$H498))&lt;=MAX(0.005,ABS(INDEX('AH History'!$B$1:$B$18046,$H498))*0.00005),ABS($D498-INDEX('AH History'!$C$1:$C$18046,$H498))&lt;=MAX(0.005,ABS(INDEX('AH History'!$C$1:$C$18046,$H498))*0.00005),ABS($E498-INDEX('AH History'!$D$1:$D$18046,$H498))&lt;=0.00005,$F498=INDEX('AH History'!$E$1:$E$18046,$H498),$G498=INDEX('AH History'!$F$1:$F$18046,$H498)),1,-1),-1))</ns0:f>
        <ns0:v/>
      </ns0:c>
    </ns0:row>
    <ns0:row r="499">
      <ns0:c r="A499" s="215">
        <ns0:f>IF(OR(AH!$P$3=0,494+1&gt;AH!$P$11,AND(AH!$E$4&lt;&gt;"Stored",AH!$P$10&lt;&gt;1)),"",IFERROR(IF(AND(AH!$P$21=1,494+1=AH!$P$11),TODAY(),IF(AH!$P$10=1,INDEX('Live History'!$A$5:$A$3004,AH!$P$13+494),INDEX('AH History'!$A$1:$A$18046,AH!$P$7+494))),""))</ns0:f>
        <ns0:v/>
      </ns0:c>
      <ns0:c r="B499" s="219">
        <ns0:f>IFERROR(IF(AND(AH!$P$9&lt;&gt;1,$C499&gt;0,$D499&gt;0,$E499&gt;0,$F499&gt;0,$G499&gt;0,$F499&lt;=$A499,$G499&lt;=$A499,$A499-$F499&lt;=10,$A499-$G499&lt;=5),$D499*$E499/$C499-1,NA()),NA())</ns0:f>
        <ns0:v/>
      </ns0:c>
      <ns0:c r="C499">
        <ns0:f>IFERROR(IF(ISNUMBER($A499),IF(AND(AH!$P$10=1,AH!$P$12=1,$A499=TODAY()),AH!$P$19,IF(AH!$P$10=1,INDEX('Live History'!$B$5:$B$3004,AH!$P$13+494),INDEX('AH History'!$B$1:$B$18046,AH!$P$7+494))),NA()),NA())</ns0:f>
        <ns0:v/>
      </ns0:c>
      <ns0:c r="D499">
        <ns0:f>IFERROR(IF(ISNUMBER($A499),IF(AND(AH!$P$10=1,AH!$P$12=1,$A499=TODAY()),AH!$P$18,IF(AH!$P$10=1,INDEX('Live History'!$E$5:$E$3004,MATCH($A499,'Live History'!$D$5:$D$3004,1)),INDEX('AH History'!$C$1:$C$18046,AH!$P$7+494))),NA()),NA())</ns0:f>
        <ns0:v/>
      </ns0:c>
      <ns0:c r="E499">
        <ns0:f>IFERROR(IF(ISNUMBER($A499),IF(AND(AH!$P$10=1,AH!$P$12=1,$A499=TODAY()),AH!$P$20,IF(AH!$P$10=1,INDEX('Live History'!$H$5:$H$3004,MATCH($A499,'Live History'!$G$5:$G$3004,1)),INDEX('AH History'!$D$1:$D$18046,AH!$P$7+494))),NA()),NA())</ns0:f>
        <ns0:v/>
      </ns0:c>
      <ns0:c r="F499">
        <ns0:f>IFERROR(IF(ISNUMBER($A499),IF(AND(AH!$P$10=1,AH!$P$12=1,$A499=TODAY()),IF(AND(AH!$P$10=1,AH!$P$12=1,$A499=TODAY()),TODAY(),NA()),IF(AH!$P$10=1,INDEX('Live History'!$D$5:$D$3004,MATCH($A499,'Live History'!$D$5:$D$3004,1)),INDEX('AH History'!$E$1:$E$18046,AH!$P$7+494))),NA()),NA())</ns0:f>
        <ns0:v/>
      </ns0:c>
      <ns0:c r="G499">
        <ns0:f>IFERROR(IF(ISNUMBER($A499),IF(AND(AH!$P$10=1,AH!$P$12=1,$A499=TODAY()),IF(AND(AH!$P$10=1,AH!$P$12=1,$A499=TODAY()),TODAY(),NA()),IF(AH!$P$10=1,INDEX('Live History'!$G$5:$G$3004,MATCH($A499,'Live History'!$G$5:$G$3004,1)),INDEX('AH History'!$F$1:$F$18046,AH!$P$7+494))),NA()),NA())</ns0:f>
        <ns0:v/>
      </ns0:c>
      <ns0:c r="H499">
        <ns0:f>IFERROR(IF(AND(AH!$E$4="Bloomberg",AH!$P$10=1,ISNUMBER($A499),$A499&lt;=AH!$P$17),AH!$P$7-1+MATCH($A499,INDEX('AH History'!$A$1:$A$18046,AH!$P$7):INDEX('AH History'!$A$1:$A$18046,AH!$P$7+AH!$P$8-1),0),0),0)</ns0:f>
        <ns0:v/>
      </ns0:c>
      <ns0:c r="I499">
        <ns0:f>IF($H499=0,0,IFERROR(IF(AND(ABS($C499-INDEX('AH History'!$B$1:$B$18046,$H499))&lt;=MAX(0.005,ABS(INDEX('AH History'!$B$1:$B$18046,$H499))*0.00005),ABS($D499-INDEX('AH History'!$C$1:$C$18046,$H499))&lt;=MAX(0.005,ABS(INDEX('AH History'!$C$1:$C$18046,$H499))*0.00005),ABS($E499-INDEX('AH History'!$D$1:$D$18046,$H499))&lt;=0.00005,$F499=INDEX('AH History'!$E$1:$E$18046,$H499),$G499=INDEX('AH History'!$F$1:$F$18046,$H499)),1,-1),-1))</ns0:f>
        <ns0:v/>
      </ns0:c>
    </ns0:row>
    <ns0:row r="500">
      <ns0:c r="A500" s="215">
        <ns0:f>IF(OR(AH!$P$3=0,495+1&gt;AH!$P$11,AND(AH!$E$4&lt;&gt;"Stored",AH!$P$10&lt;&gt;1)),"",IFERROR(IF(AND(AH!$P$21=1,495+1=AH!$P$11),TODAY(),IF(AH!$P$10=1,INDEX('Live History'!$A$5:$A$3004,AH!$P$13+495),INDEX('AH History'!$A$1:$A$18046,AH!$P$7+495))),""))</ns0:f>
        <ns0:v/>
      </ns0:c>
      <ns0:c r="B500" s="219">
        <ns0:f>IFERROR(IF(AND(AH!$P$9&lt;&gt;1,$C500&gt;0,$D500&gt;0,$E500&gt;0,$F500&gt;0,$G500&gt;0,$F500&lt;=$A500,$G500&lt;=$A500,$A500-$F500&lt;=10,$A500-$G500&lt;=5),$D500*$E500/$C500-1,NA()),NA())</ns0:f>
        <ns0:v/>
      </ns0:c>
      <ns0:c r="C500">
        <ns0:f>IFERROR(IF(ISNUMBER($A500),IF(AND(AH!$P$10=1,AH!$P$12=1,$A500=TODAY()),AH!$P$19,IF(AH!$P$10=1,INDEX('Live History'!$B$5:$B$3004,AH!$P$13+495),INDEX('AH History'!$B$1:$B$18046,AH!$P$7+495))),NA()),NA())</ns0:f>
        <ns0:v/>
      </ns0:c>
      <ns0:c r="D500">
        <ns0:f>IFERROR(IF(ISNUMBER($A500),IF(AND(AH!$P$10=1,AH!$P$12=1,$A500=TODAY()),AH!$P$18,IF(AH!$P$10=1,INDEX('Live History'!$E$5:$E$3004,MATCH($A500,'Live History'!$D$5:$D$3004,1)),INDEX('AH History'!$C$1:$C$18046,AH!$P$7+495))),NA()),NA())</ns0:f>
        <ns0:v/>
      </ns0:c>
      <ns0:c r="E500">
        <ns0:f>IFERROR(IF(ISNUMBER($A500),IF(AND(AH!$P$10=1,AH!$P$12=1,$A500=TODAY()),AH!$P$20,IF(AH!$P$10=1,INDEX('Live History'!$H$5:$H$3004,MATCH($A500,'Live History'!$G$5:$G$3004,1)),INDEX('AH History'!$D$1:$D$18046,AH!$P$7+495))),NA()),NA())</ns0:f>
        <ns0:v/>
      </ns0:c>
      <ns0:c r="F500">
        <ns0:f>IFERROR(IF(ISNUMBER($A500),IF(AND(AH!$P$10=1,AH!$P$12=1,$A500=TODAY()),IF(AND(AH!$P$10=1,AH!$P$12=1,$A500=TODAY()),TODAY(),NA()),IF(AH!$P$10=1,INDEX('Live History'!$D$5:$D$3004,MATCH($A500,'Live History'!$D$5:$D$3004,1)),INDEX('AH History'!$E$1:$E$18046,AH!$P$7+495))),NA()),NA())</ns0:f>
        <ns0:v/>
      </ns0:c>
      <ns0:c r="G500">
        <ns0:f>IFERROR(IF(ISNUMBER($A500),IF(AND(AH!$P$10=1,AH!$P$12=1,$A500=TODAY()),IF(AND(AH!$P$10=1,AH!$P$12=1,$A500=TODAY()),TODAY(),NA()),IF(AH!$P$10=1,INDEX('Live History'!$G$5:$G$3004,MATCH($A500,'Live History'!$G$5:$G$3004,1)),INDEX('AH History'!$F$1:$F$18046,AH!$P$7+495))),NA()),NA())</ns0:f>
        <ns0:v/>
      </ns0:c>
      <ns0:c r="H500">
        <ns0:f>IFERROR(IF(AND(AH!$E$4="Bloomberg",AH!$P$10=1,ISNUMBER($A500),$A500&lt;=AH!$P$17),AH!$P$7-1+MATCH($A500,INDEX('AH History'!$A$1:$A$18046,AH!$P$7):INDEX('AH History'!$A$1:$A$18046,AH!$P$7+AH!$P$8-1),0),0),0)</ns0:f>
        <ns0:v/>
      </ns0:c>
      <ns0:c r="I500">
        <ns0:f>IF($H500=0,0,IFERROR(IF(AND(ABS($C500-INDEX('AH History'!$B$1:$B$18046,$H500))&lt;=MAX(0.005,ABS(INDEX('AH History'!$B$1:$B$18046,$H500))*0.00005),ABS($D500-INDEX('AH History'!$C$1:$C$18046,$H500))&lt;=MAX(0.005,ABS(INDEX('AH History'!$C$1:$C$18046,$H500))*0.00005),ABS($E500-INDEX('AH History'!$D$1:$D$18046,$H500))&lt;=0.00005,$F500=INDEX('AH History'!$E$1:$E$18046,$H500),$G500=INDEX('AH History'!$F$1:$F$18046,$H500)),1,-1),-1))</ns0:f>
        <ns0:v/>
      </ns0:c>
    </ns0:row>
    <ns0:row r="501">
      <ns0:c r="A501" s="215">
        <ns0:f>IF(OR(AH!$P$3=0,496+1&gt;AH!$P$11,AND(AH!$E$4&lt;&gt;"Stored",AH!$P$10&lt;&gt;1)),"",IFERROR(IF(AND(AH!$P$21=1,496+1=AH!$P$11),TODAY(),IF(AH!$P$10=1,INDEX('Live History'!$A$5:$A$3004,AH!$P$13+496),INDEX('AH History'!$A$1:$A$18046,AH!$P$7+496))),""))</ns0:f>
        <ns0:v/>
      </ns0:c>
      <ns0:c r="B501" s="219">
        <ns0:f>IFERROR(IF(AND(AH!$P$9&lt;&gt;1,$C501&gt;0,$D501&gt;0,$E501&gt;0,$F501&gt;0,$G501&gt;0,$F501&lt;=$A501,$G501&lt;=$A501,$A501-$F501&lt;=10,$A501-$G501&lt;=5),$D501*$E501/$C501-1,NA()),NA())</ns0:f>
        <ns0:v/>
      </ns0:c>
      <ns0:c r="C501">
        <ns0:f>IFERROR(IF(ISNUMBER($A501),IF(AND(AH!$P$10=1,AH!$P$12=1,$A501=TODAY()),AH!$P$19,IF(AH!$P$10=1,INDEX('Live History'!$B$5:$B$3004,AH!$P$13+496),INDEX('AH History'!$B$1:$B$18046,AH!$P$7+496))),NA()),NA())</ns0:f>
        <ns0:v/>
      </ns0:c>
      <ns0:c r="D501">
        <ns0:f>IFERROR(IF(ISNUMBER($A501),IF(AND(AH!$P$10=1,AH!$P$12=1,$A501=TODAY()),AH!$P$18,IF(AH!$P$10=1,INDEX('Live History'!$E$5:$E$3004,MATCH($A501,'Live History'!$D$5:$D$3004,1)),INDEX('AH History'!$C$1:$C$18046,AH!$P$7+496))),NA()),NA())</ns0:f>
        <ns0:v/>
      </ns0:c>
      <ns0:c r="E501">
        <ns0:f>IFERROR(IF(ISNUMBER($A501),IF(AND(AH!$P$10=1,AH!$P$12=1,$A501=TODAY()),AH!$P$20,IF(AH!$P$10=1,INDEX('Live History'!$H$5:$H$3004,MATCH($A501,'Live History'!$G$5:$G$3004,1)),INDEX('AH History'!$D$1:$D$18046,AH!$P$7+496))),NA()),NA())</ns0:f>
        <ns0:v/>
      </ns0:c>
      <ns0:c r="F501">
        <ns0:f>IFERROR(IF(ISNUMBER($A501),IF(AND(AH!$P$10=1,AH!$P$12=1,$A501=TODAY()),IF(AND(AH!$P$10=1,AH!$P$12=1,$A501=TODAY()),TODAY(),NA()),IF(AH!$P$10=1,INDEX('Live History'!$D$5:$D$3004,MATCH($A501,'Live History'!$D$5:$D$3004,1)),INDEX('AH History'!$E$1:$E$18046,AH!$P$7+496))),NA()),NA())</ns0:f>
        <ns0:v/>
      </ns0:c>
      <ns0:c r="G501">
        <ns0:f>IFERROR(IF(ISNUMBER($A501),IF(AND(AH!$P$10=1,AH!$P$12=1,$A501=TODAY()),IF(AND(AH!$P$10=1,AH!$P$12=1,$A501=TODAY()),TODAY(),NA()),IF(AH!$P$10=1,INDEX('Live History'!$G$5:$G$3004,MATCH($A501,'Live History'!$G$5:$G$3004,1)),INDEX('AH History'!$F$1:$F$18046,AH!$P$7+496))),NA()),NA())</ns0:f>
        <ns0:v/>
      </ns0:c>
      <ns0:c r="H501">
        <ns0:f>IFERROR(IF(AND(AH!$E$4="Bloomberg",AH!$P$10=1,ISNUMBER($A501),$A501&lt;=AH!$P$17),AH!$P$7-1+MATCH($A501,INDEX('AH History'!$A$1:$A$18046,AH!$P$7):INDEX('AH History'!$A$1:$A$18046,AH!$P$7+AH!$P$8-1),0),0),0)</ns0:f>
        <ns0:v/>
      </ns0:c>
      <ns0:c r="I501">
        <ns0:f>IF($H501=0,0,IFERROR(IF(AND(ABS($C501-INDEX('AH History'!$B$1:$B$18046,$H501))&lt;=MAX(0.005,ABS(INDEX('AH History'!$B$1:$B$18046,$H501))*0.00005),ABS($D501-INDEX('AH History'!$C$1:$C$18046,$H501))&lt;=MAX(0.005,ABS(INDEX('AH History'!$C$1:$C$18046,$H501))*0.00005),ABS($E501-INDEX('AH History'!$D$1:$D$18046,$H501))&lt;=0.00005,$F501=INDEX('AH History'!$E$1:$E$18046,$H501),$G501=INDEX('AH History'!$F$1:$F$18046,$H501)),1,-1),-1))</ns0:f>
        <ns0:v/>
      </ns0:c>
    </ns0:row>
    <ns0:row r="502">
      <ns0:c r="A502" s="215">
        <ns0:f>IF(OR(AH!$P$3=0,497+1&gt;AH!$P$11,AND(AH!$E$4&lt;&gt;"Stored",AH!$P$10&lt;&gt;1)),"",IFERROR(IF(AND(AH!$P$21=1,497+1=AH!$P$11),TODAY(),IF(AH!$P$10=1,INDEX('Live History'!$A$5:$A$3004,AH!$P$13+497),INDEX('AH History'!$A$1:$A$18046,AH!$P$7+497))),""))</ns0:f>
        <ns0:v/>
      </ns0:c>
      <ns0:c r="B502" s="219">
        <ns0:f>IFERROR(IF(AND(AH!$P$9&lt;&gt;1,$C502&gt;0,$D502&gt;0,$E502&gt;0,$F502&gt;0,$G502&gt;0,$F502&lt;=$A502,$G502&lt;=$A502,$A502-$F502&lt;=10,$A502-$G502&lt;=5),$D502*$E502/$C502-1,NA()),NA())</ns0:f>
        <ns0:v/>
      </ns0:c>
      <ns0:c r="C502">
        <ns0:f>IFERROR(IF(ISNUMBER($A502),IF(AND(AH!$P$10=1,AH!$P$12=1,$A502=TODAY()),AH!$P$19,IF(AH!$P$10=1,INDEX('Live History'!$B$5:$B$3004,AH!$P$13+497),INDEX('AH History'!$B$1:$B$18046,AH!$P$7+497))),NA()),NA())</ns0:f>
        <ns0:v/>
      </ns0:c>
      <ns0:c r="D502">
        <ns0:f>IFERROR(IF(ISNUMBER($A502),IF(AND(AH!$P$10=1,AH!$P$12=1,$A502=TODAY()),AH!$P$18,IF(AH!$P$10=1,INDEX('Live History'!$E$5:$E$3004,MATCH($A502,'Live History'!$D$5:$D$3004,1)),INDEX('AH History'!$C$1:$C$18046,AH!$P$7+497))),NA()),NA())</ns0:f>
        <ns0:v/>
      </ns0:c>
      <ns0:c r="E502">
        <ns0:f>IFERROR(IF(ISNUMBER($A502),IF(AND(AH!$P$10=1,AH!$P$12=1,$A502=TODAY()),AH!$P$20,IF(AH!$P$10=1,INDEX('Live History'!$H$5:$H$3004,MATCH($A502,'Live History'!$G$5:$G$3004,1)),INDEX('AH History'!$D$1:$D$18046,AH!$P$7+497))),NA()),NA())</ns0:f>
        <ns0:v/>
      </ns0:c>
      <ns0:c r="F502">
        <ns0:f>IFERROR(IF(ISNUMBER($A502),IF(AND(AH!$P$10=1,AH!$P$12=1,$A502=TODAY()),IF(AND(AH!$P$10=1,AH!$P$12=1,$A502=TODAY()),TODAY(),NA()),IF(AH!$P$10=1,INDEX('Live History'!$D$5:$D$3004,MATCH($A502,'Live History'!$D$5:$D$3004,1)),INDEX('AH History'!$E$1:$E$18046,AH!$P$7+497))),NA()),NA())</ns0:f>
        <ns0:v/>
      </ns0:c>
      <ns0:c r="G502">
        <ns0:f>IFERROR(IF(ISNUMBER($A502),IF(AND(AH!$P$10=1,AH!$P$12=1,$A502=TODAY()),IF(AND(AH!$P$10=1,AH!$P$12=1,$A502=TODAY()),TODAY(),NA()),IF(AH!$P$10=1,INDEX('Live History'!$G$5:$G$3004,MATCH($A502,'Live History'!$G$5:$G$3004,1)),INDEX('AH History'!$F$1:$F$18046,AH!$P$7+497))),NA()),NA())</ns0:f>
        <ns0:v/>
      </ns0:c>
      <ns0:c r="H502">
        <ns0:f>IFERROR(IF(AND(AH!$E$4="Bloomberg",AH!$P$10=1,ISNUMBER($A502),$A502&lt;=AH!$P$17),AH!$P$7-1+MATCH($A502,INDEX('AH History'!$A$1:$A$18046,AH!$P$7):INDEX('AH History'!$A$1:$A$18046,AH!$P$7+AH!$P$8-1),0),0),0)</ns0:f>
        <ns0:v/>
      </ns0:c>
      <ns0:c r="I502">
        <ns0:f>IF($H502=0,0,IFERROR(IF(AND(ABS($C502-INDEX('AH History'!$B$1:$B$18046,$H502))&lt;=MAX(0.005,ABS(INDEX('AH History'!$B$1:$B$18046,$H502))*0.00005),ABS($D502-INDEX('AH History'!$C$1:$C$18046,$H502))&lt;=MAX(0.005,ABS(INDEX('AH History'!$C$1:$C$18046,$H502))*0.00005),ABS($E502-INDEX('AH History'!$D$1:$D$18046,$H502))&lt;=0.00005,$F502=INDEX('AH History'!$E$1:$E$18046,$H502),$G502=INDEX('AH History'!$F$1:$F$18046,$H502)),1,-1),-1))</ns0:f>
        <ns0:v/>
      </ns0:c>
    </ns0:row>
    <ns0:row r="503">
      <ns0:c r="A503" s="215">
        <ns0:f>IF(OR(AH!$P$3=0,498+1&gt;AH!$P$11,AND(AH!$E$4&lt;&gt;"Stored",AH!$P$10&lt;&gt;1)),"",IFERROR(IF(AND(AH!$P$21=1,498+1=AH!$P$11),TODAY(),IF(AH!$P$10=1,INDEX('Live History'!$A$5:$A$3004,AH!$P$13+498),INDEX('AH History'!$A$1:$A$18046,AH!$P$7+498))),""))</ns0:f>
        <ns0:v/>
      </ns0:c>
      <ns0:c r="B503" s="219">
        <ns0:f>IFERROR(IF(AND(AH!$P$9&lt;&gt;1,$C503&gt;0,$D503&gt;0,$E503&gt;0,$F503&gt;0,$G503&gt;0,$F503&lt;=$A503,$G503&lt;=$A503,$A503-$F503&lt;=10,$A503-$G503&lt;=5),$D503*$E503/$C503-1,NA()),NA())</ns0:f>
        <ns0:v/>
      </ns0:c>
      <ns0:c r="C503">
        <ns0:f>IFERROR(IF(ISNUMBER($A503),IF(AND(AH!$P$10=1,AH!$P$12=1,$A503=TODAY()),AH!$P$19,IF(AH!$P$10=1,INDEX('Live History'!$B$5:$B$3004,AH!$P$13+498),INDEX('AH History'!$B$1:$B$18046,AH!$P$7+498))),NA()),NA())</ns0:f>
        <ns0:v/>
      </ns0:c>
      <ns0:c r="D503">
        <ns0:f>IFERROR(IF(ISNUMBER($A503),IF(AND(AH!$P$10=1,AH!$P$12=1,$A503=TODAY()),AH!$P$18,IF(AH!$P$10=1,INDEX('Live History'!$E$5:$E$3004,MATCH($A503,'Live History'!$D$5:$D$3004,1)),INDEX('AH History'!$C$1:$C$18046,AH!$P$7+498))),NA()),NA())</ns0:f>
        <ns0:v/>
      </ns0:c>
      <ns0:c r="E503">
        <ns0:f>IFERROR(IF(ISNUMBER($A503),IF(AND(AH!$P$10=1,AH!$P$12=1,$A503=TODAY()),AH!$P$20,IF(AH!$P$10=1,INDEX('Live History'!$H$5:$H$3004,MATCH($A503,'Live History'!$G$5:$G$3004,1)),INDEX('AH History'!$D$1:$D$18046,AH!$P$7+498))),NA()),NA())</ns0:f>
        <ns0:v/>
      </ns0:c>
      <ns0:c r="F503">
        <ns0:f>IFERROR(IF(ISNUMBER($A503),IF(AND(AH!$P$10=1,AH!$P$12=1,$A503=TODAY()),IF(AND(AH!$P$10=1,AH!$P$12=1,$A503=TODAY()),TODAY(),NA()),IF(AH!$P$10=1,INDEX('Live History'!$D$5:$D$3004,MATCH($A503,'Live History'!$D$5:$D$3004,1)),INDEX('AH History'!$E$1:$E$18046,AH!$P$7+498))),NA()),NA())</ns0:f>
        <ns0:v/>
      </ns0:c>
      <ns0:c r="G503">
        <ns0:f>IFERROR(IF(ISNUMBER($A503),IF(AND(AH!$P$10=1,AH!$P$12=1,$A503=TODAY()),IF(AND(AH!$P$10=1,AH!$P$12=1,$A503=TODAY()),TODAY(),NA()),IF(AH!$P$10=1,INDEX('Live History'!$G$5:$G$3004,MATCH($A503,'Live History'!$G$5:$G$3004,1)),INDEX('AH History'!$F$1:$F$18046,AH!$P$7+498))),NA()),NA())</ns0:f>
        <ns0:v/>
      </ns0:c>
      <ns0:c r="H503">
        <ns0:f>IFERROR(IF(AND(AH!$E$4="Bloomberg",AH!$P$10=1,ISNUMBER($A503),$A503&lt;=AH!$P$17),AH!$P$7-1+MATCH($A503,INDEX('AH History'!$A$1:$A$18046,AH!$P$7):INDEX('AH History'!$A$1:$A$18046,AH!$P$7+AH!$P$8-1),0),0),0)</ns0:f>
        <ns0:v/>
      </ns0:c>
      <ns0:c r="I503">
        <ns0:f>IF($H503=0,0,IFERROR(IF(AND(ABS($C503-INDEX('AH History'!$B$1:$B$18046,$H503))&lt;=MAX(0.005,ABS(INDEX('AH History'!$B$1:$B$18046,$H503))*0.00005),ABS($D503-INDEX('AH History'!$C$1:$C$18046,$H503))&lt;=MAX(0.005,ABS(INDEX('AH History'!$C$1:$C$18046,$H503))*0.00005),ABS($E503-INDEX('AH History'!$D$1:$D$18046,$H503))&lt;=0.00005,$F503=INDEX('AH History'!$E$1:$E$18046,$H503),$G503=INDEX('AH History'!$F$1:$F$18046,$H503)),1,-1),-1))</ns0:f>
        <ns0:v/>
      </ns0:c>
    </ns0:row>
    <ns0:row r="504">
      <ns0:c r="A504" s="215">
        <ns0:f>IF(OR(AH!$P$3=0,499+1&gt;AH!$P$11,AND(AH!$E$4&lt;&gt;"Stored",AH!$P$10&lt;&gt;1)),"",IFERROR(IF(AND(AH!$P$21=1,499+1=AH!$P$11),TODAY(),IF(AH!$P$10=1,INDEX('Live History'!$A$5:$A$3004,AH!$P$13+499),INDEX('AH History'!$A$1:$A$18046,AH!$P$7+499))),""))</ns0:f>
        <ns0:v/>
      </ns0:c>
      <ns0:c r="B504" s="219">
        <ns0:f>IFERROR(IF(AND(AH!$P$9&lt;&gt;1,$C504&gt;0,$D504&gt;0,$E504&gt;0,$F504&gt;0,$G504&gt;0,$F504&lt;=$A504,$G504&lt;=$A504,$A504-$F504&lt;=10,$A504-$G504&lt;=5),$D504*$E504/$C504-1,NA()),NA())</ns0:f>
        <ns0:v/>
      </ns0:c>
      <ns0:c r="C504">
        <ns0:f>IFERROR(IF(ISNUMBER($A504),IF(AND(AH!$P$10=1,AH!$P$12=1,$A504=TODAY()),AH!$P$19,IF(AH!$P$10=1,INDEX('Live History'!$B$5:$B$3004,AH!$P$13+499),INDEX('AH History'!$B$1:$B$18046,AH!$P$7+499))),NA()),NA())</ns0:f>
        <ns0:v/>
      </ns0:c>
      <ns0:c r="D504">
        <ns0:f>IFERROR(IF(ISNUMBER($A504),IF(AND(AH!$P$10=1,AH!$P$12=1,$A504=TODAY()),AH!$P$18,IF(AH!$P$10=1,INDEX('Live History'!$E$5:$E$3004,MATCH($A504,'Live History'!$D$5:$D$3004,1)),INDEX('AH History'!$C$1:$C$18046,AH!$P$7+499))),NA()),NA())</ns0:f>
        <ns0:v/>
      </ns0:c>
      <ns0:c r="E504">
        <ns0:f>IFERROR(IF(ISNUMBER($A504),IF(AND(AH!$P$10=1,AH!$P$12=1,$A504=TODAY()),AH!$P$20,IF(AH!$P$10=1,INDEX('Live History'!$H$5:$H$3004,MATCH($A504,'Live History'!$G$5:$G$3004,1)),INDEX('AH History'!$D$1:$D$18046,AH!$P$7+499))),NA()),NA())</ns0:f>
        <ns0:v/>
      </ns0:c>
      <ns0:c r="F504">
        <ns0:f>IFERROR(IF(ISNUMBER($A504),IF(AND(AH!$P$10=1,AH!$P$12=1,$A504=TODAY()),IF(AND(AH!$P$10=1,AH!$P$12=1,$A504=TODAY()),TODAY(),NA()),IF(AH!$P$10=1,INDEX('Live History'!$D$5:$D$3004,MATCH($A504,'Live History'!$D$5:$D$3004,1)),INDEX('AH History'!$E$1:$E$18046,AH!$P$7+499))),NA()),NA())</ns0:f>
        <ns0:v/>
      </ns0:c>
      <ns0:c r="G504">
        <ns0:f>IFERROR(IF(ISNUMBER($A504),IF(AND(AH!$P$10=1,AH!$P$12=1,$A504=TODAY()),IF(AND(AH!$P$10=1,AH!$P$12=1,$A504=TODAY()),TODAY(),NA()),IF(AH!$P$10=1,INDEX('Live History'!$G$5:$G$3004,MATCH($A504,'Live History'!$G$5:$G$3004,1)),INDEX('AH History'!$F$1:$F$18046,AH!$P$7+499))),NA()),NA())</ns0:f>
        <ns0:v/>
      </ns0:c>
      <ns0:c r="H504">
        <ns0:f>IFERROR(IF(AND(AH!$E$4="Bloomberg",AH!$P$10=1,ISNUMBER($A504),$A504&lt;=AH!$P$17),AH!$P$7-1+MATCH($A504,INDEX('AH History'!$A$1:$A$18046,AH!$P$7):INDEX('AH History'!$A$1:$A$18046,AH!$P$7+AH!$P$8-1),0),0),0)</ns0:f>
        <ns0:v/>
      </ns0:c>
      <ns0:c r="I504">
        <ns0:f>IF($H504=0,0,IFERROR(IF(AND(ABS($C504-INDEX('AH History'!$B$1:$B$18046,$H504))&lt;=MAX(0.005,ABS(INDEX('AH History'!$B$1:$B$18046,$H504))*0.00005),ABS($D504-INDEX('AH History'!$C$1:$C$18046,$H504))&lt;=MAX(0.005,ABS(INDEX('AH History'!$C$1:$C$18046,$H504))*0.00005),ABS($E504-INDEX('AH History'!$D$1:$D$18046,$H504))&lt;=0.00005,$F504=INDEX('AH History'!$E$1:$E$18046,$H504),$G504=INDEX('AH History'!$F$1:$F$18046,$H504)),1,-1),-1))</ns0:f>
        <ns0:v/>
      </ns0:c>
    </ns0:row>
    <ns0:row r="505">
      <ns0:c r="A505" s="215">
        <ns0:f>IF(OR(AH!$P$3=0,500+1&gt;AH!$P$11,AND(AH!$E$4&lt;&gt;"Stored",AH!$P$10&lt;&gt;1)),"",IFERROR(IF(AND(AH!$P$21=1,500+1=AH!$P$11),TODAY(),IF(AH!$P$10=1,INDEX('Live History'!$A$5:$A$3004,AH!$P$13+500),INDEX('AH History'!$A$1:$A$18046,AH!$P$7+500))),""))</ns0:f>
        <ns0:v/>
      </ns0:c>
      <ns0:c r="B505" s="219">
        <ns0:f>IFERROR(IF(AND(AH!$P$9&lt;&gt;1,$C505&gt;0,$D505&gt;0,$E505&gt;0,$F505&gt;0,$G505&gt;0,$F505&lt;=$A505,$G505&lt;=$A505,$A505-$F505&lt;=10,$A505-$G505&lt;=5),$D505*$E505/$C505-1,NA()),NA())</ns0:f>
        <ns0:v/>
      </ns0:c>
      <ns0:c r="C505">
        <ns0:f>IFERROR(IF(ISNUMBER($A505),IF(AND(AH!$P$10=1,AH!$P$12=1,$A505=TODAY()),AH!$P$19,IF(AH!$P$10=1,INDEX('Live History'!$B$5:$B$3004,AH!$P$13+500),INDEX('AH History'!$B$1:$B$18046,AH!$P$7+500))),NA()),NA())</ns0:f>
        <ns0:v/>
      </ns0:c>
      <ns0:c r="D505">
        <ns0:f>IFERROR(IF(ISNUMBER($A505),IF(AND(AH!$P$10=1,AH!$P$12=1,$A505=TODAY()),AH!$P$18,IF(AH!$P$10=1,INDEX('Live History'!$E$5:$E$3004,MATCH($A505,'Live History'!$D$5:$D$3004,1)),INDEX('AH History'!$C$1:$C$18046,AH!$P$7+500))),NA()),NA())</ns0:f>
        <ns0:v/>
      </ns0:c>
      <ns0:c r="E505">
        <ns0:f>IFERROR(IF(ISNUMBER($A505),IF(AND(AH!$P$10=1,AH!$P$12=1,$A505=TODAY()),AH!$P$20,IF(AH!$P$10=1,INDEX('Live History'!$H$5:$H$3004,MATCH($A505,'Live History'!$G$5:$G$3004,1)),INDEX('AH History'!$D$1:$D$18046,AH!$P$7+500))),NA()),NA())</ns0:f>
        <ns0:v/>
      </ns0:c>
      <ns0:c r="F505">
        <ns0:f>IFERROR(IF(ISNUMBER($A505),IF(AND(AH!$P$10=1,AH!$P$12=1,$A505=TODAY()),IF(AND(AH!$P$10=1,AH!$P$12=1,$A505=TODAY()),TODAY(),NA()),IF(AH!$P$10=1,INDEX('Live History'!$D$5:$D$3004,MATCH($A505,'Live History'!$D$5:$D$3004,1)),INDEX('AH History'!$E$1:$E$18046,AH!$P$7+500))),NA()),NA())</ns0:f>
        <ns0:v/>
      </ns0:c>
      <ns0:c r="G505">
        <ns0:f>IFERROR(IF(ISNUMBER($A505),IF(AND(AH!$P$10=1,AH!$P$12=1,$A505=TODAY()),IF(AND(AH!$P$10=1,AH!$P$12=1,$A505=TODAY()),TODAY(),NA()),IF(AH!$P$10=1,INDEX('Live History'!$G$5:$G$3004,MATCH($A505,'Live History'!$G$5:$G$3004,1)),INDEX('AH History'!$F$1:$F$18046,AH!$P$7+500))),NA()),NA())</ns0:f>
        <ns0:v/>
      </ns0:c>
      <ns0:c r="H505">
        <ns0:f>IFERROR(IF(AND(AH!$E$4="Bloomberg",AH!$P$10=1,ISNUMBER($A505),$A505&lt;=AH!$P$17),AH!$P$7-1+MATCH($A505,INDEX('AH History'!$A$1:$A$18046,AH!$P$7):INDEX('AH History'!$A$1:$A$18046,AH!$P$7+AH!$P$8-1),0),0),0)</ns0:f>
        <ns0:v/>
      </ns0:c>
      <ns0:c r="I505">
        <ns0:f>IF($H505=0,0,IFERROR(IF(AND(ABS($C505-INDEX('AH History'!$B$1:$B$18046,$H505))&lt;=MAX(0.005,ABS(INDEX('AH History'!$B$1:$B$18046,$H505))*0.00005),ABS($D505-INDEX('AH History'!$C$1:$C$18046,$H505))&lt;=MAX(0.005,ABS(INDEX('AH History'!$C$1:$C$18046,$H505))*0.00005),ABS($E505-INDEX('AH History'!$D$1:$D$18046,$H505))&lt;=0.00005,$F505=INDEX('AH History'!$E$1:$E$18046,$H505),$G505=INDEX('AH History'!$F$1:$F$18046,$H505)),1,-1),-1))</ns0:f>
        <ns0:v/>
      </ns0:c>
    </ns0:row>
    <ns0:row r="506">
      <ns0:c r="A506" s="215">
        <ns0:f>IF(OR(AH!$P$3=0,501+1&gt;AH!$P$11,AND(AH!$E$4&lt;&gt;"Stored",AH!$P$10&lt;&gt;1)),"",IFERROR(IF(AND(AH!$P$21=1,501+1=AH!$P$11),TODAY(),IF(AH!$P$10=1,INDEX('Live History'!$A$5:$A$3004,AH!$P$13+501),INDEX('AH History'!$A$1:$A$18046,AH!$P$7+501))),""))</ns0:f>
        <ns0:v/>
      </ns0:c>
      <ns0:c r="B506" s="219">
        <ns0:f>IFERROR(IF(AND(AH!$P$9&lt;&gt;1,$C506&gt;0,$D506&gt;0,$E506&gt;0,$F506&gt;0,$G506&gt;0,$F506&lt;=$A506,$G506&lt;=$A506,$A506-$F506&lt;=10,$A506-$G506&lt;=5),$D506*$E506/$C506-1,NA()),NA())</ns0:f>
        <ns0:v/>
      </ns0:c>
      <ns0:c r="C506">
        <ns0:f>IFERROR(IF(ISNUMBER($A506),IF(AND(AH!$P$10=1,AH!$P$12=1,$A506=TODAY()),AH!$P$19,IF(AH!$P$10=1,INDEX('Live History'!$B$5:$B$3004,AH!$P$13+501),INDEX('AH History'!$B$1:$B$18046,AH!$P$7+501))),NA()),NA())</ns0:f>
        <ns0:v/>
      </ns0:c>
      <ns0:c r="D506">
        <ns0:f>IFERROR(IF(ISNUMBER($A506),IF(AND(AH!$P$10=1,AH!$P$12=1,$A506=TODAY()),AH!$P$18,IF(AH!$P$10=1,INDEX('Live History'!$E$5:$E$3004,MATCH($A506,'Live History'!$D$5:$D$3004,1)),INDEX('AH History'!$C$1:$C$18046,AH!$P$7+501))),NA()),NA())</ns0:f>
        <ns0:v/>
      </ns0:c>
      <ns0:c r="E506">
        <ns0:f>IFERROR(IF(ISNUMBER($A506),IF(AND(AH!$P$10=1,AH!$P$12=1,$A506=TODAY()),AH!$P$20,IF(AH!$P$10=1,INDEX('Live History'!$H$5:$H$3004,MATCH($A506,'Live History'!$G$5:$G$3004,1)),INDEX('AH History'!$D$1:$D$18046,AH!$P$7+501))),NA()),NA())</ns0:f>
        <ns0:v/>
      </ns0:c>
      <ns0:c r="F506">
        <ns0:f>IFERROR(IF(ISNUMBER($A506),IF(AND(AH!$P$10=1,AH!$P$12=1,$A506=TODAY()),IF(AND(AH!$P$10=1,AH!$P$12=1,$A506=TODAY()),TODAY(),NA()),IF(AH!$P$10=1,INDEX('Live History'!$D$5:$D$3004,MATCH($A506,'Live History'!$D$5:$D$3004,1)),INDEX('AH History'!$E$1:$E$18046,AH!$P$7+501))),NA()),NA())</ns0:f>
        <ns0:v/>
      </ns0:c>
      <ns0:c r="G506">
        <ns0:f>IFERROR(IF(ISNUMBER($A506),IF(AND(AH!$P$10=1,AH!$P$12=1,$A506=TODAY()),IF(AND(AH!$P$10=1,AH!$P$12=1,$A506=TODAY()),TODAY(),NA()),IF(AH!$P$10=1,INDEX('Live History'!$G$5:$G$3004,MATCH($A506,'Live History'!$G$5:$G$3004,1)),INDEX('AH History'!$F$1:$F$18046,AH!$P$7+501))),NA()),NA())</ns0:f>
        <ns0:v/>
      </ns0:c>
      <ns0:c r="H506">
        <ns0:f>IFERROR(IF(AND(AH!$E$4="Bloomberg",AH!$P$10=1,ISNUMBER($A506),$A506&lt;=AH!$P$17),AH!$P$7-1+MATCH($A506,INDEX('AH History'!$A$1:$A$18046,AH!$P$7):INDEX('AH History'!$A$1:$A$18046,AH!$P$7+AH!$P$8-1),0),0),0)</ns0:f>
        <ns0:v/>
      </ns0:c>
      <ns0:c r="I506">
        <ns0:f>IF($H506=0,0,IFERROR(IF(AND(ABS($C506-INDEX('AH History'!$B$1:$B$18046,$H506))&lt;=MAX(0.005,ABS(INDEX('AH History'!$B$1:$B$18046,$H506))*0.00005),ABS($D506-INDEX('AH History'!$C$1:$C$18046,$H506))&lt;=MAX(0.005,ABS(INDEX('AH History'!$C$1:$C$18046,$H506))*0.00005),ABS($E506-INDEX('AH History'!$D$1:$D$18046,$H506))&lt;=0.00005,$F506=INDEX('AH History'!$E$1:$E$18046,$H506),$G506=INDEX('AH History'!$F$1:$F$18046,$H506)),1,-1),-1))</ns0:f>
        <ns0:v/>
      </ns0:c>
    </ns0:row>
    <ns0:row r="507">
      <ns0:c r="A507" s="215">
        <ns0:f>IF(OR(AH!$P$3=0,502+1&gt;AH!$P$11,AND(AH!$E$4&lt;&gt;"Stored",AH!$P$10&lt;&gt;1)),"",IFERROR(IF(AND(AH!$P$21=1,502+1=AH!$P$11),TODAY(),IF(AH!$P$10=1,INDEX('Live History'!$A$5:$A$3004,AH!$P$13+502),INDEX('AH History'!$A$1:$A$18046,AH!$P$7+502))),""))</ns0:f>
        <ns0:v/>
      </ns0:c>
      <ns0:c r="B507" s="219">
        <ns0:f>IFERROR(IF(AND(AH!$P$9&lt;&gt;1,$C507&gt;0,$D507&gt;0,$E507&gt;0,$F507&gt;0,$G507&gt;0,$F507&lt;=$A507,$G507&lt;=$A507,$A507-$F507&lt;=10,$A507-$G507&lt;=5),$D507*$E507/$C507-1,NA()),NA())</ns0:f>
        <ns0:v/>
      </ns0:c>
      <ns0:c r="C507">
        <ns0:f>IFERROR(IF(ISNUMBER($A507),IF(AND(AH!$P$10=1,AH!$P$12=1,$A507=TODAY()),AH!$P$19,IF(AH!$P$10=1,INDEX('Live History'!$B$5:$B$3004,AH!$P$13+502),INDEX('AH History'!$B$1:$B$18046,AH!$P$7+502))),NA()),NA())</ns0:f>
        <ns0:v/>
      </ns0:c>
      <ns0:c r="D507">
        <ns0:f>IFERROR(IF(ISNUMBER($A507),IF(AND(AH!$P$10=1,AH!$P$12=1,$A507=TODAY()),AH!$P$18,IF(AH!$P$10=1,INDEX('Live History'!$E$5:$E$3004,MATCH($A507,'Live History'!$D$5:$D$3004,1)),INDEX('AH History'!$C$1:$C$18046,AH!$P$7+502))),NA()),NA())</ns0:f>
        <ns0:v/>
      </ns0:c>
      <ns0:c r="E507">
        <ns0:f>IFERROR(IF(ISNUMBER($A507),IF(AND(AH!$P$10=1,AH!$P$12=1,$A507=TODAY()),AH!$P$20,IF(AH!$P$10=1,INDEX('Live History'!$H$5:$H$3004,MATCH($A507,'Live History'!$G$5:$G$3004,1)),INDEX('AH History'!$D$1:$D$18046,AH!$P$7+502))),NA()),NA())</ns0:f>
        <ns0:v/>
      </ns0:c>
      <ns0:c r="F507">
        <ns0:f>IFERROR(IF(ISNUMBER($A507),IF(AND(AH!$P$10=1,AH!$P$12=1,$A507=TODAY()),IF(AND(AH!$P$10=1,AH!$P$12=1,$A507=TODAY()),TODAY(),NA()),IF(AH!$P$10=1,INDEX('Live History'!$D$5:$D$3004,MATCH($A507,'Live History'!$D$5:$D$3004,1)),INDEX('AH History'!$E$1:$E$18046,AH!$P$7+502))),NA()),NA())</ns0:f>
        <ns0:v/>
      </ns0:c>
      <ns0:c r="G507">
        <ns0:f>IFERROR(IF(ISNUMBER($A507),IF(AND(AH!$P$10=1,AH!$P$12=1,$A507=TODAY()),IF(AND(AH!$P$10=1,AH!$P$12=1,$A507=TODAY()),TODAY(),NA()),IF(AH!$P$10=1,INDEX('Live History'!$G$5:$G$3004,MATCH($A507,'Live History'!$G$5:$G$3004,1)),INDEX('AH History'!$F$1:$F$18046,AH!$P$7+502))),NA()),NA())</ns0:f>
        <ns0:v/>
      </ns0:c>
      <ns0:c r="H507">
        <ns0:f>IFERROR(IF(AND(AH!$E$4="Bloomberg",AH!$P$10=1,ISNUMBER($A507),$A507&lt;=AH!$P$17),AH!$P$7-1+MATCH($A507,INDEX('AH History'!$A$1:$A$18046,AH!$P$7):INDEX('AH History'!$A$1:$A$18046,AH!$P$7+AH!$P$8-1),0),0),0)</ns0:f>
        <ns0:v/>
      </ns0:c>
      <ns0:c r="I507">
        <ns0:f>IF($H507=0,0,IFERROR(IF(AND(ABS($C507-INDEX('AH History'!$B$1:$B$18046,$H507))&lt;=MAX(0.005,ABS(INDEX('AH History'!$B$1:$B$18046,$H507))*0.00005),ABS($D507-INDEX('AH History'!$C$1:$C$18046,$H507))&lt;=MAX(0.005,ABS(INDEX('AH History'!$C$1:$C$18046,$H507))*0.00005),ABS($E507-INDEX('AH History'!$D$1:$D$18046,$H507))&lt;=0.00005,$F507=INDEX('AH History'!$E$1:$E$18046,$H507),$G507=INDEX('AH History'!$F$1:$F$18046,$H507)),1,-1),-1))</ns0:f>
        <ns0:v/>
      </ns0:c>
    </ns0:row>
    <ns0:row r="508">
      <ns0:c r="A508" s="215">
        <ns0:f>IF(OR(AH!$P$3=0,503+1&gt;AH!$P$11,AND(AH!$E$4&lt;&gt;"Stored",AH!$P$10&lt;&gt;1)),"",IFERROR(IF(AND(AH!$P$21=1,503+1=AH!$P$11),TODAY(),IF(AH!$P$10=1,INDEX('Live History'!$A$5:$A$3004,AH!$P$13+503),INDEX('AH History'!$A$1:$A$18046,AH!$P$7+503))),""))</ns0:f>
        <ns0:v/>
      </ns0:c>
      <ns0:c r="B508" s="219">
        <ns0:f>IFERROR(IF(AND(AH!$P$9&lt;&gt;1,$C508&gt;0,$D508&gt;0,$E508&gt;0,$F508&gt;0,$G508&gt;0,$F508&lt;=$A508,$G508&lt;=$A508,$A508-$F508&lt;=10,$A508-$G508&lt;=5),$D508*$E508/$C508-1,NA()),NA())</ns0:f>
        <ns0:v/>
      </ns0:c>
      <ns0:c r="C508">
        <ns0:f>IFERROR(IF(ISNUMBER($A508),IF(AND(AH!$P$10=1,AH!$P$12=1,$A508=TODAY()),AH!$P$19,IF(AH!$P$10=1,INDEX('Live History'!$B$5:$B$3004,AH!$P$13+503),INDEX('AH History'!$B$1:$B$18046,AH!$P$7+503))),NA()),NA())</ns0:f>
        <ns0:v/>
      </ns0:c>
      <ns0:c r="D508">
        <ns0:f>IFERROR(IF(ISNUMBER($A508),IF(AND(AH!$P$10=1,AH!$P$12=1,$A508=TODAY()),AH!$P$18,IF(AH!$P$10=1,INDEX('Live History'!$E$5:$E$3004,MATCH($A508,'Live History'!$D$5:$D$3004,1)),INDEX('AH History'!$C$1:$C$18046,AH!$P$7+503))),NA()),NA())</ns0:f>
        <ns0:v/>
      </ns0:c>
      <ns0:c r="E508">
        <ns0:f>IFERROR(IF(ISNUMBER($A508),IF(AND(AH!$P$10=1,AH!$P$12=1,$A508=TODAY()),AH!$P$20,IF(AH!$P$10=1,INDEX('Live History'!$H$5:$H$3004,MATCH($A508,'Live History'!$G$5:$G$3004,1)),INDEX('AH History'!$D$1:$D$18046,AH!$P$7+503))),NA()),NA())</ns0:f>
        <ns0:v/>
      </ns0:c>
      <ns0:c r="F508">
        <ns0:f>IFERROR(IF(ISNUMBER($A508),IF(AND(AH!$P$10=1,AH!$P$12=1,$A508=TODAY()),IF(AND(AH!$P$10=1,AH!$P$12=1,$A508=TODAY()),TODAY(),NA()),IF(AH!$P$10=1,INDEX('Live History'!$D$5:$D$3004,MATCH($A508,'Live History'!$D$5:$D$3004,1)),INDEX('AH History'!$E$1:$E$18046,AH!$P$7+503))),NA()),NA())</ns0:f>
        <ns0:v/>
      </ns0:c>
      <ns0:c r="G508">
        <ns0:f>IFERROR(IF(ISNUMBER($A508),IF(AND(AH!$P$10=1,AH!$P$12=1,$A508=TODAY()),IF(AND(AH!$P$10=1,AH!$P$12=1,$A508=TODAY()),TODAY(),NA()),IF(AH!$P$10=1,INDEX('Live History'!$G$5:$G$3004,MATCH($A508,'Live History'!$G$5:$G$3004,1)),INDEX('AH History'!$F$1:$F$18046,AH!$P$7+503))),NA()),NA())</ns0:f>
        <ns0:v/>
      </ns0:c>
      <ns0:c r="H508">
        <ns0:f>IFERROR(IF(AND(AH!$E$4="Bloomberg",AH!$P$10=1,ISNUMBER($A508),$A508&lt;=AH!$P$17),AH!$P$7-1+MATCH($A508,INDEX('AH History'!$A$1:$A$18046,AH!$P$7):INDEX('AH History'!$A$1:$A$18046,AH!$P$7+AH!$P$8-1),0),0),0)</ns0:f>
        <ns0:v/>
      </ns0:c>
      <ns0:c r="I508">
        <ns0:f>IF($H508=0,0,IFERROR(IF(AND(ABS($C508-INDEX('AH History'!$B$1:$B$18046,$H508))&lt;=MAX(0.005,ABS(INDEX('AH History'!$B$1:$B$18046,$H508))*0.00005),ABS($D508-INDEX('AH History'!$C$1:$C$18046,$H508))&lt;=MAX(0.005,ABS(INDEX('AH History'!$C$1:$C$18046,$H508))*0.00005),ABS($E508-INDEX('AH History'!$D$1:$D$18046,$H508))&lt;=0.00005,$F508=INDEX('AH History'!$E$1:$E$18046,$H508),$G508=INDEX('AH History'!$F$1:$F$18046,$H508)),1,-1),-1))</ns0:f>
        <ns0:v/>
      </ns0:c>
    </ns0:row>
    <ns0:row r="509">
      <ns0:c r="A509" s="215">
        <ns0:f>IF(OR(AH!$P$3=0,504+1&gt;AH!$P$11,AND(AH!$E$4&lt;&gt;"Stored",AH!$P$10&lt;&gt;1)),"",IFERROR(IF(AND(AH!$P$21=1,504+1=AH!$P$11),TODAY(),IF(AH!$P$10=1,INDEX('Live History'!$A$5:$A$3004,AH!$P$13+504),INDEX('AH History'!$A$1:$A$18046,AH!$P$7+504))),""))</ns0:f>
        <ns0:v/>
      </ns0:c>
      <ns0:c r="B509" s="219">
        <ns0:f>IFERROR(IF(AND(AH!$P$9&lt;&gt;1,$C509&gt;0,$D509&gt;0,$E509&gt;0,$F509&gt;0,$G509&gt;0,$F509&lt;=$A509,$G509&lt;=$A509,$A509-$F509&lt;=10,$A509-$G509&lt;=5),$D509*$E509/$C509-1,NA()),NA())</ns0:f>
        <ns0:v/>
      </ns0:c>
      <ns0:c r="C509">
        <ns0:f>IFERROR(IF(ISNUMBER($A509),IF(AND(AH!$P$10=1,AH!$P$12=1,$A509=TODAY()),AH!$P$19,IF(AH!$P$10=1,INDEX('Live History'!$B$5:$B$3004,AH!$P$13+504),INDEX('AH History'!$B$1:$B$18046,AH!$P$7+504))),NA()),NA())</ns0:f>
        <ns0:v/>
      </ns0:c>
      <ns0:c r="D509">
        <ns0:f>IFERROR(IF(ISNUMBER($A509),IF(AND(AH!$P$10=1,AH!$P$12=1,$A509=TODAY()),AH!$P$18,IF(AH!$P$10=1,INDEX('Live History'!$E$5:$E$3004,MATCH($A509,'Live History'!$D$5:$D$3004,1)),INDEX('AH History'!$C$1:$C$18046,AH!$P$7+504))),NA()),NA())</ns0:f>
        <ns0:v/>
      </ns0:c>
      <ns0:c r="E509">
        <ns0:f>IFERROR(IF(ISNUMBER($A509),IF(AND(AH!$P$10=1,AH!$P$12=1,$A509=TODAY()),AH!$P$20,IF(AH!$P$10=1,INDEX('Live History'!$H$5:$H$3004,MATCH($A509,'Live History'!$G$5:$G$3004,1)),INDEX('AH History'!$D$1:$D$18046,AH!$P$7+504))),NA()),NA())</ns0:f>
        <ns0:v/>
      </ns0:c>
      <ns0:c r="F509">
        <ns0:f>IFERROR(IF(ISNUMBER($A509),IF(AND(AH!$P$10=1,AH!$P$12=1,$A509=TODAY()),IF(AND(AH!$P$10=1,AH!$P$12=1,$A509=TODAY()),TODAY(),NA()),IF(AH!$P$10=1,INDEX('Live History'!$D$5:$D$3004,MATCH($A509,'Live History'!$D$5:$D$3004,1)),INDEX('AH History'!$E$1:$E$18046,AH!$P$7+504))),NA()),NA())</ns0:f>
        <ns0:v/>
      </ns0:c>
      <ns0:c r="G509">
        <ns0:f>IFERROR(IF(ISNUMBER($A509),IF(AND(AH!$P$10=1,AH!$P$12=1,$A509=TODAY()),IF(AND(AH!$P$10=1,AH!$P$12=1,$A509=TODAY()),TODAY(),NA()),IF(AH!$P$10=1,INDEX('Live History'!$G$5:$G$3004,MATCH($A509,'Live History'!$G$5:$G$3004,1)),INDEX('AH History'!$F$1:$F$18046,AH!$P$7+504))),NA()),NA())</ns0:f>
        <ns0:v/>
      </ns0:c>
      <ns0:c r="H509">
        <ns0:f>IFERROR(IF(AND(AH!$E$4="Bloomberg",AH!$P$10=1,ISNUMBER($A509),$A509&lt;=AH!$P$17),AH!$P$7-1+MATCH($A509,INDEX('AH History'!$A$1:$A$18046,AH!$P$7):INDEX('AH History'!$A$1:$A$18046,AH!$P$7+AH!$P$8-1),0),0),0)</ns0:f>
        <ns0:v/>
      </ns0:c>
      <ns0:c r="I509">
        <ns0:f>IF($H509=0,0,IFERROR(IF(AND(ABS($C509-INDEX('AH History'!$B$1:$B$18046,$H509))&lt;=MAX(0.005,ABS(INDEX('AH History'!$B$1:$B$18046,$H509))*0.00005),ABS($D509-INDEX('AH History'!$C$1:$C$18046,$H509))&lt;=MAX(0.005,ABS(INDEX('AH History'!$C$1:$C$18046,$H509))*0.00005),ABS($E509-INDEX('AH History'!$D$1:$D$18046,$H509))&lt;=0.00005,$F509=INDEX('AH History'!$E$1:$E$18046,$H509),$G509=INDEX('AH History'!$F$1:$F$18046,$H509)),1,-1),-1))</ns0:f>
        <ns0:v/>
      </ns0:c>
    </ns0:row>
    <ns0:row r="510">
      <ns0:c r="A510" s="215">
        <ns0:f>IF(OR(AH!$P$3=0,505+1&gt;AH!$P$11,AND(AH!$E$4&lt;&gt;"Stored",AH!$P$10&lt;&gt;1)),"",IFERROR(IF(AND(AH!$P$21=1,505+1=AH!$P$11),TODAY(),IF(AH!$P$10=1,INDEX('Live History'!$A$5:$A$3004,AH!$P$13+505),INDEX('AH History'!$A$1:$A$18046,AH!$P$7+505))),""))</ns0:f>
        <ns0:v/>
      </ns0:c>
      <ns0:c r="B510" s="219">
        <ns0:f>IFERROR(IF(AND(AH!$P$9&lt;&gt;1,$C510&gt;0,$D510&gt;0,$E510&gt;0,$F510&gt;0,$G510&gt;0,$F510&lt;=$A510,$G510&lt;=$A510,$A510-$F510&lt;=10,$A510-$G510&lt;=5),$D510*$E510/$C510-1,NA()),NA())</ns0:f>
        <ns0:v/>
      </ns0:c>
      <ns0:c r="C510">
        <ns0:f>IFERROR(IF(ISNUMBER($A510),IF(AND(AH!$P$10=1,AH!$P$12=1,$A510=TODAY()),AH!$P$19,IF(AH!$P$10=1,INDEX('Live History'!$B$5:$B$3004,AH!$P$13+505),INDEX('AH History'!$B$1:$B$18046,AH!$P$7+505))),NA()),NA())</ns0:f>
        <ns0:v/>
      </ns0:c>
      <ns0:c r="D510">
        <ns0:f>IFERROR(IF(ISNUMBER($A510),IF(AND(AH!$P$10=1,AH!$P$12=1,$A510=TODAY()),AH!$P$18,IF(AH!$P$10=1,INDEX('Live History'!$E$5:$E$3004,MATCH($A510,'Live History'!$D$5:$D$3004,1)),INDEX('AH History'!$C$1:$C$18046,AH!$P$7+505))),NA()),NA())</ns0:f>
        <ns0:v/>
      </ns0:c>
      <ns0:c r="E510">
        <ns0:f>IFERROR(IF(ISNUMBER($A510),IF(AND(AH!$P$10=1,AH!$P$12=1,$A510=TODAY()),AH!$P$20,IF(AH!$P$10=1,INDEX('Live History'!$H$5:$H$3004,MATCH($A510,'Live History'!$G$5:$G$3004,1)),INDEX('AH History'!$D$1:$D$18046,AH!$P$7+505))),NA()),NA())</ns0:f>
        <ns0:v/>
      </ns0:c>
      <ns0:c r="F510">
        <ns0:f>IFERROR(IF(ISNUMBER($A510),IF(AND(AH!$P$10=1,AH!$P$12=1,$A510=TODAY()),IF(AND(AH!$P$10=1,AH!$P$12=1,$A510=TODAY()),TODAY(),NA()),IF(AH!$P$10=1,INDEX('Live History'!$D$5:$D$3004,MATCH($A510,'Live History'!$D$5:$D$3004,1)),INDEX('AH History'!$E$1:$E$18046,AH!$P$7+505))),NA()),NA())</ns0:f>
        <ns0:v/>
      </ns0:c>
      <ns0:c r="G510">
        <ns0:f>IFERROR(IF(ISNUMBER($A510),IF(AND(AH!$P$10=1,AH!$P$12=1,$A510=TODAY()),IF(AND(AH!$P$10=1,AH!$P$12=1,$A510=TODAY()),TODAY(),NA()),IF(AH!$P$10=1,INDEX('Live History'!$G$5:$G$3004,MATCH($A510,'Live History'!$G$5:$G$3004,1)),INDEX('AH History'!$F$1:$F$18046,AH!$P$7+505))),NA()),NA())</ns0:f>
        <ns0:v/>
      </ns0:c>
      <ns0:c r="H510">
        <ns0:f>IFERROR(IF(AND(AH!$E$4="Bloomberg",AH!$P$10=1,ISNUMBER($A510),$A510&lt;=AH!$P$17),AH!$P$7-1+MATCH($A510,INDEX('AH History'!$A$1:$A$18046,AH!$P$7):INDEX('AH History'!$A$1:$A$18046,AH!$P$7+AH!$P$8-1),0),0),0)</ns0:f>
        <ns0:v/>
      </ns0:c>
      <ns0:c r="I510">
        <ns0:f>IF($H510=0,0,IFERROR(IF(AND(ABS($C510-INDEX('AH History'!$B$1:$B$18046,$H510))&lt;=MAX(0.005,ABS(INDEX('AH History'!$B$1:$B$18046,$H510))*0.00005),ABS($D510-INDEX('AH History'!$C$1:$C$18046,$H510))&lt;=MAX(0.005,ABS(INDEX('AH History'!$C$1:$C$18046,$H510))*0.00005),ABS($E510-INDEX('AH History'!$D$1:$D$18046,$H510))&lt;=0.00005,$F510=INDEX('AH History'!$E$1:$E$18046,$H510),$G510=INDEX('AH History'!$F$1:$F$18046,$H510)),1,-1),-1))</ns0:f>
        <ns0:v/>
      </ns0:c>
    </ns0:row>
    <ns0:row r="511">
      <ns0:c r="A511" s="215">
        <ns0:f>IF(OR(AH!$P$3=0,506+1&gt;AH!$P$11,AND(AH!$E$4&lt;&gt;"Stored",AH!$P$10&lt;&gt;1)),"",IFERROR(IF(AND(AH!$P$21=1,506+1=AH!$P$11),TODAY(),IF(AH!$P$10=1,INDEX('Live History'!$A$5:$A$3004,AH!$P$13+506),INDEX('AH History'!$A$1:$A$18046,AH!$P$7+506))),""))</ns0:f>
        <ns0:v/>
      </ns0:c>
      <ns0:c r="B511" s="219">
        <ns0:f>IFERROR(IF(AND(AH!$P$9&lt;&gt;1,$C511&gt;0,$D511&gt;0,$E511&gt;0,$F511&gt;0,$G511&gt;0,$F511&lt;=$A511,$G511&lt;=$A511,$A511-$F511&lt;=10,$A511-$G511&lt;=5),$D511*$E511/$C511-1,NA()),NA())</ns0:f>
        <ns0:v/>
      </ns0:c>
      <ns0:c r="C511">
        <ns0:f>IFERROR(IF(ISNUMBER($A511),IF(AND(AH!$P$10=1,AH!$P$12=1,$A511=TODAY()),AH!$P$19,IF(AH!$P$10=1,INDEX('Live History'!$B$5:$B$3004,AH!$P$13+506),INDEX('AH History'!$B$1:$B$18046,AH!$P$7+506))),NA()),NA())</ns0:f>
        <ns0:v/>
      </ns0:c>
      <ns0:c r="D511">
        <ns0:f>IFERROR(IF(ISNUMBER($A511),IF(AND(AH!$P$10=1,AH!$P$12=1,$A511=TODAY()),AH!$P$18,IF(AH!$P$10=1,INDEX('Live History'!$E$5:$E$3004,MATCH($A511,'Live History'!$D$5:$D$3004,1)),INDEX('AH History'!$C$1:$C$18046,AH!$P$7+506))),NA()),NA())</ns0:f>
        <ns0:v/>
      </ns0:c>
      <ns0:c r="E511">
        <ns0:f>IFERROR(IF(ISNUMBER($A511),IF(AND(AH!$P$10=1,AH!$P$12=1,$A511=TODAY()),AH!$P$20,IF(AH!$P$10=1,INDEX('Live History'!$H$5:$H$3004,MATCH($A511,'Live History'!$G$5:$G$3004,1)),INDEX('AH History'!$D$1:$D$18046,AH!$P$7+506))),NA()),NA())</ns0:f>
        <ns0:v/>
      </ns0:c>
      <ns0:c r="F511">
        <ns0:f>IFERROR(IF(ISNUMBER($A511),IF(AND(AH!$P$10=1,AH!$P$12=1,$A511=TODAY()),IF(AND(AH!$P$10=1,AH!$P$12=1,$A511=TODAY()),TODAY(),NA()),IF(AH!$P$10=1,INDEX('Live History'!$D$5:$D$3004,MATCH($A511,'Live History'!$D$5:$D$3004,1)),INDEX('AH History'!$E$1:$E$18046,AH!$P$7+506))),NA()),NA())</ns0:f>
        <ns0:v/>
      </ns0:c>
      <ns0:c r="G511">
        <ns0:f>IFERROR(IF(ISNUMBER($A511),IF(AND(AH!$P$10=1,AH!$P$12=1,$A511=TODAY()),IF(AND(AH!$P$10=1,AH!$P$12=1,$A511=TODAY()),TODAY(),NA()),IF(AH!$P$10=1,INDEX('Live History'!$G$5:$G$3004,MATCH($A511,'Live History'!$G$5:$G$3004,1)),INDEX('AH History'!$F$1:$F$18046,AH!$P$7+506))),NA()),NA())</ns0:f>
        <ns0:v/>
      </ns0:c>
      <ns0:c r="H511">
        <ns0:f>IFERROR(IF(AND(AH!$E$4="Bloomberg",AH!$P$10=1,ISNUMBER($A511),$A511&lt;=AH!$P$17),AH!$P$7-1+MATCH($A511,INDEX('AH History'!$A$1:$A$18046,AH!$P$7):INDEX('AH History'!$A$1:$A$18046,AH!$P$7+AH!$P$8-1),0),0),0)</ns0:f>
        <ns0:v/>
      </ns0:c>
      <ns0:c r="I511">
        <ns0:f>IF($H511=0,0,IFERROR(IF(AND(ABS($C511-INDEX('AH History'!$B$1:$B$18046,$H511))&lt;=MAX(0.005,ABS(INDEX('AH History'!$B$1:$B$18046,$H511))*0.00005),ABS($D511-INDEX('AH History'!$C$1:$C$18046,$H511))&lt;=MAX(0.005,ABS(INDEX('AH History'!$C$1:$C$18046,$H511))*0.00005),ABS($E511-INDEX('AH History'!$D$1:$D$18046,$H511))&lt;=0.00005,$F511=INDEX('AH History'!$E$1:$E$18046,$H511),$G511=INDEX('AH History'!$F$1:$F$18046,$H511)),1,-1),-1))</ns0:f>
        <ns0:v/>
      </ns0:c>
    </ns0:row>
    <ns0:row r="512">
      <ns0:c r="A512" s="215">
        <ns0:f>IF(OR(AH!$P$3=0,507+1&gt;AH!$P$11,AND(AH!$E$4&lt;&gt;"Stored",AH!$P$10&lt;&gt;1)),"",IFERROR(IF(AND(AH!$P$21=1,507+1=AH!$P$11),TODAY(),IF(AH!$P$10=1,INDEX('Live History'!$A$5:$A$3004,AH!$P$13+507),INDEX('AH History'!$A$1:$A$18046,AH!$P$7+507))),""))</ns0:f>
        <ns0:v/>
      </ns0:c>
      <ns0:c r="B512" s="219">
        <ns0:f>IFERROR(IF(AND(AH!$P$9&lt;&gt;1,$C512&gt;0,$D512&gt;0,$E512&gt;0,$F512&gt;0,$G512&gt;0,$F512&lt;=$A512,$G512&lt;=$A512,$A512-$F512&lt;=10,$A512-$G512&lt;=5),$D512*$E512/$C512-1,NA()),NA())</ns0:f>
        <ns0:v/>
      </ns0:c>
      <ns0:c r="C512">
        <ns0:f>IFERROR(IF(ISNUMBER($A512),IF(AND(AH!$P$10=1,AH!$P$12=1,$A512=TODAY()),AH!$P$19,IF(AH!$P$10=1,INDEX('Live History'!$B$5:$B$3004,AH!$P$13+507),INDEX('AH History'!$B$1:$B$18046,AH!$P$7+507))),NA()),NA())</ns0:f>
        <ns0:v/>
      </ns0:c>
      <ns0:c r="D512">
        <ns0:f>IFERROR(IF(ISNUMBER($A512),IF(AND(AH!$P$10=1,AH!$P$12=1,$A512=TODAY()),AH!$P$18,IF(AH!$P$10=1,INDEX('Live History'!$E$5:$E$3004,MATCH($A512,'Live History'!$D$5:$D$3004,1)),INDEX('AH History'!$C$1:$C$18046,AH!$P$7+507))),NA()),NA())</ns0:f>
        <ns0:v/>
      </ns0:c>
      <ns0:c r="E512">
        <ns0:f>IFERROR(IF(ISNUMBER($A512),IF(AND(AH!$P$10=1,AH!$P$12=1,$A512=TODAY()),AH!$P$20,IF(AH!$P$10=1,INDEX('Live History'!$H$5:$H$3004,MATCH($A512,'Live History'!$G$5:$G$3004,1)),INDEX('AH History'!$D$1:$D$18046,AH!$P$7+507))),NA()),NA())</ns0:f>
        <ns0:v/>
      </ns0:c>
      <ns0:c r="F512">
        <ns0:f>IFERROR(IF(ISNUMBER($A512),IF(AND(AH!$P$10=1,AH!$P$12=1,$A512=TODAY()),IF(AND(AH!$P$10=1,AH!$P$12=1,$A512=TODAY()),TODAY(),NA()),IF(AH!$P$10=1,INDEX('Live History'!$D$5:$D$3004,MATCH($A512,'Live History'!$D$5:$D$3004,1)),INDEX('AH History'!$E$1:$E$18046,AH!$P$7+507))),NA()),NA())</ns0:f>
        <ns0:v/>
      </ns0:c>
      <ns0:c r="G512">
        <ns0:f>IFERROR(IF(ISNUMBER($A512),IF(AND(AH!$P$10=1,AH!$P$12=1,$A512=TODAY()),IF(AND(AH!$P$10=1,AH!$P$12=1,$A512=TODAY()),TODAY(),NA()),IF(AH!$P$10=1,INDEX('Live History'!$G$5:$G$3004,MATCH($A512,'Live History'!$G$5:$G$3004,1)),INDEX('AH History'!$F$1:$F$18046,AH!$P$7+507))),NA()),NA())</ns0:f>
        <ns0:v/>
      </ns0:c>
      <ns0:c r="H512">
        <ns0:f>IFERROR(IF(AND(AH!$E$4="Bloomberg",AH!$P$10=1,ISNUMBER($A512),$A512&lt;=AH!$P$17),AH!$P$7-1+MATCH($A512,INDEX('AH History'!$A$1:$A$18046,AH!$P$7):INDEX('AH History'!$A$1:$A$18046,AH!$P$7+AH!$P$8-1),0),0),0)</ns0:f>
        <ns0:v/>
      </ns0:c>
      <ns0:c r="I512">
        <ns0:f>IF($H512=0,0,IFERROR(IF(AND(ABS($C512-INDEX('AH History'!$B$1:$B$18046,$H512))&lt;=MAX(0.005,ABS(INDEX('AH History'!$B$1:$B$18046,$H512))*0.00005),ABS($D512-INDEX('AH History'!$C$1:$C$18046,$H512))&lt;=MAX(0.005,ABS(INDEX('AH History'!$C$1:$C$18046,$H512))*0.00005),ABS($E512-INDEX('AH History'!$D$1:$D$18046,$H512))&lt;=0.00005,$F512=INDEX('AH History'!$E$1:$E$18046,$H512),$G512=INDEX('AH History'!$F$1:$F$18046,$H512)),1,-1),-1))</ns0:f>
        <ns0:v/>
      </ns0:c>
    </ns0:row>
    <ns0:row r="513">
      <ns0:c r="A513" s="215">
        <ns0:f>IF(OR(AH!$P$3=0,508+1&gt;AH!$P$11,AND(AH!$E$4&lt;&gt;"Stored",AH!$P$10&lt;&gt;1)),"",IFERROR(IF(AND(AH!$P$21=1,508+1=AH!$P$11),TODAY(),IF(AH!$P$10=1,INDEX('Live History'!$A$5:$A$3004,AH!$P$13+508),INDEX('AH History'!$A$1:$A$18046,AH!$P$7+508))),""))</ns0:f>
        <ns0:v/>
      </ns0:c>
      <ns0:c r="B513" s="219">
        <ns0:f>IFERROR(IF(AND(AH!$P$9&lt;&gt;1,$C513&gt;0,$D513&gt;0,$E513&gt;0,$F513&gt;0,$G513&gt;0,$F513&lt;=$A513,$G513&lt;=$A513,$A513-$F513&lt;=10,$A513-$G513&lt;=5),$D513*$E513/$C513-1,NA()),NA())</ns0:f>
        <ns0:v/>
      </ns0:c>
      <ns0:c r="C513">
        <ns0:f>IFERROR(IF(ISNUMBER($A513),IF(AND(AH!$P$10=1,AH!$P$12=1,$A513=TODAY()),AH!$P$19,IF(AH!$P$10=1,INDEX('Live History'!$B$5:$B$3004,AH!$P$13+508),INDEX('AH History'!$B$1:$B$18046,AH!$P$7+508))),NA()),NA())</ns0:f>
        <ns0:v/>
      </ns0:c>
      <ns0:c r="D513">
        <ns0:f>IFERROR(IF(ISNUMBER($A513),IF(AND(AH!$P$10=1,AH!$P$12=1,$A513=TODAY()),AH!$P$18,IF(AH!$P$10=1,INDEX('Live History'!$E$5:$E$3004,MATCH($A513,'Live History'!$D$5:$D$3004,1)),INDEX('AH History'!$C$1:$C$18046,AH!$P$7+508))),NA()),NA())</ns0:f>
        <ns0:v/>
      </ns0:c>
      <ns0:c r="E513">
        <ns0:f>IFERROR(IF(ISNUMBER($A513),IF(AND(AH!$P$10=1,AH!$P$12=1,$A513=TODAY()),AH!$P$20,IF(AH!$P$10=1,INDEX('Live History'!$H$5:$H$3004,MATCH($A513,'Live History'!$G$5:$G$3004,1)),INDEX('AH History'!$D$1:$D$18046,AH!$P$7+508))),NA()),NA())</ns0:f>
        <ns0:v/>
      </ns0:c>
      <ns0:c r="F513">
        <ns0:f>IFERROR(IF(ISNUMBER($A513),IF(AND(AH!$P$10=1,AH!$P$12=1,$A513=TODAY()),IF(AND(AH!$P$10=1,AH!$P$12=1,$A513=TODAY()),TODAY(),NA()),IF(AH!$P$10=1,INDEX('Live History'!$D$5:$D$3004,MATCH($A513,'Live History'!$D$5:$D$3004,1)),INDEX('AH History'!$E$1:$E$18046,AH!$P$7+508))),NA()),NA())</ns0:f>
        <ns0:v/>
      </ns0:c>
      <ns0:c r="G513">
        <ns0:f>IFERROR(IF(ISNUMBER($A513),IF(AND(AH!$P$10=1,AH!$P$12=1,$A513=TODAY()),IF(AND(AH!$P$10=1,AH!$P$12=1,$A513=TODAY()),TODAY(),NA()),IF(AH!$P$10=1,INDEX('Live History'!$G$5:$G$3004,MATCH($A513,'Live History'!$G$5:$G$3004,1)),INDEX('AH History'!$F$1:$F$18046,AH!$P$7+508))),NA()),NA())</ns0:f>
        <ns0:v/>
      </ns0:c>
      <ns0:c r="H513">
        <ns0:f>IFERROR(IF(AND(AH!$E$4="Bloomberg",AH!$P$10=1,ISNUMBER($A513),$A513&lt;=AH!$P$17),AH!$P$7-1+MATCH($A513,INDEX('AH History'!$A$1:$A$18046,AH!$P$7):INDEX('AH History'!$A$1:$A$18046,AH!$P$7+AH!$P$8-1),0),0),0)</ns0:f>
        <ns0:v/>
      </ns0:c>
      <ns0:c r="I513">
        <ns0:f>IF($H513=0,0,IFERROR(IF(AND(ABS($C513-INDEX('AH History'!$B$1:$B$18046,$H513))&lt;=MAX(0.005,ABS(INDEX('AH History'!$B$1:$B$18046,$H513))*0.00005),ABS($D513-INDEX('AH History'!$C$1:$C$18046,$H513))&lt;=MAX(0.005,ABS(INDEX('AH History'!$C$1:$C$18046,$H513))*0.00005),ABS($E513-INDEX('AH History'!$D$1:$D$18046,$H513))&lt;=0.00005,$F513=INDEX('AH History'!$E$1:$E$18046,$H513),$G513=INDEX('AH History'!$F$1:$F$18046,$H513)),1,-1),-1))</ns0:f>
        <ns0:v/>
      </ns0:c>
    </ns0:row>
    <ns0:row r="514">
      <ns0:c r="A514" s="215">
        <ns0:f>IF(OR(AH!$P$3=0,509+1&gt;AH!$P$11,AND(AH!$E$4&lt;&gt;"Stored",AH!$P$10&lt;&gt;1)),"",IFERROR(IF(AND(AH!$P$21=1,509+1=AH!$P$11),TODAY(),IF(AH!$P$10=1,INDEX('Live History'!$A$5:$A$3004,AH!$P$13+509),INDEX('AH History'!$A$1:$A$18046,AH!$P$7+509))),""))</ns0:f>
        <ns0:v/>
      </ns0:c>
      <ns0:c r="B514" s="219">
        <ns0:f>IFERROR(IF(AND(AH!$P$9&lt;&gt;1,$C514&gt;0,$D514&gt;0,$E514&gt;0,$F514&gt;0,$G514&gt;0,$F514&lt;=$A514,$G514&lt;=$A514,$A514-$F514&lt;=10,$A514-$G514&lt;=5),$D514*$E514/$C514-1,NA()),NA())</ns0:f>
        <ns0:v/>
      </ns0:c>
      <ns0:c r="C514">
        <ns0:f>IFERROR(IF(ISNUMBER($A514),IF(AND(AH!$P$10=1,AH!$P$12=1,$A514=TODAY()),AH!$P$19,IF(AH!$P$10=1,INDEX('Live History'!$B$5:$B$3004,AH!$P$13+509),INDEX('AH History'!$B$1:$B$18046,AH!$P$7+509))),NA()),NA())</ns0:f>
        <ns0:v/>
      </ns0:c>
      <ns0:c r="D514">
        <ns0:f>IFERROR(IF(ISNUMBER($A514),IF(AND(AH!$P$10=1,AH!$P$12=1,$A514=TODAY()),AH!$P$18,IF(AH!$P$10=1,INDEX('Live History'!$E$5:$E$3004,MATCH($A514,'Live History'!$D$5:$D$3004,1)),INDEX('AH History'!$C$1:$C$18046,AH!$P$7+509))),NA()),NA())</ns0:f>
        <ns0:v/>
      </ns0:c>
      <ns0:c r="E514">
        <ns0:f>IFERROR(IF(ISNUMBER($A514),IF(AND(AH!$P$10=1,AH!$P$12=1,$A514=TODAY()),AH!$P$20,IF(AH!$P$10=1,INDEX('Live History'!$H$5:$H$3004,MATCH($A514,'Live History'!$G$5:$G$3004,1)),INDEX('AH History'!$D$1:$D$18046,AH!$P$7+509))),NA()),NA())</ns0:f>
        <ns0:v/>
      </ns0:c>
      <ns0:c r="F514">
        <ns0:f>IFERROR(IF(ISNUMBER($A514),IF(AND(AH!$P$10=1,AH!$P$12=1,$A514=TODAY()),IF(AND(AH!$P$10=1,AH!$P$12=1,$A514=TODAY()),TODAY(),NA()),IF(AH!$P$10=1,INDEX('Live History'!$D$5:$D$3004,MATCH($A514,'Live History'!$D$5:$D$3004,1)),INDEX('AH History'!$E$1:$E$18046,AH!$P$7+509))),NA()),NA())</ns0:f>
        <ns0:v/>
      </ns0:c>
      <ns0:c r="G514">
        <ns0:f>IFERROR(IF(ISNUMBER($A514),IF(AND(AH!$P$10=1,AH!$P$12=1,$A514=TODAY()),IF(AND(AH!$P$10=1,AH!$P$12=1,$A514=TODAY()),TODAY(),NA()),IF(AH!$P$10=1,INDEX('Live History'!$G$5:$G$3004,MATCH($A514,'Live History'!$G$5:$G$3004,1)),INDEX('AH History'!$F$1:$F$18046,AH!$P$7+509))),NA()),NA())</ns0:f>
        <ns0:v/>
      </ns0:c>
      <ns0:c r="H514">
        <ns0:f>IFERROR(IF(AND(AH!$E$4="Bloomberg",AH!$P$10=1,ISNUMBER($A514),$A514&lt;=AH!$P$17),AH!$P$7-1+MATCH($A514,INDEX('AH History'!$A$1:$A$18046,AH!$P$7):INDEX('AH History'!$A$1:$A$18046,AH!$P$7+AH!$P$8-1),0),0),0)</ns0:f>
        <ns0:v/>
      </ns0:c>
      <ns0:c r="I514">
        <ns0:f>IF($H514=0,0,IFERROR(IF(AND(ABS($C514-INDEX('AH History'!$B$1:$B$18046,$H514))&lt;=MAX(0.005,ABS(INDEX('AH History'!$B$1:$B$18046,$H514))*0.00005),ABS($D514-INDEX('AH History'!$C$1:$C$18046,$H514))&lt;=MAX(0.005,ABS(INDEX('AH History'!$C$1:$C$18046,$H514))*0.00005),ABS($E514-INDEX('AH History'!$D$1:$D$18046,$H514))&lt;=0.00005,$F514=INDEX('AH History'!$E$1:$E$18046,$H514),$G514=INDEX('AH History'!$F$1:$F$18046,$H514)),1,-1),-1))</ns0:f>
        <ns0:v/>
      </ns0:c>
    </ns0:row>
    <ns0:row r="515">
      <ns0:c r="A515" s="215">
        <ns0:f>IF(OR(AH!$P$3=0,510+1&gt;AH!$P$11,AND(AH!$E$4&lt;&gt;"Stored",AH!$P$10&lt;&gt;1)),"",IFERROR(IF(AND(AH!$P$21=1,510+1=AH!$P$11),TODAY(),IF(AH!$P$10=1,INDEX('Live History'!$A$5:$A$3004,AH!$P$13+510),INDEX('AH History'!$A$1:$A$18046,AH!$P$7+510))),""))</ns0:f>
        <ns0:v/>
      </ns0:c>
      <ns0:c r="B515" s="219">
        <ns0:f>IFERROR(IF(AND(AH!$P$9&lt;&gt;1,$C515&gt;0,$D515&gt;0,$E515&gt;0,$F515&gt;0,$G515&gt;0,$F515&lt;=$A515,$G515&lt;=$A515,$A515-$F515&lt;=10,$A515-$G515&lt;=5),$D515*$E515/$C515-1,NA()),NA())</ns0:f>
        <ns0:v/>
      </ns0:c>
      <ns0:c r="C515">
        <ns0:f>IFERROR(IF(ISNUMBER($A515),IF(AND(AH!$P$10=1,AH!$P$12=1,$A515=TODAY()),AH!$P$19,IF(AH!$P$10=1,INDEX('Live History'!$B$5:$B$3004,AH!$P$13+510),INDEX('AH History'!$B$1:$B$18046,AH!$P$7+510))),NA()),NA())</ns0:f>
        <ns0:v/>
      </ns0:c>
      <ns0:c r="D515">
        <ns0:f>IFERROR(IF(ISNUMBER($A515),IF(AND(AH!$P$10=1,AH!$P$12=1,$A515=TODAY()),AH!$P$18,IF(AH!$P$10=1,INDEX('Live History'!$E$5:$E$3004,MATCH($A515,'Live History'!$D$5:$D$3004,1)),INDEX('AH History'!$C$1:$C$18046,AH!$P$7+510))),NA()),NA())</ns0:f>
        <ns0:v/>
      </ns0:c>
      <ns0:c r="E515">
        <ns0:f>IFERROR(IF(ISNUMBER($A515),IF(AND(AH!$P$10=1,AH!$P$12=1,$A515=TODAY()),AH!$P$20,IF(AH!$P$10=1,INDEX('Live History'!$H$5:$H$3004,MATCH($A515,'Live History'!$G$5:$G$3004,1)),INDEX('AH History'!$D$1:$D$18046,AH!$P$7+510))),NA()),NA())</ns0:f>
        <ns0:v/>
      </ns0:c>
      <ns0:c r="F515">
        <ns0:f>IFERROR(IF(ISNUMBER($A515),IF(AND(AH!$P$10=1,AH!$P$12=1,$A515=TODAY()),IF(AND(AH!$P$10=1,AH!$P$12=1,$A515=TODAY()),TODAY(),NA()),IF(AH!$P$10=1,INDEX('Live History'!$D$5:$D$3004,MATCH($A515,'Live History'!$D$5:$D$3004,1)),INDEX('AH History'!$E$1:$E$18046,AH!$P$7+510))),NA()),NA())</ns0:f>
        <ns0:v/>
      </ns0:c>
      <ns0:c r="G515">
        <ns0:f>IFERROR(IF(ISNUMBER($A515),IF(AND(AH!$P$10=1,AH!$P$12=1,$A515=TODAY()),IF(AND(AH!$P$10=1,AH!$P$12=1,$A515=TODAY()),TODAY(),NA()),IF(AH!$P$10=1,INDEX('Live History'!$G$5:$G$3004,MATCH($A515,'Live History'!$G$5:$G$3004,1)),INDEX('AH History'!$F$1:$F$18046,AH!$P$7+510))),NA()),NA())</ns0:f>
        <ns0:v/>
      </ns0:c>
      <ns0:c r="H515">
        <ns0:f>IFERROR(IF(AND(AH!$E$4="Bloomberg",AH!$P$10=1,ISNUMBER($A515),$A515&lt;=AH!$P$17),AH!$P$7-1+MATCH($A515,INDEX('AH History'!$A$1:$A$18046,AH!$P$7):INDEX('AH History'!$A$1:$A$18046,AH!$P$7+AH!$P$8-1),0),0),0)</ns0:f>
        <ns0:v/>
      </ns0:c>
      <ns0:c r="I515">
        <ns0:f>IF($H515=0,0,IFERROR(IF(AND(ABS($C515-INDEX('AH History'!$B$1:$B$18046,$H515))&lt;=MAX(0.005,ABS(INDEX('AH History'!$B$1:$B$18046,$H515))*0.00005),ABS($D515-INDEX('AH History'!$C$1:$C$18046,$H515))&lt;=MAX(0.005,ABS(INDEX('AH History'!$C$1:$C$18046,$H515))*0.00005),ABS($E515-INDEX('AH History'!$D$1:$D$18046,$H515))&lt;=0.00005,$F515=INDEX('AH History'!$E$1:$E$18046,$H515),$G515=INDEX('AH History'!$F$1:$F$18046,$H515)),1,-1),-1))</ns0:f>
        <ns0:v/>
      </ns0:c>
    </ns0:row>
    <ns0:row r="516">
      <ns0:c r="A516" s="215">
        <ns0:f>IF(OR(AH!$P$3=0,511+1&gt;AH!$P$11,AND(AH!$E$4&lt;&gt;"Stored",AH!$P$10&lt;&gt;1)),"",IFERROR(IF(AND(AH!$P$21=1,511+1=AH!$P$11),TODAY(),IF(AH!$P$10=1,INDEX('Live History'!$A$5:$A$3004,AH!$P$13+511),INDEX('AH History'!$A$1:$A$18046,AH!$P$7+511))),""))</ns0:f>
        <ns0:v/>
      </ns0:c>
      <ns0:c r="B516" s="219">
        <ns0:f>IFERROR(IF(AND(AH!$P$9&lt;&gt;1,$C516&gt;0,$D516&gt;0,$E516&gt;0,$F516&gt;0,$G516&gt;0,$F516&lt;=$A516,$G516&lt;=$A516,$A516-$F516&lt;=10,$A516-$G516&lt;=5),$D516*$E516/$C516-1,NA()),NA())</ns0:f>
        <ns0:v/>
      </ns0:c>
      <ns0:c r="C516">
        <ns0:f>IFERROR(IF(ISNUMBER($A516),IF(AND(AH!$P$10=1,AH!$P$12=1,$A516=TODAY()),AH!$P$19,IF(AH!$P$10=1,INDEX('Live History'!$B$5:$B$3004,AH!$P$13+511),INDEX('AH History'!$B$1:$B$18046,AH!$P$7+511))),NA()),NA())</ns0:f>
        <ns0:v/>
      </ns0:c>
      <ns0:c r="D516">
        <ns0:f>IFERROR(IF(ISNUMBER($A516),IF(AND(AH!$P$10=1,AH!$P$12=1,$A516=TODAY()),AH!$P$18,IF(AH!$P$10=1,INDEX('Live History'!$E$5:$E$3004,MATCH($A516,'Live History'!$D$5:$D$3004,1)),INDEX('AH History'!$C$1:$C$18046,AH!$P$7+511))),NA()),NA())</ns0:f>
        <ns0:v/>
      </ns0:c>
      <ns0:c r="E516">
        <ns0:f>IFERROR(IF(ISNUMBER($A516),IF(AND(AH!$P$10=1,AH!$P$12=1,$A516=TODAY()),AH!$P$20,IF(AH!$P$10=1,INDEX('Live History'!$H$5:$H$3004,MATCH($A516,'Live History'!$G$5:$G$3004,1)),INDEX('AH History'!$D$1:$D$18046,AH!$P$7+511))),NA()),NA())</ns0:f>
        <ns0:v/>
      </ns0:c>
      <ns0:c r="F516">
        <ns0:f>IFERROR(IF(ISNUMBER($A516),IF(AND(AH!$P$10=1,AH!$P$12=1,$A516=TODAY()),IF(AND(AH!$P$10=1,AH!$P$12=1,$A516=TODAY()),TODAY(),NA()),IF(AH!$P$10=1,INDEX('Live History'!$D$5:$D$3004,MATCH($A516,'Live History'!$D$5:$D$3004,1)),INDEX('AH History'!$E$1:$E$18046,AH!$P$7+511))),NA()),NA())</ns0:f>
        <ns0:v/>
      </ns0:c>
      <ns0:c r="G516">
        <ns0:f>IFERROR(IF(ISNUMBER($A516),IF(AND(AH!$P$10=1,AH!$P$12=1,$A516=TODAY()),IF(AND(AH!$P$10=1,AH!$P$12=1,$A516=TODAY()),TODAY(),NA()),IF(AH!$P$10=1,INDEX('Live History'!$G$5:$G$3004,MATCH($A516,'Live History'!$G$5:$G$3004,1)),INDEX('AH History'!$F$1:$F$18046,AH!$P$7+511))),NA()),NA())</ns0:f>
        <ns0:v/>
      </ns0:c>
      <ns0:c r="H516">
        <ns0:f>IFERROR(IF(AND(AH!$E$4="Bloomberg",AH!$P$10=1,ISNUMBER($A516),$A516&lt;=AH!$P$17),AH!$P$7-1+MATCH($A516,INDEX('AH History'!$A$1:$A$18046,AH!$P$7):INDEX('AH History'!$A$1:$A$18046,AH!$P$7+AH!$P$8-1),0),0),0)</ns0:f>
        <ns0:v/>
      </ns0:c>
      <ns0:c r="I516">
        <ns0:f>IF($H516=0,0,IFERROR(IF(AND(ABS($C516-INDEX('AH History'!$B$1:$B$18046,$H516))&lt;=MAX(0.005,ABS(INDEX('AH History'!$B$1:$B$18046,$H516))*0.00005),ABS($D516-INDEX('AH History'!$C$1:$C$18046,$H516))&lt;=MAX(0.005,ABS(INDEX('AH History'!$C$1:$C$18046,$H516))*0.00005),ABS($E516-INDEX('AH History'!$D$1:$D$18046,$H516))&lt;=0.00005,$F516=INDEX('AH History'!$E$1:$E$18046,$H516),$G516=INDEX('AH History'!$F$1:$F$18046,$H516)),1,-1),-1))</ns0:f>
        <ns0:v/>
      </ns0:c>
    </ns0:row>
    <ns0:row r="517">
      <ns0:c r="A517" s="215">
        <ns0:f>IF(OR(AH!$P$3=0,512+1&gt;AH!$P$11,AND(AH!$E$4&lt;&gt;"Stored",AH!$P$10&lt;&gt;1)),"",IFERROR(IF(AND(AH!$P$21=1,512+1=AH!$P$11),TODAY(),IF(AH!$P$10=1,INDEX('Live History'!$A$5:$A$3004,AH!$P$13+512),INDEX('AH History'!$A$1:$A$18046,AH!$P$7+512))),""))</ns0:f>
        <ns0:v/>
      </ns0:c>
      <ns0:c r="B517" s="219">
        <ns0:f>IFERROR(IF(AND(AH!$P$9&lt;&gt;1,$C517&gt;0,$D517&gt;0,$E517&gt;0,$F517&gt;0,$G517&gt;0,$F517&lt;=$A517,$G517&lt;=$A517,$A517-$F517&lt;=10,$A517-$G517&lt;=5),$D517*$E517/$C517-1,NA()),NA())</ns0:f>
        <ns0:v/>
      </ns0:c>
      <ns0:c r="C517">
        <ns0:f>IFERROR(IF(ISNUMBER($A517),IF(AND(AH!$P$10=1,AH!$P$12=1,$A517=TODAY()),AH!$P$19,IF(AH!$P$10=1,INDEX('Live History'!$B$5:$B$3004,AH!$P$13+512),INDEX('AH History'!$B$1:$B$18046,AH!$P$7+512))),NA()),NA())</ns0:f>
        <ns0:v/>
      </ns0:c>
      <ns0:c r="D517">
        <ns0:f>IFERROR(IF(ISNUMBER($A517),IF(AND(AH!$P$10=1,AH!$P$12=1,$A517=TODAY()),AH!$P$18,IF(AH!$P$10=1,INDEX('Live History'!$E$5:$E$3004,MATCH($A517,'Live History'!$D$5:$D$3004,1)),INDEX('AH History'!$C$1:$C$18046,AH!$P$7+512))),NA()),NA())</ns0:f>
        <ns0:v/>
      </ns0:c>
      <ns0:c r="E517">
        <ns0:f>IFERROR(IF(ISNUMBER($A517),IF(AND(AH!$P$10=1,AH!$P$12=1,$A517=TODAY()),AH!$P$20,IF(AH!$P$10=1,INDEX('Live History'!$H$5:$H$3004,MATCH($A517,'Live History'!$G$5:$G$3004,1)),INDEX('AH History'!$D$1:$D$18046,AH!$P$7+512))),NA()),NA())</ns0:f>
        <ns0:v/>
      </ns0:c>
      <ns0:c r="F517">
        <ns0:f>IFERROR(IF(ISNUMBER($A517),IF(AND(AH!$P$10=1,AH!$P$12=1,$A517=TODAY()),IF(AND(AH!$P$10=1,AH!$P$12=1,$A517=TODAY()),TODAY(),NA()),IF(AH!$P$10=1,INDEX('Live History'!$D$5:$D$3004,MATCH($A517,'Live History'!$D$5:$D$3004,1)),INDEX('AH History'!$E$1:$E$18046,AH!$P$7+512))),NA()),NA())</ns0:f>
        <ns0:v/>
      </ns0:c>
      <ns0:c r="G517">
        <ns0:f>IFERROR(IF(ISNUMBER($A517),IF(AND(AH!$P$10=1,AH!$P$12=1,$A517=TODAY()),IF(AND(AH!$P$10=1,AH!$P$12=1,$A517=TODAY()),TODAY(),NA()),IF(AH!$P$10=1,INDEX('Live History'!$G$5:$G$3004,MATCH($A517,'Live History'!$G$5:$G$3004,1)),INDEX('AH History'!$F$1:$F$18046,AH!$P$7+512))),NA()),NA())</ns0:f>
        <ns0:v/>
      </ns0:c>
      <ns0:c r="H517">
        <ns0:f>IFERROR(IF(AND(AH!$E$4="Bloomberg",AH!$P$10=1,ISNUMBER($A517),$A517&lt;=AH!$P$17),AH!$P$7-1+MATCH($A517,INDEX('AH History'!$A$1:$A$18046,AH!$P$7):INDEX('AH History'!$A$1:$A$18046,AH!$P$7+AH!$P$8-1),0),0),0)</ns0:f>
        <ns0:v/>
      </ns0:c>
      <ns0:c r="I517">
        <ns0:f>IF($H517=0,0,IFERROR(IF(AND(ABS($C517-INDEX('AH History'!$B$1:$B$18046,$H517))&lt;=MAX(0.005,ABS(INDEX('AH History'!$B$1:$B$18046,$H517))*0.00005),ABS($D517-INDEX('AH History'!$C$1:$C$18046,$H517))&lt;=MAX(0.005,ABS(INDEX('AH History'!$C$1:$C$18046,$H517))*0.00005),ABS($E517-INDEX('AH History'!$D$1:$D$18046,$H517))&lt;=0.00005,$F517=INDEX('AH History'!$E$1:$E$18046,$H517),$G517=INDEX('AH History'!$F$1:$F$18046,$H517)),1,-1),-1))</ns0:f>
        <ns0:v/>
      </ns0:c>
    </ns0:row>
    <ns0:row r="518">
      <ns0:c r="A518" s="215">
        <ns0:f>IF(OR(AH!$P$3=0,513+1&gt;AH!$P$11,AND(AH!$E$4&lt;&gt;"Stored",AH!$P$10&lt;&gt;1)),"",IFERROR(IF(AND(AH!$P$21=1,513+1=AH!$P$11),TODAY(),IF(AH!$P$10=1,INDEX('Live History'!$A$5:$A$3004,AH!$P$13+513),INDEX('AH History'!$A$1:$A$18046,AH!$P$7+513))),""))</ns0:f>
        <ns0:v/>
      </ns0:c>
      <ns0:c r="B518" s="219">
        <ns0:f>IFERROR(IF(AND(AH!$P$9&lt;&gt;1,$C518&gt;0,$D518&gt;0,$E518&gt;0,$F518&gt;0,$G518&gt;0,$F518&lt;=$A518,$G518&lt;=$A518,$A518-$F518&lt;=10,$A518-$G518&lt;=5),$D518*$E518/$C518-1,NA()),NA())</ns0:f>
        <ns0:v/>
      </ns0:c>
      <ns0:c r="C518">
        <ns0:f>IFERROR(IF(ISNUMBER($A518),IF(AND(AH!$P$10=1,AH!$P$12=1,$A518=TODAY()),AH!$P$19,IF(AH!$P$10=1,INDEX('Live History'!$B$5:$B$3004,AH!$P$13+513),INDEX('AH History'!$B$1:$B$18046,AH!$P$7+513))),NA()),NA())</ns0:f>
        <ns0:v/>
      </ns0:c>
      <ns0:c r="D518">
        <ns0:f>IFERROR(IF(ISNUMBER($A518),IF(AND(AH!$P$10=1,AH!$P$12=1,$A518=TODAY()),AH!$P$18,IF(AH!$P$10=1,INDEX('Live History'!$E$5:$E$3004,MATCH($A518,'Live History'!$D$5:$D$3004,1)),INDEX('AH History'!$C$1:$C$18046,AH!$P$7+513))),NA()),NA())</ns0:f>
        <ns0:v/>
      </ns0:c>
      <ns0:c r="E518">
        <ns0:f>IFERROR(IF(ISNUMBER($A518),IF(AND(AH!$P$10=1,AH!$P$12=1,$A518=TODAY()),AH!$P$20,IF(AH!$P$10=1,INDEX('Live History'!$H$5:$H$3004,MATCH($A518,'Live History'!$G$5:$G$3004,1)),INDEX('AH History'!$D$1:$D$18046,AH!$P$7+513))),NA()),NA())</ns0:f>
        <ns0:v/>
      </ns0:c>
      <ns0:c r="F518">
        <ns0:f>IFERROR(IF(ISNUMBER($A518),IF(AND(AH!$P$10=1,AH!$P$12=1,$A518=TODAY()),IF(AND(AH!$P$10=1,AH!$P$12=1,$A518=TODAY()),TODAY(),NA()),IF(AH!$P$10=1,INDEX('Live History'!$D$5:$D$3004,MATCH($A518,'Live History'!$D$5:$D$3004,1)),INDEX('AH History'!$E$1:$E$18046,AH!$P$7+513))),NA()),NA())</ns0:f>
        <ns0:v/>
      </ns0:c>
      <ns0:c r="G518">
        <ns0:f>IFERROR(IF(ISNUMBER($A518),IF(AND(AH!$P$10=1,AH!$P$12=1,$A518=TODAY()),IF(AND(AH!$P$10=1,AH!$P$12=1,$A518=TODAY()),TODAY(),NA()),IF(AH!$P$10=1,INDEX('Live History'!$G$5:$G$3004,MATCH($A518,'Live History'!$G$5:$G$3004,1)),INDEX('AH History'!$F$1:$F$18046,AH!$P$7+513))),NA()),NA())</ns0:f>
        <ns0:v/>
      </ns0:c>
      <ns0:c r="H518">
        <ns0:f>IFERROR(IF(AND(AH!$E$4="Bloomberg",AH!$P$10=1,ISNUMBER($A518),$A518&lt;=AH!$P$17),AH!$P$7-1+MATCH($A518,INDEX('AH History'!$A$1:$A$18046,AH!$P$7):INDEX('AH History'!$A$1:$A$18046,AH!$P$7+AH!$P$8-1),0),0),0)</ns0:f>
        <ns0:v/>
      </ns0:c>
      <ns0:c r="I518">
        <ns0:f>IF($H518=0,0,IFERROR(IF(AND(ABS($C518-INDEX('AH History'!$B$1:$B$18046,$H518))&lt;=MAX(0.005,ABS(INDEX('AH History'!$B$1:$B$18046,$H518))*0.00005),ABS($D518-INDEX('AH History'!$C$1:$C$18046,$H518))&lt;=MAX(0.005,ABS(INDEX('AH History'!$C$1:$C$18046,$H518))*0.00005),ABS($E518-INDEX('AH History'!$D$1:$D$18046,$H518))&lt;=0.00005,$F518=INDEX('AH History'!$E$1:$E$18046,$H518),$G518=INDEX('AH History'!$F$1:$F$18046,$H518)),1,-1),-1))</ns0:f>
        <ns0:v/>
      </ns0:c>
    </ns0:row>
    <ns0:row r="519">
      <ns0:c r="A519" s="215">
        <ns0:f>IF(OR(AH!$P$3=0,514+1&gt;AH!$P$11,AND(AH!$E$4&lt;&gt;"Stored",AH!$P$10&lt;&gt;1)),"",IFERROR(IF(AND(AH!$P$21=1,514+1=AH!$P$11),TODAY(),IF(AH!$P$10=1,INDEX('Live History'!$A$5:$A$3004,AH!$P$13+514),INDEX('AH History'!$A$1:$A$18046,AH!$P$7+514))),""))</ns0:f>
        <ns0:v/>
      </ns0:c>
      <ns0:c r="B519" s="219">
        <ns0:f>IFERROR(IF(AND(AH!$P$9&lt;&gt;1,$C519&gt;0,$D519&gt;0,$E519&gt;0,$F519&gt;0,$G519&gt;0,$F519&lt;=$A519,$G519&lt;=$A519,$A519-$F519&lt;=10,$A519-$G519&lt;=5),$D519*$E519/$C519-1,NA()),NA())</ns0:f>
        <ns0:v/>
      </ns0:c>
      <ns0:c r="C519">
        <ns0:f>IFERROR(IF(ISNUMBER($A519),IF(AND(AH!$P$10=1,AH!$P$12=1,$A519=TODAY()),AH!$P$19,IF(AH!$P$10=1,INDEX('Live History'!$B$5:$B$3004,AH!$P$13+514),INDEX('AH History'!$B$1:$B$18046,AH!$P$7+514))),NA()),NA())</ns0:f>
        <ns0:v/>
      </ns0:c>
      <ns0:c r="D519">
        <ns0:f>IFERROR(IF(ISNUMBER($A519),IF(AND(AH!$P$10=1,AH!$P$12=1,$A519=TODAY()),AH!$P$18,IF(AH!$P$10=1,INDEX('Live History'!$E$5:$E$3004,MATCH($A519,'Live History'!$D$5:$D$3004,1)),INDEX('AH History'!$C$1:$C$18046,AH!$P$7+514))),NA()),NA())</ns0:f>
        <ns0:v/>
      </ns0:c>
      <ns0:c r="E519">
        <ns0:f>IFERROR(IF(ISNUMBER($A519),IF(AND(AH!$P$10=1,AH!$P$12=1,$A519=TODAY()),AH!$P$20,IF(AH!$P$10=1,INDEX('Live History'!$H$5:$H$3004,MATCH($A519,'Live History'!$G$5:$G$3004,1)),INDEX('AH History'!$D$1:$D$18046,AH!$P$7+514))),NA()),NA())</ns0:f>
        <ns0:v/>
      </ns0:c>
      <ns0:c r="F519">
        <ns0:f>IFERROR(IF(ISNUMBER($A519),IF(AND(AH!$P$10=1,AH!$P$12=1,$A519=TODAY()),IF(AND(AH!$P$10=1,AH!$P$12=1,$A519=TODAY()),TODAY(),NA()),IF(AH!$P$10=1,INDEX('Live History'!$D$5:$D$3004,MATCH($A519,'Live History'!$D$5:$D$3004,1)),INDEX('AH History'!$E$1:$E$18046,AH!$P$7+514))),NA()),NA())</ns0:f>
        <ns0:v/>
      </ns0:c>
      <ns0:c r="G519">
        <ns0:f>IFERROR(IF(ISNUMBER($A519),IF(AND(AH!$P$10=1,AH!$P$12=1,$A519=TODAY()),IF(AND(AH!$P$10=1,AH!$P$12=1,$A519=TODAY()),TODAY(),NA()),IF(AH!$P$10=1,INDEX('Live History'!$G$5:$G$3004,MATCH($A519,'Live History'!$G$5:$G$3004,1)),INDEX('AH History'!$F$1:$F$18046,AH!$P$7+514))),NA()),NA())</ns0:f>
        <ns0:v/>
      </ns0:c>
      <ns0:c r="H519">
        <ns0:f>IFERROR(IF(AND(AH!$E$4="Bloomberg",AH!$P$10=1,ISNUMBER($A519),$A519&lt;=AH!$P$17),AH!$P$7-1+MATCH($A519,INDEX('AH History'!$A$1:$A$18046,AH!$P$7):INDEX('AH History'!$A$1:$A$18046,AH!$P$7+AH!$P$8-1),0),0),0)</ns0:f>
        <ns0:v/>
      </ns0:c>
      <ns0:c r="I519">
        <ns0:f>IF($H519=0,0,IFERROR(IF(AND(ABS($C519-INDEX('AH History'!$B$1:$B$18046,$H519))&lt;=MAX(0.005,ABS(INDEX('AH History'!$B$1:$B$18046,$H519))*0.00005),ABS($D519-INDEX('AH History'!$C$1:$C$18046,$H519))&lt;=MAX(0.005,ABS(INDEX('AH History'!$C$1:$C$18046,$H519))*0.00005),ABS($E519-INDEX('AH History'!$D$1:$D$18046,$H519))&lt;=0.00005,$F519=INDEX('AH History'!$E$1:$E$18046,$H519),$G519=INDEX('AH History'!$F$1:$F$18046,$H519)),1,-1),-1))</ns0:f>
        <ns0:v/>
      </ns0:c>
    </ns0:row>
    <ns0:row r="520">
      <ns0:c r="A520" s="215">
        <ns0:f>IF(OR(AH!$P$3=0,515+1&gt;AH!$P$11,AND(AH!$E$4&lt;&gt;"Stored",AH!$P$10&lt;&gt;1)),"",IFERROR(IF(AND(AH!$P$21=1,515+1=AH!$P$11),TODAY(),IF(AH!$P$10=1,INDEX('Live History'!$A$5:$A$3004,AH!$P$13+515),INDEX('AH History'!$A$1:$A$18046,AH!$P$7+515))),""))</ns0:f>
        <ns0:v/>
      </ns0:c>
      <ns0:c r="B520" s="219">
        <ns0:f>IFERROR(IF(AND(AH!$P$9&lt;&gt;1,$C520&gt;0,$D520&gt;0,$E520&gt;0,$F520&gt;0,$G520&gt;0,$F520&lt;=$A520,$G520&lt;=$A520,$A520-$F520&lt;=10,$A520-$G520&lt;=5),$D520*$E520/$C520-1,NA()),NA())</ns0:f>
        <ns0:v/>
      </ns0:c>
      <ns0:c r="C520">
        <ns0:f>IFERROR(IF(ISNUMBER($A520),IF(AND(AH!$P$10=1,AH!$P$12=1,$A520=TODAY()),AH!$P$19,IF(AH!$P$10=1,INDEX('Live History'!$B$5:$B$3004,AH!$P$13+515),INDEX('AH History'!$B$1:$B$18046,AH!$P$7+515))),NA()),NA())</ns0:f>
        <ns0:v/>
      </ns0:c>
      <ns0:c r="D520">
        <ns0:f>IFERROR(IF(ISNUMBER($A520),IF(AND(AH!$P$10=1,AH!$P$12=1,$A520=TODAY()),AH!$P$18,IF(AH!$P$10=1,INDEX('Live History'!$E$5:$E$3004,MATCH($A520,'Live History'!$D$5:$D$3004,1)),INDEX('AH History'!$C$1:$C$18046,AH!$P$7+515))),NA()),NA())</ns0:f>
        <ns0:v/>
      </ns0:c>
      <ns0:c r="E520">
        <ns0:f>IFERROR(IF(ISNUMBER($A520),IF(AND(AH!$P$10=1,AH!$P$12=1,$A520=TODAY()),AH!$P$20,IF(AH!$P$10=1,INDEX('Live History'!$H$5:$H$3004,MATCH($A520,'Live History'!$G$5:$G$3004,1)),INDEX('AH History'!$D$1:$D$18046,AH!$P$7+515))),NA()),NA())</ns0:f>
        <ns0:v/>
      </ns0:c>
      <ns0:c r="F520">
        <ns0:f>IFERROR(IF(ISNUMBER($A520),IF(AND(AH!$P$10=1,AH!$P$12=1,$A520=TODAY()),IF(AND(AH!$P$10=1,AH!$P$12=1,$A520=TODAY()),TODAY(),NA()),IF(AH!$P$10=1,INDEX('Live History'!$D$5:$D$3004,MATCH($A520,'Live History'!$D$5:$D$3004,1)),INDEX('AH History'!$E$1:$E$18046,AH!$P$7+515))),NA()),NA())</ns0:f>
        <ns0:v/>
      </ns0:c>
      <ns0:c r="G520">
        <ns0:f>IFERROR(IF(ISNUMBER($A520),IF(AND(AH!$P$10=1,AH!$P$12=1,$A520=TODAY()),IF(AND(AH!$P$10=1,AH!$P$12=1,$A520=TODAY()),TODAY(),NA()),IF(AH!$P$10=1,INDEX('Live History'!$G$5:$G$3004,MATCH($A520,'Live History'!$G$5:$G$3004,1)),INDEX('AH History'!$F$1:$F$18046,AH!$P$7+515))),NA()),NA())</ns0:f>
        <ns0:v/>
      </ns0:c>
      <ns0:c r="H520">
        <ns0:f>IFERROR(IF(AND(AH!$E$4="Bloomberg",AH!$P$10=1,ISNUMBER($A520),$A520&lt;=AH!$P$17),AH!$P$7-1+MATCH($A520,INDEX('AH History'!$A$1:$A$18046,AH!$P$7):INDEX('AH History'!$A$1:$A$18046,AH!$P$7+AH!$P$8-1),0),0),0)</ns0:f>
        <ns0:v/>
      </ns0:c>
      <ns0:c r="I520">
        <ns0:f>IF($H520=0,0,IFERROR(IF(AND(ABS($C520-INDEX('AH History'!$B$1:$B$18046,$H520))&lt;=MAX(0.005,ABS(INDEX('AH History'!$B$1:$B$18046,$H520))*0.00005),ABS($D520-INDEX('AH History'!$C$1:$C$18046,$H520))&lt;=MAX(0.005,ABS(INDEX('AH History'!$C$1:$C$18046,$H520))*0.00005),ABS($E520-INDEX('AH History'!$D$1:$D$18046,$H520))&lt;=0.00005,$F520=INDEX('AH History'!$E$1:$E$18046,$H520),$G520=INDEX('AH History'!$F$1:$F$18046,$H520)),1,-1),-1))</ns0:f>
        <ns0:v/>
      </ns0:c>
    </ns0:row>
    <ns0:row r="521">
      <ns0:c r="A521" s="215">
        <ns0:f>IF(OR(AH!$P$3=0,516+1&gt;AH!$P$11,AND(AH!$E$4&lt;&gt;"Stored",AH!$P$10&lt;&gt;1)),"",IFERROR(IF(AND(AH!$P$21=1,516+1=AH!$P$11),TODAY(),IF(AH!$P$10=1,INDEX('Live History'!$A$5:$A$3004,AH!$P$13+516),INDEX('AH History'!$A$1:$A$18046,AH!$P$7+516))),""))</ns0:f>
        <ns0:v/>
      </ns0:c>
      <ns0:c r="B521" s="219">
        <ns0:f>IFERROR(IF(AND(AH!$P$9&lt;&gt;1,$C521&gt;0,$D521&gt;0,$E521&gt;0,$F521&gt;0,$G521&gt;0,$F521&lt;=$A521,$G521&lt;=$A521,$A521-$F521&lt;=10,$A521-$G521&lt;=5),$D521*$E521/$C521-1,NA()),NA())</ns0:f>
        <ns0:v/>
      </ns0:c>
      <ns0:c r="C521">
        <ns0:f>IFERROR(IF(ISNUMBER($A521),IF(AND(AH!$P$10=1,AH!$P$12=1,$A521=TODAY()),AH!$P$19,IF(AH!$P$10=1,INDEX('Live History'!$B$5:$B$3004,AH!$P$13+516),INDEX('AH History'!$B$1:$B$18046,AH!$P$7+516))),NA()),NA())</ns0:f>
        <ns0:v/>
      </ns0:c>
      <ns0:c r="D521">
        <ns0:f>IFERROR(IF(ISNUMBER($A521),IF(AND(AH!$P$10=1,AH!$P$12=1,$A521=TODAY()),AH!$P$18,IF(AH!$P$10=1,INDEX('Live History'!$E$5:$E$3004,MATCH($A521,'Live History'!$D$5:$D$3004,1)),INDEX('AH History'!$C$1:$C$18046,AH!$P$7+516))),NA()),NA())</ns0:f>
        <ns0:v/>
      </ns0:c>
      <ns0:c r="E521">
        <ns0:f>IFERROR(IF(ISNUMBER($A521),IF(AND(AH!$P$10=1,AH!$P$12=1,$A521=TODAY()),AH!$P$20,IF(AH!$P$10=1,INDEX('Live History'!$H$5:$H$3004,MATCH($A521,'Live History'!$G$5:$G$3004,1)),INDEX('AH History'!$D$1:$D$18046,AH!$P$7+516))),NA()),NA())</ns0:f>
        <ns0:v/>
      </ns0:c>
      <ns0:c r="F521">
        <ns0:f>IFERROR(IF(ISNUMBER($A521),IF(AND(AH!$P$10=1,AH!$P$12=1,$A521=TODAY()),IF(AND(AH!$P$10=1,AH!$P$12=1,$A521=TODAY()),TODAY(),NA()),IF(AH!$P$10=1,INDEX('Live History'!$D$5:$D$3004,MATCH($A521,'Live History'!$D$5:$D$3004,1)),INDEX('AH History'!$E$1:$E$18046,AH!$P$7+516))),NA()),NA())</ns0:f>
        <ns0:v/>
      </ns0:c>
      <ns0:c r="G521">
        <ns0:f>IFERROR(IF(ISNUMBER($A521),IF(AND(AH!$P$10=1,AH!$P$12=1,$A521=TODAY()),IF(AND(AH!$P$10=1,AH!$P$12=1,$A521=TODAY()),TODAY(),NA()),IF(AH!$P$10=1,INDEX('Live History'!$G$5:$G$3004,MATCH($A521,'Live History'!$G$5:$G$3004,1)),INDEX('AH History'!$F$1:$F$18046,AH!$P$7+516))),NA()),NA())</ns0:f>
        <ns0:v/>
      </ns0:c>
      <ns0:c r="H521">
        <ns0:f>IFERROR(IF(AND(AH!$E$4="Bloomberg",AH!$P$10=1,ISNUMBER($A521),$A521&lt;=AH!$P$17),AH!$P$7-1+MATCH($A521,INDEX('AH History'!$A$1:$A$18046,AH!$P$7):INDEX('AH History'!$A$1:$A$18046,AH!$P$7+AH!$P$8-1),0),0),0)</ns0:f>
        <ns0:v/>
      </ns0:c>
      <ns0:c r="I521">
        <ns0:f>IF($H521=0,0,IFERROR(IF(AND(ABS($C521-INDEX('AH History'!$B$1:$B$18046,$H521))&lt;=MAX(0.005,ABS(INDEX('AH History'!$B$1:$B$18046,$H521))*0.00005),ABS($D521-INDEX('AH History'!$C$1:$C$18046,$H521))&lt;=MAX(0.005,ABS(INDEX('AH History'!$C$1:$C$18046,$H521))*0.00005),ABS($E521-INDEX('AH History'!$D$1:$D$18046,$H521))&lt;=0.00005,$F521=INDEX('AH History'!$E$1:$E$18046,$H521),$G521=INDEX('AH History'!$F$1:$F$18046,$H521)),1,-1),-1))</ns0:f>
        <ns0:v/>
      </ns0:c>
    </ns0:row>
    <ns0:row r="522">
      <ns0:c r="A522" s="215">
        <ns0:f>IF(OR(AH!$P$3=0,517+1&gt;AH!$P$11,AND(AH!$E$4&lt;&gt;"Stored",AH!$P$10&lt;&gt;1)),"",IFERROR(IF(AND(AH!$P$21=1,517+1=AH!$P$11),TODAY(),IF(AH!$P$10=1,INDEX('Live History'!$A$5:$A$3004,AH!$P$13+517),INDEX('AH History'!$A$1:$A$18046,AH!$P$7+517))),""))</ns0:f>
        <ns0:v/>
      </ns0:c>
      <ns0:c r="B522" s="219">
        <ns0:f>IFERROR(IF(AND(AH!$P$9&lt;&gt;1,$C522&gt;0,$D522&gt;0,$E522&gt;0,$F522&gt;0,$G522&gt;0,$F522&lt;=$A522,$G522&lt;=$A522,$A522-$F522&lt;=10,$A522-$G522&lt;=5),$D522*$E522/$C522-1,NA()),NA())</ns0:f>
        <ns0:v/>
      </ns0:c>
      <ns0:c r="C522">
        <ns0:f>IFERROR(IF(ISNUMBER($A522),IF(AND(AH!$P$10=1,AH!$P$12=1,$A522=TODAY()),AH!$P$19,IF(AH!$P$10=1,INDEX('Live History'!$B$5:$B$3004,AH!$P$13+517),INDEX('AH History'!$B$1:$B$18046,AH!$P$7+517))),NA()),NA())</ns0:f>
        <ns0:v/>
      </ns0:c>
      <ns0:c r="D522">
        <ns0:f>IFERROR(IF(ISNUMBER($A522),IF(AND(AH!$P$10=1,AH!$P$12=1,$A522=TODAY()),AH!$P$18,IF(AH!$P$10=1,INDEX('Live History'!$E$5:$E$3004,MATCH($A522,'Live History'!$D$5:$D$3004,1)),INDEX('AH History'!$C$1:$C$18046,AH!$P$7+517))),NA()),NA())</ns0:f>
        <ns0:v/>
      </ns0:c>
      <ns0:c r="E522">
        <ns0:f>IFERROR(IF(ISNUMBER($A522),IF(AND(AH!$P$10=1,AH!$P$12=1,$A522=TODAY()),AH!$P$20,IF(AH!$P$10=1,INDEX('Live History'!$H$5:$H$3004,MATCH($A522,'Live History'!$G$5:$G$3004,1)),INDEX('AH History'!$D$1:$D$18046,AH!$P$7+517))),NA()),NA())</ns0:f>
        <ns0:v/>
      </ns0:c>
      <ns0:c r="F522">
        <ns0:f>IFERROR(IF(ISNUMBER($A522),IF(AND(AH!$P$10=1,AH!$P$12=1,$A522=TODAY()),IF(AND(AH!$P$10=1,AH!$P$12=1,$A522=TODAY()),TODAY(),NA()),IF(AH!$P$10=1,INDEX('Live History'!$D$5:$D$3004,MATCH($A522,'Live History'!$D$5:$D$3004,1)),INDEX('AH History'!$E$1:$E$18046,AH!$P$7+517))),NA()),NA())</ns0:f>
        <ns0:v/>
      </ns0:c>
      <ns0:c r="G522">
        <ns0:f>IFERROR(IF(ISNUMBER($A522),IF(AND(AH!$P$10=1,AH!$P$12=1,$A522=TODAY()),IF(AND(AH!$P$10=1,AH!$P$12=1,$A522=TODAY()),TODAY(),NA()),IF(AH!$P$10=1,INDEX('Live History'!$G$5:$G$3004,MATCH($A522,'Live History'!$G$5:$G$3004,1)),INDEX('AH History'!$F$1:$F$18046,AH!$P$7+517))),NA()),NA())</ns0:f>
        <ns0:v/>
      </ns0:c>
      <ns0:c r="H522">
        <ns0:f>IFERROR(IF(AND(AH!$E$4="Bloomberg",AH!$P$10=1,ISNUMBER($A522),$A522&lt;=AH!$P$17),AH!$P$7-1+MATCH($A522,INDEX('AH History'!$A$1:$A$18046,AH!$P$7):INDEX('AH History'!$A$1:$A$18046,AH!$P$7+AH!$P$8-1),0),0),0)</ns0:f>
        <ns0:v/>
      </ns0:c>
      <ns0:c r="I522">
        <ns0:f>IF($H522=0,0,IFERROR(IF(AND(ABS($C522-INDEX('AH History'!$B$1:$B$18046,$H522))&lt;=MAX(0.005,ABS(INDEX('AH History'!$B$1:$B$18046,$H522))*0.00005),ABS($D522-INDEX('AH History'!$C$1:$C$18046,$H522))&lt;=MAX(0.005,ABS(INDEX('AH History'!$C$1:$C$18046,$H522))*0.00005),ABS($E522-INDEX('AH History'!$D$1:$D$18046,$H522))&lt;=0.00005,$F522=INDEX('AH History'!$E$1:$E$18046,$H522),$G522=INDEX('AH History'!$F$1:$F$18046,$H522)),1,-1),-1))</ns0:f>
        <ns0:v/>
      </ns0:c>
    </ns0:row>
    <ns0:row r="523">
      <ns0:c r="A523" s="215">
        <ns0:f>IF(OR(AH!$P$3=0,518+1&gt;AH!$P$11,AND(AH!$E$4&lt;&gt;"Stored",AH!$P$10&lt;&gt;1)),"",IFERROR(IF(AND(AH!$P$21=1,518+1=AH!$P$11),TODAY(),IF(AH!$P$10=1,INDEX('Live History'!$A$5:$A$3004,AH!$P$13+518),INDEX('AH History'!$A$1:$A$18046,AH!$P$7+518))),""))</ns0:f>
        <ns0:v/>
      </ns0:c>
      <ns0:c r="B523" s="219">
        <ns0:f>IFERROR(IF(AND(AH!$P$9&lt;&gt;1,$C523&gt;0,$D523&gt;0,$E523&gt;0,$F523&gt;0,$G523&gt;0,$F523&lt;=$A523,$G523&lt;=$A523,$A523-$F523&lt;=10,$A523-$G523&lt;=5),$D523*$E523/$C523-1,NA()),NA())</ns0:f>
        <ns0:v/>
      </ns0:c>
      <ns0:c r="C523">
        <ns0:f>IFERROR(IF(ISNUMBER($A523),IF(AND(AH!$P$10=1,AH!$P$12=1,$A523=TODAY()),AH!$P$19,IF(AH!$P$10=1,INDEX('Live History'!$B$5:$B$3004,AH!$P$13+518),INDEX('AH History'!$B$1:$B$18046,AH!$P$7+518))),NA()),NA())</ns0:f>
        <ns0:v/>
      </ns0:c>
      <ns0:c r="D523">
        <ns0:f>IFERROR(IF(ISNUMBER($A523),IF(AND(AH!$P$10=1,AH!$P$12=1,$A523=TODAY()),AH!$P$18,IF(AH!$P$10=1,INDEX('Live History'!$E$5:$E$3004,MATCH($A523,'Live History'!$D$5:$D$3004,1)),INDEX('AH History'!$C$1:$C$18046,AH!$P$7+518))),NA()),NA())</ns0:f>
        <ns0:v/>
      </ns0:c>
      <ns0:c r="E523">
        <ns0:f>IFERROR(IF(ISNUMBER($A523),IF(AND(AH!$P$10=1,AH!$P$12=1,$A523=TODAY()),AH!$P$20,IF(AH!$P$10=1,INDEX('Live History'!$H$5:$H$3004,MATCH($A523,'Live History'!$G$5:$G$3004,1)),INDEX('AH History'!$D$1:$D$18046,AH!$P$7+518))),NA()),NA())</ns0:f>
        <ns0:v/>
      </ns0:c>
      <ns0:c r="F523">
        <ns0:f>IFERROR(IF(ISNUMBER($A523),IF(AND(AH!$P$10=1,AH!$P$12=1,$A523=TODAY()),IF(AND(AH!$P$10=1,AH!$P$12=1,$A523=TODAY()),TODAY(),NA()),IF(AH!$P$10=1,INDEX('Live History'!$D$5:$D$3004,MATCH($A523,'Live History'!$D$5:$D$3004,1)),INDEX('AH History'!$E$1:$E$18046,AH!$P$7+518))),NA()),NA())</ns0:f>
        <ns0:v/>
      </ns0:c>
      <ns0:c r="G523">
        <ns0:f>IFERROR(IF(ISNUMBER($A523),IF(AND(AH!$P$10=1,AH!$P$12=1,$A523=TODAY()),IF(AND(AH!$P$10=1,AH!$P$12=1,$A523=TODAY()),TODAY(),NA()),IF(AH!$P$10=1,INDEX('Live History'!$G$5:$G$3004,MATCH($A523,'Live History'!$G$5:$G$3004,1)),INDEX('AH History'!$F$1:$F$18046,AH!$P$7+518))),NA()),NA())</ns0:f>
        <ns0:v/>
      </ns0:c>
      <ns0:c r="H523">
        <ns0:f>IFERROR(IF(AND(AH!$E$4="Bloomberg",AH!$P$10=1,ISNUMBER($A523),$A523&lt;=AH!$P$17),AH!$P$7-1+MATCH($A523,INDEX('AH History'!$A$1:$A$18046,AH!$P$7):INDEX('AH History'!$A$1:$A$18046,AH!$P$7+AH!$P$8-1),0),0),0)</ns0:f>
        <ns0:v/>
      </ns0:c>
      <ns0:c r="I523">
        <ns0:f>IF($H523=0,0,IFERROR(IF(AND(ABS($C523-INDEX('AH History'!$B$1:$B$18046,$H523))&lt;=MAX(0.005,ABS(INDEX('AH History'!$B$1:$B$18046,$H523))*0.00005),ABS($D523-INDEX('AH History'!$C$1:$C$18046,$H523))&lt;=MAX(0.005,ABS(INDEX('AH History'!$C$1:$C$18046,$H523))*0.00005),ABS($E523-INDEX('AH History'!$D$1:$D$18046,$H523))&lt;=0.00005,$F523=INDEX('AH History'!$E$1:$E$18046,$H523),$G523=INDEX('AH History'!$F$1:$F$18046,$H523)),1,-1),-1))</ns0:f>
        <ns0:v/>
      </ns0:c>
    </ns0:row>
    <ns0:row r="524">
      <ns0:c r="A524" s="215">
        <ns0:f>IF(OR(AH!$P$3=0,519+1&gt;AH!$P$11,AND(AH!$E$4&lt;&gt;"Stored",AH!$P$10&lt;&gt;1)),"",IFERROR(IF(AND(AH!$P$21=1,519+1=AH!$P$11),TODAY(),IF(AH!$P$10=1,INDEX('Live History'!$A$5:$A$3004,AH!$P$13+519),INDEX('AH History'!$A$1:$A$18046,AH!$P$7+519))),""))</ns0:f>
        <ns0:v/>
      </ns0:c>
      <ns0:c r="B524" s="219">
        <ns0:f>IFERROR(IF(AND(AH!$P$9&lt;&gt;1,$C524&gt;0,$D524&gt;0,$E524&gt;0,$F524&gt;0,$G524&gt;0,$F524&lt;=$A524,$G524&lt;=$A524,$A524-$F524&lt;=10,$A524-$G524&lt;=5),$D524*$E524/$C524-1,NA()),NA())</ns0:f>
        <ns0:v/>
      </ns0:c>
      <ns0:c r="C524">
        <ns0:f>IFERROR(IF(ISNUMBER($A524),IF(AND(AH!$P$10=1,AH!$P$12=1,$A524=TODAY()),AH!$P$19,IF(AH!$P$10=1,INDEX('Live History'!$B$5:$B$3004,AH!$P$13+519),INDEX('AH History'!$B$1:$B$18046,AH!$P$7+519))),NA()),NA())</ns0:f>
        <ns0:v/>
      </ns0:c>
      <ns0:c r="D524">
        <ns0:f>IFERROR(IF(ISNUMBER($A524),IF(AND(AH!$P$10=1,AH!$P$12=1,$A524=TODAY()),AH!$P$18,IF(AH!$P$10=1,INDEX('Live History'!$E$5:$E$3004,MATCH($A524,'Live History'!$D$5:$D$3004,1)),INDEX('AH History'!$C$1:$C$18046,AH!$P$7+519))),NA()),NA())</ns0:f>
        <ns0:v/>
      </ns0:c>
      <ns0:c r="E524">
        <ns0:f>IFERROR(IF(ISNUMBER($A524),IF(AND(AH!$P$10=1,AH!$P$12=1,$A524=TODAY()),AH!$P$20,IF(AH!$P$10=1,INDEX('Live History'!$H$5:$H$3004,MATCH($A524,'Live History'!$G$5:$G$3004,1)),INDEX('AH History'!$D$1:$D$18046,AH!$P$7+519))),NA()),NA())</ns0:f>
        <ns0:v/>
      </ns0:c>
      <ns0:c r="F524">
        <ns0:f>IFERROR(IF(ISNUMBER($A524),IF(AND(AH!$P$10=1,AH!$P$12=1,$A524=TODAY()),IF(AND(AH!$P$10=1,AH!$P$12=1,$A524=TODAY()),TODAY(),NA()),IF(AH!$P$10=1,INDEX('Live History'!$D$5:$D$3004,MATCH($A524,'Live History'!$D$5:$D$3004,1)),INDEX('AH History'!$E$1:$E$18046,AH!$P$7+519))),NA()),NA())</ns0:f>
        <ns0:v/>
      </ns0:c>
      <ns0:c r="G524">
        <ns0:f>IFERROR(IF(ISNUMBER($A524),IF(AND(AH!$P$10=1,AH!$P$12=1,$A524=TODAY()),IF(AND(AH!$P$10=1,AH!$P$12=1,$A524=TODAY()),TODAY(),NA()),IF(AH!$P$10=1,INDEX('Live History'!$G$5:$G$3004,MATCH($A524,'Live History'!$G$5:$G$3004,1)),INDEX('AH History'!$F$1:$F$18046,AH!$P$7+519))),NA()),NA())</ns0:f>
        <ns0:v/>
      </ns0:c>
      <ns0:c r="H524">
        <ns0:f>IFERROR(IF(AND(AH!$E$4="Bloomberg",AH!$P$10=1,ISNUMBER($A524),$A524&lt;=AH!$P$17),AH!$P$7-1+MATCH($A524,INDEX('AH History'!$A$1:$A$18046,AH!$P$7):INDEX('AH History'!$A$1:$A$18046,AH!$P$7+AH!$P$8-1),0),0),0)</ns0:f>
        <ns0:v/>
      </ns0:c>
      <ns0:c r="I524">
        <ns0:f>IF($H524=0,0,IFERROR(IF(AND(ABS($C524-INDEX('AH History'!$B$1:$B$18046,$H524))&lt;=MAX(0.005,ABS(INDEX('AH History'!$B$1:$B$18046,$H524))*0.00005),ABS($D524-INDEX('AH History'!$C$1:$C$18046,$H524))&lt;=MAX(0.005,ABS(INDEX('AH History'!$C$1:$C$18046,$H524))*0.00005),ABS($E524-INDEX('AH History'!$D$1:$D$18046,$H524))&lt;=0.00005,$F524=INDEX('AH History'!$E$1:$E$18046,$H524),$G524=INDEX('AH History'!$F$1:$F$18046,$H524)),1,-1),-1))</ns0:f>
        <ns0:v/>
      </ns0:c>
    </ns0:row>
    <ns0:row r="525">
      <ns0:c r="A525" s="215">
        <ns0:f>IF(OR(AH!$P$3=0,520+1&gt;AH!$P$11,AND(AH!$E$4&lt;&gt;"Stored",AH!$P$10&lt;&gt;1)),"",IFERROR(IF(AND(AH!$P$21=1,520+1=AH!$P$11),TODAY(),IF(AH!$P$10=1,INDEX('Live History'!$A$5:$A$3004,AH!$P$13+520),INDEX('AH History'!$A$1:$A$18046,AH!$P$7+520))),""))</ns0:f>
        <ns0:v/>
      </ns0:c>
      <ns0:c r="B525" s="219">
        <ns0:f>IFERROR(IF(AND(AH!$P$9&lt;&gt;1,$C525&gt;0,$D525&gt;0,$E525&gt;0,$F525&gt;0,$G525&gt;0,$F525&lt;=$A525,$G525&lt;=$A525,$A525-$F525&lt;=10,$A525-$G525&lt;=5),$D525*$E525/$C525-1,NA()),NA())</ns0:f>
        <ns0:v/>
      </ns0:c>
      <ns0:c r="C525">
        <ns0:f>IFERROR(IF(ISNUMBER($A525),IF(AND(AH!$P$10=1,AH!$P$12=1,$A525=TODAY()),AH!$P$19,IF(AH!$P$10=1,INDEX('Live History'!$B$5:$B$3004,AH!$P$13+520),INDEX('AH History'!$B$1:$B$18046,AH!$P$7+520))),NA()),NA())</ns0:f>
        <ns0:v/>
      </ns0:c>
      <ns0:c r="D525">
        <ns0:f>IFERROR(IF(ISNUMBER($A525),IF(AND(AH!$P$10=1,AH!$P$12=1,$A525=TODAY()),AH!$P$18,IF(AH!$P$10=1,INDEX('Live History'!$E$5:$E$3004,MATCH($A525,'Live History'!$D$5:$D$3004,1)),INDEX('AH History'!$C$1:$C$18046,AH!$P$7+520))),NA()),NA())</ns0:f>
        <ns0:v/>
      </ns0:c>
      <ns0:c r="E525">
        <ns0:f>IFERROR(IF(ISNUMBER($A525),IF(AND(AH!$P$10=1,AH!$P$12=1,$A525=TODAY()),AH!$P$20,IF(AH!$P$10=1,INDEX('Live History'!$H$5:$H$3004,MATCH($A525,'Live History'!$G$5:$G$3004,1)),INDEX('AH History'!$D$1:$D$18046,AH!$P$7+520))),NA()),NA())</ns0:f>
        <ns0:v/>
      </ns0:c>
      <ns0:c r="F525">
        <ns0:f>IFERROR(IF(ISNUMBER($A525),IF(AND(AH!$P$10=1,AH!$P$12=1,$A525=TODAY()),IF(AND(AH!$P$10=1,AH!$P$12=1,$A525=TODAY()),TODAY(),NA()),IF(AH!$P$10=1,INDEX('Live History'!$D$5:$D$3004,MATCH($A525,'Live History'!$D$5:$D$3004,1)),INDEX('AH History'!$E$1:$E$18046,AH!$P$7+520))),NA()),NA())</ns0:f>
        <ns0:v/>
      </ns0:c>
      <ns0:c r="G525">
        <ns0:f>IFERROR(IF(ISNUMBER($A525),IF(AND(AH!$P$10=1,AH!$P$12=1,$A525=TODAY()),IF(AND(AH!$P$10=1,AH!$P$12=1,$A525=TODAY()),TODAY(),NA()),IF(AH!$P$10=1,INDEX('Live History'!$G$5:$G$3004,MATCH($A525,'Live History'!$G$5:$G$3004,1)),INDEX('AH History'!$F$1:$F$18046,AH!$P$7+520))),NA()),NA())</ns0:f>
        <ns0:v/>
      </ns0:c>
      <ns0:c r="H525">
        <ns0:f>IFERROR(IF(AND(AH!$E$4="Bloomberg",AH!$P$10=1,ISNUMBER($A525),$A525&lt;=AH!$P$17),AH!$P$7-1+MATCH($A525,INDEX('AH History'!$A$1:$A$18046,AH!$P$7):INDEX('AH History'!$A$1:$A$18046,AH!$P$7+AH!$P$8-1),0),0),0)</ns0:f>
        <ns0:v/>
      </ns0:c>
      <ns0:c r="I525">
        <ns0:f>IF($H525=0,0,IFERROR(IF(AND(ABS($C525-INDEX('AH History'!$B$1:$B$18046,$H525))&lt;=MAX(0.005,ABS(INDEX('AH History'!$B$1:$B$18046,$H525))*0.00005),ABS($D525-INDEX('AH History'!$C$1:$C$18046,$H525))&lt;=MAX(0.005,ABS(INDEX('AH History'!$C$1:$C$18046,$H525))*0.00005),ABS($E525-INDEX('AH History'!$D$1:$D$18046,$H525))&lt;=0.00005,$F525=INDEX('AH History'!$E$1:$E$18046,$H525),$G525=INDEX('AH History'!$F$1:$F$18046,$H525)),1,-1),-1))</ns0:f>
        <ns0:v/>
      </ns0:c>
    </ns0:row>
    <ns0:row r="526">
      <ns0:c r="A526" s="215">
        <ns0:f>IF(OR(AH!$P$3=0,521+1&gt;AH!$P$11,AND(AH!$E$4&lt;&gt;"Stored",AH!$P$10&lt;&gt;1)),"",IFERROR(IF(AND(AH!$P$21=1,521+1=AH!$P$11),TODAY(),IF(AH!$P$10=1,INDEX('Live History'!$A$5:$A$3004,AH!$P$13+521),INDEX('AH History'!$A$1:$A$18046,AH!$P$7+521))),""))</ns0:f>
        <ns0:v/>
      </ns0:c>
      <ns0:c r="B526" s="219">
        <ns0:f>IFERROR(IF(AND(AH!$P$9&lt;&gt;1,$C526&gt;0,$D526&gt;0,$E526&gt;0,$F526&gt;0,$G526&gt;0,$F526&lt;=$A526,$G526&lt;=$A526,$A526-$F526&lt;=10,$A526-$G526&lt;=5),$D526*$E526/$C526-1,NA()),NA())</ns0:f>
        <ns0:v/>
      </ns0:c>
      <ns0:c r="C526">
        <ns0:f>IFERROR(IF(ISNUMBER($A526),IF(AND(AH!$P$10=1,AH!$P$12=1,$A526=TODAY()),AH!$P$19,IF(AH!$P$10=1,INDEX('Live History'!$B$5:$B$3004,AH!$P$13+521),INDEX('AH History'!$B$1:$B$18046,AH!$P$7+521))),NA()),NA())</ns0:f>
        <ns0:v/>
      </ns0:c>
      <ns0:c r="D526">
        <ns0:f>IFERROR(IF(ISNUMBER($A526),IF(AND(AH!$P$10=1,AH!$P$12=1,$A526=TODAY()),AH!$P$18,IF(AH!$P$10=1,INDEX('Live History'!$E$5:$E$3004,MATCH($A526,'Live History'!$D$5:$D$3004,1)),INDEX('AH History'!$C$1:$C$18046,AH!$P$7+521))),NA()),NA())</ns0:f>
        <ns0:v/>
      </ns0:c>
      <ns0:c r="E526">
        <ns0:f>IFERROR(IF(ISNUMBER($A526),IF(AND(AH!$P$10=1,AH!$P$12=1,$A526=TODAY()),AH!$P$20,IF(AH!$P$10=1,INDEX('Live History'!$H$5:$H$3004,MATCH($A526,'Live History'!$G$5:$G$3004,1)),INDEX('AH History'!$D$1:$D$18046,AH!$P$7+521))),NA()),NA())</ns0:f>
        <ns0:v/>
      </ns0:c>
      <ns0:c r="F526">
        <ns0:f>IFERROR(IF(ISNUMBER($A526),IF(AND(AH!$P$10=1,AH!$P$12=1,$A526=TODAY()),IF(AND(AH!$P$10=1,AH!$P$12=1,$A526=TODAY()),TODAY(),NA()),IF(AH!$P$10=1,INDEX('Live History'!$D$5:$D$3004,MATCH($A526,'Live History'!$D$5:$D$3004,1)),INDEX('AH History'!$E$1:$E$18046,AH!$P$7+521))),NA()),NA())</ns0:f>
        <ns0:v/>
      </ns0:c>
      <ns0:c r="G526">
        <ns0:f>IFERROR(IF(ISNUMBER($A526),IF(AND(AH!$P$10=1,AH!$P$12=1,$A526=TODAY()),IF(AND(AH!$P$10=1,AH!$P$12=1,$A526=TODAY()),TODAY(),NA()),IF(AH!$P$10=1,INDEX('Live History'!$G$5:$G$3004,MATCH($A526,'Live History'!$G$5:$G$3004,1)),INDEX('AH History'!$F$1:$F$18046,AH!$P$7+521))),NA()),NA())</ns0:f>
        <ns0:v/>
      </ns0:c>
      <ns0:c r="H526">
        <ns0:f>IFERROR(IF(AND(AH!$E$4="Bloomberg",AH!$P$10=1,ISNUMBER($A526),$A526&lt;=AH!$P$17),AH!$P$7-1+MATCH($A526,INDEX('AH History'!$A$1:$A$18046,AH!$P$7):INDEX('AH History'!$A$1:$A$18046,AH!$P$7+AH!$P$8-1),0),0),0)</ns0:f>
        <ns0:v/>
      </ns0:c>
      <ns0:c r="I526">
        <ns0:f>IF($H526=0,0,IFERROR(IF(AND(ABS($C526-INDEX('AH History'!$B$1:$B$18046,$H526))&lt;=MAX(0.005,ABS(INDEX('AH History'!$B$1:$B$18046,$H526))*0.00005),ABS($D526-INDEX('AH History'!$C$1:$C$18046,$H526))&lt;=MAX(0.005,ABS(INDEX('AH History'!$C$1:$C$18046,$H526))*0.00005),ABS($E526-INDEX('AH History'!$D$1:$D$18046,$H526))&lt;=0.00005,$F526=INDEX('AH History'!$E$1:$E$18046,$H526),$G526=INDEX('AH History'!$F$1:$F$18046,$H526)),1,-1),-1))</ns0:f>
        <ns0:v/>
      </ns0:c>
    </ns0:row>
    <ns0:row r="527">
      <ns0:c r="A527" s="215">
        <ns0:f>IF(OR(AH!$P$3=0,522+1&gt;AH!$P$11,AND(AH!$E$4&lt;&gt;"Stored",AH!$P$10&lt;&gt;1)),"",IFERROR(IF(AND(AH!$P$21=1,522+1=AH!$P$11),TODAY(),IF(AH!$P$10=1,INDEX('Live History'!$A$5:$A$3004,AH!$P$13+522),INDEX('AH History'!$A$1:$A$18046,AH!$P$7+522))),""))</ns0:f>
        <ns0:v/>
      </ns0:c>
      <ns0:c r="B527" s="219">
        <ns0:f>IFERROR(IF(AND(AH!$P$9&lt;&gt;1,$C527&gt;0,$D527&gt;0,$E527&gt;0,$F527&gt;0,$G527&gt;0,$F527&lt;=$A527,$G527&lt;=$A527,$A527-$F527&lt;=10,$A527-$G527&lt;=5),$D527*$E527/$C527-1,NA()),NA())</ns0:f>
        <ns0:v/>
      </ns0:c>
      <ns0:c r="C527">
        <ns0:f>IFERROR(IF(ISNUMBER($A527),IF(AND(AH!$P$10=1,AH!$P$12=1,$A527=TODAY()),AH!$P$19,IF(AH!$P$10=1,INDEX('Live History'!$B$5:$B$3004,AH!$P$13+522),INDEX('AH History'!$B$1:$B$18046,AH!$P$7+522))),NA()),NA())</ns0:f>
        <ns0:v/>
      </ns0:c>
      <ns0:c r="D527">
        <ns0:f>IFERROR(IF(ISNUMBER($A527),IF(AND(AH!$P$10=1,AH!$P$12=1,$A527=TODAY()),AH!$P$18,IF(AH!$P$10=1,INDEX('Live History'!$E$5:$E$3004,MATCH($A527,'Live History'!$D$5:$D$3004,1)),INDEX('AH History'!$C$1:$C$18046,AH!$P$7+522))),NA()),NA())</ns0:f>
        <ns0:v/>
      </ns0:c>
      <ns0:c r="E527">
        <ns0:f>IFERROR(IF(ISNUMBER($A527),IF(AND(AH!$P$10=1,AH!$P$12=1,$A527=TODAY()),AH!$P$20,IF(AH!$P$10=1,INDEX('Live History'!$H$5:$H$3004,MATCH($A527,'Live History'!$G$5:$G$3004,1)),INDEX('AH History'!$D$1:$D$18046,AH!$P$7+522))),NA()),NA())</ns0:f>
        <ns0:v/>
      </ns0:c>
      <ns0:c r="F527">
        <ns0:f>IFERROR(IF(ISNUMBER($A527),IF(AND(AH!$P$10=1,AH!$P$12=1,$A527=TODAY()),IF(AND(AH!$P$10=1,AH!$P$12=1,$A527=TODAY()),TODAY(),NA()),IF(AH!$P$10=1,INDEX('Live History'!$D$5:$D$3004,MATCH($A527,'Live History'!$D$5:$D$3004,1)),INDEX('AH History'!$E$1:$E$18046,AH!$P$7+522))),NA()),NA())</ns0:f>
        <ns0:v/>
      </ns0:c>
      <ns0:c r="G527">
        <ns0:f>IFERROR(IF(ISNUMBER($A527),IF(AND(AH!$P$10=1,AH!$P$12=1,$A527=TODAY()),IF(AND(AH!$P$10=1,AH!$P$12=1,$A527=TODAY()),TODAY(),NA()),IF(AH!$P$10=1,INDEX('Live History'!$G$5:$G$3004,MATCH($A527,'Live History'!$G$5:$G$3004,1)),INDEX('AH History'!$F$1:$F$18046,AH!$P$7+522))),NA()),NA())</ns0:f>
        <ns0:v/>
      </ns0:c>
      <ns0:c r="H527">
        <ns0:f>IFERROR(IF(AND(AH!$E$4="Bloomberg",AH!$P$10=1,ISNUMBER($A527),$A527&lt;=AH!$P$17),AH!$P$7-1+MATCH($A527,INDEX('AH History'!$A$1:$A$18046,AH!$P$7):INDEX('AH History'!$A$1:$A$18046,AH!$P$7+AH!$P$8-1),0),0),0)</ns0:f>
        <ns0:v/>
      </ns0:c>
      <ns0:c r="I527">
        <ns0:f>IF($H527=0,0,IFERROR(IF(AND(ABS($C527-INDEX('AH History'!$B$1:$B$18046,$H527))&lt;=MAX(0.005,ABS(INDEX('AH History'!$B$1:$B$18046,$H527))*0.00005),ABS($D527-INDEX('AH History'!$C$1:$C$18046,$H527))&lt;=MAX(0.005,ABS(INDEX('AH History'!$C$1:$C$18046,$H527))*0.00005),ABS($E527-INDEX('AH History'!$D$1:$D$18046,$H527))&lt;=0.00005,$F527=INDEX('AH History'!$E$1:$E$18046,$H527),$G527=INDEX('AH History'!$F$1:$F$18046,$H527)),1,-1),-1))</ns0:f>
        <ns0:v/>
      </ns0:c>
    </ns0:row>
    <ns0:row r="528">
      <ns0:c r="A528" s="215">
        <ns0:f>IF(OR(AH!$P$3=0,523+1&gt;AH!$P$11,AND(AH!$E$4&lt;&gt;"Stored",AH!$P$10&lt;&gt;1)),"",IFERROR(IF(AND(AH!$P$21=1,523+1=AH!$P$11),TODAY(),IF(AH!$P$10=1,INDEX('Live History'!$A$5:$A$3004,AH!$P$13+523),INDEX('AH History'!$A$1:$A$18046,AH!$P$7+523))),""))</ns0:f>
        <ns0:v/>
      </ns0:c>
      <ns0:c r="B528" s="219">
        <ns0:f>IFERROR(IF(AND(AH!$P$9&lt;&gt;1,$C528&gt;0,$D528&gt;0,$E528&gt;0,$F528&gt;0,$G528&gt;0,$F528&lt;=$A528,$G528&lt;=$A528,$A528-$F528&lt;=10,$A528-$G528&lt;=5),$D528*$E528/$C528-1,NA()),NA())</ns0:f>
        <ns0:v/>
      </ns0:c>
      <ns0:c r="C528">
        <ns0:f>IFERROR(IF(ISNUMBER($A528),IF(AND(AH!$P$10=1,AH!$P$12=1,$A528=TODAY()),AH!$P$19,IF(AH!$P$10=1,INDEX('Live History'!$B$5:$B$3004,AH!$P$13+523),INDEX('AH History'!$B$1:$B$18046,AH!$P$7+523))),NA()),NA())</ns0:f>
        <ns0:v/>
      </ns0:c>
      <ns0:c r="D528">
        <ns0:f>IFERROR(IF(ISNUMBER($A528),IF(AND(AH!$P$10=1,AH!$P$12=1,$A528=TODAY()),AH!$P$18,IF(AH!$P$10=1,INDEX('Live History'!$E$5:$E$3004,MATCH($A528,'Live History'!$D$5:$D$3004,1)),INDEX('AH History'!$C$1:$C$18046,AH!$P$7+523))),NA()),NA())</ns0:f>
        <ns0:v/>
      </ns0:c>
      <ns0:c r="E528">
        <ns0:f>IFERROR(IF(ISNUMBER($A528),IF(AND(AH!$P$10=1,AH!$P$12=1,$A528=TODAY()),AH!$P$20,IF(AH!$P$10=1,INDEX('Live History'!$H$5:$H$3004,MATCH($A528,'Live History'!$G$5:$G$3004,1)),INDEX('AH History'!$D$1:$D$18046,AH!$P$7+523))),NA()),NA())</ns0:f>
        <ns0:v/>
      </ns0:c>
      <ns0:c r="F528">
        <ns0:f>IFERROR(IF(ISNUMBER($A528),IF(AND(AH!$P$10=1,AH!$P$12=1,$A528=TODAY()),IF(AND(AH!$P$10=1,AH!$P$12=1,$A528=TODAY()),TODAY(),NA()),IF(AH!$P$10=1,INDEX('Live History'!$D$5:$D$3004,MATCH($A528,'Live History'!$D$5:$D$3004,1)),INDEX('AH History'!$E$1:$E$18046,AH!$P$7+523))),NA()),NA())</ns0:f>
        <ns0:v/>
      </ns0:c>
      <ns0:c r="G528">
        <ns0:f>IFERROR(IF(ISNUMBER($A528),IF(AND(AH!$P$10=1,AH!$P$12=1,$A528=TODAY()),IF(AND(AH!$P$10=1,AH!$P$12=1,$A528=TODAY()),TODAY(),NA()),IF(AH!$P$10=1,INDEX('Live History'!$G$5:$G$3004,MATCH($A528,'Live History'!$G$5:$G$3004,1)),INDEX('AH History'!$F$1:$F$18046,AH!$P$7+523))),NA()),NA())</ns0:f>
        <ns0:v/>
      </ns0:c>
      <ns0:c r="H528">
        <ns0:f>IFERROR(IF(AND(AH!$E$4="Bloomberg",AH!$P$10=1,ISNUMBER($A528),$A528&lt;=AH!$P$17),AH!$P$7-1+MATCH($A528,INDEX('AH History'!$A$1:$A$18046,AH!$P$7):INDEX('AH History'!$A$1:$A$18046,AH!$P$7+AH!$P$8-1),0),0),0)</ns0:f>
        <ns0:v/>
      </ns0:c>
      <ns0:c r="I528">
        <ns0:f>IF($H528=0,0,IFERROR(IF(AND(ABS($C528-INDEX('AH History'!$B$1:$B$18046,$H528))&lt;=MAX(0.005,ABS(INDEX('AH History'!$B$1:$B$18046,$H528))*0.00005),ABS($D528-INDEX('AH History'!$C$1:$C$18046,$H528))&lt;=MAX(0.005,ABS(INDEX('AH History'!$C$1:$C$18046,$H528))*0.00005),ABS($E528-INDEX('AH History'!$D$1:$D$18046,$H528))&lt;=0.00005,$F528=INDEX('AH History'!$E$1:$E$18046,$H528),$G528=INDEX('AH History'!$F$1:$F$18046,$H528)),1,-1),-1))</ns0:f>
        <ns0:v/>
      </ns0:c>
    </ns0:row>
    <ns0:row r="529">
      <ns0:c r="A529" s="215">
        <ns0:f>IF(OR(AH!$P$3=0,524+1&gt;AH!$P$11,AND(AH!$E$4&lt;&gt;"Stored",AH!$P$10&lt;&gt;1)),"",IFERROR(IF(AND(AH!$P$21=1,524+1=AH!$P$11),TODAY(),IF(AH!$P$10=1,INDEX('Live History'!$A$5:$A$3004,AH!$P$13+524),INDEX('AH History'!$A$1:$A$18046,AH!$P$7+524))),""))</ns0:f>
        <ns0:v/>
      </ns0:c>
      <ns0:c r="B529" s="219">
        <ns0:f>IFERROR(IF(AND(AH!$P$9&lt;&gt;1,$C529&gt;0,$D529&gt;0,$E529&gt;0,$F529&gt;0,$G529&gt;0,$F529&lt;=$A529,$G529&lt;=$A529,$A529-$F529&lt;=10,$A529-$G529&lt;=5),$D529*$E529/$C529-1,NA()),NA())</ns0:f>
        <ns0:v/>
      </ns0:c>
      <ns0:c r="C529">
        <ns0:f>IFERROR(IF(ISNUMBER($A529),IF(AND(AH!$P$10=1,AH!$P$12=1,$A529=TODAY()),AH!$P$19,IF(AH!$P$10=1,INDEX('Live History'!$B$5:$B$3004,AH!$P$13+524),INDEX('AH History'!$B$1:$B$18046,AH!$P$7+524))),NA()),NA())</ns0:f>
        <ns0:v/>
      </ns0:c>
      <ns0:c r="D529">
        <ns0:f>IFERROR(IF(ISNUMBER($A529),IF(AND(AH!$P$10=1,AH!$P$12=1,$A529=TODAY()),AH!$P$18,IF(AH!$P$10=1,INDEX('Live History'!$E$5:$E$3004,MATCH($A529,'Live History'!$D$5:$D$3004,1)),INDEX('AH History'!$C$1:$C$18046,AH!$P$7+524))),NA()),NA())</ns0:f>
        <ns0:v/>
      </ns0:c>
      <ns0:c r="E529">
        <ns0:f>IFERROR(IF(ISNUMBER($A529),IF(AND(AH!$P$10=1,AH!$P$12=1,$A529=TODAY()),AH!$P$20,IF(AH!$P$10=1,INDEX('Live History'!$H$5:$H$3004,MATCH($A529,'Live History'!$G$5:$G$3004,1)),INDEX('AH History'!$D$1:$D$18046,AH!$P$7+524))),NA()),NA())</ns0:f>
        <ns0:v/>
      </ns0:c>
      <ns0:c r="F529">
        <ns0:f>IFERROR(IF(ISNUMBER($A529),IF(AND(AH!$P$10=1,AH!$P$12=1,$A529=TODAY()),IF(AND(AH!$P$10=1,AH!$P$12=1,$A529=TODAY()),TODAY(),NA()),IF(AH!$P$10=1,INDEX('Live History'!$D$5:$D$3004,MATCH($A529,'Live History'!$D$5:$D$3004,1)),INDEX('AH History'!$E$1:$E$18046,AH!$P$7+524))),NA()),NA())</ns0:f>
        <ns0:v/>
      </ns0:c>
      <ns0:c r="G529">
        <ns0:f>IFERROR(IF(ISNUMBER($A529),IF(AND(AH!$P$10=1,AH!$P$12=1,$A529=TODAY()),IF(AND(AH!$P$10=1,AH!$P$12=1,$A529=TODAY()),TODAY(),NA()),IF(AH!$P$10=1,INDEX('Live History'!$G$5:$G$3004,MATCH($A529,'Live History'!$G$5:$G$3004,1)),INDEX('AH History'!$F$1:$F$18046,AH!$P$7+524))),NA()),NA())</ns0:f>
        <ns0:v/>
      </ns0:c>
      <ns0:c r="H529">
        <ns0:f>IFERROR(IF(AND(AH!$E$4="Bloomberg",AH!$P$10=1,ISNUMBER($A529),$A529&lt;=AH!$P$17),AH!$P$7-1+MATCH($A529,INDEX('AH History'!$A$1:$A$18046,AH!$P$7):INDEX('AH History'!$A$1:$A$18046,AH!$P$7+AH!$P$8-1),0),0),0)</ns0:f>
        <ns0:v/>
      </ns0:c>
      <ns0:c r="I529">
        <ns0:f>IF($H529=0,0,IFERROR(IF(AND(ABS($C529-INDEX('AH History'!$B$1:$B$18046,$H529))&lt;=MAX(0.005,ABS(INDEX('AH History'!$B$1:$B$18046,$H529))*0.00005),ABS($D529-INDEX('AH History'!$C$1:$C$18046,$H529))&lt;=MAX(0.005,ABS(INDEX('AH History'!$C$1:$C$18046,$H529))*0.00005),ABS($E529-INDEX('AH History'!$D$1:$D$18046,$H529))&lt;=0.00005,$F529=INDEX('AH History'!$E$1:$E$18046,$H529),$G529=INDEX('AH History'!$F$1:$F$18046,$H529)),1,-1),-1))</ns0:f>
        <ns0:v/>
      </ns0:c>
    </ns0:row>
    <ns0:row r="530">
      <ns0:c r="A530" s="215">
        <ns0:f>IF(OR(AH!$P$3=0,525+1&gt;AH!$P$11,AND(AH!$E$4&lt;&gt;"Stored",AH!$P$10&lt;&gt;1)),"",IFERROR(IF(AND(AH!$P$21=1,525+1=AH!$P$11),TODAY(),IF(AH!$P$10=1,INDEX('Live History'!$A$5:$A$3004,AH!$P$13+525),INDEX('AH History'!$A$1:$A$18046,AH!$P$7+525))),""))</ns0:f>
        <ns0:v/>
      </ns0:c>
      <ns0:c r="B530" s="219">
        <ns0:f>IFERROR(IF(AND(AH!$P$9&lt;&gt;1,$C530&gt;0,$D530&gt;0,$E530&gt;0,$F530&gt;0,$G530&gt;0,$F530&lt;=$A530,$G530&lt;=$A530,$A530-$F530&lt;=10,$A530-$G530&lt;=5),$D530*$E530/$C530-1,NA()),NA())</ns0:f>
        <ns0:v/>
      </ns0:c>
      <ns0:c r="C530">
        <ns0:f>IFERROR(IF(ISNUMBER($A530),IF(AND(AH!$P$10=1,AH!$P$12=1,$A530=TODAY()),AH!$P$19,IF(AH!$P$10=1,INDEX('Live History'!$B$5:$B$3004,AH!$P$13+525),INDEX('AH History'!$B$1:$B$18046,AH!$P$7+525))),NA()),NA())</ns0:f>
        <ns0:v/>
      </ns0:c>
      <ns0:c r="D530">
        <ns0:f>IFERROR(IF(ISNUMBER($A530),IF(AND(AH!$P$10=1,AH!$P$12=1,$A530=TODAY()),AH!$P$18,IF(AH!$P$10=1,INDEX('Live History'!$E$5:$E$3004,MATCH($A530,'Live History'!$D$5:$D$3004,1)),INDEX('AH History'!$C$1:$C$18046,AH!$P$7+525))),NA()),NA())</ns0:f>
        <ns0:v/>
      </ns0:c>
      <ns0:c r="E530">
        <ns0:f>IFERROR(IF(ISNUMBER($A530),IF(AND(AH!$P$10=1,AH!$P$12=1,$A530=TODAY()),AH!$P$20,IF(AH!$P$10=1,INDEX('Live History'!$H$5:$H$3004,MATCH($A530,'Live History'!$G$5:$G$3004,1)),INDEX('AH History'!$D$1:$D$18046,AH!$P$7+525))),NA()),NA())</ns0:f>
        <ns0:v/>
      </ns0:c>
      <ns0:c r="F530">
        <ns0:f>IFERROR(IF(ISNUMBER($A530),IF(AND(AH!$P$10=1,AH!$P$12=1,$A530=TODAY()),IF(AND(AH!$P$10=1,AH!$P$12=1,$A530=TODAY()),TODAY(),NA()),IF(AH!$P$10=1,INDEX('Live History'!$D$5:$D$3004,MATCH($A530,'Live History'!$D$5:$D$3004,1)),INDEX('AH History'!$E$1:$E$18046,AH!$P$7+525))),NA()),NA())</ns0:f>
        <ns0:v/>
      </ns0:c>
      <ns0:c r="G530">
        <ns0:f>IFERROR(IF(ISNUMBER($A530),IF(AND(AH!$P$10=1,AH!$P$12=1,$A530=TODAY()),IF(AND(AH!$P$10=1,AH!$P$12=1,$A530=TODAY()),TODAY(),NA()),IF(AH!$P$10=1,INDEX('Live History'!$G$5:$G$3004,MATCH($A530,'Live History'!$G$5:$G$3004,1)),INDEX('AH History'!$F$1:$F$18046,AH!$P$7+525))),NA()),NA())</ns0:f>
        <ns0:v/>
      </ns0:c>
      <ns0:c r="H530">
        <ns0:f>IFERROR(IF(AND(AH!$E$4="Bloomberg",AH!$P$10=1,ISNUMBER($A530),$A530&lt;=AH!$P$17),AH!$P$7-1+MATCH($A530,INDEX('AH History'!$A$1:$A$18046,AH!$P$7):INDEX('AH History'!$A$1:$A$18046,AH!$P$7+AH!$P$8-1),0),0),0)</ns0:f>
        <ns0:v/>
      </ns0:c>
      <ns0:c r="I530">
        <ns0:f>IF($H530=0,0,IFERROR(IF(AND(ABS($C530-INDEX('AH History'!$B$1:$B$18046,$H530))&lt;=MAX(0.005,ABS(INDEX('AH History'!$B$1:$B$18046,$H530))*0.00005),ABS($D530-INDEX('AH History'!$C$1:$C$18046,$H530))&lt;=MAX(0.005,ABS(INDEX('AH History'!$C$1:$C$18046,$H530))*0.00005),ABS($E530-INDEX('AH History'!$D$1:$D$18046,$H530))&lt;=0.00005,$F530=INDEX('AH History'!$E$1:$E$18046,$H530),$G530=INDEX('AH History'!$F$1:$F$18046,$H530)),1,-1),-1))</ns0:f>
        <ns0:v/>
      </ns0:c>
    </ns0:row>
    <ns0:row r="531">
      <ns0:c r="A531" s="215">
        <ns0:f>IF(OR(AH!$P$3=0,526+1&gt;AH!$P$11,AND(AH!$E$4&lt;&gt;"Stored",AH!$P$10&lt;&gt;1)),"",IFERROR(IF(AND(AH!$P$21=1,526+1=AH!$P$11),TODAY(),IF(AH!$P$10=1,INDEX('Live History'!$A$5:$A$3004,AH!$P$13+526),INDEX('AH History'!$A$1:$A$18046,AH!$P$7+526))),""))</ns0:f>
        <ns0:v/>
      </ns0:c>
      <ns0:c r="B531" s="219">
        <ns0:f>IFERROR(IF(AND(AH!$P$9&lt;&gt;1,$C531&gt;0,$D531&gt;0,$E531&gt;0,$F531&gt;0,$G531&gt;0,$F531&lt;=$A531,$G531&lt;=$A531,$A531-$F531&lt;=10,$A531-$G531&lt;=5),$D531*$E531/$C531-1,NA()),NA())</ns0:f>
        <ns0:v/>
      </ns0:c>
      <ns0:c r="C531">
        <ns0:f>IFERROR(IF(ISNUMBER($A531),IF(AND(AH!$P$10=1,AH!$P$12=1,$A531=TODAY()),AH!$P$19,IF(AH!$P$10=1,INDEX('Live History'!$B$5:$B$3004,AH!$P$13+526),INDEX('AH History'!$B$1:$B$18046,AH!$P$7+526))),NA()),NA())</ns0:f>
        <ns0:v/>
      </ns0:c>
      <ns0:c r="D531">
        <ns0:f>IFERROR(IF(ISNUMBER($A531),IF(AND(AH!$P$10=1,AH!$P$12=1,$A531=TODAY()),AH!$P$18,IF(AH!$P$10=1,INDEX('Live History'!$E$5:$E$3004,MATCH($A531,'Live History'!$D$5:$D$3004,1)),INDEX('AH History'!$C$1:$C$18046,AH!$P$7+526))),NA()),NA())</ns0:f>
        <ns0:v/>
      </ns0:c>
      <ns0:c r="E531">
        <ns0:f>IFERROR(IF(ISNUMBER($A531),IF(AND(AH!$P$10=1,AH!$P$12=1,$A531=TODAY()),AH!$P$20,IF(AH!$P$10=1,INDEX('Live History'!$H$5:$H$3004,MATCH($A531,'Live History'!$G$5:$G$3004,1)),INDEX('AH History'!$D$1:$D$18046,AH!$P$7+526))),NA()),NA())</ns0:f>
        <ns0:v/>
      </ns0:c>
      <ns0:c r="F531">
        <ns0:f>IFERROR(IF(ISNUMBER($A531),IF(AND(AH!$P$10=1,AH!$P$12=1,$A531=TODAY()),IF(AND(AH!$P$10=1,AH!$P$12=1,$A531=TODAY()),TODAY(),NA()),IF(AH!$P$10=1,INDEX('Live History'!$D$5:$D$3004,MATCH($A531,'Live History'!$D$5:$D$3004,1)),INDEX('AH History'!$E$1:$E$18046,AH!$P$7+526))),NA()),NA())</ns0:f>
        <ns0:v/>
      </ns0:c>
      <ns0:c r="G531">
        <ns0:f>IFERROR(IF(ISNUMBER($A531),IF(AND(AH!$P$10=1,AH!$P$12=1,$A531=TODAY()),IF(AND(AH!$P$10=1,AH!$P$12=1,$A531=TODAY()),TODAY(),NA()),IF(AH!$P$10=1,INDEX('Live History'!$G$5:$G$3004,MATCH($A531,'Live History'!$G$5:$G$3004,1)),INDEX('AH History'!$F$1:$F$18046,AH!$P$7+526))),NA()),NA())</ns0:f>
        <ns0:v/>
      </ns0:c>
      <ns0:c r="H531">
        <ns0:f>IFERROR(IF(AND(AH!$E$4="Bloomberg",AH!$P$10=1,ISNUMBER($A531),$A531&lt;=AH!$P$17),AH!$P$7-1+MATCH($A531,INDEX('AH History'!$A$1:$A$18046,AH!$P$7):INDEX('AH History'!$A$1:$A$18046,AH!$P$7+AH!$P$8-1),0),0),0)</ns0:f>
        <ns0:v/>
      </ns0:c>
      <ns0:c r="I531">
        <ns0:f>IF($H531=0,0,IFERROR(IF(AND(ABS($C531-INDEX('AH History'!$B$1:$B$18046,$H531))&lt;=MAX(0.005,ABS(INDEX('AH History'!$B$1:$B$18046,$H531))*0.00005),ABS($D531-INDEX('AH History'!$C$1:$C$18046,$H531))&lt;=MAX(0.005,ABS(INDEX('AH History'!$C$1:$C$18046,$H531))*0.00005),ABS($E531-INDEX('AH History'!$D$1:$D$18046,$H531))&lt;=0.00005,$F531=INDEX('AH History'!$E$1:$E$18046,$H531),$G531=INDEX('AH History'!$F$1:$F$18046,$H531)),1,-1),-1))</ns0:f>
        <ns0:v/>
      </ns0:c>
    </ns0:row>
    <ns0:row r="532">
      <ns0:c r="A532" s="215">
        <ns0:f>IF(OR(AH!$P$3=0,527+1&gt;AH!$P$11,AND(AH!$E$4&lt;&gt;"Stored",AH!$P$10&lt;&gt;1)),"",IFERROR(IF(AND(AH!$P$21=1,527+1=AH!$P$11),TODAY(),IF(AH!$P$10=1,INDEX('Live History'!$A$5:$A$3004,AH!$P$13+527),INDEX('AH History'!$A$1:$A$18046,AH!$P$7+527))),""))</ns0:f>
        <ns0:v/>
      </ns0:c>
      <ns0:c r="B532" s="219">
        <ns0:f>IFERROR(IF(AND(AH!$P$9&lt;&gt;1,$C532&gt;0,$D532&gt;0,$E532&gt;0,$F532&gt;0,$G532&gt;0,$F532&lt;=$A532,$G532&lt;=$A532,$A532-$F532&lt;=10,$A532-$G532&lt;=5),$D532*$E532/$C532-1,NA()),NA())</ns0:f>
        <ns0:v/>
      </ns0:c>
      <ns0:c r="C532">
        <ns0:f>IFERROR(IF(ISNUMBER($A532),IF(AND(AH!$P$10=1,AH!$P$12=1,$A532=TODAY()),AH!$P$19,IF(AH!$P$10=1,INDEX('Live History'!$B$5:$B$3004,AH!$P$13+527),INDEX('AH History'!$B$1:$B$18046,AH!$P$7+527))),NA()),NA())</ns0:f>
        <ns0:v/>
      </ns0:c>
      <ns0:c r="D532">
        <ns0:f>IFERROR(IF(ISNUMBER($A532),IF(AND(AH!$P$10=1,AH!$P$12=1,$A532=TODAY()),AH!$P$18,IF(AH!$P$10=1,INDEX('Live History'!$E$5:$E$3004,MATCH($A532,'Live History'!$D$5:$D$3004,1)),INDEX('AH History'!$C$1:$C$18046,AH!$P$7+527))),NA()),NA())</ns0:f>
        <ns0:v/>
      </ns0:c>
      <ns0:c r="E532">
        <ns0:f>IFERROR(IF(ISNUMBER($A532),IF(AND(AH!$P$10=1,AH!$P$12=1,$A532=TODAY()),AH!$P$20,IF(AH!$P$10=1,INDEX('Live History'!$H$5:$H$3004,MATCH($A532,'Live History'!$G$5:$G$3004,1)),INDEX('AH History'!$D$1:$D$18046,AH!$P$7+527))),NA()),NA())</ns0:f>
        <ns0:v/>
      </ns0:c>
      <ns0:c r="F532">
        <ns0:f>IFERROR(IF(ISNUMBER($A532),IF(AND(AH!$P$10=1,AH!$P$12=1,$A532=TODAY()),IF(AND(AH!$P$10=1,AH!$P$12=1,$A532=TODAY()),TODAY(),NA()),IF(AH!$P$10=1,INDEX('Live History'!$D$5:$D$3004,MATCH($A532,'Live History'!$D$5:$D$3004,1)),INDEX('AH History'!$E$1:$E$18046,AH!$P$7+527))),NA()),NA())</ns0:f>
        <ns0:v/>
      </ns0:c>
      <ns0:c r="G532">
        <ns0:f>IFERROR(IF(ISNUMBER($A532),IF(AND(AH!$P$10=1,AH!$P$12=1,$A532=TODAY()),IF(AND(AH!$P$10=1,AH!$P$12=1,$A532=TODAY()),TODAY(),NA()),IF(AH!$P$10=1,INDEX('Live History'!$G$5:$G$3004,MATCH($A532,'Live History'!$G$5:$G$3004,1)),INDEX('AH History'!$F$1:$F$18046,AH!$P$7+527))),NA()),NA())</ns0:f>
        <ns0:v/>
      </ns0:c>
      <ns0:c r="H532">
        <ns0:f>IFERROR(IF(AND(AH!$E$4="Bloomberg",AH!$P$10=1,ISNUMBER($A532),$A532&lt;=AH!$P$17),AH!$P$7-1+MATCH($A532,INDEX('AH History'!$A$1:$A$18046,AH!$P$7):INDEX('AH History'!$A$1:$A$18046,AH!$P$7+AH!$P$8-1),0),0),0)</ns0:f>
        <ns0:v/>
      </ns0:c>
      <ns0:c r="I532">
        <ns0:f>IF($H532=0,0,IFERROR(IF(AND(ABS($C532-INDEX('AH History'!$B$1:$B$18046,$H532))&lt;=MAX(0.005,ABS(INDEX('AH History'!$B$1:$B$18046,$H532))*0.00005),ABS($D532-INDEX('AH History'!$C$1:$C$18046,$H532))&lt;=MAX(0.005,ABS(INDEX('AH History'!$C$1:$C$18046,$H532))*0.00005),ABS($E532-INDEX('AH History'!$D$1:$D$18046,$H532))&lt;=0.00005,$F532=INDEX('AH History'!$E$1:$E$18046,$H532),$G532=INDEX('AH History'!$F$1:$F$18046,$H532)),1,-1),-1))</ns0:f>
        <ns0:v/>
      </ns0:c>
    </ns0:row>
    <ns0:row r="533">
      <ns0:c r="A533" s="215">
        <ns0:f>IF(OR(AH!$P$3=0,528+1&gt;AH!$P$11,AND(AH!$E$4&lt;&gt;"Stored",AH!$P$10&lt;&gt;1)),"",IFERROR(IF(AND(AH!$P$21=1,528+1=AH!$P$11),TODAY(),IF(AH!$P$10=1,INDEX('Live History'!$A$5:$A$3004,AH!$P$13+528),INDEX('AH History'!$A$1:$A$18046,AH!$P$7+528))),""))</ns0:f>
        <ns0:v/>
      </ns0:c>
      <ns0:c r="B533" s="219">
        <ns0:f>IFERROR(IF(AND(AH!$P$9&lt;&gt;1,$C533&gt;0,$D533&gt;0,$E533&gt;0,$F533&gt;0,$G533&gt;0,$F533&lt;=$A533,$G533&lt;=$A533,$A533-$F533&lt;=10,$A533-$G533&lt;=5),$D533*$E533/$C533-1,NA()),NA())</ns0:f>
        <ns0:v/>
      </ns0:c>
      <ns0:c r="C533">
        <ns0:f>IFERROR(IF(ISNUMBER($A533),IF(AND(AH!$P$10=1,AH!$P$12=1,$A533=TODAY()),AH!$P$19,IF(AH!$P$10=1,INDEX('Live History'!$B$5:$B$3004,AH!$P$13+528),INDEX('AH History'!$B$1:$B$18046,AH!$P$7+528))),NA()),NA())</ns0:f>
        <ns0:v/>
      </ns0:c>
      <ns0:c r="D533">
        <ns0:f>IFERROR(IF(ISNUMBER($A533),IF(AND(AH!$P$10=1,AH!$P$12=1,$A533=TODAY()),AH!$P$18,IF(AH!$P$10=1,INDEX('Live History'!$E$5:$E$3004,MATCH($A533,'Live History'!$D$5:$D$3004,1)),INDEX('AH History'!$C$1:$C$18046,AH!$P$7+528))),NA()),NA())</ns0:f>
        <ns0:v/>
      </ns0:c>
      <ns0:c r="E533">
        <ns0:f>IFERROR(IF(ISNUMBER($A533),IF(AND(AH!$P$10=1,AH!$P$12=1,$A533=TODAY()),AH!$P$20,IF(AH!$P$10=1,INDEX('Live History'!$H$5:$H$3004,MATCH($A533,'Live History'!$G$5:$G$3004,1)),INDEX('AH History'!$D$1:$D$18046,AH!$P$7+528))),NA()),NA())</ns0:f>
        <ns0:v/>
      </ns0:c>
      <ns0:c r="F533">
        <ns0:f>IFERROR(IF(ISNUMBER($A533),IF(AND(AH!$P$10=1,AH!$P$12=1,$A533=TODAY()),IF(AND(AH!$P$10=1,AH!$P$12=1,$A533=TODAY()),TODAY(),NA()),IF(AH!$P$10=1,INDEX('Live History'!$D$5:$D$3004,MATCH($A533,'Live History'!$D$5:$D$3004,1)),INDEX('AH History'!$E$1:$E$18046,AH!$P$7+528))),NA()),NA())</ns0:f>
        <ns0:v/>
      </ns0:c>
      <ns0:c r="G533">
        <ns0:f>IFERROR(IF(ISNUMBER($A533),IF(AND(AH!$P$10=1,AH!$P$12=1,$A533=TODAY()),IF(AND(AH!$P$10=1,AH!$P$12=1,$A533=TODAY()),TODAY(),NA()),IF(AH!$P$10=1,INDEX('Live History'!$G$5:$G$3004,MATCH($A533,'Live History'!$G$5:$G$3004,1)),INDEX('AH History'!$F$1:$F$18046,AH!$P$7+528))),NA()),NA())</ns0:f>
        <ns0:v/>
      </ns0:c>
      <ns0:c r="H533">
        <ns0:f>IFERROR(IF(AND(AH!$E$4="Bloomberg",AH!$P$10=1,ISNUMBER($A533),$A533&lt;=AH!$P$17),AH!$P$7-1+MATCH($A533,INDEX('AH History'!$A$1:$A$18046,AH!$P$7):INDEX('AH History'!$A$1:$A$18046,AH!$P$7+AH!$P$8-1),0),0),0)</ns0:f>
        <ns0:v/>
      </ns0:c>
      <ns0:c r="I533">
        <ns0:f>IF($H533=0,0,IFERROR(IF(AND(ABS($C533-INDEX('AH History'!$B$1:$B$18046,$H533))&lt;=MAX(0.005,ABS(INDEX('AH History'!$B$1:$B$18046,$H533))*0.00005),ABS($D533-INDEX('AH History'!$C$1:$C$18046,$H533))&lt;=MAX(0.005,ABS(INDEX('AH History'!$C$1:$C$18046,$H533))*0.00005),ABS($E533-INDEX('AH History'!$D$1:$D$18046,$H533))&lt;=0.00005,$F533=INDEX('AH History'!$E$1:$E$18046,$H533),$G533=INDEX('AH History'!$F$1:$F$18046,$H533)),1,-1),-1))</ns0:f>
        <ns0:v/>
      </ns0:c>
    </ns0:row>
    <ns0:row r="534">
      <ns0:c r="A534" s="215">
        <ns0:f>IF(OR(AH!$P$3=0,529+1&gt;AH!$P$11,AND(AH!$E$4&lt;&gt;"Stored",AH!$P$10&lt;&gt;1)),"",IFERROR(IF(AND(AH!$P$21=1,529+1=AH!$P$11),TODAY(),IF(AH!$P$10=1,INDEX('Live History'!$A$5:$A$3004,AH!$P$13+529),INDEX('AH History'!$A$1:$A$18046,AH!$P$7+529))),""))</ns0:f>
        <ns0:v/>
      </ns0:c>
      <ns0:c r="B534" s="219">
        <ns0:f>IFERROR(IF(AND(AH!$P$9&lt;&gt;1,$C534&gt;0,$D534&gt;0,$E534&gt;0,$F534&gt;0,$G534&gt;0,$F534&lt;=$A534,$G534&lt;=$A534,$A534-$F534&lt;=10,$A534-$G534&lt;=5),$D534*$E534/$C534-1,NA()),NA())</ns0:f>
        <ns0:v/>
      </ns0:c>
      <ns0:c r="C534">
        <ns0:f>IFERROR(IF(ISNUMBER($A534),IF(AND(AH!$P$10=1,AH!$P$12=1,$A534=TODAY()),AH!$P$19,IF(AH!$P$10=1,INDEX('Live History'!$B$5:$B$3004,AH!$P$13+529),INDEX('AH History'!$B$1:$B$18046,AH!$P$7+529))),NA()),NA())</ns0:f>
        <ns0:v/>
      </ns0:c>
      <ns0:c r="D534">
        <ns0:f>IFERROR(IF(ISNUMBER($A534),IF(AND(AH!$P$10=1,AH!$P$12=1,$A534=TODAY()),AH!$P$18,IF(AH!$P$10=1,INDEX('Live History'!$E$5:$E$3004,MATCH($A534,'Live History'!$D$5:$D$3004,1)),INDEX('AH History'!$C$1:$C$18046,AH!$P$7+529))),NA()),NA())</ns0:f>
        <ns0:v/>
      </ns0:c>
      <ns0:c r="E534">
        <ns0:f>IFERROR(IF(ISNUMBER($A534),IF(AND(AH!$P$10=1,AH!$P$12=1,$A534=TODAY()),AH!$P$20,IF(AH!$P$10=1,INDEX('Live History'!$H$5:$H$3004,MATCH($A534,'Live History'!$G$5:$G$3004,1)),INDEX('AH History'!$D$1:$D$18046,AH!$P$7+529))),NA()),NA())</ns0:f>
        <ns0:v/>
      </ns0:c>
      <ns0:c r="F534">
        <ns0:f>IFERROR(IF(ISNUMBER($A534),IF(AND(AH!$P$10=1,AH!$P$12=1,$A534=TODAY()),IF(AND(AH!$P$10=1,AH!$P$12=1,$A534=TODAY()),TODAY(),NA()),IF(AH!$P$10=1,INDEX('Live History'!$D$5:$D$3004,MATCH($A534,'Live History'!$D$5:$D$3004,1)),INDEX('AH History'!$E$1:$E$18046,AH!$P$7+529))),NA()),NA())</ns0:f>
        <ns0:v/>
      </ns0:c>
      <ns0:c r="G534">
        <ns0:f>IFERROR(IF(ISNUMBER($A534),IF(AND(AH!$P$10=1,AH!$P$12=1,$A534=TODAY()),IF(AND(AH!$P$10=1,AH!$P$12=1,$A534=TODAY()),TODAY(),NA()),IF(AH!$P$10=1,INDEX('Live History'!$G$5:$G$3004,MATCH($A534,'Live History'!$G$5:$G$3004,1)),INDEX('AH History'!$F$1:$F$18046,AH!$P$7+529))),NA()),NA())</ns0:f>
        <ns0:v/>
      </ns0:c>
      <ns0:c r="H534">
        <ns0:f>IFERROR(IF(AND(AH!$E$4="Bloomberg",AH!$P$10=1,ISNUMBER($A534),$A534&lt;=AH!$P$17),AH!$P$7-1+MATCH($A534,INDEX('AH History'!$A$1:$A$18046,AH!$P$7):INDEX('AH History'!$A$1:$A$18046,AH!$P$7+AH!$P$8-1),0),0),0)</ns0:f>
        <ns0:v/>
      </ns0:c>
      <ns0:c r="I534">
        <ns0:f>IF($H534=0,0,IFERROR(IF(AND(ABS($C534-INDEX('AH History'!$B$1:$B$18046,$H534))&lt;=MAX(0.005,ABS(INDEX('AH History'!$B$1:$B$18046,$H534))*0.00005),ABS($D534-INDEX('AH History'!$C$1:$C$18046,$H534))&lt;=MAX(0.005,ABS(INDEX('AH History'!$C$1:$C$18046,$H534))*0.00005),ABS($E534-INDEX('AH History'!$D$1:$D$18046,$H534))&lt;=0.00005,$F534=INDEX('AH History'!$E$1:$E$18046,$H534),$G534=INDEX('AH History'!$F$1:$F$18046,$H534)),1,-1),-1))</ns0:f>
        <ns0:v/>
      </ns0:c>
    </ns0:row>
    <ns0:row r="535">
      <ns0:c r="A535" s="215">
        <ns0:f>IF(OR(AH!$P$3=0,530+1&gt;AH!$P$11,AND(AH!$E$4&lt;&gt;"Stored",AH!$P$10&lt;&gt;1)),"",IFERROR(IF(AND(AH!$P$21=1,530+1=AH!$P$11),TODAY(),IF(AH!$P$10=1,INDEX('Live History'!$A$5:$A$3004,AH!$P$13+530),INDEX('AH History'!$A$1:$A$18046,AH!$P$7+530))),""))</ns0:f>
        <ns0:v/>
      </ns0:c>
      <ns0:c r="B535" s="219">
        <ns0:f>IFERROR(IF(AND(AH!$P$9&lt;&gt;1,$C535&gt;0,$D535&gt;0,$E535&gt;0,$F535&gt;0,$G535&gt;0,$F535&lt;=$A535,$G535&lt;=$A535,$A535-$F535&lt;=10,$A535-$G535&lt;=5),$D535*$E535/$C535-1,NA()),NA())</ns0:f>
        <ns0:v/>
      </ns0:c>
      <ns0:c r="C535">
        <ns0:f>IFERROR(IF(ISNUMBER($A535),IF(AND(AH!$P$10=1,AH!$P$12=1,$A535=TODAY()),AH!$P$19,IF(AH!$P$10=1,INDEX('Live History'!$B$5:$B$3004,AH!$P$13+530),INDEX('AH History'!$B$1:$B$18046,AH!$P$7+530))),NA()),NA())</ns0:f>
        <ns0:v/>
      </ns0:c>
      <ns0:c r="D535">
        <ns0:f>IFERROR(IF(ISNUMBER($A535),IF(AND(AH!$P$10=1,AH!$P$12=1,$A535=TODAY()),AH!$P$18,IF(AH!$P$10=1,INDEX('Live History'!$E$5:$E$3004,MATCH($A535,'Live History'!$D$5:$D$3004,1)),INDEX('AH History'!$C$1:$C$18046,AH!$P$7+530))),NA()),NA())</ns0:f>
        <ns0:v/>
      </ns0:c>
      <ns0:c r="E535">
        <ns0:f>IFERROR(IF(ISNUMBER($A535),IF(AND(AH!$P$10=1,AH!$P$12=1,$A535=TODAY()),AH!$P$20,IF(AH!$P$10=1,INDEX('Live History'!$H$5:$H$3004,MATCH($A535,'Live History'!$G$5:$G$3004,1)),INDEX('AH History'!$D$1:$D$18046,AH!$P$7+530))),NA()),NA())</ns0:f>
        <ns0:v/>
      </ns0:c>
      <ns0:c r="F535">
        <ns0:f>IFERROR(IF(ISNUMBER($A535),IF(AND(AH!$P$10=1,AH!$P$12=1,$A535=TODAY()),IF(AND(AH!$P$10=1,AH!$P$12=1,$A535=TODAY()),TODAY(),NA()),IF(AH!$P$10=1,INDEX('Live History'!$D$5:$D$3004,MATCH($A535,'Live History'!$D$5:$D$3004,1)),INDEX('AH History'!$E$1:$E$18046,AH!$P$7+530))),NA()),NA())</ns0:f>
        <ns0:v/>
      </ns0:c>
      <ns0:c r="G535">
        <ns0:f>IFERROR(IF(ISNUMBER($A535),IF(AND(AH!$P$10=1,AH!$P$12=1,$A535=TODAY()),IF(AND(AH!$P$10=1,AH!$P$12=1,$A535=TODAY()),TODAY(),NA()),IF(AH!$P$10=1,INDEX('Live History'!$G$5:$G$3004,MATCH($A535,'Live History'!$G$5:$G$3004,1)),INDEX('AH History'!$F$1:$F$18046,AH!$P$7+530))),NA()),NA())</ns0:f>
        <ns0:v/>
      </ns0:c>
      <ns0:c r="H535">
        <ns0:f>IFERROR(IF(AND(AH!$E$4="Bloomberg",AH!$P$10=1,ISNUMBER($A535),$A535&lt;=AH!$P$17),AH!$P$7-1+MATCH($A535,INDEX('AH History'!$A$1:$A$18046,AH!$P$7):INDEX('AH History'!$A$1:$A$18046,AH!$P$7+AH!$P$8-1),0),0),0)</ns0:f>
        <ns0:v/>
      </ns0:c>
      <ns0:c r="I535">
        <ns0:f>IF($H535=0,0,IFERROR(IF(AND(ABS($C535-INDEX('AH History'!$B$1:$B$18046,$H535))&lt;=MAX(0.005,ABS(INDEX('AH History'!$B$1:$B$18046,$H535))*0.00005),ABS($D535-INDEX('AH History'!$C$1:$C$18046,$H535))&lt;=MAX(0.005,ABS(INDEX('AH History'!$C$1:$C$18046,$H535))*0.00005),ABS($E535-INDEX('AH History'!$D$1:$D$18046,$H535))&lt;=0.00005,$F535=INDEX('AH History'!$E$1:$E$18046,$H535),$G535=INDEX('AH History'!$F$1:$F$18046,$H535)),1,-1),-1))</ns0:f>
        <ns0:v/>
      </ns0:c>
    </ns0:row>
    <ns0:row r="536">
      <ns0:c r="A536" s="215">
        <ns0:f>IF(OR(AH!$P$3=0,531+1&gt;AH!$P$11,AND(AH!$E$4&lt;&gt;"Stored",AH!$P$10&lt;&gt;1)),"",IFERROR(IF(AND(AH!$P$21=1,531+1=AH!$P$11),TODAY(),IF(AH!$P$10=1,INDEX('Live History'!$A$5:$A$3004,AH!$P$13+531),INDEX('AH History'!$A$1:$A$18046,AH!$P$7+531))),""))</ns0:f>
        <ns0:v/>
      </ns0:c>
      <ns0:c r="B536" s="219">
        <ns0:f>IFERROR(IF(AND(AH!$P$9&lt;&gt;1,$C536&gt;0,$D536&gt;0,$E536&gt;0,$F536&gt;0,$G536&gt;0,$F536&lt;=$A536,$G536&lt;=$A536,$A536-$F536&lt;=10,$A536-$G536&lt;=5),$D536*$E536/$C536-1,NA()),NA())</ns0:f>
        <ns0:v/>
      </ns0:c>
      <ns0:c r="C536">
        <ns0:f>IFERROR(IF(ISNUMBER($A536),IF(AND(AH!$P$10=1,AH!$P$12=1,$A536=TODAY()),AH!$P$19,IF(AH!$P$10=1,INDEX('Live History'!$B$5:$B$3004,AH!$P$13+531),INDEX('AH History'!$B$1:$B$18046,AH!$P$7+531))),NA()),NA())</ns0:f>
        <ns0:v/>
      </ns0:c>
      <ns0:c r="D536">
        <ns0:f>IFERROR(IF(ISNUMBER($A536),IF(AND(AH!$P$10=1,AH!$P$12=1,$A536=TODAY()),AH!$P$18,IF(AH!$P$10=1,INDEX('Live History'!$E$5:$E$3004,MATCH($A536,'Live History'!$D$5:$D$3004,1)),INDEX('AH History'!$C$1:$C$18046,AH!$P$7+531))),NA()),NA())</ns0:f>
        <ns0:v/>
      </ns0:c>
      <ns0:c r="E536">
        <ns0:f>IFERROR(IF(ISNUMBER($A536),IF(AND(AH!$P$10=1,AH!$P$12=1,$A536=TODAY()),AH!$P$20,IF(AH!$P$10=1,INDEX('Live History'!$H$5:$H$3004,MATCH($A536,'Live History'!$G$5:$G$3004,1)),INDEX('AH History'!$D$1:$D$18046,AH!$P$7+531))),NA()),NA())</ns0:f>
        <ns0:v/>
      </ns0:c>
      <ns0:c r="F536">
        <ns0:f>IFERROR(IF(ISNUMBER($A536),IF(AND(AH!$P$10=1,AH!$P$12=1,$A536=TODAY()),IF(AND(AH!$P$10=1,AH!$P$12=1,$A536=TODAY()),TODAY(),NA()),IF(AH!$P$10=1,INDEX('Live History'!$D$5:$D$3004,MATCH($A536,'Live History'!$D$5:$D$3004,1)),INDEX('AH History'!$E$1:$E$18046,AH!$P$7+531))),NA()),NA())</ns0:f>
        <ns0:v/>
      </ns0:c>
      <ns0:c r="G536">
        <ns0:f>IFERROR(IF(ISNUMBER($A536),IF(AND(AH!$P$10=1,AH!$P$12=1,$A536=TODAY()),IF(AND(AH!$P$10=1,AH!$P$12=1,$A536=TODAY()),TODAY(),NA()),IF(AH!$P$10=1,INDEX('Live History'!$G$5:$G$3004,MATCH($A536,'Live History'!$G$5:$G$3004,1)),INDEX('AH History'!$F$1:$F$18046,AH!$P$7+531))),NA()),NA())</ns0:f>
        <ns0:v/>
      </ns0:c>
      <ns0:c r="H536">
        <ns0:f>IFERROR(IF(AND(AH!$E$4="Bloomberg",AH!$P$10=1,ISNUMBER($A536),$A536&lt;=AH!$P$17),AH!$P$7-1+MATCH($A536,INDEX('AH History'!$A$1:$A$18046,AH!$P$7):INDEX('AH History'!$A$1:$A$18046,AH!$P$7+AH!$P$8-1),0),0),0)</ns0:f>
        <ns0:v/>
      </ns0:c>
      <ns0:c r="I536">
        <ns0:f>IF($H536=0,0,IFERROR(IF(AND(ABS($C536-INDEX('AH History'!$B$1:$B$18046,$H536))&lt;=MAX(0.005,ABS(INDEX('AH History'!$B$1:$B$18046,$H536))*0.00005),ABS($D536-INDEX('AH History'!$C$1:$C$18046,$H536))&lt;=MAX(0.005,ABS(INDEX('AH History'!$C$1:$C$18046,$H536))*0.00005),ABS($E536-INDEX('AH History'!$D$1:$D$18046,$H536))&lt;=0.00005,$F536=INDEX('AH History'!$E$1:$E$18046,$H536),$G536=INDEX('AH History'!$F$1:$F$18046,$H536)),1,-1),-1))</ns0:f>
        <ns0:v/>
      </ns0:c>
    </ns0:row>
    <ns0:row r="537">
      <ns0:c r="A537" s="215">
        <ns0:f>IF(OR(AH!$P$3=0,532+1&gt;AH!$P$11,AND(AH!$E$4&lt;&gt;"Stored",AH!$P$10&lt;&gt;1)),"",IFERROR(IF(AND(AH!$P$21=1,532+1=AH!$P$11),TODAY(),IF(AH!$P$10=1,INDEX('Live History'!$A$5:$A$3004,AH!$P$13+532),INDEX('AH History'!$A$1:$A$18046,AH!$P$7+532))),""))</ns0:f>
        <ns0:v/>
      </ns0:c>
      <ns0:c r="B537" s="219">
        <ns0:f>IFERROR(IF(AND(AH!$P$9&lt;&gt;1,$C537&gt;0,$D537&gt;0,$E537&gt;0,$F537&gt;0,$G537&gt;0,$F537&lt;=$A537,$G537&lt;=$A537,$A537-$F537&lt;=10,$A537-$G537&lt;=5),$D537*$E537/$C537-1,NA()),NA())</ns0:f>
        <ns0:v/>
      </ns0:c>
      <ns0:c r="C537">
        <ns0:f>IFERROR(IF(ISNUMBER($A537),IF(AND(AH!$P$10=1,AH!$P$12=1,$A537=TODAY()),AH!$P$19,IF(AH!$P$10=1,INDEX('Live History'!$B$5:$B$3004,AH!$P$13+532),INDEX('AH History'!$B$1:$B$18046,AH!$P$7+532))),NA()),NA())</ns0:f>
        <ns0:v/>
      </ns0:c>
      <ns0:c r="D537">
        <ns0:f>IFERROR(IF(ISNUMBER($A537),IF(AND(AH!$P$10=1,AH!$P$12=1,$A537=TODAY()),AH!$P$18,IF(AH!$P$10=1,INDEX('Live History'!$E$5:$E$3004,MATCH($A537,'Live History'!$D$5:$D$3004,1)),INDEX('AH History'!$C$1:$C$18046,AH!$P$7+532))),NA()),NA())</ns0:f>
        <ns0:v/>
      </ns0:c>
      <ns0:c r="E537">
        <ns0:f>IFERROR(IF(ISNUMBER($A537),IF(AND(AH!$P$10=1,AH!$P$12=1,$A537=TODAY()),AH!$P$20,IF(AH!$P$10=1,INDEX('Live History'!$H$5:$H$3004,MATCH($A537,'Live History'!$G$5:$G$3004,1)),INDEX('AH History'!$D$1:$D$18046,AH!$P$7+532))),NA()),NA())</ns0:f>
        <ns0:v/>
      </ns0:c>
      <ns0:c r="F537">
        <ns0:f>IFERROR(IF(ISNUMBER($A537),IF(AND(AH!$P$10=1,AH!$P$12=1,$A537=TODAY()),IF(AND(AH!$P$10=1,AH!$P$12=1,$A537=TODAY()),TODAY(),NA()),IF(AH!$P$10=1,INDEX('Live History'!$D$5:$D$3004,MATCH($A537,'Live History'!$D$5:$D$3004,1)),INDEX('AH History'!$E$1:$E$18046,AH!$P$7+532))),NA()),NA())</ns0:f>
        <ns0:v/>
      </ns0:c>
      <ns0:c r="G537">
        <ns0:f>IFERROR(IF(ISNUMBER($A537),IF(AND(AH!$P$10=1,AH!$P$12=1,$A537=TODAY()),IF(AND(AH!$P$10=1,AH!$P$12=1,$A537=TODAY()),TODAY(),NA()),IF(AH!$P$10=1,INDEX('Live History'!$G$5:$G$3004,MATCH($A537,'Live History'!$G$5:$G$3004,1)),INDEX('AH History'!$F$1:$F$18046,AH!$P$7+532))),NA()),NA())</ns0:f>
        <ns0:v/>
      </ns0:c>
      <ns0:c r="H537">
        <ns0:f>IFERROR(IF(AND(AH!$E$4="Bloomberg",AH!$P$10=1,ISNUMBER($A537),$A537&lt;=AH!$P$17),AH!$P$7-1+MATCH($A537,INDEX('AH History'!$A$1:$A$18046,AH!$P$7):INDEX('AH History'!$A$1:$A$18046,AH!$P$7+AH!$P$8-1),0),0),0)</ns0:f>
        <ns0:v/>
      </ns0:c>
      <ns0:c r="I537">
        <ns0:f>IF($H537=0,0,IFERROR(IF(AND(ABS($C537-INDEX('AH History'!$B$1:$B$18046,$H537))&lt;=MAX(0.005,ABS(INDEX('AH History'!$B$1:$B$18046,$H537))*0.00005),ABS($D537-INDEX('AH History'!$C$1:$C$18046,$H537))&lt;=MAX(0.005,ABS(INDEX('AH History'!$C$1:$C$18046,$H537))*0.00005),ABS($E537-INDEX('AH History'!$D$1:$D$18046,$H537))&lt;=0.00005,$F537=INDEX('AH History'!$E$1:$E$18046,$H537),$G537=INDEX('AH History'!$F$1:$F$18046,$H537)),1,-1),-1))</ns0:f>
        <ns0:v/>
      </ns0:c>
    </ns0:row>
    <ns0:row r="538">
      <ns0:c r="A538" s="215">
        <ns0:f>IF(OR(AH!$P$3=0,533+1&gt;AH!$P$11,AND(AH!$E$4&lt;&gt;"Stored",AH!$P$10&lt;&gt;1)),"",IFERROR(IF(AND(AH!$P$21=1,533+1=AH!$P$11),TODAY(),IF(AH!$P$10=1,INDEX('Live History'!$A$5:$A$3004,AH!$P$13+533),INDEX('AH History'!$A$1:$A$18046,AH!$P$7+533))),""))</ns0:f>
        <ns0:v/>
      </ns0:c>
      <ns0:c r="B538" s="219">
        <ns0:f>IFERROR(IF(AND(AH!$P$9&lt;&gt;1,$C538&gt;0,$D538&gt;0,$E538&gt;0,$F538&gt;0,$G538&gt;0,$F538&lt;=$A538,$G538&lt;=$A538,$A538-$F538&lt;=10,$A538-$G538&lt;=5),$D538*$E538/$C538-1,NA()),NA())</ns0:f>
        <ns0:v/>
      </ns0:c>
      <ns0:c r="C538">
        <ns0:f>IFERROR(IF(ISNUMBER($A538),IF(AND(AH!$P$10=1,AH!$P$12=1,$A538=TODAY()),AH!$P$19,IF(AH!$P$10=1,INDEX('Live History'!$B$5:$B$3004,AH!$P$13+533),INDEX('AH History'!$B$1:$B$18046,AH!$P$7+533))),NA()),NA())</ns0:f>
        <ns0:v/>
      </ns0:c>
      <ns0:c r="D538">
        <ns0:f>IFERROR(IF(ISNUMBER($A538),IF(AND(AH!$P$10=1,AH!$P$12=1,$A538=TODAY()),AH!$P$18,IF(AH!$P$10=1,INDEX('Live History'!$E$5:$E$3004,MATCH($A538,'Live History'!$D$5:$D$3004,1)),INDEX('AH History'!$C$1:$C$18046,AH!$P$7+533))),NA()),NA())</ns0:f>
        <ns0:v/>
      </ns0:c>
      <ns0:c r="E538">
        <ns0:f>IFERROR(IF(ISNUMBER($A538),IF(AND(AH!$P$10=1,AH!$P$12=1,$A538=TODAY()),AH!$P$20,IF(AH!$P$10=1,INDEX('Live History'!$H$5:$H$3004,MATCH($A538,'Live History'!$G$5:$G$3004,1)),INDEX('AH History'!$D$1:$D$18046,AH!$P$7+533))),NA()),NA())</ns0:f>
        <ns0:v/>
      </ns0:c>
      <ns0:c r="F538">
        <ns0:f>IFERROR(IF(ISNUMBER($A538),IF(AND(AH!$P$10=1,AH!$P$12=1,$A538=TODAY()),IF(AND(AH!$P$10=1,AH!$P$12=1,$A538=TODAY()),TODAY(),NA()),IF(AH!$P$10=1,INDEX('Live History'!$D$5:$D$3004,MATCH($A538,'Live History'!$D$5:$D$3004,1)),INDEX('AH History'!$E$1:$E$18046,AH!$P$7+533))),NA()),NA())</ns0:f>
        <ns0:v/>
      </ns0:c>
      <ns0:c r="G538">
        <ns0:f>IFERROR(IF(ISNUMBER($A538),IF(AND(AH!$P$10=1,AH!$P$12=1,$A538=TODAY()),IF(AND(AH!$P$10=1,AH!$P$12=1,$A538=TODAY()),TODAY(),NA()),IF(AH!$P$10=1,INDEX('Live History'!$G$5:$G$3004,MATCH($A538,'Live History'!$G$5:$G$3004,1)),INDEX('AH History'!$F$1:$F$18046,AH!$P$7+533))),NA()),NA())</ns0:f>
        <ns0:v/>
      </ns0:c>
      <ns0:c r="H538">
        <ns0:f>IFERROR(IF(AND(AH!$E$4="Bloomberg",AH!$P$10=1,ISNUMBER($A538),$A538&lt;=AH!$P$17),AH!$P$7-1+MATCH($A538,INDEX('AH History'!$A$1:$A$18046,AH!$P$7):INDEX('AH History'!$A$1:$A$18046,AH!$P$7+AH!$P$8-1),0),0),0)</ns0:f>
        <ns0:v/>
      </ns0:c>
      <ns0:c r="I538">
        <ns0:f>IF($H538=0,0,IFERROR(IF(AND(ABS($C538-INDEX('AH History'!$B$1:$B$18046,$H538))&lt;=MAX(0.005,ABS(INDEX('AH History'!$B$1:$B$18046,$H538))*0.00005),ABS($D538-INDEX('AH History'!$C$1:$C$18046,$H538))&lt;=MAX(0.005,ABS(INDEX('AH History'!$C$1:$C$18046,$H538))*0.00005),ABS($E538-INDEX('AH History'!$D$1:$D$18046,$H538))&lt;=0.00005,$F538=INDEX('AH History'!$E$1:$E$18046,$H538),$G538=INDEX('AH History'!$F$1:$F$18046,$H538)),1,-1),-1))</ns0:f>
        <ns0:v/>
      </ns0:c>
    </ns0:row>
    <ns0:row r="539">
      <ns0:c r="A539" s="215">
        <ns0:f>IF(OR(AH!$P$3=0,534+1&gt;AH!$P$11,AND(AH!$E$4&lt;&gt;"Stored",AH!$P$10&lt;&gt;1)),"",IFERROR(IF(AND(AH!$P$21=1,534+1=AH!$P$11),TODAY(),IF(AH!$P$10=1,INDEX('Live History'!$A$5:$A$3004,AH!$P$13+534),INDEX('AH History'!$A$1:$A$18046,AH!$P$7+534))),""))</ns0:f>
        <ns0:v/>
      </ns0:c>
      <ns0:c r="B539" s="219">
        <ns0:f>IFERROR(IF(AND(AH!$P$9&lt;&gt;1,$C539&gt;0,$D539&gt;0,$E539&gt;0,$F539&gt;0,$G539&gt;0,$F539&lt;=$A539,$G539&lt;=$A539,$A539-$F539&lt;=10,$A539-$G539&lt;=5),$D539*$E539/$C539-1,NA()),NA())</ns0:f>
        <ns0:v/>
      </ns0:c>
      <ns0:c r="C539">
        <ns0:f>IFERROR(IF(ISNUMBER($A539),IF(AND(AH!$P$10=1,AH!$P$12=1,$A539=TODAY()),AH!$P$19,IF(AH!$P$10=1,INDEX('Live History'!$B$5:$B$3004,AH!$P$13+534),INDEX('AH History'!$B$1:$B$18046,AH!$P$7+534))),NA()),NA())</ns0:f>
        <ns0:v/>
      </ns0:c>
      <ns0:c r="D539">
        <ns0:f>IFERROR(IF(ISNUMBER($A539),IF(AND(AH!$P$10=1,AH!$P$12=1,$A539=TODAY()),AH!$P$18,IF(AH!$P$10=1,INDEX('Live History'!$E$5:$E$3004,MATCH($A539,'Live History'!$D$5:$D$3004,1)),INDEX('AH History'!$C$1:$C$18046,AH!$P$7+534))),NA()),NA())</ns0:f>
        <ns0:v/>
      </ns0:c>
      <ns0:c r="E539">
        <ns0:f>IFERROR(IF(ISNUMBER($A539),IF(AND(AH!$P$10=1,AH!$P$12=1,$A539=TODAY()),AH!$P$20,IF(AH!$P$10=1,INDEX('Live History'!$H$5:$H$3004,MATCH($A539,'Live History'!$G$5:$G$3004,1)),INDEX('AH History'!$D$1:$D$18046,AH!$P$7+534))),NA()),NA())</ns0:f>
        <ns0:v/>
      </ns0:c>
      <ns0:c r="F539">
        <ns0:f>IFERROR(IF(ISNUMBER($A539),IF(AND(AH!$P$10=1,AH!$P$12=1,$A539=TODAY()),IF(AND(AH!$P$10=1,AH!$P$12=1,$A539=TODAY()),TODAY(),NA()),IF(AH!$P$10=1,INDEX('Live History'!$D$5:$D$3004,MATCH($A539,'Live History'!$D$5:$D$3004,1)),INDEX('AH History'!$E$1:$E$18046,AH!$P$7+534))),NA()),NA())</ns0:f>
        <ns0:v/>
      </ns0:c>
      <ns0:c r="G539">
        <ns0:f>IFERROR(IF(ISNUMBER($A539),IF(AND(AH!$P$10=1,AH!$P$12=1,$A539=TODAY()),IF(AND(AH!$P$10=1,AH!$P$12=1,$A539=TODAY()),TODAY(),NA()),IF(AH!$P$10=1,INDEX('Live History'!$G$5:$G$3004,MATCH($A539,'Live History'!$G$5:$G$3004,1)),INDEX('AH History'!$F$1:$F$18046,AH!$P$7+534))),NA()),NA())</ns0:f>
        <ns0:v/>
      </ns0:c>
      <ns0:c r="H539">
        <ns0:f>IFERROR(IF(AND(AH!$E$4="Bloomberg",AH!$P$10=1,ISNUMBER($A539),$A539&lt;=AH!$P$17),AH!$P$7-1+MATCH($A539,INDEX('AH History'!$A$1:$A$18046,AH!$P$7):INDEX('AH History'!$A$1:$A$18046,AH!$P$7+AH!$P$8-1),0),0),0)</ns0:f>
        <ns0:v/>
      </ns0:c>
      <ns0:c r="I539">
        <ns0:f>IF($H539=0,0,IFERROR(IF(AND(ABS($C539-INDEX('AH History'!$B$1:$B$18046,$H539))&lt;=MAX(0.005,ABS(INDEX('AH History'!$B$1:$B$18046,$H539))*0.00005),ABS($D539-INDEX('AH History'!$C$1:$C$18046,$H539))&lt;=MAX(0.005,ABS(INDEX('AH History'!$C$1:$C$18046,$H539))*0.00005),ABS($E539-INDEX('AH History'!$D$1:$D$18046,$H539))&lt;=0.00005,$F539=INDEX('AH History'!$E$1:$E$18046,$H539),$G539=INDEX('AH History'!$F$1:$F$18046,$H539)),1,-1),-1))</ns0:f>
        <ns0:v/>
      </ns0:c>
    </ns0:row>
    <ns0:row r="540">
      <ns0:c r="A540" s="215">
        <ns0:f>IF(OR(AH!$P$3=0,535+1&gt;AH!$P$11,AND(AH!$E$4&lt;&gt;"Stored",AH!$P$10&lt;&gt;1)),"",IFERROR(IF(AND(AH!$P$21=1,535+1=AH!$P$11),TODAY(),IF(AH!$P$10=1,INDEX('Live History'!$A$5:$A$3004,AH!$P$13+535),INDEX('AH History'!$A$1:$A$18046,AH!$P$7+535))),""))</ns0:f>
        <ns0:v/>
      </ns0:c>
      <ns0:c r="B540" s="219">
        <ns0:f>IFERROR(IF(AND(AH!$P$9&lt;&gt;1,$C540&gt;0,$D540&gt;0,$E540&gt;0,$F540&gt;0,$G540&gt;0,$F540&lt;=$A540,$G540&lt;=$A540,$A540-$F540&lt;=10,$A540-$G540&lt;=5),$D540*$E540/$C540-1,NA()),NA())</ns0:f>
        <ns0:v/>
      </ns0:c>
      <ns0:c r="C540">
        <ns0:f>IFERROR(IF(ISNUMBER($A540),IF(AND(AH!$P$10=1,AH!$P$12=1,$A540=TODAY()),AH!$P$19,IF(AH!$P$10=1,INDEX('Live History'!$B$5:$B$3004,AH!$P$13+535),INDEX('AH History'!$B$1:$B$18046,AH!$P$7+535))),NA()),NA())</ns0:f>
        <ns0:v/>
      </ns0:c>
      <ns0:c r="D540">
        <ns0:f>IFERROR(IF(ISNUMBER($A540),IF(AND(AH!$P$10=1,AH!$P$12=1,$A540=TODAY()),AH!$P$18,IF(AH!$P$10=1,INDEX('Live History'!$E$5:$E$3004,MATCH($A540,'Live History'!$D$5:$D$3004,1)),INDEX('AH History'!$C$1:$C$18046,AH!$P$7+535))),NA()),NA())</ns0:f>
        <ns0:v/>
      </ns0:c>
      <ns0:c r="E540">
        <ns0:f>IFERROR(IF(ISNUMBER($A540),IF(AND(AH!$P$10=1,AH!$P$12=1,$A540=TODAY()),AH!$P$20,IF(AH!$P$10=1,INDEX('Live History'!$H$5:$H$3004,MATCH($A540,'Live History'!$G$5:$G$3004,1)),INDEX('AH History'!$D$1:$D$18046,AH!$P$7+535))),NA()),NA())</ns0:f>
        <ns0:v/>
      </ns0:c>
      <ns0:c r="F540">
        <ns0:f>IFERROR(IF(ISNUMBER($A540),IF(AND(AH!$P$10=1,AH!$P$12=1,$A540=TODAY()),IF(AND(AH!$P$10=1,AH!$P$12=1,$A540=TODAY()),TODAY(),NA()),IF(AH!$P$10=1,INDEX('Live History'!$D$5:$D$3004,MATCH($A540,'Live History'!$D$5:$D$3004,1)),INDEX('AH History'!$E$1:$E$18046,AH!$P$7+535))),NA()),NA())</ns0:f>
        <ns0:v/>
      </ns0:c>
      <ns0:c r="G540">
        <ns0:f>IFERROR(IF(ISNUMBER($A540),IF(AND(AH!$P$10=1,AH!$P$12=1,$A540=TODAY()),IF(AND(AH!$P$10=1,AH!$P$12=1,$A540=TODAY()),TODAY(),NA()),IF(AH!$P$10=1,INDEX('Live History'!$G$5:$G$3004,MATCH($A540,'Live History'!$G$5:$G$3004,1)),INDEX('AH History'!$F$1:$F$18046,AH!$P$7+535))),NA()),NA())</ns0:f>
        <ns0:v/>
      </ns0:c>
      <ns0:c r="H540">
        <ns0:f>IFERROR(IF(AND(AH!$E$4="Bloomberg",AH!$P$10=1,ISNUMBER($A540),$A540&lt;=AH!$P$17),AH!$P$7-1+MATCH($A540,INDEX('AH History'!$A$1:$A$18046,AH!$P$7):INDEX('AH History'!$A$1:$A$18046,AH!$P$7+AH!$P$8-1),0),0),0)</ns0:f>
        <ns0:v/>
      </ns0:c>
      <ns0:c r="I540">
        <ns0:f>IF($H540=0,0,IFERROR(IF(AND(ABS($C540-INDEX('AH History'!$B$1:$B$18046,$H540))&lt;=MAX(0.005,ABS(INDEX('AH History'!$B$1:$B$18046,$H540))*0.00005),ABS($D540-INDEX('AH History'!$C$1:$C$18046,$H540))&lt;=MAX(0.005,ABS(INDEX('AH History'!$C$1:$C$18046,$H540))*0.00005),ABS($E540-INDEX('AH History'!$D$1:$D$18046,$H540))&lt;=0.00005,$F540=INDEX('AH History'!$E$1:$E$18046,$H540),$G540=INDEX('AH History'!$F$1:$F$18046,$H540)),1,-1),-1))</ns0:f>
        <ns0:v/>
      </ns0:c>
    </ns0:row>
    <ns0:row r="541">
      <ns0:c r="A541" s="215">
        <ns0:f>IF(OR(AH!$P$3=0,536+1&gt;AH!$P$11,AND(AH!$E$4&lt;&gt;"Stored",AH!$P$10&lt;&gt;1)),"",IFERROR(IF(AND(AH!$P$21=1,536+1=AH!$P$11),TODAY(),IF(AH!$P$10=1,INDEX('Live History'!$A$5:$A$3004,AH!$P$13+536),INDEX('AH History'!$A$1:$A$18046,AH!$P$7+536))),""))</ns0:f>
        <ns0:v/>
      </ns0:c>
      <ns0:c r="B541" s="219">
        <ns0:f>IFERROR(IF(AND(AH!$P$9&lt;&gt;1,$C541&gt;0,$D541&gt;0,$E541&gt;0,$F541&gt;0,$G541&gt;0,$F541&lt;=$A541,$G541&lt;=$A541,$A541-$F541&lt;=10,$A541-$G541&lt;=5),$D541*$E541/$C541-1,NA()),NA())</ns0:f>
        <ns0:v/>
      </ns0:c>
      <ns0:c r="C541">
        <ns0:f>IFERROR(IF(ISNUMBER($A541),IF(AND(AH!$P$10=1,AH!$P$12=1,$A541=TODAY()),AH!$P$19,IF(AH!$P$10=1,INDEX('Live History'!$B$5:$B$3004,AH!$P$13+536),INDEX('AH History'!$B$1:$B$18046,AH!$P$7+536))),NA()),NA())</ns0:f>
        <ns0:v/>
      </ns0:c>
      <ns0:c r="D541">
        <ns0:f>IFERROR(IF(ISNUMBER($A541),IF(AND(AH!$P$10=1,AH!$P$12=1,$A541=TODAY()),AH!$P$18,IF(AH!$P$10=1,INDEX('Live History'!$E$5:$E$3004,MATCH($A541,'Live History'!$D$5:$D$3004,1)),INDEX('AH History'!$C$1:$C$18046,AH!$P$7+536))),NA()),NA())</ns0:f>
        <ns0:v/>
      </ns0:c>
      <ns0:c r="E541">
        <ns0:f>IFERROR(IF(ISNUMBER($A541),IF(AND(AH!$P$10=1,AH!$P$12=1,$A541=TODAY()),AH!$P$20,IF(AH!$P$10=1,INDEX('Live History'!$H$5:$H$3004,MATCH($A541,'Live History'!$G$5:$G$3004,1)),INDEX('AH History'!$D$1:$D$18046,AH!$P$7+536))),NA()),NA())</ns0:f>
        <ns0:v/>
      </ns0:c>
      <ns0:c r="F541">
        <ns0:f>IFERROR(IF(ISNUMBER($A541),IF(AND(AH!$P$10=1,AH!$P$12=1,$A541=TODAY()),IF(AND(AH!$P$10=1,AH!$P$12=1,$A541=TODAY()),TODAY(),NA()),IF(AH!$P$10=1,INDEX('Live History'!$D$5:$D$3004,MATCH($A541,'Live History'!$D$5:$D$3004,1)),INDEX('AH History'!$E$1:$E$18046,AH!$P$7+536))),NA()),NA())</ns0:f>
        <ns0:v/>
      </ns0:c>
      <ns0:c r="G541">
        <ns0:f>IFERROR(IF(ISNUMBER($A541),IF(AND(AH!$P$10=1,AH!$P$12=1,$A541=TODAY()),IF(AND(AH!$P$10=1,AH!$P$12=1,$A541=TODAY()),TODAY(),NA()),IF(AH!$P$10=1,INDEX('Live History'!$G$5:$G$3004,MATCH($A541,'Live History'!$G$5:$G$3004,1)),INDEX('AH History'!$F$1:$F$18046,AH!$P$7+536))),NA()),NA())</ns0:f>
        <ns0:v/>
      </ns0:c>
      <ns0:c r="H541">
        <ns0:f>IFERROR(IF(AND(AH!$E$4="Bloomberg",AH!$P$10=1,ISNUMBER($A541),$A541&lt;=AH!$P$17),AH!$P$7-1+MATCH($A541,INDEX('AH History'!$A$1:$A$18046,AH!$P$7):INDEX('AH History'!$A$1:$A$18046,AH!$P$7+AH!$P$8-1),0),0),0)</ns0:f>
        <ns0:v/>
      </ns0:c>
      <ns0:c r="I541">
        <ns0:f>IF($H541=0,0,IFERROR(IF(AND(ABS($C541-INDEX('AH History'!$B$1:$B$18046,$H541))&lt;=MAX(0.005,ABS(INDEX('AH History'!$B$1:$B$18046,$H541))*0.00005),ABS($D541-INDEX('AH History'!$C$1:$C$18046,$H541))&lt;=MAX(0.005,ABS(INDEX('AH History'!$C$1:$C$18046,$H541))*0.00005),ABS($E541-INDEX('AH History'!$D$1:$D$18046,$H541))&lt;=0.00005,$F541=INDEX('AH History'!$E$1:$E$18046,$H541),$G541=INDEX('AH History'!$F$1:$F$18046,$H541)),1,-1),-1))</ns0:f>
        <ns0:v/>
      </ns0:c>
    </ns0:row>
    <ns0:row r="542">
      <ns0:c r="A542" s="215">
        <ns0:f>IF(OR(AH!$P$3=0,537+1&gt;AH!$P$11,AND(AH!$E$4&lt;&gt;"Stored",AH!$P$10&lt;&gt;1)),"",IFERROR(IF(AND(AH!$P$21=1,537+1=AH!$P$11),TODAY(),IF(AH!$P$10=1,INDEX('Live History'!$A$5:$A$3004,AH!$P$13+537),INDEX('AH History'!$A$1:$A$18046,AH!$P$7+537))),""))</ns0:f>
        <ns0:v/>
      </ns0:c>
      <ns0:c r="B542" s="219">
        <ns0:f>IFERROR(IF(AND(AH!$P$9&lt;&gt;1,$C542&gt;0,$D542&gt;0,$E542&gt;0,$F542&gt;0,$G542&gt;0,$F542&lt;=$A542,$G542&lt;=$A542,$A542-$F542&lt;=10,$A542-$G542&lt;=5),$D542*$E542/$C542-1,NA()),NA())</ns0:f>
        <ns0:v/>
      </ns0:c>
      <ns0:c r="C542">
        <ns0:f>IFERROR(IF(ISNUMBER($A542),IF(AND(AH!$P$10=1,AH!$P$12=1,$A542=TODAY()),AH!$P$19,IF(AH!$P$10=1,INDEX('Live History'!$B$5:$B$3004,AH!$P$13+537),INDEX('AH History'!$B$1:$B$18046,AH!$P$7+537))),NA()),NA())</ns0:f>
        <ns0:v/>
      </ns0:c>
      <ns0:c r="D542">
        <ns0:f>IFERROR(IF(ISNUMBER($A542),IF(AND(AH!$P$10=1,AH!$P$12=1,$A542=TODAY()),AH!$P$18,IF(AH!$P$10=1,INDEX('Live History'!$E$5:$E$3004,MATCH($A542,'Live History'!$D$5:$D$3004,1)),INDEX('AH History'!$C$1:$C$18046,AH!$P$7+537))),NA()),NA())</ns0:f>
        <ns0:v/>
      </ns0:c>
      <ns0:c r="E542">
        <ns0:f>IFERROR(IF(ISNUMBER($A542),IF(AND(AH!$P$10=1,AH!$P$12=1,$A542=TODAY()),AH!$P$20,IF(AH!$P$10=1,INDEX('Live History'!$H$5:$H$3004,MATCH($A542,'Live History'!$G$5:$G$3004,1)),INDEX('AH History'!$D$1:$D$18046,AH!$P$7+537))),NA()),NA())</ns0:f>
        <ns0:v/>
      </ns0:c>
      <ns0:c r="F542">
        <ns0:f>IFERROR(IF(ISNUMBER($A542),IF(AND(AH!$P$10=1,AH!$P$12=1,$A542=TODAY()),IF(AND(AH!$P$10=1,AH!$P$12=1,$A542=TODAY()),TODAY(),NA()),IF(AH!$P$10=1,INDEX('Live History'!$D$5:$D$3004,MATCH($A542,'Live History'!$D$5:$D$3004,1)),INDEX('AH History'!$E$1:$E$18046,AH!$P$7+537))),NA()),NA())</ns0:f>
        <ns0:v/>
      </ns0:c>
      <ns0:c r="G542">
        <ns0:f>IFERROR(IF(ISNUMBER($A542),IF(AND(AH!$P$10=1,AH!$P$12=1,$A542=TODAY()),IF(AND(AH!$P$10=1,AH!$P$12=1,$A542=TODAY()),TODAY(),NA()),IF(AH!$P$10=1,INDEX('Live History'!$G$5:$G$3004,MATCH($A542,'Live History'!$G$5:$G$3004,1)),INDEX('AH History'!$F$1:$F$18046,AH!$P$7+537))),NA()),NA())</ns0:f>
        <ns0:v/>
      </ns0:c>
      <ns0:c r="H542">
        <ns0:f>IFERROR(IF(AND(AH!$E$4="Bloomberg",AH!$P$10=1,ISNUMBER($A542),$A542&lt;=AH!$P$17),AH!$P$7-1+MATCH($A542,INDEX('AH History'!$A$1:$A$18046,AH!$P$7):INDEX('AH History'!$A$1:$A$18046,AH!$P$7+AH!$P$8-1),0),0),0)</ns0:f>
        <ns0:v/>
      </ns0:c>
      <ns0:c r="I542">
        <ns0:f>IF($H542=0,0,IFERROR(IF(AND(ABS($C542-INDEX('AH History'!$B$1:$B$18046,$H542))&lt;=MAX(0.005,ABS(INDEX('AH History'!$B$1:$B$18046,$H542))*0.00005),ABS($D542-INDEX('AH History'!$C$1:$C$18046,$H542))&lt;=MAX(0.005,ABS(INDEX('AH History'!$C$1:$C$18046,$H542))*0.00005),ABS($E542-INDEX('AH History'!$D$1:$D$18046,$H542))&lt;=0.00005,$F542=INDEX('AH History'!$E$1:$E$18046,$H542),$G542=INDEX('AH History'!$F$1:$F$18046,$H542)),1,-1),-1))</ns0:f>
        <ns0:v/>
      </ns0:c>
    </ns0:row>
    <ns0:row r="543">
      <ns0:c r="A543" s="215">
        <ns0:f>IF(OR(AH!$P$3=0,538+1&gt;AH!$P$11,AND(AH!$E$4&lt;&gt;"Stored",AH!$P$10&lt;&gt;1)),"",IFERROR(IF(AND(AH!$P$21=1,538+1=AH!$P$11),TODAY(),IF(AH!$P$10=1,INDEX('Live History'!$A$5:$A$3004,AH!$P$13+538),INDEX('AH History'!$A$1:$A$18046,AH!$P$7+538))),""))</ns0:f>
        <ns0:v/>
      </ns0:c>
      <ns0:c r="B543" s="219">
        <ns0:f>IFERROR(IF(AND(AH!$P$9&lt;&gt;1,$C543&gt;0,$D543&gt;0,$E543&gt;0,$F543&gt;0,$G543&gt;0,$F543&lt;=$A543,$G543&lt;=$A543,$A543-$F543&lt;=10,$A543-$G543&lt;=5),$D543*$E543/$C543-1,NA()),NA())</ns0:f>
        <ns0:v/>
      </ns0:c>
      <ns0:c r="C543">
        <ns0:f>IFERROR(IF(ISNUMBER($A543),IF(AND(AH!$P$10=1,AH!$P$12=1,$A543=TODAY()),AH!$P$19,IF(AH!$P$10=1,INDEX('Live History'!$B$5:$B$3004,AH!$P$13+538),INDEX('AH History'!$B$1:$B$18046,AH!$P$7+538))),NA()),NA())</ns0:f>
        <ns0:v/>
      </ns0:c>
      <ns0:c r="D543">
        <ns0:f>IFERROR(IF(ISNUMBER($A543),IF(AND(AH!$P$10=1,AH!$P$12=1,$A543=TODAY()),AH!$P$18,IF(AH!$P$10=1,INDEX('Live History'!$E$5:$E$3004,MATCH($A543,'Live History'!$D$5:$D$3004,1)),INDEX('AH History'!$C$1:$C$18046,AH!$P$7+538))),NA()),NA())</ns0:f>
        <ns0:v/>
      </ns0:c>
      <ns0:c r="E543">
        <ns0:f>IFERROR(IF(ISNUMBER($A543),IF(AND(AH!$P$10=1,AH!$P$12=1,$A543=TODAY()),AH!$P$20,IF(AH!$P$10=1,INDEX('Live History'!$H$5:$H$3004,MATCH($A543,'Live History'!$G$5:$G$3004,1)),INDEX('AH History'!$D$1:$D$18046,AH!$P$7+538))),NA()),NA())</ns0:f>
        <ns0:v/>
      </ns0:c>
      <ns0:c r="F543">
        <ns0:f>IFERROR(IF(ISNUMBER($A543),IF(AND(AH!$P$10=1,AH!$P$12=1,$A543=TODAY()),IF(AND(AH!$P$10=1,AH!$P$12=1,$A543=TODAY()),TODAY(),NA()),IF(AH!$P$10=1,INDEX('Live History'!$D$5:$D$3004,MATCH($A543,'Live History'!$D$5:$D$3004,1)),INDEX('AH History'!$E$1:$E$18046,AH!$P$7+538))),NA()),NA())</ns0:f>
        <ns0:v/>
      </ns0:c>
      <ns0:c r="G543">
        <ns0:f>IFERROR(IF(ISNUMBER($A543),IF(AND(AH!$P$10=1,AH!$P$12=1,$A543=TODAY()),IF(AND(AH!$P$10=1,AH!$P$12=1,$A543=TODAY()),TODAY(),NA()),IF(AH!$P$10=1,INDEX('Live History'!$G$5:$G$3004,MATCH($A543,'Live History'!$G$5:$G$3004,1)),INDEX('AH History'!$F$1:$F$18046,AH!$P$7+538))),NA()),NA())</ns0:f>
        <ns0:v/>
      </ns0:c>
      <ns0:c r="H543">
        <ns0:f>IFERROR(IF(AND(AH!$E$4="Bloomberg",AH!$P$10=1,ISNUMBER($A543),$A543&lt;=AH!$P$17),AH!$P$7-1+MATCH($A543,INDEX('AH History'!$A$1:$A$18046,AH!$P$7):INDEX('AH History'!$A$1:$A$18046,AH!$P$7+AH!$P$8-1),0),0),0)</ns0:f>
        <ns0:v/>
      </ns0:c>
      <ns0:c r="I543">
        <ns0:f>IF($H543=0,0,IFERROR(IF(AND(ABS($C543-INDEX('AH History'!$B$1:$B$18046,$H543))&lt;=MAX(0.005,ABS(INDEX('AH History'!$B$1:$B$18046,$H543))*0.00005),ABS($D543-INDEX('AH History'!$C$1:$C$18046,$H543))&lt;=MAX(0.005,ABS(INDEX('AH History'!$C$1:$C$18046,$H543))*0.00005),ABS($E543-INDEX('AH History'!$D$1:$D$18046,$H543))&lt;=0.00005,$F543=INDEX('AH History'!$E$1:$E$18046,$H543),$G543=INDEX('AH History'!$F$1:$F$18046,$H543)),1,-1),-1))</ns0:f>
        <ns0:v/>
      </ns0:c>
    </ns0:row>
    <ns0:row r="544">
      <ns0:c r="A544" s="215">
        <ns0:f>IF(OR(AH!$P$3=0,539+1&gt;AH!$P$11,AND(AH!$E$4&lt;&gt;"Stored",AH!$P$10&lt;&gt;1)),"",IFERROR(IF(AND(AH!$P$21=1,539+1=AH!$P$11),TODAY(),IF(AH!$P$10=1,INDEX('Live History'!$A$5:$A$3004,AH!$P$13+539),INDEX('AH History'!$A$1:$A$18046,AH!$P$7+539))),""))</ns0:f>
        <ns0:v/>
      </ns0:c>
      <ns0:c r="B544" s="219">
        <ns0:f>IFERROR(IF(AND(AH!$P$9&lt;&gt;1,$C544&gt;0,$D544&gt;0,$E544&gt;0,$F544&gt;0,$G544&gt;0,$F544&lt;=$A544,$G544&lt;=$A544,$A544-$F544&lt;=10,$A544-$G544&lt;=5),$D544*$E544/$C544-1,NA()),NA())</ns0:f>
        <ns0:v/>
      </ns0:c>
      <ns0:c r="C544">
        <ns0:f>IFERROR(IF(ISNUMBER($A544),IF(AND(AH!$P$10=1,AH!$P$12=1,$A544=TODAY()),AH!$P$19,IF(AH!$P$10=1,INDEX('Live History'!$B$5:$B$3004,AH!$P$13+539),INDEX('AH History'!$B$1:$B$18046,AH!$P$7+539))),NA()),NA())</ns0:f>
        <ns0:v/>
      </ns0:c>
      <ns0:c r="D544">
        <ns0:f>IFERROR(IF(ISNUMBER($A544),IF(AND(AH!$P$10=1,AH!$P$12=1,$A544=TODAY()),AH!$P$18,IF(AH!$P$10=1,INDEX('Live History'!$E$5:$E$3004,MATCH($A544,'Live History'!$D$5:$D$3004,1)),INDEX('AH History'!$C$1:$C$18046,AH!$P$7+539))),NA()),NA())</ns0:f>
        <ns0:v/>
      </ns0:c>
      <ns0:c r="E544">
        <ns0:f>IFERROR(IF(ISNUMBER($A544),IF(AND(AH!$P$10=1,AH!$P$12=1,$A544=TODAY()),AH!$P$20,IF(AH!$P$10=1,INDEX('Live History'!$H$5:$H$3004,MATCH($A544,'Live History'!$G$5:$G$3004,1)),INDEX('AH History'!$D$1:$D$18046,AH!$P$7+539))),NA()),NA())</ns0:f>
        <ns0:v/>
      </ns0:c>
      <ns0:c r="F544">
        <ns0:f>IFERROR(IF(ISNUMBER($A544),IF(AND(AH!$P$10=1,AH!$P$12=1,$A544=TODAY()),IF(AND(AH!$P$10=1,AH!$P$12=1,$A544=TODAY()),TODAY(),NA()),IF(AH!$P$10=1,INDEX('Live History'!$D$5:$D$3004,MATCH($A544,'Live History'!$D$5:$D$3004,1)),INDEX('AH History'!$E$1:$E$18046,AH!$P$7+539))),NA()),NA())</ns0:f>
        <ns0:v/>
      </ns0:c>
      <ns0:c r="G544">
        <ns0:f>IFERROR(IF(ISNUMBER($A544),IF(AND(AH!$P$10=1,AH!$P$12=1,$A544=TODAY()),IF(AND(AH!$P$10=1,AH!$P$12=1,$A544=TODAY()),TODAY(),NA()),IF(AH!$P$10=1,INDEX('Live History'!$G$5:$G$3004,MATCH($A544,'Live History'!$G$5:$G$3004,1)),INDEX('AH History'!$F$1:$F$18046,AH!$P$7+539))),NA()),NA())</ns0:f>
        <ns0:v/>
      </ns0:c>
      <ns0:c r="H544">
        <ns0:f>IFERROR(IF(AND(AH!$E$4="Bloomberg",AH!$P$10=1,ISNUMBER($A544),$A544&lt;=AH!$P$17),AH!$P$7-1+MATCH($A544,INDEX('AH History'!$A$1:$A$18046,AH!$P$7):INDEX('AH History'!$A$1:$A$18046,AH!$P$7+AH!$P$8-1),0),0),0)</ns0:f>
        <ns0:v/>
      </ns0:c>
      <ns0:c r="I544">
        <ns0:f>IF($H544=0,0,IFERROR(IF(AND(ABS($C544-INDEX('AH History'!$B$1:$B$18046,$H544))&lt;=MAX(0.005,ABS(INDEX('AH History'!$B$1:$B$18046,$H544))*0.00005),ABS($D544-INDEX('AH History'!$C$1:$C$18046,$H544))&lt;=MAX(0.005,ABS(INDEX('AH History'!$C$1:$C$18046,$H544))*0.00005),ABS($E544-INDEX('AH History'!$D$1:$D$18046,$H544))&lt;=0.00005,$F544=INDEX('AH History'!$E$1:$E$18046,$H544),$G544=INDEX('AH History'!$F$1:$F$18046,$H544)),1,-1),-1))</ns0:f>
        <ns0:v/>
      </ns0:c>
    </ns0:row>
    <ns0:row r="545">
      <ns0:c r="A545" s="215">
        <ns0:f>IF(OR(AH!$P$3=0,540+1&gt;AH!$P$11,AND(AH!$E$4&lt;&gt;"Stored",AH!$P$10&lt;&gt;1)),"",IFERROR(IF(AND(AH!$P$21=1,540+1=AH!$P$11),TODAY(),IF(AH!$P$10=1,INDEX('Live History'!$A$5:$A$3004,AH!$P$13+540),INDEX('AH History'!$A$1:$A$18046,AH!$P$7+540))),""))</ns0:f>
        <ns0:v/>
      </ns0:c>
      <ns0:c r="B545" s="219">
        <ns0:f>IFERROR(IF(AND(AH!$P$9&lt;&gt;1,$C545&gt;0,$D545&gt;0,$E545&gt;0,$F545&gt;0,$G545&gt;0,$F545&lt;=$A545,$G545&lt;=$A545,$A545-$F545&lt;=10,$A545-$G545&lt;=5),$D545*$E545/$C545-1,NA()),NA())</ns0:f>
        <ns0:v/>
      </ns0:c>
      <ns0:c r="C545">
        <ns0:f>IFERROR(IF(ISNUMBER($A545),IF(AND(AH!$P$10=1,AH!$P$12=1,$A545=TODAY()),AH!$P$19,IF(AH!$P$10=1,INDEX('Live History'!$B$5:$B$3004,AH!$P$13+540),INDEX('AH History'!$B$1:$B$18046,AH!$P$7+540))),NA()),NA())</ns0:f>
        <ns0:v/>
      </ns0:c>
      <ns0:c r="D545">
        <ns0:f>IFERROR(IF(ISNUMBER($A545),IF(AND(AH!$P$10=1,AH!$P$12=1,$A545=TODAY()),AH!$P$18,IF(AH!$P$10=1,INDEX('Live History'!$E$5:$E$3004,MATCH($A545,'Live History'!$D$5:$D$3004,1)),INDEX('AH History'!$C$1:$C$18046,AH!$P$7+540))),NA()),NA())</ns0:f>
        <ns0:v/>
      </ns0:c>
      <ns0:c r="E545">
        <ns0:f>IFERROR(IF(ISNUMBER($A545),IF(AND(AH!$P$10=1,AH!$P$12=1,$A545=TODAY()),AH!$P$20,IF(AH!$P$10=1,INDEX('Live History'!$H$5:$H$3004,MATCH($A545,'Live History'!$G$5:$G$3004,1)),INDEX('AH History'!$D$1:$D$18046,AH!$P$7+540))),NA()),NA())</ns0:f>
        <ns0:v/>
      </ns0:c>
      <ns0:c r="F545">
        <ns0:f>IFERROR(IF(ISNUMBER($A545),IF(AND(AH!$P$10=1,AH!$P$12=1,$A545=TODAY()),IF(AND(AH!$P$10=1,AH!$P$12=1,$A545=TODAY()),TODAY(),NA()),IF(AH!$P$10=1,INDEX('Live History'!$D$5:$D$3004,MATCH($A545,'Live History'!$D$5:$D$3004,1)),INDEX('AH History'!$E$1:$E$18046,AH!$P$7+540))),NA()),NA())</ns0:f>
        <ns0:v/>
      </ns0:c>
      <ns0:c r="G545">
        <ns0:f>IFERROR(IF(ISNUMBER($A545),IF(AND(AH!$P$10=1,AH!$P$12=1,$A545=TODAY()),IF(AND(AH!$P$10=1,AH!$P$12=1,$A545=TODAY()),TODAY(),NA()),IF(AH!$P$10=1,INDEX('Live History'!$G$5:$G$3004,MATCH($A545,'Live History'!$G$5:$G$3004,1)),INDEX('AH History'!$F$1:$F$18046,AH!$P$7+540))),NA()),NA())</ns0:f>
        <ns0:v/>
      </ns0:c>
      <ns0:c r="H545">
        <ns0:f>IFERROR(IF(AND(AH!$E$4="Bloomberg",AH!$P$10=1,ISNUMBER($A545),$A545&lt;=AH!$P$17),AH!$P$7-1+MATCH($A545,INDEX('AH History'!$A$1:$A$18046,AH!$P$7):INDEX('AH History'!$A$1:$A$18046,AH!$P$7+AH!$P$8-1),0),0),0)</ns0:f>
        <ns0:v/>
      </ns0:c>
      <ns0:c r="I545">
        <ns0:f>IF($H545=0,0,IFERROR(IF(AND(ABS($C545-INDEX('AH History'!$B$1:$B$18046,$H545))&lt;=MAX(0.005,ABS(INDEX('AH History'!$B$1:$B$18046,$H545))*0.00005),ABS($D545-INDEX('AH History'!$C$1:$C$18046,$H545))&lt;=MAX(0.005,ABS(INDEX('AH History'!$C$1:$C$18046,$H545))*0.00005),ABS($E545-INDEX('AH History'!$D$1:$D$18046,$H545))&lt;=0.00005,$F545=INDEX('AH History'!$E$1:$E$18046,$H545),$G545=INDEX('AH History'!$F$1:$F$18046,$H545)),1,-1),-1))</ns0:f>
        <ns0:v/>
      </ns0:c>
    </ns0:row>
    <ns0:row r="546">
      <ns0:c r="A546" s="215">
        <ns0:f>IF(OR(AH!$P$3=0,541+1&gt;AH!$P$11,AND(AH!$E$4&lt;&gt;"Stored",AH!$P$10&lt;&gt;1)),"",IFERROR(IF(AND(AH!$P$21=1,541+1=AH!$P$11),TODAY(),IF(AH!$P$10=1,INDEX('Live History'!$A$5:$A$3004,AH!$P$13+541),INDEX('AH History'!$A$1:$A$18046,AH!$P$7+541))),""))</ns0:f>
        <ns0:v/>
      </ns0:c>
      <ns0:c r="B546" s="219">
        <ns0:f>IFERROR(IF(AND(AH!$P$9&lt;&gt;1,$C546&gt;0,$D546&gt;0,$E546&gt;0,$F546&gt;0,$G546&gt;0,$F546&lt;=$A546,$G546&lt;=$A546,$A546-$F546&lt;=10,$A546-$G546&lt;=5),$D546*$E546/$C546-1,NA()),NA())</ns0:f>
        <ns0:v/>
      </ns0:c>
      <ns0:c r="C546">
        <ns0:f>IFERROR(IF(ISNUMBER($A546),IF(AND(AH!$P$10=1,AH!$P$12=1,$A546=TODAY()),AH!$P$19,IF(AH!$P$10=1,INDEX('Live History'!$B$5:$B$3004,AH!$P$13+541),INDEX('AH History'!$B$1:$B$18046,AH!$P$7+541))),NA()),NA())</ns0:f>
        <ns0:v/>
      </ns0:c>
      <ns0:c r="D546">
        <ns0:f>IFERROR(IF(ISNUMBER($A546),IF(AND(AH!$P$10=1,AH!$P$12=1,$A546=TODAY()),AH!$P$18,IF(AH!$P$10=1,INDEX('Live History'!$E$5:$E$3004,MATCH($A546,'Live History'!$D$5:$D$3004,1)),INDEX('AH History'!$C$1:$C$18046,AH!$P$7+541))),NA()),NA())</ns0:f>
        <ns0:v/>
      </ns0:c>
      <ns0:c r="E546">
        <ns0:f>IFERROR(IF(ISNUMBER($A546),IF(AND(AH!$P$10=1,AH!$P$12=1,$A546=TODAY()),AH!$P$20,IF(AH!$P$10=1,INDEX('Live History'!$H$5:$H$3004,MATCH($A546,'Live History'!$G$5:$G$3004,1)),INDEX('AH History'!$D$1:$D$18046,AH!$P$7+541))),NA()),NA())</ns0:f>
        <ns0:v/>
      </ns0:c>
      <ns0:c r="F546">
        <ns0:f>IFERROR(IF(ISNUMBER($A546),IF(AND(AH!$P$10=1,AH!$P$12=1,$A546=TODAY()),IF(AND(AH!$P$10=1,AH!$P$12=1,$A546=TODAY()),TODAY(),NA()),IF(AH!$P$10=1,INDEX('Live History'!$D$5:$D$3004,MATCH($A546,'Live History'!$D$5:$D$3004,1)),INDEX('AH History'!$E$1:$E$18046,AH!$P$7+541))),NA()),NA())</ns0:f>
        <ns0:v/>
      </ns0:c>
      <ns0:c r="G546">
        <ns0:f>IFERROR(IF(ISNUMBER($A546),IF(AND(AH!$P$10=1,AH!$P$12=1,$A546=TODAY()),IF(AND(AH!$P$10=1,AH!$P$12=1,$A546=TODAY()),TODAY(),NA()),IF(AH!$P$10=1,INDEX('Live History'!$G$5:$G$3004,MATCH($A546,'Live History'!$G$5:$G$3004,1)),INDEX('AH History'!$F$1:$F$18046,AH!$P$7+541))),NA()),NA())</ns0:f>
        <ns0:v/>
      </ns0:c>
      <ns0:c r="H546">
        <ns0:f>IFERROR(IF(AND(AH!$E$4="Bloomberg",AH!$P$10=1,ISNUMBER($A546),$A546&lt;=AH!$P$17),AH!$P$7-1+MATCH($A546,INDEX('AH History'!$A$1:$A$18046,AH!$P$7):INDEX('AH History'!$A$1:$A$18046,AH!$P$7+AH!$P$8-1),0),0),0)</ns0:f>
        <ns0:v/>
      </ns0:c>
      <ns0:c r="I546">
        <ns0:f>IF($H546=0,0,IFERROR(IF(AND(ABS($C546-INDEX('AH History'!$B$1:$B$18046,$H546))&lt;=MAX(0.005,ABS(INDEX('AH History'!$B$1:$B$18046,$H546))*0.00005),ABS($D546-INDEX('AH History'!$C$1:$C$18046,$H546))&lt;=MAX(0.005,ABS(INDEX('AH History'!$C$1:$C$18046,$H546))*0.00005),ABS($E546-INDEX('AH History'!$D$1:$D$18046,$H546))&lt;=0.00005,$F546=INDEX('AH History'!$E$1:$E$18046,$H546),$G546=INDEX('AH History'!$F$1:$F$18046,$H546)),1,-1),-1))</ns0:f>
        <ns0:v/>
      </ns0:c>
    </ns0:row>
    <ns0:row r="547">
      <ns0:c r="A547" s="215">
        <ns0:f>IF(OR(AH!$P$3=0,542+1&gt;AH!$P$11,AND(AH!$E$4&lt;&gt;"Stored",AH!$P$10&lt;&gt;1)),"",IFERROR(IF(AND(AH!$P$21=1,542+1=AH!$P$11),TODAY(),IF(AH!$P$10=1,INDEX('Live History'!$A$5:$A$3004,AH!$P$13+542),INDEX('AH History'!$A$1:$A$18046,AH!$P$7+542))),""))</ns0:f>
        <ns0:v/>
      </ns0:c>
      <ns0:c r="B547" s="219">
        <ns0:f>IFERROR(IF(AND(AH!$P$9&lt;&gt;1,$C547&gt;0,$D547&gt;0,$E547&gt;0,$F547&gt;0,$G547&gt;0,$F547&lt;=$A547,$G547&lt;=$A547,$A547-$F547&lt;=10,$A547-$G547&lt;=5),$D547*$E547/$C547-1,NA()),NA())</ns0:f>
        <ns0:v/>
      </ns0:c>
      <ns0:c r="C547">
        <ns0:f>IFERROR(IF(ISNUMBER($A547),IF(AND(AH!$P$10=1,AH!$P$12=1,$A547=TODAY()),AH!$P$19,IF(AH!$P$10=1,INDEX('Live History'!$B$5:$B$3004,AH!$P$13+542),INDEX('AH History'!$B$1:$B$18046,AH!$P$7+542))),NA()),NA())</ns0:f>
        <ns0:v/>
      </ns0:c>
      <ns0:c r="D547">
        <ns0:f>IFERROR(IF(ISNUMBER($A547),IF(AND(AH!$P$10=1,AH!$P$12=1,$A547=TODAY()),AH!$P$18,IF(AH!$P$10=1,INDEX('Live History'!$E$5:$E$3004,MATCH($A547,'Live History'!$D$5:$D$3004,1)),INDEX('AH History'!$C$1:$C$18046,AH!$P$7+542))),NA()),NA())</ns0:f>
        <ns0:v/>
      </ns0:c>
      <ns0:c r="E547">
        <ns0:f>IFERROR(IF(ISNUMBER($A547),IF(AND(AH!$P$10=1,AH!$P$12=1,$A547=TODAY()),AH!$P$20,IF(AH!$P$10=1,INDEX('Live History'!$H$5:$H$3004,MATCH($A547,'Live History'!$G$5:$G$3004,1)),INDEX('AH History'!$D$1:$D$18046,AH!$P$7+542))),NA()),NA())</ns0:f>
        <ns0:v/>
      </ns0:c>
      <ns0:c r="F547">
        <ns0:f>IFERROR(IF(ISNUMBER($A547),IF(AND(AH!$P$10=1,AH!$P$12=1,$A547=TODAY()),IF(AND(AH!$P$10=1,AH!$P$12=1,$A547=TODAY()),TODAY(),NA()),IF(AH!$P$10=1,INDEX('Live History'!$D$5:$D$3004,MATCH($A547,'Live History'!$D$5:$D$3004,1)),INDEX('AH History'!$E$1:$E$18046,AH!$P$7+542))),NA()),NA())</ns0:f>
        <ns0:v/>
      </ns0:c>
      <ns0:c r="G547">
        <ns0:f>IFERROR(IF(ISNUMBER($A547),IF(AND(AH!$P$10=1,AH!$P$12=1,$A547=TODAY()),IF(AND(AH!$P$10=1,AH!$P$12=1,$A547=TODAY()),TODAY(),NA()),IF(AH!$P$10=1,INDEX('Live History'!$G$5:$G$3004,MATCH($A547,'Live History'!$G$5:$G$3004,1)),INDEX('AH History'!$F$1:$F$18046,AH!$P$7+542))),NA()),NA())</ns0:f>
        <ns0:v/>
      </ns0:c>
      <ns0:c r="H547">
        <ns0:f>IFERROR(IF(AND(AH!$E$4="Bloomberg",AH!$P$10=1,ISNUMBER($A547),$A547&lt;=AH!$P$17),AH!$P$7-1+MATCH($A547,INDEX('AH History'!$A$1:$A$18046,AH!$P$7):INDEX('AH History'!$A$1:$A$18046,AH!$P$7+AH!$P$8-1),0),0),0)</ns0:f>
        <ns0:v/>
      </ns0:c>
      <ns0:c r="I547">
        <ns0:f>IF($H547=0,0,IFERROR(IF(AND(ABS($C547-INDEX('AH History'!$B$1:$B$18046,$H547))&lt;=MAX(0.005,ABS(INDEX('AH History'!$B$1:$B$18046,$H547))*0.00005),ABS($D547-INDEX('AH History'!$C$1:$C$18046,$H547))&lt;=MAX(0.005,ABS(INDEX('AH History'!$C$1:$C$18046,$H547))*0.00005),ABS($E547-INDEX('AH History'!$D$1:$D$18046,$H547))&lt;=0.00005,$F547=INDEX('AH History'!$E$1:$E$18046,$H547),$G547=INDEX('AH History'!$F$1:$F$18046,$H547)),1,-1),-1))</ns0:f>
        <ns0:v/>
      </ns0:c>
    </ns0:row>
    <ns0:row r="548">
      <ns0:c r="A548" s="215">
        <ns0:f>IF(OR(AH!$P$3=0,543+1&gt;AH!$P$11,AND(AH!$E$4&lt;&gt;"Stored",AH!$P$10&lt;&gt;1)),"",IFERROR(IF(AND(AH!$P$21=1,543+1=AH!$P$11),TODAY(),IF(AH!$P$10=1,INDEX('Live History'!$A$5:$A$3004,AH!$P$13+543),INDEX('AH History'!$A$1:$A$18046,AH!$P$7+543))),""))</ns0:f>
        <ns0:v/>
      </ns0:c>
      <ns0:c r="B548" s="219">
        <ns0:f>IFERROR(IF(AND(AH!$P$9&lt;&gt;1,$C548&gt;0,$D548&gt;0,$E548&gt;0,$F548&gt;0,$G548&gt;0,$F548&lt;=$A548,$G548&lt;=$A548,$A548-$F548&lt;=10,$A548-$G548&lt;=5),$D548*$E548/$C548-1,NA()),NA())</ns0:f>
        <ns0:v/>
      </ns0:c>
      <ns0:c r="C548">
        <ns0:f>IFERROR(IF(ISNUMBER($A548),IF(AND(AH!$P$10=1,AH!$P$12=1,$A548=TODAY()),AH!$P$19,IF(AH!$P$10=1,INDEX('Live History'!$B$5:$B$3004,AH!$P$13+543),INDEX('AH History'!$B$1:$B$18046,AH!$P$7+543))),NA()),NA())</ns0:f>
        <ns0:v/>
      </ns0:c>
      <ns0:c r="D548">
        <ns0:f>IFERROR(IF(ISNUMBER($A548),IF(AND(AH!$P$10=1,AH!$P$12=1,$A548=TODAY()),AH!$P$18,IF(AH!$P$10=1,INDEX('Live History'!$E$5:$E$3004,MATCH($A548,'Live History'!$D$5:$D$3004,1)),INDEX('AH History'!$C$1:$C$18046,AH!$P$7+543))),NA()),NA())</ns0:f>
        <ns0:v/>
      </ns0:c>
      <ns0:c r="E548">
        <ns0:f>IFERROR(IF(ISNUMBER($A548),IF(AND(AH!$P$10=1,AH!$P$12=1,$A548=TODAY()),AH!$P$20,IF(AH!$P$10=1,INDEX('Live History'!$H$5:$H$3004,MATCH($A548,'Live History'!$G$5:$G$3004,1)),INDEX('AH History'!$D$1:$D$18046,AH!$P$7+543))),NA()),NA())</ns0:f>
        <ns0:v/>
      </ns0:c>
      <ns0:c r="F548">
        <ns0:f>IFERROR(IF(ISNUMBER($A548),IF(AND(AH!$P$10=1,AH!$P$12=1,$A548=TODAY()),IF(AND(AH!$P$10=1,AH!$P$12=1,$A548=TODAY()),TODAY(),NA()),IF(AH!$P$10=1,INDEX('Live History'!$D$5:$D$3004,MATCH($A548,'Live History'!$D$5:$D$3004,1)),INDEX('AH History'!$E$1:$E$18046,AH!$P$7+543))),NA()),NA())</ns0:f>
        <ns0:v/>
      </ns0:c>
      <ns0:c r="G548">
        <ns0:f>IFERROR(IF(ISNUMBER($A548),IF(AND(AH!$P$10=1,AH!$P$12=1,$A548=TODAY()),IF(AND(AH!$P$10=1,AH!$P$12=1,$A548=TODAY()),TODAY(),NA()),IF(AH!$P$10=1,INDEX('Live History'!$G$5:$G$3004,MATCH($A548,'Live History'!$G$5:$G$3004,1)),INDEX('AH History'!$F$1:$F$18046,AH!$P$7+543))),NA()),NA())</ns0:f>
        <ns0:v/>
      </ns0:c>
      <ns0:c r="H548">
        <ns0:f>IFERROR(IF(AND(AH!$E$4="Bloomberg",AH!$P$10=1,ISNUMBER($A548),$A548&lt;=AH!$P$17),AH!$P$7-1+MATCH($A548,INDEX('AH History'!$A$1:$A$18046,AH!$P$7):INDEX('AH History'!$A$1:$A$18046,AH!$P$7+AH!$P$8-1),0),0),0)</ns0:f>
        <ns0:v/>
      </ns0:c>
      <ns0:c r="I548">
        <ns0:f>IF($H548=0,0,IFERROR(IF(AND(ABS($C548-INDEX('AH History'!$B$1:$B$18046,$H548))&lt;=MAX(0.005,ABS(INDEX('AH History'!$B$1:$B$18046,$H548))*0.00005),ABS($D548-INDEX('AH History'!$C$1:$C$18046,$H548))&lt;=MAX(0.005,ABS(INDEX('AH History'!$C$1:$C$18046,$H548))*0.00005),ABS($E548-INDEX('AH History'!$D$1:$D$18046,$H548))&lt;=0.00005,$F548=INDEX('AH History'!$E$1:$E$18046,$H548),$G548=INDEX('AH History'!$F$1:$F$18046,$H548)),1,-1),-1))</ns0:f>
        <ns0:v/>
      </ns0:c>
    </ns0:row>
    <ns0:row r="549">
      <ns0:c r="A549" s="215">
        <ns0:f>IF(OR(AH!$P$3=0,544+1&gt;AH!$P$11,AND(AH!$E$4&lt;&gt;"Stored",AH!$P$10&lt;&gt;1)),"",IFERROR(IF(AND(AH!$P$21=1,544+1=AH!$P$11),TODAY(),IF(AH!$P$10=1,INDEX('Live History'!$A$5:$A$3004,AH!$P$13+544),INDEX('AH History'!$A$1:$A$18046,AH!$P$7+544))),""))</ns0:f>
        <ns0:v/>
      </ns0:c>
      <ns0:c r="B549" s="219">
        <ns0:f>IFERROR(IF(AND(AH!$P$9&lt;&gt;1,$C549&gt;0,$D549&gt;0,$E549&gt;0,$F549&gt;0,$G549&gt;0,$F549&lt;=$A549,$G549&lt;=$A549,$A549-$F549&lt;=10,$A549-$G549&lt;=5),$D549*$E549/$C549-1,NA()),NA())</ns0:f>
        <ns0:v/>
      </ns0:c>
      <ns0:c r="C549">
        <ns0:f>IFERROR(IF(ISNUMBER($A549),IF(AND(AH!$P$10=1,AH!$P$12=1,$A549=TODAY()),AH!$P$19,IF(AH!$P$10=1,INDEX('Live History'!$B$5:$B$3004,AH!$P$13+544),INDEX('AH History'!$B$1:$B$18046,AH!$P$7+544))),NA()),NA())</ns0:f>
        <ns0:v/>
      </ns0:c>
      <ns0:c r="D549">
        <ns0:f>IFERROR(IF(ISNUMBER($A549),IF(AND(AH!$P$10=1,AH!$P$12=1,$A549=TODAY()),AH!$P$18,IF(AH!$P$10=1,INDEX('Live History'!$E$5:$E$3004,MATCH($A549,'Live History'!$D$5:$D$3004,1)),INDEX('AH History'!$C$1:$C$18046,AH!$P$7+544))),NA()),NA())</ns0:f>
        <ns0:v/>
      </ns0:c>
      <ns0:c r="E549">
        <ns0:f>IFERROR(IF(ISNUMBER($A549),IF(AND(AH!$P$10=1,AH!$P$12=1,$A549=TODAY()),AH!$P$20,IF(AH!$P$10=1,INDEX('Live History'!$H$5:$H$3004,MATCH($A549,'Live History'!$G$5:$G$3004,1)),INDEX('AH History'!$D$1:$D$18046,AH!$P$7+544))),NA()),NA())</ns0:f>
        <ns0:v/>
      </ns0:c>
      <ns0:c r="F549">
        <ns0:f>IFERROR(IF(ISNUMBER($A549),IF(AND(AH!$P$10=1,AH!$P$12=1,$A549=TODAY()),IF(AND(AH!$P$10=1,AH!$P$12=1,$A549=TODAY()),TODAY(),NA()),IF(AH!$P$10=1,INDEX('Live History'!$D$5:$D$3004,MATCH($A549,'Live History'!$D$5:$D$3004,1)),INDEX('AH History'!$E$1:$E$18046,AH!$P$7+544))),NA()),NA())</ns0:f>
        <ns0:v/>
      </ns0:c>
      <ns0:c r="G549">
        <ns0:f>IFERROR(IF(ISNUMBER($A549),IF(AND(AH!$P$10=1,AH!$P$12=1,$A549=TODAY()),IF(AND(AH!$P$10=1,AH!$P$12=1,$A549=TODAY()),TODAY(),NA()),IF(AH!$P$10=1,INDEX('Live History'!$G$5:$G$3004,MATCH($A549,'Live History'!$G$5:$G$3004,1)),INDEX('AH History'!$F$1:$F$18046,AH!$P$7+544))),NA()),NA())</ns0:f>
        <ns0:v/>
      </ns0:c>
      <ns0:c r="H549">
        <ns0:f>IFERROR(IF(AND(AH!$E$4="Bloomberg",AH!$P$10=1,ISNUMBER($A549),$A549&lt;=AH!$P$17),AH!$P$7-1+MATCH($A549,INDEX('AH History'!$A$1:$A$18046,AH!$P$7):INDEX('AH History'!$A$1:$A$18046,AH!$P$7+AH!$P$8-1),0),0),0)</ns0:f>
        <ns0:v/>
      </ns0:c>
      <ns0:c r="I549">
        <ns0:f>IF($H549=0,0,IFERROR(IF(AND(ABS($C549-INDEX('AH History'!$B$1:$B$18046,$H549))&lt;=MAX(0.005,ABS(INDEX('AH History'!$B$1:$B$18046,$H549))*0.00005),ABS($D549-INDEX('AH History'!$C$1:$C$18046,$H549))&lt;=MAX(0.005,ABS(INDEX('AH History'!$C$1:$C$18046,$H549))*0.00005),ABS($E549-INDEX('AH History'!$D$1:$D$18046,$H549))&lt;=0.00005,$F549=INDEX('AH History'!$E$1:$E$18046,$H549),$G549=INDEX('AH History'!$F$1:$F$18046,$H549)),1,-1),-1))</ns0:f>
        <ns0:v/>
      </ns0:c>
    </ns0:row>
    <ns0:row r="550">
      <ns0:c r="A550" s="215">
        <ns0:f>IF(OR(AH!$P$3=0,545+1&gt;AH!$P$11,AND(AH!$E$4&lt;&gt;"Stored",AH!$P$10&lt;&gt;1)),"",IFERROR(IF(AND(AH!$P$21=1,545+1=AH!$P$11),TODAY(),IF(AH!$P$10=1,INDEX('Live History'!$A$5:$A$3004,AH!$P$13+545),INDEX('AH History'!$A$1:$A$18046,AH!$P$7+545))),""))</ns0:f>
        <ns0:v/>
      </ns0:c>
      <ns0:c r="B550" s="219">
        <ns0:f>IFERROR(IF(AND(AH!$P$9&lt;&gt;1,$C550&gt;0,$D550&gt;0,$E550&gt;0,$F550&gt;0,$G550&gt;0,$F550&lt;=$A550,$G550&lt;=$A550,$A550-$F550&lt;=10,$A550-$G550&lt;=5),$D550*$E550/$C550-1,NA()),NA())</ns0:f>
        <ns0:v/>
      </ns0:c>
      <ns0:c r="C550">
        <ns0:f>IFERROR(IF(ISNUMBER($A550),IF(AND(AH!$P$10=1,AH!$P$12=1,$A550=TODAY()),AH!$P$19,IF(AH!$P$10=1,INDEX('Live History'!$B$5:$B$3004,AH!$P$13+545),INDEX('AH History'!$B$1:$B$18046,AH!$P$7+545))),NA()),NA())</ns0:f>
        <ns0:v/>
      </ns0:c>
      <ns0:c r="D550">
        <ns0:f>IFERROR(IF(ISNUMBER($A550),IF(AND(AH!$P$10=1,AH!$P$12=1,$A550=TODAY()),AH!$P$18,IF(AH!$P$10=1,INDEX('Live History'!$E$5:$E$3004,MATCH($A550,'Live History'!$D$5:$D$3004,1)),INDEX('AH History'!$C$1:$C$18046,AH!$P$7+545))),NA()),NA())</ns0:f>
        <ns0:v/>
      </ns0:c>
      <ns0:c r="E550">
        <ns0:f>IFERROR(IF(ISNUMBER($A550),IF(AND(AH!$P$10=1,AH!$P$12=1,$A550=TODAY()),AH!$P$20,IF(AH!$P$10=1,INDEX('Live History'!$H$5:$H$3004,MATCH($A550,'Live History'!$G$5:$G$3004,1)),INDEX('AH History'!$D$1:$D$18046,AH!$P$7+545))),NA()),NA())</ns0:f>
        <ns0:v/>
      </ns0:c>
      <ns0:c r="F550">
        <ns0:f>IFERROR(IF(ISNUMBER($A550),IF(AND(AH!$P$10=1,AH!$P$12=1,$A550=TODAY()),IF(AND(AH!$P$10=1,AH!$P$12=1,$A550=TODAY()),TODAY(),NA()),IF(AH!$P$10=1,INDEX('Live History'!$D$5:$D$3004,MATCH($A550,'Live History'!$D$5:$D$3004,1)),INDEX('AH History'!$E$1:$E$18046,AH!$P$7+545))),NA()),NA())</ns0:f>
        <ns0:v/>
      </ns0:c>
      <ns0:c r="G550">
        <ns0:f>IFERROR(IF(ISNUMBER($A550),IF(AND(AH!$P$10=1,AH!$P$12=1,$A550=TODAY()),IF(AND(AH!$P$10=1,AH!$P$12=1,$A550=TODAY()),TODAY(),NA()),IF(AH!$P$10=1,INDEX('Live History'!$G$5:$G$3004,MATCH($A550,'Live History'!$G$5:$G$3004,1)),INDEX('AH History'!$F$1:$F$18046,AH!$P$7+545))),NA()),NA())</ns0:f>
        <ns0:v/>
      </ns0:c>
      <ns0:c r="H550">
        <ns0:f>IFERROR(IF(AND(AH!$E$4="Bloomberg",AH!$P$10=1,ISNUMBER($A550),$A550&lt;=AH!$P$17),AH!$P$7-1+MATCH($A550,INDEX('AH History'!$A$1:$A$18046,AH!$P$7):INDEX('AH History'!$A$1:$A$18046,AH!$P$7+AH!$P$8-1),0),0),0)</ns0:f>
        <ns0:v/>
      </ns0:c>
      <ns0:c r="I550">
        <ns0:f>IF($H550=0,0,IFERROR(IF(AND(ABS($C550-INDEX('AH History'!$B$1:$B$18046,$H550))&lt;=MAX(0.005,ABS(INDEX('AH History'!$B$1:$B$18046,$H550))*0.00005),ABS($D550-INDEX('AH History'!$C$1:$C$18046,$H550))&lt;=MAX(0.005,ABS(INDEX('AH History'!$C$1:$C$18046,$H550))*0.00005),ABS($E550-INDEX('AH History'!$D$1:$D$18046,$H550))&lt;=0.00005,$F550=INDEX('AH History'!$E$1:$E$18046,$H550),$G550=INDEX('AH History'!$F$1:$F$18046,$H550)),1,-1),-1))</ns0:f>
        <ns0:v/>
      </ns0:c>
    </ns0:row>
    <ns0:row r="551">
      <ns0:c r="A551" s="215">
        <ns0:f>IF(OR(AH!$P$3=0,546+1&gt;AH!$P$11,AND(AH!$E$4&lt;&gt;"Stored",AH!$P$10&lt;&gt;1)),"",IFERROR(IF(AND(AH!$P$21=1,546+1=AH!$P$11),TODAY(),IF(AH!$P$10=1,INDEX('Live History'!$A$5:$A$3004,AH!$P$13+546),INDEX('AH History'!$A$1:$A$18046,AH!$P$7+546))),""))</ns0:f>
        <ns0:v/>
      </ns0:c>
      <ns0:c r="B551" s="219">
        <ns0:f>IFERROR(IF(AND(AH!$P$9&lt;&gt;1,$C551&gt;0,$D551&gt;0,$E551&gt;0,$F551&gt;0,$G551&gt;0,$F551&lt;=$A551,$G551&lt;=$A551,$A551-$F551&lt;=10,$A551-$G551&lt;=5),$D551*$E551/$C551-1,NA()),NA())</ns0:f>
        <ns0:v/>
      </ns0:c>
      <ns0:c r="C551">
        <ns0:f>IFERROR(IF(ISNUMBER($A551),IF(AND(AH!$P$10=1,AH!$P$12=1,$A551=TODAY()),AH!$P$19,IF(AH!$P$10=1,INDEX('Live History'!$B$5:$B$3004,AH!$P$13+546),INDEX('AH History'!$B$1:$B$18046,AH!$P$7+546))),NA()),NA())</ns0:f>
        <ns0:v/>
      </ns0:c>
      <ns0:c r="D551">
        <ns0:f>IFERROR(IF(ISNUMBER($A551),IF(AND(AH!$P$10=1,AH!$P$12=1,$A551=TODAY()),AH!$P$18,IF(AH!$P$10=1,INDEX('Live History'!$E$5:$E$3004,MATCH($A551,'Live History'!$D$5:$D$3004,1)),INDEX('AH History'!$C$1:$C$18046,AH!$P$7+546))),NA()),NA())</ns0:f>
        <ns0:v/>
      </ns0:c>
      <ns0:c r="E551">
        <ns0:f>IFERROR(IF(ISNUMBER($A551),IF(AND(AH!$P$10=1,AH!$P$12=1,$A551=TODAY()),AH!$P$20,IF(AH!$P$10=1,INDEX('Live History'!$H$5:$H$3004,MATCH($A551,'Live History'!$G$5:$G$3004,1)),INDEX('AH History'!$D$1:$D$18046,AH!$P$7+546))),NA()),NA())</ns0:f>
        <ns0:v/>
      </ns0:c>
      <ns0:c r="F551">
        <ns0:f>IFERROR(IF(ISNUMBER($A551),IF(AND(AH!$P$10=1,AH!$P$12=1,$A551=TODAY()),IF(AND(AH!$P$10=1,AH!$P$12=1,$A551=TODAY()),TODAY(),NA()),IF(AH!$P$10=1,INDEX('Live History'!$D$5:$D$3004,MATCH($A551,'Live History'!$D$5:$D$3004,1)),INDEX('AH History'!$E$1:$E$18046,AH!$P$7+546))),NA()),NA())</ns0:f>
        <ns0:v/>
      </ns0:c>
      <ns0:c r="G551">
        <ns0:f>IFERROR(IF(ISNUMBER($A551),IF(AND(AH!$P$10=1,AH!$P$12=1,$A551=TODAY()),IF(AND(AH!$P$10=1,AH!$P$12=1,$A551=TODAY()),TODAY(),NA()),IF(AH!$P$10=1,INDEX('Live History'!$G$5:$G$3004,MATCH($A551,'Live History'!$G$5:$G$3004,1)),INDEX('AH History'!$F$1:$F$18046,AH!$P$7+546))),NA()),NA())</ns0:f>
        <ns0:v/>
      </ns0:c>
      <ns0:c r="H551">
        <ns0:f>IFERROR(IF(AND(AH!$E$4="Bloomberg",AH!$P$10=1,ISNUMBER($A551),$A551&lt;=AH!$P$17),AH!$P$7-1+MATCH($A551,INDEX('AH History'!$A$1:$A$18046,AH!$P$7):INDEX('AH History'!$A$1:$A$18046,AH!$P$7+AH!$P$8-1),0),0),0)</ns0:f>
        <ns0:v/>
      </ns0:c>
      <ns0:c r="I551">
        <ns0:f>IF($H551=0,0,IFERROR(IF(AND(ABS($C551-INDEX('AH History'!$B$1:$B$18046,$H551))&lt;=MAX(0.005,ABS(INDEX('AH History'!$B$1:$B$18046,$H551))*0.00005),ABS($D551-INDEX('AH History'!$C$1:$C$18046,$H551))&lt;=MAX(0.005,ABS(INDEX('AH History'!$C$1:$C$18046,$H551))*0.00005),ABS($E551-INDEX('AH History'!$D$1:$D$18046,$H551))&lt;=0.00005,$F551=INDEX('AH History'!$E$1:$E$18046,$H551),$G551=INDEX('AH History'!$F$1:$F$18046,$H551)),1,-1),-1))</ns0:f>
        <ns0:v/>
      </ns0:c>
    </ns0:row>
    <ns0:row r="552">
      <ns0:c r="A552" s="215">
        <ns0:f>IF(OR(AH!$P$3=0,547+1&gt;AH!$P$11,AND(AH!$E$4&lt;&gt;"Stored",AH!$P$10&lt;&gt;1)),"",IFERROR(IF(AND(AH!$P$21=1,547+1=AH!$P$11),TODAY(),IF(AH!$P$10=1,INDEX('Live History'!$A$5:$A$3004,AH!$P$13+547),INDEX('AH History'!$A$1:$A$18046,AH!$P$7+547))),""))</ns0:f>
        <ns0:v/>
      </ns0:c>
      <ns0:c r="B552" s="219">
        <ns0:f>IFERROR(IF(AND(AH!$P$9&lt;&gt;1,$C552&gt;0,$D552&gt;0,$E552&gt;0,$F552&gt;0,$G552&gt;0,$F552&lt;=$A552,$G552&lt;=$A552,$A552-$F552&lt;=10,$A552-$G552&lt;=5),$D552*$E552/$C552-1,NA()),NA())</ns0:f>
        <ns0:v/>
      </ns0:c>
      <ns0:c r="C552">
        <ns0:f>IFERROR(IF(ISNUMBER($A552),IF(AND(AH!$P$10=1,AH!$P$12=1,$A552=TODAY()),AH!$P$19,IF(AH!$P$10=1,INDEX('Live History'!$B$5:$B$3004,AH!$P$13+547),INDEX('AH History'!$B$1:$B$18046,AH!$P$7+547))),NA()),NA())</ns0:f>
        <ns0:v/>
      </ns0:c>
      <ns0:c r="D552">
        <ns0:f>IFERROR(IF(ISNUMBER($A552),IF(AND(AH!$P$10=1,AH!$P$12=1,$A552=TODAY()),AH!$P$18,IF(AH!$P$10=1,INDEX('Live History'!$E$5:$E$3004,MATCH($A552,'Live History'!$D$5:$D$3004,1)),INDEX('AH History'!$C$1:$C$18046,AH!$P$7+547))),NA()),NA())</ns0:f>
        <ns0:v/>
      </ns0:c>
      <ns0:c r="E552">
        <ns0:f>IFERROR(IF(ISNUMBER($A552),IF(AND(AH!$P$10=1,AH!$P$12=1,$A552=TODAY()),AH!$P$20,IF(AH!$P$10=1,INDEX('Live History'!$H$5:$H$3004,MATCH($A552,'Live History'!$G$5:$G$3004,1)),INDEX('AH History'!$D$1:$D$18046,AH!$P$7+547))),NA()),NA())</ns0:f>
        <ns0:v/>
      </ns0:c>
      <ns0:c r="F552">
        <ns0:f>IFERROR(IF(ISNUMBER($A552),IF(AND(AH!$P$10=1,AH!$P$12=1,$A552=TODAY()),IF(AND(AH!$P$10=1,AH!$P$12=1,$A552=TODAY()),TODAY(),NA()),IF(AH!$P$10=1,INDEX('Live History'!$D$5:$D$3004,MATCH($A552,'Live History'!$D$5:$D$3004,1)),INDEX('AH History'!$E$1:$E$18046,AH!$P$7+547))),NA()),NA())</ns0:f>
        <ns0:v/>
      </ns0:c>
      <ns0:c r="G552">
        <ns0:f>IFERROR(IF(ISNUMBER($A552),IF(AND(AH!$P$10=1,AH!$P$12=1,$A552=TODAY()),IF(AND(AH!$P$10=1,AH!$P$12=1,$A552=TODAY()),TODAY(),NA()),IF(AH!$P$10=1,INDEX('Live History'!$G$5:$G$3004,MATCH($A552,'Live History'!$G$5:$G$3004,1)),INDEX('AH History'!$F$1:$F$18046,AH!$P$7+547))),NA()),NA())</ns0:f>
        <ns0:v/>
      </ns0:c>
      <ns0:c r="H552">
        <ns0:f>IFERROR(IF(AND(AH!$E$4="Bloomberg",AH!$P$10=1,ISNUMBER($A552),$A552&lt;=AH!$P$17),AH!$P$7-1+MATCH($A552,INDEX('AH History'!$A$1:$A$18046,AH!$P$7):INDEX('AH History'!$A$1:$A$18046,AH!$P$7+AH!$P$8-1),0),0),0)</ns0:f>
        <ns0:v/>
      </ns0:c>
      <ns0:c r="I552">
        <ns0:f>IF($H552=0,0,IFERROR(IF(AND(ABS($C552-INDEX('AH History'!$B$1:$B$18046,$H552))&lt;=MAX(0.005,ABS(INDEX('AH History'!$B$1:$B$18046,$H552))*0.00005),ABS($D552-INDEX('AH History'!$C$1:$C$18046,$H552))&lt;=MAX(0.005,ABS(INDEX('AH History'!$C$1:$C$18046,$H552))*0.00005),ABS($E552-INDEX('AH History'!$D$1:$D$18046,$H552))&lt;=0.00005,$F552=INDEX('AH History'!$E$1:$E$18046,$H552),$G552=INDEX('AH History'!$F$1:$F$18046,$H552)),1,-1),-1))</ns0:f>
        <ns0:v/>
      </ns0:c>
    </ns0:row>
    <ns0:row r="553">
      <ns0:c r="A553" s="215">
        <ns0:f>IF(OR(AH!$P$3=0,548+1&gt;AH!$P$11,AND(AH!$E$4&lt;&gt;"Stored",AH!$P$10&lt;&gt;1)),"",IFERROR(IF(AND(AH!$P$21=1,548+1=AH!$P$11),TODAY(),IF(AH!$P$10=1,INDEX('Live History'!$A$5:$A$3004,AH!$P$13+548),INDEX('AH History'!$A$1:$A$18046,AH!$P$7+548))),""))</ns0:f>
        <ns0:v/>
      </ns0:c>
      <ns0:c r="B553" s="219">
        <ns0:f>IFERROR(IF(AND(AH!$P$9&lt;&gt;1,$C553&gt;0,$D553&gt;0,$E553&gt;0,$F553&gt;0,$G553&gt;0,$F553&lt;=$A553,$G553&lt;=$A553,$A553-$F553&lt;=10,$A553-$G553&lt;=5),$D553*$E553/$C553-1,NA()),NA())</ns0:f>
        <ns0:v/>
      </ns0:c>
      <ns0:c r="C553">
        <ns0:f>IFERROR(IF(ISNUMBER($A553),IF(AND(AH!$P$10=1,AH!$P$12=1,$A553=TODAY()),AH!$P$19,IF(AH!$P$10=1,INDEX('Live History'!$B$5:$B$3004,AH!$P$13+548),INDEX('AH History'!$B$1:$B$18046,AH!$P$7+548))),NA()),NA())</ns0:f>
        <ns0:v/>
      </ns0:c>
      <ns0:c r="D553">
        <ns0:f>IFERROR(IF(ISNUMBER($A553),IF(AND(AH!$P$10=1,AH!$P$12=1,$A553=TODAY()),AH!$P$18,IF(AH!$P$10=1,INDEX('Live History'!$E$5:$E$3004,MATCH($A553,'Live History'!$D$5:$D$3004,1)),INDEX('AH History'!$C$1:$C$18046,AH!$P$7+548))),NA()),NA())</ns0:f>
        <ns0:v/>
      </ns0:c>
      <ns0:c r="E553">
        <ns0:f>IFERROR(IF(ISNUMBER($A553),IF(AND(AH!$P$10=1,AH!$P$12=1,$A553=TODAY()),AH!$P$20,IF(AH!$P$10=1,INDEX('Live History'!$H$5:$H$3004,MATCH($A553,'Live History'!$G$5:$G$3004,1)),INDEX('AH History'!$D$1:$D$18046,AH!$P$7+548))),NA()),NA())</ns0:f>
        <ns0:v/>
      </ns0:c>
      <ns0:c r="F553">
        <ns0:f>IFERROR(IF(ISNUMBER($A553),IF(AND(AH!$P$10=1,AH!$P$12=1,$A553=TODAY()),IF(AND(AH!$P$10=1,AH!$P$12=1,$A553=TODAY()),TODAY(),NA()),IF(AH!$P$10=1,INDEX('Live History'!$D$5:$D$3004,MATCH($A553,'Live History'!$D$5:$D$3004,1)),INDEX('AH History'!$E$1:$E$18046,AH!$P$7+548))),NA()),NA())</ns0:f>
        <ns0:v/>
      </ns0:c>
      <ns0:c r="G553">
        <ns0:f>IFERROR(IF(ISNUMBER($A553),IF(AND(AH!$P$10=1,AH!$P$12=1,$A553=TODAY()),IF(AND(AH!$P$10=1,AH!$P$12=1,$A553=TODAY()),TODAY(),NA()),IF(AH!$P$10=1,INDEX('Live History'!$G$5:$G$3004,MATCH($A553,'Live History'!$G$5:$G$3004,1)),INDEX('AH History'!$F$1:$F$18046,AH!$P$7+548))),NA()),NA())</ns0:f>
        <ns0:v/>
      </ns0:c>
      <ns0:c r="H553">
        <ns0:f>IFERROR(IF(AND(AH!$E$4="Bloomberg",AH!$P$10=1,ISNUMBER($A553),$A553&lt;=AH!$P$17),AH!$P$7-1+MATCH($A553,INDEX('AH History'!$A$1:$A$18046,AH!$P$7):INDEX('AH History'!$A$1:$A$18046,AH!$P$7+AH!$P$8-1),0),0),0)</ns0:f>
        <ns0:v/>
      </ns0:c>
      <ns0:c r="I553">
        <ns0:f>IF($H553=0,0,IFERROR(IF(AND(ABS($C553-INDEX('AH History'!$B$1:$B$18046,$H553))&lt;=MAX(0.005,ABS(INDEX('AH History'!$B$1:$B$18046,$H553))*0.00005),ABS($D553-INDEX('AH History'!$C$1:$C$18046,$H553))&lt;=MAX(0.005,ABS(INDEX('AH History'!$C$1:$C$18046,$H553))*0.00005),ABS($E553-INDEX('AH History'!$D$1:$D$18046,$H553))&lt;=0.00005,$F553=INDEX('AH History'!$E$1:$E$18046,$H553),$G553=INDEX('AH History'!$F$1:$F$18046,$H553)),1,-1),-1))</ns0:f>
        <ns0:v/>
      </ns0:c>
    </ns0:row>
    <ns0:row r="554">
      <ns0:c r="A554" s="215">
        <ns0:f>IF(OR(AH!$P$3=0,549+1&gt;AH!$P$11,AND(AH!$E$4&lt;&gt;"Stored",AH!$P$10&lt;&gt;1)),"",IFERROR(IF(AND(AH!$P$21=1,549+1=AH!$P$11),TODAY(),IF(AH!$P$10=1,INDEX('Live History'!$A$5:$A$3004,AH!$P$13+549),INDEX('AH History'!$A$1:$A$18046,AH!$P$7+549))),""))</ns0:f>
        <ns0:v/>
      </ns0:c>
      <ns0:c r="B554" s="219">
        <ns0:f>IFERROR(IF(AND(AH!$P$9&lt;&gt;1,$C554&gt;0,$D554&gt;0,$E554&gt;0,$F554&gt;0,$G554&gt;0,$F554&lt;=$A554,$G554&lt;=$A554,$A554-$F554&lt;=10,$A554-$G554&lt;=5),$D554*$E554/$C554-1,NA()),NA())</ns0:f>
        <ns0:v/>
      </ns0:c>
      <ns0:c r="C554">
        <ns0:f>IFERROR(IF(ISNUMBER($A554),IF(AND(AH!$P$10=1,AH!$P$12=1,$A554=TODAY()),AH!$P$19,IF(AH!$P$10=1,INDEX('Live History'!$B$5:$B$3004,AH!$P$13+549),INDEX('AH History'!$B$1:$B$18046,AH!$P$7+549))),NA()),NA())</ns0:f>
        <ns0:v/>
      </ns0:c>
      <ns0:c r="D554">
        <ns0:f>IFERROR(IF(ISNUMBER($A554),IF(AND(AH!$P$10=1,AH!$P$12=1,$A554=TODAY()),AH!$P$18,IF(AH!$P$10=1,INDEX('Live History'!$E$5:$E$3004,MATCH($A554,'Live History'!$D$5:$D$3004,1)),INDEX('AH History'!$C$1:$C$18046,AH!$P$7+549))),NA()),NA())</ns0:f>
        <ns0:v/>
      </ns0:c>
      <ns0:c r="E554">
        <ns0:f>IFERROR(IF(ISNUMBER($A554),IF(AND(AH!$P$10=1,AH!$P$12=1,$A554=TODAY()),AH!$P$20,IF(AH!$P$10=1,INDEX('Live History'!$H$5:$H$3004,MATCH($A554,'Live History'!$G$5:$G$3004,1)),INDEX('AH History'!$D$1:$D$18046,AH!$P$7+549))),NA()),NA())</ns0:f>
        <ns0:v/>
      </ns0:c>
      <ns0:c r="F554">
        <ns0:f>IFERROR(IF(ISNUMBER($A554),IF(AND(AH!$P$10=1,AH!$P$12=1,$A554=TODAY()),IF(AND(AH!$P$10=1,AH!$P$12=1,$A554=TODAY()),TODAY(),NA()),IF(AH!$P$10=1,INDEX('Live History'!$D$5:$D$3004,MATCH($A554,'Live History'!$D$5:$D$3004,1)),INDEX('AH History'!$E$1:$E$18046,AH!$P$7+549))),NA()),NA())</ns0:f>
        <ns0:v/>
      </ns0:c>
      <ns0:c r="G554">
        <ns0:f>IFERROR(IF(ISNUMBER($A554),IF(AND(AH!$P$10=1,AH!$P$12=1,$A554=TODAY()),IF(AND(AH!$P$10=1,AH!$P$12=1,$A554=TODAY()),TODAY(),NA()),IF(AH!$P$10=1,INDEX('Live History'!$G$5:$G$3004,MATCH($A554,'Live History'!$G$5:$G$3004,1)),INDEX('AH History'!$F$1:$F$18046,AH!$P$7+549))),NA()),NA())</ns0:f>
        <ns0:v/>
      </ns0:c>
      <ns0:c r="H554">
        <ns0:f>IFERROR(IF(AND(AH!$E$4="Bloomberg",AH!$P$10=1,ISNUMBER($A554),$A554&lt;=AH!$P$17),AH!$P$7-1+MATCH($A554,INDEX('AH History'!$A$1:$A$18046,AH!$P$7):INDEX('AH History'!$A$1:$A$18046,AH!$P$7+AH!$P$8-1),0),0),0)</ns0:f>
        <ns0:v/>
      </ns0:c>
      <ns0:c r="I554">
        <ns0:f>IF($H554=0,0,IFERROR(IF(AND(ABS($C554-INDEX('AH History'!$B$1:$B$18046,$H554))&lt;=MAX(0.005,ABS(INDEX('AH History'!$B$1:$B$18046,$H554))*0.00005),ABS($D554-INDEX('AH History'!$C$1:$C$18046,$H554))&lt;=MAX(0.005,ABS(INDEX('AH History'!$C$1:$C$18046,$H554))*0.00005),ABS($E554-INDEX('AH History'!$D$1:$D$18046,$H554))&lt;=0.00005,$F554=INDEX('AH History'!$E$1:$E$18046,$H554),$G554=INDEX('AH History'!$F$1:$F$18046,$H554)),1,-1),-1))</ns0:f>
        <ns0:v/>
      </ns0:c>
    </ns0:row>
    <ns0:row r="555">
      <ns0:c r="A555" s="215">
        <ns0:f>IF(OR(AH!$P$3=0,550+1&gt;AH!$P$11,AND(AH!$E$4&lt;&gt;"Stored",AH!$P$10&lt;&gt;1)),"",IFERROR(IF(AND(AH!$P$21=1,550+1=AH!$P$11),TODAY(),IF(AH!$P$10=1,INDEX('Live History'!$A$5:$A$3004,AH!$P$13+550),INDEX('AH History'!$A$1:$A$18046,AH!$P$7+550))),""))</ns0:f>
        <ns0:v/>
      </ns0:c>
      <ns0:c r="B555" s="219">
        <ns0:f>IFERROR(IF(AND(AH!$P$9&lt;&gt;1,$C555&gt;0,$D555&gt;0,$E555&gt;0,$F555&gt;0,$G555&gt;0,$F555&lt;=$A555,$G555&lt;=$A555,$A555-$F555&lt;=10,$A555-$G555&lt;=5),$D555*$E555/$C555-1,NA()),NA())</ns0:f>
        <ns0:v/>
      </ns0:c>
      <ns0:c r="C555">
        <ns0:f>IFERROR(IF(ISNUMBER($A555),IF(AND(AH!$P$10=1,AH!$P$12=1,$A555=TODAY()),AH!$P$19,IF(AH!$P$10=1,INDEX('Live History'!$B$5:$B$3004,AH!$P$13+550),INDEX('AH History'!$B$1:$B$18046,AH!$P$7+550))),NA()),NA())</ns0:f>
        <ns0:v/>
      </ns0:c>
      <ns0:c r="D555">
        <ns0:f>IFERROR(IF(ISNUMBER($A555),IF(AND(AH!$P$10=1,AH!$P$12=1,$A555=TODAY()),AH!$P$18,IF(AH!$P$10=1,INDEX('Live History'!$E$5:$E$3004,MATCH($A555,'Live History'!$D$5:$D$3004,1)),INDEX('AH History'!$C$1:$C$18046,AH!$P$7+550))),NA()),NA())</ns0:f>
        <ns0:v/>
      </ns0:c>
      <ns0:c r="E555">
        <ns0:f>IFERROR(IF(ISNUMBER($A555),IF(AND(AH!$P$10=1,AH!$P$12=1,$A555=TODAY()),AH!$P$20,IF(AH!$P$10=1,INDEX('Live History'!$H$5:$H$3004,MATCH($A555,'Live History'!$G$5:$G$3004,1)),INDEX('AH History'!$D$1:$D$18046,AH!$P$7+550))),NA()),NA())</ns0:f>
        <ns0:v/>
      </ns0:c>
      <ns0:c r="F555">
        <ns0:f>IFERROR(IF(ISNUMBER($A555),IF(AND(AH!$P$10=1,AH!$P$12=1,$A555=TODAY()),IF(AND(AH!$P$10=1,AH!$P$12=1,$A555=TODAY()),TODAY(),NA()),IF(AH!$P$10=1,INDEX('Live History'!$D$5:$D$3004,MATCH($A555,'Live History'!$D$5:$D$3004,1)),INDEX('AH History'!$E$1:$E$18046,AH!$P$7+550))),NA()),NA())</ns0:f>
        <ns0:v/>
      </ns0:c>
      <ns0:c r="G555">
        <ns0:f>IFERROR(IF(ISNUMBER($A555),IF(AND(AH!$P$10=1,AH!$P$12=1,$A555=TODAY()),IF(AND(AH!$P$10=1,AH!$P$12=1,$A555=TODAY()),TODAY(),NA()),IF(AH!$P$10=1,INDEX('Live History'!$G$5:$G$3004,MATCH($A555,'Live History'!$G$5:$G$3004,1)),INDEX('AH History'!$F$1:$F$18046,AH!$P$7+550))),NA()),NA())</ns0:f>
        <ns0:v/>
      </ns0:c>
      <ns0:c r="H555">
        <ns0:f>IFERROR(IF(AND(AH!$E$4="Bloomberg",AH!$P$10=1,ISNUMBER($A555),$A555&lt;=AH!$P$17),AH!$P$7-1+MATCH($A555,INDEX('AH History'!$A$1:$A$18046,AH!$P$7):INDEX('AH History'!$A$1:$A$18046,AH!$P$7+AH!$P$8-1),0),0),0)</ns0:f>
        <ns0:v/>
      </ns0:c>
      <ns0:c r="I555">
        <ns0:f>IF($H555=0,0,IFERROR(IF(AND(ABS($C555-INDEX('AH History'!$B$1:$B$18046,$H555))&lt;=MAX(0.005,ABS(INDEX('AH History'!$B$1:$B$18046,$H555))*0.00005),ABS($D555-INDEX('AH History'!$C$1:$C$18046,$H555))&lt;=MAX(0.005,ABS(INDEX('AH History'!$C$1:$C$18046,$H555))*0.00005),ABS($E555-INDEX('AH History'!$D$1:$D$18046,$H555))&lt;=0.00005,$F555=INDEX('AH History'!$E$1:$E$18046,$H555),$G555=INDEX('AH History'!$F$1:$F$18046,$H555)),1,-1),-1))</ns0:f>
        <ns0:v/>
      </ns0:c>
    </ns0:row>
    <ns0:row r="556">
      <ns0:c r="A556" s="215">
        <ns0:f>IF(OR(AH!$P$3=0,551+1&gt;AH!$P$11,AND(AH!$E$4&lt;&gt;"Stored",AH!$P$10&lt;&gt;1)),"",IFERROR(IF(AND(AH!$P$21=1,551+1=AH!$P$11),TODAY(),IF(AH!$P$10=1,INDEX('Live History'!$A$5:$A$3004,AH!$P$13+551),INDEX('AH History'!$A$1:$A$18046,AH!$P$7+551))),""))</ns0:f>
        <ns0:v/>
      </ns0:c>
      <ns0:c r="B556" s="219">
        <ns0:f>IFERROR(IF(AND(AH!$P$9&lt;&gt;1,$C556&gt;0,$D556&gt;0,$E556&gt;0,$F556&gt;0,$G556&gt;0,$F556&lt;=$A556,$G556&lt;=$A556,$A556-$F556&lt;=10,$A556-$G556&lt;=5),$D556*$E556/$C556-1,NA()),NA())</ns0:f>
        <ns0:v/>
      </ns0:c>
      <ns0:c r="C556">
        <ns0:f>IFERROR(IF(ISNUMBER($A556),IF(AND(AH!$P$10=1,AH!$P$12=1,$A556=TODAY()),AH!$P$19,IF(AH!$P$10=1,INDEX('Live History'!$B$5:$B$3004,AH!$P$13+551),INDEX('AH History'!$B$1:$B$18046,AH!$P$7+551))),NA()),NA())</ns0:f>
        <ns0:v/>
      </ns0:c>
      <ns0:c r="D556">
        <ns0:f>IFERROR(IF(ISNUMBER($A556),IF(AND(AH!$P$10=1,AH!$P$12=1,$A556=TODAY()),AH!$P$18,IF(AH!$P$10=1,INDEX('Live History'!$E$5:$E$3004,MATCH($A556,'Live History'!$D$5:$D$3004,1)),INDEX('AH History'!$C$1:$C$18046,AH!$P$7+551))),NA()),NA())</ns0:f>
        <ns0:v/>
      </ns0:c>
      <ns0:c r="E556">
        <ns0:f>IFERROR(IF(ISNUMBER($A556),IF(AND(AH!$P$10=1,AH!$P$12=1,$A556=TODAY()),AH!$P$20,IF(AH!$P$10=1,INDEX('Live History'!$H$5:$H$3004,MATCH($A556,'Live History'!$G$5:$G$3004,1)),INDEX('AH History'!$D$1:$D$18046,AH!$P$7+551))),NA()),NA())</ns0:f>
        <ns0:v/>
      </ns0:c>
      <ns0:c r="F556">
        <ns0:f>IFERROR(IF(ISNUMBER($A556),IF(AND(AH!$P$10=1,AH!$P$12=1,$A556=TODAY()),IF(AND(AH!$P$10=1,AH!$P$12=1,$A556=TODAY()),TODAY(),NA()),IF(AH!$P$10=1,INDEX('Live History'!$D$5:$D$3004,MATCH($A556,'Live History'!$D$5:$D$3004,1)),INDEX('AH History'!$E$1:$E$18046,AH!$P$7+551))),NA()),NA())</ns0:f>
        <ns0:v/>
      </ns0:c>
      <ns0:c r="G556">
        <ns0:f>IFERROR(IF(ISNUMBER($A556),IF(AND(AH!$P$10=1,AH!$P$12=1,$A556=TODAY()),IF(AND(AH!$P$10=1,AH!$P$12=1,$A556=TODAY()),TODAY(),NA()),IF(AH!$P$10=1,INDEX('Live History'!$G$5:$G$3004,MATCH($A556,'Live History'!$G$5:$G$3004,1)),INDEX('AH History'!$F$1:$F$18046,AH!$P$7+551))),NA()),NA())</ns0:f>
        <ns0:v/>
      </ns0:c>
      <ns0:c r="H556">
        <ns0:f>IFERROR(IF(AND(AH!$E$4="Bloomberg",AH!$P$10=1,ISNUMBER($A556),$A556&lt;=AH!$P$17),AH!$P$7-1+MATCH($A556,INDEX('AH History'!$A$1:$A$18046,AH!$P$7):INDEX('AH History'!$A$1:$A$18046,AH!$P$7+AH!$P$8-1),0),0),0)</ns0:f>
        <ns0:v/>
      </ns0:c>
      <ns0:c r="I556">
        <ns0:f>IF($H556=0,0,IFERROR(IF(AND(ABS($C556-INDEX('AH History'!$B$1:$B$18046,$H556))&lt;=MAX(0.005,ABS(INDEX('AH History'!$B$1:$B$18046,$H556))*0.00005),ABS($D556-INDEX('AH History'!$C$1:$C$18046,$H556))&lt;=MAX(0.005,ABS(INDEX('AH History'!$C$1:$C$18046,$H556))*0.00005),ABS($E556-INDEX('AH History'!$D$1:$D$18046,$H556))&lt;=0.00005,$F556=INDEX('AH History'!$E$1:$E$18046,$H556),$G556=INDEX('AH History'!$F$1:$F$18046,$H556)),1,-1),-1))</ns0:f>
        <ns0:v/>
      </ns0:c>
    </ns0:row>
    <ns0:row r="557">
      <ns0:c r="A557" s="215">
        <ns0:f>IF(OR(AH!$P$3=0,552+1&gt;AH!$P$11,AND(AH!$E$4&lt;&gt;"Stored",AH!$P$10&lt;&gt;1)),"",IFERROR(IF(AND(AH!$P$21=1,552+1=AH!$P$11),TODAY(),IF(AH!$P$10=1,INDEX('Live History'!$A$5:$A$3004,AH!$P$13+552),INDEX('AH History'!$A$1:$A$18046,AH!$P$7+552))),""))</ns0:f>
        <ns0:v/>
      </ns0:c>
      <ns0:c r="B557" s="219">
        <ns0:f>IFERROR(IF(AND(AH!$P$9&lt;&gt;1,$C557&gt;0,$D557&gt;0,$E557&gt;0,$F557&gt;0,$G557&gt;0,$F557&lt;=$A557,$G557&lt;=$A557,$A557-$F557&lt;=10,$A557-$G557&lt;=5),$D557*$E557/$C557-1,NA()),NA())</ns0:f>
        <ns0:v/>
      </ns0:c>
      <ns0:c r="C557">
        <ns0:f>IFERROR(IF(ISNUMBER($A557),IF(AND(AH!$P$10=1,AH!$P$12=1,$A557=TODAY()),AH!$P$19,IF(AH!$P$10=1,INDEX('Live History'!$B$5:$B$3004,AH!$P$13+552),INDEX('AH History'!$B$1:$B$18046,AH!$P$7+552))),NA()),NA())</ns0:f>
        <ns0:v/>
      </ns0:c>
      <ns0:c r="D557">
        <ns0:f>IFERROR(IF(ISNUMBER($A557),IF(AND(AH!$P$10=1,AH!$P$12=1,$A557=TODAY()),AH!$P$18,IF(AH!$P$10=1,INDEX('Live History'!$E$5:$E$3004,MATCH($A557,'Live History'!$D$5:$D$3004,1)),INDEX('AH History'!$C$1:$C$18046,AH!$P$7+552))),NA()),NA())</ns0:f>
        <ns0:v/>
      </ns0:c>
      <ns0:c r="E557">
        <ns0:f>IFERROR(IF(ISNUMBER($A557),IF(AND(AH!$P$10=1,AH!$P$12=1,$A557=TODAY()),AH!$P$20,IF(AH!$P$10=1,INDEX('Live History'!$H$5:$H$3004,MATCH($A557,'Live History'!$G$5:$G$3004,1)),INDEX('AH History'!$D$1:$D$18046,AH!$P$7+552))),NA()),NA())</ns0:f>
        <ns0:v/>
      </ns0:c>
      <ns0:c r="F557">
        <ns0:f>IFERROR(IF(ISNUMBER($A557),IF(AND(AH!$P$10=1,AH!$P$12=1,$A557=TODAY()),IF(AND(AH!$P$10=1,AH!$P$12=1,$A557=TODAY()),TODAY(),NA()),IF(AH!$P$10=1,INDEX('Live History'!$D$5:$D$3004,MATCH($A557,'Live History'!$D$5:$D$3004,1)),INDEX('AH History'!$E$1:$E$18046,AH!$P$7+552))),NA()),NA())</ns0:f>
        <ns0:v/>
      </ns0:c>
      <ns0:c r="G557">
        <ns0:f>IFERROR(IF(ISNUMBER($A557),IF(AND(AH!$P$10=1,AH!$P$12=1,$A557=TODAY()),IF(AND(AH!$P$10=1,AH!$P$12=1,$A557=TODAY()),TODAY(),NA()),IF(AH!$P$10=1,INDEX('Live History'!$G$5:$G$3004,MATCH($A557,'Live History'!$G$5:$G$3004,1)),INDEX('AH History'!$F$1:$F$18046,AH!$P$7+552))),NA()),NA())</ns0:f>
        <ns0:v/>
      </ns0:c>
      <ns0:c r="H557">
        <ns0:f>IFERROR(IF(AND(AH!$E$4="Bloomberg",AH!$P$10=1,ISNUMBER($A557),$A557&lt;=AH!$P$17),AH!$P$7-1+MATCH($A557,INDEX('AH History'!$A$1:$A$18046,AH!$P$7):INDEX('AH History'!$A$1:$A$18046,AH!$P$7+AH!$P$8-1),0),0),0)</ns0:f>
        <ns0:v/>
      </ns0:c>
      <ns0:c r="I557">
        <ns0:f>IF($H557=0,0,IFERROR(IF(AND(ABS($C557-INDEX('AH History'!$B$1:$B$18046,$H557))&lt;=MAX(0.005,ABS(INDEX('AH History'!$B$1:$B$18046,$H557))*0.00005),ABS($D557-INDEX('AH History'!$C$1:$C$18046,$H557))&lt;=MAX(0.005,ABS(INDEX('AH History'!$C$1:$C$18046,$H557))*0.00005),ABS($E557-INDEX('AH History'!$D$1:$D$18046,$H557))&lt;=0.00005,$F557=INDEX('AH History'!$E$1:$E$18046,$H557),$G557=INDEX('AH History'!$F$1:$F$18046,$H557)),1,-1),-1))</ns0:f>
        <ns0:v/>
      </ns0:c>
    </ns0:row>
    <ns0:row r="558">
      <ns0:c r="A558" s="215">
        <ns0:f>IF(OR(AH!$P$3=0,553+1&gt;AH!$P$11,AND(AH!$E$4&lt;&gt;"Stored",AH!$P$10&lt;&gt;1)),"",IFERROR(IF(AND(AH!$P$21=1,553+1=AH!$P$11),TODAY(),IF(AH!$P$10=1,INDEX('Live History'!$A$5:$A$3004,AH!$P$13+553),INDEX('AH History'!$A$1:$A$18046,AH!$P$7+553))),""))</ns0:f>
        <ns0:v/>
      </ns0:c>
      <ns0:c r="B558" s="219">
        <ns0:f>IFERROR(IF(AND(AH!$P$9&lt;&gt;1,$C558&gt;0,$D558&gt;0,$E558&gt;0,$F558&gt;0,$G558&gt;0,$F558&lt;=$A558,$G558&lt;=$A558,$A558-$F558&lt;=10,$A558-$G558&lt;=5),$D558*$E558/$C558-1,NA()),NA())</ns0:f>
        <ns0:v/>
      </ns0:c>
      <ns0:c r="C558">
        <ns0:f>IFERROR(IF(ISNUMBER($A558),IF(AND(AH!$P$10=1,AH!$P$12=1,$A558=TODAY()),AH!$P$19,IF(AH!$P$10=1,INDEX('Live History'!$B$5:$B$3004,AH!$P$13+553),INDEX('AH History'!$B$1:$B$18046,AH!$P$7+553))),NA()),NA())</ns0:f>
        <ns0:v/>
      </ns0:c>
      <ns0:c r="D558">
        <ns0:f>IFERROR(IF(ISNUMBER($A558),IF(AND(AH!$P$10=1,AH!$P$12=1,$A558=TODAY()),AH!$P$18,IF(AH!$P$10=1,INDEX('Live History'!$E$5:$E$3004,MATCH($A558,'Live History'!$D$5:$D$3004,1)),INDEX('AH History'!$C$1:$C$18046,AH!$P$7+553))),NA()),NA())</ns0:f>
        <ns0:v/>
      </ns0:c>
      <ns0:c r="E558">
        <ns0:f>IFERROR(IF(ISNUMBER($A558),IF(AND(AH!$P$10=1,AH!$P$12=1,$A558=TODAY()),AH!$P$20,IF(AH!$P$10=1,INDEX('Live History'!$H$5:$H$3004,MATCH($A558,'Live History'!$G$5:$G$3004,1)),INDEX('AH History'!$D$1:$D$18046,AH!$P$7+553))),NA()),NA())</ns0:f>
        <ns0:v/>
      </ns0:c>
      <ns0:c r="F558">
        <ns0:f>IFERROR(IF(ISNUMBER($A558),IF(AND(AH!$P$10=1,AH!$P$12=1,$A558=TODAY()),IF(AND(AH!$P$10=1,AH!$P$12=1,$A558=TODAY()),TODAY(),NA()),IF(AH!$P$10=1,INDEX('Live History'!$D$5:$D$3004,MATCH($A558,'Live History'!$D$5:$D$3004,1)),INDEX('AH History'!$E$1:$E$18046,AH!$P$7+553))),NA()),NA())</ns0:f>
        <ns0:v/>
      </ns0:c>
      <ns0:c r="G558">
        <ns0:f>IFERROR(IF(ISNUMBER($A558),IF(AND(AH!$P$10=1,AH!$P$12=1,$A558=TODAY()),IF(AND(AH!$P$10=1,AH!$P$12=1,$A558=TODAY()),TODAY(),NA()),IF(AH!$P$10=1,INDEX('Live History'!$G$5:$G$3004,MATCH($A558,'Live History'!$G$5:$G$3004,1)),INDEX('AH History'!$F$1:$F$18046,AH!$P$7+553))),NA()),NA())</ns0:f>
        <ns0:v/>
      </ns0:c>
      <ns0:c r="H558">
        <ns0:f>IFERROR(IF(AND(AH!$E$4="Bloomberg",AH!$P$10=1,ISNUMBER($A558),$A558&lt;=AH!$P$17),AH!$P$7-1+MATCH($A558,INDEX('AH History'!$A$1:$A$18046,AH!$P$7):INDEX('AH History'!$A$1:$A$18046,AH!$P$7+AH!$P$8-1),0),0),0)</ns0:f>
        <ns0:v/>
      </ns0:c>
      <ns0:c r="I558">
        <ns0:f>IF($H558=0,0,IFERROR(IF(AND(ABS($C558-INDEX('AH History'!$B$1:$B$18046,$H558))&lt;=MAX(0.005,ABS(INDEX('AH History'!$B$1:$B$18046,$H558))*0.00005),ABS($D558-INDEX('AH History'!$C$1:$C$18046,$H558))&lt;=MAX(0.005,ABS(INDEX('AH History'!$C$1:$C$18046,$H558))*0.00005),ABS($E558-INDEX('AH History'!$D$1:$D$18046,$H558))&lt;=0.00005,$F558=INDEX('AH History'!$E$1:$E$18046,$H558),$G558=INDEX('AH History'!$F$1:$F$18046,$H558)),1,-1),-1))</ns0:f>
        <ns0:v/>
      </ns0:c>
    </ns0:row>
    <ns0:row r="559">
      <ns0:c r="A559" s="215">
        <ns0:f>IF(OR(AH!$P$3=0,554+1&gt;AH!$P$11,AND(AH!$E$4&lt;&gt;"Stored",AH!$P$10&lt;&gt;1)),"",IFERROR(IF(AND(AH!$P$21=1,554+1=AH!$P$11),TODAY(),IF(AH!$P$10=1,INDEX('Live History'!$A$5:$A$3004,AH!$P$13+554),INDEX('AH History'!$A$1:$A$18046,AH!$P$7+554))),""))</ns0:f>
        <ns0:v/>
      </ns0:c>
      <ns0:c r="B559" s="219">
        <ns0:f>IFERROR(IF(AND(AH!$P$9&lt;&gt;1,$C559&gt;0,$D559&gt;0,$E559&gt;0,$F559&gt;0,$G559&gt;0,$F559&lt;=$A559,$G559&lt;=$A559,$A559-$F559&lt;=10,$A559-$G559&lt;=5),$D559*$E559/$C559-1,NA()),NA())</ns0:f>
        <ns0:v/>
      </ns0:c>
      <ns0:c r="C559">
        <ns0:f>IFERROR(IF(ISNUMBER($A559),IF(AND(AH!$P$10=1,AH!$P$12=1,$A559=TODAY()),AH!$P$19,IF(AH!$P$10=1,INDEX('Live History'!$B$5:$B$3004,AH!$P$13+554),INDEX('AH History'!$B$1:$B$18046,AH!$P$7+554))),NA()),NA())</ns0:f>
        <ns0:v/>
      </ns0:c>
      <ns0:c r="D559">
        <ns0:f>IFERROR(IF(ISNUMBER($A559),IF(AND(AH!$P$10=1,AH!$P$12=1,$A559=TODAY()),AH!$P$18,IF(AH!$P$10=1,INDEX('Live History'!$E$5:$E$3004,MATCH($A559,'Live History'!$D$5:$D$3004,1)),INDEX('AH History'!$C$1:$C$18046,AH!$P$7+554))),NA()),NA())</ns0:f>
        <ns0:v/>
      </ns0:c>
      <ns0:c r="E559">
        <ns0:f>IFERROR(IF(ISNUMBER($A559),IF(AND(AH!$P$10=1,AH!$P$12=1,$A559=TODAY()),AH!$P$20,IF(AH!$P$10=1,INDEX('Live History'!$H$5:$H$3004,MATCH($A559,'Live History'!$G$5:$G$3004,1)),INDEX('AH History'!$D$1:$D$18046,AH!$P$7+554))),NA()),NA())</ns0:f>
        <ns0:v/>
      </ns0:c>
      <ns0:c r="F559">
        <ns0:f>IFERROR(IF(ISNUMBER($A559),IF(AND(AH!$P$10=1,AH!$P$12=1,$A559=TODAY()),IF(AND(AH!$P$10=1,AH!$P$12=1,$A559=TODAY()),TODAY(),NA()),IF(AH!$P$10=1,INDEX('Live History'!$D$5:$D$3004,MATCH($A559,'Live History'!$D$5:$D$3004,1)),INDEX('AH History'!$E$1:$E$18046,AH!$P$7+554))),NA()),NA())</ns0:f>
        <ns0:v/>
      </ns0:c>
      <ns0:c r="G559">
        <ns0:f>IFERROR(IF(ISNUMBER($A559),IF(AND(AH!$P$10=1,AH!$P$12=1,$A559=TODAY()),IF(AND(AH!$P$10=1,AH!$P$12=1,$A559=TODAY()),TODAY(),NA()),IF(AH!$P$10=1,INDEX('Live History'!$G$5:$G$3004,MATCH($A559,'Live History'!$G$5:$G$3004,1)),INDEX('AH History'!$F$1:$F$18046,AH!$P$7+554))),NA()),NA())</ns0:f>
        <ns0:v/>
      </ns0:c>
      <ns0:c r="H559">
        <ns0:f>IFERROR(IF(AND(AH!$E$4="Bloomberg",AH!$P$10=1,ISNUMBER($A559),$A559&lt;=AH!$P$17),AH!$P$7-1+MATCH($A559,INDEX('AH History'!$A$1:$A$18046,AH!$P$7):INDEX('AH History'!$A$1:$A$18046,AH!$P$7+AH!$P$8-1),0),0),0)</ns0:f>
        <ns0:v/>
      </ns0:c>
      <ns0:c r="I559">
        <ns0:f>IF($H559=0,0,IFERROR(IF(AND(ABS($C559-INDEX('AH History'!$B$1:$B$18046,$H559))&lt;=MAX(0.005,ABS(INDEX('AH History'!$B$1:$B$18046,$H559))*0.00005),ABS($D559-INDEX('AH History'!$C$1:$C$18046,$H559))&lt;=MAX(0.005,ABS(INDEX('AH History'!$C$1:$C$18046,$H559))*0.00005),ABS($E559-INDEX('AH History'!$D$1:$D$18046,$H559))&lt;=0.00005,$F559=INDEX('AH History'!$E$1:$E$18046,$H559),$G559=INDEX('AH History'!$F$1:$F$18046,$H559)),1,-1),-1))</ns0:f>
        <ns0:v/>
      </ns0:c>
    </ns0:row>
    <ns0:row r="560">
      <ns0:c r="A560" s="215">
        <ns0:f>IF(OR(AH!$P$3=0,555+1&gt;AH!$P$11,AND(AH!$E$4&lt;&gt;"Stored",AH!$P$10&lt;&gt;1)),"",IFERROR(IF(AND(AH!$P$21=1,555+1=AH!$P$11),TODAY(),IF(AH!$P$10=1,INDEX('Live History'!$A$5:$A$3004,AH!$P$13+555),INDEX('AH History'!$A$1:$A$18046,AH!$P$7+555))),""))</ns0:f>
        <ns0:v/>
      </ns0:c>
      <ns0:c r="B560" s="219">
        <ns0:f>IFERROR(IF(AND(AH!$P$9&lt;&gt;1,$C560&gt;0,$D560&gt;0,$E560&gt;0,$F560&gt;0,$G560&gt;0,$F560&lt;=$A560,$G560&lt;=$A560,$A560-$F560&lt;=10,$A560-$G560&lt;=5),$D560*$E560/$C560-1,NA()),NA())</ns0:f>
        <ns0:v/>
      </ns0:c>
      <ns0:c r="C560">
        <ns0:f>IFERROR(IF(ISNUMBER($A560),IF(AND(AH!$P$10=1,AH!$P$12=1,$A560=TODAY()),AH!$P$19,IF(AH!$P$10=1,INDEX('Live History'!$B$5:$B$3004,AH!$P$13+555),INDEX('AH History'!$B$1:$B$18046,AH!$P$7+555))),NA()),NA())</ns0:f>
        <ns0:v/>
      </ns0:c>
      <ns0:c r="D560">
        <ns0:f>IFERROR(IF(ISNUMBER($A560),IF(AND(AH!$P$10=1,AH!$P$12=1,$A560=TODAY()),AH!$P$18,IF(AH!$P$10=1,INDEX('Live History'!$E$5:$E$3004,MATCH($A560,'Live History'!$D$5:$D$3004,1)),INDEX('AH History'!$C$1:$C$18046,AH!$P$7+555))),NA()),NA())</ns0:f>
        <ns0:v/>
      </ns0:c>
      <ns0:c r="E560">
        <ns0:f>IFERROR(IF(ISNUMBER($A560),IF(AND(AH!$P$10=1,AH!$P$12=1,$A560=TODAY()),AH!$P$20,IF(AH!$P$10=1,INDEX('Live History'!$H$5:$H$3004,MATCH($A560,'Live History'!$G$5:$G$3004,1)),INDEX('AH History'!$D$1:$D$18046,AH!$P$7+555))),NA()),NA())</ns0:f>
        <ns0:v/>
      </ns0:c>
      <ns0:c r="F560">
        <ns0:f>IFERROR(IF(ISNUMBER($A560),IF(AND(AH!$P$10=1,AH!$P$12=1,$A560=TODAY()),IF(AND(AH!$P$10=1,AH!$P$12=1,$A560=TODAY()),TODAY(),NA()),IF(AH!$P$10=1,INDEX('Live History'!$D$5:$D$3004,MATCH($A560,'Live History'!$D$5:$D$3004,1)),INDEX('AH History'!$E$1:$E$18046,AH!$P$7+555))),NA()),NA())</ns0:f>
        <ns0:v/>
      </ns0:c>
      <ns0:c r="G560">
        <ns0:f>IFERROR(IF(ISNUMBER($A560),IF(AND(AH!$P$10=1,AH!$P$12=1,$A560=TODAY()),IF(AND(AH!$P$10=1,AH!$P$12=1,$A560=TODAY()),TODAY(),NA()),IF(AH!$P$10=1,INDEX('Live History'!$G$5:$G$3004,MATCH($A560,'Live History'!$G$5:$G$3004,1)),INDEX('AH History'!$F$1:$F$18046,AH!$P$7+555))),NA()),NA())</ns0:f>
        <ns0:v/>
      </ns0:c>
      <ns0:c r="H560">
        <ns0:f>IFERROR(IF(AND(AH!$E$4="Bloomberg",AH!$P$10=1,ISNUMBER($A560),$A560&lt;=AH!$P$17),AH!$P$7-1+MATCH($A560,INDEX('AH History'!$A$1:$A$18046,AH!$P$7):INDEX('AH History'!$A$1:$A$18046,AH!$P$7+AH!$P$8-1),0),0),0)</ns0:f>
        <ns0:v/>
      </ns0:c>
      <ns0:c r="I560">
        <ns0:f>IF($H560=0,0,IFERROR(IF(AND(ABS($C560-INDEX('AH History'!$B$1:$B$18046,$H560))&lt;=MAX(0.005,ABS(INDEX('AH History'!$B$1:$B$18046,$H560))*0.00005),ABS($D560-INDEX('AH History'!$C$1:$C$18046,$H560))&lt;=MAX(0.005,ABS(INDEX('AH History'!$C$1:$C$18046,$H560))*0.00005),ABS($E560-INDEX('AH History'!$D$1:$D$18046,$H560))&lt;=0.00005,$F560=INDEX('AH History'!$E$1:$E$18046,$H560),$G560=INDEX('AH History'!$F$1:$F$18046,$H560)),1,-1),-1))</ns0:f>
        <ns0:v/>
      </ns0:c>
    </ns0:row>
    <ns0:row r="561">
      <ns0:c r="A561" s="215">
        <ns0:f>IF(OR(AH!$P$3=0,556+1&gt;AH!$P$11,AND(AH!$E$4&lt;&gt;"Stored",AH!$P$10&lt;&gt;1)),"",IFERROR(IF(AND(AH!$P$21=1,556+1=AH!$P$11),TODAY(),IF(AH!$P$10=1,INDEX('Live History'!$A$5:$A$3004,AH!$P$13+556),INDEX('AH History'!$A$1:$A$18046,AH!$P$7+556))),""))</ns0:f>
        <ns0:v/>
      </ns0:c>
      <ns0:c r="B561" s="219">
        <ns0:f>IFERROR(IF(AND(AH!$P$9&lt;&gt;1,$C561&gt;0,$D561&gt;0,$E561&gt;0,$F561&gt;0,$G561&gt;0,$F561&lt;=$A561,$G561&lt;=$A561,$A561-$F561&lt;=10,$A561-$G561&lt;=5),$D561*$E561/$C561-1,NA()),NA())</ns0:f>
        <ns0:v/>
      </ns0:c>
      <ns0:c r="C561">
        <ns0:f>IFERROR(IF(ISNUMBER($A561),IF(AND(AH!$P$10=1,AH!$P$12=1,$A561=TODAY()),AH!$P$19,IF(AH!$P$10=1,INDEX('Live History'!$B$5:$B$3004,AH!$P$13+556),INDEX('AH History'!$B$1:$B$18046,AH!$P$7+556))),NA()),NA())</ns0:f>
        <ns0:v/>
      </ns0:c>
      <ns0:c r="D561">
        <ns0:f>IFERROR(IF(ISNUMBER($A561),IF(AND(AH!$P$10=1,AH!$P$12=1,$A561=TODAY()),AH!$P$18,IF(AH!$P$10=1,INDEX('Live History'!$E$5:$E$3004,MATCH($A561,'Live History'!$D$5:$D$3004,1)),INDEX('AH History'!$C$1:$C$18046,AH!$P$7+556))),NA()),NA())</ns0:f>
        <ns0:v/>
      </ns0:c>
      <ns0:c r="E561">
        <ns0:f>IFERROR(IF(ISNUMBER($A561),IF(AND(AH!$P$10=1,AH!$P$12=1,$A561=TODAY()),AH!$P$20,IF(AH!$P$10=1,INDEX('Live History'!$H$5:$H$3004,MATCH($A561,'Live History'!$G$5:$G$3004,1)),INDEX('AH History'!$D$1:$D$18046,AH!$P$7+556))),NA()),NA())</ns0:f>
        <ns0:v/>
      </ns0:c>
      <ns0:c r="F561">
        <ns0:f>IFERROR(IF(ISNUMBER($A561),IF(AND(AH!$P$10=1,AH!$P$12=1,$A561=TODAY()),IF(AND(AH!$P$10=1,AH!$P$12=1,$A561=TODAY()),TODAY(),NA()),IF(AH!$P$10=1,INDEX('Live History'!$D$5:$D$3004,MATCH($A561,'Live History'!$D$5:$D$3004,1)),INDEX('AH History'!$E$1:$E$18046,AH!$P$7+556))),NA()),NA())</ns0:f>
        <ns0:v/>
      </ns0:c>
      <ns0:c r="G561">
        <ns0:f>IFERROR(IF(ISNUMBER($A561),IF(AND(AH!$P$10=1,AH!$P$12=1,$A561=TODAY()),IF(AND(AH!$P$10=1,AH!$P$12=1,$A561=TODAY()),TODAY(),NA()),IF(AH!$P$10=1,INDEX('Live History'!$G$5:$G$3004,MATCH($A561,'Live History'!$G$5:$G$3004,1)),INDEX('AH History'!$F$1:$F$18046,AH!$P$7+556))),NA()),NA())</ns0:f>
        <ns0:v/>
      </ns0:c>
      <ns0:c r="H561">
        <ns0:f>IFERROR(IF(AND(AH!$E$4="Bloomberg",AH!$P$10=1,ISNUMBER($A561),$A561&lt;=AH!$P$17),AH!$P$7-1+MATCH($A561,INDEX('AH History'!$A$1:$A$18046,AH!$P$7):INDEX('AH History'!$A$1:$A$18046,AH!$P$7+AH!$P$8-1),0),0),0)</ns0:f>
        <ns0:v/>
      </ns0:c>
      <ns0:c r="I561">
        <ns0:f>IF($H561=0,0,IFERROR(IF(AND(ABS($C561-INDEX('AH History'!$B$1:$B$18046,$H561))&lt;=MAX(0.005,ABS(INDEX('AH History'!$B$1:$B$18046,$H561))*0.00005),ABS($D561-INDEX('AH History'!$C$1:$C$18046,$H561))&lt;=MAX(0.005,ABS(INDEX('AH History'!$C$1:$C$18046,$H561))*0.00005),ABS($E561-INDEX('AH History'!$D$1:$D$18046,$H561))&lt;=0.00005,$F561=INDEX('AH History'!$E$1:$E$18046,$H561),$G561=INDEX('AH History'!$F$1:$F$18046,$H561)),1,-1),-1))</ns0:f>
        <ns0:v/>
      </ns0:c>
    </ns0:row>
    <ns0:row r="562">
      <ns0:c r="A562" s="215">
        <ns0:f>IF(OR(AH!$P$3=0,557+1&gt;AH!$P$11,AND(AH!$E$4&lt;&gt;"Stored",AH!$P$10&lt;&gt;1)),"",IFERROR(IF(AND(AH!$P$21=1,557+1=AH!$P$11),TODAY(),IF(AH!$P$10=1,INDEX('Live History'!$A$5:$A$3004,AH!$P$13+557),INDEX('AH History'!$A$1:$A$18046,AH!$P$7+557))),""))</ns0:f>
        <ns0:v/>
      </ns0:c>
      <ns0:c r="B562" s="219">
        <ns0:f>IFERROR(IF(AND(AH!$P$9&lt;&gt;1,$C562&gt;0,$D562&gt;0,$E562&gt;0,$F562&gt;0,$G562&gt;0,$F562&lt;=$A562,$G562&lt;=$A562,$A562-$F562&lt;=10,$A562-$G562&lt;=5),$D562*$E562/$C562-1,NA()),NA())</ns0:f>
        <ns0:v/>
      </ns0:c>
      <ns0:c r="C562">
        <ns0:f>IFERROR(IF(ISNUMBER($A562),IF(AND(AH!$P$10=1,AH!$P$12=1,$A562=TODAY()),AH!$P$19,IF(AH!$P$10=1,INDEX('Live History'!$B$5:$B$3004,AH!$P$13+557),INDEX('AH History'!$B$1:$B$18046,AH!$P$7+557))),NA()),NA())</ns0:f>
        <ns0:v/>
      </ns0:c>
      <ns0:c r="D562">
        <ns0:f>IFERROR(IF(ISNUMBER($A562),IF(AND(AH!$P$10=1,AH!$P$12=1,$A562=TODAY()),AH!$P$18,IF(AH!$P$10=1,INDEX('Live History'!$E$5:$E$3004,MATCH($A562,'Live History'!$D$5:$D$3004,1)),INDEX('AH History'!$C$1:$C$18046,AH!$P$7+557))),NA()),NA())</ns0:f>
        <ns0:v/>
      </ns0:c>
      <ns0:c r="E562">
        <ns0:f>IFERROR(IF(ISNUMBER($A562),IF(AND(AH!$P$10=1,AH!$P$12=1,$A562=TODAY()),AH!$P$20,IF(AH!$P$10=1,INDEX('Live History'!$H$5:$H$3004,MATCH($A562,'Live History'!$G$5:$G$3004,1)),INDEX('AH History'!$D$1:$D$18046,AH!$P$7+557))),NA()),NA())</ns0:f>
        <ns0:v/>
      </ns0:c>
      <ns0:c r="F562">
        <ns0:f>IFERROR(IF(ISNUMBER($A562),IF(AND(AH!$P$10=1,AH!$P$12=1,$A562=TODAY()),IF(AND(AH!$P$10=1,AH!$P$12=1,$A562=TODAY()),TODAY(),NA()),IF(AH!$P$10=1,INDEX('Live History'!$D$5:$D$3004,MATCH($A562,'Live History'!$D$5:$D$3004,1)),INDEX('AH History'!$E$1:$E$18046,AH!$P$7+557))),NA()),NA())</ns0:f>
        <ns0:v/>
      </ns0:c>
      <ns0:c r="G562">
        <ns0:f>IFERROR(IF(ISNUMBER($A562),IF(AND(AH!$P$10=1,AH!$P$12=1,$A562=TODAY()),IF(AND(AH!$P$10=1,AH!$P$12=1,$A562=TODAY()),TODAY(),NA()),IF(AH!$P$10=1,INDEX('Live History'!$G$5:$G$3004,MATCH($A562,'Live History'!$G$5:$G$3004,1)),INDEX('AH History'!$F$1:$F$18046,AH!$P$7+557))),NA()),NA())</ns0:f>
        <ns0:v/>
      </ns0:c>
      <ns0:c r="H562">
        <ns0:f>IFERROR(IF(AND(AH!$E$4="Bloomberg",AH!$P$10=1,ISNUMBER($A562),$A562&lt;=AH!$P$17),AH!$P$7-1+MATCH($A562,INDEX('AH History'!$A$1:$A$18046,AH!$P$7):INDEX('AH History'!$A$1:$A$18046,AH!$P$7+AH!$P$8-1),0),0),0)</ns0:f>
        <ns0:v/>
      </ns0:c>
      <ns0:c r="I562">
        <ns0:f>IF($H562=0,0,IFERROR(IF(AND(ABS($C562-INDEX('AH History'!$B$1:$B$18046,$H562))&lt;=MAX(0.005,ABS(INDEX('AH History'!$B$1:$B$18046,$H562))*0.00005),ABS($D562-INDEX('AH History'!$C$1:$C$18046,$H562))&lt;=MAX(0.005,ABS(INDEX('AH History'!$C$1:$C$18046,$H562))*0.00005),ABS($E562-INDEX('AH History'!$D$1:$D$18046,$H562))&lt;=0.00005,$F562=INDEX('AH History'!$E$1:$E$18046,$H562),$G562=INDEX('AH History'!$F$1:$F$18046,$H562)),1,-1),-1))</ns0:f>
        <ns0:v/>
      </ns0:c>
    </ns0:row>
    <ns0:row r="563">
      <ns0:c r="A563" s="215">
        <ns0:f>IF(OR(AH!$P$3=0,558+1&gt;AH!$P$11,AND(AH!$E$4&lt;&gt;"Stored",AH!$P$10&lt;&gt;1)),"",IFERROR(IF(AND(AH!$P$21=1,558+1=AH!$P$11),TODAY(),IF(AH!$P$10=1,INDEX('Live History'!$A$5:$A$3004,AH!$P$13+558),INDEX('AH History'!$A$1:$A$18046,AH!$P$7+558))),""))</ns0:f>
        <ns0:v/>
      </ns0:c>
      <ns0:c r="B563" s="219">
        <ns0:f>IFERROR(IF(AND(AH!$P$9&lt;&gt;1,$C563&gt;0,$D563&gt;0,$E563&gt;0,$F563&gt;0,$G563&gt;0,$F563&lt;=$A563,$G563&lt;=$A563,$A563-$F563&lt;=10,$A563-$G563&lt;=5),$D563*$E563/$C563-1,NA()),NA())</ns0:f>
        <ns0:v/>
      </ns0:c>
      <ns0:c r="C563">
        <ns0:f>IFERROR(IF(ISNUMBER($A563),IF(AND(AH!$P$10=1,AH!$P$12=1,$A563=TODAY()),AH!$P$19,IF(AH!$P$10=1,INDEX('Live History'!$B$5:$B$3004,AH!$P$13+558),INDEX('AH History'!$B$1:$B$18046,AH!$P$7+558))),NA()),NA())</ns0:f>
        <ns0:v/>
      </ns0:c>
      <ns0:c r="D563">
        <ns0:f>IFERROR(IF(ISNUMBER($A563),IF(AND(AH!$P$10=1,AH!$P$12=1,$A563=TODAY()),AH!$P$18,IF(AH!$P$10=1,INDEX('Live History'!$E$5:$E$3004,MATCH($A563,'Live History'!$D$5:$D$3004,1)),INDEX('AH History'!$C$1:$C$18046,AH!$P$7+558))),NA()),NA())</ns0:f>
        <ns0:v/>
      </ns0:c>
      <ns0:c r="E563">
        <ns0:f>IFERROR(IF(ISNUMBER($A563),IF(AND(AH!$P$10=1,AH!$P$12=1,$A563=TODAY()),AH!$P$20,IF(AH!$P$10=1,INDEX('Live History'!$H$5:$H$3004,MATCH($A563,'Live History'!$G$5:$G$3004,1)),INDEX('AH History'!$D$1:$D$18046,AH!$P$7+558))),NA()),NA())</ns0:f>
        <ns0:v/>
      </ns0:c>
      <ns0:c r="F563">
        <ns0:f>IFERROR(IF(ISNUMBER($A563),IF(AND(AH!$P$10=1,AH!$P$12=1,$A563=TODAY()),IF(AND(AH!$P$10=1,AH!$P$12=1,$A563=TODAY()),TODAY(),NA()),IF(AH!$P$10=1,INDEX('Live History'!$D$5:$D$3004,MATCH($A563,'Live History'!$D$5:$D$3004,1)),INDEX('AH History'!$E$1:$E$18046,AH!$P$7+558))),NA()),NA())</ns0:f>
        <ns0:v/>
      </ns0:c>
      <ns0:c r="G563">
        <ns0:f>IFERROR(IF(ISNUMBER($A563),IF(AND(AH!$P$10=1,AH!$P$12=1,$A563=TODAY()),IF(AND(AH!$P$10=1,AH!$P$12=1,$A563=TODAY()),TODAY(),NA()),IF(AH!$P$10=1,INDEX('Live History'!$G$5:$G$3004,MATCH($A563,'Live History'!$G$5:$G$3004,1)),INDEX('AH History'!$F$1:$F$18046,AH!$P$7+558))),NA()),NA())</ns0:f>
        <ns0:v/>
      </ns0:c>
      <ns0:c r="H563">
        <ns0:f>IFERROR(IF(AND(AH!$E$4="Bloomberg",AH!$P$10=1,ISNUMBER($A563),$A563&lt;=AH!$P$17),AH!$P$7-1+MATCH($A563,INDEX('AH History'!$A$1:$A$18046,AH!$P$7):INDEX('AH History'!$A$1:$A$18046,AH!$P$7+AH!$P$8-1),0),0),0)</ns0:f>
        <ns0:v/>
      </ns0:c>
      <ns0:c r="I563">
        <ns0:f>IF($H563=0,0,IFERROR(IF(AND(ABS($C563-INDEX('AH History'!$B$1:$B$18046,$H563))&lt;=MAX(0.005,ABS(INDEX('AH History'!$B$1:$B$18046,$H563))*0.00005),ABS($D563-INDEX('AH History'!$C$1:$C$18046,$H563))&lt;=MAX(0.005,ABS(INDEX('AH History'!$C$1:$C$18046,$H563))*0.00005),ABS($E563-INDEX('AH History'!$D$1:$D$18046,$H563))&lt;=0.00005,$F563=INDEX('AH History'!$E$1:$E$18046,$H563),$G563=INDEX('AH History'!$F$1:$F$18046,$H563)),1,-1),-1))</ns0:f>
        <ns0:v/>
      </ns0:c>
    </ns0:row>
    <ns0:row r="564">
      <ns0:c r="A564" s="215">
        <ns0:f>IF(OR(AH!$P$3=0,559+1&gt;AH!$P$11,AND(AH!$E$4&lt;&gt;"Stored",AH!$P$10&lt;&gt;1)),"",IFERROR(IF(AND(AH!$P$21=1,559+1=AH!$P$11),TODAY(),IF(AH!$P$10=1,INDEX('Live History'!$A$5:$A$3004,AH!$P$13+559),INDEX('AH History'!$A$1:$A$18046,AH!$P$7+559))),""))</ns0:f>
        <ns0:v/>
      </ns0:c>
      <ns0:c r="B564" s="219">
        <ns0:f>IFERROR(IF(AND(AH!$P$9&lt;&gt;1,$C564&gt;0,$D564&gt;0,$E564&gt;0,$F564&gt;0,$G564&gt;0,$F564&lt;=$A564,$G564&lt;=$A564,$A564-$F564&lt;=10,$A564-$G564&lt;=5),$D564*$E564/$C564-1,NA()),NA())</ns0:f>
        <ns0:v/>
      </ns0:c>
      <ns0:c r="C564">
        <ns0:f>IFERROR(IF(ISNUMBER($A564),IF(AND(AH!$P$10=1,AH!$P$12=1,$A564=TODAY()),AH!$P$19,IF(AH!$P$10=1,INDEX('Live History'!$B$5:$B$3004,AH!$P$13+559),INDEX('AH History'!$B$1:$B$18046,AH!$P$7+559))),NA()),NA())</ns0:f>
        <ns0:v/>
      </ns0:c>
      <ns0:c r="D564">
        <ns0:f>IFERROR(IF(ISNUMBER($A564),IF(AND(AH!$P$10=1,AH!$P$12=1,$A564=TODAY()),AH!$P$18,IF(AH!$P$10=1,INDEX('Live History'!$E$5:$E$3004,MATCH($A564,'Live History'!$D$5:$D$3004,1)),INDEX('AH History'!$C$1:$C$18046,AH!$P$7+559))),NA()),NA())</ns0:f>
        <ns0:v/>
      </ns0:c>
      <ns0:c r="E564">
        <ns0:f>IFERROR(IF(ISNUMBER($A564),IF(AND(AH!$P$10=1,AH!$P$12=1,$A564=TODAY()),AH!$P$20,IF(AH!$P$10=1,INDEX('Live History'!$H$5:$H$3004,MATCH($A564,'Live History'!$G$5:$G$3004,1)),INDEX('AH History'!$D$1:$D$18046,AH!$P$7+559))),NA()),NA())</ns0:f>
        <ns0:v/>
      </ns0:c>
      <ns0:c r="F564">
        <ns0:f>IFERROR(IF(ISNUMBER($A564),IF(AND(AH!$P$10=1,AH!$P$12=1,$A564=TODAY()),IF(AND(AH!$P$10=1,AH!$P$12=1,$A564=TODAY()),TODAY(),NA()),IF(AH!$P$10=1,INDEX('Live History'!$D$5:$D$3004,MATCH($A564,'Live History'!$D$5:$D$3004,1)),INDEX('AH History'!$E$1:$E$18046,AH!$P$7+559))),NA()),NA())</ns0:f>
        <ns0:v/>
      </ns0:c>
      <ns0:c r="G564">
        <ns0:f>IFERROR(IF(ISNUMBER($A564),IF(AND(AH!$P$10=1,AH!$P$12=1,$A564=TODAY()),IF(AND(AH!$P$10=1,AH!$P$12=1,$A564=TODAY()),TODAY(),NA()),IF(AH!$P$10=1,INDEX('Live History'!$G$5:$G$3004,MATCH($A564,'Live History'!$G$5:$G$3004,1)),INDEX('AH History'!$F$1:$F$18046,AH!$P$7+559))),NA()),NA())</ns0:f>
        <ns0:v/>
      </ns0:c>
      <ns0:c r="H564">
        <ns0:f>IFERROR(IF(AND(AH!$E$4="Bloomberg",AH!$P$10=1,ISNUMBER($A564),$A564&lt;=AH!$P$17),AH!$P$7-1+MATCH($A564,INDEX('AH History'!$A$1:$A$18046,AH!$P$7):INDEX('AH History'!$A$1:$A$18046,AH!$P$7+AH!$P$8-1),0),0),0)</ns0:f>
        <ns0:v/>
      </ns0:c>
      <ns0:c r="I564">
        <ns0:f>IF($H564=0,0,IFERROR(IF(AND(ABS($C564-INDEX('AH History'!$B$1:$B$18046,$H564))&lt;=MAX(0.005,ABS(INDEX('AH History'!$B$1:$B$18046,$H564))*0.00005),ABS($D564-INDEX('AH History'!$C$1:$C$18046,$H564))&lt;=MAX(0.005,ABS(INDEX('AH History'!$C$1:$C$18046,$H564))*0.00005),ABS($E564-INDEX('AH History'!$D$1:$D$18046,$H564))&lt;=0.00005,$F564=INDEX('AH History'!$E$1:$E$18046,$H564),$G564=INDEX('AH History'!$F$1:$F$18046,$H564)),1,-1),-1))</ns0:f>
        <ns0:v/>
      </ns0:c>
    </ns0:row>
    <ns0:row r="565">
      <ns0:c r="A565" s="215">
        <ns0:f>IF(OR(AH!$P$3=0,560+1&gt;AH!$P$11,AND(AH!$E$4&lt;&gt;"Stored",AH!$P$10&lt;&gt;1)),"",IFERROR(IF(AND(AH!$P$21=1,560+1=AH!$P$11),TODAY(),IF(AH!$P$10=1,INDEX('Live History'!$A$5:$A$3004,AH!$P$13+560),INDEX('AH History'!$A$1:$A$18046,AH!$P$7+560))),""))</ns0:f>
        <ns0:v/>
      </ns0:c>
      <ns0:c r="B565" s="219">
        <ns0:f>IFERROR(IF(AND(AH!$P$9&lt;&gt;1,$C565&gt;0,$D565&gt;0,$E565&gt;0,$F565&gt;0,$G565&gt;0,$F565&lt;=$A565,$G565&lt;=$A565,$A565-$F565&lt;=10,$A565-$G565&lt;=5),$D565*$E565/$C565-1,NA()),NA())</ns0:f>
        <ns0:v/>
      </ns0:c>
      <ns0:c r="C565">
        <ns0:f>IFERROR(IF(ISNUMBER($A565),IF(AND(AH!$P$10=1,AH!$P$12=1,$A565=TODAY()),AH!$P$19,IF(AH!$P$10=1,INDEX('Live History'!$B$5:$B$3004,AH!$P$13+560),INDEX('AH History'!$B$1:$B$18046,AH!$P$7+560))),NA()),NA())</ns0:f>
        <ns0:v/>
      </ns0:c>
      <ns0:c r="D565">
        <ns0:f>IFERROR(IF(ISNUMBER($A565),IF(AND(AH!$P$10=1,AH!$P$12=1,$A565=TODAY()),AH!$P$18,IF(AH!$P$10=1,INDEX('Live History'!$E$5:$E$3004,MATCH($A565,'Live History'!$D$5:$D$3004,1)),INDEX('AH History'!$C$1:$C$18046,AH!$P$7+560))),NA()),NA())</ns0:f>
        <ns0:v/>
      </ns0:c>
      <ns0:c r="E565">
        <ns0:f>IFERROR(IF(ISNUMBER($A565),IF(AND(AH!$P$10=1,AH!$P$12=1,$A565=TODAY()),AH!$P$20,IF(AH!$P$10=1,INDEX('Live History'!$H$5:$H$3004,MATCH($A565,'Live History'!$G$5:$G$3004,1)),INDEX('AH History'!$D$1:$D$18046,AH!$P$7+560))),NA()),NA())</ns0:f>
        <ns0:v/>
      </ns0:c>
      <ns0:c r="F565">
        <ns0:f>IFERROR(IF(ISNUMBER($A565),IF(AND(AH!$P$10=1,AH!$P$12=1,$A565=TODAY()),IF(AND(AH!$P$10=1,AH!$P$12=1,$A565=TODAY()),TODAY(),NA()),IF(AH!$P$10=1,INDEX('Live History'!$D$5:$D$3004,MATCH($A565,'Live History'!$D$5:$D$3004,1)),INDEX('AH History'!$E$1:$E$18046,AH!$P$7+560))),NA()),NA())</ns0:f>
        <ns0:v/>
      </ns0:c>
      <ns0:c r="G565">
        <ns0:f>IFERROR(IF(ISNUMBER($A565),IF(AND(AH!$P$10=1,AH!$P$12=1,$A565=TODAY()),IF(AND(AH!$P$10=1,AH!$P$12=1,$A565=TODAY()),TODAY(),NA()),IF(AH!$P$10=1,INDEX('Live History'!$G$5:$G$3004,MATCH($A565,'Live History'!$G$5:$G$3004,1)),INDEX('AH History'!$F$1:$F$18046,AH!$P$7+560))),NA()),NA())</ns0:f>
        <ns0:v/>
      </ns0:c>
      <ns0:c r="H565">
        <ns0:f>IFERROR(IF(AND(AH!$E$4="Bloomberg",AH!$P$10=1,ISNUMBER($A565),$A565&lt;=AH!$P$17),AH!$P$7-1+MATCH($A565,INDEX('AH History'!$A$1:$A$18046,AH!$P$7):INDEX('AH History'!$A$1:$A$18046,AH!$P$7+AH!$P$8-1),0),0),0)</ns0:f>
        <ns0:v/>
      </ns0:c>
      <ns0:c r="I565">
        <ns0:f>IF($H565=0,0,IFERROR(IF(AND(ABS($C565-INDEX('AH History'!$B$1:$B$18046,$H565))&lt;=MAX(0.005,ABS(INDEX('AH History'!$B$1:$B$18046,$H565))*0.00005),ABS($D565-INDEX('AH History'!$C$1:$C$18046,$H565))&lt;=MAX(0.005,ABS(INDEX('AH History'!$C$1:$C$18046,$H565))*0.00005),ABS($E565-INDEX('AH History'!$D$1:$D$18046,$H565))&lt;=0.00005,$F565=INDEX('AH History'!$E$1:$E$18046,$H565),$G565=INDEX('AH History'!$F$1:$F$18046,$H565)),1,-1),-1))</ns0:f>
        <ns0:v/>
      </ns0:c>
    </ns0:row>
    <ns0:row r="566">
      <ns0:c r="A566" s="215">
        <ns0:f>IF(OR(AH!$P$3=0,561+1&gt;AH!$P$11,AND(AH!$E$4&lt;&gt;"Stored",AH!$P$10&lt;&gt;1)),"",IFERROR(IF(AND(AH!$P$21=1,561+1=AH!$P$11),TODAY(),IF(AH!$P$10=1,INDEX('Live History'!$A$5:$A$3004,AH!$P$13+561),INDEX('AH History'!$A$1:$A$18046,AH!$P$7+561))),""))</ns0:f>
        <ns0:v/>
      </ns0:c>
      <ns0:c r="B566" s="219">
        <ns0:f>IFERROR(IF(AND(AH!$P$9&lt;&gt;1,$C566&gt;0,$D566&gt;0,$E566&gt;0,$F566&gt;0,$G566&gt;0,$F566&lt;=$A566,$G566&lt;=$A566,$A566-$F566&lt;=10,$A566-$G566&lt;=5),$D566*$E566/$C566-1,NA()),NA())</ns0:f>
        <ns0:v/>
      </ns0:c>
      <ns0:c r="C566">
        <ns0:f>IFERROR(IF(ISNUMBER($A566),IF(AND(AH!$P$10=1,AH!$P$12=1,$A566=TODAY()),AH!$P$19,IF(AH!$P$10=1,INDEX('Live History'!$B$5:$B$3004,AH!$P$13+561),INDEX('AH History'!$B$1:$B$18046,AH!$P$7+561))),NA()),NA())</ns0:f>
        <ns0:v/>
      </ns0:c>
      <ns0:c r="D566">
        <ns0:f>IFERROR(IF(ISNUMBER($A566),IF(AND(AH!$P$10=1,AH!$P$12=1,$A566=TODAY()),AH!$P$18,IF(AH!$P$10=1,INDEX('Live History'!$E$5:$E$3004,MATCH($A566,'Live History'!$D$5:$D$3004,1)),INDEX('AH History'!$C$1:$C$18046,AH!$P$7+561))),NA()),NA())</ns0:f>
        <ns0:v/>
      </ns0:c>
      <ns0:c r="E566">
        <ns0:f>IFERROR(IF(ISNUMBER($A566),IF(AND(AH!$P$10=1,AH!$P$12=1,$A566=TODAY()),AH!$P$20,IF(AH!$P$10=1,INDEX('Live History'!$H$5:$H$3004,MATCH($A566,'Live History'!$G$5:$G$3004,1)),INDEX('AH History'!$D$1:$D$18046,AH!$P$7+561))),NA()),NA())</ns0:f>
        <ns0:v/>
      </ns0:c>
      <ns0:c r="F566">
        <ns0:f>IFERROR(IF(ISNUMBER($A566),IF(AND(AH!$P$10=1,AH!$P$12=1,$A566=TODAY()),IF(AND(AH!$P$10=1,AH!$P$12=1,$A566=TODAY()),TODAY(),NA()),IF(AH!$P$10=1,INDEX('Live History'!$D$5:$D$3004,MATCH($A566,'Live History'!$D$5:$D$3004,1)),INDEX('AH History'!$E$1:$E$18046,AH!$P$7+561))),NA()),NA())</ns0:f>
        <ns0:v/>
      </ns0:c>
      <ns0:c r="G566">
        <ns0:f>IFERROR(IF(ISNUMBER($A566),IF(AND(AH!$P$10=1,AH!$P$12=1,$A566=TODAY()),IF(AND(AH!$P$10=1,AH!$P$12=1,$A566=TODAY()),TODAY(),NA()),IF(AH!$P$10=1,INDEX('Live History'!$G$5:$G$3004,MATCH($A566,'Live History'!$G$5:$G$3004,1)),INDEX('AH History'!$F$1:$F$18046,AH!$P$7+561))),NA()),NA())</ns0:f>
        <ns0:v/>
      </ns0:c>
      <ns0:c r="H566">
        <ns0:f>IFERROR(IF(AND(AH!$E$4="Bloomberg",AH!$P$10=1,ISNUMBER($A566),$A566&lt;=AH!$P$17),AH!$P$7-1+MATCH($A566,INDEX('AH History'!$A$1:$A$18046,AH!$P$7):INDEX('AH History'!$A$1:$A$18046,AH!$P$7+AH!$P$8-1),0),0),0)</ns0:f>
        <ns0:v/>
      </ns0:c>
      <ns0:c r="I566">
        <ns0:f>IF($H566=0,0,IFERROR(IF(AND(ABS($C566-INDEX('AH History'!$B$1:$B$18046,$H566))&lt;=MAX(0.005,ABS(INDEX('AH History'!$B$1:$B$18046,$H566))*0.00005),ABS($D566-INDEX('AH History'!$C$1:$C$18046,$H566))&lt;=MAX(0.005,ABS(INDEX('AH History'!$C$1:$C$18046,$H566))*0.00005),ABS($E566-INDEX('AH History'!$D$1:$D$18046,$H566))&lt;=0.00005,$F566=INDEX('AH History'!$E$1:$E$18046,$H566),$G566=INDEX('AH History'!$F$1:$F$18046,$H566)),1,-1),-1))</ns0:f>
        <ns0:v/>
      </ns0:c>
    </ns0:row>
    <ns0:row r="567">
      <ns0:c r="A567" s="215">
        <ns0:f>IF(OR(AH!$P$3=0,562+1&gt;AH!$P$11,AND(AH!$E$4&lt;&gt;"Stored",AH!$P$10&lt;&gt;1)),"",IFERROR(IF(AND(AH!$P$21=1,562+1=AH!$P$11),TODAY(),IF(AH!$P$10=1,INDEX('Live History'!$A$5:$A$3004,AH!$P$13+562),INDEX('AH History'!$A$1:$A$18046,AH!$P$7+562))),""))</ns0:f>
        <ns0:v/>
      </ns0:c>
      <ns0:c r="B567" s="219">
        <ns0:f>IFERROR(IF(AND(AH!$P$9&lt;&gt;1,$C567&gt;0,$D567&gt;0,$E567&gt;0,$F567&gt;0,$G567&gt;0,$F567&lt;=$A567,$G567&lt;=$A567,$A567-$F567&lt;=10,$A567-$G567&lt;=5),$D567*$E567/$C567-1,NA()),NA())</ns0:f>
        <ns0:v/>
      </ns0:c>
      <ns0:c r="C567">
        <ns0:f>IFERROR(IF(ISNUMBER($A567),IF(AND(AH!$P$10=1,AH!$P$12=1,$A567=TODAY()),AH!$P$19,IF(AH!$P$10=1,INDEX('Live History'!$B$5:$B$3004,AH!$P$13+562),INDEX('AH History'!$B$1:$B$18046,AH!$P$7+562))),NA()),NA())</ns0:f>
        <ns0:v/>
      </ns0:c>
      <ns0:c r="D567">
        <ns0:f>IFERROR(IF(ISNUMBER($A567),IF(AND(AH!$P$10=1,AH!$P$12=1,$A567=TODAY()),AH!$P$18,IF(AH!$P$10=1,INDEX('Live History'!$E$5:$E$3004,MATCH($A567,'Live History'!$D$5:$D$3004,1)),INDEX('AH History'!$C$1:$C$18046,AH!$P$7+562))),NA()),NA())</ns0:f>
        <ns0:v/>
      </ns0:c>
      <ns0:c r="E567">
        <ns0:f>IFERROR(IF(ISNUMBER($A567),IF(AND(AH!$P$10=1,AH!$P$12=1,$A567=TODAY()),AH!$P$20,IF(AH!$P$10=1,INDEX('Live History'!$H$5:$H$3004,MATCH($A567,'Live History'!$G$5:$G$3004,1)),INDEX('AH History'!$D$1:$D$18046,AH!$P$7+562))),NA()),NA())</ns0:f>
        <ns0:v/>
      </ns0:c>
      <ns0:c r="F567">
        <ns0:f>IFERROR(IF(ISNUMBER($A567),IF(AND(AH!$P$10=1,AH!$P$12=1,$A567=TODAY()),IF(AND(AH!$P$10=1,AH!$P$12=1,$A567=TODAY()),TODAY(),NA()),IF(AH!$P$10=1,INDEX('Live History'!$D$5:$D$3004,MATCH($A567,'Live History'!$D$5:$D$3004,1)),INDEX('AH History'!$E$1:$E$18046,AH!$P$7+562))),NA()),NA())</ns0:f>
        <ns0:v/>
      </ns0:c>
      <ns0:c r="G567">
        <ns0:f>IFERROR(IF(ISNUMBER($A567),IF(AND(AH!$P$10=1,AH!$P$12=1,$A567=TODAY()),IF(AND(AH!$P$10=1,AH!$P$12=1,$A567=TODAY()),TODAY(),NA()),IF(AH!$P$10=1,INDEX('Live History'!$G$5:$G$3004,MATCH($A567,'Live History'!$G$5:$G$3004,1)),INDEX('AH History'!$F$1:$F$18046,AH!$P$7+562))),NA()),NA())</ns0:f>
        <ns0:v/>
      </ns0:c>
      <ns0:c r="H567">
        <ns0:f>IFERROR(IF(AND(AH!$E$4="Bloomberg",AH!$P$10=1,ISNUMBER($A567),$A567&lt;=AH!$P$17),AH!$P$7-1+MATCH($A567,INDEX('AH History'!$A$1:$A$18046,AH!$P$7):INDEX('AH History'!$A$1:$A$18046,AH!$P$7+AH!$P$8-1),0),0),0)</ns0:f>
        <ns0:v/>
      </ns0:c>
      <ns0:c r="I567">
        <ns0:f>IF($H567=0,0,IFERROR(IF(AND(ABS($C567-INDEX('AH History'!$B$1:$B$18046,$H567))&lt;=MAX(0.005,ABS(INDEX('AH History'!$B$1:$B$18046,$H567))*0.00005),ABS($D567-INDEX('AH History'!$C$1:$C$18046,$H567))&lt;=MAX(0.005,ABS(INDEX('AH History'!$C$1:$C$18046,$H567))*0.00005),ABS($E567-INDEX('AH History'!$D$1:$D$18046,$H567))&lt;=0.00005,$F567=INDEX('AH History'!$E$1:$E$18046,$H567),$G567=INDEX('AH History'!$F$1:$F$18046,$H567)),1,-1),-1))</ns0:f>
        <ns0:v/>
      </ns0:c>
    </ns0:row>
    <ns0:row r="568">
      <ns0:c r="A568" s="215">
        <ns0:f>IF(OR(AH!$P$3=0,563+1&gt;AH!$P$11,AND(AH!$E$4&lt;&gt;"Stored",AH!$P$10&lt;&gt;1)),"",IFERROR(IF(AND(AH!$P$21=1,563+1=AH!$P$11),TODAY(),IF(AH!$P$10=1,INDEX('Live History'!$A$5:$A$3004,AH!$P$13+563),INDEX('AH History'!$A$1:$A$18046,AH!$P$7+563))),""))</ns0:f>
        <ns0:v/>
      </ns0:c>
      <ns0:c r="B568" s="219">
        <ns0:f>IFERROR(IF(AND(AH!$P$9&lt;&gt;1,$C568&gt;0,$D568&gt;0,$E568&gt;0,$F568&gt;0,$G568&gt;0,$F568&lt;=$A568,$G568&lt;=$A568,$A568-$F568&lt;=10,$A568-$G568&lt;=5),$D568*$E568/$C568-1,NA()),NA())</ns0:f>
        <ns0:v/>
      </ns0:c>
      <ns0:c r="C568">
        <ns0:f>IFERROR(IF(ISNUMBER($A568),IF(AND(AH!$P$10=1,AH!$P$12=1,$A568=TODAY()),AH!$P$19,IF(AH!$P$10=1,INDEX('Live History'!$B$5:$B$3004,AH!$P$13+563),INDEX('AH History'!$B$1:$B$18046,AH!$P$7+563))),NA()),NA())</ns0:f>
        <ns0:v/>
      </ns0:c>
      <ns0:c r="D568">
        <ns0:f>IFERROR(IF(ISNUMBER($A568),IF(AND(AH!$P$10=1,AH!$P$12=1,$A568=TODAY()),AH!$P$18,IF(AH!$P$10=1,INDEX('Live History'!$E$5:$E$3004,MATCH($A568,'Live History'!$D$5:$D$3004,1)),INDEX('AH History'!$C$1:$C$18046,AH!$P$7+563))),NA()),NA())</ns0:f>
        <ns0:v/>
      </ns0:c>
      <ns0:c r="E568">
        <ns0:f>IFERROR(IF(ISNUMBER($A568),IF(AND(AH!$P$10=1,AH!$P$12=1,$A568=TODAY()),AH!$P$20,IF(AH!$P$10=1,INDEX('Live History'!$H$5:$H$3004,MATCH($A568,'Live History'!$G$5:$G$3004,1)),INDEX('AH History'!$D$1:$D$18046,AH!$P$7+563))),NA()),NA())</ns0:f>
        <ns0:v/>
      </ns0:c>
      <ns0:c r="F568">
        <ns0:f>IFERROR(IF(ISNUMBER($A568),IF(AND(AH!$P$10=1,AH!$P$12=1,$A568=TODAY()),IF(AND(AH!$P$10=1,AH!$P$12=1,$A568=TODAY()),TODAY(),NA()),IF(AH!$P$10=1,INDEX('Live History'!$D$5:$D$3004,MATCH($A568,'Live History'!$D$5:$D$3004,1)),INDEX('AH History'!$E$1:$E$18046,AH!$P$7+563))),NA()),NA())</ns0:f>
        <ns0:v/>
      </ns0:c>
      <ns0:c r="G568">
        <ns0:f>IFERROR(IF(ISNUMBER($A568),IF(AND(AH!$P$10=1,AH!$P$12=1,$A568=TODAY()),IF(AND(AH!$P$10=1,AH!$P$12=1,$A568=TODAY()),TODAY(),NA()),IF(AH!$P$10=1,INDEX('Live History'!$G$5:$G$3004,MATCH($A568,'Live History'!$G$5:$G$3004,1)),INDEX('AH History'!$F$1:$F$18046,AH!$P$7+563))),NA()),NA())</ns0:f>
        <ns0:v/>
      </ns0:c>
      <ns0:c r="H568">
        <ns0:f>IFERROR(IF(AND(AH!$E$4="Bloomberg",AH!$P$10=1,ISNUMBER($A568),$A568&lt;=AH!$P$17),AH!$P$7-1+MATCH($A568,INDEX('AH History'!$A$1:$A$18046,AH!$P$7):INDEX('AH History'!$A$1:$A$18046,AH!$P$7+AH!$P$8-1),0),0),0)</ns0:f>
        <ns0:v/>
      </ns0:c>
      <ns0:c r="I568">
        <ns0:f>IF($H568=0,0,IFERROR(IF(AND(ABS($C568-INDEX('AH History'!$B$1:$B$18046,$H568))&lt;=MAX(0.005,ABS(INDEX('AH History'!$B$1:$B$18046,$H568))*0.00005),ABS($D568-INDEX('AH History'!$C$1:$C$18046,$H568))&lt;=MAX(0.005,ABS(INDEX('AH History'!$C$1:$C$18046,$H568))*0.00005),ABS($E568-INDEX('AH History'!$D$1:$D$18046,$H568))&lt;=0.00005,$F568=INDEX('AH History'!$E$1:$E$18046,$H568),$G568=INDEX('AH History'!$F$1:$F$18046,$H568)),1,-1),-1))</ns0:f>
        <ns0:v/>
      </ns0:c>
    </ns0:row>
    <ns0:row r="569">
      <ns0:c r="A569" s="215">
        <ns0:f>IF(OR(AH!$P$3=0,564+1&gt;AH!$P$11,AND(AH!$E$4&lt;&gt;"Stored",AH!$P$10&lt;&gt;1)),"",IFERROR(IF(AND(AH!$P$21=1,564+1=AH!$P$11),TODAY(),IF(AH!$P$10=1,INDEX('Live History'!$A$5:$A$3004,AH!$P$13+564),INDEX('AH History'!$A$1:$A$18046,AH!$P$7+564))),""))</ns0:f>
        <ns0:v/>
      </ns0:c>
      <ns0:c r="B569" s="219">
        <ns0:f>IFERROR(IF(AND(AH!$P$9&lt;&gt;1,$C569&gt;0,$D569&gt;0,$E569&gt;0,$F569&gt;0,$G569&gt;0,$F569&lt;=$A569,$G569&lt;=$A569,$A569-$F569&lt;=10,$A569-$G569&lt;=5),$D569*$E569/$C569-1,NA()),NA())</ns0:f>
        <ns0:v/>
      </ns0:c>
      <ns0:c r="C569">
        <ns0:f>IFERROR(IF(ISNUMBER($A569),IF(AND(AH!$P$10=1,AH!$P$12=1,$A569=TODAY()),AH!$P$19,IF(AH!$P$10=1,INDEX('Live History'!$B$5:$B$3004,AH!$P$13+564),INDEX('AH History'!$B$1:$B$18046,AH!$P$7+564))),NA()),NA())</ns0:f>
        <ns0:v/>
      </ns0:c>
      <ns0:c r="D569">
        <ns0:f>IFERROR(IF(ISNUMBER($A569),IF(AND(AH!$P$10=1,AH!$P$12=1,$A569=TODAY()),AH!$P$18,IF(AH!$P$10=1,INDEX('Live History'!$E$5:$E$3004,MATCH($A569,'Live History'!$D$5:$D$3004,1)),INDEX('AH History'!$C$1:$C$18046,AH!$P$7+564))),NA()),NA())</ns0:f>
        <ns0:v/>
      </ns0:c>
      <ns0:c r="E569">
        <ns0:f>IFERROR(IF(ISNUMBER($A569),IF(AND(AH!$P$10=1,AH!$P$12=1,$A569=TODAY()),AH!$P$20,IF(AH!$P$10=1,INDEX('Live History'!$H$5:$H$3004,MATCH($A569,'Live History'!$G$5:$G$3004,1)),INDEX('AH History'!$D$1:$D$18046,AH!$P$7+564))),NA()),NA())</ns0:f>
        <ns0:v/>
      </ns0:c>
      <ns0:c r="F569">
        <ns0:f>IFERROR(IF(ISNUMBER($A569),IF(AND(AH!$P$10=1,AH!$P$12=1,$A569=TODAY()),IF(AND(AH!$P$10=1,AH!$P$12=1,$A569=TODAY()),TODAY(),NA()),IF(AH!$P$10=1,INDEX('Live History'!$D$5:$D$3004,MATCH($A569,'Live History'!$D$5:$D$3004,1)),INDEX('AH History'!$E$1:$E$18046,AH!$P$7+564))),NA()),NA())</ns0:f>
        <ns0:v/>
      </ns0:c>
      <ns0:c r="G569">
        <ns0:f>IFERROR(IF(ISNUMBER($A569),IF(AND(AH!$P$10=1,AH!$P$12=1,$A569=TODAY()),IF(AND(AH!$P$10=1,AH!$P$12=1,$A569=TODAY()),TODAY(),NA()),IF(AH!$P$10=1,INDEX('Live History'!$G$5:$G$3004,MATCH($A569,'Live History'!$G$5:$G$3004,1)),INDEX('AH History'!$F$1:$F$18046,AH!$P$7+564))),NA()),NA())</ns0:f>
        <ns0:v/>
      </ns0:c>
      <ns0:c r="H569">
        <ns0:f>IFERROR(IF(AND(AH!$E$4="Bloomberg",AH!$P$10=1,ISNUMBER($A569),$A569&lt;=AH!$P$17),AH!$P$7-1+MATCH($A569,INDEX('AH History'!$A$1:$A$18046,AH!$P$7):INDEX('AH History'!$A$1:$A$18046,AH!$P$7+AH!$P$8-1),0),0),0)</ns0:f>
        <ns0:v/>
      </ns0:c>
      <ns0:c r="I569">
        <ns0:f>IF($H569=0,0,IFERROR(IF(AND(ABS($C569-INDEX('AH History'!$B$1:$B$18046,$H569))&lt;=MAX(0.005,ABS(INDEX('AH History'!$B$1:$B$18046,$H569))*0.00005),ABS($D569-INDEX('AH History'!$C$1:$C$18046,$H569))&lt;=MAX(0.005,ABS(INDEX('AH History'!$C$1:$C$18046,$H569))*0.00005),ABS($E569-INDEX('AH History'!$D$1:$D$18046,$H569))&lt;=0.00005,$F569=INDEX('AH History'!$E$1:$E$18046,$H569),$G569=INDEX('AH History'!$F$1:$F$18046,$H569)),1,-1),-1))</ns0:f>
        <ns0:v/>
      </ns0:c>
    </ns0:row>
    <ns0:row r="570">
      <ns0:c r="A570" s="215">
        <ns0:f>IF(OR(AH!$P$3=0,565+1&gt;AH!$P$11,AND(AH!$E$4&lt;&gt;"Stored",AH!$P$10&lt;&gt;1)),"",IFERROR(IF(AND(AH!$P$21=1,565+1=AH!$P$11),TODAY(),IF(AH!$P$10=1,INDEX('Live History'!$A$5:$A$3004,AH!$P$13+565),INDEX('AH History'!$A$1:$A$18046,AH!$P$7+565))),""))</ns0:f>
        <ns0:v/>
      </ns0:c>
      <ns0:c r="B570" s="219">
        <ns0:f>IFERROR(IF(AND(AH!$P$9&lt;&gt;1,$C570&gt;0,$D570&gt;0,$E570&gt;0,$F570&gt;0,$G570&gt;0,$F570&lt;=$A570,$G570&lt;=$A570,$A570-$F570&lt;=10,$A570-$G570&lt;=5),$D570*$E570/$C570-1,NA()),NA())</ns0:f>
        <ns0:v/>
      </ns0:c>
      <ns0:c r="C570">
        <ns0:f>IFERROR(IF(ISNUMBER($A570),IF(AND(AH!$P$10=1,AH!$P$12=1,$A570=TODAY()),AH!$P$19,IF(AH!$P$10=1,INDEX('Live History'!$B$5:$B$3004,AH!$P$13+565),INDEX('AH History'!$B$1:$B$18046,AH!$P$7+565))),NA()),NA())</ns0:f>
        <ns0:v/>
      </ns0:c>
      <ns0:c r="D570">
        <ns0:f>IFERROR(IF(ISNUMBER($A570),IF(AND(AH!$P$10=1,AH!$P$12=1,$A570=TODAY()),AH!$P$18,IF(AH!$P$10=1,INDEX('Live History'!$E$5:$E$3004,MATCH($A570,'Live History'!$D$5:$D$3004,1)),INDEX('AH History'!$C$1:$C$18046,AH!$P$7+565))),NA()),NA())</ns0:f>
        <ns0:v/>
      </ns0:c>
      <ns0:c r="E570">
        <ns0:f>IFERROR(IF(ISNUMBER($A570),IF(AND(AH!$P$10=1,AH!$P$12=1,$A570=TODAY()),AH!$P$20,IF(AH!$P$10=1,INDEX('Live History'!$H$5:$H$3004,MATCH($A570,'Live History'!$G$5:$G$3004,1)),INDEX('AH History'!$D$1:$D$18046,AH!$P$7+565))),NA()),NA())</ns0:f>
        <ns0:v/>
      </ns0:c>
      <ns0:c r="F570">
        <ns0:f>IFERROR(IF(ISNUMBER($A570),IF(AND(AH!$P$10=1,AH!$P$12=1,$A570=TODAY()),IF(AND(AH!$P$10=1,AH!$P$12=1,$A570=TODAY()),TODAY(),NA()),IF(AH!$P$10=1,INDEX('Live History'!$D$5:$D$3004,MATCH($A570,'Live History'!$D$5:$D$3004,1)),INDEX('AH History'!$E$1:$E$18046,AH!$P$7+565))),NA()),NA())</ns0:f>
        <ns0:v/>
      </ns0:c>
      <ns0:c r="G570">
        <ns0:f>IFERROR(IF(ISNUMBER($A570),IF(AND(AH!$P$10=1,AH!$P$12=1,$A570=TODAY()),IF(AND(AH!$P$10=1,AH!$P$12=1,$A570=TODAY()),TODAY(),NA()),IF(AH!$P$10=1,INDEX('Live History'!$G$5:$G$3004,MATCH($A570,'Live History'!$G$5:$G$3004,1)),INDEX('AH History'!$F$1:$F$18046,AH!$P$7+565))),NA()),NA())</ns0:f>
        <ns0:v/>
      </ns0:c>
      <ns0:c r="H570">
        <ns0:f>IFERROR(IF(AND(AH!$E$4="Bloomberg",AH!$P$10=1,ISNUMBER($A570),$A570&lt;=AH!$P$17),AH!$P$7-1+MATCH($A570,INDEX('AH History'!$A$1:$A$18046,AH!$P$7):INDEX('AH History'!$A$1:$A$18046,AH!$P$7+AH!$P$8-1),0),0),0)</ns0:f>
        <ns0:v/>
      </ns0:c>
      <ns0:c r="I570">
        <ns0:f>IF($H570=0,0,IFERROR(IF(AND(ABS($C570-INDEX('AH History'!$B$1:$B$18046,$H570))&lt;=MAX(0.005,ABS(INDEX('AH History'!$B$1:$B$18046,$H570))*0.00005),ABS($D570-INDEX('AH History'!$C$1:$C$18046,$H570))&lt;=MAX(0.005,ABS(INDEX('AH History'!$C$1:$C$18046,$H570))*0.00005),ABS($E570-INDEX('AH History'!$D$1:$D$18046,$H570))&lt;=0.00005,$F570=INDEX('AH History'!$E$1:$E$18046,$H570),$G570=INDEX('AH History'!$F$1:$F$18046,$H570)),1,-1),-1))</ns0:f>
        <ns0:v/>
      </ns0:c>
    </ns0:row>
    <ns0:row r="571">
      <ns0:c r="A571" s="215">
        <ns0:f>IF(OR(AH!$P$3=0,566+1&gt;AH!$P$11,AND(AH!$E$4&lt;&gt;"Stored",AH!$P$10&lt;&gt;1)),"",IFERROR(IF(AND(AH!$P$21=1,566+1=AH!$P$11),TODAY(),IF(AH!$P$10=1,INDEX('Live History'!$A$5:$A$3004,AH!$P$13+566),INDEX('AH History'!$A$1:$A$18046,AH!$P$7+566))),""))</ns0:f>
        <ns0:v/>
      </ns0:c>
      <ns0:c r="B571" s="219">
        <ns0:f>IFERROR(IF(AND(AH!$P$9&lt;&gt;1,$C571&gt;0,$D571&gt;0,$E571&gt;0,$F571&gt;0,$G571&gt;0,$F571&lt;=$A571,$G571&lt;=$A571,$A571-$F571&lt;=10,$A571-$G571&lt;=5),$D571*$E571/$C571-1,NA()),NA())</ns0:f>
        <ns0:v/>
      </ns0:c>
      <ns0:c r="C571">
        <ns0:f>IFERROR(IF(ISNUMBER($A571),IF(AND(AH!$P$10=1,AH!$P$12=1,$A571=TODAY()),AH!$P$19,IF(AH!$P$10=1,INDEX('Live History'!$B$5:$B$3004,AH!$P$13+566),INDEX('AH History'!$B$1:$B$18046,AH!$P$7+566))),NA()),NA())</ns0:f>
        <ns0:v/>
      </ns0:c>
      <ns0:c r="D571">
        <ns0:f>IFERROR(IF(ISNUMBER($A571),IF(AND(AH!$P$10=1,AH!$P$12=1,$A571=TODAY()),AH!$P$18,IF(AH!$P$10=1,INDEX('Live History'!$E$5:$E$3004,MATCH($A571,'Live History'!$D$5:$D$3004,1)),INDEX('AH History'!$C$1:$C$18046,AH!$P$7+566))),NA()),NA())</ns0:f>
        <ns0:v/>
      </ns0:c>
      <ns0:c r="E571">
        <ns0:f>IFERROR(IF(ISNUMBER($A571),IF(AND(AH!$P$10=1,AH!$P$12=1,$A571=TODAY()),AH!$P$20,IF(AH!$P$10=1,INDEX('Live History'!$H$5:$H$3004,MATCH($A571,'Live History'!$G$5:$G$3004,1)),INDEX('AH History'!$D$1:$D$18046,AH!$P$7+566))),NA()),NA())</ns0:f>
        <ns0:v/>
      </ns0:c>
      <ns0:c r="F571">
        <ns0:f>IFERROR(IF(ISNUMBER($A571),IF(AND(AH!$P$10=1,AH!$P$12=1,$A571=TODAY()),IF(AND(AH!$P$10=1,AH!$P$12=1,$A571=TODAY()),TODAY(),NA()),IF(AH!$P$10=1,INDEX('Live History'!$D$5:$D$3004,MATCH($A571,'Live History'!$D$5:$D$3004,1)),INDEX('AH History'!$E$1:$E$18046,AH!$P$7+566))),NA()),NA())</ns0:f>
        <ns0:v/>
      </ns0:c>
      <ns0:c r="G571">
        <ns0:f>IFERROR(IF(ISNUMBER($A571),IF(AND(AH!$P$10=1,AH!$P$12=1,$A571=TODAY()),IF(AND(AH!$P$10=1,AH!$P$12=1,$A571=TODAY()),TODAY(),NA()),IF(AH!$P$10=1,INDEX('Live History'!$G$5:$G$3004,MATCH($A571,'Live History'!$G$5:$G$3004,1)),INDEX('AH History'!$F$1:$F$18046,AH!$P$7+566))),NA()),NA())</ns0:f>
        <ns0:v/>
      </ns0:c>
      <ns0:c r="H571">
        <ns0:f>IFERROR(IF(AND(AH!$E$4="Bloomberg",AH!$P$10=1,ISNUMBER($A571),$A571&lt;=AH!$P$17),AH!$P$7-1+MATCH($A571,INDEX('AH History'!$A$1:$A$18046,AH!$P$7):INDEX('AH History'!$A$1:$A$18046,AH!$P$7+AH!$P$8-1),0),0),0)</ns0:f>
        <ns0:v/>
      </ns0:c>
      <ns0:c r="I571">
        <ns0:f>IF($H571=0,0,IFERROR(IF(AND(ABS($C571-INDEX('AH History'!$B$1:$B$18046,$H571))&lt;=MAX(0.005,ABS(INDEX('AH History'!$B$1:$B$18046,$H571))*0.00005),ABS($D571-INDEX('AH History'!$C$1:$C$18046,$H571))&lt;=MAX(0.005,ABS(INDEX('AH History'!$C$1:$C$18046,$H571))*0.00005),ABS($E571-INDEX('AH History'!$D$1:$D$18046,$H571))&lt;=0.00005,$F571=INDEX('AH History'!$E$1:$E$18046,$H571),$G571=INDEX('AH History'!$F$1:$F$18046,$H571)),1,-1),-1))</ns0:f>
        <ns0:v/>
      </ns0:c>
    </ns0:row>
    <ns0:row r="572">
      <ns0:c r="A572" s="215">
        <ns0:f>IF(OR(AH!$P$3=0,567+1&gt;AH!$P$11,AND(AH!$E$4&lt;&gt;"Stored",AH!$P$10&lt;&gt;1)),"",IFERROR(IF(AND(AH!$P$21=1,567+1=AH!$P$11),TODAY(),IF(AH!$P$10=1,INDEX('Live History'!$A$5:$A$3004,AH!$P$13+567),INDEX('AH History'!$A$1:$A$18046,AH!$P$7+567))),""))</ns0:f>
        <ns0:v/>
      </ns0:c>
      <ns0:c r="B572" s="219">
        <ns0:f>IFERROR(IF(AND(AH!$P$9&lt;&gt;1,$C572&gt;0,$D572&gt;0,$E572&gt;0,$F572&gt;0,$G572&gt;0,$F572&lt;=$A572,$G572&lt;=$A572,$A572-$F572&lt;=10,$A572-$G572&lt;=5),$D572*$E572/$C572-1,NA()),NA())</ns0:f>
        <ns0:v/>
      </ns0:c>
      <ns0:c r="C572">
        <ns0:f>IFERROR(IF(ISNUMBER($A572),IF(AND(AH!$P$10=1,AH!$P$12=1,$A572=TODAY()),AH!$P$19,IF(AH!$P$10=1,INDEX('Live History'!$B$5:$B$3004,AH!$P$13+567),INDEX('AH History'!$B$1:$B$18046,AH!$P$7+567))),NA()),NA())</ns0:f>
        <ns0:v/>
      </ns0:c>
      <ns0:c r="D572">
        <ns0:f>IFERROR(IF(ISNUMBER($A572),IF(AND(AH!$P$10=1,AH!$P$12=1,$A572=TODAY()),AH!$P$18,IF(AH!$P$10=1,INDEX('Live History'!$E$5:$E$3004,MATCH($A572,'Live History'!$D$5:$D$3004,1)),INDEX('AH History'!$C$1:$C$18046,AH!$P$7+567))),NA()),NA())</ns0:f>
        <ns0:v/>
      </ns0:c>
      <ns0:c r="E572">
        <ns0:f>IFERROR(IF(ISNUMBER($A572),IF(AND(AH!$P$10=1,AH!$P$12=1,$A572=TODAY()),AH!$P$20,IF(AH!$P$10=1,INDEX('Live History'!$H$5:$H$3004,MATCH($A572,'Live History'!$G$5:$G$3004,1)),INDEX('AH History'!$D$1:$D$18046,AH!$P$7+567))),NA()),NA())</ns0:f>
        <ns0:v/>
      </ns0:c>
      <ns0:c r="F572">
        <ns0:f>IFERROR(IF(ISNUMBER($A572),IF(AND(AH!$P$10=1,AH!$P$12=1,$A572=TODAY()),IF(AND(AH!$P$10=1,AH!$P$12=1,$A572=TODAY()),TODAY(),NA()),IF(AH!$P$10=1,INDEX('Live History'!$D$5:$D$3004,MATCH($A572,'Live History'!$D$5:$D$3004,1)),INDEX('AH History'!$E$1:$E$18046,AH!$P$7+567))),NA()),NA())</ns0:f>
        <ns0:v/>
      </ns0:c>
      <ns0:c r="G572">
        <ns0:f>IFERROR(IF(ISNUMBER($A572),IF(AND(AH!$P$10=1,AH!$P$12=1,$A572=TODAY()),IF(AND(AH!$P$10=1,AH!$P$12=1,$A572=TODAY()),TODAY(),NA()),IF(AH!$P$10=1,INDEX('Live History'!$G$5:$G$3004,MATCH($A572,'Live History'!$G$5:$G$3004,1)),INDEX('AH History'!$F$1:$F$18046,AH!$P$7+567))),NA()),NA())</ns0:f>
        <ns0:v/>
      </ns0:c>
      <ns0:c r="H572">
        <ns0:f>IFERROR(IF(AND(AH!$E$4="Bloomberg",AH!$P$10=1,ISNUMBER($A572),$A572&lt;=AH!$P$17),AH!$P$7-1+MATCH($A572,INDEX('AH History'!$A$1:$A$18046,AH!$P$7):INDEX('AH History'!$A$1:$A$18046,AH!$P$7+AH!$P$8-1),0),0),0)</ns0:f>
        <ns0:v/>
      </ns0:c>
      <ns0:c r="I572">
        <ns0:f>IF($H572=0,0,IFERROR(IF(AND(ABS($C572-INDEX('AH History'!$B$1:$B$18046,$H572))&lt;=MAX(0.005,ABS(INDEX('AH History'!$B$1:$B$18046,$H572))*0.00005),ABS($D572-INDEX('AH History'!$C$1:$C$18046,$H572))&lt;=MAX(0.005,ABS(INDEX('AH History'!$C$1:$C$18046,$H572))*0.00005),ABS($E572-INDEX('AH History'!$D$1:$D$18046,$H572))&lt;=0.00005,$F572=INDEX('AH History'!$E$1:$E$18046,$H572),$G572=INDEX('AH History'!$F$1:$F$18046,$H572)),1,-1),-1))</ns0:f>
        <ns0:v/>
      </ns0:c>
    </ns0:row>
    <ns0:row r="573">
      <ns0:c r="A573" s="215">
        <ns0:f>IF(OR(AH!$P$3=0,568+1&gt;AH!$P$11,AND(AH!$E$4&lt;&gt;"Stored",AH!$P$10&lt;&gt;1)),"",IFERROR(IF(AND(AH!$P$21=1,568+1=AH!$P$11),TODAY(),IF(AH!$P$10=1,INDEX('Live History'!$A$5:$A$3004,AH!$P$13+568),INDEX('AH History'!$A$1:$A$18046,AH!$P$7+568))),""))</ns0:f>
        <ns0:v/>
      </ns0:c>
      <ns0:c r="B573" s="219">
        <ns0:f>IFERROR(IF(AND(AH!$P$9&lt;&gt;1,$C573&gt;0,$D573&gt;0,$E573&gt;0,$F573&gt;0,$G573&gt;0,$F573&lt;=$A573,$G573&lt;=$A573,$A573-$F573&lt;=10,$A573-$G573&lt;=5),$D573*$E573/$C573-1,NA()),NA())</ns0:f>
        <ns0:v/>
      </ns0:c>
      <ns0:c r="C573">
        <ns0:f>IFERROR(IF(ISNUMBER($A573),IF(AND(AH!$P$10=1,AH!$P$12=1,$A573=TODAY()),AH!$P$19,IF(AH!$P$10=1,INDEX('Live History'!$B$5:$B$3004,AH!$P$13+568),INDEX('AH History'!$B$1:$B$18046,AH!$P$7+568))),NA()),NA())</ns0:f>
        <ns0:v/>
      </ns0:c>
      <ns0:c r="D573">
        <ns0:f>IFERROR(IF(ISNUMBER($A573),IF(AND(AH!$P$10=1,AH!$P$12=1,$A573=TODAY()),AH!$P$18,IF(AH!$P$10=1,INDEX('Live History'!$E$5:$E$3004,MATCH($A573,'Live History'!$D$5:$D$3004,1)),INDEX('AH History'!$C$1:$C$18046,AH!$P$7+568))),NA()),NA())</ns0:f>
        <ns0:v/>
      </ns0:c>
      <ns0:c r="E573">
        <ns0:f>IFERROR(IF(ISNUMBER($A573),IF(AND(AH!$P$10=1,AH!$P$12=1,$A573=TODAY()),AH!$P$20,IF(AH!$P$10=1,INDEX('Live History'!$H$5:$H$3004,MATCH($A573,'Live History'!$G$5:$G$3004,1)),INDEX('AH History'!$D$1:$D$18046,AH!$P$7+568))),NA()),NA())</ns0:f>
        <ns0:v/>
      </ns0:c>
      <ns0:c r="F573">
        <ns0:f>IFERROR(IF(ISNUMBER($A573),IF(AND(AH!$P$10=1,AH!$P$12=1,$A573=TODAY()),IF(AND(AH!$P$10=1,AH!$P$12=1,$A573=TODAY()),TODAY(),NA()),IF(AH!$P$10=1,INDEX('Live History'!$D$5:$D$3004,MATCH($A573,'Live History'!$D$5:$D$3004,1)),INDEX('AH History'!$E$1:$E$18046,AH!$P$7+568))),NA()),NA())</ns0:f>
        <ns0:v/>
      </ns0:c>
      <ns0:c r="G573">
        <ns0:f>IFERROR(IF(ISNUMBER($A573),IF(AND(AH!$P$10=1,AH!$P$12=1,$A573=TODAY()),IF(AND(AH!$P$10=1,AH!$P$12=1,$A573=TODAY()),TODAY(),NA()),IF(AH!$P$10=1,INDEX('Live History'!$G$5:$G$3004,MATCH($A573,'Live History'!$G$5:$G$3004,1)),INDEX('AH History'!$F$1:$F$18046,AH!$P$7+568))),NA()),NA())</ns0:f>
        <ns0:v/>
      </ns0:c>
      <ns0:c r="H573">
        <ns0:f>IFERROR(IF(AND(AH!$E$4="Bloomberg",AH!$P$10=1,ISNUMBER($A573),$A573&lt;=AH!$P$17),AH!$P$7-1+MATCH($A573,INDEX('AH History'!$A$1:$A$18046,AH!$P$7):INDEX('AH History'!$A$1:$A$18046,AH!$P$7+AH!$P$8-1),0),0),0)</ns0:f>
        <ns0:v/>
      </ns0:c>
      <ns0:c r="I573">
        <ns0:f>IF($H573=0,0,IFERROR(IF(AND(ABS($C573-INDEX('AH History'!$B$1:$B$18046,$H573))&lt;=MAX(0.005,ABS(INDEX('AH History'!$B$1:$B$18046,$H573))*0.00005),ABS($D573-INDEX('AH History'!$C$1:$C$18046,$H573))&lt;=MAX(0.005,ABS(INDEX('AH History'!$C$1:$C$18046,$H573))*0.00005),ABS($E573-INDEX('AH History'!$D$1:$D$18046,$H573))&lt;=0.00005,$F573=INDEX('AH History'!$E$1:$E$18046,$H573),$G573=INDEX('AH History'!$F$1:$F$18046,$H573)),1,-1),-1))</ns0:f>
        <ns0:v/>
      </ns0:c>
    </ns0:row>
    <ns0:row r="574">
      <ns0:c r="A574" s="215">
        <ns0:f>IF(OR(AH!$P$3=0,569+1&gt;AH!$P$11,AND(AH!$E$4&lt;&gt;"Stored",AH!$P$10&lt;&gt;1)),"",IFERROR(IF(AND(AH!$P$21=1,569+1=AH!$P$11),TODAY(),IF(AH!$P$10=1,INDEX('Live History'!$A$5:$A$3004,AH!$P$13+569),INDEX('AH History'!$A$1:$A$18046,AH!$P$7+569))),""))</ns0:f>
        <ns0:v/>
      </ns0:c>
      <ns0:c r="B574" s="219">
        <ns0:f>IFERROR(IF(AND(AH!$P$9&lt;&gt;1,$C574&gt;0,$D574&gt;0,$E574&gt;0,$F574&gt;0,$G574&gt;0,$F574&lt;=$A574,$G574&lt;=$A574,$A574-$F574&lt;=10,$A574-$G574&lt;=5),$D574*$E574/$C574-1,NA()),NA())</ns0:f>
        <ns0:v/>
      </ns0:c>
      <ns0:c r="C574">
        <ns0:f>IFERROR(IF(ISNUMBER($A574),IF(AND(AH!$P$10=1,AH!$P$12=1,$A574=TODAY()),AH!$P$19,IF(AH!$P$10=1,INDEX('Live History'!$B$5:$B$3004,AH!$P$13+569),INDEX('AH History'!$B$1:$B$18046,AH!$P$7+569))),NA()),NA())</ns0:f>
        <ns0:v/>
      </ns0:c>
      <ns0:c r="D574">
        <ns0:f>IFERROR(IF(ISNUMBER($A574),IF(AND(AH!$P$10=1,AH!$P$12=1,$A574=TODAY()),AH!$P$18,IF(AH!$P$10=1,INDEX('Live History'!$E$5:$E$3004,MATCH($A574,'Live History'!$D$5:$D$3004,1)),INDEX('AH History'!$C$1:$C$18046,AH!$P$7+569))),NA()),NA())</ns0:f>
        <ns0:v/>
      </ns0:c>
      <ns0:c r="E574">
        <ns0:f>IFERROR(IF(ISNUMBER($A574),IF(AND(AH!$P$10=1,AH!$P$12=1,$A574=TODAY()),AH!$P$20,IF(AH!$P$10=1,INDEX('Live History'!$H$5:$H$3004,MATCH($A574,'Live History'!$G$5:$G$3004,1)),INDEX('AH History'!$D$1:$D$18046,AH!$P$7+569))),NA()),NA())</ns0:f>
        <ns0:v/>
      </ns0:c>
      <ns0:c r="F574">
        <ns0:f>IFERROR(IF(ISNUMBER($A574),IF(AND(AH!$P$10=1,AH!$P$12=1,$A574=TODAY()),IF(AND(AH!$P$10=1,AH!$P$12=1,$A574=TODAY()),TODAY(),NA()),IF(AH!$P$10=1,INDEX('Live History'!$D$5:$D$3004,MATCH($A574,'Live History'!$D$5:$D$3004,1)),INDEX('AH History'!$E$1:$E$18046,AH!$P$7+569))),NA()),NA())</ns0:f>
        <ns0:v/>
      </ns0:c>
      <ns0:c r="G574">
        <ns0:f>IFERROR(IF(ISNUMBER($A574),IF(AND(AH!$P$10=1,AH!$P$12=1,$A574=TODAY()),IF(AND(AH!$P$10=1,AH!$P$12=1,$A574=TODAY()),TODAY(),NA()),IF(AH!$P$10=1,INDEX('Live History'!$G$5:$G$3004,MATCH($A574,'Live History'!$G$5:$G$3004,1)),INDEX('AH History'!$F$1:$F$18046,AH!$P$7+569))),NA()),NA())</ns0:f>
        <ns0:v/>
      </ns0:c>
      <ns0:c r="H574">
        <ns0:f>IFERROR(IF(AND(AH!$E$4="Bloomberg",AH!$P$10=1,ISNUMBER($A574),$A574&lt;=AH!$P$17),AH!$P$7-1+MATCH($A574,INDEX('AH History'!$A$1:$A$18046,AH!$P$7):INDEX('AH History'!$A$1:$A$18046,AH!$P$7+AH!$P$8-1),0),0),0)</ns0:f>
        <ns0:v/>
      </ns0:c>
      <ns0:c r="I574">
        <ns0:f>IF($H574=0,0,IFERROR(IF(AND(ABS($C574-INDEX('AH History'!$B$1:$B$18046,$H574))&lt;=MAX(0.005,ABS(INDEX('AH History'!$B$1:$B$18046,$H574))*0.00005),ABS($D574-INDEX('AH History'!$C$1:$C$18046,$H574))&lt;=MAX(0.005,ABS(INDEX('AH History'!$C$1:$C$18046,$H574))*0.00005),ABS($E574-INDEX('AH History'!$D$1:$D$18046,$H574))&lt;=0.00005,$F574=INDEX('AH History'!$E$1:$E$18046,$H574),$G574=INDEX('AH History'!$F$1:$F$18046,$H574)),1,-1),-1))</ns0:f>
        <ns0:v/>
      </ns0:c>
    </ns0:row>
    <ns0:row r="575">
      <ns0:c r="A575" s="215">
        <ns0:f>IF(OR(AH!$P$3=0,570+1&gt;AH!$P$11,AND(AH!$E$4&lt;&gt;"Stored",AH!$P$10&lt;&gt;1)),"",IFERROR(IF(AND(AH!$P$21=1,570+1=AH!$P$11),TODAY(),IF(AH!$P$10=1,INDEX('Live History'!$A$5:$A$3004,AH!$P$13+570),INDEX('AH History'!$A$1:$A$18046,AH!$P$7+570))),""))</ns0:f>
        <ns0:v/>
      </ns0:c>
      <ns0:c r="B575" s="219">
        <ns0:f>IFERROR(IF(AND(AH!$P$9&lt;&gt;1,$C575&gt;0,$D575&gt;0,$E575&gt;0,$F575&gt;0,$G575&gt;0,$F575&lt;=$A575,$G575&lt;=$A575,$A575-$F575&lt;=10,$A575-$G575&lt;=5),$D575*$E575/$C575-1,NA()),NA())</ns0:f>
        <ns0:v/>
      </ns0:c>
      <ns0:c r="C575">
        <ns0:f>IFERROR(IF(ISNUMBER($A575),IF(AND(AH!$P$10=1,AH!$P$12=1,$A575=TODAY()),AH!$P$19,IF(AH!$P$10=1,INDEX('Live History'!$B$5:$B$3004,AH!$P$13+570),INDEX('AH History'!$B$1:$B$18046,AH!$P$7+570))),NA()),NA())</ns0:f>
        <ns0:v/>
      </ns0:c>
      <ns0:c r="D575">
        <ns0:f>IFERROR(IF(ISNUMBER($A575),IF(AND(AH!$P$10=1,AH!$P$12=1,$A575=TODAY()),AH!$P$18,IF(AH!$P$10=1,INDEX('Live History'!$E$5:$E$3004,MATCH($A575,'Live History'!$D$5:$D$3004,1)),INDEX('AH History'!$C$1:$C$18046,AH!$P$7+570))),NA()),NA())</ns0:f>
        <ns0:v/>
      </ns0:c>
      <ns0:c r="E575">
        <ns0:f>IFERROR(IF(ISNUMBER($A575),IF(AND(AH!$P$10=1,AH!$P$12=1,$A575=TODAY()),AH!$P$20,IF(AH!$P$10=1,INDEX('Live History'!$H$5:$H$3004,MATCH($A575,'Live History'!$G$5:$G$3004,1)),INDEX('AH History'!$D$1:$D$18046,AH!$P$7+570))),NA()),NA())</ns0:f>
        <ns0:v/>
      </ns0:c>
      <ns0:c r="F575">
        <ns0:f>IFERROR(IF(ISNUMBER($A575),IF(AND(AH!$P$10=1,AH!$P$12=1,$A575=TODAY()),IF(AND(AH!$P$10=1,AH!$P$12=1,$A575=TODAY()),TODAY(),NA()),IF(AH!$P$10=1,INDEX('Live History'!$D$5:$D$3004,MATCH($A575,'Live History'!$D$5:$D$3004,1)),INDEX('AH History'!$E$1:$E$18046,AH!$P$7+570))),NA()),NA())</ns0:f>
        <ns0:v/>
      </ns0:c>
      <ns0:c r="G575">
        <ns0:f>IFERROR(IF(ISNUMBER($A575),IF(AND(AH!$P$10=1,AH!$P$12=1,$A575=TODAY()),IF(AND(AH!$P$10=1,AH!$P$12=1,$A575=TODAY()),TODAY(),NA()),IF(AH!$P$10=1,INDEX('Live History'!$G$5:$G$3004,MATCH($A575,'Live History'!$G$5:$G$3004,1)),INDEX('AH History'!$F$1:$F$18046,AH!$P$7+570))),NA()),NA())</ns0:f>
        <ns0:v/>
      </ns0:c>
      <ns0:c r="H575">
        <ns0:f>IFERROR(IF(AND(AH!$E$4="Bloomberg",AH!$P$10=1,ISNUMBER($A575),$A575&lt;=AH!$P$17),AH!$P$7-1+MATCH($A575,INDEX('AH History'!$A$1:$A$18046,AH!$P$7):INDEX('AH History'!$A$1:$A$18046,AH!$P$7+AH!$P$8-1),0),0),0)</ns0:f>
        <ns0:v/>
      </ns0:c>
      <ns0:c r="I575">
        <ns0:f>IF($H575=0,0,IFERROR(IF(AND(ABS($C575-INDEX('AH History'!$B$1:$B$18046,$H575))&lt;=MAX(0.005,ABS(INDEX('AH History'!$B$1:$B$18046,$H575))*0.00005),ABS($D575-INDEX('AH History'!$C$1:$C$18046,$H575))&lt;=MAX(0.005,ABS(INDEX('AH History'!$C$1:$C$18046,$H575))*0.00005),ABS($E575-INDEX('AH History'!$D$1:$D$18046,$H575))&lt;=0.00005,$F575=INDEX('AH History'!$E$1:$E$18046,$H575),$G575=INDEX('AH History'!$F$1:$F$18046,$H575)),1,-1),-1))</ns0:f>
        <ns0:v/>
      </ns0:c>
    </ns0:row>
    <ns0:row r="576">
      <ns0:c r="A576" s="215">
        <ns0:f>IF(OR(AH!$P$3=0,571+1&gt;AH!$P$11,AND(AH!$E$4&lt;&gt;"Stored",AH!$P$10&lt;&gt;1)),"",IFERROR(IF(AND(AH!$P$21=1,571+1=AH!$P$11),TODAY(),IF(AH!$P$10=1,INDEX('Live History'!$A$5:$A$3004,AH!$P$13+571),INDEX('AH History'!$A$1:$A$18046,AH!$P$7+571))),""))</ns0:f>
        <ns0:v/>
      </ns0:c>
      <ns0:c r="B576" s="219">
        <ns0:f>IFERROR(IF(AND(AH!$P$9&lt;&gt;1,$C576&gt;0,$D576&gt;0,$E576&gt;0,$F576&gt;0,$G576&gt;0,$F576&lt;=$A576,$G576&lt;=$A576,$A576-$F576&lt;=10,$A576-$G576&lt;=5),$D576*$E576/$C576-1,NA()),NA())</ns0:f>
        <ns0:v/>
      </ns0:c>
      <ns0:c r="C576">
        <ns0:f>IFERROR(IF(ISNUMBER($A576),IF(AND(AH!$P$10=1,AH!$P$12=1,$A576=TODAY()),AH!$P$19,IF(AH!$P$10=1,INDEX('Live History'!$B$5:$B$3004,AH!$P$13+571),INDEX('AH History'!$B$1:$B$18046,AH!$P$7+571))),NA()),NA())</ns0:f>
        <ns0:v/>
      </ns0:c>
      <ns0:c r="D576">
        <ns0:f>IFERROR(IF(ISNUMBER($A576),IF(AND(AH!$P$10=1,AH!$P$12=1,$A576=TODAY()),AH!$P$18,IF(AH!$P$10=1,INDEX('Live History'!$E$5:$E$3004,MATCH($A576,'Live History'!$D$5:$D$3004,1)),INDEX('AH History'!$C$1:$C$18046,AH!$P$7+571))),NA()),NA())</ns0:f>
        <ns0:v/>
      </ns0:c>
      <ns0:c r="E576">
        <ns0:f>IFERROR(IF(ISNUMBER($A576),IF(AND(AH!$P$10=1,AH!$P$12=1,$A576=TODAY()),AH!$P$20,IF(AH!$P$10=1,INDEX('Live History'!$H$5:$H$3004,MATCH($A576,'Live History'!$G$5:$G$3004,1)),INDEX('AH History'!$D$1:$D$18046,AH!$P$7+571))),NA()),NA())</ns0:f>
        <ns0:v/>
      </ns0:c>
      <ns0:c r="F576">
        <ns0:f>IFERROR(IF(ISNUMBER($A576),IF(AND(AH!$P$10=1,AH!$P$12=1,$A576=TODAY()),IF(AND(AH!$P$10=1,AH!$P$12=1,$A576=TODAY()),TODAY(),NA()),IF(AH!$P$10=1,INDEX('Live History'!$D$5:$D$3004,MATCH($A576,'Live History'!$D$5:$D$3004,1)),INDEX('AH History'!$E$1:$E$18046,AH!$P$7+571))),NA()),NA())</ns0:f>
        <ns0:v/>
      </ns0:c>
      <ns0:c r="G576">
        <ns0:f>IFERROR(IF(ISNUMBER($A576),IF(AND(AH!$P$10=1,AH!$P$12=1,$A576=TODAY()),IF(AND(AH!$P$10=1,AH!$P$12=1,$A576=TODAY()),TODAY(),NA()),IF(AH!$P$10=1,INDEX('Live History'!$G$5:$G$3004,MATCH($A576,'Live History'!$G$5:$G$3004,1)),INDEX('AH History'!$F$1:$F$18046,AH!$P$7+571))),NA()),NA())</ns0:f>
        <ns0:v/>
      </ns0:c>
      <ns0:c r="H576">
        <ns0:f>IFERROR(IF(AND(AH!$E$4="Bloomberg",AH!$P$10=1,ISNUMBER($A576),$A576&lt;=AH!$P$17),AH!$P$7-1+MATCH($A576,INDEX('AH History'!$A$1:$A$18046,AH!$P$7):INDEX('AH History'!$A$1:$A$18046,AH!$P$7+AH!$P$8-1),0),0),0)</ns0:f>
        <ns0:v/>
      </ns0:c>
      <ns0:c r="I576">
        <ns0:f>IF($H576=0,0,IFERROR(IF(AND(ABS($C576-INDEX('AH History'!$B$1:$B$18046,$H576))&lt;=MAX(0.005,ABS(INDEX('AH History'!$B$1:$B$18046,$H576))*0.00005),ABS($D576-INDEX('AH History'!$C$1:$C$18046,$H576))&lt;=MAX(0.005,ABS(INDEX('AH History'!$C$1:$C$18046,$H576))*0.00005),ABS($E576-INDEX('AH History'!$D$1:$D$18046,$H576))&lt;=0.00005,$F576=INDEX('AH History'!$E$1:$E$18046,$H576),$G576=INDEX('AH History'!$F$1:$F$18046,$H576)),1,-1),-1))</ns0:f>
        <ns0:v/>
      </ns0:c>
    </ns0:row>
    <ns0:row r="577">
      <ns0:c r="A577" s="215">
        <ns0:f>IF(OR(AH!$P$3=0,572+1&gt;AH!$P$11,AND(AH!$E$4&lt;&gt;"Stored",AH!$P$10&lt;&gt;1)),"",IFERROR(IF(AND(AH!$P$21=1,572+1=AH!$P$11),TODAY(),IF(AH!$P$10=1,INDEX('Live History'!$A$5:$A$3004,AH!$P$13+572),INDEX('AH History'!$A$1:$A$18046,AH!$P$7+572))),""))</ns0:f>
        <ns0:v/>
      </ns0:c>
      <ns0:c r="B577" s="219">
        <ns0:f>IFERROR(IF(AND(AH!$P$9&lt;&gt;1,$C577&gt;0,$D577&gt;0,$E577&gt;0,$F577&gt;0,$G577&gt;0,$F577&lt;=$A577,$G577&lt;=$A577,$A577-$F577&lt;=10,$A577-$G577&lt;=5),$D577*$E577/$C577-1,NA()),NA())</ns0:f>
        <ns0:v/>
      </ns0:c>
      <ns0:c r="C577">
        <ns0:f>IFERROR(IF(ISNUMBER($A577),IF(AND(AH!$P$10=1,AH!$P$12=1,$A577=TODAY()),AH!$P$19,IF(AH!$P$10=1,INDEX('Live History'!$B$5:$B$3004,AH!$P$13+572),INDEX('AH History'!$B$1:$B$18046,AH!$P$7+572))),NA()),NA())</ns0:f>
        <ns0:v/>
      </ns0:c>
      <ns0:c r="D577">
        <ns0:f>IFERROR(IF(ISNUMBER($A577),IF(AND(AH!$P$10=1,AH!$P$12=1,$A577=TODAY()),AH!$P$18,IF(AH!$P$10=1,INDEX('Live History'!$E$5:$E$3004,MATCH($A577,'Live History'!$D$5:$D$3004,1)),INDEX('AH History'!$C$1:$C$18046,AH!$P$7+572))),NA()),NA())</ns0:f>
        <ns0:v/>
      </ns0:c>
      <ns0:c r="E577">
        <ns0:f>IFERROR(IF(ISNUMBER($A577),IF(AND(AH!$P$10=1,AH!$P$12=1,$A577=TODAY()),AH!$P$20,IF(AH!$P$10=1,INDEX('Live History'!$H$5:$H$3004,MATCH($A577,'Live History'!$G$5:$G$3004,1)),INDEX('AH History'!$D$1:$D$18046,AH!$P$7+572))),NA()),NA())</ns0:f>
        <ns0:v/>
      </ns0:c>
      <ns0:c r="F577">
        <ns0:f>IFERROR(IF(ISNUMBER($A577),IF(AND(AH!$P$10=1,AH!$P$12=1,$A577=TODAY()),IF(AND(AH!$P$10=1,AH!$P$12=1,$A577=TODAY()),TODAY(),NA()),IF(AH!$P$10=1,INDEX('Live History'!$D$5:$D$3004,MATCH($A577,'Live History'!$D$5:$D$3004,1)),INDEX('AH History'!$E$1:$E$18046,AH!$P$7+572))),NA()),NA())</ns0:f>
        <ns0:v/>
      </ns0:c>
      <ns0:c r="G577">
        <ns0:f>IFERROR(IF(ISNUMBER($A577),IF(AND(AH!$P$10=1,AH!$P$12=1,$A577=TODAY()),IF(AND(AH!$P$10=1,AH!$P$12=1,$A577=TODAY()),TODAY(),NA()),IF(AH!$P$10=1,INDEX('Live History'!$G$5:$G$3004,MATCH($A577,'Live History'!$G$5:$G$3004,1)),INDEX('AH History'!$F$1:$F$18046,AH!$P$7+572))),NA()),NA())</ns0:f>
        <ns0:v/>
      </ns0:c>
      <ns0:c r="H577">
        <ns0:f>IFERROR(IF(AND(AH!$E$4="Bloomberg",AH!$P$10=1,ISNUMBER($A577),$A577&lt;=AH!$P$17),AH!$P$7-1+MATCH($A577,INDEX('AH History'!$A$1:$A$18046,AH!$P$7):INDEX('AH History'!$A$1:$A$18046,AH!$P$7+AH!$P$8-1),0),0),0)</ns0:f>
        <ns0:v/>
      </ns0:c>
      <ns0:c r="I577">
        <ns0:f>IF($H577=0,0,IFERROR(IF(AND(ABS($C577-INDEX('AH History'!$B$1:$B$18046,$H577))&lt;=MAX(0.005,ABS(INDEX('AH History'!$B$1:$B$18046,$H577))*0.00005),ABS($D577-INDEX('AH History'!$C$1:$C$18046,$H577))&lt;=MAX(0.005,ABS(INDEX('AH History'!$C$1:$C$18046,$H577))*0.00005),ABS($E577-INDEX('AH History'!$D$1:$D$18046,$H577))&lt;=0.00005,$F577=INDEX('AH History'!$E$1:$E$18046,$H577),$G577=INDEX('AH History'!$F$1:$F$18046,$H577)),1,-1),-1))</ns0:f>
        <ns0:v/>
      </ns0:c>
    </ns0:row>
    <ns0:row r="578">
      <ns0:c r="A578" s="215">
        <ns0:f>IF(OR(AH!$P$3=0,573+1&gt;AH!$P$11,AND(AH!$E$4&lt;&gt;"Stored",AH!$P$10&lt;&gt;1)),"",IFERROR(IF(AND(AH!$P$21=1,573+1=AH!$P$11),TODAY(),IF(AH!$P$10=1,INDEX('Live History'!$A$5:$A$3004,AH!$P$13+573),INDEX('AH History'!$A$1:$A$18046,AH!$P$7+573))),""))</ns0:f>
        <ns0:v/>
      </ns0:c>
      <ns0:c r="B578" s="219">
        <ns0:f>IFERROR(IF(AND(AH!$P$9&lt;&gt;1,$C578&gt;0,$D578&gt;0,$E578&gt;0,$F578&gt;0,$G578&gt;0,$F578&lt;=$A578,$G578&lt;=$A578,$A578-$F578&lt;=10,$A578-$G578&lt;=5),$D578*$E578/$C578-1,NA()),NA())</ns0:f>
        <ns0:v/>
      </ns0:c>
      <ns0:c r="C578">
        <ns0:f>IFERROR(IF(ISNUMBER($A578),IF(AND(AH!$P$10=1,AH!$P$12=1,$A578=TODAY()),AH!$P$19,IF(AH!$P$10=1,INDEX('Live History'!$B$5:$B$3004,AH!$P$13+573),INDEX('AH History'!$B$1:$B$18046,AH!$P$7+573))),NA()),NA())</ns0:f>
        <ns0:v/>
      </ns0:c>
      <ns0:c r="D578">
        <ns0:f>IFERROR(IF(ISNUMBER($A578),IF(AND(AH!$P$10=1,AH!$P$12=1,$A578=TODAY()),AH!$P$18,IF(AH!$P$10=1,INDEX('Live History'!$E$5:$E$3004,MATCH($A578,'Live History'!$D$5:$D$3004,1)),INDEX('AH History'!$C$1:$C$18046,AH!$P$7+573))),NA()),NA())</ns0:f>
        <ns0:v/>
      </ns0:c>
      <ns0:c r="E578">
        <ns0:f>IFERROR(IF(ISNUMBER($A578),IF(AND(AH!$P$10=1,AH!$P$12=1,$A578=TODAY()),AH!$P$20,IF(AH!$P$10=1,INDEX('Live History'!$H$5:$H$3004,MATCH($A578,'Live History'!$G$5:$G$3004,1)),INDEX('AH History'!$D$1:$D$18046,AH!$P$7+573))),NA()),NA())</ns0:f>
        <ns0:v/>
      </ns0:c>
      <ns0:c r="F578">
        <ns0:f>IFERROR(IF(ISNUMBER($A578),IF(AND(AH!$P$10=1,AH!$P$12=1,$A578=TODAY()),IF(AND(AH!$P$10=1,AH!$P$12=1,$A578=TODAY()),TODAY(),NA()),IF(AH!$P$10=1,INDEX('Live History'!$D$5:$D$3004,MATCH($A578,'Live History'!$D$5:$D$3004,1)),INDEX('AH History'!$E$1:$E$18046,AH!$P$7+573))),NA()),NA())</ns0:f>
        <ns0:v/>
      </ns0:c>
      <ns0:c r="G578">
        <ns0:f>IFERROR(IF(ISNUMBER($A578),IF(AND(AH!$P$10=1,AH!$P$12=1,$A578=TODAY()),IF(AND(AH!$P$10=1,AH!$P$12=1,$A578=TODAY()),TODAY(),NA()),IF(AH!$P$10=1,INDEX('Live History'!$G$5:$G$3004,MATCH($A578,'Live History'!$G$5:$G$3004,1)),INDEX('AH History'!$F$1:$F$18046,AH!$P$7+573))),NA()),NA())</ns0:f>
        <ns0:v/>
      </ns0:c>
      <ns0:c r="H578">
        <ns0:f>IFERROR(IF(AND(AH!$E$4="Bloomberg",AH!$P$10=1,ISNUMBER($A578),$A578&lt;=AH!$P$17),AH!$P$7-1+MATCH($A578,INDEX('AH History'!$A$1:$A$18046,AH!$P$7):INDEX('AH History'!$A$1:$A$18046,AH!$P$7+AH!$P$8-1),0),0),0)</ns0:f>
        <ns0:v/>
      </ns0:c>
      <ns0:c r="I578">
        <ns0:f>IF($H578=0,0,IFERROR(IF(AND(ABS($C578-INDEX('AH History'!$B$1:$B$18046,$H578))&lt;=MAX(0.005,ABS(INDEX('AH History'!$B$1:$B$18046,$H578))*0.00005),ABS($D578-INDEX('AH History'!$C$1:$C$18046,$H578))&lt;=MAX(0.005,ABS(INDEX('AH History'!$C$1:$C$18046,$H578))*0.00005),ABS($E578-INDEX('AH History'!$D$1:$D$18046,$H578))&lt;=0.00005,$F578=INDEX('AH History'!$E$1:$E$18046,$H578),$G578=INDEX('AH History'!$F$1:$F$18046,$H578)),1,-1),-1))</ns0:f>
        <ns0:v/>
      </ns0:c>
    </ns0:row>
    <ns0:row r="579">
      <ns0:c r="A579" s="215">
        <ns0:f>IF(OR(AH!$P$3=0,574+1&gt;AH!$P$11,AND(AH!$E$4&lt;&gt;"Stored",AH!$P$10&lt;&gt;1)),"",IFERROR(IF(AND(AH!$P$21=1,574+1=AH!$P$11),TODAY(),IF(AH!$P$10=1,INDEX('Live History'!$A$5:$A$3004,AH!$P$13+574),INDEX('AH History'!$A$1:$A$18046,AH!$P$7+574))),""))</ns0:f>
        <ns0:v/>
      </ns0:c>
      <ns0:c r="B579" s="219">
        <ns0:f>IFERROR(IF(AND(AH!$P$9&lt;&gt;1,$C579&gt;0,$D579&gt;0,$E579&gt;0,$F579&gt;0,$G579&gt;0,$F579&lt;=$A579,$G579&lt;=$A579,$A579-$F579&lt;=10,$A579-$G579&lt;=5),$D579*$E579/$C579-1,NA()),NA())</ns0:f>
        <ns0:v/>
      </ns0:c>
      <ns0:c r="C579">
        <ns0:f>IFERROR(IF(ISNUMBER($A579),IF(AND(AH!$P$10=1,AH!$P$12=1,$A579=TODAY()),AH!$P$19,IF(AH!$P$10=1,INDEX('Live History'!$B$5:$B$3004,AH!$P$13+574),INDEX('AH History'!$B$1:$B$18046,AH!$P$7+574))),NA()),NA())</ns0:f>
        <ns0:v/>
      </ns0:c>
      <ns0:c r="D579">
        <ns0:f>IFERROR(IF(ISNUMBER($A579),IF(AND(AH!$P$10=1,AH!$P$12=1,$A579=TODAY()),AH!$P$18,IF(AH!$P$10=1,INDEX('Live History'!$E$5:$E$3004,MATCH($A579,'Live History'!$D$5:$D$3004,1)),INDEX('AH History'!$C$1:$C$18046,AH!$P$7+574))),NA()),NA())</ns0:f>
        <ns0:v/>
      </ns0:c>
      <ns0:c r="E579">
        <ns0:f>IFERROR(IF(ISNUMBER($A579),IF(AND(AH!$P$10=1,AH!$P$12=1,$A579=TODAY()),AH!$P$20,IF(AH!$P$10=1,INDEX('Live History'!$H$5:$H$3004,MATCH($A579,'Live History'!$G$5:$G$3004,1)),INDEX('AH History'!$D$1:$D$18046,AH!$P$7+574))),NA()),NA())</ns0:f>
        <ns0:v/>
      </ns0:c>
      <ns0:c r="F579">
        <ns0:f>IFERROR(IF(ISNUMBER($A579),IF(AND(AH!$P$10=1,AH!$P$12=1,$A579=TODAY()),IF(AND(AH!$P$10=1,AH!$P$12=1,$A579=TODAY()),TODAY(),NA()),IF(AH!$P$10=1,INDEX('Live History'!$D$5:$D$3004,MATCH($A579,'Live History'!$D$5:$D$3004,1)),INDEX('AH History'!$E$1:$E$18046,AH!$P$7+574))),NA()),NA())</ns0:f>
        <ns0:v/>
      </ns0:c>
      <ns0:c r="G579">
        <ns0:f>IFERROR(IF(ISNUMBER($A579),IF(AND(AH!$P$10=1,AH!$P$12=1,$A579=TODAY()),IF(AND(AH!$P$10=1,AH!$P$12=1,$A579=TODAY()),TODAY(),NA()),IF(AH!$P$10=1,INDEX('Live History'!$G$5:$G$3004,MATCH($A579,'Live History'!$G$5:$G$3004,1)),INDEX('AH History'!$F$1:$F$18046,AH!$P$7+574))),NA()),NA())</ns0:f>
        <ns0:v/>
      </ns0:c>
      <ns0:c r="H579">
        <ns0:f>IFERROR(IF(AND(AH!$E$4="Bloomberg",AH!$P$10=1,ISNUMBER($A579),$A579&lt;=AH!$P$17),AH!$P$7-1+MATCH($A579,INDEX('AH History'!$A$1:$A$18046,AH!$P$7):INDEX('AH History'!$A$1:$A$18046,AH!$P$7+AH!$P$8-1),0),0),0)</ns0:f>
        <ns0:v/>
      </ns0:c>
      <ns0:c r="I579">
        <ns0:f>IF($H579=0,0,IFERROR(IF(AND(ABS($C579-INDEX('AH History'!$B$1:$B$18046,$H579))&lt;=MAX(0.005,ABS(INDEX('AH History'!$B$1:$B$18046,$H579))*0.00005),ABS($D579-INDEX('AH History'!$C$1:$C$18046,$H579))&lt;=MAX(0.005,ABS(INDEX('AH History'!$C$1:$C$18046,$H579))*0.00005),ABS($E579-INDEX('AH History'!$D$1:$D$18046,$H579))&lt;=0.00005,$F579=INDEX('AH History'!$E$1:$E$18046,$H579),$G579=INDEX('AH History'!$F$1:$F$18046,$H579)),1,-1),-1))</ns0:f>
        <ns0:v/>
      </ns0:c>
    </ns0:row>
    <ns0:row r="580">
      <ns0:c r="A580" s="215">
        <ns0:f>IF(OR(AH!$P$3=0,575+1&gt;AH!$P$11,AND(AH!$E$4&lt;&gt;"Stored",AH!$P$10&lt;&gt;1)),"",IFERROR(IF(AND(AH!$P$21=1,575+1=AH!$P$11),TODAY(),IF(AH!$P$10=1,INDEX('Live History'!$A$5:$A$3004,AH!$P$13+575),INDEX('AH History'!$A$1:$A$18046,AH!$P$7+575))),""))</ns0:f>
        <ns0:v/>
      </ns0:c>
      <ns0:c r="B580" s="219">
        <ns0:f>IFERROR(IF(AND(AH!$P$9&lt;&gt;1,$C580&gt;0,$D580&gt;0,$E580&gt;0,$F580&gt;0,$G580&gt;0,$F580&lt;=$A580,$G580&lt;=$A580,$A580-$F580&lt;=10,$A580-$G580&lt;=5),$D580*$E580/$C580-1,NA()),NA())</ns0:f>
        <ns0:v/>
      </ns0:c>
      <ns0:c r="C580">
        <ns0:f>IFERROR(IF(ISNUMBER($A580),IF(AND(AH!$P$10=1,AH!$P$12=1,$A580=TODAY()),AH!$P$19,IF(AH!$P$10=1,INDEX('Live History'!$B$5:$B$3004,AH!$P$13+575),INDEX('AH History'!$B$1:$B$18046,AH!$P$7+575))),NA()),NA())</ns0:f>
        <ns0:v/>
      </ns0:c>
      <ns0:c r="D580">
        <ns0:f>IFERROR(IF(ISNUMBER($A580),IF(AND(AH!$P$10=1,AH!$P$12=1,$A580=TODAY()),AH!$P$18,IF(AH!$P$10=1,INDEX('Live History'!$E$5:$E$3004,MATCH($A580,'Live History'!$D$5:$D$3004,1)),INDEX('AH History'!$C$1:$C$18046,AH!$P$7+575))),NA()),NA())</ns0:f>
        <ns0:v/>
      </ns0:c>
      <ns0:c r="E580">
        <ns0:f>IFERROR(IF(ISNUMBER($A580),IF(AND(AH!$P$10=1,AH!$P$12=1,$A580=TODAY()),AH!$P$20,IF(AH!$P$10=1,INDEX('Live History'!$H$5:$H$3004,MATCH($A580,'Live History'!$G$5:$G$3004,1)),INDEX('AH History'!$D$1:$D$18046,AH!$P$7+575))),NA()),NA())</ns0:f>
        <ns0:v/>
      </ns0:c>
      <ns0:c r="F580">
        <ns0:f>IFERROR(IF(ISNUMBER($A580),IF(AND(AH!$P$10=1,AH!$P$12=1,$A580=TODAY()),IF(AND(AH!$P$10=1,AH!$P$12=1,$A580=TODAY()),TODAY(),NA()),IF(AH!$P$10=1,INDEX('Live History'!$D$5:$D$3004,MATCH($A580,'Live History'!$D$5:$D$3004,1)),INDEX('AH History'!$E$1:$E$18046,AH!$P$7+575))),NA()),NA())</ns0:f>
        <ns0:v/>
      </ns0:c>
      <ns0:c r="G580">
        <ns0:f>IFERROR(IF(ISNUMBER($A580),IF(AND(AH!$P$10=1,AH!$P$12=1,$A580=TODAY()),IF(AND(AH!$P$10=1,AH!$P$12=1,$A580=TODAY()),TODAY(),NA()),IF(AH!$P$10=1,INDEX('Live History'!$G$5:$G$3004,MATCH($A580,'Live History'!$G$5:$G$3004,1)),INDEX('AH History'!$F$1:$F$18046,AH!$P$7+575))),NA()),NA())</ns0:f>
        <ns0:v/>
      </ns0:c>
      <ns0:c r="H580">
        <ns0:f>IFERROR(IF(AND(AH!$E$4="Bloomberg",AH!$P$10=1,ISNUMBER($A580),$A580&lt;=AH!$P$17),AH!$P$7-1+MATCH($A580,INDEX('AH History'!$A$1:$A$18046,AH!$P$7):INDEX('AH History'!$A$1:$A$18046,AH!$P$7+AH!$P$8-1),0),0),0)</ns0:f>
        <ns0:v/>
      </ns0:c>
      <ns0:c r="I580">
        <ns0:f>IF($H580=0,0,IFERROR(IF(AND(ABS($C580-INDEX('AH History'!$B$1:$B$18046,$H580))&lt;=MAX(0.005,ABS(INDEX('AH History'!$B$1:$B$18046,$H580))*0.00005),ABS($D580-INDEX('AH History'!$C$1:$C$18046,$H580))&lt;=MAX(0.005,ABS(INDEX('AH History'!$C$1:$C$18046,$H580))*0.00005),ABS($E580-INDEX('AH History'!$D$1:$D$18046,$H580))&lt;=0.00005,$F580=INDEX('AH History'!$E$1:$E$18046,$H580),$G580=INDEX('AH History'!$F$1:$F$18046,$H580)),1,-1),-1))</ns0:f>
        <ns0:v/>
      </ns0:c>
    </ns0:row>
    <ns0:row r="581">
      <ns0:c r="A581" s="215">
        <ns0:f>IF(OR(AH!$P$3=0,576+1&gt;AH!$P$11,AND(AH!$E$4&lt;&gt;"Stored",AH!$P$10&lt;&gt;1)),"",IFERROR(IF(AND(AH!$P$21=1,576+1=AH!$P$11),TODAY(),IF(AH!$P$10=1,INDEX('Live History'!$A$5:$A$3004,AH!$P$13+576),INDEX('AH History'!$A$1:$A$18046,AH!$P$7+576))),""))</ns0:f>
        <ns0:v/>
      </ns0:c>
      <ns0:c r="B581" s="219">
        <ns0:f>IFERROR(IF(AND(AH!$P$9&lt;&gt;1,$C581&gt;0,$D581&gt;0,$E581&gt;0,$F581&gt;0,$G581&gt;0,$F581&lt;=$A581,$G581&lt;=$A581,$A581-$F581&lt;=10,$A581-$G581&lt;=5),$D581*$E581/$C581-1,NA()),NA())</ns0:f>
        <ns0:v/>
      </ns0:c>
      <ns0:c r="C581">
        <ns0:f>IFERROR(IF(ISNUMBER($A581),IF(AND(AH!$P$10=1,AH!$P$12=1,$A581=TODAY()),AH!$P$19,IF(AH!$P$10=1,INDEX('Live History'!$B$5:$B$3004,AH!$P$13+576),INDEX('AH History'!$B$1:$B$18046,AH!$P$7+576))),NA()),NA())</ns0:f>
        <ns0:v/>
      </ns0:c>
      <ns0:c r="D581">
        <ns0:f>IFERROR(IF(ISNUMBER($A581),IF(AND(AH!$P$10=1,AH!$P$12=1,$A581=TODAY()),AH!$P$18,IF(AH!$P$10=1,INDEX('Live History'!$E$5:$E$3004,MATCH($A581,'Live History'!$D$5:$D$3004,1)),INDEX('AH History'!$C$1:$C$18046,AH!$P$7+576))),NA()),NA())</ns0:f>
        <ns0:v/>
      </ns0:c>
      <ns0:c r="E581">
        <ns0:f>IFERROR(IF(ISNUMBER($A581),IF(AND(AH!$P$10=1,AH!$P$12=1,$A581=TODAY()),AH!$P$20,IF(AH!$P$10=1,INDEX('Live History'!$H$5:$H$3004,MATCH($A581,'Live History'!$G$5:$G$3004,1)),INDEX('AH History'!$D$1:$D$18046,AH!$P$7+576))),NA()),NA())</ns0:f>
        <ns0:v/>
      </ns0:c>
      <ns0:c r="F581">
        <ns0:f>IFERROR(IF(ISNUMBER($A581),IF(AND(AH!$P$10=1,AH!$P$12=1,$A581=TODAY()),IF(AND(AH!$P$10=1,AH!$P$12=1,$A581=TODAY()),TODAY(),NA()),IF(AH!$P$10=1,INDEX('Live History'!$D$5:$D$3004,MATCH($A581,'Live History'!$D$5:$D$3004,1)),INDEX('AH History'!$E$1:$E$18046,AH!$P$7+576))),NA()),NA())</ns0:f>
        <ns0:v/>
      </ns0:c>
      <ns0:c r="G581">
        <ns0:f>IFERROR(IF(ISNUMBER($A581),IF(AND(AH!$P$10=1,AH!$P$12=1,$A581=TODAY()),IF(AND(AH!$P$10=1,AH!$P$12=1,$A581=TODAY()),TODAY(),NA()),IF(AH!$P$10=1,INDEX('Live History'!$G$5:$G$3004,MATCH($A581,'Live History'!$G$5:$G$3004,1)),INDEX('AH History'!$F$1:$F$18046,AH!$P$7+576))),NA()),NA())</ns0:f>
        <ns0:v/>
      </ns0:c>
      <ns0:c r="H581">
        <ns0:f>IFERROR(IF(AND(AH!$E$4="Bloomberg",AH!$P$10=1,ISNUMBER($A581),$A581&lt;=AH!$P$17),AH!$P$7-1+MATCH($A581,INDEX('AH History'!$A$1:$A$18046,AH!$P$7):INDEX('AH History'!$A$1:$A$18046,AH!$P$7+AH!$P$8-1),0),0),0)</ns0:f>
        <ns0:v/>
      </ns0:c>
      <ns0:c r="I581">
        <ns0:f>IF($H581=0,0,IFERROR(IF(AND(ABS($C581-INDEX('AH History'!$B$1:$B$18046,$H581))&lt;=MAX(0.005,ABS(INDEX('AH History'!$B$1:$B$18046,$H581))*0.00005),ABS($D581-INDEX('AH History'!$C$1:$C$18046,$H581))&lt;=MAX(0.005,ABS(INDEX('AH History'!$C$1:$C$18046,$H581))*0.00005),ABS($E581-INDEX('AH History'!$D$1:$D$18046,$H581))&lt;=0.00005,$F581=INDEX('AH History'!$E$1:$E$18046,$H581),$G581=INDEX('AH History'!$F$1:$F$18046,$H581)),1,-1),-1))</ns0:f>
        <ns0:v/>
      </ns0:c>
    </ns0:row>
    <ns0:row r="582">
      <ns0:c r="A582" s="215">
        <ns0:f>IF(OR(AH!$P$3=0,577+1&gt;AH!$P$11,AND(AH!$E$4&lt;&gt;"Stored",AH!$P$10&lt;&gt;1)),"",IFERROR(IF(AND(AH!$P$21=1,577+1=AH!$P$11),TODAY(),IF(AH!$P$10=1,INDEX('Live History'!$A$5:$A$3004,AH!$P$13+577),INDEX('AH History'!$A$1:$A$18046,AH!$P$7+577))),""))</ns0:f>
        <ns0:v/>
      </ns0:c>
      <ns0:c r="B582" s="219">
        <ns0:f>IFERROR(IF(AND(AH!$P$9&lt;&gt;1,$C582&gt;0,$D582&gt;0,$E582&gt;0,$F582&gt;0,$G582&gt;0,$F582&lt;=$A582,$G582&lt;=$A582,$A582-$F582&lt;=10,$A582-$G582&lt;=5),$D582*$E582/$C582-1,NA()),NA())</ns0:f>
        <ns0:v/>
      </ns0:c>
      <ns0:c r="C582">
        <ns0:f>IFERROR(IF(ISNUMBER($A582),IF(AND(AH!$P$10=1,AH!$P$12=1,$A582=TODAY()),AH!$P$19,IF(AH!$P$10=1,INDEX('Live History'!$B$5:$B$3004,AH!$P$13+577),INDEX('AH History'!$B$1:$B$18046,AH!$P$7+577))),NA()),NA())</ns0:f>
        <ns0:v/>
      </ns0:c>
      <ns0:c r="D582">
        <ns0:f>IFERROR(IF(ISNUMBER($A582),IF(AND(AH!$P$10=1,AH!$P$12=1,$A582=TODAY()),AH!$P$18,IF(AH!$P$10=1,INDEX('Live History'!$E$5:$E$3004,MATCH($A582,'Live History'!$D$5:$D$3004,1)),INDEX('AH History'!$C$1:$C$18046,AH!$P$7+577))),NA()),NA())</ns0:f>
        <ns0:v/>
      </ns0:c>
      <ns0:c r="E582">
        <ns0:f>IFERROR(IF(ISNUMBER($A582),IF(AND(AH!$P$10=1,AH!$P$12=1,$A582=TODAY()),AH!$P$20,IF(AH!$P$10=1,INDEX('Live History'!$H$5:$H$3004,MATCH($A582,'Live History'!$G$5:$G$3004,1)),INDEX('AH History'!$D$1:$D$18046,AH!$P$7+577))),NA()),NA())</ns0:f>
        <ns0:v/>
      </ns0:c>
      <ns0:c r="F582">
        <ns0:f>IFERROR(IF(ISNUMBER($A582),IF(AND(AH!$P$10=1,AH!$P$12=1,$A582=TODAY()),IF(AND(AH!$P$10=1,AH!$P$12=1,$A582=TODAY()),TODAY(),NA()),IF(AH!$P$10=1,INDEX('Live History'!$D$5:$D$3004,MATCH($A582,'Live History'!$D$5:$D$3004,1)),INDEX('AH History'!$E$1:$E$18046,AH!$P$7+577))),NA()),NA())</ns0:f>
        <ns0:v/>
      </ns0:c>
      <ns0:c r="G582">
        <ns0:f>IFERROR(IF(ISNUMBER($A582),IF(AND(AH!$P$10=1,AH!$P$12=1,$A582=TODAY()),IF(AND(AH!$P$10=1,AH!$P$12=1,$A582=TODAY()),TODAY(),NA()),IF(AH!$P$10=1,INDEX('Live History'!$G$5:$G$3004,MATCH($A582,'Live History'!$G$5:$G$3004,1)),INDEX('AH History'!$F$1:$F$18046,AH!$P$7+577))),NA()),NA())</ns0:f>
        <ns0:v/>
      </ns0:c>
      <ns0:c r="H582">
        <ns0:f>IFERROR(IF(AND(AH!$E$4="Bloomberg",AH!$P$10=1,ISNUMBER($A582),$A582&lt;=AH!$P$17),AH!$P$7-1+MATCH($A582,INDEX('AH History'!$A$1:$A$18046,AH!$P$7):INDEX('AH History'!$A$1:$A$18046,AH!$P$7+AH!$P$8-1),0),0),0)</ns0:f>
        <ns0:v/>
      </ns0:c>
      <ns0:c r="I582">
        <ns0:f>IF($H582=0,0,IFERROR(IF(AND(ABS($C582-INDEX('AH History'!$B$1:$B$18046,$H582))&lt;=MAX(0.005,ABS(INDEX('AH History'!$B$1:$B$18046,$H582))*0.00005),ABS($D582-INDEX('AH History'!$C$1:$C$18046,$H582))&lt;=MAX(0.005,ABS(INDEX('AH History'!$C$1:$C$18046,$H582))*0.00005),ABS($E582-INDEX('AH History'!$D$1:$D$18046,$H582))&lt;=0.00005,$F582=INDEX('AH History'!$E$1:$E$18046,$H582),$G582=INDEX('AH History'!$F$1:$F$18046,$H582)),1,-1),-1))</ns0:f>
        <ns0:v/>
      </ns0:c>
    </ns0:row>
    <ns0:row r="583">
      <ns0:c r="A583" s="215">
        <ns0:f>IF(OR(AH!$P$3=0,578+1&gt;AH!$P$11,AND(AH!$E$4&lt;&gt;"Stored",AH!$P$10&lt;&gt;1)),"",IFERROR(IF(AND(AH!$P$21=1,578+1=AH!$P$11),TODAY(),IF(AH!$P$10=1,INDEX('Live History'!$A$5:$A$3004,AH!$P$13+578),INDEX('AH History'!$A$1:$A$18046,AH!$P$7+578))),""))</ns0:f>
        <ns0:v/>
      </ns0:c>
      <ns0:c r="B583" s="219">
        <ns0:f>IFERROR(IF(AND(AH!$P$9&lt;&gt;1,$C583&gt;0,$D583&gt;0,$E583&gt;0,$F583&gt;0,$G583&gt;0,$F583&lt;=$A583,$G583&lt;=$A583,$A583-$F583&lt;=10,$A583-$G583&lt;=5),$D583*$E583/$C583-1,NA()),NA())</ns0:f>
        <ns0:v/>
      </ns0:c>
      <ns0:c r="C583">
        <ns0:f>IFERROR(IF(ISNUMBER($A583),IF(AND(AH!$P$10=1,AH!$P$12=1,$A583=TODAY()),AH!$P$19,IF(AH!$P$10=1,INDEX('Live History'!$B$5:$B$3004,AH!$P$13+578),INDEX('AH History'!$B$1:$B$18046,AH!$P$7+578))),NA()),NA())</ns0:f>
        <ns0:v/>
      </ns0:c>
      <ns0:c r="D583">
        <ns0:f>IFERROR(IF(ISNUMBER($A583),IF(AND(AH!$P$10=1,AH!$P$12=1,$A583=TODAY()),AH!$P$18,IF(AH!$P$10=1,INDEX('Live History'!$E$5:$E$3004,MATCH($A583,'Live History'!$D$5:$D$3004,1)),INDEX('AH History'!$C$1:$C$18046,AH!$P$7+578))),NA()),NA())</ns0:f>
        <ns0:v/>
      </ns0:c>
      <ns0:c r="E583">
        <ns0:f>IFERROR(IF(ISNUMBER($A583),IF(AND(AH!$P$10=1,AH!$P$12=1,$A583=TODAY()),AH!$P$20,IF(AH!$P$10=1,INDEX('Live History'!$H$5:$H$3004,MATCH($A583,'Live History'!$G$5:$G$3004,1)),INDEX('AH History'!$D$1:$D$18046,AH!$P$7+578))),NA()),NA())</ns0:f>
        <ns0:v/>
      </ns0:c>
      <ns0:c r="F583">
        <ns0:f>IFERROR(IF(ISNUMBER($A583),IF(AND(AH!$P$10=1,AH!$P$12=1,$A583=TODAY()),IF(AND(AH!$P$10=1,AH!$P$12=1,$A583=TODAY()),TODAY(),NA()),IF(AH!$P$10=1,INDEX('Live History'!$D$5:$D$3004,MATCH($A583,'Live History'!$D$5:$D$3004,1)),INDEX('AH History'!$E$1:$E$18046,AH!$P$7+578))),NA()),NA())</ns0:f>
        <ns0:v/>
      </ns0:c>
      <ns0:c r="G583">
        <ns0:f>IFERROR(IF(ISNUMBER($A583),IF(AND(AH!$P$10=1,AH!$P$12=1,$A583=TODAY()),IF(AND(AH!$P$10=1,AH!$P$12=1,$A583=TODAY()),TODAY(),NA()),IF(AH!$P$10=1,INDEX('Live History'!$G$5:$G$3004,MATCH($A583,'Live History'!$G$5:$G$3004,1)),INDEX('AH History'!$F$1:$F$18046,AH!$P$7+578))),NA()),NA())</ns0:f>
        <ns0:v/>
      </ns0:c>
      <ns0:c r="H583">
        <ns0:f>IFERROR(IF(AND(AH!$E$4="Bloomberg",AH!$P$10=1,ISNUMBER($A583),$A583&lt;=AH!$P$17),AH!$P$7-1+MATCH($A583,INDEX('AH History'!$A$1:$A$18046,AH!$P$7):INDEX('AH History'!$A$1:$A$18046,AH!$P$7+AH!$P$8-1),0),0),0)</ns0:f>
        <ns0:v/>
      </ns0:c>
      <ns0:c r="I583">
        <ns0:f>IF($H583=0,0,IFERROR(IF(AND(ABS($C583-INDEX('AH History'!$B$1:$B$18046,$H583))&lt;=MAX(0.005,ABS(INDEX('AH History'!$B$1:$B$18046,$H583))*0.00005),ABS($D583-INDEX('AH History'!$C$1:$C$18046,$H583))&lt;=MAX(0.005,ABS(INDEX('AH History'!$C$1:$C$18046,$H583))*0.00005),ABS($E583-INDEX('AH History'!$D$1:$D$18046,$H583))&lt;=0.00005,$F583=INDEX('AH History'!$E$1:$E$18046,$H583),$G583=INDEX('AH History'!$F$1:$F$18046,$H583)),1,-1),-1))</ns0:f>
        <ns0:v/>
      </ns0:c>
    </ns0:row>
    <ns0:row r="584">
      <ns0:c r="A584" s="215">
        <ns0:f>IF(OR(AH!$P$3=0,579+1&gt;AH!$P$11,AND(AH!$E$4&lt;&gt;"Stored",AH!$P$10&lt;&gt;1)),"",IFERROR(IF(AND(AH!$P$21=1,579+1=AH!$P$11),TODAY(),IF(AH!$P$10=1,INDEX('Live History'!$A$5:$A$3004,AH!$P$13+579),INDEX('AH History'!$A$1:$A$18046,AH!$P$7+579))),""))</ns0:f>
        <ns0:v/>
      </ns0:c>
      <ns0:c r="B584" s="219">
        <ns0:f>IFERROR(IF(AND(AH!$P$9&lt;&gt;1,$C584&gt;0,$D584&gt;0,$E584&gt;0,$F584&gt;0,$G584&gt;0,$F584&lt;=$A584,$G584&lt;=$A584,$A584-$F584&lt;=10,$A584-$G584&lt;=5),$D584*$E584/$C584-1,NA()),NA())</ns0:f>
        <ns0:v/>
      </ns0:c>
      <ns0:c r="C584">
        <ns0:f>IFERROR(IF(ISNUMBER($A584),IF(AND(AH!$P$10=1,AH!$P$12=1,$A584=TODAY()),AH!$P$19,IF(AH!$P$10=1,INDEX('Live History'!$B$5:$B$3004,AH!$P$13+579),INDEX('AH History'!$B$1:$B$18046,AH!$P$7+579))),NA()),NA())</ns0:f>
        <ns0:v/>
      </ns0:c>
      <ns0:c r="D584">
        <ns0:f>IFERROR(IF(ISNUMBER($A584),IF(AND(AH!$P$10=1,AH!$P$12=1,$A584=TODAY()),AH!$P$18,IF(AH!$P$10=1,INDEX('Live History'!$E$5:$E$3004,MATCH($A584,'Live History'!$D$5:$D$3004,1)),INDEX('AH History'!$C$1:$C$18046,AH!$P$7+579))),NA()),NA())</ns0:f>
        <ns0:v/>
      </ns0:c>
      <ns0:c r="E584">
        <ns0:f>IFERROR(IF(ISNUMBER($A584),IF(AND(AH!$P$10=1,AH!$P$12=1,$A584=TODAY()),AH!$P$20,IF(AH!$P$10=1,INDEX('Live History'!$H$5:$H$3004,MATCH($A584,'Live History'!$G$5:$G$3004,1)),INDEX('AH History'!$D$1:$D$18046,AH!$P$7+579))),NA()),NA())</ns0:f>
        <ns0:v/>
      </ns0:c>
      <ns0:c r="F584">
        <ns0:f>IFERROR(IF(ISNUMBER($A584),IF(AND(AH!$P$10=1,AH!$P$12=1,$A584=TODAY()),IF(AND(AH!$P$10=1,AH!$P$12=1,$A584=TODAY()),TODAY(),NA()),IF(AH!$P$10=1,INDEX('Live History'!$D$5:$D$3004,MATCH($A584,'Live History'!$D$5:$D$3004,1)),INDEX('AH History'!$E$1:$E$18046,AH!$P$7+579))),NA()),NA())</ns0:f>
        <ns0:v/>
      </ns0:c>
      <ns0:c r="G584">
        <ns0:f>IFERROR(IF(ISNUMBER($A584),IF(AND(AH!$P$10=1,AH!$P$12=1,$A584=TODAY()),IF(AND(AH!$P$10=1,AH!$P$12=1,$A584=TODAY()),TODAY(),NA()),IF(AH!$P$10=1,INDEX('Live History'!$G$5:$G$3004,MATCH($A584,'Live History'!$G$5:$G$3004,1)),INDEX('AH History'!$F$1:$F$18046,AH!$P$7+579))),NA()),NA())</ns0:f>
        <ns0:v/>
      </ns0:c>
      <ns0:c r="H584">
        <ns0:f>IFERROR(IF(AND(AH!$E$4="Bloomberg",AH!$P$10=1,ISNUMBER($A584),$A584&lt;=AH!$P$17),AH!$P$7-1+MATCH($A584,INDEX('AH History'!$A$1:$A$18046,AH!$P$7):INDEX('AH History'!$A$1:$A$18046,AH!$P$7+AH!$P$8-1),0),0),0)</ns0:f>
        <ns0:v/>
      </ns0:c>
      <ns0:c r="I584">
        <ns0:f>IF($H584=0,0,IFERROR(IF(AND(ABS($C584-INDEX('AH History'!$B$1:$B$18046,$H584))&lt;=MAX(0.005,ABS(INDEX('AH History'!$B$1:$B$18046,$H584))*0.00005),ABS($D584-INDEX('AH History'!$C$1:$C$18046,$H584))&lt;=MAX(0.005,ABS(INDEX('AH History'!$C$1:$C$18046,$H584))*0.00005),ABS($E584-INDEX('AH History'!$D$1:$D$18046,$H584))&lt;=0.00005,$F584=INDEX('AH History'!$E$1:$E$18046,$H584),$G584=INDEX('AH History'!$F$1:$F$18046,$H584)),1,-1),-1))</ns0:f>
        <ns0:v/>
      </ns0:c>
    </ns0:row>
    <ns0:row r="585">
      <ns0:c r="A585" s="215">
        <ns0:f>IF(OR(AH!$P$3=0,580+1&gt;AH!$P$11,AND(AH!$E$4&lt;&gt;"Stored",AH!$P$10&lt;&gt;1)),"",IFERROR(IF(AND(AH!$P$21=1,580+1=AH!$P$11),TODAY(),IF(AH!$P$10=1,INDEX('Live History'!$A$5:$A$3004,AH!$P$13+580),INDEX('AH History'!$A$1:$A$18046,AH!$P$7+580))),""))</ns0:f>
        <ns0:v/>
      </ns0:c>
      <ns0:c r="B585" s="219">
        <ns0:f>IFERROR(IF(AND(AH!$P$9&lt;&gt;1,$C585&gt;0,$D585&gt;0,$E585&gt;0,$F585&gt;0,$G585&gt;0,$F585&lt;=$A585,$G585&lt;=$A585,$A585-$F585&lt;=10,$A585-$G585&lt;=5),$D585*$E585/$C585-1,NA()),NA())</ns0:f>
        <ns0:v/>
      </ns0:c>
      <ns0:c r="C585">
        <ns0:f>IFERROR(IF(ISNUMBER($A585),IF(AND(AH!$P$10=1,AH!$P$12=1,$A585=TODAY()),AH!$P$19,IF(AH!$P$10=1,INDEX('Live History'!$B$5:$B$3004,AH!$P$13+580),INDEX('AH History'!$B$1:$B$18046,AH!$P$7+580))),NA()),NA())</ns0:f>
        <ns0:v/>
      </ns0:c>
      <ns0:c r="D585">
        <ns0:f>IFERROR(IF(ISNUMBER($A585),IF(AND(AH!$P$10=1,AH!$P$12=1,$A585=TODAY()),AH!$P$18,IF(AH!$P$10=1,INDEX('Live History'!$E$5:$E$3004,MATCH($A585,'Live History'!$D$5:$D$3004,1)),INDEX('AH History'!$C$1:$C$18046,AH!$P$7+580))),NA()),NA())</ns0:f>
        <ns0:v/>
      </ns0:c>
      <ns0:c r="E585">
        <ns0:f>IFERROR(IF(ISNUMBER($A585),IF(AND(AH!$P$10=1,AH!$P$12=1,$A585=TODAY()),AH!$P$20,IF(AH!$P$10=1,INDEX('Live History'!$H$5:$H$3004,MATCH($A585,'Live History'!$G$5:$G$3004,1)),INDEX('AH History'!$D$1:$D$18046,AH!$P$7+580))),NA()),NA())</ns0:f>
        <ns0:v/>
      </ns0:c>
      <ns0:c r="F585">
        <ns0:f>IFERROR(IF(ISNUMBER($A585),IF(AND(AH!$P$10=1,AH!$P$12=1,$A585=TODAY()),IF(AND(AH!$P$10=1,AH!$P$12=1,$A585=TODAY()),TODAY(),NA()),IF(AH!$P$10=1,INDEX('Live History'!$D$5:$D$3004,MATCH($A585,'Live History'!$D$5:$D$3004,1)),INDEX('AH History'!$E$1:$E$18046,AH!$P$7+580))),NA()),NA())</ns0:f>
        <ns0:v/>
      </ns0:c>
      <ns0:c r="G585">
        <ns0:f>IFERROR(IF(ISNUMBER($A585),IF(AND(AH!$P$10=1,AH!$P$12=1,$A585=TODAY()),IF(AND(AH!$P$10=1,AH!$P$12=1,$A585=TODAY()),TODAY(),NA()),IF(AH!$P$10=1,INDEX('Live History'!$G$5:$G$3004,MATCH($A585,'Live History'!$G$5:$G$3004,1)),INDEX('AH History'!$F$1:$F$18046,AH!$P$7+580))),NA()),NA())</ns0:f>
        <ns0:v/>
      </ns0:c>
      <ns0:c r="H585">
        <ns0:f>IFERROR(IF(AND(AH!$E$4="Bloomberg",AH!$P$10=1,ISNUMBER($A585),$A585&lt;=AH!$P$17),AH!$P$7-1+MATCH($A585,INDEX('AH History'!$A$1:$A$18046,AH!$P$7):INDEX('AH History'!$A$1:$A$18046,AH!$P$7+AH!$P$8-1),0),0),0)</ns0:f>
        <ns0:v/>
      </ns0:c>
      <ns0:c r="I585">
        <ns0:f>IF($H585=0,0,IFERROR(IF(AND(ABS($C585-INDEX('AH History'!$B$1:$B$18046,$H585))&lt;=MAX(0.005,ABS(INDEX('AH History'!$B$1:$B$18046,$H585))*0.00005),ABS($D585-INDEX('AH History'!$C$1:$C$18046,$H585))&lt;=MAX(0.005,ABS(INDEX('AH History'!$C$1:$C$18046,$H585))*0.00005),ABS($E585-INDEX('AH History'!$D$1:$D$18046,$H585))&lt;=0.00005,$F585=INDEX('AH History'!$E$1:$E$18046,$H585),$G585=INDEX('AH History'!$F$1:$F$18046,$H585)),1,-1),-1))</ns0:f>
        <ns0:v/>
      </ns0:c>
    </ns0:row>
    <ns0:row r="586">
      <ns0:c r="A586" s="215">
        <ns0:f>IF(OR(AH!$P$3=0,581+1&gt;AH!$P$11,AND(AH!$E$4&lt;&gt;"Stored",AH!$P$10&lt;&gt;1)),"",IFERROR(IF(AND(AH!$P$21=1,581+1=AH!$P$11),TODAY(),IF(AH!$P$10=1,INDEX('Live History'!$A$5:$A$3004,AH!$P$13+581),INDEX('AH History'!$A$1:$A$18046,AH!$P$7+581))),""))</ns0:f>
        <ns0:v/>
      </ns0:c>
      <ns0:c r="B586" s="219">
        <ns0:f>IFERROR(IF(AND(AH!$P$9&lt;&gt;1,$C586&gt;0,$D586&gt;0,$E586&gt;0,$F586&gt;0,$G586&gt;0,$F586&lt;=$A586,$G586&lt;=$A586,$A586-$F586&lt;=10,$A586-$G586&lt;=5),$D586*$E586/$C586-1,NA()),NA())</ns0:f>
        <ns0:v/>
      </ns0:c>
      <ns0:c r="C586">
        <ns0:f>IFERROR(IF(ISNUMBER($A586),IF(AND(AH!$P$10=1,AH!$P$12=1,$A586=TODAY()),AH!$P$19,IF(AH!$P$10=1,INDEX('Live History'!$B$5:$B$3004,AH!$P$13+581),INDEX('AH History'!$B$1:$B$18046,AH!$P$7+581))),NA()),NA())</ns0:f>
        <ns0:v/>
      </ns0:c>
      <ns0:c r="D586">
        <ns0:f>IFERROR(IF(ISNUMBER($A586),IF(AND(AH!$P$10=1,AH!$P$12=1,$A586=TODAY()),AH!$P$18,IF(AH!$P$10=1,INDEX('Live History'!$E$5:$E$3004,MATCH($A586,'Live History'!$D$5:$D$3004,1)),INDEX('AH History'!$C$1:$C$18046,AH!$P$7+581))),NA()),NA())</ns0:f>
        <ns0:v/>
      </ns0:c>
      <ns0:c r="E586">
        <ns0:f>IFERROR(IF(ISNUMBER($A586),IF(AND(AH!$P$10=1,AH!$P$12=1,$A586=TODAY()),AH!$P$20,IF(AH!$P$10=1,INDEX('Live History'!$H$5:$H$3004,MATCH($A586,'Live History'!$G$5:$G$3004,1)),INDEX('AH History'!$D$1:$D$18046,AH!$P$7+581))),NA()),NA())</ns0:f>
        <ns0:v/>
      </ns0:c>
      <ns0:c r="F586">
        <ns0:f>IFERROR(IF(ISNUMBER($A586),IF(AND(AH!$P$10=1,AH!$P$12=1,$A586=TODAY()),IF(AND(AH!$P$10=1,AH!$P$12=1,$A586=TODAY()),TODAY(),NA()),IF(AH!$P$10=1,INDEX('Live History'!$D$5:$D$3004,MATCH($A586,'Live History'!$D$5:$D$3004,1)),INDEX('AH History'!$E$1:$E$18046,AH!$P$7+581))),NA()),NA())</ns0:f>
        <ns0:v/>
      </ns0:c>
      <ns0:c r="G586">
        <ns0:f>IFERROR(IF(ISNUMBER($A586),IF(AND(AH!$P$10=1,AH!$P$12=1,$A586=TODAY()),IF(AND(AH!$P$10=1,AH!$P$12=1,$A586=TODAY()),TODAY(),NA()),IF(AH!$P$10=1,INDEX('Live History'!$G$5:$G$3004,MATCH($A586,'Live History'!$G$5:$G$3004,1)),INDEX('AH History'!$F$1:$F$18046,AH!$P$7+581))),NA()),NA())</ns0:f>
        <ns0:v/>
      </ns0:c>
      <ns0:c r="H586">
        <ns0:f>IFERROR(IF(AND(AH!$E$4="Bloomberg",AH!$P$10=1,ISNUMBER($A586),$A586&lt;=AH!$P$17),AH!$P$7-1+MATCH($A586,INDEX('AH History'!$A$1:$A$18046,AH!$P$7):INDEX('AH History'!$A$1:$A$18046,AH!$P$7+AH!$P$8-1),0),0),0)</ns0:f>
        <ns0:v/>
      </ns0:c>
      <ns0:c r="I586">
        <ns0:f>IF($H586=0,0,IFERROR(IF(AND(ABS($C586-INDEX('AH History'!$B$1:$B$18046,$H586))&lt;=MAX(0.005,ABS(INDEX('AH History'!$B$1:$B$18046,$H586))*0.00005),ABS($D586-INDEX('AH History'!$C$1:$C$18046,$H586))&lt;=MAX(0.005,ABS(INDEX('AH History'!$C$1:$C$18046,$H586))*0.00005),ABS($E586-INDEX('AH History'!$D$1:$D$18046,$H586))&lt;=0.00005,$F586=INDEX('AH History'!$E$1:$E$18046,$H586),$G586=INDEX('AH History'!$F$1:$F$18046,$H586)),1,-1),-1))</ns0:f>
        <ns0:v/>
      </ns0:c>
    </ns0:row>
    <ns0:row r="587">
      <ns0:c r="A587" s="215">
        <ns0:f>IF(OR(AH!$P$3=0,582+1&gt;AH!$P$11,AND(AH!$E$4&lt;&gt;"Stored",AH!$P$10&lt;&gt;1)),"",IFERROR(IF(AND(AH!$P$21=1,582+1=AH!$P$11),TODAY(),IF(AH!$P$10=1,INDEX('Live History'!$A$5:$A$3004,AH!$P$13+582),INDEX('AH History'!$A$1:$A$18046,AH!$P$7+582))),""))</ns0:f>
        <ns0:v/>
      </ns0:c>
      <ns0:c r="B587" s="219">
        <ns0:f>IFERROR(IF(AND(AH!$P$9&lt;&gt;1,$C587&gt;0,$D587&gt;0,$E587&gt;0,$F587&gt;0,$G587&gt;0,$F587&lt;=$A587,$G587&lt;=$A587,$A587-$F587&lt;=10,$A587-$G587&lt;=5),$D587*$E587/$C587-1,NA()),NA())</ns0:f>
        <ns0:v/>
      </ns0:c>
      <ns0:c r="C587">
        <ns0:f>IFERROR(IF(ISNUMBER($A587),IF(AND(AH!$P$10=1,AH!$P$12=1,$A587=TODAY()),AH!$P$19,IF(AH!$P$10=1,INDEX('Live History'!$B$5:$B$3004,AH!$P$13+582),INDEX('AH History'!$B$1:$B$18046,AH!$P$7+582))),NA()),NA())</ns0:f>
        <ns0:v/>
      </ns0:c>
      <ns0:c r="D587">
        <ns0:f>IFERROR(IF(ISNUMBER($A587),IF(AND(AH!$P$10=1,AH!$P$12=1,$A587=TODAY()),AH!$P$18,IF(AH!$P$10=1,INDEX('Live History'!$E$5:$E$3004,MATCH($A587,'Live History'!$D$5:$D$3004,1)),INDEX('AH History'!$C$1:$C$18046,AH!$P$7+582))),NA()),NA())</ns0:f>
        <ns0:v/>
      </ns0:c>
      <ns0:c r="E587">
        <ns0:f>IFERROR(IF(ISNUMBER($A587),IF(AND(AH!$P$10=1,AH!$P$12=1,$A587=TODAY()),AH!$P$20,IF(AH!$P$10=1,INDEX('Live History'!$H$5:$H$3004,MATCH($A587,'Live History'!$G$5:$G$3004,1)),INDEX('AH History'!$D$1:$D$18046,AH!$P$7+582))),NA()),NA())</ns0:f>
        <ns0:v/>
      </ns0:c>
      <ns0:c r="F587">
        <ns0:f>IFERROR(IF(ISNUMBER($A587),IF(AND(AH!$P$10=1,AH!$P$12=1,$A587=TODAY()),IF(AND(AH!$P$10=1,AH!$P$12=1,$A587=TODAY()),TODAY(),NA()),IF(AH!$P$10=1,INDEX('Live History'!$D$5:$D$3004,MATCH($A587,'Live History'!$D$5:$D$3004,1)),INDEX('AH History'!$E$1:$E$18046,AH!$P$7+582))),NA()),NA())</ns0:f>
        <ns0:v/>
      </ns0:c>
      <ns0:c r="G587">
        <ns0:f>IFERROR(IF(ISNUMBER($A587),IF(AND(AH!$P$10=1,AH!$P$12=1,$A587=TODAY()),IF(AND(AH!$P$10=1,AH!$P$12=1,$A587=TODAY()),TODAY(),NA()),IF(AH!$P$10=1,INDEX('Live History'!$G$5:$G$3004,MATCH($A587,'Live History'!$G$5:$G$3004,1)),INDEX('AH History'!$F$1:$F$18046,AH!$P$7+582))),NA()),NA())</ns0:f>
        <ns0:v/>
      </ns0:c>
      <ns0:c r="H587">
        <ns0:f>IFERROR(IF(AND(AH!$E$4="Bloomberg",AH!$P$10=1,ISNUMBER($A587),$A587&lt;=AH!$P$17),AH!$P$7-1+MATCH($A587,INDEX('AH History'!$A$1:$A$18046,AH!$P$7):INDEX('AH History'!$A$1:$A$18046,AH!$P$7+AH!$P$8-1),0),0),0)</ns0:f>
        <ns0:v/>
      </ns0:c>
      <ns0:c r="I587">
        <ns0:f>IF($H587=0,0,IFERROR(IF(AND(ABS($C587-INDEX('AH History'!$B$1:$B$18046,$H587))&lt;=MAX(0.005,ABS(INDEX('AH History'!$B$1:$B$18046,$H587))*0.00005),ABS($D587-INDEX('AH History'!$C$1:$C$18046,$H587))&lt;=MAX(0.005,ABS(INDEX('AH History'!$C$1:$C$18046,$H587))*0.00005),ABS($E587-INDEX('AH History'!$D$1:$D$18046,$H587))&lt;=0.00005,$F587=INDEX('AH History'!$E$1:$E$18046,$H587),$G587=INDEX('AH History'!$F$1:$F$18046,$H587)),1,-1),-1))</ns0:f>
        <ns0:v/>
      </ns0:c>
    </ns0:row>
    <ns0:row r="588">
      <ns0:c r="A588" s="215">
        <ns0:f>IF(OR(AH!$P$3=0,583+1&gt;AH!$P$11,AND(AH!$E$4&lt;&gt;"Stored",AH!$P$10&lt;&gt;1)),"",IFERROR(IF(AND(AH!$P$21=1,583+1=AH!$P$11),TODAY(),IF(AH!$P$10=1,INDEX('Live History'!$A$5:$A$3004,AH!$P$13+583),INDEX('AH History'!$A$1:$A$18046,AH!$P$7+583))),""))</ns0:f>
        <ns0:v/>
      </ns0:c>
      <ns0:c r="B588" s="219">
        <ns0:f>IFERROR(IF(AND(AH!$P$9&lt;&gt;1,$C588&gt;0,$D588&gt;0,$E588&gt;0,$F588&gt;0,$G588&gt;0,$F588&lt;=$A588,$G588&lt;=$A588,$A588-$F588&lt;=10,$A588-$G588&lt;=5),$D588*$E588/$C588-1,NA()),NA())</ns0:f>
        <ns0:v/>
      </ns0:c>
      <ns0:c r="C588">
        <ns0:f>IFERROR(IF(ISNUMBER($A588),IF(AND(AH!$P$10=1,AH!$P$12=1,$A588=TODAY()),AH!$P$19,IF(AH!$P$10=1,INDEX('Live History'!$B$5:$B$3004,AH!$P$13+583),INDEX('AH History'!$B$1:$B$18046,AH!$P$7+583))),NA()),NA())</ns0:f>
        <ns0:v/>
      </ns0:c>
      <ns0:c r="D588">
        <ns0:f>IFERROR(IF(ISNUMBER($A588),IF(AND(AH!$P$10=1,AH!$P$12=1,$A588=TODAY()),AH!$P$18,IF(AH!$P$10=1,INDEX('Live History'!$E$5:$E$3004,MATCH($A588,'Live History'!$D$5:$D$3004,1)),INDEX('AH History'!$C$1:$C$18046,AH!$P$7+583))),NA()),NA())</ns0:f>
        <ns0:v/>
      </ns0:c>
      <ns0:c r="E588">
        <ns0:f>IFERROR(IF(ISNUMBER($A588),IF(AND(AH!$P$10=1,AH!$P$12=1,$A588=TODAY()),AH!$P$20,IF(AH!$P$10=1,INDEX('Live History'!$H$5:$H$3004,MATCH($A588,'Live History'!$G$5:$G$3004,1)),INDEX('AH History'!$D$1:$D$18046,AH!$P$7+583))),NA()),NA())</ns0:f>
        <ns0:v/>
      </ns0:c>
      <ns0:c r="F588">
        <ns0:f>IFERROR(IF(ISNUMBER($A588),IF(AND(AH!$P$10=1,AH!$P$12=1,$A588=TODAY()),IF(AND(AH!$P$10=1,AH!$P$12=1,$A588=TODAY()),TODAY(),NA()),IF(AH!$P$10=1,INDEX('Live History'!$D$5:$D$3004,MATCH($A588,'Live History'!$D$5:$D$3004,1)),INDEX('AH History'!$E$1:$E$18046,AH!$P$7+583))),NA()),NA())</ns0:f>
        <ns0:v/>
      </ns0:c>
      <ns0:c r="G588">
        <ns0:f>IFERROR(IF(ISNUMBER($A588),IF(AND(AH!$P$10=1,AH!$P$12=1,$A588=TODAY()),IF(AND(AH!$P$10=1,AH!$P$12=1,$A588=TODAY()),TODAY(),NA()),IF(AH!$P$10=1,INDEX('Live History'!$G$5:$G$3004,MATCH($A588,'Live History'!$G$5:$G$3004,1)),INDEX('AH History'!$F$1:$F$18046,AH!$P$7+583))),NA()),NA())</ns0:f>
        <ns0:v/>
      </ns0:c>
      <ns0:c r="H588">
        <ns0:f>IFERROR(IF(AND(AH!$E$4="Bloomberg",AH!$P$10=1,ISNUMBER($A588),$A588&lt;=AH!$P$17),AH!$P$7-1+MATCH($A588,INDEX('AH History'!$A$1:$A$18046,AH!$P$7):INDEX('AH History'!$A$1:$A$18046,AH!$P$7+AH!$P$8-1),0),0),0)</ns0:f>
        <ns0:v/>
      </ns0:c>
      <ns0:c r="I588">
        <ns0:f>IF($H588=0,0,IFERROR(IF(AND(ABS($C588-INDEX('AH History'!$B$1:$B$18046,$H588))&lt;=MAX(0.005,ABS(INDEX('AH History'!$B$1:$B$18046,$H588))*0.00005),ABS($D588-INDEX('AH History'!$C$1:$C$18046,$H588))&lt;=MAX(0.005,ABS(INDEX('AH History'!$C$1:$C$18046,$H588))*0.00005),ABS($E588-INDEX('AH History'!$D$1:$D$18046,$H588))&lt;=0.00005,$F588=INDEX('AH History'!$E$1:$E$18046,$H588),$G588=INDEX('AH History'!$F$1:$F$18046,$H588)),1,-1),-1))</ns0:f>
        <ns0:v/>
      </ns0:c>
    </ns0:row>
    <ns0:row r="589">
      <ns0:c r="A589" s="215">
        <ns0:f>IF(OR(AH!$P$3=0,584+1&gt;AH!$P$11,AND(AH!$E$4&lt;&gt;"Stored",AH!$P$10&lt;&gt;1)),"",IFERROR(IF(AND(AH!$P$21=1,584+1=AH!$P$11),TODAY(),IF(AH!$P$10=1,INDEX('Live History'!$A$5:$A$3004,AH!$P$13+584),INDEX('AH History'!$A$1:$A$18046,AH!$P$7+584))),""))</ns0:f>
        <ns0:v/>
      </ns0:c>
      <ns0:c r="B589" s="219">
        <ns0:f>IFERROR(IF(AND(AH!$P$9&lt;&gt;1,$C589&gt;0,$D589&gt;0,$E589&gt;0,$F589&gt;0,$G589&gt;0,$F589&lt;=$A589,$G589&lt;=$A589,$A589-$F589&lt;=10,$A589-$G589&lt;=5),$D589*$E589/$C589-1,NA()),NA())</ns0:f>
        <ns0:v/>
      </ns0:c>
      <ns0:c r="C589">
        <ns0:f>IFERROR(IF(ISNUMBER($A589),IF(AND(AH!$P$10=1,AH!$P$12=1,$A589=TODAY()),AH!$P$19,IF(AH!$P$10=1,INDEX('Live History'!$B$5:$B$3004,AH!$P$13+584),INDEX('AH History'!$B$1:$B$18046,AH!$P$7+584))),NA()),NA())</ns0:f>
        <ns0:v/>
      </ns0:c>
      <ns0:c r="D589">
        <ns0:f>IFERROR(IF(ISNUMBER($A589),IF(AND(AH!$P$10=1,AH!$P$12=1,$A589=TODAY()),AH!$P$18,IF(AH!$P$10=1,INDEX('Live History'!$E$5:$E$3004,MATCH($A589,'Live History'!$D$5:$D$3004,1)),INDEX('AH History'!$C$1:$C$18046,AH!$P$7+584))),NA()),NA())</ns0:f>
        <ns0:v/>
      </ns0:c>
      <ns0:c r="E589">
        <ns0:f>IFERROR(IF(ISNUMBER($A589),IF(AND(AH!$P$10=1,AH!$P$12=1,$A589=TODAY()),AH!$P$20,IF(AH!$P$10=1,INDEX('Live History'!$H$5:$H$3004,MATCH($A589,'Live History'!$G$5:$G$3004,1)),INDEX('AH History'!$D$1:$D$18046,AH!$P$7+584))),NA()),NA())</ns0:f>
        <ns0:v/>
      </ns0:c>
      <ns0:c r="F589">
        <ns0:f>IFERROR(IF(ISNUMBER($A589),IF(AND(AH!$P$10=1,AH!$P$12=1,$A589=TODAY()),IF(AND(AH!$P$10=1,AH!$P$12=1,$A589=TODAY()),TODAY(),NA()),IF(AH!$P$10=1,INDEX('Live History'!$D$5:$D$3004,MATCH($A589,'Live History'!$D$5:$D$3004,1)),INDEX('AH History'!$E$1:$E$18046,AH!$P$7+584))),NA()),NA())</ns0:f>
        <ns0:v/>
      </ns0:c>
      <ns0:c r="G589">
        <ns0:f>IFERROR(IF(ISNUMBER($A589),IF(AND(AH!$P$10=1,AH!$P$12=1,$A589=TODAY()),IF(AND(AH!$P$10=1,AH!$P$12=1,$A589=TODAY()),TODAY(),NA()),IF(AH!$P$10=1,INDEX('Live History'!$G$5:$G$3004,MATCH($A589,'Live History'!$G$5:$G$3004,1)),INDEX('AH History'!$F$1:$F$18046,AH!$P$7+584))),NA()),NA())</ns0:f>
        <ns0:v/>
      </ns0:c>
      <ns0:c r="H589">
        <ns0:f>IFERROR(IF(AND(AH!$E$4="Bloomberg",AH!$P$10=1,ISNUMBER($A589),$A589&lt;=AH!$P$17),AH!$P$7-1+MATCH($A589,INDEX('AH History'!$A$1:$A$18046,AH!$P$7):INDEX('AH History'!$A$1:$A$18046,AH!$P$7+AH!$P$8-1),0),0),0)</ns0:f>
        <ns0:v/>
      </ns0:c>
      <ns0:c r="I589">
        <ns0:f>IF($H589=0,0,IFERROR(IF(AND(ABS($C589-INDEX('AH History'!$B$1:$B$18046,$H589))&lt;=MAX(0.005,ABS(INDEX('AH History'!$B$1:$B$18046,$H589))*0.00005),ABS($D589-INDEX('AH History'!$C$1:$C$18046,$H589))&lt;=MAX(0.005,ABS(INDEX('AH History'!$C$1:$C$18046,$H589))*0.00005),ABS($E589-INDEX('AH History'!$D$1:$D$18046,$H589))&lt;=0.00005,$F589=INDEX('AH History'!$E$1:$E$18046,$H589),$G589=INDEX('AH History'!$F$1:$F$18046,$H589)),1,-1),-1))</ns0:f>
        <ns0:v/>
      </ns0:c>
    </ns0:row>
    <ns0:row r="590">
      <ns0:c r="A590" s="215">
        <ns0:f>IF(OR(AH!$P$3=0,585+1&gt;AH!$P$11,AND(AH!$E$4&lt;&gt;"Stored",AH!$P$10&lt;&gt;1)),"",IFERROR(IF(AND(AH!$P$21=1,585+1=AH!$P$11),TODAY(),IF(AH!$P$10=1,INDEX('Live History'!$A$5:$A$3004,AH!$P$13+585),INDEX('AH History'!$A$1:$A$18046,AH!$P$7+585))),""))</ns0:f>
        <ns0:v/>
      </ns0:c>
      <ns0:c r="B590" s="219">
        <ns0:f>IFERROR(IF(AND(AH!$P$9&lt;&gt;1,$C590&gt;0,$D590&gt;0,$E590&gt;0,$F590&gt;0,$G590&gt;0,$F590&lt;=$A590,$G590&lt;=$A590,$A590-$F590&lt;=10,$A590-$G590&lt;=5),$D590*$E590/$C590-1,NA()),NA())</ns0:f>
        <ns0:v/>
      </ns0:c>
      <ns0:c r="C590">
        <ns0:f>IFERROR(IF(ISNUMBER($A590),IF(AND(AH!$P$10=1,AH!$P$12=1,$A590=TODAY()),AH!$P$19,IF(AH!$P$10=1,INDEX('Live History'!$B$5:$B$3004,AH!$P$13+585),INDEX('AH History'!$B$1:$B$18046,AH!$P$7+585))),NA()),NA())</ns0:f>
        <ns0:v/>
      </ns0:c>
      <ns0:c r="D590">
        <ns0:f>IFERROR(IF(ISNUMBER($A590),IF(AND(AH!$P$10=1,AH!$P$12=1,$A590=TODAY()),AH!$P$18,IF(AH!$P$10=1,INDEX('Live History'!$E$5:$E$3004,MATCH($A590,'Live History'!$D$5:$D$3004,1)),INDEX('AH History'!$C$1:$C$18046,AH!$P$7+585))),NA()),NA())</ns0:f>
        <ns0:v/>
      </ns0:c>
      <ns0:c r="E590">
        <ns0:f>IFERROR(IF(ISNUMBER($A590),IF(AND(AH!$P$10=1,AH!$P$12=1,$A590=TODAY()),AH!$P$20,IF(AH!$P$10=1,INDEX('Live History'!$H$5:$H$3004,MATCH($A590,'Live History'!$G$5:$G$3004,1)),INDEX('AH History'!$D$1:$D$18046,AH!$P$7+585))),NA()),NA())</ns0:f>
        <ns0:v/>
      </ns0:c>
      <ns0:c r="F590">
        <ns0:f>IFERROR(IF(ISNUMBER($A590),IF(AND(AH!$P$10=1,AH!$P$12=1,$A590=TODAY()),IF(AND(AH!$P$10=1,AH!$P$12=1,$A590=TODAY()),TODAY(),NA()),IF(AH!$P$10=1,INDEX('Live History'!$D$5:$D$3004,MATCH($A590,'Live History'!$D$5:$D$3004,1)),INDEX('AH History'!$E$1:$E$18046,AH!$P$7+585))),NA()),NA())</ns0:f>
        <ns0:v/>
      </ns0:c>
      <ns0:c r="G590">
        <ns0:f>IFERROR(IF(ISNUMBER($A590),IF(AND(AH!$P$10=1,AH!$P$12=1,$A590=TODAY()),IF(AND(AH!$P$10=1,AH!$P$12=1,$A590=TODAY()),TODAY(),NA()),IF(AH!$P$10=1,INDEX('Live History'!$G$5:$G$3004,MATCH($A590,'Live History'!$G$5:$G$3004,1)),INDEX('AH History'!$F$1:$F$18046,AH!$P$7+585))),NA()),NA())</ns0:f>
        <ns0:v/>
      </ns0:c>
      <ns0:c r="H590">
        <ns0:f>IFERROR(IF(AND(AH!$E$4="Bloomberg",AH!$P$10=1,ISNUMBER($A590),$A590&lt;=AH!$P$17),AH!$P$7-1+MATCH($A590,INDEX('AH History'!$A$1:$A$18046,AH!$P$7):INDEX('AH History'!$A$1:$A$18046,AH!$P$7+AH!$P$8-1),0),0),0)</ns0:f>
        <ns0:v/>
      </ns0:c>
      <ns0:c r="I590">
        <ns0:f>IF($H590=0,0,IFERROR(IF(AND(ABS($C590-INDEX('AH History'!$B$1:$B$18046,$H590))&lt;=MAX(0.005,ABS(INDEX('AH History'!$B$1:$B$18046,$H590))*0.00005),ABS($D590-INDEX('AH History'!$C$1:$C$18046,$H590))&lt;=MAX(0.005,ABS(INDEX('AH History'!$C$1:$C$18046,$H590))*0.00005),ABS($E590-INDEX('AH History'!$D$1:$D$18046,$H590))&lt;=0.00005,$F590=INDEX('AH History'!$E$1:$E$18046,$H590),$G590=INDEX('AH History'!$F$1:$F$18046,$H590)),1,-1),-1))</ns0:f>
        <ns0:v/>
      </ns0:c>
    </ns0:row>
    <ns0:row r="591">
      <ns0:c r="A591" s="215">
        <ns0:f>IF(OR(AH!$P$3=0,586+1&gt;AH!$P$11,AND(AH!$E$4&lt;&gt;"Stored",AH!$P$10&lt;&gt;1)),"",IFERROR(IF(AND(AH!$P$21=1,586+1=AH!$P$11),TODAY(),IF(AH!$P$10=1,INDEX('Live History'!$A$5:$A$3004,AH!$P$13+586),INDEX('AH History'!$A$1:$A$18046,AH!$P$7+586))),""))</ns0:f>
        <ns0:v/>
      </ns0:c>
      <ns0:c r="B591" s="219">
        <ns0:f>IFERROR(IF(AND(AH!$P$9&lt;&gt;1,$C591&gt;0,$D591&gt;0,$E591&gt;0,$F591&gt;0,$G591&gt;0,$F591&lt;=$A591,$G591&lt;=$A591,$A591-$F591&lt;=10,$A591-$G591&lt;=5),$D591*$E591/$C591-1,NA()),NA())</ns0:f>
        <ns0:v/>
      </ns0:c>
      <ns0:c r="C591">
        <ns0:f>IFERROR(IF(ISNUMBER($A591),IF(AND(AH!$P$10=1,AH!$P$12=1,$A591=TODAY()),AH!$P$19,IF(AH!$P$10=1,INDEX('Live History'!$B$5:$B$3004,AH!$P$13+586),INDEX('AH History'!$B$1:$B$18046,AH!$P$7+586))),NA()),NA())</ns0:f>
        <ns0:v/>
      </ns0:c>
      <ns0:c r="D591">
        <ns0:f>IFERROR(IF(ISNUMBER($A591),IF(AND(AH!$P$10=1,AH!$P$12=1,$A591=TODAY()),AH!$P$18,IF(AH!$P$10=1,INDEX('Live History'!$E$5:$E$3004,MATCH($A591,'Live History'!$D$5:$D$3004,1)),INDEX('AH History'!$C$1:$C$18046,AH!$P$7+586))),NA()),NA())</ns0:f>
        <ns0:v/>
      </ns0:c>
      <ns0:c r="E591">
        <ns0:f>IFERROR(IF(ISNUMBER($A591),IF(AND(AH!$P$10=1,AH!$P$12=1,$A591=TODAY()),AH!$P$20,IF(AH!$P$10=1,INDEX('Live History'!$H$5:$H$3004,MATCH($A591,'Live History'!$G$5:$G$3004,1)),INDEX('AH History'!$D$1:$D$18046,AH!$P$7+586))),NA()),NA())</ns0:f>
        <ns0:v/>
      </ns0:c>
      <ns0:c r="F591">
        <ns0:f>IFERROR(IF(ISNUMBER($A591),IF(AND(AH!$P$10=1,AH!$P$12=1,$A591=TODAY()),IF(AND(AH!$P$10=1,AH!$P$12=1,$A591=TODAY()),TODAY(),NA()),IF(AH!$P$10=1,INDEX('Live History'!$D$5:$D$3004,MATCH($A591,'Live History'!$D$5:$D$3004,1)),INDEX('AH History'!$E$1:$E$18046,AH!$P$7+586))),NA()),NA())</ns0:f>
        <ns0:v/>
      </ns0:c>
      <ns0:c r="G591">
        <ns0:f>IFERROR(IF(ISNUMBER($A591),IF(AND(AH!$P$10=1,AH!$P$12=1,$A591=TODAY()),IF(AND(AH!$P$10=1,AH!$P$12=1,$A591=TODAY()),TODAY(),NA()),IF(AH!$P$10=1,INDEX('Live History'!$G$5:$G$3004,MATCH($A591,'Live History'!$G$5:$G$3004,1)),INDEX('AH History'!$F$1:$F$18046,AH!$P$7+586))),NA()),NA())</ns0:f>
        <ns0:v/>
      </ns0:c>
      <ns0:c r="H591">
        <ns0:f>IFERROR(IF(AND(AH!$E$4="Bloomberg",AH!$P$10=1,ISNUMBER($A591),$A591&lt;=AH!$P$17),AH!$P$7-1+MATCH($A591,INDEX('AH History'!$A$1:$A$18046,AH!$P$7):INDEX('AH History'!$A$1:$A$18046,AH!$P$7+AH!$P$8-1),0),0),0)</ns0:f>
        <ns0:v/>
      </ns0:c>
      <ns0:c r="I591">
        <ns0:f>IF($H591=0,0,IFERROR(IF(AND(ABS($C591-INDEX('AH History'!$B$1:$B$18046,$H591))&lt;=MAX(0.005,ABS(INDEX('AH History'!$B$1:$B$18046,$H591))*0.00005),ABS($D591-INDEX('AH History'!$C$1:$C$18046,$H591))&lt;=MAX(0.005,ABS(INDEX('AH History'!$C$1:$C$18046,$H591))*0.00005),ABS($E591-INDEX('AH History'!$D$1:$D$18046,$H591))&lt;=0.00005,$F591=INDEX('AH History'!$E$1:$E$18046,$H591),$G591=INDEX('AH History'!$F$1:$F$18046,$H591)),1,-1),-1))</ns0:f>
        <ns0:v/>
      </ns0:c>
    </ns0:row>
    <ns0:row r="592">
      <ns0:c r="A592" s="215">
        <ns0:f>IF(OR(AH!$P$3=0,587+1&gt;AH!$P$11,AND(AH!$E$4&lt;&gt;"Stored",AH!$P$10&lt;&gt;1)),"",IFERROR(IF(AND(AH!$P$21=1,587+1=AH!$P$11),TODAY(),IF(AH!$P$10=1,INDEX('Live History'!$A$5:$A$3004,AH!$P$13+587),INDEX('AH History'!$A$1:$A$18046,AH!$P$7+587))),""))</ns0:f>
        <ns0:v/>
      </ns0:c>
      <ns0:c r="B592" s="219">
        <ns0:f>IFERROR(IF(AND(AH!$P$9&lt;&gt;1,$C592&gt;0,$D592&gt;0,$E592&gt;0,$F592&gt;0,$G592&gt;0,$F592&lt;=$A592,$G592&lt;=$A592,$A592-$F592&lt;=10,$A592-$G592&lt;=5),$D592*$E592/$C592-1,NA()),NA())</ns0:f>
        <ns0:v/>
      </ns0:c>
      <ns0:c r="C592">
        <ns0:f>IFERROR(IF(ISNUMBER($A592),IF(AND(AH!$P$10=1,AH!$P$12=1,$A592=TODAY()),AH!$P$19,IF(AH!$P$10=1,INDEX('Live History'!$B$5:$B$3004,AH!$P$13+587),INDEX('AH History'!$B$1:$B$18046,AH!$P$7+587))),NA()),NA())</ns0:f>
        <ns0:v/>
      </ns0:c>
      <ns0:c r="D592">
        <ns0:f>IFERROR(IF(ISNUMBER($A592),IF(AND(AH!$P$10=1,AH!$P$12=1,$A592=TODAY()),AH!$P$18,IF(AH!$P$10=1,INDEX('Live History'!$E$5:$E$3004,MATCH($A592,'Live History'!$D$5:$D$3004,1)),INDEX('AH History'!$C$1:$C$18046,AH!$P$7+587))),NA()),NA())</ns0:f>
        <ns0:v/>
      </ns0:c>
      <ns0:c r="E592">
        <ns0:f>IFERROR(IF(ISNUMBER($A592),IF(AND(AH!$P$10=1,AH!$P$12=1,$A592=TODAY()),AH!$P$20,IF(AH!$P$10=1,INDEX('Live History'!$H$5:$H$3004,MATCH($A592,'Live History'!$G$5:$G$3004,1)),INDEX('AH History'!$D$1:$D$18046,AH!$P$7+587))),NA()),NA())</ns0:f>
        <ns0:v/>
      </ns0:c>
      <ns0:c r="F592">
        <ns0:f>IFERROR(IF(ISNUMBER($A592),IF(AND(AH!$P$10=1,AH!$P$12=1,$A592=TODAY()),IF(AND(AH!$P$10=1,AH!$P$12=1,$A592=TODAY()),TODAY(),NA()),IF(AH!$P$10=1,INDEX('Live History'!$D$5:$D$3004,MATCH($A592,'Live History'!$D$5:$D$3004,1)),INDEX('AH History'!$E$1:$E$18046,AH!$P$7+587))),NA()),NA())</ns0:f>
        <ns0:v/>
      </ns0:c>
      <ns0:c r="G592">
        <ns0:f>IFERROR(IF(ISNUMBER($A592),IF(AND(AH!$P$10=1,AH!$P$12=1,$A592=TODAY()),IF(AND(AH!$P$10=1,AH!$P$12=1,$A592=TODAY()),TODAY(),NA()),IF(AH!$P$10=1,INDEX('Live History'!$G$5:$G$3004,MATCH($A592,'Live History'!$G$5:$G$3004,1)),INDEX('AH History'!$F$1:$F$18046,AH!$P$7+587))),NA()),NA())</ns0:f>
        <ns0:v/>
      </ns0:c>
      <ns0:c r="H592">
        <ns0:f>IFERROR(IF(AND(AH!$E$4="Bloomberg",AH!$P$10=1,ISNUMBER($A592),$A592&lt;=AH!$P$17),AH!$P$7-1+MATCH($A592,INDEX('AH History'!$A$1:$A$18046,AH!$P$7):INDEX('AH History'!$A$1:$A$18046,AH!$P$7+AH!$P$8-1),0),0),0)</ns0:f>
        <ns0:v/>
      </ns0:c>
      <ns0:c r="I592">
        <ns0:f>IF($H592=0,0,IFERROR(IF(AND(ABS($C592-INDEX('AH History'!$B$1:$B$18046,$H592))&lt;=MAX(0.005,ABS(INDEX('AH History'!$B$1:$B$18046,$H592))*0.00005),ABS($D592-INDEX('AH History'!$C$1:$C$18046,$H592))&lt;=MAX(0.005,ABS(INDEX('AH History'!$C$1:$C$18046,$H592))*0.00005),ABS($E592-INDEX('AH History'!$D$1:$D$18046,$H592))&lt;=0.00005,$F592=INDEX('AH History'!$E$1:$E$18046,$H592),$G592=INDEX('AH History'!$F$1:$F$18046,$H592)),1,-1),-1))</ns0:f>
        <ns0:v/>
      </ns0:c>
    </ns0:row>
    <ns0:row r="593">
      <ns0:c r="A593" s="215">
        <ns0:f>IF(OR(AH!$P$3=0,588+1&gt;AH!$P$11,AND(AH!$E$4&lt;&gt;"Stored",AH!$P$10&lt;&gt;1)),"",IFERROR(IF(AND(AH!$P$21=1,588+1=AH!$P$11),TODAY(),IF(AH!$P$10=1,INDEX('Live History'!$A$5:$A$3004,AH!$P$13+588),INDEX('AH History'!$A$1:$A$18046,AH!$P$7+588))),""))</ns0:f>
        <ns0:v/>
      </ns0:c>
      <ns0:c r="B593" s="219">
        <ns0:f>IFERROR(IF(AND(AH!$P$9&lt;&gt;1,$C593&gt;0,$D593&gt;0,$E593&gt;0,$F593&gt;0,$G593&gt;0,$F593&lt;=$A593,$G593&lt;=$A593,$A593-$F593&lt;=10,$A593-$G593&lt;=5),$D593*$E593/$C593-1,NA()),NA())</ns0:f>
        <ns0:v/>
      </ns0:c>
      <ns0:c r="C593">
        <ns0:f>IFERROR(IF(ISNUMBER($A593),IF(AND(AH!$P$10=1,AH!$P$12=1,$A593=TODAY()),AH!$P$19,IF(AH!$P$10=1,INDEX('Live History'!$B$5:$B$3004,AH!$P$13+588),INDEX('AH History'!$B$1:$B$18046,AH!$P$7+588))),NA()),NA())</ns0:f>
        <ns0:v/>
      </ns0:c>
      <ns0:c r="D593">
        <ns0:f>IFERROR(IF(ISNUMBER($A593),IF(AND(AH!$P$10=1,AH!$P$12=1,$A593=TODAY()),AH!$P$18,IF(AH!$P$10=1,INDEX('Live History'!$E$5:$E$3004,MATCH($A593,'Live History'!$D$5:$D$3004,1)),INDEX('AH History'!$C$1:$C$18046,AH!$P$7+588))),NA()),NA())</ns0:f>
        <ns0:v/>
      </ns0:c>
      <ns0:c r="E593">
        <ns0:f>IFERROR(IF(ISNUMBER($A593),IF(AND(AH!$P$10=1,AH!$P$12=1,$A593=TODAY()),AH!$P$20,IF(AH!$P$10=1,INDEX('Live History'!$H$5:$H$3004,MATCH($A593,'Live History'!$G$5:$G$3004,1)),INDEX('AH History'!$D$1:$D$18046,AH!$P$7+588))),NA()),NA())</ns0:f>
        <ns0:v/>
      </ns0:c>
      <ns0:c r="F593">
        <ns0:f>IFERROR(IF(ISNUMBER($A593),IF(AND(AH!$P$10=1,AH!$P$12=1,$A593=TODAY()),IF(AND(AH!$P$10=1,AH!$P$12=1,$A593=TODAY()),TODAY(),NA()),IF(AH!$P$10=1,INDEX('Live History'!$D$5:$D$3004,MATCH($A593,'Live History'!$D$5:$D$3004,1)),INDEX('AH History'!$E$1:$E$18046,AH!$P$7+588))),NA()),NA())</ns0:f>
        <ns0:v/>
      </ns0:c>
      <ns0:c r="G593">
        <ns0:f>IFERROR(IF(ISNUMBER($A593),IF(AND(AH!$P$10=1,AH!$P$12=1,$A593=TODAY()),IF(AND(AH!$P$10=1,AH!$P$12=1,$A593=TODAY()),TODAY(),NA()),IF(AH!$P$10=1,INDEX('Live History'!$G$5:$G$3004,MATCH($A593,'Live History'!$G$5:$G$3004,1)),INDEX('AH History'!$F$1:$F$18046,AH!$P$7+588))),NA()),NA())</ns0:f>
        <ns0:v/>
      </ns0:c>
      <ns0:c r="H593">
        <ns0:f>IFERROR(IF(AND(AH!$E$4="Bloomberg",AH!$P$10=1,ISNUMBER($A593),$A593&lt;=AH!$P$17),AH!$P$7-1+MATCH($A593,INDEX('AH History'!$A$1:$A$18046,AH!$P$7):INDEX('AH History'!$A$1:$A$18046,AH!$P$7+AH!$P$8-1),0),0),0)</ns0:f>
        <ns0:v/>
      </ns0:c>
      <ns0:c r="I593">
        <ns0:f>IF($H593=0,0,IFERROR(IF(AND(ABS($C593-INDEX('AH History'!$B$1:$B$18046,$H593))&lt;=MAX(0.005,ABS(INDEX('AH History'!$B$1:$B$18046,$H593))*0.00005),ABS($D593-INDEX('AH History'!$C$1:$C$18046,$H593))&lt;=MAX(0.005,ABS(INDEX('AH History'!$C$1:$C$18046,$H593))*0.00005),ABS($E593-INDEX('AH History'!$D$1:$D$18046,$H593))&lt;=0.00005,$F593=INDEX('AH History'!$E$1:$E$18046,$H593),$G593=INDEX('AH History'!$F$1:$F$18046,$H593)),1,-1),-1))</ns0:f>
        <ns0:v/>
      </ns0:c>
    </ns0:row>
    <ns0:row r="594">
      <ns0:c r="A594" s="215">
        <ns0:f>IF(OR(AH!$P$3=0,589+1&gt;AH!$P$11,AND(AH!$E$4&lt;&gt;"Stored",AH!$P$10&lt;&gt;1)),"",IFERROR(IF(AND(AH!$P$21=1,589+1=AH!$P$11),TODAY(),IF(AH!$P$10=1,INDEX('Live History'!$A$5:$A$3004,AH!$P$13+589),INDEX('AH History'!$A$1:$A$18046,AH!$P$7+589))),""))</ns0:f>
        <ns0:v/>
      </ns0:c>
      <ns0:c r="B594" s="219">
        <ns0:f>IFERROR(IF(AND(AH!$P$9&lt;&gt;1,$C594&gt;0,$D594&gt;0,$E594&gt;0,$F594&gt;0,$G594&gt;0,$F594&lt;=$A594,$G594&lt;=$A594,$A594-$F594&lt;=10,$A594-$G594&lt;=5),$D594*$E594/$C594-1,NA()),NA())</ns0:f>
        <ns0:v/>
      </ns0:c>
      <ns0:c r="C594">
        <ns0:f>IFERROR(IF(ISNUMBER($A594),IF(AND(AH!$P$10=1,AH!$P$12=1,$A594=TODAY()),AH!$P$19,IF(AH!$P$10=1,INDEX('Live History'!$B$5:$B$3004,AH!$P$13+589),INDEX('AH History'!$B$1:$B$18046,AH!$P$7+589))),NA()),NA())</ns0:f>
        <ns0:v/>
      </ns0:c>
      <ns0:c r="D594">
        <ns0:f>IFERROR(IF(ISNUMBER($A594),IF(AND(AH!$P$10=1,AH!$P$12=1,$A594=TODAY()),AH!$P$18,IF(AH!$P$10=1,INDEX('Live History'!$E$5:$E$3004,MATCH($A594,'Live History'!$D$5:$D$3004,1)),INDEX('AH History'!$C$1:$C$18046,AH!$P$7+589))),NA()),NA())</ns0:f>
        <ns0:v/>
      </ns0:c>
      <ns0:c r="E594">
        <ns0:f>IFERROR(IF(ISNUMBER($A594),IF(AND(AH!$P$10=1,AH!$P$12=1,$A594=TODAY()),AH!$P$20,IF(AH!$P$10=1,INDEX('Live History'!$H$5:$H$3004,MATCH($A594,'Live History'!$G$5:$G$3004,1)),INDEX('AH History'!$D$1:$D$18046,AH!$P$7+589))),NA()),NA())</ns0:f>
        <ns0:v/>
      </ns0:c>
      <ns0:c r="F594">
        <ns0:f>IFERROR(IF(ISNUMBER($A594),IF(AND(AH!$P$10=1,AH!$P$12=1,$A594=TODAY()),IF(AND(AH!$P$10=1,AH!$P$12=1,$A594=TODAY()),TODAY(),NA()),IF(AH!$P$10=1,INDEX('Live History'!$D$5:$D$3004,MATCH($A594,'Live History'!$D$5:$D$3004,1)),INDEX('AH History'!$E$1:$E$18046,AH!$P$7+589))),NA()),NA())</ns0:f>
        <ns0:v/>
      </ns0:c>
      <ns0:c r="G594">
        <ns0:f>IFERROR(IF(ISNUMBER($A594),IF(AND(AH!$P$10=1,AH!$P$12=1,$A594=TODAY()),IF(AND(AH!$P$10=1,AH!$P$12=1,$A594=TODAY()),TODAY(),NA()),IF(AH!$P$10=1,INDEX('Live History'!$G$5:$G$3004,MATCH($A594,'Live History'!$G$5:$G$3004,1)),INDEX('AH History'!$F$1:$F$18046,AH!$P$7+589))),NA()),NA())</ns0:f>
        <ns0:v/>
      </ns0:c>
      <ns0:c r="H594">
        <ns0:f>IFERROR(IF(AND(AH!$E$4="Bloomberg",AH!$P$10=1,ISNUMBER($A594),$A594&lt;=AH!$P$17),AH!$P$7-1+MATCH($A594,INDEX('AH History'!$A$1:$A$18046,AH!$P$7):INDEX('AH History'!$A$1:$A$18046,AH!$P$7+AH!$P$8-1),0),0),0)</ns0:f>
        <ns0:v/>
      </ns0:c>
      <ns0:c r="I594">
        <ns0:f>IF($H594=0,0,IFERROR(IF(AND(ABS($C594-INDEX('AH History'!$B$1:$B$18046,$H594))&lt;=MAX(0.005,ABS(INDEX('AH History'!$B$1:$B$18046,$H594))*0.00005),ABS($D594-INDEX('AH History'!$C$1:$C$18046,$H594))&lt;=MAX(0.005,ABS(INDEX('AH History'!$C$1:$C$18046,$H594))*0.00005),ABS($E594-INDEX('AH History'!$D$1:$D$18046,$H594))&lt;=0.00005,$F594=INDEX('AH History'!$E$1:$E$18046,$H594),$G594=INDEX('AH History'!$F$1:$F$18046,$H594)),1,-1),-1))</ns0:f>
        <ns0:v/>
      </ns0:c>
    </ns0:row>
    <ns0:row r="595">
      <ns0:c r="A595" s="215">
        <ns0:f>IF(OR(AH!$P$3=0,590+1&gt;AH!$P$11,AND(AH!$E$4&lt;&gt;"Stored",AH!$P$10&lt;&gt;1)),"",IFERROR(IF(AND(AH!$P$21=1,590+1=AH!$P$11),TODAY(),IF(AH!$P$10=1,INDEX('Live History'!$A$5:$A$3004,AH!$P$13+590),INDEX('AH History'!$A$1:$A$18046,AH!$P$7+590))),""))</ns0:f>
        <ns0:v/>
      </ns0:c>
      <ns0:c r="B595" s="219">
        <ns0:f>IFERROR(IF(AND(AH!$P$9&lt;&gt;1,$C595&gt;0,$D595&gt;0,$E595&gt;0,$F595&gt;0,$G595&gt;0,$F595&lt;=$A595,$G595&lt;=$A595,$A595-$F595&lt;=10,$A595-$G595&lt;=5),$D595*$E595/$C595-1,NA()),NA())</ns0:f>
        <ns0:v/>
      </ns0:c>
      <ns0:c r="C595">
        <ns0:f>IFERROR(IF(ISNUMBER($A595),IF(AND(AH!$P$10=1,AH!$P$12=1,$A595=TODAY()),AH!$P$19,IF(AH!$P$10=1,INDEX('Live History'!$B$5:$B$3004,AH!$P$13+590),INDEX('AH History'!$B$1:$B$18046,AH!$P$7+590))),NA()),NA())</ns0:f>
        <ns0:v/>
      </ns0:c>
      <ns0:c r="D595">
        <ns0:f>IFERROR(IF(ISNUMBER($A595),IF(AND(AH!$P$10=1,AH!$P$12=1,$A595=TODAY()),AH!$P$18,IF(AH!$P$10=1,INDEX('Live History'!$E$5:$E$3004,MATCH($A595,'Live History'!$D$5:$D$3004,1)),INDEX('AH History'!$C$1:$C$18046,AH!$P$7+590))),NA()),NA())</ns0:f>
        <ns0:v/>
      </ns0:c>
      <ns0:c r="E595">
        <ns0:f>IFERROR(IF(ISNUMBER($A595),IF(AND(AH!$P$10=1,AH!$P$12=1,$A595=TODAY()),AH!$P$20,IF(AH!$P$10=1,INDEX('Live History'!$H$5:$H$3004,MATCH($A595,'Live History'!$G$5:$G$3004,1)),INDEX('AH History'!$D$1:$D$18046,AH!$P$7+590))),NA()),NA())</ns0:f>
        <ns0:v/>
      </ns0:c>
      <ns0:c r="F595">
        <ns0:f>IFERROR(IF(ISNUMBER($A595),IF(AND(AH!$P$10=1,AH!$P$12=1,$A595=TODAY()),IF(AND(AH!$P$10=1,AH!$P$12=1,$A595=TODAY()),TODAY(),NA()),IF(AH!$P$10=1,INDEX('Live History'!$D$5:$D$3004,MATCH($A595,'Live History'!$D$5:$D$3004,1)),INDEX('AH History'!$E$1:$E$18046,AH!$P$7+590))),NA()),NA())</ns0:f>
        <ns0:v/>
      </ns0:c>
      <ns0:c r="G595">
        <ns0:f>IFERROR(IF(ISNUMBER($A595),IF(AND(AH!$P$10=1,AH!$P$12=1,$A595=TODAY()),IF(AND(AH!$P$10=1,AH!$P$12=1,$A595=TODAY()),TODAY(),NA()),IF(AH!$P$10=1,INDEX('Live History'!$G$5:$G$3004,MATCH($A595,'Live History'!$G$5:$G$3004,1)),INDEX('AH History'!$F$1:$F$18046,AH!$P$7+590))),NA()),NA())</ns0:f>
        <ns0:v/>
      </ns0:c>
      <ns0:c r="H595">
        <ns0:f>IFERROR(IF(AND(AH!$E$4="Bloomberg",AH!$P$10=1,ISNUMBER($A595),$A595&lt;=AH!$P$17),AH!$P$7-1+MATCH($A595,INDEX('AH History'!$A$1:$A$18046,AH!$P$7):INDEX('AH History'!$A$1:$A$18046,AH!$P$7+AH!$P$8-1),0),0),0)</ns0:f>
        <ns0:v/>
      </ns0:c>
      <ns0:c r="I595">
        <ns0:f>IF($H595=0,0,IFERROR(IF(AND(ABS($C595-INDEX('AH History'!$B$1:$B$18046,$H595))&lt;=MAX(0.005,ABS(INDEX('AH History'!$B$1:$B$18046,$H595))*0.00005),ABS($D595-INDEX('AH History'!$C$1:$C$18046,$H595))&lt;=MAX(0.005,ABS(INDEX('AH History'!$C$1:$C$18046,$H595))*0.00005),ABS($E595-INDEX('AH History'!$D$1:$D$18046,$H595))&lt;=0.00005,$F595=INDEX('AH History'!$E$1:$E$18046,$H595),$G595=INDEX('AH History'!$F$1:$F$18046,$H595)),1,-1),-1))</ns0:f>
        <ns0:v/>
      </ns0:c>
    </ns0:row>
    <ns0:row r="596">
      <ns0:c r="A596" s="215">
        <ns0:f>IF(OR(AH!$P$3=0,591+1&gt;AH!$P$11,AND(AH!$E$4&lt;&gt;"Stored",AH!$P$10&lt;&gt;1)),"",IFERROR(IF(AND(AH!$P$21=1,591+1=AH!$P$11),TODAY(),IF(AH!$P$10=1,INDEX('Live History'!$A$5:$A$3004,AH!$P$13+591),INDEX('AH History'!$A$1:$A$18046,AH!$P$7+591))),""))</ns0:f>
        <ns0:v/>
      </ns0:c>
      <ns0:c r="B596" s="219">
        <ns0:f>IFERROR(IF(AND(AH!$P$9&lt;&gt;1,$C596&gt;0,$D596&gt;0,$E596&gt;0,$F596&gt;0,$G596&gt;0,$F596&lt;=$A596,$G596&lt;=$A596,$A596-$F596&lt;=10,$A596-$G596&lt;=5),$D596*$E596/$C596-1,NA()),NA())</ns0:f>
        <ns0:v/>
      </ns0:c>
      <ns0:c r="C596">
        <ns0:f>IFERROR(IF(ISNUMBER($A596),IF(AND(AH!$P$10=1,AH!$P$12=1,$A596=TODAY()),AH!$P$19,IF(AH!$P$10=1,INDEX('Live History'!$B$5:$B$3004,AH!$P$13+591),INDEX('AH History'!$B$1:$B$18046,AH!$P$7+591))),NA()),NA())</ns0:f>
        <ns0:v/>
      </ns0:c>
      <ns0:c r="D596">
        <ns0:f>IFERROR(IF(ISNUMBER($A596),IF(AND(AH!$P$10=1,AH!$P$12=1,$A596=TODAY()),AH!$P$18,IF(AH!$P$10=1,INDEX('Live History'!$E$5:$E$3004,MATCH($A596,'Live History'!$D$5:$D$3004,1)),INDEX('AH History'!$C$1:$C$18046,AH!$P$7+591))),NA()),NA())</ns0:f>
        <ns0:v/>
      </ns0:c>
      <ns0:c r="E596">
        <ns0:f>IFERROR(IF(ISNUMBER($A596),IF(AND(AH!$P$10=1,AH!$P$12=1,$A596=TODAY()),AH!$P$20,IF(AH!$P$10=1,INDEX('Live History'!$H$5:$H$3004,MATCH($A596,'Live History'!$G$5:$G$3004,1)),INDEX('AH History'!$D$1:$D$18046,AH!$P$7+591))),NA()),NA())</ns0:f>
        <ns0:v/>
      </ns0:c>
      <ns0:c r="F596">
        <ns0:f>IFERROR(IF(ISNUMBER($A596),IF(AND(AH!$P$10=1,AH!$P$12=1,$A596=TODAY()),IF(AND(AH!$P$10=1,AH!$P$12=1,$A596=TODAY()),TODAY(),NA()),IF(AH!$P$10=1,INDEX('Live History'!$D$5:$D$3004,MATCH($A596,'Live History'!$D$5:$D$3004,1)),INDEX('AH History'!$E$1:$E$18046,AH!$P$7+591))),NA()),NA())</ns0:f>
        <ns0:v/>
      </ns0:c>
      <ns0:c r="G596">
        <ns0:f>IFERROR(IF(ISNUMBER($A596),IF(AND(AH!$P$10=1,AH!$P$12=1,$A596=TODAY()),IF(AND(AH!$P$10=1,AH!$P$12=1,$A596=TODAY()),TODAY(),NA()),IF(AH!$P$10=1,INDEX('Live History'!$G$5:$G$3004,MATCH($A596,'Live History'!$G$5:$G$3004,1)),INDEX('AH History'!$F$1:$F$18046,AH!$P$7+591))),NA()),NA())</ns0:f>
        <ns0:v/>
      </ns0:c>
      <ns0:c r="H596">
        <ns0:f>IFERROR(IF(AND(AH!$E$4="Bloomberg",AH!$P$10=1,ISNUMBER($A596),$A596&lt;=AH!$P$17),AH!$P$7-1+MATCH($A596,INDEX('AH History'!$A$1:$A$18046,AH!$P$7):INDEX('AH History'!$A$1:$A$18046,AH!$P$7+AH!$P$8-1),0),0),0)</ns0:f>
        <ns0:v/>
      </ns0:c>
      <ns0:c r="I596">
        <ns0:f>IF($H596=0,0,IFERROR(IF(AND(ABS($C596-INDEX('AH History'!$B$1:$B$18046,$H596))&lt;=MAX(0.005,ABS(INDEX('AH History'!$B$1:$B$18046,$H596))*0.00005),ABS($D596-INDEX('AH History'!$C$1:$C$18046,$H596))&lt;=MAX(0.005,ABS(INDEX('AH History'!$C$1:$C$18046,$H596))*0.00005),ABS($E596-INDEX('AH History'!$D$1:$D$18046,$H596))&lt;=0.00005,$F596=INDEX('AH History'!$E$1:$E$18046,$H596),$G596=INDEX('AH History'!$F$1:$F$18046,$H596)),1,-1),-1))</ns0:f>
        <ns0:v/>
      </ns0:c>
    </ns0:row>
    <ns0:row r="597">
      <ns0:c r="A597" s="215">
        <ns0:f>IF(OR(AH!$P$3=0,592+1&gt;AH!$P$11,AND(AH!$E$4&lt;&gt;"Stored",AH!$P$10&lt;&gt;1)),"",IFERROR(IF(AND(AH!$P$21=1,592+1=AH!$P$11),TODAY(),IF(AH!$P$10=1,INDEX('Live History'!$A$5:$A$3004,AH!$P$13+592),INDEX('AH History'!$A$1:$A$18046,AH!$P$7+592))),""))</ns0:f>
        <ns0:v/>
      </ns0:c>
      <ns0:c r="B597" s="219">
        <ns0:f>IFERROR(IF(AND(AH!$P$9&lt;&gt;1,$C597&gt;0,$D597&gt;0,$E597&gt;0,$F597&gt;0,$G597&gt;0,$F597&lt;=$A597,$G597&lt;=$A597,$A597-$F597&lt;=10,$A597-$G597&lt;=5),$D597*$E597/$C597-1,NA()),NA())</ns0:f>
        <ns0:v/>
      </ns0:c>
      <ns0:c r="C597">
        <ns0:f>IFERROR(IF(ISNUMBER($A597),IF(AND(AH!$P$10=1,AH!$P$12=1,$A597=TODAY()),AH!$P$19,IF(AH!$P$10=1,INDEX('Live History'!$B$5:$B$3004,AH!$P$13+592),INDEX('AH History'!$B$1:$B$18046,AH!$P$7+592))),NA()),NA())</ns0:f>
        <ns0:v/>
      </ns0:c>
      <ns0:c r="D597">
        <ns0:f>IFERROR(IF(ISNUMBER($A597),IF(AND(AH!$P$10=1,AH!$P$12=1,$A597=TODAY()),AH!$P$18,IF(AH!$P$10=1,INDEX('Live History'!$E$5:$E$3004,MATCH($A597,'Live History'!$D$5:$D$3004,1)),INDEX('AH History'!$C$1:$C$18046,AH!$P$7+592))),NA()),NA())</ns0:f>
        <ns0:v/>
      </ns0:c>
      <ns0:c r="E597">
        <ns0:f>IFERROR(IF(ISNUMBER($A597),IF(AND(AH!$P$10=1,AH!$P$12=1,$A597=TODAY()),AH!$P$20,IF(AH!$P$10=1,INDEX('Live History'!$H$5:$H$3004,MATCH($A597,'Live History'!$G$5:$G$3004,1)),INDEX('AH History'!$D$1:$D$18046,AH!$P$7+592))),NA()),NA())</ns0:f>
        <ns0:v/>
      </ns0:c>
      <ns0:c r="F597">
        <ns0:f>IFERROR(IF(ISNUMBER($A597),IF(AND(AH!$P$10=1,AH!$P$12=1,$A597=TODAY()),IF(AND(AH!$P$10=1,AH!$P$12=1,$A597=TODAY()),TODAY(),NA()),IF(AH!$P$10=1,INDEX('Live History'!$D$5:$D$3004,MATCH($A597,'Live History'!$D$5:$D$3004,1)),INDEX('AH History'!$E$1:$E$18046,AH!$P$7+592))),NA()),NA())</ns0:f>
        <ns0:v/>
      </ns0:c>
      <ns0:c r="G597">
        <ns0:f>IFERROR(IF(ISNUMBER($A597),IF(AND(AH!$P$10=1,AH!$P$12=1,$A597=TODAY()),IF(AND(AH!$P$10=1,AH!$P$12=1,$A597=TODAY()),TODAY(),NA()),IF(AH!$P$10=1,INDEX('Live History'!$G$5:$G$3004,MATCH($A597,'Live History'!$G$5:$G$3004,1)),INDEX('AH History'!$F$1:$F$18046,AH!$P$7+592))),NA()),NA())</ns0:f>
        <ns0:v/>
      </ns0:c>
      <ns0:c r="H597">
        <ns0:f>IFERROR(IF(AND(AH!$E$4="Bloomberg",AH!$P$10=1,ISNUMBER($A597),$A597&lt;=AH!$P$17),AH!$P$7-1+MATCH($A597,INDEX('AH History'!$A$1:$A$18046,AH!$P$7):INDEX('AH History'!$A$1:$A$18046,AH!$P$7+AH!$P$8-1),0),0),0)</ns0:f>
        <ns0:v/>
      </ns0:c>
      <ns0:c r="I597">
        <ns0:f>IF($H597=0,0,IFERROR(IF(AND(ABS($C597-INDEX('AH History'!$B$1:$B$18046,$H597))&lt;=MAX(0.005,ABS(INDEX('AH History'!$B$1:$B$18046,$H597))*0.00005),ABS($D597-INDEX('AH History'!$C$1:$C$18046,$H597))&lt;=MAX(0.005,ABS(INDEX('AH History'!$C$1:$C$18046,$H597))*0.00005),ABS($E597-INDEX('AH History'!$D$1:$D$18046,$H597))&lt;=0.00005,$F597=INDEX('AH History'!$E$1:$E$18046,$H597),$G597=INDEX('AH History'!$F$1:$F$18046,$H597)),1,-1),-1))</ns0:f>
        <ns0:v/>
      </ns0:c>
    </ns0:row>
    <ns0:row r="598">
      <ns0:c r="A598" s="215">
        <ns0:f>IF(OR(AH!$P$3=0,593+1&gt;AH!$P$11,AND(AH!$E$4&lt;&gt;"Stored",AH!$P$10&lt;&gt;1)),"",IFERROR(IF(AND(AH!$P$21=1,593+1=AH!$P$11),TODAY(),IF(AH!$P$10=1,INDEX('Live History'!$A$5:$A$3004,AH!$P$13+593),INDEX('AH History'!$A$1:$A$18046,AH!$P$7+593))),""))</ns0:f>
        <ns0:v/>
      </ns0:c>
      <ns0:c r="B598" s="219">
        <ns0:f>IFERROR(IF(AND(AH!$P$9&lt;&gt;1,$C598&gt;0,$D598&gt;0,$E598&gt;0,$F598&gt;0,$G598&gt;0,$F598&lt;=$A598,$G598&lt;=$A598,$A598-$F598&lt;=10,$A598-$G598&lt;=5),$D598*$E598/$C598-1,NA()),NA())</ns0:f>
        <ns0:v/>
      </ns0:c>
      <ns0:c r="C598">
        <ns0:f>IFERROR(IF(ISNUMBER($A598),IF(AND(AH!$P$10=1,AH!$P$12=1,$A598=TODAY()),AH!$P$19,IF(AH!$P$10=1,INDEX('Live History'!$B$5:$B$3004,AH!$P$13+593),INDEX('AH History'!$B$1:$B$18046,AH!$P$7+593))),NA()),NA())</ns0:f>
        <ns0:v/>
      </ns0:c>
      <ns0:c r="D598">
        <ns0:f>IFERROR(IF(ISNUMBER($A598),IF(AND(AH!$P$10=1,AH!$P$12=1,$A598=TODAY()),AH!$P$18,IF(AH!$P$10=1,INDEX('Live History'!$E$5:$E$3004,MATCH($A598,'Live History'!$D$5:$D$3004,1)),INDEX('AH History'!$C$1:$C$18046,AH!$P$7+593))),NA()),NA())</ns0:f>
        <ns0:v/>
      </ns0:c>
      <ns0:c r="E598">
        <ns0:f>IFERROR(IF(ISNUMBER($A598),IF(AND(AH!$P$10=1,AH!$P$12=1,$A598=TODAY()),AH!$P$20,IF(AH!$P$10=1,INDEX('Live History'!$H$5:$H$3004,MATCH($A598,'Live History'!$G$5:$G$3004,1)),INDEX('AH History'!$D$1:$D$18046,AH!$P$7+593))),NA()),NA())</ns0:f>
        <ns0:v/>
      </ns0:c>
      <ns0:c r="F598">
        <ns0:f>IFERROR(IF(ISNUMBER($A598),IF(AND(AH!$P$10=1,AH!$P$12=1,$A598=TODAY()),IF(AND(AH!$P$10=1,AH!$P$12=1,$A598=TODAY()),TODAY(),NA()),IF(AH!$P$10=1,INDEX('Live History'!$D$5:$D$3004,MATCH($A598,'Live History'!$D$5:$D$3004,1)),INDEX('AH History'!$E$1:$E$18046,AH!$P$7+593))),NA()),NA())</ns0:f>
        <ns0:v/>
      </ns0:c>
      <ns0:c r="G598">
        <ns0:f>IFERROR(IF(ISNUMBER($A598),IF(AND(AH!$P$10=1,AH!$P$12=1,$A598=TODAY()),IF(AND(AH!$P$10=1,AH!$P$12=1,$A598=TODAY()),TODAY(),NA()),IF(AH!$P$10=1,INDEX('Live History'!$G$5:$G$3004,MATCH($A598,'Live History'!$G$5:$G$3004,1)),INDEX('AH History'!$F$1:$F$18046,AH!$P$7+593))),NA()),NA())</ns0:f>
        <ns0:v/>
      </ns0:c>
      <ns0:c r="H598">
        <ns0:f>IFERROR(IF(AND(AH!$E$4="Bloomberg",AH!$P$10=1,ISNUMBER($A598),$A598&lt;=AH!$P$17),AH!$P$7-1+MATCH($A598,INDEX('AH History'!$A$1:$A$18046,AH!$P$7):INDEX('AH History'!$A$1:$A$18046,AH!$P$7+AH!$P$8-1),0),0),0)</ns0:f>
        <ns0:v/>
      </ns0:c>
      <ns0:c r="I598">
        <ns0:f>IF($H598=0,0,IFERROR(IF(AND(ABS($C598-INDEX('AH History'!$B$1:$B$18046,$H598))&lt;=MAX(0.005,ABS(INDEX('AH History'!$B$1:$B$18046,$H598))*0.00005),ABS($D598-INDEX('AH History'!$C$1:$C$18046,$H598))&lt;=MAX(0.005,ABS(INDEX('AH History'!$C$1:$C$18046,$H598))*0.00005),ABS($E598-INDEX('AH History'!$D$1:$D$18046,$H598))&lt;=0.00005,$F598=INDEX('AH History'!$E$1:$E$18046,$H598),$G598=INDEX('AH History'!$F$1:$F$18046,$H598)),1,-1),-1))</ns0:f>
        <ns0:v/>
      </ns0:c>
    </ns0:row>
    <ns0:row r="599">
      <ns0:c r="A599" s="215">
        <ns0:f>IF(OR(AH!$P$3=0,594+1&gt;AH!$P$11,AND(AH!$E$4&lt;&gt;"Stored",AH!$P$10&lt;&gt;1)),"",IFERROR(IF(AND(AH!$P$21=1,594+1=AH!$P$11),TODAY(),IF(AH!$P$10=1,INDEX('Live History'!$A$5:$A$3004,AH!$P$13+594),INDEX('AH History'!$A$1:$A$18046,AH!$P$7+594))),""))</ns0:f>
        <ns0:v/>
      </ns0:c>
      <ns0:c r="B599" s="219">
        <ns0:f>IFERROR(IF(AND(AH!$P$9&lt;&gt;1,$C599&gt;0,$D599&gt;0,$E599&gt;0,$F599&gt;0,$G599&gt;0,$F599&lt;=$A599,$G599&lt;=$A599,$A599-$F599&lt;=10,$A599-$G599&lt;=5),$D599*$E599/$C599-1,NA()),NA())</ns0:f>
        <ns0:v/>
      </ns0:c>
      <ns0:c r="C599">
        <ns0:f>IFERROR(IF(ISNUMBER($A599),IF(AND(AH!$P$10=1,AH!$P$12=1,$A599=TODAY()),AH!$P$19,IF(AH!$P$10=1,INDEX('Live History'!$B$5:$B$3004,AH!$P$13+594),INDEX('AH History'!$B$1:$B$18046,AH!$P$7+594))),NA()),NA())</ns0:f>
        <ns0:v/>
      </ns0:c>
      <ns0:c r="D599">
        <ns0:f>IFERROR(IF(ISNUMBER($A599),IF(AND(AH!$P$10=1,AH!$P$12=1,$A599=TODAY()),AH!$P$18,IF(AH!$P$10=1,INDEX('Live History'!$E$5:$E$3004,MATCH($A599,'Live History'!$D$5:$D$3004,1)),INDEX('AH History'!$C$1:$C$18046,AH!$P$7+594))),NA()),NA())</ns0:f>
        <ns0:v/>
      </ns0:c>
      <ns0:c r="E599">
        <ns0:f>IFERROR(IF(ISNUMBER($A599),IF(AND(AH!$P$10=1,AH!$P$12=1,$A599=TODAY()),AH!$P$20,IF(AH!$P$10=1,INDEX('Live History'!$H$5:$H$3004,MATCH($A599,'Live History'!$G$5:$G$3004,1)),INDEX('AH History'!$D$1:$D$18046,AH!$P$7+594))),NA()),NA())</ns0:f>
        <ns0:v/>
      </ns0:c>
      <ns0:c r="F599">
        <ns0:f>IFERROR(IF(ISNUMBER($A599),IF(AND(AH!$P$10=1,AH!$P$12=1,$A599=TODAY()),IF(AND(AH!$P$10=1,AH!$P$12=1,$A599=TODAY()),TODAY(),NA()),IF(AH!$P$10=1,INDEX('Live History'!$D$5:$D$3004,MATCH($A599,'Live History'!$D$5:$D$3004,1)),INDEX('AH History'!$E$1:$E$18046,AH!$P$7+594))),NA()),NA())</ns0:f>
        <ns0:v/>
      </ns0:c>
      <ns0:c r="G599">
        <ns0:f>IFERROR(IF(ISNUMBER($A599),IF(AND(AH!$P$10=1,AH!$P$12=1,$A599=TODAY()),IF(AND(AH!$P$10=1,AH!$P$12=1,$A599=TODAY()),TODAY(),NA()),IF(AH!$P$10=1,INDEX('Live History'!$G$5:$G$3004,MATCH($A599,'Live History'!$G$5:$G$3004,1)),INDEX('AH History'!$F$1:$F$18046,AH!$P$7+594))),NA()),NA())</ns0:f>
        <ns0:v/>
      </ns0:c>
      <ns0:c r="H599">
        <ns0:f>IFERROR(IF(AND(AH!$E$4="Bloomberg",AH!$P$10=1,ISNUMBER($A599),$A599&lt;=AH!$P$17),AH!$P$7-1+MATCH($A599,INDEX('AH History'!$A$1:$A$18046,AH!$P$7):INDEX('AH History'!$A$1:$A$18046,AH!$P$7+AH!$P$8-1),0),0),0)</ns0:f>
        <ns0:v/>
      </ns0:c>
      <ns0:c r="I599">
        <ns0:f>IF($H599=0,0,IFERROR(IF(AND(ABS($C599-INDEX('AH History'!$B$1:$B$18046,$H599))&lt;=MAX(0.005,ABS(INDEX('AH History'!$B$1:$B$18046,$H599))*0.00005),ABS($D599-INDEX('AH History'!$C$1:$C$18046,$H599))&lt;=MAX(0.005,ABS(INDEX('AH History'!$C$1:$C$18046,$H599))*0.00005),ABS($E599-INDEX('AH History'!$D$1:$D$18046,$H599))&lt;=0.00005,$F599=INDEX('AH History'!$E$1:$E$18046,$H599),$G599=INDEX('AH History'!$F$1:$F$18046,$H599)),1,-1),-1))</ns0:f>
        <ns0:v/>
      </ns0:c>
    </ns0:row>
    <ns0:row r="600">
      <ns0:c r="A600" s="215">
        <ns0:f>IF(OR(AH!$P$3=0,595+1&gt;AH!$P$11,AND(AH!$E$4&lt;&gt;"Stored",AH!$P$10&lt;&gt;1)),"",IFERROR(IF(AND(AH!$P$21=1,595+1=AH!$P$11),TODAY(),IF(AH!$P$10=1,INDEX('Live History'!$A$5:$A$3004,AH!$P$13+595),INDEX('AH History'!$A$1:$A$18046,AH!$P$7+595))),""))</ns0:f>
        <ns0:v/>
      </ns0:c>
      <ns0:c r="B600" s="219">
        <ns0:f>IFERROR(IF(AND(AH!$P$9&lt;&gt;1,$C600&gt;0,$D600&gt;0,$E600&gt;0,$F600&gt;0,$G600&gt;0,$F600&lt;=$A600,$G600&lt;=$A600,$A600-$F600&lt;=10,$A600-$G600&lt;=5),$D600*$E600/$C600-1,NA()),NA())</ns0:f>
        <ns0:v/>
      </ns0:c>
      <ns0:c r="C600">
        <ns0:f>IFERROR(IF(ISNUMBER($A600),IF(AND(AH!$P$10=1,AH!$P$12=1,$A600=TODAY()),AH!$P$19,IF(AH!$P$10=1,INDEX('Live History'!$B$5:$B$3004,AH!$P$13+595),INDEX('AH History'!$B$1:$B$18046,AH!$P$7+595))),NA()),NA())</ns0:f>
        <ns0:v/>
      </ns0:c>
      <ns0:c r="D600">
        <ns0:f>IFERROR(IF(ISNUMBER($A600),IF(AND(AH!$P$10=1,AH!$P$12=1,$A600=TODAY()),AH!$P$18,IF(AH!$P$10=1,INDEX('Live History'!$E$5:$E$3004,MATCH($A600,'Live History'!$D$5:$D$3004,1)),INDEX('AH History'!$C$1:$C$18046,AH!$P$7+595))),NA()),NA())</ns0:f>
        <ns0:v/>
      </ns0:c>
      <ns0:c r="E600">
        <ns0:f>IFERROR(IF(ISNUMBER($A600),IF(AND(AH!$P$10=1,AH!$P$12=1,$A600=TODAY()),AH!$P$20,IF(AH!$P$10=1,INDEX('Live History'!$H$5:$H$3004,MATCH($A600,'Live History'!$G$5:$G$3004,1)),INDEX('AH History'!$D$1:$D$18046,AH!$P$7+595))),NA()),NA())</ns0:f>
        <ns0:v/>
      </ns0:c>
      <ns0:c r="F600">
        <ns0:f>IFERROR(IF(ISNUMBER($A600),IF(AND(AH!$P$10=1,AH!$P$12=1,$A600=TODAY()),IF(AND(AH!$P$10=1,AH!$P$12=1,$A600=TODAY()),TODAY(),NA()),IF(AH!$P$10=1,INDEX('Live History'!$D$5:$D$3004,MATCH($A600,'Live History'!$D$5:$D$3004,1)),INDEX('AH History'!$E$1:$E$18046,AH!$P$7+595))),NA()),NA())</ns0:f>
        <ns0:v/>
      </ns0:c>
      <ns0:c r="G600">
        <ns0:f>IFERROR(IF(ISNUMBER($A600),IF(AND(AH!$P$10=1,AH!$P$12=1,$A600=TODAY()),IF(AND(AH!$P$10=1,AH!$P$12=1,$A600=TODAY()),TODAY(),NA()),IF(AH!$P$10=1,INDEX('Live History'!$G$5:$G$3004,MATCH($A600,'Live History'!$G$5:$G$3004,1)),INDEX('AH History'!$F$1:$F$18046,AH!$P$7+595))),NA()),NA())</ns0:f>
        <ns0:v/>
      </ns0:c>
      <ns0:c r="H600">
        <ns0:f>IFERROR(IF(AND(AH!$E$4="Bloomberg",AH!$P$10=1,ISNUMBER($A600),$A600&lt;=AH!$P$17),AH!$P$7-1+MATCH($A600,INDEX('AH History'!$A$1:$A$18046,AH!$P$7):INDEX('AH History'!$A$1:$A$18046,AH!$P$7+AH!$P$8-1),0),0),0)</ns0:f>
        <ns0:v/>
      </ns0:c>
      <ns0:c r="I600">
        <ns0:f>IF($H600=0,0,IFERROR(IF(AND(ABS($C600-INDEX('AH History'!$B$1:$B$18046,$H600))&lt;=MAX(0.005,ABS(INDEX('AH History'!$B$1:$B$18046,$H600))*0.00005),ABS($D600-INDEX('AH History'!$C$1:$C$18046,$H600))&lt;=MAX(0.005,ABS(INDEX('AH History'!$C$1:$C$18046,$H600))*0.00005),ABS($E600-INDEX('AH History'!$D$1:$D$18046,$H600))&lt;=0.00005,$F600=INDEX('AH History'!$E$1:$E$18046,$H600),$G600=INDEX('AH History'!$F$1:$F$18046,$H600)),1,-1),-1))</ns0:f>
        <ns0:v/>
      </ns0:c>
    </ns0:row>
    <ns0:row r="601">
      <ns0:c r="A601" s="215">
        <ns0:f>IF(OR(AH!$P$3=0,596+1&gt;AH!$P$11,AND(AH!$E$4&lt;&gt;"Stored",AH!$P$10&lt;&gt;1)),"",IFERROR(IF(AND(AH!$P$21=1,596+1=AH!$P$11),TODAY(),IF(AH!$P$10=1,INDEX('Live History'!$A$5:$A$3004,AH!$P$13+596),INDEX('AH History'!$A$1:$A$18046,AH!$P$7+596))),""))</ns0:f>
        <ns0:v/>
      </ns0:c>
      <ns0:c r="B601" s="219">
        <ns0:f>IFERROR(IF(AND(AH!$P$9&lt;&gt;1,$C601&gt;0,$D601&gt;0,$E601&gt;0,$F601&gt;0,$G601&gt;0,$F601&lt;=$A601,$G601&lt;=$A601,$A601-$F601&lt;=10,$A601-$G601&lt;=5),$D601*$E601/$C601-1,NA()),NA())</ns0:f>
        <ns0:v/>
      </ns0:c>
      <ns0:c r="C601">
        <ns0:f>IFERROR(IF(ISNUMBER($A601),IF(AND(AH!$P$10=1,AH!$P$12=1,$A601=TODAY()),AH!$P$19,IF(AH!$P$10=1,INDEX('Live History'!$B$5:$B$3004,AH!$P$13+596),INDEX('AH History'!$B$1:$B$18046,AH!$P$7+596))),NA()),NA())</ns0:f>
        <ns0:v/>
      </ns0:c>
      <ns0:c r="D601">
        <ns0:f>IFERROR(IF(ISNUMBER($A601),IF(AND(AH!$P$10=1,AH!$P$12=1,$A601=TODAY()),AH!$P$18,IF(AH!$P$10=1,INDEX('Live History'!$E$5:$E$3004,MATCH($A601,'Live History'!$D$5:$D$3004,1)),INDEX('AH History'!$C$1:$C$18046,AH!$P$7+596))),NA()),NA())</ns0:f>
        <ns0:v/>
      </ns0:c>
      <ns0:c r="E601">
        <ns0:f>IFERROR(IF(ISNUMBER($A601),IF(AND(AH!$P$10=1,AH!$P$12=1,$A601=TODAY()),AH!$P$20,IF(AH!$P$10=1,INDEX('Live History'!$H$5:$H$3004,MATCH($A601,'Live History'!$G$5:$G$3004,1)),INDEX('AH History'!$D$1:$D$18046,AH!$P$7+596))),NA()),NA())</ns0:f>
        <ns0:v/>
      </ns0:c>
      <ns0:c r="F601">
        <ns0:f>IFERROR(IF(ISNUMBER($A601),IF(AND(AH!$P$10=1,AH!$P$12=1,$A601=TODAY()),IF(AND(AH!$P$10=1,AH!$P$12=1,$A601=TODAY()),TODAY(),NA()),IF(AH!$P$10=1,INDEX('Live History'!$D$5:$D$3004,MATCH($A601,'Live History'!$D$5:$D$3004,1)),INDEX('AH History'!$E$1:$E$18046,AH!$P$7+596))),NA()),NA())</ns0:f>
        <ns0:v/>
      </ns0:c>
      <ns0:c r="G601">
        <ns0:f>IFERROR(IF(ISNUMBER($A601),IF(AND(AH!$P$10=1,AH!$P$12=1,$A601=TODAY()),IF(AND(AH!$P$10=1,AH!$P$12=1,$A601=TODAY()),TODAY(),NA()),IF(AH!$P$10=1,INDEX('Live History'!$G$5:$G$3004,MATCH($A601,'Live History'!$G$5:$G$3004,1)),INDEX('AH History'!$F$1:$F$18046,AH!$P$7+596))),NA()),NA())</ns0:f>
        <ns0:v/>
      </ns0:c>
      <ns0:c r="H601">
        <ns0:f>IFERROR(IF(AND(AH!$E$4="Bloomberg",AH!$P$10=1,ISNUMBER($A601),$A601&lt;=AH!$P$17),AH!$P$7-1+MATCH($A601,INDEX('AH History'!$A$1:$A$18046,AH!$P$7):INDEX('AH History'!$A$1:$A$18046,AH!$P$7+AH!$P$8-1),0),0),0)</ns0:f>
        <ns0:v/>
      </ns0:c>
      <ns0:c r="I601">
        <ns0:f>IF($H601=0,0,IFERROR(IF(AND(ABS($C601-INDEX('AH History'!$B$1:$B$18046,$H601))&lt;=MAX(0.005,ABS(INDEX('AH History'!$B$1:$B$18046,$H601))*0.00005),ABS($D601-INDEX('AH History'!$C$1:$C$18046,$H601))&lt;=MAX(0.005,ABS(INDEX('AH History'!$C$1:$C$18046,$H601))*0.00005),ABS($E601-INDEX('AH History'!$D$1:$D$18046,$H601))&lt;=0.00005,$F601=INDEX('AH History'!$E$1:$E$18046,$H601),$G601=INDEX('AH History'!$F$1:$F$18046,$H601)),1,-1),-1))</ns0:f>
        <ns0:v/>
      </ns0:c>
    </ns0:row>
    <ns0:row r="602">
      <ns0:c r="A602" s="215">
        <ns0:f>IF(OR(AH!$P$3=0,597+1&gt;AH!$P$11,AND(AH!$E$4&lt;&gt;"Stored",AH!$P$10&lt;&gt;1)),"",IFERROR(IF(AND(AH!$P$21=1,597+1=AH!$P$11),TODAY(),IF(AH!$P$10=1,INDEX('Live History'!$A$5:$A$3004,AH!$P$13+597),INDEX('AH History'!$A$1:$A$18046,AH!$P$7+597))),""))</ns0:f>
        <ns0:v/>
      </ns0:c>
      <ns0:c r="B602" s="219">
        <ns0:f>IFERROR(IF(AND(AH!$P$9&lt;&gt;1,$C602&gt;0,$D602&gt;0,$E602&gt;0,$F602&gt;0,$G602&gt;0,$F602&lt;=$A602,$G602&lt;=$A602,$A602-$F602&lt;=10,$A602-$G602&lt;=5),$D602*$E602/$C602-1,NA()),NA())</ns0:f>
        <ns0:v/>
      </ns0:c>
      <ns0:c r="C602">
        <ns0:f>IFERROR(IF(ISNUMBER($A602),IF(AND(AH!$P$10=1,AH!$P$12=1,$A602=TODAY()),AH!$P$19,IF(AH!$P$10=1,INDEX('Live History'!$B$5:$B$3004,AH!$P$13+597),INDEX('AH History'!$B$1:$B$18046,AH!$P$7+597))),NA()),NA())</ns0:f>
        <ns0:v/>
      </ns0:c>
      <ns0:c r="D602">
        <ns0:f>IFERROR(IF(ISNUMBER($A602),IF(AND(AH!$P$10=1,AH!$P$12=1,$A602=TODAY()),AH!$P$18,IF(AH!$P$10=1,INDEX('Live History'!$E$5:$E$3004,MATCH($A602,'Live History'!$D$5:$D$3004,1)),INDEX('AH History'!$C$1:$C$18046,AH!$P$7+597))),NA()),NA())</ns0:f>
        <ns0:v/>
      </ns0:c>
      <ns0:c r="E602">
        <ns0:f>IFERROR(IF(ISNUMBER($A602),IF(AND(AH!$P$10=1,AH!$P$12=1,$A602=TODAY()),AH!$P$20,IF(AH!$P$10=1,INDEX('Live History'!$H$5:$H$3004,MATCH($A602,'Live History'!$G$5:$G$3004,1)),INDEX('AH History'!$D$1:$D$18046,AH!$P$7+597))),NA()),NA())</ns0:f>
        <ns0:v/>
      </ns0:c>
      <ns0:c r="F602">
        <ns0:f>IFERROR(IF(ISNUMBER($A602),IF(AND(AH!$P$10=1,AH!$P$12=1,$A602=TODAY()),IF(AND(AH!$P$10=1,AH!$P$12=1,$A602=TODAY()),TODAY(),NA()),IF(AH!$P$10=1,INDEX('Live History'!$D$5:$D$3004,MATCH($A602,'Live History'!$D$5:$D$3004,1)),INDEX('AH History'!$E$1:$E$18046,AH!$P$7+597))),NA()),NA())</ns0:f>
        <ns0:v/>
      </ns0:c>
      <ns0:c r="G602">
        <ns0:f>IFERROR(IF(ISNUMBER($A602),IF(AND(AH!$P$10=1,AH!$P$12=1,$A602=TODAY()),IF(AND(AH!$P$10=1,AH!$P$12=1,$A602=TODAY()),TODAY(),NA()),IF(AH!$P$10=1,INDEX('Live History'!$G$5:$G$3004,MATCH($A602,'Live History'!$G$5:$G$3004,1)),INDEX('AH History'!$F$1:$F$18046,AH!$P$7+597))),NA()),NA())</ns0:f>
        <ns0:v/>
      </ns0:c>
      <ns0:c r="H602">
        <ns0:f>IFERROR(IF(AND(AH!$E$4="Bloomberg",AH!$P$10=1,ISNUMBER($A602),$A602&lt;=AH!$P$17),AH!$P$7-1+MATCH($A602,INDEX('AH History'!$A$1:$A$18046,AH!$P$7):INDEX('AH History'!$A$1:$A$18046,AH!$P$7+AH!$P$8-1),0),0),0)</ns0:f>
        <ns0:v/>
      </ns0:c>
      <ns0:c r="I602">
        <ns0:f>IF($H602=0,0,IFERROR(IF(AND(ABS($C602-INDEX('AH History'!$B$1:$B$18046,$H602))&lt;=MAX(0.005,ABS(INDEX('AH History'!$B$1:$B$18046,$H602))*0.00005),ABS($D602-INDEX('AH History'!$C$1:$C$18046,$H602))&lt;=MAX(0.005,ABS(INDEX('AH History'!$C$1:$C$18046,$H602))*0.00005),ABS($E602-INDEX('AH History'!$D$1:$D$18046,$H602))&lt;=0.00005,$F602=INDEX('AH History'!$E$1:$E$18046,$H602),$G602=INDEX('AH History'!$F$1:$F$18046,$H602)),1,-1),-1))</ns0:f>
        <ns0:v/>
      </ns0:c>
    </ns0:row>
    <ns0:row r="603">
      <ns0:c r="A603" s="215">
        <ns0:f>IF(OR(AH!$P$3=0,598+1&gt;AH!$P$11,AND(AH!$E$4&lt;&gt;"Stored",AH!$P$10&lt;&gt;1)),"",IFERROR(IF(AND(AH!$P$21=1,598+1=AH!$P$11),TODAY(),IF(AH!$P$10=1,INDEX('Live History'!$A$5:$A$3004,AH!$P$13+598),INDEX('AH History'!$A$1:$A$18046,AH!$P$7+598))),""))</ns0:f>
        <ns0:v/>
      </ns0:c>
      <ns0:c r="B603" s="219">
        <ns0:f>IFERROR(IF(AND(AH!$P$9&lt;&gt;1,$C603&gt;0,$D603&gt;0,$E603&gt;0,$F603&gt;0,$G603&gt;0,$F603&lt;=$A603,$G603&lt;=$A603,$A603-$F603&lt;=10,$A603-$G603&lt;=5),$D603*$E603/$C603-1,NA()),NA())</ns0:f>
        <ns0:v/>
      </ns0:c>
      <ns0:c r="C603">
        <ns0:f>IFERROR(IF(ISNUMBER($A603),IF(AND(AH!$P$10=1,AH!$P$12=1,$A603=TODAY()),AH!$P$19,IF(AH!$P$10=1,INDEX('Live History'!$B$5:$B$3004,AH!$P$13+598),INDEX('AH History'!$B$1:$B$18046,AH!$P$7+598))),NA()),NA())</ns0:f>
        <ns0:v/>
      </ns0:c>
      <ns0:c r="D603">
        <ns0:f>IFERROR(IF(ISNUMBER($A603),IF(AND(AH!$P$10=1,AH!$P$12=1,$A603=TODAY()),AH!$P$18,IF(AH!$P$10=1,INDEX('Live History'!$E$5:$E$3004,MATCH($A603,'Live History'!$D$5:$D$3004,1)),INDEX('AH History'!$C$1:$C$18046,AH!$P$7+598))),NA()),NA())</ns0:f>
        <ns0:v/>
      </ns0:c>
      <ns0:c r="E603">
        <ns0:f>IFERROR(IF(ISNUMBER($A603),IF(AND(AH!$P$10=1,AH!$P$12=1,$A603=TODAY()),AH!$P$20,IF(AH!$P$10=1,INDEX('Live History'!$H$5:$H$3004,MATCH($A603,'Live History'!$G$5:$G$3004,1)),INDEX('AH History'!$D$1:$D$18046,AH!$P$7+598))),NA()),NA())</ns0:f>
        <ns0:v/>
      </ns0:c>
      <ns0:c r="F603">
        <ns0:f>IFERROR(IF(ISNUMBER($A603),IF(AND(AH!$P$10=1,AH!$P$12=1,$A603=TODAY()),IF(AND(AH!$P$10=1,AH!$P$12=1,$A603=TODAY()),TODAY(),NA()),IF(AH!$P$10=1,INDEX('Live History'!$D$5:$D$3004,MATCH($A603,'Live History'!$D$5:$D$3004,1)),INDEX('AH History'!$E$1:$E$18046,AH!$P$7+598))),NA()),NA())</ns0:f>
        <ns0:v/>
      </ns0:c>
      <ns0:c r="G603">
        <ns0:f>IFERROR(IF(ISNUMBER($A603),IF(AND(AH!$P$10=1,AH!$P$12=1,$A603=TODAY()),IF(AND(AH!$P$10=1,AH!$P$12=1,$A603=TODAY()),TODAY(),NA()),IF(AH!$P$10=1,INDEX('Live History'!$G$5:$G$3004,MATCH($A603,'Live History'!$G$5:$G$3004,1)),INDEX('AH History'!$F$1:$F$18046,AH!$P$7+598))),NA()),NA())</ns0:f>
        <ns0:v/>
      </ns0:c>
      <ns0:c r="H603">
        <ns0:f>IFERROR(IF(AND(AH!$E$4="Bloomberg",AH!$P$10=1,ISNUMBER($A603),$A603&lt;=AH!$P$17),AH!$P$7-1+MATCH($A603,INDEX('AH History'!$A$1:$A$18046,AH!$P$7):INDEX('AH History'!$A$1:$A$18046,AH!$P$7+AH!$P$8-1),0),0),0)</ns0:f>
        <ns0:v/>
      </ns0:c>
      <ns0:c r="I603">
        <ns0:f>IF($H603=0,0,IFERROR(IF(AND(ABS($C603-INDEX('AH History'!$B$1:$B$18046,$H603))&lt;=MAX(0.005,ABS(INDEX('AH History'!$B$1:$B$18046,$H603))*0.00005),ABS($D603-INDEX('AH History'!$C$1:$C$18046,$H603))&lt;=MAX(0.005,ABS(INDEX('AH History'!$C$1:$C$18046,$H603))*0.00005),ABS($E603-INDEX('AH History'!$D$1:$D$18046,$H603))&lt;=0.00005,$F603=INDEX('AH History'!$E$1:$E$18046,$H603),$G603=INDEX('AH History'!$F$1:$F$18046,$H603)),1,-1),-1))</ns0:f>
        <ns0:v/>
      </ns0:c>
    </ns0:row>
    <ns0:row r="604">
      <ns0:c r="A604" s="215">
        <ns0:f>IF(OR(AH!$P$3=0,599+1&gt;AH!$P$11,AND(AH!$E$4&lt;&gt;"Stored",AH!$P$10&lt;&gt;1)),"",IFERROR(IF(AND(AH!$P$21=1,599+1=AH!$P$11),TODAY(),IF(AH!$P$10=1,INDEX('Live History'!$A$5:$A$3004,AH!$P$13+599),INDEX('AH History'!$A$1:$A$18046,AH!$P$7+599))),""))</ns0:f>
        <ns0:v/>
      </ns0:c>
      <ns0:c r="B604" s="219">
        <ns0:f>IFERROR(IF(AND(AH!$P$9&lt;&gt;1,$C604&gt;0,$D604&gt;0,$E604&gt;0,$F604&gt;0,$G604&gt;0,$F604&lt;=$A604,$G604&lt;=$A604,$A604-$F604&lt;=10,$A604-$G604&lt;=5),$D604*$E604/$C604-1,NA()),NA())</ns0:f>
        <ns0:v/>
      </ns0:c>
      <ns0:c r="C604">
        <ns0:f>IFERROR(IF(ISNUMBER($A604),IF(AND(AH!$P$10=1,AH!$P$12=1,$A604=TODAY()),AH!$P$19,IF(AH!$P$10=1,INDEX('Live History'!$B$5:$B$3004,AH!$P$13+599),INDEX('AH History'!$B$1:$B$18046,AH!$P$7+599))),NA()),NA())</ns0:f>
        <ns0:v/>
      </ns0:c>
      <ns0:c r="D604">
        <ns0:f>IFERROR(IF(ISNUMBER($A604),IF(AND(AH!$P$10=1,AH!$P$12=1,$A604=TODAY()),AH!$P$18,IF(AH!$P$10=1,INDEX('Live History'!$E$5:$E$3004,MATCH($A604,'Live History'!$D$5:$D$3004,1)),INDEX('AH History'!$C$1:$C$18046,AH!$P$7+599))),NA()),NA())</ns0:f>
        <ns0:v/>
      </ns0:c>
      <ns0:c r="E604">
        <ns0:f>IFERROR(IF(ISNUMBER($A604),IF(AND(AH!$P$10=1,AH!$P$12=1,$A604=TODAY()),AH!$P$20,IF(AH!$P$10=1,INDEX('Live History'!$H$5:$H$3004,MATCH($A604,'Live History'!$G$5:$G$3004,1)),INDEX('AH History'!$D$1:$D$18046,AH!$P$7+599))),NA()),NA())</ns0:f>
        <ns0:v/>
      </ns0:c>
      <ns0:c r="F604">
        <ns0:f>IFERROR(IF(ISNUMBER($A604),IF(AND(AH!$P$10=1,AH!$P$12=1,$A604=TODAY()),IF(AND(AH!$P$10=1,AH!$P$12=1,$A604=TODAY()),TODAY(),NA()),IF(AH!$P$10=1,INDEX('Live History'!$D$5:$D$3004,MATCH($A604,'Live History'!$D$5:$D$3004,1)),INDEX('AH History'!$E$1:$E$18046,AH!$P$7+599))),NA()),NA())</ns0:f>
        <ns0:v/>
      </ns0:c>
      <ns0:c r="G604">
        <ns0:f>IFERROR(IF(ISNUMBER($A604),IF(AND(AH!$P$10=1,AH!$P$12=1,$A604=TODAY()),IF(AND(AH!$P$10=1,AH!$P$12=1,$A604=TODAY()),TODAY(),NA()),IF(AH!$P$10=1,INDEX('Live History'!$G$5:$G$3004,MATCH($A604,'Live History'!$G$5:$G$3004,1)),INDEX('AH History'!$F$1:$F$18046,AH!$P$7+599))),NA()),NA())</ns0:f>
        <ns0:v/>
      </ns0:c>
      <ns0:c r="H604">
        <ns0:f>IFERROR(IF(AND(AH!$E$4="Bloomberg",AH!$P$10=1,ISNUMBER($A604),$A604&lt;=AH!$P$17),AH!$P$7-1+MATCH($A604,INDEX('AH History'!$A$1:$A$18046,AH!$P$7):INDEX('AH History'!$A$1:$A$18046,AH!$P$7+AH!$P$8-1),0),0),0)</ns0:f>
        <ns0:v/>
      </ns0:c>
      <ns0:c r="I604">
        <ns0:f>IF($H604=0,0,IFERROR(IF(AND(ABS($C604-INDEX('AH History'!$B$1:$B$18046,$H604))&lt;=MAX(0.005,ABS(INDEX('AH History'!$B$1:$B$18046,$H604))*0.00005),ABS($D604-INDEX('AH History'!$C$1:$C$18046,$H604))&lt;=MAX(0.005,ABS(INDEX('AH History'!$C$1:$C$18046,$H604))*0.00005),ABS($E604-INDEX('AH History'!$D$1:$D$18046,$H604))&lt;=0.00005,$F604=INDEX('AH History'!$E$1:$E$18046,$H604),$G604=INDEX('AH History'!$F$1:$F$18046,$H604)),1,-1),-1))</ns0:f>
        <ns0:v/>
      </ns0:c>
    </ns0:row>
    <ns0:row r="605">
      <ns0:c r="A605" s="215">
        <ns0:f>IF(OR(AH!$P$3=0,600+1&gt;AH!$P$11,AND(AH!$E$4&lt;&gt;"Stored",AH!$P$10&lt;&gt;1)),"",IFERROR(IF(AND(AH!$P$21=1,600+1=AH!$P$11),TODAY(),IF(AH!$P$10=1,INDEX('Live History'!$A$5:$A$3004,AH!$P$13+600),INDEX('AH History'!$A$1:$A$18046,AH!$P$7+600))),""))</ns0:f>
        <ns0:v/>
      </ns0:c>
      <ns0:c r="B605" s="219">
        <ns0:f>IFERROR(IF(AND(AH!$P$9&lt;&gt;1,$C605&gt;0,$D605&gt;0,$E605&gt;0,$F605&gt;0,$G605&gt;0,$F605&lt;=$A605,$G605&lt;=$A605,$A605-$F605&lt;=10,$A605-$G605&lt;=5),$D605*$E605/$C605-1,NA()),NA())</ns0:f>
        <ns0:v/>
      </ns0:c>
      <ns0:c r="C605">
        <ns0:f>IFERROR(IF(ISNUMBER($A605),IF(AND(AH!$P$10=1,AH!$P$12=1,$A605=TODAY()),AH!$P$19,IF(AH!$P$10=1,INDEX('Live History'!$B$5:$B$3004,AH!$P$13+600),INDEX('AH History'!$B$1:$B$18046,AH!$P$7+600))),NA()),NA())</ns0:f>
        <ns0:v/>
      </ns0:c>
      <ns0:c r="D605">
        <ns0:f>IFERROR(IF(ISNUMBER($A605),IF(AND(AH!$P$10=1,AH!$P$12=1,$A605=TODAY()),AH!$P$18,IF(AH!$P$10=1,INDEX('Live History'!$E$5:$E$3004,MATCH($A605,'Live History'!$D$5:$D$3004,1)),INDEX('AH History'!$C$1:$C$18046,AH!$P$7+600))),NA()),NA())</ns0:f>
        <ns0:v/>
      </ns0:c>
      <ns0:c r="E605">
        <ns0:f>IFERROR(IF(ISNUMBER($A605),IF(AND(AH!$P$10=1,AH!$P$12=1,$A605=TODAY()),AH!$P$20,IF(AH!$P$10=1,INDEX('Live History'!$H$5:$H$3004,MATCH($A605,'Live History'!$G$5:$G$3004,1)),INDEX('AH History'!$D$1:$D$18046,AH!$P$7+600))),NA()),NA())</ns0:f>
        <ns0:v/>
      </ns0:c>
      <ns0:c r="F605">
        <ns0:f>IFERROR(IF(ISNUMBER($A605),IF(AND(AH!$P$10=1,AH!$P$12=1,$A605=TODAY()),IF(AND(AH!$P$10=1,AH!$P$12=1,$A605=TODAY()),TODAY(),NA()),IF(AH!$P$10=1,INDEX('Live History'!$D$5:$D$3004,MATCH($A605,'Live History'!$D$5:$D$3004,1)),INDEX('AH History'!$E$1:$E$18046,AH!$P$7+600))),NA()),NA())</ns0:f>
        <ns0:v/>
      </ns0:c>
      <ns0:c r="G605">
        <ns0:f>IFERROR(IF(ISNUMBER($A605),IF(AND(AH!$P$10=1,AH!$P$12=1,$A605=TODAY()),IF(AND(AH!$P$10=1,AH!$P$12=1,$A605=TODAY()),TODAY(),NA()),IF(AH!$P$10=1,INDEX('Live History'!$G$5:$G$3004,MATCH($A605,'Live History'!$G$5:$G$3004,1)),INDEX('AH History'!$F$1:$F$18046,AH!$P$7+600))),NA()),NA())</ns0:f>
        <ns0:v/>
      </ns0:c>
      <ns0:c r="H605">
        <ns0:f>IFERROR(IF(AND(AH!$E$4="Bloomberg",AH!$P$10=1,ISNUMBER($A605),$A605&lt;=AH!$P$17),AH!$P$7-1+MATCH($A605,INDEX('AH History'!$A$1:$A$18046,AH!$P$7):INDEX('AH History'!$A$1:$A$18046,AH!$P$7+AH!$P$8-1),0),0),0)</ns0:f>
        <ns0:v/>
      </ns0:c>
      <ns0:c r="I605">
        <ns0:f>IF($H605=0,0,IFERROR(IF(AND(ABS($C605-INDEX('AH History'!$B$1:$B$18046,$H605))&lt;=MAX(0.005,ABS(INDEX('AH History'!$B$1:$B$18046,$H605))*0.00005),ABS($D605-INDEX('AH History'!$C$1:$C$18046,$H605))&lt;=MAX(0.005,ABS(INDEX('AH History'!$C$1:$C$18046,$H605))*0.00005),ABS($E605-INDEX('AH History'!$D$1:$D$18046,$H605))&lt;=0.00005,$F605=INDEX('AH History'!$E$1:$E$18046,$H605),$G605=INDEX('AH History'!$F$1:$F$18046,$H605)),1,-1),-1))</ns0:f>
        <ns0:v/>
      </ns0:c>
    </ns0:row>
    <ns0:row r="606">
      <ns0:c r="A606" s="215">
        <ns0:f>IF(OR(AH!$P$3=0,601+1&gt;AH!$P$11,AND(AH!$E$4&lt;&gt;"Stored",AH!$P$10&lt;&gt;1)),"",IFERROR(IF(AND(AH!$P$21=1,601+1=AH!$P$11),TODAY(),IF(AH!$P$10=1,INDEX('Live History'!$A$5:$A$3004,AH!$P$13+601),INDEX('AH History'!$A$1:$A$18046,AH!$P$7+601))),""))</ns0:f>
        <ns0:v/>
      </ns0:c>
      <ns0:c r="B606" s="219">
        <ns0:f>IFERROR(IF(AND(AH!$P$9&lt;&gt;1,$C606&gt;0,$D606&gt;0,$E606&gt;0,$F606&gt;0,$G606&gt;0,$F606&lt;=$A606,$G606&lt;=$A606,$A606-$F606&lt;=10,$A606-$G606&lt;=5),$D606*$E606/$C606-1,NA()),NA())</ns0:f>
        <ns0:v/>
      </ns0:c>
      <ns0:c r="C606">
        <ns0:f>IFERROR(IF(ISNUMBER($A606),IF(AND(AH!$P$10=1,AH!$P$12=1,$A606=TODAY()),AH!$P$19,IF(AH!$P$10=1,INDEX('Live History'!$B$5:$B$3004,AH!$P$13+601),INDEX('AH History'!$B$1:$B$18046,AH!$P$7+601))),NA()),NA())</ns0:f>
        <ns0:v/>
      </ns0:c>
      <ns0:c r="D606">
        <ns0:f>IFERROR(IF(ISNUMBER($A606),IF(AND(AH!$P$10=1,AH!$P$12=1,$A606=TODAY()),AH!$P$18,IF(AH!$P$10=1,INDEX('Live History'!$E$5:$E$3004,MATCH($A606,'Live History'!$D$5:$D$3004,1)),INDEX('AH History'!$C$1:$C$18046,AH!$P$7+601))),NA()),NA())</ns0:f>
        <ns0:v/>
      </ns0:c>
      <ns0:c r="E606">
        <ns0:f>IFERROR(IF(ISNUMBER($A606),IF(AND(AH!$P$10=1,AH!$P$12=1,$A606=TODAY()),AH!$P$20,IF(AH!$P$10=1,INDEX('Live History'!$H$5:$H$3004,MATCH($A606,'Live History'!$G$5:$G$3004,1)),INDEX('AH History'!$D$1:$D$18046,AH!$P$7+601))),NA()),NA())</ns0:f>
        <ns0:v/>
      </ns0:c>
      <ns0:c r="F606">
        <ns0:f>IFERROR(IF(ISNUMBER($A606),IF(AND(AH!$P$10=1,AH!$P$12=1,$A606=TODAY()),IF(AND(AH!$P$10=1,AH!$P$12=1,$A606=TODAY()),TODAY(),NA()),IF(AH!$P$10=1,INDEX('Live History'!$D$5:$D$3004,MATCH($A606,'Live History'!$D$5:$D$3004,1)),INDEX('AH History'!$E$1:$E$18046,AH!$P$7+601))),NA()),NA())</ns0:f>
        <ns0:v/>
      </ns0:c>
      <ns0:c r="G606">
        <ns0:f>IFERROR(IF(ISNUMBER($A606),IF(AND(AH!$P$10=1,AH!$P$12=1,$A606=TODAY()),IF(AND(AH!$P$10=1,AH!$P$12=1,$A606=TODAY()),TODAY(),NA()),IF(AH!$P$10=1,INDEX('Live History'!$G$5:$G$3004,MATCH($A606,'Live History'!$G$5:$G$3004,1)),INDEX('AH History'!$F$1:$F$18046,AH!$P$7+601))),NA()),NA())</ns0:f>
        <ns0:v/>
      </ns0:c>
      <ns0:c r="H606">
        <ns0:f>IFERROR(IF(AND(AH!$E$4="Bloomberg",AH!$P$10=1,ISNUMBER($A606),$A606&lt;=AH!$P$17),AH!$P$7-1+MATCH($A606,INDEX('AH History'!$A$1:$A$18046,AH!$P$7):INDEX('AH History'!$A$1:$A$18046,AH!$P$7+AH!$P$8-1),0),0),0)</ns0:f>
        <ns0:v/>
      </ns0:c>
      <ns0:c r="I606">
        <ns0:f>IF($H606=0,0,IFERROR(IF(AND(ABS($C606-INDEX('AH History'!$B$1:$B$18046,$H606))&lt;=MAX(0.005,ABS(INDEX('AH History'!$B$1:$B$18046,$H606))*0.00005),ABS($D606-INDEX('AH History'!$C$1:$C$18046,$H606))&lt;=MAX(0.005,ABS(INDEX('AH History'!$C$1:$C$18046,$H606))*0.00005),ABS($E606-INDEX('AH History'!$D$1:$D$18046,$H606))&lt;=0.00005,$F606=INDEX('AH History'!$E$1:$E$18046,$H606),$G606=INDEX('AH History'!$F$1:$F$18046,$H606)),1,-1),-1))</ns0:f>
        <ns0:v/>
      </ns0:c>
    </ns0:row>
    <ns0:row r="607">
      <ns0:c r="A607" s="215">
        <ns0:f>IF(OR(AH!$P$3=0,602+1&gt;AH!$P$11,AND(AH!$E$4&lt;&gt;"Stored",AH!$P$10&lt;&gt;1)),"",IFERROR(IF(AND(AH!$P$21=1,602+1=AH!$P$11),TODAY(),IF(AH!$P$10=1,INDEX('Live History'!$A$5:$A$3004,AH!$P$13+602),INDEX('AH History'!$A$1:$A$18046,AH!$P$7+602))),""))</ns0:f>
        <ns0:v/>
      </ns0:c>
      <ns0:c r="B607" s="219">
        <ns0:f>IFERROR(IF(AND(AH!$P$9&lt;&gt;1,$C607&gt;0,$D607&gt;0,$E607&gt;0,$F607&gt;0,$G607&gt;0,$F607&lt;=$A607,$G607&lt;=$A607,$A607-$F607&lt;=10,$A607-$G607&lt;=5),$D607*$E607/$C607-1,NA()),NA())</ns0:f>
        <ns0:v/>
      </ns0:c>
      <ns0:c r="C607">
        <ns0:f>IFERROR(IF(ISNUMBER($A607),IF(AND(AH!$P$10=1,AH!$P$12=1,$A607=TODAY()),AH!$P$19,IF(AH!$P$10=1,INDEX('Live History'!$B$5:$B$3004,AH!$P$13+602),INDEX('AH History'!$B$1:$B$18046,AH!$P$7+602))),NA()),NA())</ns0:f>
        <ns0:v/>
      </ns0:c>
      <ns0:c r="D607">
        <ns0:f>IFERROR(IF(ISNUMBER($A607),IF(AND(AH!$P$10=1,AH!$P$12=1,$A607=TODAY()),AH!$P$18,IF(AH!$P$10=1,INDEX('Live History'!$E$5:$E$3004,MATCH($A607,'Live History'!$D$5:$D$3004,1)),INDEX('AH History'!$C$1:$C$18046,AH!$P$7+602))),NA()),NA())</ns0:f>
        <ns0:v/>
      </ns0:c>
      <ns0:c r="E607">
        <ns0:f>IFERROR(IF(ISNUMBER($A607),IF(AND(AH!$P$10=1,AH!$P$12=1,$A607=TODAY()),AH!$P$20,IF(AH!$P$10=1,INDEX('Live History'!$H$5:$H$3004,MATCH($A607,'Live History'!$G$5:$G$3004,1)),INDEX('AH History'!$D$1:$D$18046,AH!$P$7+602))),NA()),NA())</ns0:f>
        <ns0:v/>
      </ns0:c>
      <ns0:c r="F607">
        <ns0:f>IFERROR(IF(ISNUMBER($A607),IF(AND(AH!$P$10=1,AH!$P$12=1,$A607=TODAY()),IF(AND(AH!$P$10=1,AH!$P$12=1,$A607=TODAY()),TODAY(),NA()),IF(AH!$P$10=1,INDEX('Live History'!$D$5:$D$3004,MATCH($A607,'Live History'!$D$5:$D$3004,1)),INDEX('AH History'!$E$1:$E$18046,AH!$P$7+602))),NA()),NA())</ns0:f>
        <ns0:v/>
      </ns0:c>
      <ns0:c r="G607">
        <ns0:f>IFERROR(IF(ISNUMBER($A607),IF(AND(AH!$P$10=1,AH!$P$12=1,$A607=TODAY()),IF(AND(AH!$P$10=1,AH!$P$12=1,$A607=TODAY()),TODAY(),NA()),IF(AH!$P$10=1,INDEX('Live History'!$G$5:$G$3004,MATCH($A607,'Live History'!$G$5:$G$3004,1)),INDEX('AH History'!$F$1:$F$18046,AH!$P$7+602))),NA()),NA())</ns0:f>
        <ns0:v/>
      </ns0:c>
      <ns0:c r="H607">
        <ns0:f>IFERROR(IF(AND(AH!$E$4="Bloomberg",AH!$P$10=1,ISNUMBER($A607),$A607&lt;=AH!$P$17),AH!$P$7-1+MATCH($A607,INDEX('AH History'!$A$1:$A$18046,AH!$P$7):INDEX('AH History'!$A$1:$A$18046,AH!$P$7+AH!$P$8-1),0),0),0)</ns0:f>
        <ns0:v/>
      </ns0:c>
      <ns0:c r="I607">
        <ns0:f>IF($H607=0,0,IFERROR(IF(AND(ABS($C607-INDEX('AH History'!$B$1:$B$18046,$H607))&lt;=MAX(0.005,ABS(INDEX('AH History'!$B$1:$B$18046,$H607))*0.00005),ABS($D607-INDEX('AH History'!$C$1:$C$18046,$H607))&lt;=MAX(0.005,ABS(INDEX('AH History'!$C$1:$C$18046,$H607))*0.00005),ABS($E607-INDEX('AH History'!$D$1:$D$18046,$H607))&lt;=0.00005,$F607=INDEX('AH History'!$E$1:$E$18046,$H607),$G607=INDEX('AH History'!$F$1:$F$18046,$H607)),1,-1),-1))</ns0:f>
        <ns0:v/>
      </ns0:c>
    </ns0:row>
    <ns0:row r="608">
      <ns0:c r="A608" s="215">
        <ns0:f>IF(OR(AH!$P$3=0,603+1&gt;AH!$P$11,AND(AH!$E$4&lt;&gt;"Stored",AH!$P$10&lt;&gt;1)),"",IFERROR(IF(AND(AH!$P$21=1,603+1=AH!$P$11),TODAY(),IF(AH!$P$10=1,INDEX('Live History'!$A$5:$A$3004,AH!$P$13+603),INDEX('AH History'!$A$1:$A$18046,AH!$P$7+603))),""))</ns0:f>
        <ns0:v/>
      </ns0:c>
      <ns0:c r="B608" s="219">
        <ns0:f>IFERROR(IF(AND(AH!$P$9&lt;&gt;1,$C608&gt;0,$D608&gt;0,$E608&gt;0,$F608&gt;0,$G608&gt;0,$F608&lt;=$A608,$G608&lt;=$A608,$A608-$F608&lt;=10,$A608-$G608&lt;=5),$D608*$E608/$C608-1,NA()),NA())</ns0:f>
        <ns0:v/>
      </ns0:c>
      <ns0:c r="C608">
        <ns0:f>IFERROR(IF(ISNUMBER($A608),IF(AND(AH!$P$10=1,AH!$P$12=1,$A608=TODAY()),AH!$P$19,IF(AH!$P$10=1,INDEX('Live History'!$B$5:$B$3004,AH!$P$13+603),INDEX('AH History'!$B$1:$B$18046,AH!$P$7+603))),NA()),NA())</ns0:f>
        <ns0:v/>
      </ns0:c>
      <ns0:c r="D608">
        <ns0:f>IFERROR(IF(ISNUMBER($A608),IF(AND(AH!$P$10=1,AH!$P$12=1,$A608=TODAY()),AH!$P$18,IF(AH!$P$10=1,INDEX('Live History'!$E$5:$E$3004,MATCH($A608,'Live History'!$D$5:$D$3004,1)),INDEX('AH History'!$C$1:$C$18046,AH!$P$7+603))),NA()),NA())</ns0:f>
        <ns0:v/>
      </ns0:c>
      <ns0:c r="E608">
        <ns0:f>IFERROR(IF(ISNUMBER($A608),IF(AND(AH!$P$10=1,AH!$P$12=1,$A608=TODAY()),AH!$P$20,IF(AH!$P$10=1,INDEX('Live History'!$H$5:$H$3004,MATCH($A608,'Live History'!$G$5:$G$3004,1)),INDEX('AH History'!$D$1:$D$18046,AH!$P$7+603))),NA()),NA())</ns0:f>
        <ns0:v/>
      </ns0:c>
      <ns0:c r="F608">
        <ns0:f>IFERROR(IF(ISNUMBER($A608),IF(AND(AH!$P$10=1,AH!$P$12=1,$A608=TODAY()),IF(AND(AH!$P$10=1,AH!$P$12=1,$A608=TODAY()),TODAY(),NA()),IF(AH!$P$10=1,INDEX('Live History'!$D$5:$D$3004,MATCH($A608,'Live History'!$D$5:$D$3004,1)),INDEX('AH History'!$E$1:$E$18046,AH!$P$7+603))),NA()),NA())</ns0:f>
        <ns0:v/>
      </ns0:c>
      <ns0:c r="G608">
        <ns0:f>IFERROR(IF(ISNUMBER($A608),IF(AND(AH!$P$10=1,AH!$P$12=1,$A608=TODAY()),IF(AND(AH!$P$10=1,AH!$P$12=1,$A608=TODAY()),TODAY(),NA()),IF(AH!$P$10=1,INDEX('Live History'!$G$5:$G$3004,MATCH($A608,'Live History'!$G$5:$G$3004,1)),INDEX('AH History'!$F$1:$F$18046,AH!$P$7+603))),NA()),NA())</ns0:f>
        <ns0:v/>
      </ns0:c>
      <ns0:c r="H608">
        <ns0:f>IFERROR(IF(AND(AH!$E$4="Bloomberg",AH!$P$10=1,ISNUMBER($A608),$A608&lt;=AH!$P$17),AH!$P$7-1+MATCH($A608,INDEX('AH History'!$A$1:$A$18046,AH!$P$7):INDEX('AH History'!$A$1:$A$18046,AH!$P$7+AH!$P$8-1),0),0),0)</ns0:f>
        <ns0:v/>
      </ns0:c>
      <ns0:c r="I608">
        <ns0:f>IF($H608=0,0,IFERROR(IF(AND(ABS($C608-INDEX('AH History'!$B$1:$B$18046,$H608))&lt;=MAX(0.005,ABS(INDEX('AH History'!$B$1:$B$18046,$H608))*0.00005),ABS($D608-INDEX('AH History'!$C$1:$C$18046,$H608))&lt;=MAX(0.005,ABS(INDEX('AH History'!$C$1:$C$18046,$H608))*0.00005),ABS($E608-INDEX('AH History'!$D$1:$D$18046,$H608))&lt;=0.00005,$F608=INDEX('AH History'!$E$1:$E$18046,$H608),$G608=INDEX('AH History'!$F$1:$F$18046,$H608)),1,-1),-1))</ns0:f>
        <ns0:v/>
      </ns0:c>
    </ns0:row>
    <ns0:row r="609">
      <ns0:c r="A609" s="215">
        <ns0:f>IF(OR(AH!$P$3=0,604+1&gt;AH!$P$11,AND(AH!$E$4&lt;&gt;"Stored",AH!$P$10&lt;&gt;1)),"",IFERROR(IF(AND(AH!$P$21=1,604+1=AH!$P$11),TODAY(),IF(AH!$P$10=1,INDEX('Live History'!$A$5:$A$3004,AH!$P$13+604),INDEX('AH History'!$A$1:$A$18046,AH!$P$7+604))),""))</ns0:f>
        <ns0:v/>
      </ns0:c>
      <ns0:c r="B609" s="219">
        <ns0:f>IFERROR(IF(AND(AH!$P$9&lt;&gt;1,$C609&gt;0,$D609&gt;0,$E609&gt;0,$F609&gt;0,$G609&gt;0,$F609&lt;=$A609,$G609&lt;=$A609,$A609-$F609&lt;=10,$A609-$G609&lt;=5),$D609*$E609/$C609-1,NA()),NA())</ns0:f>
        <ns0:v/>
      </ns0:c>
      <ns0:c r="C609">
        <ns0:f>IFERROR(IF(ISNUMBER($A609),IF(AND(AH!$P$10=1,AH!$P$12=1,$A609=TODAY()),AH!$P$19,IF(AH!$P$10=1,INDEX('Live History'!$B$5:$B$3004,AH!$P$13+604),INDEX('AH History'!$B$1:$B$18046,AH!$P$7+604))),NA()),NA())</ns0:f>
        <ns0:v/>
      </ns0:c>
      <ns0:c r="D609">
        <ns0:f>IFERROR(IF(ISNUMBER($A609),IF(AND(AH!$P$10=1,AH!$P$12=1,$A609=TODAY()),AH!$P$18,IF(AH!$P$10=1,INDEX('Live History'!$E$5:$E$3004,MATCH($A609,'Live History'!$D$5:$D$3004,1)),INDEX('AH History'!$C$1:$C$18046,AH!$P$7+604))),NA()),NA())</ns0:f>
        <ns0:v/>
      </ns0:c>
      <ns0:c r="E609">
        <ns0:f>IFERROR(IF(ISNUMBER($A609),IF(AND(AH!$P$10=1,AH!$P$12=1,$A609=TODAY()),AH!$P$20,IF(AH!$P$10=1,INDEX('Live History'!$H$5:$H$3004,MATCH($A609,'Live History'!$G$5:$G$3004,1)),INDEX('AH History'!$D$1:$D$18046,AH!$P$7+604))),NA()),NA())</ns0:f>
        <ns0:v/>
      </ns0:c>
      <ns0:c r="F609">
        <ns0:f>IFERROR(IF(ISNUMBER($A609),IF(AND(AH!$P$10=1,AH!$P$12=1,$A609=TODAY()),IF(AND(AH!$P$10=1,AH!$P$12=1,$A609=TODAY()),TODAY(),NA()),IF(AH!$P$10=1,INDEX('Live History'!$D$5:$D$3004,MATCH($A609,'Live History'!$D$5:$D$3004,1)),INDEX('AH History'!$E$1:$E$18046,AH!$P$7+604))),NA()),NA())</ns0:f>
        <ns0:v/>
      </ns0:c>
      <ns0:c r="G609">
        <ns0:f>IFERROR(IF(ISNUMBER($A609),IF(AND(AH!$P$10=1,AH!$P$12=1,$A609=TODAY()),IF(AND(AH!$P$10=1,AH!$P$12=1,$A609=TODAY()),TODAY(),NA()),IF(AH!$P$10=1,INDEX('Live History'!$G$5:$G$3004,MATCH($A609,'Live History'!$G$5:$G$3004,1)),INDEX('AH History'!$F$1:$F$18046,AH!$P$7+604))),NA()),NA())</ns0:f>
        <ns0:v/>
      </ns0:c>
      <ns0:c r="H609">
        <ns0:f>IFERROR(IF(AND(AH!$E$4="Bloomberg",AH!$P$10=1,ISNUMBER($A609),$A609&lt;=AH!$P$17),AH!$P$7-1+MATCH($A609,INDEX('AH History'!$A$1:$A$18046,AH!$P$7):INDEX('AH History'!$A$1:$A$18046,AH!$P$7+AH!$P$8-1),0),0),0)</ns0:f>
        <ns0:v/>
      </ns0:c>
      <ns0:c r="I609">
        <ns0:f>IF($H609=0,0,IFERROR(IF(AND(ABS($C609-INDEX('AH History'!$B$1:$B$18046,$H609))&lt;=MAX(0.005,ABS(INDEX('AH History'!$B$1:$B$18046,$H609))*0.00005),ABS($D609-INDEX('AH History'!$C$1:$C$18046,$H609))&lt;=MAX(0.005,ABS(INDEX('AH History'!$C$1:$C$18046,$H609))*0.00005),ABS($E609-INDEX('AH History'!$D$1:$D$18046,$H609))&lt;=0.00005,$F609=INDEX('AH History'!$E$1:$E$18046,$H609),$G609=INDEX('AH History'!$F$1:$F$18046,$H609)),1,-1),-1))</ns0:f>
        <ns0:v/>
      </ns0:c>
    </ns0:row>
    <ns0:row r="610">
      <ns0:c r="A610" s="215">
        <ns0:f>IF(OR(AH!$P$3=0,605+1&gt;AH!$P$11,AND(AH!$E$4&lt;&gt;"Stored",AH!$P$10&lt;&gt;1)),"",IFERROR(IF(AND(AH!$P$21=1,605+1=AH!$P$11),TODAY(),IF(AH!$P$10=1,INDEX('Live History'!$A$5:$A$3004,AH!$P$13+605),INDEX('AH History'!$A$1:$A$18046,AH!$P$7+605))),""))</ns0:f>
        <ns0:v/>
      </ns0:c>
      <ns0:c r="B610" s="219">
        <ns0:f>IFERROR(IF(AND(AH!$P$9&lt;&gt;1,$C610&gt;0,$D610&gt;0,$E610&gt;0,$F610&gt;0,$G610&gt;0,$F610&lt;=$A610,$G610&lt;=$A610,$A610-$F610&lt;=10,$A610-$G610&lt;=5),$D610*$E610/$C610-1,NA()),NA())</ns0:f>
        <ns0:v/>
      </ns0:c>
      <ns0:c r="C610">
        <ns0:f>IFERROR(IF(ISNUMBER($A610),IF(AND(AH!$P$10=1,AH!$P$12=1,$A610=TODAY()),AH!$P$19,IF(AH!$P$10=1,INDEX('Live History'!$B$5:$B$3004,AH!$P$13+605),INDEX('AH History'!$B$1:$B$18046,AH!$P$7+605))),NA()),NA())</ns0:f>
        <ns0:v/>
      </ns0:c>
      <ns0:c r="D610">
        <ns0:f>IFERROR(IF(ISNUMBER($A610),IF(AND(AH!$P$10=1,AH!$P$12=1,$A610=TODAY()),AH!$P$18,IF(AH!$P$10=1,INDEX('Live History'!$E$5:$E$3004,MATCH($A610,'Live History'!$D$5:$D$3004,1)),INDEX('AH History'!$C$1:$C$18046,AH!$P$7+605))),NA()),NA())</ns0:f>
        <ns0:v/>
      </ns0:c>
      <ns0:c r="E610">
        <ns0:f>IFERROR(IF(ISNUMBER($A610),IF(AND(AH!$P$10=1,AH!$P$12=1,$A610=TODAY()),AH!$P$20,IF(AH!$P$10=1,INDEX('Live History'!$H$5:$H$3004,MATCH($A610,'Live History'!$G$5:$G$3004,1)),INDEX('AH History'!$D$1:$D$18046,AH!$P$7+605))),NA()),NA())</ns0:f>
        <ns0:v/>
      </ns0:c>
      <ns0:c r="F610">
        <ns0:f>IFERROR(IF(ISNUMBER($A610),IF(AND(AH!$P$10=1,AH!$P$12=1,$A610=TODAY()),IF(AND(AH!$P$10=1,AH!$P$12=1,$A610=TODAY()),TODAY(),NA()),IF(AH!$P$10=1,INDEX('Live History'!$D$5:$D$3004,MATCH($A610,'Live History'!$D$5:$D$3004,1)),INDEX('AH History'!$E$1:$E$18046,AH!$P$7+605))),NA()),NA())</ns0:f>
        <ns0:v/>
      </ns0:c>
      <ns0:c r="G610">
        <ns0:f>IFERROR(IF(ISNUMBER($A610),IF(AND(AH!$P$10=1,AH!$P$12=1,$A610=TODAY()),IF(AND(AH!$P$10=1,AH!$P$12=1,$A610=TODAY()),TODAY(),NA()),IF(AH!$P$10=1,INDEX('Live History'!$G$5:$G$3004,MATCH($A610,'Live History'!$G$5:$G$3004,1)),INDEX('AH History'!$F$1:$F$18046,AH!$P$7+605))),NA()),NA())</ns0:f>
        <ns0:v/>
      </ns0:c>
      <ns0:c r="H610">
        <ns0:f>IFERROR(IF(AND(AH!$E$4="Bloomberg",AH!$P$10=1,ISNUMBER($A610),$A610&lt;=AH!$P$17),AH!$P$7-1+MATCH($A610,INDEX('AH History'!$A$1:$A$18046,AH!$P$7):INDEX('AH History'!$A$1:$A$18046,AH!$P$7+AH!$P$8-1),0),0),0)</ns0:f>
        <ns0:v/>
      </ns0:c>
      <ns0:c r="I610">
        <ns0:f>IF($H610=0,0,IFERROR(IF(AND(ABS($C610-INDEX('AH History'!$B$1:$B$18046,$H610))&lt;=MAX(0.005,ABS(INDEX('AH History'!$B$1:$B$18046,$H610))*0.00005),ABS($D610-INDEX('AH History'!$C$1:$C$18046,$H610))&lt;=MAX(0.005,ABS(INDEX('AH History'!$C$1:$C$18046,$H610))*0.00005),ABS($E610-INDEX('AH History'!$D$1:$D$18046,$H610))&lt;=0.00005,$F610=INDEX('AH History'!$E$1:$E$18046,$H610),$G610=INDEX('AH History'!$F$1:$F$18046,$H610)),1,-1),-1))</ns0:f>
        <ns0:v/>
      </ns0:c>
    </ns0:row>
    <ns0:row r="611">
      <ns0:c r="A611" s="215">
        <ns0:f>IF(OR(AH!$P$3=0,606+1&gt;AH!$P$11,AND(AH!$E$4&lt;&gt;"Stored",AH!$P$10&lt;&gt;1)),"",IFERROR(IF(AND(AH!$P$21=1,606+1=AH!$P$11),TODAY(),IF(AH!$P$10=1,INDEX('Live History'!$A$5:$A$3004,AH!$P$13+606),INDEX('AH History'!$A$1:$A$18046,AH!$P$7+606))),""))</ns0:f>
        <ns0:v/>
      </ns0:c>
      <ns0:c r="B611" s="219">
        <ns0:f>IFERROR(IF(AND(AH!$P$9&lt;&gt;1,$C611&gt;0,$D611&gt;0,$E611&gt;0,$F611&gt;0,$G611&gt;0,$F611&lt;=$A611,$G611&lt;=$A611,$A611-$F611&lt;=10,$A611-$G611&lt;=5),$D611*$E611/$C611-1,NA()),NA())</ns0:f>
        <ns0:v/>
      </ns0:c>
      <ns0:c r="C611">
        <ns0:f>IFERROR(IF(ISNUMBER($A611),IF(AND(AH!$P$10=1,AH!$P$12=1,$A611=TODAY()),AH!$P$19,IF(AH!$P$10=1,INDEX('Live History'!$B$5:$B$3004,AH!$P$13+606),INDEX('AH History'!$B$1:$B$18046,AH!$P$7+606))),NA()),NA())</ns0:f>
        <ns0:v/>
      </ns0:c>
      <ns0:c r="D611">
        <ns0:f>IFERROR(IF(ISNUMBER($A611),IF(AND(AH!$P$10=1,AH!$P$12=1,$A611=TODAY()),AH!$P$18,IF(AH!$P$10=1,INDEX('Live History'!$E$5:$E$3004,MATCH($A611,'Live History'!$D$5:$D$3004,1)),INDEX('AH History'!$C$1:$C$18046,AH!$P$7+606))),NA()),NA())</ns0:f>
        <ns0:v/>
      </ns0:c>
      <ns0:c r="E611">
        <ns0:f>IFERROR(IF(ISNUMBER($A611),IF(AND(AH!$P$10=1,AH!$P$12=1,$A611=TODAY()),AH!$P$20,IF(AH!$P$10=1,INDEX('Live History'!$H$5:$H$3004,MATCH($A611,'Live History'!$G$5:$G$3004,1)),INDEX('AH History'!$D$1:$D$18046,AH!$P$7+606))),NA()),NA())</ns0:f>
        <ns0:v/>
      </ns0:c>
      <ns0:c r="F611">
        <ns0:f>IFERROR(IF(ISNUMBER($A611),IF(AND(AH!$P$10=1,AH!$P$12=1,$A611=TODAY()),IF(AND(AH!$P$10=1,AH!$P$12=1,$A611=TODAY()),TODAY(),NA()),IF(AH!$P$10=1,INDEX('Live History'!$D$5:$D$3004,MATCH($A611,'Live History'!$D$5:$D$3004,1)),INDEX('AH History'!$E$1:$E$18046,AH!$P$7+606))),NA()),NA())</ns0:f>
        <ns0:v/>
      </ns0:c>
      <ns0:c r="G611">
        <ns0:f>IFERROR(IF(ISNUMBER($A611),IF(AND(AH!$P$10=1,AH!$P$12=1,$A611=TODAY()),IF(AND(AH!$P$10=1,AH!$P$12=1,$A611=TODAY()),TODAY(),NA()),IF(AH!$P$10=1,INDEX('Live History'!$G$5:$G$3004,MATCH($A611,'Live History'!$G$5:$G$3004,1)),INDEX('AH History'!$F$1:$F$18046,AH!$P$7+606))),NA()),NA())</ns0:f>
        <ns0:v/>
      </ns0:c>
      <ns0:c r="H611">
        <ns0:f>IFERROR(IF(AND(AH!$E$4="Bloomberg",AH!$P$10=1,ISNUMBER($A611),$A611&lt;=AH!$P$17),AH!$P$7-1+MATCH($A611,INDEX('AH History'!$A$1:$A$18046,AH!$P$7):INDEX('AH History'!$A$1:$A$18046,AH!$P$7+AH!$P$8-1),0),0),0)</ns0:f>
        <ns0:v/>
      </ns0:c>
      <ns0:c r="I611">
        <ns0:f>IF($H611=0,0,IFERROR(IF(AND(ABS($C611-INDEX('AH History'!$B$1:$B$18046,$H611))&lt;=MAX(0.005,ABS(INDEX('AH History'!$B$1:$B$18046,$H611))*0.00005),ABS($D611-INDEX('AH History'!$C$1:$C$18046,$H611))&lt;=MAX(0.005,ABS(INDEX('AH History'!$C$1:$C$18046,$H611))*0.00005),ABS($E611-INDEX('AH History'!$D$1:$D$18046,$H611))&lt;=0.00005,$F611=INDEX('AH History'!$E$1:$E$18046,$H611),$G611=INDEX('AH History'!$F$1:$F$18046,$H611)),1,-1),-1))</ns0:f>
        <ns0:v/>
      </ns0:c>
    </ns0:row>
    <ns0:row r="612">
      <ns0:c r="A612" s="215">
        <ns0:f>IF(OR(AH!$P$3=0,607+1&gt;AH!$P$11,AND(AH!$E$4&lt;&gt;"Stored",AH!$P$10&lt;&gt;1)),"",IFERROR(IF(AND(AH!$P$21=1,607+1=AH!$P$11),TODAY(),IF(AH!$P$10=1,INDEX('Live History'!$A$5:$A$3004,AH!$P$13+607),INDEX('AH History'!$A$1:$A$18046,AH!$P$7+607))),""))</ns0:f>
        <ns0:v/>
      </ns0:c>
      <ns0:c r="B612" s="219">
        <ns0:f>IFERROR(IF(AND(AH!$P$9&lt;&gt;1,$C612&gt;0,$D612&gt;0,$E612&gt;0,$F612&gt;0,$G612&gt;0,$F612&lt;=$A612,$G612&lt;=$A612,$A612-$F612&lt;=10,$A612-$G612&lt;=5),$D612*$E612/$C612-1,NA()),NA())</ns0:f>
        <ns0:v/>
      </ns0:c>
      <ns0:c r="C612">
        <ns0:f>IFERROR(IF(ISNUMBER($A612),IF(AND(AH!$P$10=1,AH!$P$12=1,$A612=TODAY()),AH!$P$19,IF(AH!$P$10=1,INDEX('Live History'!$B$5:$B$3004,AH!$P$13+607),INDEX('AH History'!$B$1:$B$18046,AH!$P$7+607))),NA()),NA())</ns0:f>
        <ns0:v/>
      </ns0:c>
      <ns0:c r="D612">
        <ns0:f>IFERROR(IF(ISNUMBER($A612),IF(AND(AH!$P$10=1,AH!$P$12=1,$A612=TODAY()),AH!$P$18,IF(AH!$P$10=1,INDEX('Live History'!$E$5:$E$3004,MATCH($A612,'Live History'!$D$5:$D$3004,1)),INDEX('AH History'!$C$1:$C$18046,AH!$P$7+607))),NA()),NA())</ns0:f>
        <ns0:v/>
      </ns0:c>
      <ns0:c r="E612">
        <ns0:f>IFERROR(IF(ISNUMBER($A612),IF(AND(AH!$P$10=1,AH!$P$12=1,$A612=TODAY()),AH!$P$20,IF(AH!$P$10=1,INDEX('Live History'!$H$5:$H$3004,MATCH($A612,'Live History'!$G$5:$G$3004,1)),INDEX('AH History'!$D$1:$D$18046,AH!$P$7+607))),NA()),NA())</ns0:f>
        <ns0:v/>
      </ns0:c>
      <ns0:c r="F612">
        <ns0:f>IFERROR(IF(ISNUMBER($A612),IF(AND(AH!$P$10=1,AH!$P$12=1,$A612=TODAY()),IF(AND(AH!$P$10=1,AH!$P$12=1,$A612=TODAY()),TODAY(),NA()),IF(AH!$P$10=1,INDEX('Live History'!$D$5:$D$3004,MATCH($A612,'Live History'!$D$5:$D$3004,1)),INDEX('AH History'!$E$1:$E$18046,AH!$P$7+607))),NA()),NA())</ns0:f>
        <ns0:v/>
      </ns0:c>
      <ns0:c r="G612">
        <ns0:f>IFERROR(IF(ISNUMBER($A612),IF(AND(AH!$P$10=1,AH!$P$12=1,$A612=TODAY()),IF(AND(AH!$P$10=1,AH!$P$12=1,$A612=TODAY()),TODAY(),NA()),IF(AH!$P$10=1,INDEX('Live History'!$G$5:$G$3004,MATCH($A612,'Live History'!$G$5:$G$3004,1)),INDEX('AH History'!$F$1:$F$18046,AH!$P$7+607))),NA()),NA())</ns0:f>
        <ns0:v/>
      </ns0:c>
      <ns0:c r="H612">
        <ns0:f>IFERROR(IF(AND(AH!$E$4="Bloomberg",AH!$P$10=1,ISNUMBER($A612),$A612&lt;=AH!$P$17),AH!$P$7-1+MATCH($A612,INDEX('AH History'!$A$1:$A$18046,AH!$P$7):INDEX('AH History'!$A$1:$A$18046,AH!$P$7+AH!$P$8-1),0),0),0)</ns0:f>
        <ns0:v/>
      </ns0:c>
      <ns0:c r="I612">
        <ns0:f>IF($H612=0,0,IFERROR(IF(AND(ABS($C612-INDEX('AH History'!$B$1:$B$18046,$H612))&lt;=MAX(0.005,ABS(INDEX('AH History'!$B$1:$B$18046,$H612))*0.00005),ABS($D612-INDEX('AH History'!$C$1:$C$18046,$H612))&lt;=MAX(0.005,ABS(INDEX('AH History'!$C$1:$C$18046,$H612))*0.00005),ABS($E612-INDEX('AH History'!$D$1:$D$18046,$H612))&lt;=0.00005,$F612=INDEX('AH History'!$E$1:$E$18046,$H612),$G612=INDEX('AH History'!$F$1:$F$18046,$H612)),1,-1),-1))</ns0:f>
        <ns0:v/>
      </ns0:c>
    </ns0:row>
    <ns0:row r="613">
      <ns0:c r="A613" s="215">
        <ns0:f>IF(OR(AH!$P$3=0,608+1&gt;AH!$P$11,AND(AH!$E$4&lt;&gt;"Stored",AH!$P$10&lt;&gt;1)),"",IFERROR(IF(AND(AH!$P$21=1,608+1=AH!$P$11),TODAY(),IF(AH!$P$10=1,INDEX('Live History'!$A$5:$A$3004,AH!$P$13+608),INDEX('AH History'!$A$1:$A$18046,AH!$P$7+608))),""))</ns0:f>
        <ns0:v/>
      </ns0:c>
      <ns0:c r="B613" s="219">
        <ns0:f>IFERROR(IF(AND(AH!$P$9&lt;&gt;1,$C613&gt;0,$D613&gt;0,$E613&gt;0,$F613&gt;0,$G613&gt;0,$F613&lt;=$A613,$G613&lt;=$A613,$A613-$F613&lt;=10,$A613-$G613&lt;=5),$D613*$E613/$C613-1,NA()),NA())</ns0:f>
        <ns0:v/>
      </ns0:c>
      <ns0:c r="C613">
        <ns0:f>IFERROR(IF(ISNUMBER($A613),IF(AND(AH!$P$10=1,AH!$P$12=1,$A613=TODAY()),AH!$P$19,IF(AH!$P$10=1,INDEX('Live History'!$B$5:$B$3004,AH!$P$13+608),INDEX('AH History'!$B$1:$B$18046,AH!$P$7+608))),NA()),NA())</ns0:f>
        <ns0:v/>
      </ns0:c>
      <ns0:c r="D613">
        <ns0:f>IFERROR(IF(ISNUMBER($A613),IF(AND(AH!$P$10=1,AH!$P$12=1,$A613=TODAY()),AH!$P$18,IF(AH!$P$10=1,INDEX('Live History'!$E$5:$E$3004,MATCH($A613,'Live History'!$D$5:$D$3004,1)),INDEX('AH History'!$C$1:$C$18046,AH!$P$7+608))),NA()),NA())</ns0:f>
        <ns0:v/>
      </ns0:c>
      <ns0:c r="E613">
        <ns0:f>IFERROR(IF(ISNUMBER($A613),IF(AND(AH!$P$10=1,AH!$P$12=1,$A613=TODAY()),AH!$P$20,IF(AH!$P$10=1,INDEX('Live History'!$H$5:$H$3004,MATCH($A613,'Live History'!$G$5:$G$3004,1)),INDEX('AH History'!$D$1:$D$18046,AH!$P$7+608))),NA()),NA())</ns0:f>
        <ns0:v/>
      </ns0:c>
      <ns0:c r="F613">
        <ns0:f>IFERROR(IF(ISNUMBER($A613),IF(AND(AH!$P$10=1,AH!$P$12=1,$A613=TODAY()),IF(AND(AH!$P$10=1,AH!$P$12=1,$A613=TODAY()),TODAY(),NA()),IF(AH!$P$10=1,INDEX('Live History'!$D$5:$D$3004,MATCH($A613,'Live History'!$D$5:$D$3004,1)),INDEX('AH History'!$E$1:$E$18046,AH!$P$7+608))),NA()),NA())</ns0:f>
        <ns0:v/>
      </ns0:c>
      <ns0:c r="G613">
        <ns0:f>IFERROR(IF(ISNUMBER($A613),IF(AND(AH!$P$10=1,AH!$P$12=1,$A613=TODAY()),IF(AND(AH!$P$10=1,AH!$P$12=1,$A613=TODAY()),TODAY(),NA()),IF(AH!$P$10=1,INDEX('Live History'!$G$5:$G$3004,MATCH($A613,'Live History'!$G$5:$G$3004,1)),INDEX('AH History'!$F$1:$F$18046,AH!$P$7+608))),NA()),NA())</ns0:f>
        <ns0:v/>
      </ns0:c>
      <ns0:c r="H613">
        <ns0:f>IFERROR(IF(AND(AH!$E$4="Bloomberg",AH!$P$10=1,ISNUMBER($A613),$A613&lt;=AH!$P$17),AH!$P$7-1+MATCH($A613,INDEX('AH History'!$A$1:$A$18046,AH!$P$7):INDEX('AH History'!$A$1:$A$18046,AH!$P$7+AH!$P$8-1),0),0),0)</ns0:f>
        <ns0:v/>
      </ns0:c>
      <ns0:c r="I613">
        <ns0:f>IF($H613=0,0,IFERROR(IF(AND(ABS($C613-INDEX('AH History'!$B$1:$B$18046,$H613))&lt;=MAX(0.005,ABS(INDEX('AH History'!$B$1:$B$18046,$H613))*0.00005),ABS($D613-INDEX('AH History'!$C$1:$C$18046,$H613))&lt;=MAX(0.005,ABS(INDEX('AH History'!$C$1:$C$18046,$H613))*0.00005),ABS($E613-INDEX('AH History'!$D$1:$D$18046,$H613))&lt;=0.00005,$F613=INDEX('AH History'!$E$1:$E$18046,$H613),$G613=INDEX('AH History'!$F$1:$F$18046,$H613)),1,-1),-1))</ns0:f>
        <ns0:v/>
      </ns0:c>
    </ns0:row>
    <ns0:row r="614">
      <ns0:c r="A614" s="215">
        <ns0:f>IF(OR(AH!$P$3=0,609+1&gt;AH!$P$11,AND(AH!$E$4&lt;&gt;"Stored",AH!$P$10&lt;&gt;1)),"",IFERROR(IF(AND(AH!$P$21=1,609+1=AH!$P$11),TODAY(),IF(AH!$P$10=1,INDEX('Live History'!$A$5:$A$3004,AH!$P$13+609),INDEX('AH History'!$A$1:$A$18046,AH!$P$7+609))),""))</ns0:f>
        <ns0:v/>
      </ns0:c>
      <ns0:c r="B614" s="219">
        <ns0:f>IFERROR(IF(AND(AH!$P$9&lt;&gt;1,$C614&gt;0,$D614&gt;0,$E614&gt;0,$F614&gt;0,$G614&gt;0,$F614&lt;=$A614,$G614&lt;=$A614,$A614-$F614&lt;=10,$A614-$G614&lt;=5),$D614*$E614/$C614-1,NA()),NA())</ns0:f>
        <ns0:v/>
      </ns0:c>
      <ns0:c r="C614">
        <ns0:f>IFERROR(IF(ISNUMBER($A614),IF(AND(AH!$P$10=1,AH!$P$12=1,$A614=TODAY()),AH!$P$19,IF(AH!$P$10=1,INDEX('Live History'!$B$5:$B$3004,AH!$P$13+609),INDEX('AH History'!$B$1:$B$18046,AH!$P$7+609))),NA()),NA())</ns0:f>
        <ns0:v/>
      </ns0:c>
      <ns0:c r="D614">
        <ns0:f>IFERROR(IF(ISNUMBER($A614),IF(AND(AH!$P$10=1,AH!$P$12=1,$A614=TODAY()),AH!$P$18,IF(AH!$P$10=1,INDEX('Live History'!$E$5:$E$3004,MATCH($A614,'Live History'!$D$5:$D$3004,1)),INDEX('AH History'!$C$1:$C$18046,AH!$P$7+609))),NA()),NA())</ns0:f>
        <ns0:v/>
      </ns0:c>
      <ns0:c r="E614">
        <ns0:f>IFERROR(IF(ISNUMBER($A614),IF(AND(AH!$P$10=1,AH!$P$12=1,$A614=TODAY()),AH!$P$20,IF(AH!$P$10=1,INDEX('Live History'!$H$5:$H$3004,MATCH($A614,'Live History'!$G$5:$G$3004,1)),INDEX('AH History'!$D$1:$D$18046,AH!$P$7+609))),NA()),NA())</ns0:f>
        <ns0:v/>
      </ns0:c>
      <ns0:c r="F614">
        <ns0:f>IFERROR(IF(ISNUMBER($A614),IF(AND(AH!$P$10=1,AH!$P$12=1,$A614=TODAY()),IF(AND(AH!$P$10=1,AH!$P$12=1,$A614=TODAY()),TODAY(),NA()),IF(AH!$P$10=1,INDEX('Live History'!$D$5:$D$3004,MATCH($A614,'Live History'!$D$5:$D$3004,1)),INDEX('AH History'!$E$1:$E$18046,AH!$P$7+609))),NA()),NA())</ns0:f>
        <ns0:v/>
      </ns0:c>
      <ns0:c r="G614">
        <ns0:f>IFERROR(IF(ISNUMBER($A614),IF(AND(AH!$P$10=1,AH!$P$12=1,$A614=TODAY()),IF(AND(AH!$P$10=1,AH!$P$12=1,$A614=TODAY()),TODAY(),NA()),IF(AH!$P$10=1,INDEX('Live History'!$G$5:$G$3004,MATCH($A614,'Live History'!$G$5:$G$3004,1)),INDEX('AH History'!$F$1:$F$18046,AH!$P$7+609))),NA()),NA())</ns0:f>
        <ns0:v/>
      </ns0:c>
      <ns0:c r="H614">
        <ns0:f>IFERROR(IF(AND(AH!$E$4="Bloomberg",AH!$P$10=1,ISNUMBER($A614),$A614&lt;=AH!$P$17),AH!$P$7-1+MATCH($A614,INDEX('AH History'!$A$1:$A$18046,AH!$P$7):INDEX('AH History'!$A$1:$A$18046,AH!$P$7+AH!$P$8-1),0),0),0)</ns0:f>
        <ns0:v/>
      </ns0:c>
      <ns0:c r="I614">
        <ns0:f>IF($H614=0,0,IFERROR(IF(AND(ABS($C614-INDEX('AH History'!$B$1:$B$18046,$H614))&lt;=MAX(0.005,ABS(INDEX('AH History'!$B$1:$B$18046,$H614))*0.00005),ABS($D614-INDEX('AH History'!$C$1:$C$18046,$H614))&lt;=MAX(0.005,ABS(INDEX('AH History'!$C$1:$C$18046,$H614))*0.00005),ABS($E614-INDEX('AH History'!$D$1:$D$18046,$H614))&lt;=0.00005,$F614=INDEX('AH History'!$E$1:$E$18046,$H614),$G614=INDEX('AH History'!$F$1:$F$18046,$H614)),1,-1),-1))</ns0:f>
        <ns0:v/>
      </ns0:c>
    </ns0:row>
    <ns0:row r="615">
      <ns0:c r="A615" s="215">
        <ns0:f>IF(OR(AH!$P$3=0,610+1&gt;AH!$P$11,AND(AH!$E$4&lt;&gt;"Stored",AH!$P$10&lt;&gt;1)),"",IFERROR(IF(AND(AH!$P$21=1,610+1=AH!$P$11),TODAY(),IF(AH!$P$10=1,INDEX('Live History'!$A$5:$A$3004,AH!$P$13+610),INDEX('AH History'!$A$1:$A$18046,AH!$P$7+610))),""))</ns0:f>
        <ns0:v/>
      </ns0:c>
      <ns0:c r="B615" s="219">
        <ns0:f>IFERROR(IF(AND(AH!$P$9&lt;&gt;1,$C615&gt;0,$D615&gt;0,$E615&gt;0,$F615&gt;0,$G615&gt;0,$F615&lt;=$A615,$G615&lt;=$A615,$A615-$F615&lt;=10,$A615-$G615&lt;=5),$D615*$E615/$C615-1,NA()),NA())</ns0:f>
        <ns0:v/>
      </ns0:c>
      <ns0:c r="C615">
        <ns0:f>IFERROR(IF(ISNUMBER($A615),IF(AND(AH!$P$10=1,AH!$P$12=1,$A615=TODAY()),AH!$P$19,IF(AH!$P$10=1,INDEX('Live History'!$B$5:$B$3004,AH!$P$13+610),INDEX('AH History'!$B$1:$B$18046,AH!$P$7+610))),NA()),NA())</ns0:f>
        <ns0:v/>
      </ns0:c>
      <ns0:c r="D615">
        <ns0:f>IFERROR(IF(ISNUMBER($A615),IF(AND(AH!$P$10=1,AH!$P$12=1,$A615=TODAY()),AH!$P$18,IF(AH!$P$10=1,INDEX('Live History'!$E$5:$E$3004,MATCH($A615,'Live History'!$D$5:$D$3004,1)),INDEX('AH History'!$C$1:$C$18046,AH!$P$7+610))),NA()),NA())</ns0:f>
        <ns0:v/>
      </ns0:c>
      <ns0:c r="E615">
        <ns0:f>IFERROR(IF(ISNUMBER($A615),IF(AND(AH!$P$10=1,AH!$P$12=1,$A615=TODAY()),AH!$P$20,IF(AH!$P$10=1,INDEX('Live History'!$H$5:$H$3004,MATCH($A615,'Live History'!$G$5:$G$3004,1)),INDEX('AH History'!$D$1:$D$18046,AH!$P$7+610))),NA()),NA())</ns0:f>
        <ns0:v/>
      </ns0:c>
      <ns0:c r="F615">
        <ns0:f>IFERROR(IF(ISNUMBER($A615),IF(AND(AH!$P$10=1,AH!$P$12=1,$A615=TODAY()),IF(AND(AH!$P$10=1,AH!$P$12=1,$A615=TODAY()),TODAY(),NA()),IF(AH!$P$10=1,INDEX('Live History'!$D$5:$D$3004,MATCH($A615,'Live History'!$D$5:$D$3004,1)),INDEX('AH History'!$E$1:$E$18046,AH!$P$7+610))),NA()),NA())</ns0:f>
        <ns0:v/>
      </ns0:c>
      <ns0:c r="G615">
        <ns0:f>IFERROR(IF(ISNUMBER($A615),IF(AND(AH!$P$10=1,AH!$P$12=1,$A615=TODAY()),IF(AND(AH!$P$10=1,AH!$P$12=1,$A615=TODAY()),TODAY(),NA()),IF(AH!$P$10=1,INDEX('Live History'!$G$5:$G$3004,MATCH($A615,'Live History'!$G$5:$G$3004,1)),INDEX('AH History'!$F$1:$F$18046,AH!$P$7+610))),NA()),NA())</ns0:f>
        <ns0:v/>
      </ns0:c>
      <ns0:c r="H615">
        <ns0:f>IFERROR(IF(AND(AH!$E$4="Bloomberg",AH!$P$10=1,ISNUMBER($A615),$A615&lt;=AH!$P$17),AH!$P$7-1+MATCH($A615,INDEX('AH History'!$A$1:$A$18046,AH!$P$7):INDEX('AH History'!$A$1:$A$18046,AH!$P$7+AH!$P$8-1),0),0),0)</ns0:f>
        <ns0:v/>
      </ns0:c>
      <ns0:c r="I615">
        <ns0:f>IF($H615=0,0,IFERROR(IF(AND(ABS($C615-INDEX('AH History'!$B$1:$B$18046,$H615))&lt;=MAX(0.005,ABS(INDEX('AH History'!$B$1:$B$18046,$H615))*0.00005),ABS($D615-INDEX('AH History'!$C$1:$C$18046,$H615))&lt;=MAX(0.005,ABS(INDEX('AH History'!$C$1:$C$18046,$H615))*0.00005),ABS($E615-INDEX('AH History'!$D$1:$D$18046,$H615))&lt;=0.00005,$F615=INDEX('AH History'!$E$1:$E$18046,$H615),$G615=INDEX('AH History'!$F$1:$F$18046,$H615)),1,-1),-1))</ns0:f>
        <ns0:v/>
      </ns0:c>
    </ns0:row>
    <ns0:row r="616">
      <ns0:c r="A616" s="215">
        <ns0:f>IF(OR(AH!$P$3=0,611+1&gt;AH!$P$11,AND(AH!$E$4&lt;&gt;"Stored",AH!$P$10&lt;&gt;1)),"",IFERROR(IF(AND(AH!$P$21=1,611+1=AH!$P$11),TODAY(),IF(AH!$P$10=1,INDEX('Live History'!$A$5:$A$3004,AH!$P$13+611),INDEX('AH History'!$A$1:$A$18046,AH!$P$7+611))),""))</ns0:f>
        <ns0:v/>
      </ns0:c>
      <ns0:c r="B616" s="219">
        <ns0:f>IFERROR(IF(AND(AH!$P$9&lt;&gt;1,$C616&gt;0,$D616&gt;0,$E616&gt;0,$F616&gt;0,$G616&gt;0,$F616&lt;=$A616,$G616&lt;=$A616,$A616-$F616&lt;=10,$A616-$G616&lt;=5),$D616*$E616/$C616-1,NA()),NA())</ns0:f>
        <ns0:v/>
      </ns0:c>
      <ns0:c r="C616">
        <ns0:f>IFERROR(IF(ISNUMBER($A616),IF(AND(AH!$P$10=1,AH!$P$12=1,$A616=TODAY()),AH!$P$19,IF(AH!$P$10=1,INDEX('Live History'!$B$5:$B$3004,AH!$P$13+611),INDEX('AH History'!$B$1:$B$18046,AH!$P$7+611))),NA()),NA())</ns0:f>
        <ns0:v/>
      </ns0:c>
      <ns0:c r="D616">
        <ns0:f>IFERROR(IF(ISNUMBER($A616),IF(AND(AH!$P$10=1,AH!$P$12=1,$A616=TODAY()),AH!$P$18,IF(AH!$P$10=1,INDEX('Live History'!$E$5:$E$3004,MATCH($A616,'Live History'!$D$5:$D$3004,1)),INDEX('AH History'!$C$1:$C$18046,AH!$P$7+611))),NA()),NA())</ns0:f>
        <ns0:v/>
      </ns0:c>
      <ns0:c r="E616">
        <ns0:f>IFERROR(IF(ISNUMBER($A616),IF(AND(AH!$P$10=1,AH!$P$12=1,$A616=TODAY()),AH!$P$20,IF(AH!$P$10=1,INDEX('Live History'!$H$5:$H$3004,MATCH($A616,'Live History'!$G$5:$G$3004,1)),INDEX('AH History'!$D$1:$D$18046,AH!$P$7+611))),NA()),NA())</ns0:f>
        <ns0:v/>
      </ns0:c>
      <ns0:c r="F616">
        <ns0:f>IFERROR(IF(ISNUMBER($A616),IF(AND(AH!$P$10=1,AH!$P$12=1,$A616=TODAY()),IF(AND(AH!$P$10=1,AH!$P$12=1,$A616=TODAY()),TODAY(),NA()),IF(AH!$P$10=1,INDEX('Live History'!$D$5:$D$3004,MATCH($A616,'Live History'!$D$5:$D$3004,1)),INDEX('AH History'!$E$1:$E$18046,AH!$P$7+611))),NA()),NA())</ns0:f>
        <ns0:v/>
      </ns0:c>
      <ns0:c r="G616">
        <ns0:f>IFERROR(IF(ISNUMBER($A616),IF(AND(AH!$P$10=1,AH!$P$12=1,$A616=TODAY()),IF(AND(AH!$P$10=1,AH!$P$12=1,$A616=TODAY()),TODAY(),NA()),IF(AH!$P$10=1,INDEX('Live History'!$G$5:$G$3004,MATCH($A616,'Live History'!$G$5:$G$3004,1)),INDEX('AH History'!$F$1:$F$18046,AH!$P$7+611))),NA()),NA())</ns0:f>
        <ns0:v/>
      </ns0:c>
      <ns0:c r="H616">
        <ns0:f>IFERROR(IF(AND(AH!$E$4="Bloomberg",AH!$P$10=1,ISNUMBER($A616),$A616&lt;=AH!$P$17),AH!$P$7-1+MATCH($A616,INDEX('AH History'!$A$1:$A$18046,AH!$P$7):INDEX('AH History'!$A$1:$A$18046,AH!$P$7+AH!$P$8-1),0),0),0)</ns0:f>
        <ns0:v/>
      </ns0:c>
      <ns0:c r="I616">
        <ns0:f>IF($H616=0,0,IFERROR(IF(AND(ABS($C616-INDEX('AH History'!$B$1:$B$18046,$H616))&lt;=MAX(0.005,ABS(INDEX('AH History'!$B$1:$B$18046,$H616))*0.00005),ABS($D616-INDEX('AH History'!$C$1:$C$18046,$H616))&lt;=MAX(0.005,ABS(INDEX('AH History'!$C$1:$C$18046,$H616))*0.00005),ABS($E616-INDEX('AH History'!$D$1:$D$18046,$H616))&lt;=0.00005,$F616=INDEX('AH History'!$E$1:$E$18046,$H616),$G616=INDEX('AH History'!$F$1:$F$18046,$H616)),1,-1),-1))</ns0:f>
        <ns0:v/>
      </ns0:c>
    </ns0:row>
    <ns0:row r="617">
      <ns0:c r="A617" s="215">
        <ns0:f>IF(OR(AH!$P$3=0,612+1&gt;AH!$P$11,AND(AH!$E$4&lt;&gt;"Stored",AH!$P$10&lt;&gt;1)),"",IFERROR(IF(AND(AH!$P$21=1,612+1=AH!$P$11),TODAY(),IF(AH!$P$10=1,INDEX('Live History'!$A$5:$A$3004,AH!$P$13+612),INDEX('AH History'!$A$1:$A$18046,AH!$P$7+612))),""))</ns0:f>
        <ns0:v/>
      </ns0:c>
      <ns0:c r="B617" s="219">
        <ns0:f>IFERROR(IF(AND(AH!$P$9&lt;&gt;1,$C617&gt;0,$D617&gt;0,$E617&gt;0,$F617&gt;0,$G617&gt;0,$F617&lt;=$A617,$G617&lt;=$A617,$A617-$F617&lt;=10,$A617-$G617&lt;=5),$D617*$E617/$C617-1,NA()),NA())</ns0:f>
        <ns0:v/>
      </ns0:c>
      <ns0:c r="C617">
        <ns0:f>IFERROR(IF(ISNUMBER($A617),IF(AND(AH!$P$10=1,AH!$P$12=1,$A617=TODAY()),AH!$P$19,IF(AH!$P$10=1,INDEX('Live History'!$B$5:$B$3004,AH!$P$13+612),INDEX('AH History'!$B$1:$B$18046,AH!$P$7+612))),NA()),NA())</ns0:f>
        <ns0:v/>
      </ns0:c>
      <ns0:c r="D617">
        <ns0:f>IFERROR(IF(ISNUMBER($A617),IF(AND(AH!$P$10=1,AH!$P$12=1,$A617=TODAY()),AH!$P$18,IF(AH!$P$10=1,INDEX('Live History'!$E$5:$E$3004,MATCH($A617,'Live History'!$D$5:$D$3004,1)),INDEX('AH History'!$C$1:$C$18046,AH!$P$7+612))),NA()),NA())</ns0:f>
        <ns0:v/>
      </ns0:c>
      <ns0:c r="E617">
        <ns0:f>IFERROR(IF(ISNUMBER($A617),IF(AND(AH!$P$10=1,AH!$P$12=1,$A617=TODAY()),AH!$P$20,IF(AH!$P$10=1,INDEX('Live History'!$H$5:$H$3004,MATCH($A617,'Live History'!$G$5:$G$3004,1)),INDEX('AH History'!$D$1:$D$18046,AH!$P$7+612))),NA()),NA())</ns0:f>
        <ns0:v/>
      </ns0:c>
      <ns0:c r="F617">
        <ns0:f>IFERROR(IF(ISNUMBER($A617),IF(AND(AH!$P$10=1,AH!$P$12=1,$A617=TODAY()),IF(AND(AH!$P$10=1,AH!$P$12=1,$A617=TODAY()),TODAY(),NA()),IF(AH!$P$10=1,INDEX('Live History'!$D$5:$D$3004,MATCH($A617,'Live History'!$D$5:$D$3004,1)),INDEX('AH History'!$E$1:$E$18046,AH!$P$7+612))),NA()),NA())</ns0:f>
        <ns0:v/>
      </ns0:c>
      <ns0:c r="G617">
        <ns0:f>IFERROR(IF(ISNUMBER($A617),IF(AND(AH!$P$10=1,AH!$P$12=1,$A617=TODAY()),IF(AND(AH!$P$10=1,AH!$P$12=1,$A617=TODAY()),TODAY(),NA()),IF(AH!$P$10=1,INDEX('Live History'!$G$5:$G$3004,MATCH($A617,'Live History'!$G$5:$G$3004,1)),INDEX('AH History'!$F$1:$F$18046,AH!$P$7+612))),NA()),NA())</ns0:f>
        <ns0:v/>
      </ns0:c>
      <ns0:c r="H617">
        <ns0:f>IFERROR(IF(AND(AH!$E$4="Bloomberg",AH!$P$10=1,ISNUMBER($A617),$A617&lt;=AH!$P$17),AH!$P$7-1+MATCH($A617,INDEX('AH History'!$A$1:$A$18046,AH!$P$7):INDEX('AH History'!$A$1:$A$18046,AH!$P$7+AH!$P$8-1),0),0),0)</ns0:f>
        <ns0:v/>
      </ns0:c>
      <ns0:c r="I617">
        <ns0:f>IF($H617=0,0,IFERROR(IF(AND(ABS($C617-INDEX('AH History'!$B$1:$B$18046,$H617))&lt;=MAX(0.005,ABS(INDEX('AH History'!$B$1:$B$18046,$H617))*0.00005),ABS($D617-INDEX('AH History'!$C$1:$C$18046,$H617))&lt;=MAX(0.005,ABS(INDEX('AH History'!$C$1:$C$18046,$H617))*0.00005),ABS($E617-INDEX('AH History'!$D$1:$D$18046,$H617))&lt;=0.00005,$F617=INDEX('AH History'!$E$1:$E$18046,$H617),$G617=INDEX('AH History'!$F$1:$F$18046,$H617)),1,-1),-1))</ns0:f>
        <ns0:v/>
      </ns0:c>
    </ns0:row>
    <ns0:row r="618">
      <ns0:c r="A618" s="215">
        <ns0:f>IF(OR(AH!$P$3=0,613+1&gt;AH!$P$11,AND(AH!$E$4&lt;&gt;"Stored",AH!$P$10&lt;&gt;1)),"",IFERROR(IF(AND(AH!$P$21=1,613+1=AH!$P$11),TODAY(),IF(AH!$P$10=1,INDEX('Live History'!$A$5:$A$3004,AH!$P$13+613),INDEX('AH History'!$A$1:$A$18046,AH!$P$7+613))),""))</ns0:f>
        <ns0:v/>
      </ns0:c>
      <ns0:c r="B618" s="219">
        <ns0:f>IFERROR(IF(AND(AH!$P$9&lt;&gt;1,$C618&gt;0,$D618&gt;0,$E618&gt;0,$F618&gt;0,$G618&gt;0,$F618&lt;=$A618,$G618&lt;=$A618,$A618-$F618&lt;=10,$A618-$G618&lt;=5),$D618*$E618/$C618-1,NA()),NA())</ns0:f>
        <ns0:v/>
      </ns0:c>
      <ns0:c r="C618">
        <ns0:f>IFERROR(IF(ISNUMBER($A618),IF(AND(AH!$P$10=1,AH!$P$12=1,$A618=TODAY()),AH!$P$19,IF(AH!$P$10=1,INDEX('Live History'!$B$5:$B$3004,AH!$P$13+613),INDEX('AH History'!$B$1:$B$18046,AH!$P$7+613))),NA()),NA())</ns0:f>
        <ns0:v/>
      </ns0:c>
      <ns0:c r="D618">
        <ns0:f>IFERROR(IF(ISNUMBER($A618),IF(AND(AH!$P$10=1,AH!$P$12=1,$A618=TODAY()),AH!$P$18,IF(AH!$P$10=1,INDEX('Live History'!$E$5:$E$3004,MATCH($A618,'Live History'!$D$5:$D$3004,1)),INDEX('AH History'!$C$1:$C$18046,AH!$P$7+613))),NA()),NA())</ns0:f>
        <ns0:v/>
      </ns0:c>
      <ns0:c r="E618">
        <ns0:f>IFERROR(IF(ISNUMBER($A618),IF(AND(AH!$P$10=1,AH!$P$12=1,$A618=TODAY()),AH!$P$20,IF(AH!$P$10=1,INDEX('Live History'!$H$5:$H$3004,MATCH($A618,'Live History'!$G$5:$G$3004,1)),INDEX('AH History'!$D$1:$D$18046,AH!$P$7+613))),NA()),NA())</ns0:f>
        <ns0:v/>
      </ns0:c>
      <ns0:c r="F618">
        <ns0:f>IFERROR(IF(ISNUMBER($A618),IF(AND(AH!$P$10=1,AH!$P$12=1,$A618=TODAY()),IF(AND(AH!$P$10=1,AH!$P$12=1,$A618=TODAY()),TODAY(),NA()),IF(AH!$P$10=1,INDEX('Live History'!$D$5:$D$3004,MATCH($A618,'Live History'!$D$5:$D$3004,1)),INDEX('AH History'!$E$1:$E$18046,AH!$P$7+613))),NA()),NA())</ns0:f>
        <ns0:v/>
      </ns0:c>
      <ns0:c r="G618">
        <ns0:f>IFERROR(IF(ISNUMBER($A618),IF(AND(AH!$P$10=1,AH!$P$12=1,$A618=TODAY()),IF(AND(AH!$P$10=1,AH!$P$12=1,$A618=TODAY()),TODAY(),NA()),IF(AH!$P$10=1,INDEX('Live History'!$G$5:$G$3004,MATCH($A618,'Live History'!$G$5:$G$3004,1)),INDEX('AH History'!$F$1:$F$18046,AH!$P$7+613))),NA()),NA())</ns0:f>
        <ns0:v/>
      </ns0:c>
      <ns0:c r="H618">
        <ns0:f>IFERROR(IF(AND(AH!$E$4="Bloomberg",AH!$P$10=1,ISNUMBER($A618),$A618&lt;=AH!$P$17),AH!$P$7-1+MATCH($A618,INDEX('AH History'!$A$1:$A$18046,AH!$P$7):INDEX('AH History'!$A$1:$A$18046,AH!$P$7+AH!$P$8-1),0),0),0)</ns0:f>
        <ns0:v/>
      </ns0:c>
      <ns0:c r="I618">
        <ns0:f>IF($H618=0,0,IFERROR(IF(AND(ABS($C618-INDEX('AH History'!$B$1:$B$18046,$H618))&lt;=MAX(0.005,ABS(INDEX('AH History'!$B$1:$B$18046,$H618))*0.00005),ABS($D618-INDEX('AH History'!$C$1:$C$18046,$H618))&lt;=MAX(0.005,ABS(INDEX('AH History'!$C$1:$C$18046,$H618))*0.00005),ABS($E618-INDEX('AH History'!$D$1:$D$18046,$H618))&lt;=0.00005,$F618=INDEX('AH History'!$E$1:$E$18046,$H618),$G618=INDEX('AH History'!$F$1:$F$18046,$H618)),1,-1),-1))</ns0:f>
        <ns0:v/>
      </ns0:c>
    </ns0:row>
    <ns0:row r="619">
      <ns0:c r="A619" s="215">
        <ns0:f>IF(OR(AH!$P$3=0,614+1&gt;AH!$P$11,AND(AH!$E$4&lt;&gt;"Stored",AH!$P$10&lt;&gt;1)),"",IFERROR(IF(AND(AH!$P$21=1,614+1=AH!$P$11),TODAY(),IF(AH!$P$10=1,INDEX('Live History'!$A$5:$A$3004,AH!$P$13+614),INDEX('AH History'!$A$1:$A$18046,AH!$P$7+614))),""))</ns0:f>
        <ns0:v/>
      </ns0:c>
      <ns0:c r="B619" s="219">
        <ns0:f>IFERROR(IF(AND(AH!$P$9&lt;&gt;1,$C619&gt;0,$D619&gt;0,$E619&gt;0,$F619&gt;0,$G619&gt;0,$F619&lt;=$A619,$G619&lt;=$A619,$A619-$F619&lt;=10,$A619-$G619&lt;=5),$D619*$E619/$C619-1,NA()),NA())</ns0:f>
        <ns0:v/>
      </ns0:c>
      <ns0:c r="C619">
        <ns0:f>IFERROR(IF(ISNUMBER($A619),IF(AND(AH!$P$10=1,AH!$P$12=1,$A619=TODAY()),AH!$P$19,IF(AH!$P$10=1,INDEX('Live History'!$B$5:$B$3004,AH!$P$13+614),INDEX('AH History'!$B$1:$B$18046,AH!$P$7+614))),NA()),NA())</ns0:f>
        <ns0:v/>
      </ns0:c>
      <ns0:c r="D619">
        <ns0:f>IFERROR(IF(ISNUMBER($A619),IF(AND(AH!$P$10=1,AH!$P$12=1,$A619=TODAY()),AH!$P$18,IF(AH!$P$10=1,INDEX('Live History'!$E$5:$E$3004,MATCH($A619,'Live History'!$D$5:$D$3004,1)),INDEX('AH History'!$C$1:$C$18046,AH!$P$7+614))),NA()),NA())</ns0:f>
        <ns0:v/>
      </ns0:c>
      <ns0:c r="E619">
        <ns0:f>IFERROR(IF(ISNUMBER($A619),IF(AND(AH!$P$10=1,AH!$P$12=1,$A619=TODAY()),AH!$P$20,IF(AH!$P$10=1,INDEX('Live History'!$H$5:$H$3004,MATCH($A619,'Live History'!$G$5:$G$3004,1)),INDEX('AH History'!$D$1:$D$18046,AH!$P$7+614))),NA()),NA())</ns0:f>
        <ns0:v/>
      </ns0:c>
      <ns0:c r="F619">
        <ns0:f>IFERROR(IF(ISNUMBER($A619),IF(AND(AH!$P$10=1,AH!$P$12=1,$A619=TODAY()),IF(AND(AH!$P$10=1,AH!$P$12=1,$A619=TODAY()),TODAY(),NA()),IF(AH!$P$10=1,INDEX('Live History'!$D$5:$D$3004,MATCH($A619,'Live History'!$D$5:$D$3004,1)),INDEX('AH History'!$E$1:$E$18046,AH!$P$7+614))),NA()),NA())</ns0:f>
        <ns0:v/>
      </ns0:c>
      <ns0:c r="G619">
        <ns0:f>IFERROR(IF(ISNUMBER($A619),IF(AND(AH!$P$10=1,AH!$P$12=1,$A619=TODAY()),IF(AND(AH!$P$10=1,AH!$P$12=1,$A619=TODAY()),TODAY(),NA()),IF(AH!$P$10=1,INDEX('Live History'!$G$5:$G$3004,MATCH($A619,'Live History'!$G$5:$G$3004,1)),INDEX('AH History'!$F$1:$F$18046,AH!$P$7+614))),NA()),NA())</ns0:f>
        <ns0:v/>
      </ns0:c>
      <ns0:c r="H619">
        <ns0:f>IFERROR(IF(AND(AH!$E$4="Bloomberg",AH!$P$10=1,ISNUMBER($A619),$A619&lt;=AH!$P$17),AH!$P$7-1+MATCH($A619,INDEX('AH History'!$A$1:$A$18046,AH!$P$7):INDEX('AH History'!$A$1:$A$18046,AH!$P$7+AH!$P$8-1),0),0),0)</ns0:f>
        <ns0:v/>
      </ns0:c>
      <ns0:c r="I619">
        <ns0:f>IF($H619=0,0,IFERROR(IF(AND(ABS($C619-INDEX('AH History'!$B$1:$B$18046,$H619))&lt;=MAX(0.005,ABS(INDEX('AH History'!$B$1:$B$18046,$H619))*0.00005),ABS($D619-INDEX('AH History'!$C$1:$C$18046,$H619))&lt;=MAX(0.005,ABS(INDEX('AH History'!$C$1:$C$18046,$H619))*0.00005),ABS($E619-INDEX('AH History'!$D$1:$D$18046,$H619))&lt;=0.00005,$F619=INDEX('AH History'!$E$1:$E$18046,$H619),$G619=INDEX('AH History'!$F$1:$F$18046,$H619)),1,-1),-1))</ns0:f>
        <ns0:v/>
      </ns0:c>
    </ns0:row>
    <ns0:row r="620">
      <ns0:c r="A620" s="215">
        <ns0:f>IF(OR(AH!$P$3=0,615+1&gt;AH!$P$11,AND(AH!$E$4&lt;&gt;"Stored",AH!$P$10&lt;&gt;1)),"",IFERROR(IF(AND(AH!$P$21=1,615+1=AH!$P$11),TODAY(),IF(AH!$P$10=1,INDEX('Live History'!$A$5:$A$3004,AH!$P$13+615),INDEX('AH History'!$A$1:$A$18046,AH!$P$7+615))),""))</ns0:f>
        <ns0:v/>
      </ns0:c>
      <ns0:c r="B620" s="219">
        <ns0:f>IFERROR(IF(AND(AH!$P$9&lt;&gt;1,$C620&gt;0,$D620&gt;0,$E620&gt;0,$F620&gt;0,$G620&gt;0,$F620&lt;=$A620,$G620&lt;=$A620,$A620-$F620&lt;=10,$A620-$G620&lt;=5),$D620*$E620/$C620-1,NA()),NA())</ns0:f>
        <ns0:v/>
      </ns0:c>
      <ns0:c r="C620">
        <ns0:f>IFERROR(IF(ISNUMBER($A620),IF(AND(AH!$P$10=1,AH!$P$12=1,$A620=TODAY()),AH!$P$19,IF(AH!$P$10=1,INDEX('Live History'!$B$5:$B$3004,AH!$P$13+615),INDEX('AH History'!$B$1:$B$18046,AH!$P$7+615))),NA()),NA())</ns0:f>
        <ns0:v/>
      </ns0:c>
      <ns0:c r="D620">
        <ns0:f>IFERROR(IF(ISNUMBER($A620),IF(AND(AH!$P$10=1,AH!$P$12=1,$A620=TODAY()),AH!$P$18,IF(AH!$P$10=1,INDEX('Live History'!$E$5:$E$3004,MATCH($A620,'Live History'!$D$5:$D$3004,1)),INDEX('AH History'!$C$1:$C$18046,AH!$P$7+615))),NA()),NA())</ns0:f>
        <ns0:v/>
      </ns0:c>
      <ns0:c r="E620">
        <ns0:f>IFERROR(IF(ISNUMBER($A620),IF(AND(AH!$P$10=1,AH!$P$12=1,$A620=TODAY()),AH!$P$20,IF(AH!$P$10=1,INDEX('Live History'!$H$5:$H$3004,MATCH($A620,'Live History'!$G$5:$G$3004,1)),INDEX('AH History'!$D$1:$D$18046,AH!$P$7+615))),NA()),NA())</ns0:f>
        <ns0:v/>
      </ns0:c>
      <ns0:c r="F620">
        <ns0:f>IFERROR(IF(ISNUMBER($A620),IF(AND(AH!$P$10=1,AH!$P$12=1,$A620=TODAY()),IF(AND(AH!$P$10=1,AH!$P$12=1,$A620=TODAY()),TODAY(),NA()),IF(AH!$P$10=1,INDEX('Live History'!$D$5:$D$3004,MATCH($A620,'Live History'!$D$5:$D$3004,1)),INDEX('AH History'!$E$1:$E$18046,AH!$P$7+615))),NA()),NA())</ns0:f>
        <ns0:v/>
      </ns0:c>
      <ns0:c r="G620">
        <ns0:f>IFERROR(IF(ISNUMBER($A620),IF(AND(AH!$P$10=1,AH!$P$12=1,$A620=TODAY()),IF(AND(AH!$P$10=1,AH!$P$12=1,$A620=TODAY()),TODAY(),NA()),IF(AH!$P$10=1,INDEX('Live History'!$G$5:$G$3004,MATCH($A620,'Live History'!$G$5:$G$3004,1)),INDEX('AH History'!$F$1:$F$18046,AH!$P$7+615))),NA()),NA())</ns0:f>
        <ns0:v/>
      </ns0:c>
      <ns0:c r="H620">
        <ns0:f>IFERROR(IF(AND(AH!$E$4="Bloomberg",AH!$P$10=1,ISNUMBER($A620),$A620&lt;=AH!$P$17),AH!$P$7-1+MATCH($A620,INDEX('AH History'!$A$1:$A$18046,AH!$P$7):INDEX('AH History'!$A$1:$A$18046,AH!$P$7+AH!$P$8-1),0),0),0)</ns0:f>
        <ns0:v/>
      </ns0:c>
      <ns0:c r="I620">
        <ns0:f>IF($H620=0,0,IFERROR(IF(AND(ABS($C620-INDEX('AH History'!$B$1:$B$18046,$H620))&lt;=MAX(0.005,ABS(INDEX('AH History'!$B$1:$B$18046,$H620))*0.00005),ABS($D620-INDEX('AH History'!$C$1:$C$18046,$H620))&lt;=MAX(0.005,ABS(INDEX('AH History'!$C$1:$C$18046,$H620))*0.00005),ABS($E620-INDEX('AH History'!$D$1:$D$18046,$H620))&lt;=0.00005,$F620=INDEX('AH History'!$E$1:$E$18046,$H620),$G620=INDEX('AH History'!$F$1:$F$18046,$H620)),1,-1),-1))</ns0:f>
        <ns0:v/>
      </ns0:c>
    </ns0:row>
    <ns0:row r="621">
      <ns0:c r="A621" s="215">
        <ns0:f>IF(OR(AH!$P$3=0,616+1&gt;AH!$P$11,AND(AH!$E$4&lt;&gt;"Stored",AH!$P$10&lt;&gt;1)),"",IFERROR(IF(AND(AH!$P$21=1,616+1=AH!$P$11),TODAY(),IF(AH!$P$10=1,INDEX('Live History'!$A$5:$A$3004,AH!$P$13+616),INDEX('AH History'!$A$1:$A$18046,AH!$P$7+616))),""))</ns0:f>
        <ns0:v/>
      </ns0:c>
      <ns0:c r="B621" s="219">
        <ns0:f>IFERROR(IF(AND(AH!$P$9&lt;&gt;1,$C621&gt;0,$D621&gt;0,$E621&gt;0,$F621&gt;0,$G621&gt;0,$F621&lt;=$A621,$G621&lt;=$A621,$A621-$F621&lt;=10,$A621-$G621&lt;=5),$D621*$E621/$C621-1,NA()),NA())</ns0:f>
        <ns0:v/>
      </ns0:c>
      <ns0:c r="C621">
        <ns0:f>IFERROR(IF(ISNUMBER($A621),IF(AND(AH!$P$10=1,AH!$P$12=1,$A621=TODAY()),AH!$P$19,IF(AH!$P$10=1,INDEX('Live History'!$B$5:$B$3004,AH!$P$13+616),INDEX('AH History'!$B$1:$B$18046,AH!$P$7+616))),NA()),NA())</ns0:f>
        <ns0:v/>
      </ns0:c>
      <ns0:c r="D621">
        <ns0:f>IFERROR(IF(ISNUMBER($A621),IF(AND(AH!$P$10=1,AH!$P$12=1,$A621=TODAY()),AH!$P$18,IF(AH!$P$10=1,INDEX('Live History'!$E$5:$E$3004,MATCH($A621,'Live History'!$D$5:$D$3004,1)),INDEX('AH History'!$C$1:$C$18046,AH!$P$7+616))),NA()),NA())</ns0:f>
        <ns0:v/>
      </ns0:c>
      <ns0:c r="E621">
        <ns0:f>IFERROR(IF(ISNUMBER($A621),IF(AND(AH!$P$10=1,AH!$P$12=1,$A621=TODAY()),AH!$P$20,IF(AH!$P$10=1,INDEX('Live History'!$H$5:$H$3004,MATCH($A621,'Live History'!$G$5:$G$3004,1)),INDEX('AH History'!$D$1:$D$18046,AH!$P$7+616))),NA()),NA())</ns0:f>
        <ns0:v/>
      </ns0:c>
      <ns0:c r="F621">
        <ns0:f>IFERROR(IF(ISNUMBER($A621),IF(AND(AH!$P$10=1,AH!$P$12=1,$A621=TODAY()),IF(AND(AH!$P$10=1,AH!$P$12=1,$A621=TODAY()),TODAY(),NA()),IF(AH!$P$10=1,INDEX('Live History'!$D$5:$D$3004,MATCH($A621,'Live History'!$D$5:$D$3004,1)),INDEX('AH History'!$E$1:$E$18046,AH!$P$7+616))),NA()),NA())</ns0:f>
        <ns0:v/>
      </ns0:c>
      <ns0:c r="G621">
        <ns0:f>IFERROR(IF(ISNUMBER($A621),IF(AND(AH!$P$10=1,AH!$P$12=1,$A621=TODAY()),IF(AND(AH!$P$10=1,AH!$P$12=1,$A621=TODAY()),TODAY(),NA()),IF(AH!$P$10=1,INDEX('Live History'!$G$5:$G$3004,MATCH($A621,'Live History'!$G$5:$G$3004,1)),INDEX('AH History'!$F$1:$F$18046,AH!$P$7+616))),NA()),NA())</ns0:f>
        <ns0:v/>
      </ns0:c>
      <ns0:c r="H621">
        <ns0:f>IFERROR(IF(AND(AH!$E$4="Bloomberg",AH!$P$10=1,ISNUMBER($A621),$A621&lt;=AH!$P$17),AH!$P$7-1+MATCH($A621,INDEX('AH History'!$A$1:$A$18046,AH!$P$7):INDEX('AH History'!$A$1:$A$18046,AH!$P$7+AH!$P$8-1),0),0),0)</ns0:f>
        <ns0:v/>
      </ns0:c>
      <ns0:c r="I621">
        <ns0:f>IF($H621=0,0,IFERROR(IF(AND(ABS($C621-INDEX('AH History'!$B$1:$B$18046,$H621))&lt;=MAX(0.005,ABS(INDEX('AH History'!$B$1:$B$18046,$H621))*0.00005),ABS($D621-INDEX('AH History'!$C$1:$C$18046,$H621))&lt;=MAX(0.005,ABS(INDEX('AH History'!$C$1:$C$18046,$H621))*0.00005),ABS($E621-INDEX('AH History'!$D$1:$D$18046,$H621))&lt;=0.00005,$F621=INDEX('AH History'!$E$1:$E$18046,$H621),$G621=INDEX('AH History'!$F$1:$F$18046,$H621)),1,-1),-1))</ns0:f>
        <ns0:v/>
      </ns0:c>
    </ns0:row>
    <ns0:row r="622">
      <ns0:c r="A622" s="215">
        <ns0:f>IF(OR(AH!$P$3=0,617+1&gt;AH!$P$11,AND(AH!$E$4&lt;&gt;"Stored",AH!$P$10&lt;&gt;1)),"",IFERROR(IF(AND(AH!$P$21=1,617+1=AH!$P$11),TODAY(),IF(AH!$P$10=1,INDEX('Live History'!$A$5:$A$3004,AH!$P$13+617),INDEX('AH History'!$A$1:$A$18046,AH!$P$7+617))),""))</ns0:f>
        <ns0:v/>
      </ns0:c>
      <ns0:c r="B622" s="219">
        <ns0:f>IFERROR(IF(AND(AH!$P$9&lt;&gt;1,$C622&gt;0,$D622&gt;0,$E622&gt;0,$F622&gt;0,$G622&gt;0,$F622&lt;=$A622,$G622&lt;=$A622,$A622-$F622&lt;=10,$A622-$G622&lt;=5),$D622*$E622/$C622-1,NA()),NA())</ns0:f>
        <ns0:v/>
      </ns0:c>
      <ns0:c r="C622">
        <ns0:f>IFERROR(IF(ISNUMBER($A622),IF(AND(AH!$P$10=1,AH!$P$12=1,$A622=TODAY()),AH!$P$19,IF(AH!$P$10=1,INDEX('Live History'!$B$5:$B$3004,AH!$P$13+617),INDEX('AH History'!$B$1:$B$18046,AH!$P$7+617))),NA()),NA())</ns0:f>
        <ns0:v/>
      </ns0:c>
      <ns0:c r="D622">
        <ns0:f>IFERROR(IF(ISNUMBER($A622),IF(AND(AH!$P$10=1,AH!$P$12=1,$A622=TODAY()),AH!$P$18,IF(AH!$P$10=1,INDEX('Live History'!$E$5:$E$3004,MATCH($A622,'Live History'!$D$5:$D$3004,1)),INDEX('AH History'!$C$1:$C$18046,AH!$P$7+617))),NA()),NA())</ns0:f>
        <ns0:v/>
      </ns0:c>
      <ns0:c r="E622">
        <ns0:f>IFERROR(IF(ISNUMBER($A622),IF(AND(AH!$P$10=1,AH!$P$12=1,$A622=TODAY()),AH!$P$20,IF(AH!$P$10=1,INDEX('Live History'!$H$5:$H$3004,MATCH($A622,'Live History'!$G$5:$G$3004,1)),INDEX('AH History'!$D$1:$D$18046,AH!$P$7+617))),NA()),NA())</ns0:f>
        <ns0:v/>
      </ns0:c>
      <ns0:c r="F622">
        <ns0:f>IFERROR(IF(ISNUMBER($A622),IF(AND(AH!$P$10=1,AH!$P$12=1,$A622=TODAY()),IF(AND(AH!$P$10=1,AH!$P$12=1,$A622=TODAY()),TODAY(),NA()),IF(AH!$P$10=1,INDEX('Live History'!$D$5:$D$3004,MATCH($A622,'Live History'!$D$5:$D$3004,1)),INDEX('AH History'!$E$1:$E$18046,AH!$P$7+617))),NA()),NA())</ns0:f>
        <ns0:v/>
      </ns0:c>
      <ns0:c r="G622">
        <ns0:f>IFERROR(IF(ISNUMBER($A622),IF(AND(AH!$P$10=1,AH!$P$12=1,$A622=TODAY()),IF(AND(AH!$P$10=1,AH!$P$12=1,$A622=TODAY()),TODAY(),NA()),IF(AH!$P$10=1,INDEX('Live History'!$G$5:$G$3004,MATCH($A622,'Live History'!$G$5:$G$3004,1)),INDEX('AH History'!$F$1:$F$18046,AH!$P$7+617))),NA()),NA())</ns0:f>
        <ns0:v/>
      </ns0:c>
      <ns0:c r="H622">
        <ns0:f>IFERROR(IF(AND(AH!$E$4="Bloomberg",AH!$P$10=1,ISNUMBER($A622),$A622&lt;=AH!$P$17),AH!$P$7-1+MATCH($A622,INDEX('AH History'!$A$1:$A$18046,AH!$P$7):INDEX('AH History'!$A$1:$A$18046,AH!$P$7+AH!$P$8-1),0),0),0)</ns0:f>
        <ns0:v/>
      </ns0:c>
      <ns0:c r="I622">
        <ns0:f>IF($H622=0,0,IFERROR(IF(AND(ABS($C622-INDEX('AH History'!$B$1:$B$18046,$H622))&lt;=MAX(0.005,ABS(INDEX('AH History'!$B$1:$B$18046,$H622))*0.00005),ABS($D622-INDEX('AH History'!$C$1:$C$18046,$H622))&lt;=MAX(0.005,ABS(INDEX('AH History'!$C$1:$C$18046,$H622))*0.00005),ABS($E622-INDEX('AH History'!$D$1:$D$18046,$H622))&lt;=0.00005,$F622=INDEX('AH History'!$E$1:$E$18046,$H622),$G622=INDEX('AH History'!$F$1:$F$18046,$H622)),1,-1),-1))</ns0:f>
        <ns0:v/>
      </ns0:c>
    </ns0:row>
    <ns0:row r="623">
      <ns0:c r="A623" s="215">
        <ns0:f>IF(OR(AH!$P$3=0,618+1&gt;AH!$P$11,AND(AH!$E$4&lt;&gt;"Stored",AH!$P$10&lt;&gt;1)),"",IFERROR(IF(AND(AH!$P$21=1,618+1=AH!$P$11),TODAY(),IF(AH!$P$10=1,INDEX('Live History'!$A$5:$A$3004,AH!$P$13+618),INDEX('AH History'!$A$1:$A$18046,AH!$P$7+618))),""))</ns0:f>
        <ns0:v/>
      </ns0:c>
      <ns0:c r="B623" s="219">
        <ns0:f>IFERROR(IF(AND(AH!$P$9&lt;&gt;1,$C623&gt;0,$D623&gt;0,$E623&gt;0,$F623&gt;0,$G623&gt;0,$F623&lt;=$A623,$G623&lt;=$A623,$A623-$F623&lt;=10,$A623-$G623&lt;=5),$D623*$E623/$C623-1,NA()),NA())</ns0:f>
        <ns0:v/>
      </ns0:c>
      <ns0:c r="C623">
        <ns0:f>IFERROR(IF(ISNUMBER($A623),IF(AND(AH!$P$10=1,AH!$P$12=1,$A623=TODAY()),AH!$P$19,IF(AH!$P$10=1,INDEX('Live History'!$B$5:$B$3004,AH!$P$13+618),INDEX('AH History'!$B$1:$B$18046,AH!$P$7+618))),NA()),NA())</ns0:f>
        <ns0:v/>
      </ns0:c>
      <ns0:c r="D623">
        <ns0:f>IFERROR(IF(ISNUMBER($A623),IF(AND(AH!$P$10=1,AH!$P$12=1,$A623=TODAY()),AH!$P$18,IF(AH!$P$10=1,INDEX('Live History'!$E$5:$E$3004,MATCH($A623,'Live History'!$D$5:$D$3004,1)),INDEX('AH History'!$C$1:$C$18046,AH!$P$7+618))),NA()),NA())</ns0:f>
        <ns0:v/>
      </ns0:c>
      <ns0:c r="E623">
        <ns0:f>IFERROR(IF(ISNUMBER($A623),IF(AND(AH!$P$10=1,AH!$P$12=1,$A623=TODAY()),AH!$P$20,IF(AH!$P$10=1,INDEX('Live History'!$H$5:$H$3004,MATCH($A623,'Live History'!$G$5:$G$3004,1)),INDEX('AH History'!$D$1:$D$18046,AH!$P$7+618))),NA()),NA())</ns0:f>
        <ns0:v/>
      </ns0:c>
      <ns0:c r="F623">
        <ns0:f>IFERROR(IF(ISNUMBER($A623),IF(AND(AH!$P$10=1,AH!$P$12=1,$A623=TODAY()),IF(AND(AH!$P$10=1,AH!$P$12=1,$A623=TODAY()),TODAY(),NA()),IF(AH!$P$10=1,INDEX('Live History'!$D$5:$D$3004,MATCH($A623,'Live History'!$D$5:$D$3004,1)),INDEX('AH History'!$E$1:$E$18046,AH!$P$7+618))),NA()),NA())</ns0:f>
        <ns0:v/>
      </ns0:c>
      <ns0:c r="G623">
        <ns0:f>IFERROR(IF(ISNUMBER($A623),IF(AND(AH!$P$10=1,AH!$P$12=1,$A623=TODAY()),IF(AND(AH!$P$10=1,AH!$P$12=1,$A623=TODAY()),TODAY(),NA()),IF(AH!$P$10=1,INDEX('Live History'!$G$5:$G$3004,MATCH($A623,'Live History'!$G$5:$G$3004,1)),INDEX('AH History'!$F$1:$F$18046,AH!$P$7+618))),NA()),NA())</ns0:f>
        <ns0:v/>
      </ns0:c>
      <ns0:c r="H623">
        <ns0:f>IFERROR(IF(AND(AH!$E$4="Bloomberg",AH!$P$10=1,ISNUMBER($A623),$A623&lt;=AH!$P$17),AH!$P$7-1+MATCH($A623,INDEX('AH History'!$A$1:$A$18046,AH!$P$7):INDEX('AH History'!$A$1:$A$18046,AH!$P$7+AH!$P$8-1),0),0),0)</ns0:f>
        <ns0:v/>
      </ns0:c>
      <ns0:c r="I623">
        <ns0:f>IF($H623=0,0,IFERROR(IF(AND(ABS($C623-INDEX('AH History'!$B$1:$B$18046,$H623))&lt;=MAX(0.005,ABS(INDEX('AH History'!$B$1:$B$18046,$H623))*0.00005),ABS($D623-INDEX('AH History'!$C$1:$C$18046,$H623))&lt;=MAX(0.005,ABS(INDEX('AH History'!$C$1:$C$18046,$H623))*0.00005),ABS($E623-INDEX('AH History'!$D$1:$D$18046,$H623))&lt;=0.00005,$F623=INDEX('AH History'!$E$1:$E$18046,$H623),$G623=INDEX('AH History'!$F$1:$F$18046,$H623)),1,-1),-1))</ns0:f>
        <ns0:v/>
      </ns0:c>
    </ns0:row>
    <ns0:row r="624">
      <ns0:c r="A624" s="215">
        <ns0:f>IF(OR(AH!$P$3=0,619+1&gt;AH!$P$11,AND(AH!$E$4&lt;&gt;"Stored",AH!$P$10&lt;&gt;1)),"",IFERROR(IF(AND(AH!$P$21=1,619+1=AH!$P$11),TODAY(),IF(AH!$P$10=1,INDEX('Live History'!$A$5:$A$3004,AH!$P$13+619),INDEX('AH History'!$A$1:$A$18046,AH!$P$7+619))),""))</ns0:f>
        <ns0:v/>
      </ns0:c>
      <ns0:c r="B624" s="219">
        <ns0:f>IFERROR(IF(AND(AH!$P$9&lt;&gt;1,$C624&gt;0,$D624&gt;0,$E624&gt;0,$F624&gt;0,$G624&gt;0,$F624&lt;=$A624,$G624&lt;=$A624,$A624-$F624&lt;=10,$A624-$G624&lt;=5),$D624*$E624/$C624-1,NA()),NA())</ns0:f>
        <ns0:v/>
      </ns0:c>
      <ns0:c r="C624">
        <ns0:f>IFERROR(IF(ISNUMBER($A624),IF(AND(AH!$P$10=1,AH!$P$12=1,$A624=TODAY()),AH!$P$19,IF(AH!$P$10=1,INDEX('Live History'!$B$5:$B$3004,AH!$P$13+619),INDEX('AH History'!$B$1:$B$18046,AH!$P$7+619))),NA()),NA())</ns0:f>
        <ns0:v/>
      </ns0:c>
      <ns0:c r="D624">
        <ns0:f>IFERROR(IF(ISNUMBER($A624),IF(AND(AH!$P$10=1,AH!$P$12=1,$A624=TODAY()),AH!$P$18,IF(AH!$P$10=1,INDEX('Live History'!$E$5:$E$3004,MATCH($A624,'Live History'!$D$5:$D$3004,1)),INDEX('AH History'!$C$1:$C$18046,AH!$P$7+619))),NA()),NA())</ns0:f>
        <ns0:v/>
      </ns0:c>
      <ns0:c r="E624">
        <ns0:f>IFERROR(IF(ISNUMBER($A624),IF(AND(AH!$P$10=1,AH!$P$12=1,$A624=TODAY()),AH!$P$20,IF(AH!$P$10=1,INDEX('Live History'!$H$5:$H$3004,MATCH($A624,'Live History'!$G$5:$G$3004,1)),INDEX('AH History'!$D$1:$D$18046,AH!$P$7+619))),NA()),NA())</ns0:f>
        <ns0:v/>
      </ns0:c>
      <ns0:c r="F624">
        <ns0:f>IFERROR(IF(ISNUMBER($A624),IF(AND(AH!$P$10=1,AH!$P$12=1,$A624=TODAY()),IF(AND(AH!$P$10=1,AH!$P$12=1,$A624=TODAY()),TODAY(),NA()),IF(AH!$P$10=1,INDEX('Live History'!$D$5:$D$3004,MATCH($A624,'Live History'!$D$5:$D$3004,1)),INDEX('AH History'!$E$1:$E$18046,AH!$P$7+619))),NA()),NA())</ns0:f>
        <ns0:v/>
      </ns0:c>
      <ns0:c r="G624">
        <ns0:f>IFERROR(IF(ISNUMBER($A624),IF(AND(AH!$P$10=1,AH!$P$12=1,$A624=TODAY()),IF(AND(AH!$P$10=1,AH!$P$12=1,$A624=TODAY()),TODAY(),NA()),IF(AH!$P$10=1,INDEX('Live History'!$G$5:$G$3004,MATCH($A624,'Live History'!$G$5:$G$3004,1)),INDEX('AH History'!$F$1:$F$18046,AH!$P$7+619))),NA()),NA())</ns0:f>
        <ns0:v/>
      </ns0:c>
      <ns0:c r="H624">
        <ns0:f>IFERROR(IF(AND(AH!$E$4="Bloomberg",AH!$P$10=1,ISNUMBER($A624),$A624&lt;=AH!$P$17),AH!$P$7-1+MATCH($A624,INDEX('AH History'!$A$1:$A$18046,AH!$P$7):INDEX('AH History'!$A$1:$A$18046,AH!$P$7+AH!$P$8-1),0),0),0)</ns0:f>
        <ns0:v/>
      </ns0:c>
      <ns0:c r="I624">
        <ns0:f>IF($H624=0,0,IFERROR(IF(AND(ABS($C624-INDEX('AH History'!$B$1:$B$18046,$H624))&lt;=MAX(0.005,ABS(INDEX('AH History'!$B$1:$B$18046,$H624))*0.00005),ABS($D624-INDEX('AH History'!$C$1:$C$18046,$H624))&lt;=MAX(0.005,ABS(INDEX('AH History'!$C$1:$C$18046,$H624))*0.00005),ABS($E624-INDEX('AH History'!$D$1:$D$18046,$H624))&lt;=0.00005,$F624=INDEX('AH History'!$E$1:$E$18046,$H624),$G624=INDEX('AH History'!$F$1:$F$18046,$H624)),1,-1),-1))</ns0:f>
        <ns0:v/>
      </ns0:c>
    </ns0:row>
    <ns0:row r="625">
      <ns0:c r="A625" s="215">
        <ns0:f>IF(OR(AH!$P$3=0,620+1&gt;AH!$P$11,AND(AH!$E$4&lt;&gt;"Stored",AH!$P$10&lt;&gt;1)),"",IFERROR(IF(AND(AH!$P$21=1,620+1=AH!$P$11),TODAY(),IF(AH!$P$10=1,INDEX('Live History'!$A$5:$A$3004,AH!$P$13+620),INDEX('AH History'!$A$1:$A$18046,AH!$P$7+620))),""))</ns0:f>
        <ns0:v/>
      </ns0:c>
      <ns0:c r="B625" s="219">
        <ns0:f>IFERROR(IF(AND(AH!$P$9&lt;&gt;1,$C625&gt;0,$D625&gt;0,$E625&gt;0,$F625&gt;0,$G625&gt;0,$F625&lt;=$A625,$G625&lt;=$A625,$A625-$F625&lt;=10,$A625-$G625&lt;=5),$D625*$E625/$C625-1,NA()),NA())</ns0:f>
        <ns0:v/>
      </ns0:c>
      <ns0:c r="C625">
        <ns0:f>IFERROR(IF(ISNUMBER($A625),IF(AND(AH!$P$10=1,AH!$P$12=1,$A625=TODAY()),AH!$P$19,IF(AH!$P$10=1,INDEX('Live History'!$B$5:$B$3004,AH!$P$13+620),INDEX('AH History'!$B$1:$B$18046,AH!$P$7+620))),NA()),NA())</ns0:f>
        <ns0:v/>
      </ns0:c>
      <ns0:c r="D625">
        <ns0:f>IFERROR(IF(ISNUMBER($A625),IF(AND(AH!$P$10=1,AH!$P$12=1,$A625=TODAY()),AH!$P$18,IF(AH!$P$10=1,INDEX('Live History'!$E$5:$E$3004,MATCH($A625,'Live History'!$D$5:$D$3004,1)),INDEX('AH History'!$C$1:$C$18046,AH!$P$7+620))),NA()),NA())</ns0:f>
        <ns0:v/>
      </ns0:c>
      <ns0:c r="E625">
        <ns0:f>IFERROR(IF(ISNUMBER($A625),IF(AND(AH!$P$10=1,AH!$P$12=1,$A625=TODAY()),AH!$P$20,IF(AH!$P$10=1,INDEX('Live History'!$H$5:$H$3004,MATCH($A625,'Live History'!$G$5:$G$3004,1)),INDEX('AH History'!$D$1:$D$18046,AH!$P$7+620))),NA()),NA())</ns0:f>
        <ns0:v/>
      </ns0:c>
      <ns0:c r="F625">
        <ns0:f>IFERROR(IF(ISNUMBER($A625),IF(AND(AH!$P$10=1,AH!$P$12=1,$A625=TODAY()),IF(AND(AH!$P$10=1,AH!$P$12=1,$A625=TODAY()),TODAY(),NA()),IF(AH!$P$10=1,INDEX('Live History'!$D$5:$D$3004,MATCH($A625,'Live History'!$D$5:$D$3004,1)),INDEX('AH History'!$E$1:$E$18046,AH!$P$7+620))),NA()),NA())</ns0:f>
        <ns0:v/>
      </ns0:c>
      <ns0:c r="G625">
        <ns0:f>IFERROR(IF(ISNUMBER($A625),IF(AND(AH!$P$10=1,AH!$P$12=1,$A625=TODAY()),IF(AND(AH!$P$10=1,AH!$P$12=1,$A625=TODAY()),TODAY(),NA()),IF(AH!$P$10=1,INDEX('Live History'!$G$5:$G$3004,MATCH($A625,'Live History'!$G$5:$G$3004,1)),INDEX('AH History'!$F$1:$F$18046,AH!$P$7+620))),NA()),NA())</ns0:f>
        <ns0:v/>
      </ns0:c>
      <ns0:c r="H625">
        <ns0:f>IFERROR(IF(AND(AH!$E$4="Bloomberg",AH!$P$10=1,ISNUMBER($A625),$A625&lt;=AH!$P$17),AH!$P$7-1+MATCH($A625,INDEX('AH History'!$A$1:$A$18046,AH!$P$7):INDEX('AH History'!$A$1:$A$18046,AH!$P$7+AH!$P$8-1),0),0),0)</ns0:f>
        <ns0:v/>
      </ns0:c>
      <ns0:c r="I625">
        <ns0:f>IF($H625=0,0,IFERROR(IF(AND(ABS($C625-INDEX('AH History'!$B$1:$B$18046,$H625))&lt;=MAX(0.005,ABS(INDEX('AH History'!$B$1:$B$18046,$H625))*0.00005),ABS($D625-INDEX('AH History'!$C$1:$C$18046,$H625))&lt;=MAX(0.005,ABS(INDEX('AH History'!$C$1:$C$18046,$H625))*0.00005),ABS($E625-INDEX('AH History'!$D$1:$D$18046,$H625))&lt;=0.00005,$F625=INDEX('AH History'!$E$1:$E$18046,$H625),$G625=INDEX('AH History'!$F$1:$F$18046,$H625)),1,-1),-1))</ns0:f>
        <ns0:v/>
      </ns0:c>
    </ns0:row>
    <ns0:row r="626">
      <ns0:c r="A626" s="215">
        <ns0:f>IF(OR(AH!$P$3=0,621+1&gt;AH!$P$11,AND(AH!$E$4&lt;&gt;"Stored",AH!$P$10&lt;&gt;1)),"",IFERROR(IF(AND(AH!$P$21=1,621+1=AH!$P$11),TODAY(),IF(AH!$P$10=1,INDEX('Live History'!$A$5:$A$3004,AH!$P$13+621),INDEX('AH History'!$A$1:$A$18046,AH!$P$7+621))),""))</ns0:f>
        <ns0:v/>
      </ns0:c>
      <ns0:c r="B626" s="219">
        <ns0:f>IFERROR(IF(AND(AH!$P$9&lt;&gt;1,$C626&gt;0,$D626&gt;0,$E626&gt;0,$F626&gt;0,$G626&gt;0,$F626&lt;=$A626,$G626&lt;=$A626,$A626-$F626&lt;=10,$A626-$G626&lt;=5),$D626*$E626/$C626-1,NA()),NA())</ns0:f>
        <ns0:v/>
      </ns0:c>
      <ns0:c r="C626">
        <ns0:f>IFERROR(IF(ISNUMBER($A626),IF(AND(AH!$P$10=1,AH!$P$12=1,$A626=TODAY()),AH!$P$19,IF(AH!$P$10=1,INDEX('Live History'!$B$5:$B$3004,AH!$P$13+621),INDEX('AH History'!$B$1:$B$18046,AH!$P$7+621))),NA()),NA())</ns0:f>
        <ns0:v/>
      </ns0:c>
      <ns0:c r="D626">
        <ns0:f>IFERROR(IF(ISNUMBER($A626),IF(AND(AH!$P$10=1,AH!$P$12=1,$A626=TODAY()),AH!$P$18,IF(AH!$P$10=1,INDEX('Live History'!$E$5:$E$3004,MATCH($A626,'Live History'!$D$5:$D$3004,1)),INDEX('AH History'!$C$1:$C$18046,AH!$P$7+621))),NA()),NA())</ns0:f>
        <ns0:v/>
      </ns0:c>
      <ns0:c r="E626">
        <ns0:f>IFERROR(IF(ISNUMBER($A626),IF(AND(AH!$P$10=1,AH!$P$12=1,$A626=TODAY()),AH!$P$20,IF(AH!$P$10=1,INDEX('Live History'!$H$5:$H$3004,MATCH($A626,'Live History'!$G$5:$G$3004,1)),INDEX('AH History'!$D$1:$D$18046,AH!$P$7+621))),NA()),NA())</ns0:f>
        <ns0:v/>
      </ns0:c>
      <ns0:c r="F626">
        <ns0:f>IFERROR(IF(ISNUMBER($A626),IF(AND(AH!$P$10=1,AH!$P$12=1,$A626=TODAY()),IF(AND(AH!$P$10=1,AH!$P$12=1,$A626=TODAY()),TODAY(),NA()),IF(AH!$P$10=1,INDEX('Live History'!$D$5:$D$3004,MATCH($A626,'Live History'!$D$5:$D$3004,1)),INDEX('AH History'!$E$1:$E$18046,AH!$P$7+621))),NA()),NA())</ns0:f>
        <ns0:v/>
      </ns0:c>
      <ns0:c r="G626">
        <ns0:f>IFERROR(IF(ISNUMBER($A626),IF(AND(AH!$P$10=1,AH!$P$12=1,$A626=TODAY()),IF(AND(AH!$P$10=1,AH!$P$12=1,$A626=TODAY()),TODAY(),NA()),IF(AH!$P$10=1,INDEX('Live History'!$G$5:$G$3004,MATCH($A626,'Live History'!$G$5:$G$3004,1)),INDEX('AH History'!$F$1:$F$18046,AH!$P$7+621))),NA()),NA())</ns0:f>
        <ns0:v/>
      </ns0:c>
      <ns0:c r="H626">
        <ns0:f>IFERROR(IF(AND(AH!$E$4="Bloomberg",AH!$P$10=1,ISNUMBER($A626),$A626&lt;=AH!$P$17),AH!$P$7-1+MATCH($A626,INDEX('AH History'!$A$1:$A$18046,AH!$P$7):INDEX('AH History'!$A$1:$A$18046,AH!$P$7+AH!$P$8-1),0),0),0)</ns0:f>
        <ns0:v/>
      </ns0:c>
      <ns0:c r="I626">
        <ns0:f>IF($H626=0,0,IFERROR(IF(AND(ABS($C626-INDEX('AH History'!$B$1:$B$18046,$H626))&lt;=MAX(0.005,ABS(INDEX('AH History'!$B$1:$B$18046,$H626))*0.00005),ABS($D626-INDEX('AH History'!$C$1:$C$18046,$H626))&lt;=MAX(0.005,ABS(INDEX('AH History'!$C$1:$C$18046,$H626))*0.00005),ABS($E626-INDEX('AH History'!$D$1:$D$18046,$H626))&lt;=0.00005,$F626=INDEX('AH History'!$E$1:$E$18046,$H626),$G626=INDEX('AH History'!$F$1:$F$18046,$H626)),1,-1),-1))</ns0:f>
        <ns0:v/>
      </ns0:c>
    </ns0:row>
    <ns0:row r="627">
      <ns0:c r="A627" s="215">
        <ns0:f>IF(OR(AH!$P$3=0,622+1&gt;AH!$P$11,AND(AH!$E$4&lt;&gt;"Stored",AH!$P$10&lt;&gt;1)),"",IFERROR(IF(AND(AH!$P$21=1,622+1=AH!$P$11),TODAY(),IF(AH!$P$10=1,INDEX('Live History'!$A$5:$A$3004,AH!$P$13+622),INDEX('AH History'!$A$1:$A$18046,AH!$P$7+622))),""))</ns0:f>
        <ns0:v/>
      </ns0:c>
      <ns0:c r="B627" s="219">
        <ns0:f>IFERROR(IF(AND(AH!$P$9&lt;&gt;1,$C627&gt;0,$D627&gt;0,$E627&gt;0,$F627&gt;0,$G627&gt;0,$F627&lt;=$A627,$G627&lt;=$A627,$A627-$F627&lt;=10,$A627-$G627&lt;=5),$D627*$E627/$C627-1,NA()),NA())</ns0:f>
        <ns0:v/>
      </ns0:c>
      <ns0:c r="C627">
        <ns0:f>IFERROR(IF(ISNUMBER($A627),IF(AND(AH!$P$10=1,AH!$P$12=1,$A627=TODAY()),AH!$P$19,IF(AH!$P$10=1,INDEX('Live History'!$B$5:$B$3004,AH!$P$13+622),INDEX('AH History'!$B$1:$B$18046,AH!$P$7+622))),NA()),NA())</ns0:f>
        <ns0:v/>
      </ns0:c>
      <ns0:c r="D627">
        <ns0:f>IFERROR(IF(ISNUMBER($A627),IF(AND(AH!$P$10=1,AH!$P$12=1,$A627=TODAY()),AH!$P$18,IF(AH!$P$10=1,INDEX('Live History'!$E$5:$E$3004,MATCH($A627,'Live History'!$D$5:$D$3004,1)),INDEX('AH History'!$C$1:$C$18046,AH!$P$7+622))),NA()),NA())</ns0:f>
        <ns0:v/>
      </ns0:c>
      <ns0:c r="E627">
        <ns0:f>IFERROR(IF(ISNUMBER($A627),IF(AND(AH!$P$10=1,AH!$P$12=1,$A627=TODAY()),AH!$P$20,IF(AH!$P$10=1,INDEX('Live History'!$H$5:$H$3004,MATCH($A627,'Live History'!$G$5:$G$3004,1)),INDEX('AH History'!$D$1:$D$18046,AH!$P$7+622))),NA()),NA())</ns0:f>
        <ns0:v/>
      </ns0:c>
      <ns0:c r="F627">
        <ns0:f>IFERROR(IF(ISNUMBER($A627),IF(AND(AH!$P$10=1,AH!$P$12=1,$A627=TODAY()),IF(AND(AH!$P$10=1,AH!$P$12=1,$A627=TODAY()),TODAY(),NA()),IF(AH!$P$10=1,INDEX('Live History'!$D$5:$D$3004,MATCH($A627,'Live History'!$D$5:$D$3004,1)),INDEX('AH History'!$E$1:$E$18046,AH!$P$7+622))),NA()),NA())</ns0:f>
        <ns0:v/>
      </ns0:c>
      <ns0:c r="G627">
        <ns0:f>IFERROR(IF(ISNUMBER($A627),IF(AND(AH!$P$10=1,AH!$P$12=1,$A627=TODAY()),IF(AND(AH!$P$10=1,AH!$P$12=1,$A627=TODAY()),TODAY(),NA()),IF(AH!$P$10=1,INDEX('Live History'!$G$5:$G$3004,MATCH($A627,'Live History'!$G$5:$G$3004,1)),INDEX('AH History'!$F$1:$F$18046,AH!$P$7+622))),NA()),NA())</ns0:f>
        <ns0:v/>
      </ns0:c>
      <ns0:c r="H627">
        <ns0:f>IFERROR(IF(AND(AH!$E$4="Bloomberg",AH!$P$10=1,ISNUMBER($A627),$A627&lt;=AH!$P$17),AH!$P$7-1+MATCH($A627,INDEX('AH History'!$A$1:$A$18046,AH!$P$7):INDEX('AH History'!$A$1:$A$18046,AH!$P$7+AH!$P$8-1),0),0),0)</ns0:f>
        <ns0:v/>
      </ns0:c>
      <ns0:c r="I627">
        <ns0:f>IF($H627=0,0,IFERROR(IF(AND(ABS($C627-INDEX('AH History'!$B$1:$B$18046,$H627))&lt;=MAX(0.005,ABS(INDEX('AH History'!$B$1:$B$18046,$H627))*0.00005),ABS($D627-INDEX('AH History'!$C$1:$C$18046,$H627))&lt;=MAX(0.005,ABS(INDEX('AH History'!$C$1:$C$18046,$H627))*0.00005),ABS($E627-INDEX('AH History'!$D$1:$D$18046,$H627))&lt;=0.00005,$F627=INDEX('AH History'!$E$1:$E$18046,$H627),$G627=INDEX('AH History'!$F$1:$F$18046,$H627)),1,-1),-1))</ns0:f>
        <ns0:v/>
      </ns0:c>
    </ns0:row>
    <ns0:row r="628">
      <ns0:c r="A628" s="215">
        <ns0:f>IF(OR(AH!$P$3=0,623+1&gt;AH!$P$11,AND(AH!$E$4&lt;&gt;"Stored",AH!$P$10&lt;&gt;1)),"",IFERROR(IF(AND(AH!$P$21=1,623+1=AH!$P$11),TODAY(),IF(AH!$P$10=1,INDEX('Live History'!$A$5:$A$3004,AH!$P$13+623),INDEX('AH History'!$A$1:$A$18046,AH!$P$7+623))),""))</ns0:f>
        <ns0:v/>
      </ns0:c>
      <ns0:c r="B628" s="219">
        <ns0:f>IFERROR(IF(AND(AH!$P$9&lt;&gt;1,$C628&gt;0,$D628&gt;0,$E628&gt;0,$F628&gt;0,$G628&gt;0,$F628&lt;=$A628,$G628&lt;=$A628,$A628-$F628&lt;=10,$A628-$G628&lt;=5),$D628*$E628/$C628-1,NA()),NA())</ns0:f>
        <ns0:v/>
      </ns0:c>
      <ns0:c r="C628">
        <ns0:f>IFERROR(IF(ISNUMBER($A628),IF(AND(AH!$P$10=1,AH!$P$12=1,$A628=TODAY()),AH!$P$19,IF(AH!$P$10=1,INDEX('Live History'!$B$5:$B$3004,AH!$P$13+623),INDEX('AH History'!$B$1:$B$18046,AH!$P$7+623))),NA()),NA())</ns0:f>
        <ns0:v/>
      </ns0:c>
      <ns0:c r="D628">
        <ns0:f>IFERROR(IF(ISNUMBER($A628),IF(AND(AH!$P$10=1,AH!$P$12=1,$A628=TODAY()),AH!$P$18,IF(AH!$P$10=1,INDEX('Live History'!$E$5:$E$3004,MATCH($A628,'Live History'!$D$5:$D$3004,1)),INDEX('AH History'!$C$1:$C$18046,AH!$P$7+623))),NA()),NA())</ns0:f>
        <ns0:v/>
      </ns0:c>
      <ns0:c r="E628">
        <ns0:f>IFERROR(IF(ISNUMBER($A628),IF(AND(AH!$P$10=1,AH!$P$12=1,$A628=TODAY()),AH!$P$20,IF(AH!$P$10=1,INDEX('Live History'!$H$5:$H$3004,MATCH($A628,'Live History'!$G$5:$G$3004,1)),INDEX('AH History'!$D$1:$D$18046,AH!$P$7+623))),NA()),NA())</ns0:f>
        <ns0:v/>
      </ns0:c>
      <ns0:c r="F628">
        <ns0:f>IFERROR(IF(ISNUMBER($A628),IF(AND(AH!$P$10=1,AH!$P$12=1,$A628=TODAY()),IF(AND(AH!$P$10=1,AH!$P$12=1,$A628=TODAY()),TODAY(),NA()),IF(AH!$P$10=1,INDEX('Live History'!$D$5:$D$3004,MATCH($A628,'Live History'!$D$5:$D$3004,1)),INDEX('AH History'!$E$1:$E$18046,AH!$P$7+623))),NA()),NA())</ns0:f>
        <ns0:v/>
      </ns0:c>
      <ns0:c r="G628">
        <ns0:f>IFERROR(IF(ISNUMBER($A628),IF(AND(AH!$P$10=1,AH!$P$12=1,$A628=TODAY()),IF(AND(AH!$P$10=1,AH!$P$12=1,$A628=TODAY()),TODAY(),NA()),IF(AH!$P$10=1,INDEX('Live History'!$G$5:$G$3004,MATCH($A628,'Live History'!$G$5:$G$3004,1)),INDEX('AH History'!$F$1:$F$18046,AH!$P$7+623))),NA()),NA())</ns0:f>
        <ns0:v/>
      </ns0:c>
      <ns0:c r="H628">
        <ns0:f>IFERROR(IF(AND(AH!$E$4="Bloomberg",AH!$P$10=1,ISNUMBER($A628),$A628&lt;=AH!$P$17),AH!$P$7-1+MATCH($A628,INDEX('AH History'!$A$1:$A$18046,AH!$P$7):INDEX('AH History'!$A$1:$A$18046,AH!$P$7+AH!$P$8-1),0),0),0)</ns0:f>
        <ns0:v/>
      </ns0:c>
      <ns0:c r="I628">
        <ns0:f>IF($H628=0,0,IFERROR(IF(AND(ABS($C628-INDEX('AH History'!$B$1:$B$18046,$H628))&lt;=MAX(0.005,ABS(INDEX('AH History'!$B$1:$B$18046,$H628))*0.00005),ABS($D628-INDEX('AH History'!$C$1:$C$18046,$H628))&lt;=MAX(0.005,ABS(INDEX('AH History'!$C$1:$C$18046,$H628))*0.00005),ABS($E628-INDEX('AH History'!$D$1:$D$18046,$H628))&lt;=0.00005,$F628=INDEX('AH History'!$E$1:$E$18046,$H628),$G628=INDEX('AH History'!$F$1:$F$18046,$H628)),1,-1),-1))</ns0:f>
        <ns0:v/>
      </ns0:c>
    </ns0:row>
    <ns0:row r="629">
      <ns0:c r="A629" s="215">
        <ns0:f>IF(OR(AH!$P$3=0,624+1&gt;AH!$P$11,AND(AH!$E$4&lt;&gt;"Stored",AH!$P$10&lt;&gt;1)),"",IFERROR(IF(AND(AH!$P$21=1,624+1=AH!$P$11),TODAY(),IF(AH!$P$10=1,INDEX('Live History'!$A$5:$A$3004,AH!$P$13+624),INDEX('AH History'!$A$1:$A$18046,AH!$P$7+624))),""))</ns0:f>
        <ns0:v/>
      </ns0:c>
      <ns0:c r="B629" s="219">
        <ns0:f>IFERROR(IF(AND(AH!$P$9&lt;&gt;1,$C629&gt;0,$D629&gt;0,$E629&gt;0,$F629&gt;0,$G629&gt;0,$F629&lt;=$A629,$G629&lt;=$A629,$A629-$F629&lt;=10,$A629-$G629&lt;=5),$D629*$E629/$C629-1,NA()),NA())</ns0:f>
        <ns0:v/>
      </ns0:c>
      <ns0:c r="C629">
        <ns0:f>IFERROR(IF(ISNUMBER($A629),IF(AND(AH!$P$10=1,AH!$P$12=1,$A629=TODAY()),AH!$P$19,IF(AH!$P$10=1,INDEX('Live History'!$B$5:$B$3004,AH!$P$13+624),INDEX('AH History'!$B$1:$B$18046,AH!$P$7+624))),NA()),NA())</ns0:f>
        <ns0:v/>
      </ns0:c>
      <ns0:c r="D629">
        <ns0:f>IFERROR(IF(ISNUMBER($A629),IF(AND(AH!$P$10=1,AH!$P$12=1,$A629=TODAY()),AH!$P$18,IF(AH!$P$10=1,INDEX('Live History'!$E$5:$E$3004,MATCH($A629,'Live History'!$D$5:$D$3004,1)),INDEX('AH History'!$C$1:$C$18046,AH!$P$7+624))),NA()),NA())</ns0:f>
        <ns0:v/>
      </ns0:c>
      <ns0:c r="E629">
        <ns0:f>IFERROR(IF(ISNUMBER($A629),IF(AND(AH!$P$10=1,AH!$P$12=1,$A629=TODAY()),AH!$P$20,IF(AH!$P$10=1,INDEX('Live History'!$H$5:$H$3004,MATCH($A629,'Live History'!$G$5:$G$3004,1)),INDEX('AH History'!$D$1:$D$18046,AH!$P$7+624))),NA()),NA())</ns0:f>
        <ns0:v/>
      </ns0:c>
      <ns0:c r="F629">
        <ns0:f>IFERROR(IF(ISNUMBER($A629),IF(AND(AH!$P$10=1,AH!$P$12=1,$A629=TODAY()),IF(AND(AH!$P$10=1,AH!$P$12=1,$A629=TODAY()),TODAY(),NA()),IF(AH!$P$10=1,INDEX('Live History'!$D$5:$D$3004,MATCH($A629,'Live History'!$D$5:$D$3004,1)),INDEX('AH History'!$E$1:$E$18046,AH!$P$7+624))),NA()),NA())</ns0:f>
        <ns0:v/>
      </ns0:c>
      <ns0:c r="G629">
        <ns0:f>IFERROR(IF(ISNUMBER($A629),IF(AND(AH!$P$10=1,AH!$P$12=1,$A629=TODAY()),IF(AND(AH!$P$10=1,AH!$P$12=1,$A629=TODAY()),TODAY(),NA()),IF(AH!$P$10=1,INDEX('Live History'!$G$5:$G$3004,MATCH($A629,'Live History'!$G$5:$G$3004,1)),INDEX('AH History'!$F$1:$F$18046,AH!$P$7+624))),NA()),NA())</ns0:f>
        <ns0:v/>
      </ns0:c>
      <ns0:c r="H629">
        <ns0:f>IFERROR(IF(AND(AH!$E$4="Bloomberg",AH!$P$10=1,ISNUMBER($A629),$A629&lt;=AH!$P$17),AH!$P$7-1+MATCH($A629,INDEX('AH History'!$A$1:$A$18046,AH!$P$7):INDEX('AH History'!$A$1:$A$18046,AH!$P$7+AH!$P$8-1),0),0),0)</ns0:f>
        <ns0:v/>
      </ns0:c>
      <ns0:c r="I629">
        <ns0:f>IF($H629=0,0,IFERROR(IF(AND(ABS($C629-INDEX('AH History'!$B$1:$B$18046,$H629))&lt;=MAX(0.005,ABS(INDEX('AH History'!$B$1:$B$18046,$H629))*0.00005),ABS($D629-INDEX('AH History'!$C$1:$C$18046,$H629))&lt;=MAX(0.005,ABS(INDEX('AH History'!$C$1:$C$18046,$H629))*0.00005),ABS($E629-INDEX('AH History'!$D$1:$D$18046,$H629))&lt;=0.00005,$F629=INDEX('AH History'!$E$1:$E$18046,$H629),$G629=INDEX('AH History'!$F$1:$F$18046,$H629)),1,-1),-1))</ns0:f>
        <ns0:v/>
      </ns0:c>
    </ns0:row>
    <ns0:row r="630">
      <ns0:c r="A630" s="215">
        <ns0:f>IF(OR(AH!$P$3=0,625+1&gt;AH!$P$11,AND(AH!$E$4&lt;&gt;"Stored",AH!$P$10&lt;&gt;1)),"",IFERROR(IF(AND(AH!$P$21=1,625+1=AH!$P$11),TODAY(),IF(AH!$P$10=1,INDEX('Live History'!$A$5:$A$3004,AH!$P$13+625),INDEX('AH History'!$A$1:$A$18046,AH!$P$7+625))),""))</ns0:f>
        <ns0:v/>
      </ns0:c>
      <ns0:c r="B630" s="219">
        <ns0:f>IFERROR(IF(AND(AH!$P$9&lt;&gt;1,$C630&gt;0,$D630&gt;0,$E630&gt;0,$F630&gt;0,$G630&gt;0,$F630&lt;=$A630,$G630&lt;=$A630,$A630-$F630&lt;=10,$A630-$G630&lt;=5),$D630*$E630/$C630-1,NA()),NA())</ns0:f>
        <ns0:v/>
      </ns0:c>
      <ns0:c r="C630">
        <ns0:f>IFERROR(IF(ISNUMBER($A630),IF(AND(AH!$P$10=1,AH!$P$12=1,$A630=TODAY()),AH!$P$19,IF(AH!$P$10=1,INDEX('Live History'!$B$5:$B$3004,AH!$P$13+625),INDEX('AH History'!$B$1:$B$18046,AH!$P$7+625))),NA()),NA())</ns0:f>
        <ns0:v/>
      </ns0:c>
      <ns0:c r="D630">
        <ns0:f>IFERROR(IF(ISNUMBER($A630),IF(AND(AH!$P$10=1,AH!$P$12=1,$A630=TODAY()),AH!$P$18,IF(AH!$P$10=1,INDEX('Live History'!$E$5:$E$3004,MATCH($A630,'Live History'!$D$5:$D$3004,1)),INDEX('AH History'!$C$1:$C$18046,AH!$P$7+625))),NA()),NA())</ns0:f>
        <ns0:v/>
      </ns0:c>
      <ns0:c r="E630">
        <ns0:f>IFERROR(IF(ISNUMBER($A630),IF(AND(AH!$P$10=1,AH!$P$12=1,$A630=TODAY()),AH!$P$20,IF(AH!$P$10=1,INDEX('Live History'!$H$5:$H$3004,MATCH($A630,'Live History'!$G$5:$G$3004,1)),INDEX('AH History'!$D$1:$D$18046,AH!$P$7+625))),NA()),NA())</ns0:f>
        <ns0:v/>
      </ns0:c>
      <ns0:c r="F630">
        <ns0:f>IFERROR(IF(ISNUMBER($A630),IF(AND(AH!$P$10=1,AH!$P$12=1,$A630=TODAY()),IF(AND(AH!$P$10=1,AH!$P$12=1,$A630=TODAY()),TODAY(),NA()),IF(AH!$P$10=1,INDEX('Live History'!$D$5:$D$3004,MATCH($A630,'Live History'!$D$5:$D$3004,1)),INDEX('AH History'!$E$1:$E$18046,AH!$P$7+625))),NA()),NA())</ns0:f>
        <ns0:v/>
      </ns0:c>
      <ns0:c r="G630">
        <ns0:f>IFERROR(IF(ISNUMBER($A630),IF(AND(AH!$P$10=1,AH!$P$12=1,$A630=TODAY()),IF(AND(AH!$P$10=1,AH!$P$12=1,$A630=TODAY()),TODAY(),NA()),IF(AH!$P$10=1,INDEX('Live History'!$G$5:$G$3004,MATCH($A630,'Live History'!$G$5:$G$3004,1)),INDEX('AH History'!$F$1:$F$18046,AH!$P$7+625))),NA()),NA())</ns0:f>
        <ns0:v/>
      </ns0:c>
      <ns0:c r="H630">
        <ns0:f>IFERROR(IF(AND(AH!$E$4="Bloomberg",AH!$P$10=1,ISNUMBER($A630),$A630&lt;=AH!$P$17),AH!$P$7-1+MATCH($A630,INDEX('AH History'!$A$1:$A$18046,AH!$P$7):INDEX('AH History'!$A$1:$A$18046,AH!$P$7+AH!$P$8-1),0),0),0)</ns0:f>
        <ns0:v/>
      </ns0:c>
      <ns0:c r="I630">
        <ns0:f>IF($H630=0,0,IFERROR(IF(AND(ABS($C630-INDEX('AH History'!$B$1:$B$18046,$H630))&lt;=MAX(0.005,ABS(INDEX('AH History'!$B$1:$B$18046,$H630))*0.00005),ABS($D630-INDEX('AH History'!$C$1:$C$18046,$H630))&lt;=MAX(0.005,ABS(INDEX('AH History'!$C$1:$C$18046,$H630))*0.00005),ABS($E630-INDEX('AH History'!$D$1:$D$18046,$H630))&lt;=0.00005,$F630=INDEX('AH History'!$E$1:$E$18046,$H630),$G630=INDEX('AH History'!$F$1:$F$18046,$H630)),1,-1),-1))</ns0:f>
        <ns0:v/>
      </ns0:c>
    </ns0:row>
    <ns0:row r="631">
      <ns0:c r="A631" s="215">
        <ns0:f>IF(OR(AH!$P$3=0,626+1&gt;AH!$P$11,AND(AH!$E$4&lt;&gt;"Stored",AH!$P$10&lt;&gt;1)),"",IFERROR(IF(AND(AH!$P$21=1,626+1=AH!$P$11),TODAY(),IF(AH!$P$10=1,INDEX('Live History'!$A$5:$A$3004,AH!$P$13+626),INDEX('AH History'!$A$1:$A$18046,AH!$P$7+626))),""))</ns0:f>
        <ns0:v/>
      </ns0:c>
      <ns0:c r="B631" s="219">
        <ns0:f>IFERROR(IF(AND(AH!$P$9&lt;&gt;1,$C631&gt;0,$D631&gt;0,$E631&gt;0,$F631&gt;0,$G631&gt;0,$F631&lt;=$A631,$G631&lt;=$A631,$A631-$F631&lt;=10,$A631-$G631&lt;=5),$D631*$E631/$C631-1,NA()),NA())</ns0:f>
        <ns0:v/>
      </ns0:c>
      <ns0:c r="C631">
        <ns0:f>IFERROR(IF(ISNUMBER($A631),IF(AND(AH!$P$10=1,AH!$P$12=1,$A631=TODAY()),AH!$P$19,IF(AH!$P$10=1,INDEX('Live History'!$B$5:$B$3004,AH!$P$13+626),INDEX('AH History'!$B$1:$B$18046,AH!$P$7+626))),NA()),NA())</ns0:f>
        <ns0:v/>
      </ns0:c>
      <ns0:c r="D631">
        <ns0:f>IFERROR(IF(ISNUMBER($A631),IF(AND(AH!$P$10=1,AH!$P$12=1,$A631=TODAY()),AH!$P$18,IF(AH!$P$10=1,INDEX('Live History'!$E$5:$E$3004,MATCH($A631,'Live History'!$D$5:$D$3004,1)),INDEX('AH History'!$C$1:$C$18046,AH!$P$7+626))),NA()),NA())</ns0:f>
        <ns0:v/>
      </ns0:c>
      <ns0:c r="E631">
        <ns0:f>IFERROR(IF(ISNUMBER($A631),IF(AND(AH!$P$10=1,AH!$P$12=1,$A631=TODAY()),AH!$P$20,IF(AH!$P$10=1,INDEX('Live History'!$H$5:$H$3004,MATCH($A631,'Live History'!$G$5:$G$3004,1)),INDEX('AH History'!$D$1:$D$18046,AH!$P$7+626))),NA()),NA())</ns0:f>
        <ns0:v/>
      </ns0:c>
      <ns0:c r="F631">
        <ns0:f>IFERROR(IF(ISNUMBER($A631),IF(AND(AH!$P$10=1,AH!$P$12=1,$A631=TODAY()),IF(AND(AH!$P$10=1,AH!$P$12=1,$A631=TODAY()),TODAY(),NA()),IF(AH!$P$10=1,INDEX('Live History'!$D$5:$D$3004,MATCH($A631,'Live History'!$D$5:$D$3004,1)),INDEX('AH History'!$E$1:$E$18046,AH!$P$7+626))),NA()),NA())</ns0:f>
        <ns0:v/>
      </ns0:c>
      <ns0:c r="G631">
        <ns0:f>IFERROR(IF(ISNUMBER($A631),IF(AND(AH!$P$10=1,AH!$P$12=1,$A631=TODAY()),IF(AND(AH!$P$10=1,AH!$P$12=1,$A631=TODAY()),TODAY(),NA()),IF(AH!$P$10=1,INDEX('Live History'!$G$5:$G$3004,MATCH($A631,'Live History'!$G$5:$G$3004,1)),INDEX('AH History'!$F$1:$F$18046,AH!$P$7+626))),NA()),NA())</ns0:f>
        <ns0:v/>
      </ns0:c>
      <ns0:c r="H631">
        <ns0:f>IFERROR(IF(AND(AH!$E$4="Bloomberg",AH!$P$10=1,ISNUMBER($A631),$A631&lt;=AH!$P$17),AH!$P$7-1+MATCH($A631,INDEX('AH History'!$A$1:$A$18046,AH!$P$7):INDEX('AH History'!$A$1:$A$18046,AH!$P$7+AH!$P$8-1),0),0),0)</ns0:f>
        <ns0:v/>
      </ns0:c>
      <ns0:c r="I631">
        <ns0:f>IF($H631=0,0,IFERROR(IF(AND(ABS($C631-INDEX('AH History'!$B$1:$B$18046,$H631))&lt;=MAX(0.005,ABS(INDEX('AH History'!$B$1:$B$18046,$H631))*0.00005),ABS($D631-INDEX('AH History'!$C$1:$C$18046,$H631))&lt;=MAX(0.005,ABS(INDEX('AH History'!$C$1:$C$18046,$H631))*0.00005),ABS($E631-INDEX('AH History'!$D$1:$D$18046,$H631))&lt;=0.00005,$F631=INDEX('AH History'!$E$1:$E$18046,$H631),$G631=INDEX('AH History'!$F$1:$F$18046,$H631)),1,-1),-1))</ns0:f>
        <ns0:v/>
      </ns0:c>
    </ns0:row>
    <ns0:row r="632">
      <ns0:c r="A632" s="215">
        <ns0:f>IF(OR(AH!$P$3=0,627+1&gt;AH!$P$11,AND(AH!$E$4&lt;&gt;"Stored",AH!$P$10&lt;&gt;1)),"",IFERROR(IF(AND(AH!$P$21=1,627+1=AH!$P$11),TODAY(),IF(AH!$P$10=1,INDEX('Live History'!$A$5:$A$3004,AH!$P$13+627),INDEX('AH History'!$A$1:$A$18046,AH!$P$7+627))),""))</ns0:f>
        <ns0:v/>
      </ns0:c>
      <ns0:c r="B632" s="219">
        <ns0:f>IFERROR(IF(AND(AH!$P$9&lt;&gt;1,$C632&gt;0,$D632&gt;0,$E632&gt;0,$F632&gt;0,$G632&gt;0,$F632&lt;=$A632,$G632&lt;=$A632,$A632-$F632&lt;=10,$A632-$G632&lt;=5),$D632*$E632/$C632-1,NA()),NA())</ns0:f>
        <ns0:v/>
      </ns0:c>
      <ns0:c r="C632">
        <ns0:f>IFERROR(IF(ISNUMBER($A632),IF(AND(AH!$P$10=1,AH!$P$12=1,$A632=TODAY()),AH!$P$19,IF(AH!$P$10=1,INDEX('Live History'!$B$5:$B$3004,AH!$P$13+627),INDEX('AH History'!$B$1:$B$18046,AH!$P$7+627))),NA()),NA())</ns0:f>
        <ns0:v/>
      </ns0:c>
      <ns0:c r="D632">
        <ns0:f>IFERROR(IF(ISNUMBER($A632),IF(AND(AH!$P$10=1,AH!$P$12=1,$A632=TODAY()),AH!$P$18,IF(AH!$P$10=1,INDEX('Live History'!$E$5:$E$3004,MATCH($A632,'Live History'!$D$5:$D$3004,1)),INDEX('AH History'!$C$1:$C$18046,AH!$P$7+627))),NA()),NA())</ns0:f>
        <ns0:v/>
      </ns0:c>
      <ns0:c r="E632">
        <ns0:f>IFERROR(IF(ISNUMBER($A632),IF(AND(AH!$P$10=1,AH!$P$12=1,$A632=TODAY()),AH!$P$20,IF(AH!$P$10=1,INDEX('Live History'!$H$5:$H$3004,MATCH($A632,'Live History'!$G$5:$G$3004,1)),INDEX('AH History'!$D$1:$D$18046,AH!$P$7+627))),NA()),NA())</ns0:f>
        <ns0:v/>
      </ns0:c>
      <ns0:c r="F632">
        <ns0:f>IFERROR(IF(ISNUMBER($A632),IF(AND(AH!$P$10=1,AH!$P$12=1,$A632=TODAY()),IF(AND(AH!$P$10=1,AH!$P$12=1,$A632=TODAY()),TODAY(),NA()),IF(AH!$P$10=1,INDEX('Live History'!$D$5:$D$3004,MATCH($A632,'Live History'!$D$5:$D$3004,1)),INDEX('AH History'!$E$1:$E$18046,AH!$P$7+627))),NA()),NA())</ns0:f>
        <ns0:v/>
      </ns0:c>
      <ns0:c r="G632">
        <ns0:f>IFERROR(IF(ISNUMBER($A632),IF(AND(AH!$P$10=1,AH!$P$12=1,$A632=TODAY()),IF(AND(AH!$P$10=1,AH!$P$12=1,$A632=TODAY()),TODAY(),NA()),IF(AH!$P$10=1,INDEX('Live History'!$G$5:$G$3004,MATCH($A632,'Live History'!$G$5:$G$3004,1)),INDEX('AH History'!$F$1:$F$18046,AH!$P$7+627))),NA()),NA())</ns0:f>
        <ns0:v/>
      </ns0:c>
      <ns0:c r="H632">
        <ns0:f>IFERROR(IF(AND(AH!$E$4="Bloomberg",AH!$P$10=1,ISNUMBER($A632),$A632&lt;=AH!$P$17),AH!$P$7-1+MATCH($A632,INDEX('AH History'!$A$1:$A$18046,AH!$P$7):INDEX('AH History'!$A$1:$A$18046,AH!$P$7+AH!$P$8-1),0),0),0)</ns0:f>
        <ns0:v/>
      </ns0:c>
      <ns0:c r="I632">
        <ns0:f>IF($H632=0,0,IFERROR(IF(AND(ABS($C632-INDEX('AH History'!$B$1:$B$18046,$H632))&lt;=MAX(0.005,ABS(INDEX('AH History'!$B$1:$B$18046,$H632))*0.00005),ABS($D632-INDEX('AH History'!$C$1:$C$18046,$H632))&lt;=MAX(0.005,ABS(INDEX('AH History'!$C$1:$C$18046,$H632))*0.00005),ABS($E632-INDEX('AH History'!$D$1:$D$18046,$H632))&lt;=0.00005,$F632=INDEX('AH History'!$E$1:$E$18046,$H632),$G632=INDEX('AH History'!$F$1:$F$18046,$H632)),1,-1),-1))</ns0:f>
        <ns0:v/>
      </ns0:c>
    </ns0:row>
    <ns0:row r="633">
      <ns0:c r="A633" s="215">
        <ns0:f>IF(OR(AH!$P$3=0,628+1&gt;AH!$P$11,AND(AH!$E$4&lt;&gt;"Stored",AH!$P$10&lt;&gt;1)),"",IFERROR(IF(AND(AH!$P$21=1,628+1=AH!$P$11),TODAY(),IF(AH!$P$10=1,INDEX('Live History'!$A$5:$A$3004,AH!$P$13+628),INDEX('AH History'!$A$1:$A$18046,AH!$P$7+628))),""))</ns0:f>
        <ns0:v/>
      </ns0:c>
      <ns0:c r="B633" s="219">
        <ns0:f>IFERROR(IF(AND(AH!$P$9&lt;&gt;1,$C633&gt;0,$D633&gt;0,$E633&gt;0,$F633&gt;0,$G633&gt;0,$F633&lt;=$A633,$G633&lt;=$A633,$A633-$F633&lt;=10,$A633-$G633&lt;=5),$D633*$E633/$C633-1,NA()),NA())</ns0:f>
        <ns0:v/>
      </ns0:c>
      <ns0:c r="C633">
        <ns0:f>IFERROR(IF(ISNUMBER($A633),IF(AND(AH!$P$10=1,AH!$P$12=1,$A633=TODAY()),AH!$P$19,IF(AH!$P$10=1,INDEX('Live History'!$B$5:$B$3004,AH!$P$13+628),INDEX('AH History'!$B$1:$B$18046,AH!$P$7+628))),NA()),NA())</ns0:f>
        <ns0:v/>
      </ns0:c>
      <ns0:c r="D633">
        <ns0:f>IFERROR(IF(ISNUMBER($A633),IF(AND(AH!$P$10=1,AH!$P$12=1,$A633=TODAY()),AH!$P$18,IF(AH!$P$10=1,INDEX('Live History'!$E$5:$E$3004,MATCH($A633,'Live History'!$D$5:$D$3004,1)),INDEX('AH History'!$C$1:$C$18046,AH!$P$7+628))),NA()),NA())</ns0:f>
        <ns0:v/>
      </ns0:c>
      <ns0:c r="E633">
        <ns0:f>IFERROR(IF(ISNUMBER($A633),IF(AND(AH!$P$10=1,AH!$P$12=1,$A633=TODAY()),AH!$P$20,IF(AH!$P$10=1,INDEX('Live History'!$H$5:$H$3004,MATCH($A633,'Live History'!$G$5:$G$3004,1)),INDEX('AH History'!$D$1:$D$18046,AH!$P$7+628))),NA()),NA())</ns0:f>
        <ns0:v/>
      </ns0:c>
      <ns0:c r="F633">
        <ns0:f>IFERROR(IF(ISNUMBER($A633),IF(AND(AH!$P$10=1,AH!$P$12=1,$A633=TODAY()),IF(AND(AH!$P$10=1,AH!$P$12=1,$A633=TODAY()),TODAY(),NA()),IF(AH!$P$10=1,INDEX('Live History'!$D$5:$D$3004,MATCH($A633,'Live History'!$D$5:$D$3004,1)),INDEX('AH History'!$E$1:$E$18046,AH!$P$7+628))),NA()),NA())</ns0:f>
        <ns0:v/>
      </ns0:c>
      <ns0:c r="G633">
        <ns0:f>IFERROR(IF(ISNUMBER($A633),IF(AND(AH!$P$10=1,AH!$P$12=1,$A633=TODAY()),IF(AND(AH!$P$10=1,AH!$P$12=1,$A633=TODAY()),TODAY(),NA()),IF(AH!$P$10=1,INDEX('Live History'!$G$5:$G$3004,MATCH($A633,'Live History'!$G$5:$G$3004,1)),INDEX('AH History'!$F$1:$F$18046,AH!$P$7+628))),NA()),NA())</ns0:f>
        <ns0:v/>
      </ns0:c>
      <ns0:c r="H633">
        <ns0:f>IFERROR(IF(AND(AH!$E$4="Bloomberg",AH!$P$10=1,ISNUMBER($A633),$A633&lt;=AH!$P$17),AH!$P$7-1+MATCH($A633,INDEX('AH History'!$A$1:$A$18046,AH!$P$7):INDEX('AH History'!$A$1:$A$18046,AH!$P$7+AH!$P$8-1),0),0),0)</ns0:f>
        <ns0:v/>
      </ns0:c>
      <ns0:c r="I633">
        <ns0:f>IF($H633=0,0,IFERROR(IF(AND(ABS($C633-INDEX('AH History'!$B$1:$B$18046,$H633))&lt;=MAX(0.005,ABS(INDEX('AH History'!$B$1:$B$18046,$H633))*0.00005),ABS($D633-INDEX('AH History'!$C$1:$C$18046,$H633))&lt;=MAX(0.005,ABS(INDEX('AH History'!$C$1:$C$18046,$H633))*0.00005),ABS($E633-INDEX('AH History'!$D$1:$D$18046,$H633))&lt;=0.00005,$F633=INDEX('AH History'!$E$1:$E$18046,$H633),$G633=INDEX('AH History'!$F$1:$F$18046,$H633)),1,-1),-1))</ns0:f>
        <ns0:v/>
      </ns0:c>
    </ns0:row>
    <ns0:row r="634">
      <ns0:c r="A634" s="215">
        <ns0:f>IF(OR(AH!$P$3=0,629+1&gt;AH!$P$11,AND(AH!$E$4&lt;&gt;"Stored",AH!$P$10&lt;&gt;1)),"",IFERROR(IF(AND(AH!$P$21=1,629+1=AH!$P$11),TODAY(),IF(AH!$P$10=1,INDEX('Live History'!$A$5:$A$3004,AH!$P$13+629),INDEX('AH History'!$A$1:$A$18046,AH!$P$7+629))),""))</ns0:f>
        <ns0:v/>
      </ns0:c>
      <ns0:c r="B634" s="219">
        <ns0:f>IFERROR(IF(AND(AH!$P$9&lt;&gt;1,$C634&gt;0,$D634&gt;0,$E634&gt;0,$F634&gt;0,$G634&gt;0,$F634&lt;=$A634,$G634&lt;=$A634,$A634-$F634&lt;=10,$A634-$G634&lt;=5),$D634*$E634/$C634-1,NA()),NA())</ns0:f>
        <ns0:v/>
      </ns0:c>
      <ns0:c r="C634">
        <ns0:f>IFERROR(IF(ISNUMBER($A634),IF(AND(AH!$P$10=1,AH!$P$12=1,$A634=TODAY()),AH!$P$19,IF(AH!$P$10=1,INDEX('Live History'!$B$5:$B$3004,AH!$P$13+629),INDEX('AH History'!$B$1:$B$18046,AH!$P$7+629))),NA()),NA())</ns0:f>
        <ns0:v/>
      </ns0:c>
      <ns0:c r="D634">
        <ns0:f>IFERROR(IF(ISNUMBER($A634),IF(AND(AH!$P$10=1,AH!$P$12=1,$A634=TODAY()),AH!$P$18,IF(AH!$P$10=1,INDEX('Live History'!$E$5:$E$3004,MATCH($A634,'Live History'!$D$5:$D$3004,1)),INDEX('AH History'!$C$1:$C$18046,AH!$P$7+629))),NA()),NA())</ns0:f>
        <ns0:v/>
      </ns0:c>
      <ns0:c r="E634">
        <ns0:f>IFERROR(IF(ISNUMBER($A634),IF(AND(AH!$P$10=1,AH!$P$12=1,$A634=TODAY()),AH!$P$20,IF(AH!$P$10=1,INDEX('Live History'!$H$5:$H$3004,MATCH($A634,'Live History'!$G$5:$G$3004,1)),INDEX('AH History'!$D$1:$D$18046,AH!$P$7+629))),NA()),NA())</ns0:f>
        <ns0:v/>
      </ns0:c>
      <ns0:c r="F634">
        <ns0:f>IFERROR(IF(ISNUMBER($A634),IF(AND(AH!$P$10=1,AH!$P$12=1,$A634=TODAY()),IF(AND(AH!$P$10=1,AH!$P$12=1,$A634=TODAY()),TODAY(),NA()),IF(AH!$P$10=1,INDEX('Live History'!$D$5:$D$3004,MATCH($A634,'Live History'!$D$5:$D$3004,1)),INDEX('AH History'!$E$1:$E$18046,AH!$P$7+629))),NA()),NA())</ns0:f>
        <ns0:v/>
      </ns0:c>
      <ns0:c r="G634">
        <ns0:f>IFERROR(IF(ISNUMBER($A634),IF(AND(AH!$P$10=1,AH!$P$12=1,$A634=TODAY()),IF(AND(AH!$P$10=1,AH!$P$12=1,$A634=TODAY()),TODAY(),NA()),IF(AH!$P$10=1,INDEX('Live History'!$G$5:$G$3004,MATCH($A634,'Live History'!$G$5:$G$3004,1)),INDEX('AH History'!$F$1:$F$18046,AH!$P$7+629))),NA()),NA())</ns0:f>
        <ns0:v/>
      </ns0:c>
      <ns0:c r="H634">
        <ns0:f>IFERROR(IF(AND(AH!$E$4="Bloomberg",AH!$P$10=1,ISNUMBER($A634),$A634&lt;=AH!$P$17),AH!$P$7-1+MATCH($A634,INDEX('AH History'!$A$1:$A$18046,AH!$P$7):INDEX('AH History'!$A$1:$A$18046,AH!$P$7+AH!$P$8-1),0),0),0)</ns0:f>
        <ns0:v/>
      </ns0:c>
      <ns0:c r="I634">
        <ns0:f>IF($H634=0,0,IFERROR(IF(AND(ABS($C634-INDEX('AH History'!$B$1:$B$18046,$H634))&lt;=MAX(0.005,ABS(INDEX('AH History'!$B$1:$B$18046,$H634))*0.00005),ABS($D634-INDEX('AH History'!$C$1:$C$18046,$H634))&lt;=MAX(0.005,ABS(INDEX('AH History'!$C$1:$C$18046,$H634))*0.00005),ABS($E634-INDEX('AH History'!$D$1:$D$18046,$H634))&lt;=0.00005,$F634=INDEX('AH History'!$E$1:$E$18046,$H634),$G634=INDEX('AH History'!$F$1:$F$18046,$H634)),1,-1),-1))</ns0:f>
        <ns0:v/>
      </ns0:c>
    </ns0:row>
    <ns0:row r="635">
      <ns0:c r="A635" s="215">
        <ns0:f>IF(OR(AH!$P$3=0,630+1&gt;AH!$P$11,AND(AH!$E$4&lt;&gt;"Stored",AH!$P$10&lt;&gt;1)),"",IFERROR(IF(AND(AH!$P$21=1,630+1=AH!$P$11),TODAY(),IF(AH!$P$10=1,INDEX('Live History'!$A$5:$A$3004,AH!$P$13+630),INDEX('AH History'!$A$1:$A$18046,AH!$P$7+630))),""))</ns0:f>
        <ns0:v/>
      </ns0:c>
      <ns0:c r="B635" s="219">
        <ns0:f>IFERROR(IF(AND(AH!$P$9&lt;&gt;1,$C635&gt;0,$D635&gt;0,$E635&gt;0,$F635&gt;0,$G635&gt;0,$F635&lt;=$A635,$G635&lt;=$A635,$A635-$F635&lt;=10,$A635-$G635&lt;=5),$D635*$E635/$C635-1,NA()),NA())</ns0:f>
        <ns0:v/>
      </ns0:c>
      <ns0:c r="C635">
        <ns0:f>IFERROR(IF(ISNUMBER($A635),IF(AND(AH!$P$10=1,AH!$P$12=1,$A635=TODAY()),AH!$P$19,IF(AH!$P$10=1,INDEX('Live History'!$B$5:$B$3004,AH!$P$13+630),INDEX('AH History'!$B$1:$B$18046,AH!$P$7+630))),NA()),NA())</ns0:f>
        <ns0:v/>
      </ns0:c>
      <ns0:c r="D635">
        <ns0:f>IFERROR(IF(ISNUMBER($A635),IF(AND(AH!$P$10=1,AH!$P$12=1,$A635=TODAY()),AH!$P$18,IF(AH!$P$10=1,INDEX('Live History'!$E$5:$E$3004,MATCH($A635,'Live History'!$D$5:$D$3004,1)),INDEX('AH History'!$C$1:$C$18046,AH!$P$7+630))),NA()),NA())</ns0:f>
        <ns0:v/>
      </ns0:c>
      <ns0:c r="E635">
        <ns0:f>IFERROR(IF(ISNUMBER($A635),IF(AND(AH!$P$10=1,AH!$P$12=1,$A635=TODAY()),AH!$P$20,IF(AH!$P$10=1,INDEX('Live History'!$H$5:$H$3004,MATCH($A635,'Live History'!$G$5:$G$3004,1)),INDEX('AH History'!$D$1:$D$18046,AH!$P$7+630))),NA()),NA())</ns0:f>
        <ns0:v/>
      </ns0:c>
      <ns0:c r="F635">
        <ns0:f>IFERROR(IF(ISNUMBER($A635),IF(AND(AH!$P$10=1,AH!$P$12=1,$A635=TODAY()),IF(AND(AH!$P$10=1,AH!$P$12=1,$A635=TODAY()),TODAY(),NA()),IF(AH!$P$10=1,INDEX('Live History'!$D$5:$D$3004,MATCH($A635,'Live History'!$D$5:$D$3004,1)),INDEX('AH History'!$E$1:$E$18046,AH!$P$7+630))),NA()),NA())</ns0:f>
        <ns0:v/>
      </ns0:c>
      <ns0:c r="G635">
        <ns0:f>IFERROR(IF(ISNUMBER($A635),IF(AND(AH!$P$10=1,AH!$P$12=1,$A635=TODAY()),IF(AND(AH!$P$10=1,AH!$P$12=1,$A635=TODAY()),TODAY(),NA()),IF(AH!$P$10=1,INDEX('Live History'!$G$5:$G$3004,MATCH($A635,'Live History'!$G$5:$G$3004,1)),INDEX('AH History'!$F$1:$F$18046,AH!$P$7+630))),NA()),NA())</ns0:f>
        <ns0:v/>
      </ns0:c>
      <ns0:c r="H635">
        <ns0:f>IFERROR(IF(AND(AH!$E$4="Bloomberg",AH!$P$10=1,ISNUMBER($A635),$A635&lt;=AH!$P$17),AH!$P$7-1+MATCH($A635,INDEX('AH History'!$A$1:$A$18046,AH!$P$7):INDEX('AH History'!$A$1:$A$18046,AH!$P$7+AH!$P$8-1),0),0),0)</ns0:f>
        <ns0:v/>
      </ns0:c>
      <ns0:c r="I635">
        <ns0:f>IF($H635=0,0,IFERROR(IF(AND(ABS($C635-INDEX('AH History'!$B$1:$B$18046,$H635))&lt;=MAX(0.005,ABS(INDEX('AH History'!$B$1:$B$18046,$H635))*0.00005),ABS($D635-INDEX('AH History'!$C$1:$C$18046,$H635))&lt;=MAX(0.005,ABS(INDEX('AH History'!$C$1:$C$18046,$H635))*0.00005),ABS($E635-INDEX('AH History'!$D$1:$D$18046,$H635))&lt;=0.00005,$F635=INDEX('AH History'!$E$1:$E$18046,$H635),$G635=INDEX('AH History'!$F$1:$F$18046,$H635)),1,-1),-1))</ns0:f>
        <ns0:v/>
      </ns0:c>
    </ns0:row>
    <ns0:row r="636">
      <ns0:c r="A636" s="215">
        <ns0:f>IF(OR(AH!$P$3=0,631+1&gt;AH!$P$11,AND(AH!$E$4&lt;&gt;"Stored",AH!$P$10&lt;&gt;1)),"",IFERROR(IF(AND(AH!$P$21=1,631+1=AH!$P$11),TODAY(),IF(AH!$P$10=1,INDEX('Live History'!$A$5:$A$3004,AH!$P$13+631),INDEX('AH History'!$A$1:$A$18046,AH!$P$7+631))),""))</ns0:f>
        <ns0:v/>
      </ns0:c>
      <ns0:c r="B636" s="219">
        <ns0:f>IFERROR(IF(AND(AH!$P$9&lt;&gt;1,$C636&gt;0,$D636&gt;0,$E636&gt;0,$F636&gt;0,$G636&gt;0,$F636&lt;=$A636,$G636&lt;=$A636,$A636-$F636&lt;=10,$A636-$G636&lt;=5),$D636*$E636/$C636-1,NA()),NA())</ns0:f>
        <ns0:v/>
      </ns0:c>
      <ns0:c r="C636">
        <ns0:f>IFERROR(IF(ISNUMBER($A636),IF(AND(AH!$P$10=1,AH!$P$12=1,$A636=TODAY()),AH!$P$19,IF(AH!$P$10=1,INDEX('Live History'!$B$5:$B$3004,AH!$P$13+631),INDEX('AH History'!$B$1:$B$18046,AH!$P$7+631))),NA()),NA())</ns0:f>
        <ns0:v/>
      </ns0:c>
      <ns0:c r="D636">
        <ns0:f>IFERROR(IF(ISNUMBER($A636),IF(AND(AH!$P$10=1,AH!$P$12=1,$A636=TODAY()),AH!$P$18,IF(AH!$P$10=1,INDEX('Live History'!$E$5:$E$3004,MATCH($A636,'Live History'!$D$5:$D$3004,1)),INDEX('AH History'!$C$1:$C$18046,AH!$P$7+631))),NA()),NA())</ns0:f>
        <ns0:v/>
      </ns0:c>
      <ns0:c r="E636">
        <ns0:f>IFERROR(IF(ISNUMBER($A636),IF(AND(AH!$P$10=1,AH!$P$12=1,$A636=TODAY()),AH!$P$20,IF(AH!$P$10=1,INDEX('Live History'!$H$5:$H$3004,MATCH($A636,'Live History'!$G$5:$G$3004,1)),INDEX('AH History'!$D$1:$D$18046,AH!$P$7+631))),NA()),NA())</ns0:f>
        <ns0:v/>
      </ns0:c>
      <ns0:c r="F636">
        <ns0:f>IFERROR(IF(ISNUMBER($A636),IF(AND(AH!$P$10=1,AH!$P$12=1,$A636=TODAY()),IF(AND(AH!$P$10=1,AH!$P$12=1,$A636=TODAY()),TODAY(),NA()),IF(AH!$P$10=1,INDEX('Live History'!$D$5:$D$3004,MATCH($A636,'Live History'!$D$5:$D$3004,1)),INDEX('AH History'!$E$1:$E$18046,AH!$P$7+631))),NA()),NA())</ns0:f>
        <ns0:v/>
      </ns0:c>
      <ns0:c r="G636">
        <ns0:f>IFERROR(IF(ISNUMBER($A636),IF(AND(AH!$P$10=1,AH!$P$12=1,$A636=TODAY()),IF(AND(AH!$P$10=1,AH!$P$12=1,$A636=TODAY()),TODAY(),NA()),IF(AH!$P$10=1,INDEX('Live History'!$G$5:$G$3004,MATCH($A636,'Live History'!$G$5:$G$3004,1)),INDEX('AH History'!$F$1:$F$18046,AH!$P$7+631))),NA()),NA())</ns0:f>
        <ns0:v/>
      </ns0:c>
      <ns0:c r="H636">
        <ns0:f>IFERROR(IF(AND(AH!$E$4="Bloomberg",AH!$P$10=1,ISNUMBER($A636),$A636&lt;=AH!$P$17),AH!$P$7-1+MATCH($A636,INDEX('AH History'!$A$1:$A$18046,AH!$P$7):INDEX('AH History'!$A$1:$A$18046,AH!$P$7+AH!$P$8-1),0),0),0)</ns0:f>
        <ns0:v/>
      </ns0:c>
      <ns0:c r="I636">
        <ns0:f>IF($H636=0,0,IFERROR(IF(AND(ABS($C636-INDEX('AH History'!$B$1:$B$18046,$H636))&lt;=MAX(0.005,ABS(INDEX('AH History'!$B$1:$B$18046,$H636))*0.00005),ABS($D636-INDEX('AH History'!$C$1:$C$18046,$H636))&lt;=MAX(0.005,ABS(INDEX('AH History'!$C$1:$C$18046,$H636))*0.00005),ABS($E636-INDEX('AH History'!$D$1:$D$18046,$H636))&lt;=0.00005,$F636=INDEX('AH History'!$E$1:$E$18046,$H636),$G636=INDEX('AH History'!$F$1:$F$18046,$H636)),1,-1),-1))</ns0:f>
        <ns0:v/>
      </ns0:c>
    </ns0:row>
    <ns0:row r="637">
      <ns0:c r="A637" s="215">
        <ns0:f>IF(OR(AH!$P$3=0,632+1&gt;AH!$P$11,AND(AH!$E$4&lt;&gt;"Stored",AH!$P$10&lt;&gt;1)),"",IFERROR(IF(AND(AH!$P$21=1,632+1=AH!$P$11),TODAY(),IF(AH!$P$10=1,INDEX('Live History'!$A$5:$A$3004,AH!$P$13+632),INDEX('AH History'!$A$1:$A$18046,AH!$P$7+632))),""))</ns0:f>
        <ns0:v/>
      </ns0:c>
      <ns0:c r="B637" s="219">
        <ns0:f>IFERROR(IF(AND(AH!$P$9&lt;&gt;1,$C637&gt;0,$D637&gt;0,$E637&gt;0,$F637&gt;0,$G637&gt;0,$F637&lt;=$A637,$G637&lt;=$A637,$A637-$F637&lt;=10,$A637-$G637&lt;=5),$D637*$E637/$C637-1,NA()),NA())</ns0:f>
        <ns0:v/>
      </ns0:c>
      <ns0:c r="C637">
        <ns0:f>IFERROR(IF(ISNUMBER($A637),IF(AND(AH!$P$10=1,AH!$P$12=1,$A637=TODAY()),AH!$P$19,IF(AH!$P$10=1,INDEX('Live History'!$B$5:$B$3004,AH!$P$13+632),INDEX('AH History'!$B$1:$B$18046,AH!$P$7+632))),NA()),NA())</ns0:f>
        <ns0:v/>
      </ns0:c>
      <ns0:c r="D637">
        <ns0:f>IFERROR(IF(ISNUMBER($A637),IF(AND(AH!$P$10=1,AH!$P$12=1,$A637=TODAY()),AH!$P$18,IF(AH!$P$10=1,INDEX('Live History'!$E$5:$E$3004,MATCH($A637,'Live History'!$D$5:$D$3004,1)),INDEX('AH History'!$C$1:$C$18046,AH!$P$7+632))),NA()),NA())</ns0:f>
        <ns0:v/>
      </ns0:c>
      <ns0:c r="E637">
        <ns0:f>IFERROR(IF(ISNUMBER($A637),IF(AND(AH!$P$10=1,AH!$P$12=1,$A637=TODAY()),AH!$P$20,IF(AH!$P$10=1,INDEX('Live History'!$H$5:$H$3004,MATCH($A637,'Live History'!$G$5:$G$3004,1)),INDEX('AH History'!$D$1:$D$18046,AH!$P$7+632))),NA()),NA())</ns0:f>
        <ns0:v/>
      </ns0:c>
      <ns0:c r="F637">
        <ns0:f>IFERROR(IF(ISNUMBER($A637),IF(AND(AH!$P$10=1,AH!$P$12=1,$A637=TODAY()),IF(AND(AH!$P$10=1,AH!$P$12=1,$A637=TODAY()),TODAY(),NA()),IF(AH!$P$10=1,INDEX('Live History'!$D$5:$D$3004,MATCH($A637,'Live History'!$D$5:$D$3004,1)),INDEX('AH History'!$E$1:$E$18046,AH!$P$7+632))),NA()),NA())</ns0:f>
        <ns0:v/>
      </ns0:c>
      <ns0:c r="G637">
        <ns0:f>IFERROR(IF(ISNUMBER($A637),IF(AND(AH!$P$10=1,AH!$P$12=1,$A637=TODAY()),IF(AND(AH!$P$10=1,AH!$P$12=1,$A637=TODAY()),TODAY(),NA()),IF(AH!$P$10=1,INDEX('Live History'!$G$5:$G$3004,MATCH($A637,'Live History'!$G$5:$G$3004,1)),INDEX('AH History'!$F$1:$F$18046,AH!$P$7+632))),NA()),NA())</ns0:f>
        <ns0:v/>
      </ns0:c>
      <ns0:c r="H637">
        <ns0:f>IFERROR(IF(AND(AH!$E$4="Bloomberg",AH!$P$10=1,ISNUMBER($A637),$A637&lt;=AH!$P$17),AH!$P$7-1+MATCH($A637,INDEX('AH History'!$A$1:$A$18046,AH!$P$7):INDEX('AH History'!$A$1:$A$18046,AH!$P$7+AH!$P$8-1),0),0),0)</ns0:f>
        <ns0:v/>
      </ns0:c>
      <ns0:c r="I637">
        <ns0:f>IF($H637=0,0,IFERROR(IF(AND(ABS($C637-INDEX('AH History'!$B$1:$B$18046,$H637))&lt;=MAX(0.005,ABS(INDEX('AH History'!$B$1:$B$18046,$H637))*0.00005),ABS($D637-INDEX('AH History'!$C$1:$C$18046,$H637))&lt;=MAX(0.005,ABS(INDEX('AH History'!$C$1:$C$18046,$H637))*0.00005),ABS($E637-INDEX('AH History'!$D$1:$D$18046,$H637))&lt;=0.00005,$F637=INDEX('AH History'!$E$1:$E$18046,$H637),$G637=INDEX('AH History'!$F$1:$F$18046,$H637)),1,-1),-1))</ns0:f>
        <ns0:v/>
      </ns0:c>
    </ns0:row>
    <ns0:row r="638">
      <ns0:c r="A638" s="215">
        <ns0:f>IF(OR(AH!$P$3=0,633+1&gt;AH!$P$11,AND(AH!$E$4&lt;&gt;"Stored",AH!$P$10&lt;&gt;1)),"",IFERROR(IF(AND(AH!$P$21=1,633+1=AH!$P$11),TODAY(),IF(AH!$P$10=1,INDEX('Live History'!$A$5:$A$3004,AH!$P$13+633),INDEX('AH History'!$A$1:$A$18046,AH!$P$7+633))),""))</ns0:f>
        <ns0:v/>
      </ns0:c>
      <ns0:c r="B638" s="219">
        <ns0:f>IFERROR(IF(AND(AH!$P$9&lt;&gt;1,$C638&gt;0,$D638&gt;0,$E638&gt;0,$F638&gt;0,$G638&gt;0,$F638&lt;=$A638,$G638&lt;=$A638,$A638-$F638&lt;=10,$A638-$G638&lt;=5),$D638*$E638/$C638-1,NA()),NA())</ns0:f>
        <ns0:v/>
      </ns0:c>
      <ns0:c r="C638">
        <ns0:f>IFERROR(IF(ISNUMBER($A638),IF(AND(AH!$P$10=1,AH!$P$12=1,$A638=TODAY()),AH!$P$19,IF(AH!$P$10=1,INDEX('Live History'!$B$5:$B$3004,AH!$P$13+633),INDEX('AH History'!$B$1:$B$18046,AH!$P$7+633))),NA()),NA())</ns0:f>
        <ns0:v/>
      </ns0:c>
      <ns0:c r="D638">
        <ns0:f>IFERROR(IF(ISNUMBER($A638),IF(AND(AH!$P$10=1,AH!$P$12=1,$A638=TODAY()),AH!$P$18,IF(AH!$P$10=1,INDEX('Live History'!$E$5:$E$3004,MATCH($A638,'Live History'!$D$5:$D$3004,1)),INDEX('AH History'!$C$1:$C$18046,AH!$P$7+633))),NA()),NA())</ns0:f>
        <ns0:v/>
      </ns0:c>
      <ns0:c r="E638">
        <ns0:f>IFERROR(IF(ISNUMBER($A638),IF(AND(AH!$P$10=1,AH!$P$12=1,$A638=TODAY()),AH!$P$20,IF(AH!$P$10=1,INDEX('Live History'!$H$5:$H$3004,MATCH($A638,'Live History'!$G$5:$G$3004,1)),INDEX('AH History'!$D$1:$D$18046,AH!$P$7+633))),NA()),NA())</ns0:f>
        <ns0:v/>
      </ns0:c>
      <ns0:c r="F638">
        <ns0:f>IFERROR(IF(ISNUMBER($A638),IF(AND(AH!$P$10=1,AH!$P$12=1,$A638=TODAY()),IF(AND(AH!$P$10=1,AH!$P$12=1,$A638=TODAY()),TODAY(),NA()),IF(AH!$P$10=1,INDEX('Live History'!$D$5:$D$3004,MATCH($A638,'Live History'!$D$5:$D$3004,1)),INDEX('AH History'!$E$1:$E$18046,AH!$P$7+633))),NA()),NA())</ns0:f>
        <ns0:v/>
      </ns0:c>
      <ns0:c r="G638">
        <ns0:f>IFERROR(IF(ISNUMBER($A638),IF(AND(AH!$P$10=1,AH!$P$12=1,$A638=TODAY()),IF(AND(AH!$P$10=1,AH!$P$12=1,$A638=TODAY()),TODAY(),NA()),IF(AH!$P$10=1,INDEX('Live History'!$G$5:$G$3004,MATCH($A638,'Live History'!$G$5:$G$3004,1)),INDEX('AH History'!$F$1:$F$18046,AH!$P$7+633))),NA()),NA())</ns0:f>
        <ns0:v/>
      </ns0:c>
      <ns0:c r="H638">
        <ns0:f>IFERROR(IF(AND(AH!$E$4="Bloomberg",AH!$P$10=1,ISNUMBER($A638),$A638&lt;=AH!$P$17),AH!$P$7-1+MATCH($A638,INDEX('AH History'!$A$1:$A$18046,AH!$P$7):INDEX('AH History'!$A$1:$A$18046,AH!$P$7+AH!$P$8-1),0),0),0)</ns0:f>
        <ns0:v/>
      </ns0:c>
      <ns0:c r="I638">
        <ns0:f>IF($H638=0,0,IFERROR(IF(AND(ABS($C638-INDEX('AH History'!$B$1:$B$18046,$H638))&lt;=MAX(0.005,ABS(INDEX('AH History'!$B$1:$B$18046,$H638))*0.00005),ABS($D638-INDEX('AH History'!$C$1:$C$18046,$H638))&lt;=MAX(0.005,ABS(INDEX('AH History'!$C$1:$C$18046,$H638))*0.00005),ABS($E638-INDEX('AH History'!$D$1:$D$18046,$H638))&lt;=0.00005,$F638=INDEX('AH History'!$E$1:$E$18046,$H638),$G638=INDEX('AH History'!$F$1:$F$18046,$H638)),1,-1),-1))</ns0:f>
        <ns0:v/>
      </ns0:c>
    </ns0:row>
    <ns0:row r="639">
      <ns0:c r="A639" s="215">
        <ns0:f>IF(OR(AH!$P$3=0,634+1&gt;AH!$P$11,AND(AH!$E$4&lt;&gt;"Stored",AH!$P$10&lt;&gt;1)),"",IFERROR(IF(AND(AH!$P$21=1,634+1=AH!$P$11),TODAY(),IF(AH!$P$10=1,INDEX('Live History'!$A$5:$A$3004,AH!$P$13+634),INDEX('AH History'!$A$1:$A$18046,AH!$P$7+634))),""))</ns0:f>
        <ns0:v/>
      </ns0:c>
      <ns0:c r="B639" s="219">
        <ns0:f>IFERROR(IF(AND(AH!$P$9&lt;&gt;1,$C639&gt;0,$D639&gt;0,$E639&gt;0,$F639&gt;0,$G639&gt;0,$F639&lt;=$A639,$G639&lt;=$A639,$A639-$F639&lt;=10,$A639-$G639&lt;=5),$D639*$E639/$C639-1,NA()),NA())</ns0:f>
        <ns0:v/>
      </ns0:c>
      <ns0:c r="C639">
        <ns0:f>IFERROR(IF(ISNUMBER($A639),IF(AND(AH!$P$10=1,AH!$P$12=1,$A639=TODAY()),AH!$P$19,IF(AH!$P$10=1,INDEX('Live History'!$B$5:$B$3004,AH!$P$13+634),INDEX('AH History'!$B$1:$B$18046,AH!$P$7+634))),NA()),NA())</ns0:f>
        <ns0:v/>
      </ns0:c>
      <ns0:c r="D639">
        <ns0:f>IFERROR(IF(ISNUMBER($A639),IF(AND(AH!$P$10=1,AH!$P$12=1,$A639=TODAY()),AH!$P$18,IF(AH!$P$10=1,INDEX('Live History'!$E$5:$E$3004,MATCH($A639,'Live History'!$D$5:$D$3004,1)),INDEX('AH History'!$C$1:$C$18046,AH!$P$7+634))),NA()),NA())</ns0:f>
        <ns0:v/>
      </ns0:c>
      <ns0:c r="E639">
        <ns0:f>IFERROR(IF(ISNUMBER($A639),IF(AND(AH!$P$10=1,AH!$P$12=1,$A639=TODAY()),AH!$P$20,IF(AH!$P$10=1,INDEX('Live History'!$H$5:$H$3004,MATCH($A639,'Live History'!$G$5:$G$3004,1)),INDEX('AH History'!$D$1:$D$18046,AH!$P$7+634))),NA()),NA())</ns0:f>
        <ns0:v/>
      </ns0:c>
      <ns0:c r="F639">
        <ns0:f>IFERROR(IF(ISNUMBER($A639),IF(AND(AH!$P$10=1,AH!$P$12=1,$A639=TODAY()),IF(AND(AH!$P$10=1,AH!$P$12=1,$A639=TODAY()),TODAY(),NA()),IF(AH!$P$10=1,INDEX('Live History'!$D$5:$D$3004,MATCH($A639,'Live History'!$D$5:$D$3004,1)),INDEX('AH History'!$E$1:$E$18046,AH!$P$7+634))),NA()),NA())</ns0:f>
        <ns0:v/>
      </ns0:c>
      <ns0:c r="G639">
        <ns0:f>IFERROR(IF(ISNUMBER($A639),IF(AND(AH!$P$10=1,AH!$P$12=1,$A639=TODAY()),IF(AND(AH!$P$10=1,AH!$P$12=1,$A639=TODAY()),TODAY(),NA()),IF(AH!$P$10=1,INDEX('Live History'!$G$5:$G$3004,MATCH($A639,'Live History'!$G$5:$G$3004,1)),INDEX('AH History'!$F$1:$F$18046,AH!$P$7+634))),NA()),NA())</ns0:f>
        <ns0:v/>
      </ns0:c>
      <ns0:c r="H639">
        <ns0:f>IFERROR(IF(AND(AH!$E$4="Bloomberg",AH!$P$10=1,ISNUMBER($A639),$A639&lt;=AH!$P$17),AH!$P$7-1+MATCH($A639,INDEX('AH History'!$A$1:$A$18046,AH!$P$7):INDEX('AH History'!$A$1:$A$18046,AH!$P$7+AH!$P$8-1),0),0),0)</ns0:f>
        <ns0:v/>
      </ns0:c>
      <ns0:c r="I639">
        <ns0:f>IF($H639=0,0,IFERROR(IF(AND(ABS($C639-INDEX('AH History'!$B$1:$B$18046,$H639))&lt;=MAX(0.005,ABS(INDEX('AH History'!$B$1:$B$18046,$H639))*0.00005),ABS($D639-INDEX('AH History'!$C$1:$C$18046,$H639))&lt;=MAX(0.005,ABS(INDEX('AH History'!$C$1:$C$18046,$H639))*0.00005),ABS($E639-INDEX('AH History'!$D$1:$D$18046,$H639))&lt;=0.00005,$F639=INDEX('AH History'!$E$1:$E$18046,$H639),$G639=INDEX('AH History'!$F$1:$F$18046,$H639)),1,-1),-1))</ns0:f>
        <ns0:v/>
      </ns0:c>
    </ns0:row>
    <ns0:row r="640">
      <ns0:c r="A640" s="215">
        <ns0:f>IF(OR(AH!$P$3=0,635+1&gt;AH!$P$11,AND(AH!$E$4&lt;&gt;"Stored",AH!$P$10&lt;&gt;1)),"",IFERROR(IF(AND(AH!$P$21=1,635+1=AH!$P$11),TODAY(),IF(AH!$P$10=1,INDEX('Live History'!$A$5:$A$3004,AH!$P$13+635),INDEX('AH History'!$A$1:$A$18046,AH!$P$7+635))),""))</ns0:f>
        <ns0:v/>
      </ns0:c>
      <ns0:c r="B640" s="219">
        <ns0:f>IFERROR(IF(AND(AH!$P$9&lt;&gt;1,$C640&gt;0,$D640&gt;0,$E640&gt;0,$F640&gt;0,$G640&gt;0,$F640&lt;=$A640,$G640&lt;=$A640,$A640-$F640&lt;=10,$A640-$G640&lt;=5),$D640*$E640/$C640-1,NA()),NA())</ns0:f>
        <ns0:v/>
      </ns0:c>
      <ns0:c r="C640">
        <ns0:f>IFERROR(IF(ISNUMBER($A640),IF(AND(AH!$P$10=1,AH!$P$12=1,$A640=TODAY()),AH!$P$19,IF(AH!$P$10=1,INDEX('Live History'!$B$5:$B$3004,AH!$P$13+635),INDEX('AH History'!$B$1:$B$18046,AH!$P$7+635))),NA()),NA())</ns0:f>
        <ns0:v/>
      </ns0:c>
      <ns0:c r="D640">
        <ns0:f>IFERROR(IF(ISNUMBER($A640),IF(AND(AH!$P$10=1,AH!$P$12=1,$A640=TODAY()),AH!$P$18,IF(AH!$P$10=1,INDEX('Live History'!$E$5:$E$3004,MATCH($A640,'Live History'!$D$5:$D$3004,1)),INDEX('AH History'!$C$1:$C$18046,AH!$P$7+635))),NA()),NA())</ns0:f>
        <ns0:v/>
      </ns0:c>
      <ns0:c r="E640">
        <ns0:f>IFERROR(IF(ISNUMBER($A640),IF(AND(AH!$P$10=1,AH!$P$12=1,$A640=TODAY()),AH!$P$20,IF(AH!$P$10=1,INDEX('Live History'!$H$5:$H$3004,MATCH($A640,'Live History'!$G$5:$G$3004,1)),INDEX('AH History'!$D$1:$D$18046,AH!$P$7+635))),NA()),NA())</ns0:f>
        <ns0:v/>
      </ns0:c>
      <ns0:c r="F640">
        <ns0:f>IFERROR(IF(ISNUMBER($A640),IF(AND(AH!$P$10=1,AH!$P$12=1,$A640=TODAY()),IF(AND(AH!$P$10=1,AH!$P$12=1,$A640=TODAY()),TODAY(),NA()),IF(AH!$P$10=1,INDEX('Live History'!$D$5:$D$3004,MATCH($A640,'Live History'!$D$5:$D$3004,1)),INDEX('AH History'!$E$1:$E$18046,AH!$P$7+635))),NA()),NA())</ns0:f>
        <ns0:v/>
      </ns0:c>
      <ns0:c r="G640">
        <ns0:f>IFERROR(IF(ISNUMBER($A640),IF(AND(AH!$P$10=1,AH!$P$12=1,$A640=TODAY()),IF(AND(AH!$P$10=1,AH!$P$12=1,$A640=TODAY()),TODAY(),NA()),IF(AH!$P$10=1,INDEX('Live History'!$G$5:$G$3004,MATCH($A640,'Live History'!$G$5:$G$3004,1)),INDEX('AH History'!$F$1:$F$18046,AH!$P$7+635))),NA()),NA())</ns0:f>
        <ns0:v/>
      </ns0:c>
      <ns0:c r="H640">
        <ns0:f>IFERROR(IF(AND(AH!$E$4="Bloomberg",AH!$P$10=1,ISNUMBER($A640),$A640&lt;=AH!$P$17),AH!$P$7-1+MATCH($A640,INDEX('AH History'!$A$1:$A$18046,AH!$P$7):INDEX('AH History'!$A$1:$A$18046,AH!$P$7+AH!$P$8-1),0),0),0)</ns0:f>
        <ns0:v/>
      </ns0:c>
      <ns0:c r="I640">
        <ns0:f>IF($H640=0,0,IFERROR(IF(AND(ABS($C640-INDEX('AH History'!$B$1:$B$18046,$H640))&lt;=MAX(0.005,ABS(INDEX('AH History'!$B$1:$B$18046,$H640))*0.00005),ABS($D640-INDEX('AH History'!$C$1:$C$18046,$H640))&lt;=MAX(0.005,ABS(INDEX('AH History'!$C$1:$C$18046,$H640))*0.00005),ABS($E640-INDEX('AH History'!$D$1:$D$18046,$H640))&lt;=0.00005,$F640=INDEX('AH History'!$E$1:$E$18046,$H640),$G640=INDEX('AH History'!$F$1:$F$18046,$H640)),1,-1),-1))</ns0:f>
        <ns0:v/>
      </ns0:c>
    </ns0:row>
    <ns0:row r="641">
      <ns0:c r="A641" s="215">
        <ns0:f>IF(OR(AH!$P$3=0,636+1&gt;AH!$P$11,AND(AH!$E$4&lt;&gt;"Stored",AH!$P$10&lt;&gt;1)),"",IFERROR(IF(AND(AH!$P$21=1,636+1=AH!$P$11),TODAY(),IF(AH!$P$10=1,INDEX('Live History'!$A$5:$A$3004,AH!$P$13+636),INDEX('AH History'!$A$1:$A$18046,AH!$P$7+636))),""))</ns0:f>
        <ns0:v/>
      </ns0:c>
      <ns0:c r="B641" s="219">
        <ns0:f>IFERROR(IF(AND(AH!$P$9&lt;&gt;1,$C641&gt;0,$D641&gt;0,$E641&gt;0,$F641&gt;0,$G641&gt;0,$F641&lt;=$A641,$G641&lt;=$A641,$A641-$F641&lt;=10,$A641-$G641&lt;=5),$D641*$E641/$C641-1,NA()),NA())</ns0:f>
        <ns0:v/>
      </ns0:c>
      <ns0:c r="C641">
        <ns0:f>IFERROR(IF(ISNUMBER($A641),IF(AND(AH!$P$10=1,AH!$P$12=1,$A641=TODAY()),AH!$P$19,IF(AH!$P$10=1,INDEX('Live History'!$B$5:$B$3004,AH!$P$13+636),INDEX('AH History'!$B$1:$B$18046,AH!$P$7+636))),NA()),NA())</ns0:f>
        <ns0:v/>
      </ns0:c>
      <ns0:c r="D641">
        <ns0:f>IFERROR(IF(ISNUMBER($A641),IF(AND(AH!$P$10=1,AH!$P$12=1,$A641=TODAY()),AH!$P$18,IF(AH!$P$10=1,INDEX('Live History'!$E$5:$E$3004,MATCH($A641,'Live History'!$D$5:$D$3004,1)),INDEX('AH History'!$C$1:$C$18046,AH!$P$7+636))),NA()),NA())</ns0:f>
        <ns0:v/>
      </ns0:c>
      <ns0:c r="E641">
        <ns0:f>IFERROR(IF(ISNUMBER($A641),IF(AND(AH!$P$10=1,AH!$P$12=1,$A641=TODAY()),AH!$P$20,IF(AH!$P$10=1,INDEX('Live History'!$H$5:$H$3004,MATCH($A641,'Live History'!$G$5:$G$3004,1)),INDEX('AH History'!$D$1:$D$18046,AH!$P$7+636))),NA()),NA())</ns0:f>
        <ns0:v/>
      </ns0:c>
      <ns0:c r="F641">
        <ns0:f>IFERROR(IF(ISNUMBER($A641),IF(AND(AH!$P$10=1,AH!$P$12=1,$A641=TODAY()),IF(AND(AH!$P$10=1,AH!$P$12=1,$A641=TODAY()),TODAY(),NA()),IF(AH!$P$10=1,INDEX('Live History'!$D$5:$D$3004,MATCH($A641,'Live History'!$D$5:$D$3004,1)),INDEX('AH History'!$E$1:$E$18046,AH!$P$7+636))),NA()),NA())</ns0:f>
        <ns0:v/>
      </ns0:c>
      <ns0:c r="G641">
        <ns0:f>IFERROR(IF(ISNUMBER($A641),IF(AND(AH!$P$10=1,AH!$P$12=1,$A641=TODAY()),IF(AND(AH!$P$10=1,AH!$P$12=1,$A641=TODAY()),TODAY(),NA()),IF(AH!$P$10=1,INDEX('Live History'!$G$5:$G$3004,MATCH($A641,'Live History'!$G$5:$G$3004,1)),INDEX('AH History'!$F$1:$F$18046,AH!$P$7+636))),NA()),NA())</ns0:f>
        <ns0:v/>
      </ns0:c>
      <ns0:c r="H641">
        <ns0:f>IFERROR(IF(AND(AH!$E$4="Bloomberg",AH!$P$10=1,ISNUMBER($A641),$A641&lt;=AH!$P$17),AH!$P$7-1+MATCH($A641,INDEX('AH History'!$A$1:$A$18046,AH!$P$7):INDEX('AH History'!$A$1:$A$18046,AH!$P$7+AH!$P$8-1),0),0),0)</ns0:f>
        <ns0:v/>
      </ns0:c>
      <ns0:c r="I641">
        <ns0:f>IF($H641=0,0,IFERROR(IF(AND(ABS($C641-INDEX('AH History'!$B$1:$B$18046,$H641))&lt;=MAX(0.005,ABS(INDEX('AH History'!$B$1:$B$18046,$H641))*0.00005),ABS($D641-INDEX('AH History'!$C$1:$C$18046,$H641))&lt;=MAX(0.005,ABS(INDEX('AH History'!$C$1:$C$18046,$H641))*0.00005),ABS($E641-INDEX('AH History'!$D$1:$D$18046,$H641))&lt;=0.00005,$F641=INDEX('AH History'!$E$1:$E$18046,$H641),$G641=INDEX('AH History'!$F$1:$F$18046,$H641)),1,-1),-1))</ns0:f>
        <ns0:v/>
      </ns0:c>
    </ns0:row>
    <ns0:row r="642">
      <ns0:c r="A642" s="215">
        <ns0:f>IF(OR(AH!$P$3=0,637+1&gt;AH!$P$11,AND(AH!$E$4&lt;&gt;"Stored",AH!$P$10&lt;&gt;1)),"",IFERROR(IF(AND(AH!$P$21=1,637+1=AH!$P$11),TODAY(),IF(AH!$P$10=1,INDEX('Live History'!$A$5:$A$3004,AH!$P$13+637),INDEX('AH History'!$A$1:$A$18046,AH!$P$7+637))),""))</ns0:f>
        <ns0:v/>
      </ns0:c>
      <ns0:c r="B642" s="219">
        <ns0:f>IFERROR(IF(AND(AH!$P$9&lt;&gt;1,$C642&gt;0,$D642&gt;0,$E642&gt;0,$F642&gt;0,$G642&gt;0,$F642&lt;=$A642,$G642&lt;=$A642,$A642-$F642&lt;=10,$A642-$G642&lt;=5),$D642*$E642/$C642-1,NA()),NA())</ns0:f>
        <ns0:v/>
      </ns0:c>
      <ns0:c r="C642">
        <ns0:f>IFERROR(IF(ISNUMBER($A642),IF(AND(AH!$P$10=1,AH!$P$12=1,$A642=TODAY()),AH!$P$19,IF(AH!$P$10=1,INDEX('Live History'!$B$5:$B$3004,AH!$P$13+637),INDEX('AH History'!$B$1:$B$18046,AH!$P$7+637))),NA()),NA())</ns0:f>
        <ns0:v/>
      </ns0:c>
      <ns0:c r="D642">
        <ns0:f>IFERROR(IF(ISNUMBER($A642),IF(AND(AH!$P$10=1,AH!$P$12=1,$A642=TODAY()),AH!$P$18,IF(AH!$P$10=1,INDEX('Live History'!$E$5:$E$3004,MATCH($A642,'Live History'!$D$5:$D$3004,1)),INDEX('AH History'!$C$1:$C$18046,AH!$P$7+637))),NA()),NA())</ns0:f>
        <ns0:v/>
      </ns0:c>
      <ns0:c r="E642">
        <ns0:f>IFERROR(IF(ISNUMBER($A642),IF(AND(AH!$P$10=1,AH!$P$12=1,$A642=TODAY()),AH!$P$20,IF(AH!$P$10=1,INDEX('Live History'!$H$5:$H$3004,MATCH($A642,'Live History'!$G$5:$G$3004,1)),INDEX('AH History'!$D$1:$D$18046,AH!$P$7+637))),NA()),NA())</ns0:f>
        <ns0:v/>
      </ns0:c>
      <ns0:c r="F642">
        <ns0:f>IFERROR(IF(ISNUMBER($A642),IF(AND(AH!$P$10=1,AH!$P$12=1,$A642=TODAY()),IF(AND(AH!$P$10=1,AH!$P$12=1,$A642=TODAY()),TODAY(),NA()),IF(AH!$P$10=1,INDEX('Live History'!$D$5:$D$3004,MATCH($A642,'Live History'!$D$5:$D$3004,1)),INDEX('AH History'!$E$1:$E$18046,AH!$P$7+637))),NA()),NA())</ns0:f>
        <ns0:v/>
      </ns0:c>
      <ns0:c r="G642">
        <ns0:f>IFERROR(IF(ISNUMBER($A642),IF(AND(AH!$P$10=1,AH!$P$12=1,$A642=TODAY()),IF(AND(AH!$P$10=1,AH!$P$12=1,$A642=TODAY()),TODAY(),NA()),IF(AH!$P$10=1,INDEX('Live History'!$G$5:$G$3004,MATCH($A642,'Live History'!$G$5:$G$3004,1)),INDEX('AH History'!$F$1:$F$18046,AH!$P$7+637))),NA()),NA())</ns0:f>
        <ns0:v/>
      </ns0:c>
      <ns0:c r="H642">
        <ns0:f>IFERROR(IF(AND(AH!$E$4="Bloomberg",AH!$P$10=1,ISNUMBER($A642),$A642&lt;=AH!$P$17),AH!$P$7-1+MATCH($A642,INDEX('AH History'!$A$1:$A$18046,AH!$P$7):INDEX('AH History'!$A$1:$A$18046,AH!$P$7+AH!$P$8-1),0),0),0)</ns0:f>
        <ns0:v/>
      </ns0:c>
      <ns0:c r="I642">
        <ns0:f>IF($H642=0,0,IFERROR(IF(AND(ABS($C642-INDEX('AH History'!$B$1:$B$18046,$H642))&lt;=MAX(0.005,ABS(INDEX('AH History'!$B$1:$B$18046,$H642))*0.00005),ABS($D642-INDEX('AH History'!$C$1:$C$18046,$H642))&lt;=MAX(0.005,ABS(INDEX('AH History'!$C$1:$C$18046,$H642))*0.00005),ABS($E642-INDEX('AH History'!$D$1:$D$18046,$H642))&lt;=0.00005,$F642=INDEX('AH History'!$E$1:$E$18046,$H642),$G642=INDEX('AH History'!$F$1:$F$18046,$H642)),1,-1),-1))</ns0:f>
        <ns0:v/>
      </ns0:c>
    </ns0:row>
    <ns0:row r="643">
      <ns0:c r="A643" s="215">
        <ns0:f>IF(OR(AH!$P$3=0,638+1&gt;AH!$P$11,AND(AH!$E$4&lt;&gt;"Stored",AH!$P$10&lt;&gt;1)),"",IFERROR(IF(AND(AH!$P$21=1,638+1=AH!$P$11),TODAY(),IF(AH!$P$10=1,INDEX('Live History'!$A$5:$A$3004,AH!$P$13+638),INDEX('AH History'!$A$1:$A$18046,AH!$P$7+638))),""))</ns0:f>
        <ns0:v/>
      </ns0:c>
      <ns0:c r="B643" s="219">
        <ns0:f>IFERROR(IF(AND(AH!$P$9&lt;&gt;1,$C643&gt;0,$D643&gt;0,$E643&gt;0,$F643&gt;0,$G643&gt;0,$F643&lt;=$A643,$G643&lt;=$A643,$A643-$F643&lt;=10,$A643-$G643&lt;=5),$D643*$E643/$C643-1,NA()),NA())</ns0:f>
        <ns0:v/>
      </ns0:c>
      <ns0:c r="C643">
        <ns0:f>IFERROR(IF(ISNUMBER($A643),IF(AND(AH!$P$10=1,AH!$P$12=1,$A643=TODAY()),AH!$P$19,IF(AH!$P$10=1,INDEX('Live History'!$B$5:$B$3004,AH!$P$13+638),INDEX('AH History'!$B$1:$B$18046,AH!$P$7+638))),NA()),NA())</ns0:f>
        <ns0:v/>
      </ns0:c>
      <ns0:c r="D643">
        <ns0:f>IFERROR(IF(ISNUMBER($A643),IF(AND(AH!$P$10=1,AH!$P$12=1,$A643=TODAY()),AH!$P$18,IF(AH!$P$10=1,INDEX('Live History'!$E$5:$E$3004,MATCH($A643,'Live History'!$D$5:$D$3004,1)),INDEX('AH History'!$C$1:$C$18046,AH!$P$7+638))),NA()),NA())</ns0:f>
        <ns0:v/>
      </ns0:c>
      <ns0:c r="E643">
        <ns0:f>IFERROR(IF(ISNUMBER($A643),IF(AND(AH!$P$10=1,AH!$P$12=1,$A643=TODAY()),AH!$P$20,IF(AH!$P$10=1,INDEX('Live History'!$H$5:$H$3004,MATCH($A643,'Live History'!$G$5:$G$3004,1)),INDEX('AH History'!$D$1:$D$18046,AH!$P$7+638))),NA()),NA())</ns0:f>
        <ns0:v/>
      </ns0:c>
      <ns0:c r="F643">
        <ns0:f>IFERROR(IF(ISNUMBER($A643),IF(AND(AH!$P$10=1,AH!$P$12=1,$A643=TODAY()),IF(AND(AH!$P$10=1,AH!$P$12=1,$A643=TODAY()),TODAY(),NA()),IF(AH!$P$10=1,INDEX('Live History'!$D$5:$D$3004,MATCH($A643,'Live History'!$D$5:$D$3004,1)),INDEX('AH History'!$E$1:$E$18046,AH!$P$7+638))),NA()),NA())</ns0:f>
        <ns0:v/>
      </ns0:c>
      <ns0:c r="G643">
        <ns0:f>IFERROR(IF(ISNUMBER($A643),IF(AND(AH!$P$10=1,AH!$P$12=1,$A643=TODAY()),IF(AND(AH!$P$10=1,AH!$P$12=1,$A643=TODAY()),TODAY(),NA()),IF(AH!$P$10=1,INDEX('Live History'!$G$5:$G$3004,MATCH($A643,'Live History'!$G$5:$G$3004,1)),INDEX('AH History'!$F$1:$F$18046,AH!$P$7+638))),NA()),NA())</ns0:f>
        <ns0:v/>
      </ns0:c>
      <ns0:c r="H643">
        <ns0:f>IFERROR(IF(AND(AH!$E$4="Bloomberg",AH!$P$10=1,ISNUMBER($A643),$A643&lt;=AH!$P$17),AH!$P$7-1+MATCH($A643,INDEX('AH History'!$A$1:$A$18046,AH!$P$7):INDEX('AH History'!$A$1:$A$18046,AH!$P$7+AH!$P$8-1),0),0),0)</ns0:f>
        <ns0:v/>
      </ns0:c>
      <ns0:c r="I643">
        <ns0:f>IF($H643=0,0,IFERROR(IF(AND(ABS($C643-INDEX('AH History'!$B$1:$B$18046,$H643))&lt;=MAX(0.005,ABS(INDEX('AH History'!$B$1:$B$18046,$H643))*0.00005),ABS($D643-INDEX('AH History'!$C$1:$C$18046,$H643))&lt;=MAX(0.005,ABS(INDEX('AH History'!$C$1:$C$18046,$H643))*0.00005),ABS($E643-INDEX('AH History'!$D$1:$D$18046,$H643))&lt;=0.00005,$F643=INDEX('AH History'!$E$1:$E$18046,$H643),$G643=INDEX('AH History'!$F$1:$F$18046,$H643)),1,-1),-1))</ns0:f>
        <ns0:v/>
      </ns0:c>
    </ns0:row>
    <ns0:row r="644">
      <ns0:c r="A644" s="215">
        <ns0:f>IF(OR(AH!$P$3=0,639+1&gt;AH!$P$11,AND(AH!$E$4&lt;&gt;"Stored",AH!$P$10&lt;&gt;1)),"",IFERROR(IF(AND(AH!$P$21=1,639+1=AH!$P$11),TODAY(),IF(AH!$P$10=1,INDEX('Live History'!$A$5:$A$3004,AH!$P$13+639),INDEX('AH History'!$A$1:$A$18046,AH!$P$7+639))),""))</ns0:f>
        <ns0:v/>
      </ns0:c>
      <ns0:c r="B644" s="219">
        <ns0:f>IFERROR(IF(AND(AH!$P$9&lt;&gt;1,$C644&gt;0,$D644&gt;0,$E644&gt;0,$F644&gt;0,$G644&gt;0,$F644&lt;=$A644,$G644&lt;=$A644,$A644-$F644&lt;=10,$A644-$G644&lt;=5),$D644*$E644/$C644-1,NA()),NA())</ns0:f>
        <ns0:v/>
      </ns0:c>
      <ns0:c r="C644">
        <ns0:f>IFERROR(IF(ISNUMBER($A644),IF(AND(AH!$P$10=1,AH!$P$12=1,$A644=TODAY()),AH!$P$19,IF(AH!$P$10=1,INDEX('Live History'!$B$5:$B$3004,AH!$P$13+639),INDEX('AH History'!$B$1:$B$18046,AH!$P$7+639))),NA()),NA())</ns0:f>
        <ns0:v/>
      </ns0:c>
      <ns0:c r="D644">
        <ns0:f>IFERROR(IF(ISNUMBER($A644),IF(AND(AH!$P$10=1,AH!$P$12=1,$A644=TODAY()),AH!$P$18,IF(AH!$P$10=1,INDEX('Live History'!$E$5:$E$3004,MATCH($A644,'Live History'!$D$5:$D$3004,1)),INDEX('AH History'!$C$1:$C$18046,AH!$P$7+639))),NA()),NA())</ns0:f>
        <ns0:v/>
      </ns0:c>
      <ns0:c r="E644">
        <ns0:f>IFERROR(IF(ISNUMBER($A644),IF(AND(AH!$P$10=1,AH!$P$12=1,$A644=TODAY()),AH!$P$20,IF(AH!$P$10=1,INDEX('Live History'!$H$5:$H$3004,MATCH($A644,'Live History'!$G$5:$G$3004,1)),INDEX('AH History'!$D$1:$D$18046,AH!$P$7+639))),NA()),NA())</ns0:f>
        <ns0:v/>
      </ns0:c>
      <ns0:c r="F644">
        <ns0:f>IFERROR(IF(ISNUMBER($A644),IF(AND(AH!$P$10=1,AH!$P$12=1,$A644=TODAY()),IF(AND(AH!$P$10=1,AH!$P$12=1,$A644=TODAY()),TODAY(),NA()),IF(AH!$P$10=1,INDEX('Live History'!$D$5:$D$3004,MATCH($A644,'Live History'!$D$5:$D$3004,1)),INDEX('AH History'!$E$1:$E$18046,AH!$P$7+639))),NA()),NA())</ns0:f>
        <ns0:v/>
      </ns0:c>
      <ns0:c r="G644">
        <ns0:f>IFERROR(IF(ISNUMBER($A644),IF(AND(AH!$P$10=1,AH!$P$12=1,$A644=TODAY()),IF(AND(AH!$P$10=1,AH!$P$12=1,$A644=TODAY()),TODAY(),NA()),IF(AH!$P$10=1,INDEX('Live History'!$G$5:$G$3004,MATCH($A644,'Live History'!$G$5:$G$3004,1)),INDEX('AH History'!$F$1:$F$18046,AH!$P$7+639))),NA()),NA())</ns0:f>
        <ns0:v/>
      </ns0:c>
      <ns0:c r="H644">
        <ns0:f>IFERROR(IF(AND(AH!$E$4="Bloomberg",AH!$P$10=1,ISNUMBER($A644),$A644&lt;=AH!$P$17),AH!$P$7-1+MATCH($A644,INDEX('AH History'!$A$1:$A$18046,AH!$P$7):INDEX('AH History'!$A$1:$A$18046,AH!$P$7+AH!$P$8-1),0),0),0)</ns0:f>
        <ns0:v/>
      </ns0:c>
      <ns0:c r="I644">
        <ns0:f>IF($H644=0,0,IFERROR(IF(AND(ABS($C644-INDEX('AH History'!$B$1:$B$18046,$H644))&lt;=MAX(0.005,ABS(INDEX('AH History'!$B$1:$B$18046,$H644))*0.00005),ABS($D644-INDEX('AH History'!$C$1:$C$18046,$H644))&lt;=MAX(0.005,ABS(INDEX('AH History'!$C$1:$C$18046,$H644))*0.00005),ABS($E644-INDEX('AH History'!$D$1:$D$18046,$H644))&lt;=0.00005,$F644=INDEX('AH History'!$E$1:$E$18046,$H644),$G644=INDEX('AH History'!$F$1:$F$18046,$H644)),1,-1),-1))</ns0:f>
        <ns0:v/>
      </ns0:c>
    </ns0:row>
    <ns0:row r="645">
      <ns0:c r="A645" s="215">
        <ns0:f>IF(OR(AH!$P$3=0,640+1&gt;AH!$P$11,AND(AH!$E$4&lt;&gt;"Stored",AH!$P$10&lt;&gt;1)),"",IFERROR(IF(AND(AH!$P$21=1,640+1=AH!$P$11),TODAY(),IF(AH!$P$10=1,INDEX('Live History'!$A$5:$A$3004,AH!$P$13+640),INDEX('AH History'!$A$1:$A$18046,AH!$P$7+640))),""))</ns0:f>
        <ns0:v/>
      </ns0:c>
      <ns0:c r="B645" s="219">
        <ns0:f>IFERROR(IF(AND(AH!$P$9&lt;&gt;1,$C645&gt;0,$D645&gt;0,$E645&gt;0,$F645&gt;0,$G645&gt;0,$F645&lt;=$A645,$G645&lt;=$A645,$A645-$F645&lt;=10,$A645-$G645&lt;=5),$D645*$E645/$C645-1,NA()),NA())</ns0:f>
        <ns0:v/>
      </ns0:c>
      <ns0:c r="C645">
        <ns0:f>IFERROR(IF(ISNUMBER($A645),IF(AND(AH!$P$10=1,AH!$P$12=1,$A645=TODAY()),AH!$P$19,IF(AH!$P$10=1,INDEX('Live History'!$B$5:$B$3004,AH!$P$13+640),INDEX('AH History'!$B$1:$B$18046,AH!$P$7+640))),NA()),NA())</ns0:f>
        <ns0:v/>
      </ns0:c>
      <ns0:c r="D645">
        <ns0:f>IFERROR(IF(ISNUMBER($A645),IF(AND(AH!$P$10=1,AH!$P$12=1,$A645=TODAY()),AH!$P$18,IF(AH!$P$10=1,INDEX('Live History'!$E$5:$E$3004,MATCH($A645,'Live History'!$D$5:$D$3004,1)),INDEX('AH History'!$C$1:$C$18046,AH!$P$7+640))),NA()),NA())</ns0:f>
        <ns0:v/>
      </ns0:c>
      <ns0:c r="E645">
        <ns0:f>IFERROR(IF(ISNUMBER($A645),IF(AND(AH!$P$10=1,AH!$P$12=1,$A645=TODAY()),AH!$P$20,IF(AH!$P$10=1,INDEX('Live History'!$H$5:$H$3004,MATCH($A645,'Live History'!$G$5:$G$3004,1)),INDEX('AH History'!$D$1:$D$18046,AH!$P$7+640))),NA()),NA())</ns0:f>
        <ns0:v/>
      </ns0:c>
      <ns0:c r="F645">
        <ns0:f>IFERROR(IF(ISNUMBER($A645),IF(AND(AH!$P$10=1,AH!$P$12=1,$A645=TODAY()),IF(AND(AH!$P$10=1,AH!$P$12=1,$A645=TODAY()),TODAY(),NA()),IF(AH!$P$10=1,INDEX('Live History'!$D$5:$D$3004,MATCH($A645,'Live History'!$D$5:$D$3004,1)),INDEX('AH History'!$E$1:$E$18046,AH!$P$7+640))),NA()),NA())</ns0:f>
        <ns0:v/>
      </ns0:c>
      <ns0:c r="G645">
        <ns0:f>IFERROR(IF(ISNUMBER($A645),IF(AND(AH!$P$10=1,AH!$P$12=1,$A645=TODAY()),IF(AND(AH!$P$10=1,AH!$P$12=1,$A645=TODAY()),TODAY(),NA()),IF(AH!$P$10=1,INDEX('Live History'!$G$5:$G$3004,MATCH($A645,'Live History'!$G$5:$G$3004,1)),INDEX('AH History'!$F$1:$F$18046,AH!$P$7+640))),NA()),NA())</ns0:f>
        <ns0:v/>
      </ns0:c>
      <ns0:c r="H645">
        <ns0:f>IFERROR(IF(AND(AH!$E$4="Bloomberg",AH!$P$10=1,ISNUMBER($A645),$A645&lt;=AH!$P$17),AH!$P$7-1+MATCH($A645,INDEX('AH History'!$A$1:$A$18046,AH!$P$7):INDEX('AH History'!$A$1:$A$18046,AH!$P$7+AH!$P$8-1),0),0),0)</ns0:f>
        <ns0:v/>
      </ns0:c>
      <ns0:c r="I645">
        <ns0:f>IF($H645=0,0,IFERROR(IF(AND(ABS($C645-INDEX('AH History'!$B$1:$B$18046,$H645))&lt;=MAX(0.005,ABS(INDEX('AH History'!$B$1:$B$18046,$H645))*0.00005),ABS($D645-INDEX('AH History'!$C$1:$C$18046,$H645))&lt;=MAX(0.005,ABS(INDEX('AH History'!$C$1:$C$18046,$H645))*0.00005),ABS($E645-INDEX('AH History'!$D$1:$D$18046,$H645))&lt;=0.00005,$F645=INDEX('AH History'!$E$1:$E$18046,$H645),$G645=INDEX('AH History'!$F$1:$F$18046,$H645)),1,-1),-1))</ns0:f>
        <ns0:v/>
      </ns0:c>
    </ns0:row>
    <ns0:row r="646">
      <ns0:c r="A646" s="215">
        <ns0:f>IF(OR(AH!$P$3=0,641+1&gt;AH!$P$11,AND(AH!$E$4&lt;&gt;"Stored",AH!$P$10&lt;&gt;1)),"",IFERROR(IF(AND(AH!$P$21=1,641+1=AH!$P$11),TODAY(),IF(AH!$P$10=1,INDEX('Live History'!$A$5:$A$3004,AH!$P$13+641),INDEX('AH History'!$A$1:$A$18046,AH!$P$7+641))),""))</ns0:f>
        <ns0:v/>
      </ns0:c>
      <ns0:c r="B646" s="219">
        <ns0:f>IFERROR(IF(AND(AH!$P$9&lt;&gt;1,$C646&gt;0,$D646&gt;0,$E646&gt;0,$F646&gt;0,$G646&gt;0,$F646&lt;=$A646,$G646&lt;=$A646,$A646-$F646&lt;=10,$A646-$G646&lt;=5),$D646*$E646/$C646-1,NA()),NA())</ns0:f>
        <ns0:v/>
      </ns0:c>
      <ns0:c r="C646">
        <ns0:f>IFERROR(IF(ISNUMBER($A646),IF(AND(AH!$P$10=1,AH!$P$12=1,$A646=TODAY()),AH!$P$19,IF(AH!$P$10=1,INDEX('Live History'!$B$5:$B$3004,AH!$P$13+641),INDEX('AH History'!$B$1:$B$18046,AH!$P$7+641))),NA()),NA())</ns0:f>
        <ns0:v/>
      </ns0:c>
      <ns0:c r="D646">
        <ns0:f>IFERROR(IF(ISNUMBER($A646),IF(AND(AH!$P$10=1,AH!$P$12=1,$A646=TODAY()),AH!$P$18,IF(AH!$P$10=1,INDEX('Live History'!$E$5:$E$3004,MATCH($A646,'Live History'!$D$5:$D$3004,1)),INDEX('AH History'!$C$1:$C$18046,AH!$P$7+641))),NA()),NA())</ns0:f>
        <ns0:v/>
      </ns0:c>
      <ns0:c r="E646">
        <ns0:f>IFERROR(IF(ISNUMBER($A646),IF(AND(AH!$P$10=1,AH!$P$12=1,$A646=TODAY()),AH!$P$20,IF(AH!$P$10=1,INDEX('Live History'!$H$5:$H$3004,MATCH($A646,'Live History'!$G$5:$G$3004,1)),INDEX('AH History'!$D$1:$D$18046,AH!$P$7+641))),NA()),NA())</ns0:f>
        <ns0:v/>
      </ns0:c>
      <ns0:c r="F646">
        <ns0:f>IFERROR(IF(ISNUMBER($A646),IF(AND(AH!$P$10=1,AH!$P$12=1,$A646=TODAY()),IF(AND(AH!$P$10=1,AH!$P$12=1,$A646=TODAY()),TODAY(),NA()),IF(AH!$P$10=1,INDEX('Live History'!$D$5:$D$3004,MATCH($A646,'Live History'!$D$5:$D$3004,1)),INDEX('AH History'!$E$1:$E$18046,AH!$P$7+641))),NA()),NA())</ns0:f>
        <ns0:v/>
      </ns0:c>
      <ns0:c r="G646">
        <ns0:f>IFERROR(IF(ISNUMBER($A646),IF(AND(AH!$P$10=1,AH!$P$12=1,$A646=TODAY()),IF(AND(AH!$P$10=1,AH!$P$12=1,$A646=TODAY()),TODAY(),NA()),IF(AH!$P$10=1,INDEX('Live History'!$G$5:$G$3004,MATCH($A646,'Live History'!$G$5:$G$3004,1)),INDEX('AH History'!$F$1:$F$18046,AH!$P$7+641))),NA()),NA())</ns0:f>
        <ns0:v/>
      </ns0:c>
      <ns0:c r="H646">
        <ns0:f>IFERROR(IF(AND(AH!$E$4="Bloomberg",AH!$P$10=1,ISNUMBER($A646),$A646&lt;=AH!$P$17),AH!$P$7-1+MATCH($A646,INDEX('AH History'!$A$1:$A$18046,AH!$P$7):INDEX('AH History'!$A$1:$A$18046,AH!$P$7+AH!$P$8-1),0),0),0)</ns0:f>
        <ns0:v/>
      </ns0:c>
      <ns0:c r="I646">
        <ns0:f>IF($H646=0,0,IFERROR(IF(AND(ABS($C646-INDEX('AH History'!$B$1:$B$18046,$H646))&lt;=MAX(0.005,ABS(INDEX('AH History'!$B$1:$B$18046,$H646))*0.00005),ABS($D646-INDEX('AH History'!$C$1:$C$18046,$H646))&lt;=MAX(0.005,ABS(INDEX('AH History'!$C$1:$C$18046,$H646))*0.00005),ABS($E646-INDEX('AH History'!$D$1:$D$18046,$H646))&lt;=0.00005,$F646=INDEX('AH History'!$E$1:$E$18046,$H646),$G646=INDEX('AH History'!$F$1:$F$18046,$H646)),1,-1),-1))</ns0:f>
        <ns0:v/>
      </ns0:c>
    </ns0:row>
    <ns0:row r="647">
      <ns0:c r="A647" s="215">
        <ns0:f>IF(OR(AH!$P$3=0,642+1&gt;AH!$P$11,AND(AH!$E$4&lt;&gt;"Stored",AH!$P$10&lt;&gt;1)),"",IFERROR(IF(AND(AH!$P$21=1,642+1=AH!$P$11),TODAY(),IF(AH!$P$10=1,INDEX('Live History'!$A$5:$A$3004,AH!$P$13+642),INDEX('AH History'!$A$1:$A$18046,AH!$P$7+642))),""))</ns0:f>
        <ns0:v/>
      </ns0:c>
      <ns0:c r="B647" s="219">
        <ns0:f>IFERROR(IF(AND(AH!$P$9&lt;&gt;1,$C647&gt;0,$D647&gt;0,$E647&gt;0,$F647&gt;0,$G647&gt;0,$F647&lt;=$A647,$G647&lt;=$A647,$A647-$F647&lt;=10,$A647-$G647&lt;=5),$D647*$E647/$C647-1,NA()),NA())</ns0:f>
        <ns0:v/>
      </ns0:c>
      <ns0:c r="C647">
        <ns0:f>IFERROR(IF(ISNUMBER($A647),IF(AND(AH!$P$10=1,AH!$P$12=1,$A647=TODAY()),AH!$P$19,IF(AH!$P$10=1,INDEX('Live History'!$B$5:$B$3004,AH!$P$13+642),INDEX('AH History'!$B$1:$B$18046,AH!$P$7+642))),NA()),NA())</ns0:f>
        <ns0:v/>
      </ns0:c>
      <ns0:c r="D647">
        <ns0:f>IFERROR(IF(ISNUMBER($A647),IF(AND(AH!$P$10=1,AH!$P$12=1,$A647=TODAY()),AH!$P$18,IF(AH!$P$10=1,INDEX('Live History'!$E$5:$E$3004,MATCH($A647,'Live History'!$D$5:$D$3004,1)),INDEX('AH History'!$C$1:$C$18046,AH!$P$7+642))),NA()),NA())</ns0:f>
        <ns0:v/>
      </ns0:c>
      <ns0:c r="E647">
        <ns0:f>IFERROR(IF(ISNUMBER($A647),IF(AND(AH!$P$10=1,AH!$P$12=1,$A647=TODAY()),AH!$P$20,IF(AH!$P$10=1,INDEX('Live History'!$H$5:$H$3004,MATCH($A647,'Live History'!$G$5:$G$3004,1)),INDEX('AH History'!$D$1:$D$18046,AH!$P$7+642))),NA()),NA())</ns0:f>
        <ns0:v/>
      </ns0:c>
      <ns0:c r="F647">
        <ns0:f>IFERROR(IF(ISNUMBER($A647),IF(AND(AH!$P$10=1,AH!$P$12=1,$A647=TODAY()),IF(AND(AH!$P$10=1,AH!$P$12=1,$A647=TODAY()),TODAY(),NA()),IF(AH!$P$10=1,INDEX('Live History'!$D$5:$D$3004,MATCH($A647,'Live History'!$D$5:$D$3004,1)),INDEX('AH History'!$E$1:$E$18046,AH!$P$7+642))),NA()),NA())</ns0:f>
        <ns0:v/>
      </ns0:c>
      <ns0:c r="G647">
        <ns0:f>IFERROR(IF(ISNUMBER($A647),IF(AND(AH!$P$10=1,AH!$P$12=1,$A647=TODAY()),IF(AND(AH!$P$10=1,AH!$P$12=1,$A647=TODAY()),TODAY(),NA()),IF(AH!$P$10=1,INDEX('Live History'!$G$5:$G$3004,MATCH($A647,'Live History'!$G$5:$G$3004,1)),INDEX('AH History'!$F$1:$F$18046,AH!$P$7+642))),NA()),NA())</ns0:f>
        <ns0:v/>
      </ns0:c>
      <ns0:c r="H647">
        <ns0:f>IFERROR(IF(AND(AH!$E$4="Bloomberg",AH!$P$10=1,ISNUMBER($A647),$A647&lt;=AH!$P$17),AH!$P$7-1+MATCH($A647,INDEX('AH History'!$A$1:$A$18046,AH!$P$7):INDEX('AH History'!$A$1:$A$18046,AH!$P$7+AH!$P$8-1),0),0),0)</ns0:f>
        <ns0:v/>
      </ns0:c>
      <ns0:c r="I647">
        <ns0:f>IF($H647=0,0,IFERROR(IF(AND(ABS($C647-INDEX('AH History'!$B$1:$B$18046,$H647))&lt;=MAX(0.005,ABS(INDEX('AH History'!$B$1:$B$18046,$H647))*0.00005),ABS($D647-INDEX('AH History'!$C$1:$C$18046,$H647))&lt;=MAX(0.005,ABS(INDEX('AH History'!$C$1:$C$18046,$H647))*0.00005),ABS($E647-INDEX('AH History'!$D$1:$D$18046,$H647))&lt;=0.00005,$F647=INDEX('AH History'!$E$1:$E$18046,$H647),$G647=INDEX('AH History'!$F$1:$F$18046,$H647)),1,-1),-1))</ns0:f>
        <ns0:v/>
      </ns0:c>
    </ns0:row>
    <ns0:row r="648">
      <ns0:c r="A648" s="215">
        <ns0:f>IF(OR(AH!$P$3=0,643+1&gt;AH!$P$11,AND(AH!$E$4&lt;&gt;"Stored",AH!$P$10&lt;&gt;1)),"",IFERROR(IF(AND(AH!$P$21=1,643+1=AH!$P$11),TODAY(),IF(AH!$P$10=1,INDEX('Live History'!$A$5:$A$3004,AH!$P$13+643),INDEX('AH History'!$A$1:$A$18046,AH!$P$7+643))),""))</ns0:f>
        <ns0:v/>
      </ns0:c>
      <ns0:c r="B648" s="219">
        <ns0:f>IFERROR(IF(AND(AH!$P$9&lt;&gt;1,$C648&gt;0,$D648&gt;0,$E648&gt;0,$F648&gt;0,$G648&gt;0,$F648&lt;=$A648,$G648&lt;=$A648,$A648-$F648&lt;=10,$A648-$G648&lt;=5),$D648*$E648/$C648-1,NA()),NA())</ns0:f>
        <ns0:v/>
      </ns0:c>
      <ns0:c r="C648">
        <ns0:f>IFERROR(IF(ISNUMBER($A648),IF(AND(AH!$P$10=1,AH!$P$12=1,$A648=TODAY()),AH!$P$19,IF(AH!$P$10=1,INDEX('Live History'!$B$5:$B$3004,AH!$P$13+643),INDEX('AH History'!$B$1:$B$18046,AH!$P$7+643))),NA()),NA())</ns0:f>
        <ns0:v/>
      </ns0:c>
      <ns0:c r="D648">
        <ns0:f>IFERROR(IF(ISNUMBER($A648),IF(AND(AH!$P$10=1,AH!$P$12=1,$A648=TODAY()),AH!$P$18,IF(AH!$P$10=1,INDEX('Live History'!$E$5:$E$3004,MATCH($A648,'Live History'!$D$5:$D$3004,1)),INDEX('AH History'!$C$1:$C$18046,AH!$P$7+643))),NA()),NA())</ns0:f>
        <ns0:v/>
      </ns0:c>
      <ns0:c r="E648">
        <ns0:f>IFERROR(IF(ISNUMBER($A648),IF(AND(AH!$P$10=1,AH!$P$12=1,$A648=TODAY()),AH!$P$20,IF(AH!$P$10=1,INDEX('Live History'!$H$5:$H$3004,MATCH($A648,'Live History'!$G$5:$G$3004,1)),INDEX('AH History'!$D$1:$D$18046,AH!$P$7+643))),NA()),NA())</ns0:f>
        <ns0:v/>
      </ns0:c>
      <ns0:c r="F648">
        <ns0:f>IFERROR(IF(ISNUMBER($A648),IF(AND(AH!$P$10=1,AH!$P$12=1,$A648=TODAY()),IF(AND(AH!$P$10=1,AH!$P$12=1,$A648=TODAY()),TODAY(),NA()),IF(AH!$P$10=1,INDEX('Live History'!$D$5:$D$3004,MATCH($A648,'Live History'!$D$5:$D$3004,1)),INDEX('AH History'!$E$1:$E$18046,AH!$P$7+643))),NA()),NA())</ns0:f>
        <ns0:v/>
      </ns0:c>
      <ns0:c r="G648">
        <ns0:f>IFERROR(IF(ISNUMBER($A648),IF(AND(AH!$P$10=1,AH!$P$12=1,$A648=TODAY()),IF(AND(AH!$P$10=1,AH!$P$12=1,$A648=TODAY()),TODAY(),NA()),IF(AH!$P$10=1,INDEX('Live History'!$G$5:$G$3004,MATCH($A648,'Live History'!$G$5:$G$3004,1)),INDEX('AH History'!$F$1:$F$18046,AH!$P$7+643))),NA()),NA())</ns0:f>
        <ns0:v/>
      </ns0:c>
      <ns0:c r="H648">
        <ns0:f>IFERROR(IF(AND(AH!$E$4="Bloomberg",AH!$P$10=1,ISNUMBER($A648),$A648&lt;=AH!$P$17),AH!$P$7-1+MATCH($A648,INDEX('AH History'!$A$1:$A$18046,AH!$P$7):INDEX('AH History'!$A$1:$A$18046,AH!$P$7+AH!$P$8-1),0),0),0)</ns0:f>
        <ns0:v/>
      </ns0:c>
      <ns0:c r="I648">
        <ns0:f>IF($H648=0,0,IFERROR(IF(AND(ABS($C648-INDEX('AH History'!$B$1:$B$18046,$H648))&lt;=MAX(0.005,ABS(INDEX('AH History'!$B$1:$B$18046,$H648))*0.00005),ABS($D648-INDEX('AH History'!$C$1:$C$18046,$H648))&lt;=MAX(0.005,ABS(INDEX('AH History'!$C$1:$C$18046,$H648))*0.00005),ABS($E648-INDEX('AH History'!$D$1:$D$18046,$H648))&lt;=0.00005,$F648=INDEX('AH History'!$E$1:$E$18046,$H648),$G648=INDEX('AH History'!$F$1:$F$18046,$H648)),1,-1),-1))</ns0:f>
        <ns0:v/>
      </ns0:c>
    </ns0:row>
    <ns0:row r="649">
      <ns0:c r="A649" s="215">
        <ns0:f>IF(OR(AH!$P$3=0,644+1&gt;AH!$P$11,AND(AH!$E$4&lt;&gt;"Stored",AH!$P$10&lt;&gt;1)),"",IFERROR(IF(AND(AH!$P$21=1,644+1=AH!$P$11),TODAY(),IF(AH!$P$10=1,INDEX('Live History'!$A$5:$A$3004,AH!$P$13+644),INDEX('AH History'!$A$1:$A$18046,AH!$P$7+644))),""))</ns0:f>
        <ns0:v/>
      </ns0:c>
      <ns0:c r="B649" s="219">
        <ns0:f>IFERROR(IF(AND(AH!$P$9&lt;&gt;1,$C649&gt;0,$D649&gt;0,$E649&gt;0,$F649&gt;0,$G649&gt;0,$F649&lt;=$A649,$G649&lt;=$A649,$A649-$F649&lt;=10,$A649-$G649&lt;=5),$D649*$E649/$C649-1,NA()),NA())</ns0:f>
        <ns0:v/>
      </ns0:c>
      <ns0:c r="C649">
        <ns0:f>IFERROR(IF(ISNUMBER($A649),IF(AND(AH!$P$10=1,AH!$P$12=1,$A649=TODAY()),AH!$P$19,IF(AH!$P$10=1,INDEX('Live History'!$B$5:$B$3004,AH!$P$13+644),INDEX('AH History'!$B$1:$B$18046,AH!$P$7+644))),NA()),NA())</ns0:f>
        <ns0:v/>
      </ns0:c>
      <ns0:c r="D649">
        <ns0:f>IFERROR(IF(ISNUMBER($A649),IF(AND(AH!$P$10=1,AH!$P$12=1,$A649=TODAY()),AH!$P$18,IF(AH!$P$10=1,INDEX('Live History'!$E$5:$E$3004,MATCH($A649,'Live History'!$D$5:$D$3004,1)),INDEX('AH History'!$C$1:$C$18046,AH!$P$7+644))),NA()),NA())</ns0:f>
        <ns0:v/>
      </ns0:c>
      <ns0:c r="E649">
        <ns0:f>IFERROR(IF(ISNUMBER($A649),IF(AND(AH!$P$10=1,AH!$P$12=1,$A649=TODAY()),AH!$P$20,IF(AH!$P$10=1,INDEX('Live History'!$H$5:$H$3004,MATCH($A649,'Live History'!$G$5:$G$3004,1)),INDEX('AH History'!$D$1:$D$18046,AH!$P$7+644))),NA()),NA())</ns0:f>
        <ns0:v/>
      </ns0:c>
      <ns0:c r="F649">
        <ns0:f>IFERROR(IF(ISNUMBER($A649),IF(AND(AH!$P$10=1,AH!$P$12=1,$A649=TODAY()),IF(AND(AH!$P$10=1,AH!$P$12=1,$A649=TODAY()),TODAY(),NA()),IF(AH!$P$10=1,INDEX('Live History'!$D$5:$D$3004,MATCH($A649,'Live History'!$D$5:$D$3004,1)),INDEX('AH History'!$E$1:$E$18046,AH!$P$7+644))),NA()),NA())</ns0:f>
        <ns0:v/>
      </ns0:c>
      <ns0:c r="G649">
        <ns0:f>IFERROR(IF(ISNUMBER($A649),IF(AND(AH!$P$10=1,AH!$P$12=1,$A649=TODAY()),IF(AND(AH!$P$10=1,AH!$P$12=1,$A649=TODAY()),TODAY(),NA()),IF(AH!$P$10=1,INDEX('Live History'!$G$5:$G$3004,MATCH($A649,'Live History'!$G$5:$G$3004,1)),INDEX('AH History'!$F$1:$F$18046,AH!$P$7+644))),NA()),NA())</ns0:f>
        <ns0:v/>
      </ns0:c>
      <ns0:c r="H649">
        <ns0:f>IFERROR(IF(AND(AH!$E$4="Bloomberg",AH!$P$10=1,ISNUMBER($A649),$A649&lt;=AH!$P$17),AH!$P$7-1+MATCH($A649,INDEX('AH History'!$A$1:$A$18046,AH!$P$7):INDEX('AH History'!$A$1:$A$18046,AH!$P$7+AH!$P$8-1),0),0),0)</ns0:f>
        <ns0:v/>
      </ns0:c>
      <ns0:c r="I649">
        <ns0:f>IF($H649=0,0,IFERROR(IF(AND(ABS($C649-INDEX('AH History'!$B$1:$B$18046,$H649))&lt;=MAX(0.005,ABS(INDEX('AH History'!$B$1:$B$18046,$H649))*0.00005),ABS($D649-INDEX('AH History'!$C$1:$C$18046,$H649))&lt;=MAX(0.005,ABS(INDEX('AH History'!$C$1:$C$18046,$H649))*0.00005),ABS($E649-INDEX('AH History'!$D$1:$D$18046,$H649))&lt;=0.00005,$F649=INDEX('AH History'!$E$1:$E$18046,$H649),$G649=INDEX('AH History'!$F$1:$F$18046,$H649)),1,-1),-1))</ns0:f>
        <ns0:v/>
      </ns0:c>
    </ns0:row>
    <ns0:row r="650">
      <ns0:c r="A650" s="215">
        <ns0:f>IF(OR(AH!$P$3=0,645+1&gt;AH!$P$11,AND(AH!$E$4&lt;&gt;"Stored",AH!$P$10&lt;&gt;1)),"",IFERROR(IF(AND(AH!$P$21=1,645+1=AH!$P$11),TODAY(),IF(AH!$P$10=1,INDEX('Live History'!$A$5:$A$3004,AH!$P$13+645),INDEX('AH History'!$A$1:$A$18046,AH!$P$7+645))),""))</ns0:f>
        <ns0:v/>
      </ns0:c>
      <ns0:c r="B650" s="219">
        <ns0:f>IFERROR(IF(AND(AH!$P$9&lt;&gt;1,$C650&gt;0,$D650&gt;0,$E650&gt;0,$F650&gt;0,$G650&gt;0,$F650&lt;=$A650,$G650&lt;=$A650,$A650-$F650&lt;=10,$A650-$G650&lt;=5),$D650*$E650/$C650-1,NA()),NA())</ns0:f>
        <ns0:v/>
      </ns0:c>
      <ns0:c r="C650">
        <ns0:f>IFERROR(IF(ISNUMBER($A650),IF(AND(AH!$P$10=1,AH!$P$12=1,$A650=TODAY()),AH!$P$19,IF(AH!$P$10=1,INDEX('Live History'!$B$5:$B$3004,AH!$P$13+645),INDEX('AH History'!$B$1:$B$18046,AH!$P$7+645))),NA()),NA())</ns0:f>
        <ns0:v/>
      </ns0:c>
      <ns0:c r="D650">
        <ns0:f>IFERROR(IF(ISNUMBER($A650),IF(AND(AH!$P$10=1,AH!$P$12=1,$A650=TODAY()),AH!$P$18,IF(AH!$P$10=1,INDEX('Live History'!$E$5:$E$3004,MATCH($A650,'Live History'!$D$5:$D$3004,1)),INDEX('AH History'!$C$1:$C$18046,AH!$P$7+645))),NA()),NA())</ns0:f>
        <ns0:v/>
      </ns0:c>
      <ns0:c r="E650">
        <ns0:f>IFERROR(IF(ISNUMBER($A650),IF(AND(AH!$P$10=1,AH!$P$12=1,$A650=TODAY()),AH!$P$20,IF(AH!$P$10=1,INDEX('Live History'!$H$5:$H$3004,MATCH($A650,'Live History'!$G$5:$G$3004,1)),INDEX('AH History'!$D$1:$D$18046,AH!$P$7+645))),NA()),NA())</ns0:f>
        <ns0:v/>
      </ns0:c>
      <ns0:c r="F650">
        <ns0:f>IFERROR(IF(ISNUMBER($A650),IF(AND(AH!$P$10=1,AH!$P$12=1,$A650=TODAY()),IF(AND(AH!$P$10=1,AH!$P$12=1,$A650=TODAY()),TODAY(),NA()),IF(AH!$P$10=1,INDEX('Live History'!$D$5:$D$3004,MATCH($A650,'Live History'!$D$5:$D$3004,1)),INDEX('AH History'!$E$1:$E$18046,AH!$P$7+645))),NA()),NA())</ns0:f>
        <ns0:v/>
      </ns0:c>
      <ns0:c r="G650">
        <ns0:f>IFERROR(IF(ISNUMBER($A650),IF(AND(AH!$P$10=1,AH!$P$12=1,$A650=TODAY()),IF(AND(AH!$P$10=1,AH!$P$12=1,$A650=TODAY()),TODAY(),NA()),IF(AH!$P$10=1,INDEX('Live History'!$G$5:$G$3004,MATCH($A650,'Live History'!$G$5:$G$3004,1)),INDEX('AH History'!$F$1:$F$18046,AH!$P$7+645))),NA()),NA())</ns0:f>
        <ns0:v/>
      </ns0:c>
      <ns0:c r="H650">
        <ns0:f>IFERROR(IF(AND(AH!$E$4="Bloomberg",AH!$P$10=1,ISNUMBER($A650),$A650&lt;=AH!$P$17),AH!$P$7-1+MATCH($A650,INDEX('AH History'!$A$1:$A$18046,AH!$P$7):INDEX('AH History'!$A$1:$A$18046,AH!$P$7+AH!$P$8-1),0),0),0)</ns0:f>
        <ns0:v/>
      </ns0:c>
      <ns0:c r="I650">
        <ns0:f>IF($H650=0,0,IFERROR(IF(AND(ABS($C650-INDEX('AH History'!$B$1:$B$18046,$H650))&lt;=MAX(0.005,ABS(INDEX('AH History'!$B$1:$B$18046,$H650))*0.00005),ABS($D650-INDEX('AH History'!$C$1:$C$18046,$H650))&lt;=MAX(0.005,ABS(INDEX('AH History'!$C$1:$C$18046,$H650))*0.00005),ABS($E650-INDEX('AH History'!$D$1:$D$18046,$H650))&lt;=0.00005,$F650=INDEX('AH History'!$E$1:$E$18046,$H650),$G650=INDEX('AH History'!$F$1:$F$18046,$H650)),1,-1),-1))</ns0:f>
        <ns0:v/>
      </ns0:c>
    </ns0:row>
    <ns0:row r="651">
      <ns0:c r="A651" s="215">
        <ns0:f>IF(OR(AH!$P$3=0,646+1&gt;AH!$P$11,AND(AH!$E$4&lt;&gt;"Stored",AH!$P$10&lt;&gt;1)),"",IFERROR(IF(AND(AH!$P$21=1,646+1=AH!$P$11),TODAY(),IF(AH!$P$10=1,INDEX('Live History'!$A$5:$A$3004,AH!$P$13+646),INDEX('AH History'!$A$1:$A$18046,AH!$P$7+646))),""))</ns0:f>
        <ns0:v/>
      </ns0:c>
      <ns0:c r="B651" s="219">
        <ns0:f>IFERROR(IF(AND(AH!$P$9&lt;&gt;1,$C651&gt;0,$D651&gt;0,$E651&gt;0,$F651&gt;0,$G651&gt;0,$F651&lt;=$A651,$G651&lt;=$A651,$A651-$F651&lt;=10,$A651-$G651&lt;=5),$D651*$E651/$C651-1,NA()),NA())</ns0:f>
        <ns0:v/>
      </ns0:c>
      <ns0:c r="C651">
        <ns0:f>IFERROR(IF(ISNUMBER($A651),IF(AND(AH!$P$10=1,AH!$P$12=1,$A651=TODAY()),AH!$P$19,IF(AH!$P$10=1,INDEX('Live History'!$B$5:$B$3004,AH!$P$13+646),INDEX('AH History'!$B$1:$B$18046,AH!$P$7+646))),NA()),NA())</ns0:f>
        <ns0:v/>
      </ns0:c>
      <ns0:c r="D651">
        <ns0:f>IFERROR(IF(ISNUMBER($A651),IF(AND(AH!$P$10=1,AH!$P$12=1,$A651=TODAY()),AH!$P$18,IF(AH!$P$10=1,INDEX('Live History'!$E$5:$E$3004,MATCH($A651,'Live History'!$D$5:$D$3004,1)),INDEX('AH History'!$C$1:$C$18046,AH!$P$7+646))),NA()),NA())</ns0:f>
        <ns0:v/>
      </ns0:c>
      <ns0:c r="E651">
        <ns0:f>IFERROR(IF(ISNUMBER($A651),IF(AND(AH!$P$10=1,AH!$P$12=1,$A651=TODAY()),AH!$P$20,IF(AH!$P$10=1,INDEX('Live History'!$H$5:$H$3004,MATCH($A651,'Live History'!$G$5:$G$3004,1)),INDEX('AH History'!$D$1:$D$18046,AH!$P$7+646))),NA()),NA())</ns0:f>
        <ns0:v/>
      </ns0:c>
      <ns0:c r="F651">
        <ns0:f>IFERROR(IF(ISNUMBER($A651),IF(AND(AH!$P$10=1,AH!$P$12=1,$A651=TODAY()),IF(AND(AH!$P$10=1,AH!$P$12=1,$A651=TODAY()),TODAY(),NA()),IF(AH!$P$10=1,INDEX('Live History'!$D$5:$D$3004,MATCH($A651,'Live History'!$D$5:$D$3004,1)),INDEX('AH History'!$E$1:$E$18046,AH!$P$7+646))),NA()),NA())</ns0:f>
        <ns0:v/>
      </ns0:c>
      <ns0:c r="G651">
        <ns0:f>IFERROR(IF(ISNUMBER($A651),IF(AND(AH!$P$10=1,AH!$P$12=1,$A651=TODAY()),IF(AND(AH!$P$10=1,AH!$P$12=1,$A651=TODAY()),TODAY(),NA()),IF(AH!$P$10=1,INDEX('Live History'!$G$5:$G$3004,MATCH($A651,'Live History'!$G$5:$G$3004,1)),INDEX('AH History'!$F$1:$F$18046,AH!$P$7+646))),NA()),NA())</ns0:f>
        <ns0:v/>
      </ns0:c>
      <ns0:c r="H651">
        <ns0:f>IFERROR(IF(AND(AH!$E$4="Bloomberg",AH!$P$10=1,ISNUMBER($A651),$A651&lt;=AH!$P$17),AH!$P$7-1+MATCH($A651,INDEX('AH History'!$A$1:$A$18046,AH!$P$7):INDEX('AH History'!$A$1:$A$18046,AH!$P$7+AH!$P$8-1),0),0),0)</ns0:f>
        <ns0:v/>
      </ns0:c>
      <ns0:c r="I651">
        <ns0:f>IF($H651=0,0,IFERROR(IF(AND(ABS($C651-INDEX('AH History'!$B$1:$B$18046,$H651))&lt;=MAX(0.005,ABS(INDEX('AH History'!$B$1:$B$18046,$H651))*0.00005),ABS($D651-INDEX('AH History'!$C$1:$C$18046,$H651))&lt;=MAX(0.005,ABS(INDEX('AH History'!$C$1:$C$18046,$H651))*0.00005),ABS($E651-INDEX('AH History'!$D$1:$D$18046,$H651))&lt;=0.00005,$F651=INDEX('AH History'!$E$1:$E$18046,$H651),$G651=INDEX('AH History'!$F$1:$F$18046,$H651)),1,-1),-1))</ns0:f>
        <ns0:v/>
      </ns0:c>
    </ns0:row>
    <ns0:row r="652">
      <ns0:c r="A652" s="215">
        <ns0:f>IF(OR(AH!$P$3=0,647+1&gt;AH!$P$11,AND(AH!$E$4&lt;&gt;"Stored",AH!$P$10&lt;&gt;1)),"",IFERROR(IF(AND(AH!$P$21=1,647+1=AH!$P$11),TODAY(),IF(AH!$P$10=1,INDEX('Live History'!$A$5:$A$3004,AH!$P$13+647),INDEX('AH History'!$A$1:$A$18046,AH!$P$7+647))),""))</ns0:f>
        <ns0:v/>
      </ns0:c>
      <ns0:c r="B652" s="219">
        <ns0:f>IFERROR(IF(AND(AH!$P$9&lt;&gt;1,$C652&gt;0,$D652&gt;0,$E652&gt;0,$F652&gt;0,$G652&gt;0,$F652&lt;=$A652,$G652&lt;=$A652,$A652-$F652&lt;=10,$A652-$G652&lt;=5),$D652*$E652/$C652-1,NA()),NA())</ns0:f>
        <ns0:v/>
      </ns0:c>
      <ns0:c r="C652">
        <ns0:f>IFERROR(IF(ISNUMBER($A652),IF(AND(AH!$P$10=1,AH!$P$12=1,$A652=TODAY()),AH!$P$19,IF(AH!$P$10=1,INDEX('Live History'!$B$5:$B$3004,AH!$P$13+647),INDEX('AH History'!$B$1:$B$18046,AH!$P$7+647))),NA()),NA())</ns0:f>
        <ns0:v/>
      </ns0:c>
      <ns0:c r="D652">
        <ns0:f>IFERROR(IF(ISNUMBER($A652),IF(AND(AH!$P$10=1,AH!$P$12=1,$A652=TODAY()),AH!$P$18,IF(AH!$P$10=1,INDEX('Live History'!$E$5:$E$3004,MATCH($A652,'Live History'!$D$5:$D$3004,1)),INDEX('AH History'!$C$1:$C$18046,AH!$P$7+647))),NA()),NA())</ns0:f>
        <ns0:v/>
      </ns0:c>
      <ns0:c r="E652">
        <ns0:f>IFERROR(IF(ISNUMBER($A652),IF(AND(AH!$P$10=1,AH!$P$12=1,$A652=TODAY()),AH!$P$20,IF(AH!$P$10=1,INDEX('Live History'!$H$5:$H$3004,MATCH($A652,'Live History'!$G$5:$G$3004,1)),INDEX('AH History'!$D$1:$D$18046,AH!$P$7+647))),NA()),NA())</ns0:f>
        <ns0:v/>
      </ns0:c>
      <ns0:c r="F652">
        <ns0:f>IFERROR(IF(ISNUMBER($A652),IF(AND(AH!$P$10=1,AH!$P$12=1,$A652=TODAY()),IF(AND(AH!$P$10=1,AH!$P$12=1,$A652=TODAY()),TODAY(),NA()),IF(AH!$P$10=1,INDEX('Live History'!$D$5:$D$3004,MATCH($A652,'Live History'!$D$5:$D$3004,1)),INDEX('AH History'!$E$1:$E$18046,AH!$P$7+647))),NA()),NA())</ns0:f>
        <ns0:v/>
      </ns0:c>
      <ns0:c r="G652">
        <ns0:f>IFERROR(IF(ISNUMBER($A652),IF(AND(AH!$P$10=1,AH!$P$12=1,$A652=TODAY()),IF(AND(AH!$P$10=1,AH!$P$12=1,$A652=TODAY()),TODAY(),NA()),IF(AH!$P$10=1,INDEX('Live History'!$G$5:$G$3004,MATCH($A652,'Live History'!$G$5:$G$3004,1)),INDEX('AH History'!$F$1:$F$18046,AH!$P$7+647))),NA()),NA())</ns0:f>
        <ns0:v/>
      </ns0:c>
      <ns0:c r="H652">
        <ns0:f>IFERROR(IF(AND(AH!$E$4="Bloomberg",AH!$P$10=1,ISNUMBER($A652),$A652&lt;=AH!$P$17),AH!$P$7-1+MATCH($A652,INDEX('AH History'!$A$1:$A$18046,AH!$P$7):INDEX('AH History'!$A$1:$A$18046,AH!$P$7+AH!$P$8-1),0),0),0)</ns0:f>
        <ns0:v/>
      </ns0:c>
      <ns0:c r="I652">
        <ns0:f>IF($H652=0,0,IFERROR(IF(AND(ABS($C652-INDEX('AH History'!$B$1:$B$18046,$H652))&lt;=MAX(0.005,ABS(INDEX('AH History'!$B$1:$B$18046,$H652))*0.00005),ABS($D652-INDEX('AH History'!$C$1:$C$18046,$H652))&lt;=MAX(0.005,ABS(INDEX('AH History'!$C$1:$C$18046,$H652))*0.00005),ABS($E652-INDEX('AH History'!$D$1:$D$18046,$H652))&lt;=0.00005,$F652=INDEX('AH History'!$E$1:$E$18046,$H652),$G652=INDEX('AH History'!$F$1:$F$18046,$H652)),1,-1),-1))</ns0:f>
        <ns0:v/>
      </ns0:c>
    </ns0:row>
    <ns0:row r="653">
      <ns0:c r="A653" s="215">
        <ns0:f>IF(OR(AH!$P$3=0,648+1&gt;AH!$P$11,AND(AH!$E$4&lt;&gt;"Stored",AH!$P$10&lt;&gt;1)),"",IFERROR(IF(AND(AH!$P$21=1,648+1=AH!$P$11),TODAY(),IF(AH!$P$10=1,INDEX('Live History'!$A$5:$A$3004,AH!$P$13+648),INDEX('AH History'!$A$1:$A$18046,AH!$P$7+648))),""))</ns0:f>
        <ns0:v/>
      </ns0:c>
      <ns0:c r="B653" s="219">
        <ns0:f>IFERROR(IF(AND(AH!$P$9&lt;&gt;1,$C653&gt;0,$D653&gt;0,$E653&gt;0,$F653&gt;0,$G653&gt;0,$F653&lt;=$A653,$G653&lt;=$A653,$A653-$F653&lt;=10,$A653-$G653&lt;=5),$D653*$E653/$C653-1,NA()),NA())</ns0:f>
        <ns0:v/>
      </ns0:c>
      <ns0:c r="C653">
        <ns0:f>IFERROR(IF(ISNUMBER($A653),IF(AND(AH!$P$10=1,AH!$P$12=1,$A653=TODAY()),AH!$P$19,IF(AH!$P$10=1,INDEX('Live History'!$B$5:$B$3004,AH!$P$13+648),INDEX('AH History'!$B$1:$B$18046,AH!$P$7+648))),NA()),NA())</ns0:f>
        <ns0:v/>
      </ns0:c>
      <ns0:c r="D653">
        <ns0:f>IFERROR(IF(ISNUMBER($A653),IF(AND(AH!$P$10=1,AH!$P$12=1,$A653=TODAY()),AH!$P$18,IF(AH!$P$10=1,INDEX('Live History'!$E$5:$E$3004,MATCH($A653,'Live History'!$D$5:$D$3004,1)),INDEX('AH History'!$C$1:$C$18046,AH!$P$7+648))),NA()),NA())</ns0:f>
        <ns0:v/>
      </ns0:c>
      <ns0:c r="E653">
        <ns0:f>IFERROR(IF(ISNUMBER($A653),IF(AND(AH!$P$10=1,AH!$P$12=1,$A653=TODAY()),AH!$P$20,IF(AH!$P$10=1,INDEX('Live History'!$H$5:$H$3004,MATCH($A653,'Live History'!$G$5:$G$3004,1)),INDEX('AH History'!$D$1:$D$18046,AH!$P$7+648))),NA()),NA())</ns0:f>
        <ns0:v/>
      </ns0:c>
      <ns0:c r="F653">
        <ns0:f>IFERROR(IF(ISNUMBER($A653),IF(AND(AH!$P$10=1,AH!$P$12=1,$A653=TODAY()),IF(AND(AH!$P$10=1,AH!$P$12=1,$A653=TODAY()),TODAY(),NA()),IF(AH!$P$10=1,INDEX('Live History'!$D$5:$D$3004,MATCH($A653,'Live History'!$D$5:$D$3004,1)),INDEX('AH History'!$E$1:$E$18046,AH!$P$7+648))),NA()),NA())</ns0:f>
        <ns0:v/>
      </ns0:c>
      <ns0:c r="G653">
        <ns0:f>IFERROR(IF(ISNUMBER($A653),IF(AND(AH!$P$10=1,AH!$P$12=1,$A653=TODAY()),IF(AND(AH!$P$10=1,AH!$P$12=1,$A653=TODAY()),TODAY(),NA()),IF(AH!$P$10=1,INDEX('Live History'!$G$5:$G$3004,MATCH($A653,'Live History'!$G$5:$G$3004,1)),INDEX('AH History'!$F$1:$F$18046,AH!$P$7+648))),NA()),NA())</ns0:f>
        <ns0:v/>
      </ns0:c>
      <ns0:c r="H653">
        <ns0:f>IFERROR(IF(AND(AH!$E$4="Bloomberg",AH!$P$10=1,ISNUMBER($A653),$A653&lt;=AH!$P$17),AH!$P$7-1+MATCH($A653,INDEX('AH History'!$A$1:$A$18046,AH!$P$7):INDEX('AH History'!$A$1:$A$18046,AH!$P$7+AH!$P$8-1),0),0),0)</ns0:f>
        <ns0:v/>
      </ns0:c>
      <ns0:c r="I653">
        <ns0:f>IF($H653=0,0,IFERROR(IF(AND(ABS($C653-INDEX('AH History'!$B$1:$B$18046,$H653))&lt;=MAX(0.005,ABS(INDEX('AH History'!$B$1:$B$18046,$H653))*0.00005),ABS($D653-INDEX('AH History'!$C$1:$C$18046,$H653))&lt;=MAX(0.005,ABS(INDEX('AH History'!$C$1:$C$18046,$H653))*0.00005),ABS($E653-INDEX('AH History'!$D$1:$D$18046,$H653))&lt;=0.00005,$F653=INDEX('AH History'!$E$1:$E$18046,$H653),$G653=INDEX('AH History'!$F$1:$F$18046,$H653)),1,-1),-1))</ns0:f>
        <ns0:v/>
      </ns0:c>
    </ns0:row>
    <ns0:row r="654">
      <ns0:c r="A654" s="215">
        <ns0:f>IF(OR(AH!$P$3=0,649+1&gt;AH!$P$11,AND(AH!$E$4&lt;&gt;"Stored",AH!$P$10&lt;&gt;1)),"",IFERROR(IF(AND(AH!$P$21=1,649+1=AH!$P$11),TODAY(),IF(AH!$P$10=1,INDEX('Live History'!$A$5:$A$3004,AH!$P$13+649),INDEX('AH History'!$A$1:$A$18046,AH!$P$7+649))),""))</ns0:f>
        <ns0:v/>
      </ns0:c>
      <ns0:c r="B654" s="219">
        <ns0:f>IFERROR(IF(AND(AH!$P$9&lt;&gt;1,$C654&gt;0,$D654&gt;0,$E654&gt;0,$F654&gt;0,$G654&gt;0,$F654&lt;=$A654,$G654&lt;=$A654,$A654-$F654&lt;=10,$A654-$G654&lt;=5),$D654*$E654/$C654-1,NA()),NA())</ns0:f>
        <ns0:v/>
      </ns0:c>
      <ns0:c r="C654">
        <ns0:f>IFERROR(IF(ISNUMBER($A654),IF(AND(AH!$P$10=1,AH!$P$12=1,$A654=TODAY()),AH!$P$19,IF(AH!$P$10=1,INDEX('Live History'!$B$5:$B$3004,AH!$P$13+649),INDEX('AH History'!$B$1:$B$18046,AH!$P$7+649))),NA()),NA())</ns0:f>
        <ns0:v/>
      </ns0:c>
      <ns0:c r="D654">
        <ns0:f>IFERROR(IF(ISNUMBER($A654),IF(AND(AH!$P$10=1,AH!$P$12=1,$A654=TODAY()),AH!$P$18,IF(AH!$P$10=1,INDEX('Live History'!$E$5:$E$3004,MATCH($A654,'Live History'!$D$5:$D$3004,1)),INDEX('AH History'!$C$1:$C$18046,AH!$P$7+649))),NA()),NA())</ns0:f>
        <ns0:v/>
      </ns0:c>
      <ns0:c r="E654">
        <ns0:f>IFERROR(IF(ISNUMBER($A654),IF(AND(AH!$P$10=1,AH!$P$12=1,$A654=TODAY()),AH!$P$20,IF(AH!$P$10=1,INDEX('Live History'!$H$5:$H$3004,MATCH($A654,'Live History'!$G$5:$G$3004,1)),INDEX('AH History'!$D$1:$D$18046,AH!$P$7+649))),NA()),NA())</ns0:f>
        <ns0:v/>
      </ns0:c>
      <ns0:c r="F654">
        <ns0:f>IFERROR(IF(ISNUMBER($A654),IF(AND(AH!$P$10=1,AH!$P$12=1,$A654=TODAY()),IF(AND(AH!$P$10=1,AH!$P$12=1,$A654=TODAY()),TODAY(),NA()),IF(AH!$P$10=1,INDEX('Live History'!$D$5:$D$3004,MATCH($A654,'Live History'!$D$5:$D$3004,1)),INDEX('AH History'!$E$1:$E$18046,AH!$P$7+649))),NA()),NA())</ns0:f>
        <ns0:v/>
      </ns0:c>
      <ns0:c r="G654">
        <ns0:f>IFERROR(IF(ISNUMBER($A654),IF(AND(AH!$P$10=1,AH!$P$12=1,$A654=TODAY()),IF(AND(AH!$P$10=1,AH!$P$12=1,$A654=TODAY()),TODAY(),NA()),IF(AH!$P$10=1,INDEX('Live History'!$G$5:$G$3004,MATCH($A654,'Live History'!$G$5:$G$3004,1)),INDEX('AH History'!$F$1:$F$18046,AH!$P$7+649))),NA()),NA())</ns0:f>
        <ns0:v/>
      </ns0:c>
      <ns0:c r="H654">
        <ns0:f>IFERROR(IF(AND(AH!$E$4="Bloomberg",AH!$P$10=1,ISNUMBER($A654),$A654&lt;=AH!$P$17),AH!$P$7-1+MATCH($A654,INDEX('AH History'!$A$1:$A$18046,AH!$P$7):INDEX('AH History'!$A$1:$A$18046,AH!$P$7+AH!$P$8-1),0),0),0)</ns0:f>
        <ns0:v/>
      </ns0:c>
      <ns0:c r="I654">
        <ns0:f>IF($H654=0,0,IFERROR(IF(AND(ABS($C654-INDEX('AH History'!$B$1:$B$18046,$H654))&lt;=MAX(0.005,ABS(INDEX('AH History'!$B$1:$B$18046,$H654))*0.00005),ABS($D654-INDEX('AH History'!$C$1:$C$18046,$H654))&lt;=MAX(0.005,ABS(INDEX('AH History'!$C$1:$C$18046,$H654))*0.00005),ABS($E654-INDEX('AH History'!$D$1:$D$18046,$H654))&lt;=0.00005,$F654=INDEX('AH History'!$E$1:$E$18046,$H654),$G654=INDEX('AH History'!$F$1:$F$18046,$H654)),1,-1),-1))</ns0:f>
        <ns0:v/>
      </ns0:c>
    </ns0:row>
    <ns0:row r="655">
      <ns0:c r="A655" s="215">
        <ns0:f>IF(OR(AH!$P$3=0,650+1&gt;AH!$P$11,AND(AH!$E$4&lt;&gt;"Stored",AH!$P$10&lt;&gt;1)),"",IFERROR(IF(AND(AH!$P$21=1,650+1=AH!$P$11),TODAY(),IF(AH!$P$10=1,INDEX('Live History'!$A$5:$A$3004,AH!$P$13+650),INDEX('AH History'!$A$1:$A$18046,AH!$P$7+650))),""))</ns0:f>
        <ns0:v/>
      </ns0:c>
      <ns0:c r="B655" s="219">
        <ns0:f>IFERROR(IF(AND(AH!$P$9&lt;&gt;1,$C655&gt;0,$D655&gt;0,$E655&gt;0,$F655&gt;0,$G655&gt;0,$F655&lt;=$A655,$G655&lt;=$A655,$A655-$F655&lt;=10,$A655-$G655&lt;=5),$D655*$E655/$C655-1,NA()),NA())</ns0:f>
        <ns0:v/>
      </ns0:c>
      <ns0:c r="C655">
        <ns0:f>IFERROR(IF(ISNUMBER($A655),IF(AND(AH!$P$10=1,AH!$P$12=1,$A655=TODAY()),AH!$P$19,IF(AH!$P$10=1,INDEX('Live History'!$B$5:$B$3004,AH!$P$13+650),INDEX('AH History'!$B$1:$B$18046,AH!$P$7+650))),NA()),NA())</ns0:f>
        <ns0:v/>
      </ns0:c>
      <ns0:c r="D655">
        <ns0:f>IFERROR(IF(ISNUMBER($A655),IF(AND(AH!$P$10=1,AH!$P$12=1,$A655=TODAY()),AH!$P$18,IF(AH!$P$10=1,INDEX('Live History'!$E$5:$E$3004,MATCH($A655,'Live History'!$D$5:$D$3004,1)),INDEX('AH History'!$C$1:$C$18046,AH!$P$7+650))),NA()),NA())</ns0:f>
        <ns0:v/>
      </ns0:c>
      <ns0:c r="E655">
        <ns0:f>IFERROR(IF(ISNUMBER($A655),IF(AND(AH!$P$10=1,AH!$P$12=1,$A655=TODAY()),AH!$P$20,IF(AH!$P$10=1,INDEX('Live History'!$H$5:$H$3004,MATCH($A655,'Live History'!$G$5:$G$3004,1)),INDEX('AH History'!$D$1:$D$18046,AH!$P$7+650))),NA()),NA())</ns0:f>
        <ns0:v/>
      </ns0:c>
      <ns0:c r="F655">
        <ns0:f>IFERROR(IF(ISNUMBER($A655),IF(AND(AH!$P$10=1,AH!$P$12=1,$A655=TODAY()),IF(AND(AH!$P$10=1,AH!$P$12=1,$A655=TODAY()),TODAY(),NA()),IF(AH!$P$10=1,INDEX('Live History'!$D$5:$D$3004,MATCH($A655,'Live History'!$D$5:$D$3004,1)),INDEX('AH History'!$E$1:$E$18046,AH!$P$7+650))),NA()),NA())</ns0:f>
        <ns0:v/>
      </ns0:c>
      <ns0:c r="G655">
        <ns0:f>IFERROR(IF(ISNUMBER($A655),IF(AND(AH!$P$10=1,AH!$P$12=1,$A655=TODAY()),IF(AND(AH!$P$10=1,AH!$P$12=1,$A655=TODAY()),TODAY(),NA()),IF(AH!$P$10=1,INDEX('Live History'!$G$5:$G$3004,MATCH($A655,'Live History'!$G$5:$G$3004,1)),INDEX('AH History'!$F$1:$F$18046,AH!$P$7+650))),NA()),NA())</ns0:f>
        <ns0:v/>
      </ns0:c>
      <ns0:c r="H655">
        <ns0:f>IFERROR(IF(AND(AH!$E$4="Bloomberg",AH!$P$10=1,ISNUMBER($A655),$A655&lt;=AH!$P$17),AH!$P$7-1+MATCH($A655,INDEX('AH History'!$A$1:$A$18046,AH!$P$7):INDEX('AH History'!$A$1:$A$18046,AH!$P$7+AH!$P$8-1),0),0),0)</ns0:f>
        <ns0:v/>
      </ns0:c>
      <ns0:c r="I655">
        <ns0:f>IF($H655=0,0,IFERROR(IF(AND(ABS($C655-INDEX('AH History'!$B$1:$B$18046,$H655))&lt;=MAX(0.005,ABS(INDEX('AH History'!$B$1:$B$18046,$H655))*0.00005),ABS($D655-INDEX('AH History'!$C$1:$C$18046,$H655))&lt;=MAX(0.005,ABS(INDEX('AH History'!$C$1:$C$18046,$H655))*0.00005),ABS($E655-INDEX('AH History'!$D$1:$D$18046,$H655))&lt;=0.00005,$F655=INDEX('AH History'!$E$1:$E$18046,$H655),$G655=INDEX('AH History'!$F$1:$F$18046,$H655)),1,-1),-1))</ns0:f>
        <ns0:v/>
      </ns0:c>
    </ns0:row>
    <ns0:row r="656">
      <ns0:c r="A656" s="215">
        <ns0:f>IF(OR(AH!$P$3=0,651+1&gt;AH!$P$11,AND(AH!$E$4&lt;&gt;"Stored",AH!$P$10&lt;&gt;1)),"",IFERROR(IF(AND(AH!$P$21=1,651+1=AH!$P$11),TODAY(),IF(AH!$P$10=1,INDEX('Live History'!$A$5:$A$3004,AH!$P$13+651),INDEX('AH History'!$A$1:$A$18046,AH!$P$7+651))),""))</ns0:f>
        <ns0:v/>
      </ns0:c>
      <ns0:c r="B656" s="219">
        <ns0:f>IFERROR(IF(AND(AH!$P$9&lt;&gt;1,$C656&gt;0,$D656&gt;0,$E656&gt;0,$F656&gt;0,$G656&gt;0,$F656&lt;=$A656,$G656&lt;=$A656,$A656-$F656&lt;=10,$A656-$G656&lt;=5),$D656*$E656/$C656-1,NA()),NA())</ns0:f>
        <ns0:v/>
      </ns0:c>
      <ns0:c r="C656">
        <ns0:f>IFERROR(IF(ISNUMBER($A656),IF(AND(AH!$P$10=1,AH!$P$12=1,$A656=TODAY()),AH!$P$19,IF(AH!$P$10=1,INDEX('Live History'!$B$5:$B$3004,AH!$P$13+651),INDEX('AH History'!$B$1:$B$18046,AH!$P$7+651))),NA()),NA())</ns0:f>
        <ns0:v/>
      </ns0:c>
      <ns0:c r="D656">
        <ns0:f>IFERROR(IF(ISNUMBER($A656),IF(AND(AH!$P$10=1,AH!$P$12=1,$A656=TODAY()),AH!$P$18,IF(AH!$P$10=1,INDEX('Live History'!$E$5:$E$3004,MATCH($A656,'Live History'!$D$5:$D$3004,1)),INDEX('AH History'!$C$1:$C$18046,AH!$P$7+651))),NA()),NA())</ns0:f>
        <ns0:v/>
      </ns0:c>
      <ns0:c r="E656">
        <ns0:f>IFERROR(IF(ISNUMBER($A656),IF(AND(AH!$P$10=1,AH!$P$12=1,$A656=TODAY()),AH!$P$20,IF(AH!$P$10=1,INDEX('Live History'!$H$5:$H$3004,MATCH($A656,'Live History'!$G$5:$G$3004,1)),INDEX('AH History'!$D$1:$D$18046,AH!$P$7+651))),NA()),NA())</ns0:f>
        <ns0:v/>
      </ns0:c>
      <ns0:c r="F656">
        <ns0:f>IFERROR(IF(ISNUMBER($A656),IF(AND(AH!$P$10=1,AH!$P$12=1,$A656=TODAY()),IF(AND(AH!$P$10=1,AH!$P$12=1,$A656=TODAY()),TODAY(),NA()),IF(AH!$P$10=1,INDEX('Live History'!$D$5:$D$3004,MATCH($A656,'Live History'!$D$5:$D$3004,1)),INDEX('AH History'!$E$1:$E$18046,AH!$P$7+651))),NA()),NA())</ns0:f>
        <ns0:v/>
      </ns0:c>
      <ns0:c r="G656">
        <ns0:f>IFERROR(IF(ISNUMBER($A656),IF(AND(AH!$P$10=1,AH!$P$12=1,$A656=TODAY()),IF(AND(AH!$P$10=1,AH!$P$12=1,$A656=TODAY()),TODAY(),NA()),IF(AH!$P$10=1,INDEX('Live History'!$G$5:$G$3004,MATCH($A656,'Live History'!$G$5:$G$3004,1)),INDEX('AH History'!$F$1:$F$18046,AH!$P$7+651))),NA()),NA())</ns0:f>
        <ns0:v/>
      </ns0:c>
      <ns0:c r="H656">
        <ns0:f>IFERROR(IF(AND(AH!$E$4="Bloomberg",AH!$P$10=1,ISNUMBER($A656),$A656&lt;=AH!$P$17),AH!$P$7-1+MATCH($A656,INDEX('AH History'!$A$1:$A$18046,AH!$P$7):INDEX('AH History'!$A$1:$A$18046,AH!$P$7+AH!$P$8-1),0),0),0)</ns0:f>
        <ns0:v/>
      </ns0:c>
      <ns0:c r="I656">
        <ns0:f>IF($H656=0,0,IFERROR(IF(AND(ABS($C656-INDEX('AH History'!$B$1:$B$18046,$H656))&lt;=MAX(0.005,ABS(INDEX('AH History'!$B$1:$B$18046,$H656))*0.00005),ABS($D656-INDEX('AH History'!$C$1:$C$18046,$H656))&lt;=MAX(0.005,ABS(INDEX('AH History'!$C$1:$C$18046,$H656))*0.00005),ABS($E656-INDEX('AH History'!$D$1:$D$18046,$H656))&lt;=0.00005,$F656=INDEX('AH History'!$E$1:$E$18046,$H656),$G656=INDEX('AH History'!$F$1:$F$18046,$H656)),1,-1),-1))</ns0:f>
        <ns0:v/>
      </ns0:c>
    </ns0:row>
    <ns0:row r="657">
      <ns0:c r="A657" s="215">
        <ns0:f>IF(OR(AH!$P$3=0,652+1&gt;AH!$P$11,AND(AH!$E$4&lt;&gt;"Stored",AH!$P$10&lt;&gt;1)),"",IFERROR(IF(AND(AH!$P$21=1,652+1=AH!$P$11),TODAY(),IF(AH!$P$10=1,INDEX('Live History'!$A$5:$A$3004,AH!$P$13+652),INDEX('AH History'!$A$1:$A$18046,AH!$P$7+652))),""))</ns0:f>
        <ns0:v/>
      </ns0:c>
      <ns0:c r="B657" s="219">
        <ns0:f>IFERROR(IF(AND(AH!$P$9&lt;&gt;1,$C657&gt;0,$D657&gt;0,$E657&gt;0,$F657&gt;0,$G657&gt;0,$F657&lt;=$A657,$G657&lt;=$A657,$A657-$F657&lt;=10,$A657-$G657&lt;=5),$D657*$E657/$C657-1,NA()),NA())</ns0:f>
        <ns0:v/>
      </ns0:c>
      <ns0:c r="C657">
        <ns0:f>IFERROR(IF(ISNUMBER($A657),IF(AND(AH!$P$10=1,AH!$P$12=1,$A657=TODAY()),AH!$P$19,IF(AH!$P$10=1,INDEX('Live History'!$B$5:$B$3004,AH!$P$13+652),INDEX('AH History'!$B$1:$B$18046,AH!$P$7+652))),NA()),NA())</ns0:f>
        <ns0:v/>
      </ns0:c>
      <ns0:c r="D657">
        <ns0:f>IFERROR(IF(ISNUMBER($A657),IF(AND(AH!$P$10=1,AH!$P$12=1,$A657=TODAY()),AH!$P$18,IF(AH!$P$10=1,INDEX('Live History'!$E$5:$E$3004,MATCH($A657,'Live History'!$D$5:$D$3004,1)),INDEX('AH History'!$C$1:$C$18046,AH!$P$7+652))),NA()),NA())</ns0:f>
        <ns0:v/>
      </ns0:c>
      <ns0:c r="E657">
        <ns0:f>IFERROR(IF(ISNUMBER($A657),IF(AND(AH!$P$10=1,AH!$P$12=1,$A657=TODAY()),AH!$P$20,IF(AH!$P$10=1,INDEX('Live History'!$H$5:$H$3004,MATCH($A657,'Live History'!$G$5:$G$3004,1)),INDEX('AH History'!$D$1:$D$18046,AH!$P$7+652))),NA()),NA())</ns0:f>
        <ns0:v/>
      </ns0:c>
      <ns0:c r="F657">
        <ns0:f>IFERROR(IF(ISNUMBER($A657),IF(AND(AH!$P$10=1,AH!$P$12=1,$A657=TODAY()),IF(AND(AH!$P$10=1,AH!$P$12=1,$A657=TODAY()),TODAY(),NA()),IF(AH!$P$10=1,INDEX('Live History'!$D$5:$D$3004,MATCH($A657,'Live History'!$D$5:$D$3004,1)),INDEX('AH History'!$E$1:$E$18046,AH!$P$7+652))),NA()),NA())</ns0:f>
        <ns0:v/>
      </ns0:c>
      <ns0:c r="G657">
        <ns0:f>IFERROR(IF(ISNUMBER($A657),IF(AND(AH!$P$10=1,AH!$P$12=1,$A657=TODAY()),IF(AND(AH!$P$10=1,AH!$P$12=1,$A657=TODAY()),TODAY(),NA()),IF(AH!$P$10=1,INDEX('Live History'!$G$5:$G$3004,MATCH($A657,'Live History'!$G$5:$G$3004,1)),INDEX('AH History'!$F$1:$F$18046,AH!$P$7+652))),NA()),NA())</ns0:f>
        <ns0:v/>
      </ns0:c>
      <ns0:c r="H657">
        <ns0:f>IFERROR(IF(AND(AH!$E$4="Bloomberg",AH!$P$10=1,ISNUMBER($A657),$A657&lt;=AH!$P$17),AH!$P$7-1+MATCH($A657,INDEX('AH History'!$A$1:$A$18046,AH!$P$7):INDEX('AH History'!$A$1:$A$18046,AH!$P$7+AH!$P$8-1),0),0),0)</ns0:f>
        <ns0:v/>
      </ns0:c>
      <ns0:c r="I657">
        <ns0:f>IF($H657=0,0,IFERROR(IF(AND(ABS($C657-INDEX('AH History'!$B$1:$B$18046,$H657))&lt;=MAX(0.005,ABS(INDEX('AH History'!$B$1:$B$18046,$H657))*0.00005),ABS($D657-INDEX('AH History'!$C$1:$C$18046,$H657))&lt;=MAX(0.005,ABS(INDEX('AH History'!$C$1:$C$18046,$H657))*0.00005),ABS($E657-INDEX('AH History'!$D$1:$D$18046,$H657))&lt;=0.00005,$F657=INDEX('AH History'!$E$1:$E$18046,$H657),$G657=INDEX('AH History'!$F$1:$F$18046,$H657)),1,-1),-1))</ns0:f>
        <ns0:v/>
      </ns0:c>
    </ns0:row>
    <ns0:row r="658">
      <ns0:c r="A658" s="215">
        <ns0:f>IF(OR(AH!$P$3=0,653+1&gt;AH!$P$11,AND(AH!$E$4&lt;&gt;"Stored",AH!$P$10&lt;&gt;1)),"",IFERROR(IF(AND(AH!$P$21=1,653+1=AH!$P$11),TODAY(),IF(AH!$P$10=1,INDEX('Live History'!$A$5:$A$3004,AH!$P$13+653),INDEX('AH History'!$A$1:$A$18046,AH!$P$7+653))),""))</ns0:f>
        <ns0:v/>
      </ns0:c>
      <ns0:c r="B658" s="219">
        <ns0:f>IFERROR(IF(AND(AH!$P$9&lt;&gt;1,$C658&gt;0,$D658&gt;0,$E658&gt;0,$F658&gt;0,$G658&gt;0,$F658&lt;=$A658,$G658&lt;=$A658,$A658-$F658&lt;=10,$A658-$G658&lt;=5),$D658*$E658/$C658-1,NA()),NA())</ns0:f>
        <ns0:v/>
      </ns0:c>
      <ns0:c r="C658">
        <ns0:f>IFERROR(IF(ISNUMBER($A658),IF(AND(AH!$P$10=1,AH!$P$12=1,$A658=TODAY()),AH!$P$19,IF(AH!$P$10=1,INDEX('Live History'!$B$5:$B$3004,AH!$P$13+653),INDEX('AH History'!$B$1:$B$18046,AH!$P$7+653))),NA()),NA())</ns0:f>
        <ns0:v/>
      </ns0:c>
      <ns0:c r="D658">
        <ns0:f>IFERROR(IF(ISNUMBER($A658),IF(AND(AH!$P$10=1,AH!$P$12=1,$A658=TODAY()),AH!$P$18,IF(AH!$P$10=1,INDEX('Live History'!$E$5:$E$3004,MATCH($A658,'Live History'!$D$5:$D$3004,1)),INDEX('AH History'!$C$1:$C$18046,AH!$P$7+653))),NA()),NA())</ns0:f>
        <ns0:v/>
      </ns0:c>
      <ns0:c r="E658">
        <ns0:f>IFERROR(IF(ISNUMBER($A658),IF(AND(AH!$P$10=1,AH!$P$12=1,$A658=TODAY()),AH!$P$20,IF(AH!$P$10=1,INDEX('Live History'!$H$5:$H$3004,MATCH($A658,'Live History'!$G$5:$G$3004,1)),INDEX('AH History'!$D$1:$D$18046,AH!$P$7+653))),NA()),NA())</ns0:f>
        <ns0:v/>
      </ns0:c>
      <ns0:c r="F658">
        <ns0:f>IFERROR(IF(ISNUMBER($A658),IF(AND(AH!$P$10=1,AH!$P$12=1,$A658=TODAY()),IF(AND(AH!$P$10=1,AH!$P$12=1,$A658=TODAY()),TODAY(),NA()),IF(AH!$P$10=1,INDEX('Live History'!$D$5:$D$3004,MATCH($A658,'Live History'!$D$5:$D$3004,1)),INDEX('AH History'!$E$1:$E$18046,AH!$P$7+653))),NA()),NA())</ns0:f>
        <ns0:v/>
      </ns0:c>
      <ns0:c r="G658">
        <ns0:f>IFERROR(IF(ISNUMBER($A658),IF(AND(AH!$P$10=1,AH!$P$12=1,$A658=TODAY()),IF(AND(AH!$P$10=1,AH!$P$12=1,$A658=TODAY()),TODAY(),NA()),IF(AH!$P$10=1,INDEX('Live History'!$G$5:$G$3004,MATCH($A658,'Live History'!$G$5:$G$3004,1)),INDEX('AH History'!$F$1:$F$18046,AH!$P$7+653))),NA()),NA())</ns0:f>
        <ns0:v/>
      </ns0:c>
      <ns0:c r="H658">
        <ns0:f>IFERROR(IF(AND(AH!$E$4="Bloomberg",AH!$P$10=1,ISNUMBER($A658),$A658&lt;=AH!$P$17),AH!$P$7-1+MATCH($A658,INDEX('AH History'!$A$1:$A$18046,AH!$P$7):INDEX('AH History'!$A$1:$A$18046,AH!$P$7+AH!$P$8-1),0),0),0)</ns0:f>
        <ns0:v/>
      </ns0:c>
      <ns0:c r="I658">
        <ns0:f>IF($H658=0,0,IFERROR(IF(AND(ABS($C658-INDEX('AH History'!$B$1:$B$18046,$H658))&lt;=MAX(0.005,ABS(INDEX('AH History'!$B$1:$B$18046,$H658))*0.00005),ABS($D658-INDEX('AH History'!$C$1:$C$18046,$H658))&lt;=MAX(0.005,ABS(INDEX('AH History'!$C$1:$C$18046,$H658))*0.00005),ABS($E658-INDEX('AH History'!$D$1:$D$18046,$H658))&lt;=0.00005,$F658=INDEX('AH History'!$E$1:$E$18046,$H658),$G658=INDEX('AH History'!$F$1:$F$18046,$H658)),1,-1),-1))</ns0:f>
        <ns0:v/>
      </ns0:c>
    </ns0:row>
    <ns0:row r="659">
      <ns0:c r="A659" s="215">
        <ns0:f>IF(OR(AH!$P$3=0,654+1&gt;AH!$P$11,AND(AH!$E$4&lt;&gt;"Stored",AH!$P$10&lt;&gt;1)),"",IFERROR(IF(AND(AH!$P$21=1,654+1=AH!$P$11),TODAY(),IF(AH!$P$10=1,INDEX('Live History'!$A$5:$A$3004,AH!$P$13+654),INDEX('AH History'!$A$1:$A$18046,AH!$P$7+654))),""))</ns0:f>
        <ns0:v/>
      </ns0:c>
      <ns0:c r="B659" s="219">
        <ns0:f>IFERROR(IF(AND(AH!$P$9&lt;&gt;1,$C659&gt;0,$D659&gt;0,$E659&gt;0,$F659&gt;0,$G659&gt;0,$F659&lt;=$A659,$G659&lt;=$A659,$A659-$F659&lt;=10,$A659-$G659&lt;=5),$D659*$E659/$C659-1,NA()),NA())</ns0:f>
        <ns0:v/>
      </ns0:c>
      <ns0:c r="C659">
        <ns0:f>IFERROR(IF(ISNUMBER($A659),IF(AND(AH!$P$10=1,AH!$P$12=1,$A659=TODAY()),AH!$P$19,IF(AH!$P$10=1,INDEX('Live History'!$B$5:$B$3004,AH!$P$13+654),INDEX('AH History'!$B$1:$B$18046,AH!$P$7+654))),NA()),NA())</ns0:f>
        <ns0:v/>
      </ns0:c>
      <ns0:c r="D659">
        <ns0:f>IFERROR(IF(ISNUMBER($A659),IF(AND(AH!$P$10=1,AH!$P$12=1,$A659=TODAY()),AH!$P$18,IF(AH!$P$10=1,INDEX('Live History'!$E$5:$E$3004,MATCH($A659,'Live History'!$D$5:$D$3004,1)),INDEX('AH History'!$C$1:$C$18046,AH!$P$7+654))),NA()),NA())</ns0:f>
        <ns0:v/>
      </ns0:c>
      <ns0:c r="E659">
        <ns0:f>IFERROR(IF(ISNUMBER($A659),IF(AND(AH!$P$10=1,AH!$P$12=1,$A659=TODAY()),AH!$P$20,IF(AH!$P$10=1,INDEX('Live History'!$H$5:$H$3004,MATCH($A659,'Live History'!$G$5:$G$3004,1)),INDEX('AH History'!$D$1:$D$18046,AH!$P$7+654))),NA()),NA())</ns0:f>
        <ns0:v/>
      </ns0:c>
      <ns0:c r="F659">
        <ns0:f>IFERROR(IF(ISNUMBER($A659),IF(AND(AH!$P$10=1,AH!$P$12=1,$A659=TODAY()),IF(AND(AH!$P$10=1,AH!$P$12=1,$A659=TODAY()),TODAY(),NA()),IF(AH!$P$10=1,INDEX('Live History'!$D$5:$D$3004,MATCH($A659,'Live History'!$D$5:$D$3004,1)),INDEX('AH History'!$E$1:$E$18046,AH!$P$7+654))),NA()),NA())</ns0:f>
        <ns0:v/>
      </ns0:c>
      <ns0:c r="G659">
        <ns0:f>IFERROR(IF(ISNUMBER($A659),IF(AND(AH!$P$10=1,AH!$P$12=1,$A659=TODAY()),IF(AND(AH!$P$10=1,AH!$P$12=1,$A659=TODAY()),TODAY(),NA()),IF(AH!$P$10=1,INDEX('Live History'!$G$5:$G$3004,MATCH($A659,'Live History'!$G$5:$G$3004,1)),INDEX('AH History'!$F$1:$F$18046,AH!$P$7+654))),NA()),NA())</ns0:f>
        <ns0:v/>
      </ns0:c>
      <ns0:c r="H659">
        <ns0:f>IFERROR(IF(AND(AH!$E$4="Bloomberg",AH!$P$10=1,ISNUMBER($A659),$A659&lt;=AH!$P$17),AH!$P$7-1+MATCH($A659,INDEX('AH History'!$A$1:$A$18046,AH!$P$7):INDEX('AH History'!$A$1:$A$18046,AH!$P$7+AH!$P$8-1),0),0),0)</ns0:f>
        <ns0:v/>
      </ns0:c>
      <ns0:c r="I659">
        <ns0:f>IF($H659=0,0,IFERROR(IF(AND(ABS($C659-INDEX('AH History'!$B$1:$B$18046,$H659))&lt;=MAX(0.005,ABS(INDEX('AH History'!$B$1:$B$18046,$H659))*0.00005),ABS($D659-INDEX('AH History'!$C$1:$C$18046,$H659))&lt;=MAX(0.005,ABS(INDEX('AH History'!$C$1:$C$18046,$H659))*0.00005),ABS($E659-INDEX('AH History'!$D$1:$D$18046,$H659))&lt;=0.00005,$F659=INDEX('AH History'!$E$1:$E$18046,$H659),$G659=INDEX('AH History'!$F$1:$F$18046,$H659)),1,-1),-1))</ns0:f>
        <ns0:v/>
      </ns0:c>
    </ns0:row>
    <ns0:row r="660">
      <ns0:c r="A660" s="215">
        <ns0:f>IF(OR(AH!$P$3=0,655+1&gt;AH!$P$11,AND(AH!$E$4&lt;&gt;"Stored",AH!$P$10&lt;&gt;1)),"",IFERROR(IF(AND(AH!$P$21=1,655+1=AH!$P$11),TODAY(),IF(AH!$P$10=1,INDEX('Live History'!$A$5:$A$3004,AH!$P$13+655),INDEX('AH History'!$A$1:$A$18046,AH!$P$7+655))),""))</ns0:f>
        <ns0:v/>
      </ns0:c>
      <ns0:c r="B660" s="219">
        <ns0:f>IFERROR(IF(AND(AH!$P$9&lt;&gt;1,$C660&gt;0,$D660&gt;0,$E660&gt;0,$F660&gt;0,$G660&gt;0,$F660&lt;=$A660,$G660&lt;=$A660,$A660-$F660&lt;=10,$A660-$G660&lt;=5),$D660*$E660/$C660-1,NA()),NA())</ns0:f>
        <ns0:v/>
      </ns0:c>
      <ns0:c r="C660">
        <ns0:f>IFERROR(IF(ISNUMBER($A660),IF(AND(AH!$P$10=1,AH!$P$12=1,$A660=TODAY()),AH!$P$19,IF(AH!$P$10=1,INDEX('Live History'!$B$5:$B$3004,AH!$P$13+655),INDEX('AH History'!$B$1:$B$18046,AH!$P$7+655))),NA()),NA())</ns0:f>
        <ns0:v/>
      </ns0:c>
      <ns0:c r="D660">
        <ns0:f>IFERROR(IF(ISNUMBER($A660),IF(AND(AH!$P$10=1,AH!$P$12=1,$A660=TODAY()),AH!$P$18,IF(AH!$P$10=1,INDEX('Live History'!$E$5:$E$3004,MATCH($A660,'Live History'!$D$5:$D$3004,1)),INDEX('AH History'!$C$1:$C$18046,AH!$P$7+655))),NA()),NA())</ns0:f>
        <ns0:v/>
      </ns0:c>
      <ns0:c r="E660">
        <ns0:f>IFERROR(IF(ISNUMBER($A660),IF(AND(AH!$P$10=1,AH!$P$12=1,$A660=TODAY()),AH!$P$20,IF(AH!$P$10=1,INDEX('Live History'!$H$5:$H$3004,MATCH($A660,'Live History'!$G$5:$G$3004,1)),INDEX('AH History'!$D$1:$D$18046,AH!$P$7+655))),NA()),NA())</ns0:f>
        <ns0:v/>
      </ns0:c>
      <ns0:c r="F660">
        <ns0:f>IFERROR(IF(ISNUMBER($A660),IF(AND(AH!$P$10=1,AH!$P$12=1,$A660=TODAY()),IF(AND(AH!$P$10=1,AH!$P$12=1,$A660=TODAY()),TODAY(),NA()),IF(AH!$P$10=1,INDEX('Live History'!$D$5:$D$3004,MATCH($A660,'Live History'!$D$5:$D$3004,1)),INDEX('AH History'!$E$1:$E$18046,AH!$P$7+655))),NA()),NA())</ns0:f>
        <ns0:v/>
      </ns0:c>
      <ns0:c r="G660">
        <ns0:f>IFERROR(IF(ISNUMBER($A660),IF(AND(AH!$P$10=1,AH!$P$12=1,$A660=TODAY()),IF(AND(AH!$P$10=1,AH!$P$12=1,$A660=TODAY()),TODAY(),NA()),IF(AH!$P$10=1,INDEX('Live History'!$G$5:$G$3004,MATCH($A660,'Live History'!$G$5:$G$3004,1)),INDEX('AH History'!$F$1:$F$18046,AH!$P$7+655))),NA()),NA())</ns0:f>
        <ns0:v/>
      </ns0:c>
      <ns0:c r="H660">
        <ns0:f>IFERROR(IF(AND(AH!$E$4="Bloomberg",AH!$P$10=1,ISNUMBER($A660),$A660&lt;=AH!$P$17),AH!$P$7-1+MATCH($A660,INDEX('AH History'!$A$1:$A$18046,AH!$P$7):INDEX('AH History'!$A$1:$A$18046,AH!$P$7+AH!$P$8-1),0),0),0)</ns0:f>
        <ns0:v/>
      </ns0:c>
      <ns0:c r="I660">
        <ns0:f>IF($H660=0,0,IFERROR(IF(AND(ABS($C660-INDEX('AH History'!$B$1:$B$18046,$H660))&lt;=MAX(0.005,ABS(INDEX('AH History'!$B$1:$B$18046,$H660))*0.00005),ABS($D660-INDEX('AH History'!$C$1:$C$18046,$H660))&lt;=MAX(0.005,ABS(INDEX('AH History'!$C$1:$C$18046,$H660))*0.00005),ABS($E660-INDEX('AH History'!$D$1:$D$18046,$H660))&lt;=0.00005,$F660=INDEX('AH History'!$E$1:$E$18046,$H660),$G660=INDEX('AH History'!$F$1:$F$18046,$H660)),1,-1),-1))</ns0:f>
        <ns0:v/>
      </ns0:c>
    </ns0:row>
    <ns0:row r="661">
      <ns0:c r="A661" s="215">
        <ns0:f>IF(OR(AH!$P$3=0,656+1&gt;AH!$P$11,AND(AH!$E$4&lt;&gt;"Stored",AH!$P$10&lt;&gt;1)),"",IFERROR(IF(AND(AH!$P$21=1,656+1=AH!$P$11),TODAY(),IF(AH!$P$10=1,INDEX('Live History'!$A$5:$A$3004,AH!$P$13+656),INDEX('AH History'!$A$1:$A$18046,AH!$P$7+656))),""))</ns0:f>
        <ns0:v/>
      </ns0:c>
      <ns0:c r="B661" s="219">
        <ns0:f>IFERROR(IF(AND(AH!$P$9&lt;&gt;1,$C661&gt;0,$D661&gt;0,$E661&gt;0,$F661&gt;0,$G661&gt;0,$F661&lt;=$A661,$G661&lt;=$A661,$A661-$F661&lt;=10,$A661-$G661&lt;=5),$D661*$E661/$C661-1,NA()),NA())</ns0:f>
        <ns0:v/>
      </ns0:c>
      <ns0:c r="C661">
        <ns0:f>IFERROR(IF(ISNUMBER($A661),IF(AND(AH!$P$10=1,AH!$P$12=1,$A661=TODAY()),AH!$P$19,IF(AH!$P$10=1,INDEX('Live History'!$B$5:$B$3004,AH!$P$13+656),INDEX('AH History'!$B$1:$B$18046,AH!$P$7+656))),NA()),NA())</ns0:f>
        <ns0:v/>
      </ns0:c>
      <ns0:c r="D661">
        <ns0:f>IFERROR(IF(ISNUMBER($A661),IF(AND(AH!$P$10=1,AH!$P$12=1,$A661=TODAY()),AH!$P$18,IF(AH!$P$10=1,INDEX('Live History'!$E$5:$E$3004,MATCH($A661,'Live History'!$D$5:$D$3004,1)),INDEX('AH History'!$C$1:$C$18046,AH!$P$7+656))),NA()),NA())</ns0:f>
        <ns0:v/>
      </ns0:c>
      <ns0:c r="E661">
        <ns0:f>IFERROR(IF(ISNUMBER($A661),IF(AND(AH!$P$10=1,AH!$P$12=1,$A661=TODAY()),AH!$P$20,IF(AH!$P$10=1,INDEX('Live History'!$H$5:$H$3004,MATCH($A661,'Live History'!$G$5:$G$3004,1)),INDEX('AH History'!$D$1:$D$18046,AH!$P$7+656))),NA()),NA())</ns0:f>
        <ns0:v/>
      </ns0:c>
      <ns0:c r="F661">
        <ns0:f>IFERROR(IF(ISNUMBER($A661),IF(AND(AH!$P$10=1,AH!$P$12=1,$A661=TODAY()),IF(AND(AH!$P$10=1,AH!$P$12=1,$A661=TODAY()),TODAY(),NA()),IF(AH!$P$10=1,INDEX('Live History'!$D$5:$D$3004,MATCH($A661,'Live History'!$D$5:$D$3004,1)),INDEX('AH History'!$E$1:$E$18046,AH!$P$7+656))),NA()),NA())</ns0:f>
        <ns0:v/>
      </ns0:c>
      <ns0:c r="G661">
        <ns0:f>IFERROR(IF(ISNUMBER($A661),IF(AND(AH!$P$10=1,AH!$P$12=1,$A661=TODAY()),IF(AND(AH!$P$10=1,AH!$P$12=1,$A661=TODAY()),TODAY(),NA()),IF(AH!$P$10=1,INDEX('Live History'!$G$5:$G$3004,MATCH($A661,'Live History'!$G$5:$G$3004,1)),INDEX('AH History'!$F$1:$F$18046,AH!$P$7+656))),NA()),NA())</ns0:f>
        <ns0:v/>
      </ns0:c>
      <ns0:c r="H661">
        <ns0:f>IFERROR(IF(AND(AH!$E$4="Bloomberg",AH!$P$10=1,ISNUMBER($A661),$A661&lt;=AH!$P$17),AH!$P$7-1+MATCH($A661,INDEX('AH History'!$A$1:$A$18046,AH!$P$7):INDEX('AH History'!$A$1:$A$18046,AH!$P$7+AH!$P$8-1),0),0),0)</ns0:f>
        <ns0:v/>
      </ns0:c>
      <ns0:c r="I661">
        <ns0:f>IF($H661=0,0,IFERROR(IF(AND(ABS($C661-INDEX('AH History'!$B$1:$B$18046,$H661))&lt;=MAX(0.005,ABS(INDEX('AH History'!$B$1:$B$18046,$H661))*0.00005),ABS($D661-INDEX('AH History'!$C$1:$C$18046,$H661))&lt;=MAX(0.005,ABS(INDEX('AH History'!$C$1:$C$18046,$H661))*0.00005),ABS($E661-INDEX('AH History'!$D$1:$D$18046,$H661))&lt;=0.00005,$F661=INDEX('AH History'!$E$1:$E$18046,$H661),$G661=INDEX('AH History'!$F$1:$F$18046,$H661)),1,-1),-1))</ns0:f>
        <ns0:v/>
      </ns0:c>
    </ns0:row>
    <ns0:row r="662">
      <ns0:c r="A662" s="215">
        <ns0:f>IF(OR(AH!$P$3=0,657+1&gt;AH!$P$11,AND(AH!$E$4&lt;&gt;"Stored",AH!$P$10&lt;&gt;1)),"",IFERROR(IF(AND(AH!$P$21=1,657+1=AH!$P$11),TODAY(),IF(AH!$P$10=1,INDEX('Live History'!$A$5:$A$3004,AH!$P$13+657),INDEX('AH History'!$A$1:$A$18046,AH!$P$7+657))),""))</ns0:f>
        <ns0:v/>
      </ns0:c>
      <ns0:c r="B662" s="219">
        <ns0:f>IFERROR(IF(AND(AH!$P$9&lt;&gt;1,$C662&gt;0,$D662&gt;0,$E662&gt;0,$F662&gt;0,$G662&gt;0,$F662&lt;=$A662,$G662&lt;=$A662,$A662-$F662&lt;=10,$A662-$G662&lt;=5),$D662*$E662/$C662-1,NA()),NA())</ns0:f>
        <ns0:v/>
      </ns0:c>
      <ns0:c r="C662">
        <ns0:f>IFERROR(IF(ISNUMBER($A662),IF(AND(AH!$P$10=1,AH!$P$12=1,$A662=TODAY()),AH!$P$19,IF(AH!$P$10=1,INDEX('Live History'!$B$5:$B$3004,AH!$P$13+657),INDEX('AH History'!$B$1:$B$18046,AH!$P$7+657))),NA()),NA())</ns0:f>
        <ns0:v/>
      </ns0:c>
      <ns0:c r="D662">
        <ns0:f>IFERROR(IF(ISNUMBER($A662),IF(AND(AH!$P$10=1,AH!$P$12=1,$A662=TODAY()),AH!$P$18,IF(AH!$P$10=1,INDEX('Live History'!$E$5:$E$3004,MATCH($A662,'Live History'!$D$5:$D$3004,1)),INDEX('AH History'!$C$1:$C$18046,AH!$P$7+657))),NA()),NA())</ns0:f>
        <ns0:v/>
      </ns0:c>
      <ns0:c r="E662">
        <ns0:f>IFERROR(IF(ISNUMBER($A662),IF(AND(AH!$P$10=1,AH!$P$12=1,$A662=TODAY()),AH!$P$20,IF(AH!$P$10=1,INDEX('Live History'!$H$5:$H$3004,MATCH($A662,'Live History'!$G$5:$G$3004,1)),INDEX('AH History'!$D$1:$D$18046,AH!$P$7+657))),NA()),NA())</ns0:f>
        <ns0:v/>
      </ns0:c>
      <ns0:c r="F662">
        <ns0:f>IFERROR(IF(ISNUMBER($A662),IF(AND(AH!$P$10=1,AH!$P$12=1,$A662=TODAY()),IF(AND(AH!$P$10=1,AH!$P$12=1,$A662=TODAY()),TODAY(),NA()),IF(AH!$P$10=1,INDEX('Live History'!$D$5:$D$3004,MATCH($A662,'Live History'!$D$5:$D$3004,1)),INDEX('AH History'!$E$1:$E$18046,AH!$P$7+657))),NA()),NA())</ns0:f>
        <ns0:v/>
      </ns0:c>
      <ns0:c r="G662">
        <ns0:f>IFERROR(IF(ISNUMBER($A662),IF(AND(AH!$P$10=1,AH!$P$12=1,$A662=TODAY()),IF(AND(AH!$P$10=1,AH!$P$12=1,$A662=TODAY()),TODAY(),NA()),IF(AH!$P$10=1,INDEX('Live History'!$G$5:$G$3004,MATCH($A662,'Live History'!$G$5:$G$3004,1)),INDEX('AH History'!$F$1:$F$18046,AH!$P$7+657))),NA()),NA())</ns0:f>
        <ns0:v/>
      </ns0:c>
      <ns0:c r="H662">
        <ns0:f>IFERROR(IF(AND(AH!$E$4="Bloomberg",AH!$P$10=1,ISNUMBER($A662),$A662&lt;=AH!$P$17),AH!$P$7-1+MATCH($A662,INDEX('AH History'!$A$1:$A$18046,AH!$P$7):INDEX('AH History'!$A$1:$A$18046,AH!$P$7+AH!$P$8-1),0),0),0)</ns0:f>
        <ns0:v/>
      </ns0:c>
      <ns0:c r="I662">
        <ns0:f>IF($H662=0,0,IFERROR(IF(AND(ABS($C662-INDEX('AH History'!$B$1:$B$18046,$H662))&lt;=MAX(0.005,ABS(INDEX('AH History'!$B$1:$B$18046,$H662))*0.00005),ABS($D662-INDEX('AH History'!$C$1:$C$18046,$H662))&lt;=MAX(0.005,ABS(INDEX('AH History'!$C$1:$C$18046,$H662))*0.00005),ABS($E662-INDEX('AH History'!$D$1:$D$18046,$H662))&lt;=0.00005,$F662=INDEX('AH History'!$E$1:$E$18046,$H662),$G662=INDEX('AH History'!$F$1:$F$18046,$H662)),1,-1),-1))</ns0:f>
        <ns0:v/>
      </ns0:c>
    </ns0:row>
    <ns0:row r="663">
      <ns0:c r="A663" s="215">
        <ns0:f>IF(OR(AH!$P$3=0,658+1&gt;AH!$P$11,AND(AH!$E$4&lt;&gt;"Stored",AH!$P$10&lt;&gt;1)),"",IFERROR(IF(AND(AH!$P$21=1,658+1=AH!$P$11),TODAY(),IF(AH!$P$10=1,INDEX('Live History'!$A$5:$A$3004,AH!$P$13+658),INDEX('AH History'!$A$1:$A$18046,AH!$P$7+658))),""))</ns0:f>
        <ns0:v/>
      </ns0:c>
      <ns0:c r="B663" s="219">
        <ns0:f>IFERROR(IF(AND(AH!$P$9&lt;&gt;1,$C663&gt;0,$D663&gt;0,$E663&gt;0,$F663&gt;0,$G663&gt;0,$F663&lt;=$A663,$G663&lt;=$A663,$A663-$F663&lt;=10,$A663-$G663&lt;=5),$D663*$E663/$C663-1,NA()),NA())</ns0:f>
        <ns0:v/>
      </ns0:c>
      <ns0:c r="C663">
        <ns0:f>IFERROR(IF(ISNUMBER($A663),IF(AND(AH!$P$10=1,AH!$P$12=1,$A663=TODAY()),AH!$P$19,IF(AH!$P$10=1,INDEX('Live History'!$B$5:$B$3004,AH!$P$13+658),INDEX('AH History'!$B$1:$B$18046,AH!$P$7+658))),NA()),NA())</ns0:f>
        <ns0:v/>
      </ns0:c>
      <ns0:c r="D663">
        <ns0:f>IFERROR(IF(ISNUMBER($A663),IF(AND(AH!$P$10=1,AH!$P$12=1,$A663=TODAY()),AH!$P$18,IF(AH!$P$10=1,INDEX('Live History'!$E$5:$E$3004,MATCH($A663,'Live History'!$D$5:$D$3004,1)),INDEX('AH History'!$C$1:$C$18046,AH!$P$7+658))),NA()),NA())</ns0:f>
        <ns0:v/>
      </ns0:c>
      <ns0:c r="E663">
        <ns0:f>IFERROR(IF(ISNUMBER($A663),IF(AND(AH!$P$10=1,AH!$P$12=1,$A663=TODAY()),AH!$P$20,IF(AH!$P$10=1,INDEX('Live History'!$H$5:$H$3004,MATCH($A663,'Live History'!$G$5:$G$3004,1)),INDEX('AH History'!$D$1:$D$18046,AH!$P$7+658))),NA()),NA())</ns0:f>
        <ns0:v/>
      </ns0:c>
      <ns0:c r="F663">
        <ns0:f>IFERROR(IF(ISNUMBER($A663),IF(AND(AH!$P$10=1,AH!$P$12=1,$A663=TODAY()),IF(AND(AH!$P$10=1,AH!$P$12=1,$A663=TODAY()),TODAY(),NA()),IF(AH!$P$10=1,INDEX('Live History'!$D$5:$D$3004,MATCH($A663,'Live History'!$D$5:$D$3004,1)),INDEX('AH History'!$E$1:$E$18046,AH!$P$7+658))),NA()),NA())</ns0:f>
        <ns0:v/>
      </ns0:c>
      <ns0:c r="G663">
        <ns0:f>IFERROR(IF(ISNUMBER($A663),IF(AND(AH!$P$10=1,AH!$P$12=1,$A663=TODAY()),IF(AND(AH!$P$10=1,AH!$P$12=1,$A663=TODAY()),TODAY(),NA()),IF(AH!$P$10=1,INDEX('Live History'!$G$5:$G$3004,MATCH($A663,'Live History'!$G$5:$G$3004,1)),INDEX('AH History'!$F$1:$F$18046,AH!$P$7+658))),NA()),NA())</ns0:f>
        <ns0:v/>
      </ns0:c>
      <ns0:c r="H663">
        <ns0:f>IFERROR(IF(AND(AH!$E$4="Bloomberg",AH!$P$10=1,ISNUMBER($A663),$A663&lt;=AH!$P$17),AH!$P$7-1+MATCH($A663,INDEX('AH History'!$A$1:$A$18046,AH!$P$7):INDEX('AH History'!$A$1:$A$18046,AH!$P$7+AH!$P$8-1),0),0),0)</ns0:f>
        <ns0:v/>
      </ns0:c>
      <ns0:c r="I663">
        <ns0:f>IF($H663=0,0,IFERROR(IF(AND(ABS($C663-INDEX('AH History'!$B$1:$B$18046,$H663))&lt;=MAX(0.005,ABS(INDEX('AH History'!$B$1:$B$18046,$H663))*0.00005),ABS($D663-INDEX('AH History'!$C$1:$C$18046,$H663))&lt;=MAX(0.005,ABS(INDEX('AH History'!$C$1:$C$18046,$H663))*0.00005),ABS($E663-INDEX('AH History'!$D$1:$D$18046,$H663))&lt;=0.00005,$F663=INDEX('AH History'!$E$1:$E$18046,$H663),$G663=INDEX('AH History'!$F$1:$F$18046,$H663)),1,-1),-1))</ns0:f>
        <ns0:v/>
      </ns0:c>
    </ns0:row>
    <ns0:row r="664">
      <ns0:c r="A664" s="215">
        <ns0:f>IF(OR(AH!$P$3=0,659+1&gt;AH!$P$11,AND(AH!$E$4&lt;&gt;"Stored",AH!$P$10&lt;&gt;1)),"",IFERROR(IF(AND(AH!$P$21=1,659+1=AH!$P$11),TODAY(),IF(AH!$P$10=1,INDEX('Live History'!$A$5:$A$3004,AH!$P$13+659),INDEX('AH History'!$A$1:$A$18046,AH!$P$7+659))),""))</ns0:f>
        <ns0:v/>
      </ns0:c>
      <ns0:c r="B664" s="219">
        <ns0:f>IFERROR(IF(AND(AH!$P$9&lt;&gt;1,$C664&gt;0,$D664&gt;0,$E664&gt;0,$F664&gt;0,$G664&gt;0,$F664&lt;=$A664,$G664&lt;=$A664,$A664-$F664&lt;=10,$A664-$G664&lt;=5),$D664*$E664/$C664-1,NA()),NA())</ns0:f>
        <ns0:v/>
      </ns0:c>
      <ns0:c r="C664">
        <ns0:f>IFERROR(IF(ISNUMBER($A664),IF(AND(AH!$P$10=1,AH!$P$12=1,$A664=TODAY()),AH!$P$19,IF(AH!$P$10=1,INDEX('Live History'!$B$5:$B$3004,AH!$P$13+659),INDEX('AH History'!$B$1:$B$18046,AH!$P$7+659))),NA()),NA())</ns0:f>
        <ns0:v/>
      </ns0:c>
      <ns0:c r="D664">
        <ns0:f>IFERROR(IF(ISNUMBER($A664),IF(AND(AH!$P$10=1,AH!$P$12=1,$A664=TODAY()),AH!$P$18,IF(AH!$P$10=1,INDEX('Live History'!$E$5:$E$3004,MATCH($A664,'Live History'!$D$5:$D$3004,1)),INDEX('AH History'!$C$1:$C$18046,AH!$P$7+659))),NA()),NA())</ns0:f>
        <ns0:v/>
      </ns0:c>
      <ns0:c r="E664">
        <ns0:f>IFERROR(IF(ISNUMBER($A664),IF(AND(AH!$P$10=1,AH!$P$12=1,$A664=TODAY()),AH!$P$20,IF(AH!$P$10=1,INDEX('Live History'!$H$5:$H$3004,MATCH($A664,'Live History'!$G$5:$G$3004,1)),INDEX('AH History'!$D$1:$D$18046,AH!$P$7+659))),NA()),NA())</ns0:f>
        <ns0:v/>
      </ns0:c>
      <ns0:c r="F664">
        <ns0:f>IFERROR(IF(ISNUMBER($A664),IF(AND(AH!$P$10=1,AH!$P$12=1,$A664=TODAY()),IF(AND(AH!$P$10=1,AH!$P$12=1,$A664=TODAY()),TODAY(),NA()),IF(AH!$P$10=1,INDEX('Live History'!$D$5:$D$3004,MATCH($A664,'Live History'!$D$5:$D$3004,1)),INDEX('AH History'!$E$1:$E$18046,AH!$P$7+659))),NA()),NA())</ns0:f>
        <ns0:v/>
      </ns0:c>
      <ns0:c r="G664">
        <ns0:f>IFERROR(IF(ISNUMBER($A664),IF(AND(AH!$P$10=1,AH!$P$12=1,$A664=TODAY()),IF(AND(AH!$P$10=1,AH!$P$12=1,$A664=TODAY()),TODAY(),NA()),IF(AH!$P$10=1,INDEX('Live History'!$G$5:$G$3004,MATCH($A664,'Live History'!$G$5:$G$3004,1)),INDEX('AH History'!$F$1:$F$18046,AH!$P$7+659))),NA()),NA())</ns0:f>
        <ns0:v/>
      </ns0:c>
      <ns0:c r="H664">
        <ns0:f>IFERROR(IF(AND(AH!$E$4="Bloomberg",AH!$P$10=1,ISNUMBER($A664),$A664&lt;=AH!$P$17),AH!$P$7-1+MATCH($A664,INDEX('AH History'!$A$1:$A$18046,AH!$P$7):INDEX('AH History'!$A$1:$A$18046,AH!$P$7+AH!$P$8-1),0),0),0)</ns0:f>
        <ns0:v/>
      </ns0:c>
      <ns0:c r="I664">
        <ns0:f>IF($H664=0,0,IFERROR(IF(AND(ABS($C664-INDEX('AH History'!$B$1:$B$18046,$H664))&lt;=MAX(0.005,ABS(INDEX('AH History'!$B$1:$B$18046,$H664))*0.00005),ABS($D664-INDEX('AH History'!$C$1:$C$18046,$H664))&lt;=MAX(0.005,ABS(INDEX('AH History'!$C$1:$C$18046,$H664))*0.00005),ABS($E664-INDEX('AH History'!$D$1:$D$18046,$H664))&lt;=0.00005,$F664=INDEX('AH History'!$E$1:$E$18046,$H664),$G664=INDEX('AH History'!$F$1:$F$18046,$H664)),1,-1),-1))</ns0:f>
        <ns0:v/>
      </ns0:c>
    </ns0:row>
    <ns0:row r="665">
      <ns0:c r="A665" s="215">
        <ns0:f>IF(OR(AH!$P$3=0,660+1&gt;AH!$P$11,AND(AH!$E$4&lt;&gt;"Stored",AH!$P$10&lt;&gt;1)),"",IFERROR(IF(AND(AH!$P$21=1,660+1=AH!$P$11),TODAY(),IF(AH!$P$10=1,INDEX('Live History'!$A$5:$A$3004,AH!$P$13+660),INDEX('AH History'!$A$1:$A$18046,AH!$P$7+660))),""))</ns0:f>
        <ns0:v/>
      </ns0:c>
      <ns0:c r="B665" s="219">
        <ns0:f>IFERROR(IF(AND(AH!$P$9&lt;&gt;1,$C665&gt;0,$D665&gt;0,$E665&gt;0,$F665&gt;0,$G665&gt;0,$F665&lt;=$A665,$G665&lt;=$A665,$A665-$F665&lt;=10,$A665-$G665&lt;=5),$D665*$E665/$C665-1,NA()),NA())</ns0:f>
        <ns0:v/>
      </ns0:c>
      <ns0:c r="C665">
        <ns0:f>IFERROR(IF(ISNUMBER($A665),IF(AND(AH!$P$10=1,AH!$P$12=1,$A665=TODAY()),AH!$P$19,IF(AH!$P$10=1,INDEX('Live History'!$B$5:$B$3004,AH!$P$13+660),INDEX('AH History'!$B$1:$B$18046,AH!$P$7+660))),NA()),NA())</ns0:f>
        <ns0:v/>
      </ns0:c>
      <ns0:c r="D665">
        <ns0:f>IFERROR(IF(ISNUMBER($A665),IF(AND(AH!$P$10=1,AH!$P$12=1,$A665=TODAY()),AH!$P$18,IF(AH!$P$10=1,INDEX('Live History'!$E$5:$E$3004,MATCH($A665,'Live History'!$D$5:$D$3004,1)),INDEX('AH History'!$C$1:$C$18046,AH!$P$7+660))),NA()),NA())</ns0:f>
        <ns0:v/>
      </ns0:c>
      <ns0:c r="E665">
        <ns0:f>IFERROR(IF(ISNUMBER($A665),IF(AND(AH!$P$10=1,AH!$P$12=1,$A665=TODAY()),AH!$P$20,IF(AH!$P$10=1,INDEX('Live History'!$H$5:$H$3004,MATCH($A665,'Live History'!$G$5:$G$3004,1)),INDEX('AH History'!$D$1:$D$18046,AH!$P$7+660))),NA()),NA())</ns0:f>
        <ns0:v/>
      </ns0:c>
      <ns0:c r="F665">
        <ns0:f>IFERROR(IF(ISNUMBER($A665),IF(AND(AH!$P$10=1,AH!$P$12=1,$A665=TODAY()),IF(AND(AH!$P$10=1,AH!$P$12=1,$A665=TODAY()),TODAY(),NA()),IF(AH!$P$10=1,INDEX('Live History'!$D$5:$D$3004,MATCH($A665,'Live History'!$D$5:$D$3004,1)),INDEX('AH History'!$E$1:$E$18046,AH!$P$7+660))),NA()),NA())</ns0:f>
        <ns0:v/>
      </ns0:c>
      <ns0:c r="G665">
        <ns0:f>IFERROR(IF(ISNUMBER($A665),IF(AND(AH!$P$10=1,AH!$P$12=1,$A665=TODAY()),IF(AND(AH!$P$10=1,AH!$P$12=1,$A665=TODAY()),TODAY(),NA()),IF(AH!$P$10=1,INDEX('Live History'!$G$5:$G$3004,MATCH($A665,'Live History'!$G$5:$G$3004,1)),INDEX('AH History'!$F$1:$F$18046,AH!$P$7+660))),NA()),NA())</ns0:f>
        <ns0:v/>
      </ns0:c>
      <ns0:c r="H665">
        <ns0:f>IFERROR(IF(AND(AH!$E$4="Bloomberg",AH!$P$10=1,ISNUMBER($A665),$A665&lt;=AH!$P$17),AH!$P$7-1+MATCH($A665,INDEX('AH History'!$A$1:$A$18046,AH!$P$7):INDEX('AH History'!$A$1:$A$18046,AH!$P$7+AH!$P$8-1),0),0),0)</ns0:f>
        <ns0:v/>
      </ns0:c>
      <ns0:c r="I665">
        <ns0:f>IF($H665=0,0,IFERROR(IF(AND(ABS($C665-INDEX('AH History'!$B$1:$B$18046,$H665))&lt;=MAX(0.005,ABS(INDEX('AH History'!$B$1:$B$18046,$H665))*0.00005),ABS($D665-INDEX('AH History'!$C$1:$C$18046,$H665))&lt;=MAX(0.005,ABS(INDEX('AH History'!$C$1:$C$18046,$H665))*0.00005),ABS($E665-INDEX('AH History'!$D$1:$D$18046,$H665))&lt;=0.00005,$F665=INDEX('AH History'!$E$1:$E$18046,$H665),$G665=INDEX('AH History'!$F$1:$F$18046,$H665)),1,-1),-1))</ns0:f>
        <ns0:v/>
      </ns0:c>
    </ns0:row>
    <ns0:row r="666">
      <ns0:c r="A666" s="215">
        <ns0:f>IF(OR(AH!$P$3=0,661+1&gt;AH!$P$11,AND(AH!$E$4&lt;&gt;"Stored",AH!$P$10&lt;&gt;1)),"",IFERROR(IF(AND(AH!$P$21=1,661+1=AH!$P$11),TODAY(),IF(AH!$P$10=1,INDEX('Live History'!$A$5:$A$3004,AH!$P$13+661),INDEX('AH History'!$A$1:$A$18046,AH!$P$7+661))),""))</ns0:f>
        <ns0:v/>
      </ns0:c>
      <ns0:c r="B666" s="219">
        <ns0:f>IFERROR(IF(AND(AH!$P$9&lt;&gt;1,$C666&gt;0,$D666&gt;0,$E666&gt;0,$F666&gt;0,$G666&gt;0,$F666&lt;=$A666,$G666&lt;=$A666,$A666-$F666&lt;=10,$A666-$G666&lt;=5),$D666*$E666/$C666-1,NA()),NA())</ns0:f>
        <ns0:v/>
      </ns0:c>
      <ns0:c r="C666">
        <ns0:f>IFERROR(IF(ISNUMBER($A666),IF(AND(AH!$P$10=1,AH!$P$12=1,$A666=TODAY()),AH!$P$19,IF(AH!$P$10=1,INDEX('Live History'!$B$5:$B$3004,AH!$P$13+661),INDEX('AH History'!$B$1:$B$18046,AH!$P$7+661))),NA()),NA())</ns0:f>
        <ns0:v/>
      </ns0:c>
      <ns0:c r="D666">
        <ns0:f>IFERROR(IF(ISNUMBER($A666),IF(AND(AH!$P$10=1,AH!$P$12=1,$A666=TODAY()),AH!$P$18,IF(AH!$P$10=1,INDEX('Live History'!$E$5:$E$3004,MATCH($A666,'Live History'!$D$5:$D$3004,1)),INDEX('AH History'!$C$1:$C$18046,AH!$P$7+661))),NA()),NA())</ns0:f>
        <ns0:v/>
      </ns0:c>
      <ns0:c r="E666">
        <ns0:f>IFERROR(IF(ISNUMBER($A666),IF(AND(AH!$P$10=1,AH!$P$12=1,$A666=TODAY()),AH!$P$20,IF(AH!$P$10=1,INDEX('Live History'!$H$5:$H$3004,MATCH($A666,'Live History'!$G$5:$G$3004,1)),INDEX('AH History'!$D$1:$D$18046,AH!$P$7+661))),NA()),NA())</ns0:f>
        <ns0:v/>
      </ns0:c>
      <ns0:c r="F666">
        <ns0:f>IFERROR(IF(ISNUMBER($A666),IF(AND(AH!$P$10=1,AH!$P$12=1,$A666=TODAY()),IF(AND(AH!$P$10=1,AH!$P$12=1,$A666=TODAY()),TODAY(),NA()),IF(AH!$P$10=1,INDEX('Live History'!$D$5:$D$3004,MATCH($A666,'Live History'!$D$5:$D$3004,1)),INDEX('AH History'!$E$1:$E$18046,AH!$P$7+661))),NA()),NA())</ns0:f>
        <ns0:v/>
      </ns0:c>
      <ns0:c r="G666">
        <ns0:f>IFERROR(IF(ISNUMBER($A666),IF(AND(AH!$P$10=1,AH!$P$12=1,$A666=TODAY()),IF(AND(AH!$P$10=1,AH!$P$12=1,$A666=TODAY()),TODAY(),NA()),IF(AH!$P$10=1,INDEX('Live History'!$G$5:$G$3004,MATCH($A666,'Live History'!$G$5:$G$3004,1)),INDEX('AH History'!$F$1:$F$18046,AH!$P$7+661))),NA()),NA())</ns0:f>
        <ns0:v/>
      </ns0:c>
      <ns0:c r="H666">
        <ns0:f>IFERROR(IF(AND(AH!$E$4="Bloomberg",AH!$P$10=1,ISNUMBER($A666),$A666&lt;=AH!$P$17),AH!$P$7-1+MATCH($A666,INDEX('AH History'!$A$1:$A$18046,AH!$P$7):INDEX('AH History'!$A$1:$A$18046,AH!$P$7+AH!$P$8-1),0),0),0)</ns0:f>
        <ns0:v/>
      </ns0:c>
      <ns0:c r="I666">
        <ns0:f>IF($H666=0,0,IFERROR(IF(AND(ABS($C666-INDEX('AH History'!$B$1:$B$18046,$H666))&lt;=MAX(0.005,ABS(INDEX('AH History'!$B$1:$B$18046,$H666))*0.00005),ABS($D666-INDEX('AH History'!$C$1:$C$18046,$H666))&lt;=MAX(0.005,ABS(INDEX('AH History'!$C$1:$C$18046,$H666))*0.00005),ABS($E666-INDEX('AH History'!$D$1:$D$18046,$H666))&lt;=0.00005,$F666=INDEX('AH History'!$E$1:$E$18046,$H666),$G666=INDEX('AH History'!$F$1:$F$18046,$H666)),1,-1),-1))</ns0:f>
        <ns0:v/>
      </ns0:c>
    </ns0:row>
    <ns0:row r="667">
      <ns0:c r="A667" s="215">
        <ns0:f>IF(OR(AH!$P$3=0,662+1&gt;AH!$P$11,AND(AH!$E$4&lt;&gt;"Stored",AH!$P$10&lt;&gt;1)),"",IFERROR(IF(AND(AH!$P$21=1,662+1=AH!$P$11),TODAY(),IF(AH!$P$10=1,INDEX('Live History'!$A$5:$A$3004,AH!$P$13+662),INDEX('AH History'!$A$1:$A$18046,AH!$P$7+662))),""))</ns0:f>
        <ns0:v/>
      </ns0:c>
      <ns0:c r="B667" s="219">
        <ns0:f>IFERROR(IF(AND(AH!$P$9&lt;&gt;1,$C667&gt;0,$D667&gt;0,$E667&gt;0,$F667&gt;0,$G667&gt;0,$F667&lt;=$A667,$G667&lt;=$A667,$A667-$F667&lt;=10,$A667-$G667&lt;=5),$D667*$E667/$C667-1,NA()),NA())</ns0:f>
        <ns0:v/>
      </ns0:c>
      <ns0:c r="C667">
        <ns0:f>IFERROR(IF(ISNUMBER($A667),IF(AND(AH!$P$10=1,AH!$P$12=1,$A667=TODAY()),AH!$P$19,IF(AH!$P$10=1,INDEX('Live History'!$B$5:$B$3004,AH!$P$13+662),INDEX('AH History'!$B$1:$B$18046,AH!$P$7+662))),NA()),NA())</ns0:f>
        <ns0:v/>
      </ns0:c>
      <ns0:c r="D667">
        <ns0:f>IFERROR(IF(ISNUMBER($A667),IF(AND(AH!$P$10=1,AH!$P$12=1,$A667=TODAY()),AH!$P$18,IF(AH!$P$10=1,INDEX('Live History'!$E$5:$E$3004,MATCH($A667,'Live History'!$D$5:$D$3004,1)),INDEX('AH History'!$C$1:$C$18046,AH!$P$7+662))),NA()),NA())</ns0:f>
        <ns0:v/>
      </ns0:c>
      <ns0:c r="E667">
        <ns0:f>IFERROR(IF(ISNUMBER($A667),IF(AND(AH!$P$10=1,AH!$P$12=1,$A667=TODAY()),AH!$P$20,IF(AH!$P$10=1,INDEX('Live History'!$H$5:$H$3004,MATCH($A667,'Live History'!$G$5:$G$3004,1)),INDEX('AH History'!$D$1:$D$18046,AH!$P$7+662))),NA()),NA())</ns0:f>
        <ns0:v/>
      </ns0:c>
      <ns0:c r="F667">
        <ns0:f>IFERROR(IF(ISNUMBER($A667),IF(AND(AH!$P$10=1,AH!$P$12=1,$A667=TODAY()),IF(AND(AH!$P$10=1,AH!$P$12=1,$A667=TODAY()),TODAY(),NA()),IF(AH!$P$10=1,INDEX('Live History'!$D$5:$D$3004,MATCH($A667,'Live History'!$D$5:$D$3004,1)),INDEX('AH History'!$E$1:$E$18046,AH!$P$7+662))),NA()),NA())</ns0:f>
        <ns0:v/>
      </ns0:c>
      <ns0:c r="G667">
        <ns0:f>IFERROR(IF(ISNUMBER($A667),IF(AND(AH!$P$10=1,AH!$P$12=1,$A667=TODAY()),IF(AND(AH!$P$10=1,AH!$P$12=1,$A667=TODAY()),TODAY(),NA()),IF(AH!$P$10=1,INDEX('Live History'!$G$5:$G$3004,MATCH($A667,'Live History'!$G$5:$G$3004,1)),INDEX('AH History'!$F$1:$F$18046,AH!$P$7+662))),NA()),NA())</ns0:f>
        <ns0:v/>
      </ns0:c>
      <ns0:c r="H667">
        <ns0:f>IFERROR(IF(AND(AH!$E$4="Bloomberg",AH!$P$10=1,ISNUMBER($A667),$A667&lt;=AH!$P$17),AH!$P$7-1+MATCH($A667,INDEX('AH History'!$A$1:$A$18046,AH!$P$7):INDEX('AH History'!$A$1:$A$18046,AH!$P$7+AH!$P$8-1),0),0),0)</ns0:f>
        <ns0:v/>
      </ns0:c>
      <ns0:c r="I667">
        <ns0:f>IF($H667=0,0,IFERROR(IF(AND(ABS($C667-INDEX('AH History'!$B$1:$B$18046,$H667))&lt;=MAX(0.005,ABS(INDEX('AH History'!$B$1:$B$18046,$H667))*0.00005),ABS($D667-INDEX('AH History'!$C$1:$C$18046,$H667))&lt;=MAX(0.005,ABS(INDEX('AH History'!$C$1:$C$18046,$H667))*0.00005),ABS($E667-INDEX('AH History'!$D$1:$D$18046,$H667))&lt;=0.00005,$F667=INDEX('AH History'!$E$1:$E$18046,$H667),$G667=INDEX('AH History'!$F$1:$F$18046,$H667)),1,-1),-1))</ns0:f>
        <ns0:v/>
      </ns0:c>
    </ns0:row>
    <ns0:row r="668">
      <ns0:c r="A668" s="215">
        <ns0:f>IF(OR(AH!$P$3=0,663+1&gt;AH!$P$11,AND(AH!$E$4&lt;&gt;"Stored",AH!$P$10&lt;&gt;1)),"",IFERROR(IF(AND(AH!$P$21=1,663+1=AH!$P$11),TODAY(),IF(AH!$P$10=1,INDEX('Live History'!$A$5:$A$3004,AH!$P$13+663),INDEX('AH History'!$A$1:$A$18046,AH!$P$7+663))),""))</ns0:f>
        <ns0:v/>
      </ns0:c>
      <ns0:c r="B668" s="219">
        <ns0:f>IFERROR(IF(AND(AH!$P$9&lt;&gt;1,$C668&gt;0,$D668&gt;0,$E668&gt;0,$F668&gt;0,$G668&gt;0,$F668&lt;=$A668,$G668&lt;=$A668,$A668-$F668&lt;=10,$A668-$G668&lt;=5),$D668*$E668/$C668-1,NA()),NA())</ns0:f>
        <ns0:v/>
      </ns0:c>
      <ns0:c r="C668">
        <ns0:f>IFERROR(IF(ISNUMBER($A668),IF(AND(AH!$P$10=1,AH!$P$12=1,$A668=TODAY()),AH!$P$19,IF(AH!$P$10=1,INDEX('Live History'!$B$5:$B$3004,AH!$P$13+663),INDEX('AH History'!$B$1:$B$18046,AH!$P$7+663))),NA()),NA())</ns0:f>
        <ns0:v/>
      </ns0:c>
      <ns0:c r="D668">
        <ns0:f>IFERROR(IF(ISNUMBER($A668),IF(AND(AH!$P$10=1,AH!$P$12=1,$A668=TODAY()),AH!$P$18,IF(AH!$P$10=1,INDEX('Live History'!$E$5:$E$3004,MATCH($A668,'Live History'!$D$5:$D$3004,1)),INDEX('AH History'!$C$1:$C$18046,AH!$P$7+663))),NA()),NA())</ns0:f>
        <ns0:v/>
      </ns0:c>
      <ns0:c r="E668">
        <ns0:f>IFERROR(IF(ISNUMBER($A668),IF(AND(AH!$P$10=1,AH!$P$12=1,$A668=TODAY()),AH!$P$20,IF(AH!$P$10=1,INDEX('Live History'!$H$5:$H$3004,MATCH($A668,'Live History'!$G$5:$G$3004,1)),INDEX('AH History'!$D$1:$D$18046,AH!$P$7+663))),NA()),NA())</ns0:f>
        <ns0:v/>
      </ns0:c>
      <ns0:c r="F668">
        <ns0:f>IFERROR(IF(ISNUMBER($A668),IF(AND(AH!$P$10=1,AH!$P$12=1,$A668=TODAY()),IF(AND(AH!$P$10=1,AH!$P$12=1,$A668=TODAY()),TODAY(),NA()),IF(AH!$P$10=1,INDEX('Live History'!$D$5:$D$3004,MATCH($A668,'Live History'!$D$5:$D$3004,1)),INDEX('AH History'!$E$1:$E$18046,AH!$P$7+663))),NA()),NA())</ns0:f>
        <ns0:v/>
      </ns0:c>
      <ns0:c r="G668">
        <ns0:f>IFERROR(IF(ISNUMBER($A668),IF(AND(AH!$P$10=1,AH!$P$12=1,$A668=TODAY()),IF(AND(AH!$P$10=1,AH!$P$12=1,$A668=TODAY()),TODAY(),NA()),IF(AH!$P$10=1,INDEX('Live History'!$G$5:$G$3004,MATCH($A668,'Live History'!$G$5:$G$3004,1)),INDEX('AH History'!$F$1:$F$18046,AH!$P$7+663))),NA()),NA())</ns0:f>
        <ns0:v/>
      </ns0:c>
      <ns0:c r="H668">
        <ns0:f>IFERROR(IF(AND(AH!$E$4="Bloomberg",AH!$P$10=1,ISNUMBER($A668),$A668&lt;=AH!$P$17),AH!$P$7-1+MATCH($A668,INDEX('AH History'!$A$1:$A$18046,AH!$P$7):INDEX('AH History'!$A$1:$A$18046,AH!$P$7+AH!$P$8-1),0),0),0)</ns0:f>
        <ns0:v/>
      </ns0:c>
      <ns0:c r="I668">
        <ns0:f>IF($H668=0,0,IFERROR(IF(AND(ABS($C668-INDEX('AH History'!$B$1:$B$18046,$H668))&lt;=MAX(0.005,ABS(INDEX('AH History'!$B$1:$B$18046,$H668))*0.00005),ABS($D668-INDEX('AH History'!$C$1:$C$18046,$H668))&lt;=MAX(0.005,ABS(INDEX('AH History'!$C$1:$C$18046,$H668))*0.00005),ABS($E668-INDEX('AH History'!$D$1:$D$18046,$H668))&lt;=0.00005,$F668=INDEX('AH History'!$E$1:$E$18046,$H668),$G668=INDEX('AH History'!$F$1:$F$18046,$H668)),1,-1),-1))</ns0:f>
        <ns0:v/>
      </ns0:c>
    </ns0:row>
    <ns0:row r="669">
      <ns0:c r="A669" s="215">
        <ns0:f>IF(OR(AH!$P$3=0,664+1&gt;AH!$P$11,AND(AH!$E$4&lt;&gt;"Stored",AH!$P$10&lt;&gt;1)),"",IFERROR(IF(AND(AH!$P$21=1,664+1=AH!$P$11),TODAY(),IF(AH!$P$10=1,INDEX('Live History'!$A$5:$A$3004,AH!$P$13+664),INDEX('AH History'!$A$1:$A$18046,AH!$P$7+664))),""))</ns0:f>
        <ns0:v/>
      </ns0:c>
      <ns0:c r="B669" s="219">
        <ns0:f>IFERROR(IF(AND(AH!$P$9&lt;&gt;1,$C669&gt;0,$D669&gt;0,$E669&gt;0,$F669&gt;0,$G669&gt;0,$F669&lt;=$A669,$G669&lt;=$A669,$A669-$F669&lt;=10,$A669-$G669&lt;=5),$D669*$E669/$C669-1,NA()),NA())</ns0:f>
        <ns0:v/>
      </ns0:c>
      <ns0:c r="C669">
        <ns0:f>IFERROR(IF(ISNUMBER($A669),IF(AND(AH!$P$10=1,AH!$P$12=1,$A669=TODAY()),AH!$P$19,IF(AH!$P$10=1,INDEX('Live History'!$B$5:$B$3004,AH!$P$13+664),INDEX('AH History'!$B$1:$B$18046,AH!$P$7+664))),NA()),NA())</ns0:f>
        <ns0:v/>
      </ns0:c>
      <ns0:c r="D669">
        <ns0:f>IFERROR(IF(ISNUMBER($A669),IF(AND(AH!$P$10=1,AH!$P$12=1,$A669=TODAY()),AH!$P$18,IF(AH!$P$10=1,INDEX('Live History'!$E$5:$E$3004,MATCH($A669,'Live History'!$D$5:$D$3004,1)),INDEX('AH History'!$C$1:$C$18046,AH!$P$7+664))),NA()),NA())</ns0:f>
        <ns0:v/>
      </ns0:c>
      <ns0:c r="E669">
        <ns0:f>IFERROR(IF(ISNUMBER($A669),IF(AND(AH!$P$10=1,AH!$P$12=1,$A669=TODAY()),AH!$P$20,IF(AH!$P$10=1,INDEX('Live History'!$H$5:$H$3004,MATCH($A669,'Live History'!$G$5:$G$3004,1)),INDEX('AH History'!$D$1:$D$18046,AH!$P$7+664))),NA()),NA())</ns0:f>
        <ns0:v/>
      </ns0:c>
      <ns0:c r="F669">
        <ns0:f>IFERROR(IF(ISNUMBER($A669),IF(AND(AH!$P$10=1,AH!$P$12=1,$A669=TODAY()),IF(AND(AH!$P$10=1,AH!$P$12=1,$A669=TODAY()),TODAY(),NA()),IF(AH!$P$10=1,INDEX('Live History'!$D$5:$D$3004,MATCH($A669,'Live History'!$D$5:$D$3004,1)),INDEX('AH History'!$E$1:$E$18046,AH!$P$7+664))),NA()),NA())</ns0:f>
        <ns0:v/>
      </ns0:c>
      <ns0:c r="G669">
        <ns0:f>IFERROR(IF(ISNUMBER($A669),IF(AND(AH!$P$10=1,AH!$P$12=1,$A669=TODAY()),IF(AND(AH!$P$10=1,AH!$P$12=1,$A669=TODAY()),TODAY(),NA()),IF(AH!$P$10=1,INDEX('Live History'!$G$5:$G$3004,MATCH($A669,'Live History'!$G$5:$G$3004,1)),INDEX('AH History'!$F$1:$F$18046,AH!$P$7+664))),NA()),NA())</ns0:f>
        <ns0:v/>
      </ns0:c>
      <ns0:c r="H669">
        <ns0:f>IFERROR(IF(AND(AH!$E$4="Bloomberg",AH!$P$10=1,ISNUMBER($A669),$A669&lt;=AH!$P$17),AH!$P$7-1+MATCH($A669,INDEX('AH History'!$A$1:$A$18046,AH!$P$7):INDEX('AH History'!$A$1:$A$18046,AH!$P$7+AH!$P$8-1),0),0),0)</ns0:f>
        <ns0:v/>
      </ns0:c>
      <ns0:c r="I669">
        <ns0:f>IF($H669=0,0,IFERROR(IF(AND(ABS($C669-INDEX('AH History'!$B$1:$B$18046,$H669))&lt;=MAX(0.005,ABS(INDEX('AH History'!$B$1:$B$18046,$H669))*0.00005),ABS($D669-INDEX('AH History'!$C$1:$C$18046,$H669))&lt;=MAX(0.005,ABS(INDEX('AH History'!$C$1:$C$18046,$H669))*0.00005),ABS($E669-INDEX('AH History'!$D$1:$D$18046,$H669))&lt;=0.00005,$F669=INDEX('AH History'!$E$1:$E$18046,$H669),$G669=INDEX('AH History'!$F$1:$F$18046,$H669)),1,-1),-1))</ns0:f>
        <ns0:v/>
      </ns0:c>
    </ns0:row>
    <ns0:row r="670">
      <ns0:c r="A670" s="215">
        <ns0:f>IF(OR(AH!$P$3=0,665+1&gt;AH!$P$11,AND(AH!$E$4&lt;&gt;"Stored",AH!$P$10&lt;&gt;1)),"",IFERROR(IF(AND(AH!$P$21=1,665+1=AH!$P$11),TODAY(),IF(AH!$P$10=1,INDEX('Live History'!$A$5:$A$3004,AH!$P$13+665),INDEX('AH History'!$A$1:$A$18046,AH!$P$7+665))),""))</ns0:f>
        <ns0:v/>
      </ns0:c>
      <ns0:c r="B670" s="219">
        <ns0:f>IFERROR(IF(AND(AH!$P$9&lt;&gt;1,$C670&gt;0,$D670&gt;0,$E670&gt;0,$F670&gt;0,$G670&gt;0,$F670&lt;=$A670,$G670&lt;=$A670,$A670-$F670&lt;=10,$A670-$G670&lt;=5),$D670*$E670/$C670-1,NA()),NA())</ns0:f>
        <ns0:v/>
      </ns0:c>
      <ns0:c r="C670">
        <ns0:f>IFERROR(IF(ISNUMBER($A670),IF(AND(AH!$P$10=1,AH!$P$12=1,$A670=TODAY()),AH!$P$19,IF(AH!$P$10=1,INDEX('Live History'!$B$5:$B$3004,AH!$P$13+665),INDEX('AH History'!$B$1:$B$18046,AH!$P$7+665))),NA()),NA())</ns0:f>
        <ns0:v/>
      </ns0:c>
      <ns0:c r="D670">
        <ns0:f>IFERROR(IF(ISNUMBER($A670),IF(AND(AH!$P$10=1,AH!$P$12=1,$A670=TODAY()),AH!$P$18,IF(AH!$P$10=1,INDEX('Live History'!$E$5:$E$3004,MATCH($A670,'Live History'!$D$5:$D$3004,1)),INDEX('AH History'!$C$1:$C$18046,AH!$P$7+665))),NA()),NA())</ns0:f>
        <ns0:v/>
      </ns0:c>
      <ns0:c r="E670">
        <ns0:f>IFERROR(IF(ISNUMBER($A670),IF(AND(AH!$P$10=1,AH!$P$12=1,$A670=TODAY()),AH!$P$20,IF(AH!$P$10=1,INDEX('Live History'!$H$5:$H$3004,MATCH($A670,'Live History'!$G$5:$G$3004,1)),INDEX('AH History'!$D$1:$D$18046,AH!$P$7+665))),NA()),NA())</ns0:f>
        <ns0:v/>
      </ns0:c>
      <ns0:c r="F670">
        <ns0:f>IFERROR(IF(ISNUMBER($A670),IF(AND(AH!$P$10=1,AH!$P$12=1,$A670=TODAY()),IF(AND(AH!$P$10=1,AH!$P$12=1,$A670=TODAY()),TODAY(),NA()),IF(AH!$P$10=1,INDEX('Live History'!$D$5:$D$3004,MATCH($A670,'Live History'!$D$5:$D$3004,1)),INDEX('AH History'!$E$1:$E$18046,AH!$P$7+665))),NA()),NA())</ns0:f>
        <ns0:v/>
      </ns0:c>
      <ns0:c r="G670">
        <ns0:f>IFERROR(IF(ISNUMBER($A670),IF(AND(AH!$P$10=1,AH!$P$12=1,$A670=TODAY()),IF(AND(AH!$P$10=1,AH!$P$12=1,$A670=TODAY()),TODAY(),NA()),IF(AH!$P$10=1,INDEX('Live History'!$G$5:$G$3004,MATCH($A670,'Live History'!$G$5:$G$3004,1)),INDEX('AH History'!$F$1:$F$18046,AH!$P$7+665))),NA()),NA())</ns0:f>
        <ns0:v/>
      </ns0:c>
      <ns0:c r="H670">
        <ns0:f>IFERROR(IF(AND(AH!$E$4="Bloomberg",AH!$P$10=1,ISNUMBER($A670),$A670&lt;=AH!$P$17),AH!$P$7-1+MATCH($A670,INDEX('AH History'!$A$1:$A$18046,AH!$P$7):INDEX('AH History'!$A$1:$A$18046,AH!$P$7+AH!$P$8-1),0),0),0)</ns0:f>
        <ns0:v/>
      </ns0:c>
      <ns0:c r="I670">
        <ns0:f>IF($H670=0,0,IFERROR(IF(AND(ABS($C670-INDEX('AH History'!$B$1:$B$18046,$H670))&lt;=MAX(0.005,ABS(INDEX('AH History'!$B$1:$B$18046,$H670))*0.00005),ABS($D670-INDEX('AH History'!$C$1:$C$18046,$H670))&lt;=MAX(0.005,ABS(INDEX('AH History'!$C$1:$C$18046,$H670))*0.00005),ABS($E670-INDEX('AH History'!$D$1:$D$18046,$H670))&lt;=0.00005,$F670=INDEX('AH History'!$E$1:$E$18046,$H670),$G670=INDEX('AH History'!$F$1:$F$18046,$H670)),1,-1),-1))</ns0:f>
        <ns0:v/>
      </ns0:c>
    </ns0:row>
    <ns0:row r="671">
      <ns0:c r="A671" s="215">
        <ns0:f>IF(OR(AH!$P$3=0,666+1&gt;AH!$P$11,AND(AH!$E$4&lt;&gt;"Stored",AH!$P$10&lt;&gt;1)),"",IFERROR(IF(AND(AH!$P$21=1,666+1=AH!$P$11),TODAY(),IF(AH!$P$10=1,INDEX('Live History'!$A$5:$A$3004,AH!$P$13+666),INDEX('AH History'!$A$1:$A$18046,AH!$P$7+666))),""))</ns0:f>
        <ns0:v/>
      </ns0:c>
      <ns0:c r="B671" s="219">
        <ns0:f>IFERROR(IF(AND(AH!$P$9&lt;&gt;1,$C671&gt;0,$D671&gt;0,$E671&gt;0,$F671&gt;0,$G671&gt;0,$F671&lt;=$A671,$G671&lt;=$A671,$A671-$F671&lt;=10,$A671-$G671&lt;=5),$D671*$E671/$C671-1,NA()),NA())</ns0:f>
        <ns0:v/>
      </ns0:c>
      <ns0:c r="C671">
        <ns0:f>IFERROR(IF(ISNUMBER($A671),IF(AND(AH!$P$10=1,AH!$P$12=1,$A671=TODAY()),AH!$P$19,IF(AH!$P$10=1,INDEX('Live History'!$B$5:$B$3004,AH!$P$13+666),INDEX('AH History'!$B$1:$B$18046,AH!$P$7+666))),NA()),NA())</ns0:f>
        <ns0:v/>
      </ns0:c>
      <ns0:c r="D671">
        <ns0:f>IFERROR(IF(ISNUMBER($A671),IF(AND(AH!$P$10=1,AH!$P$12=1,$A671=TODAY()),AH!$P$18,IF(AH!$P$10=1,INDEX('Live History'!$E$5:$E$3004,MATCH($A671,'Live History'!$D$5:$D$3004,1)),INDEX('AH History'!$C$1:$C$18046,AH!$P$7+666))),NA()),NA())</ns0:f>
        <ns0:v/>
      </ns0:c>
      <ns0:c r="E671">
        <ns0:f>IFERROR(IF(ISNUMBER($A671),IF(AND(AH!$P$10=1,AH!$P$12=1,$A671=TODAY()),AH!$P$20,IF(AH!$P$10=1,INDEX('Live History'!$H$5:$H$3004,MATCH($A671,'Live History'!$G$5:$G$3004,1)),INDEX('AH History'!$D$1:$D$18046,AH!$P$7+666))),NA()),NA())</ns0:f>
        <ns0:v/>
      </ns0:c>
      <ns0:c r="F671">
        <ns0:f>IFERROR(IF(ISNUMBER($A671),IF(AND(AH!$P$10=1,AH!$P$12=1,$A671=TODAY()),IF(AND(AH!$P$10=1,AH!$P$12=1,$A671=TODAY()),TODAY(),NA()),IF(AH!$P$10=1,INDEX('Live History'!$D$5:$D$3004,MATCH($A671,'Live History'!$D$5:$D$3004,1)),INDEX('AH History'!$E$1:$E$18046,AH!$P$7+666))),NA()),NA())</ns0:f>
        <ns0:v/>
      </ns0:c>
      <ns0:c r="G671">
        <ns0:f>IFERROR(IF(ISNUMBER($A671),IF(AND(AH!$P$10=1,AH!$P$12=1,$A671=TODAY()),IF(AND(AH!$P$10=1,AH!$P$12=1,$A671=TODAY()),TODAY(),NA()),IF(AH!$P$10=1,INDEX('Live History'!$G$5:$G$3004,MATCH($A671,'Live History'!$G$5:$G$3004,1)),INDEX('AH History'!$F$1:$F$18046,AH!$P$7+666))),NA()),NA())</ns0:f>
        <ns0:v/>
      </ns0:c>
      <ns0:c r="H671">
        <ns0:f>IFERROR(IF(AND(AH!$E$4="Bloomberg",AH!$P$10=1,ISNUMBER($A671),$A671&lt;=AH!$P$17),AH!$P$7-1+MATCH($A671,INDEX('AH History'!$A$1:$A$18046,AH!$P$7):INDEX('AH History'!$A$1:$A$18046,AH!$P$7+AH!$P$8-1),0),0),0)</ns0:f>
        <ns0:v/>
      </ns0:c>
      <ns0:c r="I671">
        <ns0:f>IF($H671=0,0,IFERROR(IF(AND(ABS($C671-INDEX('AH History'!$B$1:$B$18046,$H671))&lt;=MAX(0.005,ABS(INDEX('AH History'!$B$1:$B$18046,$H671))*0.00005),ABS($D671-INDEX('AH History'!$C$1:$C$18046,$H671))&lt;=MAX(0.005,ABS(INDEX('AH History'!$C$1:$C$18046,$H671))*0.00005),ABS($E671-INDEX('AH History'!$D$1:$D$18046,$H671))&lt;=0.00005,$F671=INDEX('AH History'!$E$1:$E$18046,$H671),$G671=INDEX('AH History'!$F$1:$F$18046,$H671)),1,-1),-1))</ns0:f>
        <ns0:v/>
      </ns0:c>
    </ns0:row>
    <ns0:row r="672">
      <ns0:c r="A672" s="215">
        <ns0:f>IF(OR(AH!$P$3=0,667+1&gt;AH!$P$11,AND(AH!$E$4&lt;&gt;"Stored",AH!$P$10&lt;&gt;1)),"",IFERROR(IF(AND(AH!$P$21=1,667+1=AH!$P$11),TODAY(),IF(AH!$P$10=1,INDEX('Live History'!$A$5:$A$3004,AH!$P$13+667),INDEX('AH History'!$A$1:$A$18046,AH!$P$7+667))),""))</ns0:f>
        <ns0:v/>
      </ns0:c>
      <ns0:c r="B672" s="219">
        <ns0:f>IFERROR(IF(AND(AH!$P$9&lt;&gt;1,$C672&gt;0,$D672&gt;0,$E672&gt;0,$F672&gt;0,$G672&gt;0,$F672&lt;=$A672,$G672&lt;=$A672,$A672-$F672&lt;=10,$A672-$G672&lt;=5),$D672*$E672/$C672-1,NA()),NA())</ns0:f>
        <ns0:v/>
      </ns0:c>
      <ns0:c r="C672">
        <ns0:f>IFERROR(IF(ISNUMBER($A672),IF(AND(AH!$P$10=1,AH!$P$12=1,$A672=TODAY()),AH!$P$19,IF(AH!$P$10=1,INDEX('Live History'!$B$5:$B$3004,AH!$P$13+667),INDEX('AH History'!$B$1:$B$18046,AH!$P$7+667))),NA()),NA())</ns0:f>
        <ns0:v/>
      </ns0:c>
      <ns0:c r="D672">
        <ns0:f>IFERROR(IF(ISNUMBER($A672),IF(AND(AH!$P$10=1,AH!$P$12=1,$A672=TODAY()),AH!$P$18,IF(AH!$P$10=1,INDEX('Live History'!$E$5:$E$3004,MATCH($A672,'Live History'!$D$5:$D$3004,1)),INDEX('AH History'!$C$1:$C$18046,AH!$P$7+667))),NA()),NA())</ns0:f>
        <ns0:v/>
      </ns0:c>
      <ns0:c r="E672">
        <ns0:f>IFERROR(IF(ISNUMBER($A672),IF(AND(AH!$P$10=1,AH!$P$12=1,$A672=TODAY()),AH!$P$20,IF(AH!$P$10=1,INDEX('Live History'!$H$5:$H$3004,MATCH($A672,'Live History'!$G$5:$G$3004,1)),INDEX('AH History'!$D$1:$D$18046,AH!$P$7+667))),NA()),NA())</ns0:f>
        <ns0:v/>
      </ns0:c>
      <ns0:c r="F672">
        <ns0:f>IFERROR(IF(ISNUMBER($A672),IF(AND(AH!$P$10=1,AH!$P$12=1,$A672=TODAY()),IF(AND(AH!$P$10=1,AH!$P$12=1,$A672=TODAY()),TODAY(),NA()),IF(AH!$P$10=1,INDEX('Live History'!$D$5:$D$3004,MATCH($A672,'Live History'!$D$5:$D$3004,1)),INDEX('AH History'!$E$1:$E$18046,AH!$P$7+667))),NA()),NA())</ns0:f>
        <ns0:v/>
      </ns0:c>
      <ns0:c r="G672">
        <ns0:f>IFERROR(IF(ISNUMBER($A672),IF(AND(AH!$P$10=1,AH!$P$12=1,$A672=TODAY()),IF(AND(AH!$P$10=1,AH!$P$12=1,$A672=TODAY()),TODAY(),NA()),IF(AH!$P$10=1,INDEX('Live History'!$G$5:$G$3004,MATCH($A672,'Live History'!$G$5:$G$3004,1)),INDEX('AH History'!$F$1:$F$18046,AH!$P$7+667))),NA()),NA())</ns0:f>
        <ns0:v/>
      </ns0:c>
      <ns0:c r="H672">
        <ns0:f>IFERROR(IF(AND(AH!$E$4="Bloomberg",AH!$P$10=1,ISNUMBER($A672),$A672&lt;=AH!$P$17),AH!$P$7-1+MATCH($A672,INDEX('AH History'!$A$1:$A$18046,AH!$P$7):INDEX('AH History'!$A$1:$A$18046,AH!$P$7+AH!$P$8-1),0),0),0)</ns0:f>
        <ns0:v/>
      </ns0:c>
      <ns0:c r="I672">
        <ns0:f>IF($H672=0,0,IFERROR(IF(AND(ABS($C672-INDEX('AH History'!$B$1:$B$18046,$H672))&lt;=MAX(0.005,ABS(INDEX('AH History'!$B$1:$B$18046,$H672))*0.00005),ABS($D672-INDEX('AH History'!$C$1:$C$18046,$H672))&lt;=MAX(0.005,ABS(INDEX('AH History'!$C$1:$C$18046,$H672))*0.00005),ABS($E672-INDEX('AH History'!$D$1:$D$18046,$H672))&lt;=0.00005,$F672=INDEX('AH History'!$E$1:$E$18046,$H672),$G672=INDEX('AH History'!$F$1:$F$18046,$H672)),1,-1),-1))</ns0:f>
        <ns0:v/>
      </ns0:c>
    </ns0:row>
    <ns0:row r="673">
      <ns0:c r="A673" s="215">
        <ns0:f>IF(OR(AH!$P$3=0,668+1&gt;AH!$P$11,AND(AH!$E$4&lt;&gt;"Stored",AH!$P$10&lt;&gt;1)),"",IFERROR(IF(AND(AH!$P$21=1,668+1=AH!$P$11),TODAY(),IF(AH!$P$10=1,INDEX('Live History'!$A$5:$A$3004,AH!$P$13+668),INDEX('AH History'!$A$1:$A$18046,AH!$P$7+668))),""))</ns0:f>
        <ns0:v/>
      </ns0:c>
      <ns0:c r="B673" s="219">
        <ns0:f>IFERROR(IF(AND(AH!$P$9&lt;&gt;1,$C673&gt;0,$D673&gt;0,$E673&gt;0,$F673&gt;0,$G673&gt;0,$F673&lt;=$A673,$G673&lt;=$A673,$A673-$F673&lt;=10,$A673-$G673&lt;=5),$D673*$E673/$C673-1,NA()),NA())</ns0:f>
        <ns0:v/>
      </ns0:c>
      <ns0:c r="C673">
        <ns0:f>IFERROR(IF(ISNUMBER($A673),IF(AND(AH!$P$10=1,AH!$P$12=1,$A673=TODAY()),AH!$P$19,IF(AH!$P$10=1,INDEX('Live History'!$B$5:$B$3004,AH!$P$13+668),INDEX('AH History'!$B$1:$B$18046,AH!$P$7+668))),NA()),NA())</ns0:f>
        <ns0:v/>
      </ns0:c>
      <ns0:c r="D673">
        <ns0:f>IFERROR(IF(ISNUMBER($A673),IF(AND(AH!$P$10=1,AH!$P$12=1,$A673=TODAY()),AH!$P$18,IF(AH!$P$10=1,INDEX('Live History'!$E$5:$E$3004,MATCH($A673,'Live History'!$D$5:$D$3004,1)),INDEX('AH History'!$C$1:$C$18046,AH!$P$7+668))),NA()),NA())</ns0:f>
        <ns0:v/>
      </ns0:c>
      <ns0:c r="E673">
        <ns0:f>IFERROR(IF(ISNUMBER($A673),IF(AND(AH!$P$10=1,AH!$P$12=1,$A673=TODAY()),AH!$P$20,IF(AH!$P$10=1,INDEX('Live History'!$H$5:$H$3004,MATCH($A673,'Live History'!$G$5:$G$3004,1)),INDEX('AH History'!$D$1:$D$18046,AH!$P$7+668))),NA()),NA())</ns0:f>
        <ns0:v/>
      </ns0:c>
      <ns0:c r="F673">
        <ns0:f>IFERROR(IF(ISNUMBER($A673),IF(AND(AH!$P$10=1,AH!$P$12=1,$A673=TODAY()),IF(AND(AH!$P$10=1,AH!$P$12=1,$A673=TODAY()),TODAY(),NA()),IF(AH!$P$10=1,INDEX('Live History'!$D$5:$D$3004,MATCH($A673,'Live History'!$D$5:$D$3004,1)),INDEX('AH History'!$E$1:$E$18046,AH!$P$7+668))),NA()),NA())</ns0:f>
        <ns0:v/>
      </ns0:c>
      <ns0:c r="G673">
        <ns0:f>IFERROR(IF(ISNUMBER($A673),IF(AND(AH!$P$10=1,AH!$P$12=1,$A673=TODAY()),IF(AND(AH!$P$10=1,AH!$P$12=1,$A673=TODAY()),TODAY(),NA()),IF(AH!$P$10=1,INDEX('Live History'!$G$5:$G$3004,MATCH($A673,'Live History'!$G$5:$G$3004,1)),INDEX('AH History'!$F$1:$F$18046,AH!$P$7+668))),NA()),NA())</ns0:f>
        <ns0:v/>
      </ns0:c>
      <ns0:c r="H673">
        <ns0:f>IFERROR(IF(AND(AH!$E$4="Bloomberg",AH!$P$10=1,ISNUMBER($A673),$A673&lt;=AH!$P$17),AH!$P$7-1+MATCH($A673,INDEX('AH History'!$A$1:$A$18046,AH!$P$7):INDEX('AH History'!$A$1:$A$18046,AH!$P$7+AH!$P$8-1),0),0),0)</ns0:f>
        <ns0:v/>
      </ns0:c>
      <ns0:c r="I673">
        <ns0:f>IF($H673=0,0,IFERROR(IF(AND(ABS($C673-INDEX('AH History'!$B$1:$B$18046,$H673))&lt;=MAX(0.005,ABS(INDEX('AH History'!$B$1:$B$18046,$H673))*0.00005),ABS($D673-INDEX('AH History'!$C$1:$C$18046,$H673))&lt;=MAX(0.005,ABS(INDEX('AH History'!$C$1:$C$18046,$H673))*0.00005),ABS($E673-INDEX('AH History'!$D$1:$D$18046,$H673))&lt;=0.00005,$F673=INDEX('AH History'!$E$1:$E$18046,$H673),$G673=INDEX('AH History'!$F$1:$F$18046,$H673)),1,-1),-1))</ns0:f>
        <ns0:v/>
      </ns0:c>
    </ns0:row>
    <ns0:row r="674">
      <ns0:c r="A674" s="215">
        <ns0:f>IF(OR(AH!$P$3=0,669+1&gt;AH!$P$11,AND(AH!$E$4&lt;&gt;"Stored",AH!$P$10&lt;&gt;1)),"",IFERROR(IF(AND(AH!$P$21=1,669+1=AH!$P$11),TODAY(),IF(AH!$P$10=1,INDEX('Live History'!$A$5:$A$3004,AH!$P$13+669),INDEX('AH History'!$A$1:$A$18046,AH!$P$7+669))),""))</ns0:f>
        <ns0:v/>
      </ns0:c>
      <ns0:c r="B674" s="219">
        <ns0:f>IFERROR(IF(AND(AH!$P$9&lt;&gt;1,$C674&gt;0,$D674&gt;0,$E674&gt;0,$F674&gt;0,$G674&gt;0,$F674&lt;=$A674,$G674&lt;=$A674,$A674-$F674&lt;=10,$A674-$G674&lt;=5),$D674*$E674/$C674-1,NA()),NA())</ns0:f>
        <ns0:v/>
      </ns0:c>
      <ns0:c r="C674">
        <ns0:f>IFERROR(IF(ISNUMBER($A674),IF(AND(AH!$P$10=1,AH!$P$12=1,$A674=TODAY()),AH!$P$19,IF(AH!$P$10=1,INDEX('Live History'!$B$5:$B$3004,AH!$P$13+669),INDEX('AH History'!$B$1:$B$18046,AH!$P$7+669))),NA()),NA())</ns0:f>
        <ns0:v/>
      </ns0:c>
      <ns0:c r="D674">
        <ns0:f>IFERROR(IF(ISNUMBER($A674),IF(AND(AH!$P$10=1,AH!$P$12=1,$A674=TODAY()),AH!$P$18,IF(AH!$P$10=1,INDEX('Live History'!$E$5:$E$3004,MATCH($A674,'Live History'!$D$5:$D$3004,1)),INDEX('AH History'!$C$1:$C$18046,AH!$P$7+669))),NA()),NA())</ns0:f>
        <ns0:v/>
      </ns0:c>
      <ns0:c r="E674">
        <ns0:f>IFERROR(IF(ISNUMBER($A674),IF(AND(AH!$P$10=1,AH!$P$12=1,$A674=TODAY()),AH!$P$20,IF(AH!$P$10=1,INDEX('Live History'!$H$5:$H$3004,MATCH($A674,'Live History'!$G$5:$G$3004,1)),INDEX('AH History'!$D$1:$D$18046,AH!$P$7+669))),NA()),NA())</ns0:f>
        <ns0:v/>
      </ns0:c>
      <ns0:c r="F674">
        <ns0:f>IFERROR(IF(ISNUMBER($A674),IF(AND(AH!$P$10=1,AH!$P$12=1,$A674=TODAY()),IF(AND(AH!$P$10=1,AH!$P$12=1,$A674=TODAY()),TODAY(),NA()),IF(AH!$P$10=1,INDEX('Live History'!$D$5:$D$3004,MATCH($A674,'Live History'!$D$5:$D$3004,1)),INDEX('AH History'!$E$1:$E$18046,AH!$P$7+669))),NA()),NA())</ns0:f>
        <ns0:v/>
      </ns0:c>
      <ns0:c r="G674">
        <ns0:f>IFERROR(IF(ISNUMBER($A674),IF(AND(AH!$P$10=1,AH!$P$12=1,$A674=TODAY()),IF(AND(AH!$P$10=1,AH!$P$12=1,$A674=TODAY()),TODAY(),NA()),IF(AH!$P$10=1,INDEX('Live History'!$G$5:$G$3004,MATCH($A674,'Live History'!$G$5:$G$3004,1)),INDEX('AH History'!$F$1:$F$18046,AH!$P$7+669))),NA()),NA())</ns0:f>
        <ns0:v/>
      </ns0:c>
      <ns0:c r="H674">
        <ns0:f>IFERROR(IF(AND(AH!$E$4="Bloomberg",AH!$P$10=1,ISNUMBER($A674),$A674&lt;=AH!$P$17),AH!$P$7-1+MATCH($A674,INDEX('AH History'!$A$1:$A$18046,AH!$P$7):INDEX('AH History'!$A$1:$A$18046,AH!$P$7+AH!$P$8-1),0),0),0)</ns0:f>
        <ns0:v/>
      </ns0:c>
      <ns0:c r="I674">
        <ns0:f>IF($H674=0,0,IFERROR(IF(AND(ABS($C674-INDEX('AH History'!$B$1:$B$18046,$H674))&lt;=MAX(0.005,ABS(INDEX('AH History'!$B$1:$B$18046,$H674))*0.00005),ABS($D674-INDEX('AH History'!$C$1:$C$18046,$H674))&lt;=MAX(0.005,ABS(INDEX('AH History'!$C$1:$C$18046,$H674))*0.00005),ABS($E674-INDEX('AH History'!$D$1:$D$18046,$H674))&lt;=0.00005,$F674=INDEX('AH History'!$E$1:$E$18046,$H674),$G674=INDEX('AH History'!$F$1:$F$18046,$H674)),1,-1),-1))</ns0:f>
        <ns0:v/>
      </ns0:c>
    </ns0:row>
    <ns0:row r="675">
      <ns0:c r="A675" s="215">
        <ns0:f>IF(OR(AH!$P$3=0,670+1&gt;AH!$P$11,AND(AH!$E$4&lt;&gt;"Stored",AH!$P$10&lt;&gt;1)),"",IFERROR(IF(AND(AH!$P$21=1,670+1=AH!$P$11),TODAY(),IF(AH!$P$10=1,INDEX('Live History'!$A$5:$A$3004,AH!$P$13+670),INDEX('AH History'!$A$1:$A$18046,AH!$P$7+670))),""))</ns0:f>
        <ns0:v/>
      </ns0:c>
      <ns0:c r="B675" s="219">
        <ns0:f>IFERROR(IF(AND(AH!$P$9&lt;&gt;1,$C675&gt;0,$D675&gt;0,$E675&gt;0,$F675&gt;0,$G675&gt;0,$F675&lt;=$A675,$G675&lt;=$A675,$A675-$F675&lt;=10,$A675-$G675&lt;=5),$D675*$E675/$C675-1,NA()),NA())</ns0:f>
        <ns0:v/>
      </ns0:c>
      <ns0:c r="C675">
        <ns0:f>IFERROR(IF(ISNUMBER($A675),IF(AND(AH!$P$10=1,AH!$P$12=1,$A675=TODAY()),AH!$P$19,IF(AH!$P$10=1,INDEX('Live History'!$B$5:$B$3004,AH!$P$13+670),INDEX('AH History'!$B$1:$B$18046,AH!$P$7+670))),NA()),NA())</ns0:f>
        <ns0:v/>
      </ns0:c>
      <ns0:c r="D675">
        <ns0:f>IFERROR(IF(ISNUMBER($A675),IF(AND(AH!$P$10=1,AH!$P$12=1,$A675=TODAY()),AH!$P$18,IF(AH!$P$10=1,INDEX('Live History'!$E$5:$E$3004,MATCH($A675,'Live History'!$D$5:$D$3004,1)),INDEX('AH History'!$C$1:$C$18046,AH!$P$7+670))),NA()),NA())</ns0:f>
        <ns0:v/>
      </ns0:c>
      <ns0:c r="E675">
        <ns0:f>IFERROR(IF(ISNUMBER($A675),IF(AND(AH!$P$10=1,AH!$P$12=1,$A675=TODAY()),AH!$P$20,IF(AH!$P$10=1,INDEX('Live History'!$H$5:$H$3004,MATCH($A675,'Live History'!$G$5:$G$3004,1)),INDEX('AH History'!$D$1:$D$18046,AH!$P$7+670))),NA()),NA())</ns0:f>
        <ns0:v/>
      </ns0:c>
      <ns0:c r="F675">
        <ns0:f>IFERROR(IF(ISNUMBER($A675),IF(AND(AH!$P$10=1,AH!$P$12=1,$A675=TODAY()),IF(AND(AH!$P$10=1,AH!$P$12=1,$A675=TODAY()),TODAY(),NA()),IF(AH!$P$10=1,INDEX('Live History'!$D$5:$D$3004,MATCH($A675,'Live History'!$D$5:$D$3004,1)),INDEX('AH History'!$E$1:$E$18046,AH!$P$7+670))),NA()),NA())</ns0:f>
        <ns0:v/>
      </ns0:c>
      <ns0:c r="G675">
        <ns0:f>IFERROR(IF(ISNUMBER($A675),IF(AND(AH!$P$10=1,AH!$P$12=1,$A675=TODAY()),IF(AND(AH!$P$10=1,AH!$P$12=1,$A675=TODAY()),TODAY(),NA()),IF(AH!$P$10=1,INDEX('Live History'!$G$5:$G$3004,MATCH($A675,'Live History'!$G$5:$G$3004,1)),INDEX('AH History'!$F$1:$F$18046,AH!$P$7+670))),NA()),NA())</ns0:f>
        <ns0:v/>
      </ns0:c>
      <ns0:c r="H675">
        <ns0:f>IFERROR(IF(AND(AH!$E$4="Bloomberg",AH!$P$10=1,ISNUMBER($A675),$A675&lt;=AH!$P$17),AH!$P$7-1+MATCH($A675,INDEX('AH History'!$A$1:$A$18046,AH!$P$7):INDEX('AH History'!$A$1:$A$18046,AH!$P$7+AH!$P$8-1),0),0),0)</ns0:f>
        <ns0:v/>
      </ns0:c>
      <ns0:c r="I675">
        <ns0:f>IF($H675=0,0,IFERROR(IF(AND(ABS($C675-INDEX('AH History'!$B$1:$B$18046,$H675))&lt;=MAX(0.005,ABS(INDEX('AH History'!$B$1:$B$18046,$H675))*0.00005),ABS($D675-INDEX('AH History'!$C$1:$C$18046,$H675))&lt;=MAX(0.005,ABS(INDEX('AH History'!$C$1:$C$18046,$H675))*0.00005),ABS($E675-INDEX('AH History'!$D$1:$D$18046,$H675))&lt;=0.00005,$F675=INDEX('AH History'!$E$1:$E$18046,$H675),$G675=INDEX('AH History'!$F$1:$F$18046,$H675)),1,-1),-1))</ns0:f>
        <ns0:v/>
      </ns0:c>
    </ns0:row>
    <ns0:row r="676">
      <ns0:c r="A676" s="215">
        <ns0:f>IF(OR(AH!$P$3=0,671+1&gt;AH!$P$11,AND(AH!$E$4&lt;&gt;"Stored",AH!$P$10&lt;&gt;1)),"",IFERROR(IF(AND(AH!$P$21=1,671+1=AH!$P$11),TODAY(),IF(AH!$P$10=1,INDEX('Live History'!$A$5:$A$3004,AH!$P$13+671),INDEX('AH History'!$A$1:$A$18046,AH!$P$7+671))),""))</ns0:f>
        <ns0:v/>
      </ns0:c>
      <ns0:c r="B676" s="219">
        <ns0:f>IFERROR(IF(AND(AH!$P$9&lt;&gt;1,$C676&gt;0,$D676&gt;0,$E676&gt;0,$F676&gt;0,$G676&gt;0,$F676&lt;=$A676,$G676&lt;=$A676,$A676-$F676&lt;=10,$A676-$G676&lt;=5),$D676*$E676/$C676-1,NA()),NA())</ns0:f>
        <ns0:v/>
      </ns0:c>
      <ns0:c r="C676">
        <ns0:f>IFERROR(IF(ISNUMBER($A676),IF(AND(AH!$P$10=1,AH!$P$12=1,$A676=TODAY()),AH!$P$19,IF(AH!$P$10=1,INDEX('Live History'!$B$5:$B$3004,AH!$P$13+671),INDEX('AH History'!$B$1:$B$18046,AH!$P$7+671))),NA()),NA())</ns0:f>
        <ns0:v/>
      </ns0:c>
      <ns0:c r="D676">
        <ns0:f>IFERROR(IF(ISNUMBER($A676),IF(AND(AH!$P$10=1,AH!$P$12=1,$A676=TODAY()),AH!$P$18,IF(AH!$P$10=1,INDEX('Live History'!$E$5:$E$3004,MATCH($A676,'Live History'!$D$5:$D$3004,1)),INDEX('AH History'!$C$1:$C$18046,AH!$P$7+671))),NA()),NA())</ns0:f>
        <ns0:v/>
      </ns0:c>
      <ns0:c r="E676">
        <ns0:f>IFERROR(IF(ISNUMBER($A676),IF(AND(AH!$P$10=1,AH!$P$12=1,$A676=TODAY()),AH!$P$20,IF(AH!$P$10=1,INDEX('Live History'!$H$5:$H$3004,MATCH($A676,'Live History'!$G$5:$G$3004,1)),INDEX('AH History'!$D$1:$D$18046,AH!$P$7+671))),NA()),NA())</ns0:f>
        <ns0:v/>
      </ns0:c>
      <ns0:c r="F676">
        <ns0:f>IFERROR(IF(ISNUMBER($A676),IF(AND(AH!$P$10=1,AH!$P$12=1,$A676=TODAY()),IF(AND(AH!$P$10=1,AH!$P$12=1,$A676=TODAY()),TODAY(),NA()),IF(AH!$P$10=1,INDEX('Live History'!$D$5:$D$3004,MATCH($A676,'Live History'!$D$5:$D$3004,1)),INDEX('AH History'!$E$1:$E$18046,AH!$P$7+671))),NA()),NA())</ns0:f>
        <ns0:v/>
      </ns0:c>
      <ns0:c r="G676">
        <ns0:f>IFERROR(IF(ISNUMBER($A676),IF(AND(AH!$P$10=1,AH!$P$12=1,$A676=TODAY()),IF(AND(AH!$P$10=1,AH!$P$12=1,$A676=TODAY()),TODAY(),NA()),IF(AH!$P$10=1,INDEX('Live History'!$G$5:$G$3004,MATCH($A676,'Live History'!$G$5:$G$3004,1)),INDEX('AH History'!$F$1:$F$18046,AH!$P$7+671))),NA()),NA())</ns0:f>
        <ns0:v/>
      </ns0:c>
      <ns0:c r="H676">
        <ns0:f>IFERROR(IF(AND(AH!$E$4="Bloomberg",AH!$P$10=1,ISNUMBER($A676),$A676&lt;=AH!$P$17),AH!$P$7-1+MATCH($A676,INDEX('AH History'!$A$1:$A$18046,AH!$P$7):INDEX('AH History'!$A$1:$A$18046,AH!$P$7+AH!$P$8-1),0),0),0)</ns0:f>
        <ns0:v/>
      </ns0:c>
      <ns0:c r="I676">
        <ns0:f>IF($H676=0,0,IFERROR(IF(AND(ABS($C676-INDEX('AH History'!$B$1:$B$18046,$H676))&lt;=MAX(0.005,ABS(INDEX('AH History'!$B$1:$B$18046,$H676))*0.00005),ABS($D676-INDEX('AH History'!$C$1:$C$18046,$H676))&lt;=MAX(0.005,ABS(INDEX('AH History'!$C$1:$C$18046,$H676))*0.00005),ABS($E676-INDEX('AH History'!$D$1:$D$18046,$H676))&lt;=0.00005,$F676=INDEX('AH History'!$E$1:$E$18046,$H676),$G676=INDEX('AH History'!$F$1:$F$18046,$H676)),1,-1),-1))</ns0:f>
        <ns0:v/>
      </ns0:c>
    </ns0:row>
    <ns0:row r="677">
      <ns0:c r="A677" s="215">
        <ns0:f>IF(OR(AH!$P$3=0,672+1&gt;AH!$P$11,AND(AH!$E$4&lt;&gt;"Stored",AH!$P$10&lt;&gt;1)),"",IFERROR(IF(AND(AH!$P$21=1,672+1=AH!$P$11),TODAY(),IF(AH!$P$10=1,INDEX('Live History'!$A$5:$A$3004,AH!$P$13+672),INDEX('AH History'!$A$1:$A$18046,AH!$P$7+672))),""))</ns0:f>
        <ns0:v/>
      </ns0:c>
      <ns0:c r="B677" s="219">
        <ns0:f>IFERROR(IF(AND(AH!$P$9&lt;&gt;1,$C677&gt;0,$D677&gt;0,$E677&gt;0,$F677&gt;0,$G677&gt;0,$F677&lt;=$A677,$G677&lt;=$A677,$A677-$F677&lt;=10,$A677-$G677&lt;=5),$D677*$E677/$C677-1,NA()),NA())</ns0:f>
        <ns0:v/>
      </ns0:c>
      <ns0:c r="C677">
        <ns0:f>IFERROR(IF(ISNUMBER($A677),IF(AND(AH!$P$10=1,AH!$P$12=1,$A677=TODAY()),AH!$P$19,IF(AH!$P$10=1,INDEX('Live History'!$B$5:$B$3004,AH!$P$13+672),INDEX('AH History'!$B$1:$B$18046,AH!$P$7+672))),NA()),NA())</ns0:f>
        <ns0:v/>
      </ns0:c>
      <ns0:c r="D677">
        <ns0:f>IFERROR(IF(ISNUMBER($A677),IF(AND(AH!$P$10=1,AH!$P$12=1,$A677=TODAY()),AH!$P$18,IF(AH!$P$10=1,INDEX('Live History'!$E$5:$E$3004,MATCH($A677,'Live History'!$D$5:$D$3004,1)),INDEX('AH History'!$C$1:$C$18046,AH!$P$7+672))),NA()),NA())</ns0:f>
        <ns0:v/>
      </ns0:c>
      <ns0:c r="E677">
        <ns0:f>IFERROR(IF(ISNUMBER($A677),IF(AND(AH!$P$10=1,AH!$P$12=1,$A677=TODAY()),AH!$P$20,IF(AH!$P$10=1,INDEX('Live History'!$H$5:$H$3004,MATCH($A677,'Live History'!$G$5:$G$3004,1)),INDEX('AH History'!$D$1:$D$18046,AH!$P$7+672))),NA()),NA())</ns0:f>
        <ns0:v/>
      </ns0:c>
      <ns0:c r="F677">
        <ns0:f>IFERROR(IF(ISNUMBER($A677),IF(AND(AH!$P$10=1,AH!$P$12=1,$A677=TODAY()),IF(AND(AH!$P$10=1,AH!$P$12=1,$A677=TODAY()),TODAY(),NA()),IF(AH!$P$10=1,INDEX('Live History'!$D$5:$D$3004,MATCH($A677,'Live History'!$D$5:$D$3004,1)),INDEX('AH History'!$E$1:$E$18046,AH!$P$7+672))),NA()),NA())</ns0:f>
        <ns0:v/>
      </ns0:c>
      <ns0:c r="G677">
        <ns0:f>IFERROR(IF(ISNUMBER($A677),IF(AND(AH!$P$10=1,AH!$P$12=1,$A677=TODAY()),IF(AND(AH!$P$10=1,AH!$P$12=1,$A677=TODAY()),TODAY(),NA()),IF(AH!$P$10=1,INDEX('Live History'!$G$5:$G$3004,MATCH($A677,'Live History'!$G$5:$G$3004,1)),INDEX('AH History'!$F$1:$F$18046,AH!$P$7+672))),NA()),NA())</ns0:f>
        <ns0:v/>
      </ns0:c>
      <ns0:c r="H677">
        <ns0:f>IFERROR(IF(AND(AH!$E$4="Bloomberg",AH!$P$10=1,ISNUMBER($A677),$A677&lt;=AH!$P$17),AH!$P$7-1+MATCH($A677,INDEX('AH History'!$A$1:$A$18046,AH!$P$7):INDEX('AH History'!$A$1:$A$18046,AH!$P$7+AH!$P$8-1),0),0),0)</ns0:f>
        <ns0:v/>
      </ns0:c>
      <ns0:c r="I677">
        <ns0:f>IF($H677=0,0,IFERROR(IF(AND(ABS($C677-INDEX('AH History'!$B$1:$B$18046,$H677))&lt;=MAX(0.005,ABS(INDEX('AH History'!$B$1:$B$18046,$H677))*0.00005),ABS($D677-INDEX('AH History'!$C$1:$C$18046,$H677))&lt;=MAX(0.005,ABS(INDEX('AH History'!$C$1:$C$18046,$H677))*0.00005),ABS($E677-INDEX('AH History'!$D$1:$D$18046,$H677))&lt;=0.00005,$F677=INDEX('AH History'!$E$1:$E$18046,$H677),$G677=INDEX('AH History'!$F$1:$F$18046,$H677)),1,-1),-1))</ns0:f>
        <ns0:v/>
      </ns0:c>
    </ns0:row>
    <ns0:row r="678">
      <ns0:c r="A678" s="215">
        <ns0:f>IF(OR(AH!$P$3=0,673+1&gt;AH!$P$11,AND(AH!$E$4&lt;&gt;"Stored",AH!$P$10&lt;&gt;1)),"",IFERROR(IF(AND(AH!$P$21=1,673+1=AH!$P$11),TODAY(),IF(AH!$P$10=1,INDEX('Live History'!$A$5:$A$3004,AH!$P$13+673),INDEX('AH History'!$A$1:$A$18046,AH!$P$7+673))),""))</ns0:f>
        <ns0:v/>
      </ns0:c>
      <ns0:c r="B678" s="219">
        <ns0:f>IFERROR(IF(AND(AH!$P$9&lt;&gt;1,$C678&gt;0,$D678&gt;0,$E678&gt;0,$F678&gt;0,$G678&gt;0,$F678&lt;=$A678,$G678&lt;=$A678,$A678-$F678&lt;=10,$A678-$G678&lt;=5),$D678*$E678/$C678-1,NA()),NA())</ns0:f>
        <ns0:v/>
      </ns0:c>
      <ns0:c r="C678">
        <ns0:f>IFERROR(IF(ISNUMBER($A678),IF(AND(AH!$P$10=1,AH!$P$12=1,$A678=TODAY()),AH!$P$19,IF(AH!$P$10=1,INDEX('Live History'!$B$5:$B$3004,AH!$P$13+673),INDEX('AH History'!$B$1:$B$18046,AH!$P$7+673))),NA()),NA())</ns0:f>
        <ns0:v/>
      </ns0:c>
      <ns0:c r="D678">
        <ns0:f>IFERROR(IF(ISNUMBER($A678),IF(AND(AH!$P$10=1,AH!$P$12=1,$A678=TODAY()),AH!$P$18,IF(AH!$P$10=1,INDEX('Live History'!$E$5:$E$3004,MATCH($A678,'Live History'!$D$5:$D$3004,1)),INDEX('AH History'!$C$1:$C$18046,AH!$P$7+673))),NA()),NA())</ns0:f>
        <ns0:v/>
      </ns0:c>
      <ns0:c r="E678">
        <ns0:f>IFERROR(IF(ISNUMBER($A678),IF(AND(AH!$P$10=1,AH!$P$12=1,$A678=TODAY()),AH!$P$20,IF(AH!$P$10=1,INDEX('Live History'!$H$5:$H$3004,MATCH($A678,'Live History'!$G$5:$G$3004,1)),INDEX('AH History'!$D$1:$D$18046,AH!$P$7+673))),NA()),NA())</ns0:f>
        <ns0:v/>
      </ns0:c>
      <ns0:c r="F678">
        <ns0:f>IFERROR(IF(ISNUMBER($A678),IF(AND(AH!$P$10=1,AH!$P$12=1,$A678=TODAY()),IF(AND(AH!$P$10=1,AH!$P$12=1,$A678=TODAY()),TODAY(),NA()),IF(AH!$P$10=1,INDEX('Live History'!$D$5:$D$3004,MATCH($A678,'Live History'!$D$5:$D$3004,1)),INDEX('AH History'!$E$1:$E$18046,AH!$P$7+673))),NA()),NA())</ns0:f>
        <ns0:v/>
      </ns0:c>
      <ns0:c r="G678">
        <ns0:f>IFERROR(IF(ISNUMBER($A678),IF(AND(AH!$P$10=1,AH!$P$12=1,$A678=TODAY()),IF(AND(AH!$P$10=1,AH!$P$12=1,$A678=TODAY()),TODAY(),NA()),IF(AH!$P$10=1,INDEX('Live History'!$G$5:$G$3004,MATCH($A678,'Live History'!$G$5:$G$3004,1)),INDEX('AH History'!$F$1:$F$18046,AH!$P$7+673))),NA()),NA())</ns0:f>
        <ns0:v/>
      </ns0:c>
      <ns0:c r="H678">
        <ns0:f>IFERROR(IF(AND(AH!$E$4="Bloomberg",AH!$P$10=1,ISNUMBER($A678),$A678&lt;=AH!$P$17),AH!$P$7-1+MATCH($A678,INDEX('AH History'!$A$1:$A$18046,AH!$P$7):INDEX('AH History'!$A$1:$A$18046,AH!$P$7+AH!$P$8-1),0),0),0)</ns0:f>
        <ns0:v/>
      </ns0:c>
      <ns0:c r="I678">
        <ns0:f>IF($H678=0,0,IFERROR(IF(AND(ABS($C678-INDEX('AH History'!$B$1:$B$18046,$H678))&lt;=MAX(0.005,ABS(INDEX('AH History'!$B$1:$B$18046,$H678))*0.00005),ABS($D678-INDEX('AH History'!$C$1:$C$18046,$H678))&lt;=MAX(0.005,ABS(INDEX('AH History'!$C$1:$C$18046,$H678))*0.00005),ABS($E678-INDEX('AH History'!$D$1:$D$18046,$H678))&lt;=0.00005,$F678=INDEX('AH History'!$E$1:$E$18046,$H678),$G678=INDEX('AH History'!$F$1:$F$18046,$H678)),1,-1),-1))</ns0:f>
        <ns0:v/>
      </ns0:c>
    </ns0:row>
    <ns0:row r="679">
      <ns0:c r="A679" s="215">
        <ns0:f>IF(OR(AH!$P$3=0,674+1&gt;AH!$P$11,AND(AH!$E$4&lt;&gt;"Stored",AH!$P$10&lt;&gt;1)),"",IFERROR(IF(AND(AH!$P$21=1,674+1=AH!$P$11),TODAY(),IF(AH!$P$10=1,INDEX('Live History'!$A$5:$A$3004,AH!$P$13+674),INDEX('AH History'!$A$1:$A$18046,AH!$P$7+674))),""))</ns0:f>
        <ns0:v/>
      </ns0:c>
      <ns0:c r="B679" s="219">
        <ns0:f>IFERROR(IF(AND(AH!$P$9&lt;&gt;1,$C679&gt;0,$D679&gt;0,$E679&gt;0,$F679&gt;0,$G679&gt;0,$F679&lt;=$A679,$G679&lt;=$A679,$A679-$F679&lt;=10,$A679-$G679&lt;=5),$D679*$E679/$C679-1,NA()),NA())</ns0:f>
        <ns0:v/>
      </ns0:c>
      <ns0:c r="C679">
        <ns0:f>IFERROR(IF(ISNUMBER($A679),IF(AND(AH!$P$10=1,AH!$P$12=1,$A679=TODAY()),AH!$P$19,IF(AH!$P$10=1,INDEX('Live History'!$B$5:$B$3004,AH!$P$13+674),INDEX('AH History'!$B$1:$B$18046,AH!$P$7+674))),NA()),NA())</ns0:f>
        <ns0:v/>
      </ns0:c>
      <ns0:c r="D679">
        <ns0:f>IFERROR(IF(ISNUMBER($A679),IF(AND(AH!$P$10=1,AH!$P$12=1,$A679=TODAY()),AH!$P$18,IF(AH!$P$10=1,INDEX('Live History'!$E$5:$E$3004,MATCH($A679,'Live History'!$D$5:$D$3004,1)),INDEX('AH History'!$C$1:$C$18046,AH!$P$7+674))),NA()),NA())</ns0:f>
        <ns0:v/>
      </ns0:c>
      <ns0:c r="E679">
        <ns0:f>IFERROR(IF(ISNUMBER($A679),IF(AND(AH!$P$10=1,AH!$P$12=1,$A679=TODAY()),AH!$P$20,IF(AH!$P$10=1,INDEX('Live History'!$H$5:$H$3004,MATCH($A679,'Live History'!$G$5:$G$3004,1)),INDEX('AH History'!$D$1:$D$18046,AH!$P$7+674))),NA()),NA())</ns0:f>
        <ns0:v/>
      </ns0:c>
      <ns0:c r="F679">
        <ns0:f>IFERROR(IF(ISNUMBER($A679),IF(AND(AH!$P$10=1,AH!$P$12=1,$A679=TODAY()),IF(AND(AH!$P$10=1,AH!$P$12=1,$A679=TODAY()),TODAY(),NA()),IF(AH!$P$10=1,INDEX('Live History'!$D$5:$D$3004,MATCH($A679,'Live History'!$D$5:$D$3004,1)),INDEX('AH History'!$E$1:$E$18046,AH!$P$7+674))),NA()),NA())</ns0:f>
        <ns0:v/>
      </ns0:c>
      <ns0:c r="G679">
        <ns0:f>IFERROR(IF(ISNUMBER($A679),IF(AND(AH!$P$10=1,AH!$P$12=1,$A679=TODAY()),IF(AND(AH!$P$10=1,AH!$P$12=1,$A679=TODAY()),TODAY(),NA()),IF(AH!$P$10=1,INDEX('Live History'!$G$5:$G$3004,MATCH($A679,'Live History'!$G$5:$G$3004,1)),INDEX('AH History'!$F$1:$F$18046,AH!$P$7+674))),NA()),NA())</ns0:f>
        <ns0:v/>
      </ns0:c>
      <ns0:c r="H679">
        <ns0:f>IFERROR(IF(AND(AH!$E$4="Bloomberg",AH!$P$10=1,ISNUMBER($A679),$A679&lt;=AH!$P$17),AH!$P$7-1+MATCH($A679,INDEX('AH History'!$A$1:$A$18046,AH!$P$7):INDEX('AH History'!$A$1:$A$18046,AH!$P$7+AH!$P$8-1),0),0),0)</ns0:f>
        <ns0:v/>
      </ns0:c>
      <ns0:c r="I679">
        <ns0:f>IF($H679=0,0,IFERROR(IF(AND(ABS($C679-INDEX('AH History'!$B$1:$B$18046,$H679))&lt;=MAX(0.005,ABS(INDEX('AH History'!$B$1:$B$18046,$H679))*0.00005),ABS($D679-INDEX('AH History'!$C$1:$C$18046,$H679))&lt;=MAX(0.005,ABS(INDEX('AH History'!$C$1:$C$18046,$H679))*0.00005),ABS($E679-INDEX('AH History'!$D$1:$D$18046,$H679))&lt;=0.00005,$F679=INDEX('AH History'!$E$1:$E$18046,$H679),$G679=INDEX('AH History'!$F$1:$F$18046,$H679)),1,-1),-1))</ns0:f>
        <ns0:v/>
      </ns0:c>
    </ns0:row>
    <ns0:row r="680">
      <ns0:c r="A680" s="215">
        <ns0:f>IF(OR(AH!$P$3=0,675+1&gt;AH!$P$11,AND(AH!$E$4&lt;&gt;"Stored",AH!$P$10&lt;&gt;1)),"",IFERROR(IF(AND(AH!$P$21=1,675+1=AH!$P$11),TODAY(),IF(AH!$P$10=1,INDEX('Live History'!$A$5:$A$3004,AH!$P$13+675),INDEX('AH History'!$A$1:$A$18046,AH!$P$7+675))),""))</ns0:f>
        <ns0:v/>
      </ns0:c>
      <ns0:c r="B680" s="219">
        <ns0:f>IFERROR(IF(AND(AH!$P$9&lt;&gt;1,$C680&gt;0,$D680&gt;0,$E680&gt;0,$F680&gt;0,$G680&gt;0,$F680&lt;=$A680,$G680&lt;=$A680,$A680-$F680&lt;=10,$A680-$G680&lt;=5),$D680*$E680/$C680-1,NA()),NA())</ns0:f>
        <ns0:v/>
      </ns0:c>
      <ns0:c r="C680">
        <ns0:f>IFERROR(IF(ISNUMBER($A680),IF(AND(AH!$P$10=1,AH!$P$12=1,$A680=TODAY()),AH!$P$19,IF(AH!$P$10=1,INDEX('Live History'!$B$5:$B$3004,AH!$P$13+675),INDEX('AH History'!$B$1:$B$18046,AH!$P$7+675))),NA()),NA())</ns0:f>
        <ns0:v/>
      </ns0:c>
      <ns0:c r="D680">
        <ns0:f>IFERROR(IF(ISNUMBER($A680),IF(AND(AH!$P$10=1,AH!$P$12=1,$A680=TODAY()),AH!$P$18,IF(AH!$P$10=1,INDEX('Live History'!$E$5:$E$3004,MATCH($A680,'Live History'!$D$5:$D$3004,1)),INDEX('AH History'!$C$1:$C$18046,AH!$P$7+675))),NA()),NA())</ns0:f>
        <ns0:v/>
      </ns0:c>
      <ns0:c r="E680">
        <ns0:f>IFERROR(IF(ISNUMBER($A680),IF(AND(AH!$P$10=1,AH!$P$12=1,$A680=TODAY()),AH!$P$20,IF(AH!$P$10=1,INDEX('Live History'!$H$5:$H$3004,MATCH($A680,'Live History'!$G$5:$G$3004,1)),INDEX('AH History'!$D$1:$D$18046,AH!$P$7+675))),NA()),NA())</ns0:f>
        <ns0:v/>
      </ns0:c>
      <ns0:c r="F680">
        <ns0:f>IFERROR(IF(ISNUMBER($A680),IF(AND(AH!$P$10=1,AH!$P$12=1,$A680=TODAY()),IF(AND(AH!$P$10=1,AH!$P$12=1,$A680=TODAY()),TODAY(),NA()),IF(AH!$P$10=1,INDEX('Live History'!$D$5:$D$3004,MATCH($A680,'Live History'!$D$5:$D$3004,1)),INDEX('AH History'!$E$1:$E$18046,AH!$P$7+675))),NA()),NA())</ns0:f>
        <ns0:v/>
      </ns0:c>
      <ns0:c r="G680">
        <ns0:f>IFERROR(IF(ISNUMBER($A680),IF(AND(AH!$P$10=1,AH!$P$12=1,$A680=TODAY()),IF(AND(AH!$P$10=1,AH!$P$12=1,$A680=TODAY()),TODAY(),NA()),IF(AH!$P$10=1,INDEX('Live History'!$G$5:$G$3004,MATCH($A680,'Live History'!$G$5:$G$3004,1)),INDEX('AH History'!$F$1:$F$18046,AH!$P$7+675))),NA()),NA())</ns0:f>
        <ns0:v/>
      </ns0:c>
      <ns0:c r="H680">
        <ns0:f>IFERROR(IF(AND(AH!$E$4="Bloomberg",AH!$P$10=1,ISNUMBER($A680),$A680&lt;=AH!$P$17),AH!$P$7-1+MATCH($A680,INDEX('AH History'!$A$1:$A$18046,AH!$P$7):INDEX('AH History'!$A$1:$A$18046,AH!$P$7+AH!$P$8-1),0),0),0)</ns0:f>
        <ns0:v/>
      </ns0:c>
      <ns0:c r="I680">
        <ns0:f>IF($H680=0,0,IFERROR(IF(AND(ABS($C680-INDEX('AH History'!$B$1:$B$18046,$H680))&lt;=MAX(0.005,ABS(INDEX('AH History'!$B$1:$B$18046,$H680))*0.00005),ABS($D680-INDEX('AH History'!$C$1:$C$18046,$H680))&lt;=MAX(0.005,ABS(INDEX('AH History'!$C$1:$C$18046,$H680))*0.00005),ABS($E680-INDEX('AH History'!$D$1:$D$18046,$H680))&lt;=0.00005,$F680=INDEX('AH History'!$E$1:$E$18046,$H680),$G680=INDEX('AH History'!$F$1:$F$18046,$H680)),1,-1),-1))</ns0:f>
        <ns0:v/>
      </ns0:c>
    </ns0:row>
    <ns0:row r="681">
      <ns0:c r="A681" s="215">
        <ns0:f>IF(OR(AH!$P$3=0,676+1&gt;AH!$P$11,AND(AH!$E$4&lt;&gt;"Stored",AH!$P$10&lt;&gt;1)),"",IFERROR(IF(AND(AH!$P$21=1,676+1=AH!$P$11),TODAY(),IF(AH!$P$10=1,INDEX('Live History'!$A$5:$A$3004,AH!$P$13+676),INDEX('AH History'!$A$1:$A$18046,AH!$P$7+676))),""))</ns0:f>
        <ns0:v/>
      </ns0:c>
      <ns0:c r="B681" s="219">
        <ns0:f>IFERROR(IF(AND(AH!$P$9&lt;&gt;1,$C681&gt;0,$D681&gt;0,$E681&gt;0,$F681&gt;0,$G681&gt;0,$F681&lt;=$A681,$G681&lt;=$A681,$A681-$F681&lt;=10,$A681-$G681&lt;=5),$D681*$E681/$C681-1,NA()),NA())</ns0:f>
        <ns0:v/>
      </ns0:c>
      <ns0:c r="C681">
        <ns0:f>IFERROR(IF(ISNUMBER($A681),IF(AND(AH!$P$10=1,AH!$P$12=1,$A681=TODAY()),AH!$P$19,IF(AH!$P$10=1,INDEX('Live History'!$B$5:$B$3004,AH!$P$13+676),INDEX('AH History'!$B$1:$B$18046,AH!$P$7+676))),NA()),NA())</ns0:f>
        <ns0:v/>
      </ns0:c>
      <ns0:c r="D681">
        <ns0:f>IFERROR(IF(ISNUMBER($A681),IF(AND(AH!$P$10=1,AH!$P$12=1,$A681=TODAY()),AH!$P$18,IF(AH!$P$10=1,INDEX('Live History'!$E$5:$E$3004,MATCH($A681,'Live History'!$D$5:$D$3004,1)),INDEX('AH History'!$C$1:$C$18046,AH!$P$7+676))),NA()),NA())</ns0:f>
        <ns0:v/>
      </ns0:c>
      <ns0:c r="E681">
        <ns0:f>IFERROR(IF(ISNUMBER($A681),IF(AND(AH!$P$10=1,AH!$P$12=1,$A681=TODAY()),AH!$P$20,IF(AH!$P$10=1,INDEX('Live History'!$H$5:$H$3004,MATCH($A681,'Live History'!$G$5:$G$3004,1)),INDEX('AH History'!$D$1:$D$18046,AH!$P$7+676))),NA()),NA())</ns0:f>
        <ns0:v/>
      </ns0:c>
      <ns0:c r="F681">
        <ns0:f>IFERROR(IF(ISNUMBER($A681),IF(AND(AH!$P$10=1,AH!$P$12=1,$A681=TODAY()),IF(AND(AH!$P$10=1,AH!$P$12=1,$A681=TODAY()),TODAY(),NA()),IF(AH!$P$10=1,INDEX('Live History'!$D$5:$D$3004,MATCH($A681,'Live History'!$D$5:$D$3004,1)),INDEX('AH History'!$E$1:$E$18046,AH!$P$7+676))),NA()),NA())</ns0:f>
        <ns0:v/>
      </ns0:c>
      <ns0:c r="G681">
        <ns0:f>IFERROR(IF(ISNUMBER($A681),IF(AND(AH!$P$10=1,AH!$P$12=1,$A681=TODAY()),IF(AND(AH!$P$10=1,AH!$P$12=1,$A681=TODAY()),TODAY(),NA()),IF(AH!$P$10=1,INDEX('Live History'!$G$5:$G$3004,MATCH($A681,'Live History'!$G$5:$G$3004,1)),INDEX('AH History'!$F$1:$F$18046,AH!$P$7+676))),NA()),NA())</ns0:f>
        <ns0:v/>
      </ns0:c>
      <ns0:c r="H681">
        <ns0:f>IFERROR(IF(AND(AH!$E$4="Bloomberg",AH!$P$10=1,ISNUMBER($A681),$A681&lt;=AH!$P$17),AH!$P$7-1+MATCH($A681,INDEX('AH History'!$A$1:$A$18046,AH!$P$7):INDEX('AH History'!$A$1:$A$18046,AH!$P$7+AH!$P$8-1),0),0),0)</ns0:f>
        <ns0:v/>
      </ns0:c>
      <ns0:c r="I681">
        <ns0:f>IF($H681=0,0,IFERROR(IF(AND(ABS($C681-INDEX('AH History'!$B$1:$B$18046,$H681))&lt;=MAX(0.005,ABS(INDEX('AH History'!$B$1:$B$18046,$H681))*0.00005),ABS($D681-INDEX('AH History'!$C$1:$C$18046,$H681))&lt;=MAX(0.005,ABS(INDEX('AH History'!$C$1:$C$18046,$H681))*0.00005),ABS($E681-INDEX('AH History'!$D$1:$D$18046,$H681))&lt;=0.00005,$F681=INDEX('AH History'!$E$1:$E$18046,$H681),$G681=INDEX('AH History'!$F$1:$F$18046,$H681)),1,-1),-1))</ns0:f>
        <ns0:v/>
      </ns0:c>
    </ns0:row>
    <ns0:row r="682">
      <ns0:c r="A682" s="215">
        <ns0:f>IF(OR(AH!$P$3=0,677+1&gt;AH!$P$11,AND(AH!$E$4&lt;&gt;"Stored",AH!$P$10&lt;&gt;1)),"",IFERROR(IF(AND(AH!$P$21=1,677+1=AH!$P$11),TODAY(),IF(AH!$P$10=1,INDEX('Live History'!$A$5:$A$3004,AH!$P$13+677),INDEX('AH History'!$A$1:$A$18046,AH!$P$7+677))),""))</ns0:f>
        <ns0:v/>
      </ns0:c>
      <ns0:c r="B682" s="219">
        <ns0:f>IFERROR(IF(AND(AH!$P$9&lt;&gt;1,$C682&gt;0,$D682&gt;0,$E682&gt;0,$F682&gt;0,$G682&gt;0,$F682&lt;=$A682,$G682&lt;=$A682,$A682-$F682&lt;=10,$A682-$G682&lt;=5),$D682*$E682/$C682-1,NA()),NA())</ns0:f>
        <ns0:v/>
      </ns0:c>
      <ns0:c r="C682">
        <ns0:f>IFERROR(IF(ISNUMBER($A682),IF(AND(AH!$P$10=1,AH!$P$12=1,$A682=TODAY()),AH!$P$19,IF(AH!$P$10=1,INDEX('Live History'!$B$5:$B$3004,AH!$P$13+677),INDEX('AH History'!$B$1:$B$18046,AH!$P$7+677))),NA()),NA())</ns0:f>
        <ns0:v/>
      </ns0:c>
      <ns0:c r="D682">
        <ns0:f>IFERROR(IF(ISNUMBER($A682),IF(AND(AH!$P$10=1,AH!$P$12=1,$A682=TODAY()),AH!$P$18,IF(AH!$P$10=1,INDEX('Live History'!$E$5:$E$3004,MATCH($A682,'Live History'!$D$5:$D$3004,1)),INDEX('AH History'!$C$1:$C$18046,AH!$P$7+677))),NA()),NA())</ns0:f>
        <ns0:v/>
      </ns0:c>
      <ns0:c r="E682">
        <ns0:f>IFERROR(IF(ISNUMBER($A682),IF(AND(AH!$P$10=1,AH!$P$12=1,$A682=TODAY()),AH!$P$20,IF(AH!$P$10=1,INDEX('Live History'!$H$5:$H$3004,MATCH($A682,'Live History'!$G$5:$G$3004,1)),INDEX('AH History'!$D$1:$D$18046,AH!$P$7+677))),NA()),NA())</ns0:f>
        <ns0:v/>
      </ns0:c>
      <ns0:c r="F682">
        <ns0:f>IFERROR(IF(ISNUMBER($A682),IF(AND(AH!$P$10=1,AH!$P$12=1,$A682=TODAY()),IF(AND(AH!$P$10=1,AH!$P$12=1,$A682=TODAY()),TODAY(),NA()),IF(AH!$P$10=1,INDEX('Live History'!$D$5:$D$3004,MATCH($A682,'Live History'!$D$5:$D$3004,1)),INDEX('AH History'!$E$1:$E$18046,AH!$P$7+677))),NA()),NA())</ns0:f>
        <ns0:v/>
      </ns0:c>
      <ns0:c r="G682">
        <ns0:f>IFERROR(IF(ISNUMBER($A682),IF(AND(AH!$P$10=1,AH!$P$12=1,$A682=TODAY()),IF(AND(AH!$P$10=1,AH!$P$12=1,$A682=TODAY()),TODAY(),NA()),IF(AH!$P$10=1,INDEX('Live History'!$G$5:$G$3004,MATCH($A682,'Live History'!$G$5:$G$3004,1)),INDEX('AH History'!$F$1:$F$18046,AH!$P$7+677))),NA()),NA())</ns0:f>
        <ns0:v/>
      </ns0:c>
      <ns0:c r="H682">
        <ns0:f>IFERROR(IF(AND(AH!$E$4="Bloomberg",AH!$P$10=1,ISNUMBER($A682),$A682&lt;=AH!$P$17),AH!$P$7-1+MATCH($A682,INDEX('AH History'!$A$1:$A$18046,AH!$P$7):INDEX('AH History'!$A$1:$A$18046,AH!$P$7+AH!$P$8-1),0),0),0)</ns0:f>
        <ns0:v/>
      </ns0:c>
      <ns0:c r="I682">
        <ns0:f>IF($H682=0,0,IFERROR(IF(AND(ABS($C682-INDEX('AH History'!$B$1:$B$18046,$H682))&lt;=MAX(0.005,ABS(INDEX('AH History'!$B$1:$B$18046,$H682))*0.00005),ABS($D682-INDEX('AH History'!$C$1:$C$18046,$H682))&lt;=MAX(0.005,ABS(INDEX('AH History'!$C$1:$C$18046,$H682))*0.00005),ABS($E682-INDEX('AH History'!$D$1:$D$18046,$H682))&lt;=0.00005,$F682=INDEX('AH History'!$E$1:$E$18046,$H682),$G682=INDEX('AH History'!$F$1:$F$18046,$H682)),1,-1),-1))</ns0:f>
        <ns0:v/>
      </ns0:c>
    </ns0:row>
    <ns0:row r="683">
      <ns0:c r="A683" s="215">
        <ns0:f>IF(OR(AH!$P$3=0,678+1&gt;AH!$P$11,AND(AH!$E$4&lt;&gt;"Stored",AH!$P$10&lt;&gt;1)),"",IFERROR(IF(AND(AH!$P$21=1,678+1=AH!$P$11),TODAY(),IF(AH!$P$10=1,INDEX('Live History'!$A$5:$A$3004,AH!$P$13+678),INDEX('AH History'!$A$1:$A$18046,AH!$P$7+678))),""))</ns0:f>
        <ns0:v/>
      </ns0:c>
      <ns0:c r="B683" s="219">
        <ns0:f>IFERROR(IF(AND(AH!$P$9&lt;&gt;1,$C683&gt;0,$D683&gt;0,$E683&gt;0,$F683&gt;0,$G683&gt;0,$F683&lt;=$A683,$G683&lt;=$A683,$A683-$F683&lt;=10,$A683-$G683&lt;=5),$D683*$E683/$C683-1,NA()),NA())</ns0:f>
        <ns0:v/>
      </ns0:c>
      <ns0:c r="C683">
        <ns0:f>IFERROR(IF(ISNUMBER($A683),IF(AND(AH!$P$10=1,AH!$P$12=1,$A683=TODAY()),AH!$P$19,IF(AH!$P$10=1,INDEX('Live History'!$B$5:$B$3004,AH!$P$13+678),INDEX('AH History'!$B$1:$B$18046,AH!$P$7+678))),NA()),NA())</ns0:f>
        <ns0:v/>
      </ns0:c>
      <ns0:c r="D683">
        <ns0:f>IFERROR(IF(ISNUMBER($A683),IF(AND(AH!$P$10=1,AH!$P$12=1,$A683=TODAY()),AH!$P$18,IF(AH!$P$10=1,INDEX('Live History'!$E$5:$E$3004,MATCH($A683,'Live History'!$D$5:$D$3004,1)),INDEX('AH History'!$C$1:$C$18046,AH!$P$7+678))),NA()),NA())</ns0:f>
        <ns0:v/>
      </ns0:c>
      <ns0:c r="E683">
        <ns0:f>IFERROR(IF(ISNUMBER($A683),IF(AND(AH!$P$10=1,AH!$P$12=1,$A683=TODAY()),AH!$P$20,IF(AH!$P$10=1,INDEX('Live History'!$H$5:$H$3004,MATCH($A683,'Live History'!$G$5:$G$3004,1)),INDEX('AH History'!$D$1:$D$18046,AH!$P$7+678))),NA()),NA())</ns0:f>
        <ns0:v/>
      </ns0:c>
      <ns0:c r="F683">
        <ns0:f>IFERROR(IF(ISNUMBER($A683),IF(AND(AH!$P$10=1,AH!$P$12=1,$A683=TODAY()),IF(AND(AH!$P$10=1,AH!$P$12=1,$A683=TODAY()),TODAY(),NA()),IF(AH!$P$10=1,INDEX('Live History'!$D$5:$D$3004,MATCH($A683,'Live History'!$D$5:$D$3004,1)),INDEX('AH History'!$E$1:$E$18046,AH!$P$7+678))),NA()),NA())</ns0:f>
        <ns0:v/>
      </ns0:c>
      <ns0:c r="G683">
        <ns0:f>IFERROR(IF(ISNUMBER($A683),IF(AND(AH!$P$10=1,AH!$P$12=1,$A683=TODAY()),IF(AND(AH!$P$10=1,AH!$P$12=1,$A683=TODAY()),TODAY(),NA()),IF(AH!$P$10=1,INDEX('Live History'!$G$5:$G$3004,MATCH($A683,'Live History'!$G$5:$G$3004,1)),INDEX('AH History'!$F$1:$F$18046,AH!$P$7+678))),NA()),NA())</ns0:f>
        <ns0:v/>
      </ns0:c>
      <ns0:c r="H683">
        <ns0:f>IFERROR(IF(AND(AH!$E$4="Bloomberg",AH!$P$10=1,ISNUMBER($A683),$A683&lt;=AH!$P$17),AH!$P$7-1+MATCH($A683,INDEX('AH History'!$A$1:$A$18046,AH!$P$7):INDEX('AH History'!$A$1:$A$18046,AH!$P$7+AH!$P$8-1),0),0),0)</ns0:f>
        <ns0:v/>
      </ns0:c>
      <ns0:c r="I683">
        <ns0:f>IF($H683=0,0,IFERROR(IF(AND(ABS($C683-INDEX('AH History'!$B$1:$B$18046,$H683))&lt;=MAX(0.005,ABS(INDEX('AH History'!$B$1:$B$18046,$H683))*0.00005),ABS($D683-INDEX('AH History'!$C$1:$C$18046,$H683))&lt;=MAX(0.005,ABS(INDEX('AH History'!$C$1:$C$18046,$H683))*0.00005),ABS($E683-INDEX('AH History'!$D$1:$D$18046,$H683))&lt;=0.00005,$F683=INDEX('AH History'!$E$1:$E$18046,$H683),$G683=INDEX('AH History'!$F$1:$F$18046,$H683)),1,-1),-1))</ns0:f>
        <ns0:v/>
      </ns0:c>
    </ns0:row>
    <ns0:row r="684">
      <ns0:c r="A684" s="215">
        <ns0:f>IF(OR(AH!$P$3=0,679+1&gt;AH!$P$11,AND(AH!$E$4&lt;&gt;"Stored",AH!$P$10&lt;&gt;1)),"",IFERROR(IF(AND(AH!$P$21=1,679+1=AH!$P$11),TODAY(),IF(AH!$P$10=1,INDEX('Live History'!$A$5:$A$3004,AH!$P$13+679),INDEX('AH History'!$A$1:$A$18046,AH!$P$7+679))),""))</ns0:f>
        <ns0:v/>
      </ns0:c>
      <ns0:c r="B684" s="219">
        <ns0:f>IFERROR(IF(AND(AH!$P$9&lt;&gt;1,$C684&gt;0,$D684&gt;0,$E684&gt;0,$F684&gt;0,$G684&gt;0,$F684&lt;=$A684,$G684&lt;=$A684,$A684-$F684&lt;=10,$A684-$G684&lt;=5),$D684*$E684/$C684-1,NA()),NA())</ns0:f>
        <ns0:v/>
      </ns0:c>
      <ns0:c r="C684">
        <ns0:f>IFERROR(IF(ISNUMBER($A684),IF(AND(AH!$P$10=1,AH!$P$12=1,$A684=TODAY()),AH!$P$19,IF(AH!$P$10=1,INDEX('Live History'!$B$5:$B$3004,AH!$P$13+679),INDEX('AH History'!$B$1:$B$18046,AH!$P$7+679))),NA()),NA())</ns0:f>
        <ns0:v/>
      </ns0:c>
      <ns0:c r="D684">
        <ns0:f>IFERROR(IF(ISNUMBER($A684),IF(AND(AH!$P$10=1,AH!$P$12=1,$A684=TODAY()),AH!$P$18,IF(AH!$P$10=1,INDEX('Live History'!$E$5:$E$3004,MATCH($A684,'Live History'!$D$5:$D$3004,1)),INDEX('AH History'!$C$1:$C$18046,AH!$P$7+679))),NA()),NA())</ns0:f>
        <ns0:v/>
      </ns0:c>
      <ns0:c r="E684">
        <ns0:f>IFERROR(IF(ISNUMBER($A684),IF(AND(AH!$P$10=1,AH!$P$12=1,$A684=TODAY()),AH!$P$20,IF(AH!$P$10=1,INDEX('Live History'!$H$5:$H$3004,MATCH($A684,'Live History'!$G$5:$G$3004,1)),INDEX('AH History'!$D$1:$D$18046,AH!$P$7+679))),NA()),NA())</ns0:f>
        <ns0:v/>
      </ns0:c>
      <ns0:c r="F684">
        <ns0:f>IFERROR(IF(ISNUMBER($A684),IF(AND(AH!$P$10=1,AH!$P$12=1,$A684=TODAY()),IF(AND(AH!$P$10=1,AH!$P$12=1,$A684=TODAY()),TODAY(),NA()),IF(AH!$P$10=1,INDEX('Live History'!$D$5:$D$3004,MATCH($A684,'Live History'!$D$5:$D$3004,1)),INDEX('AH History'!$E$1:$E$18046,AH!$P$7+679))),NA()),NA())</ns0:f>
        <ns0:v/>
      </ns0:c>
      <ns0:c r="G684">
        <ns0:f>IFERROR(IF(ISNUMBER($A684),IF(AND(AH!$P$10=1,AH!$P$12=1,$A684=TODAY()),IF(AND(AH!$P$10=1,AH!$P$12=1,$A684=TODAY()),TODAY(),NA()),IF(AH!$P$10=1,INDEX('Live History'!$G$5:$G$3004,MATCH($A684,'Live History'!$G$5:$G$3004,1)),INDEX('AH History'!$F$1:$F$18046,AH!$P$7+679))),NA()),NA())</ns0:f>
        <ns0:v/>
      </ns0:c>
      <ns0:c r="H684">
        <ns0:f>IFERROR(IF(AND(AH!$E$4="Bloomberg",AH!$P$10=1,ISNUMBER($A684),$A684&lt;=AH!$P$17),AH!$P$7-1+MATCH($A684,INDEX('AH History'!$A$1:$A$18046,AH!$P$7):INDEX('AH History'!$A$1:$A$18046,AH!$P$7+AH!$P$8-1),0),0),0)</ns0:f>
        <ns0:v/>
      </ns0:c>
      <ns0:c r="I684">
        <ns0:f>IF($H684=0,0,IFERROR(IF(AND(ABS($C684-INDEX('AH History'!$B$1:$B$18046,$H684))&lt;=MAX(0.005,ABS(INDEX('AH History'!$B$1:$B$18046,$H684))*0.00005),ABS($D684-INDEX('AH History'!$C$1:$C$18046,$H684))&lt;=MAX(0.005,ABS(INDEX('AH History'!$C$1:$C$18046,$H684))*0.00005),ABS($E684-INDEX('AH History'!$D$1:$D$18046,$H684))&lt;=0.00005,$F684=INDEX('AH History'!$E$1:$E$18046,$H684),$G684=INDEX('AH History'!$F$1:$F$18046,$H684)),1,-1),-1))</ns0:f>
        <ns0:v/>
      </ns0:c>
    </ns0:row>
    <ns0:row r="685">
      <ns0:c r="A685" s="215">
        <ns0:f>IF(OR(AH!$P$3=0,680+1&gt;AH!$P$11,AND(AH!$E$4&lt;&gt;"Stored",AH!$P$10&lt;&gt;1)),"",IFERROR(IF(AND(AH!$P$21=1,680+1=AH!$P$11),TODAY(),IF(AH!$P$10=1,INDEX('Live History'!$A$5:$A$3004,AH!$P$13+680),INDEX('AH History'!$A$1:$A$18046,AH!$P$7+680))),""))</ns0:f>
        <ns0:v/>
      </ns0:c>
      <ns0:c r="B685" s="219">
        <ns0:f>IFERROR(IF(AND(AH!$P$9&lt;&gt;1,$C685&gt;0,$D685&gt;0,$E685&gt;0,$F685&gt;0,$G685&gt;0,$F685&lt;=$A685,$G685&lt;=$A685,$A685-$F685&lt;=10,$A685-$G685&lt;=5),$D685*$E685/$C685-1,NA()),NA())</ns0:f>
        <ns0:v/>
      </ns0:c>
      <ns0:c r="C685">
        <ns0:f>IFERROR(IF(ISNUMBER($A685),IF(AND(AH!$P$10=1,AH!$P$12=1,$A685=TODAY()),AH!$P$19,IF(AH!$P$10=1,INDEX('Live History'!$B$5:$B$3004,AH!$P$13+680),INDEX('AH History'!$B$1:$B$18046,AH!$P$7+680))),NA()),NA())</ns0:f>
        <ns0:v/>
      </ns0:c>
      <ns0:c r="D685">
        <ns0:f>IFERROR(IF(ISNUMBER($A685),IF(AND(AH!$P$10=1,AH!$P$12=1,$A685=TODAY()),AH!$P$18,IF(AH!$P$10=1,INDEX('Live History'!$E$5:$E$3004,MATCH($A685,'Live History'!$D$5:$D$3004,1)),INDEX('AH History'!$C$1:$C$18046,AH!$P$7+680))),NA()),NA())</ns0:f>
        <ns0:v/>
      </ns0:c>
      <ns0:c r="E685">
        <ns0:f>IFERROR(IF(ISNUMBER($A685),IF(AND(AH!$P$10=1,AH!$P$12=1,$A685=TODAY()),AH!$P$20,IF(AH!$P$10=1,INDEX('Live History'!$H$5:$H$3004,MATCH($A685,'Live History'!$G$5:$G$3004,1)),INDEX('AH History'!$D$1:$D$18046,AH!$P$7+680))),NA()),NA())</ns0:f>
        <ns0:v/>
      </ns0:c>
      <ns0:c r="F685">
        <ns0:f>IFERROR(IF(ISNUMBER($A685),IF(AND(AH!$P$10=1,AH!$P$12=1,$A685=TODAY()),IF(AND(AH!$P$10=1,AH!$P$12=1,$A685=TODAY()),TODAY(),NA()),IF(AH!$P$10=1,INDEX('Live History'!$D$5:$D$3004,MATCH($A685,'Live History'!$D$5:$D$3004,1)),INDEX('AH History'!$E$1:$E$18046,AH!$P$7+680))),NA()),NA())</ns0:f>
        <ns0:v/>
      </ns0:c>
      <ns0:c r="G685">
        <ns0:f>IFERROR(IF(ISNUMBER($A685),IF(AND(AH!$P$10=1,AH!$P$12=1,$A685=TODAY()),IF(AND(AH!$P$10=1,AH!$P$12=1,$A685=TODAY()),TODAY(),NA()),IF(AH!$P$10=1,INDEX('Live History'!$G$5:$G$3004,MATCH($A685,'Live History'!$G$5:$G$3004,1)),INDEX('AH History'!$F$1:$F$18046,AH!$P$7+680))),NA()),NA())</ns0:f>
        <ns0:v/>
      </ns0:c>
      <ns0:c r="H685">
        <ns0:f>IFERROR(IF(AND(AH!$E$4="Bloomberg",AH!$P$10=1,ISNUMBER($A685),$A685&lt;=AH!$P$17),AH!$P$7-1+MATCH($A685,INDEX('AH History'!$A$1:$A$18046,AH!$P$7):INDEX('AH History'!$A$1:$A$18046,AH!$P$7+AH!$P$8-1),0),0),0)</ns0:f>
        <ns0:v/>
      </ns0:c>
      <ns0:c r="I685">
        <ns0:f>IF($H685=0,0,IFERROR(IF(AND(ABS($C685-INDEX('AH History'!$B$1:$B$18046,$H685))&lt;=MAX(0.005,ABS(INDEX('AH History'!$B$1:$B$18046,$H685))*0.00005),ABS($D685-INDEX('AH History'!$C$1:$C$18046,$H685))&lt;=MAX(0.005,ABS(INDEX('AH History'!$C$1:$C$18046,$H685))*0.00005),ABS($E685-INDEX('AH History'!$D$1:$D$18046,$H685))&lt;=0.00005,$F685=INDEX('AH History'!$E$1:$E$18046,$H685),$G685=INDEX('AH History'!$F$1:$F$18046,$H685)),1,-1),-1))</ns0:f>
        <ns0:v/>
      </ns0:c>
    </ns0:row>
    <ns0:row r="686">
      <ns0:c r="A686" s="215">
        <ns0:f>IF(OR(AH!$P$3=0,681+1&gt;AH!$P$11,AND(AH!$E$4&lt;&gt;"Stored",AH!$P$10&lt;&gt;1)),"",IFERROR(IF(AND(AH!$P$21=1,681+1=AH!$P$11),TODAY(),IF(AH!$P$10=1,INDEX('Live History'!$A$5:$A$3004,AH!$P$13+681),INDEX('AH History'!$A$1:$A$18046,AH!$P$7+681))),""))</ns0:f>
        <ns0:v/>
      </ns0:c>
      <ns0:c r="B686" s="219">
        <ns0:f>IFERROR(IF(AND(AH!$P$9&lt;&gt;1,$C686&gt;0,$D686&gt;0,$E686&gt;0,$F686&gt;0,$G686&gt;0,$F686&lt;=$A686,$G686&lt;=$A686,$A686-$F686&lt;=10,$A686-$G686&lt;=5),$D686*$E686/$C686-1,NA()),NA())</ns0:f>
        <ns0:v/>
      </ns0:c>
      <ns0:c r="C686">
        <ns0:f>IFERROR(IF(ISNUMBER($A686),IF(AND(AH!$P$10=1,AH!$P$12=1,$A686=TODAY()),AH!$P$19,IF(AH!$P$10=1,INDEX('Live History'!$B$5:$B$3004,AH!$P$13+681),INDEX('AH History'!$B$1:$B$18046,AH!$P$7+681))),NA()),NA())</ns0:f>
        <ns0:v/>
      </ns0:c>
      <ns0:c r="D686">
        <ns0:f>IFERROR(IF(ISNUMBER($A686),IF(AND(AH!$P$10=1,AH!$P$12=1,$A686=TODAY()),AH!$P$18,IF(AH!$P$10=1,INDEX('Live History'!$E$5:$E$3004,MATCH($A686,'Live History'!$D$5:$D$3004,1)),INDEX('AH History'!$C$1:$C$18046,AH!$P$7+681))),NA()),NA())</ns0:f>
        <ns0:v/>
      </ns0:c>
      <ns0:c r="E686">
        <ns0:f>IFERROR(IF(ISNUMBER($A686),IF(AND(AH!$P$10=1,AH!$P$12=1,$A686=TODAY()),AH!$P$20,IF(AH!$P$10=1,INDEX('Live History'!$H$5:$H$3004,MATCH($A686,'Live History'!$G$5:$G$3004,1)),INDEX('AH History'!$D$1:$D$18046,AH!$P$7+681))),NA()),NA())</ns0:f>
        <ns0:v/>
      </ns0:c>
      <ns0:c r="F686">
        <ns0:f>IFERROR(IF(ISNUMBER($A686),IF(AND(AH!$P$10=1,AH!$P$12=1,$A686=TODAY()),IF(AND(AH!$P$10=1,AH!$P$12=1,$A686=TODAY()),TODAY(),NA()),IF(AH!$P$10=1,INDEX('Live History'!$D$5:$D$3004,MATCH($A686,'Live History'!$D$5:$D$3004,1)),INDEX('AH History'!$E$1:$E$18046,AH!$P$7+681))),NA()),NA())</ns0:f>
        <ns0:v/>
      </ns0:c>
      <ns0:c r="G686">
        <ns0:f>IFERROR(IF(ISNUMBER($A686),IF(AND(AH!$P$10=1,AH!$P$12=1,$A686=TODAY()),IF(AND(AH!$P$10=1,AH!$P$12=1,$A686=TODAY()),TODAY(),NA()),IF(AH!$P$10=1,INDEX('Live History'!$G$5:$G$3004,MATCH($A686,'Live History'!$G$5:$G$3004,1)),INDEX('AH History'!$F$1:$F$18046,AH!$P$7+681))),NA()),NA())</ns0:f>
        <ns0:v/>
      </ns0:c>
      <ns0:c r="H686">
        <ns0:f>IFERROR(IF(AND(AH!$E$4="Bloomberg",AH!$P$10=1,ISNUMBER($A686),$A686&lt;=AH!$P$17),AH!$P$7-1+MATCH($A686,INDEX('AH History'!$A$1:$A$18046,AH!$P$7):INDEX('AH History'!$A$1:$A$18046,AH!$P$7+AH!$P$8-1),0),0),0)</ns0:f>
        <ns0:v/>
      </ns0:c>
      <ns0:c r="I686">
        <ns0:f>IF($H686=0,0,IFERROR(IF(AND(ABS($C686-INDEX('AH History'!$B$1:$B$18046,$H686))&lt;=MAX(0.005,ABS(INDEX('AH History'!$B$1:$B$18046,$H686))*0.00005),ABS($D686-INDEX('AH History'!$C$1:$C$18046,$H686))&lt;=MAX(0.005,ABS(INDEX('AH History'!$C$1:$C$18046,$H686))*0.00005),ABS($E686-INDEX('AH History'!$D$1:$D$18046,$H686))&lt;=0.00005,$F686=INDEX('AH History'!$E$1:$E$18046,$H686),$G686=INDEX('AH History'!$F$1:$F$18046,$H686)),1,-1),-1))</ns0:f>
        <ns0:v/>
      </ns0:c>
    </ns0:row>
    <ns0:row r="687">
      <ns0:c r="A687" s="215">
        <ns0:f>IF(OR(AH!$P$3=0,682+1&gt;AH!$P$11,AND(AH!$E$4&lt;&gt;"Stored",AH!$P$10&lt;&gt;1)),"",IFERROR(IF(AND(AH!$P$21=1,682+1=AH!$P$11),TODAY(),IF(AH!$P$10=1,INDEX('Live History'!$A$5:$A$3004,AH!$P$13+682),INDEX('AH History'!$A$1:$A$18046,AH!$P$7+682))),""))</ns0:f>
        <ns0:v/>
      </ns0:c>
      <ns0:c r="B687" s="219">
        <ns0:f>IFERROR(IF(AND(AH!$P$9&lt;&gt;1,$C687&gt;0,$D687&gt;0,$E687&gt;0,$F687&gt;0,$G687&gt;0,$F687&lt;=$A687,$G687&lt;=$A687,$A687-$F687&lt;=10,$A687-$G687&lt;=5),$D687*$E687/$C687-1,NA()),NA())</ns0:f>
        <ns0:v/>
      </ns0:c>
      <ns0:c r="C687">
        <ns0:f>IFERROR(IF(ISNUMBER($A687),IF(AND(AH!$P$10=1,AH!$P$12=1,$A687=TODAY()),AH!$P$19,IF(AH!$P$10=1,INDEX('Live History'!$B$5:$B$3004,AH!$P$13+682),INDEX('AH History'!$B$1:$B$18046,AH!$P$7+682))),NA()),NA())</ns0:f>
        <ns0:v/>
      </ns0:c>
      <ns0:c r="D687">
        <ns0:f>IFERROR(IF(ISNUMBER($A687),IF(AND(AH!$P$10=1,AH!$P$12=1,$A687=TODAY()),AH!$P$18,IF(AH!$P$10=1,INDEX('Live History'!$E$5:$E$3004,MATCH($A687,'Live History'!$D$5:$D$3004,1)),INDEX('AH History'!$C$1:$C$18046,AH!$P$7+682))),NA()),NA())</ns0:f>
        <ns0:v/>
      </ns0:c>
      <ns0:c r="E687">
        <ns0:f>IFERROR(IF(ISNUMBER($A687),IF(AND(AH!$P$10=1,AH!$P$12=1,$A687=TODAY()),AH!$P$20,IF(AH!$P$10=1,INDEX('Live History'!$H$5:$H$3004,MATCH($A687,'Live History'!$G$5:$G$3004,1)),INDEX('AH History'!$D$1:$D$18046,AH!$P$7+682))),NA()),NA())</ns0:f>
        <ns0:v/>
      </ns0:c>
      <ns0:c r="F687">
        <ns0:f>IFERROR(IF(ISNUMBER($A687),IF(AND(AH!$P$10=1,AH!$P$12=1,$A687=TODAY()),IF(AND(AH!$P$10=1,AH!$P$12=1,$A687=TODAY()),TODAY(),NA()),IF(AH!$P$10=1,INDEX('Live History'!$D$5:$D$3004,MATCH($A687,'Live History'!$D$5:$D$3004,1)),INDEX('AH History'!$E$1:$E$18046,AH!$P$7+682))),NA()),NA())</ns0:f>
        <ns0:v/>
      </ns0:c>
      <ns0:c r="G687">
        <ns0:f>IFERROR(IF(ISNUMBER($A687),IF(AND(AH!$P$10=1,AH!$P$12=1,$A687=TODAY()),IF(AND(AH!$P$10=1,AH!$P$12=1,$A687=TODAY()),TODAY(),NA()),IF(AH!$P$10=1,INDEX('Live History'!$G$5:$G$3004,MATCH($A687,'Live History'!$G$5:$G$3004,1)),INDEX('AH History'!$F$1:$F$18046,AH!$P$7+682))),NA()),NA())</ns0:f>
        <ns0:v/>
      </ns0:c>
      <ns0:c r="H687">
        <ns0:f>IFERROR(IF(AND(AH!$E$4="Bloomberg",AH!$P$10=1,ISNUMBER($A687),$A687&lt;=AH!$P$17),AH!$P$7-1+MATCH($A687,INDEX('AH History'!$A$1:$A$18046,AH!$P$7):INDEX('AH History'!$A$1:$A$18046,AH!$P$7+AH!$P$8-1),0),0),0)</ns0:f>
        <ns0:v/>
      </ns0:c>
      <ns0:c r="I687">
        <ns0:f>IF($H687=0,0,IFERROR(IF(AND(ABS($C687-INDEX('AH History'!$B$1:$B$18046,$H687))&lt;=MAX(0.005,ABS(INDEX('AH History'!$B$1:$B$18046,$H687))*0.00005),ABS($D687-INDEX('AH History'!$C$1:$C$18046,$H687))&lt;=MAX(0.005,ABS(INDEX('AH History'!$C$1:$C$18046,$H687))*0.00005),ABS($E687-INDEX('AH History'!$D$1:$D$18046,$H687))&lt;=0.00005,$F687=INDEX('AH History'!$E$1:$E$18046,$H687),$G687=INDEX('AH History'!$F$1:$F$18046,$H687)),1,-1),-1))</ns0:f>
        <ns0:v/>
      </ns0:c>
    </ns0:row>
    <ns0:row r="688">
      <ns0:c r="A688" s="215">
        <ns0:f>IF(OR(AH!$P$3=0,683+1&gt;AH!$P$11,AND(AH!$E$4&lt;&gt;"Stored",AH!$P$10&lt;&gt;1)),"",IFERROR(IF(AND(AH!$P$21=1,683+1=AH!$P$11),TODAY(),IF(AH!$P$10=1,INDEX('Live History'!$A$5:$A$3004,AH!$P$13+683),INDEX('AH History'!$A$1:$A$18046,AH!$P$7+683))),""))</ns0:f>
        <ns0:v/>
      </ns0:c>
      <ns0:c r="B688" s="219">
        <ns0:f>IFERROR(IF(AND(AH!$P$9&lt;&gt;1,$C688&gt;0,$D688&gt;0,$E688&gt;0,$F688&gt;0,$G688&gt;0,$F688&lt;=$A688,$G688&lt;=$A688,$A688-$F688&lt;=10,$A688-$G688&lt;=5),$D688*$E688/$C688-1,NA()),NA())</ns0:f>
        <ns0:v/>
      </ns0:c>
      <ns0:c r="C688">
        <ns0:f>IFERROR(IF(ISNUMBER($A688),IF(AND(AH!$P$10=1,AH!$P$12=1,$A688=TODAY()),AH!$P$19,IF(AH!$P$10=1,INDEX('Live History'!$B$5:$B$3004,AH!$P$13+683),INDEX('AH History'!$B$1:$B$18046,AH!$P$7+683))),NA()),NA())</ns0:f>
        <ns0:v/>
      </ns0:c>
      <ns0:c r="D688">
        <ns0:f>IFERROR(IF(ISNUMBER($A688),IF(AND(AH!$P$10=1,AH!$P$12=1,$A688=TODAY()),AH!$P$18,IF(AH!$P$10=1,INDEX('Live History'!$E$5:$E$3004,MATCH($A688,'Live History'!$D$5:$D$3004,1)),INDEX('AH History'!$C$1:$C$18046,AH!$P$7+683))),NA()),NA())</ns0:f>
        <ns0:v/>
      </ns0:c>
      <ns0:c r="E688">
        <ns0:f>IFERROR(IF(ISNUMBER($A688),IF(AND(AH!$P$10=1,AH!$P$12=1,$A688=TODAY()),AH!$P$20,IF(AH!$P$10=1,INDEX('Live History'!$H$5:$H$3004,MATCH($A688,'Live History'!$G$5:$G$3004,1)),INDEX('AH History'!$D$1:$D$18046,AH!$P$7+683))),NA()),NA())</ns0:f>
        <ns0:v/>
      </ns0:c>
      <ns0:c r="F688">
        <ns0:f>IFERROR(IF(ISNUMBER($A688),IF(AND(AH!$P$10=1,AH!$P$12=1,$A688=TODAY()),IF(AND(AH!$P$10=1,AH!$P$12=1,$A688=TODAY()),TODAY(),NA()),IF(AH!$P$10=1,INDEX('Live History'!$D$5:$D$3004,MATCH($A688,'Live History'!$D$5:$D$3004,1)),INDEX('AH History'!$E$1:$E$18046,AH!$P$7+683))),NA()),NA())</ns0:f>
        <ns0:v/>
      </ns0:c>
      <ns0:c r="G688">
        <ns0:f>IFERROR(IF(ISNUMBER($A688),IF(AND(AH!$P$10=1,AH!$P$12=1,$A688=TODAY()),IF(AND(AH!$P$10=1,AH!$P$12=1,$A688=TODAY()),TODAY(),NA()),IF(AH!$P$10=1,INDEX('Live History'!$G$5:$G$3004,MATCH($A688,'Live History'!$G$5:$G$3004,1)),INDEX('AH History'!$F$1:$F$18046,AH!$P$7+683))),NA()),NA())</ns0:f>
        <ns0:v/>
      </ns0:c>
      <ns0:c r="H688">
        <ns0:f>IFERROR(IF(AND(AH!$E$4="Bloomberg",AH!$P$10=1,ISNUMBER($A688),$A688&lt;=AH!$P$17),AH!$P$7-1+MATCH($A688,INDEX('AH History'!$A$1:$A$18046,AH!$P$7):INDEX('AH History'!$A$1:$A$18046,AH!$P$7+AH!$P$8-1),0),0),0)</ns0:f>
        <ns0:v/>
      </ns0:c>
      <ns0:c r="I688">
        <ns0:f>IF($H688=0,0,IFERROR(IF(AND(ABS($C688-INDEX('AH History'!$B$1:$B$18046,$H688))&lt;=MAX(0.005,ABS(INDEX('AH History'!$B$1:$B$18046,$H688))*0.00005),ABS($D688-INDEX('AH History'!$C$1:$C$18046,$H688))&lt;=MAX(0.005,ABS(INDEX('AH History'!$C$1:$C$18046,$H688))*0.00005),ABS($E688-INDEX('AH History'!$D$1:$D$18046,$H688))&lt;=0.00005,$F688=INDEX('AH History'!$E$1:$E$18046,$H688),$G688=INDEX('AH History'!$F$1:$F$18046,$H688)),1,-1),-1))</ns0:f>
        <ns0:v/>
      </ns0:c>
    </ns0:row>
    <ns0:row r="689">
      <ns0:c r="A689" s="215">
        <ns0:f>IF(OR(AH!$P$3=0,684+1&gt;AH!$P$11,AND(AH!$E$4&lt;&gt;"Stored",AH!$P$10&lt;&gt;1)),"",IFERROR(IF(AND(AH!$P$21=1,684+1=AH!$P$11),TODAY(),IF(AH!$P$10=1,INDEX('Live History'!$A$5:$A$3004,AH!$P$13+684),INDEX('AH History'!$A$1:$A$18046,AH!$P$7+684))),""))</ns0:f>
        <ns0:v/>
      </ns0:c>
      <ns0:c r="B689" s="219">
        <ns0:f>IFERROR(IF(AND(AH!$P$9&lt;&gt;1,$C689&gt;0,$D689&gt;0,$E689&gt;0,$F689&gt;0,$G689&gt;0,$F689&lt;=$A689,$G689&lt;=$A689,$A689-$F689&lt;=10,$A689-$G689&lt;=5),$D689*$E689/$C689-1,NA()),NA())</ns0:f>
        <ns0:v/>
      </ns0:c>
      <ns0:c r="C689">
        <ns0:f>IFERROR(IF(ISNUMBER($A689),IF(AND(AH!$P$10=1,AH!$P$12=1,$A689=TODAY()),AH!$P$19,IF(AH!$P$10=1,INDEX('Live History'!$B$5:$B$3004,AH!$P$13+684),INDEX('AH History'!$B$1:$B$18046,AH!$P$7+684))),NA()),NA())</ns0:f>
        <ns0:v/>
      </ns0:c>
      <ns0:c r="D689">
        <ns0:f>IFERROR(IF(ISNUMBER($A689),IF(AND(AH!$P$10=1,AH!$P$12=1,$A689=TODAY()),AH!$P$18,IF(AH!$P$10=1,INDEX('Live History'!$E$5:$E$3004,MATCH($A689,'Live History'!$D$5:$D$3004,1)),INDEX('AH History'!$C$1:$C$18046,AH!$P$7+684))),NA()),NA())</ns0:f>
        <ns0:v/>
      </ns0:c>
      <ns0:c r="E689">
        <ns0:f>IFERROR(IF(ISNUMBER($A689),IF(AND(AH!$P$10=1,AH!$P$12=1,$A689=TODAY()),AH!$P$20,IF(AH!$P$10=1,INDEX('Live History'!$H$5:$H$3004,MATCH($A689,'Live History'!$G$5:$G$3004,1)),INDEX('AH History'!$D$1:$D$18046,AH!$P$7+684))),NA()),NA())</ns0:f>
        <ns0:v/>
      </ns0:c>
      <ns0:c r="F689">
        <ns0:f>IFERROR(IF(ISNUMBER($A689),IF(AND(AH!$P$10=1,AH!$P$12=1,$A689=TODAY()),IF(AND(AH!$P$10=1,AH!$P$12=1,$A689=TODAY()),TODAY(),NA()),IF(AH!$P$10=1,INDEX('Live History'!$D$5:$D$3004,MATCH($A689,'Live History'!$D$5:$D$3004,1)),INDEX('AH History'!$E$1:$E$18046,AH!$P$7+684))),NA()),NA())</ns0:f>
        <ns0:v/>
      </ns0:c>
      <ns0:c r="G689">
        <ns0:f>IFERROR(IF(ISNUMBER($A689),IF(AND(AH!$P$10=1,AH!$P$12=1,$A689=TODAY()),IF(AND(AH!$P$10=1,AH!$P$12=1,$A689=TODAY()),TODAY(),NA()),IF(AH!$P$10=1,INDEX('Live History'!$G$5:$G$3004,MATCH($A689,'Live History'!$G$5:$G$3004,1)),INDEX('AH History'!$F$1:$F$18046,AH!$P$7+684))),NA()),NA())</ns0:f>
        <ns0:v/>
      </ns0:c>
      <ns0:c r="H689">
        <ns0:f>IFERROR(IF(AND(AH!$E$4="Bloomberg",AH!$P$10=1,ISNUMBER($A689),$A689&lt;=AH!$P$17),AH!$P$7-1+MATCH($A689,INDEX('AH History'!$A$1:$A$18046,AH!$P$7):INDEX('AH History'!$A$1:$A$18046,AH!$P$7+AH!$P$8-1),0),0),0)</ns0:f>
        <ns0:v/>
      </ns0:c>
      <ns0:c r="I689">
        <ns0:f>IF($H689=0,0,IFERROR(IF(AND(ABS($C689-INDEX('AH History'!$B$1:$B$18046,$H689))&lt;=MAX(0.005,ABS(INDEX('AH History'!$B$1:$B$18046,$H689))*0.00005),ABS($D689-INDEX('AH History'!$C$1:$C$18046,$H689))&lt;=MAX(0.005,ABS(INDEX('AH History'!$C$1:$C$18046,$H689))*0.00005),ABS($E689-INDEX('AH History'!$D$1:$D$18046,$H689))&lt;=0.00005,$F689=INDEX('AH History'!$E$1:$E$18046,$H689),$G689=INDEX('AH History'!$F$1:$F$18046,$H689)),1,-1),-1))</ns0:f>
        <ns0:v/>
      </ns0:c>
    </ns0:row>
    <ns0:row r="690">
      <ns0:c r="A690" s="215">
        <ns0:f>IF(OR(AH!$P$3=0,685+1&gt;AH!$P$11,AND(AH!$E$4&lt;&gt;"Stored",AH!$P$10&lt;&gt;1)),"",IFERROR(IF(AND(AH!$P$21=1,685+1=AH!$P$11),TODAY(),IF(AH!$P$10=1,INDEX('Live History'!$A$5:$A$3004,AH!$P$13+685),INDEX('AH History'!$A$1:$A$18046,AH!$P$7+685))),""))</ns0:f>
        <ns0:v/>
      </ns0:c>
      <ns0:c r="B690" s="219">
        <ns0:f>IFERROR(IF(AND(AH!$P$9&lt;&gt;1,$C690&gt;0,$D690&gt;0,$E690&gt;0,$F690&gt;0,$G690&gt;0,$F690&lt;=$A690,$G690&lt;=$A690,$A690-$F690&lt;=10,$A690-$G690&lt;=5),$D690*$E690/$C690-1,NA()),NA())</ns0:f>
        <ns0:v/>
      </ns0:c>
      <ns0:c r="C690">
        <ns0:f>IFERROR(IF(ISNUMBER($A690),IF(AND(AH!$P$10=1,AH!$P$12=1,$A690=TODAY()),AH!$P$19,IF(AH!$P$10=1,INDEX('Live History'!$B$5:$B$3004,AH!$P$13+685),INDEX('AH History'!$B$1:$B$18046,AH!$P$7+685))),NA()),NA())</ns0:f>
        <ns0:v/>
      </ns0:c>
      <ns0:c r="D690">
        <ns0:f>IFERROR(IF(ISNUMBER($A690),IF(AND(AH!$P$10=1,AH!$P$12=1,$A690=TODAY()),AH!$P$18,IF(AH!$P$10=1,INDEX('Live History'!$E$5:$E$3004,MATCH($A690,'Live History'!$D$5:$D$3004,1)),INDEX('AH History'!$C$1:$C$18046,AH!$P$7+685))),NA()),NA())</ns0:f>
        <ns0:v/>
      </ns0:c>
      <ns0:c r="E690">
        <ns0:f>IFERROR(IF(ISNUMBER($A690),IF(AND(AH!$P$10=1,AH!$P$12=1,$A690=TODAY()),AH!$P$20,IF(AH!$P$10=1,INDEX('Live History'!$H$5:$H$3004,MATCH($A690,'Live History'!$G$5:$G$3004,1)),INDEX('AH History'!$D$1:$D$18046,AH!$P$7+685))),NA()),NA())</ns0:f>
        <ns0:v/>
      </ns0:c>
      <ns0:c r="F690">
        <ns0:f>IFERROR(IF(ISNUMBER($A690),IF(AND(AH!$P$10=1,AH!$P$12=1,$A690=TODAY()),IF(AND(AH!$P$10=1,AH!$P$12=1,$A690=TODAY()),TODAY(),NA()),IF(AH!$P$10=1,INDEX('Live History'!$D$5:$D$3004,MATCH($A690,'Live History'!$D$5:$D$3004,1)),INDEX('AH History'!$E$1:$E$18046,AH!$P$7+685))),NA()),NA())</ns0:f>
        <ns0:v/>
      </ns0:c>
      <ns0:c r="G690">
        <ns0:f>IFERROR(IF(ISNUMBER($A690),IF(AND(AH!$P$10=1,AH!$P$12=1,$A690=TODAY()),IF(AND(AH!$P$10=1,AH!$P$12=1,$A690=TODAY()),TODAY(),NA()),IF(AH!$P$10=1,INDEX('Live History'!$G$5:$G$3004,MATCH($A690,'Live History'!$G$5:$G$3004,1)),INDEX('AH History'!$F$1:$F$18046,AH!$P$7+685))),NA()),NA())</ns0:f>
        <ns0:v/>
      </ns0:c>
      <ns0:c r="H690">
        <ns0:f>IFERROR(IF(AND(AH!$E$4="Bloomberg",AH!$P$10=1,ISNUMBER($A690),$A690&lt;=AH!$P$17),AH!$P$7-1+MATCH($A690,INDEX('AH History'!$A$1:$A$18046,AH!$P$7):INDEX('AH History'!$A$1:$A$18046,AH!$P$7+AH!$P$8-1),0),0),0)</ns0:f>
        <ns0:v/>
      </ns0:c>
      <ns0:c r="I690">
        <ns0:f>IF($H690=0,0,IFERROR(IF(AND(ABS($C690-INDEX('AH History'!$B$1:$B$18046,$H690))&lt;=MAX(0.005,ABS(INDEX('AH History'!$B$1:$B$18046,$H690))*0.00005),ABS($D690-INDEX('AH History'!$C$1:$C$18046,$H690))&lt;=MAX(0.005,ABS(INDEX('AH History'!$C$1:$C$18046,$H690))*0.00005),ABS($E690-INDEX('AH History'!$D$1:$D$18046,$H690))&lt;=0.00005,$F690=INDEX('AH History'!$E$1:$E$18046,$H690),$G690=INDEX('AH History'!$F$1:$F$18046,$H690)),1,-1),-1))</ns0:f>
        <ns0:v/>
      </ns0:c>
    </ns0:row>
    <ns0:row r="691">
      <ns0:c r="A691" s="215">
        <ns0:f>IF(OR(AH!$P$3=0,686+1&gt;AH!$P$11,AND(AH!$E$4&lt;&gt;"Stored",AH!$P$10&lt;&gt;1)),"",IFERROR(IF(AND(AH!$P$21=1,686+1=AH!$P$11),TODAY(),IF(AH!$P$10=1,INDEX('Live History'!$A$5:$A$3004,AH!$P$13+686),INDEX('AH History'!$A$1:$A$18046,AH!$P$7+686))),""))</ns0:f>
        <ns0:v/>
      </ns0:c>
      <ns0:c r="B691" s="219">
        <ns0:f>IFERROR(IF(AND(AH!$P$9&lt;&gt;1,$C691&gt;0,$D691&gt;0,$E691&gt;0,$F691&gt;0,$G691&gt;0,$F691&lt;=$A691,$G691&lt;=$A691,$A691-$F691&lt;=10,$A691-$G691&lt;=5),$D691*$E691/$C691-1,NA()),NA())</ns0:f>
        <ns0:v/>
      </ns0:c>
      <ns0:c r="C691">
        <ns0:f>IFERROR(IF(ISNUMBER($A691),IF(AND(AH!$P$10=1,AH!$P$12=1,$A691=TODAY()),AH!$P$19,IF(AH!$P$10=1,INDEX('Live History'!$B$5:$B$3004,AH!$P$13+686),INDEX('AH History'!$B$1:$B$18046,AH!$P$7+686))),NA()),NA())</ns0:f>
        <ns0:v/>
      </ns0:c>
      <ns0:c r="D691">
        <ns0:f>IFERROR(IF(ISNUMBER($A691),IF(AND(AH!$P$10=1,AH!$P$12=1,$A691=TODAY()),AH!$P$18,IF(AH!$P$10=1,INDEX('Live History'!$E$5:$E$3004,MATCH($A691,'Live History'!$D$5:$D$3004,1)),INDEX('AH History'!$C$1:$C$18046,AH!$P$7+686))),NA()),NA())</ns0:f>
        <ns0:v/>
      </ns0:c>
      <ns0:c r="E691">
        <ns0:f>IFERROR(IF(ISNUMBER($A691),IF(AND(AH!$P$10=1,AH!$P$12=1,$A691=TODAY()),AH!$P$20,IF(AH!$P$10=1,INDEX('Live History'!$H$5:$H$3004,MATCH($A691,'Live History'!$G$5:$G$3004,1)),INDEX('AH History'!$D$1:$D$18046,AH!$P$7+686))),NA()),NA())</ns0:f>
        <ns0:v/>
      </ns0:c>
      <ns0:c r="F691">
        <ns0:f>IFERROR(IF(ISNUMBER($A691),IF(AND(AH!$P$10=1,AH!$P$12=1,$A691=TODAY()),IF(AND(AH!$P$10=1,AH!$P$12=1,$A691=TODAY()),TODAY(),NA()),IF(AH!$P$10=1,INDEX('Live History'!$D$5:$D$3004,MATCH($A691,'Live History'!$D$5:$D$3004,1)),INDEX('AH History'!$E$1:$E$18046,AH!$P$7+686))),NA()),NA())</ns0:f>
        <ns0:v/>
      </ns0:c>
      <ns0:c r="G691">
        <ns0:f>IFERROR(IF(ISNUMBER($A691),IF(AND(AH!$P$10=1,AH!$P$12=1,$A691=TODAY()),IF(AND(AH!$P$10=1,AH!$P$12=1,$A691=TODAY()),TODAY(),NA()),IF(AH!$P$10=1,INDEX('Live History'!$G$5:$G$3004,MATCH($A691,'Live History'!$G$5:$G$3004,1)),INDEX('AH History'!$F$1:$F$18046,AH!$P$7+686))),NA()),NA())</ns0:f>
        <ns0:v/>
      </ns0:c>
      <ns0:c r="H691">
        <ns0:f>IFERROR(IF(AND(AH!$E$4="Bloomberg",AH!$P$10=1,ISNUMBER($A691),$A691&lt;=AH!$P$17),AH!$P$7-1+MATCH($A691,INDEX('AH History'!$A$1:$A$18046,AH!$P$7):INDEX('AH History'!$A$1:$A$18046,AH!$P$7+AH!$P$8-1),0),0),0)</ns0:f>
        <ns0:v/>
      </ns0:c>
      <ns0:c r="I691">
        <ns0:f>IF($H691=0,0,IFERROR(IF(AND(ABS($C691-INDEX('AH History'!$B$1:$B$18046,$H691))&lt;=MAX(0.005,ABS(INDEX('AH History'!$B$1:$B$18046,$H691))*0.00005),ABS($D691-INDEX('AH History'!$C$1:$C$18046,$H691))&lt;=MAX(0.005,ABS(INDEX('AH History'!$C$1:$C$18046,$H691))*0.00005),ABS($E691-INDEX('AH History'!$D$1:$D$18046,$H691))&lt;=0.00005,$F691=INDEX('AH History'!$E$1:$E$18046,$H691),$G691=INDEX('AH History'!$F$1:$F$18046,$H691)),1,-1),-1))</ns0:f>
        <ns0:v/>
      </ns0:c>
    </ns0:row>
    <ns0:row r="692">
      <ns0:c r="A692" s="215">
        <ns0:f>IF(OR(AH!$P$3=0,687+1&gt;AH!$P$11,AND(AH!$E$4&lt;&gt;"Stored",AH!$P$10&lt;&gt;1)),"",IFERROR(IF(AND(AH!$P$21=1,687+1=AH!$P$11),TODAY(),IF(AH!$P$10=1,INDEX('Live History'!$A$5:$A$3004,AH!$P$13+687),INDEX('AH History'!$A$1:$A$18046,AH!$P$7+687))),""))</ns0:f>
        <ns0:v/>
      </ns0:c>
      <ns0:c r="B692" s="219">
        <ns0:f>IFERROR(IF(AND(AH!$P$9&lt;&gt;1,$C692&gt;0,$D692&gt;0,$E692&gt;0,$F692&gt;0,$G692&gt;0,$F692&lt;=$A692,$G692&lt;=$A692,$A692-$F692&lt;=10,$A692-$G692&lt;=5),$D692*$E692/$C692-1,NA()),NA())</ns0:f>
        <ns0:v/>
      </ns0:c>
      <ns0:c r="C692">
        <ns0:f>IFERROR(IF(ISNUMBER($A692),IF(AND(AH!$P$10=1,AH!$P$12=1,$A692=TODAY()),AH!$P$19,IF(AH!$P$10=1,INDEX('Live History'!$B$5:$B$3004,AH!$P$13+687),INDEX('AH History'!$B$1:$B$18046,AH!$P$7+687))),NA()),NA())</ns0:f>
        <ns0:v/>
      </ns0:c>
      <ns0:c r="D692">
        <ns0:f>IFERROR(IF(ISNUMBER($A692),IF(AND(AH!$P$10=1,AH!$P$12=1,$A692=TODAY()),AH!$P$18,IF(AH!$P$10=1,INDEX('Live History'!$E$5:$E$3004,MATCH($A692,'Live History'!$D$5:$D$3004,1)),INDEX('AH History'!$C$1:$C$18046,AH!$P$7+687))),NA()),NA())</ns0:f>
        <ns0:v/>
      </ns0:c>
      <ns0:c r="E692">
        <ns0:f>IFERROR(IF(ISNUMBER($A692),IF(AND(AH!$P$10=1,AH!$P$12=1,$A692=TODAY()),AH!$P$20,IF(AH!$P$10=1,INDEX('Live History'!$H$5:$H$3004,MATCH($A692,'Live History'!$G$5:$G$3004,1)),INDEX('AH History'!$D$1:$D$18046,AH!$P$7+687))),NA()),NA())</ns0:f>
        <ns0:v/>
      </ns0:c>
      <ns0:c r="F692">
        <ns0:f>IFERROR(IF(ISNUMBER($A692),IF(AND(AH!$P$10=1,AH!$P$12=1,$A692=TODAY()),IF(AND(AH!$P$10=1,AH!$P$12=1,$A692=TODAY()),TODAY(),NA()),IF(AH!$P$10=1,INDEX('Live History'!$D$5:$D$3004,MATCH($A692,'Live History'!$D$5:$D$3004,1)),INDEX('AH History'!$E$1:$E$18046,AH!$P$7+687))),NA()),NA())</ns0:f>
        <ns0:v/>
      </ns0:c>
      <ns0:c r="G692">
        <ns0:f>IFERROR(IF(ISNUMBER($A692),IF(AND(AH!$P$10=1,AH!$P$12=1,$A692=TODAY()),IF(AND(AH!$P$10=1,AH!$P$12=1,$A692=TODAY()),TODAY(),NA()),IF(AH!$P$10=1,INDEX('Live History'!$G$5:$G$3004,MATCH($A692,'Live History'!$G$5:$G$3004,1)),INDEX('AH History'!$F$1:$F$18046,AH!$P$7+687))),NA()),NA())</ns0:f>
        <ns0:v/>
      </ns0:c>
      <ns0:c r="H692">
        <ns0:f>IFERROR(IF(AND(AH!$E$4="Bloomberg",AH!$P$10=1,ISNUMBER($A692),$A692&lt;=AH!$P$17),AH!$P$7-1+MATCH($A692,INDEX('AH History'!$A$1:$A$18046,AH!$P$7):INDEX('AH History'!$A$1:$A$18046,AH!$P$7+AH!$P$8-1),0),0),0)</ns0:f>
        <ns0:v/>
      </ns0:c>
      <ns0:c r="I692">
        <ns0:f>IF($H692=0,0,IFERROR(IF(AND(ABS($C692-INDEX('AH History'!$B$1:$B$18046,$H692))&lt;=MAX(0.005,ABS(INDEX('AH History'!$B$1:$B$18046,$H692))*0.00005),ABS($D692-INDEX('AH History'!$C$1:$C$18046,$H692))&lt;=MAX(0.005,ABS(INDEX('AH History'!$C$1:$C$18046,$H692))*0.00005),ABS($E692-INDEX('AH History'!$D$1:$D$18046,$H692))&lt;=0.00005,$F692=INDEX('AH History'!$E$1:$E$18046,$H692),$G692=INDEX('AH History'!$F$1:$F$18046,$H692)),1,-1),-1))</ns0:f>
        <ns0:v/>
      </ns0:c>
    </ns0:row>
    <ns0:row r="693">
      <ns0:c r="A693" s="215">
        <ns0:f>IF(OR(AH!$P$3=0,688+1&gt;AH!$P$11,AND(AH!$E$4&lt;&gt;"Stored",AH!$P$10&lt;&gt;1)),"",IFERROR(IF(AND(AH!$P$21=1,688+1=AH!$P$11),TODAY(),IF(AH!$P$10=1,INDEX('Live History'!$A$5:$A$3004,AH!$P$13+688),INDEX('AH History'!$A$1:$A$18046,AH!$P$7+688))),""))</ns0:f>
        <ns0:v/>
      </ns0:c>
      <ns0:c r="B693" s="219">
        <ns0:f>IFERROR(IF(AND(AH!$P$9&lt;&gt;1,$C693&gt;0,$D693&gt;0,$E693&gt;0,$F693&gt;0,$G693&gt;0,$F693&lt;=$A693,$G693&lt;=$A693,$A693-$F693&lt;=10,$A693-$G693&lt;=5),$D693*$E693/$C693-1,NA()),NA())</ns0:f>
        <ns0:v/>
      </ns0:c>
      <ns0:c r="C693">
        <ns0:f>IFERROR(IF(ISNUMBER($A693),IF(AND(AH!$P$10=1,AH!$P$12=1,$A693=TODAY()),AH!$P$19,IF(AH!$P$10=1,INDEX('Live History'!$B$5:$B$3004,AH!$P$13+688),INDEX('AH History'!$B$1:$B$18046,AH!$P$7+688))),NA()),NA())</ns0:f>
        <ns0:v/>
      </ns0:c>
      <ns0:c r="D693">
        <ns0:f>IFERROR(IF(ISNUMBER($A693),IF(AND(AH!$P$10=1,AH!$P$12=1,$A693=TODAY()),AH!$P$18,IF(AH!$P$10=1,INDEX('Live History'!$E$5:$E$3004,MATCH($A693,'Live History'!$D$5:$D$3004,1)),INDEX('AH History'!$C$1:$C$18046,AH!$P$7+688))),NA()),NA())</ns0:f>
        <ns0:v/>
      </ns0:c>
      <ns0:c r="E693">
        <ns0:f>IFERROR(IF(ISNUMBER($A693),IF(AND(AH!$P$10=1,AH!$P$12=1,$A693=TODAY()),AH!$P$20,IF(AH!$P$10=1,INDEX('Live History'!$H$5:$H$3004,MATCH($A693,'Live History'!$G$5:$G$3004,1)),INDEX('AH History'!$D$1:$D$18046,AH!$P$7+688))),NA()),NA())</ns0:f>
        <ns0:v/>
      </ns0:c>
      <ns0:c r="F693">
        <ns0:f>IFERROR(IF(ISNUMBER($A693),IF(AND(AH!$P$10=1,AH!$P$12=1,$A693=TODAY()),IF(AND(AH!$P$10=1,AH!$P$12=1,$A693=TODAY()),TODAY(),NA()),IF(AH!$P$10=1,INDEX('Live History'!$D$5:$D$3004,MATCH($A693,'Live History'!$D$5:$D$3004,1)),INDEX('AH History'!$E$1:$E$18046,AH!$P$7+688))),NA()),NA())</ns0:f>
        <ns0:v/>
      </ns0:c>
      <ns0:c r="G693">
        <ns0:f>IFERROR(IF(ISNUMBER($A693),IF(AND(AH!$P$10=1,AH!$P$12=1,$A693=TODAY()),IF(AND(AH!$P$10=1,AH!$P$12=1,$A693=TODAY()),TODAY(),NA()),IF(AH!$P$10=1,INDEX('Live History'!$G$5:$G$3004,MATCH($A693,'Live History'!$G$5:$G$3004,1)),INDEX('AH History'!$F$1:$F$18046,AH!$P$7+688))),NA()),NA())</ns0:f>
        <ns0:v/>
      </ns0:c>
      <ns0:c r="H693">
        <ns0:f>IFERROR(IF(AND(AH!$E$4="Bloomberg",AH!$P$10=1,ISNUMBER($A693),$A693&lt;=AH!$P$17),AH!$P$7-1+MATCH($A693,INDEX('AH History'!$A$1:$A$18046,AH!$P$7):INDEX('AH History'!$A$1:$A$18046,AH!$P$7+AH!$P$8-1),0),0),0)</ns0:f>
        <ns0:v/>
      </ns0:c>
      <ns0:c r="I693">
        <ns0:f>IF($H693=0,0,IFERROR(IF(AND(ABS($C693-INDEX('AH History'!$B$1:$B$18046,$H693))&lt;=MAX(0.005,ABS(INDEX('AH History'!$B$1:$B$18046,$H693))*0.00005),ABS($D693-INDEX('AH History'!$C$1:$C$18046,$H693))&lt;=MAX(0.005,ABS(INDEX('AH History'!$C$1:$C$18046,$H693))*0.00005),ABS($E693-INDEX('AH History'!$D$1:$D$18046,$H693))&lt;=0.00005,$F693=INDEX('AH History'!$E$1:$E$18046,$H693),$G693=INDEX('AH History'!$F$1:$F$18046,$H693)),1,-1),-1))</ns0:f>
        <ns0:v/>
      </ns0:c>
    </ns0:row>
    <ns0:row r="694">
      <ns0:c r="A694" s="215">
        <ns0:f>IF(OR(AH!$P$3=0,689+1&gt;AH!$P$11,AND(AH!$E$4&lt;&gt;"Stored",AH!$P$10&lt;&gt;1)),"",IFERROR(IF(AND(AH!$P$21=1,689+1=AH!$P$11),TODAY(),IF(AH!$P$10=1,INDEX('Live History'!$A$5:$A$3004,AH!$P$13+689),INDEX('AH History'!$A$1:$A$18046,AH!$P$7+689))),""))</ns0:f>
        <ns0:v/>
      </ns0:c>
      <ns0:c r="B694" s="219">
        <ns0:f>IFERROR(IF(AND(AH!$P$9&lt;&gt;1,$C694&gt;0,$D694&gt;0,$E694&gt;0,$F694&gt;0,$G694&gt;0,$F694&lt;=$A694,$G694&lt;=$A694,$A694-$F694&lt;=10,$A694-$G694&lt;=5),$D694*$E694/$C694-1,NA()),NA())</ns0:f>
        <ns0:v/>
      </ns0:c>
      <ns0:c r="C694">
        <ns0:f>IFERROR(IF(ISNUMBER($A694),IF(AND(AH!$P$10=1,AH!$P$12=1,$A694=TODAY()),AH!$P$19,IF(AH!$P$10=1,INDEX('Live History'!$B$5:$B$3004,AH!$P$13+689),INDEX('AH History'!$B$1:$B$18046,AH!$P$7+689))),NA()),NA())</ns0:f>
        <ns0:v/>
      </ns0:c>
      <ns0:c r="D694">
        <ns0:f>IFERROR(IF(ISNUMBER($A694),IF(AND(AH!$P$10=1,AH!$P$12=1,$A694=TODAY()),AH!$P$18,IF(AH!$P$10=1,INDEX('Live History'!$E$5:$E$3004,MATCH($A694,'Live History'!$D$5:$D$3004,1)),INDEX('AH History'!$C$1:$C$18046,AH!$P$7+689))),NA()),NA())</ns0:f>
        <ns0:v/>
      </ns0:c>
      <ns0:c r="E694">
        <ns0:f>IFERROR(IF(ISNUMBER($A694),IF(AND(AH!$P$10=1,AH!$P$12=1,$A694=TODAY()),AH!$P$20,IF(AH!$P$10=1,INDEX('Live History'!$H$5:$H$3004,MATCH($A694,'Live History'!$G$5:$G$3004,1)),INDEX('AH History'!$D$1:$D$18046,AH!$P$7+689))),NA()),NA())</ns0:f>
        <ns0:v/>
      </ns0:c>
      <ns0:c r="F694">
        <ns0:f>IFERROR(IF(ISNUMBER($A694),IF(AND(AH!$P$10=1,AH!$P$12=1,$A694=TODAY()),IF(AND(AH!$P$10=1,AH!$P$12=1,$A694=TODAY()),TODAY(),NA()),IF(AH!$P$10=1,INDEX('Live History'!$D$5:$D$3004,MATCH($A694,'Live History'!$D$5:$D$3004,1)),INDEX('AH History'!$E$1:$E$18046,AH!$P$7+689))),NA()),NA())</ns0:f>
        <ns0:v/>
      </ns0:c>
      <ns0:c r="G694">
        <ns0:f>IFERROR(IF(ISNUMBER($A694),IF(AND(AH!$P$10=1,AH!$P$12=1,$A694=TODAY()),IF(AND(AH!$P$10=1,AH!$P$12=1,$A694=TODAY()),TODAY(),NA()),IF(AH!$P$10=1,INDEX('Live History'!$G$5:$G$3004,MATCH($A694,'Live History'!$G$5:$G$3004,1)),INDEX('AH History'!$F$1:$F$18046,AH!$P$7+689))),NA()),NA())</ns0:f>
        <ns0:v/>
      </ns0:c>
      <ns0:c r="H694">
        <ns0:f>IFERROR(IF(AND(AH!$E$4="Bloomberg",AH!$P$10=1,ISNUMBER($A694),$A694&lt;=AH!$P$17),AH!$P$7-1+MATCH($A694,INDEX('AH History'!$A$1:$A$18046,AH!$P$7):INDEX('AH History'!$A$1:$A$18046,AH!$P$7+AH!$P$8-1),0),0),0)</ns0:f>
        <ns0:v/>
      </ns0:c>
      <ns0:c r="I694">
        <ns0:f>IF($H694=0,0,IFERROR(IF(AND(ABS($C694-INDEX('AH History'!$B$1:$B$18046,$H694))&lt;=MAX(0.005,ABS(INDEX('AH History'!$B$1:$B$18046,$H694))*0.00005),ABS($D694-INDEX('AH History'!$C$1:$C$18046,$H694))&lt;=MAX(0.005,ABS(INDEX('AH History'!$C$1:$C$18046,$H694))*0.00005),ABS($E694-INDEX('AH History'!$D$1:$D$18046,$H694))&lt;=0.00005,$F694=INDEX('AH History'!$E$1:$E$18046,$H694),$G694=INDEX('AH History'!$F$1:$F$18046,$H694)),1,-1),-1))</ns0:f>
        <ns0:v/>
      </ns0:c>
    </ns0:row>
    <ns0:row r="695">
      <ns0:c r="A695" s="215">
        <ns0:f>IF(OR(AH!$P$3=0,690+1&gt;AH!$P$11,AND(AH!$E$4&lt;&gt;"Stored",AH!$P$10&lt;&gt;1)),"",IFERROR(IF(AND(AH!$P$21=1,690+1=AH!$P$11),TODAY(),IF(AH!$P$10=1,INDEX('Live History'!$A$5:$A$3004,AH!$P$13+690),INDEX('AH History'!$A$1:$A$18046,AH!$P$7+690))),""))</ns0:f>
        <ns0:v/>
      </ns0:c>
      <ns0:c r="B695" s="219">
        <ns0:f>IFERROR(IF(AND(AH!$P$9&lt;&gt;1,$C695&gt;0,$D695&gt;0,$E695&gt;0,$F695&gt;0,$G695&gt;0,$F695&lt;=$A695,$G695&lt;=$A695,$A695-$F695&lt;=10,$A695-$G695&lt;=5),$D695*$E695/$C695-1,NA()),NA())</ns0:f>
        <ns0:v/>
      </ns0:c>
      <ns0:c r="C695">
        <ns0:f>IFERROR(IF(ISNUMBER($A695),IF(AND(AH!$P$10=1,AH!$P$12=1,$A695=TODAY()),AH!$P$19,IF(AH!$P$10=1,INDEX('Live History'!$B$5:$B$3004,AH!$P$13+690),INDEX('AH History'!$B$1:$B$18046,AH!$P$7+690))),NA()),NA())</ns0:f>
        <ns0:v/>
      </ns0:c>
      <ns0:c r="D695">
        <ns0:f>IFERROR(IF(ISNUMBER($A695),IF(AND(AH!$P$10=1,AH!$P$12=1,$A695=TODAY()),AH!$P$18,IF(AH!$P$10=1,INDEX('Live History'!$E$5:$E$3004,MATCH($A695,'Live History'!$D$5:$D$3004,1)),INDEX('AH History'!$C$1:$C$18046,AH!$P$7+690))),NA()),NA())</ns0:f>
        <ns0:v/>
      </ns0:c>
      <ns0:c r="E695">
        <ns0:f>IFERROR(IF(ISNUMBER($A695),IF(AND(AH!$P$10=1,AH!$P$12=1,$A695=TODAY()),AH!$P$20,IF(AH!$P$10=1,INDEX('Live History'!$H$5:$H$3004,MATCH($A695,'Live History'!$G$5:$G$3004,1)),INDEX('AH History'!$D$1:$D$18046,AH!$P$7+690))),NA()),NA())</ns0:f>
        <ns0:v/>
      </ns0:c>
      <ns0:c r="F695">
        <ns0:f>IFERROR(IF(ISNUMBER($A695),IF(AND(AH!$P$10=1,AH!$P$12=1,$A695=TODAY()),IF(AND(AH!$P$10=1,AH!$P$12=1,$A695=TODAY()),TODAY(),NA()),IF(AH!$P$10=1,INDEX('Live History'!$D$5:$D$3004,MATCH($A695,'Live History'!$D$5:$D$3004,1)),INDEX('AH History'!$E$1:$E$18046,AH!$P$7+690))),NA()),NA())</ns0:f>
        <ns0:v/>
      </ns0:c>
      <ns0:c r="G695">
        <ns0:f>IFERROR(IF(ISNUMBER($A695),IF(AND(AH!$P$10=1,AH!$P$12=1,$A695=TODAY()),IF(AND(AH!$P$10=1,AH!$P$12=1,$A695=TODAY()),TODAY(),NA()),IF(AH!$P$10=1,INDEX('Live History'!$G$5:$G$3004,MATCH($A695,'Live History'!$G$5:$G$3004,1)),INDEX('AH History'!$F$1:$F$18046,AH!$P$7+690))),NA()),NA())</ns0:f>
        <ns0:v/>
      </ns0:c>
      <ns0:c r="H695">
        <ns0:f>IFERROR(IF(AND(AH!$E$4="Bloomberg",AH!$P$10=1,ISNUMBER($A695),$A695&lt;=AH!$P$17),AH!$P$7-1+MATCH($A695,INDEX('AH History'!$A$1:$A$18046,AH!$P$7):INDEX('AH History'!$A$1:$A$18046,AH!$P$7+AH!$P$8-1),0),0),0)</ns0:f>
        <ns0:v/>
      </ns0:c>
      <ns0:c r="I695">
        <ns0:f>IF($H695=0,0,IFERROR(IF(AND(ABS($C695-INDEX('AH History'!$B$1:$B$18046,$H695))&lt;=MAX(0.005,ABS(INDEX('AH History'!$B$1:$B$18046,$H695))*0.00005),ABS($D695-INDEX('AH History'!$C$1:$C$18046,$H695))&lt;=MAX(0.005,ABS(INDEX('AH History'!$C$1:$C$18046,$H695))*0.00005),ABS($E695-INDEX('AH History'!$D$1:$D$18046,$H695))&lt;=0.00005,$F695=INDEX('AH History'!$E$1:$E$18046,$H695),$G695=INDEX('AH History'!$F$1:$F$18046,$H695)),1,-1),-1))</ns0:f>
        <ns0:v/>
      </ns0:c>
    </ns0:row>
    <ns0:row r="696">
      <ns0:c r="A696" s="215">
        <ns0:f>IF(OR(AH!$P$3=0,691+1&gt;AH!$P$11,AND(AH!$E$4&lt;&gt;"Stored",AH!$P$10&lt;&gt;1)),"",IFERROR(IF(AND(AH!$P$21=1,691+1=AH!$P$11),TODAY(),IF(AH!$P$10=1,INDEX('Live History'!$A$5:$A$3004,AH!$P$13+691),INDEX('AH History'!$A$1:$A$18046,AH!$P$7+691))),""))</ns0:f>
        <ns0:v/>
      </ns0:c>
      <ns0:c r="B696" s="219">
        <ns0:f>IFERROR(IF(AND(AH!$P$9&lt;&gt;1,$C696&gt;0,$D696&gt;0,$E696&gt;0,$F696&gt;0,$G696&gt;0,$F696&lt;=$A696,$G696&lt;=$A696,$A696-$F696&lt;=10,$A696-$G696&lt;=5),$D696*$E696/$C696-1,NA()),NA())</ns0:f>
        <ns0:v/>
      </ns0:c>
      <ns0:c r="C696">
        <ns0:f>IFERROR(IF(ISNUMBER($A696),IF(AND(AH!$P$10=1,AH!$P$12=1,$A696=TODAY()),AH!$P$19,IF(AH!$P$10=1,INDEX('Live History'!$B$5:$B$3004,AH!$P$13+691),INDEX('AH History'!$B$1:$B$18046,AH!$P$7+691))),NA()),NA())</ns0:f>
        <ns0:v/>
      </ns0:c>
      <ns0:c r="D696">
        <ns0:f>IFERROR(IF(ISNUMBER($A696),IF(AND(AH!$P$10=1,AH!$P$12=1,$A696=TODAY()),AH!$P$18,IF(AH!$P$10=1,INDEX('Live History'!$E$5:$E$3004,MATCH($A696,'Live History'!$D$5:$D$3004,1)),INDEX('AH History'!$C$1:$C$18046,AH!$P$7+691))),NA()),NA())</ns0:f>
        <ns0:v/>
      </ns0:c>
      <ns0:c r="E696">
        <ns0:f>IFERROR(IF(ISNUMBER($A696),IF(AND(AH!$P$10=1,AH!$P$12=1,$A696=TODAY()),AH!$P$20,IF(AH!$P$10=1,INDEX('Live History'!$H$5:$H$3004,MATCH($A696,'Live History'!$G$5:$G$3004,1)),INDEX('AH History'!$D$1:$D$18046,AH!$P$7+691))),NA()),NA())</ns0:f>
        <ns0:v/>
      </ns0:c>
      <ns0:c r="F696">
        <ns0:f>IFERROR(IF(ISNUMBER($A696),IF(AND(AH!$P$10=1,AH!$P$12=1,$A696=TODAY()),IF(AND(AH!$P$10=1,AH!$P$12=1,$A696=TODAY()),TODAY(),NA()),IF(AH!$P$10=1,INDEX('Live History'!$D$5:$D$3004,MATCH($A696,'Live History'!$D$5:$D$3004,1)),INDEX('AH History'!$E$1:$E$18046,AH!$P$7+691))),NA()),NA())</ns0:f>
        <ns0:v/>
      </ns0:c>
      <ns0:c r="G696">
        <ns0:f>IFERROR(IF(ISNUMBER($A696),IF(AND(AH!$P$10=1,AH!$P$12=1,$A696=TODAY()),IF(AND(AH!$P$10=1,AH!$P$12=1,$A696=TODAY()),TODAY(),NA()),IF(AH!$P$10=1,INDEX('Live History'!$G$5:$G$3004,MATCH($A696,'Live History'!$G$5:$G$3004,1)),INDEX('AH History'!$F$1:$F$18046,AH!$P$7+691))),NA()),NA())</ns0:f>
        <ns0:v/>
      </ns0:c>
      <ns0:c r="H696">
        <ns0:f>IFERROR(IF(AND(AH!$E$4="Bloomberg",AH!$P$10=1,ISNUMBER($A696),$A696&lt;=AH!$P$17),AH!$P$7-1+MATCH($A696,INDEX('AH History'!$A$1:$A$18046,AH!$P$7):INDEX('AH History'!$A$1:$A$18046,AH!$P$7+AH!$P$8-1),0),0),0)</ns0:f>
        <ns0:v/>
      </ns0:c>
      <ns0:c r="I696">
        <ns0:f>IF($H696=0,0,IFERROR(IF(AND(ABS($C696-INDEX('AH History'!$B$1:$B$18046,$H696))&lt;=MAX(0.005,ABS(INDEX('AH History'!$B$1:$B$18046,$H696))*0.00005),ABS($D696-INDEX('AH History'!$C$1:$C$18046,$H696))&lt;=MAX(0.005,ABS(INDEX('AH History'!$C$1:$C$18046,$H696))*0.00005),ABS($E696-INDEX('AH History'!$D$1:$D$18046,$H696))&lt;=0.00005,$F696=INDEX('AH History'!$E$1:$E$18046,$H696),$G696=INDEX('AH History'!$F$1:$F$18046,$H696)),1,-1),-1))</ns0:f>
        <ns0:v/>
      </ns0:c>
    </ns0:row>
    <ns0:row r="697">
      <ns0:c r="A697" s="215">
        <ns0:f>IF(OR(AH!$P$3=0,692+1&gt;AH!$P$11,AND(AH!$E$4&lt;&gt;"Stored",AH!$P$10&lt;&gt;1)),"",IFERROR(IF(AND(AH!$P$21=1,692+1=AH!$P$11),TODAY(),IF(AH!$P$10=1,INDEX('Live History'!$A$5:$A$3004,AH!$P$13+692),INDEX('AH History'!$A$1:$A$18046,AH!$P$7+692))),""))</ns0:f>
        <ns0:v/>
      </ns0:c>
      <ns0:c r="B697" s="219">
        <ns0:f>IFERROR(IF(AND(AH!$P$9&lt;&gt;1,$C697&gt;0,$D697&gt;0,$E697&gt;0,$F697&gt;0,$G697&gt;0,$F697&lt;=$A697,$G697&lt;=$A697,$A697-$F697&lt;=10,$A697-$G697&lt;=5),$D697*$E697/$C697-1,NA()),NA())</ns0:f>
        <ns0:v/>
      </ns0:c>
      <ns0:c r="C697">
        <ns0:f>IFERROR(IF(ISNUMBER($A697),IF(AND(AH!$P$10=1,AH!$P$12=1,$A697=TODAY()),AH!$P$19,IF(AH!$P$10=1,INDEX('Live History'!$B$5:$B$3004,AH!$P$13+692),INDEX('AH History'!$B$1:$B$18046,AH!$P$7+692))),NA()),NA())</ns0:f>
        <ns0:v/>
      </ns0:c>
      <ns0:c r="D697">
        <ns0:f>IFERROR(IF(ISNUMBER($A697),IF(AND(AH!$P$10=1,AH!$P$12=1,$A697=TODAY()),AH!$P$18,IF(AH!$P$10=1,INDEX('Live History'!$E$5:$E$3004,MATCH($A697,'Live History'!$D$5:$D$3004,1)),INDEX('AH History'!$C$1:$C$18046,AH!$P$7+692))),NA()),NA())</ns0:f>
        <ns0:v/>
      </ns0:c>
      <ns0:c r="E697">
        <ns0:f>IFERROR(IF(ISNUMBER($A697),IF(AND(AH!$P$10=1,AH!$P$12=1,$A697=TODAY()),AH!$P$20,IF(AH!$P$10=1,INDEX('Live History'!$H$5:$H$3004,MATCH($A697,'Live History'!$G$5:$G$3004,1)),INDEX('AH History'!$D$1:$D$18046,AH!$P$7+692))),NA()),NA())</ns0:f>
        <ns0:v/>
      </ns0:c>
      <ns0:c r="F697">
        <ns0:f>IFERROR(IF(ISNUMBER($A697),IF(AND(AH!$P$10=1,AH!$P$12=1,$A697=TODAY()),IF(AND(AH!$P$10=1,AH!$P$12=1,$A697=TODAY()),TODAY(),NA()),IF(AH!$P$10=1,INDEX('Live History'!$D$5:$D$3004,MATCH($A697,'Live History'!$D$5:$D$3004,1)),INDEX('AH History'!$E$1:$E$18046,AH!$P$7+692))),NA()),NA())</ns0:f>
        <ns0:v/>
      </ns0:c>
      <ns0:c r="G697">
        <ns0:f>IFERROR(IF(ISNUMBER($A697),IF(AND(AH!$P$10=1,AH!$P$12=1,$A697=TODAY()),IF(AND(AH!$P$10=1,AH!$P$12=1,$A697=TODAY()),TODAY(),NA()),IF(AH!$P$10=1,INDEX('Live History'!$G$5:$G$3004,MATCH($A697,'Live History'!$G$5:$G$3004,1)),INDEX('AH History'!$F$1:$F$18046,AH!$P$7+692))),NA()),NA())</ns0:f>
        <ns0:v/>
      </ns0:c>
      <ns0:c r="H697">
        <ns0:f>IFERROR(IF(AND(AH!$E$4="Bloomberg",AH!$P$10=1,ISNUMBER($A697),$A697&lt;=AH!$P$17),AH!$P$7-1+MATCH($A697,INDEX('AH History'!$A$1:$A$18046,AH!$P$7):INDEX('AH History'!$A$1:$A$18046,AH!$P$7+AH!$P$8-1),0),0),0)</ns0:f>
        <ns0:v/>
      </ns0:c>
      <ns0:c r="I697">
        <ns0:f>IF($H697=0,0,IFERROR(IF(AND(ABS($C697-INDEX('AH History'!$B$1:$B$18046,$H697))&lt;=MAX(0.005,ABS(INDEX('AH History'!$B$1:$B$18046,$H697))*0.00005),ABS($D697-INDEX('AH History'!$C$1:$C$18046,$H697))&lt;=MAX(0.005,ABS(INDEX('AH History'!$C$1:$C$18046,$H697))*0.00005),ABS($E697-INDEX('AH History'!$D$1:$D$18046,$H697))&lt;=0.00005,$F697=INDEX('AH History'!$E$1:$E$18046,$H697),$G697=INDEX('AH History'!$F$1:$F$18046,$H697)),1,-1),-1))</ns0:f>
        <ns0:v/>
      </ns0:c>
    </ns0:row>
    <ns0:row r="698">
      <ns0:c r="A698" s="215">
        <ns0:f>IF(OR(AH!$P$3=0,693+1&gt;AH!$P$11,AND(AH!$E$4&lt;&gt;"Stored",AH!$P$10&lt;&gt;1)),"",IFERROR(IF(AND(AH!$P$21=1,693+1=AH!$P$11),TODAY(),IF(AH!$P$10=1,INDEX('Live History'!$A$5:$A$3004,AH!$P$13+693),INDEX('AH History'!$A$1:$A$18046,AH!$P$7+693))),""))</ns0:f>
        <ns0:v/>
      </ns0:c>
      <ns0:c r="B698" s="219">
        <ns0:f>IFERROR(IF(AND(AH!$P$9&lt;&gt;1,$C698&gt;0,$D698&gt;0,$E698&gt;0,$F698&gt;0,$G698&gt;0,$F698&lt;=$A698,$G698&lt;=$A698,$A698-$F698&lt;=10,$A698-$G698&lt;=5),$D698*$E698/$C698-1,NA()),NA())</ns0:f>
        <ns0:v/>
      </ns0:c>
      <ns0:c r="C698">
        <ns0:f>IFERROR(IF(ISNUMBER($A698),IF(AND(AH!$P$10=1,AH!$P$12=1,$A698=TODAY()),AH!$P$19,IF(AH!$P$10=1,INDEX('Live History'!$B$5:$B$3004,AH!$P$13+693),INDEX('AH History'!$B$1:$B$18046,AH!$P$7+693))),NA()),NA())</ns0:f>
        <ns0:v/>
      </ns0:c>
      <ns0:c r="D698">
        <ns0:f>IFERROR(IF(ISNUMBER($A698),IF(AND(AH!$P$10=1,AH!$P$12=1,$A698=TODAY()),AH!$P$18,IF(AH!$P$10=1,INDEX('Live History'!$E$5:$E$3004,MATCH($A698,'Live History'!$D$5:$D$3004,1)),INDEX('AH History'!$C$1:$C$18046,AH!$P$7+693))),NA()),NA())</ns0:f>
        <ns0:v/>
      </ns0:c>
      <ns0:c r="E698">
        <ns0:f>IFERROR(IF(ISNUMBER($A698),IF(AND(AH!$P$10=1,AH!$P$12=1,$A698=TODAY()),AH!$P$20,IF(AH!$P$10=1,INDEX('Live History'!$H$5:$H$3004,MATCH($A698,'Live History'!$G$5:$G$3004,1)),INDEX('AH History'!$D$1:$D$18046,AH!$P$7+693))),NA()),NA())</ns0:f>
        <ns0:v/>
      </ns0:c>
      <ns0:c r="F698">
        <ns0:f>IFERROR(IF(ISNUMBER($A698),IF(AND(AH!$P$10=1,AH!$P$12=1,$A698=TODAY()),IF(AND(AH!$P$10=1,AH!$P$12=1,$A698=TODAY()),TODAY(),NA()),IF(AH!$P$10=1,INDEX('Live History'!$D$5:$D$3004,MATCH($A698,'Live History'!$D$5:$D$3004,1)),INDEX('AH History'!$E$1:$E$18046,AH!$P$7+693))),NA()),NA())</ns0:f>
        <ns0:v/>
      </ns0:c>
      <ns0:c r="G698">
        <ns0:f>IFERROR(IF(ISNUMBER($A698),IF(AND(AH!$P$10=1,AH!$P$12=1,$A698=TODAY()),IF(AND(AH!$P$10=1,AH!$P$12=1,$A698=TODAY()),TODAY(),NA()),IF(AH!$P$10=1,INDEX('Live History'!$G$5:$G$3004,MATCH($A698,'Live History'!$G$5:$G$3004,1)),INDEX('AH History'!$F$1:$F$18046,AH!$P$7+693))),NA()),NA())</ns0:f>
        <ns0:v/>
      </ns0:c>
      <ns0:c r="H698">
        <ns0:f>IFERROR(IF(AND(AH!$E$4="Bloomberg",AH!$P$10=1,ISNUMBER($A698),$A698&lt;=AH!$P$17),AH!$P$7-1+MATCH($A698,INDEX('AH History'!$A$1:$A$18046,AH!$P$7):INDEX('AH History'!$A$1:$A$18046,AH!$P$7+AH!$P$8-1),0),0),0)</ns0:f>
        <ns0:v/>
      </ns0:c>
      <ns0:c r="I698">
        <ns0:f>IF($H698=0,0,IFERROR(IF(AND(ABS($C698-INDEX('AH History'!$B$1:$B$18046,$H698))&lt;=MAX(0.005,ABS(INDEX('AH History'!$B$1:$B$18046,$H698))*0.00005),ABS($D698-INDEX('AH History'!$C$1:$C$18046,$H698))&lt;=MAX(0.005,ABS(INDEX('AH History'!$C$1:$C$18046,$H698))*0.00005),ABS($E698-INDEX('AH History'!$D$1:$D$18046,$H698))&lt;=0.00005,$F698=INDEX('AH History'!$E$1:$E$18046,$H698),$G698=INDEX('AH History'!$F$1:$F$18046,$H698)),1,-1),-1))</ns0:f>
        <ns0:v/>
      </ns0:c>
    </ns0:row>
    <ns0:row r="699">
      <ns0:c r="A699" s="215">
        <ns0:f>IF(OR(AH!$P$3=0,694+1&gt;AH!$P$11,AND(AH!$E$4&lt;&gt;"Stored",AH!$P$10&lt;&gt;1)),"",IFERROR(IF(AND(AH!$P$21=1,694+1=AH!$P$11),TODAY(),IF(AH!$P$10=1,INDEX('Live History'!$A$5:$A$3004,AH!$P$13+694),INDEX('AH History'!$A$1:$A$18046,AH!$P$7+694))),""))</ns0:f>
        <ns0:v/>
      </ns0:c>
      <ns0:c r="B699" s="219">
        <ns0:f>IFERROR(IF(AND(AH!$P$9&lt;&gt;1,$C699&gt;0,$D699&gt;0,$E699&gt;0,$F699&gt;0,$G699&gt;0,$F699&lt;=$A699,$G699&lt;=$A699,$A699-$F699&lt;=10,$A699-$G699&lt;=5),$D699*$E699/$C699-1,NA()),NA())</ns0:f>
        <ns0:v/>
      </ns0:c>
      <ns0:c r="C699">
        <ns0:f>IFERROR(IF(ISNUMBER($A699),IF(AND(AH!$P$10=1,AH!$P$12=1,$A699=TODAY()),AH!$P$19,IF(AH!$P$10=1,INDEX('Live History'!$B$5:$B$3004,AH!$P$13+694),INDEX('AH History'!$B$1:$B$18046,AH!$P$7+694))),NA()),NA())</ns0:f>
        <ns0:v/>
      </ns0:c>
      <ns0:c r="D699">
        <ns0:f>IFERROR(IF(ISNUMBER($A699),IF(AND(AH!$P$10=1,AH!$P$12=1,$A699=TODAY()),AH!$P$18,IF(AH!$P$10=1,INDEX('Live History'!$E$5:$E$3004,MATCH($A699,'Live History'!$D$5:$D$3004,1)),INDEX('AH History'!$C$1:$C$18046,AH!$P$7+694))),NA()),NA())</ns0:f>
        <ns0:v/>
      </ns0:c>
      <ns0:c r="E699">
        <ns0:f>IFERROR(IF(ISNUMBER($A699),IF(AND(AH!$P$10=1,AH!$P$12=1,$A699=TODAY()),AH!$P$20,IF(AH!$P$10=1,INDEX('Live History'!$H$5:$H$3004,MATCH($A699,'Live History'!$G$5:$G$3004,1)),INDEX('AH History'!$D$1:$D$18046,AH!$P$7+694))),NA()),NA())</ns0:f>
        <ns0:v/>
      </ns0:c>
      <ns0:c r="F699">
        <ns0:f>IFERROR(IF(ISNUMBER($A699),IF(AND(AH!$P$10=1,AH!$P$12=1,$A699=TODAY()),IF(AND(AH!$P$10=1,AH!$P$12=1,$A699=TODAY()),TODAY(),NA()),IF(AH!$P$10=1,INDEX('Live History'!$D$5:$D$3004,MATCH($A699,'Live History'!$D$5:$D$3004,1)),INDEX('AH History'!$E$1:$E$18046,AH!$P$7+694))),NA()),NA())</ns0:f>
        <ns0:v/>
      </ns0:c>
      <ns0:c r="G699">
        <ns0:f>IFERROR(IF(ISNUMBER($A699),IF(AND(AH!$P$10=1,AH!$P$12=1,$A699=TODAY()),IF(AND(AH!$P$10=1,AH!$P$12=1,$A699=TODAY()),TODAY(),NA()),IF(AH!$P$10=1,INDEX('Live History'!$G$5:$G$3004,MATCH($A699,'Live History'!$G$5:$G$3004,1)),INDEX('AH History'!$F$1:$F$18046,AH!$P$7+694))),NA()),NA())</ns0:f>
        <ns0:v/>
      </ns0:c>
      <ns0:c r="H699">
        <ns0:f>IFERROR(IF(AND(AH!$E$4="Bloomberg",AH!$P$10=1,ISNUMBER($A699),$A699&lt;=AH!$P$17),AH!$P$7-1+MATCH($A699,INDEX('AH History'!$A$1:$A$18046,AH!$P$7):INDEX('AH History'!$A$1:$A$18046,AH!$P$7+AH!$P$8-1),0),0),0)</ns0:f>
        <ns0:v/>
      </ns0:c>
      <ns0:c r="I699">
        <ns0:f>IF($H699=0,0,IFERROR(IF(AND(ABS($C699-INDEX('AH History'!$B$1:$B$18046,$H699))&lt;=MAX(0.005,ABS(INDEX('AH History'!$B$1:$B$18046,$H699))*0.00005),ABS($D699-INDEX('AH History'!$C$1:$C$18046,$H699))&lt;=MAX(0.005,ABS(INDEX('AH History'!$C$1:$C$18046,$H699))*0.00005),ABS($E699-INDEX('AH History'!$D$1:$D$18046,$H699))&lt;=0.00005,$F699=INDEX('AH History'!$E$1:$E$18046,$H699),$G699=INDEX('AH History'!$F$1:$F$18046,$H699)),1,-1),-1))</ns0:f>
        <ns0:v/>
      </ns0:c>
    </ns0:row>
    <ns0:row r="700">
      <ns0:c r="A700" s="215">
        <ns0:f>IF(OR(AH!$P$3=0,695+1&gt;AH!$P$11,AND(AH!$E$4&lt;&gt;"Stored",AH!$P$10&lt;&gt;1)),"",IFERROR(IF(AND(AH!$P$21=1,695+1=AH!$P$11),TODAY(),IF(AH!$P$10=1,INDEX('Live History'!$A$5:$A$3004,AH!$P$13+695),INDEX('AH History'!$A$1:$A$18046,AH!$P$7+695))),""))</ns0:f>
        <ns0:v/>
      </ns0:c>
      <ns0:c r="B700" s="219">
        <ns0:f>IFERROR(IF(AND(AH!$P$9&lt;&gt;1,$C700&gt;0,$D700&gt;0,$E700&gt;0,$F700&gt;0,$G700&gt;0,$F700&lt;=$A700,$G700&lt;=$A700,$A700-$F700&lt;=10,$A700-$G700&lt;=5),$D700*$E700/$C700-1,NA()),NA())</ns0:f>
        <ns0:v/>
      </ns0:c>
      <ns0:c r="C700">
        <ns0:f>IFERROR(IF(ISNUMBER($A700),IF(AND(AH!$P$10=1,AH!$P$12=1,$A700=TODAY()),AH!$P$19,IF(AH!$P$10=1,INDEX('Live History'!$B$5:$B$3004,AH!$P$13+695),INDEX('AH History'!$B$1:$B$18046,AH!$P$7+695))),NA()),NA())</ns0:f>
        <ns0:v/>
      </ns0:c>
      <ns0:c r="D700">
        <ns0:f>IFERROR(IF(ISNUMBER($A700),IF(AND(AH!$P$10=1,AH!$P$12=1,$A700=TODAY()),AH!$P$18,IF(AH!$P$10=1,INDEX('Live History'!$E$5:$E$3004,MATCH($A700,'Live History'!$D$5:$D$3004,1)),INDEX('AH History'!$C$1:$C$18046,AH!$P$7+695))),NA()),NA())</ns0:f>
        <ns0:v/>
      </ns0:c>
      <ns0:c r="E700">
        <ns0:f>IFERROR(IF(ISNUMBER($A700),IF(AND(AH!$P$10=1,AH!$P$12=1,$A700=TODAY()),AH!$P$20,IF(AH!$P$10=1,INDEX('Live History'!$H$5:$H$3004,MATCH($A700,'Live History'!$G$5:$G$3004,1)),INDEX('AH History'!$D$1:$D$18046,AH!$P$7+695))),NA()),NA())</ns0:f>
        <ns0:v/>
      </ns0:c>
      <ns0:c r="F700">
        <ns0:f>IFERROR(IF(ISNUMBER($A700),IF(AND(AH!$P$10=1,AH!$P$12=1,$A700=TODAY()),IF(AND(AH!$P$10=1,AH!$P$12=1,$A700=TODAY()),TODAY(),NA()),IF(AH!$P$10=1,INDEX('Live History'!$D$5:$D$3004,MATCH($A700,'Live History'!$D$5:$D$3004,1)),INDEX('AH History'!$E$1:$E$18046,AH!$P$7+695))),NA()),NA())</ns0:f>
        <ns0:v/>
      </ns0:c>
      <ns0:c r="G700">
        <ns0:f>IFERROR(IF(ISNUMBER($A700),IF(AND(AH!$P$10=1,AH!$P$12=1,$A700=TODAY()),IF(AND(AH!$P$10=1,AH!$P$12=1,$A700=TODAY()),TODAY(),NA()),IF(AH!$P$10=1,INDEX('Live History'!$G$5:$G$3004,MATCH($A700,'Live History'!$G$5:$G$3004,1)),INDEX('AH History'!$F$1:$F$18046,AH!$P$7+695))),NA()),NA())</ns0:f>
        <ns0:v/>
      </ns0:c>
      <ns0:c r="H700">
        <ns0:f>IFERROR(IF(AND(AH!$E$4="Bloomberg",AH!$P$10=1,ISNUMBER($A700),$A700&lt;=AH!$P$17),AH!$P$7-1+MATCH($A700,INDEX('AH History'!$A$1:$A$18046,AH!$P$7):INDEX('AH History'!$A$1:$A$18046,AH!$P$7+AH!$P$8-1),0),0),0)</ns0:f>
        <ns0:v/>
      </ns0:c>
      <ns0:c r="I700">
        <ns0:f>IF($H700=0,0,IFERROR(IF(AND(ABS($C700-INDEX('AH History'!$B$1:$B$18046,$H700))&lt;=MAX(0.005,ABS(INDEX('AH History'!$B$1:$B$18046,$H700))*0.00005),ABS($D700-INDEX('AH History'!$C$1:$C$18046,$H700))&lt;=MAX(0.005,ABS(INDEX('AH History'!$C$1:$C$18046,$H700))*0.00005),ABS($E700-INDEX('AH History'!$D$1:$D$18046,$H700))&lt;=0.00005,$F700=INDEX('AH History'!$E$1:$E$18046,$H700),$G700=INDEX('AH History'!$F$1:$F$18046,$H700)),1,-1),-1))</ns0:f>
        <ns0:v/>
      </ns0:c>
    </ns0:row>
    <ns0:row r="701">
      <ns0:c r="A701" s="215">
        <ns0:f>IF(OR(AH!$P$3=0,696+1&gt;AH!$P$11,AND(AH!$E$4&lt;&gt;"Stored",AH!$P$10&lt;&gt;1)),"",IFERROR(IF(AND(AH!$P$21=1,696+1=AH!$P$11),TODAY(),IF(AH!$P$10=1,INDEX('Live History'!$A$5:$A$3004,AH!$P$13+696),INDEX('AH History'!$A$1:$A$18046,AH!$P$7+696))),""))</ns0:f>
        <ns0:v/>
      </ns0:c>
      <ns0:c r="B701" s="219">
        <ns0:f>IFERROR(IF(AND(AH!$P$9&lt;&gt;1,$C701&gt;0,$D701&gt;0,$E701&gt;0,$F701&gt;0,$G701&gt;0,$F701&lt;=$A701,$G701&lt;=$A701,$A701-$F701&lt;=10,$A701-$G701&lt;=5),$D701*$E701/$C701-1,NA()),NA())</ns0:f>
        <ns0:v/>
      </ns0:c>
      <ns0:c r="C701">
        <ns0:f>IFERROR(IF(ISNUMBER($A701),IF(AND(AH!$P$10=1,AH!$P$12=1,$A701=TODAY()),AH!$P$19,IF(AH!$P$10=1,INDEX('Live History'!$B$5:$B$3004,AH!$P$13+696),INDEX('AH History'!$B$1:$B$18046,AH!$P$7+696))),NA()),NA())</ns0:f>
        <ns0:v/>
      </ns0:c>
      <ns0:c r="D701">
        <ns0:f>IFERROR(IF(ISNUMBER($A701),IF(AND(AH!$P$10=1,AH!$P$12=1,$A701=TODAY()),AH!$P$18,IF(AH!$P$10=1,INDEX('Live History'!$E$5:$E$3004,MATCH($A701,'Live History'!$D$5:$D$3004,1)),INDEX('AH History'!$C$1:$C$18046,AH!$P$7+696))),NA()),NA())</ns0:f>
        <ns0:v/>
      </ns0:c>
      <ns0:c r="E701">
        <ns0:f>IFERROR(IF(ISNUMBER($A701),IF(AND(AH!$P$10=1,AH!$P$12=1,$A701=TODAY()),AH!$P$20,IF(AH!$P$10=1,INDEX('Live History'!$H$5:$H$3004,MATCH($A701,'Live History'!$G$5:$G$3004,1)),INDEX('AH History'!$D$1:$D$18046,AH!$P$7+696))),NA()),NA())</ns0:f>
        <ns0:v/>
      </ns0:c>
      <ns0:c r="F701">
        <ns0:f>IFERROR(IF(ISNUMBER($A701),IF(AND(AH!$P$10=1,AH!$P$12=1,$A701=TODAY()),IF(AND(AH!$P$10=1,AH!$P$12=1,$A701=TODAY()),TODAY(),NA()),IF(AH!$P$10=1,INDEX('Live History'!$D$5:$D$3004,MATCH($A701,'Live History'!$D$5:$D$3004,1)),INDEX('AH History'!$E$1:$E$18046,AH!$P$7+696))),NA()),NA())</ns0:f>
        <ns0:v/>
      </ns0:c>
      <ns0:c r="G701">
        <ns0:f>IFERROR(IF(ISNUMBER($A701),IF(AND(AH!$P$10=1,AH!$P$12=1,$A701=TODAY()),IF(AND(AH!$P$10=1,AH!$P$12=1,$A701=TODAY()),TODAY(),NA()),IF(AH!$P$10=1,INDEX('Live History'!$G$5:$G$3004,MATCH($A701,'Live History'!$G$5:$G$3004,1)),INDEX('AH History'!$F$1:$F$18046,AH!$P$7+696))),NA()),NA())</ns0:f>
        <ns0:v/>
      </ns0:c>
      <ns0:c r="H701">
        <ns0:f>IFERROR(IF(AND(AH!$E$4="Bloomberg",AH!$P$10=1,ISNUMBER($A701),$A701&lt;=AH!$P$17),AH!$P$7-1+MATCH($A701,INDEX('AH History'!$A$1:$A$18046,AH!$P$7):INDEX('AH History'!$A$1:$A$18046,AH!$P$7+AH!$P$8-1),0),0),0)</ns0:f>
        <ns0:v/>
      </ns0:c>
      <ns0:c r="I701">
        <ns0:f>IF($H701=0,0,IFERROR(IF(AND(ABS($C701-INDEX('AH History'!$B$1:$B$18046,$H701))&lt;=MAX(0.005,ABS(INDEX('AH History'!$B$1:$B$18046,$H701))*0.00005),ABS($D701-INDEX('AH History'!$C$1:$C$18046,$H701))&lt;=MAX(0.005,ABS(INDEX('AH History'!$C$1:$C$18046,$H701))*0.00005),ABS($E701-INDEX('AH History'!$D$1:$D$18046,$H701))&lt;=0.00005,$F701=INDEX('AH History'!$E$1:$E$18046,$H701),$G701=INDEX('AH History'!$F$1:$F$18046,$H701)),1,-1),-1))</ns0:f>
        <ns0:v/>
      </ns0:c>
    </ns0:row>
    <ns0:row r="702">
      <ns0:c r="A702" s="215">
        <ns0:f>IF(OR(AH!$P$3=0,697+1&gt;AH!$P$11,AND(AH!$E$4&lt;&gt;"Stored",AH!$P$10&lt;&gt;1)),"",IFERROR(IF(AND(AH!$P$21=1,697+1=AH!$P$11),TODAY(),IF(AH!$P$10=1,INDEX('Live History'!$A$5:$A$3004,AH!$P$13+697),INDEX('AH History'!$A$1:$A$18046,AH!$P$7+697))),""))</ns0:f>
        <ns0:v/>
      </ns0:c>
      <ns0:c r="B702" s="219">
        <ns0:f>IFERROR(IF(AND(AH!$P$9&lt;&gt;1,$C702&gt;0,$D702&gt;0,$E702&gt;0,$F702&gt;0,$G702&gt;0,$F702&lt;=$A702,$G702&lt;=$A702,$A702-$F702&lt;=10,$A702-$G702&lt;=5),$D702*$E702/$C702-1,NA()),NA())</ns0:f>
        <ns0:v/>
      </ns0:c>
      <ns0:c r="C702">
        <ns0:f>IFERROR(IF(ISNUMBER($A702),IF(AND(AH!$P$10=1,AH!$P$12=1,$A702=TODAY()),AH!$P$19,IF(AH!$P$10=1,INDEX('Live History'!$B$5:$B$3004,AH!$P$13+697),INDEX('AH History'!$B$1:$B$18046,AH!$P$7+697))),NA()),NA())</ns0:f>
        <ns0:v/>
      </ns0:c>
      <ns0:c r="D702">
        <ns0:f>IFERROR(IF(ISNUMBER($A702),IF(AND(AH!$P$10=1,AH!$P$12=1,$A702=TODAY()),AH!$P$18,IF(AH!$P$10=1,INDEX('Live History'!$E$5:$E$3004,MATCH($A702,'Live History'!$D$5:$D$3004,1)),INDEX('AH History'!$C$1:$C$18046,AH!$P$7+697))),NA()),NA())</ns0:f>
        <ns0:v/>
      </ns0:c>
      <ns0:c r="E702">
        <ns0:f>IFERROR(IF(ISNUMBER($A702),IF(AND(AH!$P$10=1,AH!$P$12=1,$A702=TODAY()),AH!$P$20,IF(AH!$P$10=1,INDEX('Live History'!$H$5:$H$3004,MATCH($A702,'Live History'!$G$5:$G$3004,1)),INDEX('AH History'!$D$1:$D$18046,AH!$P$7+697))),NA()),NA())</ns0:f>
        <ns0:v/>
      </ns0:c>
      <ns0:c r="F702">
        <ns0:f>IFERROR(IF(ISNUMBER($A702),IF(AND(AH!$P$10=1,AH!$P$12=1,$A702=TODAY()),IF(AND(AH!$P$10=1,AH!$P$12=1,$A702=TODAY()),TODAY(),NA()),IF(AH!$P$10=1,INDEX('Live History'!$D$5:$D$3004,MATCH($A702,'Live History'!$D$5:$D$3004,1)),INDEX('AH History'!$E$1:$E$18046,AH!$P$7+697))),NA()),NA())</ns0:f>
        <ns0:v/>
      </ns0:c>
      <ns0:c r="G702">
        <ns0:f>IFERROR(IF(ISNUMBER($A702),IF(AND(AH!$P$10=1,AH!$P$12=1,$A702=TODAY()),IF(AND(AH!$P$10=1,AH!$P$12=1,$A702=TODAY()),TODAY(),NA()),IF(AH!$P$10=1,INDEX('Live History'!$G$5:$G$3004,MATCH($A702,'Live History'!$G$5:$G$3004,1)),INDEX('AH History'!$F$1:$F$18046,AH!$P$7+697))),NA()),NA())</ns0:f>
        <ns0:v/>
      </ns0:c>
      <ns0:c r="H702">
        <ns0:f>IFERROR(IF(AND(AH!$E$4="Bloomberg",AH!$P$10=1,ISNUMBER($A702),$A702&lt;=AH!$P$17),AH!$P$7-1+MATCH($A702,INDEX('AH History'!$A$1:$A$18046,AH!$P$7):INDEX('AH History'!$A$1:$A$18046,AH!$P$7+AH!$P$8-1),0),0),0)</ns0:f>
        <ns0:v/>
      </ns0:c>
      <ns0:c r="I702">
        <ns0:f>IF($H702=0,0,IFERROR(IF(AND(ABS($C702-INDEX('AH History'!$B$1:$B$18046,$H702))&lt;=MAX(0.005,ABS(INDEX('AH History'!$B$1:$B$18046,$H702))*0.00005),ABS($D702-INDEX('AH History'!$C$1:$C$18046,$H702))&lt;=MAX(0.005,ABS(INDEX('AH History'!$C$1:$C$18046,$H702))*0.00005),ABS($E702-INDEX('AH History'!$D$1:$D$18046,$H702))&lt;=0.00005,$F702=INDEX('AH History'!$E$1:$E$18046,$H702),$G702=INDEX('AH History'!$F$1:$F$18046,$H702)),1,-1),-1))</ns0:f>
        <ns0:v/>
      </ns0:c>
    </ns0:row>
    <ns0:row r="703">
      <ns0:c r="A703" s="215">
        <ns0:f>IF(OR(AH!$P$3=0,698+1&gt;AH!$P$11,AND(AH!$E$4&lt;&gt;"Stored",AH!$P$10&lt;&gt;1)),"",IFERROR(IF(AND(AH!$P$21=1,698+1=AH!$P$11),TODAY(),IF(AH!$P$10=1,INDEX('Live History'!$A$5:$A$3004,AH!$P$13+698),INDEX('AH History'!$A$1:$A$18046,AH!$P$7+698))),""))</ns0:f>
        <ns0:v/>
      </ns0:c>
      <ns0:c r="B703" s="219">
        <ns0:f>IFERROR(IF(AND(AH!$P$9&lt;&gt;1,$C703&gt;0,$D703&gt;0,$E703&gt;0,$F703&gt;0,$G703&gt;0,$F703&lt;=$A703,$G703&lt;=$A703,$A703-$F703&lt;=10,$A703-$G703&lt;=5),$D703*$E703/$C703-1,NA()),NA())</ns0:f>
        <ns0:v/>
      </ns0:c>
      <ns0:c r="C703">
        <ns0:f>IFERROR(IF(ISNUMBER($A703),IF(AND(AH!$P$10=1,AH!$P$12=1,$A703=TODAY()),AH!$P$19,IF(AH!$P$10=1,INDEX('Live History'!$B$5:$B$3004,AH!$P$13+698),INDEX('AH History'!$B$1:$B$18046,AH!$P$7+698))),NA()),NA())</ns0:f>
        <ns0:v/>
      </ns0:c>
      <ns0:c r="D703">
        <ns0:f>IFERROR(IF(ISNUMBER($A703),IF(AND(AH!$P$10=1,AH!$P$12=1,$A703=TODAY()),AH!$P$18,IF(AH!$P$10=1,INDEX('Live History'!$E$5:$E$3004,MATCH($A703,'Live History'!$D$5:$D$3004,1)),INDEX('AH History'!$C$1:$C$18046,AH!$P$7+698))),NA()),NA())</ns0:f>
        <ns0:v/>
      </ns0:c>
      <ns0:c r="E703">
        <ns0:f>IFERROR(IF(ISNUMBER($A703),IF(AND(AH!$P$10=1,AH!$P$12=1,$A703=TODAY()),AH!$P$20,IF(AH!$P$10=1,INDEX('Live History'!$H$5:$H$3004,MATCH($A703,'Live History'!$G$5:$G$3004,1)),INDEX('AH History'!$D$1:$D$18046,AH!$P$7+698))),NA()),NA())</ns0:f>
        <ns0:v/>
      </ns0:c>
      <ns0:c r="F703">
        <ns0:f>IFERROR(IF(ISNUMBER($A703),IF(AND(AH!$P$10=1,AH!$P$12=1,$A703=TODAY()),IF(AND(AH!$P$10=1,AH!$P$12=1,$A703=TODAY()),TODAY(),NA()),IF(AH!$P$10=1,INDEX('Live History'!$D$5:$D$3004,MATCH($A703,'Live History'!$D$5:$D$3004,1)),INDEX('AH History'!$E$1:$E$18046,AH!$P$7+698))),NA()),NA())</ns0:f>
        <ns0:v/>
      </ns0:c>
      <ns0:c r="G703">
        <ns0:f>IFERROR(IF(ISNUMBER($A703),IF(AND(AH!$P$10=1,AH!$P$12=1,$A703=TODAY()),IF(AND(AH!$P$10=1,AH!$P$12=1,$A703=TODAY()),TODAY(),NA()),IF(AH!$P$10=1,INDEX('Live History'!$G$5:$G$3004,MATCH($A703,'Live History'!$G$5:$G$3004,1)),INDEX('AH History'!$F$1:$F$18046,AH!$P$7+698))),NA()),NA())</ns0:f>
        <ns0:v/>
      </ns0:c>
      <ns0:c r="H703">
        <ns0:f>IFERROR(IF(AND(AH!$E$4="Bloomberg",AH!$P$10=1,ISNUMBER($A703),$A703&lt;=AH!$P$17),AH!$P$7-1+MATCH($A703,INDEX('AH History'!$A$1:$A$18046,AH!$P$7):INDEX('AH History'!$A$1:$A$18046,AH!$P$7+AH!$P$8-1),0),0),0)</ns0:f>
        <ns0:v/>
      </ns0:c>
      <ns0:c r="I703">
        <ns0:f>IF($H703=0,0,IFERROR(IF(AND(ABS($C703-INDEX('AH History'!$B$1:$B$18046,$H703))&lt;=MAX(0.005,ABS(INDEX('AH History'!$B$1:$B$18046,$H703))*0.00005),ABS($D703-INDEX('AH History'!$C$1:$C$18046,$H703))&lt;=MAX(0.005,ABS(INDEX('AH History'!$C$1:$C$18046,$H703))*0.00005),ABS($E703-INDEX('AH History'!$D$1:$D$18046,$H703))&lt;=0.00005,$F703=INDEX('AH History'!$E$1:$E$18046,$H703),$G703=INDEX('AH History'!$F$1:$F$18046,$H703)),1,-1),-1))</ns0:f>
        <ns0:v/>
      </ns0:c>
    </ns0:row>
    <ns0:row r="704">
      <ns0:c r="A704" s="215">
        <ns0:f>IF(OR(AH!$P$3=0,699+1&gt;AH!$P$11,AND(AH!$E$4&lt;&gt;"Stored",AH!$P$10&lt;&gt;1)),"",IFERROR(IF(AND(AH!$P$21=1,699+1=AH!$P$11),TODAY(),IF(AH!$P$10=1,INDEX('Live History'!$A$5:$A$3004,AH!$P$13+699),INDEX('AH History'!$A$1:$A$18046,AH!$P$7+699))),""))</ns0:f>
        <ns0:v/>
      </ns0:c>
      <ns0:c r="B704" s="219">
        <ns0:f>IFERROR(IF(AND(AH!$P$9&lt;&gt;1,$C704&gt;0,$D704&gt;0,$E704&gt;0,$F704&gt;0,$G704&gt;0,$F704&lt;=$A704,$G704&lt;=$A704,$A704-$F704&lt;=10,$A704-$G704&lt;=5),$D704*$E704/$C704-1,NA()),NA())</ns0:f>
        <ns0:v/>
      </ns0:c>
      <ns0:c r="C704">
        <ns0:f>IFERROR(IF(ISNUMBER($A704),IF(AND(AH!$P$10=1,AH!$P$12=1,$A704=TODAY()),AH!$P$19,IF(AH!$P$10=1,INDEX('Live History'!$B$5:$B$3004,AH!$P$13+699),INDEX('AH History'!$B$1:$B$18046,AH!$P$7+699))),NA()),NA())</ns0:f>
        <ns0:v/>
      </ns0:c>
      <ns0:c r="D704">
        <ns0:f>IFERROR(IF(ISNUMBER($A704),IF(AND(AH!$P$10=1,AH!$P$12=1,$A704=TODAY()),AH!$P$18,IF(AH!$P$10=1,INDEX('Live History'!$E$5:$E$3004,MATCH($A704,'Live History'!$D$5:$D$3004,1)),INDEX('AH History'!$C$1:$C$18046,AH!$P$7+699))),NA()),NA())</ns0:f>
        <ns0:v/>
      </ns0:c>
      <ns0:c r="E704">
        <ns0:f>IFERROR(IF(ISNUMBER($A704),IF(AND(AH!$P$10=1,AH!$P$12=1,$A704=TODAY()),AH!$P$20,IF(AH!$P$10=1,INDEX('Live History'!$H$5:$H$3004,MATCH($A704,'Live History'!$G$5:$G$3004,1)),INDEX('AH History'!$D$1:$D$18046,AH!$P$7+699))),NA()),NA())</ns0:f>
        <ns0:v/>
      </ns0:c>
      <ns0:c r="F704">
        <ns0:f>IFERROR(IF(ISNUMBER($A704),IF(AND(AH!$P$10=1,AH!$P$12=1,$A704=TODAY()),IF(AND(AH!$P$10=1,AH!$P$12=1,$A704=TODAY()),TODAY(),NA()),IF(AH!$P$10=1,INDEX('Live History'!$D$5:$D$3004,MATCH($A704,'Live History'!$D$5:$D$3004,1)),INDEX('AH History'!$E$1:$E$18046,AH!$P$7+699))),NA()),NA())</ns0:f>
        <ns0:v/>
      </ns0:c>
      <ns0:c r="G704">
        <ns0:f>IFERROR(IF(ISNUMBER($A704),IF(AND(AH!$P$10=1,AH!$P$12=1,$A704=TODAY()),IF(AND(AH!$P$10=1,AH!$P$12=1,$A704=TODAY()),TODAY(),NA()),IF(AH!$P$10=1,INDEX('Live History'!$G$5:$G$3004,MATCH($A704,'Live History'!$G$5:$G$3004,1)),INDEX('AH History'!$F$1:$F$18046,AH!$P$7+699))),NA()),NA())</ns0:f>
        <ns0:v/>
      </ns0:c>
      <ns0:c r="H704">
        <ns0:f>IFERROR(IF(AND(AH!$E$4="Bloomberg",AH!$P$10=1,ISNUMBER($A704),$A704&lt;=AH!$P$17),AH!$P$7-1+MATCH($A704,INDEX('AH History'!$A$1:$A$18046,AH!$P$7):INDEX('AH History'!$A$1:$A$18046,AH!$P$7+AH!$P$8-1),0),0),0)</ns0:f>
        <ns0:v/>
      </ns0:c>
      <ns0:c r="I704">
        <ns0:f>IF($H704=0,0,IFERROR(IF(AND(ABS($C704-INDEX('AH History'!$B$1:$B$18046,$H704))&lt;=MAX(0.005,ABS(INDEX('AH History'!$B$1:$B$18046,$H704))*0.00005),ABS($D704-INDEX('AH History'!$C$1:$C$18046,$H704))&lt;=MAX(0.005,ABS(INDEX('AH History'!$C$1:$C$18046,$H704))*0.00005),ABS($E704-INDEX('AH History'!$D$1:$D$18046,$H704))&lt;=0.00005,$F704=INDEX('AH History'!$E$1:$E$18046,$H704),$G704=INDEX('AH History'!$F$1:$F$18046,$H704)),1,-1),-1))</ns0:f>
        <ns0:v/>
      </ns0:c>
    </ns0:row>
    <ns0:row r="705">
      <ns0:c r="A705" s="215">
        <ns0:f>IF(OR(AH!$P$3=0,700+1&gt;AH!$P$11,AND(AH!$E$4&lt;&gt;"Stored",AH!$P$10&lt;&gt;1)),"",IFERROR(IF(AND(AH!$P$21=1,700+1=AH!$P$11),TODAY(),IF(AH!$P$10=1,INDEX('Live History'!$A$5:$A$3004,AH!$P$13+700),INDEX('AH History'!$A$1:$A$18046,AH!$P$7+700))),""))</ns0:f>
        <ns0:v/>
      </ns0:c>
      <ns0:c r="B705" s="219">
        <ns0:f>IFERROR(IF(AND(AH!$P$9&lt;&gt;1,$C705&gt;0,$D705&gt;0,$E705&gt;0,$F705&gt;0,$G705&gt;0,$F705&lt;=$A705,$G705&lt;=$A705,$A705-$F705&lt;=10,$A705-$G705&lt;=5),$D705*$E705/$C705-1,NA()),NA())</ns0:f>
        <ns0:v/>
      </ns0:c>
      <ns0:c r="C705">
        <ns0:f>IFERROR(IF(ISNUMBER($A705),IF(AND(AH!$P$10=1,AH!$P$12=1,$A705=TODAY()),AH!$P$19,IF(AH!$P$10=1,INDEX('Live History'!$B$5:$B$3004,AH!$P$13+700),INDEX('AH History'!$B$1:$B$18046,AH!$P$7+700))),NA()),NA())</ns0:f>
        <ns0:v/>
      </ns0:c>
      <ns0:c r="D705">
        <ns0:f>IFERROR(IF(ISNUMBER($A705),IF(AND(AH!$P$10=1,AH!$P$12=1,$A705=TODAY()),AH!$P$18,IF(AH!$P$10=1,INDEX('Live History'!$E$5:$E$3004,MATCH($A705,'Live History'!$D$5:$D$3004,1)),INDEX('AH History'!$C$1:$C$18046,AH!$P$7+700))),NA()),NA())</ns0:f>
        <ns0:v/>
      </ns0:c>
      <ns0:c r="E705">
        <ns0:f>IFERROR(IF(ISNUMBER($A705),IF(AND(AH!$P$10=1,AH!$P$12=1,$A705=TODAY()),AH!$P$20,IF(AH!$P$10=1,INDEX('Live History'!$H$5:$H$3004,MATCH($A705,'Live History'!$G$5:$G$3004,1)),INDEX('AH History'!$D$1:$D$18046,AH!$P$7+700))),NA()),NA())</ns0:f>
        <ns0:v/>
      </ns0:c>
      <ns0:c r="F705">
        <ns0:f>IFERROR(IF(ISNUMBER($A705),IF(AND(AH!$P$10=1,AH!$P$12=1,$A705=TODAY()),IF(AND(AH!$P$10=1,AH!$P$12=1,$A705=TODAY()),TODAY(),NA()),IF(AH!$P$10=1,INDEX('Live History'!$D$5:$D$3004,MATCH($A705,'Live History'!$D$5:$D$3004,1)),INDEX('AH History'!$E$1:$E$18046,AH!$P$7+700))),NA()),NA())</ns0:f>
        <ns0:v/>
      </ns0:c>
      <ns0:c r="G705">
        <ns0:f>IFERROR(IF(ISNUMBER($A705),IF(AND(AH!$P$10=1,AH!$P$12=1,$A705=TODAY()),IF(AND(AH!$P$10=1,AH!$P$12=1,$A705=TODAY()),TODAY(),NA()),IF(AH!$P$10=1,INDEX('Live History'!$G$5:$G$3004,MATCH($A705,'Live History'!$G$5:$G$3004,1)),INDEX('AH History'!$F$1:$F$18046,AH!$P$7+700))),NA()),NA())</ns0:f>
        <ns0:v/>
      </ns0:c>
      <ns0:c r="H705">
        <ns0:f>IFERROR(IF(AND(AH!$E$4="Bloomberg",AH!$P$10=1,ISNUMBER($A705),$A705&lt;=AH!$P$17),AH!$P$7-1+MATCH($A705,INDEX('AH History'!$A$1:$A$18046,AH!$P$7):INDEX('AH History'!$A$1:$A$18046,AH!$P$7+AH!$P$8-1),0),0),0)</ns0:f>
        <ns0:v/>
      </ns0:c>
      <ns0:c r="I705">
        <ns0:f>IF($H705=0,0,IFERROR(IF(AND(ABS($C705-INDEX('AH History'!$B$1:$B$18046,$H705))&lt;=MAX(0.005,ABS(INDEX('AH History'!$B$1:$B$18046,$H705))*0.00005),ABS($D705-INDEX('AH History'!$C$1:$C$18046,$H705))&lt;=MAX(0.005,ABS(INDEX('AH History'!$C$1:$C$18046,$H705))*0.00005),ABS($E705-INDEX('AH History'!$D$1:$D$18046,$H705))&lt;=0.00005,$F705=INDEX('AH History'!$E$1:$E$18046,$H705),$G705=INDEX('AH History'!$F$1:$F$18046,$H705)),1,-1),-1))</ns0:f>
        <ns0:v/>
      </ns0:c>
    </ns0:row>
    <ns0:row r="706">
      <ns0:c r="A706" s="215">
        <ns0:f>IF(OR(AH!$P$3=0,701+1&gt;AH!$P$11,AND(AH!$E$4&lt;&gt;"Stored",AH!$P$10&lt;&gt;1)),"",IFERROR(IF(AND(AH!$P$21=1,701+1=AH!$P$11),TODAY(),IF(AH!$P$10=1,INDEX('Live History'!$A$5:$A$3004,AH!$P$13+701),INDEX('AH History'!$A$1:$A$18046,AH!$P$7+701))),""))</ns0:f>
        <ns0:v/>
      </ns0:c>
      <ns0:c r="B706" s="219">
        <ns0:f>IFERROR(IF(AND(AH!$P$9&lt;&gt;1,$C706&gt;0,$D706&gt;0,$E706&gt;0,$F706&gt;0,$G706&gt;0,$F706&lt;=$A706,$G706&lt;=$A706,$A706-$F706&lt;=10,$A706-$G706&lt;=5),$D706*$E706/$C706-1,NA()),NA())</ns0:f>
        <ns0:v/>
      </ns0:c>
      <ns0:c r="C706">
        <ns0:f>IFERROR(IF(ISNUMBER($A706),IF(AND(AH!$P$10=1,AH!$P$12=1,$A706=TODAY()),AH!$P$19,IF(AH!$P$10=1,INDEX('Live History'!$B$5:$B$3004,AH!$P$13+701),INDEX('AH History'!$B$1:$B$18046,AH!$P$7+701))),NA()),NA())</ns0:f>
        <ns0:v/>
      </ns0:c>
      <ns0:c r="D706">
        <ns0:f>IFERROR(IF(ISNUMBER($A706),IF(AND(AH!$P$10=1,AH!$P$12=1,$A706=TODAY()),AH!$P$18,IF(AH!$P$10=1,INDEX('Live History'!$E$5:$E$3004,MATCH($A706,'Live History'!$D$5:$D$3004,1)),INDEX('AH History'!$C$1:$C$18046,AH!$P$7+701))),NA()),NA())</ns0:f>
        <ns0:v/>
      </ns0:c>
      <ns0:c r="E706">
        <ns0:f>IFERROR(IF(ISNUMBER($A706),IF(AND(AH!$P$10=1,AH!$P$12=1,$A706=TODAY()),AH!$P$20,IF(AH!$P$10=1,INDEX('Live History'!$H$5:$H$3004,MATCH($A706,'Live History'!$G$5:$G$3004,1)),INDEX('AH History'!$D$1:$D$18046,AH!$P$7+701))),NA()),NA())</ns0:f>
        <ns0:v/>
      </ns0:c>
      <ns0:c r="F706">
        <ns0:f>IFERROR(IF(ISNUMBER($A706),IF(AND(AH!$P$10=1,AH!$P$12=1,$A706=TODAY()),IF(AND(AH!$P$10=1,AH!$P$12=1,$A706=TODAY()),TODAY(),NA()),IF(AH!$P$10=1,INDEX('Live History'!$D$5:$D$3004,MATCH($A706,'Live History'!$D$5:$D$3004,1)),INDEX('AH History'!$E$1:$E$18046,AH!$P$7+701))),NA()),NA())</ns0:f>
        <ns0:v/>
      </ns0:c>
      <ns0:c r="G706">
        <ns0:f>IFERROR(IF(ISNUMBER($A706),IF(AND(AH!$P$10=1,AH!$P$12=1,$A706=TODAY()),IF(AND(AH!$P$10=1,AH!$P$12=1,$A706=TODAY()),TODAY(),NA()),IF(AH!$P$10=1,INDEX('Live History'!$G$5:$G$3004,MATCH($A706,'Live History'!$G$5:$G$3004,1)),INDEX('AH History'!$F$1:$F$18046,AH!$P$7+701))),NA()),NA())</ns0:f>
        <ns0:v/>
      </ns0:c>
      <ns0:c r="H706">
        <ns0:f>IFERROR(IF(AND(AH!$E$4="Bloomberg",AH!$P$10=1,ISNUMBER($A706),$A706&lt;=AH!$P$17),AH!$P$7-1+MATCH($A706,INDEX('AH History'!$A$1:$A$18046,AH!$P$7):INDEX('AH History'!$A$1:$A$18046,AH!$P$7+AH!$P$8-1),0),0),0)</ns0:f>
        <ns0:v/>
      </ns0:c>
      <ns0:c r="I706">
        <ns0:f>IF($H706=0,0,IFERROR(IF(AND(ABS($C706-INDEX('AH History'!$B$1:$B$18046,$H706))&lt;=MAX(0.005,ABS(INDEX('AH History'!$B$1:$B$18046,$H706))*0.00005),ABS($D706-INDEX('AH History'!$C$1:$C$18046,$H706))&lt;=MAX(0.005,ABS(INDEX('AH History'!$C$1:$C$18046,$H706))*0.00005),ABS($E706-INDEX('AH History'!$D$1:$D$18046,$H706))&lt;=0.00005,$F706=INDEX('AH History'!$E$1:$E$18046,$H706),$G706=INDEX('AH History'!$F$1:$F$18046,$H706)),1,-1),-1))</ns0:f>
        <ns0:v/>
      </ns0:c>
    </ns0:row>
    <ns0:row r="707">
      <ns0:c r="A707" s="215">
        <ns0:f>IF(OR(AH!$P$3=0,702+1&gt;AH!$P$11,AND(AH!$E$4&lt;&gt;"Stored",AH!$P$10&lt;&gt;1)),"",IFERROR(IF(AND(AH!$P$21=1,702+1=AH!$P$11),TODAY(),IF(AH!$P$10=1,INDEX('Live History'!$A$5:$A$3004,AH!$P$13+702),INDEX('AH History'!$A$1:$A$18046,AH!$P$7+702))),""))</ns0:f>
        <ns0:v/>
      </ns0:c>
      <ns0:c r="B707" s="219">
        <ns0:f>IFERROR(IF(AND(AH!$P$9&lt;&gt;1,$C707&gt;0,$D707&gt;0,$E707&gt;0,$F707&gt;0,$G707&gt;0,$F707&lt;=$A707,$G707&lt;=$A707,$A707-$F707&lt;=10,$A707-$G707&lt;=5),$D707*$E707/$C707-1,NA()),NA())</ns0:f>
        <ns0:v/>
      </ns0:c>
      <ns0:c r="C707">
        <ns0:f>IFERROR(IF(ISNUMBER($A707),IF(AND(AH!$P$10=1,AH!$P$12=1,$A707=TODAY()),AH!$P$19,IF(AH!$P$10=1,INDEX('Live History'!$B$5:$B$3004,AH!$P$13+702),INDEX('AH History'!$B$1:$B$18046,AH!$P$7+702))),NA()),NA())</ns0:f>
        <ns0:v/>
      </ns0:c>
      <ns0:c r="D707">
        <ns0:f>IFERROR(IF(ISNUMBER($A707),IF(AND(AH!$P$10=1,AH!$P$12=1,$A707=TODAY()),AH!$P$18,IF(AH!$P$10=1,INDEX('Live History'!$E$5:$E$3004,MATCH($A707,'Live History'!$D$5:$D$3004,1)),INDEX('AH History'!$C$1:$C$18046,AH!$P$7+702))),NA()),NA())</ns0:f>
        <ns0:v/>
      </ns0:c>
      <ns0:c r="E707">
        <ns0:f>IFERROR(IF(ISNUMBER($A707),IF(AND(AH!$P$10=1,AH!$P$12=1,$A707=TODAY()),AH!$P$20,IF(AH!$P$10=1,INDEX('Live History'!$H$5:$H$3004,MATCH($A707,'Live History'!$G$5:$G$3004,1)),INDEX('AH History'!$D$1:$D$18046,AH!$P$7+702))),NA()),NA())</ns0:f>
        <ns0:v/>
      </ns0:c>
      <ns0:c r="F707">
        <ns0:f>IFERROR(IF(ISNUMBER($A707),IF(AND(AH!$P$10=1,AH!$P$12=1,$A707=TODAY()),IF(AND(AH!$P$10=1,AH!$P$12=1,$A707=TODAY()),TODAY(),NA()),IF(AH!$P$10=1,INDEX('Live History'!$D$5:$D$3004,MATCH($A707,'Live History'!$D$5:$D$3004,1)),INDEX('AH History'!$E$1:$E$18046,AH!$P$7+702))),NA()),NA())</ns0:f>
        <ns0:v/>
      </ns0:c>
      <ns0:c r="G707">
        <ns0:f>IFERROR(IF(ISNUMBER($A707),IF(AND(AH!$P$10=1,AH!$P$12=1,$A707=TODAY()),IF(AND(AH!$P$10=1,AH!$P$12=1,$A707=TODAY()),TODAY(),NA()),IF(AH!$P$10=1,INDEX('Live History'!$G$5:$G$3004,MATCH($A707,'Live History'!$G$5:$G$3004,1)),INDEX('AH History'!$F$1:$F$18046,AH!$P$7+702))),NA()),NA())</ns0:f>
        <ns0:v/>
      </ns0:c>
      <ns0:c r="H707">
        <ns0:f>IFERROR(IF(AND(AH!$E$4="Bloomberg",AH!$P$10=1,ISNUMBER($A707),$A707&lt;=AH!$P$17),AH!$P$7-1+MATCH($A707,INDEX('AH History'!$A$1:$A$18046,AH!$P$7):INDEX('AH History'!$A$1:$A$18046,AH!$P$7+AH!$P$8-1),0),0),0)</ns0:f>
        <ns0:v/>
      </ns0:c>
      <ns0:c r="I707">
        <ns0:f>IF($H707=0,0,IFERROR(IF(AND(ABS($C707-INDEX('AH History'!$B$1:$B$18046,$H707))&lt;=MAX(0.005,ABS(INDEX('AH History'!$B$1:$B$18046,$H707))*0.00005),ABS($D707-INDEX('AH History'!$C$1:$C$18046,$H707))&lt;=MAX(0.005,ABS(INDEX('AH History'!$C$1:$C$18046,$H707))*0.00005),ABS($E707-INDEX('AH History'!$D$1:$D$18046,$H707))&lt;=0.00005,$F707=INDEX('AH History'!$E$1:$E$18046,$H707),$G707=INDEX('AH History'!$F$1:$F$18046,$H707)),1,-1),-1))</ns0:f>
        <ns0:v/>
      </ns0:c>
    </ns0:row>
    <ns0:row r="708">
      <ns0:c r="A708" s="215">
        <ns0:f>IF(OR(AH!$P$3=0,703+1&gt;AH!$P$11,AND(AH!$E$4&lt;&gt;"Stored",AH!$P$10&lt;&gt;1)),"",IFERROR(IF(AND(AH!$P$21=1,703+1=AH!$P$11),TODAY(),IF(AH!$P$10=1,INDEX('Live History'!$A$5:$A$3004,AH!$P$13+703),INDEX('AH History'!$A$1:$A$18046,AH!$P$7+703))),""))</ns0:f>
        <ns0:v/>
      </ns0:c>
      <ns0:c r="B708" s="219">
        <ns0:f>IFERROR(IF(AND(AH!$P$9&lt;&gt;1,$C708&gt;0,$D708&gt;0,$E708&gt;0,$F708&gt;0,$G708&gt;0,$F708&lt;=$A708,$G708&lt;=$A708,$A708-$F708&lt;=10,$A708-$G708&lt;=5),$D708*$E708/$C708-1,NA()),NA())</ns0:f>
        <ns0:v/>
      </ns0:c>
      <ns0:c r="C708">
        <ns0:f>IFERROR(IF(ISNUMBER($A708),IF(AND(AH!$P$10=1,AH!$P$12=1,$A708=TODAY()),AH!$P$19,IF(AH!$P$10=1,INDEX('Live History'!$B$5:$B$3004,AH!$P$13+703),INDEX('AH History'!$B$1:$B$18046,AH!$P$7+703))),NA()),NA())</ns0:f>
        <ns0:v/>
      </ns0:c>
      <ns0:c r="D708">
        <ns0:f>IFERROR(IF(ISNUMBER($A708),IF(AND(AH!$P$10=1,AH!$P$12=1,$A708=TODAY()),AH!$P$18,IF(AH!$P$10=1,INDEX('Live History'!$E$5:$E$3004,MATCH($A708,'Live History'!$D$5:$D$3004,1)),INDEX('AH History'!$C$1:$C$18046,AH!$P$7+703))),NA()),NA())</ns0:f>
        <ns0:v/>
      </ns0:c>
      <ns0:c r="E708">
        <ns0:f>IFERROR(IF(ISNUMBER($A708),IF(AND(AH!$P$10=1,AH!$P$12=1,$A708=TODAY()),AH!$P$20,IF(AH!$P$10=1,INDEX('Live History'!$H$5:$H$3004,MATCH($A708,'Live History'!$G$5:$G$3004,1)),INDEX('AH History'!$D$1:$D$18046,AH!$P$7+703))),NA()),NA())</ns0:f>
        <ns0:v/>
      </ns0:c>
      <ns0:c r="F708">
        <ns0:f>IFERROR(IF(ISNUMBER($A708),IF(AND(AH!$P$10=1,AH!$P$12=1,$A708=TODAY()),IF(AND(AH!$P$10=1,AH!$P$12=1,$A708=TODAY()),TODAY(),NA()),IF(AH!$P$10=1,INDEX('Live History'!$D$5:$D$3004,MATCH($A708,'Live History'!$D$5:$D$3004,1)),INDEX('AH History'!$E$1:$E$18046,AH!$P$7+703))),NA()),NA())</ns0:f>
        <ns0:v/>
      </ns0:c>
      <ns0:c r="G708">
        <ns0:f>IFERROR(IF(ISNUMBER($A708),IF(AND(AH!$P$10=1,AH!$P$12=1,$A708=TODAY()),IF(AND(AH!$P$10=1,AH!$P$12=1,$A708=TODAY()),TODAY(),NA()),IF(AH!$P$10=1,INDEX('Live History'!$G$5:$G$3004,MATCH($A708,'Live History'!$G$5:$G$3004,1)),INDEX('AH History'!$F$1:$F$18046,AH!$P$7+703))),NA()),NA())</ns0:f>
        <ns0:v/>
      </ns0:c>
      <ns0:c r="H708">
        <ns0:f>IFERROR(IF(AND(AH!$E$4="Bloomberg",AH!$P$10=1,ISNUMBER($A708),$A708&lt;=AH!$P$17),AH!$P$7-1+MATCH($A708,INDEX('AH History'!$A$1:$A$18046,AH!$P$7):INDEX('AH History'!$A$1:$A$18046,AH!$P$7+AH!$P$8-1),0),0),0)</ns0:f>
        <ns0:v/>
      </ns0:c>
      <ns0:c r="I708">
        <ns0:f>IF($H708=0,0,IFERROR(IF(AND(ABS($C708-INDEX('AH History'!$B$1:$B$18046,$H708))&lt;=MAX(0.005,ABS(INDEX('AH History'!$B$1:$B$18046,$H708))*0.00005),ABS($D708-INDEX('AH History'!$C$1:$C$18046,$H708))&lt;=MAX(0.005,ABS(INDEX('AH History'!$C$1:$C$18046,$H708))*0.00005),ABS($E708-INDEX('AH History'!$D$1:$D$18046,$H708))&lt;=0.00005,$F708=INDEX('AH History'!$E$1:$E$18046,$H708),$G708=INDEX('AH History'!$F$1:$F$18046,$H708)),1,-1),-1))</ns0:f>
        <ns0:v/>
      </ns0:c>
    </ns0:row>
    <ns0:row r="709">
      <ns0:c r="A709" s="215">
        <ns0:f>IF(OR(AH!$P$3=0,704+1&gt;AH!$P$11,AND(AH!$E$4&lt;&gt;"Stored",AH!$P$10&lt;&gt;1)),"",IFERROR(IF(AND(AH!$P$21=1,704+1=AH!$P$11),TODAY(),IF(AH!$P$10=1,INDEX('Live History'!$A$5:$A$3004,AH!$P$13+704),INDEX('AH History'!$A$1:$A$18046,AH!$P$7+704))),""))</ns0:f>
        <ns0:v/>
      </ns0:c>
      <ns0:c r="B709" s="219">
        <ns0:f>IFERROR(IF(AND(AH!$P$9&lt;&gt;1,$C709&gt;0,$D709&gt;0,$E709&gt;0,$F709&gt;0,$G709&gt;0,$F709&lt;=$A709,$G709&lt;=$A709,$A709-$F709&lt;=10,$A709-$G709&lt;=5),$D709*$E709/$C709-1,NA()),NA())</ns0:f>
        <ns0:v/>
      </ns0:c>
      <ns0:c r="C709">
        <ns0:f>IFERROR(IF(ISNUMBER($A709),IF(AND(AH!$P$10=1,AH!$P$12=1,$A709=TODAY()),AH!$P$19,IF(AH!$P$10=1,INDEX('Live History'!$B$5:$B$3004,AH!$P$13+704),INDEX('AH History'!$B$1:$B$18046,AH!$P$7+704))),NA()),NA())</ns0:f>
        <ns0:v/>
      </ns0:c>
      <ns0:c r="D709">
        <ns0:f>IFERROR(IF(ISNUMBER($A709),IF(AND(AH!$P$10=1,AH!$P$12=1,$A709=TODAY()),AH!$P$18,IF(AH!$P$10=1,INDEX('Live History'!$E$5:$E$3004,MATCH($A709,'Live History'!$D$5:$D$3004,1)),INDEX('AH History'!$C$1:$C$18046,AH!$P$7+704))),NA()),NA())</ns0:f>
        <ns0:v/>
      </ns0:c>
      <ns0:c r="E709">
        <ns0:f>IFERROR(IF(ISNUMBER($A709),IF(AND(AH!$P$10=1,AH!$P$12=1,$A709=TODAY()),AH!$P$20,IF(AH!$P$10=1,INDEX('Live History'!$H$5:$H$3004,MATCH($A709,'Live History'!$G$5:$G$3004,1)),INDEX('AH History'!$D$1:$D$18046,AH!$P$7+704))),NA()),NA())</ns0:f>
        <ns0:v/>
      </ns0:c>
      <ns0:c r="F709">
        <ns0:f>IFERROR(IF(ISNUMBER($A709),IF(AND(AH!$P$10=1,AH!$P$12=1,$A709=TODAY()),IF(AND(AH!$P$10=1,AH!$P$12=1,$A709=TODAY()),TODAY(),NA()),IF(AH!$P$10=1,INDEX('Live History'!$D$5:$D$3004,MATCH($A709,'Live History'!$D$5:$D$3004,1)),INDEX('AH History'!$E$1:$E$18046,AH!$P$7+704))),NA()),NA())</ns0:f>
        <ns0:v/>
      </ns0:c>
      <ns0:c r="G709">
        <ns0:f>IFERROR(IF(ISNUMBER($A709),IF(AND(AH!$P$10=1,AH!$P$12=1,$A709=TODAY()),IF(AND(AH!$P$10=1,AH!$P$12=1,$A709=TODAY()),TODAY(),NA()),IF(AH!$P$10=1,INDEX('Live History'!$G$5:$G$3004,MATCH($A709,'Live History'!$G$5:$G$3004,1)),INDEX('AH History'!$F$1:$F$18046,AH!$P$7+704))),NA()),NA())</ns0:f>
        <ns0:v/>
      </ns0:c>
      <ns0:c r="H709">
        <ns0:f>IFERROR(IF(AND(AH!$E$4="Bloomberg",AH!$P$10=1,ISNUMBER($A709),$A709&lt;=AH!$P$17),AH!$P$7-1+MATCH($A709,INDEX('AH History'!$A$1:$A$18046,AH!$P$7):INDEX('AH History'!$A$1:$A$18046,AH!$P$7+AH!$P$8-1),0),0),0)</ns0:f>
        <ns0:v/>
      </ns0:c>
      <ns0:c r="I709">
        <ns0:f>IF($H709=0,0,IFERROR(IF(AND(ABS($C709-INDEX('AH History'!$B$1:$B$18046,$H709))&lt;=MAX(0.005,ABS(INDEX('AH History'!$B$1:$B$18046,$H709))*0.00005),ABS($D709-INDEX('AH History'!$C$1:$C$18046,$H709))&lt;=MAX(0.005,ABS(INDEX('AH History'!$C$1:$C$18046,$H709))*0.00005),ABS($E709-INDEX('AH History'!$D$1:$D$18046,$H709))&lt;=0.00005,$F709=INDEX('AH History'!$E$1:$E$18046,$H709),$G709=INDEX('AH History'!$F$1:$F$18046,$H709)),1,-1),-1))</ns0:f>
        <ns0:v/>
      </ns0:c>
    </ns0:row>
    <ns0:row r="710">
      <ns0:c r="A710" s="215">
        <ns0:f>IF(OR(AH!$P$3=0,705+1&gt;AH!$P$11,AND(AH!$E$4&lt;&gt;"Stored",AH!$P$10&lt;&gt;1)),"",IFERROR(IF(AND(AH!$P$21=1,705+1=AH!$P$11),TODAY(),IF(AH!$P$10=1,INDEX('Live History'!$A$5:$A$3004,AH!$P$13+705),INDEX('AH History'!$A$1:$A$18046,AH!$P$7+705))),""))</ns0:f>
        <ns0:v/>
      </ns0:c>
      <ns0:c r="B710" s="219">
        <ns0:f>IFERROR(IF(AND(AH!$P$9&lt;&gt;1,$C710&gt;0,$D710&gt;0,$E710&gt;0,$F710&gt;0,$G710&gt;0,$F710&lt;=$A710,$G710&lt;=$A710,$A710-$F710&lt;=10,$A710-$G710&lt;=5),$D710*$E710/$C710-1,NA()),NA())</ns0:f>
        <ns0:v/>
      </ns0:c>
      <ns0:c r="C710">
        <ns0:f>IFERROR(IF(ISNUMBER($A710),IF(AND(AH!$P$10=1,AH!$P$12=1,$A710=TODAY()),AH!$P$19,IF(AH!$P$10=1,INDEX('Live History'!$B$5:$B$3004,AH!$P$13+705),INDEX('AH History'!$B$1:$B$18046,AH!$P$7+705))),NA()),NA())</ns0:f>
        <ns0:v/>
      </ns0:c>
      <ns0:c r="D710">
        <ns0:f>IFERROR(IF(ISNUMBER($A710),IF(AND(AH!$P$10=1,AH!$P$12=1,$A710=TODAY()),AH!$P$18,IF(AH!$P$10=1,INDEX('Live History'!$E$5:$E$3004,MATCH($A710,'Live History'!$D$5:$D$3004,1)),INDEX('AH History'!$C$1:$C$18046,AH!$P$7+705))),NA()),NA())</ns0:f>
        <ns0:v/>
      </ns0:c>
      <ns0:c r="E710">
        <ns0:f>IFERROR(IF(ISNUMBER($A710),IF(AND(AH!$P$10=1,AH!$P$12=1,$A710=TODAY()),AH!$P$20,IF(AH!$P$10=1,INDEX('Live History'!$H$5:$H$3004,MATCH($A710,'Live History'!$G$5:$G$3004,1)),INDEX('AH History'!$D$1:$D$18046,AH!$P$7+705))),NA()),NA())</ns0:f>
        <ns0:v/>
      </ns0:c>
      <ns0:c r="F710">
        <ns0:f>IFERROR(IF(ISNUMBER($A710),IF(AND(AH!$P$10=1,AH!$P$12=1,$A710=TODAY()),IF(AND(AH!$P$10=1,AH!$P$12=1,$A710=TODAY()),TODAY(),NA()),IF(AH!$P$10=1,INDEX('Live History'!$D$5:$D$3004,MATCH($A710,'Live History'!$D$5:$D$3004,1)),INDEX('AH History'!$E$1:$E$18046,AH!$P$7+705))),NA()),NA())</ns0:f>
        <ns0:v/>
      </ns0:c>
      <ns0:c r="G710">
        <ns0:f>IFERROR(IF(ISNUMBER($A710),IF(AND(AH!$P$10=1,AH!$P$12=1,$A710=TODAY()),IF(AND(AH!$P$10=1,AH!$P$12=1,$A710=TODAY()),TODAY(),NA()),IF(AH!$P$10=1,INDEX('Live History'!$G$5:$G$3004,MATCH($A710,'Live History'!$G$5:$G$3004,1)),INDEX('AH History'!$F$1:$F$18046,AH!$P$7+705))),NA()),NA())</ns0:f>
        <ns0:v/>
      </ns0:c>
      <ns0:c r="H710">
        <ns0:f>IFERROR(IF(AND(AH!$E$4="Bloomberg",AH!$P$10=1,ISNUMBER($A710),$A710&lt;=AH!$P$17),AH!$P$7-1+MATCH($A710,INDEX('AH History'!$A$1:$A$18046,AH!$P$7):INDEX('AH History'!$A$1:$A$18046,AH!$P$7+AH!$P$8-1),0),0),0)</ns0:f>
        <ns0:v/>
      </ns0:c>
      <ns0:c r="I710">
        <ns0:f>IF($H710=0,0,IFERROR(IF(AND(ABS($C710-INDEX('AH History'!$B$1:$B$18046,$H710))&lt;=MAX(0.005,ABS(INDEX('AH History'!$B$1:$B$18046,$H710))*0.00005),ABS($D710-INDEX('AH History'!$C$1:$C$18046,$H710))&lt;=MAX(0.005,ABS(INDEX('AH History'!$C$1:$C$18046,$H710))*0.00005),ABS($E710-INDEX('AH History'!$D$1:$D$18046,$H710))&lt;=0.00005,$F710=INDEX('AH History'!$E$1:$E$18046,$H710),$G710=INDEX('AH History'!$F$1:$F$18046,$H710)),1,-1),-1))</ns0:f>
        <ns0:v/>
      </ns0:c>
    </ns0:row>
    <ns0:row r="711">
      <ns0:c r="A711" s="215">
        <ns0:f>IF(OR(AH!$P$3=0,706+1&gt;AH!$P$11,AND(AH!$E$4&lt;&gt;"Stored",AH!$P$10&lt;&gt;1)),"",IFERROR(IF(AND(AH!$P$21=1,706+1=AH!$P$11),TODAY(),IF(AH!$P$10=1,INDEX('Live History'!$A$5:$A$3004,AH!$P$13+706),INDEX('AH History'!$A$1:$A$18046,AH!$P$7+706))),""))</ns0:f>
        <ns0:v/>
      </ns0:c>
      <ns0:c r="B711" s="219">
        <ns0:f>IFERROR(IF(AND(AH!$P$9&lt;&gt;1,$C711&gt;0,$D711&gt;0,$E711&gt;0,$F711&gt;0,$G711&gt;0,$F711&lt;=$A711,$G711&lt;=$A711,$A711-$F711&lt;=10,$A711-$G711&lt;=5),$D711*$E711/$C711-1,NA()),NA())</ns0:f>
        <ns0:v/>
      </ns0:c>
      <ns0:c r="C711">
        <ns0:f>IFERROR(IF(ISNUMBER($A711),IF(AND(AH!$P$10=1,AH!$P$12=1,$A711=TODAY()),AH!$P$19,IF(AH!$P$10=1,INDEX('Live History'!$B$5:$B$3004,AH!$P$13+706),INDEX('AH History'!$B$1:$B$18046,AH!$P$7+706))),NA()),NA())</ns0:f>
        <ns0:v/>
      </ns0:c>
      <ns0:c r="D711">
        <ns0:f>IFERROR(IF(ISNUMBER($A711),IF(AND(AH!$P$10=1,AH!$P$12=1,$A711=TODAY()),AH!$P$18,IF(AH!$P$10=1,INDEX('Live History'!$E$5:$E$3004,MATCH($A711,'Live History'!$D$5:$D$3004,1)),INDEX('AH History'!$C$1:$C$18046,AH!$P$7+706))),NA()),NA())</ns0:f>
        <ns0:v/>
      </ns0:c>
      <ns0:c r="E711">
        <ns0:f>IFERROR(IF(ISNUMBER($A711),IF(AND(AH!$P$10=1,AH!$P$12=1,$A711=TODAY()),AH!$P$20,IF(AH!$P$10=1,INDEX('Live History'!$H$5:$H$3004,MATCH($A711,'Live History'!$G$5:$G$3004,1)),INDEX('AH History'!$D$1:$D$18046,AH!$P$7+706))),NA()),NA())</ns0:f>
        <ns0:v/>
      </ns0:c>
      <ns0:c r="F711">
        <ns0:f>IFERROR(IF(ISNUMBER($A711),IF(AND(AH!$P$10=1,AH!$P$12=1,$A711=TODAY()),IF(AND(AH!$P$10=1,AH!$P$12=1,$A711=TODAY()),TODAY(),NA()),IF(AH!$P$10=1,INDEX('Live History'!$D$5:$D$3004,MATCH($A711,'Live History'!$D$5:$D$3004,1)),INDEX('AH History'!$E$1:$E$18046,AH!$P$7+706))),NA()),NA())</ns0:f>
        <ns0:v/>
      </ns0:c>
      <ns0:c r="G711">
        <ns0:f>IFERROR(IF(ISNUMBER($A711),IF(AND(AH!$P$10=1,AH!$P$12=1,$A711=TODAY()),IF(AND(AH!$P$10=1,AH!$P$12=1,$A711=TODAY()),TODAY(),NA()),IF(AH!$P$10=1,INDEX('Live History'!$G$5:$G$3004,MATCH($A711,'Live History'!$G$5:$G$3004,1)),INDEX('AH History'!$F$1:$F$18046,AH!$P$7+706))),NA()),NA())</ns0:f>
        <ns0:v/>
      </ns0:c>
      <ns0:c r="H711">
        <ns0:f>IFERROR(IF(AND(AH!$E$4="Bloomberg",AH!$P$10=1,ISNUMBER($A711),$A711&lt;=AH!$P$17),AH!$P$7-1+MATCH($A711,INDEX('AH History'!$A$1:$A$18046,AH!$P$7):INDEX('AH History'!$A$1:$A$18046,AH!$P$7+AH!$P$8-1),0),0),0)</ns0:f>
        <ns0:v/>
      </ns0:c>
      <ns0:c r="I711">
        <ns0:f>IF($H711=0,0,IFERROR(IF(AND(ABS($C711-INDEX('AH History'!$B$1:$B$18046,$H711))&lt;=MAX(0.005,ABS(INDEX('AH History'!$B$1:$B$18046,$H711))*0.00005),ABS($D711-INDEX('AH History'!$C$1:$C$18046,$H711))&lt;=MAX(0.005,ABS(INDEX('AH History'!$C$1:$C$18046,$H711))*0.00005),ABS($E711-INDEX('AH History'!$D$1:$D$18046,$H711))&lt;=0.00005,$F711=INDEX('AH History'!$E$1:$E$18046,$H711),$G711=INDEX('AH History'!$F$1:$F$18046,$H711)),1,-1),-1))</ns0:f>
        <ns0:v/>
      </ns0:c>
    </ns0:row>
    <ns0:row r="712">
      <ns0:c r="A712" s="215">
        <ns0:f>IF(OR(AH!$P$3=0,707+1&gt;AH!$P$11,AND(AH!$E$4&lt;&gt;"Stored",AH!$P$10&lt;&gt;1)),"",IFERROR(IF(AND(AH!$P$21=1,707+1=AH!$P$11),TODAY(),IF(AH!$P$10=1,INDEX('Live History'!$A$5:$A$3004,AH!$P$13+707),INDEX('AH History'!$A$1:$A$18046,AH!$P$7+707))),""))</ns0:f>
        <ns0:v/>
      </ns0:c>
      <ns0:c r="B712" s="219">
        <ns0:f>IFERROR(IF(AND(AH!$P$9&lt;&gt;1,$C712&gt;0,$D712&gt;0,$E712&gt;0,$F712&gt;0,$G712&gt;0,$F712&lt;=$A712,$G712&lt;=$A712,$A712-$F712&lt;=10,$A712-$G712&lt;=5),$D712*$E712/$C712-1,NA()),NA())</ns0:f>
        <ns0:v/>
      </ns0:c>
      <ns0:c r="C712">
        <ns0:f>IFERROR(IF(ISNUMBER($A712),IF(AND(AH!$P$10=1,AH!$P$12=1,$A712=TODAY()),AH!$P$19,IF(AH!$P$10=1,INDEX('Live History'!$B$5:$B$3004,AH!$P$13+707),INDEX('AH History'!$B$1:$B$18046,AH!$P$7+707))),NA()),NA())</ns0:f>
        <ns0:v/>
      </ns0:c>
      <ns0:c r="D712">
        <ns0:f>IFERROR(IF(ISNUMBER($A712),IF(AND(AH!$P$10=1,AH!$P$12=1,$A712=TODAY()),AH!$P$18,IF(AH!$P$10=1,INDEX('Live History'!$E$5:$E$3004,MATCH($A712,'Live History'!$D$5:$D$3004,1)),INDEX('AH History'!$C$1:$C$18046,AH!$P$7+707))),NA()),NA())</ns0:f>
        <ns0:v/>
      </ns0:c>
      <ns0:c r="E712">
        <ns0:f>IFERROR(IF(ISNUMBER($A712),IF(AND(AH!$P$10=1,AH!$P$12=1,$A712=TODAY()),AH!$P$20,IF(AH!$P$10=1,INDEX('Live History'!$H$5:$H$3004,MATCH($A712,'Live History'!$G$5:$G$3004,1)),INDEX('AH History'!$D$1:$D$18046,AH!$P$7+707))),NA()),NA())</ns0:f>
        <ns0:v/>
      </ns0:c>
      <ns0:c r="F712">
        <ns0:f>IFERROR(IF(ISNUMBER($A712),IF(AND(AH!$P$10=1,AH!$P$12=1,$A712=TODAY()),IF(AND(AH!$P$10=1,AH!$P$12=1,$A712=TODAY()),TODAY(),NA()),IF(AH!$P$10=1,INDEX('Live History'!$D$5:$D$3004,MATCH($A712,'Live History'!$D$5:$D$3004,1)),INDEX('AH History'!$E$1:$E$18046,AH!$P$7+707))),NA()),NA())</ns0:f>
        <ns0:v/>
      </ns0:c>
      <ns0:c r="G712">
        <ns0:f>IFERROR(IF(ISNUMBER($A712),IF(AND(AH!$P$10=1,AH!$P$12=1,$A712=TODAY()),IF(AND(AH!$P$10=1,AH!$P$12=1,$A712=TODAY()),TODAY(),NA()),IF(AH!$P$10=1,INDEX('Live History'!$G$5:$G$3004,MATCH($A712,'Live History'!$G$5:$G$3004,1)),INDEX('AH History'!$F$1:$F$18046,AH!$P$7+707))),NA()),NA())</ns0:f>
        <ns0:v/>
      </ns0:c>
      <ns0:c r="H712">
        <ns0:f>IFERROR(IF(AND(AH!$E$4="Bloomberg",AH!$P$10=1,ISNUMBER($A712),$A712&lt;=AH!$P$17),AH!$P$7-1+MATCH($A712,INDEX('AH History'!$A$1:$A$18046,AH!$P$7):INDEX('AH History'!$A$1:$A$18046,AH!$P$7+AH!$P$8-1),0),0),0)</ns0:f>
        <ns0:v/>
      </ns0:c>
      <ns0:c r="I712">
        <ns0:f>IF($H712=0,0,IFERROR(IF(AND(ABS($C712-INDEX('AH History'!$B$1:$B$18046,$H712))&lt;=MAX(0.005,ABS(INDEX('AH History'!$B$1:$B$18046,$H712))*0.00005),ABS($D712-INDEX('AH History'!$C$1:$C$18046,$H712))&lt;=MAX(0.005,ABS(INDEX('AH History'!$C$1:$C$18046,$H712))*0.00005),ABS($E712-INDEX('AH History'!$D$1:$D$18046,$H712))&lt;=0.00005,$F712=INDEX('AH History'!$E$1:$E$18046,$H712),$G712=INDEX('AH History'!$F$1:$F$18046,$H712)),1,-1),-1))</ns0:f>
        <ns0:v/>
      </ns0:c>
    </ns0:row>
    <ns0:row r="713">
      <ns0:c r="A713" s="215">
        <ns0:f>IF(OR(AH!$P$3=0,708+1&gt;AH!$P$11,AND(AH!$E$4&lt;&gt;"Stored",AH!$P$10&lt;&gt;1)),"",IFERROR(IF(AND(AH!$P$21=1,708+1=AH!$P$11),TODAY(),IF(AH!$P$10=1,INDEX('Live History'!$A$5:$A$3004,AH!$P$13+708),INDEX('AH History'!$A$1:$A$18046,AH!$P$7+708))),""))</ns0:f>
        <ns0:v/>
      </ns0:c>
      <ns0:c r="B713" s="219">
        <ns0:f>IFERROR(IF(AND(AH!$P$9&lt;&gt;1,$C713&gt;0,$D713&gt;0,$E713&gt;0,$F713&gt;0,$G713&gt;0,$F713&lt;=$A713,$G713&lt;=$A713,$A713-$F713&lt;=10,$A713-$G713&lt;=5),$D713*$E713/$C713-1,NA()),NA())</ns0:f>
        <ns0:v/>
      </ns0:c>
      <ns0:c r="C713">
        <ns0:f>IFERROR(IF(ISNUMBER($A713),IF(AND(AH!$P$10=1,AH!$P$12=1,$A713=TODAY()),AH!$P$19,IF(AH!$P$10=1,INDEX('Live History'!$B$5:$B$3004,AH!$P$13+708),INDEX('AH History'!$B$1:$B$18046,AH!$P$7+708))),NA()),NA())</ns0:f>
        <ns0:v/>
      </ns0:c>
      <ns0:c r="D713">
        <ns0:f>IFERROR(IF(ISNUMBER($A713),IF(AND(AH!$P$10=1,AH!$P$12=1,$A713=TODAY()),AH!$P$18,IF(AH!$P$10=1,INDEX('Live History'!$E$5:$E$3004,MATCH($A713,'Live History'!$D$5:$D$3004,1)),INDEX('AH History'!$C$1:$C$18046,AH!$P$7+708))),NA()),NA())</ns0:f>
        <ns0:v/>
      </ns0:c>
      <ns0:c r="E713">
        <ns0:f>IFERROR(IF(ISNUMBER($A713),IF(AND(AH!$P$10=1,AH!$P$12=1,$A713=TODAY()),AH!$P$20,IF(AH!$P$10=1,INDEX('Live History'!$H$5:$H$3004,MATCH($A713,'Live History'!$G$5:$G$3004,1)),INDEX('AH History'!$D$1:$D$18046,AH!$P$7+708))),NA()),NA())</ns0:f>
        <ns0:v/>
      </ns0:c>
      <ns0:c r="F713">
        <ns0:f>IFERROR(IF(ISNUMBER($A713),IF(AND(AH!$P$10=1,AH!$P$12=1,$A713=TODAY()),IF(AND(AH!$P$10=1,AH!$P$12=1,$A713=TODAY()),TODAY(),NA()),IF(AH!$P$10=1,INDEX('Live History'!$D$5:$D$3004,MATCH($A713,'Live History'!$D$5:$D$3004,1)),INDEX('AH History'!$E$1:$E$18046,AH!$P$7+708))),NA()),NA())</ns0:f>
        <ns0:v/>
      </ns0:c>
      <ns0:c r="G713">
        <ns0:f>IFERROR(IF(ISNUMBER($A713),IF(AND(AH!$P$10=1,AH!$P$12=1,$A713=TODAY()),IF(AND(AH!$P$10=1,AH!$P$12=1,$A713=TODAY()),TODAY(),NA()),IF(AH!$P$10=1,INDEX('Live History'!$G$5:$G$3004,MATCH($A713,'Live History'!$G$5:$G$3004,1)),INDEX('AH History'!$F$1:$F$18046,AH!$P$7+708))),NA()),NA())</ns0:f>
        <ns0:v/>
      </ns0:c>
      <ns0:c r="H713">
        <ns0:f>IFERROR(IF(AND(AH!$E$4="Bloomberg",AH!$P$10=1,ISNUMBER($A713),$A713&lt;=AH!$P$17),AH!$P$7-1+MATCH($A713,INDEX('AH History'!$A$1:$A$18046,AH!$P$7):INDEX('AH History'!$A$1:$A$18046,AH!$P$7+AH!$P$8-1),0),0),0)</ns0:f>
        <ns0:v/>
      </ns0:c>
      <ns0:c r="I713">
        <ns0:f>IF($H713=0,0,IFERROR(IF(AND(ABS($C713-INDEX('AH History'!$B$1:$B$18046,$H713))&lt;=MAX(0.005,ABS(INDEX('AH History'!$B$1:$B$18046,$H713))*0.00005),ABS($D713-INDEX('AH History'!$C$1:$C$18046,$H713))&lt;=MAX(0.005,ABS(INDEX('AH History'!$C$1:$C$18046,$H713))*0.00005),ABS($E713-INDEX('AH History'!$D$1:$D$18046,$H713))&lt;=0.00005,$F713=INDEX('AH History'!$E$1:$E$18046,$H713),$G713=INDEX('AH History'!$F$1:$F$18046,$H713)),1,-1),-1))</ns0:f>
        <ns0:v/>
      </ns0:c>
    </ns0:row>
    <ns0:row r="714">
      <ns0:c r="A714" s="215">
        <ns0:f>IF(OR(AH!$P$3=0,709+1&gt;AH!$P$11,AND(AH!$E$4&lt;&gt;"Stored",AH!$P$10&lt;&gt;1)),"",IFERROR(IF(AND(AH!$P$21=1,709+1=AH!$P$11),TODAY(),IF(AH!$P$10=1,INDEX('Live History'!$A$5:$A$3004,AH!$P$13+709),INDEX('AH History'!$A$1:$A$18046,AH!$P$7+709))),""))</ns0:f>
        <ns0:v/>
      </ns0:c>
      <ns0:c r="B714" s="219">
        <ns0:f>IFERROR(IF(AND(AH!$P$9&lt;&gt;1,$C714&gt;0,$D714&gt;0,$E714&gt;0,$F714&gt;0,$G714&gt;0,$F714&lt;=$A714,$G714&lt;=$A714,$A714-$F714&lt;=10,$A714-$G714&lt;=5),$D714*$E714/$C714-1,NA()),NA())</ns0:f>
        <ns0:v/>
      </ns0:c>
      <ns0:c r="C714">
        <ns0:f>IFERROR(IF(ISNUMBER($A714),IF(AND(AH!$P$10=1,AH!$P$12=1,$A714=TODAY()),AH!$P$19,IF(AH!$P$10=1,INDEX('Live History'!$B$5:$B$3004,AH!$P$13+709),INDEX('AH History'!$B$1:$B$18046,AH!$P$7+709))),NA()),NA())</ns0:f>
        <ns0:v/>
      </ns0:c>
      <ns0:c r="D714">
        <ns0:f>IFERROR(IF(ISNUMBER($A714),IF(AND(AH!$P$10=1,AH!$P$12=1,$A714=TODAY()),AH!$P$18,IF(AH!$P$10=1,INDEX('Live History'!$E$5:$E$3004,MATCH($A714,'Live History'!$D$5:$D$3004,1)),INDEX('AH History'!$C$1:$C$18046,AH!$P$7+709))),NA()),NA())</ns0:f>
        <ns0:v/>
      </ns0:c>
      <ns0:c r="E714">
        <ns0:f>IFERROR(IF(ISNUMBER($A714),IF(AND(AH!$P$10=1,AH!$P$12=1,$A714=TODAY()),AH!$P$20,IF(AH!$P$10=1,INDEX('Live History'!$H$5:$H$3004,MATCH($A714,'Live History'!$G$5:$G$3004,1)),INDEX('AH History'!$D$1:$D$18046,AH!$P$7+709))),NA()),NA())</ns0:f>
        <ns0:v/>
      </ns0:c>
      <ns0:c r="F714">
        <ns0:f>IFERROR(IF(ISNUMBER($A714),IF(AND(AH!$P$10=1,AH!$P$12=1,$A714=TODAY()),IF(AND(AH!$P$10=1,AH!$P$12=1,$A714=TODAY()),TODAY(),NA()),IF(AH!$P$10=1,INDEX('Live History'!$D$5:$D$3004,MATCH($A714,'Live History'!$D$5:$D$3004,1)),INDEX('AH History'!$E$1:$E$18046,AH!$P$7+709))),NA()),NA())</ns0:f>
        <ns0:v/>
      </ns0:c>
      <ns0:c r="G714">
        <ns0:f>IFERROR(IF(ISNUMBER($A714),IF(AND(AH!$P$10=1,AH!$P$12=1,$A714=TODAY()),IF(AND(AH!$P$10=1,AH!$P$12=1,$A714=TODAY()),TODAY(),NA()),IF(AH!$P$10=1,INDEX('Live History'!$G$5:$G$3004,MATCH($A714,'Live History'!$G$5:$G$3004,1)),INDEX('AH History'!$F$1:$F$18046,AH!$P$7+709))),NA()),NA())</ns0:f>
        <ns0:v/>
      </ns0:c>
      <ns0:c r="H714">
        <ns0:f>IFERROR(IF(AND(AH!$E$4="Bloomberg",AH!$P$10=1,ISNUMBER($A714),$A714&lt;=AH!$P$17),AH!$P$7-1+MATCH($A714,INDEX('AH History'!$A$1:$A$18046,AH!$P$7):INDEX('AH History'!$A$1:$A$18046,AH!$P$7+AH!$P$8-1),0),0),0)</ns0:f>
        <ns0:v/>
      </ns0:c>
      <ns0:c r="I714">
        <ns0:f>IF($H714=0,0,IFERROR(IF(AND(ABS($C714-INDEX('AH History'!$B$1:$B$18046,$H714))&lt;=MAX(0.005,ABS(INDEX('AH History'!$B$1:$B$18046,$H714))*0.00005),ABS($D714-INDEX('AH History'!$C$1:$C$18046,$H714))&lt;=MAX(0.005,ABS(INDEX('AH History'!$C$1:$C$18046,$H714))*0.00005),ABS($E714-INDEX('AH History'!$D$1:$D$18046,$H714))&lt;=0.00005,$F714=INDEX('AH History'!$E$1:$E$18046,$H714),$G714=INDEX('AH History'!$F$1:$F$18046,$H714)),1,-1),-1))</ns0:f>
        <ns0:v/>
      </ns0:c>
    </ns0:row>
    <ns0:row r="715">
      <ns0:c r="A715" s="215">
        <ns0:f>IF(OR(AH!$P$3=0,710+1&gt;AH!$P$11,AND(AH!$E$4&lt;&gt;"Stored",AH!$P$10&lt;&gt;1)),"",IFERROR(IF(AND(AH!$P$21=1,710+1=AH!$P$11),TODAY(),IF(AH!$P$10=1,INDEX('Live History'!$A$5:$A$3004,AH!$P$13+710),INDEX('AH History'!$A$1:$A$18046,AH!$P$7+710))),""))</ns0:f>
        <ns0:v/>
      </ns0:c>
      <ns0:c r="B715" s="219">
        <ns0:f>IFERROR(IF(AND(AH!$P$9&lt;&gt;1,$C715&gt;0,$D715&gt;0,$E715&gt;0,$F715&gt;0,$G715&gt;0,$F715&lt;=$A715,$G715&lt;=$A715,$A715-$F715&lt;=10,$A715-$G715&lt;=5),$D715*$E715/$C715-1,NA()),NA())</ns0:f>
        <ns0:v/>
      </ns0:c>
      <ns0:c r="C715">
        <ns0:f>IFERROR(IF(ISNUMBER($A715),IF(AND(AH!$P$10=1,AH!$P$12=1,$A715=TODAY()),AH!$P$19,IF(AH!$P$10=1,INDEX('Live History'!$B$5:$B$3004,AH!$P$13+710),INDEX('AH History'!$B$1:$B$18046,AH!$P$7+710))),NA()),NA())</ns0:f>
        <ns0:v/>
      </ns0:c>
      <ns0:c r="D715">
        <ns0:f>IFERROR(IF(ISNUMBER($A715),IF(AND(AH!$P$10=1,AH!$P$12=1,$A715=TODAY()),AH!$P$18,IF(AH!$P$10=1,INDEX('Live History'!$E$5:$E$3004,MATCH($A715,'Live History'!$D$5:$D$3004,1)),INDEX('AH History'!$C$1:$C$18046,AH!$P$7+710))),NA()),NA())</ns0:f>
        <ns0:v/>
      </ns0:c>
      <ns0:c r="E715">
        <ns0:f>IFERROR(IF(ISNUMBER($A715),IF(AND(AH!$P$10=1,AH!$P$12=1,$A715=TODAY()),AH!$P$20,IF(AH!$P$10=1,INDEX('Live History'!$H$5:$H$3004,MATCH($A715,'Live History'!$G$5:$G$3004,1)),INDEX('AH History'!$D$1:$D$18046,AH!$P$7+710))),NA()),NA())</ns0:f>
        <ns0:v/>
      </ns0:c>
      <ns0:c r="F715">
        <ns0:f>IFERROR(IF(ISNUMBER($A715),IF(AND(AH!$P$10=1,AH!$P$12=1,$A715=TODAY()),IF(AND(AH!$P$10=1,AH!$P$12=1,$A715=TODAY()),TODAY(),NA()),IF(AH!$P$10=1,INDEX('Live History'!$D$5:$D$3004,MATCH($A715,'Live History'!$D$5:$D$3004,1)),INDEX('AH History'!$E$1:$E$18046,AH!$P$7+710))),NA()),NA())</ns0:f>
        <ns0:v/>
      </ns0:c>
      <ns0:c r="G715">
        <ns0:f>IFERROR(IF(ISNUMBER($A715),IF(AND(AH!$P$10=1,AH!$P$12=1,$A715=TODAY()),IF(AND(AH!$P$10=1,AH!$P$12=1,$A715=TODAY()),TODAY(),NA()),IF(AH!$P$10=1,INDEX('Live History'!$G$5:$G$3004,MATCH($A715,'Live History'!$G$5:$G$3004,1)),INDEX('AH History'!$F$1:$F$18046,AH!$P$7+710))),NA()),NA())</ns0:f>
        <ns0:v/>
      </ns0:c>
      <ns0:c r="H715">
        <ns0:f>IFERROR(IF(AND(AH!$E$4="Bloomberg",AH!$P$10=1,ISNUMBER($A715),$A715&lt;=AH!$P$17),AH!$P$7-1+MATCH($A715,INDEX('AH History'!$A$1:$A$18046,AH!$P$7):INDEX('AH History'!$A$1:$A$18046,AH!$P$7+AH!$P$8-1),0),0),0)</ns0:f>
        <ns0:v/>
      </ns0:c>
      <ns0:c r="I715">
        <ns0:f>IF($H715=0,0,IFERROR(IF(AND(ABS($C715-INDEX('AH History'!$B$1:$B$18046,$H715))&lt;=MAX(0.005,ABS(INDEX('AH History'!$B$1:$B$18046,$H715))*0.00005),ABS($D715-INDEX('AH History'!$C$1:$C$18046,$H715))&lt;=MAX(0.005,ABS(INDEX('AH History'!$C$1:$C$18046,$H715))*0.00005),ABS($E715-INDEX('AH History'!$D$1:$D$18046,$H715))&lt;=0.00005,$F715=INDEX('AH History'!$E$1:$E$18046,$H715),$G715=INDEX('AH History'!$F$1:$F$18046,$H715)),1,-1),-1))</ns0:f>
        <ns0:v/>
      </ns0:c>
    </ns0:row>
    <ns0:row r="716">
      <ns0:c r="A716" s="215">
        <ns0:f>IF(OR(AH!$P$3=0,711+1&gt;AH!$P$11,AND(AH!$E$4&lt;&gt;"Stored",AH!$P$10&lt;&gt;1)),"",IFERROR(IF(AND(AH!$P$21=1,711+1=AH!$P$11),TODAY(),IF(AH!$P$10=1,INDEX('Live History'!$A$5:$A$3004,AH!$P$13+711),INDEX('AH History'!$A$1:$A$18046,AH!$P$7+711))),""))</ns0:f>
        <ns0:v/>
      </ns0:c>
      <ns0:c r="B716" s="219">
        <ns0:f>IFERROR(IF(AND(AH!$P$9&lt;&gt;1,$C716&gt;0,$D716&gt;0,$E716&gt;0,$F716&gt;0,$G716&gt;0,$F716&lt;=$A716,$G716&lt;=$A716,$A716-$F716&lt;=10,$A716-$G716&lt;=5),$D716*$E716/$C716-1,NA()),NA())</ns0:f>
        <ns0:v/>
      </ns0:c>
      <ns0:c r="C716">
        <ns0:f>IFERROR(IF(ISNUMBER($A716),IF(AND(AH!$P$10=1,AH!$P$12=1,$A716=TODAY()),AH!$P$19,IF(AH!$P$10=1,INDEX('Live History'!$B$5:$B$3004,AH!$P$13+711),INDEX('AH History'!$B$1:$B$18046,AH!$P$7+711))),NA()),NA())</ns0:f>
        <ns0:v/>
      </ns0:c>
      <ns0:c r="D716">
        <ns0:f>IFERROR(IF(ISNUMBER($A716),IF(AND(AH!$P$10=1,AH!$P$12=1,$A716=TODAY()),AH!$P$18,IF(AH!$P$10=1,INDEX('Live History'!$E$5:$E$3004,MATCH($A716,'Live History'!$D$5:$D$3004,1)),INDEX('AH History'!$C$1:$C$18046,AH!$P$7+711))),NA()),NA())</ns0:f>
        <ns0:v/>
      </ns0:c>
      <ns0:c r="E716">
        <ns0:f>IFERROR(IF(ISNUMBER($A716),IF(AND(AH!$P$10=1,AH!$P$12=1,$A716=TODAY()),AH!$P$20,IF(AH!$P$10=1,INDEX('Live History'!$H$5:$H$3004,MATCH($A716,'Live History'!$G$5:$G$3004,1)),INDEX('AH History'!$D$1:$D$18046,AH!$P$7+711))),NA()),NA())</ns0:f>
        <ns0:v/>
      </ns0:c>
      <ns0:c r="F716">
        <ns0:f>IFERROR(IF(ISNUMBER($A716),IF(AND(AH!$P$10=1,AH!$P$12=1,$A716=TODAY()),IF(AND(AH!$P$10=1,AH!$P$12=1,$A716=TODAY()),TODAY(),NA()),IF(AH!$P$10=1,INDEX('Live History'!$D$5:$D$3004,MATCH($A716,'Live History'!$D$5:$D$3004,1)),INDEX('AH History'!$E$1:$E$18046,AH!$P$7+711))),NA()),NA())</ns0:f>
        <ns0:v/>
      </ns0:c>
      <ns0:c r="G716">
        <ns0:f>IFERROR(IF(ISNUMBER($A716),IF(AND(AH!$P$10=1,AH!$P$12=1,$A716=TODAY()),IF(AND(AH!$P$10=1,AH!$P$12=1,$A716=TODAY()),TODAY(),NA()),IF(AH!$P$10=1,INDEX('Live History'!$G$5:$G$3004,MATCH($A716,'Live History'!$G$5:$G$3004,1)),INDEX('AH History'!$F$1:$F$18046,AH!$P$7+711))),NA()),NA())</ns0:f>
        <ns0:v/>
      </ns0:c>
      <ns0:c r="H716">
        <ns0:f>IFERROR(IF(AND(AH!$E$4="Bloomberg",AH!$P$10=1,ISNUMBER($A716),$A716&lt;=AH!$P$17),AH!$P$7-1+MATCH($A716,INDEX('AH History'!$A$1:$A$18046,AH!$P$7):INDEX('AH History'!$A$1:$A$18046,AH!$P$7+AH!$P$8-1),0),0),0)</ns0:f>
        <ns0:v/>
      </ns0:c>
      <ns0:c r="I716">
        <ns0:f>IF($H716=0,0,IFERROR(IF(AND(ABS($C716-INDEX('AH History'!$B$1:$B$18046,$H716))&lt;=MAX(0.005,ABS(INDEX('AH History'!$B$1:$B$18046,$H716))*0.00005),ABS($D716-INDEX('AH History'!$C$1:$C$18046,$H716))&lt;=MAX(0.005,ABS(INDEX('AH History'!$C$1:$C$18046,$H716))*0.00005),ABS($E716-INDEX('AH History'!$D$1:$D$18046,$H716))&lt;=0.00005,$F716=INDEX('AH History'!$E$1:$E$18046,$H716),$G716=INDEX('AH History'!$F$1:$F$18046,$H716)),1,-1),-1))</ns0:f>
        <ns0:v/>
      </ns0:c>
    </ns0:row>
    <ns0:row r="717">
      <ns0:c r="A717" s="215">
        <ns0:f>IF(OR(AH!$P$3=0,712+1&gt;AH!$P$11,AND(AH!$E$4&lt;&gt;"Stored",AH!$P$10&lt;&gt;1)),"",IFERROR(IF(AND(AH!$P$21=1,712+1=AH!$P$11),TODAY(),IF(AH!$P$10=1,INDEX('Live History'!$A$5:$A$3004,AH!$P$13+712),INDEX('AH History'!$A$1:$A$18046,AH!$P$7+712))),""))</ns0:f>
        <ns0:v/>
      </ns0:c>
      <ns0:c r="B717" s="219">
        <ns0:f>IFERROR(IF(AND(AH!$P$9&lt;&gt;1,$C717&gt;0,$D717&gt;0,$E717&gt;0,$F717&gt;0,$G717&gt;0,$F717&lt;=$A717,$G717&lt;=$A717,$A717-$F717&lt;=10,$A717-$G717&lt;=5),$D717*$E717/$C717-1,NA()),NA())</ns0:f>
        <ns0:v/>
      </ns0:c>
      <ns0:c r="C717">
        <ns0:f>IFERROR(IF(ISNUMBER($A717),IF(AND(AH!$P$10=1,AH!$P$12=1,$A717=TODAY()),AH!$P$19,IF(AH!$P$10=1,INDEX('Live History'!$B$5:$B$3004,AH!$P$13+712),INDEX('AH History'!$B$1:$B$18046,AH!$P$7+712))),NA()),NA())</ns0:f>
        <ns0:v/>
      </ns0:c>
      <ns0:c r="D717">
        <ns0:f>IFERROR(IF(ISNUMBER($A717),IF(AND(AH!$P$10=1,AH!$P$12=1,$A717=TODAY()),AH!$P$18,IF(AH!$P$10=1,INDEX('Live History'!$E$5:$E$3004,MATCH($A717,'Live History'!$D$5:$D$3004,1)),INDEX('AH History'!$C$1:$C$18046,AH!$P$7+712))),NA()),NA())</ns0:f>
        <ns0:v/>
      </ns0:c>
      <ns0:c r="E717">
        <ns0:f>IFERROR(IF(ISNUMBER($A717),IF(AND(AH!$P$10=1,AH!$P$12=1,$A717=TODAY()),AH!$P$20,IF(AH!$P$10=1,INDEX('Live History'!$H$5:$H$3004,MATCH($A717,'Live History'!$G$5:$G$3004,1)),INDEX('AH History'!$D$1:$D$18046,AH!$P$7+712))),NA()),NA())</ns0:f>
        <ns0:v/>
      </ns0:c>
      <ns0:c r="F717">
        <ns0:f>IFERROR(IF(ISNUMBER($A717),IF(AND(AH!$P$10=1,AH!$P$12=1,$A717=TODAY()),IF(AND(AH!$P$10=1,AH!$P$12=1,$A717=TODAY()),TODAY(),NA()),IF(AH!$P$10=1,INDEX('Live History'!$D$5:$D$3004,MATCH($A717,'Live History'!$D$5:$D$3004,1)),INDEX('AH History'!$E$1:$E$18046,AH!$P$7+712))),NA()),NA())</ns0:f>
        <ns0:v/>
      </ns0:c>
      <ns0:c r="G717">
        <ns0:f>IFERROR(IF(ISNUMBER($A717),IF(AND(AH!$P$10=1,AH!$P$12=1,$A717=TODAY()),IF(AND(AH!$P$10=1,AH!$P$12=1,$A717=TODAY()),TODAY(),NA()),IF(AH!$P$10=1,INDEX('Live History'!$G$5:$G$3004,MATCH($A717,'Live History'!$G$5:$G$3004,1)),INDEX('AH History'!$F$1:$F$18046,AH!$P$7+712))),NA()),NA())</ns0:f>
        <ns0:v/>
      </ns0:c>
      <ns0:c r="H717">
        <ns0:f>IFERROR(IF(AND(AH!$E$4="Bloomberg",AH!$P$10=1,ISNUMBER($A717),$A717&lt;=AH!$P$17),AH!$P$7-1+MATCH($A717,INDEX('AH History'!$A$1:$A$18046,AH!$P$7):INDEX('AH History'!$A$1:$A$18046,AH!$P$7+AH!$P$8-1),0),0),0)</ns0:f>
        <ns0:v/>
      </ns0:c>
      <ns0:c r="I717">
        <ns0:f>IF($H717=0,0,IFERROR(IF(AND(ABS($C717-INDEX('AH History'!$B$1:$B$18046,$H717))&lt;=MAX(0.005,ABS(INDEX('AH History'!$B$1:$B$18046,$H717))*0.00005),ABS($D717-INDEX('AH History'!$C$1:$C$18046,$H717))&lt;=MAX(0.005,ABS(INDEX('AH History'!$C$1:$C$18046,$H717))*0.00005),ABS($E717-INDEX('AH History'!$D$1:$D$18046,$H717))&lt;=0.00005,$F717=INDEX('AH History'!$E$1:$E$18046,$H717),$G717=INDEX('AH History'!$F$1:$F$18046,$H717)),1,-1),-1))</ns0:f>
        <ns0:v/>
      </ns0:c>
    </ns0:row>
    <ns0:row r="718">
      <ns0:c r="A718" s="215">
        <ns0:f>IF(OR(AH!$P$3=0,713+1&gt;AH!$P$11,AND(AH!$E$4&lt;&gt;"Stored",AH!$P$10&lt;&gt;1)),"",IFERROR(IF(AND(AH!$P$21=1,713+1=AH!$P$11),TODAY(),IF(AH!$P$10=1,INDEX('Live History'!$A$5:$A$3004,AH!$P$13+713),INDEX('AH History'!$A$1:$A$18046,AH!$P$7+713))),""))</ns0:f>
        <ns0:v/>
      </ns0:c>
      <ns0:c r="B718" s="219">
        <ns0:f>IFERROR(IF(AND(AH!$P$9&lt;&gt;1,$C718&gt;0,$D718&gt;0,$E718&gt;0,$F718&gt;0,$G718&gt;0,$F718&lt;=$A718,$G718&lt;=$A718,$A718-$F718&lt;=10,$A718-$G718&lt;=5),$D718*$E718/$C718-1,NA()),NA())</ns0:f>
        <ns0:v/>
      </ns0:c>
      <ns0:c r="C718">
        <ns0:f>IFERROR(IF(ISNUMBER($A718),IF(AND(AH!$P$10=1,AH!$P$12=1,$A718=TODAY()),AH!$P$19,IF(AH!$P$10=1,INDEX('Live History'!$B$5:$B$3004,AH!$P$13+713),INDEX('AH History'!$B$1:$B$18046,AH!$P$7+713))),NA()),NA())</ns0:f>
        <ns0:v/>
      </ns0:c>
      <ns0:c r="D718">
        <ns0:f>IFERROR(IF(ISNUMBER($A718),IF(AND(AH!$P$10=1,AH!$P$12=1,$A718=TODAY()),AH!$P$18,IF(AH!$P$10=1,INDEX('Live History'!$E$5:$E$3004,MATCH($A718,'Live History'!$D$5:$D$3004,1)),INDEX('AH History'!$C$1:$C$18046,AH!$P$7+713))),NA()),NA())</ns0:f>
        <ns0:v/>
      </ns0:c>
      <ns0:c r="E718">
        <ns0:f>IFERROR(IF(ISNUMBER($A718),IF(AND(AH!$P$10=1,AH!$P$12=1,$A718=TODAY()),AH!$P$20,IF(AH!$P$10=1,INDEX('Live History'!$H$5:$H$3004,MATCH($A718,'Live History'!$G$5:$G$3004,1)),INDEX('AH History'!$D$1:$D$18046,AH!$P$7+713))),NA()),NA())</ns0:f>
        <ns0:v/>
      </ns0:c>
      <ns0:c r="F718">
        <ns0:f>IFERROR(IF(ISNUMBER($A718),IF(AND(AH!$P$10=1,AH!$P$12=1,$A718=TODAY()),IF(AND(AH!$P$10=1,AH!$P$12=1,$A718=TODAY()),TODAY(),NA()),IF(AH!$P$10=1,INDEX('Live History'!$D$5:$D$3004,MATCH($A718,'Live History'!$D$5:$D$3004,1)),INDEX('AH History'!$E$1:$E$18046,AH!$P$7+713))),NA()),NA())</ns0:f>
        <ns0:v/>
      </ns0:c>
      <ns0:c r="G718">
        <ns0:f>IFERROR(IF(ISNUMBER($A718),IF(AND(AH!$P$10=1,AH!$P$12=1,$A718=TODAY()),IF(AND(AH!$P$10=1,AH!$P$12=1,$A718=TODAY()),TODAY(),NA()),IF(AH!$P$10=1,INDEX('Live History'!$G$5:$G$3004,MATCH($A718,'Live History'!$G$5:$G$3004,1)),INDEX('AH History'!$F$1:$F$18046,AH!$P$7+713))),NA()),NA())</ns0:f>
        <ns0:v/>
      </ns0:c>
      <ns0:c r="H718">
        <ns0:f>IFERROR(IF(AND(AH!$E$4="Bloomberg",AH!$P$10=1,ISNUMBER($A718),$A718&lt;=AH!$P$17),AH!$P$7-1+MATCH($A718,INDEX('AH History'!$A$1:$A$18046,AH!$P$7):INDEX('AH History'!$A$1:$A$18046,AH!$P$7+AH!$P$8-1),0),0),0)</ns0:f>
        <ns0:v/>
      </ns0:c>
      <ns0:c r="I718">
        <ns0:f>IF($H718=0,0,IFERROR(IF(AND(ABS($C718-INDEX('AH History'!$B$1:$B$18046,$H718))&lt;=MAX(0.005,ABS(INDEX('AH History'!$B$1:$B$18046,$H718))*0.00005),ABS($D718-INDEX('AH History'!$C$1:$C$18046,$H718))&lt;=MAX(0.005,ABS(INDEX('AH History'!$C$1:$C$18046,$H718))*0.00005),ABS($E718-INDEX('AH History'!$D$1:$D$18046,$H718))&lt;=0.00005,$F718=INDEX('AH History'!$E$1:$E$18046,$H718),$G718=INDEX('AH History'!$F$1:$F$18046,$H718)),1,-1),-1))</ns0:f>
        <ns0:v/>
      </ns0:c>
    </ns0:row>
    <ns0:row r="719">
      <ns0:c r="A719" s="215">
        <ns0:f>IF(OR(AH!$P$3=0,714+1&gt;AH!$P$11,AND(AH!$E$4&lt;&gt;"Stored",AH!$P$10&lt;&gt;1)),"",IFERROR(IF(AND(AH!$P$21=1,714+1=AH!$P$11),TODAY(),IF(AH!$P$10=1,INDEX('Live History'!$A$5:$A$3004,AH!$P$13+714),INDEX('AH History'!$A$1:$A$18046,AH!$P$7+714))),""))</ns0:f>
        <ns0:v/>
      </ns0:c>
      <ns0:c r="B719" s="219">
        <ns0:f>IFERROR(IF(AND(AH!$P$9&lt;&gt;1,$C719&gt;0,$D719&gt;0,$E719&gt;0,$F719&gt;0,$G719&gt;0,$F719&lt;=$A719,$G719&lt;=$A719,$A719-$F719&lt;=10,$A719-$G719&lt;=5),$D719*$E719/$C719-1,NA()),NA())</ns0:f>
        <ns0:v/>
      </ns0:c>
      <ns0:c r="C719">
        <ns0:f>IFERROR(IF(ISNUMBER($A719),IF(AND(AH!$P$10=1,AH!$P$12=1,$A719=TODAY()),AH!$P$19,IF(AH!$P$10=1,INDEX('Live History'!$B$5:$B$3004,AH!$P$13+714),INDEX('AH History'!$B$1:$B$18046,AH!$P$7+714))),NA()),NA())</ns0:f>
        <ns0:v/>
      </ns0:c>
      <ns0:c r="D719">
        <ns0:f>IFERROR(IF(ISNUMBER($A719),IF(AND(AH!$P$10=1,AH!$P$12=1,$A719=TODAY()),AH!$P$18,IF(AH!$P$10=1,INDEX('Live History'!$E$5:$E$3004,MATCH($A719,'Live History'!$D$5:$D$3004,1)),INDEX('AH History'!$C$1:$C$18046,AH!$P$7+714))),NA()),NA())</ns0:f>
        <ns0:v/>
      </ns0:c>
      <ns0:c r="E719">
        <ns0:f>IFERROR(IF(ISNUMBER($A719),IF(AND(AH!$P$10=1,AH!$P$12=1,$A719=TODAY()),AH!$P$20,IF(AH!$P$10=1,INDEX('Live History'!$H$5:$H$3004,MATCH($A719,'Live History'!$G$5:$G$3004,1)),INDEX('AH History'!$D$1:$D$18046,AH!$P$7+714))),NA()),NA())</ns0:f>
        <ns0:v/>
      </ns0:c>
      <ns0:c r="F719">
        <ns0:f>IFERROR(IF(ISNUMBER($A719),IF(AND(AH!$P$10=1,AH!$P$12=1,$A719=TODAY()),IF(AND(AH!$P$10=1,AH!$P$12=1,$A719=TODAY()),TODAY(),NA()),IF(AH!$P$10=1,INDEX('Live History'!$D$5:$D$3004,MATCH($A719,'Live History'!$D$5:$D$3004,1)),INDEX('AH History'!$E$1:$E$18046,AH!$P$7+714))),NA()),NA())</ns0:f>
        <ns0:v/>
      </ns0:c>
      <ns0:c r="G719">
        <ns0:f>IFERROR(IF(ISNUMBER($A719),IF(AND(AH!$P$10=1,AH!$P$12=1,$A719=TODAY()),IF(AND(AH!$P$10=1,AH!$P$12=1,$A719=TODAY()),TODAY(),NA()),IF(AH!$P$10=1,INDEX('Live History'!$G$5:$G$3004,MATCH($A719,'Live History'!$G$5:$G$3004,1)),INDEX('AH History'!$F$1:$F$18046,AH!$P$7+714))),NA()),NA())</ns0:f>
        <ns0:v/>
      </ns0:c>
      <ns0:c r="H719">
        <ns0:f>IFERROR(IF(AND(AH!$E$4="Bloomberg",AH!$P$10=1,ISNUMBER($A719),$A719&lt;=AH!$P$17),AH!$P$7-1+MATCH($A719,INDEX('AH History'!$A$1:$A$18046,AH!$P$7):INDEX('AH History'!$A$1:$A$18046,AH!$P$7+AH!$P$8-1),0),0),0)</ns0:f>
        <ns0:v/>
      </ns0:c>
      <ns0:c r="I719">
        <ns0:f>IF($H719=0,0,IFERROR(IF(AND(ABS($C719-INDEX('AH History'!$B$1:$B$18046,$H719))&lt;=MAX(0.005,ABS(INDEX('AH History'!$B$1:$B$18046,$H719))*0.00005),ABS($D719-INDEX('AH History'!$C$1:$C$18046,$H719))&lt;=MAX(0.005,ABS(INDEX('AH History'!$C$1:$C$18046,$H719))*0.00005),ABS($E719-INDEX('AH History'!$D$1:$D$18046,$H719))&lt;=0.00005,$F719=INDEX('AH History'!$E$1:$E$18046,$H719),$G719=INDEX('AH History'!$F$1:$F$18046,$H719)),1,-1),-1))</ns0:f>
        <ns0:v/>
      </ns0:c>
    </ns0:row>
    <ns0:row r="720">
      <ns0:c r="A720" s="215">
        <ns0:f>IF(OR(AH!$P$3=0,715+1&gt;AH!$P$11,AND(AH!$E$4&lt;&gt;"Stored",AH!$P$10&lt;&gt;1)),"",IFERROR(IF(AND(AH!$P$21=1,715+1=AH!$P$11),TODAY(),IF(AH!$P$10=1,INDEX('Live History'!$A$5:$A$3004,AH!$P$13+715),INDEX('AH History'!$A$1:$A$18046,AH!$P$7+715))),""))</ns0:f>
        <ns0:v/>
      </ns0:c>
      <ns0:c r="B720" s="219">
        <ns0:f>IFERROR(IF(AND(AH!$P$9&lt;&gt;1,$C720&gt;0,$D720&gt;0,$E720&gt;0,$F720&gt;0,$G720&gt;0,$F720&lt;=$A720,$G720&lt;=$A720,$A720-$F720&lt;=10,$A720-$G720&lt;=5),$D720*$E720/$C720-1,NA()),NA())</ns0:f>
        <ns0:v/>
      </ns0:c>
      <ns0:c r="C720">
        <ns0:f>IFERROR(IF(ISNUMBER($A720),IF(AND(AH!$P$10=1,AH!$P$12=1,$A720=TODAY()),AH!$P$19,IF(AH!$P$10=1,INDEX('Live History'!$B$5:$B$3004,AH!$P$13+715),INDEX('AH History'!$B$1:$B$18046,AH!$P$7+715))),NA()),NA())</ns0:f>
        <ns0:v/>
      </ns0:c>
      <ns0:c r="D720">
        <ns0:f>IFERROR(IF(ISNUMBER($A720),IF(AND(AH!$P$10=1,AH!$P$12=1,$A720=TODAY()),AH!$P$18,IF(AH!$P$10=1,INDEX('Live History'!$E$5:$E$3004,MATCH($A720,'Live History'!$D$5:$D$3004,1)),INDEX('AH History'!$C$1:$C$18046,AH!$P$7+715))),NA()),NA())</ns0:f>
        <ns0:v/>
      </ns0:c>
      <ns0:c r="E720">
        <ns0:f>IFERROR(IF(ISNUMBER($A720),IF(AND(AH!$P$10=1,AH!$P$12=1,$A720=TODAY()),AH!$P$20,IF(AH!$P$10=1,INDEX('Live History'!$H$5:$H$3004,MATCH($A720,'Live History'!$G$5:$G$3004,1)),INDEX('AH History'!$D$1:$D$18046,AH!$P$7+715))),NA()),NA())</ns0:f>
        <ns0:v/>
      </ns0:c>
      <ns0:c r="F720">
        <ns0:f>IFERROR(IF(ISNUMBER($A720),IF(AND(AH!$P$10=1,AH!$P$12=1,$A720=TODAY()),IF(AND(AH!$P$10=1,AH!$P$12=1,$A720=TODAY()),TODAY(),NA()),IF(AH!$P$10=1,INDEX('Live History'!$D$5:$D$3004,MATCH($A720,'Live History'!$D$5:$D$3004,1)),INDEX('AH History'!$E$1:$E$18046,AH!$P$7+715))),NA()),NA())</ns0:f>
        <ns0:v/>
      </ns0:c>
      <ns0:c r="G720">
        <ns0:f>IFERROR(IF(ISNUMBER($A720),IF(AND(AH!$P$10=1,AH!$P$12=1,$A720=TODAY()),IF(AND(AH!$P$10=1,AH!$P$12=1,$A720=TODAY()),TODAY(),NA()),IF(AH!$P$10=1,INDEX('Live History'!$G$5:$G$3004,MATCH($A720,'Live History'!$G$5:$G$3004,1)),INDEX('AH History'!$F$1:$F$18046,AH!$P$7+715))),NA()),NA())</ns0:f>
        <ns0:v/>
      </ns0:c>
      <ns0:c r="H720">
        <ns0:f>IFERROR(IF(AND(AH!$E$4="Bloomberg",AH!$P$10=1,ISNUMBER($A720),$A720&lt;=AH!$P$17),AH!$P$7-1+MATCH($A720,INDEX('AH History'!$A$1:$A$18046,AH!$P$7):INDEX('AH History'!$A$1:$A$18046,AH!$P$7+AH!$P$8-1),0),0),0)</ns0:f>
        <ns0:v/>
      </ns0:c>
      <ns0:c r="I720">
        <ns0:f>IF($H720=0,0,IFERROR(IF(AND(ABS($C720-INDEX('AH History'!$B$1:$B$18046,$H720))&lt;=MAX(0.005,ABS(INDEX('AH History'!$B$1:$B$18046,$H720))*0.00005),ABS($D720-INDEX('AH History'!$C$1:$C$18046,$H720))&lt;=MAX(0.005,ABS(INDEX('AH History'!$C$1:$C$18046,$H720))*0.00005),ABS($E720-INDEX('AH History'!$D$1:$D$18046,$H720))&lt;=0.00005,$F720=INDEX('AH History'!$E$1:$E$18046,$H720),$G720=INDEX('AH History'!$F$1:$F$18046,$H720)),1,-1),-1))</ns0:f>
        <ns0:v/>
      </ns0:c>
    </ns0:row>
    <ns0:row r="721">
      <ns0:c r="A721" s="215">
        <ns0:f>IF(OR(AH!$P$3=0,716+1&gt;AH!$P$11,AND(AH!$E$4&lt;&gt;"Stored",AH!$P$10&lt;&gt;1)),"",IFERROR(IF(AND(AH!$P$21=1,716+1=AH!$P$11),TODAY(),IF(AH!$P$10=1,INDEX('Live History'!$A$5:$A$3004,AH!$P$13+716),INDEX('AH History'!$A$1:$A$18046,AH!$P$7+716))),""))</ns0:f>
        <ns0:v/>
      </ns0:c>
      <ns0:c r="B721" s="219">
        <ns0:f>IFERROR(IF(AND(AH!$P$9&lt;&gt;1,$C721&gt;0,$D721&gt;0,$E721&gt;0,$F721&gt;0,$G721&gt;0,$F721&lt;=$A721,$G721&lt;=$A721,$A721-$F721&lt;=10,$A721-$G721&lt;=5),$D721*$E721/$C721-1,NA()),NA())</ns0:f>
        <ns0:v/>
      </ns0:c>
      <ns0:c r="C721">
        <ns0:f>IFERROR(IF(ISNUMBER($A721),IF(AND(AH!$P$10=1,AH!$P$12=1,$A721=TODAY()),AH!$P$19,IF(AH!$P$10=1,INDEX('Live History'!$B$5:$B$3004,AH!$P$13+716),INDEX('AH History'!$B$1:$B$18046,AH!$P$7+716))),NA()),NA())</ns0:f>
        <ns0:v/>
      </ns0:c>
      <ns0:c r="D721">
        <ns0:f>IFERROR(IF(ISNUMBER($A721),IF(AND(AH!$P$10=1,AH!$P$12=1,$A721=TODAY()),AH!$P$18,IF(AH!$P$10=1,INDEX('Live History'!$E$5:$E$3004,MATCH($A721,'Live History'!$D$5:$D$3004,1)),INDEX('AH History'!$C$1:$C$18046,AH!$P$7+716))),NA()),NA())</ns0:f>
        <ns0:v/>
      </ns0:c>
      <ns0:c r="E721">
        <ns0:f>IFERROR(IF(ISNUMBER($A721),IF(AND(AH!$P$10=1,AH!$P$12=1,$A721=TODAY()),AH!$P$20,IF(AH!$P$10=1,INDEX('Live History'!$H$5:$H$3004,MATCH($A721,'Live History'!$G$5:$G$3004,1)),INDEX('AH History'!$D$1:$D$18046,AH!$P$7+716))),NA()),NA())</ns0:f>
        <ns0:v/>
      </ns0:c>
      <ns0:c r="F721">
        <ns0:f>IFERROR(IF(ISNUMBER($A721),IF(AND(AH!$P$10=1,AH!$P$12=1,$A721=TODAY()),IF(AND(AH!$P$10=1,AH!$P$12=1,$A721=TODAY()),TODAY(),NA()),IF(AH!$P$10=1,INDEX('Live History'!$D$5:$D$3004,MATCH($A721,'Live History'!$D$5:$D$3004,1)),INDEX('AH History'!$E$1:$E$18046,AH!$P$7+716))),NA()),NA())</ns0:f>
        <ns0:v/>
      </ns0:c>
      <ns0:c r="G721">
        <ns0:f>IFERROR(IF(ISNUMBER($A721),IF(AND(AH!$P$10=1,AH!$P$12=1,$A721=TODAY()),IF(AND(AH!$P$10=1,AH!$P$12=1,$A721=TODAY()),TODAY(),NA()),IF(AH!$P$10=1,INDEX('Live History'!$G$5:$G$3004,MATCH($A721,'Live History'!$G$5:$G$3004,1)),INDEX('AH History'!$F$1:$F$18046,AH!$P$7+716))),NA()),NA())</ns0:f>
        <ns0:v/>
      </ns0:c>
      <ns0:c r="H721">
        <ns0:f>IFERROR(IF(AND(AH!$E$4="Bloomberg",AH!$P$10=1,ISNUMBER($A721),$A721&lt;=AH!$P$17),AH!$P$7-1+MATCH($A721,INDEX('AH History'!$A$1:$A$18046,AH!$P$7):INDEX('AH History'!$A$1:$A$18046,AH!$P$7+AH!$P$8-1),0),0),0)</ns0:f>
        <ns0:v/>
      </ns0:c>
      <ns0:c r="I721">
        <ns0:f>IF($H721=0,0,IFERROR(IF(AND(ABS($C721-INDEX('AH History'!$B$1:$B$18046,$H721))&lt;=MAX(0.005,ABS(INDEX('AH History'!$B$1:$B$18046,$H721))*0.00005),ABS($D721-INDEX('AH History'!$C$1:$C$18046,$H721))&lt;=MAX(0.005,ABS(INDEX('AH History'!$C$1:$C$18046,$H721))*0.00005),ABS($E721-INDEX('AH History'!$D$1:$D$18046,$H721))&lt;=0.00005,$F721=INDEX('AH History'!$E$1:$E$18046,$H721),$G721=INDEX('AH History'!$F$1:$F$18046,$H721)),1,-1),-1))</ns0:f>
        <ns0:v/>
      </ns0:c>
    </ns0:row>
    <ns0:row r="722">
      <ns0:c r="A722" s="215">
        <ns0:f>IF(OR(AH!$P$3=0,717+1&gt;AH!$P$11,AND(AH!$E$4&lt;&gt;"Stored",AH!$P$10&lt;&gt;1)),"",IFERROR(IF(AND(AH!$P$21=1,717+1=AH!$P$11),TODAY(),IF(AH!$P$10=1,INDEX('Live History'!$A$5:$A$3004,AH!$P$13+717),INDEX('AH History'!$A$1:$A$18046,AH!$P$7+717))),""))</ns0:f>
        <ns0:v/>
      </ns0:c>
      <ns0:c r="B722" s="219">
        <ns0:f>IFERROR(IF(AND(AH!$P$9&lt;&gt;1,$C722&gt;0,$D722&gt;0,$E722&gt;0,$F722&gt;0,$G722&gt;0,$F722&lt;=$A722,$G722&lt;=$A722,$A722-$F722&lt;=10,$A722-$G722&lt;=5),$D722*$E722/$C722-1,NA()),NA())</ns0:f>
        <ns0:v/>
      </ns0:c>
      <ns0:c r="C722">
        <ns0:f>IFERROR(IF(ISNUMBER($A722),IF(AND(AH!$P$10=1,AH!$P$12=1,$A722=TODAY()),AH!$P$19,IF(AH!$P$10=1,INDEX('Live History'!$B$5:$B$3004,AH!$P$13+717),INDEX('AH History'!$B$1:$B$18046,AH!$P$7+717))),NA()),NA())</ns0:f>
        <ns0:v/>
      </ns0:c>
      <ns0:c r="D722">
        <ns0:f>IFERROR(IF(ISNUMBER($A722),IF(AND(AH!$P$10=1,AH!$P$12=1,$A722=TODAY()),AH!$P$18,IF(AH!$P$10=1,INDEX('Live History'!$E$5:$E$3004,MATCH($A722,'Live History'!$D$5:$D$3004,1)),INDEX('AH History'!$C$1:$C$18046,AH!$P$7+717))),NA()),NA())</ns0:f>
        <ns0:v/>
      </ns0:c>
      <ns0:c r="E722">
        <ns0:f>IFERROR(IF(ISNUMBER($A722),IF(AND(AH!$P$10=1,AH!$P$12=1,$A722=TODAY()),AH!$P$20,IF(AH!$P$10=1,INDEX('Live History'!$H$5:$H$3004,MATCH($A722,'Live History'!$G$5:$G$3004,1)),INDEX('AH History'!$D$1:$D$18046,AH!$P$7+717))),NA()),NA())</ns0:f>
        <ns0:v/>
      </ns0:c>
      <ns0:c r="F722">
        <ns0:f>IFERROR(IF(ISNUMBER($A722),IF(AND(AH!$P$10=1,AH!$P$12=1,$A722=TODAY()),IF(AND(AH!$P$10=1,AH!$P$12=1,$A722=TODAY()),TODAY(),NA()),IF(AH!$P$10=1,INDEX('Live History'!$D$5:$D$3004,MATCH($A722,'Live History'!$D$5:$D$3004,1)),INDEX('AH History'!$E$1:$E$18046,AH!$P$7+717))),NA()),NA())</ns0:f>
        <ns0:v/>
      </ns0:c>
      <ns0:c r="G722">
        <ns0:f>IFERROR(IF(ISNUMBER($A722),IF(AND(AH!$P$10=1,AH!$P$12=1,$A722=TODAY()),IF(AND(AH!$P$10=1,AH!$P$12=1,$A722=TODAY()),TODAY(),NA()),IF(AH!$P$10=1,INDEX('Live History'!$G$5:$G$3004,MATCH($A722,'Live History'!$G$5:$G$3004,1)),INDEX('AH History'!$F$1:$F$18046,AH!$P$7+717))),NA()),NA())</ns0:f>
        <ns0:v/>
      </ns0:c>
      <ns0:c r="H722">
        <ns0:f>IFERROR(IF(AND(AH!$E$4="Bloomberg",AH!$P$10=1,ISNUMBER($A722),$A722&lt;=AH!$P$17),AH!$P$7-1+MATCH($A722,INDEX('AH History'!$A$1:$A$18046,AH!$P$7):INDEX('AH History'!$A$1:$A$18046,AH!$P$7+AH!$P$8-1),0),0),0)</ns0:f>
        <ns0:v/>
      </ns0:c>
      <ns0:c r="I722">
        <ns0:f>IF($H722=0,0,IFERROR(IF(AND(ABS($C722-INDEX('AH History'!$B$1:$B$18046,$H722))&lt;=MAX(0.005,ABS(INDEX('AH History'!$B$1:$B$18046,$H722))*0.00005),ABS($D722-INDEX('AH History'!$C$1:$C$18046,$H722))&lt;=MAX(0.005,ABS(INDEX('AH History'!$C$1:$C$18046,$H722))*0.00005),ABS($E722-INDEX('AH History'!$D$1:$D$18046,$H722))&lt;=0.00005,$F722=INDEX('AH History'!$E$1:$E$18046,$H722),$G722=INDEX('AH History'!$F$1:$F$18046,$H722)),1,-1),-1))</ns0:f>
        <ns0:v/>
      </ns0:c>
    </ns0:row>
    <ns0:row r="723">
      <ns0:c r="A723" s="215">
        <ns0:f>IF(OR(AH!$P$3=0,718+1&gt;AH!$P$11,AND(AH!$E$4&lt;&gt;"Stored",AH!$P$10&lt;&gt;1)),"",IFERROR(IF(AND(AH!$P$21=1,718+1=AH!$P$11),TODAY(),IF(AH!$P$10=1,INDEX('Live History'!$A$5:$A$3004,AH!$P$13+718),INDEX('AH History'!$A$1:$A$18046,AH!$P$7+718))),""))</ns0:f>
        <ns0:v/>
      </ns0:c>
      <ns0:c r="B723" s="219">
        <ns0:f>IFERROR(IF(AND(AH!$P$9&lt;&gt;1,$C723&gt;0,$D723&gt;0,$E723&gt;0,$F723&gt;0,$G723&gt;0,$F723&lt;=$A723,$G723&lt;=$A723,$A723-$F723&lt;=10,$A723-$G723&lt;=5),$D723*$E723/$C723-1,NA()),NA())</ns0:f>
        <ns0:v/>
      </ns0:c>
      <ns0:c r="C723">
        <ns0:f>IFERROR(IF(ISNUMBER($A723),IF(AND(AH!$P$10=1,AH!$P$12=1,$A723=TODAY()),AH!$P$19,IF(AH!$P$10=1,INDEX('Live History'!$B$5:$B$3004,AH!$P$13+718),INDEX('AH History'!$B$1:$B$18046,AH!$P$7+718))),NA()),NA())</ns0:f>
        <ns0:v/>
      </ns0:c>
      <ns0:c r="D723">
        <ns0:f>IFERROR(IF(ISNUMBER($A723),IF(AND(AH!$P$10=1,AH!$P$12=1,$A723=TODAY()),AH!$P$18,IF(AH!$P$10=1,INDEX('Live History'!$E$5:$E$3004,MATCH($A723,'Live History'!$D$5:$D$3004,1)),INDEX('AH History'!$C$1:$C$18046,AH!$P$7+718))),NA()),NA())</ns0:f>
        <ns0:v/>
      </ns0:c>
      <ns0:c r="E723">
        <ns0:f>IFERROR(IF(ISNUMBER($A723),IF(AND(AH!$P$10=1,AH!$P$12=1,$A723=TODAY()),AH!$P$20,IF(AH!$P$10=1,INDEX('Live History'!$H$5:$H$3004,MATCH($A723,'Live History'!$G$5:$G$3004,1)),INDEX('AH History'!$D$1:$D$18046,AH!$P$7+718))),NA()),NA())</ns0:f>
        <ns0:v/>
      </ns0:c>
      <ns0:c r="F723">
        <ns0:f>IFERROR(IF(ISNUMBER($A723),IF(AND(AH!$P$10=1,AH!$P$12=1,$A723=TODAY()),IF(AND(AH!$P$10=1,AH!$P$12=1,$A723=TODAY()),TODAY(),NA()),IF(AH!$P$10=1,INDEX('Live History'!$D$5:$D$3004,MATCH($A723,'Live History'!$D$5:$D$3004,1)),INDEX('AH History'!$E$1:$E$18046,AH!$P$7+718))),NA()),NA())</ns0:f>
        <ns0:v/>
      </ns0:c>
      <ns0:c r="G723">
        <ns0:f>IFERROR(IF(ISNUMBER($A723),IF(AND(AH!$P$10=1,AH!$P$12=1,$A723=TODAY()),IF(AND(AH!$P$10=1,AH!$P$12=1,$A723=TODAY()),TODAY(),NA()),IF(AH!$P$10=1,INDEX('Live History'!$G$5:$G$3004,MATCH($A723,'Live History'!$G$5:$G$3004,1)),INDEX('AH History'!$F$1:$F$18046,AH!$P$7+718))),NA()),NA())</ns0:f>
        <ns0:v/>
      </ns0:c>
      <ns0:c r="H723">
        <ns0:f>IFERROR(IF(AND(AH!$E$4="Bloomberg",AH!$P$10=1,ISNUMBER($A723),$A723&lt;=AH!$P$17),AH!$P$7-1+MATCH($A723,INDEX('AH History'!$A$1:$A$18046,AH!$P$7):INDEX('AH History'!$A$1:$A$18046,AH!$P$7+AH!$P$8-1),0),0),0)</ns0:f>
        <ns0:v/>
      </ns0:c>
      <ns0:c r="I723">
        <ns0:f>IF($H723=0,0,IFERROR(IF(AND(ABS($C723-INDEX('AH History'!$B$1:$B$18046,$H723))&lt;=MAX(0.005,ABS(INDEX('AH History'!$B$1:$B$18046,$H723))*0.00005),ABS($D723-INDEX('AH History'!$C$1:$C$18046,$H723))&lt;=MAX(0.005,ABS(INDEX('AH History'!$C$1:$C$18046,$H723))*0.00005),ABS($E723-INDEX('AH History'!$D$1:$D$18046,$H723))&lt;=0.00005,$F723=INDEX('AH History'!$E$1:$E$18046,$H723),$G723=INDEX('AH History'!$F$1:$F$18046,$H723)),1,-1),-1))</ns0:f>
        <ns0:v/>
      </ns0:c>
    </ns0:row>
    <ns0:row r="724">
      <ns0:c r="A724" s="215">
        <ns0:f>IF(OR(AH!$P$3=0,719+1&gt;AH!$P$11,AND(AH!$E$4&lt;&gt;"Stored",AH!$P$10&lt;&gt;1)),"",IFERROR(IF(AND(AH!$P$21=1,719+1=AH!$P$11),TODAY(),IF(AH!$P$10=1,INDEX('Live History'!$A$5:$A$3004,AH!$P$13+719),INDEX('AH History'!$A$1:$A$18046,AH!$P$7+719))),""))</ns0:f>
        <ns0:v/>
      </ns0:c>
      <ns0:c r="B724" s="219">
        <ns0:f>IFERROR(IF(AND(AH!$P$9&lt;&gt;1,$C724&gt;0,$D724&gt;0,$E724&gt;0,$F724&gt;0,$G724&gt;0,$F724&lt;=$A724,$G724&lt;=$A724,$A724-$F724&lt;=10,$A724-$G724&lt;=5),$D724*$E724/$C724-1,NA()),NA())</ns0:f>
        <ns0:v/>
      </ns0:c>
      <ns0:c r="C724">
        <ns0:f>IFERROR(IF(ISNUMBER($A724),IF(AND(AH!$P$10=1,AH!$P$12=1,$A724=TODAY()),AH!$P$19,IF(AH!$P$10=1,INDEX('Live History'!$B$5:$B$3004,AH!$P$13+719),INDEX('AH History'!$B$1:$B$18046,AH!$P$7+719))),NA()),NA())</ns0:f>
        <ns0:v/>
      </ns0:c>
      <ns0:c r="D724">
        <ns0:f>IFERROR(IF(ISNUMBER($A724),IF(AND(AH!$P$10=1,AH!$P$12=1,$A724=TODAY()),AH!$P$18,IF(AH!$P$10=1,INDEX('Live History'!$E$5:$E$3004,MATCH($A724,'Live History'!$D$5:$D$3004,1)),INDEX('AH History'!$C$1:$C$18046,AH!$P$7+719))),NA()),NA())</ns0:f>
        <ns0:v/>
      </ns0:c>
      <ns0:c r="E724">
        <ns0:f>IFERROR(IF(ISNUMBER($A724),IF(AND(AH!$P$10=1,AH!$P$12=1,$A724=TODAY()),AH!$P$20,IF(AH!$P$10=1,INDEX('Live History'!$H$5:$H$3004,MATCH($A724,'Live History'!$G$5:$G$3004,1)),INDEX('AH History'!$D$1:$D$18046,AH!$P$7+719))),NA()),NA())</ns0:f>
        <ns0:v/>
      </ns0:c>
      <ns0:c r="F724">
        <ns0:f>IFERROR(IF(ISNUMBER($A724),IF(AND(AH!$P$10=1,AH!$P$12=1,$A724=TODAY()),IF(AND(AH!$P$10=1,AH!$P$12=1,$A724=TODAY()),TODAY(),NA()),IF(AH!$P$10=1,INDEX('Live History'!$D$5:$D$3004,MATCH($A724,'Live History'!$D$5:$D$3004,1)),INDEX('AH History'!$E$1:$E$18046,AH!$P$7+719))),NA()),NA())</ns0:f>
        <ns0:v/>
      </ns0:c>
      <ns0:c r="G724">
        <ns0:f>IFERROR(IF(ISNUMBER($A724),IF(AND(AH!$P$10=1,AH!$P$12=1,$A724=TODAY()),IF(AND(AH!$P$10=1,AH!$P$12=1,$A724=TODAY()),TODAY(),NA()),IF(AH!$P$10=1,INDEX('Live History'!$G$5:$G$3004,MATCH($A724,'Live History'!$G$5:$G$3004,1)),INDEX('AH History'!$F$1:$F$18046,AH!$P$7+719))),NA()),NA())</ns0:f>
        <ns0:v/>
      </ns0:c>
      <ns0:c r="H724">
        <ns0:f>IFERROR(IF(AND(AH!$E$4="Bloomberg",AH!$P$10=1,ISNUMBER($A724),$A724&lt;=AH!$P$17),AH!$P$7-1+MATCH($A724,INDEX('AH History'!$A$1:$A$18046,AH!$P$7):INDEX('AH History'!$A$1:$A$18046,AH!$P$7+AH!$P$8-1),0),0),0)</ns0:f>
        <ns0:v/>
      </ns0:c>
      <ns0:c r="I724">
        <ns0:f>IF($H724=0,0,IFERROR(IF(AND(ABS($C724-INDEX('AH History'!$B$1:$B$18046,$H724))&lt;=MAX(0.005,ABS(INDEX('AH History'!$B$1:$B$18046,$H724))*0.00005),ABS($D724-INDEX('AH History'!$C$1:$C$18046,$H724))&lt;=MAX(0.005,ABS(INDEX('AH History'!$C$1:$C$18046,$H724))*0.00005),ABS($E724-INDEX('AH History'!$D$1:$D$18046,$H724))&lt;=0.00005,$F724=INDEX('AH History'!$E$1:$E$18046,$H724),$G724=INDEX('AH History'!$F$1:$F$18046,$H724)),1,-1),-1))</ns0:f>
        <ns0:v/>
      </ns0:c>
    </ns0:row>
    <ns0:row r="725">
      <ns0:c r="A725" s="215">
        <ns0:f>IF(OR(AH!$P$3=0,720+1&gt;AH!$P$11,AND(AH!$E$4&lt;&gt;"Stored",AH!$P$10&lt;&gt;1)),"",IFERROR(IF(AND(AH!$P$21=1,720+1=AH!$P$11),TODAY(),IF(AH!$P$10=1,INDEX('Live History'!$A$5:$A$3004,AH!$P$13+720),INDEX('AH History'!$A$1:$A$18046,AH!$P$7+720))),""))</ns0:f>
        <ns0:v/>
      </ns0:c>
      <ns0:c r="B725" s="219">
        <ns0:f>IFERROR(IF(AND(AH!$P$9&lt;&gt;1,$C725&gt;0,$D725&gt;0,$E725&gt;0,$F725&gt;0,$G725&gt;0,$F725&lt;=$A725,$G725&lt;=$A725,$A725-$F725&lt;=10,$A725-$G725&lt;=5),$D725*$E725/$C725-1,NA()),NA())</ns0:f>
        <ns0:v/>
      </ns0:c>
      <ns0:c r="C725">
        <ns0:f>IFERROR(IF(ISNUMBER($A725),IF(AND(AH!$P$10=1,AH!$P$12=1,$A725=TODAY()),AH!$P$19,IF(AH!$P$10=1,INDEX('Live History'!$B$5:$B$3004,AH!$P$13+720),INDEX('AH History'!$B$1:$B$18046,AH!$P$7+720))),NA()),NA())</ns0:f>
        <ns0:v/>
      </ns0:c>
      <ns0:c r="D725">
        <ns0:f>IFERROR(IF(ISNUMBER($A725),IF(AND(AH!$P$10=1,AH!$P$12=1,$A725=TODAY()),AH!$P$18,IF(AH!$P$10=1,INDEX('Live History'!$E$5:$E$3004,MATCH($A725,'Live History'!$D$5:$D$3004,1)),INDEX('AH History'!$C$1:$C$18046,AH!$P$7+720))),NA()),NA())</ns0:f>
        <ns0:v/>
      </ns0:c>
      <ns0:c r="E725">
        <ns0:f>IFERROR(IF(ISNUMBER($A725),IF(AND(AH!$P$10=1,AH!$P$12=1,$A725=TODAY()),AH!$P$20,IF(AH!$P$10=1,INDEX('Live History'!$H$5:$H$3004,MATCH($A725,'Live History'!$G$5:$G$3004,1)),INDEX('AH History'!$D$1:$D$18046,AH!$P$7+720))),NA()),NA())</ns0:f>
        <ns0:v/>
      </ns0:c>
      <ns0:c r="F725">
        <ns0:f>IFERROR(IF(ISNUMBER($A725),IF(AND(AH!$P$10=1,AH!$P$12=1,$A725=TODAY()),IF(AND(AH!$P$10=1,AH!$P$12=1,$A725=TODAY()),TODAY(),NA()),IF(AH!$P$10=1,INDEX('Live History'!$D$5:$D$3004,MATCH($A725,'Live History'!$D$5:$D$3004,1)),INDEX('AH History'!$E$1:$E$18046,AH!$P$7+720))),NA()),NA())</ns0:f>
        <ns0:v/>
      </ns0:c>
      <ns0:c r="G725">
        <ns0:f>IFERROR(IF(ISNUMBER($A725),IF(AND(AH!$P$10=1,AH!$P$12=1,$A725=TODAY()),IF(AND(AH!$P$10=1,AH!$P$12=1,$A725=TODAY()),TODAY(),NA()),IF(AH!$P$10=1,INDEX('Live History'!$G$5:$G$3004,MATCH($A725,'Live History'!$G$5:$G$3004,1)),INDEX('AH History'!$F$1:$F$18046,AH!$P$7+720))),NA()),NA())</ns0:f>
        <ns0:v/>
      </ns0:c>
      <ns0:c r="H725">
        <ns0:f>IFERROR(IF(AND(AH!$E$4="Bloomberg",AH!$P$10=1,ISNUMBER($A725),$A725&lt;=AH!$P$17),AH!$P$7-1+MATCH($A725,INDEX('AH History'!$A$1:$A$18046,AH!$P$7):INDEX('AH History'!$A$1:$A$18046,AH!$P$7+AH!$P$8-1),0),0),0)</ns0:f>
        <ns0:v/>
      </ns0:c>
      <ns0:c r="I725">
        <ns0:f>IF($H725=0,0,IFERROR(IF(AND(ABS($C725-INDEX('AH History'!$B$1:$B$18046,$H725))&lt;=MAX(0.005,ABS(INDEX('AH History'!$B$1:$B$18046,$H725))*0.00005),ABS($D725-INDEX('AH History'!$C$1:$C$18046,$H725))&lt;=MAX(0.005,ABS(INDEX('AH History'!$C$1:$C$18046,$H725))*0.00005),ABS($E725-INDEX('AH History'!$D$1:$D$18046,$H725))&lt;=0.00005,$F725=INDEX('AH History'!$E$1:$E$18046,$H725),$G725=INDEX('AH History'!$F$1:$F$18046,$H725)),1,-1),-1))</ns0:f>
        <ns0:v/>
      </ns0:c>
    </ns0:row>
    <ns0:row r="726">
      <ns0:c r="A726" s="215">
        <ns0:f>IF(OR(AH!$P$3=0,721+1&gt;AH!$P$11,AND(AH!$E$4&lt;&gt;"Stored",AH!$P$10&lt;&gt;1)),"",IFERROR(IF(AND(AH!$P$21=1,721+1=AH!$P$11),TODAY(),IF(AH!$P$10=1,INDEX('Live History'!$A$5:$A$3004,AH!$P$13+721),INDEX('AH History'!$A$1:$A$18046,AH!$P$7+721))),""))</ns0:f>
        <ns0:v/>
      </ns0:c>
      <ns0:c r="B726" s="219">
        <ns0:f>IFERROR(IF(AND(AH!$P$9&lt;&gt;1,$C726&gt;0,$D726&gt;0,$E726&gt;0,$F726&gt;0,$G726&gt;0,$F726&lt;=$A726,$G726&lt;=$A726,$A726-$F726&lt;=10,$A726-$G726&lt;=5),$D726*$E726/$C726-1,NA()),NA())</ns0:f>
        <ns0:v/>
      </ns0:c>
      <ns0:c r="C726">
        <ns0:f>IFERROR(IF(ISNUMBER($A726),IF(AND(AH!$P$10=1,AH!$P$12=1,$A726=TODAY()),AH!$P$19,IF(AH!$P$10=1,INDEX('Live History'!$B$5:$B$3004,AH!$P$13+721),INDEX('AH History'!$B$1:$B$18046,AH!$P$7+721))),NA()),NA())</ns0:f>
        <ns0:v/>
      </ns0:c>
      <ns0:c r="D726">
        <ns0:f>IFERROR(IF(ISNUMBER($A726),IF(AND(AH!$P$10=1,AH!$P$12=1,$A726=TODAY()),AH!$P$18,IF(AH!$P$10=1,INDEX('Live History'!$E$5:$E$3004,MATCH($A726,'Live History'!$D$5:$D$3004,1)),INDEX('AH History'!$C$1:$C$18046,AH!$P$7+721))),NA()),NA())</ns0:f>
        <ns0:v/>
      </ns0:c>
      <ns0:c r="E726">
        <ns0:f>IFERROR(IF(ISNUMBER($A726),IF(AND(AH!$P$10=1,AH!$P$12=1,$A726=TODAY()),AH!$P$20,IF(AH!$P$10=1,INDEX('Live History'!$H$5:$H$3004,MATCH($A726,'Live History'!$G$5:$G$3004,1)),INDEX('AH History'!$D$1:$D$18046,AH!$P$7+721))),NA()),NA())</ns0:f>
        <ns0:v/>
      </ns0:c>
      <ns0:c r="F726">
        <ns0:f>IFERROR(IF(ISNUMBER($A726),IF(AND(AH!$P$10=1,AH!$P$12=1,$A726=TODAY()),IF(AND(AH!$P$10=1,AH!$P$12=1,$A726=TODAY()),TODAY(),NA()),IF(AH!$P$10=1,INDEX('Live History'!$D$5:$D$3004,MATCH($A726,'Live History'!$D$5:$D$3004,1)),INDEX('AH History'!$E$1:$E$18046,AH!$P$7+721))),NA()),NA())</ns0:f>
        <ns0:v/>
      </ns0:c>
      <ns0:c r="G726">
        <ns0:f>IFERROR(IF(ISNUMBER($A726),IF(AND(AH!$P$10=1,AH!$P$12=1,$A726=TODAY()),IF(AND(AH!$P$10=1,AH!$P$12=1,$A726=TODAY()),TODAY(),NA()),IF(AH!$P$10=1,INDEX('Live History'!$G$5:$G$3004,MATCH($A726,'Live History'!$G$5:$G$3004,1)),INDEX('AH History'!$F$1:$F$18046,AH!$P$7+721))),NA()),NA())</ns0:f>
        <ns0:v/>
      </ns0:c>
      <ns0:c r="H726">
        <ns0:f>IFERROR(IF(AND(AH!$E$4="Bloomberg",AH!$P$10=1,ISNUMBER($A726),$A726&lt;=AH!$P$17),AH!$P$7-1+MATCH($A726,INDEX('AH History'!$A$1:$A$18046,AH!$P$7):INDEX('AH History'!$A$1:$A$18046,AH!$P$7+AH!$P$8-1),0),0),0)</ns0:f>
        <ns0:v/>
      </ns0:c>
      <ns0:c r="I726">
        <ns0:f>IF($H726=0,0,IFERROR(IF(AND(ABS($C726-INDEX('AH History'!$B$1:$B$18046,$H726))&lt;=MAX(0.005,ABS(INDEX('AH History'!$B$1:$B$18046,$H726))*0.00005),ABS($D726-INDEX('AH History'!$C$1:$C$18046,$H726))&lt;=MAX(0.005,ABS(INDEX('AH History'!$C$1:$C$18046,$H726))*0.00005),ABS($E726-INDEX('AH History'!$D$1:$D$18046,$H726))&lt;=0.00005,$F726=INDEX('AH History'!$E$1:$E$18046,$H726),$G726=INDEX('AH History'!$F$1:$F$18046,$H726)),1,-1),-1))</ns0:f>
        <ns0:v/>
      </ns0:c>
    </ns0:row>
    <ns0:row r="727">
      <ns0:c r="A727" s="215">
        <ns0:f>IF(OR(AH!$P$3=0,722+1&gt;AH!$P$11,AND(AH!$E$4&lt;&gt;"Stored",AH!$P$10&lt;&gt;1)),"",IFERROR(IF(AND(AH!$P$21=1,722+1=AH!$P$11),TODAY(),IF(AH!$P$10=1,INDEX('Live History'!$A$5:$A$3004,AH!$P$13+722),INDEX('AH History'!$A$1:$A$18046,AH!$P$7+722))),""))</ns0:f>
        <ns0:v/>
      </ns0:c>
      <ns0:c r="B727" s="219">
        <ns0:f>IFERROR(IF(AND(AH!$P$9&lt;&gt;1,$C727&gt;0,$D727&gt;0,$E727&gt;0,$F727&gt;0,$G727&gt;0,$F727&lt;=$A727,$G727&lt;=$A727,$A727-$F727&lt;=10,$A727-$G727&lt;=5),$D727*$E727/$C727-1,NA()),NA())</ns0:f>
        <ns0:v/>
      </ns0:c>
      <ns0:c r="C727">
        <ns0:f>IFERROR(IF(ISNUMBER($A727),IF(AND(AH!$P$10=1,AH!$P$12=1,$A727=TODAY()),AH!$P$19,IF(AH!$P$10=1,INDEX('Live History'!$B$5:$B$3004,AH!$P$13+722),INDEX('AH History'!$B$1:$B$18046,AH!$P$7+722))),NA()),NA())</ns0:f>
        <ns0:v/>
      </ns0:c>
      <ns0:c r="D727">
        <ns0:f>IFERROR(IF(ISNUMBER($A727),IF(AND(AH!$P$10=1,AH!$P$12=1,$A727=TODAY()),AH!$P$18,IF(AH!$P$10=1,INDEX('Live History'!$E$5:$E$3004,MATCH($A727,'Live History'!$D$5:$D$3004,1)),INDEX('AH History'!$C$1:$C$18046,AH!$P$7+722))),NA()),NA())</ns0:f>
        <ns0:v/>
      </ns0:c>
      <ns0:c r="E727">
        <ns0:f>IFERROR(IF(ISNUMBER($A727),IF(AND(AH!$P$10=1,AH!$P$12=1,$A727=TODAY()),AH!$P$20,IF(AH!$P$10=1,INDEX('Live History'!$H$5:$H$3004,MATCH($A727,'Live History'!$G$5:$G$3004,1)),INDEX('AH History'!$D$1:$D$18046,AH!$P$7+722))),NA()),NA())</ns0:f>
        <ns0:v/>
      </ns0:c>
      <ns0:c r="F727">
        <ns0:f>IFERROR(IF(ISNUMBER($A727),IF(AND(AH!$P$10=1,AH!$P$12=1,$A727=TODAY()),IF(AND(AH!$P$10=1,AH!$P$12=1,$A727=TODAY()),TODAY(),NA()),IF(AH!$P$10=1,INDEX('Live History'!$D$5:$D$3004,MATCH($A727,'Live History'!$D$5:$D$3004,1)),INDEX('AH History'!$E$1:$E$18046,AH!$P$7+722))),NA()),NA())</ns0:f>
        <ns0:v/>
      </ns0:c>
      <ns0:c r="G727">
        <ns0:f>IFERROR(IF(ISNUMBER($A727),IF(AND(AH!$P$10=1,AH!$P$12=1,$A727=TODAY()),IF(AND(AH!$P$10=1,AH!$P$12=1,$A727=TODAY()),TODAY(),NA()),IF(AH!$P$10=1,INDEX('Live History'!$G$5:$G$3004,MATCH($A727,'Live History'!$G$5:$G$3004,1)),INDEX('AH History'!$F$1:$F$18046,AH!$P$7+722))),NA()),NA())</ns0:f>
        <ns0:v/>
      </ns0:c>
      <ns0:c r="H727">
        <ns0:f>IFERROR(IF(AND(AH!$E$4="Bloomberg",AH!$P$10=1,ISNUMBER($A727),$A727&lt;=AH!$P$17),AH!$P$7-1+MATCH($A727,INDEX('AH History'!$A$1:$A$18046,AH!$P$7):INDEX('AH History'!$A$1:$A$18046,AH!$P$7+AH!$P$8-1),0),0),0)</ns0:f>
        <ns0:v/>
      </ns0:c>
      <ns0:c r="I727">
        <ns0:f>IF($H727=0,0,IFERROR(IF(AND(ABS($C727-INDEX('AH History'!$B$1:$B$18046,$H727))&lt;=MAX(0.005,ABS(INDEX('AH History'!$B$1:$B$18046,$H727))*0.00005),ABS($D727-INDEX('AH History'!$C$1:$C$18046,$H727))&lt;=MAX(0.005,ABS(INDEX('AH History'!$C$1:$C$18046,$H727))*0.00005),ABS($E727-INDEX('AH History'!$D$1:$D$18046,$H727))&lt;=0.00005,$F727=INDEX('AH History'!$E$1:$E$18046,$H727),$G727=INDEX('AH History'!$F$1:$F$18046,$H727)),1,-1),-1))</ns0:f>
        <ns0:v/>
      </ns0:c>
    </ns0:row>
    <ns0:row r="728">
      <ns0:c r="A728" s="215">
        <ns0:f>IF(OR(AH!$P$3=0,723+1&gt;AH!$P$11,AND(AH!$E$4&lt;&gt;"Stored",AH!$P$10&lt;&gt;1)),"",IFERROR(IF(AND(AH!$P$21=1,723+1=AH!$P$11),TODAY(),IF(AH!$P$10=1,INDEX('Live History'!$A$5:$A$3004,AH!$P$13+723),INDEX('AH History'!$A$1:$A$18046,AH!$P$7+723))),""))</ns0:f>
        <ns0:v/>
      </ns0:c>
      <ns0:c r="B728" s="219">
        <ns0:f>IFERROR(IF(AND(AH!$P$9&lt;&gt;1,$C728&gt;0,$D728&gt;0,$E728&gt;0,$F728&gt;0,$G728&gt;0,$F728&lt;=$A728,$G728&lt;=$A728,$A728-$F728&lt;=10,$A728-$G728&lt;=5),$D728*$E728/$C728-1,NA()),NA())</ns0:f>
        <ns0:v/>
      </ns0:c>
      <ns0:c r="C728">
        <ns0:f>IFERROR(IF(ISNUMBER($A728),IF(AND(AH!$P$10=1,AH!$P$12=1,$A728=TODAY()),AH!$P$19,IF(AH!$P$10=1,INDEX('Live History'!$B$5:$B$3004,AH!$P$13+723),INDEX('AH History'!$B$1:$B$18046,AH!$P$7+723))),NA()),NA())</ns0:f>
        <ns0:v/>
      </ns0:c>
      <ns0:c r="D728">
        <ns0:f>IFERROR(IF(ISNUMBER($A728),IF(AND(AH!$P$10=1,AH!$P$12=1,$A728=TODAY()),AH!$P$18,IF(AH!$P$10=1,INDEX('Live History'!$E$5:$E$3004,MATCH($A728,'Live History'!$D$5:$D$3004,1)),INDEX('AH History'!$C$1:$C$18046,AH!$P$7+723))),NA()),NA())</ns0:f>
        <ns0:v/>
      </ns0:c>
      <ns0:c r="E728">
        <ns0:f>IFERROR(IF(ISNUMBER($A728),IF(AND(AH!$P$10=1,AH!$P$12=1,$A728=TODAY()),AH!$P$20,IF(AH!$P$10=1,INDEX('Live History'!$H$5:$H$3004,MATCH($A728,'Live History'!$G$5:$G$3004,1)),INDEX('AH History'!$D$1:$D$18046,AH!$P$7+723))),NA()),NA())</ns0:f>
        <ns0:v/>
      </ns0:c>
      <ns0:c r="F728">
        <ns0:f>IFERROR(IF(ISNUMBER($A728),IF(AND(AH!$P$10=1,AH!$P$12=1,$A728=TODAY()),IF(AND(AH!$P$10=1,AH!$P$12=1,$A728=TODAY()),TODAY(),NA()),IF(AH!$P$10=1,INDEX('Live History'!$D$5:$D$3004,MATCH($A728,'Live History'!$D$5:$D$3004,1)),INDEX('AH History'!$E$1:$E$18046,AH!$P$7+723))),NA()),NA())</ns0:f>
        <ns0:v/>
      </ns0:c>
      <ns0:c r="G728">
        <ns0:f>IFERROR(IF(ISNUMBER($A728),IF(AND(AH!$P$10=1,AH!$P$12=1,$A728=TODAY()),IF(AND(AH!$P$10=1,AH!$P$12=1,$A728=TODAY()),TODAY(),NA()),IF(AH!$P$10=1,INDEX('Live History'!$G$5:$G$3004,MATCH($A728,'Live History'!$G$5:$G$3004,1)),INDEX('AH History'!$F$1:$F$18046,AH!$P$7+723))),NA()),NA())</ns0:f>
        <ns0:v/>
      </ns0:c>
      <ns0:c r="H728">
        <ns0:f>IFERROR(IF(AND(AH!$E$4="Bloomberg",AH!$P$10=1,ISNUMBER($A728),$A728&lt;=AH!$P$17),AH!$P$7-1+MATCH($A728,INDEX('AH History'!$A$1:$A$18046,AH!$P$7):INDEX('AH History'!$A$1:$A$18046,AH!$P$7+AH!$P$8-1),0),0),0)</ns0:f>
        <ns0:v/>
      </ns0:c>
      <ns0:c r="I728">
        <ns0:f>IF($H728=0,0,IFERROR(IF(AND(ABS($C728-INDEX('AH History'!$B$1:$B$18046,$H728))&lt;=MAX(0.005,ABS(INDEX('AH History'!$B$1:$B$18046,$H728))*0.00005),ABS($D728-INDEX('AH History'!$C$1:$C$18046,$H728))&lt;=MAX(0.005,ABS(INDEX('AH History'!$C$1:$C$18046,$H728))*0.00005),ABS($E728-INDEX('AH History'!$D$1:$D$18046,$H728))&lt;=0.00005,$F728=INDEX('AH History'!$E$1:$E$18046,$H728),$G728=INDEX('AH History'!$F$1:$F$18046,$H728)),1,-1),-1))</ns0:f>
        <ns0:v/>
      </ns0:c>
    </ns0:row>
    <ns0:row r="729">
      <ns0:c r="A729" s="215">
        <ns0:f>IF(OR(AH!$P$3=0,724+1&gt;AH!$P$11,AND(AH!$E$4&lt;&gt;"Stored",AH!$P$10&lt;&gt;1)),"",IFERROR(IF(AND(AH!$P$21=1,724+1=AH!$P$11),TODAY(),IF(AH!$P$10=1,INDEX('Live History'!$A$5:$A$3004,AH!$P$13+724),INDEX('AH History'!$A$1:$A$18046,AH!$P$7+724))),""))</ns0:f>
        <ns0:v/>
      </ns0:c>
      <ns0:c r="B729" s="219">
        <ns0:f>IFERROR(IF(AND(AH!$P$9&lt;&gt;1,$C729&gt;0,$D729&gt;0,$E729&gt;0,$F729&gt;0,$G729&gt;0,$F729&lt;=$A729,$G729&lt;=$A729,$A729-$F729&lt;=10,$A729-$G729&lt;=5),$D729*$E729/$C729-1,NA()),NA())</ns0:f>
        <ns0:v/>
      </ns0:c>
      <ns0:c r="C729">
        <ns0:f>IFERROR(IF(ISNUMBER($A729),IF(AND(AH!$P$10=1,AH!$P$12=1,$A729=TODAY()),AH!$P$19,IF(AH!$P$10=1,INDEX('Live History'!$B$5:$B$3004,AH!$P$13+724),INDEX('AH History'!$B$1:$B$18046,AH!$P$7+724))),NA()),NA())</ns0:f>
        <ns0:v/>
      </ns0:c>
      <ns0:c r="D729">
        <ns0:f>IFERROR(IF(ISNUMBER($A729),IF(AND(AH!$P$10=1,AH!$P$12=1,$A729=TODAY()),AH!$P$18,IF(AH!$P$10=1,INDEX('Live History'!$E$5:$E$3004,MATCH($A729,'Live History'!$D$5:$D$3004,1)),INDEX('AH History'!$C$1:$C$18046,AH!$P$7+724))),NA()),NA())</ns0:f>
        <ns0:v/>
      </ns0:c>
      <ns0:c r="E729">
        <ns0:f>IFERROR(IF(ISNUMBER($A729),IF(AND(AH!$P$10=1,AH!$P$12=1,$A729=TODAY()),AH!$P$20,IF(AH!$P$10=1,INDEX('Live History'!$H$5:$H$3004,MATCH($A729,'Live History'!$G$5:$G$3004,1)),INDEX('AH History'!$D$1:$D$18046,AH!$P$7+724))),NA()),NA())</ns0:f>
        <ns0:v/>
      </ns0:c>
      <ns0:c r="F729">
        <ns0:f>IFERROR(IF(ISNUMBER($A729),IF(AND(AH!$P$10=1,AH!$P$12=1,$A729=TODAY()),IF(AND(AH!$P$10=1,AH!$P$12=1,$A729=TODAY()),TODAY(),NA()),IF(AH!$P$10=1,INDEX('Live History'!$D$5:$D$3004,MATCH($A729,'Live History'!$D$5:$D$3004,1)),INDEX('AH History'!$E$1:$E$18046,AH!$P$7+724))),NA()),NA())</ns0:f>
        <ns0:v/>
      </ns0:c>
      <ns0:c r="G729">
        <ns0:f>IFERROR(IF(ISNUMBER($A729),IF(AND(AH!$P$10=1,AH!$P$12=1,$A729=TODAY()),IF(AND(AH!$P$10=1,AH!$P$12=1,$A729=TODAY()),TODAY(),NA()),IF(AH!$P$10=1,INDEX('Live History'!$G$5:$G$3004,MATCH($A729,'Live History'!$G$5:$G$3004,1)),INDEX('AH History'!$F$1:$F$18046,AH!$P$7+724))),NA()),NA())</ns0:f>
        <ns0:v/>
      </ns0:c>
      <ns0:c r="H729">
        <ns0:f>IFERROR(IF(AND(AH!$E$4="Bloomberg",AH!$P$10=1,ISNUMBER($A729),$A729&lt;=AH!$P$17),AH!$P$7-1+MATCH($A729,INDEX('AH History'!$A$1:$A$18046,AH!$P$7):INDEX('AH History'!$A$1:$A$18046,AH!$P$7+AH!$P$8-1),0),0),0)</ns0:f>
        <ns0:v/>
      </ns0:c>
      <ns0:c r="I729">
        <ns0:f>IF($H729=0,0,IFERROR(IF(AND(ABS($C729-INDEX('AH History'!$B$1:$B$18046,$H729))&lt;=MAX(0.005,ABS(INDEX('AH History'!$B$1:$B$18046,$H729))*0.00005),ABS($D729-INDEX('AH History'!$C$1:$C$18046,$H729))&lt;=MAX(0.005,ABS(INDEX('AH History'!$C$1:$C$18046,$H729))*0.00005),ABS($E729-INDEX('AH History'!$D$1:$D$18046,$H729))&lt;=0.00005,$F729=INDEX('AH History'!$E$1:$E$18046,$H729),$G729=INDEX('AH History'!$F$1:$F$18046,$H729)),1,-1),-1))</ns0:f>
        <ns0:v/>
      </ns0:c>
    </ns0:row>
    <ns0:row r="730">
      <ns0:c r="A730" s="215">
        <ns0:f>IF(OR(AH!$P$3=0,725+1&gt;AH!$P$11,AND(AH!$E$4&lt;&gt;"Stored",AH!$P$10&lt;&gt;1)),"",IFERROR(IF(AND(AH!$P$21=1,725+1=AH!$P$11),TODAY(),IF(AH!$P$10=1,INDEX('Live History'!$A$5:$A$3004,AH!$P$13+725),INDEX('AH History'!$A$1:$A$18046,AH!$P$7+725))),""))</ns0:f>
        <ns0:v/>
      </ns0:c>
      <ns0:c r="B730" s="219">
        <ns0:f>IFERROR(IF(AND(AH!$P$9&lt;&gt;1,$C730&gt;0,$D730&gt;0,$E730&gt;0,$F730&gt;0,$G730&gt;0,$F730&lt;=$A730,$G730&lt;=$A730,$A730-$F730&lt;=10,$A730-$G730&lt;=5),$D730*$E730/$C730-1,NA()),NA())</ns0:f>
        <ns0:v/>
      </ns0:c>
      <ns0:c r="C730">
        <ns0:f>IFERROR(IF(ISNUMBER($A730),IF(AND(AH!$P$10=1,AH!$P$12=1,$A730=TODAY()),AH!$P$19,IF(AH!$P$10=1,INDEX('Live History'!$B$5:$B$3004,AH!$P$13+725),INDEX('AH History'!$B$1:$B$18046,AH!$P$7+725))),NA()),NA())</ns0:f>
        <ns0:v/>
      </ns0:c>
      <ns0:c r="D730">
        <ns0:f>IFERROR(IF(ISNUMBER($A730),IF(AND(AH!$P$10=1,AH!$P$12=1,$A730=TODAY()),AH!$P$18,IF(AH!$P$10=1,INDEX('Live History'!$E$5:$E$3004,MATCH($A730,'Live History'!$D$5:$D$3004,1)),INDEX('AH History'!$C$1:$C$18046,AH!$P$7+725))),NA()),NA())</ns0:f>
        <ns0:v/>
      </ns0:c>
      <ns0:c r="E730">
        <ns0:f>IFERROR(IF(ISNUMBER($A730),IF(AND(AH!$P$10=1,AH!$P$12=1,$A730=TODAY()),AH!$P$20,IF(AH!$P$10=1,INDEX('Live History'!$H$5:$H$3004,MATCH($A730,'Live History'!$G$5:$G$3004,1)),INDEX('AH History'!$D$1:$D$18046,AH!$P$7+725))),NA()),NA())</ns0:f>
        <ns0:v/>
      </ns0:c>
      <ns0:c r="F730">
        <ns0:f>IFERROR(IF(ISNUMBER($A730),IF(AND(AH!$P$10=1,AH!$P$12=1,$A730=TODAY()),IF(AND(AH!$P$10=1,AH!$P$12=1,$A730=TODAY()),TODAY(),NA()),IF(AH!$P$10=1,INDEX('Live History'!$D$5:$D$3004,MATCH($A730,'Live History'!$D$5:$D$3004,1)),INDEX('AH History'!$E$1:$E$18046,AH!$P$7+725))),NA()),NA())</ns0:f>
        <ns0:v/>
      </ns0:c>
      <ns0:c r="G730">
        <ns0:f>IFERROR(IF(ISNUMBER($A730),IF(AND(AH!$P$10=1,AH!$P$12=1,$A730=TODAY()),IF(AND(AH!$P$10=1,AH!$P$12=1,$A730=TODAY()),TODAY(),NA()),IF(AH!$P$10=1,INDEX('Live History'!$G$5:$G$3004,MATCH($A730,'Live History'!$G$5:$G$3004,1)),INDEX('AH History'!$F$1:$F$18046,AH!$P$7+725))),NA()),NA())</ns0:f>
        <ns0:v/>
      </ns0:c>
      <ns0:c r="H730">
        <ns0:f>IFERROR(IF(AND(AH!$E$4="Bloomberg",AH!$P$10=1,ISNUMBER($A730),$A730&lt;=AH!$P$17),AH!$P$7-1+MATCH($A730,INDEX('AH History'!$A$1:$A$18046,AH!$P$7):INDEX('AH History'!$A$1:$A$18046,AH!$P$7+AH!$P$8-1),0),0),0)</ns0:f>
        <ns0:v/>
      </ns0:c>
      <ns0:c r="I730">
        <ns0:f>IF($H730=0,0,IFERROR(IF(AND(ABS($C730-INDEX('AH History'!$B$1:$B$18046,$H730))&lt;=MAX(0.005,ABS(INDEX('AH History'!$B$1:$B$18046,$H730))*0.00005),ABS($D730-INDEX('AH History'!$C$1:$C$18046,$H730))&lt;=MAX(0.005,ABS(INDEX('AH History'!$C$1:$C$18046,$H730))*0.00005),ABS($E730-INDEX('AH History'!$D$1:$D$18046,$H730))&lt;=0.00005,$F730=INDEX('AH History'!$E$1:$E$18046,$H730),$G730=INDEX('AH History'!$F$1:$F$18046,$H730)),1,-1),-1))</ns0:f>
        <ns0:v/>
      </ns0:c>
    </ns0:row>
    <ns0:row r="731">
      <ns0:c r="A731" s="215">
        <ns0:f>IF(OR(AH!$P$3=0,726+1&gt;AH!$P$11,AND(AH!$E$4&lt;&gt;"Stored",AH!$P$10&lt;&gt;1)),"",IFERROR(IF(AND(AH!$P$21=1,726+1=AH!$P$11),TODAY(),IF(AH!$P$10=1,INDEX('Live History'!$A$5:$A$3004,AH!$P$13+726),INDEX('AH History'!$A$1:$A$18046,AH!$P$7+726))),""))</ns0:f>
        <ns0:v/>
      </ns0:c>
      <ns0:c r="B731" s="219">
        <ns0:f>IFERROR(IF(AND(AH!$P$9&lt;&gt;1,$C731&gt;0,$D731&gt;0,$E731&gt;0,$F731&gt;0,$G731&gt;0,$F731&lt;=$A731,$G731&lt;=$A731,$A731-$F731&lt;=10,$A731-$G731&lt;=5),$D731*$E731/$C731-1,NA()),NA())</ns0:f>
        <ns0:v/>
      </ns0:c>
      <ns0:c r="C731">
        <ns0:f>IFERROR(IF(ISNUMBER($A731),IF(AND(AH!$P$10=1,AH!$P$12=1,$A731=TODAY()),AH!$P$19,IF(AH!$P$10=1,INDEX('Live History'!$B$5:$B$3004,AH!$P$13+726),INDEX('AH History'!$B$1:$B$18046,AH!$P$7+726))),NA()),NA())</ns0:f>
        <ns0:v/>
      </ns0:c>
      <ns0:c r="D731">
        <ns0:f>IFERROR(IF(ISNUMBER($A731),IF(AND(AH!$P$10=1,AH!$P$12=1,$A731=TODAY()),AH!$P$18,IF(AH!$P$10=1,INDEX('Live History'!$E$5:$E$3004,MATCH($A731,'Live History'!$D$5:$D$3004,1)),INDEX('AH History'!$C$1:$C$18046,AH!$P$7+726))),NA()),NA())</ns0:f>
        <ns0:v/>
      </ns0:c>
      <ns0:c r="E731">
        <ns0:f>IFERROR(IF(ISNUMBER($A731),IF(AND(AH!$P$10=1,AH!$P$12=1,$A731=TODAY()),AH!$P$20,IF(AH!$P$10=1,INDEX('Live History'!$H$5:$H$3004,MATCH($A731,'Live History'!$G$5:$G$3004,1)),INDEX('AH History'!$D$1:$D$18046,AH!$P$7+726))),NA()),NA())</ns0:f>
        <ns0:v/>
      </ns0:c>
      <ns0:c r="F731">
        <ns0:f>IFERROR(IF(ISNUMBER($A731),IF(AND(AH!$P$10=1,AH!$P$12=1,$A731=TODAY()),IF(AND(AH!$P$10=1,AH!$P$12=1,$A731=TODAY()),TODAY(),NA()),IF(AH!$P$10=1,INDEX('Live History'!$D$5:$D$3004,MATCH($A731,'Live History'!$D$5:$D$3004,1)),INDEX('AH History'!$E$1:$E$18046,AH!$P$7+726))),NA()),NA())</ns0:f>
        <ns0:v/>
      </ns0:c>
      <ns0:c r="G731">
        <ns0:f>IFERROR(IF(ISNUMBER($A731),IF(AND(AH!$P$10=1,AH!$P$12=1,$A731=TODAY()),IF(AND(AH!$P$10=1,AH!$P$12=1,$A731=TODAY()),TODAY(),NA()),IF(AH!$P$10=1,INDEX('Live History'!$G$5:$G$3004,MATCH($A731,'Live History'!$G$5:$G$3004,1)),INDEX('AH History'!$F$1:$F$18046,AH!$P$7+726))),NA()),NA())</ns0:f>
        <ns0:v/>
      </ns0:c>
      <ns0:c r="H731">
        <ns0:f>IFERROR(IF(AND(AH!$E$4="Bloomberg",AH!$P$10=1,ISNUMBER($A731),$A731&lt;=AH!$P$17),AH!$P$7-1+MATCH($A731,INDEX('AH History'!$A$1:$A$18046,AH!$P$7):INDEX('AH History'!$A$1:$A$18046,AH!$P$7+AH!$P$8-1),0),0),0)</ns0:f>
        <ns0:v/>
      </ns0:c>
      <ns0:c r="I731">
        <ns0:f>IF($H731=0,0,IFERROR(IF(AND(ABS($C731-INDEX('AH History'!$B$1:$B$18046,$H731))&lt;=MAX(0.005,ABS(INDEX('AH History'!$B$1:$B$18046,$H731))*0.00005),ABS($D731-INDEX('AH History'!$C$1:$C$18046,$H731))&lt;=MAX(0.005,ABS(INDEX('AH History'!$C$1:$C$18046,$H731))*0.00005),ABS($E731-INDEX('AH History'!$D$1:$D$18046,$H731))&lt;=0.00005,$F731=INDEX('AH History'!$E$1:$E$18046,$H731),$G731=INDEX('AH History'!$F$1:$F$18046,$H731)),1,-1),-1))</ns0:f>
        <ns0:v/>
      </ns0:c>
    </ns0:row>
    <ns0:row r="732">
      <ns0:c r="A732" s="215">
        <ns0:f>IF(OR(AH!$P$3=0,727+1&gt;AH!$P$11,AND(AH!$E$4&lt;&gt;"Stored",AH!$P$10&lt;&gt;1)),"",IFERROR(IF(AND(AH!$P$21=1,727+1=AH!$P$11),TODAY(),IF(AH!$P$10=1,INDEX('Live History'!$A$5:$A$3004,AH!$P$13+727),INDEX('AH History'!$A$1:$A$18046,AH!$P$7+727))),""))</ns0:f>
        <ns0:v/>
      </ns0:c>
      <ns0:c r="B732" s="219">
        <ns0:f>IFERROR(IF(AND(AH!$P$9&lt;&gt;1,$C732&gt;0,$D732&gt;0,$E732&gt;0,$F732&gt;0,$G732&gt;0,$F732&lt;=$A732,$G732&lt;=$A732,$A732-$F732&lt;=10,$A732-$G732&lt;=5),$D732*$E732/$C732-1,NA()),NA())</ns0:f>
        <ns0:v/>
      </ns0:c>
      <ns0:c r="C732">
        <ns0:f>IFERROR(IF(ISNUMBER($A732),IF(AND(AH!$P$10=1,AH!$P$12=1,$A732=TODAY()),AH!$P$19,IF(AH!$P$10=1,INDEX('Live History'!$B$5:$B$3004,AH!$P$13+727),INDEX('AH History'!$B$1:$B$18046,AH!$P$7+727))),NA()),NA())</ns0:f>
        <ns0:v/>
      </ns0:c>
      <ns0:c r="D732">
        <ns0:f>IFERROR(IF(ISNUMBER($A732),IF(AND(AH!$P$10=1,AH!$P$12=1,$A732=TODAY()),AH!$P$18,IF(AH!$P$10=1,INDEX('Live History'!$E$5:$E$3004,MATCH($A732,'Live History'!$D$5:$D$3004,1)),INDEX('AH History'!$C$1:$C$18046,AH!$P$7+727))),NA()),NA())</ns0:f>
        <ns0:v/>
      </ns0:c>
      <ns0:c r="E732">
        <ns0:f>IFERROR(IF(ISNUMBER($A732),IF(AND(AH!$P$10=1,AH!$P$12=1,$A732=TODAY()),AH!$P$20,IF(AH!$P$10=1,INDEX('Live History'!$H$5:$H$3004,MATCH($A732,'Live History'!$G$5:$G$3004,1)),INDEX('AH History'!$D$1:$D$18046,AH!$P$7+727))),NA()),NA())</ns0:f>
        <ns0:v/>
      </ns0:c>
      <ns0:c r="F732">
        <ns0:f>IFERROR(IF(ISNUMBER($A732),IF(AND(AH!$P$10=1,AH!$P$12=1,$A732=TODAY()),IF(AND(AH!$P$10=1,AH!$P$12=1,$A732=TODAY()),TODAY(),NA()),IF(AH!$P$10=1,INDEX('Live History'!$D$5:$D$3004,MATCH($A732,'Live History'!$D$5:$D$3004,1)),INDEX('AH History'!$E$1:$E$18046,AH!$P$7+727))),NA()),NA())</ns0:f>
        <ns0:v/>
      </ns0:c>
      <ns0:c r="G732">
        <ns0:f>IFERROR(IF(ISNUMBER($A732),IF(AND(AH!$P$10=1,AH!$P$12=1,$A732=TODAY()),IF(AND(AH!$P$10=1,AH!$P$12=1,$A732=TODAY()),TODAY(),NA()),IF(AH!$P$10=1,INDEX('Live History'!$G$5:$G$3004,MATCH($A732,'Live History'!$G$5:$G$3004,1)),INDEX('AH History'!$F$1:$F$18046,AH!$P$7+727))),NA()),NA())</ns0:f>
        <ns0:v/>
      </ns0:c>
      <ns0:c r="H732">
        <ns0:f>IFERROR(IF(AND(AH!$E$4="Bloomberg",AH!$P$10=1,ISNUMBER($A732),$A732&lt;=AH!$P$17),AH!$P$7-1+MATCH($A732,INDEX('AH History'!$A$1:$A$18046,AH!$P$7):INDEX('AH History'!$A$1:$A$18046,AH!$P$7+AH!$P$8-1),0),0),0)</ns0:f>
        <ns0:v/>
      </ns0:c>
      <ns0:c r="I732">
        <ns0:f>IF($H732=0,0,IFERROR(IF(AND(ABS($C732-INDEX('AH History'!$B$1:$B$18046,$H732))&lt;=MAX(0.005,ABS(INDEX('AH History'!$B$1:$B$18046,$H732))*0.00005),ABS($D732-INDEX('AH History'!$C$1:$C$18046,$H732))&lt;=MAX(0.005,ABS(INDEX('AH History'!$C$1:$C$18046,$H732))*0.00005),ABS($E732-INDEX('AH History'!$D$1:$D$18046,$H732))&lt;=0.00005,$F732=INDEX('AH History'!$E$1:$E$18046,$H732),$G732=INDEX('AH History'!$F$1:$F$18046,$H732)),1,-1),-1))</ns0:f>
        <ns0:v/>
      </ns0:c>
    </ns0:row>
    <ns0:row r="733">
      <ns0:c r="A733" s="215">
        <ns0:f>IF(OR(AH!$P$3=0,728+1&gt;AH!$P$11,AND(AH!$E$4&lt;&gt;"Stored",AH!$P$10&lt;&gt;1)),"",IFERROR(IF(AND(AH!$P$21=1,728+1=AH!$P$11),TODAY(),IF(AH!$P$10=1,INDEX('Live History'!$A$5:$A$3004,AH!$P$13+728),INDEX('AH History'!$A$1:$A$18046,AH!$P$7+728))),""))</ns0:f>
        <ns0:v/>
      </ns0:c>
      <ns0:c r="B733" s="219">
        <ns0:f>IFERROR(IF(AND(AH!$P$9&lt;&gt;1,$C733&gt;0,$D733&gt;0,$E733&gt;0,$F733&gt;0,$G733&gt;0,$F733&lt;=$A733,$G733&lt;=$A733,$A733-$F733&lt;=10,$A733-$G733&lt;=5),$D733*$E733/$C733-1,NA()),NA())</ns0:f>
        <ns0:v/>
      </ns0:c>
      <ns0:c r="C733">
        <ns0:f>IFERROR(IF(ISNUMBER($A733),IF(AND(AH!$P$10=1,AH!$P$12=1,$A733=TODAY()),AH!$P$19,IF(AH!$P$10=1,INDEX('Live History'!$B$5:$B$3004,AH!$P$13+728),INDEX('AH History'!$B$1:$B$18046,AH!$P$7+728))),NA()),NA())</ns0:f>
        <ns0:v/>
      </ns0:c>
      <ns0:c r="D733">
        <ns0:f>IFERROR(IF(ISNUMBER($A733),IF(AND(AH!$P$10=1,AH!$P$12=1,$A733=TODAY()),AH!$P$18,IF(AH!$P$10=1,INDEX('Live History'!$E$5:$E$3004,MATCH($A733,'Live History'!$D$5:$D$3004,1)),INDEX('AH History'!$C$1:$C$18046,AH!$P$7+728))),NA()),NA())</ns0:f>
        <ns0:v/>
      </ns0:c>
      <ns0:c r="E733">
        <ns0:f>IFERROR(IF(ISNUMBER($A733),IF(AND(AH!$P$10=1,AH!$P$12=1,$A733=TODAY()),AH!$P$20,IF(AH!$P$10=1,INDEX('Live History'!$H$5:$H$3004,MATCH($A733,'Live History'!$G$5:$G$3004,1)),INDEX('AH History'!$D$1:$D$18046,AH!$P$7+728))),NA()),NA())</ns0:f>
        <ns0:v/>
      </ns0:c>
      <ns0:c r="F733">
        <ns0:f>IFERROR(IF(ISNUMBER($A733),IF(AND(AH!$P$10=1,AH!$P$12=1,$A733=TODAY()),IF(AND(AH!$P$10=1,AH!$P$12=1,$A733=TODAY()),TODAY(),NA()),IF(AH!$P$10=1,INDEX('Live History'!$D$5:$D$3004,MATCH($A733,'Live History'!$D$5:$D$3004,1)),INDEX('AH History'!$E$1:$E$18046,AH!$P$7+728))),NA()),NA())</ns0:f>
        <ns0:v/>
      </ns0:c>
      <ns0:c r="G733">
        <ns0:f>IFERROR(IF(ISNUMBER($A733),IF(AND(AH!$P$10=1,AH!$P$12=1,$A733=TODAY()),IF(AND(AH!$P$10=1,AH!$P$12=1,$A733=TODAY()),TODAY(),NA()),IF(AH!$P$10=1,INDEX('Live History'!$G$5:$G$3004,MATCH($A733,'Live History'!$G$5:$G$3004,1)),INDEX('AH History'!$F$1:$F$18046,AH!$P$7+728))),NA()),NA())</ns0:f>
        <ns0:v/>
      </ns0:c>
      <ns0:c r="H733">
        <ns0:f>IFERROR(IF(AND(AH!$E$4="Bloomberg",AH!$P$10=1,ISNUMBER($A733),$A733&lt;=AH!$P$17),AH!$P$7-1+MATCH($A733,INDEX('AH History'!$A$1:$A$18046,AH!$P$7):INDEX('AH History'!$A$1:$A$18046,AH!$P$7+AH!$P$8-1),0),0),0)</ns0:f>
        <ns0:v/>
      </ns0:c>
      <ns0:c r="I733">
        <ns0:f>IF($H733=0,0,IFERROR(IF(AND(ABS($C733-INDEX('AH History'!$B$1:$B$18046,$H733))&lt;=MAX(0.005,ABS(INDEX('AH History'!$B$1:$B$18046,$H733))*0.00005),ABS($D733-INDEX('AH History'!$C$1:$C$18046,$H733))&lt;=MAX(0.005,ABS(INDEX('AH History'!$C$1:$C$18046,$H733))*0.00005),ABS($E733-INDEX('AH History'!$D$1:$D$18046,$H733))&lt;=0.00005,$F733=INDEX('AH History'!$E$1:$E$18046,$H733),$G733=INDEX('AH History'!$F$1:$F$18046,$H733)),1,-1),-1))</ns0:f>
        <ns0:v/>
      </ns0:c>
    </ns0:row>
    <ns0:row r="734">
      <ns0:c r="A734" s="215">
        <ns0:f>IF(OR(AH!$P$3=0,729+1&gt;AH!$P$11,AND(AH!$E$4&lt;&gt;"Stored",AH!$P$10&lt;&gt;1)),"",IFERROR(IF(AND(AH!$P$21=1,729+1=AH!$P$11),TODAY(),IF(AH!$P$10=1,INDEX('Live History'!$A$5:$A$3004,AH!$P$13+729),INDEX('AH History'!$A$1:$A$18046,AH!$P$7+729))),""))</ns0:f>
        <ns0:v/>
      </ns0:c>
      <ns0:c r="B734" s="219">
        <ns0:f>IFERROR(IF(AND(AH!$P$9&lt;&gt;1,$C734&gt;0,$D734&gt;0,$E734&gt;0,$F734&gt;0,$G734&gt;0,$F734&lt;=$A734,$G734&lt;=$A734,$A734-$F734&lt;=10,$A734-$G734&lt;=5),$D734*$E734/$C734-1,NA()),NA())</ns0:f>
        <ns0:v/>
      </ns0:c>
      <ns0:c r="C734">
        <ns0:f>IFERROR(IF(ISNUMBER($A734),IF(AND(AH!$P$10=1,AH!$P$12=1,$A734=TODAY()),AH!$P$19,IF(AH!$P$10=1,INDEX('Live History'!$B$5:$B$3004,AH!$P$13+729),INDEX('AH History'!$B$1:$B$18046,AH!$P$7+729))),NA()),NA())</ns0:f>
        <ns0:v/>
      </ns0:c>
      <ns0:c r="D734">
        <ns0:f>IFERROR(IF(ISNUMBER($A734),IF(AND(AH!$P$10=1,AH!$P$12=1,$A734=TODAY()),AH!$P$18,IF(AH!$P$10=1,INDEX('Live History'!$E$5:$E$3004,MATCH($A734,'Live History'!$D$5:$D$3004,1)),INDEX('AH History'!$C$1:$C$18046,AH!$P$7+729))),NA()),NA())</ns0:f>
        <ns0:v/>
      </ns0:c>
      <ns0:c r="E734">
        <ns0:f>IFERROR(IF(ISNUMBER($A734),IF(AND(AH!$P$10=1,AH!$P$12=1,$A734=TODAY()),AH!$P$20,IF(AH!$P$10=1,INDEX('Live History'!$H$5:$H$3004,MATCH($A734,'Live History'!$G$5:$G$3004,1)),INDEX('AH History'!$D$1:$D$18046,AH!$P$7+729))),NA()),NA())</ns0:f>
        <ns0:v/>
      </ns0:c>
      <ns0:c r="F734">
        <ns0:f>IFERROR(IF(ISNUMBER($A734),IF(AND(AH!$P$10=1,AH!$P$12=1,$A734=TODAY()),IF(AND(AH!$P$10=1,AH!$P$12=1,$A734=TODAY()),TODAY(),NA()),IF(AH!$P$10=1,INDEX('Live History'!$D$5:$D$3004,MATCH($A734,'Live History'!$D$5:$D$3004,1)),INDEX('AH History'!$E$1:$E$18046,AH!$P$7+729))),NA()),NA())</ns0:f>
        <ns0:v/>
      </ns0:c>
      <ns0:c r="G734">
        <ns0:f>IFERROR(IF(ISNUMBER($A734),IF(AND(AH!$P$10=1,AH!$P$12=1,$A734=TODAY()),IF(AND(AH!$P$10=1,AH!$P$12=1,$A734=TODAY()),TODAY(),NA()),IF(AH!$P$10=1,INDEX('Live History'!$G$5:$G$3004,MATCH($A734,'Live History'!$G$5:$G$3004,1)),INDEX('AH History'!$F$1:$F$18046,AH!$P$7+729))),NA()),NA())</ns0:f>
        <ns0:v/>
      </ns0:c>
      <ns0:c r="H734">
        <ns0:f>IFERROR(IF(AND(AH!$E$4="Bloomberg",AH!$P$10=1,ISNUMBER($A734),$A734&lt;=AH!$P$17),AH!$P$7-1+MATCH($A734,INDEX('AH History'!$A$1:$A$18046,AH!$P$7):INDEX('AH History'!$A$1:$A$18046,AH!$P$7+AH!$P$8-1),0),0),0)</ns0:f>
        <ns0:v/>
      </ns0:c>
      <ns0:c r="I734">
        <ns0:f>IF($H734=0,0,IFERROR(IF(AND(ABS($C734-INDEX('AH History'!$B$1:$B$18046,$H734))&lt;=MAX(0.005,ABS(INDEX('AH History'!$B$1:$B$18046,$H734))*0.00005),ABS($D734-INDEX('AH History'!$C$1:$C$18046,$H734))&lt;=MAX(0.005,ABS(INDEX('AH History'!$C$1:$C$18046,$H734))*0.00005),ABS($E734-INDEX('AH History'!$D$1:$D$18046,$H734))&lt;=0.00005,$F734=INDEX('AH History'!$E$1:$E$18046,$H734),$G734=INDEX('AH History'!$F$1:$F$18046,$H734)),1,-1),-1))</ns0:f>
        <ns0:v/>
      </ns0:c>
    </ns0:row>
    <ns0:row r="735">
      <ns0:c r="A735" s="215">
        <ns0:f>IF(OR(AH!$P$3=0,730+1&gt;AH!$P$11,AND(AH!$E$4&lt;&gt;"Stored",AH!$P$10&lt;&gt;1)),"",IFERROR(IF(AND(AH!$P$21=1,730+1=AH!$P$11),TODAY(),IF(AH!$P$10=1,INDEX('Live History'!$A$5:$A$3004,AH!$P$13+730),INDEX('AH History'!$A$1:$A$18046,AH!$P$7+730))),""))</ns0:f>
        <ns0:v/>
      </ns0:c>
      <ns0:c r="B735" s="219">
        <ns0:f>IFERROR(IF(AND(AH!$P$9&lt;&gt;1,$C735&gt;0,$D735&gt;0,$E735&gt;0,$F735&gt;0,$G735&gt;0,$F735&lt;=$A735,$G735&lt;=$A735,$A735-$F735&lt;=10,$A735-$G735&lt;=5),$D735*$E735/$C735-1,NA()),NA())</ns0:f>
        <ns0:v/>
      </ns0:c>
      <ns0:c r="C735">
        <ns0:f>IFERROR(IF(ISNUMBER($A735),IF(AND(AH!$P$10=1,AH!$P$12=1,$A735=TODAY()),AH!$P$19,IF(AH!$P$10=1,INDEX('Live History'!$B$5:$B$3004,AH!$P$13+730),INDEX('AH History'!$B$1:$B$18046,AH!$P$7+730))),NA()),NA())</ns0:f>
        <ns0:v/>
      </ns0:c>
      <ns0:c r="D735">
        <ns0:f>IFERROR(IF(ISNUMBER($A735),IF(AND(AH!$P$10=1,AH!$P$12=1,$A735=TODAY()),AH!$P$18,IF(AH!$P$10=1,INDEX('Live History'!$E$5:$E$3004,MATCH($A735,'Live History'!$D$5:$D$3004,1)),INDEX('AH History'!$C$1:$C$18046,AH!$P$7+730))),NA()),NA())</ns0:f>
        <ns0:v/>
      </ns0:c>
      <ns0:c r="E735">
        <ns0:f>IFERROR(IF(ISNUMBER($A735),IF(AND(AH!$P$10=1,AH!$P$12=1,$A735=TODAY()),AH!$P$20,IF(AH!$P$10=1,INDEX('Live History'!$H$5:$H$3004,MATCH($A735,'Live History'!$G$5:$G$3004,1)),INDEX('AH History'!$D$1:$D$18046,AH!$P$7+730))),NA()),NA())</ns0:f>
        <ns0:v/>
      </ns0:c>
      <ns0:c r="F735">
        <ns0:f>IFERROR(IF(ISNUMBER($A735),IF(AND(AH!$P$10=1,AH!$P$12=1,$A735=TODAY()),IF(AND(AH!$P$10=1,AH!$P$12=1,$A735=TODAY()),TODAY(),NA()),IF(AH!$P$10=1,INDEX('Live History'!$D$5:$D$3004,MATCH($A735,'Live History'!$D$5:$D$3004,1)),INDEX('AH History'!$E$1:$E$18046,AH!$P$7+730))),NA()),NA())</ns0:f>
        <ns0:v/>
      </ns0:c>
      <ns0:c r="G735">
        <ns0:f>IFERROR(IF(ISNUMBER($A735),IF(AND(AH!$P$10=1,AH!$P$12=1,$A735=TODAY()),IF(AND(AH!$P$10=1,AH!$P$12=1,$A735=TODAY()),TODAY(),NA()),IF(AH!$P$10=1,INDEX('Live History'!$G$5:$G$3004,MATCH($A735,'Live History'!$G$5:$G$3004,1)),INDEX('AH History'!$F$1:$F$18046,AH!$P$7+730))),NA()),NA())</ns0:f>
        <ns0:v/>
      </ns0:c>
      <ns0:c r="H735">
        <ns0:f>IFERROR(IF(AND(AH!$E$4="Bloomberg",AH!$P$10=1,ISNUMBER($A735),$A735&lt;=AH!$P$17),AH!$P$7-1+MATCH($A735,INDEX('AH History'!$A$1:$A$18046,AH!$P$7):INDEX('AH History'!$A$1:$A$18046,AH!$P$7+AH!$P$8-1),0),0),0)</ns0:f>
        <ns0:v/>
      </ns0:c>
      <ns0:c r="I735">
        <ns0:f>IF($H735=0,0,IFERROR(IF(AND(ABS($C735-INDEX('AH History'!$B$1:$B$18046,$H735))&lt;=MAX(0.005,ABS(INDEX('AH History'!$B$1:$B$18046,$H735))*0.00005),ABS($D735-INDEX('AH History'!$C$1:$C$18046,$H735))&lt;=MAX(0.005,ABS(INDEX('AH History'!$C$1:$C$18046,$H735))*0.00005),ABS($E735-INDEX('AH History'!$D$1:$D$18046,$H735))&lt;=0.00005,$F735=INDEX('AH History'!$E$1:$E$18046,$H735),$G735=INDEX('AH History'!$F$1:$F$18046,$H735)),1,-1),-1))</ns0:f>
        <ns0:v/>
      </ns0:c>
    </ns0:row>
    <ns0:row r="736">
      <ns0:c r="A736" s="215">
        <ns0:f>IF(OR(AH!$P$3=0,731+1&gt;AH!$P$11,AND(AH!$E$4&lt;&gt;"Stored",AH!$P$10&lt;&gt;1)),"",IFERROR(IF(AND(AH!$P$21=1,731+1=AH!$P$11),TODAY(),IF(AH!$P$10=1,INDEX('Live History'!$A$5:$A$3004,AH!$P$13+731),INDEX('AH History'!$A$1:$A$18046,AH!$P$7+731))),""))</ns0:f>
        <ns0:v/>
      </ns0:c>
      <ns0:c r="B736" s="219">
        <ns0:f>IFERROR(IF(AND(AH!$P$9&lt;&gt;1,$C736&gt;0,$D736&gt;0,$E736&gt;0,$F736&gt;0,$G736&gt;0,$F736&lt;=$A736,$G736&lt;=$A736,$A736-$F736&lt;=10,$A736-$G736&lt;=5),$D736*$E736/$C736-1,NA()),NA())</ns0:f>
        <ns0:v/>
      </ns0:c>
      <ns0:c r="C736">
        <ns0:f>IFERROR(IF(ISNUMBER($A736),IF(AND(AH!$P$10=1,AH!$P$12=1,$A736=TODAY()),AH!$P$19,IF(AH!$P$10=1,INDEX('Live History'!$B$5:$B$3004,AH!$P$13+731),INDEX('AH History'!$B$1:$B$18046,AH!$P$7+731))),NA()),NA())</ns0:f>
        <ns0:v/>
      </ns0:c>
      <ns0:c r="D736">
        <ns0:f>IFERROR(IF(ISNUMBER($A736),IF(AND(AH!$P$10=1,AH!$P$12=1,$A736=TODAY()),AH!$P$18,IF(AH!$P$10=1,INDEX('Live History'!$E$5:$E$3004,MATCH($A736,'Live History'!$D$5:$D$3004,1)),INDEX('AH History'!$C$1:$C$18046,AH!$P$7+731))),NA()),NA())</ns0:f>
        <ns0:v/>
      </ns0:c>
      <ns0:c r="E736">
        <ns0:f>IFERROR(IF(ISNUMBER($A736),IF(AND(AH!$P$10=1,AH!$P$12=1,$A736=TODAY()),AH!$P$20,IF(AH!$P$10=1,INDEX('Live History'!$H$5:$H$3004,MATCH($A736,'Live History'!$G$5:$G$3004,1)),INDEX('AH History'!$D$1:$D$18046,AH!$P$7+731))),NA()),NA())</ns0:f>
        <ns0:v/>
      </ns0:c>
      <ns0:c r="F736">
        <ns0:f>IFERROR(IF(ISNUMBER($A736),IF(AND(AH!$P$10=1,AH!$P$12=1,$A736=TODAY()),IF(AND(AH!$P$10=1,AH!$P$12=1,$A736=TODAY()),TODAY(),NA()),IF(AH!$P$10=1,INDEX('Live History'!$D$5:$D$3004,MATCH($A736,'Live History'!$D$5:$D$3004,1)),INDEX('AH History'!$E$1:$E$18046,AH!$P$7+731))),NA()),NA())</ns0:f>
        <ns0:v/>
      </ns0:c>
      <ns0:c r="G736">
        <ns0:f>IFERROR(IF(ISNUMBER($A736),IF(AND(AH!$P$10=1,AH!$P$12=1,$A736=TODAY()),IF(AND(AH!$P$10=1,AH!$P$12=1,$A736=TODAY()),TODAY(),NA()),IF(AH!$P$10=1,INDEX('Live History'!$G$5:$G$3004,MATCH($A736,'Live History'!$G$5:$G$3004,1)),INDEX('AH History'!$F$1:$F$18046,AH!$P$7+731))),NA()),NA())</ns0:f>
        <ns0:v/>
      </ns0:c>
      <ns0:c r="H736">
        <ns0:f>IFERROR(IF(AND(AH!$E$4="Bloomberg",AH!$P$10=1,ISNUMBER($A736),$A736&lt;=AH!$P$17),AH!$P$7-1+MATCH($A736,INDEX('AH History'!$A$1:$A$18046,AH!$P$7):INDEX('AH History'!$A$1:$A$18046,AH!$P$7+AH!$P$8-1),0),0),0)</ns0:f>
        <ns0:v/>
      </ns0:c>
      <ns0:c r="I736">
        <ns0:f>IF($H736=0,0,IFERROR(IF(AND(ABS($C736-INDEX('AH History'!$B$1:$B$18046,$H736))&lt;=MAX(0.005,ABS(INDEX('AH History'!$B$1:$B$18046,$H736))*0.00005),ABS($D736-INDEX('AH History'!$C$1:$C$18046,$H736))&lt;=MAX(0.005,ABS(INDEX('AH History'!$C$1:$C$18046,$H736))*0.00005),ABS($E736-INDEX('AH History'!$D$1:$D$18046,$H736))&lt;=0.00005,$F736=INDEX('AH History'!$E$1:$E$18046,$H736),$G736=INDEX('AH History'!$F$1:$F$18046,$H736)),1,-1),-1))</ns0:f>
        <ns0:v/>
      </ns0:c>
    </ns0:row>
    <ns0:row r="737">
      <ns0:c r="A737" s="215">
        <ns0:f>IF(OR(AH!$P$3=0,732+1&gt;AH!$P$11,AND(AH!$E$4&lt;&gt;"Stored",AH!$P$10&lt;&gt;1)),"",IFERROR(IF(AND(AH!$P$21=1,732+1=AH!$P$11),TODAY(),IF(AH!$P$10=1,INDEX('Live History'!$A$5:$A$3004,AH!$P$13+732),INDEX('AH History'!$A$1:$A$18046,AH!$P$7+732))),""))</ns0:f>
        <ns0:v/>
      </ns0:c>
      <ns0:c r="B737" s="219">
        <ns0:f>IFERROR(IF(AND(AH!$P$9&lt;&gt;1,$C737&gt;0,$D737&gt;0,$E737&gt;0,$F737&gt;0,$G737&gt;0,$F737&lt;=$A737,$G737&lt;=$A737,$A737-$F737&lt;=10,$A737-$G737&lt;=5),$D737*$E737/$C737-1,NA()),NA())</ns0:f>
        <ns0:v/>
      </ns0:c>
      <ns0:c r="C737">
        <ns0:f>IFERROR(IF(ISNUMBER($A737),IF(AND(AH!$P$10=1,AH!$P$12=1,$A737=TODAY()),AH!$P$19,IF(AH!$P$10=1,INDEX('Live History'!$B$5:$B$3004,AH!$P$13+732),INDEX('AH History'!$B$1:$B$18046,AH!$P$7+732))),NA()),NA())</ns0:f>
        <ns0:v/>
      </ns0:c>
      <ns0:c r="D737">
        <ns0:f>IFERROR(IF(ISNUMBER($A737),IF(AND(AH!$P$10=1,AH!$P$12=1,$A737=TODAY()),AH!$P$18,IF(AH!$P$10=1,INDEX('Live History'!$E$5:$E$3004,MATCH($A737,'Live History'!$D$5:$D$3004,1)),INDEX('AH History'!$C$1:$C$18046,AH!$P$7+732))),NA()),NA())</ns0:f>
        <ns0:v/>
      </ns0:c>
      <ns0:c r="E737">
        <ns0:f>IFERROR(IF(ISNUMBER($A737),IF(AND(AH!$P$10=1,AH!$P$12=1,$A737=TODAY()),AH!$P$20,IF(AH!$P$10=1,INDEX('Live History'!$H$5:$H$3004,MATCH($A737,'Live History'!$G$5:$G$3004,1)),INDEX('AH History'!$D$1:$D$18046,AH!$P$7+732))),NA()),NA())</ns0:f>
        <ns0:v/>
      </ns0:c>
      <ns0:c r="F737">
        <ns0:f>IFERROR(IF(ISNUMBER($A737),IF(AND(AH!$P$10=1,AH!$P$12=1,$A737=TODAY()),IF(AND(AH!$P$10=1,AH!$P$12=1,$A737=TODAY()),TODAY(),NA()),IF(AH!$P$10=1,INDEX('Live History'!$D$5:$D$3004,MATCH($A737,'Live History'!$D$5:$D$3004,1)),INDEX('AH History'!$E$1:$E$18046,AH!$P$7+732))),NA()),NA())</ns0:f>
        <ns0:v/>
      </ns0:c>
      <ns0:c r="G737">
        <ns0:f>IFERROR(IF(ISNUMBER($A737),IF(AND(AH!$P$10=1,AH!$P$12=1,$A737=TODAY()),IF(AND(AH!$P$10=1,AH!$P$12=1,$A737=TODAY()),TODAY(),NA()),IF(AH!$P$10=1,INDEX('Live History'!$G$5:$G$3004,MATCH($A737,'Live History'!$G$5:$G$3004,1)),INDEX('AH History'!$F$1:$F$18046,AH!$P$7+732))),NA()),NA())</ns0:f>
        <ns0:v/>
      </ns0:c>
      <ns0:c r="H737">
        <ns0:f>IFERROR(IF(AND(AH!$E$4="Bloomberg",AH!$P$10=1,ISNUMBER($A737),$A737&lt;=AH!$P$17),AH!$P$7-1+MATCH($A737,INDEX('AH History'!$A$1:$A$18046,AH!$P$7):INDEX('AH History'!$A$1:$A$18046,AH!$P$7+AH!$P$8-1),0),0),0)</ns0:f>
        <ns0:v/>
      </ns0:c>
      <ns0:c r="I737">
        <ns0:f>IF($H737=0,0,IFERROR(IF(AND(ABS($C737-INDEX('AH History'!$B$1:$B$18046,$H737))&lt;=MAX(0.005,ABS(INDEX('AH History'!$B$1:$B$18046,$H737))*0.00005),ABS($D737-INDEX('AH History'!$C$1:$C$18046,$H737))&lt;=MAX(0.005,ABS(INDEX('AH History'!$C$1:$C$18046,$H737))*0.00005),ABS($E737-INDEX('AH History'!$D$1:$D$18046,$H737))&lt;=0.00005,$F737=INDEX('AH History'!$E$1:$E$18046,$H737),$G737=INDEX('AH History'!$F$1:$F$18046,$H737)),1,-1),-1))</ns0:f>
        <ns0:v/>
      </ns0:c>
    </ns0:row>
    <ns0:row r="738">
      <ns0:c r="A738" s="215">
        <ns0:f>IF(OR(AH!$P$3=0,733+1&gt;AH!$P$11,AND(AH!$E$4&lt;&gt;"Stored",AH!$P$10&lt;&gt;1)),"",IFERROR(IF(AND(AH!$P$21=1,733+1=AH!$P$11),TODAY(),IF(AH!$P$10=1,INDEX('Live History'!$A$5:$A$3004,AH!$P$13+733),INDEX('AH History'!$A$1:$A$18046,AH!$P$7+733))),""))</ns0:f>
        <ns0:v/>
      </ns0:c>
      <ns0:c r="B738" s="219">
        <ns0:f>IFERROR(IF(AND(AH!$P$9&lt;&gt;1,$C738&gt;0,$D738&gt;0,$E738&gt;0,$F738&gt;0,$G738&gt;0,$F738&lt;=$A738,$G738&lt;=$A738,$A738-$F738&lt;=10,$A738-$G738&lt;=5),$D738*$E738/$C738-1,NA()),NA())</ns0:f>
        <ns0:v/>
      </ns0:c>
      <ns0:c r="C738">
        <ns0:f>IFERROR(IF(ISNUMBER($A738),IF(AND(AH!$P$10=1,AH!$P$12=1,$A738=TODAY()),AH!$P$19,IF(AH!$P$10=1,INDEX('Live History'!$B$5:$B$3004,AH!$P$13+733),INDEX('AH History'!$B$1:$B$18046,AH!$P$7+733))),NA()),NA())</ns0:f>
        <ns0:v/>
      </ns0:c>
      <ns0:c r="D738">
        <ns0:f>IFERROR(IF(ISNUMBER($A738),IF(AND(AH!$P$10=1,AH!$P$12=1,$A738=TODAY()),AH!$P$18,IF(AH!$P$10=1,INDEX('Live History'!$E$5:$E$3004,MATCH($A738,'Live History'!$D$5:$D$3004,1)),INDEX('AH History'!$C$1:$C$18046,AH!$P$7+733))),NA()),NA())</ns0:f>
        <ns0:v/>
      </ns0:c>
      <ns0:c r="E738">
        <ns0:f>IFERROR(IF(ISNUMBER($A738),IF(AND(AH!$P$10=1,AH!$P$12=1,$A738=TODAY()),AH!$P$20,IF(AH!$P$10=1,INDEX('Live History'!$H$5:$H$3004,MATCH($A738,'Live History'!$G$5:$G$3004,1)),INDEX('AH History'!$D$1:$D$18046,AH!$P$7+733))),NA()),NA())</ns0:f>
        <ns0:v/>
      </ns0:c>
      <ns0:c r="F738">
        <ns0:f>IFERROR(IF(ISNUMBER($A738),IF(AND(AH!$P$10=1,AH!$P$12=1,$A738=TODAY()),IF(AND(AH!$P$10=1,AH!$P$12=1,$A738=TODAY()),TODAY(),NA()),IF(AH!$P$10=1,INDEX('Live History'!$D$5:$D$3004,MATCH($A738,'Live History'!$D$5:$D$3004,1)),INDEX('AH History'!$E$1:$E$18046,AH!$P$7+733))),NA()),NA())</ns0:f>
        <ns0:v/>
      </ns0:c>
      <ns0:c r="G738">
        <ns0:f>IFERROR(IF(ISNUMBER($A738),IF(AND(AH!$P$10=1,AH!$P$12=1,$A738=TODAY()),IF(AND(AH!$P$10=1,AH!$P$12=1,$A738=TODAY()),TODAY(),NA()),IF(AH!$P$10=1,INDEX('Live History'!$G$5:$G$3004,MATCH($A738,'Live History'!$G$5:$G$3004,1)),INDEX('AH History'!$F$1:$F$18046,AH!$P$7+733))),NA()),NA())</ns0:f>
        <ns0:v/>
      </ns0:c>
      <ns0:c r="H738">
        <ns0:f>IFERROR(IF(AND(AH!$E$4="Bloomberg",AH!$P$10=1,ISNUMBER($A738),$A738&lt;=AH!$P$17),AH!$P$7-1+MATCH($A738,INDEX('AH History'!$A$1:$A$18046,AH!$P$7):INDEX('AH History'!$A$1:$A$18046,AH!$P$7+AH!$P$8-1),0),0),0)</ns0:f>
        <ns0:v/>
      </ns0:c>
      <ns0:c r="I738">
        <ns0:f>IF($H738=0,0,IFERROR(IF(AND(ABS($C738-INDEX('AH History'!$B$1:$B$18046,$H738))&lt;=MAX(0.005,ABS(INDEX('AH History'!$B$1:$B$18046,$H738))*0.00005),ABS($D738-INDEX('AH History'!$C$1:$C$18046,$H738))&lt;=MAX(0.005,ABS(INDEX('AH History'!$C$1:$C$18046,$H738))*0.00005),ABS($E738-INDEX('AH History'!$D$1:$D$18046,$H738))&lt;=0.00005,$F738=INDEX('AH History'!$E$1:$E$18046,$H738),$G738=INDEX('AH History'!$F$1:$F$18046,$H738)),1,-1),-1))</ns0:f>
        <ns0:v/>
      </ns0:c>
    </ns0:row>
    <ns0:row r="739">
      <ns0:c r="A739" s="215">
        <ns0:f>IF(OR(AH!$P$3=0,734+1&gt;AH!$P$11,AND(AH!$E$4&lt;&gt;"Stored",AH!$P$10&lt;&gt;1)),"",IFERROR(IF(AND(AH!$P$21=1,734+1=AH!$P$11),TODAY(),IF(AH!$P$10=1,INDEX('Live History'!$A$5:$A$3004,AH!$P$13+734),INDEX('AH History'!$A$1:$A$18046,AH!$P$7+734))),""))</ns0:f>
        <ns0:v/>
      </ns0:c>
      <ns0:c r="B739" s="219">
        <ns0:f>IFERROR(IF(AND(AH!$P$9&lt;&gt;1,$C739&gt;0,$D739&gt;0,$E739&gt;0,$F739&gt;0,$G739&gt;0,$F739&lt;=$A739,$G739&lt;=$A739,$A739-$F739&lt;=10,$A739-$G739&lt;=5),$D739*$E739/$C739-1,NA()),NA())</ns0:f>
        <ns0:v/>
      </ns0:c>
      <ns0:c r="C739">
        <ns0:f>IFERROR(IF(ISNUMBER($A739),IF(AND(AH!$P$10=1,AH!$P$12=1,$A739=TODAY()),AH!$P$19,IF(AH!$P$10=1,INDEX('Live History'!$B$5:$B$3004,AH!$P$13+734),INDEX('AH History'!$B$1:$B$18046,AH!$P$7+734))),NA()),NA())</ns0:f>
        <ns0:v/>
      </ns0:c>
      <ns0:c r="D739">
        <ns0:f>IFERROR(IF(ISNUMBER($A739),IF(AND(AH!$P$10=1,AH!$P$12=1,$A739=TODAY()),AH!$P$18,IF(AH!$P$10=1,INDEX('Live History'!$E$5:$E$3004,MATCH($A739,'Live History'!$D$5:$D$3004,1)),INDEX('AH History'!$C$1:$C$18046,AH!$P$7+734))),NA()),NA())</ns0:f>
        <ns0:v/>
      </ns0:c>
      <ns0:c r="E739">
        <ns0:f>IFERROR(IF(ISNUMBER($A739),IF(AND(AH!$P$10=1,AH!$P$12=1,$A739=TODAY()),AH!$P$20,IF(AH!$P$10=1,INDEX('Live History'!$H$5:$H$3004,MATCH($A739,'Live History'!$G$5:$G$3004,1)),INDEX('AH History'!$D$1:$D$18046,AH!$P$7+734))),NA()),NA())</ns0:f>
        <ns0:v/>
      </ns0:c>
      <ns0:c r="F739">
        <ns0:f>IFERROR(IF(ISNUMBER($A739),IF(AND(AH!$P$10=1,AH!$P$12=1,$A739=TODAY()),IF(AND(AH!$P$10=1,AH!$P$12=1,$A739=TODAY()),TODAY(),NA()),IF(AH!$P$10=1,INDEX('Live History'!$D$5:$D$3004,MATCH($A739,'Live History'!$D$5:$D$3004,1)),INDEX('AH History'!$E$1:$E$18046,AH!$P$7+734))),NA()),NA())</ns0:f>
        <ns0:v/>
      </ns0:c>
      <ns0:c r="G739">
        <ns0:f>IFERROR(IF(ISNUMBER($A739),IF(AND(AH!$P$10=1,AH!$P$12=1,$A739=TODAY()),IF(AND(AH!$P$10=1,AH!$P$12=1,$A739=TODAY()),TODAY(),NA()),IF(AH!$P$10=1,INDEX('Live History'!$G$5:$G$3004,MATCH($A739,'Live History'!$G$5:$G$3004,1)),INDEX('AH History'!$F$1:$F$18046,AH!$P$7+734))),NA()),NA())</ns0:f>
        <ns0:v/>
      </ns0:c>
      <ns0:c r="H739">
        <ns0:f>IFERROR(IF(AND(AH!$E$4="Bloomberg",AH!$P$10=1,ISNUMBER($A739),$A739&lt;=AH!$P$17),AH!$P$7-1+MATCH($A739,INDEX('AH History'!$A$1:$A$18046,AH!$P$7):INDEX('AH History'!$A$1:$A$18046,AH!$P$7+AH!$P$8-1),0),0),0)</ns0:f>
        <ns0:v/>
      </ns0:c>
      <ns0:c r="I739">
        <ns0:f>IF($H739=0,0,IFERROR(IF(AND(ABS($C739-INDEX('AH History'!$B$1:$B$18046,$H739))&lt;=MAX(0.005,ABS(INDEX('AH History'!$B$1:$B$18046,$H739))*0.00005),ABS($D739-INDEX('AH History'!$C$1:$C$18046,$H739))&lt;=MAX(0.005,ABS(INDEX('AH History'!$C$1:$C$18046,$H739))*0.00005),ABS($E739-INDEX('AH History'!$D$1:$D$18046,$H739))&lt;=0.00005,$F739=INDEX('AH History'!$E$1:$E$18046,$H739),$G739=INDEX('AH History'!$F$1:$F$18046,$H739)),1,-1),-1))</ns0:f>
        <ns0:v/>
      </ns0:c>
    </ns0:row>
    <ns0:row r="740">
      <ns0:c r="A740" s="215">
        <ns0:f>IF(OR(AH!$P$3=0,735+1&gt;AH!$P$11,AND(AH!$E$4&lt;&gt;"Stored",AH!$P$10&lt;&gt;1)),"",IFERROR(IF(AND(AH!$P$21=1,735+1=AH!$P$11),TODAY(),IF(AH!$P$10=1,INDEX('Live History'!$A$5:$A$3004,AH!$P$13+735),INDEX('AH History'!$A$1:$A$18046,AH!$P$7+735))),""))</ns0:f>
        <ns0:v/>
      </ns0:c>
      <ns0:c r="B740" s="219">
        <ns0:f>IFERROR(IF(AND(AH!$P$9&lt;&gt;1,$C740&gt;0,$D740&gt;0,$E740&gt;0,$F740&gt;0,$G740&gt;0,$F740&lt;=$A740,$G740&lt;=$A740,$A740-$F740&lt;=10,$A740-$G740&lt;=5),$D740*$E740/$C740-1,NA()),NA())</ns0:f>
        <ns0:v/>
      </ns0:c>
      <ns0:c r="C740">
        <ns0:f>IFERROR(IF(ISNUMBER($A740),IF(AND(AH!$P$10=1,AH!$P$12=1,$A740=TODAY()),AH!$P$19,IF(AH!$P$10=1,INDEX('Live History'!$B$5:$B$3004,AH!$P$13+735),INDEX('AH History'!$B$1:$B$18046,AH!$P$7+735))),NA()),NA())</ns0:f>
        <ns0:v/>
      </ns0:c>
      <ns0:c r="D740">
        <ns0:f>IFERROR(IF(ISNUMBER($A740),IF(AND(AH!$P$10=1,AH!$P$12=1,$A740=TODAY()),AH!$P$18,IF(AH!$P$10=1,INDEX('Live History'!$E$5:$E$3004,MATCH($A740,'Live History'!$D$5:$D$3004,1)),INDEX('AH History'!$C$1:$C$18046,AH!$P$7+735))),NA()),NA())</ns0:f>
        <ns0:v/>
      </ns0:c>
      <ns0:c r="E740">
        <ns0:f>IFERROR(IF(ISNUMBER($A740),IF(AND(AH!$P$10=1,AH!$P$12=1,$A740=TODAY()),AH!$P$20,IF(AH!$P$10=1,INDEX('Live History'!$H$5:$H$3004,MATCH($A740,'Live History'!$G$5:$G$3004,1)),INDEX('AH History'!$D$1:$D$18046,AH!$P$7+735))),NA()),NA())</ns0:f>
        <ns0:v/>
      </ns0:c>
      <ns0:c r="F740">
        <ns0:f>IFERROR(IF(ISNUMBER($A740),IF(AND(AH!$P$10=1,AH!$P$12=1,$A740=TODAY()),IF(AND(AH!$P$10=1,AH!$P$12=1,$A740=TODAY()),TODAY(),NA()),IF(AH!$P$10=1,INDEX('Live History'!$D$5:$D$3004,MATCH($A740,'Live History'!$D$5:$D$3004,1)),INDEX('AH History'!$E$1:$E$18046,AH!$P$7+735))),NA()),NA())</ns0:f>
        <ns0:v/>
      </ns0:c>
      <ns0:c r="G740">
        <ns0:f>IFERROR(IF(ISNUMBER($A740),IF(AND(AH!$P$10=1,AH!$P$12=1,$A740=TODAY()),IF(AND(AH!$P$10=1,AH!$P$12=1,$A740=TODAY()),TODAY(),NA()),IF(AH!$P$10=1,INDEX('Live History'!$G$5:$G$3004,MATCH($A740,'Live History'!$G$5:$G$3004,1)),INDEX('AH History'!$F$1:$F$18046,AH!$P$7+735))),NA()),NA())</ns0:f>
        <ns0:v/>
      </ns0:c>
      <ns0:c r="H740">
        <ns0:f>IFERROR(IF(AND(AH!$E$4="Bloomberg",AH!$P$10=1,ISNUMBER($A740),$A740&lt;=AH!$P$17),AH!$P$7-1+MATCH($A740,INDEX('AH History'!$A$1:$A$18046,AH!$P$7):INDEX('AH History'!$A$1:$A$18046,AH!$P$7+AH!$P$8-1),0),0),0)</ns0:f>
        <ns0:v/>
      </ns0:c>
      <ns0:c r="I740">
        <ns0:f>IF($H740=0,0,IFERROR(IF(AND(ABS($C740-INDEX('AH History'!$B$1:$B$18046,$H740))&lt;=MAX(0.005,ABS(INDEX('AH History'!$B$1:$B$18046,$H740))*0.00005),ABS($D740-INDEX('AH History'!$C$1:$C$18046,$H740))&lt;=MAX(0.005,ABS(INDEX('AH History'!$C$1:$C$18046,$H740))*0.00005),ABS($E740-INDEX('AH History'!$D$1:$D$18046,$H740))&lt;=0.00005,$F740=INDEX('AH History'!$E$1:$E$18046,$H740),$G740=INDEX('AH History'!$F$1:$F$18046,$H740)),1,-1),-1))</ns0:f>
        <ns0:v/>
      </ns0:c>
    </ns0:row>
    <ns0:row r="741">
      <ns0:c r="A741" s="215">
        <ns0:f>IF(OR(AH!$P$3=0,736+1&gt;AH!$P$11,AND(AH!$E$4&lt;&gt;"Stored",AH!$P$10&lt;&gt;1)),"",IFERROR(IF(AND(AH!$P$21=1,736+1=AH!$P$11),TODAY(),IF(AH!$P$10=1,INDEX('Live History'!$A$5:$A$3004,AH!$P$13+736),INDEX('AH History'!$A$1:$A$18046,AH!$P$7+736))),""))</ns0:f>
        <ns0:v/>
      </ns0:c>
      <ns0:c r="B741" s="219">
        <ns0:f>IFERROR(IF(AND(AH!$P$9&lt;&gt;1,$C741&gt;0,$D741&gt;0,$E741&gt;0,$F741&gt;0,$G741&gt;0,$F741&lt;=$A741,$G741&lt;=$A741,$A741-$F741&lt;=10,$A741-$G741&lt;=5),$D741*$E741/$C741-1,NA()),NA())</ns0:f>
        <ns0:v/>
      </ns0:c>
      <ns0:c r="C741">
        <ns0:f>IFERROR(IF(ISNUMBER($A741),IF(AND(AH!$P$10=1,AH!$P$12=1,$A741=TODAY()),AH!$P$19,IF(AH!$P$10=1,INDEX('Live History'!$B$5:$B$3004,AH!$P$13+736),INDEX('AH History'!$B$1:$B$18046,AH!$P$7+736))),NA()),NA())</ns0:f>
        <ns0:v/>
      </ns0:c>
      <ns0:c r="D741">
        <ns0:f>IFERROR(IF(ISNUMBER($A741),IF(AND(AH!$P$10=1,AH!$P$12=1,$A741=TODAY()),AH!$P$18,IF(AH!$P$10=1,INDEX('Live History'!$E$5:$E$3004,MATCH($A741,'Live History'!$D$5:$D$3004,1)),INDEX('AH History'!$C$1:$C$18046,AH!$P$7+736))),NA()),NA())</ns0:f>
        <ns0:v/>
      </ns0:c>
      <ns0:c r="E741">
        <ns0:f>IFERROR(IF(ISNUMBER($A741),IF(AND(AH!$P$10=1,AH!$P$12=1,$A741=TODAY()),AH!$P$20,IF(AH!$P$10=1,INDEX('Live History'!$H$5:$H$3004,MATCH($A741,'Live History'!$G$5:$G$3004,1)),INDEX('AH History'!$D$1:$D$18046,AH!$P$7+736))),NA()),NA())</ns0:f>
        <ns0:v/>
      </ns0:c>
      <ns0:c r="F741">
        <ns0:f>IFERROR(IF(ISNUMBER($A741),IF(AND(AH!$P$10=1,AH!$P$12=1,$A741=TODAY()),IF(AND(AH!$P$10=1,AH!$P$12=1,$A741=TODAY()),TODAY(),NA()),IF(AH!$P$10=1,INDEX('Live History'!$D$5:$D$3004,MATCH($A741,'Live History'!$D$5:$D$3004,1)),INDEX('AH History'!$E$1:$E$18046,AH!$P$7+736))),NA()),NA())</ns0:f>
        <ns0:v/>
      </ns0:c>
      <ns0:c r="G741">
        <ns0:f>IFERROR(IF(ISNUMBER($A741),IF(AND(AH!$P$10=1,AH!$P$12=1,$A741=TODAY()),IF(AND(AH!$P$10=1,AH!$P$12=1,$A741=TODAY()),TODAY(),NA()),IF(AH!$P$10=1,INDEX('Live History'!$G$5:$G$3004,MATCH($A741,'Live History'!$G$5:$G$3004,1)),INDEX('AH History'!$F$1:$F$18046,AH!$P$7+736))),NA()),NA())</ns0:f>
        <ns0:v/>
      </ns0:c>
      <ns0:c r="H741">
        <ns0:f>IFERROR(IF(AND(AH!$E$4="Bloomberg",AH!$P$10=1,ISNUMBER($A741),$A741&lt;=AH!$P$17),AH!$P$7-1+MATCH($A741,INDEX('AH History'!$A$1:$A$18046,AH!$P$7):INDEX('AH History'!$A$1:$A$18046,AH!$P$7+AH!$P$8-1),0),0),0)</ns0:f>
        <ns0:v/>
      </ns0:c>
      <ns0:c r="I741">
        <ns0:f>IF($H741=0,0,IFERROR(IF(AND(ABS($C741-INDEX('AH History'!$B$1:$B$18046,$H741))&lt;=MAX(0.005,ABS(INDEX('AH History'!$B$1:$B$18046,$H741))*0.00005),ABS($D741-INDEX('AH History'!$C$1:$C$18046,$H741))&lt;=MAX(0.005,ABS(INDEX('AH History'!$C$1:$C$18046,$H741))*0.00005),ABS($E741-INDEX('AH History'!$D$1:$D$18046,$H741))&lt;=0.00005,$F741=INDEX('AH History'!$E$1:$E$18046,$H741),$G741=INDEX('AH History'!$F$1:$F$18046,$H741)),1,-1),-1))</ns0:f>
        <ns0:v/>
      </ns0:c>
    </ns0:row>
    <ns0:row r="742">
      <ns0:c r="A742" s="215">
        <ns0:f>IF(OR(AH!$P$3=0,737+1&gt;AH!$P$11,AND(AH!$E$4&lt;&gt;"Stored",AH!$P$10&lt;&gt;1)),"",IFERROR(IF(AND(AH!$P$21=1,737+1=AH!$P$11),TODAY(),IF(AH!$P$10=1,INDEX('Live History'!$A$5:$A$3004,AH!$P$13+737),INDEX('AH History'!$A$1:$A$18046,AH!$P$7+737))),""))</ns0:f>
        <ns0:v/>
      </ns0:c>
      <ns0:c r="B742" s="219">
        <ns0:f>IFERROR(IF(AND(AH!$P$9&lt;&gt;1,$C742&gt;0,$D742&gt;0,$E742&gt;0,$F742&gt;0,$G742&gt;0,$F742&lt;=$A742,$G742&lt;=$A742,$A742-$F742&lt;=10,$A742-$G742&lt;=5),$D742*$E742/$C742-1,NA()),NA())</ns0:f>
        <ns0:v/>
      </ns0:c>
      <ns0:c r="C742">
        <ns0:f>IFERROR(IF(ISNUMBER($A742),IF(AND(AH!$P$10=1,AH!$P$12=1,$A742=TODAY()),AH!$P$19,IF(AH!$P$10=1,INDEX('Live History'!$B$5:$B$3004,AH!$P$13+737),INDEX('AH History'!$B$1:$B$18046,AH!$P$7+737))),NA()),NA())</ns0:f>
        <ns0:v/>
      </ns0:c>
      <ns0:c r="D742">
        <ns0:f>IFERROR(IF(ISNUMBER($A742),IF(AND(AH!$P$10=1,AH!$P$12=1,$A742=TODAY()),AH!$P$18,IF(AH!$P$10=1,INDEX('Live History'!$E$5:$E$3004,MATCH($A742,'Live History'!$D$5:$D$3004,1)),INDEX('AH History'!$C$1:$C$18046,AH!$P$7+737))),NA()),NA())</ns0:f>
        <ns0:v/>
      </ns0:c>
      <ns0:c r="E742">
        <ns0:f>IFERROR(IF(ISNUMBER($A742),IF(AND(AH!$P$10=1,AH!$P$12=1,$A742=TODAY()),AH!$P$20,IF(AH!$P$10=1,INDEX('Live History'!$H$5:$H$3004,MATCH($A742,'Live History'!$G$5:$G$3004,1)),INDEX('AH History'!$D$1:$D$18046,AH!$P$7+737))),NA()),NA())</ns0:f>
        <ns0:v/>
      </ns0:c>
      <ns0:c r="F742">
        <ns0:f>IFERROR(IF(ISNUMBER($A742),IF(AND(AH!$P$10=1,AH!$P$12=1,$A742=TODAY()),IF(AND(AH!$P$10=1,AH!$P$12=1,$A742=TODAY()),TODAY(),NA()),IF(AH!$P$10=1,INDEX('Live History'!$D$5:$D$3004,MATCH($A742,'Live History'!$D$5:$D$3004,1)),INDEX('AH History'!$E$1:$E$18046,AH!$P$7+737))),NA()),NA())</ns0:f>
        <ns0:v/>
      </ns0:c>
      <ns0:c r="G742">
        <ns0:f>IFERROR(IF(ISNUMBER($A742),IF(AND(AH!$P$10=1,AH!$P$12=1,$A742=TODAY()),IF(AND(AH!$P$10=1,AH!$P$12=1,$A742=TODAY()),TODAY(),NA()),IF(AH!$P$10=1,INDEX('Live History'!$G$5:$G$3004,MATCH($A742,'Live History'!$G$5:$G$3004,1)),INDEX('AH History'!$F$1:$F$18046,AH!$P$7+737))),NA()),NA())</ns0:f>
        <ns0:v/>
      </ns0:c>
      <ns0:c r="H742">
        <ns0:f>IFERROR(IF(AND(AH!$E$4="Bloomberg",AH!$P$10=1,ISNUMBER($A742),$A742&lt;=AH!$P$17),AH!$P$7-1+MATCH($A742,INDEX('AH History'!$A$1:$A$18046,AH!$P$7):INDEX('AH History'!$A$1:$A$18046,AH!$P$7+AH!$P$8-1),0),0),0)</ns0:f>
        <ns0:v/>
      </ns0:c>
      <ns0:c r="I742">
        <ns0:f>IF($H742=0,0,IFERROR(IF(AND(ABS($C742-INDEX('AH History'!$B$1:$B$18046,$H742))&lt;=MAX(0.005,ABS(INDEX('AH History'!$B$1:$B$18046,$H742))*0.00005),ABS($D742-INDEX('AH History'!$C$1:$C$18046,$H742))&lt;=MAX(0.005,ABS(INDEX('AH History'!$C$1:$C$18046,$H742))*0.00005),ABS($E742-INDEX('AH History'!$D$1:$D$18046,$H742))&lt;=0.00005,$F742=INDEX('AH History'!$E$1:$E$18046,$H742),$G742=INDEX('AH History'!$F$1:$F$18046,$H742)),1,-1),-1))</ns0:f>
        <ns0:v/>
      </ns0:c>
    </ns0:row>
    <ns0:row r="743">
      <ns0:c r="A743" s="215">
        <ns0:f>IF(OR(AH!$P$3=0,738+1&gt;AH!$P$11,AND(AH!$E$4&lt;&gt;"Stored",AH!$P$10&lt;&gt;1)),"",IFERROR(IF(AND(AH!$P$21=1,738+1=AH!$P$11),TODAY(),IF(AH!$P$10=1,INDEX('Live History'!$A$5:$A$3004,AH!$P$13+738),INDEX('AH History'!$A$1:$A$18046,AH!$P$7+738))),""))</ns0:f>
        <ns0:v/>
      </ns0:c>
      <ns0:c r="B743" s="219">
        <ns0:f>IFERROR(IF(AND(AH!$P$9&lt;&gt;1,$C743&gt;0,$D743&gt;0,$E743&gt;0,$F743&gt;0,$G743&gt;0,$F743&lt;=$A743,$G743&lt;=$A743,$A743-$F743&lt;=10,$A743-$G743&lt;=5),$D743*$E743/$C743-1,NA()),NA())</ns0:f>
        <ns0:v/>
      </ns0:c>
      <ns0:c r="C743">
        <ns0:f>IFERROR(IF(ISNUMBER($A743),IF(AND(AH!$P$10=1,AH!$P$12=1,$A743=TODAY()),AH!$P$19,IF(AH!$P$10=1,INDEX('Live History'!$B$5:$B$3004,AH!$P$13+738),INDEX('AH History'!$B$1:$B$18046,AH!$P$7+738))),NA()),NA())</ns0:f>
        <ns0:v/>
      </ns0:c>
      <ns0:c r="D743">
        <ns0:f>IFERROR(IF(ISNUMBER($A743),IF(AND(AH!$P$10=1,AH!$P$12=1,$A743=TODAY()),AH!$P$18,IF(AH!$P$10=1,INDEX('Live History'!$E$5:$E$3004,MATCH($A743,'Live History'!$D$5:$D$3004,1)),INDEX('AH History'!$C$1:$C$18046,AH!$P$7+738))),NA()),NA())</ns0:f>
        <ns0:v/>
      </ns0:c>
      <ns0:c r="E743">
        <ns0:f>IFERROR(IF(ISNUMBER($A743),IF(AND(AH!$P$10=1,AH!$P$12=1,$A743=TODAY()),AH!$P$20,IF(AH!$P$10=1,INDEX('Live History'!$H$5:$H$3004,MATCH($A743,'Live History'!$G$5:$G$3004,1)),INDEX('AH History'!$D$1:$D$18046,AH!$P$7+738))),NA()),NA())</ns0:f>
        <ns0:v/>
      </ns0:c>
      <ns0:c r="F743">
        <ns0:f>IFERROR(IF(ISNUMBER($A743),IF(AND(AH!$P$10=1,AH!$P$12=1,$A743=TODAY()),IF(AND(AH!$P$10=1,AH!$P$12=1,$A743=TODAY()),TODAY(),NA()),IF(AH!$P$10=1,INDEX('Live History'!$D$5:$D$3004,MATCH($A743,'Live History'!$D$5:$D$3004,1)),INDEX('AH History'!$E$1:$E$18046,AH!$P$7+738))),NA()),NA())</ns0:f>
        <ns0:v/>
      </ns0:c>
      <ns0:c r="G743">
        <ns0:f>IFERROR(IF(ISNUMBER($A743),IF(AND(AH!$P$10=1,AH!$P$12=1,$A743=TODAY()),IF(AND(AH!$P$10=1,AH!$P$12=1,$A743=TODAY()),TODAY(),NA()),IF(AH!$P$10=1,INDEX('Live History'!$G$5:$G$3004,MATCH($A743,'Live History'!$G$5:$G$3004,1)),INDEX('AH History'!$F$1:$F$18046,AH!$P$7+738))),NA()),NA())</ns0:f>
        <ns0:v/>
      </ns0:c>
      <ns0:c r="H743">
        <ns0:f>IFERROR(IF(AND(AH!$E$4="Bloomberg",AH!$P$10=1,ISNUMBER($A743),$A743&lt;=AH!$P$17),AH!$P$7-1+MATCH($A743,INDEX('AH History'!$A$1:$A$18046,AH!$P$7):INDEX('AH History'!$A$1:$A$18046,AH!$P$7+AH!$P$8-1),0),0),0)</ns0:f>
        <ns0:v/>
      </ns0:c>
      <ns0:c r="I743">
        <ns0:f>IF($H743=0,0,IFERROR(IF(AND(ABS($C743-INDEX('AH History'!$B$1:$B$18046,$H743))&lt;=MAX(0.005,ABS(INDEX('AH History'!$B$1:$B$18046,$H743))*0.00005),ABS($D743-INDEX('AH History'!$C$1:$C$18046,$H743))&lt;=MAX(0.005,ABS(INDEX('AH History'!$C$1:$C$18046,$H743))*0.00005),ABS($E743-INDEX('AH History'!$D$1:$D$18046,$H743))&lt;=0.00005,$F743=INDEX('AH History'!$E$1:$E$18046,$H743),$G743=INDEX('AH History'!$F$1:$F$18046,$H743)),1,-1),-1))</ns0:f>
        <ns0:v/>
      </ns0:c>
    </ns0:row>
    <ns0:row r="744">
      <ns0:c r="A744" s="215">
        <ns0:f>IF(OR(AH!$P$3=0,739+1&gt;AH!$P$11,AND(AH!$E$4&lt;&gt;"Stored",AH!$P$10&lt;&gt;1)),"",IFERROR(IF(AND(AH!$P$21=1,739+1=AH!$P$11),TODAY(),IF(AH!$P$10=1,INDEX('Live History'!$A$5:$A$3004,AH!$P$13+739),INDEX('AH History'!$A$1:$A$18046,AH!$P$7+739))),""))</ns0:f>
        <ns0:v/>
      </ns0:c>
      <ns0:c r="B744" s="219">
        <ns0:f>IFERROR(IF(AND(AH!$P$9&lt;&gt;1,$C744&gt;0,$D744&gt;0,$E744&gt;0,$F744&gt;0,$G744&gt;0,$F744&lt;=$A744,$G744&lt;=$A744,$A744-$F744&lt;=10,$A744-$G744&lt;=5),$D744*$E744/$C744-1,NA()),NA())</ns0:f>
        <ns0:v/>
      </ns0:c>
      <ns0:c r="C744">
        <ns0:f>IFERROR(IF(ISNUMBER($A744),IF(AND(AH!$P$10=1,AH!$P$12=1,$A744=TODAY()),AH!$P$19,IF(AH!$P$10=1,INDEX('Live History'!$B$5:$B$3004,AH!$P$13+739),INDEX('AH History'!$B$1:$B$18046,AH!$P$7+739))),NA()),NA())</ns0:f>
        <ns0:v/>
      </ns0:c>
      <ns0:c r="D744">
        <ns0:f>IFERROR(IF(ISNUMBER($A744),IF(AND(AH!$P$10=1,AH!$P$12=1,$A744=TODAY()),AH!$P$18,IF(AH!$P$10=1,INDEX('Live History'!$E$5:$E$3004,MATCH($A744,'Live History'!$D$5:$D$3004,1)),INDEX('AH History'!$C$1:$C$18046,AH!$P$7+739))),NA()),NA())</ns0:f>
        <ns0:v/>
      </ns0:c>
      <ns0:c r="E744">
        <ns0:f>IFERROR(IF(ISNUMBER($A744),IF(AND(AH!$P$10=1,AH!$P$12=1,$A744=TODAY()),AH!$P$20,IF(AH!$P$10=1,INDEX('Live History'!$H$5:$H$3004,MATCH($A744,'Live History'!$G$5:$G$3004,1)),INDEX('AH History'!$D$1:$D$18046,AH!$P$7+739))),NA()),NA())</ns0:f>
        <ns0:v/>
      </ns0:c>
      <ns0:c r="F744">
        <ns0:f>IFERROR(IF(ISNUMBER($A744),IF(AND(AH!$P$10=1,AH!$P$12=1,$A744=TODAY()),IF(AND(AH!$P$10=1,AH!$P$12=1,$A744=TODAY()),TODAY(),NA()),IF(AH!$P$10=1,INDEX('Live History'!$D$5:$D$3004,MATCH($A744,'Live History'!$D$5:$D$3004,1)),INDEX('AH History'!$E$1:$E$18046,AH!$P$7+739))),NA()),NA())</ns0:f>
        <ns0:v/>
      </ns0:c>
      <ns0:c r="G744">
        <ns0:f>IFERROR(IF(ISNUMBER($A744),IF(AND(AH!$P$10=1,AH!$P$12=1,$A744=TODAY()),IF(AND(AH!$P$10=1,AH!$P$12=1,$A744=TODAY()),TODAY(),NA()),IF(AH!$P$10=1,INDEX('Live History'!$G$5:$G$3004,MATCH($A744,'Live History'!$G$5:$G$3004,1)),INDEX('AH History'!$F$1:$F$18046,AH!$P$7+739))),NA()),NA())</ns0:f>
        <ns0:v/>
      </ns0:c>
      <ns0:c r="H744">
        <ns0:f>IFERROR(IF(AND(AH!$E$4="Bloomberg",AH!$P$10=1,ISNUMBER($A744),$A744&lt;=AH!$P$17),AH!$P$7-1+MATCH($A744,INDEX('AH History'!$A$1:$A$18046,AH!$P$7):INDEX('AH History'!$A$1:$A$18046,AH!$P$7+AH!$P$8-1),0),0),0)</ns0:f>
        <ns0:v/>
      </ns0:c>
      <ns0:c r="I744">
        <ns0:f>IF($H744=0,0,IFERROR(IF(AND(ABS($C744-INDEX('AH History'!$B$1:$B$18046,$H744))&lt;=MAX(0.005,ABS(INDEX('AH History'!$B$1:$B$18046,$H744))*0.00005),ABS($D744-INDEX('AH History'!$C$1:$C$18046,$H744))&lt;=MAX(0.005,ABS(INDEX('AH History'!$C$1:$C$18046,$H744))*0.00005),ABS($E744-INDEX('AH History'!$D$1:$D$18046,$H744))&lt;=0.00005,$F744=INDEX('AH History'!$E$1:$E$18046,$H744),$G744=INDEX('AH History'!$F$1:$F$18046,$H744)),1,-1),-1))</ns0:f>
        <ns0:v/>
      </ns0:c>
    </ns0:row>
    <ns0:row r="745">
      <ns0:c r="A745" s="215">
        <ns0:f>IF(OR(AH!$P$3=0,740+1&gt;AH!$P$11,AND(AH!$E$4&lt;&gt;"Stored",AH!$P$10&lt;&gt;1)),"",IFERROR(IF(AND(AH!$P$21=1,740+1=AH!$P$11),TODAY(),IF(AH!$P$10=1,INDEX('Live History'!$A$5:$A$3004,AH!$P$13+740),INDEX('AH History'!$A$1:$A$18046,AH!$P$7+740))),""))</ns0:f>
        <ns0:v/>
      </ns0:c>
      <ns0:c r="B745" s="219">
        <ns0:f>IFERROR(IF(AND(AH!$P$9&lt;&gt;1,$C745&gt;0,$D745&gt;0,$E745&gt;0,$F745&gt;0,$G745&gt;0,$F745&lt;=$A745,$G745&lt;=$A745,$A745-$F745&lt;=10,$A745-$G745&lt;=5),$D745*$E745/$C745-1,NA()),NA())</ns0:f>
        <ns0:v/>
      </ns0:c>
      <ns0:c r="C745">
        <ns0:f>IFERROR(IF(ISNUMBER($A745),IF(AND(AH!$P$10=1,AH!$P$12=1,$A745=TODAY()),AH!$P$19,IF(AH!$P$10=1,INDEX('Live History'!$B$5:$B$3004,AH!$P$13+740),INDEX('AH History'!$B$1:$B$18046,AH!$P$7+740))),NA()),NA())</ns0:f>
        <ns0:v/>
      </ns0:c>
      <ns0:c r="D745">
        <ns0:f>IFERROR(IF(ISNUMBER($A745),IF(AND(AH!$P$10=1,AH!$P$12=1,$A745=TODAY()),AH!$P$18,IF(AH!$P$10=1,INDEX('Live History'!$E$5:$E$3004,MATCH($A745,'Live History'!$D$5:$D$3004,1)),INDEX('AH History'!$C$1:$C$18046,AH!$P$7+740))),NA()),NA())</ns0:f>
        <ns0:v/>
      </ns0:c>
      <ns0:c r="E745">
        <ns0:f>IFERROR(IF(ISNUMBER($A745),IF(AND(AH!$P$10=1,AH!$P$12=1,$A745=TODAY()),AH!$P$20,IF(AH!$P$10=1,INDEX('Live History'!$H$5:$H$3004,MATCH($A745,'Live History'!$G$5:$G$3004,1)),INDEX('AH History'!$D$1:$D$18046,AH!$P$7+740))),NA()),NA())</ns0:f>
        <ns0:v/>
      </ns0:c>
      <ns0:c r="F745">
        <ns0:f>IFERROR(IF(ISNUMBER($A745),IF(AND(AH!$P$10=1,AH!$P$12=1,$A745=TODAY()),IF(AND(AH!$P$10=1,AH!$P$12=1,$A745=TODAY()),TODAY(),NA()),IF(AH!$P$10=1,INDEX('Live History'!$D$5:$D$3004,MATCH($A745,'Live History'!$D$5:$D$3004,1)),INDEX('AH History'!$E$1:$E$18046,AH!$P$7+740))),NA()),NA())</ns0:f>
        <ns0:v/>
      </ns0:c>
      <ns0:c r="G745">
        <ns0:f>IFERROR(IF(ISNUMBER($A745),IF(AND(AH!$P$10=1,AH!$P$12=1,$A745=TODAY()),IF(AND(AH!$P$10=1,AH!$P$12=1,$A745=TODAY()),TODAY(),NA()),IF(AH!$P$10=1,INDEX('Live History'!$G$5:$G$3004,MATCH($A745,'Live History'!$G$5:$G$3004,1)),INDEX('AH History'!$F$1:$F$18046,AH!$P$7+740))),NA()),NA())</ns0:f>
        <ns0:v/>
      </ns0:c>
      <ns0:c r="H745">
        <ns0:f>IFERROR(IF(AND(AH!$E$4="Bloomberg",AH!$P$10=1,ISNUMBER($A745),$A745&lt;=AH!$P$17),AH!$P$7-1+MATCH($A745,INDEX('AH History'!$A$1:$A$18046,AH!$P$7):INDEX('AH History'!$A$1:$A$18046,AH!$P$7+AH!$P$8-1),0),0),0)</ns0:f>
        <ns0:v/>
      </ns0:c>
      <ns0:c r="I745">
        <ns0:f>IF($H745=0,0,IFERROR(IF(AND(ABS($C745-INDEX('AH History'!$B$1:$B$18046,$H745))&lt;=MAX(0.005,ABS(INDEX('AH History'!$B$1:$B$18046,$H745))*0.00005),ABS($D745-INDEX('AH History'!$C$1:$C$18046,$H745))&lt;=MAX(0.005,ABS(INDEX('AH History'!$C$1:$C$18046,$H745))*0.00005),ABS($E745-INDEX('AH History'!$D$1:$D$18046,$H745))&lt;=0.00005,$F745=INDEX('AH History'!$E$1:$E$18046,$H745),$G745=INDEX('AH History'!$F$1:$F$18046,$H745)),1,-1),-1))</ns0:f>
        <ns0:v/>
      </ns0:c>
    </ns0:row>
    <ns0:row r="746">
      <ns0:c r="A746" s="215">
        <ns0:f>IF(OR(AH!$P$3=0,741+1&gt;AH!$P$11,AND(AH!$E$4&lt;&gt;"Stored",AH!$P$10&lt;&gt;1)),"",IFERROR(IF(AND(AH!$P$21=1,741+1=AH!$P$11),TODAY(),IF(AH!$P$10=1,INDEX('Live History'!$A$5:$A$3004,AH!$P$13+741),INDEX('AH History'!$A$1:$A$18046,AH!$P$7+741))),""))</ns0:f>
        <ns0:v/>
      </ns0:c>
      <ns0:c r="B746" s="219">
        <ns0:f>IFERROR(IF(AND(AH!$P$9&lt;&gt;1,$C746&gt;0,$D746&gt;0,$E746&gt;0,$F746&gt;0,$G746&gt;0,$F746&lt;=$A746,$G746&lt;=$A746,$A746-$F746&lt;=10,$A746-$G746&lt;=5),$D746*$E746/$C746-1,NA()),NA())</ns0:f>
        <ns0:v/>
      </ns0:c>
      <ns0:c r="C746">
        <ns0:f>IFERROR(IF(ISNUMBER($A746),IF(AND(AH!$P$10=1,AH!$P$12=1,$A746=TODAY()),AH!$P$19,IF(AH!$P$10=1,INDEX('Live History'!$B$5:$B$3004,AH!$P$13+741),INDEX('AH History'!$B$1:$B$18046,AH!$P$7+741))),NA()),NA())</ns0:f>
        <ns0:v/>
      </ns0:c>
      <ns0:c r="D746">
        <ns0:f>IFERROR(IF(ISNUMBER($A746),IF(AND(AH!$P$10=1,AH!$P$12=1,$A746=TODAY()),AH!$P$18,IF(AH!$P$10=1,INDEX('Live History'!$E$5:$E$3004,MATCH($A746,'Live History'!$D$5:$D$3004,1)),INDEX('AH History'!$C$1:$C$18046,AH!$P$7+741))),NA()),NA())</ns0:f>
        <ns0:v/>
      </ns0:c>
      <ns0:c r="E746">
        <ns0:f>IFERROR(IF(ISNUMBER($A746),IF(AND(AH!$P$10=1,AH!$P$12=1,$A746=TODAY()),AH!$P$20,IF(AH!$P$10=1,INDEX('Live History'!$H$5:$H$3004,MATCH($A746,'Live History'!$G$5:$G$3004,1)),INDEX('AH History'!$D$1:$D$18046,AH!$P$7+741))),NA()),NA())</ns0:f>
        <ns0:v/>
      </ns0:c>
      <ns0:c r="F746">
        <ns0:f>IFERROR(IF(ISNUMBER($A746),IF(AND(AH!$P$10=1,AH!$P$12=1,$A746=TODAY()),IF(AND(AH!$P$10=1,AH!$P$12=1,$A746=TODAY()),TODAY(),NA()),IF(AH!$P$10=1,INDEX('Live History'!$D$5:$D$3004,MATCH($A746,'Live History'!$D$5:$D$3004,1)),INDEX('AH History'!$E$1:$E$18046,AH!$P$7+741))),NA()),NA())</ns0:f>
        <ns0:v/>
      </ns0:c>
      <ns0:c r="G746">
        <ns0:f>IFERROR(IF(ISNUMBER($A746),IF(AND(AH!$P$10=1,AH!$P$12=1,$A746=TODAY()),IF(AND(AH!$P$10=1,AH!$P$12=1,$A746=TODAY()),TODAY(),NA()),IF(AH!$P$10=1,INDEX('Live History'!$G$5:$G$3004,MATCH($A746,'Live History'!$G$5:$G$3004,1)),INDEX('AH History'!$F$1:$F$18046,AH!$P$7+741))),NA()),NA())</ns0:f>
        <ns0:v/>
      </ns0:c>
      <ns0:c r="H746">
        <ns0:f>IFERROR(IF(AND(AH!$E$4="Bloomberg",AH!$P$10=1,ISNUMBER($A746),$A746&lt;=AH!$P$17),AH!$P$7-1+MATCH($A746,INDEX('AH History'!$A$1:$A$18046,AH!$P$7):INDEX('AH History'!$A$1:$A$18046,AH!$P$7+AH!$P$8-1),0),0),0)</ns0:f>
        <ns0:v/>
      </ns0:c>
      <ns0:c r="I746">
        <ns0:f>IF($H746=0,0,IFERROR(IF(AND(ABS($C746-INDEX('AH History'!$B$1:$B$18046,$H746))&lt;=MAX(0.005,ABS(INDEX('AH History'!$B$1:$B$18046,$H746))*0.00005),ABS($D746-INDEX('AH History'!$C$1:$C$18046,$H746))&lt;=MAX(0.005,ABS(INDEX('AH History'!$C$1:$C$18046,$H746))*0.00005),ABS($E746-INDEX('AH History'!$D$1:$D$18046,$H746))&lt;=0.00005,$F746=INDEX('AH History'!$E$1:$E$18046,$H746),$G746=INDEX('AH History'!$F$1:$F$18046,$H746)),1,-1),-1))</ns0:f>
        <ns0:v/>
      </ns0:c>
    </ns0:row>
    <ns0:row r="747">
      <ns0:c r="A747" s="215">
        <ns0:f>IF(OR(AH!$P$3=0,742+1&gt;AH!$P$11,AND(AH!$E$4&lt;&gt;"Stored",AH!$P$10&lt;&gt;1)),"",IFERROR(IF(AND(AH!$P$21=1,742+1=AH!$P$11),TODAY(),IF(AH!$P$10=1,INDEX('Live History'!$A$5:$A$3004,AH!$P$13+742),INDEX('AH History'!$A$1:$A$18046,AH!$P$7+742))),""))</ns0:f>
        <ns0:v/>
      </ns0:c>
      <ns0:c r="B747" s="219">
        <ns0:f>IFERROR(IF(AND(AH!$P$9&lt;&gt;1,$C747&gt;0,$D747&gt;0,$E747&gt;0,$F747&gt;0,$G747&gt;0,$F747&lt;=$A747,$G747&lt;=$A747,$A747-$F747&lt;=10,$A747-$G747&lt;=5),$D747*$E747/$C747-1,NA()),NA())</ns0:f>
        <ns0:v/>
      </ns0:c>
      <ns0:c r="C747">
        <ns0:f>IFERROR(IF(ISNUMBER($A747),IF(AND(AH!$P$10=1,AH!$P$12=1,$A747=TODAY()),AH!$P$19,IF(AH!$P$10=1,INDEX('Live History'!$B$5:$B$3004,AH!$P$13+742),INDEX('AH History'!$B$1:$B$18046,AH!$P$7+742))),NA()),NA())</ns0:f>
        <ns0:v/>
      </ns0:c>
      <ns0:c r="D747">
        <ns0:f>IFERROR(IF(ISNUMBER($A747),IF(AND(AH!$P$10=1,AH!$P$12=1,$A747=TODAY()),AH!$P$18,IF(AH!$P$10=1,INDEX('Live History'!$E$5:$E$3004,MATCH($A747,'Live History'!$D$5:$D$3004,1)),INDEX('AH History'!$C$1:$C$18046,AH!$P$7+742))),NA()),NA())</ns0:f>
        <ns0:v/>
      </ns0:c>
      <ns0:c r="E747">
        <ns0:f>IFERROR(IF(ISNUMBER($A747),IF(AND(AH!$P$10=1,AH!$P$12=1,$A747=TODAY()),AH!$P$20,IF(AH!$P$10=1,INDEX('Live History'!$H$5:$H$3004,MATCH($A747,'Live History'!$G$5:$G$3004,1)),INDEX('AH History'!$D$1:$D$18046,AH!$P$7+742))),NA()),NA())</ns0:f>
        <ns0:v/>
      </ns0:c>
      <ns0:c r="F747">
        <ns0:f>IFERROR(IF(ISNUMBER($A747),IF(AND(AH!$P$10=1,AH!$P$12=1,$A747=TODAY()),IF(AND(AH!$P$10=1,AH!$P$12=1,$A747=TODAY()),TODAY(),NA()),IF(AH!$P$10=1,INDEX('Live History'!$D$5:$D$3004,MATCH($A747,'Live History'!$D$5:$D$3004,1)),INDEX('AH History'!$E$1:$E$18046,AH!$P$7+742))),NA()),NA())</ns0:f>
        <ns0:v/>
      </ns0:c>
      <ns0:c r="G747">
        <ns0:f>IFERROR(IF(ISNUMBER($A747),IF(AND(AH!$P$10=1,AH!$P$12=1,$A747=TODAY()),IF(AND(AH!$P$10=1,AH!$P$12=1,$A747=TODAY()),TODAY(),NA()),IF(AH!$P$10=1,INDEX('Live History'!$G$5:$G$3004,MATCH($A747,'Live History'!$G$5:$G$3004,1)),INDEX('AH History'!$F$1:$F$18046,AH!$P$7+742))),NA()),NA())</ns0:f>
        <ns0:v/>
      </ns0:c>
      <ns0:c r="H747">
        <ns0:f>IFERROR(IF(AND(AH!$E$4="Bloomberg",AH!$P$10=1,ISNUMBER($A747),$A747&lt;=AH!$P$17),AH!$P$7-1+MATCH($A747,INDEX('AH History'!$A$1:$A$18046,AH!$P$7):INDEX('AH History'!$A$1:$A$18046,AH!$P$7+AH!$P$8-1),0),0),0)</ns0:f>
        <ns0:v/>
      </ns0:c>
      <ns0:c r="I747">
        <ns0:f>IF($H747=0,0,IFERROR(IF(AND(ABS($C747-INDEX('AH History'!$B$1:$B$18046,$H747))&lt;=MAX(0.005,ABS(INDEX('AH History'!$B$1:$B$18046,$H747))*0.00005),ABS($D747-INDEX('AH History'!$C$1:$C$18046,$H747))&lt;=MAX(0.005,ABS(INDEX('AH History'!$C$1:$C$18046,$H747))*0.00005),ABS($E747-INDEX('AH History'!$D$1:$D$18046,$H747))&lt;=0.00005,$F747=INDEX('AH History'!$E$1:$E$18046,$H747),$G747=INDEX('AH History'!$F$1:$F$18046,$H747)),1,-1),-1))</ns0:f>
        <ns0:v/>
      </ns0:c>
    </ns0:row>
    <ns0:row r="748">
      <ns0:c r="A748" s="215">
        <ns0:f>IF(OR(AH!$P$3=0,743+1&gt;AH!$P$11,AND(AH!$E$4&lt;&gt;"Stored",AH!$P$10&lt;&gt;1)),"",IFERROR(IF(AND(AH!$P$21=1,743+1=AH!$P$11),TODAY(),IF(AH!$P$10=1,INDEX('Live History'!$A$5:$A$3004,AH!$P$13+743),INDEX('AH History'!$A$1:$A$18046,AH!$P$7+743))),""))</ns0:f>
        <ns0:v/>
      </ns0:c>
      <ns0:c r="B748" s="219">
        <ns0:f>IFERROR(IF(AND(AH!$P$9&lt;&gt;1,$C748&gt;0,$D748&gt;0,$E748&gt;0,$F748&gt;0,$G748&gt;0,$F748&lt;=$A748,$G748&lt;=$A748,$A748-$F748&lt;=10,$A748-$G748&lt;=5),$D748*$E748/$C748-1,NA()),NA())</ns0:f>
        <ns0:v/>
      </ns0:c>
      <ns0:c r="C748">
        <ns0:f>IFERROR(IF(ISNUMBER($A748),IF(AND(AH!$P$10=1,AH!$P$12=1,$A748=TODAY()),AH!$P$19,IF(AH!$P$10=1,INDEX('Live History'!$B$5:$B$3004,AH!$P$13+743),INDEX('AH History'!$B$1:$B$18046,AH!$P$7+743))),NA()),NA())</ns0:f>
        <ns0:v/>
      </ns0:c>
      <ns0:c r="D748">
        <ns0:f>IFERROR(IF(ISNUMBER($A748),IF(AND(AH!$P$10=1,AH!$P$12=1,$A748=TODAY()),AH!$P$18,IF(AH!$P$10=1,INDEX('Live History'!$E$5:$E$3004,MATCH($A748,'Live History'!$D$5:$D$3004,1)),INDEX('AH History'!$C$1:$C$18046,AH!$P$7+743))),NA()),NA())</ns0:f>
        <ns0:v/>
      </ns0:c>
      <ns0:c r="E748">
        <ns0:f>IFERROR(IF(ISNUMBER($A748),IF(AND(AH!$P$10=1,AH!$P$12=1,$A748=TODAY()),AH!$P$20,IF(AH!$P$10=1,INDEX('Live History'!$H$5:$H$3004,MATCH($A748,'Live History'!$G$5:$G$3004,1)),INDEX('AH History'!$D$1:$D$18046,AH!$P$7+743))),NA()),NA())</ns0:f>
        <ns0:v/>
      </ns0:c>
      <ns0:c r="F748">
        <ns0:f>IFERROR(IF(ISNUMBER($A748),IF(AND(AH!$P$10=1,AH!$P$12=1,$A748=TODAY()),IF(AND(AH!$P$10=1,AH!$P$12=1,$A748=TODAY()),TODAY(),NA()),IF(AH!$P$10=1,INDEX('Live History'!$D$5:$D$3004,MATCH($A748,'Live History'!$D$5:$D$3004,1)),INDEX('AH History'!$E$1:$E$18046,AH!$P$7+743))),NA()),NA())</ns0:f>
        <ns0:v/>
      </ns0:c>
      <ns0:c r="G748">
        <ns0:f>IFERROR(IF(ISNUMBER($A748),IF(AND(AH!$P$10=1,AH!$P$12=1,$A748=TODAY()),IF(AND(AH!$P$10=1,AH!$P$12=1,$A748=TODAY()),TODAY(),NA()),IF(AH!$P$10=1,INDEX('Live History'!$G$5:$G$3004,MATCH($A748,'Live History'!$G$5:$G$3004,1)),INDEX('AH History'!$F$1:$F$18046,AH!$P$7+743))),NA()),NA())</ns0:f>
        <ns0:v/>
      </ns0:c>
      <ns0:c r="H748">
        <ns0:f>IFERROR(IF(AND(AH!$E$4="Bloomberg",AH!$P$10=1,ISNUMBER($A748),$A748&lt;=AH!$P$17),AH!$P$7-1+MATCH($A748,INDEX('AH History'!$A$1:$A$18046,AH!$P$7):INDEX('AH History'!$A$1:$A$18046,AH!$P$7+AH!$P$8-1),0),0),0)</ns0:f>
        <ns0:v/>
      </ns0:c>
      <ns0:c r="I748">
        <ns0:f>IF($H748=0,0,IFERROR(IF(AND(ABS($C748-INDEX('AH History'!$B$1:$B$18046,$H748))&lt;=MAX(0.005,ABS(INDEX('AH History'!$B$1:$B$18046,$H748))*0.00005),ABS($D748-INDEX('AH History'!$C$1:$C$18046,$H748))&lt;=MAX(0.005,ABS(INDEX('AH History'!$C$1:$C$18046,$H748))*0.00005),ABS($E748-INDEX('AH History'!$D$1:$D$18046,$H748))&lt;=0.00005,$F748=INDEX('AH History'!$E$1:$E$18046,$H748),$G748=INDEX('AH History'!$F$1:$F$18046,$H748)),1,-1),-1))</ns0:f>
        <ns0:v/>
      </ns0:c>
    </ns0:row>
    <ns0:row r="749">
      <ns0:c r="A749" s="215">
        <ns0:f>IF(OR(AH!$P$3=0,744+1&gt;AH!$P$11,AND(AH!$E$4&lt;&gt;"Stored",AH!$P$10&lt;&gt;1)),"",IFERROR(IF(AND(AH!$P$21=1,744+1=AH!$P$11),TODAY(),IF(AH!$P$10=1,INDEX('Live History'!$A$5:$A$3004,AH!$P$13+744),INDEX('AH History'!$A$1:$A$18046,AH!$P$7+744))),""))</ns0:f>
        <ns0:v/>
      </ns0:c>
      <ns0:c r="B749" s="219">
        <ns0:f>IFERROR(IF(AND(AH!$P$9&lt;&gt;1,$C749&gt;0,$D749&gt;0,$E749&gt;0,$F749&gt;0,$G749&gt;0,$F749&lt;=$A749,$G749&lt;=$A749,$A749-$F749&lt;=10,$A749-$G749&lt;=5),$D749*$E749/$C749-1,NA()),NA())</ns0:f>
        <ns0:v/>
      </ns0:c>
      <ns0:c r="C749">
        <ns0:f>IFERROR(IF(ISNUMBER($A749),IF(AND(AH!$P$10=1,AH!$P$12=1,$A749=TODAY()),AH!$P$19,IF(AH!$P$10=1,INDEX('Live History'!$B$5:$B$3004,AH!$P$13+744),INDEX('AH History'!$B$1:$B$18046,AH!$P$7+744))),NA()),NA())</ns0:f>
        <ns0:v/>
      </ns0:c>
      <ns0:c r="D749">
        <ns0:f>IFERROR(IF(ISNUMBER($A749),IF(AND(AH!$P$10=1,AH!$P$12=1,$A749=TODAY()),AH!$P$18,IF(AH!$P$10=1,INDEX('Live History'!$E$5:$E$3004,MATCH($A749,'Live History'!$D$5:$D$3004,1)),INDEX('AH History'!$C$1:$C$18046,AH!$P$7+744))),NA()),NA())</ns0:f>
        <ns0:v/>
      </ns0:c>
      <ns0:c r="E749">
        <ns0:f>IFERROR(IF(ISNUMBER($A749),IF(AND(AH!$P$10=1,AH!$P$12=1,$A749=TODAY()),AH!$P$20,IF(AH!$P$10=1,INDEX('Live History'!$H$5:$H$3004,MATCH($A749,'Live History'!$G$5:$G$3004,1)),INDEX('AH History'!$D$1:$D$18046,AH!$P$7+744))),NA()),NA())</ns0:f>
        <ns0:v/>
      </ns0:c>
      <ns0:c r="F749">
        <ns0:f>IFERROR(IF(ISNUMBER($A749),IF(AND(AH!$P$10=1,AH!$P$12=1,$A749=TODAY()),IF(AND(AH!$P$10=1,AH!$P$12=1,$A749=TODAY()),TODAY(),NA()),IF(AH!$P$10=1,INDEX('Live History'!$D$5:$D$3004,MATCH($A749,'Live History'!$D$5:$D$3004,1)),INDEX('AH History'!$E$1:$E$18046,AH!$P$7+744))),NA()),NA())</ns0:f>
        <ns0:v/>
      </ns0:c>
      <ns0:c r="G749">
        <ns0:f>IFERROR(IF(ISNUMBER($A749),IF(AND(AH!$P$10=1,AH!$P$12=1,$A749=TODAY()),IF(AND(AH!$P$10=1,AH!$P$12=1,$A749=TODAY()),TODAY(),NA()),IF(AH!$P$10=1,INDEX('Live History'!$G$5:$G$3004,MATCH($A749,'Live History'!$G$5:$G$3004,1)),INDEX('AH History'!$F$1:$F$18046,AH!$P$7+744))),NA()),NA())</ns0:f>
        <ns0:v/>
      </ns0:c>
      <ns0:c r="H749">
        <ns0:f>IFERROR(IF(AND(AH!$E$4="Bloomberg",AH!$P$10=1,ISNUMBER($A749),$A749&lt;=AH!$P$17),AH!$P$7-1+MATCH($A749,INDEX('AH History'!$A$1:$A$18046,AH!$P$7):INDEX('AH History'!$A$1:$A$18046,AH!$P$7+AH!$P$8-1),0),0),0)</ns0:f>
        <ns0:v/>
      </ns0:c>
      <ns0:c r="I749">
        <ns0:f>IF($H749=0,0,IFERROR(IF(AND(ABS($C749-INDEX('AH History'!$B$1:$B$18046,$H749))&lt;=MAX(0.005,ABS(INDEX('AH History'!$B$1:$B$18046,$H749))*0.00005),ABS($D749-INDEX('AH History'!$C$1:$C$18046,$H749))&lt;=MAX(0.005,ABS(INDEX('AH History'!$C$1:$C$18046,$H749))*0.00005),ABS($E749-INDEX('AH History'!$D$1:$D$18046,$H749))&lt;=0.00005,$F749=INDEX('AH History'!$E$1:$E$18046,$H749),$G749=INDEX('AH History'!$F$1:$F$18046,$H749)),1,-1),-1))</ns0:f>
        <ns0:v/>
      </ns0:c>
    </ns0:row>
    <ns0:row r="750">
      <ns0:c r="A750" s="215">
        <ns0:f>IF(OR(AH!$P$3=0,745+1&gt;AH!$P$11,AND(AH!$E$4&lt;&gt;"Stored",AH!$P$10&lt;&gt;1)),"",IFERROR(IF(AND(AH!$P$21=1,745+1=AH!$P$11),TODAY(),IF(AH!$P$10=1,INDEX('Live History'!$A$5:$A$3004,AH!$P$13+745),INDEX('AH History'!$A$1:$A$18046,AH!$P$7+745))),""))</ns0:f>
        <ns0:v/>
      </ns0:c>
      <ns0:c r="B750" s="219">
        <ns0:f>IFERROR(IF(AND(AH!$P$9&lt;&gt;1,$C750&gt;0,$D750&gt;0,$E750&gt;0,$F750&gt;0,$G750&gt;0,$F750&lt;=$A750,$G750&lt;=$A750,$A750-$F750&lt;=10,$A750-$G750&lt;=5),$D750*$E750/$C750-1,NA()),NA())</ns0:f>
        <ns0:v/>
      </ns0:c>
      <ns0:c r="C750">
        <ns0:f>IFERROR(IF(ISNUMBER($A750),IF(AND(AH!$P$10=1,AH!$P$12=1,$A750=TODAY()),AH!$P$19,IF(AH!$P$10=1,INDEX('Live History'!$B$5:$B$3004,AH!$P$13+745),INDEX('AH History'!$B$1:$B$18046,AH!$P$7+745))),NA()),NA())</ns0:f>
        <ns0:v/>
      </ns0:c>
      <ns0:c r="D750">
        <ns0:f>IFERROR(IF(ISNUMBER($A750),IF(AND(AH!$P$10=1,AH!$P$12=1,$A750=TODAY()),AH!$P$18,IF(AH!$P$10=1,INDEX('Live History'!$E$5:$E$3004,MATCH($A750,'Live History'!$D$5:$D$3004,1)),INDEX('AH History'!$C$1:$C$18046,AH!$P$7+745))),NA()),NA())</ns0:f>
        <ns0:v/>
      </ns0:c>
      <ns0:c r="E750">
        <ns0:f>IFERROR(IF(ISNUMBER($A750),IF(AND(AH!$P$10=1,AH!$P$12=1,$A750=TODAY()),AH!$P$20,IF(AH!$P$10=1,INDEX('Live History'!$H$5:$H$3004,MATCH($A750,'Live History'!$G$5:$G$3004,1)),INDEX('AH History'!$D$1:$D$18046,AH!$P$7+745))),NA()),NA())</ns0:f>
        <ns0:v/>
      </ns0:c>
      <ns0:c r="F750">
        <ns0:f>IFERROR(IF(ISNUMBER($A750),IF(AND(AH!$P$10=1,AH!$P$12=1,$A750=TODAY()),IF(AND(AH!$P$10=1,AH!$P$12=1,$A750=TODAY()),TODAY(),NA()),IF(AH!$P$10=1,INDEX('Live History'!$D$5:$D$3004,MATCH($A750,'Live History'!$D$5:$D$3004,1)),INDEX('AH History'!$E$1:$E$18046,AH!$P$7+745))),NA()),NA())</ns0:f>
        <ns0:v/>
      </ns0:c>
      <ns0:c r="G750">
        <ns0:f>IFERROR(IF(ISNUMBER($A750),IF(AND(AH!$P$10=1,AH!$P$12=1,$A750=TODAY()),IF(AND(AH!$P$10=1,AH!$P$12=1,$A750=TODAY()),TODAY(),NA()),IF(AH!$P$10=1,INDEX('Live History'!$G$5:$G$3004,MATCH($A750,'Live History'!$G$5:$G$3004,1)),INDEX('AH History'!$F$1:$F$18046,AH!$P$7+745))),NA()),NA())</ns0:f>
        <ns0:v/>
      </ns0:c>
      <ns0:c r="H750">
        <ns0:f>IFERROR(IF(AND(AH!$E$4="Bloomberg",AH!$P$10=1,ISNUMBER($A750),$A750&lt;=AH!$P$17),AH!$P$7-1+MATCH($A750,INDEX('AH History'!$A$1:$A$18046,AH!$P$7):INDEX('AH History'!$A$1:$A$18046,AH!$P$7+AH!$P$8-1),0),0),0)</ns0:f>
        <ns0:v/>
      </ns0:c>
      <ns0:c r="I750">
        <ns0:f>IF($H750=0,0,IFERROR(IF(AND(ABS($C750-INDEX('AH History'!$B$1:$B$18046,$H750))&lt;=MAX(0.005,ABS(INDEX('AH History'!$B$1:$B$18046,$H750))*0.00005),ABS($D750-INDEX('AH History'!$C$1:$C$18046,$H750))&lt;=MAX(0.005,ABS(INDEX('AH History'!$C$1:$C$18046,$H750))*0.00005),ABS($E750-INDEX('AH History'!$D$1:$D$18046,$H750))&lt;=0.00005,$F750=INDEX('AH History'!$E$1:$E$18046,$H750),$G750=INDEX('AH History'!$F$1:$F$18046,$H750)),1,-1),-1))</ns0:f>
        <ns0:v/>
      </ns0:c>
    </ns0:row>
    <ns0:row r="751">
      <ns0:c r="A751" s="215">
        <ns0:f>IF(OR(AH!$P$3=0,746+1&gt;AH!$P$11,AND(AH!$E$4&lt;&gt;"Stored",AH!$P$10&lt;&gt;1)),"",IFERROR(IF(AND(AH!$P$21=1,746+1=AH!$P$11),TODAY(),IF(AH!$P$10=1,INDEX('Live History'!$A$5:$A$3004,AH!$P$13+746),INDEX('AH History'!$A$1:$A$18046,AH!$P$7+746))),""))</ns0:f>
        <ns0:v/>
      </ns0:c>
      <ns0:c r="B751" s="219">
        <ns0:f>IFERROR(IF(AND(AH!$P$9&lt;&gt;1,$C751&gt;0,$D751&gt;0,$E751&gt;0,$F751&gt;0,$G751&gt;0,$F751&lt;=$A751,$G751&lt;=$A751,$A751-$F751&lt;=10,$A751-$G751&lt;=5),$D751*$E751/$C751-1,NA()),NA())</ns0:f>
        <ns0:v/>
      </ns0:c>
      <ns0:c r="C751">
        <ns0:f>IFERROR(IF(ISNUMBER($A751),IF(AND(AH!$P$10=1,AH!$P$12=1,$A751=TODAY()),AH!$P$19,IF(AH!$P$10=1,INDEX('Live History'!$B$5:$B$3004,AH!$P$13+746),INDEX('AH History'!$B$1:$B$18046,AH!$P$7+746))),NA()),NA())</ns0:f>
        <ns0:v/>
      </ns0:c>
      <ns0:c r="D751">
        <ns0:f>IFERROR(IF(ISNUMBER($A751),IF(AND(AH!$P$10=1,AH!$P$12=1,$A751=TODAY()),AH!$P$18,IF(AH!$P$10=1,INDEX('Live History'!$E$5:$E$3004,MATCH($A751,'Live History'!$D$5:$D$3004,1)),INDEX('AH History'!$C$1:$C$18046,AH!$P$7+746))),NA()),NA())</ns0:f>
        <ns0:v/>
      </ns0:c>
      <ns0:c r="E751">
        <ns0:f>IFERROR(IF(ISNUMBER($A751),IF(AND(AH!$P$10=1,AH!$P$12=1,$A751=TODAY()),AH!$P$20,IF(AH!$P$10=1,INDEX('Live History'!$H$5:$H$3004,MATCH($A751,'Live History'!$G$5:$G$3004,1)),INDEX('AH History'!$D$1:$D$18046,AH!$P$7+746))),NA()),NA())</ns0:f>
        <ns0:v/>
      </ns0:c>
      <ns0:c r="F751">
        <ns0:f>IFERROR(IF(ISNUMBER($A751),IF(AND(AH!$P$10=1,AH!$P$12=1,$A751=TODAY()),IF(AND(AH!$P$10=1,AH!$P$12=1,$A751=TODAY()),TODAY(),NA()),IF(AH!$P$10=1,INDEX('Live History'!$D$5:$D$3004,MATCH($A751,'Live History'!$D$5:$D$3004,1)),INDEX('AH History'!$E$1:$E$18046,AH!$P$7+746))),NA()),NA())</ns0:f>
        <ns0:v/>
      </ns0:c>
      <ns0:c r="G751">
        <ns0:f>IFERROR(IF(ISNUMBER($A751),IF(AND(AH!$P$10=1,AH!$P$12=1,$A751=TODAY()),IF(AND(AH!$P$10=1,AH!$P$12=1,$A751=TODAY()),TODAY(),NA()),IF(AH!$P$10=1,INDEX('Live History'!$G$5:$G$3004,MATCH($A751,'Live History'!$G$5:$G$3004,1)),INDEX('AH History'!$F$1:$F$18046,AH!$P$7+746))),NA()),NA())</ns0:f>
        <ns0:v/>
      </ns0:c>
      <ns0:c r="H751">
        <ns0:f>IFERROR(IF(AND(AH!$E$4="Bloomberg",AH!$P$10=1,ISNUMBER($A751),$A751&lt;=AH!$P$17),AH!$P$7-1+MATCH($A751,INDEX('AH History'!$A$1:$A$18046,AH!$P$7):INDEX('AH History'!$A$1:$A$18046,AH!$P$7+AH!$P$8-1),0),0),0)</ns0:f>
        <ns0:v/>
      </ns0:c>
      <ns0:c r="I751">
        <ns0:f>IF($H751=0,0,IFERROR(IF(AND(ABS($C751-INDEX('AH History'!$B$1:$B$18046,$H751))&lt;=MAX(0.005,ABS(INDEX('AH History'!$B$1:$B$18046,$H751))*0.00005),ABS($D751-INDEX('AH History'!$C$1:$C$18046,$H751))&lt;=MAX(0.005,ABS(INDEX('AH History'!$C$1:$C$18046,$H751))*0.00005),ABS($E751-INDEX('AH History'!$D$1:$D$18046,$H751))&lt;=0.00005,$F751=INDEX('AH History'!$E$1:$E$18046,$H751),$G751=INDEX('AH History'!$F$1:$F$18046,$H751)),1,-1),-1))</ns0:f>
        <ns0:v/>
      </ns0:c>
    </ns0:row>
    <ns0:row r="752">
      <ns0:c r="A752" s="215">
        <ns0:f>IF(OR(AH!$P$3=0,747+1&gt;AH!$P$11,AND(AH!$E$4&lt;&gt;"Stored",AH!$P$10&lt;&gt;1)),"",IFERROR(IF(AND(AH!$P$21=1,747+1=AH!$P$11),TODAY(),IF(AH!$P$10=1,INDEX('Live History'!$A$5:$A$3004,AH!$P$13+747),INDEX('AH History'!$A$1:$A$18046,AH!$P$7+747))),""))</ns0:f>
        <ns0:v/>
      </ns0:c>
      <ns0:c r="B752" s="219">
        <ns0:f>IFERROR(IF(AND(AH!$P$9&lt;&gt;1,$C752&gt;0,$D752&gt;0,$E752&gt;0,$F752&gt;0,$G752&gt;0,$F752&lt;=$A752,$G752&lt;=$A752,$A752-$F752&lt;=10,$A752-$G752&lt;=5),$D752*$E752/$C752-1,NA()),NA())</ns0:f>
        <ns0:v/>
      </ns0:c>
      <ns0:c r="C752">
        <ns0:f>IFERROR(IF(ISNUMBER($A752),IF(AND(AH!$P$10=1,AH!$P$12=1,$A752=TODAY()),AH!$P$19,IF(AH!$P$10=1,INDEX('Live History'!$B$5:$B$3004,AH!$P$13+747),INDEX('AH History'!$B$1:$B$18046,AH!$P$7+747))),NA()),NA())</ns0:f>
        <ns0:v/>
      </ns0:c>
      <ns0:c r="D752">
        <ns0:f>IFERROR(IF(ISNUMBER($A752),IF(AND(AH!$P$10=1,AH!$P$12=1,$A752=TODAY()),AH!$P$18,IF(AH!$P$10=1,INDEX('Live History'!$E$5:$E$3004,MATCH($A752,'Live History'!$D$5:$D$3004,1)),INDEX('AH History'!$C$1:$C$18046,AH!$P$7+747))),NA()),NA())</ns0:f>
        <ns0:v/>
      </ns0:c>
      <ns0:c r="E752">
        <ns0:f>IFERROR(IF(ISNUMBER($A752),IF(AND(AH!$P$10=1,AH!$P$12=1,$A752=TODAY()),AH!$P$20,IF(AH!$P$10=1,INDEX('Live History'!$H$5:$H$3004,MATCH($A752,'Live History'!$G$5:$G$3004,1)),INDEX('AH History'!$D$1:$D$18046,AH!$P$7+747))),NA()),NA())</ns0:f>
        <ns0:v/>
      </ns0:c>
      <ns0:c r="F752">
        <ns0:f>IFERROR(IF(ISNUMBER($A752),IF(AND(AH!$P$10=1,AH!$P$12=1,$A752=TODAY()),IF(AND(AH!$P$10=1,AH!$P$12=1,$A752=TODAY()),TODAY(),NA()),IF(AH!$P$10=1,INDEX('Live History'!$D$5:$D$3004,MATCH($A752,'Live History'!$D$5:$D$3004,1)),INDEX('AH History'!$E$1:$E$18046,AH!$P$7+747))),NA()),NA())</ns0:f>
        <ns0:v/>
      </ns0:c>
      <ns0:c r="G752">
        <ns0:f>IFERROR(IF(ISNUMBER($A752),IF(AND(AH!$P$10=1,AH!$P$12=1,$A752=TODAY()),IF(AND(AH!$P$10=1,AH!$P$12=1,$A752=TODAY()),TODAY(),NA()),IF(AH!$P$10=1,INDEX('Live History'!$G$5:$G$3004,MATCH($A752,'Live History'!$G$5:$G$3004,1)),INDEX('AH History'!$F$1:$F$18046,AH!$P$7+747))),NA()),NA())</ns0:f>
        <ns0:v/>
      </ns0:c>
      <ns0:c r="H752">
        <ns0:f>IFERROR(IF(AND(AH!$E$4="Bloomberg",AH!$P$10=1,ISNUMBER($A752),$A752&lt;=AH!$P$17),AH!$P$7-1+MATCH($A752,INDEX('AH History'!$A$1:$A$18046,AH!$P$7):INDEX('AH History'!$A$1:$A$18046,AH!$P$7+AH!$P$8-1),0),0),0)</ns0:f>
        <ns0:v/>
      </ns0:c>
      <ns0:c r="I752">
        <ns0:f>IF($H752=0,0,IFERROR(IF(AND(ABS($C752-INDEX('AH History'!$B$1:$B$18046,$H752))&lt;=MAX(0.005,ABS(INDEX('AH History'!$B$1:$B$18046,$H752))*0.00005),ABS($D752-INDEX('AH History'!$C$1:$C$18046,$H752))&lt;=MAX(0.005,ABS(INDEX('AH History'!$C$1:$C$18046,$H752))*0.00005),ABS($E752-INDEX('AH History'!$D$1:$D$18046,$H752))&lt;=0.00005,$F752=INDEX('AH History'!$E$1:$E$18046,$H752),$G752=INDEX('AH History'!$F$1:$F$18046,$H752)),1,-1),-1))</ns0:f>
        <ns0:v/>
      </ns0:c>
    </ns0:row>
    <ns0:row r="753">
      <ns0:c r="A753" s="215">
        <ns0:f>IF(OR(AH!$P$3=0,748+1&gt;AH!$P$11,AND(AH!$E$4&lt;&gt;"Stored",AH!$P$10&lt;&gt;1)),"",IFERROR(IF(AND(AH!$P$21=1,748+1=AH!$P$11),TODAY(),IF(AH!$P$10=1,INDEX('Live History'!$A$5:$A$3004,AH!$P$13+748),INDEX('AH History'!$A$1:$A$18046,AH!$P$7+748))),""))</ns0:f>
        <ns0:v/>
      </ns0:c>
      <ns0:c r="B753" s="219">
        <ns0:f>IFERROR(IF(AND(AH!$P$9&lt;&gt;1,$C753&gt;0,$D753&gt;0,$E753&gt;0,$F753&gt;0,$G753&gt;0,$F753&lt;=$A753,$G753&lt;=$A753,$A753-$F753&lt;=10,$A753-$G753&lt;=5),$D753*$E753/$C753-1,NA()),NA())</ns0:f>
        <ns0:v/>
      </ns0:c>
      <ns0:c r="C753">
        <ns0:f>IFERROR(IF(ISNUMBER($A753),IF(AND(AH!$P$10=1,AH!$P$12=1,$A753=TODAY()),AH!$P$19,IF(AH!$P$10=1,INDEX('Live History'!$B$5:$B$3004,AH!$P$13+748),INDEX('AH History'!$B$1:$B$18046,AH!$P$7+748))),NA()),NA())</ns0:f>
        <ns0:v/>
      </ns0:c>
      <ns0:c r="D753">
        <ns0:f>IFERROR(IF(ISNUMBER($A753),IF(AND(AH!$P$10=1,AH!$P$12=1,$A753=TODAY()),AH!$P$18,IF(AH!$P$10=1,INDEX('Live History'!$E$5:$E$3004,MATCH($A753,'Live History'!$D$5:$D$3004,1)),INDEX('AH History'!$C$1:$C$18046,AH!$P$7+748))),NA()),NA())</ns0:f>
        <ns0:v/>
      </ns0:c>
      <ns0:c r="E753">
        <ns0:f>IFERROR(IF(ISNUMBER($A753),IF(AND(AH!$P$10=1,AH!$P$12=1,$A753=TODAY()),AH!$P$20,IF(AH!$P$10=1,INDEX('Live History'!$H$5:$H$3004,MATCH($A753,'Live History'!$G$5:$G$3004,1)),INDEX('AH History'!$D$1:$D$18046,AH!$P$7+748))),NA()),NA())</ns0:f>
        <ns0:v/>
      </ns0:c>
      <ns0:c r="F753">
        <ns0:f>IFERROR(IF(ISNUMBER($A753),IF(AND(AH!$P$10=1,AH!$P$12=1,$A753=TODAY()),IF(AND(AH!$P$10=1,AH!$P$12=1,$A753=TODAY()),TODAY(),NA()),IF(AH!$P$10=1,INDEX('Live History'!$D$5:$D$3004,MATCH($A753,'Live History'!$D$5:$D$3004,1)),INDEX('AH History'!$E$1:$E$18046,AH!$P$7+748))),NA()),NA())</ns0:f>
        <ns0:v/>
      </ns0:c>
      <ns0:c r="G753">
        <ns0:f>IFERROR(IF(ISNUMBER($A753),IF(AND(AH!$P$10=1,AH!$P$12=1,$A753=TODAY()),IF(AND(AH!$P$10=1,AH!$P$12=1,$A753=TODAY()),TODAY(),NA()),IF(AH!$P$10=1,INDEX('Live History'!$G$5:$G$3004,MATCH($A753,'Live History'!$G$5:$G$3004,1)),INDEX('AH History'!$F$1:$F$18046,AH!$P$7+748))),NA()),NA())</ns0:f>
        <ns0:v/>
      </ns0:c>
      <ns0:c r="H753">
        <ns0:f>IFERROR(IF(AND(AH!$E$4="Bloomberg",AH!$P$10=1,ISNUMBER($A753),$A753&lt;=AH!$P$17),AH!$P$7-1+MATCH($A753,INDEX('AH History'!$A$1:$A$18046,AH!$P$7):INDEX('AH History'!$A$1:$A$18046,AH!$P$7+AH!$P$8-1),0),0),0)</ns0:f>
        <ns0:v/>
      </ns0:c>
      <ns0:c r="I753">
        <ns0:f>IF($H753=0,0,IFERROR(IF(AND(ABS($C753-INDEX('AH History'!$B$1:$B$18046,$H753))&lt;=MAX(0.005,ABS(INDEX('AH History'!$B$1:$B$18046,$H753))*0.00005),ABS($D753-INDEX('AH History'!$C$1:$C$18046,$H753))&lt;=MAX(0.005,ABS(INDEX('AH History'!$C$1:$C$18046,$H753))*0.00005),ABS($E753-INDEX('AH History'!$D$1:$D$18046,$H753))&lt;=0.00005,$F753=INDEX('AH History'!$E$1:$E$18046,$H753),$G753=INDEX('AH History'!$F$1:$F$18046,$H753)),1,-1),-1))</ns0:f>
        <ns0:v/>
      </ns0:c>
    </ns0:row>
    <ns0:row r="754">
      <ns0:c r="A754" s="215">
        <ns0:f>IF(OR(AH!$P$3=0,749+1&gt;AH!$P$11,AND(AH!$E$4&lt;&gt;"Stored",AH!$P$10&lt;&gt;1)),"",IFERROR(IF(AND(AH!$P$21=1,749+1=AH!$P$11),TODAY(),IF(AH!$P$10=1,INDEX('Live History'!$A$5:$A$3004,AH!$P$13+749),INDEX('AH History'!$A$1:$A$18046,AH!$P$7+749))),""))</ns0:f>
        <ns0:v/>
      </ns0:c>
      <ns0:c r="B754" s="219">
        <ns0:f>IFERROR(IF(AND(AH!$P$9&lt;&gt;1,$C754&gt;0,$D754&gt;0,$E754&gt;0,$F754&gt;0,$G754&gt;0,$F754&lt;=$A754,$G754&lt;=$A754,$A754-$F754&lt;=10,$A754-$G754&lt;=5),$D754*$E754/$C754-1,NA()),NA())</ns0:f>
        <ns0:v/>
      </ns0:c>
      <ns0:c r="C754">
        <ns0:f>IFERROR(IF(ISNUMBER($A754),IF(AND(AH!$P$10=1,AH!$P$12=1,$A754=TODAY()),AH!$P$19,IF(AH!$P$10=1,INDEX('Live History'!$B$5:$B$3004,AH!$P$13+749),INDEX('AH History'!$B$1:$B$18046,AH!$P$7+749))),NA()),NA())</ns0:f>
        <ns0:v/>
      </ns0:c>
      <ns0:c r="D754">
        <ns0:f>IFERROR(IF(ISNUMBER($A754),IF(AND(AH!$P$10=1,AH!$P$12=1,$A754=TODAY()),AH!$P$18,IF(AH!$P$10=1,INDEX('Live History'!$E$5:$E$3004,MATCH($A754,'Live History'!$D$5:$D$3004,1)),INDEX('AH History'!$C$1:$C$18046,AH!$P$7+749))),NA()),NA())</ns0:f>
        <ns0:v/>
      </ns0:c>
      <ns0:c r="E754">
        <ns0:f>IFERROR(IF(ISNUMBER($A754),IF(AND(AH!$P$10=1,AH!$P$12=1,$A754=TODAY()),AH!$P$20,IF(AH!$P$10=1,INDEX('Live History'!$H$5:$H$3004,MATCH($A754,'Live History'!$G$5:$G$3004,1)),INDEX('AH History'!$D$1:$D$18046,AH!$P$7+749))),NA()),NA())</ns0:f>
        <ns0:v/>
      </ns0:c>
      <ns0:c r="F754">
        <ns0:f>IFERROR(IF(ISNUMBER($A754),IF(AND(AH!$P$10=1,AH!$P$12=1,$A754=TODAY()),IF(AND(AH!$P$10=1,AH!$P$12=1,$A754=TODAY()),TODAY(),NA()),IF(AH!$P$10=1,INDEX('Live History'!$D$5:$D$3004,MATCH($A754,'Live History'!$D$5:$D$3004,1)),INDEX('AH History'!$E$1:$E$18046,AH!$P$7+749))),NA()),NA())</ns0:f>
        <ns0:v/>
      </ns0:c>
      <ns0:c r="G754">
        <ns0:f>IFERROR(IF(ISNUMBER($A754),IF(AND(AH!$P$10=1,AH!$P$12=1,$A754=TODAY()),IF(AND(AH!$P$10=1,AH!$P$12=1,$A754=TODAY()),TODAY(),NA()),IF(AH!$P$10=1,INDEX('Live History'!$G$5:$G$3004,MATCH($A754,'Live History'!$G$5:$G$3004,1)),INDEX('AH History'!$F$1:$F$18046,AH!$P$7+749))),NA()),NA())</ns0:f>
        <ns0:v/>
      </ns0:c>
      <ns0:c r="H754">
        <ns0:f>IFERROR(IF(AND(AH!$E$4="Bloomberg",AH!$P$10=1,ISNUMBER($A754),$A754&lt;=AH!$P$17),AH!$P$7-1+MATCH($A754,INDEX('AH History'!$A$1:$A$18046,AH!$P$7):INDEX('AH History'!$A$1:$A$18046,AH!$P$7+AH!$P$8-1),0),0),0)</ns0:f>
        <ns0:v/>
      </ns0:c>
      <ns0:c r="I754">
        <ns0:f>IF($H754=0,0,IFERROR(IF(AND(ABS($C754-INDEX('AH History'!$B$1:$B$18046,$H754))&lt;=MAX(0.005,ABS(INDEX('AH History'!$B$1:$B$18046,$H754))*0.00005),ABS($D754-INDEX('AH History'!$C$1:$C$18046,$H754))&lt;=MAX(0.005,ABS(INDEX('AH History'!$C$1:$C$18046,$H754))*0.00005),ABS($E754-INDEX('AH History'!$D$1:$D$18046,$H754))&lt;=0.00005,$F754=INDEX('AH History'!$E$1:$E$18046,$H754),$G754=INDEX('AH History'!$F$1:$F$18046,$H754)),1,-1),-1))</ns0:f>
        <ns0:v/>
      </ns0:c>
    </ns0:row>
    <ns0:row r="755">
      <ns0:c r="A755" s="215">
        <ns0:f>IF(OR(AH!$P$3=0,750+1&gt;AH!$P$11,AND(AH!$E$4&lt;&gt;"Stored",AH!$P$10&lt;&gt;1)),"",IFERROR(IF(AND(AH!$P$21=1,750+1=AH!$P$11),TODAY(),IF(AH!$P$10=1,INDEX('Live History'!$A$5:$A$3004,AH!$P$13+750),INDEX('AH History'!$A$1:$A$18046,AH!$P$7+750))),""))</ns0:f>
        <ns0:v/>
      </ns0:c>
      <ns0:c r="B755" s="219">
        <ns0:f>IFERROR(IF(AND(AH!$P$9&lt;&gt;1,$C755&gt;0,$D755&gt;0,$E755&gt;0,$F755&gt;0,$G755&gt;0,$F755&lt;=$A755,$G755&lt;=$A755,$A755-$F755&lt;=10,$A755-$G755&lt;=5),$D755*$E755/$C755-1,NA()),NA())</ns0:f>
        <ns0:v/>
      </ns0:c>
      <ns0:c r="C755">
        <ns0:f>IFERROR(IF(ISNUMBER($A755),IF(AND(AH!$P$10=1,AH!$P$12=1,$A755=TODAY()),AH!$P$19,IF(AH!$P$10=1,INDEX('Live History'!$B$5:$B$3004,AH!$P$13+750),INDEX('AH History'!$B$1:$B$18046,AH!$P$7+750))),NA()),NA())</ns0:f>
        <ns0:v/>
      </ns0:c>
      <ns0:c r="D755">
        <ns0:f>IFERROR(IF(ISNUMBER($A755),IF(AND(AH!$P$10=1,AH!$P$12=1,$A755=TODAY()),AH!$P$18,IF(AH!$P$10=1,INDEX('Live History'!$E$5:$E$3004,MATCH($A755,'Live History'!$D$5:$D$3004,1)),INDEX('AH History'!$C$1:$C$18046,AH!$P$7+750))),NA()),NA())</ns0:f>
        <ns0:v/>
      </ns0:c>
      <ns0:c r="E755">
        <ns0:f>IFERROR(IF(ISNUMBER($A755),IF(AND(AH!$P$10=1,AH!$P$12=1,$A755=TODAY()),AH!$P$20,IF(AH!$P$10=1,INDEX('Live History'!$H$5:$H$3004,MATCH($A755,'Live History'!$G$5:$G$3004,1)),INDEX('AH History'!$D$1:$D$18046,AH!$P$7+750))),NA()),NA())</ns0:f>
        <ns0:v/>
      </ns0:c>
      <ns0:c r="F755">
        <ns0:f>IFERROR(IF(ISNUMBER($A755),IF(AND(AH!$P$10=1,AH!$P$12=1,$A755=TODAY()),IF(AND(AH!$P$10=1,AH!$P$12=1,$A755=TODAY()),TODAY(),NA()),IF(AH!$P$10=1,INDEX('Live History'!$D$5:$D$3004,MATCH($A755,'Live History'!$D$5:$D$3004,1)),INDEX('AH History'!$E$1:$E$18046,AH!$P$7+750))),NA()),NA())</ns0:f>
        <ns0:v/>
      </ns0:c>
      <ns0:c r="G755">
        <ns0:f>IFERROR(IF(ISNUMBER($A755),IF(AND(AH!$P$10=1,AH!$P$12=1,$A755=TODAY()),IF(AND(AH!$P$10=1,AH!$P$12=1,$A755=TODAY()),TODAY(),NA()),IF(AH!$P$10=1,INDEX('Live History'!$G$5:$G$3004,MATCH($A755,'Live History'!$G$5:$G$3004,1)),INDEX('AH History'!$F$1:$F$18046,AH!$P$7+750))),NA()),NA())</ns0:f>
        <ns0:v/>
      </ns0:c>
      <ns0:c r="H755">
        <ns0:f>IFERROR(IF(AND(AH!$E$4="Bloomberg",AH!$P$10=1,ISNUMBER($A755),$A755&lt;=AH!$P$17),AH!$P$7-1+MATCH($A755,INDEX('AH History'!$A$1:$A$18046,AH!$P$7):INDEX('AH History'!$A$1:$A$18046,AH!$P$7+AH!$P$8-1),0),0),0)</ns0:f>
        <ns0:v/>
      </ns0:c>
      <ns0:c r="I755">
        <ns0:f>IF($H755=0,0,IFERROR(IF(AND(ABS($C755-INDEX('AH History'!$B$1:$B$18046,$H755))&lt;=MAX(0.005,ABS(INDEX('AH History'!$B$1:$B$18046,$H755))*0.00005),ABS($D755-INDEX('AH History'!$C$1:$C$18046,$H755))&lt;=MAX(0.005,ABS(INDEX('AH History'!$C$1:$C$18046,$H755))*0.00005),ABS($E755-INDEX('AH History'!$D$1:$D$18046,$H755))&lt;=0.00005,$F755=INDEX('AH History'!$E$1:$E$18046,$H755),$G755=INDEX('AH History'!$F$1:$F$18046,$H755)),1,-1),-1))</ns0:f>
        <ns0:v/>
      </ns0:c>
    </ns0:row>
    <ns0:row r="756">
      <ns0:c r="A756" s="215">
        <ns0:f>IF(OR(AH!$P$3=0,751+1&gt;AH!$P$11,AND(AH!$E$4&lt;&gt;"Stored",AH!$P$10&lt;&gt;1)),"",IFERROR(IF(AND(AH!$P$21=1,751+1=AH!$P$11),TODAY(),IF(AH!$P$10=1,INDEX('Live History'!$A$5:$A$3004,AH!$P$13+751),INDEX('AH History'!$A$1:$A$18046,AH!$P$7+751))),""))</ns0:f>
        <ns0:v/>
      </ns0:c>
      <ns0:c r="B756" s="219">
        <ns0:f>IFERROR(IF(AND(AH!$P$9&lt;&gt;1,$C756&gt;0,$D756&gt;0,$E756&gt;0,$F756&gt;0,$G756&gt;0,$F756&lt;=$A756,$G756&lt;=$A756,$A756-$F756&lt;=10,$A756-$G756&lt;=5),$D756*$E756/$C756-1,NA()),NA())</ns0:f>
        <ns0:v/>
      </ns0:c>
      <ns0:c r="C756">
        <ns0:f>IFERROR(IF(ISNUMBER($A756),IF(AND(AH!$P$10=1,AH!$P$12=1,$A756=TODAY()),AH!$P$19,IF(AH!$P$10=1,INDEX('Live History'!$B$5:$B$3004,AH!$P$13+751),INDEX('AH History'!$B$1:$B$18046,AH!$P$7+751))),NA()),NA())</ns0:f>
        <ns0:v/>
      </ns0:c>
      <ns0:c r="D756">
        <ns0:f>IFERROR(IF(ISNUMBER($A756),IF(AND(AH!$P$10=1,AH!$P$12=1,$A756=TODAY()),AH!$P$18,IF(AH!$P$10=1,INDEX('Live History'!$E$5:$E$3004,MATCH($A756,'Live History'!$D$5:$D$3004,1)),INDEX('AH History'!$C$1:$C$18046,AH!$P$7+751))),NA()),NA())</ns0:f>
        <ns0:v/>
      </ns0:c>
      <ns0:c r="E756">
        <ns0:f>IFERROR(IF(ISNUMBER($A756),IF(AND(AH!$P$10=1,AH!$P$12=1,$A756=TODAY()),AH!$P$20,IF(AH!$P$10=1,INDEX('Live History'!$H$5:$H$3004,MATCH($A756,'Live History'!$G$5:$G$3004,1)),INDEX('AH History'!$D$1:$D$18046,AH!$P$7+751))),NA()),NA())</ns0:f>
        <ns0:v/>
      </ns0:c>
      <ns0:c r="F756">
        <ns0:f>IFERROR(IF(ISNUMBER($A756),IF(AND(AH!$P$10=1,AH!$P$12=1,$A756=TODAY()),IF(AND(AH!$P$10=1,AH!$P$12=1,$A756=TODAY()),TODAY(),NA()),IF(AH!$P$10=1,INDEX('Live History'!$D$5:$D$3004,MATCH($A756,'Live History'!$D$5:$D$3004,1)),INDEX('AH History'!$E$1:$E$18046,AH!$P$7+751))),NA()),NA())</ns0:f>
        <ns0:v/>
      </ns0:c>
      <ns0:c r="G756">
        <ns0:f>IFERROR(IF(ISNUMBER($A756),IF(AND(AH!$P$10=1,AH!$P$12=1,$A756=TODAY()),IF(AND(AH!$P$10=1,AH!$P$12=1,$A756=TODAY()),TODAY(),NA()),IF(AH!$P$10=1,INDEX('Live History'!$G$5:$G$3004,MATCH($A756,'Live History'!$G$5:$G$3004,1)),INDEX('AH History'!$F$1:$F$18046,AH!$P$7+751))),NA()),NA())</ns0:f>
        <ns0:v/>
      </ns0:c>
      <ns0:c r="H756">
        <ns0:f>IFERROR(IF(AND(AH!$E$4="Bloomberg",AH!$P$10=1,ISNUMBER($A756),$A756&lt;=AH!$P$17),AH!$P$7-1+MATCH($A756,INDEX('AH History'!$A$1:$A$18046,AH!$P$7):INDEX('AH History'!$A$1:$A$18046,AH!$P$7+AH!$P$8-1),0),0),0)</ns0:f>
        <ns0:v/>
      </ns0:c>
      <ns0:c r="I756">
        <ns0:f>IF($H756=0,0,IFERROR(IF(AND(ABS($C756-INDEX('AH History'!$B$1:$B$18046,$H756))&lt;=MAX(0.005,ABS(INDEX('AH History'!$B$1:$B$18046,$H756))*0.00005),ABS($D756-INDEX('AH History'!$C$1:$C$18046,$H756))&lt;=MAX(0.005,ABS(INDEX('AH History'!$C$1:$C$18046,$H756))*0.00005),ABS($E756-INDEX('AH History'!$D$1:$D$18046,$H756))&lt;=0.00005,$F756=INDEX('AH History'!$E$1:$E$18046,$H756),$G756=INDEX('AH History'!$F$1:$F$18046,$H756)),1,-1),-1))</ns0:f>
        <ns0:v/>
      </ns0:c>
    </ns0:row>
    <ns0:row r="757">
      <ns0:c r="A757" s="215">
        <ns0:f>IF(OR(AH!$P$3=0,752+1&gt;AH!$P$11,AND(AH!$E$4&lt;&gt;"Stored",AH!$P$10&lt;&gt;1)),"",IFERROR(IF(AND(AH!$P$21=1,752+1=AH!$P$11),TODAY(),IF(AH!$P$10=1,INDEX('Live History'!$A$5:$A$3004,AH!$P$13+752),INDEX('AH History'!$A$1:$A$18046,AH!$P$7+752))),""))</ns0:f>
        <ns0:v/>
      </ns0:c>
      <ns0:c r="B757" s="219">
        <ns0:f>IFERROR(IF(AND(AH!$P$9&lt;&gt;1,$C757&gt;0,$D757&gt;0,$E757&gt;0,$F757&gt;0,$G757&gt;0,$F757&lt;=$A757,$G757&lt;=$A757,$A757-$F757&lt;=10,$A757-$G757&lt;=5),$D757*$E757/$C757-1,NA()),NA())</ns0:f>
        <ns0:v/>
      </ns0:c>
      <ns0:c r="C757">
        <ns0:f>IFERROR(IF(ISNUMBER($A757),IF(AND(AH!$P$10=1,AH!$P$12=1,$A757=TODAY()),AH!$P$19,IF(AH!$P$10=1,INDEX('Live History'!$B$5:$B$3004,AH!$P$13+752),INDEX('AH History'!$B$1:$B$18046,AH!$P$7+752))),NA()),NA())</ns0:f>
        <ns0:v/>
      </ns0:c>
      <ns0:c r="D757">
        <ns0:f>IFERROR(IF(ISNUMBER($A757),IF(AND(AH!$P$10=1,AH!$P$12=1,$A757=TODAY()),AH!$P$18,IF(AH!$P$10=1,INDEX('Live History'!$E$5:$E$3004,MATCH($A757,'Live History'!$D$5:$D$3004,1)),INDEX('AH History'!$C$1:$C$18046,AH!$P$7+752))),NA()),NA())</ns0:f>
        <ns0:v/>
      </ns0:c>
      <ns0:c r="E757">
        <ns0:f>IFERROR(IF(ISNUMBER($A757),IF(AND(AH!$P$10=1,AH!$P$12=1,$A757=TODAY()),AH!$P$20,IF(AH!$P$10=1,INDEX('Live History'!$H$5:$H$3004,MATCH($A757,'Live History'!$G$5:$G$3004,1)),INDEX('AH History'!$D$1:$D$18046,AH!$P$7+752))),NA()),NA())</ns0:f>
        <ns0:v/>
      </ns0:c>
      <ns0:c r="F757">
        <ns0:f>IFERROR(IF(ISNUMBER($A757),IF(AND(AH!$P$10=1,AH!$P$12=1,$A757=TODAY()),IF(AND(AH!$P$10=1,AH!$P$12=1,$A757=TODAY()),TODAY(),NA()),IF(AH!$P$10=1,INDEX('Live History'!$D$5:$D$3004,MATCH($A757,'Live History'!$D$5:$D$3004,1)),INDEX('AH History'!$E$1:$E$18046,AH!$P$7+752))),NA()),NA())</ns0:f>
        <ns0:v/>
      </ns0:c>
      <ns0:c r="G757">
        <ns0:f>IFERROR(IF(ISNUMBER($A757),IF(AND(AH!$P$10=1,AH!$P$12=1,$A757=TODAY()),IF(AND(AH!$P$10=1,AH!$P$12=1,$A757=TODAY()),TODAY(),NA()),IF(AH!$P$10=1,INDEX('Live History'!$G$5:$G$3004,MATCH($A757,'Live History'!$G$5:$G$3004,1)),INDEX('AH History'!$F$1:$F$18046,AH!$P$7+752))),NA()),NA())</ns0:f>
        <ns0:v/>
      </ns0:c>
      <ns0:c r="H757">
        <ns0:f>IFERROR(IF(AND(AH!$E$4="Bloomberg",AH!$P$10=1,ISNUMBER($A757),$A757&lt;=AH!$P$17),AH!$P$7-1+MATCH($A757,INDEX('AH History'!$A$1:$A$18046,AH!$P$7):INDEX('AH History'!$A$1:$A$18046,AH!$P$7+AH!$P$8-1),0),0),0)</ns0:f>
        <ns0:v/>
      </ns0:c>
      <ns0:c r="I757">
        <ns0:f>IF($H757=0,0,IFERROR(IF(AND(ABS($C757-INDEX('AH History'!$B$1:$B$18046,$H757))&lt;=MAX(0.005,ABS(INDEX('AH History'!$B$1:$B$18046,$H757))*0.00005),ABS($D757-INDEX('AH History'!$C$1:$C$18046,$H757))&lt;=MAX(0.005,ABS(INDEX('AH History'!$C$1:$C$18046,$H757))*0.00005),ABS($E757-INDEX('AH History'!$D$1:$D$18046,$H757))&lt;=0.00005,$F757=INDEX('AH History'!$E$1:$E$18046,$H757),$G757=INDEX('AH History'!$F$1:$F$18046,$H757)),1,-1),-1))</ns0:f>
        <ns0:v/>
      </ns0:c>
    </ns0:row>
    <ns0:row r="758">
      <ns0:c r="A758" s="215">
        <ns0:f>IF(OR(AH!$P$3=0,753+1&gt;AH!$P$11,AND(AH!$E$4&lt;&gt;"Stored",AH!$P$10&lt;&gt;1)),"",IFERROR(IF(AND(AH!$P$21=1,753+1=AH!$P$11),TODAY(),IF(AH!$P$10=1,INDEX('Live History'!$A$5:$A$3004,AH!$P$13+753),INDEX('AH History'!$A$1:$A$18046,AH!$P$7+753))),""))</ns0:f>
        <ns0:v/>
      </ns0:c>
      <ns0:c r="B758" s="219">
        <ns0:f>IFERROR(IF(AND(AH!$P$9&lt;&gt;1,$C758&gt;0,$D758&gt;0,$E758&gt;0,$F758&gt;0,$G758&gt;0,$F758&lt;=$A758,$G758&lt;=$A758,$A758-$F758&lt;=10,$A758-$G758&lt;=5),$D758*$E758/$C758-1,NA()),NA())</ns0:f>
        <ns0:v/>
      </ns0:c>
      <ns0:c r="C758">
        <ns0:f>IFERROR(IF(ISNUMBER($A758),IF(AND(AH!$P$10=1,AH!$P$12=1,$A758=TODAY()),AH!$P$19,IF(AH!$P$10=1,INDEX('Live History'!$B$5:$B$3004,AH!$P$13+753),INDEX('AH History'!$B$1:$B$18046,AH!$P$7+753))),NA()),NA())</ns0:f>
        <ns0:v/>
      </ns0:c>
      <ns0:c r="D758">
        <ns0:f>IFERROR(IF(ISNUMBER($A758),IF(AND(AH!$P$10=1,AH!$P$12=1,$A758=TODAY()),AH!$P$18,IF(AH!$P$10=1,INDEX('Live History'!$E$5:$E$3004,MATCH($A758,'Live History'!$D$5:$D$3004,1)),INDEX('AH History'!$C$1:$C$18046,AH!$P$7+753))),NA()),NA())</ns0:f>
        <ns0:v/>
      </ns0:c>
      <ns0:c r="E758">
        <ns0:f>IFERROR(IF(ISNUMBER($A758),IF(AND(AH!$P$10=1,AH!$P$12=1,$A758=TODAY()),AH!$P$20,IF(AH!$P$10=1,INDEX('Live History'!$H$5:$H$3004,MATCH($A758,'Live History'!$G$5:$G$3004,1)),INDEX('AH History'!$D$1:$D$18046,AH!$P$7+753))),NA()),NA())</ns0:f>
        <ns0:v/>
      </ns0:c>
      <ns0:c r="F758">
        <ns0:f>IFERROR(IF(ISNUMBER($A758),IF(AND(AH!$P$10=1,AH!$P$12=1,$A758=TODAY()),IF(AND(AH!$P$10=1,AH!$P$12=1,$A758=TODAY()),TODAY(),NA()),IF(AH!$P$10=1,INDEX('Live History'!$D$5:$D$3004,MATCH($A758,'Live History'!$D$5:$D$3004,1)),INDEX('AH History'!$E$1:$E$18046,AH!$P$7+753))),NA()),NA())</ns0:f>
        <ns0:v/>
      </ns0:c>
      <ns0:c r="G758">
        <ns0:f>IFERROR(IF(ISNUMBER($A758),IF(AND(AH!$P$10=1,AH!$P$12=1,$A758=TODAY()),IF(AND(AH!$P$10=1,AH!$P$12=1,$A758=TODAY()),TODAY(),NA()),IF(AH!$P$10=1,INDEX('Live History'!$G$5:$G$3004,MATCH($A758,'Live History'!$G$5:$G$3004,1)),INDEX('AH History'!$F$1:$F$18046,AH!$P$7+753))),NA()),NA())</ns0:f>
        <ns0:v/>
      </ns0:c>
      <ns0:c r="H758">
        <ns0:f>IFERROR(IF(AND(AH!$E$4="Bloomberg",AH!$P$10=1,ISNUMBER($A758),$A758&lt;=AH!$P$17),AH!$P$7-1+MATCH($A758,INDEX('AH History'!$A$1:$A$18046,AH!$P$7):INDEX('AH History'!$A$1:$A$18046,AH!$P$7+AH!$P$8-1),0),0),0)</ns0:f>
        <ns0:v/>
      </ns0:c>
      <ns0:c r="I758">
        <ns0:f>IF($H758=0,0,IFERROR(IF(AND(ABS($C758-INDEX('AH History'!$B$1:$B$18046,$H758))&lt;=MAX(0.005,ABS(INDEX('AH History'!$B$1:$B$18046,$H758))*0.00005),ABS($D758-INDEX('AH History'!$C$1:$C$18046,$H758))&lt;=MAX(0.005,ABS(INDEX('AH History'!$C$1:$C$18046,$H758))*0.00005),ABS($E758-INDEX('AH History'!$D$1:$D$18046,$H758))&lt;=0.00005,$F758=INDEX('AH History'!$E$1:$E$18046,$H758),$G758=INDEX('AH History'!$F$1:$F$18046,$H758)),1,-1),-1))</ns0:f>
        <ns0:v/>
      </ns0:c>
    </ns0:row>
    <ns0:row r="759">
      <ns0:c r="A759" s="215">
        <ns0:f>IF(OR(AH!$P$3=0,754+1&gt;AH!$P$11,AND(AH!$E$4&lt;&gt;"Stored",AH!$P$10&lt;&gt;1)),"",IFERROR(IF(AND(AH!$P$21=1,754+1=AH!$P$11),TODAY(),IF(AH!$P$10=1,INDEX('Live History'!$A$5:$A$3004,AH!$P$13+754),INDEX('AH History'!$A$1:$A$18046,AH!$P$7+754))),""))</ns0:f>
        <ns0:v/>
      </ns0:c>
      <ns0:c r="B759" s="219">
        <ns0:f>IFERROR(IF(AND(AH!$P$9&lt;&gt;1,$C759&gt;0,$D759&gt;0,$E759&gt;0,$F759&gt;0,$G759&gt;0,$F759&lt;=$A759,$G759&lt;=$A759,$A759-$F759&lt;=10,$A759-$G759&lt;=5),$D759*$E759/$C759-1,NA()),NA())</ns0:f>
        <ns0:v/>
      </ns0:c>
      <ns0:c r="C759">
        <ns0:f>IFERROR(IF(ISNUMBER($A759),IF(AND(AH!$P$10=1,AH!$P$12=1,$A759=TODAY()),AH!$P$19,IF(AH!$P$10=1,INDEX('Live History'!$B$5:$B$3004,AH!$P$13+754),INDEX('AH History'!$B$1:$B$18046,AH!$P$7+754))),NA()),NA())</ns0:f>
        <ns0:v/>
      </ns0:c>
      <ns0:c r="D759">
        <ns0:f>IFERROR(IF(ISNUMBER($A759),IF(AND(AH!$P$10=1,AH!$P$12=1,$A759=TODAY()),AH!$P$18,IF(AH!$P$10=1,INDEX('Live History'!$E$5:$E$3004,MATCH($A759,'Live History'!$D$5:$D$3004,1)),INDEX('AH History'!$C$1:$C$18046,AH!$P$7+754))),NA()),NA())</ns0:f>
        <ns0:v/>
      </ns0:c>
      <ns0:c r="E759">
        <ns0:f>IFERROR(IF(ISNUMBER($A759),IF(AND(AH!$P$10=1,AH!$P$12=1,$A759=TODAY()),AH!$P$20,IF(AH!$P$10=1,INDEX('Live History'!$H$5:$H$3004,MATCH($A759,'Live History'!$G$5:$G$3004,1)),INDEX('AH History'!$D$1:$D$18046,AH!$P$7+754))),NA()),NA())</ns0:f>
        <ns0:v/>
      </ns0:c>
      <ns0:c r="F759">
        <ns0:f>IFERROR(IF(ISNUMBER($A759),IF(AND(AH!$P$10=1,AH!$P$12=1,$A759=TODAY()),IF(AND(AH!$P$10=1,AH!$P$12=1,$A759=TODAY()),TODAY(),NA()),IF(AH!$P$10=1,INDEX('Live History'!$D$5:$D$3004,MATCH($A759,'Live History'!$D$5:$D$3004,1)),INDEX('AH History'!$E$1:$E$18046,AH!$P$7+754))),NA()),NA())</ns0:f>
        <ns0:v/>
      </ns0:c>
      <ns0:c r="G759">
        <ns0:f>IFERROR(IF(ISNUMBER($A759),IF(AND(AH!$P$10=1,AH!$P$12=1,$A759=TODAY()),IF(AND(AH!$P$10=1,AH!$P$12=1,$A759=TODAY()),TODAY(),NA()),IF(AH!$P$10=1,INDEX('Live History'!$G$5:$G$3004,MATCH($A759,'Live History'!$G$5:$G$3004,1)),INDEX('AH History'!$F$1:$F$18046,AH!$P$7+754))),NA()),NA())</ns0:f>
        <ns0:v/>
      </ns0:c>
      <ns0:c r="H759">
        <ns0:f>IFERROR(IF(AND(AH!$E$4="Bloomberg",AH!$P$10=1,ISNUMBER($A759),$A759&lt;=AH!$P$17),AH!$P$7-1+MATCH($A759,INDEX('AH History'!$A$1:$A$18046,AH!$P$7):INDEX('AH History'!$A$1:$A$18046,AH!$P$7+AH!$P$8-1),0),0),0)</ns0:f>
        <ns0:v/>
      </ns0:c>
      <ns0:c r="I759">
        <ns0:f>IF($H759=0,0,IFERROR(IF(AND(ABS($C759-INDEX('AH History'!$B$1:$B$18046,$H759))&lt;=MAX(0.005,ABS(INDEX('AH History'!$B$1:$B$18046,$H759))*0.00005),ABS($D759-INDEX('AH History'!$C$1:$C$18046,$H759))&lt;=MAX(0.005,ABS(INDEX('AH History'!$C$1:$C$18046,$H759))*0.00005),ABS($E759-INDEX('AH History'!$D$1:$D$18046,$H759))&lt;=0.00005,$F759=INDEX('AH History'!$E$1:$E$18046,$H759),$G759=INDEX('AH History'!$F$1:$F$18046,$H759)),1,-1),-1))</ns0:f>
        <ns0:v/>
      </ns0:c>
    </ns0:row>
    <ns0:row r="760">
      <ns0:c r="A760" s="215">
        <ns0:f>IF(OR(AH!$P$3=0,755+1&gt;AH!$P$11,AND(AH!$E$4&lt;&gt;"Stored",AH!$P$10&lt;&gt;1)),"",IFERROR(IF(AND(AH!$P$21=1,755+1=AH!$P$11),TODAY(),IF(AH!$P$10=1,INDEX('Live History'!$A$5:$A$3004,AH!$P$13+755),INDEX('AH History'!$A$1:$A$18046,AH!$P$7+755))),""))</ns0:f>
        <ns0:v/>
      </ns0:c>
      <ns0:c r="B760" s="219">
        <ns0:f>IFERROR(IF(AND(AH!$P$9&lt;&gt;1,$C760&gt;0,$D760&gt;0,$E760&gt;0,$F760&gt;0,$G760&gt;0,$F760&lt;=$A760,$G760&lt;=$A760,$A760-$F760&lt;=10,$A760-$G760&lt;=5),$D760*$E760/$C760-1,NA()),NA())</ns0:f>
        <ns0:v/>
      </ns0:c>
      <ns0:c r="C760">
        <ns0:f>IFERROR(IF(ISNUMBER($A760),IF(AND(AH!$P$10=1,AH!$P$12=1,$A760=TODAY()),AH!$P$19,IF(AH!$P$10=1,INDEX('Live History'!$B$5:$B$3004,AH!$P$13+755),INDEX('AH History'!$B$1:$B$18046,AH!$P$7+755))),NA()),NA())</ns0:f>
        <ns0:v/>
      </ns0:c>
      <ns0:c r="D760">
        <ns0:f>IFERROR(IF(ISNUMBER($A760),IF(AND(AH!$P$10=1,AH!$P$12=1,$A760=TODAY()),AH!$P$18,IF(AH!$P$10=1,INDEX('Live History'!$E$5:$E$3004,MATCH($A760,'Live History'!$D$5:$D$3004,1)),INDEX('AH History'!$C$1:$C$18046,AH!$P$7+755))),NA()),NA())</ns0:f>
        <ns0:v/>
      </ns0:c>
      <ns0:c r="E760">
        <ns0:f>IFERROR(IF(ISNUMBER($A760),IF(AND(AH!$P$10=1,AH!$P$12=1,$A760=TODAY()),AH!$P$20,IF(AH!$P$10=1,INDEX('Live History'!$H$5:$H$3004,MATCH($A760,'Live History'!$G$5:$G$3004,1)),INDEX('AH History'!$D$1:$D$18046,AH!$P$7+755))),NA()),NA())</ns0:f>
        <ns0:v/>
      </ns0:c>
      <ns0:c r="F760">
        <ns0:f>IFERROR(IF(ISNUMBER($A760),IF(AND(AH!$P$10=1,AH!$P$12=1,$A760=TODAY()),IF(AND(AH!$P$10=1,AH!$P$12=1,$A760=TODAY()),TODAY(),NA()),IF(AH!$P$10=1,INDEX('Live History'!$D$5:$D$3004,MATCH($A760,'Live History'!$D$5:$D$3004,1)),INDEX('AH History'!$E$1:$E$18046,AH!$P$7+755))),NA()),NA())</ns0:f>
        <ns0:v/>
      </ns0:c>
      <ns0:c r="G760">
        <ns0:f>IFERROR(IF(ISNUMBER($A760),IF(AND(AH!$P$10=1,AH!$P$12=1,$A760=TODAY()),IF(AND(AH!$P$10=1,AH!$P$12=1,$A760=TODAY()),TODAY(),NA()),IF(AH!$P$10=1,INDEX('Live History'!$G$5:$G$3004,MATCH($A760,'Live History'!$G$5:$G$3004,1)),INDEX('AH History'!$F$1:$F$18046,AH!$P$7+755))),NA()),NA())</ns0:f>
        <ns0:v/>
      </ns0:c>
      <ns0:c r="H760">
        <ns0:f>IFERROR(IF(AND(AH!$E$4="Bloomberg",AH!$P$10=1,ISNUMBER($A760),$A760&lt;=AH!$P$17),AH!$P$7-1+MATCH($A760,INDEX('AH History'!$A$1:$A$18046,AH!$P$7):INDEX('AH History'!$A$1:$A$18046,AH!$P$7+AH!$P$8-1),0),0),0)</ns0:f>
        <ns0:v/>
      </ns0:c>
      <ns0:c r="I760">
        <ns0:f>IF($H760=0,0,IFERROR(IF(AND(ABS($C760-INDEX('AH History'!$B$1:$B$18046,$H760))&lt;=MAX(0.005,ABS(INDEX('AH History'!$B$1:$B$18046,$H760))*0.00005),ABS($D760-INDEX('AH History'!$C$1:$C$18046,$H760))&lt;=MAX(0.005,ABS(INDEX('AH History'!$C$1:$C$18046,$H760))*0.00005),ABS($E760-INDEX('AH History'!$D$1:$D$18046,$H760))&lt;=0.00005,$F760=INDEX('AH History'!$E$1:$E$18046,$H760),$G760=INDEX('AH History'!$F$1:$F$18046,$H760)),1,-1),-1))</ns0:f>
        <ns0:v/>
      </ns0:c>
    </ns0:row>
    <ns0:row r="761">
      <ns0:c r="A761" s="215">
        <ns0:f>IF(OR(AH!$P$3=0,756+1&gt;AH!$P$11,AND(AH!$E$4&lt;&gt;"Stored",AH!$P$10&lt;&gt;1)),"",IFERROR(IF(AND(AH!$P$21=1,756+1=AH!$P$11),TODAY(),IF(AH!$P$10=1,INDEX('Live History'!$A$5:$A$3004,AH!$P$13+756),INDEX('AH History'!$A$1:$A$18046,AH!$P$7+756))),""))</ns0:f>
        <ns0:v/>
      </ns0:c>
      <ns0:c r="B761" s="219">
        <ns0:f>IFERROR(IF(AND(AH!$P$9&lt;&gt;1,$C761&gt;0,$D761&gt;0,$E761&gt;0,$F761&gt;0,$G761&gt;0,$F761&lt;=$A761,$G761&lt;=$A761,$A761-$F761&lt;=10,$A761-$G761&lt;=5),$D761*$E761/$C761-1,NA()),NA())</ns0:f>
        <ns0:v/>
      </ns0:c>
      <ns0:c r="C761">
        <ns0:f>IFERROR(IF(ISNUMBER($A761),IF(AND(AH!$P$10=1,AH!$P$12=1,$A761=TODAY()),AH!$P$19,IF(AH!$P$10=1,INDEX('Live History'!$B$5:$B$3004,AH!$P$13+756),INDEX('AH History'!$B$1:$B$18046,AH!$P$7+756))),NA()),NA())</ns0:f>
        <ns0:v/>
      </ns0:c>
      <ns0:c r="D761">
        <ns0:f>IFERROR(IF(ISNUMBER($A761),IF(AND(AH!$P$10=1,AH!$P$12=1,$A761=TODAY()),AH!$P$18,IF(AH!$P$10=1,INDEX('Live History'!$E$5:$E$3004,MATCH($A761,'Live History'!$D$5:$D$3004,1)),INDEX('AH History'!$C$1:$C$18046,AH!$P$7+756))),NA()),NA())</ns0:f>
        <ns0:v/>
      </ns0:c>
      <ns0:c r="E761">
        <ns0:f>IFERROR(IF(ISNUMBER($A761),IF(AND(AH!$P$10=1,AH!$P$12=1,$A761=TODAY()),AH!$P$20,IF(AH!$P$10=1,INDEX('Live History'!$H$5:$H$3004,MATCH($A761,'Live History'!$G$5:$G$3004,1)),INDEX('AH History'!$D$1:$D$18046,AH!$P$7+756))),NA()),NA())</ns0:f>
        <ns0:v/>
      </ns0:c>
      <ns0:c r="F761">
        <ns0:f>IFERROR(IF(ISNUMBER($A761),IF(AND(AH!$P$10=1,AH!$P$12=1,$A761=TODAY()),IF(AND(AH!$P$10=1,AH!$P$12=1,$A761=TODAY()),TODAY(),NA()),IF(AH!$P$10=1,INDEX('Live History'!$D$5:$D$3004,MATCH($A761,'Live History'!$D$5:$D$3004,1)),INDEX('AH History'!$E$1:$E$18046,AH!$P$7+756))),NA()),NA())</ns0:f>
        <ns0:v/>
      </ns0:c>
      <ns0:c r="G761">
        <ns0:f>IFERROR(IF(ISNUMBER($A761),IF(AND(AH!$P$10=1,AH!$P$12=1,$A761=TODAY()),IF(AND(AH!$P$10=1,AH!$P$12=1,$A761=TODAY()),TODAY(),NA()),IF(AH!$P$10=1,INDEX('Live History'!$G$5:$G$3004,MATCH($A761,'Live History'!$G$5:$G$3004,1)),INDEX('AH History'!$F$1:$F$18046,AH!$P$7+756))),NA()),NA())</ns0:f>
        <ns0:v/>
      </ns0:c>
      <ns0:c r="H761">
        <ns0:f>IFERROR(IF(AND(AH!$E$4="Bloomberg",AH!$P$10=1,ISNUMBER($A761),$A761&lt;=AH!$P$17),AH!$P$7-1+MATCH($A761,INDEX('AH History'!$A$1:$A$18046,AH!$P$7):INDEX('AH History'!$A$1:$A$18046,AH!$P$7+AH!$P$8-1),0),0),0)</ns0:f>
        <ns0:v/>
      </ns0:c>
      <ns0:c r="I761">
        <ns0:f>IF($H761=0,0,IFERROR(IF(AND(ABS($C761-INDEX('AH History'!$B$1:$B$18046,$H761))&lt;=MAX(0.005,ABS(INDEX('AH History'!$B$1:$B$18046,$H761))*0.00005),ABS($D761-INDEX('AH History'!$C$1:$C$18046,$H761))&lt;=MAX(0.005,ABS(INDEX('AH History'!$C$1:$C$18046,$H761))*0.00005),ABS($E761-INDEX('AH History'!$D$1:$D$18046,$H761))&lt;=0.00005,$F761=INDEX('AH History'!$E$1:$E$18046,$H761),$G761=INDEX('AH History'!$F$1:$F$18046,$H761)),1,-1),-1))</ns0:f>
        <ns0:v/>
      </ns0:c>
    </ns0:row>
    <ns0:row r="762">
      <ns0:c r="A762" s="215">
        <ns0:f>IF(OR(AH!$P$3=0,757+1&gt;AH!$P$11,AND(AH!$E$4&lt;&gt;"Stored",AH!$P$10&lt;&gt;1)),"",IFERROR(IF(AND(AH!$P$21=1,757+1=AH!$P$11),TODAY(),IF(AH!$P$10=1,INDEX('Live History'!$A$5:$A$3004,AH!$P$13+757),INDEX('AH History'!$A$1:$A$18046,AH!$P$7+757))),""))</ns0:f>
        <ns0:v/>
      </ns0:c>
      <ns0:c r="B762" s="219">
        <ns0:f>IFERROR(IF(AND(AH!$P$9&lt;&gt;1,$C762&gt;0,$D762&gt;0,$E762&gt;0,$F762&gt;0,$G762&gt;0,$F762&lt;=$A762,$G762&lt;=$A762,$A762-$F762&lt;=10,$A762-$G762&lt;=5),$D762*$E762/$C762-1,NA()),NA())</ns0:f>
        <ns0:v/>
      </ns0:c>
      <ns0:c r="C762">
        <ns0:f>IFERROR(IF(ISNUMBER($A762),IF(AND(AH!$P$10=1,AH!$P$12=1,$A762=TODAY()),AH!$P$19,IF(AH!$P$10=1,INDEX('Live History'!$B$5:$B$3004,AH!$P$13+757),INDEX('AH History'!$B$1:$B$18046,AH!$P$7+757))),NA()),NA())</ns0:f>
        <ns0:v/>
      </ns0:c>
      <ns0:c r="D762">
        <ns0:f>IFERROR(IF(ISNUMBER($A762),IF(AND(AH!$P$10=1,AH!$P$12=1,$A762=TODAY()),AH!$P$18,IF(AH!$P$10=1,INDEX('Live History'!$E$5:$E$3004,MATCH($A762,'Live History'!$D$5:$D$3004,1)),INDEX('AH History'!$C$1:$C$18046,AH!$P$7+757))),NA()),NA())</ns0:f>
        <ns0:v/>
      </ns0:c>
      <ns0:c r="E762">
        <ns0:f>IFERROR(IF(ISNUMBER($A762),IF(AND(AH!$P$10=1,AH!$P$12=1,$A762=TODAY()),AH!$P$20,IF(AH!$P$10=1,INDEX('Live History'!$H$5:$H$3004,MATCH($A762,'Live History'!$G$5:$G$3004,1)),INDEX('AH History'!$D$1:$D$18046,AH!$P$7+757))),NA()),NA())</ns0:f>
        <ns0:v/>
      </ns0:c>
      <ns0:c r="F762">
        <ns0:f>IFERROR(IF(ISNUMBER($A762),IF(AND(AH!$P$10=1,AH!$P$12=1,$A762=TODAY()),IF(AND(AH!$P$10=1,AH!$P$12=1,$A762=TODAY()),TODAY(),NA()),IF(AH!$P$10=1,INDEX('Live History'!$D$5:$D$3004,MATCH($A762,'Live History'!$D$5:$D$3004,1)),INDEX('AH History'!$E$1:$E$18046,AH!$P$7+757))),NA()),NA())</ns0:f>
        <ns0:v/>
      </ns0:c>
      <ns0:c r="G762">
        <ns0:f>IFERROR(IF(ISNUMBER($A762),IF(AND(AH!$P$10=1,AH!$P$12=1,$A762=TODAY()),IF(AND(AH!$P$10=1,AH!$P$12=1,$A762=TODAY()),TODAY(),NA()),IF(AH!$P$10=1,INDEX('Live History'!$G$5:$G$3004,MATCH($A762,'Live History'!$G$5:$G$3004,1)),INDEX('AH History'!$F$1:$F$18046,AH!$P$7+757))),NA()),NA())</ns0:f>
        <ns0:v/>
      </ns0:c>
      <ns0:c r="H762">
        <ns0:f>IFERROR(IF(AND(AH!$E$4="Bloomberg",AH!$P$10=1,ISNUMBER($A762),$A762&lt;=AH!$P$17),AH!$P$7-1+MATCH($A762,INDEX('AH History'!$A$1:$A$18046,AH!$P$7):INDEX('AH History'!$A$1:$A$18046,AH!$P$7+AH!$P$8-1),0),0),0)</ns0:f>
        <ns0:v/>
      </ns0:c>
      <ns0:c r="I762">
        <ns0:f>IF($H762=0,0,IFERROR(IF(AND(ABS($C762-INDEX('AH History'!$B$1:$B$18046,$H762))&lt;=MAX(0.005,ABS(INDEX('AH History'!$B$1:$B$18046,$H762))*0.00005),ABS($D762-INDEX('AH History'!$C$1:$C$18046,$H762))&lt;=MAX(0.005,ABS(INDEX('AH History'!$C$1:$C$18046,$H762))*0.00005),ABS($E762-INDEX('AH History'!$D$1:$D$18046,$H762))&lt;=0.00005,$F762=INDEX('AH History'!$E$1:$E$18046,$H762),$G762=INDEX('AH History'!$F$1:$F$18046,$H762)),1,-1),-1))</ns0:f>
        <ns0:v/>
      </ns0:c>
    </ns0:row>
    <ns0:row r="763">
      <ns0:c r="A763" s="215">
        <ns0:f>IF(OR(AH!$P$3=0,758+1&gt;AH!$P$11,AND(AH!$E$4&lt;&gt;"Stored",AH!$P$10&lt;&gt;1)),"",IFERROR(IF(AND(AH!$P$21=1,758+1=AH!$P$11),TODAY(),IF(AH!$P$10=1,INDEX('Live History'!$A$5:$A$3004,AH!$P$13+758),INDEX('AH History'!$A$1:$A$18046,AH!$P$7+758))),""))</ns0:f>
        <ns0:v/>
      </ns0:c>
      <ns0:c r="B763" s="219">
        <ns0:f>IFERROR(IF(AND(AH!$P$9&lt;&gt;1,$C763&gt;0,$D763&gt;0,$E763&gt;0,$F763&gt;0,$G763&gt;0,$F763&lt;=$A763,$G763&lt;=$A763,$A763-$F763&lt;=10,$A763-$G763&lt;=5),$D763*$E763/$C763-1,NA()),NA())</ns0:f>
        <ns0:v/>
      </ns0:c>
      <ns0:c r="C763">
        <ns0:f>IFERROR(IF(ISNUMBER($A763),IF(AND(AH!$P$10=1,AH!$P$12=1,$A763=TODAY()),AH!$P$19,IF(AH!$P$10=1,INDEX('Live History'!$B$5:$B$3004,AH!$P$13+758),INDEX('AH History'!$B$1:$B$18046,AH!$P$7+758))),NA()),NA())</ns0:f>
        <ns0:v/>
      </ns0:c>
      <ns0:c r="D763">
        <ns0:f>IFERROR(IF(ISNUMBER($A763),IF(AND(AH!$P$10=1,AH!$P$12=1,$A763=TODAY()),AH!$P$18,IF(AH!$P$10=1,INDEX('Live History'!$E$5:$E$3004,MATCH($A763,'Live History'!$D$5:$D$3004,1)),INDEX('AH History'!$C$1:$C$18046,AH!$P$7+758))),NA()),NA())</ns0:f>
        <ns0:v/>
      </ns0:c>
      <ns0:c r="E763">
        <ns0:f>IFERROR(IF(ISNUMBER($A763),IF(AND(AH!$P$10=1,AH!$P$12=1,$A763=TODAY()),AH!$P$20,IF(AH!$P$10=1,INDEX('Live History'!$H$5:$H$3004,MATCH($A763,'Live History'!$G$5:$G$3004,1)),INDEX('AH History'!$D$1:$D$18046,AH!$P$7+758))),NA()),NA())</ns0:f>
        <ns0:v/>
      </ns0:c>
      <ns0:c r="F763">
        <ns0:f>IFERROR(IF(ISNUMBER($A763),IF(AND(AH!$P$10=1,AH!$P$12=1,$A763=TODAY()),IF(AND(AH!$P$10=1,AH!$P$12=1,$A763=TODAY()),TODAY(),NA()),IF(AH!$P$10=1,INDEX('Live History'!$D$5:$D$3004,MATCH($A763,'Live History'!$D$5:$D$3004,1)),INDEX('AH History'!$E$1:$E$18046,AH!$P$7+758))),NA()),NA())</ns0:f>
        <ns0:v/>
      </ns0:c>
      <ns0:c r="G763">
        <ns0:f>IFERROR(IF(ISNUMBER($A763),IF(AND(AH!$P$10=1,AH!$P$12=1,$A763=TODAY()),IF(AND(AH!$P$10=1,AH!$P$12=1,$A763=TODAY()),TODAY(),NA()),IF(AH!$P$10=1,INDEX('Live History'!$G$5:$G$3004,MATCH($A763,'Live History'!$G$5:$G$3004,1)),INDEX('AH History'!$F$1:$F$18046,AH!$P$7+758))),NA()),NA())</ns0:f>
        <ns0:v/>
      </ns0:c>
      <ns0:c r="H763">
        <ns0:f>IFERROR(IF(AND(AH!$E$4="Bloomberg",AH!$P$10=1,ISNUMBER($A763),$A763&lt;=AH!$P$17),AH!$P$7-1+MATCH($A763,INDEX('AH History'!$A$1:$A$18046,AH!$P$7):INDEX('AH History'!$A$1:$A$18046,AH!$P$7+AH!$P$8-1),0),0),0)</ns0:f>
        <ns0:v/>
      </ns0:c>
      <ns0:c r="I763">
        <ns0:f>IF($H763=0,0,IFERROR(IF(AND(ABS($C763-INDEX('AH History'!$B$1:$B$18046,$H763))&lt;=MAX(0.005,ABS(INDEX('AH History'!$B$1:$B$18046,$H763))*0.00005),ABS($D763-INDEX('AH History'!$C$1:$C$18046,$H763))&lt;=MAX(0.005,ABS(INDEX('AH History'!$C$1:$C$18046,$H763))*0.00005),ABS($E763-INDEX('AH History'!$D$1:$D$18046,$H763))&lt;=0.00005,$F763=INDEX('AH History'!$E$1:$E$18046,$H763),$G763=INDEX('AH History'!$F$1:$F$18046,$H763)),1,-1),-1))</ns0:f>
        <ns0:v/>
      </ns0:c>
    </ns0:row>
    <ns0:row r="764">
      <ns0:c r="A764" s="215">
        <ns0:f>IF(OR(AH!$P$3=0,759+1&gt;AH!$P$11,AND(AH!$E$4&lt;&gt;"Stored",AH!$P$10&lt;&gt;1)),"",IFERROR(IF(AND(AH!$P$21=1,759+1=AH!$P$11),TODAY(),IF(AH!$P$10=1,INDEX('Live History'!$A$5:$A$3004,AH!$P$13+759),INDEX('AH History'!$A$1:$A$18046,AH!$P$7+759))),""))</ns0:f>
        <ns0:v/>
      </ns0:c>
      <ns0:c r="B764" s="219">
        <ns0:f>IFERROR(IF(AND(AH!$P$9&lt;&gt;1,$C764&gt;0,$D764&gt;0,$E764&gt;0,$F764&gt;0,$G764&gt;0,$F764&lt;=$A764,$G764&lt;=$A764,$A764-$F764&lt;=10,$A764-$G764&lt;=5),$D764*$E764/$C764-1,NA()),NA())</ns0:f>
        <ns0:v/>
      </ns0:c>
      <ns0:c r="C764">
        <ns0:f>IFERROR(IF(ISNUMBER($A764),IF(AND(AH!$P$10=1,AH!$P$12=1,$A764=TODAY()),AH!$P$19,IF(AH!$P$10=1,INDEX('Live History'!$B$5:$B$3004,AH!$P$13+759),INDEX('AH History'!$B$1:$B$18046,AH!$P$7+759))),NA()),NA())</ns0:f>
        <ns0:v/>
      </ns0:c>
      <ns0:c r="D764">
        <ns0:f>IFERROR(IF(ISNUMBER($A764),IF(AND(AH!$P$10=1,AH!$P$12=1,$A764=TODAY()),AH!$P$18,IF(AH!$P$10=1,INDEX('Live History'!$E$5:$E$3004,MATCH($A764,'Live History'!$D$5:$D$3004,1)),INDEX('AH History'!$C$1:$C$18046,AH!$P$7+759))),NA()),NA())</ns0:f>
        <ns0:v/>
      </ns0:c>
      <ns0:c r="E764">
        <ns0:f>IFERROR(IF(ISNUMBER($A764),IF(AND(AH!$P$10=1,AH!$P$12=1,$A764=TODAY()),AH!$P$20,IF(AH!$P$10=1,INDEX('Live History'!$H$5:$H$3004,MATCH($A764,'Live History'!$G$5:$G$3004,1)),INDEX('AH History'!$D$1:$D$18046,AH!$P$7+759))),NA()),NA())</ns0:f>
        <ns0:v/>
      </ns0:c>
      <ns0:c r="F764">
        <ns0:f>IFERROR(IF(ISNUMBER($A764),IF(AND(AH!$P$10=1,AH!$P$12=1,$A764=TODAY()),IF(AND(AH!$P$10=1,AH!$P$12=1,$A764=TODAY()),TODAY(),NA()),IF(AH!$P$10=1,INDEX('Live History'!$D$5:$D$3004,MATCH($A764,'Live History'!$D$5:$D$3004,1)),INDEX('AH History'!$E$1:$E$18046,AH!$P$7+759))),NA()),NA())</ns0:f>
        <ns0:v/>
      </ns0:c>
      <ns0:c r="G764">
        <ns0:f>IFERROR(IF(ISNUMBER($A764),IF(AND(AH!$P$10=1,AH!$P$12=1,$A764=TODAY()),IF(AND(AH!$P$10=1,AH!$P$12=1,$A764=TODAY()),TODAY(),NA()),IF(AH!$P$10=1,INDEX('Live History'!$G$5:$G$3004,MATCH($A764,'Live History'!$G$5:$G$3004,1)),INDEX('AH History'!$F$1:$F$18046,AH!$P$7+759))),NA()),NA())</ns0:f>
        <ns0:v/>
      </ns0:c>
      <ns0:c r="H764">
        <ns0:f>IFERROR(IF(AND(AH!$E$4="Bloomberg",AH!$P$10=1,ISNUMBER($A764),$A764&lt;=AH!$P$17),AH!$P$7-1+MATCH($A764,INDEX('AH History'!$A$1:$A$18046,AH!$P$7):INDEX('AH History'!$A$1:$A$18046,AH!$P$7+AH!$P$8-1),0),0),0)</ns0:f>
        <ns0:v/>
      </ns0:c>
      <ns0:c r="I764">
        <ns0:f>IF($H764=0,0,IFERROR(IF(AND(ABS($C764-INDEX('AH History'!$B$1:$B$18046,$H764))&lt;=MAX(0.005,ABS(INDEX('AH History'!$B$1:$B$18046,$H764))*0.00005),ABS($D764-INDEX('AH History'!$C$1:$C$18046,$H764))&lt;=MAX(0.005,ABS(INDEX('AH History'!$C$1:$C$18046,$H764))*0.00005),ABS($E764-INDEX('AH History'!$D$1:$D$18046,$H764))&lt;=0.00005,$F764=INDEX('AH History'!$E$1:$E$18046,$H764),$G764=INDEX('AH History'!$F$1:$F$18046,$H764)),1,-1),-1))</ns0:f>
        <ns0:v/>
      </ns0:c>
    </ns0:row>
    <ns0:row r="765">
      <ns0:c r="A765" s="215">
        <ns0:f>IF(OR(AH!$P$3=0,760+1&gt;AH!$P$11,AND(AH!$E$4&lt;&gt;"Stored",AH!$P$10&lt;&gt;1)),"",IFERROR(IF(AND(AH!$P$21=1,760+1=AH!$P$11),TODAY(),IF(AH!$P$10=1,INDEX('Live History'!$A$5:$A$3004,AH!$P$13+760),INDEX('AH History'!$A$1:$A$18046,AH!$P$7+760))),""))</ns0:f>
        <ns0:v/>
      </ns0:c>
      <ns0:c r="B765" s="219">
        <ns0:f>IFERROR(IF(AND(AH!$P$9&lt;&gt;1,$C765&gt;0,$D765&gt;0,$E765&gt;0,$F765&gt;0,$G765&gt;0,$F765&lt;=$A765,$G765&lt;=$A765,$A765-$F765&lt;=10,$A765-$G765&lt;=5),$D765*$E765/$C765-1,NA()),NA())</ns0:f>
        <ns0:v/>
      </ns0:c>
      <ns0:c r="C765">
        <ns0:f>IFERROR(IF(ISNUMBER($A765),IF(AND(AH!$P$10=1,AH!$P$12=1,$A765=TODAY()),AH!$P$19,IF(AH!$P$10=1,INDEX('Live History'!$B$5:$B$3004,AH!$P$13+760),INDEX('AH History'!$B$1:$B$18046,AH!$P$7+760))),NA()),NA())</ns0:f>
        <ns0:v/>
      </ns0:c>
      <ns0:c r="D765">
        <ns0:f>IFERROR(IF(ISNUMBER($A765),IF(AND(AH!$P$10=1,AH!$P$12=1,$A765=TODAY()),AH!$P$18,IF(AH!$P$10=1,INDEX('Live History'!$E$5:$E$3004,MATCH($A765,'Live History'!$D$5:$D$3004,1)),INDEX('AH History'!$C$1:$C$18046,AH!$P$7+760))),NA()),NA())</ns0:f>
        <ns0:v/>
      </ns0:c>
      <ns0:c r="E765">
        <ns0:f>IFERROR(IF(ISNUMBER($A765),IF(AND(AH!$P$10=1,AH!$P$12=1,$A765=TODAY()),AH!$P$20,IF(AH!$P$10=1,INDEX('Live History'!$H$5:$H$3004,MATCH($A765,'Live History'!$G$5:$G$3004,1)),INDEX('AH History'!$D$1:$D$18046,AH!$P$7+760))),NA()),NA())</ns0:f>
        <ns0:v/>
      </ns0:c>
      <ns0:c r="F765">
        <ns0:f>IFERROR(IF(ISNUMBER($A765),IF(AND(AH!$P$10=1,AH!$P$12=1,$A765=TODAY()),IF(AND(AH!$P$10=1,AH!$P$12=1,$A765=TODAY()),TODAY(),NA()),IF(AH!$P$10=1,INDEX('Live History'!$D$5:$D$3004,MATCH($A765,'Live History'!$D$5:$D$3004,1)),INDEX('AH History'!$E$1:$E$18046,AH!$P$7+760))),NA()),NA())</ns0:f>
        <ns0:v/>
      </ns0:c>
      <ns0:c r="G765">
        <ns0:f>IFERROR(IF(ISNUMBER($A765),IF(AND(AH!$P$10=1,AH!$P$12=1,$A765=TODAY()),IF(AND(AH!$P$10=1,AH!$P$12=1,$A765=TODAY()),TODAY(),NA()),IF(AH!$P$10=1,INDEX('Live History'!$G$5:$G$3004,MATCH($A765,'Live History'!$G$5:$G$3004,1)),INDEX('AH History'!$F$1:$F$18046,AH!$P$7+760))),NA()),NA())</ns0:f>
        <ns0:v/>
      </ns0:c>
      <ns0:c r="H765">
        <ns0:f>IFERROR(IF(AND(AH!$E$4="Bloomberg",AH!$P$10=1,ISNUMBER($A765),$A765&lt;=AH!$P$17),AH!$P$7-1+MATCH($A765,INDEX('AH History'!$A$1:$A$18046,AH!$P$7):INDEX('AH History'!$A$1:$A$18046,AH!$P$7+AH!$P$8-1),0),0),0)</ns0:f>
        <ns0:v/>
      </ns0:c>
      <ns0:c r="I765">
        <ns0:f>IF($H765=0,0,IFERROR(IF(AND(ABS($C765-INDEX('AH History'!$B$1:$B$18046,$H765))&lt;=MAX(0.005,ABS(INDEX('AH History'!$B$1:$B$18046,$H765))*0.00005),ABS($D765-INDEX('AH History'!$C$1:$C$18046,$H765))&lt;=MAX(0.005,ABS(INDEX('AH History'!$C$1:$C$18046,$H765))*0.00005),ABS($E765-INDEX('AH History'!$D$1:$D$18046,$H765))&lt;=0.00005,$F765=INDEX('AH History'!$E$1:$E$18046,$H765),$G765=INDEX('AH History'!$F$1:$F$18046,$H765)),1,-1),-1))</ns0:f>
        <ns0:v/>
      </ns0:c>
    </ns0:row>
    <ns0:row r="766">
      <ns0:c r="A766" s="215">
        <ns0:f>IF(OR(AH!$P$3=0,761+1&gt;AH!$P$11,AND(AH!$E$4&lt;&gt;"Stored",AH!$P$10&lt;&gt;1)),"",IFERROR(IF(AND(AH!$P$21=1,761+1=AH!$P$11),TODAY(),IF(AH!$P$10=1,INDEX('Live History'!$A$5:$A$3004,AH!$P$13+761),INDEX('AH History'!$A$1:$A$18046,AH!$P$7+761))),""))</ns0:f>
        <ns0:v/>
      </ns0:c>
      <ns0:c r="B766" s="219">
        <ns0:f>IFERROR(IF(AND(AH!$P$9&lt;&gt;1,$C766&gt;0,$D766&gt;0,$E766&gt;0,$F766&gt;0,$G766&gt;0,$F766&lt;=$A766,$G766&lt;=$A766,$A766-$F766&lt;=10,$A766-$G766&lt;=5),$D766*$E766/$C766-1,NA()),NA())</ns0:f>
        <ns0:v/>
      </ns0:c>
      <ns0:c r="C766">
        <ns0:f>IFERROR(IF(ISNUMBER($A766),IF(AND(AH!$P$10=1,AH!$P$12=1,$A766=TODAY()),AH!$P$19,IF(AH!$P$10=1,INDEX('Live History'!$B$5:$B$3004,AH!$P$13+761),INDEX('AH History'!$B$1:$B$18046,AH!$P$7+761))),NA()),NA())</ns0:f>
        <ns0:v/>
      </ns0:c>
      <ns0:c r="D766">
        <ns0:f>IFERROR(IF(ISNUMBER($A766),IF(AND(AH!$P$10=1,AH!$P$12=1,$A766=TODAY()),AH!$P$18,IF(AH!$P$10=1,INDEX('Live History'!$E$5:$E$3004,MATCH($A766,'Live History'!$D$5:$D$3004,1)),INDEX('AH History'!$C$1:$C$18046,AH!$P$7+761))),NA()),NA())</ns0:f>
        <ns0:v/>
      </ns0:c>
      <ns0:c r="E766">
        <ns0:f>IFERROR(IF(ISNUMBER($A766),IF(AND(AH!$P$10=1,AH!$P$12=1,$A766=TODAY()),AH!$P$20,IF(AH!$P$10=1,INDEX('Live History'!$H$5:$H$3004,MATCH($A766,'Live History'!$G$5:$G$3004,1)),INDEX('AH History'!$D$1:$D$18046,AH!$P$7+761))),NA()),NA())</ns0:f>
        <ns0:v/>
      </ns0:c>
      <ns0:c r="F766">
        <ns0:f>IFERROR(IF(ISNUMBER($A766),IF(AND(AH!$P$10=1,AH!$P$12=1,$A766=TODAY()),IF(AND(AH!$P$10=1,AH!$P$12=1,$A766=TODAY()),TODAY(),NA()),IF(AH!$P$10=1,INDEX('Live History'!$D$5:$D$3004,MATCH($A766,'Live History'!$D$5:$D$3004,1)),INDEX('AH History'!$E$1:$E$18046,AH!$P$7+761))),NA()),NA())</ns0:f>
        <ns0:v/>
      </ns0:c>
      <ns0:c r="G766">
        <ns0:f>IFERROR(IF(ISNUMBER($A766),IF(AND(AH!$P$10=1,AH!$P$12=1,$A766=TODAY()),IF(AND(AH!$P$10=1,AH!$P$12=1,$A766=TODAY()),TODAY(),NA()),IF(AH!$P$10=1,INDEX('Live History'!$G$5:$G$3004,MATCH($A766,'Live History'!$G$5:$G$3004,1)),INDEX('AH History'!$F$1:$F$18046,AH!$P$7+761))),NA()),NA())</ns0:f>
        <ns0:v/>
      </ns0:c>
      <ns0:c r="H766">
        <ns0:f>IFERROR(IF(AND(AH!$E$4="Bloomberg",AH!$P$10=1,ISNUMBER($A766),$A766&lt;=AH!$P$17),AH!$P$7-1+MATCH($A766,INDEX('AH History'!$A$1:$A$18046,AH!$P$7):INDEX('AH History'!$A$1:$A$18046,AH!$P$7+AH!$P$8-1),0),0),0)</ns0:f>
        <ns0:v/>
      </ns0:c>
      <ns0:c r="I766">
        <ns0:f>IF($H766=0,0,IFERROR(IF(AND(ABS($C766-INDEX('AH History'!$B$1:$B$18046,$H766))&lt;=MAX(0.005,ABS(INDEX('AH History'!$B$1:$B$18046,$H766))*0.00005),ABS($D766-INDEX('AH History'!$C$1:$C$18046,$H766))&lt;=MAX(0.005,ABS(INDEX('AH History'!$C$1:$C$18046,$H766))*0.00005),ABS($E766-INDEX('AH History'!$D$1:$D$18046,$H766))&lt;=0.00005,$F766=INDEX('AH History'!$E$1:$E$18046,$H766),$G766=INDEX('AH History'!$F$1:$F$18046,$H766)),1,-1),-1))</ns0:f>
        <ns0:v/>
      </ns0:c>
    </ns0:row>
    <ns0:row r="767">
      <ns0:c r="A767" s="215">
        <ns0:f>IF(OR(AH!$P$3=0,762+1&gt;AH!$P$11,AND(AH!$E$4&lt;&gt;"Stored",AH!$P$10&lt;&gt;1)),"",IFERROR(IF(AND(AH!$P$21=1,762+1=AH!$P$11),TODAY(),IF(AH!$P$10=1,INDEX('Live History'!$A$5:$A$3004,AH!$P$13+762),INDEX('AH History'!$A$1:$A$18046,AH!$P$7+762))),""))</ns0:f>
        <ns0:v/>
      </ns0:c>
      <ns0:c r="B767" s="219">
        <ns0:f>IFERROR(IF(AND(AH!$P$9&lt;&gt;1,$C767&gt;0,$D767&gt;0,$E767&gt;0,$F767&gt;0,$G767&gt;0,$F767&lt;=$A767,$G767&lt;=$A767,$A767-$F767&lt;=10,$A767-$G767&lt;=5),$D767*$E767/$C767-1,NA()),NA())</ns0:f>
        <ns0:v/>
      </ns0:c>
      <ns0:c r="C767">
        <ns0:f>IFERROR(IF(ISNUMBER($A767),IF(AND(AH!$P$10=1,AH!$P$12=1,$A767=TODAY()),AH!$P$19,IF(AH!$P$10=1,INDEX('Live History'!$B$5:$B$3004,AH!$P$13+762),INDEX('AH History'!$B$1:$B$18046,AH!$P$7+762))),NA()),NA())</ns0:f>
        <ns0:v/>
      </ns0:c>
      <ns0:c r="D767">
        <ns0:f>IFERROR(IF(ISNUMBER($A767),IF(AND(AH!$P$10=1,AH!$P$12=1,$A767=TODAY()),AH!$P$18,IF(AH!$P$10=1,INDEX('Live History'!$E$5:$E$3004,MATCH($A767,'Live History'!$D$5:$D$3004,1)),INDEX('AH History'!$C$1:$C$18046,AH!$P$7+762))),NA()),NA())</ns0:f>
        <ns0:v/>
      </ns0:c>
      <ns0:c r="E767">
        <ns0:f>IFERROR(IF(ISNUMBER($A767),IF(AND(AH!$P$10=1,AH!$P$12=1,$A767=TODAY()),AH!$P$20,IF(AH!$P$10=1,INDEX('Live History'!$H$5:$H$3004,MATCH($A767,'Live History'!$G$5:$G$3004,1)),INDEX('AH History'!$D$1:$D$18046,AH!$P$7+762))),NA()),NA())</ns0:f>
        <ns0:v/>
      </ns0:c>
      <ns0:c r="F767">
        <ns0:f>IFERROR(IF(ISNUMBER($A767),IF(AND(AH!$P$10=1,AH!$P$12=1,$A767=TODAY()),IF(AND(AH!$P$10=1,AH!$P$12=1,$A767=TODAY()),TODAY(),NA()),IF(AH!$P$10=1,INDEX('Live History'!$D$5:$D$3004,MATCH($A767,'Live History'!$D$5:$D$3004,1)),INDEX('AH History'!$E$1:$E$18046,AH!$P$7+762))),NA()),NA())</ns0:f>
        <ns0:v/>
      </ns0:c>
      <ns0:c r="G767">
        <ns0:f>IFERROR(IF(ISNUMBER($A767),IF(AND(AH!$P$10=1,AH!$P$12=1,$A767=TODAY()),IF(AND(AH!$P$10=1,AH!$P$12=1,$A767=TODAY()),TODAY(),NA()),IF(AH!$P$10=1,INDEX('Live History'!$G$5:$G$3004,MATCH($A767,'Live History'!$G$5:$G$3004,1)),INDEX('AH History'!$F$1:$F$18046,AH!$P$7+762))),NA()),NA())</ns0:f>
        <ns0:v/>
      </ns0:c>
      <ns0:c r="H767">
        <ns0:f>IFERROR(IF(AND(AH!$E$4="Bloomberg",AH!$P$10=1,ISNUMBER($A767),$A767&lt;=AH!$P$17),AH!$P$7-1+MATCH($A767,INDEX('AH History'!$A$1:$A$18046,AH!$P$7):INDEX('AH History'!$A$1:$A$18046,AH!$P$7+AH!$P$8-1),0),0),0)</ns0:f>
        <ns0:v/>
      </ns0:c>
      <ns0:c r="I767">
        <ns0:f>IF($H767=0,0,IFERROR(IF(AND(ABS($C767-INDEX('AH History'!$B$1:$B$18046,$H767))&lt;=MAX(0.005,ABS(INDEX('AH History'!$B$1:$B$18046,$H767))*0.00005),ABS($D767-INDEX('AH History'!$C$1:$C$18046,$H767))&lt;=MAX(0.005,ABS(INDEX('AH History'!$C$1:$C$18046,$H767))*0.00005),ABS($E767-INDEX('AH History'!$D$1:$D$18046,$H767))&lt;=0.00005,$F767=INDEX('AH History'!$E$1:$E$18046,$H767),$G767=INDEX('AH History'!$F$1:$F$18046,$H767)),1,-1),-1))</ns0:f>
        <ns0:v/>
      </ns0:c>
    </ns0:row>
    <ns0:row r="768">
      <ns0:c r="A768" s="215">
        <ns0:f>IF(OR(AH!$P$3=0,763+1&gt;AH!$P$11,AND(AH!$E$4&lt;&gt;"Stored",AH!$P$10&lt;&gt;1)),"",IFERROR(IF(AND(AH!$P$21=1,763+1=AH!$P$11),TODAY(),IF(AH!$P$10=1,INDEX('Live History'!$A$5:$A$3004,AH!$P$13+763),INDEX('AH History'!$A$1:$A$18046,AH!$P$7+763))),""))</ns0:f>
        <ns0:v/>
      </ns0:c>
      <ns0:c r="B768" s="219">
        <ns0:f>IFERROR(IF(AND(AH!$P$9&lt;&gt;1,$C768&gt;0,$D768&gt;0,$E768&gt;0,$F768&gt;0,$G768&gt;0,$F768&lt;=$A768,$G768&lt;=$A768,$A768-$F768&lt;=10,$A768-$G768&lt;=5),$D768*$E768/$C768-1,NA()),NA())</ns0:f>
        <ns0:v/>
      </ns0:c>
      <ns0:c r="C768">
        <ns0:f>IFERROR(IF(ISNUMBER($A768),IF(AND(AH!$P$10=1,AH!$P$12=1,$A768=TODAY()),AH!$P$19,IF(AH!$P$10=1,INDEX('Live History'!$B$5:$B$3004,AH!$P$13+763),INDEX('AH History'!$B$1:$B$18046,AH!$P$7+763))),NA()),NA())</ns0:f>
        <ns0:v/>
      </ns0:c>
      <ns0:c r="D768">
        <ns0:f>IFERROR(IF(ISNUMBER($A768),IF(AND(AH!$P$10=1,AH!$P$12=1,$A768=TODAY()),AH!$P$18,IF(AH!$P$10=1,INDEX('Live History'!$E$5:$E$3004,MATCH($A768,'Live History'!$D$5:$D$3004,1)),INDEX('AH History'!$C$1:$C$18046,AH!$P$7+763))),NA()),NA())</ns0:f>
        <ns0:v/>
      </ns0:c>
      <ns0:c r="E768">
        <ns0:f>IFERROR(IF(ISNUMBER($A768),IF(AND(AH!$P$10=1,AH!$P$12=1,$A768=TODAY()),AH!$P$20,IF(AH!$P$10=1,INDEX('Live History'!$H$5:$H$3004,MATCH($A768,'Live History'!$G$5:$G$3004,1)),INDEX('AH History'!$D$1:$D$18046,AH!$P$7+763))),NA()),NA())</ns0:f>
        <ns0:v/>
      </ns0:c>
      <ns0:c r="F768">
        <ns0:f>IFERROR(IF(ISNUMBER($A768),IF(AND(AH!$P$10=1,AH!$P$12=1,$A768=TODAY()),IF(AND(AH!$P$10=1,AH!$P$12=1,$A768=TODAY()),TODAY(),NA()),IF(AH!$P$10=1,INDEX('Live History'!$D$5:$D$3004,MATCH($A768,'Live History'!$D$5:$D$3004,1)),INDEX('AH History'!$E$1:$E$18046,AH!$P$7+763))),NA()),NA())</ns0:f>
        <ns0:v/>
      </ns0:c>
      <ns0:c r="G768">
        <ns0:f>IFERROR(IF(ISNUMBER($A768),IF(AND(AH!$P$10=1,AH!$P$12=1,$A768=TODAY()),IF(AND(AH!$P$10=1,AH!$P$12=1,$A768=TODAY()),TODAY(),NA()),IF(AH!$P$10=1,INDEX('Live History'!$G$5:$G$3004,MATCH($A768,'Live History'!$G$5:$G$3004,1)),INDEX('AH History'!$F$1:$F$18046,AH!$P$7+763))),NA()),NA())</ns0:f>
        <ns0:v/>
      </ns0:c>
      <ns0:c r="H768">
        <ns0:f>IFERROR(IF(AND(AH!$E$4="Bloomberg",AH!$P$10=1,ISNUMBER($A768),$A768&lt;=AH!$P$17),AH!$P$7-1+MATCH($A768,INDEX('AH History'!$A$1:$A$18046,AH!$P$7):INDEX('AH History'!$A$1:$A$18046,AH!$P$7+AH!$P$8-1),0),0),0)</ns0:f>
        <ns0:v/>
      </ns0:c>
      <ns0:c r="I768">
        <ns0:f>IF($H768=0,0,IFERROR(IF(AND(ABS($C768-INDEX('AH History'!$B$1:$B$18046,$H768))&lt;=MAX(0.005,ABS(INDEX('AH History'!$B$1:$B$18046,$H768))*0.00005),ABS($D768-INDEX('AH History'!$C$1:$C$18046,$H768))&lt;=MAX(0.005,ABS(INDEX('AH History'!$C$1:$C$18046,$H768))*0.00005),ABS($E768-INDEX('AH History'!$D$1:$D$18046,$H768))&lt;=0.00005,$F768=INDEX('AH History'!$E$1:$E$18046,$H768),$G768=INDEX('AH History'!$F$1:$F$18046,$H768)),1,-1),-1))</ns0:f>
        <ns0:v/>
      </ns0:c>
    </ns0:row>
    <ns0:row r="769">
      <ns0:c r="A769" s="215">
        <ns0:f>IF(OR(AH!$P$3=0,764+1&gt;AH!$P$11,AND(AH!$E$4&lt;&gt;"Stored",AH!$P$10&lt;&gt;1)),"",IFERROR(IF(AND(AH!$P$21=1,764+1=AH!$P$11),TODAY(),IF(AH!$P$10=1,INDEX('Live History'!$A$5:$A$3004,AH!$P$13+764),INDEX('AH History'!$A$1:$A$18046,AH!$P$7+764))),""))</ns0:f>
        <ns0:v/>
      </ns0:c>
      <ns0:c r="B769" s="219">
        <ns0:f>IFERROR(IF(AND(AH!$P$9&lt;&gt;1,$C769&gt;0,$D769&gt;0,$E769&gt;0,$F769&gt;0,$G769&gt;0,$F769&lt;=$A769,$G769&lt;=$A769,$A769-$F769&lt;=10,$A769-$G769&lt;=5),$D769*$E769/$C769-1,NA()),NA())</ns0:f>
        <ns0:v/>
      </ns0:c>
      <ns0:c r="C769">
        <ns0:f>IFERROR(IF(ISNUMBER($A769),IF(AND(AH!$P$10=1,AH!$P$12=1,$A769=TODAY()),AH!$P$19,IF(AH!$P$10=1,INDEX('Live History'!$B$5:$B$3004,AH!$P$13+764),INDEX('AH History'!$B$1:$B$18046,AH!$P$7+764))),NA()),NA())</ns0:f>
        <ns0:v/>
      </ns0:c>
      <ns0:c r="D769">
        <ns0:f>IFERROR(IF(ISNUMBER($A769),IF(AND(AH!$P$10=1,AH!$P$12=1,$A769=TODAY()),AH!$P$18,IF(AH!$P$10=1,INDEX('Live History'!$E$5:$E$3004,MATCH($A769,'Live History'!$D$5:$D$3004,1)),INDEX('AH History'!$C$1:$C$18046,AH!$P$7+764))),NA()),NA())</ns0:f>
        <ns0:v/>
      </ns0:c>
      <ns0:c r="E769">
        <ns0:f>IFERROR(IF(ISNUMBER($A769),IF(AND(AH!$P$10=1,AH!$P$12=1,$A769=TODAY()),AH!$P$20,IF(AH!$P$10=1,INDEX('Live History'!$H$5:$H$3004,MATCH($A769,'Live History'!$G$5:$G$3004,1)),INDEX('AH History'!$D$1:$D$18046,AH!$P$7+764))),NA()),NA())</ns0:f>
        <ns0:v/>
      </ns0:c>
      <ns0:c r="F769">
        <ns0:f>IFERROR(IF(ISNUMBER($A769),IF(AND(AH!$P$10=1,AH!$P$12=1,$A769=TODAY()),IF(AND(AH!$P$10=1,AH!$P$12=1,$A769=TODAY()),TODAY(),NA()),IF(AH!$P$10=1,INDEX('Live History'!$D$5:$D$3004,MATCH($A769,'Live History'!$D$5:$D$3004,1)),INDEX('AH History'!$E$1:$E$18046,AH!$P$7+764))),NA()),NA())</ns0:f>
        <ns0:v/>
      </ns0:c>
      <ns0:c r="G769">
        <ns0:f>IFERROR(IF(ISNUMBER($A769),IF(AND(AH!$P$10=1,AH!$P$12=1,$A769=TODAY()),IF(AND(AH!$P$10=1,AH!$P$12=1,$A769=TODAY()),TODAY(),NA()),IF(AH!$P$10=1,INDEX('Live History'!$G$5:$G$3004,MATCH($A769,'Live History'!$G$5:$G$3004,1)),INDEX('AH History'!$F$1:$F$18046,AH!$P$7+764))),NA()),NA())</ns0:f>
        <ns0:v/>
      </ns0:c>
      <ns0:c r="H769">
        <ns0:f>IFERROR(IF(AND(AH!$E$4="Bloomberg",AH!$P$10=1,ISNUMBER($A769),$A769&lt;=AH!$P$17),AH!$P$7-1+MATCH($A769,INDEX('AH History'!$A$1:$A$18046,AH!$P$7):INDEX('AH History'!$A$1:$A$18046,AH!$P$7+AH!$P$8-1),0),0),0)</ns0:f>
        <ns0:v/>
      </ns0:c>
      <ns0:c r="I769">
        <ns0:f>IF($H769=0,0,IFERROR(IF(AND(ABS($C769-INDEX('AH History'!$B$1:$B$18046,$H769))&lt;=MAX(0.005,ABS(INDEX('AH History'!$B$1:$B$18046,$H769))*0.00005),ABS($D769-INDEX('AH History'!$C$1:$C$18046,$H769))&lt;=MAX(0.005,ABS(INDEX('AH History'!$C$1:$C$18046,$H769))*0.00005),ABS($E769-INDEX('AH History'!$D$1:$D$18046,$H769))&lt;=0.00005,$F769=INDEX('AH History'!$E$1:$E$18046,$H769),$G769=INDEX('AH History'!$F$1:$F$18046,$H769)),1,-1),-1))</ns0:f>
        <ns0:v/>
      </ns0:c>
    </ns0:row>
    <ns0:row r="770">
      <ns0:c r="A770" s="215">
        <ns0:f>IF(OR(AH!$P$3=0,765+1&gt;AH!$P$11,AND(AH!$E$4&lt;&gt;"Stored",AH!$P$10&lt;&gt;1)),"",IFERROR(IF(AND(AH!$P$21=1,765+1=AH!$P$11),TODAY(),IF(AH!$P$10=1,INDEX('Live History'!$A$5:$A$3004,AH!$P$13+765),INDEX('AH History'!$A$1:$A$18046,AH!$P$7+765))),""))</ns0:f>
        <ns0:v/>
      </ns0:c>
      <ns0:c r="B770" s="219">
        <ns0:f>IFERROR(IF(AND(AH!$P$9&lt;&gt;1,$C770&gt;0,$D770&gt;0,$E770&gt;0,$F770&gt;0,$G770&gt;0,$F770&lt;=$A770,$G770&lt;=$A770,$A770-$F770&lt;=10,$A770-$G770&lt;=5),$D770*$E770/$C770-1,NA()),NA())</ns0:f>
        <ns0:v/>
      </ns0:c>
      <ns0:c r="C770">
        <ns0:f>IFERROR(IF(ISNUMBER($A770),IF(AND(AH!$P$10=1,AH!$P$12=1,$A770=TODAY()),AH!$P$19,IF(AH!$P$10=1,INDEX('Live History'!$B$5:$B$3004,AH!$P$13+765),INDEX('AH History'!$B$1:$B$18046,AH!$P$7+765))),NA()),NA())</ns0:f>
        <ns0:v/>
      </ns0:c>
      <ns0:c r="D770">
        <ns0:f>IFERROR(IF(ISNUMBER($A770),IF(AND(AH!$P$10=1,AH!$P$12=1,$A770=TODAY()),AH!$P$18,IF(AH!$P$10=1,INDEX('Live History'!$E$5:$E$3004,MATCH($A770,'Live History'!$D$5:$D$3004,1)),INDEX('AH History'!$C$1:$C$18046,AH!$P$7+765))),NA()),NA())</ns0:f>
        <ns0:v/>
      </ns0:c>
      <ns0:c r="E770">
        <ns0:f>IFERROR(IF(ISNUMBER($A770),IF(AND(AH!$P$10=1,AH!$P$12=1,$A770=TODAY()),AH!$P$20,IF(AH!$P$10=1,INDEX('Live History'!$H$5:$H$3004,MATCH($A770,'Live History'!$G$5:$G$3004,1)),INDEX('AH History'!$D$1:$D$18046,AH!$P$7+765))),NA()),NA())</ns0:f>
        <ns0:v/>
      </ns0:c>
      <ns0:c r="F770">
        <ns0:f>IFERROR(IF(ISNUMBER($A770),IF(AND(AH!$P$10=1,AH!$P$12=1,$A770=TODAY()),IF(AND(AH!$P$10=1,AH!$P$12=1,$A770=TODAY()),TODAY(),NA()),IF(AH!$P$10=1,INDEX('Live History'!$D$5:$D$3004,MATCH($A770,'Live History'!$D$5:$D$3004,1)),INDEX('AH History'!$E$1:$E$18046,AH!$P$7+765))),NA()),NA())</ns0:f>
        <ns0:v/>
      </ns0:c>
      <ns0:c r="G770">
        <ns0:f>IFERROR(IF(ISNUMBER($A770),IF(AND(AH!$P$10=1,AH!$P$12=1,$A770=TODAY()),IF(AND(AH!$P$10=1,AH!$P$12=1,$A770=TODAY()),TODAY(),NA()),IF(AH!$P$10=1,INDEX('Live History'!$G$5:$G$3004,MATCH($A770,'Live History'!$G$5:$G$3004,1)),INDEX('AH History'!$F$1:$F$18046,AH!$P$7+765))),NA()),NA())</ns0:f>
        <ns0:v/>
      </ns0:c>
      <ns0:c r="H770">
        <ns0:f>IFERROR(IF(AND(AH!$E$4="Bloomberg",AH!$P$10=1,ISNUMBER($A770),$A770&lt;=AH!$P$17),AH!$P$7-1+MATCH($A770,INDEX('AH History'!$A$1:$A$18046,AH!$P$7):INDEX('AH History'!$A$1:$A$18046,AH!$P$7+AH!$P$8-1),0),0),0)</ns0:f>
        <ns0:v/>
      </ns0:c>
      <ns0:c r="I770">
        <ns0:f>IF($H770=0,0,IFERROR(IF(AND(ABS($C770-INDEX('AH History'!$B$1:$B$18046,$H770))&lt;=MAX(0.005,ABS(INDEX('AH History'!$B$1:$B$18046,$H770))*0.00005),ABS($D770-INDEX('AH History'!$C$1:$C$18046,$H770))&lt;=MAX(0.005,ABS(INDEX('AH History'!$C$1:$C$18046,$H770))*0.00005),ABS($E770-INDEX('AH History'!$D$1:$D$18046,$H770))&lt;=0.00005,$F770=INDEX('AH History'!$E$1:$E$18046,$H770),$G770=INDEX('AH History'!$F$1:$F$18046,$H770)),1,-1),-1))</ns0:f>
        <ns0:v/>
      </ns0:c>
    </ns0:row>
    <ns0:row r="771">
      <ns0:c r="A771" s="215">
        <ns0:f>IF(OR(AH!$P$3=0,766+1&gt;AH!$P$11,AND(AH!$E$4&lt;&gt;"Stored",AH!$P$10&lt;&gt;1)),"",IFERROR(IF(AND(AH!$P$21=1,766+1=AH!$P$11),TODAY(),IF(AH!$P$10=1,INDEX('Live History'!$A$5:$A$3004,AH!$P$13+766),INDEX('AH History'!$A$1:$A$18046,AH!$P$7+766))),""))</ns0:f>
        <ns0:v/>
      </ns0:c>
      <ns0:c r="B771" s="219">
        <ns0:f>IFERROR(IF(AND(AH!$P$9&lt;&gt;1,$C771&gt;0,$D771&gt;0,$E771&gt;0,$F771&gt;0,$G771&gt;0,$F771&lt;=$A771,$G771&lt;=$A771,$A771-$F771&lt;=10,$A771-$G771&lt;=5),$D771*$E771/$C771-1,NA()),NA())</ns0:f>
        <ns0:v/>
      </ns0:c>
      <ns0:c r="C771">
        <ns0:f>IFERROR(IF(ISNUMBER($A771),IF(AND(AH!$P$10=1,AH!$P$12=1,$A771=TODAY()),AH!$P$19,IF(AH!$P$10=1,INDEX('Live History'!$B$5:$B$3004,AH!$P$13+766),INDEX('AH History'!$B$1:$B$18046,AH!$P$7+766))),NA()),NA())</ns0:f>
        <ns0:v/>
      </ns0:c>
      <ns0:c r="D771">
        <ns0:f>IFERROR(IF(ISNUMBER($A771),IF(AND(AH!$P$10=1,AH!$P$12=1,$A771=TODAY()),AH!$P$18,IF(AH!$P$10=1,INDEX('Live History'!$E$5:$E$3004,MATCH($A771,'Live History'!$D$5:$D$3004,1)),INDEX('AH History'!$C$1:$C$18046,AH!$P$7+766))),NA()),NA())</ns0:f>
        <ns0:v/>
      </ns0:c>
      <ns0:c r="E771">
        <ns0:f>IFERROR(IF(ISNUMBER($A771),IF(AND(AH!$P$10=1,AH!$P$12=1,$A771=TODAY()),AH!$P$20,IF(AH!$P$10=1,INDEX('Live History'!$H$5:$H$3004,MATCH($A771,'Live History'!$G$5:$G$3004,1)),INDEX('AH History'!$D$1:$D$18046,AH!$P$7+766))),NA()),NA())</ns0:f>
        <ns0:v/>
      </ns0:c>
      <ns0:c r="F771">
        <ns0:f>IFERROR(IF(ISNUMBER($A771),IF(AND(AH!$P$10=1,AH!$P$12=1,$A771=TODAY()),IF(AND(AH!$P$10=1,AH!$P$12=1,$A771=TODAY()),TODAY(),NA()),IF(AH!$P$10=1,INDEX('Live History'!$D$5:$D$3004,MATCH($A771,'Live History'!$D$5:$D$3004,1)),INDEX('AH History'!$E$1:$E$18046,AH!$P$7+766))),NA()),NA())</ns0:f>
        <ns0:v/>
      </ns0:c>
      <ns0:c r="G771">
        <ns0:f>IFERROR(IF(ISNUMBER($A771),IF(AND(AH!$P$10=1,AH!$P$12=1,$A771=TODAY()),IF(AND(AH!$P$10=1,AH!$P$12=1,$A771=TODAY()),TODAY(),NA()),IF(AH!$P$10=1,INDEX('Live History'!$G$5:$G$3004,MATCH($A771,'Live History'!$G$5:$G$3004,1)),INDEX('AH History'!$F$1:$F$18046,AH!$P$7+766))),NA()),NA())</ns0:f>
        <ns0:v/>
      </ns0:c>
      <ns0:c r="H771">
        <ns0:f>IFERROR(IF(AND(AH!$E$4="Bloomberg",AH!$P$10=1,ISNUMBER($A771),$A771&lt;=AH!$P$17),AH!$P$7-1+MATCH($A771,INDEX('AH History'!$A$1:$A$18046,AH!$P$7):INDEX('AH History'!$A$1:$A$18046,AH!$P$7+AH!$P$8-1),0),0),0)</ns0:f>
        <ns0:v/>
      </ns0:c>
      <ns0:c r="I771">
        <ns0:f>IF($H771=0,0,IFERROR(IF(AND(ABS($C771-INDEX('AH History'!$B$1:$B$18046,$H771))&lt;=MAX(0.005,ABS(INDEX('AH History'!$B$1:$B$18046,$H771))*0.00005),ABS($D771-INDEX('AH History'!$C$1:$C$18046,$H771))&lt;=MAX(0.005,ABS(INDEX('AH History'!$C$1:$C$18046,$H771))*0.00005),ABS($E771-INDEX('AH History'!$D$1:$D$18046,$H771))&lt;=0.00005,$F771=INDEX('AH History'!$E$1:$E$18046,$H771),$G771=INDEX('AH History'!$F$1:$F$18046,$H771)),1,-1),-1))</ns0:f>
        <ns0:v/>
      </ns0:c>
    </ns0:row>
    <ns0:row r="772">
      <ns0:c r="A772" s="215">
        <ns0:f>IF(OR(AH!$P$3=0,767+1&gt;AH!$P$11,AND(AH!$E$4&lt;&gt;"Stored",AH!$P$10&lt;&gt;1)),"",IFERROR(IF(AND(AH!$P$21=1,767+1=AH!$P$11),TODAY(),IF(AH!$P$10=1,INDEX('Live History'!$A$5:$A$3004,AH!$P$13+767),INDEX('AH History'!$A$1:$A$18046,AH!$P$7+767))),""))</ns0:f>
        <ns0:v/>
      </ns0:c>
      <ns0:c r="B772" s="219">
        <ns0:f>IFERROR(IF(AND(AH!$P$9&lt;&gt;1,$C772&gt;0,$D772&gt;0,$E772&gt;0,$F772&gt;0,$G772&gt;0,$F772&lt;=$A772,$G772&lt;=$A772,$A772-$F772&lt;=10,$A772-$G772&lt;=5),$D772*$E772/$C772-1,NA()),NA())</ns0:f>
        <ns0:v/>
      </ns0:c>
      <ns0:c r="C772">
        <ns0:f>IFERROR(IF(ISNUMBER($A772),IF(AND(AH!$P$10=1,AH!$P$12=1,$A772=TODAY()),AH!$P$19,IF(AH!$P$10=1,INDEX('Live History'!$B$5:$B$3004,AH!$P$13+767),INDEX('AH History'!$B$1:$B$18046,AH!$P$7+767))),NA()),NA())</ns0:f>
        <ns0:v/>
      </ns0:c>
      <ns0:c r="D772">
        <ns0:f>IFERROR(IF(ISNUMBER($A772),IF(AND(AH!$P$10=1,AH!$P$12=1,$A772=TODAY()),AH!$P$18,IF(AH!$P$10=1,INDEX('Live History'!$E$5:$E$3004,MATCH($A772,'Live History'!$D$5:$D$3004,1)),INDEX('AH History'!$C$1:$C$18046,AH!$P$7+767))),NA()),NA())</ns0:f>
        <ns0:v/>
      </ns0:c>
      <ns0:c r="E772">
        <ns0:f>IFERROR(IF(ISNUMBER($A772),IF(AND(AH!$P$10=1,AH!$P$12=1,$A772=TODAY()),AH!$P$20,IF(AH!$P$10=1,INDEX('Live History'!$H$5:$H$3004,MATCH($A772,'Live History'!$G$5:$G$3004,1)),INDEX('AH History'!$D$1:$D$18046,AH!$P$7+767))),NA()),NA())</ns0:f>
        <ns0:v/>
      </ns0:c>
      <ns0:c r="F772">
        <ns0:f>IFERROR(IF(ISNUMBER($A772),IF(AND(AH!$P$10=1,AH!$P$12=1,$A772=TODAY()),IF(AND(AH!$P$10=1,AH!$P$12=1,$A772=TODAY()),TODAY(),NA()),IF(AH!$P$10=1,INDEX('Live History'!$D$5:$D$3004,MATCH($A772,'Live History'!$D$5:$D$3004,1)),INDEX('AH History'!$E$1:$E$18046,AH!$P$7+767))),NA()),NA())</ns0:f>
        <ns0:v/>
      </ns0:c>
      <ns0:c r="G772">
        <ns0:f>IFERROR(IF(ISNUMBER($A772),IF(AND(AH!$P$10=1,AH!$P$12=1,$A772=TODAY()),IF(AND(AH!$P$10=1,AH!$P$12=1,$A772=TODAY()),TODAY(),NA()),IF(AH!$P$10=1,INDEX('Live History'!$G$5:$G$3004,MATCH($A772,'Live History'!$G$5:$G$3004,1)),INDEX('AH History'!$F$1:$F$18046,AH!$P$7+767))),NA()),NA())</ns0:f>
        <ns0:v/>
      </ns0:c>
      <ns0:c r="H772">
        <ns0:f>IFERROR(IF(AND(AH!$E$4="Bloomberg",AH!$P$10=1,ISNUMBER($A772),$A772&lt;=AH!$P$17),AH!$P$7-1+MATCH($A772,INDEX('AH History'!$A$1:$A$18046,AH!$P$7):INDEX('AH History'!$A$1:$A$18046,AH!$P$7+AH!$P$8-1),0),0),0)</ns0:f>
        <ns0:v/>
      </ns0:c>
      <ns0:c r="I772">
        <ns0:f>IF($H772=0,0,IFERROR(IF(AND(ABS($C772-INDEX('AH History'!$B$1:$B$18046,$H772))&lt;=MAX(0.005,ABS(INDEX('AH History'!$B$1:$B$18046,$H772))*0.00005),ABS($D772-INDEX('AH History'!$C$1:$C$18046,$H772))&lt;=MAX(0.005,ABS(INDEX('AH History'!$C$1:$C$18046,$H772))*0.00005),ABS($E772-INDEX('AH History'!$D$1:$D$18046,$H772))&lt;=0.00005,$F772=INDEX('AH History'!$E$1:$E$18046,$H772),$G772=INDEX('AH History'!$F$1:$F$18046,$H772)),1,-1),-1))</ns0:f>
        <ns0:v/>
      </ns0:c>
    </ns0:row>
    <ns0:row r="773">
      <ns0:c r="A773" s="215">
        <ns0:f>IF(OR(AH!$P$3=0,768+1&gt;AH!$P$11,AND(AH!$E$4&lt;&gt;"Stored",AH!$P$10&lt;&gt;1)),"",IFERROR(IF(AND(AH!$P$21=1,768+1=AH!$P$11),TODAY(),IF(AH!$P$10=1,INDEX('Live History'!$A$5:$A$3004,AH!$P$13+768),INDEX('AH History'!$A$1:$A$18046,AH!$P$7+768))),""))</ns0:f>
        <ns0:v/>
      </ns0:c>
      <ns0:c r="B773" s="219">
        <ns0:f>IFERROR(IF(AND(AH!$P$9&lt;&gt;1,$C773&gt;0,$D773&gt;0,$E773&gt;0,$F773&gt;0,$G773&gt;0,$F773&lt;=$A773,$G773&lt;=$A773,$A773-$F773&lt;=10,$A773-$G773&lt;=5),$D773*$E773/$C773-1,NA()),NA())</ns0:f>
        <ns0:v/>
      </ns0:c>
      <ns0:c r="C773">
        <ns0:f>IFERROR(IF(ISNUMBER($A773),IF(AND(AH!$P$10=1,AH!$P$12=1,$A773=TODAY()),AH!$P$19,IF(AH!$P$10=1,INDEX('Live History'!$B$5:$B$3004,AH!$P$13+768),INDEX('AH History'!$B$1:$B$18046,AH!$P$7+768))),NA()),NA())</ns0:f>
        <ns0:v/>
      </ns0:c>
      <ns0:c r="D773">
        <ns0:f>IFERROR(IF(ISNUMBER($A773),IF(AND(AH!$P$10=1,AH!$P$12=1,$A773=TODAY()),AH!$P$18,IF(AH!$P$10=1,INDEX('Live History'!$E$5:$E$3004,MATCH($A773,'Live History'!$D$5:$D$3004,1)),INDEX('AH History'!$C$1:$C$18046,AH!$P$7+768))),NA()),NA())</ns0:f>
        <ns0:v/>
      </ns0:c>
      <ns0:c r="E773">
        <ns0:f>IFERROR(IF(ISNUMBER($A773),IF(AND(AH!$P$10=1,AH!$P$12=1,$A773=TODAY()),AH!$P$20,IF(AH!$P$10=1,INDEX('Live History'!$H$5:$H$3004,MATCH($A773,'Live History'!$G$5:$G$3004,1)),INDEX('AH History'!$D$1:$D$18046,AH!$P$7+768))),NA()),NA())</ns0:f>
        <ns0:v/>
      </ns0:c>
      <ns0:c r="F773">
        <ns0:f>IFERROR(IF(ISNUMBER($A773),IF(AND(AH!$P$10=1,AH!$P$12=1,$A773=TODAY()),IF(AND(AH!$P$10=1,AH!$P$12=1,$A773=TODAY()),TODAY(),NA()),IF(AH!$P$10=1,INDEX('Live History'!$D$5:$D$3004,MATCH($A773,'Live History'!$D$5:$D$3004,1)),INDEX('AH History'!$E$1:$E$18046,AH!$P$7+768))),NA()),NA())</ns0:f>
        <ns0:v/>
      </ns0:c>
      <ns0:c r="G773">
        <ns0:f>IFERROR(IF(ISNUMBER($A773),IF(AND(AH!$P$10=1,AH!$P$12=1,$A773=TODAY()),IF(AND(AH!$P$10=1,AH!$P$12=1,$A773=TODAY()),TODAY(),NA()),IF(AH!$P$10=1,INDEX('Live History'!$G$5:$G$3004,MATCH($A773,'Live History'!$G$5:$G$3004,1)),INDEX('AH History'!$F$1:$F$18046,AH!$P$7+768))),NA()),NA())</ns0:f>
        <ns0:v/>
      </ns0:c>
      <ns0:c r="H773">
        <ns0:f>IFERROR(IF(AND(AH!$E$4="Bloomberg",AH!$P$10=1,ISNUMBER($A773),$A773&lt;=AH!$P$17),AH!$P$7-1+MATCH($A773,INDEX('AH History'!$A$1:$A$18046,AH!$P$7):INDEX('AH History'!$A$1:$A$18046,AH!$P$7+AH!$P$8-1),0),0),0)</ns0:f>
        <ns0:v/>
      </ns0:c>
      <ns0:c r="I773">
        <ns0:f>IF($H773=0,0,IFERROR(IF(AND(ABS($C773-INDEX('AH History'!$B$1:$B$18046,$H773))&lt;=MAX(0.005,ABS(INDEX('AH History'!$B$1:$B$18046,$H773))*0.00005),ABS($D773-INDEX('AH History'!$C$1:$C$18046,$H773))&lt;=MAX(0.005,ABS(INDEX('AH History'!$C$1:$C$18046,$H773))*0.00005),ABS($E773-INDEX('AH History'!$D$1:$D$18046,$H773))&lt;=0.00005,$F773=INDEX('AH History'!$E$1:$E$18046,$H773),$G773=INDEX('AH History'!$F$1:$F$18046,$H773)),1,-1),-1))</ns0:f>
        <ns0:v/>
      </ns0:c>
    </ns0:row>
    <ns0:row r="774">
      <ns0:c r="A774" s="215">
        <ns0:f>IF(OR(AH!$P$3=0,769+1&gt;AH!$P$11,AND(AH!$E$4&lt;&gt;"Stored",AH!$P$10&lt;&gt;1)),"",IFERROR(IF(AND(AH!$P$21=1,769+1=AH!$P$11),TODAY(),IF(AH!$P$10=1,INDEX('Live History'!$A$5:$A$3004,AH!$P$13+769),INDEX('AH History'!$A$1:$A$18046,AH!$P$7+769))),""))</ns0:f>
        <ns0:v/>
      </ns0:c>
      <ns0:c r="B774" s="219">
        <ns0:f>IFERROR(IF(AND(AH!$P$9&lt;&gt;1,$C774&gt;0,$D774&gt;0,$E774&gt;0,$F774&gt;0,$G774&gt;0,$F774&lt;=$A774,$G774&lt;=$A774,$A774-$F774&lt;=10,$A774-$G774&lt;=5),$D774*$E774/$C774-1,NA()),NA())</ns0:f>
        <ns0:v/>
      </ns0:c>
      <ns0:c r="C774">
        <ns0:f>IFERROR(IF(ISNUMBER($A774),IF(AND(AH!$P$10=1,AH!$P$12=1,$A774=TODAY()),AH!$P$19,IF(AH!$P$10=1,INDEX('Live History'!$B$5:$B$3004,AH!$P$13+769),INDEX('AH History'!$B$1:$B$18046,AH!$P$7+769))),NA()),NA())</ns0:f>
        <ns0:v/>
      </ns0:c>
      <ns0:c r="D774">
        <ns0:f>IFERROR(IF(ISNUMBER($A774),IF(AND(AH!$P$10=1,AH!$P$12=1,$A774=TODAY()),AH!$P$18,IF(AH!$P$10=1,INDEX('Live History'!$E$5:$E$3004,MATCH($A774,'Live History'!$D$5:$D$3004,1)),INDEX('AH History'!$C$1:$C$18046,AH!$P$7+769))),NA()),NA())</ns0:f>
        <ns0:v/>
      </ns0:c>
      <ns0:c r="E774">
        <ns0:f>IFERROR(IF(ISNUMBER($A774),IF(AND(AH!$P$10=1,AH!$P$12=1,$A774=TODAY()),AH!$P$20,IF(AH!$P$10=1,INDEX('Live History'!$H$5:$H$3004,MATCH($A774,'Live History'!$G$5:$G$3004,1)),INDEX('AH History'!$D$1:$D$18046,AH!$P$7+769))),NA()),NA())</ns0:f>
        <ns0:v/>
      </ns0:c>
      <ns0:c r="F774">
        <ns0:f>IFERROR(IF(ISNUMBER($A774),IF(AND(AH!$P$10=1,AH!$P$12=1,$A774=TODAY()),IF(AND(AH!$P$10=1,AH!$P$12=1,$A774=TODAY()),TODAY(),NA()),IF(AH!$P$10=1,INDEX('Live History'!$D$5:$D$3004,MATCH($A774,'Live History'!$D$5:$D$3004,1)),INDEX('AH History'!$E$1:$E$18046,AH!$P$7+769))),NA()),NA())</ns0:f>
        <ns0:v/>
      </ns0:c>
      <ns0:c r="G774">
        <ns0:f>IFERROR(IF(ISNUMBER($A774),IF(AND(AH!$P$10=1,AH!$P$12=1,$A774=TODAY()),IF(AND(AH!$P$10=1,AH!$P$12=1,$A774=TODAY()),TODAY(),NA()),IF(AH!$P$10=1,INDEX('Live History'!$G$5:$G$3004,MATCH($A774,'Live History'!$G$5:$G$3004,1)),INDEX('AH History'!$F$1:$F$18046,AH!$P$7+769))),NA()),NA())</ns0:f>
        <ns0:v/>
      </ns0:c>
      <ns0:c r="H774">
        <ns0:f>IFERROR(IF(AND(AH!$E$4="Bloomberg",AH!$P$10=1,ISNUMBER($A774),$A774&lt;=AH!$P$17),AH!$P$7-1+MATCH($A774,INDEX('AH History'!$A$1:$A$18046,AH!$P$7):INDEX('AH History'!$A$1:$A$18046,AH!$P$7+AH!$P$8-1),0),0),0)</ns0:f>
        <ns0:v/>
      </ns0:c>
      <ns0:c r="I774">
        <ns0:f>IF($H774=0,0,IFERROR(IF(AND(ABS($C774-INDEX('AH History'!$B$1:$B$18046,$H774))&lt;=MAX(0.005,ABS(INDEX('AH History'!$B$1:$B$18046,$H774))*0.00005),ABS($D774-INDEX('AH History'!$C$1:$C$18046,$H774))&lt;=MAX(0.005,ABS(INDEX('AH History'!$C$1:$C$18046,$H774))*0.00005),ABS($E774-INDEX('AH History'!$D$1:$D$18046,$H774))&lt;=0.00005,$F774=INDEX('AH History'!$E$1:$E$18046,$H774),$G774=INDEX('AH History'!$F$1:$F$18046,$H774)),1,-1),-1))</ns0:f>
        <ns0:v/>
      </ns0:c>
    </ns0:row>
    <ns0:row r="775">
      <ns0:c r="A775" s="215">
        <ns0:f>IF(OR(AH!$P$3=0,770+1&gt;AH!$P$11,AND(AH!$E$4&lt;&gt;"Stored",AH!$P$10&lt;&gt;1)),"",IFERROR(IF(AND(AH!$P$21=1,770+1=AH!$P$11),TODAY(),IF(AH!$P$10=1,INDEX('Live History'!$A$5:$A$3004,AH!$P$13+770),INDEX('AH History'!$A$1:$A$18046,AH!$P$7+770))),""))</ns0:f>
        <ns0:v/>
      </ns0:c>
      <ns0:c r="B775" s="219">
        <ns0:f>IFERROR(IF(AND(AH!$P$9&lt;&gt;1,$C775&gt;0,$D775&gt;0,$E775&gt;0,$F775&gt;0,$G775&gt;0,$F775&lt;=$A775,$G775&lt;=$A775,$A775-$F775&lt;=10,$A775-$G775&lt;=5),$D775*$E775/$C775-1,NA()),NA())</ns0:f>
        <ns0:v/>
      </ns0:c>
      <ns0:c r="C775">
        <ns0:f>IFERROR(IF(ISNUMBER($A775),IF(AND(AH!$P$10=1,AH!$P$12=1,$A775=TODAY()),AH!$P$19,IF(AH!$P$10=1,INDEX('Live History'!$B$5:$B$3004,AH!$P$13+770),INDEX('AH History'!$B$1:$B$18046,AH!$P$7+770))),NA()),NA())</ns0:f>
        <ns0:v/>
      </ns0:c>
      <ns0:c r="D775">
        <ns0:f>IFERROR(IF(ISNUMBER($A775),IF(AND(AH!$P$10=1,AH!$P$12=1,$A775=TODAY()),AH!$P$18,IF(AH!$P$10=1,INDEX('Live History'!$E$5:$E$3004,MATCH($A775,'Live History'!$D$5:$D$3004,1)),INDEX('AH History'!$C$1:$C$18046,AH!$P$7+770))),NA()),NA())</ns0:f>
        <ns0:v/>
      </ns0:c>
      <ns0:c r="E775">
        <ns0:f>IFERROR(IF(ISNUMBER($A775),IF(AND(AH!$P$10=1,AH!$P$12=1,$A775=TODAY()),AH!$P$20,IF(AH!$P$10=1,INDEX('Live History'!$H$5:$H$3004,MATCH($A775,'Live History'!$G$5:$G$3004,1)),INDEX('AH History'!$D$1:$D$18046,AH!$P$7+770))),NA()),NA())</ns0:f>
        <ns0:v/>
      </ns0:c>
      <ns0:c r="F775">
        <ns0:f>IFERROR(IF(ISNUMBER($A775),IF(AND(AH!$P$10=1,AH!$P$12=1,$A775=TODAY()),IF(AND(AH!$P$10=1,AH!$P$12=1,$A775=TODAY()),TODAY(),NA()),IF(AH!$P$10=1,INDEX('Live History'!$D$5:$D$3004,MATCH($A775,'Live History'!$D$5:$D$3004,1)),INDEX('AH History'!$E$1:$E$18046,AH!$P$7+770))),NA()),NA())</ns0:f>
        <ns0:v/>
      </ns0:c>
      <ns0:c r="G775">
        <ns0:f>IFERROR(IF(ISNUMBER($A775),IF(AND(AH!$P$10=1,AH!$P$12=1,$A775=TODAY()),IF(AND(AH!$P$10=1,AH!$P$12=1,$A775=TODAY()),TODAY(),NA()),IF(AH!$P$10=1,INDEX('Live History'!$G$5:$G$3004,MATCH($A775,'Live History'!$G$5:$G$3004,1)),INDEX('AH History'!$F$1:$F$18046,AH!$P$7+770))),NA()),NA())</ns0:f>
        <ns0:v/>
      </ns0:c>
      <ns0:c r="H775">
        <ns0:f>IFERROR(IF(AND(AH!$E$4="Bloomberg",AH!$P$10=1,ISNUMBER($A775),$A775&lt;=AH!$P$17),AH!$P$7-1+MATCH($A775,INDEX('AH History'!$A$1:$A$18046,AH!$P$7):INDEX('AH History'!$A$1:$A$18046,AH!$P$7+AH!$P$8-1),0),0),0)</ns0:f>
        <ns0:v/>
      </ns0:c>
      <ns0:c r="I775">
        <ns0:f>IF($H775=0,0,IFERROR(IF(AND(ABS($C775-INDEX('AH History'!$B$1:$B$18046,$H775))&lt;=MAX(0.005,ABS(INDEX('AH History'!$B$1:$B$18046,$H775))*0.00005),ABS($D775-INDEX('AH History'!$C$1:$C$18046,$H775))&lt;=MAX(0.005,ABS(INDEX('AH History'!$C$1:$C$18046,$H775))*0.00005),ABS($E775-INDEX('AH History'!$D$1:$D$18046,$H775))&lt;=0.00005,$F775=INDEX('AH History'!$E$1:$E$18046,$H775),$G775=INDEX('AH History'!$F$1:$F$18046,$H775)),1,-1),-1))</ns0:f>
        <ns0:v/>
      </ns0:c>
    </ns0:row>
    <ns0:row r="776">
      <ns0:c r="A776" s="215">
        <ns0:f>IF(OR(AH!$P$3=0,771+1&gt;AH!$P$11,AND(AH!$E$4&lt;&gt;"Stored",AH!$P$10&lt;&gt;1)),"",IFERROR(IF(AND(AH!$P$21=1,771+1=AH!$P$11),TODAY(),IF(AH!$P$10=1,INDEX('Live History'!$A$5:$A$3004,AH!$P$13+771),INDEX('AH History'!$A$1:$A$18046,AH!$P$7+771))),""))</ns0:f>
        <ns0:v/>
      </ns0:c>
      <ns0:c r="B776" s="219">
        <ns0:f>IFERROR(IF(AND(AH!$P$9&lt;&gt;1,$C776&gt;0,$D776&gt;0,$E776&gt;0,$F776&gt;0,$G776&gt;0,$F776&lt;=$A776,$G776&lt;=$A776,$A776-$F776&lt;=10,$A776-$G776&lt;=5),$D776*$E776/$C776-1,NA()),NA())</ns0:f>
        <ns0:v/>
      </ns0:c>
      <ns0:c r="C776">
        <ns0:f>IFERROR(IF(ISNUMBER($A776),IF(AND(AH!$P$10=1,AH!$P$12=1,$A776=TODAY()),AH!$P$19,IF(AH!$P$10=1,INDEX('Live History'!$B$5:$B$3004,AH!$P$13+771),INDEX('AH History'!$B$1:$B$18046,AH!$P$7+771))),NA()),NA())</ns0:f>
        <ns0:v/>
      </ns0:c>
      <ns0:c r="D776">
        <ns0:f>IFERROR(IF(ISNUMBER($A776),IF(AND(AH!$P$10=1,AH!$P$12=1,$A776=TODAY()),AH!$P$18,IF(AH!$P$10=1,INDEX('Live History'!$E$5:$E$3004,MATCH($A776,'Live History'!$D$5:$D$3004,1)),INDEX('AH History'!$C$1:$C$18046,AH!$P$7+771))),NA()),NA())</ns0:f>
        <ns0:v/>
      </ns0:c>
      <ns0:c r="E776">
        <ns0:f>IFERROR(IF(ISNUMBER($A776),IF(AND(AH!$P$10=1,AH!$P$12=1,$A776=TODAY()),AH!$P$20,IF(AH!$P$10=1,INDEX('Live History'!$H$5:$H$3004,MATCH($A776,'Live History'!$G$5:$G$3004,1)),INDEX('AH History'!$D$1:$D$18046,AH!$P$7+771))),NA()),NA())</ns0:f>
        <ns0:v/>
      </ns0:c>
      <ns0:c r="F776">
        <ns0:f>IFERROR(IF(ISNUMBER($A776),IF(AND(AH!$P$10=1,AH!$P$12=1,$A776=TODAY()),IF(AND(AH!$P$10=1,AH!$P$12=1,$A776=TODAY()),TODAY(),NA()),IF(AH!$P$10=1,INDEX('Live History'!$D$5:$D$3004,MATCH($A776,'Live History'!$D$5:$D$3004,1)),INDEX('AH History'!$E$1:$E$18046,AH!$P$7+771))),NA()),NA())</ns0:f>
        <ns0:v/>
      </ns0:c>
      <ns0:c r="G776">
        <ns0:f>IFERROR(IF(ISNUMBER($A776),IF(AND(AH!$P$10=1,AH!$P$12=1,$A776=TODAY()),IF(AND(AH!$P$10=1,AH!$P$12=1,$A776=TODAY()),TODAY(),NA()),IF(AH!$P$10=1,INDEX('Live History'!$G$5:$G$3004,MATCH($A776,'Live History'!$G$5:$G$3004,1)),INDEX('AH History'!$F$1:$F$18046,AH!$P$7+771))),NA()),NA())</ns0:f>
        <ns0:v/>
      </ns0:c>
      <ns0:c r="H776">
        <ns0:f>IFERROR(IF(AND(AH!$E$4="Bloomberg",AH!$P$10=1,ISNUMBER($A776),$A776&lt;=AH!$P$17),AH!$P$7-1+MATCH($A776,INDEX('AH History'!$A$1:$A$18046,AH!$P$7):INDEX('AH History'!$A$1:$A$18046,AH!$P$7+AH!$P$8-1),0),0),0)</ns0:f>
        <ns0:v/>
      </ns0:c>
      <ns0:c r="I776">
        <ns0:f>IF($H776=0,0,IFERROR(IF(AND(ABS($C776-INDEX('AH History'!$B$1:$B$18046,$H776))&lt;=MAX(0.005,ABS(INDEX('AH History'!$B$1:$B$18046,$H776))*0.00005),ABS($D776-INDEX('AH History'!$C$1:$C$18046,$H776))&lt;=MAX(0.005,ABS(INDEX('AH History'!$C$1:$C$18046,$H776))*0.00005),ABS($E776-INDEX('AH History'!$D$1:$D$18046,$H776))&lt;=0.00005,$F776=INDEX('AH History'!$E$1:$E$18046,$H776),$G776=INDEX('AH History'!$F$1:$F$18046,$H776)),1,-1),-1))</ns0:f>
        <ns0:v/>
      </ns0:c>
    </ns0:row>
    <ns0:row r="777">
      <ns0:c r="A777" s="215">
        <ns0:f>IF(OR(AH!$P$3=0,772+1&gt;AH!$P$11,AND(AH!$E$4&lt;&gt;"Stored",AH!$P$10&lt;&gt;1)),"",IFERROR(IF(AND(AH!$P$21=1,772+1=AH!$P$11),TODAY(),IF(AH!$P$10=1,INDEX('Live History'!$A$5:$A$3004,AH!$P$13+772),INDEX('AH History'!$A$1:$A$18046,AH!$P$7+772))),""))</ns0:f>
        <ns0:v/>
      </ns0:c>
      <ns0:c r="B777" s="219">
        <ns0:f>IFERROR(IF(AND(AH!$P$9&lt;&gt;1,$C777&gt;0,$D777&gt;0,$E777&gt;0,$F777&gt;0,$G777&gt;0,$F777&lt;=$A777,$G777&lt;=$A777,$A777-$F777&lt;=10,$A777-$G777&lt;=5),$D777*$E777/$C777-1,NA()),NA())</ns0:f>
        <ns0:v/>
      </ns0:c>
      <ns0:c r="C777">
        <ns0:f>IFERROR(IF(ISNUMBER($A777),IF(AND(AH!$P$10=1,AH!$P$12=1,$A777=TODAY()),AH!$P$19,IF(AH!$P$10=1,INDEX('Live History'!$B$5:$B$3004,AH!$P$13+772),INDEX('AH History'!$B$1:$B$18046,AH!$P$7+772))),NA()),NA())</ns0:f>
        <ns0:v/>
      </ns0:c>
      <ns0:c r="D777">
        <ns0:f>IFERROR(IF(ISNUMBER($A777),IF(AND(AH!$P$10=1,AH!$P$12=1,$A777=TODAY()),AH!$P$18,IF(AH!$P$10=1,INDEX('Live History'!$E$5:$E$3004,MATCH($A777,'Live History'!$D$5:$D$3004,1)),INDEX('AH History'!$C$1:$C$18046,AH!$P$7+772))),NA()),NA())</ns0:f>
        <ns0:v/>
      </ns0:c>
      <ns0:c r="E777">
        <ns0:f>IFERROR(IF(ISNUMBER($A777),IF(AND(AH!$P$10=1,AH!$P$12=1,$A777=TODAY()),AH!$P$20,IF(AH!$P$10=1,INDEX('Live History'!$H$5:$H$3004,MATCH($A777,'Live History'!$G$5:$G$3004,1)),INDEX('AH History'!$D$1:$D$18046,AH!$P$7+772))),NA()),NA())</ns0:f>
        <ns0:v/>
      </ns0:c>
      <ns0:c r="F777">
        <ns0:f>IFERROR(IF(ISNUMBER($A777),IF(AND(AH!$P$10=1,AH!$P$12=1,$A777=TODAY()),IF(AND(AH!$P$10=1,AH!$P$12=1,$A777=TODAY()),TODAY(),NA()),IF(AH!$P$10=1,INDEX('Live History'!$D$5:$D$3004,MATCH($A777,'Live History'!$D$5:$D$3004,1)),INDEX('AH History'!$E$1:$E$18046,AH!$P$7+772))),NA()),NA())</ns0:f>
        <ns0:v/>
      </ns0:c>
      <ns0:c r="G777">
        <ns0:f>IFERROR(IF(ISNUMBER($A777),IF(AND(AH!$P$10=1,AH!$P$12=1,$A777=TODAY()),IF(AND(AH!$P$10=1,AH!$P$12=1,$A777=TODAY()),TODAY(),NA()),IF(AH!$P$10=1,INDEX('Live History'!$G$5:$G$3004,MATCH($A777,'Live History'!$G$5:$G$3004,1)),INDEX('AH History'!$F$1:$F$18046,AH!$P$7+772))),NA()),NA())</ns0:f>
        <ns0:v/>
      </ns0:c>
      <ns0:c r="H777">
        <ns0:f>IFERROR(IF(AND(AH!$E$4="Bloomberg",AH!$P$10=1,ISNUMBER($A777),$A777&lt;=AH!$P$17),AH!$P$7-1+MATCH($A777,INDEX('AH History'!$A$1:$A$18046,AH!$P$7):INDEX('AH History'!$A$1:$A$18046,AH!$P$7+AH!$P$8-1),0),0),0)</ns0:f>
        <ns0:v/>
      </ns0:c>
      <ns0:c r="I777">
        <ns0:f>IF($H777=0,0,IFERROR(IF(AND(ABS($C777-INDEX('AH History'!$B$1:$B$18046,$H777))&lt;=MAX(0.005,ABS(INDEX('AH History'!$B$1:$B$18046,$H777))*0.00005),ABS($D777-INDEX('AH History'!$C$1:$C$18046,$H777))&lt;=MAX(0.005,ABS(INDEX('AH History'!$C$1:$C$18046,$H777))*0.00005),ABS($E777-INDEX('AH History'!$D$1:$D$18046,$H777))&lt;=0.00005,$F777=INDEX('AH History'!$E$1:$E$18046,$H777),$G777=INDEX('AH History'!$F$1:$F$18046,$H777)),1,-1),-1))</ns0:f>
        <ns0:v/>
      </ns0:c>
    </ns0:row>
    <ns0:row r="778">
      <ns0:c r="A778" s="215">
        <ns0:f>IF(OR(AH!$P$3=0,773+1&gt;AH!$P$11,AND(AH!$E$4&lt;&gt;"Stored",AH!$P$10&lt;&gt;1)),"",IFERROR(IF(AND(AH!$P$21=1,773+1=AH!$P$11),TODAY(),IF(AH!$P$10=1,INDEX('Live History'!$A$5:$A$3004,AH!$P$13+773),INDEX('AH History'!$A$1:$A$18046,AH!$P$7+773))),""))</ns0:f>
        <ns0:v/>
      </ns0:c>
      <ns0:c r="B778" s="219">
        <ns0:f>IFERROR(IF(AND(AH!$P$9&lt;&gt;1,$C778&gt;0,$D778&gt;0,$E778&gt;0,$F778&gt;0,$G778&gt;0,$F778&lt;=$A778,$G778&lt;=$A778,$A778-$F778&lt;=10,$A778-$G778&lt;=5),$D778*$E778/$C778-1,NA()),NA())</ns0:f>
        <ns0:v/>
      </ns0:c>
      <ns0:c r="C778">
        <ns0:f>IFERROR(IF(ISNUMBER($A778),IF(AND(AH!$P$10=1,AH!$P$12=1,$A778=TODAY()),AH!$P$19,IF(AH!$P$10=1,INDEX('Live History'!$B$5:$B$3004,AH!$P$13+773),INDEX('AH History'!$B$1:$B$18046,AH!$P$7+773))),NA()),NA())</ns0:f>
        <ns0:v/>
      </ns0:c>
      <ns0:c r="D778">
        <ns0:f>IFERROR(IF(ISNUMBER($A778),IF(AND(AH!$P$10=1,AH!$P$12=1,$A778=TODAY()),AH!$P$18,IF(AH!$P$10=1,INDEX('Live History'!$E$5:$E$3004,MATCH($A778,'Live History'!$D$5:$D$3004,1)),INDEX('AH History'!$C$1:$C$18046,AH!$P$7+773))),NA()),NA())</ns0:f>
        <ns0:v/>
      </ns0:c>
      <ns0:c r="E778">
        <ns0:f>IFERROR(IF(ISNUMBER($A778),IF(AND(AH!$P$10=1,AH!$P$12=1,$A778=TODAY()),AH!$P$20,IF(AH!$P$10=1,INDEX('Live History'!$H$5:$H$3004,MATCH($A778,'Live History'!$G$5:$G$3004,1)),INDEX('AH History'!$D$1:$D$18046,AH!$P$7+773))),NA()),NA())</ns0:f>
        <ns0:v/>
      </ns0:c>
      <ns0:c r="F778">
        <ns0:f>IFERROR(IF(ISNUMBER($A778),IF(AND(AH!$P$10=1,AH!$P$12=1,$A778=TODAY()),IF(AND(AH!$P$10=1,AH!$P$12=1,$A778=TODAY()),TODAY(),NA()),IF(AH!$P$10=1,INDEX('Live History'!$D$5:$D$3004,MATCH($A778,'Live History'!$D$5:$D$3004,1)),INDEX('AH History'!$E$1:$E$18046,AH!$P$7+773))),NA()),NA())</ns0:f>
        <ns0:v/>
      </ns0:c>
      <ns0:c r="G778">
        <ns0:f>IFERROR(IF(ISNUMBER($A778),IF(AND(AH!$P$10=1,AH!$P$12=1,$A778=TODAY()),IF(AND(AH!$P$10=1,AH!$P$12=1,$A778=TODAY()),TODAY(),NA()),IF(AH!$P$10=1,INDEX('Live History'!$G$5:$G$3004,MATCH($A778,'Live History'!$G$5:$G$3004,1)),INDEX('AH History'!$F$1:$F$18046,AH!$P$7+773))),NA()),NA())</ns0:f>
        <ns0:v/>
      </ns0:c>
      <ns0:c r="H778">
        <ns0:f>IFERROR(IF(AND(AH!$E$4="Bloomberg",AH!$P$10=1,ISNUMBER($A778),$A778&lt;=AH!$P$17),AH!$P$7-1+MATCH($A778,INDEX('AH History'!$A$1:$A$18046,AH!$P$7):INDEX('AH History'!$A$1:$A$18046,AH!$P$7+AH!$P$8-1),0),0),0)</ns0:f>
        <ns0:v/>
      </ns0:c>
      <ns0:c r="I778">
        <ns0:f>IF($H778=0,0,IFERROR(IF(AND(ABS($C778-INDEX('AH History'!$B$1:$B$18046,$H778))&lt;=MAX(0.005,ABS(INDEX('AH History'!$B$1:$B$18046,$H778))*0.00005),ABS($D778-INDEX('AH History'!$C$1:$C$18046,$H778))&lt;=MAX(0.005,ABS(INDEX('AH History'!$C$1:$C$18046,$H778))*0.00005),ABS($E778-INDEX('AH History'!$D$1:$D$18046,$H778))&lt;=0.00005,$F778=INDEX('AH History'!$E$1:$E$18046,$H778),$G778=INDEX('AH History'!$F$1:$F$18046,$H778)),1,-1),-1))</ns0:f>
        <ns0:v/>
      </ns0:c>
    </ns0:row>
    <ns0:row r="779">
      <ns0:c r="A779" s="215">
        <ns0:f>IF(OR(AH!$P$3=0,774+1&gt;AH!$P$11,AND(AH!$E$4&lt;&gt;"Stored",AH!$P$10&lt;&gt;1)),"",IFERROR(IF(AND(AH!$P$21=1,774+1=AH!$P$11),TODAY(),IF(AH!$P$10=1,INDEX('Live History'!$A$5:$A$3004,AH!$P$13+774),INDEX('AH History'!$A$1:$A$18046,AH!$P$7+774))),""))</ns0:f>
        <ns0:v/>
      </ns0:c>
      <ns0:c r="B779" s="219">
        <ns0:f>IFERROR(IF(AND(AH!$P$9&lt;&gt;1,$C779&gt;0,$D779&gt;0,$E779&gt;0,$F779&gt;0,$G779&gt;0,$F779&lt;=$A779,$G779&lt;=$A779,$A779-$F779&lt;=10,$A779-$G779&lt;=5),$D779*$E779/$C779-1,NA()),NA())</ns0:f>
        <ns0:v/>
      </ns0:c>
      <ns0:c r="C779">
        <ns0:f>IFERROR(IF(ISNUMBER($A779),IF(AND(AH!$P$10=1,AH!$P$12=1,$A779=TODAY()),AH!$P$19,IF(AH!$P$10=1,INDEX('Live History'!$B$5:$B$3004,AH!$P$13+774),INDEX('AH History'!$B$1:$B$18046,AH!$P$7+774))),NA()),NA())</ns0:f>
        <ns0:v/>
      </ns0:c>
      <ns0:c r="D779">
        <ns0:f>IFERROR(IF(ISNUMBER($A779),IF(AND(AH!$P$10=1,AH!$P$12=1,$A779=TODAY()),AH!$P$18,IF(AH!$P$10=1,INDEX('Live History'!$E$5:$E$3004,MATCH($A779,'Live History'!$D$5:$D$3004,1)),INDEX('AH History'!$C$1:$C$18046,AH!$P$7+774))),NA()),NA())</ns0:f>
        <ns0:v/>
      </ns0:c>
      <ns0:c r="E779">
        <ns0:f>IFERROR(IF(ISNUMBER($A779),IF(AND(AH!$P$10=1,AH!$P$12=1,$A779=TODAY()),AH!$P$20,IF(AH!$P$10=1,INDEX('Live History'!$H$5:$H$3004,MATCH($A779,'Live History'!$G$5:$G$3004,1)),INDEX('AH History'!$D$1:$D$18046,AH!$P$7+774))),NA()),NA())</ns0:f>
        <ns0:v/>
      </ns0:c>
      <ns0:c r="F779">
        <ns0:f>IFERROR(IF(ISNUMBER($A779),IF(AND(AH!$P$10=1,AH!$P$12=1,$A779=TODAY()),IF(AND(AH!$P$10=1,AH!$P$12=1,$A779=TODAY()),TODAY(),NA()),IF(AH!$P$10=1,INDEX('Live History'!$D$5:$D$3004,MATCH($A779,'Live History'!$D$5:$D$3004,1)),INDEX('AH History'!$E$1:$E$18046,AH!$P$7+774))),NA()),NA())</ns0:f>
        <ns0:v/>
      </ns0:c>
      <ns0:c r="G779">
        <ns0:f>IFERROR(IF(ISNUMBER($A779),IF(AND(AH!$P$10=1,AH!$P$12=1,$A779=TODAY()),IF(AND(AH!$P$10=1,AH!$P$12=1,$A779=TODAY()),TODAY(),NA()),IF(AH!$P$10=1,INDEX('Live History'!$G$5:$G$3004,MATCH($A779,'Live History'!$G$5:$G$3004,1)),INDEX('AH History'!$F$1:$F$18046,AH!$P$7+774))),NA()),NA())</ns0:f>
        <ns0:v/>
      </ns0:c>
      <ns0:c r="H779">
        <ns0:f>IFERROR(IF(AND(AH!$E$4="Bloomberg",AH!$P$10=1,ISNUMBER($A779),$A779&lt;=AH!$P$17),AH!$P$7-1+MATCH($A779,INDEX('AH History'!$A$1:$A$18046,AH!$P$7):INDEX('AH History'!$A$1:$A$18046,AH!$P$7+AH!$P$8-1),0),0),0)</ns0:f>
        <ns0:v/>
      </ns0:c>
      <ns0:c r="I779">
        <ns0:f>IF($H779=0,0,IFERROR(IF(AND(ABS($C779-INDEX('AH History'!$B$1:$B$18046,$H779))&lt;=MAX(0.005,ABS(INDEX('AH History'!$B$1:$B$18046,$H779))*0.00005),ABS($D779-INDEX('AH History'!$C$1:$C$18046,$H779))&lt;=MAX(0.005,ABS(INDEX('AH History'!$C$1:$C$18046,$H779))*0.00005),ABS($E779-INDEX('AH History'!$D$1:$D$18046,$H779))&lt;=0.00005,$F779=INDEX('AH History'!$E$1:$E$18046,$H779),$G779=INDEX('AH History'!$F$1:$F$18046,$H779)),1,-1),-1))</ns0:f>
        <ns0:v/>
      </ns0:c>
    </ns0:row>
    <ns0:row r="780">
      <ns0:c r="A780" s="215">
        <ns0:f>IF(OR(AH!$P$3=0,775+1&gt;AH!$P$11,AND(AH!$E$4&lt;&gt;"Stored",AH!$P$10&lt;&gt;1)),"",IFERROR(IF(AND(AH!$P$21=1,775+1=AH!$P$11),TODAY(),IF(AH!$P$10=1,INDEX('Live History'!$A$5:$A$3004,AH!$P$13+775),INDEX('AH History'!$A$1:$A$18046,AH!$P$7+775))),""))</ns0:f>
        <ns0:v/>
      </ns0:c>
      <ns0:c r="B780" s="219">
        <ns0:f>IFERROR(IF(AND(AH!$P$9&lt;&gt;1,$C780&gt;0,$D780&gt;0,$E780&gt;0,$F780&gt;0,$G780&gt;0,$F780&lt;=$A780,$G780&lt;=$A780,$A780-$F780&lt;=10,$A780-$G780&lt;=5),$D780*$E780/$C780-1,NA()),NA())</ns0:f>
        <ns0:v/>
      </ns0:c>
      <ns0:c r="C780">
        <ns0:f>IFERROR(IF(ISNUMBER($A780),IF(AND(AH!$P$10=1,AH!$P$12=1,$A780=TODAY()),AH!$P$19,IF(AH!$P$10=1,INDEX('Live History'!$B$5:$B$3004,AH!$P$13+775),INDEX('AH History'!$B$1:$B$18046,AH!$P$7+775))),NA()),NA())</ns0:f>
        <ns0:v/>
      </ns0:c>
      <ns0:c r="D780">
        <ns0:f>IFERROR(IF(ISNUMBER($A780),IF(AND(AH!$P$10=1,AH!$P$12=1,$A780=TODAY()),AH!$P$18,IF(AH!$P$10=1,INDEX('Live History'!$E$5:$E$3004,MATCH($A780,'Live History'!$D$5:$D$3004,1)),INDEX('AH History'!$C$1:$C$18046,AH!$P$7+775))),NA()),NA())</ns0:f>
        <ns0:v/>
      </ns0:c>
      <ns0:c r="E780">
        <ns0:f>IFERROR(IF(ISNUMBER($A780),IF(AND(AH!$P$10=1,AH!$P$12=1,$A780=TODAY()),AH!$P$20,IF(AH!$P$10=1,INDEX('Live History'!$H$5:$H$3004,MATCH($A780,'Live History'!$G$5:$G$3004,1)),INDEX('AH History'!$D$1:$D$18046,AH!$P$7+775))),NA()),NA())</ns0:f>
        <ns0:v/>
      </ns0:c>
      <ns0:c r="F780">
        <ns0:f>IFERROR(IF(ISNUMBER($A780),IF(AND(AH!$P$10=1,AH!$P$12=1,$A780=TODAY()),IF(AND(AH!$P$10=1,AH!$P$12=1,$A780=TODAY()),TODAY(),NA()),IF(AH!$P$10=1,INDEX('Live History'!$D$5:$D$3004,MATCH($A780,'Live History'!$D$5:$D$3004,1)),INDEX('AH History'!$E$1:$E$18046,AH!$P$7+775))),NA()),NA())</ns0:f>
        <ns0:v/>
      </ns0:c>
      <ns0:c r="G780">
        <ns0:f>IFERROR(IF(ISNUMBER($A780),IF(AND(AH!$P$10=1,AH!$P$12=1,$A780=TODAY()),IF(AND(AH!$P$10=1,AH!$P$12=1,$A780=TODAY()),TODAY(),NA()),IF(AH!$P$10=1,INDEX('Live History'!$G$5:$G$3004,MATCH($A780,'Live History'!$G$5:$G$3004,1)),INDEX('AH History'!$F$1:$F$18046,AH!$P$7+775))),NA()),NA())</ns0:f>
        <ns0:v/>
      </ns0:c>
      <ns0:c r="H780">
        <ns0:f>IFERROR(IF(AND(AH!$E$4="Bloomberg",AH!$P$10=1,ISNUMBER($A780),$A780&lt;=AH!$P$17),AH!$P$7-1+MATCH($A780,INDEX('AH History'!$A$1:$A$18046,AH!$P$7):INDEX('AH History'!$A$1:$A$18046,AH!$P$7+AH!$P$8-1),0),0),0)</ns0:f>
        <ns0:v/>
      </ns0:c>
      <ns0:c r="I780">
        <ns0:f>IF($H780=0,0,IFERROR(IF(AND(ABS($C780-INDEX('AH History'!$B$1:$B$18046,$H780))&lt;=MAX(0.005,ABS(INDEX('AH History'!$B$1:$B$18046,$H780))*0.00005),ABS($D780-INDEX('AH History'!$C$1:$C$18046,$H780))&lt;=MAX(0.005,ABS(INDEX('AH History'!$C$1:$C$18046,$H780))*0.00005),ABS($E780-INDEX('AH History'!$D$1:$D$18046,$H780))&lt;=0.00005,$F780=INDEX('AH History'!$E$1:$E$18046,$H780),$G780=INDEX('AH History'!$F$1:$F$18046,$H780)),1,-1),-1))</ns0:f>
        <ns0:v/>
      </ns0:c>
    </ns0:row>
    <ns0:row r="781">
      <ns0:c r="A781" s="215">
        <ns0:f>IF(OR(AH!$P$3=0,776+1&gt;AH!$P$11,AND(AH!$E$4&lt;&gt;"Stored",AH!$P$10&lt;&gt;1)),"",IFERROR(IF(AND(AH!$P$21=1,776+1=AH!$P$11),TODAY(),IF(AH!$P$10=1,INDEX('Live History'!$A$5:$A$3004,AH!$P$13+776),INDEX('AH History'!$A$1:$A$18046,AH!$P$7+776))),""))</ns0:f>
        <ns0:v/>
      </ns0:c>
      <ns0:c r="B781" s="219">
        <ns0:f>IFERROR(IF(AND(AH!$P$9&lt;&gt;1,$C781&gt;0,$D781&gt;0,$E781&gt;0,$F781&gt;0,$G781&gt;0,$F781&lt;=$A781,$G781&lt;=$A781,$A781-$F781&lt;=10,$A781-$G781&lt;=5),$D781*$E781/$C781-1,NA()),NA())</ns0:f>
        <ns0:v/>
      </ns0:c>
      <ns0:c r="C781">
        <ns0:f>IFERROR(IF(ISNUMBER($A781),IF(AND(AH!$P$10=1,AH!$P$12=1,$A781=TODAY()),AH!$P$19,IF(AH!$P$10=1,INDEX('Live History'!$B$5:$B$3004,AH!$P$13+776),INDEX('AH History'!$B$1:$B$18046,AH!$P$7+776))),NA()),NA())</ns0:f>
        <ns0:v/>
      </ns0:c>
      <ns0:c r="D781">
        <ns0:f>IFERROR(IF(ISNUMBER($A781),IF(AND(AH!$P$10=1,AH!$P$12=1,$A781=TODAY()),AH!$P$18,IF(AH!$P$10=1,INDEX('Live History'!$E$5:$E$3004,MATCH($A781,'Live History'!$D$5:$D$3004,1)),INDEX('AH History'!$C$1:$C$18046,AH!$P$7+776))),NA()),NA())</ns0:f>
        <ns0:v/>
      </ns0:c>
      <ns0:c r="E781">
        <ns0:f>IFERROR(IF(ISNUMBER($A781),IF(AND(AH!$P$10=1,AH!$P$12=1,$A781=TODAY()),AH!$P$20,IF(AH!$P$10=1,INDEX('Live History'!$H$5:$H$3004,MATCH($A781,'Live History'!$G$5:$G$3004,1)),INDEX('AH History'!$D$1:$D$18046,AH!$P$7+776))),NA()),NA())</ns0:f>
        <ns0:v/>
      </ns0:c>
      <ns0:c r="F781">
        <ns0:f>IFERROR(IF(ISNUMBER($A781),IF(AND(AH!$P$10=1,AH!$P$12=1,$A781=TODAY()),IF(AND(AH!$P$10=1,AH!$P$12=1,$A781=TODAY()),TODAY(),NA()),IF(AH!$P$10=1,INDEX('Live History'!$D$5:$D$3004,MATCH($A781,'Live History'!$D$5:$D$3004,1)),INDEX('AH History'!$E$1:$E$18046,AH!$P$7+776))),NA()),NA())</ns0:f>
        <ns0:v/>
      </ns0:c>
      <ns0:c r="G781">
        <ns0:f>IFERROR(IF(ISNUMBER($A781),IF(AND(AH!$P$10=1,AH!$P$12=1,$A781=TODAY()),IF(AND(AH!$P$10=1,AH!$P$12=1,$A781=TODAY()),TODAY(),NA()),IF(AH!$P$10=1,INDEX('Live History'!$G$5:$G$3004,MATCH($A781,'Live History'!$G$5:$G$3004,1)),INDEX('AH History'!$F$1:$F$18046,AH!$P$7+776))),NA()),NA())</ns0:f>
        <ns0:v/>
      </ns0:c>
      <ns0:c r="H781">
        <ns0:f>IFERROR(IF(AND(AH!$E$4="Bloomberg",AH!$P$10=1,ISNUMBER($A781),$A781&lt;=AH!$P$17),AH!$P$7-1+MATCH($A781,INDEX('AH History'!$A$1:$A$18046,AH!$P$7):INDEX('AH History'!$A$1:$A$18046,AH!$P$7+AH!$P$8-1),0),0),0)</ns0:f>
        <ns0:v/>
      </ns0:c>
      <ns0:c r="I781">
        <ns0:f>IF($H781=0,0,IFERROR(IF(AND(ABS($C781-INDEX('AH History'!$B$1:$B$18046,$H781))&lt;=MAX(0.005,ABS(INDEX('AH History'!$B$1:$B$18046,$H781))*0.00005),ABS($D781-INDEX('AH History'!$C$1:$C$18046,$H781))&lt;=MAX(0.005,ABS(INDEX('AH History'!$C$1:$C$18046,$H781))*0.00005),ABS($E781-INDEX('AH History'!$D$1:$D$18046,$H781))&lt;=0.00005,$F781=INDEX('AH History'!$E$1:$E$18046,$H781),$G781=INDEX('AH History'!$F$1:$F$18046,$H781)),1,-1),-1))</ns0:f>
        <ns0:v/>
      </ns0:c>
    </ns0:row>
    <ns0:row r="782">
      <ns0:c r="A782" s="215">
        <ns0:f>IF(OR(AH!$P$3=0,777+1&gt;AH!$P$11,AND(AH!$E$4&lt;&gt;"Stored",AH!$P$10&lt;&gt;1)),"",IFERROR(IF(AND(AH!$P$21=1,777+1=AH!$P$11),TODAY(),IF(AH!$P$10=1,INDEX('Live History'!$A$5:$A$3004,AH!$P$13+777),INDEX('AH History'!$A$1:$A$18046,AH!$P$7+777))),""))</ns0:f>
        <ns0:v/>
      </ns0:c>
      <ns0:c r="B782" s="219">
        <ns0:f>IFERROR(IF(AND(AH!$P$9&lt;&gt;1,$C782&gt;0,$D782&gt;0,$E782&gt;0,$F782&gt;0,$G782&gt;0,$F782&lt;=$A782,$G782&lt;=$A782,$A782-$F782&lt;=10,$A782-$G782&lt;=5),$D782*$E782/$C782-1,NA()),NA())</ns0:f>
        <ns0:v/>
      </ns0:c>
      <ns0:c r="C782">
        <ns0:f>IFERROR(IF(ISNUMBER($A782),IF(AND(AH!$P$10=1,AH!$P$12=1,$A782=TODAY()),AH!$P$19,IF(AH!$P$10=1,INDEX('Live History'!$B$5:$B$3004,AH!$P$13+777),INDEX('AH History'!$B$1:$B$18046,AH!$P$7+777))),NA()),NA())</ns0:f>
        <ns0:v/>
      </ns0:c>
      <ns0:c r="D782">
        <ns0:f>IFERROR(IF(ISNUMBER($A782),IF(AND(AH!$P$10=1,AH!$P$12=1,$A782=TODAY()),AH!$P$18,IF(AH!$P$10=1,INDEX('Live History'!$E$5:$E$3004,MATCH($A782,'Live History'!$D$5:$D$3004,1)),INDEX('AH History'!$C$1:$C$18046,AH!$P$7+777))),NA()),NA())</ns0:f>
        <ns0:v/>
      </ns0:c>
      <ns0:c r="E782">
        <ns0:f>IFERROR(IF(ISNUMBER($A782),IF(AND(AH!$P$10=1,AH!$P$12=1,$A782=TODAY()),AH!$P$20,IF(AH!$P$10=1,INDEX('Live History'!$H$5:$H$3004,MATCH($A782,'Live History'!$G$5:$G$3004,1)),INDEX('AH History'!$D$1:$D$18046,AH!$P$7+777))),NA()),NA())</ns0:f>
        <ns0:v/>
      </ns0:c>
      <ns0:c r="F782">
        <ns0:f>IFERROR(IF(ISNUMBER($A782),IF(AND(AH!$P$10=1,AH!$P$12=1,$A782=TODAY()),IF(AND(AH!$P$10=1,AH!$P$12=1,$A782=TODAY()),TODAY(),NA()),IF(AH!$P$10=1,INDEX('Live History'!$D$5:$D$3004,MATCH($A782,'Live History'!$D$5:$D$3004,1)),INDEX('AH History'!$E$1:$E$18046,AH!$P$7+777))),NA()),NA())</ns0:f>
        <ns0:v/>
      </ns0:c>
      <ns0:c r="G782">
        <ns0:f>IFERROR(IF(ISNUMBER($A782),IF(AND(AH!$P$10=1,AH!$P$12=1,$A782=TODAY()),IF(AND(AH!$P$10=1,AH!$P$12=1,$A782=TODAY()),TODAY(),NA()),IF(AH!$P$10=1,INDEX('Live History'!$G$5:$G$3004,MATCH($A782,'Live History'!$G$5:$G$3004,1)),INDEX('AH History'!$F$1:$F$18046,AH!$P$7+777))),NA()),NA())</ns0:f>
        <ns0:v/>
      </ns0:c>
      <ns0:c r="H782">
        <ns0:f>IFERROR(IF(AND(AH!$E$4="Bloomberg",AH!$P$10=1,ISNUMBER($A782),$A782&lt;=AH!$P$17),AH!$P$7-1+MATCH($A782,INDEX('AH History'!$A$1:$A$18046,AH!$P$7):INDEX('AH History'!$A$1:$A$18046,AH!$P$7+AH!$P$8-1),0),0),0)</ns0:f>
        <ns0:v/>
      </ns0:c>
      <ns0:c r="I782">
        <ns0:f>IF($H782=0,0,IFERROR(IF(AND(ABS($C782-INDEX('AH History'!$B$1:$B$18046,$H782))&lt;=MAX(0.005,ABS(INDEX('AH History'!$B$1:$B$18046,$H782))*0.00005),ABS($D782-INDEX('AH History'!$C$1:$C$18046,$H782))&lt;=MAX(0.005,ABS(INDEX('AH History'!$C$1:$C$18046,$H782))*0.00005),ABS($E782-INDEX('AH History'!$D$1:$D$18046,$H782))&lt;=0.00005,$F782=INDEX('AH History'!$E$1:$E$18046,$H782),$G782=INDEX('AH History'!$F$1:$F$18046,$H782)),1,-1),-1))</ns0:f>
        <ns0:v/>
      </ns0:c>
    </ns0:row>
    <ns0:row r="783">
      <ns0:c r="A783" s="215">
        <ns0:f>IF(OR(AH!$P$3=0,778+1&gt;AH!$P$11,AND(AH!$E$4&lt;&gt;"Stored",AH!$P$10&lt;&gt;1)),"",IFERROR(IF(AND(AH!$P$21=1,778+1=AH!$P$11),TODAY(),IF(AH!$P$10=1,INDEX('Live History'!$A$5:$A$3004,AH!$P$13+778),INDEX('AH History'!$A$1:$A$18046,AH!$P$7+778))),""))</ns0:f>
        <ns0:v/>
      </ns0:c>
      <ns0:c r="B783" s="219">
        <ns0:f>IFERROR(IF(AND(AH!$P$9&lt;&gt;1,$C783&gt;0,$D783&gt;0,$E783&gt;0,$F783&gt;0,$G783&gt;0,$F783&lt;=$A783,$G783&lt;=$A783,$A783-$F783&lt;=10,$A783-$G783&lt;=5),$D783*$E783/$C783-1,NA()),NA())</ns0:f>
        <ns0:v/>
      </ns0:c>
      <ns0:c r="C783">
        <ns0:f>IFERROR(IF(ISNUMBER($A783),IF(AND(AH!$P$10=1,AH!$P$12=1,$A783=TODAY()),AH!$P$19,IF(AH!$P$10=1,INDEX('Live History'!$B$5:$B$3004,AH!$P$13+778),INDEX('AH History'!$B$1:$B$18046,AH!$P$7+778))),NA()),NA())</ns0:f>
        <ns0:v/>
      </ns0:c>
      <ns0:c r="D783">
        <ns0:f>IFERROR(IF(ISNUMBER($A783),IF(AND(AH!$P$10=1,AH!$P$12=1,$A783=TODAY()),AH!$P$18,IF(AH!$P$10=1,INDEX('Live History'!$E$5:$E$3004,MATCH($A783,'Live History'!$D$5:$D$3004,1)),INDEX('AH History'!$C$1:$C$18046,AH!$P$7+778))),NA()),NA())</ns0:f>
        <ns0:v/>
      </ns0:c>
      <ns0:c r="E783">
        <ns0:f>IFERROR(IF(ISNUMBER($A783),IF(AND(AH!$P$10=1,AH!$P$12=1,$A783=TODAY()),AH!$P$20,IF(AH!$P$10=1,INDEX('Live History'!$H$5:$H$3004,MATCH($A783,'Live History'!$G$5:$G$3004,1)),INDEX('AH History'!$D$1:$D$18046,AH!$P$7+778))),NA()),NA())</ns0:f>
        <ns0:v/>
      </ns0:c>
      <ns0:c r="F783">
        <ns0:f>IFERROR(IF(ISNUMBER($A783),IF(AND(AH!$P$10=1,AH!$P$12=1,$A783=TODAY()),IF(AND(AH!$P$10=1,AH!$P$12=1,$A783=TODAY()),TODAY(),NA()),IF(AH!$P$10=1,INDEX('Live History'!$D$5:$D$3004,MATCH($A783,'Live History'!$D$5:$D$3004,1)),INDEX('AH History'!$E$1:$E$18046,AH!$P$7+778))),NA()),NA())</ns0:f>
        <ns0:v/>
      </ns0:c>
      <ns0:c r="G783">
        <ns0:f>IFERROR(IF(ISNUMBER($A783),IF(AND(AH!$P$10=1,AH!$P$12=1,$A783=TODAY()),IF(AND(AH!$P$10=1,AH!$P$12=1,$A783=TODAY()),TODAY(),NA()),IF(AH!$P$10=1,INDEX('Live History'!$G$5:$G$3004,MATCH($A783,'Live History'!$G$5:$G$3004,1)),INDEX('AH History'!$F$1:$F$18046,AH!$P$7+778))),NA()),NA())</ns0:f>
        <ns0:v/>
      </ns0:c>
      <ns0:c r="H783">
        <ns0:f>IFERROR(IF(AND(AH!$E$4="Bloomberg",AH!$P$10=1,ISNUMBER($A783),$A783&lt;=AH!$P$17),AH!$P$7-1+MATCH($A783,INDEX('AH History'!$A$1:$A$18046,AH!$P$7):INDEX('AH History'!$A$1:$A$18046,AH!$P$7+AH!$P$8-1),0),0),0)</ns0:f>
        <ns0:v/>
      </ns0:c>
      <ns0:c r="I783">
        <ns0:f>IF($H783=0,0,IFERROR(IF(AND(ABS($C783-INDEX('AH History'!$B$1:$B$18046,$H783))&lt;=MAX(0.005,ABS(INDEX('AH History'!$B$1:$B$18046,$H783))*0.00005),ABS($D783-INDEX('AH History'!$C$1:$C$18046,$H783))&lt;=MAX(0.005,ABS(INDEX('AH History'!$C$1:$C$18046,$H783))*0.00005),ABS($E783-INDEX('AH History'!$D$1:$D$18046,$H783))&lt;=0.00005,$F783=INDEX('AH History'!$E$1:$E$18046,$H783),$G783=INDEX('AH History'!$F$1:$F$18046,$H783)),1,-1),-1))</ns0:f>
        <ns0:v/>
      </ns0:c>
    </ns0:row>
    <ns0:row r="784">
      <ns0:c r="A784" s="215">
        <ns0:f>IF(OR(AH!$P$3=0,779+1&gt;AH!$P$11,AND(AH!$E$4&lt;&gt;"Stored",AH!$P$10&lt;&gt;1)),"",IFERROR(IF(AND(AH!$P$21=1,779+1=AH!$P$11),TODAY(),IF(AH!$P$10=1,INDEX('Live History'!$A$5:$A$3004,AH!$P$13+779),INDEX('AH History'!$A$1:$A$18046,AH!$P$7+779))),""))</ns0:f>
        <ns0:v/>
      </ns0:c>
      <ns0:c r="B784" s="219">
        <ns0:f>IFERROR(IF(AND(AH!$P$9&lt;&gt;1,$C784&gt;0,$D784&gt;0,$E784&gt;0,$F784&gt;0,$G784&gt;0,$F784&lt;=$A784,$G784&lt;=$A784,$A784-$F784&lt;=10,$A784-$G784&lt;=5),$D784*$E784/$C784-1,NA()),NA())</ns0:f>
        <ns0:v/>
      </ns0:c>
      <ns0:c r="C784">
        <ns0:f>IFERROR(IF(ISNUMBER($A784),IF(AND(AH!$P$10=1,AH!$P$12=1,$A784=TODAY()),AH!$P$19,IF(AH!$P$10=1,INDEX('Live History'!$B$5:$B$3004,AH!$P$13+779),INDEX('AH History'!$B$1:$B$18046,AH!$P$7+779))),NA()),NA())</ns0:f>
        <ns0:v/>
      </ns0:c>
      <ns0:c r="D784">
        <ns0:f>IFERROR(IF(ISNUMBER($A784),IF(AND(AH!$P$10=1,AH!$P$12=1,$A784=TODAY()),AH!$P$18,IF(AH!$P$10=1,INDEX('Live History'!$E$5:$E$3004,MATCH($A784,'Live History'!$D$5:$D$3004,1)),INDEX('AH History'!$C$1:$C$18046,AH!$P$7+779))),NA()),NA())</ns0:f>
        <ns0:v/>
      </ns0:c>
      <ns0:c r="E784">
        <ns0:f>IFERROR(IF(ISNUMBER($A784),IF(AND(AH!$P$10=1,AH!$P$12=1,$A784=TODAY()),AH!$P$20,IF(AH!$P$10=1,INDEX('Live History'!$H$5:$H$3004,MATCH($A784,'Live History'!$G$5:$G$3004,1)),INDEX('AH History'!$D$1:$D$18046,AH!$P$7+779))),NA()),NA())</ns0:f>
        <ns0:v/>
      </ns0:c>
      <ns0:c r="F784">
        <ns0:f>IFERROR(IF(ISNUMBER($A784),IF(AND(AH!$P$10=1,AH!$P$12=1,$A784=TODAY()),IF(AND(AH!$P$10=1,AH!$P$12=1,$A784=TODAY()),TODAY(),NA()),IF(AH!$P$10=1,INDEX('Live History'!$D$5:$D$3004,MATCH($A784,'Live History'!$D$5:$D$3004,1)),INDEX('AH History'!$E$1:$E$18046,AH!$P$7+779))),NA()),NA())</ns0:f>
        <ns0:v/>
      </ns0:c>
      <ns0:c r="G784">
        <ns0:f>IFERROR(IF(ISNUMBER($A784),IF(AND(AH!$P$10=1,AH!$P$12=1,$A784=TODAY()),IF(AND(AH!$P$10=1,AH!$P$12=1,$A784=TODAY()),TODAY(),NA()),IF(AH!$P$10=1,INDEX('Live History'!$G$5:$G$3004,MATCH($A784,'Live History'!$G$5:$G$3004,1)),INDEX('AH History'!$F$1:$F$18046,AH!$P$7+779))),NA()),NA())</ns0:f>
        <ns0:v/>
      </ns0:c>
      <ns0:c r="H784">
        <ns0:f>IFERROR(IF(AND(AH!$E$4="Bloomberg",AH!$P$10=1,ISNUMBER($A784),$A784&lt;=AH!$P$17),AH!$P$7-1+MATCH($A784,INDEX('AH History'!$A$1:$A$18046,AH!$P$7):INDEX('AH History'!$A$1:$A$18046,AH!$P$7+AH!$P$8-1),0),0),0)</ns0:f>
        <ns0:v/>
      </ns0:c>
      <ns0:c r="I784">
        <ns0:f>IF($H784=0,0,IFERROR(IF(AND(ABS($C784-INDEX('AH History'!$B$1:$B$18046,$H784))&lt;=MAX(0.005,ABS(INDEX('AH History'!$B$1:$B$18046,$H784))*0.00005),ABS($D784-INDEX('AH History'!$C$1:$C$18046,$H784))&lt;=MAX(0.005,ABS(INDEX('AH History'!$C$1:$C$18046,$H784))*0.00005),ABS($E784-INDEX('AH History'!$D$1:$D$18046,$H784))&lt;=0.00005,$F784=INDEX('AH History'!$E$1:$E$18046,$H784),$G784=INDEX('AH History'!$F$1:$F$18046,$H784)),1,-1),-1))</ns0:f>
        <ns0:v/>
      </ns0:c>
    </ns0:row>
    <ns0:row r="785">
      <ns0:c r="A785" s="215">
        <ns0:f>IF(OR(AH!$P$3=0,780+1&gt;AH!$P$11,AND(AH!$E$4&lt;&gt;"Stored",AH!$P$10&lt;&gt;1)),"",IFERROR(IF(AND(AH!$P$21=1,780+1=AH!$P$11),TODAY(),IF(AH!$P$10=1,INDEX('Live History'!$A$5:$A$3004,AH!$P$13+780),INDEX('AH History'!$A$1:$A$18046,AH!$P$7+780))),""))</ns0:f>
        <ns0:v/>
      </ns0:c>
      <ns0:c r="B785" s="219">
        <ns0:f>IFERROR(IF(AND(AH!$P$9&lt;&gt;1,$C785&gt;0,$D785&gt;0,$E785&gt;0,$F785&gt;0,$G785&gt;0,$F785&lt;=$A785,$G785&lt;=$A785,$A785-$F785&lt;=10,$A785-$G785&lt;=5),$D785*$E785/$C785-1,NA()),NA())</ns0:f>
        <ns0:v/>
      </ns0:c>
      <ns0:c r="C785">
        <ns0:f>IFERROR(IF(ISNUMBER($A785),IF(AND(AH!$P$10=1,AH!$P$12=1,$A785=TODAY()),AH!$P$19,IF(AH!$P$10=1,INDEX('Live History'!$B$5:$B$3004,AH!$P$13+780),INDEX('AH History'!$B$1:$B$18046,AH!$P$7+780))),NA()),NA())</ns0:f>
        <ns0:v/>
      </ns0:c>
      <ns0:c r="D785">
        <ns0:f>IFERROR(IF(ISNUMBER($A785),IF(AND(AH!$P$10=1,AH!$P$12=1,$A785=TODAY()),AH!$P$18,IF(AH!$P$10=1,INDEX('Live History'!$E$5:$E$3004,MATCH($A785,'Live History'!$D$5:$D$3004,1)),INDEX('AH History'!$C$1:$C$18046,AH!$P$7+780))),NA()),NA())</ns0:f>
        <ns0:v/>
      </ns0:c>
      <ns0:c r="E785">
        <ns0:f>IFERROR(IF(ISNUMBER($A785),IF(AND(AH!$P$10=1,AH!$P$12=1,$A785=TODAY()),AH!$P$20,IF(AH!$P$10=1,INDEX('Live History'!$H$5:$H$3004,MATCH($A785,'Live History'!$G$5:$G$3004,1)),INDEX('AH History'!$D$1:$D$18046,AH!$P$7+780))),NA()),NA())</ns0:f>
        <ns0:v/>
      </ns0:c>
      <ns0:c r="F785">
        <ns0:f>IFERROR(IF(ISNUMBER($A785),IF(AND(AH!$P$10=1,AH!$P$12=1,$A785=TODAY()),IF(AND(AH!$P$10=1,AH!$P$12=1,$A785=TODAY()),TODAY(),NA()),IF(AH!$P$10=1,INDEX('Live History'!$D$5:$D$3004,MATCH($A785,'Live History'!$D$5:$D$3004,1)),INDEX('AH History'!$E$1:$E$18046,AH!$P$7+780))),NA()),NA())</ns0:f>
        <ns0:v/>
      </ns0:c>
      <ns0:c r="G785">
        <ns0:f>IFERROR(IF(ISNUMBER($A785),IF(AND(AH!$P$10=1,AH!$P$12=1,$A785=TODAY()),IF(AND(AH!$P$10=1,AH!$P$12=1,$A785=TODAY()),TODAY(),NA()),IF(AH!$P$10=1,INDEX('Live History'!$G$5:$G$3004,MATCH($A785,'Live History'!$G$5:$G$3004,1)),INDEX('AH History'!$F$1:$F$18046,AH!$P$7+780))),NA()),NA())</ns0:f>
        <ns0:v/>
      </ns0:c>
      <ns0:c r="H785">
        <ns0:f>IFERROR(IF(AND(AH!$E$4="Bloomberg",AH!$P$10=1,ISNUMBER($A785),$A785&lt;=AH!$P$17),AH!$P$7-1+MATCH($A785,INDEX('AH History'!$A$1:$A$18046,AH!$P$7):INDEX('AH History'!$A$1:$A$18046,AH!$P$7+AH!$P$8-1),0),0),0)</ns0:f>
        <ns0:v/>
      </ns0:c>
      <ns0:c r="I785">
        <ns0:f>IF($H785=0,0,IFERROR(IF(AND(ABS($C785-INDEX('AH History'!$B$1:$B$18046,$H785))&lt;=MAX(0.005,ABS(INDEX('AH History'!$B$1:$B$18046,$H785))*0.00005),ABS($D785-INDEX('AH History'!$C$1:$C$18046,$H785))&lt;=MAX(0.005,ABS(INDEX('AH History'!$C$1:$C$18046,$H785))*0.00005),ABS($E785-INDEX('AH History'!$D$1:$D$18046,$H785))&lt;=0.00005,$F785=INDEX('AH History'!$E$1:$E$18046,$H785),$G785=INDEX('AH History'!$F$1:$F$18046,$H785)),1,-1),-1))</ns0:f>
        <ns0:v/>
      </ns0:c>
    </ns0:row>
    <ns0:row r="786">
      <ns0:c r="A786" s="215">
        <ns0:f>IF(OR(AH!$P$3=0,781+1&gt;AH!$P$11,AND(AH!$E$4&lt;&gt;"Stored",AH!$P$10&lt;&gt;1)),"",IFERROR(IF(AND(AH!$P$21=1,781+1=AH!$P$11),TODAY(),IF(AH!$P$10=1,INDEX('Live History'!$A$5:$A$3004,AH!$P$13+781),INDEX('AH History'!$A$1:$A$18046,AH!$P$7+781))),""))</ns0:f>
        <ns0:v/>
      </ns0:c>
      <ns0:c r="B786" s="219">
        <ns0:f>IFERROR(IF(AND(AH!$P$9&lt;&gt;1,$C786&gt;0,$D786&gt;0,$E786&gt;0,$F786&gt;0,$G786&gt;0,$F786&lt;=$A786,$G786&lt;=$A786,$A786-$F786&lt;=10,$A786-$G786&lt;=5),$D786*$E786/$C786-1,NA()),NA())</ns0:f>
        <ns0:v/>
      </ns0:c>
      <ns0:c r="C786">
        <ns0:f>IFERROR(IF(ISNUMBER($A786),IF(AND(AH!$P$10=1,AH!$P$12=1,$A786=TODAY()),AH!$P$19,IF(AH!$P$10=1,INDEX('Live History'!$B$5:$B$3004,AH!$P$13+781),INDEX('AH History'!$B$1:$B$18046,AH!$P$7+781))),NA()),NA())</ns0:f>
        <ns0:v/>
      </ns0:c>
      <ns0:c r="D786">
        <ns0:f>IFERROR(IF(ISNUMBER($A786),IF(AND(AH!$P$10=1,AH!$P$12=1,$A786=TODAY()),AH!$P$18,IF(AH!$P$10=1,INDEX('Live History'!$E$5:$E$3004,MATCH($A786,'Live History'!$D$5:$D$3004,1)),INDEX('AH History'!$C$1:$C$18046,AH!$P$7+781))),NA()),NA())</ns0:f>
        <ns0:v/>
      </ns0:c>
      <ns0:c r="E786">
        <ns0:f>IFERROR(IF(ISNUMBER($A786),IF(AND(AH!$P$10=1,AH!$P$12=1,$A786=TODAY()),AH!$P$20,IF(AH!$P$10=1,INDEX('Live History'!$H$5:$H$3004,MATCH($A786,'Live History'!$G$5:$G$3004,1)),INDEX('AH History'!$D$1:$D$18046,AH!$P$7+781))),NA()),NA())</ns0:f>
        <ns0:v/>
      </ns0:c>
      <ns0:c r="F786">
        <ns0:f>IFERROR(IF(ISNUMBER($A786),IF(AND(AH!$P$10=1,AH!$P$12=1,$A786=TODAY()),IF(AND(AH!$P$10=1,AH!$P$12=1,$A786=TODAY()),TODAY(),NA()),IF(AH!$P$10=1,INDEX('Live History'!$D$5:$D$3004,MATCH($A786,'Live History'!$D$5:$D$3004,1)),INDEX('AH History'!$E$1:$E$18046,AH!$P$7+781))),NA()),NA())</ns0:f>
        <ns0:v/>
      </ns0:c>
      <ns0:c r="G786">
        <ns0:f>IFERROR(IF(ISNUMBER($A786),IF(AND(AH!$P$10=1,AH!$P$12=1,$A786=TODAY()),IF(AND(AH!$P$10=1,AH!$P$12=1,$A786=TODAY()),TODAY(),NA()),IF(AH!$P$10=1,INDEX('Live History'!$G$5:$G$3004,MATCH($A786,'Live History'!$G$5:$G$3004,1)),INDEX('AH History'!$F$1:$F$18046,AH!$P$7+781))),NA()),NA())</ns0:f>
        <ns0:v/>
      </ns0:c>
      <ns0:c r="H786">
        <ns0:f>IFERROR(IF(AND(AH!$E$4="Bloomberg",AH!$P$10=1,ISNUMBER($A786),$A786&lt;=AH!$P$17),AH!$P$7-1+MATCH($A786,INDEX('AH History'!$A$1:$A$18046,AH!$P$7):INDEX('AH History'!$A$1:$A$18046,AH!$P$7+AH!$P$8-1),0),0),0)</ns0:f>
        <ns0:v/>
      </ns0:c>
      <ns0:c r="I786">
        <ns0:f>IF($H786=0,0,IFERROR(IF(AND(ABS($C786-INDEX('AH History'!$B$1:$B$18046,$H786))&lt;=MAX(0.005,ABS(INDEX('AH History'!$B$1:$B$18046,$H786))*0.00005),ABS($D786-INDEX('AH History'!$C$1:$C$18046,$H786))&lt;=MAX(0.005,ABS(INDEX('AH History'!$C$1:$C$18046,$H786))*0.00005),ABS($E786-INDEX('AH History'!$D$1:$D$18046,$H786))&lt;=0.00005,$F786=INDEX('AH History'!$E$1:$E$18046,$H786),$G786=INDEX('AH History'!$F$1:$F$18046,$H786)),1,-1),-1))</ns0:f>
        <ns0:v/>
      </ns0:c>
    </ns0:row>
    <ns0:row r="787">
      <ns0:c r="A787" s="215">
        <ns0:f>IF(OR(AH!$P$3=0,782+1&gt;AH!$P$11,AND(AH!$E$4&lt;&gt;"Stored",AH!$P$10&lt;&gt;1)),"",IFERROR(IF(AND(AH!$P$21=1,782+1=AH!$P$11),TODAY(),IF(AH!$P$10=1,INDEX('Live History'!$A$5:$A$3004,AH!$P$13+782),INDEX('AH History'!$A$1:$A$18046,AH!$P$7+782))),""))</ns0:f>
        <ns0:v/>
      </ns0:c>
      <ns0:c r="B787" s="219">
        <ns0:f>IFERROR(IF(AND(AH!$P$9&lt;&gt;1,$C787&gt;0,$D787&gt;0,$E787&gt;0,$F787&gt;0,$G787&gt;0,$F787&lt;=$A787,$G787&lt;=$A787,$A787-$F787&lt;=10,$A787-$G787&lt;=5),$D787*$E787/$C787-1,NA()),NA())</ns0:f>
        <ns0:v/>
      </ns0:c>
      <ns0:c r="C787">
        <ns0:f>IFERROR(IF(ISNUMBER($A787),IF(AND(AH!$P$10=1,AH!$P$12=1,$A787=TODAY()),AH!$P$19,IF(AH!$P$10=1,INDEX('Live History'!$B$5:$B$3004,AH!$P$13+782),INDEX('AH History'!$B$1:$B$18046,AH!$P$7+782))),NA()),NA())</ns0:f>
        <ns0:v/>
      </ns0:c>
      <ns0:c r="D787">
        <ns0:f>IFERROR(IF(ISNUMBER($A787),IF(AND(AH!$P$10=1,AH!$P$12=1,$A787=TODAY()),AH!$P$18,IF(AH!$P$10=1,INDEX('Live History'!$E$5:$E$3004,MATCH($A787,'Live History'!$D$5:$D$3004,1)),INDEX('AH History'!$C$1:$C$18046,AH!$P$7+782))),NA()),NA())</ns0:f>
        <ns0:v/>
      </ns0:c>
      <ns0:c r="E787">
        <ns0:f>IFERROR(IF(ISNUMBER($A787),IF(AND(AH!$P$10=1,AH!$P$12=1,$A787=TODAY()),AH!$P$20,IF(AH!$P$10=1,INDEX('Live History'!$H$5:$H$3004,MATCH($A787,'Live History'!$G$5:$G$3004,1)),INDEX('AH History'!$D$1:$D$18046,AH!$P$7+782))),NA()),NA())</ns0:f>
        <ns0:v/>
      </ns0:c>
      <ns0:c r="F787">
        <ns0:f>IFERROR(IF(ISNUMBER($A787),IF(AND(AH!$P$10=1,AH!$P$12=1,$A787=TODAY()),IF(AND(AH!$P$10=1,AH!$P$12=1,$A787=TODAY()),TODAY(),NA()),IF(AH!$P$10=1,INDEX('Live History'!$D$5:$D$3004,MATCH($A787,'Live History'!$D$5:$D$3004,1)),INDEX('AH History'!$E$1:$E$18046,AH!$P$7+782))),NA()),NA())</ns0:f>
        <ns0:v/>
      </ns0:c>
      <ns0:c r="G787">
        <ns0:f>IFERROR(IF(ISNUMBER($A787),IF(AND(AH!$P$10=1,AH!$P$12=1,$A787=TODAY()),IF(AND(AH!$P$10=1,AH!$P$12=1,$A787=TODAY()),TODAY(),NA()),IF(AH!$P$10=1,INDEX('Live History'!$G$5:$G$3004,MATCH($A787,'Live History'!$G$5:$G$3004,1)),INDEX('AH History'!$F$1:$F$18046,AH!$P$7+782))),NA()),NA())</ns0:f>
        <ns0:v/>
      </ns0:c>
      <ns0:c r="H787">
        <ns0:f>IFERROR(IF(AND(AH!$E$4="Bloomberg",AH!$P$10=1,ISNUMBER($A787),$A787&lt;=AH!$P$17),AH!$P$7-1+MATCH($A787,INDEX('AH History'!$A$1:$A$18046,AH!$P$7):INDEX('AH History'!$A$1:$A$18046,AH!$P$7+AH!$P$8-1),0),0),0)</ns0:f>
        <ns0:v/>
      </ns0:c>
      <ns0:c r="I787">
        <ns0:f>IF($H787=0,0,IFERROR(IF(AND(ABS($C787-INDEX('AH History'!$B$1:$B$18046,$H787))&lt;=MAX(0.005,ABS(INDEX('AH History'!$B$1:$B$18046,$H787))*0.00005),ABS($D787-INDEX('AH History'!$C$1:$C$18046,$H787))&lt;=MAX(0.005,ABS(INDEX('AH History'!$C$1:$C$18046,$H787))*0.00005),ABS($E787-INDEX('AH History'!$D$1:$D$18046,$H787))&lt;=0.00005,$F787=INDEX('AH History'!$E$1:$E$18046,$H787),$G787=INDEX('AH History'!$F$1:$F$18046,$H787)),1,-1),-1))</ns0:f>
        <ns0:v/>
      </ns0:c>
    </ns0:row>
    <ns0:row r="788">
      <ns0:c r="A788" s="215">
        <ns0:f>IF(OR(AH!$P$3=0,783+1&gt;AH!$P$11,AND(AH!$E$4&lt;&gt;"Stored",AH!$P$10&lt;&gt;1)),"",IFERROR(IF(AND(AH!$P$21=1,783+1=AH!$P$11),TODAY(),IF(AH!$P$10=1,INDEX('Live History'!$A$5:$A$3004,AH!$P$13+783),INDEX('AH History'!$A$1:$A$18046,AH!$P$7+783))),""))</ns0:f>
        <ns0:v/>
      </ns0:c>
      <ns0:c r="B788" s="219">
        <ns0:f>IFERROR(IF(AND(AH!$P$9&lt;&gt;1,$C788&gt;0,$D788&gt;0,$E788&gt;0,$F788&gt;0,$G788&gt;0,$F788&lt;=$A788,$G788&lt;=$A788,$A788-$F788&lt;=10,$A788-$G788&lt;=5),$D788*$E788/$C788-1,NA()),NA())</ns0:f>
        <ns0:v/>
      </ns0:c>
      <ns0:c r="C788">
        <ns0:f>IFERROR(IF(ISNUMBER($A788),IF(AND(AH!$P$10=1,AH!$P$12=1,$A788=TODAY()),AH!$P$19,IF(AH!$P$10=1,INDEX('Live History'!$B$5:$B$3004,AH!$P$13+783),INDEX('AH History'!$B$1:$B$18046,AH!$P$7+783))),NA()),NA())</ns0:f>
        <ns0:v/>
      </ns0:c>
      <ns0:c r="D788">
        <ns0:f>IFERROR(IF(ISNUMBER($A788),IF(AND(AH!$P$10=1,AH!$P$12=1,$A788=TODAY()),AH!$P$18,IF(AH!$P$10=1,INDEX('Live History'!$E$5:$E$3004,MATCH($A788,'Live History'!$D$5:$D$3004,1)),INDEX('AH History'!$C$1:$C$18046,AH!$P$7+783))),NA()),NA())</ns0:f>
        <ns0:v/>
      </ns0:c>
      <ns0:c r="E788">
        <ns0:f>IFERROR(IF(ISNUMBER($A788),IF(AND(AH!$P$10=1,AH!$P$12=1,$A788=TODAY()),AH!$P$20,IF(AH!$P$10=1,INDEX('Live History'!$H$5:$H$3004,MATCH($A788,'Live History'!$G$5:$G$3004,1)),INDEX('AH History'!$D$1:$D$18046,AH!$P$7+783))),NA()),NA())</ns0:f>
        <ns0:v/>
      </ns0:c>
      <ns0:c r="F788">
        <ns0:f>IFERROR(IF(ISNUMBER($A788),IF(AND(AH!$P$10=1,AH!$P$12=1,$A788=TODAY()),IF(AND(AH!$P$10=1,AH!$P$12=1,$A788=TODAY()),TODAY(),NA()),IF(AH!$P$10=1,INDEX('Live History'!$D$5:$D$3004,MATCH($A788,'Live History'!$D$5:$D$3004,1)),INDEX('AH History'!$E$1:$E$18046,AH!$P$7+783))),NA()),NA())</ns0:f>
        <ns0:v/>
      </ns0:c>
      <ns0:c r="G788">
        <ns0:f>IFERROR(IF(ISNUMBER($A788),IF(AND(AH!$P$10=1,AH!$P$12=1,$A788=TODAY()),IF(AND(AH!$P$10=1,AH!$P$12=1,$A788=TODAY()),TODAY(),NA()),IF(AH!$P$10=1,INDEX('Live History'!$G$5:$G$3004,MATCH($A788,'Live History'!$G$5:$G$3004,1)),INDEX('AH History'!$F$1:$F$18046,AH!$P$7+783))),NA()),NA())</ns0:f>
        <ns0:v/>
      </ns0:c>
      <ns0:c r="H788">
        <ns0:f>IFERROR(IF(AND(AH!$E$4="Bloomberg",AH!$P$10=1,ISNUMBER($A788),$A788&lt;=AH!$P$17),AH!$P$7-1+MATCH($A788,INDEX('AH History'!$A$1:$A$18046,AH!$P$7):INDEX('AH History'!$A$1:$A$18046,AH!$P$7+AH!$P$8-1),0),0),0)</ns0:f>
        <ns0:v/>
      </ns0:c>
      <ns0:c r="I788">
        <ns0:f>IF($H788=0,0,IFERROR(IF(AND(ABS($C788-INDEX('AH History'!$B$1:$B$18046,$H788))&lt;=MAX(0.005,ABS(INDEX('AH History'!$B$1:$B$18046,$H788))*0.00005),ABS($D788-INDEX('AH History'!$C$1:$C$18046,$H788))&lt;=MAX(0.005,ABS(INDEX('AH History'!$C$1:$C$18046,$H788))*0.00005),ABS($E788-INDEX('AH History'!$D$1:$D$18046,$H788))&lt;=0.00005,$F788=INDEX('AH History'!$E$1:$E$18046,$H788),$G788=INDEX('AH History'!$F$1:$F$18046,$H788)),1,-1),-1))</ns0:f>
        <ns0:v/>
      </ns0:c>
    </ns0:row>
    <ns0:row r="789">
      <ns0:c r="A789" s="215">
        <ns0:f>IF(OR(AH!$P$3=0,784+1&gt;AH!$P$11,AND(AH!$E$4&lt;&gt;"Stored",AH!$P$10&lt;&gt;1)),"",IFERROR(IF(AND(AH!$P$21=1,784+1=AH!$P$11),TODAY(),IF(AH!$P$10=1,INDEX('Live History'!$A$5:$A$3004,AH!$P$13+784),INDEX('AH History'!$A$1:$A$18046,AH!$P$7+784))),""))</ns0:f>
        <ns0:v/>
      </ns0:c>
      <ns0:c r="B789" s="219">
        <ns0:f>IFERROR(IF(AND(AH!$P$9&lt;&gt;1,$C789&gt;0,$D789&gt;0,$E789&gt;0,$F789&gt;0,$G789&gt;0,$F789&lt;=$A789,$G789&lt;=$A789,$A789-$F789&lt;=10,$A789-$G789&lt;=5),$D789*$E789/$C789-1,NA()),NA())</ns0:f>
        <ns0:v/>
      </ns0:c>
      <ns0:c r="C789">
        <ns0:f>IFERROR(IF(ISNUMBER($A789),IF(AND(AH!$P$10=1,AH!$P$12=1,$A789=TODAY()),AH!$P$19,IF(AH!$P$10=1,INDEX('Live History'!$B$5:$B$3004,AH!$P$13+784),INDEX('AH History'!$B$1:$B$18046,AH!$P$7+784))),NA()),NA())</ns0:f>
        <ns0:v/>
      </ns0:c>
      <ns0:c r="D789">
        <ns0:f>IFERROR(IF(ISNUMBER($A789),IF(AND(AH!$P$10=1,AH!$P$12=1,$A789=TODAY()),AH!$P$18,IF(AH!$P$10=1,INDEX('Live History'!$E$5:$E$3004,MATCH($A789,'Live History'!$D$5:$D$3004,1)),INDEX('AH History'!$C$1:$C$18046,AH!$P$7+784))),NA()),NA())</ns0:f>
        <ns0:v/>
      </ns0:c>
      <ns0:c r="E789">
        <ns0:f>IFERROR(IF(ISNUMBER($A789),IF(AND(AH!$P$10=1,AH!$P$12=1,$A789=TODAY()),AH!$P$20,IF(AH!$P$10=1,INDEX('Live History'!$H$5:$H$3004,MATCH($A789,'Live History'!$G$5:$G$3004,1)),INDEX('AH History'!$D$1:$D$18046,AH!$P$7+784))),NA()),NA())</ns0:f>
        <ns0:v/>
      </ns0:c>
      <ns0:c r="F789">
        <ns0:f>IFERROR(IF(ISNUMBER($A789),IF(AND(AH!$P$10=1,AH!$P$12=1,$A789=TODAY()),IF(AND(AH!$P$10=1,AH!$P$12=1,$A789=TODAY()),TODAY(),NA()),IF(AH!$P$10=1,INDEX('Live History'!$D$5:$D$3004,MATCH($A789,'Live History'!$D$5:$D$3004,1)),INDEX('AH History'!$E$1:$E$18046,AH!$P$7+784))),NA()),NA())</ns0:f>
        <ns0:v/>
      </ns0:c>
      <ns0:c r="G789">
        <ns0:f>IFERROR(IF(ISNUMBER($A789),IF(AND(AH!$P$10=1,AH!$P$12=1,$A789=TODAY()),IF(AND(AH!$P$10=1,AH!$P$12=1,$A789=TODAY()),TODAY(),NA()),IF(AH!$P$10=1,INDEX('Live History'!$G$5:$G$3004,MATCH($A789,'Live History'!$G$5:$G$3004,1)),INDEX('AH History'!$F$1:$F$18046,AH!$P$7+784))),NA()),NA())</ns0:f>
        <ns0:v/>
      </ns0:c>
      <ns0:c r="H789">
        <ns0:f>IFERROR(IF(AND(AH!$E$4="Bloomberg",AH!$P$10=1,ISNUMBER($A789),$A789&lt;=AH!$P$17),AH!$P$7-1+MATCH($A789,INDEX('AH History'!$A$1:$A$18046,AH!$P$7):INDEX('AH History'!$A$1:$A$18046,AH!$P$7+AH!$P$8-1),0),0),0)</ns0:f>
        <ns0:v/>
      </ns0:c>
      <ns0:c r="I789">
        <ns0:f>IF($H789=0,0,IFERROR(IF(AND(ABS($C789-INDEX('AH History'!$B$1:$B$18046,$H789))&lt;=MAX(0.005,ABS(INDEX('AH History'!$B$1:$B$18046,$H789))*0.00005),ABS($D789-INDEX('AH History'!$C$1:$C$18046,$H789))&lt;=MAX(0.005,ABS(INDEX('AH History'!$C$1:$C$18046,$H789))*0.00005),ABS($E789-INDEX('AH History'!$D$1:$D$18046,$H789))&lt;=0.00005,$F789=INDEX('AH History'!$E$1:$E$18046,$H789),$G789=INDEX('AH History'!$F$1:$F$18046,$H789)),1,-1),-1))</ns0:f>
        <ns0:v/>
      </ns0:c>
    </ns0:row>
    <ns0:row r="790">
      <ns0:c r="A790" s="215">
        <ns0:f>IF(OR(AH!$P$3=0,785+1&gt;AH!$P$11,AND(AH!$E$4&lt;&gt;"Stored",AH!$P$10&lt;&gt;1)),"",IFERROR(IF(AND(AH!$P$21=1,785+1=AH!$P$11),TODAY(),IF(AH!$P$10=1,INDEX('Live History'!$A$5:$A$3004,AH!$P$13+785),INDEX('AH History'!$A$1:$A$18046,AH!$P$7+785))),""))</ns0:f>
        <ns0:v/>
      </ns0:c>
      <ns0:c r="B790" s="219">
        <ns0:f>IFERROR(IF(AND(AH!$P$9&lt;&gt;1,$C790&gt;0,$D790&gt;0,$E790&gt;0,$F790&gt;0,$G790&gt;0,$F790&lt;=$A790,$G790&lt;=$A790,$A790-$F790&lt;=10,$A790-$G790&lt;=5),$D790*$E790/$C790-1,NA()),NA())</ns0:f>
        <ns0:v/>
      </ns0:c>
      <ns0:c r="C790">
        <ns0:f>IFERROR(IF(ISNUMBER($A790),IF(AND(AH!$P$10=1,AH!$P$12=1,$A790=TODAY()),AH!$P$19,IF(AH!$P$10=1,INDEX('Live History'!$B$5:$B$3004,AH!$P$13+785),INDEX('AH History'!$B$1:$B$18046,AH!$P$7+785))),NA()),NA())</ns0:f>
        <ns0:v/>
      </ns0:c>
      <ns0:c r="D790">
        <ns0:f>IFERROR(IF(ISNUMBER($A790),IF(AND(AH!$P$10=1,AH!$P$12=1,$A790=TODAY()),AH!$P$18,IF(AH!$P$10=1,INDEX('Live History'!$E$5:$E$3004,MATCH($A790,'Live History'!$D$5:$D$3004,1)),INDEX('AH History'!$C$1:$C$18046,AH!$P$7+785))),NA()),NA())</ns0:f>
        <ns0:v/>
      </ns0:c>
      <ns0:c r="E790">
        <ns0:f>IFERROR(IF(ISNUMBER($A790),IF(AND(AH!$P$10=1,AH!$P$12=1,$A790=TODAY()),AH!$P$20,IF(AH!$P$10=1,INDEX('Live History'!$H$5:$H$3004,MATCH($A790,'Live History'!$G$5:$G$3004,1)),INDEX('AH History'!$D$1:$D$18046,AH!$P$7+785))),NA()),NA())</ns0:f>
        <ns0:v/>
      </ns0:c>
      <ns0:c r="F790">
        <ns0:f>IFERROR(IF(ISNUMBER($A790),IF(AND(AH!$P$10=1,AH!$P$12=1,$A790=TODAY()),IF(AND(AH!$P$10=1,AH!$P$12=1,$A790=TODAY()),TODAY(),NA()),IF(AH!$P$10=1,INDEX('Live History'!$D$5:$D$3004,MATCH($A790,'Live History'!$D$5:$D$3004,1)),INDEX('AH History'!$E$1:$E$18046,AH!$P$7+785))),NA()),NA())</ns0:f>
        <ns0:v/>
      </ns0:c>
      <ns0:c r="G790">
        <ns0:f>IFERROR(IF(ISNUMBER($A790),IF(AND(AH!$P$10=1,AH!$P$12=1,$A790=TODAY()),IF(AND(AH!$P$10=1,AH!$P$12=1,$A790=TODAY()),TODAY(),NA()),IF(AH!$P$10=1,INDEX('Live History'!$G$5:$G$3004,MATCH($A790,'Live History'!$G$5:$G$3004,1)),INDEX('AH History'!$F$1:$F$18046,AH!$P$7+785))),NA()),NA())</ns0:f>
        <ns0:v/>
      </ns0:c>
      <ns0:c r="H790">
        <ns0:f>IFERROR(IF(AND(AH!$E$4="Bloomberg",AH!$P$10=1,ISNUMBER($A790),$A790&lt;=AH!$P$17),AH!$P$7-1+MATCH($A790,INDEX('AH History'!$A$1:$A$18046,AH!$P$7):INDEX('AH History'!$A$1:$A$18046,AH!$P$7+AH!$P$8-1),0),0),0)</ns0:f>
        <ns0:v/>
      </ns0:c>
      <ns0:c r="I790">
        <ns0:f>IF($H790=0,0,IFERROR(IF(AND(ABS($C790-INDEX('AH History'!$B$1:$B$18046,$H790))&lt;=MAX(0.005,ABS(INDEX('AH History'!$B$1:$B$18046,$H790))*0.00005),ABS($D790-INDEX('AH History'!$C$1:$C$18046,$H790))&lt;=MAX(0.005,ABS(INDEX('AH History'!$C$1:$C$18046,$H790))*0.00005),ABS($E790-INDEX('AH History'!$D$1:$D$18046,$H790))&lt;=0.00005,$F790=INDEX('AH History'!$E$1:$E$18046,$H790),$G790=INDEX('AH History'!$F$1:$F$18046,$H790)),1,-1),-1))</ns0:f>
        <ns0:v/>
      </ns0:c>
    </ns0:row>
    <ns0:row r="791">
      <ns0:c r="A791" s="215">
        <ns0:f>IF(OR(AH!$P$3=0,786+1&gt;AH!$P$11,AND(AH!$E$4&lt;&gt;"Stored",AH!$P$10&lt;&gt;1)),"",IFERROR(IF(AND(AH!$P$21=1,786+1=AH!$P$11),TODAY(),IF(AH!$P$10=1,INDEX('Live History'!$A$5:$A$3004,AH!$P$13+786),INDEX('AH History'!$A$1:$A$18046,AH!$P$7+786))),""))</ns0:f>
        <ns0:v/>
      </ns0:c>
      <ns0:c r="B791" s="219">
        <ns0:f>IFERROR(IF(AND(AH!$P$9&lt;&gt;1,$C791&gt;0,$D791&gt;0,$E791&gt;0,$F791&gt;0,$G791&gt;0,$F791&lt;=$A791,$G791&lt;=$A791,$A791-$F791&lt;=10,$A791-$G791&lt;=5),$D791*$E791/$C791-1,NA()),NA())</ns0:f>
        <ns0:v/>
      </ns0:c>
      <ns0:c r="C791">
        <ns0:f>IFERROR(IF(ISNUMBER($A791),IF(AND(AH!$P$10=1,AH!$P$12=1,$A791=TODAY()),AH!$P$19,IF(AH!$P$10=1,INDEX('Live History'!$B$5:$B$3004,AH!$P$13+786),INDEX('AH History'!$B$1:$B$18046,AH!$P$7+786))),NA()),NA())</ns0:f>
        <ns0:v/>
      </ns0:c>
      <ns0:c r="D791">
        <ns0:f>IFERROR(IF(ISNUMBER($A791),IF(AND(AH!$P$10=1,AH!$P$12=1,$A791=TODAY()),AH!$P$18,IF(AH!$P$10=1,INDEX('Live History'!$E$5:$E$3004,MATCH($A791,'Live History'!$D$5:$D$3004,1)),INDEX('AH History'!$C$1:$C$18046,AH!$P$7+786))),NA()),NA())</ns0:f>
        <ns0:v/>
      </ns0:c>
      <ns0:c r="E791">
        <ns0:f>IFERROR(IF(ISNUMBER($A791),IF(AND(AH!$P$10=1,AH!$P$12=1,$A791=TODAY()),AH!$P$20,IF(AH!$P$10=1,INDEX('Live History'!$H$5:$H$3004,MATCH($A791,'Live History'!$G$5:$G$3004,1)),INDEX('AH History'!$D$1:$D$18046,AH!$P$7+786))),NA()),NA())</ns0:f>
        <ns0:v/>
      </ns0:c>
      <ns0:c r="F791">
        <ns0:f>IFERROR(IF(ISNUMBER($A791),IF(AND(AH!$P$10=1,AH!$P$12=1,$A791=TODAY()),IF(AND(AH!$P$10=1,AH!$P$12=1,$A791=TODAY()),TODAY(),NA()),IF(AH!$P$10=1,INDEX('Live History'!$D$5:$D$3004,MATCH($A791,'Live History'!$D$5:$D$3004,1)),INDEX('AH History'!$E$1:$E$18046,AH!$P$7+786))),NA()),NA())</ns0:f>
        <ns0:v/>
      </ns0:c>
      <ns0:c r="G791">
        <ns0:f>IFERROR(IF(ISNUMBER($A791),IF(AND(AH!$P$10=1,AH!$P$12=1,$A791=TODAY()),IF(AND(AH!$P$10=1,AH!$P$12=1,$A791=TODAY()),TODAY(),NA()),IF(AH!$P$10=1,INDEX('Live History'!$G$5:$G$3004,MATCH($A791,'Live History'!$G$5:$G$3004,1)),INDEX('AH History'!$F$1:$F$18046,AH!$P$7+786))),NA()),NA())</ns0:f>
        <ns0:v/>
      </ns0:c>
      <ns0:c r="H791">
        <ns0:f>IFERROR(IF(AND(AH!$E$4="Bloomberg",AH!$P$10=1,ISNUMBER($A791),$A791&lt;=AH!$P$17),AH!$P$7-1+MATCH($A791,INDEX('AH History'!$A$1:$A$18046,AH!$P$7):INDEX('AH History'!$A$1:$A$18046,AH!$P$7+AH!$P$8-1),0),0),0)</ns0:f>
        <ns0:v/>
      </ns0:c>
      <ns0:c r="I791">
        <ns0:f>IF($H791=0,0,IFERROR(IF(AND(ABS($C791-INDEX('AH History'!$B$1:$B$18046,$H791))&lt;=MAX(0.005,ABS(INDEX('AH History'!$B$1:$B$18046,$H791))*0.00005),ABS($D791-INDEX('AH History'!$C$1:$C$18046,$H791))&lt;=MAX(0.005,ABS(INDEX('AH History'!$C$1:$C$18046,$H791))*0.00005),ABS($E791-INDEX('AH History'!$D$1:$D$18046,$H791))&lt;=0.00005,$F791=INDEX('AH History'!$E$1:$E$18046,$H791),$G791=INDEX('AH History'!$F$1:$F$18046,$H791)),1,-1),-1))</ns0:f>
        <ns0:v/>
      </ns0:c>
    </ns0:row>
    <ns0:row r="792">
      <ns0:c r="A792" s="215">
        <ns0:f>IF(OR(AH!$P$3=0,787+1&gt;AH!$P$11,AND(AH!$E$4&lt;&gt;"Stored",AH!$P$10&lt;&gt;1)),"",IFERROR(IF(AND(AH!$P$21=1,787+1=AH!$P$11),TODAY(),IF(AH!$P$10=1,INDEX('Live History'!$A$5:$A$3004,AH!$P$13+787),INDEX('AH History'!$A$1:$A$18046,AH!$P$7+787))),""))</ns0:f>
        <ns0:v/>
      </ns0:c>
      <ns0:c r="B792" s="219">
        <ns0:f>IFERROR(IF(AND(AH!$P$9&lt;&gt;1,$C792&gt;0,$D792&gt;0,$E792&gt;0,$F792&gt;0,$G792&gt;0,$F792&lt;=$A792,$G792&lt;=$A792,$A792-$F792&lt;=10,$A792-$G792&lt;=5),$D792*$E792/$C792-1,NA()),NA())</ns0:f>
        <ns0:v/>
      </ns0:c>
      <ns0:c r="C792">
        <ns0:f>IFERROR(IF(ISNUMBER($A792),IF(AND(AH!$P$10=1,AH!$P$12=1,$A792=TODAY()),AH!$P$19,IF(AH!$P$10=1,INDEX('Live History'!$B$5:$B$3004,AH!$P$13+787),INDEX('AH History'!$B$1:$B$18046,AH!$P$7+787))),NA()),NA())</ns0:f>
        <ns0:v/>
      </ns0:c>
      <ns0:c r="D792">
        <ns0:f>IFERROR(IF(ISNUMBER($A792),IF(AND(AH!$P$10=1,AH!$P$12=1,$A792=TODAY()),AH!$P$18,IF(AH!$P$10=1,INDEX('Live History'!$E$5:$E$3004,MATCH($A792,'Live History'!$D$5:$D$3004,1)),INDEX('AH History'!$C$1:$C$18046,AH!$P$7+787))),NA()),NA())</ns0:f>
        <ns0:v/>
      </ns0:c>
      <ns0:c r="E792">
        <ns0:f>IFERROR(IF(ISNUMBER($A792),IF(AND(AH!$P$10=1,AH!$P$12=1,$A792=TODAY()),AH!$P$20,IF(AH!$P$10=1,INDEX('Live History'!$H$5:$H$3004,MATCH($A792,'Live History'!$G$5:$G$3004,1)),INDEX('AH History'!$D$1:$D$18046,AH!$P$7+787))),NA()),NA())</ns0:f>
        <ns0:v/>
      </ns0:c>
      <ns0:c r="F792">
        <ns0:f>IFERROR(IF(ISNUMBER($A792),IF(AND(AH!$P$10=1,AH!$P$12=1,$A792=TODAY()),IF(AND(AH!$P$10=1,AH!$P$12=1,$A792=TODAY()),TODAY(),NA()),IF(AH!$P$10=1,INDEX('Live History'!$D$5:$D$3004,MATCH($A792,'Live History'!$D$5:$D$3004,1)),INDEX('AH History'!$E$1:$E$18046,AH!$P$7+787))),NA()),NA())</ns0:f>
        <ns0:v/>
      </ns0:c>
      <ns0:c r="G792">
        <ns0:f>IFERROR(IF(ISNUMBER($A792),IF(AND(AH!$P$10=1,AH!$P$12=1,$A792=TODAY()),IF(AND(AH!$P$10=1,AH!$P$12=1,$A792=TODAY()),TODAY(),NA()),IF(AH!$P$10=1,INDEX('Live History'!$G$5:$G$3004,MATCH($A792,'Live History'!$G$5:$G$3004,1)),INDEX('AH History'!$F$1:$F$18046,AH!$P$7+787))),NA()),NA())</ns0:f>
        <ns0:v/>
      </ns0:c>
      <ns0:c r="H792">
        <ns0:f>IFERROR(IF(AND(AH!$E$4="Bloomberg",AH!$P$10=1,ISNUMBER($A792),$A792&lt;=AH!$P$17),AH!$P$7-1+MATCH($A792,INDEX('AH History'!$A$1:$A$18046,AH!$P$7):INDEX('AH History'!$A$1:$A$18046,AH!$P$7+AH!$P$8-1),0),0),0)</ns0:f>
        <ns0:v/>
      </ns0:c>
      <ns0:c r="I792">
        <ns0:f>IF($H792=0,0,IFERROR(IF(AND(ABS($C792-INDEX('AH History'!$B$1:$B$18046,$H792))&lt;=MAX(0.005,ABS(INDEX('AH History'!$B$1:$B$18046,$H792))*0.00005),ABS($D792-INDEX('AH History'!$C$1:$C$18046,$H792))&lt;=MAX(0.005,ABS(INDEX('AH History'!$C$1:$C$18046,$H792))*0.00005),ABS($E792-INDEX('AH History'!$D$1:$D$18046,$H792))&lt;=0.00005,$F792=INDEX('AH History'!$E$1:$E$18046,$H792),$G792=INDEX('AH History'!$F$1:$F$18046,$H792)),1,-1),-1))</ns0:f>
        <ns0:v/>
      </ns0:c>
    </ns0:row>
    <ns0:row r="793">
      <ns0:c r="A793" s="215">
        <ns0:f>IF(OR(AH!$P$3=0,788+1&gt;AH!$P$11,AND(AH!$E$4&lt;&gt;"Stored",AH!$P$10&lt;&gt;1)),"",IFERROR(IF(AND(AH!$P$21=1,788+1=AH!$P$11),TODAY(),IF(AH!$P$10=1,INDEX('Live History'!$A$5:$A$3004,AH!$P$13+788),INDEX('AH History'!$A$1:$A$18046,AH!$P$7+788))),""))</ns0:f>
        <ns0:v/>
      </ns0:c>
      <ns0:c r="B793" s="219">
        <ns0:f>IFERROR(IF(AND(AH!$P$9&lt;&gt;1,$C793&gt;0,$D793&gt;0,$E793&gt;0,$F793&gt;0,$G793&gt;0,$F793&lt;=$A793,$G793&lt;=$A793,$A793-$F793&lt;=10,$A793-$G793&lt;=5),$D793*$E793/$C793-1,NA()),NA())</ns0:f>
        <ns0:v/>
      </ns0:c>
      <ns0:c r="C793">
        <ns0:f>IFERROR(IF(ISNUMBER($A793),IF(AND(AH!$P$10=1,AH!$P$12=1,$A793=TODAY()),AH!$P$19,IF(AH!$P$10=1,INDEX('Live History'!$B$5:$B$3004,AH!$P$13+788),INDEX('AH History'!$B$1:$B$18046,AH!$P$7+788))),NA()),NA())</ns0:f>
        <ns0:v/>
      </ns0:c>
      <ns0:c r="D793">
        <ns0:f>IFERROR(IF(ISNUMBER($A793),IF(AND(AH!$P$10=1,AH!$P$12=1,$A793=TODAY()),AH!$P$18,IF(AH!$P$10=1,INDEX('Live History'!$E$5:$E$3004,MATCH($A793,'Live History'!$D$5:$D$3004,1)),INDEX('AH History'!$C$1:$C$18046,AH!$P$7+788))),NA()),NA())</ns0:f>
        <ns0:v/>
      </ns0:c>
      <ns0:c r="E793">
        <ns0:f>IFERROR(IF(ISNUMBER($A793),IF(AND(AH!$P$10=1,AH!$P$12=1,$A793=TODAY()),AH!$P$20,IF(AH!$P$10=1,INDEX('Live History'!$H$5:$H$3004,MATCH($A793,'Live History'!$G$5:$G$3004,1)),INDEX('AH History'!$D$1:$D$18046,AH!$P$7+788))),NA()),NA())</ns0:f>
        <ns0:v/>
      </ns0:c>
      <ns0:c r="F793">
        <ns0:f>IFERROR(IF(ISNUMBER($A793),IF(AND(AH!$P$10=1,AH!$P$12=1,$A793=TODAY()),IF(AND(AH!$P$10=1,AH!$P$12=1,$A793=TODAY()),TODAY(),NA()),IF(AH!$P$10=1,INDEX('Live History'!$D$5:$D$3004,MATCH($A793,'Live History'!$D$5:$D$3004,1)),INDEX('AH History'!$E$1:$E$18046,AH!$P$7+788))),NA()),NA())</ns0:f>
        <ns0:v/>
      </ns0:c>
      <ns0:c r="G793">
        <ns0:f>IFERROR(IF(ISNUMBER($A793),IF(AND(AH!$P$10=1,AH!$P$12=1,$A793=TODAY()),IF(AND(AH!$P$10=1,AH!$P$12=1,$A793=TODAY()),TODAY(),NA()),IF(AH!$P$10=1,INDEX('Live History'!$G$5:$G$3004,MATCH($A793,'Live History'!$G$5:$G$3004,1)),INDEX('AH History'!$F$1:$F$18046,AH!$P$7+788))),NA()),NA())</ns0:f>
        <ns0:v/>
      </ns0:c>
      <ns0:c r="H793">
        <ns0:f>IFERROR(IF(AND(AH!$E$4="Bloomberg",AH!$P$10=1,ISNUMBER($A793),$A793&lt;=AH!$P$17),AH!$P$7-1+MATCH($A793,INDEX('AH History'!$A$1:$A$18046,AH!$P$7):INDEX('AH History'!$A$1:$A$18046,AH!$P$7+AH!$P$8-1),0),0),0)</ns0:f>
        <ns0:v/>
      </ns0:c>
      <ns0:c r="I793">
        <ns0:f>IF($H793=0,0,IFERROR(IF(AND(ABS($C793-INDEX('AH History'!$B$1:$B$18046,$H793))&lt;=MAX(0.005,ABS(INDEX('AH History'!$B$1:$B$18046,$H793))*0.00005),ABS($D793-INDEX('AH History'!$C$1:$C$18046,$H793))&lt;=MAX(0.005,ABS(INDEX('AH History'!$C$1:$C$18046,$H793))*0.00005),ABS($E793-INDEX('AH History'!$D$1:$D$18046,$H793))&lt;=0.00005,$F793=INDEX('AH History'!$E$1:$E$18046,$H793),$G793=INDEX('AH History'!$F$1:$F$18046,$H793)),1,-1),-1))</ns0:f>
        <ns0:v/>
      </ns0:c>
    </ns0:row>
    <ns0:row r="794">
      <ns0:c r="A794" s="215">
        <ns0:f>IF(OR(AH!$P$3=0,789+1&gt;AH!$P$11,AND(AH!$E$4&lt;&gt;"Stored",AH!$P$10&lt;&gt;1)),"",IFERROR(IF(AND(AH!$P$21=1,789+1=AH!$P$11),TODAY(),IF(AH!$P$10=1,INDEX('Live History'!$A$5:$A$3004,AH!$P$13+789),INDEX('AH History'!$A$1:$A$18046,AH!$P$7+789))),""))</ns0:f>
        <ns0:v/>
      </ns0:c>
      <ns0:c r="B794" s="219">
        <ns0:f>IFERROR(IF(AND(AH!$P$9&lt;&gt;1,$C794&gt;0,$D794&gt;0,$E794&gt;0,$F794&gt;0,$G794&gt;0,$F794&lt;=$A794,$G794&lt;=$A794,$A794-$F794&lt;=10,$A794-$G794&lt;=5),$D794*$E794/$C794-1,NA()),NA())</ns0:f>
        <ns0:v/>
      </ns0:c>
      <ns0:c r="C794">
        <ns0:f>IFERROR(IF(ISNUMBER($A794),IF(AND(AH!$P$10=1,AH!$P$12=1,$A794=TODAY()),AH!$P$19,IF(AH!$P$10=1,INDEX('Live History'!$B$5:$B$3004,AH!$P$13+789),INDEX('AH History'!$B$1:$B$18046,AH!$P$7+789))),NA()),NA())</ns0:f>
        <ns0:v/>
      </ns0:c>
      <ns0:c r="D794">
        <ns0:f>IFERROR(IF(ISNUMBER($A794),IF(AND(AH!$P$10=1,AH!$P$12=1,$A794=TODAY()),AH!$P$18,IF(AH!$P$10=1,INDEX('Live History'!$E$5:$E$3004,MATCH($A794,'Live History'!$D$5:$D$3004,1)),INDEX('AH History'!$C$1:$C$18046,AH!$P$7+789))),NA()),NA())</ns0:f>
        <ns0:v/>
      </ns0:c>
      <ns0:c r="E794">
        <ns0:f>IFERROR(IF(ISNUMBER($A794),IF(AND(AH!$P$10=1,AH!$P$12=1,$A794=TODAY()),AH!$P$20,IF(AH!$P$10=1,INDEX('Live History'!$H$5:$H$3004,MATCH($A794,'Live History'!$G$5:$G$3004,1)),INDEX('AH History'!$D$1:$D$18046,AH!$P$7+789))),NA()),NA())</ns0:f>
        <ns0:v/>
      </ns0:c>
      <ns0:c r="F794">
        <ns0:f>IFERROR(IF(ISNUMBER($A794),IF(AND(AH!$P$10=1,AH!$P$12=1,$A794=TODAY()),IF(AND(AH!$P$10=1,AH!$P$12=1,$A794=TODAY()),TODAY(),NA()),IF(AH!$P$10=1,INDEX('Live History'!$D$5:$D$3004,MATCH($A794,'Live History'!$D$5:$D$3004,1)),INDEX('AH History'!$E$1:$E$18046,AH!$P$7+789))),NA()),NA())</ns0:f>
        <ns0:v/>
      </ns0:c>
      <ns0:c r="G794">
        <ns0:f>IFERROR(IF(ISNUMBER($A794),IF(AND(AH!$P$10=1,AH!$P$12=1,$A794=TODAY()),IF(AND(AH!$P$10=1,AH!$P$12=1,$A794=TODAY()),TODAY(),NA()),IF(AH!$P$10=1,INDEX('Live History'!$G$5:$G$3004,MATCH($A794,'Live History'!$G$5:$G$3004,1)),INDEX('AH History'!$F$1:$F$18046,AH!$P$7+789))),NA()),NA())</ns0:f>
        <ns0:v/>
      </ns0:c>
      <ns0:c r="H794">
        <ns0:f>IFERROR(IF(AND(AH!$E$4="Bloomberg",AH!$P$10=1,ISNUMBER($A794),$A794&lt;=AH!$P$17),AH!$P$7-1+MATCH($A794,INDEX('AH History'!$A$1:$A$18046,AH!$P$7):INDEX('AH History'!$A$1:$A$18046,AH!$P$7+AH!$P$8-1),0),0),0)</ns0:f>
        <ns0:v/>
      </ns0:c>
      <ns0:c r="I794">
        <ns0:f>IF($H794=0,0,IFERROR(IF(AND(ABS($C794-INDEX('AH History'!$B$1:$B$18046,$H794))&lt;=MAX(0.005,ABS(INDEX('AH History'!$B$1:$B$18046,$H794))*0.00005),ABS($D794-INDEX('AH History'!$C$1:$C$18046,$H794))&lt;=MAX(0.005,ABS(INDEX('AH History'!$C$1:$C$18046,$H794))*0.00005),ABS($E794-INDEX('AH History'!$D$1:$D$18046,$H794))&lt;=0.00005,$F794=INDEX('AH History'!$E$1:$E$18046,$H794),$G794=INDEX('AH History'!$F$1:$F$18046,$H794)),1,-1),-1))</ns0:f>
        <ns0:v/>
      </ns0:c>
    </ns0:row>
    <ns0:row r="795">
      <ns0:c r="A795" s="215">
        <ns0:f>IF(OR(AH!$P$3=0,790+1&gt;AH!$P$11,AND(AH!$E$4&lt;&gt;"Stored",AH!$P$10&lt;&gt;1)),"",IFERROR(IF(AND(AH!$P$21=1,790+1=AH!$P$11),TODAY(),IF(AH!$P$10=1,INDEX('Live History'!$A$5:$A$3004,AH!$P$13+790),INDEX('AH History'!$A$1:$A$18046,AH!$P$7+790))),""))</ns0:f>
        <ns0:v/>
      </ns0:c>
      <ns0:c r="B795" s="219">
        <ns0:f>IFERROR(IF(AND(AH!$P$9&lt;&gt;1,$C795&gt;0,$D795&gt;0,$E795&gt;0,$F795&gt;0,$G795&gt;0,$F795&lt;=$A795,$G795&lt;=$A795,$A795-$F795&lt;=10,$A795-$G795&lt;=5),$D795*$E795/$C795-1,NA()),NA())</ns0:f>
        <ns0:v/>
      </ns0:c>
      <ns0:c r="C795">
        <ns0:f>IFERROR(IF(ISNUMBER($A795),IF(AND(AH!$P$10=1,AH!$P$12=1,$A795=TODAY()),AH!$P$19,IF(AH!$P$10=1,INDEX('Live History'!$B$5:$B$3004,AH!$P$13+790),INDEX('AH History'!$B$1:$B$18046,AH!$P$7+790))),NA()),NA())</ns0:f>
        <ns0:v/>
      </ns0:c>
      <ns0:c r="D795">
        <ns0:f>IFERROR(IF(ISNUMBER($A795),IF(AND(AH!$P$10=1,AH!$P$12=1,$A795=TODAY()),AH!$P$18,IF(AH!$P$10=1,INDEX('Live History'!$E$5:$E$3004,MATCH($A795,'Live History'!$D$5:$D$3004,1)),INDEX('AH History'!$C$1:$C$18046,AH!$P$7+790))),NA()),NA())</ns0:f>
        <ns0:v/>
      </ns0:c>
      <ns0:c r="E795">
        <ns0:f>IFERROR(IF(ISNUMBER($A795),IF(AND(AH!$P$10=1,AH!$P$12=1,$A795=TODAY()),AH!$P$20,IF(AH!$P$10=1,INDEX('Live History'!$H$5:$H$3004,MATCH($A795,'Live History'!$G$5:$G$3004,1)),INDEX('AH History'!$D$1:$D$18046,AH!$P$7+790))),NA()),NA())</ns0:f>
        <ns0:v/>
      </ns0:c>
      <ns0:c r="F795">
        <ns0:f>IFERROR(IF(ISNUMBER($A795),IF(AND(AH!$P$10=1,AH!$P$12=1,$A795=TODAY()),IF(AND(AH!$P$10=1,AH!$P$12=1,$A795=TODAY()),TODAY(),NA()),IF(AH!$P$10=1,INDEX('Live History'!$D$5:$D$3004,MATCH($A795,'Live History'!$D$5:$D$3004,1)),INDEX('AH History'!$E$1:$E$18046,AH!$P$7+790))),NA()),NA())</ns0:f>
        <ns0:v/>
      </ns0:c>
      <ns0:c r="G795">
        <ns0:f>IFERROR(IF(ISNUMBER($A795),IF(AND(AH!$P$10=1,AH!$P$12=1,$A795=TODAY()),IF(AND(AH!$P$10=1,AH!$P$12=1,$A795=TODAY()),TODAY(),NA()),IF(AH!$P$10=1,INDEX('Live History'!$G$5:$G$3004,MATCH($A795,'Live History'!$G$5:$G$3004,1)),INDEX('AH History'!$F$1:$F$18046,AH!$P$7+790))),NA()),NA())</ns0:f>
        <ns0:v/>
      </ns0:c>
      <ns0:c r="H795">
        <ns0:f>IFERROR(IF(AND(AH!$E$4="Bloomberg",AH!$P$10=1,ISNUMBER($A795),$A795&lt;=AH!$P$17),AH!$P$7-1+MATCH($A795,INDEX('AH History'!$A$1:$A$18046,AH!$P$7):INDEX('AH History'!$A$1:$A$18046,AH!$P$7+AH!$P$8-1),0),0),0)</ns0:f>
        <ns0:v/>
      </ns0:c>
      <ns0:c r="I795">
        <ns0:f>IF($H795=0,0,IFERROR(IF(AND(ABS($C795-INDEX('AH History'!$B$1:$B$18046,$H795))&lt;=MAX(0.005,ABS(INDEX('AH History'!$B$1:$B$18046,$H795))*0.00005),ABS($D795-INDEX('AH History'!$C$1:$C$18046,$H795))&lt;=MAX(0.005,ABS(INDEX('AH History'!$C$1:$C$18046,$H795))*0.00005),ABS($E795-INDEX('AH History'!$D$1:$D$18046,$H795))&lt;=0.00005,$F795=INDEX('AH History'!$E$1:$E$18046,$H795),$G795=INDEX('AH History'!$F$1:$F$18046,$H795)),1,-1),-1))</ns0:f>
        <ns0:v/>
      </ns0:c>
    </ns0:row>
    <ns0:row r="796">
      <ns0:c r="A796" s="215">
        <ns0:f>IF(OR(AH!$P$3=0,791+1&gt;AH!$P$11,AND(AH!$E$4&lt;&gt;"Stored",AH!$P$10&lt;&gt;1)),"",IFERROR(IF(AND(AH!$P$21=1,791+1=AH!$P$11),TODAY(),IF(AH!$P$10=1,INDEX('Live History'!$A$5:$A$3004,AH!$P$13+791),INDEX('AH History'!$A$1:$A$18046,AH!$P$7+791))),""))</ns0:f>
        <ns0:v/>
      </ns0:c>
      <ns0:c r="B796" s="219">
        <ns0:f>IFERROR(IF(AND(AH!$P$9&lt;&gt;1,$C796&gt;0,$D796&gt;0,$E796&gt;0,$F796&gt;0,$G796&gt;0,$F796&lt;=$A796,$G796&lt;=$A796,$A796-$F796&lt;=10,$A796-$G796&lt;=5),$D796*$E796/$C796-1,NA()),NA())</ns0:f>
        <ns0:v/>
      </ns0:c>
      <ns0:c r="C796">
        <ns0:f>IFERROR(IF(ISNUMBER($A796),IF(AND(AH!$P$10=1,AH!$P$12=1,$A796=TODAY()),AH!$P$19,IF(AH!$P$10=1,INDEX('Live History'!$B$5:$B$3004,AH!$P$13+791),INDEX('AH History'!$B$1:$B$18046,AH!$P$7+791))),NA()),NA())</ns0:f>
        <ns0:v/>
      </ns0:c>
      <ns0:c r="D796">
        <ns0:f>IFERROR(IF(ISNUMBER($A796),IF(AND(AH!$P$10=1,AH!$P$12=1,$A796=TODAY()),AH!$P$18,IF(AH!$P$10=1,INDEX('Live History'!$E$5:$E$3004,MATCH($A796,'Live History'!$D$5:$D$3004,1)),INDEX('AH History'!$C$1:$C$18046,AH!$P$7+791))),NA()),NA())</ns0:f>
        <ns0:v/>
      </ns0:c>
      <ns0:c r="E796">
        <ns0:f>IFERROR(IF(ISNUMBER($A796),IF(AND(AH!$P$10=1,AH!$P$12=1,$A796=TODAY()),AH!$P$20,IF(AH!$P$10=1,INDEX('Live History'!$H$5:$H$3004,MATCH($A796,'Live History'!$G$5:$G$3004,1)),INDEX('AH History'!$D$1:$D$18046,AH!$P$7+791))),NA()),NA())</ns0:f>
        <ns0:v/>
      </ns0:c>
      <ns0:c r="F796">
        <ns0:f>IFERROR(IF(ISNUMBER($A796),IF(AND(AH!$P$10=1,AH!$P$12=1,$A796=TODAY()),IF(AND(AH!$P$10=1,AH!$P$12=1,$A796=TODAY()),TODAY(),NA()),IF(AH!$P$10=1,INDEX('Live History'!$D$5:$D$3004,MATCH($A796,'Live History'!$D$5:$D$3004,1)),INDEX('AH History'!$E$1:$E$18046,AH!$P$7+791))),NA()),NA())</ns0:f>
        <ns0:v/>
      </ns0:c>
      <ns0:c r="G796">
        <ns0:f>IFERROR(IF(ISNUMBER($A796),IF(AND(AH!$P$10=1,AH!$P$12=1,$A796=TODAY()),IF(AND(AH!$P$10=1,AH!$P$12=1,$A796=TODAY()),TODAY(),NA()),IF(AH!$P$10=1,INDEX('Live History'!$G$5:$G$3004,MATCH($A796,'Live History'!$G$5:$G$3004,1)),INDEX('AH History'!$F$1:$F$18046,AH!$P$7+791))),NA()),NA())</ns0:f>
        <ns0:v/>
      </ns0:c>
      <ns0:c r="H796">
        <ns0:f>IFERROR(IF(AND(AH!$E$4="Bloomberg",AH!$P$10=1,ISNUMBER($A796),$A796&lt;=AH!$P$17),AH!$P$7-1+MATCH($A796,INDEX('AH History'!$A$1:$A$18046,AH!$P$7):INDEX('AH History'!$A$1:$A$18046,AH!$P$7+AH!$P$8-1),0),0),0)</ns0:f>
        <ns0:v/>
      </ns0:c>
      <ns0:c r="I796">
        <ns0:f>IF($H796=0,0,IFERROR(IF(AND(ABS($C796-INDEX('AH History'!$B$1:$B$18046,$H796))&lt;=MAX(0.005,ABS(INDEX('AH History'!$B$1:$B$18046,$H796))*0.00005),ABS($D796-INDEX('AH History'!$C$1:$C$18046,$H796))&lt;=MAX(0.005,ABS(INDEX('AH History'!$C$1:$C$18046,$H796))*0.00005),ABS($E796-INDEX('AH History'!$D$1:$D$18046,$H796))&lt;=0.00005,$F796=INDEX('AH History'!$E$1:$E$18046,$H796),$G796=INDEX('AH History'!$F$1:$F$18046,$H796)),1,-1),-1))</ns0:f>
        <ns0:v/>
      </ns0:c>
    </ns0:row>
    <ns0:row r="797">
      <ns0:c r="A797" s="215">
        <ns0:f>IF(OR(AH!$P$3=0,792+1&gt;AH!$P$11,AND(AH!$E$4&lt;&gt;"Stored",AH!$P$10&lt;&gt;1)),"",IFERROR(IF(AND(AH!$P$21=1,792+1=AH!$P$11),TODAY(),IF(AH!$P$10=1,INDEX('Live History'!$A$5:$A$3004,AH!$P$13+792),INDEX('AH History'!$A$1:$A$18046,AH!$P$7+792))),""))</ns0:f>
        <ns0:v/>
      </ns0:c>
      <ns0:c r="B797" s="219">
        <ns0:f>IFERROR(IF(AND(AH!$P$9&lt;&gt;1,$C797&gt;0,$D797&gt;0,$E797&gt;0,$F797&gt;0,$G797&gt;0,$F797&lt;=$A797,$G797&lt;=$A797,$A797-$F797&lt;=10,$A797-$G797&lt;=5),$D797*$E797/$C797-1,NA()),NA())</ns0:f>
        <ns0:v/>
      </ns0:c>
      <ns0:c r="C797">
        <ns0:f>IFERROR(IF(ISNUMBER($A797),IF(AND(AH!$P$10=1,AH!$P$12=1,$A797=TODAY()),AH!$P$19,IF(AH!$P$10=1,INDEX('Live History'!$B$5:$B$3004,AH!$P$13+792),INDEX('AH History'!$B$1:$B$18046,AH!$P$7+792))),NA()),NA())</ns0:f>
        <ns0:v/>
      </ns0:c>
      <ns0:c r="D797">
        <ns0:f>IFERROR(IF(ISNUMBER($A797),IF(AND(AH!$P$10=1,AH!$P$12=1,$A797=TODAY()),AH!$P$18,IF(AH!$P$10=1,INDEX('Live History'!$E$5:$E$3004,MATCH($A797,'Live History'!$D$5:$D$3004,1)),INDEX('AH History'!$C$1:$C$18046,AH!$P$7+792))),NA()),NA())</ns0:f>
        <ns0:v/>
      </ns0:c>
      <ns0:c r="E797">
        <ns0:f>IFERROR(IF(ISNUMBER($A797),IF(AND(AH!$P$10=1,AH!$P$12=1,$A797=TODAY()),AH!$P$20,IF(AH!$P$10=1,INDEX('Live History'!$H$5:$H$3004,MATCH($A797,'Live History'!$G$5:$G$3004,1)),INDEX('AH History'!$D$1:$D$18046,AH!$P$7+792))),NA()),NA())</ns0:f>
        <ns0:v/>
      </ns0:c>
      <ns0:c r="F797">
        <ns0:f>IFERROR(IF(ISNUMBER($A797),IF(AND(AH!$P$10=1,AH!$P$12=1,$A797=TODAY()),IF(AND(AH!$P$10=1,AH!$P$12=1,$A797=TODAY()),TODAY(),NA()),IF(AH!$P$10=1,INDEX('Live History'!$D$5:$D$3004,MATCH($A797,'Live History'!$D$5:$D$3004,1)),INDEX('AH History'!$E$1:$E$18046,AH!$P$7+792))),NA()),NA())</ns0:f>
        <ns0:v/>
      </ns0:c>
      <ns0:c r="G797">
        <ns0:f>IFERROR(IF(ISNUMBER($A797),IF(AND(AH!$P$10=1,AH!$P$12=1,$A797=TODAY()),IF(AND(AH!$P$10=1,AH!$P$12=1,$A797=TODAY()),TODAY(),NA()),IF(AH!$P$10=1,INDEX('Live History'!$G$5:$G$3004,MATCH($A797,'Live History'!$G$5:$G$3004,1)),INDEX('AH History'!$F$1:$F$18046,AH!$P$7+792))),NA()),NA())</ns0:f>
        <ns0:v/>
      </ns0:c>
      <ns0:c r="H797">
        <ns0:f>IFERROR(IF(AND(AH!$E$4="Bloomberg",AH!$P$10=1,ISNUMBER($A797),$A797&lt;=AH!$P$17),AH!$P$7-1+MATCH($A797,INDEX('AH History'!$A$1:$A$18046,AH!$P$7):INDEX('AH History'!$A$1:$A$18046,AH!$P$7+AH!$P$8-1),0),0),0)</ns0:f>
        <ns0:v/>
      </ns0:c>
      <ns0:c r="I797">
        <ns0:f>IF($H797=0,0,IFERROR(IF(AND(ABS($C797-INDEX('AH History'!$B$1:$B$18046,$H797))&lt;=MAX(0.005,ABS(INDEX('AH History'!$B$1:$B$18046,$H797))*0.00005),ABS($D797-INDEX('AH History'!$C$1:$C$18046,$H797))&lt;=MAX(0.005,ABS(INDEX('AH History'!$C$1:$C$18046,$H797))*0.00005),ABS($E797-INDEX('AH History'!$D$1:$D$18046,$H797))&lt;=0.00005,$F797=INDEX('AH History'!$E$1:$E$18046,$H797),$G797=INDEX('AH History'!$F$1:$F$18046,$H797)),1,-1),-1))</ns0:f>
        <ns0:v/>
      </ns0:c>
    </ns0:row>
    <ns0:row r="798">
      <ns0:c r="A798" s="215">
        <ns0:f>IF(OR(AH!$P$3=0,793+1&gt;AH!$P$11,AND(AH!$E$4&lt;&gt;"Stored",AH!$P$10&lt;&gt;1)),"",IFERROR(IF(AND(AH!$P$21=1,793+1=AH!$P$11),TODAY(),IF(AH!$P$10=1,INDEX('Live History'!$A$5:$A$3004,AH!$P$13+793),INDEX('AH History'!$A$1:$A$18046,AH!$P$7+793))),""))</ns0:f>
        <ns0:v/>
      </ns0:c>
      <ns0:c r="B798" s="219">
        <ns0:f>IFERROR(IF(AND(AH!$P$9&lt;&gt;1,$C798&gt;0,$D798&gt;0,$E798&gt;0,$F798&gt;0,$G798&gt;0,$F798&lt;=$A798,$G798&lt;=$A798,$A798-$F798&lt;=10,$A798-$G798&lt;=5),$D798*$E798/$C798-1,NA()),NA())</ns0:f>
        <ns0:v/>
      </ns0:c>
      <ns0:c r="C798">
        <ns0:f>IFERROR(IF(ISNUMBER($A798),IF(AND(AH!$P$10=1,AH!$P$12=1,$A798=TODAY()),AH!$P$19,IF(AH!$P$10=1,INDEX('Live History'!$B$5:$B$3004,AH!$P$13+793),INDEX('AH History'!$B$1:$B$18046,AH!$P$7+793))),NA()),NA())</ns0:f>
        <ns0:v/>
      </ns0:c>
      <ns0:c r="D798">
        <ns0:f>IFERROR(IF(ISNUMBER($A798),IF(AND(AH!$P$10=1,AH!$P$12=1,$A798=TODAY()),AH!$P$18,IF(AH!$P$10=1,INDEX('Live History'!$E$5:$E$3004,MATCH($A798,'Live History'!$D$5:$D$3004,1)),INDEX('AH History'!$C$1:$C$18046,AH!$P$7+793))),NA()),NA())</ns0:f>
        <ns0:v/>
      </ns0:c>
      <ns0:c r="E798">
        <ns0:f>IFERROR(IF(ISNUMBER($A798),IF(AND(AH!$P$10=1,AH!$P$12=1,$A798=TODAY()),AH!$P$20,IF(AH!$P$10=1,INDEX('Live History'!$H$5:$H$3004,MATCH($A798,'Live History'!$G$5:$G$3004,1)),INDEX('AH History'!$D$1:$D$18046,AH!$P$7+793))),NA()),NA())</ns0:f>
        <ns0:v/>
      </ns0:c>
      <ns0:c r="F798">
        <ns0:f>IFERROR(IF(ISNUMBER($A798),IF(AND(AH!$P$10=1,AH!$P$12=1,$A798=TODAY()),IF(AND(AH!$P$10=1,AH!$P$12=1,$A798=TODAY()),TODAY(),NA()),IF(AH!$P$10=1,INDEX('Live History'!$D$5:$D$3004,MATCH($A798,'Live History'!$D$5:$D$3004,1)),INDEX('AH History'!$E$1:$E$18046,AH!$P$7+793))),NA()),NA())</ns0:f>
        <ns0:v/>
      </ns0:c>
      <ns0:c r="G798">
        <ns0:f>IFERROR(IF(ISNUMBER($A798),IF(AND(AH!$P$10=1,AH!$P$12=1,$A798=TODAY()),IF(AND(AH!$P$10=1,AH!$P$12=1,$A798=TODAY()),TODAY(),NA()),IF(AH!$P$10=1,INDEX('Live History'!$G$5:$G$3004,MATCH($A798,'Live History'!$G$5:$G$3004,1)),INDEX('AH History'!$F$1:$F$18046,AH!$P$7+793))),NA()),NA())</ns0:f>
        <ns0:v/>
      </ns0:c>
      <ns0:c r="H798">
        <ns0:f>IFERROR(IF(AND(AH!$E$4="Bloomberg",AH!$P$10=1,ISNUMBER($A798),$A798&lt;=AH!$P$17),AH!$P$7-1+MATCH($A798,INDEX('AH History'!$A$1:$A$18046,AH!$P$7):INDEX('AH History'!$A$1:$A$18046,AH!$P$7+AH!$P$8-1),0),0),0)</ns0:f>
        <ns0:v/>
      </ns0:c>
      <ns0:c r="I798">
        <ns0:f>IF($H798=0,0,IFERROR(IF(AND(ABS($C798-INDEX('AH History'!$B$1:$B$18046,$H798))&lt;=MAX(0.005,ABS(INDEX('AH History'!$B$1:$B$18046,$H798))*0.00005),ABS($D798-INDEX('AH History'!$C$1:$C$18046,$H798))&lt;=MAX(0.005,ABS(INDEX('AH History'!$C$1:$C$18046,$H798))*0.00005),ABS($E798-INDEX('AH History'!$D$1:$D$18046,$H798))&lt;=0.00005,$F798=INDEX('AH History'!$E$1:$E$18046,$H798),$G798=INDEX('AH History'!$F$1:$F$18046,$H798)),1,-1),-1))</ns0:f>
        <ns0:v/>
      </ns0:c>
    </ns0:row>
    <ns0:row r="799">
      <ns0:c r="A799" s="215">
        <ns0:f>IF(OR(AH!$P$3=0,794+1&gt;AH!$P$11,AND(AH!$E$4&lt;&gt;"Stored",AH!$P$10&lt;&gt;1)),"",IFERROR(IF(AND(AH!$P$21=1,794+1=AH!$P$11),TODAY(),IF(AH!$P$10=1,INDEX('Live History'!$A$5:$A$3004,AH!$P$13+794),INDEX('AH History'!$A$1:$A$18046,AH!$P$7+794))),""))</ns0:f>
        <ns0:v/>
      </ns0:c>
      <ns0:c r="B799" s="219">
        <ns0:f>IFERROR(IF(AND(AH!$P$9&lt;&gt;1,$C799&gt;0,$D799&gt;0,$E799&gt;0,$F799&gt;0,$G799&gt;0,$F799&lt;=$A799,$G799&lt;=$A799,$A799-$F799&lt;=10,$A799-$G799&lt;=5),$D799*$E799/$C799-1,NA()),NA())</ns0:f>
        <ns0:v/>
      </ns0:c>
      <ns0:c r="C799">
        <ns0:f>IFERROR(IF(ISNUMBER($A799),IF(AND(AH!$P$10=1,AH!$P$12=1,$A799=TODAY()),AH!$P$19,IF(AH!$P$10=1,INDEX('Live History'!$B$5:$B$3004,AH!$P$13+794),INDEX('AH History'!$B$1:$B$18046,AH!$P$7+794))),NA()),NA())</ns0:f>
        <ns0:v/>
      </ns0:c>
      <ns0:c r="D799">
        <ns0:f>IFERROR(IF(ISNUMBER($A799),IF(AND(AH!$P$10=1,AH!$P$12=1,$A799=TODAY()),AH!$P$18,IF(AH!$P$10=1,INDEX('Live History'!$E$5:$E$3004,MATCH($A799,'Live History'!$D$5:$D$3004,1)),INDEX('AH History'!$C$1:$C$18046,AH!$P$7+794))),NA()),NA())</ns0:f>
        <ns0:v/>
      </ns0:c>
      <ns0:c r="E799">
        <ns0:f>IFERROR(IF(ISNUMBER($A799),IF(AND(AH!$P$10=1,AH!$P$12=1,$A799=TODAY()),AH!$P$20,IF(AH!$P$10=1,INDEX('Live History'!$H$5:$H$3004,MATCH($A799,'Live History'!$G$5:$G$3004,1)),INDEX('AH History'!$D$1:$D$18046,AH!$P$7+794))),NA()),NA())</ns0:f>
        <ns0:v/>
      </ns0:c>
      <ns0:c r="F799">
        <ns0:f>IFERROR(IF(ISNUMBER($A799),IF(AND(AH!$P$10=1,AH!$P$12=1,$A799=TODAY()),IF(AND(AH!$P$10=1,AH!$P$12=1,$A799=TODAY()),TODAY(),NA()),IF(AH!$P$10=1,INDEX('Live History'!$D$5:$D$3004,MATCH($A799,'Live History'!$D$5:$D$3004,1)),INDEX('AH History'!$E$1:$E$18046,AH!$P$7+794))),NA()),NA())</ns0:f>
        <ns0:v/>
      </ns0:c>
      <ns0:c r="G799">
        <ns0:f>IFERROR(IF(ISNUMBER($A799),IF(AND(AH!$P$10=1,AH!$P$12=1,$A799=TODAY()),IF(AND(AH!$P$10=1,AH!$P$12=1,$A799=TODAY()),TODAY(),NA()),IF(AH!$P$10=1,INDEX('Live History'!$G$5:$G$3004,MATCH($A799,'Live History'!$G$5:$G$3004,1)),INDEX('AH History'!$F$1:$F$18046,AH!$P$7+794))),NA()),NA())</ns0:f>
        <ns0:v/>
      </ns0:c>
      <ns0:c r="H799">
        <ns0:f>IFERROR(IF(AND(AH!$E$4="Bloomberg",AH!$P$10=1,ISNUMBER($A799),$A799&lt;=AH!$P$17),AH!$P$7-1+MATCH($A799,INDEX('AH History'!$A$1:$A$18046,AH!$P$7):INDEX('AH History'!$A$1:$A$18046,AH!$P$7+AH!$P$8-1),0),0),0)</ns0:f>
        <ns0:v/>
      </ns0:c>
      <ns0:c r="I799">
        <ns0:f>IF($H799=0,0,IFERROR(IF(AND(ABS($C799-INDEX('AH History'!$B$1:$B$18046,$H799))&lt;=MAX(0.005,ABS(INDEX('AH History'!$B$1:$B$18046,$H799))*0.00005),ABS($D799-INDEX('AH History'!$C$1:$C$18046,$H799))&lt;=MAX(0.005,ABS(INDEX('AH History'!$C$1:$C$18046,$H799))*0.00005),ABS($E799-INDEX('AH History'!$D$1:$D$18046,$H799))&lt;=0.00005,$F799=INDEX('AH History'!$E$1:$E$18046,$H799),$G799=INDEX('AH History'!$F$1:$F$18046,$H799)),1,-1),-1))</ns0:f>
        <ns0:v/>
      </ns0:c>
    </ns0:row>
    <ns0:row r="800">
      <ns0:c r="A800" s="215">
        <ns0:f>IF(OR(AH!$P$3=0,795+1&gt;AH!$P$11,AND(AH!$E$4&lt;&gt;"Stored",AH!$P$10&lt;&gt;1)),"",IFERROR(IF(AND(AH!$P$21=1,795+1=AH!$P$11),TODAY(),IF(AH!$P$10=1,INDEX('Live History'!$A$5:$A$3004,AH!$P$13+795),INDEX('AH History'!$A$1:$A$18046,AH!$P$7+795))),""))</ns0:f>
        <ns0:v/>
      </ns0:c>
      <ns0:c r="B800" s="219">
        <ns0:f>IFERROR(IF(AND(AH!$P$9&lt;&gt;1,$C800&gt;0,$D800&gt;0,$E800&gt;0,$F800&gt;0,$G800&gt;0,$F800&lt;=$A800,$G800&lt;=$A800,$A800-$F800&lt;=10,$A800-$G800&lt;=5),$D800*$E800/$C800-1,NA()),NA())</ns0:f>
        <ns0:v/>
      </ns0:c>
      <ns0:c r="C800">
        <ns0:f>IFERROR(IF(ISNUMBER($A800),IF(AND(AH!$P$10=1,AH!$P$12=1,$A800=TODAY()),AH!$P$19,IF(AH!$P$10=1,INDEX('Live History'!$B$5:$B$3004,AH!$P$13+795),INDEX('AH History'!$B$1:$B$18046,AH!$P$7+795))),NA()),NA())</ns0:f>
        <ns0:v/>
      </ns0:c>
      <ns0:c r="D800">
        <ns0:f>IFERROR(IF(ISNUMBER($A800),IF(AND(AH!$P$10=1,AH!$P$12=1,$A800=TODAY()),AH!$P$18,IF(AH!$P$10=1,INDEX('Live History'!$E$5:$E$3004,MATCH($A800,'Live History'!$D$5:$D$3004,1)),INDEX('AH History'!$C$1:$C$18046,AH!$P$7+795))),NA()),NA())</ns0:f>
        <ns0:v/>
      </ns0:c>
      <ns0:c r="E800">
        <ns0:f>IFERROR(IF(ISNUMBER($A800),IF(AND(AH!$P$10=1,AH!$P$12=1,$A800=TODAY()),AH!$P$20,IF(AH!$P$10=1,INDEX('Live History'!$H$5:$H$3004,MATCH($A800,'Live History'!$G$5:$G$3004,1)),INDEX('AH History'!$D$1:$D$18046,AH!$P$7+795))),NA()),NA())</ns0:f>
        <ns0:v/>
      </ns0:c>
      <ns0:c r="F800">
        <ns0:f>IFERROR(IF(ISNUMBER($A800),IF(AND(AH!$P$10=1,AH!$P$12=1,$A800=TODAY()),IF(AND(AH!$P$10=1,AH!$P$12=1,$A800=TODAY()),TODAY(),NA()),IF(AH!$P$10=1,INDEX('Live History'!$D$5:$D$3004,MATCH($A800,'Live History'!$D$5:$D$3004,1)),INDEX('AH History'!$E$1:$E$18046,AH!$P$7+795))),NA()),NA())</ns0:f>
        <ns0:v/>
      </ns0:c>
      <ns0:c r="G800">
        <ns0:f>IFERROR(IF(ISNUMBER($A800),IF(AND(AH!$P$10=1,AH!$P$12=1,$A800=TODAY()),IF(AND(AH!$P$10=1,AH!$P$12=1,$A800=TODAY()),TODAY(),NA()),IF(AH!$P$10=1,INDEX('Live History'!$G$5:$G$3004,MATCH($A800,'Live History'!$G$5:$G$3004,1)),INDEX('AH History'!$F$1:$F$18046,AH!$P$7+795))),NA()),NA())</ns0:f>
        <ns0:v/>
      </ns0:c>
      <ns0:c r="H800">
        <ns0:f>IFERROR(IF(AND(AH!$E$4="Bloomberg",AH!$P$10=1,ISNUMBER($A800),$A800&lt;=AH!$P$17),AH!$P$7-1+MATCH($A800,INDEX('AH History'!$A$1:$A$18046,AH!$P$7):INDEX('AH History'!$A$1:$A$18046,AH!$P$7+AH!$P$8-1),0),0),0)</ns0:f>
        <ns0:v/>
      </ns0:c>
      <ns0:c r="I800">
        <ns0:f>IF($H800=0,0,IFERROR(IF(AND(ABS($C800-INDEX('AH History'!$B$1:$B$18046,$H800))&lt;=MAX(0.005,ABS(INDEX('AH History'!$B$1:$B$18046,$H800))*0.00005),ABS($D800-INDEX('AH History'!$C$1:$C$18046,$H800))&lt;=MAX(0.005,ABS(INDEX('AH History'!$C$1:$C$18046,$H800))*0.00005),ABS($E800-INDEX('AH History'!$D$1:$D$18046,$H800))&lt;=0.00005,$F800=INDEX('AH History'!$E$1:$E$18046,$H800),$G800=INDEX('AH History'!$F$1:$F$18046,$H800)),1,-1),-1))</ns0:f>
        <ns0:v/>
      </ns0:c>
    </ns0:row>
    <ns0:row r="801">
      <ns0:c r="A801" s="215">
        <ns0:f>IF(OR(AH!$P$3=0,796+1&gt;AH!$P$11,AND(AH!$E$4&lt;&gt;"Stored",AH!$P$10&lt;&gt;1)),"",IFERROR(IF(AND(AH!$P$21=1,796+1=AH!$P$11),TODAY(),IF(AH!$P$10=1,INDEX('Live History'!$A$5:$A$3004,AH!$P$13+796),INDEX('AH History'!$A$1:$A$18046,AH!$P$7+796))),""))</ns0:f>
        <ns0:v/>
      </ns0:c>
      <ns0:c r="B801" s="219">
        <ns0:f>IFERROR(IF(AND(AH!$P$9&lt;&gt;1,$C801&gt;0,$D801&gt;0,$E801&gt;0,$F801&gt;0,$G801&gt;0,$F801&lt;=$A801,$G801&lt;=$A801,$A801-$F801&lt;=10,$A801-$G801&lt;=5),$D801*$E801/$C801-1,NA()),NA())</ns0:f>
        <ns0:v/>
      </ns0:c>
      <ns0:c r="C801">
        <ns0:f>IFERROR(IF(ISNUMBER($A801),IF(AND(AH!$P$10=1,AH!$P$12=1,$A801=TODAY()),AH!$P$19,IF(AH!$P$10=1,INDEX('Live History'!$B$5:$B$3004,AH!$P$13+796),INDEX('AH History'!$B$1:$B$18046,AH!$P$7+796))),NA()),NA())</ns0:f>
        <ns0:v/>
      </ns0:c>
      <ns0:c r="D801">
        <ns0:f>IFERROR(IF(ISNUMBER($A801),IF(AND(AH!$P$10=1,AH!$P$12=1,$A801=TODAY()),AH!$P$18,IF(AH!$P$10=1,INDEX('Live History'!$E$5:$E$3004,MATCH($A801,'Live History'!$D$5:$D$3004,1)),INDEX('AH History'!$C$1:$C$18046,AH!$P$7+796))),NA()),NA())</ns0:f>
        <ns0:v/>
      </ns0:c>
      <ns0:c r="E801">
        <ns0:f>IFERROR(IF(ISNUMBER($A801),IF(AND(AH!$P$10=1,AH!$P$12=1,$A801=TODAY()),AH!$P$20,IF(AH!$P$10=1,INDEX('Live History'!$H$5:$H$3004,MATCH($A801,'Live History'!$G$5:$G$3004,1)),INDEX('AH History'!$D$1:$D$18046,AH!$P$7+796))),NA()),NA())</ns0:f>
        <ns0:v/>
      </ns0:c>
      <ns0:c r="F801">
        <ns0:f>IFERROR(IF(ISNUMBER($A801),IF(AND(AH!$P$10=1,AH!$P$12=1,$A801=TODAY()),IF(AND(AH!$P$10=1,AH!$P$12=1,$A801=TODAY()),TODAY(),NA()),IF(AH!$P$10=1,INDEX('Live History'!$D$5:$D$3004,MATCH($A801,'Live History'!$D$5:$D$3004,1)),INDEX('AH History'!$E$1:$E$18046,AH!$P$7+796))),NA()),NA())</ns0:f>
        <ns0:v/>
      </ns0:c>
      <ns0:c r="G801">
        <ns0:f>IFERROR(IF(ISNUMBER($A801),IF(AND(AH!$P$10=1,AH!$P$12=1,$A801=TODAY()),IF(AND(AH!$P$10=1,AH!$P$12=1,$A801=TODAY()),TODAY(),NA()),IF(AH!$P$10=1,INDEX('Live History'!$G$5:$G$3004,MATCH($A801,'Live History'!$G$5:$G$3004,1)),INDEX('AH History'!$F$1:$F$18046,AH!$P$7+796))),NA()),NA())</ns0:f>
        <ns0:v/>
      </ns0:c>
      <ns0:c r="H801">
        <ns0:f>IFERROR(IF(AND(AH!$E$4="Bloomberg",AH!$P$10=1,ISNUMBER($A801),$A801&lt;=AH!$P$17),AH!$P$7-1+MATCH($A801,INDEX('AH History'!$A$1:$A$18046,AH!$P$7):INDEX('AH History'!$A$1:$A$18046,AH!$P$7+AH!$P$8-1),0),0),0)</ns0:f>
        <ns0:v/>
      </ns0:c>
      <ns0:c r="I801">
        <ns0:f>IF($H801=0,0,IFERROR(IF(AND(ABS($C801-INDEX('AH History'!$B$1:$B$18046,$H801))&lt;=MAX(0.005,ABS(INDEX('AH History'!$B$1:$B$18046,$H801))*0.00005),ABS($D801-INDEX('AH History'!$C$1:$C$18046,$H801))&lt;=MAX(0.005,ABS(INDEX('AH History'!$C$1:$C$18046,$H801))*0.00005),ABS($E801-INDEX('AH History'!$D$1:$D$18046,$H801))&lt;=0.00005,$F801=INDEX('AH History'!$E$1:$E$18046,$H801),$G801=INDEX('AH History'!$F$1:$F$18046,$H801)),1,-1),-1))</ns0:f>
        <ns0:v/>
      </ns0:c>
    </ns0:row>
    <ns0:row r="802">
      <ns0:c r="A802" s="215">
        <ns0:f>IF(OR(AH!$P$3=0,797+1&gt;AH!$P$11,AND(AH!$E$4&lt;&gt;"Stored",AH!$P$10&lt;&gt;1)),"",IFERROR(IF(AND(AH!$P$21=1,797+1=AH!$P$11),TODAY(),IF(AH!$P$10=1,INDEX('Live History'!$A$5:$A$3004,AH!$P$13+797),INDEX('AH History'!$A$1:$A$18046,AH!$P$7+797))),""))</ns0:f>
        <ns0:v/>
      </ns0:c>
      <ns0:c r="B802" s="219">
        <ns0:f>IFERROR(IF(AND(AH!$P$9&lt;&gt;1,$C802&gt;0,$D802&gt;0,$E802&gt;0,$F802&gt;0,$G802&gt;0,$F802&lt;=$A802,$G802&lt;=$A802,$A802-$F802&lt;=10,$A802-$G802&lt;=5),$D802*$E802/$C802-1,NA()),NA())</ns0:f>
        <ns0:v/>
      </ns0:c>
      <ns0:c r="C802">
        <ns0:f>IFERROR(IF(ISNUMBER($A802),IF(AND(AH!$P$10=1,AH!$P$12=1,$A802=TODAY()),AH!$P$19,IF(AH!$P$10=1,INDEX('Live History'!$B$5:$B$3004,AH!$P$13+797),INDEX('AH History'!$B$1:$B$18046,AH!$P$7+797))),NA()),NA())</ns0:f>
        <ns0:v/>
      </ns0:c>
      <ns0:c r="D802">
        <ns0:f>IFERROR(IF(ISNUMBER($A802),IF(AND(AH!$P$10=1,AH!$P$12=1,$A802=TODAY()),AH!$P$18,IF(AH!$P$10=1,INDEX('Live History'!$E$5:$E$3004,MATCH($A802,'Live History'!$D$5:$D$3004,1)),INDEX('AH History'!$C$1:$C$18046,AH!$P$7+797))),NA()),NA())</ns0:f>
        <ns0:v/>
      </ns0:c>
      <ns0:c r="E802">
        <ns0:f>IFERROR(IF(ISNUMBER($A802),IF(AND(AH!$P$10=1,AH!$P$12=1,$A802=TODAY()),AH!$P$20,IF(AH!$P$10=1,INDEX('Live History'!$H$5:$H$3004,MATCH($A802,'Live History'!$G$5:$G$3004,1)),INDEX('AH History'!$D$1:$D$18046,AH!$P$7+797))),NA()),NA())</ns0:f>
        <ns0:v/>
      </ns0:c>
      <ns0:c r="F802">
        <ns0:f>IFERROR(IF(ISNUMBER($A802),IF(AND(AH!$P$10=1,AH!$P$12=1,$A802=TODAY()),IF(AND(AH!$P$10=1,AH!$P$12=1,$A802=TODAY()),TODAY(),NA()),IF(AH!$P$10=1,INDEX('Live History'!$D$5:$D$3004,MATCH($A802,'Live History'!$D$5:$D$3004,1)),INDEX('AH History'!$E$1:$E$18046,AH!$P$7+797))),NA()),NA())</ns0:f>
        <ns0:v/>
      </ns0:c>
      <ns0:c r="G802">
        <ns0:f>IFERROR(IF(ISNUMBER($A802),IF(AND(AH!$P$10=1,AH!$P$12=1,$A802=TODAY()),IF(AND(AH!$P$10=1,AH!$P$12=1,$A802=TODAY()),TODAY(),NA()),IF(AH!$P$10=1,INDEX('Live History'!$G$5:$G$3004,MATCH($A802,'Live History'!$G$5:$G$3004,1)),INDEX('AH History'!$F$1:$F$18046,AH!$P$7+797))),NA()),NA())</ns0:f>
        <ns0:v/>
      </ns0:c>
      <ns0:c r="H802">
        <ns0:f>IFERROR(IF(AND(AH!$E$4="Bloomberg",AH!$P$10=1,ISNUMBER($A802),$A802&lt;=AH!$P$17),AH!$P$7-1+MATCH($A802,INDEX('AH History'!$A$1:$A$18046,AH!$P$7):INDEX('AH History'!$A$1:$A$18046,AH!$P$7+AH!$P$8-1),0),0),0)</ns0:f>
        <ns0:v/>
      </ns0:c>
      <ns0:c r="I802">
        <ns0:f>IF($H802=0,0,IFERROR(IF(AND(ABS($C802-INDEX('AH History'!$B$1:$B$18046,$H802))&lt;=MAX(0.005,ABS(INDEX('AH History'!$B$1:$B$18046,$H802))*0.00005),ABS($D802-INDEX('AH History'!$C$1:$C$18046,$H802))&lt;=MAX(0.005,ABS(INDEX('AH History'!$C$1:$C$18046,$H802))*0.00005),ABS($E802-INDEX('AH History'!$D$1:$D$18046,$H802))&lt;=0.00005,$F802=INDEX('AH History'!$E$1:$E$18046,$H802),$G802=INDEX('AH History'!$F$1:$F$18046,$H802)),1,-1),-1))</ns0:f>
        <ns0:v/>
      </ns0:c>
    </ns0:row>
    <ns0:row r="803">
      <ns0:c r="A803" s="215">
        <ns0:f>IF(OR(AH!$P$3=0,798+1&gt;AH!$P$11,AND(AH!$E$4&lt;&gt;"Stored",AH!$P$10&lt;&gt;1)),"",IFERROR(IF(AND(AH!$P$21=1,798+1=AH!$P$11),TODAY(),IF(AH!$P$10=1,INDEX('Live History'!$A$5:$A$3004,AH!$P$13+798),INDEX('AH History'!$A$1:$A$18046,AH!$P$7+798))),""))</ns0:f>
        <ns0:v/>
      </ns0:c>
      <ns0:c r="B803" s="219">
        <ns0:f>IFERROR(IF(AND(AH!$P$9&lt;&gt;1,$C803&gt;0,$D803&gt;0,$E803&gt;0,$F803&gt;0,$G803&gt;0,$F803&lt;=$A803,$G803&lt;=$A803,$A803-$F803&lt;=10,$A803-$G803&lt;=5),$D803*$E803/$C803-1,NA()),NA())</ns0:f>
        <ns0:v/>
      </ns0:c>
      <ns0:c r="C803">
        <ns0:f>IFERROR(IF(ISNUMBER($A803),IF(AND(AH!$P$10=1,AH!$P$12=1,$A803=TODAY()),AH!$P$19,IF(AH!$P$10=1,INDEX('Live History'!$B$5:$B$3004,AH!$P$13+798),INDEX('AH History'!$B$1:$B$18046,AH!$P$7+798))),NA()),NA())</ns0:f>
        <ns0:v/>
      </ns0:c>
      <ns0:c r="D803">
        <ns0:f>IFERROR(IF(ISNUMBER($A803),IF(AND(AH!$P$10=1,AH!$P$12=1,$A803=TODAY()),AH!$P$18,IF(AH!$P$10=1,INDEX('Live History'!$E$5:$E$3004,MATCH($A803,'Live History'!$D$5:$D$3004,1)),INDEX('AH History'!$C$1:$C$18046,AH!$P$7+798))),NA()),NA())</ns0:f>
        <ns0:v/>
      </ns0:c>
      <ns0:c r="E803">
        <ns0:f>IFERROR(IF(ISNUMBER($A803),IF(AND(AH!$P$10=1,AH!$P$12=1,$A803=TODAY()),AH!$P$20,IF(AH!$P$10=1,INDEX('Live History'!$H$5:$H$3004,MATCH($A803,'Live History'!$G$5:$G$3004,1)),INDEX('AH History'!$D$1:$D$18046,AH!$P$7+798))),NA()),NA())</ns0:f>
        <ns0:v/>
      </ns0:c>
      <ns0:c r="F803">
        <ns0:f>IFERROR(IF(ISNUMBER($A803),IF(AND(AH!$P$10=1,AH!$P$12=1,$A803=TODAY()),IF(AND(AH!$P$10=1,AH!$P$12=1,$A803=TODAY()),TODAY(),NA()),IF(AH!$P$10=1,INDEX('Live History'!$D$5:$D$3004,MATCH($A803,'Live History'!$D$5:$D$3004,1)),INDEX('AH History'!$E$1:$E$18046,AH!$P$7+798))),NA()),NA())</ns0:f>
        <ns0:v/>
      </ns0:c>
      <ns0:c r="G803">
        <ns0:f>IFERROR(IF(ISNUMBER($A803),IF(AND(AH!$P$10=1,AH!$P$12=1,$A803=TODAY()),IF(AND(AH!$P$10=1,AH!$P$12=1,$A803=TODAY()),TODAY(),NA()),IF(AH!$P$10=1,INDEX('Live History'!$G$5:$G$3004,MATCH($A803,'Live History'!$G$5:$G$3004,1)),INDEX('AH History'!$F$1:$F$18046,AH!$P$7+798))),NA()),NA())</ns0:f>
        <ns0:v/>
      </ns0:c>
      <ns0:c r="H803">
        <ns0:f>IFERROR(IF(AND(AH!$E$4="Bloomberg",AH!$P$10=1,ISNUMBER($A803),$A803&lt;=AH!$P$17),AH!$P$7-1+MATCH($A803,INDEX('AH History'!$A$1:$A$18046,AH!$P$7):INDEX('AH History'!$A$1:$A$18046,AH!$P$7+AH!$P$8-1),0),0),0)</ns0:f>
        <ns0:v/>
      </ns0:c>
      <ns0:c r="I803">
        <ns0:f>IF($H803=0,0,IFERROR(IF(AND(ABS($C803-INDEX('AH History'!$B$1:$B$18046,$H803))&lt;=MAX(0.005,ABS(INDEX('AH History'!$B$1:$B$18046,$H803))*0.00005),ABS($D803-INDEX('AH History'!$C$1:$C$18046,$H803))&lt;=MAX(0.005,ABS(INDEX('AH History'!$C$1:$C$18046,$H803))*0.00005),ABS($E803-INDEX('AH History'!$D$1:$D$18046,$H803))&lt;=0.00005,$F803=INDEX('AH History'!$E$1:$E$18046,$H803),$G803=INDEX('AH History'!$F$1:$F$18046,$H803)),1,-1),-1))</ns0:f>
        <ns0:v/>
      </ns0:c>
    </ns0:row>
    <ns0:row r="804">
      <ns0:c r="A804" s="215">
        <ns0:f>IF(OR(AH!$P$3=0,799+1&gt;AH!$P$11,AND(AH!$E$4&lt;&gt;"Stored",AH!$P$10&lt;&gt;1)),"",IFERROR(IF(AND(AH!$P$21=1,799+1=AH!$P$11),TODAY(),IF(AH!$P$10=1,INDEX('Live History'!$A$5:$A$3004,AH!$P$13+799),INDEX('AH History'!$A$1:$A$18046,AH!$P$7+799))),""))</ns0:f>
        <ns0:v/>
      </ns0:c>
      <ns0:c r="B804" s="219">
        <ns0:f>IFERROR(IF(AND(AH!$P$9&lt;&gt;1,$C804&gt;0,$D804&gt;0,$E804&gt;0,$F804&gt;0,$G804&gt;0,$F804&lt;=$A804,$G804&lt;=$A804,$A804-$F804&lt;=10,$A804-$G804&lt;=5),$D804*$E804/$C804-1,NA()),NA())</ns0:f>
        <ns0:v/>
      </ns0:c>
      <ns0:c r="C804">
        <ns0:f>IFERROR(IF(ISNUMBER($A804),IF(AND(AH!$P$10=1,AH!$P$12=1,$A804=TODAY()),AH!$P$19,IF(AH!$P$10=1,INDEX('Live History'!$B$5:$B$3004,AH!$P$13+799),INDEX('AH History'!$B$1:$B$18046,AH!$P$7+799))),NA()),NA())</ns0:f>
        <ns0:v/>
      </ns0:c>
      <ns0:c r="D804">
        <ns0:f>IFERROR(IF(ISNUMBER($A804),IF(AND(AH!$P$10=1,AH!$P$12=1,$A804=TODAY()),AH!$P$18,IF(AH!$P$10=1,INDEX('Live History'!$E$5:$E$3004,MATCH($A804,'Live History'!$D$5:$D$3004,1)),INDEX('AH History'!$C$1:$C$18046,AH!$P$7+799))),NA()),NA())</ns0:f>
        <ns0:v/>
      </ns0:c>
      <ns0:c r="E804">
        <ns0:f>IFERROR(IF(ISNUMBER($A804),IF(AND(AH!$P$10=1,AH!$P$12=1,$A804=TODAY()),AH!$P$20,IF(AH!$P$10=1,INDEX('Live History'!$H$5:$H$3004,MATCH($A804,'Live History'!$G$5:$G$3004,1)),INDEX('AH History'!$D$1:$D$18046,AH!$P$7+799))),NA()),NA())</ns0:f>
        <ns0:v/>
      </ns0:c>
      <ns0:c r="F804">
        <ns0:f>IFERROR(IF(ISNUMBER($A804),IF(AND(AH!$P$10=1,AH!$P$12=1,$A804=TODAY()),IF(AND(AH!$P$10=1,AH!$P$12=1,$A804=TODAY()),TODAY(),NA()),IF(AH!$P$10=1,INDEX('Live History'!$D$5:$D$3004,MATCH($A804,'Live History'!$D$5:$D$3004,1)),INDEX('AH History'!$E$1:$E$18046,AH!$P$7+799))),NA()),NA())</ns0:f>
        <ns0:v/>
      </ns0:c>
      <ns0:c r="G804">
        <ns0:f>IFERROR(IF(ISNUMBER($A804),IF(AND(AH!$P$10=1,AH!$P$12=1,$A804=TODAY()),IF(AND(AH!$P$10=1,AH!$P$12=1,$A804=TODAY()),TODAY(),NA()),IF(AH!$P$10=1,INDEX('Live History'!$G$5:$G$3004,MATCH($A804,'Live History'!$G$5:$G$3004,1)),INDEX('AH History'!$F$1:$F$18046,AH!$P$7+799))),NA()),NA())</ns0:f>
        <ns0:v/>
      </ns0:c>
      <ns0:c r="H804">
        <ns0:f>IFERROR(IF(AND(AH!$E$4="Bloomberg",AH!$P$10=1,ISNUMBER($A804),$A804&lt;=AH!$P$17),AH!$P$7-1+MATCH($A804,INDEX('AH History'!$A$1:$A$18046,AH!$P$7):INDEX('AH History'!$A$1:$A$18046,AH!$P$7+AH!$P$8-1),0),0),0)</ns0:f>
        <ns0:v/>
      </ns0:c>
      <ns0:c r="I804">
        <ns0:f>IF($H804=0,0,IFERROR(IF(AND(ABS($C804-INDEX('AH History'!$B$1:$B$18046,$H804))&lt;=MAX(0.005,ABS(INDEX('AH History'!$B$1:$B$18046,$H804))*0.00005),ABS($D804-INDEX('AH History'!$C$1:$C$18046,$H804))&lt;=MAX(0.005,ABS(INDEX('AH History'!$C$1:$C$18046,$H804))*0.00005),ABS($E804-INDEX('AH History'!$D$1:$D$18046,$H804))&lt;=0.00005,$F804=INDEX('AH History'!$E$1:$E$18046,$H804),$G804=INDEX('AH History'!$F$1:$F$18046,$H804)),1,-1),-1))</ns0:f>
        <ns0:v/>
      </ns0:c>
    </ns0:row>
    <ns0:row r="805">
      <ns0:c r="A805" s="215">
        <ns0:f>IF(OR(AH!$P$3=0,800+1&gt;AH!$P$11,AND(AH!$E$4&lt;&gt;"Stored",AH!$P$10&lt;&gt;1)),"",IFERROR(IF(AND(AH!$P$21=1,800+1=AH!$P$11),TODAY(),IF(AH!$P$10=1,INDEX('Live History'!$A$5:$A$3004,AH!$P$13+800),INDEX('AH History'!$A$1:$A$18046,AH!$P$7+800))),""))</ns0:f>
        <ns0:v/>
      </ns0:c>
      <ns0:c r="B805" s="219">
        <ns0:f>IFERROR(IF(AND(AH!$P$9&lt;&gt;1,$C805&gt;0,$D805&gt;0,$E805&gt;0,$F805&gt;0,$G805&gt;0,$F805&lt;=$A805,$G805&lt;=$A805,$A805-$F805&lt;=10,$A805-$G805&lt;=5),$D805*$E805/$C805-1,NA()),NA())</ns0:f>
        <ns0:v/>
      </ns0:c>
      <ns0:c r="C805">
        <ns0:f>IFERROR(IF(ISNUMBER($A805),IF(AND(AH!$P$10=1,AH!$P$12=1,$A805=TODAY()),AH!$P$19,IF(AH!$P$10=1,INDEX('Live History'!$B$5:$B$3004,AH!$P$13+800),INDEX('AH History'!$B$1:$B$18046,AH!$P$7+800))),NA()),NA())</ns0:f>
        <ns0:v/>
      </ns0:c>
      <ns0:c r="D805">
        <ns0:f>IFERROR(IF(ISNUMBER($A805),IF(AND(AH!$P$10=1,AH!$P$12=1,$A805=TODAY()),AH!$P$18,IF(AH!$P$10=1,INDEX('Live History'!$E$5:$E$3004,MATCH($A805,'Live History'!$D$5:$D$3004,1)),INDEX('AH History'!$C$1:$C$18046,AH!$P$7+800))),NA()),NA())</ns0:f>
        <ns0:v/>
      </ns0:c>
      <ns0:c r="E805">
        <ns0:f>IFERROR(IF(ISNUMBER($A805),IF(AND(AH!$P$10=1,AH!$P$12=1,$A805=TODAY()),AH!$P$20,IF(AH!$P$10=1,INDEX('Live History'!$H$5:$H$3004,MATCH($A805,'Live History'!$G$5:$G$3004,1)),INDEX('AH History'!$D$1:$D$18046,AH!$P$7+800))),NA()),NA())</ns0:f>
        <ns0:v/>
      </ns0:c>
      <ns0:c r="F805">
        <ns0:f>IFERROR(IF(ISNUMBER($A805),IF(AND(AH!$P$10=1,AH!$P$12=1,$A805=TODAY()),IF(AND(AH!$P$10=1,AH!$P$12=1,$A805=TODAY()),TODAY(),NA()),IF(AH!$P$10=1,INDEX('Live History'!$D$5:$D$3004,MATCH($A805,'Live History'!$D$5:$D$3004,1)),INDEX('AH History'!$E$1:$E$18046,AH!$P$7+800))),NA()),NA())</ns0:f>
        <ns0:v/>
      </ns0:c>
      <ns0:c r="G805">
        <ns0:f>IFERROR(IF(ISNUMBER($A805),IF(AND(AH!$P$10=1,AH!$P$12=1,$A805=TODAY()),IF(AND(AH!$P$10=1,AH!$P$12=1,$A805=TODAY()),TODAY(),NA()),IF(AH!$P$10=1,INDEX('Live History'!$G$5:$G$3004,MATCH($A805,'Live History'!$G$5:$G$3004,1)),INDEX('AH History'!$F$1:$F$18046,AH!$P$7+800))),NA()),NA())</ns0:f>
        <ns0:v/>
      </ns0:c>
      <ns0:c r="H805">
        <ns0:f>IFERROR(IF(AND(AH!$E$4="Bloomberg",AH!$P$10=1,ISNUMBER($A805),$A805&lt;=AH!$P$17),AH!$P$7-1+MATCH($A805,INDEX('AH History'!$A$1:$A$18046,AH!$P$7):INDEX('AH History'!$A$1:$A$18046,AH!$P$7+AH!$P$8-1),0),0),0)</ns0:f>
        <ns0:v/>
      </ns0:c>
      <ns0:c r="I805">
        <ns0:f>IF($H805=0,0,IFERROR(IF(AND(ABS($C805-INDEX('AH History'!$B$1:$B$18046,$H805))&lt;=MAX(0.005,ABS(INDEX('AH History'!$B$1:$B$18046,$H805))*0.00005),ABS($D805-INDEX('AH History'!$C$1:$C$18046,$H805))&lt;=MAX(0.005,ABS(INDEX('AH History'!$C$1:$C$18046,$H805))*0.00005),ABS($E805-INDEX('AH History'!$D$1:$D$18046,$H805))&lt;=0.00005,$F805=INDEX('AH History'!$E$1:$E$18046,$H805),$G805=INDEX('AH History'!$F$1:$F$18046,$H805)),1,-1),-1))</ns0:f>
        <ns0:v/>
      </ns0:c>
    </ns0:row>
    <ns0:row r="806">
      <ns0:c r="A806" s="215">
        <ns0:f>IF(OR(AH!$P$3=0,801+1&gt;AH!$P$11,AND(AH!$E$4&lt;&gt;"Stored",AH!$P$10&lt;&gt;1)),"",IFERROR(IF(AND(AH!$P$21=1,801+1=AH!$P$11),TODAY(),IF(AH!$P$10=1,INDEX('Live History'!$A$5:$A$3004,AH!$P$13+801),INDEX('AH History'!$A$1:$A$18046,AH!$P$7+801))),""))</ns0:f>
        <ns0:v/>
      </ns0:c>
      <ns0:c r="B806" s="219">
        <ns0:f>IFERROR(IF(AND(AH!$P$9&lt;&gt;1,$C806&gt;0,$D806&gt;0,$E806&gt;0,$F806&gt;0,$G806&gt;0,$F806&lt;=$A806,$G806&lt;=$A806,$A806-$F806&lt;=10,$A806-$G806&lt;=5),$D806*$E806/$C806-1,NA()),NA())</ns0:f>
        <ns0:v/>
      </ns0:c>
      <ns0:c r="C806">
        <ns0:f>IFERROR(IF(ISNUMBER($A806),IF(AND(AH!$P$10=1,AH!$P$12=1,$A806=TODAY()),AH!$P$19,IF(AH!$P$10=1,INDEX('Live History'!$B$5:$B$3004,AH!$P$13+801),INDEX('AH History'!$B$1:$B$18046,AH!$P$7+801))),NA()),NA())</ns0:f>
        <ns0:v/>
      </ns0:c>
      <ns0:c r="D806">
        <ns0:f>IFERROR(IF(ISNUMBER($A806),IF(AND(AH!$P$10=1,AH!$P$12=1,$A806=TODAY()),AH!$P$18,IF(AH!$P$10=1,INDEX('Live History'!$E$5:$E$3004,MATCH($A806,'Live History'!$D$5:$D$3004,1)),INDEX('AH History'!$C$1:$C$18046,AH!$P$7+801))),NA()),NA())</ns0:f>
        <ns0:v/>
      </ns0:c>
      <ns0:c r="E806">
        <ns0:f>IFERROR(IF(ISNUMBER($A806),IF(AND(AH!$P$10=1,AH!$P$12=1,$A806=TODAY()),AH!$P$20,IF(AH!$P$10=1,INDEX('Live History'!$H$5:$H$3004,MATCH($A806,'Live History'!$G$5:$G$3004,1)),INDEX('AH History'!$D$1:$D$18046,AH!$P$7+801))),NA()),NA())</ns0:f>
        <ns0:v/>
      </ns0:c>
      <ns0:c r="F806">
        <ns0:f>IFERROR(IF(ISNUMBER($A806),IF(AND(AH!$P$10=1,AH!$P$12=1,$A806=TODAY()),IF(AND(AH!$P$10=1,AH!$P$12=1,$A806=TODAY()),TODAY(),NA()),IF(AH!$P$10=1,INDEX('Live History'!$D$5:$D$3004,MATCH($A806,'Live History'!$D$5:$D$3004,1)),INDEX('AH History'!$E$1:$E$18046,AH!$P$7+801))),NA()),NA())</ns0:f>
        <ns0:v/>
      </ns0:c>
      <ns0:c r="G806">
        <ns0:f>IFERROR(IF(ISNUMBER($A806),IF(AND(AH!$P$10=1,AH!$P$12=1,$A806=TODAY()),IF(AND(AH!$P$10=1,AH!$P$12=1,$A806=TODAY()),TODAY(),NA()),IF(AH!$P$10=1,INDEX('Live History'!$G$5:$G$3004,MATCH($A806,'Live History'!$G$5:$G$3004,1)),INDEX('AH History'!$F$1:$F$18046,AH!$P$7+801))),NA()),NA())</ns0:f>
        <ns0:v/>
      </ns0:c>
      <ns0:c r="H806">
        <ns0:f>IFERROR(IF(AND(AH!$E$4="Bloomberg",AH!$P$10=1,ISNUMBER($A806),$A806&lt;=AH!$P$17),AH!$P$7-1+MATCH($A806,INDEX('AH History'!$A$1:$A$18046,AH!$P$7):INDEX('AH History'!$A$1:$A$18046,AH!$P$7+AH!$P$8-1),0),0),0)</ns0:f>
        <ns0:v/>
      </ns0:c>
      <ns0:c r="I806">
        <ns0:f>IF($H806=0,0,IFERROR(IF(AND(ABS($C806-INDEX('AH History'!$B$1:$B$18046,$H806))&lt;=MAX(0.005,ABS(INDEX('AH History'!$B$1:$B$18046,$H806))*0.00005),ABS($D806-INDEX('AH History'!$C$1:$C$18046,$H806))&lt;=MAX(0.005,ABS(INDEX('AH History'!$C$1:$C$18046,$H806))*0.00005),ABS($E806-INDEX('AH History'!$D$1:$D$18046,$H806))&lt;=0.00005,$F806=INDEX('AH History'!$E$1:$E$18046,$H806),$G806=INDEX('AH History'!$F$1:$F$18046,$H806)),1,-1),-1))</ns0:f>
        <ns0:v/>
      </ns0:c>
    </ns0:row>
    <ns0:row r="807">
      <ns0:c r="A807" s="215">
        <ns0:f>IF(OR(AH!$P$3=0,802+1&gt;AH!$P$11,AND(AH!$E$4&lt;&gt;"Stored",AH!$P$10&lt;&gt;1)),"",IFERROR(IF(AND(AH!$P$21=1,802+1=AH!$P$11),TODAY(),IF(AH!$P$10=1,INDEX('Live History'!$A$5:$A$3004,AH!$P$13+802),INDEX('AH History'!$A$1:$A$18046,AH!$P$7+802))),""))</ns0:f>
        <ns0:v/>
      </ns0:c>
      <ns0:c r="B807" s="219">
        <ns0:f>IFERROR(IF(AND(AH!$P$9&lt;&gt;1,$C807&gt;0,$D807&gt;0,$E807&gt;0,$F807&gt;0,$G807&gt;0,$F807&lt;=$A807,$G807&lt;=$A807,$A807-$F807&lt;=10,$A807-$G807&lt;=5),$D807*$E807/$C807-1,NA()),NA())</ns0:f>
        <ns0:v/>
      </ns0:c>
      <ns0:c r="C807">
        <ns0:f>IFERROR(IF(ISNUMBER($A807),IF(AND(AH!$P$10=1,AH!$P$12=1,$A807=TODAY()),AH!$P$19,IF(AH!$P$10=1,INDEX('Live History'!$B$5:$B$3004,AH!$P$13+802),INDEX('AH History'!$B$1:$B$18046,AH!$P$7+802))),NA()),NA())</ns0:f>
        <ns0:v/>
      </ns0:c>
      <ns0:c r="D807">
        <ns0:f>IFERROR(IF(ISNUMBER($A807),IF(AND(AH!$P$10=1,AH!$P$12=1,$A807=TODAY()),AH!$P$18,IF(AH!$P$10=1,INDEX('Live History'!$E$5:$E$3004,MATCH($A807,'Live History'!$D$5:$D$3004,1)),INDEX('AH History'!$C$1:$C$18046,AH!$P$7+802))),NA()),NA())</ns0:f>
        <ns0:v/>
      </ns0:c>
      <ns0:c r="E807">
        <ns0:f>IFERROR(IF(ISNUMBER($A807),IF(AND(AH!$P$10=1,AH!$P$12=1,$A807=TODAY()),AH!$P$20,IF(AH!$P$10=1,INDEX('Live History'!$H$5:$H$3004,MATCH($A807,'Live History'!$G$5:$G$3004,1)),INDEX('AH History'!$D$1:$D$18046,AH!$P$7+802))),NA()),NA())</ns0:f>
        <ns0:v/>
      </ns0:c>
      <ns0:c r="F807">
        <ns0:f>IFERROR(IF(ISNUMBER($A807),IF(AND(AH!$P$10=1,AH!$P$12=1,$A807=TODAY()),IF(AND(AH!$P$10=1,AH!$P$12=1,$A807=TODAY()),TODAY(),NA()),IF(AH!$P$10=1,INDEX('Live History'!$D$5:$D$3004,MATCH($A807,'Live History'!$D$5:$D$3004,1)),INDEX('AH History'!$E$1:$E$18046,AH!$P$7+802))),NA()),NA())</ns0:f>
        <ns0:v/>
      </ns0:c>
      <ns0:c r="G807">
        <ns0:f>IFERROR(IF(ISNUMBER($A807),IF(AND(AH!$P$10=1,AH!$P$12=1,$A807=TODAY()),IF(AND(AH!$P$10=1,AH!$P$12=1,$A807=TODAY()),TODAY(),NA()),IF(AH!$P$10=1,INDEX('Live History'!$G$5:$G$3004,MATCH($A807,'Live History'!$G$5:$G$3004,1)),INDEX('AH History'!$F$1:$F$18046,AH!$P$7+802))),NA()),NA())</ns0:f>
        <ns0:v/>
      </ns0:c>
      <ns0:c r="H807">
        <ns0:f>IFERROR(IF(AND(AH!$E$4="Bloomberg",AH!$P$10=1,ISNUMBER($A807),$A807&lt;=AH!$P$17),AH!$P$7-1+MATCH($A807,INDEX('AH History'!$A$1:$A$18046,AH!$P$7):INDEX('AH History'!$A$1:$A$18046,AH!$P$7+AH!$P$8-1),0),0),0)</ns0:f>
        <ns0:v/>
      </ns0:c>
      <ns0:c r="I807">
        <ns0:f>IF($H807=0,0,IFERROR(IF(AND(ABS($C807-INDEX('AH History'!$B$1:$B$18046,$H807))&lt;=MAX(0.005,ABS(INDEX('AH History'!$B$1:$B$18046,$H807))*0.00005),ABS($D807-INDEX('AH History'!$C$1:$C$18046,$H807))&lt;=MAX(0.005,ABS(INDEX('AH History'!$C$1:$C$18046,$H807))*0.00005),ABS($E807-INDEX('AH History'!$D$1:$D$18046,$H807))&lt;=0.00005,$F807=INDEX('AH History'!$E$1:$E$18046,$H807),$G807=INDEX('AH History'!$F$1:$F$18046,$H807)),1,-1),-1))</ns0:f>
        <ns0:v/>
      </ns0:c>
    </ns0:row>
    <ns0:row r="808">
      <ns0:c r="A808" s="215">
        <ns0:f>IF(OR(AH!$P$3=0,803+1&gt;AH!$P$11,AND(AH!$E$4&lt;&gt;"Stored",AH!$P$10&lt;&gt;1)),"",IFERROR(IF(AND(AH!$P$21=1,803+1=AH!$P$11),TODAY(),IF(AH!$P$10=1,INDEX('Live History'!$A$5:$A$3004,AH!$P$13+803),INDEX('AH History'!$A$1:$A$18046,AH!$P$7+803))),""))</ns0:f>
        <ns0:v/>
      </ns0:c>
      <ns0:c r="B808" s="219">
        <ns0:f>IFERROR(IF(AND(AH!$P$9&lt;&gt;1,$C808&gt;0,$D808&gt;0,$E808&gt;0,$F808&gt;0,$G808&gt;0,$F808&lt;=$A808,$G808&lt;=$A808,$A808-$F808&lt;=10,$A808-$G808&lt;=5),$D808*$E808/$C808-1,NA()),NA())</ns0:f>
        <ns0:v/>
      </ns0:c>
      <ns0:c r="C808">
        <ns0:f>IFERROR(IF(ISNUMBER($A808),IF(AND(AH!$P$10=1,AH!$P$12=1,$A808=TODAY()),AH!$P$19,IF(AH!$P$10=1,INDEX('Live History'!$B$5:$B$3004,AH!$P$13+803),INDEX('AH History'!$B$1:$B$18046,AH!$P$7+803))),NA()),NA())</ns0:f>
        <ns0:v/>
      </ns0:c>
      <ns0:c r="D808">
        <ns0:f>IFERROR(IF(ISNUMBER($A808),IF(AND(AH!$P$10=1,AH!$P$12=1,$A808=TODAY()),AH!$P$18,IF(AH!$P$10=1,INDEX('Live History'!$E$5:$E$3004,MATCH($A808,'Live History'!$D$5:$D$3004,1)),INDEX('AH History'!$C$1:$C$18046,AH!$P$7+803))),NA()),NA())</ns0:f>
        <ns0:v/>
      </ns0:c>
      <ns0:c r="E808">
        <ns0:f>IFERROR(IF(ISNUMBER($A808),IF(AND(AH!$P$10=1,AH!$P$12=1,$A808=TODAY()),AH!$P$20,IF(AH!$P$10=1,INDEX('Live History'!$H$5:$H$3004,MATCH($A808,'Live History'!$G$5:$G$3004,1)),INDEX('AH History'!$D$1:$D$18046,AH!$P$7+803))),NA()),NA())</ns0:f>
        <ns0:v/>
      </ns0:c>
      <ns0:c r="F808">
        <ns0:f>IFERROR(IF(ISNUMBER($A808),IF(AND(AH!$P$10=1,AH!$P$12=1,$A808=TODAY()),IF(AND(AH!$P$10=1,AH!$P$12=1,$A808=TODAY()),TODAY(),NA()),IF(AH!$P$10=1,INDEX('Live History'!$D$5:$D$3004,MATCH($A808,'Live History'!$D$5:$D$3004,1)),INDEX('AH History'!$E$1:$E$18046,AH!$P$7+803))),NA()),NA())</ns0:f>
        <ns0:v/>
      </ns0:c>
      <ns0:c r="G808">
        <ns0:f>IFERROR(IF(ISNUMBER($A808),IF(AND(AH!$P$10=1,AH!$P$12=1,$A808=TODAY()),IF(AND(AH!$P$10=1,AH!$P$12=1,$A808=TODAY()),TODAY(),NA()),IF(AH!$P$10=1,INDEX('Live History'!$G$5:$G$3004,MATCH($A808,'Live History'!$G$5:$G$3004,1)),INDEX('AH History'!$F$1:$F$18046,AH!$P$7+803))),NA()),NA())</ns0:f>
        <ns0:v/>
      </ns0:c>
      <ns0:c r="H808">
        <ns0:f>IFERROR(IF(AND(AH!$E$4="Bloomberg",AH!$P$10=1,ISNUMBER($A808),$A808&lt;=AH!$P$17),AH!$P$7-1+MATCH($A808,INDEX('AH History'!$A$1:$A$18046,AH!$P$7):INDEX('AH History'!$A$1:$A$18046,AH!$P$7+AH!$P$8-1),0),0),0)</ns0:f>
        <ns0:v/>
      </ns0:c>
      <ns0:c r="I808">
        <ns0:f>IF($H808=0,0,IFERROR(IF(AND(ABS($C808-INDEX('AH History'!$B$1:$B$18046,$H808))&lt;=MAX(0.005,ABS(INDEX('AH History'!$B$1:$B$18046,$H808))*0.00005),ABS($D808-INDEX('AH History'!$C$1:$C$18046,$H808))&lt;=MAX(0.005,ABS(INDEX('AH History'!$C$1:$C$18046,$H808))*0.00005),ABS($E808-INDEX('AH History'!$D$1:$D$18046,$H808))&lt;=0.00005,$F808=INDEX('AH History'!$E$1:$E$18046,$H808),$G808=INDEX('AH History'!$F$1:$F$18046,$H808)),1,-1),-1))</ns0:f>
        <ns0:v/>
      </ns0:c>
    </ns0:row>
    <ns0:row r="809">
      <ns0:c r="A809" s="215">
        <ns0:f>IF(OR(AH!$P$3=0,804+1&gt;AH!$P$11,AND(AH!$E$4&lt;&gt;"Stored",AH!$P$10&lt;&gt;1)),"",IFERROR(IF(AND(AH!$P$21=1,804+1=AH!$P$11),TODAY(),IF(AH!$P$10=1,INDEX('Live History'!$A$5:$A$3004,AH!$P$13+804),INDEX('AH History'!$A$1:$A$18046,AH!$P$7+804))),""))</ns0:f>
        <ns0:v/>
      </ns0:c>
      <ns0:c r="B809" s="219">
        <ns0:f>IFERROR(IF(AND(AH!$P$9&lt;&gt;1,$C809&gt;0,$D809&gt;0,$E809&gt;0,$F809&gt;0,$G809&gt;0,$F809&lt;=$A809,$G809&lt;=$A809,$A809-$F809&lt;=10,$A809-$G809&lt;=5),$D809*$E809/$C809-1,NA()),NA())</ns0:f>
        <ns0:v/>
      </ns0:c>
      <ns0:c r="C809">
        <ns0:f>IFERROR(IF(ISNUMBER($A809),IF(AND(AH!$P$10=1,AH!$P$12=1,$A809=TODAY()),AH!$P$19,IF(AH!$P$10=1,INDEX('Live History'!$B$5:$B$3004,AH!$P$13+804),INDEX('AH History'!$B$1:$B$18046,AH!$P$7+804))),NA()),NA())</ns0:f>
        <ns0:v/>
      </ns0:c>
      <ns0:c r="D809">
        <ns0:f>IFERROR(IF(ISNUMBER($A809),IF(AND(AH!$P$10=1,AH!$P$12=1,$A809=TODAY()),AH!$P$18,IF(AH!$P$10=1,INDEX('Live History'!$E$5:$E$3004,MATCH($A809,'Live History'!$D$5:$D$3004,1)),INDEX('AH History'!$C$1:$C$18046,AH!$P$7+804))),NA()),NA())</ns0:f>
        <ns0:v/>
      </ns0:c>
      <ns0:c r="E809">
        <ns0:f>IFERROR(IF(ISNUMBER($A809),IF(AND(AH!$P$10=1,AH!$P$12=1,$A809=TODAY()),AH!$P$20,IF(AH!$P$10=1,INDEX('Live History'!$H$5:$H$3004,MATCH($A809,'Live History'!$G$5:$G$3004,1)),INDEX('AH History'!$D$1:$D$18046,AH!$P$7+804))),NA()),NA())</ns0:f>
        <ns0:v/>
      </ns0:c>
      <ns0:c r="F809">
        <ns0:f>IFERROR(IF(ISNUMBER($A809),IF(AND(AH!$P$10=1,AH!$P$12=1,$A809=TODAY()),IF(AND(AH!$P$10=1,AH!$P$12=1,$A809=TODAY()),TODAY(),NA()),IF(AH!$P$10=1,INDEX('Live History'!$D$5:$D$3004,MATCH($A809,'Live History'!$D$5:$D$3004,1)),INDEX('AH History'!$E$1:$E$18046,AH!$P$7+804))),NA()),NA())</ns0:f>
        <ns0:v/>
      </ns0:c>
      <ns0:c r="G809">
        <ns0:f>IFERROR(IF(ISNUMBER($A809),IF(AND(AH!$P$10=1,AH!$P$12=1,$A809=TODAY()),IF(AND(AH!$P$10=1,AH!$P$12=1,$A809=TODAY()),TODAY(),NA()),IF(AH!$P$10=1,INDEX('Live History'!$G$5:$G$3004,MATCH($A809,'Live History'!$G$5:$G$3004,1)),INDEX('AH History'!$F$1:$F$18046,AH!$P$7+804))),NA()),NA())</ns0:f>
        <ns0:v/>
      </ns0:c>
      <ns0:c r="H809">
        <ns0:f>IFERROR(IF(AND(AH!$E$4="Bloomberg",AH!$P$10=1,ISNUMBER($A809),$A809&lt;=AH!$P$17),AH!$P$7-1+MATCH($A809,INDEX('AH History'!$A$1:$A$18046,AH!$P$7):INDEX('AH History'!$A$1:$A$18046,AH!$P$7+AH!$P$8-1),0),0),0)</ns0:f>
        <ns0:v/>
      </ns0:c>
      <ns0:c r="I809">
        <ns0:f>IF($H809=0,0,IFERROR(IF(AND(ABS($C809-INDEX('AH History'!$B$1:$B$18046,$H809))&lt;=MAX(0.005,ABS(INDEX('AH History'!$B$1:$B$18046,$H809))*0.00005),ABS($D809-INDEX('AH History'!$C$1:$C$18046,$H809))&lt;=MAX(0.005,ABS(INDEX('AH History'!$C$1:$C$18046,$H809))*0.00005),ABS($E809-INDEX('AH History'!$D$1:$D$18046,$H809))&lt;=0.00005,$F809=INDEX('AH History'!$E$1:$E$18046,$H809),$G809=INDEX('AH History'!$F$1:$F$18046,$H809)),1,-1),-1))</ns0:f>
        <ns0:v/>
      </ns0:c>
    </ns0:row>
    <ns0:row r="810">
      <ns0:c r="A810" s="215">
        <ns0:f>IF(OR(AH!$P$3=0,805+1&gt;AH!$P$11,AND(AH!$E$4&lt;&gt;"Stored",AH!$P$10&lt;&gt;1)),"",IFERROR(IF(AND(AH!$P$21=1,805+1=AH!$P$11),TODAY(),IF(AH!$P$10=1,INDEX('Live History'!$A$5:$A$3004,AH!$P$13+805),INDEX('AH History'!$A$1:$A$18046,AH!$P$7+805))),""))</ns0:f>
        <ns0:v/>
      </ns0:c>
      <ns0:c r="B810" s="219">
        <ns0:f>IFERROR(IF(AND(AH!$P$9&lt;&gt;1,$C810&gt;0,$D810&gt;0,$E810&gt;0,$F810&gt;0,$G810&gt;0,$F810&lt;=$A810,$G810&lt;=$A810,$A810-$F810&lt;=10,$A810-$G810&lt;=5),$D810*$E810/$C810-1,NA()),NA())</ns0:f>
        <ns0:v/>
      </ns0:c>
      <ns0:c r="C810">
        <ns0:f>IFERROR(IF(ISNUMBER($A810),IF(AND(AH!$P$10=1,AH!$P$12=1,$A810=TODAY()),AH!$P$19,IF(AH!$P$10=1,INDEX('Live History'!$B$5:$B$3004,AH!$P$13+805),INDEX('AH History'!$B$1:$B$18046,AH!$P$7+805))),NA()),NA())</ns0:f>
        <ns0:v/>
      </ns0:c>
      <ns0:c r="D810">
        <ns0:f>IFERROR(IF(ISNUMBER($A810),IF(AND(AH!$P$10=1,AH!$P$12=1,$A810=TODAY()),AH!$P$18,IF(AH!$P$10=1,INDEX('Live History'!$E$5:$E$3004,MATCH($A810,'Live History'!$D$5:$D$3004,1)),INDEX('AH History'!$C$1:$C$18046,AH!$P$7+805))),NA()),NA())</ns0:f>
        <ns0:v/>
      </ns0:c>
      <ns0:c r="E810">
        <ns0:f>IFERROR(IF(ISNUMBER($A810),IF(AND(AH!$P$10=1,AH!$P$12=1,$A810=TODAY()),AH!$P$20,IF(AH!$P$10=1,INDEX('Live History'!$H$5:$H$3004,MATCH($A810,'Live History'!$G$5:$G$3004,1)),INDEX('AH History'!$D$1:$D$18046,AH!$P$7+805))),NA()),NA())</ns0:f>
        <ns0:v/>
      </ns0:c>
      <ns0:c r="F810">
        <ns0:f>IFERROR(IF(ISNUMBER($A810),IF(AND(AH!$P$10=1,AH!$P$12=1,$A810=TODAY()),IF(AND(AH!$P$10=1,AH!$P$12=1,$A810=TODAY()),TODAY(),NA()),IF(AH!$P$10=1,INDEX('Live History'!$D$5:$D$3004,MATCH($A810,'Live History'!$D$5:$D$3004,1)),INDEX('AH History'!$E$1:$E$18046,AH!$P$7+805))),NA()),NA())</ns0:f>
        <ns0:v/>
      </ns0:c>
      <ns0:c r="G810">
        <ns0:f>IFERROR(IF(ISNUMBER($A810),IF(AND(AH!$P$10=1,AH!$P$12=1,$A810=TODAY()),IF(AND(AH!$P$10=1,AH!$P$12=1,$A810=TODAY()),TODAY(),NA()),IF(AH!$P$10=1,INDEX('Live History'!$G$5:$G$3004,MATCH($A810,'Live History'!$G$5:$G$3004,1)),INDEX('AH History'!$F$1:$F$18046,AH!$P$7+805))),NA()),NA())</ns0:f>
        <ns0:v/>
      </ns0:c>
      <ns0:c r="H810">
        <ns0:f>IFERROR(IF(AND(AH!$E$4="Bloomberg",AH!$P$10=1,ISNUMBER($A810),$A810&lt;=AH!$P$17),AH!$P$7-1+MATCH($A810,INDEX('AH History'!$A$1:$A$18046,AH!$P$7):INDEX('AH History'!$A$1:$A$18046,AH!$P$7+AH!$P$8-1),0),0),0)</ns0:f>
        <ns0:v/>
      </ns0:c>
      <ns0:c r="I810">
        <ns0:f>IF($H810=0,0,IFERROR(IF(AND(ABS($C810-INDEX('AH History'!$B$1:$B$18046,$H810))&lt;=MAX(0.005,ABS(INDEX('AH History'!$B$1:$B$18046,$H810))*0.00005),ABS($D810-INDEX('AH History'!$C$1:$C$18046,$H810))&lt;=MAX(0.005,ABS(INDEX('AH History'!$C$1:$C$18046,$H810))*0.00005),ABS($E810-INDEX('AH History'!$D$1:$D$18046,$H810))&lt;=0.00005,$F810=INDEX('AH History'!$E$1:$E$18046,$H810),$G810=INDEX('AH History'!$F$1:$F$18046,$H810)),1,-1),-1))</ns0:f>
        <ns0:v/>
      </ns0:c>
    </ns0:row>
    <ns0:row r="811">
      <ns0:c r="A811" s="215">
        <ns0:f>IF(OR(AH!$P$3=0,806+1&gt;AH!$P$11,AND(AH!$E$4&lt;&gt;"Stored",AH!$P$10&lt;&gt;1)),"",IFERROR(IF(AND(AH!$P$21=1,806+1=AH!$P$11),TODAY(),IF(AH!$P$10=1,INDEX('Live History'!$A$5:$A$3004,AH!$P$13+806),INDEX('AH History'!$A$1:$A$18046,AH!$P$7+806))),""))</ns0:f>
        <ns0:v/>
      </ns0:c>
      <ns0:c r="B811" s="219">
        <ns0:f>IFERROR(IF(AND(AH!$P$9&lt;&gt;1,$C811&gt;0,$D811&gt;0,$E811&gt;0,$F811&gt;0,$G811&gt;0,$F811&lt;=$A811,$G811&lt;=$A811,$A811-$F811&lt;=10,$A811-$G811&lt;=5),$D811*$E811/$C811-1,NA()),NA())</ns0:f>
        <ns0:v/>
      </ns0:c>
      <ns0:c r="C811">
        <ns0:f>IFERROR(IF(ISNUMBER($A811),IF(AND(AH!$P$10=1,AH!$P$12=1,$A811=TODAY()),AH!$P$19,IF(AH!$P$10=1,INDEX('Live History'!$B$5:$B$3004,AH!$P$13+806),INDEX('AH History'!$B$1:$B$18046,AH!$P$7+806))),NA()),NA())</ns0:f>
        <ns0:v/>
      </ns0:c>
      <ns0:c r="D811">
        <ns0:f>IFERROR(IF(ISNUMBER($A811),IF(AND(AH!$P$10=1,AH!$P$12=1,$A811=TODAY()),AH!$P$18,IF(AH!$P$10=1,INDEX('Live History'!$E$5:$E$3004,MATCH($A811,'Live History'!$D$5:$D$3004,1)),INDEX('AH History'!$C$1:$C$18046,AH!$P$7+806))),NA()),NA())</ns0:f>
        <ns0:v/>
      </ns0:c>
      <ns0:c r="E811">
        <ns0:f>IFERROR(IF(ISNUMBER($A811),IF(AND(AH!$P$10=1,AH!$P$12=1,$A811=TODAY()),AH!$P$20,IF(AH!$P$10=1,INDEX('Live History'!$H$5:$H$3004,MATCH($A811,'Live History'!$G$5:$G$3004,1)),INDEX('AH History'!$D$1:$D$18046,AH!$P$7+806))),NA()),NA())</ns0:f>
        <ns0:v/>
      </ns0:c>
      <ns0:c r="F811">
        <ns0:f>IFERROR(IF(ISNUMBER($A811),IF(AND(AH!$P$10=1,AH!$P$12=1,$A811=TODAY()),IF(AND(AH!$P$10=1,AH!$P$12=1,$A811=TODAY()),TODAY(),NA()),IF(AH!$P$10=1,INDEX('Live History'!$D$5:$D$3004,MATCH($A811,'Live History'!$D$5:$D$3004,1)),INDEX('AH History'!$E$1:$E$18046,AH!$P$7+806))),NA()),NA())</ns0:f>
        <ns0:v/>
      </ns0:c>
      <ns0:c r="G811">
        <ns0:f>IFERROR(IF(ISNUMBER($A811),IF(AND(AH!$P$10=1,AH!$P$12=1,$A811=TODAY()),IF(AND(AH!$P$10=1,AH!$P$12=1,$A811=TODAY()),TODAY(),NA()),IF(AH!$P$10=1,INDEX('Live History'!$G$5:$G$3004,MATCH($A811,'Live History'!$G$5:$G$3004,1)),INDEX('AH History'!$F$1:$F$18046,AH!$P$7+806))),NA()),NA())</ns0:f>
        <ns0:v/>
      </ns0:c>
      <ns0:c r="H811">
        <ns0:f>IFERROR(IF(AND(AH!$E$4="Bloomberg",AH!$P$10=1,ISNUMBER($A811),$A811&lt;=AH!$P$17),AH!$P$7-1+MATCH($A811,INDEX('AH History'!$A$1:$A$18046,AH!$P$7):INDEX('AH History'!$A$1:$A$18046,AH!$P$7+AH!$P$8-1),0),0),0)</ns0:f>
        <ns0:v/>
      </ns0:c>
      <ns0:c r="I811">
        <ns0:f>IF($H811=0,0,IFERROR(IF(AND(ABS($C811-INDEX('AH History'!$B$1:$B$18046,$H811))&lt;=MAX(0.005,ABS(INDEX('AH History'!$B$1:$B$18046,$H811))*0.00005),ABS($D811-INDEX('AH History'!$C$1:$C$18046,$H811))&lt;=MAX(0.005,ABS(INDEX('AH History'!$C$1:$C$18046,$H811))*0.00005),ABS($E811-INDEX('AH History'!$D$1:$D$18046,$H811))&lt;=0.00005,$F811=INDEX('AH History'!$E$1:$E$18046,$H811),$G811=INDEX('AH History'!$F$1:$F$18046,$H811)),1,-1),-1))</ns0:f>
        <ns0:v/>
      </ns0:c>
    </ns0:row>
    <ns0:row r="812">
      <ns0:c r="A812" s="215">
        <ns0:f>IF(OR(AH!$P$3=0,807+1&gt;AH!$P$11,AND(AH!$E$4&lt;&gt;"Stored",AH!$P$10&lt;&gt;1)),"",IFERROR(IF(AND(AH!$P$21=1,807+1=AH!$P$11),TODAY(),IF(AH!$P$10=1,INDEX('Live History'!$A$5:$A$3004,AH!$P$13+807),INDEX('AH History'!$A$1:$A$18046,AH!$P$7+807))),""))</ns0:f>
        <ns0:v/>
      </ns0:c>
      <ns0:c r="B812" s="219">
        <ns0:f>IFERROR(IF(AND(AH!$P$9&lt;&gt;1,$C812&gt;0,$D812&gt;0,$E812&gt;0,$F812&gt;0,$G812&gt;0,$F812&lt;=$A812,$G812&lt;=$A812,$A812-$F812&lt;=10,$A812-$G812&lt;=5),$D812*$E812/$C812-1,NA()),NA())</ns0:f>
        <ns0:v/>
      </ns0:c>
      <ns0:c r="C812">
        <ns0:f>IFERROR(IF(ISNUMBER($A812),IF(AND(AH!$P$10=1,AH!$P$12=1,$A812=TODAY()),AH!$P$19,IF(AH!$P$10=1,INDEX('Live History'!$B$5:$B$3004,AH!$P$13+807),INDEX('AH History'!$B$1:$B$18046,AH!$P$7+807))),NA()),NA())</ns0:f>
        <ns0:v/>
      </ns0:c>
      <ns0:c r="D812">
        <ns0:f>IFERROR(IF(ISNUMBER($A812),IF(AND(AH!$P$10=1,AH!$P$12=1,$A812=TODAY()),AH!$P$18,IF(AH!$P$10=1,INDEX('Live History'!$E$5:$E$3004,MATCH($A812,'Live History'!$D$5:$D$3004,1)),INDEX('AH History'!$C$1:$C$18046,AH!$P$7+807))),NA()),NA())</ns0:f>
        <ns0:v/>
      </ns0:c>
      <ns0:c r="E812">
        <ns0:f>IFERROR(IF(ISNUMBER($A812),IF(AND(AH!$P$10=1,AH!$P$12=1,$A812=TODAY()),AH!$P$20,IF(AH!$P$10=1,INDEX('Live History'!$H$5:$H$3004,MATCH($A812,'Live History'!$G$5:$G$3004,1)),INDEX('AH History'!$D$1:$D$18046,AH!$P$7+807))),NA()),NA())</ns0:f>
        <ns0:v/>
      </ns0:c>
      <ns0:c r="F812">
        <ns0:f>IFERROR(IF(ISNUMBER($A812),IF(AND(AH!$P$10=1,AH!$P$12=1,$A812=TODAY()),IF(AND(AH!$P$10=1,AH!$P$12=1,$A812=TODAY()),TODAY(),NA()),IF(AH!$P$10=1,INDEX('Live History'!$D$5:$D$3004,MATCH($A812,'Live History'!$D$5:$D$3004,1)),INDEX('AH History'!$E$1:$E$18046,AH!$P$7+807))),NA()),NA())</ns0:f>
        <ns0:v/>
      </ns0:c>
      <ns0:c r="G812">
        <ns0:f>IFERROR(IF(ISNUMBER($A812),IF(AND(AH!$P$10=1,AH!$P$12=1,$A812=TODAY()),IF(AND(AH!$P$10=1,AH!$P$12=1,$A812=TODAY()),TODAY(),NA()),IF(AH!$P$10=1,INDEX('Live History'!$G$5:$G$3004,MATCH($A812,'Live History'!$G$5:$G$3004,1)),INDEX('AH History'!$F$1:$F$18046,AH!$P$7+807))),NA()),NA())</ns0:f>
        <ns0:v/>
      </ns0:c>
      <ns0:c r="H812">
        <ns0:f>IFERROR(IF(AND(AH!$E$4="Bloomberg",AH!$P$10=1,ISNUMBER($A812),$A812&lt;=AH!$P$17),AH!$P$7-1+MATCH($A812,INDEX('AH History'!$A$1:$A$18046,AH!$P$7):INDEX('AH History'!$A$1:$A$18046,AH!$P$7+AH!$P$8-1),0),0),0)</ns0:f>
        <ns0:v/>
      </ns0:c>
      <ns0:c r="I812">
        <ns0:f>IF($H812=0,0,IFERROR(IF(AND(ABS($C812-INDEX('AH History'!$B$1:$B$18046,$H812))&lt;=MAX(0.005,ABS(INDEX('AH History'!$B$1:$B$18046,$H812))*0.00005),ABS($D812-INDEX('AH History'!$C$1:$C$18046,$H812))&lt;=MAX(0.005,ABS(INDEX('AH History'!$C$1:$C$18046,$H812))*0.00005),ABS($E812-INDEX('AH History'!$D$1:$D$18046,$H812))&lt;=0.00005,$F812=INDEX('AH History'!$E$1:$E$18046,$H812),$G812=INDEX('AH History'!$F$1:$F$18046,$H812)),1,-1),-1))</ns0:f>
        <ns0:v/>
      </ns0:c>
    </ns0:row>
    <ns0:row r="813">
      <ns0:c r="A813" s="215">
        <ns0:f>IF(OR(AH!$P$3=0,808+1&gt;AH!$P$11,AND(AH!$E$4&lt;&gt;"Stored",AH!$P$10&lt;&gt;1)),"",IFERROR(IF(AND(AH!$P$21=1,808+1=AH!$P$11),TODAY(),IF(AH!$P$10=1,INDEX('Live History'!$A$5:$A$3004,AH!$P$13+808),INDEX('AH History'!$A$1:$A$18046,AH!$P$7+808))),""))</ns0:f>
        <ns0:v/>
      </ns0:c>
      <ns0:c r="B813" s="219">
        <ns0:f>IFERROR(IF(AND(AH!$P$9&lt;&gt;1,$C813&gt;0,$D813&gt;0,$E813&gt;0,$F813&gt;0,$G813&gt;0,$F813&lt;=$A813,$G813&lt;=$A813,$A813-$F813&lt;=10,$A813-$G813&lt;=5),$D813*$E813/$C813-1,NA()),NA())</ns0:f>
        <ns0:v/>
      </ns0:c>
      <ns0:c r="C813">
        <ns0:f>IFERROR(IF(ISNUMBER($A813),IF(AND(AH!$P$10=1,AH!$P$12=1,$A813=TODAY()),AH!$P$19,IF(AH!$P$10=1,INDEX('Live History'!$B$5:$B$3004,AH!$P$13+808),INDEX('AH History'!$B$1:$B$18046,AH!$P$7+808))),NA()),NA())</ns0:f>
        <ns0:v/>
      </ns0:c>
      <ns0:c r="D813">
        <ns0:f>IFERROR(IF(ISNUMBER($A813),IF(AND(AH!$P$10=1,AH!$P$12=1,$A813=TODAY()),AH!$P$18,IF(AH!$P$10=1,INDEX('Live History'!$E$5:$E$3004,MATCH($A813,'Live History'!$D$5:$D$3004,1)),INDEX('AH History'!$C$1:$C$18046,AH!$P$7+808))),NA()),NA())</ns0:f>
        <ns0:v/>
      </ns0:c>
      <ns0:c r="E813">
        <ns0:f>IFERROR(IF(ISNUMBER($A813),IF(AND(AH!$P$10=1,AH!$P$12=1,$A813=TODAY()),AH!$P$20,IF(AH!$P$10=1,INDEX('Live History'!$H$5:$H$3004,MATCH($A813,'Live History'!$G$5:$G$3004,1)),INDEX('AH History'!$D$1:$D$18046,AH!$P$7+808))),NA()),NA())</ns0:f>
        <ns0:v/>
      </ns0:c>
      <ns0:c r="F813">
        <ns0:f>IFERROR(IF(ISNUMBER($A813),IF(AND(AH!$P$10=1,AH!$P$12=1,$A813=TODAY()),IF(AND(AH!$P$10=1,AH!$P$12=1,$A813=TODAY()),TODAY(),NA()),IF(AH!$P$10=1,INDEX('Live History'!$D$5:$D$3004,MATCH($A813,'Live History'!$D$5:$D$3004,1)),INDEX('AH History'!$E$1:$E$18046,AH!$P$7+808))),NA()),NA())</ns0:f>
        <ns0:v/>
      </ns0:c>
      <ns0:c r="G813">
        <ns0:f>IFERROR(IF(ISNUMBER($A813),IF(AND(AH!$P$10=1,AH!$P$12=1,$A813=TODAY()),IF(AND(AH!$P$10=1,AH!$P$12=1,$A813=TODAY()),TODAY(),NA()),IF(AH!$P$10=1,INDEX('Live History'!$G$5:$G$3004,MATCH($A813,'Live History'!$G$5:$G$3004,1)),INDEX('AH History'!$F$1:$F$18046,AH!$P$7+808))),NA()),NA())</ns0:f>
        <ns0:v/>
      </ns0:c>
      <ns0:c r="H813">
        <ns0:f>IFERROR(IF(AND(AH!$E$4="Bloomberg",AH!$P$10=1,ISNUMBER($A813),$A813&lt;=AH!$P$17),AH!$P$7-1+MATCH($A813,INDEX('AH History'!$A$1:$A$18046,AH!$P$7):INDEX('AH History'!$A$1:$A$18046,AH!$P$7+AH!$P$8-1),0),0),0)</ns0:f>
        <ns0:v/>
      </ns0:c>
      <ns0:c r="I813">
        <ns0:f>IF($H813=0,0,IFERROR(IF(AND(ABS($C813-INDEX('AH History'!$B$1:$B$18046,$H813))&lt;=MAX(0.005,ABS(INDEX('AH History'!$B$1:$B$18046,$H813))*0.00005),ABS($D813-INDEX('AH History'!$C$1:$C$18046,$H813))&lt;=MAX(0.005,ABS(INDEX('AH History'!$C$1:$C$18046,$H813))*0.00005),ABS($E813-INDEX('AH History'!$D$1:$D$18046,$H813))&lt;=0.00005,$F813=INDEX('AH History'!$E$1:$E$18046,$H813),$G813=INDEX('AH History'!$F$1:$F$18046,$H813)),1,-1),-1))</ns0:f>
        <ns0:v/>
      </ns0:c>
    </ns0:row>
    <ns0:row r="814">
      <ns0:c r="A814" s="215">
        <ns0:f>IF(OR(AH!$P$3=0,809+1&gt;AH!$P$11,AND(AH!$E$4&lt;&gt;"Stored",AH!$P$10&lt;&gt;1)),"",IFERROR(IF(AND(AH!$P$21=1,809+1=AH!$P$11),TODAY(),IF(AH!$P$10=1,INDEX('Live History'!$A$5:$A$3004,AH!$P$13+809),INDEX('AH History'!$A$1:$A$18046,AH!$P$7+809))),""))</ns0:f>
        <ns0:v/>
      </ns0:c>
      <ns0:c r="B814" s="219">
        <ns0:f>IFERROR(IF(AND(AH!$P$9&lt;&gt;1,$C814&gt;0,$D814&gt;0,$E814&gt;0,$F814&gt;0,$G814&gt;0,$F814&lt;=$A814,$G814&lt;=$A814,$A814-$F814&lt;=10,$A814-$G814&lt;=5),$D814*$E814/$C814-1,NA()),NA())</ns0:f>
        <ns0:v/>
      </ns0:c>
      <ns0:c r="C814">
        <ns0:f>IFERROR(IF(ISNUMBER($A814),IF(AND(AH!$P$10=1,AH!$P$12=1,$A814=TODAY()),AH!$P$19,IF(AH!$P$10=1,INDEX('Live History'!$B$5:$B$3004,AH!$P$13+809),INDEX('AH History'!$B$1:$B$18046,AH!$P$7+809))),NA()),NA())</ns0:f>
        <ns0:v/>
      </ns0:c>
      <ns0:c r="D814">
        <ns0:f>IFERROR(IF(ISNUMBER($A814),IF(AND(AH!$P$10=1,AH!$P$12=1,$A814=TODAY()),AH!$P$18,IF(AH!$P$10=1,INDEX('Live History'!$E$5:$E$3004,MATCH($A814,'Live History'!$D$5:$D$3004,1)),INDEX('AH History'!$C$1:$C$18046,AH!$P$7+809))),NA()),NA())</ns0:f>
        <ns0:v/>
      </ns0:c>
      <ns0:c r="E814">
        <ns0:f>IFERROR(IF(ISNUMBER($A814),IF(AND(AH!$P$10=1,AH!$P$12=1,$A814=TODAY()),AH!$P$20,IF(AH!$P$10=1,INDEX('Live History'!$H$5:$H$3004,MATCH($A814,'Live History'!$G$5:$G$3004,1)),INDEX('AH History'!$D$1:$D$18046,AH!$P$7+809))),NA()),NA())</ns0:f>
        <ns0:v/>
      </ns0:c>
      <ns0:c r="F814">
        <ns0:f>IFERROR(IF(ISNUMBER($A814),IF(AND(AH!$P$10=1,AH!$P$12=1,$A814=TODAY()),IF(AND(AH!$P$10=1,AH!$P$12=1,$A814=TODAY()),TODAY(),NA()),IF(AH!$P$10=1,INDEX('Live History'!$D$5:$D$3004,MATCH($A814,'Live History'!$D$5:$D$3004,1)),INDEX('AH History'!$E$1:$E$18046,AH!$P$7+809))),NA()),NA())</ns0:f>
        <ns0:v/>
      </ns0:c>
      <ns0:c r="G814">
        <ns0:f>IFERROR(IF(ISNUMBER($A814),IF(AND(AH!$P$10=1,AH!$P$12=1,$A814=TODAY()),IF(AND(AH!$P$10=1,AH!$P$12=1,$A814=TODAY()),TODAY(),NA()),IF(AH!$P$10=1,INDEX('Live History'!$G$5:$G$3004,MATCH($A814,'Live History'!$G$5:$G$3004,1)),INDEX('AH History'!$F$1:$F$18046,AH!$P$7+809))),NA()),NA())</ns0:f>
        <ns0:v/>
      </ns0:c>
      <ns0:c r="H814">
        <ns0:f>IFERROR(IF(AND(AH!$E$4="Bloomberg",AH!$P$10=1,ISNUMBER($A814),$A814&lt;=AH!$P$17),AH!$P$7-1+MATCH($A814,INDEX('AH History'!$A$1:$A$18046,AH!$P$7):INDEX('AH History'!$A$1:$A$18046,AH!$P$7+AH!$P$8-1),0),0),0)</ns0:f>
        <ns0:v/>
      </ns0:c>
      <ns0:c r="I814">
        <ns0:f>IF($H814=0,0,IFERROR(IF(AND(ABS($C814-INDEX('AH History'!$B$1:$B$18046,$H814))&lt;=MAX(0.005,ABS(INDEX('AH History'!$B$1:$B$18046,$H814))*0.00005),ABS($D814-INDEX('AH History'!$C$1:$C$18046,$H814))&lt;=MAX(0.005,ABS(INDEX('AH History'!$C$1:$C$18046,$H814))*0.00005),ABS($E814-INDEX('AH History'!$D$1:$D$18046,$H814))&lt;=0.00005,$F814=INDEX('AH History'!$E$1:$E$18046,$H814),$G814=INDEX('AH History'!$F$1:$F$18046,$H814)),1,-1),-1))</ns0:f>
        <ns0:v/>
      </ns0:c>
    </ns0:row>
    <ns0:row r="815">
      <ns0:c r="A815" s="215">
        <ns0:f>IF(OR(AH!$P$3=0,810+1&gt;AH!$P$11,AND(AH!$E$4&lt;&gt;"Stored",AH!$P$10&lt;&gt;1)),"",IFERROR(IF(AND(AH!$P$21=1,810+1=AH!$P$11),TODAY(),IF(AH!$P$10=1,INDEX('Live History'!$A$5:$A$3004,AH!$P$13+810),INDEX('AH History'!$A$1:$A$18046,AH!$P$7+810))),""))</ns0:f>
        <ns0:v/>
      </ns0:c>
      <ns0:c r="B815" s="219">
        <ns0:f>IFERROR(IF(AND(AH!$P$9&lt;&gt;1,$C815&gt;0,$D815&gt;0,$E815&gt;0,$F815&gt;0,$G815&gt;0,$F815&lt;=$A815,$G815&lt;=$A815,$A815-$F815&lt;=10,$A815-$G815&lt;=5),$D815*$E815/$C815-1,NA()),NA())</ns0:f>
        <ns0:v/>
      </ns0:c>
      <ns0:c r="C815">
        <ns0:f>IFERROR(IF(ISNUMBER($A815),IF(AND(AH!$P$10=1,AH!$P$12=1,$A815=TODAY()),AH!$P$19,IF(AH!$P$10=1,INDEX('Live History'!$B$5:$B$3004,AH!$P$13+810),INDEX('AH History'!$B$1:$B$18046,AH!$P$7+810))),NA()),NA())</ns0:f>
        <ns0:v/>
      </ns0:c>
      <ns0:c r="D815">
        <ns0:f>IFERROR(IF(ISNUMBER($A815),IF(AND(AH!$P$10=1,AH!$P$12=1,$A815=TODAY()),AH!$P$18,IF(AH!$P$10=1,INDEX('Live History'!$E$5:$E$3004,MATCH($A815,'Live History'!$D$5:$D$3004,1)),INDEX('AH History'!$C$1:$C$18046,AH!$P$7+810))),NA()),NA())</ns0:f>
        <ns0:v/>
      </ns0:c>
      <ns0:c r="E815">
        <ns0:f>IFERROR(IF(ISNUMBER($A815),IF(AND(AH!$P$10=1,AH!$P$12=1,$A815=TODAY()),AH!$P$20,IF(AH!$P$10=1,INDEX('Live History'!$H$5:$H$3004,MATCH($A815,'Live History'!$G$5:$G$3004,1)),INDEX('AH History'!$D$1:$D$18046,AH!$P$7+810))),NA()),NA())</ns0:f>
        <ns0:v/>
      </ns0:c>
      <ns0:c r="F815">
        <ns0:f>IFERROR(IF(ISNUMBER($A815),IF(AND(AH!$P$10=1,AH!$P$12=1,$A815=TODAY()),IF(AND(AH!$P$10=1,AH!$P$12=1,$A815=TODAY()),TODAY(),NA()),IF(AH!$P$10=1,INDEX('Live History'!$D$5:$D$3004,MATCH($A815,'Live History'!$D$5:$D$3004,1)),INDEX('AH History'!$E$1:$E$18046,AH!$P$7+810))),NA()),NA())</ns0:f>
        <ns0:v/>
      </ns0:c>
      <ns0:c r="G815">
        <ns0:f>IFERROR(IF(ISNUMBER($A815),IF(AND(AH!$P$10=1,AH!$P$12=1,$A815=TODAY()),IF(AND(AH!$P$10=1,AH!$P$12=1,$A815=TODAY()),TODAY(),NA()),IF(AH!$P$10=1,INDEX('Live History'!$G$5:$G$3004,MATCH($A815,'Live History'!$G$5:$G$3004,1)),INDEX('AH History'!$F$1:$F$18046,AH!$P$7+810))),NA()),NA())</ns0:f>
        <ns0:v/>
      </ns0:c>
      <ns0:c r="H815">
        <ns0:f>IFERROR(IF(AND(AH!$E$4="Bloomberg",AH!$P$10=1,ISNUMBER($A815),$A815&lt;=AH!$P$17),AH!$P$7-1+MATCH($A815,INDEX('AH History'!$A$1:$A$18046,AH!$P$7):INDEX('AH History'!$A$1:$A$18046,AH!$P$7+AH!$P$8-1),0),0),0)</ns0:f>
        <ns0:v/>
      </ns0:c>
      <ns0:c r="I815">
        <ns0:f>IF($H815=0,0,IFERROR(IF(AND(ABS($C815-INDEX('AH History'!$B$1:$B$18046,$H815))&lt;=MAX(0.005,ABS(INDEX('AH History'!$B$1:$B$18046,$H815))*0.00005),ABS($D815-INDEX('AH History'!$C$1:$C$18046,$H815))&lt;=MAX(0.005,ABS(INDEX('AH History'!$C$1:$C$18046,$H815))*0.00005),ABS($E815-INDEX('AH History'!$D$1:$D$18046,$H815))&lt;=0.00005,$F815=INDEX('AH History'!$E$1:$E$18046,$H815),$G815=INDEX('AH History'!$F$1:$F$18046,$H815)),1,-1),-1))</ns0:f>
        <ns0:v/>
      </ns0:c>
    </ns0:row>
    <ns0:row r="816">
      <ns0:c r="A816" s="215">
        <ns0:f>IF(OR(AH!$P$3=0,811+1&gt;AH!$P$11,AND(AH!$E$4&lt;&gt;"Stored",AH!$P$10&lt;&gt;1)),"",IFERROR(IF(AND(AH!$P$21=1,811+1=AH!$P$11),TODAY(),IF(AH!$P$10=1,INDEX('Live History'!$A$5:$A$3004,AH!$P$13+811),INDEX('AH History'!$A$1:$A$18046,AH!$P$7+811))),""))</ns0:f>
        <ns0:v/>
      </ns0:c>
      <ns0:c r="B816" s="219">
        <ns0:f>IFERROR(IF(AND(AH!$P$9&lt;&gt;1,$C816&gt;0,$D816&gt;0,$E816&gt;0,$F816&gt;0,$G816&gt;0,$F816&lt;=$A816,$G816&lt;=$A816,$A816-$F816&lt;=10,$A816-$G816&lt;=5),$D816*$E816/$C816-1,NA()),NA())</ns0:f>
        <ns0:v/>
      </ns0:c>
      <ns0:c r="C816">
        <ns0:f>IFERROR(IF(ISNUMBER($A816),IF(AND(AH!$P$10=1,AH!$P$12=1,$A816=TODAY()),AH!$P$19,IF(AH!$P$10=1,INDEX('Live History'!$B$5:$B$3004,AH!$P$13+811),INDEX('AH History'!$B$1:$B$18046,AH!$P$7+811))),NA()),NA())</ns0:f>
        <ns0:v/>
      </ns0:c>
      <ns0:c r="D816">
        <ns0:f>IFERROR(IF(ISNUMBER($A816),IF(AND(AH!$P$10=1,AH!$P$12=1,$A816=TODAY()),AH!$P$18,IF(AH!$P$10=1,INDEX('Live History'!$E$5:$E$3004,MATCH($A816,'Live History'!$D$5:$D$3004,1)),INDEX('AH History'!$C$1:$C$18046,AH!$P$7+811))),NA()),NA())</ns0:f>
        <ns0:v/>
      </ns0:c>
      <ns0:c r="E816">
        <ns0:f>IFERROR(IF(ISNUMBER($A816),IF(AND(AH!$P$10=1,AH!$P$12=1,$A816=TODAY()),AH!$P$20,IF(AH!$P$10=1,INDEX('Live History'!$H$5:$H$3004,MATCH($A816,'Live History'!$G$5:$G$3004,1)),INDEX('AH History'!$D$1:$D$18046,AH!$P$7+811))),NA()),NA())</ns0:f>
        <ns0:v/>
      </ns0:c>
      <ns0:c r="F816">
        <ns0:f>IFERROR(IF(ISNUMBER($A816),IF(AND(AH!$P$10=1,AH!$P$12=1,$A816=TODAY()),IF(AND(AH!$P$10=1,AH!$P$12=1,$A816=TODAY()),TODAY(),NA()),IF(AH!$P$10=1,INDEX('Live History'!$D$5:$D$3004,MATCH($A816,'Live History'!$D$5:$D$3004,1)),INDEX('AH History'!$E$1:$E$18046,AH!$P$7+811))),NA()),NA())</ns0:f>
        <ns0:v/>
      </ns0:c>
      <ns0:c r="G816">
        <ns0:f>IFERROR(IF(ISNUMBER($A816),IF(AND(AH!$P$10=1,AH!$P$12=1,$A816=TODAY()),IF(AND(AH!$P$10=1,AH!$P$12=1,$A816=TODAY()),TODAY(),NA()),IF(AH!$P$10=1,INDEX('Live History'!$G$5:$G$3004,MATCH($A816,'Live History'!$G$5:$G$3004,1)),INDEX('AH History'!$F$1:$F$18046,AH!$P$7+811))),NA()),NA())</ns0:f>
        <ns0:v/>
      </ns0:c>
      <ns0:c r="H816">
        <ns0:f>IFERROR(IF(AND(AH!$E$4="Bloomberg",AH!$P$10=1,ISNUMBER($A816),$A816&lt;=AH!$P$17),AH!$P$7-1+MATCH($A816,INDEX('AH History'!$A$1:$A$18046,AH!$P$7):INDEX('AH History'!$A$1:$A$18046,AH!$P$7+AH!$P$8-1),0),0),0)</ns0:f>
        <ns0:v/>
      </ns0:c>
      <ns0:c r="I816">
        <ns0:f>IF($H816=0,0,IFERROR(IF(AND(ABS($C816-INDEX('AH History'!$B$1:$B$18046,$H816))&lt;=MAX(0.005,ABS(INDEX('AH History'!$B$1:$B$18046,$H816))*0.00005),ABS($D816-INDEX('AH History'!$C$1:$C$18046,$H816))&lt;=MAX(0.005,ABS(INDEX('AH History'!$C$1:$C$18046,$H816))*0.00005),ABS($E816-INDEX('AH History'!$D$1:$D$18046,$H816))&lt;=0.00005,$F816=INDEX('AH History'!$E$1:$E$18046,$H816),$G816=INDEX('AH History'!$F$1:$F$18046,$H816)),1,-1),-1))</ns0:f>
        <ns0:v/>
      </ns0:c>
    </ns0:row>
    <ns0:row r="817">
      <ns0:c r="A817" s="215">
        <ns0:f>IF(OR(AH!$P$3=0,812+1&gt;AH!$P$11,AND(AH!$E$4&lt;&gt;"Stored",AH!$P$10&lt;&gt;1)),"",IFERROR(IF(AND(AH!$P$21=1,812+1=AH!$P$11),TODAY(),IF(AH!$P$10=1,INDEX('Live History'!$A$5:$A$3004,AH!$P$13+812),INDEX('AH History'!$A$1:$A$18046,AH!$P$7+812))),""))</ns0:f>
        <ns0:v/>
      </ns0:c>
      <ns0:c r="B817" s="219">
        <ns0:f>IFERROR(IF(AND(AH!$P$9&lt;&gt;1,$C817&gt;0,$D817&gt;0,$E817&gt;0,$F817&gt;0,$G817&gt;0,$F817&lt;=$A817,$G817&lt;=$A817,$A817-$F817&lt;=10,$A817-$G817&lt;=5),$D817*$E817/$C817-1,NA()),NA())</ns0:f>
        <ns0:v/>
      </ns0:c>
      <ns0:c r="C817">
        <ns0:f>IFERROR(IF(ISNUMBER($A817),IF(AND(AH!$P$10=1,AH!$P$12=1,$A817=TODAY()),AH!$P$19,IF(AH!$P$10=1,INDEX('Live History'!$B$5:$B$3004,AH!$P$13+812),INDEX('AH History'!$B$1:$B$18046,AH!$P$7+812))),NA()),NA())</ns0:f>
        <ns0:v/>
      </ns0:c>
      <ns0:c r="D817">
        <ns0:f>IFERROR(IF(ISNUMBER($A817),IF(AND(AH!$P$10=1,AH!$P$12=1,$A817=TODAY()),AH!$P$18,IF(AH!$P$10=1,INDEX('Live History'!$E$5:$E$3004,MATCH($A817,'Live History'!$D$5:$D$3004,1)),INDEX('AH History'!$C$1:$C$18046,AH!$P$7+812))),NA()),NA())</ns0:f>
        <ns0:v/>
      </ns0:c>
      <ns0:c r="E817">
        <ns0:f>IFERROR(IF(ISNUMBER($A817),IF(AND(AH!$P$10=1,AH!$P$12=1,$A817=TODAY()),AH!$P$20,IF(AH!$P$10=1,INDEX('Live History'!$H$5:$H$3004,MATCH($A817,'Live History'!$G$5:$G$3004,1)),INDEX('AH History'!$D$1:$D$18046,AH!$P$7+812))),NA()),NA())</ns0:f>
        <ns0:v/>
      </ns0:c>
      <ns0:c r="F817">
        <ns0:f>IFERROR(IF(ISNUMBER($A817),IF(AND(AH!$P$10=1,AH!$P$12=1,$A817=TODAY()),IF(AND(AH!$P$10=1,AH!$P$12=1,$A817=TODAY()),TODAY(),NA()),IF(AH!$P$10=1,INDEX('Live History'!$D$5:$D$3004,MATCH($A817,'Live History'!$D$5:$D$3004,1)),INDEX('AH History'!$E$1:$E$18046,AH!$P$7+812))),NA()),NA())</ns0:f>
        <ns0:v/>
      </ns0:c>
      <ns0:c r="G817">
        <ns0:f>IFERROR(IF(ISNUMBER($A817),IF(AND(AH!$P$10=1,AH!$P$12=1,$A817=TODAY()),IF(AND(AH!$P$10=1,AH!$P$12=1,$A817=TODAY()),TODAY(),NA()),IF(AH!$P$10=1,INDEX('Live History'!$G$5:$G$3004,MATCH($A817,'Live History'!$G$5:$G$3004,1)),INDEX('AH History'!$F$1:$F$18046,AH!$P$7+812))),NA()),NA())</ns0:f>
        <ns0:v/>
      </ns0:c>
      <ns0:c r="H817">
        <ns0:f>IFERROR(IF(AND(AH!$E$4="Bloomberg",AH!$P$10=1,ISNUMBER($A817),$A817&lt;=AH!$P$17),AH!$P$7-1+MATCH($A817,INDEX('AH History'!$A$1:$A$18046,AH!$P$7):INDEX('AH History'!$A$1:$A$18046,AH!$P$7+AH!$P$8-1),0),0),0)</ns0:f>
        <ns0:v/>
      </ns0:c>
      <ns0:c r="I817">
        <ns0:f>IF($H817=0,0,IFERROR(IF(AND(ABS($C817-INDEX('AH History'!$B$1:$B$18046,$H817))&lt;=MAX(0.005,ABS(INDEX('AH History'!$B$1:$B$18046,$H817))*0.00005),ABS($D817-INDEX('AH History'!$C$1:$C$18046,$H817))&lt;=MAX(0.005,ABS(INDEX('AH History'!$C$1:$C$18046,$H817))*0.00005),ABS($E817-INDEX('AH History'!$D$1:$D$18046,$H817))&lt;=0.00005,$F817=INDEX('AH History'!$E$1:$E$18046,$H817),$G817=INDEX('AH History'!$F$1:$F$18046,$H817)),1,-1),-1))</ns0:f>
        <ns0:v/>
      </ns0:c>
    </ns0:row>
    <ns0:row r="818">
      <ns0:c r="A818" s="215">
        <ns0:f>IF(OR(AH!$P$3=0,813+1&gt;AH!$P$11,AND(AH!$E$4&lt;&gt;"Stored",AH!$P$10&lt;&gt;1)),"",IFERROR(IF(AND(AH!$P$21=1,813+1=AH!$P$11),TODAY(),IF(AH!$P$10=1,INDEX('Live History'!$A$5:$A$3004,AH!$P$13+813),INDEX('AH History'!$A$1:$A$18046,AH!$P$7+813))),""))</ns0:f>
        <ns0:v/>
      </ns0:c>
      <ns0:c r="B818" s="219">
        <ns0:f>IFERROR(IF(AND(AH!$P$9&lt;&gt;1,$C818&gt;0,$D818&gt;0,$E818&gt;0,$F818&gt;0,$G818&gt;0,$F818&lt;=$A818,$G818&lt;=$A818,$A818-$F818&lt;=10,$A818-$G818&lt;=5),$D818*$E818/$C818-1,NA()),NA())</ns0:f>
        <ns0:v/>
      </ns0:c>
      <ns0:c r="C818">
        <ns0:f>IFERROR(IF(ISNUMBER($A818),IF(AND(AH!$P$10=1,AH!$P$12=1,$A818=TODAY()),AH!$P$19,IF(AH!$P$10=1,INDEX('Live History'!$B$5:$B$3004,AH!$P$13+813),INDEX('AH History'!$B$1:$B$18046,AH!$P$7+813))),NA()),NA())</ns0:f>
        <ns0:v/>
      </ns0:c>
      <ns0:c r="D818">
        <ns0:f>IFERROR(IF(ISNUMBER($A818),IF(AND(AH!$P$10=1,AH!$P$12=1,$A818=TODAY()),AH!$P$18,IF(AH!$P$10=1,INDEX('Live History'!$E$5:$E$3004,MATCH($A818,'Live History'!$D$5:$D$3004,1)),INDEX('AH History'!$C$1:$C$18046,AH!$P$7+813))),NA()),NA())</ns0:f>
        <ns0:v/>
      </ns0:c>
      <ns0:c r="E818">
        <ns0:f>IFERROR(IF(ISNUMBER($A818),IF(AND(AH!$P$10=1,AH!$P$12=1,$A818=TODAY()),AH!$P$20,IF(AH!$P$10=1,INDEX('Live History'!$H$5:$H$3004,MATCH($A818,'Live History'!$G$5:$G$3004,1)),INDEX('AH History'!$D$1:$D$18046,AH!$P$7+813))),NA()),NA())</ns0:f>
        <ns0:v/>
      </ns0:c>
      <ns0:c r="F818">
        <ns0:f>IFERROR(IF(ISNUMBER($A818),IF(AND(AH!$P$10=1,AH!$P$12=1,$A818=TODAY()),IF(AND(AH!$P$10=1,AH!$P$12=1,$A818=TODAY()),TODAY(),NA()),IF(AH!$P$10=1,INDEX('Live History'!$D$5:$D$3004,MATCH($A818,'Live History'!$D$5:$D$3004,1)),INDEX('AH History'!$E$1:$E$18046,AH!$P$7+813))),NA()),NA())</ns0:f>
        <ns0:v/>
      </ns0:c>
      <ns0:c r="G818">
        <ns0:f>IFERROR(IF(ISNUMBER($A818),IF(AND(AH!$P$10=1,AH!$P$12=1,$A818=TODAY()),IF(AND(AH!$P$10=1,AH!$P$12=1,$A818=TODAY()),TODAY(),NA()),IF(AH!$P$10=1,INDEX('Live History'!$G$5:$G$3004,MATCH($A818,'Live History'!$G$5:$G$3004,1)),INDEX('AH History'!$F$1:$F$18046,AH!$P$7+813))),NA()),NA())</ns0:f>
        <ns0:v/>
      </ns0:c>
      <ns0:c r="H818">
        <ns0:f>IFERROR(IF(AND(AH!$E$4="Bloomberg",AH!$P$10=1,ISNUMBER($A818),$A818&lt;=AH!$P$17),AH!$P$7-1+MATCH($A818,INDEX('AH History'!$A$1:$A$18046,AH!$P$7):INDEX('AH History'!$A$1:$A$18046,AH!$P$7+AH!$P$8-1),0),0),0)</ns0:f>
        <ns0:v/>
      </ns0:c>
      <ns0:c r="I818">
        <ns0:f>IF($H818=0,0,IFERROR(IF(AND(ABS($C818-INDEX('AH History'!$B$1:$B$18046,$H818))&lt;=MAX(0.005,ABS(INDEX('AH History'!$B$1:$B$18046,$H818))*0.00005),ABS($D818-INDEX('AH History'!$C$1:$C$18046,$H818))&lt;=MAX(0.005,ABS(INDEX('AH History'!$C$1:$C$18046,$H818))*0.00005),ABS($E818-INDEX('AH History'!$D$1:$D$18046,$H818))&lt;=0.00005,$F818=INDEX('AH History'!$E$1:$E$18046,$H818),$G818=INDEX('AH History'!$F$1:$F$18046,$H818)),1,-1),-1))</ns0:f>
        <ns0:v/>
      </ns0:c>
    </ns0:row>
    <ns0:row r="819">
      <ns0:c r="A819" s="215">
        <ns0:f>IF(OR(AH!$P$3=0,814+1&gt;AH!$P$11,AND(AH!$E$4&lt;&gt;"Stored",AH!$P$10&lt;&gt;1)),"",IFERROR(IF(AND(AH!$P$21=1,814+1=AH!$P$11),TODAY(),IF(AH!$P$10=1,INDEX('Live History'!$A$5:$A$3004,AH!$P$13+814),INDEX('AH History'!$A$1:$A$18046,AH!$P$7+814))),""))</ns0:f>
        <ns0:v/>
      </ns0:c>
      <ns0:c r="B819" s="219">
        <ns0:f>IFERROR(IF(AND(AH!$P$9&lt;&gt;1,$C819&gt;0,$D819&gt;0,$E819&gt;0,$F819&gt;0,$G819&gt;0,$F819&lt;=$A819,$G819&lt;=$A819,$A819-$F819&lt;=10,$A819-$G819&lt;=5),$D819*$E819/$C819-1,NA()),NA())</ns0:f>
        <ns0:v/>
      </ns0:c>
      <ns0:c r="C819">
        <ns0:f>IFERROR(IF(ISNUMBER($A819),IF(AND(AH!$P$10=1,AH!$P$12=1,$A819=TODAY()),AH!$P$19,IF(AH!$P$10=1,INDEX('Live History'!$B$5:$B$3004,AH!$P$13+814),INDEX('AH History'!$B$1:$B$18046,AH!$P$7+814))),NA()),NA())</ns0:f>
        <ns0:v/>
      </ns0:c>
      <ns0:c r="D819">
        <ns0:f>IFERROR(IF(ISNUMBER($A819),IF(AND(AH!$P$10=1,AH!$P$12=1,$A819=TODAY()),AH!$P$18,IF(AH!$P$10=1,INDEX('Live History'!$E$5:$E$3004,MATCH($A819,'Live History'!$D$5:$D$3004,1)),INDEX('AH History'!$C$1:$C$18046,AH!$P$7+814))),NA()),NA())</ns0:f>
        <ns0:v/>
      </ns0:c>
      <ns0:c r="E819">
        <ns0:f>IFERROR(IF(ISNUMBER($A819),IF(AND(AH!$P$10=1,AH!$P$12=1,$A819=TODAY()),AH!$P$20,IF(AH!$P$10=1,INDEX('Live History'!$H$5:$H$3004,MATCH($A819,'Live History'!$G$5:$G$3004,1)),INDEX('AH History'!$D$1:$D$18046,AH!$P$7+814))),NA()),NA())</ns0:f>
        <ns0:v/>
      </ns0:c>
      <ns0:c r="F819">
        <ns0:f>IFERROR(IF(ISNUMBER($A819),IF(AND(AH!$P$10=1,AH!$P$12=1,$A819=TODAY()),IF(AND(AH!$P$10=1,AH!$P$12=1,$A819=TODAY()),TODAY(),NA()),IF(AH!$P$10=1,INDEX('Live History'!$D$5:$D$3004,MATCH($A819,'Live History'!$D$5:$D$3004,1)),INDEX('AH History'!$E$1:$E$18046,AH!$P$7+814))),NA()),NA())</ns0:f>
        <ns0:v/>
      </ns0:c>
      <ns0:c r="G819">
        <ns0:f>IFERROR(IF(ISNUMBER($A819),IF(AND(AH!$P$10=1,AH!$P$12=1,$A819=TODAY()),IF(AND(AH!$P$10=1,AH!$P$12=1,$A819=TODAY()),TODAY(),NA()),IF(AH!$P$10=1,INDEX('Live History'!$G$5:$G$3004,MATCH($A819,'Live History'!$G$5:$G$3004,1)),INDEX('AH History'!$F$1:$F$18046,AH!$P$7+814))),NA()),NA())</ns0:f>
        <ns0:v/>
      </ns0:c>
      <ns0:c r="H819">
        <ns0:f>IFERROR(IF(AND(AH!$E$4="Bloomberg",AH!$P$10=1,ISNUMBER($A819),$A819&lt;=AH!$P$17),AH!$P$7-1+MATCH($A819,INDEX('AH History'!$A$1:$A$18046,AH!$P$7):INDEX('AH History'!$A$1:$A$18046,AH!$P$7+AH!$P$8-1),0),0),0)</ns0:f>
        <ns0:v/>
      </ns0:c>
      <ns0:c r="I819">
        <ns0:f>IF($H819=0,0,IFERROR(IF(AND(ABS($C819-INDEX('AH History'!$B$1:$B$18046,$H819))&lt;=MAX(0.005,ABS(INDEX('AH History'!$B$1:$B$18046,$H819))*0.00005),ABS($D819-INDEX('AH History'!$C$1:$C$18046,$H819))&lt;=MAX(0.005,ABS(INDEX('AH History'!$C$1:$C$18046,$H819))*0.00005),ABS($E819-INDEX('AH History'!$D$1:$D$18046,$H819))&lt;=0.00005,$F819=INDEX('AH History'!$E$1:$E$18046,$H819),$G819=INDEX('AH History'!$F$1:$F$18046,$H819)),1,-1),-1))</ns0:f>
        <ns0:v/>
      </ns0:c>
    </ns0:row>
    <ns0:row r="820">
      <ns0:c r="A820" s="215">
        <ns0:f>IF(OR(AH!$P$3=0,815+1&gt;AH!$P$11,AND(AH!$E$4&lt;&gt;"Stored",AH!$P$10&lt;&gt;1)),"",IFERROR(IF(AND(AH!$P$21=1,815+1=AH!$P$11),TODAY(),IF(AH!$P$10=1,INDEX('Live History'!$A$5:$A$3004,AH!$P$13+815),INDEX('AH History'!$A$1:$A$18046,AH!$P$7+815))),""))</ns0:f>
        <ns0:v/>
      </ns0:c>
      <ns0:c r="B820" s="219">
        <ns0:f>IFERROR(IF(AND(AH!$P$9&lt;&gt;1,$C820&gt;0,$D820&gt;0,$E820&gt;0,$F820&gt;0,$G820&gt;0,$F820&lt;=$A820,$G820&lt;=$A820,$A820-$F820&lt;=10,$A820-$G820&lt;=5),$D820*$E820/$C820-1,NA()),NA())</ns0:f>
        <ns0:v/>
      </ns0:c>
      <ns0:c r="C820">
        <ns0:f>IFERROR(IF(ISNUMBER($A820),IF(AND(AH!$P$10=1,AH!$P$12=1,$A820=TODAY()),AH!$P$19,IF(AH!$P$10=1,INDEX('Live History'!$B$5:$B$3004,AH!$P$13+815),INDEX('AH History'!$B$1:$B$18046,AH!$P$7+815))),NA()),NA())</ns0:f>
        <ns0:v/>
      </ns0:c>
      <ns0:c r="D820">
        <ns0:f>IFERROR(IF(ISNUMBER($A820),IF(AND(AH!$P$10=1,AH!$P$12=1,$A820=TODAY()),AH!$P$18,IF(AH!$P$10=1,INDEX('Live History'!$E$5:$E$3004,MATCH($A820,'Live History'!$D$5:$D$3004,1)),INDEX('AH History'!$C$1:$C$18046,AH!$P$7+815))),NA()),NA())</ns0:f>
        <ns0:v/>
      </ns0:c>
      <ns0:c r="E820">
        <ns0:f>IFERROR(IF(ISNUMBER($A820),IF(AND(AH!$P$10=1,AH!$P$12=1,$A820=TODAY()),AH!$P$20,IF(AH!$P$10=1,INDEX('Live History'!$H$5:$H$3004,MATCH($A820,'Live History'!$G$5:$G$3004,1)),INDEX('AH History'!$D$1:$D$18046,AH!$P$7+815))),NA()),NA())</ns0:f>
        <ns0:v/>
      </ns0:c>
      <ns0:c r="F820">
        <ns0:f>IFERROR(IF(ISNUMBER($A820),IF(AND(AH!$P$10=1,AH!$P$12=1,$A820=TODAY()),IF(AND(AH!$P$10=1,AH!$P$12=1,$A820=TODAY()),TODAY(),NA()),IF(AH!$P$10=1,INDEX('Live History'!$D$5:$D$3004,MATCH($A820,'Live History'!$D$5:$D$3004,1)),INDEX('AH History'!$E$1:$E$18046,AH!$P$7+815))),NA()),NA())</ns0:f>
        <ns0:v/>
      </ns0:c>
      <ns0:c r="G820">
        <ns0:f>IFERROR(IF(ISNUMBER($A820),IF(AND(AH!$P$10=1,AH!$P$12=1,$A820=TODAY()),IF(AND(AH!$P$10=1,AH!$P$12=1,$A820=TODAY()),TODAY(),NA()),IF(AH!$P$10=1,INDEX('Live History'!$G$5:$G$3004,MATCH($A820,'Live History'!$G$5:$G$3004,1)),INDEX('AH History'!$F$1:$F$18046,AH!$P$7+815))),NA()),NA())</ns0:f>
        <ns0:v/>
      </ns0:c>
      <ns0:c r="H820">
        <ns0:f>IFERROR(IF(AND(AH!$E$4="Bloomberg",AH!$P$10=1,ISNUMBER($A820),$A820&lt;=AH!$P$17),AH!$P$7-1+MATCH($A820,INDEX('AH History'!$A$1:$A$18046,AH!$P$7):INDEX('AH History'!$A$1:$A$18046,AH!$P$7+AH!$P$8-1),0),0),0)</ns0:f>
        <ns0:v/>
      </ns0:c>
      <ns0:c r="I820">
        <ns0:f>IF($H820=0,0,IFERROR(IF(AND(ABS($C820-INDEX('AH History'!$B$1:$B$18046,$H820))&lt;=MAX(0.005,ABS(INDEX('AH History'!$B$1:$B$18046,$H820))*0.00005),ABS($D820-INDEX('AH History'!$C$1:$C$18046,$H820))&lt;=MAX(0.005,ABS(INDEX('AH History'!$C$1:$C$18046,$H820))*0.00005),ABS($E820-INDEX('AH History'!$D$1:$D$18046,$H820))&lt;=0.00005,$F820=INDEX('AH History'!$E$1:$E$18046,$H820),$G820=INDEX('AH History'!$F$1:$F$18046,$H820)),1,-1),-1))</ns0:f>
        <ns0:v/>
      </ns0:c>
    </ns0:row>
    <ns0:row r="821">
      <ns0:c r="A821" s="215">
        <ns0:f>IF(OR(AH!$P$3=0,816+1&gt;AH!$P$11,AND(AH!$E$4&lt;&gt;"Stored",AH!$P$10&lt;&gt;1)),"",IFERROR(IF(AND(AH!$P$21=1,816+1=AH!$P$11),TODAY(),IF(AH!$P$10=1,INDEX('Live History'!$A$5:$A$3004,AH!$P$13+816),INDEX('AH History'!$A$1:$A$18046,AH!$P$7+816))),""))</ns0:f>
        <ns0:v/>
      </ns0:c>
      <ns0:c r="B821" s="219">
        <ns0:f>IFERROR(IF(AND(AH!$P$9&lt;&gt;1,$C821&gt;0,$D821&gt;0,$E821&gt;0,$F821&gt;0,$G821&gt;0,$F821&lt;=$A821,$G821&lt;=$A821,$A821-$F821&lt;=10,$A821-$G821&lt;=5),$D821*$E821/$C821-1,NA()),NA())</ns0:f>
        <ns0:v/>
      </ns0:c>
      <ns0:c r="C821">
        <ns0:f>IFERROR(IF(ISNUMBER($A821),IF(AND(AH!$P$10=1,AH!$P$12=1,$A821=TODAY()),AH!$P$19,IF(AH!$P$10=1,INDEX('Live History'!$B$5:$B$3004,AH!$P$13+816),INDEX('AH History'!$B$1:$B$18046,AH!$P$7+816))),NA()),NA())</ns0:f>
        <ns0:v/>
      </ns0:c>
      <ns0:c r="D821">
        <ns0:f>IFERROR(IF(ISNUMBER($A821),IF(AND(AH!$P$10=1,AH!$P$12=1,$A821=TODAY()),AH!$P$18,IF(AH!$P$10=1,INDEX('Live History'!$E$5:$E$3004,MATCH($A821,'Live History'!$D$5:$D$3004,1)),INDEX('AH History'!$C$1:$C$18046,AH!$P$7+816))),NA()),NA())</ns0:f>
        <ns0:v/>
      </ns0:c>
      <ns0:c r="E821">
        <ns0:f>IFERROR(IF(ISNUMBER($A821),IF(AND(AH!$P$10=1,AH!$P$12=1,$A821=TODAY()),AH!$P$20,IF(AH!$P$10=1,INDEX('Live History'!$H$5:$H$3004,MATCH($A821,'Live History'!$G$5:$G$3004,1)),INDEX('AH History'!$D$1:$D$18046,AH!$P$7+816))),NA()),NA())</ns0:f>
        <ns0:v/>
      </ns0:c>
      <ns0:c r="F821">
        <ns0:f>IFERROR(IF(ISNUMBER($A821),IF(AND(AH!$P$10=1,AH!$P$12=1,$A821=TODAY()),IF(AND(AH!$P$10=1,AH!$P$12=1,$A821=TODAY()),TODAY(),NA()),IF(AH!$P$10=1,INDEX('Live History'!$D$5:$D$3004,MATCH($A821,'Live History'!$D$5:$D$3004,1)),INDEX('AH History'!$E$1:$E$18046,AH!$P$7+816))),NA()),NA())</ns0:f>
        <ns0:v/>
      </ns0:c>
      <ns0:c r="G821">
        <ns0:f>IFERROR(IF(ISNUMBER($A821),IF(AND(AH!$P$10=1,AH!$P$12=1,$A821=TODAY()),IF(AND(AH!$P$10=1,AH!$P$12=1,$A821=TODAY()),TODAY(),NA()),IF(AH!$P$10=1,INDEX('Live History'!$G$5:$G$3004,MATCH($A821,'Live History'!$G$5:$G$3004,1)),INDEX('AH History'!$F$1:$F$18046,AH!$P$7+816))),NA()),NA())</ns0:f>
        <ns0:v/>
      </ns0:c>
      <ns0:c r="H821">
        <ns0:f>IFERROR(IF(AND(AH!$E$4="Bloomberg",AH!$P$10=1,ISNUMBER($A821),$A821&lt;=AH!$P$17),AH!$P$7-1+MATCH($A821,INDEX('AH History'!$A$1:$A$18046,AH!$P$7):INDEX('AH History'!$A$1:$A$18046,AH!$P$7+AH!$P$8-1),0),0),0)</ns0:f>
        <ns0:v/>
      </ns0:c>
      <ns0:c r="I821">
        <ns0:f>IF($H821=0,0,IFERROR(IF(AND(ABS($C821-INDEX('AH History'!$B$1:$B$18046,$H821))&lt;=MAX(0.005,ABS(INDEX('AH History'!$B$1:$B$18046,$H821))*0.00005),ABS($D821-INDEX('AH History'!$C$1:$C$18046,$H821))&lt;=MAX(0.005,ABS(INDEX('AH History'!$C$1:$C$18046,$H821))*0.00005),ABS($E821-INDEX('AH History'!$D$1:$D$18046,$H821))&lt;=0.00005,$F821=INDEX('AH History'!$E$1:$E$18046,$H821),$G821=INDEX('AH History'!$F$1:$F$18046,$H821)),1,-1),-1))</ns0:f>
        <ns0:v/>
      </ns0:c>
    </ns0:row>
    <ns0:row r="822">
      <ns0:c r="A822" s="215">
        <ns0:f>IF(OR(AH!$P$3=0,817+1&gt;AH!$P$11,AND(AH!$E$4&lt;&gt;"Stored",AH!$P$10&lt;&gt;1)),"",IFERROR(IF(AND(AH!$P$21=1,817+1=AH!$P$11),TODAY(),IF(AH!$P$10=1,INDEX('Live History'!$A$5:$A$3004,AH!$P$13+817),INDEX('AH History'!$A$1:$A$18046,AH!$P$7+817))),""))</ns0:f>
        <ns0:v/>
      </ns0:c>
      <ns0:c r="B822" s="219">
        <ns0:f>IFERROR(IF(AND(AH!$P$9&lt;&gt;1,$C822&gt;0,$D822&gt;0,$E822&gt;0,$F822&gt;0,$G822&gt;0,$F822&lt;=$A822,$G822&lt;=$A822,$A822-$F822&lt;=10,$A822-$G822&lt;=5),$D822*$E822/$C822-1,NA()),NA())</ns0:f>
        <ns0:v/>
      </ns0:c>
      <ns0:c r="C822">
        <ns0:f>IFERROR(IF(ISNUMBER($A822),IF(AND(AH!$P$10=1,AH!$P$12=1,$A822=TODAY()),AH!$P$19,IF(AH!$P$10=1,INDEX('Live History'!$B$5:$B$3004,AH!$P$13+817),INDEX('AH History'!$B$1:$B$18046,AH!$P$7+817))),NA()),NA())</ns0:f>
        <ns0:v/>
      </ns0:c>
      <ns0:c r="D822">
        <ns0:f>IFERROR(IF(ISNUMBER($A822),IF(AND(AH!$P$10=1,AH!$P$12=1,$A822=TODAY()),AH!$P$18,IF(AH!$P$10=1,INDEX('Live History'!$E$5:$E$3004,MATCH($A822,'Live History'!$D$5:$D$3004,1)),INDEX('AH History'!$C$1:$C$18046,AH!$P$7+817))),NA()),NA())</ns0:f>
        <ns0:v/>
      </ns0:c>
      <ns0:c r="E822">
        <ns0:f>IFERROR(IF(ISNUMBER($A822),IF(AND(AH!$P$10=1,AH!$P$12=1,$A822=TODAY()),AH!$P$20,IF(AH!$P$10=1,INDEX('Live History'!$H$5:$H$3004,MATCH($A822,'Live History'!$G$5:$G$3004,1)),INDEX('AH History'!$D$1:$D$18046,AH!$P$7+817))),NA()),NA())</ns0:f>
        <ns0:v/>
      </ns0:c>
      <ns0:c r="F822">
        <ns0:f>IFERROR(IF(ISNUMBER($A822),IF(AND(AH!$P$10=1,AH!$P$12=1,$A822=TODAY()),IF(AND(AH!$P$10=1,AH!$P$12=1,$A822=TODAY()),TODAY(),NA()),IF(AH!$P$10=1,INDEX('Live History'!$D$5:$D$3004,MATCH($A822,'Live History'!$D$5:$D$3004,1)),INDEX('AH History'!$E$1:$E$18046,AH!$P$7+817))),NA()),NA())</ns0:f>
        <ns0:v/>
      </ns0:c>
      <ns0:c r="G822">
        <ns0:f>IFERROR(IF(ISNUMBER($A822),IF(AND(AH!$P$10=1,AH!$P$12=1,$A822=TODAY()),IF(AND(AH!$P$10=1,AH!$P$12=1,$A822=TODAY()),TODAY(),NA()),IF(AH!$P$10=1,INDEX('Live History'!$G$5:$G$3004,MATCH($A822,'Live History'!$G$5:$G$3004,1)),INDEX('AH History'!$F$1:$F$18046,AH!$P$7+817))),NA()),NA())</ns0:f>
        <ns0:v/>
      </ns0:c>
      <ns0:c r="H822">
        <ns0:f>IFERROR(IF(AND(AH!$E$4="Bloomberg",AH!$P$10=1,ISNUMBER($A822),$A822&lt;=AH!$P$17),AH!$P$7-1+MATCH($A822,INDEX('AH History'!$A$1:$A$18046,AH!$P$7):INDEX('AH History'!$A$1:$A$18046,AH!$P$7+AH!$P$8-1),0),0),0)</ns0:f>
        <ns0:v/>
      </ns0:c>
      <ns0:c r="I822">
        <ns0:f>IF($H822=0,0,IFERROR(IF(AND(ABS($C822-INDEX('AH History'!$B$1:$B$18046,$H822))&lt;=MAX(0.005,ABS(INDEX('AH History'!$B$1:$B$18046,$H822))*0.00005),ABS($D822-INDEX('AH History'!$C$1:$C$18046,$H822))&lt;=MAX(0.005,ABS(INDEX('AH History'!$C$1:$C$18046,$H822))*0.00005),ABS($E822-INDEX('AH History'!$D$1:$D$18046,$H822))&lt;=0.00005,$F822=INDEX('AH History'!$E$1:$E$18046,$H822),$G822=INDEX('AH History'!$F$1:$F$18046,$H822)),1,-1),-1))</ns0:f>
        <ns0:v/>
      </ns0:c>
    </ns0:row>
    <ns0:row r="823">
      <ns0:c r="A823" s="215">
        <ns0:f>IF(OR(AH!$P$3=0,818+1&gt;AH!$P$11,AND(AH!$E$4&lt;&gt;"Stored",AH!$P$10&lt;&gt;1)),"",IFERROR(IF(AND(AH!$P$21=1,818+1=AH!$P$11),TODAY(),IF(AH!$P$10=1,INDEX('Live History'!$A$5:$A$3004,AH!$P$13+818),INDEX('AH History'!$A$1:$A$18046,AH!$P$7+818))),""))</ns0:f>
        <ns0:v/>
      </ns0:c>
      <ns0:c r="B823" s="219">
        <ns0:f>IFERROR(IF(AND(AH!$P$9&lt;&gt;1,$C823&gt;0,$D823&gt;0,$E823&gt;0,$F823&gt;0,$G823&gt;0,$F823&lt;=$A823,$G823&lt;=$A823,$A823-$F823&lt;=10,$A823-$G823&lt;=5),$D823*$E823/$C823-1,NA()),NA())</ns0:f>
        <ns0:v/>
      </ns0:c>
      <ns0:c r="C823">
        <ns0:f>IFERROR(IF(ISNUMBER($A823),IF(AND(AH!$P$10=1,AH!$P$12=1,$A823=TODAY()),AH!$P$19,IF(AH!$P$10=1,INDEX('Live History'!$B$5:$B$3004,AH!$P$13+818),INDEX('AH History'!$B$1:$B$18046,AH!$P$7+818))),NA()),NA())</ns0:f>
        <ns0:v/>
      </ns0:c>
      <ns0:c r="D823">
        <ns0:f>IFERROR(IF(ISNUMBER($A823),IF(AND(AH!$P$10=1,AH!$P$12=1,$A823=TODAY()),AH!$P$18,IF(AH!$P$10=1,INDEX('Live History'!$E$5:$E$3004,MATCH($A823,'Live History'!$D$5:$D$3004,1)),INDEX('AH History'!$C$1:$C$18046,AH!$P$7+818))),NA()),NA())</ns0:f>
        <ns0:v/>
      </ns0:c>
      <ns0:c r="E823">
        <ns0:f>IFERROR(IF(ISNUMBER($A823),IF(AND(AH!$P$10=1,AH!$P$12=1,$A823=TODAY()),AH!$P$20,IF(AH!$P$10=1,INDEX('Live History'!$H$5:$H$3004,MATCH($A823,'Live History'!$G$5:$G$3004,1)),INDEX('AH History'!$D$1:$D$18046,AH!$P$7+818))),NA()),NA())</ns0:f>
        <ns0:v/>
      </ns0:c>
      <ns0:c r="F823">
        <ns0:f>IFERROR(IF(ISNUMBER($A823),IF(AND(AH!$P$10=1,AH!$P$12=1,$A823=TODAY()),IF(AND(AH!$P$10=1,AH!$P$12=1,$A823=TODAY()),TODAY(),NA()),IF(AH!$P$10=1,INDEX('Live History'!$D$5:$D$3004,MATCH($A823,'Live History'!$D$5:$D$3004,1)),INDEX('AH History'!$E$1:$E$18046,AH!$P$7+818))),NA()),NA())</ns0:f>
        <ns0:v/>
      </ns0:c>
      <ns0:c r="G823">
        <ns0:f>IFERROR(IF(ISNUMBER($A823),IF(AND(AH!$P$10=1,AH!$P$12=1,$A823=TODAY()),IF(AND(AH!$P$10=1,AH!$P$12=1,$A823=TODAY()),TODAY(),NA()),IF(AH!$P$10=1,INDEX('Live History'!$G$5:$G$3004,MATCH($A823,'Live History'!$G$5:$G$3004,1)),INDEX('AH History'!$F$1:$F$18046,AH!$P$7+818))),NA()),NA())</ns0:f>
        <ns0:v/>
      </ns0:c>
      <ns0:c r="H823">
        <ns0:f>IFERROR(IF(AND(AH!$E$4="Bloomberg",AH!$P$10=1,ISNUMBER($A823),$A823&lt;=AH!$P$17),AH!$P$7-1+MATCH($A823,INDEX('AH History'!$A$1:$A$18046,AH!$P$7):INDEX('AH History'!$A$1:$A$18046,AH!$P$7+AH!$P$8-1),0),0),0)</ns0:f>
        <ns0:v/>
      </ns0:c>
      <ns0:c r="I823">
        <ns0:f>IF($H823=0,0,IFERROR(IF(AND(ABS($C823-INDEX('AH History'!$B$1:$B$18046,$H823))&lt;=MAX(0.005,ABS(INDEX('AH History'!$B$1:$B$18046,$H823))*0.00005),ABS($D823-INDEX('AH History'!$C$1:$C$18046,$H823))&lt;=MAX(0.005,ABS(INDEX('AH History'!$C$1:$C$18046,$H823))*0.00005),ABS($E823-INDEX('AH History'!$D$1:$D$18046,$H823))&lt;=0.00005,$F823=INDEX('AH History'!$E$1:$E$18046,$H823),$G823=INDEX('AH History'!$F$1:$F$18046,$H823)),1,-1),-1))</ns0:f>
        <ns0:v/>
      </ns0:c>
    </ns0:row>
    <ns0:row r="824">
      <ns0:c r="A824" s="215">
        <ns0:f>IF(OR(AH!$P$3=0,819+1&gt;AH!$P$11,AND(AH!$E$4&lt;&gt;"Stored",AH!$P$10&lt;&gt;1)),"",IFERROR(IF(AND(AH!$P$21=1,819+1=AH!$P$11),TODAY(),IF(AH!$P$10=1,INDEX('Live History'!$A$5:$A$3004,AH!$P$13+819),INDEX('AH History'!$A$1:$A$18046,AH!$P$7+819))),""))</ns0:f>
        <ns0:v/>
      </ns0:c>
      <ns0:c r="B824" s="219">
        <ns0:f>IFERROR(IF(AND(AH!$P$9&lt;&gt;1,$C824&gt;0,$D824&gt;0,$E824&gt;0,$F824&gt;0,$G824&gt;0,$F824&lt;=$A824,$G824&lt;=$A824,$A824-$F824&lt;=10,$A824-$G824&lt;=5),$D824*$E824/$C824-1,NA()),NA())</ns0:f>
        <ns0:v/>
      </ns0:c>
      <ns0:c r="C824">
        <ns0:f>IFERROR(IF(ISNUMBER($A824),IF(AND(AH!$P$10=1,AH!$P$12=1,$A824=TODAY()),AH!$P$19,IF(AH!$P$10=1,INDEX('Live History'!$B$5:$B$3004,AH!$P$13+819),INDEX('AH History'!$B$1:$B$18046,AH!$P$7+819))),NA()),NA())</ns0:f>
        <ns0:v/>
      </ns0:c>
      <ns0:c r="D824">
        <ns0:f>IFERROR(IF(ISNUMBER($A824),IF(AND(AH!$P$10=1,AH!$P$12=1,$A824=TODAY()),AH!$P$18,IF(AH!$P$10=1,INDEX('Live History'!$E$5:$E$3004,MATCH($A824,'Live History'!$D$5:$D$3004,1)),INDEX('AH History'!$C$1:$C$18046,AH!$P$7+819))),NA()),NA())</ns0:f>
        <ns0:v/>
      </ns0:c>
      <ns0:c r="E824">
        <ns0:f>IFERROR(IF(ISNUMBER($A824),IF(AND(AH!$P$10=1,AH!$P$12=1,$A824=TODAY()),AH!$P$20,IF(AH!$P$10=1,INDEX('Live History'!$H$5:$H$3004,MATCH($A824,'Live History'!$G$5:$G$3004,1)),INDEX('AH History'!$D$1:$D$18046,AH!$P$7+819))),NA()),NA())</ns0:f>
        <ns0:v/>
      </ns0:c>
      <ns0:c r="F824">
        <ns0:f>IFERROR(IF(ISNUMBER($A824),IF(AND(AH!$P$10=1,AH!$P$12=1,$A824=TODAY()),IF(AND(AH!$P$10=1,AH!$P$12=1,$A824=TODAY()),TODAY(),NA()),IF(AH!$P$10=1,INDEX('Live History'!$D$5:$D$3004,MATCH($A824,'Live History'!$D$5:$D$3004,1)),INDEX('AH History'!$E$1:$E$18046,AH!$P$7+819))),NA()),NA())</ns0:f>
        <ns0:v/>
      </ns0:c>
      <ns0:c r="G824">
        <ns0:f>IFERROR(IF(ISNUMBER($A824),IF(AND(AH!$P$10=1,AH!$P$12=1,$A824=TODAY()),IF(AND(AH!$P$10=1,AH!$P$12=1,$A824=TODAY()),TODAY(),NA()),IF(AH!$P$10=1,INDEX('Live History'!$G$5:$G$3004,MATCH($A824,'Live History'!$G$5:$G$3004,1)),INDEX('AH History'!$F$1:$F$18046,AH!$P$7+819))),NA()),NA())</ns0:f>
        <ns0:v/>
      </ns0:c>
      <ns0:c r="H824">
        <ns0:f>IFERROR(IF(AND(AH!$E$4="Bloomberg",AH!$P$10=1,ISNUMBER($A824),$A824&lt;=AH!$P$17),AH!$P$7-1+MATCH($A824,INDEX('AH History'!$A$1:$A$18046,AH!$P$7):INDEX('AH History'!$A$1:$A$18046,AH!$P$7+AH!$P$8-1),0),0),0)</ns0:f>
        <ns0:v/>
      </ns0:c>
      <ns0:c r="I824">
        <ns0:f>IF($H824=0,0,IFERROR(IF(AND(ABS($C824-INDEX('AH History'!$B$1:$B$18046,$H824))&lt;=MAX(0.005,ABS(INDEX('AH History'!$B$1:$B$18046,$H824))*0.00005),ABS($D824-INDEX('AH History'!$C$1:$C$18046,$H824))&lt;=MAX(0.005,ABS(INDEX('AH History'!$C$1:$C$18046,$H824))*0.00005),ABS($E824-INDEX('AH History'!$D$1:$D$18046,$H824))&lt;=0.00005,$F824=INDEX('AH History'!$E$1:$E$18046,$H824),$G824=INDEX('AH History'!$F$1:$F$18046,$H824)),1,-1),-1))</ns0:f>
        <ns0:v/>
      </ns0:c>
    </ns0:row>
    <ns0:row r="825">
      <ns0:c r="A825" s="215">
        <ns0:f>IF(OR(AH!$P$3=0,820+1&gt;AH!$P$11,AND(AH!$E$4&lt;&gt;"Stored",AH!$P$10&lt;&gt;1)),"",IFERROR(IF(AND(AH!$P$21=1,820+1=AH!$P$11),TODAY(),IF(AH!$P$10=1,INDEX('Live History'!$A$5:$A$3004,AH!$P$13+820),INDEX('AH History'!$A$1:$A$18046,AH!$P$7+820))),""))</ns0:f>
        <ns0:v/>
      </ns0:c>
      <ns0:c r="B825" s="219">
        <ns0:f>IFERROR(IF(AND(AH!$P$9&lt;&gt;1,$C825&gt;0,$D825&gt;0,$E825&gt;0,$F825&gt;0,$G825&gt;0,$F825&lt;=$A825,$G825&lt;=$A825,$A825-$F825&lt;=10,$A825-$G825&lt;=5),$D825*$E825/$C825-1,NA()),NA())</ns0:f>
        <ns0:v/>
      </ns0:c>
      <ns0:c r="C825">
        <ns0:f>IFERROR(IF(ISNUMBER($A825),IF(AND(AH!$P$10=1,AH!$P$12=1,$A825=TODAY()),AH!$P$19,IF(AH!$P$10=1,INDEX('Live History'!$B$5:$B$3004,AH!$P$13+820),INDEX('AH History'!$B$1:$B$18046,AH!$P$7+820))),NA()),NA())</ns0:f>
        <ns0:v/>
      </ns0:c>
      <ns0:c r="D825">
        <ns0:f>IFERROR(IF(ISNUMBER($A825),IF(AND(AH!$P$10=1,AH!$P$12=1,$A825=TODAY()),AH!$P$18,IF(AH!$P$10=1,INDEX('Live History'!$E$5:$E$3004,MATCH($A825,'Live History'!$D$5:$D$3004,1)),INDEX('AH History'!$C$1:$C$18046,AH!$P$7+820))),NA()),NA())</ns0:f>
        <ns0:v/>
      </ns0:c>
      <ns0:c r="E825">
        <ns0:f>IFERROR(IF(ISNUMBER($A825),IF(AND(AH!$P$10=1,AH!$P$12=1,$A825=TODAY()),AH!$P$20,IF(AH!$P$10=1,INDEX('Live History'!$H$5:$H$3004,MATCH($A825,'Live History'!$G$5:$G$3004,1)),INDEX('AH History'!$D$1:$D$18046,AH!$P$7+820))),NA()),NA())</ns0:f>
        <ns0:v/>
      </ns0:c>
      <ns0:c r="F825">
        <ns0:f>IFERROR(IF(ISNUMBER($A825),IF(AND(AH!$P$10=1,AH!$P$12=1,$A825=TODAY()),IF(AND(AH!$P$10=1,AH!$P$12=1,$A825=TODAY()),TODAY(),NA()),IF(AH!$P$10=1,INDEX('Live History'!$D$5:$D$3004,MATCH($A825,'Live History'!$D$5:$D$3004,1)),INDEX('AH History'!$E$1:$E$18046,AH!$P$7+820))),NA()),NA())</ns0:f>
        <ns0:v/>
      </ns0:c>
      <ns0:c r="G825">
        <ns0:f>IFERROR(IF(ISNUMBER($A825),IF(AND(AH!$P$10=1,AH!$P$12=1,$A825=TODAY()),IF(AND(AH!$P$10=1,AH!$P$12=1,$A825=TODAY()),TODAY(),NA()),IF(AH!$P$10=1,INDEX('Live History'!$G$5:$G$3004,MATCH($A825,'Live History'!$G$5:$G$3004,1)),INDEX('AH History'!$F$1:$F$18046,AH!$P$7+820))),NA()),NA())</ns0:f>
        <ns0:v/>
      </ns0:c>
      <ns0:c r="H825">
        <ns0:f>IFERROR(IF(AND(AH!$E$4="Bloomberg",AH!$P$10=1,ISNUMBER($A825),$A825&lt;=AH!$P$17),AH!$P$7-1+MATCH($A825,INDEX('AH History'!$A$1:$A$18046,AH!$P$7):INDEX('AH History'!$A$1:$A$18046,AH!$P$7+AH!$P$8-1),0),0),0)</ns0:f>
        <ns0:v/>
      </ns0:c>
      <ns0:c r="I825">
        <ns0:f>IF($H825=0,0,IFERROR(IF(AND(ABS($C825-INDEX('AH History'!$B$1:$B$18046,$H825))&lt;=MAX(0.005,ABS(INDEX('AH History'!$B$1:$B$18046,$H825))*0.00005),ABS($D825-INDEX('AH History'!$C$1:$C$18046,$H825))&lt;=MAX(0.005,ABS(INDEX('AH History'!$C$1:$C$18046,$H825))*0.00005),ABS($E825-INDEX('AH History'!$D$1:$D$18046,$H825))&lt;=0.00005,$F825=INDEX('AH History'!$E$1:$E$18046,$H825),$G825=INDEX('AH History'!$F$1:$F$18046,$H825)),1,-1),-1))</ns0:f>
        <ns0:v/>
      </ns0:c>
    </ns0:row>
    <ns0:row r="826">
      <ns0:c r="A826" s="215">
        <ns0:f>IF(OR(AH!$P$3=0,821+1&gt;AH!$P$11,AND(AH!$E$4&lt;&gt;"Stored",AH!$P$10&lt;&gt;1)),"",IFERROR(IF(AND(AH!$P$21=1,821+1=AH!$P$11),TODAY(),IF(AH!$P$10=1,INDEX('Live History'!$A$5:$A$3004,AH!$P$13+821),INDEX('AH History'!$A$1:$A$18046,AH!$P$7+821))),""))</ns0:f>
        <ns0:v/>
      </ns0:c>
      <ns0:c r="B826" s="219">
        <ns0:f>IFERROR(IF(AND(AH!$P$9&lt;&gt;1,$C826&gt;0,$D826&gt;0,$E826&gt;0,$F826&gt;0,$G826&gt;0,$F826&lt;=$A826,$G826&lt;=$A826,$A826-$F826&lt;=10,$A826-$G826&lt;=5),$D826*$E826/$C826-1,NA()),NA())</ns0:f>
        <ns0:v/>
      </ns0:c>
      <ns0:c r="C826">
        <ns0:f>IFERROR(IF(ISNUMBER($A826),IF(AND(AH!$P$10=1,AH!$P$12=1,$A826=TODAY()),AH!$P$19,IF(AH!$P$10=1,INDEX('Live History'!$B$5:$B$3004,AH!$P$13+821),INDEX('AH History'!$B$1:$B$18046,AH!$P$7+821))),NA()),NA())</ns0:f>
        <ns0:v/>
      </ns0:c>
      <ns0:c r="D826">
        <ns0:f>IFERROR(IF(ISNUMBER($A826),IF(AND(AH!$P$10=1,AH!$P$12=1,$A826=TODAY()),AH!$P$18,IF(AH!$P$10=1,INDEX('Live History'!$E$5:$E$3004,MATCH($A826,'Live History'!$D$5:$D$3004,1)),INDEX('AH History'!$C$1:$C$18046,AH!$P$7+821))),NA()),NA())</ns0:f>
        <ns0:v/>
      </ns0:c>
      <ns0:c r="E826">
        <ns0:f>IFERROR(IF(ISNUMBER($A826),IF(AND(AH!$P$10=1,AH!$P$12=1,$A826=TODAY()),AH!$P$20,IF(AH!$P$10=1,INDEX('Live History'!$H$5:$H$3004,MATCH($A826,'Live History'!$G$5:$G$3004,1)),INDEX('AH History'!$D$1:$D$18046,AH!$P$7+821))),NA()),NA())</ns0:f>
        <ns0:v/>
      </ns0:c>
      <ns0:c r="F826">
        <ns0:f>IFERROR(IF(ISNUMBER($A826),IF(AND(AH!$P$10=1,AH!$P$12=1,$A826=TODAY()),IF(AND(AH!$P$10=1,AH!$P$12=1,$A826=TODAY()),TODAY(),NA()),IF(AH!$P$10=1,INDEX('Live History'!$D$5:$D$3004,MATCH($A826,'Live History'!$D$5:$D$3004,1)),INDEX('AH History'!$E$1:$E$18046,AH!$P$7+821))),NA()),NA())</ns0:f>
        <ns0:v/>
      </ns0:c>
      <ns0:c r="G826">
        <ns0:f>IFERROR(IF(ISNUMBER($A826),IF(AND(AH!$P$10=1,AH!$P$12=1,$A826=TODAY()),IF(AND(AH!$P$10=1,AH!$P$12=1,$A826=TODAY()),TODAY(),NA()),IF(AH!$P$10=1,INDEX('Live History'!$G$5:$G$3004,MATCH($A826,'Live History'!$G$5:$G$3004,1)),INDEX('AH History'!$F$1:$F$18046,AH!$P$7+821))),NA()),NA())</ns0:f>
        <ns0:v/>
      </ns0:c>
      <ns0:c r="H826">
        <ns0:f>IFERROR(IF(AND(AH!$E$4="Bloomberg",AH!$P$10=1,ISNUMBER($A826),$A826&lt;=AH!$P$17),AH!$P$7-1+MATCH($A826,INDEX('AH History'!$A$1:$A$18046,AH!$P$7):INDEX('AH History'!$A$1:$A$18046,AH!$P$7+AH!$P$8-1),0),0),0)</ns0:f>
        <ns0:v/>
      </ns0:c>
      <ns0:c r="I826">
        <ns0:f>IF($H826=0,0,IFERROR(IF(AND(ABS($C826-INDEX('AH History'!$B$1:$B$18046,$H826))&lt;=MAX(0.005,ABS(INDEX('AH History'!$B$1:$B$18046,$H826))*0.00005),ABS($D826-INDEX('AH History'!$C$1:$C$18046,$H826))&lt;=MAX(0.005,ABS(INDEX('AH History'!$C$1:$C$18046,$H826))*0.00005),ABS($E826-INDEX('AH History'!$D$1:$D$18046,$H826))&lt;=0.00005,$F826=INDEX('AH History'!$E$1:$E$18046,$H826),$G826=INDEX('AH History'!$F$1:$F$18046,$H826)),1,-1),-1))</ns0:f>
        <ns0:v/>
      </ns0:c>
    </ns0:row>
    <ns0:row r="827">
      <ns0:c r="A827" s="215">
        <ns0:f>IF(OR(AH!$P$3=0,822+1&gt;AH!$P$11,AND(AH!$E$4&lt;&gt;"Stored",AH!$P$10&lt;&gt;1)),"",IFERROR(IF(AND(AH!$P$21=1,822+1=AH!$P$11),TODAY(),IF(AH!$P$10=1,INDEX('Live History'!$A$5:$A$3004,AH!$P$13+822),INDEX('AH History'!$A$1:$A$18046,AH!$P$7+822))),""))</ns0:f>
        <ns0:v/>
      </ns0:c>
      <ns0:c r="B827" s="219">
        <ns0:f>IFERROR(IF(AND(AH!$P$9&lt;&gt;1,$C827&gt;0,$D827&gt;0,$E827&gt;0,$F827&gt;0,$G827&gt;0,$F827&lt;=$A827,$G827&lt;=$A827,$A827-$F827&lt;=10,$A827-$G827&lt;=5),$D827*$E827/$C827-1,NA()),NA())</ns0:f>
        <ns0:v/>
      </ns0:c>
      <ns0:c r="C827">
        <ns0:f>IFERROR(IF(ISNUMBER($A827),IF(AND(AH!$P$10=1,AH!$P$12=1,$A827=TODAY()),AH!$P$19,IF(AH!$P$10=1,INDEX('Live History'!$B$5:$B$3004,AH!$P$13+822),INDEX('AH History'!$B$1:$B$18046,AH!$P$7+822))),NA()),NA())</ns0:f>
        <ns0:v/>
      </ns0:c>
      <ns0:c r="D827">
        <ns0:f>IFERROR(IF(ISNUMBER($A827),IF(AND(AH!$P$10=1,AH!$P$12=1,$A827=TODAY()),AH!$P$18,IF(AH!$P$10=1,INDEX('Live History'!$E$5:$E$3004,MATCH($A827,'Live History'!$D$5:$D$3004,1)),INDEX('AH History'!$C$1:$C$18046,AH!$P$7+822))),NA()),NA())</ns0:f>
        <ns0:v/>
      </ns0:c>
      <ns0:c r="E827">
        <ns0:f>IFERROR(IF(ISNUMBER($A827),IF(AND(AH!$P$10=1,AH!$P$12=1,$A827=TODAY()),AH!$P$20,IF(AH!$P$10=1,INDEX('Live History'!$H$5:$H$3004,MATCH($A827,'Live History'!$G$5:$G$3004,1)),INDEX('AH History'!$D$1:$D$18046,AH!$P$7+822))),NA()),NA())</ns0:f>
        <ns0:v/>
      </ns0:c>
      <ns0:c r="F827">
        <ns0:f>IFERROR(IF(ISNUMBER($A827),IF(AND(AH!$P$10=1,AH!$P$12=1,$A827=TODAY()),IF(AND(AH!$P$10=1,AH!$P$12=1,$A827=TODAY()),TODAY(),NA()),IF(AH!$P$10=1,INDEX('Live History'!$D$5:$D$3004,MATCH($A827,'Live History'!$D$5:$D$3004,1)),INDEX('AH History'!$E$1:$E$18046,AH!$P$7+822))),NA()),NA())</ns0:f>
        <ns0:v/>
      </ns0:c>
      <ns0:c r="G827">
        <ns0:f>IFERROR(IF(ISNUMBER($A827),IF(AND(AH!$P$10=1,AH!$P$12=1,$A827=TODAY()),IF(AND(AH!$P$10=1,AH!$P$12=1,$A827=TODAY()),TODAY(),NA()),IF(AH!$P$10=1,INDEX('Live History'!$G$5:$G$3004,MATCH($A827,'Live History'!$G$5:$G$3004,1)),INDEX('AH History'!$F$1:$F$18046,AH!$P$7+822))),NA()),NA())</ns0:f>
        <ns0:v/>
      </ns0:c>
      <ns0:c r="H827">
        <ns0:f>IFERROR(IF(AND(AH!$E$4="Bloomberg",AH!$P$10=1,ISNUMBER($A827),$A827&lt;=AH!$P$17),AH!$P$7-1+MATCH($A827,INDEX('AH History'!$A$1:$A$18046,AH!$P$7):INDEX('AH History'!$A$1:$A$18046,AH!$P$7+AH!$P$8-1),0),0),0)</ns0:f>
        <ns0:v/>
      </ns0:c>
      <ns0:c r="I827">
        <ns0:f>IF($H827=0,0,IFERROR(IF(AND(ABS($C827-INDEX('AH History'!$B$1:$B$18046,$H827))&lt;=MAX(0.005,ABS(INDEX('AH History'!$B$1:$B$18046,$H827))*0.00005),ABS($D827-INDEX('AH History'!$C$1:$C$18046,$H827))&lt;=MAX(0.005,ABS(INDEX('AH History'!$C$1:$C$18046,$H827))*0.00005),ABS($E827-INDEX('AH History'!$D$1:$D$18046,$H827))&lt;=0.00005,$F827=INDEX('AH History'!$E$1:$E$18046,$H827),$G827=INDEX('AH History'!$F$1:$F$18046,$H827)),1,-1),-1))</ns0:f>
        <ns0:v/>
      </ns0:c>
    </ns0:row>
    <ns0:row r="828">
      <ns0:c r="A828" s="215">
        <ns0:f>IF(OR(AH!$P$3=0,823+1&gt;AH!$P$11,AND(AH!$E$4&lt;&gt;"Stored",AH!$P$10&lt;&gt;1)),"",IFERROR(IF(AND(AH!$P$21=1,823+1=AH!$P$11),TODAY(),IF(AH!$P$10=1,INDEX('Live History'!$A$5:$A$3004,AH!$P$13+823),INDEX('AH History'!$A$1:$A$18046,AH!$P$7+823))),""))</ns0:f>
        <ns0:v/>
      </ns0:c>
      <ns0:c r="B828" s="219">
        <ns0:f>IFERROR(IF(AND(AH!$P$9&lt;&gt;1,$C828&gt;0,$D828&gt;0,$E828&gt;0,$F828&gt;0,$G828&gt;0,$F828&lt;=$A828,$G828&lt;=$A828,$A828-$F828&lt;=10,$A828-$G828&lt;=5),$D828*$E828/$C828-1,NA()),NA())</ns0:f>
        <ns0:v/>
      </ns0:c>
      <ns0:c r="C828">
        <ns0:f>IFERROR(IF(ISNUMBER($A828),IF(AND(AH!$P$10=1,AH!$P$12=1,$A828=TODAY()),AH!$P$19,IF(AH!$P$10=1,INDEX('Live History'!$B$5:$B$3004,AH!$P$13+823),INDEX('AH History'!$B$1:$B$18046,AH!$P$7+823))),NA()),NA())</ns0:f>
        <ns0:v/>
      </ns0:c>
      <ns0:c r="D828">
        <ns0:f>IFERROR(IF(ISNUMBER($A828),IF(AND(AH!$P$10=1,AH!$P$12=1,$A828=TODAY()),AH!$P$18,IF(AH!$P$10=1,INDEX('Live History'!$E$5:$E$3004,MATCH($A828,'Live History'!$D$5:$D$3004,1)),INDEX('AH History'!$C$1:$C$18046,AH!$P$7+823))),NA()),NA())</ns0:f>
        <ns0:v/>
      </ns0:c>
      <ns0:c r="E828">
        <ns0:f>IFERROR(IF(ISNUMBER($A828),IF(AND(AH!$P$10=1,AH!$P$12=1,$A828=TODAY()),AH!$P$20,IF(AH!$P$10=1,INDEX('Live History'!$H$5:$H$3004,MATCH($A828,'Live History'!$G$5:$G$3004,1)),INDEX('AH History'!$D$1:$D$18046,AH!$P$7+823))),NA()),NA())</ns0:f>
        <ns0:v/>
      </ns0:c>
      <ns0:c r="F828">
        <ns0:f>IFERROR(IF(ISNUMBER($A828),IF(AND(AH!$P$10=1,AH!$P$12=1,$A828=TODAY()),IF(AND(AH!$P$10=1,AH!$P$12=1,$A828=TODAY()),TODAY(),NA()),IF(AH!$P$10=1,INDEX('Live History'!$D$5:$D$3004,MATCH($A828,'Live History'!$D$5:$D$3004,1)),INDEX('AH History'!$E$1:$E$18046,AH!$P$7+823))),NA()),NA())</ns0:f>
        <ns0:v/>
      </ns0:c>
      <ns0:c r="G828">
        <ns0:f>IFERROR(IF(ISNUMBER($A828),IF(AND(AH!$P$10=1,AH!$P$12=1,$A828=TODAY()),IF(AND(AH!$P$10=1,AH!$P$12=1,$A828=TODAY()),TODAY(),NA()),IF(AH!$P$10=1,INDEX('Live History'!$G$5:$G$3004,MATCH($A828,'Live History'!$G$5:$G$3004,1)),INDEX('AH History'!$F$1:$F$18046,AH!$P$7+823))),NA()),NA())</ns0:f>
        <ns0:v/>
      </ns0:c>
      <ns0:c r="H828">
        <ns0:f>IFERROR(IF(AND(AH!$E$4="Bloomberg",AH!$P$10=1,ISNUMBER($A828),$A828&lt;=AH!$P$17),AH!$P$7-1+MATCH($A828,INDEX('AH History'!$A$1:$A$18046,AH!$P$7):INDEX('AH History'!$A$1:$A$18046,AH!$P$7+AH!$P$8-1),0),0),0)</ns0:f>
        <ns0:v/>
      </ns0:c>
      <ns0:c r="I828">
        <ns0:f>IF($H828=0,0,IFERROR(IF(AND(ABS($C828-INDEX('AH History'!$B$1:$B$18046,$H828))&lt;=MAX(0.005,ABS(INDEX('AH History'!$B$1:$B$18046,$H828))*0.00005),ABS($D828-INDEX('AH History'!$C$1:$C$18046,$H828))&lt;=MAX(0.005,ABS(INDEX('AH History'!$C$1:$C$18046,$H828))*0.00005),ABS($E828-INDEX('AH History'!$D$1:$D$18046,$H828))&lt;=0.00005,$F828=INDEX('AH History'!$E$1:$E$18046,$H828),$G828=INDEX('AH History'!$F$1:$F$18046,$H828)),1,-1),-1))</ns0:f>
        <ns0:v/>
      </ns0:c>
    </ns0:row>
    <ns0:row r="829">
      <ns0:c r="A829" s="215">
        <ns0:f>IF(OR(AH!$P$3=0,824+1&gt;AH!$P$11,AND(AH!$E$4&lt;&gt;"Stored",AH!$P$10&lt;&gt;1)),"",IFERROR(IF(AND(AH!$P$21=1,824+1=AH!$P$11),TODAY(),IF(AH!$P$10=1,INDEX('Live History'!$A$5:$A$3004,AH!$P$13+824),INDEX('AH History'!$A$1:$A$18046,AH!$P$7+824))),""))</ns0:f>
        <ns0:v/>
      </ns0:c>
      <ns0:c r="B829" s="219">
        <ns0:f>IFERROR(IF(AND(AH!$P$9&lt;&gt;1,$C829&gt;0,$D829&gt;0,$E829&gt;0,$F829&gt;0,$G829&gt;0,$F829&lt;=$A829,$G829&lt;=$A829,$A829-$F829&lt;=10,$A829-$G829&lt;=5),$D829*$E829/$C829-1,NA()),NA())</ns0:f>
        <ns0:v/>
      </ns0:c>
      <ns0:c r="C829">
        <ns0:f>IFERROR(IF(ISNUMBER($A829),IF(AND(AH!$P$10=1,AH!$P$12=1,$A829=TODAY()),AH!$P$19,IF(AH!$P$10=1,INDEX('Live History'!$B$5:$B$3004,AH!$P$13+824),INDEX('AH History'!$B$1:$B$18046,AH!$P$7+824))),NA()),NA())</ns0:f>
        <ns0:v/>
      </ns0:c>
      <ns0:c r="D829">
        <ns0:f>IFERROR(IF(ISNUMBER($A829),IF(AND(AH!$P$10=1,AH!$P$12=1,$A829=TODAY()),AH!$P$18,IF(AH!$P$10=1,INDEX('Live History'!$E$5:$E$3004,MATCH($A829,'Live History'!$D$5:$D$3004,1)),INDEX('AH History'!$C$1:$C$18046,AH!$P$7+824))),NA()),NA())</ns0:f>
        <ns0:v/>
      </ns0:c>
      <ns0:c r="E829">
        <ns0:f>IFERROR(IF(ISNUMBER($A829),IF(AND(AH!$P$10=1,AH!$P$12=1,$A829=TODAY()),AH!$P$20,IF(AH!$P$10=1,INDEX('Live History'!$H$5:$H$3004,MATCH($A829,'Live History'!$G$5:$G$3004,1)),INDEX('AH History'!$D$1:$D$18046,AH!$P$7+824))),NA()),NA())</ns0:f>
        <ns0:v/>
      </ns0:c>
      <ns0:c r="F829">
        <ns0:f>IFERROR(IF(ISNUMBER($A829),IF(AND(AH!$P$10=1,AH!$P$12=1,$A829=TODAY()),IF(AND(AH!$P$10=1,AH!$P$12=1,$A829=TODAY()),TODAY(),NA()),IF(AH!$P$10=1,INDEX('Live History'!$D$5:$D$3004,MATCH($A829,'Live History'!$D$5:$D$3004,1)),INDEX('AH History'!$E$1:$E$18046,AH!$P$7+824))),NA()),NA())</ns0:f>
        <ns0:v/>
      </ns0:c>
      <ns0:c r="G829">
        <ns0:f>IFERROR(IF(ISNUMBER($A829),IF(AND(AH!$P$10=1,AH!$P$12=1,$A829=TODAY()),IF(AND(AH!$P$10=1,AH!$P$12=1,$A829=TODAY()),TODAY(),NA()),IF(AH!$P$10=1,INDEX('Live History'!$G$5:$G$3004,MATCH($A829,'Live History'!$G$5:$G$3004,1)),INDEX('AH History'!$F$1:$F$18046,AH!$P$7+824))),NA()),NA())</ns0:f>
        <ns0:v/>
      </ns0:c>
      <ns0:c r="H829">
        <ns0:f>IFERROR(IF(AND(AH!$E$4="Bloomberg",AH!$P$10=1,ISNUMBER($A829),$A829&lt;=AH!$P$17),AH!$P$7-1+MATCH($A829,INDEX('AH History'!$A$1:$A$18046,AH!$P$7):INDEX('AH History'!$A$1:$A$18046,AH!$P$7+AH!$P$8-1),0),0),0)</ns0:f>
        <ns0:v/>
      </ns0:c>
      <ns0:c r="I829">
        <ns0:f>IF($H829=0,0,IFERROR(IF(AND(ABS($C829-INDEX('AH History'!$B$1:$B$18046,$H829))&lt;=MAX(0.005,ABS(INDEX('AH History'!$B$1:$B$18046,$H829))*0.00005),ABS($D829-INDEX('AH History'!$C$1:$C$18046,$H829))&lt;=MAX(0.005,ABS(INDEX('AH History'!$C$1:$C$18046,$H829))*0.00005),ABS($E829-INDEX('AH History'!$D$1:$D$18046,$H829))&lt;=0.00005,$F829=INDEX('AH History'!$E$1:$E$18046,$H829),$G829=INDEX('AH History'!$F$1:$F$18046,$H829)),1,-1),-1))</ns0:f>
        <ns0:v/>
      </ns0:c>
    </ns0:row>
    <ns0:row r="830">
      <ns0:c r="A830" s="215">
        <ns0:f>IF(OR(AH!$P$3=0,825+1&gt;AH!$P$11,AND(AH!$E$4&lt;&gt;"Stored",AH!$P$10&lt;&gt;1)),"",IFERROR(IF(AND(AH!$P$21=1,825+1=AH!$P$11),TODAY(),IF(AH!$P$10=1,INDEX('Live History'!$A$5:$A$3004,AH!$P$13+825),INDEX('AH History'!$A$1:$A$18046,AH!$P$7+825))),""))</ns0:f>
        <ns0:v/>
      </ns0:c>
      <ns0:c r="B830" s="219">
        <ns0:f>IFERROR(IF(AND(AH!$P$9&lt;&gt;1,$C830&gt;0,$D830&gt;0,$E830&gt;0,$F830&gt;0,$G830&gt;0,$F830&lt;=$A830,$G830&lt;=$A830,$A830-$F830&lt;=10,$A830-$G830&lt;=5),$D830*$E830/$C830-1,NA()),NA())</ns0:f>
        <ns0:v/>
      </ns0:c>
      <ns0:c r="C830">
        <ns0:f>IFERROR(IF(ISNUMBER($A830),IF(AND(AH!$P$10=1,AH!$P$12=1,$A830=TODAY()),AH!$P$19,IF(AH!$P$10=1,INDEX('Live History'!$B$5:$B$3004,AH!$P$13+825),INDEX('AH History'!$B$1:$B$18046,AH!$P$7+825))),NA()),NA())</ns0:f>
        <ns0:v/>
      </ns0:c>
      <ns0:c r="D830">
        <ns0:f>IFERROR(IF(ISNUMBER($A830),IF(AND(AH!$P$10=1,AH!$P$12=1,$A830=TODAY()),AH!$P$18,IF(AH!$P$10=1,INDEX('Live History'!$E$5:$E$3004,MATCH($A830,'Live History'!$D$5:$D$3004,1)),INDEX('AH History'!$C$1:$C$18046,AH!$P$7+825))),NA()),NA())</ns0:f>
        <ns0:v/>
      </ns0:c>
      <ns0:c r="E830">
        <ns0:f>IFERROR(IF(ISNUMBER($A830),IF(AND(AH!$P$10=1,AH!$P$12=1,$A830=TODAY()),AH!$P$20,IF(AH!$P$10=1,INDEX('Live History'!$H$5:$H$3004,MATCH($A830,'Live History'!$G$5:$G$3004,1)),INDEX('AH History'!$D$1:$D$18046,AH!$P$7+825))),NA()),NA())</ns0:f>
        <ns0:v/>
      </ns0:c>
      <ns0:c r="F830">
        <ns0:f>IFERROR(IF(ISNUMBER($A830),IF(AND(AH!$P$10=1,AH!$P$12=1,$A830=TODAY()),IF(AND(AH!$P$10=1,AH!$P$12=1,$A830=TODAY()),TODAY(),NA()),IF(AH!$P$10=1,INDEX('Live History'!$D$5:$D$3004,MATCH($A830,'Live History'!$D$5:$D$3004,1)),INDEX('AH History'!$E$1:$E$18046,AH!$P$7+825))),NA()),NA())</ns0:f>
        <ns0:v/>
      </ns0:c>
      <ns0:c r="G830">
        <ns0:f>IFERROR(IF(ISNUMBER($A830),IF(AND(AH!$P$10=1,AH!$P$12=1,$A830=TODAY()),IF(AND(AH!$P$10=1,AH!$P$12=1,$A830=TODAY()),TODAY(),NA()),IF(AH!$P$10=1,INDEX('Live History'!$G$5:$G$3004,MATCH($A830,'Live History'!$G$5:$G$3004,1)),INDEX('AH History'!$F$1:$F$18046,AH!$P$7+825))),NA()),NA())</ns0:f>
        <ns0:v/>
      </ns0:c>
      <ns0:c r="H830">
        <ns0:f>IFERROR(IF(AND(AH!$E$4="Bloomberg",AH!$P$10=1,ISNUMBER($A830),$A830&lt;=AH!$P$17),AH!$P$7-1+MATCH($A830,INDEX('AH History'!$A$1:$A$18046,AH!$P$7):INDEX('AH History'!$A$1:$A$18046,AH!$P$7+AH!$P$8-1),0),0),0)</ns0:f>
        <ns0:v/>
      </ns0:c>
      <ns0:c r="I830">
        <ns0:f>IF($H830=0,0,IFERROR(IF(AND(ABS($C830-INDEX('AH History'!$B$1:$B$18046,$H830))&lt;=MAX(0.005,ABS(INDEX('AH History'!$B$1:$B$18046,$H830))*0.00005),ABS($D830-INDEX('AH History'!$C$1:$C$18046,$H830))&lt;=MAX(0.005,ABS(INDEX('AH History'!$C$1:$C$18046,$H830))*0.00005),ABS($E830-INDEX('AH History'!$D$1:$D$18046,$H830))&lt;=0.00005,$F830=INDEX('AH History'!$E$1:$E$18046,$H830),$G830=INDEX('AH History'!$F$1:$F$18046,$H830)),1,-1),-1))</ns0:f>
        <ns0:v/>
      </ns0:c>
    </ns0:row>
    <ns0:row r="831">
      <ns0:c r="A831" s="215">
        <ns0:f>IF(OR(AH!$P$3=0,826+1&gt;AH!$P$11,AND(AH!$E$4&lt;&gt;"Stored",AH!$P$10&lt;&gt;1)),"",IFERROR(IF(AND(AH!$P$21=1,826+1=AH!$P$11),TODAY(),IF(AH!$P$10=1,INDEX('Live History'!$A$5:$A$3004,AH!$P$13+826),INDEX('AH History'!$A$1:$A$18046,AH!$P$7+826))),""))</ns0:f>
        <ns0:v/>
      </ns0:c>
      <ns0:c r="B831" s="219">
        <ns0:f>IFERROR(IF(AND(AH!$P$9&lt;&gt;1,$C831&gt;0,$D831&gt;0,$E831&gt;0,$F831&gt;0,$G831&gt;0,$F831&lt;=$A831,$G831&lt;=$A831,$A831-$F831&lt;=10,$A831-$G831&lt;=5),$D831*$E831/$C831-1,NA()),NA())</ns0:f>
        <ns0:v/>
      </ns0:c>
      <ns0:c r="C831">
        <ns0:f>IFERROR(IF(ISNUMBER($A831),IF(AND(AH!$P$10=1,AH!$P$12=1,$A831=TODAY()),AH!$P$19,IF(AH!$P$10=1,INDEX('Live History'!$B$5:$B$3004,AH!$P$13+826),INDEX('AH History'!$B$1:$B$18046,AH!$P$7+826))),NA()),NA())</ns0:f>
        <ns0:v/>
      </ns0:c>
      <ns0:c r="D831">
        <ns0:f>IFERROR(IF(ISNUMBER($A831),IF(AND(AH!$P$10=1,AH!$P$12=1,$A831=TODAY()),AH!$P$18,IF(AH!$P$10=1,INDEX('Live History'!$E$5:$E$3004,MATCH($A831,'Live History'!$D$5:$D$3004,1)),INDEX('AH History'!$C$1:$C$18046,AH!$P$7+826))),NA()),NA())</ns0:f>
        <ns0:v/>
      </ns0:c>
      <ns0:c r="E831">
        <ns0:f>IFERROR(IF(ISNUMBER($A831),IF(AND(AH!$P$10=1,AH!$P$12=1,$A831=TODAY()),AH!$P$20,IF(AH!$P$10=1,INDEX('Live History'!$H$5:$H$3004,MATCH($A831,'Live History'!$G$5:$G$3004,1)),INDEX('AH History'!$D$1:$D$18046,AH!$P$7+826))),NA()),NA())</ns0:f>
        <ns0:v/>
      </ns0:c>
      <ns0:c r="F831">
        <ns0:f>IFERROR(IF(ISNUMBER($A831),IF(AND(AH!$P$10=1,AH!$P$12=1,$A831=TODAY()),IF(AND(AH!$P$10=1,AH!$P$12=1,$A831=TODAY()),TODAY(),NA()),IF(AH!$P$10=1,INDEX('Live History'!$D$5:$D$3004,MATCH($A831,'Live History'!$D$5:$D$3004,1)),INDEX('AH History'!$E$1:$E$18046,AH!$P$7+826))),NA()),NA())</ns0:f>
        <ns0:v/>
      </ns0:c>
      <ns0:c r="G831">
        <ns0:f>IFERROR(IF(ISNUMBER($A831),IF(AND(AH!$P$10=1,AH!$P$12=1,$A831=TODAY()),IF(AND(AH!$P$10=1,AH!$P$12=1,$A831=TODAY()),TODAY(),NA()),IF(AH!$P$10=1,INDEX('Live History'!$G$5:$G$3004,MATCH($A831,'Live History'!$G$5:$G$3004,1)),INDEX('AH History'!$F$1:$F$18046,AH!$P$7+826))),NA()),NA())</ns0:f>
        <ns0:v/>
      </ns0:c>
      <ns0:c r="H831">
        <ns0:f>IFERROR(IF(AND(AH!$E$4="Bloomberg",AH!$P$10=1,ISNUMBER($A831),$A831&lt;=AH!$P$17),AH!$P$7-1+MATCH($A831,INDEX('AH History'!$A$1:$A$18046,AH!$P$7):INDEX('AH History'!$A$1:$A$18046,AH!$P$7+AH!$P$8-1),0),0),0)</ns0:f>
        <ns0:v/>
      </ns0:c>
      <ns0:c r="I831">
        <ns0:f>IF($H831=0,0,IFERROR(IF(AND(ABS($C831-INDEX('AH History'!$B$1:$B$18046,$H831))&lt;=MAX(0.005,ABS(INDEX('AH History'!$B$1:$B$18046,$H831))*0.00005),ABS($D831-INDEX('AH History'!$C$1:$C$18046,$H831))&lt;=MAX(0.005,ABS(INDEX('AH History'!$C$1:$C$18046,$H831))*0.00005),ABS($E831-INDEX('AH History'!$D$1:$D$18046,$H831))&lt;=0.00005,$F831=INDEX('AH History'!$E$1:$E$18046,$H831),$G831=INDEX('AH History'!$F$1:$F$18046,$H831)),1,-1),-1))</ns0:f>
        <ns0:v/>
      </ns0:c>
    </ns0:row>
    <ns0:row r="832">
      <ns0:c r="A832" s="215">
        <ns0:f>IF(OR(AH!$P$3=0,827+1&gt;AH!$P$11,AND(AH!$E$4&lt;&gt;"Stored",AH!$P$10&lt;&gt;1)),"",IFERROR(IF(AND(AH!$P$21=1,827+1=AH!$P$11),TODAY(),IF(AH!$P$10=1,INDEX('Live History'!$A$5:$A$3004,AH!$P$13+827),INDEX('AH History'!$A$1:$A$18046,AH!$P$7+827))),""))</ns0:f>
        <ns0:v/>
      </ns0:c>
      <ns0:c r="B832" s="219">
        <ns0:f>IFERROR(IF(AND(AH!$P$9&lt;&gt;1,$C832&gt;0,$D832&gt;0,$E832&gt;0,$F832&gt;0,$G832&gt;0,$F832&lt;=$A832,$G832&lt;=$A832,$A832-$F832&lt;=10,$A832-$G832&lt;=5),$D832*$E832/$C832-1,NA()),NA())</ns0:f>
        <ns0:v/>
      </ns0:c>
      <ns0:c r="C832">
        <ns0:f>IFERROR(IF(ISNUMBER($A832),IF(AND(AH!$P$10=1,AH!$P$12=1,$A832=TODAY()),AH!$P$19,IF(AH!$P$10=1,INDEX('Live History'!$B$5:$B$3004,AH!$P$13+827),INDEX('AH History'!$B$1:$B$18046,AH!$P$7+827))),NA()),NA())</ns0:f>
        <ns0:v/>
      </ns0:c>
      <ns0:c r="D832">
        <ns0:f>IFERROR(IF(ISNUMBER($A832),IF(AND(AH!$P$10=1,AH!$P$12=1,$A832=TODAY()),AH!$P$18,IF(AH!$P$10=1,INDEX('Live History'!$E$5:$E$3004,MATCH($A832,'Live History'!$D$5:$D$3004,1)),INDEX('AH History'!$C$1:$C$18046,AH!$P$7+827))),NA()),NA())</ns0:f>
        <ns0:v/>
      </ns0:c>
      <ns0:c r="E832">
        <ns0:f>IFERROR(IF(ISNUMBER($A832),IF(AND(AH!$P$10=1,AH!$P$12=1,$A832=TODAY()),AH!$P$20,IF(AH!$P$10=1,INDEX('Live History'!$H$5:$H$3004,MATCH($A832,'Live History'!$G$5:$G$3004,1)),INDEX('AH History'!$D$1:$D$18046,AH!$P$7+827))),NA()),NA())</ns0:f>
        <ns0:v/>
      </ns0:c>
      <ns0:c r="F832">
        <ns0:f>IFERROR(IF(ISNUMBER($A832),IF(AND(AH!$P$10=1,AH!$P$12=1,$A832=TODAY()),IF(AND(AH!$P$10=1,AH!$P$12=1,$A832=TODAY()),TODAY(),NA()),IF(AH!$P$10=1,INDEX('Live History'!$D$5:$D$3004,MATCH($A832,'Live History'!$D$5:$D$3004,1)),INDEX('AH History'!$E$1:$E$18046,AH!$P$7+827))),NA()),NA())</ns0:f>
        <ns0:v/>
      </ns0:c>
      <ns0:c r="G832">
        <ns0:f>IFERROR(IF(ISNUMBER($A832),IF(AND(AH!$P$10=1,AH!$P$12=1,$A832=TODAY()),IF(AND(AH!$P$10=1,AH!$P$12=1,$A832=TODAY()),TODAY(),NA()),IF(AH!$P$10=1,INDEX('Live History'!$G$5:$G$3004,MATCH($A832,'Live History'!$G$5:$G$3004,1)),INDEX('AH History'!$F$1:$F$18046,AH!$P$7+827))),NA()),NA())</ns0:f>
        <ns0:v/>
      </ns0:c>
      <ns0:c r="H832">
        <ns0:f>IFERROR(IF(AND(AH!$E$4="Bloomberg",AH!$P$10=1,ISNUMBER($A832),$A832&lt;=AH!$P$17),AH!$P$7-1+MATCH($A832,INDEX('AH History'!$A$1:$A$18046,AH!$P$7):INDEX('AH History'!$A$1:$A$18046,AH!$P$7+AH!$P$8-1),0),0),0)</ns0:f>
        <ns0:v/>
      </ns0:c>
      <ns0:c r="I832">
        <ns0:f>IF($H832=0,0,IFERROR(IF(AND(ABS($C832-INDEX('AH History'!$B$1:$B$18046,$H832))&lt;=MAX(0.005,ABS(INDEX('AH History'!$B$1:$B$18046,$H832))*0.00005),ABS($D832-INDEX('AH History'!$C$1:$C$18046,$H832))&lt;=MAX(0.005,ABS(INDEX('AH History'!$C$1:$C$18046,$H832))*0.00005),ABS($E832-INDEX('AH History'!$D$1:$D$18046,$H832))&lt;=0.00005,$F832=INDEX('AH History'!$E$1:$E$18046,$H832),$G832=INDEX('AH History'!$F$1:$F$18046,$H832)),1,-1),-1))</ns0:f>
        <ns0:v/>
      </ns0:c>
    </ns0:row>
    <ns0:row r="833">
      <ns0:c r="A833" s="215">
        <ns0:f>IF(OR(AH!$P$3=0,828+1&gt;AH!$P$11,AND(AH!$E$4&lt;&gt;"Stored",AH!$P$10&lt;&gt;1)),"",IFERROR(IF(AND(AH!$P$21=1,828+1=AH!$P$11),TODAY(),IF(AH!$P$10=1,INDEX('Live History'!$A$5:$A$3004,AH!$P$13+828),INDEX('AH History'!$A$1:$A$18046,AH!$P$7+828))),""))</ns0:f>
        <ns0:v/>
      </ns0:c>
      <ns0:c r="B833" s="219">
        <ns0:f>IFERROR(IF(AND(AH!$P$9&lt;&gt;1,$C833&gt;0,$D833&gt;0,$E833&gt;0,$F833&gt;0,$G833&gt;0,$F833&lt;=$A833,$G833&lt;=$A833,$A833-$F833&lt;=10,$A833-$G833&lt;=5),$D833*$E833/$C833-1,NA()),NA())</ns0:f>
        <ns0:v/>
      </ns0:c>
      <ns0:c r="C833">
        <ns0:f>IFERROR(IF(ISNUMBER($A833),IF(AND(AH!$P$10=1,AH!$P$12=1,$A833=TODAY()),AH!$P$19,IF(AH!$P$10=1,INDEX('Live History'!$B$5:$B$3004,AH!$P$13+828),INDEX('AH History'!$B$1:$B$18046,AH!$P$7+828))),NA()),NA())</ns0:f>
        <ns0:v/>
      </ns0:c>
      <ns0:c r="D833">
        <ns0:f>IFERROR(IF(ISNUMBER($A833),IF(AND(AH!$P$10=1,AH!$P$12=1,$A833=TODAY()),AH!$P$18,IF(AH!$P$10=1,INDEX('Live History'!$E$5:$E$3004,MATCH($A833,'Live History'!$D$5:$D$3004,1)),INDEX('AH History'!$C$1:$C$18046,AH!$P$7+828))),NA()),NA())</ns0:f>
        <ns0:v/>
      </ns0:c>
      <ns0:c r="E833">
        <ns0:f>IFERROR(IF(ISNUMBER($A833),IF(AND(AH!$P$10=1,AH!$P$12=1,$A833=TODAY()),AH!$P$20,IF(AH!$P$10=1,INDEX('Live History'!$H$5:$H$3004,MATCH($A833,'Live History'!$G$5:$G$3004,1)),INDEX('AH History'!$D$1:$D$18046,AH!$P$7+828))),NA()),NA())</ns0:f>
        <ns0:v/>
      </ns0:c>
      <ns0:c r="F833">
        <ns0:f>IFERROR(IF(ISNUMBER($A833),IF(AND(AH!$P$10=1,AH!$P$12=1,$A833=TODAY()),IF(AND(AH!$P$10=1,AH!$P$12=1,$A833=TODAY()),TODAY(),NA()),IF(AH!$P$10=1,INDEX('Live History'!$D$5:$D$3004,MATCH($A833,'Live History'!$D$5:$D$3004,1)),INDEX('AH History'!$E$1:$E$18046,AH!$P$7+828))),NA()),NA())</ns0:f>
        <ns0:v/>
      </ns0:c>
      <ns0:c r="G833">
        <ns0:f>IFERROR(IF(ISNUMBER($A833),IF(AND(AH!$P$10=1,AH!$P$12=1,$A833=TODAY()),IF(AND(AH!$P$10=1,AH!$P$12=1,$A833=TODAY()),TODAY(),NA()),IF(AH!$P$10=1,INDEX('Live History'!$G$5:$G$3004,MATCH($A833,'Live History'!$G$5:$G$3004,1)),INDEX('AH History'!$F$1:$F$18046,AH!$P$7+828))),NA()),NA())</ns0:f>
        <ns0:v/>
      </ns0:c>
      <ns0:c r="H833">
        <ns0:f>IFERROR(IF(AND(AH!$E$4="Bloomberg",AH!$P$10=1,ISNUMBER($A833),$A833&lt;=AH!$P$17),AH!$P$7-1+MATCH($A833,INDEX('AH History'!$A$1:$A$18046,AH!$P$7):INDEX('AH History'!$A$1:$A$18046,AH!$P$7+AH!$P$8-1),0),0),0)</ns0:f>
        <ns0:v/>
      </ns0:c>
      <ns0:c r="I833">
        <ns0:f>IF($H833=0,0,IFERROR(IF(AND(ABS($C833-INDEX('AH History'!$B$1:$B$18046,$H833))&lt;=MAX(0.005,ABS(INDEX('AH History'!$B$1:$B$18046,$H833))*0.00005),ABS($D833-INDEX('AH History'!$C$1:$C$18046,$H833))&lt;=MAX(0.005,ABS(INDEX('AH History'!$C$1:$C$18046,$H833))*0.00005),ABS($E833-INDEX('AH History'!$D$1:$D$18046,$H833))&lt;=0.00005,$F833=INDEX('AH History'!$E$1:$E$18046,$H833),$G833=INDEX('AH History'!$F$1:$F$18046,$H833)),1,-1),-1))</ns0:f>
        <ns0:v/>
      </ns0:c>
    </ns0:row>
    <ns0:row r="834">
      <ns0:c r="A834" s="215">
        <ns0:f>IF(OR(AH!$P$3=0,829+1&gt;AH!$P$11,AND(AH!$E$4&lt;&gt;"Stored",AH!$P$10&lt;&gt;1)),"",IFERROR(IF(AND(AH!$P$21=1,829+1=AH!$P$11),TODAY(),IF(AH!$P$10=1,INDEX('Live History'!$A$5:$A$3004,AH!$P$13+829),INDEX('AH History'!$A$1:$A$18046,AH!$P$7+829))),""))</ns0:f>
        <ns0:v/>
      </ns0:c>
      <ns0:c r="B834" s="219">
        <ns0:f>IFERROR(IF(AND(AH!$P$9&lt;&gt;1,$C834&gt;0,$D834&gt;0,$E834&gt;0,$F834&gt;0,$G834&gt;0,$F834&lt;=$A834,$G834&lt;=$A834,$A834-$F834&lt;=10,$A834-$G834&lt;=5),$D834*$E834/$C834-1,NA()),NA())</ns0:f>
        <ns0:v/>
      </ns0:c>
      <ns0:c r="C834">
        <ns0:f>IFERROR(IF(ISNUMBER($A834),IF(AND(AH!$P$10=1,AH!$P$12=1,$A834=TODAY()),AH!$P$19,IF(AH!$P$10=1,INDEX('Live History'!$B$5:$B$3004,AH!$P$13+829),INDEX('AH History'!$B$1:$B$18046,AH!$P$7+829))),NA()),NA())</ns0:f>
        <ns0:v/>
      </ns0:c>
      <ns0:c r="D834">
        <ns0:f>IFERROR(IF(ISNUMBER($A834),IF(AND(AH!$P$10=1,AH!$P$12=1,$A834=TODAY()),AH!$P$18,IF(AH!$P$10=1,INDEX('Live History'!$E$5:$E$3004,MATCH($A834,'Live History'!$D$5:$D$3004,1)),INDEX('AH History'!$C$1:$C$18046,AH!$P$7+829))),NA()),NA())</ns0:f>
        <ns0:v/>
      </ns0:c>
      <ns0:c r="E834">
        <ns0:f>IFERROR(IF(ISNUMBER($A834),IF(AND(AH!$P$10=1,AH!$P$12=1,$A834=TODAY()),AH!$P$20,IF(AH!$P$10=1,INDEX('Live History'!$H$5:$H$3004,MATCH($A834,'Live History'!$G$5:$G$3004,1)),INDEX('AH History'!$D$1:$D$18046,AH!$P$7+829))),NA()),NA())</ns0:f>
        <ns0:v/>
      </ns0:c>
      <ns0:c r="F834">
        <ns0:f>IFERROR(IF(ISNUMBER($A834),IF(AND(AH!$P$10=1,AH!$P$12=1,$A834=TODAY()),IF(AND(AH!$P$10=1,AH!$P$12=1,$A834=TODAY()),TODAY(),NA()),IF(AH!$P$10=1,INDEX('Live History'!$D$5:$D$3004,MATCH($A834,'Live History'!$D$5:$D$3004,1)),INDEX('AH History'!$E$1:$E$18046,AH!$P$7+829))),NA()),NA())</ns0:f>
        <ns0:v/>
      </ns0:c>
      <ns0:c r="G834">
        <ns0:f>IFERROR(IF(ISNUMBER($A834),IF(AND(AH!$P$10=1,AH!$P$12=1,$A834=TODAY()),IF(AND(AH!$P$10=1,AH!$P$12=1,$A834=TODAY()),TODAY(),NA()),IF(AH!$P$10=1,INDEX('Live History'!$G$5:$G$3004,MATCH($A834,'Live History'!$G$5:$G$3004,1)),INDEX('AH History'!$F$1:$F$18046,AH!$P$7+829))),NA()),NA())</ns0:f>
        <ns0:v/>
      </ns0:c>
      <ns0:c r="H834">
        <ns0:f>IFERROR(IF(AND(AH!$E$4="Bloomberg",AH!$P$10=1,ISNUMBER($A834),$A834&lt;=AH!$P$17),AH!$P$7-1+MATCH($A834,INDEX('AH History'!$A$1:$A$18046,AH!$P$7):INDEX('AH History'!$A$1:$A$18046,AH!$P$7+AH!$P$8-1),0),0),0)</ns0:f>
        <ns0:v/>
      </ns0:c>
      <ns0:c r="I834">
        <ns0:f>IF($H834=0,0,IFERROR(IF(AND(ABS($C834-INDEX('AH History'!$B$1:$B$18046,$H834))&lt;=MAX(0.005,ABS(INDEX('AH History'!$B$1:$B$18046,$H834))*0.00005),ABS($D834-INDEX('AH History'!$C$1:$C$18046,$H834))&lt;=MAX(0.005,ABS(INDEX('AH History'!$C$1:$C$18046,$H834))*0.00005),ABS($E834-INDEX('AH History'!$D$1:$D$18046,$H834))&lt;=0.00005,$F834=INDEX('AH History'!$E$1:$E$18046,$H834),$G834=INDEX('AH History'!$F$1:$F$18046,$H834)),1,-1),-1))</ns0:f>
        <ns0:v/>
      </ns0:c>
    </ns0:row>
    <ns0:row r="835">
      <ns0:c r="A835" s="215">
        <ns0:f>IF(OR(AH!$P$3=0,830+1&gt;AH!$P$11,AND(AH!$E$4&lt;&gt;"Stored",AH!$P$10&lt;&gt;1)),"",IFERROR(IF(AND(AH!$P$21=1,830+1=AH!$P$11),TODAY(),IF(AH!$P$10=1,INDEX('Live History'!$A$5:$A$3004,AH!$P$13+830),INDEX('AH History'!$A$1:$A$18046,AH!$P$7+830))),""))</ns0:f>
        <ns0:v/>
      </ns0:c>
      <ns0:c r="B835" s="219">
        <ns0:f>IFERROR(IF(AND(AH!$P$9&lt;&gt;1,$C835&gt;0,$D835&gt;0,$E835&gt;0,$F835&gt;0,$G835&gt;0,$F835&lt;=$A835,$G835&lt;=$A835,$A835-$F835&lt;=10,$A835-$G835&lt;=5),$D835*$E835/$C835-1,NA()),NA())</ns0:f>
        <ns0:v/>
      </ns0:c>
      <ns0:c r="C835">
        <ns0:f>IFERROR(IF(ISNUMBER($A835),IF(AND(AH!$P$10=1,AH!$P$12=1,$A835=TODAY()),AH!$P$19,IF(AH!$P$10=1,INDEX('Live History'!$B$5:$B$3004,AH!$P$13+830),INDEX('AH History'!$B$1:$B$18046,AH!$P$7+830))),NA()),NA())</ns0:f>
        <ns0:v/>
      </ns0:c>
      <ns0:c r="D835">
        <ns0:f>IFERROR(IF(ISNUMBER($A835),IF(AND(AH!$P$10=1,AH!$P$12=1,$A835=TODAY()),AH!$P$18,IF(AH!$P$10=1,INDEX('Live History'!$E$5:$E$3004,MATCH($A835,'Live History'!$D$5:$D$3004,1)),INDEX('AH History'!$C$1:$C$18046,AH!$P$7+830))),NA()),NA())</ns0:f>
        <ns0:v/>
      </ns0:c>
      <ns0:c r="E835">
        <ns0:f>IFERROR(IF(ISNUMBER($A835),IF(AND(AH!$P$10=1,AH!$P$12=1,$A835=TODAY()),AH!$P$20,IF(AH!$P$10=1,INDEX('Live History'!$H$5:$H$3004,MATCH($A835,'Live History'!$G$5:$G$3004,1)),INDEX('AH History'!$D$1:$D$18046,AH!$P$7+830))),NA()),NA())</ns0:f>
        <ns0:v/>
      </ns0:c>
      <ns0:c r="F835">
        <ns0:f>IFERROR(IF(ISNUMBER($A835),IF(AND(AH!$P$10=1,AH!$P$12=1,$A835=TODAY()),IF(AND(AH!$P$10=1,AH!$P$12=1,$A835=TODAY()),TODAY(),NA()),IF(AH!$P$10=1,INDEX('Live History'!$D$5:$D$3004,MATCH($A835,'Live History'!$D$5:$D$3004,1)),INDEX('AH History'!$E$1:$E$18046,AH!$P$7+830))),NA()),NA())</ns0:f>
        <ns0:v/>
      </ns0:c>
      <ns0:c r="G835">
        <ns0:f>IFERROR(IF(ISNUMBER($A835),IF(AND(AH!$P$10=1,AH!$P$12=1,$A835=TODAY()),IF(AND(AH!$P$10=1,AH!$P$12=1,$A835=TODAY()),TODAY(),NA()),IF(AH!$P$10=1,INDEX('Live History'!$G$5:$G$3004,MATCH($A835,'Live History'!$G$5:$G$3004,1)),INDEX('AH History'!$F$1:$F$18046,AH!$P$7+830))),NA()),NA())</ns0:f>
        <ns0:v/>
      </ns0:c>
      <ns0:c r="H835">
        <ns0:f>IFERROR(IF(AND(AH!$E$4="Bloomberg",AH!$P$10=1,ISNUMBER($A835),$A835&lt;=AH!$P$17),AH!$P$7-1+MATCH($A835,INDEX('AH History'!$A$1:$A$18046,AH!$P$7):INDEX('AH History'!$A$1:$A$18046,AH!$P$7+AH!$P$8-1),0),0),0)</ns0:f>
        <ns0:v/>
      </ns0:c>
      <ns0:c r="I835">
        <ns0:f>IF($H835=0,0,IFERROR(IF(AND(ABS($C835-INDEX('AH History'!$B$1:$B$18046,$H835))&lt;=MAX(0.005,ABS(INDEX('AH History'!$B$1:$B$18046,$H835))*0.00005),ABS($D835-INDEX('AH History'!$C$1:$C$18046,$H835))&lt;=MAX(0.005,ABS(INDEX('AH History'!$C$1:$C$18046,$H835))*0.00005),ABS($E835-INDEX('AH History'!$D$1:$D$18046,$H835))&lt;=0.00005,$F835=INDEX('AH History'!$E$1:$E$18046,$H835),$G835=INDEX('AH History'!$F$1:$F$18046,$H835)),1,-1),-1))</ns0:f>
        <ns0:v/>
      </ns0:c>
    </ns0:row>
    <ns0:row r="836">
      <ns0:c r="A836" s="215">
        <ns0:f>IF(OR(AH!$P$3=0,831+1&gt;AH!$P$11,AND(AH!$E$4&lt;&gt;"Stored",AH!$P$10&lt;&gt;1)),"",IFERROR(IF(AND(AH!$P$21=1,831+1=AH!$P$11),TODAY(),IF(AH!$P$10=1,INDEX('Live History'!$A$5:$A$3004,AH!$P$13+831),INDEX('AH History'!$A$1:$A$18046,AH!$P$7+831))),""))</ns0:f>
        <ns0:v/>
      </ns0:c>
      <ns0:c r="B836" s="219">
        <ns0:f>IFERROR(IF(AND(AH!$P$9&lt;&gt;1,$C836&gt;0,$D836&gt;0,$E836&gt;0,$F836&gt;0,$G836&gt;0,$F836&lt;=$A836,$G836&lt;=$A836,$A836-$F836&lt;=10,$A836-$G836&lt;=5),$D836*$E836/$C836-1,NA()),NA())</ns0:f>
        <ns0:v/>
      </ns0:c>
      <ns0:c r="C836">
        <ns0:f>IFERROR(IF(ISNUMBER($A836),IF(AND(AH!$P$10=1,AH!$P$12=1,$A836=TODAY()),AH!$P$19,IF(AH!$P$10=1,INDEX('Live History'!$B$5:$B$3004,AH!$P$13+831),INDEX('AH History'!$B$1:$B$18046,AH!$P$7+831))),NA()),NA())</ns0:f>
        <ns0:v/>
      </ns0:c>
      <ns0:c r="D836">
        <ns0:f>IFERROR(IF(ISNUMBER($A836),IF(AND(AH!$P$10=1,AH!$P$12=1,$A836=TODAY()),AH!$P$18,IF(AH!$P$10=1,INDEX('Live History'!$E$5:$E$3004,MATCH($A836,'Live History'!$D$5:$D$3004,1)),INDEX('AH History'!$C$1:$C$18046,AH!$P$7+831))),NA()),NA())</ns0:f>
        <ns0:v/>
      </ns0:c>
      <ns0:c r="E836">
        <ns0:f>IFERROR(IF(ISNUMBER($A836),IF(AND(AH!$P$10=1,AH!$P$12=1,$A836=TODAY()),AH!$P$20,IF(AH!$P$10=1,INDEX('Live History'!$H$5:$H$3004,MATCH($A836,'Live History'!$G$5:$G$3004,1)),INDEX('AH History'!$D$1:$D$18046,AH!$P$7+831))),NA()),NA())</ns0:f>
        <ns0:v/>
      </ns0:c>
      <ns0:c r="F836">
        <ns0:f>IFERROR(IF(ISNUMBER($A836),IF(AND(AH!$P$10=1,AH!$P$12=1,$A836=TODAY()),IF(AND(AH!$P$10=1,AH!$P$12=1,$A836=TODAY()),TODAY(),NA()),IF(AH!$P$10=1,INDEX('Live History'!$D$5:$D$3004,MATCH($A836,'Live History'!$D$5:$D$3004,1)),INDEX('AH History'!$E$1:$E$18046,AH!$P$7+831))),NA()),NA())</ns0:f>
        <ns0:v/>
      </ns0:c>
      <ns0:c r="G836">
        <ns0:f>IFERROR(IF(ISNUMBER($A836),IF(AND(AH!$P$10=1,AH!$P$12=1,$A836=TODAY()),IF(AND(AH!$P$10=1,AH!$P$12=1,$A836=TODAY()),TODAY(),NA()),IF(AH!$P$10=1,INDEX('Live History'!$G$5:$G$3004,MATCH($A836,'Live History'!$G$5:$G$3004,1)),INDEX('AH History'!$F$1:$F$18046,AH!$P$7+831))),NA()),NA())</ns0:f>
        <ns0:v/>
      </ns0:c>
      <ns0:c r="H836">
        <ns0:f>IFERROR(IF(AND(AH!$E$4="Bloomberg",AH!$P$10=1,ISNUMBER($A836),$A836&lt;=AH!$P$17),AH!$P$7-1+MATCH($A836,INDEX('AH History'!$A$1:$A$18046,AH!$P$7):INDEX('AH History'!$A$1:$A$18046,AH!$P$7+AH!$P$8-1),0),0),0)</ns0:f>
        <ns0:v/>
      </ns0:c>
      <ns0:c r="I836">
        <ns0:f>IF($H836=0,0,IFERROR(IF(AND(ABS($C836-INDEX('AH History'!$B$1:$B$18046,$H836))&lt;=MAX(0.005,ABS(INDEX('AH History'!$B$1:$B$18046,$H836))*0.00005),ABS($D836-INDEX('AH History'!$C$1:$C$18046,$H836))&lt;=MAX(0.005,ABS(INDEX('AH History'!$C$1:$C$18046,$H836))*0.00005),ABS($E836-INDEX('AH History'!$D$1:$D$18046,$H836))&lt;=0.00005,$F836=INDEX('AH History'!$E$1:$E$18046,$H836),$G836=INDEX('AH History'!$F$1:$F$18046,$H836)),1,-1),-1))</ns0:f>
        <ns0:v/>
      </ns0:c>
    </ns0:row>
    <ns0:row r="837">
      <ns0:c r="A837" s="215">
        <ns0:f>IF(OR(AH!$P$3=0,832+1&gt;AH!$P$11,AND(AH!$E$4&lt;&gt;"Stored",AH!$P$10&lt;&gt;1)),"",IFERROR(IF(AND(AH!$P$21=1,832+1=AH!$P$11),TODAY(),IF(AH!$P$10=1,INDEX('Live History'!$A$5:$A$3004,AH!$P$13+832),INDEX('AH History'!$A$1:$A$18046,AH!$P$7+832))),""))</ns0:f>
        <ns0:v/>
      </ns0:c>
      <ns0:c r="B837" s="219">
        <ns0:f>IFERROR(IF(AND(AH!$P$9&lt;&gt;1,$C837&gt;0,$D837&gt;0,$E837&gt;0,$F837&gt;0,$G837&gt;0,$F837&lt;=$A837,$G837&lt;=$A837,$A837-$F837&lt;=10,$A837-$G837&lt;=5),$D837*$E837/$C837-1,NA()),NA())</ns0:f>
        <ns0:v/>
      </ns0:c>
      <ns0:c r="C837">
        <ns0:f>IFERROR(IF(ISNUMBER($A837),IF(AND(AH!$P$10=1,AH!$P$12=1,$A837=TODAY()),AH!$P$19,IF(AH!$P$10=1,INDEX('Live History'!$B$5:$B$3004,AH!$P$13+832),INDEX('AH History'!$B$1:$B$18046,AH!$P$7+832))),NA()),NA())</ns0:f>
        <ns0:v/>
      </ns0:c>
      <ns0:c r="D837">
        <ns0:f>IFERROR(IF(ISNUMBER($A837),IF(AND(AH!$P$10=1,AH!$P$12=1,$A837=TODAY()),AH!$P$18,IF(AH!$P$10=1,INDEX('Live History'!$E$5:$E$3004,MATCH($A837,'Live History'!$D$5:$D$3004,1)),INDEX('AH History'!$C$1:$C$18046,AH!$P$7+832))),NA()),NA())</ns0:f>
        <ns0:v/>
      </ns0:c>
      <ns0:c r="E837">
        <ns0:f>IFERROR(IF(ISNUMBER($A837),IF(AND(AH!$P$10=1,AH!$P$12=1,$A837=TODAY()),AH!$P$20,IF(AH!$P$10=1,INDEX('Live History'!$H$5:$H$3004,MATCH($A837,'Live History'!$G$5:$G$3004,1)),INDEX('AH History'!$D$1:$D$18046,AH!$P$7+832))),NA()),NA())</ns0:f>
        <ns0:v/>
      </ns0:c>
      <ns0:c r="F837">
        <ns0:f>IFERROR(IF(ISNUMBER($A837),IF(AND(AH!$P$10=1,AH!$P$12=1,$A837=TODAY()),IF(AND(AH!$P$10=1,AH!$P$12=1,$A837=TODAY()),TODAY(),NA()),IF(AH!$P$10=1,INDEX('Live History'!$D$5:$D$3004,MATCH($A837,'Live History'!$D$5:$D$3004,1)),INDEX('AH History'!$E$1:$E$18046,AH!$P$7+832))),NA()),NA())</ns0:f>
        <ns0:v/>
      </ns0:c>
      <ns0:c r="G837">
        <ns0:f>IFERROR(IF(ISNUMBER($A837),IF(AND(AH!$P$10=1,AH!$P$12=1,$A837=TODAY()),IF(AND(AH!$P$10=1,AH!$P$12=1,$A837=TODAY()),TODAY(),NA()),IF(AH!$P$10=1,INDEX('Live History'!$G$5:$G$3004,MATCH($A837,'Live History'!$G$5:$G$3004,1)),INDEX('AH History'!$F$1:$F$18046,AH!$P$7+832))),NA()),NA())</ns0:f>
        <ns0:v/>
      </ns0:c>
      <ns0:c r="H837">
        <ns0:f>IFERROR(IF(AND(AH!$E$4="Bloomberg",AH!$P$10=1,ISNUMBER($A837),$A837&lt;=AH!$P$17),AH!$P$7-1+MATCH($A837,INDEX('AH History'!$A$1:$A$18046,AH!$P$7):INDEX('AH History'!$A$1:$A$18046,AH!$P$7+AH!$P$8-1),0),0),0)</ns0:f>
        <ns0:v/>
      </ns0:c>
      <ns0:c r="I837">
        <ns0:f>IF($H837=0,0,IFERROR(IF(AND(ABS($C837-INDEX('AH History'!$B$1:$B$18046,$H837))&lt;=MAX(0.005,ABS(INDEX('AH History'!$B$1:$B$18046,$H837))*0.00005),ABS($D837-INDEX('AH History'!$C$1:$C$18046,$H837))&lt;=MAX(0.005,ABS(INDEX('AH History'!$C$1:$C$18046,$H837))*0.00005),ABS($E837-INDEX('AH History'!$D$1:$D$18046,$H837))&lt;=0.00005,$F837=INDEX('AH History'!$E$1:$E$18046,$H837),$G837=INDEX('AH History'!$F$1:$F$18046,$H837)),1,-1),-1))</ns0:f>
        <ns0:v/>
      </ns0:c>
    </ns0:row>
    <ns0:row r="838">
      <ns0:c r="A838" s="215">
        <ns0:f>IF(OR(AH!$P$3=0,833+1&gt;AH!$P$11,AND(AH!$E$4&lt;&gt;"Stored",AH!$P$10&lt;&gt;1)),"",IFERROR(IF(AND(AH!$P$21=1,833+1=AH!$P$11),TODAY(),IF(AH!$P$10=1,INDEX('Live History'!$A$5:$A$3004,AH!$P$13+833),INDEX('AH History'!$A$1:$A$18046,AH!$P$7+833))),""))</ns0:f>
        <ns0:v/>
      </ns0:c>
      <ns0:c r="B838" s="219">
        <ns0:f>IFERROR(IF(AND(AH!$P$9&lt;&gt;1,$C838&gt;0,$D838&gt;0,$E838&gt;0,$F838&gt;0,$G838&gt;0,$F838&lt;=$A838,$G838&lt;=$A838,$A838-$F838&lt;=10,$A838-$G838&lt;=5),$D838*$E838/$C838-1,NA()),NA())</ns0:f>
        <ns0:v/>
      </ns0:c>
      <ns0:c r="C838">
        <ns0:f>IFERROR(IF(ISNUMBER($A838),IF(AND(AH!$P$10=1,AH!$P$12=1,$A838=TODAY()),AH!$P$19,IF(AH!$P$10=1,INDEX('Live History'!$B$5:$B$3004,AH!$P$13+833),INDEX('AH History'!$B$1:$B$18046,AH!$P$7+833))),NA()),NA())</ns0:f>
        <ns0:v/>
      </ns0:c>
      <ns0:c r="D838">
        <ns0:f>IFERROR(IF(ISNUMBER($A838),IF(AND(AH!$P$10=1,AH!$P$12=1,$A838=TODAY()),AH!$P$18,IF(AH!$P$10=1,INDEX('Live History'!$E$5:$E$3004,MATCH($A838,'Live History'!$D$5:$D$3004,1)),INDEX('AH History'!$C$1:$C$18046,AH!$P$7+833))),NA()),NA())</ns0:f>
        <ns0:v/>
      </ns0:c>
      <ns0:c r="E838">
        <ns0:f>IFERROR(IF(ISNUMBER($A838),IF(AND(AH!$P$10=1,AH!$P$12=1,$A838=TODAY()),AH!$P$20,IF(AH!$P$10=1,INDEX('Live History'!$H$5:$H$3004,MATCH($A838,'Live History'!$G$5:$G$3004,1)),INDEX('AH History'!$D$1:$D$18046,AH!$P$7+833))),NA()),NA())</ns0:f>
        <ns0:v/>
      </ns0:c>
      <ns0:c r="F838">
        <ns0:f>IFERROR(IF(ISNUMBER($A838),IF(AND(AH!$P$10=1,AH!$P$12=1,$A838=TODAY()),IF(AND(AH!$P$10=1,AH!$P$12=1,$A838=TODAY()),TODAY(),NA()),IF(AH!$P$10=1,INDEX('Live History'!$D$5:$D$3004,MATCH($A838,'Live History'!$D$5:$D$3004,1)),INDEX('AH History'!$E$1:$E$18046,AH!$P$7+833))),NA()),NA())</ns0:f>
        <ns0:v/>
      </ns0:c>
      <ns0:c r="G838">
        <ns0:f>IFERROR(IF(ISNUMBER($A838),IF(AND(AH!$P$10=1,AH!$P$12=1,$A838=TODAY()),IF(AND(AH!$P$10=1,AH!$P$12=1,$A838=TODAY()),TODAY(),NA()),IF(AH!$P$10=1,INDEX('Live History'!$G$5:$G$3004,MATCH($A838,'Live History'!$G$5:$G$3004,1)),INDEX('AH History'!$F$1:$F$18046,AH!$P$7+833))),NA()),NA())</ns0:f>
        <ns0:v/>
      </ns0:c>
      <ns0:c r="H838">
        <ns0:f>IFERROR(IF(AND(AH!$E$4="Bloomberg",AH!$P$10=1,ISNUMBER($A838),$A838&lt;=AH!$P$17),AH!$P$7-1+MATCH($A838,INDEX('AH History'!$A$1:$A$18046,AH!$P$7):INDEX('AH History'!$A$1:$A$18046,AH!$P$7+AH!$P$8-1),0),0),0)</ns0:f>
        <ns0:v/>
      </ns0:c>
      <ns0:c r="I838">
        <ns0:f>IF($H838=0,0,IFERROR(IF(AND(ABS($C838-INDEX('AH History'!$B$1:$B$18046,$H838))&lt;=MAX(0.005,ABS(INDEX('AH History'!$B$1:$B$18046,$H838))*0.00005),ABS($D838-INDEX('AH History'!$C$1:$C$18046,$H838))&lt;=MAX(0.005,ABS(INDEX('AH History'!$C$1:$C$18046,$H838))*0.00005),ABS($E838-INDEX('AH History'!$D$1:$D$18046,$H838))&lt;=0.00005,$F838=INDEX('AH History'!$E$1:$E$18046,$H838),$G838=INDEX('AH History'!$F$1:$F$18046,$H838)),1,-1),-1))</ns0:f>
        <ns0:v/>
      </ns0:c>
    </ns0:row>
    <ns0:row r="839">
      <ns0:c r="A839" s="215">
        <ns0:f>IF(OR(AH!$P$3=0,834+1&gt;AH!$P$11,AND(AH!$E$4&lt;&gt;"Stored",AH!$P$10&lt;&gt;1)),"",IFERROR(IF(AND(AH!$P$21=1,834+1=AH!$P$11),TODAY(),IF(AH!$P$10=1,INDEX('Live History'!$A$5:$A$3004,AH!$P$13+834),INDEX('AH History'!$A$1:$A$18046,AH!$P$7+834))),""))</ns0:f>
        <ns0:v/>
      </ns0:c>
      <ns0:c r="B839" s="219">
        <ns0:f>IFERROR(IF(AND(AH!$P$9&lt;&gt;1,$C839&gt;0,$D839&gt;0,$E839&gt;0,$F839&gt;0,$G839&gt;0,$F839&lt;=$A839,$G839&lt;=$A839,$A839-$F839&lt;=10,$A839-$G839&lt;=5),$D839*$E839/$C839-1,NA()),NA())</ns0:f>
        <ns0:v/>
      </ns0:c>
      <ns0:c r="C839">
        <ns0:f>IFERROR(IF(ISNUMBER($A839),IF(AND(AH!$P$10=1,AH!$P$12=1,$A839=TODAY()),AH!$P$19,IF(AH!$P$10=1,INDEX('Live History'!$B$5:$B$3004,AH!$P$13+834),INDEX('AH History'!$B$1:$B$18046,AH!$P$7+834))),NA()),NA())</ns0:f>
        <ns0:v/>
      </ns0:c>
      <ns0:c r="D839">
        <ns0:f>IFERROR(IF(ISNUMBER($A839),IF(AND(AH!$P$10=1,AH!$P$12=1,$A839=TODAY()),AH!$P$18,IF(AH!$P$10=1,INDEX('Live History'!$E$5:$E$3004,MATCH($A839,'Live History'!$D$5:$D$3004,1)),INDEX('AH History'!$C$1:$C$18046,AH!$P$7+834))),NA()),NA())</ns0:f>
        <ns0:v/>
      </ns0:c>
      <ns0:c r="E839">
        <ns0:f>IFERROR(IF(ISNUMBER($A839),IF(AND(AH!$P$10=1,AH!$P$12=1,$A839=TODAY()),AH!$P$20,IF(AH!$P$10=1,INDEX('Live History'!$H$5:$H$3004,MATCH($A839,'Live History'!$G$5:$G$3004,1)),INDEX('AH History'!$D$1:$D$18046,AH!$P$7+834))),NA()),NA())</ns0:f>
        <ns0:v/>
      </ns0:c>
      <ns0:c r="F839">
        <ns0:f>IFERROR(IF(ISNUMBER($A839),IF(AND(AH!$P$10=1,AH!$P$12=1,$A839=TODAY()),IF(AND(AH!$P$10=1,AH!$P$12=1,$A839=TODAY()),TODAY(),NA()),IF(AH!$P$10=1,INDEX('Live History'!$D$5:$D$3004,MATCH($A839,'Live History'!$D$5:$D$3004,1)),INDEX('AH History'!$E$1:$E$18046,AH!$P$7+834))),NA()),NA())</ns0:f>
        <ns0:v/>
      </ns0:c>
      <ns0:c r="G839">
        <ns0:f>IFERROR(IF(ISNUMBER($A839),IF(AND(AH!$P$10=1,AH!$P$12=1,$A839=TODAY()),IF(AND(AH!$P$10=1,AH!$P$12=1,$A839=TODAY()),TODAY(),NA()),IF(AH!$P$10=1,INDEX('Live History'!$G$5:$G$3004,MATCH($A839,'Live History'!$G$5:$G$3004,1)),INDEX('AH History'!$F$1:$F$18046,AH!$P$7+834))),NA()),NA())</ns0:f>
        <ns0:v/>
      </ns0:c>
      <ns0:c r="H839">
        <ns0:f>IFERROR(IF(AND(AH!$E$4="Bloomberg",AH!$P$10=1,ISNUMBER($A839),$A839&lt;=AH!$P$17),AH!$P$7-1+MATCH($A839,INDEX('AH History'!$A$1:$A$18046,AH!$P$7):INDEX('AH History'!$A$1:$A$18046,AH!$P$7+AH!$P$8-1),0),0),0)</ns0:f>
        <ns0:v/>
      </ns0:c>
      <ns0:c r="I839">
        <ns0:f>IF($H839=0,0,IFERROR(IF(AND(ABS($C839-INDEX('AH History'!$B$1:$B$18046,$H839))&lt;=MAX(0.005,ABS(INDEX('AH History'!$B$1:$B$18046,$H839))*0.00005),ABS($D839-INDEX('AH History'!$C$1:$C$18046,$H839))&lt;=MAX(0.005,ABS(INDEX('AH History'!$C$1:$C$18046,$H839))*0.00005),ABS($E839-INDEX('AH History'!$D$1:$D$18046,$H839))&lt;=0.00005,$F839=INDEX('AH History'!$E$1:$E$18046,$H839),$G839=INDEX('AH History'!$F$1:$F$18046,$H839)),1,-1),-1))</ns0:f>
        <ns0:v/>
      </ns0:c>
    </ns0:row>
    <ns0:row r="840">
      <ns0:c r="A840" s="215">
        <ns0:f>IF(OR(AH!$P$3=0,835+1&gt;AH!$P$11,AND(AH!$E$4&lt;&gt;"Stored",AH!$P$10&lt;&gt;1)),"",IFERROR(IF(AND(AH!$P$21=1,835+1=AH!$P$11),TODAY(),IF(AH!$P$10=1,INDEX('Live History'!$A$5:$A$3004,AH!$P$13+835),INDEX('AH History'!$A$1:$A$18046,AH!$P$7+835))),""))</ns0:f>
        <ns0:v/>
      </ns0:c>
      <ns0:c r="B840" s="219">
        <ns0:f>IFERROR(IF(AND(AH!$P$9&lt;&gt;1,$C840&gt;0,$D840&gt;0,$E840&gt;0,$F840&gt;0,$G840&gt;0,$F840&lt;=$A840,$G840&lt;=$A840,$A840-$F840&lt;=10,$A840-$G840&lt;=5),$D840*$E840/$C840-1,NA()),NA())</ns0:f>
        <ns0:v/>
      </ns0:c>
      <ns0:c r="C840">
        <ns0:f>IFERROR(IF(ISNUMBER($A840),IF(AND(AH!$P$10=1,AH!$P$12=1,$A840=TODAY()),AH!$P$19,IF(AH!$P$10=1,INDEX('Live History'!$B$5:$B$3004,AH!$P$13+835),INDEX('AH History'!$B$1:$B$18046,AH!$P$7+835))),NA()),NA())</ns0:f>
        <ns0:v/>
      </ns0:c>
      <ns0:c r="D840">
        <ns0:f>IFERROR(IF(ISNUMBER($A840),IF(AND(AH!$P$10=1,AH!$P$12=1,$A840=TODAY()),AH!$P$18,IF(AH!$P$10=1,INDEX('Live History'!$E$5:$E$3004,MATCH($A840,'Live History'!$D$5:$D$3004,1)),INDEX('AH History'!$C$1:$C$18046,AH!$P$7+835))),NA()),NA())</ns0:f>
        <ns0:v/>
      </ns0:c>
      <ns0:c r="E840">
        <ns0:f>IFERROR(IF(ISNUMBER($A840),IF(AND(AH!$P$10=1,AH!$P$12=1,$A840=TODAY()),AH!$P$20,IF(AH!$P$10=1,INDEX('Live History'!$H$5:$H$3004,MATCH($A840,'Live History'!$G$5:$G$3004,1)),INDEX('AH History'!$D$1:$D$18046,AH!$P$7+835))),NA()),NA())</ns0:f>
        <ns0:v/>
      </ns0:c>
      <ns0:c r="F840">
        <ns0:f>IFERROR(IF(ISNUMBER($A840),IF(AND(AH!$P$10=1,AH!$P$12=1,$A840=TODAY()),IF(AND(AH!$P$10=1,AH!$P$12=1,$A840=TODAY()),TODAY(),NA()),IF(AH!$P$10=1,INDEX('Live History'!$D$5:$D$3004,MATCH($A840,'Live History'!$D$5:$D$3004,1)),INDEX('AH History'!$E$1:$E$18046,AH!$P$7+835))),NA()),NA())</ns0:f>
        <ns0:v/>
      </ns0:c>
      <ns0:c r="G840">
        <ns0:f>IFERROR(IF(ISNUMBER($A840),IF(AND(AH!$P$10=1,AH!$P$12=1,$A840=TODAY()),IF(AND(AH!$P$10=1,AH!$P$12=1,$A840=TODAY()),TODAY(),NA()),IF(AH!$P$10=1,INDEX('Live History'!$G$5:$G$3004,MATCH($A840,'Live History'!$G$5:$G$3004,1)),INDEX('AH History'!$F$1:$F$18046,AH!$P$7+835))),NA()),NA())</ns0:f>
        <ns0:v/>
      </ns0:c>
      <ns0:c r="H840">
        <ns0:f>IFERROR(IF(AND(AH!$E$4="Bloomberg",AH!$P$10=1,ISNUMBER($A840),$A840&lt;=AH!$P$17),AH!$P$7-1+MATCH($A840,INDEX('AH History'!$A$1:$A$18046,AH!$P$7):INDEX('AH History'!$A$1:$A$18046,AH!$P$7+AH!$P$8-1),0),0),0)</ns0:f>
        <ns0:v/>
      </ns0:c>
      <ns0:c r="I840">
        <ns0:f>IF($H840=0,0,IFERROR(IF(AND(ABS($C840-INDEX('AH History'!$B$1:$B$18046,$H840))&lt;=MAX(0.005,ABS(INDEX('AH History'!$B$1:$B$18046,$H840))*0.00005),ABS($D840-INDEX('AH History'!$C$1:$C$18046,$H840))&lt;=MAX(0.005,ABS(INDEX('AH History'!$C$1:$C$18046,$H840))*0.00005),ABS($E840-INDEX('AH History'!$D$1:$D$18046,$H840))&lt;=0.00005,$F840=INDEX('AH History'!$E$1:$E$18046,$H840),$G840=INDEX('AH History'!$F$1:$F$18046,$H840)),1,-1),-1))</ns0:f>
        <ns0:v/>
      </ns0:c>
    </ns0:row>
    <ns0:row r="841">
      <ns0:c r="A841" s="215">
        <ns0:f>IF(OR(AH!$P$3=0,836+1&gt;AH!$P$11,AND(AH!$E$4&lt;&gt;"Stored",AH!$P$10&lt;&gt;1)),"",IFERROR(IF(AND(AH!$P$21=1,836+1=AH!$P$11),TODAY(),IF(AH!$P$10=1,INDEX('Live History'!$A$5:$A$3004,AH!$P$13+836),INDEX('AH History'!$A$1:$A$18046,AH!$P$7+836))),""))</ns0:f>
        <ns0:v/>
      </ns0:c>
      <ns0:c r="B841" s="219">
        <ns0:f>IFERROR(IF(AND(AH!$P$9&lt;&gt;1,$C841&gt;0,$D841&gt;0,$E841&gt;0,$F841&gt;0,$G841&gt;0,$F841&lt;=$A841,$G841&lt;=$A841,$A841-$F841&lt;=10,$A841-$G841&lt;=5),$D841*$E841/$C841-1,NA()),NA())</ns0:f>
        <ns0:v/>
      </ns0:c>
      <ns0:c r="C841">
        <ns0:f>IFERROR(IF(ISNUMBER($A841),IF(AND(AH!$P$10=1,AH!$P$12=1,$A841=TODAY()),AH!$P$19,IF(AH!$P$10=1,INDEX('Live History'!$B$5:$B$3004,AH!$P$13+836),INDEX('AH History'!$B$1:$B$18046,AH!$P$7+836))),NA()),NA())</ns0:f>
        <ns0:v/>
      </ns0:c>
      <ns0:c r="D841">
        <ns0:f>IFERROR(IF(ISNUMBER($A841),IF(AND(AH!$P$10=1,AH!$P$12=1,$A841=TODAY()),AH!$P$18,IF(AH!$P$10=1,INDEX('Live History'!$E$5:$E$3004,MATCH($A841,'Live History'!$D$5:$D$3004,1)),INDEX('AH History'!$C$1:$C$18046,AH!$P$7+836))),NA()),NA())</ns0:f>
        <ns0:v/>
      </ns0:c>
      <ns0:c r="E841">
        <ns0:f>IFERROR(IF(ISNUMBER($A841),IF(AND(AH!$P$10=1,AH!$P$12=1,$A841=TODAY()),AH!$P$20,IF(AH!$P$10=1,INDEX('Live History'!$H$5:$H$3004,MATCH($A841,'Live History'!$G$5:$G$3004,1)),INDEX('AH History'!$D$1:$D$18046,AH!$P$7+836))),NA()),NA())</ns0:f>
        <ns0:v/>
      </ns0:c>
      <ns0:c r="F841">
        <ns0:f>IFERROR(IF(ISNUMBER($A841),IF(AND(AH!$P$10=1,AH!$P$12=1,$A841=TODAY()),IF(AND(AH!$P$10=1,AH!$P$12=1,$A841=TODAY()),TODAY(),NA()),IF(AH!$P$10=1,INDEX('Live History'!$D$5:$D$3004,MATCH($A841,'Live History'!$D$5:$D$3004,1)),INDEX('AH History'!$E$1:$E$18046,AH!$P$7+836))),NA()),NA())</ns0:f>
        <ns0:v/>
      </ns0:c>
      <ns0:c r="G841">
        <ns0:f>IFERROR(IF(ISNUMBER($A841),IF(AND(AH!$P$10=1,AH!$P$12=1,$A841=TODAY()),IF(AND(AH!$P$10=1,AH!$P$12=1,$A841=TODAY()),TODAY(),NA()),IF(AH!$P$10=1,INDEX('Live History'!$G$5:$G$3004,MATCH($A841,'Live History'!$G$5:$G$3004,1)),INDEX('AH History'!$F$1:$F$18046,AH!$P$7+836))),NA()),NA())</ns0:f>
        <ns0:v/>
      </ns0:c>
      <ns0:c r="H841">
        <ns0:f>IFERROR(IF(AND(AH!$E$4="Bloomberg",AH!$P$10=1,ISNUMBER($A841),$A841&lt;=AH!$P$17),AH!$P$7-1+MATCH($A841,INDEX('AH History'!$A$1:$A$18046,AH!$P$7):INDEX('AH History'!$A$1:$A$18046,AH!$P$7+AH!$P$8-1),0),0),0)</ns0:f>
        <ns0:v/>
      </ns0:c>
      <ns0:c r="I841">
        <ns0:f>IF($H841=0,0,IFERROR(IF(AND(ABS($C841-INDEX('AH History'!$B$1:$B$18046,$H841))&lt;=MAX(0.005,ABS(INDEX('AH History'!$B$1:$B$18046,$H841))*0.00005),ABS($D841-INDEX('AH History'!$C$1:$C$18046,$H841))&lt;=MAX(0.005,ABS(INDEX('AH History'!$C$1:$C$18046,$H841))*0.00005),ABS($E841-INDEX('AH History'!$D$1:$D$18046,$H841))&lt;=0.00005,$F841=INDEX('AH History'!$E$1:$E$18046,$H841),$G841=INDEX('AH History'!$F$1:$F$18046,$H841)),1,-1),-1))</ns0:f>
        <ns0:v/>
      </ns0:c>
    </ns0:row>
    <ns0:row r="842">
      <ns0:c r="A842" s="215">
        <ns0:f>IF(OR(AH!$P$3=0,837+1&gt;AH!$P$11,AND(AH!$E$4&lt;&gt;"Stored",AH!$P$10&lt;&gt;1)),"",IFERROR(IF(AND(AH!$P$21=1,837+1=AH!$P$11),TODAY(),IF(AH!$P$10=1,INDEX('Live History'!$A$5:$A$3004,AH!$P$13+837),INDEX('AH History'!$A$1:$A$18046,AH!$P$7+837))),""))</ns0:f>
        <ns0:v/>
      </ns0:c>
      <ns0:c r="B842" s="219">
        <ns0:f>IFERROR(IF(AND(AH!$P$9&lt;&gt;1,$C842&gt;0,$D842&gt;0,$E842&gt;0,$F842&gt;0,$G842&gt;0,$F842&lt;=$A842,$G842&lt;=$A842,$A842-$F842&lt;=10,$A842-$G842&lt;=5),$D842*$E842/$C842-1,NA()),NA())</ns0:f>
        <ns0:v/>
      </ns0:c>
      <ns0:c r="C842">
        <ns0:f>IFERROR(IF(ISNUMBER($A842),IF(AND(AH!$P$10=1,AH!$P$12=1,$A842=TODAY()),AH!$P$19,IF(AH!$P$10=1,INDEX('Live History'!$B$5:$B$3004,AH!$P$13+837),INDEX('AH History'!$B$1:$B$18046,AH!$P$7+837))),NA()),NA())</ns0:f>
        <ns0:v/>
      </ns0:c>
      <ns0:c r="D842">
        <ns0:f>IFERROR(IF(ISNUMBER($A842),IF(AND(AH!$P$10=1,AH!$P$12=1,$A842=TODAY()),AH!$P$18,IF(AH!$P$10=1,INDEX('Live History'!$E$5:$E$3004,MATCH($A842,'Live History'!$D$5:$D$3004,1)),INDEX('AH History'!$C$1:$C$18046,AH!$P$7+837))),NA()),NA())</ns0:f>
        <ns0:v/>
      </ns0:c>
      <ns0:c r="E842">
        <ns0:f>IFERROR(IF(ISNUMBER($A842),IF(AND(AH!$P$10=1,AH!$P$12=1,$A842=TODAY()),AH!$P$20,IF(AH!$P$10=1,INDEX('Live History'!$H$5:$H$3004,MATCH($A842,'Live History'!$G$5:$G$3004,1)),INDEX('AH History'!$D$1:$D$18046,AH!$P$7+837))),NA()),NA())</ns0:f>
        <ns0:v/>
      </ns0:c>
      <ns0:c r="F842">
        <ns0:f>IFERROR(IF(ISNUMBER($A842),IF(AND(AH!$P$10=1,AH!$P$12=1,$A842=TODAY()),IF(AND(AH!$P$10=1,AH!$P$12=1,$A842=TODAY()),TODAY(),NA()),IF(AH!$P$10=1,INDEX('Live History'!$D$5:$D$3004,MATCH($A842,'Live History'!$D$5:$D$3004,1)),INDEX('AH History'!$E$1:$E$18046,AH!$P$7+837))),NA()),NA())</ns0:f>
        <ns0:v/>
      </ns0:c>
      <ns0:c r="G842">
        <ns0:f>IFERROR(IF(ISNUMBER($A842),IF(AND(AH!$P$10=1,AH!$P$12=1,$A842=TODAY()),IF(AND(AH!$P$10=1,AH!$P$12=1,$A842=TODAY()),TODAY(),NA()),IF(AH!$P$10=1,INDEX('Live History'!$G$5:$G$3004,MATCH($A842,'Live History'!$G$5:$G$3004,1)),INDEX('AH History'!$F$1:$F$18046,AH!$P$7+837))),NA()),NA())</ns0:f>
        <ns0:v/>
      </ns0:c>
      <ns0:c r="H842">
        <ns0:f>IFERROR(IF(AND(AH!$E$4="Bloomberg",AH!$P$10=1,ISNUMBER($A842),$A842&lt;=AH!$P$17),AH!$P$7-1+MATCH($A842,INDEX('AH History'!$A$1:$A$18046,AH!$P$7):INDEX('AH History'!$A$1:$A$18046,AH!$P$7+AH!$P$8-1),0),0),0)</ns0:f>
        <ns0:v/>
      </ns0:c>
      <ns0:c r="I842">
        <ns0:f>IF($H842=0,0,IFERROR(IF(AND(ABS($C842-INDEX('AH History'!$B$1:$B$18046,$H842))&lt;=MAX(0.005,ABS(INDEX('AH History'!$B$1:$B$18046,$H842))*0.00005),ABS($D842-INDEX('AH History'!$C$1:$C$18046,$H842))&lt;=MAX(0.005,ABS(INDEX('AH History'!$C$1:$C$18046,$H842))*0.00005),ABS($E842-INDEX('AH History'!$D$1:$D$18046,$H842))&lt;=0.00005,$F842=INDEX('AH History'!$E$1:$E$18046,$H842),$G842=INDEX('AH History'!$F$1:$F$18046,$H842)),1,-1),-1))</ns0:f>
        <ns0:v/>
      </ns0:c>
    </ns0:row>
    <ns0:row r="843">
      <ns0:c r="A843" s="215">
        <ns0:f>IF(OR(AH!$P$3=0,838+1&gt;AH!$P$11,AND(AH!$E$4&lt;&gt;"Stored",AH!$P$10&lt;&gt;1)),"",IFERROR(IF(AND(AH!$P$21=1,838+1=AH!$P$11),TODAY(),IF(AH!$P$10=1,INDEX('Live History'!$A$5:$A$3004,AH!$P$13+838),INDEX('AH History'!$A$1:$A$18046,AH!$P$7+838))),""))</ns0:f>
        <ns0:v/>
      </ns0:c>
      <ns0:c r="B843" s="219">
        <ns0:f>IFERROR(IF(AND(AH!$P$9&lt;&gt;1,$C843&gt;0,$D843&gt;0,$E843&gt;0,$F843&gt;0,$G843&gt;0,$F843&lt;=$A843,$G843&lt;=$A843,$A843-$F843&lt;=10,$A843-$G843&lt;=5),$D843*$E843/$C843-1,NA()),NA())</ns0:f>
        <ns0:v/>
      </ns0:c>
      <ns0:c r="C843">
        <ns0:f>IFERROR(IF(ISNUMBER($A843),IF(AND(AH!$P$10=1,AH!$P$12=1,$A843=TODAY()),AH!$P$19,IF(AH!$P$10=1,INDEX('Live History'!$B$5:$B$3004,AH!$P$13+838),INDEX('AH History'!$B$1:$B$18046,AH!$P$7+838))),NA()),NA())</ns0:f>
        <ns0:v/>
      </ns0:c>
      <ns0:c r="D843">
        <ns0:f>IFERROR(IF(ISNUMBER($A843),IF(AND(AH!$P$10=1,AH!$P$12=1,$A843=TODAY()),AH!$P$18,IF(AH!$P$10=1,INDEX('Live History'!$E$5:$E$3004,MATCH($A843,'Live History'!$D$5:$D$3004,1)),INDEX('AH History'!$C$1:$C$18046,AH!$P$7+838))),NA()),NA())</ns0:f>
        <ns0:v/>
      </ns0:c>
      <ns0:c r="E843">
        <ns0:f>IFERROR(IF(ISNUMBER($A843),IF(AND(AH!$P$10=1,AH!$P$12=1,$A843=TODAY()),AH!$P$20,IF(AH!$P$10=1,INDEX('Live History'!$H$5:$H$3004,MATCH($A843,'Live History'!$G$5:$G$3004,1)),INDEX('AH History'!$D$1:$D$18046,AH!$P$7+838))),NA()),NA())</ns0:f>
        <ns0:v/>
      </ns0:c>
      <ns0:c r="F843">
        <ns0:f>IFERROR(IF(ISNUMBER($A843),IF(AND(AH!$P$10=1,AH!$P$12=1,$A843=TODAY()),IF(AND(AH!$P$10=1,AH!$P$12=1,$A843=TODAY()),TODAY(),NA()),IF(AH!$P$10=1,INDEX('Live History'!$D$5:$D$3004,MATCH($A843,'Live History'!$D$5:$D$3004,1)),INDEX('AH History'!$E$1:$E$18046,AH!$P$7+838))),NA()),NA())</ns0:f>
        <ns0:v/>
      </ns0:c>
      <ns0:c r="G843">
        <ns0:f>IFERROR(IF(ISNUMBER($A843),IF(AND(AH!$P$10=1,AH!$P$12=1,$A843=TODAY()),IF(AND(AH!$P$10=1,AH!$P$12=1,$A843=TODAY()),TODAY(),NA()),IF(AH!$P$10=1,INDEX('Live History'!$G$5:$G$3004,MATCH($A843,'Live History'!$G$5:$G$3004,1)),INDEX('AH History'!$F$1:$F$18046,AH!$P$7+838))),NA()),NA())</ns0:f>
        <ns0:v/>
      </ns0:c>
      <ns0:c r="H843">
        <ns0:f>IFERROR(IF(AND(AH!$E$4="Bloomberg",AH!$P$10=1,ISNUMBER($A843),$A843&lt;=AH!$P$17),AH!$P$7-1+MATCH($A843,INDEX('AH History'!$A$1:$A$18046,AH!$P$7):INDEX('AH History'!$A$1:$A$18046,AH!$P$7+AH!$P$8-1),0),0),0)</ns0:f>
        <ns0:v/>
      </ns0:c>
      <ns0:c r="I843">
        <ns0:f>IF($H843=0,0,IFERROR(IF(AND(ABS($C843-INDEX('AH History'!$B$1:$B$18046,$H843))&lt;=MAX(0.005,ABS(INDEX('AH History'!$B$1:$B$18046,$H843))*0.00005),ABS($D843-INDEX('AH History'!$C$1:$C$18046,$H843))&lt;=MAX(0.005,ABS(INDEX('AH History'!$C$1:$C$18046,$H843))*0.00005),ABS($E843-INDEX('AH History'!$D$1:$D$18046,$H843))&lt;=0.00005,$F843=INDEX('AH History'!$E$1:$E$18046,$H843),$G843=INDEX('AH History'!$F$1:$F$18046,$H843)),1,-1),-1))</ns0:f>
        <ns0:v/>
      </ns0:c>
    </ns0:row>
    <ns0:row r="844">
      <ns0:c r="A844" s="215">
        <ns0:f>IF(OR(AH!$P$3=0,839+1&gt;AH!$P$11,AND(AH!$E$4&lt;&gt;"Stored",AH!$P$10&lt;&gt;1)),"",IFERROR(IF(AND(AH!$P$21=1,839+1=AH!$P$11),TODAY(),IF(AH!$P$10=1,INDEX('Live History'!$A$5:$A$3004,AH!$P$13+839),INDEX('AH History'!$A$1:$A$18046,AH!$P$7+839))),""))</ns0:f>
        <ns0:v/>
      </ns0:c>
      <ns0:c r="B844" s="219">
        <ns0:f>IFERROR(IF(AND(AH!$P$9&lt;&gt;1,$C844&gt;0,$D844&gt;0,$E844&gt;0,$F844&gt;0,$G844&gt;0,$F844&lt;=$A844,$G844&lt;=$A844,$A844-$F844&lt;=10,$A844-$G844&lt;=5),$D844*$E844/$C844-1,NA()),NA())</ns0:f>
        <ns0:v/>
      </ns0:c>
      <ns0:c r="C844">
        <ns0:f>IFERROR(IF(ISNUMBER($A844),IF(AND(AH!$P$10=1,AH!$P$12=1,$A844=TODAY()),AH!$P$19,IF(AH!$P$10=1,INDEX('Live History'!$B$5:$B$3004,AH!$P$13+839),INDEX('AH History'!$B$1:$B$18046,AH!$P$7+839))),NA()),NA())</ns0:f>
        <ns0:v/>
      </ns0:c>
      <ns0:c r="D844">
        <ns0:f>IFERROR(IF(ISNUMBER($A844),IF(AND(AH!$P$10=1,AH!$P$12=1,$A844=TODAY()),AH!$P$18,IF(AH!$P$10=1,INDEX('Live History'!$E$5:$E$3004,MATCH($A844,'Live History'!$D$5:$D$3004,1)),INDEX('AH History'!$C$1:$C$18046,AH!$P$7+839))),NA()),NA())</ns0:f>
        <ns0:v/>
      </ns0:c>
      <ns0:c r="E844">
        <ns0:f>IFERROR(IF(ISNUMBER($A844),IF(AND(AH!$P$10=1,AH!$P$12=1,$A844=TODAY()),AH!$P$20,IF(AH!$P$10=1,INDEX('Live History'!$H$5:$H$3004,MATCH($A844,'Live History'!$G$5:$G$3004,1)),INDEX('AH History'!$D$1:$D$18046,AH!$P$7+839))),NA()),NA())</ns0:f>
        <ns0:v/>
      </ns0:c>
      <ns0:c r="F844">
        <ns0:f>IFERROR(IF(ISNUMBER($A844),IF(AND(AH!$P$10=1,AH!$P$12=1,$A844=TODAY()),IF(AND(AH!$P$10=1,AH!$P$12=1,$A844=TODAY()),TODAY(),NA()),IF(AH!$P$10=1,INDEX('Live History'!$D$5:$D$3004,MATCH($A844,'Live History'!$D$5:$D$3004,1)),INDEX('AH History'!$E$1:$E$18046,AH!$P$7+839))),NA()),NA())</ns0:f>
        <ns0:v/>
      </ns0:c>
      <ns0:c r="G844">
        <ns0:f>IFERROR(IF(ISNUMBER($A844),IF(AND(AH!$P$10=1,AH!$P$12=1,$A844=TODAY()),IF(AND(AH!$P$10=1,AH!$P$12=1,$A844=TODAY()),TODAY(),NA()),IF(AH!$P$10=1,INDEX('Live History'!$G$5:$G$3004,MATCH($A844,'Live History'!$G$5:$G$3004,1)),INDEX('AH History'!$F$1:$F$18046,AH!$P$7+839))),NA()),NA())</ns0:f>
        <ns0:v/>
      </ns0:c>
      <ns0:c r="H844">
        <ns0:f>IFERROR(IF(AND(AH!$E$4="Bloomberg",AH!$P$10=1,ISNUMBER($A844),$A844&lt;=AH!$P$17),AH!$P$7-1+MATCH($A844,INDEX('AH History'!$A$1:$A$18046,AH!$P$7):INDEX('AH History'!$A$1:$A$18046,AH!$P$7+AH!$P$8-1),0),0),0)</ns0:f>
        <ns0:v/>
      </ns0:c>
      <ns0:c r="I844">
        <ns0:f>IF($H844=0,0,IFERROR(IF(AND(ABS($C844-INDEX('AH History'!$B$1:$B$18046,$H844))&lt;=MAX(0.005,ABS(INDEX('AH History'!$B$1:$B$18046,$H844))*0.00005),ABS($D844-INDEX('AH History'!$C$1:$C$18046,$H844))&lt;=MAX(0.005,ABS(INDEX('AH History'!$C$1:$C$18046,$H844))*0.00005),ABS($E844-INDEX('AH History'!$D$1:$D$18046,$H844))&lt;=0.00005,$F844=INDEX('AH History'!$E$1:$E$18046,$H844),$G844=INDEX('AH History'!$F$1:$F$18046,$H844)),1,-1),-1))</ns0:f>
        <ns0:v/>
      </ns0:c>
    </ns0:row>
    <ns0:row r="845">
      <ns0:c r="A845" s="215">
        <ns0:f>IF(OR(AH!$P$3=0,840+1&gt;AH!$P$11,AND(AH!$E$4&lt;&gt;"Stored",AH!$P$10&lt;&gt;1)),"",IFERROR(IF(AND(AH!$P$21=1,840+1=AH!$P$11),TODAY(),IF(AH!$P$10=1,INDEX('Live History'!$A$5:$A$3004,AH!$P$13+840),INDEX('AH History'!$A$1:$A$18046,AH!$P$7+840))),""))</ns0:f>
        <ns0:v/>
      </ns0:c>
      <ns0:c r="B845" s="219">
        <ns0:f>IFERROR(IF(AND(AH!$P$9&lt;&gt;1,$C845&gt;0,$D845&gt;0,$E845&gt;0,$F845&gt;0,$G845&gt;0,$F845&lt;=$A845,$G845&lt;=$A845,$A845-$F845&lt;=10,$A845-$G845&lt;=5),$D845*$E845/$C845-1,NA()),NA())</ns0:f>
        <ns0:v/>
      </ns0:c>
      <ns0:c r="C845">
        <ns0:f>IFERROR(IF(ISNUMBER($A845),IF(AND(AH!$P$10=1,AH!$P$12=1,$A845=TODAY()),AH!$P$19,IF(AH!$P$10=1,INDEX('Live History'!$B$5:$B$3004,AH!$P$13+840),INDEX('AH History'!$B$1:$B$18046,AH!$P$7+840))),NA()),NA())</ns0:f>
        <ns0:v/>
      </ns0:c>
      <ns0:c r="D845">
        <ns0:f>IFERROR(IF(ISNUMBER($A845),IF(AND(AH!$P$10=1,AH!$P$12=1,$A845=TODAY()),AH!$P$18,IF(AH!$P$10=1,INDEX('Live History'!$E$5:$E$3004,MATCH($A845,'Live History'!$D$5:$D$3004,1)),INDEX('AH History'!$C$1:$C$18046,AH!$P$7+840))),NA()),NA())</ns0:f>
        <ns0:v/>
      </ns0:c>
      <ns0:c r="E845">
        <ns0:f>IFERROR(IF(ISNUMBER($A845),IF(AND(AH!$P$10=1,AH!$P$12=1,$A845=TODAY()),AH!$P$20,IF(AH!$P$10=1,INDEX('Live History'!$H$5:$H$3004,MATCH($A845,'Live History'!$G$5:$G$3004,1)),INDEX('AH History'!$D$1:$D$18046,AH!$P$7+840))),NA()),NA())</ns0:f>
        <ns0:v/>
      </ns0:c>
      <ns0:c r="F845">
        <ns0:f>IFERROR(IF(ISNUMBER($A845),IF(AND(AH!$P$10=1,AH!$P$12=1,$A845=TODAY()),IF(AND(AH!$P$10=1,AH!$P$12=1,$A845=TODAY()),TODAY(),NA()),IF(AH!$P$10=1,INDEX('Live History'!$D$5:$D$3004,MATCH($A845,'Live History'!$D$5:$D$3004,1)),INDEX('AH History'!$E$1:$E$18046,AH!$P$7+840))),NA()),NA())</ns0:f>
        <ns0:v/>
      </ns0:c>
      <ns0:c r="G845">
        <ns0:f>IFERROR(IF(ISNUMBER($A845),IF(AND(AH!$P$10=1,AH!$P$12=1,$A845=TODAY()),IF(AND(AH!$P$10=1,AH!$P$12=1,$A845=TODAY()),TODAY(),NA()),IF(AH!$P$10=1,INDEX('Live History'!$G$5:$G$3004,MATCH($A845,'Live History'!$G$5:$G$3004,1)),INDEX('AH History'!$F$1:$F$18046,AH!$P$7+840))),NA()),NA())</ns0:f>
        <ns0:v/>
      </ns0:c>
      <ns0:c r="H845">
        <ns0:f>IFERROR(IF(AND(AH!$E$4="Bloomberg",AH!$P$10=1,ISNUMBER($A845),$A845&lt;=AH!$P$17),AH!$P$7-1+MATCH($A845,INDEX('AH History'!$A$1:$A$18046,AH!$P$7):INDEX('AH History'!$A$1:$A$18046,AH!$P$7+AH!$P$8-1),0),0),0)</ns0:f>
        <ns0:v/>
      </ns0:c>
      <ns0:c r="I845">
        <ns0:f>IF($H845=0,0,IFERROR(IF(AND(ABS($C845-INDEX('AH History'!$B$1:$B$18046,$H845))&lt;=MAX(0.005,ABS(INDEX('AH History'!$B$1:$B$18046,$H845))*0.00005),ABS($D845-INDEX('AH History'!$C$1:$C$18046,$H845))&lt;=MAX(0.005,ABS(INDEX('AH History'!$C$1:$C$18046,$H845))*0.00005),ABS($E845-INDEX('AH History'!$D$1:$D$18046,$H845))&lt;=0.00005,$F845=INDEX('AH History'!$E$1:$E$18046,$H845),$G845=INDEX('AH History'!$F$1:$F$18046,$H845)),1,-1),-1))</ns0:f>
        <ns0:v/>
      </ns0:c>
    </ns0:row>
    <ns0:row r="846">
      <ns0:c r="A846" s="215">
        <ns0:f>IF(OR(AH!$P$3=0,841+1&gt;AH!$P$11,AND(AH!$E$4&lt;&gt;"Stored",AH!$P$10&lt;&gt;1)),"",IFERROR(IF(AND(AH!$P$21=1,841+1=AH!$P$11),TODAY(),IF(AH!$P$10=1,INDEX('Live History'!$A$5:$A$3004,AH!$P$13+841),INDEX('AH History'!$A$1:$A$18046,AH!$P$7+841))),""))</ns0:f>
        <ns0:v/>
      </ns0:c>
      <ns0:c r="B846" s="219">
        <ns0:f>IFERROR(IF(AND(AH!$P$9&lt;&gt;1,$C846&gt;0,$D846&gt;0,$E846&gt;0,$F846&gt;0,$G846&gt;0,$F846&lt;=$A846,$G846&lt;=$A846,$A846-$F846&lt;=10,$A846-$G846&lt;=5),$D846*$E846/$C846-1,NA()),NA())</ns0:f>
        <ns0:v/>
      </ns0:c>
      <ns0:c r="C846">
        <ns0:f>IFERROR(IF(ISNUMBER($A846),IF(AND(AH!$P$10=1,AH!$P$12=1,$A846=TODAY()),AH!$P$19,IF(AH!$P$10=1,INDEX('Live History'!$B$5:$B$3004,AH!$P$13+841),INDEX('AH History'!$B$1:$B$18046,AH!$P$7+841))),NA()),NA())</ns0:f>
        <ns0:v/>
      </ns0:c>
      <ns0:c r="D846">
        <ns0:f>IFERROR(IF(ISNUMBER($A846),IF(AND(AH!$P$10=1,AH!$P$12=1,$A846=TODAY()),AH!$P$18,IF(AH!$P$10=1,INDEX('Live History'!$E$5:$E$3004,MATCH($A846,'Live History'!$D$5:$D$3004,1)),INDEX('AH History'!$C$1:$C$18046,AH!$P$7+841))),NA()),NA())</ns0:f>
        <ns0:v/>
      </ns0:c>
      <ns0:c r="E846">
        <ns0:f>IFERROR(IF(ISNUMBER($A846),IF(AND(AH!$P$10=1,AH!$P$12=1,$A846=TODAY()),AH!$P$20,IF(AH!$P$10=1,INDEX('Live History'!$H$5:$H$3004,MATCH($A846,'Live History'!$G$5:$G$3004,1)),INDEX('AH History'!$D$1:$D$18046,AH!$P$7+841))),NA()),NA())</ns0:f>
        <ns0:v/>
      </ns0:c>
      <ns0:c r="F846">
        <ns0:f>IFERROR(IF(ISNUMBER($A846),IF(AND(AH!$P$10=1,AH!$P$12=1,$A846=TODAY()),IF(AND(AH!$P$10=1,AH!$P$12=1,$A846=TODAY()),TODAY(),NA()),IF(AH!$P$10=1,INDEX('Live History'!$D$5:$D$3004,MATCH($A846,'Live History'!$D$5:$D$3004,1)),INDEX('AH History'!$E$1:$E$18046,AH!$P$7+841))),NA()),NA())</ns0:f>
        <ns0:v/>
      </ns0:c>
      <ns0:c r="G846">
        <ns0:f>IFERROR(IF(ISNUMBER($A846),IF(AND(AH!$P$10=1,AH!$P$12=1,$A846=TODAY()),IF(AND(AH!$P$10=1,AH!$P$12=1,$A846=TODAY()),TODAY(),NA()),IF(AH!$P$10=1,INDEX('Live History'!$G$5:$G$3004,MATCH($A846,'Live History'!$G$5:$G$3004,1)),INDEX('AH History'!$F$1:$F$18046,AH!$P$7+841))),NA()),NA())</ns0:f>
        <ns0:v/>
      </ns0:c>
      <ns0:c r="H846">
        <ns0:f>IFERROR(IF(AND(AH!$E$4="Bloomberg",AH!$P$10=1,ISNUMBER($A846),$A846&lt;=AH!$P$17),AH!$P$7-1+MATCH($A846,INDEX('AH History'!$A$1:$A$18046,AH!$P$7):INDEX('AH History'!$A$1:$A$18046,AH!$P$7+AH!$P$8-1),0),0),0)</ns0:f>
        <ns0:v/>
      </ns0:c>
      <ns0:c r="I846">
        <ns0:f>IF($H846=0,0,IFERROR(IF(AND(ABS($C846-INDEX('AH History'!$B$1:$B$18046,$H846))&lt;=MAX(0.005,ABS(INDEX('AH History'!$B$1:$B$18046,$H846))*0.00005),ABS($D846-INDEX('AH History'!$C$1:$C$18046,$H846))&lt;=MAX(0.005,ABS(INDEX('AH History'!$C$1:$C$18046,$H846))*0.00005),ABS($E846-INDEX('AH History'!$D$1:$D$18046,$H846))&lt;=0.00005,$F846=INDEX('AH History'!$E$1:$E$18046,$H846),$G846=INDEX('AH History'!$F$1:$F$18046,$H846)),1,-1),-1))</ns0:f>
        <ns0:v/>
      </ns0:c>
    </ns0:row>
    <ns0:row r="847">
      <ns0:c r="A847" s="215">
        <ns0:f>IF(OR(AH!$P$3=0,842+1&gt;AH!$P$11,AND(AH!$E$4&lt;&gt;"Stored",AH!$P$10&lt;&gt;1)),"",IFERROR(IF(AND(AH!$P$21=1,842+1=AH!$P$11),TODAY(),IF(AH!$P$10=1,INDEX('Live History'!$A$5:$A$3004,AH!$P$13+842),INDEX('AH History'!$A$1:$A$18046,AH!$P$7+842))),""))</ns0:f>
        <ns0:v/>
      </ns0:c>
      <ns0:c r="B847" s="219">
        <ns0:f>IFERROR(IF(AND(AH!$P$9&lt;&gt;1,$C847&gt;0,$D847&gt;0,$E847&gt;0,$F847&gt;0,$G847&gt;0,$F847&lt;=$A847,$G847&lt;=$A847,$A847-$F847&lt;=10,$A847-$G847&lt;=5),$D847*$E847/$C847-1,NA()),NA())</ns0:f>
        <ns0:v/>
      </ns0:c>
      <ns0:c r="C847">
        <ns0:f>IFERROR(IF(ISNUMBER($A847),IF(AND(AH!$P$10=1,AH!$P$12=1,$A847=TODAY()),AH!$P$19,IF(AH!$P$10=1,INDEX('Live History'!$B$5:$B$3004,AH!$P$13+842),INDEX('AH History'!$B$1:$B$18046,AH!$P$7+842))),NA()),NA())</ns0:f>
        <ns0:v/>
      </ns0:c>
      <ns0:c r="D847">
        <ns0:f>IFERROR(IF(ISNUMBER($A847),IF(AND(AH!$P$10=1,AH!$P$12=1,$A847=TODAY()),AH!$P$18,IF(AH!$P$10=1,INDEX('Live History'!$E$5:$E$3004,MATCH($A847,'Live History'!$D$5:$D$3004,1)),INDEX('AH History'!$C$1:$C$18046,AH!$P$7+842))),NA()),NA())</ns0:f>
        <ns0:v/>
      </ns0:c>
      <ns0:c r="E847">
        <ns0:f>IFERROR(IF(ISNUMBER($A847),IF(AND(AH!$P$10=1,AH!$P$12=1,$A847=TODAY()),AH!$P$20,IF(AH!$P$10=1,INDEX('Live History'!$H$5:$H$3004,MATCH($A847,'Live History'!$G$5:$G$3004,1)),INDEX('AH History'!$D$1:$D$18046,AH!$P$7+842))),NA()),NA())</ns0:f>
        <ns0:v/>
      </ns0:c>
      <ns0:c r="F847">
        <ns0:f>IFERROR(IF(ISNUMBER($A847),IF(AND(AH!$P$10=1,AH!$P$12=1,$A847=TODAY()),IF(AND(AH!$P$10=1,AH!$P$12=1,$A847=TODAY()),TODAY(),NA()),IF(AH!$P$10=1,INDEX('Live History'!$D$5:$D$3004,MATCH($A847,'Live History'!$D$5:$D$3004,1)),INDEX('AH History'!$E$1:$E$18046,AH!$P$7+842))),NA()),NA())</ns0:f>
        <ns0:v/>
      </ns0:c>
      <ns0:c r="G847">
        <ns0:f>IFERROR(IF(ISNUMBER($A847),IF(AND(AH!$P$10=1,AH!$P$12=1,$A847=TODAY()),IF(AND(AH!$P$10=1,AH!$P$12=1,$A847=TODAY()),TODAY(),NA()),IF(AH!$P$10=1,INDEX('Live History'!$G$5:$G$3004,MATCH($A847,'Live History'!$G$5:$G$3004,1)),INDEX('AH History'!$F$1:$F$18046,AH!$P$7+842))),NA()),NA())</ns0:f>
        <ns0:v/>
      </ns0:c>
      <ns0:c r="H847">
        <ns0:f>IFERROR(IF(AND(AH!$E$4="Bloomberg",AH!$P$10=1,ISNUMBER($A847),$A847&lt;=AH!$P$17),AH!$P$7-1+MATCH($A847,INDEX('AH History'!$A$1:$A$18046,AH!$P$7):INDEX('AH History'!$A$1:$A$18046,AH!$P$7+AH!$P$8-1),0),0),0)</ns0:f>
        <ns0:v/>
      </ns0:c>
      <ns0:c r="I847">
        <ns0:f>IF($H847=0,0,IFERROR(IF(AND(ABS($C847-INDEX('AH History'!$B$1:$B$18046,$H847))&lt;=MAX(0.005,ABS(INDEX('AH History'!$B$1:$B$18046,$H847))*0.00005),ABS($D847-INDEX('AH History'!$C$1:$C$18046,$H847))&lt;=MAX(0.005,ABS(INDEX('AH History'!$C$1:$C$18046,$H847))*0.00005),ABS($E847-INDEX('AH History'!$D$1:$D$18046,$H847))&lt;=0.00005,$F847=INDEX('AH History'!$E$1:$E$18046,$H847),$G847=INDEX('AH History'!$F$1:$F$18046,$H847)),1,-1),-1))</ns0:f>
        <ns0:v/>
      </ns0:c>
    </ns0:row>
    <ns0:row r="848">
      <ns0:c r="A848" s="215">
        <ns0:f>IF(OR(AH!$P$3=0,843+1&gt;AH!$P$11,AND(AH!$E$4&lt;&gt;"Stored",AH!$P$10&lt;&gt;1)),"",IFERROR(IF(AND(AH!$P$21=1,843+1=AH!$P$11),TODAY(),IF(AH!$P$10=1,INDEX('Live History'!$A$5:$A$3004,AH!$P$13+843),INDEX('AH History'!$A$1:$A$18046,AH!$P$7+843))),""))</ns0:f>
        <ns0:v/>
      </ns0:c>
      <ns0:c r="B848" s="219">
        <ns0:f>IFERROR(IF(AND(AH!$P$9&lt;&gt;1,$C848&gt;0,$D848&gt;0,$E848&gt;0,$F848&gt;0,$G848&gt;0,$F848&lt;=$A848,$G848&lt;=$A848,$A848-$F848&lt;=10,$A848-$G848&lt;=5),$D848*$E848/$C848-1,NA()),NA())</ns0:f>
        <ns0:v/>
      </ns0:c>
      <ns0:c r="C848">
        <ns0:f>IFERROR(IF(ISNUMBER($A848),IF(AND(AH!$P$10=1,AH!$P$12=1,$A848=TODAY()),AH!$P$19,IF(AH!$P$10=1,INDEX('Live History'!$B$5:$B$3004,AH!$P$13+843),INDEX('AH History'!$B$1:$B$18046,AH!$P$7+843))),NA()),NA())</ns0:f>
        <ns0:v/>
      </ns0:c>
      <ns0:c r="D848">
        <ns0:f>IFERROR(IF(ISNUMBER($A848),IF(AND(AH!$P$10=1,AH!$P$12=1,$A848=TODAY()),AH!$P$18,IF(AH!$P$10=1,INDEX('Live History'!$E$5:$E$3004,MATCH($A848,'Live History'!$D$5:$D$3004,1)),INDEX('AH History'!$C$1:$C$18046,AH!$P$7+843))),NA()),NA())</ns0:f>
        <ns0:v/>
      </ns0:c>
      <ns0:c r="E848">
        <ns0:f>IFERROR(IF(ISNUMBER($A848),IF(AND(AH!$P$10=1,AH!$P$12=1,$A848=TODAY()),AH!$P$20,IF(AH!$P$10=1,INDEX('Live History'!$H$5:$H$3004,MATCH($A848,'Live History'!$G$5:$G$3004,1)),INDEX('AH History'!$D$1:$D$18046,AH!$P$7+843))),NA()),NA())</ns0:f>
        <ns0:v/>
      </ns0:c>
      <ns0:c r="F848">
        <ns0:f>IFERROR(IF(ISNUMBER($A848),IF(AND(AH!$P$10=1,AH!$P$12=1,$A848=TODAY()),IF(AND(AH!$P$10=1,AH!$P$12=1,$A848=TODAY()),TODAY(),NA()),IF(AH!$P$10=1,INDEX('Live History'!$D$5:$D$3004,MATCH($A848,'Live History'!$D$5:$D$3004,1)),INDEX('AH History'!$E$1:$E$18046,AH!$P$7+843))),NA()),NA())</ns0:f>
        <ns0:v/>
      </ns0:c>
      <ns0:c r="G848">
        <ns0:f>IFERROR(IF(ISNUMBER($A848),IF(AND(AH!$P$10=1,AH!$P$12=1,$A848=TODAY()),IF(AND(AH!$P$10=1,AH!$P$12=1,$A848=TODAY()),TODAY(),NA()),IF(AH!$P$10=1,INDEX('Live History'!$G$5:$G$3004,MATCH($A848,'Live History'!$G$5:$G$3004,1)),INDEX('AH History'!$F$1:$F$18046,AH!$P$7+843))),NA()),NA())</ns0:f>
        <ns0:v/>
      </ns0:c>
      <ns0:c r="H848">
        <ns0:f>IFERROR(IF(AND(AH!$E$4="Bloomberg",AH!$P$10=1,ISNUMBER($A848),$A848&lt;=AH!$P$17),AH!$P$7-1+MATCH($A848,INDEX('AH History'!$A$1:$A$18046,AH!$P$7):INDEX('AH History'!$A$1:$A$18046,AH!$P$7+AH!$P$8-1),0),0),0)</ns0:f>
        <ns0:v/>
      </ns0:c>
      <ns0:c r="I848">
        <ns0:f>IF($H848=0,0,IFERROR(IF(AND(ABS($C848-INDEX('AH History'!$B$1:$B$18046,$H848))&lt;=MAX(0.005,ABS(INDEX('AH History'!$B$1:$B$18046,$H848))*0.00005),ABS($D848-INDEX('AH History'!$C$1:$C$18046,$H848))&lt;=MAX(0.005,ABS(INDEX('AH History'!$C$1:$C$18046,$H848))*0.00005),ABS($E848-INDEX('AH History'!$D$1:$D$18046,$H848))&lt;=0.00005,$F848=INDEX('AH History'!$E$1:$E$18046,$H848),$G848=INDEX('AH History'!$F$1:$F$18046,$H848)),1,-1),-1))</ns0:f>
        <ns0:v/>
      </ns0:c>
    </ns0:row>
    <ns0:row r="849">
      <ns0:c r="A849" s="215">
        <ns0:f>IF(OR(AH!$P$3=0,844+1&gt;AH!$P$11,AND(AH!$E$4&lt;&gt;"Stored",AH!$P$10&lt;&gt;1)),"",IFERROR(IF(AND(AH!$P$21=1,844+1=AH!$P$11),TODAY(),IF(AH!$P$10=1,INDEX('Live History'!$A$5:$A$3004,AH!$P$13+844),INDEX('AH History'!$A$1:$A$18046,AH!$P$7+844))),""))</ns0:f>
        <ns0:v/>
      </ns0:c>
      <ns0:c r="B849" s="219">
        <ns0:f>IFERROR(IF(AND(AH!$P$9&lt;&gt;1,$C849&gt;0,$D849&gt;0,$E849&gt;0,$F849&gt;0,$G849&gt;0,$F849&lt;=$A849,$G849&lt;=$A849,$A849-$F849&lt;=10,$A849-$G849&lt;=5),$D849*$E849/$C849-1,NA()),NA())</ns0:f>
        <ns0:v/>
      </ns0:c>
      <ns0:c r="C849">
        <ns0:f>IFERROR(IF(ISNUMBER($A849),IF(AND(AH!$P$10=1,AH!$P$12=1,$A849=TODAY()),AH!$P$19,IF(AH!$P$10=1,INDEX('Live History'!$B$5:$B$3004,AH!$P$13+844),INDEX('AH History'!$B$1:$B$18046,AH!$P$7+844))),NA()),NA())</ns0:f>
        <ns0:v/>
      </ns0:c>
      <ns0:c r="D849">
        <ns0:f>IFERROR(IF(ISNUMBER($A849),IF(AND(AH!$P$10=1,AH!$P$12=1,$A849=TODAY()),AH!$P$18,IF(AH!$P$10=1,INDEX('Live History'!$E$5:$E$3004,MATCH($A849,'Live History'!$D$5:$D$3004,1)),INDEX('AH History'!$C$1:$C$18046,AH!$P$7+844))),NA()),NA())</ns0:f>
        <ns0:v/>
      </ns0:c>
      <ns0:c r="E849">
        <ns0:f>IFERROR(IF(ISNUMBER($A849),IF(AND(AH!$P$10=1,AH!$P$12=1,$A849=TODAY()),AH!$P$20,IF(AH!$P$10=1,INDEX('Live History'!$H$5:$H$3004,MATCH($A849,'Live History'!$G$5:$G$3004,1)),INDEX('AH History'!$D$1:$D$18046,AH!$P$7+844))),NA()),NA())</ns0:f>
        <ns0:v/>
      </ns0:c>
      <ns0:c r="F849">
        <ns0:f>IFERROR(IF(ISNUMBER($A849),IF(AND(AH!$P$10=1,AH!$P$12=1,$A849=TODAY()),IF(AND(AH!$P$10=1,AH!$P$12=1,$A849=TODAY()),TODAY(),NA()),IF(AH!$P$10=1,INDEX('Live History'!$D$5:$D$3004,MATCH($A849,'Live History'!$D$5:$D$3004,1)),INDEX('AH History'!$E$1:$E$18046,AH!$P$7+844))),NA()),NA())</ns0:f>
        <ns0:v/>
      </ns0:c>
      <ns0:c r="G849">
        <ns0:f>IFERROR(IF(ISNUMBER($A849),IF(AND(AH!$P$10=1,AH!$P$12=1,$A849=TODAY()),IF(AND(AH!$P$10=1,AH!$P$12=1,$A849=TODAY()),TODAY(),NA()),IF(AH!$P$10=1,INDEX('Live History'!$G$5:$G$3004,MATCH($A849,'Live History'!$G$5:$G$3004,1)),INDEX('AH History'!$F$1:$F$18046,AH!$P$7+844))),NA()),NA())</ns0:f>
        <ns0:v/>
      </ns0:c>
      <ns0:c r="H849">
        <ns0:f>IFERROR(IF(AND(AH!$E$4="Bloomberg",AH!$P$10=1,ISNUMBER($A849),$A849&lt;=AH!$P$17),AH!$P$7-1+MATCH($A849,INDEX('AH History'!$A$1:$A$18046,AH!$P$7):INDEX('AH History'!$A$1:$A$18046,AH!$P$7+AH!$P$8-1),0),0),0)</ns0:f>
        <ns0:v/>
      </ns0:c>
      <ns0:c r="I849">
        <ns0:f>IF($H849=0,0,IFERROR(IF(AND(ABS($C849-INDEX('AH History'!$B$1:$B$18046,$H849))&lt;=MAX(0.005,ABS(INDEX('AH History'!$B$1:$B$18046,$H849))*0.00005),ABS($D849-INDEX('AH History'!$C$1:$C$18046,$H849))&lt;=MAX(0.005,ABS(INDEX('AH History'!$C$1:$C$18046,$H849))*0.00005),ABS($E849-INDEX('AH History'!$D$1:$D$18046,$H849))&lt;=0.00005,$F849=INDEX('AH History'!$E$1:$E$18046,$H849),$G849=INDEX('AH History'!$F$1:$F$18046,$H849)),1,-1),-1))</ns0:f>
        <ns0:v/>
      </ns0:c>
    </ns0:row>
    <ns0:row r="850">
      <ns0:c r="A850" s="215">
        <ns0:f>IF(OR(AH!$P$3=0,845+1&gt;AH!$P$11,AND(AH!$E$4&lt;&gt;"Stored",AH!$P$10&lt;&gt;1)),"",IFERROR(IF(AND(AH!$P$21=1,845+1=AH!$P$11),TODAY(),IF(AH!$P$10=1,INDEX('Live History'!$A$5:$A$3004,AH!$P$13+845),INDEX('AH History'!$A$1:$A$18046,AH!$P$7+845))),""))</ns0:f>
        <ns0:v/>
      </ns0:c>
      <ns0:c r="B850" s="219">
        <ns0:f>IFERROR(IF(AND(AH!$P$9&lt;&gt;1,$C850&gt;0,$D850&gt;0,$E850&gt;0,$F850&gt;0,$G850&gt;0,$F850&lt;=$A850,$G850&lt;=$A850,$A850-$F850&lt;=10,$A850-$G850&lt;=5),$D850*$E850/$C850-1,NA()),NA())</ns0:f>
        <ns0:v/>
      </ns0:c>
      <ns0:c r="C850">
        <ns0:f>IFERROR(IF(ISNUMBER($A850),IF(AND(AH!$P$10=1,AH!$P$12=1,$A850=TODAY()),AH!$P$19,IF(AH!$P$10=1,INDEX('Live History'!$B$5:$B$3004,AH!$P$13+845),INDEX('AH History'!$B$1:$B$18046,AH!$P$7+845))),NA()),NA())</ns0:f>
        <ns0:v/>
      </ns0:c>
      <ns0:c r="D850">
        <ns0:f>IFERROR(IF(ISNUMBER($A850),IF(AND(AH!$P$10=1,AH!$P$12=1,$A850=TODAY()),AH!$P$18,IF(AH!$P$10=1,INDEX('Live History'!$E$5:$E$3004,MATCH($A850,'Live History'!$D$5:$D$3004,1)),INDEX('AH History'!$C$1:$C$18046,AH!$P$7+845))),NA()),NA())</ns0:f>
        <ns0:v/>
      </ns0:c>
      <ns0:c r="E850">
        <ns0:f>IFERROR(IF(ISNUMBER($A850),IF(AND(AH!$P$10=1,AH!$P$12=1,$A850=TODAY()),AH!$P$20,IF(AH!$P$10=1,INDEX('Live History'!$H$5:$H$3004,MATCH($A850,'Live History'!$G$5:$G$3004,1)),INDEX('AH History'!$D$1:$D$18046,AH!$P$7+845))),NA()),NA())</ns0:f>
        <ns0:v/>
      </ns0:c>
      <ns0:c r="F850">
        <ns0:f>IFERROR(IF(ISNUMBER($A850),IF(AND(AH!$P$10=1,AH!$P$12=1,$A850=TODAY()),IF(AND(AH!$P$10=1,AH!$P$12=1,$A850=TODAY()),TODAY(),NA()),IF(AH!$P$10=1,INDEX('Live History'!$D$5:$D$3004,MATCH($A850,'Live History'!$D$5:$D$3004,1)),INDEX('AH History'!$E$1:$E$18046,AH!$P$7+845))),NA()),NA())</ns0:f>
        <ns0:v/>
      </ns0:c>
      <ns0:c r="G850">
        <ns0:f>IFERROR(IF(ISNUMBER($A850),IF(AND(AH!$P$10=1,AH!$P$12=1,$A850=TODAY()),IF(AND(AH!$P$10=1,AH!$P$12=1,$A850=TODAY()),TODAY(),NA()),IF(AH!$P$10=1,INDEX('Live History'!$G$5:$G$3004,MATCH($A850,'Live History'!$G$5:$G$3004,1)),INDEX('AH History'!$F$1:$F$18046,AH!$P$7+845))),NA()),NA())</ns0:f>
        <ns0:v/>
      </ns0:c>
      <ns0:c r="H850">
        <ns0:f>IFERROR(IF(AND(AH!$E$4="Bloomberg",AH!$P$10=1,ISNUMBER($A850),$A850&lt;=AH!$P$17),AH!$P$7-1+MATCH($A850,INDEX('AH History'!$A$1:$A$18046,AH!$P$7):INDEX('AH History'!$A$1:$A$18046,AH!$P$7+AH!$P$8-1),0),0),0)</ns0:f>
        <ns0:v/>
      </ns0:c>
      <ns0:c r="I850">
        <ns0:f>IF($H850=0,0,IFERROR(IF(AND(ABS($C850-INDEX('AH History'!$B$1:$B$18046,$H850))&lt;=MAX(0.005,ABS(INDEX('AH History'!$B$1:$B$18046,$H850))*0.00005),ABS($D850-INDEX('AH History'!$C$1:$C$18046,$H850))&lt;=MAX(0.005,ABS(INDEX('AH History'!$C$1:$C$18046,$H850))*0.00005),ABS($E850-INDEX('AH History'!$D$1:$D$18046,$H850))&lt;=0.00005,$F850=INDEX('AH History'!$E$1:$E$18046,$H850),$G850=INDEX('AH History'!$F$1:$F$18046,$H850)),1,-1),-1))</ns0:f>
        <ns0:v/>
      </ns0:c>
    </ns0:row>
    <ns0:row r="851">
      <ns0:c r="A851" s="215">
        <ns0:f>IF(OR(AH!$P$3=0,846+1&gt;AH!$P$11,AND(AH!$E$4&lt;&gt;"Stored",AH!$P$10&lt;&gt;1)),"",IFERROR(IF(AND(AH!$P$21=1,846+1=AH!$P$11),TODAY(),IF(AH!$P$10=1,INDEX('Live History'!$A$5:$A$3004,AH!$P$13+846),INDEX('AH History'!$A$1:$A$18046,AH!$P$7+846))),""))</ns0:f>
        <ns0:v/>
      </ns0:c>
      <ns0:c r="B851" s="219">
        <ns0:f>IFERROR(IF(AND(AH!$P$9&lt;&gt;1,$C851&gt;0,$D851&gt;0,$E851&gt;0,$F851&gt;0,$G851&gt;0,$F851&lt;=$A851,$G851&lt;=$A851,$A851-$F851&lt;=10,$A851-$G851&lt;=5),$D851*$E851/$C851-1,NA()),NA())</ns0:f>
        <ns0:v/>
      </ns0:c>
      <ns0:c r="C851">
        <ns0:f>IFERROR(IF(ISNUMBER($A851),IF(AND(AH!$P$10=1,AH!$P$12=1,$A851=TODAY()),AH!$P$19,IF(AH!$P$10=1,INDEX('Live History'!$B$5:$B$3004,AH!$P$13+846),INDEX('AH History'!$B$1:$B$18046,AH!$P$7+846))),NA()),NA())</ns0:f>
        <ns0:v/>
      </ns0:c>
      <ns0:c r="D851">
        <ns0:f>IFERROR(IF(ISNUMBER($A851),IF(AND(AH!$P$10=1,AH!$P$12=1,$A851=TODAY()),AH!$P$18,IF(AH!$P$10=1,INDEX('Live History'!$E$5:$E$3004,MATCH($A851,'Live History'!$D$5:$D$3004,1)),INDEX('AH History'!$C$1:$C$18046,AH!$P$7+846))),NA()),NA())</ns0:f>
        <ns0:v/>
      </ns0:c>
      <ns0:c r="E851">
        <ns0:f>IFERROR(IF(ISNUMBER($A851),IF(AND(AH!$P$10=1,AH!$P$12=1,$A851=TODAY()),AH!$P$20,IF(AH!$P$10=1,INDEX('Live History'!$H$5:$H$3004,MATCH($A851,'Live History'!$G$5:$G$3004,1)),INDEX('AH History'!$D$1:$D$18046,AH!$P$7+846))),NA()),NA())</ns0:f>
        <ns0:v/>
      </ns0:c>
      <ns0:c r="F851">
        <ns0:f>IFERROR(IF(ISNUMBER($A851),IF(AND(AH!$P$10=1,AH!$P$12=1,$A851=TODAY()),IF(AND(AH!$P$10=1,AH!$P$12=1,$A851=TODAY()),TODAY(),NA()),IF(AH!$P$10=1,INDEX('Live History'!$D$5:$D$3004,MATCH($A851,'Live History'!$D$5:$D$3004,1)),INDEX('AH History'!$E$1:$E$18046,AH!$P$7+846))),NA()),NA())</ns0:f>
        <ns0:v/>
      </ns0:c>
      <ns0:c r="G851">
        <ns0:f>IFERROR(IF(ISNUMBER($A851),IF(AND(AH!$P$10=1,AH!$P$12=1,$A851=TODAY()),IF(AND(AH!$P$10=1,AH!$P$12=1,$A851=TODAY()),TODAY(),NA()),IF(AH!$P$10=1,INDEX('Live History'!$G$5:$G$3004,MATCH($A851,'Live History'!$G$5:$G$3004,1)),INDEX('AH History'!$F$1:$F$18046,AH!$P$7+846))),NA()),NA())</ns0:f>
        <ns0:v/>
      </ns0:c>
      <ns0:c r="H851">
        <ns0:f>IFERROR(IF(AND(AH!$E$4="Bloomberg",AH!$P$10=1,ISNUMBER($A851),$A851&lt;=AH!$P$17),AH!$P$7-1+MATCH($A851,INDEX('AH History'!$A$1:$A$18046,AH!$P$7):INDEX('AH History'!$A$1:$A$18046,AH!$P$7+AH!$P$8-1),0),0),0)</ns0:f>
        <ns0:v/>
      </ns0:c>
      <ns0:c r="I851">
        <ns0:f>IF($H851=0,0,IFERROR(IF(AND(ABS($C851-INDEX('AH History'!$B$1:$B$18046,$H851))&lt;=MAX(0.005,ABS(INDEX('AH History'!$B$1:$B$18046,$H851))*0.00005),ABS($D851-INDEX('AH History'!$C$1:$C$18046,$H851))&lt;=MAX(0.005,ABS(INDEX('AH History'!$C$1:$C$18046,$H851))*0.00005),ABS($E851-INDEX('AH History'!$D$1:$D$18046,$H851))&lt;=0.00005,$F851=INDEX('AH History'!$E$1:$E$18046,$H851),$G851=INDEX('AH History'!$F$1:$F$18046,$H851)),1,-1),-1))</ns0:f>
        <ns0:v/>
      </ns0:c>
    </ns0:row>
    <ns0:row r="852">
      <ns0:c r="A852" s="215">
        <ns0:f>IF(OR(AH!$P$3=0,847+1&gt;AH!$P$11,AND(AH!$E$4&lt;&gt;"Stored",AH!$P$10&lt;&gt;1)),"",IFERROR(IF(AND(AH!$P$21=1,847+1=AH!$P$11),TODAY(),IF(AH!$P$10=1,INDEX('Live History'!$A$5:$A$3004,AH!$P$13+847),INDEX('AH History'!$A$1:$A$18046,AH!$P$7+847))),""))</ns0:f>
        <ns0:v/>
      </ns0:c>
      <ns0:c r="B852" s="219">
        <ns0:f>IFERROR(IF(AND(AH!$P$9&lt;&gt;1,$C852&gt;0,$D852&gt;0,$E852&gt;0,$F852&gt;0,$G852&gt;0,$F852&lt;=$A852,$G852&lt;=$A852,$A852-$F852&lt;=10,$A852-$G852&lt;=5),$D852*$E852/$C852-1,NA()),NA())</ns0:f>
        <ns0:v/>
      </ns0:c>
      <ns0:c r="C852">
        <ns0:f>IFERROR(IF(ISNUMBER($A852),IF(AND(AH!$P$10=1,AH!$P$12=1,$A852=TODAY()),AH!$P$19,IF(AH!$P$10=1,INDEX('Live History'!$B$5:$B$3004,AH!$P$13+847),INDEX('AH History'!$B$1:$B$18046,AH!$P$7+847))),NA()),NA())</ns0:f>
        <ns0:v/>
      </ns0:c>
      <ns0:c r="D852">
        <ns0:f>IFERROR(IF(ISNUMBER($A852),IF(AND(AH!$P$10=1,AH!$P$12=1,$A852=TODAY()),AH!$P$18,IF(AH!$P$10=1,INDEX('Live History'!$E$5:$E$3004,MATCH($A852,'Live History'!$D$5:$D$3004,1)),INDEX('AH History'!$C$1:$C$18046,AH!$P$7+847))),NA()),NA())</ns0:f>
        <ns0:v/>
      </ns0:c>
      <ns0:c r="E852">
        <ns0:f>IFERROR(IF(ISNUMBER($A852),IF(AND(AH!$P$10=1,AH!$P$12=1,$A852=TODAY()),AH!$P$20,IF(AH!$P$10=1,INDEX('Live History'!$H$5:$H$3004,MATCH($A852,'Live History'!$G$5:$G$3004,1)),INDEX('AH History'!$D$1:$D$18046,AH!$P$7+847))),NA()),NA())</ns0:f>
        <ns0:v/>
      </ns0:c>
      <ns0:c r="F852">
        <ns0:f>IFERROR(IF(ISNUMBER($A852),IF(AND(AH!$P$10=1,AH!$P$12=1,$A852=TODAY()),IF(AND(AH!$P$10=1,AH!$P$12=1,$A852=TODAY()),TODAY(),NA()),IF(AH!$P$10=1,INDEX('Live History'!$D$5:$D$3004,MATCH($A852,'Live History'!$D$5:$D$3004,1)),INDEX('AH History'!$E$1:$E$18046,AH!$P$7+847))),NA()),NA())</ns0:f>
        <ns0:v/>
      </ns0:c>
      <ns0:c r="G852">
        <ns0:f>IFERROR(IF(ISNUMBER($A852),IF(AND(AH!$P$10=1,AH!$P$12=1,$A852=TODAY()),IF(AND(AH!$P$10=1,AH!$P$12=1,$A852=TODAY()),TODAY(),NA()),IF(AH!$P$10=1,INDEX('Live History'!$G$5:$G$3004,MATCH($A852,'Live History'!$G$5:$G$3004,1)),INDEX('AH History'!$F$1:$F$18046,AH!$P$7+847))),NA()),NA())</ns0:f>
        <ns0:v/>
      </ns0:c>
      <ns0:c r="H852">
        <ns0:f>IFERROR(IF(AND(AH!$E$4="Bloomberg",AH!$P$10=1,ISNUMBER($A852),$A852&lt;=AH!$P$17),AH!$P$7-1+MATCH($A852,INDEX('AH History'!$A$1:$A$18046,AH!$P$7):INDEX('AH History'!$A$1:$A$18046,AH!$P$7+AH!$P$8-1),0),0),0)</ns0:f>
        <ns0:v/>
      </ns0:c>
      <ns0:c r="I852">
        <ns0:f>IF($H852=0,0,IFERROR(IF(AND(ABS($C852-INDEX('AH History'!$B$1:$B$18046,$H852))&lt;=MAX(0.005,ABS(INDEX('AH History'!$B$1:$B$18046,$H852))*0.00005),ABS($D852-INDEX('AH History'!$C$1:$C$18046,$H852))&lt;=MAX(0.005,ABS(INDEX('AH History'!$C$1:$C$18046,$H852))*0.00005),ABS($E852-INDEX('AH History'!$D$1:$D$18046,$H852))&lt;=0.00005,$F852=INDEX('AH History'!$E$1:$E$18046,$H852),$G852=INDEX('AH History'!$F$1:$F$18046,$H852)),1,-1),-1))</ns0:f>
        <ns0:v/>
      </ns0:c>
    </ns0:row>
    <ns0:row r="853">
      <ns0:c r="A853" s="215">
        <ns0:f>IF(OR(AH!$P$3=0,848+1&gt;AH!$P$11,AND(AH!$E$4&lt;&gt;"Stored",AH!$P$10&lt;&gt;1)),"",IFERROR(IF(AND(AH!$P$21=1,848+1=AH!$P$11),TODAY(),IF(AH!$P$10=1,INDEX('Live History'!$A$5:$A$3004,AH!$P$13+848),INDEX('AH History'!$A$1:$A$18046,AH!$P$7+848))),""))</ns0:f>
        <ns0:v/>
      </ns0:c>
      <ns0:c r="B853" s="219">
        <ns0:f>IFERROR(IF(AND(AH!$P$9&lt;&gt;1,$C853&gt;0,$D853&gt;0,$E853&gt;0,$F853&gt;0,$G853&gt;0,$F853&lt;=$A853,$G853&lt;=$A853,$A853-$F853&lt;=10,$A853-$G853&lt;=5),$D853*$E853/$C853-1,NA()),NA())</ns0:f>
        <ns0:v/>
      </ns0:c>
      <ns0:c r="C853">
        <ns0:f>IFERROR(IF(ISNUMBER($A853),IF(AND(AH!$P$10=1,AH!$P$12=1,$A853=TODAY()),AH!$P$19,IF(AH!$P$10=1,INDEX('Live History'!$B$5:$B$3004,AH!$P$13+848),INDEX('AH History'!$B$1:$B$18046,AH!$P$7+848))),NA()),NA())</ns0:f>
        <ns0:v/>
      </ns0:c>
      <ns0:c r="D853">
        <ns0:f>IFERROR(IF(ISNUMBER($A853),IF(AND(AH!$P$10=1,AH!$P$12=1,$A853=TODAY()),AH!$P$18,IF(AH!$P$10=1,INDEX('Live History'!$E$5:$E$3004,MATCH($A853,'Live History'!$D$5:$D$3004,1)),INDEX('AH History'!$C$1:$C$18046,AH!$P$7+848))),NA()),NA())</ns0:f>
        <ns0:v/>
      </ns0:c>
      <ns0:c r="E853">
        <ns0:f>IFERROR(IF(ISNUMBER($A853),IF(AND(AH!$P$10=1,AH!$P$12=1,$A853=TODAY()),AH!$P$20,IF(AH!$P$10=1,INDEX('Live History'!$H$5:$H$3004,MATCH($A853,'Live History'!$G$5:$G$3004,1)),INDEX('AH History'!$D$1:$D$18046,AH!$P$7+848))),NA()),NA())</ns0:f>
        <ns0:v/>
      </ns0:c>
      <ns0:c r="F853">
        <ns0:f>IFERROR(IF(ISNUMBER($A853),IF(AND(AH!$P$10=1,AH!$P$12=1,$A853=TODAY()),IF(AND(AH!$P$10=1,AH!$P$12=1,$A853=TODAY()),TODAY(),NA()),IF(AH!$P$10=1,INDEX('Live History'!$D$5:$D$3004,MATCH($A853,'Live History'!$D$5:$D$3004,1)),INDEX('AH History'!$E$1:$E$18046,AH!$P$7+848))),NA()),NA())</ns0:f>
        <ns0:v/>
      </ns0:c>
      <ns0:c r="G853">
        <ns0:f>IFERROR(IF(ISNUMBER($A853),IF(AND(AH!$P$10=1,AH!$P$12=1,$A853=TODAY()),IF(AND(AH!$P$10=1,AH!$P$12=1,$A853=TODAY()),TODAY(),NA()),IF(AH!$P$10=1,INDEX('Live History'!$G$5:$G$3004,MATCH($A853,'Live History'!$G$5:$G$3004,1)),INDEX('AH History'!$F$1:$F$18046,AH!$P$7+848))),NA()),NA())</ns0:f>
        <ns0:v/>
      </ns0:c>
      <ns0:c r="H853">
        <ns0:f>IFERROR(IF(AND(AH!$E$4="Bloomberg",AH!$P$10=1,ISNUMBER($A853),$A853&lt;=AH!$P$17),AH!$P$7-1+MATCH($A853,INDEX('AH History'!$A$1:$A$18046,AH!$P$7):INDEX('AH History'!$A$1:$A$18046,AH!$P$7+AH!$P$8-1),0),0),0)</ns0:f>
        <ns0:v/>
      </ns0:c>
      <ns0:c r="I853">
        <ns0:f>IF($H853=0,0,IFERROR(IF(AND(ABS($C853-INDEX('AH History'!$B$1:$B$18046,$H853))&lt;=MAX(0.005,ABS(INDEX('AH History'!$B$1:$B$18046,$H853))*0.00005),ABS($D853-INDEX('AH History'!$C$1:$C$18046,$H853))&lt;=MAX(0.005,ABS(INDEX('AH History'!$C$1:$C$18046,$H853))*0.00005),ABS($E853-INDEX('AH History'!$D$1:$D$18046,$H853))&lt;=0.00005,$F853=INDEX('AH History'!$E$1:$E$18046,$H853),$G853=INDEX('AH History'!$F$1:$F$18046,$H853)),1,-1),-1))</ns0:f>
        <ns0:v/>
      </ns0:c>
    </ns0:row>
    <ns0:row r="854">
      <ns0:c r="A854" s="215">
        <ns0:f>IF(OR(AH!$P$3=0,849+1&gt;AH!$P$11,AND(AH!$E$4&lt;&gt;"Stored",AH!$P$10&lt;&gt;1)),"",IFERROR(IF(AND(AH!$P$21=1,849+1=AH!$P$11),TODAY(),IF(AH!$P$10=1,INDEX('Live History'!$A$5:$A$3004,AH!$P$13+849),INDEX('AH History'!$A$1:$A$18046,AH!$P$7+849))),""))</ns0:f>
        <ns0:v/>
      </ns0:c>
      <ns0:c r="B854" s="219">
        <ns0:f>IFERROR(IF(AND(AH!$P$9&lt;&gt;1,$C854&gt;0,$D854&gt;0,$E854&gt;0,$F854&gt;0,$G854&gt;0,$F854&lt;=$A854,$G854&lt;=$A854,$A854-$F854&lt;=10,$A854-$G854&lt;=5),$D854*$E854/$C854-1,NA()),NA())</ns0:f>
        <ns0:v/>
      </ns0:c>
      <ns0:c r="C854">
        <ns0:f>IFERROR(IF(ISNUMBER($A854),IF(AND(AH!$P$10=1,AH!$P$12=1,$A854=TODAY()),AH!$P$19,IF(AH!$P$10=1,INDEX('Live History'!$B$5:$B$3004,AH!$P$13+849),INDEX('AH History'!$B$1:$B$18046,AH!$P$7+849))),NA()),NA())</ns0:f>
        <ns0:v/>
      </ns0:c>
      <ns0:c r="D854">
        <ns0:f>IFERROR(IF(ISNUMBER($A854),IF(AND(AH!$P$10=1,AH!$P$12=1,$A854=TODAY()),AH!$P$18,IF(AH!$P$10=1,INDEX('Live History'!$E$5:$E$3004,MATCH($A854,'Live History'!$D$5:$D$3004,1)),INDEX('AH History'!$C$1:$C$18046,AH!$P$7+849))),NA()),NA())</ns0:f>
        <ns0:v/>
      </ns0:c>
      <ns0:c r="E854">
        <ns0:f>IFERROR(IF(ISNUMBER($A854),IF(AND(AH!$P$10=1,AH!$P$12=1,$A854=TODAY()),AH!$P$20,IF(AH!$P$10=1,INDEX('Live History'!$H$5:$H$3004,MATCH($A854,'Live History'!$G$5:$G$3004,1)),INDEX('AH History'!$D$1:$D$18046,AH!$P$7+849))),NA()),NA())</ns0:f>
        <ns0:v/>
      </ns0:c>
      <ns0:c r="F854">
        <ns0:f>IFERROR(IF(ISNUMBER($A854),IF(AND(AH!$P$10=1,AH!$P$12=1,$A854=TODAY()),IF(AND(AH!$P$10=1,AH!$P$12=1,$A854=TODAY()),TODAY(),NA()),IF(AH!$P$10=1,INDEX('Live History'!$D$5:$D$3004,MATCH($A854,'Live History'!$D$5:$D$3004,1)),INDEX('AH History'!$E$1:$E$18046,AH!$P$7+849))),NA()),NA())</ns0:f>
        <ns0:v/>
      </ns0:c>
      <ns0:c r="G854">
        <ns0:f>IFERROR(IF(ISNUMBER($A854),IF(AND(AH!$P$10=1,AH!$P$12=1,$A854=TODAY()),IF(AND(AH!$P$10=1,AH!$P$12=1,$A854=TODAY()),TODAY(),NA()),IF(AH!$P$10=1,INDEX('Live History'!$G$5:$G$3004,MATCH($A854,'Live History'!$G$5:$G$3004,1)),INDEX('AH History'!$F$1:$F$18046,AH!$P$7+849))),NA()),NA())</ns0:f>
        <ns0:v/>
      </ns0:c>
      <ns0:c r="H854">
        <ns0:f>IFERROR(IF(AND(AH!$E$4="Bloomberg",AH!$P$10=1,ISNUMBER($A854),$A854&lt;=AH!$P$17),AH!$P$7-1+MATCH($A854,INDEX('AH History'!$A$1:$A$18046,AH!$P$7):INDEX('AH History'!$A$1:$A$18046,AH!$P$7+AH!$P$8-1),0),0),0)</ns0:f>
        <ns0:v/>
      </ns0:c>
      <ns0:c r="I854">
        <ns0:f>IF($H854=0,0,IFERROR(IF(AND(ABS($C854-INDEX('AH History'!$B$1:$B$18046,$H854))&lt;=MAX(0.005,ABS(INDEX('AH History'!$B$1:$B$18046,$H854))*0.00005),ABS($D854-INDEX('AH History'!$C$1:$C$18046,$H854))&lt;=MAX(0.005,ABS(INDEX('AH History'!$C$1:$C$18046,$H854))*0.00005),ABS($E854-INDEX('AH History'!$D$1:$D$18046,$H854))&lt;=0.00005,$F854=INDEX('AH History'!$E$1:$E$18046,$H854),$G854=INDEX('AH History'!$F$1:$F$18046,$H854)),1,-1),-1))</ns0:f>
        <ns0:v/>
      </ns0:c>
    </ns0:row>
    <ns0:row r="855">
      <ns0:c r="A855" s="215">
        <ns0:f>IF(OR(AH!$P$3=0,850+1&gt;AH!$P$11,AND(AH!$E$4&lt;&gt;"Stored",AH!$P$10&lt;&gt;1)),"",IFERROR(IF(AND(AH!$P$21=1,850+1=AH!$P$11),TODAY(),IF(AH!$P$10=1,INDEX('Live History'!$A$5:$A$3004,AH!$P$13+850),INDEX('AH History'!$A$1:$A$18046,AH!$P$7+850))),""))</ns0:f>
        <ns0:v/>
      </ns0:c>
      <ns0:c r="B855" s="219">
        <ns0:f>IFERROR(IF(AND(AH!$P$9&lt;&gt;1,$C855&gt;0,$D855&gt;0,$E855&gt;0,$F855&gt;0,$G855&gt;0,$F855&lt;=$A855,$G855&lt;=$A855,$A855-$F855&lt;=10,$A855-$G855&lt;=5),$D855*$E855/$C855-1,NA()),NA())</ns0:f>
        <ns0:v/>
      </ns0:c>
      <ns0:c r="C855">
        <ns0:f>IFERROR(IF(ISNUMBER($A855),IF(AND(AH!$P$10=1,AH!$P$12=1,$A855=TODAY()),AH!$P$19,IF(AH!$P$10=1,INDEX('Live History'!$B$5:$B$3004,AH!$P$13+850),INDEX('AH History'!$B$1:$B$18046,AH!$P$7+850))),NA()),NA())</ns0:f>
        <ns0:v/>
      </ns0:c>
      <ns0:c r="D855">
        <ns0:f>IFERROR(IF(ISNUMBER($A855),IF(AND(AH!$P$10=1,AH!$P$12=1,$A855=TODAY()),AH!$P$18,IF(AH!$P$10=1,INDEX('Live History'!$E$5:$E$3004,MATCH($A855,'Live History'!$D$5:$D$3004,1)),INDEX('AH History'!$C$1:$C$18046,AH!$P$7+850))),NA()),NA())</ns0:f>
        <ns0:v/>
      </ns0:c>
      <ns0:c r="E855">
        <ns0:f>IFERROR(IF(ISNUMBER($A855),IF(AND(AH!$P$10=1,AH!$P$12=1,$A855=TODAY()),AH!$P$20,IF(AH!$P$10=1,INDEX('Live History'!$H$5:$H$3004,MATCH($A855,'Live History'!$G$5:$G$3004,1)),INDEX('AH History'!$D$1:$D$18046,AH!$P$7+850))),NA()),NA())</ns0:f>
        <ns0:v/>
      </ns0:c>
      <ns0:c r="F855">
        <ns0:f>IFERROR(IF(ISNUMBER($A855),IF(AND(AH!$P$10=1,AH!$P$12=1,$A855=TODAY()),IF(AND(AH!$P$10=1,AH!$P$12=1,$A855=TODAY()),TODAY(),NA()),IF(AH!$P$10=1,INDEX('Live History'!$D$5:$D$3004,MATCH($A855,'Live History'!$D$5:$D$3004,1)),INDEX('AH History'!$E$1:$E$18046,AH!$P$7+850))),NA()),NA())</ns0:f>
        <ns0:v/>
      </ns0:c>
      <ns0:c r="G855">
        <ns0:f>IFERROR(IF(ISNUMBER($A855),IF(AND(AH!$P$10=1,AH!$P$12=1,$A855=TODAY()),IF(AND(AH!$P$10=1,AH!$P$12=1,$A855=TODAY()),TODAY(),NA()),IF(AH!$P$10=1,INDEX('Live History'!$G$5:$G$3004,MATCH($A855,'Live History'!$G$5:$G$3004,1)),INDEX('AH History'!$F$1:$F$18046,AH!$P$7+850))),NA()),NA())</ns0:f>
        <ns0:v/>
      </ns0:c>
      <ns0:c r="H855">
        <ns0:f>IFERROR(IF(AND(AH!$E$4="Bloomberg",AH!$P$10=1,ISNUMBER($A855),$A855&lt;=AH!$P$17),AH!$P$7-1+MATCH($A855,INDEX('AH History'!$A$1:$A$18046,AH!$P$7):INDEX('AH History'!$A$1:$A$18046,AH!$P$7+AH!$P$8-1),0),0),0)</ns0:f>
        <ns0:v/>
      </ns0:c>
      <ns0:c r="I855">
        <ns0:f>IF($H855=0,0,IFERROR(IF(AND(ABS($C855-INDEX('AH History'!$B$1:$B$18046,$H855))&lt;=MAX(0.005,ABS(INDEX('AH History'!$B$1:$B$18046,$H855))*0.00005),ABS($D855-INDEX('AH History'!$C$1:$C$18046,$H855))&lt;=MAX(0.005,ABS(INDEX('AH History'!$C$1:$C$18046,$H855))*0.00005),ABS($E855-INDEX('AH History'!$D$1:$D$18046,$H855))&lt;=0.00005,$F855=INDEX('AH History'!$E$1:$E$18046,$H855),$G855=INDEX('AH History'!$F$1:$F$18046,$H855)),1,-1),-1))</ns0:f>
        <ns0:v/>
      </ns0:c>
    </ns0:row>
    <ns0:row r="856">
      <ns0:c r="A856" s="215">
        <ns0:f>IF(OR(AH!$P$3=0,851+1&gt;AH!$P$11,AND(AH!$E$4&lt;&gt;"Stored",AH!$P$10&lt;&gt;1)),"",IFERROR(IF(AND(AH!$P$21=1,851+1=AH!$P$11),TODAY(),IF(AH!$P$10=1,INDEX('Live History'!$A$5:$A$3004,AH!$P$13+851),INDEX('AH History'!$A$1:$A$18046,AH!$P$7+851))),""))</ns0:f>
        <ns0:v/>
      </ns0:c>
      <ns0:c r="B856" s="219">
        <ns0:f>IFERROR(IF(AND(AH!$P$9&lt;&gt;1,$C856&gt;0,$D856&gt;0,$E856&gt;0,$F856&gt;0,$G856&gt;0,$F856&lt;=$A856,$G856&lt;=$A856,$A856-$F856&lt;=10,$A856-$G856&lt;=5),$D856*$E856/$C856-1,NA()),NA())</ns0:f>
        <ns0:v/>
      </ns0:c>
      <ns0:c r="C856">
        <ns0:f>IFERROR(IF(ISNUMBER($A856),IF(AND(AH!$P$10=1,AH!$P$12=1,$A856=TODAY()),AH!$P$19,IF(AH!$P$10=1,INDEX('Live History'!$B$5:$B$3004,AH!$P$13+851),INDEX('AH History'!$B$1:$B$18046,AH!$P$7+851))),NA()),NA())</ns0:f>
        <ns0:v/>
      </ns0:c>
      <ns0:c r="D856">
        <ns0:f>IFERROR(IF(ISNUMBER($A856),IF(AND(AH!$P$10=1,AH!$P$12=1,$A856=TODAY()),AH!$P$18,IF(AH!$P$10=1,INDEX('Live History'!$E$5:$E$3004,MATCH($A856,'Live History'!$D$5:$D$3004,1)),INDEX('AH History'!$C$1:$C$18046,AH!$P$7+851))),NA()),NA())</ns0:f>
        <ns0:v/>
      </ns0:c>
      <ns0:c r="E856">
        <ns0:f>IFERROR(IF(ISNUMBER($A856),IF(AND(AH!$P$10=1,AH!$P$12=1,$A856=TODAY()),AH!$P$20,IF(AH!$P$10=1,INDEX('Live History'!$H$5:$H$3004,MATCH($A856,'Live History'!$G$5:$G$3004,1)),INDEX('AH History'!$D$1:$D$18046,AH!$P$7+851))),NA()),NA())</ns0:f>
        <ns0:v/>
      </ns0:c>
      <ns0:c r="F856">
        <ns0:f>IFERROR(IF(ISNUMBER($A856),IF(AND(AH!$P$10=1,AH!$P$12=1,$A856=TODAY()),IF(AND(AH!$P$10=1,AH!$P$12=1,$A856=TODAY()),TODAY(),NA()),IF(AH!$P$10=1,INDEX('Live History'!$D$5:$D$3004,MATCH($A856,'Live History'!$D$5:$D$3004,1)),INDEX('AH History'!$E$1:$E$18046,AH!$P$7+851))),NA()),NA())</ns0:f>
        <ns0:v/>
      </ns0:c>
      <ns0:c r="G856">
        <ns0:f>IFERROR(IF(ISNUMBER($A856),IF(AND(AH!$P$10=1,AH!$P$12=1,$A856=TODAY()),IF(AND(AH!$P$10=1,AH!$P$12=1,$A856=TODAY()),TODAY(),NA()),IF(AH!$P$10=1,INDEX('Live History'!$G$5:$G$3004,MATCH($A856,'Live History'!$G$5:$G$3004,1)),INDEX('AH History'!$F$1:$F$18046,AH!$P$7+851))),NA()),NA())</ns0:f>
        <ns0:v/>
      </ns0:c>
      <ns0:c r="H856">
        <ns0:f>IFERROR(IF(AND(AH!$E$4="Bloomberg",AH!$P$10=1,ISNUMBER($A856),$A856&lt;=AH!$P$17),AH!$P$7-1+MATCH($A856,INDEX('AH History'!$A$1:$A$18046,AH!$P$7):INDEX('AH History'!$A$1:$A$18046,AH!$P$7+AH!$P$8-1),0),0),0)</ns0:f>
        <ns0:v/>
      </ns0:c>
      <ns0:c r="I856">
        <ns0:f>IF($H856=0,0,IFERROR(IF(AND(ABS($C856-INDEX('AH History'!$B$1:$B$18046,$H856))&lt;=MAX(0.005,ABS(INDEX('AH History'!$B$1:$B$18046,$H856))*0.00005),ABS($D856-INDEX('AH History'!$C$1:$C$18046,$H856))&lt;=MAX(0.005,ABS(INDEX('AH History'!$C$1:$C$18046,$H856))*0.00005),ABS($E856-INDEX('AH History'!$D$1:$D$18046,$H856))&lt;=0.00005,$F856=INDEX('AH History'!$E$1:$E$18046,$H856),$G856=INDEX('AH History'!$F$1:$F$18046,$H856)),1,-1),-1))</ns0:f>
        <ns0:v/>
      </ns0:c>
    </ns0:row>
    <ns0:row r="857">
      <ns0:c r="A857" s="215">
        <ns0:f>IF(OR(AH!$P$3=0,852+1&gt;AH!$P$11,AND(AH!$E$4&lt;&gt;"Stored",AH!$P$10&lt;&gt;1)),"",IFERROR(IF(AND(AH!$P$21=1,852+1=AH!$P$11),TODAY(),IF(AH!$P$10=1,INDEX('Live History'!$A$5:$A$3004,AH!$P$13+852),INDEX('AH History'!$A$1:$A$18046,AH!$P$7+852))),""))</ns0:f>
        <ns0:v/>
      </ns0:c>
      <ns0:c r="B857" s="219">
        <ns0:f>IFERROR(IF(AND(AH!$P$9&lt;&gt;1,$C857&gt;0,$D857&gt;0,$E857&gt;0,$F857&gt;0,$G857&gt;0,$F857&lt;=$A857,$G857&lt;=$A857,$A857-$F857&lt;=10,$A857-$G857&lt;=5),$D857*$E857/$C857-1,NA()),NA())</ns0:f>
        <ns0:v/>
      </ns0:c>
      <ns0:c r="C857">
        <ns0:f>IFERROR(IF(ISNUMBER($A857),IF(AND(AH!$P$10=1,AH!$P$12=1,$A857=TODAY()),AH!$P$19,IF(AH!$P$10=1,INDEX('Live History'!$B$5:$B$3004,AH!$P$13+852),INDEX('AH History'!$B$1:$B$18046,AH!$P$7+852))),NA()),NA())</ns0:f>
        <ns0:v/>
      </ns0:c>
      <ns0:c r="D857">
        <ns0:f>IFERROR(IF(ISNUMBER($A857),IF(AND(AH!$P$10=1,AH!$P$12=1,$A857=TODAY()),AH!$P$18,IF(AH!$P$10=1,INDEX('Live History'!$E$5:$E$3004,MATCH($A857,'Live History'!$D$5:$D$3004,1)),INDEX('AH History'!$C$1:$C$18046,AH!$P$7+852))),NA()),NA())</ns0:f>
        <ns0:v/>
      </ns0:c>
      <ns0:c r="E857">
        <ns0:f>IFERROR(IF(ISNUMBER($A857),IF(AND(AH!$P$10=1,AH!$P$12=1,$A857=TODAY()),AH!$P$20,IF(AH!$P$10=1,INDEX('Live History'!$H$5:$H$3004,MATCH($A857,'Live History'!$G$5:$G$3004,1)),INDEX('AH History'!$D$1:$D$18046,AH!$P$7+852))),NA()),NA())</ns0:f>
        <ns0:v/>
      </ns0:c>
      <ns0:c r="F857">
        <ns0:f>IFERROR(IF(ISNUMBER($A857),IF(AND(AH!$P$10=1,AH!$P$12=1,$A857=TODAY()),IF(AND(AH!$P$10=1,AH!$P$12=1,$A857=TODAY()),TODAY(),NA()),IF(AH!$P$10=1,INDEX('Live History'!$D$5:$D$3004,MATCH($A857,'Live History'!$D$5:$D$3004,1)),INDEX('AH History'!$E$1:$E$18046,AH!$P$7+852))),NA()),NA())</ns0:f>
        <ns0:v/>
      </ns0:c>
      <ns0:c r="G857">
        <ns0:f>IFERROR(IF(ISNUMBER($A857),IF(AND(AH!$P$10=1,AH!$P$12=1,$A857=TODAY()),IF(AND(AH!$P$10=1,AH!$P$12=1,$A857=TODAY()),TODAY(),NA()),IF(AH!$P$10=1,INDEX('Live History'!$G$5:$G$3004,MATCH($A857,'Live History'!$G$5:$G$3004,1)),INDEX('AH History'!$F$1:$F$18046,AH!$P$7+852))),NA()),NA())</ns0:f>
        <ns0:v/>
      </ns0:c>
      <ns0:c r="H857">
        <ns0:f>IFERROR(IF(AND(AH!$E$4="Bloomberg",AH!$P$10=1,ISNUMBER($A857),$A857&lt;=AH!$P$17),AH!$P$7-1+MATCH($A857,INDEX('AH History'!$A$1:$A$18046,AH!$P$7):INDEX('AH History'!$A$1:$A$18046,AH!$P$7+AH!$P$8-1),0),0),0)</ns0:f>
        <ns0:v/>
      </ns0:c>
      <ns0:c r="I857">
        <ns0:f>IF($H857=0,0,IFERROR(IF(AND(ABS($C857-INDEX('AH History'!$B$1:$B$18046,$H857))&lt;=MAX(0.005,ABS(INDEX('AH History'!$B$1:$B$18046,$H857))*0.00005),ABS($D857-INDEX('AH History'!$C$1:$C$18046,$H857))&lt;=MAX(0.005,ABS(INDEX('AH History'!$C$1:$C$18046,$H857))*0.00005),ABS($E857-INDEX('AH History'!$D$1:$D$18046,$H857))&lt;=0.00005,$F857=INDEX('AH History'!$E$1:$E$18046,$H857),$G857=INDEX('AH History'!$F$1:$F$18046,$H857)),1,-1),-1))</ns0:f>
        <ns0:v/>
      </ns0:c>
    </ns0:row>
    <ns0:row r="858">
      <ns0:c r="A858" s="215">
        <ns0:f>IF(OR(AH!$P$3=0,853+1&gt;AH!$P$11,AND(AH!$E$4&lt;&gt;"Stored",AH!$P$10&lt;&gt;1)),"",IFERROR(IF(AND(AH!$P$21=1,853+1=AH!$P$11),TODAY(),IF(AH!$P$10=1,INDEX('Live History'!$A$5:$A$3004,AH!$P$13+853),INDEX('AH History'!$A$1:$A$18046,AH!$P$7+853))),""))</ns0:f>
        <ns0:v/>
      </ns0:c>
      <ns0:c r="B858" s="219">
        <ns0:f>IFERROR(IF(AND(AH!$P$9&lt;&gt;1,$C858&gt;0,$D858&gt;0,$E858&gt;0,$F858&gt;0,$G858&gt;0,$F858&lt;=$A858,$G858&lt;=$A858,$A858-$F858&lt;=10,$A858-$G858&lt;=5),$D858*$E858/$C858-1,NA()),NA())</ns0:f>
        <ns0:v/>
      </ns0:c>
      <ns0:c r="C858">
        <ns0:f>IFERROR(IF(ISNUMBER($A858),IF(AND(AH!$P$10=1,AH!$P$12=1,$A858=TODAY()),AH!$P$19,IF(AH!$P$10=1,INDEX('Live History'!$B$5:$B$3004,AH!$P$13+853),INDEX('AH History'!$B$1:$B$18046,AH!$P$7+853))),NA()),NA())</ns0:f>
        <ns0:v/>
      </ns0:c>
      <ns0:c r="D858">
        <ns0:f>IFERROR(IF(ISNUMBER($A858),IF(AND(AH!$P$10=1,AH!$P$12=1,$A858=TODAY()),AH!$P$18,IF(AH!$P$10=1,INDEX('Live History'!$E$5:$E$3004,MATCH($A858,'Live History'!$D$5:$D$3004,1)),INDEX('AH History'!$C$1:$C$18046,AH!$P$7+853))),NA()),NA())</ns0:f>
        <ns0:v/>
      </ns0:c>
      <ns0:c r="E858">
        <ns0:f>IFERROR(IF(ISNUMBER($A858),IF(AND(AH!$P$10=1,AH!$P$12=1,$A858=TODAY()),AH!$P$20,IF(AH!$P$10=1,INDEX('Live History'!$H$5:$H$3004,MATCH($A858,'Live History'!$G$5:$G$3004,1)),INDEX('AH History'!$D$1:$D$18046,AH!$P$7+853))),NA()),NA())</ns0:f>
        <ns0:v/>
      </ns0:c>
      <ns0:c r="F858">
        <ns0:f>IFERROR(IF(ISNUMBER($A858),IF(AND(AH!$P$10=1,AH!$P$12=1,$A858=TODAY()),IF(AND(AH!$P$10=1,AH!$P$12=1,$A858=TODAY()),TODAY(),NA()),IF(AH!$P$10=1,INDEX('Live History'!$D$5:$D$3004,MATCH($A858,'Live History'!$D$5:$D$3004,1)),INDEX('AH History'!$E$1:$E$18046,AH!$P$7+853))),NA()),NA())</ns0:f>
        <ns0:v/>
      </ns0:c>
      <ns0:c r="G858">
        <ns0:f>IFERROR(IF(ISNUMBER($A858),IF(AND(AH!$P$10=1,AH!$P$12=1,$A858=TODAY()),IF(AND(AH!$P$10=1,AH!$P$12=1,$A858=TODAY()),TODAY(),NA()),IF(AH!$P$10=1,INDEX('Live History'!$G$5:$G$3004,MATCH($A858,'Live History'!$G$5:$G$3004,1)),INDEX('AH History'!$F$1:$F$18046,AH!$P$7+853))),NA()),NA())</ns0:f>
        <ns0:v/>
      </ns0:c>
      <ns0:c r="H858">
        <ns0:f>IFERROR(IF(AND(AH!$E$4="Bloomberg",AH!$P$10=1,ISNUMBER($A858),$A858&lt;=AH!$P$17),AH!$P$7-1+MATCH($A858,INDEX('AH History'!$A$1:$A$18046,AH!$P$7):INDEX('AH History'!$A$1:$A$18046,AH!$P$7+AH!$P$8-1),0),0),0)</ns0:f>
        <ns0:v/>
      </ns0:c>
      <ns0:c r="I858">
        <ns0:f>IF($H858=0,0,IFERROR(IF(AND(ABS($C858-INDEX('AH History'!$B$1:$B$18046,$H858))&lt;=MAX(0.005,ABS(INDEX('AH History'!$B$1:$B$18046,$H858))*0.00005),ABS($D858-INDEX('AH History'!$C$1:$C$18046,$H858))&lt;=MAX(0.005,ABS(INDEX('AH History'!$C$1:$C$18046,$H858))*0.00005),ABS($E858-INDEX('AH History'!$D$1:$D$18046,$H858))&lt;=0.00005,$F858=INDEX('AH History'!$E$1:$E$18046,$H858),$G858=INDEX('AH History'!$F$1:$F$18046,$H858)),1,-1),-1))</ns0:f>
        <ns0:v/>
      </ns0:c>
    </ns0:row>
    <ns0:row r="859">
      <ns0:c r="A859" s="215">
        <ns0:f>IF(OR(AH!$P$3=0,854+1&gt;AH!$P$11,AND(AH!$E$4&lt;&gt;"Stored",AH!$P$10&lt;&gt;1)),"",IFERROR(IF(AND(AH!$P$21=1,854+1=AH!$P$11),TODAY(),IF(AH!$P$10=1,INDEX('Live History'!$A$5:$A$3004,AH!$P$13+854),INDEX('AH History'!$A$1:$A$18046,AH!$P$7+854))),""))</ns0:f>
        <ns0:v/>
      </ns0:c>
      <ns0:c r="B859" s="219">
        <ns0:f>IFERROR(IF(AND(AH!$P$9&lt;&gt;1,$C859&gt;0,$D859&gt;0,$E859&gt;0,$F859&gt;0,$G859&gt;0,$F859&lt;=$A859,$G859&lt;=$A859,$A859-$F859&lt;=10,$A859-$G859&lt;=5),$D859*$E859/$C859-1,NA()),NA())</ns0:f>
        <ns0:v/>
      </ns0:c>
      <ns0:c r="C859">
        <ns0:f>IFERROR(IF(ISNUMBER($A859),IF(AND(AH!$P$10=1,AH!$P$12=1,$A859=TODAY()),AH!$P$19,IF(AH!$P$10=1,INDEX('Live History'!$B$5:$B$3004,AH!$P$13+854),INDEX('AH History'!$B$1:$B$18046,AH!$P$7+854))),NA()),NA())</ns0:f>
        <ns0:v/>
      </ns0:c>
      <ns0:c r="D859">
        <ns0:f>IFERROR(IF(ISNUMBER($A859),IF(AND(AH!$P$10=1,AH!$P$12=1,$A859=TODAY()),AH!$P$18,IF(AH!$P$10=1,INDEX('Live History'!$E$5:$E$3004,MATCH($A859,'Live History'!$D$5:$D$3004,1)),INDEX('AH History'!$C$1:$C$18046,AH!$P$7+854))),NA()),NA())</ns0:f>
        <ns0:v/>
      </ns0:c>
      <ns0:c r="E859">
        <ns0:f>IFERROR(IF(ISNUMBER($A859),IF(AND(AH!$P$10=1,AH!$P$12=1,$A859=TODAY()),AH!$P$20,IF(AH!$P$10=1,INDEX('Live History'!$H$5:$H$3004,MATCH($A859,'Live History'!$G$5:$G$3004,1)),INDEX('AH History'!$D$1:$D$18046,AH!$P$7+854))),NA()),NA())</ns0:f>
        <ns0:v/>
      </ns0:c>
      <ns0:c r="F859">
        <ns0:f>IFERROR(IF(ISNUMBER($A859),IF(AND(AH!$P$10=1,AH!$P$12=1,$A859=TODAY()),IF(AND(AH!$P$10=1,AH!$P$12=1,$A859=TODAY()),TODAY(),NA()),IF(AH!$P$10=1,INDEX('Live History'!$D$5:$D$3004,MATCH($A859,'Live History'!$D$5:$D$3004,1)),INDEX('AH History'!$E$1:$E$18046,AH!$P$7+854))),NA()),NA())</ns0:f>
        <ns0:v/>
      </ns0:c>
      <ns0:c r="G859">
        <ns0:f>IFERROR(IF(ISNUMBER($A859),IF(AND(AH!$P$10=1,AH!$P$12=1,$A859=TODAY()),IF(AND(AH!$P$10=1,AH!$P$12=1,$A859=TODAY()),TODAY(),NA()),IF(AH!$P$10=1,INDEX('Live History'!$G$5:$G$3004,MATCH($A859,'Live History'!$G$5:$G$3004,1)),INDEX('AH History'!$F$1:$F$18046,AH!$P$7+854))),NA()),NA())</ns0:f>
        <ns0:v/>
      </ns0:c>
      <ns0:c r="H859">
        <ns0:f>IFERROR(IF(AND(AH!$E$4="Bloomberg",AH!$P$10=1,ISNUMBER($A859),$A859&lt;=AH!$P$17),AH!$P$7-1+MATCH($A859,INDEX('AH History'!$A$1:$A$18046,AH!$P$7):INDEX('AH History'!$A$1:$A$18046,AH!$P$7+AH!$P$8-1),0),0),0)</ns0:f>
        <ns0:v/>
      </ns0:c>
      <ns0:c r="I859">
        <ns0:f>IF($H859=0,0,IFERROR(IF(AND(ABS($C859-INDEX('AH History'!$B$1:$B$18046,$H859))&lt;=MAX(0.005,ABS(INDEX('AH History'!$B$1:$B$18046,$H859))*0.00005),ABS($D859-INDEX('AH History'!$C$1:$C$18046,$H859))&lt;=MAX(0.005,ABS(INDEX('AH History'!$C$1:$C$18046,$H859))*0.00005),ABS($E859-INDEX('AH History'!$D$1:$D$18046,$H859))&lt;=0.00005,$F859=INDEX('AH History'!$E$1:$E$18046,$H859),$G859=INDEX('AH History'!$F$1:$F$18046,$H859)),1,-1),-1))</ns0:f>
        <ns0:v/>
      </ns0:c>
    </ns0:row>
    <ns0:row r="860">
      <ns0:c r="A860" s="215">
        <ns0:f>IF(OR(AH!$P$3=0,855+1&gt;AH!$P$11,AND(AH!$E$4&lt;&gt;"Stored",AH!$P$10&lt;&gt;1)),"",IFERROR(IF(AND(AH!$P$21=1,855+1=AH!$P$11),TODAY(),IF(AH!$P$10=1,INDEX('Live History'!$A$5:$A$3004,AH!$P$13+855),INDEX('AH History'!$A$1:$A$18046,AH!$P$7+855))),""))</ns0:f>
        <ns0:v/>
      </ns0:c>
      <ns0:c r="B860" s="219">
        <ns0:f>IFERROR(IF(AND(AH!$P$9&lt;&gt;1,$C860&gt;0,$D860&gt;0,$E860&gt;0,$F860&gt;0,$G860&gt;0,$F860&lt;=$A860,$G860&lt;=$A860,$A860-$F860&lt;=10,$A860-$G860&lt;=5),$D860*$E860/$C860-1,NA()),NA())</ns0:f>
        <ns0:v/>
      </ns0:c>
      <ns0:c r="C860">
        <ns0:f>IFERROR(IF(ISNUMBER($A860),IF(AND(AH!$P$10=1,AH!$P$12=1,$A860=TODAY()),AH!$P$19,IF(AH!$P$10=1,INDEX('Live History'!$B$5:$B$3004,AH!$P$13+855),INDEX('AH History'!$B$1:$B$18046,AH!$P$7+855))),NA()),NA())</ns0:f>
        <ns0:v/>
      </ns0:c>
      <ns0:c r="D860">
        <ns0:f>IFERROR(IF(ISNUMBER($A860),IF(AND(AH!$P$10=1,AH!$P$12=1,$A860=TODAY()),AH!$P$18,IF(AH!$P$10=1,INDEX('Live History'!$E$5:$E$3004,MATCH($A860,'Live History'!$D$5:$D$3004,1)),INDEX('AH History'!$C$1:$C$18046,AH!$P$7+855))),NA()),NA())</ns0:f>
        <ns0:v/>
      </ns0:c>
      <ns0:c r="E860">
        <ns0:f>IFERROR(IF(ISNUMBER($A860),IF(AND(AH!$P$10=1,AH!$P$12=1,$A860=TODAY()),AH!$P$20,IF(AH!$P$10=1,INDEX('Live History'!$H$5:$H$3004,MATCH($A860,'Live History'!$G$5:$G$3004,1)),INDEX('AH History'!$D$1:$D$18046,AH!$P$7+855))),NA()),NA())</ns0:f>
        <ns0:v/>
      </ns0:c>
      <ns0:c r="F860">
        <ns0:f>IFERROR(IF(ISNUMBER($A860),IF(AND(AH!$P$10=1,AH!$P$12=1,$A860=TODAY()),IF(AND(AH!$P$10=1,AH!$P$12=1,$A860=TODAY()),TODAY(),NA()),IF(AH!$P$10=1,INDEX('Live History'!$D$5:$D$3004,MATCH($A860,'Live History'!$D$5:$D$3004,1)),INDEX('AH History'!$E$1:$E$18046,AH!$P$7+855))),NA()),NA())</ns0:f>
        <ns0:v/>
      </ns0:c>
      <ns0:c r="G860">
        <ns0:f>IFERROR(IF(ISNUMBER($A860),IF(AND(AH!$P$10=1,AH!$P$12=1,$A860=TODAY()),IF(AND(AH!$P$10=1,AH!$P$12=1,$A860=TODAY()),TODAY(),NA()),IF(AH!$P$10=1,INDEX('Live History'!$G$5:$G$3004,MATCH($A860,'Live History'!$G$5:$G$3004,1)),INDEX('AH History'!$F$1:$F$18046,AH!$P$7+855))),NA()),NA())</ns0:f>
        <ns0:v/>
      </ns0:c>
      <ns0:c r="H860">
        <ns0:f>IFERROR(IF(AND(AH!$E$4="Bloomberg",AH!$P$10=1,ISNUMBER($A860),$A860&lt;=AH!$P$17),AH!$P$7-1+MATCH($A860,INDEX('AH History'!$A$1:$A$18046,AH!$P$7):INDEX('AH History'!$A$1:$A$18046,AH!$P$7+AH!$P$8-1),0),0),0)</ns0:f>
        <ns0:v/>
      </ns0:c>
      <ns0:c r="I860">
        <ns0:f>IF($H860=0,0,IFERROR(IF(AND(ABS($C860-INDEX('AH History'!$B$1:$B$18046,$H860))&lt;=MAX(0.005,ABS(INDEX('AH History'!$B$1:$B$18046,$H860))*0.00005),ABS($D860-INDEX('AH History'!$C$1:$C$18046,$H860))&lt;=MAX(0.005,ABS(INDEX('AH History'!$C$1:$C$18046,$H860))*0.00005),ABS($E860-INDEX('AH History'!$D$1:$D$18046,$H860))&lt;=0.00005,$F860=INDEX('AH History'!$E$1:$E$18046,$H860),$G860=INDEX('AH History'!$F$1:$F$18046,$H860)),1,-1),-1))</ns0:f>
        <ns0:v/>
      </ns0:c>
    </ns0:row>
    <ns0:row r="861">
      <ns0:c r="A861" s="215">
        <ns0:f>IF(OR(AH!$P$3=0,856+1&gt;AH!$P$11,AND(AH!$E$4&lt;&gt;"Stored",AH!$P$10&lt;&gt;1)),"",IFERROR(IF(AND(AH!$P$21=1,856+1=AH!$P$11),TODAY(),IF(AH!$P$10=1,INDEX('Live History'!$A$5:$A$3004,AH!$P$13+856),INDEX('AH History'!$A$1:$A$18046,AH!$P$7+856))),""))</ns0:f>
        <ns0:v/>
      </ns0:c>
      <ns0:c r="B861" s="219">
        <ns0:f>IFERROR(IF(AND(AH!$P$9&lt;&gt;1,$C861&gt;0,$D861&gt;0,$E861&gt;0,$F861&gt;0,$G861&gt;0,$F861&lt;=$A861,$G861&lt;=$A861,$A861-$F861&lt;=10,$A861-$G861&lt;=5),$D861*$E861/$C861-1,NA()),NA())</ns0:f>
        <ns0:v/>
      </ns0:c>
      <ns0:c r="C861">
        <ns0:f>IFERROR(IF(ISNUMBER($A861),IF(AND(AH!$P$10=1,AH!$P$12=1,$A861=TODAY()),AH!$P$19,IF(AH!$P$10=1,INDEX('Live History'!$B$5:$B$3004,AH!$P$13+856),INDEX('AH History'!$B$1:$B$18046,AH!$P$7+856))),NA()),NA())</ns0:f>
        <ns0:v/>
      </ns0:c>
      <ns0:c r="D861">
        <ns0:f>IFERROR(IF(ISNUMBER($A861),IF(AND(AH!$P$10=1,AH!$P$12=1,$A861=TODAY()),AH!$P$18,IF(AH!$P$10=1,INDEX('Live History'!$E$5:$E$3004,MATCH($A861,'Live History'!$D$5:$D$3004,1)),INDEX('AH History'!$C$1:$C$18046,AH!$P$7+856))),NA()),NA())</ns0:f>
        <ns0:v/>
      </ns0:c>
      <ns0:c r="E861">
        <ns0:f>IFERROR(IF(ISNUMBER($A861),IF(AND(AH!$P$10=1,AH!$P$12=1,$A861=TODAY()),AH!$P$20,IF(AH!$P$10=1,INDEX('Live History'!$H$5:$H$3004,MATCH($A861,'Live History'!$G$5:$G$3004,1)),INDEX('AH History'!$D$1:$D$18046,AH!$P$7+856))),NA()),NA())</ns0:f>
        <ns0:v/>
      </ns0:c>
      <ns0:c r="F861">
        <ns0:f>IFERROR(IF(ISNUMBER($A861),IF(AND(AH!$P$10=1,AH!$P$12=1,$A861=TODAY()),IF(AND(AH!$P$10=1,AH!$P$12=1,$A861=TODAY()),TODAY(),NA()),IF(AH!$P$10=1,INDEX('Live History'!$D$5:$D$3004,MATCH($A861,'Live History'!$D$5:$D$3004,1)),INDEX('AH History'!$E$1:$E$18046,AH!$P$7+856))),NA()),NA())</ns0:f>
        <ns0:v/>
      </ns0:c>
      <ns0:c r="G861">
        <ns0:f>IFERROR(IF(ISNUMBER($A861),IF(AND(AH!$P$10=1,AH!$P$12=1,$A861=TODAY()),IF(AND(AH!$P$10=1,AH!$P$12=1,$A861=TODAY()),TODAY(),NA()),IF(AH!$P$10=1,INDEX('Live History'!$G$5:$G$3004,MATCH($A861,'Live History'!$G$5:$G$3004,1)),INDEX('AH History'!$F$1:$F$18046,AH!$P$7+856))),NA()),NA())</ns0:f>
        <ns0:v/>
      </ns0:c>
      <ns0:c r="H861">
        <ns0:f>IFERROR(IF(AND(AH!$E$4="Bloomberg",AH!$P$10=1,ISNUMBER($A861),$A861&lt;=AH!$P$17),AH!$P$7-1+MATCH($A861,INDEX('AH History'!$A$1:$A$18046,AH!$P$7):INDEX('AH History'!$A$1:$A$18046,AH!$P$7+AH!$P$8-1),0),0),0)</ns0:f>
        <ns0:v/>
      </ns0:c>
      <ns0:c r="I861">
        <ns0:f>IF($H861=0,0,IFERROR(IF(AND(ABS($C861-INDEX('AH History'!$B$1:$B$18046,$H861))&lt;=MAX(0.005,ABS(INDEX('AH History'!$B$1:$B$18046,$H861))*0.00005),ABS($D861-INDEX('AH History'!$C$1:$C$18046,$H861))&lt;=MAX(0.005,ABS(INDEX('AH History'!$C$1:$C$18046,$H861))*0.00005),ABS($E861-INDEX('AH History'!$D$1:$D$18046,$H861))&lt;=0.00005,$F861=INDEX('AH History'!$E$1:$E$18046,$H861),$G861=INDEX('AH History'!$F$1:$F$18046,$H861)),1,-1),-1))</ns0:f>
        <ns0:v/>
      </ns0:c>
    </ns0:row>
    <ns0:row r="862">
      <ns0:c r="A862" s="215">
        <ns0:f>IF(OR(AH!$P$3=0,857+1&gt;AH!$P$11,AND(AH!$E$4&lt;&gt;"Stored",AH!$P$10&lt;&gt;1)),"",IFERROR(IF(AND(AH!$P$21=1,857+1=AH!$P$11),TODAY(),IF(AH!$P$10=1,INDEX('Live History'!$A$5:$A$3004,AH!$P$13+857),INDEX('AH History'!$A$1:$A$18046,AH!$P$7+857))),""))</ns0:f>
        <ns0:v/>
      </ns0:c>
      <ns0:c r="B862" s="219">
        <ns0:f>IFERROR(IF(AND(AH!$P$9&lt;&gt;1,$C862&gt;0,$D862&gt;0,$E862&gt;0,$F862&gt;0,$G862&gt;0,$F862&lt;=$A862,$G862&lt;=$A862,$A862-$F862&lt;=10,$A862-$G862&lt;=5),$D862*$E862/$C862-1,NA()),NA())</ns0:f>
        <ns0:v/>
      </ns0:c>
      <ns0:c r="C862">
        <ns0:f>IFERROR(IF(ISNUMBER($A862),IF(AND(AH!$P$10=1,AH!$P$12=1,$A862=TODAY()),AH!$P$19,IF(AH!$P$10=1,INDEX('Live History'!$B$5:$B$3004,AH!$P$13+857),INDEX('AH History'!$B$1:$B$18046,AH!$P$7+857))),NA()),NA())</ns0:f>
        <ns0:v/>
      </ns0:c>
      <ns0:c r="D862">
        <ns0:f>IFERROR(IF(ISNUMBER($A862),IF(AND(AH!$P$10=1,AH!$P$12=1,$A862=TODAY()),AH!$P$18,IF(AH!$P$10=1,INDEX('Live History'!$E$5:$E$3004,MATCH($A862,'Live History'!$D$5:$D$3004,1)),INDEX('AH History'!$C$1:$C$18046,AH!$P$7+857))),NA()),NA())</ns0:f>
        <ns0:v/>
      </ns0:c>
      <ns0:c r="E862">
        <ns0:f>IFERROR(IF(ISNUMBER($A862),IF(AND(AH!$P$10=1,AH!$P$12=1,$A862=TODAY()),AH!$P$20,IF(AH!$P$10=1,INDEX('Live History'!$H$5:$H$3004,MATCH($A862,'Live History'!$G$5:$G$3004,1)),INDEX('AH History'!$D$1:$D$18046,AH!$P$7+857))),NA()),NA())</ns0:f>
        <ns0:v/>
      </ns0:c>
      <ns0:c r="F862">
        <ns0:f>IFERROR(IF(ISNUMBER($A862),IF(AND(AH!$P$10=1,AH!$P$12=1,$A862=TODAY()),IF(AND(AH!$P$10=1,AH!$P$12=1,$A862=TODAY()),TODAY(),NA()),IF(AH!$P$10=1,INDEX('Live History'!$D$5:$D$3004,MATCH($A862,'Live History'!$D$5:$D$3004,1)),INDEX('AH History'!$E$1:$E$18046,AH!$P$7+857))),NA()),NA())</ns0:f>
        <ns0:v/>
      </ns0:c>
      <ns0:c r="G862">
        <ns0:f>IFERROR(IF(ISNUMBER($A862),IF(AND(AH!$P$10=1,AH!$P$12=1,$A862=TODAY()),IF(AND(AH!$P$10=1,AH!$P$12=1,$A862=TODAY()),TODAY(),NA()),IF(AH!$P$10=1,INDEX('Live History'!$G$5:$G$3004,MATCH($A862,'Live History'!$G$5:$G$3004,1)),INDEX('AH History'!$F$1:$F$18046,AH!$P$7+857))),NA()),NA())</ns0:f>
        <ns0:v/>
      </ns0:c>
      <ns0:c r="H862">
        <ns0:f>IFERROR(IF(AND(AH!$E$4="Bloomberg",AH!$P$10=1,ISNUMBER($A862),$A862&lt;=AH!$P$17),AH!$P$7-1+MATCH($A862,INDEX('AH History'!$A$1:$A$18046,AH!$P$7):INDEX('AH History'!$A$1:$A$18046,AH!$P$7+AH!$P$8-1),0),0),0)</ns0:f>
        <ns0:v/>
      </ns0:c>
      <ns0:c r="I862">
        <ns0:f>IF($H862=0,0,IFERROR(IF(AND(ABS($C862-INDEX('AH History'!$B$1:$B$18046,$H862))&lt;=MAX(0.005,ABS(INDEX('AH History'!$B$1:$B$18046,$H862))*0.00005),ABS($D862-INDEX('AH History'!$C$1:$C$18046,$H862))&lt;=MAX(0.005,ABS(INDEX('AH History'!$C$1:$C$18046,$H862))*0.00005),ABS($E862-INDEX('AH History'!$D$1:$D$18046,$H862))&lt;=0.00005,$F862=INDEX('AH History'!$E$1:$E$18046,$H862),$G862=INDEX('AH History'!$F$1:$F$18046,$H862)),1,-1),-1))</ns0:f>
        <ns0:v/>
      </ns0:c>
    </ns0:row>
    <ns0:row r="863">
      <ns0:c r="A863" s="215">
        <ns0:f>IF(OR(AH!$P$3=0,858+1&gt;AH!$P$11,AND(AH!$E$4&lt;&gt;"Stored",AH!$P$10&lt;&gt;1)),"",IFERROR(IF(AND(AH!$P$21=1,858+1=AH!$P$11),TODAY(),IF(AH!$P$10=1,INDEX('Live History'!$A$5:$A$3004,AH!$P$13+858),INDEX('AH History'!$A$1:$A$18046,AH!$P$7+858))),""))</ns0:f>
        <ns0:v/>
      </ns0:c>
      <ns0:c r="B863" s="219">
        <ns0:f>IFERROR(IF(AND(AH!$P$9&lt;&gt;1,$C863&gt;0,$D863&gt;0,$E863&gt;0,$F863&gt;0,$G863&gt;0,$F863&lt;=$A863,$G863&lt;=$A863,$A863-$F863&lt;=10,$A863-$G863&lt;=5),$D863*$E863/$C863-1,NA()),NA())</ns0:f>
        <ns0:v/>
      </ns0:c>
      <ns0:c r="C863">
        <ns0:f>IFERROR(IF(ISNUMBER($A863),IF(AND(AH!$P$10=1,AH!$P$12=1,$A863=TODAY()),AH!$P$19,IF(AH!$P$10=1,INDEX('Live History'!$B$5:$B$3004,AH!$P$13+858),INDEX('AH History'!$B$1:$B$18046,AH!$P$7+858))),NA()),NA())</ns0:f>
        <ns0:v/>
      </ns0:c>
      <ns0:c r="D863">
        <ns0:f>IFERROR(IF(ISNUMBER($A863),IF(AND(AH!$P$10=1,AH!$P$12=1,$A863=TODAY()),AH!$P$18,IF(AH!$P$10=1,INDEX('Live History'!$E$5:$E$3004,MATCH($A863,'Live History'!$D$5:$D$3004,1)),INDEX('AH History'!$C$1:$C$18046,AH!$P$7+858))),NA()),NA())</ns0:f>
        <ns0:v/>
      </ns0:c>
      <ns0:c r="E863">
        <ns0:f>IFERROR(IF(ISNUMBER($A863),IF(AND(AH!$P$10=1,AH!$P$12=1,$A863=TODAY()),AH!$P$20,IF(AH!$P$10=1,INDEX('Live History'!$H$5:$H$3004,MATCH($A863,'Live History'!$G$5:$G$3004,1)),INDEX('AH History'!$D$1:$D$18046,AH!$P$7+858))),NA()),NA())</ns0:f>
        <ns0:v/>
      </ns0:c>
      <ns0:c r="F863">
        <ns0:f>IFERROR(IF(ISNUMBER($A863),IF(AND(AH!$P$10=1,AH!$P$12=1,$A863=TODAY()),IF(AND(AH!$P$10=1,AH!$P$12=1,$A863=TODAY()),TODAY(),NA()),IF(AH!$P$10=1,INDEX('Live History'!$D$5:$D$3004,MATCH($A863,'Live History'!$D$5:$D$3004,1)),INDEX('AH History'!$E$1:$E$18046,AH!$P$7+858))),NA()),NA())</ns0:f>
        <ns0:v/>
      </ns0:c>
      <ns0:c r="G863">
        <ns0:f>IFERROR(IF(ISNUMBER($A863),IF(AND(AH!$P$10=1,AH!$P$12=1,$A863=TODAY()),IF(AND(AH!$P$10=1,AH!$P$12=1,$A863=TODAY()),TODAY(),NA()),IF(AH!$P$10=1,INDEX('Live History'!$G$5:$G$3004,MATCH($A863,'Live History'!$G$5:$G$3004,1)),INDEX('AH History'!$F$1:$F$18046,AH!$P$7+858))),NA()),NA())</ns0:f>
        <ns0:v/>
      </ns0:c>
      <ns0:c r="H863">
        <ns0:f>IFERROR(IF(AND(AH!$E$4="Bloomberg",AH!$P$10=1,ISNUMBER($A863),$A863&lt;=AH!$P$17),AH!$P$7-1+MATCH($A863,INDEX('AH History'!$A$1:$A$18046,AH!$P$7):INDEX('AH History'!$A$1:$A$18046,AH!$P$7+AH!$P$8-1),0),0),0)</ns0:f>
        <ns0:v/>
      </ns0:c>
      <ns0:c r="I863">
        <ns0:f>IF($H863=0,0,IFERROR(IF(AND(ABS($C863-INDEX('AH History'!$B$1:$B$18046,$H863))&lt;=MAX(0.005,ABS(INDEX('AH History'!$B$1:$B$18046,$H863))*0.00005),ABS($D863-INDEX('AH History'!$C$1:$C$18046,$H863))&lt;=MAX(0.005,ABS(INDEX('AH History'!$C$1:$C$18046,$H863))*0.00005),ABS($E863-INDEX('AH History'!$D$1:$D$18046,$H863))&lt;=0.00005,$F863=INDEX('AH History'!$E$1:$E$18046,$H863),$G863=INDEX('AH History'!$F$1:$F$18046,$H863)),1,-1),-1))</ns0:f>
        <ns0:v/>
      </ns0:c>
    </ns0:row>
    <ns0:row r="864">
      <ns0:c r="A864" s="215">
        <ns0:f>IF(OR(AH!$P$3=0,859+1&gt;AH!$P$11,AND(AH!$E$4&lt;&gt;"Stored",AH!$P$10&lt;&gt;1)),"",IFERROR(IF(AND(AH!$P$21=1,859+1=AH!$P$11),TODAY(),IF(AH!$P$10=1,INDEX('Live History'!$A$5:$A$3004,AH!$P$13+859),INDEX('AH History'!$A$1:$A$18046,AH!$P$7+859))),""))</ns0:f>
        <ns0:v/>
      </ns0:c>
      <ns0:c r="B864" s="219">
        <ns0:f>IFERROR(IF(AND(AH!$P$9&lt;&gt;1,$C864&gt;0,$D864&gt;0,$E864&gt;0,$F864&gt;0,$G864&gt;0,$F864&lt;=$A864,$G864&lt;=$A864,$A864-$F864&lt;=10,$A864-$G864&lt;=5),$D864*$E864/$C864-1,NA()),NA())</ns0:f>
        <ns0:v/>
      </ns0:c>
      <ns0:c r="C864">
        <ns0:f>IFERROR(IF(ISNUMBER($A864),IF(AND(AH!$P$10=1,AH!$P$12=1,$A864=TODAY()),AH!$P$19,IF(AH!$P$10=1,INDEX('Live History'!$B$5:$B$3004,AH!$P$13+859),INDEX('AH History'!$B$1:$B$18046,AH!$P$7+859))),NA()),NA())</ns0:f>
        <ns0:v/>
      </ns0:c>
      <ns0:c r="D864">
        <ns0:f>IFERROR(IF(ISNUMBER($A864),IF(AND(AH!$P$10=1,AH!$P$12=1,$A864=TODAY()),AH!$P$18,IF(AH!$P$10=1,INDEX('Live History'!$E$5:$E$3004,MATCH($A864,'Live History'!$D$5:$D$3004,1)),INDEX('AH History'!$C$1:$C$18046,AH!$P$7+859))),NA()),NA())</ns0:f>
        <ns0:v/>
      </ns0:c>
      <ns0:c r="E864">
        <ns0:f>IFERROR(IF(ISNUMBER($A864),IF(AND(AH!$P$10=1,AH!$P$12=1,$A864=TODAY()),AH!$P$20,IF(AH!$P$10=1,INDEX('Live History'!$H$5:$H$3004,MATCH($A864,'Live History'!$G$5:$G$3004,1)),INDEX('AH History'!$D$1:$D$18046,AH!$P$7+859))),NA()),NA())</ns0:f>
        <ns0:v/>
      </ns0:c>
      <ns0:c r="F864">
        <ns0:f>IFERROR(IF(ISNUMBER($A864),IF(AND(AH!$P$10=1,AH!$P$12=1,$A864=TODAY()),IF(AND(AH!$P$10=1,AH!$P$12=1,$A864=TODAY()),TODAY(),NA()),IF(AH!$P$10=1,INDEX('Live History'!$D$5:$D$3004,MATCH($A864,'Live History'!$D$5:$D$3004,1)),INDEX('AH History'!$E$1:$E$18046,AH!$P$7+859))),NA()),NA())</ns0:f>
        <ns0:v/>
      </ns0:c>
      <ns0:c r="G864">
        <ns0:f>IFERROR(IF(ISNUMBER($A864),IF(AND(AH!$P$10=1,AH!$P$12=1,$A864=TODAY()),IF(AND(AH!$P$10=1,AH!$P$12=1,$A864=TODAY()),TODAY(),NA()),IF(AH!$P$10=1,INDEX('Live History'!$G$5:$G$3004,MATCH($A864,'Live History'!$G$5:$G$3004,1)),INDEX('AH History'!$F$1:$F$18046,AH!$P$7+859))),NA()),NA())</ns0:f>
        <ns0:v/>
      </ns0:c>
      <ns0:c r="H864">
        <ns0:f>IFERROR(IF(AND(AH!$E$4="Bloomberg",AH!$P$10=1,ISNUMBER($A864),$A864&lt;=AH!$P$17),AH!$P$7-1+MATCH($A864,INDEX('AH History'!$A$1:$A$18046,AH!$P$7):INDEX('AH History'!$A$1:$A$18046,AH!$P$7+AH!$P$8-1),0),0),0)</ns0:f>
        <ns0:v/>
      </ns0:c>
      <ns0:c r="I864">
        <ns0:f>IF($H864=0,0,IFERROR(IF(AND(ABS($C864-INDEX('AH History'!$B$1:$B$18046,$H864))&lt;=MAX(0.005,ABS(INDEX('AH History'!$B$1:$B$18046,$H864))*0.00005),ABS($D864-INDEX('AH History'!$C$1:$C$18046,$H864))&lt;=MAX(0.005,ABS(INDEX('AH History'!$C$1:$C$18046,$H864))*0.00005),ABS($E864-INDEX('AH History'!$D$1:$D$18046,$H864))&lt;=0.00005,$F864=INDEX('AH History'!$E$1:$E$18046,$H864),$G864=INDEX('AH History'!$F$1:$F$18046,$H864)),1,-1),-1))</ns0:f>
        <ns0:v/>
      </ns0:c>
    </ns0:row>
    <ns0:row r="865">
      <ns0:c r="A865" s="215">
        <ns0:f>IF(OR(AH!$P$3=0,860+1&gt;AH!$P$11,AND(AH!$E$4&lt;&gt;"Stored",AH!$P$10&lt;&gt;1)),"",IFERROR(IF(AND(AH!$P$21=1,860+1=AH!$P$11),TODAY(),IF(AH!$P$10=1,INDEX('Live History'!$A$5:$A$3004,AH!$P$13+860),INDEX('AH History'!$A$1:$A$18046,AH!$P$7+860))),""))</ns0:f>
        <ns0:v/>
      </ns0:c>
      <ns0:c r="B865" s="219">
        <ns0:f>IFERROR(IF(AND(AH!$P$9&lt;&gt;1,$C865&gt;0,$D865&gt;0,$E865&gt;0,$F865&gt;0,$G865&gt;0,$F865&lt;=$A865,$G865&lt;=$A865,$A865-$F865&lt;=10,$A865-$G865&lt;=5),$D865*$E865/$C865-1,NA()),NA())</ns0:f>
        <ns0:v/>
      </ns0:c>
      <ns0:c r="C865">
        <ns0:f>IFERROR(IF(ISNUMBER($A865),IF(AND(AH!$P$10=1,AH!$P$12=1,$A865=TODAY()),AH!$P$19,IF(AH!$P$10=1,INDEX('Live History'!$B$5:$B$3004,AH!$P$13+860),INDEX('AH History'!$B$1:$B$18046,AH!$P$7+860))),NA()),NA())</ns0:f>
        <ns0:v/>
      </ns0:c>
      <ns0:c r="D865">
        <ns0:f>IFERROR(IF(ISNUMBER($A865),IF(AND(AH!$P$10=1,AH!$P$12=1,$A865=TODAY()),AH!$P$18,IF(AH!$P$10=1,INDEX('Live History'!$E$5:$E$3004,MATCH($A865,'Live History'!$D$5:$D$3004,1)),INDEX('AH History'!$C$1:$C$18046,AH!$P$7+860))),NA()),NA())</ns0:f>
        <ns0:v/>
      </ns0:c>
      <ns0:c r="E865">
        <ns0:f>IFERROR(IF(ISNUMBER($A865),IF(AND(AH!$P$10=1,AH!$P$12=1,$A865=TODAY()),AH!$P$20,IF(AH!$P$10=1,INDEX('Live History'!$H$5:$H$3004,MATCH($A865,'Live History'!$G$5:$G$3004,1)),INDEX('AH History'!$D$1:$D$18046,AH!$P$7+860))),NA()),NA())</ns0:f>
        <ns0:v/>
      </ns0:c>
      <ns0:c r="F865">
        <ns0:f>IFERROR(IF(ISNUMBER($A865),IF(AND(AH!$P$10=1,AH!$P$12=1,$A865=TODAY()),IF(AND(AH!$P$10=1,AH!$P$12=1,$A865=TODAY()),TODAY(),NA()),IF(AH!$P$10=1,INDEX('Live History'!$D$5:$D$3004,MATCH($A865,'Live History'!$D$5:$D$3004,1)),INDEX('AH History'!$E$1:$E$18046,AH!$P$7+860))),NA()),NA())</ns0:f>
        <ns0:v/>
      </ns0:c>
      <ns0:c r="G865">
        <ns0:f>IFERROR(IF(ISNUMBER($A865),IF(AND(AH!$P$10=1,AH!$P$12=1,$A865=TODAY()),IF(AND(AH!$P$10=1,AH!$P$12=1,$A865=TODAY()),TODAY(),NA()),IF(AH!$P$10=1,INDEX('Live History'!$G$5:$G$3004,MATCH($A865,'Live History'!$G$5:$G$3004,1)),INDEX('AH History'!$F$1:$F$18046,AH!$P$7+860))),NA()),NA())</ns0:f>
        <ns0:v/>
      </ns0:c>
      <ns0:c r="H865">
        <ns0:f>IFERROR(IF(AND(AH!$E$4="Bloomberg",AH!$P$10=1,ISNUMBER($A865),$A865&lt;=AH!$P$17),AH!$P$7-1+MATCH($A865,INDEX('AH History'!$A$1:$A$18046,AH!$P$7):INDEX('AH History'!$A$1:$A$18046,AH!$P$7+AH!$P$8-1),0),0),0)</ns0:f>
        <ns0:v/>
      </ns0:c>
      <ns0:c r="I865">
        <ns0:f>IF($H865=0,0,IFERROR(IF(AND(ABS($C865-INDEX('AH History'!$B$1:$B$18046,$H865))&lt;=MAX(0.005,ABS(INDEX('AH History'!$B$1:$B$18046,$H865))*0.00005),ABS($D865-INDEX('AH History'!$C$1:$C$18046,$H865))&lt;=MAX(0.005,ABS(INDEX('AH History'!$C$1:$C$18046,$H865))*0.00005),ABS($E865-INDEX('AH History'!$D$1:$D$18046,$H865))&lt;=0.00005,$F865=INDEX('AH History'!$E$1:$E$18046,$H865),$G865=INDEX('AH History'!$F$1:$F$18046,$H865)),1,-1),-1))</ns0:f>
        <ns0:v/>
      </ns0:c>
    </ns0:row>
    <ns0:row r="866">
      <ns0:c r="A866" s="215">
        <ns0:f>IF(OR(AH!$P$3=0,861+1&gt;AH!$P$11,AND(AH!$E$4&lt;&gt;"Stored",AH!$P$10&lt;&gt;1)),"",IFERROR(IF(AND(AH!$P$21=1,861+1=AH!$P$11),TODAY(),IF(AH!$P$10=1,INDEX('Live History'!$A$5:$A$3004,AH!$P$13+861),INDEX('AH History'!$A$1:$A$18046,AH!$P$7+861))),""))</ns0:f>
        <ns0:v/>
      </ns0:c>
      <ns0:c r="B866" s="219">
        <ns0:f>IFERROR(IF(AND(AH!$P$9&lt;&gt;1,$C866&gt;0,$D866&gt;0,$E866&gt;0,$F866&gt;0,$G866&gt;0,$F866&lt;=$A866,$G866&lt;=$A866,$A866-$F866&lt;=10,$A866-$G866&lt;=5),$D866*$E866/$C866-1,NA()),NA())</ns0:f>
        <ns0:v/>
      </ns0:c>
      <ns0:c r="C866">
        <ns0:f>IFERROR(IF(ISNUMBER($A866),IF(AND(AH!$P$10=1,AH!$P$12=1,$A866=TODAY()),AH!$P$19,IF(AH!$P$10=1,INDEX('Live History'!$B$5:$B$3004,AH!$P$13+861),INDEX('AH History'!$B$1:$B$18046,AH!$P$7+861))),NA()),NA())</ns0:f>
        <ns0:v/>
      </ns0:c>
      <ns0:c r="D866">
        <ns0:f>IFERROR(IF(ISNUMBER($A866),IF(AND(AH!$P$10=1,AH!$P$12=1,$A866=TODAY()),AH!$P$18,IF(AH!$P$10=1,INDEX('Live History'!$E$5:$E$3004,MATCH($A866,'Live History'!$D$5:$D$3004,1)),INDEX('AH History'!$C$1:$C$18046,AH!$P$7+861))),NA()),NA())</ns0:f>
        <ns0:v/>
      </ns0:c>
      <ns0:c r="E866">
        <ns0:f>IFERROR(IF(ISNUMBER($A866),IF(AND(AH!$P$10=1,AH!$P$12=1,$A866=TODAY()),AH!$P$20,IF(AH!$P$10=1,INDEX('Live History'!$H$5:$H$3004,MATCH($A866,'Live History'!$G$5:$G$3004,1)),INDEX('AH History'!$D$1:$D$18046,AH!$P$7+861))),NA()),NA())</ns0:f>
        <ns0:v/>
      </ns0:c>
      <ns0:c r="F866">
        <ns0:f>IFERROR(IF(ISNUMBER($A866),IF(AND(AH!$P$10=1,AH!$P$12=1,$A866=TODAY()),IF(AND(AH!$P$10=1,AH!$P$12=1,$A866=TODAY()),TODAY(),NA()),IF(AH!$P$10=1,INDEX('Live History'!$D$5:$D$3004,MATCH($A866,'Live History'!$D$5:$D$3004,1)),INDEX('AH History'!$E$1:$E$18046,AH!$P$7+861))),NA()),NA())</ns0:f>
        <ns0:v/>
      </ns0:c>
      <ns0:c r="G866">
        <ns0:f>IFERROR(IF(ISNUMBER($A866),IF(AND(AH!$P$10=1,AH!$P$12=1,$A866=TODAY()),IF(AND(AH!$P$10=1,AH!$P$12=1,$A866=TODAY()),TODAY(),NA()),IF(AH!$P$10=1,INDEX('Live History'!$G$5:$G$3004,MATCH($A866,'Live History'!$G$5:$G$3004,1)),INDEX('AH History'!$F$1:$F$18046,AH!$P$7+861))),NA()),NA())</ns0:f>
        <ns0:v/>
      </ns0:c>
      <ns0:c r="H866">
        <ns0:f>IFERROR(IF(AND(AH!$E$4="Bloomberg",AH!$P$10=1,ISNUMBER($A866),$A866&lt;=AH!$P$17),AH!$P$7-1+MATCH($A866,INDEX('AH History'!$A$1:$A$18046,AH!$P$7):INDEX('AH History'!$A$1:$A$18046,AH!$P$7+AH!$P$8-1),0),0),0)</ns0:f>
        <ns0:v/>
      </ns0:c>
      <ns0:c r="I866">
        <ns0:f>IF($H866=0,0,IFERROR(IF(AND(ABS($C866-INDEX('AH History'!$B$1:$B$18046,$H866))&lt;=MAX(0.005,ABS(INDEX('AH History'!$B$1:$B$18046,$H866))*0.00005),ABS($D866-INDEX('AH History'!$C$1:$C$18046,$H866))&lt;=MAX(0.005,ABS(INDEX('AH History'!$C$1:$C$18046,$H866))*0.00005),ABS($E866-INDEX('AH History'!$D$1:$D$18046,$H866))&lt;=0.00005,$F866=INDEX('AH History'!$E$1:$E$18046,$H866),$G866=INDEX('AH History'!$F$1:$F$18046,$H866)),1,-1),-1))</ns0:f>
        <ns0:v/>
      </ns0:c>
    </ns0:row>
    <ns0:row r="867">
      <ns0:c r="A867" s="215">
        <ns0:f>IF(OR(AH!$P$3=0,862+1&gt;AH!$P$11,AND(AH!$E$4&lt;&gt;"Stored",AH!$P$10&lt;&gt;1)),"",IFERROR(IF(AND(AH!$P$21=1,862+1=AH!$P$11),TODAY(),IF(AH!$P$10=1,INDEX('Live History'!$A$5:$A$3004,AH!$P$13+862),INDEX('AH History'!$A$1:$A$18046,AH!$P$7+862))),""))</ns0:f>
        <ns0:v/>
      </ns0:c>
      <ns0:c r="B867" s="219">
        <ns0:f>IFERROR(IF(AND(AH!$P$9&lt;&gt;1,$C867&gt;0,$D867&gt;0,$E867&gt;0,$F867&gt;0,$G867&gt;0,$F867&lt;=$A867,$G867&lt;=$A867,$A867-$F867&lt;=10,$A867-$G867&lt;=5),$D867*$E867/$C867-1,NA()),NA())</ns0:f>
        <ns0:v/>
      </ns0:c>
      <ns0:c r="C867">
        <ns0:f>IFERROR(IF(ISNUMBER($A867),IF(AND(AH!$P$10=1,AH!$P$12=1,$A867=TODAY()),AH!$P$19,IF(AH!$P$10=1,INDEX('Live History'!$B$5:$B$3004,AH!$P$13+862),INDEX('AH History'!$B$1:$B$18046,AH!$P$7+862))),NA()),NA())</ns0:f>
        <ns0:v/>
      </ns0:c>
      <ns0:c r="D867">
        <ns0:f>IFERROR(IF(ISNUMBER($A867),IF(AND(AH!$P$10=1,AH!$P$12=1,$A867=TODAY()),AH!$P$18,IF(AH!$P$10=1,INDEX('Live History'!$E$5:$E$3004,MATCH($A867,'Live History'!$D$5:$D$3004,1)),INDEX('AH History'!$C$1:$C$18046,AH!$P$7+862))),NA()),NA())</ns0:f>
        <ns0:v/>
      </ns0:c>
      <ns0:c r="E867">
        <ns0:f>IFERROR(IF(ISNUMBER($A867),IF(AND(AH!$P$10=1,AH!$P$12=1,$A867=TODAY()),AH!$P$20,IF(AH!$P$10=1,INDEX('Live History'!$H$5:$H$3004,MATCH($A867,'Live History'!$G$5:$G$3004,1)),INDEX('AH History'!$D$1:$D$18046,AH!$P$7+862))),NA()),NA())</ns0:f>
        <ns0:v/>
      </ns0:c>
      <ns0:c r="F867">
        <ns0:f>IFERROR(IF(ISNUMBER($A867),IF(AND(AH!$P$10=1,AH!$P$12=1,$A867=TODAY()),IF(AND(AH!$P$10=1,AH!$P$12=1,$A867=TODAY()),TODAY(),NA()),IF(AH!$P$10=1,INDEX('Live History'!$D$5:$D$3004,MATCH($A867,'Live History'!$D$5:$D$3004,1)),INDEX('AH History'!$E$1:$E$18046,AH!$P$7+862))),NA()),NA())</ns0:f>
        <ns0:v/>
      </ns0:c>
      <ns0:c r="G867">
        <ns0:f>IFERROR(IF(ISNUMBER($A867),IF(AND(AH!$P$10=1,AH!$P$12=1,$A867=TODAY()),IF(AND(AH!$P$10=1,AH!$P$12=1,$A867=TODAY()),TODAY(),NA()),IF(AH!$P$10=1,INDEX('Live History'!$G$5:$G$3004,MATCH($A867,'Live History'!$G$5:$G$3004,1)),INDEX('AH History'!$F$1:$F$18046,AH!$P$7+862))),NA()),NA())</ns0:f>
        <ns0:v/>
      </ns0:c>
      <ns0:c r="H867">
        <ns0:f>IFERROR(IF(AND(AH!$E$4="Bloomberg",AH!$P$10=1,ISNUMBER($A867),$A867&lt;=AH!$P$17),AH!$P$7-1+MATCH($A867,INDEX('AH History'!$A$1:$A$18046,AH!$P$7):INDEX('AH History'!$A$1:$A$18046,AH!$P$7+AH!$P$8-1),0),0),0)</ns0:f>
        <ns0:v/>
      </ns0:c>
      <ns0:c r="I867">
        <ns0:f>IF($H867=0,0,IFERROR(IF(AND(ABS($C867-INDEX('AH History'!$B$1:$B$18046,$H867))&lt;=MAX(0.005,ABS(INDEX('AH History'!$B$1:$B$18046,$H867))*0.00005),ABS($D867-INDEX('AH History'!$C$1:$C$18046,$H867))&lt;=MAX(0.005,ABS(INDEX('AH History'!$C$1:$C$18046,$H867))*0.00005),ABS($E867-INDEX('AH History'!$D$1:$D$18046,$H867))&lt;=0.00005,$F867=INDEX('AH History'!$E$1:$E$18046,$H867),$G867=INDEX('AH History'!$F$1:$F$18046,$H867)),1,-1),-1))</ns0:f>
        <ns0:v/>
      </ns0:c>
    </ns0:row>
    <ns0:row r="868">
      <ns0:c r="A868" s="215">
        <ns0:f>IF(OR(AH!$P$3=0,863+1&gt;AH!$P$11,AND(AH!$E$4&lt;&gt;"Stored",AH!$P$10&lt;&gt;1)),"",IFERROR(IF(AND(AH!$P$21=1,863+1=AH!$P$11),TODAY(),IF(AH!$P$10=1,INDEX('Live History'!$A$5:$A$3004,AH!$P$13+863),INDEX('AH History'!$A$1:$A$18046,AH!$P$7+863))),""))</ns0:f>
        <ns0:v/>
      </ns0:c>
      <ns0:c r="B868" s="219">
        <ns0:f>IFERROR(IF(AND(AH!$P$9&lt;&gt;1,$C868&gt;0,$D868&gt;0,$E868&gt;0,$F868&gt;0,$G868&gt;0,$F868&lt;=$A868,$G868&lt;=$A868,$A868-$F868&lt;=10,$A868-$G868&lt;=5),$D868*$E868/$C868-1,NA()),NA())</ns0:f>
        <ns0:v/>
      </ns0:c>
      <ns0:c r="C868">
        <ns0:f>IFERROR(IF(ISNUMBER($A868),IF(AND(AH!$P$10=1,AH!$P$12=1,$A868=TODAY()),AH!$P$19,IF(AH!$P$10=1,INDEX('Live History'!$B$5:$B$3004,AH!$P$13+863),INDEX('AH History'!$B$1:$B$18046,AH!$P$7+863))),NA()),NA())</ns0:f>
        <ns0:v/>
      </ns0:c>
      <ns0:c r="D868">
        <ns0:f>IFERROR(IF(ISNUMBER($A868),IF(AND(AH!$P$10=1,AH!$P$12=1,$A868=TODAY()),AH!$P$18,IF(AH!$P$10=1,INDEX('Live History'!$E$5:$E$3004,MATCH($A868,'Live History'!$D$5:$D$3004,1)),INDEX('AH History'!$C$1:$C$18046,AH!$P$7+863))),NA()),NA())</ns0:f>
        <ns0:v/>
      </ns0:c>
      <ns0:c r="E868">
        <ns0:f>IFERROR(IF(ISNUMBER($A868),IF(AND(AH!$P$10=1,AH!$P$12=1,$A868=TODAY()),AH!$P$20,IF(AH!$P$10=1,INDEX('Live History'!$H$5:$H$3004,MATCH($A868,'Live History'!$G$5:$G$3004,1)),INDEX('AH History'!$D$1:$D$18046,AH!$P$7+863))),NA()),NA())</ns0:f>
        <ns0:v/>
      </ns0:c>
      <ns0:c r="F868">
        <ns0:f>IFERROR(IF(ISNUMBER($A868),IF(AND(AH!$P$10=1,AH!$P$12=1,$A868=TODAY()),IF(AND(AH!$P$10=1,AH!$P$12=1,$A868=TODAY()),TODAY(),NA()),IF(AH!$P$10=1,INDEX('Live History'!$D$5:$D$3004,MATCH($A868,'Live History'!$D$5:$D$3004,1)),INDEX('AH History'!$E$1:$E$18046,AH!$P$7+863))),NA()),NA())</ns0:f>
        <ns0:v/>
      </ns0:c>
      <ns0:c r="G868">
        <ns0:f>IFERROR(IF(ISNUMBER($A868),IF(AND(AH!$P$10=1,AH!$P$12=1,$A868=TODAY()),IF(AND(AH!$P$10=1,AH!$P$12=1,$A868=TODAY()),TODAY(),NA()),IF(AH!$P$10=1,INDEX('Live History'!$G$5:$G$3004,MATCH($A868,'Live History'!$G$5:$G$3004,1)),INDEX('AH History'!$F$1:$F$18046,AH!$P$7+863))),NA()),NA())</ns0:f>
        <ns0:v/>
      </ns0:c>
      <ns0:c r="H868">
        <ns0:f>IFERROR(IF(AND(AH!$E$4="Bloomberg",AH!$P$10=1,ISNUMBER($A868),$A868&lt;=AH!$P$17),AH!$P$7-1+MATCH($A868,INDEX('AH History'!$A$1:$A$18046,AH!$P$7):INDEX('AH History'!$A$1:$A$18046,AH!$P$7+AH!$P$8-1),0),0),0)</ns0:f>
        <ns0:v/>
      </ns0:c>
      <ns0:c r="I868">
        <ns0:f>IF($H868=0,0,IFERROR(IF(AND(ABS($C868-INDEX('AH History'!$B$1:$B$18046,$H868))&lt;=MAX(0.005,ABS(INDEX('AH History'!$B$1:$B$18046,$H868))*0.00005),ABS($D868-INDEX('AH History'!$C$1:$C$18046,$H868))&lt;=MAX(0.005,ABS(INDEX('AH History'!$C$1:$C$18046,$H868))*0.00005),ABS($E868-INDEX('AH History'!$D$1:$D$18046,$H868))&lt;=0.00005,$F868=INDEX('AH History'!$E$1:$E$18046,$H868),$G868=INDEX('AH History'!$F$1:$F$18046,$H868)),1,-1),-1))</ns0:f>
        <ns0:v/>
      </ns0:c>
    </ns0:row>
    <ns0:row r="869">
      <ns0:c r="A869" s="215">
        <ns0:f>IF(OR(AH!$P$3=0,864+1&gt;AH!$P$11,AND(AH!$E$4&lt;&gt;"Stored",AH!$P$10&lt;&gt;1)),"",IFERROR(IF(AND(AH!$P$21=1,864+1=AH!$P$11),TODAY(),IF(AH!$P$10=1,INDEX('Live History'!$A$5:$A$3004,AH!$P$13+864),INDEX('AH History'!$A$1:$A$18046,AH!$P$7+864))),""))</ns0:f>
        <ns0:v/>
      </ns0:c>
      <ns0:c r="B869" s="219">
        <ns0:f>IFERROR(IF(AND(AH!$P$9&lt;&gt;1,$C869&gt;0,$D869&gt;0,$E869&gt;0,$F869&gt;0,$G869&gt;0,$F869&lt;=$A869,$G869&lt;=$A869,$A869-$F869&lt;=10,$A869-$G869&lt;=5),$D869*$E869/$C869-1,NA()),NA())</ns0:f>
        <ns0:v/>
      </ns0:c>
      <ns0:c r="C869">
        <ns0:f>IFERROR(IF(ISNUMBER($A869),IF(AND(AH!$P$10=1,AH!$P$12=1,$A869=TODAY()),AH!$P$19,IF(AH!$P$10=1,INDEX('Live History'!$B$5:$B$3004,AH!$P$13+864),INDEX('AH History'!$B$1:$B$18046,AH!$P$7+864))),NA()),NA())</ns0:f>
        <ns0:v/>
      </ns0:c>
      <ns0:c r="D869">
        <ns0:f>IFERROR(IF(ISNUMBER($A869),IF(AND(AH!$P$10=1,AH!$P$12=1,$A869=TODAY()),AH!$P$18,IF(AH!$P$10=1,INDEX('Live History'!$E$5:$E$3004,MATCH($A869,'Live History'!$D$5:$D$3004,1)),INDEX('AH History'!$C$1:$C$18046,AH!$P$7+864))),NA()),NA())</ns0:f>
        <ns0:v/>
      </ns0:c>
      <ns0:c r="E869">
        <ns0:f>IFERROR(IF(ISNUMBER($A869),IF(AND(AH!$P$10=1,AH!$P$12=1,$A869=TODAY()),AH!$P$20,IF(AH!$P$10=1,INDEX('Live History'!$H$5:$H$3004,MATCH($A869,'Live History'!$G$5:$G$3004,1)),INDEX('AH History'!$D$1:$D$18046,AH!$P$7+864))),NA()),NA())</ns0:f>
        <ns0:v/>
      </ns0:c>
      <ns0:c r="F869">
        <ns0:f>IFERROR(IF(ISNUMBER($A869),IF(AND(AH!$P$10=1,AH!$P$12=1,$A869=TODAY()),IF(AND(AH!$P$10=1,AH!$P$12=1,$A869=TODAY()),TODAY(),NA()),IF(AH!$P$10=1,INDEX('Live History'!$D$5:$D$3004,MATCH($A869,'Live History'!$D$5:$D$3004,1)),INDEX('AH History'!$E$1:$E$18046,AH!$P$7+864))),NA()),NA())</ns0:f>
        <ns0:v/>
      </ns0:c>
      <ns0:c r="G869">
        <ns0:f>IFERROR(IF(ISNUMBER($A869),IF(AND(AH!$P$10=1,AH!$P$12=1,$A869=TODAY()),IF(AND(AH!$P$10=1,AH!$P$12=1,$A869=TODAY()),TODAY(),NA()),IF(AH!$P$10=1,INDEX('Live History'!$G$5:$G$3004,MATCH($A869,'Live History'!$G$5:$G$3004,1)),INDEX('AH History'!$F$1:$F$18046,AH!$P$7+864))),NA()),NA())</ns0:f>
        <ns0:v/>
      </ns0:c>
      <ns0:c r="H869">
        <ns0:f>IFERROR(IF(AND(AH!$E$4="Bloomberg",AH!$P$10=1,ISNUMBER($A869),$A869&lt;=AH!$P$17),AH!$P$7-1+MATCH($A869,INDEX('AH History'!$A$1:$A$18046,AH!$P$7):INDEX('AH History'!$A$1:$A$18046,AH!$P$7+AH!$P$8-1),0),0),0)</ns0:f>
        <ns0:v/>
      </ns0:c>
      <ns0:c r="I869">
        <ns0:f>IF($H869=0,0,IFERROR(IF(AND(ABS($C869-INDEX('AH History'!$B$1:$B$18046,$H869))&lt;=MAX(0.005,ABS(INDEX('AH History'!$B$1:$B$18046,$H869))*0.00005),ABS($D869-INDEX('AH History'!$C$1:$C$18046,$H869))&lt;=MAX(0.005,ABS(INDEX('AH History'!$C$1:$C$18046,$H869))*0.00005),ABS($E869-INDEX('AH History'!$D$1:$D$18046,$H869))&lt;=0.00005,$F869=INDEX('AH History'!$E$1:$E$18046,$H869),$G869=INDEX('AH History'!$F$1:$F$18046,$H869)),1,-1),-1))</ns0:f>
        <ns0:v/>
      </ns0:c>
    </ns0:row>
    <ns0:row r="870">
      <ns0:c r="A870" s="215">
        <ns0:f>IF(OR(AH!$P$3=0,865+1&gt;AH!$P$11,AND(AH!$E$4&lt;&gt;"Stored",AH!$P$10&lt;&gt;1)),"",IFERROR(IF(AND(AH!$P$21=1,865+1=AH!$P$11),TODAY(),IF(AH!$P$10=1,INDEX('Live History'!$A$5:$A$3004,AH!$P$13+865),INDEX('AH History'!$A$1:$A$18046,AH!$P$7+865))),""))</ns0:f>
        <ns0:v/>
      </ns0:c>
      <ns0:c r="B870" s="219">
        <ns0:f>IFERROR(IF(AND(AH!$P$9&lt;&gt;1,$C870&gt;0,$D870&gt;0,$E870&gt;0,$F870&gt;0,$G870&gt;0,$F870&lt;=$A870,$G870&lt;=$A870,$A870-$F870&lt;=10,$A870-$G870&lt;=5),$D870*$E870/$C870-1,NA()),NA())</ns0:f>
        <ns0:v/>
      </ns0:c>
      <ns0:c r="C870">
        <ns0:f>IFERROR(IF(ISNUMBER($A870),IF(AND(AH!$P$10=1,AH!$P$12=1,$A870=TODAY()),AH!$P$19,IF(AH!$P$10=1,INDEX('Live History'!$B$5:$B$3004,AH!$P$13+865),INDEX('AH History'!$B$1:$B$18046,AH!$P$7+865))),NA()),NA())</ns0:f>
        <ns0:v/>
      </ns0:c>
      <ns0:c r="D870">
        <ns0:f>IFERROR(IF(ISNUMBER($A870),IF(AND(AH!$P$10=1,AH!$P$12=1,$A870=TODAY()),AH!$P$18,IF(AH!$P$10=1,INDEX('Live History'!$E$5:$E$3004,MATCH($A870,'Live History'!$D$5:$D$3004,1)),INDEX('AH History'!$C$1:$C$18046,AH!$P$7+865))),NA()),NA())</ns0:f>
        <ns0:v/>
      </ns0:c>
      <ns0:c r="E870">
        <ns0:f>IFERROR(IF(ISNUMBER($A870),IF(AND(AH!$P$10=1,AH!$P$12=1,$A870=TODAY()),AH!$P$20,IF(AH!$P$10=1,INDEX('Live History'!$H$5:$H$3004,MATCH($A870,'Live History'!$G$5:$G$3004,1)),INDEX('AH History'!$D$1:$D$18046,AH!$P$7+865))),NA()),NA())</ns0:f>
        <ns0:v/>
      </ns0:c>
      <ns0:c r="F870">
        <ns0:f>IFERROR(IF(ISNUMBER($A870),IF(AND(AH!$P$10=1,AH!$P$12=1,$A870=TODAY()),IF(AND(AH!$P$10=1,AH!$P$12=1,$A870=TODAY()),TODAY(),NA()),IF(AH!$P$10=1,INDEX('Live History'!$D$5:$D$3004,MATCH($A870,'Live History'!$D$5:$D$3004,1)),INDEX('AH History'!$E$1:$E$18046,AH!$P$7+865))),NA()),NA())</ns0:f>
        <ns0:v/>
      </ns0:c>
      <ns0:c r="G870">
        <ns0:f>IFERROR(IF(ISNUMBER($A870),IF(AND(AH!$P$10=1,AH!$P$12=1,$A870=TODAY()),IF(AND(AH!$P$10=1,AH!$P$12=1,$A870=TODAY()),TODAY(),NA()),IF(AH!$P$10=1,INDEX('Live History'!$G$5:$G$3004,MATCH($A870,'Live History'!$G$5:$G$3004,1)),INDEX('AH History'!$F$1:$F$18046,AH!$P$7+865))),NA()),NA())</ns0:f>
        <ns0:v/>
      </ns0:c>
      <ns0:c r="H870">
        <ns0:f>IFERROR(IF(AND(AH!$E$4="Bloomberg",AH!$P$10=1,ISNUMBER($A870),$A870&lt;=AH!$P$17),AH!$P$7-1+MATCH($A870,INDEX('AH History'!$A$1:$A$18046,AH!$P$7):INDEX('AH History'!$A$1:$A$18046,AH!$P$7+AH!$P$8-1),0),0),0)</ns0:f>
        <ns0:v/>
      </ns0:c>
      <ns0:c r="I870">
        <ns0:f>IF($H870=0,0,IFERROR(IF(AND(ABS($C870-INDEX('AH History'!$B$1:$B$18046,$H870))&lt;=MAX(0.005,ABS(INDEX('AH History'!$B$1:$B$18046,$H870))*0.00005),ABS($D870-INDEX('AH History'!$C$1:$C$18046,$H870))&lt;=MAX(0.005,ABS(INDEX('AH History'!$C$1:$C$18046,$H870))*0.00005),ABS($E870-INDEX('AH History'!$D$1:$D$18046,$H870))&lt;=0.00005,$F870=INDEX('AH History'!$E$1:$E$18046,$H870),$G870=INDEX('AH History'!$F$1:$F$18046,$H870)),1,-1),-1))</ns0:f>
        <ns0:v/>
      </ns0:c>
    </ns0:row>
    <ns0:row r="871">
      <ns0:c r="A871" s="215">
        <ns0:f>IF(OR(AH!$P$3=0,866+1&gt;AH!$P$11,AND(AH!$E$4&lt;&gt;"Stored",AH!$P$10&lt;&gt;1)),"",IFERROR(IF(AND(AH!$P$21=1,866+1=AH!$P$11),TODAY(),IF(AH!$P$10=1,INDEX('Live History'!$A$5:$A$3004,AH!$P$13+866),INDEX('AH History'!$A$1:$A$18046,AH!$P$7+866))),""))</ns0:f>
        <ns0:v/>
      </ns0:c>
      <ns0:c r="B871" s="219">
        <ns0:f>IFERROR(IF(AND(AH!$P$9&lt;&gt;1,$C871&gt;0,$D871&gt;0,$E871&gt;0,$F871&gt;0,$G871&gt;0,$F871&lt;=$A871,$G871&lt;=$A871,$A871-$F871&lt;=10,$A871-$G871&lt;=5),$D871*$E871/$C871-1,NA()),NA())</ns0:f>
        <ns0:v/>
      </ns0:c>
      <ns0:c r="C871">
        <ns0:f>IFERROR(IF(ISNUMBER($A871),IF(AND(AH!$P$10=1,AH!$P$12=1,$A871=TODAY()),AH!$P$19,IF(AH!$P$10=1,INDEX('Live History'!$B$5:$B$3004,AH!$P$13+866),INDEX('AH History'!$B$1:$B$18046,AH!$P$7+866))),NA()),NA())</ns0:f>
        <ns0:v/>
      </ns0:c>
      <ns0:c r="D871">
        <ns0:f>IFERROR(IF(ISNUMBER($A871),IF(AND(AH!$P$10=1,AH!$P$12=1,$A871=TODAY()),AH!$P$18,IF(AH!$P$10=1,INDEX('Live History'!$E$5:$E$3004,MATCH($A871,'Live History'!$D$5:$D$3004,1)),INDEX('AH History'!$C$1:$C$18046,AH!$P$7+866))),NA()),NA())</ns0:f>
        <ns0:v/>
      </ns0:c>
      <ns0:c r="E871">
        <ns0:f>IFERROR(IF(ISNUMBER($A871),IF(AND(AH!$P$10=1,AH!$P$12=1,$A871=TODAY()),AH!$P$20,IF(AH!$P$10=1,INDEX('Live History'!$H$5:$H$3004,MATCH($A871,'Live History'!$G$5:$G$3004,1)),INDEX('AH History'!$D$1:$D$18046,AH!$P$7+866))),NA()),NA())</ns0:f>
        <ns0:v/>
      </ns0:c>
      <ns0:c r="F871">
        <ns0:f>IFERROR(IF(ISNUMBER($A871),IF(AND(AH!$P$10=1,AH!$P$12=1,$A871=TODAY()),IF(AND(AH!$P$10=1,AH!$P$12=1,$A871=TODAY()),TODAY(),NA()),IF(AH!$P$10=1,INDEX('Live History'!$D$5:$D$3004,MATCH($A871,'Live History'!$D$5:$D$3004,1)),INDEX('AH History'!$E$1:$E$18046,AH!$P$7+866))),NA()),NA())</ns0:f>
        <ns0:v/>
      </ns0:c>
      <ns0:c r="G871">
        <ns0:f>IFERROR(IF(ISNUMBER($A871),IF(AND(AH!$P$10=1,AH!$P$12=1,$A871=TODAY()),IF(AND(AH!$P$10=1,AH!$P$12=1,$A871=TODAY()),TODAY(),NA()),IF(AH!$P$10=1,INDEX('Live History'!$G$5:$G$3004,MATCH($A871,'Live History'!$G$5:$G$3004,1)),INDEX('AH History'!$F$1:$F$18046,AH!$P$7+866))),NA()),NA())</ns0:f>
        <ns0:v/>
      </ns0:c>
      <ns0:c r="H871">
        <ns0:f>IFERROR(IF(AND(AH!$E$4="Bloomberg",AH!$P$10=1,ISNUMBER($A871),$A871&lt;=AH!$P$17),AH!$P$7-1+MATCH($A871,INDEX('AH History'!$A$1:$A$18046,AH!$P$7):INDEX('AH History'!$A$1:$A$18046,AH!$P$7+AH!$P$8-1),0),0),0)</ns0:f>
        <ns0:v/>
      </ns0:c>
      <ns0:c r="I871">
        <ns0:f>IF($H871=0,0,IFERROR(IF(AND(ABS($C871-INDEX('AH History'!$B$1:$B$18046,$H871))&lt;=MAX(0.005,ABS(INDEX('AH History'!$B$1:$B$18046,$H871))*0.00005),ABS($D871-INDEX('AH History'!$C$1:$C$18046,$H871))&lt;=MAX(0.005,ABS(INDEX('AH History'!$C$1:$C$18046,$H871))*0.00005),ABS($E871-INDEX('AH History'!$D$1:$D$18046,$H871))&lt;=0.00005,$F871=INDEX('AH History'!$E$1:$E$18046,$H871),$G871=INDEX('AH History'!$F$1:$F$18046,$H871)),1,-1),-1))</ns0:f>
        <ns0:v/>
      </ns0:c>
    </ns0:row>
    <ns0:row r="872">
      <ns0:c r="A872" s="215">
        <ns0:f>IF(OR(AH!$P$3=0,867+1&gt;AH!$P$11,AND(AH!$E$4&lt;&gt;"Stored",AH!$P$10&lt;&gt;1)),"",IFERROR(IF(AND(AH!$P$21=1,867+1=AH!$P$11),TODAY(),IF(AH!$P$10=1,INDEX('Live History'!$A$5:$A$3004,AH!$P$13+867),INDEX('AH History'!$A$1:$A$18046,AH!$P$7+867))),""))</ns0:f>
        <ns0:v/>
      </ns0:c>
      <ns0:c r="B872" s="219">
        <ns0:f>IFERROR(IF(AND(AH!$P$9&lt;&gt;1,$C872&gt;0,$D872&gt;0,$E872&gt;0,$F872&gt;0,$G872&gt;0,$F872&lt;=$A872,$G872&lt;=$A872,$A872-$F872&lt;=10,$A872-$G872&lt;=5),$D872*$E872/$C872-1,NA()),NA())</ns0:f>
        <ns0:v/>
      </ns0:c>
      <ns0:c r="C872">
        <ns0:f>IFERROR(IF(ISNUMBER($A872),IF(AND(AH!$P$10=1,AH!$P$12=1,$A872=TODAY()),AH!$P$19,IF(AH!$P$10=1,INDEX('Live History'!$B$5:$B$3004,AH!$P$13+867),INDEX('AH History'!$B$1:$B$18046,AH!$P$7+867))),NA()),NA())</ns0:f>
        <ns0:v/>
      </ns0:c>
      <ns0:c r="D872">
        <ns0:f>IFERROR(IF(ISNUMBER($A872),IF(AND(AH!$P$10=1,AH!$P$12=1,$A872=TODAY()),AH!$P$18,IF(AH!$P$10=1,INDEX('Live History'!$E$5:$E$3004,MATCH($A872,'Live History'!$D$5:$D$3004,1)),INDEX('AH History'!$C$1:$C$18046,AH!$P$7+867))),NA()),NA())</ns0:f>
        <ns0:v/>
      </ns0:c>
      <ns0:c r="E872">
        <ns0:f>IFERROR(IF(ISNUMBER($A872),IF(AND(AH!$P$10=1,AH!$P$12=1,$A872=TODAY()),AH!$P$20,IF(AH!$P$10=1,INDEX('Live History'!$H$5:$H$3004,MATCH($A872,'Live History'!$G$5:$G$3004,1)),INDEX('AH History'!$D$1:$D$18046,AH!$P$7+867))),NA()),NA())</ns0:f>
        <ns0:v/>
      </ns0:c>
      <ns0:c r="F872">
        <ns0:f>IFERROR(IF(ISNUMBER($A872),IF(AND(AH!$P$10=1,AH!$P$12=1,$A872=TODAY()),IF(AND(AH!$P$10=1,AH!$P$12=1,$A872=TODAY()),TODAY(),NA()),IF(AH!$P$10=1,INDEX('Live History'!$D$5:$D$3004,MATCH($A872,'Live History'!$D$5:$D$3004,1)),INDEX('AH History'!$E$1:$E$18046,AH!$P$7+867))),NA()),NA())</ns0:f>
        <ns0:v/>
      </ns0:c>
      <ns0:c r="G872">
        <ns0:f>IFERROR(IF(ISNUMBER($A872),IF(AND(AH!$P$10=1,AH!$P$12=1,$A872=TODAY()),IF(AND(AH!$P$10=1,AH!$P$12=1,$A872=TODAY()),TODAY(),NA()),IF(AH!$P$10=1,INDEX('Live History'!$G$5:$G$3004,MATCH($A872,'Live History'!$G$5:$G$3004,1)),INDEX('AH History'!$F$1:$F$18046,AH!$P$7+867))),NA()),NA())</ns0:f>
        <ns0:v/>
      </ns0:c>
      <ns0:c r="H872">
        <ns0:f>IFERROR(IF(AND(AH!$E$4="Bloomberg",AH!$P$10=1,ISNUMBER($A872),$A872&lt;=AH!$P$17),AH!$P$7-1+MATCH($A872,INDEX('AH History'!$A$1:$A$18046,AH!$P$7):INDEX('AH History'!$A$1:$A$18046,AH!$P$7+AH!$P$8-1),0),0),0)</ns0:f>
        <ns0:v/>
      </ns0:c>
      <ns0:c r="I872">
        <ns0:f>IF($H872=0,0,IFERROR(IF(AND(ABS($C872-INDEX('AH History'!$B$1:$B$18046,$H872))&lt;=MAX(0.005,ABS(INDEX('AH History'!$B$1:$B$18046,$H872))*0.00005),ABS($D872-INDEX('AH History'!$C$1:$C$18046,$H872))&lt;=MAX(0.005,ABS(INDEX('AH History'!$C$1:$C$18046,$H872))*0.00005),ABS($E872-INDEX('AH History'!$D$1:$D$18046,$H872))&lt;=0.00005,$F872=INDEX('AH History'!$E$1:$E$18046,$H872),$G872=INDEX('AH History'!$F$1:$F$18046,$H872)),1,-1),-1))</ns0:f>
        <ns0:v/>
      </ns0:c>
    </ns0:row>
    <ns0:row r="873">
      <ns0:c r="A873" s="215">
        <ns0:f>IF(OR(AH!$P$3=0,868+1&gt;AH!$P$11,AND(AH!$E$4&lt;&gt;"Stored",AH!$P$10&lt;&gt;1)),"",IFERROR(IF(AND(AH!$P$21=1,868+1=AH!$P$11),TODAY(),IF(AH!$P$10=1,INDEX('Live History'!$A$5:$A$3004,AH!$P$13+868),INDEX('AH History'!$A$1:$A$18046,AH!$P$7+868))),""))</ns0:f>
        <ns0:v/>
      </ns0:c>
      <ns0:c r="B873" s="219">
        <ns0:f>IFERROR(IF(AND(AH!$P$9&lt;&gt;1,$C873&gt;0,$D873&gt;0,$E873&gt;0,$F873&gt;0,$G873&gt;0,$F873&lt;=$A873,$G873&lt;=$A873,$A873-$F873&lt;=10,$A873-$G873&lt;=5),$D873*$E873/$C873-1,NA()),NA())</ns0:f>
        <ns0:v/>
      </ns0:c>
      <ns0:c r="C873">
        <ns0:f>IFERROR(IF(ISNUMBER($A873),IF(AND(AH!$P$10=1,AH!$P$12=1,$A873=TODAY()),AH!$P$19,IF(AH!$P$10=1,INDEX('Live History'!$B$5:$B$3004,AH!$P$13+868),INDEX('AH History'!$B$1:$B$18046,AH!$P$7+868))),NA()),NA())</ns0:f>
        <ns0:v/>
      </ns0:c>
      <ns0:c r="D873">
        <ns0:f>IFERROR(IF(ISNUMBER($A873),IF(AND(AH!$P$10=1,AH!$P$12=1,$A873=TODAY()),AH!$P$18,IF(AH!$P$10=1,INDEX('Live History'!$E$5:$E$3004,MATCH($A873,'Live History'!$D$5:$D$3004,1)),INDEX('AH History'!$C$1:$C$18046,AH!$P$7+868))),NA()),NA())</ns0:f>
        <ns0:v/>
      </ns0:c>
      <ns0:c r="E873">
        <ns0:f>IFERROR(IF(ISNUMBER($A873),IF(AND(AH!$P$10=1,AH!$P$12=1,$A873=TODAY()),AH!$P$20,IF(AH!$P$10=1,INDEX('Live History'!$H$5:$H$3004,MATCH($A873,'Live History'!$G$5:$G$3004,1)),INDEX('AH History'!$D$1:$D$18046,AH!$P$7+868))),NA()),NA())</ns0:f>
        <ns0:v/>
      </ns0:c>
      <ns0:c r="F873">
        <ns0:f>IFERROR(IF(ISNUMBER($A873),IF(AND(AH!$P$10=1,AH!$P$12=1,$A873=TODAY()),IF(AND(AH!$P$10=1,AH!$P$12=1,$A873=TODAY()),TODAY(),NA()),IF(AH!$P$10=1,INDEX('Live History'!$D$5:$D$3004,MATCH($A873,'Live History'!$D$5:$D$3004,1)),INDEX('AH History'!$E$1:$E$18046,AH!$P$7+868))),NA()),NA())</ns0:f>
        <ns0:v/>
      </ns0:c>
      <ns0:c r="G873">
        <ns0:f>IFERROR(IF(ISNUMBER($A873),IF(AND(AH!$P$10=1,AH!$P$12=1,$A873=TODAY()),IF(AND(AH!$P$10=1,AH!$P$12=1,$A873=TODAY()),TODAY(),NA()),IF(AH!$P$10=1,INDEX('Live History'!$G$5:$G$3004,MATCH($A873,'Live History'!$G$5:$G$3004,1)),INDEX('AH History'!$F$1:$F$18046,AH!$P$7+868))),NA()),NA())</ns0:f>
        <ns0:v/>
      </ns0:c>
      <ns0:c r="H873">
        <ns0:f>IFERROR(IF(AND(AH!$E$4="Bloomberg",AH!$P$10=1,ISNUMBER($A873),$A873&lt;=AH!$P$17),AH!$P$7-1+MATCH($A873,INDEX('AH History'!$A$1:$A$18046,AH!$P$7):INDEX('AH History'!$A$1:$A$18046,AH!$P$7+AH!$P$8-1),0),0),0)</ns0:f>
        <ns0:v/>
      </ns0:c>
      <ns0:c r="I873">
        <ns0:f>IF($H873=0,0,IFERROR(IF(AND(ABS($C873-INDEX('AH History'!$B$1:$B$18046,$H873))&lt;=MAX(0.005,ABS(INDEX('AH History'!$B$1:$B$18046,$H873))*0.00005),ABS($D873-INDEX('AH History'!$C$1:$C$18046,$H873))&lt;=MAX(0.005,ABS(INDEX('AH History'!$C$1:$C$18046,$H873))*0.00005),ABS($E873-INDEX('AH History'!$D$1:$D$18046,$H873))&lt;=0.00005,$F873=INDEX('AH History'!$E$1:$E$18046,$H873),$G873=INDEX('AH History'!$F$1:$F$18046,$H873)),1,-1),-1))</ns0:f>
        <ns0:v/>
      </ns0:c>
    </ns0:row>
    <ns0:row r="874">
      <ns0:c r="A874" s="215">
        <ns0:f>IF(OR(AH!$P$3=0,869+1&gt;AH!$P$11,AND(AH!$E$4&lt;&gt;"Stored",AH!$P$10&lt;&gt;1)),"",IFERROR(IF(AND(AH!$P$21=1,869+1=AH!$P$11),TODAY(),IF(AH!$P$10=1,INDEX('Live History'!$A$5:$A$3004,AH!$P$13+869),INDEX('AH History'!$A$1:$A$18046,AH!$P$7+869))),""))</ns0:f>
        <ns0:v/>
      </ns0:c>
      <ns0:c r="B874" s="219">
        <ns0:f>IFERROR(IF(AND(AH!$P$9&lt;&gt;1,$C874&gt;0,$D874&gt;0,$E874&gt;0,$F874&gt;0,$G874&gt;0,$F874&lt;=$A874,$G874&lt;=$A874,$A874-$F874&lt;=10,$A874-$G874&lt;=5),$D874*$E874/$C874-1,NA()),NA())</ns0:f>
        <ns0:v/>
      </ns0:c>
      <ns0:c r="C874">
        <ns0:f>IFERROR(IF(ISNUMBER($A874),IF(AND(AH!$P$10=1,AH!$P$12=1,$A874=TODAY()),AH!$P$19,IF(AH!$P$10=1,INDEX('Live History'!$B$5:$B$3004,AH!$P$13+869),INDEX('AH History'!$B$1:$B$18046,AH!$P$7+869))),NA()),NA())</ns0:f>
        <ns0:v/>
      </ns0:c>
      <ns0:c r="D874">
        <ns0:f>IFERROR(IF(ISNUMBER($A874),IF(AND(AH!$P$10=1,AH!$P$12=1,$A874=TODAY()),AH!$P$18,IF(AH!$P$10=1,INDEX('Live History'!$E$5:$E$3004,MATCH($A874,'Live History'!$D$5:$D$3004,1)),INDEX('AH History'!$C$1:$C$18046,AH!$P$7+869))),NA()),NA())</ns0:f>
        <ns0:v/>
      </ns0:c>
      <ns0:c r="E874">
        <ns0:f>IFERROR(IF(ISNUMBER($A874),IF(AND(AH!$P$10=1,AH!$P$12=1,$A874=TODAY()),AH!$P$20,IF(AH!$P$10=1,INDEX('Live History'!$H$5:$H$3004,MATCH($A874,'Live History'!$G$5:$G$3004,1)),INDEX('AH History'!$D$1:$D$18046,AH!$P$7+869))),NA()),NA())</ns0:f>
        <ns0:v/>
      </ns0:c>
      <ns0:c r="F874">
        <ns0:f>IFERROR(IF(ISNUMBER($A874),IF(AND(AH!$P$10=1,AH!$P$12=1,$A874=TODAY()),IF(AND(AH!$P$10=1,AH!$P$12=1,$A874=TODAY()),TODAY(),NA()),IF(AH!$P$10=1,INDEX('Live History'!$D$5:$D$3004,MATCH($A874,'Live History'!$D$5:$D$3004,1)),INDEX('AH History'!$E$1:$E$18046,AH!$P$7+869))),NA()),NA())</ns0:f>
        <ns0:v/>
      </ns0:c>
      <ns0:c r="G874">
        <ns0:f>IFERROR(IF(ISNUMBER($A874),IF(AND(AH!$P$10=1,AH!$P$12=1,$A874=TODAY()),IF(AND(AH!$P$10=1,AH!$P$12=1,$A874=TODAY()),TODAY(),NA()),IF(AH!$P$10=1,INDEX('Live History'!$G$5:$G$3004,MATCH($A874,'Live History'!$G$5:$G$3004,1)),INDEX('AH History'!$F$1:$F$18046,AH!$P$7+869))),NA()),NA())</ns0:f>
        <ns0:v/>
      </ns0:c>
      <ns0:c r="H874">
        <ns0:f>IFERROR(IF(AND(AH!$E$4="Bloomberg",AH!$P$10=1,ISNUMBER($A874),$A874&lt;=AH!$P$17),AH!$P$7-1+MATCH($A874,INDEX('AH History'!$A$1:$A$18046,AH!$P$7):INDEX('AH History'!$A$1:$A$18046,AH!$P$7+AH!$P$8-1),0),0),0)</ns0:f>
        <ns0:v/>
      </ns0:c>
      <ns0:c r="I874">
        <ns0:f>IF($H874=0,0,IFERROR(IF(AND(ABS($C874-INDEX('AH History'!$B$1:$B$18046,$H874))&lt;=MAX(0.005,ABS(INDEX('AH History'!$B$1:$B$18046,$H874))*0.00005),ABS($D874-INDEX('AH History'!$C$1:$C$18046,$H874))&lt;=MAX(0.005,ABS(INDEX('AH History'!$C$1:$C$18046,$H874))*0.00005),ABS($E874-INDEX('AH History'!$D$1:$D$18046,$H874))&lt;=0.00005,$F874=INDEX('AH History'!$E$1:$E$18046,$H874),$G874=INDEX('AH History'!$F$1:$F$18046,$H874)),1,-1),-1))</ns0:f>
        <ns0:v/>
      </ns0:c>
    </ns0:row>
    <ns0:row r="875">
      <ns0:c r="A875" s="215">
        <ns0:f>IF(OR(AH!$P$3=0,870+1&gt;AH!$P$11,AND(AH!$E$4&lt;&gt;"Stored",AH!$P$10&lt;&gt;1)),"",IFERROR(IF(AND(AH!$P$21=1,870+1=AH!$P$11),TODAY(),IF(AH!$P$10=1,INDEX('Live History'!$A$5:$A$3004,AH!$P$13+870),INDEX('AH History'!$A$1:$A$18046,AH!$P$7+870))),""))</ns0:f>
        <ns0:v/>
      </ns0:c>
      <ns0:c r="B875" s="219">
        <ns0:f>IFERROR(IF(AND(AH!$P$9&lt;&gt;1,$C875&gt;0,$D875&gt;0,$E875&gt;0,$F875&gt;0,$G875&gt;0,$F875&lt;=$A875,$G875&lt;=$A875,$A875-$F875&lt;=10,$A875-$G875&lt;=5),$D875*$E875/$C875-1,NA()),NA())</ns0:f>
        <ns0:v/>
      </ns0:c>
      <ns0:c r="C875">
        <ns0:f>IFERROR(IF(ISNUMBER($A875),IF(AND(AH!$P$10=1,AH!$P$12=1,$A875=TODAY()),AH!$P$19,IF(AH!$P$10=1,INDEX('Live History'!$B$5:$B$3004,AH!$P$13+870),INDEX('AH History'!$B$1:$B$18046,AH!$P$7+870))),NA()),NA())</ns0:f>
        <ns0:v/>
      </ns0:c>
      <ns0:c r="D875">
        <ns0:f>IFERROR(IF(ISNUMBER($A875),IF(AND(AH!$P$10=1,AH!$P$12=1,$A875=TODAY()),AH!$P$18,IF(AH!$P$10=1,INDEX('Live History'!$E$5:$E$3004,MATCH($A875,'Live History'!$D$5:$D$3004,1)),INDEX('AH History'!$C$1:$C$18046,AH!$P$7+870))),NA()),NA())</ns0:f>
        <ns0:v/>
      </ns0:c>
      <ns0:c r="E875">
        <ns0:f>IFERROR(IF(ISNUMBER($A875),IF(AND(AH!$P$10=1,AH!$P$12=1,$A875=TODAY()),AH!$P$20,IF(AH!$P$10=1,INDEX('Live History'!$H$5:$H$3004,MATCH($A875,'Live History'!$G$5:$G$3004,1)),INDEX('AH History'!$D$1:$D$18046,AH!$P$7+870))),NA()),NA())</ns0:f>
        <ns0:v/>
      </ns0:c>
      <ns0:c r="F875">
        <ns0:f>IFERROR(IF(ISNUMBER($A875),IF(AND(AH!$P$10=1,AH!$P$12=1,$A875=TODAY()),IF(AND(AH!$P$10=1,AH!$P$12=1,$A875=TODAY()),TODAY(),NA()),IF(AH!$P$10=1,INDEX('Live History'!$D$5:$D$3004,MATCH($A875,'Live History'!$D$5:$D$3004,1)),INDEX('AH History'!$E$1:$E$18046,AH!$P$7+870))),NA()),NA())</ns0:f>
        <ns0:v/>
      </ns0:c>
      <ns0:c r="G875">
        <ns0:f>IFERROR(IF(ISNUMBER($A875),IF(AND(AH!$P$10=1,AH!$P$12=1,$A875=TODAY()),IF(AND(AH!$P$10=1,AH!$P$12=1,$A875=TODAY()),TODAY(),NA()),IF(AH!$P$10=1,INDEX('Live History'!$G$5:$G$3004,MATCH($A875,'Live History'!$G$5:$G$3004,1)),INDEX('AH History'!$F$1:$F$18046,AH!$P$7+870))),NA()),NA())</ns0:f>
        <ns0:v/>
      </ns0:c>
      <ns0:c r="H875">
        <ns0:f>IFERROR(IF(AND(AH!$E$4="Bloomberg",AH!$P$10=1,ISNUMBER($A875),$A875&lt;=AH!$P$17),AH!$P$7-1+MATCH($A875,INDEX('AH History'!$A$1:$A$18046,AH!$P$7):INDEX('AH History'!$A$1:$A$18046,AH!$P$7+AH!$P$8-1),0),0),0)</ns0:f>
        <ns0:v/>
      </ns0:c>
      <ns0:c r="I875">
        <ns0:f>IF($H875=0,0,IFERROR(IF(AND(ABS($C875-INDEX('AH History'!$B$1:$B$18046,$H875))&lt;=MAX(0.005,ABS(INDEX('AH History'!$B$1:$B$18046,$H875))*0.00005),ABS($D875-INDEX('AH History'!$C$1:$C$18046,$H875))&lt;=MAX(0.005,ABS(INDEX('AH History'!$C$1:$C$18046,$H875))*0.00005),ABS($E875-INDEX('AH History'!$D$1:$D$18046,$H875))&lt;=0.00005,$F875=INDEX('AH History'!$E$1:$E$18046,$H875),$G875=INDEX('AH History'!$F$1:$F$18046,$H875)),1,-1),-1))</ns0:f>
        <ns0:v/>
      </ns0:c>
    </ns0:row>
    <ns0:row r="876">
      <ns0:c r="A876" s="215">
        <ns0:f>IF(OR(AH!$P$3=0,871+1&gt;AH!$P$11,AND(AH!$E$4&lt;&gt;"Stored",AH!$P$10&lt;&gt;1)),"",IFERROR(IF(AND(AH!$P$21=1,871+1=AH!$P$11),TODAY(),IF(AH!$P$10=1,INDEX('Live History'!$A$5:$A$3004,AH!$P$13+871),INDEX('AH History'!$A$1:$A$18046,AH!$P$7+871))),""))</ns0:f>
        <ns0:v/>
      </ns0:c>
      <ns0:c r="B876" s="219">
        <ns0:f>IFERROR(IF(AND(AH!$P$9&lt;&gt;1,$C876&gt;0,$D876&gt;0,$E876&gt;0,$F876&gt;0,$G876&gt;0,$F876&lt;=$A876,$G876&lt;=$A876,$A876-$F876&lt;=10,$A876-$G876&lt;=5),$D876*$E876/$C876-1,NA()),NA())</ns0:f>
        <ns0:v/>
      </ns0:c>
      <ns0:c r="C876">
        <ns0:f>IFERROR(IF(ISNUMBER($A876),IF(AND(AH!$P$10=1,AH!$P$12=1,$A876=TODAY()),AH!$P$19,IF(AH!$P$10=1,INDEX('Live History'!$B$5:$B$3004,AH!$P$13+871),INDEX('AH History'!$B$1:$B$18046,AH!$P$7+871))),NA()),NA())</ns0:f>
        <ns0:v/>
      </ns0:c>
      <ns0:c r="D876">
        <ns0:f>IFERROR(IF(ISNUMBER($A876),IF(AND(AH!$P$10=1,AH!$P$12=1,$A876=TODAY()),AH!$P$18,IF(AH!$P$10=1,INDEX('Live History'!$E$5:$E$3004,MATCH($A876,'Live History'!$D$5:$D$3004,1)),INDEX('AH History'!$C$1:$C$18046,AH!$P$7+871))),NA()),NA())</ns0:f>
        <ns0:v/>
      </ns0:c>
      <ns0:c r="E876">
        <ns0:f>IFERROR(IF(ISNUMBER($A876),IF(AND(AH!$P$10=1,AH!$P$12=1,$A876=TODAY()),AH!$P$20,IF(AH!$P$10=1,INDEX('Live History'!$H$5:$H$3004,MATCH($A876,'Live History'!$G$5:$G$3004,1)),INDEX('AH History'!$D$1:$D$18046,AH!$P$7+871))),NA()),NA())</ns0:f>
        <ns0:v/>
      </ns0:c>
      <ns0:c r="F876">
        <ns0:f>IFERROR(IF(ISNUMBER($A876),IF(AND(AH!$P$10=1,AH!$P$12=1,$A876=TODAY()),IF(AND(AH!$P$10=1,AH!$P$12=1,$A876=TODAY()),TODAY(),NA()),IF(AH!$P$10=1,INDEX('Live History'!$D$5:$D$3004,MATCH($A876,'Live History'!$D$5:$D$3004,1)),INDEX('AH History'!$E$1:$E$18046,AH!$P$7+871))),NA()),NA())</ns0:f>
        <ns0:v/>
      </ns0:c>
      <ns0:c r="G876">
        <ns0:f>IFERROR(IF(ISNUMBER($A876),IF(AND(AH!$P$10=1,AH!$P$12=1,$A876=TODAY()),IF(AND(AH!$P$10=1,AH!$P$12=1,$A876=TODAY()),TODAY(),NA()),IF(AH!$P$10=1,INDEX('Live History'!$G$5:$G$3004,MATCH($A876,'Live History'!$G$5:$G$3004,1)),INDEX('AH History'!$F$1:$F$18046,AH!$P$7+871))),NA()),NA())</ns0:f>
        <ns0:v/>
      </ns0:c>
      <ns0:c r="H876">
        <ns0:f>IFERROR(IF(AND(AH!$E$4="Bloomberg",AH!$P$10=1,ISNUMBER($A876),$A876&lt;=AH!$P$17),AH!$P$7-1+MATCH($A876,INDEX('AH History'!$A$1:$A$18046,AH!$P$7):INDEX('AH History'!$A$1:$A$18046,AH!$P$7+AH!$P$8-1),0),0),0)</ns0:f>
        <ns0:v/>
      </ns0:c>
      <ns0:c r="I876">
        <ns0:f>IF($H876=0,0,IFERROR(IF(AND(ABS($C876-INDEX('AH History'!$B$1:$B$18046,$H876))&lt;=MAX(0.005,ABS(INDEX('AH History'!$B$1:$B$18046,$H876))*0.00005),ABS($D876-INDEX('AH History'!$C$1:$C$18046,$H876))&lt;=MAX(0.005,ABS(INDEX('AH History'!$C$1:$C$18046,$H876))*0.00005),ABS($E876-INDEX('AH History'!$D$1:$D$18046,$H876))&lt;=0.00005,$F876=INDEX('AH History'!$E$1:$E$18046,$H876),$G876=INDEX('AH History'!$F$1:$F$18046,$H876)),1,-1),-1))</ns0:f>
        <ns0:v/>
      </ns0:c>
    </ns0:row>
    <ns0:row r="877">
      <ns0:c r="A877" s="215">
        <ns0:f>IF(OR(AH!$P$3=0,872+1&gt;AH!$P$11,AND(AH!$E$4&lt;&gt;"Stored",AH!$P$10&lt;&gt;1)),"",IFERROR(IF(AND(AH!$P$21=1,872+1=AH!$P$11),TODAY(),IF(AH!$P$10=1,INDEX('Live History'!$A$5:$A$3004,AH!$P$13+872),INDEX('AH History'!$A$1:$A$18046,AH!$P$7+872))),""))</ns0:f>
        <ns0:v/>
      </ns0:c>
      <ns0:c r="B877" s="219">
        <ns0:f>IFERROR(IF(AND(AH!$P$9&lt;&gt;1,$C877&gt;0,$D877&gt;0,$E877&gt;0,$F877&gt;0,$G877&gt;0,$F877&lt;=$A877,$G877&lt;=$A877,$A877-$F877&lt;=10,$A877-$G877&lt;=5),$D877*$E877/$C877-1,NA()),NA())</ns0:f>
        <ns0:v/>
      </ns0:c>
      <ns0:c r="C877">
        <ns0:f>IFERROR(IF(ISNUMBER($A877),IF(AND(AH!$P$10=1,AH!$P$12=1,$A877=TODAY()),AH!$P$19,IF(AH!$P$10=1,INDEX('Live History'!$B$5:$B$3004,AH!$P$13+872),INDEX('AH History'!$B$1:$B$18046,AH!$P$7+872))),NA()),NA())</ns0:f>
        <ns0:v/>
      </ns0:c>
      <ns0:c r="D877">
        <ns0:f>IFERROR(IF(ISNUMBER($A877),IF(AND(AH!$P$10=1,AH!$P$12=1,$A877=TODAY()),AH!$P$18,IF(AH!$P$10=1,INDEX('Live History'!$E$5:$E$3004,MATCH($A877,'Live History'!$D$5:$D$3004,1)),INDEX('AH History'!$C$1:$C$18046,AH!$P$7+872))),NA()),NA())</ns0:f>
        <ns0:v/>
      </ns0:c>
      <ns0:c r="E877">
        <ns0:f>IFERROR(IF(ISNUMBER($A877),IF(AND(AH!$P$10=1,AH!$P$12=1,$A877=TODAY()),AH!$P$20,IF(AH!$P$10=1,INDEX('Live History'!$H$5:$H$3004,MATCH($A877,'Live History'!$G$5:$G$3004,1)),INDEX('AH History'!$D$1:$D$18046,AH!$P$7+872))),NA()),NA())</ns0:f>
        <ns0:v/>
      </ns0:c>
      <ns0:c r="F877">
        <ns0:f>IFERROR(IF(ISNUMBER($A877),IF(AND(AH!$P$10=1,AH!$P$12=1,$A877=TODAY()),IF(AND(AH!$P$10=1,AH!$P$12=1,$A877=TODAY()),TODAY(),NA()),IF(AH!$P$10=1,INDEX('Live History'!$D$5:$D$3004,MATCH($A877,'Live History'!$D$5:$D$3004,1)),INDEX('AH History'!$E$1:$E$18046,AH!$P$7+872))),NA()),NA())</ns0:f>
        <ns0:v/>
      </ns0:c>
      <ns0:c r="G877">
        <ns0:f>IFERROR(IF(ISNUMBER($A877),IF(AND(AH!$P$10=1,AH!$P$12=1,$A877=TODAY()),IF(AND(AH!$P$10=1,AH!$P$12=1,$A877=TODAY()),TODAY(),NA()),IF(AH!$P$10=1,INDEX('Live History'!$G$5:$G$3004,MATCH($A877,'Live History'!$G$5:$G$3004,1)),INDEX('AH History'!$F$1:$F$18046,AH!$P$7+872))),NA()),NA())</ns0:f>
        <ns0:v/>
      </ns0:c>
      <ns0:c r="H877">
        <ns0:f>IFERROR(IF(AND(AH!$E$4="Bloomberg",AH!$P$10=1,ISNUMBER($A877),$A877&lt;=AH!$P$17),AH!$P$7-1+MATCH($A877,INDEX('AH History'!$A$1:$A$18046,AH!$P$7):INDEX('AH History'!$A$1:$A$18046,AH!$P$7+AH!$P$8-1),0),0),0)</ns0:f>
        <ns0:v/>
      </ns0:c>
      <ns0:c r="I877">
        <ns0:f>IF($H877=0,0,IFERROR(IF(AND(ABS($C877-INDEX('AH History'!$B$1:$B$18046,$H877))&lt;=MAX(0.005,ABS(INDEX('AH History'!$B$1:$B$18046,$H877))*0.00005),ABS($D877-INDEX('AH History'!$C$1:$C$18046,$H877))&lt;=MAX(0.005,ABS(INDEX('AH History'!$C$1:$C$18046,$H877))*0.00005),ABS($E877-INDEX('AH History'!$D$1:$D$18046,$H877))&lt;=0.00005,$F877=INDEX('AH History'!$E$1:$E$18046,$H877),$G877=INDEX('AH History'!$F$1:$F$18046,$H877)),1,-1),-1))</ns0:f>
        <ns0:v/>
      </ns0:c>
    </ns0:row>
    <ns0:row r="878">
      <ns0:c r="A878" s="215">
        <ns0:f>IF(OR(AH!$P$3=0,873+1&gt;AH!$P$11,AND(AH!$E$4&lt;&gt;"Stored",AH!$P$10&lt;&gt;1)),"",IFERROR(IF(AND(AH!$P$21=1,873+1=AH!$P$11),TODAY(),IF(AH!$P$10=1,INDEX('Live History'!$A$5:$A$3004,AH!$P$13+873),INDEX('AH History'!$A$1:$A$18046,AH!$P$7+873))),""))</ns0:f>
        <ns0:v/>
      </ns0:c>
      <ns0:c r="B878" s="219">
        <ns0:f>IFERROR(IF(AND(AH!$P$9&lt;&gt;1,$C878&gt;0,$D878&gt;0,$E878&gt;0,$F878&gt;0,$G878&gt;0,$F878&lt;=$A878,$G878&lt;=$A878,$A878-$F878&lt;=10,$A878-$G878&lt;=5),$D878*$E878/$C878-1,NA()),NA())</ns0:f>
        <ns0:v/>
      </ns0:c>
      <ns0:c r="C878">
        <ns0:f>IFERROR(IF(ISNUMBER($A878),IF(AND(AH!$P$10=1,AH!$P$12=1,$A878=TODAY()),AH!$P$19,IF(AH!$P$10=1,INDEX('Live History'!$B$5:$B$3004,AH!$P$13+873),INDEX('AH History'!$B$1:$B$18046,AH!$P$7+873))),NA()),NA())</ns0:f>
        <ns0:v/>
      </ns0:c>
      <ns0:c r="D878">
        <ns0:f>IFERROR(IF(ISNUMBER($A878),IF(AND(AH!$P$10=1,AH!$P$12=1,$A878=TODAY()),AH!$P$18,IF(AH!$P$10=1,INDEX('Live History'!$E$5:$E$3004,MATCH($A878,'Live History'!$D$5:$D$3004,1)),INDEX('AH History'!$C$1:$C$18046,AH!$P$7+873))),NA()),NA())</ns0:f>
        <ns0:v/>
      </ns0:c>
      <ns0:c r="E878">
        <ns0:f>IFERROR(IF(ISNUMBER($A878),IF(AND(AH!$P$10=1,AH!$P$12=1,$A878=TODAY()),AH!$P$20,IF(AH!$P$10=1,INDEX('Live History'!$H$5:$H$3004,MATCH($A878,'Live History'!$G$5:$G$3004,1)),INDEX('AH History'!$D$1:$D$18046,AH!$P$7+873))),NA()),NA())</ns0:f>
        <ns0:v/>
      </ns0:c>
      <ns0:c r="F878">
        <ns0:f>IFERROR(IF(ISNUMBER($A878),IF(AND(AH!$P$10=1,AH!$P$12=1,$A878=TODAY()),IF(AND(AH!$P$10=1,AH!$P$12=1,$A878=TODAY()),TODAY(),NA()),IF(AH!$P$10=1,INDEX('Live History'!$D$5:$D$3004,MATCH($A878,'Live History'!$D$5:$D$3004,1)),INDEX('AH History'!$E$1:$E$18046,AH!$P$7+873))),NA()),NA())</ns0:f>
        <ns0:v/>
      </ns0:c>
      <ns0:c r="G878">
        <ns0:f>IFERROR(IF(ISNUMBER($A878),IF(AND(AH!$P$10=1,AH!$P$12=1,$A878=TODAY()),IF(AND(AH!$P$10=1,AH!$P$12=1,$A878=TODAY()),TODAY(),NA()),IF(AH!$P$10=1,INDEX('Live History'!$G$5:$G$3004,MATCH($A878,'Live History'!$G$5:$G$3004,1)),INDEX('AH History'!$F$1:$F$18046,AH!$P$7+873))),NA()),NA())</ns0:f>
        <ns0:v/>
      </ns0:c>
      <ns0:c r="H878">
        <ns0:f>IFERROR(IF(AND(AH!$E$4="Bloomberg",AH!$P$10=1,ISNUMBER($A878),$A878&lt;=AH!$P$17),AH!$P$7-1+MATCH($A878,INDEX('AH History'!$A$1:$A$18046,AH!$P$7):INDEX('AH History'!$A$1:$A$18046,AH!$P$7+AH!$P$8-1),0),0),0)</ns0:f>
        <ns0:v/>
      </ns0:c>
      <ns0:c r="I878">
        <ns0:f>IF($H878=0,0,IFERROR(IF(AND(ABS($C878-INDEX('AH History'!$B$1:$B$18046,$H878))&lt;=MAX(0.005,ABS(INDEX('AH History'!$B$1:$B$18046,$H878))*0.00005),ABS($D878-INDEX('AH History'!$C$1:$C$18046,$H878))&lt;=MAX(0.005,ABS(INDEX('AH History'!$C$1:$C$18046,$H878))*0.00005),ABS($E878-INDEX('AH History'!$D$1:$D$18046,$H878))&lt;=0.00005,$F878=INDEX('AH History'!$E$1:$E$18046,$H878),$G878=INDEX('AH History'!$F$1:$F$18046,$H878)),1,-1),-1))</ns0:f>
        <ns0:v/>
      </ns0:c>
    </ns0:row>
    <ns0:row r="879">
      <ns0:c r="A879" s="215">
        <ns0:f>IF(OR(AH!$P$3=0,874+1&gt;AH!$P$11,AND(AH!$E$4&lt;&gt;"Stored",AH!$P$10&lt;&gt;1)),"",IFERROR(IF(AND(AH!$P$21=1,874+1=AH!$P$11),TODAY(),IF(AH!$P$10=1,INDEX('Live History'!$A$5:$A$3004,AH!$P$13+874),INDEX('AH History'!$A$1:$A$18046,AH!$P$7+874))),""))</ns0:f>
        <ns0:v/>
      </ns0:c>
      <ns0:c r="B879" s="219">
        <ns0:f>IFERROR(IF(AND(AH!$P$9&lt;&gt;1,$C879&gt;0,$D879&gt;0,$E879&gt;0,$F879&gt;0,$G879&gt;0,$F879&lt;=$A879,$G879&lt;=$A879,$A879-$F879&lt;=10,$A879-$G879&lt;=5),$D879*$E879/$C879-1,NA()),NA())</ns0:f>
        <ns0:v/>
      </ns0:c>
      <ns0:c r="C879">
        <ns0:f>IFERROR(IF(ISNUMBER($A879),IF(AND(AH!$P$10=1,AH!$P$12=1,$A879=TODAY()),AH!$P$19,IF(AH!$P$10=1,INDEX('Live History'!$B$5:$B$3004,AH!$P$13+874),INDEX('AH History'!$B$1:$B$18046,AH!$P$7+874))),NA()),NA())</ns0:f>
        <ns0:v/>
      </ns0:c>
      <ns0:c r="D879">
        <ns0:f>IFERROR(IF(ISNUMBER($A879),IF(AND(AH!$P$10=1,AH!$P$12=1,$A879=TODAY()),AH!$P$18,IF(AH!$P$10=1,INDEX('Live History'!$E$5:$E$3004,MATCH($A879,'Live History'!$D$5:$D$3004,1)),INDEX('AH History'!$C$1:$C$18046,AH!$P$7+874))),NA()),NA())</ns0:f>
        <ns0:v/>
      </ns0:c>
      <ns0:c r="E879">
        <ns0:f>IFERROR(IF(ISNUMBER($A879),IF(AND(AH!$P$10=1,AH!$P$12=1,$A879=TODAY()),AH!$P$20,IF(AH!$P$10=1,INDEX('Live History'!$H$5:$H$3004,MATCH($A879,'Live History'!$G$5:$G$3004,1)),INDEX('AH History'!$D$1:$D$18046,AH!$P$7+874))),NA()),NA())</ns0:f>
        <ns0:v/>
      </ns0:c>
      <ns0:c r="F879">
        <ns0:f>IFERROR(IF(ISNUMBER($A879),IF(AND(AH!$P$10=1,AH!$P$12=1,$A879=TODAY()),IF(AND(AH!$P$10=1,AH!$P$12=1,$A879=TODAY()),TODAY(),NA()),IF(AH!$P$10=1,INDEX('Live History'!$D$5:$D$3004,MATCH($A879,'Live History'!$D$5:$D$3004,1)),INDEX('AH History'!$E$1:$E$18046,AH!$P$7+874))),NA()),NA())</ns0:f>
        <ns0:v/>
      </ns0:c>
      <ns0:c r="G879">
        <ns0:f>IFERROR(IF(ISNUMBER($A879),IF(AND(AH!$P$10=1,AH!$P$12=1,$A879=TODAY()),IF(AND(AH!$P$10=1,AH!$P$12=1,$A879=TODAY()),TODAY(),NA()),IF(AH!$P$10=1,INDEX('Live History'!$G$5:$G$3004,MATCH($A879,'Live History'!$G$5:$G$3004,1)),INDEX('AH History'!$F$1:$F$18046,AH!$P$7+874))),NA()),NA())</ns0:f>
        <ns0:v/>
      </ns0:c>
      <ns0:c r="H879">
        <ns0:f>IFERROR(IF(AND(AH!$E$4="Bloomberg",AH!$P$10=1,ISNUMBER($A879),$A879&lt;=AH!$P$17),AH!$P$7-1+MATCH($A879,INDEX('AH History'!$A$1:$A$18046,AH!$P$7):INDEX('AH History'!$A$1:$A$18046,AH!$P$7+AH!$P$8-1),0),0),0)</ns0:f>
        <ns0:v/>
      </ns0:c>
      <ns0:c r="I879">
        <ns0:f>IF($H879=0,0,IFERROR(IF(AND(ABS($C879-INDEX('AH History'!$B$1:$B$18046,$H879))&lt;=MAX(0.005,ABS(INDEX('AH History'!$B$1:$B$18046,$H879))*0.00005),ABS($D879-INDEX('AH History'!$C$1:$C$18046,$H879))&lt;=MAX(0.005,ABS(INDEX('AH History'!$C$1:$C$18046,$H879))*0.00005),ABS($E879-INDEX('AH History'!$D$1:$D$18046,$H879))&lt;=0.00005,$F879=INDEX('AH History'!$E$1:$E$18046,$H879),$G879=INDEX('AH History'!$F$1:$F$18046,$H879)),1,-1),-1))</ns0:f>
        <ns0:v/>
      </ns0:c>
    </ns0:row>
    <ns0:row r="880">
      <ns0:c r="A880" s="215">
        <ns0:f>IF(OR(AH!$P$3=0,875+1&gt;AH!$P$11,AND(AH!$E$4&lt;&gt;"Stored",AH!$P$10&lt;&gt;1)),"",IFERROR(IF(AND(AH!$P$21=1,875+1=AH!$P$11),TODAY(),IF(AH!$P$10=1,INDEX('Live History'!$A$5:$A$3004,AH!$P$13+875),INDEX('AH History'!$A$1:$A$18046,AH!$P$7+875))),""))</ns0:f>
        <ns0:v/>
      </ns0:c>
      <ns0:c r="B880" s="219">
        <ns0:f>IFERROR(IF(AND(AH!$P$9&lt;&gt;1,$C880&gt;0,$D880&gt;0,$E880&gt;0,$F880&gt;0,$G880&gt;0,$F880&lt;=$A880,$G880&lt;=$A880,$A880-$F880&lt;=10,$A880-$G880&lt;=5),$D880*$E880/$C880-1,NA()),NA())</ns0:f>
        <ns0:v/>
      </ns0:c>
      <ns0:c r="C880">
        <ns0:f>IFERROR(IF(ISNUMBER($A880),IF(AND(AH!$P$10=1,AH!$P$12=1,$A880=TODAY()),AH!$P$19,IF(AH!$P$10=1,INDEX('Live History'!$B$5:$B$3004,AH!$P$13+875),INDEX('AH History'!$B$1:$B$18046,AH!$P$7+875))),NA()),NA())</ns0:f>
        <ns0:v/>
      </ns0:c>
      <ns0:c r="D880">
        <ns0:f>IFERROR(IF(ISNUMBER($A880),IF(AND(AH!$P$10=1,AH!$P$12=1,$A880=TODAY()),AH!$P$18,IF(AH!$P$10=1,INDEX('Live History'!$E$5:$E$3004,MATCH($A880,'Live History'!$D$5:$D$3004,1)),INDEX('AH History'!$C$1:$C$18046,AH!$P$7+875))),NA()),NA())</ns0:f>
        <ns0:v/>
      </ns0:c>
      <ns0:c r="E880">
        <ns0:f>IFERROR(IF(ISNUMBER($A880),IF(AND(AH!$P$10=1,AH!$P$12=1,$A880=TODAY()),AH!$P$20,IF(AH!$P$10=1,INDEX('Live History'!$H$5:$H$3004,MATCH($A880,'Live History'!$G$5:$G$3004,1)),INDEX('AH History'!$D$1:$D$18046,AH!$P$7+875))),NA()),NA())</ns0:f>
        <ns0:v/>
      </ns0:c>
      <ns0:c r="F880">
        <ns0:f>IFERROR(IF(ISNUMBER($A880),IF(AND(AH!$P$10=1,AH!$P$12=1,$A880=TODAY()),IF(AND(AH!$P$10=1,AH!$P$12=1,$A880=TODAY()),TODAY(),NA()),IF(AH!$P$10=1,INDEX('Live History'!$D$5:$D$3004,MATCH($A880,'Live History'!$D$5:$D$3004,1)),INDEX('AH History'!$E$1:$E$18046,AH!$P$7+875))),NA()),NA())</ns0:f>
        <ns0:v/>
      </ns0:c>
      <ns0:c r="G880">
        <ns0:f>IFERROR(IF(ISNUMBER($A880),IF(AND(AH!$P$10=1,AH!$P$12=1,$A880=TODAY()),IF(AND(AH!$P$10=1,AH!$P$12=1,$A880=TODAY()),TODAY(),NA()),IF(AH!$P$10=1,INDEX('Live History'!$G$5:$G$3004,MATCH($A880,'Live History'!$G$5:$G$3004,1)),INDEX('AH History'!$F$1:$F$18046,AH!$P$7+875))),NA()),NA())</ns0:f>
        <ns0:v/>
      </ns0:c>
      <ns0:c r="H880">
        <ns0:f>IFERROR(IF(AND(AH!$E$4="Bloomberg",AH!$P$10=1,ISNUMBER($A880),$A880&lt;=AH!$P$17),AH!$P$7-1+MATCH($A880,INDEX('AH History'!$A$1:$A$18046,AH!$P$7):INDEX('AH History'!$A$1:$A$18046,AH!$P$7+AH!$P$8-1),0),0),0)</ns0:f>
        <ns0:v/>
      </ns0:c>
      <ns0:c r="I880">
        <ns0:f>IF($H880=0,0,IFERROR(IF(AND(ABS($C880-INDEX('AH History'!$B$1:$B$18046,$H880))&lt;=MAX(0.005,ABS(INDEX('AH History'!$B$1:$B$18046,$H880))*0.00005),ABS($D880-INDEX('AH History'!$C$1:$C$18046,$H880))&lt;=MAX(0.005,ABS(INDEX('AH History'!$C$1:$C$18046,$H880))*0.00005),ABS($E880-INDEX('AH History'!$D$1:$D$18046,$H880))&lt;=0.00005,$F880=INDEX('AH History'!$E$1:$E$18046,$H880),$G880=INDEX('AH History'!$F$1:$F$18046,$H880)),1,-1),-1))</ns0:f>
        <ns0:v/>
      </ns0:c>
    </ns0:row>
    <ns0:row r="881">
      <ns0:c r="A881" s="215">
        <ns0:f>IF(OR(AH!$P$3=0,876+1&gt;AH!$P$11,AND(AH!$E$4&lt;&gt;"Stored",AH!$P$10&lt;&gt;1)),"",IFERROR(IF(AND(AH!$P$21=1,876+1=AH!$P$11),TODAY(),IF(AH!$P$10=1,INDEX('Live History'!$A$5:$A$3004,AH!$P$13+876),INDEX('AH History'!$A$1:$A$18046,AH!$P$7+876))),""))</ns0:f>
        <ns0:v/>
      </ns0:c>
      <ns0:c r="B881" s="219">
        <ns0:f>IFERROR(IF(AND(AH!$P$9&lt;&gt;1,$C881&gt;0,$D881&gt;0,$E881&gt;0,$F881&gt;0,$G881&gt;0,$F881&lt;=$A881,$G881&lt;=$A881,$A881-$F881&lt;=10,$A881-$G881&lt;=5),$D881*$E881/$C881-1,NA()),NA())</ns0:f>
        <ns0:v/>
      </ns0:c>
      <ns0:c r="C881">
        <ns0:f>IFERROR(IF(ISNUMBER($A881),IF(AND(AH!$P$10=1,AH!$P$12=1,$A881=TODAY()),AH!$P$19,IF(AH!$P$10=1,INDEX('Live History'!$B$5:$B$3004,AH!$P$13+876),INDEX('AH History'!$B$1:$B$18046,AH!$P$7+876))),NA()),NA())</ns0:f>
        <ns0:v/>
      </ns0:c>
      <ns0:c r="D881">
        <ns0:f>IFERROR(IF(ISNUMBER($A881),IF(AND(AH!$P$10=1,AH!$P$12=1,$A881=TODAY()),AH!$P$18,IF(AH!$P$10=1,INDEX('Live History'!$E$5:$E$3004,MATCH($A881,'Live History'!$D$5:$D$3004,1)),INDEX('AH History'!$C$1:$C$18046,AH!$P$7+876))),NA()),NA())</ns0:f>
        <ns0:v/>
      </ns0:c>
      <ns0:c r="E881">
        <ns0:f>IFERROR(IF(ISNUMBER($A881),IF(AND(AH!$P$10=1,AH!$P$12=1,$A881=TODAY()),AH!$P$20,IF(AH!$P$10=1,INDEX('Live History'!$H$5:$H$3004,MATCH($A881,'Live History'!$G$5:$G$3004,1)),INDEX('AH History'!$D$1:$D$18046,AH!$P$7+876))),NA()),NA())</ns0:f>
        <ns0:v/>
      </ns0:c>
      <ns0:c r="F881">
        <ns0:f>IFERROR(IF(ISNUMBER($A881),IF(AND(AH!$P$10=1,AH!$P$12=1,$A881=TODAY()),IF(AND(AH!$P$10=1,AH!$P$12=1,$A881=TODAY()),TODAY(),NA()),IF(AH!$P$10=1,INDEX('Live History'!$D$5:$D$3004,MATCH($A881,'Live History'!$D$5:$D$3004,1)),INDEX('AH History'!$E$1:$E$18046,AH!$P$7+876))),NA()),NA())</ns0:f>
        <ns0:v/>
      </ns0:c>
      <ns0:c r="G881">
        <ns0:f>IFERROR(IF(ISNUMBER($A881),IF(AND(AH!$P$10=1,AH!$P$12=1,$A881=TODAY()),IF(AND(AH!$P$10=1,AH!$P$12=1,$A881=TODAY()),TODAY(),NA()),IF(AH!$P$10=1,INDEX('Live History'!$G$5:$G$3004,MATCH($A881,'Live History'!$G$5:$G$3004,1)),INDEX('AH History'!$F$1:$F$18046,AH!$P$7+876))),NA()),NA())</ns0:f>
        <ns0:v/>
      </ns0:c>
      <ns0:c r="H881">
        <ns0:f>IFERROR(IF(AND(AH!$E$4="Bloomberg",AH!$P$10=1,ISNUMBER($A881),$A881&lt;=AH!$P$17),AH!$P$7-1+MATCH($A881,INDEX('AH History'!$A$1:$A$18046,AH!$P$7):INDEX('AH History'!$A$1:$A$18046,AH!$P$7+AH!$P$8-1),0),0),0)</ns0:f>
        <ns0:v/>
      </ns0:c>
      <ns0:c r="I881">
        <ns0:f>IF($H881=0,0,IFERROR(IF(AND(ABS($C881-INDEX('AH History'!$B$1:$B$18046,$H881))&lt;=MAX(0.005,ABS(INDEX('AH History'!$B$1:$B$18046,$H881))*0.00005),ABS($D881-INDEX('AH History'!$C$1:$C$18046,$H881))&lt;=MAX(0.005,ABS(INDEX('AH History'!$C$1:$C$18046,$H881))*0.00005),ABS($E881-INDEX('AH History'!$D$1:$D$18046,$H881))&lt;=0.00005,$F881=INDEX('AH History'!$E$1:$E$18046,$H881),$G881=INDEX('AH History'!$F$1:$F$18046,$H881)),1,-1),-1))</ns0:f>
        <ns0:v/>
      </ns0:c>
    </ns0:row>
    <ns0:row r="882">
      <ns0:c r="A882" s="215">
        <ns0:f>IF(OR(AH!$P$3=0,877+1&gt;AH!$P$11,AND(AH!$E$4&lt;&gt;"Stored",AH!$P$10&lt;&gt;1)),"",IFERROR(IF(AND(AH!$P$21=1,877+1=AH!$P$11),TODAY(),IF(AH!$P$10=1,INDEX('Live History'!$A$5:$A$3004,AH!$P$13+877),INDEX('AH History'!$A$1:$A$18046,AH!$P$7+877))),""))</ns0:f>
        <ns0:v/>
      </ns0:c>
      <ns0:c r="B882" s="219">
        <ns0:f>IFERROR(IF(AND(AH!$P$9&lt;&gt;1,$C882&gt;0,$D882&gt;0,$E882&gt;0,$F882&gt;0,$G882&gt;0,$F882&lt;=$A882,$G882&lt;=$A882,$A882-$F882&lt;=10,$A882-$G882&lt;=5),$D882*$E882/$C882-1,NA()),NA())</ns0:f>
        <ns0:v/>
      </ns0:c>
      <ns0:c r="C882">
        <ns0:f>IFERROR(IF(ISNUMBER($A882),IF(AND(AH!$P$10=1,AH!$P$12=1,$A882=TODAY()),AH!$P$19,IF(AH!$P$10=1,INDEX('Live History'!$B$5:$B$3004,AH!$P$13+877),INDEX('AH History'!$B$1:$B$18046,AH!$P$7+877))),NA()),NA())</ns0:f>
        <ns0:v/>
      </ns0:c>
      <ns0:c r="D882">
        <ns0:f>IFERROR(IF(ISNUMBER($A882),IF(AND(AH!$P$10=1,AH!$P$12=1,$A882=TODAY()),AH!$P$18,IF(AH!$P$10=1,INDEX('Live History'!$E$5:$E$3004,MATCH($A882,'Live History'!$D$5:$D$3004,1)),INDEX('AH History'!$C$1:$C$18046,AH!$P$7+877))),NA()),NA())</ns0:f>
        <ns0:v/>
      </ns0:c>
      <ns0:c r="E882">
        <ns0:f>IFERROR(IF(ISNUMBER($A882),IF(AND(AH!$P$10=1,AH!$P$12=1,$A882=TODAY()),AH!$P$20,IF(AH!$P$10=1,INDEX('Live History'!$H$5:$H$3004,MATCH($A882,'Live History'!$G$5:$G$3004,1)),INDEX('AH History'!$D$1:$D$18046,AH!$P$7+877))),NA()),NA())</ns0:f>
        <ns0:v/>
      </ns0:c>
      <ns0:c r="F882">
        <ns0:f>IFERROR(IF(ISNUMBER($A882),IF(AND(AH!$P$10=1,AH!$P$12=1,$A882=TODAY()),IF(AND(AH!$P$10=1,AH!$P$12=1,$A882=TODAY()),TODAY(),NA()),IF(AH!$P$10=1,INDEX('Live History'!$D$5:$D$3004,MATCH($A882,'Live History'!$D$5:$D$3004,1)),INDEX('AH History'!$E$1:$E$18046,AH!$P$7+877))),NA()),NA())</ns0:f>
        <ns0:v/>
      </ns0:c>
      <ns0:c r="G882">
        <ns0:f>IFERROR(IF(ISNUMBER($A882),IF(AND(AH!$P$10=1,AH!$P$12=1,$A882=TODAY()),IF(AND(AH!$P$10=1,AH!$P$12=1,$A882=TODAY()),TODAY(),NA()),IF(AH!$P$10=1,INDEX('Live History'!$G$5:$G$3004,MATCH($A882,'Live History'!$G$5:$G$3004,1)),INDEX('AH History'!$F$1:$F$18046,AH!$P$7+877))),NA()),NA())</ns0:f>
        <ns0:v/>
      </ns0:c>
      <ns0:c r="H882">
        <ns0:f>IFERROR(IF(AND(AH!$E$4="Bloomberg",AH!$P$10=1,ISNUMBER($A882),$A882&lt;=AH!$P$17),AH!$P$7-1+MATCH($A882,INDEX('AH History'!$A$1:$A$18046,AH!$P$7):INDEX('AH History'!$A$1:$A$18046,AH!$P$7+AH!$P$8-1),0),0),0)</ns0:f>
        <ns0:v/>
      </ns0:c>
      <ns0:c r="I882">
        <ns0:f>IF($H882=0,0,IFERROR(IF(AND(ABS($C882-INDEX('AH History'!$B$1:$B$18046,$H882))&lt;=MAX(0.005,ABS(INDEX('AH History'!$B$1:$B$18046,$H882))*0.00005),ABS($D882-INDEX('AH History'!$C$1:$C$18046,$H882))&lt;=MAX(0.005,ABS(INDEX('AH History'!$C$1:$C$18046,$H882))*0.00005),ABS($E882-INDEX('AH History'!$D$1:$D$18046,$H882))&lt;=0.00005,$F882=INDEX('AH History'!$E$1:$E$18046,$H882),$G882=INDEX('AH History'!$F$1:$F$18046,$H882)),1,-1),-1))</ns0:f>
        <ns0:v/>
      </ns0:c>
    </ns0:row>
    <ns0:row r="883">
      <ns0:c r="A883" s="215">
        <ns0:f>IF(OR(AH!$P$3=0,878+1&gt;AH!$P$11,AND(AH!$E$4&lt;&gt;"Stored",AH!$P$10&lt;&gt;1)),"",IFERROR(IF(AND(AH!$P$21=1,878+1=AH!$P$11),TODAY(),IF(AH!$P$10=1,INDEX('Live History'!$A$5:$A$3004,AH!$P$13+878),INDEX('AH History'!$A$1:$A$18046,AH!$P$7+878))),""))</ns0:f>
        <ns0:v/>
      </ns0:c>
      <ns0:c r="B883" s="219">
        <ns0:f>IFERROR(IF(AND(AH!$P$9&lt;&gt;1,$C883&gt;0,$D883&gt;0,$E883&gt;0,$F883&gt;0,$G883&gt;0,$F883&lt;=$A883,$G883&lt;=$A883,$A883-$F883&lt;=10,$A883-$G883&lt;=5),$D883*$E883/$C883-1,NA()),NA())</ns0:f>
        <ns0:v/>
      </ns0:c>
      <ns0:c r="C883">
        <ns0:f>IFERROR(IF(ISNUMBER($A883),IF(AND(AH!$P$10=1,AH!$P$12=1,$A883=TODAY()),AH!$P$19,IF(AH!$P$10=1,INDEX('Live History'!$B$5:$B$3004,AH!$P$13+878),INDEX('AH History'!$B$1:$B$18046,AH!$P$7+878))),NA()),NA())</ns0:f>
        <ns0:v/>
      </ns0:c>
      <ns0:c r="D883">
        <ns0:f>IFERROR(IF(ISNUMBER($A883),IF(AND(AH!$P$10=1,AH!$P$12=1,$A883=TODAY()),AH!$P$18,IF(AH!$P$10=1,INDEX('Live History'!$E$5:$E$3004,MATCH($A883,'Live History'!$D$5:$D$3004,1)),INDEX('AH History'!$C$1:$C$18046,AH!$P$7+878))),NA()),NA())</ns0:f>
        <ns0:v/>
      </ns0:c>
      <ns0:c r="E883">
        <ns0:f>IFERROR(IF(ISNUMBER($A883),IF(AND(AH!$P$10=1,AH!$P$12=1,$A883=TODAY()),AH!$P$20,IF(AH!$P$10=1,INDEX('Live History'!$H$5:$H$3004,MATCH($A883,'Live History'!$G$5:$G$3004,1)),INDEX('AH History'!$D$1:$D$18046,AH!$P$7+878))),NA()),NA())</ns0:f>
        <ns0:v/>
      </ns0:c>
      <ns0:c r="F883">
        <ns0:f>IFERROR(IF(ISNUMBER($A883),IF(AND(AH!$P$10=1,AH!$P$12=1,$A883=TODAY()),IF(AND(AH!$P$10=1,AH!$P$12=1,$A883=TODAY()),TODAY(),NA()),IF(AH!$P$10=1,INDEX('Live History'!$D$5:$D$3004,MATCH($A883,'Live History'!$D$5:$D$3004,1)),INDEX('AH History'!$E$1:$E$18046,AH!$P$7+878))),NA()),NA())</ns0:f>
        <ns0:v/>
      </ns0:c>
      <ns0:c r="G883">
        <ns0:f>IFERROR(IF(ISNUMBER($A883),IF(AND(AH!$P$10=1,AH!$P$12=1,$A883=TODAY()),IF(AND(AH!$P$10=1,AH!$P$12=1,$A883=TODAY()),TODAY(),NA()),IF(AH!$P$10=1,INDEX('Live History'!$G$5:$G$3004,MATCH($A883,'Live History'!$G$5:$G$3004,1)),INDEX('AH History'!$F$1:$F$18046,AH!$P$7+878))),NA()),NA())</ns0:f>
        <ns0:v/>
      </ns0:c>
      <ns0:c r="H883">
        <ns0:f>IFERROR(IF(AND(AH!$E$4="Bloomberg",AH!$P$10=1,ISNUMBER($A883),$A883&lt;=AH!$P$17),AH!$P$7-1+MATCH($A883,INDEX('AH History'!$A$1:$A$18046,AH!$P$7):INDEX('AH History'!$A$1:$A$18046,AH!$P$7+AH!$P$8-1),0),0),0)</ns0:f>
        <ns0:v/>
      </ns0:c>
      <ns0:c r="I883">
        <ns0:f>IF($H883=0,0,IFERROR(IF(AND(ABS($C883-INDEX('AH History'!$B$1:$B$18046,$H883))&lt;=MAX(0.005,ABS(INDEX('AH History'!$B$1:$B$18046,$H883))*0.00005),ABS($D883-INDEX('AH History'!$C$1:$C$18046,$H883))&lt;=MAX(0.005,ABS(INDEX('AH History'!$C$1:$C$18046,$H883))*0.00005),ABS($E883-INDEX('AH History'!$D$1:$D$18046,$H883))&lt;=0.00005,$F883=INDEX('AH History'!$E$1:$E$18046,$H883),$G883=INDEX('AH History'!$F$1:$F$18046,$H883)),1,-1),-1))</ns0:f>
        <ns0:v/>
      </ns0:c>
    </ns0:row>
    <ns0:row r="884">
      <ns0:c r="A884" s="215">
        <ns0:f>IF(OR(AH!$P$3=0,879+1&gt;AH!$P$11,AND(AH!$E$4&lt;&gt;"Stored",AH!$P$10&lt;&gt;1)),"",IFERROR(IF(AND(AH!$P$21=1,879+1=AH!$P$11),TODAY(),IF(AH!$P$10=1,INDEX('Live History'!$A$5:$A$3004,AH!$P$13+879),INDEX('AH History'!$A$1:$A$18046,AH!$P$7+879))),""))</ns0:f>
        <ns0:v/>
      </ns0:c>
      <ns0:c r="B884" s="219">
        <ns0:f>IFERROR(IF(AND(AH!$P$9&lt;&gt;1,$C884&gt;0,$D884&gt;0,$E884&gt;0,$F884&gt;0,$G884&gt;0,$F884&lt;=$A884,$G884&lt;=$A884,$A884-$F884&lt;=10,$A884-$G884&lt;=5),$D884*$E884/$C884-1,NA()),NA())</ns0:f>
        <ns0:v/>
      </ns0:c>
      <ns0:c r="C884">
        <ns0:f>IFERROR(IF(ISNUMBER($A884),IF(AND(AH!$P$10=1,AH!$P$12=1,$A884=TODAY()),AH!$P$19,IF(AH!$P$10=1,INDEX('Live History'!$B$5:$B$3004,AH!$P$13+879),INDEX('AH History'!$B$1:$B$18046,AH!$P$7+879))),NA()),NA())</ns0:f>
        <ns0:v/>
      </ns0:c>
      <ns0:c r="D884">
        <ns0:f>IFERROR(IF(ISNUMBER($A884),IF(AND(AH!$P$10=1,AH!$P$12=1,$A884=TODAY()),AH!$P$18,IF(AH!$P$10=1,INDEX('Live History'!$E$5:$E$3004,MATCH($A884,'Live History'!$D$5:$D$3004,1)),INDEX('AH History'!$C$1:$C$18046,AH!$P$7+879))),NA()),NA())</ns0:f>
        <ns0:v/>
      </ns0:c>
      <ns0:c r="E884">
        <ns0:f>IFERROR(IF(ISNUMBER($A884),IF(AND(AH!$P$10=1,AH!$P$12=1,$A884=TODAY()),AH!$P$20,IF(AH!$P$10=1,INDEX('Live History'!$H$5:$H$3004,MATCH($A884,'Live History'!$G$5:$G$3004,1)),INDEX('AH History'!$D$1:$D$18046,AH!$P$7+879))),NA()),NA())</ns0:f>
        <ns0:v/>
      </ns0:c>
      <ns0:c r="F884">
        <ns0:f>IFERROR(IF(ISNUMBER($A884),IF(AND(AH!$P$10=1,AH!$P$12=1,$A884=TODAY()),IF(AND(AH!$P$10=1,AH!$P$12=1,$A884=TODAY()),TODAY(),NA()),IF(AH!$P$10=1,INDEX('Live History'!$D$5:$D$3004,MATCH($A884,'Live History'!$D$5:$D$3004,1)),INDEX('AH History'!$E$1:$E$18046,AH!$P$7+879))),NA()),NA())</ns0:f>
        <ns0:v/>
      </ns0:c>
      <ns0:c r="G884">
        <ns0:f>IFERROR(IF(ISNUMBER($A884),IF(AND(AH!$P$10=1,AH!$P$12=1,$A884=TODAY()),IF(AND(AH!$P$10=1,AH!$P$12=1,$A884=TODAY()),TODAY(),NA()),IF(AH!$P$10=1,INDEX('Live History'!$G$5:$G$3004,MATCH($A884,'Live History'!$G$5:$G$3004,1)),INDEX('AH History'!$F$1:$F$18046,AH!$P$7+879))),NA()),NA())</ns0:f>
        <ns0:v/>
      </ns0:c>
      <ns0:c r="H884">
        <ns0:f>IFERROR(IF(AND(AH!$E$4="Bloomberg",AH!$P$10=1,ISNUMBER($A884),$A884&lt;=AH!$P$17),AH!$P$7-1+MATCH($A884,INDEX('AH History'!$A$1:$A$18046,AH!$P$7):INDEX('AH History'!$A$1:$A$18046,AH!$P$7+AH!$P$8-1),0),0),0)</ns0:f>
        <ns0:v/>
      </ns0:c>
      <ns0:c r="I884">
        <ns0:f>IF($H884=0,0,IFERROR(IF(AND(ABS($C884-INDEX('AH History'!$B$1:$B$18046,$H884))&lt;=MAX(0.005,ABS(INDEX('AH History'!$B$1:$B$18046,$H884))*0.00005),ABS($D884-INDEX('AH History'!$C$1:$C$18046,$H884))&lt;=MAX(0.005,ABS(INDEX('AH History'!$C$1:$C$18046,$H884))*0.00005),ABS($E884-INDEX('AH History'!$D$1:$D$18046,$H884))&lt;=0.00005,$F884=INDEX('AH History'!$E$1:$E$18046,$H884),$G884=INDEX('AH History'!$F$1:$F$18046,$H884)),1,-1),-1))</ns0:f>
        <ns0:v/>
      </ns0:c>
    </ns0:row>
    <ns0:row r="885">
      <ns0:c r="A885" s="215">
        <ns0:f>IF(OR(AH!$P$3=0,880+1&gt;AH!$P$11,AND(AH!$E$4&lt;&gt;"Stored",AH!$P$10&lt;&gt;1)),"",IFERROR(IF(AND(AH!$P$21=1,880+1=AH!$P$11),TODAY(),IF(AH!$P$10=1,INDEX('Live History'!$A$5:$A$3004,AH!$P$13+880),INDEX('AH History'!$A$1:$A$18046,AH!$P$7+880))),""))</ns0:f>
        <ns0:v/>
      </ns0:c>
      <ns0:c r="B885" s="219">
        <ns0:f>IFERROR(IF(AND(AH!$P$9&lt;&gt;1,$C885&gt;0,$D885&gt;0,$E885&gt;0,$F885&gt;0,$G885&gt;0,$F885&lt;=$A885,$G885&lt;=$A885,$A885-$F885&lt;=10,$A885-$G885&lt;=5),$D885*$E885/$C885-1,NA()),NA())</ns0:f>
        <ns0:v/>
      </ns0:c>
      <ns0:c r="C885">
        <ns0:f>IFERROR(IF(ISNUMBER($A885),IF(AND(AH!$P$10=1,AH!$P$12=1,$A885=TODAY()),AH!$P$19,IF(AH!$P$10=1,INDEX('Live History'!$B$5:$B$3004,AH!$P$13+880),INDEX('AH History'!$B$1:$B$18046,AH!$P$7+880))),NA()),NA())</ns0:f>
        <ns0:v/>
      </ns0:c>
      <ns0:c r="D885">
        <ns0:f>IFERROR(IF(ISNUMBER($A885),IF(AND(AH!$P$10=1,AH!$P$12=1,$A885=TODAY()),AH!$P$18,IF(AH!$P$10=1,INDEX('Live History'!$E$5:$E$3004,MATCH($A885,'Live History'!$D$5:$D$3004,1)),INDEX('AH History'!$C$1:$C$18046,AH!$P$7+880))),NA()),NA())</ns0:f>
        <ns0:v/>
      </ns0:c>
      <ns0:c r="E885">
        <ns0:f>IFERROR(IF(ISNUMBER($A885),IF(AND(AH!$P$10=1,AH!$P$12=1,$A885=TODAY()),AH!$P$20,IF(AH!$P$10=1,INDEX('Live History'!$H$5:$H$3004,MATCH($A885,'Live History'!$G$5:$G$3004,1)),INDEX('AH History'!$D$1:$D$18046,AH!$P$7+880))),NA()),NA())</ns0:f>
        <ns0:v/>
      </ns0:c>
      <ns0:c r="F885">
        <ns0:f>IFERROR(IF(ISNUMBER($A885),IF(AND(AH!$P$10=1,AH!$P$12=1,$A885=TODAY()),IF(AND(AH!$P$10=1,AH!$P$12=1,$A885=TODAY()),TODAY(),NA()),IF(AH!$P$10=1,INDEX('Live History'!$D$5:$D$3004,MATCH($A885,'Live History'!$D$5:$D$3004,1)),INDEX('AH History'!$E$1:$E$18046,AH!$P$7+880))),NA()),NA())</ns0:f>
        <ns0:v/>
      </ns0:c>
      <ns0:c r="G885">
        <ns0:f>IFERROR(IF(ISNUMBER($A885),IF(AND(AH!$P$10=1,AH!$P$12=1,$A885=TODAY()),IF(AND(AH!$P$10=1,AH!$P$12=1,$A885=TODAY()),TODAY(),NA()),IF(AH!$P$10=1,INDEX('Live History'!$G$5:$G$3004,MATCH($A885,'Live History'!$G$5:$G$3004,1)),INDEX('AH History'!$F$1:$F$18046,AH!$P$7+880))),NA()),NA())</ns0:f>
        <ns0:v/>
      </ns0:c>
      <ns0:c r="H885">
        <ns0:f>IFERROR(IF(AND(AH!$E$4="Bloomberg",AH!$P$10=1,ISNUMBER($A885),$A885&lt;=AH!$P$17),AH!$P$7-1+MATCH($A885,INDEX('AH History'!$A$1:$A$18046,AH!$P$7):INDEX('AH History'!$A$1:$A$18046,AH!$P$7+AH!$P$8-1),0),0),0)</ns0:f>
        <ns0:v/>
      </ns0:c>
      <ns0:c r="I885">
        <ns0:f>IF($H885=0,0,IFERROR(IF(AND(ABS($C885-INDEX('AH History'!$B$1:$B$18046,$H885))&lt;=MAX(0.005,ABS(INDEX('AH History'!$B$1:$B$18046,$H885))*0.00005),ABS($D885-INDEX('AH History'!$C$1:$C$18046,$H885))&lt;=MAX(0.005,ABS(INDEX('AH History'!$C$1:$C$18046,$H885))*0.00005),ABS($E885-INDEX('AH History'!$D$1:$D$18046,$H885))&lt;=0.00005,$F885=INDEX('AH History'!$E$1:$E$18046,$H885),$G885=INDEX('AH History'!$F$1:$F$18046,$H885)),1,-1),-1))</ns0:f>
        <ns0:v/>
      </ns0:c>
    </ns0:row>
    <ns0:row r="886">
      <ns0:c r="A886" s="215">
        <ns0:f>IF(OR(AH!$P$3=0,881+1&gt;AH!$P$11,AND(AH!$E$4&lt;&gt;"Stored",AH!$P$10&lt;&gt;1)),"",IFERROR(IF(AND(AH!$P$21=1,881+1=AH!$P$11),TODAY(),IF(AH!$P$10=1,INDEX('Live History'!$A$5:$A$3004,AH!$P$13+881),INDEX('AH History'!$A$1:$A$18046,AH!$P$7+881))),""))</ns0:f>
        <ns0:v/>
      </ns0:c>
      <ns0:c r="B886" s="219">
        <ns0:f>IFERROR(IF(AND(AH!$P$9&lt;&gt;1,$C886&gt;0,$D886&gt;0,$E886&gt;0,$F886&gt;0,$G886&gt;0,$F886&lt;=$A886,$G886&lt;=$A886,$A886-$F886&lt;=10,$A886-$G886&lt;=5),$D886*$E886/$C886-1,NA()),NA())</ns0:f>
        <ns0:v/>
      </ns0:c>
      <ns0:c r="C886">
        <ns0:f>IFERROR(IF(ISNUMBER($A886),IF(AND(AH!$P$10=1,AH!$P$12=1,$A886=TODAY()),AH!$P$19,IF(AH!$P$10=1,INDEX('Live History'!$B$5:$B$3004,AH!$P$13+881),INDEX('AH History'!$B$1:$B$18046,AH!$P$7+881))),NA()),NA())</ns0:f>
        <ns0:v/>
      </ns0:c>
      <ns0:c r="D886">
        <ns0:f>IFERROR(IF(ISNUMBER($A886),IF(AND(AH!$P$10=1,AH!$P$12=1,$A886=TODAY()),AH!$P$18,IF(AH!$P$10=1,INDEX('Live History'!$E$5:$E$3004,MATCH($A886,'Live History'!$D$5:$D$3004,1)),INDEX('AH History'!$C$1:$C$18046,AH!$P$7+881))),NA()),NA())</ns0:f>
        <ns0:v/>
      </ns0:c>
      <ns0:c r="E886">
        <ns0:f>IFERROR(IF(ISNUMBER($A886),IF(AND(AH!$P$10=1,AH!$P$12=1,$A886=TODAY()),AH!$P$20,IF(AH!$P$10=1,INDEX('Live History'!$H$5:$H$3004,MATCH($A886,'Live History'!$G$5:$G$3004,1)),INDEX('AH History'!$D$1:$D$18046,AH!$P$7+881))),NA()),NA())</ns0:f>
        <ns0:v/>
      </ns0:c>
      <ns0:c r="F886">
        <ns0:f>IFERROR(IF(ISNUMBER($A886),IF(AND(AH!$P$10=1,AH!$P$12=1,$A886=TODAY()),IF(AND(AH!$P$10=1,AH!$P$12=1,$A886=TODAY()),TODAY(),NA()),IF(AH!$P$10=1,INDEX('Live History'!$D$5:$D$3004,MATCH($A886,'Live History'!$D$5:$D$3004,1)),INDEX('AH History'!$E$1:$E$18046,AH!$P$7+881))),NA()),NA())</ns0:f>
        <ns0:v/>
      </ns0:c>
      <ns0:c r="G886">
        <ns0:f>IFERROR(IF(ISNUMBER($A886),IF(AND(AH!$P$10=1,AH!$P$12=1,$A886=TODAY()),IF(AND(AH!$P$10=1,AH!$P$12=1,$A886=TODAY()),TODAY(),NA()),IF(AH!$P$10=1,INDEX('Live History'!$G$5:$G$3004,MATCH($A886,'Live History'!$G$5:$G$3004,1)),INDEX('AH History'!$F$1:$F$18046,AH!$P$7+881))),NA()),NA())</ns0:f>
        <ns0:v/>
      </ns0:c>
      <ns0:c r="H886">
        <ns0:f>IFERROR(IF(AND(AH!$E$4="Bloomberg",AH!$P$10=1,ISNUMBER($A886),$A886&lt;=AH!$P$17),AH!$P$7-1+MATCH($A886,INDEX('AH History'!$A$1:$A$18046,AH!$P$7):INDEX('AH History'!$A$1:$A$18046,AH!$P$7+AH!$P$8-1),0),0),0)</ns0:f>
        <ns0:v/>
      </ns0:c>
      <ns0:c r="I886">
        <ns0:f>IF($H886=0,0,IFERROR(IF(AND(ABS($C886-INDEX('AH History'!$B$1:$B$18046,$H886))&lt;=MAX(0.005,ABS(INDEX('AH History'!$B$1:$B$18046,$H886))*0.00005),ABS($D886-INDEX('AH History'!$C$1:$C$18046,$H886))&lt;=MAX(0.005,ABS(INDEX('AH History'!$C$1:$C$18046,$H886))*0.00005),ABS($E886-INDEX('AH History'!$D$1:$D$18046,$H886))&lt;=0.00005,$F886=INDEX('AH History'!$E$1:$E$18046,$H886),$G886=INDEX('AH History'!$F$1:$F$18046,$H886)),1,-1),-1))</ns0:f>
        <ns0:v/>
      </ns0:c>
    </ns0:row>
    <ns0:row r="887">
      <ns0:c r="A887" s="215">
        <ns0:f>IF(OR(AH!$P$3=0,882+1&gt;AH!$P$11,AND(AH!$E$4&lt;&gt;"Stored",AH!$P$10&lt;&gt;1)),"",IFERROR(IF(AND(AH!$P$21=1,882+1=AH!$P$11),TODAY(),IF(AH!$P$10=1,INDEX('Live History'!$A$5:$A$3004,AH!$P$13+882),INDEX('AH History'!$A$1:$A$18046,AH!$P$7+882))),""))</ns0:f>
        <ns0:v/>
      </ns0:c>
      <ns0:c r="B887" s="219">
        <ns0:f>IFERROR(IF(AND(AH!$P$9&lt;&gt;1,$C887&gt;0,$D887&gt;0,$E887&gt;0,$F887&gt;0,$G887&gt;0,$F887&lt;=$A887,$G887&lt;=$A887,$A887-$F887&lt;=10,$A887-$G887&lt;=5),$D887*$E887/$C887-1,NA()),NA())</ns0:f>
        <ns0:v/>
      </ns0:c>
      <ns0:c r="C887">
        <ns0:f>IFERROR(IF(ISNUMBER($A887),IF(AND(AH!$P$10=1,AH!$P$12=1,$A887=TODAY()),AH!$P$19,IF(AH!$P$10=1,INDEX('Live History'!$B$5:$B$3004,AH!$P$13+882),INDEX('AH History'!$B$1:$B$18046,AH!$P$7+882))),NA()),NA())</ns0:f>
        <ns0:v/>
      </ns0:c>
      <ns0:c r="D887">
        <ns0:f>IFERROR(IF(ISNUMBER($A887),IF(AND(AH!$P$10=1,AH!$P$12=1,$A887=TODAY()),AH!$P$18,IF(AH!$P$10=1,INDEX('Live History'!$E$5:$E$3004,MATCH($A887,'Live History'!$D$5:$D$3004,1)),INDEX('AH History'!$C$1:$C$18046,AH!$P$7+882))),NA()),NA())</ns0:f>
        <ns0:v/>
      </ns0:c>
      <ns0:c r="E887">
        <ns0:f>IFERROR(IF(ISNUMBER($A887),IF(AND(AH!$P$10=1,AH!$P$12=1,$A887=TODAY()),AH!$P$20,IF(AH!$P$10=1,INDEX('Live History'!$H$5:$H$3004,MATCH($A887,'Live History'!$G$5:$G$3004,1)),INDEX('AH History'!$D$1:$D$18046,AH!$P$7+882))),NA()),NA())</ns0:f>
        <ns0:v/>
      </ns0:c>
      <ns0:c r="F887">
        <ns0:f>IFERROR(IF(ISNUMBER($A887),IF(AND(AH!$P$10=1,AH!$P$12=1,$A887=TODAY()),IF(AND(AH!$P$10=1,AH!$P$12=1,$A887=TODAY()),TODAY(),NA()),IF(AH!$P$10=1,INDEX('Live History'!$D$5:$D$3004,MATCH($A887,'Live History'!$D$5:$D$3004,1)),INDEX('AH History'!$E$1:$E$18046,AH!$P$7+882))),NA()),NA())</ns0:f>
        <ns0:v/>
      </ns0:c>
      <ns0:c r="G887">
        <ns0:f>IFERROR(IF(ISNUMBER($A887),IF(AND(AH!$P$10=1,AH!$P$12=1,$A887=TODAY()),IF(AND(AH!$P$10=1,AH!$P$12=1,$A887=TODAY()),TODAY(),NA()),IF(AH!$P$10=1,INDEX('Live History'!$G$5:$G$3004,MATCH($A887,'Live History'!$G$5:$G$3004,1)),INDEX('AH History'!$F$1:$F$18046,AH!$P$7+882))),NA()),NA())</ns0:f>
        <ns0:v/>
      </ns0:c>
      <ns0:c r="H887">
        <ns0:f>IFERROR(IF(AND(AH!$E$4="Bloomberg",AH!$P$10=1,ISNUMBER($A887),$A887&lt;=AH!$P$17),AH!$P$7-1+MATCH($A887,INDEX('AH History'!$A$1:$A$18046,AH!$P$7):INDEX('AH History'!$A$1:$A$18046,AH!$P$7+AH!$P$8-1),0),0),0)</ns0:f>
        <ns0:v/>
      </ns0:c>
      <ns0:c r="I887">
        <ns0:f>IF($H887=0,0,IFERROR(IF(AND(ABS($C887-INDEX('AH History'!$B$1:$B$18046,$H887))&lt;=MAX(0.005,ABS(INDEX('AH History'!$B$1:$B$18046,$H887))*0.00005),ABS($D887-INDEX('AH History'!$C$1:$C$18046,$H887))&lt;=MAX(0.005,ABS(INDEX('AH History'!$C$1:$C$18046,$H887))*0.00005),ABS($E887-INDEX('AH History'!$D$1:$D$18046,$H887))&lt;=0.00005,$F887=INDEX('AH History'!$E$1:$E$18046,$H887),$G887=INDEX('AH History'!$F$1:$F$18046,$H887)),1,-1),-1))</ns0:f>
        <ns0:v/>
      </ns0:c>
    </ns0:row>
    <ns0:row r="888">
      <ns0:c r="A888" s="215">
        <ns0:f>IF(OR(AH!$P$3=0,883+1&gt;AH!$P$11,AND(AH!$E$4&lt;&gt;"Stored",AH!$P$10&lt;&gt;1)),"",IFERROR(IF(AND(AH!$P$21=1,883+1=AH!$P$11),TODAY(),IF(AH!$P$10=1,INDEX('Live History'!$A$5:$A$3004,AH!$P$13+883),INDEX('AH History'!$A$1:$A$18046,AH!$P$7+883))),""))</ns0:f>
        <ns0:v/>
      </ns0:c>
      <ns0:c r="B888" s="219">
        <ns0:f>IFERROR(IF(AND(AH!$P$9&lt;&gt;1,$C888&gt;0,$D888&gt;0,$E888&gt;0,$F888&gt;0,$G888&gt;0,$F888&lt;=$A888,$G888&lt;=$A888,$A888-$F888&lt;=10,$A888-$G888&lt;=5),$D888*$E888/$C888-1,NA()),NA())</ns0:f>
        <ns0:v/>
      </ns0:c>
      <ns0:c r="C888">
        <ns0:f>IFERROR(IF(ISNUMBER($A888),IF(AND(AH!$P$10=1,AH!$P$12=1,$A888=TODAY()),AH!$P$19,IF(AH!$P$10=1,INDEX('Live History'!$B$5:$B$3004,AH!$P$13+883),INDEX('AH History'!$B$1:$B$18046,AH!$P$7+883))),NA()),NA())</ns0:f>
        <ns0:v/>
      </ns0:c>
      <ns0:c r="D888">
        <ns0:f>IFERROR(IF(ISNUMBER($A888),IF(AND(AH!$P$10=1,AH!$P$12=1,$A888=TODAY()),AH!$P$18,IF(AH!$P$10=1,INDEX('Live History'!$E$5:$E$3004,MATCH($A888,'Live History'!$D$5:$D$3004,1)),INDEX('AH History'!$C$1:$C$18046,AH!$P$7+883))),NA()),NA())</ns0:f>
        <ns0:v/>
      </ns0:c>
      <ns0:c r="E888">
        <ns0:f>IFERROR(IF(ISNUMBER($A888),IF(AND(AH!$P$10=1,AH!$P$12=1,$A888=TODAY()),AH!$P$20,IF(AH!$P$10=1,INDEX('Live History'!$H$5:$H$3004,MATCH($A888,'Live History'!$G$5:$G$3004,1)),INDEX('AH History'!$D$1:$D$18046,AH!$P$7+883))),NA()),NA())</ns0:f>
        <ns0:v/>
      </ns0:c>
      <ns0:c r="F888">
        <ns0:f>IFERROR(IF(ISNUMBER($A888),IF(AND(AH!$P$10=1,AH!$P$12=1,$A888=TODAY()),IF(AND(AH!$P$10=1,AH!$P$12=1,$A888=TODAY()),TODAY(),NA()),IF(AH!$P$10=1,INDEX('Live History'!$D$5:$D$3004,MATCH($A888,'Live History'!$D$5:$D$3004,1)),INDEX('AH History'!$E$1:$E$18046,AH!$P$7+883))),NA()),NA())</ns0:f>
        <ns0:v/>
      </ns0:c>
      <ns0:c r="G888">
        <ns0:f>IFERROR(IF(ISNUMBER($A888),IF(AND(AH!$P$10=1,AH!$P$12=1,$A888=TODAY()),IF(AND(AH!$P$10=1,AH!$P$12=1,$A888=TODAY()),TODAY(),NA()),IF(AH!$P$10=1,INDEX('Live History'!$G$5:$G$3004,MATCH($A888,'Live History'!$G$5:$G$3004,1)),INDEX('AH History'!$F$1:$F$18046,AH!$P$7+883))),NA()),NA())</ns0:f>
        <ns0:v/>
      </ns0:c>
      <ns0:c r="H888">
        <ns0:f>IFERROR(IF(AND(AH!$E$4="Bloomberg",AH!$P$10=1,ISNUMBER($A888),$A888&lt;=AH!$P$17),AH!$P$7-1+MATCH($A888,INDEX('AH History'!$A$1:$A$18046,AH!$P$7):INDEX('AH History'!$A$1:$A$18046,AH!$P$7+AH!$P$8-1),0),0),0)</ns0:f>
        <ns0:v/>
      </ns0:c>
      <ns0:c r="I888">
        <ns0:f>IF($H888=0,0,IFERROR(IF(AND(ABS($C888-INDEX('AH History'!$B$1:$B$18046,$H888))&lt;=MAX(0.005,ABS(INDEX('AH History'!$B$1:$B$18046,$H888))*0.00005),ABS($D888-INDEX('AH History'!$C$1:$C$18046,$H888))&lt;=MAX(0.005,ABS(INDEX('AH History'!$C$1:$C$18046,$H888))*0.00005),ABS($E888-INDEX('AH History'!$D$1:$D$18046,$H888))&lt;=0.00005,$F888=INDEX('AH History'!$E$1:$E$18046,$H888),$G888=INDEX('AH History'!$F$1:$F$18046,$H888)),1,-1),-1))</ns0:f>
        <ns0:v/>
      </ns0:c>
    </ns0:row>
    <ns0:row r="889">
      <ns0:c r="A889" s="215">
        <ns0:f>IF(OR(AH!$P$3=0,884+1&gt;AH!$P$11,AND(AH!$E$4&lt;&gt;"Stored",AH!$P$10&lt;&gt;1)),"",IFERROR(IF(AND(AH!$P$21=1,884+1=AH!$P$11),TODAY(),IF(AH!$P$10=1,INDEX('Live History'!$A$5:$A$3004,AH!$P$13+884),INDEX('AH History'!$A$1:$A$18046,AH!$P$7+884))),""))</ns0:f>
        <ns0:v/>
      </ns0:c>
      <ns0:c r="B889" s="219">
        <ns0:f>IFERROR(IF(AND(AH!$P$9&lt;&gt;1,$C889&gt;0,$D889&gt;0,$E889&gt;0,$F889&gt;0,$G889&gt;0,$F889&lt;=$A889,$G889&lt;=$A889,$A889-$F889&lt;=10,$A889-$G889&lt;=5),$D889*$E889/$C889-1,NA()),NA())</ns0:f>
        <ns0:v/>
      </ns0:c>
      <ns0:c r="C889">
        <ns0:f>IFERROR(IF(ISNUMBER($A889),IF(AND(AH!$P$10=1,AH!$P$12=1,$A889=TODAY()),AH!$P$19,IF(AH!$P$10=1,INDEX('Live History'!$B$5:$B$3004,AH!$P$13+884),INDEX('AH History'!$B$1:$B$18046,AH!$P$7+884))),NA()),NA())</ns0:f>
        <ns0:v/>
      </ns0:c>
      <ns0:c r="D889">
        <ns0:f>IFERROR(IF(ISNUMBER($A889),IF(AND(AH!$P$10=1,AH!$P$12=1,$A889=TODAY()),AH!$P$18,IF(AH!$P$10=1,INDEX('Live History'!$E$5:$E$3004,MATCH($A889,'Live History'!$D$5:$D$3004,1)),INDEX('AH History'!$C$1:$C$18046,AH!$P$7+884))),NA()),NA())</ns0:f>
        <ns0:v/>
      </ns0:c>
      <ns0:c r="E889">
        <ns0:f>IFERROR(IF(ISNUMBER($A889),IF(AND(AH!$P$10=1,AH!$P$12=1,$A889=TODAY()),AH!$P$20,IF(AH!$P$10=1,INDEX('Live History'!$H$5:$H$3004,MATCH($A889,'Live History'!$G$5:$G$3004,1)),INDEX('AH History'!$D$1:$D$18046,AH!$P$7+884))),NA()),NA())</ns0:f>
        <ns0:v/>
      </ns0:c>
      <ns0:c r="F889">
        <ns0:f>IFERROR(IF(ISNUMBER($A889),IF(AND(AH!$P$10=1,AH!$P$12=1,$A889=TODAY()),IF(AND(AH!$P$10=1,AH!$P$12=1,$A889=TODAY()),TODAY(),NA()),IF(AH!$P$10=1,INDEX('Live History'!$D$5:$D$3004,MATCH($A889,'Live History'!$D$5:$D$3004,1)),INDEX('AH History'!$E$1:$E$18046,AH!$P$7+884))),NA()),NA())</ns0:f>
        <ns0:v/>
      </ns0:c>
      <ns0:c r="G889">
        <ns0:f>IFERROR(IF(ISNUMBER($A889),IF(AND(AH!$P$10=1,AH!$P$12=1,$A889=TODAY()),IF(AND(AH!$P$10=1,AH!$P$12=1,$A889=TODAY()),TODAY(),NA()),IF(AH!$P$10=1,INDEX('Live History'!$G$5:$G$3004,MATCH($A889,'Live History'!$G$5:$G$3004,1)),INDEX('AH History'!$F$1:$F$18046,AH!$P$7+884))),NA()),NA())</ns0:f>
        <ns0:v/>
      </ns0:c>
      <ns0:c r="H889">
        <ns0:f>IFERROR(IF(AND(AH!$E$4="Bloomberg",AH!$P$10=1,ISNUMBER($A889),$A889&lt;=AH!$P$17),AH!$P$7-1+MATCH($A889,INDEX('AH History'!$A$1:$A$18046,AH!$P$7):INDEX('AH History'!$A$1:$A$18046,AH!$P$7+AH!$P$8-1),0),0),0)</ns0:f>
        <ns0:v/>
      </ns0:c>
      <ns0:c r="I889">
        <ns0:f>IF($H889=0,0,IFERROR(IF(AND(ABS($C889-INDEX('AH History'!$B$1:$B$18046,$H889))&lt;=MAX(0.005,ABS(INDEX('AH History'!$B$1:$B$18046,$H889))*0.00005),ABS($D889-INDEX('AH History'!$C$1:$C$18046,$H889))&lt;=MAX(0.005,ABS(INDEX('AH History'!$C$1:$C$18046,$H889))*0.00005),ABS($E889-INDEX('AH History'!$D$1:$D$18046,$H889))&lt;=0.00005,$F889=INDEX('AH History'!$E$1:$E$18046,$H889),$G889=INDEX('AH History'!$F$1:$F$18046,$H889)),1,-1),-1))</ns0:f>
        <ns0:v/>
      </ns0:c>
    </ns0:row>
    <ns0:row r="890">
      <ns0:c r="A890" s="215">
        <ns0:f>IF(OR(AH!$P$3=0,885+1&gt;AH!$P$11,AND(AH!$E$4&lt;&gt;"Stored",AH!$P$10&lt;&gt;1)),"",IFERROR(IF(AND(AH!$P$21=1,885+1=AH!$P$11),TODAY(),IF(AH!$P$10=1,INDEX('Live History'!$A$5:$A$3004,AH!$P$13+885),INDEX('AH History'!$A$1:$A$18046,AH!$P$7+885))),""))</ns0:f>
        <ns0:v/>
      </ns0:c>
      <ns0:c r="B890" s="219">
        <ns0:f>IFERROR(IF(AND(AH!$P$9&lt;&gt;1,$C890&gt;0,$D890&gt;0,$E890&gt;0,$F890&gt;0,$G890&gt;0,$F890&lt;=$A890,$G890&lt;=$A890,$A890-$F890&lt;=10,$A890-$G890&lt;=5),$D890*$E890/$C890-1,NA()),NA())</ns0:f>
        <ns0:v/>
      </ns0:c>
      <ns0:c r="C890">
        <ns0:f>IFERROR(IF(ISNUMBER($A890),IF(AND(AH!$P$10=1,AH!$P$12=1,$A890=TODAY()),AH!$P$19,IF(AH!$P$10=1,INDEX('Live History'!$B$5:$B$3004,AH!$P$13+885),INDEX('AH History'!$B$1:$B$18046,AH!$P$7+885))),NA()),NA())</ns0:f>
        <ns0:v/>
      </ns0:c>
      <ns0:c r="D890">
        <ns0:f>IFERROR(IF(ISNUMBER($A890),IF(AND(AH!$P$10=1,AH!$P$12=1,$A890=TODAY()),AH!$P$18,IF(AH!$P$10=1,INDEX('Live History'!$E$5:$E$3004,MATCH($A890,'Live History'!$D$5:$D$3004,1)),INDEX('AH History'!$C$1:$C$18046,AH!$P$7+885))),NA()),NA())</ns0:f>
        <ns0:v/>
      </ns0:c>
      <ns0:c r="E890">
        <ns0:f>IFERROR(IF(ISNUMBER($A890),IF(AND(AH!$P$10=1,AH!$P$12=1,$A890=TODAY()),AH!$P$20,IF(AH!$P$10=1,INDEX('Live History'!$H$5:$H$3004,MATCH($A890,'Live History'!$G$5:$G$3004,1)),INDEX('AH History'!$D$1:$D$18046,AH!$P$7+885))),NA()),NA())</ns0:f>
        <ns0:v/>
      </ns0:c>
      <ns0:c r="F890">
        <ns0:f>IFERROR(IF(ISNUMBER($A890),IF(AND(AH!$P$10=1,AH!$P$12=1,$A890=TODAY()),IF(AND(AH!$P$10=1,AH!$P$12=1,$A890=TODAY()),TODAY(),NA()),IF(AH!$P$10=1,INDEX('Live History'!$D$5:$D$3004,MATCH($A890,'Live History'!$D$5:$D$3004,1)),INDEX('AH History'!$E$1:$E$18046,AH!$P$7+885))),NA()),NA())</ns0:f>
        <ns0:v/>
      </ns0:c>
      <ns0:c r="G890">
        <ns0:f>IFERROR(IF(ISNUMBER($A890),IF(AND(AH!$P$10=1,AH!$P$12=1,$A890=TODAY()),IF(AND(AH!$P$10=1,AH!$P$12=1,$A890=TODAY()),TODAY(),NA()),IF(AH!$P$10=1,INDEX('Live History'!$G$5:$G$3004,MATCH($A890,'Live History'!$G$5:$G$3004,1)),INDEX('AH History'!$F$1:$F$18046,AH!$P$7+885))),NA()),NA())</ns0:f>
        <ns0:v/>
      </ns0:c>
      <ns0:c r="H890">
        <ns0:f>IFERROR(IF(AND(AH!$E$4="Bloomberg",AH!$P$10=1,ISNUMBER($A890),$A890&lt;=AH!$P$17),AH!$P$7-1+MATCH($A890,INDEX('AH History'!$A$1:$A$18046,AH!$P$7):INDEX('AH History'!$A$1:$A$18046,AH!$P$7+AH!$P$8-1),0),0),0)</ns0:f>
        <ns0:v/>
      </ns0:c>
      <ns0:c r="I890">
        <ns0:f>IF($H890=0,0,IFERROR(IF(AND(ABS($C890-INDEX('AH History'!$B$1:$B$18046,$H890))&lt;=MAX(0.005,ABS(INDEX('AH History'!$B$1:$B$18046,$H890))*0.00005),ABS($D890-INDEX('AH History'!$C$1:$C$18046,$H890))&lt;=MAX(0.005,ABS(INDEX('AH History'!$C$1:$C$18046,$H890))*0.00005),ABS($E890-INDEX('AH History'!$D$1:$D$18046,$H890))&lt;=0.00005,$F890=INDEX('AH History'!$E$1:$E$18046,$H890),$G890=INDEX('AH History'!$F$1:$F$18046,$H890)),1,-1),-1))</ns0:f>
        <ns0:v/>
      </ns0:c>
    </ns0:row>
    <ns0:row r="891">
      <ns0:c r="A891" s="215">
        <ns0:f>IF(OR(AH!$P$3=0,886+1&gt;AH!$P$11,AND(AH!$E$4&lt;&gt;"Stored",AH!$P$10&lt;&gt;1)),"",IFERROR(IF(AND(AH!$P$21=1,886+1=AH!$P$11),TODAY(),IF(AH!$P$10=1,INDEX('Live History'!$A$5:$A$3004,AH!$P$13+886),INDEX('AH History'!$A$1:$A$18046,AH!$P$7+886))),""))</ns0:f>
        <ns0:v/>
      </ns0:c>
      <ns0:c r="B891" s="219">
        <ns0:f>IFERROR(IF(AND(AH!$P$9&lt;&gt;1,$C891&gt;0,$D891&gt;0,$E891&gt;0,$F891&gt;0,$G891&gt;0,$F891&lt;=$A891,$G891&lt;=$A891,$A891-$F891&lt;=10,$A891-$G891&lt;=5),$D891*$E891/$C891-1,NA()),NA())</ns0:f>
        <ns0:v/>
      </ns0:c>
      <ns0:c r="C891">
        <ns0:f>IFERROR(IF(ISNUMBER($A891),IF(AND(AH!$P$10=1,AH!$P$12=1,$A891=TODAY()),AH!$P$19,IF(AH!$P$10=1,INDEX('Live History'!$B$5:$B$3004,AH!$P$13+886),INDEX('AH History'!$B$1:$B$18046,AH!$P$7+886))),NA()),NA())</ns0:f>
        <ns0:v/>
      </ns0:c>
      <ns0:c r="D891">
        <ns0:f>IFERROR(IF(ISNUMBER($A891),IF(AND(AH!$P$10=1,AH!$P$12=1,$A891=TODAY()),AH!$P$18,IF(AH!$P$10=1,INDEX('Live History'!$E$5:$E$3004,MATCH($A891,'Live History'!$D$5:$D$3004,1)),INDEX('AH History'!$C$1:$C$18046,AH!$P$7+886))),NA()),NA())</ns0:f>
        <ns0:v/>
      </ns0:c>
      <ns0:c r="E891">
        <ns0:f>IFERROR(IF(ISNUMBER($A891),IF(AND(AH!$P$10=1,AH!$P$12=1,$A891=TODAY()),AH!$P$20,IF(AH!$P$10=1,INDEX('Live History'!$H$5:$H$3004,MATCH($A891,'Live History'!$G$5:$G$3004,1)),INDEX('AH History'!$D$1:$D$18046,AH!$P$7+886))),NA()),NA())</ns0:f>
        <ns0:v/>
      </ns0:c>
      <ns0:c r="F891">
        <ns0:f>IFERROR(IF(ISNUMBER($A891),IF(AND(AH!$P$10=1,AH!$P$12=1,$A891=TODAY()),IF(AND(AH!$P$10=1,AH!$P$12=1,$A891=TODAY()),TODAY(),NA()),IF(AH!$P$10=1,INDEX('Live History'!$D$5:$D$3004,MATCH($A891,'Live History'!$D$5:$D$3004,1)),INDEX('AH History'!$E$1:$E$18046,AH!$P$7+886))),NA()),NA())</ns0:f>
        <ns0:v/>
      </ns0:c>
      <ns0:c r="G891">
        <ns0:f>IFERROR(IF(ISNUMBER($A891),IF(AND(AH!$P$10=1,AH!$P$12=1,$A891=TODAY()),IF(AND(AH!$P$10=1,AH!$P$12=1,$A891=TODAY()),TODAY(),NA()),IF(AH!$P$10=1,INDEX('Live History'!$G$5:$G$3004,MATCH($A891,'Live History'!$G$5:$G$3004,1)),INDEX('AH History'!$F$1:$F$18046,AH!$P$7+886))),NA()),NA())</ns0:f>
        <ns0:v/>
      </ns0:c>
      <ns0:c r="H891">
        <ns0:f>IFERROR(IF(AND(AH!$E$4="Bloomberg",AH!$P$10=1,ISNUMBER($A891),$A891&lt;=AH!$P$17),AH!$P$7-1+MATCH($A891,INDEX('AH History'!$A$1:$A$18046,AH!$P$7):INDEX('AH History'!$A$1:$A$18046,AH!$P$7+AH!$P$8-1),0),0),0)</ns0:f>
        <ns0:v/>
      </ns0:c>
      <ns0:c r="I891">
        <ns0:f>IF($H891=0,0,IFERROR(IF(AND(ABS($C891-INDEX('AH History'!$B$1:$B$18046,$H891))&lt;=MAX(0.005,ABS(INDEX('AH History'!$B$1:$B$18046,$H891))*0.00005),ABS($D891-INDEX('AH History'!$C$1:$C$18046,$H891))&lt;=MAX(0.005,ABS(INDEX('AH History'!$C$1:$C$18046,$H891))*0.00005),ABS($E891-INDEX('AH History'!$D$1:$D$18046,$H891))&lt;=0.00005,$F891=INDEX('AH History'!$E$1:$E$18046,$H891),$G891=INDEX('AH History'!$F$1:$F$18046,$H891)),1,-1),-1))</ns0:f>
        <ns0:v/>
      </ns0:c>
    </ns0:row>
    <ns0:row r="892">
      <ns0:c r="A892" s="215">
        <ns0:f>IF(OR(AH!$P$3=0,887+1&gt;AH!$P$11,AND(AH!$E$4&lt;&gt;"Stored",AH!$P$10&lt;&gt;1)),"",IFERROR(IF(AND(AH!$P$21=1,887+1=AH!$P$11),TODAY(),IF(AH!$P$10=1,INDEX('Live History'!$A$5:$A$3004,AH!$P$13+887),INDEX('AH History'!$A$1:$A$18046,AH!$P$7+887))),""))</ns0:f>
        <ns0:v/>
      </ns0:c>
      <ns0:c r="B892" s="219">
        <ns0:f>IFERROR(IF(AND(AH!$P$9&lt;&gt;1,$C892&gt;0,$D892&gt;0,$E892&gt;0,$F892&gt;0,$G892&gt;0,$F892&lt;=$A892,$G892&lt;=$A892,$A892-$F892&lt;=10,$A892-$G892&lt;=5),$D892*$E892/$C892-1,NA()),NA())</ns0:f>
        <ns0:v/>
      </ns0:c>
      <ns0:c r="C892">
        <ns0:f>IFERROR(IF(ISNUMBER($A892),IF(AND(AH!$P$10=1,AH!$P$12=1,$A892=TODAY()),AH!$P$19,IF(AH!$P$10=1,INDEX('Live History'!$B$5:$B$3004,AH!$P$13+887),INDEX('AH History'!$B$1:$B$18046,AH!$P$7+887))),NA()),NA())</ns0:f>
        <ns0:v/>
      </ns0:c>
      <ns0:c r="D892">
        <ns0:f>IFERROR(IF(ISNUMBER($A892),IF(AND(AH!$P$10=1,AH!$P$12=1,$A892=TODAY()),AH!$P$18,IF(AH!$P$10=1,INDEX('Live History'!$E$5:$E$3004,MATCH($A892,'Live History'!$D$5:$D$3004,1)),INDEX('AH History'!$C$1:$C$18046,AH!$P$7+887))),NA()),NA())</ns0:f>
        <ns0:v/>
      </ns0:c>
      <ns0:c r="E892">
        <ns0:f>IFERROR(IF(ISNUMBER($A892),IF(AND(AH!$P$10=1,AH!$P$12=1,$A892=TODAY()),AH!$P$20,IF(AH!$P$10=1,INDEX('Live History'!$H$5:$H$3004,MATCH($A892,'Live History'!$G$5:$G$3004,1)),INDEX('AH History'!$D$1:$D$18046,AH!$P$7+887))),NA()),NA())</ns0:f>
        <ns0:v/>
      </ns0:c>
      <ns0:c r="F892">
        <ns0:f>IFERROR(IF(ISNUMBER($A892),IF(AND(AH!$P$10=1,AH!$P$12=1,$A892=TODAY()),IF(AND(AH!$P$10=1,AH!$P$12=1,$A892=TODAY()),TODAY(),NA()),IF(AH!$P$10=1,INDEX('Live History'!$D$5:$D$3004,MATCH($A892,'Live History'!$D$5:$D$3004,1)),INDEX('AH History'!$E$1:$E$18046,AH!$P$7+887))),NA()),NA())</ns0:f>
        <ns0:v/>
      </ns0:c>
      <ns0:c r="G892">
        <ns0:f>IFERROR(IF(ISNUMBER($A892),IF(AND(AH!$P$10=1,AH!$P$12=1,$A892=TODAY()),IF(AND(AH!$P$10=1,AH!$P$12=1,$A892=TODAY()),TODAY(),NA()),IF(AH!$P$10=1,INDEX('Live History'!$G$5:$G$3004,MATCH($A892,'Live History'!$G$5:$G$3004,1)),INDEX('AH History'!$F$1:$F$18046,AH!$P$7+887))),NA()),NA())</ns0:f>
        <ns0:v/>
      </ns0:c>
      <ns0:c r="H892">
        <ns0:f>IFERROR(IF(AND(AH!$E$4="Bloomberg",AH!$P$10=1,ISNUMBER($A892),$A892&lt;=AH!$P$17),AH!$P$7-1+MATCH($A892,INDEX('AH History'!$A$1:$A$18046,AH!$P$7):INDEX('AH History'!$A$1:$A$18046,AH!$P$7+AH!$P$8-1),0),0),0)</ns0:f>
        <ns0:v/>
      </ns0:c>
      <ns0:c r="I892">
        <ns0:f>IF($H892=0,0,IFERROR(IF(AND(ABS($C892-INDEX('AH History'!$B$1:$B$18046,$H892))&lt;=MAX(0.005,ABS(INDEX('AH History'!$B$1:$B$18046,$H892))*0.00005),ABS($D892-INDEX('AH History'!$C$1:$C$18046,$H892))&lt;=MAX(0.005,ABS(INDEX('AH History'!$C$1:$C$18046,$H892))*0.00005),ABS($E892-INDEX('AH History'!$D$1:$D$18046,$H892))&lt;=0.00005,$F892=INDEX('AH History'!$E$1:$E$18046,$H892),$G892=INDEX('AH History'!$F$1:$F$18046,$H892)),1,-1),-1))</ns0:f>
        <ns0:v/>
      </ns0:c>
    </ns0:row>
    <ns0:row r="893">
      <ns0:c r="A893" s="215">
        <ns0:f>IF(OR(AH!$P$3=0,888+1&gt;AH!$P$11,AND(AH!$E$4&lt;&gt;"Stored",AH!$P$10&lt;&gt;1)),"",IFERROR(IF(AND(AH!$P$21=1,888+1=AH!$P$11),TODAY(),IF(AH!$P$10=1,INDEX('Live History'!$A$5:$A$3004,AH!$P$13+888),INDEX('AH History'!$A$1:$A$18046,AH!$P$7+888))),""))</ns0:f>
        <ns0:v/>
      </ns0:c>
      <ns0:c r="B893" s="219">
        <ns0:f>IFERROR(IF(AND(AH!$P$9&lt;&gt;1,$C893&gt;0,$D893&gt;0,$E893&gt;0,$F893&gt;0,$G893&gt;0,$F893&lt;=$A893,$G893&lt;=$A893,$A893-$F893&lt;=10,$A893-$G893&lt;=5),$D893*$E893/$C893-1,NA()),NA())</ns0:f>
        <ns0:v/>
      </ns0:c>
      <ns0:c r="C893">
        <ns0:f>IFERROR(IF(ISNUMBER($A893),IF(AND(AH!$P$10=1,AH!$P$12=1,$A893=TODAY()),AH!$P$19,IF(AH!$P$10=1,INDEX('Live History'!$B$5:$B$3004,AH!$P$13+888),INDEX('AH History'!$B$1:$B$18046,AH!$P$7+888))),NA()),NA())</ns0:f>
        <ns0:v/>
      </ns0:c>
      <ns0:c r="D893">
        <ns0:f>IFERROR(IF(ISNUMBER($A893),IF(AND(AH!$P$10=1,AH!$P$12=1,$A893=TODAY()),AH!$P$18,IF(AH!$P$10=1,INDEX('Live History'!$E$5:$E$3004,MATCH($A893,'Live History'!$D$5:$D$3004,1)),INDEX('AH History'!$C$1:$C$18046,AH!$P$7+888))),NA()),NA())</ns0:f>
        <ns0:v/>
      </ns0:c>
      <ns0:c r="E893">
        <ns0:f>IFERROR(IF(ISNUMBER($A893),IF(AND(AH!$P$10=1,AH!$P$12=1,$A893=TODAY()),AH!$P$20,IF(AH!$P$10=1,INDEX('Live History'!$H$5:$H$3004,MATCH($A893,'Live History'!$G$5:$G$3004,1)),INDEX('AH History'!$D$1:$D$18046,AH!$P$7+888))),NA()),NA())</ns0:f>
        <ns0:v/>
      </ns0:c>
      <ns0:c r="F893">
        <ns0:f>IFERROR(IF(ISNUMBER($A893),IF(AND(AH!$P$10=1,AH!$P$12=1,$A893=TODAY()),IF(AND(AH!$P$10=1,AH!$P$12=1,$A893=TODAY()),TODAY(),NA()),IF(AH!$P$10=1,INDEX('Live History'!$D$5:$D$3004,MATCH($A893,'Live History'!$D$5:$D$3004,1)),INDEX('AH History'!$E$1:$E$18046,AH!$P$7+888))),NA()),NA())</ns0:f>
        <ns0:v/>
      </ns0:c>
      <ns0:c r="G893">
        <ns0:f>IFERROR(IF(ISNUMBER($A893),IF(AND(AH!$P$10=1,AH!$P$12=1,$A893=TODAY()),IF(AND(AH!$P$10=1,AH!$P$12=1,$A893=TODAY()),TODAY(),NA()),IF(AH!$P$10=1,INDEX('Live History'!$G$5:$G$3004,MATCH($A893,'Live History'!$G$5:$G$3004,1)),INDEX('AH History'!$F$1:$F$18046,AH!$P$7+888))),NA()),NA())</ns0:f>
        <ns0:v/>
      </ns0:c>
      <ns0:c r="H893">
        <ns0:f>IFERROR(IF(AND(AH!$E$4="Bloomberg",AH!$P$10=1,ISNUMBER($A893),$A893&lt;=AH!$P$17),AH!$P$7-1+MATCH($A893,INDEX('AH History'!$A$1:$A$18046,AH!$P$7):INDEX('AH History'!$A$1:$A$18046,AH!$P$7+AH!$P$8-1),0),0),0)</ns0:f>
        <ns0:v/>
      </ns0:c>
      <ns0:c r="I893">
        <ns0:f>IF($H893=0,0,IFERROR(IF(AND(ABS($C893-INDEX('AH History'!$B$1:$B$18046,$H893))&lt;=MAX(0.005,ABS(INDEX('AH History'!$B$1:$B$18046,$H893))*0.00005),ABS($D893-INDEX('AH History'!$C$1:$C$18046,$H893))&lt;=MAX(0.005,ABS(INDEX('AH History'!$C$1:$C$18046,$H893))*0.00005),ABS($E893-INDEX('AH History'!$D$1:$D$18046,$H893))&lt;=0.00005,$F893=INDEX('AH History'!$E$1:$E$18046,$H893),$G893=INDEX('AH History'!$F$1:$F$18046,$H893)),1,-1),-1))</ns0:f>
        <ns0:v/>
      </ns0:c>
    </ns0:row>
    <ns0:row r="894">
      <ns0:c r="A894" s="215">
        <ns0:f>IF(OR(AH!$P$3=0,889+1&gt;AH!$P$11,AND(AH!$E$4&lt;&gt;"Stored",AH!$P$10&lt;&gt;1)),"",IFERROR(IF(AND(AH!$P$21=1,889+1=AH!$P$11),TODAY(),IF(AH!$P$10=1,INDEX('Live History'!$A$5:$A$3004,AH!$P$13+889),INDEX('AH History'!$A$1:$A$18046,AH!$P$7+889))),""))</ns0:f>
        <ns0:v/>
      </ns0:c>
      <ns0:c r="B894" s="219">
        <ns0:f>IFERROR(IF(AND(AH!$P$9&lt;&gt;1,$C894&gt;0,$D894&gt;0,$E894&gt;0,$F894&gt;0,$G894&gt;0,$F894&lt;=$A894,$G894&lt;=$A894,$A894-$F894&lt;=10,$A894-$G894&lt;=5),$D894*$E894/$C894-1,NA()),NA())</ns0:f>
        <ns0:v/>
      </ns0:c>
      <ns0:c r="C894">
        <ns0:f>IFERROR(IF(ISNUMBER($A894),IF(AND(AH!$P$10=1,AH!$P$12=1,$A894=TODAY()),AH!$P$19,IF(AH!$P$10=1,INDEX('Live History'!$B$5:$B$3004,AH!$P$13+889),INDEX('AH History'!$B$1:$B$18046,AH!$P$7+889))),NA()),NA())</ns0:f>
        <ns0:v/>
      </ns0:c>
      <ns0:c r="D894">
        <ns0:f>IFERROR(IF(ISNUMBER($A894),IF(AND(AH!$P$10=1,AH!$P$12=1,$A894=TODAY()),AH!$P$18,IF(AH!$P$10=1,INDEX('Live History'!$E$5:$E$3004,MATCH($A894,'Live History'!$D$5:$D$3004,1)),INDEX('AH History'!$C$1:$C$18046,AH!$P$7+889))),NA()),NA())</ns0:f>
        <ns0:v/>
      </ns0:c>
      <ns0:c r="E894">
        <ns0:f>IFERROR(IF(ISNUMBER($A894),IF(AND(AH!$P$10=1,AH!$P$12=1,$A894=TODAY()),AH!$P$20,IF(AH!$P$10=1,INDEX('Live History'!$H$5:$H$3004,MATCH($A894,'Live History'!$G$5:$G$3004,1)),INDEX('AH History'!$D$1:$D$18046,AH!$P$7+889))),NA()),NA())</ns0:f>
        <ns0:v/>
      </ns0:c>
      <ns0:c r="F894">
        <ns0:f>IFERROR(IF(ISNUMBER($A894),IF(AND(AH!$P$10=1,AH!$P$12=1,$A894=TODAY()),IF(AND(AH!$P$10=1,AH!$P$12=1,$A894=TODAY()),TODAY(),NA()),IF(AH!$P$10=1,INDEX('Live History'!$D$5:$D$3004,MATCH($A894,'Live History'!$D$5:$D$3004,1)),INDEX('AH History'!$E$1:$E$18046,AH!$P$7+889))),NA()),NA())</ns0:f>
        <ns0:v/>
      </ns0:c>
      <ns0:c r="G894">
        <ns0:f>IFERROR(IF(ISNUMBER($A894),IF(AND(AH!$P$10=1,AH!$P$12=1,$A894=TODAY()),IF(AND(AH!$P$10=1,AH!$P$12=1,$A894=TODAY()),TODAY(),NA()),IF(AH!$P$10=1,INDEX('Live History'!$G$5:$G$3004,MATCH($A894,'Live History'!$G$5:$G$3004,1)),INDEX('AH History'!$F$1:$F$18046,AH!$P$7+889))),NA()),NA())</ns0:f>
        <ns0:v/>
      </ns0:c>
      <ns0:c r="H894">
        <ns0:f>IFERROR(IF(AND(AH!$E$4="Bloomberg",AH!$P$10=1,ISNUMBER($A894),$A894&lt;=AH!$P$17),AH!$P$7-1+MATCH($A894,INDEX('AH History'!$A$1:$A$18046,AH!$P$7):INDEX('AH History'!$A$1:$A$18046,AH!$P$7+AH!$P$8-1),0),0),0)</ns0:f>
        <ns0:v/>
      </ns0:c>
      <ns0:c r="I894">
        <ns0:f>IF($H894=0,0,IFERROR(IF(AND(ABS($C894-INDEX('AH History'!$B$1:$B$18046,$H894))&lt;=MAX(0.005,ABS(INDEX('AH History'!$B$1:$B$18046,$H894))*0.00005),ABS($D894-INDEX('AH History'!$C$1:$C$18046,$H894))&lt;=MAX(0.005,ABS(INDEX('AH History'!$C$1:$C$18046,$H894))*0.00005),ABS($E894-INDEX('AH History'!$D$1:$D$18046,$H894))&lt;=0.00005,$F894=INDEX('AH History'!$E$1:$E$18046,$H894),$G894=INDEX('AH History'!$F$1:$F$18046,$H894)),1,-1),-1))</ns0:f>
        <ns0:v/>
      </ns0:c>
    </ns0:row>
    <ns0:row r="895">
      <ns0:c r="A895" s="215">
        <ns0:f>IF(OR(AH!$P$3=0,890+1&gt;AH!$P$11,AND(AH!$E$4&lt;&gt;"Stored",AH!$P$10&lt;&gt;1)),"",IFERROR(IF(AND(AH!$P$21=1,890+1=AH!$P$11),TODAY(),IF(AH!$P$10=1,INDEX('Live History'!$A$5:$A$3004,AH!$P$13+890),INDEX('AH History'!$A$1:$A$18046,AH!$P$7+890))),""))</ns0:f>
        <ns0:v/>
      </ns0:c>
      <ns0:c r="B895" s="219">
        <ns0:f>IFERROR(IF(AND(AH!$P$9&lt;&gt;1,$C895&gt;0,$D895&gt;0,$E895&gt;0,$F895&gt;0,$G895&gt;0,$F895&lt;=$A895,$G895&lt;=$A895,$A895-$F895&lt;=10,$A895-$G895&lt;=5),$D895*$E895/$C895-1,NA()),NA())</ns0:f>
        <ns0:v/>
      </ns0:c>
      <ns0:c r="C895">
        <ns0:f>IFERROR(IF(ISNUMBER($A895),IF(AND(AH!$P$10=1,AH!$P$12=1,$A895=TODAY()),AH!$P$19,IF(AH!$P$10=1,INDEX('Live History'!$B$5:$B$3004,AH!$P$13+890),INDEX('AH History'!$B$1:$B$18046,AH!$P$7+890))),NA()),NA())</ns0:f>
        <ns0:v/>
      </ns0:c>
      <ns0:c r="D895">
        <ns0:f>IFERROR(IF(ISNUMBER($A895),IF(AND(AH!$P$10=1,AH!$P$12=1,$A895=TODAY()),AH!$P$18,IF(AH!$P$10=1,INDEX('Live History'!$E$5:$E$3004,MATCH($A895,'Live History'!$D$5:$D$3004,1)),INDEX('AH History'!$C$1:$C$18046,AH!$P$7+890))),NA()),NA())</ns0:f>
        <ns0:v/>
      </ns0:c>
      <ns0:c r="E895">
        <ns0:f>IFERROR(IF(ISNUMBER($A895),IF(AND(AH!$P$10=1,AH!$P$12=1,$A895=TODAY()),AH!$P$20,IF(AH!$P$10=1,INDEX('Live History'!$H$5:$H$3004,MATCH($A895,'Live History'!$G$5:$G$3004,1)),INDEX('AH History'!$D$1:$D$18046,AH!$P$7+890))),NA()),NA())</ns0:f>
        <ns0:v/>
      </ns0:c>
      <ns0:c r="F895">
        <ns0:f>IFERROR(IF(ISNUMBER($A895),IF(AND(AH!$P$10=1,AH!$P$12=1,$A895=TODAY()),IF(AND(AH!$P$10=1,AH!$P$12=1,$A895=TODAY()),TODAY(),NA()),IF(AH!$P$10=1,INDEX('Live History'!$D$5:$D$3004,MATCH($A895,'Live History'!$D$5:$D$3004,1)),INDEX('AH History'!$E$1:$E$18046,AH!$P$7+890))),NA()),NA())</ns0:f>
        <ns0:v/>
      </ns0:c>
      <ns0:c r="G895">
        <ns0:f>IFERROR(IF(ISNUMBER($A895),IF(AND(AH!$P$10=1,AH!$P$12=1,$A895=TODAY()),IF(AND(AH!$P$10=1,AH!$P$12=1,$A895=TODAY()),TODAY(),NA()),IF(AH!$P$10=1,INDEX('Live History'!$G$5:$G$3004,MATCH($A895,'Live History'!$G$5:$G$3004,1)),INDEX('AH History'!$F$1:$F$18046,AH!$P$7+890))),NA()),NA())</ns0:f>
        <ns0:v/>
      </ns0:c>
      <ns0:c r="H895">
        <ns0:f>IFERROR(IF(AND(AH!$E$4="Bloomberg",AH!$P$10=1,ISNUMBER($A895),$A895&lt;=AH!$P$17),AH!$P$7-1+MATCH($A895,INDEX('AH History'!$A$1:$A$18046,AH!$P$7):INDEX('AH History'!$A$1:$A$18046,AH!$P$7+AH!$P$8-1),0),0),0)</ns0:f>
        <ns0:v/>
      </ns0:c>
      <ns0:c r="I895">
        <ns0:f>IF($H895=0,0,IFERROR(IF(AND(ABS($C895-INDEX('AH History'!$B$1:$B$18046,$H895))&lt;=MAX(0.005,ABS(INDEX('AH History'!$B$1:$B$18046,$H895))*0.00005),ABS($D895-INDEX('AH History'!$C$1:$C$18046,$H895))&lt;=MAX(0.005,ABS(INDEX('AH History'!$C$1:$C$18046,$H895))*0.00005),ABS($E895-INDEX('AH History'!$D$1:$D$18046,$H895))&lt;=0.00005,$F895=INDEX('AH History'!$E$1:$E$18046,$H895),$G895=INDEX('AH History'!$F$1:$F$18046,$H895)),1,-1),-1))</ns0:f>
        <ns0:v/>
      </ns0:c>
    </ns0:row>
    <ns0:row r="896">
      <ns0:c r="A896" s="215">
        <ns0:f>IF(OR(AH!$P$3=0,891+1&gt;AH!$P$11,AND(AH!$E$4&lt;&gt;"Stored",AH!$P$10&lt;&gt;1)),"",IFERROR(IF(AND(AH!$P$21=1,891+1=AH!$P$11),TODAY(),IF(AH!$P$10=1,INDEX('Live History'!$A$5:$A$3004,AH!$P$13+891),INDEX('AH History'!$A$1:$A$18046,AH!$P$7+891))),""))</ns0:f>
        <ns0:v/>
      </ns0:c>
      <ns0:c r="B896" s="219">
        <ns0:f>IFERROR(IF(AND(AH!$P$9&lt;&gt;1,$C896&gt;0,$D896&gt;0,$E896&gt;0,$F896&gt;0,$G896&gt;0,$F896&lt;=$A896,$G896&lt;=$A896,$A896-$F896&lt;=10,$A896-$G896&lt;=5),$D896*$E896/$C896-1,NA()),NA())</ns0:f>
        <ns0:v/>
      </ns0:c>
      <ns0:c r="C896">
        <ns0:f>IFERROR(IF(ISNUMBER($A896),IF(AND(AH!$P$10=1,AH!$P$12=1,$A896=TODAY()),AH!$P$19,IF(AH!$P$10=1,INDEX('Live History'!$B$5:$B$3004,AH!$P$13+891),INDEX('AH History'!$B$1:$B$18046,AH!$P$7+891))),NA()),NA())</ns0:f>
        <ns0:v/>
      </ns0:c>
      <ns0:c r="D896">
        <ns0:f>IFERROR(IF(ISNUMBER($A896),IF(AND(AH!$P$10=1,AH!$P$12=1,$A896=TODAY()),AH!$P$18,IF(AH!$P$10=1,INDEX('Live History'!$E$5:$E$3004,MATCH($A896,'Live History'!$D$5:$D$3004,1)),INDEX('AH History'!$C$1:$C$18046,AH!$P$7+891))),NA()),NA())</ns0:f>
        <ns0:v/>
      </ns0:c>
      <ns0:c r="E896">
        <ns0:f>IFERROR(IF(ISNUMBER($A896),IF(AND(AH!$P$10=1,AH!$P$12=1,$A896=TODAY()),AH!$P$20,IF(AH!$P$10=1,INDEX('Live History'!$H$5:$H$3004,MATCH($A896,'Live History'!$G$5:$G$3004,1)),INDEX('AH History'!$D$1:$D$18046,AH!$P$7+891))),NA()),NA())</ns0:f>
        <ns0:v/>
      </ns0:c>
      <ns0:c r="F896">
        <ns0:f>IFERROR(IF(ISNUMBER($A896),IF(AND(AH!$P$10=1,AH!$P$12=1,$A896=TODAY()),IF(AND(AH!$P$10=1,AH!$P$12=1,$A896=TODAY()),TODAY(),NA()),IF(AH!$P$10=1,INDEX('Live History'!$D$5:$D$3004,MATCH($A896,'Live History'!$D$5:$D$3004,1)),INDEX('AH History'!$E$1:$E$18046,AH!$P$7+891))),NA()),NA())</ns0:f>
        <ns0:v/>
      </ns0:c>
      <ns0:c r="G896">
        <ns0:f>IFERROR(IF(ISNUMBER($A896),IF(AND(AH!$P$10=1,AH!$P$12=1,$A896=TODAY()),IF(AND(AH!$P$10=1,AH!$P$12=1,$A896=TODAY()),TODAY(),NA()),IF(AH!$P$10=1,INDEX('Live History'!$G$5:$G$3004,MATCH($A896,'Live History'!$G$5:$G$3004,1)),INDEX('AH History'!$F$1:$F$18046,AH!$P$7+891))),NA()),NA())</ns0:f>
        <ns0:v/>
      </ns0:c>
      <ns0:c r="H896">
        <ns0:f>IFERROR(IF(AND(AH!$E$4="Bloomberg",AH!$P$10=1,ISNUMBER($A896),$A896&lt;=AH!$P$17),AH!$P$7-1+MATCH($A896,INDEX('AH History'!$A$1:$A$18046,AH!$P$7):INDEX('AH History'!$A$1:$A$18046,AH!$P$7+AH!$P$8-1),0),0),0)</ns0:f>
        <ns0:v/>
      </ns0:c>
      <ns0:c r="I896">
        <ns0:f>IF($H896=0,0,IFERROR(IF(AND(ABS($C896-INDEX('AH History'!$B$1:$B$18046,$H896))&lt;=MAX(0.005,ABS(INDEX('AH History'!$B$1:$B$18046,$H896))*0.00005),ABS($D896-INDEX('AH History'!$C$1:$C$18046,$H896))&lt;=MAX(0.005,ABS(INDEX('AH History'!$C$1:$C$18046,$H896))*0.00005),ABS($E896-INDEX('AH History'!$D$1:$D$18046,$H896))&lt;=0.00005,$F896=INDEX('AH History'!$E$1:$E$18046,$H896),$G896=INDEX('AH History'!$F$1:$F$18046,$H896)),1,-1),-1))</ns0:f>
        <ns0:v/>
      </ns0:c>
    </ns0:row>
    <ns0:row r="897">
      <ns0:c r="A897" s="215">
        <ns0:f>IF(OR(AH!$P$3=0,892+1&gt;AH!$P$11,AND(AH!$E$4&lt;&gt;"Stored",AH!$P$10&lt;&gt;1)),"",IFERROR(IF(AND(AH!$P$21=1,892+1=AH!$P$11),TODAY(),IF(AH!$P$10=1,INDEX('Live History'!$A$5:$A$3004,AH!$P$13+892),INDEX('AH History'!$A$1:$A$18046,AH!$P$7+892))),""))</ns0:f>
        <ns0:v/>
      </ns0:c>
      <ns0:c r="B897" s="219">
        <ns0:f>IFERROR(IF(AND(AH!$P$9&lt;&gt;1,$C897&gt;0,$D897&gt;0,$E897&gt;0,$F897&gt;0,$G897&gt;0,$F897&lt;=$A897,$G897&lt;=$A897,$A897-$F897&lt;=10,$A897-$G897&lt;=5),$D897*$E897/$C897-1,NA()),NA())</ns0:f>
        <ns0:v/>
      </ns0:c>
      <ns0:c r="C897">
        <ns0:f>IFERROR(IF(ISNUMBER($A897),IF(AND(AH!$P$10=1,AH!$P$12=1,$A897=TODAY()),AH!$P$19,IF(AH!$P$10=1,INDEX('Live History'!$B$5:$B$3004,AH!$P$13+892),INDEX('AH History'!$B$1:$B$18046,AH!$P$7+892))),NA()),NA())</ns0:f>
        <ns0:v/>
      </ns0:c>
      <ns0:c r="D897">
        <ns0:f>IFERROR(IF(ISNUMBER($A897),IF(AND(AH!$P$10=1,AH!$P$12=1,$A897=TODAY()),AH!$P$18,IF(AH!$P$10=1,INDEX('Live History'!$E$5:$E$3004,MATCH($A897,'Live History'!$D$5:$D$3004,1)),INDEX('AH History'!$C$1:$C$18046,AH!$P$7+892))),NA()),NA())</ns0:f>
        <ns0:v/>
      </ns0:c>
      <ns0:c r="E897">
        <ns0:f>IFERROR(IF(ISNUMBER($A897),IF(AND(AH!$P$10=1,AH!$P$12=1,$A897=TODAY()),AH!$P$20,IF(AH!$P$10=1,INDEX('Live History'!$H$5:$H$3004,MATCH($A897,'Live History'!$G$5:$G$3004,1)),INDEX('AH History'!$D$1:$D$18046,AH!$P$7+892))),NA()),NA())</ns0:f>
        <ns0:v/>
      </ns0:c>
      <ns0:c r="F897">
        <ns0:f>IFERROR(IF(ISNUMBER($A897),IF(AND(AH!$P$10=1,AH!$P$12=1,$A897=TODAY()),IF(AND(AH!$P$10=1,AH!$P$12=1,$A897=TODAY()),TODAY(),NA()),IF(AH!$P$10=1,INDEX('Live History'!$D$5:$D$3004,MATCH($A897,'Live History'!$D$5:$D$3004,1)),INDEX('AH History'!$E$1:$E$18046,AH!$P$7+892))),NA()),NA())</ns0:f>
        <ns0:v/>
      </ns0:c>
      <ns0:c r="G897">
        <ns0:f>IFERROR(IF(ISNUMBER($A897),IF(AND(AH!$P$10=1,AH!$P$12=1,$A897=TODAY()),IF(AND(AH!$P$10=1,AH!$P$12=1,$A897=TODAY()),TODAY(),NA()),IF(AH!$P$10=1,INDEX('Live History'!$G$5:$G$3004,MATCH($A897,'Live History'!$G$5:$G$3004,1)),INDEX('AH History'!$F$1:$F$18046,AH!$P$7+892))),NA()),NA())</ns0:f>
        <ns0:v/>
      </ns0:c>
      <ns0:c r="H897">
        <ns0:f>IFERROR(IF(AND(AH!$E$4="Bloomberg",AH!$P$10=1,ISNUMBER($A897),$A897&lt;=AH!$P$17),AH!$P$7-1+MATCH($A897,INDEX('AH History'!$A$1:$A$18046,AH!$P$7):INDEX('AH History'!$A$1:$A$18046,AH!$P$7+AH!$P$8-1),0),0),0)</ns0:f>
        <ns0:v/>
      </ns0:c>
      <ns0:c r="I897">
        <ns0:f>IF($H897=0,0,IFERROR(IF(AND(ABS($C897-INDEX('AH History'!$B$1:$B$18046,$H897))&lt;=MAX(0.005,ABS(INDEX('AH History'!$B$1:$B$18046,$H897))*0.00005),ABS($D897-INDEX('AH History'!$C$1:$C$18046,$H897))&lt;=MAX(0.005,ABS(INDEX('AH History'!$C$1:$C$18046,$H897))*0.00005),ABS($E897-INDEX('AH History'!$D$1:$D$18046,$H897))&lt;=0.00005,$F897=INDEX('AH History'!$E$1:$E$18046,$H897),$G897=INDEX('AH History'!$F$1:$F$18046,$H897)),1,-1),-1))</ns0:f>
        <ns0:v/>
      </ns0:c>
    </ns0:row>
    <ns0:row r="898">
      <ns0:c r="A898" s="215">
        <ns0:f>IF(OR(AH!$P$3=0,893+1&gt;AH!$P$11,AND(AH!$E$4&lt;&gt;"Stored",AH!$P$10&lt;&gt;1)),"",IFERROR(IF(AND(AH!$P$21=1,893+1=AH!$P$11),TODAY(),IF(AH!$P$10=1,INDEX('Live History'!$A$5:$A$3004,AH!$P$13+893),INDEX('AH History'!$A$1:$A$18046,AH!$P$7+893))),""))</ns0:f>
        <ns0:v/>
      </ns0:c>
      <ns0:c r="B898" s="219">
        <ns0:f>IFERROR(IF(AND(AH!$P$9&lt;&gt;1,$C898&gt;0,$D898&gt;0,$E898&gt;0,$F898&gt;0,$G898&gt;0,$F898&lt;=$A898,$G898&lt;=$A898,$A898-$F898&lt;=10,$A898-$G898&lt;=5),$D898*$E898/$C898-1,NA()),NA())</ns0:f>
        <ns0:v/>
      </ns0:c>
      <ns0:c r="C898">
        <ns0:f>IFERROR(IF(ISNUMBER($A898),IF(AND(AH!$P$10=1,AH!$P$12=1,$A898=TODAY()),AH!$P$19,IF(AH!$P$10=1,INDEX('Live History'!$B$5:$B$3004,AH!$P$13+893),INDEX('AH History'!$B$1:$B$18046,AH!$P$7+893))),NA()),NA())</ns0:f>
        <ns0:v/>
      </ns0:c>
      <ns0:c r="D898">
        <ns0:f>IFERROR(IF(ISNUMBER($A898),IF(AND(AH!$P$10=1,AH!$P$12=1,$A898=TODAY()),AH!$P$18,IF(AH!$P$10=1,INDEX('Live History'!$E$5:$E$3004,MATCH($A898,'Live History'!$D$5:$D$3004,1)),INDEX('AH History'!$C$1:$C$18046,AH!$P$7+893))),NA()),NA())</ns0:f>
        <ns0:v/>
      </ns0:c>
      <ns0:c r="E898">
        <ns0:f>IFERROR(IF(ISNUMBER($A898),IF(AND(AH!$P$10=1,AH!$P$12=1,$A898=TODAY()),AH!$P$20,IF(AH!$P$10=1,INDEX('Live History'!$H$5:$H$3004,MATCH($A898,'Live History'!$G$5:$G$3004,1)),INDEX('AH History'!$D$1:$D$18046,AH!$P$7+893))),NA()),NA())</ns0:f>
        <ns0:v/>
      </ns0:c>
      <ns0:c r="F898">
        <ns0:f>IFERROR(IF(ISNUMBER($A898),IF(AND(AH!$P$10=1,AH!$P$12=1,$A898=TODAY()),IF(AND(AH!$P$10=1,AH!$P$12=1,$A898=TODAY()),TODAY(),NA()),IF(AH!$P$10=1,INDEX('Live History'!$D$5:$D$3004,MATCH($A898,'Live History'!$D$5:$D$3004,1)),INDEX('AH History'!$E$1:$E$18046,AH!$P$7+893))),NA()),NA())</ns0:f>
        <ns0:v/>
      </ns0:c>
      <ns0:c r="G898">
        <ns0:f>IFERROR(IF(ISNUMBER($A898),IF(AND(AH!$P$10=1,AH!$P$12=1,$A898=TODAY()),IF(AND(AH!$P$10=1,AH!$P$12=1,$A898=TODAY()),TODAY(),NA()),IF(AH!$P$10=1,INDEX('Live History'!$G$5:$G$3004,MATCH($A898,'Live History'!$G$5:$G$3004,1)),INDEX('AH History'!$F$1:$F$18046,AH!$P$7+893))),NA()),NA())</ns0:f>
        <ns0:v/>
      </ns0:c>
      <ns0:c r="H898">
        <ns0:f>IFERROR(IF(AND(AH!$E$4="Bloomberg",AH!$P$10=1,ISNUMBER($A898),$A898&lt;=AH!$P$17),AH!$P$7-1+MATCH($A898,INDEX('AH History'!$A$1:$A$18046,AH!$P$7):INDEX('AH History'!$A$1:$A$18046,AH!$P$7+AH!$P$8-1),0),0),0)</ns0:f>
        <ns0:v/>
      </ns0:c>
      <ns0:c r="I898">
        <ns0:f>IF($H898=0,0,IFERROR(IF(AND(ABS($C898-INDEX('AH History'!$B$1:$B$18046,$H898))&lt;=MAX(0.005,ABS(INDEX('AH History'!$B$1:$B$18046,$H898))*0.00005),ABS($D898-INDEX('AH History'!$C$1:$C$18046,$H898))&lt;=MAX(0.005,ABS(INDEX('AH History'!$C$1:$C$18046,$H898))*0.00005),ABS($E898-INDEX('AH History'!$D$1:$D$18046,$H898))&lt;=0.00005,$F898=INDEX('AH History'!$E$1:$E$18046,$H898),$G898=INDEX('AH History'!$F$1:$F$18046,$H898)),1,-1),-1))</ns0:f>
        <ns0:v/>
      </ns0:c>
    </ns0:row>
    <ns0:row r="899">
      <ns0:c r="A899" s="215">
        <ns0:f>IF(OR(AH!$P$3=0,894+1&gt;AH!$P$11,AND(AH!$E$4&lt;&gt;"Stored",AH!$P$10&lt;&gt;1)),"",IFERROR(IF(AND(AH!$P$21=1,894+1=AH!$P$11),TODAY(),IF(AH!$P$10=1,INDEX('Live History'!$A$5:$A$3004,AH!$P$13+894),INDEX('AH History'!$A$1:$A$18046,AH!$P$7+894))),""))</ns0:f>
        <ns0:v/>
      </ns0:c>
      <ns0:c r="B899" s="219">
        <ns0:f>IFERROR(IF(AND(AH!$P$9&lt;&gt;1,$C899&gt;0,$D899&gt;0,$E899&gt;0,$F899&gt;0,$G899&gt;0,$F899&lt;=$A899,$G899&lt;=$A899,$A899-$F899&lt;=10,$A899-$G899&lt;=5),$D899*$E899/$C899-1,NA()),NA())</ns0:f>
        <ns0:v/>
      </ns0:c>
      <ns0:c r="C899">
        <ns0:f>IFERROR(IF(ISNUMBER($A899),IF(AND(AH!$P$10=1,AH!$P$12=1,$A899=TODAY()),AH!$P$19,IF(AH!$P$10=1,INDEX('Live History'!$B$5:$B$3004,AH!$P$13+894),INDEX('AH History'!$B$1:$B$18046,AH!$P$7+894))),NA()),NA())</ns0:f>
        <ns0:v/>
      </ns0:c>
      <ns0:c r="D899">
        <ns0:f>IFERROR(IF(ISNUMBER($A899),IF(AND(AH!$P$10=1,AH!$P$12=1,$A899=TODAY()),AH!$P$18,IF(AH!$P$10=1,INDEX('Live History'!$E$5:$E$3004,MATCH($A899,'Live History'!$D$5:$D$3004,1)),INDEX('AH History'!$C$1:$C$18046,AH!$P$7+894))),NA()),NA())</ns0:f>
        <ns0:v/>
      </ns0:c>
      <ns0:c r="E899">
        <ns0:f>IFERROR(IF(ISNUMBER($A899),IF(AND(AH!$P$10=1,AH!$P$12=1,$A899=TODAY()),AH!$P$20,IF(AH!$P$10=1,INDEX('Live History'!$H$5:$H$3004,MATCH($A899,'Live History'!$G$5:$G$3004,1)),INDEX('AH History'!$D$1:$D$18046,AH!$P$7+894))),NA()),NA())</ns0:f>
        <ns0:v/>
      </ns0:c>
      <ns0:c r="F899">
        <ns0:f>IFERROR(IF(ISNUMBER($A899),IF(AND(AH!$P$10=1,AH!$P$12=1,$A899=TODAY()),IF(AND(AH!$P$10=1,AH!$P$12=1,$A899=TODAY()),TODAY(),NA()),IF(AH!$P$10=1,INDEX('Live History'!$D$5:$D$3004,MATCH($A899,'Live History'!$D$5:$D$3004,1)),INDEX('AH History'!$E$1:$E$18046,AH!$P$7+894))),NA()),NA())</ns0:f>
        <ns0:v/>
      </ns0:c>
      <ns0:c r="G899">
        <ns0:f>IFERROR(IF(ISNUMBER($A899),IF(AND(AH!$P$10=1,AH!$P$12=1,$A899=TODAY()),IF(AND(AH!$P$10=1,AH!$P$12=1,$A899=TODAY()),TODAY(),NA()),IF(AH!$P$10=1,INDEX('Live History'!$G$5:$G$3004,MATCH($A899,'Live History'!$G$5:$G$3004,1)),INDEX('AH History'!$F$1:$F$18046,AH!$P$7+894))),NA()),NA())</ns0:f>
        <ns0:v/>
      </ns0:c>
      <ns0:c r="H899">
        <ns0:f>IFERROR(IF(AND(AH!$E$4="Bloomberg",AH!$P$10=1,ISNUMBER($A899),$A899&lt;=AH!$P$17),AH!$P$7-1+MATCH($A899,INDEX('AH History'!$A$1:$A$18046,AH!$P$7):INDEX('AH History'!$A$1:$A$18046,AH!$P$7+AH!$P$8-1),0),0),0)</ns0:f>
        <ns0:v/>
      </ns0:c>
      <ns0:c r="I899">
        <ns0:f>IF($H899=0,0,IFERROR(IF(AND(ABS($C899-INDEX('AH History'!$B$1:$B$18046,$H899))&lt;=MAX(0.005,ABS(INDEX('AH History'!$B$1:$B$18046,$H899))*0.00005),ABS($D899-INDEX('AH History'!$C$1:$C$18046,$H899))&lt;=MAX(0.005,ABS(INDEX('AH History'!$C$1:$C$18046,$H899))*0.00005),ABS($E899-INDEX('AH History'!$D$1:$D$18046,$H899))&lt;=0.00005,$F899=INDEX('AH History'!$E$1:$E$18046,$H899),$G899=INDEX('AH History'!$F$1:$F$18046,$H899)),1,-1),-1))</ns0:f>
        <ns0:v/>
      </ns0:c>
    </ns0:row>
    <ns0:row r="900">
      <ns0:c r="A900" s="215">
        <ns0:f>IF(OR(AH!$P$3=0,895+1&gt;AH!$P$11,AND(AH!$E$4&lt;&gt;"Stored",AH!$P$10&lt;&gt;1)),"",IFERROR(IF(AND(AH!$P$21=1,895+1=AH!$P$11),TODAY(),IF(AH!$P$10=1,INDEX('Live History'!$A$5:$A$3004,AH!$P$13+895),INDEX('AH History'!$A$1:$A$18046,AH!$P$7+895))),""))</ns0:f>
        <ns0:v/>
      </ns0:c>
      <ns0:c r="B900" s="219">
        <ns0:f>IFERROR(IF(AND(AH!$P$9&lt;&gt;1,$C900&gt;0,$D900&gt;0,$E900&gt;0,$F900&gt;0,$G900&gt;0,$F900&lt;=$A900,$G900&lt;=$A900,$A900-$F900&lt;=10,$A900-$G900&lt;=5),$D900*$E900/$C900-1,NA()),NA())</ns0:f>
        <ns0:v/>
      </ns0:c>
      <ns0:c r="C900">
        <ns0:f>IFERROR(IF(ISNUMBER($A900),IF(AND(AH!$P$10=1,AH!$P$12=1,$A900=TODAY()),AH!$P$19,IF(AH!$P$10=1,INDEX('Live History'!$B$5:$B$3004,AH!$P$13+895),INDEX('AH History'!$B$1:$B$18046,AH!$P$7+895))),NA()),NA())</ns0:f>
        <ns0:v/>
      </ns0:c>
      <ns0:c r="D900">
        <ns0:f>IFERROR(IF(ISNUMBER($A900),IF(AND(AH!$P$10=1,AH!$P$12=1,$A900=TODAY()),AH!$P$18,IF(AH!$P$10=1,INDEX('Live History'!$E$5:$E$3004,MATCH($A900,'Live History'!$D$5:$D$3004,1)),INDEX('AH History'!$C$1:$C$18046,AH!$P$7+895))),NA()),NA())</ns0:f>
        <ns0:v/>
      </ns0:c>
      <ns0:c r="E900">
        <ns0:f>IFERROR(IF(ISNUMBER($A900),IF(AND(AH!$P$10=1,AH!$P$12=1,$A900=TODAY()),AH!$P$20,IF(AH!$P$10=1,INDEX('Live History'!$H$5:$H$3004,MATCH($A900,'Live History'!$G$5:$G$3004,1)),INDEX('AH History'!$D$1:$D$18046,AH!$P$7+895))),NA()),NA())</ns0:f>
        <ns0:v/>
      </ns0:c>
      <ns0:c r="F900">
        <ns0:f>IFERROR(IF(ISNUMBER($A900),IF(AND(AH!$P$10=1,AH!$P$12=1,$A900=TODAY()),IF(AND(AH!$P$10=1,AH!$P$12=1,$A900=TODAY()),TODAY(),NA()),IF(AH!$P$10=1,INDEX('Live History'!$D$5:$D$3004,MATCH($A900,'Live History'!$D$5:$D$3004,1)),INDEX('AH History'!$E$1:$E$18046,AH!$P$7+895))),NA()),NA())</ns0:f>
        <ns0:v/>
      </ns0:c>
      <ns0:c r="G900">
        <ns0:f>IFERROR(IF(ISNUMBER($A900),IF(AND(AH!$P$10=1,AH!$P$12=1,$A900=TODAY()),IF(AND(AH!$P$10=1,AH!$P$12=1,$A900=TODAY()),TODAY(),NA()),IF(AH!$P$10=1,INDEX('Live History'!$G$5:$G$3004,MATCH($A900,'Live History'!$G$5:$G$3004,1)),INDEX('AH History'!$F$1:$F$18046,AH!$P$7+895))),NA()),NA())</ns0:f>
        <ns0:v/>
      </ns0:c>
      <ns0:c r="H900">
        <ns0:f>IFERROR(IF(AND(AH!$E$4="Bloomberg",AH!$P$10=1,ISNUMBER($A900),$A900&lt;=AH!$P$17),AH!$P$7-1+MATCH($A900,INDEX('AH History'!$A$1:$A$18046,AH!$P$7):INDEX('AH History'!$A$1:$A$18046,AH!$P$7+AH!$P$8-1),0),0),0)</ns0:f>
        <ns0:v/>
      </ns0:c>
      <ns0:c r="I900">
        <ns0:f>IF($H900=0,0,IFERROR(IF(AND(ABS($C900-INDEX('AH History'!$B$1:$B$18046,$H900))&lt;=MAX(0.005,ABS(INDEX('AH History'!$B$1:$B$18046,$H900))*0.00005),ABS($D900-INDEX('AH History'!$C$1:$C$18046,$H900))&lt;=MAX(0.005,ABS(INDEX('AH History'!$C$1:$C$18046,$H900))*0.00005),ABS($E900-INDEX('AH History'!$D$1:$D$18046,$H900))&lt;=0.00005,$F900=INDEX('AH History'!$E$1:$E$18046,$H900),$G900=INDEX('AH History'!$F$1:$F$18046,$H900)),1,-1),-1))</ns0:f>
        <ns0:v/>
      </ns0:c>
    </ns0:row>
    <ns0:row r="901">
      <ns0:c r="A901" s="215">
        <ns0:f>IF(OR(AH!$P$3=0,896+1&gt;AH!$P$11,AND(AH!$E$4&lt;&gt;"Stored",AH!$P$10&lt;&gt;1)),"",IFERROR(IF(AND(AH!$P$21=1,896+1=AH!$P$11),TODAY(),IF(AH!$P$10=1,INDEX('Live History'!$A$5:$A$3004,AH!$P$13+896),INDEX('AH History'!$A$1:$A$18046,AH!$P$7+896))),""))</ns0:f>
        <ns0:v/>
      </ns0:c>
      <ns0:c r="B901" s="219">
        <ns0:f>IFERROR(IF(AND(AH!$P$9&lt;&gt;1,$C901&gt;0,$D901&gt;0,$E901&gt;0,$F901&gt;0,$G901&gt;0,$F901&lt;=$A901,$G901&lt;=$A901,$A901-$F901&lt;=10,$A901-$G901&lt;=5),$D901*$E901/$C901-1,NA()),NA())</ns0:f>
        <ns0:v/>
      </ns0:c>
      <ns0:c r="C901">
        <ns0:f>IFERROR(IF(ISNUMBER($A901),IF(AND(AH!$P$10=1,AH!$P$12=1,$A901=TODAY()),AH!$P$19,IF(AH!$P$10=1,INDEX('Live History'!$B$5:$B$3004,AH!$P$13+896),INDEX('AH History'!$B$1:$B$18046,AH!$P$7+896))),NA()),NA())</ns0:f>
        <ns0:v/>
      </ns0:c>
      <ns0:c r="D901">
        <ns0:f>IFERROR(IF(ISNUMBER($A901),IF(AND(AH!$P$10=1,AH!$P$12=1,$A901=TODAY()),AH!$P$18,IF(AH!$P$10=1,INDEX('Live History'!$E$5:$E$3004,MATCH($A901,'Live History'!$D$5:$D$3004,1)),INDEX('AH History'!$C$1:$C$18046,AH!$P$7+896))),NA()),NA())</ns0:f>
        <ns0:v/>
      </ns0:c>
      <ns0:c r="E901">
        <ns0:f>IFERROR(IF(ISNUMBER($A901),IF(AND(AH!$P$10=1,AH!$P$12=1,$A901=TODAY()),AH!$P$20,IF(AH!$P$10=1,INDEX('Live History'!$H$5:$H$3004,MATCH($A901,'Live History'!$G$5:$G$3004,1)),INDEX('AH History'!$D$1:$D$18046,AH!$P$7+896))),NA()),NA())</ns0:f>
        <ns0:v/>
      </ns0:c>
      <ns0:c r="F901">
        <ns0:f>IFERROR(IF(ISNUMBER($A901),IF(AND(AH!$P$10=1,AH!$P$12=1,$A901=TODAY()),IF(AND(AH!$P$10=1,AH!$P$12=1,$A901=TODAY()),TODAY(),NA()),IF(AH!$P$10=1,INDEX('Live History'!$D$5:$D$3004,MATCH($A901,'Live History'!$D$5:$D$3004,1)),INDEX('AH History'!$E$1:$E$18046,AH!$P$7+896))),NA()),NA())</ns0:f>
        <ns0:v/>
      </ns0:c>
      <ns0:c r="G901">
        <ns0:f>IFERROR(IF(ISNUMBER($A901),IF(AND(AH!$P$10=1,AH!$P$12=1,$A901=TODAY()),IF(AND(AH!$P$10=1,AH!$P$12=1,$A901=TODAY()),TODAY(),NA()),IF(AH!$P$10=1,INDEX('Live History'!$G$5:$G$3004,MATCH($A901,'Live History'!$G$5:$G$3004,1)),INDEX('AH History'!$F$1:$F$18046,AH!$P$7+896))),NA()),NA())</ns0:f>
        <ns0:v/>
      </ns0:c>
      <ns0:c r="H901">
        <ns0:f>IFERROR(IF(AND(AH!$E$4="Bloomberg",AH!$P$10=1,ISNUMBER($A901),$A901&lt;=AH!$P$17),AH!$P$7-1+MATCH($A901,INDEX('AH History'!$A$1:$A$18046,AH!$P$7):INDEX('AH History'!$A$1:$A$18046,AH!$P$7+AH!$P$8-1),0),0),0)</ns0:f>
        <ns0:v/>
      </ns0:c>
      <ns0:c r="I901">
        <ns0:f>IF($H901=0,0,IFERROR(IF(AND(ABS($C901-INDEX('AH History'!$B$1:$B$18046,$H901))&lt;=MAX(0.005,ABS(INDEX('AH History'!$B$1:$B$18046,$H901))*0.00005),ABS($D901-INDEX('AH History'!$C$1:$C$18046,$H901))&lt;=MAX(0.005,ABS(INDEX('AH History'!$C$1:$C$18046,$H901))*0.00005),ABS($E901-INDEX('AH History'!$D$1:$D$18046,$H901))&lt;=0.00005,$F901=INDEX('AH History'!$E$1:$E$18046,$H901),$G901=INDEX('AH History'!$F$1:$F$18046,$H901)),1,-1),-1))</ns0:f>
        <ns0:v/>
      </ns0:c>
    </ns0:row>
    <ns0:row r="902">
      <ns0:c r="A902" s="215">
        <ns0:f>IF(OR(AH!$P$3=0,897+1&gt;AH!$P$11,AND(AH!$E$4&lt;&gt;"Stored",AH!$P$10&lt;&gt;1)),"",IFERROR(IF(AND(AH!$P$21=1,897+1=AH!$P$11),TODAY(),IF(AH!$P$10=1,INDEX('Live History'!$A$5:$A$3004,AH!$P$13+897),INDEX('AH History'!$A$1:$A$18046,AH!$P$7+897))),""))</ns0:f>
        <ns0:v/>
      </ns0:c>
      <ns0:c r="B902" s="219">
        <ns0:f>IFERROR(IF(AND(AH!$P$9&lt;&gt;1,$C902&gt;0,$D902&gt;0,$E902&gt;0,$F902&gt;0,$G902&gt;0,$F902&lt;=$A902,$G902&lt;=$A902,$A902-$F902&lt;=10,$A902-$G902&lt;=5),$D902*$E902/$C902-1,NA()),NA())</ns0:f>
        <ns0:v/>
      </ns0:c>
      <ns0:c r="C902">
        <ns0:f>IFERROR(IF(ISNUMBER($A902),IF(AND(AH!$P$10=1,AH!$P$12=1,$A902=TODAY()),AH!$P$19,IF(AH!$P$10=1,INDEX('Live History'!$B$5:$B$3004,AH!$P$13+897),INDEX('AH History'!$B$1:$B$18046,AH!$P$7+897))),NA()),NA())</ns0:f>
        <ns0:v/>
      </ns0:c>
      <ns0:c r="D902">
        <ns0:f>IFERROR(IF(ISNUMBER($A902),IF(AND(AH!$P$10=1,AH!$P$12=1,$A902=TODAY()),AH!$P$18,IF(AH!$P$10=1,INDEX('Live History'!$E$5:$E$3004,MATCH($A902,'Live History'!$D$5:$D$3004,1)),INDEX('AH History'!$C$1:$C$18046,AH!$P$7+897))),NA()),NA())</ns0:f>
        <ns0:v/>
      </ns0:c>
      <ns0:c r="E902">
        <ns0:f>IFERROR(IF(ISNUMBER($A902),IF(AND(AH!$P$10=1,AH!$P$12=1,$A902=TODAY()),AH!$P$20,IF(AH!$P$10=1,INDEX('Live History'!$H$5:$H$3004,MATCH($A902,'Live History'!$G$5:$G$3004,1)),INDEX('AH History'!$D$1:$D$18046,AH!$P$7+897))),NA()),NA())</ns0:f>
        <ns0:v/>
      </ns0:c>
      <ns0:c r="F902">
        <ns0:f>IFERROR(IF(ISNUMBER($A902),IF(AND(AH!$P$10=1,AH!$P$12=1,$A902=TODAY()),IF(AND(AH!$P$10=1,AH!$P$12=1,$A902=TODAY()),TODAY(),NA()),IF(AH!$P$10=1,INDEX('Live History'!$D$5:$D$3004,MATCH($A902,'Live History'!$D$5:$D$3004,1)),INDEX('AH History'!$E$1:$E$18046,AH!$P$7+897))),NA()),NA())</ns0:f>
        <ns0:v/>
      </ns0:c>
      <ns0:c r="G902">
        <ns0:f>IFERROR(IF(ISNUMBER($A902),IF(AND(AH!$P$10=1,AH!$P$12=1,$A902=TODAY()),IF(AND(AH!$P$10=1,AH!$P$12=1,$A902=TODAY()),TODAY(),NA()),IF(AH!$P$10=1,INDEX('Live History'!$G$5:$G$3004,MATCH($A902,'Live History'!$G$5:$G$3004,1)),INDEX('AH History'!$F$1:$F$18046,AH!$P$7+897))),NA()),NA())</ns0:f>
        <ns0:v/>
      </ns0:c>
      <ns0:c r="H902">
        <ns0:f>IFERROR(IF(AND(AH!$E$4="Bloomberg",AH!$P$10=1,ISNUMBER($A902),$A902&lt;=AH!$P$17),AH!$P$7-1+MATCH($A902,INDEX('AH History'!$A$1:$A$18046,AH!$P$7):INDEX('AH History'!$A$1:$A$18046,AH!$P$7+AH!$P$8-1),0),0),0)</ns0:f>
        <ns0:v/>
      </ns0:c>
      <ns0:c r="I902">
        <ns0:f>IF($H902=0,0,IFERROR(IF(AND(ABS($C902-INDEX('AH History'!$B$1:$B$18046,$H902))&lt;=MAX(0.005,ABS(INDEX('AH History'!$B$1:$B$18046,$H902))*0.00005),ABS($D902-INDEX('AH History'!$C$1:$C$18046,$H902))&lt;=MAX(0.005,ABS(INDEX('AH History'!$C$1:$C$18046,$H902))*0.00005),ABS($E902-INDEX('AH History'!$D$1:$D$18046,$H902))&lt;=0.00005,$F902=INDEX('AH History'!$E$1:$E$18046,$H902),$G902=INDEX('AH History'!$F$1:$F$18046,$H902)),1,-1),-1))</ns0:f>
        <ns0:v/>
      </ns0:c>
    </ns0:row>
    <ns0:row r="903">
      <ns0:c r="A903" s="215">
        <ns0:f>IF(OR(AH!$P$3=0,898+1&gt;AH!$P$11,AND(AH!$E$4&lt;&gt;"Stored",AH!$P$10&lt;&gt;1)),"",IFERROR(IF(AND(AH!$P$21=1,898+1=AH!$P$11),TODAY(),IF(AH!$P$10=1,INDEX('Live History'!$A$5:$A$3004,AH!$P$13+898),INDEX('AH History'!$A$1:$A$18046,AH!$P$7+898))),""))</ns0:f>
        <ns0:v/>
      </ns0:c>
      <ns0:c r="B903" s="219">
        <ns0:f>IFERROR(IF(AND(AH!$P$9&lt;&gt;1,$C903&gt;0,$D903&gt;0,$E903&gt;0,$F903&gt;0,$G903&gt;0,$F903&lt;=$A903,$G903&lt;=$A903,$A903-$F903&lt;=10,$A903-$G903&lt;=5),$D903*$E903/$C903-1,NA()),NA())</ns0:f>
        <ns0:v/>
      </ns0:c>
      <ns0:c r="C903">
        <ns0:f>IFERROR(IF(ISNUMBER($A903),IF(AND(AH!$P$10=1,AH!$P$12=1,$A903=TODAY()),AH!$P$19,IF(AH!$P$10=1,INDEX('Live History'!$B$5:$B$3004,AH!$P$13+898),INDEX('AH History'!$B$1:$B$18046,AH!$P$7+898))),NA()),NA())</ns0:f>
        <ns0:v/>
      </ns0:c>
      <ns0:c r="D903">
        <ns0:f>IFERROR(IF(ISNUMBER($A903),IF(AND(AH!$P$10=1,AH!$P$12=1,$A903=TODAY()),AH!$P$18,IF(AH!$P$10=1,INDEX('Live History'!$E$5:$E$3004,MATCH($A903,'Live History'!$D$5:$D$3004,1)),INDEX('AH History'!$C$1:$C$18046,AH!$P$7+898))),NA()),NA())</ns0:f>
        <ns0:v/>
      </ns0:c>
      <ns0:c r="E903">
        <ns0:f>IFERROR(IF(ISNUMBER($A903),IF(AND(AH!$P$10=1,AH!$P$12=1,$A903=TODAY()),AH!$P$20,IF(AH!$P$10=1,INDEX('Live History'!$H$5:$H$3004,MATCH($A903,'Live History'!$G$5:$G$3004,1)),INDEX('AH History'!$D$1:$D$18046,AH!$P$7+898))),NA()),NA())</ns0:f>
        <ns0:v/>
      </ns0:c>
      <ns0:c r="F903">
        <ns0:f>IFERROR(IF(ISNUMBER($A903),IF(AND(AH!$P$10=1,AH!$P$12=1,$A903=TODAY()),IF(AND(AH!$P$10=1,AH!$P$12=1,$A903=TODAY()),TODAY(),NA()),IF(AH!$P$10=1,INDEX('Live History'!$D$5:$D$3004,MATCH($A903,'Live History'!$D$5:$D$3004,1)),INDEX('AH History'!$E$1:$E$18046,AH!$P$7+898))),NA()),NA())</ns0:f>
        <ns0:v/>
      </ns0:c>
      <ns0:c r="G903">
        <ns0:f>IFERROR(IF(ISNUMBER($A903),IF(AND(AH!$P$10=1,AH!$P$12=1,$A903=TODAY()),IF(AND(AH!$P$10=1,AH!$P$12=1,$A903=TODAY()),TODAY(),NA()),IF(AH!$P$10=1,INDEX('Live History'!$G$5:$G$3004,MATCH($A903,'Live History'!$G$5:$G$3004,1)),INDEX('AH History'!$F$1:$F$18046,AH!$P$7+898))),NA()),NA())</ns0:f>
        <ns0:v/>
      </ns0:c>
      <ns0:c r="H903">
        <ns0:f>IFERROR(IF(AND(AH!$E$4="Bloomberg",AH!$P$10=1,ISNUMBER($A903),$A903&lt;=AH!$P$17),AH!$P$7-1+MATCH($A903,INDEX('AH History'!$A$1:$A$18046,AH!$P$7):INDEX('AH History'!$A$1:$A$18046,AH!$P$7+AH!$P$8-1),0),0),0)</ns0:f>
        <ns0:v/>
      </ns0:c>
      <ns0:c r="I903">
        <ns0:f>IF($H903=0,0,IFERROR(IF(AND(ABS($C903-INDEX('AH History'!$B$1:$B$18046,$H903))&lt;=MAX(0.005,ABS(INDEX('AH History'!$B$1:$B$18046,$H903))*0.00005),ABS($D903-INDEX('AH History'!$C$1:$C$18046,$H903))&lt;=MAX(0.005,ABS(INDEX('AH History'!$C$1:$C$18046,$H903))*0.00005),ABS($E903-INDEX('AH History'!$D$1:$D$18046,$H903))&lt;=0.00005,$F903=INDEX('AH History'!$E$1:$E$18046,$H903),$G903=INDEX('AH History'!$F$1:$F$18046,$H903)),1,-1),-1))</ns0:f>
        <ns0:v/>
      </ns0:c>
    </ns0:row>
    <ns0:row r="904">
      <ns0:c r="A904" s="215">
        <ns0:f>IF(OR(AH!$P$3=0,899+1&gt;AH!$P$11,AND(AH!$E$4&lt;&gt;"Stored",AH!$P$10&lt;&gt;1)),"",IFERROR(IF(AND(AH!$P$21=1,899+1=AH!$P$11),TODAY(),IF(AH!$P$10=1,INDEX('Live History'!$A$5:$A$3004,AH!$P$13+899),INDEX('AH History'!$A$1:$A$18046,AH!$P$7+899))),""))</ns0:f>
        <ns0:v/>
      </ns0:c>
      <ns0:c r="B904" s="219">
        <ns0:f>IFERROR(IF(AND(AH!$P$9&lt;&gt;1,$C904&gt;0,$D904&gt;0,$E904&gt;0,$F904&gt;0,$G904&gt;0,$F904&lt;=$A904,$G904&lt;=$A904,$A904-$F904&lt;=10,$A904-$G904&lt;=5),$D904*$E904/$C904-1,NA()),NA())</ns0:f>
        <ns0:v/>
      </ns0:c>
      <ns0:c r="C904">
        <ns0:f>IFERROR(IF(ISNUMBER($A904),IF(AND(AH!$P$10=1,AH!$P$12=1,$A904=TODAY()),AH!$P$19,IF(AH!$P$10=1,INDEX('Live History'!$B$5:$B$3004,AH!$P$13+899),INDEX('AH History'!$B$1:$B$18046,AH!$P$7+899))),NA()),NA())</ns0:f>
        <ns0:v/>
      </ns0:c>
      <ns0:c r="D904">
        <ns0:f>IFERROR(IF(ISNUMBER($A904),IF(AND(AH!$P$10=1,AH!$P$12=1,$A904=TODAY()),AH!$P$18,IF(AH!$P$10=1,INDEX('Live History'!$E$5:$E$3004,MATCH($A904,'Live History'!$D$5:$D$3004,1)),INDEX('AH History'!$C$1:$C$18046,AH!$P$7+899))),NA()),NA())</ns0:f>
        <ns0:v/>
      </ns0:c>
      <ns0:c r="E904">
        <ns0:f>IFERROR(IF(ISNUMBER($A904),IF(AND(AH!$P$10=1,AH!$P$12=1,$A904=TODAY()),AH!$P$20,IF(AH!$P$10=1,INDEX('Live History'!$H$5:$H$3004,MATCH($A904,'Live History'!$G$5:$G$3004,1)),INDEX('AH History'!$D$1:$D$18046,AH!$P$7+899))),NA()),NA())</ns0:f>
        <ns0:v/>
      </ns0:c>
      <ns0:c r="F904">
        <ns0:f>IFERROR(IF(ISNUMBER($A904),IF(AND(AH!$P$10=1,AH!$P$12=1,$A904=TODAY()),IF(AND(AH!$P$10=1,AH!$P$12=1,$A904=TODAY()),TODAY(),NA()),IF(AH!$P$10=1,INDEX('Live History'!$D$5:$D$3004,MATCH($A904,'Live History'!$D$5:$D$3004,1)),INDEX('AH History'!$E$1:$E$18046,AH!$P$7+899))),NA()),NA())</ns0:f>
        <ns0:v/>
      </ns0:c>
      <ns0:c r="G904">
        <ns0:f>IFERROR(IF(ISNUMBER($A904),IF(AND(AH!$P$10=1,AH!$P$12=1,$A904=TODAY()),IF(AND(AH!$P$10=1,AH!$P$12=1,$A904=TODAY()),TODAY(),NA()),IF(AH!$P$10=1,INDEX('Live History'!$G$5:$G$3004,MATCH($A904,'Live History'!$G$5:$G$3004,1)),INDEX('AH History'!$F$1:$F$18046,AH!$P$7+899))),NA()),NA())</ns0:f>
        <ns0:v/>
      </ns0:c>
      <ns0:c r="H904">
        <ns0:f>IFERROR(IF(AND(AH!$E$4="Bloomberg",AH!$P$10=1,ISNUMBER($A904),$A904&lt;=AH!$P$17),AH!$P$7-1+MATCH($A904,INDEX('AH History'!$A$1:$A$18046,AH!$P$7):INDEX('AH History'!$A$1:$A$18046,AH!$P$7+AH!$P$8-1),0),0),0)</ns0:f>
        <ns0:v/>
      </ns0:c>
      <ns0:c r="I904">
        <ns0:f>IF($H904=0,0,IFERROR(IF(AND(ABS($C904-INDEX('AH History'!$B$1:$B$18046,$H904))&lt;=MAX(0.005,ABS(INDEX('AH History'!$B$1:$B$18046,$H904))*0.00005),ABS($D904-INDEX('AH History'!$C$1:$C$18046,$H904))&lt;=MAX(0.005,ABS(INDEX('AH History'!$C$1:$C$18046,$H904))*0.00005),ABS($E904-INDEX('AH History'!$D$1:$D$18046,$H904))&lt;=0.00005,$F904=INDEX('AH History'!$E$1:$E$18046,$H904),$G904=INDEX('AH History'!$F$1:$F$18046,$H904)),1,-1),-1))</ns0:f>
        <ns0:v/>
      </ns0:c>
    </ns0:row>
    <ns0:row r="905">
      <ns0:c r="A905" s="215">
        <ns0:f>IF(OR(AH!$P$3=0,900+1&gt;AH!$P$11,AND(AH!$E$4&lt;&gt;"Stored",AH!$P$10&lt;&gt;1)),"",IFERROR(IF(AND(AH!$P$21=1,900+1=AH!$P$11),TODAY(),IF(AH!$P$10=1,INDEX('Live History'!$A$5:$A$3004,AH!$P$13+900),INDEX('AH History'!$A$1:$A$18046,AH!$P$7+900))),""))</ns0:f>
        <ns0:v/>
      </ns0:c>
      <ns0:c r="B905" s="219">
        <ns0:f>IFERROR(IF(AND(AH!$P$9&lt;&gt;1,$C905&gt;0,$D905&gt;0,$E905&gt;0,$F905&gt;0,$G905&gt;0,$F905&lt;=$A905,$G905&lt;=$A905,$A905-$F905&lt;=10,$A905-$G905&lt;=5),$D905*$E905/$C905-1,NA()),NA())</ns0:f>
        <ns0:v/>
      </ns0:c>
      <ns0:c r="C905">
        <ns0:f>IFERROR(IF(ISNUMBER($A905),IF(AND(AH!$P$10=1,AH!$P$12=1,$A905=TODAY()),AH!$P$19,IF(AH!$P$10=1,INDEX('Live History'!$B$5:$B$3004,AH!$P$13+900),INDEX('AH History'!$B$1:$B$18046,AH!$P$7+900))),NA()),NA())</ns0:f>
        <ns0:v/>
      </ns0:c>
      <ns0:c r="D905">
        <ns0:f>IFERROR(IF(ISNUMBER($A905),IF(AND(AH!$P$10=1,AH!$P$12=1,$A905=TODAY()),AH!$P$18,IF(AH!$P$10=1,INDEX('Live History'!$E$5:$E$3004,MATCH($A905,'Live History'!$D$5:$D$3004,1)),INDEX('AH History'!$C$1:$C$18046,AH!$P$7+900))),NA()),NA())</ns0:f>
        <ns0:v/>
      </ns0:c>
      <ns0:c r="E905">
        <ns0:f>IFERROR(IF(ISNUMBER($A905),IF(AND(AH!$P$10=1,AH!$P$12=1,$A905=TODAY()),AH!$P$20,IF(AH!$P$10=1,INDEX('Live History'!$H$5:$H$3004,MATCH($A905,'Live History'!$G$5:$G$3004,1)),INDEX('AH History'!$D$1:$D$18046,AH!$P$7+900))),NA()),NA())</ns0:f>
        <ns0:v/>
      </ns0:c>
      <ns0:c r="F905">
        <ns0:f>IFERROR(IF(ISNUMBER($A905),IF(AND(AH!$P$10=1,AH!$P$12=1,$A905=TODAY()),IF(AND(AH!$P$10=1,AH!$P$12=1,$A905=TODAY()),TODAY(),NA()),IF(AH!$P$10=1,INDEX('Live History'!$D$5:$D$3004,MATCH($A905,'Live History'!$D$5:$D$3004,1)),INDEX('AH History'!$E$1:$E$18046,AH!$P$7+900))),NA()),NA())</ns0:f>
        <ns0:v/>
      </ns0:c>
      <ns0:c r="G905">
        <ns0:f>IFERROR(IF(ISNUMBER($A905),IF(AND(AH!$P$10=1,AH!$P$12=1,$A905=TODAY()),IF(AND(AH!$P$10=1,AH!$P$12=1,$A905=TODAY()),TODAY(),NA()),IF(AH!$P$10=1,INDEX('Live History'!$G$5:$G$3004,MATCH($A905,'Live History'!$G$5:$G$3004,1)),INDEX('AH History'!$F$1:$F$18046,AH!$P$7+900))),NA()),NA())</ns0:f>
        <ns0:v/>
      </ns0:c>
      <ns0:c r="H905">
        <ns0:f>IFERROR(IF(AND(AH!$E$4="Bloomberg",AH!$P$10=1,ISNUMBER($A905),$A905&lt;=AH!$P$17),AH!$P$7-1+MATCH($A905,INDEX('AH History'!$A$1:$A$18046,AH!$P$7):INDEX('AH History'!$A$1:$A$18046,AH!$P$7+AH!$P$8-1),0),0),0)</ns0:f>
        <ns0:v/>
      </ns0:c>
      <ns0:c r="I905">
        <ns0:f>IF($H905=0,0,IFERROR(IF(AND(ABS($C905-INDEX('AH History'!$B$1:$B$18046,$H905))&lt;=MAX(0.005,ABS(INDEX('AH History'!$B$1:$B$18046,$H905))*0.00005),ABS($D905-INDEX('AH History'!$C$1:$C$18046,$H905))&lt;=MAX(0.005,ABS(INDEX('AH History'!$C$1:$C$18046,$H905))*0.00005),ABS($E905-INDEX('AH History'!$D$1:$D$18046,$H905))&lt;=0.00005,$F905=INDEX('AH History'!$E$1:$E$18046,$H905),$G905=INDEX('AH History'!$F$1:$F$18046,$H905)),1,-1),-1))</ns0:f>
        <ns0:v/>
      </ns0:c>
    </ns0:row>
    <ns0:row r="906">
      <ns0:c r="A906" s="215">
        <ns0:f>IF(OR(AH!$P$3=0,901+1&gt;AH!$P$11,AND(AH!$E$4&lt;&gt;"Stored",AH!$P$10&lt;&gt;1)),"",IFERROR(IF(AND(AH!$P$21=1,901+1=AH!$P$11),TODAY(),IF(AH!$P$10=1,INDEX('Live History'!$A$5:$A$3004,AH!$P$13+901),INDEX('AH History'!$A$1:$A$18046,AH!$P$7+901))),""))</ns0:f>
        <ns0:v/>
      </ns0:c>
      <ns0:c r="B906" s="219">
        <ns0:f>IFERROR(IF(AND(AH!$P$9&lt;&gt;1,$C906&gt;0,$D906&gt;0,$E906&gt;0,$F906&gt;0,$G906&gt;0,$F906&lt;=$A906,$G906&lt;=$A906,$A906-$F906&lt;=10,$A906-$G906&lt;=5),$D906*$E906/$C906-1,NA()),NA())</ns0:f>
        <ns0:v/>
      </ns0:c>
      <ns0:c r="C906">
        <ns0:f>IFERROR(IF(ISNUMBER($A906),IF(AND(AH!$P$10=1,AH!$P$12=1,$A906=TODAY()),AH!$P$19,IF(AH!$P$10=1,INDEX('Live History'!$B$5:$B$3004,AH!$P$13+901),INDEX('AH History'!$B$1:$B$18046,AH!$P$7+901))),NA()),NA())</ns0:f>
        <ns0:v/>
      </ns0:c>
      <ns0:c r="D906">
        <ns0:f>IFERROR(IF(ISNUMBER($A906),IF(AND(AH!$P$10=1,AH!$P$12=1,$A906=TODAY()),AH!$P$18,IF(AH!$P$10=1,INDEX('Live History'!$E$5:$E$3004,MATCH($A906,'Live History'!$D$5:$D$3004,1)),INDEX('AH History'!$C$1:$C$18046,AH!$P$7+901))),NA()),NA())</ns0:f>
        <ns0:v/>
      </ns0:c>
      <ns0:c r="E906">
        <ns0:f>IFERROR(IF(ISNUMBER($A906),IF(AND(AH!$P$10=1,AH!$P$12=1,$A906=TODAY()),AH!$P$20,IF(AH!$P$10=1,INDEX('Live History'!$H$5:$H$3004,MATCH($A906,'Live History'!$G$5:$G$3004,1)),INDEX('AH History'!$D$1:$D$18046,AH!$P$7+901))),NA()),NA())</ns0:f>
        <ns0:v/>
      </ns0:c>
      <ns0:c r="F906">
        <ns0:f>IFERROR(IF(ISNUMBER($A906),IF(AND(AH!$P$10=1,AH!$P$12=1,$A906=TODAY()),IF(AND(AH!$P$10=1,AH!$P$12=1,$A906=TODAY()),TODAY(),NA()),IF(AH!$P$10=1,INDEX('Live History'!$D$5:$D$3004,MATCH($A906,'Live History'!$D$5:$D$3004,1)),INDEX('AH History'!$E$1:$E$18046,AH!$P$7+901))),NA()),NA())</ns0:f>
        <ns0:v/>
      </ns0:c>
      <ns0:c r="G906">
        <ns0:f>IFERROR(IF(ISNUMBER($A906),IF(AND(AH!$P$10=1,AH!$P$12=1,$A906=TODAY()),IF(AND(AH!$P$10=1,AH!$P$12=1,$A906=TODAY()),TODAY(),NA()),IF(AH!$P$10=1,INDEX('Live History'!$G$5:$G$3004,MATCH($A906,'Live History'!$G$5:$G$3004,1)),INDEX('AH History'!$F$1:$F$18046,AH!$P$7+901))),NA()),NA())</ns0:f>
        <ns0:v/>
      </ns0:c>
      <ns0:c r="H906">
        <ns0:f>IFERROR(IF(AND(AH!$E$4="Bloomberg",AH!$P$10=1,ISNUMBER($A906),$A906&lt;=AH!$P$17),AH!$P$7-1+MATCH($A906,INDEX('AH History'!$A$1:$A$18046,AH!$P$7):INDEX('AH History'!$A$1:$A$18046,AH!$P$7+AH!$P$8-1),0),0),0)</ns0:f>
        <ns0:v/>
      </ns0:c>
      <ns0:c r="I906">
        <ns0:f>IF($H906=0,0,IFERROR(IF(AND(ABS($C906-INDEX('AH History'!$B$1:$B$18046,$H906))&lt;=MAX(0.005,ABS(INDEX('AH History'!$B$1:$B$18046,$H906))*0.00005),ABS($D906-INDEX('AH History'!$C$1:$C$18046,$H906))&lt;=MAX(0.005,ABS(INDEX('AH History'!$C$1:$C$18046,$H906))*0.00005),ABS($E906-INDEX('AH History'!$D$1:$D$18046,$H906))&lt;=0.00005,$F906=INDEX('AH History'!$E$1:$E$18046,$H906),$G906=INDEX('AH History'!$F$1:$F$18046,$H906)),1,-1),-1))</ns0:f>
        <ns0:v/>
      </ns0:c>
    </ns0:row>
    <ns0:row r="907">
      <ns0:c r="A907" s="215">
        <ns0:f>IF(OR(AH!$P$3=0,902+1&gt;AH!$P$11,AND(AH!$E$4&lt;&gt;"Stored",AH!$P$10&lt;&gt;1)),"",IFERROR(IF(AND(AH!$P$21=1,902+1=AH!$P$11),TODAY(),IF(AH!$P$10=1,INDEX('Live History'!$A$5:$A$3004,AH!$P$13+902),INDEX('AH History'!$A$1:$A$18046,AH!$P$7+902))),""))</ns0:f>
        <ns0:v/>
      </ns0:c>
      <ns0:c r="B907" s="219">
        <ns0:f>IFERROR(IF(AND(AH!$P$9&lt;&gt;1,$C907&gt;0,$D907&gt;0,$E907&gt;0,$F907&gt;0,$G907&gt;0,$F907&lt;=$A907,$G907&lt;=$A907,$A907-$F907&lt;=10,$A907-$G907&lt;=5),$D907*$E907/$C907-1,NA()),NA())</ns0:f>
        <ns0:v/>
      </ns0:c>
      <ns0:c r="C907">
        <ns0:f>IFERROR(IF(ISNUMBER($A907),IF(AND(AH!$P$10=1,AH!$P$12=1,$A907=TODAY()),AH!$P$19,IF(AH!$P$10=1,INDEX('Live History'!$B$5:$B$3004,AH!$P$13+902),INDEX('AH History'!$B$1:$B$18046,AH!$P$7+902))),NA()),NA())</ns0:f>
        <ns0:v/>
      </ns0:c>
      <ns0:c r="D907">
        <ns0:f>IFERROR(IF(ISNUMBER($A907),IF(AND(AH!$P$10=1,AH!$P$12=1,$A907=TODAY()),AH!$P$18,IF(AH!$P$10=1,INDEX('Live History'!$E$5:$E$3004,MATCH($A907,'Live History'!$D$5:$D$3004,1)),INDEX('AH History'!$C$1:$C$18046,AH!$P$7+902))),NA()),NA())</ns0:f>
        <ns0:v/>
      </ns0:c>
      <ns0:c r="E907">
        <ns0:f>IFERROR(IF(ISNUMBER($A907),IF(AND(AH!$P$10=1,AH!$P$12=1,$A907=TODAY()),AH!$P$20,IF(AH!$P$10=1,INDEX('Live History'!$H$5:$H$3004,MATCH($A907,'Live History'!$G$5:$G$3004,1)),INDEX('AH History'!$D$1:$D$18046,AH!$P$7+902))),NA()),NA())</ns0:f>
        <ns0:v/>
      </ns0:c>
      <ns0:c r="F907">
        <ns0:f>IFERROR(IF(ISNUMBER($A907),IF(AND(AH!$P$10=1,AH!$P$12=1,$A907=TODAY()),IF(AND(AH!$P$10=1,AH!$P$12=1,$A907=TODAY()),TODAY(),NA()),IF(AH!$P$10=1,INDEX('Live History'!$D$5:$D$3004,MATCH($A907,'Live History'!$D$5:$D$3004,1)),INDEX('AH History'!$E$1:$E$18046,AH!$P$7+902))),NA()),NA())</ns0:f>
        <ns0:v/>
      </ns0:c>
      <ns0:c r="G907">
        <ns0:f>IFERROR(IF(ISNUMBER($A907),IF(AND(AH!$P$10=1,AH!$P$12=1,$A907=TODAY()),IF(AND(AH!$P$10=1,AH!$P$12=1,$A907=TODAY()),TODAY(),NA()),IF(AH!$P$10=1,INDEX('Live History'!$G$5:$G$3004,MATCH($A907,'Live History'!$G$5:$G$3004,1)),INDEX('AH History'!$F$1:$F$18046,AH!$P$7+902))),NA()),NA())</ns0:f>
        <ns0:v/>
      </ns0:c>
      <ns0:c r="H907">
        <ns0:f>IFERROR(IF(AND(AH!$E$4="Bloomberg",AH!$P$10=1,ISNUMBER($A907),$A907&lt;=AH!$P$17),AH!$P$7-1+MATCH($A907,INDEX('AH History'!$A$1:$A$18046,AH!$P$7):INDEX('AH History'!$A$1:$A$18046,AH!$P$7+AH!$P$8-1),0),0),0)</ns0:f>
        <ns0:v/>
      </ns0:c>
      <ns0:c r="I907">
        <ns0:f>IF($H907=0,0,IFERROR(IF(AND(ABS($C907-INDEX('AH History'!$B$1:$B$18046,$H907))&lt;=MAX(0.005,ABS(INDEX('AH History'!$B$1:$B$18046,$H907))*0.00005),ABS($D907-INDEX('AH History'!$C$1:$C$18046,$H907))&lt;=MAX(0.005,ABS(INDEX('AH History'!$C$1:$C$18046,$H907))*0.00005),ABS($E907-INDEX('AH History'!$D$1:$D$18046,$H907))&lt;=0.00005,$F907=INDEX('AH History'!$E$1:$E$18046,$H907),$G907=INDEX('AH History'!$F$1:$F$18046,$H907)),1,-1),-1))</ns0:f>
        <ns0:v/>
      </ns0:c>
    </ns0:row>
    <ns0:row r="908">
      <ns0:c r="A908" s="215">
        <ns0:f>IF(OR(AH!$P$3=0,903+1&gt;AH!$P$11,AND(AH!$E$4&lt;&gt;"Stored",AH!$P$10&lt;&gt;1)),"",IFERROR(IF(AND(AH!$P$21=1,903+1=AH!$P$11),TODAY(),IF(AH!$P$10=1,INDEX('Live History'!$A$5:$A$3004,AH!$P$13+903),INDEX('AH History'!$A$1:$A$18046,AH!$P$7+903))),""))</ns0:f>
        <ns0:v/>
      </ns0:c>
      <ns0:c r="B908" s="219">
        <ns0:f>IFERROR(IF(AND(AH!$P$9&lt;&gt;1,$C908&gt;0,$D908&gt;0,$E908&gt;0,$F908&gt;0,$G908&gt;0,$F908&lt;=$A908,$G908&lt;=$A908,$A908-$F908&lt;=10,$A908-$G908&lt;=5),$D908*$E908/$C908-1,NA()),NA())</ns0:f>
        <ns0:v/>
      </ns0:c>
      <ns0:c r="C908">
        <ns0:f>IFERROR(IF(ISNUMBER($A908),IF(AND(AH!$P$10=1,AH!$P$12=1,$A908=TODAY()),AH!$P$19,IF(AH!$P$10=1,INDEX('Live History'!$B$5:$B$3004,AH!$P$13+903),INDEX('AH History'!$B$1:$B$18046,AH!$P$7+903))),NA()),NA())</ns0:f>
        <ns0:v/>
      </ns0:c>
      <ns0:c r="D908">
        <ns0:f>IFERROR(IF(ISNUMBER($A908),IF(AND(AH!$P$10=1,AH!$P$12=1,$A908=TODAY()),AH!$P$18,IF(AH!$P$10=1,INDEX('Live History'!$E$5:$E$3004,MATCH($A908,'Live History'!$D$5:$D$3004,1)),INDEX('AH History'!$C$1:$C$18046,AH!$P$7+903))),NA()),NA())</ns0:f>
        <ns0:v/>
      </ns0:c>
      <ns0:c r="E908">
        <ns0:f>IFERROR(IF(ISNUMBER($A908),IF(AND(AH!$P$10=1,AH!$P$12=1,$A908=TODAY()),AH!$P$20,IF(AH!$P$10=1,INDEX('Live History'!$H$5:$H$3004,MATCH($A908,'Live History'!$G$5:$G$3004,1)),INDEX('AH History'!$D$1:$D$18046,AH!$P$7+903))),NA()),NA())</ns0:f>
        <ns0:v/>
      </ns0:c>
      <ns0:c r="F908">
        <ns0:f>IFERROR(IF(ISNUMBER($A908),IF(AND(AH!$P$10=1,AH!$P$12=1,$A908=TODAY()),IF(AND(AH!$P$10=1,AH!$P$12=1,$A908=TODAY()),TODAY(),NA()),IF(AH!$P$10=1,INDEX('Live History'!$D$5:$D$3004,MATCH($A908,'Live History'!$D$5:$D$3004,1)),INDEX('AH History'!$E$1:$E$18046,AH!$P$7+903))),NA()),NA())</ns0:f>
        <ns0:v/>
      </ns0:c>
      <ns0:c r="G908">
        <ns0:f>IFERROR(IF(ISNUMBER($A908),IF(AND(AH!$P$10=1,AH!$P$12=1,$A908=TODAY()),IF(AND(AH!$P$10=1,AH!$P$12=1,$A908=TODAY()),TODAY(),NA()),IF(AH!$P$10=1,INDEX('Live History'!$G$5:$G$3004,MATCH($A908,'Live History'!$G$5:$G$3004,1)),INDEX('AH History'!$F$1:$F$18046,AH!$P$7+903))),NA()),NA())</ns0:f>
        <ns0:v/>
      </ns0:c>
      <ns0:c r="H908">
        <ns0:f>IFERROR(IF(AND(AH!$E$4="Bloomberg",AH!$P$10=1,ISNUMBER($A908),$A908&lt;=AH!$P$17),AH!$P$7-1+MATCH($A908,INDEX('AH History'!$A$1:$A$18046,AH!$P$7):INDEX('AH History'!$A$1:$A$18046,AH!$P$7+AH!$P$8-1),0),0),0)</ns0:f>
        <ns0:v/>
      </ns0:c>
      <ns0:c r="I908">
        <ns0:f>IF($H908=0,0,IFERROR(IF(AND(ABS($C908-INDEX('AH History'!$B$1:$B$18046,$H908))&lt;=MAX(0.005,ABS(INDEX('AH History'!$B$1:$B$18046,$H908))*0.00005),ABS($D908-INDEX('AH History'!$C$1:$C$18046,$H908))&lt;=MAX(0.005,ABS(INDEX('AH History'!$C$1:$C$18046,$H908))*0.00005),ABS($E908-INDEX('AH History'!$D$1:$D$18046,$H908))&lt;=0.00005,$F908=INDEX('AH History'!$E$1:$E$18046,$H908),$G908=INDEX('AH History'!$F$1:$F$18046,$H908)),1,-1),-1))</ns0:f>
        <ns0:v/>
      </ns0:c>
    </ns0:row>
    <ns0:row r="909">
      <ns0:c r="A909" s="215">
        <ns0:f>IF(OR(AH!$P$3=0,904+1&gt;AH!$P$11,AND(AH!$E$4&lt;&gt;"Stored",AH!$P$10&lt;&gt;1)),"",IFERROR(IF(AND(AH!$P$21=1,904+1=AH!$P$11),TODAY(),IF(AH!$P$10=1,INDEX('Live History'!$A$5:$A$3004,AH!$P$13+904),INDEX('AH History'!$A$1:$A$18046,AH!$P$7+904))),""))</ns0:f>
        <ns0:v/>
      </ns0:c>
      <ns0:c r="B909" s="219">
        <ns0:f>IFERROR(IF(AND(AH!$P$9&lt;&gt;1,$C909&gt;0,$D909&gt;0,$E909&gt;0,$F909&gt;0,$G909&gt;0,$F909&lt;=$A909,$G909&lt;=$A909,$A909-$F909&lt;=10,$A909-$G909&lt;=5),$D909*$E909/$C909-1,NA()),NA())</ns0:f>
        <ns0:v/>
      </ns0:c>
      <ns0:c r="C909">
        <ns0:f>IFERROR(IF(ISNUMBER($A909),IF(AND(AH!$P$10=1,AH!$P$12=1,$A909=TODAY()),AH!$P$19,IF(AH!$P$10=1,INDEX('Live History'!$B$5:$B$3004,AH!$P$13+904),INDEX('AH History'!$B$1:$B$18046,AH!$P$7+904))),NA()),NA())</ns0:f>
        <ns0:v/>
      </ns0:c>
      <ns0:c r="D909">
        <ns0:f>IFERROR(IF(ISNUMBER($A909),IF(AND(AH!$P$10=1,AH!$P$12=1,$A909=TODAY()),AH!$P$18,IF(AH!$P$10=1,INDEX('Live History'!$E$5:$E$3004,MATCH($A909,'Live History'!$D$5:$D$3004,1)),INDEX('AH History'!$C$1:$C$18046,AH!$P$7+904))),NA()),NA())</ns0:f>
        <ns0:v/>
      </ns0:c>
      <ns0:c r="E909">
        <ns0:f>IFERROR(IF(ISNUMBER($A909),IF(AND(AH!$P$10=1,AH!$P$12=1,$A909=TODAY()),AH!$P$20,IF(AH!$P$10=1,INDEX('Live History'!$H$5:$H$3004,MATCH($A909,'Live History'!$G$5:$G$3004,1)),INDEX('AH History'!$D$1:$D$18046,AH!$P$7+904))),NA()),NA())</ns0:f>
        <ns0:v/>
      </ns0:c>
      <ns0:c r="F909">
        <ns0:f>IFERROR(IF(ISNUMBER($A909),IF(AND(AH!$P$10=1,AH!$P$12=1,$A909=TODAY()),IF(AND(AH!$P$10=1,AH!$P$12=1,$A909=TODAY()),TODAY(),NA()),IF(AH!$P$10=1,INDEX('Live History'!$D$5:$D$3004,MATCH($A909,'Live History'!$D$5:$D$3004,1)),INDEX('AH History'!$E$1:$E$18046,AH!$P$7+904))),NA()),NA())</ns0:f>
        <ns0:v/>
      </ns0:c>
      <ns0:c r="G909">
        <ns0:f>IFERROR(IF(ISNUMBER($A909),IF(AND(AH!$P$10=1,AH!$P$12=1,$A909=TODAY()),IF(AND(AH!$P$10=1,AH!$P$12=1,$A909=TODAY()),TODAY(),NA()),IF(AH!$P$10=1,INDEX('Live History'!$G$5:$G$3004,MATCH($A909,'Live History'!$G$5:$G$3004,1)),INDEX('AH History'!$F$1:$F$18046,AH!$P$7+904))),NA()),NA())</ns0:f>
        <ns0:v/>
      </ns0:c>
      <ns0:c r="H909">
        <ns0:f>IFERROR(IF(AND(AH!$E$4="Bloomberg",AH!$P$10=1,ISNUMBER($A909),$A909&lt;=AH!$P$17),AH!$P$7-1+MATCH($A909,INDEX('AH History'!$A$1:$A$18046,AH!$P$7):INDEX('AH History'!$A$1:$A$18046,AH!$P$7+AH!$P$8-1),0),0),0)</ns0:f>
        <ns0:v/>
      </ns0:c>
      <ns0:c r="I909">
        <ns0:f>IF($H909=0,0,IFERROR(IF(AND(ABS($C909-INDEX('AH History'!$B$1:$B$18046,$H909))&lt;=MAX(0.005,ABS(INDEX('AH History'!$B$1:$B$18046,$H909))*0.00005),ABS($D909-INDEX('AH History'!$C$1:$C$18046,$H909))&lt;=MAX(0.005,ABS(INDEX('AH History'!$C$1:$C$18046,$H909))*0.00005),ABS($E909-INDEX('AH History'!$D$1:$D$18046,$H909))&lt;=0.00005,$F909=INDEX('AH History'!$E$1:$E$18046,$H909),$G909=INDEX('AH History'!$F$1:$F$18046,$H909)),1,-1),-1))</ns0:f>
        <ns0:v/>
      </ns0:c>
    </ns0:row>
    <ns0:row r="910">
      <ns0:c r="A910" s="215">
        <ns0:f>IF(OR(AH!$P$3=0,905+1&gt;AH!$P$11,AND(AH!$E$4&lt;&gt;"Stored",AH!$P$10&lt;&gt;1)),"",IFERROR(IF(AND(AH!$P$21=1,905+1=AH!$P$11),TODAY(),IF(AH!$P$10=1,INDEX('Live History'!$A$5:$A$3004,AH!$P$13+905),INDEX('AH History'!$A$1:$A$18046,AH!$P$7+905))),""))</ns0:f>
        <ns0:v/>
      </ns0:c>
      <ns0:c r="B910" s="219">
        <ns0:f>IFERROR(IF(AND(AH!$P$9&lt;&gt;1,$C910&gt;0,$D910&gt;0,$E910&gt;0,$F910&gt;0,$G910&gt;0,$F910&lt;=$A910,$G910&lt;=$A910,$A910-$F910&lt;=10,$A910-$G910&lt;=5),$D910*$E910/$C910-1,NA()),NA())</ns0:f>
        <ns0:v/>
      </ns0:c>
      <ns0:c r="C910">
        <ns0:f>IFERROR(IF(ISNUMBER($A910),IF(AND(AH!$P$10=1,AH!$P$12=1,$A910=TODAY()),AH!$P$19,IF(AH!$P$10=1,INDEX('Live History'!$B$5:$B$3004,AH!$P$13+905),INDEX('AH History'!$B$1:$B$18046,AH!$P$7+905))),NA()),NA())</ns0:f>
        <ns0:v/>
      </ns0:c>
      <ns0:c r="D910">
        <ns0:f>IFERROR(IF(ISNUMBER($A910),IF(AND(AH!$P$10=1,AH!$P$12=1,$A910=TODAY()),AH!$P$18,IF(AH!$P$10=1,INDEX('Live History'!$E$5:$E$3004,MATCH($A910,'Live History'!$D$5:$D$3004,1)),INDEX('AH History'!$C$1:$C$18046,AH!$P$7+905))),NA()),NA())</ns0:f>
        <ns0:v/>
      </ns0:c>
      <ns0:c r="E910">
        <ns0:f>IFERROR(IF(ISNUMBER($A910),IF(AND(AH!$P$10=1,AH!$P$12=1,$A910=TODAY()),AH!$P$20,IF(AH!$P$10=1,INDEX('Live History'!$H$5:$H$3004,MATCH($A910,'Live History'!$G$5:$G$3004,1)),INDEX('AH History'!$D$1:$D$18046,AH!$P$7+905))),NA()),NA())</ns0:f>
        <ns0:v/>
      </ns0:c>
      <ns0:c r="F910">
        <ns0:f>IFERROR(IF(ISNUMBER($A910),IF(AND(AH!$P$10=1,AH!$P$12=1,$A910=TODAY()),IF(AND(AH!$P$10=1,AH!$P$12=1,$A910=TODAY()),TODAY(),NA()),IF(AH!$P$10=1,INDEX('Live History'!$D$5:$D$3004,MATCH($A910,'Live History'!$D$5:$D$3004,1)),INDEX('AH History'!$E$1:$E$18046,AH!$P$7+905))),NA()),NA())</ns0:f>
        <ns0:v/>
      </ns0:c>
      <ns0:c r="G910">
        <ns0:f>IFERROR(IF(ISNUMBER($A910),IF(AND(AH!$P$10=1,AH!$P$12=1,$A910=TODAY()),IF(AND(AH!$P$10=1,AH!$P$12=1,$A910=TODAY()),TODAY(),NA()),IF(AH!$P$10=1,INDEX('Live History'!$G$5:$G$3004,MATCH($A910,'Live History'!$G$5:$G$3004,1)),INDEX('AH History'!$F$1:$F$18046,AH!$P$7+905))),NA()),NA())</ns0:f>
        <ns0:v/>
      </ns0:c>
      <ns0:c r="H910">
        <ns0:f>IFERROR(IF(AND(AH!$E$4="Bloomberg",AH!$P$10=1,ISNUMBER($A910),$A910&lt;=AH!$P$17),AH!$P$7-1+MATCH($A910,INDEX('AH History'!$A$1:$A$18046,AH!$P$7):INDEX('AH History'!$A$1:$A$18046,AH!$P$7+AH!$P$8-1),0),0),0)</ns0:f>
        <ns0:v/>
      </ns0:c>
      <ns0:c r="I910">
        <ns0:f>IF($H910=0,0,IFERROR(IF(AND(ABS($C910-INDEX('AH History'!$B$1:$B$18046,$H910))&lt;=MAX(0.005,ABS(INDEX('AH History'!$B$1:$B$18046,$H910))*0.00005),ABS($D910-INDEX('AH History'!$C$1:$C$18046,$H910))&lt;=MAX(0.005,ABS(INDEX('AH History'!$C$1:$C$18046,$H910))*0.00005),ABS($E910-INDEX('AH History'!$D$1:$D$18046,$H910))&lt;=0.00005,$F910=INDEX('AH History'!$E$1:$E$18046,$H910),$G910=INDEX('AH History'!$F$1:$F$18046,$H910)),1,-1),-1))</ns0:f>
        <ns0:v/>
      </ns0:c>
    </ns0:row>
    <ns0:row r="911">
      <ns0:c r="A911" s="215">
        <ns0:f>IF(OR(AH!$P$3=0,906+1&gt;AH!$P$11,AND(AH!$E$4&lt;&gt;"Stored",AH!$P$10&lt;&gt;1)),"",IFERROR(IF(AND(AH!$P$21=1,906+1=AH!$P$11),TODAY(),IF(AH!$P$10=1,INDEX('Live History'!$A$5:$A$3004,AH!$P$13+906),INDEX('AH History'!$A$1:$A$18046,AH!$P$7+906))),""))</ns0:f>
        <ns0:v/>
      </ns0:c>
      <ns0:c r="B911" s="219">
        <ns0:f>IFERROR(IF(AND(AH!$P$9&lt;&gt;1,$C911&gt;0,$D911&gt;0,$E911&gt;0,$F911&gt;0,$G911&gt;0,$F911&lt;=$A911,$G911&lt;=$A911,$A911-$F911&lt;=10,$A911-$G911&lt;=5),$D911*$E911/$C911-1,NA()),NA())</ns0:f>
        <ns0:v/>
      </ns0:c>
      <ns0:c r="C911">
        <ns0:f>IFERROR(IF(ISNUMBER($A911),IF(AND(AH!$P$10=1,AH!$P$12=1,$A911=TODAY()),AH!$P$19,IF(AH!$P$10=1,INDEX('Live History'!$B$5:$B$3004,AH!$P$13+906),INDEX('AH History'!$B$1:$B$18046,AH!$P$7+906))),NA()),NA())</ns0:f>
        <ns0:v/>
      </ns0:c>
      <ns0:c r="D911">
        <ns0:f>IFERROR(IF(ISNUMBER($A911),IF(AND(AH!$P$10=1,AH!$P$12=1,$A911=TODAY()),AH!$P$18,IF(AH!$P$10=1,INDEX('Live History'!$E$5:$E$3004,MATCH($A911,'Live History'!$D$5:$D$3004,1)),INDEX('AH History'!$C$1:$C$18046,AH!$P$7+906))),NA()),NA())</ns0:f>
        <ns0:v/>
      </ns0:c>
      <ns0:c r="E911">
        <ns0:f>IFERROR(IF(ISNUMBER($A911),IF(AND(AH!$P$10=1,AH!$P$12=1,$A911=TODAY()),AH!$P$20,IF(AH!$P$10=1,INDEX('Live History'!$H$5:$H$3004,MATCH($A911,'Live History'!$G$5:$G$3004,1)),INDEX('AH History'!$D$1:$D$18046,AH!$P$7+906))),NA()),NA())</ns0:f>
        <ns0:v/>
      </ns0:c>
      <ns0:c r="F911">
        <ns0:f>IFERROR(IF(ISNUMBER($A911),IF(AND(AH!$P$10=1,AH!$P$12=1,$A911=TODAY()),IF(AND(AH!$P$10=1,AH!$P$12=1,$A911=TODAY()),TODAY(),NA()),IF(AH!$P$10=1,INDEX('Live History'!$D$5:$D$3004,MATCH($A911,'Live History'!$D$5:$D$3004,1)),INDEX('AH History'!$E$1:$E$18046,AH!$P$7+906))),NA()),NA())</ns0:f>
        <ns0:v/>
      </ns0:c>
      <ns0:c r="G911">
        <ns0:f>IFERROR(IF(ISNUMBER($A911),IF(AND(AH!$P$10=1,AH!$P$12=1,$A911=TODAY()),IF(AND(AH!$P$10=1,AH!$P$12=1,$A911=TODAY()),TODAY(),NA()),IF(AH!$P$10=1,INDEX('Live History'!$G$5:$G$3004,MATCH($A911,'Live History'!$G$5:$G$3004,1)),INDEX('AH History'!$F$1:$F$18046,AH!$P$7+906))),NA()),NA())</ns0:f>
        <ns0:v/>
      </ns0:c>
      <ns0:c r="H911">
        <ns0:f>IFERROR(IF(AND(AH!$E$4="Bloomberg",AH!$P$10=1,ISNUMBER($A911),$A911&lt;=AH!$P$17),AH!$P$7-1+MATCH($A911,INDEX('AH History'!$A$1:$A$18046,AH!$P$7):INDEX('AH History'!$A$1:$A$18046,AH!$P$7+AH!$P$8-1),0),0),0)</ns0:f>
        <ns0:v/>
      </ns0:c>
      <ns0:c r="I911">
        <ns0:f>IF($H911=0,0,IFERROR(IF(AND(ABS($C911-INDEX('AH History'!$B$1:$B$18046,$H911))&lt;=MAX(0.005,ABS(INDEX('AH History'!$B$1:$B$18046,$H911))*0.00005),ABS($D911-INDEX('AH History'!$C$1:$C$18046,$H911))&lt;=MAX(0.005,ABS(INDEX('AH History'!$C$1:$C$18046,$H911))*0.00005),ABS($E911-INDEX('AH History'!$D$1:$D$18046,$H911))&lt;=0.00005,$F911=INDEX('AH History'!$E$1:$E$18046,$H911),$G911=INDEX('AH History'!$F$1:$F$18046,$H911)),1,-1),-1))</ns0:f>
        <ns0:v/>
      </ns0:c>
    </ns0:row>
    <ns0:row r="912">
      <ns0:c r="A912" s="215">
        <ns0:f>IF(OR(AH!$P$3=0,907+1&gt;AH!$P$11,AND(AH!$E$4&lt;&gt;"Stored",AH!$P$10&lt;&gt;1)),"",IFERROR(IF(AND(AH!$P$21=1,907+1=AH!$P$11),TODAY(),IF(AH!$P$10=1,INDEX('Live History'!$A$5:$A$3004,AH!$P$13+907),INDEX('AH History'!$A$1:$A$18046,AH!$P$7+907))),""))</ns0:f>
        <ns0:v/>
      </ns0:c>
      <ns0:c r="B912" s="219">
        <ns0:f>IFERROR(IF(AND(AH!$P$9&lt;&gt;1,$C912&gt;0,$D912&gt;0,$E912&gt;0,$F912&gt;0,$G912&gt;0,$F912&lt;=$A912,$G912&lt;=$A912,$A912-$F912&lt;=10,$A912-$G912&lt;=5),$D912*$E912/$C912-1,NA()),NA())</ns0:f>
        <ns0:v/>
      </ns0:c>
      <ns0:c r="C912">
        <ns0:f>IFERROR(IF(ISNUMBER($A912),IF(AND(AH!$P$10=1,AH!$P$12=1,$A912=TODAY()),AH!$P$19,IF(AH!$P$10=1,INDEX('Live History'!$B$5:$B$3004,AH!$P$13+907),INDEX('AH History'!$B$1:$B$18046,AH!$P$7+907))),NA()),NA())</ns0:f>
        <ns0:v/>
      </ns0:c>
      <ns0:c r="D912">
        <ns0:f>IFERROR(IF(ISNUMBER($A912),IF(AND(AH!$P$10=1,AH!$P$12=1,$A912=TODAY()),AH!$P$18,IF(AH!$P$10=1,INDEX('Live History'!$E$5:$E$3004,MATCH($A912,'Live History'!$D$5:$D$3004,1)),INDEX('AH History'!$C$1:$C$18046,AH!$P$7+907))),NA()),NA())</ns0:f>
        <ns0:v/>
      </ns0:c>
      <ns0:c r="E912">
        <ns0:f>IFERROR(IF(ISNUMBER($A912),IF(AND(AH!$P$10=1,AH!$P$12=1,$A912=TODAY()),AH!$P$20,IF(AH!$P$10=1,INDEX('Live History'!$H$5:$H$3004,MATCH($A912,'Live History'!$G$5:$G$3004,1)),INDEX('AH History'!$D$1:$D$18046,AH!$P$7+907))),NA()),NA())</ns0:f>
        <ns0:v/>
      </ns0:c>
      <ns0:c r="F912">
        <ns0:f>IFERROR(IF(ISNUMBER($A912),IF(AND(AH!$P$10=1,AH!$P$12=1,$A912=TODAY()),IF(AND(AH!$P$10=1,AH!$P$12=1,$A912=TODAY()),TODAY(),NA()),IF(AH!$P$10=1,INDEX('Live History'!$D$5:$D$3004,MATCH($A912,'Live History'!$D$5:$D$3004,1)),INDEX('AH History'!$E$1:$E$18046,AH!$P$7+907))),NA()),NA())</ns0:f>
        <ns0:v/>
      </ns0:c>
      <ns0:c r="G912">
        <ns0:f>IFERROR(IF(ISNUMBER($A912),IF(AND(AH!$P$10=1,AH!$P$12=1,$A912=TODAY()),IF(AND(AH!$P$10=1,AH!$P$12=1,$A912=TODAY()),TODAY(),NA()),IF(AH!$P$10=1,INDEX('Live History'!$G$5:$G$3004,MATCH($A912,'Live History'!$G$5:$G$3004,1)),INDEX('AH History'!$F$1:$F$18046,AH!$P$7+907))),NA()),NA())</ns0:f>
        <ns0:v/>
      </ns0:c>
      <ns0:c r="H912">
        <ns0:f>IFERROR(IF(AND(AH!$E$4="Bloomberg",AH!$P$10=1,ISNUMBER($A912),$A912&lt;=AH!$P$17),AH!$P$7-1+MATCH($A912,INDEX('AH History'!$A$1:$A$18046,AH!$P$7):INDEX('AH History'!$A$1:$A$18046,AH!$P$7+AH!$P$8-1),0),0),0)</ns0:f>
        <ns0:v/>
      </ns0:c>
      <ns0:c r="I912">
        <ns0:f>IF($H912=0,0,IFERROR(IF(AND(ABS($C912-INDEX('AH History'!$B$1:$B$18046,$H912))&lt;=MAX(0.005,ABS(INDEX('AH History'!$B$1:$B$18046,$H912))*0.00005),ABS($D912-INDEX('AH History'!$C$1:$C$18046,$H912))&lt;=MAX(0.005,ABS(INDEX('AH History'!$C$1:$C$18046,$H912))*0.00005),ABS($E912-INDEX('AH History'!$D$1:$D$18046,$H912))&lt;=0.00005,$F912=INDEX('AH History'!$E$1:$E$18046,$H912),$G912=INDEX('AH History'!$F$1:$F$18046,$H912)),1,-1),-1))</ns0:f>
        <ns0:v/>
      </ns0:c>
    </ns0:row>
    <ns0:row r="913">
      <ns0:c r="A913" s="215">
        <ns0:f>IF(OR(AH!$P$3=0,908+1&gt;AH!$P$11,AND(AH!$E$4&lt;&gt;"Stored",AH!$P$10&lt;&gt;1)),"",IFERROR(IF(AND(AH!$P$21=1,908+1=AH!$P$11),TODAY(),IF(AH!$P$10=1,INDEX('Live History'!$A$5:$A$3004,AH!$P$13+908),INDEX('AH History'!$A$1:$A$18046,AH!$P$7+908))),""))</ns0:f>
        <ns0:v/>
      </ns0:c>
      <ns0:c r="B913" s="219">
        <ns0:f>IFERROR(IF(AND(AH!$P$9&lt;&gt;1,$C913&gt;0,$D913&gt;0,$E913&gt;0,$F913&gt;0,$G913&gt;0,$F913&lt;=$A913,$G913&lt;=$A913,$A913-$F913&lt;=10,$A913-$G913&lt;=5),$D913*$E913/$C913-1,NA()),NA())</ns0:f>
        <ns0:v/>
      </ns0:c>
      <ns0:c r="C913">
        <ns0:f>IFERROR(IF(ISNUMBER($A913),IF(AND(AH!$P$10=1,AH!$P$12=1,$A913=TODAY()),AH!$P$19,IF(AH!$P$10=1,INDEX('Live History'!$B$5:$B$3004,AH!$P$13+908),INDEX('AH History'!$B$1:$B$18046,AH!$P$7+908))),NA()),NA())</ns0:f>
        <ns0:v/>
      </ns0:c>
      <ns0:c r="D913">
        <ns0:f>IFERROR(IF(ISNUMBER($A913),IF(AND(AH!$P$10=1,AH!$P$12=1,$A913=TODAY()),AH!$P$18,IF(AH!$P$10=1,INDEX('Live History'!$E$5:$E$3004,MATCH($A913,'Live History'!$D$5:$D$3004,1)),INDEX('AH History'!$C$1:$C$18046,AH!$P$7+908))),NA()),NA())</ns0:f>
        <ns0:v/>
      </ns0:c>
      <ns0:c r="E913">
        <ns0:f>IFERROR(IF(ISNUMBER($A913),IF(AND(AH!$P$10=1,AH!$P$12=1,$A913=TODAY()),AH!$P$20,IF(AH!$P$10=1,INDEX('Live History'!$H$5:$H$3004,MATCH($A913,'Live History'!$G$5:$G$3004,1)),INDEX('AH History'!$D$1:$D$18046,AH!$P$7+908))),NA()),NA())</ns0:f>
        <ns0:v/>
      </ns0:c>
      <ns0:c r="F913">
        <ns0:f>IFERROR(IF(ISNUMBER($A913),IF(AND(AH!$P$10=1,AH!$P$12=1,$A913=TODAY()),IF(AND(AH!$P$10=1,AH!$P$12=1,$A913=TODAY()),TODAY(),NA()),IF(AH!$P$10=1,INDEX('Live History'!$D$5:$D$3004,MATCH($A913,'Live History'!$D$5:$D$3004,1)),INDEX('AH History'!$E$1:$E$18046,AH!$P$7+908))),NA()),NA())</ns0:f>
        <ns0:v/>
      </ns0:c>
      <ns0:c r="G913">
        <ns0:f>IFERROR(IF(ISNUMBER($A913),IF(AND(AH!$P$10=1,AH!$P$12=1,$A913=TODAY()),IF(AND(AH!$P$10=1,AH!$P$12=1,$A913=TODAY()),TODAY(),NA()),IF(AH!$P$10=1,INDEX('Live History'!$G$5:$G$3004,MATCH($A913,'Live History'!$G$5:$G$3004,1)),INDEX('AH History'!$F$1:$F$18046,AH!$P$7+908))),NA()),NA())</ns0:f>
        <ns0:v/>
      </ns0:c>
      <ns0:c r="H913">
        <ns0:f>IFERROR(IF(AND(AH!$E$4="Bloomberg",AH!$P$10=1,ISNUMBER($A913),$A913&lt;=AH!$P$17),AH!$P$7-1+MATCH($A913,INDEX('AH History'!$A$1:$A$18046,AH!$P$7):INDEX('AH History'!$A$1:$A$18046,AH!$P$7+AH!$P$8-1),0),0),0)</ns0:f>
        <ns0:v/>
      </ns0:c>
      <ns0:c r="I913">
        <ns0:f>IF($H913=0,0,IFERROR(IF(AND(ABS($C913-INDEX('AH History'!$B$1:$B$18046,$H913))&lt;=MAX(0.005,ABS(INDEX('AH History'!$B$1:$B$18046,$H913))*0.00005),ABS($D913-INDEX('AH History'!$C$1:$C$18046,$H913))&lt;=MAX(0.005,ABS(INDEX('AH History'!$C$1:$C$18046,$H913))*0.00005),ABS($E913-INDEX('AH History'!$D$1:$D$18046,$H913))&lt;=0.00005,$F913=INDEX('AH History'!$E$1:$E$18046,$H913),$G913=INDEX('AH History'!$F$1:$F$18046,$H913)),1,-1),-1))</ns0:f>
        <ns0:v/>
      </ns0:c>
    </ns0:row>
    <ns0:row r="914">
      <ns0:c r="A914" s="215">
        <ns0:f>IF(OR(AH!$P$3=0,909+1&gt;AH!$P$11,AND(AH!$E$4&lt;&gt;"Stored",AH!$P$10&lt;&gt;1)),"",IFERROR(IF(AND(AH!$P$21=1,909+1=AH!$P$11),TODAY(),IF(AH!$P$10=1,INDEX('Live History'!$A$5:$A$3004,AH!$P$13+909),INDEX('AH History'!$A$1:$A$18046,AH!$P$7+909))),""))</ns0:f>
        <ns0:v/>
      </ns0:c>
      <ns0:c r="B914" s="219">
        <ns0:f>IFERROR(IF(AND(AH!$P$9&lt;&gt;1,$C914&gt;0,$D914&gt;0,$E914&gt;0,$F914&gt;0,$G914&gt;0,$F914&lt;=$A914,$G914&lt;=$A914,$A914-$F914&lt;=10,$A914-$G914&lt;=5),$D914*$E914/$C914-1,NA()),NA())</ns0:f>
        <ns0:v/>
      </ns0:c>
      <ns0:c r="C914">
        <ns0:f>IFERROR(IF(ISNUMBER($A914),IF(AND(AH!$P$10=1,AH!$P$12=1,$A914=TODAY()),AH!$P$19,IF(AH!$P$10=1,INDEX('Live History'!$B$5:$B$3004,AH!$P$13+909),INDEX('AH History'!$B$1:$B$18046,AH!$P$7+909))),NA()),NA())</ns0:f>
        <ns0:v/>
      </ns0:c>
      <ns0:c r="D914">
        <ns0:f>IFERROR(IF(ISNUMBER($A914),IF(AND(AH!$P$10=1,AH!$P$12=1,$A914=TODAY()),AH!$P$18,IF(AH!$P$10=1,INDEX('Live History'!$E$5:$E$3004,MATCH($A914,'Live History'!$D$5:$D$3004,1)),INDEX('AH History'!$C$1:$C$18046,AH!$P$7+909))),NA()),NA())</ns0:f>
        <ns0:v/>
      </ns0:c>
      <ns0:c r="E914">
        <ns0:f>IFERROR(IF(ISNUMBER($A914),IF(AND(AH!$P$10=1,AH!$P$12=1,$A914=TODAY()),AH!$P$20,IF(AH!$P$10=1,INDEX('Live History'!$H$5:$H$3004,MATCH($A914,'Live History'!$G$5:$G$3004,1)),INDEX('AH History'!$D$1:$D$18046,AH!$P$7+909))),NA()),NA())</ns0:f>
        <ns0:v/>
      </ns0:c>
      <ns0:c r="F914">
        <ns0:f>IFERROR(IF(ISNUMBER($A914),IF(AND(AH!$P$10=1,AH!$P$12=1,$A914=TODAY()),IF(AND(AH!$P$10=1,AH!$P$12=1,$A914=TODAY()),TODAY(),NA()),IF(AH!$P$10=1,INDEX('Live History'!$D$5:$D$3004,MATCH($A914,'Live History'!$D$5:$D$3004,1)),INDEX('AH History'!$E$1:$E$18046,AH!$P$7+909))),NA()),NA())</ns0:f>
        <ns0:v/>
      </ns0:c>
      <ns0:c r="G914">
        <ns0:f>IFERROR(IF(ISNUMBER($A914),IF(AND(AH!$P$10=1,AH!$P$12=1,$A914=TODAY()),IF(AND(AH!$P$10=1,AH!$P$12=1,$A914=TODAY()),TODAY(),NA()),IF(AH!$P$10=1,INDEX('Live History'!$G$5:$G$3004,MATCH($A914,'Live History'!$G$5:$G$3004,1)),INDEX('AH History'!$F$1:$F$18046,AH!$P$7+909))),NA()),NA())</ns0:f>
        <ns0:v/>
      </ns0:c>
      <ns0:c r="H914">
        <ns0:f>IFERROR(IF(AND(AH!$E$4="Bloomberg",AH!$P$10=1,ISNUMBER($A914),$A914&lt;=AH!$P$17),AH!$P$7-1+MATCH($A914,INDEX('AH History'!$A$1:$A$18046,AH!$P$7):INDEX('AH History'!$A$1:$A$18046,AH!$P$7+AH!$P$8-1),0),0),0)</ns0:f>
        <ns0:v/>
      </ns0:c>
      <ns0:c r="I914">
        <ns0:f>IF($H914=0,0,IFERROR(IF(AND(ABS($C914-INDEX('AH History'!$B$1:$B$18046,$H914))&lt;=MAX(0.005,ABS(INDEX('AH History'!$B$1:$B$18046,$H914))*0.00005),ABS($D914-INDEX('AH History'!$C$1:$C$18046,$H914))&lt;=MAX(0.005,ABS(INDEX('AH History'!$C$1:$C$18046,$H914))*0.00005),ABS($E914-INDEX('AH History'!$D$1:$D$18046,$H914))&lt;=0.00005,$F914=INDEX('AH History'!$E$1:$E$18046,$H914),$G914=INDEX('AH History'!$F$1:$F$18046,$H914)),1,-1),-1))</ns0:f>
        <ns0:v/>
      </ns0:c>
    </ns0:row>
    <ns0:row r="915">
      <ns0:c r="A915" s="215">
        <ns0:f>IF(OR(AH!$P$3=0,910+1&gt;AH!$P$11,AND(AH!$E$4&lt;&gt;"Stored",AH!$P$10&lt;&gt;1)),"",IFERROR(IF(AND(AH!$P$21=1,910+1=AH!$P$11),TODAY(),IF(AH!$P$10=1,INDEX('Live History'!$A$5:$A$3004,AH!$P$13+910),INDEX('AH History'!$A$1:$A$18046,AH!$P$7+910))),""))</ns0:f>
        <ns0:v/>
      </ns0:c>
      <ns0:c r="B915" s="219">
        <ns0:f>IFERROR(IF(AND(AH!$P$9&lt;&gt;1,$C915&gt;0,$D915&gt;0,$E915&gt;0,$F915&gt;0,$G915&gt;0,$F915&lt;=$A915,$G915&lt;=$A915,$A915-$F915&lt;=10,$A915-$G915&lt;=5),$D915*$E915/$C915-1,NA()),NA())</ns0:f>
        <ns0:v/>
      </ns0:c>
      <ns0:c r="C915">
        <ns0:f>IFERROR(IF(ISNUMBER($A915),IF(AND(AH!$P$10=1,AH!$P$12=1,$A915=TODAY()),AH!$P$19,IF(AH!$P$10=1,INDEX('Live History'!$B$5:$B$3004,AH!$P$13+910),INDEX('AH History'!$B$1:$B$18046,AH!$P$7+910))),NA()),NA())</ns0:f>
        <ns0:v/>
      </ns0:c>
      <ns0:c r="D915">
        <ns0:f>IFERROR(IF(ISNUMBER($A915),IF(AND(AH!$P$10=1,AH!$P$12=1,$A915=TODAY()),AH!$P$18,IF(AH!$P$10=1,INDEX('Live History'!$E$5:$E$3004,MATCH($A915,'Live History'!$D$5:$D$3004,1)),INDEX('AH History'!$C$1:$C$18046,AH!$P$7+910))),NA()),NA())</ns0:f>
        <ns0:v/>
      </ns0:c>
      <ns0:c r="E915">
        <ns0:f>IFERROR(IF(ISNUMBER($A915),IF(AND(AH!$P$10=1,AH!$P$12=1,$A915=TODAY()),AH!$P$20,IF(AH!$P$10=1,INDEX('Live History'!$H$5:$H$3004,MATCH($A915,'Live History'!$G$5:$G$3004,1)),INDEX('AH History'!$D$1:$D$18046,AH!$P$7+910))),NA()),NA())</ns0:f>
        <ns0:v/>
      </ns0:c>
      <ns0:c r="F915">
        <ns0:f>IFERROR(IF(ISNUMBER($A915),IF(AND(AH!$P$10=1,AH!$P$12=1,$A915=TODAY()),IF(AND(AH!$P$10=1,AH!$P$12=1,$A915=TODAY()),TODAY(),NA()),IF(AH!$P$10=1,INDEX('Live History'!$D$5:$D$3004,MATCH($A915,'Live History'!$D$5:$D$3004,1)),INDEX('AH History'!$E$1:$E$18046,AH!$P$7+910))),NA()),NA())</ns0:f>
        <ns0:v/>
      </ns0:c>
      <ns0:c r="G915">
        <ns0:f>IFERROR(IF(ISNUMBER($A915),IF(AND(AH!$P$10=1,AH!$P$12=1,$A915=TODAY()),IF(AND(AH!$P$10=1,AH!$P$12=1,$A915=TODAY()),TODAY(),NA()),IF(AH!$P$10=1,INDEX('Live History'!$G$5:$G$3004,MATCH($A915,'Live History'!$G$5:$G$3004,1)),INDEX('AH History'!$F$1:$F$18046,AH!$P$7+910))),NA()),NA())</ns0:f>
        <ns0:v/>
      </ns0:c>
      <ns0:c r="H915">
        <ns0:f>IFERROR(IF(AND(AH!$E$4="Bloomberg",AH!$P$10=1,ISNUMBER($A915),$A915&lt;=AH!$P$17),AH!$P$7-1+MATCH($A915,INDEX('AH History'!$A$1:$A$18046,AH!$P$7):INDEX('AH History'!$A$1:$A$18046,AH!$P$7+AH!$P$8-1),0),0),0)</ns0:f>
        <ns0:v/>
      </ns0:c>
      <ns0:c r="I915">
        <ns0:f>IF($H915=0,0,IFERROR(IF(AND(ABS($C915-INDEX('AH History'!$B$1:$B$18046,$H915))&lt;=MAX(0.005,ABS(INDEX('AH History'!$B$1:$B$18046,$H915))*0.00005),ABS($D915-INDEX('AH History'!$C$1:$C$18046,$H915))&lt;=MAX(0.005,ABS(INDEX('AH History'!$C$1:$C$18046,$H915))*0.00005),ABS($E915-INDEX('AH History'!$D$1:$D$18046,$H915))&lt;=0.00005,$F915=INDEX('AH History'!$E$1:$E$18046,$H915),$G915=INDEX('AH History'!$F$1:$F$18046,$H915)),1,-1),-1))</ns0:f>
        <ns0:v/>
      </ns0:c>
    </ns0:row>
    <ns0:row r="916">
      <ns0:c r="A916" s="215">
        <ns0:f>IF(OR(AH!$P$3=0,911+1&gt;AH!$P$11,AND(AH!$E$4&lt;&gt;"Stored",AH!$P$10&lt;&gt;1)),"",IFERROR(IF(AND(AH!$P$21=1,911+1=AH!$P$11),TODAY(),IF(AH!$P$10=1,INDEX('Live History'!$A$5:$A$3004,AH!$P$13+911),INDEX('AH History'!$A$1:$A$18046,AH!$P$7+911))),""))</ns0:f>
        <ns0:v/>
      </ns0:c>
      <ns0:c r="B916" s="219">
        <ns0:f>IFERROR(IF(AND(AH!$P$9&lt;&gt;1,$C916&gt;0,$D916&gt;0,$E916&gt;0,$F916&gt;0,$G916&gt;0,$F916&lt;=$A916,$G916&lt;=$A916,$A916-$F916&lt;=10,$A916-$G916&lt;=5),$D916*$E916/$C916-1,NA()),NA())</ns0:f>
        <ns0:v/>
      </ns0:c>
      <ns0:c r="C916">
        <ns0:f>IFERROR(IF(ISNUMBER($A916),IF(AND(AH!$P$10=1,AH!$P$12=1,$A916=TODAY()),AH!$P$19,IF(AH!$P$10=1,INDEX('Live History'!$B$5:$B$3004,AH!$P$13+911),INDEX('AH History'!$B$1:$B$18046,AH!$P$7+911))),NA()),NA())</ns0:f>
        <ns0:v/>
      </ns0:c>
      <ns0:c r="D916">
        <ns0:f>IFERROR(IF(ISNUMBER($A916),IF(AND(AH!$P$10=1,AH!$P$12=1,$A916=TODAY()),AH!$P$18,IF(AH!$P$10=1,INDEX('Live History'!$E$5:$E$3004,MATCH($A916,'Live History'!$D$5:$D$3004,1)),INDEX('AH History'!$C$1:$C$18046,AH!$P$7+911))),NA()),NA())</ns0:f>
        <ns0:v/>
      </ns0:c>
      <ns0:c r="E916">
        <ns0:f>IFERROR(IF(ISNUMBER($A916),IF(AND(AH!$P$10=1,AH!$P$12=1,$A916=TODAY()),AH!$P$20,IF(AH!$P$10=1,INDEX('Live History'!$H$5:$H$3004,MATCH($A916,'Live History'!$G$5:$G$3004,1)),INDEX('AH History'!$D$1:$D$18046,AH!$P$7+911))),NA()),NA())</ns0:f>
        <ns0:v/>
      </ns0:c>
      <ns0:c r="F916">
        <ns0:f>IFERROR(IF(ISNUMBER($A916),IF(AND(AH!$P$10=1,AH!$P$12=1,$A916=TODAY()),IF(AND(AH!$P$10=1,AH!$P$12=1,$A916=TODAY()),TODAY(),NA()),IF(AH!$P$10=1,INDEX('Live History'!$D$5:$D$3004,MATCH($A916,'Live History'!$D$5:$D$3004,1)),INDEX('AH History'!$E$1:$E$18046,AH!$P$7+911))),NA()),NA())</ns0:f>
        <ns0:v/>
      </ns0:c>
      <ns0:c r="G916">
        <ns0:f>IFERROR(IF(ISNUMBER($A916),IF(AND(AH!$P$10=1,AH!$P$12=1,$A916=TODAY()),IF(AND(AH!$P$10=1,AH!$P$12=1,$A916=TODAY()),TODAY(),NA()),IF(AH!$P$10=1,INDEX('Live History'!$G$5:$G$3004,MATCH($A916,'Live History'!$G$5:$G$3004,1)),INDEX('AH History'!$F$1:$F$18046,AH!$P$7+911))),NA()),NA())</ns0:f>
        <ns0:v/>
      </ns0:c>
      <ns0:c r="H916">
        <ns0:f>IFERROR(IF(AND(AH!$E$4="Bloomberg",AH!$P$10=1,ISNUMBER($A916),$A916&lt;=AH!$P$17),AH!$P$7-1+MATCH($A916,INDEX('AH History'!$A$1:$A$18046,AH!$P$7):INDEX('AH History'!$A$1:$A$18046,AH!$P$7+AH!$P$8-1),0),0),0)</ns0:f>
        <ns0:v/>
      </ns0:c>
      <ns0:c r="I916">
        <ns0:f>IF($H916=0,0,IFERROR(IF(AND(ABS($C916-INDEX('AH History'!$B$1:$B$18046,$H916))&lt;=MAX(0.005,ABS(INDEX('AH History'!$B$1:$B$18046,$H916))*0.00005),ABS($D916-INDEX('AH History'!$C$1:$C$18046,$H916))&lt;=MAX(0.005,ABS(INDEX('AH History'!$C$1:$C$18046,$H916))*0.00005),ABS($E916-INDEX('AH History'!$D$1:$D$18046,$H916))&lt;=0.00005,$F916=INDEX('AH History'!$E$1:$E$18046,$H916),$G916=INDEX('AH History'!$F$1:$F$18046,$H916)),1,-1),-1))</ns0:f>
        <ns0:v/>
      </ns0:c>
    </ns0:row>
    <ns0:row r="917">
      <ns0:c r="A917" s="215">
        <ns0:f>IF(OR(AH!$P$3=0,912+1&gt;AH!$P$11,AND(AH!$E$4&lt;&gt;"Stored",AH!$P$10&lt;&gt;1)),"",IFERROR(IF(AND(AH!$P$21=1,912+1=AH!$P$11),TODAY(),IF(AH!$P$10=1,INDEX('Live History'!$A$5:$A$3004,AH!$P$13+912),INDEX('AH History'!$A$1:$A$18046,AH!$P$7+912))),""))</ns0:f>
        <ns0:v/>
      </ns0:c>
      <ns0:c r="B917" s="219">
        <ns0:f>IFERROR(IF(AND(AH!$P$9&lt;&gt;1,$C917&gt;0,$D917&gt;0,$E917&gt;0,$F917&gt;0,$G917&gt;0,$F917&lt;=$A917,$G917&lt;=$A917,$A917-$F917&lt;=10,$A917-$G917&lt;=5),$D917*$E917/$C917-1,NA()),NA())</ns0:f>
        <ns0:v/>
      </ns0:c>
      <ns0:c r="C917">
        <ns0:f>IFERROR(IF(ISNUMBER($A917),IF(AND(AH!$P$10=1,AH!$P$12=1,$A917=TODAY()),AH!$P$19,IF(AH!$P$10=1,INDEX('Live History'!$B$5:$B$3004,AH!$P$13+912),INDEX('AH History'!$B$1:$B$18046,AH!$P$7+912))),NA()),NA())</ns0:f>
        <ns0:v/>
      </ns0:c>
      <ns0:c r="D917">
        <ns0:f>IFERROR(IF(ISNUMBER($A917),IF(AND(AH!$P$10=1,AH!$P$12=1,$A917=TODAY()),AH!$P$18,IF(AH!$P$10=1,INDEX('Live History'!$E$5:$E$3004,MATCH($A917,'Live History'!$D$5:$D$3004,1)),INDEX('AH History'!$C$1:$C$18046,AH!$P$7+912))),NA()),NA())</ns0:f>
        <ns0:v/>
      </ns0:c>
      <ns0:c r="E917">
        <ns0:f>IFERROR(IF(ISNUMBER($A917),IF(AND(AH!$P$10=1,AH!$P$12=1,$A917=TODAY()),AH!$P$20,IF(AH!$P$10=1,INDEX('Live History'!$H$5:$H$3004,MATCH($A917,'Live History'!$G$5:$G$3004,1)),INDEX('AH History'!$D$1:$D$18046,AH!$P$7+912))),NA()),NA())</ns0:f>
        <ns0:v/>
      </ns0:c>
      <ns0:c r="F917">
        <ns0:f>IFERROR(IF(ISNUMBER($A917),IF(AND(AH!$P$10=1,AH!$P$12=1,$A917=TODAY()),IF(AND(AH!$P$10=1,AH!$P$12=1,$A917=TODAY()),TODAY(),NA()),IF(AH!$P$10=1,INDEX('Live History'!$D$5:$D$3004,MATCH($A917,'Live History'!$D$5:$D$3004,1)),INDEX('AH History'!$E$1:$E$18046,AH!$P$7+912))),NA()),NA())</ns0:f>
        <ns0:v/>
      </ns0:c>
      <ns0:c r="G917">
        <ns0:f>IFERROR(IF(ISNUMBER($A917),IF(AND(AH!$P$10=1,AH!$P$12=1,$A917=TODAY()),IF(AND(AH!$P$10=1,AH!$P$12=1,$A917=TODAY()),TODAY(),NA()),IF(AH!$P$10=1,INDEX('Live History'!$G$5:$G$3004,MATCH($A917,'Live History'!$G$5:$G$3004,1)),INDEX('AH History'!$F$1:$F$18046,AH!$P$7+912))),NA()),NA())</ns0:f>
        <ns0:v/>
      </ns0:c>
      <ns0:c r="H917">
        <ns0:f>IFERROR(IF(AND(AH!$E$4="Bloomberg",AH!$P$10=1,ISNUMBER($A917),$A917&lt;=AH!$P$17),AH!$P$7-1+MATCH($A917,INDEX('AH History'!$A$1:$A$18046,AH!$P$7):INDEX('AH History'!$A$1:$A$18046,AH!$P$7+AH!$P$8-1),0),0),0)</ns0:f>
        <ns0:v/>
      </ns0:c>
      <ns0:c r="I917">
        <ns0:f>IF($H917=0,0,IFERROR(IF(AND(ABS($C917-INDEX('AH History'!$B$1:$B$18046,$H917))&lt;=MAX(0.005,ABS(INDEX('AH History'!$B$1:$B$18046,$H917))*0.00005),ABS($D917-INDEX('AH History'!$C$1:$C$18046,$H917))&lt;=MAX(0.005,ABS(INDEX('AH History'!$C$1:$C$18046,$H917))*0.00005),ABS($E917-INDEX('AH History'!$D$1:$D$18046,$H917))&lt;=0.00005,$F917=INDEX('AH History'!$E$1:$E$18046,$H917),$G917=INDEX('AH History'!$F$1:$F$18046,$H917)),1,-1),-1))</ns0:f>
        <ns0:v/>
      </ns0:c>
    </ns0:row>
    <ns0:row r="918">
      <ns0:c r="A918" s="215">
        <ns0:f>IF(OR(AH!$P$3=0,913+1&gt;AH!$P$11,AND(AH!$E$4&lt;&gt;"Stored",AH!$P$10&lt;&gt;1)),"",IFERROR(IF(AND(AH!$P$21=1,913+1=AH!$P$11),TODAY(),IF(AH!$P$10=1,INDEX('Live History'!$A$5:$A$3004,AH!$P$13+913),INDEX('AH History'!$A$1:$A$18046,AH!$P$7+913))),""))</ns0:f>
        <ns0:v/>
      </ns0:c>
      <ns0:c r="B918" s="219">
        <ns0:f>IFERROR(IF(AND(AH!$P$9&lt;&gt;1,$C918&gt;0,$D918&gt;0,$E918&gt;0,$F918&gt;0,$G918&gt;0,$F918&lt;=$A918,$G918&lt;=$A918,$A918-$F918&lt;=10,$A918-$G918&lt;=5),$D918*$E918/$C918-1,NA()),NA())</ns0:f>
        <ns0:v/>
      </ns0:c>
      <ns0:c r="C918">
        <ns0:f>IFERROR(IF(ISNUMBER($A918),IF(AND(AH!$P$10=1,AH!$P$12=1,$A918=TODAY()),AH!$P$19,IF(AH!$P$10=1,INDEX('Live History'!$B$5:$B$3004,AH!$P$13+913),INDEX('AH History'!$B$1:$B$18046,AH!$P$7+913))),NA()),NA())</ns0:f>
        <ns0:v/>
      </ns0:c>
      <ns0:c r="D918">
        <ns0:f>IFERROR(IF(ISNUMBER($A918),IF(AND(AH!$P$10=1,AH!$P$12=1,$A918=TODAY()),AH!$P$18,IF(AH!$P$10=1,INDEX('Live History'!$E$5:$E$3004,MATCH($A918,'Live History'!$D$5:$D$3004,1)),INDEX('AH History'!$C$1:$C$18046,AH!$P$7+913))),NA()),NA())</ns0:f>
        <ns0:v/>
      </ns0:c>
      <ns0:c r="E918">
        <ns0:f>IFERROR(IF(ISNUMBER($A918),IF(AND(AH!$P$10=1,AH!$P$12=1,$A918=TODAY()),AH!$P$20,IF(AH!$P$10=1,INDEX('Live History'!$H$5:$H$3004,MATCH($A918,'Live History'!$G$5:$G$3004,1)),INDEX('AH History'!$D$1:$D$18046,AH!$P$7+913))),NA()),NA())</ns0:f>
        <ns0:v/>
      </ns0:c>
      <ns0:c r="F918">
        <ns0:f>IFERROR(IF(ISNUMBER($A918),IF(AND(AH!$P$10=1,AH!$P$12=1,$A918=TODAY()),IF(AND(AH!$P$10=1,AH!$P$12=1,$A918=TODAY()),TODAY(),NA()),IF(AH!$P$10=1,INDEX('Live History'!$D$5:$D$3004,MATCH($A918,'Live History'!$D$5:$D$3004,1)),INDEX('AH History'!$E$1:$E$18046,AH!$P$7+913))),NA()),NA())</ns0:f>
        <ns0:v/>
      </ns0:c>
      <ns0:c r="G918">
        <ns0:f>IFERROR(IF(ISNUMBER($A918),IF(AND(AH!$P$10=1,AH!$P$12=1,$A918=TODAY()),IF(AND(AH!$P$10=1,AH!$P$12=1,$A918=TODAY()),TODAY(),NA()),IF(AH!$P$10=1,INDEX('Live History'!$G$5:$G$3004,MATCH($A918,'Live History'!$G$5:$G$3004,1)),INDEX('AH History'!$F$1:$F$18046,AH!$P$7+913))),NA()),NA())</ns0:f>
        <ns0:v/>
      </ns0:c>
      <ns0:c r="H918">
        <ns0:f>IFERROR(IF(AND(AH!$E$4="Bloomberg",AH!$P$10=1,ISNUMBER($A918),$A918&lt;=AH!$P$17),AH!$P$7-1+MATCH($A918,INDEX('AH History'!$A$1:$A$18046,AH!$P$7):INDEX('AH History'!$A$1:$A$18046,AH!$P$7+AH!$P$8-1),0),0),0)</ns0:f>
        <ns0:v/>
      </ns0:c>
      <ns0:c r="I918">
        <ns0:f>IF($H918=0,0,IFERROR(IF(AND(ABS($C918-INDEX('AH History'!$B$1:$B$18046,$H918))&lt;=MAX(0.005,ABS(INDEX('AH History'!$B$1:$B$18046,$H918))*0.00005),ABS($D918-INDEX('AH History'!$C$1:$C$18046,$H918))&lt;=MAX(0.005,ABS(INDEX('AH History'!$C$1:$C$18046,$H918))*0.00005),ABS($E918-INDEX('AH History'!$D$1:$D$18046,$H918))&lt;=0.00005,$F918=INDEX('AH History'!$E$1:$E$18046,$H918),$G918=INDEX('AH History'!$F$1:$F$18046,$H918)),1,-1),-1))</ns0:f>
        <ns0:v/>
      </ns0:c>
    </ns0:row>
    <ns0:row r="919">
      <ns0:c r="A919" s="215">
        <ns0:f>IF(OR(AH!$P$3=0,914+1&gt;AH!$P$11,AND(AH!$E$4&lt;&gt;"Stored",AH!$P$10&lt;&gt;1)),"",IFERROR(IF(AND(AH!$P$21=1,914+1=AH!$P$11),TODAY(),IF(AH!$P$10=1,INDEX('Live History'!$A$5:$A$3004,AH!$P$13+914),INDEX('AH History'!$A$1:$A$18046,AH!$P$7+914))),""))</ns0:f>
        <ns0:v/>
      </ns0:c>
      <ns0:c r="B919" s="219">
        <ns0:f>IFERROR(IF(AND(AH!$P$9&lt;&gt;1,$C919&gt;0,$D919&gt;0,$E919&gt;0,$F919&gt;0,$G919&gt;0,$F919&lt;=$A919,$G919&lt;=$A919,$A919-$F919&lt;=10,$A919-$G919&lt;=5),$D919*$E919/$C919-1,NA()),NA())</ns0:f>
        <ns0:v/>
      </ns0:c>
      <ns0:c r="C919">
        <ns0:f>IFERROR(IF(ISNUMBER($A919),IF(AND(AH!$P$10=1,AH!$P$12=1,$A919=TODAY()),AH!$P$19,IF(AH!$P$10=1,INDEX('Live History'!$B$5:$B$3004,AH!$P$13+914),INDEX('AH History'!$B$1:$B$18046,AH!$P$7+914))),NA()),NA())</ns0:f>
        <ns0:v/>
      </ns0:c>
      <ns0:c r="D919">
        <ns0:f>IFERROR(IF(ISNUMBER($A919),IF(AND(AH!$P$10=1,AH!$P$12=1,$A919=TODAY()),AH!$P$18,IF(AH!$P$10=1,INDEX('Live History'!$E$5:$E$3004,MATCH($A919,'Live History'!$D$5:$D$3004,1)),INDEX('AH History'!$C$1:$C$18046,AH!$P$7+914))),NA()),NA())</ns0:f>
        <ns0:v/>
      </ns0:c>
      <ns0:c r="E919">
        <ns0:f>IFERROR(IF(ISNUMBER($A919),IF(AND(AH!$P$10=1,AH!$P$12=1,$A919=TODAY()),AH!$P$20,IF(AH!$P$10=1,INDEX('Live History'!$H$5:$H$3004,MATCH($A919,'Live History'!$G$5:$G$3004,1)),INDEX('AH History'!$D$1:$D$18046,AH!$P$7+914))),NA()),NA())</ns0:f>
        <ns0:v/>
      </ns0:c>
      <ns0:c r="F919">
        <ns0:f>IFERROR(IF(ISNUMBER($A919),IF(AND(AH!$P$10=1,AH!$P$12=1,$A919=TODAY()),IF(AND(AH!$P$10=1,AH!$P$12=1,$A919=TODAY()),TODAY(),NA()),IF(AH!$P$10=1,INDEX('Live History'!$D$5:$D$3004,MATCH($A919,'Live History'!$D$5:$D$3004,1)),INDEX('AH History'!$E$1:$E$18046,AH!$P$7+914))),NA()),NA())</ns0:f>
        <ns0:v/>
      </ns0:c>
      <ns0:c r="G919">
        <ns0:f>IFERROR(IF(ISNUMBER($A919),IF(AND(AH!$P$10=1,AH!$P$12=1,$A919=TODAY()),IF(AND(AH!$P$10=1,AH!$P$12=1,$A919=TODAY()),TODAY(),NA()),IF(AH!$P$10=1,INDEX('Live History'!$G$5:$G$3004,MATCH($A919,'Live History'!$G$5:$G$3004,1)),INDEX('AH History'!$F$1:$F$18046,AH!$P$7+914))),NA()),NA())</ns0:f>
        <ns0:v/>
      </ns0:c>
      <ns0:c r="H919">
        <ns0:f>IFERROR(IF(AND(AH!$E$4="Bloomberg",AH!$P$10=1,ISNUMBER($A919),$A919&lt;=AH!$P$17),AH!$P$7-1+MATCH($A919,INDEX('AH History'!$A$1:$A$18046,AH!$P$7):INDEX('AH History'!$A$1:$A$18046,AH!$P$7+AH!$P$8-1),0),0),0)</ns0:f>
        <ns0:v/>
      </ns0:c>
      <ns0:c r="I919">
        <ns0:f>IF($H919=0,0,IFERROR(IF(AND(ABS($C919-INDEX('AH History'!$B$1:$B$18046,$H919))&lt;=MAX(0.005,ABS(INDEX('AH History'!$B$1:$B$18046,$H919))*0.00005),ABS($D919-INDEX('AH History'!$C$1:$C$18046,$H919))&lt;=MAX(0.005,ABS(INDEX('AH History'!$C$1:$C$18046,$H919))*0.00005),ABS($E919-INDEX('AH History'!$D$1:$D$18046,$H919))&lt;=0.00005,$F919=INDEX('AH History'!$E$1:$E$18046,$H919),$G919=INDEX('AH History'!$F$1:$F$18046,$H919)),1,-1),-1))</ns0:f>
        <ns0:v/>
      </ns0:c>
    </ns0:row>
    <ns0:row r="920">
      <ns0:c r="A920" s="215">
        <ns0:f>IF(OR(AH!$P$3=0,915+1&gt;AH!$P$11,AND(AH!$E$4&lt;&gt;"Stored",AH!$P$10&lt;&gt;1)),"",IFERROR(IF(AND(AH!$P$21=1,915+1=AH!$P$11),TODAY(),IF(AH!$P$10=1,INDEX('Live History'!$A$5:$A$3004,AH!$P$13+915),INDEX('AH History'!$A$1:$A$18046,AH!$P$7+915))),""))</ns0:f>
        <ns0:v/>
      </ns0:c>
      <ns0:c r="B920" s="219">
        <ns0:f>IFERROR(IF(AND(AH!$P$9&lt;&gt;1,$C920&gt;0,$D920&gt;0,$E920&gt;0,$F920&gt;0,$G920&gt;0,$F920&lt;=$A920,$G920&lt;=$A920,$A920-$F920&lt;=10,$A920-$G920&lt;=5),$D920*$E920/$C920-1,NA()),NA())</ns0:f>
        <ns0:v/>
      </ns0:c>
      <ns0:c r="C920">
        <ns0:f>IFERROR(IF(ISNUMBER($A920),IF(AND(AH!$P$10=1,AH!$P$12=1,$A920=TODAY()),AH!$P$19,IF(AH!$P$10=1,INDEX('Live History'!$B$5:$B$3004,AH!$P$13+915),INDEX('AH History'!$B$1:$B$18046,AH!$P$7+915))),NA()),NA())</ns0:f>
        <ns0:v/>
      </ns0:c>
      <ns0:c r="D920">
        <ns0:f>IFERROR(IF(ISNUMBER($A920),IF(AND(AH!$P$10=1,AH!$P$12=1,$A920=TODAY()),AH!$P$18,IF(AH!$P$10=1,INDEX('Live History'!$E$5:$E$3004,MATCH($A920,'Live History'!$D$5:$D$3004,1)),INDEX('AH History'!$C$1:$C$18046,AH!$P$7+915))),NA()),NA())</ns0:f>
        <ns0:v/>
      </ns0:c>
      <ns0:c r="E920">
        <ns0:f>IFERROR(IF(ISNUMBER($A920),IF(AND(AH!$P$10=1,AH!$P$12=1,$A920=TODAY()),AH!$P$20,IF(AH!$P$10=1,INDEX('Live History'!$H$5:$H$3004,MATCH($A920,'Live History'!$G$5:$G$3004,1)),INDEX('AH History'!$D$1:$D$18046,AH!$P$7+915))),NA()),NA())</ns0:f>
        <ns0:v/>
      </ns0:c>
      <ns0:c r="F920">
        <ns0:f>IFERROR(IF(ISNUMBER($A920),IF(AND(AH!$P$10=1,AH!$P$12=1,$A920=TODAY()),IF(AND(AH!$P$10=1,AH!$P$12=1,$A920=TODAY()),TODAY(),NA()),IF(AH!$P$10=1,INDEX('Live History'!$D$5:$D$3004,MATCH($A920,'Live History'!$D$5:$D$3004,1)),INDEX('AH History'!$E$1:$E$18046,AH!$P$7+915))),NA()),NA())</ns0:f>
        <ns0:v/>
      </ns0:c>
      <ns0:c r="G920">
        <ns0:f>IFERROR(IF(ISNUMBER($A920),IF(AND(AH!$P$10=1,AH!$P$12=1,$A920=TODAY()),IF(AND(AH!$P$10=1,AH!$P$12=1,$A920=TODAY()),TODAY(),NA()),IF(AH!$P$10=1,INDEX('Live History'!$G$5:$G$3004,MATCH($A920,'Live History'!$G$5:$G$3004,1)),INDEX('AH History'!$F$1:$F$18046,AH!$P$7+915))),NA()),NA())</ns0:f>
        <ns0:v/>
      </ns0:c>
      <ns0:c r="H920">
        <ns0:f>IFERROR(IF(AND(AH!$E$4="Bloomberg",AH!$P$10=1,ISNUMBER($A920),$A920&lt;=AH!$P$17),AH!$P$7-1+MATCH($A920,INDEX('AH History'!$A$1:$A$18046,AH!$P$7):INDEX('AH History'!$A$1:$A$18046,AH!$P$7+AH!$P$8-1),0),0),0)</ns0:f>
        <ns0:v/>
      </ns0:c>
      <ns0:c r="I920">
        <ns0:f>IF($H920=0,0,IFERROR(IF(AND(ABS($C920-INDEX('AH History'!$B$1:$B$18046,$H920))&lt;=MAX(0.005,ABS(INDEX('AH History'!$B$1:$B$18046,$H920))*0.00005),ABS($D920-INDEX('AH History'!$C$1:$C$18046,$H920))&lt;=MAX(0.005,ABS(INDEX('AH History'!$C$1:$C$18046,$H920))*0.00005),ABS($E920-INDEX('AH History'!$D$1:$D$18046,$H920))&lt;=0.00005,$F920=INDEX('AH History'!$E$1:$E$18046,$H920),$G920=INDEX('AH History'!$F$1:$F$18046,$H920)),1,-1),-1))</ns0:f>
        <ns0:v/>
      </ns0:c>
    </ns0:row>
    <ns0:row r="921">
      <ns0:c r="A921" s="215">
        <ns0:f>IF(OR(AH!$P$3=0,916+1&gt;AH!$P$11,AND(AH!$E$4&lt;&gt;"Stored",AH!$P$10&lt;&gt;1)),"",IFERROR(IF(AND(AH!$P$21=1,916+1=AH!$P$11),TODAY(),IF(AH!$P$10=1,INDEX('Live History'!$A$5:$A$3004,AH!$P$13+916),INDEX('AH History'!$A$1:$A$18046,AH!$P$7+916))),""))</ns0:f>
        <ns0:v/>
      </ns0:c>
      <ns0:c r="B921" s="219">
        <ns0:f>IFERROR(IF(AND(AH!$P$9&lt;&gt;1,$C921&gt;0,$D921&gt;0,$E921&gt;0,$F921&gt;0,$G921&gt;0,$F921&lt;=$A921,$G921&lt;=$A921,$A921-$F921&lt;=10,$A921-$G921&lt;=5),$D921*$E921/$C921-1,NA()),NA())</ns0:f>
        <ns0:v/>
      </ns0:c>
      <ns0:c r="C921">
        <ns0:f>IFERROR(IF(ISNUMBER($A921),IF(AND(AH!$P$10=1,AH!$P$12=1,$A921=TODAY()),AH!$P$19,IF(AH!$P$10=1,INDEX('Live History'!$B$5:$B$3004,AH!$P$13+916),INDEX('AH History'!$B$1:$B$18046,AH!$P$7+916))),NA()),NA())</ns0:f>
        <ns0:v/>
      </ns0:c>
      <ns0:c r="D921">
        <ns0:f>IFERROR(IF(ISNUMBER($A921),IF(AND(AH!$P$10=1,AH!$P$12=1,$A921=TODAY()),AH!$P$18,IF(AH!$P$10=1,INDEX('Live History'!$E$5:$E$3004,MATCH($A921,'Live History'!$D$5:$D$3004,1)),INDEX('AH History'!$C$1:$C$18046,AH!$P$7+916))),NA()),NA())</ns0:f>
        <ns0:v/>
      </ns0:c>
      <ns0:c r="E921">
        <ns0:f>IFERROR(IF(ISNUMBER($A921),IF(AND(AH!$P$10=1,AH!$P$12=1,$A921=TODAY()),AH!$P$20,IF(AH!$P$10=1,INDEX('Live History'!$H$5:$H$3004,MATCH($A921,'Live History'!$G$5:$G$3004,1)),INDEX('AH History'!$D$1:$D$18046,AH!$P$7+916))),NA()),NA())</ns0:f>
        <ns0:v/>
      </ns0:c>
      <ns0:c r="F921">
        <ns0:f>IFERROR(IF(ISNUMBER($A921),IF(AND(AH!$P$10=1,AH!$P$12=1,$A921=TODAY()),IF(AND(AH!$P$10=1,AH!$P$12=1,$A921=TODAY()),TODAY(),NA()),IF(AH!$P$10=1,INDEX('Live History'!$D$5:$D$3004,MATCH($A921,'Live History'!$D$5:$D$3004,1)),INDEX('AH History'!$E$1:$E$18046,AH!$P$7+916))),NA()),NA())</ns0:f>
        <ns0:v/>
      </ns0:c>
      <ns0:c r="G921">
        <ns0:f>IFERROR(IF(ISNUMBER($A921),IF(AND(AH!$P$10=1,AH!$P$12=1,$A921=TODAY()),IF(AND(AH!$P$10=1,AH!$P$12=1,$A921=TODAY()),TODAY(),NA()),IF(AH!$P$10=1,INDEX('Live History'!$G$5:$G$3004,MATCH($A921,'Live History'!$G$5:$G$3004,1)),INDEX('AH History'!$F$1:$F$18046,AH!$P$7+916))),NA()),NA())</ns0:f>
        <ns0:v/>
      </ns0:c>
      <ns0:c r="H921">
        <ns0:f>IFERROR(IF(AND(AH!$E$4="Bloomberg",AH!$P$10=1,ISNUMBER($A921),$A921&lt;=AH!$P$17),AH!$P$7-1+MATCH($A921,INDEX('AH History'!$A$1:$A$18046,AH!$P$7):INDEX('AH History'!$A$1:$A$18046,AH!$P$7+AH!$P$8-1),0),0),0)</ns0:f>
        <ns0:v/>
      </ns0:c>
      <ns0:c r="I921">
        <ns0:f>IF($H921=0,0,IFERROR(IF(AND(ABS($C921-INDEX('AH History'!$B$1:$B$18046,$H921))&lt;=MAX(0.005,ABS(INDEX('AH History'!$B$1:$B$18046,$H921))*0.00005),ABS($D921-INDEX('AH History'!$C$1:$C$18046,$H921))&lt;=MAX(0.005,ABS(INDEX('AH History'!$C$1:$C$18046,$H921))*0.00005),ABS($E921-INDEX('AH History'!$D$1:$D$18046,$H921))&lt;=0.00005,$F921=INDEX('AH History'!$E$1:$E$18046,$H921),$G921=INDEX('AH History'!$F$1:$F$18046,$H921)),1,-1),-1))</ns0:f>
        <ns0:v/>
      </ns0:c>
    </ns0:row>
    <ns0:row r="922">
      <ns0:c r="A922" s="215">
        <ns0:f>IF(OR(AH!$P$3=0,917+1&gt;AH!$P$11,AND(AH!$E$4&lt;&gt;"Stored",AH!$P$10&lt;&gt;1)),"",IFERROR(IF(AND(AH!$P$21=1,917+1=AH!$P$11),TODAY(),IF(AH!$P$10=1,INDEX('Live History'!$A$5:$A$3004,AH!$P$13+917),INDEX('AH History'!$A$1:$A$18046,AH!$P$7+917))),""))</ns0:f>
        <ns0:v/>
      </ns0:c>
      <ns0:c r="B922" s="219">
        <ns0:f>IFERROR(IF(AND(AH!$P$9&lt;&gt;1,$C922&gt;0,$D922&gt;0,$E922&gt;0,$F922&gt;0,$G922&gt;0,$F922&lt;=$A922,$G922&lt;=$A922,$A922-$F922&lt;=10,$A922-$G922&lt;=5),$D922*$E922/$C922-1,NA()),NA())</ns0:f>
        <ns0:v/>
      </ns0:c>
      <ns0:c r="C922">
        <ns0:f>IFERROR(IF(ISNUMBER($A922),IF(AND(AH!$P$10=1,AH!$P$12=1,$A922=TODAY()),AH!$P$19,IF(AH!$P$10=1,INDEX('Live History'!$B$5:$B$3004,AH!$P$13+917),INDEX('AH History'!$B$1:$B$18046,AH!$P$7+917))),NA()),NA())</ns0:f>
        <ns0:v/>
      </ns0:c>
      <ns0:c r="D922">
        <ns0:f>IFERROR(IF(ISNUMBER($A922),IF(AND(AH!$P$10=1,AH!$P$12=1,$A922=TODAY()),AH!$P$18,IF(AH!$P$10=1,INDEX('Live History'!$E$5:$E$3004,MATCH($A922,'Live History'!$D$5:$D$3004,1)),INDEX('AH History'!$C$1:$C$18046,AH!$P$7+917))),NA()),NA())</ns0:f>
        <ns0:v/>
      </ns0:c>
      <ns0:c r="E922">
        <ns0:f>IFERROR(IF(ISNUMBER($A922),IF(AND(AH!$P$10=1,AH!$P$12=1,$A922=TODAY()),AH!$P$20,IF(AH!$P$10=1,INDEX('Live History'!$H$5:$H$3004,MATCH($A922,'Live History'!$G$5:$G$3004,1)),INDEX('AH History'!$D$1:$D$18046,AH!$P$7+917))),NA()),NA())</ns0:f>
        <ns0:v/>
      </ns0:c>
      <ns0:c r="F922">
        <ns0:f>IFERROR(IF(ISNUMBER($A922),IF(AND(AH!$P$10=1,AH!$P$12=1,$A922=TODAY()),IF(AND(AH!$P$10=1,AH!$P$12=1,$A922=TODAY()),TODAY(),NA()),IF(AH!$P$10=1,INDEX('Live History'!$D$5:$D$3004,MATCH($A922,'Live History'!$D$5:$D$3004,1)),INDEX('AH History'!$E$1:$E$18046,AH!$P$7+917))),NA()),NA())</ns0:f>
        <ns0:v/>
      </ns0:c>
      <ns0:c r="G922">
        <ns0:f>IFERROR(IF(ISNUMBER($A922),IF(AND(AH!$P$10=1,AH!$P$12=1,$A922=TODAY()),IF(AND(AH!$P$10=1,AH!$P$12=1,$A922=TODAY()),TODAY(),NA()),IF(AH!$P$10=1,INDEX('Live History'!$G$5:$G$3004,MATCH($A922,'Live History'!$G$5:$G$3004,1)),INDEX('AH History'!$F$1:$F$18046,AH!$P$7+917))),NA()),NA())</ns0:f>
        <ns0:v/>
      </ns0:c>
      <ns0:c r="H922">
        <ns0:f>IFERROR(IF(AND(AH!$E$4="Bloomberg",AH!$P$10=1,ISNUMBER($A922),$A922&lt;=AH!$P$17),AH!$P$7-1+MATCH($A922,INDEX('AH History'!$A$1:$A$18046,AH!$P$7):INDEX('AH History'!$A$1:$A$18046,AH!$P$7+AH!$P$8-1),0),0),0)</ns0:f>
        <ns0:v/>
      </ns0:c>
      <ns0:c r="I922">
        <ns0:f>IF($H922=0,0,IFERROR(IF(AND(ABS($C922-INDEX('AH History'!$B$1:$B$18046,$H922))&lt;=MAX(0.005,ABS(INDEX('AH History'!$B$1:$B$18046,$H922))*0.00005),ABS($D922-INDEX('AH History'!$C$1:$C$18046,$H922))&lt;=MAX(0.005,ABS(INDEX('AH History'!$C$1:$C$18046,$H922))*0.00005),ABS($E922-INDEX('AH History'!$D$1:$D$18046,$H922))&lt;=0.00005,$F922=INDEX('AH History'!$E$1:$E$18046,$H922),$G922=INDEX('AH History'!$F$1:$F$18046,$H922)),1,-1),-1))</ns0:f>
        <ns0:v/>
      </ns0:c>
    </ns0:row>
    <ns0:row r="923">
      <ns0:c r="A923" s="215">
        <ns0:f>IF(OR(AH!$P$3=0,918+1&gt;AH!$P$11,AND(AH!$E$4&lt;&gt;"Stored",AH!$P$10&lt;&gt;1)),"",IFERROR(IF(AND(AH!$P$21=1,918+1=AH!$P$11),TODAY(),IF(AH!$P$10=1,INDEX('Live History'!$A$5:$A$3004,AH!$P$13+918),INDEX('AH History'!$A$1:$A$18046,AH!$P$7+918))),""))</ns0:f>
        <ns0:v/>
      </ns0:c>
      <ns0:c r="B923" s="219">
        <ns0:f>IFERROR(IF(AND(AH!$P$9&lt;&gt;1,$C923&gt;0,$D923&gt;0,$E923&gt;0,$F923&gt;0,$G923&gt;0,$F923&lt;=$A923,$G923&lt;=$A923,$A923-$F923&lt;=10,$A923-$G923&lt;=5),$D923*$E923/$C923-1,NA()),NA())</ns0:f>
        <ns0:v/>
      </ns0:c>
      <ns0:c r="C923">
        <ns0:f>IFERROR(IF(ISNUMBER($A923),IF(AND(AH!$P$10=1,AH!$P$12=1,$A923=TODAY()),AH!$P$19,IF(AH!$P$10=1,INDEX('Live History'!$B$5:$B$3004,AH!$P$13+918),INDEX('AH History'!$B$1:$B$18046,AH!$P$7+918))),NA()),NA())</ns0:f>
        <ns0:v/>
      </ns0:c>
      <ns0:c r="D923">
        <ns0:f>IFERROR(IF(ISNUMBER($A923),IF(AND(AH!$P$10=1,AH!$P$12=1,$A923=TODAY()),AH!$P$18,IF(AH!$P$10=1,INDEX('Live History'!$E$5:$E$3004,MATCH($A923,'Live History'!$D$5:$D$3004,1)),INDEX('AH History'!$C$1:$C$18046,AH!$P$7+918))),NA()),NA())</ns0:f>
        <ns0:v/>
      </ns0:c>
      <ns0:c r="E923">
        <ns0:f>IFERROR(IF(ISNUMBER($A923),IF(AND(AH!$P$10=1,AH!$P$12=1,$A923=TODAY()),AH!$P$20,IF(AH!$P$10=1,INDEX('Live History'!$H$5:$H$3004,MATCH($A923,'Live History'!$G$5:$G$3004,1)),INDEX('AH History'!$D$1:$D$18046,AH!$P$7+918))),NA()),NA())</ns0:f>
        <ns0:v/>
      </ns0:c>
      <ns0:c r="F923">
        <ns0:f>IFERROR(IF(ISNUMBER($A923),IF(AND(AH!$P$10=1,AH!$P$12=1,$A923=TODAY()),IF(AND(AH!$P$10=1,AH!$P$12=1,$A923=TODAY()),TODAY(),NA()),IF(AH!$P$10=1,INDEX('Live History'!$D$5:$D$3004,MATCH($A923,'Live History'!$D$5:$D$3004,1)),INDEX('AH History'!$E$1:$E$18046,AH!$P$7+918))),NA()),NA())</ns0:f>
        <ns0:v/>
      </ns0:c>
      <ns0:c r="G923">
        <ns0:f>IFERROR(IF(ISNUMBER($A923),IF(AND(AH!$P$10=1,AH!$P$12=1,$A923=TODAY()),IF(AND(AH!$P$10=1,AH!$P$12=1,$A923=TODAY()),TODAY(),NA()),IF(AH!$P$10=1,INDEX('Live History'!$G$5:$G$3004,MATCH($A923,'Live History'!$G$5:$G$3004,1)),INDEX('AH History'!$F$1:$F$18046,AH!$P$7+918))),NA()),NA())</ns0:f>
        <ns0:v/>
      </ns0:c>
      <ns0:c r="H923">
        <ns0:f>IFERROR(IF(AND(AH!$E$4="Bloomberg",AH!$P$10=1,ISNUMBER($A923),$A923&lt;=AH!$P$17),AH!$P$7-1+MATCH($A923,INDEX('AH History'!$A$1:$A$18046,AH!$P$7):INDEX('AH History'!$A$1:$A$18046,AH!$P$7+AH!$P$8-1),0),0),0)</ns0:f>
        <ns0:v/>
      </ns0:c>
      <ns0:c r="I923">
        <ns0:f>IF($H923=0,0,IFERROR(IF(AND(ABS($C923-INDEX('AH History'!$B$1:$B$18046,$H923))&lt;=MAX(0.005,ABS(INDEX('AH History'!$B$1:$B$18046,$H923))*0.00005),ABS($D923-INDEX('AH History'!$C$1:$C$18046,$H923))&lt;=MAX(0.005,ABS(INDEX('AH History'!$C$1:$C$18046,$H923))*0.00005),ABS($E923-INDEX('AH History'!$D$1:$D$18046,$H923))&lt;=0.00005,$F923=INDEX('AH History'!$E$1:$E$18046,$H923),$G923=INDEX('AH History'!$F$1:$F$18046,$H923)),1,-1),-1))</ns0:f>
        <ns0:v/>
      </ns0:c>
    </ns0:row>
    <ns0:row r="924">
      <ns0:c r="A924" s="215">
        <ns0:f>IF(OR(AH!$P$3=0,919+1&gt;AH!$P$11,AND(AH!$E$4&lt;&gt;"Stored",AH!$P$10&lt;&gt;1)),"",IFERROR(IF(AND(AH!$P$21=1,919+1=AH!$P$11),TODAY(),IF(AH!$P$10=1,INDEX('Live History'!$A$5:$A$3004,AH!$P$13+919),INDEX('AH History'!$A$1:$A$18046,AH!$P$7+919))),""))</ns0:f>
        <ns0:v/>
      </ns0:c>
      <ns0:c r="B924" s="219">
        <ns0:f>IFERROR(IF(AND(AH!$P$9&lt;&gt;1,$C924&gt;0,$D924&gt;0,$E924&gt;0,$F924&gt;0,$G924&gt;0,$F924&lt;=$A924,$G924&lt;=$A924,$A924-$F924&lt;=10,$A924-$G924&lt;=5),$D924*$E924/$C924-1,NA()),NA())</ns0:f>
        <ns0:v/>
      </ns0:c>
      <ns0:c r="C924">
        <ns0:f>IFERROR(IF(ISNUMBER($A924),IF(AND(AH!$P$10=1,AH!$P$12=1,$A924=TODAY()),AH!$P$19,IF(AH!$P$10=1,INDEX('Live History'!$B$5:$B$3004,AH!$P$13+919),INDEX('AH History'!$B$1:$B$18046,AH!$P$7+919))),NA()),NA())</ns0:f>
        <ns0:v/>
      </ns0:c>
      <ns0:c r="D924">
        <ns0:f>IFERROR(IF(ISNUMBER($A924),IF(AND(AH!$P$10=1,AH!$P$12=1,$A924=TODAY()),AH!$P$18,IF(AH!$P$10=1,INDEX('Live History'!$E$5:$E$3004,MATCH($A924,'Live History'!$D$5:$D$3004,1)),INDEX('AH History'!$C$1:$C$18046,AH!$P$7+919))),NA()),NA())</ns0:f>
        <ns0:v/>
      </ns0:c>
      <ns0:c r="E924">
        <ns0:f>IFERROR(IF(ISNUMBER($A924),IF(AND(AH!$P$10=1,AH!$P$12=1,$A924=TODAY()),AH!$P$20,IF(AH!$P$10=1,INDEX('Live History'!$H$5:$H$3004,MATCH($A924,'Live History'!$G$5:$G$3004,1)),INDEX('AH History'!$D$1:$D$18046,AH!$P$7+919))),NA()),NA())</ns0:f>
        <ns0:v/>
      </ns0:c>
      <ns0:c r="F924">
        <ns0:f>IFERROR(IF(ISNUMBER($A924),IF(AND(AH!$P$10=1,AH!$P$12=1,$A924=TODAY()),IF(AND(AH!$P$10=1,AH!$P$12=1,$A924=TODAY()),TODAY(),NA()),IF(AH!$P$10=1,INDEX('Live History'!$D$5:$D$3004,MATCH($A924,'Live History'!$D$5:$D$3004,1)),INDEX('AH History'!$E$1:$E$18046,AH!$P$7+919))),NA()),NA())</ns0:f>
        <ns0:v/>
      </ns0:c>
      <ns0:c r="G924">
        <ns0:f>IFERROR(IF(ISNUMBER($A924),IF(AND(AH!$P$10=1,AH!$P$12=1,$A924=TODAY()),IF(AND(AH!$P$10=1,AH!$P$12=1,$A924=TODAY()),TODAY(),NA()),IF(AH!$P$10=1,INDEX('Live History'!$G$5:$G$3004,MATCH($A924,'Live History'!$G$5:$G$3004,1)),INDEX('AH History'!$F$1:$F$18046,AH!$P$7+919))),NA()),NA())</ns0:f>
        <ns0:v/>
      </ns0:c>
      <ns0:c r="H924">
        <ns0:f>IFERROR(IF(AND(AH!$E$4="Bloomberg",AH!$P$10=1,ISNUMBER($A924),$A924&lt;=AH!$P$17),AH!$P$7-1+MATCH($A924,INDEX('AH History'!$A$1:$A$18046,AH!$P$7):INDEX('AH History'!$A$1:$A$18046,AH!$P$7+AH!$P$8-1),0),0),0)</ns0:f>
        <ns0:v/>
      </ns0:c>
      <ns0:c r="I924">
        <ns0:f>IF($H924=0,0,IFERROR(IF(AND(ABS($C924-INDEX('AH History'!$B$1:$B$18046,$H924))&lt;=MAX(0.005,ABS(INDEX('AH History'!$B$1:$B$18046,$H924))*0.00005),ABS($D924-INDEX('AH History'!$C$1:$C$18046,$H924))&lt;=MAX(0.005,ABS(INDEX('AH History'!$C$1:$C$18046,$H924))*0.00005),ABS($E924-INDEX('AH History'!$D$1:$D$18046,$H924))&lt;=0.00005,$F924=INDEX('AH History'!$E$1:$E$18046,$H924),$G924=INDEX('AH History'!$F$1:$F$18046,$H924)),1,-1),-1))</ns0:f>
        <ns0:v/>
      </ns0:c>
    </ns0:row>
    <ns0:row r="925">
      <ns0:c r="A925" s="215">
        <ns0:f>IF(OR(AH!$P$3=0,920+1&gt;AH!$P$11,AND(AH!$E$4&lt;&gt;"Stored",AH!$P$10&lt;&gt;1)),"",IFERROR(IF(AND(AH!$P$21=1,920+1=AH!$P$11),TODAY(),IF(AH!$P$10=1,INDEX('Live History'!$A$5:$A$3004,AH!$P$13+920),INDEX('AH History'!$A$1:$A$18046,AH!$P$7+920))),""))</ns0:f>
        <ns0:v/>
      </ns0:c>
      <ns0:c r="B925" s="219">
        <ns0:f>IFERROR(IF(AND(AH!$P$9&lt;&gt;1,$C925&gt;0,$D925&gt;0,$E925&gt;0,$F925&gt;0,$G925&gt;0,$F925&lt;=$A925,$G925&lt;=$A925,$A925-$F925&lt;=10,$A925-$G925&lt;=5),$D925*$E925/$C925-1,NA()),NA())</ns0:f>
        <ns0:v/>
      </ns0:c>
      <ns0:c r="C925">
        <ns0:f>IFERROR(IF(ISNUMBER($A925),IF(AND(AH!$P$10=1,AH!$P$12=1,$A925=TODAY()),AH!$P$19,IF(AH!$P$10=1,INDEX('Live History'!$B$5:$B$3004,AH!$P$13+920),INDEX('AH History'!$B$1:$B$18046,AH!$P$7+920))),NA()),NA())</ns0:f>
        <ns0:v/>
      </ns0:c>
      <ns0:c r="D925">
        <ns0:f>IFERROR(IF(ISNUMBER($A925),IF(AND(AH!$P$10=1,AH!$P$12=1,$A925=TODAY()),AH!$P$18,IF(AH!$P$10=1,INDEX('Live History'!$E$5:$E$3004,MATCH($A925,'Live History'!$D$5:$D$3004,1)),INDEX('AH History'!$C$1:$C$18046,AH!$P$7+920))),NA()),NA())</ns0:f>
        <ns0:v/>
      </ns0:c>
      <ns0:c r="E925">
        <ns0:f>IFERROR(IF(ISNUMBER($A925),IF(AND(AH!$P$10=1,AH!$P$12=1,$A925=TODAY()),AH!$P$20,IF(AH!$P$10=1,INDEX('Live History'!$H$5:$H$3004,MATCH($A925,'Live History'!$G$5:$G$3004,1)),INDEX('AH History'!$D$1:$D$18046,AH!$P$7+920))),NA()),NA())</ns0:f>
        <ns0:v/>
      </ns0:c>
      <ns0:c r="F925">
        <ns0:f>IFERROR(IF(ISNUMBER($A925),IF(AND(AH!$P$10=1,AH!$P$12=1,$A925=TODAY()),IF(AND(AH!$P$10=1,AH!$P$12=1,$A925=TODAY()),TODAY(),NA()),IF(AH!$P$10=1,INDEX('Live History'!$D$5:$D$3004,MATCH($A925,'Live History'!$D$5:$D$3004,1)),INDEX('AH History'!$E$1:$E$18046,AH!$P$7+920))),NA()),NA())</ns0:f>
        <ns0:v/>
      </ns0:c>
      <ns0:c r="G925">
        <ns0:f>IFERROR(IF(ISNUMBER($A925),IF(AND(AH!$P$10=1,AH!$P$12=1,$A925=TODAY()),IF(AND(AH!$P$10=1,AH!$P$12=1,$A925=TODAY()),TODAY(),NA()),IF(AH!$P$10=1,INDEX('Live History'!$G$5:$G$3004,MATCH($A925,'Live History'!$G$5:$G$3004,1)),INDEX('AH History'!$F$1:$F$18046,AH!$P$7+920))),NA()),NA())</ns0:f>
        <ns0:v/>
      </ns0:c>
      <ns0:c r="H925">
        <ns0:f>IFERROR(IF(AND(AH!$E$4="Bloomberg",AH!$P$10=1,ISNUMBER($A925),$A925&lt;=AH!$P$17),AH!$P$7-1+MATCH($A925,INDEX('AH History'!$A$1:$A$18046,AH!$P$7):INDEX('AH History'!$A$1:$A$18046,AH!$P$7+AH!$P$8-1),0),0),0)</ns0:f>
        <ns0:v/>
      </ns0:c>
      <ns0:c r="I925">
        <ns0:f>IF($H925=0,0,IFERROR(IF(AND(ABS($C925-INDEX('AH History'!$B$1:$B$18046,$H925))&lt;=MAX(0.005,ABS(INDEX('AH History'!$B$1:$B$18046,$H925))*0.00005),ABS($D925-INDEX('AH History'!$C$1:$C$18046,$H925))&lt;=MAX(0.005,ABS(INDEX('AH History'!$C$1:$C$18046,$H925))*0.00005),ABS($E925-INDEX('AH History'!$D$1:$D$18046,$H925))&lt;=0.00005,$F925=INDEX('AH History'!$E$1:$E$18046,$H925),$G925=INDEX('AH History'!$F$1:$F$18046,$H925)),1,-1),-1))</ns0:f>
        <ns0:v/>
      </ns0:c>
    </ns0:row>
    <ns0:row r="926">
      <ns0:c r="A926" s="215">
        <ns0:f>IF(OR(AH!$P$3=0,921+1&gt;AH!$P$11,AND(AH!$E$4&lt;&gt;"Stored",AH!$P$10&lt;&gt;1)),"",IFERROR(IF(AND(AH!$P$21=1,921+1=AH!$P$11),TODAY(),IF(AH!$P$10=1,INDEX('Live History'!$A$5:$A$3004,AH!$P$13+921),INDEX('AH History'!$A$1:$A$18046,AH!$P$7+921))),""))</ns0:f>
        <ns0:v/>
      </ns0:c>
      <ns0:c r="B926" s="219">
        <ns0:f>IFERROR(IF(AND(AH!$P$9&lt;&gt;1,$C926&gt;0,$D926&gt;0,$E926&gt;0,$F926&gt;0,$G926&gt;0,$F926&lt;=$A926,$G926&lt;=$A926,$A926-$F926&lt;=10,$A926-$G926&lt;=5),$D926*$E926/$C926-1,NA()),NA())</ns0:f>
        <ns0:v/>
      </ns0:c>
      <ns0:c r="C926">
        <ns0:f>IFERROR(IF(ISNUMBER($A926),IF(AND(AH!$P$10=1,AH!$P$12=1,$A926=TODAY()),AH!$P$19,IF(AH!$P$10=1,INDEX('Live History'!$B$5:$B$3004,AH!$P$13+921),INDEX('AH History'!$B$1:$B$18046,AH!$P$7+921))),NA()),NA())</ns0:f>
        <ns0:v/>
      </ns0:c>
      <ns0:c r="D926">
        <ns0:f>IFERROR(IF(ISNUMBER($A926),IF(AND(AH!$P$10=1,AH!$P$12=1,$A926=TODAY()),AH!$P$18,IF(AH!$P$10=1,INDEX('Live History'!$E$5:$E$3004,MATCH($A926,'Live History'!$D$5:$D$3004,1)),INDEX('AH History'!$C$1:$C$18046,AH!$P$7+921))),NA()),NA())</ns0:f>
        <ns0:v/>
      </ns0:c>
      <ns0:c r="E926">
        <ns0:f>IFERROR(IF(ISNUMBER($A926),IF(AND(AH!$P$10=1,AH!$P$12=1,$A926=TODAY()),AH!$P$20,IF(AH!$P$10=1,INDEX('Live History'!$H$5:$H$3004,MATCH($A926,'Live History'!$G$5:$G$3004,1)),INDEX('AH History'!$D$1:$D$18046,AH!$P$7+921))),NA()),NA())</ns0:f>
        <ns0:v/>
      </ns0:c>
      <ns0:c r="F926">
        <ns0:f>IFERROR(IF(ISNUMBER($A926),IF(AND(AH!$P$10=1,AH!$P$12=1,$A926=TODAY()),IF(AND(AH!$P$10=1,AH!$P$12=1,$A926=TODAY()),TODAY(),NA()),IF(AH!$P$10=1,INDEX('Live History'!$D$5:$D$3004,MATCH($A926,'Live History'!$D$5:$D$3004,1)),INDEX('AH History'!$E$1:$E$18046,AH!$P$7+921))),NA()),NA())</ns0:f>
        <ns0:v/>
      </ns0:c>
      <ns0:c r="G926">
        <ns0:f>IFERROR(IF(ISNUMBER($A926),IF(AND(AH!$P$10=1,AH!$P$12=1,$A926=TODAY()),IF(AND(AH!$P$10=1,AH!$P$12=1,$A926=TODAY()),TODAY(),NA()),IF(AH!$P$10=1,INDEX('Live History'!$G$5:$G$3004,MATCH($A926,'Live History'!$G$5:$G$3004,1)),INDEX('AH History'!$F$1:$F$18046,AH!$P$7+921))),NA()),NA())</ns0:f>
        <ns0:v/>
      </ns0:c>
      <ns0:c r="H926">
        <ns0:f>IFERROR(IF(AND(AH!$E$4="Bloomberg",AH!$P$10=1,ISNUMBER($A926),$A926&lt;=AH!$P$17),AH!$P$7-1+MATCH($A926,INDEX('AH History'!$A$1:$A$18046,AH!$P$7):INDEX('AH History'!$A$1:$A$18046,AH!$P$7+AH!$P$8-1),0),0),0)</ns0:f>
        <ns0:v/>
      </ns0:c>
      <ns0:c r="I926">
        <ns0:f>IF($H926=0,0,IFERROR(IF(AND(ABS($C926-INDEX('AH History'!$B$1:$B$18046,$H926))&lt;=MAX(0.005,ABS(INDEX('AH History'!$B$1:$B$18046,$H926))*0.00005),ABS($D926-INDEX('AH History'!$C$1:$C$18046,$H926))&lt;=MAX(0.005,ABS(INDEX('AH History'!$C$1:$C$18046,$H926))*0.00005),ABS($E926-INDEX('AH History'!$D$1:$D$18046,$H926))&lt;=0.00005,$F926=INDEX('AH History'!$E$1:$E$18046,$H926),$G926=INDEX('AH History'!$F$1:$F$18046,$H926)),1,-1),-1))</ns0:f>
        <ns0:v/>
      </ns0:c>
    </ns0:row>
    <ns0:row r="927">
      <ns0:c r="A927" s="215">
        <ns0:f>IF(OR(AH!$P$3=0,922+1&gt;AH!$P$11,AND(AH!$E$4&lt;&gt;"Stored",AH!$P$10&lt;&gt;1)),"",IFERROR(IF(AND(AH!$P$21=1,922+1=AH!$P$11),TODAY(),IF(AH!$P$10=1,INDEX('Live History'!$A$5:$A$3004,AH!$P$13+922),INDEX('AH History'!$A$1:$A$18046,AH!$P$7+922))),""))</ns0:f>
        <ns0:v/>
      </ns0:c>
      <ns0:c r="B927" s="219">
        <ns0:f>IFERROR(IF(AND(AH!$P$9&lt;&gt;1,$C927&gt;0,$D927&gt;0,$E927&gt;0,$F927&gt;0,$G927&gt;0,$F927&lt;=$A927,$G927&lt;=$A927,$A927-$F927&lt;=10,$A927-$G927&lt;=5),$D927*$E927/$C927-1,NA()),NA())</ns0:f>
        <ns0:v/>
      </ns0:c>
      <ns0:c r="C927">
        <ns0:f>IFERROR(IF(ISNUMBER($A927),IF(AND(AH!$P$10=1,AH!$P$12=1,$A927=TODAY()),AH!$P$19,IF(AH!$P$10=1,INDEX('Live History'!$B$5:$B$3004,AH!$P$13+922),INDEX('AH History'!$B$1:$B$18046,AH!$P$7+922))),NA()),NA())</ns0:f>
        <ns0:v/>
      </ns0:c>
      <ns0:c r="D927">
        <ns0:f>IFERROR(IF(ISNUMBER($A927),IF(AND(AH!$P$10=1,AH!$P$12=1,$A927=TODAY()),AH!$P$18,IF(AH!$P$10=1,INDEX('Live History'!$E$5:$E$3004,MATCH($A927,'Live History'!$D$5:$D$3004,1)),INDEX('AH History'!$C$1:$C$18046,AH!$P$7+922))),NA()),NA())</ns0:f>
        <ns0:v/>
      </ns0:c>
      <ns0:c r="E927">
        <ns0:f>IFERROR(IF(ISNUMBER($A927),IF(AND(AH!$P$10=1,AH!$P$12=1,$A927=TODAY()),AH!$P$20,IF(AH!$P$10=1,INDEX('Live History'!$H$5:$H$3004,MATCH($A927,'Live History'!$G$5:$G$3004,1)),INDEX('AH History'!$D$1:$D$18046,AH!$P$7+922))),NA()),NA())</ns0:f>
        <ns0:v/>
      </ns0:c>
      <ns0:c r="F927">
        <ns0:f>IFERROR(IF(ISNUMBER($A927),IF(AND(AH!$P$10=1,AH!$P$12=1,$A927=TODAY()),IF(AND(AH!$P$10=1,AH!$P$12=1,$A927=TODAY()),TODAY(),NA()),IF(AH!$P$10=1,INDEX('Live History'!$D$5:$D$3004,MATCH($A927,'Live History'!$D$5:$D$3004,1)),INDEX('AH History'!$E$1:$E$18046,AH!$P$7+922))),NA()),NA())</ns0:f>
        <ns0:v/>
      </ns0:c>
      <ns0:c r="G927">
        <ns0:f>IFERROR(IF(ISNUMBER($A927),IF(AND(AH!$P$10=1,AH!$P$12=1,$A927=TODAY()),IF(AND(AH!$P$10=1,AH!$P$12=1,$A927=TODAY()),TODAY(),NA()),IF(AH!$P$10=1,INDEX('Live History'!$G$5:$G$3004,MATCH($A927,'Live History'!$G$5:$G$3004,1)),INDEX('AH History'!$F$1:$F$18046,AH!$P$7+922))),NA()),NA())</ns0:f>
        <ns0:v/>
      </ns0:c>
      <ns0:c r="H927">
        <ns0:f>IFERROR(IF(AND(AH!$E$4="Bloomberg",AH!$P$10=1,ISNUMBER($A927),$A927&lt;=AH!$P$17),AH!$P$7-1+MATCH($A927,INDEX('AH History'!$A$1:$A$18046,AH!$P$7):INDEX('AH History'!$A$1:$A$18046,AH!$P$7+AH!$P$8-1),0),0),0)</ns0:f>
        <ns0:v/>
      </ns0:c>
      <ns0:c r="I927">
        <ns0:f>IF($H927=0,0,IFERROR(IF(AND(ABS($C927-INDEX('AH History'!$B$1:$B$18046,$H927))&lt;=MAX(0.005,ABS(INDEX('AH History'!$B$1:$B$18046,$H927))*0.00005),ABS($D927-INDEX('AH History'!$C$1:$C$18046,$H927))&lt;=MAX(0.005,ABS(INDEX('AH History'!$C$1:$C$18046,$H927))*0.00005),ABS($E927-INDEX('AH History'!$D$1:$D$18046,$H927))&lt;=0.00005,$F927=INDEX('AH History'!$E$1:$E$18046,$H927),$G927=INDEX('AH History'!$F$1:$F$18046,$H927)),1,-1),-1))</ns0:f>
        <ns0:v/>
      </ns0:c>
    </ns0:row>
    <ns0:row r="928">
      <ns0:c r="A928" s="215">
        <ns0:f>IF(OR(AH!$P$3=0,923+1&gt;AH!$P$11,AND(AH!$E$4&lt;&gt;"Stored",AH!$P$10&lt;&gt;1)),"",IFERROR(IF(AND(AH!$P$21=1,923+1=AH!$P$11),TODAY(),IF(AH!$P$10=1,INDEX('Live History'!$A$5:$A$3004,AH!$P$13+923),INDEX('AH History'!$A$1:$A$18046,AH!$P$7+923))),""))</ns0:f>
        <ns0:v/>
      </ns0:c>
      <ns0:c r="B928" s="219">
        <ns0:f>IFERROR(IF(AND(AH!$P$9&lt;&gt;1,$C928&gt;0,$D928&gt;0,$E928&gt;0,$F928&gt;0,$G928&gt;0,$F928&lt;=$A928,$G928&lt;=$A928,$A928-$F928&lt;=10,$A928-$G928&lt;=5),$D928*$E928/$C928-1,NA()),NA())</ns0:f>
        <ns0:v/>
      </ns0:c>
      <ns0:c r="C928">
        <ns0:f>IFERROR(IF(ISNUMBER($A928),IF(AND(AH!$P$10=1,AH!$P$12=1,$A928=TODAY()),AH!$P$19,IF(AH!$P$10=1,INDEX('Live History'!$B$5:$B$3004,AH!$P$13+923),INDEX('AH History'!$B$1:$B$18046,AH!$P$7+923))),NA()),NA())</ns0:f>
        <ns0:v/>
      </ns0:c>
      <ns0:c r="D928">
        <ns0:f>IFERROR(IF(ISNUMBER($A928),IF(AND(AH!$P$10=1,AH!$P$12=1,$A928=TODAY()),AH!$P$18,IF(AH!$P$10=1,INDEX('Live History'!$E$5:$E$3004,MATCH($A928,'Live History'!$D$5:$D$3004,1)),INDEX('AH History'!$C$1:$C$18046,AH!$P$7+923))),NA()),NA())</ns0:f>
        <ns0:v/>
      </ns0:c>
      <ns0:c r="E928">
        <ns0:f>IFERROR(IF(ISNUMBER($A928),IF(AND(AH!$P$10=1,AH!$P$12=1,$A928=TODAY()),AH!$P$20,IF(AH!$P$10=1,INDEX('Live History'!$H$5:$H$3004,MATCH($A928,'Live History'!$G$5:$G$3004,1)),INDEX('AH History'!$D$1:$D$18046,AH!$P$7+923))),NA()),NA())</ns0:f>
        <ns0:v/>
      </ns0:c>
      <ns0:c r="F928">
        <ns0:f>IFERROR(IF(ISNUMBER($A928),IF(AND(AH!$P$10=1,AH!$P$12=1,$A928=TODAY()),IF(AND(AH!$P$10=1,AH!$P$12=1,$A928=TODAY()),TODAY(),NA()),IF(AH!$P$10=1,INDEX('Live History'!$D$5:$D$3004,MATCH($A928,'Live History'!$D$5:$D$3004,1)),INDEX('AH History'!$E$1:$E$18046,AH!$P$7+923))),NA()),NA())</ns0:f>
        <ns0:v/>
      </ns0:c>
      <ns0:c r="G928">
        <ns0:f>IFERROR(IF(ISNUMBER($A928),IF(AND(AH!$P$10=1,AH!$P$12=1,$A928=TODAY()),IF(AND(AH!$P$10=1,AH!$P$12=1,$A928=TODAY()),TODAY(),NA()),IF(AH!$P$10=1,INDEX('Live History'!$G$5:$G$3004,MATCH($A928,'Live History'!$G$5:$G$3004,1)),INDEX('AH History'!$F$1:$F$18046,AH!$P$7+923))),NA()),NA())</ns0:f>
        <ns0:v/>
      </ns0:c>
      <ns0:c r="H928">
        <ns0:f>IFERROR(IF(AND(AH!$E$4="Bloomberg",AH!$P$10=1,ISNUMBER($A928),$A928&lt;=AH!$P$17),AH!$P$7-1+MATCH($A928,INDEX('AH History'!$A$1:$A$18046,AH!$P$7):INDEX('AH History'!$A$1:$A$18046,AH!$P$7+AH!$P$8-1),0),0),0)</ns0:f>
        <ns0:v/>
      </ns0:c>
      <ns0:c r="I928">
        <ns0:f>IF($H928=0,0,IFERROR(IF(AND(ABS($C928-INDEX('AH History'!$B$1:$B$18046,$H928))&lt;=MAX(0.005,ABS(INDEX('AH History'!$B$1:$B$18046,$H928))*0.00005),ABS($D928-INDEX('AH History'!$C$1:$C$18046,$H928))&lt;=MAX(0.005,ABS(INDEX('AH History'!$C$1:$C$18046,$H928))*0.00005),ABS($E928-INDEX('AH History'!$D$1:$D$18046,$H928))&lt;=0.00005,$F928=INDEX('AH History'!$E$1:$E$18046,$H928),$G928=INDEX('AH History'!$F$1:$F$18046,$H928)),1,-1),-1))</ns0:f>
        <ns0:v/>
      </ns0:c>
    </ns0:row>
    <ns0:row r="929">
      <ns0:c r="A929" s="215">
        <ns0:f>IF(OR(AH!$P$3=0,924+1&gt;AH!$P$11,AND(AH!$E$4&lt;&gt;"Stored",AH!$P$10&lt;&gt;1)),"",IFERROR(IF(AND(AH!$P$21=1,924+1=AH!$P$11),TODAY(),IF(AH!$P$10=1,INDEX('Live History'!$A$5:$A$3004,AH!$P$13+924),INDEX('AH History'!$A$1:$A$18046,AH!$P$7+924))),""))</ns0:f>
        <ns0:v/>
      </ns0:c>
      <ns0:c r="B929" s="219">
        <ns0:f>IFERROR(IF(AND(AH!$P$9&lt;&gt;1,$C929&gt;0,$D929&gt;0,$E929&gt;0,$F929&gt;0,$G929&gt;0,$F929&lt;=$A929,$G929&lt;=$A929,$A929-$F929&lt;=10,$A929-$G929&lt;=5),$D929*$E929/$C929-1,NA()),NA())</ns0:f>
        <ns0:v/>
      </ns0:c>
      <ns0:c r="C929">
        <ns0:f>IFERROR(IF(ISNUMBER($A929),IF(AND(AH!$P$10=1,AH!$P$12=1,$A929=TODAY()),AH!$P$19,IF(AH!$P$10=1,INDEX('Live History'!$B$5:$B$3004,AH!$P$13+924),INDEX('AH History'!$B$1:$B$18046,AH!$P$7+924))),NA()),NA())</ns0:f>
        <ns0:v/>
      </ns0:c>
      <ns0:c r="D929">
        <ns0:f>IFERROR(IF(ISNUMBER($A929),IF(AND(AH!$P$10=1,AH!$P$12=1,$A929=TODAY()),AH!$P$18,IF(AH!$P$10=1,INDEX('Live History'!$E$5:$E$3004,MATCH($A929,'Live History'!$D$5:$D$3004,1)),INDEX('AH History'!$C$1:$C$18046,AH!$P$7+924))),NA()),NA())</ns0:f>
        <ns0:v/>
      </ns0:c>
      <ns0:c r="E929">
        <ns0:f>IFERROR(IF(ISNUMBER($A929),IF(AND(AH!$P$10=1,AH!$P$12=1,$A929=TODAY()),AH!$P$20,IF(AH!$P$10=1,INDEX('Live History'!$H$5:$H$3004,MATCH($A929,'Live History'!$G$5:$G$3004,1)),INDEX('AH History'!$D$1:$D$18046,AH!$P$7+924))),NA()),NA())</ns0:f>
        <ns0:v/>
      </ns0:c>
      <ns0:c r="F929">
        <ns0:f>IFERROR(IF(ISNUMBER($A929),IF(AND(AH!$P$10=1,AH!$P$12=1,$A929=TODAY()),IF(AND(AH!$P$10=1,AH!$P$12=1,$A929=TODAY()),TODAY(),NA()),IF(AH!$P$10=1,INDEX('Live History'!$D$5:$D$3004,MATCH($A929,'Live History'!$D$5:$D$3004,1)),INDEX('AH History'!$E$1:$E$18046,AH!$P$7+924))),NA()),NA())</ns0:f>
        <ns0:v/>
      </ns0:c>
      <ns0:c r="G929">
        <ns0:f>IFERROR(IF(ISNUMBER($A929),IF(AND(AH!$P$10=1,AH!$P$12=1,$A929=TODAY()),IF(AND(AH!$P$10=1,AH!$P$12=1,$A929=TODAY()),TODAY(),NA()),IF(AH!$P$10=1,INDEX('Live History'!$G$5:$G$3004,MATCH($A929,'Live History'!$G$5:$G$3004,1)),INDEX('AH History'!$F$1:$F$18046,AH!$P$7+924))),NA()),NA())</ns0:f>
        <ns0:v/>
      </ns0:c>
      <ns0:c r="H929">
        <ns0:f>IFERROR(IF(AND(AH!$E$4="Bloomberg",AH!$P$10=1,ISNUMBER($A929),$A929&lt;=AH!$P$17),AH!$P$7-1+MATCH($A929,INDEX('AH History'!$A$1:$A$18046,AH!$P$7):INDEX('AH History'!$A$1:$A$18046,AH!$P$7+AH!$P$8-1),0),0),0)</ns0:f>
        <ns0:v/>
      </ns0:c>
      <ns0:c r="I929">
        <ns0:f>IF($H929=0,0,IFERROR(IF(AND(ABS($C929-INDEX('AH History'!$B$1:$B$18046,$H929))&lt;=MAX(0.005,ABS(INDEX('AH History'!$B$1:$B$18046,$H929))*0.00005),ABS($D929-INDEX('AH History'!$C$1:$C$18046,$H929))&lt;=MAX(0.005,ABS(INDEX('AH History'!$C$1:$C$18046,$H929))*0.00005),ABS($E929-INDEX('AH History'!$D$1:$D$18046,$H929))&lt;=0.00005,$F929=INDEX('AH History'!$E$1:$E$18046,$H929),$G929=INDEX('AH History'!$F$1:$F$18046,$H929)),1,-1),-1))</ns0:f>
        <ns0:v/>
      </ns0:c>
    </ns0:row>
    <ns0:row r="930">
      <ns0:c r="A930" s="215">
        <ns0:f>IF(OR(AH!$P$3=0,925+1&gt;AH!$P$11,AND(AH!$E$4&lt;&gt;"Stored",AH!$P$10&lt;&gt;1)),"",IFERROR(IF(AND(AH!$P$21=1,925+1=AH!$P$11),TODAY(),IF(AH!$P$10=1,INDEX('Live History'!$A$5:$A$3004,AH!$P$13+925),INDEX('AH History'!$A$1:$A$18046,AH!$P$7+925))),""))</ns0:f>
        <ns0:v/>
      </ns0:c>
      <ns0:c r="B930" s="219">
        <ns0:f>IFERROR(IF(AND(AH!$P$9&lt;&gt;1,$C930&gt;0,$D930&gt;0,$E930&gt;0,$F930&gt;0,$G930&gt;0,$F930&lt;=$A930,$G930&lt;=$A930,$A930-$F930&lt;=10,$A930-$G930&lt;=5),$D930*$E930/$C930-1,NA()),NA())</ns0:f>
        <ns0:v/>
      </ns0:c>
      <ns0:c r="C930">
        <ns0:f>IFERROR(IF(ISNUMBER($A930),IF(AND(AH!$P$10=1,AH!$P$12=1,$A930=TODAY()),AH!$P$19,IF(AH!$P$10=1,INDEX('Live History'!$B$5:$B$3004,AH!$P$13+925),INDEX('AH History'!$B$1:$B$18046,AH!$P$7+925))),NA()),NA())</ns0:f>
        <ns0:v/>
      </ns0:c>
      <ns0:c r="D930">
        <ns0:f>IFERROR(IF(ISNUMBER($A930),IF(AND(AH!$P$10=1,AH!$P$12=1,$A930=TODAY()),AH!$P$18,IF(AH!$P$10=1,INDEX('Live History'!$E$5:$E$3004,MATCH($A930,'Live History'!$D$5:$D$3004,1)),INDEX('AH History'!$C$1:$C$18046,AH!$P$7+925))),NA()),NA())</ns0:f>
        <ns0:v/>
      </ns0:c>
      <ns0:c r="E930">
        <ns0:f>IFERROR(IF(ISNUMBER($A930),IF(AND(AH!$P$10=1,AH!$P$12=1,$A930=TODAY()),AH!$P$20,IF(AH!$P$10=1,INDEX('Live History'!$H$5:$H$3004,MATCH($A930,'Live History'!$G$5:$G$3004,1)),INDEX('AH History'!$D$1:$D$18046,AH!$P$7+925))),NA()),NA())</ns0:f>
        <ns0:v/>
      </ns0:c>
      <ns0:c r="F930">
        <ns0:f>IFERROR(IF(ISNUMBER($A930),IF(AND(AH!$P$10=1,AH!$P$12=1,$A930=TODAY()),IF(AND(AH!$P$10=1,AH!$P$12=1,$A930=TODAY()),TODAY(),NA()),IF(AH!$P$10=1,INDEX('Live History'!$D$5:$D$3004,MATCH($A930,'Live History'!$D$5:$D$3004,1)),INDEX('AH History'!$E$1:$E$18046,AH!$P$7+925))),NA()),NA())</ns0:f>
        <ns0:v/>
      </ns0:c>
      <ns0:c r="G930">
        <ns0:f>IFERROR(IF(ISNUMBER($A930),IF(AND(AH!$P$10=1,AH!$P$12=1,$A930=TODAY()),IF(AND(AH!$P$10=1,AH!$P$12=1,$A930=TODAY()),TODAY(),NA()),IF(AH!$P$10=1,INDEX('Live History'!$G$5:$G$3004,MATCH($A930,'Live History'!$G$5:$G$3004,1)),INDEX('AH History'!$F$1:$F$18046,AH!$P$7+925))),NA()),NA())</ns0:f>
        <ns0:v/>
      </ns0:c>
      <ns0:c r="H930">
        <ns0:f>IFERROR(IF(AND(AH!$E$4="Bloomberg",AH!$P$10=1,ISNUMBER($A930),$A930&lt;=AH!$P$17),AH!$P$7-1+MATCH($A930,INDEX('AH History'!$A$1:$A$18046,AH!$P$7):INDEX('AH History'!$A$1:$A$18046,AH!$P$7+AH!$P$8-1),0),0),0)</ns0:f>
        <ns0:v/>
      </ns0:c>
      <ns0:c r="I930">
        <ns0:f>IF($H930=0,0,IFERROR(IF(AND(ABS($C930-INDEX('AH History'!$B$1:$B$18046,$H930))&lt;=MAX(0.005,ABS(INDEX('AH History'!$B$1:$B$18046,$H930))*0.00005),ABS($D930-INDEX('AH History'!$C$1:$C$18046,$H930))&lt;=MAX(0.005,ABS(INDEX('AH History'!$C$1:$C$18046,$H930))*0.00005),ABS($E930-INDEX('AH History'!$D$1:$D$18046,$H930))&lt;=0.00005,$F930=INDEX('AH History'!$E$1:$E$18046,$H930),$G930=INDEX('AH History'!$F$1:$F$18046,$H930)),1,-1),-1))</ns0:f>
        <ns0:v/>
      </ns0:c>
    </ns0:row>
    <ns0:row r="931">
      <ns0:c r="A931" s="215">
        <ns0:f>IF(OR(AH!$P$3=0,926+1&gt;AH!$P$11,AND(AH!$E$4&lt;&gt;"Stored",AH!$P$10&lt;&gt;1)),"",IFERROR(IF(AND(AH!$P$21=1,926+1=AH!$P$11),TODAY(),IF(AH!$P$10=1,INDEX('Live History'!$A$5:$A$3004,AH!$P$13+926),INDEX('AH History'!$A$1:$A$18046,AH!$P$7+926))),""))</ns0:f>
        <ns0:v/>
      </ns0:c>
      <ns0:c r="B931" s="219">
        <ns0:f>IFERROR(IF(AND(AH!$P$9&lt;&gt;1,$C931&gt;0,$D931&gt;0,$E931&gt;0,$F931&gt;0,$G931&gt;0,$F931&lt;=$A931,$G931&lt;=$A931,$A931-$F931&lt;=10,$A931-$G931&lt;=5),$D931*$E931/$C931-1,NA()),NA())</ns0:f>
        <ns0:v/>
      </ns0:c>
      <ns0:c r="C931">
        <ns0:f>IFERROR(IF(ISNUMBER($A931),IF(AND(AH!$P$10=1,AH!$P$12=1,$A931=TODAY()),AH!$P$19,IF(AH!$P$10=1,INDEX('Live History'!$B$5:$B$3004,AH!$P$13+926),INDEX('AH History'!$B$1:$B$18046,AH!$P$7+926))),NA()),NA())</ns0:f>
        <ns0:v/>
      </ns0:c>
      <ns0:c r="D931">
        <ns0:f>IFERROR(IF(ISNUMBER($A931),IF(AND(AH!$P$10=1,AH!$P$12=1,$A931=TODAY()),AH!$P$18,IF(AH!$P$10=1,INDEX('Live History'!$E$5:$E$3004,MATCH($A931,'Live History'!$D$5:$D$3004,1)),INDEX('AH History'!$C$1:$C$18046,AH!$P$7+926))),NA()),NA())</ns0:f>
        <ns0:v/>
      </ns0:c>
      <ns0:c r="E931">
        <ns0:f>IFERROR(IF(ISNUMBER($A931),IF(AND(AH!$P$10=1,AH!$P$12=1,$A931=TODAY()),AH!$P$20,IF(AH!$P$10=1,INDEX('Live History'!$H$5:$H$3004,MATCH($A931,'Live History'!$G$5:$G$3004,1)),INDEX('AH History'!$D$1:$D$18046,AH!$P$7+926))),NA()),NA())</ns0:f>
        <ns0:v/>
      </ns0:c>
      <ns0:c r="F931">
        <ns0:f>IFERROR(IF(ISNUMBER($A931),IF(AND(AH!$P$10=1,AH!$P$12=1,$A931=TODAY()),IF(AND(AH!$P$10=1,AH!$P$12=1,$A931=TODAY()),TODAY(),NA()),IF(AH!$P$10=1,INDEX('Live History'!$D$5:$D$3004,MATCH($A931,'Live History'!$D$5:$D$3004,1)),INDEX('AH History'!$E$1:$E$18046,AH!$P$7+926))),NA()),NA())</ns0:f>
        <ns0:v/>
      </ns0:c>
      <ns0:c r="G931">
        <ns0:f>IFERROR(IF(ISNUMBER($A931),IF(AND(AH!$P$10=1,AH!$P$12=1,$A931=TODAY()),IF(AND(AH!$P$10=1,AH!$P$12=1,$A931=TODAY()),TODAY(),NA()),IF(AH!$P$10=1,INDEX('Live History'!$G$5:$G$3004,MATCH($A931,'Live History'!$G$5:$G$3004,1)),INDEX('AH History'!$F$1:$F$18046,AH!$P$7+926))),NA()),NA())</ns0:f>
        <ns0:v/>
      </ns0:c>
      <ns0:c r="H931">
        <ns0:f>IFERROR(IF(AND(AH!$E$4="Bloomberg",AH!$P$10=1,ISNUMBER($A931),$A931&lt;=AH!$P$17),AH!$P$7-1+MATCH($A931,INDEX('AH History'!$A$1:$A$18046,AH!$P$7):INDEX('AH History'!$A$1:$A$18046,AH!$P$7+AH!$P$8-1),0),0),0)</ns0:f>
        <ns0:v/>
      </ns0:c>
      <ns0:c r="I931">
        <ns0:f>IF($H931=0,0,IFERROR(IF(AND(ABS($C931-INDEX('AH History'!$B$1:$B$18046,$H931))&lt;=MAX(0.005,ABS(INDEX('AH History'!$B$1:$B$18046,$H931))*0.00005),ABS($D931-INDEX('AH History'!$C$1:$C$18046,$H931))&lt;=MAX(0.005,ABS(INDEX('AH History'!$C$1:$C$18046,$H931))*0.00005),ABS($E931-INDEX('AH History'!$D$1:$D$18046,$H931))&lt;=0.00005,$F931=INDEX('AH History'!$E$1:$E$18046,$H931),$G931=INDEX('AH History'!$F$1:$F$18046,$H931)),1,-1),-1))</ns0:f>
        <ns0:v/>
      </ns0:c>
    </ns0:row>
    <ns0:row r="932">
      <ns0:c r="A932" s="215">
        <ns0:f>IF(OR(AH!$P$3=0,927+1&gt;AH!$P$11,AND(AH!$E$4&lt;&gt;"Stored",AH!$P$10&lt;&gt;1)),"",IFERROR(IF(AND(AH!$P$21=1,927+1=AH!$P$11),TODAY(),IF(AH!$P$10=1,INDEX('Live History'!$A$5:$A$3004,AH!$P$13+927),INDEX('AH History'!$A$1:$A$18046,AH!$P$7+927))),""))</ns0:f>
        <ns0:v/>
      </ns0:c>
      <ns0:c r="B932" s="219">
        <ns0:f>IFERROR(IF(AND(AH!$P$9&lt;&gt;1,$C932&gt;0,$D932&gt;0,$E932&gt;0,$F932&gt;0,$G932&gt;0,$F932&lt;=$A932,$G932&lt;=$A932,$A932-$F932&lt;=10,$A932-$G932&lt;=5),$D932*$E932/$C932-1,NA()),NA())</ns0:f>
        <ns0:v/>
      </ns0:c>
      <ns0:c r="C932">
        <ns0:f>IFERROR(IF(ISNUMBER($A932),IF(AND(AH!$P$10=1,AH!$P$12=1,$A932=TODAY()),AH!$P$19,IF(AH!$P$10=1,INDEX('Live History'!$B$5:$B$3004,AH!$P$13+927),INDEX('AH History'!$B$1:$B$18046,AH!$P$7+927))),NA()),NA())</ns0:f>
        <ns0:v/>
      </ns0:c>
      <ns0:c r="D932">
        <ns0:f>IFERROR(IF(ISNUMBER($A932),IF(AND(AH!$P$10=1,AH!$P$12=1,$A932=TODAY()),AH!$P$18,IF(AH!$P$10=1,INDEX('Live History'!$E$5:$E$3004,MATCH($A932,'Live History'!$D$5:$D$3004,1)),INDEX('AH History'!$C$1:$C$18046,AH!$P$7+927))),NA()),NA())</ns0:f>
        <ns0:v/>
      </ns0:c>
      <ns0:c r="E932">
        <ns0:f>IFERROR(IF(ISNUMBER($A932),IF(AND(AH!$P$10=1,AH!$P$12=1,$A932=TODAY()),AH!$P$20,IF(AH!$P$10=1,INDEX('Live History'!$H$5:$H$3004,MATCH($A932,'Live History'!$G$5:$G$3004,1)),INDEX('AH History'!$D$1:$D$18046,AH!$P$7+927))),NA()),NA())</ns0:f>
        <ns0:v/>
      </ns0:c>
      <ns0:c r="F932">
        <ns0:f>IFERROR(IF(ISNUMBER($A932),IF(AND(AH!$P$10=1,AH!$P$12=1,$A932=TODAY()),IF(AND(AH!$P$10=1,AH!$P$12=1,$A932=TODAY()),TODAY(),NA()),IF(AH!$P$10=1,INDEX('Live History'!$D$5:$D$3004,MATCH($A932,'Live History'!$D$5:$D$3004,1)),INDEX('AH History'!$E$1:$E$18046,AH!$P$7+927))),NA()),NA())</ns0:f>
        <ns0:v/>
      </ns0:c>
      <ns0:c r="G932">
        <ns0:f>IFERROR(IF(ISNUMBER($A932),IF(AND(AH!$P$10=1,AH!$P$12=1,$A932=TODAY()),IF(AND(AH!$P$10=1,AH!$P$12=1,$A932=TODAY()),TODAY(),NA()),IF(AH!$P$10=1,INDEX('Live History'!$G$5:$G$3004,MATCH($A932,'Live History'!$G$5:$G$3004,1)),INDEX('AH History'!$F$1:$F$18046,AH!$P$7+927))),NA()),NA())</ns0:f>
        <ns0:v/>
      </ns0:c>
      <ns0:c r="H932">
        <ns0:f>IFERROR(IF(AND(AH!$E$4="Bloomberg",AH!$P$10=1,ISNUMBER($A932),$A932&lt;=AH!$P$17),AH!$P$7-1+MATCH($A932,INDEX('AH History'!$A$1:$A$18046,AH!$P$7):INDEX('AH History'!$A$1:$A$18046,AH!$P$7+AH!$P$8-1),0),0),0)</ns0:f>
        <ns0:v/>
      </ns0:c>
      <ns0:c r="I932">
        <ns0:f>IF($H932=0,0,IFERROR(IF(AND(ABS($C932-INDEX('AH History'!$B$1:$B$18046,$H932))&lt;=MAX(0.005,ABS(INDEX('AH History'!$B$1:$B$18046,$H932))*0.00005),ABS($D932-INDEX('AH History'!$C$1:$C$18046,$H932))&lt;=MAX(0.005,ABS(INDEX('AH History'!$C$1:$C$18046,$H932))*0.00005),ABS($E932-INDEX('AH History'!$D$1:$D$18046,$H932))&lt;=0.00005,$F932=INDEX('AH History'!$E$1:$E$18046,$H932),$G932=INDEX('AH History'!$F$1:$F$18046,$H932)),1,-1),-1))</ns0:f>
        <ns0:v/>
      </ns0:c>
    </ns0:row>
    <ns0:row r="933">
      <ns0:c r="A933" s="215">
        <ns0:f>IF(OR(AH!$P$3=0,928+1&gt;AH!$P$11,AND(AH!$E$4&lt;&gt;"Stored",AH!$P$10&lt;&gt;1)),"",IFERROR(IF(AND(AH!$P$21=1,928+1=AH!$P$11),TODAY(),IF(AH!$P$10=1,INDEX('Live History'!$A$5:$A$3004,AH!$P$13+928),INDEX('AH History'!$A$1:$A$18046,AH!$P$7+928))),""))</ns0:f>
        <ns0:v/>
      </ns0:c>
      <ns0:c r="B933" s="219">
        <ns0:f>IFERROR(IF(AND(AH!$P$9&lt;&gt;1,$C933&gt;0,$D933&gt;0,$E933&gt;0,$F933&gt;0,$G933&gt;0,$F933&lt;=$A933,$G933&lt;=$A933,$A933-$F933&lt;=10,$A933-$G933&lt;=5),$D933*$E933/$C933-1,NA()),NA())</ns0:f>
        <ns0:v/>
      </ns0:c>
      <ns0:c r="C933">
        <ns0:f>IFERROR(IF(ISNUMBER($A933),IF(AND(AH!$P$10=1,AH!$P$12=1,$A933=TODAY()),AH!$P$19,IF(AH!$P$10=1,INDEX('Live History'!$B$5:$B$3004,AH!$P$13+928),INDEX('AH History'!$B$1:$B$18046,AH!$P$7+928))),NA()),NA())</ns0:f>
        <ns0:v/>
      </ns0:c>
      <ns0:c r="D933">
        <ns0:f>IFERROR(IF(ISNUMBER($A933),IF(AND(AH!$P$10=1,AH!$P$12=1,$A933=TODAY()),AH!$P$18,IF(AH!$P$10=1,INDEX('Live History'!$E$5:$E$3004,MATCH($A933,'Live History'!$D$5:$D$3004,1)),INDEX('AH History'!$C$1:$C$18046,AH!$P$7+928))),NA()),NA())</ns0:f>
        <ns0:v/>
      </ns0:c>
      <ns0:c r="E933">
        <ns0:f>IFERROR(IF(ISNUMBER($A933),IF(AND(AH!$P$10=1,AH!$P$12=1,$A933=TODAY()),AH!$P$20,IF(AH!$P$10=1,INDEX('Live History'!$H$5:$H$3004,MATCH($A933,'Live History'!$G$5:$G$3004,1)),INDEX('AH History'!$D$1:$D$18046,AH!$P$7+928))),NA()),NA())</ns0:f>
        <ns0:v/>
      </ns0:c>
      <ns0:c r="F933">
        <ns0:f>IFERROR(IF(ISNUMBER($A933),IF(AND(AH!$P$10=1,AH!$P$12=1,$A933=TODAY()),IF(AND(AH!$P$10=1,AH!$P$12=1,$A933=TODAY()),TODAY(),NA()),IF(AH!$P$10=1,INDEX('Live History'!$D$5:$D$3004,MATCH($A933,'Live History'!$D$5:$D$3004,1)),INDEX('AH History'!$E$1:$E$18046,AH!$P$7+928))),NA()),NA())</ns0:f>
        <ns0:v/>
      </ns0:c>
      <ns0:c r="G933">
        <ns0:f>IFERROR(IF(ISNUMBER($A933),IF(AND(AH!$P$10=1,AH!$P$12=1,$A933=TODAY()),IF(AND(AH!$P$10=1,AH!$P$12=1,$A933=TODAY()),TODAY(),NA()),IF(AH!$P$10=1,INDEX('Live History'!$G$5:$G$3004,MATCH($A933,'Live History'!$G$5:$G$3004,1)),INDEX('AH History'!$F$1:$F$18046,AH!$P$7+928))),NA()),NA())</ns0:f>
        <ns0:v/>
      </ns0:c>
      <ns0:c r="H933">
        <ns0:f>IFERROR(IF(AND(AH!$E$4="Bloomberg",AH!$P$10=1,ISNUMBER($A933),$A933&lt;=AH!$P$17),AH!$P$7-1+MATCH($A933,INDEX('AH History'!$A$1:$A$18046,AH!$P$7):INDEX('AH History'!$A$1:$A$18046,AH!$P$7+AH!$P$8-1),0),0),0)</ns0:f>
        <ns0:v/>
      </ns0:c>
      <ns0:c r="I933">
        <ns0:f>IF($H933=0,0,IFERROR(IF(AND(ABS($C933-INDEX('AH History'!$B$1:$B$18046,$H933))&lt;=MAX(0.005,ABS(INDEX('AH History'!$B$1:$B$18046,$H933))*0.00005),ABS($D933-INDEX('AH History'!$C$1:$C$18046,$H933))&lt;=MAX(0.005,ABS(INDEX('AH History'!$C$1:$C$18046,$H933))*0.00005),ABS($E933-INDEX('AH History'!$D$1:$D$18046,$H933))&lt;=0.00005,$F933=INDEX('AH History'!$E$1:$E$18046,$H933),$G933=INDEX('AH History'!$F$1:$F$18046,$H933)),1,-1),-1))</ns0:f>
        <ns0:v/>
      </ns0:c>
    </ns0:row>
    <ns0:row r="934">
      <ns0:c r="A934" s="215">
        <ns0:f>IF(OR(AH!$P$3=0,929+1&gt;AH!$P$11,AND(AH!$E$4&lt;&gt;"Stored",AH!$P$10&lt;&gt;1)),"",IFERROR(IF(AND(AH!$P$21=1,929+1=AH!$P$11),TODAY(),IF(AH!$P$10=1,INDEX('Live History'!$A$5:$A$3004,AH!$P$13+929),INDEX('AH History'!$A$1:$A$18046,AH!$P$7+929))),""))</ns0:f>
        <ns0:v/>
      </ns0:c>
      <ns0:c r="B934" s="219">
        <ns0:f>IFERROR(IF(AND(AH!$P$9&lt;&gt;1,$C934&gt;0,$D934&gt;0,$E934&gt;0,$F934&gt;0,$G934&gt;0,$F934&lt;=$A934,$G934&lt;=$A934,$A934-$F934&lt;=10,$A934-$G934&lt;=5),$D934*$E934/$C934-1,NA()),NA())</ns0:f>
        <ns0:v/>
      </ns0:c>
      <ns0:c r="C934">
        <ns0:f>IFERROR(IF(ISNUMBER($A934),IF(AND(AH!$P$10=1,AH!$P$12=1,$A934=TODAY()),AH!$P$19,IF(AH!$P$10=1,INDEX('Live History'!$B$5:$B$3004,AH!$P$13+929),INDEX('AH History'!$B$1:$B$18046,AH!$P$7+929))),NA()),NA())</ns0:f>
        <ns0:v/>
      </ns0:c>
      <ns0:c r="D934">
        <ns0:f>IFERROR(IF(ISNUMBER($A934),IF(AND(AH!$P$10=1,AH!$P$12=1,$A934=TODAY()),AH!$P$18,IF(AH!$P$10=1,INDEX('Live History'!$E$5:$E$3004,MATCH($A934,'Live History'!$D$5:$D$3004,1)),INDEX('AH History'!$C$1:$C$18046,AH!$P$7+929))),NA()),NA())</ns0:f>
        <ns0:v/>
      </ns0:c>
      <ns0:c r="E934">
        <ns0:f>IFERROR(IF(ISNUMBER($A934),IF(AND(AH!$P$10=1,AH!$P$12=1,$A934=TODAY()),AH!$P$20,IF(AH!$P$10=1,INDEX('Live History'!$H$5:$H$3004,MATCH($A934,'Live History'!$G$5:$G$3004,1)),INDEX('AH History'!$D$1:$D$18046,AH!$P$7+929))),NA()),NA())</ns0:f>
        <ns0:v/>
      </ns0:c>
      <ns0:c r="F934">
        <ns0:f>IFERROR(IF(ISNUMBER($A934),IF(AND(AH!$P$10=1,AH!$P$12=1,$A934=TODAY()),IF(AND(AH!$P$10=1,AH!$P$12=1,$A934=TODAY()),TODAY(),NA()),IF(AH!$P$10=1,INDEX('Live History'!$D$5:$D$3004,MATCH($A934,'Live History'!$D$5:$D$3004,1)),INDEX('AH History'!$E$1:$E$18046,AH!$P$7+929))),NA()),NA())</ns0:f>
        <ns0:v/>
      </ns0:c>
      <ns0:c r="G934">
        <ns0:f>IFERROR(IF(ISNUMBER($A934),IF(AND(AH!$P$10=1,AH!$P$12=1,$A934=TODAY()),IF(AND(AH!$P$10=1,AH!$P$12=1,$A934=TODAY()),TODAY(),NA()),IF(AH!$P$10=1,INDEX('Live History'!$G$5:$G$3004,MATCH($A934,'Live History'!$G$5:$G$3004,1)),INDEX('AH History'!$F$1:$F$18046,AH!$P$7+929))),NA()),NA())</ns0:f>
        <ns0:v/>
      </ns0:c>
      <ns0:c r="H934">
        <ns0:f>IFERROR(IF(AND(AH!$E$4="Bloomberg",AH!$P$10=1,ISNUMBER($A934),$A934&lt;=AH!$P$17),AH!$P$7-1+MATCH($A934,INDEX('AH History'!$A$1:$A$18046,AH!$P$7):INDEX('AH History'!$A$1:$A$18046,AH!$P$7+AH!$P$8-1),0),0),0)</ns0:f>
        <ns0:v/>
      </ns0:c>
      <ns0:c r="I934">
        <ns0:f>IF($H934=0,0,IFERROR(IF(AND(ABS($C934-INDEX('AH History'!$B$1:$B$18046,$H934))&lt;=MAX(0.005,ABS(INDEX('AH History'!$B$1:$B$18046,$H934))*0.00005),ABS($D934-INDEX('AH History'!$C$1:$C$18046,$H934))&lt;=MAX(0.005,ABS(INDEX('AH History'!$C$1:$C$18046,$H934))*0.00005),ABS($E934-INDEX('AH History'!$D$1:$D$18046,$H934))&lt;=0.00005,$F934=INDEX('AH History'!$E$1:$E$18046,$H934),$G934=INDEX('AH History'!$F$1:$F$18046,$H934)),1,-1),-1))</ns0:f>
        <ns0:v/>
      </ns0:c>
    </ns0:row>
    <ns0:row r="935">
      <ns0:c r="A935" s="215">
        <ns0:f>IF(OR(AH!$P$3=0,930+1&gt;AH!$P$11,AND(AH!$E$4&lt;&gt;"Stored",AH!$P$10&lt;&gt;1)),"",IFERROR(IF(AND(AH!$P$21=1,930+1=AH!$P$11),TODAY(),IF(AH!$P$10=1,INDEX('Live History'!$A$5:$A$3004,AH!$P$13+930),INDEX('AH History'!$A$1:$A$18046,AH!$P$7+930))),""))</ns0:f>
        <ns0:v/>
      </ns0:c>
      <ns0:c r="B935" s="219">
        <ns0:f>IFERROR(IF(AND(AH!$P$9&lt;&gt;1,$C935&gt;0,$D935&gt;0,$E935&gt;0,$F935&gt;0,$G935&gt;0,$F935&lt;=$A935,$G935&lt;=$A935,$A935-$F935&lt;=10,$A935-$G935&lt;=5),$D935*$E935/$C935-1,NA()),NA())</ns0:f>
        <ns0:v/>
      </ns0:c>
      <ns0:c r="C935">
        <ns0:f>IFERROR(IF(ISNUMBER($A935),IF(AND(AH!$P$10=1,AH!$P$12=1,$A935=TODAY()),AH!$P$19,IF(AH!$P$10=1,INDEX('Live History'!$B$5:$B$3004,AH!$P$13+930),INDEX('AH History'!$B$1:$B$18046,AH!$P$7+930))),NA()),NA())</ns0:f>
        <ns0:v/>
      </ns0:c>
      <ns0:c r="D935">
        <ns0:f>IFERROR(IF(ISNUMBER($A935),IF(AND(AH!$P$10=1,AH!$P$12=1,$A935=TODAY()),AH!$P$18,IF(AH!$P$10=1,INDEX('Live History'!$E$5:$E$3004,MATCH($A935,'Live History'!$D$5:$D$3004,1)),INDEX('AH History'!$C$1:$C$18046,AH!$P$7+930))),NA()),NA())</ns0:f>
        <ns0:v/>
      </ns0:c>
      <ns0:c r="E935">
        <ns0:f>IFERROR(IF(ISNUMBER($A935),IF(AND(AH!$P$10=1,AH!$P$12=1,$A935=TODAY()),AH!$P$20,IF(AH!$P$10=1,INDEX('Live History'!$H$5:$H$3004,MATCH($A935,'Live History'!$G$5:$G$3004,1)),INDEX('AH History'!$D$1:$D$18046,AH!$P$7+930))),NA()),NA())</ns0:f>
        <ns0:v/>
      </ns0:c>
      <ns0:c r="F935">
        <ns0:f>IFERROR(IF(ISNUMBER($A935),IF(AND(AH!$P$10=1,AH!$P$12=1,$A935=TODAY()),IF(AND(AH!$P$10=1,AH!$P$12=1,$A935=TODAY()),TODAY(),NA()),IF(AH!$P$10=1,INDEX('Live History'!$D$5:$D$3004,MATCH($A935,'Live History'!$D$5:$D$3004,1)),INDEX('AH History'!$E$1:$E$18046,AH!$P$7+930))),NA()),NA())</ns0:f>
        <ns0:v/>
      </ns0:c>
      <ns0:c r="G935">
        <ns0:f>IFERROR(IF(ISNUMBER($A935),IF(AND(AH!$P$10=1,AH!$P$12=1,$A935=TODAY()),IF(AND(AH!$P$10=1,AH!$P$12=1,$A935=TODAY()),TODAY(),NA()),IF(AH!$P$10=1,INDEX('Live History'!$G$5:$G$3004,MATCH($A935,'Live History'!$G$5:$G$3004,1)),INDEX('AH History'!$F$1:$F$18046,AH!$P$7+930))),NA()),NA())</ns0:f>
        <ns0:v/>
      </ns0:c>
      <ns0:c r="H935">
        <ns0:f>IFERROR(IF(AND(AH!$E$4="Bloomberg",AH!$P$10=1,ISNUMBER($A935),$A935&lt;=AH!$P$17),AH!$P$7-1+MATCH($A935,INDEX('AH History'!$A$1:$A$18046,AH!$P$7):INDEX('AH History'!$A$1:$A$18046,AH!$P$7+AH!$P$8-1),0),0),0)</ns0:f>
        <ns0:v/>
      </ns0:c>
      <ns0:c r="I935">
        <ns0:f>IF($H935=0,0,IFERROR(IF(AND(ABS($C935-INDEX('AH History'!$B$1:$B$18046,$H935))&lt;=MAX(0.005,ABS(INDEX('AH History'!$B$1:$B$18046,$H935))*0.00005),ABS($D935-INDEX('AH History'!$C$1:$C$18046,$H935))&lt;=MAX(0.005,ABS(INDEX('AH History'!$C$1:$C$18046,$H935))*0.00005),ABS($E935-INDEX('AH History'!$D$1:$D$18046,$H935))&lt;=0.00005,$F935=INDEX('AH History'!$E$1:$E$18046,$H935),$G935=INDEX('AH History'!$F$1:$F$18046,$H935)),1,-1),-1))</ns0:f>
        <ns0:v/>
      </ns0:c>
    </ns0:row>
    <ns0:row r="936">
      <ns0:c r="A936" s="215">
        <ns0:f>IF(OR(AH!$P$3=0,931+1&gt;AH!$P$11,AND(AH!$E$4&lt;&gt;"Stored",AH!$P$10&lt;&gt;1)),"",IFERROR(IF(AND(AH!$P$21=1,931+1=AH!$P$11),TODAY(),IF(AH!$P$10=1,INDEX('Live History'!$A$5:$A$3004,AH!$P$13+931),INDEX('AH History'!$A$1:$A$18046,AH!$P$7+931))),""))</ns0:f>
        <ns0:v/>
      </ns0:c>
      <ns0:c r="B936" s="219">
        <ns0:f>IFERROR(IF(AND(AH!$P$9&lt;&gt;1,$C936&gt;0,$D936&gt;0,$E936&gt;0,$F936&gt;0,$G936&gt;0,$F936&lt;=$A936,$G936&lt;=$A936,$A936-$F936&lt;=10,$A936-$G936&lt;=5),$D936*$E936/$C936-1,NA()),NA())</ns0:f>
        <ns0:v/>
      </ns0:c>
      <ns0:c r="C936">
        <ns0:f>IFERROR(IF(ISNUMBER($A936),IF(AND(AH!$P$10=1,AH!$P$12=1,$A936=TODAY()),AH!$P$19,IF(AH!$P$10=1,INDEX('Live History'!$B$5:$B$3004,AH!$P$13+931),INDEX('AH History'!$B$1:$B$18046,AH!$P$7+931))),NA()),NA())</ns0:f>
        <ns0:v/>
      </ns0:c>
      <ns0:c r="D936">
        <ns0:f>IFERROR(IF(ISNUMBER($A936),IF(AND(AH!$P$10=1,AH!$P$12=1,$A936=TODAY()),AH!$P$18,IF(AH!$P$10=1,INDEX('Live History'!$E$5:$E$3004,MATCH($A936,'Live History'!$D$5:$D$3004,1)),INDEX('AH History'!$C$1:$C$18046,AH!$P$7+931))),NA()),NA())</ns0:f>
        <ns0:v/>
      </ns0:c>
      <ns0:c r="E936">
        <ns0:f>IFERROR(IF(ISNUMBER($A936),IF(AND(AH!$P$10=1,AH!$P$12=1,$A936=TODAY()),AH!$P$20,IF(AH!$P$10=1,INDEX('Live History'!$H$5:$H$3004,MATCH($A936,'Live History'!$G$5:$G$3004,1)),INDEX('AH History'!$D$1:$D$18046,AH!$P$7+931))),NA()),NA())</ns0:f>
        <ns0:v/>
      </ns0:c>
      <ns0:c r="F936">
        <ns0:f>IFERROR(IF(ISNUMBER($A936),IF(AND(AH!$P$10=1,AH!$P$12=1,$A936=TODAY()),IF(AND(AH!$P$10=1,AH!$P$12=1,$A936=TODAY()),TODAY(),NA()),IF(AH!$P$10=1,INDEX('Live History'!$D$5:$D$3004,MATCH($A936,'Live History'!$D$5:$D$3004,1)),INDEX('AH History'!$E$1:$E$18046,AH!$P$7+931))),NA()),NA())</ns0:f>
        <ns0:v/>
      </ns0:c>
      <ns0:c r="G936">
        <ns0:f>IFERROR(IF(ISNUMBER($A936),IF(AND(AH!$P$10=1,AH!$P$12=1,$A936=TODAY()),IF(AND(AH!$P$10=1,AH!$P$12=1,$A936=TODAY()),TODAY(),NA()),IF(AH!$P$10=1,INDEX('Live History'!$G$5:$G$3004,MATCH($A936,'Live History'!$G$5:$G$3004,1)),INDEX('AH History'!$F$1:$F$18046,AH!$P$7+931))),NA()),NA())</ns0:f>
        <ns0:v/>
      </ns0:c>
      <ns0:c r="H936">
        <ns0:f>IFERROR(IF(AND(AH!$E$4="Bloomberg",AH!$P$10=1,ISNUMBER($A936),$A936&lt;=AH!$P$17),AH!$P$7-1+MATCH($A936,INDEX('AH History'!$A$1:$A$18046,AH!$P$7):INDEX('AH History'!$A$1:$A$18046,AH!$P$7+AH!$P$8-1),0),0),0)</ns0:f>
        <ns0:v/>
      </ns0:c>
      <ns0:c r="I936">
        <ns0:f>IF($H936=0,0,IFERROR(IF(AND(ABS($C936-INDEX('AH History'!$B$1:$B$18046,$H936))&lt;=MAX(0.005,ABS(INDEX('AH History'!$B$1:$B$18046,$H936))*0.00005),ABS($D936-INDEX('AH History'!$C$1:$C$18046,$H936))&lt;=MAX(0.005,ABS(INDEX('AH History'!$C$1:$C$18046,$H936))*0.00005),ABS($E936-INDEX('AH History'!$D$1:$D$18046,$H936))&lt;=0.00005,$F936=INDEX('AH History'!$E$1:$E$18046,$H936),$G936=INDEX('AH History'!$F$1:$F$18046,$H936)),1,-1),-1))</ns0:f>
        <ns0:v/>
      </ns0:c>
    </ns0:row>
    <ns0:row r="937">
      <ns0:c r="A937" s="215">
        <ns0:f>IF(OR(AH!$P$3=0,932+1&gt;AH!$P$11,AND(AH!$E$4&lt;&gt;"Stored",AH!$P$10&lt;&gt;1)),"",IFERROR(IF(AND(AH!$P$21=1,932+1=AH!$P$11),TODAY(),IF(AH!$P$10=1,INDEX('Live History'!$A$5:$A$3004,AH!$P$13+932),INDEX('AH History'!$A$1:$A$18046,AH!$P$7+932))),""))</ns0:f>
        <ns0:v/>
      </ns0:c>
      <ns0:c r="B937" s="219">
        <ns0:f>IFERROR(IF(AND(AH!$P$9&lt;&gt;1,$C937&gt;0,$D937&gt;0,$E937&gt;0,$F937&gt;0,$G937&gt;0,$F937&lt;=$A937,$G937&lt;=$A937,$A937-$F937&lt;=10,$A937-$G937&lt;=5),$D937*$E937/$C937-1,NA()),NA())</ns0:f>
        <ns0:v/>
      </ns0:c>
      <ns0:c r="C937">
        <ns0:f>IFERROR(IF(ISNUMBER($A937),IF(AND(AH!$P$10=1,AH!$P$12=1,$A937=TODAY()),AH!$P$19,IF(AH!$P$10=1,INDEX('Live History'!$B$5:$B$3004,AH!$P$13+932),INDEX('AH History'!$B$1:$B$18046,AH!$P$7+932))),NA()),NA())</ns0:f>
        <ns0:v/>
      </ns0:c>
      <ns0:c r="D937">
        <ns0:f>IFERROR(IF(ISNUMBER($A937),IF(AND(AH!$P$10=1,AH!$P$12=1,$A937=TODAY()),AH!$P$18,IF(AH!$P$10=1,INDEX('Live History'!$E$5:$E$3004,MATCH($A937,'Live History'!$D$5:$D$3004,1)),INDEX('AH History'!$C$1:$C$18046,AH!$P$7+932))),NA()),NA())</ns0:f>
        <ns0:v/>
      </ns0:c>
      <ns0:c r="E937">
        <ns0:f>IFERROR(IF(ISNUMBER($A937),IF(AND(AH!$P$10=1,AH!$P$12=1,$A937=TODAY()),AH!$P$20,IF(AH!$P$10=1,INDEX('Live History'!$H$5:$H$3004,MATCH($A937,'Live History'!$G$5:$G$3004,1)),INDEX('AH History'!$D$1:$D$18046,AH!$P$7+932))),NA()),NA())</ns0:f>
        <ns0:v/>
      </ns0:c>
      <ns0:c r="F937">
        <ns0:f>IFERROR(IF(ISNUMBER($A937),IF(AND(AH!$P$10=1,AH!$P$12=1,$A937=TODAY()),IF(AND(AH!$P$10=1,AH!$P$12=1,$A937=TODAY()),TODAY(),NA()),IF(AH!$P$10=1,INDEX('Live History'!$D$5:$D$3004,MATCH($A937,'Live History'!$D$5:$D$3004,1)),INDEX('AH History'!$E$1:$E$18046,AH!$P$7+932))),NA()),NA())</ns0:f>
        <ns0:v/>
      </ns0:c>
      <ns0:c r="G937">
        <ns0:f>IFERROR(IF(ISNUMBER($A937),IF(AND(AH!$P$10=1,AH!$P$12=1,$A937=TODAY()),IF(AND(AH!$P$10=1,AH!$P$12=1,$A937=TODAY()),TODAY(),NA()),IF(AH!$P$10=1,INDEX('Live History'!$G$5:$G$3004,MATCH($A937,'Live History'!$G$5:$G$3004,1)),INDEX('AH History'!$F$1:$F$18046,AH!$P$7+932))),NA()),NA())</ns0:f>
        <ns0:v/>
      </ns0:c>
      <ns0:c r="H937">
        <ns0:f>IFERROR(IF(AND(AH!$E$4="Bloomberg",AH!$P$10=1,ISNUMBER($A937),$A937&lt;=AH!$P$17),AH!$P$7-1+MATCH($A937,INDEX('AH History'!$A$1:$A$18046,AH!$P$7):INDEX('AH History'!$A$1:$A$18046,AH!$P$7+AH!$P$8-1),0),0),0)</ns0:f>
        <ns0:v/>
      </ns0:c>
      <ns0:c r="I937">
        <ns0:f>IF($H937=0,0,IFERROR(IF(AND(ABS($C937-INDEX('AH History'!$B$1:$B$18046,$H937))&lt;=MAX(0.005,ABS(INDEX('AH History'!$B$1:$B$18046,$H937))*0.00005),ABS($D937-INDEX('AH History'!$C$1:$C$18046,$H937))&lt;=MAX(0.005,ABS(INDEX('AH History'!$C$1:$C$18046,$H937))*0.00005),ABS($E937-INDEX('AH History'!$D$1:$D$18046,$H937))&lt;=0.00005,$F937=INDEX('AH History'!$E$1:$E$18046,$H937),$G937=INDEX('AH History'!$F$1:$F$18046,$H937)),1,-1),-1))</ns0:f>
        <ns0:v/>
      </ns0:c>
    </ns0:row>
    <ns0:row r="938">
      <ns0:c r="A938" s="215">
        <ns0:f>IF(OR(AH!$P$3=0,933+1&gt;AH!$P$11,AND(AH!$E$4&lt;&gt;"Stored",AH!$P$10&lt;&gt;1)),"",IFERROR(IF(AND(AH!$P$21=1,933+1=AH!$P$11),TODAY(),IF(AH!$P$10=1,INDEX('Live History'!$A$5:$A$3004,AH!$P$13+933),INDEX('AH History'!$A$1:$A$18046,AH!$P$7+933))),""))</ns0:f>
        <ns0:v/>
      </ns0:c>
      <ns0:c r="B938" s="219">
        <ns0:f>IFERROR(IF(AND(AH!$P$9&lt;&gt;1,$C938&gt;0,$D938&gt;0,$E938&gt;0,$F938&gt;0,$G938&gt;0,$F938&lt;=$A938,$G938&lt;=$A938,$A938-$F938&lt;=10,$A938-$G938&lt;=5),$D938*$E938/$C938-1,NA()),NA())</ns0:f>
        <ns0:v/>
      </ns0:c>
      <ns0:c r="C938">
        <ns0:f>IFERROR(IF(ISNUMBER($A938),IF(AND(AH!$P$10=1,AH!$P$12=1,$A938=TODAY()),AH!$P$19,IF(AH!$P$10=1,INDEX('Live History'!$B$5:$B$3004,AH!$P$13+933),INDEX('AH History'!$B$1:$B$18046,AH!$P$7+933))),NA()),NA())</ns0:f>
        <ns0:v/>
      </ns0:c>
      <ns0:c r="D938">
        <ns0:f>IFERROR(IF(ISNUMBER($A938),IF(AND(AH!$P$10=1,AH!$P$12=1,$A938=TODAY()),AH!$P$18,IF(AH!$P$10=1,INDEX('Live History'!$E$5:$E$3004,MATCH($A938,'Live History'!$D$5:$D$3004,1)),INDEX('AH History'!$C$1:$C$18046,AH!$P$7+933))),NA()),NA())</ns0:f>
        <ns0:v/>
      </ns0:c>
      <ns0:c r="E938">
        <ns0:f>IFERROR(IF(ISNUMBER($A938),IF(AND(AH!$P$10=1,AH!$P$12=1,$A938=TODAY()),AH!$P$20,IF(AH!$P$10=1,INDEX('Live History'!$H$5:$H$3004,MATCH($A938,'Live History'!$G$5:$G$3004,1)),INDEX('AH History'!$D$1:$D$18046,AH!$P$7+933))),NA()),NA())</ns0:f>
        <ns0:v/>
      </ns0:c>
      <ns0:c r="F938">
        <ns0:f>IFERROR(IF(ISNUMBER($A938),IF(AND(AH!$P$10=1,AH!$P$12=1,$A938=TODAY()),IF(AND(AH!$P$10=1,AH!$P$12=1,$A938=TODAY()),TODAY(),NA()),IF(AH!$P$10=1,INDEX('Live History'!$D$5:$D$3004,MATCH($A938,'Live History'!$D$5:$D$3004,1)),INDEX('AH History'!$E$1:$E$18046,AH!$P$7+933))),NA()),NA())</ns0:f>
        <ns0:v/>
      </ns0:c>
      <ns0:c r="G938">
        <ns0:f>IFERROR(IF(ISNUMBER($A938),IF(AND(AH!$P$10=1,AH!$P$12=1,$A938=TODAY()),IF(AND(AH!$P$10=1,AH!$P$12=1,$A938=TODAY()),TODAY(),NA()),IF(AH!$P$10=1,INDEX('Live History'!$G$5:$G$3004,MATCH($A938,'Live History'!$G$5:$G$3004,1)),INDEX('AH History'!$F$1:$F$18046,AH!$P$7+933))),NA()),NA())</ns0:f>
        <ns0:v/>
      </ns0:c>
      <ns0:c r="H938">
        <ns0:f>IFERROR(IF(AND(AH!$E$4="Bloomberg",AH!$P$10=1,ISNUMBER($A938),$A938&lt;=AH!$P$17),AH!$P$7-1+MATCH($A938,INDEX('AH History'!$A$1:$A$18046,AH!$P$7):INDEX('AH History'!$A$1:$A$18046,AH!$P$7+AH!$P$8-1),0),0),0)</ns0:f>
        <ns0:v/>
      </ns0:c>
      <ns0:c r="I938">
        <ns0:f>IF($H938=0,0,IFERROR(IF(AND(ABS($C938-INDEX('AH History'!$B$1:$B$18046,$H938))&lt;=MAX(0.005,ABS(INDEX('AH History'!$B$1:$B$18046,$H938))*0.00005),ABS($D938-INDEX('AH History'!$C$1:$C$18046,$H938))&lt;=MAX(0.005,ABS(INDEX('AH History'!$C$1:$C$18046,$H938))*0.00005),ABS($E938-INDEX('AH History'!$D$1:$D$18046,$H938))&lt;=0.00005,$F938=INDEX('AH History'!$E$1:$E$18046,$H938),$G938=INDEX('AH History'!$F$1:$F$18046,$H938)),1,-1),-1))</ns0:f>
        <ns0:v/>
      </ns0:c>
    </ns0:row>
    <ns0:row r="939">
      <ns0:c r="A939" s="215">
        <ns0:f>IF(OR(AH!$P$3=0,934+1&gt;AH!$P$11,AND(AH!$E$4&lt;&gt;"Stored",AH!$P$10&lt;&gt;1)),"",IFERROR(IF(AND(AH!$P$21=1,934+1=AH!$P$11),TODAY(),IF(AH!$P$10=1,INDEX('Live History'!$A$5:$A$3004,AH!$P$13+934),INDEX('AH History'!$A$1:$A$18046,AH!$P$7+934))),""))</ns0:f>
        <ns0:v/>
      </ns0:c>
      <ns0:c r="B939" s="219">
        <ns0:f>IFERROR(IF(AND(AH!$P$9&lt;&gt;1,$C939&gt;0,$D939&gt;0,$E939&gt;0,$F939&gt;0,$G939&gt;0,$F939&lt;=$A939,$G939&lt;=$A939,$A939-$F939&lt;=10,$A939-$G939&lt;=5),$D939*$E939/$C939-1,NA()),NA())</ns0:f>
        <ns0:v/>
      </ns0:c>
      <ns0:c r="C939">
        <ns0:f>IFERROR(IF(ISNUMBER($A939),IF(AND(AH!$P$10=1,AH!$P$12=1,$A939=TODAY()),AH!$P$19,IF(AH!$P$10=1,INDEX('Live History'!$B$5:$B$3004,AH!$P$13+934),INDEX('AH History'!$B$1:$B$18046,AH!$P$7+934))),NA()),NA())</ns0:f>
        <ns0:v/>
      </ns0:c>
      <ns0:c r="D939">
        <ns0:f>IFERROR(IF(ISNUMBER($A939),IF(AND(AH!$P$10=1,AH!$P$12=1,$A939=TODAY()),AH!$P$18,IF(AH!$P$10=1,INDEX('Live History'!$E$5:$E$3004,MATCH($A939,'Live History'!$D$5:$D$3004,1)),INDEX('AH History'!$C$1:$C$18046,AH!$P$7+934))),NA()),NA())</ns0:f>
        <ns0:v/>
      </ns0:c>
      <ns0:c r="E939">
        <ns0:f>IFERROR(IF(ISNUMBER($A939),IF(AND(AH!$P$10=1,AH!$P$12=1,$A939=TODAY()),AH!$P$20,IF(AH!$P$10=1,INDEX('Live History'!$H$5:$H$3004,MATCH($A939,'Live History'!$G$5:$G$3004,1)),INDEX('AH History'!$D$1:$D$18046,AH!$P$7+934))),NA()),NA())</ns0:f>
        <ns0:v/>
      </ns0:c>
      <ns0:c r="F939">
        <ns0:f>IFERROR(IF(ISNUMBER($A939),IF(AND(AH!$P$10=1,AH!$P$12=1,$A939=TODAY()),IF(AND(AH!$P$10=1,AH!$P$12=1,$A939=TODAY()),TODAY(),NA()),IF(AH!$P$10=1,INDEX('Live History'!$D$5:$D$3004,MATCH($A939,'Live History'!$D$5:$D$3004,1)),INDEX('AH History'!$E$1:$E$18046,AH!$P$7+934))),NA()),NA())</ns0:f>
        <ns0:v/>
      </ns0:c>
      <ns0:c r="G939">
        <ns0:f>IFERROR(IF(ISNUMBER($A939),IF(AND(AH!$P$10=1,AH!$P$12=1,$A939=TODAY()),IF(AND(AH!$P$10=1,AH!$P$12=1,$A939=TODAY()),TODAY(),NA()),IF(AH!$P$10=1,INDEX('Live History'!$G$5:$G$3004,MATCH($A939,'Live History'!$G$5:$G$3004,1)),INDEX('AH History'!$F$1:$F$18046,AH!$P$7+934))),NA()),NA())</ns0:f>
        <ns0:v/>
      </ns0:c>
      <ns0:c r="H939">
        <ns0:f>IFERROR(IF(AND(AH!$E$4="Bloomberg",AH!$P$10=1,ISNUMBER($A939),$A939&lt;=AH!$P$17),AH!$P$7-1+MATCH($A939,INDEX('AH History'!$A$1:$A$18046,AH!$P$7):INDEX('AH History'!$A$1:$A$18046,AH!$P$7+AH!$P$8-1),0),0),0)</ns0:f>
        <ns0:v/>
      </ns0:c>
      <ns0:c r="I939">
        <ns0:f>IF($H939=0,0,IFERROR(IF(AND(ABS($C939-INDEX('AH History'!$B$1:$B$18046,$H939))&lt;=MAX(0.005,ABS(INDEX('AH History'!$B$1:$B$18046,$H939))*0.00005),ABS($D939-INDEX('AH History'!$C$1:$C$18046,$H939))&lt;=MAX(0.005,ABS(INDEX('AH History'!$C$1:$C$18046,$H939))*0.00005),ABS($E939-INDEX('AH History'!$D$1:$D$18046,$H939))&lt;=0.00005,$F939=INDEX('AH History'!$E$1:$E$18046,$H939),$G939=INDEX('AH History'!$F$1:$F$18046,$H939)),1,-1),-1))</ns0:f>
        <ns0:v/>
      </ns0:c>
    </ns0:row>
    <ns0:row r="940">
      <ns0:c r="A940" s="215">
        <ns0:f>IF(OR(AH!$P$3=0,935+1&gt;AH!$P$11,AND(AH!$E$4&lt;&gt;"Stored",AH!$P$10&lt;&gt;1)),"",IFERROR(IF(AND(AH!$P$21=1,935+1=AH!$P$11),TODAY(),IF(AH!$P$10=1,INDEX('Live History'!$A$5:$A$3004,AH!$P$13+935),INDEX('AH History'!$A$1:$A$18046,AH!$P$7+935))),""))</ns0:f>
        <ns0:v/>
      </ns0:c>
      <ns0:c r="B940" s="219">
        <ns0:f>IFERROR(IF(AND(AH!$P$9&lt;&gt;1,$C940&gt;0,$D940&gt;0,$E940&gt;0,$F940&gt;0,$G940&gt;0,$F940&lt;=$A940,$G940&lt;=$A940,$A940-$F940&lt;=10,$A940-$G940&lt;=5),$D940*$E940/$C940-1,NA()),NA())</ns0:f>
        <ns0:v/>
      </ns0:c>
      <ns0:c r="C940">
        <ns0:f>IFERROR(IF(ISNUMBER($A940),IF(AND(AH!$P$10=1,AH!$P$12=1,$A940=TODAY()),AH!$P$19,IF(AH!$P$10=1,INDEX('Live History'!$B$5:$B$3004,AH!$P$13+935),INDEX('AH History'!$B$1:$B$18046,AH!$P$7+935))),NA()),NA())</ns0:f>
        <ns0:v/>
      </ns0:c>
      <ns0:c r="D940">
        <ns0:f>IFERROR(IF(ISNUMBER($A940),IF(AND(AH!$P$10=1,AH!$P$12=1,$A940=TODAY()),AH!$P$18,IF(AH!$P$10=1,INDEX('Live History'!$E$5:$E$3004,MATCH($A940,'Live History'!$D$5:$D$3004,1)),INDEX('AH History'!$C$1:$C$18046,AH!$P$7+935))),NA()),NA())</ns0:f>
        <ns0:v/>
      </ns0:c>
      <ns0:c r="E940">
        <ns0:f>IFERROR(IF(ISNUMBER($A940),IF(AND(AH!$P$10=1,AH!$P$12=1,$A940=TODAY()),AH!$P$20,IF(AH!$P$10=1,INDEX('Live History'!$H$5:$H$3004,MATCH($A940,'Live History'!$G$5:$G$3004,1)),INDEX('AH History'!$D$1:$D$18046,AH!$P$7+935))),NA()),NA())</ns0:f>
        <ns0:v/>
      </ns0:c>
      <ns0:c r="F940">
        <ns0:f>IFERROR(IF(ISNUMBER($A940),IF(AND(AH!$P$10=1,AH!$P$12=1,$A940=TODAY()),IF(AND(AH!$P$10=1,AH!$P$12=1,$A940=TODAY()),TODAY(),NA()),IF(AH!$P$10=1,INDEX('Live History'!$D$5:$D$3004,MATCH($A940,'Live History'!$D$5:$D$3004,1)),INDEX('AH History'!$E$1:$E$18046,AH!$P$7+935))),NA()),NA())</ns0:f>
        <ns0:v/>
      </ns0:c>
      <ns0:c r="G940">
        <ns0:f>IFERROR(IF(ISNUMBER($A940),IF(AND(AH!$P$10=1,AH!$P$12=1,$A940=TODAY()),IF(AND(AH!$P$10=1,AH!$P$12=1,$A940=TODAY()),TODAY(),NA()),IF(AH!$P$10=1,INDEX('Live History'!$G$5:$G$3004,MATCH($A940,'Live History'!$G$5:$G$3004,1)),INDEX('AH History'!$F$1:$F$18046,AH!$P$7+935))),NA()),NA())</ns0:f>
        <ns0:v/>
      </ns0:c>
      <ns0:c r="H940">
        <ns0:f>IFERROR(IF(AND(AH!$E$4="Bloomberg",AH!$P$10=1,ISNUMBER($A940),$A940&lt;=AH!$P$17),AH!$P$7-1+MATCH($A940,INDEX('AH History'!$A$1:$A$18046,AH!$P$7):INDEX('AH History'!$A$1:$A$18046,AH!$P$7+AH!$P$8-1),0),0),0)</ns0:f>
        <ns0:v/>
      </ns0:c>
      <ns0:c r="I940">
        <ns0:f>IF($H940=0,0,IFERROR(IF(AND(ABS($C940-INDEX('AH History'!$B$1:$B$18046,$H940))&lt;=MAX(0.005,ABS(INDEX('AH History'!$B$1:$B$18046,$H940))*0.00005),ABS($D940-INDEX('AH History'!$C$1:$C$18046,$H940))&lt;=MAX(0.005,ABS(INDEX('AH History'!$C$1:$C$18046,$H940))*0.00005),ABS($E940-INDEX('AH History'!$D$1:$D$18046,$H940))&lt;=0.00005,$F940=INDEX('AH History'!$E$1:$E$18046,$H940),$G940=INDEX('AH History'!$F$1:$F$18046,$H940)),1,-1),-1))</ns0:f>
        <ns0:v/>
      </ns0:c>
    </ns0:row>
    <ns0:row r="941">
      <ns0:c r="A941" s="215">
        <ns0:f>IF(OR(AH!$P$3=0,936+1&gt;AH!$P$11,AND(AH!$E$4&lt;&gt;"Stored",AH!$P$10&lt;&gt;1)),"",IFERROR(IF(AND(AH!$P$21=1,936+1=AH!$P$11),TODAY(),IF(AH!$P$10=1,INDEX('Live History'!$A$5:$A$3004,AH!$P$13+936),INDEX('AH History'!$A$1:$A$18046,AH!$P$7+936))),""))</ns0:f>
        <ns0:v/>
      </ns0:c>
      <ns0:c r="B941" s="219">
        <ns0:f>IFERROR(IF(AND(AH!$P$9&lt;&gt;1,$C941&gt;0,$D941&gt;0,$E941&gt;0,$F941&gt;0,$G941&gt;0,$F941&lt;=$A941,$G941&lt;=$A941,$A941-$F941&lt;=10,$A941-$G941&lt;=5),$D941*$E941/$C941-1,NA()),NA())</ns0:f>
        <ns0:v/>
      </ns0:c>
      <ns0:c r="C941">
        <ns0:f>IFERROR(IF(ISNUMBER($A941),IF(AND(AH!$P$10=1,AH!$P$12=1,$A941=TODAY()),AH!$P$19,IF(AH!$P$10=1,INDEX('Live History'!$B$5:$B$3004,AH!$P$13+936),INDEX('AH History'!$B$1:$B$18046,AH!$P$7+936))),NA()),NA())</ns0:f>
        <ns0:v/>
      </ns0:c>
      <ns0:c r="D941">
        <ns0:f>IFERROR(IF(ISNUMBER($A941),IF(AND(AH!$P$10=1,AH!$P$12=1,$A941=TODAY()),AH!$P$18,IF(AH!$P$10=1,INDEX('Live History'!$E$5:$E$3004,MATCH($A941,'Live History'!$D$5:$D$3004,1)),INDEX('AH History'!$C$1:$C$18046,AH!$P$7+936))),NA()),NA())</ns0:f>
        <ns0:v/>
      </ns0:c>
      <ns0:c r="E941">
        <ns0:f>IFERROR(IF(ISNUMBER($A941),IF(AND(AH!$P$10=1,AH!$P$12=1,$A941=TODAY()),AH!$P$20,IF(AH!$P$10=1,INDEX('Live History'!$H$5:$H$3004,MATCH($A941,'Live History'!$G$5:$G$3004,1)),INDEX('AH History'!$D$1:$D$18046,AH!$P$7+936))),NA()),NA())</ns0:f>
        <ns0:v/>
      </ns0:c>
      <ns0:c r="F941">
        <ns0:f>IFERROR(IF(ISNUMBER($A941),IF(AND(AH!$P$10=1,AH!$P$12=1,$A941=TODAY()),IF(AND(AH!$P$10=1,AH!$P$12=1,$A941=TODAY()),TODAY(),NA()),IF(AH!$P$10=1,INDEX('Live History'!$D$5:$D$3004,MATCH($A941,'Live History'!$D$5:$D$3004,1)),INDEX('AH History'!$E$1:$E$18046,AH!$P$7+936))),NA()),NA())</ns0:f>
        <ns0:v/>
      </ns0:c>
      <ns0:c r="G941">
        <ns0:f>IFERROR(IF(ISNUMBER($A941),IF(AND(AH!$P$10=1,AH!$P$12=1,$A941=TODAY()),IF(AND(AH!$P$10=1,AH!$P$12=1,$A941=TODAY()),TODAY(),NA()),IF(AH!$P$10=1,INDEX('Live History'!$G$5:$G$3004,MATCH($A941,'Live History'!$G$5:$G$3004,1)),INDEX('AH History'!$F$1:$F$18046,AH!$P$7+936))),NA()),NA())</ns0:f>
        <ns0:v/>
      </ns0:c>
      <ns0:c r="H941">
        <ns0:f>IFERROR(IF(AND(AH!$E$4="Bloomberg",AH!$P$10=1,ISNUMBER($A941),$A941&lt;=AH!$P$17),AH!$P$7-1+MATCH($A941,INDEX('AH History'!$A$1:$A$18046,AH!$P$7):INDEX('AH History'!$A$1:$A$18046,AH!$P$7+AH!$P$8-1),0),0),0)</ns0:f>
        <ns0:v/>
      </ns0:c>
      <ns0:c r="I941">
        <ns0:f>IF($H941=0,0,IFERROR(IF(AND(ABS($C941-INDEX('AH History'!$B$1:$B$18046,$H941))&lt;=MAX(0.005,ABS(INDEX('AH History'!$B$1:$B$18046,$H941))*0.00005),ABS($D941-INDEX('AH History'!$C$1:$C$18046,$H941))&lt;=MAX(0.005,ABS(INDEX('AH History'!$C$1:$C$18046,$H941))*0.00005),ABS($E941-INDEX('AH History'!$D$1:$D$18046,$H941))&lt;=0.00005,$F941=INDEX('AH History'!$E$1:$E$18046,$H941),$G941=INDEX('AH History'!$F$1:$F$18046,$H941)),1,-1),-1))</ns0:f>
        <ns0:v/>
      </ns0:c>
    </ns0:row>
    <ns0:row r="942">
      <ns0:c r="A942" s="215">
        <ns0:f>IF(OR(AH!$P$3=0,937+1&gt;AH!$P$11,AND(AH!$E$4&lt;&gt;"Stored",AH!$P$10&lt;&gt;1)),"",IFERROR(IF(AND(AH!$P$21=1,937+1=AH!$P$11),TODAY(),IF(AH!$P$10=1,INDEX('Live History'!$A$5:$A$3004,AH!$P$13+937),INDEX('AH History'!$A$1:$A$18046,AH!$P$7+937))),""))</ns0:f>
        <ns0:v/>
      </ns0:c>
      <ns0:c r="B942" s="219">
        <ns0:f>IFERROR(IF(AND(AH!$P$9&lt;&gt;1,$C942&gt;0,$D942&gt;0,$E942&gt;0,$F942&gt;0,$G942&gt;0,$F942&lt;=$A942,$G942&lt;=$A942,$A942-$F942&lt;=10,$A942-$G942&lt;=5),$D942*$E942/$C942-1,NA()),NA())</ns0:f>
        <ns0:v/>
      </ns0:c>
      <ns0:c r="C942">
        <ns0:f>IFERROR(IF(ISNUMBER($A942),IF(AND(AH!$P$10=1,AH!$P$12=1,$A942=TODAY()),AH!$P$19,IF(AH!$P$10=1,INDEX('Live History'!$B$5:$B$3004,AH!$P$13+937),INDEX('AH History'!$B$1:$B$18046,AH!$P$7+937))),NA()),NA())</ns0:f>
        <ns0:v/>
      </ns0:c>
      <ns0:c r="D942">
        <ns0:f>IFERROR(IF(ISNUMBER($A942),IF(AND(AH!$P$10=1,AH!$P$12=1,$A942=TODAY()),AH!$P$18,IF(AH!$P$10=1,INDEX('Live History'!$E$5:$E$3004,MATCH($A942,'Live History'!$D$5:$D$3004,1)),INDEX('AH History'!$C$1:$C$18046,AH!$P$7+937))),NA()),NA())</ns0:f>
        <ns0:v/>
      </ns0:c>
      <ns0:c r="E942">
        <ns0:f>IFERROR(IF(ISNUMBER($A942),IF(AND(AH!$P$10=1,AH!$P$12=1,$A942=TODAY()),AH!$P$20,IF(AH!$P$10=1,INDEX('Live History'!$H$5:$H$3004,MATCH($A942,'Live History'!$G$5:$G$3004,1)),INDEX('AH History'!$D$1:$D$18046,AH!$P$7+937))),NA()),NA())</ns0:f>
        <ns0:v/>
      </ns0:c>
      <ns0:c r="F942">
        <ns0:f>IFERROR(IF(ISNUMBER($A942),IF(AND(AH!$P$10=1,AH!$P$12=1,$A942=TODAY()),IF(AND(AH!$P$10=1,AH!$P$12=1,$A942=TODAY()),TODAY(),NA()),IF(AH!$P$10=1,INDEX('Live History'!$D$5:$D$3004,MATCH($A942,'Live History'!$D$5:$D$3004,1)),INDEX('AH History'!$E$1:$E$18046,AH!$P$7+937))),NA()),NA())</ns0:f>
        <ns0:v/>
      </ns0:c>
      <ns0:c r="G942">
        <ns0:f>IFERROR(IF(ISNUMBER($A942),IF(AND(AH!$P$10=1,AH!$P$12=1,$A942=TODAY()),IF(AND(AH!$P$10=1,AH!$P$12=1,$A942=TODAY()),TODAY(),NA()),IF(AH!$P$10=1,INDEX('Live History'!$G$5:$G$3004,MATCH($A942,'Live History'!$G$5:$G$3004,1)),INDEX('AH History'!$F$1:$F$18046,AH!$P$7+937))),NA()),NA())</ns0:f>
        <ns0:v/>
      </ns0:c>
      <ns0:c r="H942">
        <ns0:f>IFERROR(IF(AND(AH!$E$4="Bloomberg",AH!$P$10=1,ISNUMBER($A942),$A942&lt;=AH!$P$17),AH!$P$7-1+MATCH($A942,INDEX('AH History'!$A$1:$A$18046,AH!$P$7):INDEX('AH History'!$A$1:$A$18046,AH!$P$7+AH!$P$8-1),0),0),0)</ns0:f>
        <ns0:v/>
      </ns0:c>
      <ns0:c r="I942">
        <ns0:f>IF($H942=0,0,IFERROR(IF(AND(ABS($C942-INDEX('AH History'!$B$1:$B$18046,$H942))&lt;=MAX(0.005,ABS(INDEX('AH History'!$B$1:$B$18046,$H942))*0.00005),ABS($D942-INDEX('AH History'!$C$1:$C$18046,$H942))&lt;=MAX(0.005,ABS(INDEX('AH History'!$C$1:$C$18046,$H942))*0.00005),ABS($E942-INDEX('AH History'!$D$1:$D$18046,$H942))&lt;=0.00005,$F942=INDEX('AH History'!$E$1:$E$18046,$H942),$G942=INDEX('AH History'!$F$1:$F$18046,$H942)),1,-1),-1))</ns0:f>
        <ns0:v/>
      </ns0:c>
    </ns0:row>
    <ns0:row r="943">
      <ns0:c r="A943" s="215">
        <ns0:f>IF(OR(AH!$P$3=0,938+1&gt;AH!$P$11,AND(AH!$E$4&lt;&gt;"Stored",AH!$P$10&lt;&gt;1)),"",IFERROR(IF(AND(AH!$P$21=1,938+1=AH!$P$11),TODAY(),IF(AH!$P$10=1,INDEX('Live History'!$A$5:$A$3004,AH!$P$13+938),INDEX('AH History'!$A$1:$A$18046,AH!$P$7+938))),""))</ns0:f>
        <ns0:v/>
      </ns0:c>
      <ns0:c r="B943" s="219">
        <ns0:f>IFERROR(IF(AND(AH!$P$9&lt;&gt;1,$C943&gt;0,$D943&gt;0,$E943&gt;0,$F943&gt;0,$G943&gt;0,$F943&lt;=$A943,$G943&lt;=$A943,$A943-$F943&lt;=10,$A943-$G943&lt;=5),$D943*$E943/$C943-1,NA()),NA())</ns0:f>
        <ns0:v/>
      </ns0:c>
      <ns0:c r="C943">
        <ns0:f>IFERROR(IF(ISNUMBER($A943),IF(AND(AH!$P$10=1,AH!$P$12=1,$A943=TODAY()),AH!$P$19,IF(AH!$P$10=1,INDEX('Live History'!$B$5:$B$3004,AH!$P$13+938),INDEX('AH History'!$B$1:$B$18046,AH!$P$7+938))),NA()),NA())</ns0:f>
        <ns0:v/>
      </ns0:c>
      <ns0:c r="D943">
        <ns0:f>IFERROR(IF(ISNUMBER($A943),IF(AND(AH!$P$10=1,AH!$P$12=1,$A943=TODAY()),AH!$P$18,IF(AH!$P$10=1,INDEX('Live History'!$E$5:$E$3004,MATCH($A943,'Live History'!$D$5:$D$3004,1)),INDEX('AH History'!$C$1:$C$18046,AH!$P$7+938))),NA()),NA())</ns0:f>
        <ns0:v/>
      </ns0:c>
      <ns0:c r="E943">
        <ns0:f>IFERROR(IF(ISNUMBER($A943),IF(AND(AH!$P$10=1,AH!$P$12=1,$A943=TODAY()),AH!$P$20,IF(AH!$P$10=1,INDEX('Live History'!$H$5:$H$3004,MATCH($A943,'Live History'!$G$5:$G$3004,1)),INDEX('AH History'!$D$1:$D$18046,AH!$P$7+938))),NA()),NA())</ns0:f>
        <ns0:v/>
      </ns0:c>
      <ns0:c r="F943">
        <ns0:f>IFERROR(IF(ISNUMBER($A943),IF(AND(AH!$P$10=1,AH!$P$12=1,$A943=TODAY()),IF(AND(AH!$P$10=1,AH!$P$12=1,$A943=TODAY()),TODAY(),NA()),IF(AH!$P$10=1,INDEX('Live History'!$D$5:$D$3004,MATCH($A943,'Live History'!$D$5:$D$3004,1)),INDEX('AH History'!$E$1:$E$18046,AH!$P$7+938))),NA()),NA())</ns0:f>
        <ns0:v/>
      </ns0:c>
      <ns0:c r="G943">
        <ns0:f>IFERROR(IF(ISNUMBER($A943),IF(AND(AH!$P$10=1,AH!$P$12=1,$A943=TODAY()),IF(AND(AH!$P$10=1,AH!$P$12=1,$A943=TODAY()),TODAY(),NA()),IF(AH!$P$10=1,INDEX('Live History'!$G$5:$G$3004,MATCH($A943,'Live History'!$G$5:$G$3004,1)),INDEX('AH History'!$F$1:$F$18046,AH!$P$7+938))),NA()),NA())</ns0:f>
        <ns0:v/>
      </ns0:c>
      <ns0:c r="H943">
        <ns0:f>IFERROR(IF(AND(AH!$E$4="Bloomberg",AH!$P$10=1,ISNUMBER($A943),$A943&lt;=AH!$P$17),AH!$P$7-1+MATCH($A943,INDEX('AH History'!$A$1:$A$18046,AH!$P$7):INDEX('AH History'!$A$1:$A$18046,AH!$P$7+AH!$P$8-1),0),0),0)</ns0:f>
        <ns0:v/>
      </ns0:c>
      <ns0:c r="I943">
        <ns0:f>IF($H943=0,0,IFERROR(IF(AND(ABS($C943-INDEX('AH History'!$B$1:$B$18046,$H943))&lt;=MAX(0.005,ABS(INDEX('AH History'!$B$1:$B$18046,$H943))*0.00005),ABS($D943-INDEX('AH History'!$C$1:$C$18046,$H943))&lt;=MAX(0.005,ABS(INDEX('AH History'!$C$1:$C$18046,$H943))*0.00005),ABS($E943-INDEX('AH History'!$D$1:$D$18046,$H943))&lt;=0.00005,$F943=INDEX('AH History'!$E$1:$E$18046,$H943),$G943=INDEX('AH History'!$F$1:$F$18046,$H943)),1,-1),-1))</ns0:f>
        <ns0:v/>
      </ns0:c>
    </ns0:row>
    <ns0:row r="944">
      <ns0:c r="A944" s="215">
        <ns0:f>IF(OR(AH!$P$3=0,939+1&gt;AH!$P$11,AND(AH!$E$4&lt;&gt;"Stored",AH!$P$10&lt;&gt;1)),"",IFERROR(IF(AND(AH!$P$21=1,939+1=AH!$P$11),TODAY(),IF(AH!$P$10=1,INDEX('Live History'!$A$5:$A$3004,AH!$P$13+939),INDEX('AH History'!$A$1:$A$18046,AH!$P$7+939))),""))</ns0:f>
        <ns0:v/>
      </ns0:c>
      <ns0:c r="B944" s="219">
        <ns0:f>IFERROR(IF(AND(AH!$P$9&lt;&gt;1,$C944&gt;0,$D944&gt;0,$E944&gt;0,$F944&gt;0,$G944&gt;0,$F944&lt;=$A944,$G944&lt;=$A944,$A944-$F944&lt;=10,$A944-$G944&lt;=5),$D944*$E944/$C944-1,NA()),NA())</ns0:f>
        <ns0:v/>
      </ns0:c>
      <ns0:c r="C944">
        <ns0:f>IFERROR(IF(ISNUMBER($A944),IF(AND(AH!$P$10=1,AH!$P$12=1,$A944=TODAY()),AH!$P$19,IF(AH!$P$10=1,INDEX('Live History'!$B$5:$B$3004,AH!$P$13+939),INDEX('AH History'!$B$1:$B$18046,AH!$P$7+939))),NA()),NA())</ns0:f>
        <ns0:v/>
      </ns0:c>
      <ns0:c r="D944">
        <ns0:f>IFERROR(IF(ISNUMBER($A944),IF(AND(AH!$P$10=1,AH!$P$12=1,$A944=TODAY()),AH!$P$18,IF(AH!$P$10=1,INDEX('Live History'!$E$5:$E$3004,MATCH($A944,'Live History'!$D$5:$D$3004,1)),INDEX('AH History'!$C$1:$C$18046,AH!$P$7+939))),NA()),NA())</ns0:f>
        <ns0:v/>
      </ns0:c>
      <ns0:c r="E944">
        <ns0:f>IFERROR(IF(ISNUMBER($A944),IF(AND(AH!$P$10=1,AH!$P$12=1,$A944=TODAY()),AH!$P$20,IF(AH!$P$10=1,INDEX('Live History'!$H$5:$H$3004,MATCH($A944,'Live History'!$G$5:$G$3004,1)),INDEX('AH History'!$D$1:$D$18046,AH!$P$7+939))),NA()),NA())</ns0:f>
        <ns0:v/>
      </ns0:c>
      <ns0:c r="F944">
        <ns0:f>IFERROR(IF(ISNUMBER($A944),IF(AND(AH!$P$10=1,AH!$P$12=1,$A944=TODAY()),IF(AND(AH!$P$10=1,AH!$P$12=1,$A944=TODAY()),TODAY(),NA()),IF(AH!$P$10=1,INDEX('Live History'!$D$5:$D$3004,MATCH($A944,'Live History'!$D$5:$D$3004,1)),INDEX('AH History'!$E$1:$E$18046,AH!$P$7+939))),NA()),NA())</ns0:f>
        <ns0:v/>
      </ns0:c>
      <ns0:c r="G944">
        <ns0:f>IFERROR(IF(ISNUMBER($A944),IF(AND(AH!$P$10=1,AH!$P$12=1,$A944=TODAY()),IF(AND(AH!$P$10=1,AH!$P$12=1,$A944=TODAY()),TODAY(),NA()),IF(AH!$P$10=1,INDEX('Live History'!$G$5:$G$3004,MATCH($A944,'Live History'!$G$5:$G$3004,1)),INDEX('AH History'!$F$1:$F$18046,AH!$P$7+939))),NA()),NA())</ns0:f>
        <ns0:v/>
      </ns0:c>
      <ns0:c r="H944">
        <ns0:f>IFERROR(IF(AND(AH!$E$4="Bloomberg",AH!$P$10=1,ISNUMBER($A944),$A944&lt;=AH!$P$17),AH!$P$7-1+MATCH($A944,INDEX('AH History'!$A$1:$A$18046,AH!$P$7):INDEX('AH History'!$A$1:$A$18046,AH!$P$7+AH!$P$8-1),0),0),0)</ns0:f>
        <ns0:v/>
      </ns0:c>
      <ns0:c r="I944">
        <ns0:f>IF($H944=0,0,IFERROR(IF(AND(ABS($C944-INDEX('AH History'!$B$1:$B$18046,$H944))&lt;=MAX(0.005,ABS(INDEX('AH History'!$B$1:$B$18046,$H944))*0.00005),ABS($D944-INDEX('AH History'!$C$1:$C$18046,$H944))&lt;=MAX(0.005,ABS(INDEX('AH History'!$C$1:$C$18046,$H944))*0.00005),ABS($E944-INDEX('AH History'!$D$1:$D$18046,$H944))&lt;=0.00005,$F944=INDEX('AH History'!$E$1:$E$18046,$H944),$G944=INDEX('AH History'!$F$1:$F$18046,$H944)),1,-1),-1))</ns0:f>
        <ns0:v/>
      </ns0:c>
    </ns0:row>
    <ns0:row r="945">
      <ns0:c r="A945" s="215">
        <ns0:f>IF(OR(AH!$P$3=0,940+1&gt;AH!$P$11,AND(AH!$E$4&lt;&gt;"Stored",AH!$P$10&lt;&gt;1)),"",IFERROR(IF(AND(AH!$P$21=1,940+1=AH!$P$11),TODAY(),IF(AH!$P$10=1,INDEX('Live History'!$A$5:$A$3004,AH!$P$13+940),INDEX('AH History'!$A$1:$A$18046,AH!$P$7+940))),""))</ns0:f>
        <ns0:v/>
      </ns0:c>
      <ns0:c r="B945" s="219">
        <ns0:f>IFERROR(IF(AND(AH!$P$9&lt;&gt;1,$C945&gt;0,$D945&gt;0,$E945&gt;0,$F945&gt;0,$G945&gt;0,$F945&lt;=$A945,$G945&lt;=$A945,$A945-$F945&lt;=10,$A945-$G945&lt;=5),$D945*$E945/$C945-1,NA()),NA())</ns0:f>
        <ns0:v/>
      </ns0:c>
      <ns0:c r="C945">
        <ns0:f>IFERROR(IF(ISNUMBER($A945),IF(AND(AH!$P$10=1,AH!$P$12=1,$A945=TODAY()),AH!$P$19,IF(AH!$P$10=1,INDEX('Live History'!$B$5:$B$3004,AH!$P$13+940),INDEX('AH History'!$B$1:$B$18046,AH!$P$7+940))),NA()),NA())</ns0:f>
        <ns0:v/>
      </ns0:c>
      <ns0:c r="D945">
        <ns0:f>IFERROR(IF(ISNUMBER($A945),IF(AND(AH!$P$10=1,AH!$P$12=1,$A945=TODAY()),AH!$P$18,IF(AH!$P$10=1,INDEX('Live History'!$E$5:$E$3004,MATCH($A945,'Live History'!$D$5:$D$3004,1)),INDEX('AH History'!$C$1:$C$18046,AH!$P$7+940))),NA()),NA())</ns0:f>
        <ns0:v/>
      </ns0:c>
      <ns0:c r="E945">
        <ns0:f>IFERROR(IF(ISNUMBER($A945),IF(AND(AH!$P$10=1,AH!$P$12=1,$A945=TODAY()),AH!$P$20,IF(AH!$P$10=1,INDEX('Live History'!$H$5:$H$3004,MATCH($A945,'Live History'!$G$5:$G$3004,1)),INDEX('AH History'!$D$1:$D$18046,AH!$P$7+940))),NA()),NA())</ns0:f>
        <ns0:v/>
      </ns0:c>
      <ns0:c r="F945">
        <ns0:f>IFERROR(IF(ISNUMBER($A945),IF(AND(AH!$P$10=1,AH!$P$12=1,$A945=TODAY()),IF(AND(AH!$P$10=1,AH!$P$12=1,$A945=TODAY()),TODAY(),NA()),IF(AH!$P$10=1,INDEX('Live History'!$D$5:$D$3004,MATCH($A945,'Live History'!$D$5:$D$3004,1)),INDEX('AH History'!$E$1:$E$18046,AH!$P$7+940))),NA()),NA())</ns0:f>
        <ns0:v/>
      </ns0:c>
      <ns0:c r="G945">
        <ns0:f>IFERROR(IF(ISNUMBER($A945),IF(AND(AH!$P$10=1,AH!$P$12=1,$A945=TODAY()),IF(AND(AH!$P$10=1,AH!$P$12=1,$A945=TODAY()),TODAY(),NA()),IF(AH!$P$10=1,INDEX('Live History'!$G$5:$G$3004,MATCH($A945,'Live History'!$G$5:$G$3004,1)),INDEX('AH History'!$F$1:$F$18046,AH!$P$7+940))),NA()),NA())</ns0:f>
        <ns0:v/>
      </ns0:c>
      <ns0:c r="H945">
        <ns0:f>IFERROR(IF(AND(AH!$E$4="Bloomberg",AH!$P$10=1,ISNUMBER($A945),$A945&lt;=AH!$P$17),AH!$P$7-1+MATCH($A945,INDEX('AH History'!$A$1:$A$18046,AH!$P$7):INDEX('AH History'!$A$1:$A$18046,AH!$P$7+AH!$P$8-1),0),0),0)</ns0:f>
        <ns0:v/>
      </ns0:c>
      <ns0:c r="I945">
        <ns0:f>IF($H945=0,0,IFERROR(IF(AND(ABS($C945-INDEX('AH History'!$B$1:$B$18046,$H945))&lt;=MAX(0.005,ABS(INDEX('AH History'!$B$1:$B$18046,$H945))*0.00005),ABS($D945-INDEX('AH History'!$C$1:$C$18046,$H945))&lt;=MAX(0.005,ABS(INDEX('AH History'!$C$1:$C$18046,$H945))*0.00005),ABS($E945-INDEX('AH History'!$D$1:$D$18046,$H945))&lt;=0.00005,$F945=INDEX('AH History'!$E$1:$E$18046,$H945),$G945=INDEX('AH History'!$F$1:$F$18046,$H945)),1,-1),-1))</ns0:f>
        <ns0:v/>
      </ns0:c>
    </ns0:row>
    <ns0:row r="946">
      <ns0:c r="A946" s="215">
        <ns0:f>IF(OR(AH!$P$3=0,941+1&gt;AH!$P$11,AND(AH!$E$4&lt;&gt;"Stored",AH!$P$10&lt;&gt;1)),"",IFERROR(IF(AND(AH!$P$21=1,941+1=AH!$P$11),TODAY(),IF(AH!$P$10=1,INDEX('Live History'!$A$5:$A$3004,AH!$P$13+941),INDEX('AH History'!$A$1:$A$18046,AH!$P$7+941))),""))</ns0:f>
        <ns0:v/>
      </ns0:c>
      <ns0:c r="B946" s="219">
        <ns0:f>IFERROR(IF(AND(AH!$P$9&lt;&gt;1,$C946&gt;0,$D946&gt;0,$E946&gt;0,$F946&gt;0,$G946&gt;0,$F946&lt;=$A946,$G946&lt;=$A946,$A946-$F946&lt;=10,$A946-$G946&lt;=5),$D946*$E946/$C946-1,NA()),NA())</ns0:f>
        <ns0:v/>
      </ns0:c>
      <ns0:c r="C946">
        <ns0:f>IFERROR(IF(ISNUMBER($A946),IF(AND(AH!$P$10=1,AH!$P$12=1,$A946=TODAY()),AH!$P$19,IF(AH!$P$10=1,INDEX('Live History'!$B$5:$B$3004,AH!$P$13+941),INDEX('AH History'!$B$1:$B$18046,AH!$P$7+941))),NA()),NA())</ns0:f>
        <ns0:v/>
      </ns0:c>
      <ns0:c r="D946">
        <ns0:f>IFERROR(IF(ISNUMBER($A946),IF(AND(AH!$P$10=1,AH!$P$12=1,$A946=TODAY()),AH!$P$18,IF(AH!$P$10=1,INDEX('Live History'!$E$5:$E$3004,MATCH($A946,'Live History'!$D$5:$D$3004,1)),INDEX('AH History'!$C$1:$C$18046,AH!$P$7+941))),NA()),NA())</ns0:f>
        <ns0:v/>
      </ns0:c>
      <ns0:c r="E946">
        <ns0:f>IFERROR(IF(ISNUMBER($A946),IF(AND(AH!$P$10=1,AH!$P$12=1,$A946=TODAY()),AH!$P$20,IF(AH!$P$10=1,INDEX('Live History'!$H$5:$H$3004,MATCH($A946,'Live History'!$G$5:$G$3004,1)),INDEX('AH History'!$D$1:$D$18046,AH!$P$7+941))),NA()),NA())</ns0:f>
        <ns0:v/>
      </ns0:c>
      <ns0:c r="F946">
        <ns0:f>IFERROR(IF(ISNUMBER($A946),IF(AND(AH!$P$10=1,AH!$P$12=1,$A946=TODAY()),IF(AND(AH!$P$10=1,AH!$P$12=1,$A946=TODAY()),TODAY(),NA()),IF(AH!$P$10=1,INDEX('Live History'!$D$5:$D$3004,MATCH($A946,'Live History'!$D$5:$D$3004,1)),INDEX('AH History'!$E$1:$E$18046,AH!$P$7+941))),NA()),NA())</ns0:f>
        <ns0:v/>
      </ns0:c>
      <ns0:c r="G946">
        <ns0:f>IFERROR(IF(ISNUMBER($A946),IF(AND(AH!$P$10=1,AH!$P$12=1,$A946=TODAY()),IF(AND(AH!$P$10=1,AH!$P$12=1,$A946=TODAY()),TODAY(),NA()),IF(AH!$P$10=1,INDEX('Live History'!$G$5:$G$3004,MATCH($A946,'Live History'!$G$5:$G$3004,1)),INDEX('AH History'!$F$1:$F$18046,AH!$P$7+941))),NA()),NA())</ns0:f>
        <ns0:v/>
      </ns0:c>
      <ns0:c r="H946">
        <ns0:f>IFERROR(IF(AND(AH!$E$4="Bloomberg",AH!$P$10=1,ISNUMBER($A946),$A946&lt;=AH!$P$17),AH!$P$7-1+MATCH($A946,INDEX('AH History'!$A$1:$A$18046,AH!$P$7):INDEX('AH History'!$A$1:$A$18046,AH!$P$7+AH!$P$8-1),0),0),0)</ns0:f>
        <ns0:v/>
      </ns0:c>
      <ns0:c r="I946">
        <ns0:f>IF($H946=0,0,IFERROR(IF(AND(ABS($C946-INDEX('AH History'!$B$1:$B$18046,$H946))&lt;=MAX(0.005,ABS(INDEX('AH History'!$B$1:$B$18046,$H946))*0.00005),ABS($D946-INDEX('AH History'!$C$1:$C$18046,$H946))&lt;=MAX(0.005,ABS(INDEX('AH History'!$C$1:$C$18046,$H946))*0.00005),ABS($E946-INDEX('AH History'!$D$1:$D$18046,$H946))&lt;=0.00005,$F946=INDEX('AH History'!$E$1:$E$18046,$H946),$G946=INDEX('AH History'!$F$1:$F$18046,$H946)),1,-1),-1))</ns0:f>
        <ns0:v/>
      </ns0:c>
    </ns0:row>
    <ns0:row r="947">
      <ns0:c r="A947" s="215">
        <ns0:f>IF(OR(AH!$P$3=0,942+1&gt;AH!$P$11,AND(AH!$E$4&lt;&gt;"Stored",AH!$P$10&lt;&gt;1)),"",IFERROR(IF(AND(AH!$P$21=1,942+1=AH!$P$11),TODAY(),IF(AH!$P$10=1,INDEX('Live History'!$A$5:$A$3004,AH!$P$13+942),INDEX('AH History'!$A$1:$A$18046,AH!$P$7+942))),""))</ns0:f>
        <ns0:v/>
      </ns0:c>
      <ns0:c r="B947" s="219">
        <ns0:f>IFERROR(IF(AND(AH!$P$9&lt;&gt;1,$C947&gt;0,$D947&gt;0,$E947&gt;0,$F947&gt;0,$G947&gt;0,$F947&lt;=$A947,$G947&lt;=$A947,$A947-$F947&lt;=10,$A947-$G947&lt;=5),$D947*$E947/$C947-1,NA()),NA())</ns0:f>
        <ns0:v/>
      </ns0:c>
      <ns0:c r="C947">
        <ns0:f>IFERROR(IF(ISNUMBER($A947),IF(AND(AH!$P$10=1,AH!$P$12=1,$A947=TODAY()),AH!$P$19,IF(AH!$P$10=1,INDEX('Live History'!$B$5:$B$3004,AH!$P$13+942),INDEX('AH History'!$B$1:$B$18046,AH!$P$7+942))),NA()),NA())</ns0:f>
        <ns0:v/>
      </ns0:c>
      <ns0:c r="D947">
        <ns0:f>IFERROR(IF(ISNUMBER($A947),IF(AND(AH!$P$10=1,AH!$P$12=1,$A947=TODAY()),AH!$P$18,IF(AH!$P$10=1,INDEX('Live History'!$E$5:$E$3004,MATCH($A947,'Live History'!$D$5:$D$3004,1)),INDEX('AH History'!$C$1:$C$18046,AH!$P$7+942))),NA()),NA())</ns0:f>
        <ns0:v/>
      </ns0:c>
      <ns0:c r="E947">
        <ns0:f>IFERROR(IF(ISNUMBER($A947),IF(AND(AH!$P$10=1,AH!$P$12=1,$A947=TODAY()),AH!$P$20,IF(AH!$P$10=1,INDEX('Live History'!$H$5:$H$3004,MATCH($A947,'Live History'!$G$5:$G$3004,1)),INDEX('AH History'!$D$1:$D$18046,AH!$P$7+942))),NA()),NA())</ns0:f>
        <ns0:v/>
      </ns0:c>
      <ns0:c r="F947">
        <ns0:f>IFERROR(IF(ISNUMBER($A947),IF(AND(AH!$P$10=1,AH!$P$12=1,$A947=TODAY()),IF(AND(AH!$P$10=1,AH!$P$12=1,$A947=TODAY()),TODAY(),NA()),IF(AH!$P$10=1,INDEX('Live History'!$D$5:$D$3004,MATCH($A947,'Live History'!$D$5:$D$3004,1)),INDEX('AH History'!$E$1:$E$18046,AH!$P$7+942))),NA()),NA())</ns0:f>
        <ns0:v/>
      </ns0:c>
      <ns0:c r="G947">
        <ns0:f>IFERROR(IF(ISNUMBER($A947),IF(AND(AH!$P$10=1,AH!$P$12=1,$A947=TODAY()),IF(AND(AH!$P$10=1,AH!$P$12=1,$A947=TODAY()),TODAY(),NA()),IF(AH!$P$10=1,INDEX('Live History'!$G$5:$G$3004,MATCH($A947,'Live History'!$G$5:$G$3004,1)),INDEX('AH History'!$F$1:$F$18046,AH!$P$7+942))),NA()),NA())</ns0:f>
        <ns0:v/>
      </ns0:c>
      <ns0:c r="H947">
        <ns0:f>IFERROR(IF(AND(AH!$E$4="Bloomberg",AH!$P$10=1,ISNUMBER($A947),$A947&lt;=AH!$P$17),AH!$P$7-1+MATCH($A947,INDEX('AH History'!$A$1:$A$18046,AH!$P$7):INDEX('AH History'!$A$1:$A$18046,AH!$P$7+AH!$P$8-1),0),0),0)</ns0:f>
        <ns0:v/>
      </ns0:c>
      <ns0:c r="I947">
        <ns0:f>IF($H947=0,0,IFERROR(IF(AND(ABS($C947-INDEX('AH History'!$B$1:$B$18046,$H947))&lt;=MAX(0.005,ABS(INDEX('AH History'!$B$1:$B$18046,$H947))*0.00005),ABS($D947-INDEX('AH History'!$C$1:$C$18046,$H947))&lt;=MAX(0.005,ABS(INDEX('AH History'!$C$1:$C$18046,$H947))*0.00005),ABS($E947-INDEX('AH History'!$D$1:$D$18046,$H947))&lt;=0.00005,$F947=INDEX('AH History'!$E$1:$E$18046,$H947),$G947=INDEX('AH History'!$F$1:$F$18046,$H947)),1,-1),-1))</ns0:f>
        <ns0:v/>
      </ns0:c>
    </ns0:row>
    <ns0:row r="948">
      <ns0:c r="A948" s="215">
        <ns0:f>IF(OR(AH!$P$3=0,943+1&gt;AH!$P$11,AND(AH!$E$4&lt;&gt;"Stored",AH!$P$10&lt;&gt;1)),"",IFERROR(IF(AND(AH!$P$21=1,943+1=AH!$P$11),TODAY(),IF(AH!$P$10=1,INDEX('Live History'!$A$5:$A$3004,AH!$P$13+943),INDEX('AH History'!$A$1:$A$18046,AH!$P$7+943))),""))</ns0:f>
        <ns0:v/>
      </ns0:c>
      <ns0:c r="B948" s="219">
        <ns0:f>IFERROR(IF(AND(AH!$P$9&lt;&gt;1,$C948&gt;0,$D948&gt;0,$E948&gt;0,$F948&gt;0,$G948&gt;0,$F948&lt;=$A948,$G948&lt;=$A948,$A948-$F948&lt;=10,$A948-$G948&lt;=5),$D948*$E948/$C948-1,NA()),NA())</ns0:f>
        <ns0:v/>
      </ns0:c>
      <ns0:c r="C948">
        <ns0:f>IFERROR(IF(ISNUMBER($A948),IF(AND(AH!$P$10=1,AH!$P$12=1,$A948=TODAY()),AH!$P$19,IF(AH!$P$10=1,INDEX('Live History'!$B$5:$B$3004,AH!$P$13+943),INDEX('AH History'!$B$1:$B$18046,AH!$P$7+943))),NA()),NA())</ns0:f>
        <ns0:v/>
      </ns0:c>
      <ns0:c r="D948">
        <ns0:f>IFERROR(IF(ISNUMBER($A948),IF(AND(AH!$P$10=1,AH!$P$12=1,$A948=TODAY()),AH!$P$18,IF(AH!$P$10=1,INDEX('Live History'!$E$5:$E$3004,MATCH($A948,'Live History'!$D$5:$D$3004,1)),INDEX('AH History'!$C$1:$C$18046,AH!$P$7+943))),NA()),NA())</ns0:f>
        <ns0:v/>
      </ns0:c>
      <ns0:c r="E948">
        <ns0:f>IFERROR(IF(ISNUMBER($A948),IF(AND(AH!$P$10=1,AH!$P$12=1,$A948=TODAY()),AH!$P$20,IF(AH!$P$10=1,INDEX('Live History'!$H$5:$H$3004,MATCH($A948,'Live History'!$G$5:$G$3004,1)),INDEX('AH History'!$D$1:$D$18046,AH!$P$7+943))),NA()),NA())</ns0:f>
        <ns0:v/>
      </ns0:c>
      <ns0:c r="F948">
        <ns0:f>IFERROR(IF(ISNUMBER($A948),IF(AND(AH!$P$10=1,AH!$P$12=1,$A948=TODAY()),IF(AND(AH!$P$10=1,AH!$P$12=1,$A948=TODAY()),TODAY(),NA()),IF(AH!$P$10=1,INDEX('Live History'!$D$5:$D$3004,MATCH($A948,'Live History'!$D$5:$D$3004,1)),INDEX('AH History'!$E$1:$E$18046,AH!$P$7+943))),NA()),NA())</ns0:f>
        <ns0:v/>
      </ns0:c>
      <ns0:c r="G948">
        <ns0:f>IFERROR(IF(ISNUMBER($A948),IF(AND(AH!$P$10=1,AH!$P$12=1,$A948=TODAY()),IF(AND(AH!$P$10=1,AH!$P$12=1,$A948=TODAY()),TODAY(),NA()),IF(AH!$P$10=1,INDEX('Live History'!$G$5:$G$3004,MATCH($A948,'Live History'!$G$5:$G$3004,1)),INDEX('AH History'!$F$1:$F$18046,AH!$P$7+943))),NA()),NA())</ns0:f>
        <ns0:v/>
      </ns0:c>
      <ns0:c r="H948">
        <ns0:f>IFERROR(IF(AND(AH!$E$4="Bloomberg",AH!$P$10=1,ISNUMBER($A948),$A948&lt;=AH!$P$17),AH!$P$7-1+MATCH($A948,INDEX('AH History'!$A$1:$A$18046,AH!$P$7):INDEX('AH History'!$A$1:$A$18046,AH!$P$7+AH!$P$8-1),0),0),0)</ns0:f>
        <ns0:v/>
      </ns0:c>
      <ns0:c r="I948">
        <ns0:f>IF($H948=0,0,IFERROR(IF(AND(ABS($C948-INDEX('AH History'!$B$1:$B$18046,$H948))&lt;=MAX(0.005,ABS(INDEX('AH History'!$B$1:$B$18046,$H948))*0.00005),ABS($D948-INDEX('AH History'!$C$1:$C$18046,$H948))&lt;=MAX(0.005,ABS(INDEX('AH History'!$C$1:$C$18046,$H948))*0.00005),ABS($E948-INDEX('AH History'!$D$1:$D$18046,$H948))&lt;=0.00005,$F948=INDEX('AH History'!$E$1:$E$18046,$H948),$G948=INDEX('AH History'!$F$1:$F$18046,$H948)),1,-1),-1))</ns0:f>
        <ns0:v/>
      </ns0:c>
    </ns0:row>
    <ns0:row r="949">
      <ns0:c r="A949" s="215">
        <ns0:f>IF(OR(AH!$P$3=0,944+1&gt;AH!$P$11,AND(AH!$E$4&lt;&gt;"Stored",AH!$P$10&lt;&gt;1)),"",IFERROR(IF(AND(AH!$P$21=1,944+1=AH!$P$11),TODAY(),IF(AH!$P$10=1,INDEX('Live History'!$A$5:$A$3004,AH!$P$13+944),INDEX('AH History'!$A$1:$A$18046,AH!$P$7+944))),""))</ns0:f>
        <ns0:v/>
      </ns0:c>
      <ns0:c r="B949" s="219">
        <ns0:f>IFERROR(IF(AND(AH!$P$9&lt;&gt;1,$C949&gt;0,$D949&gt;0,$E949&gt;0,$F949&gt;0,$G949&gt;0,$F949&lt;=$A949,$G949&lt;=$A949,$A949-$F949&lt;=10,$A949-$G949&lt;=5),$D949*$E949/$C949-1,NA()),NA())</ns0:f>
        <ns0:v/>
      </ns0:c>
      <ns0:c r="C949">
        <ns0:f>IFERROR(IF(ISNUMBER($A949),IF(AND(AH!$P$10=1,AH!$P$12=1,$A949=TODAY()),AH!$P$19,IF(AH!$P$10=1,INDEX('Live History'!$B$5:$B$3004,AH!$P$13+944),INDEX('AH History'!$B$1:$B$18046,AH!$P$7+944))),NA()),NA())</ns0:f>
        <ns0:v/>
      </ns0:c>
      <ns0:c r="D949">
        <ns0:f>IFERROR(IF(ISNUMBER($A949),IF(AND(AH!$P$10=1,AH!$P$12=1,$A949=TODAY()),AH!$P$18,IF(AH!$P$10=1,INDEX('Live History'!$E$5:$E$3004,MATCH($A949,'Live History'!$D$5:$D$3004,1)),INDEX('AH History'!$C$1:$C$18046,AH!$P$7+944))),NA()),NA())</ns0:f>
        <ns0:v/>
      </ns0:c>
      <ns0:c r="E949">
        <ns0:f>IFERROR(IF(ISNUMBER($A949),IF(AND(AH!$P$10=1,AH!$P$12=1,$A949=TODAY()),AH!$P$20,IF(AH!$P$10=1,INDEX('Live History'!$H$5:$H$3004,MATCH($A949,'Live History'!$G$5:$G$3004,1)),INDEX('AH History'!$D$1:$D$18046,AH!$P$7+944))),NA()),NA())</ns0:f>
        <ns0:v/>
      </ns0:c>
      <ns0:c r="F949">
        <ns0:f>IFERROR(IF(ISNUMBER($A949),IF(AND(AH!$P$10=1,AH!$P$12=1,$A949=TODAY()),IF(AND(AH!$P$10=1,AH!$P$12=1,$A949=TODAY()),TODAY(),NA()),IF(AH!$P$10=1,INDEX('Live History'!$D$5:$D$3004,MATCH($A949,'Live History'!$D$5:$D$3004,1)),INDEX('AH History'!$E$1:$E$18046,AH!$P$7+944))),NA()),NA())</ns0:f>
        <ns0:v/>
      </ns0:c>
      <ns0:c r="G949">
        <ns0:f>IFERROR(IF(ISNUMBER($A949),IF(AND(AH!$P$10=1,AH!$P$12=1,$A949=TODAY()),IF(AND(AH!$P$10=1,AH!$P$12=1,$A949=TODAY()),TODAY(),NA()),IF(AH!$P$10=1,INDEX('Live History'!$G$5:$G$3004,MATCH($A949,'Live History'!$G$5:$G$3004,1)),INDEX('AH History'!$F$1:$F$18046,AH!$P$7+944))),NA()),NA())</ns0:f>
        <ns0:v/>
      </ns0:c>
      <ns0:c r="H949">
        <ns0:f>IFERROR(IF(AND(AH!$E$4="Bloomberg",AH!$P$10=1,ISNUMBER($A949),$A949&lt;=AH!$P$17),AH!$P$7-1+MATCH($A949,INDEX('AH History'!$A$1:$A$18046,AH!$P$7):INDEX('AH History'!$A$1:$A$18046,AH!$P$7+AH!$P$8-1),0),0),0)</ns0:f>
        <ns0:v/>
      </ns0:c>
      <ns0:c r="I949">
        <ns0:f>IF($H949=0,0,IFERROR(IF(AND(ABS($C949-INDEX('AH History'!$B$1:$B$18046,$H949))&lt;=MAX(0.005,ABS(INDEX('AH History'!$B$1:$B$18046,$H949))*0.00005),ABS($D949-INDEX('AH History'!$C$1:$C$18046,$H949))&lt;=MAX(0.005,ABS(INDEX('AH History'!$C$1:$C$18046,$H949))*0.00005),ABS($E949-INDEX('AH History'!$D$1:$D$18046,$H949))&lt;=0.00005,$F949=INDEX('AH History'!$E$1:$E$18046,$H949),$G949=INDEX('AH History'!$F$1:$F$18046,$H949)),1,-1),-1))</ns0:f>
        <ns0:v/>
      </ns0:c>
    </ns0:row>
    <ns0:row r="950">
      <ns0:c r="A950" s="215">
        <ns0:f>IF(OR(AH!$P$3=0,945+1&gt;AH!$P$11,AND(AH!$E$4&lt;&gt;"Stored",AH!$P$10&lt;&gt;1)),"",IFERROR(IF(AND(AH!$P$21=1,945+1=AH!$P$11),TODAY(),IF(AH!$P$10=1,INDEX('Live History'!$A$5:$A$3004,AH!$P$13+945),INDEX('AH History'!$A$1:$A$18046,AH!$P$7+945))),""))</ns0:f>
        <ns0:v/>
      </ns0:c>
      <ns0:c r="B950" s="219">
        <ns0:f>IFERROR(IF(AND(AH!$P$9&lt;&gt;1,$C950&gt;0,$D950&gt;0,$E950&gt;0,$F950&gt;0,$G950&gt;0,$F950&lt;=$A950,$G950&lt;=$A950,$A950-$F950&lt;=10,$A950-$G950&lt;=5),$D950*$E950/$C950-1,NA()),NA())</ns0:f>
        <ns0:v/>
      </ns0:c>
      <ns0:c r="C950">
        <ns0:f>IFERROR(IF(ISNUMBER($A950),IF(AND(AH!$P$10=1,AH!$P$12=1,$A950=TODAY()),AH!$P$19,IF(AH!$P$10=1,INDEX('Live History'!$B$5:$B$3004,AH!$P$13+945),INDEX('AH History'!$B$1:$B$18046,AH!$P$7+945))),NA()),NA())</ns0:f>
        <ns0:v/>
      </ns0:c>
      <ns0:c r="D950">
        <ns0:f>IFERROR(IF(ISNUMBER($A950),IF(AND(AH!$P$10=1,AH!$P$12=1,$A950=TODAY()),AH!$P$18,IF(AH!$P$10=1,INDEX('Live History'!$E$5:$E$3004,MATCH($A950,'Live History'!$D$5:$D$3004,1)),INDEX('AH History'!$C$1:$C$18046,AH!$P$7+945))),NA()),NA())</ns0:f>
        <ns0:v/>
      </ns0:c>
      <ns0:c r="E950">
        <ns0:f>IFERROR(IF(ISNUMBER($A950),IF(AND(AH!$P$10=1,AH!$P$12=1,$A950=TODAY()),AH!$P$20,IF(AH!$P$10=1,INDEX('Live History'!$H$5:$H$3004,MATCH($A950,'Live History'!$G$5:$G$3004,1)),INDEX('AH History'!$D$1:$D$18046,AH!$P$7+945))),NA()),NA())</ns0:f>
        <ns0:v/>
      </ns0:c>
      <ns0:c r="F950">
        <ns0:f>IFERROR(IF(ISNUMBER($A950),IF(AND(AH!$P$10=1,AH!$P$12=1,$A950=TODAY()),IF(AND(AH!$P$10=1,AH!$P$12=1,$A950=TODAY()),TODAY(),NA()),IF(AH!$P$10=1,INDEX('Live History'!$D$5:$D$3004,MATCH($A950,'Live History'!$D$5:$D$3004,1)),INDEX('AH History'!$E$1:$E$18046,AH!$P$7+945))),NA()),NA())</ns0:f>
        <ns0:v/>
      </ns0:c>
      <ns0:c r="G950">
        <ns0:f>IFERROR(IF(ISNUMBER($A950),IF(AND(AH!$P$10=1,AH!$P$12=1,$A950=TODAY()),IF(AND(AH!$P$10=1,AH!$P$12=1,$A950=TODAY()),TODAY(),NA()),IF(AH!$P$10=1,INDEX('Live History'!$G$5:$G$3004,MATCH($A950,'Live History'!$G$5:$G$3004,1)),INDEX('AH History'!$F$1:$F$18046,AH!$P$7+945))),NA()),NA())</ns0:f>
        <ns0:v/>
      </ns0:c>
      <ns0:c r="H950">
        <ns0:f>IFERROR(IF(AND(AH!$E$4="Bloomberg",AH!$P$10=1,ISNUMBER($A950),$A950&lt;=AH!$P$17),AH!$P$7-1+MATCH($A950,INDEX('AH History'!$A$1:$A$18046,AH!$P$7):INDEX('AH History'!$A$1:$A$18046,AH!$P$7+AH!$P$8-1),0),0),0)</ns0:f>
        <ns0:v/>
      </ns0:c>
      <ns0:c r="I950">
        <ns0:f>IF($H950=0,0,IFERROR(IF(AND(ABS($C950-INDEX('AH History'!$B$1:$B$18046,$H950))&lt;=MAX(0.005,ABS(INDEX('AH History'!$B$1:$B$18046,$H950))*0.00005),ABS($D950-INDEX('AH History'!$C$1:$C$18046,$H950))&lt;=MAX(0.005,ABS(INDEX('AH History'!$C$1:$C$18046,$H950))*0.00005),ABS($E950-INDEX('AH History'!$D$1:$D$18046,$H950))&lt;=0.00005,$F950=INDEX('AH History'!$E$1:$E$18046,$H950),$G950=INDEX('AH History'!$F$1:$F$18046,$H950)),1,-1),-1))</ns0:f>
        <ns0:v/>
      </ns0:c>
    </ns0:row>
    <ns0:row r="951">
      <ns0:c r="A951" s="215">
        <ns0:f>IF(OR(AH!$P$3=0,946+1&gt;AH!$P$11,AND(AH!$E$4&lt;&gt;"Stored",AH!$P$10&lt;&gt;1)),"",IFERROR(IF(AND(AH!$P$21=1,946+1=AH!$P$11),TODAY(),IF(AH!$P$10=1,INDEX('Live History'!$A$5:$A$3004,AH!$P$13+946),INDEX('AH History'!$A$1:$A$18046,AH!$P$7+946))),""))</ns0:f>
        <ns0:v/>
      </ns0:c>
      <ns0:c r="B951" s="219">
        <ns0:f>IFERROR(IF(AND(AH!$P$9&lt;&gt;1,$C951&gt;0,$D951&gt;0,$E951&gt;0,$F951&gt;0,$G951&gt;0,$F951&lt;=$A951,$G951&lt;=$A951,$A951-$F951&lt;=10,$A951-$G951&lt;=5),$D951*$E951/$C951-1,NA()),NA())</ns0:f>
        <ns0:v/>
      </ns0:c>
      <ns0:c r="C951">
        <ns0:f>IFERROR(IF(ISNUMBER($A951),IF(AND(AH!$P$10=1,AH!$P$12=1,$A951=TODAY()),AH!$P$19,IF(AH!$P$10=1,INDEX('Live History'!$B$5:$B$3004,AH!$P$13+946),INDEX('AH History'!$B$1:$B$18046,AH!$P$7+946))),NA()),NA())</ns0:f>
        <ns0:v/>
      </ns0:c>
      <ns0:c r="D951">
        <ns0:f>IFERROR(IF(ISNUMBER($A951),IF(AND(AH!$P$10=1,AH!$P$12=1,$A951=TODAY()),AH!$P$18,IF(AH!$P$10=1,INDEX('Live History'!$E$5:$E$3004,MATCH($A951,'Live History'!$D$5:$D$3004,1)),INDEX('AH History'!$C$1:$C$18046,AH!$P$7+946))),NA()),NA())</ns0:f>
        <ns0:v/>
      </ns0:c>
      <ns0:c r="E951">
        <ns0:f>IFERROR(IF(ISNUMBER($A951),IF(AND(AH!$P$10=1,AH!$P$12=1,$A951=TODAY()),AH!$P$20,IF(AH!$P$10=1,INDEX('Live History'!$H$5:$H$3004,MATCH($A951,'Live History'!$G$5:$G$3004,1)),INDEX('AH History'!$D$1:$D$18046,AH!$P$7+946))),NA()),NA())</ns0:f>
        <ns0:v/>
      </ns0:c>
      <ns0:c r="F951">
        <ns0:f>IFERROR(IF(ISNUMBER($A951),IF(AND(AH!$P$10=1,AH!$P$12=1,$A951=TODAY()),IF(AND(AH!$P$10=1,AH!$P$12=1,$A951=TODAY()),TODAY(),NA()),IF(AH!$P$10=1,INDEX('Live History'!$D$5:$D$3004,MATCH($A951,'Live History'!$D$5:$D$3004,1)),INDEX('AH History'!$E$1:$E$18046,AH!$P$7+946))),NA()),NA())</ns0:f>
        <ns0:v/>
      </ns0:c>
      <ns0:c r="G951">
        <ns0:f>IFERROR(IF(ISNUMBER($A951),IF(AND(AH!$P$10=1,AH!$P$12=1,$A951=TODAY()),IF(AND(AH!$P$10=1,AH!$P$12=1,$A951=TODAY()),TODAY(),NA()),IF(AH!$P$10=1,INDEX('Live History'!$G$5:$G$3004,MATCH($A951,'Live History'!$G$5:$G$3004,1)),INDEX('AH History'!$F$1:$F$18046,AH!$P$7+946))),NA()),NA())</ns0:f>
        <ns0:v/>
      </ns0:c>
      <ns0:c r="H951">
        <ns0:f>IFERROR(IF(AND(AH!$E$4="Bloomberg",AH!$P$10=1,ISNUMBER($A951),$A951&lt;=AH!$P$17),AH!$P$7-1+MATCH($A951,INDEX('AH History'!$A$1:$A$18046,AH!$P$7):INDEX('AH History'!$A$1:$A$18046,AH!$P$7+AH!$P$8-1),0),0),0)</ns0:f>
        <ns0:v/>
      </ns0:c>
      <ns0:c r="I951">
        <ns0:f>IF($H951=0,0,IFERROR(IF(AND(ABS($C951-INDEX('AH History'!$B$1:$B$18046,$H951))&lt;=MAX(0.005,ABS(INDEX('AH History'!$B$1:$B$18046,$H951))*0.00005),ABS($D951-INDEX('AH History'!$C$1:$C$18046,$H951))&lt;=MAX(0.005,ABS(INDEX('AH History'!$C$1:$C$18046,$H951))*0.00005),ABS($E951-INDEX('AH History'!$D$1:$D$18046,$H951))&lt;=0.00005,$F951=INDEX('AH History'!$E$1:$E$18046,$H951),$G951=INDEX('AH History'!$F$1:$F$18046,$H951)),1,-1),-1))</ns0:f>
        <ns0:v/>
      </ns0:c>
    </ns0:row>
    <ns0:row r="952">
      <ns0:c r="A952" s="215">
        <ns0:f>IF(OR(AH!$P$3=0,947+1&gt;AH!$P$11,AND(AH!$E$4&lt;&gt;"Stored",AH!$P$10&lt;&gt;1)),"",IFERROR(IF(AND(AH!$P$21=1,947+1=AH!$P$11),TODAY(),IF(AH!$P$10=1,INDEX('Live History'!$A$5:$A$3004,AH!$P$13+947),INDEX('AH History'!$A$1:$A$18046,AH!$P$7+947))),""))</ns0:f>
        <ns0:v/>
      </ns0:c>
      <ns0:c r="B952" s="219">
        <ns0:f>IFERROR(IF(AND(AH!$P$9&lt;&gt;1,$C952&gt;0,$D952&gt;0,$E952&gt;0,$F952&gt;0,$G952&gt;0,$F952&lt;=$A952,$G952&lt;=$A952,$A952-$F952&lt;=10,$A952-$G952&lt;=5),$D952*$E952/$C952-1,NA()),NA())</ns0:f>
        <ns0:v/>
      </ns0:c>
      <ns0:c r="C952">
        <ns0:f>IFERROR(IF(ISNUMBER($A952),IF(AND(AH!$P$10=1,AH!$P$12=1,$A952=TODAY()),AH!$P$19,IF(AH!$P$10=1,INDEX('Live History'!$B$5:$B$3004,AH!$P$13+947),INDEX('AH History'!$B$1:$B$18046,AH!$P$7+947))),NA()),NA())</ns0:f>
        <ns0:v/>
      </ns0:c>
      <ns0:c r="D952">
        <ns0:f>IFERROR(IF(ISNUMBER($A952),IF(AND(AH!$P$10=1,AH!$P$12=1,$A952=TODAY()),AH!$P$18,IF(AH!$P$10=1,INDEX('Live History'!$E$5:$E$3004,MATCH($A952,'Live History'!$D$5:$D$3004,1)),INDEX('AH History'!$C$1:$C$18046,AH!$P$7+947))),NA()),NA())</ns0:f>
        <ns0:v/>
      </ns0:c>
      <ns0:c r="E952">
        <ns0:f>IFERROR(IF(ISNUMBER($A952),IF(AND(AH!$P$10=1,AH!$P$12=1,$A952=TODAY()),AH!$P$20,IF(AH!$P$10=1,INDEX('Live History'!$H$5:$H$3004,MATCH($A952,'Live History'!$G$5:$G$3004,1)),INDEX('AH History'!$D$1:$D$18046,AH!$P$7+947))),NA()),NA())</ns0:f>
        <ns0:v/>
      </ns0:c>
      <ns0:c r="F952">
        <ns0:f>IFERROR(IF(ISNUMBER($A952),IF(AND(AH!$P$10=1,AH!$P$12=1,$A952=TODAY()),IF(AND(AH!$P$10=1,AH!$P$12=1,$A952=TODAY()),TODAY(),NA()),IF(AH!$P$10=1,INDEX('Live History'!$D$5:$D$3004,MATCH($A952,'Live History'!$D$5:$D$3004,1)),INDEX('AH History'!$E$1:$E$18046,AH!$P$7+947))),NA()),NA())</ns0:f>
        <ns0:v/>
      </ns0:c>
      <ns0:c r="G952">
        <ns0:f>IFERROR(IF(ISNUMBER($A952),IF(AND(AH!$P$10=1,AH!$P$12=1,$A952=TODAY()),IF(AND(AH!$P$10=1,AH!$P$12=1,$A952=TODAY()),TODAY(),NA()),IF(AH!$P$10=1,INDEX('Live History'!$G$5:$G$3004,MATCH($A952,'Live History'!$G$5:$G$3004,1)),INDEX('AH History'!$F$1:$F$18046,AH!$P$7+947))),NA()),NA())</ns0:f>
        <ns0:v/>
      </ns0:c>
      <ns0:c r="H952">
        <ns0:f>IFERROR(IF(AND(AH!$E$4="Bloomberg",AH!$P$10=1,ISNUMBER($A952),$A952&lt;=AH!$P$17),AH!$P$7-1+MATCH($A952,INDEX('AH History'!$A$1:$A$18046,AH!$P$7):INDEX('AH History'!$A$1:$A$18046,AH!$P$7+AH!$P$8-1),0),0),0)</ns0:f>
        <ns0:v/>
      </ns0:c>
      <ns0:c r="I952">
        <ns0:f>IF($H952=0,0,IFERROR(IF(AND(ABS($C952-INDEX('AH History'!$B$1:$B$18046,$H952))&lt;=MAX(0.005,ABS(INDEX('AH History'!$B$1:$B$18046,$H952))*0.00005),ABS($D952-INDEX('AH History'!$C$1:$C$18046,$H952))&lt;=MAX(0.005,ABS(INDEX('AH History'!$C$1:$C$18046,$H952))*0.00005),ABS($E952-INDEX('AH History'!$D$1:$D$18046,$H952))&lt;=0.00005,$F952=INDEX('AH History'!$E$1:$E$18046,$H952),$G952=INDEX('AH History'!$F$1:$F$18046,$H952)),1,-1),-1))</ns0:f>
        <ns0:v/>
      </ns0:c>
    </ns0:row>
    <ns0:row r="953">
      <ns0:c r="A953" s="215">
        <ns0:f>IF(OR(AH!$P$3=0,948+1&gt;AH!$P$11,AND(AH!$E$4&lt;&gt;"Stored",AH!$P$10&lt;&gt;1)),"",IFERROR(IF(AND(AH!$P$21=1,948+1=AH!$P$11),TODAY(),IF(AH!$P$10=1,INDEX('Live History'!$A$5:$A$3004,AH!$P$13+948),INDEX('AH History'!$A$1:$A$18046,AH!$P$7+948))),""))</ns0:f>
        <ns0:v/>
      </ns0:c>
      <ns0:c r="B953" s="219">
        <ns0:f>IFERROR(IF(AND(AH!$P$9&lt;&gt;1,$C953&gt;0,$D953&gt;0,$E953&gt;0,$F953&gt;0,$G953&gt;0,$F953&lt;=$A953,$G953&lt;=$A953,$A953-$F953&lt;=10,$A953-$G953&lt;=5),$D953*$E953/$C953-1,NA()),NA())</ns0:f>
        <ns0:v/>
      </ns0:c>
      <ns0:c r="C953">
        <ns0:f>IFERROR(IF(ISNUMBER($A953),IF(AND(AH!$P$10=1,AH!$P$12=1,$A953=TODAY()),AH!$P$19,IF(AH!$P$10=1,INDEX('Live History'!$B$5:$B$3004,AH!$P$13+948),INDEX('AH History'!$B$1:$B$18046,AH!$P$7+948))),NA()),NA())</ns0:f>
        <ns0:v/>
      </ns0:c>
      <ns0:c r="D953">
        <ns0:f>IFERROR(IF(ISNUMBER($A953),IF(AND(AH!$P$10=1,AH!$P$12=1,$A953=TODAY()),AH!$P$18,IF(AH!$P$10=1,INDEX('Live History'!$E$5:$E$3004,MATCH($A953,'Live History'!$D$5:$D$3004,1)),INDEX('AH History'!$C$1:$C$18046,AH!$P$7+948))),NA()),NA())</ns0:f>
        <ns0:v/>
      </ns0:c>
      <ns0:c r="E953">
        <ns0:f>IFERROR(IF(ISNUMBER($A953),IF(AND(AH!$P$10=1,AH!$P$12=1,$A953=TODAY()),AH!$P$20,IF(AH!$P$10=1,INDEX('Live History'!$H$5:$H$3004,MATCH($A953,'Live History'!$G$5:$G$3004,1)),INDEX('AH History'!$D$1:$D$18046,AH!$P$7+948))),NA()),NA())</ns0:f>
        <ns0:v/>
      </ns0:c>
      <ns0:c r="F953">
        <ns0:f>IFERROR(IF(ISNUMBER($A953),IF(AND(AH!$P$10=1,AH!$P$12=1,$A953=TODAY()),IF(AND(AH!$P$10=1,AH!$P$12=1,$A953=TODAY()),TODAY(),NA()),IF(AH!$P$10=1,INDEX('Live History'!$D$5:$D$3004,MATCH($A953,'Live History'!$D$5:$D$3004,1)),INDEX('AH History'!$E$1:$E$18046,AH!$P$7+948))),NA()),NA())</ns0:f>
        <ns0:v/>
      </ns0:c>
      <ns0:c r="G953">
        <ns0:f>IFERROR(IF(ISNUMBER($A953),IF(AND(AH!$P$10=1,AH!$P$12=1,$A953=TODAY()),IF(AND(AH!$P$10=1,AH!$P$12=1,$A953=TODAY()),TODAY(),NA()),IF(AH!$P$10=1,INDEX('Live History'!$G$5:$G$3004,MATCH($A953,'Live History'!$G$5:$G$3004,1)),INDEX('AH History'!$F$1:$F$18046,AH!$P$7+948))),NA()),NA())</ns0:f>
        <ns0:v/>
      </ns0:c>
      <ns0:c r="H953">
        <ns0:f>IFERROR(IF(AND(AH!$E$4="Bloomberg",AH!$P$10=1,ISNUMBER($A953),$A953&lt;=AH!$P$17),AH!$P$7-1+MATCH($A953,INDEX('AH History'!$A$1:$A$18046,AH!$P$7):INDEX('AH History'!$A$1:$A$18046,AH!$P$7+AH!$P$8-1),0),0),0)</ns0:f>
        <ns0:v/>
      </ns0:c>
      <ns0:c r="I953">
        <ns0:f>IF($H953=0,0,IFERROR(IF(AND(ABS($C953-INDEX('AH History'!$B$1:$B$18046,$H953))&lt;=MAX(0.005,ABS(INDEX('AH History'!$B$1:$B$18046,$H953))*0.00005),ABS($D953-INDEX('AH History'!$C$1:$C$18046,$H953))&lt;=MAX(0.005,ABS(INDEX('AH History'!$C$1:$C$18046,$H953))*0.00005),ABS($E953-INDEX('AH History'!$D$1:$D$18046,$H953))&lt;=0.00005,$F953=INDEX('AH History'!$E$1:$E$18046,$H953),$G953=INDEX('AH History'!$F$1:$F$18046,$H953)),1,-1),-1))</ns0:f>
        <ns0:v/>
      </ns0:c>
    </ns0:row>
    <ns0:row r="954">
      <ns0:c r="A954" s="215">
        <ns0:f>IF(OR(AH!$P$3=0,949+1&gt;AH!$P$11,AND(AH!$E$4&lt;&gt;"Stored",AH!$P$10&lt;&gt;1)),"",IFERROR(IF(AND(AH!$P$21=1,949+1=AH!$P$11),TODAY(),IF(AH!$P$10=1,INDEX('Live History'!$A$5:$A$3004,AH!$P$13+949),INDEX('AH History'!$A$1:$A$18046,AH!$P$7+949))),""))</ns0:f>
        <ns0:v/>
      </ns0:c>
      <ns0:c r="B954" s="219">
        <ns0:f>IFERROR(IF(AND(AH!$P$9&lt;&gt;1,$C954&gt;0,$D954&gt;0,$E954&gt;0,$F954&gt;0,$G954&gt;0,$F954&lt;=$A954,$G954&lt;=$A954,$A954-$F954&lt;=10,$A954-$G954&lt;=5),$D954*$E954/$C954-1,NA()),NA())</ns0:f>
        <ns0:v/>
      </ns0:c>
      <ns0:c r="C954">
        <ns0:f>IFERROR(IF(ISNUMBER($A954),IF(AND(AH!$P$10=1,AH!$P$12=1,$A954=TODAY()),AH!$P$19,IF(AH!$P$10=1,INDEX('Live History'!$B$5:$B$3004,AH!$P$13+949),INDEX('AH History'!$B$1:$B$18046,AH!$P$7+949))),NA()),NA())</ns0:f>
        <ns0:v/>
      </ns0:c>
      <ns0:c r="D954">
        <ns0:f>IFERROR(IF(ISNUMBER($A954),IF(AND(AH!$P$10=1,AH!$P$12=1,$A954=TODAY()),AH!$P$18,IF(AH!$P$10=1,INDEX('Live History'!$E$5:$E$3004,MATCH($A954,'Live History'!$D$5:$D$3004,1)),INDEX('AH History'!$C$1:$C$18046,AH!$P$7+949))),NA()),NA())</ns0:f>
        <ns0:v/>
      </ns0:c>
      <ns0:c r="E954">
        <ns0:f>IFERROR(IF(ISNUMBER($A954),IF(AND(AH!$P$10=1,AH!$P$12=1,$A954=TODAY()),AH!$P$20,IF(AH!$P$10=1,INDEX('Live History'!$H$5:$H$3004,MATCH($A954,'Live History'!$G$5:$G$3004,1)),INDEX('AH History'!$D$1:$D$18046,AH!$P$7+949))),NA()),NA())</ns0:f>
        <ns0:v/>
      </ns0:c>
      <ns0:c r="F954">
        <ns0:f>IFERROR(IF(ISNUMBER($A954),IF(AND(AH!$P$10=1,AH!$P$12=1,$A954=TODAY()),IF(AND(AH!$P$10=1,AH!$P$12=1,$A954=TODAY()),TODAY(),NA()),IF(AH!$P$10=1,INDEX('Live History'!$D$5:$D$3004,MATCH($A954,'Live History'!$D$5:$D$3004,1)),INDEX('AH History'!$E$1:$E$18046,AH!$P$7+949))),NA()),NA())</ns0:f>
        <ns0:v/>
      </ns0:c>
      <ns0:c r="G954">
        <ns0:f>IFERROR(IF(ISNUMBER($A954),IF(AND(AH!$P$10=1,AH!$P$12=1,$A954=TODAY()),IF(AND(AH!$P$10=1,AH!$P$12=1,$A954=TODAY()),TODAY(),NA()),IF(AH!$P$10=1,INDEX('Live History'!$G$5:$G$3004,MATCH($A954,'Live History'!$G$5:$G$3004,1)),INDEX('AH History'!$F$1:$F$18046,AH!$P$7+949))),NA()),NA())</ns0:f>
        <ns0:v/>
      </ns0:c>
      <ns0:c r="H954">
        <ns0:f>IFERROR(IF(AND(AH!$E$4="Bloomberg",AH!$P$10=1,ISNUMBER($A954),$A954&lt;=AH!$P$17),AH!$P$7-1+MATCH($A954,INDEX('AH History'!$A$1:$A$18046,AH!$P$7):INDEX('AH History'!$A$1:$A$18046,AH!$P$7+AH!$P$8-1),0),0),0)</ns0:f>
        <ns0:v/>
      </ns0:c>
      <ns0:c r="I954">
        <ns0:f>IF($H954=0,0,IFERROR(IF(AND(ABS($C954-INDEX('AH History'!$B$1:$B$18046,$H954))&lt;=MAX(0.005,ABS(INDEX('AH History'!$B$1:$B$18046,$H954))*0.00005),ABS($D954-INDEX('AH History'!$C$1:$C$18046,$H954))&lt;=MAX(0.005,ABS(INDEX('AH History'!$C$1:$C$18046,$H954))*0.00005),ABS($E954-INDEX('AH History'!$D$1:$D$18046,$H954))&lt;=0.00005,$F954=INDEX('AH History'!$E$1:$E$18046,$H954),$G954=INDEX('AH History'!$F$1:$F$18046,$H954)),1,-1),-1))</ns0:f>
        <ns0:v/>
      </ns0:c>
    </ns0:row>
    <ns0:row r="955">
      <ns0:c r="A955" s="215">
        <ns0:f>IF(OR(AH!$P$3=0,950+1&gt;AH!$P$11,AND(AH!$E$4&lt;&gt;"Stored",AH!$P$10&lt;&gt;1)),"",IFERROR(IF(AND(AH!$P$21=1,950+1=AH!$P$11),TODAY(),IF(AH!$P$10=1,INDEX('Live History'!$A$5:$A$3004,AH!$P$13+950),INDEX('AH History'!$A$1:$A$18046,AH!$P$7+950))),""))</ns0:f>
        <ns0:v/>
      </ns0:c>
      <ns0:c r="B955" s="219">
        <ns0:f>IFERROR(IF(AND(AH!$P$9&lt;&gt;1,$C955&gt;0,$D955&gt;0,$E955&gt;0,$F955&gt;0,$G955&gt;0,$F955&lt;=$A955,$G955&lt;=$A955,$A955-$F955&lt;=10,$A955-$G955&lt;=5),$D955*$E955/$C955-1,NA()),NA())</ns0:f>
        <ns0:v/>
      </ns0:c>
      <ns0:c r="C955">
        <ns0:f>IFERROR(IF(ISNUMBER($A955),IF(AND(AH!$P$10=1,AH!$P$12=1,$A955=TODAY()),AH!$P$19,IF(AH!$P$10=1,INDEX('Live History'!$B$5:$B$3004,AH!$P$13+950),INDEX('AH History'!$B$1:$B$18046,AH!$P$7+950))),NA()),NA())</ns0:f>
        <ns0:v/>
      </ns0:c>
      <ns0:c r="D955">
        <ns0:f>IFERROR(IF(ISNUMBER($A955),IF(AND(AH!$P$10=1,AH!$P$12=1,$A955=TODAY()),AH!$P$18,IF(AH!$P$10=1,INDEX('Live History'!$E$5:$E$3004,MATCH($A955,'Live History'!$D$5:$D$3004,1)),INDEX('AH History'!$C$1:$C$18046,AH!$P$7+950))),NA()),NA())</ns0:f>
        <ns0:v/>
      </ns0:c>
      <ns0:c r="E955">
        <ns0:f>IFERROR(IF(ISNUMBER($A955),IF(AND(AH!$P$10=1,AH!$P$12=1,$A955=TODAY()),AH!$P$20,IF(AH!$P$10=1,INDEX('Live History'!$H$5:$H$3004,MATCH($A955,'Live History'!$G$5:$G$3004,1)),INDEX('AH History'!$D$1:$D$18046,AH!$P$7+950))),NA()),NA())</ns0:f>
        <ns0:v/>
      </ns0:c>
      <ns0:c r="F955">
        <ns0:f>IFERROR(IF(ISNUMBER($A955),IF(AND(AH!$P$10=1,AH!$P$12=1,$A955=TODAY()),IF(AND(AH!$P$10=1,AH!$P$12=1,$A955=TODAY()),TODAY(),NA()),IF(AH!$P$10=1,INDEX('Live History'!$D$5:$D$3004,MATCH($A955,'Live History'!$D$5:$D$3004,1)),INDEX('AH History'!$E$1:$E$18046,AH!$P$7+950))),NA()),NA())</ns0:f>
        <ns0:v/>
      </ns0:c>
      <ns0:c r="G955">
        <ns0:f>IFERROR(IF(ISNUMBER($A955),IF(AND(AH!$P$10=1,AH!$P$12=1,$A955=TODAY()),IF(AND(AH!$P$10=1,AH!$P$12=1,$A955=TODAY()),TODAY(),NA()),IF(AH!$P$10=1,INDEX('Live History'!$G$5:$G$3004,MATCH($A955,'Live History'!$G$5:$G$3004,1)),INDEX('AH History'!$F$1:$F$18046,AH!$P$7+950))),NA()),NA())</ns0:f>
        <ns0:v/>
      </ns0:c>
      <ns0:c r="H955">
        <ns0:f>IFERROR(IF(AND(AH!$E$4="Bloomberg",AH!$P$10=1,ISNUMBER($A955),$A955&lt;=AH!$P$17),AH!$P$7-1+MATCH($A955,INDEX('AH History'!$A$1:$A$18046,AH!$P$7):INDEX('AH History'!$A$1:$A$18046,AH!$P$7+AH!$P$8-1),0),0),0)</ns0:f>
        <ns0:v/>
      </ns0:c>
      <ns0:c r="I955">
        <ns0:f>IF($H955=0,0,IFERROR(IF(AND(ABS($C955-INDEX('AH History'!$B$1:$B$18046,$H955))&lt;=MAX(0.005,ABS(INDEX('AH History'!$B$1:$B$18046,$H955))*0.00005),ABS($D955-INDEX('AH History'!$C$1:$C$18046,$H955))&lt;=MAX(0.005,ABS(INDEX('AH History'!$C$1:$C$18046,$H955))*0.00005),ABS($E955-INDEX('AH History'!$D$1:$D$18046,$H955))&lt;=0.00005,$F955=INDEX('AH History'!$E$1:$E$18046,$H955),$G955=INDEX('AH History'!$F$1:$F$18046,$H955)),1,-1),-1))</ns0:f>
        <ns0:v/>
      </ns0:c>
    </ns0:row>
    <ns0:row r="956">
      <ns0:c r="A956" s="215">
        <ns0:f>IF(OR(AH!$P$3=0,951+1&gt;AH!$P$11,AND(AH!$E$4&lt;&gt;"Stored",AH!$P$10&lt;&gt;1)),"",IFERROR(IF(AND(AH!$P$21=1,951+1=AH!$P$11),TODAY(),IF(AH!$P$10=1,INDEX('Live History'!$A$5:$A$3004,AH!$P$13+951),INDEX('AH History'!$A$1:$A$18046,AH!$P$7+951))),""))</ns0:f>
        <ns0:v/>
      </ns0:c>
      <ns0:c r="B956" s="219">
        <ns0:f>IFERROR(IF(AND(AH!$P$9&lt;&gt;1,$C956&gt;0,$D956&gt;0,$E956&gt;0,$F956&gt;0,$G956&gt;0,$F956&lt;=$A956,$G956&lt;=$A956,$A956-$F956&lt;=10,$A956-$G956&lt;=5),$D956*$E956/$C956-1,NA()),NA())</ns0:f>
        <ns0:v/>
      </ns0:c>
      <ns0:c r="C956">
        <ns0:f>IFERROR(IF(ISNUMBER($A956),IF(AND(AH!$P$10=1,AH!$P$12=1,$A956=TODAY()),AH!$P$19,IF(AH!$P$10=1,INDEX('Live History'!$B$5:$B$3004,AH!$P$13+951),INDEX('AH History'!$B$1:$B$18046,AH!$P$7+951))),NA()),NA())</ns0:f>
        <ns0:v/>
      </ns0:c>
      <ns0:c r="D956">
        <ns0:f>IFERROR(IF(ISNUMBER($A956),IF(AND(AH!$P$10=1,AH!$P$12=1,$A956=TODAY()),AH!$P$18,IF(AH!$P$10=1,INDEX('Live History'!$E$5:$E$3004,MATCH($A956,'Live History'!$D$5:$D$3004,1)),INDEX('AH History'!$C$1:$C$18046,AH!$P$7+951))),NA()),NA())</ns0:f>
        <ns0:v/>
      </ns0:c>
      <ns0:c r="E956">
        <ns0:f>IFERROR(IF(ISNUMBER($A956),IF(AND(AH!$P$10=1,AH!$P$12=1,$A956=TODAY()),AH!$P$20,IF(AH!$P$10=1,INDEX('Live History'!$H$5:$H$3004,MATCH($A956,'Live History'!$G$5:$G$3004,1)),INDEX('AH History'!$D$1:$D$18046,AH!$P$7+951))),NA()),NA())</ns0:f>
        <ns0:v/>
      </ns0:c>
      <ns0:c r="F956">
        <ns0:f>IFERROR(IF(ISNUMBER($A956),IF(AND(AH!$P$10=1,AH!$P$12=1,$A956=TODAY()),IF(AND(AH!$P$10=1,AH!$P$12=1,$A956=TODAY()),TODAY(),NA()),IF(AH!$P$10=1,INDEX('Live History'!$D$5:$D$3004,MATCH($A956,'Live History'!$D$5:$D$3004,1)),INDEX('AH History'!$E$1:$E$18046,AH!$P$7+951))),NA()),NA())</ns0:f>
        <ns0:v/>
      </ns0:c>
      <ns0:c r="G956">
        <ns0:f>IFERROR(IF(ISNUMBER($A956),IF(AND(AH!$P$10=1,AH!$P$12=1,$A956=TODAY()),IF(AND(AH!$P$10=1,AH!$P$12=1,$A956=TODAY()),TODAY(),NA()),IF(AH!$P$10=1,INDEX('Live History'!$G$5:$G$3004,MATCH($A956,'Live History'!$G$5:$G$3004,1)),INDEX('AH History'!$F$1:$F$18046,AH!$P$7+951))),NA()),NA())</ns0:f>
        <ns0:v/>
      </ns0:c>
      <ns0:c r="H956">
        <ns0:f>IFERROR(IF(AND(AH!$E$4="Bloomberg",AH!$P$10=1,ISNUMBER($A956),$A956&lt;=AH!$P$17),AH!$P$7-1+MATCH($A956,INDEX('AH History'!$A$1:$A$18046,AH!$P$7):INDEX('AH History'!$A$1:$A$18046,AH!$P$7+AH!$P$8-1),0),0),0)</ns0:f>
        <ns0:v/>
      </ns0:c>
      <ns0:c r="I956">
        <ns0:f>IF($H956=0,0,IFERROR(IF(AND(ABS($C956-INDEX('AH History'!$B$1:$B$18046,$H956))&lt;=MAX(0.005,ABS(INDEX('AH History'!$B$1:$B$18046,$H956))*0.00005),ABS($D956-INDEX('AH History'!$C$1:$C$18046,$H956))&lt;=MAX(0.005,ABS(INDEX('AH History'!$C$1:$C$18046,$H956))*0.00005),ABS($E956-INDEX('AH History'!$D$1:$D$18046,$H956))&lt;=0.00005,$F956=INDEX('AH History'!$E$1:$E$18046,$H956),$G956=INDEX('AH History'!$F$1:$F$18046,$H956)),1,-1),-1))</ns0:f>
        <ns0:v/>
      </ns0:c>
    </ns0:row>
    <ns0:row r="957">
      <ns0:c r="A957" s="215">
        <ns0:f>IF(OR(AH!$P$3=0,952+1&gt;AH!$P$11,AND(AH!$E$4&lt;&gt;"Stored",AH!$P$10&lt;&gt;1)),"",IFERROR(IF(AND(AH!$P$21=1,952+1=AH!$P$11),TODAY(),IF(AH!$P$10=1,INDEX('Live History'!$A$5:$A$3004,AH!$P$13+952),INDEX('AH History'!$A$1:$A$18046,AH!$P$7+952))),""))</ns0:f>
        <ns0:v/>
      </ns0:c>
      <ns0:c r="B957" s="219">
        <ns0:f>IFERROR(IF(AND(AH!$P$9&lt;&gt;1,$C957&gt;0,$D957&gt;0,$E957&gt;0,$F957&gt;0,$G957&gt;0,$F957&lt;=$A957,$G957&lt;=$A957,$A957-$F957&lt;=10,$A957-$G957&lt;=5),$D957*$E957/$C957-1,NA()),NA())</ns0:f>
        <ns0:v/>
      </ns0:c>
      <ns0:c r="C957">
        <ns0:f>IFERROR(IF(ISNUMBER($A957),IF(AND(AH!$P$10=1,AH!$P$12=1,$A957=TODAY()),AH!$P$19,IF(AH!$P$10=1,INDEX('Live History'!$B$5:$B$3004,AH!$P$13+952),INDEX('AH History'!$B$1:$B$18046,AH!$P$7+952))),NA()),NA())</ns0:f>
        <ns0:v/>
      </ns0:c>
      <ns0:c r="D957">
        <ns0:f>IFERROR(IF(ISNUMBER($A957),IF(AND(AH!$P$10=1,AH!$P$12=1,$A957=TODAY()),AH!$P$18,IF(AH!$P$10=1,INDEX('Live History'!$E$5:$E$3004,MATCH($A957,'Live History'!$D$5:$D$3004,1)),INDEX('AH History'!$C$1:$C$18046,AH!$P$7+952))),NA()),NA())</ns0:f>
        <ns0:v/>
      </ns0:c>
      <ns0:c r="E957">
        <ns0:f>IFERROR(IF(ISNUMBER($A957),IF(AND(AH!$P$10=1,AH!$P$12=1,$A957=TODAY()),AH!$P$20,IF(AH!$P$10=1,INDEX('Live History'!$H$5:$H$3004,MATCH($A957,'Live History'!$G$5:$G$3004,1)),INDEX('AH History'!$D$1:$D$18046,AH!$P$7+952))),NA()),NA())</ns0:f>
        <ns0:v/>
      </ns0:c>
      <ns0:c r="F957">
        <ns0:f>IFERROR(IF(ISNUMBER($A957),IF(AND(AH!$P$10=1,AH!$P$12=1,$A957=TODAY()),IF(AND(AH!$P$10=1,AH!$P$12=1,$A957=TODAY()),TODAY(),NA()),IF(AH!$P$10=1,INDEX('Live History'!$D$5:$D$3004,MATCH($A957,'Live History'!$D$5:$D$3004,1)),INDEX('AH History'!$E$1:$E$18046,AH!$P$7+952))),NA()),NA())</ns0:f>
        <ns0:v/>
      </ns0:c>
      <ns0:c r="G957">
        <ns0:f>IFERROR(IF(ISNUMBER($A957),IF(AND(AH!$P$10=1,AH!$P$12=1,$A957=TODAY()),IF(AND(AH!$P$10=1,AH!$P$12=1,$A957=TODAY()),TODAY(),NA()),IF(AH!$P$10=1,INDEX('Live History'!$G$5:$G$3004,MATCH($A957,'Live History'!$G$5:$G$3004,1)),INDEX('AH History'!$F$1:$F$18046,AH!$P$7+952))),NA()),NA())</ns0:f>
        <ns0:v/>
      </ns0:c>
      <ns0:c r="H957">
        <ns0:f>IFERROR(IF(AND(AH!$E$4="Bloomberg",AH!$P$10=1,ISNUMBER($A957),$A957&lt;=AH!$P$17),AH!$P$7-1+MATCH($A957,INDEX('AH History'!$A$1:$A$18046,AH!$P$7):INDEX('AH History'!$A$1:$A$18046,AH!$P$7+AH!$P$8-1),0),0),0)</ns0:f>
        <ns0:v/>
      </ns0:c>
      <ns0:c r="I957">
        <ns0:f>IF($H957=0,0,IFERROR(IF(AND(ABS($C957-INDEX('AH History'!$B$1:$B$18046,$H957))&lt;=MAX(0.005,ABS(INDEX('AH History'!$B$1:$B$18046,$H957))*0.00005),ABS($D957-INDEX('AH History'!$C$1:$C$18046,$H957))&lt;=MAX(0.005,ABS(INDEX('AH History'!$C$1:$C$18046,$H957))*0.00005),ABS($E957-INDEX('AH History'!$D$1:$D$18046,$H957))&lt;=0.00005,$F957=INDEX('AH History'!$E$1:$E$18046,$H957),$G957=INDEX('AH History'!$F$1:$F$18046,$H957)),1,-1),-1))</ns0:f>
        <ns0:v/>
      </ns0:c>
    </ns0:row>
    <ns0:row r="958">
      <ns0:c r="A958" s="215">
        <ns0:f>IF(OR(AH!$P$3=0,953+1&gt;AH!$P$11,AND(AH!$E$4&lt;&gt;"Stored",AH!$P$10&lt;&gt;1)),"",IFERROR(IF(AND(AH!$P$21=1,953+1=AH!$P$11),TODAY(),IF(AH!$P$10=1,INDEX('Live History'!$A$5:$A$3004,AH!$P$13+953),INDEX('AH History'!$A$1:$A$18046,AH!$P$7+953))),""))</ns0:f>
        <ns0:v/>
      </ns0:c>
      <ns0:c r="B958" s="219">
        <ns0:f>IFERROR(IF(AND(AH!$P$9&lt;&gt;1,$C958&gt;0,$D958&gt;0,$E958&gt;0,$F958&gt;0,$G958&gt;0,$F958&lt;=$A958,$G958&lt;=$A958,$A958-$F958&lt;=10,$A958-$G958&lt;=5),$D958*$E958/$C958-1,NA()),NA())</ns0:f>
        <ns0:v/>
      </ns0:c>
      <ns0:c r="C958">
        <ns0:f>IFERROR(IF(ISNUMBER($A958),IF(AND(AH!$P$10=1,AH!$P$12=1,$A958=TODAY()),AH!$P$19,IF(AH!$P$10=1,INDEX('Live History'!$B$5:$B$3004,AH!$P$13+953),INDEX('AH History'!$B$1:$B$18046,AH!$P$7+953))),NA()),NA())</ns0:f>
        <ns0:v/>
      </ns0:c>
      <ns0:c r="D958">
        <ns0:f>IFERROR(IF(ISNUMBER($A958),IF(AND(AH!$P$10=1,AH!$P$12=1,$A958=TODAY()),AH!$P$18,IF(AH!$P$10=1,INDEX('Live History'!$E$5:$E$3004,MATCH($A958,'Live History'!$D$5:$D$3004,1)),INDEX('AH History'!$C$1:$C$18046,AH!$P$7+953))),NA()),NA())</ns0:f>
        <ns0:v/>
      </ns0:c>
      <ns0:c r="E958">
        <ns0:f>IFERROR(IF(ISNUMBER($A958),IF(AND(AH!$P$10=1,AH!$P$12=1,$A958=TODAY()),AH!$P$20,IF(AH!$P$10=1,INDEX('Live History'!$H$5:$H$3004,MATCH($A958,'Live History'!$G$5:$G$3004,1)),INDEX('AH History'!$D$1:$D$18046,AH!$P$7+953))),NA()),NA())</ns0:f>
        <ns0:v/>
      </ns0:c>
      <ns0:c r="F958">
        <ns0:f>IFERROR(IF(ISNUMBER($A958),IF(AND(AH!$P$10=1,AH!$P$12=1,$A958=TODAY()),IF(AND(AH!$P$10=1,AH!$P$12=1,$A958=TODAY()),TODAY(),NA()),IF(AH!$P$10=1,INDEX('Live History'!$D$5:$D$3004,MATCH($A958,'Live History'!$D$5:$D$3004,1)),INDEX('AH History'!$E$1:$E$18046,AH!$P$7+953))),NA()),NA())</ns0:f>
        <ns0:v/>
      </ns0:c>
      <ns0:c r="G958">
        <ns0:f>IFERROR(IF(ISNUMBER($A958),IF(AND(AH!$P$10=1,AH!$P$12=1,$A958=TODAY()),IF(AND(AH!$P$10=1,AH!$P$12=1,$A958=TODAY()),TODAY(),NA()),IF(AH!$P$10=1,INDEX('Live History'!$G$5:$G$3004,MATCH($A958,'Live History'!$G$5:$G$3004,1)),INDEX('AH History'!$F$1:$F$18046,AH!$P$7+953))),NA()),NA())</ns0:f>
        <ns0:v/>
      </ns0:c>
      <ns0:c r="H958">
        <ns0:f>IFERROR(IF(AND(AH!$E$4="Bloomberg",AH!$P$10=1,ISNUMBER($A958),$A958&lt;=AH!$P$17),AH!$P$7-1+MATCH($A958,INDEX('AH History'!$A$1:$A$18046,AH!$P$7):INDEX('AH History'!$A$1:$A$18046,AH!$P$7+AH!$P$8-1),0),0),0)</ns0:f>
        <ns0:v/>
      </ns0:c>
      <ns0:c r="I958">
        <ns0:f>IF($H958=0,0,IFERROR(IF(AND(ABS($C958-INDEX('AH History'!$B$1:$B$18046,$H958))&lt;=MAX(0.005,ABS(INDEX('AH History'!$B$1:$B$18046,$H958))*0.00005),ABS($D958-INDEX('AH History'!$C$1:$C$18046,$H958))&lt;=MAX(0.005,ABS(INDEX('AH History'!$C$1:$C$18046,$H958))*0.00005),ABS($E958-INDEX('AH History'!$D$1:$D$18046,$H958))&lt;=0.00005,$F958=INDEX('AH History'!$E$1:$E$18046,$H958),$G958=INDEX('AH History'!$F$1:$F$18046,$H958)),1,-1),-1))</ns0:f>
        <ns0:v/>
      </ns0:c>
    </ns0:row>
    <ns0:row r="959">
      <ns0:c r="A959" s="215">
        <ns0:f>IF(OR(AH!$P$3=0,954+1&gt;AH!$P$11,AND(AH!$E$4&lt;&gt;"Stored",AH!$P$10&lt;&gt;1)),"",IFERROR(IF(AND(AH!$P$21=1,954+1=AH!$P$11),TODAY(),IF(AH!$P$10=1,INDEX('Live History'!$A$5:$A$3004,AH!$P$13+954),INDEX('AH History'!$A$1:$A$18046,AH!$P$7+954))),""))</ns0:f>
        <ns0:v/>
      </ns0:c>
      <ns0:c r="B959" s="219">
        <ns0:f>IFERROR(IF(AND(AH!$P$9&lt;&gt;1,$C959&gt;0,$D959&gt;0,$E959&gt;0,$F959&gt;0,$G959&gt;0,$F959&lt;=$A959,$G959&lt;=$A959,$A959-$F959&lt;=10,$A959-$G959&lt;=5),$D959*$E959/$C959-1,NA()),NA())</ns0:f>
        <ns0:v/>
      </ns0:c>
      <ns0:c r="C959">
        <ns0:f>IFERROR(IF(ISNUMBER($A959),IF(AND(AH!$P$10=1,AH!$P$12=1,$A959=TODAY()),AH!$P$19,IF(AH!$P$10=1,INDEX('Live History'!$B$5:$B$3004,AH!$P$13+954),INDEX('AH History'!$B$1:$B$18046,AH!$P$7+954))),NA()),NA())</ns0:f>
        <ns0:v/>
      </ns0:c>
      <ns0:c r="D959">
        <ns0:f>IFERROR(IF(ISNUMBER($A959),IF(AND(AH!$P$10=1,AH!$P$12=1,$A959=TODAY()),AH!$P$18,IF(AH!$P$10=1,INDEX('Live History'!$E$5:$E$3004,MATCH($A959,'Live History'!$D$5:$D$3004,1)),INDEX('AH History'!$C$1:$C$18046,AH!$P$7+954))),NA()),NA())</ns0:f>
        <ns0:v/>
      </ns0:c>
      <ns0:c r="E959">
        <ns0:f>IFERROR(IF(ISNUMBER($A959),IF(AND(AH!$P$10=1,AH!$P$12=1,$A959=TODAY()),AH!$P$20,IF(AH!$P$10=1,INDEX('Live History'!$H$5:$H$3004,MATCH($A959,'Live History'!$G$5:$G$3004,1)),INDEX('AH History'!$D$1:$D$18046,AH!$P$7+954))),NA()),NA())</ns0:f>
        <ns0:v/>
      </ns0:c>
      <ns0:c r="F959">
        <ns0:f>IFERROR(IF(ISNUMBER($A959),IF(AND(AH!$P$10=1,AH!$P$12=1,$A959=TODAY()),IF(AND(AH!$P$10=1,AH!$P$12=1,$A959=TODAY()),TODAY(),NA()),IF(AH!$P$10=1,INDEX('Live History'!$D$5:$D$3004,MATCH($A959,'Live History'!$D$5:$D$3004,1)),INDEX('AH History'!$E$1:$E$18046,AH!$P$7+954))),NA()),NA())</ns0:f>
        <ns0:v/>
      </ns0:c>
      <ns0:c r="G959">
        <ns0:f>IFERROR(IF(ISNUMBER($A959),IF(AND(AH!$P$10=1,AH!$P$12=1,$A959=TODAY()),IF(AND(AH!$P$10=1,AH!$P$12=1,$A959=TODAY()),TODAY(),NA()),IF(AH!$P$10=1,INDEX('Live History'!$G$5:$G$3004,MATCH($A959,'Live History'!$G$5:$G$3004,1)),INDEX('AH History'!$F$1:$F$18046,AH!$P$7+954))),NA()),NA())</ns0:f>
        <ns0:v/>
      </ns0:c>
      <ns0:c r="H959">
        <ns0:f>IFERROR(IF(AND(AH!$E$4="Bloomberg",AH!$P$10=1,ISNUMBER($A959),$A959&lt;=AH!$P$17),AH!$P$7-1+MATCH($A959,INDEX('AH History'!$A$1:$A$18046,AH!$P$7):INDEX('AH History'!$A$1:$A$18046,AH!$P$7+AH!$P$8-1),0),0),0)</ns0:f>
        <ns0:v/>
      </ns0:c>
      <ns0:c r="I959">
        <ns0:f>IF($H959=0,0,IFERROR(IF(AND(ABS($C959-INDEX('AH History'!$B$1:$B$18046,$H959))&lt;=MAX(0.005,ABS(INDEX('AH History'!$B$1:$B$18046,$H959))*0.00005),ABS($D959-INDEX('AH History'!$C$1:$C$18046,$H959))&lt;=MAX(0.005,ABS(INDEX('AH History'!$C$1:$C$18046,$H959))*0.00005),ABS($E959-INDEX('AH History'!$D$1:$D$18046,$H959))&lt;=0.00005,$F959=INDEX('AH History'!$E$1:$E$18046,$H959),$G959=INDEX('AH History'!$F$1:$F$18046,$H959)),1,-1),-1))</ns0:f>
        <ns0:v/>
      </ns0:c>
    </ns0:row>
    <ns0:row r="960">
      <ns0:c r="A960" s="215">
        <ns0:f>IF(OR(AH!$P$3=0,955+1&gt;AH!$P$11,AND(AH!$E$4&lt;&gt;"Stored",AH!$P$10&lt;&gt;1)),"",IFERROR(IF(AND(AH!$P$21=1,955+1=AH!$P$11),TODAY(),IF(AH!$P$10=1,INDEX('Live History'!$A$5:$A$3004,AH!$P$13+955),INDEX('AH History'!$A$1:$A$18046,AH!$P$7+955))),""))</ns0:f>
        <ns0:v/>
      </ns0:c>
      <ns0:c r="B960" s="219">
        <ns0:f>IFERROR(IF(AND(AH!$P$9&lt;&gt;1,$C960&gt;0,$D960&gt;0,$E960&gt;0,$F960&gt;0,$G960&gt;0,$F960&lt;=$A960,$G960&lt;=$A960,$A960-$F960&lt;=10,$A960-$G960&lt;=5),$D960*$E960/$C960-1,NA()),NA())</ns0:f>
        <ns0:v/>
      </ns0:c>
      <ns0:c r="C960">
        <ns0:f>IFERROR(IF(ISNUMBER($A960),IF(AND(AH!$P$10=1,AH!$P$12=1,$A960=TODAY()),AH!$P$19,IF(AH!$P$10=1,INDEX('Live History'!$B$5:$B$3004,AH!$P$13+955),INDEX('AH History'!$B$1:$B$18046,AH!$P$7+955))),NA()),NA())</ns0:f>
        <ns0:v/>
      </ns0:c>
      <ns0:c r="D960">
        <ns0:f>IFERROR(IF(ISNUMBER($A960),IF(AND(AH!$P$10=1,AH!$P$12=1,$A960=TODAY()),AH!$P$18,IF(AH!$P$10=1,INDEX('Live History'!$E$5:$E$3004,MATCH($A960,'Live History'!$D$5:$D$3004,1)),INDEX('AH History'!$C$1:$C$18046,AH!$P$7+955))),NA()),NA())</ns0:f>
        <ns0:v/>
      </ns0:c>
      <ns0:c r="E960">
        <ns0:f>IFERROR(IF(ISNUMBER($A960),IF(AND(AH!$P$10=1,AH!$P$12=1,$A960=TODAY()),AH!$P$20,IF(AH!$P$10=1,INDEX('Live History'!$H$5:$H$3004,MATCH($A960,'Live History'!$G$5:$G$3004,1)),INDEX('AH History'!$D$1:$D$18046,AH!$P$7+955))),NA()),NA())</ns0:f>
        <ns0:v/>
      </ns0:c>
      <ns0:c r="F960">
        <ns0:f>IFERROR(IF(ISNUMBER($A960),IF(AND(AH!$P$10=1,AH!$P$12=1,$A960=TODAY()),IF(AND(AH!$P$10=1,AH!$P$12=1,$A960=TODAY()),TODAY(),NA()),IF(AH!$P$10=1,INDEX('Live History'!$D$5:$D$3004,MATCH($A960,'Live History'!$D$5:$D$3004,1)),INDEX('AH History'!$E$1:$E$18046,AH!$P$7+955))),NA()),NA())</ns0:f>
        <ns0:v/>
      </ns0:c>
      <ns0:c r="G960">
        <ns0:f>IFERROR(IF(ISNUMBER($A960),IF(AND(AH!$P$10=1,AH!$P$12=1,$A960=TODAY()),IF(AND(AH!$P$10=1,AH!$P$12=1,$A960=TODAY()),TODAY(),NA()),IF(AH!$P$10=1,INDEX('Live History'!$G$5:$G$3004,MATCH($A960,'Live History'!$G$5:$G$3004,1)),INDEX('AH History'!$F$1:$F$18046,AH!$P$7+955))),NA()),NA())</ns0:f>
        <ns0:v/>
      </ns0:c>
      <ns0:c r="H960">
        <ns0:f>IFERROR(IF(AND(AH!$E$4="Bloomberg",AH!$P$10=1,ISNUMBER($A960),$A960&lt;=AH!$P$17),AH!$P$7-1+MATCH($A960,INDEX('AH History'!$A$1:$A$18046,AH!$P$7):INDEX('AH History'!$A$1:$A$18046,AH!$P$7+AH!$P$8-1),0),0),0)</ns0:f>
        <ns0:v/>
      </ns0:c>
      <ns0:c r="I960">
        <ns0:f>IF($H960=0,0,IFERROR(IF(AND(ABS($C960-INDEX('AH History'!$B$1:$B$18046,$H960))&lt;=MAX(0.005,ABS(INDEX('AH History'!$B$1:$B$18046,$H960))*0.00005),ABS($D960-INDEX('AH History'!$C$1:$C$18046,$H960))&lt;=MAX(0.005,ABS(INDEX('AH History'!$C$1:$C$18046,$H960))*0.00005),ABS($E960-INDEX('AH History'!$D$1:$D$18046,$H960))&lt;=0.00005,$F960=INDEX('AH History'!$E$1:$E$18046,$H960),$G960=INDEX('AH History'!$F$1:$F$18046,$H960)),1,-1),-1))</ns0:f>
        <ns0:v/>
      </ns0:c>
    </ns0:row>
    <ns0:row r="961">
      <ns0:c r="A961" s="215">
        <ns0:f>IF(OR(AH!$P$3=0,956+1&gt;AH!$P$11,AND(AH!$E$4&lt;&gt;"Stored",AH!$P$10&lt;&gt;1)),"",IFERROR(IF(AND(AH!$P$21=1,956+1=AH!$P$11),TODAY(),IF(AH!$P$10=1,INDEX('Live History'!$A$5:$A$3004,AH!$P$13+956),INDEX('AH History'!$A$1:$A$18046,AH!$P$7+956))),""))</ns0:f>
        <ns0:v/>
      </ns0:c>
      <ns0:c r="B961" s="219">
        <ns0:f>IFERROR(IF(AND(AH!$P$9&lt;&gt;1,$C961&gt;0,$D961&gt;0,$E961&gt;0,$F961&gt;0,$G961&gt;0,$F961&lt;=$A961,$G961&lt;=$A961,$A961-$F961&lt;=10,$A961-$G961&lt;=5),$D961*$E961/$C961-1,NA()),NA())</ns0:f>
        <ns0:v/>
      </ns0:c>
      <ns0:c r="C961">
        <ns0:f>IFERROR(IF(ISNUMBER($A961),IF(AND(AH!$P$10=1,AH!$P$12=1,$A961=TODAY()),AH!$P$19,IF(AH!$P$10=1,INDEX('Live History'!$B$5:$B$3004,AH!$P$13+956),INDEX('AH History'!$B$1:$B$18046,AH!$P$7+956))),NA()),NA())</ns0:f>
        <ns0:v/>
      </ns0:c>
      <ns0:c r="D961">
        <ns0:f>IFERROR(IF(ISNUMBER($A961),IF(AND(AH!$P$10=1,AH!$P$12=1,$A961=TODAY()),AH!$P$18,IF(AH!$P$10=1,INDEX('Live History'!$E$5:$E$3004,MATCH($A961,'Live History'!$D$5:$D$3004,1)),INDEX('AH History'!$C$1:$C$18046,AH!$P$7+956))),NA()),NA())</ns0:f>
        <ns0:v/>
      </ns0:c>
      <ns0:c r="E961">
        <ns0:f>IFERROR(IF(ISNUMBER($A961),IF(AND(AH!$P$10=1,AH!$P$12=1,$A961=TODAY()),AH!$P$20,IF(AH!$P$10=1,INDEX('Live History'!$H$5:$H$3004,MATCH($A961,'Live History'!$G$5:$G$3004,1)),INDEX('AH History'!$D$1:$D$18046,AH!$P$7+956))),NA()),NA())</ns0:f>
        <ns0:v/>
      </ns0:c>
      <ns0:c r="F961">
        <ns0:f>IFERROR(IF(ISNUMBER($A961),IF(AND(AH!$P$10=1,AH!$P$12=1,$A961=TODAY()),IF(AND(AH!$P$10=1,AH!$P$12=1,$A961=TODAY()),TODAY(),NA()),IF(AH!$P$10=1,INDEX('Live History'!$D$5:$D$3004,MATCH($A961,'Live History'!$D$5:$D$3004,1)),INDEX('AH History'!$E$1:$E$18046,AH!$P$7+956))),NA()),NA())</ns0:f>
        <ns0:v/>
      </ns0:c>
      <ns0:c r="G961">
        <ns0:f>IFERROR(IF(ISNUMBER($A961),IF(AND(AH!$P$10=1,AH!$P$12=1,$A961=TODAY()),IF(AND(AH!$P$10=1,AH!$P$12=1,$A961=TODAY()),TODAY(),NA()),IF(AH!$P$10=1,INDEX('Live History'!$G$5:$G$3004,MATCH($A961,'Live History'!$G$5:$G$3004,1)),INDEX('AH History'!$F$1:$F$18046,AH!$P$7+956))),NA()),NA())</ns0:f>
        <ns0:v/>
      </ns0:c>
      <ns0:c r="H961">
        <ns0:f>IFERROR(IF(AND(AH!$E$4="Bloomberg",AH!$P$10=1,ISNUMBER($A961),$A961&lt;=AH!$P$17),AH!$P$7-1+MATCH($A961,INDEX('AH History'!$A$1:$A$18046,AH!$P$7):INDEX('AH History'!$A$1:$A$18046,AH!$P$7+AH!$P$8-1),0),0),0)</ns0:f>
        <ns0:v/>
      </ns0:c>
      <ns0:c r="I961">
        <ns0:f>IF($H961=0,0,IFERROR(IF(AND(ABS($C961-INDEX('AH History'!$B$1:$B$18046,$H961))&lt;=MAX(0.005,ABS(INDEX('AH History'!$B$1:$B$18046,$H961))*0.00005),ABS($D961-INDEX('AH History'!$C$1:$C$18046,$H961))&lt;=MAX(0.005,ABS(INDEX('AH History'!$C$1:$C$18046,$H961))*0.00005),ABS($E961-INDEX('AH History'!$D$1:$D$18046,$H961))&lt;=0.00005,$F961=INDEX('AH History'!$E$1:$E$18046,$H961),$G961=INDEX('AH History'!$F$1:$F$18046,$H961)),1,-1),-1))</ns0:f>
        <ns0:v/>
      </ns0:c>
    </ns0:row>
    <ns0:row r="962">
      <ns0:c r="A962" s="215">
        <ns0:f>IF(OR(AH!$P$3=0,957+1&gt;AH!$P$11,AND(AH!$E$4&lt;&gt;"Stored",AH!$P$10&lt;&gt;1)),"",IFERROR(IF(AND(AH!$P$21=1,957+1=AH!$P$11),TODAY(),IF(AH!$P$10=1,INDEX('Live History'!$A$5:$A$3004,AH!$P$13+957),INDEX('AH History'!$A$1:$A$18046,AH!$P$7+957))),""))</ns0:f>
        <ns0:v/>
      </ns0:c>
      <ns0:c r="B962" s="219">
        <ns0:f>IFERROR(IF(AND(AH!$P$9&lt;&gt;1,$C962&gt;0,$D962&gt;0,$E962&gt;0,$F962&gt;0,$G962&gt;0,$F962&lt;=$A962,$G962&lt;=$A962,$A962-$F962&lt;=10,$A962-$G962&lt;=5),$D962*$E962/$C962-1,NA()),NA())</ns0:f>
        <ns0:v/>
      </ns0:c>
      <ns0:c r="C962">
        <ns0:f>IFERROR(IF(ISNUMBER($A962),IF(AND(AH!$P$10=1,AH!$P$12=1,$A962=TODAY()),AH!$P$19,IF(AH!$P$10=1,INDEX('Live History'!$B$5:$B$3004,AH!$P$13+957),INDEX('AH History'!$B$1:$B$18046,AH!$P$7+957))),NA()),NA())</ns0:f>
        <ns0:v/>
      </ns0:c>
      <ns0:c r="D962">
        <ns0:f>IFERROR(IF(ISNUMBER($A962),IF(AND(AH!$P$10=1,AH!$P$12=1,$A962=TODAY()),AH!$P$18,IF(AH!$P$10=1,INDEX('Live History'!$E$5:$E$3004,MATCH($A962,'Live History'!$D$5:$D$3004,1)),INDEX('AH History'!$C$1:$C$18046,AH!$P$7+957))),NA()),NA())</ns0:f>
        <ns0:v/>
      </ns0:c>
      <ns0:c r="E962">
        <ns0:f>IFERROR(IF(ISNUMBER($A962),IF(AND(AH!$P$10=1,AH!$P$12=1,$A962=TODAY()),AH!$P$20,IF(AH!$P$10=1,INDEX('Live History'!$H$5:$H$3004,MATCH($A962,'Live History'!$G$5:$G$3004,1)),INDEX('AH History'!$D$1:$D$18046,AH!$P$7+957))),NA()),NA())</ns0:f>
        <ns0:v/>
      </ns0:c>
      <ns0:c r="F962">
        <ns0:f>IFERROR(IF(ISNUMBER($A962),IF(AND(AH!$P$10=1,AH!$P$12=1,$A962=TODAY()),IF(AND(AH!$P$10=1,AH!$P$12=1,$A962=TODAY()),TODAY(),NA()),IF(AH!$P$10=1,INDEX('Live History'!$D$5:$D$3004,MATCH($A962,'Live History'!$D$5:$D$3004,1)),INDEX('AH History'!$E$1:$E$18046,AH!$P$7+957))),NA()),NA())</ns0:f>
        <ns0:v/>
      </ns0:c>
      <ns0:c r="G962">
        <ns0:f>IFERROR(IF(ISNUMBER($A962),IF(AND(AH!$P$10=1,AH!$P$12=1,$A962=TODAY()),IF(AND(AH!$P$10=1,AH!$P$12=1,$A962=TODAY()),TODAY(),NA()),IF(AH!$P$10=1,INDEX('Live History'!$G$5:$G$3004,MATCH($A962,'Live History'!$G$5:$G$3004,1)),INDEX('AH History'!$F$1:$F$18046,AH!$P$7+957))),NA()),NA())</ns0:f>
        <ns0:v/>
      </ns0:c>
      <ns0:c r="H962">
        <ns0:f>IFERROR(IF(AND(AH!$E$4="Bloomberg",AH!$P$10=1,ISNUMBER($A962),$A962&lt;=AH!$P$17),AH!$P$7-1+MATCH($A962,INDEX('AH History'!$A$1:$A$18046,AH!$P$7):INDEX('AH History'!$A$1:$A$18046,AH!$P$7+AH!$P$8-1),0),0),0)</ns0:f>
        <ns0:v/>
      </ns0:c>
      <ns0:c r="I962">
        <ns0:f>IF($H962=0,0,IFERROR(IF(AND(ABS($C962-INDEX('AH History'!$B$1:$B$18046,$H962))&lt;=MAX(0.005,ABS(INDEX('AH History'!$B$1:$B$18046,$H962))*0.00005),ABS($D962-INDEX('AH History'!$C$1:$C$18046,$H962))&lt;=MAX(0.005,ABS(INDEX('AH History'!$C$1:$C$18046,$H962))*0.00005),ABS($E962-INDEX('AH History'!$D$1:$D$18046,$H962))&lt;=0.00005,$F962=INDEX('AH History'!$E$1:$E$18046,$H962),$G962=INDEX('AH History'!$F$1:$F$18046,$H962)),1,-1),-1))</ns0:f>
        <ns0:v/>
      </ns0:c>
    </ns0:row>
    <ns0:row r="963">
      <ns0:c r="A963" s="215">
        <ns0:f>IF(OR(AH!$P$3=0,958+1&gt;AH!$P$11,AND(AH!$E$4&lt;&gt;"Stored",AH!$P$10&lt;&gt;1)),"",IFERROR(IF(AND(AH!$P$21=1,958+1=AH!$P$11),TODAY(),IF(AH!$P$10=1,INDEX('Live History'!$A$5:$A$3004,AH!$P$13+958),INDEX('AH History'!$A$1:$A$18046,AH!$P$7+958))),""))</ns0:f>
        <ns0:v/>
      </ns0:c>
      <ns0:c r="B963" s="219">
        <ns0:f>IFERROR(IF(AND(AH!$P$9&lt;&gt;1,$C963&gt;0,$D963&gt;0,$E963&gt;0,$F963&gt;0,$G963&gt;0,$F963&lt;=$A963,$G963&lt;=$A963,$A963-$F963&lt;=10,$A963-$G963&lt;=5),$D963*$E963/$C963-1,NA()),NA())</ns0:f>
        <ns0:v/>
      </ns0:c>
      <ns0:c r="C963">
        <ns0:f>IFERROR(IF(ISNUMBER($A963),IF(AND(AH!$P$10=1,AH!$P$12=1,$A963=TODAY()),AH!$P$19,IF(AH!$P$10=1,INDEX('Live History'!$B$5:$B$3004,AH!$P$13+958),INDEX('AH History'!$B$1:$B$18046,AH!$P$7+958))),NA()),NA())</ns0:f>
        <ns0:v/>
      </ns0:c>
      <ns0:c r="D963">
        <ns0:f>IFERROR(IF(ISNUMBER($A963),IF(AND(AH!$P$10=1,AH!$P$12=1,$A963=TODAY()),AH!$P$18,IF(AH!$P$10=1,INDEX('Live History'!$E$5:$E$3004,MATCH($A963,'Live History'!$D$5:$D$3004,1)),INDEX('AH History'!$C$1:$C$18046,AH!$P$7+958))),NA()),NA())</ns0:f>
        <ns0:v/>
      </ns0:c>
      <ns0:c r="E963">
        <ns0:f>IFERROR(IF(ISNUMBER($A963),IF(AND(AH!$P$10=1,AH!$P$12=1,$A963=TODAY()),AH!$P$20,IF(AH!$P$10=1,INDEX('Live History'!$H$5:$H$3004,MATCH($A963,'Live History'!$G$5:$G$3004,1)),INDEX('AH History'!$D$1:$D$18046,AH!$P$7+958))),NA()),NA())</ns0:f>
        <ns0:v/>
      </ns0:c>
      <ns0:c r="F963">
        <ns0:f>IFERROR(IF(ISNUMBER($A963),IF(AND(AH!$P$10=1,AH!$P$12=1,$A963=TODAY()),IF(AND(AH!$P$10=1,AH!$P$12=1,$A963=TODAY()),TODAY(),NA()),IF(AH!$P$10=1,INDEX('Live History'!$D$5:$D$3004,MATCH($A963,'Live History'!$D$5:$D$3004,1)),INDEX('AH History'!$E$1:$E$18046,AH!$P$7+958))),NA()),NA())</ns0:f>
        <ns0:v/>
      </ns0:c>
      <ns0:c r="G963">
        <ns0:f>IFERROR(IF(ISNUMBER($A963),IF(AND(AH!$P$10=1,AH!$P$12=1,$A963=TODAY()),IF(AND(AH!$P$10=1,AH!$P$12=1,$A963=TODAY()),TODAY(),NA()),IF(AH!$P$10=1,INDEX('Live History'!$G$5:$G$3004,MATCH($A963,'Live History'!$G$5:$G$3004,1)),INDEX('AH History'!$F$1:$F$18046,AH!$P$7+958))),NA()),NA())</ns0:f>
        <ns0:v/>
      </ns0:c>
      <ns0:c r="H963">
        <ns0:f>IFERROR(IF(AND(AH!$E$4="Bloomberg",AH!$P$10=1,ISNUMBER($A963),$A963&lt;=AH!$P$17),AH!$P$7-1+MATCH($A963,INDEX('AH History'!$A$1:$A$18046,AH!$P$7):INDEX('AH History'!$A$1:$A$18046,AH!$P$7+AH!$P$8-1),0),0),0)</ns0:f>
        <ns0:v/>
      </ns0:c>
      <ns0:c r="I963">
        <ns0:f>IF($H963=0,0,IFERROR(IF(AND(ABS($C963-INDEX('AH History'!$B$1:$B$18046,$H963))&lt;=MAX(0.005,ABS(INDEX('AH History'!$B$1:$B$18046,$H963))*0.00005),ABS($D963-INDEX('AH History'!$C$1:$C$18046,$H963))&lt;=MAX(0.005,ABS(INDEX('AH History'!$C$1:$C$18046,$H963))*0.00005),ABS($E963-INDEX('AH History'!$D$1:$D$18046,$H963))&lt;=0.00005,$F963=INDEX('AH History'!$E$1:$E$18046,$H963),$G963=INDEX('AH History'!$F$1:$F$18046,$H963)),1,-1),-1))</ns0:f>
        <ns0:v/>
      </ns0:c>
    </ns0:row>
    <ns0:row r="964">
      <ns0:c r="A964" s="215">
        <ns0:f>IF(OR(AH!$P$3=0,959+1&gt;AH!$P$11,AND(AH!$E$4&lt;&gt;"Stored",AH!$P$10&lt;&gt;1)),"",IFERROR(IF(AND(AH!$P$21=1,959+1=AH!$P$11),TODAY(),IF(AH!$P$10=1,INDEX('Live History'!$A$5:$A$3004,AH!$P$13+959),INDEX('AH History'!$A$1:$A$18046,AH!$P$7+959))),""))</ns0:f>
        <ns0:v/>
      </ns0:c>
      <ns0:c r="B964" s="219">
        <ns0:f>IFERROR(IF(AND(AH!$P$9&lt;&gt;1,$C964&gt;0,$D964&gt;0,$E964&gt;0,$F964&gt;0,$G964&gt;0,$F964&lt;=$A964,$G964&lt;=$A964,$A964-$F964&lt;=10,$A964-$G964&lt;=5),$D964*$E964/$C964-1,NA()),NA())</ns0:f>
        <ns0:v/>
      </ns0:c>
      <ns0:c r="C964">
        <ns0:f>IFERROR(IF(ISNUMBER($A964),IF(AND(AH!$P$10=1,AH!$P$12=1,$A964=TODAY()),AH!$P$19,IF(AH!$P$10=1,INDEX('Live History'!$B$5:$B$3004,AH!$P$13+959),INDEX('AH History'!$B$1:$B$18046,AH!$P$7+959))),NA()),NA())</ns0:f>
        <ns0:v/>
      </ns0:c>
      <ns0:c r="D964">
        <ns0:f>IFERROR(IF(ISNUMBER($A964),IF(AND(AH!$P$10=1,AH!$P$12=1,$A964=TODAY()),AH!$P$18,IF(AH!$P$10=1,INDEX('Live History'!$E$5:$E$3004,MATCH($A964,'Live History'!$D$5:$D$3004,1)),INDEX('AH History'!$C$1:$C$18046,AH!$P$7+959))),NA()),NA())</ns0:f>
        <ns0:v/>
      </ns0:c>
      <ns0:c r="E964">
        <ns0:f>IFERROR(IF(ISNUMBER($A964),IF(AND(AH!$P$10=1,AH!$P$12=1,$A964=TODAY()),AH!$P$20,IF(AH!$P$10=1,INDEX('Live History'!$H$5:$H$3004,MATCH($A964,'Live History'!$G$5:$G$3004,1)),INDEX('AH History'!$D$1:$D$18046,AH!$P$7+959))),NA()),NA())</ns0:f>
        <ns0:v/>
      </ns0:c>
      <ns0:c r="F964">
        <ns0:f>IFERROR(IF(ISNUMBER($A964),IF(AND(AH!$P$10=1,AH!$P$12=1,$A964=TODAY()),IF(AND(AH!$P$10=1,AH!$P$12=1,$A964=TODAY()),TODAY(),NA()),IF(AH!$P$10=1,INDEX('Live History'!$D$5:$D$3004,MATCH($A964,'Live History'!$D$5:$D$3004,1)),INDEX('AH History'!$E$1:$E$18046,AH!$P$7+959))),NA()),NA())</ns0:f>
        <ns0:v/>
      </ns0:c>
      <ns0:c r="G964">
        <ns0:f>IFERROR(IF(ISNUMBER($A964),IF(AND(AH!$P$10=1,AH!$P$12=1,$A964=TODAY()),IF(AND(AH!$P$10=1,AH!$P$12=1,$A964=TODAY()),TODAY(),NA()),IF(AH!$P$10=1,INDEX('Live History'!$G$5:$G$3004,MATCH($A964,'Live History'!$G$5:$G$3004,1)),INDEX('AH History'!$F$1:$F$18046,AH!$P$7+959))),NA()),NA())</ns0:f>
        <ns0:v/>
      </ns0:c>
      <ns0:c r="H964">
        <ns0:f>IFERROR(IF(AND(AH!$E$4="Bloomberg",AH!$P$10=1,ISNUMBER($A964),$A964&lt;=AH!$P$17),AH!$P$7-1+MATCH($A964,INDEX('AH History'!$A$1:$A$18046,AH!$P$7):INDEX('AH History'!$A$1:$A$18046,AH!$P$7+AH!$P$8-1),0),0),0)</ns0:f>
        <ns0:v/>
      </ns0:c>
      <ns0:c r="I964">
        <ns0:f>IF($H964=0,0,IFERROR(IF(AND(ABS($C964-INDEX('AH History'!$B$1:$B$18046,$H964))&lt;=MAX(0.005,ABS(INDEX('AH History'!$B$1:$B$18046,$H964))*0.00005),ABS($D964-INDEX('AH History'!$C$1:$C$18046,$H964))&lt;=MAX(0.005,ABS(INDEX('AH History'!$C$1:$C$18046,$H964))*0.00005),ABS($E964-INDEX('AH History'!$D$1:$D$18046,$H964))&lt;=0.00005,$F964=INDEX('AH History'!$E$1:$E$18046,$H964),$G964=INDEX('AH History'!$F$1:$F$18046,$H964)),1,-1),-1))</ns0:f>
        <ns0:v/>
      </ns0:c>
    </ns0:row>
    <ns0:row r="965">
      <ns0:c r="A965" s="215">
        <ns0:f>IF(OR(AH!$P$3=0,960+1&gt;AH!$P$11,AND(AH!$E$4&lt;&gt;"Stored",AH!$P$10&lt;&gt;1)),"",IFERROR(IF(AND(AH!$P$21=1,960+1=AH!$P$11),TODAY(),IF(AH!$P$10=1,INDEX('Live History'!$A$5:$A$3004,AH!$P$13+960),INDEX('AH History'!$A$1:$A$18046,AH!$P$7+960))),""))</ns0:f>
        <ns0:v/>
      </ns0:c>
      <ns0:c r="B965" s="219">
        <ns0:f>IFERROR(IF(AND(AH!$P$9&lt;&gt;1,$C965&gt;0,$D965&gt;0,$E965&gt;0,$F965&gt;0,$G965&gt;0,$F965&lt;=$A965,$G965&lt;=$A965,$A965-$F965&lt;=10,$A965-$G965&lt;=5),$D965*$E965/$C965-1,NA()),NA())</ns0:f>
        <ns0:v/>
      </ns0:c>
      <ns0:c r="C965">
        <ns0:f>IFERROR(IF(ISNUMBER($A965),IF(AND(AH!$P$10=1,AH!$P$12=1,$A965=TODAY()),AH!$P$19,IF(AH!$P$10=1,INDEX('Live History'!$B$5:$B$3004,AH!$P$13+960),INDEX('AH History'!$B$1:$B$18046,AH!$P$7+960))),NA()),NA())</ns0:f>
        <ns0:v/>
      </ns0:c>
      <ns0:c r="D965">
        <ns0:f>IFERROR(IF(ISNUMBER($A965),IF(AND(AH!$P$10=1,AH!$P$12=1,$A965=TODAY()),AH!$P$18,IF(AH!$P$10=1,INDEX('Live History'!$E$5:$E$3004,MATCH($A965,'Live History'!$D$5:$D$3004,1)),INDEX('AH History'!$C$1:$C$18046,AH!$P$7+960))),NA()),NA())</ns0:f>
        <ns0:v/>
      </ns0:c>
      <ns0:c r="E965">
        <ns0:f>IFERROR(IF(ISNUMBER($A965),IF(AND(AH!$P$10=1,AH!$P$12=1,$A965=TODAY()),AH!$P$20,IF(AH!$P$10=1,INDEX('Live History'!$H$5:$H$3004,MATCH($A965,'Live History'!$G$5:$G$3004,1)),INDEX('AH History'!$D$1:$D$18046,AH!$P$7+960))),NA()),NA())</ns0:f>
        <ns0:v/>
      </ns0:c>
      <ns0:c r="F965">
        <ns0:f>IFERROR(IF(ISNUMBER($A965),IF(AND(AH!$P$10=1,AH!$P$12=1,$A965=TODAY()),IF(AND(AH!$P$10=1,AH!$P$12=1,$A965=TODAY()),TODAY(),NA()),IF(AH!$P$10=1,INDEX('Live History'!$D$5:$D$3004,MATCH($A965,'Live History'!$D$5:$D$3004,1)),INDEX('AH History'!$E$1:$E$18046,AH!$P$7+960))),NA()),NA())</ns0:f>
        <ns0:v/>
      </ns0:c>
      <ns0:c r="G965">
        <ns0:f>IFERROR(IF(ISNUMBER($A965),IF(AND(AH!$P$10=1,AH!$P$12=1,$A965=TODAY()),IF(AND(AH!$P$10=1,AH!$P$12=1,$A965=TODAY()),TODAY(),NA()),IF(AH!$P$10=1,INDEX('Live History'!$G$5:$G$3004,MATCH($A965,'Live History'!$G$5:$G$3004,1)),INDEX('AH History'!$F$1:$F$18046,AH!$P$7+960))),NA()),NA())</ns0:f>
        <ns0:v/>
      </ns0:c>
      <ns0:c r="H965">
        <ns0:f>IFERROR(IF(AND(AH!$E$4="Bloomberg",AH!$P$10=1,ISNUMBER($A965),$A965&lt;=AH!$P$17),AH!$P$7-1+MATCH($A965,INDEX('AH History'!$A$1:$A$18046,AH!$P$7):INDEX('AH History'!$A$1:$A$18046,AH!$P$7+AH!$P$8-1),0),0),0)</ns0:f>
        <ns0:v/>
      </ns0:c>
      <ns0:c r="I965">
        <ns0:f>IF($H965=0,0,IFERROR(IF(AND(ABS($C965-INDEX('AH History'!$B$1:$B$18046,$H965))&lt;=MAX(0.005,ABS(INDEX('AH History'!$B$1:$B$18046,$H965))*0.00005),ABS($D965-INDEX('AH History'!$C$1:$C$18046,$H965))&lt;=MAX(0.005,ABS(INDEX('AH History'!$C$1:$C$18046,$H965))*0.00005),ABS($E965-INDEX('AH History'!$D$1:$D$18046,$H965))&lt;=0.00005,$F965=INDEX('AH History'!$E$1:$E$18046,$H965),$G965=INDEX('AH History'!$F$1:$F$18046,$H965)),1,-1),-1))</ns0:f>
        <ns0:v/>
      </ns0:c>
    </ns0:row>
    <ns0:row r="966">
      <ns0:c r="A966" s="215">
        <ns0:f>IF(OR(AH!$P$3=0,961+1&gt;AH!$P$11,AND(AH!$E$4&lt;&gt;"Stored",AH!$P$10&lt;&gt;1)),"",IFERROR(IF(AND(AH!$P$21=1,961+1=AH!$P$11),TODAY(),IF(AH!$P$10=1,INDEX('Live History'!$A$5:$A$3004,AH!$P$13+961),INDEX('AH History'!$A$1:$A$18046,AH!$P$7+961))),""))</ns0:f>
        <ns0:v/>
      </ns0:c>
      <ns0:c r="B966" s="219">
        <ns0:f>IFERROR(IF(AND(AH!$P$9&lt;&gt;1,$C966&gt;0,$D966&gt;0,$E966&gt;0,$F966&gt;0,$G966&gt;0,$F966&lt;=$A966,$G966&lt;=$A966,$A966-$F966&lt;=10,$A966-$G966&lt;=5),$D966*$E966/$C966-1,NA()),NA())</ns0:f>
        <ns0:v/>
      </ns0:c>
      <ns0:c r="C966">
        <ns0:f>IFERROR(IF(ISNUMBER($A966),IF(AND(AH!$P$10=1,AH!$P$12=1,$A966=TODAY()),AH!$P$19,IF(AH!$P$10=1,INDEX('Live History'!$B$5:$B$3004,AH!$P$13+961),INDEX('AH History'!$B$1:$B$18046,AH!$P$7+961))),NA()),NA())</ns0:f>
        <ns0:v/>
      </ns0:c>
      <ns0:c r="D966">
        <ns0:f>IFERROR(IF(ISNUMBER($A966),IF(AND(AH!$P$10=1,AH!$P$12=1,$A966=TODAY()),AH!$P$18,IF(AH!$P$10=1,INDEX('Live History'!$E$5:$E$3004,MATCH($A966,'Live History'!$D$5:$D$3004,1)),INDEX('AH History'!$C$1:$C$18046,AH!$P$7+961))),NA()),NA())</ns0:f>
        <ns0:v/>
      </ns0:c>
      <ns0:c r="E966">
        <ns0:f>IFERROR(IF(ISNUMBER($A966),IF(AND(AH!$P$10=1,AH!$P$12=1,$A966=TODAY()),AH!$P$20,IF(AH!$P$10=1,INDEX('Live History'!$H$5:$H$3004,MATCH($A966,'Live History'!$G$5:$G$3004,1)),INDEX('AH History'!$D$1:$D$18046,AH!$P$7+961))),NA()),NA())</ns0:f>
        <ns0:v/>
      </ns0:c>
      <ns0:c r="F966">
        <ns0:f>IFERROR(IF(ISNUMBER($A966),IF(AND(AH!$P$10=1,AH!$P$12=1,$A966=TODAY()),IF(AND(AH!$P$10=1,AH!$P$12=1,$A966=TODAY()),TODAY(),NA()),IF(AH!$P$10=1,INDEX('Live History'!$D$5:$D$3004,MATCH($A966,'Live History'!$D$5:$D$3004,1)),INDEX('AH History'!$E$1:$E$18046,AH!$P$7+961))),NA()),NA())</ns0:f>
        <ns0:v/>
      </ns0:c>
      <ns0:c r="G966">
        <ns0:f>IFERROR(IF(ISNUMBER($A966),IF(AND(AH!$P$10=1,AH!$P$12=1,$A966=TODAY()),IF(AND(AH!$P$10=1,AH!$P$12=1,$A966=TODAY()),TODAY(),NA()),IF(AH!$P$10=1,INDEX('Live History'!$G$5:$G$3004,MATCH($A966,'Live History'!$G$5:$G$3004,1)),INDEX('AH History'!$F$1:$F$18046,AH!$P$7+961))),NA()),NA())</ns0:f>
        <ns0:v/>
      </ns0:c>
      <ns0:c r="H966">
        <ns0:f>IFERROR(IF(AND(AH!$E$4="Bloomberg",AH!$P$10=1,ISNUMBER($A966),$A966&lt;=AH!$P$17),AH!$P$7-1+MATCH($A966,INDEX('AH History'!$A$1:$A$18046,AH!$P$7):INDEX('AH History'!$A$1:$A$18046,AH!$P$7+AH!$P$8-1),0),0),0)</ns0:f>
        <ns0:v/>
      </ns0:c>
      <ns0:c r="I966">
        <ns0:f>IF($H966=0,0,IFERROR(IF(AND(ABS($C966-INDEX('AH History'!$B$1:$B$18046,$H966))&lt;=MAX(0.005,ABS(INDEX('AH History'!$B$1:$B$18046,$H966))*0.00005),ABS($D966-INDEX('AH History'!$C$1:$C$18046,$H966))&lt;=MAX(0.005,ABS(INDEX('AH History'!$C$1:$C$18046,$H966))*0.00005),ABS($E966-INDEX('AH History'!$D$1:$D$18046,$H966))&lt;=0.00005,$F966=INDEX('AH History'!$E$1:$E$18046,$H966),$G966=INDEX('AH History'!$F$1:$F$18046,$H966)),1,-1),-1))</ns0:f>
        <ns0:v/>
      </ns0:c>
    </ns0:row>
    <ns0:row r="967">
      <ns0:c r="A967" s="215">
        <ns0:f>IF(OR(AH!$P$3=0,962+1&gt;AH!$P$11,AND(AH!$E$4&lt;&gt;"Stored",AH!$P$10&lt;&gt;1)),"",IFERROR(IF(AND(AH!$P$21=1,962+1=AH!$P$11),TODAY(),IF(AH!$P$10=1,INDEX('Live History'!$A$5:$A$3004,AH!$P$13+962),INDEX('AH History'!$A$1:$A$18046,AH!$P$7+962))),""))</ns0:f>
        <ns0:v/>
      </ns0:c>
      <ns0:c r="B967" s="219">
        <ns0:f>IFERROR(IF(AND(AH!$P$9&lt;&gt;1,$C967&gt;0,$D967&gt;0,$E967&gt;0,$F967&gt;0,$G967&gt;0,$F967&lt;=$A967,$G967&lt;=$A967,$A967-$F967&lt;=10,$A967-$G967&lt;=5),$D967*$E967/$C967-1,NA()),NA())</ns0:f>
        <ns0:v/>
      </ns0:c>
      <ns0:c r="C967">
        <ns0:f>IFERROR(IF(ISNUMBER($A967),IF(AND(AH!$P$10=1,AH!$P$12=1,$A967=TODAY()),AH!$P$19,IF(AH!$P$10=1,INDEX('Live History'!$B$5:$B$3004,AH!$P$13+962),INDEX('AH History'!$B$1:$B$18046,AH!$P$7+962))),NA()),NA())</ns0:f>
        <ns0:v/>
      </ns0:c>
      <ns0:c r="D967">
        <ns0:f>IFERROR(IF(ISNUMBER($A967),IF(AND(AH!$P$10=1,AH!$P$12=1,$A967=TODAY()),AH!$P$18,IF(AH!$P$10=1,INDEX('Live History'!$E$5:$E$3004,MATCH($A967,'Live History'!$D$5:$D$3004,1)),INDEX('AH History'!$C$1:$C$18046,AH!$P$7+962))),NA()),NA())</ns0:f>
        <ns0:v/>
      </ns0:c>
      <ns0:c r="E967">
        <ns0:f>IFERROR(IF(ISNUMBER($A967),IF(AND(AH!$P$10=1,AH!$P$12=1,$A967=TODAY()),AH!$P$20,IF(AH!$P$10=1,INDEX('Live History'!$H$5:$H$3004,MATCH($A967,'Live History'!$G$5:$G$3004,1)),INDEX('AH History'!$D$1:$D$18046,AH!$P$7+962))),NA()),NA())</ns0:f>
        <ns0:v/>
      </ns0:c>
      <ns0:c r="F967">
        <ns0:f>IFERROR(IF(ISNUMBER($A967),IF(AND(AH!$P$10=1,AH!$P$12=1,$A967=TODAY()),IF(AND(AH!$P$10=1,AH!$P$12=1,$A967=TODAY()),TODAY(),NA()),IF(AH!$P$10=1,INDEX('Live History'!$D$5:$D$3004,MATCH($A967,'Live History'!$D$5:$D$3004,1)),INDEX('AH History'!$E$1:$E$18046,AH!$P$7+962))),NA()),NA())</ns0:f>
        <ns0:v/>
      </ns0:c>
      <ns0:c r="G967">
        <ns0:f>IFERROR(IF(ISNUMBER($A967),IF(AND(AH!$P$10=1,AH!$P$12=1,$A967=TODAY()),IF(AND(AH!$P$10=1,AH!$P$12=1,$A967=TODAY()),TODAY(),NA()),IF(AH!$P$10=1,INDEX('Live History'!$G$5:$G$3004,MATCH($A967,'Live History'!$G$5:$G$3004,1)),INDEX('AH History'!$F$1:$F$18046,AH!$P$7+962))),NA()),NA())</ns0:f>
        <ns0:v/>
      </ns0:c>
      <ns0:c r="H967">
        <ns0:f>IFERROR(IF(AND(AH!$E$4="Bloomberg",AH!$P$10=1,ISNUMBER($A967),$A967&lt;=AH!$P$17),AH!$P$7-1+MATCH($A967,INDEX('AH History'!$A$1:$A$18046,AH!$P$7):INDEX('AH History'!$A$1:$A$18046,AH!$P$7+AH!$P$8-1),0),0),0)</ns0:f>
        <ns0:v/>
      </ns0:c>
      <ns0:c r="I967">
        <ns0:f>IF($H967=0,0,IFERROR(IF(AND(ABS($C967-INDEX('AH History'!$B$1:$B$18046,$H967))&lt;=MAX(0.005,ABS(INDEX('AH History'!$B$1:$B$18046,$H967))*0.00005),ABS($D967-INDEX('AH History'!$C$1:$C$18046,$H967))&lt;=MAX(0.005,ABS(INDEX('AH History'!$C$1:$C$18046,$H967))*0.00005),ABS($E967-INDEX('AH History'!$D$1:$D$18046,$H967))&lt;=0.00005,$F967=INDEX('AH History'!$E$1:$E$18046,$H967),$G967=INDEX('AH History'!$F$1:$F$18046,$H967)),1,-1),-1))</ns0:f>
        <ns0:v/>
      </ns0:c>
    </ns0:row>
    <ns0:row r="968">
      <ns0:c r="A968" s="215">
        <ns0:f>IF(OR(AH!$P$3=0,963+1&gt;AH!$P$11,AND(AH!$E$4&lt;&gt;"Stored",AH!$P$10&lt;&gt;1)),"",IFERROR(IF(AND(AH!$P$21=1,963+1=AH!$P$11),TODAY(),IF(AH!$P$10=1,INDEX('Live History'!$A$5:$A$3004,AH!$P$13+963),INDEX('AH History'!$A$1:$A$18046,AH!$P$7+963))),""))</ns0:f>
        <ns0:v/>
      </ns0:c>
      <ns0:c r="B968" s="219">
        <ns0:f>IFERROR(IF(AND(AH!$P$9&lt;&gt;1,$C968&gt;0,$D968&gt;0,$E968&gt;0,$F968&gt;0,$G968&gt;0,$F968&lt;=$A968,$G968&lt;=$A968,$A968-$F968&lt;=10,$A968-$G968&lt;=5),$D968*$E968/$C968-1,NA()),NA())</ns0:f>
        <ns0:v/>
      </ns0:c>
      <ns0:c r="C968">
        <ns0:f>IFERROR(IF(ISNUMBER($A968),IF(AND(AH!$P$10=1,AH!$P$12=1,$A968=TODAY()),AH!$P$19,IF(AH!$P$10=1,INDEX('Live History'!$B$5:$B$3004,AH!$P$13+963),INDEX('AH History'!$B$1:$B$18046,AH!$P$7+963))),NA()),NA())</ns0:f>
        <ns0:v/>
      </ns0:c>
      <ns0:c r="D968">
        <ns0:f>IFERROR(IF(ISNUMBER($A968),IF(AND(AH!$P$10=1,AH!$P$12=1,$A968=TODAY()),AH!$P$18,IF(AH!$P$10=1,INDEX('Live History'!$E$5:$E$3004,MATCH($A968,'Live History'!$D$5:$D$3004,1)),INDEX('AH History'!$C$1:$C$18046,AH!$P$7+963))),NA()),NA())</ns0:f>
        <ns0:v/>
      </ns0:c>
      <ns0:c r="E968">
        <ns0:f>IFERROR(IF(ISNUMBER($A968),IF(AND(AH!$P$10=1,AH!$P$12=1,$A968=TODAY()),AH!$P$20,IF(AH!$P$10=1,INDEX('Live History'!$H$5:$H$3004,MATCH($A968,'Live History'!$G$5:$G$3004,1)),INDEX('AH History'!$D$1:$D$18046,AH!$P$7+963))),NA()),NA())</ns0:f>
        <ns0:v/>
      </ns0:c>
      <ns0:c r="F968">
        <ns0:f>IFERROR(IF(ISNUMBER($A968),IF(AND(AH!$P$10=1,AH!$P$12=1,$A968=TODAY()),IF(AND(AH!$P$10=1,AH!$P$12=1,$A968=TODAY()),TODAY(),NA()),IF(AH!$P$10=1,INDEX('Live History'!$D$5:$D$3004,MATCH($A968,'Live History'!$D$5:$D$3004,1)),INDEX('AH History'!$E$1:$E$18046,AH!$P$7+963))),NA()),NA())</ns0:f>
        <ns0:v/>
      </ns0:c>
      <ns0:c r="G968">
        <ns0:f>IFERROR(IF(ISNUMBER($A968),IF(AND(AH!$P$10=1,AH!$P$12=1,$A968=TODAY()),IF(AND(AH!$P$10=1,AH!$P$12=1,$A968=TODAY()),TODAY(),NA()),IF(AH!$P$10=1,INDEX('Live History'!$G$5:$G$3004,MATCH($A968,'Live History'!$G$5:$G$3004,1)),INDEX('AH History'!$F$1:$F$18046,AH!$P$7+963))),NA()),NA())</ns0:f>
        <ns0:v/>
      </ns0:c>
      <ns0:c r="H968">
        <ns0:f>IFERROR(IF(AND(AH!$E$4="Bloomberg",AH!$P$10=1,ISNUMBER($A968),$A968&lt;=AH!$P$17),AH!$P$7-1+MATCH($A968,INDEX('AH History'!$A$1:$A$18046,AH!$P$7):INDEX('AH History'!$A$1:$A$18046,AH!$P$7+AH!$P$8-1),0),0),0)</ns0:f>
        <ns0:v/>
      </ns0:c>
      <ns0:c r="I968">
        <ns0:f>IF($H968=0,0,IFERROR(IF(AND(ABS($C968-INDEX('AH History'!$B$1:$B$18046,$H968))&lt;=MAX(0.005,ABS(INDEX('AH History'!$B$1:$B$18046,$H968))*0.00005),ABS($D968-INDEX('AH History'!$C$1:$C$18046,$H968))&lt;=MAX(0.005,ABS(INDEX('AH History'!$C$1:$C$18046,$H968))*0.00005),ABS($E968-INDEX('AH History'!$D$1:$D$18046,$H968))&lt;=0.00005,$F968=INDEX('AH History'!$E$1:$E$18046,$H968),$G968=INDEX('AH History'!$F$1:$F$18046,$H968)),1,-1),-1))</ns0:f>
        <ns0:v/>
      </ns0:c>
    </ns0:row>
    <ns0:row r="969">
      <ns0:c r="A969" s="215">
        <ns0:f>IF(OR(AH!$P$3=0,964+1&gt;AH!$P$11,AND(AH!$E$4&lt;&gt;"Stored",AH!$P$10&lt;&gt;1)),"",IFERROR(IF(AND(AH!$P$21=1,964+1=AH!$P$11),TODAY(),IF(AH!$P$10=1,INDEX('Live History'!$A$5:$A$3004,AH!$P$13+964),INDEX('AH History'!$A$1:$A$18046,AH!$P$7+964))),""))</ns0:f>
        <ns0:v/>
      </ns0:c>
      <ns0:c r="B969" s="219">
        <ns0:f>IFERROR(IF(AND(AH!$P$9&lt;&gt;1,$C969&gt;0,$D969&gt;0,$E969&gt;0,$F969&gt;0,$G969&gt;0,$F969&lt;=$A969,$G969&lt;=$A969,$A969-$F969&lt;=10,$A969-$G969&lt;=5),$D969*$E969/$C969-1,NA()),NA())</ns0:f>
        <ns0:v/>
      </ns0:c>
      <ns0:c r="C969">
        <ns0:f>IFERROR(IF(ISNUMBER($A969),IF(AND(AH!$P$10=1,AH!$P$12=1,$A969=TODAY()),AH!$P$19,IF(AH!$P$10=1,INDEX('Live History'!$B$5:$B$3004,AH!$P$13+964),INDEX('AH History'!$B$1:$B$18046,AH!$P$7+964))),NA()),NA())</ns0:f>
        <ns0:v/>
      </ns0:c>
      <ns0:c r="D969">
        <ns0:f>IFERROR(IF(ISNUMBER($A969),IF(AND(AH!$P$10=1,AH!$P$12=1,$A969=TODAY()),AH!$P$18,IF(AH!$P$10=1,INDEX('Live History'!$E$5:$E$3004,MATCH($A969,'Live History'!$D$5:$D$3004,1)),INDEX('AH History'!$C$1:$C$18046,AH!$P$7+964))),NA()),NA())</ns0:f>
        <ns0:v/>
      </ns0:c>
      <ns0:c r="E969">
        <ns0:f>IFERROR(IF(ISNUMBER($A969),IF(AND(AH!$P$10=1,AH!$P$12=1,$A969=TODAY()),AH!$P$20,IF(AH!$P$10=1,INDEX('Live History'!$H$5:$H$3004,MATCH($A969,'Live History'!$G$5:$G$3004,1)),INDEX('AH History'!$D$1:$D$18046,AH!$P$7+964))),NA()),NA())</ns0:f>
        <ns0:v/>
      </ns0:c>
      <ns0:c r="F969">
        <ns0:f>IFERROR(IF(ISNUMBER($A969),IF(AND(AH!$P$10=1,AH!$P$12=1,$A969=TODAY()),IF(AND(AH!$P$10=1,AH!$P$12=1,$A969=TODAY()),TODAY(),NA()),IF(AH!$P$10=1,INDEX('Live History'!$D$5:$D$3004,MATCH($A969,'Live History'!$D$5:$D$3004,1)),INDEX('AH History'!$E$1:$E$18046,AH!$P$7+964))),NA()),NA())</ns0:f>
        <ns0:v/>
      </ns0:c>
      <ns0:c r="G969">
        <ns0:f>IFERROR(IF(ISNUMBER($A969),IF(AND(AH!$P$10=1,AH!$P$12=1,$A969=TODAY()),IF(AND(AH!$P$10=1,AH!$P$12=1,$A969=TODAY()),TODAY(),NA()),IF(AH!$P$10=1,INDEX('Live History'!$G$5:$G$3004,MATCH($A969,'Live History'!$G$5:$G$3004,1)),INDEX('AH History'!$F$1:$F$18046,AH!$P$7+964))),NA()),NA())</ns0:f>
        <ns0:v/>
      </ns0:c>
      <ns0:c r="H969">
        <ns0:f>IFERROR(IF(AND(AH!$E$4="Bloomberg",AH!$P$10=1,ISNUMBER($A969),$A969&lt;=AH!$P$17),AH!$P$7-1+MATCH($A969,INDEX('AH History'!$A$1:$A$18046,AH!$P$7):INDEX('AH History'!$A$1:$A$18046,AH!$P$7+AH!$P$8-1),0),0),0)</ns0:f>
        <ns0:v/>
      </ns0:c>
      <ns0:c r="I969">
        <ns0:f>IF($H969=0,0,IFERROR(IF(AND(ABS($C969-INDEX('AH History'!$B$1:$B$18046,$H969))&lt;=MAX(0.005,ABS(INDEX('AH History'!$B$1:$B$18046,$H969))*0.00005),ABS($D969-INDEX('AH History'!$C$1:$C$18046,$H969))&lt;=MAX(0.005,ABS(INDEX('AH History'!$C$1:$C$18046,$H969))*0.00005),ABS($E969-INDEX('AH History'!$D$1:$D$18046,$H969))&lt;=0.00005,$F969=INDEX('AH History'!$E$1:$E$18046,$H969),$G969=INDEX('AH History'!$F$1:$F$18046,$H969)),1,-1),-1))</ns0:f>
        <ns0:v/>
      </ns0:c>
    </ns0:row>
    <ns0:row r="970">
      <ns0:c r="A970" s="215">
        <ns0:f>IF(OR(AH!$P$3=0,965+1&gt;AH!$P$11,AND(AH!$E$4&lt;&gt;"Stored",AH!$P$10&lt;&gt;1)),"",IFERROR(IF(AND(AH!$P$21=1,965+1=AH!$P$11),TODAY(),IF(AH!$P$10=1,INDEX('Live History'!$A$5:$A$3004,AH!$P$13+965),INDEX('AH History'!$A$1:$A$18046,AH!$P$7+965))),""))</ns0:f>
        <ns0:v/>
      </ns0:c>
      <ns0:c r="B970" s="219">
        <ns0:f>IFERROR(IF(AND(AH!$P$9&lt;&gt;1,$C970&gt;0,$D970&gt;0,$E970&gt;0,$F970&gt;0,$G970&gt;0,$F970&lt;=$A970,$G970&lt;=$A970,$A970-$F970&lt;=10,$A970-$G970&lt;=5),$D970*$E970/$C970-1,NA()),NA())</ns0:f>
        <ns0:v/>
      </ns0:c>
      <ns0:c r="C970">
        <ns0:f>IFERROR(IF(ISNUMBER($A970),IF(AND(AH!$P$10=1,AH!$P$12=1,$A970=TODAY()),AH!$P$19,IF(AH!$P$10=1,INDEX('Live History'!$B$5:$B$3004,AH!$P$13+965),INDEX('AH History'!$B$1:$B$18046,AH!$P$7+965))),NA()),NA())</ns0:f>
        <ns0:v/>
      </ns0:c>
      <ns0:c r="D970">
        <ns0:f>IFERROR(IF(ISNUMBER($A970),IF(AND(AH!$P$10=1,AH!$P$12=1,$A970=TODAY()),AH!$P$18,IF(AH!$P$10=1,INDEX('Live History'!$E$5:$E$3004,MATCH($A970,'Live History'!$D$5:$D$3004,1)),INDEX('AH History'!$C$1:$C$18046,AH!$P$7+965))),NA()),NA())</ns0:f>
        <ns0:v/>
      </ns0:c>
      <ns0:c r="E970">
        <ns0:f>IFERROR(IF(ISNUMBER($A970),IF(AND(AH!$P$10=1,AH!$P$12=1,$A970=TODAY()),AH!$P$20,IF(AH!$P$10=1,INDEX('Live History'!$H$5:$H$3004,MATCH($A970,'Live History'!$G$5:$G$3004,1)),INDEX('AH History'!$D$1:$D$18046,AH!$P$7+965))),NA()),NA())</ns0:f>
        <ns0:v/>
      </ns0:c>
      <ns0:c r="F970">
        <ns0:f>IFERROR(IF(ISNUMBER($A970),IF(AND(AH!$P$10=1,AH!$P$12=1,$A970=TODAY()),IF(AND(AH!$P$10=1,AH!$P$12=1,$A970=TODAY()),TODAY(),NA()),IF(AH!$P$10=1,INDEX('Live History'!$D$5:$D$3004,MATCH($A970,'Live History'!$D$5:$D$3004,1)),INDEX('AH History'!$E$1:$E$18046,AH!$P$7+965))),NA()),NA())</ns0:f>
        <ns0:v/>
      </ns0:c>
      <ns0:c r="G970">
        <ns0:f>IFERROR(IF(ISNUMBER($A970),IF(AND(AH!$P$10=1,AH!$P$12=1,$A970=TODAY()),IF(AND(AH!$P$10=1,AH!$P$12=1,$A970=TODAY()),TODAY(),NA()),IF(AH!$P$10=1,INDEX('Live History'!$G$5:$G$3004,MATCH($A970,'Live History'!$G$5:$G$3004,1)),INDEX('AH History'!$F$1:$F$18046,AH!$P$7+965))),NA()),NA())</ns0:f>
        <ns0:v/>
      </ns0:c>
      <ns0:c r="H970">
        <ns0:f>IFERROR(IF(AND(AH!$E$4="Bloomberg",AH!$P$10=1,ISNUMBER($A970),$A970&lt;=AH!$P$17),AH!$P$7-1+MATCH($A970,INDEX('AH History'!$A$1:$A$18046,AH!$P$7):INDEX('AH History'!$A$1:$A$18046,AH!$P$7+AH!$P$8-1),0),0),0)</ns0:f>
        <ns0:v/>
      </ns0:c>
      <ns0:c r="I970">
        <ns0:f>IF($H970=0,0,IFERROR(IF(AND(ABS($C970-INDEX('AH History'!$B$1:$B$18046,$H970))&lt;=MAX(0.005,ABS(INDEX('AH History'!$B$1:$B$18046,$H970))*0.00005),ABS($D970-INDEX('AH History'!$C$1:$C$18046,$H970))&lt;=MAX(0.005,ABS(INDEX('AH History'!$C$1:$C$18046,$H970))*0.00005),ABS($E970-INDEX('AH History'!$D$1:$D$18046,$H970))&lt;=0.00005,$F970=INDEX('AH History'!$E$1:$E$18046,$H970),$G970=INDEX('AH History'!$F$1:$F$18046,$H970)),1,-1),-1))</ns0:f>
        <ns0:v/>
      </ns0:c>
    </ns0:row>
    <ns0:row r="971">
      <ns0:c r="A971" s="215">
        <ns0:f>IF(OR(AH!$P$3=0,966+1&gt;AH!$P$11,AND(AH!$E$4&lt;&gt;"Stored",AH!$P$10&lt;&gt;1)),"",IFERROR(IF(AND(AH!$P$21=1,966+1=AH!$P$11),TODAY(),IF(AH!$P$10=1,INDEX('Live History'!$A$5:$A$3004,AH!$P$13+966),INDEX('AH History'!$A$1:$A$18046,AH!$P$7+966))),""))</ns0:f>
        <ns0:v/>
      </ns0:c>
      <ns0:c r="B971" s="219">
        <ns0:f>IFERROR(IF(AND(AH!$P$9&lt;&gt;1,$C971&gt;0,$D971&gt;0,$E971&gt;0,$F971&gt;0,$G971&gt;0,$F971&lt;=$A971,$G971&lt;=$A971,$A971-$F971&lt;=10,$A971-$G971&lt;=5),$D971*$E971/$C971-1,NA()),NA())</ns0:f>
        <ns0:v/>
      </ns0:c>
      <ns0:c r="C971">
        <ns0:f>IFERROR(IF(ISNUMBER($A971),IF(AND(AH!$P$10=1,AH!$P$12=1,$A971=TODAY()),AH!$P$19,IF(AH!$P$10=1,INDEX('Live History'!$B$5:$B$3004,AH!$P$13+966),INDEX('AH History'!$B$1:$B$18046,AH!$P$7+966))),NA()),NA())</ns0:f>
        <ns0:v/>
      </ns0:c>
      <ns0:c r="D971">
        <ns0:f>IFERROR(IF(ISNUMBER($A971),IF(AND(AH!$P$10=1,AH!$P$12=1,$A971=TODAY()),AH!$P$18,IF(AH!$P$10=1,INDEX('Live History'!$E$5:$E$3004,MATCH($A971,'Live History'!$D$5:$D$3004,1)),INDEX('AH History'!$C$1:$C$18046,AH!$P$7+966))),NA()),NA())</ns0:f>
        <ns0:v/>
      </ns0:c>
      <ns0:c r="E971">
        <ns0:f>IFERROR(IF(ISNUMBER($A971),IF(AND(AH!$P$10=1,AH!$P$12=1,$A971=TODAY()),AH!$P$20,IF(AH!$P$10=1,INDEX('Live History'!$H$5:$H$3004,MATCH($A971,'Live History'!$G$5:$G$3004,1)),INDEX('AH History'!$D$1:$D$18046,AH!$P$7+966))),NA()),NA())</ns0:f>
        <ns0:v/>
      </ns0:c>
      <ns0:c r="F971">
        <ns0:f>IFERROR(IF(ISNUMBER($A971),IF(AND(AH!$P$10=1,AH!$P$12=1,$A971=TODAY()),IF(AND(AH!$P$10=1,AH!$P$12=1,$A971=TODAY()),TODAY(),NA()),IF(AH!$P$10=1,INDEX('Live History'!$D$5:$D$3004,MATCH($A971,'Live History'!$D$5:$D$3004,1)),INDEX('AH History'!$E$1:$E$18046,AH!$P$7+966))),NA()),NA())</ns0:f>
        <ns0:v/>
      </ns0:c>
      <ns0:c r="G971">
        <ns0:f>IFERROR(IF(ISNUMBER($A971),IF(AND(AH!$P$10=1,AH!$P$12=1,$A971=TODAY()),IF(AND(AH!$P$10=1,AH!$P$12=1,$A971=TODAY()),TODAY(),NA()),IF(AH!$P$10=1,INDEX('Live History'!$G$5:$G$3004,MATCH($A971,'Live History'!$G$5:$G$3004,1)),INDEX('AH History'!$F$1:$F$18046,AH!$P$7+966))),NA()),NA())</ns0:f>
        <ns0:v/>
      </ns0:c>
      <ns0:c r="H971">
        <ns0:f>IFERROR(IF(AND(AH!$E$4="Bloomberg",AH!$P$10=1,ISNUMBER($A971),$A971&lt;=AH!$P$17),AH!$P$7-1+MATCH($A971,INDEX('AH History'!$A$1:$A$18046,AH!$P$7):INDEX('AH History'!$A$1:$A$18046,AH!$P$7+AH!$P$8-1),0),0),0)</ns0:f>
        <ns0:v/>
      </ns0:c>
      <ns0:c r="I971">
        <ns0:f>IF($H971=0,0,IFERROR(IF(AND(ABS($C971-INDEX('AH History'!$B$1:$B$18046,$H971))&lt;=MAX(0.005,ABS(INDEX('AH History'!$B$1:$B$18046,$H971))*0.00005),ABS($D971-INDEX('AH History'!$C$1:$C$18046,$H971))&lt;=MAX(0.005,ABS(INDEX('AH History'!$C$1:$C$18046,$H971))*0.00005),ABS($E971-INDEX('AH History'!$D$1:$D$18046,$H971))&lt;=0.00005,$F971=INDEX('AH History'!$E$1:$E$18046,$H971),$G971=INDEX('AH History'!$F$1:$F$18046,$H971)),1,-1),-1))</ns0:f>
        <ns0:v/>
      </ns0:c>
    </ns0:row>
    <ns0:row r="972">
      <ns0:c r="A972" s="215">
        <ns0:f>IF(OR(AH!$P$3=0,967+1&gt;AH!$P$11,AND(AH!$E$4&lt;&gt;"Stored",AH!$P$10&lt;&gt;1)),"",IFERROR(IF(AND(AH!$P$21=1,967+1=AH!$P$11),TODAY(),IF(AH!$P$10=1,INDEX('Live History'!$A$5:$A$3004,AH!$P$13+967),INDEX('AH History'!$A$1:$A$18046,AH!$P$7+967))),""))</ns0:f>
        <ns0:v/>
      </ns0:c>
      <ns0:c r="B972" s="219">
        <ns0:f>IFERROR(IF(AND(AH!$P$9&lt;&gt;1,$C972&gt;0,$D972&gt;0,$E972&gt;0,$F972&gt;0,$G972&gt;0,$F972&lt;=$A972,$G972&lt;=$A972,$A972-$F972&lt;=10,$A972-$G972&lt;=5),$D972*$E972/$C972-1,NA()),NA())</ns0:f>
        <ns0:v/>
      </ns0:c>
      <ns0:c r="C972">
        <ns0:f>IFERROR(IF(ISNUMBER($A972),IF(AND(AH!$P$10=1,AH!$P$12=1,$A972=TODAY()),AH!$P$19,IF(AH!$P$10=1,INDEX('Live History'!$B$5:$B$3004,AH!$P$13+967),INDEX('AH History'!$B$1:$B$18046,AH!$P$7+967))),NA()),NA())</ns0:f>
        <ns0:v/>
      </ns0:c>
      <ns0:c r="D972">
        <ns0:f>IFERROR(IF(ISNUMBER($A972),IF(AND(AH!$P$10=1,AH!$P$12=1,$A972=TODAY()),AH!$P$18,IF(AH!$P$10=1,INDEX('Live History'!$E$5:$E$3004,MATCH($A972,'Live History'!$D$5:$D$3004,1)),INDEX('AH History'!$C$1:$C$18046,AH!$P$7+967))),NA()),NA())</ns0:f>
        <ns0:v/>
      </ns0:c>
      <ns0:c r="E972">
        <ns0:f>IFERROR(IF(ISNUMBER($A972),IF(AND(AH!$P$10=1,AH!$P$12=1,$A972=TODAY()),AH!$P$20,IF(AH!$P$10=1,INDEX('Live History'!$H$5:$H$3004,MATCH($A972,'Live History'!$G$5:$G$3004,1)),INDEX('AH History'!$D$1:$D$18046,AH!$P$7+967))),NA()),NA())</ns0:f>
        <ns0:v/>
      </ns0:c>
      <ns0:c r="F972">
        <ns0:f>IFERROR(IF(ISNUMBER($A972),IF(AND(AH!$P$10=1,AH!$P$12=1,$A972=TODAY()),IF(AND(AH!$P$10=1,AH!$P$12=1,$A972=TODAY()),TODAY(),NA()),IF(AH!$P$10=1,INDEX('Live History'!$D$5:$D$3004,MATCH($A972,'Live History'!$D$5:$D$3004,1)),INDEX('AH History'!$E$1:$E$18046,AH!$P$7+967))),NA()),NA())</ns0:f>
        <ns0:v/>
      </ns0:c>
      <ns0:c r="G972">
        <ns0:f>IFERROR(IF(ISNUMBER($A972),IF(AND(AH!$P$10=1,AH!$P$12=1,$A972=TODAY()),IF(AND(AH!$P$10=1,AH!$P$12=1,$A972=TODAY()),TODAY(),NA()),IF(AH!$P$10=1,INDEX('Live History'!$G$5:$G$3004,MATCH($A972,'Live History'!$G$5:$G$3004,1)),INDEX('AH History'!$F$1:$F$18046,AH!$P$7+967))),NA()),NA())</ns0:f>
        <ns0:v/>
      </ns0:c>
      <ns0:c r="H972">
        <ns0:f>IFERROR(IF(AND(AH!$E$4="Bloomberg",AH!$P$10=1,ISNUMBER($A972),$A972&lt;=AH!$P$17),AH!$P$7-1+MATCH($A972,INDEX('AH History'!$A$1:$A$18046,AH!$P$7):INDEX('AH History'!$A$1:$A$18046,AH!$P$7+AH!$P$8-1),0),0),0)</ns0:f>
        <ns0:v/>
      </ns0:c>
      <ns0:c r="I972">
        <ns0:f>IF($H972=0,0,IFERROR(IF(AND(ABS($C972-INDEX('AH History'!$B$1:$B$18046,$H972))&lt;=MAX(0.005,ABS(INDEX('AH History'!$B$1:$B$18046,$H972))*0.00005),ABS($D972-INDEX('AH History'!$C$1:$C$18046,$H972))&lt;=MAX(0.005,ABS(INDEX('AH History'!$C$1:$C$18046,$H972))*0.00005),ABS($E972-INDEX('AH History'!$D$1:$D$18046,$H972))&lt;=0.00005,$F972=INDEX('AH History'!$E$1:$E$18046,$H972),$G972=INDEX('AH History'!$F$1:$F$18046,$H972)),1,-1),-1))</ns0:f>
        <ns0:v/>
      </ns0:c>
    </ns0:row>
    <ns0:row r="973">
      <ns0:c r="A973" s="215">
        <ns0:f>IF(OR(AH!$P$3=0,968+1&gt;AH!$P$11,AND(AH!$E$4&lt;&gt;"Stored",AH!$P$10&lt;&gt;1)),"",IFERROR(IF(AND(AH!$P$21=1,968+1=AH!$P$11),TODAY(),IF(AH!$P$10=1,INDEX('Live History'!$A$5:$A$3004,AH!$P$13+968),INDEX('AH History'!$A$1:$A$18046,AH!$P$7+968))),""))</ns0:f>
        <ns0:v/>
      </ns0:c>
      <ns0:c r="B973" s="219">
        <ns0:f>IFERROR(IF(AND(AH!$P$9&lt;&gt;1,$C973&gt;0,$D973&gt;0,$E973&gt;0,$F973&gt;0,$G973&gt;0,$F973&lt;=$A973,$G973&lt;=$A973,$A973-$F973&lt;=10,$A973-$G973&lt;=5),$D973*$E973/$C973-1,NA()),NA())</ns0:f>
        <ns0:v/>
      </ns0:c>
      <ns0:c r="C973">
        <ns0:f>IFERROR(IF(ISNUMBER($A973),IF(AND(AH!$P$10=1,AH!$P$12=1,$A973=TODAY()),AH!$P$19,IF(AH!$P$10=1,INDEX('Live History'!$B$5:$B$3004,AH!$P$13+968),INDEX('AH History'!$B$1:$B$18046,AH!$P$7+968))),NA()),NA())</ns0:f>
        <ns0:v/>
      </ns0:c>
      <ns0:c r="D973">
        <ns0:f>IFERROR(IF(ISNUMBER($A973),IF(AND(AH!$P$10=1,AH!$P$12=1,$A973=TODAY()),AH!$P$18,IF(AH!$P$10=1,INDEX('Live History'!$E$5:$E$3004,MATCH($A973,'Live History'!$D$5:$D$3004,1)),INDEX('AH History'!$C$1:$C$18046,AH!$P$7+968))),NA()),NA())</ns0:f>
        <ns0:v/>
      </ns0:c>
      <ns0:c r="E973">
        <ns0:f>IFERROR(IF(ISNUMBER($A973),IF(AND(AH!$P$10=1,AH!$P$12=1,$A973=TODAY()),AH!$P$20,IF(AH!$P$10=1,INDEX('Live History'!$H$5:$H$3004,MATCH($A973,'Live History'!$G$5:$G$3004,1)),INDEX('AH History'!$D$1:$D$18046,AH!$P$7+968))),NA()),NA())</ns0:f>
        <ns0:v/>
      </ns0:c>
      <ns0:c r="F973">
        <ns0:f>IFERROR(IF(ISNUMBER($A973),IF(AND(AH!$P$10=1,AH!$P$12=1,$A973=TODAY()),IF(AND(AH!$P$10=1,AH!$P$12=1,$A973=TODAY()),TODAY(),NA()),IF(AH!$P$10=1,INDEX('Live History'!$D$5:$D$3004,MATCH($A973,'Live History'!$D$5:$D$3004,1)),INDEX('AH History'!$E$1:$E$18046,AH!$P$7+968))),NA()),NA())</ns0:f>
        <ns0:v/>
      </ns0:c>
      <ns0:c r="G973">
        <ns0:f>IFERROR(IF(ISNUMBER($A973),IF(AND(AH!$P$10=1,AH!$P$12=1,$A973=TODAY()),IF(AND(AH!$P$10=1,AH!$P$12=1,$A973=TODAY()),TODAY(),NA()),IF(AH!$P$10=1,INDEX('Live History'!$G$5:$G$3004,MATCH($A973,'Live History'!$G$5:$G$3004,1)),INDEX('AH History'!$F$1:$F$18046,AH!$P$7+968))),NA()),NA())</ns0:f>
        <ns0:v/>
      </ns0:c>
      <ns0:c r="H973">
        <ns0:f>IFERROR(IF(AND(AH!$E$4="Bloomberg",AH!$P$10=1,ISNUMBER($A973),$A973&lt;=AH!$P$17),AH!$P$7-1+MATCH($A973,INDEX('AH History'!$A$1:$A$18046,AH!$P$7):INDEX('AH History'!$A$1:$A$18046,AH!$P$7+AH!$P$8-1),0),0),0)</ns0:f>
        <ns0:v/>
      </ns0:c>
      <ns0:c r="I973">
        <ns0:f>IF($H973=0,0,IFERROR(IF(AND(ABS($C973-INDEX('AH History'!$B$1:$B$18046,$H973))&lt;=MAX(0.005,ABS(INDEX('AH History'!$B$1:$B$18046,$H973))*0.00005),ABS($D973-INDEX('AH History'!$C$1:$C$18046,$H973))&lt;=MAX(0.005,ABS(INDEX('AH History'!$C$1:$C$18046,$H973))*0.00005),ABS($E973-INDEX('AH History'!$D$1:$D$18046,$H973))&lt;=0.00005,$F973=INDEX('AH History'!$E$1:$E$18046,$H973),$G973=INDEX('AH History'!$F$1:$F$18046,$H973)),1,-1),-1))</ns0:f>
        <ns0:v/>
      </ns0:c>
    </ns0:row>
    <ns0:row r="974">
      <ns0:c r="A974" s="215">
        <ns0:f>IF(OR(AH!$P$3=0,969+1&gt;AH!$P$11,AND(AH!$E$4&lt;&gt;"Stored",AH!$P$10&lt;&gt;1)),"",IFERROR(IF(AND(AH!$P$21=1,969+1=AH!$P$11),TODAY(),IF(AH!$P$10=1,INDEX('Live History'!$A$5:$A$3004,AH!$P$13+969),INDEX('AH History'!$A$1:$A$18046,AH!$P$7+969))),""))</ns0:f>
        <ns0:v/>
      </ns0:c>
      <ns0:c r="B974" s="219">
        <ns0:f>IFERROR(IF(AND(AH!$P$9&lt;&gt;1,$C974&gt;0,$D974&gt;0,$E974&gt;0,$F974&gt;0,$G974&gt;0,$F974&lt;=$A974,$G974&lt;=$A974,$A974-$F974&lt;=10,$A974-$G974&lt;=5),$D974*$E974/$C974-1,NA()),NA())</ns0:f>
        <ns0:v/>
      </ns0:c>
      <ns0:c r="C974">
        <ns0:f>IFERROR(IF(ISNUMBER($A974),IF(AND(AH!$P$10=1,AH!$P$12=1,$A974=TODAY()),AH!$P$19,IF(AH!$P$10=1,INDEX('Live History'!$B$5:$B$3004,AH!$P$13+969),INDEX('AH History'!$B$1:$B$18046,AH!$P$7+969))),NA()),NA())</ns0:f>
        <ns0:v/>
      </ns0:c>
      <ns0:c r="D974">
        <ns0:f>IFERROR(IF(ISNUMBER($A974),IF(AND(AH!$P$10=1,AH!$P$12=1,$A974=TODAY()),AH!$P$18,IF(AH!$P$10=1,INDEX('Live History'!$E$5:$E$3004,MATCH($A974,'Live History'!$D$5:$D$3004,1)),INDEX('AH History'!$C$1:$C$18046,AH!$P$7+969))),NA()),NA())</ns0:f>
        <ns0:v/>
      </ns0:c>
      <ns0:c r="E974">
        <ns0:f>IFERROR(IF(ISNUMBER($A974),IF(AND(AH!$P$10=1,AH!$P$12=1,$A974=TODAY()),AH!$P$20,IF(AH!$P$10=1,INDEX('Live History'!$H$5:$H$3004,MATCH($A974,'Live History'!$G$5:$G$3004,1)),INDEX('AH History'!$D$1:$D$18046,AH!$P$7+969))),NA()),NA())</ns0:f>
        <ns0:v/>
      </ns0:c>
      <ns0:c r="F974">
        <ns0:f>IFERROR(IF(ISNUMBER($A974),IF(AND(AH!$P$10=1,AH!$P$12=1,$A974=TODAY()),IF(AND(AH!$P$10=1,AH!$P$12=1,$A974=TODAY()),TODAY(),NA()),IF(AH!$P$10=1,INDEX('Live History'!$D$5:$D$3004,MATCH($A974,'Live History'!$D$5:$D$3004,1)),INDEX('AH History'!$E$1:$E$18046,AH!$P$7+969))),NA()),NA())</ns0:f>
        <ns0:v/>
      </ns0:c>
      <ns0:c r="G974">
        <ns0:f>IFERROR(IF(ISNUMBER($A974),IF(AND(AH!$P$10=1,AH!$P$12=1,$A974=TODAY()),IF(AND(AH!$P$10=1,AH!$P$12=1,$A974=TODAY()),TODAY(),NA()),IF(AH!$P$10=1,INDEX('Live History'!$G$5:$G$3004,MATCH($A974,'Live History'!$G$5:$G$3004,1)),INDEX('AH History'!$F$1:$F$18046,AH!$P$7+969))),NA()),NA())</ns0:f>
        <ns0:v/>
      </ns0:c>
      <ns0:c r="H974">
        <ns0:f>IFERROR(IF(AND(AH!$E$4="Bloomberg",AH!$P$10=1,ISNUMBER($A974),$A974&lt;=AH!$P$17),AH!$P$7-1+MATCH($A974,INDEX('AH History'!$A$1:$A$18046,AH!$P$7):INDEX('AH History'!$A$1:$A$18046,AH!$P$7+AH!$P$8-1),0),0),0)</ns0:f>
        <ns0:v/>
      </ns0:c>
      <ns0:c r="I974">
        <ns0:f>IF($H974=0,0,IFERROR(IF(AND(ABS($C974-INDEX('AH History'!$B$1:$B$18046,$H974))&lt;=MAX(0.005,ABS(INDEX('AH History'!$B$1:$B$18046,$H974))*0.00005),ABS($D974-INDEX('AH History'!$C$1:$C$18046,$H974))&lt;=MAX(0.005,ABS(INDEX('AH History'!$C$1:$C$18046,$H974))*0.00005),ABS($E974-INDEX('AH History'!$D$1:$D$18046,$H974))&lt;=0.00005,$F974=INDEX('AH History'!$E$1:$E$18046,$H974),$G974=INDEX('AH History'!$F$1:$F$18046,$H974)),1,-1),-1))</ns0:f>
        <ns0:v/>
      </ns0:c>
    </ns0:row>
    <ns0:row r="975">
      <ns0:c r="A975" s="215">
        <ns0:f>IF(OR(AH!$P$3=0,970+1&gt;AH!$P$11,AND(AH!$E$4&lt;&gt;"Stored",AH!$P$10&lt;&gt;1)),"",IFERROR(IF(AND(AH!$P$21=1,970+1=AH!$P$11),TODAY(),IF(AH!$P$10=1,INDEX('Live History'!$A$5:$A$3004,AH!$P$13+970),INDEX('AH History'!$A$1:$A$18046,AH!$P$7+970))),""))</ns0:f>
        <ns0:v/>
      </ns0:c>
      <ns0:c r="B975" s="219">
        <ns0:f>IFERROR(IF(AND(AH!$P$9&lt;&gt;1,$C975&gt;0,$D975&gt;0,$E975&gt;0,$F975&gt;0,$G975&gt;0,$F975&lt;=$A975,$G975&lt;=$A975,$A975-$F975&lt;=10,$A975-$G975&lt;=5),$D975*$E975/$C975-1,NA()),NA())</ns0:f>
        <ns0:v/>
      </ns0:c>
      <ns0:c r="C975">
        <ns0:f>IFERROR(IF(ISNUMBER($A975),IF(AND(AH!$P$10=1,AH!$P$12=1,$A975=TODAY()),AH!$P$19,IF(AH!$P$10=1,INDEX('Live History'!$B$5:$B$3004,AH!$P$13+970),INDEX('AH History'!$B$1:$B$18046,AH!$P$7+970))),NA()),NA())</ns0:f>
        <ns0:v/>
      </ns0:c>
      <ns0:c r="D975">
        <ns0:f>IFERROR(IF(ISNUMBER($A975),IF(AND(AH!$P$10=1,AH!$P$12=1,$A975=TODAY()),AH!$P$18,IF(AH!$P$10=1,INDEX('Live History'!$E$5:$E$3004,MATCH($A975,'Live History'!$D$5:$D$3004,1)),INDEX('AH History'!$C$1:$C$18046,AH!$P$7+970))),NA()),NA())</ns0:f>
        <ns0:v/>
      </ns0:c>
      <ns0:c r="E975">
        <ns0:f>IFERROR(IF(ISNUMBER($A975),IF(AND(AH!$P$10=1,AH!$P$12=1,$A975=TODAY()),AH!$P$20,IF(AH!$P$10=1,INDEX('Live History'!$H$5:$H$3004,MATCH($A975,'Live History'!$G$5:$G$3004,1)),INDEX('AH History'!$D$1:$D$18046,AH!$P$7+970))),NA()),NA())</ns0:f>
        <ns0:v/>
      </ns0:c>
      <ns0:c r="F975">
        <ns0:f>IFERROR(IF(ISNUMBER($A975),IF(AND(AH!$P$10=1,AH!$P$12=1,$A975=TODAY()),IF(AND(AH!$P$10=1,AH!$P$12=1,$A975=TODAY()),TODAY(),NA()),IF(AH!$P$10=1,INDEX('Live History'!$D$5:$D$3004,MATCH($A975,'Live History'!$D$5:$D$3004,1)),INDEX('AH History'!$E$1:$E$18046,AH!$P$7+970))),NA()),NA())</ns0:f>
        <ns0:v/>
      </ns0:c>
      <ns0:c r="G975">
        <ns0:f>IFERROR(IF(ISNUMBER($A975),IF(AND(AH!$P$10=1,AH!$P$12=1,$A975=TODAY()),IF(AND(AH!$P$10=1,AH!$P$12=1,$A975=TODAY()),TODAY(),NA()),IF(AH!$P$10=1,INDEX('Live History'!$G$5:$G$3004,MATCH($A975,'Live History'!$G$5:$G$3004,1)),INDEX('AH History'!$F$1:$F$18046,AH!$P$7+970))),NA()),NA())</ns0:f>
        <ns0:v/>
      </ns0:c>
      <ns0:c r="H975">
        <ns0:f>IFERROR(IF(AND(AH!$E$4="Bloomberg",AH!$P$10=1,ISNUMBER($A975),$A975&lt;=AH!$P$17),AH!$P$7-1+MATCH($A975,INDEX('AH History'!$A$1:$A$18046,AH!$P$7):INDEX('AH History'!$A$1:$A$18046,AH!$P$7+AH!$P$8-1),0),0),0)</ns0:f>
        <ns0:v/>
      </ns0:c>
      <ns0:c r="I975">
        <ns0:f>IF($H975=0,0,IFERROR(IF(AND(ABS($C975-INDEX('AH History'!$B$1:$B$18046,$H975))&lt;=MAX(0.005,ABS(INDEX('AH History'!$B$1:$B$18046,$H975))*0.00005),ABS($D975-INDEX('AH History'!$C$1:$C$18046,$H975))&lt;=MAX(0.005,ABS(INDEX('AH History'!$C$1:$C$18046,$H975))*0.00005),ABS($E975-INDEX('AH History'!$D$1:$D$18046,$H975))&lt;=0.00005,$F975=INDEX('AH History'!$E$1:$E$18046,$H975),$G975=INDEX('AH History'!$F$1:$F$18046,$H975)),1,-1),-1))</ns0:f>
        <ns0:v/>
      </ns0:c>
    </ns0:row>
    <ns0:row r="976">
      <ns0:c r="A976" s="215">
        <ns0:f>IF(OR(AH!$P$3=0,971+1&gt;AH!$P$11,AND(AH!$E$4&lt;&gt;"Stored",AH!$P$10&lt;&gt;1)),"",IFERROR(IF(AND(AH!$P$21=1,971+1=AH!$P$11),TODAY(),IF(AH!$P$10=1,INDEX('Live History'!$A$5:$A$3004,AH!$P$13+971),INDEX('AH History'!$A$1:$A$18046,AH!$P$7+971))),""))</ns0:f>
        <ns0:v/>
      </ns0:c>
      <ns0:c r="B976" s="219">
        <ns0:f>IFERROR(IF(AND(AH!$P$9&lt;&gt;1,$C976&gt;0,$D976&gt;0,$E976&gt;0,$F976&gt;0,$G976&gt;0,$F976&lt;=$A976,$G976&lt;=$A976,$A976-$F976&lt;=10,$A976-$G976&lt;=5),$D976*$E976/$C976-1,NA()),NA())</ns0:f>
        <ns0:v/>
      </ns0:c>
      <ns0:c r="C976">
        <ns0:f>IFERROR(IF(ISNUMBER($A976),IF(AND(AH!$P$10=1,AH!$P$12=1,$A976=TODAY()),AH!$P$19,IF(AH!$P$10=1,INDEX('Live History'!$B$5:$B$3004,AH!$P$13+971),INDEX('AH History'!$B$1:$B$18046,AH!$P$7+971))),NA()),NA())</ns0:f>
        <ns0:v/>
      </ns0:c>
      <ns0:c r="D976">
        <ns0:f>IFERROR(IF(ISNUMBER($A976),IF(AND(AH!$P$10=1,AH!$P$12=1,$A976=TODAY()),AH!$P$18,IF(AH!$P$10=1,INDEX('Live History'!$E$5:$E$3004,MATCH($A976,'Live History'!$D$5:$D$3004,1)),INDEX('AH History'!$C$1:$C$18046,AH!$P$7+971))),NA()),NA())</ns0:f>
        <ns0:v/>
      </ns0:c>
      <ns0:c r="E976">
        <ns0:f>IFERROR(IF(ISNUMBER($A976),IF(AND(AH!$P$10=1,AH!$P$12=1,$A976=TODAY()),AH!$P$20,IF(AH!$P$10=1,INDEX('Live History'!$H$5:$H$3004,MATCH($A976,'Live History'!$G$5:$G$3004,1)),INDEX('AH History'!$D$1:$D$18046,AH!$P$7+971))),NA()),NA())</ns0:f>
        <ns0:v/>
      </ns0:c>
      <ns0:c r="F976">
        <ns0:f>IFERROR(IF(ISNUMBER($A976),IF(AND(AH!$P$10=1,AH!$P$12=1,$A976=TODAY()),IF(AND(AH!$P$10=1,AH!$P$12=1,$A976=TODAY()),TODAY(),NA()),IF(AH!$P$10=1,INDEX('Live History'!$D$5:$D$3004,MATCH($A976,'Live History'!$D$5:$D$3004,1)),INDEX('AH History'!$E$1:$E$18046,AH!$P$7+971))),NA()),NA())</ns0:f>
        <ns0:v/>
      </ns0:c>
      <ns0:c r="G976">
        <ns0:f>IFERROR(IF(ISNUMBER($A976),IF(AND(AH!$P$10=1,AH!$P$12=1,$A976=TODAY()),IF(AND(AH!$P$10=1,AH!$P$12=1,$A976=TODAY()),TODAY(),NA()),IF(AH!$P$10=1,INDEX('Live History'!$G$5:$G$3004,MATCH($A976,'Live History'!$G$5:$G$3004,1)),INDEX('AH History'!$F$1:$F$18046,AH!$P$7+971))),NA()),NA())</ns0:f>
        <ns0:v/>
      </ns0:c>
      <ns0:c r="H976">
        <ns0:f>IFERROR(IF(AND(AH!$E$4="Bloomberg",AH!$P$10=1,ISNUMBER($A976),$A976&lt;=AH!$P$17),AH!$P$7-1+MATCH($A976,INDEX('AH History'!$A$1:$A$18046,AH!$P$7):INDEX('AH History'!$A$1:$A$18046,AH!$P$7+AH!$P$8-1),0),0),0)</ns0:f>
        <ns0:v/>
      </ns0:c>
      <ns0:c r="I976">
        <ns0:f>IF($H976=0,0,IFERROR(IF(AND(ABS($C976-INDEX('AH History'!$B$1:$B$18046,$H976))&lt;=MAX(0.005,ABS(INDEX('AH History'!$B$1:$B$18046,$H976))*0.00005),ABS($D976-INDEX('AH History'!$C$1:$C$18046,$H976))&lt;=MAX(0.005,ABS(INDEX('AH History'!$C$1:$C$18046,$H976))*0.00005),ABS($E976-INDEX('AH History'!$D$1:$D$18046,$H976))&lt;=0.00005,$F976=INDEX('AH History'!$E$1:$E$18046,$H976),$G976=INDEX('AH History'!$F$1:$F$18046,$H976)),1,-1),-1))</ns0:f>
        <ns0:v/>
      </ns0:c>
    </ns0:row>
    <ns0:row r="977">
      <ns0:c r="A977" s="215">
        <ns0:f>IF(OR(AH!$P$3=0,972+1&gt;AH!$P$11,AND(AH!$E$4&lt;&gt;"Stored",AH!$P$10&lt;&gt;1)),"",IFERROR(IF(AND(AH!$P$21=1,972+1=AH!$P$11),TODAY(),IF(AH!$P$10=1,INDEX('Live History'!$A$5:$A$3004,AH!$P$13+972),INDEX('AH History'!$A$1:$A$18046,AH!$P$7+972))),""))</ns0:f>
        <ns0:v/>
      </ns0:c>
      <ns0:c r="B977" s="219">
        <ns0:f>IFERROR(IF(AND(AH!$P$9&lt;&gt;1,$C977&gt;0,$D977&gt;0,$E977&gt;0,$F977&gt;0,$G977&gt;0,$F977&lt;=$A977,$G977&lt;=$A977,$A977-$F977&lt;=10,$A977-$G977&lt;=5),$D977*$E977/$C977-1,NA()),NA())</ns0:f>
        <ns0:v/>
      </ns0:c>
      <ns0:c r="C977">
        <ns0:f>IFERROR(IF(ISNUMBER($A977),IF(AND(AH!$P$10=1,AH!$P$12=1,$A977=TODAY()),AH!$P$19,IF(AH!$P$10=1,INDEX('Live History'!$B$5:$B$3004,AH!$P$13+972),INDEX('AH History'!$B$1:$B$18046,AH!$P$7+972))),NA()),NA())</ns0:f>
        <ns0:v/>
      </ns0:c>
      <ns0:c r="D977">
        <ns0:f>IFERROR(IF(ISNUMBER($A977),IF(AND(AH!$P$10=1,AH!$P$12=1,$A977=TODAY()),AH!$P$18,IF(AH!$P$10=1,INDEX('Live History'!$E$5:$E$3004,MATCH($A977,'Live History'!$D$5:$D$3004,1)),INDEX('AH History'!$C$1:$C$18046,AH!$P$7+972))),NA()),NA())</ns0:f>
        <ns0:v/>
      </ns0:c>
      <ns0:c r="E977">
        <ns0:f>IFERROR(IF(ISNUMBER($A977),IF(AND(AH!$P$10=1,AH!$P$12=1,$A977=TODAY()),AH!$P$20,IF(AH!$P$10=1,INDEX('Live History'!$H$5:$H$3004,MATCH($A977,'Live History'!$G$5:$G$3004,1)),INDEX('AH History'!$D$1:$D$18046,AH!$P$7+972))),NA()),NA())</ns0:f>
        <ns0:v/>
      </ns0:c>
      <ns0:c r="F977">
        <ns0:f>IFERROR(IF(ISNUMBER($A977),IF(AND(AH!$P$10=1,AH!$P$12=1,$A977=TODAY()),IF(AND(AH!$P$10=1,AH!$P$12=1,$A977=TODAY()),TODAY(),NA()),IF(AH!$P$10=1,INDEX('Live History'!$D$5:$D$3004,MATCH($A977,'Live History'!$D$5:$D$3004,1)),INDEX('AH History'!$E$1:$E$18046,AH!$P$7+972))),NA()),NA())</ns0:f>
        <ns0:v/>
      </ns0:c>
      <ns0:c r="G977">
        <ns0:f>IFERROR(IF(ISNUMBER($A977),IF(AND(AH!$P$10=1,AH!$P$12=1,$A977=TODAY()),IF(AND(AH!$P$10=1,AH!$P$12=1,$A977=TODAY()),TODAY(),NA()),IF(AH!$P$10=1,INDEX('Live History'!$G$5:$G$3004,MATCH($A977,'Live History'!$G$5:$G$3004,1)),INDEX('AH History'!$F$1:$F$18046,AH!$P$7+972))),NA()),NA())</ns0:f>
        <ns0:v/>
      </ns0:c>
      <ns0:c r="H977">
        <ns0:f>IFERROR(IF(AND(AH!$E$4="Bloomberg",AH!$P$10=1,ISNUMBER($A977),$A977&lt;=AH!$P$17),AH!$P$7-1+MATCH($A977,INDEX('AH History'!$A$1:$A$18046,AH!$P$7):INDEX('AH History'!$A$1:$A$18046,AH!$P$7+AH!$P$8-1),0),0),0)</ns0:f>
        <ns0:v/>
      </ns0:c>
      <ns0:c r="I977">
        <ns0:f>IF($H977=0,0,IFERROR(IF(AND(ABS($C977-INDEX('AH History'!$B$1:$B$18046,$H977))&lt;=MAX(0.005,ABS(INDEX('AH History'!$B$1:$B$18046,$H977))*0.00005),ABS($D977-INDEX('AH History'!$C$1:$C$18046,$H977))&lt;=MAX(0.005,ABS(INDEX('AH History'!$C$1:$C$18046,$H977))*0.00005),ABS($E977-INDEX('AH History'!$D$1:$D$18046,$H977))&lt;=0.00005,$F977=INDEX('AH History'!$E$1:$E$18046,$H977),$G977=INDEX('AH History'!$F$1:$F$18046,$H977)),1,-1),-1))</ns0:f>
        <ns0:v/>
      </ns0:c>
    </ns0:row>
    <ns0:row r="978">
      <ns0:c r="A978" s="215">
        <ns0:f>IF(OR(AH!$P$3=0,973+1&gt;AH!$P$11,AND(AH!$E$4&lt;&gt;"Stored",AH!$P$10&lt;&gt;1)),"",IFERROR(IF(AND(AH!$P$21=1,973+1=AH!$P$11),TODAY(),IF(AH!$P$10=1,INDEX('Live History'!$A$5:$A$3004,AH!$P$13+973),INDEX('AH History'!$A$1:$A$18046,AH!$P$7+973))),""))</ns0:f>
        <ns0:v/>
      </ns0:c>
      <ns0:c r="B978" s="219">
        <ns0:f>IFERROR(IF(AND(AH!$P$9&lt;&gt;1,$C978&gt;0,$D978&gt;0,$E978&gt;0,$F978&gt;0,$G978&gt;0,$F978&lt;=$A978,$G978&lt;=$A978,$A978-$F978&lt;=10,$A978-$G978&lt;=5),$D978*$E978/$C978-1,NA()),NA())</ns0:f>
        <ns0:v/>
      </ns0:c>
      <ns0:c r="C978">
        <ns0:f>IFERROR(IF(ISNUMBER($A978),IF(AND(AH!$P$10=1,AH!$P$12=1,$A978=TODAY()),AH!$P$19,IF(AH!$P$10=1,INDEX('Live History'!$B$5:$B$3004,AH!$P$13+973),INDEX('AH History'!$B$1:$B$18046,AH!$P$7+973))),NA()),NA())</ns0:f>
        <ns0:v/>
      </ns0:c>
      <ns0:c r="D978">
        <ns0:f>IFERROR(IF(ISNUMBER($A978),IF(AND(AH!$P$10=1,AH!$P$12=1,$A978=TODAY()),AH!$P$18,IF(AH!$P$10=1,INDEX('Live History'!$E$5:$E$3004,MATCH($A978,'Live History'!$D$5:$D$3004,1)),INDEX('AH History'!$C$1:$C$18046,AH!$P$7+973))),NA()),NA())</ns0:f>
        <ns0:v/>
      </ns0:c>
      <ns0:c r="E978">
        <ns0:f>IFERROR(IF(ISNUMBER($A978),IF(AND(AH!$P$10=1,AH!$P$12=1,$A978=TODAY()),AH!$P$20,IF(AH!$P$10=1,INDEX('Live History'!$H$5:$H$3004,MATCH($A978,'Live History'!$G$5:$G$3004,1)),INDEX('AH History'!$D$1:$D$18046,AH!$P$7+973))),NA()),NA())</ns0:f>
        <ns0:v/>
      </ns0:c>
      <ns0:c r="F978">
        <ns0:f>IFERROR(IF(ISNUMBER($A978),IF(AND(AH!$P$10=1,AH!$P$12=1,$A978=TODAY()),IF(AND(AH!$P$10=1,AH!$P$12=1,$A978=TODAY()),TODAY(),NA()),IF(AH!$P$10=1,INDEX('Live History'!$D$5:$D$3004,MATCH($A978,'Live History'!$D$5:$D$3004,1)),INDEX('AH History'!$E$1:$E$18046,AH!$P$7+973))),NA()),NA())</ns0:f>
        <ns0:v/>
      </ns0:c>
      <ns0:c r="G978">
        <ns0:f>IFERROR(IF(ISNUMBER($A978),IF(AND(AH!$P$10=1,AH!$P$12=1,$A978=TODAY()),IF(AND(AH!$P$10=1,AH!$P$12=1,$A978=TODAY()),TODAY(),NA()),IF(AH!$P$10=1,INDEX('Live History'!$G$5:$G$3004,MATCH($A978,'Live History'!$G$5:$G$3004,1)),INDEX('AH History'!$F$1:$F$18046,AH!$P$7+973))),NA()),NA())</ns0:f>
        <ns0:v/>
      </ns0:c>
      <ns0:c r="H978">
        <ns0:f>IFERROR(IF(AND(AH!$E$4="Bloomberg",AH!$P$10=1,ISNUMBER($A978),$A978&lt;=AH!$P$17),AH!$P$7-1+MATCH($A978,INDEX('AH History'!$A$1:$A$18046,AH!$P$7):INDEX('AH History'!$A$1:$A$18046,AH!$P$7+AH!$P$8-1),0),0),0)</ns0:f>
        <ns0:v/>
      </ns0:c>
      <ns0:c r="I978">
        <ns0:f>IF($H978=0,0,IFERROR(IF(AND(ABS($C978-INDEX('AH History'!$B$1:$B$18046,$H978))&lt;=MAX(0.005,ABS(INDEX('AH History'!$B$1:$B$18046,$H978))*0.00005),ABS($D978-INDEX('AH History'!$C$1:$C$18046,$H978))&lt;=MAX(0.005,ABS(INDEX('AH History'!$C$1:$C$18046,$H978))*0.00005),ABS($E978-INDEX('AH History'!$D$1:$D$18046,$H978))&lt;=0.00005,$F978=INDEX('AH History'!$E$1:$E$18046,$H978),$G978=INDEX('AH History'!$F$1:$F$18046,$H978)),1,-1),-1))</ns0:f>
        <ns0:v/>
      </ns0:c>
    </ns0:row>
    <ns0:row r="979">
      <ns0:c r="A979" s="215">
        <ns0:f>IF(OR(AH!$P$3=0,974+1&gt;AH!$P$11,AND(AH!$E$4&lt;&gt;"Stored",AH!$P$10&lt;&gt;1)),"",IFERROR(IF(AND(AH!$P$21=1,974+1=AH!$P$11),TODAY(),IF(AH!$P$10=1,INDEX('Live History'!$A$5:$A$3004,AH!$P$13+974),INDEX('AH History'!$A$1:$A$18046,AH!$P$7+974))),""))</ns0:f>
        <ns0:v/>
      </ns0:c>
      <ns0:c r="B979" s="219">
        <ns0:f>IFERROR(IF(AND(AH!$P$9&lt;&gt;1,$C979&gt;0,$D979&gt;0,$E979&gt;0,$F979&gt;0,$G979&gt;0,$F979&lt;=$A979,$G979&lt;=$A979,$A979-$F979&lt;=10,$A979-$G979&lt;=5),$D979*$E979/$C979-1,NA()),NA())</ns0:f>
        <ns0:v/>
      </ns0:c>
      <ns0:c r="C979">
        <ns0:f>IFERROR(IF(ISNUMBER($A979),IF(AND(AH!$P$10=1,AH!$P$12=1,$A979=TODAY()),AH!$P$19,IF(AH!$P$10=1,INDEX('Live History'!$B$5:$B$3004,AH!$P$13+974),INDEX('AH History'!$B$1:$B$18046,AH!$P$7+974))),NA()),NA())</ns0:f>
        <ns0:v/>
      </ns0:c>
      <ns0:c r="D979">
        <ns0:f>IFERROR(IF(ISNUMBER($A979),IF(AND(AH!$P$10=1,AH!$P$12=1,$A979=TODAY()),AH!$P$18,IF(AH!$P$10=1,INDEX('Live History'!$E$5:$E$3004,MATCH($A979,'Live History'!$D$5:$D$3004,1)),INDEX('AH History'!$C$1:$C$18046,AH!$P$7+974))),NA()),NA())</ns0:f>
        <ns0:v/>
      </ns0:c>
      <ns0:c r="E979">
        <ns0:f>IFERROR(IF(ISNUMBER($A979),IF(AND(AH!$P$10=1,AH!$P$12=1,$A979=TODAY()),AH!$P$20,IF(AH!$P$10=1,INDEX('Live History'!$H$5:$H$3004,MATCH($A979,'Live History'!$G$5:$G$3004,1)),INDEX('AH History'!$D$1:$D$18046,AH!$P$7+974))),NA()),NA())</ns0:f>
        <ns0:v/>
      </ns0:c>
      <ns0:c r="F979">
        <ns0:f>IFERROR(IF(ISNUMBER($A979),IF(AND(AH!$P$10=1,AH!$P$12=1,$A979=TODAY()),IF(AND(AH!$P$10=1,AH!$P$12=1,$A979=TODAY()),TODAY(),NA()),IF(AH!$P$10=1,INDEX('Live History'!$D$5:$D$3004,MATCH($A979,'Live History'!$D$5:$D$3004,1)),INDEX('AH History'!$E$1:$E$18046,AH!$P$7+974))),NA()),NA())</ns0:f>
        <ns0:v/>
      </ns0:c>
      <ns0:c r="G979">
        <ns0:f>IFERROR(IF(ISNUMBER($A979),IF(AND(AH!$P$10=1,AH!$P$12=1,$A979=TODAY()),IF(AND(AH!$P$10=1,AH!$P$12=1,$A979=TODAY()),TODAY(),NA()),IF(AH!$P$10=1,INDEX('Live History'!$G$5:$G$3004,MATCH($A979,'Live History'!$G$5:$G$3004,1)),INDEX('AH History'!$F$1:$F$18046,AH!$P$7+974))),NA()),NA())</ns0:f>
        <ns0:v/>
      </ns0:c>
      <ns0:c r="H979">
        <ns0:f>IFERROR(IF(AND(AH!$E$4="Bloomberg",AH!$P$10=1,ISNUMBER($A979),$A979&lt;=AH!$P$17),AH!$P$7-1+MATCH($A979,INDEX('AH History'!$A$1:$A$18046,AH!$P$7):INDEX('AH History'!$A$1:$A$18046,AH!$P$7+AH!$P$8-1),0),0),0)</ns0:f>
        <ns0:v/>
      </ns0:c>
      <ns0:c r="I979">
        <ns0:f>IF($H979=0,0,IFERROR(IF(AND(ABS($C979-INDEX('AH History'!$B$1:$B$18046,$H979))&lt;=MAX(0.005,ABS(INDEX('AH History'!$B$1:$B$18046,$H979))*0.00005),ABS($D979-INDEX('AH History'!$C$1:$C$18046,$H979))&lt;=MAX(0.005,ABS(INDEX('AH History'!$C$1:$C$18046,$H979))*0.00005),ABS($E979-INDEX('AH History'!$D$1:$D$18046,$H979))&lt;=0.00005,$F979=INDEX('AH History'!$E$1:$E$18046,$H979),$G979=INDEX('AH History'!$F$1:$F$18046,$H979)),1,-1),-1))</ns0:f>
        <ns0:v/>
      </ns0:c>
    </ns0:row>
    <ns0:row r="980">
      <ns0:c r="A980" s="215">
        <ns0:f>IF(OR(AH!$P$3=0,975+1&gt;AH!$P$11,AND(AH!$E$4&lt;&gt;"Stored",AH!$P$10&lt;&gt;1)),"",IFERROR(IF(AND(AH!$P$21=1,975+1=AH!$P$11),TODAY(),IF(AH!$P$10=1,INDEX('Live History'!$A$5:$A$3004,AH!$P$13+975),INDEX('AH History'!$A$1:$A$18046,AH!$P$7+975))),""))</ns0:f>
        <ns0:v/>
      </ns0:c>
      <ns0:c r="B980" s="219">
        <ns0:f>IFERROR(IF(AND(AH!$P$9&lt;&gt;1,$C980&gt;0,$D980&gt;0,$E980&gt;0,$F980&gt;0,$G980&gt;0,$F980&lt;=$A980,$G980&lt;=$A980,$A980-$F980&lt;=10,$A980-$G980&lt;=5),$D980*$E980/$C980-1,NA()),NA())</ns0:f>
        <ns0:v/>
      </ns0:c>
      <ns0:c r="C980">
        <ns0:f>IFERROR(IF(ISNUMBER($A980),IF(AND(AH!$P$10=1,AH!$P$12=1,$A980=TODAY()),AH!$P$19,IF(AH!$P$10=1,INDEX('Live History'!$B$5:$B$3004,AH!$P$13+975),INDEX('AH History'!$B$1:$B$18046,AH!$P$7+975))),NA()),NA())</ns0:f>
        <ns0:v/>
      </ns0:c>
      <ns0:c r="D980">
        <ns0:f>IFERROR(IF(ISNUMBER($A980),IF(AND(AH!$P$10=1,AH!$P$12=1,$A980=TODAY()),AH!$P$18,IF(AH!$P$10=1,INDEX('Live History'!$E$5:$E$3004,MATCH($A980,'Live History'!$D$5:$D$3004,1)),INDEX('AH History'!$C$1:$C$18046,AH!$P$7+975))),NA()),NA())</ns0:f>
        <ns0:v/>
      </ns0:c>
      <ns0:c r="E980">
        <ns0:f>IFERROR(IF(ISNUMBER($A980),IF(AND(AH!$P$10=1,AH!$P$12=1,$A980=TODAY()),AH!$P$20,IF(AH!$P$10=1,INDEX('Live History'!$H$5:$H$3004,MATCH($A980,'Live History'!$G$5:$G$3004,1)),INDEX('AH History'!$D$1:$D$18046,AH!$P$7+975))),NA()),NA())</ns0:f>
        <ns0:v/>
      </ns0:c>
      <ns0:c r="F980">
        <ns0:f>IFERROR(IF(ISNUMBER($A980),IF(AND(AH!$P$10=1,AH!$P$12=1,$A980=TODAY()),IF(AND(AH!$P$10=1,AH!$P$12=1,$A980=TODAY()),TODAY(),NA()),IF(AH!$P$10=1,INDEX('Live History'!$D$5:$D$3004,MATCH($A980,'Live History'!$D$5:$D$3004,1)),INDEX('AH History'!$E$1:$E$18046,AH!$P$7+975))),NA()),NA())</ns0:f>
        <ns0:v/>
      </ns0:c>
      <ns0:c r="G980">
        <ns0:f>IFERROR(IF(ISNUMBER($A980),IF(AND(AH!$P$10=1,AH!$P$12=1,$A980=TODAY()),IF(AND(AH!$P$10=1,AH!$P$12=1,$A980=TODAY()),TODAY(),NA()),IF(AH!$P$10=1,INDEX('Live History'!$G$5:$G$3004,MATCH($A980,'Live History'!$G$5:$G$3004,1)),INDEX('AH History'!$F$1:$F$18046,AH!$P$7+975))),NA()),NA())</ns0:f>
        <ns0:v/>
      </ns0:c>
      <ns0:c r="H980">
        <ns0:f>IFERROR(IF(AND(AH!$E$4="Bloomberg",AH!$P$10=1,ISNUMBER($A980),$A980&lt;=AH!$P$17),AH!$P$7-1+MATCH($A980,INDEX('AH History'!$A$1:$A$18046,AH!$P$7):INDEX('AH History'!$A$1:$A$18046,AH!$P$7+AH!$P$8-1),0),0),0)</ns0:f>
        <ns0:v/>
      </ns0:c>
      <ns0:c r="I980">
        <ns0:f>IF($H980=0,0,IFERROR(IF(AND(ABS($C980-INDEX('AH History'!$B$1:$B$18046,$H980))&lt;=MAX(0.005,ABS(INDEX('AH History'!$B$1:$B$18046,$H980))*0.00005),ABS($D980-INDEX('AH History'!$C$1:$C$18046,$H980))&lt;=MAX(0.005,ABS(INDEX('AH History'!$C$1:$C$18046,$H980))*0.00005),ABS($E980-INDEX('AH History'!$D$1:$D$18046,$H980))&lt;=0.00005,$F980=INDEX('AH History'!$E$1:$E$18046,$H980),$G980=INDEX('AH History'!$F$1:$F$18046,$H980)),1,-1),-1))</ns0:f>
        <ns0:v/>
      </ns0:c>
    </ns0:row>
    <ns0:row r="981">
      <ns0:c r="A981" s="215">
        <ns0:f>IF(OR(AH!$P$3=0,976+1&gt;AH!$P$11,AND(AH!$E$4&lt;&gt;"Stored",AH!$P$10&lt;&gt;1)),"",IFERROR(IF(AND(AH!$P$21=1,976+1=AH!$P$11),TODAY(),IF(AH!$P$10=1,INDEX('Live History'!$A$5:$A$3004,AH!$P$13+976),INDEX('AH History'!$A$1:$A$18046,AH!$P$7+976))),""))</ns0:f>
        <ns0:v/>
      </ns0:c>
      <ns0:c r="B981" s="219">
        <ns0:f>IFERROR(IF(AND(AH!$P$9&lt;&gt;1,$C981&gt;0,$D981&gt;0,$E981&gt;0,$F981&gt;0,$G981&gt;0,$F981&lt;=$A981,$G981&lt;=$A981,$A981-$F981&lt;=10,$A981-$G981&lt;=5),$D981*$E981/$C981-1,NA()),NA())</ns0:f>
        <ns0:v/>
      </ns0:c>
      <ns0:c r="C981">
        <ns0:f>IFERROR(IF(ISNUMBER($A981),IF(AND(AH!$P$10=1,AH!$P$12=1,$A981=TODAY()),AH!$P$19,IF(AH!$P$10=1,INDEX('Live History'!$B$5:$B$3004,AH!$P$13+976),INDEX('AH History'!$B$1:$B$18046,AH!$P$7+976))),NA()),NA())</ns0:f>
        <ns0:v/>
      </ns0:c>
      <ns0:c r="D981">
        <ns0:f>IFERROR(IF(ISNUMBER($A981),IF(AND(AH!$P$10=1,AH!$P$12=1,$A981=TODAY()),AH!$P$18,IF(AH!$P$10=1,INDEX('Live History'!$E$5:$E$3004,MATCH($A981,'Live History'!$D$5:$D$3004,1)),INDEX('AH History'!$C$1:$C$18046,AH!$P$7+976))),NA()),NA())</ns0:f>
        <ns0:v/>
      </ns0:c>
      <ns0:c r="E981">
        <ns0:f>IFERROR(IF(ISNUMBER($A981),IF(AND(AH!$P$10=1,AH!$P$12=1,$A981=TODAY()),AH!$P$20,IF(AH!$P$10=1,INDEX('Live History'!$H$5:$H$3004,MATCH($A981,'Live History'!$G$5:$G$3004,1)),INDEX('AH History'!$D$1:$D$18046,AH!$P$7+976))),NA()),NA())</ns0:f>
        <ns0:v/>
      </ns0:c>
      <ns0:c r="F981">
        <ns0:f>IFERROR(IF(ISNUMBER($A981),IF(AND(AH!$P$10=1,AH!$P$12=1,$A981=TODAY()),IF(AND(AH!$P$10=1,AH!$P$12=1,$A981=TODAY()),TODAY(),NA()),IF(AH!$P$10=1,INDEX('Live History'!$D$5:$D$3004,MATCH($A981,'Live History'!$D$5:$D$3004,1)),INDEX('AH History'!$E$1:$E$18046,AH!$P$7+976))),NA()),NA())</ns0:f>
        <ns0:v/>
      </ns0:c>
      <ns0:c r="G981">
        <ns0:f>IFERROR(IF(ISNUMBER($A981),IF(AND(AH!$P$10=1,AH!$P$12=1,$A981=TODAY()),IF(AND(AH!$P$10=1,AH!$P$12=1,$A981=TODAY()),TODAY(),NA()),IF(AH!$P$10=1,INDEX('Live History'!$G$5:$G$3004,MATCH($A981,'Live History'!$G$5:$G$3004,1)),INDEX('AH History'!$F$1:$F$18046,AH!$P$7+976))),NA()),NA())</ns0:f>
        <ns0:v/>
      </ns0:c>
      <ns0:c r="H981">
        <ns0:f>IFERROR(IF(AND(AH!$E$4="Bloomberg",AH!$P$10=1,ISNUMBER($A981),$A981&lt;=AH!$P$17),AH!$P$7-1+MATCH($A981,INDEX('AH History'!$A$1:$A$18046,AH!$P$7):INDEX('AH History'!$A$1:$A$18046,AH!$P$7+AH!$P$8-1),0),0),0)</ns0:f>
        <ns0:v/>
      </ns0:c>
      <ns0:c r="I981">
        <ns0:f>IF($H981=0,0,IFERROR(IF(AND(ABS($C981-INDEX('AH History'!$B$1:$B$18046,$H981))&lt;=MAX(0.005,ABS(INDEX('AH History'!$B$1:$B$18046,$H981))*0.00005),ABS($D981-INDEX('AH History'!$C$1:$C$18046,$H981))&lt;=MAX(0.005,ABS(INDEX('AH History'!$C$1:$C$18046,$H981))*0.00005),ABS($E981-INDEX('AH History'!$D$1:$D$18046,$H981))&lt;=0.00005,$F981=INDEX('AH History'!$E$1:$E$18046,$H981),$G981=INDEX('AH History'!$F$1:$F$18046,$H981)),1,-1),-1))</ns0:f>
        <ns0:v/>
      </ns0:c>
    </ns0:row>
    <ns0:row r="982">
      <ns0:c r="A982" s="215">
        <ns0:f>IF(OR(AH!$P$3=0,977+1&gt;AH!$P$11,AND(AH!$E$4&lt;&gt;"Stored",AH!$P$10&lt;&gt;1)),"",IFERROR(IF(AND(AH!$P$21=1,977+1=AH!$P$11),TODAY(),IF(AH!$P$10=1,INDEX('Live History'!$A$5:$A$3004,AH!$P$13+977),INDEX('AH History'!$A$1:$A$18046,AH!$P$7+977))),""))</ns0:f>
        <ns0:v/>
      </ns0:c>
      <ns0:c r="B982" s="219">
        <ns0:f>IFERROR(IF(AND(AH!$P$9&lt;&gt;1,$C982&gt;0,$D982&gt;0,$E982&gt;0,$F982&gt;0,$G982&gt;0,$F982&lt;=$A982,$G982&lt;=$A982,$A982-$F982&lt;=10,$A982-$G982&lt;=5),$D982*$E982/$C982-1,NA()),NA())</ns0:f>
        <ns0:v/>
      </ns0:c>
      <ns0:c r="C982">
        <ns0:f>IFERROR(IF(ISNUMBER($A982),IF(AND(AH!$P$10=1,AH!$P$12=1,$A982=TODAY()),AH!$P$19,IF(AH!$P$10=1,INDEX('Live History'!$B$5:$B$3004,AH!$P$13+977),INDEX('AH History'!$B$1:$B$18046,AH!$P$7+977))),NA()),NA())</ns0:f>
        <ns0:v/>
      </ns0:c>
      <ns0:c r="D982">
        <ns0:f>IFERROR(IF(ISNUMBER($A982),IF(AND(AH!$P$10=1,AH!$P$12=1,$A982=TODAY()),AH!$P$18,IF(AH!$P$10=1,INDEX('Live History'!$E$5:$E$3004,MATCH($A982,'Live History'!$D$5:$D$3004,1)),INDEX('AH History'!$C$1:$C$18046,AH!$P$7+977))),NA()),NA())</ns0:f>
        <ns0:v/>
      </ns0:c>
      <ns0:c r="E982">
        <ns0:f>IFERROR(IF(ISNUMBER($A982),IF(AND(AH!$P$10=1,AH!$P$12=1,$A982=TODAY()),AH!$P$20,IF(AH!$P$10=1,INDEX('Live History'!$H$5:$H$3004,MATCH($A982,'Live History'!$G$5:$G$3004,1)),INDEX('AH History'!$D$1:$D$18046,AH!$P$7+977))),NA()),NA())</ns0:f>
        <ns0:v/>
      </ns0:c>
      <ns0:c r="F982">
        <ns0:f>IFERROR(IF(ISNUMBER($A982),IF(AND(AH!$P$10=1,AH!$P$12=1,$A982=TODAY()),IF(AND(AH!$P$10=1,AH!$P$12=1,$A982=TODAY()),TODAY(),NA()),IF(AH!$P$10=1,INDEX('Live History'!$D$5:$D$3004,MATCH($A982,'Live History'!$D$5:$D$3004,1)),INDEX('AH History'!$E$1:$E$18046,AH!$P$7+977))),NA()),NA())</ns0:f>
        <ns0:v/>
      </ns0:c>
      <ns0:c r="G982">
        <ns0:f>IFERROR(IF(ISNUMBER($A982),IF(AND(AH!$P$10=1,AH!$P$12=1,$A982=TODAY()),IF(AND(AH!$P$10=1,AH!$P$12=1,$A982=TODAY()),TODAY(),NA()),IF(AH!$P$10=1,INDEX('Live History'!$G$5:$G$3004,MATCH($A982,'Live History'!$G$5:$G$3004,1)),INDEX('AH History'!$F$1:$F$18046,AH!$P$7+977))),NA()),NA())</ns0:f>
        <ns0:v/>
      </ns0:c>
      <ns0:c r="H982">
        <ns0:f>IFERROR(IF(AND(AH!$E$4="Bloomberg",AH!$P$10=1,ISNUMBER($A982),$A982&lt;=AH!$P$17),AH!$P$7-1+MATCH($A982,INDEX('AH History'!$A$1:$A$18046,AH!$P$7):INDEX('AH History'!$A$1:$A$18046,AH!$P$7+AH!$P$8-1),0),0),0)</ns0:f>
        <ns0:v/>
      </ns0:c>
      <ns0:c r="I982">
        <ns0:f>IF($H982=0,0,IFERROR(IF(AND(ABS($C982-INDEX('AH History'!$B$1:$B$18046,$H982))&lt;=MAX(0.005,ABS(INDEX('AH History'!$B$1:$B$18046,$H982))*0.00005),ABS($D982-INDEX('AH History'!$C$1:$C$18046,$H982))&lt;=MAX(0.005,ABS(INDEX('AH History'!$C$1:$C$18046,$H982))*0.00005),ABS($E982-INDEX('AH History'!$D$1:$D$18046,$H982))&lt;=0.00005,$F982=INDEX('AH History'!$E$1:$E$18046,$H982),$G982=INDEX('AH History'!$F$1:$F$18046,$H982)),1,-1),-1))</ns0:f>
        <ns0:v/>
      </ns0:c>
    </ns0:row>
    <ns0:row r="983">
      <ns0:c r="A983" s="215">
        <ns0:f>IF(OR(AH!$P$3=0,978+1&gt;AH!$P$11,AND(AH!$E$4&lt;&gt;"Stored",AH!$P$10&lt;&gt;1)),"",IFERROR(IF(AND(AH!$P$21=1,978+1=AH!$P$11),TODAY(),IF(AH!$P$10=1,INDEX('Live History'!$A$5:$A$3004,AH!$P$13+978),INDEX('AH History'!$A$1:$A$18046,AH!$P$7+978))),""))</ns0:f>
        <ns0:v/>
      </ns0:c>
      <ns0:c r="B983" s="219">
        <ns0:f>IFERROR(IF(AND(AH!$P$9&lt;&gt;1,$C983&gt;0,$D983&gt;0,$E983&gt;0,$F983&gt;0,$G983&gt;0,$F983&lt;=$A983,$G983&lt;=$A983,$A983-$F983&lt;=10,$A983-$G983&lt;=5),$D983*$E983/$C983-1,NA()),NA())</ns0:f>
        <ns0:v/>
      </ns0:c>
      <ns0:c r="C983">
        <ns0:f>IFERROR(IF(ISNUMBER($A983),IF(AND(AH!$P$10=1,AH!$P$12=1,$A983=TODAY()),AH!$P$19,IF(AH!$P$10=1,INDEX('Live History'!$B$5:$B$3004,AH!$P$13+978),INDEX('AH History'!$B$1:$B$18046,AH!$P$7+978))),NA()),NA())</ns0:f>
        <ns0:v/>
      </ns0:c>
      <ns0:c r="D983">
        <ns0:f>IFERROR(IF(ISNUMBER($A983),IF(AND(AH!$P$10=1,AH!$P$12=1,$A983=TODAY()),AH!$P$18,IF(AH!$P$10=1,INDEX('Live History'!$E$5:$E$3004,MATCH($A983,'Live History'!$D$5:$D$3004,1)),INDEX('AH History'!$C$1:$C$18046,AH!$P$7+978))),NA()),NA())</ns0:f>
        <ns0:v/>
      </ns0:c>
      <ns0:c r="E983">
        <ns0:f>IFERROR(IF(ISNUMBER($A983),IF(AND(AH!$P$10=1,AH!$P$12=1,$A983=TODAY()),AH!$P$20,IF(AH!$P$10=1,INDEX('Live History'!$H$5:$H$3004,MATCH($A983,'Live History'!$G$5:$G$3004,1)),INDEX('AH History'!$D$1:$D$18046,AH!$P$7+978))),NA()),NA())</ns0:f>
        <ns0:v/>
      </ns0:c>
      <ns0:c r="F983">
        <ns0:f>IFERROR(IF(ISNUMBER($A983),IF(AND(AH!$P$10=1,AH!$P$12=1,$A983=TODAY()),IF(AND(AH!$P$10=1,AH!$P$12=1,$A983=TODAY()),TODAY(),NA()),IF(AH!$P$10=1,INDEX('Live History'!$D$5:$D$3004,MATCH($A983,'Live History'!$D$5:$D$3004,1)),INDEX('AH History'!$E$1:$E$18046,AH!$P$7+978))),NA()),NA())</ns0:f>
        <ns0:v/>
      </ns0:c>
      <ns0:c r="G983">
        <ns0:f>IFERROR(IF(ISNUMBER($A983),IF(AND(AH!$P$10=1,AH!$P$12=1,$A983=TODAY()),IF(AND(AH!$P$10=1,AH!$P$12=1,$A983=TODAY()),TODAY(),NA()),IF(AH!$P$10=1,INDEX('Live History'!$G$5:$G$3004,MATCH($A983,'Live History'!$G$5:$G$3004,1)),INDEX('AH History'!$F$1:$F$18046,AH!$P$7+978))),NA()),NA())</ns0:f>
        <ns0:v/>
      </ns0:c>
      <ns0:c r="H983">
        <ns0:f>IFERROR(IF(AND(AH!$E$4="Bloomberg",AH!$P$10=1,ISNUMBER($A983),$A983&lt;=AH!$P$17),AH!$P$7-1+MATCH($A983,INDEX('AH History'!$A$1:$A$18046,AH!$P$7):INDEX('AH History'!$A$1:$A$18046,AH!$P$7+AH!$P$8-1),0),0),0)</ns0:f>
        <ns0:v/>
      </ns0:c>
      <ns0:c r="I983">
        <ns0:f>IF($H983=0,0,IFERROR(IF(AND(ABS($C983-INDEX('AH History'!$B$1:$B$18046,$H983))&lt;=MAX(0.005,ABS(INDEX('AH History'!$B$1:$B$18046,$H983))*0.00005),ABS($D983-INDEX('AH History'!$C$1:$C$18046,$H983))&lt;=MAX(0.005,ABS(INDEX('AH History'!$C$1:$C$18046,$H983))*0.00005),ABS($E983-INDEX('AH History'!$D$1:$D$18046,$H983))&lt;=0.00005,$F983=INDEX('AH History'!$E$1:$E$18046,$H983),$G983=INDEX('AH History'!$F$1:$F$18046,$H983)),1,-1),-1))</ns0:f>
        <ns0:v/>
      </ns0:c>
    </ns0:row>
    <ns0:row r="984">
      <ns0:c r="A984" s="215">
        <ns0:f>IF(OR(AH!$P$3=0,979+1&gt;AH!$P$11,AND(AH!$E$4&lt;&gt;"Stored",AH!$P$10&lt;&gt;1)),"",IFERROR(IF(AND(AH!$P$21=1,979+1=AH!$P$11),TODAY(),IF(AH!$P$10=1,INDEX('Live History'!$A$5:$A$3004,AH!$P$13+979),INDEX('AH History'!$A$1:$A$18046,AH!$P$7+979))),""))</ns0:f>
        <ns0:v/>
      </ns0:c>
      <ns0:c r="B984" s="219">
        <ns0:f>IFERROR(IF(AND(AH!$P$9&lt;&gt;1,$C984&gt;0,$D984&gt;0,$E984&gt;0,$F984&gt;0,$G984&gt;0,$F984&lt;=$A984,$G984&lt;=$A984,$A984-$F984&lt;=10,$A984-$G984&lt;=5),$D984*$E984/$C984-1,NA()),NA())</ns0:f>
        <ns0:v/>
      </ns0:c>
      <ns0:c r="C984">
        <ns0:f>IFERROR(IF(ISNUMBER($A984),IF(AND(AH!$P$10=1,AH!$P$12=1,$A984=TODAY()),AH!$P$19,IF(AH!$P$10=1,INDEX('Live History'!$B$5:$B$3004,AH!$P$13+979),INDEX('AH History'!$B$1:$B$18046,AH!$P$7+979))),NA()),NA())</ns0:f>
        <ns0:v/>
      </ns0:c>
      <ns0:c r="D984">
        <ns0:f>IFERROR(IF(ISNUMBER($A984),IF(AND(AH!$P$10=1,AH!$P$12=1,$A984=TODAY()),AH!$P$18,IF(AH!$P$10=1,INDEX('Live History'!$E$5:$E$3004,MATCH($A984,'Live History'!$D$5:$D$3004,1)),INDEX('AH History'!$C$1:$C$18046,AH!$P$7+979))),NA()),NA())</ns0:f>
        <ns0:v/>
      </ns0:c>
      <ns0:c r="E984">
        <ns0:f>IFERROR(IF(ISNUMBER($A984),IF(AND(AH!$P$10=1,AH!$P$12=1,$A984=TODAY()),AH!$P$20,IF(AH!$P$10=1,INDEX('Live History'!$H$5:$H$3004,MATCH($A984,'Live History'!$G$5:$G$3004,1)),INDEX('AH History'!$D$1:$D$18046,AH!$P$7+979))),NA()),NA())</ns0:f>
        <ns0:v/>
      </ns0:c>
      <ns0:c r="F984">
        <ns0:f>IFERROR(IF(ISNUMBER($A984),IF(AND(AH!$P$10=1,AH!$P$12=1,$A984=TODAY()),IF(AND(AH!$P$10=1,AH!$P$12=1,$A984=TODAY()),TODAY(),NA()),IF(AH!$P$10=1,INDEX('Live History'!$D$5:$D$3004,MATCH($A984,'Live History'!$D$5:$D$3004,1)),INDEX('AH History'!$E$1:$E$18046,AH!$P$7+979))),NA()),NA())</ns0:f>
        <ns0:v/>
      </ns0:c>
      <ns0:c r="G984">
        <ns0:f>IFERROR(IF(ISNUMBER($A984),IF(AND(AH!$P$10=1,AH!$P$12=1,$A984=TODAY()),IF(AND(AH!$P$10=1,AH!$P$12=1,$A984=TODAY()),TODAY(),NA()),IF(AH!$P$10=1,INDEX('Live History'!$G$5:$G$3004,MATCH($A984,'Live History'!$G$5:$G$3004,1)),INDEX('AH History'!$F$1:$F$18046,AH!$P$7+979))),NA()),NA())</ns0:f>
        <ns0:v/>
      </ns0:c>
      <ns0:c r="H984">
        <ns0:f>IFERROR(IF(AND(AH!$E$4="Bloomberg",AH!$P$10=1,ISNUMBER($A984),$A984&lt;=AH!$P$17),AH!$P$7-1+MATCH($A984,INDEX('AH History'!$A$1:$A$18046,AH!$P$7):INDEX('AH History'!$A$1:$A$18046,AH!$P$7+AH!$P$8-1),0),0),0)</ns0:f>
        <ns0:v/>
      </ns0:c>
      <ns0:c r="I984">
        <ns0:f>IF($H984=0,0,IFERROR(IF(AND(ABS($C984-INDEX('AH History'!$B$1:$B$18046,$H984))&lt;=MAX(0.005,ABS(INDEX('AH History'!$B$1:$B$18046,$H984))*0.00005),ABS($D984-INDEX('AH History'!$C$1:$C$18046,$H984))&lt;=MAX(0.005,ABS(INDEX('AH History'!$C$1:$C$18046,$H984))*0.00005),ABS($E984-INDEX('AH History'!$D$1:$D$18046,$H984))&lt;=0.00005,$F984=INDEX('AH History'!$E$1:$E$18046,$H984),$G984=INDEX('AH History'!$F$1:$F$18046,$H984)),1,-1),-1))</ns0:f>
        <ns0:v/>
      </ns0:c>
    </ns0:row>
    <ns0:row r="985">
      <ns0:c r="A985" s="215">
        <ns0:f>IF(OR(AH!$P$3=0,980+1&gt;AH!$P$11,AND(AH!$E$4&lt;&gt;"Stored",AH!$P$10&lt;&gt;1)),"",IFERROR(IF(AND(AH!$P$21=1,980+1=AH!$P$11),TODAY(),IF(AH!$P$10=1,INDEX('Live History'!$A$5:$A$3004,AH!$P$13+980),INDEX('AH History'!$A$1:$A$18046,AH!$P$7+980))),""))</ns0:f>
        <ns0:v/>
      </ns0:c>
      <ns0:c r="B985" s="219">
        <ns0:f>IFERROR(IF(AND(AH!$P$9&lt;&gt;1,$C985&gt;0,$D985&gt;0,$E985&gt;0,$F985&gt;0,$G985&gt;0,$F985&lt;=$A985,$G985&lt;=$A985,$A985-$F985&lt;=10,$A985-$G985&lt;=5),$D985*$E985/$C985-1,NA()),NA())</ns0:f>
        <ns0:v/>
      </ns0:c>
      <ns0:c r="C985">
        <ns0:f>IFERROR(IF(ISNUMBER($A985),IF(AND(AH!$P$10=1,AH!$P$12=1,$A985=TODAY()),AH!$P$19,IF(AH!$P$10=1,INDEX('Live History'!$B$5:$B$3004,AH!$P$13+980),INDEX('AH History'!$B$1:$B$18046,AH!$P$7+980))),NA()),NA())</ns0:f>
        <ns0:v/>
      </ns0:c>
      <ns0:c r="D985">
        <ns0:f>IFERROR(IF(ISNUMBER($A985),IF(AND(AH!$P$10=1,AH!$P$12=1,$A985=TODAY()),AH!$P$18,IF(AH!$P$10=1,INDEX('Live History'!$E$5:$E$3004,MATCH($A985,'Live History'!$D$5:$D$3004,1)),INDEX('AH History'!$C$1:$C$18046,AH!$P$7+980))),NA()),NA())</ns0:f>
        <ns0:v/>
      </ns0:c>
      <ns0:c r="E985">
        <ns0:f>IFERROR(IF(ISNUMBER($A985),IF(AND(AH!$P$10=1,AH!$P$12=1,$A985=TODAY()),AH!$P$20,IF(AH!$P$10=1,INDEX('Live History'!$H$5:$H$3004,MATCH($A985,'Live History'!$G$5:$G$3004,1)),INDEX('AH History'!$D$1:$D$18046,AH!$P$7+980))),NA()),NA())</ns0:f>
        <ns0:v/>
      </ns0:c>
      <ns0:c r="F985">
        <ns0:f>IFERROR(IF(ISNUMBER($A985),IF(AND(AH!$P$10=1,AH!$P$12=1,$A985=TODAY()),IF(AND(AH!$P$10=1,AH!$P$12=1,$A985=TODAY()),TODAY(),NA()),IF(AH!$P$10=1,INDEX('Live History'!$D$5:$D$3004,MATCH($A985,'Live History'!$D$5:$D$3004,1)),INDEX('AH History'!$E$1:$E$18046,AH!$P$7+980))),NA()),NA())</ns0:f>
        <ns0:v/>
      </ns0:c>
      <ns0:c r="G985">
        <ns0:f>IFERROR(IF(ISNUMBER($A985),IF(AND(AH!$P$10=1,AH!$P$12=1,$A985=TODAY()),IF(AND(AH!$P$10=1,AH!$P$12=1,$A985=TODAY()),TODAY(),NA()),IF(AH!$P$10=1,INDEX('Live History'!$G$5:$G$3004,MATCH($A985,'Live History'!$G$5:$G$3004,1)),INDEX('AH History'!$F$1:$F$18046,AH!$P$7+980))),NA()),NA())</ns0:f>
        <ns0:v/>
      </ns0:c>
      <ns0:c r="H985">
        <ns0:f>IFERROR(IF(AND(AH!$E$4="Bloomberg",AH!$P$10=1,ISNUMBER($A985),$A985&lt;=AH!$P$17),AH!$P$7-1+MATCH($A985,INDEX('AH History'!$A$1:$A$18046,AH!$P$7):INDEX('AH History'!$A$1:$A$18046,AH!$P$7+AH!$P$8-1),0),0),0)</ns0:f>
        <ns0:v/>
      </ns0:c>
      <ns0:c r="I985">
        <ns0:f>IF($H985=0,0,IFERROR(IF(AND(ABS($C985-INDEX('AH History'!$B$1:$B$18046,$H985))&lt;=MAX(0.005,ABS(INDEX('AH History'!$B$1:$B$18046,$H985))*0.00005),ABS($D985-INDEX('AH History'!$C$1:$C$18046,$H985))&lt;=MAX(0.005,ABS(INDEX('AH History'!$C$1:$C$18046,$H985))*0.00005),ABS($E985-INDEX('AH History'!$D$1:$D$18046,$H985))&lt;=0.00005,$F985=INDEX('AH History'!$E$1:$E$18046,$H985),$G985=INDEX('AH History'!$F$1:$F$18046,$H985)),1,-1),-1))</ns0:f>
        <ns0:v/>
      </ns0:c>
    </ns0:row>
    <ns0:row r="986">
      <ns0:c r="A986" s="215">
        <ns0:f>IF(OR(AH!$P$3=0,981+1&gt;AH!$P$11,AND(AH!$E$4&lt;&gt;"Stored",AH!$P$10&lt;&gt;1)),"",IFERROR(IF(AND(AH!$P$21=1,981+1=AH!$P$11),TODAY(),IF(AH!$P$10=1,INDEX('Live History'!$A$5:$A$3004,AH!$P$13+981),INDEX('AH History'!$A$1:$A$18046,AH!$P$7+981))),""))</ns0:f>
        <ns0:v/>
      </ns0:c>
      <ns0:c r="B986" s="219">
        <ns0:f>IFERROR(IF(AND(AH!$P$9&lt;&gt;1,$C986&gt;0,$D986&gt;0,$E986&gt;0,$F986&gt;0,$G986&gt;0,$F986&lt;=$A986,$G986&lt;=$A986,$A986-$F986&lt;=10,$A986-$G986&lt;=5),$D986*$E986/$C986-1,NA()),NA())</ns0:f>
        <ns0:v/>
      </ns0:c>
      <ns0:c r="C986">
        <ns0:f>IFERROR(IF(ISNUMBER($A986),IF(AND(AH!$P$10=1,AH!$P$12=1,$A986=TODAY()),AH!$P$19,IF(AH!$P$10=1,INDEX('Live History'!$B$5:$B$3004,AH!$P$13+981),INDEX('AH History'!$B$1:$B$18046,AH!$P$7+981))),NA()),NA())</ns0:f>
        <ns0:v/>
      </ns0:c>
      <ns0:c r="D986">
        <ns0:f>IFERROR(IF(ISNUMBER($A986),IF(AND(AH!$P$10=1,AH!$P$12=1,$A986=TODAY()),AH!$P$18,IF(AH!$P$10=1,INDEX('Live History'!$E$5:$E$3004,MATCH($A986,'Live History'!$D$5:$D$3004,1)),INDEX('AH History'!$C$1:$C$18046,AH!$P$7+981))),NA()),NA())</ns0:f>
        <ns0:v/>
      </ns0:c>
      <ns0:c r="E986">
        <ns0:f>IFERROR(IF(ISNUMBER($A986),IF(AND(AH!$P$10=1,AH!$P$12=1,$A986=TODAY()),AH!$P$20,IF(AH!$P$10=1,INDEX('Live History'!$H$5:$H$3004,MATCH($A986,'Live History'!$G$5:$G$3004,1)),INDEX('AH History'!$D$1:$D$18046,AH!$P$7+981))),NA()),NA())</ns0:f>
        <ns0:v/>
      </ns0:c>
      <ns0:c r="F986">
        <ns0:f>IFERROR(IF(ISNUMBER($A986),IF(AND(AH!$P$10=1,AH!$P$12=1,$A986=TODAY()),IF(AND(AH!$P$10=1,AH!$P$12=1,$A986=TODAY()),TODAY(),NA()),IF(AH!$P$10=1,INDEX('Live History'!$D$5:$D$3004,MATCH($A986,'Live History'!$D$5:$D$3004,1)),INDEX('AH History'!$E$1:$E$18046,AH!$P$7+981))),NA()),NA())</ns0:f>
        <ns0:v/>
      </ns0:c>
      <ns0:c r="G986">
        <ns0:f>IFERROR(IF(ISNUMBER($A986),IF(AND(AH!$P$10=1,AH!$P$12=1,$A986=TODAY()),IF(AND(AH!$P$10=1,AH!$P$12=1,$A986=TODAY()),TODAY(),NA()),IF(AH!$P$10=1,INDEX('Live History'!$G$5:$G$3004,MATCH($A986,'Live History'!$G$5:$G$3004,1)),INDEX('AH History'!$F$1:$F$18046,AH!$P$7+981))),NA()),NA())</ns0:f>
        <ns0:v/>
      </ns0:c>
      <ns0:c r="H986">
        <ns0:f>IFERROR(IF(AND(AH!$E$4="Bloomberg",AH!$P$10=1,ISNUMBER($A986),$A986&lt;=AH!$P$17),AH!$P$7-1+MATCH($A986,INDEX('AH History'!$A$1:$A$18046,AH!$P$7):INDEX('AH History'!$A$1:$A$18046,AH!$P$7+AH!$P$8-1),0),0),0)</ns0:f>
        <ns0:v/>
      </ns0:c>
      <ns0:c r="I986">
        <ns0:f>IF($H986=0,0,IFERROR(IF(AND(ABS($C986-INDEX('AH History'!$B$1:$B$18046,$H986))&lt;=MAX(0.005,ABS(INDEX('AH History'!$B$1:$B$18046,$H986))*0.00005),ABS($D986-INDEX('AH History'!$C$1:$C$18046,$H986))&lt;=MAX(0.005,ABS(INDEX('AH History'!$C$1:$C$18046,$H986))*0.00005),ABS($E986-INDEX('AH History'!$D$1:$D$18046,$H986))&lt;=0.00005,$F986=INDEX('AH History'!$E$1:$E$18046,$H986),$G986=INDEX('AH History'!$F$1:$F$18046,$H986)),1,-1),-1))</ns0:f>
        <ns0:v/>
      </ns0:c>
    </ns0:row>
    <ns0:row r="987">
      <ns0:c r="A987" s="215">
        <ns0:f>IF(OR(AH!$P$3=0,982+1&gt;AH!$P$11,AND(AH!$E$4&lt;&gt;"Stored",AH!$P$10&lt;&gt;1)),"",IFERROR(IF(AND(AH!$P$21=1,982+1=AH!$P$11),TODAY(),IF(AH!$P$10=1,INDEX('Live History'!$A$5:$A$3004,AH!$P$13+982),INDEX('AH History'!$A$1:$A$18046,AH!$P$7+982))),""))</ns0:f>
        <ns0:v/>
      </ns0:c>
      <ns0:c r="B987" s="219">
        <ns0:f>IFERROR(IF(AND(AH!$P$9&lt;&gt;1,$C987&gt;0,$D987&gt;0,$E987&gt;0,$F987&gt;0,$G987&gt;0,$F987&lt;=$A987,$G987&lt;=$A987,$A987-$F987&lt;=10,$A987-$G987&lt;=5),$D987*$E987/$C987-1,NA()),NA())</ns0:f>
        <ns0:v/>
      </ns0:c>
      <ns0:c r="C987">
        <ns0:f>IFERROR(IF(ISNUMBER($A987),IF(AND(AH!$P$10=1,AH!$P$12=1,$A987=TODAY()),AH!$P$19,IF(AH!$P$10=1,INDEX('Live History'!$B$5:$B$3004,AH!$P$13+982),INDEX('AH History'!$B$1:$B$18046,AH!$P$7+982))),NA()),NA())</ns0:f>
        <ns0:v/>
      </ns0:c>
      <ns0:c r="D987">
        <ns0:f>IFERROR(IF(ISNUMBER($A987),IF(AND(AH!$P$10=1,AH!$P$12=1,$A987=TODAY()),AH!$P$18,IF(AH!$P$10=1,INDEX('Live History'!$E$5:$E$3004,MATCH($A987,'Live History'!$D$5:$D$3004,1)),INDEX('AH History'!$C$1:$C$18046,AH!$P$7+982))),NA()),NA())</ns0:f>
        <ns0:v/>
      </ns0:c>
      <ns0:c r="E987">
        <ns0:f>IFERROR(IF(ISNUMBER($A987),IF(AND(AH!$P$10=1,AH!$P$12=1,$A987=TODAY()),AH!$P$20,IF(AH!$P$10=1,INDEX('Live History'!$H$5:$H$3004,MATCH($A987,'Live History'!$G$5:$G$3004,1)),INDEX('AH History'!$D$1:$D$18046,AH!$P$7+982))),NA()),NA())</ns0:f>
        <ns0:v/>
      </ns0:c>
      <ns0:c r="F987">
        <ns0:f>IFERROR(IF(ISNUMBER($A987),IF(AND(AH!$P$10=1,AH!$P$12=1,$A987=TODAY()),IF(AND(AH!$P$10=1,AH!$P$12=1,$A987=TODAY()),TODAY(),NA()),IF(AH!$P$10=1,INDEX('Live History'!$D$5:$D$3004,MATCH($A987,'Live History'!$D$5:$D$3004,1)),INDEX('AH History'!$E$1:$E$18046,AH!$P$7+982))),NA()),NA())</ns0:f>
        <ns0:v/>
      </ns0:c>
      <ns0:c r="G987">
        <ns0:f>IFERROR(IF(ISNUMBER($A987),IF(AND(AH!$P$10=1,AH!$P$12=1,$A987=TODAY()),IF(AND(AH!$P$10=1,AH!$P$12=1,$A987=TODAY()),TODAY(),NA()),IF(AH!$P$10=1,INDEX('Live History'!$G$5:$G$3004,MATCH($A987,'Live History'!$G$5:$G$3004,1)),INDEX('AH History'!$F$1:$F$18046,AH!$P$7+982))),NA()),NA())</ns0:f>
        <ns0:v/>
      </ns0:c>
      <ns0:c r="H987">
        <ns0:f>IFERROR(IF(AND(AH!$E$4="Bloomberg",AH!$P$10=1,ISNUMBER($A987),$A987&lt;=AH!$P$17),AH!$P$7-1+MATCH($A987,INDEX('AH History'!$A$1:$A$18046,AH!$P$7):INDEX('AH History'!$A$1:$A$18046,AH!$P$7+AH!$P$8-1),0),0),0)</ns0:f>
        <ns0:v/>
      </ns0:c>
      <ns0:c r="I987">
        <ns0:f>IF($H987=0,0,IFERROR(IF(AND(ABS($C987-INDEX('AH History'!$B$1:$B$18046,$H987))&lt;=MAX(0.005,ABS(INDEX('AH History'!$B$1:$B$18046,$H987))*0.00005),ABS($D987-INDEX('AH History'!$C$1:$C$18046,$H987))&lt;=MAX(0.005,ABS(INDEX('AH History'!$C$1:$C$18046,$H987))*0.00005),ABS($E987-INDEX('AH History'!$D$1:$D$18046,$H987))&lt;=0.00005,$F987=INDEX('AH History'!$E$1:$E$18046,$H987),$G987=INDEX('AH History'!$F$1:$F$18046,$H987)),1,-1),-1))</ns0:f>
        <ns0:v/>
      </ns0:c>
    </ns0:row>
    <ns0:row r="988">
      <ns0:c r="A988" s="215">
        <ns0:f>IF(OR(AH!$P$3=0,983+1&gt;AH!$P$11,AND(AH!$E$4&lt;&gt;"Stored",AH!$P$10&lt;&gt;1)),"",IFERROR(IF(AND(AH!$P$21=1,983+1=AH!$P$11),TODAY(),IF(AH!$P$10=1,INDEX('Live History'!$A$5:$A$3004,AH!$P$13+983),INDEX('AH History'!$A$1:$A$18046,AH!$P$7+983))),""))</ns0:f>
        <ns0:v/>
      </ns0:c>
      <ns0:c r="B988" s="219">
        <ns0:f>IFERROR(IF(AND(AH!$P$9&lt;&gt;1,$C988&gt;0,$D988&gt;0,$E988&gt;0,$F988&gt;0,$G988&gt;0,$F988&lt;=$A988,$G988&lt;=$A988,$A988-$F988&lt;=10,$A988-$G988&lt;=5),$D988*$E988/$C988-1,NA()),NA())</ns0:f>
        <ns0:v/>
      </ns0:c>
      <ns0:c r="C988">
        <ns0:f>IFERROR(IF(ISNUMBER($A988),IF(AND(AH!$P$10=1,AH!$P$12=1,$A988=TODAY()),AH!$P$19,IF(AH!$P$10=1,INDEX('Live History'!$B$5:$B$3004,AH!$P$13+983),INDEX('AH History'!$B$1:$B$18046,AH!$P$7+983))),NA()),NA())</ns0:f>
        <ns0:v/>
      </ns0:c>
      <ns0:c r="D988">
        <ns0:f>IFERROR(IF(ISNUMBER($A988),IF(AND(AH!$P$10=1,AH!$P$12=1,$A988=TODAY()),AH!$P$18,IF(AH!$P$10=1,INDEX('Live History'!$E$5:$E$3004,MATCH($A988,'Live History'!$D$5:$D$3004,1)),INDEX('AH History'!$C$1:$C$18046,AH!$P$7+983))),NA()),NA())</ns0:f>
        <ns0:v/>
      </ns0:c>
      <ns0:c r="E988">
        <ns0:f>IFERROR(IF(ISNUMBER($A988),IF(AND(AH!$P$10=1,AH!$P$12=1,$A988=TODAY()),AH!$P$20,IF(AH!$P$10=1,INDEX('Live History'!$H$5:$H$3004,MATCH($A988,'Live History'!$G$5:$G$3004,1)),INDEX('AH History'!$D$1:$D$18046,AH!$P$7+983))),NA()),NA())</ns0:f>
        <ns0:v/>
      </ns0:c>
      <ns0:c r="F988">
        <ns0:f>IFERROR(IF(ISNUMBER($A988),IF(AND(AH!$P$10=1,AH!$P$12=1,$A988=TODAY()),IF(AND(AH!$P$10=1,AH!$P$12=1,$A988=TODAY()),TODAY(),NA()),IF(AH!$P$10=1,INDEX('Live History'!$D$5:$D$3004,MATCH($A988,'Live History'!$D$5:$D$3004,1)),INDEX('AH History'!$E$1:$E$18046,AH!$P$7+983))),NA()),NA())</ns0:f>
        <ns0:v/>
      </ns0:c>
      <ns0:c r="G988">
        <ns0:f>IFERROR(IF(ISNUMBER($A988),IF(AND(AH!$P$10=1,AH!$P$12=1,$A988=TODAY()),IF(AND(AH!$P$10=1,AH!$P$12=1,$A988=TODAY()),TODAY(),NA()),IF(AH!$P$10=1,INDEX('Live History'!$G$5:$G$3004,MATCH($A988,'Live History'!$G$5:$G$3004,1)),INDEX('AH History'!$F$1:$F$18046,AH!$P$7+983))),NA()),NA())</ns0:f>
        <ns0:v/>
      </ns0:c>
      <ns0:c r="H988">
        <ns0:f>IFERROR(IF(AND(AH!$E$4="Bloomberg",AH!$P$10=1,ISNUMBER($A988),$A988&lt;=AH!$P$17),AH!$P$7-1+MATCH($A988,INDEX('AH History'!$A$1:$A$18046,AH!$P$7):INDEX('AH History'!$A$1:$A$18046,AH!$P$7+AH!$P$8-1),0),0),0)</ns0:f>
        <ns0:v/>
      </ns0:c>
      <ns0:c r="I988">
        <ns0:f>IF($H988=0,0,IFERROR(IF(AND(ABS($C988-INDEX('AH History'!$B$1:$B$18046,$H988))&lt;=MAX(0.005,ABS(INDEX('AH History'!$B$1:$B$18046,$H988))*0.00005),ABS($D988-INDEX('AH History'!$C$1:$C$18046,$H988))&lt;=MAX(0.005,ABS(INDEX('AH History'!$C$1:$C$18046,$H988))*0.00005),ABS($E988-INDEX('AH History'!$D$1:$D$18046,$H988))&lt;=0.00005,$F988=INDEX('AH History'!$E$1:$E$18046,$H988),$G988=INDEX('AH History'!$F$1:$F$18046,$H988)),1,-1),-1))</ns0:f>
        <ns0:v/>
      </ns0:c>
    </ns0:row>
    <ns0:row r="989">
      <ns0:c r="A989" s="215">
        <ns0:f>IF(OR(AH!$P$3=0,984+1&gt;AH!$P$11,AND(AH!$E$4&lt;&gt;"Stored",AH!$P$10&lt;&gt;1)),"",IFERROR(IF(AND(AH!$P$21=1,984+1=AH!$P$11),TODAY(),IF(AH!$P$10=1,INDEX('Live History'!$A$5:$A$3004,AH!$P$13+984),INDEX('AH History'!$A$1:$A$18046,AH!$P$7+984))),""))</ns0:f>
        <ns0:v/>
      </ns0:c>
      <ns0:c r="B989" s="219">
        <ns0:f>IFERROR(IF(AND(AH!$P$9&lt;&gt;1,$C989&gt;0,$D989&gt;0,$E989&gt;0,$F989&gt;0,$G989&gt;0,$F989&lt;=$A989,$G989&lt;=$A989,$A989-$F989&lt;=10,$A989-$G989&lt;=5),$D989*$E989/$C989-1,NA()),NA())</ns0:f>
        <ns0:v/>
      </ns0:c>
      <ns0:c r="C989">
        <ns0:f>IFERROR(IF(ISNUMBER($A989),IF(AND(AH!$P$10=1,AH!$P$12=1,$A989=TODAY()),AH!$P$19,IF(AH!$P$10=1,INDEX('Live History'!$B$5:$B$3004,AH!$P$13+984),INDEX('AH History'!$B$1:$B$18046,AH!$P$7+984))),NA()),NA())</ns0:f>
        <ns0:v/>
      </ns0:c>
      <ns0:c r="D989">
        <ns0:f>IFERROR(IF(ISNUMBER($A989),IF(AND(AH!$P$10=1,AH!$P$12=1,$A989=TODAY()),AH!$P$18,IF(AH!$P$10=1,INDEX('Live History'!$E$5:$E$3004,MATCH($A989,'Live History'!$D$5:$D$3004,1)),INDEX('AH History'!$C$1:$C$18046,AH!$P$7+984))),NA()),NA())</ns0:f>
        <ns0:v/>
      </ns0:c>
      <ns0:c r="E989">
        <ns0:f>IFERROR(IF(ISNUMBER($A989),IF(AND(AH!$P$10=1,AH!$P$12=1,$A989=TODAY()),AH!$P$20,IF(AH!$P$10=1,INDEX('Live History'!$H$5:$H$3004,MATCH($A989,'Live History'!$G$5:$G$3004,1)),INDEX('AH History'!$D$1:$D$18046,AH!$P$7+984))),NA()),NA())</ns0:f>
        <ns0:v/>
      </ns0:c>
      <ns0:c r="F989">
        <ns0:f>IFERROR(IF(ISNUMBER($A989),IF(AND(AH!$P$10=1,AH!$P$12=1,$A989=TODAY()),IF(AND(AH!$P$10=1,AH!$P$12=1,$A989=TODAY()),TODAY(),NA()),IF(AH!$P$10=1,INDEX('Live History'!$D$5:$D$3004,MATCH($A989,'Live History'!$D$5:$D$3004,1)),INDEX('AH History'!$E$1:$E$18046,AH!$P$7+984))),NA()),NA())</ns0:f>
        <ns0:v/>
      </ns0:c>
      <ns0:c r="G989">
        <ns0:f>IFERROR(IF(ISNUMBER($A989),IF(AND(AH!$P$10=1,AH!$P$12=1,$A989=TODAY()),IF(AND(AH!$P$10=1,AH!$P$12=1,$A989=TODAY()),TODAY(),NA()),IF(AH!$P$10=1,INDEX('Live History'!$G$5:$G$3004,MATCH($A989,'Live History'!$G$5:$G$3004,1)),INDEX('AH History'!$F$1:$F$18046,AH!$P$7+984))),NA()),NA())</ns0:f>
        <ns0:v/>
      </ns0:c>
      <ns0:c r="H989">
        <ns0:f>IFERROR(IF(AND(AH!$E$4="Bloomberg",AH!$P$10=1,ISNUMBER($A989),$A989&lt;=AH!$P$17),AH!$P$7-1+MATCH($A989,INDEX('AH History'!$A$1:$A$18046,AH!$P$7):INDEX('AH History'!$A$1:$A$18046,AH!$P$7+AH!$P$8-1),0),0),0)</ns0:f>
        <ns0:v/>
      </ns0:c>
      <ns0:c r="I989">
        <ns0:f>IF($H989=0,0,IFERROR(IF(AND(ABS($C989-INDEX('AH History'!$B$1:$B$18046,$H989))&lt;=MAX(0.005,ABS(INDEX('AH History'!$B$1:$B$18046,$H989))*0.00005),ABS($D989-INDEX('AH History'!$C$1:$C$18046,$H989))&lt;=MAX(0.005,ABS(INDEX('AH History'!$C$1:$C$18046,$H989))*0.00005),ABS($E989-INDEX('AH History'!$D$1:$D$18046,$H989))&lt;=0.00005,$F989=INDEX('AH History'!$E$1:$E$18046,$H989),$G989=INDEX('AH History'!$F$1:$F$18046,$H989)),1,-1),-1))</ns0:f>
        <ns0:v/>
      </ns0:c>
    </ns0:row>
    <ns0:row r="990">
      <ns0:c r="A990" s="215">
        <ns0:f>IF(OR(AH!$P$3=0,985+1&gt;AH!$P$11,AND(AH!$E$4&lt;&gt;"Stored",AH!$P$10&lt;&gt;1)),"",IFERROR(IF(AND(AH!$P$21=1,985+1=AH!$P$11),TODAY(),IF(AH!$P$10=1,INDEX('Live History'!$A$5:$A$3004,AH!$P$13+985),INDEX('AH History'!$A$1:$A$18046,AH!$P$7+985))),""))</ns0:f>
        <ns0:v/>
      </ns0:c>
      <ns0:c r="B990" s="219">
        <ns0:f>IFERROR(IF(AND(AH!$P$9&lt;&gt;1,$C990&gt;0,$D990&gt;0,$E990&gt;0,$F990&gt;0,$G990&gt;0,$F990&lt;=$A990,$G990&lt;=$A990,$A990-$F990&lt;=10,$A990-$G990&lt;=5),$D990*$E990/$C990-1,NA()),NA())</ns0:f>
        <ns0:v/>
      </ns0:c>
      <ns0:c r="C990">
        <ns0:f>IFERROR(IF(ISNUMBER($A990),IF(AND(AH!$P$10=1,AH!$P$12=1,$A990=TODAY()),AH!$P$19,IF(AH!$P$10=1,INDEX('Live History'!$B$5:$B$3004,AH!$P$13+985),INDEX('AH History'!$B$1:$B$18046,AH!$P$7+985))),NA()),NA())</ns0:f>
        <ns0:v/>
      </ns0:c>
      <ns0:c r="D990">
        <ns0:f>IFERROR(IF(ISNUMBER($A990),IF(AND(AH!$P$10=1,AH!$P$12=1,$A990=TODAY()),AH!$P$18,IF(AH!$P$10=1,INDEX('Live History'!$E$5:$E$3004,MATCH($A990,'Live History'!$D$5:$D$3004,1)),INDEX('AH History'!$C$1:$C$18046,AH!$P$7+985))),NA()),NA())</ns0:f>
        <ns0:v/>
      </ns0:c>
      <ns0:c r="E990">
        <ns0:f>IFERROR(IF(ISNUMBER($A990),IF(AND(AH!$P$10=1,AH!$P$12=1,$A990=TODAY()),AH!$P$20,IF(AH!$P$10=1,INDEX('Live History'!$H$5:$H$3004,MATCH($A990,'Live History'!$G$5:$G$3004,1)),INDEX('AH History'!$D$1:$D$18046,AH!$P$7+985))),NA()),NA())</ns0:f>
        <ns0:v/>
      </ns0:c>
      <ns0:c r="F990">
        <ns0:f>IFERROR(IF(ISNUMBER($A990),IF(AND(AH!$P$10=1,AH!$P$12=1,$A990=TODAY()),IF(AND(AH!$P$10=1,AH!$P$12=1,$A990=TODAY()),TODAY(),NA()),IF(AH!$P$10=1,INDEX('Live History'!$D$5:$D$3004,MATCH($A990,'Live History'!$D$5:$D$3004,1)),INDEX('AH History'!$E$1:$E$18046,AH!$P$7+985))),NA()),NA())</ns0:f>
        <ns0:v/>
      </ns0:c>
      <ns0:c r="G990">
        <ns0:f>IFERROR(IF(ISNUMBER($A990),IF(AND(AH!$P$10=1,AH!$P$12=1,$A990=TODAY()),IF(AND(AH!$P$10=1,AH!$P$12=1,$A990=TODAY()),TODAY(),NA()),IF(AH!$P$10=1,INDEX('Live History'!$G$5:$G$3004,MATCH($A990,'Live History'!$G$5:$G$3004,1)),INDEX('AH History'!$F$1:$F$18046,AH!$P$7+985))),NA()),NA())</ns0:f>
        <ns0:v/>
      </ns0:c>
      <ns0:c r="H990">
        <ns0:f>IFERROR(IF(AND(AH!$E$4="Bloomberg",AH!$P$10=1,ISNUMBER($A990),$A990&lt;=AH!$P$17),AH!$P$7-1+MATCH($A990,INDEX('AH History'!$A$1:$A$18046,AH!$P$7):INDEX('AH History'!$A$1:$A$18046,AH!$P$7+AH!$P$8-1),0),0),0)</ns0:f>
        <ns0:v/>
      </ns0:c>
      <ns0:c r="I990">
        <ns0:f>IF($H990=0,0,IFERROR(IF(AND(ABS($C990-INDEX('AH History'!$B$1:$B$18046,$H990))&lt;=MAX(0.005,ABS(INDEX('AH History'!$B$1:$B$18046,$H990))*0.00005),ABS($D990-INDEX('AH History'!$C$1:$C$18046,$H990))&lt;=MAX(0.005,ABS(INDEX('AH History'!$C$1:$C$18046,$H990))*0.00005),ABS($E990-INDEX('AH History'!$D$1:$D$18046,$H990))&lt;=0.00005,$F990=INDEX('AH History'!$E$1:$E$18046,$H990),$G990=INDEX('AH History'!$F$1:$F$18046,$H990)),1,-1),-1))</ns0:f>
        <ns0:v/>
      </ns0:c>
    </ns0:row>
    <ns0:row r="991">
      <ns0:c r="A991" s="215">
        <ns0:f>IF(OR(AH!$P$3=0,986+1&gt;AH!$P$11,AND(AH!$E$4&lt;&gt;"Stored",AH!$P$10&lt;&gt;1)),"",IFERROR(IF(AND(AH!$P$21=1,986+1=AH!$P$11),TODAY(),IF(AH!$P$10=1,INDEX('Live History'!$A$5:$A$3004,AH!$P$13+986),INDEX('AH History'!$A$1:$A$18046,AH!$P$7+986))),""))</ns0:f>
        <ns0:v/>
      </ns0:c>
      <ns0:c r="B991" s="219">
        <ns0:f>IFERROR(IF(AND(AH!$P$9&lt;&gt;1,$C991&gt;0,$D991&gt;0,$E991&gt;0,$F991&gt;0,$G991&gt;0,$F991&lt;=$A991,$G991&lt;=$A991,$A991-$F991&lt;=10,$A991-$G991&lt;=5),$D991*$E991/$C991-1,NA()),NA())</ns0:f>
        <ns0:v/>
      </ns0:c>
      <ns0:c r="C991">
        <ns0:f>IFERROR(IF(ISNUMBER($A991),IF(AND(AH!$P$10=1,AH!$P$12=1,$A991=TODAY()),AH!$P$19,IF(AH!$P$10=1,INDEX('Live History'!$B$5:$B$3004,AH!$P$13+986),INDEX('AH History'!$B$1:$B$18046,AH!$P$7+986))),NA()),NA())</ns0:f>
        <ns0:v/>
      </ns0:c>
      <ns0:c r="D991">
        <ns0:f>IFERROR(IF(ISNUMBER($A991),IF(AND(AH!$P$10=1,AH!$P$12=1,$A991=TODAY()),AH!$P$18,IF(AH!$P$10=1,INDEX('Live History'!$E$5:$E$3004,MATCH($A991,'Live History'!$D$5:$D$3004,1)),INDEX('AH History'!$C$1:$C$18046,AH!$P$7+986))),NA()),NA())</ns0:f>
        <ns0:v/>
      </ns0:c>
      <ns0:c r="E991">
        <ns0:f>IFERROR(IF(ISNUMBER($A991),IF(AND(AH!$P$10=1,AH!$P$12=1,$A991=TODAY()),AH!$P$20,IF(AH!$P$10=1,INDEX('Live History'!$H$5:$H$3004,MATCH($A991,'Live History'!$G$5:$G$3004,1)),INDEX('AH History'!$D$1:$D$18046,AH!$P$7+986))),NA()),NA())</ns0:f>
        <ns0:v/>
      </ns0:c>
      <ns0:c r="F991">
        <ns0:f>IFERROR(IF(ISNUMBER($A991),IF(AND(AH!$P$10=1,AH!$P$12=1,$A991=TODAY()),IF(AND(AH!$P$10=1,AH!$P$12=1,$A991=TODAY()),TODAY(),NA()),IF(AH!$P$10=1,INDEX('Live History'!$D$5:$D$3004,MATCH($A991,'Live History'!$D$5:$D$3004,1)),INDEX('AH History'!$E$1:$E$18046,AH!$P$7+986))),NA()),NA())</ns0:f>
        <ns0:v/>
      </ns0:c>
      <ns0:c r="G991">
        <ns0:f>IFERROR(IF(ISNUMBER($A991),IF(AND(AH!$P$10=1,AH!$P$12=1,$A991=TODAY()),IF(AND(AH!$P$10=1,AH!$P$12=1,$A991=TODAY()),TODAY(),NA()),IF(AH!$P$10=1,INDEX('Live History'!$G$5:$G$3004,MATCH($A991,'Live History'!$G$5:$G$3004,1)),INDEX('AH History'!$F$1:$F$18046,AH!$P$7+986))),NA()),NA())</ns0:f>
        <ns0:v/>
      </ns0:c>
      <ns0:c r="H991">
        <ns0:f>IFERROR(IF(AND(AH!$E$4="Bloomberg",AH!$P$10=1,ISNUMBER($A991),$A991&lt;=AH!$P$17),AH!$P$7-1+MATCH($A991,INDEX('AH History'!$A$1:$A$18046,AH!$P$7):INDEX('AH History'!$A$1:$A$18046,AH!$P$7+AH!$P$8-1),0),0),0)</ns0:f>
        <ns0:v/>
      </ns0:c>
      <ns0:c r="I991">
        <ns0:f>IF($H991=0,0,IFERROR(IF(AND(ABS($C991-INDEX('AH History'!$B$1:$B$18046,$H991))&lt;=MAX(0.005,ABS(INDEX('AH History'!$B$1:$B$18046,$H991))*0.00005),ABS($D991-INDEX('AH History'!$C$1:$C$18046,$H991))&lt;=MAX(0.005,ABS(INDEX('AH History'!$C$1:$C$18046,$H991))*0.00005),ABS($E991-INDEX('AH History'!$D$1:$D$18046,$H991))&lt;=0.00005,$F991=INDEX('AH History'!$E$1:$E$18046,$H991),$G991=INDEX('AH History'!$F$1:$F$18046,$H991)),1,-1),-1))</ns0:f>
        <ns0:v/>
      </ns0:c>
    </ns0:row>
    <ns0:row r="992">
      <ns0:c r="A992" s="215">
        <ns0:f>IF(OR(AH!$P$3=0,987+1&gt;AH!$P$11,AND(AH!$E$4&lt;&gt;"Stored",AH!$P$10&lt;&gt;1)),"",IFERROR(IF(AND(AH!$P$21=1,987+1=AH!$P$11),TODAY(),IF(AH!$P$10=1,INDEX('Live History'!$A$5:$A$3004,AH!$P$13+987),INDEX('AH History'!$A$1:$A$18046,AH!$P$7+987))),""))</ns0:f>
        <ns0:v/>
      </ns0:c>
      <ns0:c r="B992" s="219">
        <ns0:f>IFERROR(IF(AND(AH!$P$9&lt;&gt;1,$C992&gt;0,$D992&gt;0,$E992&gt;0,$F992&gt;0,$G992&gt;0,$F992&lt;=$A992,$G992&lt;=$A992,$A992-$F992&lt;=10,$A992-$G992&lt;=5),$D992*$E992/$C992-1,NA()),NA())</ns0:f>
        <ns0:v/>
      </ns0:c>
      <ns0:c r="C992">
        <ns0:f>IFERROR(IF(ISNUMBER($A992),IF(AND(AH!$P$10=1,AH!$P$12=1,$A992=TODAY()),AH!$P$19,IF(AH!$P$10=1,INDEX('Live History'!$B$5:$B$3004,AH!$P$13+987),INDEX('AH History'!$B$1:$B$18046,AH!$P$7+987))),NA()),NA())</ns0:f>
        <ns0:v/>
      </ns0:c>
      <ns0:c r="D992">
        <ns0:f>IFERROR(IF(ISNUMBER($A992),IF(AND(AH!$P$10=1,AH!$P$12=1,$A992=TODAY()),AH!$P$18,IF(AH!$P$10=1,INDEX('Live History'!$E$5:$E$3004,MATCH($A992,'Live History'!$D$5:$D$3004,1)),INDEX('AH History'!$C$1:$C$18046,AH!$P$7+987))),NA()),NA())</ns0:f>
        <ns0:v/>
      </ns0:c>
      <ns0:c r="E992">
        <ns0:f>IFERROR(IF(ISNUMBER($A992),IF(AND(AH!$P$10=1,AH!$P$12=1,$A992=TODAY()),AH!$P$20,IF(AH!$P$10=1,INDEX('Live History'!$H$5:$H$3004,MATCH($A992,'Live History'!$G$5:$G$3004,1)),INDEX('AH History'!$D$1:$D$18046,AH!$P$7+987))),NA()),NA())</ns0:f>
        <ns0:v/>
      </ns0:c>
      <ns0:c r="F992">
        <ns0:f>IFERROR(IF(ISNUMBER($A992),IF(AND(AH!$P$10=1,AH!$P$12=1,$A992=TODAY()),IF(AND(AH!$P$10=1,AH!$P$12=1,$A992=TODAY()),TODAY(),NA()),IF(AH!$P$10=1,INDEX('Live History'!$D$5:$D$3004,MATCH($A992,'Live History'!$D$5:$D$3004,1)),INDEX('AH History'!$E$1:$E$18046,AH!$P$7+987))),NA()),NA())</ns0:f>
        <ns0:v/>
      </ns0:c>
      <ns0:c r="G992">
        <ns0:f>IFERROR(IF(ISNUMBER($A992),IF(AND(AH!$P$10=1,AH!$P$12=1,$A992=TODAY()),IF(AND(AH!$P$10=1,AH!$P$12=1,$A992=TODAY()),TODAY(),NA()),IF(AH!$P$10=1,INDEX('Live History'!$G$5:$G$3004,MATCH($A992,'Live History'!$G$5:$G$3004,1)),INDEX('AH History'!$F$1:$F$18046,AH!$P$7+987))),NA()),NA())</ns0:f>
        <ns0:v/>
      </ns0:c>
      <ns0:c r="H992">
        <ns0:f>IFERROR(IF(AND(AH!$E$4="Bloomberg",AH!$P$10=1,ISNUMBER($A992),$A992&lt;=AH!$P$17),AH!$P$7-1+MATCH($A992,INDEX('AH History'!$A$1:$A$18046,AH!$P$7):INDEX('AH History'!$A$1:$A$18046,AH!$P$7+AH!$P$8-1),0),0),0)</ns0:f>
        <ns0:v/>
      </ns0:c>
      <ns0:c r="I992">
        <ns0:f>IF($H992=0,0,IFERROR(IF(AND(ABS($C992-INDEX('AH History'!$B$1:$B$18046,$H992))&lt;=MAX(0.005,ABS(INDEX('AH History'!$B$1:$B$18046,$H992))*0.00005),ABS($D992-INDEX('AH History'!$C$1:$C$18046,$H992))&lt;=MAX(0.005,ABS(INDEX('AH History'!$C$1:$C$18046,$H992))*0.00005),ABS($E992-INDEX('AH History'!$D$1:$D$18046,$H992))&lt;=0.00005,$F992=INDEX('AH History'!$E$1:$E$18046,$H992),$G992=INDEX('AH History'!$F$1:$F$18046,$H992)),1,-1),-1))</ns0:f>
        <ns0:v/>
      </ns0:c>
    </ns0:row>
    <ns0:row r="993">
      <ns0:c r="A993" s="215">
        <ns0:f>IF(OR(AH!$P$3=0,988+1&gt;AH!$P$11,AND(AH!$E$4&lt;&gt;"Stored",AH!$P$10&lt;&gt;1)),"",IFERROR(IF(AND(AH!$P$21=1,988+1=AH!$P$11),TODAY(),IF(AH!$P$10=1,INDEX('Live History'!$A$5:$A$3004,AH!$P$13+988),INDEX('AH History'!$A$1:$A$18046,AH!$P$7+988))),""))</ns0:f>
        <ns0:v/>
      </ns0:c>
      <ns0:c r="B993" s="219">
        <ns0:f>IFERROR(IF(AND(AH!$P$9&lt;&gt;1,$C993&gt;0,$D993&gt;0,$E993&gt;0,$F993&gt;0,$G993&gt;0,$F993&lt;=$A993,$G993&lt;=$A993,$A993-$F993&lt;=10,$A993-$G993&lt;=5),$D993*$E993/$C993-1,NA()),NA())</ns0:f>
        <ns0:v/>
      </ns0:c>
      <ns0:c r="C993">
        <ns0:f>IFERROR(IF(ISNUMBER($A993),IF(AND(AH!$P$10=1,AH!$P$12=1,$A993=TODAY()),AH!$P$19,IF(AH!$P$10=1,INDEX('Live History'!$B$5:$B$3004,AH!$P$13+988),INDEX('AH History'!$B$1:$B$18046,AH!$P$7+988))),NA()),NA())</ns0:f>
        <ns0:v/>
      </ns0:c>
      <ns0:c r="D993">
        <ns0:f>IFERROR(IF(ISNUMBER($A993),IF(AND(AH!$P$10=1,AH!$P$12=1,$A993=TODAY()),AH!$P$18,IF(AH!$P$10=1,INDEX('Live History'!$E$5:$E$3004,MATCH($A993,'Live History'!$D$5:$D$3004,1)),INDEX('AH History'!$C$1:$C$18046,AH!$P$7+988))),NA()),NA())</ns0:f>
        <ns0:v/>
      </ns0:c>
      <ns0:c r="E993">
        <ns0:f>IFERROR(IF(ISNUMBER($A993),IF(AND(AH!$P$10=1,AH!$P$12=1,$A993=TODAY()),AH!$P$20,IF(AH!$P$10=1,INDEX('Live History'!$H$5:$H$3004,MATCH($A993,'Live History'!$G$5:$G$3004,1)),INDEX('AH History'!$D$1:$D$18046,AH!$P$7+988))),NA()),NA())</ns0:f>
        <ns0:v/>
      </ns0:c>
      <ns0:c r="F993">
        <ns0:f>IFERROR(IF(ISNUMBER($A993),IF(AND(AH!$P$10=1,AH!$P$12=1,$A993=TODAY()),IF(AND(AH!$P$10=1,AH!$P$12=1,$A993=TODAY()),TODAY(),NA()),IF(AH!$P$10=1,INDEX('Live History'!$D$5:$D$3004,MATCH($A993,'Live History'!$D$5:$D$3004,1)),INDEX('AH History'!$E$1:$E$18046,AH!$P$7+988))),NA()),NA())</ns0:f>
        <ns0:v/>
      </ns0:c>
      <ns0:c r="G993">
        <ns0:f>IFERROR(IF(ISNUMBER($A993),IF(AND(AH!$P$10=1,AH!$P$12=1,$A993=TODAY()),IF(AND(AH!$P$10=1,AH!$P$12=1,$A993=TODAY()),TODAY(),NA()),IF(AH!$P$10=1,INDEX('Live History'!$G$5:$G$3004,MATCH($A993,'Live History'!$G$5:$G$3004,1)),INDEX('AH History'!$F$1:$F$18046,AH!$P$7+988))),NA()),NA())</ns0:f>
        <ns0:v/>
      </ns0:c>
      <ns0:c r="H993">
        <ns0:f>IFERROR(IF(AND(AH!$E$4="Bloomberg",AH!$P$10=1,ISNUMBER($A993),$A993&lt;=AH!$P$17),AH!$P$7-1+MATCH($A993,INDEX('AH History'!$A$1:$A$18046,AH!$P$7):INDEX('AH History'!$A$1:$A$18046,AH!$P$7+AH!$P$8-1),0),0),0)</ns0:f>
        <ns0:v/>
      </ns0:c>
      <ns0:c r="I993">
        <ns0:f>IF($H993=0,0,IFERROR(IF(AND(ABS($C993-INDEX('AH History'!$B$1:$B$18046,$H993))&lt;=MAX(0.005,ABS(INDEX('AH History'!$B$1:$B$18046,$H993))*0.00005),ABS($D993-INDEX('AH History'!$C$1:$C$18046,$H993))&lt;=MAX(0.005,ABS(INDEX('AH History'!$C$1:$C$18046,$H993))*0.00005),ABS($E993-INDEX('AH History'!$D$1:$D$18046,$H993))&lt;=0.00005,$F993=INDEX('AH History'!$E$1:$E$18046,$H993),$G993=INDEX('AH History'!$F$1:$F$18046,$H993)),1,-1),-1))</ns0:f>
        <ns0:v/>
      </ns0:c>
    </ns0:row>
    <ns0:row r="994">
      <ns0:c r="A994" s="215">
        <ns0:f>IF(OR(AH!$P$3=0,989+1&gt;AH!$P$11,AND(AH!$E$4&lt;&gt;"Stored",AH!$P$10&lt;&gt;1)),"",IFERROR(IF(AND(AH!$P$21=1,989+1=AH!$P$11),TODAY(),IF(AH!$P$10=1,INDEX('Live History'!$A$5:$A$3004,AH!$P$13+989),INDEX('AH History'!$A$1:$A$18046,AH!$P$7+989))),""))</ns0:f>
        <ns0:v/>
      </ns0:c>
      <ns0:c r="B994" s="219">
        <ns0:f>IFERROR(IF(AND(AH!$P$9&lt;&gt;1,$C994&gt;0,$D994&gt;0,$E994&gt;0,$F994&gt;0,$G994&gt;0,$F994&lt;=$A994,$G994&lt;=$A994,$A994-$F994&lt;=10,$A994-$G994&lt;=5),$D994*$E994/$C994-1,NA()),NA())</ns0:f>
        <ns0:v/>
      </ns0:c>
      <ns0:c r="C994">
        <ns0:f>IFERROR(IF(ISNUMBER($A994),IF(AND(AH!$P$10=1,AH!$P$12=1,$A994=TODAY()),AH!$P$19,IF(AH!$P$10=1,INDEX('Live History'!$B$5:$B$3004,AH!$P$13+989),INDEX('AH History'!$B$1:$B$18046,AH!$P$7+989))),NA()),NA())</ns0:f>
        <ns0:v/>
      </ns0:c>
      <ns0:c r="D994">
        <ns0:f>IFERROR(IF(ISNUMBER($A994),IF(AND(AH!$P$10=1,AH!$P$12=1,$A994=TODAY()),AH!$P$18,IF(AH!$P$10=1,INDEX('Live History'!$E$5:$E$3004,MATCH($A994,'Live History'!$D$5:$D$3004,1)),INDEX('AH History'!$C$1:$C$18046,AH!$P$7+989))),NA()),NA())</ns0:f>
        <ns0:v/>
      </ns0:c>
      <ns0:c r="E994">
        <ns0:f>IFERROR(IF(ISNUMBER($A994),IF(AND(AH!$P$10=1,AH!$P$12=1,$A994=TODAY()),AH!$P$20,IF(AH!$P$10=1,INDEX('Live History'!$H$5:$H$3004,MATCH($A994,'Live History'!$G$5:$G$3004,1)),INDEX('AH History'!$D$1:$D$18046,AH!$P$7+989))),NA()),NA())</ns0:f>
        <ns0:v/>
      </ns0:c>
      <ns0:c r="F994">
        <ns0:f>IFERROR(IF(ISNUMBER($A994),IF(AND(AH!$P$10=1,AH!$P$12=1,$A994=TODAY()),IF(AND(AH!$P$10=1,AH!$P$12=1,$A994=TODAY()),TODAY(),NA()),IF(AH!$P$10=1,INDEX('Live History'!$D$5:$D$3004,MATCH($A994,'Live History'!$D$5:$D$3004,1)),INDEX('AH History'!$E$1:$E$18046,AH!$P$7+989))),NA()),NA())</ns0:f>
        <ns0:v/>
      </ns0:c>
      <ns0:c r="G994">
        <ns0:f>IFERROR(IF(ISNUMBER($A994),IF(AND(AH!$P$10=1,AH!$P$12=1,$A994=TODAY()),IF(AND(AH!$P$10=1,AH!$P$12=1,$A994=TODAY()),TODAY(),NA()),IF(AH!$P$10=1,INDEX('Live History'!$G$5:$G$3004,MATCH($A994,'Live History'!$G$5:$G$3004,1)),INDEX('AH History'!$F$1:$F$18046,AH!$P$7+989))),NA()),NA())</ns0:f>
        <ns0:v/>
      </ns0:c>
      <ns0:c r="H994">
        <ns0:f>IFERROR(IF(AND(AH!$E$4="Bloomberg",AH!$P$10=1,ISNUMBER($A994),$A994&lt;=AH!$P$17),AH!$P$7-1+MATCH($A994,INDEX('AH History'!$A$1:$A$18046,AH!$P$7):INDEX('AH History'!$A$1:$A$18046,AH!$P$7+AH!$P$8-1),0),0),0)</ns0:f>
        <ns0:v/>
      </ns0:c>
      <ns0:c r="I994">
        <ns0:f>IF($H994=0,0,IFERROR(IF(AND(ABS($C994-INDEX('AH History'!$B$1:$B$18046,$H994))&lt;=MAX(0.005,ABS(INDEX('AH History'!$B$1:$B$18046,$H994))*0.00005),ABS($D994-INDEX('AH History'!$C$1:$C$18046,$H994))&lt;=MAX(0.005,ABS(INDEX('AH History'!$C$1:$C$18046,$H994))*0.00005),ABS($E994-INDEX('AH History'!$D$1:$D$18046,$H994))&lt;=0.00005,$F994=INDEX('AH History'!$E$1:$E$18046,$H994),$G994=INDEX('AH History'!$F$1:$F$18046,$H994)),1,-1),-1))</ns0:f>
        <ns0:v/>
      </ns0:c>
    </ns0:row>
    <ns0:row r="995">
      <ns0:c r="A995" s="215">
        <ns0:f>IF(OR(AH!$P$3=0,990+1&gt;AH!$P$11,AND(AH!$E$4&lt;&gt;"Stored",AH!$P$10&lt;&gt;1)),"",IFERROR(IF(AND(AH!$P$21=1,990+1=AH!$P$11),TODAY(),IF(AH!$P$10=1,INDEX('Live History'!$A$5:$A$3004,AH!$P$13+990),INDEX('AH History'!$A$1:$A$18046,AH!$P$7+990))),""))</ns0:f>
        <ns0:v/>
      </ns0:c>
      <ns0:c r="B995" s="219">
        <ns0:f>IFERROR(IF(AND(AH!$P$9&lt;&gt;1,$C995&gt;0,$D995&gt;0,$E995&gt;0,$F995&gt;0,$G995&gt;0,$F995&lt;=$A995,$G995&lt;=$A995,$A995-$F995&lt;=10,$A995-$G995&lt;=5),$D995*$E995/$C995-1,NA()),NA())</ns0:f>
        <ns0:v/>
      </ns0:c>
      <ns0:c r="C995">
        <ns0:f>IFERROR(IF(ISNUMBER($A995),IF(AND(AH!$P$10=1,AH!$P$12=1,$A995=TODAY()),AH!$P$19,IF(AH!$P$10=1,INDEX('Live History'!$B$5:$B$3004,AH!$P$13+990),INDEX('AH History'!$B$1:$B$18046,AH!$P$7+990))),NA()),NA())</ns0:f>
        <ns0:v/>
      </ns0:c>
      <ns0:c r="D995">
        <ns0:f>IFERROR(IF(ISNUMBER($A995),IF(AND(AH!$P$10=1,AH!$P$12=1,$A995=TODAY()),AH!$P$18,IF(AH!$P$10=1,INDEX('Live History'!$E$5:$E$3004,MATCH($A995,'Live History'!$D$5:$D$3004,1)),INDEX('AH History'!$C$1:$C$18046,AH!$P$7+990))),NA()),NA())</ns0:f>
        <ns0:v/>
      </ns0:c>
      <ns0:c r="E995">
        <ns0:f>IFERROR(IF(ISNUMBER($A995),IF(AND(AH!$P$10=1,AH!$P$12=1,$A995=TODAY()),AH!$P$20,IF(AH!$P$10=1,INDEX('Live History'!$H$5:$H$3004,MATCH($A995,'Live History'!$G$5:$G$3004,1)),INDEX('AH History'!$D$1:$D$18046,AH!$P$7+990))),NA()),NA())</ns0:f>
        <ns0:v/>
      </ns0:c>
      <ns0:c r="F995">
        <ns0:f>IFERROR(IF(ISNUMBER($A995),IF(AND(AH!$P$10=1,AH!$P$12=1,$A995=TODAY()),IF(AND(AH!$P$10=1,AH!$P$12=1,$A995=TODAY()),TODAY(),NA()),IF(AH!$P$10=1,INDEX('Live History'!$D$5:$D$3004,MATCH($A995,'Live History'!$D$5:$D$3004,1)),INDEX('AH History'!$E$1:$E$18046,AH!$P$7+990))),NA()),NA())</ns0:f>
        <ns0:v/>
      </ns0:c>
      <ns0:c r="G995">
        <ns0:f>IFERROR(IF(ISNUMBER($A995),IF(AND(AH!$P$10=1,AH!$P$12=1,$A995=TODAY()),IF(AND(AH!$P$10=1,AH!$P$12=1,$A995=TODAY()),TODAY(),NA()),IF(AH!$P$10=1,INDEX('Live History'!$G$5:$G$3004,MATCH($A995,'Live History'!$G$5:$G$3004,1)),INDEX('AH History'!$F$1:$F$18046,AH!$P$7+990))),NA()),NA())</ns0:f>
        <ns0:v/>
      </ns0:c>
      <ns0:c r="H995">
        <ns0:f>IFERROR(IF(AND(AH!$E$4="Bloomberg",AH!$P$10=1,ISNUMBER($A995),$A995&lt;=AH!$P$17),AH!$P$7-1+MATCH($A995,INDEX('AH History'!$A$1:$A$18046,AH!$P$7):INDEX('AH History'!$A$1:$A$18046,AH!$P$7+AH!$P$8-1),0),0),0)</ns0:f>
        <ns0:v/>
      </ns0:c>
      <ns0:c r="I995">
        <ns0:f>IF($H995=0,0,IFERROR(IF(AND(ABS($C995-INDEX('AH History'!$B$1:$B$18046,$H995))&lt;=MAX(0.005,ABS(INDEX('AH History'!$B$1:$B$18046,$H995))*0.00005),ABS($D995-INDEX('AH History'!$C$1:$C$18046,$H995))&lt;=MAX(0.005,ABS(INDEX('AH History'!$C$1:$C$18046,$H995))*0.00005),ABS($E995-INDEX('AH History'!$D$1:$D$18046,$H995))&lt;=0.00005,$F995=INDEX('AH History'!$E$1:$E$18046,$H995),$G995=INDEX('AH History'!$F$1:$F$18046,$H995)),1,-1),-1))</ns0:f>
        <ns0:v/>
      </ns0:c>
    </ns0:row>
    <ns0:row r="996">
      <ns0:c r="A996" s="215">
        <ns0:f>IF(OR(AH!$P$3=0,991+1&gt;AH!$P$11,AND(AH!$E$4&lt;&gt;"Stored",AH!$P$10&lt;&gt;1)),"",IFERROR(IF(AND(AH!$P$21=1,991+1=AH!$P$11),TODAY(),IF(AH!$P$10=1,INDEX('Live History'!$A$5:$A$3004,AH!$P$13+991),INDEX('AH History'!$A$1:$A$18046,AH!$P$7+991))),""))</ns0:f>
        <ns0:v/>
      </ns0:c>
      <ns0:c r="B996" s="219">
        <ns0:f>IFERROR(IF(AND(AH!$P$9&lt;&gt;1,$C996&gt;0,$D996&gt;0,$E996&gt;0,$F996&gt;0,$G996&gt;0,$F996&lt;=$A996,$G996&lt;=$A996,$A996-$F996&lt;=10,$A996-$G996&lt;=5),$D996*$E996/$C996-1,NA()),NA())</ns0:f>
        <ns0:v/>
      </ns0:c>
      <ns0:c r="C996">
        <ns0:f>IFERROR(IF(ISNUMBER($A996),IF(AND(AH!$P$10=1,AH!$P$12=1,$A996=TODAY()),AH!$P$19,IF(AH!$P$10=1,INDEX('Live History'!$B$5:$B$3004,AH!$P$13+991),INDEX('AH History'!$B$1:$B$18046,AH!$P$7+991))),NA()),NA())</ns0:f>
        <ns0:v/>
      </ns0:c>
      <ns0:c r="D996">
        <ns0:f>IFERROR(IF(ISNUMBER($A996),IF(AND(AH!$P$10=1,AH!$P$12=1,$A996=TODAY()),AH!$P$18,IF(AH!$P$10=1,INDEX('Live History'!$E$5:$E$3004,MATCH($A996,'Live History'!$D$5:$D$3004,1)),INDEX('AH History'!$C$1:$C$18046,AH!$P$7+991))),NA()),NA())</ns0:f>
        <ns0:v/>
      </ns0:c>
      <ns0:c r="E996">
        <ns0:f>IFERROR(IF(ISNUMBER($A996),IF(AND(AH!$P$10=1,AH!$P$12=1,$A996=TODAY()),AH!$P$20,IF(AH!$P$10=1,INDEX('Live History'!$H$5:$H$3004,MATCH($A996,'Live History'!$G$5:$G$3004,1)),INDEX('AH History'!$D$1:$D$18046,AH!$P$7+991))),NA()),NA())</ns0:f>
        <ns0:v/>
      </ns0:c>
      <ns0:c r="F996">
        <ns0:f>IFERROR(IF(ISNUMBER($A996),IF(AND(AH!$P$10=1,AH!$P$12=1,$A996=TODAY()),IF(AND(AH!$P$10=1,AH!$P$12=1,$A996=TODAY()),TODAY(),NA()),IF(AH!$P$10=1,INDEX('Live History'!$D$5:$D$3004,MATCH($A996,'Live History'!$D$5:$D$3004,1)),INDEX('AH History'!$E$1:$E$18046,AH!$P$7+991))),NA()),NA())</ns0:f>
        <ns0:v/>
      </ns0:c>
      <ns0:c r="G996">
        <ns0:f>IFERROR(IF(ISNUMBER($A996),IF(AND(AH!$P$10=1,AH!$P$12=1,$A996=TODAY()),IF(AND(AH!$P$10=1,AH!$P$12=1,$A996=TODAY()),TODAY(),NA()),IF(AH!$P$10=1,INDEX('Live History'!$G$5:$G$3004,MATCH($A996,'Live History'!$G$5:$G$3004,1)),INDEX('AH History'!$F$1:$F$18046,AH!$P$7+991))),NA()),NA())</ns0:f>
        <ns0:v/>
      </ns0:c>
      <ns0:c r="H996">
        <ns0:f>IFERROR(IF(AND(AH!$E$4="Bloomberg",AH!$P$10=1,ISNUMBER($A996),$A996&lt;=AH!$P$17),AH!$P$7-1+MATCH($A996,INDEX('AH History'!$A$1:$A$18046,AH!$P$7):INDEX('AH History'!$A$1:$A$18046,AH!$P$7+AH!$P$8-1),0),0),0)</ns0:f>
        <ns0:v/>
      </ns0:c>
      <ns0:c r="I996">
        <ns0:f>IF($H996=0,0,IFERROR(IF(AND(ABS($C996-INDEX('AH History'!$B$1:$B$18046,$H996))&lt;=MAX(0.005,ABS(INDEX('AH History'!$B$1:$B$18046,$H996))*0.00005),ABS($D996-INDEX('AH History'!$C$1:$C$18046,$H996))&lt;=MAX(0.005,ABS(INDEX('AH History'!$C$1:$C$18046,$H996))*0.00005),ABS($E996-INDEX('AH History'!$D$1:$D$18046,$H996))&lt;=0.00005,$F996=INDEX('AH History'!$E$1:$E$18046,$H996),$G996=INDEX('AH History'!$F$1:$F$18046,$H996)),1,-1),-1))</ns0:f>
        <ns0:v/>
      </ns0:c>
    </ns0:row>
    <ns0:row r="997">
      <ns0:c r="A997" s="215">
        <ns0:f>IF(OR(AH!$P$3=0,992+1&gt;AH!$P$11,AND(AH!$E$4&lt;&gt;"Stored",AH!$P$10&lt;&gt;1)),"",IFERROR(IF(AND(AH!$P$21=1,992+1=AH!$P$11),TODAY(),IF(AH!$P$10=1,INDEX('Live History'!$A$5:$A$3004,AH!$P$13+992),INDEX('AH History'!$A$1:$A$18046,AH!$P$7+992))),""))</ns0:f>
        <ns0:v/>
      </ns0:c>
      <ns0:c r="B997" s="219">
        <ns0:f>IFERROR(IF(AND(AH!$P$9&lt;&gt;1,$C997&gt;0,$D997&gt;0,$E997&gt;0,$F997&gt;0,$G997&gt;0,$F997&lt;=$A997,$G997&lt;=$A997,$A997-$F997&lt;=10,$A997-$G997&lt;=5),$D997*$E997/$C997-1,NA()),NA())</ns0:f>
        <ns0:v/>
      </ns0:c>
      <ns0:c r="C997">
        <ns0:f>IFERROR(IF(ISNUMBER($A997),IF(AND(AH!$P$10=1,AH!$P$12=1,$A997=TODAY()),AH!$P$19,IF(AH!$P$10=1,INDEX('Live History'!$B$5:$B$3004,AH!$P$13+992),INDEX('AH History'!$B$1:$B$18046,AH!$P$7+992))),NA()),NA())</ns0:f>
        <ns0:v/>
      </ns0:c>
      <ns0:c r="D997">
        <ns0:f>IFERROR(IF(ISNUMBER($A997),IF(AND(AH!$P$10=1,AH!$P$12=1,$A997=TODAY()),AH!$P$18,IF(AH!$P$10=1,INDEX('Live History'!$E$5:$E$3004,MATCH($A997,'Live History'!$D$5:$D$3004,1)),INDEX('AH History'!$C$1:$C$18046,AH!$P$7+992))),NA()),NA())</ns0:f>
        <ns0:v/>
      </ns0:c>
      <ns0:c r="E997">
        <ns0:f>IFERROR(IF(ISNUMBER($A997),IF(AND(AH!$P$10=1,AH!$P$12=1,$A997=TODAY()),AH!$P$20,IF(AH!$P$10=1,INDEX('Live History'!$H$5:$H$3004,MATCH($A997,'Live History'!$G$5:$G$3004,1)),INDEX('AH History'!$D$1:$D$18046,AH!$P$7+992))),NA()),NA())</ns0:f>
        <ns0:v/>
      </ns0:c>
      <ns0:c r="F997">
        <ns0:f>IFERROR(IF(ISNUMBER($A997),IF(AND(AH!$P$10=1,AH!$P$12=1,$A997=TODAY()),IF(AND(AH!$P$10=1,AH!$P$12=1,$A997=TODAY()),TODAY(),NA()),IF(AH!$P$10=1,INDEX('Live History'!$D$5:$D$3004,MATCH($A997,'Live History'!$D$5:$D$3004,1)),INDEX('AH History'!$E$1:$E$18046,AH!$P$7+992))),NA()),NA())</ns0:f>
        <ns0:v/>
      </ns0:c>
      <ns0:c r="G997">
        <ns0:f>IFERROR(IF(ISNUMBER($A997),IF(AND(AH!$P$10=1,AH!$P$12=1,$A997=TODAY()),IF(AND(AH!$P$10=1,AH!$P$12=1,$A997=TODAY()),TODAY(),NA()),IF(AH!$P$10=1,INDEX('Live History'!$G$5:$G$3004,MATCH($A997,'Live History'!$G$5:$G$3004,1)),INDEX('AH History'!$F$1:$F$18046,AH!$P$7+992))),NA()),NA())</ns0:f>
        <ns0:v/>
      </ns0:c>
      <ns0:c r="H997">
        <ns0:f>IFERROR(IF(AND(AH!$E$4="Bloomberg",AH!$P$10=1,ISNUMBER($A997),$A997&lt;=AH!$P$17),AH!$P$7-1+MATCH($A997,INDEX('AH History'!$A$1:$A$18046,AH!$P$7):INDEX('AH History'!$A$1:$A$18046,AH!$P$7+AH!$P$8-1),0),0),0)</ns0:f>
        <ns0:v/>
      </ns0:c>
      <ns0:c r="I997">
        <ns0:f>IF($H997=0,0,IFERROR(IF(AND(ABS($C997-INDEX('AH History'!$B$1:$B$18046,$H997))&lt;=MAX(0.005,ABS(INDEX('AH History'!$B$1:$B$18046,$H997))*0.00005),ABS($D997-INDEX('AH History'!$C$1:$C$18046,$H997))&lt;=MAX(0.005,ABS(INDEX('AH History'!$C$1:$C$18046,$H997))*0.00005),ABS($E997-INDEX('AH History'!$D$1:$D$18046,$H997))&lt;=0.00005,$F997=INDEX('AH History'!$E$1:$E$18046,$H997),$G997=INDEX('AH History'!$F$1:$F$18046,$H997)),1,-1),-1))</ns0:f>
        <ns0:v/>
      </ns0:c>
    </ns0:row>
    <ns0:row r="998">
      <ns0:c r="A998" s="215">
        <ns0:f>IF(OR(AH!$P$3=0,993+1&gt;AH!$P$11,AND(AH!$E$4&lt;&gt;"Stored",AH!$P$10&lt;&gt;1)),"",IFERROR(IF(AND(AH!$P$21=1,993+1=AH!$P$11),TODAY(),IF(AH!$P$10=1,INDEX('Live History'!$A$5:$A$3004,AH!$P$13+993),INDEX('AH History'!$A$1:$A$18046,AH!$P$7+993))),""))</ns0:f>
        <ns0:v/>
      </ns0:c>
      <ns0:c r="B998" s="219">
        <ns0:f>IFERROR(IF(AND(AH!$P$9&lt;&gt;1,$C998&gt;0,$D998&gt;0,$E998&gt;0,$F998&gt;0,$G998&gt;0,$F998&lt;=$A998,$G998&lt;=$A998,$A998-$F998&lt;=10,$A998-$G998&lt;=5),$D998*$E998/$C998-1,NA()),NA())</ns0:f>
        <ns0:v/>
      </ns0:c>
      <ns0:c r="C998">
        <ns0:f>IFERROR(IF(ISNUMBER($A998),IF(AND(AH!$P$10=1,AH!$P$12=1,$A998=TODAY()),AH!$P$19,IF(AH!$P$10=1,INDEX('Live History'!$B$5:$B$3004,AH!$P$13+993),INDEX('AH History'!$B$1:$B$18046,AH!$P$7+993))),NA()),NA())</ns0:f>
        <ns0:v/>
      </ns0:c>
      <ns0:c r="D998">
        <ns0:f>IFERROR(IF(ISNUMBER($A998),IF(AND(AH!$P$10=1,AH!$P$12=1,$A998=TODAY()),AH!$P$18,IF(AH!$P$10=1,INDEX('Live History'!$E$5:$E$3004,MATCH($A998,'Live History'!$D$5:$D$3004,1)),INDEX('AH History'!$C$1:$C$18046,AH!$P$7+993))),NA()),NA())</ns0:f>
        <ns0:v/>
      </ns0:c>
      <ns0:c r="E998">
        <ns0:f>IFERROR(IF(ISNUMBER($A998),IF(AND(AH!$P$10=1,AH!$P$12=1,$A998=TODAY()),AH!$P$20,IF(AH!$P$10=1,INDEX('Live History'!$H$5:$H$3004,MATCH($A998,'Live History'!$G$5:$G$3004,1)),INDEX('AH History'!$D$1:$D$18046,AH!$P$7+993))),NA()),NA())</ns0:f>
        <ns0:v/>
      </ns0:c>
      <ns0:c r="F998">
        <ns0:f>IFERROR(IF(ISNUMBER($A998),IF(AND(AH!$P$10=1,AH!$P$12=1,$A998=TODAY()),IF(AND(AH!$P$10=1,AH!$P$12=1,$A998=TODAY()),TODAY(),NA()),IF(AH!$P$10=1,INDEX('Live History'!$D$5:$D$3004,MATCH($A998,'Live History'!$D$5:$D$3004,1)),INDEX('AH History'!$E$1:$E$18046,AH!$P$7+993))),NA()),NA())</ns0:f>
        <ns0:v/>
      </ns0:c>
      <ns0:c r="G998">
        <ns0:f>IFERROR(IF(ISNUMBER($A998),IF(AND(AH!$P$10=1,AH!$P$12=1,$A998=TODAY()),IF(AND(AH!$P$10=1,AH!$P$12=1,$A998=TODAY()),TODAY(),NA()),IF(AH!$P$10=1,INDEX('Live History'!$G$5:$G$3004,MATCH($A998,'Live History'!$G$5:$G$3004,1)),INDEX('AH History'!$F$1:$F$18046,AH!$P$7+993))),NA()),NA())</ns0:f>
        <ns0:v/>
      </ns0:c>
      <ns0:c r="H998">
        <ns0:f>IFERROR(IF(AND(AH!$E$4="Bloomberg",AH!$P$10=1,ISNUMBER($A998),$A998&lt;=AH!$P$17),AH!$P$7-1+MATCH($A998,INDEX('AH History'!$A$1:$A$18046,AH!$P$7):INDEX('AH History'!$A$1:$A$18046,AH!$P$7+AH!$P$8-1),0),0),0)</ns0:f>
        <ns0:v/>
      </ns0:c>
      <ns0:c r="I998">
        <ns0:f>IF($H998=0,0,IFERROR(IF(AND(ABS($C998-INDEX('AH History'!$B$1:$B$18046,$H998))&lt;=MAX(0.005,ABS(INDEX('AH History'!$B$1:$B$18046,$H998))*0.00005),ABS($D998-INDEX('AH History'!$C$1:$C$18046,$H998))&lt;=MAX(0.005,ABS(INDEX('AH History'!$C$1:$C$18046,$H998))*0.00005),ABS($E998-INDEX('AH History'!$D$1:$D$18046,$H998))&lt;=0.00005,$F998=INDEX('AH History'!$E$1:$E$18046,$H998),$G998=INDEX('AH History'!$F$1:$F$18046,$H998)),1,-1),-1))</ns0:f>
        <ns0:v/>
      </ns0:c>
    </ns0:row>
    <ns0:row r="999">
      <ns0:c r="A999" s="215">
        <ns0:f>IF(OR(AH!$P$3=0,994+1&gt;AH!$P$11,AND(AH!$E$4&lt;&gt;"Stored",AH!$P$10&lt;&gt;1)),"",IFERROR(IF(AND(AH!$P$21=1,994+1=AH!$P$11),TODAY(),IF(AH!$P$10=1,INDEX('Live History'!$A$5:$A$3004,AH!$P$13+994),INDEX('AH History'!$A$1:$A$18046,AH!$P$7+994))),""))</ns0:f>
        <ns0:v/>
      </ns0:c>
      <ns0:c r="B999" s="219">
        <ns0:f>IFERROR(IF(AND(AH!$P$9&lt;&gt;1,$C999&gt;0,$D999&gt;0,$E999&gt;0,$F999&gt;0,$G999&gt;0,$F999&lt;=$A999,$G999&lt;=$A999,$A999-$F999&lt;=10,$A999-$G999&lt;=5),$D999*$E999/$C999-1,NA()),NA())</ns0:f>
        <ns0:v/>
      </ns0:c>
      <ns0:c r="C999">
        <ns0:f>IFERROR(IF(ISNUMBER($A999),IF(AND(AH!$P$10=1,AH!$P$12=1,$A999=TODAY()),AH!$P$19,IF(AH!$P$10=1,INDEX('Live History'!$B$5:$B$3004,AH!$P$13+994),INDEX('AH History'!$B$1:$B$18046,AH!$P$7+994))),NA()),NA())</ns0:f>
        <ns0:v/>
      </ns0:c>
      <ns0:c r="D999">
        <ns0:f>IFERROR(IF(ISNUMBER($A999),IF(AND(AH!$P$10=1,AH!$P$12=1,$A999=TODAY()),AH!$P$18,IF(AH!$P$10=1,INDEX('Live History'!$E$5:$E$3004,MATCH($A999,'Live History'!$D$5:$D$3004,1)),INDEX('AH History'!$C$1:$C$18046,AH!$P$7+994))),NA()),NA())</ns0:f>
        <ns0:v/>
      </ns0:c>
      <ns0:c r="E999">
        <ns0:f>IFERROR(IF(ISNUMBER($A999),IF(AND(AH!$P$10=1,AH!$P$12=1,$A999=TODAY()),AH!$P$20,IF(AH!$P$10=1,INDEX('Live History'!$H$5:$H$3004,MATCH($A999,'Live History'!$G$5:$G$3004,1)),INDEX('AH History'!$D$1:$D$18046,AH!$P$7+994))),NA()),NA())</ns0:f>
        <ns0:v/>
      </ns0:c>
      <ns0:c r="F999">
        <ns0:f>IFERROR(IF(ISNUMBER($A999),IF(AND(AH!$P$10=1,AH!$P$12=1,$A999=TODAY()),IF(AND(AH!$P$10=1,AH!$P$12=1,$A999=TODAY()),TODAY(),NA()),IF(AH!$P$10=1,INDEX('Live History'!$D$5:$D$3004,MATCH($A999,'Live History'!$D$5:$D$3004,1)),INDEX('AH History'!$E$1:$E$18046,AH!$P$7+994))),NA()),NA())</ns0:f>
        <ns0:v/>
      </ns0:c>
      <ns0:c r="G999">
        <ns0:f>IFERROR(IF(ISNUMBER($A999),IF(AND(AH!$P$10=1,AH!$P$12=1,$A999=TODAY()),IF(AND(AH!$P$10=1,AH!$P$12=1,$A999=TODAY()),TODAY(),NA()),IF(AH!$P$10=1,INDEX('Live History'!$G$5:$G$3004,MATCH($A999,'Live History'!$G$5:$G$3004,1)),INDEX('AH History'!$F$1:$F$18046,AH!$P$7+994))),NA()),NA())</ns0:f>
        <ns0:v/>
      </ns0:c>
      <ns0:c r="H999">
        <ns0:f>IFERROR(IF(AND(AH!$E$4="Bloomberg",AH!$P$10=1,ISNUMBER($A999),$A999&lt;=AH!$P$17),AH!$P$7-1+MATCH($A999,INDEX('AH History'!$A$1:$A$18046,AH!$P$7):INDEX('AH History'!$A$1:$A$18046,AH!$P$7+AH!$P$8-1),0),0),0)</ns0:f>
        <ns0:v/>
      </ns0:c>
      <ns0:c r="I999">
        <ns0:f>IF($H999=0,0,IFERROR(IF(AND(ABS($C999-INDEX('AH History'!$B$1:$B$18046,$H999))&lt;=MAX(0.005,ABS(INDEX('AH History'!$B$1:$B$18046,$H999))*0.00005),ABS($D999-INDEX('AH History'!$C$1:$C$18046,$H999))&lt;=MAX(0.005,ABS(INDEX('AH History'!$C$1:$C$18046,$H999))*0.00005),ABS($E999-INDEX('AH History'!$D$1:$D$18046,$H999))&lt;=0.00005,$F999=INDEX('AH History'!$E$1:$E$18046,$H999),$G999=INDEX('AH History'!$F$1:$F$18046,$H999)),1,-1),-1))</ns0:f>
        <ns0:v/>
      </ns0:c>
    </ns0:row>
    <ns0:row r="1000">
      <ns0:c r="A1000" s="215">
        <ns0:f>IF(OR(AH!$P$3=0,995+1&gt;AH!$P$11,AND(AH!$E$4&lt;&gt;"Stored",AH!$P$10&lt;&gt;1)),"",IFERROR(IF(AND(AH!$P$21=1,995+1=AH!$P$11),TODAY(),IF(AH!$P$10=1,INDEX('Live History'!$A$5:$A$3004,AH!$P$13+995),INDEX('AH History'!$A$1:$A$18046,AH!$P$7+995))),""))</ns0:f>
        <ns0:v/>
      </ns0:c>
      <ns0:c r="B1000" s="219">
        <ns0:f>IFERROR(IF(AND(AH!$P$9&lt;&gt;1,$C1000&gt;0,$D1000&gt;0,$E1000&gt;0,$F1000&gt;0,$G1000&gt;0,$F1000&lt;=$A1000,$G1000&lt;=$A1000,$A1000-$F1000&lt;=10,$A1000-$G1000&lt;=5),$D1000*$E1000/$C1000-1,NA()),NA())</ns0:f>
        <ns0:v/>
      </ns0:c>
      <ns0:c r="C1000">
        <ns0:f>IFERROR(IF(ISNUMBER($A1000),IF(AND(AH!$P$10=1,AH!$P$12=1,$A1000=TODAY()),AH!$P$19,IF(AH!$P$10=1,INDEX('Live History'!$B$5:$B$3004,AH!$P$13+995),INDEX('AH History'!$B$1:$B$18046,AH!$P$7+995))),NA()),NA())</ns0:f>
        <ns0:v/>
      </ns0:c>
      <ns0:c r="D1000">
        <ns0:f>IFERROR(IF(ISNUMBER($A1000),IF(AND(AH!$P$10=1,AH!$P$12=1,$A1000=TODAY()),AH!$P$18,IF(AH!$P$10=1,INDEX('Live History'!$E$5:$E$3004,MATCH($A1000,'Live History'!$D$5:$D$3004,1)),INDEX('AH History'!$C$1:$C$18046,AH!$P$7+995))),NA()),NA())</ns0:f>
        <ns0:v/>
      </ns0:c>
      <ns0:c r="E1000">
        <ns0:f>IFERROR(IF(ISNUMBER($A1000),IF(AND(AH!$P$10=1,AH!$P$12=1,$A1000=TODAY()),AH!$P$20,IF(AH!$P$10=1,INDEX('Live History'!$H$5:$H$3004,MATCH($A1000,'Live History'!$G$5:$G$3004,1)),INDEX('AH History'!$D$1:$D$18046,AH!$P$7+995))),NA()),NA())</ns0:f>
        <ns0:v/>
      </ns0:c>
      <ns0:c r="F1000">
        <ns0:f>IFERROR(IF(ISNUMBER($A1000),IF(AND(AH!$P$10=1,AH!$P$12=1,$A1000=TODAY()),IF(AND(AH!$P$10=1,AH!$P$12=1,$A1000=TODAY()),TODAY(),NA()),IF(AH!$P$10=1,INDEX('Live History'!$D$5:$D$3004,MATCH($A1000,'Live History'!$D$5:$D$3004,1)),INDEX('AH History'!$E$1:$E$18046,AH!$P$7+995))),NA()),NA())</ns0:f>
        <ns0:v/>
      </ns0:c>
      <ns0:c r="G1000">
        <ns0:f>IFERROR(IF(ISNUMBER($A1000),IF(AND(AH!$P$10=1,AH!$P$12=1,$A1000=TODAY()),IF(AND(AH!$P$10=1,AH!$P$12=1,$A1000=TODAY()),TODAY(),NA()),IF(AH!$P$10=1,INDEX('Live History'!$G$5:$G$3004,MATCH($A1000,'Live History'!$G$5:$G$3004,1)),INDEX('AH History'!$F$1:$F$18046,AH!$P$7+995))),NA()),NA())</ns0:f>
        <ns0:v/>
      </ns0:c>
      <ns0:c r="H1000">
        <ns0:f>IFERROR(IF(AND(AH!$E$4="Bloomberg",AH!$P$10=1,ISNUMBER($A1000),$A1000&lt;=AH!$P$17),AH!$P$7-1+MATCH($A1000,INDEX('AH History'!$A$1:$A$18046,AH!$P$7):INDEX('AH History'!$A$1:$A$18046,AH!$P$7+AH!$P$8-1),0),0),0)</ns0:f>
        <ns0:v/>
      </ns0:c>
      <ns0:c r="I1000">
        <ns0:f>IF($H1000=0,0,IFERROR(IF(AND(ABS($C1000-INDEX('AH History'!$B$1:$B$18046,$H1000))&lt;=MAX(0.005,ABS(INDEX('AH History'!$B$1:$B$18046,$H1000))*0.00005),ABS($D1000-INDEX('AH History'!$C$1:$C$18046,$H1000))&lt;=MAX(0.005,ABS(INDEX('AH History'!$C$1:$C$18046,$H1000))*0.00005),ABS($E1000-INDEX('AH History'!$D$1:$D$18046,$H1000))&lt;=0.00005,$F1000=INDEX('AH History'!$E$1:$E$18046,$H1000),$G1000=INDEX('AH History'!$F$1:$F$18046,$H1000)),1,-1),-1))</ns0:f>
        <ns0:v/>
      </ns0:c>
    </ns0:row>
    <ns0:row r="1001">
      <ns0:c r="A1001" s="215">
        <ns0:f>IF(OR(AH!$P$3=0,996+1&gt;AH!$P$11,AND(AH!$E$4&lt;&gt;"Stored",AH!$P$10&lt;&gt;1)),"",IFERROR(IF(AND(AH!$P$21=1,996+1=AH!$P$11),TODAY(),IF(AH!$P$10=1,INDEX('Live History'!$A$5:$A$3004,AH!$P$13+996),INDEX('AH History'!$A$1:$A$18046,AH!$P$7+996))),""))</ns0:f>
        <ns0:v/>
      </ns0:c>
      <ns0:c r="B1001" s="219">
        <ns0:f>IFERROR(IF(AND(AH!$P$9&lt;&gt;1,$C1001&gt;0,$D1001&gt;0,$E1001&gt;0,$F1001&gt;0,$G1001&gt;0,$F1001&lt;=$A1001,$G1001&lt;=$A1001,$A1001-$F1001&lt;=10,$A1001-$G1001&lt;=5),$D1001*$E1001/$C1001-1,NA()),NA())</ns0:f>
        <ns0:v/>
      </ns0:c>
      <ns0:c r="C1001">
        <ns0:f>IFERROR(IF(ISNUMBER($A1001),IF(AND(AH!$P$10=1,AH!$P$12=1,$A1001=TODAY()),AH!$P$19,IF(AH!$P$10=1,INDEX('Live History'!$B$5:$B$3004,AH!$P$13+996),INDEX('AH History'!$B$1:$B$18046,AH!$P$7+996))),NA()),NA())</ns0:f>
        <ns0:v/>
      </ns0:c>
      <ns0:c r="D1001">
        <ns0:f>IFERROR(IF(ISNUMBER($A1001),IF(AND(AH!$P$10=1,AH!$P$12=1,$A1001=TODAY()),AH!$P$18,IF(AH!$P$10=1,INDEX('Live History'!$E$5:$E$3004,MATCH($A1001,'Live History'!$D$5:$D$3004,1)),INDEX('AH History'!$C$1:$C$18046,AH!$P$7+996))),NA()),NA())</ns0:f>
        <ns0:v/>
      </ns0:c>
      <ns0:c r="E1001">
        <ns0:f>IFERROR(IF(ISNUMBER($A1001),IF(AND(AH!$P$10=1,AH!$P$12=1,$A1001=TODAY()),AH!$P$20,IF(AH!$P$10=1,INDEX('Live History'!$H$5:$H$3004,MATCH($A1001,'Live History'!$G$5:$G$3004,1)),INDEX('AH History'!$D$1:$D$18046,AH!$P$7+996))),NA()),NA())</ns0:f>
        <ns0:v/>
      </ns0:c>
      <ns0:c r="F1001">
        <ns0:f>IFERROR(IF(ISNUMBER($A1001),IF(AND(AH!$P$10=1,AH!$P$12=1,$A1001=TODAY()),IF(AND(AH!$P$10=1,AH!$P$12=1,$A1001=TODAY()),TODAY(),NA()),IF(AH!$P$10=1,INDEX('Live History'!$D$5:$D$3004,MATCH($A1001,'Live History'!$D$5:$D$3004,1)),INDEX('AH History'!$E$1:$E$18046,AH!$P$7+996))),NA()),NA())</ns0:f>
        <ns0:v/>
      </ns0:c>
      <ns0:c r="G1001">
        <ns0:f>IFERROR(IF(ISNUMBER($A1001),IF(AND(AH!$P$10=1,AH!$P$12=1,$A1001=TODAY()),IF(AND(AH!$P$10=1,AH!$P$12=1,$A1001=TODAY()),TODAY(),NA()),IF(AH!$P$10=1,INDEX('Live History'!$G$5:$G$3004,MATCH($A1001,'Live History'!$G$5:$G$3004,1)),INDEX('AH History'!$F$1:$F$18046,AH!$P$7+996))),NA()),NA())</ns0:f>
        <ns0:v/>
      </ns0:c>
      <ns0:c r="H1001">
        <ns0:f>IFERROR(IF(AND(AH!$E$4="Bloomberg",AH!$P$10=1,ISNUMBER($A1001),$A1001&lt;=AH!$P$17),AH!$P$7-1+MATCH($A1001,INDEX('AH History'!$A$1:$A$18046,AH!$P$7):INDEX('AH History'!$A$1:$A$18046,AH!$P$7+AH!$P$8-1),0),0),0)</ns0:f>
        <ns0:v/>
      </ns0:c>
      <ns0:c r="I1001">
        <ns0:f>IF($H1001=0,0,IFERROR(IF(AND(ABS($C1001-INDEX('AH History'!$B$1:$B$18046,$H1001))&lt;=MAX(0.005,ABS(INDEX('AH History'!$B$1:$B$18046,$H1001))*0.00005),ABS($D1001-INDEX('AH History'!$C$1:$C$18046,$H1001))&lt;=MAX(0.005,ABS(INDEX('AH History'!$C$1:$C$18046,$H1001))*0.00005),ABS($E1001-INDEX('AH History'!$D$1:$D$18046,$H1001))&lt;=0.00005,$F1001=INDEX('AH History'!$E$1:$E$18046,$H1001),$G1001=INDEX('AH History'!$F$1:$F$18046,$H1001)),1,-1),-1))</ns0:f>
        <ns0:v/>
      </ns0:c>
    </ns0:row>
    <ns0:row r="1002">
      <ns0:c r="A1002" s="215">
        <ns0:f>IF(OR(AH!$P$3=0,997+1&gt;AH!$P$11,AND(AH!$E$4&lt;&gt;"Stored",AH!$P$10&lt;&gt;1)),"",IFERROR(IF(AND(AH!$P$21=1,997+1=AH!$P$11),TODAY(),IF(AH!$P$10=1,INDEX('Live History'!$A$5:$A$3004,AH!$P$13+997),INDEX('AH History'!$A$1:$A$18046,AH!$P$7+997))),""))</ns0:f>
        <ns0:v/>
      </ns0:c>
      <ns0:c r="B1002" s="219">
        <ns0:f>IFERROR(IF(AND(AH!$P$9&lt;&gt;1,$C1002&gt;0,$D1002&gt;0,$E1002&gt;0,$F1002&gt;0,$G1002&gt;0,$F1002&lt;=$A1002,$G1002&lt;=$A1002,$A1002-$F1002&lt;=10,$A1002-$G1002&lt;=5),$D1002*$E1002/$C1002-1,NA()),NA())</ns0:f>
        <ns0:v/>
      </ns0:c>
      <ns0:c r="C1002">
        <ns0:f>IFERROR(IF(ISNUMBER($A1002),IF(AND(AH!$P$10=1,AH!$P$12=1,$A1002=TODAY()),AH!$P$19,IF(AH!$P$10=1,INDEX('Live History'!$B$5:$B$3004,AH!$P$13+997),INDEX('AH History'!$B$1:$B$18046,AH!$P$7+997))),NA()),NA())</ns0:f>
        <ns0:v/>
      </ns0:c>
      <ns0:c r="D1002">
        <ns0:f>IFERROR(IF(ISNUMBER($A1002),IF(AND(AH!$P$10=1,AH!$P$12=1,$A1002=TODAY()),AH!$P$18,IF(AH!$P$10=1,INDEX('Live History'!$E$5:$E$3004,MATCH($A1002,'Live History'!$D$5:$D$3004,1)),INDEX('AH History'!$C$1:$C$18046,AH!$P$7+997))),NA()),NA())</ns0:f>
        <ns0:v/>
      </ns0:c>
      <ns0:c r="E1002">
        <ns0:f>IFERROR(IF(ISNUMBER($A1002),IF(AND(AH!$P$10=1,AH!$P$12=1,$A1002=TODAY()),AH!$P$20,IF(AH!$P$10=1,INDEX('Live History'!$H$5:$H$3004,MATCH($A1002,'Live History'!$G$5:$G$3004,1)),INDEX('AH History'!$D$1:$D$18046,AH!$P$7+997))),NA()),NA())</ns0:f>
        <ns0:v/>
      </ns0:c>
      <ns0:c r="F1002">
        <ns0:f>IFERROR(IF(ISNUMBER($A1002),IF(AND(AH!$P$10=1,AH!$P$12=1,$A1002=TODAY()),IF(AND(AH!$P$10=1,AH!$P$12=1,$A1002=TODAY()),TODAY(),NA()),IF(AH!$P$10=1,INDEX('Live History'!$D$5:$D$3004,MATCH($A1002,'Live History'!$D$5:$D$3004,1)),INDEX('AH History'!$E$1:$E$18046,AH!$P$7+997))),NA()),NA())</ns0:f>
        <ns0:v/>
      </ns0:c>
      <ns0:c r="G1002">
        <ns0:f>IFERROR(IF(ISNUMBER($A1002),IF(AND(AH!$P$10=1,AH!$P$12=1,$A1002=TODAY()),IF(AND(AH!$P$10=1,AH!$P$12=1,$A1002=TODAY()),TODAY(),NA()),IF(AH!$P$10=1,INDEX('Live History'!$G$5:$G$3004,MATCH($A1002,'Live History'!$G$5:$G$3004,1)),INDEX('AH History'!$F$1:$F$18046,AH!$P$7+997))),NA()),NA())</ns0:f>
        <ns0:v/>
      </ns0:c>
      <ns0:c r="H1002">
        <ns0:f>IFERROR(IF(AND(AH!$E$4="Bloomberg",AH!$P$10=1,ISNUMBER($A1002),$A1002&lt;=AH!$P$17),AH!$P$7-1+MATCH($A1002,INDEX('AH History'!$A$1:$A$18046,AH!$P$7):INDEX('AH History'!$A$1:$A$18046,AH!$P$7+AH!$P$8-1),0),0),0)</ns0:f>
        <ns0:v/>
      </ns0:c>
      <ns0:c r="I1002">
        <ns0:f>IF($H1002=0,0,IFERROR(IF(AND(ABS($C1002-INDEX('AH History'!$B$1:$B$18046,$H1002))&lt;=MAX(0.005,ABS(INDEX('AH History'!$B$1:$B$18046,$H1002))*0.00005),ABS($D1002-INDEX('AH History'!$C$1:$C$18046,$H1002))&lt;=MAX(0.005,ABS(INDEX('AH History'!$C$1:$C$18046,$H1002))*0.00005),ABS($E1002-INDEX('AH History'!$D$1:$D$18046,$H1002))&lt;=0.00005,$F1002=INDEX('AH History'!$E$1:$E$18046,$H1002),$G1002=INDEX('AH History'!$F$1:$F$18046,$H1002)),1,-1),-1))</ns0:f>
        <ns0:v/>
      </ns0:c>
    </ns0:row>
    <ns0:row r="1003">
      <ns0:c r="A1003" s="215">
        <ns0:f>IF(OR(AH!$P$3=0,998+1&gt;AH!$P$11,AND(AH!$E$4&lt;&gt;"Stored",AH!$P$10&lt;&gt;1)),"",IFERROR(IF(AND(AH!$P$21=1,998+1=AH!$P$11),TODAY(),IF(AH!$P$10=1,INDEX('Live History'!$A$5:$A$3004,AH!$P$13+998),INDEX('AH History'!$A$1:$A$18046,AH!$P$7+998))),""))</ns0:f>
        <ns0:v/>
      </ns0:c>
      <ns0:c r="B1003" s="219">
        <ns0:f>IFERROR(IF(AND(AH!$P$9&lt;&gt;1,$C1003&gt;0,$D1003&gt;0,$E1003&gt;0,$F1003&gt;0,$G1003&gt;0,$F1003&lt;=$A1003,$G1003&lt;=$A1003,$A1003-$F1003&lt;=10,$A1003-$G1003&lt;=5),$D1003*$E1003/$C1003-1,NA()),NA())</ns0:f>
        <ns0:v/>
      </ns0:c>
      <ns0:c r="C1003">
        <ns0:f>IFERROR(IF(ISNUMBER($A1003),IF(AND(AH!$P$10=1,AH!$P$12=1,$A1003=TODAY()),AH!$P$19,IF(AH!$P$10=1,INDEX('Live History'!$B$5:$B$3004,AH!$P$13+998),INDEX('AH History'!$B$1:$B$18046,AH!$P$7+998))),NA()),NA())</ns0:f>
        <ns0:v/>
      </ns0:c>
      <ns0:c r="D1003">
        <ns0:f>IFERROR(IF(ISNUMBER($A1003),IF(AND(AH!$P$10=1,AH!$P$12=1,$A1003=TODAY()),AH!$P$18,IF(AH!$P$10=1,INDEX('Live History'!$E$5:$E$3004,MATCH($A1003,'Live History'!$D$5:$D$3004,1)),INDEX('AH History'!$C$1:$C$18046,AH!$P$7+998))),NA()),NA())</ns0:f>
        <ns0:v/>
      </ns0:c>
      <ns0:c r="E1003">
        <ns0:f>IFERROR(IF(ISNUMBER($A1003),IF(AND(AH!$P$10=1,AH!$P$12=1,$A1003=TODAY()),AH!$P$20,IF(AH!$P$10=1,INDEX('Live History'!$H$5:$H$3004,MATCH($A1003,'Live History'!$G$5:$G$3004,1)),INDEX('AH History'!$D$1:$D$18046,AH!$P$7+998))),NA()),NA())</ns0:f>
        <ns0:v/>
      </ns0:c>
      <ns0:c r="F1003">
        <ns0:f>IFERROR(IF(ISNUMBER($A1003),IF(AND(AH!$P$10=1,AH!$P$12=1,$A1003=TODAY()),IF(AND(AH!$P$10=1,AH!$P$12=1,$A1003=TODAY()),TODAY(),NA()),IF(AH!$P$10=1,INDEX('Live History'!$D$5:$D$3004,MATCH($A1003,'Live History'!$D$5:$D$3004,1)),INDEX('AH History'!$E$1:$E$18046,AH!$P$7+998))),NA()),NA())</ns0:f>
        <ns0:v/>
      </ns0:c>
      <ns0:c r="G1003">
        <ns0:f>IFERROR(IF(ISNUMBER($A1003),IF(AND(AH!$P$10=1,AH!$P$12=1,$A1003=TODAY()),IF(AND(AH!$P$10=1,AH!$P$12=1,$A1003=TODAY()),TODAY(),NA()),IF(AH!$P$10=1,INDEX('Live History'!$G$5:$G$3004,MATCH($A1003,'Live History'!$G$5:$G$3004,1)),INDEX('AH History'!$F$1:$F$18046,AH!$P$7+998))),NA()),NA())</ns0:f>
        <ns0:v/>
      </ns0:c>
      <ns0:c r="H1003">
        <ns0:f>IFERROR(IF(AND(AH!$E$4="Bloomberg",AH!$P$10=1,ISNUMBER($A1003),$A1003&lt;=AH!$P$17),AH!$P$7-1+MATCH($A1003,INDEX('AH History'!$A$1:$A$18046,AH!$P$7):INDEX('AH History'!$A$1:$A$18046,AH!$P$7+AH!$P$8-1),0),0),0)</ns0:f>
        <ns0:v/>
      </ns0:c>
      <ns0:c r="I1003">
        <ns0:f>IF($H1003=0,0,IFERROR(IF(AND(ABS($C1003-INDEX('AH History'!$B$1:$B$18046,$H1003))&lt;=MAX(0.005,ABS(INDEX('AH History'!$B$1:$B$18046,$H1003))*0.00005),ABS($D1003-INDEX('AH History'!$C$1:$C$18046,$H1003))&lt;=MAX(0.005,ABS(INDEX('AH History'!$C$1:$C$18046,$H1003))*0.00005),ABS($E1003-INDEX('AH History'!$D$1:$D$18046,$H1003))&lt;=0.00005,$F1003=INDEX('AH History'!$E$1:$E$18046,$H1003),$G1003=INDEX('AH History'!$F$1:$F$18046,$H1003)),1,-1),-1))</ns0:f>
        <ns0:v/>
      </ns0:c>
    </ns0:row>
    <ns0:row r="1004">
      <ns0:c r="A1004" s="215">
        <ns0:f>IF(OR(AH!$P$3=0,999+1&gt;AH!$P$11,AND(AH!$E$4&lt;&gt;"Stored",AH!$P$10&lt;&gt;1)),"",IFERROR(IF(AND(AH!$P$21=1,999+1=AH!$P$11),TODAY(),IF(AH!$P$10=1,INDEX('Live History'!$A$5:$A$3004,AH!$P$13+999),INDEX('AH History'!$A$1:$A$18046,AH!$P$7+999))),""))</ns0:f>
        <ns0:v/>
      </ns0:c>
      <ns0:c r="B1004" s="219">
        <ns0:f>IFERROR(IF(AND(AH!$P$9&lt;&gt;1,$C1004&gt;0,$D1004&gt;0,$E1004&gt;0,$F1004&gt;0,$G1004&gt;0,$F1004&lt;=$A1004,$G1004&lt;=$A1004,$A1004-$F1004&lt;=10,$A1004-$G1004&lt;=5),$D1004*$E1004/$C1004-1,NA()),NA())</ns0:f>
        <ns0:v/>
      </ns0:c>
      <ns0:c r="C1004">
        <ns0:f>IFERROR(IF(ISNUMBER($A1004),IF(AND(AH!$P$10=1,AH!$P$12=1,$A1004=TODAY()),AH!$P$19,IF(AH!$P$10=1,INDEX('Live History'!$B$5:$B$3004,AH!$P$13+999),INDEX('AH History'!$B$1:$B$18046,AH!$P$7+999))),NA()),NA())</ns0:f>
        <ns0:v/>
      </ns0:c>
      <ns0:c r="D1004">
        <ns0:f>IFERROR(IF(ISNUMBER($A1004),IF(AND(AH!$P$10=1,AH!$P$12=1,$A1004=TODAY()),AH!$P$18,IF(AH!$P$10=1,INDEX('Live History'!$E$5:$E$3004,MATCH($A1004,'Live History'!$D$5:$D$3004,1)),INDEX('AH History'!$C$1:$C$18046,AH!$P$7+999))),NA()),NA())</ns0:f>
        <ns0:v/>
      </ns0:c>
      <ns0:c r="E1004">
        <ns0:f>IFERROR(IF(ISNUMBER($A1004),IF(AND(AH!$P$10=1,AH!$P$12=1,$A1004=TODAY()),AH!$P$20,IF(AH!$P$10=1,INDEX('Live History'!$H$5:$H$3004,MATCH($A1004,'Live History'!$G$5:$G$3004,1)),INDEX('AH History'!$D$1:$D$18046,AH!$P$7+999))),NA()),NA())</ns0:f>
        <ns0:v/>
      </ns0:c>
      <ns0:c r="F1004">
        <ns0:f>IFERROR(IF(ISNUMBER($A1004),IF(AND(AH!$P$10=1,AH!$P$12=1,$A1004=TODAY()),IF(AND(AH!$P$10=1,AH!$P$12=1,$A1004=TODAY()),TODAY(),NA()),IF(AH!$P$10=1,INDEX('Live History'!$D$5:$D$3004,MATCH($A1004,'Live History'!$D$5:$D$3004,1)),INDEX('AH History'!$E$1:$E$18046,AH!$P$7+999))),NA()),NA())</ns0:f>
        <ns0:v/>
      </ns0:c>
      <ns0:c r="G1004">
        <ns0:f>IFERROR(IF(ISNUMBER($A1004),IF(AND(AH!$P$10=1,AH!$P$12=1,$A1004=TODAY()),IF(AND(AH!$P$10=1,AH!$P$12=1,$A1004=TODAY()),TODAY(),NA()),IF(AH!$P$10=1,INDEX('Live History'!$G$5:$G$3004,MATCH($A1004,'Live History'!$G$5:$G$3004,1)),INDEX('AH History'!$F$1:$F$18046,AH!$P$7+999))),NA()),NA())</ns0:f>
        <ns0:v/>
      </ns0:c>
      <ns0:c r="H1004">
        <ns0:f>IFERROR(IF(AND(AH!$E$4="Bloomberg",AH!$P$10=1,ISNUMBER($A1004),$A1004&lt;=AH!$P$17),AH!$P$7-1+MATCH($A1004,INDEX('AH History'!$A$1:$A$18046,AH!$P$7):INDEX('AH History'!$A$1:$A$18046,AH!$P$7+AH!$P$8-1),0),0),0)</ns0:f>
        <ns0:v/>
      </ns0:c>
      <ns0:c r="I1004">
        <ns0:f>IF($H1004=0,0,IFERROR(IF(AND(ABS($C1004-INDEX('AH History'!$B$1:$B$18046,$H1004))&lt;=MAX(0.005,ABS(INDEX('AH History'!$B$1:$B$18046,$H1004))*0.00005),ABS($D1004-INDEX('AH History'!$C$1:$C$18046,$H1004))&lt;=MAX(0.005,ABS(INDEX('AH History'!$C$1:$C$18046,$H1004))*0.00005),ABS($E1004-INDEX('AH History'!$D$1:$D$18046,$H1004))&lt;=0.00005,$F1004=INDEX('AH History'!$E$1:$E$18046,$H1004),$G1004=INDEX('AH History'!$F$1:$F$18046,$H1004)),1,-1),-1))</ns0:f>
        <ns0:v/>
      </ns0:c>
    </ns0:row>
    <ns0:row r="1005">
      <ns0:c r="A1005" s="215">
        <ns0:f>IF(OR(AH!$P$3=0,1000+1&gt;AH!$P$11,AND(AH!$E$4&lt;&gt;"Stored",AH!$P$10&lt;&gt;1)),"",IFERROR(IF(AND(AH!$P$21=1,1000+1=AH!$P$11),TODAY(),IF(AH!$P$10=1,INDEX('Live History'!$A$5:$A$3004,AH!$P$13+1000),INDEX('AH History'!$A$1:$A$18046,AH!$P$7+1000))),""))</ns0:f>
        <ns0:v/>
      </ns0:c>
      <ns0:c r="B1005" s="219">
        <ns0:f>IFERROR(IF(AND(AH!$P$9&lt;&gt;1,$C1005&gt;0,$D1005&gt;0,$E1005&gt;0,$F1005&gt;0,$G1005&gt;0,$F1005&lt;=$A1005,$G1005&lt;=$A1005,$A1005-$F1005&lt;=10,$A1005-$G1005&lt;=5),$D1005*$E1005/$C1005-1,NA()),NA())</ns0:f>
        <ns0:v/>
      </ns0:c>
      <ns0:c r="C1005">
        <ns0:f>IFERROR(IF(ISNUMBER($A1005),IF(AND(AH!$P$10=1,AH!$P$12=1,$A1005=TODAY()),AH!$P$19,IF(AH!$P$10=1,INDEX('Live History'!$B$5:$B$3004,AH!$P$13+1000),INDEX('AH History'!$B$1:$B$18046,AH!$P$7+1000))),NA()),NA())</ns0:f>
        <ns0:v/>
      </ns0:c>
      <ns0:c r="D1005">
        <ns0:f>IFERROR(IF(ISNUMBER($A1005),IF(AND(AH!$P$10=1,AH!$P$12=1,$A1005=TODAY()),AH!$P$18,IF(AH!$P$10=1,INDEX('Live History'!$E$5:$E$3004,MATCH($A1005,'Live History'!$D$5:$D$3004,1)),INDEX('AH History'!$C$1:$C$18046,AH!$P$7+1000))),NA()),NA())</ns0:f>
        <ns0:v/>
      </ns0:c>
      <ns0:c r="E1005">
        <ns0:f>IFERROR(IF(ISNUMBER($A1005),IF(AND(AH!$P$10=1,AH!$P$12=1,$A1005=TODAY()),AH!$P$20,IF(AH!$P$10=1,INDEX('Live History'!$H$5:$H$3004,MATCH($A1005,'Live History'!$G$5:$G$3004,1)),INDEX('AH History'!$D$1:$D$18046,AH!$P$7+1000))),NA()),NA())</ns0:f>
        <ns0:v/>
      </ns0:c>
      <ns0:c r="F1005">
        <ns0:f>IFERROR(IF(ISNUMBER($A1005),IF(AND(AH!$P$10=1,AH!$P$12=1,$A1005=TODAY()),IF(AND(AH!$P$10=1,AH!$P$12=1,$A1005=TODAY()),TODAY(),NA()),IF(AH!$P$10=1,INDEX('Live History'!$D$5:$D$3004,MATCH($A1005,'Live History'!$D$5:$D$3004,1)),INDEX('AH History'!$E$1:$E$18046,AH!$P$7+1000))),NA()),NA())</ns0:f>
        <ns0:v/>
      </ns0:c>
      <ns0:c r="G1005">
        <ns0:f>IFERROR(IF(ISNUMBER($A1005),IF(AND(AH!$P$10=1,AH!$P$12=1,$A1005=TODAY()),IF(AND(AH!$P$10=1,AH!$P$12=1,$A1005=TODAY()),TODAY(),NA()),IF(AH!$P$10=1,INDEX('Live History'!$G$5:$G$3004,MATCH($A1005,'Live History'!$G$5:$G$3004,1)),INDEX('AH History'!$F$1:$F$18046,AH!$P$7+1000))),NA()),NA())</ns0:f>
        <ns0:v/>
      </ns0:c>
      <ns0:c r="H1005">
        <ns0:f>IFERROR(IF(AND(AH!$E$4="Bloomberg",AH!$P$10=1,ISNUMBER($A1005),$A1005&lt;=AH!$P$17),AH!$P$7-1+MATCH($A1005,INDEX('AH History'!$A$1:$A$18046,AH!$P$7):INDEX('AH History'!$A$1:$A$18046,AH!$P$7+AH!$P$8-1),0),0),0)</ns0:f>
        <ns0:v/>
      </ns0:c>
      <ns0:c r="I1005">
        <ns0:f>IF($H1005=0,0,IFERROR(IF(AND(ABS($C1005-INDEX('AH History'!$B$1:$B$18046,$H1005))&lt;=MAX(0.005,ABS(INDEX('AH History'!$B$1:$B$18046,$H1005))*0.00005),ABS($D1005-INDEX('AH History'!$C$1:$C$18046,$H1005))&lt;=MAX(0.005,ABS(INDEX('AH History'!$C$1:$C$18046,$H1005))*0.00005),ABS($E1005-INDEX('AH History'!$D$1:$D$18046,$H1005))&lt;=0.00005,$F1005=INDEX('AH History'!$E$1:$E$18046,$H1005),$G1005=INDEX('AH History'!$F$1:$F$18046,$H1005)),1,-1),-1))</ns0:f>
        <ns0:v/>
      </ns0:c>
    </ns0:row>
    <ns0:row r="1006">
      <ns0:c r="A1006" s="215">
        <ns0:f>IF(OR(AH!$P$3=0,1001+1&gt;AH!$P$11,AND(AH!$E$4&lt;&gt;"Stored",AH!$P$10&lt;&gt;1)),"",IFERROR(IF(AND(AH!$P$21=1,1001+1=AH!$P$11),TODAY(),IF(AH!$P$10=1,INDEX('Live History'!$A$5:$A$3004,AH!$P$13+1001),INDEX('AH History'!$A$1:$A$18046,AH!$P$7+1001))),""))</ns0:f>
        <ns0:v/>
      </ns0:c>
      <ns0:c r="B1006" s="219">
        <ns0:f>IFERROR(IF(AND(AH!$P$9&lt;&gt;1,$C1006&gt;0,$D1006&gt;0,$E1006&gt;0,$F1006&gt;0,$G1006&gt;0,$F1006&lt;=$A1006,$G1006&lt;=$A1006,$A1006-$F1006&lt;=10,$A1006-$G1006&lt;=5),$D1006*$E1006/$C1006-1,NA()),NA())</ns0:f>
        <ns0:v/>
      </ns0:c>
      <ns0:c r="C1006">
        <ns0:f>IFERROR(IF(ISNUMBER($A1006),IF(AND(AH!$P$10=1,AH!$P$12=1,$A1006=TODAY()),AH!$P$19,IF(AH!$P$10=1,INDEX('Live History'!$B$5:$B$3004,AH!$P$13+1001),INDEX('AH History'!$B$1:$B$18046,AH!$P$7+1001))),NA()),NA())</ns0:f>
        <ns0:v/>
      </ns0:c>
      <ns0:c r="D1006">
        <ns0:f>IFERROR(IF(ISNUMBER($A1006),IF(AND(AH!$P$10=1,AH!$P$12=1,$A1006=TODAY()),AH!$P$18,IF(AH!$P$10=1,INDEX('Live History'!$E$5:$E$3004,MATCH($A1006,'Live History'!$D$5:$D$3004,1)),INDEX('AH History'!$C$1:$C$18046,AH!$P$7+1001))),NA()),NA())</ns0:f>
        <ns0:v/>
      </ns0:c>
      <ns0:c r="E1006">
        <ns0:f>IFERROR(IF(ISNUMBER($A1006),IF(AND(AH!$P$10=1,AH!$P$12=1,$A1006=TODAY()),AH!$P$20,IF(AH!$P$10=1,INDEX('Live History'!$H$5:$H$3004,MATCH($A1006,'Live History'!$G$5:$G$3004,1)),INDEX('AH History'!$D$1:$D$18046,AH!$P$7+1001))),NA()),NA())</ns0:f>
        <ns0:v/>
      </ns0:c>
      <ns0:c r="F1006">
        <ns0:f>IFERROR(IF(ISNUMBER($A1006),IF(AND(AH!$P$10=1,AH!$P$12=1,$A1006=TODAY()),IF(AND(AH!$P$10=1,AH!$P$12=1,$A1006=TODAY()),TODAY(),NA()),IF(AH!$P$10=1,INDEX('Live History'!$D$5:$D$3004,MATCH($A1006,'Live History'!$D$5:$D$3004,1)),INDEX('AH History'!$E$1:$E$18046,AH!$P$7+1001))),NA()),NA())</ns0:f>
        <ns0:v/>
      </ns0:c>
      <ns0:c r="G1006">
        <ns0:f>IFERROR(IF(ISNUMBER($A1006),IF(AND(AH!$P$10=1,AH!$P$12=1,$A1006=TODAY()),IF(AND(AH!$P$10=1,AH!$P$12=1,$A1006=TODAY()),TODAY(),NA()),IF(AH!$P$10=1,INDEX('Live History'!$G$5:$G$3004,MATCH($A1006,'Live History'!$G$5:$G$3004,1)),INDEX('AH History'!$F$1:$F$18046,AH!$P$7+1001))),NA()),NA())</ns0:f>
        <ns0:v/>
      </ns0:c>
      <ns0:c r="H1006">
        <ns0:f>IFERROR(IF(AND(AH!$E$4="Bloomberg",AH!$P$10=1,ISNUMBER($A1006),$A1006&lt;=AH!$P$17),AH!$P$7-1+MATCH($A1006,INDEX('AH History'!$A$1:$A$18046,AH!$P$7):INDEX('AH History'!$A$1:$A$18046,AH!$P$7+AH!$P$8-1),0),0),0)</ns0:f>
        <ns0:v/>
      </ns0:c>
      <ns0:c r="I1006">
        <ns0:f>IF($H1006=0,0,IFERROR(IF(AND(ABS($C1006-INDEX('AH History'!$B$1:$B$18046,$H1006))&lt;=MAX(0.005,ABS(INDEX('AH History'!$B$1:$B$18046,$H1006))*0.00005),ABS($D1006-INDEX('AH History'!$C$1:$C$18046,$H1006))&lt;=MAX(0.005,ABS(INDEX('AH History'!$C$1:$C$18046,$H1006))*0.00005),ABS($E1006-INDEX('AH History'!$D$1:$D$18046,$H1006))&lt;=0.00005,$F1006=INDEX('AH History'!$E$1:$E$18046,$H1006),$G1006=INDEX('AH History'!$F$1:$F$18046,$H1006)),1,-1),-1))</ns0:f>
        <ns0:v/>
      </ns0:c>
    </ns0:row>
    <ns0:row r="1007">
      <ns0:c r="A1007" s="215">
        <ns0:f>IF(OR(AH!$P$3=0,1002+1&gt;AH!$P$11,AND(AH!$E$4&lt;&gt;"Stored",AH!$P$10&lt;&gt;1)),"",IFERROR(IF(AND(AH!$P$21=1,1002+1=AH!$P$11),TODAY(),IF(AH!$P$10=1,INDEX('Live History'!$A$5:$A$3004,AH!$P$13+1002),INDEX('AH History'!$A$1:$A$18046,AH!$P$7+1002))),""))</ns0:f>
        <ns0:v/>
      </ns0:c>
      <ns0:c r="B1007" s="219">
        <ns0:f>IFERROR(IF(AND(AH!$P$9&lt;&gt;1,$C1007&gt;0,$D1007&gt;0,$E1007&gt;0,$F1007&gt;0,$G1007&gt;0,$F1007&lt;=$A1007,$G1007&lt;=$A1007,$A1007-$F1007&lt;=10,$A1007-$G1007&lt;=5),$D1007*$E1007/$C1007-1,NA()),NA())</ns0:f>
        <ns0:v/>
      </ns0:c>
      <ns0:c r="C1007">
        <ns0:f>IFERROR(IF(ISNUMBER($A1007),IF(AND(AH!$P$10=1,AH!$P$12=1,$A1007=TODAY()),AH!$P$19,IF(AH!$P$10=1,INDEX('Live History'!$B$5:$B$3004,AH!$P$13+1002),INDEX('AH History'!$B$1:$B$18046,AH!$P$7+1002))),NA()),NA())</ns0:f>
        <ns0:v/>
      </ns0:c>
      <ns0:c r="D1007">
        <ns0:f>IFERROR(IF(ISNUMBER($A1007),IF(AND(AH!$P$10=1,AH!$P$12=1,$A1007=TODAY()),AH!$P$18,IF(AH!$P$10=1,INDEX('Live History'!$E$5:$E$3004,MATCH($A1007,'Live History'!$D$5:$D$3004,1)),INDEX('AH History'!$C$1:$C$18046,AH!$P$7+1002))),NA()),NA())</ns0:f>
        <ns0:v/>
      </ns0:c>
      <ns0:c r="E1007">
        <ns0:f>IFERROR(IF(ISNUMBER($A1007),IF(AND(AH!$P$10=1,AH!$P$12=1,$A1007=TODAY()),AH!$P$20,IF(AH!$P$10=1,INDEX('Live History'!$H$5:$H$3004,MATCH($A1007,'Live History'!$G$5:$G$3004,1)),INDEX('AH History'!$D$1:$D$18046,AH!$P$7+1002))),NA()),NA())</ns0:f>
        <ns0:v/>
      </ns0:c>
      <ns0:c r="F1007">
        <ns0:f>IFERROR(IF(ISNUMBER($A1007),IF(AND(AH!$P$10=1,AH!$P$12=1,$A1007=TODAY()),IF(AND(AH!$P$10=1,AH!$P$12=1,$A1007=TODAY()),TODAY(),NA()),IF(AH!$P$10=1,INDEX('Live History'!$D$5:$D$3004,MATCH($A1007,'Live History'!$D$5:$D$3004,1)),INDEX('AH History'!$E$1:$E$18046,AH!$P$7+1002))),NA()),NA())</ns0:f>
        <ns0:v/>
      </ns0:c>
      <ns0:c r="G1007">
        <ns0:f>IFERROR(IF(ISNUMBER($A1007),IF(AND(AH!$P$10=1,AH!$P$12=1,$A1007=TODAY()),IF(AND(AH!$P$10=1,AH!$P$12=1,$A1007=TODAY()),TODAY(),NA()),IF(AH!$P$10=1,INDEX('Live History'!$G$5:$G$3004,MATCH($A1007,'Live History'!$G$5:$G$3004,1)),INDEX('AH History'!$F$1:$F$18046,AH!$P$7+1002))),NA()),NA())</ns0:f>
        <ns0:v/>
      </ns0:c>
      <ns0:c r="H1007">
        <ns0:f>IFERROR(IF(AND(AH!$E$4="Bloomberg",AH!$P$10=1,ISNUMBER($A1007),$A1007&lt;=AH!$P$17),AH!$P$7-1+MATCH($A1007,INDEX('AH History'!$A$1:$A$18046,AH!$P$7):INDEX('AH History'!$A$1:$A$18046,AH!$P$7+AH!$P$8-1),0),0),0)</ns0:f>
        <ns0:v/>
      </ns0:c>
      <ns0:c r="I1007">
        <ns0:f>IF($H1007=0,0,IFERROR(IF(AND(ABS($C1007-INDEX('AH History'!$B$1:$B$18046,$H1007))&lt;=MAX(0.005,ABS(INDEX('AH History'!$B$1:$B$18046,$H1007))*0.00005),ABS($D1007-INDEX('AH History'!$C$1:$C$18046,$H1007))&lt;=MAX(0.005,ABS(INDEX('AH History'!$C$1:$C$18046,$H1007))*0.00005),ABS($E1007-INDEX('AH History'!$D$1:$D$18046,$H1007))&lt;=0.00005,$F1007=INDEX('AH History'!$E$1:$E$18046,$H1007),$G1007=INDEX('AH History'!$F$1:$F$18046,$H1007)),1,-1),-1))</ns0:f>
        <ns0:v/>
      </ns0:c>
    </ns0:row>
    <ns0:row r="1008">
      <ns0:c r="A1008" s="215">
        <ns0:f>IF(OR(AH!$P$3=0,1003+1&gt;AH!$P$11,AND(AH!$E$4&lt;&gt;"Stored",AH!$P$10&lt;&gt;1)),"",IFERROR(IF(AND(AH!$P$21=1,1003+1=AH!$P$11),TODAY(),IF(AH!$P$10=1,INDEX('Live History'!$A$5:$A$3004,AH!$P$13+1003),INDEX('AH History'!$A$1:$A$18046,AH!$P$7+1003))),""))</ns0:f>
        <ns0:v/>
      </ns0:c>
      <ns0:c r="B1008" s="219">
        <ns0:f>IFERROR(IF(AND(AH!$P$9&lt;&gt;1,$C1008&gt;0,$D1008&gt;0,$E1008&gt;0,$F1008&gt;0,$G1008&gt;0,$F1008&lt;=$A1008,$G1008&lt;=$A1008,$A1008-$F1008&lt;=10,$A1008-$G1008&lt;=5),$D1008*$E1008/$C1008-1,NA()),NA())</ns0:f>
        <ns0:v/>
      </ns0:c>
      <ns0:c r="C1008">
        <ns0:f>IFERROR(IF(ISNUMBER($A1008),IF(AND(AH!$P$10=1,AH!$P$12=1,$A1008=TODAY()),AH!$P$19,IF(AH!$P$10=1,INDEX('Live History'!$B$5:$B$3004,AH!$P$13+1003),INDEX('AH History'!$B$1:$B$18046,AH!$P$7+1003))),NA()),NA())</ns0:f>
        <ns0:v/>
      </ns0:c>
      <ns0:c r="D1008">
        <ns0:f>IFERROR(IF(ISNUMBER($A1008),IF(AND(AH!$P$10=1,AH!$P$12=1,$A1008=TODAY()),AH!$P$18,IF(AH!$P$10=1,INDEX('Live History'!$E$5:$E$3004,MATCH($A1008,'Live History'!$D$5:$D$3004,1)),INDEX('AH History'!$C$1:$C$18046,AH!$P$7+1003))),NA()),NA())</ns0:f>
        <ns0:v/>
      </ns0:c>
      <ns0:c r="E1008">
        <ns0:f>IFERROR(IF(ISNUMBER($A1008),IF(AND(AH!$P$10=1,AH!$P$12=1,$A1008=TODAY()),AH!$P$20,IF(AH!$P$10=1,INDEX('Live History'!$H$5:$H$3004,MATCH($A1008,'Live History'!$G$5:$G$3004,1)),INDEX('AH History'!$D$1:$D$18046,AH!$P$7+1003))),NA()),NA())</ns0:f>
        <ns0:v/>
      </ns0:c>
      <ns0:c r="F1008">
        <ns0:f>IFERROR(IF(ISNUMBER($A1008),IF(AND(AH!$P$10=1,AH!$P$12=1,$A1008=TODAY()),IF(AND(AH!$P$10=1,AH!$P$12=1,$A1008=TODAY()),TODAY(),NA()),IF(AH!$P$10=1,INDEX('Live History'!$D$5:$D$3004,MATCH($A1008,'Live History'!$D$5:$D$3004,1)),INDEX('AH History'!$E$1:$E$18046,AH!$P$7+1003))),NA()),NA())</ns0:f>
        <ns0:v/>
      </ns0:c>
      <ns0:c r="G1008">
        <ns0:f>IFERROR(IF(ISNUMBER($A1008),IF(AND(AH!$P$10=1,AH!$P$12=1,$A1008=TODAY()),IF(AND(AH!$P$10=1,AH!$P$12=1,$A1008=TODAY()),TODAY(),NA()),IF(AH!$P$10=1,INDEX('Live History'!$G$5:$G$3004,MATCH($A1008,'Live History'!$G$5:$G$3004,1)),INDEX('AH History'!$F$1:$F$18046,AH!$P$7+1003))),NA()),NA())</ns0:f>
        <ns0:v/>
      </ns0:c>
      <ns0:c r="H1008">
        <ns0:f>IFERROR(IF(AND(AH!$E$4="Bloomberg",AH!$P$10=1,ISNUMBER($A1008),$A1008&lt;=AH!$P$17),AH!$P$7-1+MATCH($A1008,INDEX('AH History'!$A$1:$A$18046,AH!$P$7):INDEX('AH History'!$A$1:$A$18046,AH!$P$7+AH!$P$8-1),0),0),0)</ns0:f>
        <ns0:v/>
      </ns0:c>
      <ns0:c r="I1008">
        <ns0:f>IF($H1008=0,0,IFERROR(IF(AND(ABS($C1008-INDEX('AH History'!$B$1:$B$18046,$H1008))&lt;=MAX(0.005,ABS(INDEX('AH History'!$B$1:$B$18046,$H1008))*0.00005),ABS($D1008-INDEX('AH History'!$C$1:$C$18046,$H1008))&lt;=MAX(0.005,ABS(INDEX('AH History'!$C$1:$C$18046,$H1008))*0.00005),ABS($E1008-INDEX('AH History'!$D$1:$D$18046,$H1008))&lt;=0.00005,$F1008=INDEX('AH History'!$E$1:$E$18046,$H1008),$G1008=INDEX('AH History'!$F$1:$F$18046,$H1008)),1,-1),-1))</ns0:f>
        <ns0:v/>
      </ns0:c>
    </ns0:row>
    <ns0:row r="1009">
      <ns0:c r="A1009" s="215">
        <ns0:f>IF(OR(AH!$P$3=0,1004+1&gt;AH!$P$11,AND(AH!$E$4&lt;&gt;"Stored",AH!$P$10&lt;&gt;1)),"",IFERROR(IF(AND(AH!$P$21=1,1004+1=AH!$P$11),TODAY(),IF(AH!$P$10=1,INDEX('Live History'!$A$5:$A$3004,AH!$P$13+1004),INDEX('AH History'!$A$1:$A$18046,AH!$P$7+1004))),""))</ns0:f>
        <ns0:v/>
      </ns0:c>
      <ns0:c r="B1009" s="219">
        <ns0:f>IFERROR(IF(AND(AH!$P$9&lt;&gt;1,$C1009&gt;0,$D1009&gt;0,$E1009&gt;0,$F1009&gt;0,$G1009&gt;0,$F1009&lt;=$A1009,$G1009&lt;=$A1009,$A1009-$F1009&lt;=10,$A1009-$G1009&lt;=5),$D1009*$E1009/$C1009-1,NA()),NA())</ns0:f>
        <ns0:v/>
      </ns0:c>
      <ns0:c r="C1009">
        <ns0:f>IFERROR(IF(ISNUMBER($A1009),IF(AND(AH!$P$10=1,AH!$P$12=1,$A1009=TODAY()),AH!$P$19,IF(AH!$P$10=1,INDEX('Live History'!$B$5:$B$3004,AH!$P$13+1004),INDEX('AH History'!$B$1:$B$18046,AH!$P$7+1004))),NA()),NA())</ns0:f>
        <ns0:v/>
      </ns0:c>
      <ns0:c r="D1009">
        <ns0:f>IFERROR(IF(ISNUMBER($A1009),IF(AND(AH!$P$10=1,AH!$P$12=1,$A1009=TODAY()),AH!$P$18,IF(AH!$P$10=1,INDEX('Live History'!$E$5:$E$3004,MATCH($A1009,'Live History'!$D$5:$D$3004,1)),INDEX('AH History'!$C$1:$C$18046,AH!$P$7+1004))),NA()),NA())</ns0:f>
        <ns0:v/>
      </ns0:c>
      <ns0:c r="E1009">
        <ns0:f>IFERROR(IF(ISNUMBER($A1009),IF(AND(AH!$P$10=1,AH!$P$12=1,$A1009=TODAY()),AH!$P$20,IF(AH!$P$10=1,INDEX('Live History'!$H$5:$H$3004,MATCH($A1009,'Live History'!$G$5:$G$3004,1)),INDEX('AH History'!$D$1:$D$18046,AH!$P$7+1004))),NA()),NA())</ns0:f>
        <ns0:v/>
      </ns0:c>
      <ns0:c r="F1009">
        <ns0:f>IFERROR(IF(ISNUMBER($A1009),IF(AND(AH!$P$10=1,AH!$P$12=1,$A1009=TODAY()),IF(AND(AH!$P$10=1,AH!$P$12=1,$A1009=TODAY()),TODAY(),NA()),IF(AH!$P$10=1,INDEX('Live History'!$D$5:$D$3004,MATCH($A1009,'Live History'!$D$5:$D$3004,1)),INDEX('AH History'!$E$1:$E$18046,AH!$P$7+1004))),NA()),NA())</ns0:f>
        <ns0:v/>
      </ns0:c>
      <ns0:c r="G1009">
        <ns0:f>IFERROR(IF(ISNUMBER($A1009),IF(AND(AH!$P$10=1,AH!$P$12=1,$A1009=TODAY()),IF(AND(AH!$P$10=1,AH!$P$12=1,$A1009=TODAY()),TODAY(),NA()),IF(AH!$P$10=1,INDEX('Live History'!$G$5:$G$3004,MATCH($A1009,'Live History'!$G$5:$G$3004,1)),INDEX('AH History'!$F$1:$F$18046,AH!$P$7+1004))),NA()),NA())</ns0:f>
        <ns0:v/>
      </ns0:c>
      <ns0:c r="H1009">
        <ns0:f>IFERROR(IF(AND(AH!$E$4="Bloomberg",AH!$P$10=1,ISNUMBER($A1009),$A1009&lt;=AH!$P$17),AH!$P$7-1+MATCH($A1009,INDEX('AH History'!$A$1:$A$18046,AH!$P$7):INDEX('AH History'!$A$1:$A$18046,AH!$P$7+AH!$P$8-1),0),0),0)</ns0:f>
        <ns0:v/>
      </ns0:c>
      <ns0:c r="I1009">
        <ns0:f>IF($H1009=0,0,IFERROR(IF(AND(ABS($C1009-INDEX('AH History'!$B$1:$B$18046,$H1009))&lt;=MAX(0.005,ABS(INDEX('AH History'!$B$1:$B$18046,$H1009))*0.00005),ABS($D1009-INDEX('AH History'!$C$1:$C$18046,$H1009))&lt;=MAX(0.005,ABS(INDEX('AH History'!$C$1:$C$18046,$H1009))*0.00005),ABS($E1009-INDEX('AH History'!$D$1:$D$18046,$H1009))&lt;=0.00005,$F1009=INDEX('AH History'!$E$1:$E$18046,$H1009),$G1009=INDEX('AH History'!$F$1:$F$18046,$H1009)),1,-1),-1))</ns0:f>
        <ns0:v/>
      </ns0:c>
    </ns0:row>
    <ns0:row r="1010">
      <ns0:c r="A1010" s="215">
        <ns0:f>IF(OR(AH!$P$3=0,1005+1&gt;AH!$P$11,AND(AH!$E$4&lt;&gt;"Stored",AH!$P$10&lt;&gt;1)),"",IFERROR(IF(AND(AH!$P$21=1,1005+1=AH!$P$11),TODAY(),IF(AH!$P$10=1,INDEX('Live History'!$A$5:$A$3004,AH!$P$13+1005),INDEX('AH History'!$A$1:$A$18046,AH!$P$7+1005))),""))</ns0:f>
        <ns0:v/>
      </ns0:c>
      <ns0:c r="B1010" s="219">
        <ns0:f>IFERROR(IF(AND(AH!$P$9&lt;&gt;1,$C1010&gt;0,$D1010&gt;0,$E1010&gt;0,$F1010&gt;0,$G1010&gt;0,$F1010&lt;=$A1010,$G1010&lt;=$A1010,$A1010-$F1010&lt;=10,$A1010-$G1010&lt;=5),$D1010*$E1010/$C1010-1,NA()),NA())</ns0:f>
        <ns0:v/>
      </ns0:c>
      <ns0:c r="C1010">
        <ns0:f>IFERROR(IF(ISNUMBER($A1010),IF(AND(AH!$P$10=1,AH!$P$12=1,$A1010=TODAY()),AH!$P$19,IF(AH!$P$10=1,INDEX('Live History'!$B$5:$B$3004,AH!$P$13+1005),INDEX('AH History'!$B$1:$B$18046,AH!$P$7+1005))),NA()),NA())</ns0:f>
        <ns0:v/>
      </ns0:c>
      <ns0:c r="D1010">
        <ns0:f>IFERROR(IF(ISNUMBER($A1010),IF(AND(AH!$P$10=1,AH!$P$12=1,$A1010=TODAY()),AH!$P$18,IF(AH!$P$10=1,INDEX('Live History'!$E$5:$E$3004,MATCH($A1010,'Live History'!$D$5:$D$3004,1)),INDEX('AH History'!$C$1:$C$18046,AH!$P$7+1005))),NA()),NA())</ns0:f>
        <ns0:v/>
      </ns0:c>
      <ns0:c r="E1010">
        <ns0:f>IFERROR(IF(ISNUMBER($A1010),IF(AND(AH!$P$10=1,AH!$P$12=1,$A1010=TODAY()),AH!$P$20,IF(AH!$P$10=1,INDEX('Live History'!$H$5:$H$3004,MATCH($A1010,'Live History'!$G$5:$G$3004,1)),INDEX('AH History'!$D$1:$D$18046,AH!$P$7+1005))),NA()),NA())</ns0:f>
        <ns0:v/>
      </ns0:c>
      <ns0:c r="F1010">
        <ns0:f>IFERROR(IF(ISNUMBER($A1010),IF(AND(AH!$P$10=1,AH!$P$12=1,$A1010=TODAY()),IF(AND(AH!$P$10=1,AH!$P$12=1,$A1010=TODAY()),TODAY(),NA()),IF(AH!$P$10=1,INDEX('Live History'!$D$5:$D$3004,MATCH($A1010,'Live History'!$D$5:$D$3004,1)),INDEX('AH History'!$E$1:$E$18046,AH!$P$7+1005))),NA()),NA())</ns0:f>
        <ns0:v/>
      </ns0:c>
      <ns0:c r="G1010">
        <ns0:f>IFERROR(IF(ISNUMBER($A1010),IF(AND(AH!$P$10=1,AH!$P$12=1,$A1010=TODAY()),IF(AND(AH!$P$10=1,AH!$P$12=1,$A1010=TODAY()),TODAY(),NA()),IF(AH!$P$10=1,INDEX('Live History'!$G$5:$G$3004,MATCH($A1010,'Live History'!$G$5:$G$3004,1)),INDEX('AH History'!$F$1:$F$18046,AH!$P$7+1005))),NA()),NA())</ns0:f>
        <ns0:v/>
      </ns0:c>
      <ns0:c r="H1010">
        <ns0:f>IFERROR(IF(AND(AH!$E$4="Bloomberg",AH!$P$10=1,ISNUMBER($A1010),$A1010&lt;=AH!$P$17),AH!$P$7-1+MATCH($A1010,INDEX('AH History'!$A$1:$A$18046,AH!$P$7):INDEX('AH History'!$A$1:$A$18046,AH!$P$7+AH!$P$8-1),0),0),0)</ns0:f>
        <ns0:v/>
      </ns0:c>
      <ns0:c r="I1010">
        <ns0:f>IF($H1010=0,0,IFERROR(IF(AND(ABS($C1010-INDEX('AH History'!$B$1:$B$18046,$H1010))&lt;=MAX(0.005,ABS(INDEX('AH History'!$B$1:$B$18046,$H1010))*0.00005),ABS($D1010-INDEX('AH History'!$C$1:$C$18046,$H1010))&lt;=MAX(0.005,ABS(INDEX('AH History'!$C$1:$C$18046,$H1010))*0.00005),ABS($E1010-INDEX('AH History'!$D$1:$D$18046,$H1010))&lt;=0.00005,$F1010=INDEX('AH History'!$E$1:$E$18046,$H1010),$G1010=INDEX('AH History'!$F$1:$F$18046,$H1010)),1,-1),-1))</ns0:f>
        <ns0:v/>
      </ns0:c>
    </ns0:row>
    <ns0:row r="1011">
      <ns0:c r="A1011" s="215">
        <ns0:f>IF(OR(AH!$P$3=0,1006+1&gt;AH!$P$11,AND(AH!$E$4&lt;&gt;"Stored",AH!$P$10&lt;&gt;1)),"",IFERROR(IF(AND(AH!$P$21=1,1006+1=AH!$P$11),TODAY(),IF(AH!$P$10=1,INDEX('Live History'!$A$5:$A$3004,AH!$P$13+1006),INDEX('AH History'!$A$1:$A$18046,AH!$P$7+1006))),""))</ns0:f>
        <ns0:v/>
      </ns0:c>
      <ns0:c r="B1011" s="219">
        <ns0:f>IFERROR(IF(AND(AH!$P$9&lt;&gt;1,$C1011&gt;0,$D1011&gt;0,$E1011&gt;0,$F1011&gt;0,$G1011&gt;0,$F1011&lt;=$A1011,$G1011&lt;=$A1011,$A1011-$F1011&lt;=10,$A1011-$G1011&lt;=5),$D1011*$E1011/$C1011-1,NA()),NA())</ns0:f>
        <ns0:v/>
      </ns0:c>
      <ns0:c r="C1011">
        <ns0:f>IFERROR(IF(ISNUMBER($A1011),IF(AND(AH!$P$10=1,AH!$P$12=1,$A1011=TODAY()),AH!$P$19,IF(AH!$P$10=1,INDEX('Live History'!$B$5:$B$3004,AH!$P$13+1006),INDEX('AH History'!$B$1:$B$18046,AH!$P$7+1006))),NA()),NA())</ns0:f>
        <ns0:v/>
      </ns0:c>
      <ns0:c r="D1011">
        <ns0:f>IFERROR(IF(ISNUMBER($A1011),IF(AND(AH!$P$10=1,AH!$P$12=1,$A1011=TODAY()),AH!$P$18,IF(AH!$P$10=1,INDEX('Live History'!$E$5:$E$3004,MATCH($A1011,'Live History'!$D$5:$D$3004,1)),INDEX('AH History'!$C$1:$C$18046,AH!$P$7+1006))),NA()),NA())</ns0:f>
        <ns0:v/>
      </ns0:c>
      <ns0:c r="E1011">
        <ns0:f>IFERROR(IF(ISNUMBER($A1011),IF(AND(AH!$P$10=1,AH!$P$12=1,$A1011=TODAY()),AH!$P$20,IF(AH!$P$10=1,INDEX('Live History'!$H$5:$H$3004,MATCH($A1011,'Live History'!$G$5:$G$3004,1)),INDEX('AH History'!$D$1:$D$18046,AH!$P$7+1006))),NA()),NA())</ns0:f>
        <ns0:v/>
      </ns0:c>
      <ns0:c r="F1011">
        <ns0:f>IFERROR(IF(ISNUMBER($A1011),IF(AND(AH!$P$10=1,AH!$P$12=1,$A1011=TODAY()),IF(AND(AH!$P$10=1,AH!$P$12=1,$A1011=TODAY()),TODAY(),NA()),IF(AH!$P$10=1,INDEX('Live History'!$D$5:$D$3004,MATCH($A1011,'Live History'!$D$5:$D$3004,1)),INDEX('AH History'!$E$1:$E$18046,AH!$P$7+1006))),NA()),NA())</ns0:f>
        <ns0:v/>
      </ns0:c>
      <ns0:c r="G1011">
        <ns0:f>IFERROR(IF(ISNUMBER($A1011),IF(AND(AH!$P$10=1,AH!$P$12=1,$A1011=TODAY()),IF(AND(AH!$P$10=1,AH!$P$12=1,$A1011=TODAY()),TODAY(),NA()),IF(AH!$P$10=1,INDEX('Live History'!$G$5:$G$3004,MATCH($A1011,'Live History'!$G$5:$G$3004,1)),INDEX('AH History'!$F$1:$F$18046,AH!$P$7+1006))),NA()),NA())</ns0:f>
        <ns0:v/>
      </ns0:c>
      <ns0:c r="H1011">
        <ns0:f>IFERROR(IF(AND(AH!$E$4="Bloomberg",AH!$P$10=1,ISNUMBER($A1011),$A1011&lt;=AH!$P$17),AH!$P$7-1+MATCH($A1011,INDEX('AH History'!$A$1:$A$18046,AH!$P$7):INDEX('AH History'!$A$1:$A$18046,AH!$P$7+AH!$P$8-1),0),0),0)</ns0:f>
        <ns0:v/>
      </ns0:c>
      <ns0:c r="I1011">
        <ns0:f>IF($H1011=0,0,IFERROR(IF(AND(ABS($C1011-INDEX('AH History'!$B$1:$B$18046,$H1011))&lt;=MAX(0.005,ABS(INDEX('AH History'!$B$1:$B$18046,$H1011))*0.00005),ABS($D1011-INDEX('AH History'!$C$1:$C$18046,$H1011))&lt;=MAX(0.005,ABS(INDEX('AH History'!$C$1:$C$18046,$H1011))*0.00005),ABS($E1011-INDEX('AH History'!$D$1:$D$18046,$H1011))&lt;=0.00005,$F1011=INDEX('AH History'!$E$1:$E$18046,$H1011),$G1011=INDEX('AH History'!$F$1:$F$18046,$H1011)),1,-1),-1))</ns0:f>
        <ns0:v/>
      </ns0:c>
    </ns0:row>
    <ns0:row r="1012">
      <ns0:c r="A1012" s="215">
        <ns0:f>IF(OR(AH!$P$3=0,1007+1&gt;AH!$P$11,AND(AH!$E$4&lt;&gt;"Stored",AH!$P$10&lt;&gt;1)),"",IFERROR(IF(AND(AH!$P$21=1,1007+1=AH!$P$11),TODAY(),IF(AH!$P$10=1,INDEX('Live History'!$A$5:$A$3004,AH!$P$13+1007),INDEX('AH History'!$A$1:$A$18046,AH!$P$7+1007))),""))</ns0:f>
        <ns0:v/>
      </ns0:c>
      <ns0:c r="B1012" s="219">
        <ns0:f>IFERROR(IF(AND(AH!$P$9&lt;&gt;1,$C1012&gt;0,$D1012&gt;0,$E1012&gt;0,$F1012&gt;0,$G1012&gt;0,$F1012&lt;=$A1012,$G1012&lt;=$A1012,$A1012-$F1012&lt;=10,$A1012-$G1012&lt;=5),$D1012*$E1012/$C1012-1,NA()),NA())</ns0:f>
        <ns0:v/>
      </ns0:c>
      <ns0:c r="C1012">
        <ns0:f>IFERROR(IF(ISNUMBER($A1012),IF(AND(AH!$P$10=1,AH!$P$12=1,$A1012=TODAY()),AH!$P$19,IF(AH!$P$10=1,INDEX('Live History'!$B$5:$B$3004,AH!$P$13+1007),INDEX('AH History'!$B$1:$B$18046,AH!$P$7+1007))),NA()),NA())</ns0:f>
        <ns0:v/>
      </ns0:c>
      <ns0:c r="D1012">
        <ns0:f>IFERROR(IF(ISNUMBER($A1012),IF(AND(AH!$P$10=1,AH!$P$12=1,$A1012=TODAY()),AH!$P$18,IF(AH!$P$10=1,INDEX('Live History'!$E$5:$E$3004,MATCH($A1012,'Live History'!$D$5:$D$3004,1)),INDEX('AH History'!$C$1:$C$18046,AH!$P$7+1007))),NA()),NA())</ns0:f>
        <ns0:v/>
      </ns0:c>
      <ns0:c r="E1012">
        <ns0:f>IFERROR(IF(ISNUMBER($A1012),IF(AND(AH!$P$10=1,AH!$P$12=1,$A1012=TODAY()),AH!$P$20,IF(AH!$P$10=1,INDEX('Live History'!$H$5:$H$3004,MATCH($A1012,'Live History'!$G$5:$G$3004,1)),INDEX('AH History'!$D$1:$D$18046,AH!$P$7+1007))),NA()),NA())</ns0:f>
        <ns0:v/>
      </ns0:c>
      <ns0:c r="F1012">
        <ns0:f>IFERROR(IF(ISNUMBER($A1012),IF(AND(AH!$P$10=1,AH!$P$12=1,$A1012=TODAY()),IF(AND(AH!$P$10=1,AH!$P$12=1,$A1012=TODAY()),TODAY(),NA()),IF(AH!$P$10=1,INDEX('Live History'!$D$5:$D$3004,MATCH($A1012,'Live History'!$D$5:$D$3004,1)),INDEX('AH History'!$E$1:$E$18046,AH!$P$7+1007))),NA()),NA())</ns0:f>
        <ns0:v/>
      </ns0:c>
      <ns0:c r="G1012">
        <ns0:f>IFERROR(IF(ISNUMBER($A1012),IF(AND(AH!$P$10=1,AH!$P$12=1,$A1012=TODAY()),IF(AND(AH!$P$10=1,AH!$P$12=1,$A1012=TODAY()),TODAY(),NA()),IF(AH!$P$10=1,INDEX('Live History'!$G$5:$G$3004,MATCH($A1012,'Live History'!$G$5:$G$3004,1)),INDEX('AH History'!$F$1:$F$18046,AH!$P$7+1007))),NA()),NA())</ns0:f>
        <ns0:v/>
      </ns0:c>
      <ns0:c r="H1012">
        <ns0:f>IFERROR(IF(AND(AH!$E$4="Bloomberg",AH!$P$10=1,ISNUMBER($A1012),$A1012&lt;=AH!$P$17),AH!$P$7-1+MATCH($A1012,INDEX('AH History'!$A$1:$A$18046,AH!$P$7):INDEX('AH History'!$A$1:$A$18046,AH!$P$7+AH!$P$8-1),0),0),0)</ns0:f>
        <ns0:v/>
      </ns0:c>
      <ns0:c r="I1012">
        <ns0:f>IF($H1012=0,0,IFERROR(IF(AND(ABS($C1012-INDEX('AH History'!$B$1:$B$18046,$H1012))&lt;=MAX(0.005,ABS(INDEX('AH History'!$B$1:$B$18046,$H1012))*0.00005),ABS($D1012-INDEX('AH History'!$C$1:$C$18046,$H1012))&lt;=MAX(0.005,ABS(INDEX('AH History'!$C$1:$C$18046,$H1012))*0.00005),ABS($E1012-INDEX('AH History'!$D$1:$D$18046,$H1012))&lt;=0.00005,$F1012=INDEX('AH History'!$E$1:$E$18046,$H1012),$G1012=INDEX('AH History'!$F$1:$F$18046,$H1012)),1,-1),-1))</ns0:f>
        <ns0:v/>
      </ns0:c>
    </ns0:row>
    <ns0:row r="1013">
      <ns0:c r="A1013" s="215">
        <ns0:f>IF(OR(AH!$P$3=0,1008+1&gt;AH!$P$11,AND(AH!$E$4&lt;&gt;"Stored",AH!$P$10&lt;&gt;1)),"",IFERROR(IF(AND(AH!$P$21=1,1008+1=AH!$P$11),TODAY(),IF(AH!$P$10=1,INDEX('Live History'!$A$5:$A$3004,AH!$P$13+1008),INDEX('AH History'!$A$1:$A$18046,AH!$P$7+1008))),""))</ns0:f>
        <ns0:v/>
      </ns0:c>
      <ns0:c r="B1013" s="219">
        <ns0:f>IFERROR(IF(AND(AH!$P$9&lt;&gt;1,$C1013&gt;0,$D1013&gt;0,$E1013&gt;0,$F1013&gt;0,$G1013&gt;0,$F1013&lt;=$A1013,$G1013&lt;=$A1013,$A1013-$F1013&lt;=10,$A1013-$G1013&lt;=5),$D1013*$E1013/$C1013-1,NA()),NA())</ns0:f>
        <ns0:v/>
      </ns0:c>
      <ns0:c r="C1013">
        <ns0:f>IFERROR(IF(ISNUMBER($A1013),IF(AND(AH!$P$10=1,AH!$P$12=1,$A1013=TODAY()),AH!$P$19,IF(AH!$P$10=1,INDEX('Live History'!$B$5:$B$3004,AH!$P$13+1008),INDEX('AH History'!$B$1:$B$18046,AH!$P$7+1008))),NA()),NA())</ns0:f>
        <ns0:v/>
      </ns0:c>
      <ns0:c r="D1013">
        <ns0:f>IFERROR(IF(ISNUMBER($A1013),IF(AND(AH!$P$10=1,AH!$P$12=1,$A1013=TODAY()),AH!$P$18,IF(AH!$P$10=1,INDEX('Live History'!$E$5:$E$3004,MATCH($A1013,'Live History'!$D$5:$D$3004,1)),INDEX('AH History'!$C$1:$C$18046,AH!$P$7+1008))),NA()),NA())</ns0:f>
        <ns0:v/>
      </ns0:c>
      <ns0:c r="E1013">
        <ns0:f>IFERROR(IF(ISNUMBER($A1013),IF(AND(AH!$P$10=1,AH!$P$12=1,$A1013=TODAY()),AH!$P$20,IF(AH!$P$10=1,INDEX('Live History'!$H$5:$H$3004,MATCH($A1013,'Live History'!$G$5:$G$3004,1)),INDEX('AH History'!$D$1:$D$18046,AH!$P$7+1008))),NA()),NA())</ns0:f>
        <ns0:v/>
      </ns0:c>
      <ns0:c r="F1013">
        <ns0:f>IFERROR(IF(ISNUMBER($A1013),IF(AND(AH!$P$10=1,AH!$P$12=1,$A1013=TODAY()),IF(AND(AH!$P$10=1,AH!$P$12=1,$A1013=TODAY()),TODAY(),NA()),IF(AH!$P$10=1,INDEX('Live History'!$D$5:$D$3004,MATCH($A1013,'Live History'!$D$5:$D$3004,1)),INDEX('AH History'!$E$1:$E$18046,AH!$P$7+1008))),NA()),NA())</ns0:f>
        <ns0:v/>
      </ns0:c>
      <ns0:c r="G1013">
        <ns0:f>IFERROR(IF(ISNUMBER($A1013),IF(AND(AH!$P$10=1,AH!$P$12=1,$A1013=TODAY()),IF(AND(AH!$P$10=1,AH!$P$12=1,$A1013=TODAY()),TODAY(),NA()),IF(AH!$P$10=1,INDEX('Live History'!$G$5:$G$3004,MATCH($A1013,'Live History'!$G$5:$G$3004,1)),INDEX('AH History'!$F$1:$F$18046,AH!$P$7+1008))),NA()),NA())</ns0:f>
        <ns0:v/>
      </ns0:c>
      <ns0:c r="H1013">
        <ns0:f>IFERROR(IF(AND(AH!$E$4="Bloomberg",AH!$P$10=1,ISNUMBER($A1013),$A1013&lt;=AH!$P$17),AH!$P$7-1+MATCH($A1013,INDEX('AH History'!$A$1:$A$18046,AH!$P$7):INDEX('AH History'!$A$1:$A$18046,AH!$P$7+AH!$P$8-1),0),0),0)</ns0:f>
        <ns0:v/>
      </ns0:c>
      <ns0:c r="I1013">
        <ns0:f>IF($H1013=0,0,IFERROR(IF(AND(ABS($C1013-INDEX('AH History'!$B$1:$B$18046,$H1013))&lt;=MAX(0.005,ABS(INDEX('AH History'!$B$1:$B$18046,$H1013))*0.00005),ABS($D1013-INDEX('AH History'!$C$1:$C$18046,$H1013))&lt;=MAX(0.005,ABS(INDEX('AH History'!$C$1:$C$18046,$H1013))*0.00005),ABS($E1013-INDEX('AH History'!$D$1:$D$18046,$H1013))&lt;=0.00005,$F1013=INDEX('AH History'!$E$1:$E$18046,$H1013),$G1013=INDEX('AH History'!$F$1:$F$18046,$H1013)),1,-1),-1))</ns0:f>
        <ns0:v/>
      </ns0:c>
    </ns0:row>
    <ns0:row r="1014">
      <ns0:c r="A1014" s="215">
        <ns0:f>IF(OR(AH!$P$3=0,1009+1&gt;AH!$P$11,AND(AH!$E$4&lt;&gt;"Stored",AH!$P$10&lt;&gt;1)),"",IFERROR(IF(AND(AH!$P$21=1,1009+1=AH!$P$11),TODAY(),IF(AH!$P$10=1,INDEX('Live History'!$A$5:$A$3004,AH!$P$13+1009),INDEX('AH History'!$A$1:$A$18046,AH!$P$7+1009))),""))</ns0:f>
        <ns0:v/>
      </ns0:c>
      <ns0:c r="B1014" s="219">
        <ns0:f>IFERROR(IF(AND(AH!$P$9&lt;&gt;1,$C1014&gt;0,$D1014&gt;0,$E1014&gt;0,$F1014&gt;0,$G1014&gt;0,$F1014&lt;=$A1014,$G1014&lt;=$A1014,$A1014-$F1014&lt;=10,$A1014-$G1014&lt;=5),$D1014*$E1014/$C1014-1,NA()),NA())</ns0:f>
        <ns0:v/>
      </ns0:c>
      <ns0:c r="C1014">
        <ns0:f>IFERROR(IF(ISNUMBER($A1014),IF(AND(AH!$P$10=1,AH!$P$12=1,$A1014=TODAY()),AH!$P$19,IF(AH!$P$10=1,INDEX('Live History'!$B$5:$B$3004,AH!$P$13+1009),INDEX('AH History'!$B$1:$B$18046,AH!$P$7+1009))),NA()),NA())</ns0:f>
        <ns0:v/>
      </ns0:c>
      <ns0:c r="D1014">
        <ns0:f>IFERROR(IF(ISNUMBER($A1014),IF(AND(AH!$P$10=1,AH!$P$12=1,$A1014=TODAY()),AH!$P$18,IF(AH!$P$10=1,INDEX('Live History'!$E$5:$E$3004,MATCH($A1014,'Live History'!$D$5:$D$3004,1)),INDEX('AH History'!$C$1:$C$18046,AH!$P$7+1009))),NA()),NA())</ns0:f>
        <ns0:v/>
      </ns0:c>
      <ns0:c r="E1014">
        <ns0:f>IFERROR(IF(ISNUMBER($A1014),IF(AND(AH!$P$10=1,AH!$P$12=1,$A1014=TODAY()),AH!$P$20,IF(AH!$P$10=1,INDEX('Live History'!$H$5:$H$3004,MATCH($A1014,'Live History'!$G$5:$G$3004,1)),INDEX('AH History'!$D$1:$D$18046,AH!$P$7+1009))),NA()),NA())</ns0:f>
        <ns0:v/>
      </ns0:c>
      <ns0:c r="F1014">
        <ns0:f>IFERROR(IF(ISNUMBER($A1014),IF(AND(AH!$P$10=1,AH!$P$12=1,$A1014=TODAY()),IF(AND(AH!$P$10=1,AH!$P$12=1,$A1014=TODAY()),TODAY(),NA()),IF(AH!$P$10=1,INDEX('Live History'!$D$5:$D$3004,MATCH($A1014,'Live History'!$D$5:$D$3004,1)),INDEX('AH History'!$E$1:$E$18046,AH!$P$7+1009))),NA()),NA())</ns0:f>
        <ns0:v/>
      </ns0:c>
      <ns0:c r="G1014">
        <ns0:f>IFERROR(IF(ISNUMBER($A1014),IF(AND(AH!$P$10=1,AH!$P$12=1,$A1014=TODAY()),IF(AND(AH!$P$10=1,AH!$P$12=1,$A1014=TODAY()),TODAY(),NA()),IF(AH!$P$10=1,INDEX('Live History'!$G$5:$G$3004,MATCH($A1014,'Live History'!$G$5:$G$3004,1)),INDEX('AH History'!$F$1:$F$18046,AH!$P$7+1009))),NA()),NA())</ns0:f>
        <ns0:v/>
      </ns0:c>
      <ns0:c r="H1014">
        <ns0:f>IFERROR(IF(AND(AH!$E$4="Bloomberg",AH!$P$10=1,ISNUMBER($A1014),$A1014&lt;=AH!$P$17),AH!$P$7-1+MATCH($A1014,INDEX('AH History'!$A$1:$A$18046,AH!$P$7):INDEX('AH History'!$A$1:$A$18046,AH!$P$7+AH!$P$8-1),0),0),0)</ns0:f>
        <ns0:v/>
      </ns0:c>
      <ns0:c r="I1014">
        <ns0:f>IF($H1014=0,0,IFERROR(IF(AND(ABS($C1014-INDEX('AH History'!$B$1:$B$18046,$H1014))&lt;=MAX(0.005,ABS(INDEX('AH History'!$B$1:$B$18046,$H1014))*0.00005),ABS($D1014-INDEX('AH History'!$C$1:$C$18046,$H1014))&lt;=MAX(0.005,ABS(INDEX('AH History'!$C$1:$C$18046,$H1014))*0.00005),ABS($E1014-INDEX('AH History'!$D$1:$D$18046,$H1014))&lt;=0.00005,$F1014=INDEX('AH History'!$E$1:$E$18046,$H1014),$G1014=INDEX('AH History'!$F$1:$F$18046,$H1014)),1,-1),-1))</ns0:f>
        <ns0:v/>
      </ns0:c>
    </ns0:row>
    <ns0:row r="1015">
      <ns0:c r="A1015" s="215">
        <ns0:f>IF(OR(AH!$P$3=0,1010+1&gt;AH!$P$11,AND(AH!$E$4&lt;&gt;"Stored",AH!$P$10&lt;&gt;1)),"",IFERROR(IF(AND(AH!$P$21=1,1010+1=AH!$P$11),TODAY(),IF(AH!$P$10=1,INDEX('Live History'!$A$5:$A$3004,AH!$P$13+1010),INDEX('AH History'!$A$1:$A$18046,AH!$P$7+1010))),""))</ns0:f>
        <ns0:v/>
      </ns0:c>
      <ns0:c r="B1015" s="219">
        <ns0:f>IFERROR(IF(AND(AH!$P$9&lt;&gt;1,$C1015&gt;0,$D1015&gt;0,$E1015&gt;0,$F1015&gt;0,$G1015&gt;0,$F1015&lt;=$A1015,$G1015&lt;=$A1015,$A1015-$F1015&lt;=10,$A1015-$G1015&lt;=5),$D1015*$E1015/$C1015-1,NA()),NA())</ns0:f>
        <ns0:v/>
      </ns0:c>
      <ns0:c r="C1015">
        <ns0:f>IFERROR(IF(ISNUMBER($A1015),IF(AND(AH!$P$10=1,AH!$P$12=1,$A1015=TODAY()),AH!$P$19,IF(AH!$P$10=1,INDEX('Live History'!$B$5:$B$3004,AH!$P$13+1010),INDEX('AH History'!$B$1:$B$18046,AH!$P$7+1010))),NA()),NA())</ns0:f>
        <ns0:v/>
      </ns0:c>
      <ns0:c r="D1015">
        <ns0:f>IFERROR(IF(ISNUMBER($A1015),IF(AND(AH!$P$10=1,AH!$P$12=1,$A1015=TODAY()),AH!$P$18,IF(AH!$P$10=1,INDEX('Live History'!$E$5:$E$3004,MATCH($A1015,'Live History'!$D$5:$D$3004,1)),INDEX('AH History'!$C$1:$C$18046,AH!$P$7+1010))),NA()),NA())</ns0:f>
        <ns0:v/>
      </ns0:c>
      <ns0:c r="E1015">
        <ns0:f>IFERROR(IF(ISNUMBER($A1015),IF(AND(AH!$P$10=1,AH!$P$12=1,$A1015=TODAY()),AH!$P$20,IF(AH!$P$10=1,INDEX('Live History'!$H$5:$H$3004,MATCH($A1015,'Live History'!$G$5:$G$3004,1)),INDEX('AH History'!$D$1:$D$18046,AH!$P$7+1010))),NA()),NA())</ns0:f>
        <ns0:v/>
      </ns0:c>
      <ns0:c r="F1015">
        <ns0:f>IFERROR(IF(ISNUMBER($A1015),IF(AND(AH!$P$10=1,AH!$P$12=1,$A1015=TODAY()),IF(AND(AH!$P$10=1,AH!$P$12=1,$A1015=TODAY()),TODAY(),NA()),IF(AH!$P$10=1,INDEX('Live History'!$D$5:$D$3004,MATCH($A1015,'Live History'!$D$5:$D$3004,1)),INDEX('AH History'!$E$1:$E$18046,AH!$P$7+1010))),NA()),NA())</ns0:f>
        <ns0:v/>
      </ns0:c>
      <ns0:c r="G1015">
        <ns0:f>IFERROR(IF(ISNUMBER($A1015),IF(AND(AH!$P$10=1,AH!$P$12=1,$A1015=TODAY()),IF(AND(AH!$P$10=1,AH!$P$12=1,$A1015=TODAY()),TODAY(),NA()),IF(AH!$P$10=1,INDEX('Live History'!$G$5:$G$3004,MATCH($A1015,'Live History'!$G$5:$G$3004,1)),INDEX('AH History'!$F$1:$F$18046,AH!$P$7+1010))),NA()),NA())</ns0:f>
        <ns0:v/>
      </ns0:c>
      <ns0:c r="H1015">
        <ns0:f>IFERROR(IF(AND(AH!$E$4="Bloomberg",AH!$P$10=1,ISNUMBER($A1015),$A1015&lt;=AH!$P$17),AH!$P$7-1+MATCH($A1015,INDEX('AH History'!$A$1:$A$18046,AH!$P$7):INDEX('AH History'!$A$1:$A$18046,AH!$P$7+AH!$P$8-1),0),0),0)</ns0:f>
        <ns0:v/>
      </ns0:c>
      <ns0:c r="I1015">
        <ns0:f>IF($H1015=0,0,IFERROR(IF(AND(ABS($C1015-INDEX('AH History'!$B$1:$B$18046,$H1015))&lt;=MAX(0.005,ABS(INDEX('AH History'!$B$1:$B$18046,$H1015))*0.00005),ABS($D1015-INDEX('AH History'!$C$1:$C$18046,$H1015))&lt;=MAX(0.005,ABS(INDEX('AH History'!$C$1:$C$18046,$H1015))*0.00005),ABS($E1015-INDEX('AH History'!$D$1:$D$18046,$H1015))&lt;=0.00005,$F1015=INDEX('AH History'!$E$1:$E$18046,$H1015),$G1015=INDEX('AH History'!$F$1:$F$18046,$H1015)),1,-1),-1))</ns0:f>
        <ns0:v/>
      </ns0:c>
    </ns0:row>
    <ns0:row r="1016">
      <ns0:c r="A1016" s="215">
        <ns0:f>IF(OR(AH!$P$3=0,1011+1&gt;AH!$P$11,AND(AH!$E$4&lt;&gt;"Stored",AH!$P$10&lt;&gt;1)),"",IFERROR(IF(AND(AH!$P$21=1,1011+1=AH!$P$11),TODAY(),IF(AH!$P$10=1,INDEX('Live History'!$A$5:$A$3004,AH!$P$13+1011),INDEX('AH History'!$A$1:$A$18046,AH!$P$7+1011))),""))</ns0:f>
        <ns0:v/>
      </ns0:c>
      <ns0:c r="B1016" s="219">
        <ns0:f>IFERROR(IF(AND(AH!$P$9&lt;&gt;1,$C1016&gt;0,$D1016&gt;0,$E1016&gt;0,$F1016&gt;0,$G1016&gt;0,$F1016&lt;=$A1016,$G1016&lt;=$A1016,$A1016-$F1016&lt;=10,$A1016-$G1016&lt;=5),$D1016*$E1016/$C1016-1,NA()),NA())</ns0:f>
        <ns0:v/>
      </ns0:c>
      <ns0:c r="C1016">
        <ns0:f>IFERROR(IF(ISNUMBER($A1016),IF(AND(AH!$P$10=1,AH!$P$12=1,$A1016=TODAY()),AH!$P$19,IF(AH!$P$10=1,INDEX('Live History'!$B$5:$B$3004,AH!$P$13+1011),INDEX('AH History'!$B$1:$B$18046,AH!$P$7+1011))),NA()),NA())</ns0:f>
        <ns0:v/>
      </ns0:c>
      <ns0:c r="D1016">
        <ns0:f>IFERROR(IF(ISNUMBER($A1016),IF(AND(AH!$P$10=1,AH!$P$12=1,$A1016=TODAY()),AH!$P$18,IF(AH!$P$10=1,INDEX('Live History'!$E$5:$E$3004,MATCH($A1016,'Live History'!$D$5:$D$3004,1)),INDEX('AH History'!$C$1:$C$18046,AH!$P$7+1011))),NA()),NA())</ns0:f>
        <ns0:v/>
      </ns0:c>
      <ns0:c r="E1016">
        <ns0:f>IFERROR(IF(ISNUMBER($A1016),IF(AND(AH!$P$10=1,AH!$P$12=1,$A1016=TODAY()),AH!$P$20,IF(AH!$P$10=1,INDEX('Live History'!$H$5:$H$3004,MATCH($A1016,'Live History'!$G$5:$G$3004,1)),INDEX('AH History'!$D$1:$D$18046,AH!$P$7+1011))),NA()),NA())</ns0:f>
        <ns0:v/>
      </ns0:c>
      <ns0:c r="F1016">
        <ns0:f>IFERROR(IF(ISNUMBER($A1016),IF(AND(AH!$P$10=1,AH!$P$12=1,$A1016=TODAY()),IF(AND(AH!$P$10=1,AH!$P$12=1,$A1016=TODAY()),TODAY(),NA()),IF(AH!$P$10=1,INDEX('Live History'!$D$5:$D$3004,MATCH($A1016,'Live History'!$D$5:$D$3004,1)),INDEX('AH History'!$E$1:$E$18046,AH!$P$7+1011))),NA()),NA())</ns0:f>
        <ns0:v/>
      </ns0:c>
      <ns0:c r="G1016">
        <ns0:f>IFERROR(IF(ISNUMBER($A1016),IF(AND(AH!$P$10=1,AH!$P$12=1,$A1016=TODAY()),IF(AND(AH!$P$10=1,AH!$P$12=1,$A1016=TODAY()),TODAY(),NA()),IF(AH!$P$10=1,INDEX('Live History'!$G$5:$G$3004,MATCH($A1016,'Live History'!$G$5:$G$3004,1)),INDEX('AH History'!$F$1:$F$18046,AH!$P$7+1011))),NA()),NA())</ns0:f>
        <ns0:v/>
      </ns0:c>
      <ns0:c r="H1016">
        <ns0:f>IFERROR(IF(AND(AH!$E$4="Bloomberg",AH!$P$10=1,ISNUMBER($A1016),$A1016&lt;=AH!$P$17),AH!$P$7-1+MATCH($A1016,INDEX('AH History'!$A$1:$A$18046,AH!$P$7):INDEX('AH History'!$A$1:$A$18046,AH!$P$7+AH!$P$8-1),0),0),0)</ns0:f>
        <ns0:v/>
      </ns0:c>
      <ns0:c r="I1016">
        <ns0:f>IF($H1016=0,0,IFERROR(IF(AND(ABS($C1016-INDEX('AH History'!$B$1:$B$18046,$H1016))&lt;=MAX(0.005,ABS(INDEX('AH History'!$B$1:$B$18046,$H1016))*0.00005),ABS($D1016-INDEX('AH History'!$C$1:$C$18046,$H1016))&lt;=MAX(0.005,ABS(INDEX('AH History'!$C$1:$C$18046,$H1016))*0.00005),ABS($E1016-INDEX('AH History'!$D$1:$D$18046,$H1016))&lt;=0.00005,$F1016=INDEX('AH History'!$E$1:$E$18046,$H1016),$G1016=INDEX('AH History'!$F$1:$F$18046,$H1016)),1,-1),-1))</ns0:f>
        <ns0:v/>
      </ns0:c>
    </ns0:row>
    <ns0:row r="1017">
      <ns0:c r="A1017" s="215">
        <ns0:f>IF(OR(AH!$P$3=0,1012+1&gt;AH!$P$11,AND(AH!$E$4&lt;&gt;"Stored",AH!$P$10&lt;&gt;1)),"",IFERROR(IF(AND(AH!$P$21=1,1012+1=AH!$P$11),TODAY(),IF(AH!$P$10=1,INDEX('Live History'!$A$5:$A$3004,AH!$P$13+1012),INDEX('AH History'!$A$1:$A$18046,AH!$P$7+1012))),""))</ns0:f>
        <ns0:v/>
      </ns0:c>
      <ns0:c r="B1017" s="219">
        <ns0:f>IFERROR(IF(AND(AH!$P$9&lt;&gt;1,$C1017&gt;0,$D1017&gt;0,$E1017&gt;0,$F1017&gt;0,$G1017&gt;0,$F1017&lt;=$A1017,$G1017&lt;=$A1017,$A1017-$F1017&lt;=10,$A1017-$G1017&lt;=5),$D1017*$E1017/$C1017-1,NA()),NA())</ns0:f>
        <ns0:v/>
      </ns0:c>
      <ns0:c r="C1017">
        <ns0:f>IFERROR(IF(ISNUMBER($A1017),IF(AND(AH!$P$10=1,AH!$P$12=1,$A1017=TODAY()),AH!$P$19,IF(AH!$P$10=1,INDEX('Live History'!$B$5:$B$3004,AH!$P$13+1012),INDEX('AH History'!$B$1:$B$18046,AH!$P$7+1012))),NA()),NA())</ns0:f>
        <ns0:v/>
      </ns0:c>
      <ns0:c r="D1017">
        <ns0:f>IFERROR(IF(ISNUMBER($A1017),IF(AND(AH!$P$10=1,AH!$P$12=1,$A1017=TODAY()),AH!$P$18,IF(AH!$P$10=1,INDEX('Live History'!$E$5:$E$3004,MATCH($A1017,'Live History'!$D$5:$D$3004,1)),INDEX('AH History'!$C$1:$C$18046,AH!$P$7+1012))),NA()),NA())</ns0:f>
        <ns0:v/>
      </ns0:c>
      <ns0:c r="E1017">
        <ns0:f>IFERROR(IF(ISNUMBER($A1017),IF(AND(AH!$P$10=1,AH!$P$12=1,$A1017=TODAY()),AH!$P$20,IF(AH!$P$10=1,INDEX('Live History'!$H$5:$H$3004,MATCH($A1017,'Live History'!$G$5:$G$3004,1)),INDEX('AH History'!$D$1:$D$18046,AH!$P$7+1012))),NA()),NA())</ns0:f>
        <ns0:v/>
      </ns0:c>
      <ns0:c r="F1017">
        <ns0:f>IFERROR(IF(ISNUMBER($A1017),IF(AND(AH!$P$10=1,AH!$P$12=1,$A1017=TODAY()),IF(AND(AH!$P$10=1,AH!$P$12=1,$A1017=TODAY()),TODAY(),NA()),IF(AH!$P$10=1,INDEX('Live History'!$D$5:$D$3004,MATCH($A1017,'Live History'!$D$5:$D$3004,1)),INDEX('AH History'!$E$1:$E$18046,AH!$P$7+1012))),NA()),NA())</ns0:f>
        <ns0:v/>
      </ns0:c>
      <ns0:c r="G1017">
        <ns0:f>IFERROR(IF(ISNUMBER($A1017),IF(AND(AH!$P$10=1,AH!$P$12=1,$A1017=TODAY()),IF(AND(AH!$P$10=1,AH!$P$12=1,$A1017=TODAY()),TODAY(),NA()),IF(AH!$P$10=1,INDEX('Live History'!$G$5:$G$3004,MATCH($A1017,'Live History'!$G$5:$G$3004,1)),INDEX('AH History'!$F$1:$F$18046,AH!$P$7+1012))),NA()),NA())</ns0:f>
        <ns0:v/>
      </ns0:c>
      <ns0:c r="H1017">
        <ns0:f>IFERROR(IF(AND(AH!$E$4="Bloomberg",AH!$P$10=1,ISNUMBER($A1017),$A1017&lt;=AH!$P$17),AH!$P$7-1+MATCH($A1017,INDEX('AH History'!$A$1:$A$18046,AH!$P$7):INDEX('AH History'!$A$1:$A$18046,AH!$P$7+AH!$P$8-1),0),0),0)</ns0:f>
        <ns0:v/>
      </ns0:c>
      <ns0:c r="I1017">
        <ns0:f>IF($H1017=0,0,IFERROR(IF(AND(ABS($C1017-INDEX('AH History'!$B$1:$B$18046,$H1017))&lt;=MAX(0.005,ABS(INDEX('AH History'!$B$1:$B$18046,$H1017))*0.00005),ABS($D1017-INDEX('AH History'!$C$1:$C$18046,$H1017))&lt;=MAX(0.005,ABS(INDEX('AH History'!$C$1:$C$18046,$H1017))*0.00005),ABS($E1017-INDEX('AH History'!$D$1:$D$18046,$H1017))&lt;=0.00005,$F1017=INDEX('AH History'!$E$1:$E$18046,$H1017),$G1017=INDEX('AH History'!$F$1:$F$18046,$H1017)),1,-1),-1))</ns0:f>
        <ns0:v/>
      </ns0:c>
    </ns0:row>
    <ns0:row r="1018">
      <ns0:c r="A1018" s="215">
        <ns0:f>IF(OR(AH!$P$3=0,1013+1&gt;AH!$P$11,AND(AH!$E$4&lt;&gt;"Stored",AH!$P$10&lt;&gt;1)),"",IFERROR(IF(AND(AH!$P$21=1,1013+1=AH!$P$11),TODAY(),IF(AH!$P$10=1,INDEX('Live History'!$A$5:$A$3004,AH!$P$13+1013),INDEX('AH History'!$A$1:$A$18046,AH!$P$7+1013))),""))</ns0:f>
        <ns0:v/>
      </ns0:c>
      <ns0:c r="B1018" s="219">
        <ns0:f>IFERROR(IF(AND(AH!$P$9&lt;&gt;1,$C1018&gt;0,$D1018&gt;0,$E1018&gt;0,$F1018&gt;0,$G1018&gt;0,$F1018&lt;=$A1018,$G1018&lt;=$A1018,$A1018-$F1018&lt;=10,$A1018-$G1018&lt;=5),$D1018*$E1018/$C1018-1,NA()),NA())</ns0:f>
        <ns0:v/>
      </ns0:c>
      <ns0:c r="C1018">
        <ns0:f>IFERROR(IF(ISNUMBER($A1018),IF(AND(AH!$P$10=1,AH!$P$12=1,$A1018=TODAY()),AH!$P$19,IF(AH!$P$10=1,INDEX('Live History'!$B$5:$B$3004,AH!$P$13+1013),INDEX('AH History'!$B$1:$B$18046,AH!$P$7+1013))),NA()),NA())</ns0:f>
        <ns0:v/>
      </ns0:c>
      <ns0:c r="D1018">
        <ns0:f>IFERROR(IF(ISNUMBER($A1018),IF(AND(AH!$P$10=1,AH!$P$12=1,$A1018=TODAY()),AH!$P$18,IF(AH!$P$10=1,INDEX('Live History'!$E$5:$E$3004,MATCH($A1018,'Live History'!$D$5:$D$3004,1)),INDEX('AH History'!$C$1:$C$18046,AH!$P$7+1013))),NA()),NA())</ns0:f>
        <ns0:v/>
      </ns0:c>
      <ns0:c r="E1018">
        <ns0:f>IFERROR(IF(ISNUMBER($A1018),IF(AND(AH!$P$10=1,AH!$P$12=1,$A1018=TODAY()),AH!$P$20,IF(AH!$P$10=1,INDEX('Live History'!$H$5:$H$3004,MATCH($A1018,'Live History'!$G$5:$G$3004,1)),INDEX('AH History'!$D$1:$D$18046,AH!$P$7+1013))),NA()),NA())</ns0:f>
        <ns0:v/>
      </ns0:c>
      <ns0:c r="F1018">
        <ns0:f>IFERROR(IF(ISNUMBER($A1018),IF(AND(AH!$P$10=1,AH!$P$12=1,$A1018=TODAY()),IF(AND(AH!$P$10=1,AH!$P$12=1,$A1018=TODAY()),TODAY(),NA()),IF(AH!$P$10=1,INDEX('Live History'!$D$5:$D$3004,MATCH($A1018,'Live History'!$D$5:$D$3004,1)),INDEX('AH History'!$E$1:$E$18046,AH!$P$7+1013))),NA()),NA())</ns0:f>
        <ns0:v/>
      </ns0:c>
      <ns0:c r="G1018">
        <ns0:f>IFERROR(IF(ISNUMBER($A1018),IF(AND(AH!$P$10=1,AH!$P$12=1,$A1018=TODAY()),IF(AND(AH!$P$10=1,AH!$P$12=1,$A1018=TODAY()),TODAY(),NA()),IF(AH!$P$10=1,INDEX('Live History'!$G$5:$G$3004,MATCH($A1018,'Live History'!$G$5:$G$3004,1)),INDEX('AH History'!$F$1:$F$18046,AH!$P$7+1013))),NA()),NA())</ns0:f>
        <ns0:v/>
      </ns0:c>
      <ns0:c r="H1018">
        <ns0:f>IFERROR(IF(AND(AH!$E$4="Bloomberg",AH!$P$10=1,ISNUMBER($A1018),$A1018&lt;=AH!$P$17),AH!$P$7-1+MATCH($A1018,INDEX('AH History'!$A$1:$A$18046,AH!$P$7):INDEX('AH History'!$A$1:$A$18046,AH!$P$7+AH!$P$8-1),0),0),0)</ns0:f>
        <ns0:v/>
      </ns0:c>
      <ns0:c r="I1018">
        <ns0:f>IF($H1018=0,0,IFERROR(IF(AND(ABS($C1018-INDEX('AH History'!$B$1:$B$18046,$H1018))&lt;=MAX(0.005,ABS(INDEX('AH History'!$B$1:$B$18046,$H1018))*0.00005),ABS($D1018-INDEX('AH History'!$C$1:$C$18046,$H1018))&lt;=MAX(0.005,ABS(INDEX('AH History'!$C$1:$C$18046,$H1018))*0.00005),ABS($E1018-INDEX('AH History'!$D$1:$D$18046,$H1018))&lt;=0.00005,$F1018=INDEX('AH History'!$E$1:$E$18046,$H1018),$G1018=INDEX('AH History'!$F$1:$F$18046,$H1018)),1,-1),-1))</ns0:f>
        <ns0:v/>
      </ns0:c>
    </ns0:row>
    <ns0:row r="1019">
      <ns0:c r="A1019" s="215">
        <ns0:f>IF(OR(AH!$P$3=0,1014+1&gt;AH!$P$11,AND(AH!$E$4&lt;&gt;"Stored",AH!$P$10&lt;&gt;1)),"",IFERROR(IF(AND(AH!$P$21=1,1014+1=AH!$P$11),TODAY(),IF(AH!$P$10=1,INDEX('Live History'!$A$5:$A$3004,AH!$P$13+1014),INDEX('AH History'!$A$1:$A$18046,AH!$P$7+1014))),""))</ns0:f>
        <ns0:v/>
      </ns0:c>
      <ns0:c r="B1019" s="219">
        <ns0:f>IFERROR(IF(AND(AH!$P$9&lt;&gt;1,$C1019&gt;0,$D1019&gt;0,$E1019&gt;0,$F1019&gt;0,$G1019&gt;0,$F1019&lt;=$A1019,$G1019&lt;=$A1019,$A1019-$F1019&lt;=10,$A1019-$G1019&lt;=5),$D1019*$E1019/$C1019-1,NA()),NA())</ns0:f>
        <ns0:v/>
      </ns0:c>
      <ns0:c r="C1019">
        <ns0:f>IFERROR(IF(ISNUMBER($A1019),IF(AND(AH!$P$10=1,AH!$P$12=1,$A1019=TODAY()),AH!$P$19,IF(AH!$P$10=1,INDEX('Live History'!$B$5:$B$3004,AH!$P$13+1014),INDEX('AH History'!$B$1:$B$18046,AH!$P$7+1014))),NA()),NA())</ns0:f>
        <ns0:v/>
      </ns0:c>
      <ns0:c r="D1019">
        <ns0:f>IFERROR(IF(ISNUMBER($A1019),IF(AND(AH!$P$10=1,AH!$P$12=1,$A1019=TODAY()),AH!$P$18,IF(AH!$P$10=1,INDEX('Live History'!$E$5:$E$3004,MATCH($A1019,'Live History'!$D$5:$D$3004,1)),INDEX('AH History'!$C$1:$C$18046,AH!$P$7+1014))),NA()),NA())</ns0:f>
        <ns0:v/>
      </ns0:c>
      <ns0:c r="E1019">
        <ns0:f>IFERROR(IF(ISNUMBER($A1019),IF(AND(AH!$P$10=1,AH!$P$12=1,$A1019=TODAY()),AH!$P$20,IF(AH!$P$10=1,INDEX('Live History'!$H$5:$H$3004,MATCH($A1019,'Live History'!$G$5:$G$3004,1)),INDEX('AH History'!$D$1:$D$18046,AH!$P$7+1014))),NA()),NA())</ns0:f>
        <ns0:v/>
      </ns0:c>
      <ns0:c r="F1019">
        <ns0:f>IFERROR(IF(ISNUMBER($A1019),IF(AND(AH!$P$10=1,AH!$P$12=1,$A1019=TODAY()),IF(AND(AH!$P$10=1,AH!$P$12=1,$A1019=TODAY()),TODAY(),NA()),IF(AH!$P$10=1,INDEX('Live History'!$D$5:$D$3004,MATCH($A1019,'Live History'!$D$5:$D$3004,1)),INDEX('AH History'!$E$1:$E$18046,AH!$P$7+1014))),NA()),NA())</ns0:f>
        <ns0:v/>
      </ns0:c>
      <ns0:c r="G1019">
        <ns0:f>IFERROR(IF(ISNUMBER($A1019),IF(AND(AH!$P$10=1,AH!$P$12=1,$A1019=TODAY()),IF(AND(AH!$P$10=1,AH!$P$12=1,$A1019=TODAY()),TODAY(),NA()),IF(AH!$P$10=1,INDEX('Live History'!$G$5:$G$3004,MATCH($A1019,'Live History'!$G$5:$G$3004,1)),INDEX('AH History'!$F$1:$F$18046,AH!$P$7+1014))),NA()),NA())</ns0:f>
        <ns0:v/>
      </ns0:c>
      <ns0:c r="H1019">
        <ns0:f>IFERROR(IF(AND(AH!$E$4="Bloomberg",AH!$P$10=1,ISNUMBER($A1019),$A1019&lt;=AH!$P$17),AH!$P$7-1+MATCH($A1019,INDEX('AH History'!$A$1:$A$18046,AH!$P$7):INDEX('AH History'!$A$1:$A$18046,AH!$P$7+AH!$P$8-1),0),0),0)</ns0:f>
        <ns0:v/>
      </ns0:c>
      <ns0:c r="I1019">
        <ns0:f>IF($H1019=0,0,IFERROR(IF(AND(ABS($C1019-INDEX('AH History'!$B$1:$B$18046,$H1019))&lt;=MAX(0.005,ABS(INDEX('AH History'!$B$1:$B$18046,$H1019))*0.00005),ABS($D1019-INDEX('AH History'!$C$1:$C$18046,$H1019))&lt;=MAX(0.005,ABS(INDEX('AH History'!$C$1:$C$18046,$H1019))*0.00005),ABS($E1019-INDEX('AH History'!$D$1:$D$18046,$H1019))&lt;=0.00005,$F1019=INDEX('AH History'!$E$1:$E$18046,$H1019),$G1019=INDEX('AH History'!$F$1:$F$18046,$H1019)),1,-1),-1))</ns0:f>
        <ns0:v/>
      </ns0:c>
    </ns0:row>
    <ns0:row r="1020">
      <ns0:c r="A1020" s="215">
        <ns0:f>IF(OR(AH!$P$3=0,1015+1&gt;AH!$P$11,AND(AH!$E$4&lt;&gt;"Stored",AH!$P$10&lt;&gt;1)),"",IFERROR(IF(AND(AH!$P$21=1,1015+1=AH!$P$11),TODAY(),IF(AH!$P$10=1,INDEX('Live History'!$A$5:$A$3004,AH!$P$13+1015),INDEX('AH History'!$A$1:$A$18046,AH!$P$7+1015))),""))</ns0:f>
        <ns0:v/>
      </ns0:c>
      <ns0:c r="B1020" s="219">
        <ns0:f>IFERROR(IF(AND(AH!$P$9&lt;&gt;1,$C1020&gt;0,$D1020&gt;0,$E1020&gt;0,$F1020&gt;0,$G1020&gt;0,$F1020&lt;=$A1020,$G1020&lt;=$A1020,$A1020-$F1020&lt;=10,$A1020-$G1020&lt;=5),$D1020*$E1020/$C1020-1,NA()),NA())</ns0:f>
        <ns0:v/>
      </ns0:c>
      <ns0:c r="C1020">
        <ns0:f>IFERROR(IF(ISNUMBER($A1020),IF(AND(AH!$P$10=1,AH!$P$12=1,$A1020=TODAY()),AH!$P$19,IF(AH!$P$10=1,INDEX('Live History'!$B$5:$B$3004,AH!$P$13+1015),INDEX('AH History'!$B$1:$B$18046,AH!$P$7+1015))),NA()),NA())</ns0:f>
        <ns0:v/>
      </ns0:c>
      <ns0:c r="D1020">
        <ns0:f>IFERROR(IF(ISNUMBER($A1020),IF(AND(AH!$P$10=1,AH!$P$12=1,$A1020=TODAY()),AH!$P$18,IF(AH!$P$10=1,INDEX('Live History'!$E$5:$E$3004,MATCH($A1020,'Live History'!$D$5:$D$3004,1)),INDEX('AH History'!$C$1:$C$18046,AH!$P$7+1015))),NA()),NA())</ns0:f>
        <ns0:v/>
      </ns0:c>
      <ns0:c r="E1020">
        <ns0:f>IFERROR(IF(ISNUMBER($A1020),IF(AND(AH!$P$10=1,AH!$P$12=1,$A1020=TODAY()),AH!$P$20,IF(AH!$P$10=1,INDEX('Live History'!$H$5:$H$3004,MATCH($A1020,'Live History'!$G$5:$G$3004,1)),INDEX('AH History'!$D$1:$D$18046,AH!$P$7+1015))),NA()),NA())</ns0:f>
        <ns0:v/>
      </ns0:c>
      <ns0:c r="F1020">
        <ns0:f>IFERROR(IF(ISNUMBER($A1020),IF(AND(AH!$P$10=1,AH!$P$12=1,$A1020=TODAY()),IF(AND(AH!$P$10=1,AH!$P$12=1,$A1020=TODAY()),TODAY(),NA()),IF(AH!$P$10=1,INDEX('Live History'!$D$5:$D$3004,MATCH($A1020,'Live History'!$D$5:$D$3004,1)),INDEX('AH History'!$E$1:$E$18046,AH!$P$7+1015))),NA()),NA())</ns0:f>
        <ns0:v/>
      </ns0:c>
      <ns0:c r="G1020">
        <ns0:f>IFERROR(IF(ISNUMBER($A1020),IF(AND(AH!$P$10=1,AH!$P$12=1,$A1020=TODAY()),IF(AND(AH!$P$10=1,AH!$P$12=1,$A1020=TODAY()),TODAY(),NA()),IF(AH!$P$10=1,INDEX('Live History'!$G$5:$G$3004,MATCH($A1020,'Live History'!$G$5:$G$3004,1)),INDEX('AH History'!$F$1:$F$18046,AH!$P$7+1015))),NA()),NA())</ns0:f>
        <ns0:v/>
      </ns0:c>
      <ns0:c r="H1020">
        <ns0:f>IFERROR(IF(AND(AH!$E$4="Bloomberg",AH!$P$10=1,ISNUMBER($A1020),$A1020&lt;=AH!$P$17),AH!$P$7-1+MATCH($A1020,INDEX('AH History'!$A$1:$A$18046,AH!$P$7):INDEX('AH History'!$A$1:$A$18046,AH!$P$7+AH!$P$8-1),0),0),0)</ns0:f>
        <ns0:v/>
      </ns0:c>
      <ns0:c r="I1020">
        <ns0:f>IF($H1020=0,0,IFERROR(IF(AND(ABS($C1020-INDEX('AH History'!$B$1:$B$18046,$H1020))&lt;=MAX(0.005,ABS(INDEX('AH History'!$B$1:$B$18046,$H1020))*0.00005),ABS($D1020-INDEX('AH History'!$C$1:$C$18046,$H1020))&lt;=MAX(0.005,ABS(INDEX('AH History'!$C$1:$C$18046,$H1020))*0.00005),ABS($E1020-INDEX('AH History'!$D$1:$D$18046,$H1020))&lt;=0.00005,$F1020=INDEX('AH History'!$E$1:$E$18046,$H1020),$G1020=INDEX('AH History'!$F$1:$F$18046,$H1020)),1,-1),-1))</ns0:f>
        <ns0:v/>
      </ns0:c>
    </ns0:row>
    <ns0:row r="1021">
      <ns0:c r="A1021" s="215">
        <ns0:f>IF(OR(AH!$P$3=0,1016+1&gt;AH!$P$11,AND(AH!$E$4&lt;&gt;"Stored",AH!$P$10&lt;&gt;1)),"",IFERROR(IF(AND(AH!$P$21=1,1016+1=AH!$P$11),TODAY(),IF(AH!$P$10=1,INDEX('Live History'!$A$5:$A$3004,AH!$P$13+1016),INDEX('AH History'!$A$1:$A$18046,AH!$P$7+1016))),""))</ns0:f>
        <ns0:v/>
      </ns0:c>
      <ns0:c r="B1021" s="219">
        <ns0:f>IFERROR(IF(AND(AH!$P$9&lt;&gt;1,$C1021&gt;0,$D1021&gt;0,$E1021&gt;0,$F1021&gt;0,$G1021&gt;0,$F1021&lt;=$A1021,$G1021&lt;=$A1021,$A1021-$F1021&lt;=10,$A1021-$G1021&lt;=5),$D1021*$E1021/$C1021-1,NA()),NA())</ns0:f>
        <ns0:v/>
      </ns0:c>
      <ns0:c r="C1021">
        <ns0:f>IFERROR(IF(ISNUMBER($A1021),IF(AND(AH!$P$10=1,AH!$P$12=1,$A1021=TODAY()),AH!$P$19,IF(AH!$P$10=1,INDEX('Live History'!$B$5:$B$3004,AH!$P$13+1016),INDEX('AH History'!$B$1:$B$18046,AH!$P$7+1016))),NA()),NA())</ns0:f>
        <ns0:v/>
      </ns0:c>
      <ns0:c r="D1021">
        <ns0:f>IFERROR(IF(ISNUMBER($A1021),IF(AND(AH!$P$10=1,AH!$P$12=1,$A1021=TODAY()),AH!$P$18,IF(AH!$P$10=1,INDEX('Live History'!$E$5:$E$3004,MATCH($A1021,'Live History'!$D$5:$D$3004,1)),INDEX('AH History'!$C$1:$C$18046,AH!$P$7+1016))),NA()),NA())</ns0:f>
        <ns0:v/>
      </ns0:c>
      <ns0:c r="E1021">
        <ns0:f>IFERROR(IF(ISNUMBER($A1021),IF(AND(AH!$P$10=1,AH!$P$12=1,$A1021=TODAY()),AH!$P$20,IF(AH!$P$10=1,INDEX('Live History'!$H$5:$H$3004,MATCH($A1021,'Live History'!$G$5:$G$3004,1)),INDEX('AH History'!$D$1:$D$18046,AH!$P$7+1016))),NA()),NA())</ns0:f>
        <ns0:v/>
      </ns0:c>
      <ns0:c r="F1021">
        <ns0:f>IFERROR(IF(ISNUMBER($A1021),IF(AND(AH!$P$10=1,AH!$P$12=1,$A1021=TODAY()),IF(AND(AH!$P$10=1,AH!$P$12=1,$A1021=TODAY()),TODAY(),NA()),IF(AH!$P$10=1,INDEX('Live History'!$D$5:$D$3004,MATCH($A1021,'Live History'!$D$5:$D$3004,1)),INDEX('AH History'!$E$1:$E$18046,AH!$P$7+1016))),NA()),NA())</ns0:f>
        <ns0:v/>
      </ns0:c>
      <ns0:c r="G1021">
        <ns0:f>IFERROR(IF(ISNUMBER($A1021),IF(AND(AH!$P$10=1,AH!$P$12=1,$A1021=TODAY()),IF(AND(AH!$P$10=1,AH!$P$12=1,$A1021=TODAY()),TODAY(),NA()),IF(AH!$P$10=1,INDEX('Live History'!$G$5:$G$3004,MATCH($A1021,'Live History'!$G$5:$G$3004,1)),INDEX('AH History'!$F$1:$F$18046,AH!$P$7+1016))),NA()),NA())</ns0:f>
        <ns0:v/>
      </ns0:c>
      <ns0:c r="H1021">
        <ns0:f>IFERROR(IF(AND(AH!$E$4="Bloomberg",AH!$P$10=1,ISNUMBER($A1021),$A1021&lt;=AH!$P$17),AH!$P$7-1+MATCH($A1021,INDEX('AH History'!$A$1:$A$18046,AH!$P$7):INDEX('AH History'!$A$1:$A$18046,AH!$P$7+AH!$P$8-1),0),0),0)</ns0:f>
        <ns0:v/>
      </ns0:c>
      <ns0:c r="I1021">
        <ns0:f>IF($H1021=0,0,IFERROR(IF(AND(ABS($C1021-INDEX('AH History'!$B$1:$B$18046,$H1021))&lt;=MAX(0.005,ABS(INDEX('AH History'!$B$1:$B$18046,$H1021))*0.00005),ABS($D1021-INDEX('AH History'!$C$1:$C$18046,$H1021))&lt;=MAX(0.005,ABS(INDEX('AH History'!$C$1:$C$18046,$H1021))*0.00005),ABS($E1021-INDEX('AH History'!$D$1:$D$18046,$H1021))&lt;=0.00005,$F1021=INDEX('AH History'!$E$1:$E$18046,$H1021),$G1021=INDEX('AH History'!$F$1:$F$18046,$H1021)),1,-1),-1))</ns0:f>
        <ns0:v/>
      </ns0:c>
    </ns0:row>
    <ns0:row r="1022">
      <ns0:c r="A1022" s="215">
        <ns0:f>IF(OR(AH!$P$3=0,1017+1&gt;AH!$P$11,AND(AH!$E$4&lt;&gt;"Stored",AH!$P$10&lt;&gt;1)),"",IFERROR(IF(AND(AH!$P$21=1,1017+1=AH!$P$11),TODAY(),IF(AH!$P$10=1,INDEX('Live History'!$A$5:$A$3004,AH!$P$13+1017),INDEX('AH History'!$A$1:$A$18046,AH!$P$7+1017))),""))</ns0:f>
        <ns0:v/>
      </ns0:c>
      <ns0:c r="B1022" s="219">
        <ns0:f>IFERROR(IF(AND(AH!$P$9&lt;&gt;1,$C1022&gt;0,$D1022&gt;0,$E1022&gt;0,$F1022&gt;0,$G1022&gt;0,$F1022&lt;=$A1022,$G1022&lt;=$A1022,$A1022-$F1022&lt;=10,$A1022-$G1022&lt;=5),$D1022*$E1022/$C1022-1,NA()),NA())</ns0:f>
        <ns0:v/>
      </ns0:c>
      <ns0:c r="C1022">
        <ns0:f>IFERROR(IF(ISNUMBER($A1022),IF(AND(AH!$P$10=1,AH!$P$12=1,$A1022=TODAY()),AH!$P$19,IF(AH!$P$10=1,INDEX('Live History'!$B$5:$B$3004,AH!$P$13+1017),INDEX('AH History'!$B$1:$B$18046,AH!$P$7+1017))),NA()),NA())</ns0:f>
        <ns0:v/>
      </ns0:c>
      <ns0:c r="D1022">
        <ns0:f>IFERROR(IF(ISNUMBER($A1022),IF(AND(AH!$P$10=1,AH!$P$12=1,$A1022=TODAY()),AH!$P$18,IF(AH!$P$10=1,INDEX('Live History'!$E$5:$E$3004,MATCH($A1022,'Live History'!$D$5:$D$3004,1)),INDEX('AH History'!$C$1:$C$18046,AH!$P$7+1017))),NA()),NA())</ns0:f>
        <ns0:v/>
      </ns0:c>
      <ns0:c r="E1022">
        <ns0:f>IFERROR(IF(ISNUMBER($A1022),IF(AND(AH!$P$10=1,AH!$P$12=1,$A1022=TODAY()),AH!$P$20,IF(AH!$P$10=1,INDEX('Live History'!$H$5:$H$3004,MATCH($A1022,'Live History'!$G$5:$G$3004,1)),INDEX('AH History'!$D$1:$D$18046,AH!$P$7+1017))),NA()),NA())</ns0:f>
        <ns0:v/>
      </ns0:c>
      <ns0:c r="F1022">
        <ns0:f>IFERROR(IF(ISNUMBER($A1022),IF(AND(AH!$P$10=1,AH!$P$12=1,$A1022=TODAY()),IF(AND(AH!$P$10=1,AH!$P$12=1,$A1022=TODAY()),TODAY(),NA()),IF(AH!$P$10=1,INDEX('Live History'!$D$5:$D$3004,MATCH($A1022,'Live History'!$D$5:$D$3004,1)),INDEX('AH History'!$E$1:$E$18046,AH!$P$7+1017))),NA()),NA())</ns0:f>
        <ns0:v/>
      </ns0:c>
      <ns0:c r="G1022">
        <ns0:f>IFERROR(IF(ISNUMBER($A1022),IF(AND(AH!$P$10=1,AH!$P$12=1,$A1022=TODAY()),IF(AND(AH!$P$10=1,AH!$P$12=1,$A1022=TODAY()),TODAY(),NA()),IF(AH!$P$10=1,INDEX('Live History'!$G$5:$G$3004,MATCH($A1022,'Live History'!$G$5:$G$3004,1)),INDEX('AH History'!$F$1:$F$18046,AH!$P$7+1017))),NA()),NA())</ns0:f>
        <ns0:v/>
      </ns0:c>
      <ns0:c r="H1022">
        <ns0:f>IFERROR(IF(AND(AH!$E$4="Bloomberg",AH!$P$10=1,ISNUMBER($A1022),$A1022&lt;=AH!$P$17),AH!$P$7-1+MATCH($A1022,INDEX('AH History'!$A$1:$A$18046,AH!$P$7):INDEX('AH History'!$A$1:$A$18046,AH!$P$7+AH!$P$8-1),0),0),0)</ns0:f>
        <ns0:v/>
      </ns0:c>
      <ns0:c r="I1022">
        <ns0:f>IF($H1022=0,0,IFERROR(IF(AND(ABS($C1022-INDEX('AH History'!$B$1:$B$18046,$H1022))&lt;=MAX(0.005,ABS(INDEX('AH History'!$B$1:$B$18046,$H1022))*0.00005),ABS($D1022-INDEX('AH History'!$C$1:$C$18046,$H1022))&lt;=MAX(0.005,ABS(INDEX('AH History'!$C$1:$C$18046,$H1022))*0.00005),ABS($E1022-INDEX('AH History'!$D$1:$D$18046,$H1022))&lt;=0.00005,$F1022=INDEX('AH History'!$E$1:$E$18046,$H1022),$G1022=INDEX('AH History'!$F$1:$F$18046,$H1022)),1,-1),-1))</ns0:f>
        <ns0:v/>
      </ns0:c>
    </ns0:row>
    <ns0:row r="1023">
      <ns0:c r="A1023" s="215">
        <ns0:f>IF(OR(AH!$P$3=0,1018+1&gt;AH!$P$11,AND(AH!$E$4&lt;&gt;"Stored",AH!$P$10&lt;&gt;1)),"",IFERROR(IF(AND(AH!$P$21=1,1018+1=AH!$P$11),TODAY(),IF(AH!$P$10=1,INDEX('Live History'!$A$5:$A$3004,AH!$P$13+1018),INDEX('AH History'!$A$1:$A$18046,AH!$P$7+1018))),""))</ns0:f>
        <ns0:v/>
      </ns0:c>
      <ns0:c r="B1023" s="219">
        <ns0:f>IFERROR(IF(AND(AH!$P$9&lt;&gt;1,$C1023&gt;0,$D1023&gt;0,$E1023&gt;0,$F1023&gt;0,$G1023&gt;0,$F1023&lt;=$A1023,$G1023&lt;=$A1023,$A1023-$F1023&lt;=10,$A1023-$G1023&lt;=5),$D1023*$E1023/$C1023-1,NA()),NA())</ns0:f>
        <ns0:v/>
      </ns0:c>
      <ns0:c r="C1023">
        <ns0:f>IFERROR(IF(ISNUMBER($A1023),IF(AND(AH!$P$10=1,AH!$P$12=1,$A1023=TODAY()),AH!$P$19,IF(AH!$P$10=1,INDEX('Live History'!$B$5:$B$3004,AH!$P$13+1018),INDEX('AH History'!$B$1:$B$18046,AH!$P$7+1018))),NA()),NA())</ns0:f>
        <ns0:v/>
      </ns0:c>
      <ns0:c r="D1023">
        <ns0:f>IFERROR(IF(ISNUMBER($A1023),IF(AND(AH!$P$10=1,AH!$P$12=1,$A1023=TODAY()),AH!$P$18,IF(AH!$P$10=1,INDEX('Live History'!$E$5:$E$3004,MATCH($A1023,'Live History'!$D$5:$D$3004,1)),INDEX('AH History'!$C$1:$C$18046,AH!$P$7+1018))),NA()),NA())</ns0:f>
        <ns0:v/>
      </ns0:c>
      <ns0:c r="E1023">
        <ns0:f>IFERROR(IF(ISNUMBER($A1023),IF(AND(AH!$P$10=1,AH!$P$12=1,$A1023=TODAY()),AH!$P$20,IF(AH!$P$10=1,INDEX('Live History'!$H$5:$H$3004,MATCH($A1023,'Live History'!$G$5:$G$3004,1)),INDEX('AH History'!$D$1:$D$18046,AH!$P$7+1018))),NA()),NA())</ns0:f>
        <ns0:v/>
      </ns0:c>
      <ns0:c r="F1023">
        <ns0:f>IFERROR(IF(ISNUMBER($A1023),IF(AND(AH!$P$10=1,AH!$P$12=1,$A1023=TODAY()),IF(AND(AH!$P$10=1,AH!$P$12=1,$A1023=TODAY()),TODAY(),NA()),IF(AH!$P$10=1,INDEX('Live History'!$D$5:$D$3004,MATCH($A1023,'Live History'!$D$5:$D$3004,1)),INDEX('AH History'!$E$1:$E$18046,AH!$P$7+1018))),NA()),NA())</ns0:f>
        <ns0:v/>
      </ns0:c>
      <ns0:c r="G1023">
        <ns0:f>IFERROR(IF(ISNUMBER($A1023),IF(AND(AH!$P$10=1,AH!$P$12=1,$A1023=TODAY()),IF(AND(AH!$P$10=1,AH!$P$12=1,$A1023=TODAY()),TODAY(),NA()),IF(AH!$P$10=1,INDEX('Live History'!$G$5:$G$3004,MATCH($A1023,'Live History'!$G$5:$G$3004,1)),INDEX('AH History'!$F$1:$F$18046,AH!$P$7+1018))),NA()),NA())</ns0:f>
        <ns0:v/>
      </ns0:c>
      <ns0:c r="H1023">
        <ns0:f>IFERROR(IF(AND(AH!$E$4="Bloomberg",AH!$P$10=1,ISNUMBER($A1023),$A1023&lt;=AH!$P$17),AH!$P$7-1+MATCH($A1023,INDEX('AH History'!$A$1:$A$18046,AH!$P$7):INDEX('AH History'!$A$1:$A$18046,AH!$P$7+AH!$P$8-1),0),0),0)</ns0:f>
        <ns0:v/>
      </ns0:c>
      <ns0:c r="I1023">
        <ns0:f>IF($H1023=0,0,IFERROR(IF(AND(ABS($C1023-INDEX('AH History'!$B$1:$B$18046,$H1023))&lt;=MAX(0.005,ABS(INDEX('AH History'!$B$1:$B$18046,$H1023))*0.00005),ABS($D1023-INDEX('AH History'!$C$1:$C$18046,$H1023))&lt;=MAX(0.005,ABS(INDEX('AH History'!$C$1:$C$18046,$H1023))*0.00005),ABS($E1023-INDEX('AH History'!$D$1:$D$18046,$H1023))&lt;=0.00005,$F1023=INDEX('AH History'!$E$1:$E$18046,$H1023),$G1023=INDEX('AH History'!$F$1:$F$18046,$H1023)),1,-1),-1))</ns0:f>
        <ns0:v/>
      </ns0:c>
    </ns0:row>
    <ns0:row r="1024">
      <ns0:c r="A1024" s="215">
        <ns0:f>IF(OR(AH!$P$3=0,1019+1&gt;AH!$P$11,AND(AH!$E$4&lt;&gt;"Stored",AH!$P$10&lt;&gt;1)),"",IFERROR(IF(AND(AH!$P$21=1,1019+1=AH!$P$11),TODAY(),IF(AH!$P$10=1,INDEX('Live History'!$A$5:$A$3004,AH!$P$13+1019),INDEX('AH History'!$A$1:$A$18046,AH!$P$7+1019))),""))</ns0:f>
        <ns0:v/>
      </ns0:c>
      <ns0:c r="B1024" s="219">
        <ns0:f>IFERROR(IF(AND(AH!$P$9&lt;&gt;1,$C1024&gt;0,$D1024&gt;0,$E1024&gt;0,$F1024&gt;0,$G1024&gt;0,$F1024&lt;=$A1024,$G1024&lt;=$A1024,$A1024-$F1024&lt;=10,$A1024-$G1024&lt;=5),$D1024*$E1024/$C1024-1,NA()),NA())</ns0:f>
        <ns0:v/>
      </ns0:c>
      <ns0:c r="C1024">
        <ns0:f>IFERROR(IF(ISNUMBER($A1024),IF(AND(AH!$P$10=1,AH!$P$12=1,$A1024=TODAY()),AH!$P$19,IF(AH!$P$10=1,INDEX('Live History'!$B$5:$B$3004,AH!$P$13+1019),INDEX('AH History'!$B$1:$B$18046,AH!$P$7+1019))),NA()),NA())</ns0:f>
        <ns0:v/>
      </ns0:c>
      <ns0:c r="D1024">
        <ns0:f>IFERROR(IF(ISNUMBER($A1024),IF(AND(AH!$P$10=1,AH!$P$12=1,$A1024=TODAY()),AH!$P$18,IF(AH!$P$10=1,INDEX('Live History'!$E$5:$E$3004,MATCH($A1024,'Live History'!$D$5:$D$3004,1)),INDEX('AH History'!$C$1:$C$18046,AH!$P$7+1019))),NA()),NA())</ns0:f>
        <ns0:v/>
      </ns0:c>
      <ns0:c r="E1024">
        <ns0:f>IFERROR(IF(ISNUMBER($A1024),IF(AND(AH!$P$10=1,AH!$P$12=1,$A1024=TODAY()),AH!$P$20,IF(AH!$P$10=1,INDEX('Live History'!$H$5:$H$3004,MATCH($A1024,'Live History'!$G$5:$G$3004,1)),INDEX('AH History'!$D$1:$D$18046,AH!$P$7+1019))),NA()),NA())</ns0:f>
        <ns0:v/>
      </ns0:c>
      <ns0:c r="F1024">
        <ns0:f>IFERROR(IF(ISNUMBER($A1024),IF(AND(AH!$P$10=1,AH!$P$12=1,$A1024=TODAY()),IF(AND(AH!$P$10=1,AH!$P$12=1,$A1024=TODAY()),TODAY(),NA()),IF(AH!$P$10=1,INDEX('Live History'!$D$5:$D$3004,MATCH($A1024,'Live History'!$D$5:$D$3004,1)),INDEX('AH History'!$E$1:$E$18046,AH!$P$7+1019))),NA()),NA())</ns0:f>
        <ns0:v/>
      </ns0:c>
      <ns0:c r="G1024">
        <ns0:f>IFERROR(IF(ISNUMBER($A1024),IF(AND(AH!$P$10=1,AH!$P$12=1,$A1024=TODAY()),IF(AND(AH!$P$10=1,AH!$P$12=1,$A1024=TODAY()),TODAY(),NA()),IF(AH!$P$10=1,INDEX('Live History'!$G$5:$G$3004,MATCH($A1024,'Live History'!$G$5:$G$3004,1)),INDEX('AH History'!$F$1:$F$18046,AH!$P$7+1019))),NA()),NA())</ns0:f>
        <ns0:v/>
      </ns0:c>
      <ns0:c r="H1024">
        <ns0:f>IFERROR(IF(AND(AH!$E$4="Bloomberg",AH!$P$10=1,ISNUMBER($A1024),$A1024&lt;=AH!$P$17),AH!$P$7-1+MATCH($A1024,INDEX('AH History'!$A$1:$A$18046,AH!$P$7):INDEX('AH History'!$A$1:$A$18046,AH!$P$7+AH!$P$8-1),0),0),0)</ns0:f>
        <ns0:v/>
      </ns0:c>
      <ns0:c r="I1024">
        <ns0:f>IF($H1024=0,0,IFERROR(IF(AND(ABS($C1024-INDEX('AH History'!$B$1:$B$18046,$H1024))&lt;=MAX(0.005,ABS(INDEX('AH History'!$B$1:$B$18046,$H1024))*0.00005),ABS($D1024-INDEX('AH History'!$C$1:$C$18046,$H1024))&lt;=MAX(0.005,ABS(INDEX('AH History'!$C$1:$C$18046,$H1024))*0.00005),ABS($E1024-INDEX('AH History'!$D$1:$D$18046,$H1024))&lt;=0.00005,$F1024=INDEX('AH History'!$E$1:$E$18046,$H1024),$G1024=INDEX('AH History'!$F$1:$F$18046,$H1024)),1,-1),-1))</ns0:f>
        <ns0:v/>
      </ns0:c>
    </ns0:row>
    <ns0:row r="1025">
      <ns0:c r="A1025" s="215">
        <ns0:f>IF(OR(AH!$P$3=0,1020+1&gt;AH!$P$11,AND(AH!$E$4&lt;&gt;"Stored",AH!$P$10&lt;&gt;1)),"",IFERROR(IF(AND(AH!$P$21=1,1020+1=AH!$P$11),TODAY(),IF(AH!$P$10=1,INDEX('Live History'!$A$5:$A$3004,AH!$P$13+1020),INDEX('AH History'!$A$1:$A$18046,AH!$P$7+1020))),""))</ns0:f>
        <ns0:v/>
      </ns0:c>
      <ns0:c r="B1025" s="219">
        <ns0:f>IFERROR(IF(AND(AH!$P$9&lt;&gt;1,$C1025&gt;0,$D1025&gt;0,$E1025&gt;0,$F1025&gt;0,$G1025&gt;0,$F1025&lt;=$A1025,$G1025&lt;=$A1025,$A1025-$F1025&lt;=10,$A1025-$G1025&lt;=5),$D1025*$E1025/$C1025-1,NA()),NA())</ns0:f>
        <ns0:v/>
      </ns0:c>
      <ns0:c r="C1025">
        <ns0:f>IFERROR(IF(ISNUMBER($A1025),IF(AND(AH!$P$10=1,AH!$P$12=1,$A1025=TODAY()),AH!$P$19,IF(AH!$P$10=1,INDEX('Live History'!$B$5:$B$3004,AH!$P$13+1020),INDEX('AH History'!$B$1:$B$18046,AH!$P$7+1020))),NA()),NA())</ns0:f>
        <ns0:v/>
      </ns0:c>
      <ns0:c r="D1025">
        <ns0:f>IFERROR(IF(ISNUMBER($A1025),IF(AND(AH!$P$10=1,AH!$P$12=1,$A1025=TODAY()),AH!$P$18,IF(AH!$P$10=1,INDEX('Live History'!$E$5:$E$3004,MATCH($A1025,'Live History'!$D$5:$D$3004,1)),INDEX('AH History'!$C$1:$C$18046,AH!$P$7+1020))),NA()),NA())</ns0:f>
        <ns0:v/>
      </ns0:c>
      <ns0:c r="E1025">
        <ns0:f>IFERROR(IF(ISNUMBER($A1025),IF(AND(AH!$P$10=1,AH!$P$12=1,$A1025=TODAY()),AH!$P$20,IF(AH!$P$10=1,INDEX('Live History'!$H$5:$H$3004,MATCH($A1025,'Live History'!$G$5:$G$3004,1)),INDEX('AH History'!$D$1:$D$18046,AH!$P$7+1020))),NA()),NA())</ns0:f>
        <ns0:v/>
      </ns0:c>
      <ns0:c r="F1025">
        <ns0:f>IFERROR(IF(ISNUMBER($A1025),IF(AND(AH!$P$10=1,AH!$P$12=1,$A1025=TODAY()),IF(AND(AH!$P$10=1,AH!$P$12=1,$A1025=TODAY()),TODAY(),NA()),IF(AH!$P$10=1,INDEX('Live History'!$D$5:$D$3004,MATCH($A1025,'Live History'!$D$5:$D$3004,1)),INDEX('AH History'!$E$1:$E$18046,AH!$P$7+1020))),NA()),NA())</ns0:f>
        <ns0:v/>
      </ns0:c>
      <ns0:c r="G1025">
        <ns0:f>IFERROR(IF(ISNUMBER($A1025),IF(AND(AH!$P$10=1,AH!$P$12=1,$A1025=TODAY()),IF(AND(AH!$P$10=1,AH!$P$12=1,$A1025=TODAY()),TODAY(),NA()),IF(AH!$P$10=1,INDEX('Live History'!$G$5:$G$3004,MATCH($A1025,'Live History'!$G$5:$G$3004,1)),INDEX('AH History'!$F$1:$F$18046,AH!$P$7+1020))),NA()),NA())</ns0:f>
        <ns0:v/>
      </ns0:c>
      <ns0:c r="H1025">
        <ns0:f>IFERROR(IF(AND(AH!$E$4="Bloomberg",AH!$P$10=1,ISNUMBER($A1025),$A1025&lt;=AH!$P$17),AH!$P$7-1+MATCH($A1025,INDEX('AH History'!$A$1:$A$18046,AH!$P$7):INDEX('AH History'!$A$1:$A$18046,AH!$P$7+AH!$P$8-1),0),0),0)</ns0:f>
        <ns0:v/>
      </ns0:c>
      <ns0:c r="I1025">
        <ns0:f>IF($H1025=0,0,IFERROR(IF(AND(ABS($C1025-INDEX('AH History'!$B$1:$B$18046,$H1025))&lt;=MAX(0.005,ABS(INDEX('AH History'!$B$1:$B$18046,$H1025))*0.00005),ABS($D1025-INDEX('AH History'!$C$1:$C$18046,$H1025))&lt;=MAX(0.005,ABS(INDEX('AH History'!$C$1:$C$18046,$H1025))*0.00005),ABS($E1025-INDEX('AH History'!$D$1:$D$18046,$H1025))&lt;=0.00005,$F1025=INDEX('AH History'!$E$1:$E$18046,$H1025),$G1025=INDEX('AH History'!$F$1:$F$18046,$H1025)),1,-1),-1))</ns0:f>
        <ns0:v/>
      </ns0:c>
    </ns0:row>
    <ns0:row r="1026">
      <ns0:c r="A1026" s="215">
        <ns0:f>IF(OR(AH!$P$3=0,1021+1&gt;AH!$P$11,AND(AH!$E$4&lt;&gt;"Stored",AH!$P$10&lt;&gt;1)),"",IFERROR(IF(AND(AH!$P$21=1,1021+1=AH!$P$11),TODAY(),IF(AH!$P$10=1,INDEX('Live History'!$A$5:$A$3004,AH!$P$13+1021),INDEX('AH History'!$A$1:$A$18046,AH!$P$7+1021))),""))</ns0:f>
        <ns0:v/>
      </ns0:c>
      <ns0:c r="B1026" s="219">
        <ns0:f>IFERROR(IF(AND(AH!$P$9&lt;&gt;1,$C1026&gt;0,$D1026&gt;0,$E1026&gt;0,$F1026&gt;0,$G1026&gt;0,$F1026&lt;=$A1026,$G1026&lt;=$A1026,$A1026-$F1026&lt;=10,$A1026-$G1026&lt;=5),$D1026*$E1026/$C1026-1,NA()),NA())</ns0:f>
        <ns0:v/>
      </ns0:c>
      <ns0:c r="C1026">
        <ns0:f>IFERROR(IF(ISNUMBER($A1026),IF(AND(AH!$P$10=1,AH!$P$12=1,$A1026=TODAY()),AH!$P$19,IF(AH!$P$10=1,INDEX('Live History'!$B$5:$B$3004,AH!$P$13+1021),INDEX('AH History'!$B$1:$B$18046,AH!$P$7+1021))),NA()),NA())</ns0:f>
        <ns0:v/>
      </ns0:c>
      <ns0:c r="D1026">
        <ns0:f>IFERROR(IF(ISNUMBER($A1026),IF(AND(AH!$P$10=1,AH!$P$12=1,$A1026=TODAY()),AH!$P$18,IF(AH!$P$10=1,INDEX('Live History'!$E$5:$E$3004,MATCH($A1026,'Live History'!$D$5:$D$3004,1)),INDEX('AH History'!$C$1:$C$18046,AH!$P$7+1021))),NA()),NA())</ns0:f>
        <ns0:v/>
      </ns0:c>
      <ns0:c r="E1026">
        <ns0:f>IFERROR(IF(ISNUMBER($A1026),IF(AND(AH!$P$10=1,AH!$P$12=1,$A1026=TODAY()),AH!$P$20,IF(AH!$P$10=1,INDEX('Live History'!$H$5:$H$3004,MATCH($A1026,'Live History'!$G$5:$G$3004,1)),INDEX('AH History'!$D$1:$D$18046,AH!$P$7+1021))),NA()),NA())</ns0:f>
        <ns0:v/>
      </ns0:c>
      <ns0:c r="F1026">
        <ns0:f>IFERROR(IF(ISNUMBER($A1026),IF(AND(AH!$P$10=1,AH!$P$12=1,$A1026=TODAY()),IF(AND(AH!$P$10=1,AH!$P$12=1,$A1026=TODAY()),TODAY(),NA()),IF(AH!$P$10=1,INDEX('Live History'!$D$5:$D$3004,MATCH($A1026,'Live History'!$D$5:$D$3004,1)),INDEX('AH History'!$E$1:$E$18046,AH!$P$7+1021))),NA()),NA())</ns0:f>
        <ns0:v/>
      </ns0:c>
      <ns0:c r="G1026">
        <ns0:f>IFERROR(IF(ISNUMBER($A1026),IF(AND(AH!$P$10=1,AH!$P$12=1,$A1026=TODAY()),IF(AND(AH!$P$10=1,AH!$P$12=1,$A1026=TODAY()),TODAY(),NA()),IF(AH!$P$10=1,INDEX('Live History'!$G$5:$G$3004,MATCH($A1026,'Live History'!$G$5:$G$3004,1)),INDEX('AH History'!$F$1:$F$18046,AH!$P$7+1021))),NA()),NA())</ns0:f>
        <ns0:v/>
      </ns0:c>
      <ns0:c r="H1026">
        <ns0:f>IFERROR(IF(AND(AH!$E$4="Bloomberg",AH!$P$10=1,ISNUMBER($A1026),$A1026&lt;=AH!$P$17),AH!$P$7-1+MATCH($A1026,INDEX('AH History'!$A$1:$A$18046,AH!$P$7):INDEX('AH History'!$A$1:$A$18046,AH!$P$7+AH!$P$8-1),0),0),0)</ns0:f>
        <ns0:v/>
      </ns0:c>
      <ns0:c r="I1026">
        <ns0:f>IF($H1026=0,0,IFERROR(IF(AND(ABS($C1026-INDEX('AH History'!$B$1:$B$18046,$H1026))&lt;=MAX(0.005,ABS(INDEX('AH History'!$B$1:$B$18046,$H1026))*0.00005),ABS($D1026-INDEX('AH History'!$C$1:$C$18046,$H1026))&lt;=MAX(0.005,ABS(INDEX('AH History'!$C$1:$C$18046,$H1026))*0.00005),ABS($E1026-INDEX('AH History'!$D$1:$D$18046,$H1026))&lt;=0.00005,$F1026=INDEX('AH History'!$E$1:$E$18046,$H1026),$G1026=INDEX('AH History'!$F$1:$F$18046,$H1026)),1,-1),-1))</ns0:f>
        <ns0:v/>
      </ns0:c>
    </ns0:row>
    <ns0:row r="1027">
      <ns0:c r="A1027" s="215">
        <ns0:f>IF(OR(AH!$P$3=0,1022+1&gt;AH!$P$11,AND(AH!$E$4&lt;&gt;"Stored",AH!$P$10&lt;&gt;1)),"",IFERROR(IF(AND(AH!$P$21=1,1022+1=AH!$P$11),TODAY(),IF(AH!$P$10=1,INDEX('Live History'!$A$5:$A$3004,AH!$P$13+1022),INDEX('AH History'!$A$1:$A$18046,AH!$P$7+1022))),""))</ns0:f>
        <ns0:v/>
      </ns0:c>
      <ns0:c r="B1027" s="219">
        <ns0:f>IFERROR(IF(AND(AH!$P$9&lt;&gt;1,$C1027&gt;0,$D1027&gt;0,$E1027&gt;0,$F1027&gt;0,$G1027&gt;0,$F1027&lt;=$A1027,$G1027&lt;=$A1027,$A1027-$F1027&lt;=10,$A1027-$G1027&lt;=5),$D1027*$E1027/$C1027-1,NA()),NA())</ns0:f>
        <ns0:v/>
      </ns0:c>
      <ns0:c r="C1027">
        <ns0:f>IFERROR(IF(ISNUMBER($A1027),IF(AND(AH!$P$10=1,AH!$P$12=1,$A1027=TODAY()),AH!$P$19,IF(AH!$P$10=1,INDEX('Live History'!$B$5:$B$3004,AH!$P$13+1022),INDEX('AH History'!$B$1:$B$18046,AH!$P$7+1022))),NA()),NA())</ns0:f>
        <ns0:v/>
      </ns0:c>
      <ns0:c r="D1027">
        <ns0:f>IFERROR(IF(ISNUMBER($A1027),IF(AND(AH!$P$10=1,AH!$P$12=1,$A1027=TODAY()),AH!$P$18,IF(AH!$P$10=1,INDEX('Live History'!$E$5:$E$3004,MATCH($A1027,'Live History'!$D$5:$D$3004,1)),INDEX('AH History'!$C$1:$C$18046,AH!$P$7+1022))),NA()),NA())</ns0:f>
        <ns0:v/>
      </ns0:c>
      <ns0:c r="E1027">
        <ns0:f>IFERROR(IF(ISNUMBER($A1027),IF(AND(AH!$P$10=1,AH!$P$12=1,$A1027=TODAY()),AH!$P$20,IF(AH!$P$10=1,INDEX('Live History'!$H$5:$H$3004,MATCH($A1027,'Live History'!$G$5:$G$3004,1)),INDEX('AH History'!$D$1:$D$18046,AH!$P$7+1022))),NA()),NA())</ns0:f>
        <ns0:v/>
      </ns0:c>
      <ns0:c r="F1027">
        <ns0:f>IFERROR(IF(ISNUMBER($A1027),IF(AND(AH!$P$10=1,AH!$P$12=1,$A1027=TODAY()),IF(AND(AH!$P$10=1,AH!$P$12=1,$A1027=TODAY()),TODAY(),NA()),IF(AH!$P$10=1,INDEX('Live History'!$D$5:$D$3004,MATCH($A1027,'Live History'!$D$5:$D$3004,1)),INDEX('AH History'!$E$1:$E$18046,AH!$P$7+1022))),NA()),NA())</ns0:f>
        <ns0:v/>
      </ns0:c>
      <ns0:c r="G1027">
        <ns0:f>IFERROR(IF(ISNUMBER($A1027),IF(AND(AH!$P$10=1,AH!$P$12=1,$A1027=TODAY()),IF(AND(AH!$P$10=1,AH!$P$12=1,$A1027=TODAY()),TODAY(),NA()),IF(AH!$P$10=1,INDEX('Live History'!$G$5:$G$3004,MATCH($A1027,'Live History'!$G$5:$G$3004,1)),INDEX('AH History'!$F$1:$F$18046,AH!$P$7+1022))),NA()),NA())</ns0:f>
        <ns0:v/>
      </ns0:c>
      <ns0:c r="H1027">
        <ns0:f>IFERROR(IF(AND(AH!$E$4="Bloomberg",AH!$P$10=1,ISNUMBER($A1027),$A1027&lt;=AH!$P$17),AH!$P$7-1+MATCH($A1027,INDEX('AH History'!$A$1:$A$18046,AH!$P$7):INDEX('AH History'!$A$1:$A$18046,AH!$P$7+AH!$P$8-1),0),0),0)</ns0:f>
        <ns0:v/>
      </ns0:c>
      <ns0:c r="I1027">
        <ns0:f>IF($H1027=0,0,IFERROR(IF(AND(ABS($C1027-INDEX('AH History'!$B$1:$B$18046,$H1027))&lt;=MAX(0.005,ABS(INDEX('AH History'!$B$1:$B$18046,$H1027))*0.00005),ABS($D1027-INDEX('AH History'!$C$1:$C$18046,$H1027))&lt;=MAX(0.005,ABS(INDEX('AH History'!$C$1:$C$18046,$H1027))*0.00005),ABS($E1027-INDEX('AH History'!$D$1:$D$18046,$H1027))&lt;=0.00005,$F1027=INDEX('AH History'!$E$1:$E$18046,$H1027),$G1027=INDEX('AH History'!$F$1:$F$18046,$H1027)),1,-1),-1))</ns0:f>
        <ns0:v/>
      </ns0:c>
    </ns0:row>
    <ns0:row r="1028">
      <ns0:c r="A1028" s="215">
        <ns0:f>IF(OR(AH!$P$3=0,1023+1&gt;AH!$P$11,AND(AH!$E$4&lt;&gt;"Stored",AH!$P$10&lt;&gt;1)),"",IFERROR(IF(AND(AH!$P$21=1,1023+1=AH!$P$11),TODAY(),IF(AH!$P$10=1,INDEX('Live History'!$A$5:$A$3004,AH!$P$13+1023),INDEX('AH History'!$A$1:$A$18046,AH!$P$7+1023))),""))</ns0:f>
        <ns0:v/>
      </ns0:c>
      <ns0:c r="B1028" s="219">
        <ns0:f>IFERROR(IF(AND(AH!$P$9&lt;&gt;1,$C1028&gt;0,$D1028&gt;0,$E1028&gt;0,$F1028&gt;0,$G1028&gt;0,$F1028&lt;=$A1028,$G1028&lt;=$A1028,$A1028-$F1028&lt;=10,$A1028-$G1028&lt;=5),$D1028*$E1028/$C1028-1,NA()),NA())</ns0:f>
        <ns0:v/>
      </ns0:c>
      <ns0:c r="C1028">
        <ns0:f>IFERROR(IF(ISNUMBER($A1028),IF(AND(AH!$P$10=1,AH!$P$12=1,$A1028=TODAY()),AH!$P$19,IF(AH!$P$10=1,INDEX('Live History'!$B$5:$B$3004,AH!$P$13+1023),INDEX('AH History'!$B$1:$B$18046,AH!$P$7+1023))),NA()),NA())</ns0:f>
        <ns0:v/>
      </ns0:c>
      <ns0:c r="D1028">
        <ns0:f>IFERROR(IF(ISNUMBER($A1028),IF(AND(AH!$P$10=1,AH!$P$12=1,$A1028=TODAY()),AH!$P$18,IF(AH!$P$10=1,INDEX('Live History'!$E$5:$E$3004,MATCH($A1028,'Live History'!$D$5:$D$3004,1)),INDEX('AH History'!$C$1:$C$18046,AH!$P$7+1023))),NA()),NA())</ns0:f>
        <ns0:v/>
      </ns0:c>
      <ns0:c r="E1028">
        <ns0:f>IFERROR(IF(ISNUMBER($A1028),IF(AND(AH!$P$10=1,AH!$P$12=1,$A1028=TODAY()),AH!$P$20,IF(AH!$P$10=1,INDEX('Live History'!$H$5:$H$3004,MATCH($A1028,'Live History'!$G$5:$G$3004,1)),INDEX('AH History'!$D$1:$D$18046,AH!$P$7+1023))),NA()),NA())</ns0:f>
        <ns0:v/>
      </ns0:c>
      <ns0:c r="F1028">
        <ns0:f>IFERROR(IF(ISNUMBER($A1028),IF(AND(AH!$P$10=1,AH!$P$12=1,$A1028=TODAY()),IF(AND(AH!$P$10=1,AH!$P$12=1,$A1028=TODAY()),TODAY(),NA()),IF(AH!$P$10=1,INDEX('Live History'!$D$5:$D$3004,MATCH($A1028,'Live History'!$D$5:$D$3004,1)),INDEX('AH History'!$E$1:$E$18046,AH!$P$7+1023))),NA()),NA())</ns0:f>
        <ns0:v/>
      </ns0:c>
      <ns0:c r="G1028">
        <ns0:f>IFERROR(IF(ISNUMBER($A1028),IF(AND(AH!$P$10=1,AH!$P$12=1,$A1028=TODAY()),IF(AND(AH!$P$10=1,AH!$P$12=1,$A1028=TODAY()),TODAY(),NA()),IF(AH!$P$10=1,INDEX('Live History'!$G$5:$G$3004,MATCH($A1028,'Live History'!$G$5:$G$3004,1)),INDEX('AH History'!$F$1:$F$18046,AH!$P$7+1023))),NA()),NA())</ns0:f>
        <ns0:v/>
      </ns0:c>
      <ns0:c r="H1028">
        <ns0:f>IFERROR(IF(AND(AH!$E$4="Bloomberg",AH!$P$10=1,ISNUMBER($A1028),$A1028&lt;=AH!$P$17),AH!$P$7-1+MATCH($A1028,INDEX('AH History'!$A$1:$A$18046,AH!$P$7):INDEX('AH History'!$A$1:$A$18046,AH!$P$7+AH!$P$8-1),0),0),0)</ns0:f>
        <ns0:v/>
      </ns0:c>
      <ns0:c r="I1028">
        <ns0:f>IF($H1028=0,0,IFERROR(IF(AND(ABS($C1028-INDEX('AH History'!$B$1:$B$18046,$H1028))&lt;=MAX(0.005,ABS(INDEX('AH History'!$B$1:$B$18046,$H1028))*0.00005),ABS($D1028-INDEX('AH History'!$C$1:$C$18046,$H1028))&lt;=MAX(0.005,ABS(INDEX('AH History'!$C$1:$C$18046,$H1028))*0.00005),ABS($E1028-INDEX('AH History'!$D$1:$D$18046,$H1028))&lt;=0.00005,$F1028=INDEX('AH History'!$E$1:$E$18046,$H1028),$G1028=INDEX('AH History'!$F$1:$F$18046,$H1028)),1,-1),-1))</ns0:f>
        <ns0:v/>
      </ns0:c>
    </ns0:row>
    <ns0:row r="1029">
      <ns0:c r="A1029" s="215">
        <ns0:f>IF(OR(AH!$P$3=0,1024+1&gt;AH!$P$11,AND(AH!$E$4&lt;&gt;"Stored",AH!$P$10&lt;&gt;1)),"",IFERROR(IF(AND(AH!$P$21=1,1024+1=AH!$P$11),TODAY(),IF(AH!$P$10=1,INDEX('Live History'!$A$5:$A$3004,AH!$P$13+1024),INDEX('AH History'!$A$1:$A$18046,AH!$P$7+1024))),""))</ns0:f>
        <ns0:v/>
      </ns0:c>
      <ns0:c r="B1029" s="219">
        <ns0:f>IFERROR(IF(AND(AH!$P$9&lt;&gt;1,$C1029&gt;0,$D1029&gt;0,$E1029&gt;0,$F1029&gt;0,$G1029&gt;0,$F1029&lt;=$A1029,$G1029&lt;=$A1029,$A1029-$F1029&lt;=10,$A1029-$G1029&lt;=5),$D1029*$E1029/$C1029-1,NA()),NA())</ns0:f>
        <ns0:v/>
      </ns0:c>
      <ns0:c r="C1029">
        <ns0:f>IFERROR(IF(ISNUMBER($A1029),IF(AND(AH!$P$10=1,AH!$P$12=1,$A1029=TODAY()),AH!$P$19,IF(AH!$P$10=1,INDEX('Live History'!$B$5:$B$3004,AH!$P$13+1024),INDEX('AH History'!$B$1:$B$18046,AH!$P$7+1024))),NA()),NA())</ns0:f>
        <ns0:v/>
      </ns0:c>
      <ns0:c r="D1029">
        <ns0:f>IFERROR(IF(ISNUMBER($A1029),IF(AND(AH!$P$10=1,AH!$P$12=1,$A1029=TODAY()),AH!$P$18,IF(AH!$P$10=1,INDEX('Live History'!$E$5:$E$3004,MATCH($A1029,'Live History'!$D$5:$D$3004,1)),INDEX('AH History'!$C$1:$C$18046,AH!$P$7+1024))),NA()),NA())</ns0:f>
        <ns0:v/>
      </ns0:c>
      <ns0:c r="E1029">
        <ns0:f>IFERROR(IF(ISNUMBER($A1029),IF(AND(AH!$P$10=1,AH!$P$12=1,$A1029=TODAY()),AH!$P$20,IF(AH!$P$10=1,INDEX('Live History'!$H$5:$H$3004,MATCH($A1029,'Live History'!$G$5:$G$3004,1)),INDEX('AH History'!$D$1:$D$18046,AH!$P$7+1024))),NA()),NA())</ns0:f>
        <ns0:v/>
      </ns0:c>
      <ns0:c r="F1029">
        <ns0:f>IFERROR(IF(ISNUMBER($A1029),IF(AND(AH!$P$10=1,AH!$P$12=1,$A1029=TODAY()),IF(AND(AH!$P$10=1,AH!$P$12=1,$A1029=TODAY()),TODAY(),NA()),IF(AH!$P$10=1,INDEX('Live History'!$D$5:$D$3004,MATCH($A1029,'Live History'!$D$5:$D$3004,1)),INDEX('AH History'!$E$1:$E$18046,AH!$P$7+1024))),NA()),NA())</ns0:f>
        <ns0:v/>
      </ns0:c>
      <ns0:c r="G1029">
        <ns0:f>IFERROR(IF(ISNUMBER($A1029),IF(AND(AH!$P$10=1,AH!$P$12=1,$A1029=TODAY()),IF(AND(AH!$P$10=1,AH!$P$12=1,$A1029=TODAY()),TODAY(),NA()),IF(AH!$P$10=1,INDEX('Live History'!$G$5:$G$3004,MATCH($A1029,'Live History'!$G$5:$G$3004,1)),INDEX('AH History'!$F$1:$F$18046,AH!$P$7+1024))),NA()),NA())</ns0:f>
        <ns0:v/>
      </ns0:c>
      <ns0:c r="H1029">
        <ns0:f>IFERROR(IF(AND(AH!$E$4="Bloomberg",AH!$P$10=1,ISNUMBER($A1029),$A1029&lt;=AH!$P$17),AH!$P$7-1+MATCH($A1029,INDEX('AH History'!$A$1:$A$18046,AH!$P$7):INDEX('AH History'!$A$1:$A$18046,AH!$P$7+AH!$P$8-1),0),0),0)</ns0:f>
        <ns0:v/>
      </ns0:c>
      <ns0:c r="I1029">
        <ns0:f>IF($H1029=0,0,IFERROR(IF(AND(ABS($C1029-INDEX('AH History'!$B$1:$B$18046,$H1029))&lt;=MAX(0.005,ABS(INDEX('AH History'!$B$1:$B$18046,$H1029))*0.00005),ABS($D1029-INDEX('AH History'!$C$1:$C$18046,$H1029))&lt;=MAX(0.005,ABS(INDEX('AH History'!$C$1:$C$18046,$H1029))*0.00005),ABS($E1029-INDEX('AH History'!$D$1:$D$18046,$H1029))&lt;=0.00005,$F1029=INDEX('AH History'!$E$1:$E$18046,$H1029),$G1029=INDEX('AH History'!$F$1:$F$18046,$H1029)),1,-1),-1))</ns0:f>
        <ns0:v/>
      </ns0:c>
    </ns0:row>
    <ns0:row r="1030">
      <ns0:c r="A1030" s="215">
        <ns0:f>IF(OR(AH!$P$3=0,1025+1&gt;AH!$P$11,AND(AH!$E$4&lt;&gt;"Stored",AH!$P$10&lt;&gt;1)),"",IFERROR(IF(AND(AH!$P$21=1,1025+1=AH!$P$11),TODAY(),IF(AH!$P$10=1,INDEX('Live History'!$A$5:$A$3004,AH!$P$13+1025),INDEX('AH History'!$A$1:$A$18046,AH!$P$7+1025))),""))</ns0:f>
        <ns0:v/>
      </ns0:c>
      <ns0:c r="B1030" s="219">
        <ns0:f>IFERROR(IF(AND(AH!$P$9&lt;&gt;1,$C1030&gt;0,$D1030&gt;0,$E1030&gt;0,$F1030&gt;0,$G1030&gt;0,$F1030&lt;=$A1030,$G1030&lt;=$A1030,$A1030-$F1030&lt;=10,$A1030-$G1030&lt;=5),$D1030*$E1030/$C1030-1,NA()),NA())</ns0:f>
        <ns0:v/>
      </ns0:c>
      <ns0:c r="C1030">
        <ns0:f>IFERROR(IF(ISNUMBER($A1030),IF(AND(AH!$P$10=1,AH!$P$12=1,$A1030=TODAY()),AH!$P$19,IF(AH!$P$10=1,INDEX('Live History'!$B$5:$B$3004,AH!$P$13+1025),INDEX('AH History'!$B$1:$B$18046,AH!$P$7+1025))),NA()),NA())</ns0:f>
        <ns0:v/>
      </ns0:c>
      <ns0:c r="D1030">
        <ns0:f>IFERROR(IF(ISNUMBER($A1030),IF(AND(AH!$P$10=1,AH!$P$12=1,$A1030=TODAY()),AH!$P$18,IF(AH!$P$10=1,INDEX('Live History'!$E$5:$E$3004,MATCH($A1030,'Live History'!$D$5:$D$3004,1)),INDEX('AH History'!$C$1:$C$18046,AH!$P$7+1025))),NA()),NA())</ns0:f>
        <ns0:v/>
      </ns0:c>
      <ns0:c r="E1030">
        <ns0:f>IFERROR(IF(ISNUMBER($A1030),IF(AND(AH!$P$10=1,AH!$P$12=1,$A1030=TODAY()),AH!$P$20,IF(AH!$P$10=1,INDEX('Live History'!$H$5:$H$3004,MATCH($A1030,'Live History'!$G$5:$G$3004,1)),INDEX('AH History'!$D$1:$D$18046,AH!$P$7+1025))),NA()),NA())</ns0:f>
        <ns0:v/>
      </ns0:c>
      <ns0:c r="F1030">
        <ns0:f>IFERROR(IF(ISNUMBER($A1030),IF(AND(AH!$P$10=1,AH!$P$12=1,$A1030=TODAY()),IF(AND(AH!$P$10=1,AH!$P$12=1,$A1030=TODAY()),TODAY(),NA()),IF(AH!$P$10=1,INDEX('Live History'!$D$5:$D$3004,MATCH($A1030,'Live History'!$D$5:$D$3004,1)),INDEX('AH History'!$E$1:$E$18046,AH!$P$7+1025))),NA()),NA())</ns0:f>
        <ns0:v/>
      </ns0:c>
      <ns0:c r="G1030">
        <ns0:f>IFERROR(IF(ISNUMBER($A1030),IF(AND(AH!$P$10=1,AH!$P$12=1,$A1030=TODAY()),IF(AND(AH!$P$10=1,AH!$P$12=1,$A1030=TODAY()),TODAY(),NA()),IF(AH!$P$10=1,INDEX('Live History'!$G$5:$G$3004,MATCH($A1030,'Live History'!$G$5:$G$3004,1)),INDEX('AH History'!$F$1:$F$18046,AH!$P$7+1025))),NA()),NA())</ns0:f>
        <ns0:v/>
      </ns0:c>
      <ns0:c r="H1030">
        <ns0:f>IFERROR(IF(AND(AH!$E$4="Bloomberg",AH!$P$10=1,ISNUMBER($A1030),$A1030&lt;=AH!$P$17),AH!$P$7-1+MATCH($A1030,INDEX('AH History'!$A$1:$A$18046,AH!$P$7):INDEX('AH History'!$A$1:$A$18046,AH!$P$7+AH!$P$8-1),0),0),0)</ns0:f>
        <ns0:v/>
      </ns0:c>
      <ns0:c r="I1030">
        <ns0:f>IF($H1030=0,0,IFERROR(IF(AND(ABS($C1030-INDEX('AH History'!$B$1:$B$18046,$H1030))&lt;=MAX(0.005,ABS(INDEX('AH History'!$B$1:$B$18046,$H1030))*0.00005),ABS($D1030-INDEX('AH History'!$C$1:$C$18046,$H1030))&lt;=MAX(0.005,ABS(INDEX('AH History'!$C$1:$C$18046,$H1030))*0.00005),ABS($E1030-INDEX('AH History'!$D$1:$D$18046,$H1030))&lt;=0.00005,$F1030=INDEX('AH History'!$E$1:$E$18046,$H1030),$G1030=INDEX('AH History'!$F$1:$F$18046,$H1030)),1,-1),-1))</ns0:f>
        <ns0:v/>
      </ns0:c>
    </ns0:row>
    <ns0:row r="1031">
      <ns0:c r="A1031" s="215">
        <ns0:f>IF(OR(AH!$P$3=0,1026+1&gt;AH!$P$11,AND(AH!$E$4&lt;&gt;"Stored",AH!$P$10&lt;&gt;1)),"",IFERROR(IF(AND(AH!$P$21=1,1026+1=AH!$P$11),TODAY(),IF(AH!$P$10=1,INDEX('Live History'!$A$5:$A$3004,AH!$P$13+1026),INDEX('AH History'!$A$1:$A$18046,AH!$P$7+1026))),""))</ns0:f>
        <ns0:v/>
      </ns0:c>
      <ns0:c r="B1031" s="219">
        <ns0:f>IFERROR(IF(AND(AH!$P$9&lt;&gt;1,$C1031&gt;0,$D1031&gt;0,$E1031&gt;0,$F1031&gt;0,$G1031&gt;0,$F1031&lt;=$A1031,$G1031&lt;=$A1031,$A1031-$F1031&lt;=10,$A1031-$G1031&lt;=5),$D1031*$E1031/$C1031-1,NA()),NA())</ns0:f>
        <ns0:v/>
      </ns0:c>
      <ns0:c r="C1031">
        <ns0:f>IFERROR(IF(ISNUMBER($A1031),IF(AND(AH!$P$10=1,AH!$P$12=1,$A1031=TODAY()),AH!$P$19,IF(AH!$P$10=1,INDEX('Live History'!$B$5:$B$3004,AH!$P$13+1026),INDEX('AH History'!$B$1:$B$18046,AH!$P$7+1026))),NA()),NA())</ns0:f>
        <ns0:v/>
      </ns0:c>
      <ns0:c r="D1031">
        <ns0:f>IFERROR(IF(ISNUMBER($A1031),IF(AND(AH!$P$10=1,AH!$P$12=1,$A1031=TODAY()),AH!$P$18,IF(AH!$P$10=1,INDEX('Live History'!$E$5:$E$3004,MATCH($A1031,'Live History'!$D$5:$D$3004,1)),INDEX('AH History'!$C$1:$C$18046,AH!$P$7+1026))),NA()),NA())</ns0:f>
        <ns0:v/>
      </ns0:c>
      <ns0:c r="E1031">
        <ns0:f>IFERROR(IF(ISNUMBER($A1031),IF(AND(AH!$P$10=1,AH!$P$12=1,$A1031=TODAY()),AH!$P$20,IF(AH!$P$10=1,INDEX('Live History'!$H$5:$H$3004,MATCH($A1031,'Live History'!$G$5:$G$3004,1)),INDEX('AH History'!$D$1:$D$18046,AH!$P$7+1026))),NA()),NA())</ns0:f>
        <ns0:v/>
      </ns0:c>
      <ns0:c r="F1031">
        <ns0:f>IFERROR(IF(ISNUMBER($A1031),IF(AND(AH!$P$10=1,AH!$P$12=1,$A1031=TODAY()),IF(AND(AH!$P$10=1,AH!$P$12=1,$A1031=TODAY()),TODAY(),NA()),IF(AH!$P$10=1,INDEX('Live History'!$D$5:$D$3004,MATCH($A1031,'Live History'!$D$5:$D$3004,1)),INDEX('AH History'!$E$1:$E$18046,AH!$P$7+1026))),NA()),NA())</ns0:f>
        <ns0:v/>
      </ns0:c>
      <ns0:c r="G1031">
        <ns0:f>IFERROR(IF(ISNUMBER($A1031),IF(AND(AH!$P$10=1,AH!$P$12=1,$A1031=TODAY()),IF(AND(AH!$P$10=1,AH!$P$12=1,$A1031=TODAY()),TODAY(),NA()),IF(AH!$P$10=1,INDEX('Live History'!$G$5:$G$3004,MATCH($A1031,'Live History'!$G$5:$G$3004,1)),INDEX('AH History'!$F$1:$F$18046,AH!$P$7+1026))),NA()),NA())</ns0:f>
        <ns0:v/>
      </ns0:c>
      <ns0:c r="H1031">
        <ns0:f>IFERROR(IF(AND(AH!$E$4="Bloomberg",AH!$P$10=1,ISNUMBER($A1031),$A1031&lt;=AH!$P$17),AH!$P$7-1+MATCH($A1031,INDEX('AH History'!$A$1:$A$18046,AH!$P$7):INDEX('AH History'!$A$1:$A$18046,AH!$P$7+AH!$P$8-1),0),0),0)</ns0:f>
        <ns0:v/>
      </ns0:c>
      <ns0:c r="I1031">
        <ns0:f>IF($H1031=0,0,IFERROR(IF(AND(ABS($C1031-INDEX('AH History'!$B$1:$B$18046,$H1031))&lt;=MAX(0.005,ABS(INDEX('AH History'!$B$1:$B$18046,$H1031))*0.00005),ABS($D1031-INDEX('AH History'!$C$1:$C$18046,$H1031))&lt;=MAX(0.005,ABS(INDEX('AH History'!$C$1:$C$18046,$H1031))*0.00005),ABS($E1031-INDEX('AH History'!$D$1:$D$18046,$H1031))&lt;=0.00005,$F1031=INDEX('AH History'!$E$1:$E$18046,$H1031),$G1031=INDEX('AH History'!$F$1:$F$18046,$H1031)),1,-1),-1))</ns0:f>
        <ns0:v/>
      </ns0:c>
    </ns0:row>
    <ns0:row r="1032">
      <ns0:c r="A1032" s="215">
        <ns0:f>IF(OR(AH!$P$3=0,1027+1&gt;AH!$P$11,AND(AH!$E$4&lt;&gt;"Stored",AH!$P$10&lt;&gt;1)),"",IFERROR(IF(AND(AH!$P$21=1,1027+1=AH!$P$11),TODAY(),IF(AH!$P$10=1,INDEX('Live History'!$A$5:$A$3004,AH!$P$13+1027),INDEX('AH History'!$A$1:$A$18046,AH!$P$7+1027))),""))</ns0:f>
        <ns0:v/>
      </ns0:c>
      <ns0:c r="B1032" s="219">
        <ns0:f>IFERROR(IF(AND(AH!$P$9&lt;&gt;1,$C1032&gt;0,$D1032&gt;0,$E1032&gt;0,$F1032&gt;0,$G1032&gt;0,$F1032&lt;=$A1032,$G1032&lt;=$A1032,$A1032-$F1032&lt;=10,$A1032-$G1032&lt;=5),$D1032*$E1032/$C1032-1,NA()),NA())</ns0:f>
        <ns0:v/>
      </ns0:c>
      <ns0:c r="C1032">
        <ns0:f>IFERROR(IF(ISNUMBER($A1032),IF(AND(AH!$P$10=1,AH!$P$12=1,$A1032=TODAY()),AH!$P$19,IF(AH!$P$10=1,INDEX('Live History'!$B$5:$B$3004,AH!$P$13+1027),INDEX('AH History'!$B$1:$B$18046,AH!$P$7+1027))),NA()),NA())</ns0:f>
        <ns0:v/>
      </ns0:c>
      <ns0:c r="D1032">
        <ns0:f>IFERROR(IF(ISNUMBER($A1032),IF(AND(AH!$P$10=1,AH!$P$12=1,$A1032=TODAY()),AH!$P$18,IF(AH!$P$10=1,INDEX('Live History'!$E$5:$E$3004,MATCH($A1032,'Live History'!$D$5:$D$3004,1)),INDEX('AH History'!$C$1:$C$18046,AH!$P$7+1027))),NA()),NA())</ns0:f>
        <ns0:v/>
      </ns0:c>
      <ns0:c r="E1032">
        <ns0:f>IFERROR(IF(ISNUMBER($A1032),IF(AND(AH!$P$10=1,AH!$P$12=1,$A1032=TODAY()),AH!$P$20,IF(AH!$P$10=1,INDEX('Live History'!$H$5:$H$3004,MATCH($A1032,'Live History'!$G$5:$G$3004,1)),INDEX('AH History'!$D$1:$D$18046,AH!$P$7+1027))),NA()),NA())</ns0:f>
        <ns0:v/>
      </ns0:c>
      <ns0:c r="F1032">
        <ns0:f>IFERROR(IF(ISNUMBER($A1032),IF(AND(AH!$P$10=1,AH!$P$12=1,$A1032=TODAY()),IF(AND(AH!$P$10=1,AH!$P$12=1,$A1032=TODAY()),TODAY(),NA()),IF(AH!$P$10=1,INDEX('Live History'!$D$5:$D$3004,MATCH($A1032,'Live History'!$D$5:$D$3004,1)),INDEX('AH History'!$E$1:$E$18046,AH!$P$7+1027))),NA()),NA())</ns0:f>
        <ns0:v/>
      </ns0:c>
      <ns0:c r="G1032">
        <ns0:f>IFERROR(IF(ISNUMBER($A1032),IF(AND(AH!$P$10=1,AH!$P$12=1,$A1032=TODAY()),IF(AND(AH!$P$10=1,AH!$P$12=1,$A1032=TODAY()),TODAY(),NA()),IF(AH!$P$10=1,INDEX('Live History'!$G$5:$G$3004,MATCH($A1032,'Live History'!$G$5:$G$3004,1)),INDEX('AH History'!$F$1:$F$18046,AH!$P$7+1027))),NA()),NA())</ns0:f>
        <ns0:v/>
      </ns0:c>
      <ns0:c r="H1032">
        <ns0:f>IFERROR(IF(AND(AH!$E$4="Bloomberg",AH!$P$10=1,ISNUMBER($A1032),$A1032&lt;=AH!$P$17),AH!$P$7-1+MATCH($A1032,INDEX('AH History'!$A$1:$A$18046,AH!$P$7):INDEX('AH History'!$A$1:$A$18046,AH!$P$7+AH!$P$8-1),0),0),0)</ns0:f>
        <ns0:v/>
      </ns0:c>
      <ns0:c r="I1032">
        <ns0:f>IF($H1032=0,0,IFERROR(IF(AND(ABS($C1032-INDEX('AH History'!$B$1:$B$18046,$H1032))&lt;=MAX(0.005,ABS(INDEX('AH History'!$B$1:$B$18046,$H1032))*0.00005),ABS($D1032-INDEX('AH History'!$C$1:$C$18046,$H1032))&lt;=MAX(0.005,ABS(INDEX('AH History'!$C$1:$C$18046,$H1032))*0.00005),ABS($E1032-INDEX('AH History'!$D$1:$D$18046,$H1032))&lt;=0.00005,$F1032=INDEX('AH History'!$E$1:$E$18046,$H1032),$G1032=INDEX('AH History'!$F$1:$F$18046,$H1032)),1,-1),-1))</ns0:f>
        <ns0:v/>
      </ns0:c>
    </ns0:row>
    <ns0:row r="1033">
      <ns0:c r="A1033" s="215">
        <ns0:f>IF(OR(AH!$P$3=0,1028+1&gt;AH!$P$11,AND(AH!$E$4&lt;&gt;"Stored",AH!$P$10&lt;&gt;1)),"",IFERROR(IF(AND(AH!$P$21=1,1028+1=AH!$P$11),TODAY(),IF(AH!$P$10=1,INDEX('Live History'!$A$5:$A$3004,AH!$P$13+1028),INDEX('AH History'!$A$1:$A$18046,AH!$P$7+1028))),""))</ns0:f>
        <ns0:v/>
      </ns0:c>
      <ns0:c r="B1033" s="219">
        <ns0:f>IFERROR(IF(AND(AH!$P$9&lt;&gt;1,$C1033&gt;0,$D1033&gt;0,$E1033&gt;0,$F1033&gt;0,$G1033&gt;0,$F1033&lt;=$A1033,$G1033&lt;=$A1033,$A1033-$F1033&lt;=10,$A1033-$G1033&lt;=5),$D1033*$E1033/$C1033-1,NA()),NA())</ns0:f>
        <ns0:v/>
      </ns0:c>
      <ns0:c r="C1033">
        <ns0:f>IFERROR(IF(ISNUMBER($A1033),IF(AND(AH!$P$10=1,AH!$P$12=1,$A1033=TODAY()),AH!$P$19,IF(AH!$P$10=1,INDEX('Live History'!$B$5:$B$3004,AH!$P$13+1028),INDEX('AH History'!$B$1:$B$18046,AH!$P$7+1028))),NA()),NA())</ns0:f>
        <ns0:v/>
      </ns0:c>
      <ns0:c r="D1033">
        <ns0:f>IFERROR(IF(ISNUMBER($A1033),IF(AND(AH!$P$10=1,AH!$P$12=1,$A1033=TODAY()),AH!$P$18,IF(AH!$P$10=1,INDEX('Live History'!$E$5:$E$3004,MATCH($A1033,'Live History'!$D$5:$D$3004,1)),INDEX('AH History'!$C$1:$C$18046,AH!$P$7+1028))),NA()),NA())</ns0:f>
        <ns0:v/>
      </ns0:c>
      <ns0:c r="E1033">
        <ns0:f>IFERROR(IF(ISNUMBER($A1033),IF(AND(AH!$P$10=1,AH!$P$12=1,$A1033=TODAY()),AH!$P$20,IF(AH!$P$10=1,INDEX('Live History'!$H$5:$H$3004,MATCH($A1033,'Live History'!$G$5:$G$3004,1)),INDEX('AH History'!$D$1:$D$18046,AH!$P$7+1028))),NA()),NA())</ns0:f>
        <ns0:v/>
      </ns0:c>
      <ns0:c r="F1033">
        <ns0:f>IFERROR(IF(ISNUMBER($A1033),IF(AND(AH!$P$10=1,AH!$P$12=1,$A1033=TODAY()),IF(AND(AH!$P$10=1,AH!$P$12=1,$A1033=TODAY()),TODAY(),NA()),IF(AH!$P$10=1,INDEX('Live History'!$D$5:$D$3004,MATCH($A1033,'Live History'!$D$5:$D$3004,1)),INDEX('AH History'!$E$1:$E$18046,AH!$P$7+1028))),NA()),NA())</ns0:f>
        <ns0:v/>
      </ns0:c>
      <ns0:c r="G1033">
        <ns0:f>IFERROR(IF(ISNUMBER($A1033),IF(AND(AH!$P$10=1,AH!$P$12=1,$A1033=TODAY()),IF(AND(AH!$P$10=1,AH!$P$12=1,$A1033=TODAY()),TODAY(),NA()),IF(AH!$P$10=1,INDEX('Live History'!$G$5:$G$3004,MATCH($A1033,'Live History'!$G$5:$G$3004,1)),INDEX('AH History'!$F$1:$F$18046,AH!$P$7+1028))),NA()),NA())</ns0:f>
        <ns0:v/>
      </ns0:c>
      <ns0:c r="H1033">
        <ns0:f>IFERROR(IF(AND(AH!$E$4="Bloomberg",AH!$P$10=1,ISNUMBER($A1033),$A1033&lt;=AH!$P$17),AH!$P$7-1+MATCH($A1033,INDEX('AH History'!$A$1:$A$18046,AH!$P$7):INDEX('AH History'!$A$1:$A$18046,AH!$P$7+AH!$P$8-1),0),0),0)</ns0:f>
        <ns0:v/>
      </ns0:c>
      <ns0:c r="I1033">
        <ns0:f>IF($H1033=0,0,IFERROR(IF(AND(ABS($C1033-INDEX('AH History'!$B$1:$B$18046,$H1033))&lt;=MAX(0.005,ABS(INDEX('AH History'!$B$1:$B$18046,$H1033))*0.00005),ABS($D1033-INDEX('AH History'!$C$1:$C$18046,$H1033))&lt;=MAX(0.005,ABS(INDEX('AH History'!$C$1:$C$18046,$H1033))*0.00005),ABS($E1033-INDEX('AH History'!$D$1:$D$18046,$H1033))&lt;=0.00005,$F1033=INDEX('AH History'!$E$1:$E$18046,$H1033),$G1033=INDEX('AH History'!$F$1:$F$18046,$H1033)),1,-1),-1))</ns0:f>
        <ns0:v/>
      </ns0:c>
    </ns0:row>
    <ns0:row r="1034">
      <ns0:c r="A1034" s="215">
        <ns0:f>IF(OR(AH!$P$3=0,1029+1&gt;AH!$P$11,AND(AH!$E$4&lt;&gt;"Stored",AH!$P$10&lt;&gt;1)),"",IFERROR(IF(AND(AH!$P$21=1,1029+1=AH!$P$11),TODAY(),IF(AH!$P$10=1,INDEX('Live History'!$A$5:$A$3004,AH!$P$13+1029),INDEX('AH History'!$A$1:$A$18046,AH!$P$7+1029))),""))</ns0:f>
        <ns0:v/>
      </ns0:c>
      <ns0:c r="B1034" s="219">
        <ns0:f>IFERROR(IF(AND(AH!$P$9&lt;&gt;1,$C1034&gt;0,$D1034&gt;0,$E1034&gt;0,$F1034&gt;0,$G1034&gt;0,$F1034&lt;=$A1034,$G1034&lt;=$A1034,$A1034-$F1034&lt;=10,$A1034-$G1034&lt;=5),$D1034*$E1034/$C1034-1,NA()),NA())</ns0:f>
        <ns0:v/>
      </ns0:c>
      <ns0:c r="C1034">
        <ns0:f>IFERROR(IF(ISNUMBER($A1034),IF(AND(AH!$P$10=1,AH!$P$12=1,$A1034=TODAY()),AH!$P$19,IF(AH!$P$10=1,INDEX('Live History'!$B$5:$B$3004,AH!$P$13+1029),INDEX('AH History'!$B$1:$B$18046,AH!$P$7+1029))),NA()),NA())</ns0:f>
        <ns0:v/>
      </ns0:c>
      <ns0:c r="D1034">
        <ns0:f>IFERROR(IF(ISNUMBER($A1034),IF(AND(AH!$P$10=1,AH!$P$12=1,$A1034=TODAY()),AH!$P$18,IF(AH!$P$10=1,INDEX('Live History'!$E$5:$E$3004,MATCH($A1034,'Live History'!$D$5:$D$3004,1)),INDEX('AH History'!$C$1:$C$18046,AH!$P$7+1029))),NA()),NA())</ns0:f>
        <ns0:v/>
      </ns0:c>
      <ns0:c r="E1034">
        <ns0:f>IFERROR(IF(ISNUMBER($A1034),IF(AND(AH!$P$10=1,AH!$P$12=1,$A1034=TODAY()),AH!$P$20,IF(AH!$P$10=1,INDEX('Live History'!$H$5:$H$3004,MATCH($A1034,'Live History'!$G$5:$G$3004,1)),INDEX('AH History'!$D$1:$D$18046,AH!$P$7+1029))),NA()),NA())</ns0:f>
        <ns0:v/>
      </ns0:c>
      <ns0:c r="F1034">
        <ns0:f>IFERROR(IF(ISNUMBER($A1034),IF(AND(AH!$P$10=1,AH!$P$12=1,$A1034=TODAY()),IF(AND(AH!$P$10=1,AH!$P$12=1,$A1034=TODAY()),TODAY(),NA()),IF(AH!$P$10=1,INDEX('Live History'!$D$5:$D$3004,MATCH($A1034,'Live History'!$D$5:$D$3004,1)),INDEX('AH History'!$E$1:$E$18046,AH!$P$7+1029))),NA()),NA())</ns0:f>
        <ns0:v/>
      </ns0:c>
      <ns0:c r="G1034">
        <ns0:f>IFERROR(IF(ISNUMBER($A1034),IF(AND(AH!$P$10=1,AH!$P$12=1,$A1034=TODAY()),IF(AND(AH!$P$10=1,AH!$P$12=1,$A1034=TODAY()),TODAY(),NA()),IF(AH!$P$10=1,INDEX('Live History'!$G$5:$G$3004,MATCH($A1034,'Live History'!$G$5:$G$3004,1)),INDEX('AH History'!$F$1:$F$18046,AH!$P$7+1029))),NA()),NA())</ns0:f>
        <ns0:v/>
      </ns0:c>
      <ns0:c r="H1034">
        <ns0:f>IFERROR(IF(AND(AH!$E$4="Bloomberg",AH!$P$10=1,ISNUMBER($A1034),$A1034&lt;=AH!$P$17),AH!$P$7-1+MATCH($A1034,INDEX('AH History'!$A$1:$A$18046,AH!$P$7):INDEX('AH History'!$A$1:$A$18046,AH!$P$7+AH!$P$8-1),0),0),0)</ns0:f>
        <ns0:v/>
      </ns0:c>
      <ns0:c r="I1034">
        <ns0:f>IF($H1034=0,0,IFERROR(IF(AND(ABS($C1034-INDEX('AH History'!$B$1:$B$18046,$H1034))&lt;=MAX(0.005,ABS(INDEX('AH History'!$B$1:$B$18046,$H1034))*0.00005),ABS($D1034-INDEX('AH History'!$C$1:$C$18046,$H1034))&lt;=MAX(0.005,ABS(INDEX('AH History'!$C$1:$C$18046,$H1034))*0.00005),ABS($E1034-INDEX('AH History'!$D$1:$D$18046,$H1034))&lt;=0.00005,$F1034=INDEX('AH History'!$E$1:$E$18046,$H1034),$G1034=INDEX('AH History'!$F$1:$F$18046,$H1034)),1,-1),-1))</ns0:f>
        <ns0:v/>
      </ns0:c>
    </ns0:row>
    <ns0:row r="1035">
      <ns0:c r="A1035" s="215">
        <ns0:f>IF(OR(AH!$P$3=0,1030+1&gt;AH!$P$11,AND(AH!$E$4&lt;&gt;"Stored",AH!$P$10&lt;&gt;1)),"",IFERROR(IF(AND(AH!$P$21=1,1030+1=AH!$P$11),TODAY(),IF(AH!$P$10=1,INDEX('Live History'!$A$5:$A$3004,AH!$P$13+1030),INDEX('AH History'!$A$1:$A$18046,AH!$P$7+1030))),""))</ns0:f>
        <ns0:v/>
      </ns0:c>
      <ns0:c r="B1035" s="219">
        <ns0:f>IFERROR(IF(AND(AH!$P$9&lt;&gt;1,$C1035&gt;0,$D1035&gt;0,$E1035&gt;0,$F1035&gt;0,$G1035&gt;0,$F1035&lt;=$A1035,$G1035&lt;=$A1035,$A1035-$F1035&lt;=10,$A1035-$G1035&lt;=5),$D1035*$E1035/$C1035-1,NA()),NA())</ns0:f>
        <ns0:v/>
      </ns0:c>
      <ns0:c r="C1035">
        <ns0:f>IFERROR(IF(ISNUMBER($A1035),IF(AND(AH!$P$10=1,AH!$P$12=1,$A1035=TODAY()),AH!$P$19,IF(AH!$P$10=1,INDEX('Live History'!$B$5:$B$3004,AH!$P$13+1030),INDEX('AH History'!$B$1:$B$18046,AH!$P$7+1030))),NA()),NA())</ns0:f>
        <ns0:v/>
      </ns0:c>
      <ns0:c r="D1035">
        <ns0:f>IFERROR(IF(ISNUMBER($A1035),IF(AND(AH!$P$10=1,AH!$P$12=1,$A1035=TODAY()),AH!$P$18,IF(AH!$P$10=1,INDEX('Live History'!$E$5:$E$3004,MATCH($A1035,'Live History'!$D$5:$D$3004,1)),INDEX('AH History'!$C$1:$C$18046,AH!$P$7+1030))),NA()),NA())</ns0:f>
        <ns0:v/>
      </ns0:c>
      <ns0:c r="E1035">
        <ns0:f>IFERROR(IF(ISNUMBER($A1035),IF(AND(AH!$P$10=1,AH!$P$12=1,$A1035=TODAY()),AH!$P$20,IF(AH!$P$10=1,INDEX('Live History'!$H$5:$H$3004,MATCH($A1035,'Live History'!$G$5:$G$3004,1)),INDEX('AH History'!$D$1:$D$18046,AH!$P$7+1030))),NA()),NA())</ns0:f>
        <ns0:v/>
      </ns0:c>
      <ns0:c r="F1035">
        <ns0:f>IFERROR(IF(ISNUMBER($A1035),IF(AND(AH!$P$10=1,AH!$P$12=1,$A1035=TODAY()),IF(AND(AH!$P$10=1,AH!$P$12=1,$A1035=TODAY()),TODAY(),NA()),IF(AH!$P$10=1,INDEX('Live History'!$D$5:$D$3004,MATCH($A1035,'Live History'!$D$5:$D$3004,1)),INDEX('AH History'!$E$1:$E$18046,AH!$P$7+1030))),NA()),NA())</ns0:f>
        <ns0:v/>
      </ns0:c>
      <ns0:c r="G1035">
        <ns0:f>IFERROR(IF(ISNUMBER($A1035),IF(AND(AH!$P$10=1,AH!$P$12=1,$A1035=TODAY()),IF(AND(AH!$P$10=1,AH!$P$12=1,$A1035=TODAY()),TODAY(),NA()),IF(AH!$P$10=1,INDEX('Live History'!$G$5:$G$3004,MATCH($A1035,'Live History'!$G$5:$G$3004,1)),INDEX('AH History'!$F$1:$F$18046,AH!$P$7+1030))),NA()),NA())</ns0:f>
        <ns0:v/>
      </ns0:c>
      <ns0:c r="H1035">
        <ns0:f>IFERROR(IF(AND(AH!$E$4="Bloomberg",AH!$P$10=1,ISNUMBER($A1035),$A1035&lt;=AH!$P$17),AH!$P$7-1+MATCH($A1035,INDEX('AH History'!$A$1:$A$18046,AH!$P$7):INDEX('AH History'!$A$1:$A$18046,AH!$P$7+AH!$P$8-1),0),0),0)</ns0:f>
        <ns0:v/>
      </ns0:c>
      <ns0:c r="I1035">
        <ns0:f>IF($H1035=0,0,IFERROR(IF(AND(ABS($C1035-INDEX('AH History'!$B$1:$B$18046,$H1035))&lt;=MAX(0.005,ABS(INDEX('AH History'!$B$1:$B$18046,$H1035))*0.00005),ABS($D1035-INDEX('AH History'!$C$1:$C$18046,$H1035))&lt;=MAX(0.005,ABS(INDEX('AH History'!$C$1:$C$18046,$H1035))*0.00005),ABS($E1035-INDEX('AH History'!$D$1:$D$18046,$H1035))&lt;=0.00005,$F1035=INDEX('AH History'!$E$1:$E$18046,$H1035),$G1035=INDEX('AH History'!$F$1:$F$18046,$H1035)),1,-1),-1))</ns0:f>
        <ns0:v/>
      </ns0:c>
    </ns0:row>
    <ns0:row r="1036">
      <ns0:c r="A1036" s="215">
        <ns0:f>IF(OR(AH!$P$3=0,1031+1&gt;AH!$P$11,AND(AH!$E$4&lt;&gt;"Stored",AH!$P$10&lt;&gt;1)),"",IFERROR(IF(AND(AH!$P$21=1,1031+1=AH!$P$11),TODAY(),IF(AH!$P$10=1,INDEX('Live History'!$A$5:$A$3004,AH!$P$13+1031),INDEX('AH History'!$A$1:$A$18046,AH!$P$7+1031))),""))</ns0:f>
        <ns0:v/>
      </ns0:c>
      <ns0:c r="B1036" s="219">
        <ns0:f>IFERROR(IF(AND(AH!$P$9&lt;&gt;1,$C1036&gt;0,$D1036&gt;0,$E1036&gt;0,$F1036&gt;0,$G1036&gt;0,$F1036&lt;=$A1036,$G1036&lt;=$A1036,$A1036-$F1036&lt;=10,$A1036-$G1036&lt;=5),$D1036*$E1036/$C1036-1,NA()),NA())</ns0:f>
        <ns0:v/>
      </ns0:c>
      <ns0:c r="C1036">
        <ns0:f>IFERROR(IF(ISNUMBER($A1036),IF(AND(AH!$P$10=1,AH!$P$12=1,$A1036=TODAY()),AH!$P$19,IF(AH!$P$10=1,INDEX('Live History'!$B$5:$B$3004,AH!$P$13+1031),INDEX('AH History'!$B$1:$B$18046,AH!$P$7+1031))),NA()),NA())</ns0:f>
        <ns0:v/>
      </ns0:c>
      <ns0:c r="D1036">
        <ns0:f>IFERROR(IF(ISNUMBER($A1036),IF(AND(AH!$P$10=1,AH!$P$12=1,$A1036=TODAY()),AH!$P$18,IF(AH!$P$10=1,INDEX('Live History'!$E$5:$E$3004,MATCH($A1036,'Live History'!$D$5:$D$3004,1)),INDEX('AH History'!$C$1:$C$18046,AH!$P$7+1031))),NA()),NA())</ns0:f>
        <ns0:v/>
      </ns0:c>
      <ns0:c r="E1036">
        <ns0:f>IFERROR(IF(ISNUMBER($A1036),IF(AND(AH!$P$10=1,AH!$P$12=1,$A1036=TODAY()),AH!$P$20,IF(AH!$P$10=1,INDEX('Live History'!$H$5:$H$3004,MATCH($A1036,'Live History'!$G$5:$G$3004,1)),INDEX('AH History'!$D$1:$D$18046,AH!$P$7+1031))),NA()),NA())</ns0:f>
        <ns0:v/>
      </ns0:c>
      <ns0:c r="F1036">
        <ns0:f>IFERROR(IF(ISNUMBER($A1036),IF(AND(AH!$P$10=1,AH!$P$12=1,$A1036=TODAY()),IF(AND(AH!$P$10=1,AH!$P$12=1,$A1036=TODAY()),TODAY(),NA()),IF(AH!$P$10=1,INDEX('Live History'!$D$5:$D$3004,MATCH($A1036,'Live History'!$D$5:$D$3004,1)),INDEX('AH History'!$E$1:$E$18046,AH!$P$7+1031))),NA()),NA())</ns0:f>
        <ns0:v/>
      </ns0:c>
      <ns0:c r="G1036">
        <ns0:f>IFERROR(IF(ISNUMBER($A1036),IF(AND(AH!$P$10=1,AH!$P$12=1,$A1036=TODAY()),IF(AND(AH!$P$10=1,AH!$P$12=1,$A1036=TODAY()),TODAY(),NA()),IF(AH!$P$10=1,INDEX('Live History'!$G$5:$G$3004,MATCH($A1036,'Live History'!$G$5:$G$3004,1)),INDEX('AH History'!$F$1:$F$18046,AH!$P$7+1031))),NA()),NA())</ns0:f>
        <ns0:v/>
      </ns0:c>
      <ns0:c r="H1036">
        <ns0:f>IFERROR(IF(AND(AH!$E$4="Bloomberg",AH!$P$10=1,ISNUMBER($A1036),$A1036&lt;=AH!$P$17),AH!$P$7-1+MATCH($A1036,INDEX('AH History'!$A$1:$A$18046,AH!$P$7):INDEX('AH History'!$A$1:$A$18046,AH!$P$7+AH!$P$8-1),0),0),0)</ns0:f>
        <ns0:v/>
      </ns0:c>
      <ns0:c r="I1036">
        <ns0:f>IF($H1036=0,0,IFERROR(IF(AND(ABS($C1036-INDEX('AH History'!$B$1:$B$18046,$H1036))&lt;=MAX(0.005,ABS(INDEX('AH History'!$B$1:$B$18046,$H1036))*0.00005),ABS($D1036-INDEX('AH History'!$C$1:$C$18046,$H1036))&lt;=MAX(0.005,ABS(INDEX('AH History'!$C$1:$C$18046,$H1036))*0.00005),ABS($E1036-INDEX('AH History'!$D$1:$D$18046,$H1036))&lt;=0.00005,$F1036=INDEX('AH History'!$E$1:$E$18046,$H1036),$G1036=INDEX('AH History'!$F$1:$F$18046,$H1036)),1,-1),-1))</ns0:f>
        <ns0:v/>
      </ns0:c>
    </ns0:row>
    <ns0:row r="1037">
      <ns0:c r="A1037" s="215">
        <ns0:f>IF(OR(AH!$P$3=0,1032+1&gt;AH!$P$11,AND(AH!$E$4&lt;&gt;"Stored",AH!$P$10&lt;&gt;1)),"",IFERROR(IF(AND(AH!$P$21=1,1032+1=AH!$P$11),TODAY(),IF(AH!$P$10=1,INDEX('Live History'!$A$5:$A$3004,AH!$P$13+1032),INDEX('AH History'!$A$1:$A$18046,AH!$P$7+1032))),""))</ns0:f>
        <ns0:v/>
      </ns0:c>
      <ns0:c r="B1037" s="219">
        <ns0:f>IFERROR(IF(AND(AH!$P$9&lt;&gt;1,$C1037&gt;0,$D1037&gt;0,$E1037&gt;0,$F1037&gt;0,$G1037&gt;0,$F1037&lt;=$A1037,$G1037&lt;=$A1037,$A1037-$F1037&lt;=10,$A1037-$G1037&lt;=5),$D1037*$E1037/$C1037-1,NA()),NA())</ns0:f>
        <ns0:v/>
      </ns0:c>
      <ns0:c r="C1037">
        <ns0:f>IFERROR(IF(ISNUMBER($A1037),IF(AND(AH!$P$10=1,AH!$P$12=1,$A1037=TODAY()),AH!$P$19,IF(AH!$P$10=1,INDEX('Live History'!$B$5:$B$3004,AH!$P$13+1032),INDEX('AH History'!$B$1:$B$18046,AH!$P$7+1032))),NA()),NA())</ns0:f>
        <ns0:v/>
      </ns0:c>
      <ns0:c r="D1037">
        <ns0:f>IFERROR(IF(ISNUMBER($A1037),IF(AND(AH!$P$10=1,AH!$P$12=1,$A1037=TODAY()),AH!$P$18,IF(AH!$P$10=1,INDEX('Live History'!$E$5:$E$3004,MATCH($A1037,'Live History'!$D$5:$D$3004,1)),INDEX('AH History'!$C$1:$C$18046,AH!$P$7+1032))),NA()),NA())</ns0:f>
        <ns0:v/>
      </ns0:c>
      <ns0:c r="E1037">
        <ns0:f>IFERROR(IF(ISNUMBER($A1037),IF(AND(AH!$P$10=1,AH!$P$12=1,$A1037=TODAY()),AH!$P$20,IF(AH!$P$10=1,INDEX('Live History'!$H$5:$H$3004,MATCH($A1037,'Live History'!$G$5:$G$3004,1)),INDEX('AH History'!$D$1:$D$18046,AH!$P$7+1032))),NA()),NA())</ns0:f>
        <ns0:v/>
      </ns0:c>
      <ns0:c r="F1037">
        <ns0:f>IFERROR(IF(ISNUMBER($A1037),IF(AND(AH!$P$10=1,AH!$P$12=1,$A1037=TODAY()),IF(AND(AH!$P$10=1,AH!$P$12=1,$A1037=TODAY()),TODAY(),NA()),IF(AH!$P$10=1,INDEX('Live History'!$D$5:$D$3004,MATCH($A1037,'Live History'!$D$5:$D$3004,1)),INDEX('AH History'!$E$1:$E$18046,AH!$P$7+1032))),NA()),NA())</ns0:f>
        <ns0:v/>
      </ns0:c>
      <ns0:c r="G1037">
        <ns0:f>IFERROR(IF(ISNUMBER($A1037),IF(AND(AH!$P$10=1,AH!$P$12=1,$A1037=TODAY()),IF(AND(AH!$P$10=1,AH!$P$12=1,$A1037=TODAY()),TODAY(),NA()),IF(AH!$P$10=1,INDEX('Live History'!$G$5:$G$3004,MATCH($A1037,'Live History'!$G$5:$G$3004,1)),INDEX('AH History'!$F$1:$F$18046,AH!$P$7+1032))),NA()),NA())</ns0:f>
        <ns0:v/>
      </ns0:c>
      <ns0:c r="H1037">
        <ns0:f>IFERROR(IF(AND(AH!$E$4="Bloomberg",AH!$P$10=1,ISNUMBER($A1037),$A1037&lt;=AH!$P$17),AH!$P$7-1+MATCH($A1037,INDEX('AH History'!$A$1:$A$18046,AH!$P$7):INDEX('AH History'!$A$1:$A$18046,AH!$P$7+AH!$P$8-1),0),0),0)</ns0:f>
        <ns0:v/>
      </ns0:c>
      <ns0:c r="I1037">
        <ns0:f>IF($H1037=0,0,IFERROR(IF(AND(ABS($C1037-INDEX('AH History'!$B$1:$B$18046,$H1037))&lt;=MAX(0.005,ABS(INDEX('AH History'!$B$1:$B$18046,$H1037))*0.00005),ABS($D1037-INDEX('AH History'!$C$1:$C$18046,$H1037))&lt;=MAX(0.005,ABS(INDEX('AH History'!$C$1:$C$18046,$H1037))*0.00005),ABS($E1037-INDEX('AH History'!$D$1:$D$18046,$H1037))&lt;=0.00005,$F1037=INDEX('AH History'!$E$1:$E$18046,$H1037),$G1037=INDEX('AH History'!$F$1:$F$18046,$H1037)),1,-1),-1))</ns0:f>
        <ns0:v/>
      </ns0:c>
    </ns0:row>
    <ns0:row r="1038">
      <ns0:c r="A1038" s="215">
        <ns0:f>IF(OR(AH!$P$3=0,1033+1&gt;AH!$P$11,AND(AH!$E$4&lt;&gt;"Stored",AH!$P$10&lt;&gt;1)),"",IFERROR(IF(AND(AH!$P$21=1,1033+1=AH!$P$11),TODAY(),IF(AH!$P$10=1,INDEX('Live History'!$A$5:$A$3004,AH!$P$13+1033),INDEX('AH History'!$A$1:$A$18046,AH!$P$7+1033))),""))</ns0:f>
        <ns0:v/>
      </ns0:c>
      <ns0:c r="B1038" s="219">
        <ns0:f>IFERROR(IF(AND(AH!$P$9&lt;&gt;1,$C1038&gt;0,$D1038&gt;0,$E1038&gt;0,$F1038&gt;0,$G1038&gt;0,$F1038&lt;=$A1038,$G1038&lt;=$A1038,$A1038-$F1038&lt;=10,$A1038-$G1038&lt;=5),$D1038*$E1038/$C1038-1,NA()),NA())</ns0:f>
        <ns0:v/>
      </ns0:c>
      <ns0:c r="C1038">
        <ns0:f>IFERROR(IF(ISNUMBER($A1038),IF(AND(AH!$P$10=1,AH!$P$12=1,$A1038=TODAY()),AH!$P$19,IF(AH!$P$10=1,INDEX('Live History'!$B$5:$B$3004,AH!$P$13+1033),INDEX('AH History'!$B$1:$B$18046,AH!$P$7+1033))),NA()),NA())</ns0:f>
        <ns0:v/>
      </ns0:c>
      <ns0:c r="D1038">
        <ns0:f>IFERROR(IF(ISNUMBER($A1038),IF(AND(AH!$P$10=1,AH!$P$12=1,$A1038=TODAY()),AH!$P$18,IF(AH!$P$10=1,INDEX('Live History'!$E$5:$E$3004,MATCH($A1038,'Live History'!$D$5:$D$3004,1)),INDEX('AH History'!$C$1:$C$18046,AH!$P$7+1033))),NA()),NA())</ns0:f>
        <ns0:v/>
      </ns0:c>
      <ns0:c r="E1038">
        <ns0:f>IFERROR(IF(ISNUMBER($A1038),IF(AND(AH!$P$10=1,AH!$P$12=1,$A1038=TODAY()),AH!$P$20,IF(AH!$P$10=1,INDEX('Live History'!$H$5:$H$3004,MATCH($A1038,'Live History'!$G$5:$G$3004,1)),INDEX('AH History'!$D$1:$D$18046,AH!$P$7+1033))),NA()),NA())</ns0:f>
        <ns0:v/>
      </ns0:c>
      <ns0:c r="F1038">
        <ns0:f>IFERROR(IF(ISNUMBER($A1038),IF(AND(AH!$P$10=1,AH!$P$12=1,$A1038=TODAY()),IF(AND(AH!$P$10=1,AH!$P$12=1,$A1038=TODAY()),TODAY(),NA()),IF(AH!$P$10=1,INDEX('Live History'!$D$5:$D$3004,MATCH($A1038,'Live History'!$D$5:$D$3004,1)),INDEX('AH History'!$E$1:$E$18046,AH!$P$7+1033))),NA()),NA())</ns0:f>
        <ns0:v/>
      </ns0:c>
      <ns0:c r="G1038">
        <ns0:f>IFERROR(IF(ISNUMBER($A1038),IF(AND(AH!$P$10=1,AH!$P$12=1,$A1038=TODAY()),IF(AND(AH!$P$10=1,AH!$P$12=1,$A1038=TODAY()),TODAY(),NA()),IF(AH!$P$10=1,INDEX('Live History'!$G$5:$G$3004,MATCH($A1038,'Live History'!$G$5:$G$3004,1)),INDEX('AH History'!$F$1:$F$18046,AH!$P$7+1033))),NA()),NA())</ns0:f>
        <ns0:v/>
      </ns0:c>
      <ns0:c r="H1038">
        <ns0:f>IFERROR(IF(AND(AH!$E$4="Bloomberg",AH!$P$10=1,ISNUMBER($A1038),$A1038&lt;=AH!$P$17),AH!$P$7-1+MATCH($A1038,INDEX('AH History'!$A$1:$A$18046,AH!$P$7):INDEX('AH History'!$A$1:$A$18046,AH!$P$7+AH!$P$8-1),0),0),0)</ns0:f>
        <ns0:v/>
      </ns0:c>
      <ns0:c r="I1038">
        <ns0:f>IF($H1038=0,0,IFERROR(IF(AND(ABS($C1038-INDEX('AH History'!$B$1:$B$18046,$H1038))&lt;=MAX(0.005,ABS(INDEX('AH History'!$B$1:$B$18046,$H1038))*0.00005),ABS($D1038-INDEX('AH History'!$C$1:$C$18046,$H1038))&lt;=MAX(0.005,ABS(INDEX('AH History'!$C$1:$C$18046,$H1038))*0.00005),ABS($E1038-INDEX('AH History'!$D$1:$D$18046,$H1038))&lt;=0.00005,$F1038=INDEX('AH History'!$E$1:$E$18046,$H1038),$G1038=INDEX('AH History'!$F$1:$F$18046,$H1038)),1,-1),-1))</ns0:f>
        <ns0:v/>
      </ns0:c>
    </ns0:row>
    <ns0:row r="1039">
      <ns0:c r="A1039" s="215">
        <ns0:f>IF(OR(AH!$P$3=0,1034+1&gt;AH!$P$11,AND(AH!$E$4&lt;&gt;"Stored",AH!$P$10&lt;&gt;1)),"",IFERROR(IF(AND(AH!$P$21=1,1034+1=AH!$P$11),TODAY(),IF(AH!$P$10=1,INDEX('Live History'!$A$5:$A$3004,AH!$P$13+1034),INDEX('AH History'!$A$1:$A$18046,AH!$P$7+1034))),""))</ns0:f>
        <ns0:v/>
      </ns0:c>
      <ns0:c r="B1039" s="219">
        <ns0:f>IFERROR(IF(AND(AH!$P$9&lt;&gt;1,$C1039&gt;0,$D1039&gt;0,$E1039&gt;0,$F1039&gt;0,$G1039&gt;0,$F1039&lt;=$A1039,$G1039&lt;=$A1039,$A1039-$F1039&lt;=10,$A1039-$G1039&lt;=5),$D1039*$E1039/$C1039-1,NA()),NA())</ns0:f>
        <ns0:v/>
      </ns0:c>
      <ns0:c r="C1039">
        <ns0:f>IFERROR(IF(ISNUMBER($A1039),IF(AND(AH!$P$10=1,AH!$P$12=1,$A1039=TODAY()),AH!$P$19,IF(AH!$P$10=1,INDEX('Live History'!$B$5:$B$3004,AH!$P$13+1034),INDEX('AH History'!$B$1:$B$18046,AH!$P$7+1034))),NA()),NA())</ns0:f>
        <ns0:v/>
      </ns0:c>
      <ns0:c r="D1039">
        <ns0:f>IFERROR(IF(ISNUMBER($A1039),IF(AND(AH!$P$10=1,AH!$P$12=1,$A1039=TODAY()),AH!$P$18,IF(AH!$P$10=1,INDEX('Live History'!$E$5:$E$3004,MATCH($A1039,'Live History'!$D$5:$D$3004,1)),INDEX('AH History'!$C$1:$C$18046,AH!$P$7+1034))),NA()),NA())</ns0:f>
        <ns0:v/>
      </ns0:c>
      <ns0:c r="E1039">
        <ns0:f>IFERROR(IF(ISNUMBER($A1039),IF(AND(AH!$P$10=1,AH!$P$12=1,$A1039=TODAY()),AH!$P$20,IF(AH!$P$10=1,INDEX('Live History'!$H$5:$H$3004,MATCH($A1039,'Live History'!$G$5:$G$3004,1)),INDEX('AH History'!$D$1:$D$18046,AH!$P$7+1034))),NA()),NA())</ns0:f>
        <ns0:v/>
      </ns0:c>
      <ns0:c r="F1039">
        <ns0:f>IFERROR(IF(ISNUMBER($A1039),IF(AND(AH!$P$10=1,AH!$P$12=1,$A1039=TODAY()),IF(AND(AH!$P$10=1,AH!$P$12=1,$A1039=TODAY()),TODAY(),NA()),IF(AH!$P$10=1,INDEX('Live History'!$D$5:$D$3004,MATCH($A1039,'Live History'!$D$5:$D$3004,1)),INDEX('AH History'!$E$1:$E$18046,AH!$P$7+1034))),NA()),NA())</ns0:f>
        <ns0:v/>
      </ns0:c>
      <ns0:c r="G1039">
        <ns0:f>IFERROR(IF(ISNUMBER($A1039),IF(AND(AH!$P$10=1,AH!$P$12=1,$A1039=TODAY()),IF(AND(AH!$P$10=1,AH!$P$12=1,$A1039=TODAY()),TODAY(),NA()),IF(AH!$P$10=1,INDEX('Live History'!$G$5:$G$3004,MATCH($A1039,'Live History'!$G$5:$G$3004,1)),INDEX('AH History'!$F$1:$F$18046,AH!$P$7+1034))),NA()),NA())</ns0:f>
        <ns0:v/>
      </ns0:c>
      <ns0:c r="H1039">
        <ns0:f>IFERROR(IF(AND(AH!$E$4="Bloomberg",AH!$P$10=1,ISNUMBER($A1039),$A1039&lt;=AH!$P$17),AH!$P$7-1+MATCH($A1039,INDEX('AH History'!$A$1:$A$18046,AH!$P$7):INDEX('AH History'!$A$1:$A$18046,AH!$P$7+AH!$P$8-1),0),0),0)</ns0:f>
        <ns0:v/>
      </ns0:c>
      <ns0:c r="I1039">
        <ns0:f>IF($H1039=0,0,IFERROR(IF(AND(ABS($C1039-INDEX('AH History'!$B$1:$B$18046,$H1039))&lt;=MAX(0.005,ABS(INDEX('AH History'!$B$1:$B$18046,$H1039))*0.00005),ABS($D1039-INDEX('AH History'!$C$1:$C$18046,$H1039))&lt;=MAX(0.005,ABS(INDEX('AH History'!$C$1:$C$18046,$H1039))*0.00005),ABS($E1039-INDEX('AH History'!$D$1:$D$18046,$H1039))&lt;=0.00005,$F1039=INDEX('AH History'!$E$1:$E$18046,$H1039),$G1039=INDEX('AH History'!$F$1:$F$18046,$H1039)),1,-1),-1))</ns0:f>
        <ns0:v/>
      </ns0:c>
    </ns0:row>
    <ns0:row r="1040">
      <ns0:c r="A1040" s="215">
        <ns0:f>IF(OR(AH!$P$3=0,1035+1&gt;AH!$P$11,AND(AH!$E$4&lt;&gt;"Stored",AH!$P$10&lt;&gt;1)),"",IFERROR(IF(AND(AH!$P$21=1,1035+1=AH!$P$11),TODAY(),IF(AH!$P$10=1,INDEX('Live History'!$A$5:$A$3004,AH!$P$13+1035),INDEX('AH History'!$A$1:$A$18046,AH!$P$7+1035))),""))</ns0:f>
        <ns0:v/>
      </ns0:c>
      <ns0:c r="B1040" s="219">
        <ns0:f>IFERROR(IF(AND(AH!$P$9&lt;&gt;1,$C1040&gt;0,$D1040&gt;0,$E1040&gt;0,$F1040&gt;0,$G1040&gt;0,$F1040&lt;=$A1040,$G1040&lt;=$A1040,$A1040-$F1040&lt;=10,$A1040-$G1040&lt;=5),$D1040*$E1040/$C1040-1,NA()),NA())</ns0:f>
        <ns0:v/>
      </ns0:c>
      <ns0:c r="C1040">
        <ns0:f>IFERROR(IF(ISNUMBER($A1040),IF(AND(AH!$P$10=1,AH!$P$12=1,$A1040=TODAY()),AH!$P$19,IF(AH!$P$10=1,INDEX('Live History'!$B$5:$B$3004,AH!$P$13+1035),INDEX('AH History'!$B$1:$B$18046,AH!$P$7+1035))),NA()),NA())</ns0:f>
        <ns0:v/>
      </ns0:c>
      <ns0:c r="D1040">
        <ns0:f>IFERROR(IF(ISNUMBER($A1040),IF(AND(AH!$P$10=1,AH!$P$12=1,$A1040=TODAY()),AH!$P$18,IF(AH!$P$10=1,INDEX('Live History'!$E$5:$E$3004,MATCH($A1040,'Live History'!$D$5:$D$3004,1)),INDEX('AH History'!$C$1:$C$18046,AH!$P$7+1035))),NA()),NA())</ns0:f>
        <ns0:v/>
      </ns0:c>
      <ns0:c r="E1040">
        <ns0:f>IFERROR(IF(ISNUMBER($A1040),IF(AND(AH!$P$10=1,AH!$P$12=1,$A1040=TODAY()),AH!$P$20,IF(AH!$P$10=1,INDEX('Live History'!$H$5:$H$3004,MATCH($A1040,'Live History'!$G$5:$G$3004,1)),INDEX('AH History'!$D$1:$D$18046,AH!$P$7+1035))),NA()),NA())</ns0:f>
        <ns0:v/>
      </ns0:c>
      <ns0:c r="F1040">
        <ns0:f>IFERROR(IF(ISNUMBER($A1040),IF(AND(AH!$P$10=1,AH!$P$12=1,$A1040=TODAY()),IF(AND(AH!$P$10=1,AH!$P$12=1,$A1040=TODAY()),TODAY(),NA()),IF(AH!$P$10=1,INDEX('Live History'!$D$5:$D$3004,MATCH($A1040,'Live History'!$D$5:$D$3004,1)),INDEX('AH History'!$E$1:$E$18046,AH!$P$7+1035))),NA()),NA())</ns0:f>
        <ns0:v/>
      </ns0:c>
      <ns0:c r="G1040">
        <ns0:f>IFERROR(IF(ISNUMBER($A1040),IF(AND(AH!$P$10=1,AH!$P$12=1,$A1040=TODAY()),IF(AND(AH!$P$10=1,AH!$P$12=1,$A1040=TODAY()),TODAY(),NA()),IF(AH!$P$10=1,INDEX('Live History'!$G$5:$G$3004,MATCH($A1040,'Live History'!$G$5:$G$3004,1)),INDEX('AH History'!$F$1:$F$18046,AH!$P$7+1035))),NA()),NA())</ns0:f>
        <ns0:v/>
      </ns0:c>
      <ns0:c r="H1040">
        <ns0:f>IFERROR(IF(AND(AH!$E$4="Bloomberg",AH!$P$10=1,ISNUMBER($A1040),$A1040&lt;=AH!$P$17),AH!$P$7-1+MATCH($A1040,INDEX('AH History'!$A$1:$A$18046,AH!$P$7):INDEX('AH History'!$A$1:$A$18046,AH!$P$7+AH!$P$8-1),0),0),0)</ns0:f>
        <ns0:v/>
      </ns0:c>
      <ns0:c r="I1040">
        <ns0:f>IF($H1040=0,0,IFERROR(IF(AND(ABS($C1040-INDEX('AH History'!$B$1:$B$18046,$H1040))&lt;=MAX(0.005,ABS(INDEX('AH History'!$B$1:$B$18046,$H1040))*0.00005),ABS($D1040-INDEX('AH History'!$C$1:$C$18046,$H1040))&lt;=MAX(0.005,ABS(INDEX('AH History'!$C$1:$C$18046,$H1040))*0.00005),ABS($E1040-INDEX('AH History'!$D$1:$D$18046,$H1040))&lt;=0.00005,$F1040=INDEX('AH History'!$E$1:$E$18046,$H1040),$G1040=INDEX('AH History'!$F$1:$F$18046,$H1040)),1,-1),-1))</ns0:f>
        <ns0:v/>
      </ns0:c>
    </ns0:row>
    <ns0:row r="1041">
      <ns0:c r="A1041" s="215">
        <ns0:f>IF(OR(AH!$P$3=0,1036+1&gt;AH!$P$11,AND(AH!$E$4&lt;&gt;"Stored",AH!$P$10&lt;&gt;1)),"",IFERROR(IF(AND(AH!$P$21=1,1036+1=AH!$P$11),TODAY(),IF(AH!$P$10=1,INDEX('Live History'!$A$5:$A$3004,AH!$P$13+1036),INDEX('AH History'!$A$1:$A$18046,AH!$P$7+1036))),""))</ns0:f>
        <ns0:v/>
      </ns0:c>
      <ns0:c r="B1041" s="219">
        <ns0:f>IFERROR(IF(AND(AH!$P$9&lt;&gt;1,$C1041&gt;0,$D1041&gt;0,$E1041&gt;0,$F1041&gt;0,$G1041&gt;0,$F1041&lt;=$A1041,$G1041&lt;=$A1041,$A1041-$F1041&lt;=10,$A1041-$G1041&lt;=5),$D1041*$E1041/$C1041-1,NA()),NA())</ns0:f>
        <ns0:v/>
      </ns0:c>
      <ns0:c r="C1041">
        <ns0:f>IFERROR(IF(ISNUMBER($A1041),IF(AND(AH!$P$10=1,AH!$P$12=1,$A1041=TODAY()),AH!$P$19,IF(AH!$P$10=1,INDEX('Live History'!$B$5:$B$3004,AH!$P$13+1036),INDEX('AH History'!$B$1:$B$18046,AH!$P$7+1036))),NA()),NA())</ns0:f>
        <ns0:v/>
      </ns0:c>
      <ns0:c r="D1041">
        <ns0:f>IFERROR(IF(ISNUMBER($A1041),IF(AND(AH!$P$10=1,AH!$P$12=1,$A1041=TODAY()),AH!$P$18,IF(AH!$P$10=1,INDEX('Live History'!$E$5:$E$3004,MATCH($A1041,'Live History'!$D$5:$D$3004,1)),INDEX('AH History'!$C$1:$C$18046,AH!$P$7+1036))),NA()),NA())</ns0:f>
        <ns0:v/>
      </ns0:c>
      <ns0:c r="E1041">
        <ns0:f>IFERROR(IF(ISNUMBER($A1041),IF(AND(AH!$P$10=1,AH!$P$12=1,$A1041=TODAY()),AH!$P$20,IF(AH!$P$10=1,INDEX('Live History'!$H$5:$H$3004,MATCH($A1041,'Live History'!$G$5:$G$3004,1)),INDEX('AH History'!$D$1:$D$18046,AH!$P$7+1036))),NA()),NA())</ns0:f>
        <ns0:v/>
      </ns0:c>
      <ns0:c r="F1041">
        <ns0:f>IFERROR(IF(ISNUMBER($A1041),IF(AND(AH!$P$10=1,AH!$P$12=1,$A1041=TODAY()),IF(AND(AH!$P$10=1,AH!$P$12=1,$A1041=TODAY()),TODAY(),NA()),IF(AH!$P$10=1,INDEX('Live History'!$D$5:$D$3004,MATCH($A1041,'Live History'!$D$5:$D$3004,1)),INDEX('AH History'!$E$1:$E$18046,AH!$P$7+1036))),NA()),NA())</ns0:f>
        <ns0:v/>
      </ns0:c>
      <ns0:c r="G1041">
        <ns0:f>IFERROR(IF(ISNUMBER($A1041),IF(AND(AH!$P$10=1,AH!$P$12=1,$A1041=TODAY()),IF(AND(AH!$P$10=1,AH!$P$12=1,$A1041=TODAY()),TODAY(),NA()),IF(AH!$P$10=1,INDEX('Live History'!$G$5:$G$3004,MATCH($A1041,'Live History'!$G$5:$G$3004,1)),INDEX('AH History'!$F$1:$F$18046,AH!$P$7+1036))),NA()),NA())</ns0:f>
        <ns0:v/>
      </ns0:c>
      <ns0:c r="H1041">
        <ns0:f>IFERROR(IF(AND(AH!$E$4="Bloomberg",AH!$P$10=1,ISNUMBER($A1041),$A1041&lt;=AH!$P$17),AH!$P$7-1+MATCH($A1041,INDEX('AH History'!$A$1:$A$18046,AH!$P$7):INDEX('AH History'!$A$1:$A$18046,AH!$P$7+AH!$P$8-1),0),0),0)</ns0:f>
        <ns0:v/>
      </ns0:c>
      <ns0:c r="I1041">
        <ns0:f>IF($H1041=0,0,IFERROR(IF(AND(ABS($C1041-INDEX('AH History'!$B$1:$B$18046,$H1041))&lt;=MAX(0.005,ABS(INDEX('AH History'!$B$1:$B$18046,$H1041))*0.00005),ABS($D1041-INDEX('AH History'!$C$1:$C$18046,$H1041))&lt;=MAX(0.005,ABS(INDEX('AH History'!$C$1:$C$18046,$H1041))*0.00005),ABS($E1041-INDEX('AH History'!$D$1:$D$18046,$H1041))&lt;=0.00005,$F1041=INDEX('AH History'!$E$1:$E$18046,$H1041),$G1041=INDEX('AH History'!$F$1:$F$18046,$H1041)),1,-1),-1))</ns0:f>
        <ns0:v/>
      </ns0:c>
    </ns0:row>
    <ns0:row r="1042">
      <ns0:c r="A1042" s="215">
        <ns0:f>IF(OR(AH!$P$3=0,1037+1&gt;AH!$P$11,AND(AH!$E$4&lt;&gt;"Stored",AH!$P$10&lt;&gt;1)),"",IFERROR(IF(AND(AH!$P$21=1,1037+1=AH!$P$11),TODAY(),IF(AH!$P$10=1,INDEX('Live History'!$A$5:$A$3004,AH!$P$13+1037),INDEX('AH History'!$A$1:$A$18046,AH!$P$7+1037))),""))</ns0:f>
        <ns0:v/>
      </ns0:c>
      <ns0:c r="B1042" s="219">
        <ns0:f>IFERROR(IF(AND(AH!$P$9&lt;&gt;1,$C1042&gt;0,$D1042&gt;0,$E1042&gt;0,$F1042&gt;0,$G1042&gt;0,$F1042&lt;=$A1042,$G1042&lt;=$A1042,$A1042-$F1042&lt;=10,$A1042-$G1042&lt;=5),$D1042*$E1042/$C1042-1,NA()),NA())</ns0:f>
        <ns0:v/>
      </ns0:c>
      <ns0:c r="C1042">
        <ns0:f>IFERROR(IF(ISNUMBER($A1042),IF(AND(AH!$P$10=1,AH!$P$12=1,$A1042=TODAY()),AH!$P$19,IF(AH!$P$10=1,INDEX('Live History'!$B$5:$B$3004,AH!$P$13+1037),INDEX('AH History'!$B$1:$B$18046,AH!$P$7+1037))),NA()),NA())</ns0:f>
        <ns0:v/>
      </ns0:c>
      <ns0:c r="D1042">
        <ns0:f>IFERROR(IF(ISNUMBER($A1042),IF(AND(AH!$P$10=1,AH!$P$12=1,$A1042=TODAY()),AH!$P$18,IF(AH!$P$10=1,INDEX('Live History'!$E$5:$E$3004,MATCH($A1042,'Live History'!$D$5:$D$3004,1)),INDEX('AH History'!$C$1:$C$18046,AH!$P$7+1037))),NA()),NA())</ns0:f>
        <ns0:v/>
      </ns0:c>
      <ns0:c r="E1042">
        <ns0:f>IFERROR(IF(ISNUMBER($A1042),IF(AND(AH!$P$10=1,AH!$P$12=1,$A1042=TODAY()),AH!$P$20,IF(AH!$P$10=1,INDEX('Live History'!$H$5:$H$3004,MATCH($A1042,'Live History'!$G$5:$G$3004,1)),INDEX('AH History'!$D$1:$D$18046,AH!$P$7+1037))),NA()),NA())</ns0:f>
        <ns0:v/>
      </ns0:c>
      <ns0:c r="F1042">
        <ns0:f>IFERROR(IF(ISNUMBER($A1042),IF(AND(AH!$P$10=1,AH!$P$12=1,$A1042=TODAY()),IF(AND(AH!$P$10=1,AH!$P$12=1,$A1042=TODAY()),TODAY(),NA()),IF(AH!$P$10=1,INDEX('Live History'!$D$5:$D$3004,MATCH($A1042,'Live History'!$D$5:$D$3004,1)),INDEX('AH History'!$E$1:$E$18046,AH!$P$7+1037))),NA()),NA())</ns0:f>
        <ns0:v/>
      </ns0:c>
      <ns0:c r="G1042">
        <ns0:f>IFERROR(IF(ISNUMBER($A1042),IF(AND(AH!$P$10=1,AH!$P$12=1,$A1042=TODAY()),IF(AND(AH!$P$10=1,AH!$P$12=1,$A1042=TODAY()),TODAY(),NA()),IF(AH!$P$10=1,INDEX('Live History'!$G$5:$G$3004,MATCH($A1042,'Live History'!$G$5:$G$3004,1)),INDEX('AH History'!$F$1:$F$18046,AH!$P$7+1037))),NA()),NA())</ns0:f>
        <ns0:v/>
      </ns0:c>
      <ns0:c r="H1042">
        <ns0:f>IFERROR(IF(AND(AH!$E$4="Bloomberg",AH!$P$10=1,ISNUMBER($A1042),$A1042&lt;=AH!$P$17),AH!$P$7-1+MATCH($A1042,INDEX('AH History'!$A$1:$A$18046,AH!$P$7):INDEX('AH History'!$A$1:$A$18046,AH!$P$7+AH!$P$8-1),0),0),0)</ns0:f>
        <ns0:v/>
      </ns0:c>
      <ns0:c r="I1042">
        <ns0:f>IF($H1042=0,0,IFERROR(IF(AND(ABS($C1042-INDEX('AH History'!$B$1:$B$18046,$H1042))&lt;=MAX(0.005,ABS(INDEX('AH History'!$B$1:$B$18046,$H1042))*0.00005),ABS($D1042-INDEX('AH History'!$C$1:$C$18046,$H1042))&lt;=MAX(0.005,ABS(INDEX('AH History'!$C$1:$C$18046,$H1042))*0.00005),ABS($E1042-INDEX('AH History'!$D$1:$D$18046,$H1042))&lt;=0.00005,$F1042=INDEX('AH History'!$E$1:$E$18046,$H1042),$G1042=INDEX('AH History'!$F$1:$F$18046,$H1042)),1,-1),-1))</ns0:f>
        <ns0:v/>
      </ns0:c>
    </ns0:row>
    <ns0:row r="1043">
      <ns0:c r="A1043" s="215">
        <ns0:f>IF(OR(AH!$P$3=0,1038+1&gt;AH!$P$11,AND(AH!$E$4&lt;&gt;"Stored",AH!$P$10&lt;&gt;1)),"",IFERROR(IF(AND(AH!$P$21=1,1038+1=AH!$P$11),TODAY(),IF(AH!$P$10=1,INDEX('Live History'!$A$5:$A$3004,AH!$P$13+1038),INDEX('AH History'!$A$1:$A$18046,AH!$P$7+1038))),""))</ns0:f>
        <ns0:v/>
      </ns0:c>
      <ns0:c r="B1043" s="219">
        <ns0:f>IFERROR(IF(AND(AH!$P$9&lt;&gt;1,$C1043&gt;0,$D1043&gt;0,$E1043&gt;0,$F1043&gt;0,$G1043&gt;0,$F1043&lt;=$A1043,$G1043&lt;=$A1043,$A1043-$F1043&lt;=10,$A1043-$G1043&lt;=5),$D1043*$E1043/$C1043-1,NA()),NA())</ns0:f>
        <ns0:v/>
      </ns0:c>
      <ns0:c r="C1043">
        <ns0:f>IFERROR(IF(ISNUMBER($A1043),IF(AND(AH!$P$10=1,AH!$P$12=1,$A1043=TODAY()),AH!$P$19,IF(AH!$P$10=1,INDEX('Live History'!$B$5:$B$3004,AH!$P$13+1038),INDEX('AH History'!$B$1:$B$18046,AH!$P$7+1038))),NA()),NA())</ns0:f>
        <ns0:v/>
      </ns0:c>
      <ns0:c r="D1043">
        <ns0:f>IFERROR(IF(ISNUMBER($A1043),IF(AND(AH!$P$10=1,AH!$P$12=1,$A1043=TODAY()),AH!$P$18,IF(AH!$P$10=1,INDEX('Live History'!$E$5:$E$3004,MATCH($A1043,'Live History'!$D$5:$D$3004,1)),INDEX('AH History'!$C$1:$C$18046,AH!$P$7+1038))),NA()),NA())</ns0:f>
        <ns0:v/>
      </ns0:c>
      <ns0:c r="E1043">
        <ns0:f>IFERROR(IF(ISNUMBER($A1043),IF(AND(AH!$P$10=1,AH!$P$12=1,$A1043=TODAY()),AH!$P$20,IF(AH!$P$10=1,INDEX('Live History'!$H$5:$H$3004,MATCH($A1043,'Live History'!$G$5:$G$3004,1)),INDEX('AH History'!$D$1:$D$18046,AH!$P$7+1038))),NA()),NA())</ns0:f>
        <ns0:v/>
      </ns0:c>
      <ns0:c r="F1043">
        <ns0:f>IFERROR(IF(ISNUMBER($A1043),IF(AND(AH!$P$10=1,AH!$P$12=1,$A1043=TODAY()),IF(AND(AH!$P$10=1,AH!$P$12=1,$A1043=TODAY()),TODAY(),NA()),IF(AH!$P$10=1,INDEX('Live History'!$D$5:$D$3004,MATCH($A1043,'Live History'!$D$5:$D$3004,1)),INDEX('AH History'!$E$1:$E$18046,AH!$P$7+1038))),NA()),NA())</ns0:f>
        <ns0:v/>
      </ns0:c>
      <ns0:c r="G1043">
        <ns0:f>IFERROR(IF(ISNUMBER($A1043),IF(AND(AH!$P$10=1,AH!$P$12=1,$A1043=TODAY()),IF(AND(AH!$P$10=1,AH!$P$12=1,$A1043=TODAY()),TODAY(),NA()),IF(AH!$P$10=1,INDEX('Live History'!$G$5:$G$3004,MATCH($A1043,'Live History'!$G$5:$G$3004,1)),INDEX('AH History'!$F$1:$F$18046,AH!$P$7+1038))),NA()),NA())</ns0:f>
        <ns0:v/>
      </ns0:c>
      <ns0:c r="H1043">
        <ns0:f>IFERROR(IF(AND(AH!$E$4="Bloomberg",AH!$P$10=1,ISNUMBER($A1043),$A1043&lt;=AH!$P$17),AH!$P$7-1+MATCH($A1043,INDEX('AH History'!$A$1:$A$18046,AH!$P$7):INDEX('AH History'!$A$1:$A$18046,AH!$P$7+AH!$P$8-1),0),0),0)</ns0:f>
        <ns0:v/>
      </ns0:c>
      <ns0:c r="I1043">
        <ns0:f>IF($H1043=0,0,IFERROR(IF(AND(ABS($C1043-INDEX('AH History'!$B$1:$B$18046,$H1043))&lt;=MAX(0.005,ABS(INDEX('AH History'!$B$1:$B$18046,$H1043))*0.00005),ABS($D1043-INDEX('AH History'!$C$1:$C$18046,$H1043))&lt;=MAX(0.005,ABS(INDEX('AH History'!$C$1:$C$18046,$H1043))*0.00005),ABS($E1043-INDEX('AH History'!$D$1:$D$18046,$H1043))&lt;=0.00005,$F1043=INDEX('AH History'!$E$1:$E$18046,$H1043),$G1043=INDEX('AH History'!$F$1:$F$18046,$H1043)),1,-1),-1))</ns0:f>
        <ns0:v/>
      </ns0:c>
    </ns0:row>
    <ns0:row r="1044">
      <ns0:c r="A1044" s="215">
        <ns0:f>IF(OR(AH!$P$3=0,1039+1&gt;AH!$P$11,AND(AH!$E$4&lt;&gt;"Stored",AH!$P$10&lt;&gt;1)),"",IFERROR(IF(AND(AH!$P$21=1,1039+1=AH!$P$11),TODAY(),IF(AH!$P$10=1,INDEX('Live History'!$A$5:$A$3004,AH!$P$13+1039),INDEX('AH History'!$A$1:$A$18046,AH!$P$7+1039))),""))</ns0:f>
        <ns0:v/>
      </ns0:c>
      <ns0:c r="B1044" s="219">
        <ns0:f>IFERROR(IF(AND(AH!$P$9&lt;&gt;1,$C1044&gt;0,$D1044&gt;0,$E1044&gt;0,$F1044&gt;0,$G1044&gt;0,$F1044&lt;=$A1044,$G1044&lt;=$A1044,$A1044-$F1044&lt;=10,$A1044-$G1044&lt;=5),$D1044*$E1044/$C1044-1,NA()),NA())</ns0:f>
        <ns0:v/>
      </ns0:c>
      <ns0:c r="C1044">
        <ns0:f>IFERROR(IF(ISNUMBER($A1044),IF(AND(AH!$P$10=1,AH!$P$12=1,$A1044=TODAY()),AH!$P$19,IF(AH!$P$10=1,INDEX('Live History'!$B$5:$B$3004,AH!$P$13+1039),INDEX('AH History'!$B$1:$B$18046,AH!$P$7+1039))),NA()),NA())</ns0:f>
        <ns0:v/>
      </ns0:c>
      <ns0:c r="D1044">
        <ns0:f>IFERROR(IF(ISNUMBER($A1044),IF(AND(AH!$P$10=1,AH!$P$12=1,$A1044=TODAY()),AH!$P$18,IF(AH!$P$10=1,INDEX('Live History'!$E$5:$E$3004,MATCH($A1044,'Live History'!$D$5:$D$3004,1)),INDEX('AH History'!$C$1:$C$18046,AH!$P$7+1039))),NA()),NA())</ns0:f>
        <ns0:v/>
      </ns0:c>
      <ns0:c r="E1044">
        <ns0:f>IFERROR(IF(ISNUMBER($A1044),IF(AND(AH!$P$10=1,AH!$P$12=1,$A1044=TODAY()),AH!$P$20,IF(AH!$P$10=1,INDEX('Live History'!$H$5:$H$3004,MATCH($A1044,'Live History'!$G$5:$G$3004,1)),INDEX('AH History'!$D$1:$D$18046,AH!$P$7+1039))),NA()),NA())</ns0:f>
        <ns0:v/>
      </ns0:c>
      <ns0:c r="F1044">
        <ns0:f>IFERROR(IF(ISNUMBER($A1044),IF(AND(AH!$P$10=1,AH!$P$12=1,$A1044=TODAY()),IF(AND(AH!$P$10=1,AH!$P$12=1,$A1044=TODAY()),TODAY(),NA()),IF(AH!$P$10=1,INDEX('Live History'!$D$5:$D$3004,MATCH($A1044,'Live History'!$D$5:$D$3004,1)),INDEX('AH History'!$E$1:$E$18046,AH!$P$7+1039))),NA()),NA())</ns0:f>
        <ns0:v/>
      </ns0:c>
      <ns0:c r="G1044">
        <ns0:f>IFERROR(IF(ISNUMBER($A1044),IF(AND(AH!$P$10=1,AH!$P$12=1,$A1044=TODAY()),IF(AND(AH!$P$10=1,AH!$P$12=1,$A1044=TODAY()),TODAY(),NA()),IF(AH!$P$10=1,INDEX('Live History'!$G$5:$G$3004,MATCH($A1044,'Live History'!$G$5:$G$3004,1)),INDEX('AH History'!$F$1:$F$18046,AH!$P$7+1039))),NA()),NA())</ns0:f>
        <ns0:v/>
      </ns0:c>
      <ns0:c r="H1044">
        <ns0:f>IFERROR(IF(AND(AH!$E$4="Bloomberg",AH!$P$10=1,ISNUMBER($A1044),$A1044&lt;=AH!$P$17),AH!$P$7-1+MATCH($A1044,INDEX('AH History'!$A$1:$A$18046,AH!$P$7):INDEX('AH History'!$A$1:$A$18046,AH!$P$7+AH!$P$8-1),0),0),0)</ns0:f>
        <ns0:v/>
      </ns0:c>
      <ns0:c r="I1044">
        <ns0:f>IF($H1044=0,0,IFERROR(IF(AND(ABS($C1044-INDEX('AH History'!$B$1:$B$18046,$H1044))&lt;=MAX(0.005,ABS(INDEX('AH History'!$B$1:$B$18046,$H1044))*0.00005),ABS($D1044-INDEX('AH History'!$C$1:$C$18046,$H1044))&lt;=MAX(0.005,ABS(INDEX('AH History'!$C$1:$C$18046,$H1044))*0.00005),ABS($E1044-INDEX('AH History'!$D$1:$D$18046,$H1044))&lt;=0.00005,$F1044=INDEX('AH History'!$E$1:$E$18046,$H1044),$G1044=INDEX('AH History'!$F$1:$F$18046,$H1044)),1,-1),-1))</ns0:f>
        <ns0:v/>
      </ns0:c>
    </ns0:row>
    <ns0:row r="1045">
      <ns0:c r="A1045" s="215">
        <ns0:f>IF(OR(AH!$P$3=0,1040+1&gt;AH!$P$11,AND(AH!$E$4&lt;&gt;"Stored",AH!$P$10&lt;&gt;1)),"",IFERROR(IF(AND(AH!$P$21=1,1040+1=AH!$P$11),TODAY(),IF(AH!$P$10=1,INDEX('Live History'!$A$5:$A$3004,AH!$P$13+1040),INDEX('AH History'!$A$1:$A$18046,AH!$P$7+1040))),""))</ns0:f>
        <ns0:v/>
      </ns0:c>
      <ns0:c r="B1045" s="219">
        <ns0:f>IFERROR(IF(AND(AH!$P$9&lt;&gt;1,$C1045&gt;0,$D1045&gt;0,$E1045&gt;0,$F1045&gt;0,$G1045&gt;0,$F1045&lt;=$A1045,$G1045&lt;=$A1045,$A1045-$F1045&lt;=10,$A1045-$G1045&lt;=5),$D1045*$E1045/$C1045-1,NA()),NA())</ns0:f>
        <ns0:v/>
      </ns0:c>
      <ns0:c r="C1045">
        <ns0:f>IFERROR(IF(ISNUMBER($A1045),IF(AND(AH!$P$10=1,AH!$P$12=1,$A1045=TODAY()),AH!$P$19,IF(AH!$P$10=1,INDEX('Live History'!$B$5:$B$3004,AH!$P$13+1040),INDEX('AH History'!$B$1:$B$18046,AH!$P$7+1040))),NA()),NA())</ns0:f>
        <ns0:v/>
      </ns0:c>
      <ns0:c r="D1045">
        <ns0:f>IFERROR(IF(ISNUMBER($A1045),IF(AND(AH!$P$10=1,AH!$P$12=1,$A1045=TODAY()),AH!$P$18,IF(AH!$P$10=1,INDEX('Live History'!$E$5:$E$3004,MATCH($A1045,'Live History'!$D$5:$D$3004,1)),INDEX('AH History'!$C$1:$C$18046,AH!$P$7+1040))),NA()),NA())</ns0:f>
        <ns0:v/>
      </ns0:c>
      <ns0:c r="E1045">
        <ns0:f>IFERROR(IF(ISNUMBER($A1045),IF(AND(AH!$P$10=1,AH!$P$12=1,$A1045=TODAY()),AH!$P$20,IF(AH!$P$10=1,INDEX('Live History'!$H$5:$H$3004,MATCH($A1045,'Live History'!$G$5:$G$3004,1)),INDEX('AH History'!$D$1:$D$18046,AH!$P$7+1040))),NA()),NA())</ns0:f>
        <ns0:v/>
      </ns0:c>
      <ns0:c r="F1045">
        <ns0:f>IFERROR(IF(ISNUMBER($A1045),IF(AND(AH!$P$10=1,AH!$P$12=1,$A1045=TODAY()),IF(AND(AH!$P$10=1,AH!$P$12=1,$A1045=TODAY()),TODAY(),NA()),IF(AH!$P$10=1,INDEX('Live History'!$D$5:$D$3004,MATCH($A1045,'Live History'!$D$5:$D$3004,1)),INDEX('AH History'!$E$1:$E$18046,AH!$P$7+1040))),NA()),NA())</ns0:f>
        <ns0:v/>
      </ns0:c>
      <ns0:c r="G1045">
        <ns0:f>IFERROR(IF(ISNUMBER($A1045),IF(AND(AH!$P$10=1,AH!$P$12=1,$A1045=TODAY()),IF(AND(AH!$P$10=1,AH!$P$12=1,$A1045=TODAY()),TODAY(),NA()),IF(AH!$P$10=1,INDEX('Live History'!$G$5:$G$3004,MATCH($A1045,'Live History'!$G$5:$G$3004,1)),INDEX('AH History'!$F$1:$F$18046,AH!$P$7+1040))),NA()),NA())</ns0:f>
        <ns0:v/>
      </ns0:c>
      <ns0:c r="H1045">
        <ns0:f>IFERROR(IF(AND(AH!$E$4="Bloomberg",AH!$P$10=1,ISNUMBER($A1045),$A1045&lt;=AH!$P$17),AH!$P$7-1+MATCH($A1045,INDEX('AH History'!$A$1:$A$18046,AH!$P$7):INDEX('AH History'!$A$1:$A$18046,AH!$P$7+AH!$P$8-1),0),0),0)</ns0:f>
        <ns0:v/>
      </ns0:c>
      <ns0:c r="I1045">
        <ns0:f>IF($H1045=0,0,IFERROR(IF(AND(ABS($C1045-INDEX('AH History'!$B$1:$B$18046,$H1045))&lt;=MAX(0.005,ABS(INDEX('AH History'!$B$1:$B$18046,$H1045))*0.00005),ABS($D1045-INDEX('AH History'!$C$1:$C$18046,$H1045))&lt;=MAX(0.005,ABS(INDEX('AH History'!$C$1:$C$18046,$H1045))*0.00005),ABS($E1045-INDEX('AH History'!$D$1:$D$18046,$H1045))&lt;=0.00005,$F1045=INDEX('AH History'!$E$1:$E$18046,$H1045),$G1045=INDEX('AH History'!$F$1:$F$18046,$H1045)),1,-1),-1))</ns0:f>
        <ns0:v/>
      </ns0:c>
    </ns0:row>
    <ns0:row r="1046">
      <ns0:c r="A1046" s="215">
        <ns0:f>IF(OR(AH!$P$3=0,1041+1&gt;AH!$P$11,AND(AH!$E$4&lt;&gt;"Stored",AH!$P$10&lt;&gt;1)),"",IFERROR(IF(AND(AH!$P$21=1,1041+1=AH!$P$11),TODAY(),IF(AH!$P$10=1,INDEX('Live History'!$A$5:$A$3004,AH!$P$13+1041),INDEX('AH History'!$A$1:$A$18046,AH!$P$7+1041))),""))</ns0:f>
        <ns0:v/>
      </ns0:c>
      <ns0:c r="B1046" s="219">
        <ns0:f>IFERROR(IF(AND(AH!$P$9&lt;&gt;1,$C1046&gt;0,$D1046&gt;0,$E1046&gt;0,$F1046&gt;0,$G1046&gt;0,$F1046&lt;=$A1046,$G1046&lt;=$A1046,$A1046-$F1046&lt;=10,$A1046-$G1046&lt;=5),$D1046*$E1046/$C1046-1,NA()),NA())</ns0:f>
        <ns0:v/>
      </ns0:c>
      <ns0:c r="C1046">
        <ns0:f>IFERROR(IF(ISNUMBER($A1046),IF(AND(AH!$P$10=1,AH!$P$12=1,$A1046=TODAY()),AH!$P$19,IF(AH!$P$10=1,INDEX('Live History'!$B$5:$B$3004,AH!$P$13+1041),INDEX('AH History'!$B$1:$B$18046,AH!$P$7+1041))),NA()),NA())</ns0:f>
        <ns0:v/>
      </ns0:c>
      <ns0:c r="D1046">
        <ns0:f>IFERROR(IF(ISNUMBER($A1046),IF(AND(AH!$P$10=1,AH!$P$12=1,$A1046=TODAY()),AH!$P$18,IF(AH!$P$10=1,INDEX('Live History'!$E$5:$E$3004,MATCH($A1046,'Live History'!$D$5:$D$3004,1)),INDEX('AH History'!$C$1:$C$18046,AH!$P$7+1041))),NA()),NA())</ns0:f>
        <ns0:v/>
      </ns0:c>
      <ns0:c r="E1046">
        <ns0:f>IFERROR(IF(ISNUMBER($A1046),IF(AND(AH!$P$10=1,AH!$P$12=1,$A1046=TODAY()),AH!$P$20,IF(AH!$P$10=1,INDEX('Live History'!$H$5:$H$3004,MATCH($A1046,'Live History'!$G$5:$G$3004,1)),INDEX('AH History'!$D$1:$D$18046,AH!$P$7+1041))),NA()),NA())</ns0:f>
        <ns0:v/>
      </ns0:c>
      <ns0:c r="F1046">
        <ns0:f>IFERROR(IF(ISNUMBER($A1046),IF(AND(AH!$P$10=1,AH!$P$12=1,$A1046=TODAY()),IF(AND(AH!$P$10=1,AH!$P$12=1,$A1046=TODAY()),TODAY(),NA()),IF(AH!$P$10=1,INDEX('Live History'!$D$5:$D$3004,MATCH($A1046,'Live History'!$D$5:$D$3004,1)),INDEX('AH History'!$E$1:$E$18046,AH!$P$7+1041))),NA()),NA())</ns0:f>
        <ns0:v/>
      </ns0:c>
      <ns0:c r="G1046">
        <ns0:f>IFERROR(IF(ISNUMBER($A1046),IF(AND(AH!$P$10=1,AH!$P$12=1,$A1046=TODAY()),IF(AND(AH!$P$10=1,AH!$P$12=1,$A1046=TODAY()),TODAY(),NA()),IF(AH!$P$10=1,INDEX('Live History'!$G$5:$G$3004,MATCH($A1046,'Live History'!$G$5:$G$3004,1)),INDEX('AH History'!$F$1:$F$18046,AH!$P$7+1041))),NA()),NA())</ns0:f>
        <ns0:v/>
      </ns0:c>
      <ns0:c r="H1046">
        <ns0:f>IFERROR(IF(AND(AH!$E$4="Bloomberg",AH!$P$10=1,ISNUMBER($A1046),$A1046&lt;=AH!$P$17),AH!$P$7-1+MATCH($A1046,INDEX('AH History'!$A$1:$A$18046,AH!$P$7):INDEX('AH History'!$A$1:$A$18046,AH!$P$7+AH!$P$8-1),0),0),0)</ns0:f>
        <ns0:v/>
      </ns0:c>
      <ns0:c r="I1046">
        <ns0:f>IF($H1046=0,0,IFERROR(IF(AND(ABS($C1046-INDEX('AH History'!$B$1:$B$18046,$H1046))&lt;=MAX(0.005,ABS(INDEX('AH History'!$B$1:$B$18046,$H1046))*0.00005),ABS($D1046-INDEX('AH History'!$C$1:$C$18046,$H1046))&lt;=MAX(0.005,ABS(INDEX('AH History'!$C$1:$C$18046,$H1046))*0.00005),ABS($E1046-INDEX('AH History'!$D$1:$D$18046,$H1046))&lt;=0.00005,$F1046=INDEX('AH History'!$E$1:$E$18046,$H1046),$G1046=INDEX('AH History'!$F$1:$F$18046,$H1046)),1,-1),-1))</ns0:f>
        <ns0:v/>
      </ns0:c>
    </ns0:row>
    <ns0:row r="1047">
      <ns0:c r="A1047" s="215">
        <ns0:f>IF(OR(AH!$P$3=0,1042+1&gt;AH!$P$11,AND(AH!$E$4&lt;&gt;"Stored",AH!$P$10&lt;&gt;1)),"",IFERROR(IF(AND(AH!$P$21=1,1042+1=AH!$P$11),TODAY(),IF(AH!$P$10=1,INDEX('Live History'!$A$5:$A$3004,AH!$P$13+1042),INDEX('AH History'!$A$1:$A$18046,AH!$P$7+1042))),""))</ns0:f>
        <ns0:v/>
      </ns0:c>
      <ns0:c r="B1047" s="219">
        <ns0:f>IFERROR(IF(AND(AH!$P$9&lt;&gt;1,$C1047&gt;0,$D1047&gt;0,$E1047&gt;0,$F1047&gt;0,$G1047&gt;0,$F1047&lt;=$A1047,$G1047&lt;=$A1047,$A1047-$F1047&lt;=10,$A1047-$G1047&lt;=5),$D1047*$E1047/$C1047-1,NA()),NA())</ns0:f>
        <ns0:v/>
      </ns0:c>
      <ns0:c r="C1047">
        <ns0:f>IFERROR(IF(ISNUMBER($A1047),IF(AND(AH!$P$10=1,AH!$P$12=1,$A1047=TODAY()),AH!$P$19,IF(AH!$P$10=1,INDEX('Live History'!$B$5:$B$3004,AH!$P$13+1042),INDEX('AH History'!$B$1:$B$18046,AH!$P$7+1042))),NA()),NA())</ns0:f>
        <ns0:v/>
      </ns0:c>
      <ns0:c r="D1047">
        <ns0:f>IFERROR(IF(ISNUMBER($A1047),IF(AND(AH!$P$10=1,AH!$P$12=1,$A1047=TODAY()),AH!$P$18,IF(AH!$P$10=1,INDEX('Live History'!$E$5:$E$3004,MATCH($A1047,'Live History'!$D$5:$D$3004,1)),INDEX('AH History'!$C$1:$C$18046,AH!$P$7+1042))),NA()),NA())</ns0:f>
        <ns0:v/>
      </ns0:c>
      <ns0:c r="E1047">
        <ns0:f>IFERROR(IF(ISNUMBER($A1047),IF(AND(AH!$P$10=1,AH!$P$12=1,$A1047=TODAY()),AH!$P$20,IF(AH!$P$10=1,INDEX('Live History'!$H$5:$H$3004,MATCH($A1047,'Live History'!$G$5:$G$3004,1)),INDEX('AH History'!$D$1:$D$18046,AH!$P$7+1042))),NA()),NA())</ns0:f>
        <ns0:v/>
      </ns0:c>
      <ns0:c r="F1047">
        <ns0:f>IFERROR(IF(ISNUMBER($A1047),IF(AND(AH!$P$10=1,AH!$P$12=1,$A1047=TODAY()),IF(AND(AH!$P$10=1,AH!$P$12=1,$A1047=TODAY()),TODAY(),NA()),IF(AH!$P$10=1,INDEX('Live History'!$D$5:$D$3004,MATCH($A1047,'Live History'!$D$5:$D$3004,1)),INDEX('AH History'!$E$1:$E$18046,AH!$P$7+1042))),NA()),NA())</ns0:f>
        <ns0:v/>
      </ns0:c>
      <ns0:c r="G1047">
        <ns0:f>IFERROR(IF(ISNUMBER($A1047),IF(AND(AH!$P$10=1,AH!$P$12=1,$A1047=TODAY()),IF(AND(AH!$P$10=1,AH!$P$12=1,$A1047=TODAY()),TODAY(),NA()),IF(AH!$P$10=1,INDEX('Live History'!$G$5:$G$3004,MATCH($A1047,'Live History'!$G$5:$G$3004,1)),INDEX('AH History'!$F$1:$F$18046,AH!$P$7+1042))),NA()),NA())</ns0:f>
        <ns0:v/>
      </ns0:c>
      <ns0:c r="H1047">
        <ns0:f>IFERROR(IF(AND(AH!$E$4="Bloomberg",AH!$P$10=1,ISNUMBER($A1047),$A1047&lt;=AH!$P$17),AH!$P$7-1+MATCH($A1047,INDEX('AH History'!$A$1:$A$18046,AH!$P$7):INDEX('AH History'!$A$1:$A$18046,AH!$P$7+AH!$P$8-1),0),0),0)</ns0:f>
        <ns0:v/>
      </ns0:c>
      <ns0:c r="I1047">
        <ns0:f>IF($H1047=0,0,IFERROR(IF(AND(ABS($C1047-INDEX('AH History'!$B$1:$B$18046,$H1047))&lt;=MAX(0.005,ABS(INDEX('AH History'!$B$1:$B$18046,$H1047))*0.00005),ABS($D1047-INDEX('AH History'!$C$1:$C$18046,$H1047))&lt;=MAX(0.005,ABS(INDEX('AH History'!$C$1:$C$18046,$H1047))*0.00005),ABS($E1047-INDEX('AH History'!$D$1:$D$18046,$H1047))&lt;=0.00005,$F1047=INDEX('AH History'!$E$1:$E$18046,$H1047),$G1047=INDEX('AH History'!$F$1:$F$18046,$H1047)),1,-1),-1))</ns0:f>
        <ns0:v/>
      </ns0:c>
    </ns0:row>
    <ns0:row r="1048">
      <ns0:c r="A1048" s="215">
        <ns0:f>IF(OR(AH!$P$3=0,1043+1&gt;AH!$P$11,AND(AH!$E$4&lt;&gt;"Stored",AH!$P$10&lt;&gt;1)),"",IFERROR(IF(AND(AH!$P$21=1,1043+1=AH!$P$11),TODAY(),IF(AH!$P$10=1,INDEX('Live History'!$A$5:$A$3004,AH!$P$13+1043),INDEX('AH History'!$A$1:$A$18046,AH!$P$7+1043))),""))</ns0:f>
        <ns0:v/>
      </ns0:c>
      <ns0:c r="B1048" s="219">
        <ns0:f>IFERROR(IF(AND(AH!$P$9&lt;&gt;1,$C1048&gt;0,$D1048&gt;0,$E1048&gt;0,$F1048&gt;0,$G1048&gt;0,$F1048&lt;=$A1048,$G1048&lt;=$A1048,$A1048-$F1048&lt;=10,$A1048-$G1048&lt;=5),$D1048*$E1048/$C1048-1,NA()),NA())</ns0:f>
        <ns0:v/>
      </ns0:c>
      <ns0:c r="C1048">
        <ns0:f>IFERROR(IF(ISNUMBER($A1048),IF(AND(AH!$P$10=1,AH!$P$12=1,$A1048=TODAY()),AH!$P$19,IF(AH!$P$10=1,INDEX('Live History'!$B$5:$B$3004,AH!$P$13+1043),INDEX('AH History'!$B$1:$B$18046,AH!$P$7+1043))),NA()),NA())</ns0:f>
        <ns0:v/>
      </ns0:c>
      <ns0:c r="D1048">
        <ns0:f>IFERROR(IF(ISNUMBER($A1048),IF(AND(AH!$P$10=1,AH!$P$12=1,$A1048=TODAY()),AH!$P$18,IF(AH!$P$10=1,INDEX('Live History'!$E$5:$E$3004,MATCH($A1048,'Live History'!$D$5:$D$3004,1)),INDEX('AH History'!$C$1:$C$18046,AH!$P$7+1043))),NA()),NA())</ns0:f>
        <ns0:v/>
      </ns0:c>
      <ns0:c r="E1048">
        <ns0:f>IFERROR(IF(ISNUMBER($A1048),IF(AND(AH!$P$10=1,AH!$P$12=1,$A1048=TODAY()),AH!$P$20,IF(AH!$P$10=1,INDEX('Live History'!$H$5:$H$3004,MATCH($A1048,'Live History'!$G$5:$G$3004,1)),INDEX('AH History'!$D$1:$D$18046,AH!$P$7+1043))),NA()),NA())</ns0:f>
        <ns0:v/>
      </ns0:c>
      <ns0:c r="F1048">
        <ns0:f>IFERROR(IF(ISNUMBER($A1048),IF(AND(AH!$P$10=1,AH!$P$12=1,$A1048=TODAY()),IF(AND(AH!$P$10=1,AH!$P$12=1,$A1048=TODAY()),TODAY(),NA()),IF(AH!$P$10=1,INDEX('Live History'!$D$5:$D$3004,MATCH($A1048,'Live History'!$D$5:$D$3004,1)),INDEX('AH History'!$E$1:$E$18046,AH!$P$7+1043))),NA()),NA())</ns0:f>
        <ns0:v/>
      </ns0:c>
      <ns0:c r="G1048">
        <ns0:f>IFERROR(IF(ISNUMBER($A1048),IF(AND(AH!$P$10=1,AH!$P$12=1,$A1048=TODAY()),IF(AND(AH!$P$10=1,AH!$P$12=1,$A1048=TODAY()),TODAY(),NA()),IF(AH!$P$10=1,INDEX('Live History'!$G$5:$G$3004,MATCH($A1048,'Live History'!$G$5:$G$3004,1)),INDEX('AH History'!$F$1:$F$18046,AH!$P$7+1043))),NA()),NA())</ns0:f>
        <ns0:v/>
      </ns0:c>
      <ns0:c r="H1048">
        <ns0:f>IFERROR(IF(AND(AH!$E$4="Bloomberg",AH!$P$10=1,ISNUMBER($A1048),$A1048&lt;=AH!$P$17),AH!$P$7-1+MATCH($A1048,INDEX('AH History'!$A$1:$A$18046,AH!$P$7):INDEX('AH History'!$A$1:$A$18046,AH!$P$7+AH!$P$8-1),0),0),0)</ns0:f>
        <ns0:v/>
      </ns0:c>
      <ns0:c r="I1048">
        <ns0:f>IF($H1048=0,0,IFERROR(IF(AND(ABS($C1048-INDEX('AH History'!$B$1:$B$18046,$H1048))&lt;=MAX(0.005,ABS(INDEX('AH History'!$B$1:$B$18046,$H1048))*0.00005),ABS($D1048-INDEX('AH History'!$C$1:$C$18046,$H1048))&lt;=MAX(0.005,ABS(INDEX('AH History'!$C$1:$C$18046,$H1048))*0.00005),ABS($E1048-INDEX('AH History'!$D$1:$D$18046,$H1048))&lt;=0.00005,$F1048=INDEX('AH History'!$E$1:$E$18046,$H1048),$G1048=INDEX('AH History'!$F$1:$F$18046,$H1048)),1,-1),-1))</ns0:f>
        <ns0:v/>
      </ns0:c>
    </ns0:row>
    <ns0:row r="1049">
      <ns0:c r="A1049" s="215">
        <ns0:f>IF(OR(AH!$P$3=0,1044+1&gt;AH!$P$11,AND(AH!$E$4&lt;&gt;"Stored",AH!$P$10&lt;&gt;1)),"",IFERROR(IF(AND(AH!$P$21=1,1044+1=AH!$P$11),TODAY(),IF(AH!$P$10=1,INDEX('Live History'!$A$5:$A$3004,AH!$P$13+1044),INDEX('AH History'!$A$1:$A$18046,AH!$P$7+1044))),""))</ns0:f>
        <ns0:v/>
      </ns0:c>
      <ns0:c r="B1049" s="219">
        <ns0:f>IFERROR(IF(AND(AH!$P$9&lt;&gt;1,$C1049&gt;0,$D1049&gt;0,$E1049&gt;0,$F1049&gt;0,$G1049&gt;0,$F1049&lt;=$A1049,$G1049&lt;=$A1049,$A1049-$F1049&lt;=10,$A1049-$G1049&lt;=5),$D1049*$E1049/$C1049-1,NA()),NA())</ns0:f>
        <ns0:v/>
      </ns0:c>
      <ns0:c r="C1049">
        <ns0:f>IFERROR(IF(ISNUMBER($A1049),IF(AND(AH!$P$10=1,AH!$P$12=1,$A1049=TODAY()),AH!$P$19,IF(AH!$P$10=1,INDEX('Live History'!$B$5:$B$3004,AH!$P$13+1044),INDEX('AH History'!$B$1:$B$18046,AH!$P$7+1044))),NA()),NA())</ns0:f>
        <ns0:v/>
      </ns0:c>
      <ns0:c r="D1049">
        <ns0:f>IFERROR(IF(ISNUMBER($A1049),IF(AND(AH!$P$10=1,AH!$P$12=1,$A1049=TODAY()),AH!$P$18,IF(AH!$P$10=1,INDEX('Live History'!$E$5:$E$3004,MATCH($A1049,'Live History'!$D$5:$D$3004,1)),INDEX('AH History'!$C$1:$C$18046,AH!$P$7+1044))),NA()),NA())</ns0:f>
        <ns0:v/>
      </ns0:c>
      <ns0:c r="E1049">
        <ns0:f>IFERROR(IF(ISNUMBER($A1049),IF(AND(AH!$P$10=1,AH!$P$12=1,$A1049=TODAY()),AH!$P$20,IF(AH!$P$10=1,INDEX('Live History'!$H$5:$H$3004,MATCH($A1049,'Live History'!$G$5:$G$3004,1)),INDEX('AH History'!$D$1:$D$18046,AH!$P$7+1044))),NA()),NA())</ns0:f>
        <ns0:v/>
      </ns0:c>
      <ns0:c r="F1049">
        <ns0:f>IFERROR(IF(ISNUMBER($A1049),IF(AND(AH!$P$10=1,AH!$P$12=1,$A1049=TODAY()),IF(AND(AH!$P$10=1,AH!$P$12=1,$A1049=TODAY()),TODAY(),NA()),IF(AH!$P$10=1,INDEX('Live History'!$D$5:$D$3004,MATCH($A1049,'Live History'!$D$5:$D$3004,1)),INDEX('AH History'!$E$1:$E$18046,AH!$P$7+1044))),NA()),NA())</ns0:f>
        <ns0:v/>
      </ns0:c>
      <ns0:c r="G1049">
        <ns0:f>IFERROR(IF(ISNUMBER($A1049),IF(AND(AH!$P$10=1,AH!$P$12=1,$A1049=TODAY()),IF(AND(AH!$P$10=1,AH!$P$12=1,$A1049=TODAY()),TODAY(),NA()),IF(AH!$P$10=1,INDEX('Live History'!$G$5:$G$3004,MATCH($A1049,'Live History'!$G$5:$G$3004,1)),INDEX('AH History'!$F$1:$F$18046,AH!$P$7+1044))),NA()),NA())</ns0:f>
        <ns0:v/>
      </ns0:c>
      <ns0:c r="H1049">
        <ns0:f>IFERROR(IF(AND(AH!$E$4="Bloomberg",AH!$P$10=1,ISNUMBER($A1049),$A1049&lt;=AH!$P$17),AH!$P$7-1+MATCH($A1049,INDEX('AH History'!$A$1:$A$18046,AH!$P$7):INDEX('AH History'!$A$1:$A$18046,AH!$P$7+AH!$P$8-1),0),0),0)</ns0:f>
        <ns0:v/>
      </ns0:c>
      <ns0:c r="I1049">
        <ns0:f>IF($H1049=0,0,IFERROR(IF(AND(ABS($C1049-INDEX('AH History'!$B$1:$B$18046,$H1049))&lt;=MAX(0.005,ABS(INDEX('AH History'!$B$1:$B$18046,$H1049))*0.00005),ABS($D1049-INDEX('AH History'!$C$1:$C$18046,$H1049))&lt;=MAX(0.005,ABS(INDEX('AH History'!$C$1:$C$18046,$H1049))*0.00005),ABS($E1049-INDEX('AH History'!$D$1:$D$18046,$H1049))&lt;=0.00005,$F1049=INDEX('AH History'!$E$1:$E$18046,$H1049),$G1049=INDEX('AH History'!$F$1:$F$18046,$H1049)),1,-1),-1))</ns0:f>
        <ns0:v/>
      </ns0:c>
    </ns0:row>
    <ns0:row r="1050">
      <ns0:c r="A1050" s="215">
        <ns0:f>IF(OR(AH!$P$3=0,1045+1&gt;AH!$P$11,AND(AH!$E$4&lt;&gt;"Stored",AH!$P$10&lt;&gt;1)),"",IFERROR(IF(AND(AH!$P$21=1,1045+1=AH!$P$11),TODAY(),IF(AH!$P$10=1,INDEX('Live History'!$A$5:$A$3004,AH!$P$13+1045),INDEX('AH History'!$A$1:$A$18046,AH!$P$7+1045))),""))</ns0:f>
        <ns0:v/>
      </ns0:c>
      <ns0:c r="B1050" s="219">
        <ns0:f>IFERROR(IF(AND(AH!$P$9&lt;&gt;1,$C1050&gt;0,$D1050&gt;0,$E1050&gt;0,$F1050&gt;0,$G1050&gt;0,$F1050&lt;=$A1050,$G1050&lt;=$A1050,$A1050-$F1050&lt;=10,$A1050-$G1050&lt;=5),$D1050*$E1050/$C1050-1,NA()),NA())</ns0:f>
        <ns0:v/>
      </ns0:c>
      <ns0:c r="C1050">
        <ns0:f>IFERROR(IF(ISNUMBER($A1050),IF(AND(AH!$P$10=1,AH!$P$12=1,$A1050=TODAY()),AH!$P$19,IF(AH!$P$10=1,INDEX('Live History'!$B$5:$B$3004,AH!$P$13+1045),INDEX('AH History'!$B$1:$B$18046,AH!$P$7+1045))),NA()),NA())</ns0:f>
        <ns0:v/>
      </ns0:c>
      <ns0:c r="D1050">
        <ns0:f>IFERROR(IF(ISNUMBER($A1050),IF(AND(AH!$P$10=1,AH!$P$12=1,$A1050=TODAY()),AH!$P$18,IF(AH!$P$10=1,INDEX('Live History'!$E$5:$E$3004,MATCH($A1050,'Live History'!$D$5:$D$3004,1)),INDEX('AH History'!$C$1:$C$18046,AH!$P$7+1045))),NA()),NA())</ns0:f>
        <ns0:v/>
      </ns0:c>
      <ns0:c r="E1050">
        <ns0:f>IFERROR(IF(ISNUMBER($A1050),IF(AND(AH!$P$10=1,AH!$P$12=1,$A1050=TODAY()),AH!$P$20,IF(AH!$P$10=1,INDEX('Live History'!$H$5:$H$3004,MATCH($A1050,'Live History'!$G$5:$G$3004,1)),INDEX('AH History'!$D$1:$D$18046,AH!$P$7+1045))),NA()),NA())</ns0:f>
        <ns0:v/>
      </ns0:c>
      <ns0:c r="F1050">
        <ns0:f>IFERROR(IF(ISNUMBER($A1050),IF(AND(AH!$P$10=1,AH!$P$12=1,$A1050=TODAY()),IF(AND(AH!$P$10=1,AH!$P$12=1,$A1050=TODAY()),TODAY(),NA()),IF(AH!$P$10=1,INDEX('Live History'!$D$5:$D$3004,MATCH($A1050,'Live History'!$D$5:$D$3004,1)),INDEX('AH History'!$E$1:$E$18046,AH!$P$7+1045))),NA()),NA())</ns0:f>
        <ns0:v/>
      </ns0:c>
      <ns0:c r="G1050">
        <ns0:f>IFERROR(IF(ISNUMBER($A1050),IF(AND(AH!$P$10=1,AH!$P$12=1,$A1050=TODAY()),IF(AND(AH!$P$10=1,AH!$P$12=1,$A1050=TODAY()),TODAY(),NA()),IF(AH!$P$10=1,INDEX('Live History'!$G$5:$G$3004,MATCH($A1050,'Live History'!$G$5:$G$3004,1)),INDEX('AH History'!$F$1:$F$18046,AH!$P$7+1045))),NA()),NA())</ns0:f>
        <ns0:v/>
      </ns0:c>
      <ns0:c r="H1050">
        <ns0:f>IFERROR(IF(AND(AH!$E$4="Bloomberg",AH!$P$10=1,ISNUMBER($A1050),$A1050&lt;=AH!$P$17),AH!$P$7-1+MATCH($A1050,INDEX('AH History'!$A$1:$A$18046,AH!$P$7):INDEX('AH History'!$A$1:$A$18046,AH!$P$7+AH!$P$8-1),0),0),0)</ns0:f>
        <ns0:v/>
      </ns0:c>
      <ns0:c r="I1050">
        <ns0:f>IF($H1050=0,0,IFERROR(IF(AND(ABS($C1050-INDEX('AH History'!$B$1:$B$18046,$H1050))&lt;=MAX(0.005,ABS(INDEX('AH History'!$B$1:$B$18046,$H1050))*0.00005),ABS($D1050-INDEX('AH History'!$C$1:$C$18046,$H1050))&lt;=MAX(0.005,ABS(INDEX('AH History'!$C$1:$C$18046,$H1050))*0.00005),ABS($E1050-INDEX('AH History'!$D$1:$D$18046,$H1050))&lt;=0.00005,$F1050=INDEX('AH History'!$E$1:$E$18046,$H1050),$G1050=INDEX('AH History'!$F$1:$F$18046,$H1050)),1,-1),-1))</ns0:f>
        <ns0:v/>
      </ns0:c>
    </ns0:row>
    <ns0:row r="1051">
      <ns0:c r="A1051" s="215">
        <ns0:f>IF(OR(AH!$P$3=0,1046+1&gt;AH!$P$11,AND(AH!$E$4&lt;&gt;"Stored",AH!$P$10&lt;&gt;1)),"",IFERROR(IF(AND(AH!$P$21=1,1046+1=AH!$P$11),TODAY(),IF(AH!$P$10=1,INDEX('Live History'!$A$5:$A$3004,AH!$P$13+1046),INDEX('AH History'!$A$1:$A$18046,AH!$P$7+1046))),""))</ns0:f>
        <ns0:v/>
      </ns0:c>
      <ns0:c r="B1051" s="219">
        <ns0:f>IFERROR(IF(AND(AH!$P$9&lt;&gt;1,$C1051&gt;0,$D1051&gt;0,$E1051&gt;0,$F1051&gt;0,$G1051&gt;0,$F1051&lt;=$A1051,$G1051&lt;=$A1051,$A1051-$F1051&lt;=10,$A1051-$G1051&lt;=5),$D1051*$E1051/$C1051-1,NA()),NA())</ns0:f>
        <ns0:v/>
      </ns0:c>
      <ns0:c r="C1051">
        <ns0:f>IFERROR(IF(ISNUMBER($A1051),IF(AND(AH!$P$10=1,AH!$P$12=1,$A1051=TODAY()),AH!$P$19,IF(AH!$P$10=1,INDEX('Live History'!$B$5:$B$3004,AH!$P$13+1046),INDEX('AH History'!$B$1:$B$18046,AH!$P$7+1046))),NA()),NA())</ns0:f>
        <ns0:v/>
      </ns0:c>
      <ns0:c r="D1051">
        <ns0:f>IFERROR(IF(ISNUMBER($A1051),IF(AND(AH!$P$10=1,AH!$P$12=1,$A1051=TODAY()),AH!$P$18,IF(AH!$P$10=1,INDEX('Live History'!$E$5:$E$3004,MATCH($A1051,'Live History'!$D$5:$D$3004,1)),INDEX('AH History'!$C$1:$C$18046,AH!$P$7+1046))),NA()),NA())</ns0:f>
        <ns0:v/>
      </ns0:c>
      <ns0:c r="E1051">
        <ns0:f>IFERROR(IF(ISNUMBER($A1051),IF(AND(AH!$P$10=1,AH!$P$12=1,$A1051=TODAY()),AH!$P$20,IF(AH!$P$10=1,INDEX('Live History'!$H$5:$H$3004,MATCH($A1051,'Live History'!$G$5:$G$3004,1)),INDEX('AH History'!$D$1:$D$18046,AH!$P$7+1046))),NA()),NA())</ns0:f>
        <ns0:v/>
      </ns0:c>
      <ns0:c r="F1051">
        <ns0:f>IFERROR(IF(ISNUMBER($A1051),IF(AND(AH!$P$10=1,AH!$P$12=1,$A1051=TODAY()),IF(AND(AH!$P$10=1,AH!$P$12=1,$A1051=TODAY()),TODAY(),NA()),IF(AH!$P$10=1,INDEX('Live History'!$D$5:$D$3004,MATCH($A1051,'Live History'!$D$5:$D$3004,1)),INDEX('AH History'!$E$1:$E$18046,AH!$P$7+1046))),NA()),NA())</ns0:f>
        <ns0:v/>
      </ns0:c>
      <ns0:c r="G1051">
        <ns0:f>IFERROR(IF(ISNUMBER($A1051),IF(AND(AH!$P$10=1,AH!$P$12=1,$A1051=TODAY()),IF(AND(AH!$P$10=1,AH!$P$12=1,$A1051=TODAY()),TODAY(),NA()),IF(AH!$P$10=1,INDEX('Live History'!$G$5:$G$3004,MATCH($A1051,'Live History'!$G$5:$G$3004,1)),INDEX('AH History'!$F$1:$F$18046,AH!$P$7+1046))),NA()),NA())</ns0:f>
        <ns0:v/>
      </ns0:c>
      <ns0:c r="H1051">
        <ns0:f>IFERROR(IF(AND(AH!$E$4="Bloomberg",AH!$P$10=1,ISNUMBER($A1051),$A1051&lt;=AH!$P$17),AH!$P$7-1+MATCH($A1051,INDEX('AH History'!$A$1:$A$18046,AH!$P$7):INDEX('AH History'!$A$1:$A$18046,AH!$P$7+AH!$P$8-1),0),0),0)</ns0:f>
        <ns0:v/>
      </ns0:c>
      <ns0:c r="I1051">
        <ns0:f>IF($H1051=0,0,IFERROR(IF(AND(ABS($C1051-INDEX('AH History'!$B$1:$B$18046,$H1051))&lt;=MAX(0.005,ABS(INDEX('AH History'!$B$1:$B$18046,$H1051))*0.00005),ABS($D1051-INDEX('AH History'!$C$1:$C$18046,$H1051))&lt;=MAX(0.005,ABS(INDEX('AH History'!$C$1:$C$18046,$H1051))*0.00005),ABS($E1051-INDEX('AH History'!$D$1:$D$18046,$H1051))&lt;=0.00005,$F1051=INDEX('AH History'!$E$1:$E$18046,$H1051),$G1051=INDEX('AH History'!$F$1:$F$18046,$H1051)),1,-1),-1))</ns0:f>
        <ns0:v/>
      </ns0:c>
    </ns0:row>
    <ns0:row r="1052">
      <ns0:c r="A1052" s="215">
        <ns0:f>IF(OR(AH!$P$3=0,1047+1&gt;AH!$P$11,AND(AH!$E$4&lt;&gt;"Stored",AH!$P$10&lt;&gt;1)),"",IFERROR(IF(AND(AH!$P$21=1,1047+1=AH!$P$11),TODAY(),IF(AH!$P$10=1,INDEX('Live History'!$A$5:$A$3004,AH!$P$13+1047),INDEX('AH History'!$A$1:$A$18046,AH!$P$7+1047))),""))</ns0:f>
        <ns0:v/>
      </ns0:c>
      <ns0:c r="B1052" s="219">
        <ns0:f>IFERROR(IF(AND(AH!$P$9&lt;&gt;1,$C1052&gt;0,$D1052&gt;0,$E1052&gt;0,$F1052&gt;0,$G1052&gt;0,$F1052&lt;=$A1052,$G1052&lt;=$A1052,$A1052-$F1052&lt;=10,$A1052-$G1052&lt;=5),$D1052*$E1052/$C1052-1,NA()),NA())</ns0:f>
        <ns0:v/>
      </ns0:c>
      <ns0:c r="C1052">
        <ns0:f>IFERROR(IF(ISNUMBER($A1052),IF(AND(AH!$P$10=1,AH!$P$12=1,$A1052=TODAY()),AH!$P$19,IF(AH!$P$10=1,INDEX('Live History'!$B$5:$B$3004,AH!$P$13+1047),INDEX('AH History'!$B$1:$B$18046,AH!$P$7+1047))),NA()),NA())</ns0:f>
        <ns0:v/>
      </ns0:c>
      <ns0:c r="D1052">
        <ns0:f>IFERROR(IF(ISNUMBER($A1052),IF(AND(AH!$P$10=1,AH!$P$12=1,$A1052=TODAY()),AH!$P$18,IF(AH!$P$10=1,INDEX('Live History'!$E$5:$E$3004,MATCH($A1052,'Live History'!$D$5:$D$3004,1)),INDEX('AH History'!$C$1:$C$18046,AH!$P$7+1047))),NA()),NA())</ns0:f>
        <ns0:v/>
      </ns0:c>
      <ns0:c r="E1052">
        <ns0:f>IFERROR(IF(ISNUMBER($A1052),IF(AND(AH!$P$10=1,AH!$P$12=1,$A1052=TODAY()),AH!$P$20,IF(AH!$P$10=1,INDEX('Live History'!$H$5:$H$3004,MATCH($A1052,'Live History'!$G$5:$G$3004,1)),INDEX('AH History'!$D$1:$D$18046,AH!$P$7+1047))),NA()),NA())</ns0:f>
        <ns0:v/>
      </ns0:c>
      <ns0:c r="F1052">
        <ns0:f>IFERROR(IF(ISNUMBER($A1052),IF(AND(AH!$P$10=1,AH!$P$12=1,$A1052=TODAY()),IF(AND(AH!$P$10=1,AH!$P$12=1,$A1052=TODAY()),TODAY(),NA()),IF(AH!$P$10=1,INDEX('Live History'!$D$5:$D$3004,MATCH($A1052,'Live History'!$D$5:$D$3004,1)),INDEX('AH History'!$E$1:$E$18046,AH!$P$7+1047))),NA()),NA())</ns0:f>
        <ns0:v/>
      </ns0:c>
      <ns0:c r="G1052">
        <ns0:f>IFERROR(IF(ISNUMBER($A1052),IF(AND(AH!$P$10=1,AH!$P$12=1,$A1052=TODAY()),IF(AND(AH!$P$10=1,AH!$P$12=1,$A1052=TODAY()),TODAY(),NA()),IF(AH!$P$10=1,INDEX('Live History'!$G$5:$G$3004,MATCH($A1052,'Live History'!$G$5:$G$3004,1)),INDEX('AH History'!$F$1:$F$18046,AH!$P$7+1047))),NA()),NA())</ns0:f>
        <ns0:v/>
      </ns0:c>
      <ns0:c r="H1052">
        <ns0:f>IFERROR(IF(AND(AH!$E$4="Bloomberg",AH!$P$10=1,ISNUMBER($A1052),$A1052&lt;=AH!$P$17),AH!$P$7-1+MATCH($A1052,INDEX('AH History'!$A$1:$A$18046,AH!$P$7):INDEX('AH History'!$A$1:$A$18046,AH!$P$7+AH!$P$8-1),0),0),0)</ns0:f>
        <ns0:v/>
      </ns0:c>
      <ns0:c r="I1052">
        <ns0:f>IF($H1052=0,0,IFERROR(IF(AND(ABS($C1052-INDEX('AH History'!$B$1:$B$18046,$H1052))&lt;=MAX(0.005,ABS(INDEX('AH History'!$B$1:$B$18046,$H1052))*0.00005),ABS($D1052-INDEX('AH History'!$C$1:$C$18046,$H1052))&lt;=MAX(0.005,ABS(INDEX('AH History'!$C$1:$C$18046,$H1052))*0.00005),ABS($E1052-INDEX('AH History'!$D$1:$D$18046,$H1052))&lt;=0.00005,$F1052=INDEX('AH History'!$E$1:$E$18046,$H1052),$G1052=INDEX('AH History'!$F$1:$F$18046,$H1052)),1,-1),-1))</ns0:f>
        <ns0:v/>
      </ns0:c>
    </ns0:row>
    <ns0:row r="1053">
      <ns0:c r="A1053" s="215">
        <ns0:f>IF(OR(AH!$P$3=0,1048+1&gt;AH!$P$11,AND(AH!$E$4&lt;&gt;"Stored",AH!$P$10&lt;&gt;1)),"",IFERROR(IF(AND(AH!$P$21=1,1048+1=AH!$P$11),TODAY(),IF(AH!$P$10=1,INDEX('Live History'!$A$5:$A$3004,AH!$P$13+1048),INDEX('AH History'!$A$1:$A$18046,AH!$P$7+1048))),""))</ns0:f>
        <ns0:v/>
      </ns0:c>
      <ns0:c r="B1053" s="219">
        <ns0:f>IFERROR(IF(AND(AH!$P$9&lt;&gt;1,$C1053&gt;0,$D1053&gt;0,$E1053&gt;0,$F1053&gt;0,$G1053&gt;0,$F1053&lt;=$A1053,$G1053&lt;=$A1053,$A1053-$F1053&lt;=10,$A1053-$G1053&lt;=5),$D1053*$E1053/$C1053-1,NA()),NA())</ns0:f>
        <ns0:v/>
      </ns0:c>
      <ns0:c r="C1053">
        <ns0:f>IFERROR(IF(ISNUMBER($A1053),IF(AND(AH!$P$10=1,AH!$P$12=1,$A1053=TODAY()),AH!$P$19,IF(AH!$P$10=1,INDEX('Live History'!$B$5:$B$3004,AH!$P$13+1048),INDEX('AH History'!$B$1:$B$18046,AH!$P$7+1048))),NA()),NA())</ns0:f>
        <ns0:v/>
      </ns0:c>
      <ns0:c r="D1053">
        <ns0:f>IFERROR(IF(ISNUMBER($A1053),IF(AND(AH!$P$10=1,AH!$P$12=1,$A1053=TODAY()),AH!$P$18,IF(AH!$P$10=1,INDEX('Live History'!$E$5:$E$3004,MATCH($A1053,'Live History'!$D$5:$D$3004,1)),INDEX('AH History'!$C$1:$C$18046,AH!$P$7+1048))),NA()),NA())</ns0:f>
        <ns0:v/>
      </ns0:c>
      <ns0:c r="E1053">
        <ns0:f>IFERROR(IF(ISNUMBER($A1053),IF(AND(AH!$P$10=1,AH!$P$12=1,$A1053=TODAY()),AH!$P$20,IF(AH!$P$10=1,INDEX('Live History'!$H$5:$H$3004,MATCH($A1053,'Live History'!$G$5:$G$3004,1)),INDEX('AH History'!$D$1:$D$18046,AH!$P$7+1048))),NA()),NA())</ns0:f>
        <ns0:v/>
      </ns0:c>
      <ns0:c r="F1053">
        <ns0:f>IFERROR(IF(ISNUMBER($A1053),IF(AND(AH!$P$10=1,AH!$P$12=1,$A1053=TODAY()),IF(AND(AH!$P$10=1,AH!$P$12=1,$A1053=TODAY()),TODAY(),NA()),IF(AH!$P$10=1,INDEX('Live History'!$D$5:$D$3004,MATCH($A1053,'Live History'!$D$5:$D$3004,1)),INDEX('AH History'!$E$1:$E$18046,AH!$P$7+1048))),NA()),NA())</ns0:f>
        <ns0:v/>
      </ns0:c>
      <ns0:c r="G1053">
        <ns0:f>IFERROR(IF(ISNUMBER($A1053),IF(AND(AH!$P$10=1,AH!$P$12=1,$A1053=TODAY()),IF(AND(AH!$P$10=1,AH!$P$12=1,$A1053=TODAY()),TODAY(),NA()),IF(AH!$P$10=1,INDEX('Live History'!$G$5:$G$3004,MATCH($A1053,'Live History'!$G$5:$G$3004,1)),INDEX('AH History'!$F$1:$F$18046,AH!$P$7+1048))),NA()),NA())</ns0:f>
        <ns0:v/>
      </ns0:c>
      <ns0:c r="H1053">
        <ns0:f>IFERROR(IF(AND(AH!$E$4="Bloomberg",AH!$P$10=1,ISNUMBER($A1053),$A1053&lt;=AH!$P$17),AH!$P$7-1+MATCH($A1053,INDEX('AH History'!$A$1:$A$18046,AH!$P$7):INDEX('AH History'!$A$1:$A$18046,AH!$P$7+AH!$P$8-1),0),0),0)</ns0:f>
        <ns0:v/>
      </ns0:c>
      <ns0:c r="I1053">
        <ns0:f>IF($H1053=0,0,IFERROR(IF(AND(ABS($C1053-INDEX('AH History'!$B$1:$B$18046,$H1053))&lt;=MAX(0.005,ABS(INDEX('AH History'!$B$1:$B$18046,$H1053))*0.00005),ABS($D1053-INDEX('AH History'!$C$1:$C$18046,$H1053))&lt;=MAX(0.005,ABS(INDEX('AH History'!$C$1:$C$18046,$H1053))*0.00005),ABS($E1053-INDEX('AH History'!$D$1:$D$18046,$H1053))&lt;=0.00005,$F1053=INDEX('AH History'!$E$1:$E$18046,$H1053),$G1053=INDEX('AH History'!$F$1:$F$18046,$H1053)),1,-1),-1))</ns0:f>
        <ns0:v/>
      </ns0:c>
    </ns0:row>
    <ns0:row r="1054">
      <ns0:c r="A1054" s="215">
        <ns0:f>IF(OR(AH!$P$3=0,1049+1&gt;AH!$P$11,AND(AH!$E$4&lt;&gt;"Stored",AH!$P$10&lt;&gt;1)),"",IFERROR(IF(AND(AH!$P$21=1,1049+1=AH!$P$11),TODAY(),IF(AH!$P$10=1,INDEX('Live History'!$A$5:$A$3004,AH!$P$13+1049),INDEX('AH History'!$A$1:$A$18046,AH!$P$7+1049))),""))</ns0:f>
        <ns0:v/>
      </ns0:c>
      <ns0:c r="B1054" s="219">
        <ns0:f>IFERROR(IF(AND(AH!$P$9&lt;&gt;1,$C1054&gt;0,$D1054&gt;0,$E1054&gt;0,$F1054&gt;0,$G1054&gt;0,$F1054&lt;=$A1054,$G1054&lt;=$A1054,$A1054-$F1054&lt;=10,$A1054-$G1054&lt;=5),$D1054*$E1054/$C1054-1,NA()),NA())</ns0:f>
        <ns0:v/>
      </ns0:c>
      <ns0:c r="C1054">
        <ns0:f>IFERROR(IF(ISNUMBER($A1054),IF(AND(AH!$P$10=1,AH!$P$12=1,$A1054=TODAY()),AH!$P$19,IF(AH!$P$10=1,INDEX('Live History'!$B$5:$B$3004,AH!$P$13+1049),INDEX('AH History'!$B$1:$B$18046,AH!$P$7+1049))),NA()),NA())</ns0:f>
        <ns0:v/>
      </ns0:c>
      <ns0:c r="D1054">
        <ns0:f>IFERROR(IF(ISNUMBER($A1054),IF(AND(AH!$P$10=1,AH!$P$12=1,$A1054=TODAY()),AH!$P$18,IF(AH!$P$10=1,INDEX('Live History'!$E$5:$E$3004,MATCH($A1054,'Live History'!$D$5:$D$3004,1)),INDEX('AH History'!$C$1:$C$18046,AH!$P$7+1049))),NA()),NA())</ns0:f>
        <ns0:v/>
      </ns0:c>
      <ns0:c r="E1054">
        <ns0:f>IFERROR(IF(ISNUMBER($A1054),IF(AND(AH!$P$10=1,AH!$P$12=1,$A1054=TODAY()),AH!$P$20,IF(AH!$P$10=1,INDEX('Live History'!$H$5:$H$3004,MATCH($A1054,'Live History'!$G$5:$G$3004,1)),INDEX('AH History'!$D$1:$D$18046,AH!$P$7+1049))),NA()),NA())</ns0:f>
        <ns0:v/>
      </ns0:c>
      <ns0:c r="F1054">
        <ns0:f>IFERROR(IF(ISNUMBER($A1054),IF(AND(AH!$P$10=1,AH!$P$12=1,$A1054=TODAY()),IF(AND(AH!$P$10=1,AH!$P$12=1,$A1054=TODAY()),TODAY(),NA()),IF(AH!$P$10=1,INDEX('Live History'!$D$5:$D$3004,MATCH($A1054,'Live History'!$D$5:$D$3004,1)),INDEX('AH History'!$E$1:$E$18046,AH!$P$7+1049))),NA()),NA())</ns0:f>
        <ns0:v/>
      </ns0:c>
      <ns0:c r="G1054">
        <ns0:f>IFERROR(IF(ISNUMBER($A1054),IF(AND(AH!$P$10=1,AH!$P$12=1,$A1054=TODAY()),IF(AND(AH!$P$10=1,AH!$P$12=1,$A1054=TODAY()),TODAY(),NA()),IF(AH!$P$10=1,INDEX('Live History'!$G$5:$G$3004,MATCH($A1054,'Live History'!$G$5:$G$3004,1)),INDEX('AH History'!$F$1:$F$18046,AH!$P$7+1049))),NA()),NA())</ns0:f>
        <ns0:v/>
      </ns0:c>
      <ns0:c r="H1054">
        <ns0:f>IFERROR(IF(AND(AH!$E$4="Bloomberg",AH!$P$10=1,ISNUMBER($A1054),$A1054&lt;=AH!$P$17),AH!$P$7-1+MATCH($A1054,INDEX('AH History'!$A$1:$A$18046,AH!$P$7):INDEX('AH History'!$A$1:$A$18046,AH!$P$7+AH!$P$8-1),0),0),0)</ns0:f>
        <ns0:v/>
      </ns0:c>
      <ns0:c r="I1054">
        <ns0:f>IF($H1054=0,0,IFERROR(IF(AND(ABS($C1054-INDEX('AH History'!$B$1:$B$18046,$H1054))&lt;=MAX(0.005,ABS(INDEX('AH History'!$B$1:$B$18046,$H1054))*0.00005),ABS($D1054-INDEX('AH History'!$C$1:$C$18046,$H1054))&lt;=MAX(0.005,ABS(INDEX('AH History'!$C$1:$C$18046,$H1054))*0.00005),ABS($E1054-INDEX('AH History'!$D$1:$D$18046,$H1054))&lt;=0.00005,$F1054=INDEX('AH History'!$E$1:$E$18046,$H1054),$G1054=INDEX('AH History'!$F$1:$F$18046,$H1054)),1,-1),-1))</ns0:f>
        <ns0:v/>
      </ns0:c>
    </ns0:row>
    <ns0:row r="1055">
      <ns0:c r="A1055" s="215">
        <ns0:f>IF(OR(AH!$P$3=0,1050+1&gt;AH!$P$11,AND(AH!$E$4&lt;&gt;"Stored",AH!$P$10&lt;&gt;1)),"",IFERROR(IF(AND(AH!$P$21=1,1050+1=AH!$P$11),TODAY(),IF(AH!$P$10=1,INDEX('Live History'!$A$5:$A$3004,AH!$P$13+1050),INDEX('AH History'!$A$1:$A$18046,AH!$P$7+1050))),""))</ns0:f>
        <ns0:v/>
      </ns0:c>
      <ns0:c r="B1055" s="219">
        <ns0:f>IFERROR(IF(AND(AH!$P$9&lt;&gt;1,$C1055&gt;0,$D1055&gt;0,$E1055&gt;0,$F1055&gt;0,$G1055&gt;0,$F1055&lt;=$A1055,$G1055&lt;=$A1055,$A1055-$F1055&lt;=10,$A1055-$G1055&lt;=5),$D1055*$E1055/$C1055-1,NA()),NA())</ns0:f>
        <ns0:v/>
      </ns0:c>
      <ns0:c r="C1055">
        <ns0:f>IFERROR(IF(ISNUMBER($A1055),IF(AND(AH!$P$10=1,AH!$P$12=1,$A1055=TODAY()),AH!$P$19,IF(AH!$P$10=1,INDEX('Live History'!$B$5:$B$3004,AH!$P$13+1050),INDEX('AH History'!$B$1:$B$18046,AH!$P$7+1050))),NA()),NA())</ns0:f>
        <ns0:v/>
      </ns0:c>
      <ns0:c r="D1055">
        <ns0:f>IFERROR(IF(ISNUMBER($A1055),IF(AND(AH!$P$10=1,AH!$P$12=1,$A1055=TODAY()),AH!$P$18,IF(AH!$P$10=1,INDEX('Live History'!$E$5:$E$3004,MATCH($A1055,'Live History'!$D$5:$D$3004,1)),INDEX('AH History'!$C$1:$C$18046,AH!$P$7+1050))),NA()),NA())</ns0:f>
        <ns0:v/>
      </ns0:c>
      <ns0:c r="E1055">
        <ns0:f>IFERROR(IF(ISNUMBER($A1055),IF(AND(AH!$P$10=1,AH!$P$12=1,$A1055=TODAY()),AH!$P$20,IF(AH!$P$10=1,INDEX('Live History'!$H$5:$H$3004,MATCH($A1055,'Live History'!$G$5:$G$3004,1)),INDEX('AH History'!$D$1:$D$18046,AH!$P$7+1050))),NA()),NA())</ns0:f>
        <ns0:v/>
      </ns0:c>
      <ns0:c r="F1055">
        <ns0:f>IFERROR(IF(ISNUMBER($A1055),IF(AND(AH!$P$10=1,AH!$P$12=1,$A1055=TODAY()),IF(AND(AH!$P$10=1,AH!$P$12=1,$A1055=TODAY()),TODAY(),NA()),IF(AH!$P$10=1,INDEX('Live History'!$D$5:$D$3004,MATCH($A1055,'Live History'!$D$5:$D$3004,1)),INDEX('AH History'!$E$1:$E$18046,AH!$P$7+1050))),NA()),NA())</ns0:f>
        <ns0:v/>
      </ns0:c>
      <ns0:c r="G1055">
        <ns0:f>IFERROR(IF(ISNUMBER($A1055),IF(AND(AH!$P$10=1,AH!$P$12=1,$A1055=TODAY()),IF(AND(AH!$P$10=1,AH!$P$12=1,$A1055=TODAY()),TODAY(),NA()),IF(AH!$P$10=1,INDEX('Live History'!$G$5:$G$3004,MATCH($A1055,'Live History'!$G$5:$G$3004,1)),INDEX('AH History'!$F$1:$F$18046,AH!$P$7+1050))),NA()),NA())</ns0:f>
        <ns0:v/>
      </ns0:c>
      <ns0:c r="H1055">
        <ns0:f>IFERROR(IF(AND(AH!$E$4="Bloomberg",AH!$P$10=1,ISNUMBER($A1055),$A1055&lt;=AH!$P$17),AH!$P$7-1+MATCH($A1055,INDEX('AH History'!$A$1:$A$18046,AH!$P$7):INDEX('AH History'!$A$1:$A$18046,AH!$P$7+AH!$P$8-1),0),0),0)</ns0:f>
        <ns0:v/>
      </ns0:c>
      <ns0:c r="I1055">
        <ns0:f>IF($H1055=0,0,IFERROR(IF(AND(ABS($C1055-INDEX('AH History'!$B$1:$B$18046,$H1055))&lt;=MAX(0.005,ABS(INDEX('AH History'!$B$1:$B$18046,$H1055))*0.00005),ABS($D1055-INDEX('AH History'!$C$1:$C$18046,$H1055))&lt;=MAX(0.005,ABS(INDEX('AH History'!$C$1:$C$18046,$H1055))*0.00005),ABS($E1055-INDEX('AH History'!$D$1:$D$18046,$H1055))&lt;=0.00005,$F1055=INDEX('AH History'!$E$1:$E$18046,$H1055),$G1055=INDEX('AH History'!$F$1:$F$18046,$H1055)),1,-1),-1))</ns0:f>
        <ns0:v/>
      </ns0:c>
    </ns0:row>
    <ns0:row r="1056">
      <ns0:c r="A1056" s="215">
        <ns0:f>IF(OR(AH!$P$3=0,1051+1&gt;AH!$P$11,AND(AH!$E$4&lt;&gt;"Stored",AH!$P$10&lt;&gt;1)),"",IFERROR(IF(AND(AH!$P$21=1,1051+1=AH!$P$11),TODAY(),IF(AH!$P$10=1,INDEX('Live History'!$A$5:$A$3004,AH!$P$13+1051),INDEX('AH History'!$A$1:$A$18046,AH!$P$7+1051))),""))</ns0:f>
        <ns0:v/>
      </ns0:c>
      <ns0:c r="B1056" s="219">
        <ns0:f>IFERROR(IF(AND(AH!$P$9&lt;&gt;1,$C1056&gt;0,$D1056&gt;0,$E1056&gt;0,$F1056&gt;0,$G1056&gt;0,$F1056&lt;=$A1056,$G1056&lt;=$A1056,$A1056-$F1056&lt;=10,$A1056-$G1056&lt;=5),$D1056*$E1056/$C1056-1,NA()),NA())</ns0:f>
        <ns0:v/>
      </ns0:c>
      <ns0:c r="C1056">
        <ns0:f>IFERROR(IF(ISNUMBER($A1056),IF(AND(AH!$P$10=1,AH!$P$12=1,$A1056=TODAY()),AH!$P$19,IF(AH!$P$10=1,INDEX('Live History'!$B$5:$B$3004,AH!$P$13+1051),INDEX('AH History'!$B$1:$B$18046,AH!$P$7+1051))),NA()),NA())</ns0:f>
        <ns0:v/>
      </ns0:c>
      <ns0:c r="D1056">
        <ns0:f>IFERROR(IF(ISNUMBER($A1056),IF(AND(AH!$P$10=1,AH!$P$12=1,$A1056=TODAY()),AH!$P$18,IF(AH!$P$10=1,INDEX('Live History'!$E$5:$E$3004,MATCH($A1056,'Live History'!$D$5:$D$3004,1)),INDEX('AH History'!$C$1:$C$18046,AH!$P$7+1051))),NA()),NA())</ns0:f>
        <ns0:v/>
      </ns0:c>
      <ns0:c r="E1056">
        <ns0:f>IFERROR(IF(ISNUMBER($A1056),IF(AND(AH!$P$10=1,AH!$P$12=1,$A1056=TODAY()),AH!$P$20,IF(AH!$P$10=1,INDEX('Live History'!$H$5:$H$3004,MATCH($A1056,'Live History'!$G$5:$G$3004,1)),INDEX('AH History'!$D$1:$D$18046,AH!$P$7+1051))),NA()),NA())</ns0:f>
        <ns0:v/>
      </ns0:c>
      <ns0:c r="F1056">
        <ns0:f>IFERROR(IF(ISNUMBER($A1056),IF(AND(AH!$P$10=1,AH!$P$12=1,$A1056=TODAY()),IF(AND(AH!$P$10=1,AH!$P$12=1,$A1056=TODAY()),TODAY(),NA()),IF(AH!$P$10=1,INDEX('Live History'!$D$5:$D$3004,MATCH($A1056,'Live History'!$D$5:$D$3004,1)),INDEX('AH History'!$E$1:$E$18046,AH!$P$7+1051))),NA()),NA())</ns0:f>
        <ns0:v/>
      </ns0:c>
      <ns0:c r="G1056">
        <ns0:f>IFERROR(IF(ISNUMBER($A1056),IF(AND(AH!$P$10=1,AH!$P$12=1,$A1056=TODAY()),IF(AND(AH!$P$10=1,AH!$P$12=1,$A1056=TODAY()),TODAY(),NA()),IF(AH!$P$10=1,INDEX('Live History'!$G$5:$G$3004,MATCH($A1056,'Live History'!$G$5:$G$3004,1)),INDEX('AH History'!$F$1:$F$18046,AH!$P$7+1051))),NA()),NA())</ns0:f>
        <ns0:v/>
      </ns0:c>
      <ns0:c r="H1056">
        <ns0:f>IFERROR(IF(AND(AH!$E$4="Bloomberg",AH!$P$10=1,ISNUMBER($A1056),$A1056&lt;=AH!$P$17),AH!$P$7-1+MATCH($A1056,INDEX('AH History'!$A$1:$A$18046,AH!$P$7):INDEX('AH History'!$A$1:$A$18046,AH!$P$7+AH!$P$8-1),0),0),0)</ns0:f>
        <ns0:v/>
      </ns0:c>
      <ns0:c r="I1056">
        <ns0:f>IF($H1056=0,0,IFERROR(IF(AND(ABS($C1056-INDEX('AH History'!$B$1:$B$18046,$H1056))&lt;=MAX(0.005,ABS(INDEX('AH History'!$B$1:$B$18046,$H1056))*0.00005),ABS($D1056-INDEX('AH History'!$C$1:$C$18046,$H1056))&lt;=MAX(0.005,ABS(INDEX('AH History'!$C$1:$C$18046,$H1056))*0.00005),ABS($E1056-INDEX('AH History'!$D$1:$D$18046,$H1056))&lt;=0.00005,$F1056=INDEX('AH History'!$E$1:$E$18046,$H1056),$G1056=INDEX('AH History'!$F$1:$F$18046,$H1056)),1,-1),-1))</ns0:f>
        <ns0:v/>
      </ns0:c>
    </ns0:row>
    <ns0:row r="1057">
      <ns0:c r="A1057" s="215">
        <ns0:f>IF(OR(AH!$P$3=0,1052+1&gt;AH!$P$11,AND(AH!$E$4&lt;&gt;"Stored",AH!$P$10&lt;&gt;1)),"",IFERROR(IF(AND(AH!$P$21=1,1052+1=AH!$P$11),TODAY(),IF(AH!$P$10=1,INDEX('Live History'!$A$5:$A$3004,AH!$P$13+1052),INDEX('AH History'!$A$1:$A$18046,AH!$P$7+1052))),""))</ns0:f>
        <ns0:v/>
      </ns0:c>
      <ns0:c r="B1057" s="219">
        <ns0:f>IFERROR(IF(AND(AH!$P$9&lt;&gt;1,$C1057&gt;0,$D1057&gt;0,$E1057&gt;0,$F1057&gt;0,$G1057&gt;0,$F1057&lt;=$A1057,$G1057&lt;=$A1057,$A1057-$F1057&lt;=10,$A1057-$G1057&lt;=5),$D1057*$E1057/$C1057-1,NA()),NA())</ns0:f>
        <ns0:v/>
      </ns0:c>
      <ns0:c r="C1057">
        <ns0:f>IFERROR(IF(ISNUMBER($A1057),IF(AND(AH!$P$10=1,AH!$P$12=1,$A1057=TODAY()),AH!$P$19,IF(AH!$P$10=1,INDEX('Live History'!$B$5:$B$3004,AH!$P$13+1052),INDEX('AH History'!$B$1:$B$18046,AH!$P$7+1052))),NA()),NA())</ns0:f>
        <ns0:v/>
      </ns0:c>
      <ns0:c r="D1057">
        <ns0:f>IFERROR(IF(ISNUMBER($A1057),IF(AND(AH!$P$10=1,AH!$P$12=1,$A1057=TODAY()),AH!$P$18,IF(AH!$P$10=1,INDEX('Live History'!$E$5:$E$3004,MATCH($A1057,'Live History'!$D$5:$D$3004,1)),INDEX('AH History'!$C$1:$C$18046,AH!$P$7+1052))),NA()),NA())</ns0:f>
        <ns0:v/>
      </ns0:c>
      <ns0:c r="E1057">
        <ns0:f>IFERROR(IF(ISNUMBER($A1057),IF(AND(AH!$P$10=1,AH!$P$12=1,$A1057=TODAY()),AH!$P$20,IF(AH!$P$10=1,INDEX('Live History'!$H$5:$H$3004,MATCH($A1057,'Live History'!$G$5:$G$3004,1)),INDEX('AH History'!$D$1:$D$18046,AH!$P$7+1052))),NA()),NA())</ns0:f>
        <ns0:v/>
      </ns0:c>
      <ns0:c r="F1057">
        <ns0:f>IFERROR(IF(ISNUMBER($A1057),IF(AND(AH!$P$10=1,AH!$P$12=1,$A1057=TODAY()),IF(AND(AH!$P$10=1,AH!$P$12=1,$A1057=TODAY()),TODAY(),NA()),IF(AH!$P$10=1,INDEX('Live History'!$D$5:$D$3004,MATCH($A1057,'Live History'!$D$5:$D$3004,1)),INDEX('AH History'!$E$1:$E$18046,AH!$P$7+1052))),NA()),NA())</ns0:f>
        <ns0:v/>
      </ns0:c>
      <ns0:c r="G1057">
        <ns0:f>IFERROR(IF(ISNUMBER($A1057),IF(AND(AH!$P$10=1,AH!$P$12=1,$A1057=TODAY()),IF(AND(AH!$P$10=1,AH!$P$12=1,$A1057=TODAY()),TODAY(),NA()),IF(AH!$P$10=1,INDEX('Live History'!$G$5:$G$3004,MATCH($A1057,'Live History'!$G$5:$G$3004,1)),INDEX('AH History'!$F$1:$F$18046,AH!$P$7+1052))),NA()),NA())</ns0:f>
        <ns0:v/>
      </ns0:c>
      <ns0:c r="H1057">
        <ns0:f>IFERROR(IF(AND(AH!$E$4="Bloomberg",AH!$P$10=1,ISNUMBER($A1057),$A1057&lt;=AH!$P$17),AH!$P$7-1+MATCH($A1057,INDEX('AH History'!$A$1:$A$18046,AH!$P$7):INDEX('AH History'!$A$1:$A$18046,AH!$P$7+AH!$P$8-1),0),0),0)</ns0:f>
        <ns0:v/>
      </ns0:c>
      <ns0:c r="I1057">
        <ns0:f>IF($H1057=0,0,IFERROR(IF(AND(ABS($C1057-INDEX('AH History'!$B$1:$B$18046,$H1057))&lt;=MAX(0.005,ABS(INDEX('AH History'!$B$1:$B$18046,$H1057))*0.00005),ABS($D1057-INDEX('AH History'!$C$1:$C$18046,$H1057))&lt;=MAX(0.005,ABS(INDEX('AH History'!$C$1:$C$18046,$H1057))*0.00005),ABS($E1057-INDEX('AH History'!$D$1:$D$18046,$H1057))&lt;=0.00005,$F1057=INDEX('AH History'!$E$1:$E$18046,$H1057),$G1057=INDEX('AH History'!$F$1:$F$18046,$H1057)),1,-1),-1))</ns0:f>
        <ns0:v/>
      </ns0:c>
    </ns0:row>
    <ns0:row r="1058">
      <ns0:c r="A1058" s="215">
        <ns0:f>IF(OR(AH!$P$3=0,1053+1&gt;AH!$P$11,AND(AH!$E$4&lt;&gt;"Stored",AH!$P$10&lt;&gt;1)),"",IFERROR(IF(AND(AH!$P$21=1,1053+1=AH!$P$11),TODAY(),IF(AH!$P$10=1,INDEX('Live History'!$A$5:$A$3004,AH!$P$13+1053),INDEX('AH History'!$A$1:$A$18046,AH!$P$7+1053))),""))</ns0:f>
        <ns0:v/>
      </ns0:c>
      <ns0:c r="B1058" s="219">
        <ns0:f>IFERROR(IF(AND(AH!$P$9&lt;&gt;1,$C1058&gt;0,$D1058&gt;0,$E1058&gt;0,$F1058&gt;0,$G1058&gt;0,$F1058&lt;=$A1058,$G1058&lt;=$A1058,$A1058-$F1058&lt;=10,$A1058-$G1058&lt;=5),$D1058*$E1058/$C1058-1,NA()),NA())</ns0:f>
        <ns0:v/>
      </ns0:c>
      <ns0:c r="C1058">
        <ns0:f>IFERROR(IF(ISNUMBER($A1058),IF(AND(AH!$P$10=1,AH!$P$12=1,$A1058=TODAY()),AH!$P$19,IF(AH!$P$10=1,INDEX('Live History'!$B$5:$B$3004,AH!$P$13+1053),INDEX('AH History'!$B$1:$B$18046,AH!$P$7+1053))),NA()),NA())</ns0:f>
        <ns0:v/>
      </ns0:c>
      <ns0:c r="D1058">
        <ns0:f>IFERROR(IF(ISNUMBER($A1058),IF(AND(AH!$P$10=1,AH!$P$12=1,$A1058=TODAY()),AH!$P$18,IF(AH!$P$10=1,INDEX('Live History'!$E$5:$E$3004,MATCH($A1058,'Live History'!$D$5:$D$3004,1)),INDEX('AH History'!$C$1:$C$18046,AH!$P$7+1053))),NA()),NA())</ns0:f>
        <ns0:v/>
      </ns0:c>
      <ns0:c r="E1058">
        <ns0:f>IFERROR(IF(ISNUMBER($A1058),IF(AND(AH!$P$10=1,AH!$P$12=1,$A1058=TODAY()),AH!$P$20,IF(AH!$P$10=1,INDEX('Live History'!$H$5:$H$3004,MATCH($A1058,'Live History'!$G$5:$G$3004,1)),INDEX('AH History'!$D$1:$D$18046,AH!$P$7+1053))),NA()),NA())</ns0:f>
        <ns0:v/>
      </ns0:c>
      <ns0:c r="F1058">
        <ns0:f>IFERROR(IF(ISNUMBER($A1058),IF(AND(AH!$P$10=1,AH!$P$12=1,$A1058=TODAY()),IF(AND(AH!$P$10=1,AH!$P$12=1,$A1058=TODAY()),TODAY(),NA()),IF(AH!$P$10=1,INDEX('Live History'!$D$5:$D$3004,MATCH($A1058,'Live History'!$D$5:$D$3004,1)),INDEX('AH History'!$E$1:$E$18046,AH!$P$7+1053))),NA()),NA())</ns0:f>
        <ns0:v/>
      </ns0:c>
      <ns0:c r="G1058">
        <ns0:f>IFERROR(IF(ISNUMBER($A1058),IF(AND(AH!$P$10=1,AH!$P$12=1,$A1058=TODAY()),IF(AND(AH!$P$10=1,AH!$P$12=1,$A1058=TODAY()),TODAY(),NA()),IF(AH!$P$10=1,INDEX('Live History'!$G$5:$G$3004,MATCH($A1058,'Live History'!$G$5:$G$3004,1)),INDEX('AH History'!$F$1:$F$18046,AH!$P$7+1053))),NA()),NA())</ns0:f>
        <ns0:v/>
      </ns0:c>
      <ns0:c r="H1058">
        <ns0:f>IFERROR(IF(AND(AH!$E$4="Bloomberg",AH!$P$10=1,ISNUMBER($A1058),$A1058&lt;=AH!$P$17),AH!$P$7-1+MATCH($A1058,INDEX('AH History'!$A$1:$A$18046,AH!$P$7):INDEX('AH History'!$A$1:$A$18046,AH!$P$7+AH!$P$8-1),0),0),0)</ns0:f>
        <ns0:v/>
      </ns0:c>
      <ns0:c r="I1058">
        <ns0:f>IF($H1058=0,0,IFERROR(IF(AND(ABS($C1058-INDEX('AH History'!$B$1:$B$18046,$H1058))&lt;=MAX(0.005,ABS(INDEX('AH History'!$B$1:$B$18046,$H1058))*0.00005),ABS($D1058-INDEX('AH History'!$C$1:$C$18046,$H1058))&lt;=MAX(0.005,ABS(INDEX('AH History'!$C$1:$C$18046,$H1058))*0.00005),ABS($E1058-INDEX('AH History'!$D$1:$D$18046,$H1058))&lt;=0.00005,$F1058=INDEX('AH History'!$E$1:$E$18046,$H1058),$G1058=INDEX('AH History'!$F$1:$F$18046,$H1058)),1,-1),-1))</ns0:f>
        <ns0:v/>
      </ns0:c>
    </ns0:row>
    <ns0:row r="1059">
      <ns0:c r="A1059" s="215">
        <ns0:f>IF(OR(AH!$P$3=0,1054+1&gt;AH!$P$11,AND(AH!$E$4&lt;&gt;"Stored",AH!$P$10&lt;&gt;1)),"",IFERROR(IF(AND(AH!$P$21=1,1054+1=AH!$P$11),TODAY(),IF(AH!$P$10=1,INDEX('Live History'!$A$5:$A$3004,AH!$P$13+1054),INDEX('AH History'!$A$1:$A$18046,AH!$P$7+1054))),""))</ns0:f>
        <ns0:v/>
      </ns0:c>
      <ns0:c r="B1059" s="219">
        <ns0:f>IFERROR(IF(AND(AH!$P$9&lt;&gt;1,$C1059&gt;0,$D1059&gt;0,$E1059&gt;0,$F1059&gt;0,$G1059&gt;0,$F1059&lt;=$A1059,$G1059&lt;=$A1059,$A1059-$F1059&lt;=10,$A1059-$G1059&lt;=5),$D1059*$E1059/$C1059-1,NA()),NA())</ns0:f>
        <ns0:v/>
      </ns0:c>
      <ns0:c r="C1059">
        <ns0:f>IFERROR(IF(ISNUMBER($A1059),IF(AND(AH!$P$10=1,AH!$P$12=1,$A1059=TODAY()),AH!$P$19,IF(AH!$P$10=1,INDEX('Live History'!$B$5:$B$3004,AH!$P$13+1054),INDEX('AH History'!$B$1:$B$18046,AH!$P$7+1054))),NA()),NA())</ns0:f>
        <ns0:v/>
      </ns0:c>
      <ns0:c r="D1059">
        <ns0:f>IFERROR(IF(ISNUMBER($A1059),IF(AND(AH!$P$10=1,AH!$P$12=1,$A1059=TODAY()),AH!$P$18,IF(AH!$P$10=1,INDEX('Live History'!$E$5:$E$3004,MATCH($A1059,'Live History'!$D$5:$D$3004,1)),INDEX('AH History'!$C$1:$C$18046,AH!$P$7+1054))),NA()),NA())</ns0:f>
        <ns0:v/>
      </ns0:c>
      <ns0:c r="E1059">
        <ns0:f>IFERROR(IF(ISNUMBER($A1059),IF(AND(AH!$P$10=1,AH!$P$12=1,$A1059=TODAY()),AH!$P$20,IF(AH!$P$10=1,INDEX('Live History'!$H$5:$H$3004,MATCH($A1059,'Live History'!$G$5:$G$3004,1)),INDEX('AH History'!$D$1:$D$18046,AH!$P$7+1054))),NA()),NA())</ns0:f>
        <ns0:v/>
      </ns0:c>
      <ns0:c r="F1059">
        <ns0:f>IFERROR(IF(ISNUMBER($A1059),IF(AND(AH!$P$10=1,AH!$P$12=1,$A1059=TODAY()),IF(AND(AH!$P$10=1,AH!$P$12=1,$A1059=TODAY()),TODAY(),NA()),IF(AH!$P$10=1,INDEX('Live History'!$D$5:$D$3004,MATCH($A1059,'Live History'!$D$5:$D$3004,1)),INDEX('AH History'!$E$1:$E$18046,AH!$P$7+1054))),NA()),NA())</ns0:f>
        <ns0:v/>
      </ns0:c>
      <ns0:c r="G1059">
        <ns0:f>IFERROR(IF(ISNUMBER($A1059),IF(AND(AH!$P$10=1,AH!$P$12=1,$A1059=TODAY()),IF(AND(AH!$P$10=1,AH!$P$12=1,$A1059=TODAY()),TODAY(),NA()),IF(AH!$P$10=1,INDEX('Live History'!$G$5:$G$3004,MATCH($A1059,'Live History'!$G$5:$G$3004,1)),INDEX('AH History'!$F$1:$F$18046,AH!$P$7+1054))),NA()),NA())</ns0:f>
        <ns0:v/>
      </ns0:c>
      <ns0:c r="H1059">
        <ns0:f>IFERROR(IF(AND(AH!$E$4="Bloomberg",AH!$P$10=1,ISNUMBER($A1059),$A1059&lt;=AH!$P$17),AH!$P$7-1+MATCH($A1059,INDEX('AH History'!$A$1:$A$18046,AH!$P$7):INDEX('AH History'!$A$1:$A$18046,AH!$P$7+AH!$P$8-1),0),0),0)</ns0:f>
        <ns0:v/>
      </ns0:c>
      <ns0:c r="I1059">
        <ns0:f>IF($H1059=0,0,IFERROR(IF(AND(ABS($C1059-INDEX('AH History'!$B$1:$B$18046,$H1059))&lt;=MAX(0.005,ABS(INDEX('AH History'!$B$1:$B$18046,$H1059))*0.00005),ABS($D1059-INDEX('AH History'!$C$1:$C$18046,$H1059))&lt;=MAX(0.005,ABS(INDEX('AH History'!$C$1:$C$18046,$H1059))*0.00005),ABS($E1059-INDEX('AH History'!$D$1:$D$18046,$H1059))&lt;=0.00005,$F1059=INDEX('AH History'!$E$1:$E$18046,$H1059),$G1059=INDEX('AH History'!$F$1:$F$18046,$H1059)),1,-1),-1))</ns0:f>
        <ns0:v/>
      </ns0:c>
    </ns0:row>
    <ns0:row r="1060">
      <ns0:c r="A1060" s="215">
        <ns0:f>IF(OR(AH!$P$3=0,1055+1&gt;AH!$P$11,AND(AH!$E$4&lt;&gt;"Stored",AH!$P$10&lt;&gt;1)),"",IFERROR(IF(AND(AH!$P$21=1,1055+1=AH!$P$11),TODAY(),IF(AH!$P$10=1,INDEX('Live History'!$A$5:$A$3004,AH!$P$13+1055),INDEX('AH History'!$A$1:$A$18046,AH!$P$7+1055))),""))</ns0:f>
        <ns0:v/>
      </ns0:c>
      <ns0:c r="B1060" s="219">
        <ns0:f>IFERROR(IF(AND(AH!$P$9&lt;&gt;1,$C1060&gt;0,$D1060&gt;0,$E1060&gt;0,$F1060&gt;0,$G1060&gt;0,$F1060&lt;=$A1060,$G1060&lt;=$A1060,$A1060-$F1060&lt;=10,$A1060-$G1060&lt;=5),$D1060*$E1060/$C1060-1,NA()),NA())</ns0:f>
        <ns0:v/>
      </ns0:c>
      <ns0:c r="C1060">
        <ns0:f>IFERROR(IF(ISNUMBER($A1060),IF(AND(AH!$P$10=1,AH!$P$12=1,$A1060=TODAY()),AH!$P$19,IF(AH!$P$10=1,INDEX('Live History'!$B$5:$B$3004,AH!$P$13+1055),INDEX('AH History'!$B$1:$B$18046,AH!$P$7+1055))),NA()),NA())</ns0:f>
        <ns0:v/>
      </ns0:c>
      <ns0:c r="D1060">
        <ns0:f>IFERROR(IF(ISNUMBER($A1060),IF(AND(AH!$P$10=1,AH!$P$12=1,$A1060=TODAY()),AH!$P$18,IF(AH!$P$10=1,INDEX('Live History'!$E$5:$E$3004,MATCH($A1060,'Live History'!$D$5:$D$3004,1)),INDEX('AH History'!$C$1:$C$18046,AH!$P$7+1055))),NA()),NA())</ns0:f>
        <ns0:v/>
      </ns0:c>
      <ns0:c r="E1060">
        <ns0:f>IFERROR(IF(ISNUMBER($A1060),IF(AND(AH!$P$10=1,AH!$P$12=1,$A1060=TODAY()),AH!$P$20,IF(AH!$P$10=1,INDEX('Live History'!$H$5:$H$3004,MATCH($A1060,'Live History'!$G$5:$G$3004,1)),INDEX('AH History'!$D$1:$D$18046,AH!$P$7+1055))),NA()),NA())</ns0:f>
        <ns0:v/>
      </ns0:c>
      <ns0:c r="F1060">
        <ns0:f>IFERROR(IF(ISNUMBER($A1060),IF(AND(AH!$P$10=1,AH!$P$12=1,$A1060=TODAY()),IF(AND(AH!$P$10=1,AH!$P$12=1,$A1060=TODAY()),TODAY(),NA()),IF(AH!$P$10=1,INDEX('Live History'!$D$5:$D$3004,MATCH($A1060,'Live History'!$D$5:$D$3004,1)),INDEX('AH History'!$E$1:$E$18046,AH!$P$7+1055))),NA()),NA())</ns0:f>
        <ns0:v/>
      </ns0:c>
      <ns0:c r="G1060">
        <ns0:f>IFERROR(IF(ISNUMBER($A1060),IF(AND(AH!$P$10=1,AH!$P$12=1,$A1060=TODAY()),IF(AND(AH!$P$10=1,AH!$P$12=1,$A1060=TODAY()),TODAY(),NA()),IF(AH!$P$10=1,INDEX('Live History'!$G$5:$G$3004,MATCH($A1060,'Live History'!$G$5:$G$3004,1)),INDEX('AH History'!$F$1:$F$18046,AH!$P$7+1055))),NA()),NA())</ns0:f>
        <ns0:v/>
      </ns0:c>
      <ns0:c r="H1060">
        <ns0:f>IFERROR(IF(AND(AH!$E$4="Bloomberg",AH!$P$10=1,ISNUMBER($A1060),$A1060&lt;=AH!$P$17),AH!$P$7-1+MATCH($A1060,INDEX('AH History'!$A$1:$A$18046,AH!$P$7):INDEX('AH History'!$A$1:$A$18046,AH!$P$7+AH!$P$8-1),0),0),0)</ns0:f>
        <ns0:v/>
      </ns0:c>
      <ns0:c r="I1060">
        <ns0:f>IF($H1060=0,0,IFERROR(IF(AND(ABS($C1060-INDEX('AH History'!$B$1:$B$18046,$H1060))&lt;=MAX(0.005,ABS(INDEX('AH History'!$B$1:$B$18046,$H1060))*0.00005),ABS($D1060-INDEX('AH History'!$C$1:$C$18046,$H1060))&lt;=MAX(0.005,ABS(INDEX('AH History'!$C$1:$C$18046,$H1060))*0.00005),ABS($E1060-INDEX('AH History'!$D$1:$D$18046,$H1060))&lt;=0.00005,$F1060=INDEX('AH History'!$E$1:$E$18046,$H1060),$G1060=INDEX('AH History'!$F$1:$F$18046,$H1060)),1,-1),-1))</ns0:f>
        <ns0:v/>
      </ns0:c>
    </ns0:row>
    <ns0:row r="1061">
      <ns0:c r="A1061" s="215">
        <ns0:f>IF(OR(AH!$P$3=0,1056+1&gt;AH!$P$11,AND(AH!$E$4&lt;&gt;"Stored",AH!$P$10&lt;&gt;1)),"",IFERROR(IF(AND(AH!$P$21=1,1056+1=AH!$P$11),TODAY(),IF(AH!$P$10=1,INDEX('Live History'!$A$5:$A$3004,AH!$P$13+1056),INDEX('AH History'!$A$1:$A$18046,AH!$P$7+1056))),""))</ns0:f>
        <ns0:v/>
      </ns0:c>
      <ns0:c r="B1061" s="219">
        <ns0:f>IFERROR(IF(AND(AH!$P$9&lt;&gt;1,$C1061&gt;0,$D1061&gt;0,$E1061&gt;0,$F1061&gt;0,$G1061&gt;0,$F1061&lt;=$A1061,$G1061&lt;=$A1061,$A1061-$F1061&lt;=10,$A1061-$G1061&lt;=5),$D1061*$E1061/$C1061-1,NA()),NA())</ns0:f>
        <ns0:v/>
      </ns0:c>
      <ns0:c r="C1061">
        <ns0:f>IFERROR(IF(ISNUMBER($A1061),IF(AND(AH!$P$10=1,AH!$P$12=1,$A1061=TODAY()),AH!$P$19,IF(AH!$P$10=1,INDEX('Live History'!$B$5:$B$3004,AH!$P$13+1056),INDEX('AH History'!$B$1:$B$18046,AH!$P$7+1056))),NA()),NA())</ns0:f>
        <ns0:v/>
      </ns0:c>
      <ns0:c r="D1061">
        <ns0:f>IFERROR(IF(ISNUMBER($A1061),IF(AND(AH!$P$10=1,AH!$P$12=1,$A1061=TODAY()),AH!$P$18,IF(AH!$P$10=1,INDEX('Live History'!$E$5:$E$3004,MATCH($A1061,'Live History'!$D$5:$D$3004,1)),INDEX('AH History'!$C$1:$C$18046,AH!$P$7+1056))),NA()),NA())</ns0:f>
        <ns0:v/>
      </ns0:c>
      <ns0:c r="E1061">
        <ns0:f>IFERROR(IF(ISNUMBER($A1061),IF(AND(AH!$P$10=1,AH!$P$12=1,$A1061=TODAY()),AH!$P$20,IF(AH!$P$10=1,INDEX('Live History'!$H$5:$H$3004,MATCH($A1061,'Live History'!$G$5:$G$3004,1)),INDEX('AH History'!$D$1:$D$18046,AH!$P$7+1056))),NA()),NA())</ns0:f>
        <ns0:v/>
      </ns0:c>
      <ns0:c r="F1061">
        <ns0:f>IFERROR(IF(ISNUMBER($A1061),IF(AND(AH!$P$10=1,AH!$P$12=1,$A1061=TODAY()),IF(AND(AH!$P$10=1,AH!$P$12=1,$A1061=TODAY()),TODAY(),NA()),IF(AH!$P$10=1,INDEX('Live History'!$D$5:$D$3004,MATCH($A1061,'Live History'!$D$5:$D$3004,1)),INDEX('AH History'!$E$1:$E$18046,AH!$P$7+1056))),NA()),NA())</ns0:f>
        <ns0:v/>
      </ns0:c>
      <ns0:c r="G1061">
        <ns0:f>IFERROR(IF(ISNUMBER($A1061),IF(AND(AH!$P$10=1,AH!$P$12=1,$A1061=TODAY()),IF(AND(AH!$P$10=1,AH!$P$12=1,$A1061=TODAY()),TODAY(),NA()),IF(AH!$P$10=1,INDEX('Live History'!$G$5:$G$3004,MATCH($A1061,'Live History'!$G$5:$G$3004,1)),INDEX('AH History'!$F$1:$F$18046,AH!$P$7+1056))),NA()),NA())</ns0:f>
        <ns0:v/>
      </ns0:c>
      <ns0:c r="H1061">
        <ns0:f>IFERROR(IF(AND(AH!$E$4="Bloomberg",AH!$P$10=1,ISNUMBER($A1061),$A1061&lt;=AH!$P$17),AH!$P$7-1+MATCH($A1061,INDEX('AH History'!$A$1:$A$18046,AH!$P$7):INDEX('AH History'!$A$1:$A$18046,AH!$P$7+AH!$P$8-1),0),0),0)</ns0:f>
        <ns0:v/>
      </ns0:c>
      <ns0:c r="I1061">
        <ns0:f>IF($H1061=0,0,IFERROR(IF(AND(ABS($C1061-INDEX('AH History'!$B$1:$B$18046,$H1061))&lt;=MAX(0.005,ABS(INDEX('AH History'!$B$1:$B$18046,$H1061))*0.00005),ABS($D1061-INDEX('AH History'!$C$1:$C$18046,$H1061))&lt;=MAX(0.005,ABS(INDEX('AH History'!$C$1:$C$18046,$H1061))*0.00005),ABS($E1061-INDEX('AH History'!$D$1:$D$18046,$H1061))&lt;=0.00005,$F1061=INDEX('AH History'!$E$1:$E$18046,$H1061),$G1061=INDEX('AH History'!$F$1:$F$18046,$H1061)),1,-1),-1))</ns0:f>
        <ns0:v/>
      </ns0:c>
    </ns0:row>
    <ns0:row r="1062">
      <ns0:c r="A1062" s="215">
        <ns0:f>IF(OR(AH!$P$3=0,1057+1&gt;AH!$P$11,AND(AH!$E$4&lt;&gt;"Stored",AH!$P$10&lt;&gt;1)),"",IFERROR(IF(AND(AH!$P$21=1,1057+1=AH!$P$11),TODAY(),IF(AH!$P$10=1,INDEX('Live History'!$A$5:$A$3004,AH!$P$13+1057),INDEX('AH History'!$A$1:$A$18046,AH!$P$7+1057))),""))</ns0:f>
        <ns0:v/>
      </ns0:c>
      <ns0:c r="B1062" s="219">
        <ns0:f>IFERROR(IF(AND(AH!$P$9&lt;&gt;1,$C1062&gt;0,$D1062&gt;0,$E1062&gt;0,$F1062&gt;0,$G1062&gt;0,$F1062&lt;=$A1062,$G1062&lt;=$A1062,$A1062-$F1062&lt;=10,$A1062-$G1062&lt;=5),$D1062*$E1062/$C1062-1,NA()),NA())</ns0:f>
        <ns0:v/>
      </ns0:c>
      <ns0:c r="C1062">
        <ns0:f>IFERROR(IF(ISNUMBER($A1062),IF(AND(AH!$P$10=1,AH!$P$12=1,$A1062=TODAY()),AH!$P$19,IF(AH!$P$10=1,INDEX('Live History'!$B$5:$B$3004,AH!$P$13+1057),INDEX('AH History'!$B$1:$B$18046,AH!$P$7+1057))),NA()),NA())</ns0:f>
        <ns0:v/>
      </ns0:c>
      <ns0:c r="D1062">
        <ns0:f>IFERROR(IF(ISNUMBER($A1062),IF(AND(AH!$P$10=1,AH!$P$12=1,$A1062=TODAY()),AH!$P$18,IF(AH!$P$10=1,INDEX('Live History'!$E$5:$E$3004,MATCH($A1062,'Live History'!$D$5:$D$3004,1)),INDEX('AH History'!$C$1:$C$18046,AH!$P$7+1057))),NA()),NA())</ns0:f>
        <ns0:v/>
      </ns0:c>
      <ns0:c r="E1062">
        <ns0:f>IFERROR(IF(ISNUMBER($A1062),IF(AND(AH!$P$10=1,AH!$P$12=1,$A1062=TODAY()),AH!$P$20,IF(AH!$P$10=1,INDEX('Live History'!$H$5:$H$3004,MATCH($A1062,'Live History'!$G$5:$G$3004,1)),INDEX('AH History'!$D$1:$D$18046,AH!$P$7+1057))),NA()),NA())</ns0:f>
        <ns0:v/>
      </ns0:c>
      <ns0:c r="F1062">
        <ns0:f>IFERROR(IF(ISNUMBER($A1062),IF(AND(AH!$P$10=1,AH!$P$12=1,$A1062=TODAY()),IF(AND(AH!$P$10=1,AH!$P$12=1,$A1062=TODAY()),TODAY(),NA()),IF(AH!$P$10=1,INDEX('Live History'!$D$5:$D$3004,MATCH($A1062,'Live History'!$D$5:$D$3004,1)),INDEX('AH History'!$E$1:$E$18046,AH!$P$7+1057))),NA()),NA())</ns0:f>
        <ns0:v/>
      </ns0:c>
      <ns0:c r="G1062">
        <ns0:f>IFERROR(IF(ISNUMBER($A1062),IF(AND(AH!$P$10=1,AH!$P$12=1,$A1062=TODAY()),IF(AND(AH!$P$10=1,AH!$P$12=1,$A1062=TODAY()),TODAY(),NA()),IF(AH!$P$10=1,INDEX('Live History'!$G$5:$G$3004,MATCH($A1062,'Live History'!$G$5:$G$3004,1)),INDEX('AH History'!$F$1:$F$18046,AH!$P$7+1057))),NA()),NA())</ns0:f>
        <ns0:v/>
      </ns0:c>
      <ns0:c r="H1062">
        <ns0:f>IFERROR(IF(AND(AH!$E$4="Bloomberg",AH!$P$10=1,ISNUMBER($A1062),$A1062&lt;=AH!$P$17),AH!$P$7-1+MATCH($A1062,INDEX('AH History'!$A$1:$A$18046,AH!$P$7):INDEX('AH History'!$A$1:$A$18046,AH!$P$7+AH!$P$8-1),0),0),0)</ns0:f>
        <ns0:v/>
      </ns0:c>
      <ns0:c r="I1062">
        <ns0:f>IF($H1062=0,0,IFERROR(IF(AND(ABS($C1062-INDEX('AH History'!$B$1:$B$18046,$H1062))&lt;=MAX(0.005,ABS(INDEX('AH History'!$B$1:$B$18046,$H1062))*0.00005),ABS($D1062-INDEX('AH History'!$C$1:$C$18046,$H1062))&lt;=MAX(0.005,ABS(INDEX('AH History'!$C$1:$C$18046,$H1062))*0.00005),ABS($E1062-INDEX('AH History'!$D$1:$D$18046,$H1062))&lt;=0.00005,$F1062=INDEX('AH History'!$E$1:$E$18046,$H1062),$G1062=INDEX('AH History'!$F$1:$F$18046,$H1062)),1,-1),-1))</ns0:f>
        <ns0:v/>
      </ns0:c>
    </ns0:row>
    <ns0:row r="1063">
      <ns0:c r="A1063" s="215">
        <ns0:f>IF(OR(AH!$P$3=0,1058+1&gt;AH!$P$11,AND(AH!$E$4&lt;&gt;"Stored",AH!$P$10&lt;&gt;1)),"",IFERROR(IF(AND(AH!$P$21=1,1058+1=AH!$P$11),TODAY(),IF(AH!$P$10=1,INDEX('Live History'!$A$5:$A$3004,AH!$P$13+1058),INDEX('AH History'!$A$1:$A$18046,AH!$P$7+1058))),""))</ns0:f>
        <ns0:v/>
      </ns0:c>
      <ns0:c r="B1063" s="219">
        <ns0:f>IFERROR(IF(AND(AH!$P$9&lt;&gt;1,$C1063&gt;0,$D1063&gt;0,$E1063&gt;0,$F1063&gt;0,$G1063&gt;0,$F1063&lt;=$A1063,$G1063&lt;=$A1063,$A1063-$F1063&lt;=10,$A1063-$G1063&lt;=5),$D1063*$E1063/$C1063-1,NA()),NA())</ns0:f>
        <ns0:v/>
      </ns0:c>
      <ns0:c r="C1063">
        <ns0:f>IFERROR(IF(ISNUMBER($A1063),IF(AND(AH!$P$10=1,AH!$P$12=1,$A1063=TODAY()),AH!$P$19,IF(AH!$P$10=1,INDEX('Live History'!$B$5:$B$3004,AH!$P$13+1058),INDEX('AH History'!$B$1:$B$18046,AH!$P$7+1058))),NA()),NA())</ns0:f>
        <ns0:v/>
      </ns0:c>
      <ns0:c r="D1063">
        <ns0:f>IFERROR(IF(ISNUMBER($A1063),IF(AND(AH!$P$10=1,AH!$P$12=1,$A1063=TODAY()),AH!$P$18,IF(AH!$P$10=1,INDEX('Live History'!$E$5:$E$3004,MATCH($A1063,'Live History'!$D$5:$D$3004,1)),INDEX('AH History'!$C$1:$C$18046,AH!$P$7+1058))),NA()),NA())</ns0:f>
        <ns0:v/>
      </ns0:c>
      <ns0:c r="E1063">
        <ns0:f>IFERROR(IF(ISNUMBER($A1063),IF(AND(AH!$P$10=1,AH!$P$12=1,$A1063=TODAY()),AH!$P$20,IF(AH!$P$10=1,INDEX('Live History'!$H$5:$H$3004,MATCH($A1063,'Live History'!$G$5:$G$3004,1)),INDEX('AH History'!$D$1:$D$18046,AH!$P$7+1058))),NA()),NA())</ns0:f>
        <ns0:v/>
      </ns0:c>
      <ns0:c r="F1063">
        <ns0:f>IFERROR(IF(ISNUMBER($A1063),IF(AND(AH!$P$10=1,AH!$P$12=1,$A1063=TODAY()),IF(AND(AH!$P$10=1,AH!$P$12=1,$A1063=TODAY()),TODAY(),NA()),IF(AH!$P$10=1,INDEX('Live History'!$D$5:$D$3004,MATCH($A1063,'Live History'!$D$5:$D$3004,1)),INDEX('AH History'!$E$1:$E$18046,AH!$P$7+1058))),NA()),NA())</ns0:f>
        <ns0:v/>
      </ns0:c>
      <ns0:c r="G1063">
        <ns0:f>IFERROR(IF(ISNUMBER($A1063),IF(AND(AH!$P$10=1,AH!$P$12=1,$A1063=TODAY()),IF(AND(AH!$P$10=1,AH!$P$12=1,$A1063=TODAY()),TODAY(),NA()),IF(AH!$P$10=1,INDEX('Live History'!$G$5:$G$3004,MATCH($A1063,'Live History'!$G$5:$G$3004,1)),INDEX('AH History'!$F$1:$F$18046,AH!$P$7+1058))),NA()),NA())</ns0:f>
        <ns0:v/>
      </ns0:c>
      <ns0:c r="H1063">
        <ns0:f>IFERROR(IF(AND(AH!$E$4="Bloomberg",AH!$P$10=1,ISNUMBER($A1063),$A1063&lt;=AH!$P$17),AH!$P$7-1+MATCH($A1063,INDEX('AH History'!$A$1:$A$18046,AH!$P$7):INDEX('AH History'!$A$1:$A$18046,AH!$P$7+AH!$P$8-1),0),0),0)</ns0:f>
        <ns0:v/>
      </ns0:c>
      <ns0:c r="I1063">
        <ns0:f>IF($H1063=0,0,IFERROR(IF(AND(ABS($C1063-INDEX('AH History'!$B$1:$B$18046,$H1063))&lt;=MAX(0.005,ABS(INDEX('AH History'!$B$1:$B$18046,$H1063))*0.00005),ABS($D1063-INDEX('AH History'!$C$1:$C$18046,$H1063))&lt;=MAX(0.005,ABS(INDEX('AH History'!$C$1:$C$18046,$H1063))*0.00005),ABS($E1063-INDEX('AH History'!$D$1:$D$18046,$H1063))&lt;=0.00005,$F1063=INDEX('AH History'!$E$1:$E$18046,$H1063),$G1063=INDEX('AH History'!$F$1:$F$18046,$H1063)),1,-1),-1))</ns0:f>
        <ns0:v/>
      </ns0:c>
    </ns0:row>
    <ns0:row r="1064">
      <ns0:c r="A1064" s="215">
        <ns0:f>IF(OR(AH!$P$3=0,1059+1&gt;AH!$P$11,AND(AH!$E$4&lt;&gt;"Stored",AH!$P$10&lt;&gt;1)),"",IFERROR(IF(AND(AH!$P$21=1,1059+1=AH!$P$11),TODAY(),IF(AH!$P$10=1,INDEX('Live History'!$A$5:$A$3004,AH!$P$13+1059),INDEX('AH History'!$A$1:$A$18046,AH!$P$7+1059))),""))</ns0:f>
        <ns0:v/>
      </ns0:c>
      <ns0:c r="B1064" s="219">
        <ns0:f>IFERROR(IF(AND(AH!$P$9&lt;&gt;1,$C1064&gt;0,$D1064&gt;0,$E1064&gt;0,$F1064&gt;0,$G1064&gt;0,$F1064&lt;=$A1064,$G1064&lt;=$A1064,$A1064-$F1064&lt;=10,$A1064-$G1064&lt;=5),$D1064*$E1064/$C1064-1,NA()),NA())</ns0:f>
        <ns0:v/>
      </ns0:c>
      <ns0:c r="C1064">
        <ns0:f>IFERROR(IF(ISNUMBER($A1064),IF(AND(AH!$P$10=1,AH!$P$12=1,$A1064=TODAY()),AH!$P$19,IF(AH!$P$10=1,INDEX('Live History'!$B$5:$B$3004,AH!$P$13+1059),INDEX('AH History'!$B$1:$B$18046,AH!$P$7+1059))),NA()),NA())</ns0:f>
        <ns0:v/>
      </ns0:c>
      <ns0:c r="D1064">
        <ns0:f>IFERROR(IF(ISNUMBER($A1064),IF(AND(AH!$P$10=1,AH!$P$12=1,$A1064=TODAY()),AH!$P$18,IF(AH!$P$10=1,INDEX('Live History'!$E$5:$E$3004,MATCH($A1064,'Live History'!$D$5:$D$3004,1)),INDEX('AH History'!$C$1:$C$18046,AH!$P$7+1059))),NA()),NA())</ns0:f>
        <ns0:v/>
      </ns0:c>
      <ns0:c r="E1064">
        <ns0:f>IFERROR(IF(ISNUMBER($A1064),IF(AND(AH!$P$10=1,AH!$P$12=1,$A1064=TODAY()),AH!$P$20,IF(AH!$P$10=1,INDEX('Live History'!$H$5:$H$3004,MATCH($A1064,'Live History'!$G$5:$G$3004,1)),INDEX('AH History'!$D$1:$D$18046,AH!$P$7+1059))),NA()),NA())</ns0:f>
        <ns0:v/>
      </ns0:c>
      <ns0:c r="F1064">
        <ns0:f>IFERROR(IF(ISNUMBER($A1064),IF(AND(AH!$P$10=1,AH!$P$12=1,$A1064=TODAY()),IF(AND(AH!$P$10=1,AH!$P$12=1,$A1064=TODAY()),TODAY(),NA()),IF(AH!$P$10=1,INDEX('Live History'!$D$5:$D$3004,MATCH($A1064,'Live History'!$D$5:$D$3004,1)),INDEX('AH History'!$E$1:$E$18046,AH!$P$7+1059))),NA()),NA())</ns0:f>
        <ns0:v/>
      </ns0:c>
      <ns0:c r="G1064">
        <ns0:f>IFERROR(IF(ISNUMBER($A1064),IF(AND(AH!$P$10=1,AH!$P$12=1,$A1064=TODAY()),IF(AND(AH!$P$10=1,AH!$P$12=1,$A1064=TODAY()),TODAY(),NA()),IF(AH!$P$10=1,INDEX('Live History'!$G$5:$G$3004,MATCH($A1064,'Live History'!$G$5:$G$3004,1)),INDEX('AH History'!$F$1:$F$18046,AH!$P$7+1059))),NA()),NA())</ns0:f>
        <ns0:v/>
      </ns0:c>
      <ns0:c r="H1064">
        <ns0:f>IFERROR(IF(AND(AH!$E$4="Bloomberg",AH!$P$10=1,ISNUMBER($A1064),$A1064&lt;=AH!$P$17),AH!$P$7-1+MATCH($A1064,INDEX('AH History'!$A$1:$A$18046,AH!$P$7):INDEX('AH History'!$A$1:$A$18046,AH!$P$7+AH!$P$8-1),0),0),0)</ns0:f>
        <ns0:v/>
      </ns0:c>
      <ns0:c r="I1064">
        <ns0:f>IF($H1064=0,0,IFERROR(IF(AND(ABS($C1064-INDEX('AH History'!$B$1:$B$18046,$H1064))&lt;=MAX(0.005,ABS(INDEX('AH History'!$B$1:$B$18046,$H1064))*0.00005),ABS($D1064-INDEX('AH History'!$C$1:$C$18046,$H1064))&lt;=MAX(0.005,ABS(INDEX('AH History'!$C$1:$C$18046,$H1064))*0.00005),ABS($E1064-INDEX('AH History'!$D$1:$D$18046,$H1064))&lt;=0.00005,$F1064=INDEX('AH History'!$E$1:$E$18046,$H1064),$G1064=INDEX('AH History'!$F$1:$F$18046,$H1064)),1,-1),-1))</ns0:f>
        <ns0:v/>
      </ns0:c>
    </ns0:row>
    <ns0:row r="1065">
      <ns0:c r="A1065" s="215">
        <ns0:f>IF(OR(AH!$P$3=0,1060+1&gt;AH!$P$11,AND(AH!$E$4&lt;&gt;"Stored",AH!$P$10&lt;&gt;1)),"",IFERROR(IF(AND(AH!$P$21=1,1060+1=AH!$P$11),TODAY(),IF(AH!$P$10=1,INDEX('Live History'!$A$5:$A$3004,AH!$P$13+1060),INDEX('AH History'!$A$1:$A$18046,AH!$P$7+1060))),""))</ns0:f>
        <ns0:v/>
      </ns0:c>
      <ns0:c r="B1065" s="219">
        <ns0:f>IFERROR(IF(AND(AH!$P$9&lt;&gt;1,$C1065&gt;0,$D1065&gt;0,$E1065&gt;0,$F1065&gt;0,$G1065&gt;0,$F1065&lt;=$A1065,$G1065&lt;=$A1065,$A1065-$F1065&lt;=10,$A1065-$G1065&lt;=5),$D1065*$E1065/$C1065-1,NA()),NA())</ns0:f>
        <ns0:v/>
      </ns0:c>
      <ns0:c r="C1065">
        <ns0:f>IFERROR(IF(ISNUMBER($A1065),IF(AND(AH!$P$10=1,AH!$P$12=1,$A1065=TODAY()),AH!$P$19,IF(AH!$P$10=1,INDEX('Live History'!$B$5:$B$3004,AH!$P$13+1060),INDEX('AH History'!$B$1:$B$18046,AH!$P$7+1060))),NA()),NA())</ns0:f>
        <ns0:v/>
      </ns0:c>
      <ns0:c r="D1065">
        <ns0:f>IFERROR(IF(ISNUMBER($A1065),IF(AND(AH!$P$10=1,AH!$P$12=1,$A1065=TODAY()),AH!$P$18,IF(AH!$P$10=1,INDEX('Live History'!$E$5:$E$3004,MATCH($A1065,'Live History'!$D$5:$D$3004,1)),INDEX('AH History'!$C$1:$C$18046,AH!$P$7+1060))),NA()),NA())</ns0:f>
        <ns0:v/>
      </ns0:c>
      <ns0:c r="E1065">
        <ns0:f>IFERROR(IF(ISNUMBER($A1065),IF(AND(AH!$P$10=1,AH!$P$12=1,$A1065=TODAY()),AH!$P$20,IF(AH!$P$10=1,INDEX('Live History'!$H$5:$H$3004,MATCH($A1065,'Live History'!$G$5:$G$3004,1)),INDEX('AH History'!$D$1:$D$18046,AH!$P$7+1060))),NA()),NA())</ns0:f>
        <ns0:v/>
      </ns0:c>
      <ns0:c r="F1065">
        <ns0:f>IFERROR(IF(ISNUMBER($A1065),IF(AND(AH!$P$10=1,AH!$P$12=1,$A1065=TODAY()),IF(AND(AH!$P$10=1,AH!$P$12=1,$A1065=TODAY()),TODAY(),NA()),IF(AH!$P$10=1,INDEX('Live History'!$D$5:$D$3004,MATCH($A1065,'Live History'!$D$5:$D$3004,1)),INDEX('AH History'!$E$1:$E$18046,AH!$P$7+1060))),NA()),NA())</ns0:f>
        <ns0:v/>
      </ns0:c>
      <ns0:c r="G1065">
        <ns0:f>IFERROR(IF(ISNUMBER($A1065),IF(AND(AH!$P$10=1,AH!$P$12=1,$A1065=TODAY()),IF(AND(AH!$P$10=1,AH!$P$12=1,$A1065=TODAY()),TODAY(),NA()),IF(AH!$P$10=1,INDEX('Live History'!$G$5:$G$3004,MATCH($A1065,'Live History'!$G$5:$G$3004,1)),INDEX('AH History'!$F$1:$F$18046,AH!$P$7+1060))),NA()),NA())</ns0:f>
        <ns0:v/>
      </ns0:c>
      <ns0:c r="H1065">
        <ns0:f>IFERROR(IF(AND(AH!$E$4="Bloomberg",AH!$P$10=1,ISNUMBER($A1065),$A1065&lt;=AH!$P$17),AH!$P$7-1+MATCH($A1065,INDEX('AH History'!$A$1:$A$18046,AH!$P$7):INDEX('AH History'!$A$1:$A$18046,AH!$P$7+AH!$P$8-1),0),0),0)</ns0:f>
        <ns0:v/>
      </ns0:c>
      <ns0:c r="I1065">
        <ns0:f>IF($H1065=0,0,IFERROR(IF(AND(ABS($C1065-INDEX('AH History'!$B$1:$B$18046,$H1065))&lt;=MAX(0.005,ABS(INDEX('AH History'!$B$1:$B$18046,$H1065))*0.00005),ABS($D1065-INDEX('AH History'!$C$1:$C$18046,$H1065))&lt;=MAX(0.005,ABS(INDEX('AH History'!$C$1:$C$18046,$H1065))*0.00005),ABS($E1065-INDEX('AH History'!$D$1:$D$18046,$H1065))&lt;=0.00005,$F1065=INDEX('AH History'!$E$1:$E$18046,$H1065),$G1065=INDEX('AH History'!$F$1:$F$18046,$H1065)),1,-1),-1))</ns0:f>
        <ns0:v/>
      </ns0:c>
    </ns0:row>
    <ns0:row r="1066">
      <ns0:c r="A1066" s="215">
        <ns0:f>IF(OR(AH!$P$3=0,1061+1&gt;AH!$P$11,AND(AH!$E$4&lt;&gt;"Stored",AH!$P$10&lt;&gt;1)),"",IFERROR(IF(AND(AH!$P$21=1,1061+1=AH!$P$11),TODAY(),IF(AH!$P$10=1,INDEX('Live History'!$A$5:$A$3004,AH!$P$13+1061),INDEX('AH History'!$A$1:$A$18046,AH!$P$7+1061))),""))</ns0:f>
        <ns0:v/>
      </ns0:c>
      <ns0:c r="B1066" s="219">
        <ns0:f>IFERROR(IF(AND(AH!$P$9&lt;&gt;1,$C1066&gt;0,$D1066&gt;0,$E1066&gt;0,$F1066&gt;0,$G1066&gt;0,$F1066&lt;=$A1066,$G1066&lt;=$A1066,$A1066-$F1066&lt;=10,$A1066-$G1066&lt;=5),$D1066*$E1066/$C1066-1,NA()),NA())</ns0:f>
        <ns0:v/>
      </ns0:c>
      <ns0:c r="C1066">
        <ns0:f>IFERROR(IF(ISNUMBER($A1066),IF(AND(AH!$P$10=1,AH!$P$12=1,$A1066=TODAY()),AH!$P$19,IF(AH!$P$10=1,INDEX('Live History'!$B$5:$B$3004,AH!$P$13+1061),INDEX('AH History'!$B$1:$B$18046,AH!$P$7+1061))),NA()),NA())</ns0:f>
        <ns0:v/>
      </ns0:c>
      <ns0:c r="D1066">
        <ns0:f>IFERROR(IF(ISNUMBER($A1066),IF(AND(AH!$P$10=1,AH!$P$12=1,$A1066=TODAY()),AH!$P$18,IF(AH!$P$10=1,INDEX('Live History'!$E$5:$E$3004,MATCH($A1066,'Live History'!$D$5:$D$3004,1)),INDEX('AH History'!$C$1:$C$18046,AH!$P$7+1061))),NA()),NA())</ns0:f>
        <ns0:v/>
      </ns0:c>
      <ns0:c r="E1066">
        <ns0:f>IFERROR(IF(ISNUMBER($A1066),IF(AND(AH!$P$10=1,AH!$P$12=1,$A1066=TODAY()),AH!$P$20,IF(AH!$P$10=1,INDEX('Live History'!$H$5:$H$3004,MATCH($A1066,'Live History'!$G$5:$G$3004,1)),INDEX('AH History'!$D$1:$D$18046,AH!$P$7+1061))),NA()),NA())</ns0:f>
        <ns0:v/>
      </ns0:c>
      <ns0:c r="F1066">
        <ns0:f>IFERROR(IF(ISNUMBER($A1066),IF(AND(AH!$P$10=1,AH!$P$12=1,$A1066=TODAY()),IF(AND(AH!$P$10=1,AH!$P$12=1,$A1066=TODAY()),TODAY(),NA()),IF(AH!$P$10=1,INDEX('Live History'!$D$5:$D$3004,MATCH($A1066,'Live History'!$D$5:$D$3004,1)),INDEX('AH History'!$E$1:$E$18046,AH!$P$7+1061))),NA()),NA())</ns0:f>
        <ns0:v/>
      </ns0:c>
      <ns0:c r="G1066">
        <ns0:f>IFERROR(IF(ISNUMBER($A1066),IF(AND(AH!$P$10=1,AH!$P$12=1,$A1066=TODAY()),IF(AND(AH!$P$10=1,AH!$P$12=1,$A1066=TODAY()),TODAY(),NA()),IF(AH!$P$10=1,INDEX('Live History'!$G$5:$G$3004,MATCH($A1066,'Live History'!$G$5:$G$3004,1)),INDEX('AH History'!$F$1:$F$18046,AH!$P$7+1061))),NA()),NA())</ns0:f>
        <ns0:v/>
      </ns0:c>
      <ns0:c r="H1066">
        <ns0:f>IFERROR(IF(AND(AH!$E$4="Bloomberg",AH!$P$10=1,ISNUMBER($A1066),$A1066&lt;=AH!$P$17),AH!$P$7-1+MATCH($A1066,INDEX('AH History'!$A$1:$A$18046,AH!$P$7):INDEX('AH History'!$A$1:$A$18046,AH!$P$7+AH!$P$8-1),0),0),0)</ns0:f>
        <ns0:v/>
      </ns0:c>
      <ns0:c r="I1066">
        <ns0:f>IF($H1066=0,0,IFERROR(IF(AND(ABS($C1066-INDEX('AH History'!$B$1:$B$18046,$H1066))&lt;=MAX(0.005,ABS(INDEX('AH History'!$B$1:$B$18046,$H1066))*0.00005),ABS($D1066-INDEX('AH History'!$C$1:$C$18046,$H1066))&lt;=MAX(0.005,ABS(INDEX('AH History'!$C$1:$C$18046,$H1066))*0.00005),ABS($E1066-INDEX('AH History'!$D$1:$D$18046,$H1066))&lt;=0.00005,$F1066=INDEX('AH History'!$E$1:$E$18046,$H1066),$G1066=INDEX('AH History'!$F$1:$F$18046,$H1066)),1,-1),-1))</ns0:f>
        <ns0:v/>
      </ns0:c>
    </ns0:row>
    <ns0:row r="1067">
      <ns0:c r="A1067" s="215">
        <ns0:f>IF(OR(AH!$P$3=0,1062+1&gt;AH!$P$11,AND(AH!$E$4&lt;&gt;"Stored",AH!$P$10&lt;&gt;1)),"",IFERROR(IF(AND(AH!$P$21=1,1062+1=AH!$P$11),TODAY(),IF(AH!$P$10=1,INDEX('Live History'!$A$5:$A$3004,AH!$P$13+1062),INDEX('AH History'!$A$1:$A$18046,AH!$P$7+1062))),""))</ns0:f>
        <ns0:v/>
      </ns0:c>
      <ns0:c r="B1067" s="219">
        <ns0:f>IFERROR(IF(AND(AH!$P$9&lt;&gt;1,$C1067&gt;0,$D1067&gt;0,$E1067&gt;0,$F1067&gt;0,$G1067&gt;0,$F1067&lt;=$A1067,$G1067&lt;=$A1067,$A1067-$F1067&lt;=10,$A1067-$G1067&lt;=5),$D1067*$E1067/$C1067-1,NA()),NA())</ns0:f>
        <ns0:v/>
      </ns0:c>
      <ns0:c r="C1067">
        <ns0:f>IFERROR(IF(ISNUMBER($A1067),IF(AND(AH!$P$10=1,AH!$P$12=1,$A1067=TODAY()),AH!$P$19,IF(AH!$P$10=1,INDEX('Live History'!$B$5:$B$3004,AH!$P$13+1062),INDEX('AH History'!$B$1:$B$18046,AH!$P$7+1062))),NA()),NA())</ns0:f>
        <ns0:v/>
      </ns0:c>
      <ns0:c r="D1067">
        <ns0:f>IFERROR(IF(ISNUMBER($A1067),IF(AND(AH!$P$10=1,AH!$P$12=1,$A1067=TODAY()),AH!$P$18,IF(AH!$P$10=1,INDEX('Live History'!$E$5:$E$3004,MATCH($A1067,'Live History'!$D$5:$D$3004,1)),INDEX('AH History'!$C$1:$C$18046,AH!$P$7+1062))),NA()),NA())</ns0:f>
        <ns0:v/>
      </ns0:c>
      <ns0:c r="E1067">
        <ns0:f>IFERROR(IF(ISNUMBER($A1067),IF(AND(AH!$P$10=1,AH!$P$12=1,$A1067=TODAY()),AH!$P$20,IF(AH!$P$10=1,INDEX('Live History'!$H$5:$H$3004,MATCH($A1067,'Live History'!$G$5:$G$3004,1)),INDEX('AH History'!$D$1:$D$18046,AH!$P$7+1062))),NA()),NA())</ns0:f>
        <ns0:v/>
      </ns0:c>
      <ns0:c r="F1067">
        <ns0:f>IFERROR(IF(ISNUMBER($A1067),IF(AND(AH!$P$10=1,AH!$P$12=1,$A1067=TODAY()),IF(AND(AH!$P$10=1,AH!$P$12=1,$A1067=TODAY()),TODAY(),NA()),IF(AH!$P$10=1,INDEX('Live History'!$D$5:$D$3004,MATCH($A1067,'Live History'!$D$5:$D$3004,1)),INDEX('AH History'!$E$1:$E$18046,AH!$P$7+1062))),NA()),NA())</ns0:f>
        <ns0:v/>
      </ns0:c>
      <ns0:c r="G1067">
        <ns0:f>IFERROR(IF(ISNUMBER($A1067),IF(AND(AH!$P$10=1,AH!$P$12=1,$A1067=TODAY()),IF(AND(AH!$P$10=1,AH!$P$12=1,$A1067=TODAY()),TODAY(),NA()),IF(AH!$P$10=1,INDEX('Live History'!$G$5:$G$3004,MATCH($A1067,'Live History'!$G$5:$G$3004,1)),INDEX('AH History'!$F$1:$F$18046,AH!$P$7+1062))),NA()),NA())</ns0:f>
        <ns0:v/>
      </ns0:c>
      <ns0:c r="H1067">
        <ns0:f>IFERROR(IF(AND(AH!$E$4="Bloomberg",AH!$P$10=1,ISNUMBER($A1067),$A1067&lt;=AH!$P$17),AH!$P$7-1+MATCH($A1067,INDEX('AH History'!$A$1:$A$18046,AH!$P$7):INDEX('AH History'!$A$1:$A$18046,AH!$P$7+AH!$P$8-1),0),0),0)</ns0:f>
        <ns0:v/>
      </ns0:c>
      <ns0:c r="I1067">
        <ns0:f>IF($H1067=0,0,IFERROR(IF(AND(ABS($C1067-INDEX('AH History'!$B$1:$B$18046,$H1067))&lt;=MAX(0.005,ABS(INDEX('AH History'!$B$1:$B$18046,$H1067))*0.00005),ABS($D1067-INDEX('AH History'!$C$1:$C$18046,$H1067))&lt;=MAX(0.005,ABS(INDEX('AH History'!$C$1:$C$18046,$H1067))*0.00005),ABS($E1067-INDEX('AH History'!$D$1:$D$18046,$H1067))&lt;=0.00005,$F1067=INDEX('AH History'!$E$1:$E$18046,$H1067),$G1067=INDEX('AH History'!$F$1:$F$18046,$H1067)),1,-1),-1))</ns0:f>
        <ns0:v/>
      </ns0:c>
    </ns0:row>
    <ns0:row r="1068">
      <ns0:c r="A1068" s="215">
        <ns0:f>IF(OR(AH!$P$3=0,1063+1&gt;AH!$P$11,AND(AH!$E$4&lt;&gt;"Stored",AH!$P$10&lt;&gt;1)),"",IFERROR(IF(AND(AH!$P$21=1,1063+1=AH!$P$11),TODAY(),IF(AH!$P$10=1,INDEX('Live History'!$A$5:$A$3004,AH!$P$13+1063),INDEX('AH History'!$A$1:$A$18046,AH!$P$7+1063))),""))</ns0:f>
        <ns0:v/>
      </ns0:c>
      <ns0:c r="B1068" s="219">
        <ns0:f>IFERROR(IF(AND(AH!$P$9&lt;&gt;1,$C1068&gt;0,$D1068&gt;0,$E1068&gt;0,$F1068&gt;0,$G1068&gt;0,$F1068&lt;=$A1068,$G1068&lt;=$A1068,$A1068-$F1068&lt;=10,$A1068-$G1068&lt;=5),$D1068*$E1068/$C1068-1,NA()),NA())</ns0:f>
        <ns0:v/>
      </ns0:c>
      <ns0:c r="C1068">
        <ns0:f>IFERROR(IF(ISNUMBER($A1068),IF(AND(AH!$P$10=1,AH!$P$12=1,$A1068=TODAY()),AH!$P$19,IF(AH!$P$10=1,INDEX('Live History'!$B$5:$B$3004,AH!$P$13+1063),INDEX('AH History'!$B$1:$B$18046,AH!$P$7+1063))),NA()),NA())</ns0:f>
        <ns0:v/>
      </ns0:c>
      <ns0:c r="D1068">
        <ns0:f>IFERROR(IF(ISNUMBER($A1068),IF(AND(AH!$P$10=1,AH!$P$12=1,$A1068=TODAY()),AH!$P$18,IF(AH!$P$10=1,INDEX('Live History'!$E$5:$E$3004,MATCH($A1068,'Live History'!$D$5:$D$3004,1)),INDEX('AH History'!$C$1:$C$18046,AH!$P$7+1063))),NA()),NA())</ns0:f>
        <ns0:v/>
      </ns0:c>
      <ns0:c r="E1068">
        <ns0:f>IFERROR(IF(ISNUMBER($A1068),IF(AND(AH!$P$10=1,AH!$P$12=1,$A1068=TODAY()),AH!$P$20,IF(AH!$P$10=1,INDEX('Live History'!$H$5:$H$3004,MATCH($A1068,'Live History'!$G$5:$G$3004,1)),INDEX('AH History'!$D$1:$D$18046,AH!$P$7+1063))),NA()),NA())</ns0:f>
        <ns0:v/>
      </ns0:c>
      <ns0:c r="F1068">
        <ns0:f>IFERROR(IF(ISNUMBER($A1068),IF(AND(AH!$P$10=1,AH!$P$12=1,$A1068=TODAY()),IF(AND(AH!$P$10=1,AH!$P$12=1,$A1068=TODAY()),TODAY(),NA()),IF(AH!$P$10=1,INDEX('Live History'!$D$5:$D$3004,MATCH($A1068,'Live History'!$D$5:$D$3004,1)),INDEX('AH History'!$E$1:$E$18046,AH!$P$7+1063))),NA()),NA())</ns0:f>
        <ns0:v/>
      </ns0:c>
      <ns0:c r="G1068">
        <ns0:f>IFERROR(IF(ISNUMBER($A1068),IF(AND(AH!$P$10=1,AH!$P$12=1,$A1068=TODAY()),IF(AND(AH!$P$10=1,AH!$P$12=1,$A1068=TODAY()),TODAY(),NA()),IF(AH!$P$10=1,INDEX('Live History'!$G$5:$G$3004,MATCH($A1068,'Live History'!$G$5:$G$3004,1)),INDEX('AH History'!$F$1:$F$18046,AH!$P$7+1063))),NA()),NA())</ns0:f>
        <ns0:v/>
      </ns0:c>
      <ns0:c r="H1068">
        <ns0:f>IFERROR(IF(AND(AH!$E$4="Bloomberg",AH!$P$10=1,ISNUMBER($A1068),$A1068&lt;=AH!$P$17),AH!$P$7-1+MATCH($A1068,INDEX('AH History'!$A$1:$A$18046,AH!$P$7):INDEX('AH History'!$A$1:$A$18046,AH!$P$7+AH!$P$8-1),0),0),0)</ns0:f>
        <ns0:v/>
      </ns0:c>
      <ns0:c r="I1068">
        <ns0:f>IF($H1068=0,0,IFERROR(IF(AND(ABS($C1068-INDEX('AH History'!$B$1:$B$18046,$H1068))&lt;=MAX(0.005,ABS(INDEX('AH History'!$B$1:$B$18046,$H1068))*0.00005),ABS($D1068-INDEX('AH History'!$C$1:$C$18046,$H1068))&lt;=MAX(0.005,ABS(INDEX('AH History'!$C$1:$C$18046,$H1068))*0.00005),ABS($E1068-INDEX('AH History'!$D$1:$D$18046,$H1068))&lt;=0.00005,$F1068=INDEX('AH History'!$E$1:$E$18046,$H1068),$G1068=INDEX('AH History'!$F$1:$F$18046,$H1068)),1,-1),-1))</ns0:f>
        <ns0:v/>
      </ns0:c>
    </ns0:row>
    <ns0:row r="1069">
      <ns0:c r="A1069" s="215">
        <ns0:f>IF(OR(AH!$P$3=0,1064+1&gt;AH!$P$11,AND(AH!$E$4&lt;&gt;"Stored",AH!$P$10&lt;&gt;1)),"",IFERROR(IF(AND(AH!$P$21=1,1064+1=AH!$P$11),TODAY(),IF(AH!$P$10=1,INDEX('Live History'!$A$5:$A$3004,AH!$P$13+1064),INDEX('AH History'!$A$1:$A$18046,AH!$P$7+1064))),""))</ns0:f>
        <ns0:v/>
      </ns0:c>
      <ns0:c r="B1069" s="219">
        <ns0:f>IFERROR(IF(AND(AH!$P$9&lt;&gt;1,$C1069&gt;0,$D1069&gt;0,$E1069&gt;0,$F1069&gt;0,$G1069&gt;0,$F1069&lt;=$A1069,$G1069&lt;=$A1069,$A1069-$F1069&lt;=10,$A1069-$G1069&lt;=5),$D1069*$E1069/$C1069-1,NA()),NA())</ns0:f>
        <ns0:v/>
      </ns0:c>
      <ns0:c r="C1069">
        <ns0:f>IFERROR(IF(ISNUMBER($A1069),IF(AND(AH!$P$10=1,AH!$P$12=1,$A1069=TODAY()),AH!$P$19,IF(AH!$P$10=1,INDEX('Live History'!$B$5:$B$3004,AH!$P$13+1064),INDEX('AH History'!$B$1:$B$18046,AH!$P$7+1064))),NA()),NA())</ns0:f>
        <ns0:v/>
      </ns0:c>
      <ns0:c r="D1069">
        <ns0:f>IFERROR(IF(ISNUMBER($A1069),IF(AND(AH!$P$10=1,AH!$P$12=1,$A1069=TODAY()),AH!$P$18,IF(AH!$P$10=1,INDEX('Live History'!$E$5:$E$3004,MATCH($A1069,'Live History'!$D$5:$D$3004,1)),INDEX('AH History'!$C$1:$C$18046,AH!$P$7+1064))),NA()),NA())</ns0:f>
        <ns0:v/>
      </ns0:c>
      <ns0:c r="E1069">
        <ns0:f>IFERROR(IF(ISNUMBER($A1069),IF(AND(AH!$P$10=1,AH!$P$12=1,$A1069=TODAY()),AH!$P$20,IF(AH!$P$10=1,INDEX('Live History'!$H$5:$H$3004,MATCH($A1069,'Live History'!$G$5:$G$3004,1)),INDEX('AH History'!$D$1:$D$18046,AH!$P$7+1064))),NA()),NA())</ns0:f>
        <ns0:v/>
      </ns0:c>
      <ns0:c r="F1069">
        <ns0:f>IFERROR(IF(ISNUMBER($A1069),IF(AND(AH!$P$10=1,AH!$P$12=1,$A1069=TODAY()),IF(AND(AH!$P$10=1,AH!$P$12=1,$A1069=TODAY()),TODAY(),NA()),IF(AH!$P$10=1,INDEX('Live History'!$D$5:$D$3004,MATCH($A1069,'Live History'!$D$5:$D$3004,1)),INDEX('AH History'!$E$1:$E$18046,AH!$P$7+1064))),NA()),NA())</ns0:f>
        <ns0:v/>
      </ns0:c>
      <ns0:c r="G1069">
        <ns0:f>IFERROR(IF(ISNUMBER($A1069),IF(AND(AH!$P$10=1,AH!$P$12=1,$A1069=TODAY()),IF(AND(AH!$P$10=1,AH!$P$12=1,$A1069=TODAY()),TODAY(),NA()),IF(AH!$P$10=1,INDEX('Live History'!$G$5:$G$3004,MATCH($A1069,'Live History'!$G$5:$G$3004,1)),INDEX('AH History'!$F$1:$F$18046,AH!$P$7+1064))),NA()),NA())</ns0:f>
        <ns0:v/>
      </ns0:c>
      <ns0:c r="H1069">
        <ns0:f>IFERROR(IF(AND(AH!$E$4="Bloomberg",AH!$P$10=1,ISNUMBER($A1069),$A1069&lt;=AH!$P$17),AH!$P$7-1+MATCH($A1069,INDEX('AH History'!$A$1:$A$18046,AH!$P$7):INDEX('AH History'!$A$1:$A$18046,AH!$P$7+AH!$P$8-1),0),0),0)</ns0:f>
        <ns0:v/>
      </ns0:c>
      <ns0:c r="I1069">
        <ns0:f>IF($H1069=0,0,IFERROR(IF(AND(ABS($C1069-INDEX('AH History'!$B$1:$B$18046,$H1069))&lt;=MAX(0.005,ABS(INDEX('AH History'!$B$1:$B$18046,$H1069))*0.00005),ABS($D1069-INDEX('AH History'!$C$1:$C$18046,$H1069))&lt;=MAX(0.005,ABS(INDEX('AH History'!$C$1:$C$18046,$H1069))*0.00005),ABS($E1069-INDEX('AH History'!$D$1:$D$18046,$H1069))&lt;=0.00005,$F1069=INDEX('AH History'!$E$1:$E$18046,$H1069),$G1069=INDEX('AH History'!$F$1:$F$18046,$H1069)),1,-1),-1))</ns0:f>
        <ns0:v/>
      </ns0:c>
    </ns0:row>
    <ns0:row r="1070">
      <ns0:c r="A1070" s="215">
        <ns0:f>IF(OR(AH!$P$3=0,1065+1&gt;AH!$P$11,AND(AH!$E$4&lt;&gt;"Stored",AH!$P$10&lt;&gt;1)),"",IFERROR(IF(AND(AH!$P$21=1,1065+1=AH!$P$11),TODAY(),IF(AH!$P$10=1,INDEX('Live History'!$A$5:$A$3004,AH!$P$13+1065),INDEX('AH History'!$A$1:$A$18046,AH!$P$7+1065))),""))</ns0:f>
        <ns0:v/>
      </ns0:c>
      <ns0:c r="B1070" s="219">
        <ns0:f>IFERROR(IF(AND(AH!$P$9&lt;&gt;1,$C1070&gt;0,$D1070&gt;0,$E1070&gt;0,$F1070&gt;0,$G1070&gt;0,$F1070&lt;=$A1070,$G1070&lt;=$A1070,$A1070-$F1070&lt;=10,$A1070-$G1070&lt;=5),$D1070*$E1070/$C1070-1,NA()),NA())</ns0:f>
        <ns0:v/>
      </ns0:c>
      <ns0:c r="C1070">
        <ns0:f>IFERROR(IF(ISNUMBER($A1070),IF(AND(AH!$P$10=1,AH!$P$12=1,$A1070=TODAY()),AH!$P$19,IF(AH!$P$10=1,INDEX('Live History'!$B$5:$B$3004,AH!$P$13+1065),INDEX('AH History'!$B$1:$B$18046,AH!$P$7+1065))),NA()),NA())</ns0:f>
        <ns0:v/>
      </ns0:c>
      <ns0:c r="D1070">
        <ns0:f>IFERROR(IF(ISNUMBER($A1070),IF(AND(AH!$P$10=1,AH!$P$12=1,$A1070=TODAY()),AH!$P$18,IF(AH!$P$10=1,INDEX('Live History'!$E$5:$E$3004,MATCH($A1070,'Live History'!$D$5:$D$3004,1)),INDEX('AH History'!$C$1:$C$18046,AH!$P$7+1065))),NA()),NA())</ns0:f>
        <ns0:v/>
      </ns0:c>
      <ns0:c r="E1070">
        <ns0:f>IFERROR(IF(ISNUMBER($A1070),IF(AND(AH!$P$10=1,AH!$P$12=1,$A1070=TODAY()),AH!$P$20,IF(AH!$P$10=1,INDEX('Live History'!$H$5:$H$3004,MATCH($A1070,'Live History'!$G$5:$G$3004,1)),INDEX('AH History'!$D$1:$D$18046,AH!$P$7+1065))),NA()),NA())</ns0:f>
        <ns0:v/>
      </ns0:c>
      <ns0:c r="F1070">
        <ns0:f>IFERROR(IF(ISNUMBER($A1070),IF(AND(AH!$P$10=1,AH!$P$12=1,$A1070=TODAY()),IF(AND(AH!$P$10=1,AH!$P$12=1,$A1070=TODAY()),TODAY(),NA()),IF(AH!$P$10=1,INDEX('Live History'!$D$5:$D$3004,MATCH($A1070,'Live History'!$D$5:$D$3004,1)),INDEX('AH History'!$E$1:$E$18046,AH!$P$7+1065))),NA()),NA())</ns0:f>
        <ns0:v/>
      </ns0:c>
      <ns0:c r="G1070">
        <ns0:f>IFERROR(IF(ISNUMBER($A1070),IF(AND(AH!$P$10=1,AH!$P$12=1,$A1070=TODAY()),IF(AND(AH!$P$10=1,AH!$P$12=1,$A1070=TODAY()),TODAY(),NA()),IF(AH!$P$10=1,INDEX('Live History'!$G$5:$G$3004,MATCH($A1070,'Live History'!$G$5:$G$3004,1)),INDEX('AH History'!$F$1:$F$18046,AH!$P$7+1065))),NA()),NA())</ns0:f>
        <ns0:v/>
      </ns0:c>
      <ns0:c r="H1070">
        <ns0:f>IFERROR(IF(AND(AH!$E$4="Bloomberg",AH!$P$10=1,ISNUMBER($A1070),$A1070&lt;=AH!$P$17),AH!$P$7-1+MATCH($A1070,INDEX('AH History'!$A$1:$A$18046,AH!$P$7):INDEX('AH History'!$A$1:$A$18046,AH!$P$7+AH!$P$8-1),0),0),0)</ns0:f>
        <ns0:v/>
      </ns0:c>
      <ns0:c r="I1070">
        <ns0:f>IF($H1070=0,0,IFERROR(IF(AND(ABS($C1070-INDEX('AH History'!$B$1:$B$18046,$H1070))&lt;=MAX(0.005,ABS(INDEX('AH History'!$B$1:$B$18046,$H1070))*0.00005),ABS($D1070-INDEX('AH History'!$C$1:$C$18046,$H1070))&lt;=MAX(0.005,ABS(INDEX('AH History'!$C$1:$C$18046,$H1070))*0.00005),ABS($E1070-INDEX('AH History'!$D$1:$D$18046,$H1070))&lt;=0.00005,$F1070=INDEX('AH History'!$E$1:$E$18046,$H1070),$G1070=INDEX('AH History'!$F$1:$F$18046,$H1070)),1,-1),-1))</ns0:f>
        <ns0:v/>
      </ns0:c>
    </ns0:row>
    <ns0:row r="1071">
      <ns0:c r="A1071" s="215">
        <ns0:f>IF(OR(AH!$P$3=0,1066+1&gt;AH!$P$11,AND(AH!$E$4&lt;&gt;"Stored",AH!$P$10&lt;&gt;1)),"",IFERROR(IF(AND(AH!$P$21=1,1066+1=AH!$P$11),TODAY(),IF(AH!$P$10=1,INDEX('Live History'!$A$5:$A$3004,AH!$P$13+1066),INDEX('AH History'!$A$1:$A$18046,AH!$P$7+1066))),""))</ns0:f>
        <ns0:v/>
      </ns0:c>
      <ns0:c r="B1071" s="219">
        <ns0:f>IFERROR(IF(AND(AH!$P$9&lt;&gt;1,$C1071&gt;0,$D1071&gt;0,$E1071&gt;0,$F1071&gt;0,$G1071&gt;0,$F1071&lt;=$A1071,$G1071&lt;=$A1071,$A1071-$F1071&lt;=10,$A1071-$G1071&lt;=5),$D1071*$E1071/$C1071-1,NA()),NA())</ns0:f>
        <ns0:v/>
      </ns0:c>
      <ns0:c r="C1071">
        <ns0:f>IFERROR(IF(ISNUMBER($A1071),IF(AND(AH!$P$10=1,AH!$P$12=1,$A1071=TODAY()),AH!$P$19,IF(AH!$P$10=1,INDEX('Live History'!$B$5:$B$3004,AH!$P$13+1066),INDEX('AH History'!$B$1:$B$18046,AH!$P$7+1066))),NA()),NA())</ns0:f>
        <ns0:v/>
      </ns0:c>
      <ns0:c r="D1071">
        <ns0:f>IFERROR(IF(ISNUMBER($A1071),IF(AND(AH!$P$10=1,AH!$P$12=1,$A1071=TODAY()),AH!$P$18,IF(AH!$P$10=1,INDEX('Live History'!$E$5:$E$3004,MATCH($A1071,'Live History'!$D$5:$D$3004,1)),INDEX('AH History'!$C$1:$C$18046,AH!$P$7+1066))),NA()),NA())</ns0:f>
        <ns0:v/>
      </ns0:c>
      <ns0:c r="E1071">
        <ns0:f>IFERROR(IF(ISNUMBER($A1071),IF(AND(AH!$P$10=1,AH!$P$12=1,$A1071=TODAY()),AH!$P$20,IF(AH!$P$10=1,INDEX('Live History'!$H$5:$H$3004,MATCH($A1071,'Live History'!$G$5:$G$3004,1)),INDEX('AH History'!$D$1:$D$18046,AH!$P$7+1066))),NA()),NA())</ns0:f>
        <ns0:v/>
      </ns0:c>
      <ns0:c r="F1071">
        <ns0:f>IFERROR(IF(ISNUMBER($A1071),IF(AND(AH!$P$10=1,AH!$P$12=1,$A1071=TODAY()),IF(AND(AH!$P$10=1,AH!$P$12=1,$A1071=TODAY()),TODAY(),NA()),IF(AH!$P$10=1,INDEX('Live History'!$D$5:$D$3004,MATCH($A1071,'Live History'!$D$5:$D$3004,1)),INDEX('AH History'!$E$1:$E$18046,AH!$P$7+1066))),NA()),NA())</ns0:f>
        <ns0:v/>
      </ns0:c>
      <ns0:c r="G1071">
        <ns0:f>IFERROR(IF(ISNUMBER($A1071),IF(AND(AH!$P$10=1,AH!$P$12=1,$A1071=TODAY()),IF(AND(AH!$P$10=1,AH!$P$12=1,$A1071=TODAY()),TODAY(),NA()),IF(AH!$P$10=1,INDEX('Live History'!$G$5:$G$3004,MATCH($A1071,'Live History'!$G$5:$G$3004,1)),INDEX('AH History'!$F$1:$F$18046,AH!$P$7+1066))),NA()),NA())</ns0:f>
        <ns0:v/>
      </ns0:c>
      <ns0:c r="H1071">
        <ns0:f>IFERROR(IF(AND(AH!$E$4="Bloomberg",AH!$P$10=1,ISNUMBER($A1071),$A1071&lt;=AH!$P$17),AH!$P$7-1+MATCH($A1071,INDEX('AH History'!$A$1:$A$18046,AH!$P$7):INDEX('AH History'!$A$1:$A$18046,AH!$P$7+AH!$P$8-1),0),0),0)</ns0:f>
        <ns0:v/>
      </ns0:c>
      <ns0:c r="I1071">
        <ns0:f>IF($H1071=0,0,IFERROR(IF(AND(ABS($C1071-INDEX('AH History'!$B$1:$B$18046,$H1071))&lt;=MAX(0.005,ABS(INDEX('AH History'!$B$1:$B$18046,$H1071))*0.00005),ABS($D1071-INDEX('AH History'!$C$1:$C$18046,$H1071))&lt;=MAX(0.005,ABS(INDEX('AH History'!$C$1:$C$18046,$H1071))*0.00005),ABS($E1071-INDEX('AH History'!$D$1:$D$18046,$H1071))&lt;=0.00005,$F1071=INDEX('AH History'!$E$1:$E$18046,$H1071),$G1071=INDEX('AH History'!$F$1:$F$18046,$H1071)),1,-1),-1))</ns0:f>
        <ns0:v/>
      </ns0:c>
    </ns0:row>
    <ns0:row r="1072">
      <ns0:c r="A1072" s="215">
        <ns0:f>IF(OR(AH!$P$3=0,1067+1&gt;AH!$P$11,AND(AH!$E$4&lt;&gt;"Stored",AH!$P$10&lt;&gt;1)),"",IFERROR(IF(AND(AH!$P$21=1,1067+1=AH!$P$11),TODAY(),IF(AH!$P$10=1,INDEX('Live History'!$A$5:$A$3004,AH!$P$13+1067),INDEX('AH History'!$A$1:$A$18046,AH!$P$7+1067))),""))</ns0:f>
        <ns0:v/>
      </ns0:c>
      <ns0:c r="B1072" s="219">
        <ns0:f>IFERROR(IF(AND(AH!$P$9&lt;&gt;1,$C1072&gt;0,$D1072&gt;0,$E1072&gt;0,$F1072&gt;0,$G1072&gt;0,$F1072&lt;=$A1072,$G1072&lt;=$A1072,$A1072-$F1072&lt;=10,$A1072-$G1072&lt;=5),$D1072*$E1072/$C1072-1,NA()),NA())</ns0:f>
        <ns0:v/>
      </ns0:c>
      <ns0:c r="C1072">
        <ns0:f>IFERROR(IF(ISNUMBER($A1072),IF(AND(AH!$P$10=1,AH!$P$12=1,$A1072=TODAY()),AH!$P$19,IF(AH!$P$10=1,INDEX('Live History'!$B$5:$B$3004,AH!$P$13+1067),INDEX('AH History'!$B$1:$B$18046,AH!$P$7+1067))),NA()),NA())</ns0:f>
        <ns0:v/>
      </ns0:c>
      <ns0:c r="D1072">
        <ns0:f>IFERROR(IF(ISNUMBER($A1072),IF(AND(AH!$P$10=1,AH!$P$12=1,$A1072=TODAY()),AH!$P$18,IF(AH!$P$10=1,INDEX('Live History'!$E$5:$E$3004,MATCH($A1072,'Live History'!$D$5:$D$3004,1)),INDEX('AH History'!$C$1:$C$18046,AH!$P$7+1067))),NA()),NA())</ns0:f>
        <ns0:v/>
      </ns0:c>
      <ns0:c r="E1072">
        <ns0:f>IFERROR(IF(ISNUMBER($A1072),IF(AND(AH!$P$10=1,AH!$P$12=1,$A1072=TODAY()),AH!$P$20,IF(AH!$P$10=1,INDEX('Live History'!$H$5:$H$3004,MATCH($A1072,'Live History'!$G$5:$G$3004,1)),INDEX('AH History'!$D$1:$D$18046,AH!$P$7+1067))),NA()),NA())</ns0:f>
        <ns0:v/>
      </ns0:c>
      <ns0:c r="F1072">
        <ns0:f>IFERROR(IF(ISNUMBER($A1072),IF(AND(AH!$P$10=1,AH!$P$12=1,$A1072=TODAY()),IF(AND(AH!$P$10=1,AH!$P$12=1,$A1072=TODAY()),TODAY(),NA()),IF(AH!$P$10=1,INDEX('Live History'!$D$5:$D$3004,MATCH($A1072,'Live History'!$D$5:$D$3004,1)),INDEX('AH History'!$E$1:$E$18046,AH!$P$7+1067))),NA()),NA())</ns0:f>
        <ns0:v/>
      </ns0:c>
      <ns0:c r="G1072">
        <ns0:f>IFERROR(IF(ISNUMBER($A1072),IF(AND(AH!$P$10=1,AH!$P$12=1,$A1072=TODAY()),IF(AND(AH!$P$10=1,AH!$P$12=1,$A1072=TODAY()),TODAY(),NA()),IF(AH!$P$10=1,INDEX('Live History'!$G$5:$G$3004,MATCH($A1072,'Live History'!$G$5:$G$3004,1)),INDEX('AH History'!$F$1:$F$18046,AH!$P$7+1067))),NA()),NA())</ns0:f>
        <ns0:v/>
      </ns0:c>
      <ns0:c r="H1072">
        <ns0:f>IFERROR(IF(AND(AH!$E$4="Bloomberg",AH!$P$10=1,ISNUMBER($A1072),$A1072&lt;=AH!$P$17),AH!$P$7-1+MATCH($A1072,INDEX('AH History'!$A$1:$A$18046,AH!$P$7):INDEX('AH History'!$A$1:$A$18046,AH!$P$7+AH!$P$8-1),0),0),0)</ns0:f>
        <ns0:v/>
      </ns0:c>
      <ns0:c r="I1072">
        <ns0:f>IF($H1072=0,0,IFERROR(IF(AND(ABS($C1072-INDEX('AH History'!$B$1:$B$18046,$H1072))&lt;=MAX(0.005,ABS(INDEX('AH History'!$B$1:$B$18046,$H1072))*0.00005),ABS($D1072-INDEX('AH History'!$C$1:$C$18046,$H1072))&lt;=MAX(0.005,ABS(INDEX('AH History'!$C$1:$C$18046,$H1072))*0.00005),ABS($E1072-INDEX('AH History'!$D$1:$D$18046,$H1072))&lt;=0.00005,$F1072=INDEX('AH History'!$E$1:$E$18046,$H1072),$G1072=INDEX('AH History'!$F$1:$F$18046,$H1072)),1,-1),-1))</ns0:f>
        <ns0:v/>
      </ns0:c>
    </ns0:row>
    <ns0:row r="1073">
      <ns0:c r="A1073" s="215">
        <ns0:f>IF(OR(AH!$P$3=0,1068+1&gt;AH!$P$11,AND(AH!$E$4&lt;&gt;"Stored",AH!$P$10&lt;&gt;1)),"",IFERROR(IF(AND(AH!$P$21=1,1068+1=AH!$P$11),TODAY(),IF(AH!$P$10=1,INDEX('Live History'!$A$5:$A$3004,AH!$P$13+1068),INDEX('AH History'!$A$1:$A$18046,AH!$P$7+1068))),""))</ns0:f>
        <ns0:v/>
      </ns0:c>
      <ns0:c r="B1073" s="219">
        <ns0:f>IFERROR(IF(AND(AH!$P$9&lt;&gt;1,$C1073&gt;0,$D1073&gt;0,$E1073&gt;0,$F1073&gt;0,$G1073&gt;0,$F1073&lt;=$A1073,$G1073&lt;=$A1073,$A1073-$F1073&lt;=10,$A1073-$G1073&lt;=5),$D1073*$E1073/$C1073-1,NA()),NA())</ns0:f>
        <ns0:v/>
      </ns0:c>
      <ns0:c r="C1073">
        <ns0:f>IFERROR(IF(ISNUMBER($A1073),IF(AND(AH!$P$10=1,AH!$P$12=1,$A1073=TODAY()),AH!$P$19,IF(AH!$P$10=1,INDEX('Live History'!$B$5:$B$3004,AH!$P$13+1068),INDEX('AH History'!$B$1:$B$18046,AH!$P$7+1068))),NA()),NA())</ns0:f>
        <ns0:v/>
      </ns0:c>
      <ns0:c r="D1073">
        <ns0:f>IFERROR(IF(ISNUMBER($A1073),IF(AND(AH!$P$10=1,AH!$P$12=1,$A1073=TODAY()),AH!$P$18,IF(AH!$P$10=1,INDEX('Live History'!$E$5:$E$3004,MATCH($A1073,'Live History'!$D$5:$D$3004,1)),INDEX('AH History'!$C$1:$C$18046,AH!$P$7+1068))),NA()),NA())</ns0:f>
        <ns0:v/>
      </ns0:c>
      <ns0:c r="E1073">
        <ns0:f>IFERROR(IF(ISNUMBER($A1073),IF(AND(AH!$P$10=1,AH!$P$12=1,$A1073=TODAY()),AH!$P$20,IF(AH!$P$10=1,INDEX('Live History'!$H$5:$H$3004,MATCH($A1073,'Live History'!$G$5:$G$3004,1)),INDEX('AH History'!$D$1:$D$18046,AH!$P$7+1068))),NA()),NA())</ns0:f>
        <ns0:v/>
      </ns0:c>
      <ns0:c r="F1073">
        <ns0:f>IFERROR(IF(ISNUMBER($A1073),IF(AND(AH!$P$10=1,AH!$P$12=1,$A1073=TODAY()),IF(AND(AH!$P$10=1,AH!$P$12=1,$A1073=TODAY()),TODAY(),NA()),IF(AH!$P$10=1,INDEX('Live History'!$D$5:$D$3004,MATCH($A1073,'Live History'!$D$5:$D$3004,1)),INDEX('AH History'!$E$1:$E$18046,AH!$P$7+1068))),NA()),NA())</ns0:f>
        <ns0:v/>
      </ns0:c>
      <ns0:c r="G1073">
        <ns0:f>IFERROR(IF(ISNUMBER($A1073),IF(AND(AH!$P$10=1,AH!$P$12=1,$A1073=TODAY()),IF(AND(AH!$P$10=1,AH!$P$12=1,$A1073=TODAY()),TODAY(),NA()),IF(AH!$P$10=1,INDEX('Live History'!$G$5:$G$3004,MATCH($A1073,'Live History'!$G$5:$G$3004,1)),INDEX('AH History'!$F$1:$F$18046,AH!$P$7+1068))),NA()),NA())</ns0:f>
        <ns0:v/>
      </ns0:c>
      <ns0:c r="H1073">
        <ns0:f>IFERROR(IF(AND(AH!$E$4="Bloomberg",AH!$P$10=1,ISNUMBER($A1073),$A1073&lt;=AH!$P$17),AH!$P$7-1+MATCH($A1073,INDEX('AH History'!$A$1:$A$18046,AH!$P$7):INDEX('AH History'!$A$1:$A$18046,AH!$P$7+AH!$P$8-1),0),0),0)</ns0:f>
        <ns0:v/>
      </ns0:c>
      <ns0:c r="I1073">
        <ns0:f>IF($H1073=0,0,IFERROR(IF(AND(ABS($C1073-INDEX('AH History'!$B$1:$B$18046,$H1073))&lt;=MAX(0.005,ABS(INDEX('AH History'!$B$1:$B$18046,$H1073))*0.00005),ABS($D1073-INDEX('AH History'!$C$1:$C$18046,$H1073))&lt;=MAX(0.005,ABS(INDEX('AH History'!$C$1:$C$18046,$H1073))*0.00005),ABS($E1073-INDEX('AH History'!$D$1:$D$18046,$H1073))&lt;=0.00005,$F1073=INDEX('AH History'!$E$1:$E$18046,$H1073),$G1073=INDEX('AH History'!$F$1:$F$18046,$H1073)),1,-1),-1))</ns0:f>
        <ns0:v/>
      </ns0:c>
    </ns0:row>
    <ns0:row r="1074">
      <ns0:c r="A1074" s="215">
        <ns0:f>IF(OR(AH!$P$3=0,1069+1&gt;AH!$P$11,AND(AH!$E$4&lt;&gt;"Stored",AH!$P$10&lt;&gt;1)),"",IFERROR(IF(AND(AH!$P$21=1,1069+1=AH!$P$11),TODAY(),IF(AH!$P$10=1,INDEX('Live History'!$A$5:$A$3004,AH!$P$13+1069),INDEX('AH History'!$A$1:$A$18046,AH!$P$7+1069))),""))</ns0:f>
        <ns0:v/>
      </ns0:c>
      <ns0:c r="B1074" s="219">
        <ns0:f>IFERROR(IF(AND(AH!$P$9&lt;&gt;1,$C1074&gt;0,$D1074&gt;0,$E1074&gt;0,$F1074&gt;0,$G1074&gt;0,$F1074&lt;=$A1074,$G1074&lt;=$A1074,$A1074-$F1074&lt;=10,$A1074-$G1074&lt;=5),$D1074*$E1074/$C1074-1,NA()),NA())</ns0:f>
        <ns0:v/>
      </ns0:c>
      <ns0:c r="C1074">
        <ns0:f>IFERROR(IF(ISNUMBER($A1074),IF(AND(AH!$P$10=1,AH!$P$12=1,$A1074=TODAY()),AH!$P$19,IF(AH!$P$10=1,INDEX('Live History'!$B$5:$B$3004,AH!$P$13+1069),INDEX('AH History'!$B$1:$B$18046,AH!$P$7+1069))),NA()),NA())</ns0:f>
        <ns0:v/>
      </ns0:c>
      <ns0:c r="D1074">
        <ns0:f>IFERROR(IF(ISNUMBER($A1074),IF(AND(AH!$P$10=1,AH!$P$12=1,$A1074=TODAY()),AH!$P$18,IF(AH!$P$10=1,INDEX('Live History'!$E$5:$E$3004,MATCH($A1074,'Live History'!$D$5:$D$3004,1)),INDEX('AH History'!$C$1:$C$18046,AH!$P$7+1069))),NA()),NA())</ns0:f>
        <ns0:v/>
      </ns0:c>
      <ns0:c r="E1074">
        <ns0:f>IFERROR(IF(ISNUMBER($A1074),IF(AND(AH!$P$10=1,AH!$P$12=1,$A1074=TODAY()),AH!$P$20,IF(AH!$P$10=1,INDEX('Live History'!$H$5:$H$3004,MATCH($A1074,'Live History'!$G$5:$G$3004,1)),INDEX('AH History'!$D$1:$D$18046,AH!$P$7+1069))),NA()),NA())</ns0:f>
        <ns0:v/>
      </ns0:c>
      <ns0:c r="F1074">
        <ns0:f>IFERROR(IF(ISNUMBER($A1074),IF(AND(AH!$P$10=1,AH!$P$12=1,$A1074=TODAY()),IF(AND(AH!$P$10=1,AH!$P$12=1,$A1074=TODAY()),TODAY(),NA()),IF(AH!$P$10=1,INDEX('Live History'!$D$5:$D$3004,MATCH($A1074,'Live History'!$D$5:$D$3004,1)),INDEX('AH History'!$E$1:$E$18046,AH!$P$7+1069))),NA()),NA())</ns0:f>
        <ns0:v/>
      </ns0:c>
      <ns0:c r="G1074">
        <ns0:f>IFERROR(IF(ISNUMBER($A1074),IF(AND(AH!$P$10=1,AH!$P$12=1,$A1074=TODAY()),IF(AND(AH!$P$10=1,AH!$P$12=1,$A1074=TODAY()),TODAY(),NA()),IF(AH!$P$10=1,INDEX('Live History'!$G$5:$G$3004,MATCH($A1074,'Live History'!$G$5:$G$3004,1)),INDEX('AH History'!$F$1:$F$18046,AH!$P$7+1069))),NA()),NA())</ns0:f>
        <ns0:v/>
      </ns0:c>
      <ns0:c r="H1074">
        <ns0:f>IFERROR(IF(AND(AH!$E$4="Bloomberg",AH!$P$10=1,ISNUMBER($A1074),$A1074&lt;=AH!$P$17),AH!$P$7-1+MATCH($A1074,INDEX('AH History'!$A$1:$A$18046,AH!$P$7):INDEX('AH History'!$A$1:$A$18046,AH!$P$7+AH!$P$8-1),0),0),0)</ns0:f>
        <ns0:v/>
      </ns0:c>
      <ns0:c r="I1074">
        <ns0:f>IF($H1074=0,0,IFERROR(IF(AND(ABS($C1074-INDEX('AH History'!$B$1:$B$18046,$H1074))&lt;=MAX(0.005,ABS(INDEX('AH History'!$B$1:$B$18046,$H1074))*0.00005),ABS($D1074-INDEX('AH History'!$C$1:$C$18046,$H1074))&lt;=MAX(0.005,ABS(INDEX('AH History'!$C$1:$C$18046,$H1074))*0.00005),ABS($E1074-INDEX('AH History'!$D$1:$D$18046,$H1074))&lt;=0.00005,$F1074=INDEX('AH History'!$E$1:$E$18046,$H1074),$G1074=INDEX('AH History'!$F$1:$F$18046,$H1074)),1,-1),-1))</ns0:f>
        <ns0:v/>
      </ns0:c>
    </ns0:row>
    <ns0:row r="1075">
      <ns0:c r="A1075" s="215">
        <ns0:f>IF(OR(AH!$P$3=0,1070+1&gt;AH!$P$11,AND(AH!$E$4&lt;&gt;"Stored",AH!$P$10&lt;&gt;1)),"",IFERROR(IF(AND(AH!$P$21=1,1070+1=AH!$P$11),TODAY(),IF(AH!$P$10=1,INDEX('Live History'!$A$5:$A$3004,AH!$P$13+1070),INDEX('AH History'!$A$1:$A$18046,AH!$P$7+1070))),""))</ns0:f>
        <ns0:v/>
      </ns0:c>
      <ns0:c r="B1075" s="219">
        <ns0:f>IFERROR(IF(AND(AH!$P$9&lt;&gt;1,$C1075&gt;0,$D1075&gt;0,$E1075&gt;0,$F1075&gt;0,$G1075&gt;0,$F1075&lt;=$A1075,$G1075&lt;=$A1075,$A1075-$F1075&lt;=10,$A1075-$G1075&lt;=5),$D1075*$E1075/$C1075-1,NA()),NA())</ns0:f>
        <ns0:v/>
      </ns0:c>
      <ns0:c r="C1075">
        <ns0:f>IFERROR(IF(ISNUMBER($A1075),IF(AND(AH!$P$10=1,AH!$P$12=1,$A1075=TODAY()),AH!$P$19,IF(AH!$P$10=1,INDEX('Live History'!$B$5:$B$3004,AH!$P$13+1070),INDEX('AH History'!$B$1:$B$18046,AH!$P$7+1070))),NA()),NA())</ns0:f>
        <ns0:v/>
      </ns0:c>
      <ns0:c r="D1075">
        <ns0:f>IFERROR(IF(ISNUMBER($A1075),IF(AND(AH!$P$10=1,AH!$P$12=1,$A1075=TODAY()),AH!$P$18,IF(AH!$P$10=1,INDEX('Live History'!$E$5:$E$3004,MATCH($A1075,'Live History'!$D$5:$D$3004,1)),INDEX('AH History'!$C$1:$C$18046,AH!$P$7+1070))),NA()),NA())</ns0:f>
        <ns0:v/>
      </ns0:c>
      <ns0:c r="E1075">
        <ns0:f>IFERROR(IF(ISNUMBER($A1075),IF(AND(AH!$P$10=1,AH!$P$12=1,$A1075=TODAY()),AH!$P$20,IF(AH!$P$10=1,INDEX('Live History'!$H$5:$H$3004,MATCH($A1075,'Live History'!$G$5:$G$3004,1)),INDEX('AH History'!$D$1:$D$18046,AH!$P$7+1070))),NA()),NA())</ns0:f>
        <ns0:v/>
      </ns0:c>
      <ns0:c r="F1075">
        <ns0:f>IFERROR(IF(ISNUMBER($A1075),IF(AND(AH!$P$10=1,AH!$P$12=1,$A1075=TODAY()),IF(AND(AH!$P$10=1,AH!$P$12=1,$A1075=TODAY()),TODAY(),NA()),IF(AH!$P$10=1,INDEX('Live History'!$D$5:$D$3004,MATCH($A1075,'Live History'!$D$5:$D$3004,1)),INDEX('AH History'!$E$1:$E$18046,AH!$P$7+1070))),NA()),NA())</ns0:f>
        <ns0:v/>
      </ns0:c>
      <ns0:c r="G1075">
        <ns0:f>IFERROR(IF(ISNUMBER($A1075),IF(AND(AH!$P$10=1,AH!$P$12=1,$A1075=TODAY()),IF(AND(AH!$P$10=1,AH!$P$12=1,$A1075=TODAY()),TODAY(),NA()),IF(AH!$P$10=1,INDEX('Live History'!$G$5:$G$3004,MATCH($A1075,'Live History'!$G$5:$G$3004,1)),INDEX('AH History'!$F$1:$F$18046,AH!$P$7+1070))),NA()),NA())</ns0:f>
        <ns0:v/>
      </ns0:c>
      <ns0:c r="H1075">
        <ns0:f>IFERROR(IF(AND(AH!$E$4="Bloomberg",AH!$P$10=1,ISNUMBER($A1075),$A1075&lt;=AH!$P$17),AH!$P$7-1+MATCH($A1075,INDEX('AH History'!$A$1:$A$18046,AH!$P$7):INDEX('AH History'!$A$1:$A$18046,AH!$P$7+AH!$P$8-1),0),0),0)</ns0:f>
        <ns0:v/>
      </ns0:c>
      <ns0:c r="I1075">
        <ns0:f>IF($H1075=0,0,IFERROR(IF(AND(ABS($C1075-INDEX('AH History'!$B$1:$B$18046,$H1075))&lt;=MAX(0.005,ABS(INDEX('AH History'!$B$1:$B$18046,$H1075))*0.00005),ABS($D1075-INDEX('AH History'!$C$1:$C$18046,$H1075))&lt;=MAX(0.005,ABS(INDEX('AH History'!$C$1:$C$18046,$H1075))*0.00005),ABS($E1075-INDEX('AH History'!$D$1:$D$18046,$H1075))&lt;=0.00005,$F1075=INDEX('AH History'!$E$1:$E$18046,$H1075),$G1075=INDEX('AH History'!$F$1:$F$18046,$H1075)),1,-1),-1))</ns0:f>
        <ns0:v/>
      </ns0:c>
    </ns0:row>
    <ns0:row r="1076">
      <ns0:c r="A1076" s="215">
        <ns0:f>IF(OR(AH!$P$3=0,1071+1&gt;AH!$P$11,AND(AH!$E$4&lt;&gt;"Stored",AH!$P$10&lt;&gt;1)),"",IFERROR(IF(AND(AH!$P$21=1,1071+1=AH!$P$11),TODAY(),IF(AH!$P$10=1,INDEX('Live History'!$A$5:$A$3004,AH!$P$13+1071),INDEX('AH History'!$A$1:$A$18046,AH!$P$7+1071))),""))</ns0:f>
        <ns0:v/>
      </ns0:c>
      <ns0:c r="B1076" s="219">
        <ns0:f>IFERROR(IF(AND(AH!$P$9&lt;&gt;1,$C1076&gt;0,$D1076&gt;0,$E1076&gt;0,$F1076&gt;0,$G1076&gt;0,$F1076&lt;=$A1076,$G1076&lt;=$A1076,$A1076-$F1076&lt;=10,$A1076-$G1076&lt;=5),$D1076*$E1076/$C1076-1,NA()),NA())</ns0:f>
        <ns0:v/>
      </ns0:c>
      <ns0:c r="C1076">
        <ns0:f>IFERROR(IF(ISNUMBER($A1076),IF(AND(AH!$P$10=1,AH!$P$12=1,$A1076=TODAY()),AH!$P$19,IF(AH!$P$10=1,INDEX('Live History'!$B$5:$B$3004,AH!$P$13+1071),INDEX('AH History'!$B$1:$B$18046,AH!$P$7+1071))),NA()),NA())</ns0:f>
        <ns0:v/>
      </ns0:c>
      <ns0:c r="D1076">
        <ns0:f>IFERROR(IF(ISNUMBER($A1076),IF(AND(AH!$P$10=1,AH!$P$12=1,$A1076=TODAY()),AH!$P$18,IF(AH!$P$10=1,INDEX('Live History'!$E$5:$E$3004,MATCH($A1076,'Live History'!$D$5:$D$3004,1)),INDEX('AH History'!$C$1:$C$18046,AH!$P$7+1071))),NA()),NA())</ns0:f>
        <ns0:v/>
      </ns0:c>
      <ns0:c r="E1076">
        <ns0:f>IFERROR(IF(ISNUMBER($A1076),IF(AND(AH!$P$10=1,AH!$P$12=1,$A1076=TODAY()),AH!$P$20,IF(AH!$P$10=1,INDEX('Live History'!$H$5:$H$3004,MATCH($A1076,'Live History'!$G$5:$G$3004,1)),INDEX('AH History'!$D$1:$D$18046,AH!$P$7+1071))),NA()),NA())</ns0:f>
        <ns0:v/>
      </ns0:c>
      <ns0:c r="F1076">
        <ns0:f>IFERROR(IF(ISNUMBER($A1076),IF(AND(AH!$P$10=1,AH!$P$12=1,$A1076=TODAY()),IF(AND(AH!$P$10=1,AH!$P$12=1,$A1076=TODAY()),TODAY(),NA()),IF(AH!$P$10=1,INDEX('Live History'!$D$5:$D$3004,MATCH($A1076,'Live History'!$D$5:$D$3004,1)),INDEX('AH History'!$E$1:$E$18046,AH!$P$7+1071))),NA()),NA())</ns0:f>
        <ns0:v/>
      </ns0:c>
      <ns0:c r="G1076">
        <ns0:f>IFERROR(IF(ISNUMBER($A1076),IF(AND(AH!$P$10=1,AH!$P$12=1,$A1076=TODAY()),IF(AND(AH!$P$10=1,AH!$P$12=1,$A1076=TODAY()),TODAY(),NA()),IF(AH!$P$10=1,INDEX('Live History'!$G$5:$G$3004,MATCH($A1076,'Live History'!$G$5:$G$3004,1)),INDEX('AH History'!$F$1:$F$18046,AH!$P$7+1071))),NA()),NA())</ns0:f>
        <ns0:v/>
      </ns0:c>
      <ns0:c r="H1076">
        <ns0:f>IFERROR(IF(AND(AH!$E$4="Bloomberg",AH!$P$10=1,ISNUMBER($A1076),$A1076&lt;=AH!$P$17),AH!$P$7-1+MATCH($A1076,INDEX('AH History'!$A$1:$A$18046,AH!$P$7):INDEX('AH History'!$A$1:$A$18046,AH!$P$7+AH!$P$8-1),0),0),0)</ns0:f>
        <ns0:v/>
      </ns0:c>
      <ns0:c r="I1076">
        <ns0:f>IF($H1076=0,0,IFERROR(IF(AND(ABS($C1076-INDEX('AH History'!$B$1:$B$18046,$H1076))&lt;=MAX(0.005,ABS(INDEX('AH History'!$B$1:$B$18046,$H1076))*0.00005),ABS($D1076-INDEX('AH History'!$C$1:$C$18046,$H1076))&lt;=MAX(0.005,ABS(INDEX('AH History'!$C$1:$C$18046,$H1076))*0.00005),ABS($E1076-INDEX('AH History'!$D$1:$D$18046,$H1076))&lt;=0.00005,$F1076=INDEX('AH History'!$E$1:$E$18046,$H1076),$G1076=INDEX('AH History'!$F$1:$F$18046,$H1076)),1,-1),-1))</ns0:f>
        <ns0:v/>
      </ns0:c>
    </ns0:row>
    <ns0:row r="1077">
      <ns0:c r="A1077" s="215">
        <ns0:f>IF(OR(AH!$P$3=0,1072+1&gt;AH!$P$11,AND(AH!$E$4&lt;&gt;"Stored",AH!$P$10&lt;&gt;1)),"",IFERROR(IF(AND(AH!$P$21=1,1072+1=AH!$P$11),TODAY(),IF(AH!$P$10=1,INDEX('Live History'!$A$5:$A$3004,AH!$P$13+1072),INDEX('AH History'!$A$1:$A$18046,AH!$P$7+1072))),""))</ns0:f>
        <ns0:v/>
      </ns0:c>
      <ns0:c r="B1077" s="219">
        <ns0:f>IFERROR(IF(AND(AH!$P$9&lt;&gt;1,$C1077&gt;0,$D1077&gt;0,$E1077&gt;0,$F1077&gt;0,$G1077&gt;0,$F1077&lt;=$A1077,$G1077&lt;=$A1077,$A1077-$F1077&lt;=10,$A1077-$G1077&lt;=5),$D1077*$E1077/$C1077-1,NA()),NA())</ns0:f>
        <ns0:v/>
      </ns0:c>
      <ns0:c r="C1077">
        <ns0:f>IFERROR(IF(ISNUMBER($A1077),IF(AND(AH!$P$10=1,AH!$P$12=1,$A1077=TODAY()),AH!$P$19,IF(AH!$P$10=1,INDEX('Live History'!$B$5:$B$3004,AH!$P$13+1072),INDEX('AH History'!$B$1:$B$18046,AH!$P$7+1072))),NA()),NA())</ns0:f>
        <ns0:v/>
      </ns0:c>
      <ns0:c r="D1077">
        <ns0:f>IFERROR(IF(ISNUMBER($A1077),IF(AND(AH!$P$10=1,AH!$P$12=1,$A1077=TODAY()),AH!$P$18,IF(AH!$P$10=1,INDEX('Live History'!$E$5:$E$3004,MATCH($A1077,'Live History'!$D$5:$D$3004,1)),INDEX('AH History'!$C$1:$C$18046,AH!$P$7+1072))),NA()),NA())</ns0:f>
        <ns0:v/>
      </ns0:c>
      <ns0:c r="E1077">
        <ns0:f>IFERROR(IF(ISNUMBER($A1077),IF(AND(AH!$P$10=1,AH!$P$12=1,$A1077=TODAY()),AH!$P$20,IF(AH!$P$10=1,INDEX('Live History'!$H$5:$H$3004,MATCH($A1077,'Live History'!$G$5:$G$3004,1)),INDEX('AH History'!$D$1:$D$18046,AH!$P$7+1072))),NA()),NA())</ns0:f>
        <ns0:v/>
      </ns0:c>
      <ns0:c r="F1077">
        <ns0:f>IFERROR(IF(ISNUMBER($A1077),IF(AND(AH!$P$10=1,AH!$P$12=1,$A1077=TODAY()),IF(AND(AH!$P$10=1,AH!$P$12=1,$A1077=TODAY()),TODAY(),NA()),IF(AH!$P$10=1,INDEX('Live History'!$D$5:$D$3004,MATCH($A1077,'Live History'!$D$5:$D$3004,1)),INDEX('AH History'!$E$1:$E$18046,AH!$P$7+1072))),NA()),NA())</ns0:f>
        <ns0:v/>
      </ns0:c>
      <ns0:c r="G1077">
        <ns0:f>IFERROR(IF(ISNUMBER($A1077),IF(AND(AH!$P$10=1,AH!$P$12=1,$A1077=TODAY()),IF(AND(AH!$P$10=1,AH!$P$12=1,$A1077=TODAY()),TODAY(),NA()),IF(AH!$P$10=1,INDEX('Live History'!$G$5:$G$3004,MATCH($A1077,'Live History'!$G$5:$G$3004,1)),INDEX('AH History'!$F$1:$F$18046,AH!$P$7+1072))),NA()),NA())</ns0:f>
        <ns0:v/>
      </ns0:c>
      <ns0:c r="H1077">
        <ns0:f>IFERROR(IF(AND(AH!$E$4="Bloomberg",AH!$P$10=1,ISNUMBER($A1077),$A1077&lt;=AH!$P$17),AH!$P$7-1+MATCH($A1077,INDEX('AH History'!$A$1:$A$18046,AH!$P$7):INDEX('AH History'!$A$1:$A$18046,AH!$P$7+AH!$P$8-1),0),0),0)</ns0:f>
        <ns0:v/>
      </ns0:c>
      <ns0:c r="I1077">
        <ns0:f>IF($H1077=0,0,IFERROR(IF(AND(ABS($C1077-INDEX('AH History'!$B$1:$B$18046,$H1077))&lt;=MAX(0.005,ABS(INDEX('AH History'!$B$1:$B$18046,$H1077))*0.00005),ABS($D1077-INDEX('AH History'!$C$1:$C$18046,$H1077))&lt;=MAX(0.005,ABS(INDEX('AH History'!$C$1:$C$18046,$H1077))*0.00005),ABS($E1077-INDEX('AH History'!$D$1:$D$18046,$H1077))&lt;=0.00005,$F1077=INDEX('AH History'!$E$1:$E$18046,$H1077),$G1077=INDEX('AH History'!$F$1:$F$18046,$H1077)),1,-1),-1))</ns0:f>
        <ns0:v/>
      </ns0:c>
    </ns0:row>
    <ns0:row r="1078">
      <ns0:c r="A1078" s="215">
        <ns0:f>IF(OR(AH!$P$3=0,1073+1&gt;AH!$P$11,AND(AH!$E$4&lt;&gt;"Stored",AH!$P$10&lt;&gt;1)),"",IFERROR(IF(AND(AH!$P$21=1,1073+1=AH!$P$11),TODAY(),IF(AH!$P$10=1,INDEX('Live History'!$A$5:$A$3004,AH!$P$13+1073),INDEX('AH History'!$A$1:$A$18046,AH!$P$7+1073))),""))</ns0:f>
        <ns0:v/>
      </ns0:c>
      <ns0:c r="B1078" s="219">
        <ns0:f>IFERROR(IF(AND(AH!$P$9&lt;&gt;1,$C1078&gt;0,$D1078&gt;0,$E1078&gt;0,$F1078&gt;0,$G1078&gt;0,$F1078&lt;=$A1078,$G1078&lt;=$A1078,$A1078-$F1078&lt;=10,$A1078-$G1078&lt;=5),$D1078*$E1078/$C1078-1,NA()),NA())</ns0:f>
        <ns0:v/>
      </ns0:c>
      <ns0:c r="C1078">
        <ns0:f>IFERROR(IF(ISNUMBER($A1078),IF(AND(AH!$P$10=1,AH!$P$12=1,$A1078=TODAY()),AH!$P$19,IF(AH!$P$10=1,INDEX('Live History'!$B$5:$B$3004,AH!$P$13+1073),INDEX('AH History'!$B$1:$B$18046,AH!$P$7+1073))),NA()),NA())</ns0:f>
        <ns0:v/>
      </ns0:c>
      <ns0:c r="D1078">
        <ns0:f>IFERROR(IF(ISNUMBER($A1078),IF(AND(AH!$P$10=1,AH!$P$12=1,$A1078=TODAY()),AH!$P$18,IF(AH!$P$10=1,INDEX('Live History'!$E$5:$E$3004,MATCH($A1078,'Live History'!$D$5:$D$3004,1)),INDEX('AH History'!$C$1:$C$18046,AH!$P$7+1073))),NA()),NA())</ns0:f>
        <ns0:v/>
      </ns0:c>
      <ns0:c r="E1078">
        <ns0:f>IFERROR(IF(ISNUMBER($A1078),IF(AND(AH!$P$10=1,AH!$P$12=1,$A1078=TODAY()),AH!$P$20,IF(AH!$P$10=1,INDEX('Live History'!$H$5:$H$3004,MATCH($A1078,'Live History'!$G$5:$G$3004,1)),INDEX('AH History'!$D$1:$D$18046,AH!$P$7+1073))),NA()),NA())</ns0:f>
        <ns0:v/>
      </ns0:c>
      <ns0:c r="F1078">
        <ns0:f>IFERROR(IF(ISNUMBER($A1078),IF(AND(AH!$P$10=1,AH!$P$12=1,$A1078=TODAY()),IF(AND(AH!$P$10=1,AH!$P$12=1,$A1078=TODAY()),TODAY(),NA()),IF(AH!$P$10=1,INDEX('Live History'!$D$5:$D$3004,MATCH($A1078,'Live History'!$D$5:$D$3004,1)),INDEX('AH History'!$E$1:$E$18046,AH!$P$7+1073))),NA()),NA())</ns0:f>
        <ns0:v/>
      </ns0:c>
      <ns0:c r="G1078">
        <ns0:f>IFERROR(IF(ISNUMBER($A1078),IF(AND(AH!$P$10=1,AH!$P$12=1,$A1078=TODAY()),IF(AND(AH!$P$10=1,AH!$P$12=1,$A1078=TODAY()),TODAY(),NA()),IF(AH!$P$10=1,INDEX('Live History'!$G$5:$G$3004,MATCH($A1078,'Live History'!$G$5:$G$3004,1)),INDEX('AH History'!$F$1:$F$18046,AH!$P$7+1073))),NA()),NA())</ns0:f>
        <ns0:v/>
      </ns0:c>
      <ns0:c r="H1078">
        <ns0:f>IFERROR(IF(AND(AH!$E$4="Bloomberg",AH!$P$10=1,ISNUMBER($A1078),$A1078&lt;=AH!$P$17),AH!$P$7-1+MATCH($A1078,INDEX('AH History'!$A$1:$A$18046,AH!$P$7):INDEX('AH History'!$A$1:$A$18046,AH!$P$7+AH!$P$8-1),0),0),0)</ns0:f>
        <ns0:v/>
      </ns0:c>
      <ns0:c r="I1078">
        <ns0:f>IF($H1078=0,0,IFERROR(IF(AND(ABS($C1078-INDEX('AH History'!$B$1:$B$18046,$H1078))&lt;=MAX(0.005,ABS(INDEX('AH History'!$B$1:$B$18046,$H1078))*0.00005),ABS($D1078-INDEX('AH History'!$C$1:$C$18046,$H1078))&lt;=MAX(0.005,ABS(INDEX('AH History'!$C$1:$C$18046,$H1078))*0.00005),ABS($E1078-INDEX('AH History'!$D$1:$D$18046,$H1078))&lt;=0.00005,$F1078=INDEX('AH History'!$E$1:$E$18046,$H1078),$G1078=INDEX('AH History'!$F$1:$F$18046,$H1078)),1,-1),-1))</ns0:f>
        <ns0:v/>
      </ns0:c>
    </ns0:row>
    <ns0:row r="1079">
      <ns0:c r="A1079" s="215">
        <ns0:f>IF(OR(AH!$P$3=0,1074+1&gt;AH!$P$11,AND(AH!$E$4&lt;&gt;"Stored",AH!$P$10&lt;&gt;1)),"",IFERROR(IF(AND(AH!$P$21=1,1074+1=AH!$P$11),TODAY(),IF(AH!$P$10=1,INDEX('Live History'!$A$5:$A$3004,AH!$P$13+1074),INDEX('AH History'!$A$1:$A$18046,AH!$P$7+1074))),""))</ns0:f>
        <ns0:v/>
      </ns0:c>
      <ns0:c r="B1079" s="219">
        <ns0:f>IFERROR(IF(AND(AH!$P$9&lt;&gt;1,$C1079&gt;0,$D1079&gt;0,$E1079&gt;0,$F1079&gt;0,$G1079&gt;0,$F1079&lt;=$A1079,$G1079&lt;=$A1079,$A1079-$F1079&lt;=10,$A1079-$G1079&lt;=5),$D1079*$E1079/$C1079-1,NA()),NA())</ns0:f>
        <ns0:v/>
      </ns0:c>
      <ns0:c r="C1079">
        <ns0:f>IFERROR(IF(ISNUMBER($A1079),IF(AND(AH!$P$10=1,AH!$P$12=1,$A1079=TODAY()),AH!$P$19,IF(AH!$P$10=1,INDEX('Live History'!$B$5:$B$3004,AH!$P$13+1074),INDEX('AH History'!$B$1:$B$18046,AH!$P$7+1074))),NA()),NA())</ns0:f>
        <ns0:v/>
      </ns0:c>
      <ns0:c r="D1079">
        <ns0:f>IFERROR(IF(ISNUMBER($A1079),IF(AND(AH!$P$10=1,AH!$P$12=1,$A1079=TODAY()),AH!$P$18,IF(AH!$P$10=1,INDEX('Live History'!$E$5:$E$3004,MATCH($A1079,'Live History'!$D$5:$D$3004,1)),INDEX('AH History'!$C$1:$C$18046,AH!$P$7+1074))),NA()),NA())</ns0:f>
        <ns0:v/>
      </ns0:c>
      <ns0:c r="E1079">
        <ns0:f>IFERROR(IF(ISNUMBER($A1079),IF(AND(AH!$P$10=1,AH!$P$12=1,$A1079=TODAY()),AH!$P$20,IF(AH!$P$10=1,INDEX('Live History'!$H$5:$H$3004,MATCH($A1079,'Live History'!$G$5:$G$3004,1)),INDEX('AH History'!$D$1:$D$18046,AH!$P$7+1074))),NA()),NA())</ns0:f>
        <ns0:v/>
      </ns0:c>
      <ns0:c r="F1079">
        <ns0:f>IFERROR(IF(ISNUMBER($A1079),IF(AND(AH!$P$10=1,AH!$P$12=1,$A1079=TODAY()),IF(AND(AH!$P$10=1,AH!$P$12=1,$A1079=TODAY()),TODAY(),NA()),IF(AH!$P$10=1,INDEX('Live History'!$D$5:$D$3004,MATCH($A1079,'Live History'!$D$5:$D$3004,1)),INDEX('AH History'!$E$1:$E$18046,AH!$P$7+1074))),NA()),NA())</ns0:f>
        <ns0:v/>
      </ns0:c>
      <ns0:c r="G1079">
        <ns0:f>IFERROR(IF(ISNUMBER($A1079),IF(AND(AH!$P$10=1,AH!$P$12=1,$A1079=TODAY()),IF(AND(AH!$P$10=1,AH!$P$12=1,$A1079=TODAY()),TODAY(),NA()),IF(AH!$P$10=1,INDEX('Live History'!$G$5:$G$3004,MATCH($A1079,'Live History'!$G$5:$G$3004,1)),INDEX('AH History'!$F$1:$F$18046,AH!$P$7+1074))),NA()),NA())</ns0:f>
        <ns0:v/>
      </ns0:c>
      <ns0:c r="H1079">
        <ns0:f>IFERROR(IF(AND(AH!$E$4="Bloomberg",AH!$P$10=1,ISNUMBER($A1079),$A1079&lt;=AH!$P$17),AH!$P$7-1+MATCH($A1079,INDEX('AH History'!$A$1:$A$18046,AH!$P$7):INDEX('AH History'!$A$1:$A$18046,AH!$P$7+AH!$P$8-1),0),0),0)</ns0:f>
        <ns0:v/>
      </ns0:c>
      <ns0:c r="I1079">
        <ns0:f>IF($H1079=0,0,IFERROR(IF(AND(ABS($C1079-INDEX('AH History'!$B$1:$B$18046,$H1079))&lt;=MAX(0.005,ABS(INDEX('AH History'!$B$1:$B$18046,$H1079))*0.00005),ABS($D1079-INDEX('AH History'!$C$1:$C$18046,$H1079))&lt;=MAX(0.005,ABS(INDEX('AH History'!$C$1:$C$18046,$H1079))*0.00005),ABS($E1079-INDEX('AH History'!$D$1:$D$18046,$H1079))&lt;=0.00005,$F1079=INDEX('AH History'!$E$1:$E$18046,$H1079),$G1079=INDEX('AH History'!$F$1:$F$18046,$H1079)),1,-1),-1))</ns0:f>
        <ns0:v/>
      </ns0:c>
    </ns0:row>
    <ns0:row r="1080">
      <ns0:c r="A1080" s="215">
        <ns0:f>IF(OR(AH!$P$3=0,1075+1&gt;AH!$P$11,AND(AH!$E$4&lt;&gt;"Stored",AH!$P$10&lt;&gt;1)),"",IFERROR(IF(AND(AH!$P$21=1,1075+1=AH!$P$11),TODAY(),IF(AH!$P$10=1,INDEX('Live History'!$A$5:$A$3004,AH!$P$13+1075),INDEX('AH History'!$A$1:$A$18046,AH!$P$7+1075))),""))</ns0:f>
        <ns0:v/>
      </ns0:c>
      <ns0:c r="B1080" s="219">
        <ns0:f>IFERROR(IF(AND(AH!$P$9&lt;&gt;1,$C1080&gt;0,$D1080&gt;0,$E1080&gt;0,$F1080&gt;0,$G1080&gt;0,$F1080&lt;=$A1080,$G1080&lt;=$A1080,$A1080-$F1080&lt;=10,$A1080-$G1080&lt;=5),$D1080*$E1080/$C1080-1,NA()),NA())</ns0:f>
        <ns0:v/>
      </ns0:c>
      <ns0:c r="C1080">
        <ns0:f>IFERROR(IF(ISNUMBER($A1080),IF(AND(AH!$P$10=1,AH!$P$12=1,$A1080=TODAY()),AH!$P$19,IF(AH!$P$10=1,INDEX('Live History'!$B$5:$B$3004,AH!$P$13+1075),INDEX('AH History'!$B$1:$B$18046,AH!$P$7+1075))),NA()),NA())</ns0:f>
        <ns0:v/>
      </ns0:c>
      <ns0:c r="D1080">
        <ns0:f>IFERROR(IF(ISNUMBER($A1080),IF(AND(AH!$P$10=1,AH!$P$12=1,$A1080=TODAY()),AH!$P$18,IF(AH!$P$10=1,INDEX('Live History'!$E$5:$E$3004,MATCH($A1080,'Live History'!$D$5:$D$3004,1)),INDEX('AH History'!$C$1:$C$18046,AH!$P$7+1075))),NA()),NA())</ns0:f>
        <ns0:v/>
      </ns0:c>
      <ns0:c r="E1080">
        <ns0:f>IFERROR(IF(ISNUMBER($A1080),IF(AND(AH!$P$10=1,AH!$P$12=1,$A1080=TODAY()),AH!$P$20,IF(AH!$P$10=1,INDEX('Live History'!$H$5:$H$3004,MATCH($A1080,'Live History'!$G$5:$G$3004,1)),INDEX('AH History'!$D$1:$D$18046,AH!$P$7+1075))),NA()),NA())</ns0:f>
        <ns0:v/>
      </ns0:c>
      <ns0:c r="F1080">
        <ns0:f>IFERROR(IF(ISNUMBER($A1080),IF(AND(AH!$P$10=1,AH!$P$12=1,$A1080=TODAY()),IF(AND(AH!$P$10=1,AH!$P$12=1,$A1080=TODAY()),TODAY(),NA()),IF(AH!$P$10=1,INDEX('Live History'!$D$5:$D$3004,MATCH($A1080,'Live History'!$D$5:$D$3004,1)),INDEX('AH History'!$E$1:$E$18046,AH!$P$7+1075))),NA()),NA())</ns0:f>
        <ns0:v/>
      </ns0:c>
      <ns0:c r="G1080">
        <ns0:f>IFERROR(IF(ISNUMBER($A1080),IF(AND(AH!$P$10=1,AH!$P$12=1,$A1080=TODAY()),IF(AND(AH!$P$10=1,AH!$P$12=1,$A1080=TODAY()),TODAY(),NA()),IF(AH!$P$10=1,INDEX('Live History'!$G$5:$G$3004,MATCH($A1080,'Live History'!$G$5:$G$3004,1)),INDEX('AH History'!$F$1:$F$18046,AH!$P$7+1075))),NA()),NA())</ns0:f>
        <ns0:v/>
      </ns0:c>
      <ns0:c r="H1080">
        <ns0:f>IFERROR(IF(AND(AH!$E$4="Bloomberg",AH!$P$10=1,ISNUMBER($A1080),$A1080&lt;=AH!$P$17),AH!$P$7-1+MATCH($A1080,INDEX('AH History'!$A$1:$A$18046,AH!$P$7):INDEX('AH History'!$A$1:$A$18046,AH!$P$7+AH!$P$8-1),0),0),0)</ns0:f>
        <ns0:v/>
      </ns0:c>
      <ns0:c r="I1080">
        <ns0:f>IF($H1080=0,0,IFERROR(IF(AND(ABS($C1080-INDEX('AH History'!$B$1:$B$18046,$H1080))&lt;=MAX(0.005,ABS(INDEX('AH History'!$B$1:$B$18046,$H1080))*0.00005),ABS($D1080-INDEX('AH History'!$C$1:$C$18046,$H1080))&lt;=MAX(0.005,ABS(INDEX('AH History'!$C$1:$C$18046,$H1080))*0.00005),ABS($E1080-INDEX('AH History'!$D$1:$D$18046,$H1080))&lt;=0.00005,$F1080=INDEX('AH History'!$E$1:$E$18046,$H1080),$G1080=INDEX('AH History'!$F$1:$F$18046,$H1080)),1,-1),-1))</ns0:f>
        <ns0:v/>
      </ns0:c>
    </ns0:row>
    <ns0:row r="1081">
      <ns0:c r="A1081" s="215">
        <ns0:f>IF(OR(AH!$P$3=0,1076+1&gt;AH!$P$11,AND(AH!$E$4&lt;&gt;"Stored",AH!$P$10&lt;&gt;1)),"",IFERROR(IF(AND(AH!$P$21=1,1076+1=AH!$P$11),TODAY(),IF(AH!$P$10=1,INDEX('Live History'!$A$5:$A$3004,AH!$P$13+1076),INDEX('AH History'!$A$1:$A$18046,AH!$P$7+1076))),""))</ns0:f>
        <ns0:v/>
      </ns0:c>
      <ns0:c r="B1081" s="219">
        <ns0:f>IFERROR(IF(AND(AH!$P$9&lt;&gt;1,$C1081&gt;0,$D1081&gt;0,$E1081&gt;0,$F1081&gt;0,$G1081&gt;0,$F1081&lt;=$A1081,$G1081&lt;=$A1081,$A1081-$F1081&lt;=10,$A1081-$G1081&lt;=5),$D1081*$E1081/$C1081-1,NA()),NA())</ns0:f>
        <ns0:v/>
      </ns0:c>
      <ns0:c r="C1081">
        <ns0:f>IFERROR(IF(ISNUMBER($A1081),IF(AND(AH!$P$10=1,AH!$P$12=1,$A1081=TODAY()),AH!$P$19,IF(AH!$P$10=1,INDEX('Live History'!$B$5:$B$3004,AH!$P$13+1076),INDEX('AH History'!$B$1:$B$18046,AH!$P$7+1076))),NA()),NA())</ns0:f>
        <ns0:v/>
      </ns0:c>
      <ns0:c r="D1081">
        <ns0:f>IFERROR(IF(ISNUMBER($A1081),IF(AND(AH!$P$10=1,AH!$P$12=1,$A1081=TODAY()),AH!$P$18,IF(AH!$P$10=1,INDEX('Live History'!$E$5:$E$3004,MATCH($A1081,'Live History'!$D$5:$D$3004,1)),INDEX('AH History'!$C$1:$C$18046,AH!$P$7+1076))),NA()),NA())</ns0:f>
        <ns0:v/>
      </ns0:c>
      <ns0:c r="E1081">
        <ns0:f>IFERROR(IF(ISNUMBER($A1081),IF(AND(AH!$P$10=1,AH!$P$12=1,$A1081=TODAY()),AH!$P$20,IF(AH!$P$10=1,INDEX('Live History'!$H$5:$H$3004,MATCH($A1081,'Live History'!$G$5:$G$3004,1)),INDEX('AH History'!$D$1:$D$18046,AH!$P$7+1076))),NA()),NA())</ns0:f>
        <ns0:v/>
      </ns0:c>
      <ns0:c r="F1081">
        <ns0:f>IFERROR(IF(ISNUMBER($A1081),IF(AND(AH!$P$10=1,AH!$P$12=1,$A1081=TODAY()),IF(AND(AH!$P$10=1,AH!$P$12=1,$A1081=TODAY()),TODAY(),NA()),IF(AH!$P$10=1,INDEX('Live History'!$D$5:$D$3004,MATCH($A1081,'Live History'!$D$5:$D$3004,1)),INDEX('AH History'!$E$1:$E$18046,AH!$P$7+1076))),NA()),NA())</ns0:f>
        <ns0:v/>
      </ns0:c>
      <ns0:c r="G1081">
        <ns0:f>IFERROR(IF(ISNUMBER($A1081),IF(AND(AH!$P$10=1,AH!$P$12=1,$A1081=TODAY()),IF(AND(AH!$P$10=1,AH!$P$12=1,$A1081=TODAY()),TODAY(),NA()),IF(AH!$P$10=1,INDEX('Live History'!$G$5:$G$3004,MATCH($A1081,'Live History'!$G$5:$G$3004,1)),INDEX('AH History'!$F$1:$F$18046,AH!$P$7+1076))),NA()),NA())</ns0:f>
        <ns0:v/>
      </ns0:c>
      <ns0:c r="H1081">
        <ns0:f>IFERROR(IF(AND(AH!$E$4="Bloomberg",AH!$P$10=1,ISNUMBER($A1081),$A1081&lt;=AH!$P$17),AH!$P$7-1+MATCH($A1081,INDEX('AH History'!$A$1:$A$18046,AH!$P$7):INDEX('AH History'!$A$1:$A$18046,AH!$P$7+AH!$P$8-1),0),0),0)</ns0:f>
        <ns0:v/>
      </ns0:c>
      <ns0:c r="I1081">
        <ns0:f>IF($H1081=0,0,IFERROR(IF(AND(ABS($C1081-INDEX('AH History'!$B$1:$B$18046,$H1081))&lt;=MAX(0.005,ABS(INDEX('AH History'!$B$1:$B$18046,$H1081))*0.00005),ABS($D1081-INDEX('AH History'!$C$1:$C$18046,$H1081))&lt;=MAX(0.005,ABS(INDEX('AH History'!$C$1:$C$18046,$H1081))*0.00005),ABS($E1081-INDEX('AH History'!$D$1:$D$18046,$H1081))&lt;=0.00005,$F1081=INDEX('AH History'!$E$1:$E$18046,$H1081),$G1081=INDEX('AH History'!$F$1:$F$18046,$H1081)),1,-1),-1))</ns0:f>
        <ns0:v/>
      </ns0:c>
    </ns0:row>
    <ns0:row r="1082">
      <ns0:c r="A1082" s="215">
        <ns0:f>IF(OR(AH!$P$3=0,1077+1&gt;AH!$P$11,AND(AH!$E$4&lt;&gt;"Stored",AH!$P$10&lt;&gt;1)),"",IFERROR(IF(AND(AH!$P$21=1,1077+1=AH!$P$11),TODAY(),IF(AH!$P$10=1,INDEX('Live History'!$A$5:$A$3004,AH!$P$13+1077),INDEX('AH History'!$A$1:$A$18046,AH!$P$7+1077))),""))</ns0:f>
        <ns0:v/>
      </ns0:c>
      <ns0:c r="B1082" s="219">
        <ns0:f>IFERROR(IF(AND(AH!$P$9&lt;&gt;1,$C1082&gt;0,$D1082&gt;0,$E1082&gt;0,$F1082&gt;0,$G1082&gt;0,$F1082&lt;=$A1082,$G1082&lt;=$A1082,$A1082-$F1082&lt;=10,$A1082-$G1082&lt;=5),$D1082*$E1082/$C1082-1,NA()),NA())</ns0:f>
        <ns0:v/>
      </ns0:c>
      <ns0:c r="C1082">
        <ns0:f>IFERROR(IF(ISNUMBER($A1082),IF(AND(AH!$P$10=1,AH!$P$12=1,$A1082=TODAY()),AH!$P$19,IF(AH!$P$10=1,INDEX('Live History'!$B$5:$B$3004,AH!$P$13+1077),INDEX('AH History'!$B$1:$B$18046,AH!$P$7+1077))),NA()),NA())</ns0:f>
        <ns0:v/>
      </ns0:c>
      <ns0:c r="D1082">
        <ns0:f>IFERROR(IF(ISNUMBER($A1082),IF(AND(AH!$P$10=1,AH!$P$12=1,$A1082=TODAY()),AH!$P$18,IF(AH!$P$10=1,INDEX('Live History'!$E$5:$E$3004,MATCH($A1082,'Live History'!$D$5:$D$3004,1)),INDEX('AH History'!$C$1:$C$18046,AH!$P$7+1077))),NA()),NA())</ns0:f>
        <ns0:v/>
      </ns0:c>
      <ns0:c r="E1082">
        <ns0:f>IFERROR(IF(ISNUMBER($A1082),IF(AND(AH!$P$10=1,AH!$P$12=1,$A1082=TODAY()),AH!$P$20,IF(AH!$P$10=1,INDEX('Live History'!$H$5:$H$3004,MATCH($A1082,'Live History'!$G$5:$G$3004,1)),INDEX('AH History'!$D$1:$D$18046,AH!$P$7+1077))),NA()),NA())</ns0:f>
        <ns0:v/>
      </ns0:c>
      <ns0:c r="F1082">
        <ns0:f>IFERROR(IF(ISNUMBER($A1082),IF(AND(AH!$P$10=1,AH!$P$12=1,$A1082=TODAY()),IF(AND(AH!$P$10=1,AH!$P$12=1,$A1082=TODAY()),TODAY(),NA()),IF(AH!$P$10=1,INDEX('Live History'!$D$5:$D$3004,MATCH($A1082,'Live History'!$D$5:$D$3004,1)),INDEX('AH History'!$E$1:$E$18046,AH!$P$7+1077))),NA()),NA())</ns0:f>
        <ns0:v/>
      </ns0:c>
      <ns0:c r="G1082">
        <ns0:f>IFERROR(IF(ISNUMBER($A1082),IF(AND(AH!$P$10=1,AH!$P$12=1,$A1082=TODAY()),IF(AND(AH!$P$10=1,AH!$P$12=1,$A1082=TODAY()),TODAY(),NA()),IF(AH!$P$10=1,INDEX('Live History'!$G$5:$G$3004,MATCH($A1082,'Live History'!$G$5:$G$3004,1)),INDEX('AH History'!$F$1:$F$18046,AH!$P$7+1077))),NA()),NA())</ns0:f>
        <ns0:v/>
      </ns0:c>
      <ns0:c r="H1082">
        <ns0:f>IFERROR(IF(AND(AH!$E$4="Bloomberg",AH!$P$10=1,ISNUMBER($A1082),$A1082&lt;=AH!$P$17),AH!$P$7-1+MATCH($A1082,INDEX('AH History'!$A$1:$A$18046,AH!$P$7):INDEX('AH History'!$A$1:$A$18046,AH!$P$7+AH!$P$8-1),0),0),0)</ns0:f>
        <ns0:v/>
      </ns0:c>
      <ns0:c r="I1082">
        <ns0:f>IF($H1082=0,0,IFERROR(IF(AND(ABS($C1082-INDEX('AH History'!$B$1:$B$18046,$H1082))&lt;=MAX(0.005,ABS(INDEX('AH History'!$B$1:$B$18046,$H1082))*0.00005),ABS($D1082-INDEX('AH History'!$C$1:$C$18046,$H1082))&lt;=MAX(0.005,ABS(INDEX('AH History'!$C$1:$C$18046,$H1082))*0.00005),ABS($E1082-INDEX('AH History'!$D$1:$D$18046,$H1082))&lt;=0.00005,$F1082=INDEX('AH History'!$E$1:$E$18046,$H1082),$G1082=INDEX('AH History'!$F$1:$F$18046,$H1082)),1,-1),-1))</ns0:f>
        <ns0:v/>
      </ns0:c>
    </ns0:row>
    <ns0:row r="1083">
      <ns0:c r="A1083" s="215">
        <ns0:f>IF(OR(AH!$P$3=0,1078+1&gt;AH!$P$11,AND(AH!$E$4&lt;&gt;"Stored",AH!$P$10&lt;&gt;1)),"",IFERROR(IF(AND(AH!$P$21=1,1078+1=AH!$P$11),TODAY(),IF(AH!$P$10=1,INDEX('Live History'!$A$5:$A$3004,AH!$P$13+1078),INDEX('AH History'!$A$1:$A$18046,AH!$P$7+1078))),""))</ns0:f>
        <ns0:v/>
      </ns0:c>
      <ns0:c r="B1083" s="219">
        <ns0:f>IFERROR(IF(AND(AH!$P$9&lt;&gt;1,$C1083&gt;0,$D1083&gt;0,$E1083&gt;0,$F1083&gt;0,$G1083&gt;0,$F1083&lt;=$A1083,$G1083&lt;=$A1083,$A1083-$F1083&lt;=10,$A1083-$G1083&lt;=5),$D1083*$E1083/$C1083-1,NA()),NA())</ns0:f>
        <ns0:v/>
      </ns0:c>
      <ns0:c r="C1083">
        <ns0:f>IFERROR(IF(ISNUMBER($A1083),IF(AND(AH!$P$10=1,AH!$P$12=1,$A1083=TODAY()),AH!$P$19,IF(AH!$P$10=1,INDEX('Live History'!$B$5:$B$3004,AH!$P$13+1078),INDEX('AH History'!$B$1:$B$18046,AH!$P$7+1078))),NA()),NA())</ns0:f>
        <ns0:v/>
      </ns0:c>
      <ns0:c r="D1083">
        <ns0:f>IFERROR(IF(ISNUMBER($A1083),IF(AND(AH!$P$10=1,AH!$P$12=1,$A1083=TODAY()),AH!$P$18,IF(AH!$P$10=1,INDEX('Live History'!$E$5:$E$3004,MATCH($A1083,'Live History'!$D$5:$D$3004,1)),INDEX('AH History'!$C$1:$C$18046,AH!$P$7+1078))),NA()),NA())</ns0:f>
        <ns0:v/>
      </ns0:c>
      <ns0:c r="E1083">
        <ns0:f>IFERROR(IF(ISNUMBER($A1083),IF(AND(AH!$P$10=1,AH!$P$12=1,$A1083=TODAY()),AH!$P$20,IF(AH!$P$10=1,INDEX('Live History'!$H$5:$H$3004,MATCH($A1083,'Live History'!$G$5:$G$3004,1)),INDEX('AH History'!$D$1:$D$18046,AH!$P$7+1078))),NA()),NA())</ns0:f>
        <ns0:v/>
      </ns0:c>
      <ns0:c r="F1083">
        <ns0:f>IFERROR(IF(ISNUMBER($A1083),IF(AND(AH!$P$10=1,AH!$P$12=1,$A1083=TODAY()),IF(AND(AH!$P$10=1,AH!$P$12=1,$A1083=TODAY()),TODAY(),NA()),IF(AH!$P$10=1,INDEX('Live History'!$D$5:$D$3004,MATCH($A1083,'Live History'!$D$5:$D$3004,1)),INDEX('AH History'!$E$1:$E$18046,AH!$P$7+1078))),NA()),NA())</ns0:f>
        <ns0:v/>
      </ns0:c>
      <ns0:c r="G1083">
        <ns0:f>IFERROR(IF(ISNUMBER($A1083),IF(AND(AH!$P$10=1,AH!$P$12=1,$A1083=TODAY()),IF(AND(AH!$P$10=1,AH!$P$12=1,$A1083=TODAY()),TODAY(),NA()),IF(AH!$P$10=1,INDEX('Live History'!$G$5:$G$3004,MATCH($A1083,'Live History'!$G$5:$G$3004,1)),INDEX('AH History'!$F$1:$F$18046,AH!$P$7+1078))),NA()),NA())</ns0:f>
        <ns0:v/>
      </ns0:c>
      <ns0:c r="H1083">
        <ns0:f>IFERROR(IF(AND(AH!$E$4="Bloomberg",AH!$P$10=1,ISNUMBER($A1083),$A1083&lt;=AH!$P$17),AH!$P$7-1+MATCH($A1083,INDEX('AH History'!$A$1:$A$18046,AH!$P$7):INDEX('AH History'!$A$1:$A$18046,AH!$P$7+AH!$P$8-1),0),0),0)</ns0:f>
        <ns0:v/>
      </ns0:c>
      <ns0:c r="I1083">
        <ns0:f>IF($H1083=0,0,IFERROR(IF(AND(ABS($C1083-INDEX('AH History'!$B$1:$B$18046,$H1083))&lt;=MAX(0.005,ABS(INDEX('AH History'!$B$1:$B$18046,$H1083))*0.00005),ABS($D1083-INDEX('AH History'!$C$1:$C$18046,$H1083))&lt;=MAX(0.005,ABS(INDEX('AH History'!$C$1:$C$18046,$H1083))*0.00005),ABS($E1083-INDEX('AH History'!$D$1:$D$18046,$H1083))&lt;=0.00005,$F1083=INDEX('AH History'!$E$1:$E$18046,$H1083),$G1083=INDEX('AH History'!$F$1:$F$18046,$H1083)),1,-1),-1))</ns0:f>
        <ns0:v/>
      </ns0:c>
    </ns0:row>
    <ns0:row r="1084">
      <ns0:c r="A1084" s="215">
        <ns0:f>IF(OR(AH!$P$3=0,1079+1&gt;AH!$P$11,AND(AH!$E$4&lt;&gt;"Stored",AH!$P$10&lt;&gt;1)),"",IFERROR(IF(AND(AH!$P$21=1,1079+1=AH!$P$11),TODAY(),IF(AH!$P$10=1,INDEX('Live History'!$A$5:$A$3004,AH!$P$13+1079),INDEX('AH History'!$A$1:$A$18046,AH!$P$7+1079))),""))</ns0:f>
        <ns0:v/>
      </ns0:c>
      <ns0:c r="B1084" s="219">
        <ns0:f>IFERROR(IF(AND(AH!$P$9&lt;&gt;1,$C1084&gt;0,$D1084&gt;0,$E1084&gt;0,$F1084&gt;0,$G1084&gt;0,$F1084&lt;=$A1084,$G1084&lt;=$A1084,$A1084-$F1084&lt;=10,$A1084-$G1084&lt;=5),$D1084*$E1084/$C1084-1,NA()),NA())</ns0:f>
        <ns0:v/>
      </ns0:c>
      <ns0:c r="C1084">
        <ns0:f>IFERROR(IF(ISNUMBER($A1084),IF(AND(AH!$P$10=1,AH!$P$12=1,$A1084=TODAY()),AH!$P$19,IF(AH!$P$10=1,INDEX('Live History'!$B$5:$B$3004,AH!$P$13+1079),INDEX('AH History'!$B$1:$B$18046,AH!$P$7+1079))),NA()),NA())</ns0:f>
        <ns0:v/>
      </ns0:c>
      <ns0:c r="D1084">
        <ns0:f>IFERROR(IF(ISNUMBER($A1084),IF(AND(AH!$P$10=1,AH!$P$12=1,$A1084=TODAY()),AH!$P$18,IF(AH!$P$10=1,INDEX('Live History'!$E$5:$E$3004,MATCH($A1084,'Live History'!$D$5:$D$3004,1)),INDEX('AH History'!$C$1:$C$18046,AH!$P$7+1079))),NA()),NA())</ns0:f>
        <ns0:v/>
      </ns0:c>
      <ns0:c r="E1084">
        <ns0:f>IFERROR(IF(ISNUMBER($A1084),IF(AND(AH!$P$10=1,AH!$P$12=1,$A1084=TODAY()),AH!$P$20,IF(AH!$P$10=1,INDEX('Live History'!$H$5:$H$3004,MATCH($A1084,'Live History'!$G$5:$G$3004,1)),INDEX('AH History'!$D$1:$D$18046,AH!$P$7+1079))),NA()),NA())</ns0:f>
        <ns0:v/>
      </ns0:c>
      <ns0:c r="F1084">
        <ns0:f>IFERROR(IF(ISNUMBER($A1084),IF(AND(AH!$P$10=1,AH!$P$12=1,$A1084=TODAY()),IF(AND(AH!$P$10=1,AH!$P$12=1,$A1084=TODAY()),TODAY(),NA()),IF(AH!$P$10=1,INDEX('Live History'!$D$5:$D$3004,MATCH($A1084,'Live History'!$D$5:$D$3004,1)),INDEX('AH History'!$E$1:$E$18046,AH!$P$7+1079))),NA()),NA())</ns0:f>
        <ns0:v/>
      </ns0:c>
      <ns0:c r="G1084">
        <ns0:f>IFERROR(IF(ISNUMBER($A1084),IF(AND(AH!$P$10=1,AH!$P$12=1,$A1084=TODAY()),IF(AND(AH!$P$10=1,AH!$P$12=1,$A1084=TODAY()),TODAY(),NA()),IF(AH!$P$10=1,INDEX('Live History'!$G$5:$G$3004,MATCH($A1084,'Live History'!$G$5:$G$3004,1)),INDEX('AH History'!$F$1:$F$18046,AH!$P$7+1079))),NA()),NA())</ns0:f>
        <ns0:v/>
      </ns0:c>
      <ns0:c r="H1084">
        <ns0:f>IFERROR(IF(AND(AH!$E$4="Bloomberg",AH!$P$10=1,ISNUMBER($A1084),$A1084&lt;=AH!$P$17),AH!$P$7-1+MATCH($A1084,INDEX('AH History'!$A$1:$A$18046,AH!$P$7):INDEX('AH History'!$A$1:$A$18046,AH!$P$7+AH!$P$8-1),0),0),0)</ns0:f>
        <ns0:v/>
      </ns0:c>
      <ns0:c r="I1084">
        <ns0:f>IF($H1084=0,0,IFERROR(IF(AND(ABS($C1084-INDEX('AH History'!$B$1:$B$18046,$H1084))&lt;=MAX(0.005,ABS(INDEX('AH History'!$B$1:$B$18046,$H1084))*0.00005),ABS($D1084-INDEX('AH History'!$C$1:$C$18046,$H1084))&lt;=MAX(0.005,ABS(INDEX('AH History'!$C$1:$C$18046,$H1084))*0.00005),ABS($E1084-INDEX('AH History'!$D$1:$D$18046,$H1084))&lt;=0.00005,$F1084=INDEX('AH History'!$E$1:$E$18046,$H1084),$G1084=INDEX('AH History'!$F$1:$F$18046,$H1084)),1,-1),-1))</ns0:f>
        <ns0:v/>
      </ns0:c>
    </ns0:row>
    <ns0:row r="1085">
      <ns0:c r="A1085" s="215">
        <ns0:f>IF(OR(AH!$P$3=0,1080+1&gt;AH!$P$11,AND(AH!$E$4&lt;&gt;"Stored",AH!$P$10&lt;&gt;1)),"",IFERROR(IF(AND(AH!$P$21=1,1080+1=AH!$P$11),TODAY(),IF(AH!$P$10=1,INDEX('Live History'!$A$5:$A$3004,AH!$P$13+1080),INDEX('AH History'!$A$1:$A$18046,AH!$P$7+1080))),""))</ns0:f>
        <ns0:v/>
      </ns0:c>
      <ns0:c r="B1085" s="219">
        <ns0:f>IFERROR(IF(AND(AH!$P$9&lt;&gt;1,$C1085&gt;0,$D1085&gt;0,$E1085&gt;0,$F1085&gt;0,$G1085&gt;0,$F1085&lt;=$A1085,$G1085&lt;=$A1085,$A1085-$F1085&lt;=10,$A1085-$G1085&lt;=5),$D1085*$E1085/$C1085-1,NA()),NA())</ns0:f>
        <ns0:v/>
      </ns0:c>
      <ns0:c r="C1085">
        <ns0:f>IFERROR(IF(ISNUMBER($A1085),IF(AND(AH!$P$10=1,AH!$P$12=1,$A1085=TODAY()),AH!$P$19,IF(AH!$P$10=1,INDEX('Live History'!$B$5:$B$3004,AH!$P$13+1080),INDEX('AH History'!$B$1:$B$18046,AH!$P$7+1080))),NA()),NA())</ns0:f>
        <ns0:v/>
      </ns0:c>
      <ns0:c r="D1085">
        <ns0:f>IFERROR(IF(ISNUMBER($A1085),IF(AND(AH!$P$10=1,AH!$P$12=1,$A1085=TODAY()),AH!$P$18,IF(AH!$P$10=1,INDEX('Live History'!$E$5:$E$3004,MATCH($A1085,'Live History'!$D$5:$D$3004,1)),INDEX('AH History'!$C$1:$C$18046,AH!$P$7+1080))),NA()),NA())</ns0:f>
        <ns0:v/>
      </ns0:c>
      <ns0:c r="E1085">
        <ns0:f>IFERROR(IF(ISNUMBER($A1085),IF(AND(AH!$P$10=1,AH!$P$12=1,$A1085=TODAY()),AH!$P$20,IF(AH!$P$10=1,INDEX('Live History'!$H$5:$H$3004,MATCH($A1085,'Live History'!$G$5:$G$3004,1)),INDEX('AH History'!$D$1:$D$18046,AH!$P$7+1080))),NA()),NA())</ns0:f>
        <ns0:v/>
      </ns0:c>
      <ns0:c r="F1085">
        <ns0:f>IFERROR(IF(ISNUMBER($A1085),IF(AND(AH!$P$10=1,AH!$P$12=1,$A1085=TODAY()),IF(AND(AH!$P$10=1,AH!$P$12=1,$A1085=TODAY()),TODAY(),NA()),IF(AH!$P$10=1,INDEX('Live History'!$D$5:$D$3004,MATCH($A1085,'Live History'!$D$5:$D$3004,1)),INDEX('AH History'!$E$1:$E$18046,AH!$P$7+1080))),NA()),NA())</ns0:f>
        <ns0:v/>
      </ns0:c>
      <ns0:c r="G1085">
        <ns0:f>IFERROR(IF(ISNUMBER($A1085),IF(AND(AH!$P$10=1,AH!$P$12=1,$A1085=TODAY()),IF(AND(AH!$P$10=1,AH!$P$12=1,$A1085=TODAY()),TODAY(),NA()),IF(AH!$P$10=1,INDEX('Live History'!$G$5:$G$3004,MATCH($A1085,'Live History'!$G$5:$G$3004,1)),INDEX('AH History'!$F$1:$F$18046,AH!$P$7+1080))),NA()),NA())</ns0:f>
        <ns0:v/>
      </ns0:c>
      <ns0:c r="H1085">
        <ns0:f>IFERROR(IF(AND(AH!$E$4="Bloomberg",AH!$P$10=1,ISNUMBER($A1085),$A1085&lt;=AH!$P$17),AH!$P$7-1+MATCH($A1085,INDEX('AH History'!$A$1:$A$18046,AH!$P$7):INDEX('AH History'!$A$1:$A$18046,AH!$P$7+AH!$P$8-1),0),0),0)</ns0:f>
        <ns0:v/>
      </ns0:c>
      <ns0:c r="I1085">
        <ns0:f>IF($H1085=0,0,IFERROR(IF(AND(ABS($C1085-INDEX('AH History'!$B$1:$B$18046,$H1085))&lt;=MAX(0.005,ABS(INDEX('AH History'!$B$1:$B$18046,$H1085))*0.00005),ABS($D1085-INDEX('AH History'!$C$1:$C$18046,$H1085))&lt;=MAX(0.005,ABS(INDEX('AH History'!$C$1:$C$18046,$H1085))*0.00005),ABS($E1085-INDEX('AH History'!$D$1:$D$18046,$H1085))&lt;=0.00005,$F1085=INDEX('AH History'!$E$1:$E$18046,$H1085),$G1085=INDEX('AH History'!$F$1:$F$18046,$H1085)),1,-1),-1))</ns0:f>
        <ns0:v/>
      </ns0:c>
    </ns0:row>
    <ns0:row r="1086">
      <ns0:c r="A1086" s="215">
        <ns0:f>IF(OR(AH!$P$3=0,1081+1&gt;AH!$P$11,AND(AH!$E$4&lt;&gt;"Stored",AH!$P$10&lt;&gt;1)),"",IFERROR(IF(AND(AH!$P$21=1,1081+1=AH!$P$11),TODAY(),IF(AH!$P$10=1,INDEX('Live History'!$A$5:$A$3004,AH!$P$13+1081),INDEX('AH History'!$A$1:$A$18046,AH!$P$7+1081))),""))</ns0:f>
        <ns0:v/>
      </ns0:c>
      <ns0:c r="B1086" s="219">
        <ns0:f>IFERROR(IF(AND(AH!$P$9&lt;&gt;1,$C1086&gt;0,$D1086&gt;0,$E1086&gt;0,$F1086&gt;0,$G1086&gt;0,$F1086&lt;=$A1086,$G1086&lt;=$A1086,$A1086-$F1086&lt;=10,$A1086-$G1086&lt;=5),$D1086*$E1086/$C1086-1,NA()),NA())</ns0:f>
        <ns0:v/>
      </ns0:c>
      <ns0:c r="C1086">
        <ns0:f>IFERROR(IF(ISNUMBER($A1086),IF(AND(AH!$P$10=1,AH!$P$12=1,$A1086=TODAY()),AH!$P$19,IF(AH!$P$10=1,INDEX('Live History'!$B$5:$B$3004,AH!$P$13+1081),INDEX('AH History'!$B$1:$B$18046,AH!$P$7+1081))),NA()),NA())</ns0:f>
        <ns0:v/>
      </ns0:c>
      <ns0:c r="D1086">
        <ns0:f>IFERROR(IF(ISNUMBER($A1086),IF(AND(AH!$P$10=1,AH!$P$12=1,$A1086=TODAY()),AH!$P$18,IF(AH!$P$10=1,INDEX('Live History'!$E$5:$E$3004,MATCH($A1086,'Live History'!$D$5:$D$3004,1)),INDEX('AH History'!$C$1:$C$18046,AH!$P$7+1081))),NA()),NA())</ns0:f>
        <ns0:v/>
      </ns0:c>
      <ns0:c r="E1086">
        <ns0:f>IFERROR(IF(ISNUMBER($A1086),IF(AND(AH!$P$10=1,AH!$P$12=1,$A1086=TODAY()),AH!$P$20,IF(AH!$P$10=1,INDEX('Live History'!$H$5:$H$3004,MATCH($A1086,'Live History'!$G$5:$G$3004,1)),INDEX('AH History'!$D$1:$D$18046,AH!$P$7+1081))),NA()),NA())</ns0:f>
        <ns0:v/>
      </ns0:c>
      <ns0:c r="F1086">
        <ns0:f>IFERROR(IF(ISNUMBER($A1086),IF(AND(AH!$P$10=1,AH!$P$12=1,$A1086=TODAY()),IF(AND(AH!$P$10=1,AH!$P$12=1,$A1086=TODAY()),TODAY(),NA()),IF(AH!$P$10=1,INDEX('Live History'!$D$5:$D$3004,MATCH($A1086,'Live History'!$D$5:$D$3004,1)),INDEX('AH History'!$E$1:$E$18046,AH!$P$7+1081))),NA()),NA())</ns0:f>
        <ns0:v/>
      </ns0:c>
      <ns0:c r="G1086">
        <ns0:f>IFERROR(IF(ISNUMBER($A1086),IF(AND(AH!$P$10=1,AH!$P$12=1,$A1086=TODAY()),IF(AND(AH!$P$10=1,AH!$P$12=1,$A1086=TODAY()),TODAY(),NA()),IF(AH!$P$10=1,INDEX('Live History'!$G$5:$G$3004,MATCH($A1086,'Live History'!$G$5:$G$3004,1)),INDEX('AH History'!$F$1:$F$18046,AH!$P$7+1081))),NA()),NA())</ns0:f>
        <ns0:v/>
      </ns0:c>
      <ns0:c r="H1086">
        <ns0:f>IFERROR(IF(AND(AH!$E$4="Bloomberg",AH!$P$10=1,ISNUMBER($A1086),$A1086&lt;=AH!$P$17),AH!$P$7-1+MATCH($A1086,INDEX('AH History'!$A$1:$A$18046,AH!$P$7):INDEX('AH History'!$A$1:$A$18046,AH!$P$7+AH!$P$8-1),0),0),0)</ns0:f>
        <ns0:v/>
      </ns0:c>
      <ns0:c r="I1086">
        <ns0:f>IF($H1086=0,0,IFERROR(IF(AND(ABS($C1086-INDEX('AH History'!$B$1:$B$18046,$H1086))&lt;=MAX(0.005,ABS(INDEX('AH History'!$B$1:$B$18046,$H1086))*0.00005),ABS($D1086-INDEX('AH History'!$C$1:$C$18046,$H1086))&lt;=MAX(0.005,ABS(INDEX('AH History'!$C$1:$C$18046,$H1086))*0.00005),ABS($E1086-INDEX('AH History'!$D$1:$D$18046,$H1086))&lt;=0.00005,$F1086=INDEX('AH History'!$E$1:$E$18046,$H1086),$G1086=INDEX('AH History'!$F$1:$F$18046,$H1086)),1,-1),-1))</ns0:f>
        <ns0:v/>
      </ns0:c>
    </ns0:row>
    <ns0:row r="1087">
      <ns0:c r="A1087" s="215">
        <ns0:f>IF(OR(AH!$P$3=0,1082+1&gt;AH!$P$11,AND(AH!$E$4&lt;&gt;"Stored",AH!$P$10&lt;&gt;1)),"",IFERROR(IF(AND(AH!$P$21=1,1082+1=AH!$P$11),TODAY(),IF(AH!$P$10=1,INDEX('Live History'!$A$5:$A$3004,AH!$P$13+1082),INDEX('AH History'!$A$1:$A$18046,AH!$P$7+1082))),""))</ns0:f>
        <ns0:v/>
      </ns0:c>
      <ns0:c r="B1087" s="219">
        <ns0:f>IFERROR(IF(AND(AH!$P$9&lt;&gt;1,$C1087&gt;0,$D1087&gt;0,$E1087&gt;0,$F1087&gt;0,$G1087&gt;0,$F1087&lt;=$A1087,$G1087&lt;=$A1087,$A1087-$F1087&lt;=10,$A1087-$G1087&lt;=5),$D1087*$E1087/$C1087-1,NA()),NA())</ns0:f>
        <ns0:v/>
      </ns0:c>
      <ns0:c r="C1087">
        <ns0:f>IFERROR(IF(ISNUMBER($A1087),IF(AND(AH!$P$10=1,AH!$P$12=1,$A1087=TODAY()),AH!$P$19,IF(AH!$P$10=1,INDEX('Live History'!$B$5:$B$3004,AH!$P$13+1082),INDEX('AH History'!$B$1:$B$18046,AH!$P$7+1082))),NA()),NA())</ns0:f>
        <ns0:v/>
      </ns0:c>
      <ns0:c r="D1087">
        <ns0:f>IFERROR(IF(ISNUMBER($A1087),IF(AND(AH!$P$10=1,AH!$P$12=1,$A1087=TODAY()),AH!$P$18,IF(AH!$P$10=1,INDEX('Live History'!$E$5:$E$3004,MATCH($A1087,'Live History'!$D$5:$D$3004,1)),INDEX('AH History'!$C$1:$C$18046,AH!$P$7+1082))),NA()),NA())</ns0:f>
        <ns0:v/>
      </ns0:c>
      <ns0:c r="E1087">
        <ns0:f>IFERROR(IF(ISNUMBER($A1087),IF(AND(AH!$P$10=1,AH!$P$12=1,$A1087=TODAY()),AH!$P$20,IF(AH!$P$10=1,INDEX('Live History'!$H$5:$H$3004,MATCH($A1087,'Live History'!$G$5:$G$3004,1)),INDEX('AH History'!$D$1:$D$18046,AH!$P$7+1082))),NA()),NA())</ns0:f>
        <ns0:v/>
      </ns0:c>
      <ns0:c r="F1087">
        <ns0:f>IFERROR(IF(ISNUMBER($A1087),IF(AND(AH!$P$10=1,AH!$P$12=1,$A1087=TODAY()),IF(AND(AH!$P$10=1,AH!$P$12=1,$A1087=TODAY()),TODAY(),NA()),IF(AH!$P$10=1,INDEX('Live History'!$D$5:$D$3004,MATCH($A1087,'Live History'!$D$5:$D$3004,1)),INDEX('AH History'!$E$1:$E$18046,AH!$P$7+1082))),NA()),NA())</ns0:f>
        <ns0:v/>
      </ns0:c>
      <ns0:c r="G1087">
        <ns0:f>IFERROR(IF(ISNUMBER($A1087),IF(AND(AH!$P$10=1,AH!$P$12=1,$A1087=TODAY()),IF(AND(AH!$P$10=1,AH!$P$12=1,$A1087=TODAY()),TODAY(),NA()),IF(AH!$P$10=1,INDEX('Live History'!$G$5:$G$3004,MATCH($A1087,'Live History'!$G$5:$G$3004,1)),INDEX('AH History'!$F$1:$F$18046,AH!$P$7+1082))),NA()),NA())</ns0:f>
        <ns0:v/>
      </ns0:c>
      <ns0:c r="H1087">
        <ns0:f>IFERROR(IF(AND(AH!$E$4="Bloomberg",AH!$P$10=1,ISNUMBER($A1087),$A1087&lt;=AH!$P$17),AH!$P$7-1+MATCH($A1087,INDEX('AH History'!$A$1:$A$18046,AH!$P$7):INDEX('AH History'!$A$1:$A$18046,AH!$P$7+AH!$P$8-1),0),0),0)</ns0:f>
        <ns0:v/>
      </ns0:c>
      <ns0:c r="I1087">
        <ns0:f>IF($H1087=0,0,IFERROR(IF(AND(ABS($C1087-INDEX('AH History'!$B$1:$B$18046,$H1087))&lt;=MAX(0.005,ABS(INDEX('AH History'!$B$1:$B$18046,$H1087))*0.00005),ABS($D1087-INDEX('AH History'!$C$1:$C$18046,$H1087))&lt;=MAX(0.005,ABS(INDEX('AH History'!$C$1:$C$18046,$H1087))*0.00005),ABS($E1087-INDEX('AH History'!$D$1:$D$18046,$H1087))&lt;=0.00005,$F1087=INDEX('AH History'!$E$1:$E$18046,$H1087),$G1087=INDEX('AH History'!$F$1:$F$18046,$H1087)),1,-1),-1))</ns0:f>
        <ns0:v/>
      </ns0:c>
    </ns0:row>
    <ns0:row r="1088">
      <ns0:c r="A1088" s="215">
        <ns0:f>IF(OR(AH!$P$3=0,1083+1&gt;AH!$P$11,AND(AH!$E$4&lt;&gt;"Stored",AH!$P$10&lt;&gt;1)),"",IFERROR(IF(AND(AH!$P$21=1,1083+1=AH!$P$11),TODAY(),IF(AH!$P$10=1,INDEX('Live History'!$A$5:$A$3004,AH!$P$13+1083),INDEX('AH History'!$A$1:$A$18046,AH!$P$7+1083))),""))</ns0:f>
        <ns0:v/>
      </ns0:c>
      <ns0:c r="B1088" s="219">
        <ns0:f>IFERROR(IF(AND(AH!$P$9&lt;&gt;1,$C1088&gt;0,$D1088&gt;0,$E1088&gt;0,$F1088&gt;0,$G1088&gt;0,$F1088&lt;=$A1088,$G1088&lt;=$A1088,$A1088-$F1088&lt;=10,$A1088-$G1088&lt;=5),$D1088*$E1088/$C1088-1,NA()),NA())</ns0:f>
        <ns0:v/>
      </ns0:c>
      <ns0:c r="C1088">
        <ns0:f>IFERROR(IF(ISNUMBER($A1088),IF(AND(AH!$P$10=1,AH!$P$12=1,$A1088=TODAY()),AH!$P$19,IF(AH!$P$10=1,INDEX('Live History'!$B$5:$B$3004,AH!$P$13+1083),INDEX('AH History'!$B$1:$B$18046,AH!$P$7+1083))),NA()),NA())</ns0:f>
        <ns0:v/>
      </ns0:c>
      <ns0:c r="D1088">
        <ns0:f>IFERROR(IF(ISNUMBER($A1088),IF(AND(AH!$P$10=1,AH!$P$12=1,$A1088=TODAY()),AH!$P$18,IF(AH!$P$10=1,INDEX('Live History'!$E$5:$E$3004,MATCH($A1088,'Live History'!$D$5:$D$3004,1)),INDEX('AH History'!$C$1:$C$18046,AH!$P$7+1083))),NA()),NA())</ns0:f>
        <ns0:v/>
      </ns0:c>
      <ns0:c r="E1088">
        <ns0:f>IFERROR(IF(ISNUMBER($A1088),IF(AND(AH!$P$10=1,AH!$P$12=1,$A1088=TODAY()),AH!$P$20,IF(AH!$P$10=1,INDEX('Live History'!$H$5:$H$3004,MATCH($A1088,'Live History'!$G$5:$G$3004,1)),INDEX('AH History'!$D$1:$D$18046,AH!$P$7+1083))),NA()),NA())</ns0:f>
        <ns0:v/>
      </ns0:c>
      <ns0:c r="F1088">
        <ns0:f>IFERROR(IF(ISNUMBER($A1088),IF(AND(AH!$P$10=1,AH!$P$12=1,$A1088=TODAY()),IF(AND(AH!$P$10=1,AH!$P$12=1,$A1088=TODAY()),TODAY(),NA()),IF(AH!$P$10=1,INDEX('Live History'!$D$5:$D$3004,MATCH($A1088,'Live History'!$D$5:$D$3004,1)),INDEX('AH History'!$E$1:$E$18046,AH!$P$7+1083))),NA()),NA())</ns0:f>
        <ns0:v/>
      </ns0:c>
      <ns0:c r="G1088">
        <ns0:f>IFERROR(IF(ISNUMBER($A1088),IF(AND(AH!$P$10=1,AH!$P$12=1,$A1088=TODAY()),IF(AND(AH!$P$10=1,AH!$P$12=1,$A1088=TODAY()),TODAY(),NA()),IF(AH!$P$10=1,INDEX('Live History'!$G$5:$G$3004,MATCH($A1088,'Live History'!$G$5:$G$3004,1)),INDEX('AH History'!$F$1:$F$18046,AH!$P$7+1083))),NA()),NA())</ns0:f>
        <ns0:v/>
      </ns0:c>
      <ns0:c r="H1088">
        <ns0:f>IFERROR(IF(AND(AH!$E$4="Bloomberg",AH!$P$10=1,ISNUMBER($A1088),$A1088&lt;=AH!$P$17),AH!$P$7-1+MATCH($A1088,INDEX('AH History'!$A$1:$A$18046,AH!$P$7):INDEX('AH History'!$A$1:$A$18046,AH!$P$7+AH!$P$8-1),0),0),0)</ns0:f>
        <ns0:v/>
      </ns0:c>
      <ns0:c r="I1088">
        <ns0:f>IF($H1088=0,0,IFERROR(IF(AND(ABS($C1088-INDEX('AH History'!$B$1:$B$18046,$H1088))&lt;=MAX(0.005,ABS(INDEX('AH History'!$B$1:$B$18046,$H1088))*0.00005),ABS($D1088-INDEX('AH History'!$C$1:$C$18046,$H1088))&lt;=MAX(0.005,ABS(INDEX('AH History'!$C$1:$C$18046,$H1088))*0.00005),ABS($E1088-INDEX('AH History'!$D$1:$D$18046,$H1088))&lt;=0.00005,$F1088=INDEX('AH History'!$E$1:$E$18046,$H1088),$G1088=INDEX('AH History'!$F$1:$F$18046,$H1088)),1,-1),-1))</ns0:f>
        <ns0:v/>
      </ns0:c>
    </ns0:row>
    <ns0:row r="1089">
      <ns0:c r="A1089" s="215">
        <ns0:f>IF(OR(AH!$P$3=0,1084+1&gt;AH!$P$11,AND(AH!$E$4&lt;&gt;"Stored",AH!$P$10&lt;&gt;1)),"",IFERROR(IF(AND(AH!$P$21=1,1084+1=AH!$P$11),TODAY(),IF(AH!$P$10=1,INDEX('Live History'!$A$5:$A$3004,AH!$P$13+1084),INDEX('AH History'!$A$1:$A$18046,AH!$P$7+1084))),""))</ns0:f>
        <ns0:v/>
      </ns0:c>
      <ns0:c r="B1089" s="219">
        <ns0:f>IFERROR(IF(AND(AH!$P$9&lt;&gt;1,$C1089&gt;0,$D1089&gt;0,$E1089&gt;0,$F1089&gt;0,$G1089&gt;0,$F1089&lt;=$A1089,$G1089&lt;=$A1089,$A1089-$F1089&lt;=10,$A1089-$G1089&lt;=5),$D1089*$E1089/$C1089-1,NA()),NA())</ns0:f>
        <ns0:v/>
      </ns0:c>
      <ns0:c r="C1089">
        <ns0:f>IFERROR(IF(ISNUMBER($A1089),IF(AND(AH!$P$10=1,AH!$P$12=1,$A1089=TODAY()),AH!$P$19,IF(AH!$P$10=1,INDEX('Live History'!$B$5:$B$3004,AH!$P$13+1084),INDEX('AH History'!$B$1:$B$18046,AH!$P$7+1084))),NA()),NA())</ns0:f>
        <ns0:v/>
      </ns0:c>
      <ns0:c r="D1089">
        <ns0:f>IFERROR(IF(ISNUMBER($A1089),IF(AND(AH!$P$10=1,AH!$P$12=1,$A1089=TODAY()),AH!$P$18,IF(AH!$P$10=1,INDEX('Live History'!$E$5:$E$3004,MATCH($A1089,'Live History'!$D$5:$D$3004,1)),INDEX('AH History'!$C$1:$C$18046,AH!$P$7+1084))),NA()),NA())</ns0:f>
        <ns0:v/>
      </ns0:c>
      <ns0:c r="E1089">
        <ns0:f>IFERROR(IF(ISNUMBER($A1089),IF(AND(AH!$P$10=1,AH!$P$12=1,$A1089=TODAY()),AH!$P$20,IF(AH!$P$10=1,INDEX('Live History'!$H$5:$H$3004,MATCH($A1089,'Live History'!$G$5:$G$3004,1)),INDEX('AH History'!$D$1:$D$18046,AH!$P$7+1084))),NA()),NA())</ns0:f>
        <ns0:v/>
      </ns0:c>
      <ns0:c r="F1089">
        <ns0:f>IFERROR(IF(ISNUMBER($A1089),IF(AND(AH!$P$10=1,AH!$P$12=1,$A1089=TODAY()),IF(AND(AH!$P$10=1,AH!$P$12=1,$A1089=TODAY()),TODAY(),NA()),IF(AH!$P$10=1,INDEX('Live History'!$D$5:$D$3004,MATCH($A1089,'Live History'!$D$5:$D$3004,1)),INDEX('AH History'!$E$1:$E$18046,AH!$P$7+1084))),NA()),NA())</ns0:f>
        <ns0:v/>
      </ns0:c>
      <ns0:c r="G1089">
        <ns0:f>IFERROR(IF(ISNUMBER($A1089),IF(AND(AH!$P$10=1,AH!$P$12=1,$A1089=TODAY()),IF(AND(AH!$P$10=1,AH!$P$12=1,$A1089=TODAY()),TODAY(),NA()),IF(AH!$P$10=1,INDEX('Live History'!$G$5:$G$3004,MATCH($A1089,'Live History'!$G$5:$G$3004,1)),INDEX('AH History'!$F$1:$F$18046,AH!$P$7+1084))),NA()),NA())</ns0:f>
        <ns0:v/>
      </ns0:c>
      <ns0:c r="H1089">
        <ns0:f>IFERROR(IF(AND(AH!$E$4="Bloomberg",AH!$P$10=1,ISNUMBER($A1089),$A1089&lt;=AH!$P$17),AH!$P$7-1+MATCH($A1089,INDEX('AH History'!$A$1:$A$18046,AH!$P$7):INDEX('AH History'!$A$1:$A$18046,AH!$P$7+AH!$P$8-1),0),0),0)</ns0:f>
        <ns0:v/>
      </ns0:c>
      <ns0:c r="I1089">
        <ns0:f>IF($H1089=0,0,IFERROR(IF(AND(ABS($C1089-INDEX('AH History'!$B$1:$B$18046,$H1089))&lt;=MAX(0.005,ABS(INDEX('AH History'!$B$1:$B$18046,$H1089))*0.00005),ABS($D1089-INDEX('AH History'!$C$1:$C$18046,$H1089))&lt;=MAX(0.005,ABS(INDEX('AH History'!$C$1:$C$18046,$H1089))*0.00005),ABS($E1089-INDEX('AH History'!$D$1:$D$18046,$H1089))&lt;=0.00005,$F1089=INDEX('AH History'!$E$1:$E$18046,$H1089),$G1089=INDEX('AH History'!$F$1:$F$18046,$H1089)),1,-1),-1))</ns0:f>
        <ns0:v/>
      </ns0:c>
    </ns0:row>
    <ns0:row r="1090">
      <ns0:c r="A1090" s="215">
        <ns0:f>IF(OR(AH!$P$3=0,1085+1&gt;AH!$P$11,AND(AH!$E$4&lt;&gt;"Stored",AH!$P$10&lt;&gt;1)),"",IFERROR(IF(AND(AH!$P$21=1,1085+1=AH!$P$11),TODAY(),IF(AH!$P$10=1,INDEX('Live History'!$A$5:$A$3004,AH!$P$13+1085),INDEX('AH History'!$A$1:$A$18046,AH!$P$7+1085))),""))</ns0:f>
        <ns0:v/>
      </ns0:c>
      <ns0:c r="B1090" s="219">
        <ns0:f>IFERROR(IF(AND(AH!$P$9&lt;&gt;1,$C1090&gt;0,$D1090&gt;0,$E1090&gt;0,$F1090&gt;0,$G1090&gt;0,$F1090&lt;=$A1090,$G1090&lt;=$A1090,$A1090-$F1090&lt;=10,$A1090-$G1090&lt;=5),$D1090*$E1090/$C1090-1,NA()),NA())</ns0:f>
        <ns0:v/>
      </ns0:c>
      <ns0:c r="C1090">
        <ns0:f>IFERROR(IF(ISNUMBER($A1090),IF(AND(AH!$P$10=1,AH!$P$12=1,$A1090=TODAY()),AH!$P$19,IF(AH!$P$10=1,INDEX('Live History'!$B$5:$B$3004,AH!$P$13+1085),INDEX('AH History'!$B$1:$B$18046,AH!$P$7+1085))),NA()),NA())</ns0:f>
        <ns0:v/>
      </ns0:c>
      <ns0:c r="D1090">
        <ns0:f>IFERROR(IF(ISNUMBER($A1090),IF(AND(AH!$P$10=1,AH!$P$12=1,$A1090=TODAY()),AH!$P$18,IF(AH!$P$10=1,INDEX('Live History'!$E$5:$E$3004,MATCH($A1090,'Live History'!$D$5:$D$3004,1)),INDEX('AH History'!$C$1:$C$18046,AH!$P$7+1085))),NA()),NA())</ns0:f>
        <ns0:v/>
      </ns0:c>
      <ns0:c r="E1090">
        <ns0:f>IFERROR(IF(ISNUMBER($A1090),IF(AND(AH!$P$10=1,AH!$P$12=1,$A1090=TODAY()),AH!$P$20,IF(AH!$P$10=1,INDEX('Live History'!$H$5:$H$3004,MATCH($A1090,'Live History'!$G$5:$G$3004,1)),INDEX('AH History'!$D$1:$D$18046,AH!$P$7+1085))),NA()),NA())</ns0:f>
        <ns0:v/>
      </ns0:c>
      <ns0:c r="F1090">
        <ns0:f>IFERROR(IF(ISNUMBER($A1090),IF(AND(AH!$P$10=1,AH!$P$12=1,$A1090=TODAY()),IF(AND(AH!$P$10=1,AH!$P$12=1,$A1090=TODAY()),TODAY(),NA()),IF(AH!$P$10=1,INDEX('Live History'!$D$5:$D$3004,MATCH($A1090,'Live History'!$D$5:$D$3004,1)),INDEX('AH History'!$E$1:$E$18046,AH!$P$7+1085))),NA()),NA())</ns0:f>
        <ns0:v/>
      </ns0:c>
      <ns0:c r="G1090">
        <ns0:f>IFERROR(IF(ISNUMBER($A1090),IF(AND(AH!$P$10=1,AH!$P$12=1,$A1090=TODAY()),IF(AND(AH!$P$10=1,AH!$P$12=1,$A1090=TODAY()),TODAY(),NA()),IF(AH!$P$10=1,INDEX('Live History'!$G$5:$G$3004,MATCH($A1090,'Live History'!$G$5:$G$3004,1)),INDEX('AH History'!$F$1:$F$18046,AH!$P$7+1085))),NA()),NA())</ns0:f>
        <ns0:v/>
      </ns0:c>
      <ns0:c r="H1090">
        <ns0:f>IFERROR(IF(AND(AH!$E$4="Bloomberg",AH!$P$10=1,ISNUMBER($A1090),$A1090&lt;=AH!$P$17),AH!$P$7-1+MATCH($A1090,INDEX('AH History'!$A$1:$A$18046,AH!$P$7):INDEX('AH History'!$A$1:$A$18046,AH!$P$7+AH!$P$8-1),0),0),0)</ns0:f>
        <ns0:v/>
      </ns0:c>
      <ns0:c r="I1090">
        <ns0:f>IF($H1090=0,0,IFERROR(IF(AND(ABS($C1090-INDEX('AH History'!$B$1:$B$18046,$H1090))&lt;=MAX(0.005,ABS(INDEX('AH History'!$B$1:$B$18046,$H1090))*0.00005),ABS($D1090-INDEX('AH History'!$C$1:$C$18046,$H1090))&lt;=MAX(0.005,ABS(INDEX('AH History'!$C$1:$C$18046,$H1090))*0.00005),ABS($E1090-INDEX('AH History'!$D$1:$D$18046,$H1090))&lt;=0.00005,$F1090=INDEX('AH History'!$E$1:$E$18046,$H1090),$G1090=INDEX('AH History'!$F$1:$F$18046,$H1090)),1,-1),-1))</ns0:f>
        <ns0:v/>
      </ns0:c>
    </ns0:row>
    <ns0:row r="1091">
      <ns0:c r="A1091" s="215">
        <ns0:f>IF(OR(AH!$P$3=0,1086+1&gt;AH!$P$11,AND(AH!$E$4&lt;&gt;"Stored",AH!$P$10&lt;&gt;1)),"",IFERROR(IF(AND(AH!$P$21=1,1086+1=AH!$P$11),TODAY(),IF(AH!$P$10=1,INDEX('Live History'!$A$5:$A$3004,AH!$P$13+1086),INDEX('AH History'!$A$1:$A$18046,AH!$P$7+1086))),""))</ns0:f>
        <ns0:v/>
      </ns0:c>
      <ns0:c r="B1091" s="219">
        <ns0:f>IFERROR(IF(AND(AH!$P$9&lt;&gt;1,$C1091&gt;0,$D1091&gt;0,$E1091&gt;0,$F1091&gt;0,$G1091&gt;0,$F1091&lt;=$A1091,$G1091&lt;=$A1091,$A1091-$F1091&lt;=10,$A1091-$G1091&lt;=5),$D1091*$E1091/$C1091-1,NA()),NA())</ns0:f>
        <ns0:v/>
      </ns0:c>
      <ns0:c r="C1091">
        <ns0:f>IFERROR(IF(ISNUMBER($A1091),IF(AND(AH!$P$10=1,AH!$P$12=1,$A1091=TODAY()),AH!$P$19,IF(AH!$P$10=1,INDEX('Live History'!$B$5:$B$3004,AH!$P$13+1086),INDEX('AH History'!$B$1:$B$18046,AH!$P$7+1086))),NA()),NA())</ns0:f>
        <ns0:v/>
      </ns0:c>
      <ns0:c r="D1091">
        <ns0:f>IFERROR(IF(ISNUMBER($A1091),IF(AND(AH!$P$10=1,AH!$P$12=1,$A1091=TODAY()),AH!$P$18,IF(AH!$P$10=1,INDEX('Live History'!$E$5:$E$3004,MATCH($A1091,'Live History'!$D$5:$D$3004,1)),INDEX('AH History'!$C$1:$C$18046,AH!$P$7+1086))),NA()),NA())</ns0:f>
        <ns0:v/>
      </ns0:c>
      <ns0:c r="E1091">
        <ns0:f>IFERROR(IF(ISNUMBER($A1091),IF(AND(AH!$P$10=1,AH!$P$12=1,$A1091=TODAY()),AH!$P$20,IF(AH!$P$10=1,INDEX('Live History'!$H$5:$H$3004,MATCH($A1091,'Live History'!$G$5:$G$3004,1)),INDEX('AH History'!$D$1:$D$18046,AH!$P$7+1086))),NA()),NA())</ns0:f>
        <ns0:v/>
      </ns0:c>
      <ns0:c r="F1091">
        <ns0:f>IFERROR(IF(ISNUMBER($A1091),IF(AND(AH!$P$10=1,AH!$P$12=1,$A1091=TODAY()),IF(AND(AH!$P$10=1,AH!$P$12=1,$A1091=TODAY()),TODAY(),NA()),IF(AH!$P$10=1,INDEX('Live History'!$D$5:$D$3004,MATCH($A1091,'Live History'!$D$5:$D$3004,1)),INDEX('AH History'!$E$1:$E$18046,AH!$P$7+1086))),NA()),NA())</ns0:f>
        <ns0:v/>
      </ns0:c>
      <ns0:c r="G1091">
        <ns0:f>IFERROR(IF(ISNUMBER($A1091),IF(AND(AH!$P$10=1,AH!$P$12=1,$A1091=TODAY()),IF(AND(AH!$P$10=1,AH!$P$12=1,$A1091=TODAY()),TODAY(),NA()),IF(AH!$P$10=1,INDEX('Live History'!$G$5:$G$3004,MATCH($A1091,'Live History'!$G$5:$G$3004,1)),INDEX('AH History'!$F$1:$F$18046,AH!$P$7+1086))),NA()),NA())</ns0:f>
        <ns0:v/>
      </ns0:c>
      <ns0:c r="H1091">
        <ns0:f>IFERROR(IF(AND(AH!$E$4="Bloomberg",AH!$P$10=1,ISNUMBER($A1091),$A1091&lt;=AH!$P$17),AH!$P$7-1+MATCH($A1091,INDEX('AH History'!$A$1:$A$18046,AH!$P$7):INDEX('AH History'!$A$1:$A$18046,AH!$P$7+AH!$P$8-1),0),0),0)</ns0:f>
        <ns0:v/>
      </ns0:c>
      <ns0:c r="I1091">
        <ns0:f>IF($H1091=0,0,IFERROR(IF(AND(ABS($C1091-INDEX('AH History'!$B$1:$B$18046,$H1091))&lt;=MAX(0.005,ABS(INDEX('AH History'!$B$1:$B$18046,$H1091))*0.00005),ABS($D1091-INDEX('AH History'!$C$1:$C$18046,$H1091))&lt;=MAX(0.005,ABS(INDEX('AH History'!$C$1:$C$18046,$H1091))*0.00005),ABS($E1091-INDEX('AH History'!$D$1:$D$18046,$H1091))&lt;=0.00005,$F1091=INDEX('AH History'!$E$1:$E$18046,$H1091),$G1091=INDEX('AH History'!$F$1:$F$18046,$H1091)),1,-1),-1))</ns0:f>
        <ns0:v/>
      </ns0:c>
    </ns0:row>
    <ns0:row r="1092">
      <ns0:c r="A1092" s="215">
        <ns0:f>IF(OR(AH!$P$3=0,1087+1&gt;AH!$P$11,AND(AH!$E$4&lt;&gt;"Stored",AH!$P$10&lt;&gt;1)),"",IFERROR(IF(AND(AH!$P$21=1,1087+1=AH!$P$11),TODAY(),IF(AH!$P$10=1,INDEX('Live History'!$A$5:$A$3004,AH!$P$13+1087),INDEX('AH History'!$A$1:$A$18046,AH!$P$7+1087))),""))</ns0:f>
        <ns0:v/>
      </ns0:c>
      <ns0:c r="B1092" s="219">
        <ns0:f>IFERROR(IF(AND(AH!$P$9&lt;&gt;1,$C1092&gt;0,$D1092&gt;0,$E1092&gt;0,$F1092&gt;0,$G1092&gt;0,$F1092&lt;=$A1092,$G1092&lt;=$A1092,$A1092-$F1092&lt;=10,$A1092-$G1092&lt;=5),$D1092*$E1092/$C1092-1,NA()),NA())</ns0:f>
        <ns0:v/>
      </ns0:c>
      <ns0:c r="C1092">
        <ns0:f>IFERROR(IF(ISNUMBER($A1092),IF(AND(AH!$P$10=1,AH!$P$12=1,$A1092=TODAY()),AH!$P$19,IF(AH!$P$10=1,INDEX('Live History'!$B$5:$B$3004,AH!$P$13+1087),INDEX('AH History'!$B$1:$B$18046,AH!$P$7+1087))),NA()),NA())</ns0:f>
        <ns0:v/>
      </ns0:c>
      <ns0:c r="D1092">
        <ns0:f>IFERROR(IF(ISNUMBER($A1092),IF(AND(AH!$P$10=1,AH!$P$12=1,$A1092=TODAY()),AH!$P$18,IF(AH!$P$10=1,INDEX('Live History'!$E$5:$E$3004,MATCH($A1092,'Live History'!$D$5:$D$3004,1)),INDEX('AH History'!$C$1:$C$18046,AH!$P$7+1087))),NA()),NA())</ns0:f>
        <ns0:v/>
      </ns0:c>
      <ns0:c r="E1092">
        <ns0:f>IFERROR(IF(ISNUMBER($A1092),IF(AND(AH!$P$10=1,AH!$P$12=1,$A1092=TODAY()),AH!$P$20,IF(AH!$P$10=1,INDEX('Live History'!$H$5:$H$3004,MATCH($A1092,'Live History'!$G$5:$G$3004,1)),INDEX('AH History'!$D$1:$D$18046,AH!$P$7+1087))),NA()),NA())</ns0:f>
        <ns0:v/>
      </ns0:c>
      <ns0:c r="F1092">
        <ns0:f>IFERROR(IF(ISNUMBER($A1092),IF(AND(AH!$P$10=1,AH!$P$12=1,$A1092=TODAY()),IF(AND(AH!$P$10=1,AH!$P$12=1,$A1092=TODAY()),TODAY(),NA()),IF(AH!$P$10=1,INDEX('Live History'!$D$5:$D$3004,MATCH($A1092,'Live History'!$D$5:$D$3004,1)),INDEX('AH History'!$E$1:$E$18046,AH!$P$7+1087))),NA()),NA())</ns0:f>
        <ns0:v/>
      </ns0:c>
      <ns0:c r="G1092">
        <ns0:f>IFERROR(IF(ISNUMBER($A1092),IF(AND(AH!$P$10=1,AH!$P$12=1,$A1092=TODAY()),IF(AND(AH!$P$10=1,AH!$P$12=1,$A1092=TODAY()),TODAY(),NA()),IF(AH!$P$10=1,INDEX('Live History'!$G$5:$G$3004,MATCH($A1092,'Live History'!$G$5:$G$3004,1)),INDEX('AH History'!$F$1:$F$18046,AH!$P$7+1087))),NA()),NA())</ns0:f>
        <ns0:v/>
      </ns0:c>
      <ns0:c r="H1092">
        <ns0:f>IFERROR(IF(AND(AH!$E$4="Bloomberg",AH!$P$10=1,ISNUMBER($A1092),$A1092&lt;=AH!$P$17),AH!$P$7-1+MATCH($A1092,INDEX('AH History'!$A$1:$A$18046,AH!$P$7):INDEX('AH History'!$A$1:$A$18046,AH!$P$7+AH!$P$8-1),0),0),0)</ns0:f>
        <ns0:v/>
      </ns0:c>
      <ns0:c r="I1092">
        <ns0:f>IF($H1092=0,0,IFERROR(IF(AND(ABS($C1092-INDEX('AH History'!$B$1:$B$18046,$H1092))&lt;=MAX(0.005,ABS(INDEX('AH History'!$B$1:$B$18046,$H1092))*0.00005),ABS($D1092-INDEX('AH History'!$C$1:$C$18046,$H1092))&lt;=MAX(0.005,ABS(INDEX('AH History'!$C$1:$C$18046,$H1092))*0.00005),ABS($E1092-INDEX('AH History'!$D$1:$D$18046,$H1092))&lt;=0.00005,$F1092=INDEX('AH History'!$E$1:$E$18046,$H1092),$G1092=INDEX('AH History'!$F$1:$F$18046,$H1092)),1,-1),-1))</ns0:f>
        <ns0:v/>
      </ns0:c>
    </ns0:row>
    <ns0:row r="1093">
      <ns0:c r="A1093" s="215">
        <ns0:f>IF(OR(AH!$P$3=0,1088+1&gt;AH!$P$11,AND(AH!$E$4&lt;&gt;"Stored",AH!$P$10&lt;&gt;1)),"",IFERROR(IF(AND(AH!$P$21=1,1088+1=AH!$P$11),TODAY(),IF(AH!$P$10=1,INDEX('Live History'!$A$5:$A$3004,AH!$P$13+1088),INDEX('AH History'!$A$1:$A$18046,AH!$P$7+1088))),""))</ns0:f>
        <ns0:v/>
      </ns0:c>
      <ns0:c r="B1093" s="219">
        <ns0:f>IFERROR(IF(AND(AH!$P$9&lt;&gt;1,$C1093&gt;0,$D1093&gt;0,$E1093&gt;0,$F1093&gt;0,$G1093&gt;0,$F1093&lt;=$A1093,$G1093&lt;=$A1093,$A1093-$F1093&lt;=10,$A1093-$G1093&lt;=5),$D1093*$E1093/$C1093-1,NA()),NA())</ns0:f>
        <ns0:v/>
      </ns0:c>
      <ns0:c r="C1093">
        <ns0:f>IFERROR(IF(ISNUMBER($A1093),IF(AND(AH!$P$10=1,AH!$P$12=1,$A1093=TODAY()),AH!$P$19,IF(AH!$P$10=1,INDEX('Live History'!$B$5:$B$3004,AH!$P$13+1088),INDEX('AH History'!$B$1:$B$18046,AH!$P$7+1088))),NA()),NA())</ns0:f>
        <ns0:v/>
      </ns0:c>
      <ns0:c r="D1093">
        <ns0:f>IFERROR(IF(ISNUMBER($A1093),IF(AND(AH!$P$10=1,AH!$P$12=1,$A1093=TODAY()),AH!$P$18,IF(AH!$P$10=1,INDEX('Live History'!$E$5:$E$3004,MATCH($A1093,'Live History'!$D$5:$D$3004,1)),INDEX('AH History'!$C$1:$C$18046,AH!$P$7+1088))),NA()),NA())</ns0:f>
        <ns0:v/>
      </ns0:c>
      <ns0:c r="E1093">
        <ns0:f>IFERROR(IF(ISNUMBER($A1093),IF(AND(AH!$P$10=1,AH!$P$12=1,$A1093=TODAY()),AH!$P$20,IF(AH!$P$10=1,INDEX('Live History'!$H$5:$H$3004,MATCH($A1093,'Live History'!$G$5:$G$3004,1)),INDEX('AH History'!$D$1:$D$18046,AH!$P$7+1088))),NA()),NA())</ns0:f>
        <ns0:v/>
      </ns0:c>
      <ns0:c r="F1093">
        <ns0:f>IFERROR(IF(ISNUMBER($A1093),IF(AND(AH!$P$10=1,AH!$P$12=1,$A1093=TODAY()),IF(AND(AH!$P$10=1,AH!$P$12=1,$A1093=TODAY()),TODAY(),NA()),IF(AH!$P$10=1,INDEX('Live History'!$D$5:$D$3004,MATCH($A1093,'Live History'!$D$5:$D$3004,1)),INDEX('AH History'!$E$1:$E$18046,AH!$P$7+1088))),NA()),NA())</ns0:f>
        <ns0:v/>
      </ns0:c>
      <ns0:c r="G1093">
        <ns0:f>IFERROR(IF(ISNUMBER($A1093),IF(AND(AH!$P$10=1,AH!$P$12=1,$A1093=TODAY()),IF(AND(AH!$P$10=1,AH!$P$12=1,$A1093=TODAY()),TODAY(),NA()),IF(AH!$P$10=1,INDEX('Live History'!$G$5:$G$3004,MATCH($A1093,'Live History'!$G$5:$G$3004,1)),INDEX('AH History'!$F$1:$F$18046,AH!$P$7+1088))),NA()),NA())</ns0:f>
        <ns0:v/>
      </ns0:c>
      <ns0:c r="H1093">
        <ns0:f>IFERROR(IF(AND(AH!$E$4="Bloomberg",AH!$P$10=1,ISNUMBER($A1093),$A1093&lt;=AH!$P$17),AH!$P$7-1+MATCH($A1093,INDEX('AH History'!$A$1:$A$18046,AH!$P$7):INDEX('AH History'!$A$1:$A$18046,AH!$P$7+AH!$P$8-1),0),0),0)</ns0:f>
        <ns0:v/>
      </ns0:c>
      <ns0:c r="I1093">
        <ns0:f>IF($H1093=0,0,IFERROR(IF(AND(ABS($C1093-INDEX('AH History'!$B$1:$B$18046,$H1093))&lt;=MAX(0.005,ABS(INDEX('AH History'!$B$1:$B$18046,$H1093))*0.00005),ABS($D1093-INDEX('AH History'!$C$1:$C$18046,$H1093))&lt;=MAX(0.005,ABS(INDEX('AH History'!$C$1:$C$18046,$H1093))*0.00005),ABS($E1093-INDEX('AH History'!$D$1:$D$18046,$H1093))&lt;=0.00005,$F1093=INDEX('AH History'!$E$1:$E$18046,$H1093),$G1093=INDEX('AH History'!$F$1:$F$18046,$H1093)),1,-1),-1))</ns0:f>
        <ns0:v/>
      </ns0:c>
    </ns0:row>
    <ns0:row r="1094">
      <ns0:c r="A1094" s="215">
        <ns0:f>IF(OR(AH!$P$3=0,1089+1&gt;AH!$P$11,AND(AH!$E$4&lt;&gt;"Stored",AH!$P$10&lt;&gt;1)),"",IFERROR(IF(AND(AH!$P$21=1,1089+1=AH!$P$11),TODAY(),IF(AH!$P$10=1,INDEX('Live History'!$A$5:$A$3004,AH!$P$13+1089),INDEX('AH History'!$A$1:$A$18046,AH!$P$7+1089))),""))</ns0:f>
        <ns0:v/>
      </ns0:c>
      <ns0:c r="B1094" s="219">
        <ns0:f>IFERROR(IF(AND(AH!$P$9&lt;&gt;1,$C1094&gt;0,$D1094&gt;0,$E1094&gt;0,$F1094&gt;0,$G1094&gt;0,$F1094&lt;=$A1094,$G1094&lt;=$A1094,$A1094-$F1094&lt;=10,$A1094-$G1094&lt;=5),$D1094*$E1094/$C1094-1,NA()),NA())</ns0:f>
        <ns0:v/>
      </ns0:c>
      <ns0:c r="C1094">
        <ns0:f>IFERROR(IF(ISNUMBER($A1094),IF(AND(AH!$P$10=1,AH!$P$12=1,$A1094=TODAY()),AH!$P$19,IF(AH!$P$10=1,INDEX('Live History'!$B$5:$B$3004,AH!$P$13+1089),INDEX('AH History'!$B$1:$B$18046,AH!$P$7+1089))),NA()),NA())</ns0:f>
        <ns0:v/>
      </ns0:c>
      <ns0:c r="D1094">
        <ns0:f>IFERROR(IF(ISNUMBER($A1094),IF(AND(AH!$P$10=1,AH!$P$12=1,$A1094=TODAY()),AH!$P$18,IF(AH!$P$10=1,INDEX('Live History'!$E$5:$E$3004,MATCH($A1094,'Live History'!$D$5:$D$3004,1)),INDEX('AH History'!$C$1:$C$18046,AH!$P$7+1089))),NA()),NA())</ns0:f>
        <ns0:v/>
      </ns0:c>
      <ns0:c r="E1094">
        <ns0:f>IFERROR(IF(ISNUMBER($A1094),IF(AND(AH!$P$10=1,AH!$P$12=1,$A1094=TODAY()),AH!$P$20,IF(AH!$P$10=1,INDEX('Live History'!$H$5:$H$3004,MATCH($A1094,'Live History'!$G$5:$G$3004,1)),INDEX('AH History'!$D$1:$D$18046,AH!$P$7+1089))),NA()),NA())</ns0:f>
        <ns0:v/>
      </ns0:c>
      <ns0:c r="F1094">
        <ns0:f>IFERROR(IF(ISNUMBER($A1094),IF(AND(AH!$P$10=1,AH!$P$12=1,$A1094=TODAY()),IF(AND(AH!$P$10=1,AH!$P$12=1,$A1094=TODAY()),TODAY(),NA()),IF(AH!$P$10=1,INDEX('Live History'!$D$5:$D$3004,MATCH($A1094,'Live History'!$D$5:$D$3004,1)),INDEX('AH History'!$E$1:$E$18046,AH!$P$7+1089))),NA()),NA())</ns0:f>
        <ns0:v/>
      </ns0:c>
      <ns0:c r="G1094">
        <ns0:f>IFERROR(IF(ISNUMBER($A1094),IF(AND(AH!$P$10=1,AH!$P$12=1,$A1094=TODAY()),IF(AND(AH!$P$10=1,AH!$P$12=1,$A1094=TODAY()),TODAY(),NA()),IF(AH!$P$10=1,INDEX('Live History'!$G$5:$G$3004,MATCH($A1094,'Live History'!$G$5:$G$3004,1)),INDEX('AH History'!$F$1:$F$18046,AH!$P$7+1089))),NA()),NA())</ns0:f>
        <ns0:v/>
      </ns0:c>
      <ns0:c r="H1094">
        <ns0:f>IFERROR(IF(AND(AH!$E$4="Bloomberg",AH!$P$10=1,ISNUMBER($A1094),$A1094&lt;=AH!$P$17),AH!$P$7-1+MATCH($A1094,INDEX('AH History'!$A$1:$A$18046,AH!$P$7):INDEX('AH History'!$A$1:$A$18046,AH!$P$7+AH!$P$8-1),0),0),0)</ns0:f>
        <ns0:v/>
      </ns0:c>
      <ns0:c r="I1094">
        <ns0:f>IF($H1094=0,0,IFERROR(IF(AND(ABS($C1094-INDEX('AH History'!$B$1:$B$18046,$H1094))&lt;=MAX(0.005,ABS(INDEX('AH History'!$B$1:$B$18046,$H1094))*0.00005),ABS($D1094-INDEX('AH History'!$C$1:$C$18046,$H1094))&lt;=MAX(0.005,ABS(INDEX('AH History'!$C$1:$C$18046,$H1094))*0.00005),ABS($E1094-INDEX('AH History'!$D$1:$D$18046,$H1094))&lt;=0.00005,$F1094=INDEX('AH History'!$E$1:$E$18046,$H1094),$G1094=INDEX('AH History'!$F$1:$F$18046,$H1094)),1,-1),-1))</ns0:f>
        <ns0:v/>
      </ns0:c>
    </ns0:row>
    <ns0:row r="1095">
      <ns0:c r="A1095" s="215">
        <ns0:f>IF(OR(AH!$P$3=0,1090+1&gt;AH!$P$11,AND(AH!$E$4&lt;&gt;"Stored",AH!$P$10&lt;&gt;1)),"",IFERROR(IF(AND(AH!$P$21=1,1090+1=AH!$P$11),TODAY(),IF(AH!$P$10=1,INDEX('Live History'!$A$5:$A$3004,AH!$P$13+1090),INDEX('AH History'!$A$1:$A$18046,AH!$P$7+1090))),""))</ns0:f>
        <ns0:v/>
      </ns0:c>
      <ns0:c r="B1095" s="219">
        <ns0:f>IFERROR(IF(AND(AH!$P$9&lt;&gt;1,$C1095&gt;0,$D1095&gt;0,$E1095&gt;0,$F1095&gt;0,$G1095&gt;0,$F1095&lt;=$A1095,$G1095&lt;=$A1095,$A1095-$F1095&lt;=10,$A1095-$G1095&lt;=5),$D1095*$E1095/$C1095-1,NA()),NA())</ns0:f>
        <ns0:v/>
      </ns0:c>
      <ns0:c r="C1095">
        <ns0:f>IFERROR(IF(ISNUMBER($A1095),IF(AND(AH!$P$10=1,AH!$P$12=1,$A1095=TODAY()),AH!$P$19,IF(AH!$P$10=1,INDEX('Live History'!$B$5:$B$3004,AH!$P$13+1090),INDEX('AH History'!$B$1:$B$18046,AH!$P$7+1090))),NA()),NA())</ns0:f>
        <ns0:v/>
      </ns0:c>
      <ns0:c r="D1095">
        <ns0:f>IFERROR(IF(ISNUMBER($A1095),IF(AND(AH!$P$10=1,AH!$P$12=1,$A1095=TODAY()),AH!$P$18,IF(AH!$P$10=1,INDEX('Live History'!$E$5:$E$3004,MATCH($A1095,'Live History'!$D$5:$D$3004,1)),INDEX('AH History'!$C$1:$C$18046,AH!$P$7+1090))),NA()),NA())</ns0:f>
        <ns0:v/>
      </ns0:c>
      <ns0:c r="E1095">
        <ns0:f>IFERROR(IF(ISNUMBER($A1095),IF(AND(AH!$P$10=1,AH!$P$12=1,$A1095=TODAY()),AH!$P$20,IF(AH!$P$10=1,INDEX('Live History'!$H$5:$H$3004,MATCH($A1095,'Live History'!$G$5:$G$3004,1)),INDEX('AH History'!$D$1:$D$18046,AH!$P$7+1090))),NA()),NA())</ns0:f>
        <ns0:v/>
      </ns0:c>
      <ns0:c r="F1095">
        <ns0:f>IFERROR(IF(ISNUMBER($A1095),IF(AND(AH!$P$10=1,AH!$P$12=1,$A1095=TODAY()),IF(AND(AH!$P$10=1,AH!$P$12=1,$A1095=TODAY()),TODAY(),NA()),IF(AH!$P$10=1,INDEX('Live History'!$D$5:$D$3004,MATCH($A1095,'Live History'!$D$5:$D$3004,1)),INDEX('AH History'!$E$1:$E$18046,AH!$P$7+1090))),NA()),NA())</ns0:f>
        <ns0:v/>
      </ns0:c>
      <ns0:c r="G1095">
        <ns0:f>IFERROR(IF(ISNUMBER($A1095),IF(AND(AH!$P$10=1,AH!$P$12=1,$A1095=TODAY()),IF(AND(AH!$P$10=1,AH!$P$12=1,$A1095=TODAY()),TODAY(),NA()),IF(AH!$P$10=1,INDEX('Live History'!$G$5:$G$3004,MATCH($A1095,'Live History'!$G$5:$G$3004,1)),INDEX('AH History'!$F$1:$F$18046,AH!$P$7+1090))),NA()),NA())</ns0:f>
        <ns0:v/>
      </ns0:c>
      <ns0:c r="H1095">
        <ns0:f>IFERROR(IF(AND(AH!$E$4="Bloomberg",AH!$P$10=1,ISNUMBER($A1095),$A1095&lt;=AH!$P$17),AH!$P$7-1+MATCH($A1095,INDEX('AH History'!$A$1:$A$18046,AH!$P$7):INDEX('AH History'!$A$1:$A$18046,AH!$P$7+AH!$P$8-1),0),0),0)</ns0:f>
        <ns0:v/>
      </ns0:c>
      <ns0:c r="I1095">
        <ns0:f>IF($H1095=0,0,IFERROR(IF(AND(ABS($C1095-INDEX('AH History'!$B$1:$B$18046,$H1095))&lt;=MAX(0.005,ABS(INDEX('AH History'!$B$1:$B$18046,$H1095))*0.00005),ABS($D1095-INDEX('AH History'!$C$1:$C$18046,$H1095))&lt;=MAX(0.005,ABS(INDEX('AH History'!$C$1:$C$18046,$H1095))*0.00005),ABS($E1095-INDEX('AH History'!$D$1:$D$18046,$H1095))&lt;=0.00005,$F1095=INDEX('AH History'!$E$1:$E$18046,$H1095),$G1095=INDEX('AH History'!$F$1:$F$18046,$H1095)),1,-1),-1))</ns0:f>
        <ns0:v/>
      </ns0:c>
    </ns0:row>
    <ns0:row r="1096">
      <ns0:c r="A1096" s="215">
        <ns0:f>IF(OR(AH!$P$3=0,1091+1&gt;AH!$P$11,AND(AH!$E$4&lt;&gt;"Stored",AH!$P$10&lt;&gt;1)),"",IFERROR(IF(AND(AH!$P$21=1,1091+1=AH!$P$11),TODAY(),IF(AH!$P$10=1,INDEX('Live History'!$A$5:$A$3004,AH!$P$13+1091),INDEX('AH History'!$A$1:$A$18046,AH!$P$7+1091))),""))</ns0:f>
        <ns0:v/>
      </ns0:c>
      <ns0:c r="B1096" s="219">
        <ns0:f>IFERROR(IF(AND(AH!$P$9&lt;&gt;1,$C1096&gt;0,$D1096&gt;0,$E1096&gt;0,$F1096&gt;0,$G1096&gt;0,$F1096&lt;=$A1096,$G1096&lt;=$A1096,$A1096-$F1096&lt;=10,$A1096-$G1096&lt;=5),$D1096*$E1096/$C1096-1,NA()),NA())</ns0:f>
        <ns0:v/>
      </ns0:c>
      <ns0:c r="C1096">
        <ns0:f>IFERROR(IF(ISNUMBER($A1096),IF(AND(AH!$P$10=1,AH!$P$12=1,$A1096=TODAY()),AH!$P$19,IF(AH!$P$10=1,INDEX('Live History'!$B$5:$B$3004,AH!$P$13+1091),INDEX('AH History'!$B$1:$B$18046,AH!$P$7+1091))),NA()),NA())</ns0:f>
        <ns0:v/>
      </ns0:c>
      <ns0:c r="D1096">
        <ns0:f>IFERROR(IF(ISNUMBER($A1096),IF(AND(AH!$P$10=1,AH!$P$12=1,$A1096=TODAY()),AH!$P$18,IF(AH!$P$10=1,INDEX('Live History'!$E$5:$E$3004,MATCH($A1096,'Live History'!$D$5:$D$3004,1)),INDEX('AH History'!$C$1:$C$18046,AH!$P$7+1091))),NA()),NA())</ns0:f>
        <ns0:v/>
      </ns0:c>
      <ns0:c r="E1096">
        <ns0:f>IFERROR(IF(ISNUMBER($A1096),IF(AND(AH!$P$10=1,AH!$P$12=1,$A1096=TODAY()),AH!$P$20,IF(AH!$P$10=1,INDEX('Live History'!$H$5:$H$3004,MATCH($A1096,'Live History'!$G$5:$G$3004,1)),INDEX('AH History'!$D$1:$D$18046,AH!$P$7+1091))),NA()),NA())</ns0:f>
        <ns0:v/>
      </ns0:c>
      <ns0:c r="F1096">
        <ns0:f>IFERROR(IF(ISNUMBER($A1096),IF(AND(AH!$P$10=1,AH!$P$12=1,$A1096=TODAY()),IF(AND(AH!$P$10=1,AH!$P$12=1,$A1096=TODAY()),TODAY(),NA()),IF(AH!$P$10=1,INDEX('Live History'!$D$5:$D$3004,MATCH($A1096,'Live History'!$D$5:$D$3004,1)),INDEX('AH History'!$E$1:$E$18046,AH!$P$7+1091))),NA()),NA())</ns0:f>
        <ns0:v/>
      </ns0:c>
      <ns0:c r="G1096">
        <ns0:f>IFERROR(IF(ISNUMBER($A1096),IF(AND(AH!$P$10=1,AH!$P$12=1,$A1096=TODAY()),IF(AND(AH!$P$10=1,AH!$P$12=1,$A1096=TODAY()),TODAY(),NA()),IF(AH!$P$10=1,INDEX('Live History'!$G$5:$G$3004,MATCH($A1096,'Live History'!$G$5:$G$3004,1)),INDEX('AH History'!$F$1:$F$18046,AH!$P$7+1091))),NA()),NA())</ns0:f>
        <ns0:v/>
      </ns0:c>
      <ns0:c r="H1096">
        <ns0:f>IFERROR(IF(AND(AH!$E$4="Bloomberg",AH!$P$10=1,ISNUMBER($A1096),$A1096&lt;=AH!$P$17),AH!$P$7-1+MATCH($A1096,INDEX('AH History'!$A$1:$A$18046,AH!$P$7):INDEX('AH History'!$A$1:$A$18046,AH!$P$7+AH!$P$8-1),0),0),0)</ns0:f>
        <ns0:v/>
      </ns0:c>
      <ns0:c r="I1096">
        <ns0:f>IF($H1096=0,0,IFERROR(IF(AND(ABS($C1096-INDEX('AH History'!$B$1:$B$18046,$H1096))&lt;=MAX(0.005,ABS(INDEX('AH History'!$B$1:$B$18046,$H1096))*0.00005),ABS($D1096-INDEX('AH History'!$C$1:$C$18046,$H1096))&lt;=MAX(0.005,ABS(INDEX('AH History'!$C$1:$C$18046,$H1096))*0.00005),ABS($E1096-INDEX('AH History'!$D$1:$D$18046,$H1096))&lt;=0.00005,$F1096=INDEX('AH History'!$E$1:$E$18046,$H1096),$G1096=INDEX('AH History'!$F$1:$F$18046,$H1096)),1,-1),-1))</ns0:f>
        <ns0:v/>
      </ns0:c>
    </ns0:row>
    <ns0:row r="1097">
      <ns0:c r="A1097" s="215">
        <ns0:f>IF(OR(AH!$P$3=0,1092+1&gt;AH!$P$11,AND(AH!$E$4&lt;&gt;"Stored",AH!$P$10&lt;&gt;1)),"",IFERROR(IF(AND(AH!$P$21=1,1092+1=AH!$P$11),TODAY(),IF(AH!$P$10=1,INDEX('Live History'!$A$5:$A$3004,AH!$P$13+1092),INDEX('AH History'!$A$1:$A$18046,AH!$P$7+1092))),""))</ns0:f>
        <ns0:v/>
      </ns0:c>
      <ns0:c r="B1097" s="219">
        <ns0:f>IFERROR(IF(AND(AH!$P$9&lt;&gt;1,$C1097&gt;0,$D1097&gt;0,$E1097&gt;0,$F1097&gt;0,$G1097&gt;0,$F1097&lt;=$A1097,$G1097&lt;=$A1097,$A1097-$F1097&lt;=10,$A1097-$G1097&lt;=5),$D1097*$E1097/$C1097-1,NA()),NA())</ns0:f>
        <ns0:v/>
      </ns0:c>
      <ns0:c r="C1097">
        <ns0:f>IFERROR(IF(ISNUMBER($A1097),IF(AND(AH!$P$10=1,AH!$P$12=1,$A1097=TODAY()),AH!$P$19,IF(AH!$P$10=1,INDEX('Live History'!$B$5:$B$3004,AH!$P$13+1092),INDEX('AH History'!$B$1:$B$18046,AH!$P$7+1092))),NA()),NA())</ns0:f>
        <ns0:v/>
      </ns0:c>
      <ns0:c r="D1097">
        <ns0:f>IFERROR(IF(ISNUMBER($A1097),IF(AND(AH!$P$10=1,AH!$P$12=1,$A1097=TODAY()),AH!$P$18,IF(AH!$P$10=1,INDEX('Live History'!$E$5:$E$3004,MATCH($A1097,'Live History'!$D$5:$D$3004,1)),INDEX('AH History'!$C$1:$C$18046,AH!$P$7+1092))),NA()),NA())</ns0:f>
        <ns0:v/>
      </ns0:c>
      <ns0:c r="E1097">
        <ns0:f>IFERROR(IF(ISNUMBER($A1097),IF(AND(AH!$P$10=1,AH!$P$12=1,$A1097=TODAY()),AH!$P$20,IF(AH!$P$10=1,INDEX('Live History'!$H$5:$H$3004,MATCH($A1097,'Live History'!$G$5:$G$3004,1)),INDEX('AH History'!$D$1:$D$18046,AH!$P$7+1092))),NA()),NA())</ns0:f>
        <ns0:v/>
      </ns0:c>
      <ns0:c r="F1097">
        <ns0:f>IFERROR(IF(ISNUMBER($A1097),IF(AND(AH!$P$10=1,AH!$P$12=1,$A1097=TODAY()),IF(AND(AH!$P$10=1,AH!$P$12=1,$A1097=TODAY()),TODAY(),NA()),IF(AH!$P$10=1,INDEX('Live History'!$D$5:$D$3004,MATCH($A1097,'Live History'!$D$5:$D$3004,1)),INDEX('AH History'!$E$1:$E$18046,AH!$P$7+1092))),NA()),NA())</ns0:f>
        <ns0:v/>
      </ns0:c>
      <ns0:c r="G1097">
        <ns0:f>IFERROR(IF(ISNUMBER($A1097),IF(AND(AH!$P$10=1,AH!$P$12=1,$A1097=TODAY()),IF(AND(AH!$P$10=1,AH!$P$12=1,$A1097=TODAY()),TODAY(),NA()),IF(AH!$P$10=1,INDEX('Live History'!$G$5:$G$3004,MATCH($A1097,'Live History'!$G$5:$G$3004,1)),INDEX('AH History'!$F$1:$F$18046,AH!$P$7+1092))),NA()),NA())</ns0:f>
        <ns0:v/>
      </ns0:c>
      <ns0:c r="H1097">
        <ns0:f>IFERROR(IF(AND(AH!$E$4="Bloomberg",AH!$P$10=1,ISNUMBER($A1097),$A1097&lt;=AH!$P$17),AH!$P$7-1+MATCH($A1097,INDEX('AH History'!$A$1:$A$18046,AH!$P$7):INDEX('AH History'!$A$1:$A$18046,AH!$P$7+AH!$P$8-1),0),0),0)</ns0:f>
        <ns0:v/>
      </ns0:c>
      <ns0:c r="I1097">
        <ns0:f>IF($H1097=0,0,IFERROR(IF(AND(ABS($C1097-INDEX('AH History'!$B$1:$B$18046,$H1097))&lt;=MAX(0.005,ABS(INDEX('AH History'!$B$1:$B$18046,$H1097))*0.00005),ABS($D1097-INDEX('AH History'!$C$1:$C$18046,$H1097))&lt;=MAX(0.005,ABS(INDEX('AH History'!$C$1:$C$18046,$H1097))*0.00005),ABS($E1097-INDEX('AH History'!$D$1:$D$18046,$H1097))&lt;=0.00005,$F1097=INDEX('AH History'!$E$1:$E$18046,$H1097),$G1097=INDEX('AH History'!$F$1:$F$18046,$H1097)),1,-1),-1))</ns0:f>
        <ns0:v/>
      </ns0:c>
    </ns0:row>
    <ns0:row r="1098">
      <ns0:c r="A1098" s="215">
        <ns0:f>IF(OR(AH!$P$3=0,1093+1&gt;AH!$P$11,AND(AH!$E$4&lt;&gt;"Stored",AH!$P$10&lt;&gt;1)),"",IFERROR(IF(AND(AH!$P$21=1,1093+1=AH!$P$11),TODAY(),IF(AH!$P$10=1,INDEX('Live History'!$A$5:$A$3004,AH!$P$13+1093),INDEX('AH History'!$A$1:$A$18046,AH!$P$7+1093))),""))</ns0:f>
        <ns0:v/>
      </ns0:c>
      <ns0:c r="B1098" s="219">
        <ns0:f>IFERROR(IF(AND(AH!$P$9&lt;&gt;1,$C1098&gt;0,$D1098&gt;0,$E1098&gt;0,$F1098&gt;0,$G1098&gt;0,$F1098&lt;=$A1098,$G1098&lt;=$A1098,$A1098-$F1098&lt;=10,$A1098-$G1098&lt;=5),$D1098*$E1098/$C1098-1,NA()),NA())</ns0:f>
        <ns0:v/>
      </ns0:c>
      <ns0:c r="C1098">
        <ns0:f>IFERROR(IF(ISNUMBER($A1098),IF(AND(AH!$P$10=1,AH!$P$12=1,$A1098=TODAY()),AH!$P$19,IF(AH!$P$10=1,INDEX('Live History'!$B$5:$B$3004,AH!$P$13+1093),INDEX('AH History'!$B$1:$B$18046,AH!$P$7+1093))),NA()),NA())</ns0:f>
        <ns0:v/>
      </ns0:c>
      <ns0:c r="D1098">
        <ns0:f>IFERROR(IF(ISNUMBER($A1098),IF(AND(AH!$P$10=1,AH!$P$12=1,$A1098=TODAY()),AH!$P$18,IF(AH!$P$10=1,INDEX('Live History'!$E$5:$E$3004,MATCH($A1098,'Live History'!$D$5:$D$3004,1)),INDEX('AH History'!$C$1:$C$18046,AH!$P$7+1093))),NA()),NA())</ns0:f>
        <ns0:v/>
      </ns0:c>
      <ns0:c r="E1098">
        <ns0:f>IFERROR(IF(ISNUMBER($A1098),IF(AND(AH!$P$10=1,AH!$P$12=1,$A1098=TODAY()),AH!$P$20,IF(AH!$P$10=1,INDEX('Live History'!$H$5:$H$3004,MATCH($A1098,'Live History'!$G$5:$G$3004,1)),INDEX('AH History'!$D$1:$D$18046,AH!$P$7+1093))),NA()),NA())</ns0:f>
        <ns0:v/>
      </ns0:c>
      <ns0:c r="F1098">
        <ns0:f>IFERROR(IF(ISNUMBER($A1098),IF(AND(AH!$P$10=1,AH!$P$12=1,$A1098=TODAY()),IF(AND(AH!$P$10=1,AH!$P$12=1,$A1098=TODAY()),TODAY(),NA()),IF(AH!$P$10=1,INDEX('Live History'!$D$5:$D$3004,MATCH($A1098,'Live History'!$D$5:$D$3004,1)),INDEX('AH History'!$E$1:$E$18046,AH!$P$7+1093))),NA()),NA())</ns0:f>
        <ns0:v/>
      </ns0:c>
      <ns0:c r="G1098">
        <ns0:f>IFERROR(IF(ISNUMBER($A1098),IF(AND(AH!$P$10=1,AH!$P$12=1,$A1098=TODAY()),IF(AND(AH!$P$10=1,AH!$P$12=1,$A1098=TODAY()),TODAY(),NA()),IF(AH!$P$10=1,INDEX('Live History'!$G$5:$G$3004,MATCH($A1098,'Live History'!$G$5:$G$3004,1)),INDEX('AH History'!$F$1:$F$18046,AH!$P$7+1093))),NA()),NA())</ns0:f>
        <ns0:v/>
      </ns0:c>
      <ns0:c r="H1098">
        <ns0:f>IFERROR(IF(AND(AH!$E$4="Bloomberg",AH!$P$10=1,ISNUMBER($A1098),$A1098&lt;=AH!$P$17),AH!$P$7-1+MATCH($A1098,INDEX('AH History'!$A$1:$A$18046,AH!$P$7):INDEX('AH History'!$A$1:$A$18046,AH!$P$7+AH!$P$8-1),0),0),0)</ns0:f>
        <ns0:v/>
      </ns0:c>
      <ns0:c r="I1098">
        <ns0:f>IF($H1098=0,0,IFERROR(IF(AND(ABS($C1098-INDEX('AH History'!$B$1:$B$18046,$H1098))&lt;=MAX(0.005,ABS(INDEX('AH History'!$B$1:$B$18046,$H1098))*0.00005),ABS($D1098-INDEX('AH History'!$C$1:$C$18046,$H1098))&lt;=MAX(0.005,ABS(INDEX('AH History'!$C$1:$C$18046,$H1098))*0.00005),ABS($E1098-INDEX('AH History'!$D$1:$D$18046,$H1098))&lt;=0.00005,$F1098=INDEX('AH History'!$E$1:$E$18046,$H1098),$G1098=INDEX('AH History'!$F$1:$F$18046,$H1098)),1,-1),-1))</ns0:f>
        <ns0:v/>
      </ns0:c>
    </ns0:row>
    <ns0:row r="1099">
      <ns0:c r="A1099" s="215">
        <ns0:f>IF(OR(AH!$P$3=0,1094+1&gt;AH!$P$11,AND(AH!$E$4&lt;&gt;"Stored",AH!$P$10&lt;&gt;1)),"",IFERROR(IF(AND(AH!$P$21=1,1094+1=AH!$P$11),TODAY(),IF(AH!$P$10=1,INDEX('Live History'!$A$5:$A$3004,AH!$P$13+1094),INDEX('AH History'!$A$1:$A$18046,AH!$P$7+1094))),""))</ns0:f>
        <ns0:v/>
      </ns0:c>
      <ns0:c r="B1099" s="219">
        <ns0:f>IFERROR(IF(AND(AH!$P$9&lt;&gt;1,$C1099&gt;0,$D1099&gt;0,$E1099&gt;0,$F1099&gt;0,$G1099&gt;0,$F1099&lt;=$A1099,$G1099&lt;=$A1099,$A1099-$F1099&lt;=10,$A1099-$G1099&lt;=5),$D1099*$E1099/$C1099-1,NA()),NA())</ns0:f>
        <ns0:v/>
      </ns0:c>
      <ns0:c r="C1099">
        <ns0:f>IFERROR(IF(ISNUMBER($A1099),IF(AND(AH!$P$10=1,AH!$P$12=1,$A1099=TODAY()),AH!$P$19,IF(AH!$P$10=1,INDEX('Live History'!$B$5:$B$3004,AH!$P$13+1094),INDEX('AH History'!$B$1:$B$18046,AH!$P$7+1094))),NA()),NA())</ns0:f>
        <ns0:v/>
      </ns0:c>
      <ns0:c r="D1099">
        <ns0:f>IFERROR(IF(ISNUMBER($A1099),IF(AND(AH!$P$10=1,AH!$P$12=1,$A1099=TODAY()),AH!$P$18,IF(AH!$P$10=1,INDEX('Live History'!$E$5:$E$3004,MATCH($A1099,'Live History'!$D$5:$D$3004,1)),INDEX('AH History'!$C$1:$C$18046,AH!$P$7+1094))),NA()),NA())</ns0:f>
        <ns0:v/>
      </ns0:c>
      <ns0:c r="E1099">
        <ns0:f>IFERROR(IF(ISNUMBER($A1099),IF(AND(AH!$P$10=1,AH!$P$12=1,$A1099=TODAY()),AH!$P$20,IF(AH!$P$10=1,INDEX('Live History'!$H$5:$H$3004,MATCH($A1099,'Live History'!$G$5:$G$3004,1)),INDEX('AH History'!$D$1:$D$18046,AH!$P$7+1094))),NA()),NA())</ns0:f>
        <ns0:v/>
      </ns0:c>
      <ns0:c r="F1099">
        <ns0:f>IFERROR(IF(ISNUMBER($A1099),IF(AND(AH!$P$10=1,AH!$P$12=1,$A1099=TODAY()),IF(AND(AH!$P$10=1,AH!$P$12=1,$A1099=TODAY()),TODAY(),NA()),IF(AH!$P$10=1,INDEX('Live History'!$D$5:$D$3004,MATCH($A1099,'Live History'!$D$5:$D$3004,1)),INDEX('AH History'!$E$1:$E$18046,AH!$P$7+1094))),NA()),NA())</ns0:f>
        <ns0:v/>
      </ns0:c>
      <ns0:c r="G1099">
        <ns0:f>IFERROR(IF(ISNUMBER($A1099),IF(AND(AH!$P$10=1,AH!$P$12=1,$A1099=TODAY()),IF(AND(AH!$P$10=1,AH!$P$12=1,$A1099=TODAY()),TODAY(),NA()),IF(AH!$P$10=1,INDEX('Live History'!$G$5:$G$3004,MATCH($A1099,'Live History'!$G$5:$G$3004,1)),INDEX('AH History'!$F$1:$F$18046,AH!$P$7+1094))),NA()),NA())</ns0:f>
        <ns0:v/>
      </ns0:c>
      <ns0:c r="H1099">
        <ns0:f>IFERROR(IF(AND(AH!$E$4="Bloomberg",AH!$P$10=1,ISNUMBER($A1099),$A1099&lt;=AH!$P$17),AH!$P$7-1+MATCH($A1099,INDEX('AH History'!$A$1:$A$18046,AH!$P$7):INDEX('AH History'!$A$1:$A$18046,AH!$P$7+AH!$P$8-1),0),0),0)</ns0:f>
        <ns0:v/>
      </ns0:c>
      <ns0:c r="I1099">
        <ns0:f>IF($H1099=0,0,IFERROR(IF(AND(ABS($C1099-INDEX('AH History'!$B$1:$B$18046,$H1099))&lt;=MAX(0.005,ABS(INDEX('AH History'!$B$1:$B$18046,$H1099))*0.00005),ABS($D1099-INDEX('AH History'!$C$1:$C$18046,$H1099))&lt;=MAX(0.005,ABS(INDEX('AH History'!$C$1:$C$18046,$H1099))*0.00005),ABS($E1099-INDEX('AH History'!$D$1:$D$18046,$H1099))&lt;=0.00005,$F1099=INDEX('AH History'!$E$1:$E$18046,$H1099),$G1099=INDEX('AH History'!$F$1:$F$18046,$H1099)),1,-1),-1))</ns0:f>
        <ns0:v/>
      </ns0:c>
    </ns0:row>
    <ns0:row r="1100">
      <ns0:c r="A1100" s="215">
        <ns0:f>IF(OR(AH!$P$3=0,1095+1&gt;AH!$P$11,AND(AH!$E$4&lt;&gt;"Stored",AH!$P$10&lt;&gt;1)),"",IFERROR(IF(AND(AH!$P$21=1,1095+1=AH!$P$11),TODAY(),IF(AH!$P$10=1,INDEX('Live History'!$A$5:$A$3004,AH!$P$13+1095),INDEX('AH History'!$A$1:$A$18046,AH!$P$7+1095))),""))</ns0:f>
        <ns0:v/>
      </ns0:c>
      <ns0:c r="B1100" s="219">
        <ns0:f>IFERROR(IF(AND(AH!$P$9&lt;&gt;1,$C1100&gt;0,$D1100&gt;0,$E1100&gt;0,$F1100&gt;0,$G1100&gt;0,$F1100&lt;=$A1100,$G1100&lt;=$A1100,$A1100-$F1100&lt;=10,$A1100-$G1100&lt;=5),$D1100*$E1100/$C1100-1,NA()),NA())</ns0:f>
        <ns0:v/>
      </ns0:c>
      <ns0:c r="C1100">
        <ns0:f>IFERROR(IF(ISNUMBER($A1100),IF(AND(AH!$P$10=1,AH!$P$12=1,$A1100=TODAY()),AH!$P$19,IF(AH!$P$10=1,INDEX('Live History'!$B$5:$B$3004,AH!$P$13+1095),INDEX('AH History'!$B$1:$B$18046,AH!$P$7+1095))),NA()),NA())</ns0:f>
        <ns0:v/>
      </ns0:c>
      <ns0:c r="D1100">
        <ns0:f>IFERROR(IF(ISNUMBER($A1100),IF(AND(AH!$P$10=1,AH!$P$12=1,$A1100=TODAY()),AH!$P$18,IF(AH!$P$10=1,INDEX('Live History'!$E$5:$E$3004,MATCH($A1100,'Live History'!$D$5:$D$3004,1)),INDEX('AH History'!$C$1:$C$18046,AH!$P$7+1095))),NA()),NA())</ns0:f>
        <ns0:v/>
      </ns0:c>
      <ns0:c r="E1100">
        <ns0:f>IFERROR(IF(ISNUMBER($A1100),IF(AND(AH!$P$10=1,AH!$P$12=1,$A1100=TODAY()),AH!$P$20,IF(AH!$P$10=1,INDEX('Live History'!$H$5:$H$3004,MATCH($A1100,'Live History'!$G$5:$G$3004,1)),INDEX('AH History'!$D$1:$D$18046,AH!$P$7+1095))),NA()),NA())</ns0:f>
        <ns0:v/>
      </ns0:c>
      <ns0:c r="F1100">
        <ns0:f>IFERROR(IF(ISNUMBER($A1100),IF(AND(AH!$P$10=1,AH!$P$12=1,$A1100=TODAY()),IF(AND(AH!$P$10=1,AH!$P$12=1,$A1100=TODAY()),TODAY(),NA()),IF(AH!$P$10=1,INDEX('Live History'!$D$5:$D$3004,MATCH($A1100,'Live History'!$D$5:$D$3004,1)),INDEX('AH History'!$E$1:$E$18046,AH!$P$7+1095))),NA()),NA())</ns0:f>
        <ns0:v/>
      </ns0:c>
      <ns0:c r="G1100">
        <ns0:f>IFERROR(IF(ISNUMBER($A1100),IF(AND(AH!$P$10=1,AH!$P$12=1,$A1100=TODAY()),IF(AND(AH!$P$10=1,AH!$P$12=1,$A1100=TODAY()),TODAY(),NA()),IF(AH!$P$10=1,INDEX('Live History'!$G$5:$G$3004,MATCH($A1100,'Live History'!$G$5:$G$3004,1)),INDEX('AH History'!$F$1:$F$18046,AH!$P$7+1095))),NA()),NA())</ns0:f>
        <ns0:v/>
      </ns0:c>
      <ns0:c r="H1100">
        <ns0:f>IFERROR(IF(AND(AH!$E$4="Bloomberg",AH!$P$10=1,ISNUMBER($A1100),$A1100&lt;=AH!$P$17),AH!$P$7-1+MATCH($A1100,INDEX('AH History'!$A$1:$A$18046,AH!$P$7):INDEX('AH History'!$A$1:$A$18046,AH!$P$7+AH!$P$8-1),0),0),0)</ns0:f>
        <ns0:v/>
      </ns0:c>
      <ns0:c r="I1100">
        <ns0:f>IF($H1100=0,0,IFERROR(IF(AND(ABS($C1100-INDEX('AH History'!$B$1:$B$18046,$H1100))&lt;=MAX(0.005,ABS(INDEX('AH History'!$B$1:$B$18046,$H1100))*0.00005),ABS($D1100-INDEX('AH History'!$C$1:$C$18046,$H1100))&lt;=MAX(0.005,ABS(INDEX('AH History'!$C$1:$C$18046,$H1100))*0.00005),ABS($E1100-INDEX('AH History'!$D$1:$D$18046,$H1100))&lt;=0.00005,$F1100=INDEX('AH History'!$E$1:$E$18046,$H1100),$G1100=INDEX('AH History'!$F$1:$F$18046,$H1100)),1,-1),-1))</ns0:f>
        <ns0:v/>
      </ns0:c>
    </ns0:row>
    <ns0:row r="1101">
      <ns0:c r="A1101" s="215">
        <ns0:f>IF(OR(AH!$P$3=0,1096+1&gt;AH!$P$11,AND(AH!$E$4&lt;&gt;"Stored",AH!$P$10&lt;&gt;1)),"",IFERROR(IF(AND(AH!$P$21=1,1096+1=AH!$P$11),TODAY(),IF(AH!$P$10=1,INDEX('Live History'!$A$5:$A$3004,AH!$P$13+1096),INDEX('AH History'!$A$1:$A$18046,AH!$P$7+1096))),""))</ns0:f>
        <ns0:v/>
      </ns0:c>
      <ns0:c r="B1101" s="219">
        <ns0:f>IFERROR(IF(AND(AH!$P$9&lt;&gt;1,$C1101&gt;0,$D1101&gt;0,$E1101&gt;0,$F1101&gt;0,$G1101&gt;0,$F1101&lt;=$A1101,$G1101&lt;=$A1101,$A1101-$F1101&lt;=10,$A1101-$G1101&lt;=5),$D1101*$E1101/$C1101-1,NA()),NA())</ns0:f>
        <ns0:v/>
      </ns0:c>
      <ns0:c r="C1101">
        <ns0:f>IFERROR(IF(ISNUMBER($A1101),IF(AND(AH!$P$10=1,AH!$P$12=1,$A1101=TODAY()),AH!$P$19,IF(AH!$P$10=1,INDEX('Live History'!$B$5:$B$3004,AH!$P$13+1096),INDEX('AH History'!$B$1:$B$18046,AH!$P$7+1096))),NA()),NA())</ns0:f>
        <ns0:v/>
      </ns0:c>
      <ns0:c r="D1101">
        <ns0:f>IFERROR(IF(ISNUMBER($A1101),IF(AND(AH!$P$10=1,AH!$P$12=1,$A1101=TODAY()),AH!$P$18,IF(AH!$P$10=1,INDEX('Live History'!$E$5:$E$3004,MATCH($A1101,'Live History'!$D$5:$D$3004,1)),INDEX('AH History'!$C$1:$C$18046,AH!$P$7+1096))),NA()),NA())</ns0:f>
        <ns0:v/>
      </ns0:c>
      <ns0:c r="E1101">
        <ns0:f>IFERROR(IF(ISNUMBER($A1101),IF(AND(AH!$P$10=1,AH!$P$12=1,$A1101=TODAY()),AH!$P$20,IF(AH!$P$10=1,INDEX('Live History'!$H$5:$H$3004,MATCH($A1101,'Live History'!$G$5:$G$3004,1)),INDEX('AH History'!$D$1:$D$18046,AH!$P$7+1096))),NA()),NA())</ns0:f>
        <ns0:v/>
      </ns0:c>
      <ns0:c r="F1101">
        <ns0:f>IFERROR(IF(ISNUMBER($A1101),IF(AND(AH!$P$10=1,AH!$P$12=1,$A1101=TODAY()),IF(AND(AH!$P$10=1,AH!$P$12=1,$A1101=TODAY()),TODAY(),NA()),IF(AH!$P$10=1,INDEX('Live History'!$D$5:$D$3004,MATCH($A1101,'Live History'!$D$5:$D$3004,1)),INDEX('AH History'!$E$1:$E$18046,AH!$P$7+1096))),NA()),NA())</ns0:f>
        <ns0:v/>
      </ns0:c>
      <ns0:c r="G1101">
        <ns0:f>IFERROR(IF(ISNUMBER($A1101),IF(AND(AH!$P$10=1,AH!$P$12=1,$A1101=TODAY()),IF(AND(AH!$P$10=1,AH!$P$12=1,$A1101=TODAY()),TODAY(),NA()),IF(AH!$P$10=1,INDEX('Live History'!$G$5:$G$3004,MATCH($A1101,'Live History'!$G$5:$G$3004,1)),INDEX('AH History'!$F$1:$F$18046,AH!$P$7+1096))),NA()),NA())</ns0:f>
        <ns0:v/>
      </ns0:c>
      <ns0:c r="H1101">
        <ns0:f>IFERROR(IF(AND(AH!$E$4="Bloomberg",AH!$P$10=1,ISNUMBER($A1101),$A1101&lt;=AH!$P$17),AH!$P$7-1+MATCH($A1101,INDEX('AH History'!$A$1:$A$18046,AH!$P$7):INDEX('AH History'!$A$1:$A$18046,AH!$P$7+AH!$P$8-1),0),0),0)</ns0:f>
        <ns0:v/>
      </ns0:c>
      <ns0:c r="I1101">
        <ns0:f>IF($H1101=0,0,IFERROR(IF(AND(ABS($C1101-INDEX('AH History'!$B$1:$B$18046,$H1101))&lt;=MAX(0.005,ABS(INDEX('AH History'!$B$1:$B$18046,$H1101))*0.00005),ABS($D1101-INDEX('AH History'!$C$1:$C$18046,$H1101))&lt;=MAX(0.005,ABS(INDEX('AH History'!$C$1:$C$18046,$H1101))*0.00005),ABS($E1101-INDEX('AH History'!$D$1:$D$18046,$H1101))&lt;=0.00005,$F1101=INDEX('AH History'!$E$1:$E$18046,$H1101),$G1101=INDEX('AH History'!$F$1:$F$18046,$H1101)),1,-1),-1))</ns0:f>
        <ns0:v/>
      </ns0:c>
    </ns0:row>
    <ns0:row r="1102">
      <ns0:c r="A1102" s="215">
        <ns0:f>IF(OR(AH!$P$3=0,1097+1&gt;AH!$P$11,AND(AH!$E$4&lt;&gt;"Stored",AH!$P$10&lt;&gt;1)),"",IFERROR(IF(AND(AH!$P$21=1,1097+1=AH!$P$11),TODAY(),IF(AH!$P$10=1,INDEX('Live History'!$A$5:$A$3004,AH!$P$13+1097),INDEX('AH History'!$A$1:$A$18046,AH!$P$7+1097))),""))</ns0:f>
        <ns0:v/>
      </ns0:c>
      <ns0:c r="B1102" s="219">
        <ns0:f>IFERROR(IF(AND(AH!$P$9&lt;&gt;1,$C1102&gt;0,$D1102&gt;0,$E1102&gt;0,$F1102&gt;0,$G1102&gt;0,$F1102&lt;=$A1102,$G1102&lt;=$A1102,$A1102-$F1102&lt;=10,$A1102-$G1102&lt;=5),$D1102*$E1102/$C1102-1,NA()),NA())</ns0:f>
        <ns0:v/>
      </ns0:c>
      <ns0:c r="C1102">
        <ns0:f>IFERROR(IF(ISNUMBER($A1102),IF(AND(AH!$P$10=1,AH!$P$12=1,$A1102=TODAY()),AH!$P$19,IF(AH!$P$10=1,INDEX('Live History'!$B$5:$B$3004,AH!$P$13+1097),INDEX('AH History'!$B$1:$B$18046,AH!$P$7+1097))),NA()),NA())</ns0:f>
        <ns0:v/>
      </ns0:c>
      <ns0:c r="D1102">
        <ns0:f>IFERROR(IF(ISNUMBER($A1102),IF(AND(AH!$P$10=1,AH!$P$12=1,$A1102=TODAY()),AH!$P$18,IF(AH!$P$10=1,INDEX('Live History'!$E$5:$E$3004,MATCH($A1102,'Live History'!$D$5:$D$3004,1)),INDEX('AH History'!$C$1:$C$18046,AH!$P$7+1097))),NA()),NA())</ns0:f>
        <ns0:v/>
      </ns0:c>
      <ns0:c r="E1102">
        <ns0:f>IFERROR(IF(ISNUMBER($A1102),IF(AND(AH!$P$10=1,AH!$P$12=1,$A1102=TODAY()),AH!$P$20,IF(AH!$P$10=1,INDEX('Live History'!$H$5:$H$3004,MATCH($A1102,'Live History'!$G$5:$G$3004,1)),INDEX('AH History'!$D$1:$D$18046,AH!$P$7+1097))),NA()),NA())</ns0:f>
        <ns0:v/>
      </ns0:c>
      <ns0:c r="F1102">
        <ns0:f>IFERROR(IF(ISNUMBER($A1102),IF(AND(AH!$P$10=1,AH!$P$12=1,$A1102=TODAY()),IF(AND(AH!$P$10=1,AH!$P$12=1,$A1102=TODAY()),TODAY(),NA()),IF(AH!$P$10=1,INDEX('Live History'!$D$5:$D$3004,MATCH($A1102,'Live History'!$D$5:$D$3004,1)),INDEX('AH History'!$E$1:$E$18046,AH!$P$7+1097))),NA()),NA())</ns0:f>
        <ns0:v/>
      </ns0:c>
      <ns0:c r="G1102">
        <ns0:f>IFERROR(IF(ISNUMBER($A1102),IF(AND(AH!$P$10=1,AH!$P$12=1,$A1102=TODAY()),IF(AND(AH!$P$10=1,AH!$P$12=1,$A1102=TODAY()),TODAY(),NA()),IF(AH!$P$10=1,INDEX('Live History'!$G$5:$G$3004,MATCH($A1102,'Live History'!$G$5:$G$3004,1)),INDEX('AH History'!$F$1:$F$18046,AH!$P$7+1097))),NA()),NA())</ns0:f>
        <ns0:v/>
      </ns0:c>
      <ns0:c r="H1102">
        <ns0:f>IFERROR(IF(AND(AH!$E$4="Bloomberg",AH!$P$10=1,ISNUMBER($A1102),$A1102&lt;=AH!$P$17),AH!$P$7-1+MATCH($A1102,INDEX('AH History'!$A$1:$A$18046,AH!$P$7):INDEX('AH History'!$A$1:$A$18046,AH!$P$7+AH!$P$8-1),0),0),0)</ns0:f>
        <ns0:v/>
      </ns0:c>
      <ns0:c r="I1102">
        <ns0:f>IF($H1102=0,0,IFERROR(IF(AND(ABS($C1102-INDEX('AH History'!$B$1:$B$18046,$H1102))&lt;=MAX(0.005,ABS(INDEX('AH History'!$B$1:$B$18046,$H1102))*0.00005),ABS($D1102-INDEX('AH History'!$C$1:$C$18046,$H1102))&lt;=MAX(0.005,ABS(INDEX('AH History'!$C$1:$C$18046,$H1102))*0.00005),ABS($E1102-INDEX('AH History'!$D$1:$D$18046,$H1102))&lt;=0.00005,$F1102=INDEX('AH History'!$E$1:$E$18046,$H1102),$G1102=INDEX('AH History'!$F$1:$F$18046,$H1102)),1,-1),-1))</ns0:f>
        <ns0:v/>
      </ns0:c>
    </ns0:row>
    <ns0:row r="1103">
      <ns0:c r="A1103" s="215">
        <ns0:f>IF(OR(AH!$P$3=0,1098+1&gt;AH!$P$11,AND(AH!$E$4&lt;&gt;"Stored",AH!$P$10&lt;&gt;1)),"",IFERROR(IF(AND(AH!$P$21=1,1098+1=AH!$P$11),TODAY(),IF(AH!$P$10=1,INDEX('Live History'!$A$5:$A$3004,AH!$P$13+1098),INDEX('AH History'!$A$1:$A$18046,AH!$P$7+1098))),""))</ns0:f>
        <ns0:v/>
      </ns0:c>
      <ns0:c r="B1103" s="219">
        <ns0:f>IFERROR(IF(AND(AH!$P$9&lt;&gt;1,$C1103&gt;0,$D1103&gt;0,$E1103&gt;0,$F1103&gt;0,$G1103&gt;0,$F1103&lt;=$A1103,$G1103&lt;=$A1103,$A1103-$F1103&lt;=10,$A1103-$G1103&lt;=5),$D1103*$E1103/$C1103-1,NA()),NA())</ns0:f>
        <ns0:v/>
      </ns0:c>
      <ns0:c r="C1103">
        <ns0:f>IFERROR(IF(ISNUMBER($A1103),IF(AND(AH!$P$10=1,AH!$P$12=1,$A1103=TODAY()),AH!$P$19,IF(AH!$P$10=1,INDEX('Live History'!$B$5:$B$3004,AH!$P$13+1098),INDEX('AH History'!$B$1:$B$18046,AH!$P$7+1098))),NA()),NA())</ns0:f>
        <ns0:v/>
      </ns0:c>
      <ns0:c r="D1103">
        <ns0:f>IFERROR(IF(ISNUMBER($A1103),IF(AND(AH!$P$10=1,AH!$P$12=1,$A1103=TODAY()),AH!$P$18,IF(AH!$P$10=1,INDEX('Live History'!$E$5:$E$3004,MATCH($A1103,'Live History'!$D$5:$D$3004,1)),INDEX('AH History'!$C$1:$C$18046,AH!$P$7+1098))),NA()),NA())</ns0:f>
        <ns0:v/>
      </ns0:c>
      <ns0:c r="E1103">
        <ns0:f>IFERROR(IF(ISNUMBER($A1103),IF(AND(AH!$P$10=1,AH!$P$12=1,$A1103=TODAY()),AH!$P$20,IF(AH!$P$10=1,INDEX('Live History'!$H$5:$H$3004,MATCH($A1103,'Live History'!$G$5:$G$3004,1)),INDEX('AH History'!$D$1:$D$18046,AH!$P$7+1098))),NA()),NA())</ns0:f>
        <ns0:v/>
      </ns0:c>
      <ns0:c r="F1103">
        <ns0:f>IFERROR(IF(ISNUMBER($A1103),IF(AND(AH!$P$10=1,AH!$P$12=1,$A1103=TODAY()),IF(AND(AH!$P$10=1,AH!$P$12=1,$A1103=TODAY()),TODAY(),NA()),IF(AH!$P$10=1,INDEX('Live History'!$D$5:$D$3004,MATCH($A1103,'Live History'!$D$5:$D$3004,1)),INDEX('AH History'!$E$1:$E$18046,AH!$P$7+1098))),NA()),NA())</ns0:f>
        <ns0:v/>
      </ns0:c>
      <ns0:c r="G1103">
        <ns0:f>IFERROR(IF(ISNUMBER($A1103),IF(AND(AH!$P$10=1,AH!$P$12=1,$A1103=TODAY()),IF(AND(AH!$P$10=1,AH!$P$12=1,$A1103=TODAY()),TODAY(),NA()),IF(AH!$P$10=1,INDEX('Live History'!$G$5:$G$3004,MATCH($A1103,'Live History'!$G$5:$G$3004,1)),INDEX('AH History'!$F$1:$F$18046,AH!$P$7+1098))),NA()),NA())</ns0:f>
        <ns0:v/>
      </ns0:c>
      <ns0:c r="H1103">
        <ns0:f>IFERROR(IF(AND(AH!$E$4="Bloomberg",AH!$P$10=1,ISNUMBER($A1103),$A1103&lt;=AH!$P$17),AH!$P$7-1+MATCH($A1103,INDEX('AH History'!$A$1:$A$18046,AH!$P$7):INDEX('AH History'!$A$1:$A$18046,AH!$P$7+AH!$P$8-1),0),0),0)</ns0:f>
        <ns0:v/>
      </ns0:c>
      <ns0:c r="I1103">
        <ns0:f>IF($H1103=0,0,IFERROR(IF(AND(ABS($C1103-INDEX('AH History'!$B$1:$B$18046,$H1103))&lt;=MAX(0.005,ABS(INDEX('AH History'!$B$1:$B$18046,$H1103))*0.00005),ABS($D1103-INDEX('AH History'!$C$1:$C$18046,$H1103))&lt;=MAX(0.005,ABS(INDEX('AH History'!$C$1:$C$18046,$H1103))*0.00005),ABS($E1103-INDEX('AH History'!$D$1:$D$18046,$H1103))&lt;=0.00005,$F1103=INDEX('AH History'!$E$1:$E$18046,$H1103),$G1103=INDEX('AH History'!$F$1:$F$18046,$H1103)),1,-1),-1))</ns0:f>
        <ns0:v/>
      </ns0:c>
    </ns0:row>
    <ns0:row r="1104">
      <ns0:c r="A1104" s="215">
        <ns0:f>IF(OR(AH!$P$3=0,1099+1&gt;AH!$P$11,AND(AH!$E$4&lt;&gt;"Stored",AH!$P$10&lt;&gt;1)),"",IFERROR(IF(AND(AH!$P$21=1,1099+1=AH!$P$11),TODAY(),IF(AH!$P$10=1,INDEX('Live History'!$A$5:$A$3004,AH!$P$13+1099),INDEX('AH History'!$A$1:$A$18046,AH!$P$7+1099))),""))</ns0:f>
        <ns0:v/>
      </ns0:c>
      <ns0:c r="B1104" s="219">
        <ns0:f>IFERROR(IF(AND(AH!$P$9&lt;&gt;1,$C1104&gt;0,$D1104&gt;0,$E1104&gt;0,$F1104&gt;0,$G1104&gt;0,$F1104&lt;=$A1104,$G1104&lt;=$A1104,$A1104-$F1104&lt;=10,$A1104-$G1104&lt;=5),$D1104*$E1104/$C1104-1,NA()),NA())</ns0:f>
        <ns0:v/>
      </ns0:c>
      <ns0:c r="C1104">
        <ns0:f>IFERROR(IF(ISNUMBER($A1104),IF(AND(AH!$P$10=1,AH!$P$12=1,$A1104=TODAY()),AH!$P$19,IF(AH!$P$10=1,INDEX('Live History'!$B$5:$B$3004,AH!$P$13+1099),INDEX('AH History'!$B$1:$B$18046,AH!$P$7+1099))),NA()),NA())</ns0:f>
        <ns0:v/>
      </ns0:c>
      <ns0:c r="D1104">
        <ns0:f>IFERROR(IF(ISNUMBER($A1104),IF(AND(AH!$P$10=1,AH!$P$12=1,$A1104=TODAY()),AH!$P$18,IF(AH!$P$10=1,INDEX('Live History'!$E$5:$E$3004,MATCH($A1104,'Live History'!$D$5:$D$3004,1)),INDEX('AH History'!$C$1:$C$18046,AH!$P$7+1099))),NA()),NA())</ns0:f>
        <ns0:v/>
      </ns0:c>
      <ns0:c r="E1104">
        <ns0:f>IFERROR(IF(ISNUMBER($A1104),IF(AND(AH!$P$10=1,AH!$P$12=1,$A1104=TODAY()),AH!$P$20,IF(AH!$P$10=1,INDEX('Live History'!$H$5:$H$3004,MATCH($A1104,'Live History'!$G$5:$G$3004,1)),INDEX('AH History'!$D$1:$D$18046,AH!$P$7+1099))),NA()),NA())</ns0:f>
        <ns0:v/>
      </ns0:c>
      <ns0:c r="F1104">
        <ns0:f>IFERROR(IF(ISNUMBER($A1104),IF(AND(AH!$P$10=1,AH!$P$12=1,$A1104=TODAY()),IF(AND(AH!$P$10=1,AH!$P$12=1,$A1104=TODAY()),TODAY(),NA()),IF(AH!$P$10=1,INDEX('Live History'!$D$5:$D$3004,MATCH($A1104,'Live History'!$D$5:$D$3004,1)),INDEX('AH History'!$E$1:$E$18046,AH!$P$7+1099))),NA()),NA())</ns0:f>
        <ns0:v/>
      </ns0:c>
      <ns0:c r="G1104">
        <ns0:f>IFERROR(IF(ISNUMBER($A1104),IF(AND(AH!$P$10=1,AH!$P$12=1,$A1104=TODAY()),IF(AND(AH!$P$10=1,AH!$P$12=1,$A1104=TODAY()),TODAY(),NA()),IF(AH!$P$10=1,INDEX('Live History'!$G$5:$G$3004,MATCH($A1104,'Live History'!$G$5:$G$3004,1)),INDEX('AH History'!$F$1:$F$18046,AH!$P$7+1099))),NA()),NA())</ns0:f>
        <ns0:v/>
      </ns0:c>
      <ns0:c r="H1104">
        <ns0:f>IFERROR(IF(AND(AH!$E$4="Bloomberg",AH!$P$10=1,ISNUMBER($A1104),$A1104&lt;=AH!$P$17),AH!$P$7-1+MATCH($A1104,INDEX('AH History'!$A$1:$A$18046,AH!$P$7):INDEX('AH History'!$A$1:$A$18046,AH!$P$7+AH!$P$8-1),0),0),0)</ns0:f>
        <ns0:v/>
      </ns0:c>
      <ns0:c r="I1104">
        <ns0:f>IF($H1104=0,0,IFERROR(IF(AND(ABS($C1104-INDEX('AH History'!$B$1:$B$18046,$H1104))&lt;=MAX(0.005,ABS(INDEX('AH History'!$B$1:$B$18046,$H1104))*0.00005),ABS($D1104-INDEX('AH History'!$C$1:$C$18046,$H1104))&lt;=MAX(0.005,ABS(INDEX('AH History'!$C$1:$C$18046,$H1104))*0.00005),ABS($E1104-INDEX('AH History'!$D$1:$D$18046,$H1104))&lt;=0.00005,$F1104=INDEX('AH History'!$E$1:$E$18046,$H1104),$G1104=INDEX('AH History'!$F$1:$F$18046,$H1104)),1,-1),-1))</ns0:f>
        <ns0:v/>
      </ns0:c>
    </ns0:row>
    <ns0:row r="1105">
      <ns0:c r="A1105" s="215">
        <ns0:f>IF(OR(AH!$P$3=0,1100+1&gt;AH!$P$11,AND(AH!$E$4&lt;&gt;"Stored",AH!$P$10&lt;&gt;1)),"",IFERROR(IF(AND(AH!$P$21=1,1100+1=AH!$P$11),TODAY(),IF(AH!$P$10=1,INDEX('Live History'!$A$5:$A$3004,AH!$P$13+1100),INDEX('AH History'!$A$1:$A$18046,AH!$P$7+1100))),""))</ns0:f>
        <ns0:v/>
      </ns0:c>
      <ns0:c r="B1105" s="219">
        <ns0:f>IFERROR(IF(AND(AH!$P$9&lt;&gt;1,$C1105&gt;0,$D1105&gt;0,$E1105&gt;0,$F1105&gt;0,$G1105&gt;0,$F1105&lt;=$A1105,$G1105&lt;=$A1105,$A1105-$F1105&lt;=10,$A1105-$G1105&lt;=5),$D1105*$E1105/$C1105-1,NA()),NA())</ns0:f>
        <ns0:v/>
      </ns0:c>
      <ns0:c r="C1105">
        <ns0:f>IFERROR(IF(ISNUMBER($A1105),IF(AND(AH!$P$10=1,AH!$P$12=1,$A1105=TODAY()),AH!$P$19,IF(AH!$P$10=1,INDEX('Live History'!$B$5:$B$3004,AH!$P$13+1100),INDEX('AH History'!$B$1:$B$18046,AH!$P$7+1100))),NA()),NA())</ns0:f>
        <ns0:v/>
      </ns0:c>
      <ns0:c r="D1105">
        <ns0:f>IFERROR(IF(ISNUMBER($A1105),IF(AND(AH!$P$10=1,AH!$P$12=1,$A1105=TODAY()),AH!$P$18,IF(AH!$P$10=1,INDEX('Live History'!$E$5:$E$3004,MATCH($A1105,'Live History'!$D$5:$D$3004,1)),INDEX('AH History'!$C$1:$C$18046,AH!$P$7+1100))),NA()),NA())</ns0:f>
        <ns0:v/>
      </ns0:c>
      <ns0:c r="E1105">
        <ns0:f>IFERROR(IF(ISNUMBER($A1105),IF(AND(AH!$P$10=1,AH!$P$12=1,$A1105=TODAY()),AH!$P$20,IF(AH!$P$10=1,INDEX('Live History'!$H$5:$H$3004,MATCH($A1105,'Live History'!$G$5:$G$3004,1)),INDEX('AH History'!$D$1:$D$18046,AH!$P$7+1100))),NA()),NA())</ns0:f>
        <ns0:v/>
      </ns0:c>
      <ns0:c r="F1105">
        <ns0:f>IFERROR(IF(ISNUMBER($A1105),IF(AND(AH!$P$10=1,AH!$P$12=1,$A1105=TODAY()),IF(AND(AH!$P$10=1,AH!$P$12=1,$A1105=TODAY()),TODAY(),NA()),IF(AH!$P$10=1,INDEX('Live History'!$D$5:$D$3004,MATCH($A1105,'Live History'!$D$5:$D$3004,1)),INDEX('AH History'!$E$1:$E$18046,AH!$P$7+1100))),NA()),NA())</ns0:f>
        <ns0:v/>
      </ns0:c>
      <ns0:c r="G1105">
        <ns0:f>IFERROR(IF(ISNUMBER($A1105),IF(AND(AH!$P$10=1,AH!$P$12=1,$A1105=TODAY()),IF(AND(AH!$P$10=1,AH!$P$12=1,$A1105=TODAY()),TODAY(),NA()),IF(AH!$P$10=1,INDEX('Live History'!$G$5:$G$3004,MATCH($A1105,'Live History'!$G$5:$G$3004,1)),INDEX('AH History'!$F$1:$F$18046,AH!$P$7+1100))),NA()),NA())</ns0:f>
        <ns0:v/>
      </ns0:c>
      <ns0:c r="H1105">
        <ns0:f>IFERROR(IF(AND(AH!$E$4="Bloomberg",AH!$P$10=1,ISNUMBER($A1105),$A1105&lt;=AH!$P$17),AH!$P$7-1+MATCH($A1105,INDEX('AH History'!$A$1:$A$18046,AH!$P$7):INDEX('AH History'!$A$1:$A$18046,AH!$P$7+AH!$P$8-1),0),0),0)</ns0:f>
        <ns0:v/>
      </ns0:c>
      <ns0:c r="I1105">
        <ns0:f>IF($H1105=0,0,IFERROR(IF(AND(ABS($C1105-INDEX('AH History'!$B$1:$B$18046,$H1105))&lt;=MAX(0.005,ABS(INDEX('AH History'!$B$1:$B$18046,$H1105))*0.00005),ABS($D1105-INDEX('AH History'!$C$1:$C$18046,$H1105))&lt;=MAX(0.005,ABS(INDEX('AH History'!$C$1:$C$18046,$H1105))*0.00005),ABS($E1105-INDEX('AH History'!$D$1:$D$18046,$H1105))&lt;=0.00005,$F1105=INDEX('AH History'!$E$1:$E$18046,$H1105),$G1105=INDEX('AH History'!$F$1:$F$18046,$H1105)),1,-1),-1))</ns0:f>
        <ns0:v/>
      </ns0:c>
    </ns0:row>
    <ns0:row r="1106">
      <ns0:c r="A1106" s="215">
        <ns0:f>IF(OR(AH!$P$3=0,1101+1&gt;AH!$P$11,AND(AH!$E$4&lt;&gt;"Stored",AH!$P$10&lt;&gt;1)),"",IFERROR(IF(AND(AH!$P$21=1,1101+1=AH!$P$11),TODAY(),IF(AH!$P$10=1,INDEX('Live History'!$A$5:$A$3004,AH!$P$13+1101),INDEX('AH History'!$A$1:$A$18046,AH!$P$7+1101))),""))</ns0:f>
        <ns0:v/>
      </ns0:c>
      <ns0:c r="B1106" s="219">
        <ns0:f>IFERROR(IF(AND(AH!$P$9&lt;&gt;1,$C1106&gt;0,$D1106&gt;0,$E1106&gt;0,$F1106&gt;0,$G1106&gt;0,$F1106&lt;=$A1106,$G1106&lt;=$A1106,$A1106-$F1106&lt;=10,$A1106-$G1106&lt;=5),$D1106*$E1106/$C1106-1,NA()),NA())</ns0:f>
        <ns0:v/>
      </ns0:c>
      <ns0:c r="C1106">
        <ns0:f>IFERROR(IF(ISNUMBER($A1106),IF(AND(AH!$P$10=1,AH!$P$12=1,$A1106=TODAY()),AH!$P$19,IF(AH!$P$10=1,INDEX('Live History'!$B$5:$B$3004,AH!$P$13+1101),INDEX('AH History'!$B$1:$B$18046,AH!$P$7+1101))),NA()),NA())</ns0:f>
        <ns0:v/>
      </ns0:c>
      <ns0:c r="D1106">
        <ns0:f>IFERROR(IF(ISNUMBER($A1106),IF(AND(AH!$P$10=1,AH!$P$12=1,$A1106=TODAY()),AH!$P$18,IF(AH!$P$10=1,INDEX('Live History'!$E$5:$E$3004,MATCH($A1106,'Live History'!$D$5:$D$3004,1)),INDEX('AH History'!$C$1:$C$18046,AH!$P$7+1101))),NA()),NA())</ns0:f>
        <ns0:v/>
      </ns0:c>
      <ns0:c r="E1106">
        <ns0:f>IFERROR(IF(ISNUMBER($A1106),IF(AND(AH!$P$10=1,AH!$P$12=1,$A1106=TODAY()),AH!$P$20,IF(AH!$P$10=1,INDEX('Live History'!$H$5:$H$3004,MATCH($A1106,'Live History'!$G$5:$G$3004,1)),INDEX('AH History'!$D$1:$D$18046,AH!$P$7+1101))),NA()),NA())</ns0:f>
        <ns0:v/>
      </ns0:c>
      <ns0:c r="F1106">
        <ns0:f>IFERROR(IF(ISNUMBER($A1106),IF(AND(AH!$P$10=1,AH!$P$12=1,$A1106=TODAY()),IF(AND(AH!$P$10=1,AH!$P$12=1,$A1106=TODAY()),TODAY(),NA()),IF(AH!$P$10=1,INDEX('Live History'!$D$5:$D$3004,MATCH($A1106,'Live History'!$D$5:$D$3004,1)),INDEX('AH History'!$E$1:$E$18046,AH!$P$7+1101))),NA()),NA())</ns0:f>
        <ns0:v/>
      </ns0:c>
      <ns0:c r="G1106">
        <ns0:f>IFERROR(IF(ISNUMBER($A1106),IF(AND(AH!$P$10=1,AH!$P$12=1,$A1106=TODAY()),IF(AND(AH!$P$10=1,AH!$P$12=1,$A1106=TODAY()),TODAY(),NA()),IF(AH!$P$10=1,INDEX('Live History'!$G$5:$G$3004,MATCH($A1106,'Live History'!$G$5:$G$3004,1)),INDEX('AH History'!$F$1:$F$18046,AH!$P$7+1101))),NA()),NA())</ns0:f>
        <ns0:v/>
      </ns0:c>
      <ns0:c r="H1106">
        <ns0:f>IFERROR(IF(AND(AH!$E$4="Bloomberg",AH!$P$10=1,ISNUMBER($A1106),$A1106&lt;=AH!$P$17),AH!$P$7-1+MATCH($A1106,INDEX('AH History'!$A$1:$A$18046,AH!$P$7):INDEX('AH History'!$A$1:$A$18046,AH!$P$7+AH!$P$8-1),0),0),0)</ns0:f>
        <ns0:v/>
      </ns0:c>
      <ns0:c r="I1106">
        <ns0:f>IF($H1106=0,0,IFERROR(IF(AND(ABS($C1106-INDEX('AH History'!$B$1:$B$18046,$H1106))&lt;=MAX(0.005,ABS(INDEX('AH History'!$B$1:$B$18046,$H1106))*0.00005),ABS($D1106-INDEX('AH History'!$C$1:$C$18046,$H1106))&lt;=MAX(0.005,ABS(INDEX('AH History'!$C$1:$C$18046,$H1106))*0.00005),ABS($E1106-INDEX('AH History'!$D$1:$D$18046,$H1106))&lt;=0.00005,$F1106=INDEX('AH History'!$E$1:$E$18046,$H1106),$G1106=INDEX('AH History'!$F$1:$F$18046,$H1106)),1,-1),-1))</ns0:f>
        <ns0:v/>
      </ns0:c>
    </ns0:row>
    <ns0:row r="1107">
      <ns0:c r="A1107" s="215">
        <ns0:f>IF(OR(AH!$P$3=0,1102+1&gt;AH!$P$11,AND(AH!$E$4&lt;&gt;"Stored",AH!$P$10&lt;&gt;1)),"",IFERROR(IF(AND(AH!$P$21=1,1102+1=AH!$P$11),TODAY(),IF(AH!$P$10=1,INDEX('Live History'!$A$5:$A$3004,AH!$P$13+1102),INDEX('AH History'!$A$1:$A$18046,AH!$P$7+1102))),""))</ns0:f>
        <ns0:v/>
      </ns0:c>
      <ns0:c r="B1107" s="219">
        <ns0:f>IFERROR(IF(AND(AH!$P$9&lt;&gt;1,$C1107&gt;0,$D1107&gt;0,$E1107&gt;0,$F1107&gt;0,$G1107&gt;0,$F1107&lt;=$A1107,$G1107&lt;=$A1107,$A1107-$F1107&lt;=10,$A1107-$G1107&lt;=5),$D1107*$E1107/$C1107-1,NA()),NA())</ns0:f>
        <ns0:v/>
      </ns0:c>
      <ns0:c r="C1107">
        <ns0:f>IFERROR(IF(ISNUMBER($A1107),IF(AND(AH!$P$10=1,AH!$P$12=1,$A1107=TODAY()),AH!$P$19,IF(AH!$P$10=1,INDEX('Live History'!$B$5:$B$3004,AH!$P$13+1102),INDEX('AH History'!$B$1:$B$18046,AH!$P$7+1102))),NA()),NA())</ns0:f>
        <ns0:v/>
      </ns0:c>
      <ns0:c r="D1107">
        <ns0:f>IFERROR(IF(ISNUMBER($A1107),IF(AND(AH!$P$10=1,AH!$P$12=1,$A1107=TODAY()),AH!$P$18,IF(AH!$P$10=1,INDEX('Live History'!$E$5:$E$3004,MATCH($A1107,'Live History'!$D$5:$D$3004,1)),INDEX('AH History'!$C$1:$C$18046,AH!$P$7+1102))),NA()),NA())</ns0:f>
        <ns0:v/>
      </ns0:c>
      <ns0:c r="E1107">
        <ns0:f>IFERROR(IF(ISNUMBER($A1107),IF(AND(AH!$P$10=1,AH!$P$12=1,$A1107=TODAY()),AH!$P$20,IF(AH!$P$10=1,INDEX('Live History'!$H$5:$H$3004,MATCH($A1107,'Live History'!$G$5:$G$3004,1)),INDEX('AH History'!$D$1:$D$18046,AH!$P$7+1102))),NA()),NA())</ns0:f>
        <ns0:v/>
      </ns0:c>
      <ns0:c r="F1107">
        <ns0:f>IFERROR(IF(ISNUMBER($A1107),IF(AND(AH!$P$10=1,AH!$P$12=1,$A1107=TODAY()),IF(AND(AH!$P$10=1,AH!$P$12=1,$A1107=TODAY()),TODAY(),NA()),IF(AH!$P$10=1,INDEX('Live History'!$D$5:$D$3004,MATCH($A1107,'Live History'!$D$5:$D$3004,1)),INDEX('AH History'!$E$1:$E$18046,AH!$P$7+1102))),NA()),NA())</ns0:f>
        <ns0:v/>
      </ns0:c>
      <ns0:c r="G1107">
        <ns0:f>IFERROR(IF(ISNUMBER($A1107),IF(AND(AH!$P$10=1,AH!$P$12=1,$A1107=TODAY()),IF(AND(AH!$P$10=1,AH!$P$12=1,$A1107=TODAY()),TODAY(),NA()),IF(AH!$P$10=1,INDEX('Live History'!$G$5:$G$3004,MATCH($A1107,'Live History'!$G$5:$G$3004,1)),INDEX('AH History'!$F$1:$F$18046,AH!$P$7+1102))),NA()),NA())</ns0:f>
        <ns0:v/>
      </ns0:c>
      <ns0:c r="H1107">
        <ns0:f>IFERROR(IF(AND(AH!$E$4="Bloomberg",AH!$P$10=1,ISNUMBER($A1107),$A1107&lt;=AH!$P$17),AH!$P$7-1+MATCH($A1107,INDEX('AH History'!$A$1:$A$18046,AH!$P$7):INDEX('AH History'!$A$1:$A$18046,AH!$P$7+AH!$P$8-1),0),0),0)</ns0:f>
        <ns0:v/>
      </ns0:c>
      <ns0:c r="I1107">
        <ns0:f>IF($H1107=0,0,IFERROR(IF(AND(ABS($C1107-INDEX('AH History'!$B$1:$B$18046,$H1107))&lt;=MAX(0.005,ABS(INDEX('AH History'!$B$1:$B$18046,$H1107))*0.00005),ABS($D1107-INDEX('AH History'!$C$1:$C$18046,$H1107))&lt;=MAX(0.005,ABS(INDEX('AH History'!$C$1:$C$18046,$H1107))*0.00005),ABS($E1107-INDEX('AH History'!$D$1:$D$18046,$H1107))&lt;=0.00005,$F1107=INDEX('AH History'!$E$1:$E$18046,$H1107),$G1107=INDEX('AH History'!$F$1:$F$18046,$H1107)),1,-1),-1))</ns0:f>
        <ns0:v/>
      </ns0:c>
    </ns0:row>
    <ns0:row r="1108">
      <ns0:c r="A1108" s="215">
        <ns0:f>IF(OR(AH!$P$3=0,1103+1&gt;AH!$P$11,AND(AH!$E$4&lt;&gt;"Stored",AH!$P$10&lt;&gt;1)),"",IFERROR(IF(AND(AH!$P$21=1,1103+1=AH!$P$11),TODAY(),IF(AH!$P$10=1,INDEX('Live History'!$A$5:$A$3004,AH!$P$13+1103),INDEX('AH History'!$A$1:$A$18046,AH!$P$7+1103))),""))</ns0:f>
        <ns0:v/>
      </ns0:c>
      <ns0:c r="B1108" s="219">
        <ns0:f>IFERROR(IF(AND(AH!$P$9&lt;&gt;1,$C1108&gt;0,$D1108&gt;0,$E1108&gt;0,$F1108&gt;0,$G1108&gt;0,$F1108&lt;=$A1108,$G1108&lt;=$A1108,$A1108-$F1108&lt;=10,$A1108-$G1108&lt;=5),$D1108*$E1108/$C1108-1,NA()),NA())</ns0:f>
        <ns0:v/>
      </ns0:c>
      <ns0:c r="C1108">
        <ns0:f>IFERROR(IF(ISNUMBER($A1108),IF(AND(AH!$P$10=1,AH!$P$12=1,$A1108=TODAY()),AH!$P$19,IF(AH!$P$10=1,INDEX('Live History'!$B$5:$B$3004,AH!$P$13+1103),INDEX('AH History'!$B$1:$B$18046,AH!$P$7+1103))),NA()),NA())</ns0:f>
        <ns0:v/>
      </ns0:c>
      <ns0:c r="D1108">
        <ns0:f>IFERROR(IF(ISNUMBER($A1108),IF(AND(AH!$P$10=1,AH!$P$12=1,$A1108=TODAY()),AH!$P$18,IF(AH!$P$10=1,INDEX('Live History'!$E$5:$E$3004,MATCH($A1108,'Live History'!$D$5:$D$3004,1)),INDEX('AH History'!$C$1:$C$18046,AH!$P$7+1103))),NA()),NA())</ns0:f>
        <ns0:v/>
      </ns0:c>
      <ns0:c r="E1108">
        <ns0:f>IFERROR(IF(ISNUMBER($A1108),IF(AND(AH!$P$10=1,AH!$P$12=1,$A1108=TODAY()),AH!$P$20,IF(AH!$P$10=1,INDEX('Live History'!$H$5:$H$3004,MATCH($A1108,'Live History'!$G$5:$G$3004,1)),INDEX('AH History'!$D$1:$D$18046,AH!$P$7+1103))),NA()),NA())</ns0:f>
        <ns0:v/>
      </ns0:c>
      <ns0:c r="F1108">
        <ns0:f>IFERROR(IF(ISNUMBER($A1108),IF(AND(AH!$P$10=1,AH!$P$12=1,$A1108=TODAY()),IF(AND(AH!$P$10=1,AH!$P$12=1,$A1108=TODAY()),TODAY(),NA()),IF(AH!$P$10=1,INDEX('Live History'!$D$5:$D$3004,MATCH($A1108,'Live History'!$D$5:$D$3004,1)),INDEX('AH History'!$E$1:$E$18046,AH!$P$7+1103))),NA()),NA())</ns0:f>
        <ns0:v/>
      </ns0:c>
      <ns0:c r="G1108">
        <ns0:f>IFERROR(IF(ISNUMBER($A1108),IF(AND(AH!$P$10=1,AH!$P$12=1,$A1108=TODAY()),IF(AND(AH!$P$10=1,AH!$P$12=1,$A1108=TODAY()),TODAY(),NA()),IF(AH!$P$10=1,INDEX('Live History'!$G$5:$G$3004,MATCH($A1108,'Live History'!$G$5:$G$3004,1)),INDEX('AH History'!$F$1:$F$18046,AH!$P$7+1103))),NA()),NA())</ns0:f>
        <ns0:v/>
      </ns0:c>
      <ns0:c r="H1108">
        <ns0:f>IFERROR(IF(AND(AH!$E$4="Bloomberg",AH!$P$10=1,ISNUMBER($A1108),$A1108&lt;=AH!$P$17),AH!$P$7-1+MATCH($A1108,INDEX('AH History'!$A$1:$A$18046,AH!$P$7):INDEX('AH History'!$A$1:$A$18046,AH!$P$7+AH!$P$8-1),0),0),0)</ns0:f>
        <ns0:v/>
      </ns0:c>
      <ns0:c r="I1108">
        <ns0:f>IF($H1108=0,0,IFERROR(IF(AND(ABS($C1108-INDEX('AH History'!$B$1:$B$18046,$H1108))&lt;=MAX(0.005,ABS(INDEX('AH History'!$B$1:$B$18046,$H1108))*0.00005),ABS($D1108-INDEX('AH History'!$C$1:$C$18046,$H1108))&lt;=MAX(0.005,ABS(INDEX('AH History'!$C$1:$C$18046,$H1108))*0.00005),ABS($E1108-INDEX('AH History'!$D$1:$D$18046,$H1108))&lt;=0.00005,$F1108=INDEX('AH History'!$E$1:$E$18046,$H1108),$G1108=INDEX('AH History'!$F$1:$F$18046,$H1108)),1,-1),-1))</ns0:f>
        <ns0:v/>
      </ns0:c>
    </ns0:row>
    <ns0:row r="1109">
      <ns0:c r="A1109" s="215">
        <ns0:f>IF(OR(AH!$P$3=0,1104+1&gt;AH!$P$11,AND(AH!$E$4&lt;&gt;"Stored",AH!$P$10&lt;&gt;1)),"",IFERROR(IF(AND(AH!$P$21=1,1104+1=AH!$P$11),TODAY(),IF(AH!$P$10=1,INDEX('Live History'!$A$5:$A$3004,AH!$P$13+1104),INDEX('AH History'!$A$1:$A$18046,AH!$P$7+1104))),""))</ns0:f>
        <ns0:v/>
      </ns0:c>
      <ns0:c r="B1109" s="219">
        <ns0:f>IFERROR(IF(AND(AH!$P$9&lt;&gt;1,$C1109&gt;0,$D1109&gt;0,$E1109&gt;0,$F1109&gt;0,$G1109&gt;0,$F1109&lt;=$A1109,$G1109&lt;=$A1109,$A1109-$F1109&lt;=10,$A1109-$G1109&lt;=5),$D1109*$E1109/$C1109-1,NA()),NA())</ns0:f>
        <ns0:v/>
      </ns0:c>
      <ns0:c r="C1109">
        <ns0:f>IFERROR(IF(ISNUMBER($A1109),IF(AND(AH!$P$10=1,AH!$P$12=1,$A1109=TODAY()),AH!$P$19,IF(AH!$P$10=1,INDEX('Live History'!$B$5:$B$3004,AH!$P$13+1104),INDEX('AH History'!$B$1:$B$18046,AH!$P$7+1104))),NA()),NA())</ns0:f>
        <ns0:v/>
      </ns0:c>
      <ns0:c r="D1109">
        <ns0:f>IFERROR(IF(ISNUMBER($A1109),IF(AND(AH!$P$10=1,AH!$P$12=1,$A1109=TODAY()),AH!$P$18,IF(AH!$P$10=1,INDEX('Live History'!$E$5:$E$3004,MATCH($A1109,'Live History'!$D$5:$D$3004,1)),INDEX('AH History'!$C$1:$C$18046,AH!$P$7+1104))),NA()),NA())</ns0:f>
        <ns0:v/>
      </ns0:c>
      <ns0:c r="E1109">
        <ns0:f>IFERROR(IF(ISNUMBER($A1109),IF(AND(AH!$P$10=1,AH!$P$12=1,$A1109=TODAY()),AH!$P$20,IF(AH!$P$10=1,INDEX('Live History'!$H$5:$H$3004,MATCH($A1109,'Live History'!$G$5:$G$3004,1)),INDEX('AH History'!$D$1:$D$18046,AH!$P$7+1104))),NA()),NA())</ns0:f>
        <ns0:v/>
      </ns0:c>
      <ns0:c r="F1109">
        <ns0:f>IFERROR(IF(ISNUMBER($A1109),IF(AND(AH!$P$10=1,AH!$P$12=1,$A1109=TODAY()),IF(AND(AH!$P$10=1,AH!$P$12=1,$A1109=TODAY()),TODAY(),NA()),IF(AH!$P$10=1,INDEX('Live History'!$D$5:$D$3004,MATCH($A1109,'Live History'!$D$5:$D$3004,1)),INDEX('AH History'!$E$1:$E$18046,AH!$P$7+1104))),NA()),NA())</ns0:f>
        <ns0:v/>
      </ns0:c>
      <ns0:c r="G1109">
        <ns0:f>IFERROR(IF(ISNUMBER($A1109),IF(AND(AH!$P$10=1,AH!$P$12=1,$A1109=TODAY()),IF(AND(AH!$P$10=1,AH!$P$12=1,$A1109=TODAY()),TODAY(),NA()),IF(AH!$P$10=1,INDEX('Live History'!$G$5:$G$3004,MATCH($A1109,'Live History'!$G$5:$G$3004,1)),INDEX('AH History'!$F$1:$F$18046,AH!$P$7+1104))),NA()),NA())</ns0:f>
        <ns0:v/>
      </ns0:c>
      <ns0:c r="H1109">
        <ns0:f>IFERROR(IF(AND(AH!$E$4="Bloomberg",AH!$P$10=1,ISNUMBER($A1109),$A1109&lt;=AH!$P$17),AH!$P$7-1+MATCH($A1109,INDEX('AH History'!$A$1:$A$18046,AH!$P$7):INDEX('AH History'!$A$1:$A$18046,AH!$P$7+AH!$P$8-1),0),0),0)</ns0:f>
        <ns0:v/>
      </ns0:c>
      <ns0:c r="I1109">
        <ns0:f>IF($H1109=0,0,IFERROR(IF(AND(ABS($C1109-INDEX('AH History'!$B$1:$B$18046,$H1109))&lt;=MAX(0.005,ABS(INDEX('AH History'!$B$1:$B$18046,$H1109))*0.00005),ABS($D1109-INDEX('AH History'!$C$1:$C$18046,$H1109))&lt;=MAX(0.005,ABS(INDEX('AH History'!$C$1:$C$18046,$H1109))*0.00005),ABS($E1109-INDEX('AH History'!$D$1:$D$18046,$H1109))&lt;=0.00005,$F1109=INDEX('AH History'!$E$1:$E$18046,$H1109),$G1109=INDEX('AH History'!$F$1:$F$18046,$H1109)),1,-1),-1))</ns0:f>
        <ns0:v/>
      </ns0:c>
    </ns0:row>
    <ns0:row r="1110">
      <ns0:c r="A1110" s="215">
        <ns0:f>IF(OR(AH!$P$3=0,1105+1&gt;AH!$P$11,AND(AH!$E$4&lt;&gt;"Stored",AH!$P$10&lt;&gt;1)),"",IFERROR(IF(AND(AH!$P$21=1,1105+1=AH!$P$11),TODAY(),IF(AH!$P$10=1,INDEX('Live History'!$A$5:$A$3004,AH!$P$13+1105),INDEX('AH History'!$A$1:$A$18046,AH!$P$7+1105))),""))</ns0:f>
        <ns0:v/>
      </ns0:c>
      <ns0:c r="B1110" s="219">
        <ns0:f>IFERROR(IF(AND(AH!$P$9&lt;&gt;1,$C1110&gt;0,$D1110&gt;0,$E1110&gt;0,$F1110&gt;0,$G1110&gt;0,$F1110&lt;=$A1110,$G1110&lt;=$A1110,$A1110-$F1110&lt;=10,$A1110-$G1110&lt;=5),$D1110*$E1110/$C1110-1,NA()),NA())</ns0:f>
        <ns0:v/>
      </ns0:c>
      <ns0:c r="C1110">
        <ns0:f>IFERROR(IF(ISNUMBER($A1110),IF(AND(AH!$P$10=1,AH!$P$12=1,$A1110=TODAY()),AH!$P$19,IF(AH!$P$10=1,INDEX('Live History'!$B$5:$B$3004,AH!$P$13+1105),INDEX('AH History'!$B$1:$B$18046,AH!$P$7+1105))),NA()),NA())</ns0:f>
        <ns0:v/>
      </ns0:c>
      <ns0:c r="D1110">
        <ns0:f>IFERROR(IF(ISNUMBER($A1110),IF(AND(AH!$P$10=1,AH!$P$12=1,$A1110=TODAY()),AH!$P$18,IF(AH!$P$10=1,INDEX('Live History'!$E$5:$E$3004,MATCH($A1110,'Live History'!$D$5:$D$3004,1)),INDEX('AH History'!$C$1:$C$18046,AH!$P$7+1105))),NA()),NA())</ns0:f>
        <ns0:v/>
      </ns0:c>
      <ns0:c r="E1110">
        <ns0:f>IFERROR(IF(ISNUMBER($A1110),IF(AND(AH!$P$10=1,AH!$P$12=1,$A1110=TODAY()),AH!$P$20,IF(AH!$P$10=1,INDEX('Live History'!$H$5:$H$3004,MATCH($A1110,'Live History'!$G$5:$G$3004,1)),INDEX('AH History'!$D$1:$D$18046,AH!$P$7+1105))),NA()),NA())</ns0:f>
        <ns0:v/>
      </ns0:c>
      <ns0:c r="F1110">
        <ns0:f>IFERROR(IF(ISNUMBER($A1110),IF(AND(AH!$P$10=1,AH!$P$12=1,$A1110=TODAY()),IF(AND(AH!$P$10=1,AH!$P$12=1,$A1110=TODAY()),TODAY(),NA()),IF(AH!$P$10=1,INDEX('Live History'!$D$5:$D$3004,MATCH($A1110,'Live History'!$D$5:$D$3004,1)),INDEX('AH History'!$E$1:$E$18046,AH!$P$7+1105))),NA()),NA())</ns0:f>
        <ns0:v/>
      </ns0:c>
      <ns0:c r="G1110">
        <ns0:f>IFERROR(IF(ISNUMBER($A1110),IF(AND(AH!$P$10=1,AH!$P$12=1,$A1110=TODAY()),IF(AND(AH!$P$10=1,AH!$P$12=1,$A1110=TODAY()),TODAY(),NA()),IF(AH!$P$10=1,INDEX('Live History'!$G$5:$G$3004,MATCH($A1110,'Live History'!$G$5:$G$3004,1)),INDEX('AH History'!$F$1:$F$18046,AH!$P$7+1105))),NA()),NA())</ns0:f>
        <ns0:v/>
      </ns0:c>
      <ns0:c r="H1110">
        <ns0:f>IFERROR(IF(AND(AH!$E$4="Bloomberg",AH!$P$10=1,ISNUMBER($A1110),$A1110&lt;=AH!$P$17),AH!$P$7-1+MATCH($A1110,INDEX('AH History'!$A$1:$A$18046,AH!$P$7):INDEX('AH History'!$A$1:$A$18046,AH!$P$7+AH!$P$8-1),0),0),0)</ns0:f>
        <ns0:v/>
      </ns0:c>
      <ns0:c r="I1110">
        <ns0:f>IF($H1110=0,0,IFERROR(IF(AND(ABS($C1110-INDEX('AH History'!$B$1:$B$18046,$H1110))&lt;=MAX(0.005,ABS(INDEX('AH History'!$B$1:$B$18046,$H1110))*0.00005),ABS($D1110-INDEX('AH History'!$C$1:$C$18046,$H1110))&lt;=MAX(0.005,ABS(INDEX('AH History'!$C$1:$C$18046,$H1110))*0.00005),ABS($E1110-INDEX('AH History'!$D$1:$D$18046,$H1110))&lt;=0.00005,$F1110=INDEX('AH History'!$E$1:$E$18046,$H1110),$G1110=INDEX('AH History'!$F$1:$F$18046,$H1110)),1,-1),-1))</ns0:f>
        <ns0:v/>
      </ns0:c>
    </ns0:row>
    <ns0:row r="1111">
      <ns0:c r="A1111" s="215">
        <ns0:f>IF(OR(AH!$P$3=0,1106+1&gt;AH!$P$11,AND(AH!$E$4&lt;&gt;"Stored",AH!$P$10&lt;&gt;1)),"",IFERROR(IF(AND(AH!$P$21=1,1106+1=AH!$P$11),TODAY(),IF(AH!$P$10=1,INDEX('Live History'!$A$5:$A$3004,AH!$P$13+1106),INDEX('AH History'!$A$1:$A$18046,AH!$P$7+1106))),""))</ns0:f>
        <ns0:v/>
      </ns0:c>
      <ns0:c r="B1111" s="219">
        <ns0:f>IFERROR(IF(AND(AH!$P$9&lt;&gt;1,$C1111&gt;0,$D1111&gt;0,$E1111&gt;0,$F1111&gt;0,$G1111&gt;0,$F1111&lt;=$A1111,$G1111&lt;=$A1111,$A1111-$F1111&lt;=10,$A1111-$G1111&lt;=5),$D1111*$E1111/$C1111-1,NA()),NA())</ns0:f>
        <ns0:v/>
      </ns0:c>
      <ns0:c r="C1111">
        <ns0:f>IFERROR(IF(ISNUMBER($A1111),IF(AND(AH!$P$10=1,AH!$P$12=1,$A1111=TODAY()),AH!$P$19,IF(AH!$P$10=1,INDEX('Live History'!$B$5:$B$3004,AH!$P$13+1106),INDEX('AH History'!$B$1:$B$18046,AH!$P$7+1106))),NA()),NA())</ns0:f>
        <ns0:v/>
      </ns0:c>
      <ns0:c r="D1111">
        <ns0:f>IFERROR(IF(ISNUMBER($A1111),IF(AND(AH!$P$10=1,AH!$P$12=1,$A1111=TODAY()),AH!$P$18,IF(AH!$P$10=1,INDEX('Live History'!$E$5:$E$3004,MATCH($A1111,'Live History'!$D$5:$D$3004,1)),INDEX('AH History'!$C$1:$C$18046,AH!$P$7+1106))),NA()),NA())</ns0:f>
        <ns0:v/>
      </ns0:c>
      <ns0:c r="E1111">
        <ns0:f>IFERROR(IF(ISNUMBER($A1111),IF(AND(AH!$P$10=1,AH!$P$12=1,$A1111=TODAY()),AH!$P$20,IF(AH!$P$10=1,INDEX('Live History'!$H$5:$H$3004,MATCH($A1111,'Live History'!$G$5:$G$3004,1)),INDEX('AH History'!$D$1:$D$18046,AH!$P$7+1106))),NA()),NA())</ns0:f>
        <ns0:v/>
      </ns0:c>
      <ns0:c r="F1111">
        <ns0:f>IFERROR(IF(ISNUMBER($A1111),IF(AND(AH!$P$10=1,AH!$P$12=1,$A1111=TODAY()),IF(AND(AH!$P$10=1,AH!$P$12=1,$A1111=TODAY()),TODAY(),NA()),IF(AH!$P$10=1,INDEX('Live History'!$D$5:$D$3004,MATCH($A1111,'Live History'!$D$5:$D$3004,1)),INDEX('AH History'!$E$1:$E$18046,AH!$P$7+1106))),NA()),NA())</ns0:f>
        <ns0:v/>
      </ns0:c>
      <ns0:c r="G1111">
        <ns0:f>IFERROR(IF(ISNUMBER($A1111),IF(AND(AH!$P$10=1,AH!$P$12=1,$A1111=TODAY()),IF(AND(AH!$P$10=1,AH!$P$12=1,$A1111=TODAY()),TODAY(),NA()),IF(AH!$P$10=1,INDEX('Live History'!$G$5:$G$3004,MATCH($A1111,'Live History'!$G$5:$G$3004,1)),INDEX('AH History'!$F$1:$F$18046,AH!$P$7+1106))),NA()),NA())</ns0:f>
        <ns0:v/>
      </ns0:c>
      <ns0:c r="H1111">
        <ns0:f>IFERROR(IF(AND(AH!$E$4="Bloomberg",AH!$P$10=1,ISNUMBER($A1111),$A1111&lt;=AH!$P$17),AH!$P$7-1+MATCH($A1111,INDEX('AH History'!$A$1:$A$18046,AH!$P$7):INDEX('AH History'!$A$1:$A$18046,AH!$P$7+AH!$P$8-1),0),0),0)</ns0:f>
        <ns0:v/>
      </ns0:c>
      <ns0:c r="I1111">
        <ns0:f>IF($H1111=0,0,IFERROR(IF(AND(ABS($C1111-INDEX('AH History'!$B$1:$B$18046,$H1111))&lt;=MAX(0.005,ABS(INDEX('AH History'!$B$1:$B$18046,$H1111))*0.00005),ABS($D1111-INDEX('AH History'!$C$1:$C$18046,$H1111))&lt;=MAX(0.005,ABS(INDEX('AH History'!$C$1:$C$18046,$H1111))*0.00005),ABS($E1111-INDEX('AH History'!$D$1:$D$18046,$H1111))&lt;=0.00005,$F1111=INDEX('AH History'!$E$1:$E$18046,$H1111),$G1111=INDEX('AH History'!$F$1:$F$18046,$H1111)),1,-1),-1))</ns0:f>
        <ns0:v/>
      </ns0:c>
    </ns0:row>
    <ns0:row r="1112">
      <ns0:c r="A1112" s="215">
        <ns0:f>IF(OR(AH!$P$3=0,1107+1&gt;AH!$P$11,AND(AH!$E$4&lt;&gt;"Stored",AH!$P$10&lt;&gt;1)),"",IFERROR(IF(AND(AH!$P$21=1,1107+1=AH!$P$11),TODAY(),IF(AH!$P$10=1,INDEX('Live History'!$A$5:$A$3004,AH!$P$13+1107),INDEX('AH History'!$A$1:$A$18046,AH!$P$7+1107))),""))</ns0:f>
        <ns0:v/>
      </ns0:c>
      <ns0:c r="B1112" s="219">
        <ns0:f>IFERROR(IF(AND(AH!$P$9&lt;&gt;1,$C1112&gt;0,$D1112&gt;0,$E1112&gt;0,$F1112&gt;0,$G1112&gt;0,$F1112&lt;=$A1112,$G1112&lt;=$A1112,$A1112-$F1112&lt;=10,$A1112-$G1112&lt;=5),$D1112*$E1112/$C1112-1,NA()),NA())</ns0:f>
        <ns0:v/>
      </ns0:c>
      <ns0:c r="C1112">
        <ns0:f>IFERROR(IF(ISNUMBER($A1112),IF(AND(AH!$P$10=1,AH!$P$12=1,$A1112=TODAY()),AH!$P$19,IF(AH!$P$10=1,INDEX('Live History'!$B$5:$B$3004,AH!$P$13+1107),INDEX('AH History'!$B$1:$B$18046,AH!$P$7+1107))),NA()),NA())</ns0:f>
        <ns0:v/>
      </ns0:c>
      <ns0:c r="D1112">
        <ns0:f>IFERROR(IF(ISNUMBER($A1112),IF(AND(AH!$P$10=1,AH!$P$12=1,$A1112=TODAY()),AH!$P$18,IF(AH!$P$10=1,INDEX('Live History'!$E$5:$E$3004,MATCH($A1112,'Live History'!$D$5:$D$3004,1)),INDEX('AH History'!$C$1:$C$18046,AH!$P$7+1107))),NA()),NA())</ns0:f>
        <ns0:v/>
      </ns0:c>
      <ns0:c r="E1112">
        <ns0:f>IFERROR(IF(ISNUMBER($A1112),IF(AND(AH!$P$10=1,AH!$P$12=1,$A1112=TODAY()),AH!$P$20,IF(AH!$P$10=1,INDEX('Live History'!$H$5:$H$3004,MATCH($A1112,'Live History'!$G$5:$G$3004,1)),INDEX('AH History'!$D$1:$D$18046,AH!$P$7+1107))),NA()),NA())</ns0:f>
        <ns0:v/>
      </ns0:c>
      <ns0:c r="F1112">
        <ns0:f>IFERROR(IF(ISNUMBER($A1112),IF(AND(AH!$P$10=1,AH!$P$12=1,$A1112=TODAY()),IF(AND(AH!$P$10=1,AH!$P$12=1,$A1112=TODAY()),TODAY(),NA()),IF(AH!$P$10=1,INDEX('Live History'!$D$5:$D$3004,MATCH($A1112,'Live History'!$D$5:$D$3004,1)),INDEX('AH History'!$E$1:$E$18046,AH!$P$7+1107))),NA()),NA())</ns0:f>
        <ns0:v/>
      </ns0:c>
      <ns0:c r="G1112">
        <ns0:f>IFERROR(IF(ISNUMBER($A1112),IF(AND(AH!$P$10=1,AH!$P$12=1,$A1112=TODAY()),IF(AND(AH!$P$10=1,AH!$P$12=1,$A1112=TODAY()),TODAY(),NA()),IF(AH!$P$10=1,INDEX('Live History'!$G$5:$G$3004,MATCH($A1112,'Live History'!$G$5:$G$3004,1)),INDEX('AH History'!$F$1:$F$18046,AH!$P$7+1107))),NA()),NA())</ns0:f>
        <ns0:v/>
      </ns0:c>
      <ns0:c r="H1112">
        <ns0:f>IFERROR(IF(AND(AH!$E$4="Bloomberg",AH!$P$10=1,ISNUMBER($A1112),$A1112&lt;=AH!$P$17),AH!$P$7-1+MATCH($A1112,INDEX('AH History'!$A$1:$A$18046,AH!$P$7):INDEX('AH History'!$A$1:$A$18046,AH!$P$7+AH!$P$8-1),0),0),0)</ns0:f>
        <ns0:v/>
      </ns0:c>
      <ns0:c r="I1112">
        <ns0:f>IF($H1112=0,0,IFERROR(IF(AND(ABS($C1112-INDEX('AH History'!$B$1:$B$18046,$H1112))&lt;=MAX(0.005,ABS(INDEX('AH History'!$B$1:$B$18046,$H1112))*0.00005),ABS($D1112-INDEX('AH History'!$C$1:$C$18046,$H1112))&lt;=MAX(0.005,ABS(INDEX('AH History'!$C$1:$C$18046,$H1112))*0.00005),ABS($E1112-INDEX('AH History'!$D$1:$D$18046,$H1112))&lt;=0.00005,$F1112=INDEX('AH History'!$E$1:$E$18046,$H1112),$G1112=INDEX('AH History'!$F$1:$F$18046,$H1112)),1,-1),-1))</ns0:f>
        <ns0:v/>
      </ns0:c>
    </ns0:row>
    <ns0:row r="1113">
      <ns0:c r="A1113" s="215">
        <ns0:f>IF(OR(AH!$P$3=0,1108+1&gt;AH!$P$11,AND(AH!$E$4&lt;&gt;"Stored",AH!$P$10&lt;&gt;1)),"",IFERROR(IF(AND(AH!$P$21=1,1108+1=AH!$P$11),TODAY(),IF(AH!$P$10=1,INDEX('Live History'!$A$5:$A$3004,AH!$P$13+1108),INDEX('AH History'!$A$1:$A$18046,AH!$P$7+1108))),""))</ns0:f>
        <ns0:v/>
      </ns0:c>
      <ns0:c r="B1113" s="219">
        <ns0:f>IFERROR(IF(AND(AH!$P$9&lt;&gt;1,$C1113&gt;0,$D1113&gt;0,$E1113&gt;0,$F1113&gt;0,$G1113&gt;0,$F1113&lt;=$A1113,$G1113&lt;=$A1113,$A1113-$F1113&lt;=10,$A1113-$G1113&lt;=5),$D1113*$E1113/$C1113-1,NA()),NA())</ns0:f>
        <ns0:v/>
      </ns0:c>
      <ns0:c r="C1113">
        <ns0:f>IFERROR(IF(ISNUMBER($A1113),IF(AND(AH!$P$10=1,AH!$P$12=1,$A1113=TODAY()),AH!$P$19,IF(AH!$P$10=1,INDEX('Live History'!$B$5:$B$3004,AH!$P$13+1108),INDEX('AH History'!$B$1:$B$18046,AH!$P$7+1108))),NA()),NA())</ns0:f>
        <ns0:v/>
      </ns0:c>
      <ns0:c r="D1113">
        <ns0:f>IFERROR(IF(ISNUMBER($A1113),IF(AND(AH!$P$10=1,AH!$P$12=1,$A1113=TODAY()),AH!$P$18,IF(AH!$P$10=1,INDEX('Live History'!$E$5:$E$3004,MATCH($A1113,'Live History'!$D$5:$D$3004,1)),INDEX('AH History'!$C$1:$C$18046,AH!$P$7+1108))),NA()),NA())</ns0:f>
        <ns0:v/>
      </ns0:c>
      <ns0:c r="E1113">
        <ns0:f>IFERROR(IF(ISNUMBER($A1113),IF(AND(AH!$P$10=1,AH!$P$12=1,$A1113=TODAY()),AH!$P$20,IF(AH!$P$10=1,INDEX('Live History'!$H$5:$H$3004,MATCH($A1113,'Live History'!$G$5:$G$3004,1)),INDEX('AH History'!$D$1:$D$18046,AH!$P$7+1108))),NA()),NA())</ns0:f>
        <ns0:v/>
      </ns0:c>
      <ns0:c r="F1113">
        <ns0:f>IFERROR(IF(ISNUMBER($A1113),IF(AND(AH!$P$10=1,AH!$P$12=1,$A1113=TODAY()),IF(AND(AH!$P$10=1,AH!$P$12=1,$A1113=TODAY()),TODAY(),NA()),IF(AH!$P$10=1,INDEX('Live History'!$D$5:$D$3004,MATCH($A1113,'Live History'!$D$5:$D$3004,1)),INDEX('AH History'!$E$1:$E$18046,AH!$P$7+1108))),NA()),NA())</ns0:f>
        <ns0:v/>
      </ns0:c>
      <ns0:c r="G1113">
        <ns0:f>IFERROR(IF(ISNUMBER($A1113),IF(AND(AH!$P$10=1,AH!$P$12=1,$A1113=TODAY()),IF(AND(AH!$P$10=1,AH!$P$12=1,$A1113=TODAY()),TODAY(),NA()),IF(AH!$P$10=1,INDEX('Live History'!$G$5:$G$3004,MATCH($A1113,'Live History'!$G$5:$G$3004,1)),INDEX('AH History'!$F$1:$F$18046,AH!$P$7+1108))),NA()),NA())</ns0:f>
        <ns0:v/>
      </ns0:c>
      <ns0:c r="H1113">
        <ns0:f>IFERROR(IF(AND(AH!$E$4="Bloomberg",AH!$P$10=1,ISNUMBER($A1113),$A1113&lt;=AH!$P$17),AH!$P$7-1+MATCH($A1113,INDEX('AH History'!$A$1:$A$18046,AH!$P$7):INDEX('AH History'!$A$1:$A$18046,AH!$P$7+AH!$P$8-1),0),0),0)</ns0:f>
        <ns0:v/>
      </ns0:c>
      <ns0:c r="I1113">
        <ns0:f>IF($H1113=0,0,IFERROR(IF(AND(ABS($C1113-INDEX('AH History'!$B$1:$B$18046,$H1113))&lt;=MAX(0.005,ABS(INDEX('AH History'!$B$1:$B$18046,$H1113))*0.00005),ABS($D1113-INDEX('AH History'!$C$1:$C$18046,$H1113))&lt;=MAX(0.005,ABS(INDEX('AH History'!$C$1:$C$18046,$H1113))*0.00005),ABS($E1113-INDEX('AH History'!$D$1:$D$18046,$H1113))&lt;=0.00005,$F1113=INDEX('AH History'!$E$1:$E$18046,$H1113),$G1113=INDEX('AH History'!$F$1:$F$18046,$H1113)),1,-1),-1))</ns0:f>
        <ns0:v/>
      </ns0:c>
    </ns0:row>
    <ns0:row r="1114">
      <ns0:c r="A1114" s="215">
        <ns0:f>IF(OR(AH!$P$3=0,1109+1&gt;AH!$P$11,AND(AH!$E$4&lt;&gt;"Stored",AH!$P$10&lt;&gt;1)),"",IFERROR(IF(AND(AH!$P$21=1,1109+1=AH!$P$11),TODAY(),IF(AH!$P$10=1,INDEX('Live History'!$A$5:$A$3004,AH!$P$13+1109),INDEX('AH History'!$A$1:$A$18046,AH!$P$7+1109))),""))</ns0:f>
        <ns0:v/>
      </ns0:c>
      <ns0:c r="B1114" s="219">
        <ns0:f>IFERROR(IF(AND(AH!$P$9&lt;&gt;1,$C1114&gt;0,$D1114&gt;0,$E1114&gt;0,$F1114&gt;0,$G1114&gt;0,$F1114&lt;=$A1114,$G1114&lt;=$A1114,$A1114-$F1114&lt;=10,$A1114-$G1114&lt;=5),$D1114*$E1114/$C1114-1,NA()),NA())</ns0:f>
        <ns0:v/>
      </ns0:c>
      <ns0:c r="C1114">
        <ns0:f>IFERROR(IF(ISNUMBER($A1114),IF(AND(AH!$P$10=1,AH!$P$12=1,$A1114=TODAY()),AH!$P$19,IF(AH!$P$10=1,INDEX('Live History'!$B$5:$B$3004,AH!$P$13+1109),INDEX('AH History'!$B$1:$B$18046,AH!$P$7+1109))),NA()),NA())</ns0:f>
        <ns0:v/>
      </ns0:c>
      <ns0:c r="D1114">
        <ns0:f>IFERROR(IF(ISNUMBER($A1114),IF(AND(AH!$P$10=1,AH!$P$12=1,$A1114=TODAY()),AH!$P$18,IF(AH!$P$10=1,INDEX('Live History'!$E$5:$E$3004,MATCH($A1114,'Live History'!$D$5:$D$3004,1)),INDEX('AH History'!$C$1:$C$18046,AH!$P$7+1109))),NA()),NA())</ns0:f>
        <ns0:v/>
      </ns0:c>
      <ns0:c r="E1114">
        <ns0:f>IFERROR(IF(ISNUMBER($A1114),IF(AND(AH!$P$10=1,AH!$P$12=1,$A1114=TODAY()),AH!$P$20,IF(AH!$P$10=1,INDEX('Live History'!$H$5:$H$3004,MATCH($A1114,'Live History'!$G$5:$G$3004,1)),INDEX('AH History'!$D$1:$D$18046,AH!$P$7+1109))),NA()),NA())</ns0:f>
        <ns0:v/>
      </ns0:c>
      <ns0:c r="F1114">
        <ns0:f>IFERROR(IF(ISNUMBER($A1114),IF(AND(AH!$P$10=1,AH!$P$12=1,$A1114=TODAY()),IF(AND(AH!$P$10=1,AH!$P$12=1,$A1114=TODAY()),TODAY(),NA()),IF(AH!$P$10=1,INDEX('Live History'!$D$5:$D$3004,MATCH($A1114,'Live History'!$D$5:$D$3004,1)),INDEX('AH History'!$E$1:$E$18046,AH!$P$7+1109))),NA()),NA())</ns0:f>
        <ns0:v/>
      </ns0:c>
      <ns0:c r="G1114">
        <ns0:f>IFERROR(IF(ISNUMBER($A1114),IF(AND(AH!$P$10=1,AH!$P$12=1,$A1114=TODAY()),IF(AND(AH!$P$10=1,AH!$P$12=1,$A1114=TODAY()),TODAY(),NA()),IF(AH!$P$10=1,INDEX('Live History'!$G$5:$G$3004,MATCH($A1114,'Live History'!$G$5:$G$3004,1)),INDEX('AH History'!$F$1:$F$18046,AH!$P$7+1109))),NA()),NA())</ns0:f>
        <ns0:v/>
      </ns0:c>
      <ns0:c r="H1114">
        <ns0:f>IFERROR(IF(AND(AH!$E$4="Bloomberg",AH!$P$10=1,ISNUMBER($A1114),$A1114&lt;=AH!$P$17),AH!$P$7-1+MATCH($A1114,INDEX('AH History'!$A$1:$A$18046,AH!$P$7):INDEX('AH History'!$A$1:$A$18046,AH!$P$7+AH!$P$8-1),0),0),0)</ns0:f>
        <ns0:v/>
      </ns0:c>
      <ns0:c r="I1114">
        <ns0:f>IF($H1114=0,0,IFERROR(IF(AND(ABS($C1114-INDEX('AH History'!$B$1:$B$18046,$H1114))&lt;=MAX(0.005,ABS(INDEX('AH History'!$B$1:$B$18046,$H1114))*0.00005),ABS($D1114-INDEX('AH History'!$C$1:$C$18046,$H1114))&lt;=MAX(0.005,ABS(INDEX('AH History'!$C$1:$C$18046,$H1114))*0.00005),ABS($E1114-INDEX('AH History'!$D$1:$D$18046,$H1114))&lt;=0.00005,$F1114=INDEX('AH History'!$E$1:$E$18046,$H1114),$G1114=INDEX('AH History'!$F$1:$F$18046,$H1114)),1,-1),-1))</ns0:f>
        <ns0:v/>
      </ns0:c>
    </ns0:row>
    <ns0:row r="1115">
      <ns0:c r="A1115" s="215">
        <ns0:f>IF(OR(AH!$P$3=0,1110+1&gt;AH!$P$11,AND(AH!$E$4&lt;&gt;"Stored",AH!$P$10&lt;&gt;1)),"",IFERROR(IF(AND(AH!$P$21=1,1110+1=AH!$P$11),TODAY(),IF(AH!$P$10=1,INDEX('Live History'!$A$5:$A$3004,AH!$P$13+1110),INDEX('AH History'!$A$1:$A$18046,AH!$P$7+1110))),""))</ns0:f>
        <ns0:v/>
      </ns0:c>
      <ns0:c r="B1115" s="219">
        <ns0:f>IFERROR(IF(AND(AH!$P$9&lt;&gt;1,$C1115&gt;0,$D1115&gt;0,$E1115&gt;0,$F1115&gt;0,$G1115&gt;0,$F1115&lt;=$A1115,$G1115&lt;=$A1115,$A1115-$F1115&lt;=10,$A1115-$G1115&lt;=5),$D1115*$E1115/$C1115-1,NA()),NA())</ns0:f>
        <ns0:v/>
      </ns0:c>
      <ns0:c r="C1115">
        <ns0:f>IFERROR(IF(ISNUMBER($A1115),IF(AND(AH!$P$10=1,AH!$P$12=1,$A1115=TODAY()),AH!$P$19,IF(AH!$P$10=1,INDEX('Live History'!$B$5:$B$3004,AH!$P$13+1110),INDEX('AH History'!$B$1:$B$18046,AH!$P$7+1110))),NA()),NA())</ns0:f>
        <ns0:v/>
      </ns0:c>
      <ns0:c r="D1115">
        <ns0:f>IFERROR(IF(ISNUMBER($A1115),IF(AND(AH!$P$10=1,AH!$P$12=1,$A1115=TODAY()),AH!$P$18,IF(AH!$P$10=1,INDEX('Live History'!$E$5:$E$3004,MATCH($A1115,'Live History'!$D$5:$D$3004,1)),INDEX('AH History'!$C$1:$C$18046,AH!$P$7+1110))),NA()),NA())</ns0:f>
        <ns0:v/>
      </ns0:c>
      <ns0:c r="E1115">
        <ns0:f>IFERROR(IF(ISNUMBER($A1115),IF(AND(AH!$P$10=1,AH!$P$12=1,$A1115=TODAY()),AH!$P$20,IF(AH!$P$10=1,INDEX('Live History'!$H$5:$H$3004,MATCH($A1115,'Live History'!$G$5:$G$3004,1)),INDEX('AH History'!$D$1:$D$18046,AH!$P$7+1110))),NA()),NA())</ns0:f>
        <ns0:v/>
      </ns0:c>
      <ns0:c r="F1115">
        <ns0:f>IFERROR(IF(ISNUMBER($A1115),IF(AND(AH!$P$10=1,AH!$P$12=1,$A1115=TODAY()),IF(AND(AH!$P$10=1,AH!$P$12=1,$A1115=TODAY()),TODAY(),NA()),IF(AH!$P$10=1,INDEX('Live History'!$D$5:$D$3004,MATCH($A1115,'Live History'!$D$5:$D$3004,1)),INDEX('AH History'!$E$1:$E$18046,AH!$P$7+1110))),NA()),NA())</ns0:f>
        <ns0:v/>
      </ns0:c>
      <ns0:c r="G1115">
        <ns0:f>IFERROR(IF(ISNUMBER($A1115),IF(AND(AH!$P$10=1,AH!$P$12=1,$A1115=TODAY()),IF(AND(AH!$P$10=1,AH!$P$12=1,$A1115=TODAY()),TODAY(),NA()),IF(AH!$P$10=1,INDEX('Live History'!$G$5:$G$3004,MATCH($A1115,'Live History'!$G$5:$G$3004,1)),INDEX('AH History'!$F$1:$F$18046,AH!$P$7+1110))),NA()),NA())</ns0:f>
        <ns0:v/>
      </ns0:c>
      <ns0:c r="H1115">
        <ns0:f>IFERROR(IF(AND(AH!$E$4="Bloomberg",AH!$P$10=1,ISNUMBER($A1115),$A1115&lt;=AH!$P$17),AH!$P$7-1+MATCH($A1115,INDEX('AH History'!$A$1:$A$18046,AH!$P$7):INDEX('AH History'!$A$1:$A$18046,AH!$P$7+AH!$P$8-1),0),0),0)</ns0:f>
        <ns0:v/>
      </ns0:c>
      <ns0:c r="I1115">
        <ns0:f>IF($H1115=0,0,IFERROR(IF(AND(ABS($C1115-INDEX('AH History'!$B$1:$B$18046,$H1115))&lt;=MAX(0.005,ABS(INDEX('AH History'!$B$1:$B$18046,$H1115))*0.00005),ABS($D1115-INDEX('AH History'!$C$1:$C$18046,$H1115))&lt;=MAX(0.005,ABS(INDEX('AH History'!$C$1:$C$18046,$H1115))*0.00005),ABS($E1115-INDEX('AH History'!$D$1:$D$18046,$H1115))&lt;=0.00005,$F1115=INDEX('AH History'!$E$1:$E$18046,$H1115),$G1115=INDEX('AH History'!$F$1:$F$18046,$H1115)),1,-1),-1))</ns0:f>
        <ns0:v/>
      </ns0:c>
    </ns0:row>
    <ns0:row r="1116">
      <ns0:c r="A1116" s="215">
        <ns0:f>IF(OR(AH!$P$3=0,1111+1&gt;AH!$P$11,AND(AH!$E$4&lt;&gt;"Stored",AH!$P$10&lt;&gt;1)),"",IFERROR(IF(AND(AH!$P$21=1,1111+1=AH!$P$11),TODAY(),IF(AH!$P$10=1,INDEX('Live History'!$A$5:$A$3004,AH!$P$13+1111),INDEX('AH History'!$A$1:$A$18046,AH!$P$7+1111))),""))</ns0:f>
        <ns0:v/>
      </ns0:c>
      <ns0:c r="B1116" s="219">
        <ns0:f>IFERROR(IF(AND(AH!$P$9&lt;&gt;1,$C1116&gt;0,$D1116&gt;0,$E1116&gt;0,$F1116&gt;0,$G1116&gt;0,$F1116&lt;=$A1116,$G1116&lt;=$A1116,$A1116-$F1116&lt;=10,$A1116-$G1116&lt;=5),$D1116*$E1116/$C1116-1,NA()),NA())</ns0:f>
        <ns0:v/>
      </ns0:c>
      <ns0:c r="C1116">
        <ns0:f>IFERROR(IF(ISNUMBER($A1116),IF(AND(AH!$P$10=1,AH!$P$12=1,$A1116=TODAY()),AH!$P$19,IF(AH!$P$10=1,INDEX('Live History'!$B$5:$B$3004,AH!$P$13+1111),INDEX('AH History'!$B$1:$B$18046,AH!$P$7+1111))),NA()),NA())</ns0:f>
        <ns0:v/>
      </ns0:c>
      <ns0:c r="D1116">
        <ns0:f>IFERROR(IF(ISNUMBER($A1116),IF(AND(AH!$P$10=1,AH!$P$12=1,$A1116=TODAY()),AH!$P$18,IF(AH!$P$10=1,INDEX('Live History'!$E$5:$E$3004,MATCH($A1116,'Live History'!$D$5:$D$3004,1)),INDEX('AH History'!$C$1:$C$18046,AH!$P$7+1111))),NA()),NA())</ns0:f>
        <ns0:v/>
      </ns0:c>
      <ns0:c r="E1116">
        <ns0:f>IFERROR(IF(ISNUMBER($A1116),IF(AND(AH!$P$10=1,AH!$P$12=1,$A1116=TODAY()),AH!$P$20,IF(AH!$P$10=1,INDEX('Live History'!$H$5:$H$3004,MATCH($A1116,'Live History'!$G$5:$G$3004,1)),INDEX('AH History'!$D$1:$D$18046,AH!$P$7+1111))),NA()),NA())</ns0:f>
        <ns0:v/>
      </ns0:c>
      <ns0:c r="F1116">
        <ns0:f>IFERROR(IF(ISNUMBER($A1116),IF(AND(AH!$P$10=1,AH!$P$12=1,$A1116=TODAY()),IF(AND(AH!$P$10=1,AH!$P$12=1,$A1116=TODAY()),TODAY(),NA()),IF(AH!$P$10=1,INDEX('Live History'!$D$5:$D$3004,MATCH($A1116,'Live History'!$D$5:$D$3004,1)),INDEX('AH History'!$E$1:$E$18046,AH!$P$7+1111))),NA()),NA())</ns0:f>
        <ns0:v/>
      </ns0:c>
      <ns0:c r="G1116">
        <ns0:f>IFERROR(IF(ISNUMBER($A1116),IF(AND(AH!$P$10=1,AH!$P$12=1,$A1116=TODAY()),IF(AND(AH!$P$10=1,AH!$P$12=1,$A1116=TODAY()),TODAY(),NA()),IF(AH!$P$10=1,INDEX('Live History'!$G$5:$G$3004,MATCH($A1116,'Live History'!$G$5:$G$3004,1)),INDEX('AH History'!$F$1:$F$18046,AH!$P$7+1111))),NA()),NA())</ns0:f>
        <ns0:v/>
      </ns0:c>
      <ns0:c r="H1116">
        <ns0:f>IFERROR(IF(AND(AH!$E$4="Bloomberg",AH!$P$10=1,ISNUMBER($A1116),$A1116&lt;=AH!$P$17),AH!$P$7-1+MATCH($A1116,INDEX('AH History'!$A$1:$A$18046,AH!$P$7):INDEX('AH History'!$A$1:$A$18046,AH!$P$7+AH!$P$8-1),0),0),0)</ns0:f>
        <ns0:v/>
      </ns0:c>
      <ns0:c r="I1116">
        <ns0:f>IF($H1116=0,0,IFERROR(IF(AND(ABS($C1116-INDEX('AH History'!$B$1:$B$18046,$H1116))&lt;=MAX(0.005,ABS(INDEX('AH History'!$B$1:$B$18046,$H1116))*0.00005),ABS($D1116-INDEX('AH History'!$C$1:$C$18046,$H1116))&lt;=MAX(0.005,ABS(INDEX('AH History'!$C$1:$C$18046,$H1116))*0.00005),ABS($E1116-INDEX('AH History'!$D$1:$D$18046,$H1116))&lt;=0.00005,$F1116=INDEX('AH History'!$E$1:$E$18046,$H1116),$G1116=INDEX('AH History'!$F$1:$F$18046,$H1116)),1,-1),-1))</ns0:f>
        <ns0:v/>
      </ns0:c>
    </ns0:row>
    <ns0:row r="1117">
      <ns0:c r="A1117" s="215">
        <ns0:f>IF(OR(AH!$P$3=0,1112+1&gt;AH!$P$11,AND(AH!$E$4&lt;&gt;"Stored",AH!$P$10&lt;&gt;1)),"",IFERROR(IF(AND(AH!$P$21=1,1112+1=AH!$P$11),TODAY(),IF(AH!$P$10=1,INDEX('Live History'!$A$5:$A$3004,AH!$P$13+1112),INDEX('AH History'!$A$1:$A$18046,AH!$P$7+1112))),""))</ns0:f>
        <ns0:v/>
      </ns0:c>
      <ns0:c r="B1117" s="219">
        <ns0:f>IFERROR(IF(AND(AH!$P$9&lt;&gt;1,$C1117&gt;0,$D1117&gt;0,$E1117&gt;0,$F1117&gt;0,$G1117&gt;0,$F1117&lt;=$A1117,$G1117&lt;=$A1117,$A1117-$F1117&lt;=10,$A1117-$G1117&lt;=5),$D1117*$E1117/$C1117-1,NA()),NA())</ns0:f>
        <ns0:v/>
      </ns0:c>
      <ns0:c r="C1117">
        <ns0:f>IFERROR(IF(ISNUMBER($A1117),IF(AND(AH!$P$10=1,AH!$P$12=1,$A1117=TODAY()),AH!$P$19,IF(AH!$P$10=1,INDEX('Live History'!$B$5:$B$3004,AH!$P$13+1112),INDEX('AH History'!$B$1:$B$18046,AH!$P$7+1112))),NA()),NA())</ns0:f>
        <ns0:v/>
      </ns0:c>
      <ns0:c r="D1117">
        <ns0:f>IFERROR(IF(ISNUMBER($A1117),IF(AND(AH!$P$10=1,AH!$P$12=1,$A1117=TODAY()),AH!$P$18,IF(AH!$P$10=1,INDEX('Live History'!$E$5:$E$3004,MATCH($A1117,'Live History'!$D$5:$D$3004,1)),INDEX('AH History'!$C$1:$C$18046,AH!$P$7+1112))),NA()),NA())</ns0:f>
        <ns0:v/>
      </ns0:c>
      <ns0:c r="E1117">
        <ns0:f>IFERROR(IF(ISNUMBER($A1117),IF(AND(AH!$P$10=1,AH!$P$12=1,$A1117=TODAY()),AH!$P$20,IF(AH!$P$10=1,INDEX('Live History'!$H$5:$H$3004,MATCH($A1117,'Live History'!$G$5:$G$3004,1)),INDEX('AH History'!$D$1:$D$18046,AH!$P$7+1112))),NA()),NA())</ns0:f>
        <ns0:v/>
      </ns0:c>
      <ns0:c r="F1117">
        <ns0:f>IFERROR(IF(ISNUMBER($A1117),IF(AND(AH!$P$10=1,AH!$P$12=1,$A1117=TODAY()),IF(AND(AH!$P$10=1,AH!$P$12=1,$A1117=TODAY()),TODAY(),NA()),IF(AH!$P$10=1,INDEX('Live History'!$D$5:$D$3004,MATCH($A1117,'Live History'!$D$5:$D$3004,1)),INDEX('AH History'!$E$1:$E$18046,AH!$P$7+1112))),NA()),NA())</ns0:f>
        <ns0:v/>
      </ns0:c>
      <ns0:c r="G1117">
        <ns0:f>IFERROR(IF(ISNUMBER($A1117),IF(AND(AH!$P$10=1,AH!$P$12=1,$A1117=TODAY()),IF(AND(AH!$P$10=1,AH!$P$12=1,$A1117=TODAY()),TODAY(),NA()),IF(AH!$P$10=1,INDEX('Live History'!$G$5:$G$3004,MATCH($A1117,'Live History'!$G$5:$G$3004,1)),INDEX('AH History'!$F$1:$F$18046,AH!$P$7+1112))),NA()),NA())</ns0:f>
        <ns0:v/>
      </ns0:c>
      <ns0:c r="H1117">
        <ns0:f>IFERROR(IF(AND(AH!$E$4="Bloomberg",AH!$P$10=1,ISNUMBER($A1117),$A1117&lt;=AH!$P$17),AH!$P$7-1+MATCH($A1117,INDEX('AH History'!$A$1:$A$18046,AH!$P$7):INDEX('AH History'!$A$1:$A$18046,AH!$P$7+AH!$P$8-1),0),0),0)</ns0:f>
        <ns0:v/>
      </ns0:c>
      <ns0:c r="I1117">
        <ns0:f>IF($H1117=0,0,IFERROR(IF(AND(ABS($C1117-INDEX('AH History'!$B$1:$B$18046,$H1117))&lt;=MAX(0.005,ABS(INDEX('AH History'!$B$1:$B$18046,$H1117))*0.00005),ABS($D1117-INDEX('AH History'!$C$1:$C$18046,$H1117))&lt;=MAX(0.005,ABS(INDEX('AH History'!$C$1:$C$18046,$H1117))*0.00005),ABS($E1117-INDEX('AH History'!$D$1:$D$18046,$H1117))&lt;=0.00005,$F1117=INDEX('AH History'!$E$1:$E$18046,$H1117),$G1117=INDEX('AH History'!$F$1:$F$18046,$H1117)),1,-1),-1))</ns0:f>
        <ns0:v/>
      </ns0:c>
    </ns0:row>
    <ns0:row r="1118">
      <ns0:c r="A1118" s="215">
        <ns0:f>IF(OR(AH!$P$3=0,1113+1&gt;AH!$P$11,AND(AH!$E$4&lt;&gt;"Stored",AH!$P$10&lt;&gt;1)),"",IFERROR(IF(AND(AH!$P$21=1,1113+1=AH!$P$11),TODAY(),IF(AH!$P$10=1,INDEX('Live History'!$A$5:$A$3004,AH!$P$13+1113),INDEX('AH History'!$A$1:$A$18046,AH!$P$7+1113))),""))</ns0:f>
        <ns0:v/>
      </ns0:c>
      <ns0:c r="B1118" s="219">
        <ns0:f>IFERROR(IF(AND(AH!$P$9&lt;&gt;1,$C1118&gt;0,$D1118&gt;0,$E1118&gt;0,$F1118&gt;0,$G1118&gt;0,$F1118&lt;=$A1118,$G1118&lt;=$A1118,$A1118-$F1118&lt;=10,$A1118-$G1118&lt;=5),$D1118*$E1118/$C1118-1,NA()),NA())</ns0:f>
        <ns0:v/>
      </ns0:c>
      <ns0:c r="C1118">
        <ns0:f>IFERROR(IF(ISNUMBER($A1118),IF(AND(AH!$P$10=1,AH!$P$12=1,$A1118=TODAY()),AH!$P$19,IF(AH!$P$10=1,INDEX('Live History'!$B$5:$B$3004,AH!$P$13+1113),INDEX('AH History'!$B$1:$B$18046,AH!$P$7+1113))),NA()),NA())</ns0:f>
        <ns0:v/>
      </ns0:c>
      <ns0:c r="D1118">
        <ns0:f>IFERROR(IF(ISNUMBER($A1118),IF(AND(AH!$P$10=1,AH!$P$12=1,$A1118=TODAY()),AH!$P$18,IF(AH!$P$10=1,INDEX('Live History'!$E$5:$E$3004,MATCH($A1118,'Live History'!$D$5:$D$3004,1)),INDEX('AH History'!$C$1:$C$18046,AH!$P$7+1113))),NA()),NA())</ns0:f>
        <ns0:v/>
      </ns0:c>
      <ns0:c r="E1118">
        <ns0:f>IFERROR(IF(ISNUMBER($A1118),IF(AND(AH!$P$10=1,AH!$P$12=1,$A1118=TODAY()),AH!$P$20,IF(AH!$P$10=1,INDEX('Live History'!$H$5:$H$3004,MATCH($A1118,'Live History'!$G$5:$G$3004,1)),INDEX('AH History'!$D$1:$D$18046,AH!$P$7+1113))),NA()),NA())</ns0:f>
        <ns0:v/>
      </ns0:c>
      <ns0:c r="F1118">
        <ns0:f>IFERROR(IF(ISNUMBER($A1118),IF(AND(AH!$P$10=1,AH!$P$12=1,$A1118=TODAY()),IF(AND(AH!$P$10=1,AH!$P$12=1,$A1118=TODAY()),TODAY(),NA()),IF(AH!$P$10=1,INDEX('Live History'!$D$5:$D$3004,MATCH($A1118,'Live History'!$D$5:$D$3004,1)),INDEX('AH History'!$E$1:$E$18046,AH!$P$7+1113))),NA()),NA())</ns0:f>
        <ns0:v/>
      </ns0:c>
      <ns0:c r="G1118">
        <ns0:f>IFERROR(IF(ISNUMBER($A1118),IF(AND(AH!$P$10=1,AH!$P$12=1,$A1118=TODAY()),IF(AND(AH!$P$10=1,AH!$P$12=1,$A1118=TODAY()),TODAY(),NA()),IF(AH!$P$10=1,INDEX('Live History'!$G$5:$G$3004,MATCH($A1118,'Live History'!$G$5:$G$3004,1)),INDEX('AH History'!$F$1:$F$18046,AH!$P$7+1113))),NA()),NA())</ns0:f>
        <ns0:v/>
      </ns0:c>
      <ns0:c r="H1118">
        <ns0:f>IFERROR(IF(AND(AH!$E$4="Bloomberg",AH!$P$10=1,ISNUMBER($A1118),$A1118&lt;=AH!$P$17),AH!$P$7-1+MATCH($A1118,INDEX('AH History'!$A$1:$A$18046,AH!$P$7):INDEX('AH History'!$A$1:$A$18046,AH!$P$7+AH!$P$8-1),0),0),0)</ns0:f>
        <ns0:v/>
      </ns0:c>
      <ns0:c r="I1118">
        <ns0:f>IF($H1118=0,0,IFERROR(IF(AND(ABS($C1118-INDEX('AH History'!$B$1:$B$18046,$H1118))&lt;=MAX(0.005,ABS(INDEX('AH History'!$B$1:$B$18046,$H1118))*0.00005),ABS($D1118-INDEX('AH History'!$C$1:$C$18046,$H1118))&lt;=MAX(0.005,ABS(INDEX('AH History'!$C$1:$C$18046,$H1118))*0.00005),ABS($E1118-INDEX('AH History'!$D$1:$D$18046,$H1118))&lt;=0.00005,$F1118=INDEX('AH History'!$E$1:$E$18046,$H1118),$G1118=INDEX('AH History'!$F$1:$F$18046,$H1118)),1,-1),-1))</ns0:f>
        <ns0:v/>
      </ns0:c>
    </ns0:row>
    <ns0:row r="1119">
      <ns0:c r="A1119" s="215">
        <ns0:f>IF(OR(AH!$P$3=0,1114+1&gt;AH!$P$11,AND(AH!$E$4&lt;&gt;"Stored",AH!$P$10&lt;&gt;1)),"",IFERROR(IF(AND(AH!$P$21=1,1114+1=AH!$P$11),TODAY(),IF(AH!$P$10=1,INDEX('Live History'!$A$5:$A$3004,AH!$P$13+1114),INDEX('AH History'!$A$1:$A$18046,AH!$P$7+1114))),""))</ns0:f>
        <ns0:v/>
      </ns0:c>
      <ns0:c r="B1119" s="219">
        <ns0:f>IFERROR(IF(AND(AH!$P$9&lt;&gt;1,$C1119&gt;0,$D1119&gt;0,$E1119&gt;0,$F1119&gt;0,$G1119&gt;0,$F1119&lt;=$A1119,$G1119&lt;=$A1119,$A1119-$F1119&lt;=10,$A1119-$G1119&lt;=5),$D1119*$E1119/$C1119-1,NA()),NA())</ns0:f>
        <ns0:v/>
      </ns0:c>
      <ns0:c r="C1119">
        <ns0:f>IFERROR(IF(ISNUMBER($A1119),IF(AND(AH!$P$10=1,AH!$P$12=1,$A1119=TODAY()),AH!$P$19,IF(AH!$P$10=1,INDEX('Live History'!$B$5:$B$3004,AH!$P$13+1114),INDEX('AH History'!$B$1:$B$18046,AH!$P$7+1114))),NA()),NA())</ns0:f>
        <ns0:v/>
      </ns0:c>
      <ns0:c r="D1119">
        <ns0:f>IFERROR(IF(ISNUMBER($A1119),IF(AND(AH!$P$10=1,AH!$P$12=1,$A1119=TODAY()),AH!$P$18,IF(AH!$P$10=1,INDEX('Live History'!$E$5:$E$3004,MATCH($A1119,'Live History'!$D$5:$D$3004,1)),INDEX('AH History'!$C$1:$C$18046,AH!$P$7+1114))),NA()),NA())</ns0:f>
        <ns0:v/>
      </ns0:c>
      <ns0:c r="E1119">
        <ns0:f>IFERROR(IF(ISNUMBER($A1119),IF(AND(AH!$P$10=1,AH!$P$12=1,$A1119=TODAY()),AH!$P$20,IF(AH!$P$10=1,INDEX('Live History'!$H$5:$H$3004,MATCH($A1119,'Live History'!$G$5:$G$3004,1)),INDEX('AH History'!$D$1:$D$18046,AH!$P$7+1114))),NA()),NA())</ns0:f>
        <ns0:v/>
      </ns0:c>
      <ns0:c r="F1119">
        <ns0:f>IFERROR(IF(ISNUMBER($A1119),IF(AND(AH!$P$10=1,AH!$P$12=1,$A1119=TODAY()),IF(AND(AH!$P$10=1,AH!$P$12=1,$A1119=TODAY()),TODAY(),NA()),IF(AH!$P$10=1,INDEX('Live History'!$D$5:$D$3004,MATCH($A1119,'Live History'!$D$5:$D$3004,1)),INDEX('AH History'!$E$1:$E$18046,AH!$P$7+1114))),NA()),NA())</ns0:f>
        <ns0:v/>
      </ns0:c>
      <ns0:c r="G1119">
        <ns0:f>IFERROR(IF(ISNUMBER($A1119),IF(AND(AH!$P$10=1,AH!$P$12=1,$A1119=TODAY()),IF(AND(AH!$P$10=1,AH!$P$12=1,$A1119=TODAY()),TODAY(),NA()),IF(AH!$P$10=1,INDEX('Live History'!$G$5:$G$3004,MATCH($A1119,'Live History'!$G$5:$G$3004,1)),INDEX('AH History'!$F$1:$F$18046,AH!$P$7+1114))),NA()),NA())</ns0:f>
        <ns0:v/>
      </ns0:c>
      <ns0:c r="H1119">
        <ns0:f>IFERROR(IF(AND(AH!$E$4="Bloomberg",AH!$P$10=1,ISNUMBER($A1119),$A1119&lt;=AH!$P$17),AH!$P$7-1+MATCH($A1119,INDEX('AH History'!$A$1:$A$18046,AH!$P$7):INDEX('AH History'!$A$1:$A$18046,AH!$P$7+AH!$P$8-1),0),0),0)</ns0:f>
        <ns0:v/>
      </ns0:c>
      <ns0:c r="I1119">
        <ns0:f>IF($H1119=0,0,IFERROR(IF(AND(ABS($C1119-INDEX('AH History'!$B$1:$B$18046,$H1119))&lt;=MAX(0.005,ABS(INDEX('AH History'!$B$1:$B$18046,$H1119))*0.00005),ABS($D1119-INDEX('AH History'!$C$1:$C$18046,$H1119))&lt;=MAX(0.005,ABS(INDEX('AH History'!$C$1:$C$18046,$H1119))*0.00005),ABS($E1119-INDEX('AH History'!$D$1:$D$18046,$H1119))&lt;=0.00005,$F1119=INDEX('AH History'!$E$1:$E$18046,$H1119),$G1119=INDEX('AH History'!$F$1:$F$18046,$H1119)),1,-1),-1))</ns0:f>
        <ns0:v/>
      </ns0:c>
    </ns0:row>
    <ns0:row r="1120">
      <ns0:c r="A1120" s="215">
        <ns0:f>IF(OR(AH!$P$3=0,1115+1&gt;AH!$P$11,AND(AH!$E$4&lt;&gt;"Stored",AH!$P$10&lt;&gt;1)),"",IFERROR(IF(AND(AH!$P$21=1,1115+1=AH!$P$11),TODAY(),IF(AH!$P$10=1,INDEX('Live History'!$A$5:$A$3004,AH!$P$13+1115),INDEX('AH History'!$A$1:$A$18046,AH!$P$7+1115))),""))</ns0:f>
        <ns0:v/>
      </ns0:c>
      <ns0:c r="B1120" s="219">
        <ns0:f>IFERROR(IF(AND(AH!$P$9&lt;&gt;1,$C1120&gt;0,$D1120&gt;0,$E1120&gt;0,$F1120&gt;0,$G1120&gt;0,$F1120&lt;=$A1120,$G1120&lt;=$A1120,$A1120-$F1120&lt;=10,$A1120-$G1120&lt;=5),$D1120*$E1120/$C1120-1,NA()),NA())</ns0:f>
        <ns0:v/>
      </ns0:c>
      <ns0:c r="C1120">
        <ns0:f>IFERROR(IF(ISNUMBER($A1120),IF(AND(AH!$P$10=1,AH!$P$12=1,$A1120=TODAY()),AH!$P$19,IF(AH!$P$10=1,INDEX('Live History'!$B$5:$B$3004,AH!$P$13+1115),INDEX('AH History'!$B$1:$B$18046,AH!$P$7+1115))),NA()),NA())</ns0:f>
        <ns0:v/>
      </ns0:c>
      <ns0:c r="D1120">
        <ns0:f>IFERROR(IF(ISNUMBER($A1120),IF(AND(AH!$P$10=1,AH!$P$12=1,$A1120=TODAY()),AH!$P$18,IF(AH!$P$10=1,INDEX('Live History'!$E$5:$E$3004,MATCH($A1120,'Live History'!$D$5:$D$3004,1)),INDEX('AH History'!$C$1:$C$18046,AH!$P$7+1115))),NA()),NA())</ns0:f>
        <ns0:v/>
      </ns0:c>
      <ns0:c r="E1120">
        <ns0:f>IFERROR(IF(ISNUMBER($A1120),IF(AND(AH!$P$10=1,AH!$P$12=1,$A1120=TODAY()),AH!$P$20,IF(AH!$P$10=1,INDEX('Live History'!$H$5:$H$3004,MATCH($A1120,'Live History'!$G$5:$G$3004,1)),INDEX('AH History'!$D$1:$D$18046,AH!$P$7+1115))),NA()),NA())</ns0:f>
        <ns0:v/>
      </ns0:c>
      <ns0:c r="F1120">
        <ns0:f>IFERROR(IF(ISNUMBER($A1120),IF(AND(AH!$P$10=1,AH!$P$12=1,$A1120=TODAY()),IF(AND(AH!$P$10=1,AH!$P$12=1,$A1120=TODAY()),TODAY(),NA()),IF(AH!$P$10=1,INDEX('Live History'!$D$5:$D$3004,MATCH($A1120,'Live History'!$D$5:$D$3004,1)),INDEX('AH History'!$E$1:$E$18046,AH!$P$7+1115))),NA()),NA())</ns0:f>
        <ns0:v/>
      </ns0:c>
      <ns0:c r="G1120">
        <ns0:f>IFERROR(IF(ISNUMBER($A1120),IF(AND(AH!$P$10=1,AH!$P$12=1,$A1120=TODAY()),IF(AND(AH!$P$10=1,AH!$P$12=1,$A1120=TODAY()),TODAY(),NA()),IF(AH!$P$10=1,INDEX('Live History'!$G$5:$G$3004,MATCH($A1120,'Live History'!$G$5:$G$3004,1)),INDEX('AH History'!$F$1:$F$18046,AH!$P$7+1115))),NA()),NA())</ns0:f>
        <ns0:v/>
      </ns0:c>
      <ns0:c r="H1120">
        <ns0:f>IFERROR(IF(AND(AH!$E$4="Bloomberg",AH!$P$10=1,ISNUMBER($A1120),$A1120&lt;=AH!$P$17),AH!$P$7-1+MATCH($A1120,INDEX('AH History'!$A$1:$A$18046,AH!$P$7):INDEX('AH History'!$A$1:$A$18046,AH!$P$7+AH!$P$8-1),0),0),0)</ns0:f>
        <ns0:v/>
      </ns0:c>
      <ns0:c r="I1120">
        <ns0:f>IF($H1120=0,0,IFERROR(IF(AND(ABS($C1120-INDEX('AH History'!$B$1:$B$18046,$H1120))&lt;=MAX(0.005,ABS(INDEX('AH History'!$B$1:$B$18046,$H1120))*0.00005),ABS($D1120-INDEX('AH History'!$C$1:$C$18046,$H1120))&lt;=MAX(0.005,ABS(INDEX('AH History'!$C$1:$C$18046,$H1120))*0.00005),ABS($E1120-INDEX('AH History'!$D$1:$D$18046,$H1120))&lt;=0.00005,$F1120=INDEX('AH History'!$E$1:$E$18046,$H1120),$G1120=INDEX('AH History'!$F$1:$F$18046,$H1120)),1,-1),-1))</ns0:f>
        <ns0:v/>
      </ns0:c>
    </ns0:row>
    <ns0:row r="1121">
      <ns0:c r="A1121" s="215">
        <ns0:f>IF(OR(AH!$P$3=0,1116+1&gt;AH!$P$11,AND(AH!$E$4&lt;&gt;"Stored",AH!$P$10&lt;&gt;1)),"",IFERROR(IF(AND(AH!$P$21=1,1116+1=AH!$P$11),TODAY(),IF(AH!$P$10=1,INDEX('Live History'!$A$5:$A$3004,AH!$P$13+1116),INDEX('AH History'!$A$1:$A$18046,AH!$P$7+1116))),""))</ns0:f>
        <ns0:v/>
      </ns0:c>
      <ns0:c r="B1121" s="219">
        <ns0:f>IFERROR(IF(AND(AH!$P$9&lt;&gt;1,$C1121&gt;0,$D1121&gt;0,$E1121&gt;0,$F1121&gt;0,$G1121&gt;0,$F1121&lt;=$A1121,$G1121&lt;=$A1121,$A1121-$F1121&lt;=10,$A1121-$G1121&lt;=5),$D1121*$E1121/$C1121-1,NA()),NA())</ns0:f>
        <ns0:v/>
      </ns0:c>
      <ns0:c r="C1121">
        <ns0:f>IFERROR(IF(ISNUMBER($A1121),IF(AND(AH!$P$10=1,AH!$P$12=1,$A1121=TODAY()),AH!$P$19,IF(AH!$P$10=1,INDEX('Live History'!$B$5:$B$3004,AH!$P$13+1116),INDEX('AH History'!$B$1:$B$18046,AH!$P$7+1116))),NA()),NA())</ns0:f>
        <ns0:v/>
      </ns0:c>
      <ns0:c r="D1121">
        <ns0:f>IFERROR(IF(ISNUMBER($A1121),IF(AND(AH!$P$10=1,AH!$P$12=1,$A1121=TODAY()),AH!$P$18,IF(AH!$P$10=1,INDEX('Live History'!$E$5:$E$3004,MATCH($A1121,'Live History'!$D$5:$D$3004,1)),INDEX('AH History'!$C$1:$C$18046,AH!$P$7+1116))),NA()),NA())</ns0:f>
        <ns0:v/>
      </ns0:c>
      <ns0:c r="E1121">
        <ns0:f>IFERROR(IF(ISNUMBER($A1121),IF(AND(AH!$P$10=1,AH!$P$12=1,$A1121=TODAY()),AH!$P$20,IF(AH!$P$10=1,INDEX('Live History'!$H$5:$H$3004,MATCH($A1121,'Live History'!$G$5:$G$3004,1)),INDEX('AH History'!$D$1:$D$18046,AH!$P$7+1116))),NA()),NA())</ns0:f>
        <ns0:v/>
      </ns0:c>
      <ns0:c r="F1121">
        <ns0:f>IFERROR(IF(ISNUMBER($A1121),IF(AND(AH!$P$10=1,AH!$P$12=1,$A1121=TODAY()),IF(AND(AH!$P$10=1,AH!$P$12=1,$A1121=TODAY()),TODAY(),NA()),IF(AH!$P$10=1,INDEX('Live History'!$D$5:$D$3004,MATCH($A1121,'Live History'!$D$5:$D$3004,1)),INDEX('AH History'!$E$1:$E$18046,AH!$P$7+1116))),NA()),NA())</ns0:f>
        <ns0:v/>
      </ns0:c>
      <ns0:c r="G1121">
        <ns0:f>IFERROR(IF(ISNUMBER($A1121),IF(AND(AH!$P$10=1,AH!$P$12=1,$A1121=TODAY()),IF(AND(AH!$P$10=1,AH!$P$12=1,$A1121=TODAY()),TODAY(),NA()),IF(AH!$P$10=1,INDEX('Live History'!$G$5:$G$3004,MATCH($A1121,'Live History'!$G$5:$G$3004,1)),INDEX('AH History'!$F$1:$F$18046,AH!$P$7+1116))),NA()),NA())</ns0:f>
        <ns0:v/>
      </ns0:c>
      <ns0:c r="H1121">
        <ns0:f>IFERROR(IF(AND(AH!$E$4="Bloomberg",AH!$P$10=1,ISNUMBER($A1121),$A1121&lt;=AH!$P$17),AH!$P$7-1+MATCH($A1121,INDEX('AH History'!$A$1:$A$18046,AH!$P$7):INDEX('AH History'!$A$1:$A$18046,AH!$P$7+AH!$P$8-1),0),0),0)</ns0:f>
        <ns0:v/>
      </ns0:c>
      <ns0:c r="I1121">
        <ns0:f>IF($H1121=0,0,IFERROR(IF(AND(ABS($C1121-INDEX('AH History'!$B$1:$B$18046,$H1121))&lt;=MAX(0.005,ABS(INDEX('AH History'!$B$1:$B$18046,$H1121))*0.00005),ABS($D1121-INDEX('AH History'!$C$1:$C$18046,$H1121))&lt;=MAX(0.005,ABS(INDEX('AH History'!$C$1:$C$18046,$H1121))*0.00005),ABS($E1121-INDEX('AH History'!$D$1:$D$18046,$H1121))&lt;=0.00005,$F1121=INDEX('AH History'!$E$1:$E$18046,$H1121),$G1121=INDEX('AH History'!$F$1:$F$18046,$H1121)),1,-1),-1))</ns0:f>
        <ns0:v/>
      </ns0:c>
    </ns0:row>
    <ns0:row r="1122">
      <ns0:c r="A1122" s="215">
        <ns0:f>IF(OR(AH!$P$3=0,1117+1&gt;AH!$P$11,AND(AH!$E$4&lt;&gt;"Stored",AH!$P$10&lt;&gt;1)),"",IFERROR(IF(AND(AH!$P$21=1,1117+1=AH!$P$11),TODAY(),IF(AH!$P$10=1,INDEX('Live History'!$A$5:$A$3004,AH!$P$13+1117),INDEX('AH History'!$A$1:$A$18046,AH!$P$7+1117))),""))</ns0:f>
        <ns0:v/>
      </ns0:c>
      <ns0:c r="B1122" s="219">
        <ns0:f>IFERROR(IF(AND(AH!$P$9&lt;&gt;1,$C1122&gt;0,$D1122&gt;0,$E1122&gt;0,$F1122&gt;0,$G1122&gt;0,$F1122&lt;=$A1122,$G1122&lt;=$A1122,$A1122-$F1122&lt;=10,$A1122-$G1122&lt;=5),$D1122*$E1122/$C1122-1,NA()),NA())</ns0:f>
        <ns0:v/>
      </ns0:c>
      <ns0:c r="C1122">
        <ns0:f>IFERROR(IF(ISNUMBER($A1122),IF(AND(AH!$P$10=1,AH!$P$12=1,$A1122=TODAY()),AH!$P$19,IF(AH!$P$10=1,INDEX('Live History'!$B$5:$B$3004,AH!$P$13+1117),INDEX('AH History'!$B$1:$B$18046,AH!$P$7+1117))),NA()),NA())</ns0:f>
        <ns0:v/>
      </ns0:c>
      <ns0:c r="D1122">
        <ns0:f>IFERROR(IF(ISNUMBER($A1122),IF(AND(AH!$P$10=1,AH!$P$12=1,$A1122=TODAY()),AH!$P$18,IF(AH!$P$10=1,INDEX('Live History'!$E$5:$E$3004,MATCH($A1122,'Live History'!$D$5:$D$3004,1)),INDEX('AH History'!$C$1:$C$18046,AH!$P$7+1117))),NA()),NA())</ns0:f>
        <ns0:v/>
      </ns0:c>
      <ns0:c r="E1122">
        <ns0:f>IFERROR(IF(ISNUMBER($A1122),IF(AND(AH!$P$10=1,AH!$P$12=1,$A1122=TODAY()),AH!$P$20,IF(AH!$P$10=1,INDEX('Live History'!$H$5:$H$3004,MATCH($A1122,'Live History'!$G$5:$G$3004,1)),INDEX('AH History'!$D$1:$D$18046,AH!$P$7+1117))),NA()),NA())</ns0:f>
        <ns0:v/>
      </ns0:c>
      <ns0:c r="F1122">
        <ns0:f>IFERROR(IF(ISNUMBER($A1122),IF(AND(AH!$P$10=1,AH!$P$12=1,$A1122=TODAY()),IF(AND(AH!$P$10=1,AH!$P$12=1,$A1122=TODAY()),TODAY(),NA()),IF(AH!$P$10=1,INDEX('Live History'!$D$5:$D$3004,MATCH($A1122,'Live History'!$D$5:$D$3004,1)),INDEX('AH History'!$E$1:$E$18046,AH!$P$7+1117))),NA()),NA())</ns0:f>
        <ns0:v/>
      </ns0:c>
      <ns0:c r="G1122">
        <ns0:f>IFERROR(IF(ISNUMBER($A1122),IF(AND(AH!$P$10=1,AH!$P$12=1,$A1122=TODAY()),IF(AND(AH!$P$10=1,AH!$P$12=1,$A1122=TODAY()),TODAY(),NA()),IF(AH!$P$10=1,INDEX('Live History'!$G$5:$G$3004,MATCH($A1122,'Live History'!$G$5:$G$3004,1)),INDEX('AH History'!$F$1:$F$18046,AH!$P$7+1117))),NA()),NA())</ns0:f>
        <ns0:v/>
      </ns0:c>
      <ns0:c r="H1122">
        <ns0:f>IFERROR(IF(AND(AH!$E$4="Bloomberg",AH!$P$10=1,ISNUMBER($A1122),$A1122&lt;=AH!$P$17),AH!$P$7-1+MATCH($A1122,INDEX('AH History'!$A$1:$A$18046,AH!$P$7):INDEX('AH History'!$A$1:$A$18046,AH!$P$7+AH!$P$8-1),0),0),0)</ns0:f>
        <ns0:v/>
      </ns0:c>
      <ns0:c r="I1122">
        <ns0:f>IF($H1122=0,0,IFERROR(IF(AND(ABS($C1122-INDEX('AH History'!$B$1:$B$18046,$H1122))&lt;=MAX(0.005,ABS(INDEX('AH History'!$B$1:$B$18046,$H1122))*0.00005),ABS($D1122-INDEX('AH History'!$C$1:$C$18046,$H1122))&lt;=MAX(0.005,ABS(INDEX('AH History'!$C$1:$C$18046,$H1122))*0.00005),ABS($E1122-INDEX('AH History'!$D$1:$D$18046,$H1122))&lt;=0.00005,$F1122=INDEX('AH History'!$E$1:$E$18046,$H1122),$G1122=INDEX('AH History'!$F$1:$F$18046,$H1122)),1,-1),-1))</ns0:f>
        <ns0:v/>
      </ns0:c>
    </ns0:row>
    <ns0:row r="1123">
      <ns0:c r="A1123" s="215">
        <ns0:f>IF(OR(AH!$P$3=0,1118+1&gt;AH!$P$11,AND(AH!$E$4&lt;&gt;"Stored",AH!$P$10&lt;&gt;1)),"",IFERROR(IF(AND(AH!$P$21=1,1118+1=AH!$P$11),TODAY(),IF(AH!$P$10=1,INDEX('Live History'!$A$5:$A$3004,AH!$P$13+1118),INDEX('AH History'!$A$1:$A$18046,AH!$P$7+1118))),""))</ns0:f>
        <ns0:v/>
      </ns0:c>
      <ns0:c r="B1123" s="219">
        <ns0:f>IFERROR(IF(AND(AH!$P$9&lt;&gt;1,$C1123&gt;0,$D1123&gt;0,$E1123&gt;0,$F1123&gt;0,$G1123&gt;0,$F1123&lt;=$A1123,$G1123&lt;=$A1123,$A1123-$F1123&lt;=10,$A1123-$G1123&lt;=5),$D1123*$E1123/$C1123-1,NA()),NA())</ns0:f>
        <ns0:v/>
      </ns0:c>
      <ns0:c r="C1123">
        <ns0:f>IFERROR(IF(ISNUMBER($A1123),IF(AND(AH!$P$10=1,AH!$P$12=1,$A1123=TODAY()),AH!$P$19,IF(AH!$P$10=1,INDEX('Live History'!$B$5:$B$3004,AH!$P$13+1118),INDEX('AH History'!$B$1:$B$18046,AH!$P$7+1118))),NA()),NA())</ns0:f>
        <ns0:v/>
      </ns0:c>
      <ns0:c r="D1123">
        <ns0:f>IFERROR(IF(ISNUMBER($A1123),IF(AND(AH!$P$10=1,AH!$P$12=1,$A1123=TODAY()),AH!$P$18,IF(AH!$P$10=1,INDEX('Live History'!$E$5:$E$3004,MATCH($A1123,'Live History'!$D$5:$D$3004,1)),INDEX('AH History'!$C$1:$C$18046,AH!$P$7+1118))),NA()),NA())</ns0:f>
        <ns0:v/>
      </ns0:c>
      <ns0:c r="E1123">
        <ns0:f>IFERROR(IF(ISNUMBER($A1123),IF(AND(AH!$P$10=1,AH!$P$12=1,$A1123=TODAY()),AH!$P$20,IF(AH!$P$10=1,INDEX('Live History'!$H$5:$H$3004,MATCH($A1123,'Live History'!$G$5:$G$3004,1)),INDEX('AH History'!$D$1:$D$18046,AH!$P$7+1118))),NA()),NA())</ns0:f>
        <ns0:v/>
      </ns0:c>
      <ns0:c r="F1123">
        <ns0:f>IFERROR(IF(ISNUMBER($A1123),IF(AND(AH!$P$10=1,AH!$P$12=1,$A1123=TODAY()),IF(AND(AH!$P$10=1,AH!$P$12=1,$A1123=TODAY()),TODAY(),NA()),IF(AH!$P$10=1,INDEX('Live History'!$D$5:$D$3004,MATCH($A1123,'Live History'!$D$5:$D$3004,1)),INDEX('AH History'!$E$1:$E$18046,AH!$P$7+1118))),NA()),NA())</ns0:f>
        <ns0:v/>
      </ns0:c>
      <ns0:c r="G1123">
        <ns0:f>IFERROR(IF(ISNUMBER($A1123),IF(AND(AH!$P$10=1,AH!$P$12=1,$A1123=TODAY()),IF(AND(AH!$P$10=1,AH!$P$12=1,$A1123=TODAY()),TODAY(),NA()),IF(AH!$P$10=1,INDEX('Live History'!$G$5:$G$3004,MATCH($A1123,'Live History'!$G$5:$G$3004,1)),INDEX('AH History'!$F$1:$F$18046,AH!$P$7+1118))),NA()),NA())</ns0:f>
        <ns0:v/>
      </ns0:c>
      <ns0:c r="H1123">
        <ns0:f>IFERROR(IF(AND(AH!$E$4="Bloomberg",AH!$P$10=1,ISNUMBER($A1123),$A1123&lt;=AH!$P$17),AH!$P$7-1+MATCH($A1123,INDEX('AH History'!$A$1:$A$18046,AH!$P$7):INDEX('AH History'!$A$1:$A$18046,AH!$P$7+AH!$P$8-1),0),0),0)</ns0:f>
        <ns0:v/>
      </ns0:c>
      <ns0:c r="I1123">
        <ns0:f>IF($H1123=0,0,IFERROR(IF(AND(ABS($C1123-INDEX('AH History'!$B$1:$B$18046,$H1123))&lt;=MAX(0.005,ABS(INDEX('AH History'!$B$1:$B$18046,$H1123))*0.00005),ABS($D1123-INDEX('AH History'!$C$1:$C$18046,$H1123))&lt;=MAX(0.005,ABS(INDEX('AH History'!$C$1:$C$18046,$H1123))*0.00005),ABS($E1123-INDEX('AH History'!$D$1:$D$18046,$H1123))&lt;=0.00005,$F1123=INDEX('AH History'!$E$1:$E$18046,$H1123),$G1123=INDEX('AH History'!$F$1:$F$18046,$H1123)),1,-1),-1))</ns0:f>
        <ns0:v/>
      </ns0:c>
    </ns0:row>
    <ns0:row r="1124">
      <ns0:c r="A1124" s="215">
        <ns0:f>IF(OR(AH!$P$3=0,1119+1&gt;AH!$P$11,AND(AH!$E$4&lt;&gt;"Stored",AH!$P$10&lt;&gt;1)),"",IFERROR(IF(AND(AH!$P$21=1,1119+1=AH!$P$11),TODAY(),IF(AH!$P$10=1,INDEX('Live History'!$A$5:$A$3004,AH!$P$13+1119),INDEX('AH History'!$A$1:$A$18046,AH!$P$7+1119))),""))</ns0:f>
        <ns0:v/>
      </ns0:c>
      <ns0:c r="B1124" s="219">
        <ns0:f>IFERROR(IF(AND(AH!$P$9&lt;&gt;1,$C1124&gt;0,$D1124&gt;0,$E1124&gt;0,$F1124&gt;0,$G1124&gt;0,$F1124&lt;=$A1124,$G1124&lt;=$A1124,$A1124-$F1124&lt;=10,$A1124-$G1124&lt;=5),$D1124*$E1124/$C1124-1,NA()),NA())</ns0:f>
        <ns0:v/>
      </ns0:c>
      <ns0:c r="C1124">
        <ns0:f>IFERROR(IF(ISNUMBER($A1124),IF(AND(AH!$P$10=1,AH!$P$12=1,$A1124=TODAY()),AH!$P$19,IF(AH!$P$10=1,INDEX('Live History'!$B$5:$B$3004,AH!$P$13+1119),INDEX('AH History'!$B$1:$B$18046,AH!$P$7+1119))),NA()),NA())</ns0:f>
        <ns0:v/>
      </ns0:c>
      <ns0:c r="D1124">
        <ns0:f>IFERROR(IF(ISNUMBER($A1124),IF(AND(AH!$P$10=1,AH!$P$12=1,$A1124=TODAY()),AH!$P$18,IF(AH!$P$10=1,INDEX('Live History'!$E$5:$E$3004,MATCH($A1124,'Live History'!$D$5:$D$3004,1)),INDEX('AH History'!$C$1:$C$18046,AH!$P$7+1119))),NA()),NA())</ns0:f>
        <ns0:v/>
      </ns0:c>
      <ns0:c r="E1124">
        <ns0:f>IFERROR(IF(ISNUMBER($A1124),IF(AND(AH!$P$10=1,AH!$P$12=1,$A1124=TODAY()),AH!$P$20,IF(AH!$P$10=1,INDEX('Live History'!$H$5:$H$3004,MATCH($A1124,'Live History'!$G$5:$G$3004,1)),INDEX('AH History'!$D$1:$D$18046,AH!$P$7+1119))),NA()),NA())</ns0:f>
        <ns0:v/>
      </ns0:c>
      <ns0:c r="F1124">
        <ns0:f>IFERROR(IF(ISNUMBER($A1124),IF(AND(AH!$P$10=1,AH!$P$12=1,$A1124=TODAY()),IF(AND(AH!$P$10=1,AH!$P$12=1,$A1124=TODAY()),TODAY(),NA()),IF(AH!$P$10=1,INDEX('Live History'!$D$5:$D$3004,MATCH($A1124,'Live History'!$D$5:$D$3004,1)),INDEX('AH History'!$E$1:$E$18046,AH!$P$7+1119))),NA()),NA())</ns0:f>
        <ns0:v/>
      </ns0:c>
      <ns0:c r="G1124">
        <ns0:f>IFERROR(IF(ISNUMBER($A1124),IF(AND(AH!$P$10=1,AH!$P$12=1,$A1124=TODAY()),IF(AND(AH!$P$10=1,AH!$P$12=1,$A1124=TODAY()),TODAY(),NA()),IF(AH!$P$10=1,INDEX('Live History'!$G$5:$G$3004,MATCH($A1124,'Live History'!$G$5:$G$3004,1)),INDEX('AH History'!$F$1:$F$18046,AH!$P$7+1119))),NA()),NA())</ns0:f>
        <ns0:v/>
      </ns0:c>
      <ns0:c r="H1124">
        <ns0:f>IFERROR(IF(AND(AH!$E$4="Bloomberg",AH!$P$10=1,ISNUMBER($A1124),$A1124&lt;=AH!$P$17),AH!$P$7-1+MATCH($A1124,INDEX('AH History'!$A$1:$A$18046,AH!$P$7):INDEX('AH History'!$A$1:$A$18046,AH!$P$7+AH!$P$8-1),0),0),0)</ns0:f>
        <ns0:v/>
      </ns0:c>
      <ns0:c r="I1124">
        <ns0:f>IF($H1124=0,0,IFERROR(IF(AND(ABS($C1124-INDEX('AH History'!$B$1:$B$18046,$H1124))&lt;=MAX(0.005,ABS(INDEX('AH History'!$B$1:$B$18046,$H1124))*0.00005),ABS($D1124-INDEX('AH History'!$C$1:$C$18046,$H1124))&lt;=MAX(0.005,ABS(INDEX('AH History'!$C$1:$C$18046,$H1124))*0.00005),ABS($E1124-INDEX('AH History'!$D$1:$D$18046,$H1124))&lt;=0.00005,$F1124=INDEX('AH History'!$E$1:$E$18046,$H1124),$G1124=INDEX('AH History'!$F$1:$F$18046,$H1124)),1,-1),-1))</ns0:f>
        <ns0:v/>
      </ns0:c>
    </ns0:row>
    <ns0:row r="1125">
      <ns0:c r="A1125" s="215">
        <ns0:f>IF(OR(AH!$P$3=0,1120+1&gt;AH!$P$11,AND(AH!$E$4&lt;&gt;"Stored",AH!$P$10&lt;&gt;1)),"",IFERROR(IF(AND(AH!$P$21=1,1120+1=AH!$P$11),TODAY(),IF(AH!$P$10=1,INDEX('Live History'!$A$5:$A$3004,AH!$P$13+1120),INDEX('AH History'!$A$1:$A$18046,AH!$P$7+1120))),""))</ns0:f>
        <ns0:v/>
      </ns0:c>
      <ns0:c r="B1125" s="219">
        <ns0:f>IFERROR(IF(AND(AH!$P$9&lt;&gt;1,$C1125&gt;0,$D1125&gt;0,$E1125&gt;0,$F1125&gt;0,$G1125&gt;0,$F1125&lt;=$A1125,$G1125&lt;=$A1125,$A1125-$F1125&lt;=10,$A1125-$G1125&lt;=5),$D1125*$E1125/$C1125-1,NA()),NA())</ns0:f>
        <ns0:v/>
      </ns0:c>
      <ns0:c r="C1125">
        <ns0:f>IFERROR(IF(ISNUMBER($A1125),IF(AND(AH!$P$10=1,AH!$P$12=1,$A1125=TODAY()),AH!$P$19,IF(AH!$P$10=1,INDEX('Live History'!$B$5:$B$3004,AH!$P$13+1120),INDEX('AH History'!$B$1:$B$18046,AH!$P$7+1120))),NA()),NA())</ns0:f>
        <ns0:v/>
      </ns0:c>
      <ns0:c r="D1125">
        <ns0:f>IFERROR(IF(ISNUMBER($A1125),IF(AND(AH!$P$10=1,AH!$P$12=1,$A1125=TODAY()),AH!$P$18,IF(AH!$P$10=1,INDEX('Live History'!$E$5:$E$3004,MATCH($A1125,'Live History'!$D$5:$D$3004,1)),INDEX('AH History'!$C$1:$C$18046,AH!$P$7+1120))),NA()),NA())</ns0:f>
        <ns0:v/>
      </ns0:c>
      <ns0:c r="E1125">
        <ns0:f>IFERROR(IF(ISNUMBER($A1125),IF(AND(AH!$P$10=1,AH!$P$12=1,$A1125=TODAY()),AH!$P$20,IF(AH!$P$10=1,INDEX('Live History'!$H$5:$H$3004,MATCH($A1125,'Live History'!$G$5:$G$3004,1)),INDEX('AH History'!$D$1:$D$18046,AH!$P$7+1120))),NA()),NA())</ns0:f>
        <ns0:v/>
      </ns0:c>
      <ns0:c r="F1125">
        <ns0:f>IFERROR(IF(ISNUMBER($A1125),IF(AND(AH!$P$10=1,AH!$P$12=1,$A1125=TODAY()),IF(AND(AH!$P$10=1,AH!$P$12=1,$A1125=TODAY()),TODAY(),NA()),IF(AH!$P$10=1,INDEX('Live History'!$D$5:$D$3004,MATCH($A1125,'Live History'!$D$5:$D$3004,1)),INDEX('AH History'!$E$1:$E$18046,AH!$P$7+1120))),NA()),NA())</ns0:f>
        <ns0:v/>
      </ns0:c>
      <ns0:c r="G1125">
        <ns0:f>IFERROR(IF(ISNUMBER($A1125),IF(AND(AH!$P$10=1,AH!$P$12=1,$A1125=TODAY()),IF(AND(AH!$P$10=1,AH!$P$12=1,$A1125=TODAY()),TODAY(),NA()),IF(AH!$P$10=1,INDEX('Live History'!$G$5:$G$3004,MATCH($A1125,'Live History'!$G$5:$G$3004,1)),INDEX('AH History'!$F$1:$F$18046,AH!$P$7+1120))),NA()),NA())</ns0:f>
        <ns0:v/>
      </ns0:c>
      <ns0:c r="H1125">
        <ns0:f>IFERROR(IF(AND(AH!$E$4="Bloomberg",AH!$P$10=1,ISNUMBER($A1125),$A1125&lt;=AH!$P$17),AH!$P$7-1+MATCH($A1125,INDEX('AH History'!$A$1:$A$18046,AH!$P$7):INDEX('AH History'!$A$1:$A$18046,AH!$P$7+AH!$P$8-1),0),0),0)</ns0:f>
        <ns0:v/>
      </ns0:c>
      <ns0:c r="I1125">
        <ns0:f>IF($H1125=0,0,IFERROR(IF(AND(ABS($C1125-INDEX('AH History'!$B$1:$B$18046,$H1125))&lt;=MAX(0.005,ABS(INDEX('AH History'!$B$1:$B$18046,$H1125))*0.00005),ABS($D1125-INDEX('AH History'!$C$1:$C$18046,$H1125))&lt;=MAX(0.005,ABS(INDEX('AH History'!$C$1:$C$18046,$H1125))*0.00005),ABS($E1125-INDEX('AH History'!$D$1:$D$18046,$H1125))&lt;=0.00005,$F1125=INDEX('AH History'!$E$1:$E$18046,$H1125),$G1125=INDEX('AH History'!$F$1:$F$18046,$H1125)),1,-1),-1))</ns0:f>
        <ns0:v/>
      </ns0:c>
    </ns0:row>
    <ns0:row r="1126">
      <ns0:c r="A1126" s="215">
        <ns0:f>IF(OR(AH!$P$3=0,1121+1&gt;AH!$P$11,AND(AH!$E$4&lt;&gt;"Stored",AH!$P$10&lt;&gt;1)),"",IFERROR(IF(AND(AH!$P$21=1,1121+1=AH!$P$11),TODAY(),IF(AH!$P$10=1,INDEX('Live History'!$A$5:$A$3004,AH!$P$13+1121),INDEX('AH History'!$A$1:$A$18046,AH!$P$7+1121))),""))</ns0:f>
        <ns0:v/>
      </ns0:c>
      <ns0:c r="B1126" s="219">
        <ns0:f>IFERROR(IF(AND(AH!$P$9&lt;&gt;1,$C1126&gt;0,$D1126&gt;0,$E1126&gt;0,$F1126&gt;0,$G1126&gt;0,$F1126&lt;=$A1126,$G1126&lt;=$A1126,$A1126-$F1126&lt;=10,$A1126-$G1126&lt;=5),$D1126*$E1126/$C1126-1,NA()),NA())</ns0:f>
        <ns0:v/>
      </ns0:c>
      <ns0:c r="C1126">
        <ns0:f>IFERROR(IF(ISNUMBER($A1126),IF(AND(AH!$P$10=1,AH!$P$12=1,$A1126=TODAY()),AH!$P$19,IF(AH!$P$10=1,INDEX('Live History'!$B$5:$B$3004,AH!$P$13+1121),INDEX('AH History'!$B$1:$B$18046,AH!$P$7+1121))),NA()),NA())</ns0:f>
        <ns0:v/>
      </ns0:c>
      <ns0:c r="D1126">
        <ns0:f>IFERROR(IF(ISNUMBER($A1126),IF(AND(AH!$P$10=1,AH!$P$12=1,$A1126=TODAY()),AH!$P$18,IF(AH!$P$10=1,INDEX('Live History'!$E$5:$E$3004,MATCH($A1126,'Live History'!$D$5:$D$3004,1)),INDEX('AH History'!$C$1:$C$18046,AH!$P$7+1121))),NA()),NA())</ns0:f>
        <ns0:v/>
      </ns0:c>
      <ns0:c r="E1126">
        <ns0:f>IFERROR(IF(ISNUMBER($A1126),IF(AND(AH!$P$10=1,AH!$P$12=1,$A1126=TODAY()),AH!$P$20,IF(AH!$P$10=1,INDEX('Live History'!$H$5:$H$3004,MATCH($A1126,'Live History'!$G$5:$G$3004,1)),INDEX('AH History'!$D$1:$D$18046,AH!$P$7+1121))),NA()),NA())</ns0:f>
        <ns0:v/>
      </ns0:c>
      <ns0:c r="F1126">
        <ns0:f>IFERROR(IF(ISNUMBER($A1126),IF(AND(AH!$P$10=1,AH!$P$12=1,$A1126=TODAY()),IF(AND(AH!$P$10=1,AH!$P$12=1,$A1126=TODAY()),TODAY(),NA()),IF(AH!$P$10=1,INDEX('Live History'!$D$5:$D$3004,MATCH($A1126,'Live History'!$D$5:$D$3004,1)),INDEX('AH History'!$E$1:$E$18046,AH!$P$7+1121))),NA()),NA())</ns0:f>
        <ns0:v/>
      </ns0:c>
      <ns0:c r="G1126">
        <ns0:f>IFERROR(IF(ISNUMBER($A1126),IF(AND(AH!$P$10=1,AH!$P$12=1,$A1126=TODAY()),IF(AND(AH!$P$10=1,AH!$P$12=1,$A1126=TODAY()),TODAY(),NA()),IF(AH!$P$10=1,INDEX('Live History'!$G$5:$G$3004,MATCH($A1126,'Live History'!$G$5:$G$3004,1)),INDEX('AH History'!$F$1:$F$18046,AH!$P$7+1121))),NA()),NA())</ns0:f>
        <ns0:v/>
      </ns0:c>
      <ns0:c r="H1126">
        <ns0:f>IFERROR(IF(AND(AH!$E$4="Bloomberg",AH!$P$10=1,ISNUMBER($A1126),$A1126&lt;=AH!$P$17),AH!$P$7-1+MATCH($A1126,INDEX('AH History'!$A$1:$A$18046,AH!$P$7):INDEX('AH History'!$A$1:$A$18046,AH!$P$7+AH!$P$8-1),0),0),0)</ns0:f>
        <ns0:v/>
      </ns0:c>
      <ns0:c r="I1126">
        <ns0:f>IF($H1126=0,0,IFERROR(IF(AND(ABS($C1126-INDEX('AH History'!$B$1:$B$18046,$H1126))&lt;=MAX(0.005,ABS(INDEX('AH History'!$B$1:$B$18046,$H1126))*0.00005),ABS($D1126-INDEX('AH History'!$C$1:$C$18046,$H1126))&lt;=MAX(0.005,ABS(INDEX('AH History'!$C$1:$C$18046,$H1126))*0.00005),ABS($E1126-INDEX('AH History'!$D$1:$D$18046,$H1126))&lt;=0.00005,$F1126=INDEX('AH History'!$E$1:$E$18046,$H1126),$G1126=INDEX('AH History'!$F$1:$F$18046,$H1126)),1,-1),-1))</ns0:f>
        <ns0:v/>
      </ns0:c>
    </ns0:row>
    <ns0:row r="1127">
      <ns0:c r="A1127" s="215">
        <ns0:f>IF(OR(AH!$P$3=0,1122+1&gt;AH!$P$11,AND(AH!$E$4&lt;&gt;"Stored",AH!$P$10&lt;&gt;1)),"",IFERROR(IF(AND(AH!$P$21=1,1122+1=AH!$P$11),TODAY(),IF(AH!$P$10=1,INDEX('Live History'!$A$5:$A$3004,AH!$P$13+1122),INDEX('AH History'!$A$1:$A$18046,AH!$P$7+1122))),""))</ns0:f>
        <ns0:v/>
      </ns0:c>
      <ns0:c r="B1127" s="219">
        <ns0:f>IFERROR(IF(AND(AH!$P$9&lt;&gt;1,$C1127&gt;0,$D1127&gt;0,$E1127&gt;0,$F1127&gt;0,$G1127&gt;0,$F1127&lt;=$A1127,$G1127&lt;=$A1127,$A1127-$F1127&lt;=10,$A1127-$G1127&lt;=5),$D1127*$E1127/$C1127-1,NA()),NA())</ns0:f>
        <ns0:v/>
      </ns0:c>
      <ns0:c r="C1127">
        <ns0:f>IFERROR(IF(ISNUMBER($A1127),IF(AND(AH!$P$10=1,AH!$P$12=1,$A1127=TODAY()),AH!$P$19,IF(AH!$P$10=1,INDEX('Live History'!$B$5:$B$3004,AH!$P$13+1122),INDEX('AH History'!$B$1:$B$18046,AH!$P$7+1122))),NA()),NA())</ns0:f>
        <ns0:v/>
      </ns0:c>
      <ns0:c r="D1127">
        <ns0:f>IFERROR(IF(ISNUMBER($A1127),IF(AND(AH!$P$10=1,AH!$P$12=1,$A1127=TODAY()),AH!$P$18,IF(AH!$P$10=1,INDEX('Live History'!$E$5:$E$3004,MATCH($A1127,'Live History'!$D$5:$D$3004,1)),INDEX('AH History'!$C$1:$C$18046,AH!$P$7+1122))),NA()),NA())</ns0:f>
        <ns0:v/>
      </ns0:c>
      <ns0:c r="E1127">
        <ns0:f>IFERROR(IF(ISNUMBER($A1127),IF(AND(AH!$P$10=1,AH!$P$12=1,$A1127=TODAY()),AH!$P$20,IF(AH!$P$10=1,INDEX('Live History'!$H$5:$H$3004,MATCH($A1127,'Live History'!$G$5:$G$3004,1)),INDEX('AH History'!$D$1:$D$18046,AH!$P$7+1122))),NA()),NA())</ns0:f>
        <ns0:v/>
      </ns0:c>
      <ns0:c r="F1127">
        <ns0:f>IFERROR(IF(ISNUMBER($A1127),IF(AND(AH!$P$10=1,AH!$P$12=1,$A1127=TODAY()),IF(AND(AH!$P$10=1,AH!$P$12=1,$A1127=TODAY()),TODAY(),NA()),IF(AH!$P$10=1,INDEX('Live History'!$D$5:$D$3004,MATCH($A1127,'Live History'!$D$5:$D$3004,1)),INDEX('AH History'!$E$1:$E$18046,AH!$P$7+1122))),NA()),NA())</ns0:f>
        <ns0:v/>
      </ns0:c>
      <ns0:c r="G1127">
        <ns0:f>IFERROR(IF(ISNUMBER($A1127),IF(AND(AH!$P$10=1,AH!$P$12=1,$A1127=TODAY()),IF(AND(AH!$P$10=1,AH!$P$12=1,$A1127=TODAY()),TODAY(),NA()),IF(AH!$P$10=1,INDEX('Live History'!$G$5:$G$3004,MATCH($A1127,'Live History'!$G$5:$G$3004,1)),INDEX('AH History'!$F$1:$F$18046,AH!$P$7+1122))),NA()),NA())</ns0:f>
        <ns0:v/>
      </ns0:c>
      <ns0:c r="H1127">
        <ns0:f>IFERROR(IF(AND(AH!$E$4="Bloomberg",AH!$P$10=1,ISNUMBER($A1127),$A1127&lt;=AH!$P$17),AH!$P$7-1+MATCH($A1127,INDEX('AH History'!$A$1:$A$18046,AH!$P$7):INDEX('AH History'!$A$1:$A$18046,AH!$P$7+AH!$P$8-1),0),0),0)</ns0:f>
        <ns0:v/>
      </ns0:c>
      <ns0:c r="I1127">
        <ns0:f>IF($H1127=0,0,IFERROR(IF(AND(ABS($C1127-INDEX('AH History'!$B$1:$B$18046,$H1127))&lt;=MAX(0.005,ABS(INDEX('AH History'!$B$1:$B$18046,$H1127))*0.00005),ABS($D1127-INDEX('AH History'!$C$1:$C$18046,$H1127))&lt;=MAX(0.005,ABS(INDEX('AH History'!$C$1:$C$18046,$H1127))*0.00005),ABS($E1127-INDEX('AH History'!$D$1:$D$18046,$H1127))&lt;=0.00005,$F1127=INDEX('AH History'!$E$1:$E$18046,$H1127),$G1127=INDEX('AH History'!$F$1:$F$18046,$H1127)),1,-1),-1))</ns0:f>
        <ns0:v/>
      </ns0:c>
    </ns0:row>
    <ns0:row r="1128">
      <ns0:c r="A1128" s="215">
        <ns0:f>IF(OR(AH!$P$3=0,1123+1&gt;AH!$P$11,AND(AH!$E$4&lt;&gt;"Stored",AH!$P$10&lt;&gt;1)),"",IFERROR(IF(AND(AH!$P$21=1,1123+1=AH!$P$11),TODAY(),IF(AH!$P$10=1,INDEX('Live History'!$A$5:$A$3004,AH!$P$13+1123),INDEX('AH History'!$A$1:$A$18046,AH!$P$7+1123))),""))</ns0:f>
        <ns0:v/>
      </ns0:c>
      <ns0:c r="B1128" s="219">
        <ns0:f>IFERROR(IF(AND(AH!$P$9&lt;&gt;1,$C1128&gt;0,$D1128&gt;0,$E1128&gt;0,$F1128&gt;0,$G1128&gt;0,$F1128&lt;=$A1128,$G1128&lt;=$A1128,$A1128-$F1128&lt;=10,$A1128-$G1128&lt;=5),$D1128*$E1128/$C1128-1,NA()),NA())</ns0:f>
        <ns0:v/>
      </ns0:c>
      <ns0:c r="C1128">
        <ns0:f>IFERROR(IF(ISNUMBER($A1128),IF(AND(AH!$P$10=1,AH!$P$12=1,$A1128=TODAY()),AH!$P$19,IF(AH!$P$10=1,INDEX('Live History'!$B$5:$B$3004,AH!$P$13+1123),INDEX('AH History'!$B$1:$B$18046,AH!$P$7+1123))),NA()),NA())</ns0:f>
        <ns0:v/>
      </ns0:c>
      <ns0:c r="D1128">
        <ns0:f>IFERROR(IF(ISNUMBER($A1128),IF(AND(AH!$P$10=1,AH!$P$12=1,$A1128=TODAY()),AH!$P$18,IF(AH!$P$10=1,INDEX('Live History'!$E$5:$E$3004,MATCH($A1128,'Live History'!$D$5:$D$3004,1)),INDEX('AH History'!$C$1:$C$18046,AH!$P$7+1123))),NA()),NA())</ns0:f>
        <ns0:v/>
      </ns0:c>
      <ns0:c r="E1128">
        <ns0:f>IFERROR(IF(ISNUMBER($A1128),IF(AND(AH!$P$10=1,AH!$P$12=1,$A1128=TODAY()),AH!$P$20,IF(AH!$P$10=1,INDEX('Live History'!$H$5:$H$3004,MATCH($A1128,'Live History'!$G$5:$G$3004,1)),INDEX('AH History'!$D$1:$D$18046,AH!$P$7+1123))),NA()),NA())</ns0:f>
        <ns0:v/>
      </ns0:c>
      <ns0:c r="F1128">
        <ns0:f>IFERROR(IF(ISNUMBER($A1128),IF(AND(AH!$P$10=1,AH!$P$12=1,$A1128=TODAY()),IF(AND(AH!$P$10=1,AH!$P$12=1,$A1128=TODAY()),TODAY(),NA()),IF(AH!$P$10=1,INDEX('Live History'!$D$5:$D$3004,MATCH($A1128,'Live History'!$D$5:$D$3004,1)),INDEX('AH History'!$E$1:$E$18046,AH!$P$7+1123))),NA()),NA())</ns0:f>
        <ns0:v/>
      </ns0:c>
      <ns0:c r="G1128">
        <ns0:f>IFERROR(IF(ISNUMBER($A1128),IF(AND(AH!$P$10=1,AH!$P$12=1,$A1128=TODAY()),IF(AND(AH!$P$10=1,AH!$P$12=1,$A1128=TODAY()),TODAY(),NA()),IF(AH!$P$10=1,INDEX('Live History'!$G$5:$G$3004,MATCH($A1128,'Live History'!$G$5:$G$3004,1)),INDEX('AH History'!$F$1:$F$18046,AH!$P$7+1123))),NA()),NA())</ns0:f>
        <ns0:v/>
      </ns0:c>
      <ns0:c r="H1128">
        <ns0:f>IFERROR(IF(AND(AH!$E$4="Bloomberg",AH!$P$10=1,ISNUMBER($A1128),$A1128&lt;=AH!$P$17),AH!$P$7-1+MATCH($A1128,INDEX('AH History'!$A$1:$A$18046,AH!$P$7):INDEX('AH History'!$A$1:$A$18046,AH!$P$7+AH!$P$8-1),0),0),0)</ns0:f>
        <ns0:v/>
      </ns0:c>
      <ns0:c r="I1128">
        <ns0:f>IF($H1128=0,0,IFERROR(IF(AND(ABS($C1128-INDEX('AH History'!$B$1:$B$18046,$H1128))&lt;=MAX(0.005,ABS(INDEX('AH History'!$B$1:$B$18046,$H1128))*0.00005),ABS($D1128-INDEX('AH History'!$C$1:$C$18046,$H1128))&lt;=MAX(0.005,ABS(INDEX('AH History'!$C$1:$C$18046,$H1128))*0.00005),ABS($E1128-INDEX('AH History'!$D$1:$D$18046,$H1128))&lt;=0.00005,$F1128=INDEX('AH History'!$E$1:$E$18046,$H1128),$G1128=INDEX('AH History'!$F$1:$F$18046,$H1128)),1,-1),-1))</ns0:f>
        <ns0:v/>
      </ns0:c>
    </ns0:row>
    <ns0:row r="1129">
      <ns0:c r="A1129" s="215">
        <ns0:f>IF(OR(AH!$P$3=0,1124+1&gt;AH!$P$11,AND(AH!$E$4&lt;&gt;"Stored",AH!$P$10&lt;&gt;1)),"",IFERROR(IF(AND(AH!$P$21=1,1124+1=AH!$P$11),TODAY(),IF(AH!$P$10=1,INDEX('Live History'!$A$5:$A$3004,AH!$P$13+1124),INDEX('AH History'!$A$1:$A$18046,AH!$P$7+1124))),""))</ns0:f>
        <ns0:v/>
      </ns0:c>
      <ns0:c r="B1129" s="219">
        <ns0:f>IFERROR(IF(AND(AH!$P$9&lt;&gt;1,$C1129&gt;0,$D1129&gt;0,$E1129&gt;0,$F1129&gt;0,$G1129&gt;0,$F1129&lt;=$A1129,$G1129&lt;=$A1129,$A1129-$F1129&lt;=10,$A1129-$G1129&lt;=5),$D1129*$E1129/$C1129-1,NA()),NA())</ns0:f>
        <ns0:v/>
      </ns0:c>
      <ns0:c r="C1129">
        <ns0:f>IFERROR(IF(ISNUMBER($A1129),IF(AND(AH!$P$10=1,AH!$P$12=1,$A1129=TODAY()),AH!$P$19,IF(AH!$P$10=1,INDEX('Live History'!$B$5:$B$3004,AH!$P$13+1124),INDEX('AH History'!$B$1:$B$18046,AH!$P$7+1124))),NA()),NA())</ns0:f>
        <ns0:v/>
      </ns0:c>
      <ns0:c r="D1129">
        <ns0:f>IFERROR(IF(ISNUMBER($A1129),IF(AND(AH!$P$10=1,AH!$P$12=1,$A1129=TODAY()),AH!$P$18,IF(AH!$P$10=1,INDEX('Live History'!$E$5:$E$3004,MATCH($A1129,'Live History'!$D$5:$D$3004,1)),INDEX('AH History'!$C$1:$C$18046,AH!$P$7+1124))),NA()),NA())</ns0:f>
        <ns0:v/>
      </ns0:c>
      <ns0:c r="E1129">
        <ns0:f>IFERROR(IF(ISNUMBER($A1129),IF(AND(AH!$P$10=1,AH!$P$12=1,$A1129=TODAY()),AH!$P$20,IF(AH!$P$10=1,INDEX('Live History'!$H$5:$H$3004,MATCH($A1129,'Live History'!$G$5:$G$3004,1)),INDEX('AH History'!$D$1:$D$18046,AH!$P$7+1124))),NA()),NA())</ns0:f>
        <ns0:v/>
      </ns0:c>
      <ns0:c r="F1129">
        <ns0:f>IFERROR(IF(ISNUMBER($A1129),IF(AND(AH!$P$10=1,AH!$P$12=1,$A1129=TODAY()),IF(AND(AH!$P$10=1,AH!$P$12=1,$A1129=TODAY()),TODAY(),NA()),IF(AH!$P$10=1,INDEX('Live History'!$D$5:$D$3004,MATCH($A1129,'Live History'!$D$5:$D$3004,1)),INDEX('AH History'!$E$1:$E$18046,AH!$P$7+1124))),NA()),NA())</ns0:f>
        <ns0:v/>
      </ns0:c>
      <ns0:c r="G1129">
        <ns0:f>IFERROR(IF(ISNUMBER($A1129),IF(AND(AH!$P$10=1,AH!$P$12=1,$A1129=TODAY()),IF(AND(AH!$P$10=1,AH!$P$12=1,$A1129=TODAY()),TODAY(),NA()),IF(AH!$P$10=1,INDEX('Live History'!$G$5:$G$3004,MATCH($A1129,'Live History'!$G$5:$G$3004,1)),INDEX('AH History'!$F$1:$F$18046,AH!$P$7+1124))),NA()),NA())</ns0:f>
        <ns0:v/>
      </ns0:c>
      <ns0:c r="H1129">
        <ns0:f>IFERROR(IF(AND(AH!$E$4="Bloomberg",AH!$P$10=1,ISNUMBER($A1129),$A1129&lt;=AH!$P$17),AH!$P$7-1+MATCH($A1129,INDEX('AH History'!$A$1:$A$18046,AH!$P$7):INDEX('AH History'!$A$1:$A$18046,AH!$P$7+AH!$P$8-1),0),0),0)</ns0:f>
        <ns0:v/>
      </ns0:c>
      <ns0:c r="I1129">
        <ns0:f>IF($H1129=0,0,IFERROR(IF(AND(ABS($C1129-INDEX('AH History'!$B$1:$B$18046,$H1129))&lt;=MAX(0.005,ABS(INDEX('AH History'!$B$1:$B$18046,$H1129))*0.00005),ABS($D1129-INDEX('AH History'!$C$1:$C$18046,$H1129))&lt;=MAX(0.005,ABS(INDEX('AH History'!$C$1:$C$18046,$H1129))*0.00005),ABS($E1129-INDEX('AH History'!$D$1:$D$18046,$H1129))&lt;=0.00005,$F1129=INDEX('AH History'!$E$1:$E$18046,$H1129),$G1129=INDEX('AH History'!$F$1:$F$18046,$H1129)),1,-1),-1))</ns0:f>
        <ns0:v/>
      </ns0:c>
    </ns0:row>
    <ns0:row r="1130">
      <ns0:c r="A1130" s="215">
        <ns0:f>IF(OR(AH!$P$3=0,1125+1&gt;AH!$P$11,AND(AH!$E$4&lt;&gt;"Stored",AH!$P$10&lt;&gt;1)),"",IFERROR(IF(AND(AH!$P$21=1,1125+1=AH!$P$11),TODAY(),IF(AH!$P$10=1,INDEX('Live History'!$A$5:$A$3004,AH!$P$13+1125),INDEX('AH History'!$A$1:$A$18046,AH!$P$7+1125))),""))</ns0:f>
        <ns0:v/>
      </ns0:c>
      <ns0:c r="B1130" s="219">
        <ns0:f>IFERROR(IF(AND(AH!$P$9&lt;&gt;1,$C1130&gt;0,$D1130&gt;0,$E1130&gt;0,$F1130&gt;0,$G1130&gt;0,$F1130&lt;=$A1130,$G1130&lt;=$A1130,$A1130-$F1130&lt;=10,$A1130-$G1130&lt;=5),$D1130*$E1130/$C1130-1,NA()),NA())</ns0:f>
        <ns0:v/>
      </ns0:c>
      <ns0:c r="C1130">
        <ns0:f>IFERROR(IF(ISNUMBER($A1130),IF(AND(AH!$P$10=1,AH!$P$12=1,$A1130=TODAY()),AH!$P$19,IF(AH!$P$10=1,INDEX('Live History'!$B$5:$B$3004,AH!$P$13+1125),INDEX('AH History'!$B$1:$B$18046,AH!$P$7+1125))),NA()),NA())</ns0:f>
        <ns0:v/>
      </ns0:c>
      <ns0:c r="D1130">
        <ns0:f>IFERROR(IF(ISNUMBER($A1130),IF(AND(AH!$P$10=1,AH!$P$12=1,$A1130=TODAY()),AH!$P$18,IF(AH!$P$10=1,INDEX('Live History'!$E$5:$E$3004,MATCH($A1130,'Live History'!$D$5:$D$3004,1)),INDEX('AH History'!$C$1:$C$18046,AH!$P$7+1125))),NA()),NA())</ns0:f>
        <ns0:v/>
      </ns0:c>
      <ns0:c r="E1130">
        <ns0:f>IFERROR(IF(ISNUMBER($A1130),IF(AND(AH!$P$10=1,AH!$P$12=1,$A1130=TODAY()),AH!$P$20,IF(AH!$P$10=1,INDEX('Live History'!$H$5:$H$3004,MATCH($A1130,'Live History'!$G$5:$G$3004,1)),INDEX('AH History'!$D$1:$D$18046,AH!$P$7+1125))),NA()),NA())</ns0:f>
        <ns0:v/>
      </ns0:c>
      <ns0:c r="F1130">
        <ns0:f>IFERROR(IF(ISNUMBER($A1130),IF(AND(AH!$P$10=1,AH!$P$12=1,$A1130=TODAY()),IF(AND(AH!$P$10=1,AH!$P$12=1,$A1130=TODAY()),TODAY(),NA()),IF(AH!$P$10=1,INDEX('Live History'!$D$5:$D$3004,MATCH($A1130,'Live History'!$D$5:$D$3004,1)),INDEX('AH History'!$E$1:$E$18046,AH!$P$7+1125))),NA()),NA())</ns0:f>
        <ns0:v/>
      </ns0:c>
      <ns0:c r="G1130">
        <ns0:f>IFERROR(IF(ISNUMBER($A1130),IF(AND(AH!$P$10=1,AH!$P$12=1,$A1130=TODAY()),IF(AND(AH!$P$10=1,AH!$P$12=1,$A1130=TODAY()),TODAY(),NA()),IF(AH!$P$10=1,INDEX('Live History'!$G$5:$G$3004,MATCH($A1130,'Live History'!$G$5:$G$3004,1)),INDEX('AH History'!$F$1:$F$18046,AH!$P$7+1125))),NA()),NA())</ns0:f>
        <ns0:v/>
      </ns0:c>
      <ns0:c r="H1130">
        <ns0:f>IFERROR(IF(AND(AH!$E$4="Bloomberg",AH!$P$10=1,ISNUMBER($A1130),$A1130&lt;=AH!$P$17),AH!$P$7-1+MATCH($A1130,INDEX('AH History'!$A$1:$A$18046,AH!$P$7):INDEX('AH History'!$A$1:$A$18046,AH!$P$7+AH!$P$8-1),0),0),0)</ns0:f>
        <ns0:v/>
      </ns0:c>
      <ns0:c r="I1130">
        <ns0:f>IF($H1130=0,0,IFERROR(IF(AND(ABS($C1130-INDEX('AH History'!$B$1:$B$18046,$H1130))&lt;=MAX(0.005,ABS(INDEX('AH History'!$B$1:$B$18046,$H1130))*0.00005),ABS($D1130-INDEX('AH History'!$C$1:$C$18046,$H1130))&lt;=MAX(0.005,ABS(INDEX('AH History'!$C$1:$C$18046,$H1130))*0.00005),ABS($E1130-INDEX('AH History'!$D$1:$D$18046,$H1130))&lt;=0.00005,$F1130=INDEX('AH History'!$E$1:$E$18046,$H1130),$G1130=INDEX('AH History'!$F$1:$F$18046,$H1130)),1,-1),-1))</ns0:f>
        <ns0:v/>
      </ns0:c>
    </ns0:row>
    <ns0:row r="1131">
      <ns0:c r="A1131" s="215">
        <ns0:f>IF(OR(AH!$P$3=0,1126+1&gt;AH!$P$11,AND(AH!$E$4&lt;&gt;"Stored",AH!$P$10&lt;&gt;1)),"",IFERROR(IF(AND(AH!$P$21=1,1126+1=AH!$P$11),TODAY(),IF(AH!$P$10=1,INDEX('Live History'!$A$5:$A$3004,AH!$P$13+1126),INDEX('AH History'!$A$1:$A$18046,AH!$P$7+1126))),""))</ns0:f>
        <ns0:v/>
      </ns0:c>
      <ns0:c r="B1131" s="219">
        <ns0:f>IFERROR(IF(AND(AH!$P$9&lt;&gt;1,$C1131&gt;0,$D1131&gt;0,$E1131&gt;0,$F1131&gt;0,$G1131&gt;0,$F1131&lt;=$A1131,$G1131&lt;=$A1131,$A1131-$F1131&lt;=10,$A1131-$G1131&lt;=5),$D1131*$E1131/$C1131-1,NA()),NA())</ns0:f>
        <ns0:v/>
      </ns0:c>
      <ns0:c r="C1131">
        <ns0:f>IFERROR(IF(ISNUMBER($A1131),IF(AND(AH!$P$10=1,AH!$P$12=1,$A1131=TODAY()),AH!$P$19,IF(AH!$P$10=1,INDEX('Live History'!$B$5:$B$3004,AH!$P$13+1126),INDEX('AH History'!$B$1:$B$18046,AH!$P$7+1126))),NA()),NA())</ns0:f>
        <ns0:v/>
      </ns0:c>
      <ns0:c r="D1131">
        <ns0:f>IFERROR(IF(ISNUMBER($A1131),IF(AND(AH!$P$10=1,AH!$P$12=1,$A1131=TODAY()),AH!$P$18,IF(AH!$P$10=1,INDEX('Live History'!$E$5:$E$3004,MATCH($A1131,'Live History'!$D$5:$D$3004,1)),INDEX('AH History'!$C$1:$C$18046,AH!$P$7+1126))),NA()),NA())</ns0:f>
        <ns0:v/>
      </ns0:c>
      <ns0:c r="E1131">
        <ns0:f>IFERROR(IF(ISNUMBER($A1131),IF(AND(AH!$P$10=1,AH!$P$12=1,$A1131=TODAY()),AH!$P$20,IF(AH!$P$10=1,INDEX('Live History'!$H$5:$H$3004,MATCH($A1131,'Live History'!$G$5:$G$3004,1)),INDEX('AH History'!$D$1:$D$18046,AH!$P$7+1126))),NA()),NA())</ns0:f>
        <ns0:v/>
      </ns0:c>
      <ns0:c r="F1131">
        <ns0:f>IFERROR(IF(ISNUMBER($A1131),IF(AND(AH!$P$10=1,AH!$P$12=1,$A1131=TODAY()),IF(AND(AH!$P$10=1,AH!$P$12=1,$A1131=TODAY()),TODAY(),NA()),IF(AH!$P$10=1,INDEX('Live History'!$D$5:$D$3004,MATCH($A1131,'Live History'!$D$5:$D$3004,1)),INDEX('AH History'!$E$1:$E$18046,AH!$P$7+1126))),NA()),NA())</ns0:f>
        <ns0:v/>
      </ns0:c>
      <ns0:c r="G1131">
        <ns0:f>IFERROR(IF(ISNUMBER($A1131),IF(AND(AH!$P$10=1,AH!$P$12=1,$A1131=TODAY()),IF(AND(AH!$P$10=1,AH!$P$12=1,$A1131=TODAY()),TODAY(),NA()),IF(AH!$P$10=1,INDEX('Live History'!$G$5:$G$3004,MATCH($A1131,'Live History'!$G$5:$G$3004,1)),INDEX('AH History'!$F$1:$F$18046,AH!$P$7+1126))),NA()),NA())</ns0:f>
        <ns0:v/>
      </ns0:c>
      <ns0:c r="H1131">
        <ns0:f>IFERROR(IF(AND(AH!$E$4="Bloomberg",AH!$P$10=1,ISNUMBER($A1131),$A1131&lt;=AH!$P$17),AH!$P$7-1+MATCH($A1131,INDEX('AH History'!$A$1:$A$18046,AH!$P$7):INDEX('AH History'!$A$1:$A$18046,AH!$P$7+AH!$P$8-1),0),0),0)</ns0:f>
        <ns0:v/>
      </ns0:c>
      <ns0:c r="I1131">
        <ns0:f>IF($H1131=0,0,IFERROR(IF(AND(ABS($C1131-INDEX('AH History'!$B$1:$B$18046,$H1131))&lt;=MAX(0.005,ABS(INDEX('AH History'!$B$1:$B$18046,$H1131))*0.00005),ABS($D1131-INDEX('AH History'!$C$1:$C$18046,$H1131))&lt;=MAX(0.005,ABS(INDEX('AH History'!$C$1:$C$18046,$H1131))*0.00005),ABS($E1131-INDEX('AH History'!$D$1:$D$18046,$H1131))&lt;=0.00005,$F1131=INDEX('AH History'!$E$1:$E$18046,$H1131),$G1131=INDEX('AH History'!$F$1:$F$18046,$H1131)),1,-1),-1))</ns0:f>
        <ns0:v/>
      </ns0:c>
    </ns0:row>
    <ns0:row r="1132">
      <ns0:c r="A1132" s="215">
        <ns0:f>IF(OR(AH!$P$3=0,1127+1&gt;AH!$P$11,AND(AH!$E$4&lt;&gt;"Stored",AH!$P$10&lt;&gt;1)),"",IFERROR(IF(AND(AH!$P$21=1,1127+1=AH!$P$11),TODAY(),IF(AH!$P$10=1,INDEX('Live History'!$A$5:$A$3004,AH!$P$13+1127),INDEX('AH History'!$A$1:$A$18046,AH!$P$7+1127))),""))</ns0:f>
        <ns0:v/>
      </ns0:c>
      <ns0:c r="B1132" s="219">
        <ns0:f>IFERROR(IF(AND(AH!$P$9&lt;&gt;1,$C1132&gt;0,$D1132&gt;0,$E1132&gt;0,$F1132&gt;0,$G1132&gt;0,$F1132&lt;=$A1132,$G1132&lt;=$A1132,$A1132-$F1132&lt;=10,$A1132-$G1132&lt;=5),$D1132*$E1132/$C1132-1,NA()),NA())</ns0:f>
        <ns0:v/>
      </ns0:c>
      <ns0:c r="C1132">
        <ns0:f>IFERROR(IF(ISNUMBER($A1132),IF(AND(AH!$P$10=1,AH!$P$12=1,$A1132=TODAY()),AH!$P$19,IF(AH!$P$10=1,INDEX('Live History'!$B$5:$B$3004,AH!$P$13+1127),INDEX('AH History'!$B$1:$B$18046,AH!$P$7+1127))),NA()),NA())</ns0:f>
        <ns0:v/>
      </ns0:c>
      <ns0:c r="D1132">
        <ns0:f>IFERROR(IF(ISNUMBER($A1132),IF(AND(AH!$P$10=1,AH!$P$12=1,$A1132=TODAY()),AH!$P$18,IF(AH!$P$10=1,INDEX('Live History'!$E$5:$E$3004,MATCH($A1132,'Live History'!$D$5:$D$3004,1)),INDEX('AH History'!$C$1:$C$18046,AH!$P$7+1127))),NA()),NA())</ns0:f>
        <ns0:v/>
      </ns0:c>
      <ns0:c r="E1132">
        <ns0:f>IFERROR(IF(ISNUMBER($A1132),IF(AND(AH!$P$10=1,AH!$P$12=1,$A1132=TODAY()),AH!$P$20,IF(AH!$P$10=1,INDEX('Live History'!$H$5:$H$3004,MATCH($A1132,'Live History'!$G$5:$G$3004,1)),INDEX('AH History'!$D$1:$D$18046,AH!$P$7+1127))),NA()),NA())</ns0:f>
        <ns0:v/>
      </ns0:c>
      <ns0:c r="F1132">
        <ns0:f>IFERROR(IF(ISNUMBER($A1132),IF(AND(AH!$P$10=1,AH!$P$12=1,$A1132=TODAY()),IF(AND(AH!$P$10=1,AH!$P$12=1,$A1132=TODAY()),TODAY(),NA()),IF(AH!$P$10=1,INDEX('Live History'!$D$5:$D$3004,MATCH($A1132,'Live History'!$D$5:$D$3004,1)),INDEX('AH History'!$E$1:$E$18046,AH!$P$7+1127))),NA()),NA())</ns0:f>
        <ns0:v/>
      </ns0:c>
      <ns0:c r="G1132">
        <ns0:f>IFERROR(IF(ISNUMBER($A1132),IF(AND(AH!$P$10=1,AH!$P$12=1,$A1132=TODAY()),IF(AND(AH!$P$10=1,AH!$P$12=1,$A1132=TODAY()),TODAY(),NA()),IF(AH!$P$10=1,INDEX('Live History'!$G$5:$G$3004,MATCH($A1132,'Live History'!$G$5:$G$3004,1)),INDEX('AH History'!$F$1:$F$18046,AH!$P$7+1127))),NA()),NA())</ns0:f>
        <ns0:v/>
      </ns0:c>
      <ns0:c r="H1132">
        <ns0:f>IFERROR(IF(AND(AH!$E$4="Bloomberg",AH!$P$10=1,ISNUMBER($A1132),$A1132&lt;=AH!$P$17),AH!$P$7-1+MATCH($A1132,INDEX('AH History'!$A$1:$A$18046,AH!$P$7):INDEX('AH History'!$A$1:$A$18046,AH!$P$7+AH!$P$8-1),0),0),0)</ns0:f>
        <ns0:v/>
      </ns0:c>
      <ns0:c r="I1132">
        <ns0:f>IF($H1132=0,0,IFERROR(IF(AND(ABS($C1132-INDEX('AH History'!$B$1:$B$18046,$H1132))&lt;=MAX(0.005,ABS(INDEX('AH History'!$B$1:$B$18046,$H1132))*0.00005),ABS($D1132-INDEX('AH History'!$C$1:$C$18046,$H1132))&lt;=MAX(0.005,ABS(INDEX('AH History'!$C$1:$C$18046,$H1132))*0.00005),ABS($E1132-INDEX('AH History'!$D$1:$D$18046,$H1132))&lt;=0.00005,$F1132=INDEX('AH History'!$E$1:$E$18046,$H1132),$G1132=INDEX('AH History'!$F$1:$F$18046,$H1132)),1,-1),-1))</ns0:f>
        <ns0:v/>
      </ns0:c>
    </ns0:row>
    <ns0:row r="1133">
      <ns0:c r="A1133" s="215">
        <ns0:f>IF(OR(AH!$P$3=0,1128+1&gt;AH!$P$11,AND(AH!$E$4&lt;&gt;"Stored",AH!$P$10&lt;&gt;1)),"",IFERROR(IF(AND(AH!$P$21=1,1128+1=AH!$P$11),TODAY(),IF(AH!$P$10=1,INDEX('Live History'!$A$5:$A$3004,AH!$P$13+1128),INDEX('AH History'!$A$1:$A$18046,AH!$P$7+1128))),""))</ns0:f>
        <ns0:v/>
      </ns0:c>
      <ns0:c r="B1133" s="219">
        <ns0:f>IFERROR(IF(AND(AH!$P$9&lt;&gt;1,$C1133&gt;0,$D1133&gt;0,$E1133&gt;0,$F1133&gt;0,$G1133&gt;0,$F1133&lt;=$A1133,$G1133&lt;=$A1133,$A1133-$F1133&lt;=10,$A1133-$G1133&lt;=5),$D1133*$E1133/$C1133-1,NA()),NA())</ns0:f>
        <ns0:v/>
      </ns0:c>
      <ns0:c r="C1133">
        <ns0:f>IFERROR(IF(ISNUMBER($A1133),IF(AND(AH!$P$10=1,AH!$P$12=1,$A1133=TODAY()),AH!$P$19,IF(AH!$P$10=1,INDEX('Live History'!$B$5:$B$3004,AH!$P$13+1128),INDEX('AH History'!$B$1:$B$18046,AH!$P$7+1128))),NA()),NA())</ns0:f>
        <ns0:v/>
      </ns0:c>
      <ns0:c r="D1133">
        <ns0:f>IFERROR(IF(ISNUMBER($A1133),IF(AND(AH!$P$10=1,AH!$P$12=1,$A1133=TODAY()),AH!$P$18,IF(AH!$P$10=1,INDEX('Live History'!$E$5:$E$3004,MATCH($A1133,'Live History'!$D$5:$D$3004,1)),INDEX('AH History'!$C$1:$C$18046,AH!$P$7+1128))),NA()),NA())</ns0:f>
        <ns0:v/>
      </ns0:c>
      <ns0:c r="E1133">
        <ns0:f>IFERROR(IF(ISNUMBER($A1133),IF(AND(AH!$P$10=1,AH!$P$12=1,$A1133=TODAY()),AH!$P$20,IF(AH!$P$10=1,INDEX('Live History'!$H$5:$H$3004,MATCH($A1133,'Live History'!$G$5:$G$3004,1)),INDEX('AH History'!$D$1:$D$18046,AH!$P$7+1128))),NA()),NA())</ns0:f>
        <ns0:v/>
      </ns0:c>
      <ns0:c r="F1133">
        <ns0:f>IFERROR(IF(ISNUMBER($A1133),IF(AND(AH!$P$10=1,AH!$P$12=1,$A1133=TODAY()),IF(AND(AH!$P$10=1,AH!$P$12=1,$A1133=TODAY()),TODAY(),NA()),IF(AH!$P$10=1,INDEX('Live History'!$D$5:$D$3004,MATCH($A1133,'Live History'!$D$5:$D$3004,1)),INDEX('AH History'!$E$1:$E$18046,AH!$P$7+1128))),NA()),NA())</ns0:f>
        <ns0:v/>
      </ns0:c>
      <ns0:c r="G1133">
        <ns0:f>IFERROR(IF(ISNUMBER($A1133),IF(AND(AH!$P$10=1,AH!$P$12=1,$A1133=TODAY()),IF(AND(AH!$P$10=1,AH!$P$12=1,$A1133=TODAY()),TODAY(),NA()),IF(AH!$P$10=1,INDEX('Live History'!$G$5:$G$3004,MATCH($A1133,'Live History'!$G$5:$G$3004,1)),INDEX('AH History'!$F$1:$F$18046,AH!$P$7+1128))),NA()),NA())</ns0:f>
        <ns0:v/>
      </ns0:c>
      <ns0:c r="H1133">
        <ns0:f>IFERROR(IF(AND(AH!$E$4="Bloomberg",AH!$P$10=1,ISNUMBER($A1133),$A1133&lt;=AH!$P$17),AH!$P$7-1+MATCH($A1133,INDEX('AH History'!$A$1:$A$18046,AH!$P$7):INDEX('AH History'!$A$1:$A$18046,AH!$P$7+AH!$P$8-1),0),0),0)</ns0:f>
        <ns0:v/>
      </ns0:c>
      <ns0:c r="I1133">
        <ns0:f>IF($H1133=0,0,IFERROR(IF(AND(ABS($C1133-INDEX('AH History'!$B$1:$B$18046,$H1133))&lt;=MAX(0.005,ABS(INDEX('AH History'!$B$1:$B$18046,$H1133))*0.00005),ABS($D1133-INDEX('AH History'!$C$1:$C$18046,$H1133))&lt;=MAX(0.005,ABS(INDEX('AH History'!$C$1:$C$18046,$H1133))*0.00005),ABS($E1133-INDEX('AH History'!$D$1:$D$18046,$H1133))&lt;=0.00005,$F1133=INDEX('AH History'!$E$1:$E$18046,$H1133),$G1133=INDEX('AH History'!$F$1:$F$18046,$H1133)),1,-1),-1))</ns0:f>
        <ns0:v/>
      </ns0:c>
    </ns0:row>
    <ns0:row r="1134">
      <ns0:c r="A1134" s="215">
        <ns0:f>IF(OR(AH!$P$3=0,1129+1&gt;AH!$P$11,AND(AH!$E$4&lt;&gt;"Stored",AH!$P$10&lt;&gt;1)),"",IFERROR(IF(AND(AH!$P$21=1,1129+1=AH!$P$11),TODAY(),IF(AH!$P$10=1,INDEX('Live History'!$A$5:$A$3004,AH!$P$13+1129),INDEX('AH History'!$A$1:$A$18046,AH!$P$7+1129))),""))</ns0:f>
        <ns0:v/>
      </ns0:c>
      <ns0:c r="B1134" s="219">
        <ns0:f>IFERROR(IF(AND(AH!$P$9&lt;&gt;1,$C1134&gt;0,$D1134&gt;0,$E1134&gt;0,$F1134&gt;0,$G1134&gt;0,$F1134&lt;=$A1134,$G1134&lt;=$A1134,$A1134-$F1134&lt;=10,$A1134-$G1134&lt;=5),$D1134*$E1134/$C1134-1,NA()),NA())</ns0:f>
        <ns0:v/>
      </ns0:c>
      <ns0:c r="C1134">
        <ns0:f>IFERROR(IF(ISNUMBER($A1134),IF(AND(AH!$P$10=1,AH!$P$12=1,$A1134=TODAY()),AH!$P$19,IF(AH!$P$10=1,INDEX('Live History'!$B$5:$B$3004,AH!$P$13+1129),INDEX('AH History'!$B$1:$B$18046,AH!$P$7+1129))),NA()),NA())</ns0:f>
        <ns0:v/>
      </ns0:c>
      <ns0:c r="D1134">
        <ns0:f>IFERROR(IF(ISNUMBER($A1134),IF(AND(AH!$P$10=1,AH!$P$12=1,$A1134=TODAY()),AH!$P$18,IF(AH!$P$10=1,INDEX('Live History'!$E$5:$E$3004,MATCH($A1134,'Live History'!$D$5:$D$3004,1)),INDEX('AH History'!$C$1:$C$18046,AH!$P$7+1129))),NA()),NA())</ns0:f>
        <ns0:v/>
      </ns0:c>
      <ns0:c r="E1134">
        <ns0:f>IFERROR(IF(ISNUMBER($A1134),IF(AND(AH!$P$10=1,AH!$P$12=1,$A1134=TODAY()),AH!$P$20,IF(AH!$P$10=1,INDEX('Live History'!$H$5:$H$3004,MATCH($A1134,'Live History'!$G$5:$G$3004,1)),INDEX('AH History'!$D$1:$D$18046,AH!$P$7+1129))),NA()),NA())</ns0:f>
        <ns0:v/>
      </ns0:c>
      <ns0:c r="F1134">
        <ns0:f>IFERROR(IF(ISNUMBER($A1134),IF(AND(AH!$P$10=1,AH!$P$12=1,$A1134=TODAY()),IF(AND(AH!$P$10=1,AH!$P$12=1,$A1134=TODAY()),TODAY(),NA()),IF(AH!$P$10=1,INDEX('Live History'!$D$5:$D$3004,MATCH($A1134,'Live History'!$D$5:$D$3004,1)),INDEX('AH History'!$E$1:$E$18046,AH!$P$7+1129))),NA()),NA())</ns0:f>
        <ns0:v/>
      </ns0:c>
      <ns0:c r="G1134">
        <ns0:f>IFERROR(IF(ISNUMBER($A1134),IF(AND(AH!$P$10=1,AH!$P$12=1,$A1134=TODAY()),IF(AND(AH!$P$10=1,AH!$P$12=1,$A1134=TODAY()),TODAY(),NA()),IF(AH!$P$10=1,INDEX('Live History'!$G$5:$G$3004,MATCH($A1134,'Live History'!$G$5:$G$3004,1)),INDEX('AH History'!$F$1:$F$18046,AH!$P$7+1129))),NA()),NA())</ns0:f>
        <ns0:v/>
      </ns0:c>
      <ns0:c r="H1134">
        <ns0:f>IFERROR(IF(AND(AH!$E$4="Bloomberg",AH!$P$10=1,ISNUMBER($A1134),$A1134&lt;=AH!$P$17),AH!$P$7-1+MATCH($A1134,INDEX('AH History'!$A$1:$A$18046,AH!$P$7):INDEX('AH History'!$A$1:$A$18046,AH!$P$7+AH!$P$8-1),0),0),0)</ns0:f>
        <ns0:v/>
      </ns0:c>
      <ns0:c r="I1134">
        <ns0:f>IF($H1134=0,0,IFERROR(IF(AND(ABS($C1134-INDEX('AH History'!$B$1:$B$18046,$H1134))&lt;=MAX(0.005,ABS(INDEX('AH History'!$B$1:$B$18046,$H1134))*0.00005),ABS($D1134-INDEX('AH History'!$C$1:$C$18046,$H1134))&lt;=MAX(0.005,ABS(INDEX('AH History'!$C$1:$C$18046,$H1134))*0.00005),ABS($E1134-INDEX('AH History'!$D$1:$D$18046,$H1134))&lt;=0.00005,$F1134=INDEX('AH History'!$E$1:$E$18046,$H1134),$G1134=INDEX('AH History'!$F$1:$F$18046,$H1134)),1,-1),-1))</ns0:f>
        <ns0:v/>
      </ns0:c>
    </ns0:row>
    <ns0:row r="1135">
      <ns0:c r="A1135" s="215">
        <ns0:f>IF(OR(AH!$P$3=0,1130+1&gt;AH!$P$11,AND(AH!$E$4&lt;&gt;"Stored",AH!$P$10&lt;&gt;1)),"",IFERROR(IF(AND(AH!$P$21=1,1130+1=AH!$P$11),TODAY(),IF(AH!$P$10=1,INDEX('Live History'!$A$5:$A$3004,AH!$P$13+1130),INDEX('AH History'!$A$1:$A$18046,AH!$P$7+1130))),""))</ns0:f>
        <ns0:v/>
      </ns0:c>
      <ns0:c r="B1135" s="219">
        <ns0:f>IFERROR(IF(AND(AH!$P$9&lt;&gt;1,$C1135&gt;0,$D1135&gt;0,$E1135&gt;0,$F1135&gt;0,$G1135&gt;0,$F1135&lt;=$A1135,$G1135&lt;=$A1135,$A1135-$F1135&lt;=10,$A1135-$G1135&lt;=5),$D1135*$E1135/$C1135-1,NA()),NA())</ns0:f>
        <ns0:v/>
      </ns0:c>
      <ns0:c r="C1135">
        <ns0:f>IFERROR(IF(ISNUMBER($A1135),IF(AND(AH!$P$10=1,AH!$P$12=1,$A1135=TODAY()),AH!$P$19,IF(AH!$P$10=1,INDEX('Live History'!$B$5:$B$3004,AH!$P$13+1130),INDEX('AH History'!$B$1:$B$18046,AH!$P$7+1130))),NA()),NA())</ns0:f>
        <ns0:v/>
      </ns0:c>
      <ns0:c r="D1135">
        <ns0:f>IFERROR(IF(ISNUMBER($A1135),IF(AND(AH!$P$10=1,AH!$P$12=1,$A1135=TODAY()),AH!$P$18,IF(AH!$P$10=1,INDEX('Live History'!$E$5:$E$3004,MATCH($A1135,'Live History'!$D$5:$D$3004,1)),INDEX('AH History'!$C$1:$C$18046,AH!$P$7+1130))),NA()),NA())</ns0:f>
        <ns0:v/>
      </ns0:c>
      <ns0:c r="E1135">
        <ns0:f>IFERROR(IF(ISNUMBER($A1135),IF(AND(AH!$P$10=1,AH!$P$12=1,$A1135=TODAY()),AH!$P$20,IF(AH!$P$10=1,INDEX('Live History'!$H$5:$H$3004,MATCH($A1135,'Live History'!$G$5:$G$3004,1)),INDEX('AH History'!$D$1:$D$18046,AH!$P$7+1130))),NA()),NA())</ns0:f>
        <ns0:v/>
      </ns0:c>
      <ns0:c r="F1135">
        <ns0:f>IFERROR(IF(ISNUMBER($A1135),IF(AND(AH!$P$10=1,AH!$P$12=1,$A1135=TODAY()),IF(AND(AH!$P$10=1,AH!$P$12=1,$A1135=TODAY()),TODAY(),NA()),IF(AH!$P$10=1,INDEX('Live History'!$D$5:$D$3004,MATCH($A1135,'Live History'!$D$5:$D$3004,1)),INDEX('AH History'!$E$1:$E$18046,AH!$P$7+1130))),NA()),NA())</ns0:f>
        <ns0:v/>
      </ns0:c>
      <ns0:c r="G1135">
        <ns0:f>IFERROR(IF(ISNUMBER($A1135),IF(AND(AH!$P$10=1,AH!$P$12=1,$A1135=TODAY()),IF(AND(AH!$P$10=1,AH!$P$12=1,$A1135=TODAY()),TODAY(),NA()),IF(AH!$P$10=1,INDEX('Live History'!$G$5:$G$3004,MATCH($A1135,'Live History'!$G$5:$G$3004,1)),INDEX('AH History'!$F$1:$F$18046,AH!$P$7+1130))),NA()),NA())</ns0:f>
        <ns0:v/>
      </ns0:c>
      <ns0:c r="H1135">
        <ns0:f>IFERROR(IF(AND(AH!$E$4="Bloomberg",AH!$P$10=1,ISNUMBER($A1135),$A1135&lt;=AH!$P$17),AH!$P$7-1+MATCH($A1135,INDEX('AH History'!$A$1:$A$18046,AH!$P$7):INDEX('AH History'!$A$1:$A$18046,AH!$P$7+AH!$P$8-1),0),0),0)</ns0:f>
        <ns0:v/>
      </ns0:c>
      <ns0:c r="I1135">
        <ns0:f>IF($H1135=0,0,IFERROR(IF(AND(ABS($C1135-INDEX('AH History'!$B$1:$B$18046,$H1135))&lt;=MAX(0.005,ABS(INDEX('AH History'!$B$1:$B$18046,$H1135))*0.00005),ABS($D1135-INDEX('AH History'!$C$1:$C$18046,$H1135))&lt;=MAX(0.005,ABS(INDEX('AH History'!$C$1:$C$18046,$H1135))*0.00005),ABS($E1135-INDEX('AH History'!$D$1:$D$18046,$H1135))&lt;=0.00005,$F1135=INDEX('AH History'!$E$1:$E$18046,$H1135),$G1135=INDEX('AH History'!$F$1:$F$18046,$H1135)),1,-1),-1))</ns0:f>
        <ns0:v/>
      </ns0:c>
    </ns0:row>
    <ns0:row r="1136">
      <ns0:c r="A1136" s="215">
        <ns0:f>IF(OR(AH!$P$3=0,1131+1&gt;AH!$P$11,AND(AH!$E$4&lt;&gt;"Stored",AH!$P$10&lt;&gt;1)),"",IFERROR(IF(AND(AH!$P$21=1,1131+1=AH!$P$11),TODAY(),IF(AH!$P$10=1,INDEX('Live History'!$A$5:$A$3004,AH!$P$13+1131),INDEX('AH History'!$A$1:$A$18046,AH!$P$7+1131))),""))</ns0:f>
        <ns0:v/>
      </ns0:c>
      <ns0:c r="B1136" s="219">
        <ns0:f>IFERROR(IF(AND(AH!$P$9&lt;&gt;1,$C1136&gt;0,$D1136&gt;0,$E1136&gt;0,$F1136&gt;0,$G1136&gt;0,$F1136&lt;=$A1136,$G1136&lt;=$A1136,$A1136-$F1136&lt;=10,$A1136-$G1136&lt;=5),$D1136*$E1136/$C1136-1,NA()),NA())</ns0:f>
        <ns0:v/>
      </ns0:c>
      <ns0:c r="C1136">
        <ns0:f>IFERROR(IF(ISNUMBER($A1136),IF(AND(AH!$P$10=1,AH!$P$12=1,$A1136=TODAY()),AH!$P$19,IF(AH!$P$10=1,INDEX('Live History'!$B$5:$B$3004,AH!$P$13+1131),INDEX('AH History'!$B$1:$B$18046,AH!$P$7+1131))),NA()),NA())</ns0:f>
        <ns0:v/>
      </ns0:c>
      <ns0:c r="D1136">
        <ns0:f>IFERROR(IF(ISNUMBER($A1136),IF(AND(AH!$P$10=1,AH!$P$12=1,$A1136=TODAY()),AH!$P$18,IF(AH!$P$10=1,INDEX('Live History'!$E$5:$E$3004,MATCH($A1136,'Live History'!$D$5:$D$3004,1)),INDEX('AH History'!$C$1:$C$18046,AH!$P$7+1131))),NA()),NA())</ns0:f>
        <ns0:v/>
      </ns0:c>
      <ns0:c r="E1136">
        <ns0:f>IFERROR(IF(ISNUMBER($A1136),IF(AND(AH!$P$10=1,AH!$P$12=1,$A1136=TODAY()),AH!$P$20,IF(AH!$P$10=1,INDEX('Live History'!$H$5:$H$3004,MATCH($A1136,'Live History'!$G$5:$G$3004,1)),INDEX('AH History'!$D$1:$D$18046,AH!$P$7+1131))),NA()),NA())</ns0:f>
        <ns0:v/>
      </ns0:c>
      <ns0:c r="F1136">
        <ns0:f>IFERROR(IF(ISNUMBER($A1136),IF(AND(AH!$P$10=1,AH!$P$12=1,$A1136=TODAY()),IF(AND(AH!$P$10=1,AH!$P$12=1,$A1136=TODAY()),TODAY(),NA()),IF(AH!$P$10=1,INDEX('Live History'!$D$5:$D$3004,MATCH($A1136,'Live History'!$D$5:$D$3004,1)),INDEX('AH History'!$E$1:$E$18046,AH!$P$7+1131))),NA()),NA())</ns0:f>
        <ns0:v/>
      </ns0:c>
      <ns0:c r="G1136">
        <ns0:f>IFERROR(IF(ISNUMBER($A1136),IF(AND(AH!$P$10=1,AH!$P$12=1,$A1136=TODAY()),IF(AND(AH!$P$10=1,AH!$P$12=1,$A1136=TODAY()),TODAY(),NA()),IF(AH!$P$10=1,INDEX('Live History'!$G$5:$G$3004,MATCH($A1136,'Live History'!$G$5:$G$3004,1)),INDEX('AH History'!$F$1:$F$18046,AH!$P$7+1131))),NA()),NA())</ns0:f>
        <ns0:v/>
      </ns0:c>
      <ns0:c r="H1136">
        <ns0:f>IFERROR(IF(AND(AH!$E$4="Bloomberg",AH!$P$10=1,ISNUMBER($A1136),$A1136&lt;=AH!$P$17),AH!$P$7-1+MATCH($A1136,INDEX('AH History'!$A$1:$A$18046,AH!$P$7):INDEX('AH History'!$A$1:$A$18046,AH!$P$7+AH!$P$8-1),0),0),0)</ns0:f>
        <ns0:v/>
      </ns0:c>
      <ns0:c r="I1136">
        <ns0:f>IF($H1136=0,0,IFERROR(IF(AND(ABS($C1136-INDEX('AH History'!$B$1:$B$18046,$H1136))&lt;=MAX(0.005,ABS(INDEX('AH History'!$B$1:$B$18046,$H1136))*0.00005),ABS($D1136-INDEX('AH History'!$C$1:$C$18046,$H1136))&lt;=MAX(0.005,ABS(INDEX('AH History'!$C$1:$C$18046,$H1136))*0.00005),ABS($E1136-INDEX('AH History'!$D$1:$D$18046,$H1136))&lt;=0.00005,$F1136=INDEX('AH History'!$E$1:$E$18046,$H1136),$G1136=INDEX('AH History'!$F$1:$F$18046,$H1136)),1,-1),-1))</ns0:f>
        <ns0:v/>
      </ns0:c>
    </ns0:row>
    <ns0:row r="1137">
      <ns0:c r="A1137" s="215">
        <ns0:f>IF(OR(AH!$P$3=0,1132+1&gt;AH!$P$11,AND(AH!$E$4&lt;&gt;"Stored",AH!$P$10&lt;&gt;1)),"",IFERROR(IF(AND(AH!$P$21=1,1132+1=AH!$P$11),TODAY(),IF(AH!$P$10=1,INDEX('Live History'!$A$5:$A$3004,AH!$P$13+1132),INDEX('AH History'!$A$1:$A$18046,AH!$P$7+1132))),""))</ns0:f>
        <ns0:v/>
      </ns0:c>
      <ns0:c r="B1137" s="219">
        <ns0:f>IFERROR(IF(AND(AH!$P$9&lt;&gt;1,$C1137&gt;0,$D1137&gt;0,$E1137&gt;0,$F1137&gt;0,$G1137&gt;0,$F1137&lt;=$A1137,$G1137&lt;=$A1137,$A1137-$F1137&lt;=10,$A1137-$G1137&lt;=5),$D1137*$E1137/$C1137-1,NA()),NA())</ns0:f>
        <ns0:v/>
      </ns0:c>
      <ns0:c r="C1137">
        <ns0:f>IFERROR(IF(ISNUMBER($A1137),IF(AND(AH!$P$10=1,AH!$P$12=1,$A1137=TODAY()),AH!$P$19,IF(AH!$P$10=1,INDEX('Live History'!$B$5:$B$3004,AH!$P$13+1132),INDEX('AH History'!$B$1:$B$18046,AH!$P$7+1132))),NA()),NA())</ns0:f>
        <ns0:v/>
      </ns0:c>
      <ns0:c r="D1137">
        <ns0:f>IFERROR(IF(ISNUMBER($A1137),IF(AND(AH!$P$10=1,AH!$P$12=1,$A1137=TODAY()),AH!$P$18,IF(AH!$P$10=1,INDEX('Live History'!$E$5:$E$3004,MATCH($A1137,'Live History'!$D$5:$D$3004,1)),INDEX('AH History'!$C$1:$C$18046,AH!$P$7+1132))),NA()),NA())</ns0:f>
        <ns0:v/>
      </ns0:c>
      <ns0:c r="E1137">
        <ns0:f>IFERROR(IF(ISNUMBER($A1137),IF(AND(AH!$P$10=1,AH!$P$12=1,$A1137=TODAY()),AH!$P$20,IF(AH!$P$10=1,INDEX('Live History'!$H$5:$H$3004,MATCH($A1137,'Live History'!$G$5:$G$3004,1)),INDEX('AH History'!$D$1:$D$18046,AH!$P$7+1132))),NA()),NA())</ns0:f>
        <ns0:v/>
      </ns0:c>
      <ns0:c r="F1137">
        <ns0:f>IFERROR(IF(ISNUMBER($A1137),IF(AND(AH!$P$10=1,AH!$P$12=1,$A1137=TODAY()),IF(AND(AH!$P$10=1,AH!$P$12=1,$A1137=TODAY()),TODAY(),NA()),IF(AH!$P$10=1,INDEX('Live History'!$D$5:$D$3004,MATCH($A1137,'Live History'!$D$5:$D$3004,1)),INDEX('AH History'!$E$1:$E$18046,AH!$P$7+1132))),NA()),NA())</ns0:f>
        <ns0:v/>
      </ns0:c>
      <ns0:c r="G1137">
        <ns0:f>IFERROR(IF(ISNUMBER($A1137),IF(AND(AH!$P$10=1,AH!$P$12=1,$A1137=TODAY()),IF(AND(AH!$P$10=1,AH!$P$12=1,$A1137=TODAY()),TODAY(),NA()),IF(AH!$P$10=1,INDEX('Live History'!$G$5:$G$3004,MATCH($A1137,'Live History'!$G$5:$G$3004,1)),INDEX('AH History'!$F$1:$F$18046,AH!$P$7+1132))),NA()),NA())</ns0:f>
        <ns0:v/>
      </ns0:c>
      <ns0:c r="H1137">
        <ns0:f>IFERROR(IF(AND(AH!$E$4="Bloomberg",AH!$P$10=1,ISNUMBER($A1137),$A1137&lt;=AH!$P$17),AH!$P$7-1+MATCH($A1137,INDEX('AH History'!$A$1:$A$18046,AH!$P$7):INDEX('AH History'!$A$1:$A$18046,AH!$P$7+AH!$P$8-1),0),0),0)</ns0:f>
        <ns0:v/>
      </ns0:c>
      <ns0:c r="I1137">
        <ns0:f>IF($H1137=0,0,IFERROR(IF(AND(ABS($C1137-INDEX('AH History'!$B$1:$B$18046,$H1137))&lt;=MAX(0.005,ABS(INDEX('AH History'!$B$1:$B$18046,$H1137))*0.00005),ABS($D1137-INDEX('AH History'!$C$1:$C$18046,$H1137))&lt;=MAX(0.005,ABS(INDEX('AH History'!$C$1:$C$18046,$H1137))*0.00005),ABS($E1137-INDEX('AH History'!$D$1:$D$18046,$H1137))&lt;=0.00005,$F1137=INDEX('AH History'!$E$1:$E$18046,$H1137),$G1137=INDEX('AH History'!$F$1:$F$18046,$H1137)),1,-1),-1))</ns0:f>
        <ns0:v/>
      </ns0:c>
    </ns0:row>
    <ns0:row r="1138">
      <ns0:c r="A1138" s="215">
        <ns0:f>IF(OR(AH!$P$3=0,1133+1&gt;AH!$P$11,AND(AH!$E$4&lt;&gt;"Stored",AH!$P$10&lt;&gt;1)),"",IFERROR(IF(AND(AH!$P$21=1,1133+1=AH!$P$11),TODAY(),IF(AH!$P$10=1,INDEX('Live History'!$A$5:$A$3004,AH!$P$13+1133),INDEX('AH History'!$A$1:$A$18046,AH!$P$7+1133))),""))</ns0:f>
        <ns0:v/>
      </ns0:c>
      <ns0:c r="B1138" s="219">
        <ns0:f>IFERROR(IF(AND(AH!$P$9&lt;&gt;1,$C1138&gt;0,$D1138&gt;0,$E1138&gt;0,$F1138&gt;0,$G1138&gt;0,$F1138&lt;=$A1138,$G1138&lt;=$A1138,$A1138-$F1138&lt;=10,$A1138-$G1138&lt;=5),$D1138*$E1138/$C1138-1,NA()),NA())</ns0:f>
        <ns0:v/>
      </ns0:c>
      <ns0:c r="C1138">
        <ns0:f>IFERROR(IF(ISNUMBER($A1138),IF(AND(AH!$P$10=1,AH!$P$12=1,$A1138=TODAY()),AH!$P$19,IF(AH!$P$10=1,INDEX('Live History'!$B$5:$B$3004,AH!$P$13+1133),INDEX('AH History'!$B$1:$B$18046,AH!$P$7+1133))),NA()),NA())</ns0:f>
        <ns0:v/>
      </ns0:c>
      <ns0:c r="D1138">
        <ns0:f>IFERROR(IF(ISNUMBER($A1138),IF(AND(AH!$P$10=1,AH!$P$12=1,$A1138=TODAY()),AH!$P$18,IF(AH!$P$10=1,INDEX('Live History'!$E$5:$E$3004,MATCH($A1138,'Live History'!$D$5:$D$3004,1)),INDEX('AH History'!$C$1:$C$18046,AH!$P$7+1133))),NA()),NA())</ns0:f>
        <ns0:v/>
      </ns0:c>
      <ns0:c r="E1138">
        <ns0:f>IFERROR(IF(ISNUMBER($A1138),IF(AND(AH!$P$10=1,AH!$P$12=1,$A1138=TODAY()),AH!$P$20,IF(AH!$P$10=1,INDEX('Live History'!$H$5:$H$3004,MATCH($A1138,'Live History'!$G$5:$G$3004,1)),INDEX('AH History'!$D$1:$D$18046,AH!$P$7+1133))),NA()),NA())</ns0:f>
        <ns0:v/>
      </ns0:c>
      <ns0:c r="F1138">
        <ns0:f>IFERROR(IF(ISNUMBER($A1138),IF(AND(AH!$P$10=1,AH!$P$12=1,$A1138=TODAY()),IF(AND(AH!$P$10=1,AH!$P$12=1,$A1138=TODAY()),TODAY(),NA()),IF(AH!$P$10=1,INDEX('Live History'!$D$5:$D$3004,MATCH($A1138,'Live History'!$D$5:$D$3004,1)),INDEX('AH History'!$E$1:$E$18046,AH!$P$7+1133))),NA()),NA())</ns0:f>
        <ns0:v/>
      </ns0:c>
      <ns0:c r="G1138">
        <ns0:f>IFERROR(IF(ISNUMBER($A1138),IF(AND(AH!$P$10=1,AH!$P$12=1,$A1138=TODAY()),IF(AND(AH!$P$10=1,AH!$P$12=1,$A1138=TODAY()),TODAY(),NA()),IF(AH!$P$10=1,INDEX('Live History'!$G$5:$G$3004,MATCH($A1138,'Live History'!$G$5:$G$3004,1)),INDEX('AH History'!$F$1:$F$18046,AH!$P$7+1133))),NA()),NA())</ns0:f>
        <ns0:v/>
      </ns0:c>
      <ns0:c r="H1138">
        <ns0:f>IFERROR(IF(AND(AH!$E$4="Bloomberg",AH!$P$10=1,ISNUMBER($A1138),$A1138&lt;=AH!$P$17),AH!$P$7-1+MATCH($A1138,INDEX('AH History'!$A$1:$A$18046,AH!$P$7):INDEX('AH History'!$A$1:$A$18046,AH!$P$7+AH!$P$8-1),0),0),0)</ns0:f>
        <ns0:v/>
      </ns0:c>
      <ns0:c r="I1138">
        <ns0:f>IF($H1138=0,0,IFERROR(IF(AND(ABS($C1138-INDEX('AH History'!$B$1:$B$18046,$H1138))&lt;=MAX(0.005,ABS(INDEX('AH History'!$B$1:$B$18046,$H1138))*0.00005),ABS($D1138-INDEX('AH History'!$C$1:$C$18046,$H1138))&lt;=MAX(0.005,ABS(INDEX('AH History'!$C$1:$C$18046,$H1138))*0.00005),ABS($E1138-INDEX('AH History'!$D$1:$D$18046,$H1138))&lt;=0.00005,$F1138=INDEX('AH History'!$E$1:$E$18046,$H1138),$G1138=INDEX('AH History'!$F$1:$F$18046,$H1138)),1,-1),-1))</ns0:f>
        <ns0:v/>
      </ns0:c>
    </ns0:row>
    <ns0:row r="1139">
      <ns0:c r="A1139" s="215">
        <ns0:f>IF(OR(AH!$P$3=0,1134+1&gt;AH!$P$11,AND(AH!$E$4&lt;&gt;"Stored",AH!$P$10&lt;&gt;1)),"",IFERROR(IF(AND(AH!$P$21=1,1134+1=AH!$P$11),TODAY(),IF(AH!$P$10=1,INDEX('Live History'!$A$5:$A$3004,AH!$P$13+1134),INDEX('AH History'!$A$1:$A$18046,AH!$P$7+1134))),""))</ns0:f>
        <ns0:v/>
      </ns0:c>
      <ns0:c r="B1139" s="219">
        <ns0:f>IFERROR(IF(AND(AH!$P$9&lt;&gt;1,$C1139&gt;0,$D1139&gt;0,$E1139&gt;0,$F1139&gt;0,$G1139&gt;0,$F1139&lt;=$A1139,$G1139&lt;=$A1139,$A1139-$F1139&lt;=10,$A1139-$G1139&lt;=5),$D1139*$E1139/$C1139-1,NA()),NA())</ns0:f>
        <ns0:v/>
      </ns0:c>
      <ns0:c r="C1139">
        <ns0:f>IFERROR(IF(ISNUMBER($A1139),IF(AND(AH!$P$10=1,AH!$P$12=1,$A1139=TODAY()),AH!$P$19,IF(AH!$P$10=1,INDEX('Live History'!$B$5:$B$3004,AH!$P$13+1134),INDEX('AH History'!$B$1:$B$18046,AH!$P$7+1134))),NA()),NA())</ns0:f>
        <ns0:v/>
      </ns0:c>
      <ns0:c r="D1139">
        <ns0:f>IFERROR(IF(ISNUMBER($A1139),IF(AND(AH!$P$10=1,AH!$P$12=1,$A1139=TODAY()),AH!$P$18,IF(AH!$P$10=1,INDEX('Live History'!$E$5:$E$3004,MATCH($A1139,'Live History'!$D$5:$D$3004,1)),INDEX('AH History'!$C$1:$C$18046,AH!$P$7+1134))),NA()),NA())</ns0:f>
        <ns0:v/>
      </ns0:c>
      <ns0:c r="E1139">
        <ns0:f>IFERROR(IF(ISNUMBER($A1139),IF(AND(AH!$P$10=1,AH!$P$12=1,$A1139=TODAY()),AH!$P$20,IF(AH!$P$10=1,INDEX('Live History'!$H$5:$H$3004,MATCH($A1139,'Live History'!$G$5:$G$3004,1)),INDEX('AH History'!$D$1:$D$18046,AH!$P$7+1134))),NA()),NA())</ns0:f>
        <ns0:v/>
      </ns0:c>
      <ns0:c r="F1139">
        <ns0:f>IFERROR(IF(ISNUMBER($A1139),IF(AND(AH!$P$10=1,AH!$P$12=1,$A1139=TODAY()),IF(AND(AH!$P$10=1,AH!$P$12=1,$A1139=TODAY()),TODAY(),NA()),IF(AH!$P$10=1,INDEX('Live History'!$D$5:$D$3004,MATCH($A1139,'Live History'!$D$5:$D$3004,1)),INDEX('AH History'!$E$1:$E$18046,AH!$P$7+1134))),NA()),NA())</ns0:f>
        <ns0:v/>
      </ns0:c>
      <ns0:c r="G1139">
        <ns0:f>IFERROR(IF(ISNUMBER($A1139),IF(AND(AH!$P$10=1,AH!$P$12=1,$A1139=TODAY()),IF(AND(AH!$P$10=1,AH!$P$12=1,$A1139=TODAY()),TODAY(),NA()),IF(AH!$P$10=1,INDEX('Live History'!$G$5:$G$3004,MATCH($A1139,'Live History'!$G$5:$G$3004,1)),INDEX('AH History'!$F$1:$F$18046,AH!$P$7+1134))),NA()),NA())</ns0:f>
        <ns0:v/>
      </ns0:c>
      <ns0:c r="H1139">
        <ns0:f>IFERROR(IF(AND(AH!$E$4="Bloomberg",AH!$P$10=1,ISNUMBER($A1139),$A1139&lt;=AH!$P$17),AH!$P$7-1+MATCH($A1139,INDEX('AH History'!$A$1:$A$18046,AH!$P$7):INDEX('AH History'!$A$1:$A$18046,AH!$P$7+AH!$P$8-1),0),0),0)</ns0:f>
        <ns0:v/>
      </ns0:c>
      <ns0:c r="I1139">
        <ns0:f>IF($H1139=0,0,IFERROR(IF(AND(ABS($C1139-INDEX('AH History'!$B$1:$B$18046,$H1139))&lt;=MAX(0.005,ABS(INDEX('AH History'!$B$1:$B$18046,$H1139))*0.00005),ABS($D1139-INDEX('AH History'!$C$1:$C$18046,$H1139))&lt;=MAX(0.005,ABS(INDEX('AH History'!$C$1:$C$18046,$H1139))*0.00005),ABS($E1139-INDEX('AH History'!$D$1:$D$18046,$H1139))&lt;=0.00005,$F1139=INDEX('AH History'!$E$1:$E$18046,$H1139),$G1139=INDEX('AH History'!$F$1:$F$18046,$H1139)),1,-1),-1))</ns0:f>
        <ns0:v/>
      </ns0:c>
    </ns0:row>
    <ns0:row r="1140">
      <ns0:c r="A1140" s="215">
        <ns0:f>IF(OR(AH!$P$3=0,1135+1&gt;AH!$P$11,AND(AH!$E$4&lt;&gt;"Stored",AH!$P$10&lt;&gt;1)),"",IFERROR(IF(AND(AH!$P$21=1,1135+1=AH!$P$11),TODAY(),IF(AH!$P$10=1,INDEX('Live History'!$A$5:$A$3004,AH!$P$13+1135),INDEX('AH History'!$A$1:$A$18046,AH!$P$7+1135))),""))</ns0:f>
        <ns0:v/>
      </ns0:c>
      <ns0:c r="B1140" s="219">
        <ns0:f>IFERROR(IF(AND(AH!$P$9&lt;&gt;1,$C1140&gt;0,$D1140&gt;0,$E1140&gt;0,$F1140&gt;0,$G1140&gt;0,$F1140&lt;=$A1140,$G1140&lt;=$A1140,$A1140-$F1140&lt;=10,$A1140-$G1140&lt;=5),$D1140*$E1140/$C1140-1,NA()),NA())</ns0:f>
        <ns0:v/>
      </ns0:c>
      <ns0:c r="C1140">
        <ns0:f>IFERROR(IF(ISNUMBER($A1140),IF(AND(AH!$P$10=1,AH!$P$12=1,$A1140=TODAY()),AH!$P$19,IF(AH!$P$10=1,INDEX('Live History'!$B$5:$B$3004,AH!$P$13+1135),INDEX('AH History'!$B$1:$B$18046,AH!$P$7+1135))),NA()),NA())</ns0:f>
        <ns0:v/>
      </ns0:c>
      <ns0:c r="D1140">
        <ns0:f>IFERROR(IF(ISNUMBER($A1140),IF(AND(AH!$P$10=1,AH!$P$12=1,$A1140=TODAY()),AH!$P$18,IF(AH!$P$10=1,INDEX('Live History'!$E$5:$E$3004,MATCH($A1140,'Live History'!$D$5:$D$3004,1)),INDEX('AH History'!$C$1:$C$18046,AH!$P$7+1135))),NA()),NA())</ns0:f>
        <ns0:v/>
      </ns0:c>
      <ns0:c r="E1140">
        <ns0:f>IFERROR(IF(ISNUMBER($A1140),IF(AND(AH!$P$10=1,AH!$P$12=1,$A1140=TODAY()),AH!$P$20,IF(AH!$P$10=1,INDEX('Live History'!$H$5:$H$3004,MATCH($A1140,'Live History'!$G$5:$G$3004,1)),INDEX('AH History'!$D$1:$D$18046,AH!$P$7+1135))),NA()),NA())</ns0:f>
        <ns0:v/>
      </ns0:c>
      <ns0:c r="F1140">
        <ns0:f>IFERROR(IF(ISNUMBER($A1140),IF(AND(AH!$P$10=1,AH!$P$12=1,$A1140=TODAY()),IF(AND(AH!$P$10=1,AH!$P$12=1,$A1140=TODAY()),TODAY(),NA()),IF(AH!$P$10=1,INDEX('Live History'!$D$5:$D$3004,MATCH($A1140,'Live History'!$D$5:$D$3004,1)),INDEX('AH History'!$E$1:$E$18046,AH!$P$7+1135))),NA()),NA())</ns0:f>
        <ns0:v/>
      </ns0:c>
      <ns0:c r="G1140">
        <ns0:f>IFERROR(IF(ISNUMBER($A1140),IF(AND(AH!$P$10=1,AH!$P$12=1,$A1140=TODAY()),IF(AND(AH!$P$10=1,AH!$P$12=1,$A1140=TODAY()),TODAY(),NA()),IF(AH!$P$10=1,INDEX('Live History'!$G$5:$G$3004,MATCH($A1140,'Live History'!$G$5:$G$3004,1)),INDEX('AH History'!$F$1:$F$18046,AH!$P$7+1135))),NA()),NA())</ns0:f>
        <ns0:v/>
      </ns0:c>
      <ns0:c r="H1140">
        <ns0:f>IFERROR(IF(AND(AH!$E$4="Bloomberg",AH!$P$10=1,ISNUMBER($A1140),$A1140&lt;=AH!$P$17),AH!$P$7-1+MATCH($A1140,INDEX('AH History'!$A$1:$A$18046,AH!$P$7):INDEX('AH History'!$A$1:$A$18046,AH!$P$7+AH!$P$8-1),0),0),0)</ns0:f>
        <ns0:v/>
      </ns0:c>
      <ns0:c r="I1140">
        <ns0:f>IF($H1140=0,0,IFERROR(IF(AND(ABS($C1140-INDEX('AH History'!$B$1:$B$18046,$H1140))&lt;=MAX(0.005,ABS(INDEX('AH History'!$B$1:$B$18046,$H1140))*0.00005),ABS($D1140-INDEX('AH History'!$C$1:$C$18046,$H1140))&lt;=MAX(0.005,ABS(INDEX('AH History'!$C$1:$C$18046,$H1140))*0.00005),ABS($E1140-INDEX('AH History'!$D$1:$D$18046,$H1140))&lt;=0.00005,$F1140=INDEX('AH History'!$E$1:$E$18046,$H1140),$G1140=INDEX('AH History'!$F$1:$F$18046,$H1140)),1,-1),-1))</ns0:f>
        <ns0:v/>
      </ns0:c>
    </ns0:row>
    <ns0:row r="1141">
      <ns0:c r="A1141" s="215">
        <ns0:f>IF(OR(AH!$P$3=0,1136+1&gt;AH!$P$11,AND(AH!$E$4&lt;&gt;"Stored",AH!$P$10&lt;&gt;1)),"",IFERROR(IF(AND(AH!$P$21=1,1136+1=AH!$P$11),TODAY(),IF(AH!$P$10=1,INDEX('Live History'!$A$5:$A$3004,AH!$P$13+1136),INDEX('AH History'!$A$1:$A$18046,AH!$P$7+1136))),""))</ns0:f>
        <ns0:v/>
      </ns0:c>
      <ns0:c r="B1141" s="219">
        <ns0:f>IFERROR(IF(AND(AH!$P$9&lt;&gt;1,$C1141&gt;0,$D1141&gt;0,$E1141&gt;0,$F1141&gt;0,$G1141&gt;0,$F1141&lt;=$A1141,$G1141&lt;=$A1141,$A1141-$F1141&lt;=10,$A1141-$G1141&lt;=5),$D1141*$E1141/$C1141-1,NA()),NA())</ns0:f>
        <ns0:v/>
      </ns0:c>
      <ns0:c r="C1141">
        <ns0:f>IFERROR(IF(ISNUMBER($A1141),IF(AND(AH!$P$10=1,AH!$P$12=1,$A1141=TODAY()),AH!$P$19,IF(AH!$P$10=1,INDEX('Live History'!$B$5:$B$3004,AH!$P$13+1136),INDEX('AH History'!$B$1:$B$18046,AH!$P$7+1136))),NA()),NA())</ns0:f>
        <ns0:v/>
      </ns0:c>
      <ns0:c r="D1141">
        <ns0:f>IFERROR(IF(ISNUMBER($A1141),IF(AND(AH!$P$10=1,AH!$P$12=1,$A1141=TODAY()),AH!$P$18,IF(AH!$P$10=1,INDEX('Live History'!$E$5:$E$3004,MATCH($A1141,'Live History'!$D$5:$D$3004,1)),INDEX('AH History'!$C$1:$C$18046,AH!$P$7+1136))),NA()),NA())</ns0:f>
        <ns0:v/>
      </ns0:c>
      <ns0:c r="E1141">
        <ns0:f>IFERROR(IF(ISNUMBER($A1141),IF(AND(AH!$P$10=1,AH!$P$12=1,$A1141=TODAY()),AH!$P$20,IF(AH!$P$10=1,INDEX('Live History'!$H$5:$H$3004,MATCH($A1141,'Live History'!$G$5:$G$3004,1)),INDEX('AH History'!$D$1:$D$18046,AH!$P$7+1136))),NA()),NA())</ns0:f>
        <ns0:v/>
      </ns0:c>
      <ns0:c r="F1141">
        <ns0:f>IFERROR(IF(ISNUMBER($A1141),IF(AND(AH!$P$10=1,AH!$P$12=1,$A1141=TODAY()),IF(AND(AH!$P$10=1,AH!$P$12=1,$A1141=TODAY()),TODAY(),NA()),IF(AH!$P$10=1,INDEX('Live History'!$D$5:$D$3004,MATCH($A1141,'Live History'!$D$5:$D$3004,1)),INDEX('AH History'!$E$1:$E$18046,AH!$P$7+1136))),NA()),NA())</ns0:f>
        <ns0:v/>
      </ns0:c>
      <ns0:c r="G1141">
        <ns0:f>IFERROR(IF(ISNUMBER($A1141),IF(AND(AH!$P$10=1,AH!$P$12=1,$A1141=TODAY()),IF(AND(AH!$P$10=1,AH!$P$12=1,$A1141=TODAY()),TODAY(),NA()),IF(AH!$P$10=1,INDEX('Live History'!$G$5:$G$3004,MATCH($A1141,'Live History'!$G$5:$G$3004,1)),INDEX('AH History'!$F$1:$F$18046,AH!$P$7+1136))),NA()),NA())</ns0:f>
        <ns0:v/>
      </ns0:c>
      <ns0:c r="H1141">
        <ns0:f>IFERROR(IF(AND(AH!$E$4="Bloomberg",AH!$P$10=1,ISNUMBER($A1141),$A1141&lt;=AH!$P$17),AH!$P$7-1+MATCH($A1141,INDEX('AH History'!$A$1:$A$18046,AH!$P$7):INDEX('AH History'!$A$1:$A$18046,AH!$P$7+AH!$P$8-1),0),0),0)</ns0:f>
        <ns0:v/>
      </ns0:c>
      <ns0:c r="I1141">
        <ns0:f>IF($H1141=0,0,IFERROR(IF(AND(ABS($C1141-INDEX('AH History'!$B$1:$B$18046,$H1141))&lt;=MAX(0.005,ABS(INDEX('AH History'!$B$1:$B$18046,$H1141))*0.00005),ABS($D1141-INDEX('AH History'!$C$1:$C$18046,$H1141))&lt;=MAX(0.005,ABS(INDEX('AH History'!$C$1:$C$18046,$H1141))*0.00005),ABS($E1141-INDEX('AH History'!$D$1:$D$18046,$H1141))&lt;=0.00005,$F1141=INDEX('AH History'!$E$1:$E$18046,$H1141),$G1141=INDEX('AH History'!$F$1:$F$18046,$H1141)),1,-1),-1))</ns0:f>
        <ns0:v/>
      </ns0:c>
    </ns0:row>
    <ns0:row r="1142">
      <ns0:c r="A1142" s="215">
        <ns0:f>IF(OR(AH!$P$3=0,1137+1&gt;AH!$P$11,AND(AH!$E$4&lt;&gt;"Stored",AH!$P$10&lt;&gt;1)),"",IFERROR(IF(AND(AH!$P$21=1,1137+1=AH!$P$11),TODAY(),IF(AH!$P$10=1,INDEX('Live History'!$A$5:$A$3004,AH!$P$13+1137),INDEX('AH History'!$A$1:$A$18046,AH!$P$7+1137))),""))</ns0:f>
        <ns0:v/>
      </ns0:c>
      <ns0:c r="B1142" s="219">
        <ns0:f>IFERROR(IF(AND(AH!$P$9&lt;&gt;1,$C1142&gt;0,$D1142&gt;0,$E1142&gt;0,$F1142&gt;0,$G1142&gt;0,$F1142&lt;=$A1142,$G1142&lt;=$A1142,$A1142-$F1142&lt;=10,$A1142-$G1142&lt;=5),$D1142*$E1142/$C1142-1,NA()),NA())</ns0:f>
        <ns0:v/>
      </ns0:c>
      <ns0:c r="C1142">
        <ns0:f>IFERROR(IF(ISNUMBER($A1142),IF(AND(AH!$P$10=1,AH!$P$12=1,$A1142=TODAY()),AH!$P$19,IF(AH!$P$10=1,INDEX('Live History'!$B$5:$B$3004,AH!$P$13+1137),INDEX('AH History'!$B$1:$B$18046,AH!$P$7+1137))),NA()),NA())</ns0:f>
        <ns0:v/>
      </ns0:c>
      <ns0:c r="D1142">
        <ns0:f>IFERROR(IF(ISNUMBER($A1142),IF(AND(AH!$P$10=1,AH!$P$12=1,$A1142=TODAY()),AH!$P$18,IF(AH!$P$10=1,INDEX('Live History'!$E$5:$E$3004,MATCH($A1142,'Live History'!$D$5:$D$3004,1)),INDEX('AH History'!$C$1:$C$18046,AH!$P$7+1137))),NA()),NA())</ns0:f>
        <ns0:v/>
      </ns0:c>
      <ns0:c r="E1142">
        <ns0:f>IFERROR(IF(ISNUMBER($A1142),IF(AND(AH!$P$10=1,AH!$P$12=1,$A1142=TODAY()),AH!$P$20,IF(AH!$P$10=1,INDEX('Live History'!$H$5:$H$3004,MATCH($A1142,'Live History'!$G$5:$G$3004,1)),INDEX('AH History'!$D$1:$D$18046,AH!$P$7+1137))),NA()),NA())</ns0:f>
        <ns0:v/>
      </ns0:c>
      <ns0:c r="F1142">
        <ns0:f>IFERROR(IF(ISNUMBER($A1142),IF(AND(AH!$P$10=1,AH!$P$12=1,$A1142=TODAY()),IF(AND(AH!$P$10=1,AH!$P$12=1,$A1142=TODAY()),TODAY(),NA()),IF(AH!$P$10=1,INDEX('Live History'!$D$5:$D$3004,MATCH($A1142,'Live History'!$D$5:$D$3004,1)),INDEX('AH History'!$E$1:$E$18046,AH!$P$7+1137))),NA()),NA())</ns0:f>
        <ns0:v/>
      </ns0:c>
      <ns0:c r="G1142">
        <ns0:f>IFERROR(IF(ISNUMBER($A1142),IF(AND(AH!$P$10=1,AH!$P$12=1,$A1142=TODAY()),IF(AND(AH!$P$10=1,AH!$P$12=1,$A1142=TODAY()),TODAY(),NA()),IF(AH!$P$10=1,INDEX('Live History'!$G$5:$G$3004,MATCH($A1142,'Live History'!$G$5:$G$3004,1)),INDEX('AH History'!$F$1:$F$18046,AH!$P$7+1137))),NA()),NA())</ns0:f>
        <ns0:v/>
      </ns0:c>
      <ns0:c r="H1142">
        <ns0:f>IFERROR(IF(AND(AH!$E$4="Bloomberg",AH!$P$10=1,ISNUMBER($A1142),$A1142&lt;=AH!$P$17),AH!$P$7-1+MATCH($A1142,INDEX('AH History'!$A$1:$A$18046,AH!$P$7):INDEX('AH History'!$A$1:$A$18046,AH!$P$7+AH!$P$8-1),0),0),0)</ns0:f>
        <ns0:v/>
      </ns0:c>
      <ns0:c r="I1142">
        <ns0:f>IF($H1142=0,0,IFERROR(IF(AND(ABS($C1142-INDEX('AH History'!$B$1:$B$18046,$H1142))&lt;=MAX(0.005,ABS(INDEX('AH History'!$B$1:$B$18046,$H1142))*0.00005),ABS($D1142-INDEX('AH History'!$C$1:$C$18046,$H1142))&lt;=MAX(0.005,ABS(INDEX('AH History'!$C$1:$C$18046,$H1142))*0.00005),ABS($E1142-INDEX('AH History'!$D$1:$D$18046,$H1142))&lt;=0.00005,$F1142=INDEX('AH History'!$E$1:$E$18046,$H1142),$G1142=INDEX('AH History'!$F$1:$F$18046,$H1142)),1,-1),-1))</ns0:f>
        <ns0:v/>
      </ns0:c>
    </ns0:row>
    <ns0:row r="1143">
      <ns0:c r="A1143" s="215">
        <ns0:f>IF(OR(AH!$P$3=0,1138+1&gt;AH!$P$11,AND(AH!$E$4&lt;&gt;"Stored",AH!$P$10&lt;&gt;1)),"",IFERROR(IF(AND(AH!$P$21=1,1138+1=AH!$P$11),TODAY(),IF(AH!$P$10=1,INDEX('Live History'!$A$5:$A$3004,AH!$P$13+1138),INDEX('AH History'!$A$1:$A$18046,AH!$P$7+1138))),""))</ns0:f>
        <ns0:v/>
      </ns0:c>
      <ns0:c r="B1143" s="219">
        <ns0:f>IFERROR(IF(AND(AH!$P$9&lt;&gt;1,$C1143&gt;0,$D1143&gt;0,$E1143&gt;0,$F1143&gt;0,$G1143&gt;0,$F1143&lt;=$A1143,$G1143&lt;=$A1143,$A1143-$F1143&lt;=10,$A1143-$G1143&lt;=5),$D1143*$E1143/$C1143-1,NA()),NA())</ns0:f>
        <ns0:v/>
      </ns0:c>
      <ns0:c r="C1143">
        <ns0:f>IFERROR(IF(ISNUMBER($A1143),IF(AND(AH!$P$10=1,AH!$P$12=1,$A1143=TODAY()),AH!$P$19,IF(AH!$P$10=1,INDEX('Live History'!$B$5:$B$3004,AH!$P$13+1138),INDEX('AH History'!$B$1:$B$18046,AH!$P$7+1138))),NA()),NA())</ns0:f>
        <ns0:v/>
      </ns0:c>
      <ns0:c r="D1143">
        <ns0:f>IFERROR(IF(ISNUMBER($A1143),IF(AND(AH!$P$10=1,AH!$P$12=1,$A1143=TODAY()),AH!$P$18,IF(AH!$P$10=1,INDEX('Live History'!$E$5:$E$3004,MATCH($A1143,'Live History'!$D$5:$D$3004,1)),INDEX('AH History'!$C$1:$C$18046,AH!$P$7+1138))),NA()),NA())</ns0:f>
        <ns0:v/>
      </ns0:c>
      <ns0:c r="E1143">
        <ns0:f>IFERROR(IF(ISNUMBER($A1143),IF(AND(AH!$P$10=1,AH!$P$12=1,$A1143=TODAY()),AH!$P$20,IF(AH!$P$10=1,INDEX('Live History'!$H$5:$H$3004,MATCH($A1143,'Live History'!$G$5:$G$3004,1)),INDEX('AH History'!$D$1:$D$18046,AH!$P$7+1138))),NA()),NA())</ns0:f>
        <ns0:v/>
      </ns0:c>
      <ns0:c r="F1143">
        <ns0:f>IFERROR(IF(ISNUMBER($A1143),IF(AND(AH!$P$10=1,AH!$P$12=1,$A1143=TODAY()),IF(AND(AH!$P$10=1,AH!$P$12=1,$A1143=TODAY()),TODAY(),NA()),IF(AH!$P$10=1,INDEX('Live History'!$D$5:$D$3004,MATCH($A1143,'Live History'!$D$5:$D$3004,1)),INDEX('AH History'!$E$1:$E$18046,AH!$P$7+1138))),NA()),NA())</ns0:f>
        <ns0:v/>
      </ns0:c>
      <ns0:c r="G1143">
        <ns0:f>IFERROR(IF(ISNUMBER($A1143),IF(AND(AH!$P$10=1,AH!$P$12=1,$A1143=TODAY()),IF(AND(AH!$P$10=1,AH!$P$12=1,$A1143=TODAY()),TODAY(),NA()),IF(AH!$P$10=1,INDEX('Live History'!$G$5:$G$3004,MATCH($A1143,'Live History'!$G$5:$G$3004,1)),INDEX('AH History'!$F$1:$F$18046,AH!$P$7+1138))),NA()),NA())</ns0:f>
        <ns0:v/>
      </ns0:c>
      <ns0:c r="H1143">
        <ns0:f>IFERROR(IF(AND(AH!$E$4="Bloomberg",AH!$P$10=1,ISNUMBER($A1143),$A1143&lt;=AH!$P$17),AH!$P$7-1+MATCH($A1143,INDEX('AH History'!$A$1:$A$18046,AH!$P$7):INDEX('AH History'!$A$1:$A$18046,AH!$P$7+AH!$P$8-1),0),0),0)</ns0:f>
        <ns0:v/>
      </ns0:c>
      <ns0:c r="I1143">
        <ns0:f>IF($H1143=0,0,IFERROR(IF(AND(ABS($C1143-INDEX('AH History'!$B$1:$B$18046,$H1143))&lt;=MAX(0.005,ABS(INDEX('AH History'!$B$1:$B$18046,$H1143))*0.00005),ABS($D1143-INDEX('AH History'!$C$1:$C$18046,$H1143))&lt;=MAX(0.005,ABS(INDEX('AH History'!$C$1:$C$18046,$H1143))*0.00005),ABS($E1143-INDEX('AH History'!$D$1:$D$18046,$H1143))&lt;=0.00005,$F1143=INDEX('AH History'!$E$1:$E$18046,$H1143),$G1143=INDEX('AH History'!$F$1:$F$18046,$H1143)),1,-1),-1))</ns0:f>
        <ns0:v/>
      </ns0:c>
    </ns0:row>
    <ns0:row r="1144">
      <ns0:c r="A1144" s="215">
        <ns0:f>IF(OR(AH!$P$3=0,1139+1&gt;AH!$P$11,AND(AH!$E$4&lt;&gt;"Stored",AH!$P$10&lt;&gt;1)),"",IFERROR(IF(AND(AH!$P$21=1,1139+1=AH!$P$11),TODAY(),IF(AH!$P$10=1,INDEX('Live History'!$A$5:$A$3004,AH!$P$13+1139),INDEX('AH History'!$A$1:$A$18046,AH!$P$7+1139))),""))</ns0:f>
        <ns0:v/>
      </ns0:c>
      <ns0:c r="B1144" s="219">
        <ns0:f>IFERROR(IF(AND(AH!$P$9&lt;&gt;1,$C1144&gt;0,$D1144&gt;0,$E1144&gt;0,$F1144&gt;0,$G1144&gt;0,$F1144&lt;=$A1144,$G1144&lt;=$A1144,$A1144-$F1144&lt;=10,$A1144-$G1144&lt;=5),$D1144*$E1144/$C1144-1,NA()),NA())</ns0:f>
        <ns0:v/>
      </ns0:c>
      <ns0:c r="C1144">
        <ns0:f>IFERROR(IF(ISNUMBER($A1144),IF(AND(AH!$P$10=1,AH!$P$12=1,$A1144=TODAY()),AH!$P$19,IF(AH!$P$10=1,INDEX('Live History'!$B$5:$B$3004,AH!$P$13+1139),INDEX('AH History'!$B$1:$B$18046,AH!$P$7+1139))),NA()),NA())</ns0:f>
        <ns0:v/>
      </ns0:c>
      <ns0:c r="D1144">
        <ns0:f>IFERROR(IF(ISNUMBER($A1144),IF(AND(AH!$P$10=1,AH!$P$12=1,$A1144=TODAY()),AH!$P$18,IF(AH!$P$10=1,INDEX('Live History'!$E$5:$E$3004,MATCH($A1144,'Live History'!$D$5:$D$3004,1)),INDEX('AH History'!$C$1:$C$18046,AH!$P$7+1139))),NA()),NA())</ns0:f>
        <ns0:v/>
      </ns0:c>
      <ns0:c r="E1144">
        <ns0:f>IFERROR(IF(ISNUMBER($A1144),IF(AND(AH!$P$10=1,AH!$P$12=1,$A1144=TODAY()),AH!$P$20,IF(AH!$P$10=1,INDEX('Live History'!$H$5:$H$3004,MATCH($A1144,'Live History'!$G$5:$G$3004,1)),INDEX('AH History'!$D$1:$D$18046,AH!$P$7+1139))),NA()),NA())</ns0:f>
        <ns0:v/>
      </ns0:c>
      <ns0:c r="F1144">
        <ns0:f>IFERROR(IF(ISNUMBER($A1144),IF(AND(AH!$P$10=1,AH!$P$12=1,$A1144=TODAY()),IF(AND(AH!$P$10=1,AH!$P$12=1,$A1144=TODAY()),TODAY(),NA()),IF(AH!$P$10=1,INDEX('Live History'!$D$5:$D$3004,MATCH($A1144,'Live History'!$D$5:$D$3004,1)),INDEX('AH History'!$E$1:$E$18046,AH!$P$7+1139))),NA()),NA())</ns0:f>
        <ns0:v/>
      </ns0:c>
      <ns0:c r="G1144">
        <ns0:f>IFERROR(IF(ISNUMBER($A1144),IF(AND(AH!$P$10=1,AH!$P$12=1,$A1144=TODAY()),IF(AND(AH!$P$10=1,AH!$P$12=1,$A1144=TODAY()),TODAY(),NA()),IF(AH!$P$10=1,INDEX('Live History'!$G$5:$G$3004,MATCH($A1144,'Live History'!$G$5:$G$3004,1)),INDEX('AH History'!$F$1:$F$18046,AH!$P$7+1139))),NA()),NA())</ns0:f>
        <ns0:v/>
      </ns0:c>
      <ns0:c r="H1144">
        <ns0:f>IFERROR(IF(AND(AH!$E$4="Bloomberg",AH!$P$10=1,ISNUMBER($A1144),$A1144&lt;=AH!$P$17),AH!$P$7-1+MATCH($A1144,INDEX('AH History'!$A$1:$A$18046,AH!$P$7):INDEX('AH History'!$A$1:$A$18046,AH!$P$7+AH!$P$8-1),0),0),0)</ns0:f>
        <ns0:v/>
      </ns0:c>
      <ns0:c r="I1144">
        <ns0:f>IF($H1144=0,0,IFERROR(IF(AND(ABS($C1144-INDEX('AH History'!$B$1:$B$18046,$H1144))&lt;=MAX(0.005,ABS(INDEX('AH History'!$B$1:$B$18046,$H1144))*0.00005),ABS($D1144-INDEX('AH History'!$C$1:$C$18046,$H1144))&lt;=MAX(0.005,ABS(INDEX('AH History'!$C$1:$C$18046,$H1144))*0.00005),ABS($E1144-INDEX('AH History'!$D$1:$D$18046,$H1144))&lt;=0.00005,$F1144=INDEX('AH History'!$E$1:$E$18046,$H1144),$G1144=INDEX('AH History'!$F$1:$F$18046,$H1144)),1,-1),-1))</ns0:f>
        <ns0:v/>
      </ns0:c>
    </ns0:row>
    <ns0:row r="1145">
      <ns0:c r="A1145" s="215">
        <ns0:f>IF(OR(AH!$P$3=0,1140+1&gt;AH!$P$11,AND(AH!$E$4&lt;&gt;"Stored",AH!$P$10&lt;&gt;1)),"",IFERROR(IF(AND(AH!$P$21=1,1140+1=AH!$P$11),TODAY(),IF(AH!$P$10=1,INDEX('Live History'!$A$5:$A$3004,AH!$P$13+1140),INDEX('AH History'!$A$1:$A$18046,AH!$P$7+1140))),""))</ns0:f>
        <ns0:v/>
      </ns0:c>
      <ns0:c r="B1145" s="219">
        <ns0:f>IFERROR(IF(AND(AH!$P$9&lt;&gt;1,$C1145&gt;0,$D1145&gt;0,$E1145&gt;0,$F1145&gt;0,$G1145&gt;0,$F1145&lt;=$A1145,$G1145&lt;=$A1145,$A1145-$F1145&lt;=10,$A1145-$G1145&lt;=5),$D1145*$E1145/$C1145-1,NA()),NA())</ns0:f>
        <ns0:v/>
      </ns0:c>
      <ns0:c r="C1145">
        <ns0:f>IFERROR(IF(ISNUMBER($A1145),IF(AND(AH!$P$10=1,AH!$P$12=1,$A1145=TODAY()),AH!$P$19,IF(AH!$P$10=1,INDEX('Live History'!$B$5:$B$3004,AH!$P$13+1140),INDEX('AH History'!$B$1:$B$18046,AH!$P$7+1140))),NA()),NA())</ns0:f>
        <ns0:v/>
      </ns0:c>
      <ns0:c r="D1145">
        <ns0:f>IFERROR(IF(ISNUMBER($A1145),IF(AND(AH!$P$10=1,AH!$P$12=1,$A1145=TODAY()),AH!$P$18,IF(AH!$P$10=1,INDEX('Live History'!$E$5:$E$3004,MATCH($A1145,'Live History'!$D$5:$D$3004,1)),INDEX('AH History'!$C$1:$C$18046,AH!$P$7+1140))),NA()),NA())</ns0:f>
        <ns0:v/>
      </ns0:c>
      <ns0:c r="E1145">
        <ns0:f>IFERROR(IF(ISNUMBER($A1145),IF(AND(AH!$P$10=1,AH!$P$12=1,$A1145=TODAY()),AH!$P$20,IF(AH!$P$10=1,INDEX('Live History'!$H$5:$H$3004,MATCH($A1145,'Live History'!$G$5:$G$3004,1)),INDEX('AH History'!$D$1:$D$18046,AH!$P$7+1140))),NA()),NA())</ns0:f>
        <ns0:v/>
      </ns0:c>
      <ns0:c r="F1145">
        <ns0:f>IFERROR(IF(ISNUMBER($A1145),IF(AND(AH!$P$10=1,AH!$P$12=1,$A1145=TODAY()),IF(AND(AH!$P$10=1,AH!$P$12=1,$A1145=TODAY()),TODAY(),NA()),IF(AH!$P$10=1,INDEX('Live History'!$D$5:$D$3004,MATCH($A1145,'Live History'!$D$5:$D$3004,1)),INDEX('AH History'!$E$1:$E$18046,AH!$P$7+1140))),NA()),NA())</ns0:f>
        <ns0:v/>
      </ns0:c>
      <ns0:c r="G1145">
        <ns0:f>IFERROR(IF(ISNUMBER($A1145),IF(AND(AH!$P$10=1,AH!$P$12=1,$A1145=TODAY()),IF(AND(AH!$P$10=1,AH!$P$12=1,$A1145=TODAY()),TODAY(),NA()),IF(AH!$P$10=1,INDEX('Live History'!$G$5:$G$3004,MATCH($A1145,'Live History'!$G$5:$G$3004,1)),INDEX('AH History'!$F$1:$F$18046,AH!$P$7+1140))),NA()),NA())</ns0:f>
        <ns0:v/>
      </ns0:c>
      <ns0:c r="H1145">
        <ns0:f>IFERROR(IF(AND(AH!$E$4="Bloomberg",AH!$P$10=1,ISNUMBER($A1145),$A1145&lt;=AH!$P$17),AH!$P$7-1+MATCH($A1145,INDEX('AH History'!$A$1:$A$18046,AH!$P$7):INDEX('AH History'!$A$1:$A$18046,AH!$P$7+AH!$P$8-1),0),0),0)</ns0:f>
        <ns0:v/>
      </ns0:c>
      <ns0:c r="I1145">
        <ns0:f>IF($H1145=0,0,IFERROR(IF(AND(ABS($C1145-INDEX('AH History'!$B$1:$B$18046,$H1145))&lt;=MAX(0.005,ABS(INDEX('AH History'!$B$1:$B$18046,$H1145))*0.00005),ABS($D1145-INDEX('AH History'!$C$1:$C$18046,$H1145))&lt;=MAX(0.005,ABS(INDEX('AH History'!$C$1:$C$18046,$H1145))*0.00005),ABS($E1145-INDEX('AH History'!$D$1:$D$18046,$H1145))&lt;=0.00005,$F1145=INDEX('AH History'!$E$1:$E$18046,$H1145),$G1145=INDEX('AH History'!$F$1:$F$18046,$H1145)),1,-1),-1))</ns0:f>
        <ns0:v/>
      </ns0:c>
    </ns0:row>
    <ns0:row r="1146">
      <ns0:c r="A1146" s="215">
        <ns0:f>IF(OR(AH!$P$3=0,1141+1&gt;AH!$P$11,AND(AH!$E$4&lt;&gt;"Stored",AH!$P$10&lt;&gt;1)),"",IFERROR(IF(AND(AH!$P$21=1,1141+1=AH!$P$11),TODAY(),IF(AH!$P$10=1,INDEX('Live History'!$A$5:$A$3004,AH!$P$13+1141),INDEX('AH History'!$A$1:$A$18046,AH!$P$7+1141))),""))</ns0:f>
        <ns0:v/>
      </ns0:c>
      <ns0:c r="B1146" s="219">
        <ns0:f>IFERROR(IF(AND(AH!$P$9&lt;&gt;1,$C1146&gt;0,$D1146&gt;0,$E1146&gt;0,$F1146&gt;0,$G1146&gt;0,$F1146&lt;=$A1146,$G1146&lt;=$A1146,$A1146-$F1146&lt;=10,$A1146-$G1146&lt;=5),$D1146*$E1146/$C1146-1,NA()),NA())</ns0:f>
        <ns0:v/>
      </ns0:c>
      <ns0:c r="C1146">
        <ns0:f>IFERROR(IF(ISNUMBER($A1146),IF(AND(AH!$P$10=1,AH!$P$12=1,$A1146=TODAY()),AH!$P$19,IF(AH!$P$10=1,INDEX('Live History'!$B$5:$B$3004,AH!$P$13+1141),INDEX('AH History'!$B$1:$B$18046,AH!$P$7+1141))),NA()),NA())</ns0:f>
        <ns0:v/>
      </ns0:c>
      <ns0:c r="D1146">
        <ns0:f>IFERROR(IF(ISNUMBER($A1146),IF(AND(AH!$P$10=1,AH!$P$12=1,$A1146=TODAY()),AH!$P$18,IF(AH!$P$10=1,INDEX('Live History'!$E$5:$E$3004,MATCH($A1146,'Live History'!$D$5:$D$3004,1)),INDEX('AH History'!$C$1:$C$18046,AH!$P$7+1141))),NA()),NA())</ns0:f>
        <ns0:v/>
      </ns0:c>
      <ns0:c r="E1146">
        <ns0:f>IFERROR(IF(ISNUMBER($A1146),IF(AND(AH!$P$10=1,AH!$P$12=1,$A1146=TODAY()),AH!$P$20,IF(AH!$P$10=1,INDEX('Live History'!$H$5:$H$3004,MATCH($A1146,'Live History'!$G$5:$G$3004,1)),INDEX('AH History'!$D$1:$D$18046,AH!$P$7+1141))),NA()),NA())</ns0:f>
        <ns0:v/>
      </ns0:c>
      <ns0:c r="F1146">
        <ns0:f>IFERROR(IF(ISNUMBER($A1146),IF(AND(AH!$P$10=1,AH!$P$12=1,$A1146=TODAY()),IF(AND(AH!$P$10=1,AH!$P$12=1,$A1146=TODAY()),TODAY(),NA()),IF(AH!$P$10=1,INDEX('Live History'!$D$5:$D$3004,MATCH($A1146,'Live History'!$D$5:$D$3004,1)),INDEX('AH History'!$E$1:$E$18046,AH!$P$7+1141))),NA()),NA())</ns0:f>
        <ns0:v/>
      </ns0:c>
      <ns0:c r="G1146">
        <ns0:f>IFERROR(IF(ISNUMBER($A1146),IF(AND(AH!$P$10=1,AH!$P$12=1,$A1146=TODAY()),IF(AND(AH!$P$10=1,AH!$P$12=1,$A1146=TODAY()),TODAY(),NA()),IF(AH!$P$10=1,INDEX('Live History'!$G$5:$G$3004,MATCH($A1146,'Live History'!$G$5:$G$3004,1)),INDEX('AH History'!$F$1:$F$18046,AH!$P$7+1141))),NA()),NA())</ns0:f>
        <ns0:v/>
      </ns0:c>
      <ns0:c r="H1146">
        <ns0:f>IFERROR(IF(AND(AH!$E$4="Bloomberg",AH!$P$10=1,ISNUMBER($A1146),$A1146&lt;=AH!$P$17),AH!$P$7-1+MATCH($A1146,INDEX('AH History'!$A$1:$A$18046,AH!$P$7):INDEX('AH History'!$A$1:$A$18046,AH!$P$7+AH!$P$8-1),0),0),0)</ns0:f>
        <ns0:v/>
      </ns0:c>
      <ns0:c r="I1146">
        <ns0:f>IF($H1146=0,0,IFERROR(IF(AND(ABS($C1146-INDEX('AH History'!$B$1:$B$18046,$H1146))&lt;=MAX(0.005,ABS(INDEX('AH History'!$B$1:$B$18046,$H1146))*0.00005),ABS($D1146-INDEX('AH History'!$C$1:$C$18046,$H1146))&lt;=MAX(0.005,ABS(INDEX('AH History'!$C$1:$C$18046,$H1146))*0.00005),ABS($E1146-INDEX('AH History'!$D$1:$D$18046,$H1146))&lt;=0.00005,$F1146=INDEX('AH History'!$E$1:$E$18046,$H1146),$G1146=INDEX('AH History'!$F$1:$F$18046,$H1146)),1,-1),-1))</ns0:f>
        <ns0:v/>
      </ns0:c>
    </ns0:row>
    <ns0:row r="1147">
      <ns0:c r="A1147" s="215">
        <ns0:f>IF(OR(AH!$P$3=0,1142+1&gt;AH!$P$11,AND(AH!$E$4&lt;&gt;"Stored",AH!$P$10&lt;&gt;1)),"",IFERROR(IF(AND(AH!$P$21=1,1142+1=AH!$P$11),TODAY(),IF(AH!$P$10=1,INDEX('Live History'!$A$5:$A$3004,AH!$P$13+1142),INDEX('AH History'!$A$1:$A$18046,AH!$P$7+1142))),""))</ns0:f>
        <ns0:v/>
      </ns0:c>
      <ns0:c r="B1147" s="219">
        <ns0:f>IFERROR(IF(AND(AH!$P$9&lt;&gt;1,$C1147&gt;0,$D1147&gt;0,$E1147&gt;0,$F1147&gt;0,$G1147&gt;0,$F1147&lt;=$A1147,$G1147&lt;=$A1147,$A1147-$F1147&lt;=10,$A1147-$G1147&lt;=5),$D1147*$E1147/$C1147-1,NA()),NA())</ns0:f>
        <ns0:v/>
      </ns0:c>
      <ns0:c r="C1147">
        <ns0:f>IFERROR(IF(ISNUMBER($A1147),IF(AND(AH!$P$10=1,AH!$P$12=1,$A1147=TODAY()),AH!$P$19,IF(AH!$P$10=1,INDEX('Live History'!$B$5:$B$3004,AH!$P$13+1142),INDEX('AH History'!$B$1:$B$18046,AH!$P$7+1142))),NA()),NA())</ns0:f>
        <ns0:v/>
      </ns0:c>
      <ns0:c r="D1147">
        <ns0:f>IFERROR(IF(ISNUMBER($A1147),IF(AND(AH!$P$10=1,AH!$P$12=1,$A1147=TODAY()),AH!$P$18,IF(AH!$P$10=1,INDEX('Live History'!$E$5:$E$3004,MATCH($A1147,'Live History'!$D$5:$D$3004,1)),INDEX('AH History'!$C$1:$C$18046,AH!$P$7+1142))),NA()),NA())</ns0:f>
        <ns0:v/>
      </ns0:c>
      <ns0:c r="E1147">
        <ns0:f>IFERROR(IF(ISNUMBER($A1147),IF(AND(AH!$P$10=1,AH!$P$12=1,$A1147=TODAY()),AH!$P$20,IF(AH!$P$10=1,INDEX('Live History'!$H$5:$H$3004,MATCH($A1147,'Live History'!$G$5:$G$3004,1)),INDEX('AH History'!$D$1:$D$18046,AH!$P$7+1142))),NA()),NA())</ns0:f>
        <ns0:v/>
      </ns0:c>
      <ns0:c r="F1147">
        <ns0:f>IFERROR(IF(ISNUMBER($A1147),IF(AND(AH!$P$10=1,AH!$P$12=1,$A1147=TODAY()),IF(AND(AH!$P$10=1,AH!$P$12=1,$A1147=TODAY()),TODAY(),NA()),IF(AH!$P$10=1,INDEX('Live History'!$D$5:$D$3004,MATCH($A1147,'Live History'!$D$5:$D$3004,1)),INDEX('AH History'!$E$1:$E$18046,AH!$P$7+1142))),NA()),NA())</ns0:f>
        <ns0:v/>
      </ns0:c>
      <ns0:c r="G1147">
        <ns0:f>IFERROR(IF(ISNUMBER($A1147),IF(AND(AH!$P$10=1,AH!$P$12=1,$A1147=TODAY()),IF(AND(AH!$P$10=1,AH!$P$12=1,$A1147=TODAY()),TODAY(),NA()),IF(AH!$P$10=1,INDEX('Live History'!$G$5:$G$3004,MATCH($A1147,'Live History'!$G$5:$G$3004,1)),INDEX('AH History'!$F$1:$F$18046,AH!$P$7+1142))),NA()),NA())</ns0:f>
        <ns0:v/>
      </ns0:c>
      <ns0:c r="H1147">
        <ns0:f>IFERROR(IF(AND(AH!$E$4="Bloomberg",AH!$P$10=1,ISNUMBER($A1147),$A1147&lt;=AH!$P$17),AH!$P$7-1+MATCH($A1147,INDEX('AH History'!$A$1:$A$18046,AH!$P$7):INDEX('AH History'!$A$1:$A$18046,AH!$P$7+AH!$P$8-1),0),0),0)</ns0:f>
        <ns0:v/>
      </ns0:c>
      <ns0:c r="I1147">
        <ns0:f>IF($H1147=0,0,IFERROR(IF(AND(ABS($C1147-INDEX('AH History'!$B$1:$B$18046,$H1147))&lt;=MAX(0.005,ABS(INDEX('AH History'!$B$1:$B$18046,$H1147))*0.00005),ABS($D1147-INDEX('AH History'!$C$1:$C$18046,$H1147))&lt;=MAX(0.005,ABS(INDEX('AH History'!$C$1:$C$18046,$H1147))*0.00005),ABS($E1147-INDEX('AH History'!$D$1:$D$18046,$H1147))&lt;=0.00005,$F1147=INDEX('AH History'!$E$1:$E$18046,$H1147),$G1147=INDEX('AH History'!$F$1:$F$18046,$H1147)),1,-1),-1))</ns0:f>
        <ns0:v/>
      </ns0:c>
    </ns0:row>
    <ns0:row r="1148">
      <ns0:c r="A1148" s="215">
        <ns0:f>IF(OR(AH!$P$3=0,1143+1&gt;AH!$P$11,AND(AH!$E$4&lt;&gt;"Stored",AH!$P$10&lt;&gt;1)),"",IFERROR(IF(AND(AH!$P$21=1,1143+1=AH!$P$11),TODAY(),IF(AH!$P$10=1,INDEX('Live History'!$A$5:$A$3004,AH!$P$13+1143),INDEX('AH History'!$A$1:$A$18046,AH!$P$7+1143))),""))</ns0:f>
        <ns0:v/>
      </ns0:c>
      <ns0:c r="B1148" s="219">
        <ns0:f>IFERROR(IF(AND(AH!$P$9&lt;&gt;1,$C1148&gt;0,$D1148&gt;0,$E1148&gt;0,$F1148&gt;0,$G1148&gt;0,$F1148&lt;=$A1148,$G1148&lt;=$A1148,$A1148-$F1148&lt;=10,$A1148-$G1148&lt;=5),$D1148*$E1148/$C1148-1,NA()),NA())</ns0:f>
        <ns0:v/>
      </ns0:c>
      <ns0:c r="C1148">
        <ns0:f>IFERROR(IF(ISNUMBER($A1148),IF(AND(AH!$P$10=1,AH!$P$12=1,$A1148=TODAY()),AH!$P$19,IF(AH!$P$10=1,INDEX('Live History'!$B$5:$B$3004,AH!$P$13+1143),INDEX('AH History'!$B$1:$B$18046,AH!$P$7+1143))),NA()),NA())</ns0:f>
        <ns0:v/>
      </ns0:c>
      <ns0:c r="D1148">
        <ns0:f>IFERROR(IF(ISNUMBER($A1148),IF(AND(AH!$P$10=1,AH!$P$12=1,$A1148=TODAY()),AH!$P$18,IF(AH!$P$10=1,INDEX('Live History'!$E$5:$E$3004,MATCH($A1148,'Live History'!$D$5:$D$3004,1)),INDEX('AH History'!$C$1:$C$18046,AH!$P$7+1143))),NA()),NA())</ns0:f>
        <ns0:v/>
      </ns0:c>
      <ns0:c r="E1148">
        <ns0:f>IFERROR(IF(ISNUMBER($A1148),IF(AND(AH!$P$10=1,AH!$P$12=1,$A1148=TODAY()),AH!$P$20,IF(AH!$P$10=1,INDEX('Live History'!$H$5:$H$3004,MATCH($A1148,'Live History'!$G$5:$G$3004,1)),INDEX('AH History'!$D$1:$D$18046,AH!$P$7+1143))),NA()),NA())</ns0:f>
        <ns0:v/>
      </ns0:c>
      <ns0:c r="F1148">
        <ns0:f>IFERROR(IF(ISNUMBER($A1148),IF(AND(AH!$P$10=1,AH!$P$12=1,$A1148=TODAY()),IF(AND(AH!$P$10=1,AH!$P$12=1,$A1148=TODAY()),TODAY(),NA()),IF(AH!$P$10=1,INDEX('Live History'!$D$5:$D$3004,MATCH($A1148,'Live History'!$D$5:$D$3004,1)),INDEX('AH History'!$E$1:$E$18046,AH!$P$7+1143))),NA()),NA())</ns0:f>
        <ns0:v/>
      </ns0:c>
      <ns0:c r="G1148">
        <ns0:f>IFERROR(IF(ISNUMBER($A1148),IF(AND(AH!$P$10=1,AH!$P$12=1,$A1148=TODAY()),IF(AND(AH!$P$10=1,AH!$P$12=1,$A1148=TODAY()),TODAY(),NA()),IF(AH!$P$10=1,INDEX('Live History'!$G$5:$G$3004,MATCH($A1148,'Live History'!$G$5:$G$3004,1)),INDEX('AH History'!$F$1:$F$18046,AH!$P$7+1143))),NA()),NA())</ns0:f>
        <ns0:v/>
      </ns0:c>
      <ns0:c r="H1148">
        <ns0:f>IFERROR(IF(AND(AH!$E$4="Bloomberg",AH!$P$10=1,ISNUMBER($A1148),$A1148&lt;=AH!$P$17),AH!$P$7-1+MATCH($A1148,INDEX('AH History'!$A$1:$A$18046,AH!$P$7):INDEX('AH History'!$A$1:$A$18046,AH!$P$7+AH!$P$8-1),0),0),0)</ns0:f>
        <ns0:v/>
      </ns0:c>
      <ns0:c r="I1148">
        <ns0:f>IF($H1148=0,0,IFERROR(IF(AND(ABS($C1148-INDEX('AH History'!$B$1:$B$18046,$H1148))&lt;=MAX(0.005,ABS(INDEX('AH History'!$B$1:$B$18046,$H1148))*0.00005),ABS($D1148-INDEX('AH History'!$C$1:$C$18046,$H1148))&lt;=MAX(0.005,ABS(INDEX('AH History'!$C$1:$C$18046,$H1148))*0.00005),ABS($E1148-INDEX('AH History'!$D$1:$D$18046,$H1148))&lt;=0.00005,$F1148=INDEX('AH History'!$E$1:$E$18046,$H1148),$G1148=INDEX('AH History'!$F$1:$F$18046,$H1148)),1,-1),-1))</ns0:f>
        <ns0:v/>
      </ns0:c>
    </ns0:row>
    <ns0:row r="1149">
      <ns0:c r="A1149" s="215">
        <ns0:f>IF(OR(AH!$P$3=0,1144+1&gt;AH!$P$11,AND(AH!$E$4&lt;&gt;"Stored",AH!$P$10&lt;&gt;1)),"",IFERROR(IF(AND(AH!$P$21=1,1144+1=AH!$P$11),TODAY(),IF(AH!$P$10=1,INDEX('Live History'!$A$5:$A$3004,AH!$P$13+1144),INDEX('AH History'!$A$1:$A$18046,AH!$P$7+1144))),""))</ns0:f>
        <ns0:v/>
      </ns0:c>
      <ns0:c r="B1149" s="219">
        <ns0:f>IFERROR(IF(AND(AH!$P$9&lt;&gt;1,$C1149&gt;0,$D1149&gt;0,$E1149&gt;0,$F1149&gt;0,$G1149&gt;0,$F1149&lt;=$A1149,$G1149&lt;=$A1149,$A1149-$F1149&lt;=10,$A1149-$G1149&lt;=5),$D1149*$E1149/$C1149-1,NA()),NA())</ns0:f>
        <ns0:v/>
      </ns0:c>
      <ns0:c r="C1149">
        <ns0:f>IFERROR(IF(ISNUMBER($A1149),IF(AND(AH!$P$10=1,AH!$P$12=1,$A1149=TODAY()),AH!$P$19,IF(AH!$P$10=1,INDEX('Live History'!$B$5:$B$3004,AH!$P$13+1144),INDEX('AH History'!$B$1:$B$18046,AH!$P$7+1144))),NA()),NA())</ns0:f>
        <ns0:v/>
      </ns0:c>
      <ns0:c r="D1149">
        <ns0:f>IFERROR(IF(ISNUMBER($A1149),IF(AND(AH!$P$10=1,AH!$P$12=1,$A1149=TODAY()),AH!$P$18,IF(AH!$P$10=1,INDEX('Live History'!$E$5:$E$3004,MATCH($A1149,'Live History'!$D$5:$D$3004,1)),INDEX('AH History'!$C$1:$C$18046,AH!$P$7+1144))),NA()),NA())</ns0:f>
        <ns0:v/>
      </ns0:c>
      <ns0:c r="E1149">
        <ns0:f>IFERROR(IF(ISNUMBER($A1149),IF(AND(AH!$P$10=1,AH!$P$12=1,$A1149=TODAY()),AH!$P$20,IF(AH!$P$10=1,INDEX('Live History'!$H$5:$H$3004,MATCH($A1149,'Live History'!$G$5:$G$3004,1)),INDEX('AH History'!$D$1:$D$18046,AH!$P$7+1144))),NA()),NA())</ns0:f>
        <ns0:v/>
      </ns0:c>
      <ns0:c r="F1149">
        <ns0:f>IFERROR(IF(ISNUMBER($A1149),IF(AND(AH!$P$10=1,AH!$P$12=1,$A1149=TODAY()),IF(AND(AH!$P$10=1,AH!$P$12=1,$A1149=TODAY()),TODAY(),NA()),IF(AH!$P$10=1,INDEX('Live History'!$D$5:$D$3004,MATCH($A1149,'Live History'!$D$5:$D$3004,1)),INDEX('AH History'!$E$1:$E$18046,AH!$P$7+1144))),NA()),NA())</ns0:f>
        <ns0:v/>
      </ns0:c>
      <ns0:c r="G1149">
        <ns0:f>IFERROR(IF(ISNUMBER($A1149),IF(AND(AH!$P$10=1,AH!$P$12=1,$A1149=TODAY()),IF(AND(AH!$P$10=1,AH!$P$12=1,$A1149=TODAY()),TODAY(),NA()),IF(AH!$P$10=1,INDEX('Live History'!$G$5:$G$3004,MATCH($A1149,'Live History'!$G$5:$G$3004,1)),INDEX('AH History'!$F$1:$F$18046,AH!$P$7+1144))),NA()),NA())</ns0:f>
        <ns0:v/>
      </ns0:c>
      <ns0:c r="H1149">
        <ns0:f>IFERROR(IF(AND(AH!$E$4="Bloomberg",AH!$P$10=1,ISNUMBER($A1149),$A1149&lt;=AH!$P$17),AH!$P$7-1+MATCH($A1149,INDEX('AH History'!$A$1:$A$18046,AH!$P$7):INDEX('AH History'!$A$1:$A$18046,AH!$P$7+AH!$P$8-1),0),0),0)</ns0:f>
        <ns0:v/>
      </ns0:c>
      <ns0:c r="I1149">
        <ns0:f>IF($H1149=0,0,IFERROR(IF(AND(ABS($C1149-INDEX('AH History'!$B$1:$B$18046,$H1149))&lt;=MAX(0.005,ABS(INDEX('AH History'!$B$1:$B$18046,$H1149))*0.00005),ABS($D1149-INDEX('AH History'!$C$1:$C$18046,$H1149))&lt;=MAX(0.005,ABS(INDEX('AH History'!$C$1:$C$18046,$H1149))*0.00005),ABS($E1149-INDEX('AH History'!$D$1:$D$18046,$H1149))&lt;=0.00005,$F1149=INDEX('AH History'!$E$1:$E$18046,$H1149),$G1149=INDEX('AH History'!$F$1:$F$18046,$H1149)),1,-1),-1))</ns0:f>
        <ns0:v/>
      </ns0:c>
    </ns0:row>
    <ns0:row r="1150">
      <ns0:c r="A1150" s="215">
        <ns0:f>IF(OR(AH!$P$3=0,1145+1&gt;AH!$P$11,AND(AH!$E$4&lt;&gt;"Stored",AH!$P$10&lt;&gt;1)),"",IFERROR(IF(AND(AH!$P$21=1,1145+1=AH!$P$11),TODAY(),IF(AH!$P$10=1,INDEX('Live History'!$A$5:$A$3004,AH!$P$13+1145),INDEX('AH History'!$A$1:$A$18046,AH!$P$7+1145))),""))</ns0:f>
        <ns0:v/>
      </ns0:c>
      <ns0:c r="B1150" s="219">
        <ns0:f>IFERROR(IF(AND(AH!$P$9&lt;&gt;1,$C1150&gt;0,$D1150&gt;0,$E1150&gt;0,$F1150&gt;0,$G1150&gt;0,$F1150&lt;=$A1150,$G1150&lt;=$A1150,$A1150-$F1150&lt;=10,$A1150-$G1150&lt;=5),$D1150*$E1150/$C1150-1,NA()),NA())</ns0:f>
        <ns0:v/>
      </ns0:c>
      <ns0:c r="C1150">
        <ns0:f>IFERROR(IF(ISNUMBER($A1150),IF(AND(AH!$P$10=1,AH!$P$12=1,$A1150=TODAY()),AH!$P$19,IF(AH!$P$10=1,INDEX('Live History'!$B$5:$B$3004,AH!$P$13+1145),INDEX('AH History'!$B$1:$B$18046,AH!$P$7+1145))),NA()),NA())</ns0:f>
        <ns0:v/>
      </ns0:c>
      <ns0:c r="D1150">
        <ns0:f>IFERROR(IF(ISNUMBER($A1150),IF(AND(AH!$P$10=1,AH!$P$12=1,$A1150=TODAY()),AH!$P$18,IF(AH!$P$10=1,INDEX('Live History'!$E$5:$E$3004,MATCH($A1150,'Live History'!$D$5:$D$3004,1)),INDEX('AH History'!$C$1:$C$18046,AH!$P$7+1145))),NA()),NA())</ns0:f>
        <ns0:v/>
      </ns0:c>
      <ns0:c r="E1150">
        <ns0:f>IFERROR(IF(ISNUMBER($A1150),IF(AND(AH!$P$10=1,AH!$P$12=1,$A1150=TODAY()),AH!$P$20,IF(AH!$P$10=1,INDEX('Live History'!$H$5:$H$3004,MATCH($A1150,'Live History'!$G$5:$G$3004,1)),INDEX('AH History'!$D$1:$D$18046,AH!$P$7+1145))),NA()),NA())</ns0:f>
        <ns0:v/>
      </ns0:c>
      <ns0:c r="F1150">
        <ns0:f>IFERROR(IF(ISNUMBER($A1150),IF(AND(AH!$P$10=1,AH!$P$12=1,$A1150=TODAY()),IF(AND(AH!$P$10=1,AH!$P$12=1,$A1150=TODAY()),TODAY(),NA()),IF(AH!$P$10=1,INDEX('Live History'!$D$5:$D$3004,MATCH($A1150,'Live History'!$D$5:$D$3004,1)),INDEX('AH History'!$E$1:$E$18046,AH!$P$7+1145))),NA()),NA())</ns0:f>
        <ns0:v/>
      </ns0:c>
      <ns0:c r="G1150">
        <ns0:f>IFERROR(IF(ISNUMBER($A1150),IF(AND(AH!$P$10=1,AH!$P$12=1,$A1150=TODAY()),IF(AND(AH!$P$10=1,AH!$P$12=1,$A1150=TODAY()),TODAY(),NA()),IF(AH!$P$10=1,INDEX('Live History'!$G$5:$G$3004,MATCH($A1150,'Live History'!$G$5:$G$3004,1)),INDEX('AH History'!$F$1:$F$18046,AH!$P$7+1145))),NA()),NA())</ns0:f>
        <ns0:v/>
      </ns0:c>
      <ns0:c r="H1150">
        <ns0:f>IFERROR(IF(AND(AH!$E$4="Bloomberg",AH!$P$10=1,ISNUMBER($A1150),$A1150&lt;=AH!$P$17),AH!$P$7-1+MATCH($A1150,INDEX('AH History'!$A$1:$A$18046,AH!$P$7):INDEX('AH History'!$A$1:$A$18046,AH!$P$7+AH!$P$8-1),0),0),0)</ns0:f>
        <ns0:v/>
      </ns0:c>
      <ns0:c r="I1150">
        <ns0:f>IF($H1150=0,0,IFERROR(IF(AND(ABS($C1150-INDEX('AH History'!$B$1:$B$18046,$H1150))&lt;=MAX(0.005,ABS(INDEX('AH History'!$B$1:$B$18046,$H1150))*0.00005),ABS($D1150-INDEX('AH History'!$C$1:$C$18046,$H1150))&lt;=MAX(0.005,ABS(INDEX('AH History'!$C$1:$C$18046,$H1150))*0.00005),ABS($E1150-INDEX('AH History'!$D$1:$D$18046,$H1150))&lt;=0.00005,$F1150=INDEX('AH History'!$E$1:$E$18046,$H1150),$G1150=INDEX('AH History'!$F$1:$F$18046,$H1150)),1,-1),-1))</ns0:f>
        <ns0:v/>
      </ns0:c>
    </ns0:row>
    <ns0:row r="1151">
      <ns0:c r="A1151" s="215">
        <ns0:f>IF(OR(AH!$P$3=0,1146+1&gt;AH!$P$11,AND(AH!$E$4&lt;&gt;"Stored",AH!$P$10&lt;&gt;1)),"",IFERROR(IF(AND(AH!$P$21=1,1146+1=AH!$P$11),TODAY(),IF(AH!$P$10=1,INDEX('Live History'!$A$5:$A$3004,AH!$P$13+1146),INDEX('AH History'!$A$1:$A$18046,AH!$P$7+1146))),""))</ns0:f>
        <ns0:v/>
      </ns0:c>
      <ns0:c r="B1151" s="219">
        <ns0:f>IFERROR(IF(AND(AH!$P$9&lt;&gt;1,$C1151&gt;0,$D1151&gt;0,$E1151&gt;0,$F1151&gt;0,$G1151&gt;0,$F1151&lt;=$A1151,$G1151&lt;=$A1151,$A1151-$F1151&lt;=10,$A1151-$G1151&lt;=5),$D1151*$E1151/$C1151-1,NA()),NA())</ns0:f>
        <ns0:v/>
      </ns0:c>
      <ns0:c r="C1151">
        <ns0:f>IFERROR(IF(ISNUMBER($A1151),IF(AND(AH!$P$10=1,AH!$P$12=1,$A1151=TODAY()),AH!$P$19,IF(AH!$P$10=1,INDEX('Live History'!$B$5:$B$3004,AH!$P$13+1146),INDEX('AH History'!$B$1:$B$18046,AH!$P$7+1146))),NA()),NA())</ns0:f>
        <ns0:v/>
      </ns0:c>
      <ns0:c r="D1151">
        <ns0:f>IFERROR(IF(ISNUMBER($A1151),IF(AND(AH!$P$10=1,AH!$P$12=1,$A1151=TODAY()),AH!$P$18,IF(AH!$P$10=1,INDEX('Live History'!$E$5:$E$3004,MATCH($A1151,'Live History'!$D$5:$D$3004,1)),INDEX('AH History'!$C$1:$C$18046,AH!$P$7+1146))),NA()),NA())</ns0:f>
        <ns0:v/>
      </ns0:c>
      <ns0:c r="E1151">
        <ns0:f>IFERROR(IF(ISNUMBER($A1151),IF(AND(AH!$P$10=1,AH!$P$12=1,$A1151=TODAY()),AH!$P$20,IF(AH!$P$10=1,INDEX('Live History'!$H$5:$H$3004,MATCH($A1151,'Live History'!$G$5:$G$3004,1)),INDEX('AH History'!$D$1:$D$18046,AH!$P$7+1146))),NA()),NA())</ns0:f>
        <ns0:v/>
      </ns0:c>
      <ns0:c r="F1151">
        <ns0:f>IFERROR(IF(ISNUMBER($A1151),IF(AND(AH!$P$10=1,AH!$P$12=1,$A1151=TODAY()),IF(AND(AH!$P$10=1,AH!$P$12=1,$A1151=TODAY()),TODAY(),NA()),IF(AH!$P$10=1,INDEX('Live History'!$D$5:$D$3004,MATCH($A1151,'Live History'!$D$5:$D$3004,1)),INDEX('AH History'!$E$1:$E$18046,AH!$P$7+1146))),NA()),NA())</ns0:f>
        <ns0:v/>
      </ns0:c>
      <ns0:c r="G1151">
        <ns0:f>IFERROR(IF(ISNUMBER($A1151),IF(AND(AH!$P$10=1,AH!$P$12=1,$A1151=TODAY()),IF(AND(AH!$P$10=1,AH!$P$12=1,$A1151=TODAY()),TODAY(),NA()),IF(AH!$P$10=1,INDEX('Live History'!$G$5:$G$3004,MATCH($A1151,'Live History'!$G$5:$G$3004,1)),INDEX('AH History'!$F$1:$F$18046,AH!$P$7+1146))),NA()),NA())</ns0:f>
        <ns0:v/>
      </ns0:c>
      <ns0:c r="H1151">
        <ns0:f>IFERROR(IF(AND(AH!$E$4="Bloomberg",AH!$P$10=1,ISNUMBER($A1151),$A1151&lt;=AH!$P$17),AH!$P$7-1+MATCH($A1151,INDEX('AH History'!$A$1:$A$18046,AH!$P$7):INDEX('AH History'!$A$1:$A$18046,AH!$P$7+AH!$P$8-1),0),0),0)</ns0:f>
        <ns0:v/>
      </ns0:c>
      <ns0:c r="I1151">
        <ns0:f>IF($H1151=0,0,IFERROR(IF(AND(ABS($C1151-INDEX('AH History'!$B$1:$B$18046,$H1151))&lt;=MAX(0.005,ABS(INDEX('AH History'!$B$1:$B$18046,$H1151))*0.00005),ABS($D1151-INDEX('AH History'!$C$1:$C$18046,$H1151))&lt;=MAX(0.005,ABS(INDEX('AH History'!$C$1:$C$18046,$H1151))*0.00005),ABS($E1151-INDEX('AH History'!$D$1:$D$18046,$H1151))&lt;=0.00005,$F1151=INDEX('AH History'!$E$1:$E$18046,$H1151),$G1151=INDEX('AH History'!$F$1:$F$18046,$H1151)),1,-1),-1))</ns0:f>
        <ns0:v/>
      </ns0:c>
    </ns0:row>
    <ns0:row r="1152">
      <ns0:c r="A1152" s="215">
        <ns0:f>IF(OR(AH!$P$3=0,1147+1&gt;AH!$P$11,AND(AH!$E$4&lt;&gt;"Stored",AH!$P$10&lt;&gt;1)),"",IFERROR(IF(AND(AH!$P$21=1,1147+1=AH!$P$11),TODAY(),IF(AH!$P$10=1,INDEX('Live History'!$A$5:$A$3004,AH!$P$13+1147),INDEX('AH History'!$A$1:$A$18046,AH!$P$7+1147))),""))</ns0:f>
        <ns0:v/>
      </ns0:c>
      <ns0:c r="B1152" s="219">
        <ns0:f>IFERROR(IF(AND(AH!$P$9&lt;&gt;1,$C1152&gt;0,$D1152&gt;0,$E1152&gt;0,$F1152&gt;0,$G1152&gt;0,$F1152&lt;=$A1152,$G1152&lt;=$A1152,$A1152-$F1152&lt;=10,$A1152-$G1152&lt;=5),$D1152*$E1152/$C1152-1,NA()),NA())</ns0:f>
        <ns0:v/>
      </ns0:c>
      <ns0:c r="C1152">
        <ns0:f>IFERROR(IF(ISNUMBER($A1152),IF(AND(AH!$P$10=1,AH!$P$12=1,$A1152=TODAY()),AH!$P$19,IF(AH!$P$10=1,INDEX('Live History'!$B$5:$B$3004,AH!$P$13+1147),INDEX('AH History'!$B$1:$B$18046,AH!$P$7+1147))),NA()),NA())</ns0:f>
        <ns0:v/>
      </ns0:c>
      <ns0:c r="D1152">
        <ns0:f>IFERROR(IF(ISNUMBER($A1152),IF(AND(AH!$P$10=1,AH!$P$12=1,$A1152=TODAY()),AH!$P$18,IF(AH!$P$10=1,INDEX('Live History'!$E$5:$E$3004,MATCH($A1152,'Live History'!$D$5:$D$3004,1)),INDEX('AH History'!$C$1:$C$18046,AH!$P$7+1147))),NA()),NA())</ns0:f>
        <ns0:v/>
      </ns0:c>
      <ns0:c r="E1152">
        <ns0:f>IFERROR(IF(ISNUMBER($A1152),IF(AND(AH!$P$10=1,AH!$P$12=1,$A1152=TODAY()),AH!$P$20,IF(AH!$P$10=1,INDEX('Live History'!$H$5:$H$3004,MATCH($A1152,'Live History'!$G$5:$G$3004,1)),INDEX('AH History'!$D$1:$D$18046,AH!$P$7+1147))),NA()),NA())</ns0:f>
        <ns0:v/>
      </ns0:c>
      <ns0:c r="F1152">
        <ns0:f>IFERROR(IF(ISNUMBER($A1152),IF(AND(AH!$P$10=1,AH!$P$12=1,$A1152=TODAY()),IF(AND(AH!$P$10=1,AH!$P$12=1,$A1152=TODAY()),TODAY(),NA()),IF(AH!$P$10=1,INDEX('Live History'!$D$5:$D$3004,MATCH($A1152,'Live History'!$D$5:$D$3004,1)),INDEX('AH History'!$E$1:$E$18046,AH!$P$7+1147))),NA()),NA())</ns0:f>
        <ns0:v/>
      </ns0:c>
      <ns0:c r="G1152">
        <ns0:f>IFERROR(IF(ISNUMBER($A1152),IF(AND(AH!$P$10=1,AH!$P$12=1,$A1152=TODAY()),IF(AND(AH!$P$10=1,AH!$P$12=1,$A1152=TODAY()),TODAY(),NA()),IF(AH!$P$10=1,INDEX('Live History'!$G$5:$G$3004,MATCH($A1152,'Live History'!$G$5:$G$3004,1)),INDEX('AH History'!$F$1:$F$18046,AH!$P$7+1147))),NA()),NA())</ns0:f>
        <ns0:v/>
      </ns0:c>
      <ns0:c r="H1152">
        <ns0:f>IFERROR(IF(AND(AH!$E$4="Bloomberg",AH!$P$10=1,ISNUMBER($A1152),$A1152&lt;=AH!$P$17),AH!$P$7-1+MATCH($A1152,INDEX('AH History'!$A$1:$A$18046,AH!$P$7):INDEX('AH History'!$A$1:$A$18046,AH!$P$7+AH!$P$8-1),0),0),0)</ns0:f>
        <ns0:v/>
      </ns0:c>
      <ns0:c r="I1152">
        <ns0:f>IF($H1152=0,0,IFERROR(IF(AND(ABS($C1152-INDEX('AH History'!$B$1:$B$18046,$H1152))&lt;=MAX(0.005,ABS(INDEX('AH History'!$B$1:$B$18046,$H1152))*0.00005),ABS($D1152-INDEX('AH History'!$C$1:$C$18046,$H1152))&lt;=MAX(0.005,ABS(INDEX('AH History'!$C$1:$C$18046,$H1152))*0.00005),ABS($E1152-INDEX('AH History'!$D$1:$D$18046,$H1152))&lt;=0.00005,$F1152=INDEX('AH History'!$E$1:$E$18046,$H1152),$G1152=INDEX('AH History'!$F$1:$F$18046,$H1152)),1,-1),-1))</ns0:f>
        <ns0:v/>
      </ns0:c>
    </ns0:row>
    <ns0:row r="1153">
      <ns0:c r="A1153" s="215">
        <ns0:f>IF(OR(AH!$P$3=0,1148+1&gt;AH!$P$11,AND(AH!$E$4&lt;&gt;"Stored",AH!$P$10&lt;&gt;1)),"",IFERROR(IF(AND(AH!$P$21=1,1148+1=AH!$P$11),TODAY(),IF(AH!$P$10=1,INDEX('Live History'!$A$5:$A$3004,AH!$P$13+1148),INDEX('AH History'!$A$1:$A$18046,AH!$P$7+1148))),""))</ns0:f>
        <ns0:v/>
      </ns0:c>
      <ns0:c r="B1153" s="219">
        <ns0:f>IFERROR(IF(AND(AH!$P$9&lt;&gt;1,$C1153&gt;0,$D1153&gt;0,$E1153&gt;0,$F1153&gt;0,$G1153&gt;0,$F1153&lt;=$A1153,$G1153&lt;=$A1153,$A1153-$F1153&lt;=10,$A1153-$G1153&lt;=5),$D1153*$E1153/$C1153-1,NA()),NA())</ns0:f>
        <ns0:v/>
      </ns0:c>
      <ns0:c r="C1153">
        <ns0:f>IFERROR(IF(ISNUMBER($A1153),IF(AND(AH!$P$10=1,AH!$P$12=1,$A1153=TODAY()),AH!$P$19,IF(AH!$P$10=1,INDEX('Live History'!$B$5:$B$3004,AH!$P$13+1148),INDEX('AH History'!$B$1:$B$18046,AH!$P$7+1148))),NA()),NA())</ns0:f>
        <ns0:v/>
      </ns0:c>
      <ns0:c r="D1153">
        <ns0:f>IFERROR(IF(ISNUMBER($A1153),IF(AND(AH!$P$10=1,AH!$P$12=1,$A1153=TODAY()),AH!$P$18,IF(AH!$P$10=1,INDEX('Live History'!$E$5:$E$3004,MATCH($A1153,'Live History'!$D$5:$D$3004,1)),INDEX('AH History'!$C$1:$C$18046,AH!$P$7+1148))),NA()),NA())</ns0:f>
        <ns0:v/>
      </ns0:c>
      <ns0:c r="E1153">
        <ns0:f>IFERROR(IF(ISNUMBER($A1153),IF(AND(AH!$P$10=1,AH!$P$12=1,$A1153=TODAY()),AH!$P$20,IF(AH!$P$10=1,INDEX('Live History'!$H$5:$H$3004,MATCH($A1153,'Live History'!$G$5:$G$3004,1)),INDEX('AH History'!$D$1:$D$18046,AH!$P$7+1148))),NA()),NA())</ns0:f>
        <ns0:v/>
      </ns0:c>
      <ns0:c r="F1153">
        <ns0:f>IFERROR(IF(ISNUMBER($A1153),IF(AND(AH!$P$10=1,AH!$P$12=1,$A1153=TODAY()),IF(AND(AH!$P$10=1,AH!$P$12=1,$A1153=TODAY()),TODAY(),NA()),IF(AH!$P$10=1,INDEX('Live History'!$D$5:$D$3004,MATCH($A1153,'Live History'!$D$5:$D$3004,1)),INDEX('AH History'!$E$1:$E$18046,AH!$P$7+1148))),NA()),NA())</ns0:f>
        <ns0:v/>
      </ns0:c>
      <ns0:c r="G1153">
        <ns0:f>IFERROR(IF(ISNUMBER($A1153),IF(AND(AH!$P$10=1,AH!$P$12=1,$A1153=TODAY()),IF(AND(AH!$P$10=1,AH!$P$12=1,$A1153=TODAY()),TODAY(),NA()),IF(AH!$P$10=1,INDEX('Live History'!$G$5:$G$3004,MATCH($A1153,'Live History'!$G$5:$G$3004,1)),INDEX('AH History'!$F$1:$F$18046,AH!$P$7+1148))),NA()),NA())</ns0:f>
        <ns0:v/>
      </ns0:c>
      <ns0:c r="H1153">
        <ns0:f>IFERROR(IF(AND(AH!$E$4="Bloomberg",AH!$P$10=1,ISNUMBER($A1153),$A1153&lt;=AH!$P$17),AH!$P$7-1+MATCH($A1153,INDEX('AH History'!$A$1:$A$18046,AH!$P$7):INDEX('AH History'!$A$1:$A$18046,AH!$P$7+AH!$P$8-1),0),0),0)</ns0:f>
        <ns0:v/>
      </ns0:c>
      <ns0:c r="I1153">
        <ns0:f>IF($H1153=0,0,IFERROR(IF(AND(ABS($C1153-INDEX('AH History'!$B$1:$B$18046,$H1153))&lt;=MAX(0.005,ABS(INDEX('AH History'!$B$1:$B$18046,$H1153))*0.00005),ABS($D1153-INDEX('AH History'!$C$1:$C$18046,$H1153))&lt;=MAX(0.005,ABS(INDEX('AH History'!$C$1:$C$18046,$H1153))*0.00005),ABS($E1153-INDEX('AH History'!$D$1:$D$18046,$H1153))&lt;=0.00005,$F1153=INDEX('AH History'!$E$1:$E$18046,$H1153),$G1153=INDEX('AH History'!$F$1:$F$18046,$H1153)),1,-1),-1))</ns0:f>
        <ns0:v/>
      </ns0:c>
    </ns0:row>
    <ns0:row r="1154">
      <ns0:c r="A1154" s="215">
        <ns0:f>IF(OR(AH!$P$3=0,1149+1&gt;AH!$P$11,AND(AH!$E$4&lt;&gt;"Stored",AH!$P$10&lt;&gt;1)),"",IFERROR(IF(AND(AH!$P$21=1,1149+1=AH!$P$11),TODAY(),IF(AH!$P$10=1,INDEX('Live History'!$A$5:$A$3004,AH!$P$13+1149),INDEX('AH History'!$A$1:$A$18046,AH!$P$7+1149))),""))</ns0:f>
        <ns0:v/>
      </ns0:c>
      <ns0:c r="B1154" s="219">
        <ns0:f>IFERROR(IF(AND(AH!$P$9&lt;&gt;1,$C1154&gt;0,$D1154&gt;0,$E1154&gt;0,$F1154&gt;0,$G1154&gt;0,$F1154&lt;=$A1154,$G1154&lt;=$A1154,$A1154-$F1154&lt;=10,$A1154-$G1154&lt;=5),$D1154*$E1154/$C1154-1,NA()),NA())</ns0:f>
        <ns0:v/>
      </ns0:c>
      <ns0:c r="C1154">
        <ns0:f>IFERROR(IF(ISNUMBER($A1154),IF(AND(AH!$P$10=1,AH!$P$12=1,$A1154=TODAY()),AH!$P$19,IF(AH!$P$10=1,INDEX('Live History'!$B$5:$B$3004,AH!$P$13+1149),INDEX('AH History'!$B$1:$B$18046,AH!$P$7+1149))),NA()),NA())</ns0:f>
        <ns0:v/>
      </ns0:c>
      <ns0:c r="D1154">
        <ns0:f>IFERROR(IF(ISNUMBER($A1154),IF(AND(AH!$P$10=1,AH!$P$12=1,$A1154=TODAY()),AH!$P$18,IF(AH!$P$10=1,INDEX('Live History'!$E$5:$E$3004,MATCH($A1154,'Live History'!$D$5:$D$3004,1)),INDEX('AH History'!$C$1:$C$18046,AH!$P$7+1149))),NA()),NA())</ns0:f>
        <ns0:v/>
      </ns0:c>
      <ns0:c r="E1154">
        <ns0:f>IFERROR(IF(ISNUMBER($A1154),IF(AND(AH!$P$10=1,AH!$P$12=1,$A1154=TODAY()),AH!$P$20,IF(AH!$P$10=1,INDEX('Live History'!$H$5:$H$3004,MATCH($A1154,'Live History'!$G$5:$G$3004,1)),INDEX('AH History'!$D$1:$D$18046,AH!$P$7+1149))),NA()),NA())</ns0:f>
        <ns0:v/>
      </ns0:c>
      <ns0:c r="F1154">
        <ns0:f>IFERROR(IF(ISNUMBER($A1154),IF(AND(AH!$P$10=1,AH!$P$12=1,$A1154=TODAY()),IF(AND(AH!$P$10=1,AH!$P$12=1,$A1154=TODAY()),TODAY(),NA()),IF(AH!$P$10=1,INDEX('Live History'!$D$5:$D$3004,MATCH($A1154,'Live History'!$D$5:$D$3004,1)),INDEX('AH History'!$E$1:$E$18046,AH!$P$7+1149))),NA()),NA())</ns0:f>
        <ns0:v/>
      </ns0:c>
      <ns0:c r="G1154">
        <ns0:f>IFERROR(IF(ISNUMBER($A1154),IF(AND(AH!$P$10=1,AH!$P$12=1,$A1154=TODAY()),IF(AND(AH!$P$10=1,AH!$P$12=1,$A1154=TODAY()),TODAY(),NA()),IF(AH!$P$10=1,INDEX('Live History'!$G$5:$G$3004,MATCH($A1154,'Live History'!$G$5:$G$3004,1)),INDEX('AH History'!$F$1:$F$18046,AH!$P$7+1149))),NA()),NA())</ns0:f>
        <ns0:v/>
      </ns0:c>
      <ns0:c r="H1154">
        <ns0:f>IFERROR(IF(AND(AH!$E$4="Bloomberg",AH!$P$10=1,ISNUMBER($A1154),$A1154&lt;=AH!$P$17),AH!$P$7-1+MATCH($A1154,INDEX('AH History'!$A$1:$A$18046,AH!$P$7):INDEX('AH History'!$A$1:$A$18046,AH!$P$7+AH!$P$8-1),0),0),0)</ns0:f>
        <ns0:v/>
      </ns0:c>
      <ns0:c r="I1154">
        <ns0:f>IF($H1154=0,0,IFERROR(IF(AND(ABS($C1154-INDEX('AH History'!$B$1:$B$18046,$H1154))&lt;=MAX(0.005,ABS(INDEX('AH History'!$B$1:$B$18046,$H1154))*0.00005),ABS($D1154-INDEX('AH History'!$C$1:$C$18046,$H1154))&lt;=MAX(0.005,ABS(INDEX('AH History'!$C$1:$C$18046,$H1154))*0.00005),ABS($E1154-INDEX('AH History'!$D$1:$D$18046,$H1154))&lt;=0.00005,$F1154=INDEX('AH History'!$E$1:$E$18046,$H1154),$G1154=INDEX('AH History'!$F$1:$F$18046,$H1154)),1,-1),-1))</ns0:f>
        <ns0:v/>
      </ns0:c>
    </ns0:row>
    <ns0:row r="1155">
      <ns0:c r="A1155" s="215">
        <ns0:f>IF(OR(AH!$P$3=0,1150+1&gt;AH!$P$11,AND(AH!$E$4&lt;&gt;"Stored",AH!$P$10&lt;&gt;1)),"",IFERROR(IF(AND(AH!$P$21=1,1150+1=AH!$P$11),TODAY(),IF(AH!$P$10=1,INDEX('Live History'!$A$5:$A$3004,AH!$P$13+1150),INDEX('AH History'!$A$1:$A$18046,AH!$P$7+1150))),""))</ns0:f>
        <ns0:v/>
      </ns0:c>
      <ns0:c r="B1155" s="219">
        <ns0:f>IFERROR(IF(AND(AH!$P$9&lt;&gt;1,$C1155&gt;0,$D1155&gt;0,$E1155&gt;0,$F1155&gt;0,$G1155&gt;0,$F1155&lt;=$A1155,$G1155&lt;=$A1155,$A1155-$F1155&lt;=10,$A1155-$G1155&lt;=5),$D1155*$E1155/$C1155-1,NA()),NA())</ns0:f>
        <ns0:v/>
      </ns0:c>
      <ns0:c r="C1155">
        <ns0:f>IFERROR(IF(ISNUMBER($A1155),IF(AND(AH!$P$10=1,AH!$P$12=1,$A1155=TODAY()),AH!$P$19,IF(AH!$P$10=1,INDEX('Live History'!$B$5:$B$3004,AH!$P$13+1150),INDEX('AH History'!$B$1:$B$18046,AH!$P$7+1150))),NA()),NA())</ns0:f>
        <ns0:v/>
      </ns0:c>
      <ns0:c r="D1155">
        <ns0:f>IFERROR(IF(ISNUMBER($A1155),IF(AND(AH!$P$10=1,AH!$P$12=1,$A1155=TODAY()),AH!$P$18,IF(AH!$P$10=1,INDEX('Live History'!$E$5:$E$3004,MATCH($A1155,'Live History'!$D$5:$D$3004,1)),INDEX('AH History'!$C$1:$C$18046,AH!$P$7+1150))),NA()),NA())</ns0:f>
        <ns0:v/>
      </ns0:c>
      <ns0:c r="E1155">
        <ns0:f>IFERROR(IF(ISNUMBER($A1155),IF(AND(AH!$P$10=1,AH!$P$12=1,$A1155=TODAY()),AH!$P$20,IF(AH!$P$10=1,INDEX('Live History'!$H$5:$H$3004,MATCH($A1155,'Live History'!$G$5:$G$3004,1)),INDEX('AH History'!$D$1:$D$18046,AH!$P$7+1150))),NA()),NA())</ns0:f>
        <ns0:v/>
      </ns0:c>
      <ns0:c r="F1155">
        <ns0:f>IFERROR(IF(ISNUMBER($A1155),IF(AND(AH!$P$10=1,AH!$P$12=1,$A1155=TODAY()),IF(AND(AH!$P$10=1,AH!$P$12=1,$A1155=TODAY()),TODAY(),NA()),IF(AH!$P$10=1,INDEX('Live History'!$D$5:$D$3004,MATCH($A1155,'Live History'!$D$5:$D$3004,1)),INDEX('AH History'!$E$1:$E$18046,AH!$P$7+1150))),NA()),NA())</ns0:f>
        <ns0:v/>
      </ns0:c>
      <ns0:c r="G1155">
        <ns0:f>IFERROR(IF(ISNUMBER($A1155),IF(AND(AH!$P$10=1,AH!$P$12=1,$A1155=TODAY()),IF(AND(AH!$P$10=1,AH!$P$12=1,$A1155=TODAY()),TODAY(),NA()),IF(AH!$P$10=1,INDEX('Live History'!$G$5:$G$3004,MATCH($A1155,'Live History'!$G$5:$G$3004,1)),INDEX('AH History'!$F$1:$F$18046,AH!$P$7+1150))),NA()),NA())</ns0:f>
        <ns0:v/>
      </ns0:c>
      <ns0:c r="H1155">
        <ns0:f>IFERROR(IF(AND(AH!$E$4="Bloomberg",AH!$P$10=1,ISNUMBER($A1155),$A1155&lt;=AH!$P$17),AH!$P$7-1+MATCH($A1155,INDEX('AH History'!$A$1:$A$18046,AH!$P$7):INDEX('AH History'!$A$1:$A$18046,AH!$P$7+AH!$P$8-1),0),0),0)</ns0:f>
        <ns0:v/>
      </ns0:c>
      <ns0:c r="I1155">
        <ns0:f>IF($H1155=0,0,IFERROR(IF(AND(ABS($C1155-INDEX('AH History'!$B$1:$B$18046,$H1155))&lt;=MAX(0.005,ABS(INDEX('AH History'!$B$1:$B$18046,$H1155))*0.00005),ABS($D1155-INDEX('AH History'!$C$1:$C$18046,$H1155))&lt;=MAX(0.005,ABS(INDEX('AH History'!$C$1:$C$18046,$H1155))*0.00005),ABS($E1155-INDEX('AH History'!$D$1:$D$18046,$H1155))&lt;=0.00005,$F1155=INDEX('AH History'!$E$1:$E$18046,$H1155),$G1155=INDEX('AH History'!$F$1:$F$18046,$H1155)),1,-1),-1))</ns0:f>
        <ns0:v/>
      </ns0:c>
    </ns0:row>
    <ns0:row r="1156">
      <ns0:c r="A1156" s="215">
        <ns0:f>IF(OR(AH!$P$3=0,1151+1&gt;AH!$P$11,AND(AH!$E$4&lt;&gt;"Stored",AH!$P$10&lt;&gt;1)),"",IFERROR(IF(AND(AH!$P$21=1,1151+1=AH!$P$11),TODAY(),IF(AH!$P$10=1,INDEX('Live History'!$A$5:$A$3004,AH!$P$13+1151),INDEX('AH History'!$A$1:$A$18046,AH!$P$7+1151))),""))</ns0:f>
        <ns0:v/>
      </ns0:c>
      <ns0:c r="B1156" s="219">
        <ns0:f>IFERROR(IF(AND(AH!$P$9&lt;&gt;1,$C1156&gt;0,$D1156&gt;0,$E1156&gt;0,$F1156&gt;0,$G1156&gt;0,$F1156&lt;=$A1156,$G1156&lt;=$A1156,$A1156-$F1156&lt;=10,$A1156-$G1156&lt;=5),$D1156*$E1156/$C1156-1,NA()),NA())</ns0:f>
        <ns0:v/>
      </ns0:c>
      <ns0:c r="C1156">
        <ns0:f>IFERROR(IF(ISNUMBER($A1156),IF(AND(AH!$P$10=1,AH!$P$12=1,$A1156=TODAY()),AH!$P$19,IF(AH!$P$10=1,INDEX('Live History'!$B$5:$B$3004,AH!$P$13+1151),INDEX('AH History'!$B$1:$B$18046,AH!$P$7+1151))),NA()),NA())</ns0:f>
        <ns0:v/>
      </ns0:c>
      <ns0:c r="D1156">
        <ns0:f>IFERROR(IF(ISNUMBER($A1156),IF(AND(AH!$P$10=1,AH!$P$12=1,$A1156=TODAY()),AH!$P$18,IF(AH!$P$10=1,INDEX('Live History'!$E$5:$E$3004,MATCH($A1156,'Live History'!$D$5:$D$3004,1)),INDEX('AH History'!$C$1:$C$18046,AH!$P$7+1151))),NA()),NA())</ns0:f>
        <ns0:v/>
      </ns0:c>
      <ns0:c r="E1156">
        <ns0:f>IFERROR(IF(ISNUMBER($A1156),IF(AND(AH!$P$10=1,AH!$P$12=1,$A1156=TODAY()),AH!$P$20,IF(AH!$P$10=1,INDEX('Live History'!$H$5:$H$3004,MATCH($A1156,'Live History'!$G$5:$G$3004,1)),INDEX('AH History'!$D$1:$D$18046,AH!$P$7+1151))),NA()),NA())</ns0:f>
        <ns0:v/>
      </ns0:c>
      <ns0:c r="F1156">
        <ns0:f>IFERROR(IF(ISNUMBER($A1156),IF(AND(AH!$P$10=1,AH!$P$12=1,$A1156=TODAY()),IF(AND(AH!$P$10=1,AH!$P$12=1,$A1156=TODAY()),TODAY(),NA()),IF(AH!$P$10=1,INDEX('Live History'!$D$5:$D$3004,MATCH($A1156,'Live History'!$D$5:$D$3004,1)),INDEX('AH History'!$E$1:$E$18046,AH!$P$7+1151))),NA()),NA())</ns0:f>
        <ns0:v/>
      </ns0:c>
      <ns0:c r="G1156">
        <ns0:f>IFERROR(IF(ISNUMBER($A1156),IF(AND(AH!$P$10=1,AH!$P$12=1,$A1156=TODAY()),IF(AND(AH!$P$10=1,AH!$P$12=1,$A1156=TODAY()),TODAY(),NA()),IF(AH!$P$10=1,INDEX('Live History'!$G$5:$G$3004,MATCH($A1156,'Live History'!$G$5:$G$3004,1)),INDEX('AH History'!$F$1:$F$18046,AH!$P$7+1151))),NA()),NA())</ns0:f>
        <ns0:v/>
      </ns0:c>
      <ns0:c r="H1156">
        <ns0:f>IFERROR(IF(AND(AH!$E$4="Bloomberg",AH!$P$10=1,ISNUMBER($A1156),$A1156&lt;=AH!$P$17),AH!$P$7-1+MATCH($A1156,INDEX('AH History'!$A$1:$A$18046,AH!$P$7):INDEX('AH History'!$A$1:$A$18046,AH!$P$7+AH!$P$8-1),0),0),0)</ns0:f>
        <ns0:v/>
      </ns0:c>
      <ns0:c r="I1156">
        <ns0:f>IF($H1156=0,0,IFERROR(IF(AND(ABS($C1156-INDEX('AH History'!$B$1:$B$18046,$H1156))&lt;=MAX(0.005,ABS(INDEX('AH History'!$B$1:$B$18046,$H1156))*0.00005),ABS($D1156-INDEX('AH History'!$C$1:$C$18046,$H1156))&lt;=MAX(0.005,ABS(INDEX('AH History'!$C$1:$C$18046,$H1156))*0.00005),ABS($E1156-INDEX('AH History'!$D$1:$D$18046,$H1156))&lt;=0.00005,$F1156=INDEX('AH History'!$E$1:$E$18046,$H1156),$G1156=INDEX('AH History'!$F$1:$F$18046,$H1156)),1,-1),-1))</ns0:f>
        <ns0:v/>
      </ns0:c>
    </ns0:row>
    <ns0:row r="1157">
      <ns0:c r="A1157" s="215">
        <ns0:f>IF(OR(AH!$P$3=0,1152+1&gt;AH!$P$11,AND(AH!$E$4&lt;&gt;"Stored",AH!$P$10&lt;&gt;1)),"",IFERROR(IF(AND(AH!$P$21=1,1152+1=AH!$P$11),TODAY(),IF(AH!$P$10=1,INDEX('Live History'!$A$5:$A$3004,AH!$P$13+1152),INDEX('AH History'!$A$1:$A$18046,AH!$P$7+1152))),""))</ns0:f>
        <ns0:v/>
      </ns0:c>
      <ns0:c r="B1157" s="219">
        <ns0:f>IFERROR(IF(AND(AH!$P$9&lt;&gt;1,$C1157&gt;0,$D1157&gt;0,$E1157&gt;0,$F1157&gt;0,$G1157&gt;0,$F1157&lt;=$A1157,$G1157&lt;=$A1157,$A1157-$F1157&lt;=10,$A1157-$G1157&lt;=5),$D1157*$E1157/$C1157-1,NA()),NA())</ns0:f>
        <ns0:v/>
      </ns0:c>
      <ns0:c r="C1157">
        <ns0:f>IFERROR(IF(ISNUMBER($A1157),IF(AND(AH!$P$10=1,AH!$P$12=1,$A1157=TODAY()),AH!$P$19,IF(AH!$P$10=1,INDEX('Live History'!$B$5:$B$3004,AH!$P$13+1152),INDEX('AH History'!$B$1:$B$18046,AH!$P$7+1152))),NA()),NA())</ns0:f>
        <ns0:v/>
      </ns0:c>
      <ns0:c r="D1157">
        <ns0:f>IFERROR(IF(ISNUMBER($A1157),IF(AND(AH!$P$10=1,AH!$P$12=1,$A1157=TODAY()),AH!$P$18,IF(AH!$P$10=1,INDEX('Live History'!$E$5:$E$3004,MATCH($A1157,'Live History'!$D$5:$D$3004,1)),INDEX('AH History'!$C$1:$C$18046,AH!$P$7+1152))),NA()),NA())</ns0:f>
        <ns0:v/>
      </ns0:c>
      <ns0:c r="E1157">
        <ns0:f>IFERROR(IF(ISNUMBER($A1157),IF(AND(AH!$P$10=1,AH!$P$12=1,$A1157=TODAY()),AH!$P$20,IF(AH!$P$10=1,INDEX('Live History'!$H$5:$H$3004,MATCH($A1157,'Live History'!$G$5:$G$3004,1)),INDEX('AH History'!$D$1:$D$18046,AH!$P$7+1152))),NA()),NA())</ns0:f>
        <ns0:v/>
      </ns0:c>
      <ns0:c r="F1157">
        <ns0:f>IFERROR(IF(ISNUMBER($A1157),IF(AND(AH!$P$10=1,AH!$P$12=1,$A1157=TODAY()),IF(AND(AH!$P$10=1,AH!$P$12=1,$A1157=TODAY()),TODAY(),NA()),IF(AH!$P$10=1,INDEX('Live History'!$D$5:$D$3004,MATCH($A1157,'Live History'!$D$5:$D$3004,1)),INDEX('AH History'!$E$1:$E$18046,AH!$P$7+1152))),NA()),NA())</ns0:f>
        <ns0:v/>
      </ns0:c>
      <ns0:c r="G1157">
        <ns0:f>IFERROR(IF(ISNUMBER($A1157),IF(AND(AH!$P$10=1,AH!$P$12=1,$A1157=TODAY()),IF(AND(AH!$P$10=1,AH!$P$12=1,$A1157=TODAY()),TODAY(),NA()),IF(AH!$P$10=1,INDEX('Live History'!$G$5:$G$3004,MATCH($A1157,'Live History'!$G$5:$G$3004,1)),INDEX('AH History'!$F$1:$F$18046,AH!$P$7+1152))),NA()),NA())</ns0:f>
        <ns0:v/>
      </ns0:c>
      <ns0:c r="H1157">
        <ns0:f>IFERROR(IF(AND(AH!$E$4="Bloomberg",AH!$P$10=1,ISNUMBER($A1157),$A1157&lt;=AH!$P$17),AH!$P$7-1+MATCH($A1157,INDEX('AH History'!$A$1:$A$18046,AH!$P$7):INDEX('AH History'!$A$1:$A$18046,AH!$P$7+AH!$P$8-1),0),0),0)</ns0:f>
        <ns0:v/>
      </ns0:c>
      <ns0:c r="I1157">
        <ns0:f>IF($H1157=0,0,IFERROR(IF(AND(ABS($C1157-INDEX('AH History'!$B$1:$B$18046,$H1157))&lt;=MAX(0.005,ABS(INDEX('AH History'!$B$1:$B$18046,$H1157))*0.00005),ABS($D1157-INDEX('AH History'!$C$1:$C$18046,$H1157))&lt;=MAX(0.005,ABS(INDEX('AH History'!$C$1:$C$18046,$H1157))*0.00005),ABS($E1157-INDEX('AH History'!$D$1:$D$18046,$H1157))&lt;=0.00005,$F1157=INDEX('AH History'!$E$1:$E$18046,$H1157),$G1157=INDEX('AH History'!$F$1:$F$18046,$H1157)),1,-1),-1))</ns0:f>
        <ns0:v/>
      </ns0:c>
    </ns0:row>
    <ns0:row r="1158">
      <ns0:c r="A1158" s="215">
        <ns0:f>IF(OR(AH!$P$3=0,1153+1&gt;AH!$P$11,AND(AH!$E$4&lt;&gt;"Stored",AH!$P$10&lt;&gt;1)),"",IFERROR(IF(AND(AH!$P$21=1,1153+1=AH!$P$11),TODAY(),IF(AH!$P$10=1,INDEX('Live History'!$A$5:$A$3004,AH!$P$13+1153),INDEX('AH History'!$A$1:$A$18046,AH!$P$7+1153))),""))</ns0:f>
        <ns0:v/>
      </ns0:c>
      <ns0:c r="B1158" s="219">
        <ns0:f>IFERROR(IF(AND(AH!$P$9&lt;&gt;1,$C1158&gt;0,$D1158&gt;0,$E1158&gt;0,$F1158&gt;0,$G1158&gt;0,$F1158&lt;=$A1158,$G1158&lt;=$A1158,$A1158-$F1158&lt;=10,$A1158-$G1158&lt;=5),$D1158*$E1158/$C1158-1,NA()),NA())</ns0:f>
        <ns0:v/>
      </ns0:c>
      <ns0:c r="C1158">
        <ns0:f>IFERROR(IF(ISNUMBER($A1158),IF(AND(AH!$P$10=1,AH!$P$12=1,$A1158=TODAY()),AH!$P$19,IF(AH!$P$10=1,INDEX('Live History'!$B$5:$B$3004,AH!$P$13+1153),INDEX('AH History'!$B$1:$B$18046,AH!$P$7+1153))),NA()),NA())</ns0:f>
        <ns0:v/>
      </ns0:c>
      <ns0:c r="D1158">
        <ns0:f>IFERROR(IF(ISNUMBER($A1158),IF(AND(AH!$P$10=1,AH!$P$12=1,$A1158=TODAY()),AH!$P$18,IF(AH!$P$10=1,INDEX('Live History'!$E$5:$E$3004,MATCH($A1158,'Live History'!$D$5:$D$3004,1)),INDEX('AH History'!$C$1:$C$18046,AH!$P$7+1153))),NA()),NA())</ns0:f>
        <ns0:v/>
      </ns0:c>
      <ns0:c r="E1158">
        <ns0:f>IFERROR(IF(ISNUMBER($A1158),IF(AND(AH!$P$10=1,AH!$P$12=1,$A1158=TODAY()),AH!$P$20,IF(AH!$P$10=1,INDEX('Live History'!$H$5:$H$3004,MATCH($A1158,'Live History'!$G$5:$G$3004,1)),INDEX('AH History'!$D$1:$D$18046,AH!$P$7+1153))),NA()),NA())</ns0:f>
        <ns0:v/>
      </ns0:c>
      <ns0:c r="F1158">
        <ns0:f>IFERROR(IF(ISNUMBER($A1158),IF(AND(AH!$P$10=1,AH!$P$12=1,$A1158=TODAY()),IF(AND(AH!$P$10=1,AH!$P$12=1,$A1158=TODAY()),TODAY(),NA()),IF(AH!$P$10=1,INDEX('Live History'!$D$5:$D$3004,MATCH($A1158,'Live History'!$D$5:$D$3004,1)),INDEX('AH History'!$E$1:$E$18046,AH!$P$7+1153))),NA()),NA())</ns0:f>
        <ns0:v/>
      </ns0:c>
      <ns0:c r="G1158">
        <ns0:f>IFERROR(IF(ISNUMBER($A1158),IF(AND(AH!$P$10=1,AH!$P$12=1,$A1158=TODAY()),IF(AND(AH!$P$10=1,AH!$P$12=1,$A1158=TODAY()),TODAY(),NA()),IF(AH!$P$10=1,INDEX('Live History'!$G$5:$G$3004,MATCH($A1158,'Live History'!$G$5:$G$3004,1)),INDEX('AH History'!$F$1:$F$18046,AH!$P$7+1153))),NA()),NA())</ns0:f>
        <ns0:v/>
      </ns0:c>
      <ns0:c r="H1158">
        <ns0:f>IFERROR(IF(AND(AH!$E$4="Bloomberg",AH!$P$10=1,ISNUMBER($A1158),$A1158&lt;=AH!$P$17),AH!$P$7-1+MATCH($A1158,INDEX('AH History'!$A$1:$A$18046,AH!$P$7):INDEX('AH History'!$A$1:$A$18046,AH!$P$7+AH!$P$8-1),0),0),0)</ns0:f>
        <ns0:v/>
      </ns0:c>
      <ns0:c r="I1158">
        <ns0:f>IF($H1158=0,0,IFERROR(IF(AND(ABS($C1158-INDEX('AH History'!$B$1:$B$18046,$H1158))&lt;=MAX(0.005,ABS(INDEX('AH History'!$B$1:$B$18046,$H1158))*0.00005),ABS($D1158-INDEX('AH History'!$C$1:$C$18046,$H1158))&lt;=MAX(0.005,ABS(INDEX('AH History'!$C$1:$C$18046,$H1158))*0.00005),ABS($E1158-INDEX('AH History'!$D$1:$D$18046,$H1158))&lt;=0.00005,$F1158=INDEX('AH History'!$E$1:$E$18046,$H1158),$G1158=INDEX('AH History'!$F$1:$F$18046,$H1158)),1,-1),-1))</ns0:f>
        <ns0:v/>
      </ns0:c>
    </ns0:row>
    <ns0:row r="1159">
      <ns0:c r="A1159" s="215">
        <ns0:f>IF(OR(AH!$P$3=0,1154+1&gt;AH!$P$11,AND(AH!$E$4&lt;&gt;"Stored",AH!$P$10&lt;&gt;1)),"",IFERROR(IF(AND(AH!$P$21=1,1154+1=AH!$P$11),TODAY(),IF(AH!$P$10=1,INDEX('Live History'!$A$5:$A$3004,AH!$P$13+1154),INDEX('AH History'!$A$1:$A$18046,AH!$P$7+1154))),""))</ns0:f>
        <ns0:v/>
      </ns0:c>
      <ns0:c r="B1159" s="219">
        <ns0:f>IFERROR(IF(AND(AH!$P$9&lt;&gt;1,$C1159&gt;0,$D1159&gt;0,$E1159&gt;0,$F1159&gt;0,$G1159&gt;0,$F1159&lt;=$A1159,$G1159&lt;=$A1159,$A1159-$F1159&lt;=10,$A1159-$G1159&lt;=5),$D1159*$E1159/$C1159-1,NA()),NA())</ns0:f>
        <ns0:v/>
      </ns0:c>
      <ns0:c r="C1159">
        <ns0:f>IFERROR(IF(ISNUMBER($A1159),IF(AND(AH!$P$10=1,AH!$P$12=1,$A1159=TODAY()),AH!$P$19,IF(AH!$P$10=1,INDEX('Live History'!$B$5:$B$3004,AH!$P$13+1154),INDEX('AH History'!$B$1:$B$18046,AH!$P$7+1154))),NA()),NA())</ns0:f>
        <ns0:v/>
      </ns0:c>
      <ns0:c r="D1159">
        <ns0:f>IFERROR(IF(ISNUMBER($A1159),IF(AND(AH!$P$10=1,AH!$P$12=1,$A1159=TODAY()),AH!$P$18,IF(AH!$P$10=1,INDEX('Live History'!$E$5:$E$3004,MATCH($A1159,'Live History'!$D$5:$D$3004,1)),INDEX('AH History'!$C$1:$C$18046,AH!$P$7+1154))),NA()),NA())</ns0:f>
        <ns0:v/>
      </ns0:c>
      <ns0:c r="E1159">
        <ns0:f>IFERROR(IF(ISNUMBER($A1159),IF(AND(AH!$P$10=1,AH!$P$12=1,$A1159=TODAY()),AH!$P$20,IF(AH!$P$10=1,INDEX('Live History'!$H$5:$H$3004,MATCH($A1159,'Live History'!$G$5:$G$3004,1)),INDEX('AH History'!$D$1:$D$18046,AH!$P$7+1154))),NA()),NA())</ns0:f>
        <ns0:v/>
      </ns0:c>
      <ns0:c r="F1159">
        <ns0:f>IFERROR(IF(ISNUMBER($A1159),IF(AND(AH!$P$10=1,AH!$P$12=1,$A1159=TODAY()),IF(AND(AH!$P$10=1,AH!$P$12=1,$A1159=TODAY()),TODAY(),NA()),IF(AH!$P$10=1,INDEX('Live History'!$D$5:$D$3004,MATCH($A1159,'Live History'!$D$5:$D$3004,1)),INDEX('AH History'!$E$1:$E$18046,AH!$P$7+1154))),NA()),NA())</ns0:f>
        <ns0:v/>
      </ns0:c>
      <ns0:c r="G1159">
        <ns0:f>IFERROR(IF(ISNUMBER($A1159),IF(AND(AH!$P$10=1,AH!$P$12=1,$A1159=TODAY()),IF(AND(AH!$P$10=1,AH!$P$12=1,$A1159=TODAY()),TODAY(),NA()),IF(AH!$P$10=1,INDEX('Live History'!$G$5:$G$3004,MATCH($A1159,'Live History'!$G$5:$G$3004,1)),INDEX('AH History'!$F$1:$F$18046,AH!$P$7+1154))),NA()),NA())</ns0:f>
        <ns0:v/>
      </ns0:c>
      <ns0:c r="H1159">
        <ns0:f>IFERROR(IF(AND(AH!$E$4="Bloomberg",AH!$P$10=1,ISNUMBER($A1159),$A1159&lt;=AH!$P$17),AH!$P$7-1+MATCH($A1159,INDEX('AH History'!$A$1:$A$18046,AH!$P$7):INDEX('AH History'!$A$1:$A$18046,AH!$P$7+AH!$P$8-1),0),0),0)</ns0:f>
        <ns0:v/>
      </ns0:c>
      <ns0:c r="I1159">
        <ns0:f>IF($H1159=0,0,IFERROR(IF(AND(ABS($C1159-INDEX('AH History'!$B$1:$B$18046,$H1159))&lt;=MAX(0.005,ABS(INDEX('AH History'!$B$1:$B$18046,$H1159))*0.00005),ABS($D1159-INDEX('AH History'!$C$1:$C$18046,$H1159))&lt;=MAX(0.005,ABS(INDEX('AH History'!$C$1:$C$18046,$H1159))*0.00005),ABS($E1159-INDEX('AH History'!$D$1:$D$18046,$H1159))&lt;=0.00005,$F1159=INDEX('AH History'!$E$1:$E$18046,$H1159),$G1159=INDEX('AH History'!$F$1:$F$18046,$H1159)),1,-1),-1))</ns0:f>
        <ns0:v/>
      </ns0:c>
    </ns0:row>
    <ns0:row r="1160">
      <ns0:c r="A1160" s="215">
        <ns0:f>IF(OR(AH!$P$3=0,1155+1&gt;AH!$P$11,AND(AH!$E$4&lt;&gt;"Stored",AH!$P$10&lt;&gt;1)),"",IFERROR(IF(AND(AH!$P$21=1,1155+1=AH!$P$11),TODAY(),IF(AH!$P$10=1,INDEX('Live History'!$A$5:$A$3004,AH!$P$13+1155),INDEX('AH History'!$A$1:$A$18046,AH!$P$7+1155))),""))</ns0:f>
        <ns0:v/>
      </ns0:c>
      <ns0:c r="B1160" s="219">
        <ns0:f>IFERROR(IF(AND(AH!$P$9&lt;&gt;1,$C1160&gt;0,$D1160&gt;0,$E1160&gt;0,$F1160&gt;0,$G1160&gt;0,$F1160&lt;=$A1160,$G1160&lt;=$A1160,$A1160-$F1160&lt;=10,$A1160-$G1160&lt;=5),$D1160*$E1160/$C1160-1,NA()),NA())</ns0:f>
        <ns0:v/>
      </ns0:c>
      <ns0:c r="C1160">
        <ns0:f>IFERROR(IF(ISNUMBER($A1160),IF(AND(AH!$P$10=1,AH!$P$12=1,$A1160=TODAY()),AH!$P$19,IF(AH!$P$10=1,INDEX('Live History'!$B$5:$B$3004,AH!$P$13+1155),INDEX('AH History'!$B$1:$B$18046,AH!$P$7+1155))),NA()),NA())</ns0:f>
        <ns0:v/>
      </ns0:c>
      <ns0:c r="D1160">
        <ns0:f>IFERROR(IF(ISNUMBER($A1160),IF(AND(AH!$P$10=1,AH!$P$12=1,$A1160=TODAY()),AH!$P$18,IF(AH!$P$10=1,INDEX('Live History'!$E$5:$E$3004,MATCH($A1160,'Live History'!$D$5:$D$3004,1)),INDEX('AH History'!$C$1:$C$18046,AH!$P$7+1155))),NA()),NA())</ns0:f>
        <ns0:v/>
      </ns0:c>
      <ns0:c r="E1160">
        <ns0:f>IFERROR(IF(ISNUMBER($A1160),IF(AND(AH!$P$10=1,AH!$P$12=1,$A1160=TODAY()),AH!$P$20,IF(AH!$P$10=1,INDEX('Live History'!$H$5:$H$3004,MATCH($A1160,'Live History'!$G$5:$G$3004,1)),INDEX('AH History'!$D$1:$D$18046,AH!$P$7+1155))),NA()),NA())</ns0:f>
        <ns0:v/>
      </ns0:c>
      <ns0:c r="F1160">
        <ns0:f>IFERROR(IF(ISNUMBER($A1160),IF(AND(AH!$P$10=1,AH!$P$12=1,$A1160=TODAY()),IF(AND(AH!$P$10=1,AH!$P$12=1,$A1160=TODAY()),TODAY(),NA()),IF(AH!$P$10=1,INDEX('Live History'!$D$5:$D$3004,MATCH($A1160,'Live History'!$D$5:$D$3004,1)),INDEX('AH History'!$E$1:$E$18046,AH!$P$7+1155))),NA()),NA())</ns0:f>
        <ns0:v/>
      </ns0:c>
      <ns0:c r="G1160">
        <ns0:f>IFERROR(IF(ISNUMBER($A1160),IF(AND(AH!$P$10=1,AH!$P$12=1,$A1160=TODAY()),IF(AND(AH!$P$10=1,AH!$P$12=1,$A1160=TODAY()),TODAY(),NA()),IF(AH!$P$10=1,INDEX('Live History'!$G$5:$G$3004,MATCH($A1160,'Live History'!$G$5:$G$3004,1)),INDEX('AH History'!$F$1:$F$18046,AH!$P$7+1155))),NA()),NA())</ns0:f>
        <ns0:v/>
      </ns0:c>
      <ns0:c r="H1160">
        <ns0:f>IFERROR(IF(AND(AH!$E$4="Bloomberg",AH!$P$10=1,ISNUMBER($A1160),$A1160&lt;=AH!$P$17),AH!$P$7-1+MATCH($A1160,INDEX('AH History'!$A$1:$A$18046,AH!$P$7):INDEX('AH History'!$A$1:$A$18046,AH!$P$7+AH!$P$8-1),0),0),0)</ns0:f>
        <ns0:v/>
      </ns0:c>
      <ns0:c r="I1160">
        <ns0:f>IF($H1160=0,0,IFERROR(IF(AND(ABS($C1160-INDEX('AH History'!$B$1:$B$18046,$H1160))&lt;=MAX(0.005,ABS(INDEX('AH History'!$B$1:$B$18046,$H1160))*0.00005),ABS($D1160-INDEX('AH History'!$C$1:$C$18046,$H1160))&lt;=MAX(0.005,ABS(INDEX('AH History'!$C$1:$C$18046,$H1160))*0.00005),ABS($E1160-INDEX('AH History'!$D$1:$D$18046,$H1160))&lt;=0.00005,$F1160=INDEX('AH History'!$E$1:$E$18046,$H1160),$G1160=INDEX('AH History'!$F$1:$F$18046,$H1160)),1,-1),-1))</ns0:f>
        <ns0:v/>
      </ns0:c>
    </ns0:row>
    <ns0:row r="1161">
      <ns0:c r="A1161" s="215">
        <ns0:f>IF(OR(AH!$P$3=0,1156+1&gt;AH!$P$11,AND(AH!$E$4&lt;&gt;"Stored",AH!$P$10&lt;&gt;1)),"",IFERROR(IF(AND(AH!$P$21=1,1156+1=AH!$P$11),TODAY(),IF(AH!$P$10=1,INDEX('Live History'!$A$5:$A$3004,AH!$P$13+1156),INDEX('AH History'!$A$1:$A$18046,AH!$P$7+1156))),""))</ns0:f>
        <ns0:v/>
      </ns0:c>
      <ns0:c r="B1161" s="219">
        <ns0:f>IFERROR(IF(AND(AH!$P$9&lt;&gt;1,$C1161&gt;0,$D1161&gt;0,$E1161&gt;0,$F1161&gt;0,$G1161&gt;0,$F1161&lt;=$A1161,$G1161&lt;=$A1161,$A1161-$F1161&lt;=10,$A1161-$G1161&lt;=5),$D1161*$E1161/$C1161-1,NA()),NA())</ns0:f>
        <ns0:v/>
      </ns0:c>
      <ns0:c r="C1161">
        <ns0:f>IFERROR(IF(ISNUMBER($A1161),IF(AND(AH!$P$10=1,AH!$P$12=1,$A1161=TODAY()),AH!$P$19,IF(AH!$P$10=1,INDEX('Live History'!$B$5:$B$3004,AH!$P$13+1156),INDEX('AH History'!$B$1:$B$18046,AH!$P$7+1156))),NA()),NA())</ns0:f>
        <ns0:v/>
      </ns0:c>
      <ns0:c r="D1161">
        <ns0:f>IFERROR(IF(ISNUMBER($A1161),IF(AND(AH!$P$10=1,AH!$P$12=1,$A1161=TODAY()),AH!$P$18,IF(AH!$P$10=1,INDEX('Live History'!$E$5:$E$3004,MATCH($A1161,'Live History'!$D$5:$D$3004,1)),INDEX('AH History'!$C$1:$C$18046,AH!$P$7+1156))),NA()),NA())</ns0:f>
        <ns0:v/>
      </ns0:c>
      <ns0:c r="E1161">
        <ns0:f>IFERROR(IF(ISNUMBER($A1161),IF(AND(AH!$P$10=1,AH!$P$12=1,$A1161=TODAY()),AH!$P$20,IF(AH!$P$10=1,INDEX('Live History'!$H$5:$H$3004,MATCH($A1161,'Live History'!$G$5:$G$3004,1)),INDEX('AH History'!$D$1:$D$18046,AH!$P$7+1156))),NA()),NA())</ns0:f>
        <ns0:v/>
      </ns0:c>
      <ns0:c r="F1161">
        <ns0:f>IFERROR(IF(ISNUMBER($A1161),IF(AND(AH!$P$10=1,AH!$P$12=1,$A1161=TODAY()),IF(AND(AH!$P$10=1,AH!$P$12=1,$A1161=TODAY()),TODAY(),NA()),IF(AH!$P$10=1,INDEX('Live History'!$D$5:$D$3004,MATCH($A1161,'Live History'!$D$5:$D$3004,1)),INDEX('AH History'!$E$1:$E$18046,AH!$P$7+1156))),NA()),NA())</ns0:f>
        <ns0:v/>
      </ns0:c>
      <ns0:c r="G1161">
        <ns0:f>IFERROR(IF(ISNUMBER($A1161),IF(AND(AH!$P$10=1,AH!$P$12=1,$A1161=TODAY()),IF(AND(AH!$P$10=1,AH!$P$12=1,$A1161=TODAY()),TODAY(),NA()),IF(AH!$P$10=1,INDEX('Live History'!$G$5:$G$3004,MATCH($A1161,'Live History'!$G$5:$G$3004,1)),INDEX('AH History'!$F$1:$F$18046,AH!$P$7+1156))),NA()),NA())</ns0:f>
        <ns0:v/>
      </ns0:c>
      <ns0:c r="H1161">
        <ns0:f>IFERROR(IF(AND(AH!$E$4="Bloomberg",AH!$P$10=1,ISNUMBER($A1161),$A1161&lt;=AH!$P$17),AH!$P$7-1+MATCH($A1161,INDEX('AH History'!$A$1:$A$18046,AH!$P$7):INDEX('AH History'!$A$1:$A$18046,AH!$P$7+AH!$P$8-1),0),0),0)</ns0:f>
        <ns0:v/>
      </ns0:c>
      <ns0:c r="I1161">
        <ns0:f>IF($H1161=0,0,IFERROR(IF(AND(ABS($C1161-INDEX('AH History'!$B$1:$B$18046,$H1161))&lt;=MAX(0.005,ABS(INDEX('AH History'!$B$1:$B$18046,$H1161))*0.00005),ABS($D1161-INDEX('AH History'!$C$1:$C$18046,$H1161))&lt;=MAX(0.005,ABS(INDEX('AH History'!$C$1:$C$18046,$H1161))*0.00005),ABS($E1161-INDEX('AH History'!$D$1:$D$18046,$H1161))&lt;=0.00005,$F1161=INDEX('AH History'!$E$1:$E$18046,$H1161),$G1161=INDEX('AH History'!$F$1:$F$18046,$H1161)),1,-1),-1))</ns0:f>
        <ns0:v/>
      </ns0:c>
    </ns0:row>
    <ns0:row r="1162">
      <ns0:c r="A1162" s="215">
        <ns0:f>IF(OR(AH!$P$3=0,1157+1&gt;AH!$P$11,AND(AH!$E$4&lt;&gt;"Stored",AH!$P$10&lt;&gt;1)),"",IFERROR(IF(AND(AH!$P$21=1,1157+1=AH!$P$11),TODAY(),IF(AH!$P$10=1,INDEX('Live History'!$A$5:$A$3004,AH!$P$13+1157),INDEX('AH History'!$A$1:$A$18046,AH!$P$7+1157))),""))</ns0:f>
        <ns0:v/>
      </ns0:c>
      <ns0:c r="B1162" s="219">
        <ns0:f>IFERROR(IF(AND(AH!$P$9&lt;&gt;1,$C1162&gt;0,$D1162&gt;0,$E1162&gt;0,$F1162&gt;0,$G1162&gt;0,$F1162&lt;=$A1162,$G1162&lt;=$A1162,$A1162-$F1162&lt;=10,$A1162-$G1162&lt;=5),$D1162*$E1162/$C1162-1,NA()),NA())</ns0:f>
        <ns0:v/>
      </ns0:c>
      <ns0:c r="C1162">
        <ns0:f>IFERROR(IF(ISNUMBER($A1162),IF(AND(AH!$P$10=1,AH!$P$12=1,$A1162=TODAY()),AH!$P$19,IF(AH!$P$10=1,INDEX('Live History'!$B$5:$B$3004,AH!$P$13+1157),INDEX('AH History'!$B$1:$B$18046,AH!$P$7+1157))),NA()),NA())</ns0:f>
        <ns0:v/>
      </ns0:c>
      <ns0:c r="D1162">
        <ns0:f>IFERROR(IF(ISNUMBER($A1162),IF(AND(AH!$P$10=1,AH!$P$12=1,$A1162=TODAY()),AH!$P$18,IF(AH!$P$10=1,INDEX('Live History'!$E$5:$E$3004,MATCH($A1162,'Live History'!$D$5:$D$3004,1)),INDEX('AH History'!$C$1:$C$18046,AH!$P$7+1157))),NA()),NA())</ns0:f>
        <ns0:v/>
      </ns0:c>
      <ns0:c r="E1162">
        <ns0:f>IFERROR(IF(ISNUMBER($A1162),IF(AND(AH!$P$10=1,AH!$P$12=1,$A1162=TODAY()),AH!$P$20,IF(AH!$P$10=1,INDEX('Live History'!$H$5:$H$3004,MATCH($A1162,'Live History'!$G$5:$G$3004,1)),INDEX('AH History'!$D$1:$D$18046,AH!$P$7+1157))),NA()),NA())</ns0:f>
        <ns0:v/>
      </ns0:c>
      <ns0:c r="F1162">
        <ns0:f>IFERROR(IF(ISNUMBER($A1162),IF(AND(AH!$P$10=1,AH!$P$12=1,$A1162=TODAY()),IF(AND(AH!$P$10=1,AH!$P$12=1,$A1162=TODAY()),TODAY(),NA()),IF(AH!$P$10=1,INDEX('Live History'!$D$5:$D$3004,MATCH($A1162,'Live History'!$D$5:$D$3004,1)),INDEX('AH History'!$E$1:$E$18046,AH!$P$7+1157))),NA()),NA())</ns0:f>
        <ns0:v/>
      </ns0:c>
      <ns0:c r="G1162">
        <ns0:f>IFERROR(IF(ISNUMBER($A1162),IF(AND(AH!$P$10=1,AH!$P$12=1,$A1162=TODAY()),IF(AND(AH!$P$10=1,AH!$P$12=1,$A1162=TODAY()),TODAY(),NA()),IF(AH!$P$10=1,INDEX('Live History'!$G$5:$G$3004,MATCH($A1162,'Live History'!$G$5:$G$3004,1)),INDEX('AH History'!$F$1:$F$18046,AH!$P$7+1157))),NA()),NA())</ns0:f>
        <ns0:v/>
      </ns0:c>
      <ns0:c r="H1162">
        <ns0:f>IFERROR(IF(AND(AH!$E$4="Bloomberg",AH!$P$10=1,ISNUMBER($A1162),$A1162&lt;=AH!$P$17),AH!$P$7-1+MATCH($A1162,INDEX('AH History'!$A$1:$A$18046,AH!$P$7):INDEX('AH History'!$A$1:$A$18046,AH!$P$7+AH!$P$8-1),0),0),0)</ns0:f>
        <ns0:v/>
      </ns0:c>
      <ns0:c r="I1162">
        <ns0:f>IF($H1162=0,0,IFERROR(IF(AND(ABS($C1162-INDEX('AH History'!$B$1:$B$18046,$H1162))&lt;=MAX(0.005,ABS(INDEX('AH History'!$B$1:$B$18046,$H1162))*0.00005),ABS($D1162-INDEX('AH History'!$C$1:$C$18046,$H1162))&lt;=MAX(0.005,ABS(INDEX('AH History'!$C$1:$C$18046,$H1162))*0.00005),ABS($E1162-INDEX('AH History'!$D$1:$D$18046,$H1162))&lt;=0.00005,$F1162=INDEX('AH History'!$E$1:$E$18046,$H1162),$G1162=INDEX('AH History'!$F$1:$F$18046,$H1162)),1,-1),-1))</ns0:f>
        <ns0:v/>
      </ns0:c>
    </ns0:row>
    <ns0:row r="1163">
      <ns0:c r="A1163" s="215">
        <ns0:f>IF(OR(AH!$P$3=0,1158+1&gt;AH!$P$11,AND(AH!$E$4&lt;&gt;"Stored",AH!$P$10&lt;&gt;1)),"",IFERROR(IF(AND(AH!$P$21=1,1158+1=AH!$P$11),TODAY(),IF(AH!$P$10=1,INDEX('Live History'!$A$5:$A$3004,AH!$P$13+1158),INDEX('AH History'!$A$1:$A$18046,AH!$P$7+1158))),""))</ns0:f>
        <ns0:v/>
      </ns0:c>
      <ns0:c r="B1163" s="219">
        <ns0:f>IFERROR(IF(AND(AH!$P$9&lt;&gt;1,$C1163&gt;0,$D1163&gt;0,$E1163&gt;0,$F1163&gt;0,$G1163&gt;0,$F1163&lt;=$A1163,$G1163&lt;=$A1163,$A1163-$F1163&lt;=10,$A1163-$G1163&lt;=5),$D1163*$E1163/$C1163-1,NA()),NA())</ns0:f>
        <ns0:v/>
      </ns0:c>
      <ns0:c r="C1163">
        <ns0:f>IFERROR(IF(ISNUMBER($A1163),IF(AND(AH!$P$10=1,AH!$P$12=1,$A1163=TODAY()),AH!$P$19,IF(AH!$P$10=1,INDEX('Live History'!$B$5:$B$3004,AH!$P$13+1158),INDEX('AH History'!$B$1:$B$18046,AH!$P$7+1158))),NA()),NA())</ns0:f>
        <ns0:v/>
      </ns0:c>
      <ns0:c r="D1163">
        <ns0:f>IFERROR(IF(ISNUMBER($A1163),IF(AND(AH!$P$10=1,AH!$P$12=1,$A1163=TODAY()),AH!$P$18,IF(AH!$P$10=1,INDEX('Live History'!$E$5:$E$3004,MATCH($A1163,'Live History'!$D$5:$D$3004,1)),INDEX('AH History'!$C$1:$C$18046,AH!$P$7+1158))),NA()),NA())</ns0:f>
        <ns0:v/>
      </ns0:c>
      <ns0:c r="E1163">
        <ns0:f>IFERROR(IF(ISNUMBER($A1163),IF(AND(AH!$P$10=1,AH!$P$12=1,$A1163=TODAY()),AH!$P$20,IF(AH!$P$10=1,INDEX('Live History'!$H$5:$H$3004,MATCH($A1163,'Live History'!$G$5:$G$3004,1)),INDEX('AH History'!$D$1:$D$18046,AH!$P$7+1158))),NA()),NA())</ns0:f>
        <ns0:v/>
      </ns0:c>
      <ns0:c r="F1163">
        <ns0:f>IFERROR(IF(ISNUMBER($A1163),IF(AND(AH!$P$10=1,AH!$P$12=1,$A1163=TODAY()),IF(AND(AH!$P$10=1,AH!$P$12=1,$A1163=TODAY()),TODAY(),NA()),IF(AH!$P$10=1,INDEX('Live History'!$D$5:$D$3004,MATCH($A1163,'Live History'!$D$5:$D$3004,1)),INDEX('AH History'!$E$1:$E$18046,AH!$P$7+1158))),NA()),NA())</ns0:f>
        <ns0:v/>
      </ns0:c>
      <ns0:c r="G1163">
        <ns0:f>IFERROR(IF(ISNUMBER($A1163),IF(AND(AH!$P$10=1,AH!$P$12=1,$A1163=TODAY()),IF(AND(AH!$P$10=1,AH!$P$12=1,$A1163=TODAY()),TODAY(),NA()),IF(AH!$P$10=1,INDEX('Live History'!$G$5:$G$3004,MATCH($A1163,'Live History'!$G$5:$G$3004,1)),INDEX('AH History'!$F$1:$F$18046,AH!$P$7+1158))),NA()),NA())</ns0:f>
        <ns0:v/>
      </ns0:c>
      <ns0:c r="H1163">
        <ns0:f>IFERROR(IF(AND(AH!$E$4="Bloomberg",AH!$P$10=1,ISNUMBER($A1163),$A1163&lt;=AH!$P$17),AH!$P$7-1+MATCH($A1163,INDEX('AH History'!$A$1:$A$18046,AH!$P$7):INDEX('AH History'!$A$1:$A$18046,AH!$P$7+AH!$P$8-1),0),0),0)</ns0:f>
        <ns0:v/>
      </ns0:c>
      <ns0:c r="I1163">
        <ns0:f>IF($H1163=0,0,IFERROR(IF(AND(ABS($C1163-INDEX('AH History'!$B$1:$B$18046,$H1163))&lt;=MAX(0.005,ABS(INDEX('AH History'!$B$1:$B$18046,$H1163))*0.00005),ABS($D1163-INDEX('AH History'!$C$1:$C$18046,$H1163))&lt;=MAX(0.005,ABS(INDEX('AH History'!$C$1:$C$18046,$H1163))*0.00005),ABS($E1163-INDEX('AH History'!$D$1:$D$18046,$H1163))&lt;=0.00005,$F1163=INDEX('AH History'!$E$1:$E$18046,$H1163),$G1163=INDEX('AH History'!$F$1:$F$18046,$H1163)),1,-1),-1))</ns0:f>
        <ns0:v/>
      </ns0:c>
    </ns0:row>
    <ns0:row r="1164">
      <ns0:c r="A1164" s="215">
        <ns0:f>IF(OR(AH!$P$3=0,1159+1&gt;AH!$P$11,AND(AH!$E$4&lt;&gt;"Stored",AH!$P$10&lt;&gt;1)),"",IFERROR(IF(AND(AH!$P$21=1,1159+1=AH!$P$11),TODAY(),IF(AH!$P$10=1,INDEX('Live History'!$A$5:$A$3004,AH!$P$13+1159),INDEX('AH History'!$A$1:$A$18046,AH!$P$7+1159))),""))</ns0:f>
        <ns0:v/>
      </ns0:c>
      <ns0:c r="B1164" s="219">
        <ns0:f>IFERROR(IF(AND(AH!$P$9&lt;&gt;1,$C1164&gt;0,$D1164&gt;0,$E1164&gt;0,$F1164&gt;0,$G1164&gt;0,$F1164&lt;=$A1164,$G1164&lt;=$A1164,$A1164-$F1164&lt;=10,$A1164-$G1164&lt;=5),$D1164*$E1164/$C1164-1,NA()),NA())</ns0:f>
        <ns0:v/>
      </ns0:c>
      <ns0:c r="C1164">
        <ns0:f>IFERROR(IF(ISNUMBER($A1164),IF(AND(AH!$P$10=1,AH!$P$12=1,$A1164=TODAY()),AH!$P$19,IF(AH!$P$10=1,INDEX('Live History'!$B$5:$B$3004,AH!$P$13+1159),INDEX('AH History'!$B$1:$B$18046,AH!$P$7+1159))),NA()),NA())</ns0:f>
        <ns0:v/>
      </ns0:c>
      <ns0:c r="D1164">
        <ns0:f>IFERROR(IF(ISNUMBER($A1164),IF(AND(AH!$P$10=1,AH!$P$12=1,$A1164=TODAY()),AH!$P$18,IF(AH!$P$10=1,INDEX('Live History'!$E$5:$E$3004,MATCH($A1164,'Live History'!$D$5:$D$3004,1)),INDEX('AH History'!$C$1:$C$18046,AH!$P$7+1159))),NA()),NA())</ns0:f>
        <ns0:v/>
      </ns0:c>
      <ns0:c r="E1164">
        <ns0:f>IFERROR(IF(ISNUMBER($A1164),IF(AND(AH!$P$10=1,AH!$P$12=1,$A1164=TODAY()),AH!$P$20,IF(AH!$P$10=1,INDEX('Live History'!$H$5:$H$3004,MATCH($A1164,'Live History'!$G$5:$G$3004,1)),INDEX('AH History'!$D$1:$D$18046,AH!$P$7+1159))),NA()),NA())</ns0:f>
        <ns0:v/>
      </ns0:c>
      <ns0:c r="F1164">
        <ns0:f>IFERROR(IF(ISNUMBER($A1164),IF(AND(AH!$P$10=1,AH!$P$12=1,$A1164=TODAY()),IF(AND(AH!$P$10=1,AH!$P$12=1,$A1164=TODAY()),TODAY(),NA()),IF(AH!$P$10=1,INDEX('Live History'!$D$5:$D$3004,MATCH($A1164,'Live History'!$D$5:$D$3004,1)),INDEX('AH History'!$E$1:$E$18046,AH!$P$7+1159))),NA()),NA())</ns0:f>
        <ns0:v/>
      </ns0:c>
      <ns0:c r="G1164">
        <ns0:f>IFERROR(IF(ISNUMBER($A1164),IF(AND(AH!$P$10=1,AH!$P$12=1,$A1164=TODAY()),IF(AND(AH!$P$10=1,AH!$P$12=1,$A1164=TODAY()),TODAY(),NA()),IF(AH!$P$10=1,INDEX('Live History'!$G$5:$G$3004,MATCH($A1164,'Live History'!$G$5:$G$3004,1)),INDEX('AH History'!$F$1:$F$18046,AH!$P$7+1159))),NA()),NA())</ns0:f>
        <ns0:v/>
      </ns0:c>
      <ns0:c r="H1164">
        <ns0:f>IFERROR(IF(AND(AH!$E$4="Bloomberg",AH!$P$10=1,ISNUMBER($A1164),$A1164&lt;=AH!$P$17),AH!$P$7-1+MATCH($A1164,INDEX('AH History'!$A$1:$A$18046,AH!$P$7):INDEX('AH History'!$A$1:$A$18046,AH!$P$7+AH!$P$8-1),0),0),0)</ns0:f>
        <ns0:v/>
      </ns0:c>
      <ns0:c r="I1164">
        <ns0:f>IF($H1164=0,0,IFERROR(IF(AND(ABS($C1164-INDEX('AH History'!$B$1:$B$18046,$H1164))&lt;=MAX(0.005,ABS(INDEX('AH History'!$B$1:$B$18046,$H1164))*0.00005),ABS($D1164-INDEX('AH History'!$C$1:$C$18046,$H1164))&lt;=MAX(0.005,ABS(INDEX('AH History'!$C$1:$C$18046,$H1164))*0.00005),ABS($E1164-INDEX('AH History'!$D$1:$D$18046,$H1164))&lt;=0.00005,$F1164=INDEX('AH History'!$E$1:$E$18046,$H1164),$G1164=INDEX('AH History'!$F$1:$F$18046,$H1164)),1,-1),-1))</ns0:f>
        <ns0:v/>
      </ns0:c>
    </ns0:row>
    <ns0:row r="1165">
      <ns0:c r="A1165" s="215">
        <ns0:f>IF(OR(AH!$P$3=0,1160+1&gt;AH!$P$11,AND(AH!$E$4&lt;&gt;"Stored",AH!$P$10&lt;&gt;1)),"",IFERROR(IF(AND(AH!$P$21=1,1160+1=AH!$P$11),TODAY(),IF(AH!$P$10=1,INDEX('Live History'!$A$5:$A$3004,AH!$P$13+1160),INDEX('AH History'!$A$1:$A$18046,AH!$P$7+1160))),""))</ns0:f>
        <ns0:v/>
      </ns0:c>
      <ns0:c r="B1165" s="219">
        <ns0:f>IFERROR(IF(AND(AH!$P$9&lt;&gt;1,$C1165&gt;0,$D1165&gt;0,$E1165&gt;0,$F1165&gt;0,$G1165&gt;0,$F1165&lt;=$A1165,$G1165&lt;=$A1165,$A1165-$F1165&lt;=10,$A1165-$G1165&lt;=5),$D1165*$E1165/$C1165-1,NA()),NA())</ns0:f>
        <ns0:v/>
      </ns0:c>
      <ns0:c r="C1165">
        <ns0:f>IFERROR(IF(ISNUMBER($A1165),IF(AND(AH!$P$10=1,AH!$P$12=1,$A1165=TODAY()),AH!$P$19,IF(AH!$P$10=1,INDEX('Live History'!$B$5:$B$3004,AH!$P$13+1160),INDEX('AH History'!$B$1:$B$18046,AH!$P$7+1160))),NA()),NA())</ns0:f>
        <ns0:v/>
      </ns0:c>
      <ns0:c r="D1165">
        <ns0:f>IFERROR(IF(ISNUMBER($A1165),IF(AND(AH!$P$10=1,AH!$P$12=1,$A1165=TODAY()),AH!$P$18,IF(AH!$P$10=1,INDEX('Live History'!$E$5:$E$3004,MATCH($A1165,'Live History'!$D$5:$D$3004,1)),INDEX('AH History'!$C$1:$C$18046,AH!$P$7+1160))),NA()),NA())</ns0:f>
        <ns0:v/>
      </ns0:c>
      <ns0:c r="E1165">
        <ns0:f>IFERROR(IF(ISNUMBER($A1165),IF(AND(AH!$P$10=1,AH!$P$12=1,$A1165=TODAY()),AH!$P$20,IF(AH!$P$10=1,INDEX('Live History'!$H$5:$H$3004,MATCH($A1165,'Live History'!$G$5:$G$3004,1)),INDEX('AH History'!$D$1:$D$18046,AH!$P$7+1160))),NA()),NA())</ns0:f>
        <ns0:v/>
      </ns0:c>
      <ns0:c r="F1165">
        <ns0:f>IFERROR(IF(ISNUMBER($A1165),IF(AND(AH!$P$10=1,AH!$P$12=1,$A1165=TODAY()),IF(AND(AH!$P$10=1,AH!$P$12=1,$A1165=TODAY()),TODAY(),NA()),IF(AH!$P$10=1,INDEX('Live History'!$D$5:$D$3004,MATCH($A1165,'Live History'!$D$5:$D$3004,1)),INDEX('AH History'!$E$1:$E$18046,AH!$P$7+1160))),NA()),NA())</ns0:f>
        <ns0:v/>
      </ns0:c>
      <ns0:c r="G1165">
        <ns0:f>IFERROR(IF(ISNUMBER($A1165),IF(AND(AH!$P$10=1,AH!$P$12=1,$A1165=TODAY()),IF(AND(AH!$P$10=1,AH!$P$12=1,$A1165=TODAY()),TODAY(),NA()),IF(AH!$P$10=1,INDEX('Live History'!$G$5:$G$3004,MATCH($A1165,'Live History'!$G$5:$G$3004,1)),INDEX('AH History'!$F$1:$F$18046,AH!$P$7+1160))),NA()),NA())</ns0:f>
        <ns0:v/>
      </ns0:c>
      <ns0:c r="H1165">
        <ns0:f>IFERROR(IF(AND(AH!$E$4="Bloomberg",AH!$P$10=1,ISNUMBER($A1165),$A1165&lt;=AH!$P$17),AH!$P$7-1+MATCH($A1165,INDEX('AH History'!$A$1:$A$18046,AH!$P$7):INDEX('AH History'!$A$1:$A$18046,AH!$P$7+AH!$P$8-1),0),0),0)</ns0:f>
        <ns0:v/>
      </ns0:c>
      <ns0:c r="I1165">
        <ns0:f>IF($H1165=0,0,IFERROR(IF(AND(ABS($C1165-INDEX('AH History'!$B$1:$B$18046,$H1165))&lt;=MAX(0.005,ABS(INDEX('AH History'!$B$1:$B$18046,$H1165))*0.00005),ABS($D1165-INDEX('AH History'!$C$1:$C$18046,$H1165))&lt;=MAX(0.005,ABS(INDEX('AH History'!$C$1:$C$18046,$H1165))*0.00005),ABS($E1165-INDEX('AH History'!$D$1:$D$18046,$H1165))&lt;=0.00005,$F1165=INDEX('AH History'!$E$1:$E$18046,$H1165),$G1165=INDEX('AH History'!$F$1:$F$18046,$H1165)),1,-1),-1))</ns0:f>
        <ns0:v/>
      </ns0:c>
    </ns0:row>
    <ns0:row r="1166">
      <ns0:c r="A1166" s="215">
        <ns0:f>IF(OR(AH!$P$3=0,1161+1&gt;AH!$P$11,AND(AH!$E$4&lt;&gt;"Stored",AH!$P$10&lt;&gt;1)),"",IFERROR(IF(AND(AH!$P$21=1,1161+1=AH!$P$11),TODAY(),IF(AH!$P$10=1,INDEX('Live History'!$A$5:$A$3004,AH!$P$13+1161),INDEX('AH History'!$A$1:$A$18046,AH!$P$7+1161))),""))</ns0:f>
        <ns0:v/>
      </ns0:c>
      <ns0:c r="B1166" s="219">
        <ns0:f>IFERROR(IF(AND(AH!$P$9&lt;&gt;1,$C1166&gt;0,$D1166&gt;0,$E1166&gt;0,$F1166&gt;0,$G1166&gt;0,$F1166&lt;=$A1166,$G1166&lt;=$A1166,$A1166-$F1166&lt;=10,$A1166-$G1166&lt;=5),$D1166*$E1166/$C1166-1,NA()),NA())</ns0:f>
        <ns0:v/>
      </ns0:c>
      <ns0:c r="C1166">
        <ns0:f>IFERROR(IF(ISNUMBER($A1166),IF(AND(AH!$P$10=1,AH!$P$12=1,$A1166=TODAY()),AH!$P$19,IF(AH!$P$10=1,INDEX('Live History'!$B$5:$B$3004,AH!$P$13+1161),INDEX('AH History'!$B$1:$B$18046,AH!$P$7+1161))),NA()),NA())</ns0:f>
        <ns0:v/>
      </ns0:c>
      <ns0:c r="D1166">
        <ns0:f>IFERROR(IF(ISNUMBER($A1166),IF(AND(AH!$P$10=1,AH!$P$12=1,$A1166=TODAY()),AH!$P$18,IF(AH!$P$10=1,INDEX('Live History'!$E$5:$E$3004,MATCH($A1166,'Live History'!$D$5:$D$3004,1)),INDEX('AH History'!$C$1:$C$18046,AH!$P$7+1161))),NA()),NA())</ns0:f>
        <ns0:v/>
      </ns0:c>
      <ns0:c r="E1166">
        <ns0:f>IFERROR(IF(ISNUMBER($A1166),IF(AND(AH!$P$10=1,AH!$P$12=1,$A1166=TODAY()),AH!$P$20,IF(AH!$P$10=1,INDEX('Live History'!$H$5:$H$3004,MATCH($A1166,'Live History'!$G$5:$G$3004,1)),INDEX('AH History'!$D$1:$D$18046,AH!$P$7+1161))),NA()),NA())</ns0:f>
        <ns0:v/>
      </ns0:c>
      <ns0:c r="F1166">
        <ns0:f>IFERROR(IF(ISNUMBER($A1166),IF(AND(AH!$P$10=1,AH!$P$12=1,$A1166=TODAY()),IF(AND(AH!$P$10=1,AH!$P$12=1,$A1166=TODAY()),TODAY(),NA()),IF(AH!$P$10=1,INDEX('Live History'!$D$5:$D$3004,MATCH($A1166,'Live History'!$D$5:$D$3004,1)),INDEX('AH History'!$E$1:$E$18046,AH!$P$7+1161))),NA()),NA())</ns0:f>
        <ns0:v/>
      </ns0:c>
      <ns0:c r="G1166">
        <ns0:f>IFERROR(IF(ISNUMBER($A1166),IF(AND(AH!$P$10=1,AH!$P$12=1,$A1166=TODAY()),IF(AND(AH!$P$10=1,AH!$P$12=1,$A1166=TODAY()),TODAY(),NA()),IF(AH!$P$10=1,INDEX('Live History'!$G$5:$G$3004,MATCH($A1166,'Live History'!$G$5:$G$3004,1)),INDEX('AH History'!$F$1:$F$18046,AH!$P$7+1161))),NA()),NA())</ns0:f>
        <ns0:v/>
      </ns0:c>
      <ns0:c r="H1166">
        <ns0:f>IFERROR(IF(AND(AH!$E$4="Bloomberg",AH!$P$10=1,ISNUMBER($A1166),$A1166&lt;=AH!$P$17),AH!$P$7-1+MATCH($A1166,INDEX('AH History'!$A$1:$A$18046,AH!$P$7):INDEX('AH History'!$A$1:$A$18046,AH!$P$7+AH!$P$8-1),0),0),0)</ns0:f>
        <ns0:v/>
      </ns0:c>
      <ns0:c r="I1166">
        <ns0:f>IF($H1166=0,0,IFERROR(IF(AND(ABS($C1166-INDEX('AH History'!$B$1:$B$18046,$H1166))&lt;=MAX(0.005,ABS(INDEX('AH History'!$B$1:$B$18046,$H1166))*0.00005),ABS($D1166-INDEX('AH History'!$C$1:$C$18046,$H1166))&lt;=MAX(0.005,ABS(INDEX('AH History'!$C$1:$C$18046,$H1166))*0.00005),ABS($E1166-INDEX('AH History'!$D$1:$D$18046,$H1166))&lt;=0.00005,$F1166=INDEX('AH History'!$E$1:$E$18046,$H1166),$G1166=INDEX('AH History'!$F$1:$F$18046,$H1166)),1,-1),-1))</ns0:f>
        <ns0:v/>
      </ns0:c>
    </ns0:row>
    <ns0:row r="1167">
      <ns0:c r="A1167" s="215">
        <ns0:f>IF(OR(AH!$P$3=0,1162+1&gt;AH!$P$11,AND(AH!$E$4&lt;&gt;"Stored",AH!$P$10&lt;&gt;1)),"",IFERROR(IF(AND(AH!$P$21=1,1162+1=AH!$P$11),TODAY(),IF(AH!$P$10=1,INDEX('Live History'!$A$5:$A$3004,AH!$P$13+1162),INDEX('AH History'!$A$1:$A$18046,AH!$P$7+1162))),""))</ns0:f>
        <ns0:v/>
      </ns0:c>
      <ns0:c r="B1167" s="219">
        <ns0:f>IFERROR(IF(AND(AH!$P$9&lt;&gt;1,$C1167&gt;0,$D1167&gt;0,$E1167&gt;0,$F1167&gt;0,$G1167&gt;0,$F1167&lt;=$A1167,$G1167&lt;=$A1167,$A1167-$F1167&lt;=10,$A1167-$G1167&lt;=5),$D1167*$E1167/$C1167-1,NA()),NA())</ns0:f>
        <ns0:v/>
      </ns0:c>
      <ns0:c r="C1167">
        <ns0:f>IFERROR(IF(ISNUMBER($A1167),IF(AND(AH!$P$10=1,AH!$P$12=1,$A1167=TODAY()),AH!$P$19,IF(AH!$P$10=1,INDEX('Live History'!$B$5:$B$3004,AH!$P$13+1162),INDEX('AH History'!$B$1:$B$18046,AH!$P$7+1162))),NA()),NA())</ns0:f>
        <ns0:v/>
      </ns0:c>
      <ns0:c r="D1167">
        <ns0:f>IFERROR(IF(ISNUMBER($A1167),IF(AND(AH!$P$10=1,AH!$P$12=1,$A1167=TODAY()),AH!$P$18,IF(AH!$P$10=1,INDEX('Live History'!$E$5:$E$3004,MATCH($A1167,'Live History'!$D$5:$D$3004,1)),INDEX('AH History'!$C$1:$C$18046,AH!$P$7+1162))),NA()),NA())</ns0:f>
        <ns0:v/>
      </ns0:c>
      <ns0:c r="E1167">
        <ns0:f>IFERROR(IF(ISNUMBER($A1167),IF(AND(AH!$P$10=1,AH!$P$12=1,$A1167=TODAY()),AH!$P$20,IF(AH!$P$10=1,INDEX('Live History'!$H$5:$H$3004,MATCH($A1167,'Live History'!$G$5:$G$3004,1)),INDEX('AH History'!$D$1:$D$18046,AH!$P$7+1162))),NA()),NA())</ns0:f>
        <ns0:v/>
      </ns0:c>
      <ns0:c r="F1167">
        <ns0:f>IFERROR(IF(ISNUMBER($A1167),IF(AND(AH!$P$10=1,AH!$P$12=1,$A1167=TODAY()),IF(AND(AH!$P$10=1,AH!$P$12=1,$A1167=TODAY()),TODAY(),NA()),IF(AH!$P$10=1,INDEX('Live History'!$D$5:$D$3004,MATCH($A1167,'Live History'!$D$5:$D$3004,1)),INDEX('AH History'!$E$1:$E$18046,AH!$P$7+1162))),NA()),NA())</ns0:f>
        <ns0:v/>
      </ns0:c>
      <ns0:c r="G1167">
        <ns0:f>IFERROR(IF(ISNUMBER($A1167),IF(AND(AH!$P$10=1,AH!$P$12=1,$A1167=TODAY()),IF(AND(AH!$P$10=1,AH!$P$12=1,$A1167=TODAY()),TODAY(),NA()),IF(AH!$P$10=1,INDEX('Live History'!$G$5:$G$3004,MATCH($A1167,'Live History'!$G$5:$G$3004,1)),INDEX('AH History'!$F$1:$F$18046,AH!$P$7+1162))),NA()),NA())</ns0:f>
        <ns0:v/>
      </ns0:c>
      <ns0:c r="H1167">
        <ns0:f>IFERROR(IF(AND(AH!$E$4="Bloomberg",AH!$P$10=1,ISNUMBER($A1167),$A1167&lt;=AH!$P$17),AH!$P$7-1+MATCH($A1167,INDEX('AH History'!$A$1:$A$18046,AH!$P$7):INDEX('AH History'!$A$1:$A$18046,AH!$P$7+AH!$P$8-1),0),0),0)</ns0:f>
        <ns0:v/>
      </ns0:c>
      <ns0:c r="I1167">
        <ns0:f>IF($H1167=0,0,IFERROR(IF(AND(ABS($C1167-INDEX('AH History'!$B$1:$B$18046,$H1167))&lt;=MAX(0.005,ABS(INDEX('AH History'!$B$1:$B$18046,$H1167))*0.00005),ABS($D1167-INDEX('AH History'!$C$1:$C$18046,$H1167))&lt;=MAX(0.005,ABS(INDEX('AH History'!$C$1:$C$18046,$H1167))*0.00005),ABS($E1167-INDEX('AH History'!$D$1:$D$18046,$H1167))&lt;=0.00005,$F1167=INDEX('AH History'!$E$1:$E$18046,$H1167),$G1167=INDEX('AH History'!$F$1:$F$18046,$H1167)),1,-1),-1))</ns0:f>
        <ns0:v/>
      </ns0:c>
    </ns0:row>
    <ns0:row r="1168">
      <ns0:c r="A1168" s="215">
        <ns0:f>IF(OR(AH!$P$3=0,1163+1&gt;AH!$P$11,AND(AH!$E$4&lt;&gt;"Stored",AH!$P$10&lt;&gt;1)),"",IFERROR(IF(AND(AH!$P$21=1,1163+1=AH!$P$11),TODAY(),IF(AH!$P$10=1,INDEX('Live History'!$A$5:$A$3004,AH!$P$13+1163),INDEX('AH History'!$A$1:$A$18046,AH!$P$7+1163))),""))</ns0:f>
        <ns0:v/>
      </ns0:c>
      <ns0:c r="B1168" s="219">
        <ns0:f>IFERROR(IF(AND(AH!$P$9&lt;&gt;1,$C1168&gt;0,$D1168&gt;0,$E1168&gt;0,$F1168&gt;0,$G1168&gt;0,$F1168&lt;=$A1168,$G1168&lt;=$A1168,$A1168-$F1168&lt;=10,$A1168-$G1168&lt;=5),$D1168*$E1168/$C1168-1,NA()),NA())</ns0:f>
        <ns0:v/>
      </ns0:c>
      <ns0:c r="C1168">
        <ns0:f>IFERROR(IF(ISNUMBER($A1168),IF(AND(AH!$P$10=1,AH!$P$12=1,$A1168=TODAY()),AH!$P$19,IF(AH!$P$10=1,INDEX('Live History'!$B$5:$B$3004,AH!$P$13+1163),INDEX('AH History'!$B$1:$B$18046,AH!$P$7+1163))),NA()),NA())</ns0:f>
        <ns0:v/>
      </ns0:c>
      <ns0:c r="D1168">
        <ns0:f>IFERROR(IF(ISNUMBER($A1168),IF(AND(AH!$P$10=1,AH!$P$12=1,$A1168=TODAY()),AH!$P$18,IF(AH!$P$10=1,INDEX('Live History'!$E$5:$E$3004,MATCH($A1168,'Live History'!$D$5:$D$3004,1)),INDEX('AH History'!$C$1:$C$18046,AH!$P$7+1163))),NA()),NA())</ns0:f>
        <ns0:v/>
      </ns0:c>
      <ns0:c r="E1168">
        <ns0:f>IFERROR(IF(ISNUMBER($A1168),IF(AND(AH!$P$10=1,AH!$P$12=1,$A1168=TODAY()),AH!$P$20,IF(AH!$P$10=1,INDEX('Live History'!$H$5:$H$3004,MATCH($A1168,'Live History'!$G$5:$G$3004,1)),INDEX('AH History'!$D$1:$D$18046,AH!$P$7+1163))),NA()),NA())</ns0:f>
        <ns0:v/>
      </ns0:c>
      <ns0:c r="F1168">
        <ns0:f>IFERROR(IF(ISNUMBER($A1168),IF(AND(AH!$P$10=1,AH!$P$12=1,$A1168=TODAY()),IF(AND(AH!$P$10=1,AH!$P$12=1,$A1168=TODAY()),TODAY(),NA()),IF(AH!$P$10=1,INDEX('Live History'!$D$5:$D$3004,MATCH($A1168,'Live History'!$D$5:$D$3004,1)),INDEX('AH History'!$E$1:$E$18046,AH!$P$7+1163))),NA()),NA())</ns0:f>
        <ns0:v/>
      </ns0:c>
      <ns0:c r="G1168">
        <ns0:f>IFERROR(IF(ISNUMBER($A1168),IF(AND(AH!$P$10=1,AH!$P$12=1,$A1168=TODAY()),IF(AND(AH!$P$10=1,AH!$P$12=1,$A1168=TODAY()),TODAY(),NA()),IF(AH!$P$10=1,INDEX('Live History'!$G$5:$G$3004,MATCH($A1168,'Live History'!$G$5:$G$3004,1)),INDEX('AH History'!$F$1:$F$18046,AH!$P$7+1163))),NA()),NA())</ns0:f>
        <ns0:v/>
      </ns0:c>
      <ns0:c r="H1168">
        <ns0:f>IFERROR(IF(AND(AH!$E$4="Bloomberg",AH!$P$10=1,ISNUMBER($A1168),$A1168&lt;=AH!$P$17),AH!$P$7-1+MATCH($A1168,INDEX('AH History'!$A$1:$A$18046,AH!$P$7):INDEX('AH History'!$A$1:$A$18046,AH!$P$7+AH!$P$8-1),0),0),0)</ns0:f>
        <ns0:v/>
      </ns0:c>
      <ns0:c r="I1168">
        <ns0:f>IF($H1168=0,0,IFERROR(IF(AND(ABS($C1168-INDEX('AH History'!$B$1:$B$18046,$H1168))&lt;=MAX(0.005,ABS(INDEX('AH History'!$B$1:$B$18046,$H1168))*0.00005),ABS($D1168-INDEX('AH History'!$C$1:$C$18046,$H1168))&lt;=MAX(0.005,ABS(INDEX('AH History'!$C$1:$C$18046,$H1168))*0.00005),ABS($E1168-INDEX('AH History'!$D$1:$D$18046,$H1168))&lt;=0.00005,$F1168=INDEX('AH History'!$E$1:$E$18046,$H1168),$G1168=INDEX('AH History'!$F$1:$F$18046,$H1168)),1,-1),-1))</ns0:f>
        <ns0:v/>
      </ns0:c>
    </ns0:row>
    <ns0:row r="1169">
      <ns0:c r="A1169" s="215">
        <ns0:f>IF(OR(AH!$P$3=0,1164+1&gt;AH!$P$11,AND(AH!$E$4&lt;&gt;"Stored",AH!$P$10&lt;&gt;1)),"",IFERROR(IF(AND(AH!$P$21=1,1164+1=AH!$P$11),TODAY(),IF(AH!$P$10=1,INDEX('Live History'!$A$5:$A$3004,AH!$P$13+1164),INDEX('AH History'!$A$1:$A$18046,AH!$P$7+1164))),""))</ns0:f>
        <ns0:v/>
      </ns0:c>
      <ns0:c r="B1169" s="219">
        <ns0:f>IFERROR(IF(AND(AH!$P$9&lt;&gt;1,$C1169&gt;0,$D1169&gt;0,$E1169&gt;0,$F1169&gt;0,$G1169&gt;0,$F1169&lt;=$A1169,$G1169&lt;=$A1169,$A1169-$F1169&lt;=10,$A1169-$G1169&lt;=5),$D1169*$E1169/$C1169-1,NA()),NA())</ns0:f>
        <ns0:v/>
      </ns0:c>
      <ns0:c r="C1169">
        <ns0:f>IFERROR(IF(ISNUMBER($A1169),IF(AND(AH!$P$10=1,AH!$P$12=1,$A1169=TODAY()),AH!$P$19,IF(AH!$P$10=1,INDEX('Live History'!$B$5:$B$3004,AH!$P$13+1164),INDEX('AH History'!$B$1:$B$18046,AH!$P$7+1164))),NA()),NA())</ns0:f>
        <ns0:v/>
      </ns0:c>
      <ns0:c r="D1169">
        <ns0:f>IFERROR(IF(ISNUMBER($A1169),IF(AND(AH!$P$10=1,AH!$P$12=1,$A1169=TODAY()),AH!$P$18,IF(AH!$P$10=1,INDEX('Live History'!$E$5:$E$3004,MATCH($A1169,'Live History'!$D$5:$D$3004,1)),INDEX('AH History'!$C$1:$C$18046,AH!$P$7+1164))),NA()),NA())</ns0:f>
        <ns0:v/>
      </ns0:c>
      <ns0:c r="E1169">
        <ns0:f>IFERROR(IF(ISNUMBER($A1169),IF(AND(AH!$P$10=1,AH!$P$12=1,$A1169=TODAY()),AH!$P$20,IF(AH!$P$10=1,INDEX('Live History'!$H$5:$H$3004,MATCH($A1169,'Live History'!$G$5:$G$3004,1)),INDEX('AH History'!$D$1:$D$18046,AH!$P$7+1164))),NA()),NA())</ns0:f>
        <ns0:v/>
      </ns0:c>
      <ns0:c r="F1169">
        <ns0:f>IFERROR(IF(ISNUMBER($A1169),IF(AND(AH!$P$10=1,AH!$P$12=1,$A1169=TODAY()),IF(AND(AH!$P$10=1,AH!$P$12=1,$A1169=TODAY()),TODAY(),NA()),IF(AH!$P$10=1,INDEX('Live History'!$D$5:$D$3004,MATCH($A1169,'Live History'!$D$5:$D$3004,1)),INDEX('AH History'!$E$1:$E$18046,AH!$P$7+1164))),NA()),NA())</ns0:f>
        <ns0:v/>
      </ns0:c>
      <ns0:c r="G1169">
        <ns0:f>IFERROR(IF(ISNUMBER($A1169),IF(AND(AH!$P$10=1,AH!$P$12=1,$A1169=TODAY()),IF(AND(AH!$P$10=1,AH!$P$12=1,$A1169=TODAY()),TODAY(),NA()),IF(AH!$P$10=1,INDEX('Live History'!$G$5:$G$3004,MATCH($A1169,'Live History'!$G$5:$G$3004,1)),INDEX('AH History'!$F$1:$F$18046,AH!$P$7+1164))),NA()),NA())</ns0:f>
        <ns0:v/>
      </ns0:c>
      <ns0:c r="H1169">
        <ns0:f>IFERROR(IF(AND(AH!$E$4="Bloomberg",AH!$P$10=1,ISNUMBER($A1169),$A1169&lt;=AH!$P$17),AH!$P$7-1+MATCH($A1169,INDEX('AH History'!$A$1:$A$18046,AH!$P$7):INDEX('AH History'!$A$1:$A$18046,AH!$P$7+AH!$P$8-1),0),0),0)</ns0:f>
        <ns0:v/>
      </ns0:c>
      <ns0:c r="I1169">
        <ns0:f>IF($H1169=0,0,IFERROR(IF(AND(ABS($C1169-INDEX('AH History'!$B$1:$B$18046,$H1169))&lt;=MAX(0.005,ABS(INDEX('AH History'!$B$1:$B$18046,$H1169))*0.00005),ABS($D1169-INDEX('AH History'!$C$1:$C$18046,$H1169))&lt;=MAX(0.005,ABS(INDEX('AH History'!$C$1:$C$18046,$H1169))*0.00005),ABS($E1169-INDEX('AH History'!$D$1:$D$18046,$H1169))&lt;=0.00005,$F1169=INDEX('AH History'!$E$1:$E$18046,$H1169),$G1169=INDEX('AH History'!$F$1:$F$18046,$H1169)),1,-1),-1))</ns0:f>
        <ns0:v/>
      </ns0:c>
    </ns0:row>
    <ns0:row r="1170">
      <ns0:c r="A1170" s="215">
        <ns0:f>IF(OR(AH!$P$3=0,1165+1&gt;AH!$P$11,AND(AH!$E$4&lt;&gt;"Stored",AH!$P$10&lt;&gt;1)),"",IFERROR(IF(AND(AH!$P$21=1,1165+1=AH!$P$11),TODAY(),IF(AH!$P$10=1,INDEX('Live History'!$A$5:$A$3004,AH!$P$13+1165),INDEX('AH History'!$A$1:$A$18046,AH!$P$7+1165))),""))</ns0:f>
        <ns0:v/>
      </ns0:c>
      <ns0:c r="B1170" s="219">
        <ns0:f>IFERROR(IF(AND(AH!$P$9&lt;&gt;1,$C1170&gt;0,$D1170&gt;0,$E1170&gt;0,$F1170&gt;0,$G1170&gt;0,$F1170&lt;=$A1170,$G1170&lt;=$A1170,$A1170-$F1170&lt;=10,$A1170-$G1170&lt;=5),$D1170*$E1170/$C1170-1,NA()),NA())</ns0:f>
        <ns0:v/>
      </ns0:c>
      <ns0:c r="C1170">
        <ns0:f>IFERROR(IF(ISNUMBER($A1170),IF(AND(AH!$P$10=1,AH!$P$12=1,$A1170=TODAY()),AH!$P$19,IF(AH!$P$10=1,INDEX('Live History'!$B$5:$B$3004,AH!$P$13+1165),INDEX('AH History'!$B$1:$B$18046,AH!$P$7+1165))),NA()),NA())</ns0:f>
        <ns0:v/>
      </ns0:c>
      <ns0:c r="D1170">
        <ns0:f>IFERROR(IF(ISNUMBER($A1170),IF(AND(AH!$P$10=1,AH!$P$12=1,$A1170=TODAY()),AH!$P$18,IF(AH!$P$10=1,INDEX('Live History'!$E$5:$E$3004,MATCH($A1170,'Live History'!$D$5:$D$3004,1)),INDEX('AH History'!$C$1:$C$18046,AH!$P$7+1165))),NA()),NA())</ns0:f>
        <ns0:v/>
      </ns0:c>
      <ns0:c r="E1170">
        <ns0:f>IFERROR(IF(ISNUMBER($A1170),IF(AND(AH!$P$10=1,AH!$P$12=1,$A1170=TODAY()),AH!$P$20,IF(AH!$P$10=1,INDEX('Live History'!$H$5:$H$3004,MATCH($A1170,'Live History'!$G$5:$G$3004,1)),INDEX('AH History'!$D$1:$D$18046,AH!$P$7+1165))),NA()),NA())</ns0:f>
        <ns0:v/>
      </ns0:c>
      <ns0:c r="F1170">
        <ns0:f>IFERROR(IF(ISNUMBER($A1170),IF(AND(AH!$P$10=1,AH!$P$12=1,$A1170=TODAY()),IF(AND(AH!$P$10=1,AH!$P$12=1,$A1170=TODAY()),TODAY(),NA()),IF(AH!$P$10=1,INDEX('Live History'!$D$5:$D$3004,MATCH($A1170,'Live History'!$D$5:$D$3004,1)),INDEX('AH History'!$E$1:$E$18046,AH!$P$7+1165))),NA()),NA())</ns0:f>
        <ns0:v/>
      </ns0:c>
      <ns0:c r="G1170">
        <ns0:f>IFERROR(IF(ISNUMBER($A1170),IF(AND(AH!$P$10=1,AH!$P$12=1,$A1170=TODAY()),IF(AND(AH!$P$10=1,AH!$P$12=1,$A1170=TODAY()),TODAY(),NA()),IF(AH!$P$10=1,INDEX('Live History'!$G$5:$G$3004,MATCH($A1170,'Live History'!$G$5:$G$3004,1)),INDEX('AH History'!$F$1:$F$18046,AH!$P$7+1165))),NA()),NA())</ns0:f>
        <ns0:v/>
      </ns0:c>
      <ns0:c r="H1170">
        <ns0:f>IFERROR(IF(AND(AH!$E$4="Bloomberg",AH!$P$10=1,ISNUMBER($A1170),$A1170&lt;=AH!$P$17),AH!$P$7-1+MATCH($A1170,INDEX('AH History'!$A$1:$A$18046,AH!$P$7):INDEX('AH History'!$A$1:$A$18046,AH!$P$7+AH!$P$8-1),0),0),0)</ns0:f>
        <ns0:v/>
      </ns0:c>
      <ns0:c r="I1170">
        <ns0:f>IF($H1170=0,0,IFERROR(IF(AND(ABS($C1170-INDEX('AH History'!$B$1:$B$18046,$H1170))&lt;=MAX(0.005,ABS(INDEX('AH History'!$B$1:$B$18046,$H1170))*0.00005),ABS($D1170-INDEX('AH History'!$C$1:$C$18046,$H1170))&lt;=MAX(0.005,ABS(INDEX('AH History'!$C$1:$C$18046,$H1170))*0.00005),ABS($E1170-INDEX('AH History'!$D$1:$D$18046,$H1170))&lt;=0.00005,$F1170=INDEX('AH History'!$E$1:$E$18046,$H1170),$G1170=INDEX('AH History'!$F$1:$F$18046,$H1170)),1,-1),-1))</ns0:f>
        <ns0:v/>
      </ns0:c>
    </ns0:row>
    <ns0:row r="1171">
      <ns0:c r="A1171" s="215">
        <ns0:f>IF(OR(AH!$P$3=0,1166+1&gt;AH!$P$11,AND(AH!$E$4&lt;&gt;"Stored",AH!$P$10&lt;&gt;1)),"",IFERROR(IF(AND(AH!$P$21=1,1166+1=AH!$P$11),TODAY(),IF(AH!$P$10=1,INDEX('Live History'!$A$5:$A$3004,AH!$P$13+1166),INDEX('AH History'!$A$1:$A$18046,AH!$P$7+1166))),""))</ns0:f>
        <ns0:v/>
      </ns0:c>
      <ns0:c r="B1171" s="219">
        <ns0:f>IFERROR(IF(AND(AH!$P$9&lt;&gt;1,$C1171&gt;0,$D1171&gt;0,$E1171&gt;0,$F1171&gt;0,$G1171&gt;0,$F1171&lt;=$A1171,$G1171&lt;=$A1171,$A1171-$F1171&lt;=10,$A1171-$G1171&lt;=5),$D1171*$E1171/$C1171-1,NA()),NA())</ns0:f>
        <ns0:v/>
      </ns0:c>
      <ns0:c r="C1171">
        <ns0:f>IFERROR(IF(ISNUMBER($A1171),IF(AND(AH!$P$10=1,AH!$P$12=1,$A1171=TODAY()),AH!$P$19,IF(AH!$P$10=1,INDEX('Live History'!$B$5:$B$3004,AH!$P$13+1166),INDEX('AH History'!$B$1:$B$18046,AH!$P$7+1166))),NA()),NA())</ns0:f>
        <ns0:v/>
      </ns0:c>
      <ns0:c r="D1171">
        <ns0:f>IFERROR(IF(ISNUMBER($A1171),IF(AND(AH!$P$10=1,AH!$P$12=1,$A1171=TODAY()),AH!$P$18,IF(AH!$P$10=1,INDEX('Live History'!$E$5:$E$3004,MATCH($A1171,'Live History'!$D$5:$D$3004,1)),INDEX('AH History'!$C$1:$C$18046,AH!$P$7+1166))),NA()),NA())</ns0:f>
        <ns0:v/>
      </ns0:c>
      <ns0:c r="E1171">
        <ns0:f>IFERROR(IF(ISNUMBER($A1171),IF(AND(AH!$P$10=1,AH!$P$12=1,$A1171=TODAY()),AH!$P$20,IF(AH!$P$10=1,INDEX('Live History'!$H$5:$H$3004,MATCH($A1171,'Live History'!$G$5:$G$3004,1)),INDEX('AH History'!$D$1:$D$18046,AH!$P$7+1166))),NA()),NA())</ns0:f>
        <ns0:v/>
      </ns0:c>
      <ns0:c r="F1171">
        <ns0:f>IFERROR(IF(ISNUMBER($A1171),IF(AND(AH!$P$10=1,AH!$P$12=1,$A1171=TODAY()),IF(AND(AH!$P$10=1,AH!$P$12=1,$A1171=TODAY()),TODAY(),NA()),IF(AH!$P$10=1,INDEX('Live History'!$D$5:$D$3004,MATCH($A1171,'Live History'!$D$5:$D$3004,1)),INDEX('AH History'!$E$1:$E$18046,AH!$P$7+1166))),NA()),NA())</ns0:f>
        <ns0:v/>
      </ns0:c>
      <ns0:c r="G1171">
        <ns0:f>IFERROR(IF(ISNUMBER($A1171),IF(AND(AH!$P$10=1,AH!$P$12=1,$A1171=TODAY()),IF(AND(AH!$P$10=1,AH!$P$12=1,$A1171=TODAY()),TODAY(),NA()),IF(AH!$P$10=1,INDEX('Live History'!$G$5:$G$3004,MATCH($A1171,'Live History'!$G$5:$G$3004,1)),INDEX('AH History'!$F$1:$F$18046,AH!$P$7+1166))),NA()),NA())</ns0:f>
        <ns0:v/>
      </ns0:c>
      <ns0:c r="H1171">
        <ns0:f>IFERROR(IF(AND(AH!$E$4="Bloomberg",AH!$P$10=1,ISNUMBER($A1171),$A1171&lt;=AH!$P$17),AH!$P$7-1+MATCH($A1171,INDEX('AH History'!$A$1:$A$18046,AH!$P$7):INDEX('AH History'!$A$1:$A$18046,AH!$P$7+AH!$P$8-1),0),0),0)</ns0:f>
        <ns0:v/>
      </ns0:c>
      <ns0:c r="I1171">
        <ns0:f>IF($H1171=0,0,IFERROR(IF(AND(ABS($C1171-INDEX('AH History'!$B$1:$B$18046,$H1171))&lt;=MAX(0.005,ABS(INDEX('AH History'!$B$1:$B$18046,$H1171))*0.00005),ABS($D1171-INDEX('AH History'!$C$1:$C$18046,$H1171))&lt;=MAX(0.005,ABS(INDEX('AH History'!$C$1:$C$18046,$H1171))*0.00005),ABS($E1171-INDEX('AH History'!$D$1:$D$18046,$H1171))&lt;=0.00005,$F1171=INDEX('AH History'!$E$1:$E$18046,$H1171),$G1171=INDEX('AH History'!$F$1:$F$18046,$H1171)),1,-1),-1))</ns0:f>
        <ns0:v/>
      </ns0:c>
    </ns0:row>
    <ns0:row r="1172">
      <ns0:c r="A1172" s="215">
        <ns0:f>IF(OR(AH!$P$3=0,1167+1&gt;AH!$P$11,AND(AH!$E$4&lt;&gt;"Stored",AH!$P$10&lt;&gt;1)),"",IFERROR(IF(AND(AH!$P$21=1,1167+1=AH!$P$11),TODAY(),IF(AH!$P$10=1,INDEX('Live History'!$A$5:$A$3004,AH!$P$13+1167),INDEX('AH History'!$A$1:$A$18046,AH!$P$7+1167))),""))</ns0:f>
        <ns0:v/>
      </ns0:c>
      <ns0:c r="B1172" s="219">
        <ns0:f>IFERROR(IF(AND(AH!$P$9&lt;&gt;1,$C1172&gt;0,$D1172&gt;0,$E1172&gt;0,$F1172&gt;0,$G1172&gt;0,$F1172&lt;=$A1172,$G1172&lt;=$A1172,$A1172-$F1172&lt;=10,$A1172-$G1172&lt;=5),$D1172*$E1172/$C1172-1,NA()),NA())</ns0:f>
        <ns0:v/>
      </ns0:c>
      <ns0:c r="C1172">
        <ns0:f>IFERROR(IF(ISNUMBER($A1172),IF(AND(AH!$P$10=1,AH!$P$12=1,$A1172=TODAY()),AH!$P$19,IF(AH!$P$10=1,INDEX('Live History'!$B$5:$B$3004,AH!$P$13+1167),INDEX('AH History'!$B$1:$B$18046,AH!$P$7+1167))),NA()),NA())</ns0:f>
        <ns0:v/>
      </ns0:c>
      <ns0:c r="D1172">
        <ns0:f>IFERROR(IF(ISNUMBER($A1172),IF(AND(AH!$P$10=1,AH!$P$12=1,$A1172=TODAY()),AH!$P$18,IF(AH!$P$10=1,INDEX('Live History'!$E$5:$E$3004,MATCH($A1172,'Live History'!$D$5:$D$3004,1)),INDEX('AH History'!$C$1:$C$18046,AH!$P$7+1167))),NA()),NA())</ns0:f>
        <ns0:v/>
      </ns0:c>
      <ns0:c r="E1172">
        <ns0:f>IFERROR(IF(ISNUMBER($A1172),IF(AND(AH!$P$10=1,AH!$P$12=1,$A1172=TODAY()),AH!$P$20,IF(AH!$P$10=1,INDEX('Live History'!$H$5:$H$3004,MATCH($A1172,'Live History'!$G$5:$G$3004,1)),INDEX('AH History'!$D$1:$D$18046,AH!$P$7+1167))),NA()),NA())</ns0:f>
        <ns0:v/>
      </ns0:c>
      <ns0:c r="F1172">
        <ns0:f>IFERROR(IF(ISNUMBER($A1172),IF(AND(AH!$P$10=1,AH!$P$12=1,$A1172=TODAY()),IF(AND(AH!$P$10=1,AH!$P$12=1,$A1172=TODAY()),TODAY(),NA()),IF(AH!$P$10=1,INDEX('Live History'!$D$5:$D$3004,MATCH($A1172,'Live History'!$D$5:$D$3004,1)),INDEX('AH History'!$E$1:$E$18046,AH!$P$7+1167))),NA()),NA())</ns0:f>
        <ns0:v/>
      </ns0:c>
      <ns0:c r="G1172">
        <ns0:f>IFERROR(IF(ISNUMBER($A1172),IF(AND(AH!$P$10=1,AH!$P$12=1,$A1172=TODAY()),IF(AND(AH!$P$10=1,AH!$P$12=1,$A1172=TODAY()),TODAY(),NA()),IF(AH!$P$10=1,INDEX('Live History'!$G$5:$G$3004,MATCH($A1172,'Live History'!$G$5:$G$3004,1)),INDEX('AH History'!$F$1:$F$18046,AH!$P$7+1167))),NA()),NA())</ns0:f>
        <ns0:v/>
      </ns0:c>
      <ns0:c r="H1172">
        <ns0:f>IFERROR(IF(AND(AH!$E$4="Bloomberg",AH!$P$10=1,ISNUMBER($A1172),$A1172&lt;=AH!$P$17),AH!$P$7-1+MATCH($A1172,INDEX('AH History'!$A$1:$A$18046,AH!$P$7):INDEX('AH History'!$A$1:$A$18046,AH!$P$7+AH!$P$8-1),0),0),0)</ns0:f>
        <ns0:v/>
      </ns0:c>
      <ns0:c r="I1172">
        <ns0:f>IF($H1172=0,0,IFERROR(IF(AND(ABS($C1172-INDEX('AH History'!$B$1:$B$18046,$H1172))&lt;=MAX(0.005,ABS(INDEX('AH History'!$B$1:$B$18046,$H1172))*0.00005),ABS($D1172-INDEX('AH History'!$C$1:$C$18046,$H1172))&lt;=MAX(0.005,ABS(INDEX('AH History'!$C$1:$C$18046,$H1172))*0.00005),ABS($E1172-INDEX('AH History'!$D$1:$D$18046,$H1172))&lt;=0.00005,$F1172=INDEX('AH History'!$E$1:$E$18046,$H1172),$G1172=INDEX('AH History'!$F$1:$F$18046,$H1172)),1,-1),-1))</ns0:f>
        <ns0:v/>
      </ns0:c>
    </ns0:row>
    <ns0:row r="1173">
      <ns0:c r="A1173" s="215">
        <ns0:f>IF(OR(AH!$P$3=0,1168+1&gt;AH!$P$11,AND(AH!$E$4&lt;&gt;"Stored",AH!$P$10&lt;&gt;1)),"",IFERROR(IF(AND(AH!$P$21=1,1168+1=AH!$P$11),TODAY(),IF(AH!$P$10=1,INDEX('Live History'!$A$5:$A$3004,AH!$P$13+1168),INDEX('AH History'!$A$1:$A$18046,AH!$P$7+1168))),""))</ns0:f>
        <ns0:v/>
      </ns0:c>
      <ns0:c r="B1173" s="219">
        <ns0:f>IFERROR(IF(AND(AH!$P$9&lt;&gt;1,$C1173&gt;0,$D1173&gt;0,$E1173&gt;0,$F1173&gt;0,$G1173&gt;0,$F1173&lt;=$A1173,$G1173&lt;=$A1173,$A1173-$F1173&lt;=10,$A1173-$G1173&lt;=5),$D1173*$E1173/$C1173-1,NA()),NA())</ns0:f>
        <ns0:v/>
      </ns0:c>
      <ns0:c r="C1173">
        <ns0:f>IFERROR(IF(ISNUMBER($A1173),IF(AND(AH!$P$10=1,AH!$P$12=1,$A1173=TODAY()),AH!$P$19,IF(AH!$P$10=1,INDEX('Live History'!$B$5:$B$3004,AH!$P$13+1168),INDEX('AH History'!$B$1:$B$18046,AH!$P$7+1168))),NA()),NA())</ns0:f>
        <ns0:v/>
      </ns0:c>
      <ns0:c r="D1173">
        <ns0:f>IFERROR(IF(ISNUMBER($A1173),IF(AND(AH!$P$10=1,AH!$P$12=1,$A1173=TODAY()),AH!$P$18,IF(AH!$P$10=1,INDEX('Live History'!$E$5:$E$3004,MATCH($A1173,'Live History'!$D$5:$D$3004,1)),INDEX('AH History'!$C$1:$C$18046,AH!$P$7+1168))),NA()),NA())</ns0:f>
        <ns0:v/>
      </ns0:c>
      <ns0:c r="E1173">
        <ns0:f>IFERROR(IF(ISNUMBER($A1173),IF(AND(AH!$P$10=1,AH!$P$12=1,$A1173=TODAY()),AH!$P$20,IF(AH!$P$10=1,INDEX('Live History'!$H$5:$H$3004,MATCH($A1173,'Live History'!$G$5:$G$3004,1)),INDEX('AH History'!$D$1:$D$18046,AH!$P$7+1168))),NA()),NA())</ns0:f>
        <ns0:v/>
      </ns0:c>
      <ns0:c r="F1173">
        <ns0:f>IFERROR(IF(ISNUMBER($A1173),IF(AND(AH!$P$10=1,AH!$P$12=1,$A1173=TODAY()),IF(AND(AH!$P$10=1,AH!$P$12=1,$A1173=TODAY()),TODAY(),NA()),IF(AH!$P$10=1,INDEX('Live History'!$D$5:$D$3004,MATCH($A1173,'Live History'!$D$5:$D$3004,1)),INDEX('AH History'!$E$1:$E$18046,AH!$P$7+1168))),NA()),NA())</ns0:f>
        <ns0:v/>
      </ns0:c>
      <ns0:c r="G1173">
        <ns0:f>IFERROR(IF(ISNUMBER($A1173),IF(AND(AH!$P$10=1,AH!$P$12=1,$A1173=TODAY()),IF(AND(AH!$P$10=1,AH!$P$12=1,$A1173=TODAY()),TODAY(),NA()),IF(AH!$P$10=1,INDEX('Live History'!$G$5:$G$3004,MATCH($A1173,'Live History'!$G$5:$G$3004,1)),INDEX('AH History'!$F$1:$F$18046,AH!$P$7+1168))),NA()),NA())</ns0:f>
        <ns0:v/>
      </ns0:c>
      <ns0:c r="H1173">
        <ns0:f>IFERROR(IF(AND(AH!$E$4="Bloomberg",AH!$P$10=1,ISNUMBER($A1173),$A1173&lt;=AH!$P$17),AH!$P$7-1+MATCH($A1173,INDEX('AH History'!$A$1:$A$18046,AH!$P$7):INDEX('AH History'!$A$1:$A$18046,AH!$P$7+AH!$P$8-1),0),0),0)</ns0:f>
        <ns0:v/>
      </ns0:c>
      <ns0:c r="I1173">
        <ns0:f>IF($H1173=0,0,IFERROR(IF(AND(ABS($C1173-INDEX('AH History'!$B$1:$B$18046,$H1173))&lt;=MAX(0.005,ABS(INDEX('AH History'!$B$1:$B$18046,$H1173))*0.00005),ABS($D1173-INDEX('AH History'!$C$1:$C$18046,$H1173))&lt;=MAX(0.005,ABS(INDEX('AH History'!$C$1:$C$18046,$H1173))*0.00005),ABS($E1173-INDEX('AH History'!$D$1:$D$18046,$H1173))&lt;=0.00005,$F1173=INDEX('AH History'!$E$1:$E$18046,$H1173),$G1173=INDEX('AH History'!$F$1:$F$18046,$H1173)),1,-1),-1))</ns0:f>
        <ns0:v/>
      </ns0:c>
    </ns0:row>
    <ns0:row r="1174">
      <ns0:c r="A1174" s="215">
        <ns0:f>IF(OR(AH!$P$3=0,1169+1&gt;AH!$P$11,AND(AH!$E$4&lt;&gt;"Stored",AH!$P$10&lt;&gt;1)),"",IFERROR(IF(AND(AH!$P$21=1,1169+1=AH!$P$11),TODAY(),IF(AH!$P$10=1,INDEX('Live History'!$A$5:$A$3004,AH!$P$13+1169),INDEX('AH History'!$A$1:$A$18046,AH!$P$7+1169))),""))</ns0:f>
        <ns0:v/>
      </ns0:c>
      <ns0:c r="B1174" s="219">
        <ns0:f>IFERROR(IF(AND(AH!$P$9&lt;&gt;1,$C1174&gt;0,$D1174&gt;0,$E1174&gt;0,$F1174&gt;0,$G1174&gt;0,$F1174&lt;=$A1174,$G1174&lt;=$A1174,$A1174-$F1174&lt;=10,$A1174-$G1174&lt;=5),$D1174*$E1174/$C1174-1,NA()),NA())</ns0:f>
        <ns0:v/>
      </ns0:c>
      <ns0:c r="C1174">
        <ns0:f>IFERROR(IF(ISNUMBER($A1174),IF(AND(AH!$P$10=1,AH!$P$12=1,$A1174=TODAY()),AH!$P$19,IF(AH!$P$10=1,INDEX('Live History'!$B$5:$B$3004,AH!$P$13+1169),INDEX('AH History'!$B$1:$B$18046,AH!$P$7+1169))),NA()),NA())</ns0:f>
        <ns0:v/>
      </ns0:c>
      <ns0:c r="D1174">
        <ns0:f>IFERROR(IF(ISNUMBER($A1174),IF(AND(AH!$P$10=1,AH!$P$12=1,$A1174=TODAY()),AH!$P$18,IF(AH!$P$10=1,INDEX('Live History'!$E$5:$E$3004,MATCH($A1174,'Live History'!$D$5:$D$3004,1)),INDEX('AH History'!$C$1:$C$18046,AH!$P$7+1169))),NA()),NA())</ns0:f>
        <ns0:v/>
      </ns0:c>
      <ns0:c r="E1174">
        <ns0:f>IFERROR(IF(ISNUMBER($A1174),IF(AND(AH!$P$10=1,AH!$P$12=1,$A1174=TODAY()),AH!$P$20,IF(AH!$P$10=1,INDEX('Live History'!$H$5:$H$3004,MATCH($A1174,'Live History'!$G$5:$G$3004,1)),INDEX('AH History'!$D$1:$D$18046,AH!$P$7+1169))),NA()),NA())</ns0:f>
        <ns0:v/>
      </ns0:c>
      <ns0:c r="F1174">
        <ns0:f>IFERROR(IF(ISNUMBER($A1174),IF(AND(AH!$P$10=1,AH!$P$12=1,$A1174=TODAY()),IF(AND(AH!$P$10=1,AH!$P$12=1,$A1174=TODAY()),TODAY(),NA()),IF(AH!$P$10=1,INDEX('Live History'!$D$5:$D$3004,MATCH($A1174,'Live History'!$D$5:$D$3004,1)),INDEX('AH History'!$E$1:$E$18046,AH!$P$7+1169))),NA()),NA())</ns0:f>
        <ns0:v/>
      </ns0:c>
      <ns0:c r="G1174">
        <ns0:f>IFERROR(IF(ISNUMBER($A1174),IF(AND(AH!$P$10=1,AH!$P$12=1,$A1174=TODAY()),IF(AND(AH!$P$10=1,AH!$P$12=1,$A1174=TODAY()),TODAY(),NA()),IF(AH!$P$10=1,INDEX('Live History'!$G$5:$G$3004,MATCH($A1174,'Live History'!$G$5:$G$3004,1)),INDEX('AH History'!$F$1:$F$18046,AH!$P$7+1169))),NA()),NA())</ns0:f>
        <ns0:v/>
      </ns0:c>
      <ns0:c r="H1174">
        <ns0:f>IFERROR(IF(AND(AH!$E$4="Bloomberg",AH!$P$10=1,ISNUMBER($A1174),$A1174&lt;=AH!$P$17),AH!$P$7-1+MATCH($A1174,INDEX('AH History'!$A$1:$A$18046,AH!$P$7):INDEX('AH History'!$A$1:$A$18046,AH!$P$7+AH!$P$8-1),0),0),0)</ns0:f>
        <ns0:v/>
      </ns0:c>
      <ns0:c r="I1174">
        <ns0:f>IF($H1174=0,0,IFERROR(IF(AND(ABS($C1174-INDEX('AH History'!$B$1:$B$18046,$H1174))&lt;=MAX(0.005,ABS(INDEX('AH History'!$B$1:$B$18046,$H1174))*0.00005),ABS($D1174-INDEX('AH History'!$C$1:$C$18046,$H1174))&lt;=MAX(0.005,ABS(INDEX('AH History'!$C$1:$C$18046,$H1174))*0.00005),ABS($E1174-INDEX('AH History'!$D$1:$D$18046,$H1174))&lt;=0.00005,$F1174=INDEX('AH History'!$E$1:$E$18046,$H1174),$G1174=INDEX('AH History'!$F$1:$F$18046,$H1174)),1,-1),-1))</ns0:f>
        <ns0:v/>
      </ns0:c>
    </ns0:row>
    <ns0:row r="1175">
      <ns0:c r="A1175" s="215">
        <ns0:f>IF(OR(AH!$P$3=0,1170+1&gt;AH!$P$11,AND(AH!$E$4&lt;&gt;"Stored",AH!$P$10&lt;&gt;1)),"",IFERROR(IF(AND(AH!$P$21=1,1170+1=AH!$P$11),TODAY(),IF(AH!$P$10=1,INDEX('Live History'!$A$5:$A$3004,AH!$P$13+1170),INDEX('AH History'!$A$1:$A$18046,AH!$P$7+1170))),""))</ns0:f>
        <ns0:v/>
      </ns0:c>
      <ns0:c r="B1175" s="219">
        <ns0:f>IFERROR(IF(AND(AH!$P$9&lt;&gt;1,$C1175&gt;0,$D1175&gt;0,$E1175&gt;0,$F1175&gt;0,$G1175&gt;0,$F1175&lt;=$A1175,$G1175&lt;=$A1175,$A1175-$F1175&lt;=10,$A1175-$G1175&lt;=5),$D1175*$E1175/$C1175-1,NA()),NA())</ns0:f>
        <ns0:v/>
      </ns0:c>
      <ns0:c r="C1175">
        <ns0:f>IFERROR(IF(ISNUMBER($A1175),IF(AND(AH!$P$10=1,AH!$P$12=1,$A1175=TODAY()),AH!$P$19,IF(AH!$P$10=1,INDEX('Live History'!$B$5:$B$3004,AH!$P$13+1170),INDEX('AH History'!$B$1:$B$18046,AH!$P$7+1170))),NA()),NA())</ns0:f>
        <ns0:v/>
      </ns0:c>
      <ns0:c r="D1175">
        <ns0:f>IFERROR(IF(ISNUMBER($A1175),IF(AND(AH!$P$10=1,AH!$P$12=1,$A1175=TODAY()),AH!$P$18,IF(AH!$P$10=1,INDEX('Live History'!$E$5:$E$3004,MATCH($A1175,'Live History'!$D$5:$D$3004,1)),INDEX('AH History'!$C$1:$C$18046,AH!$P$7+1170))),NA()),NA())</ns0:f>
        <ns0:v/>
      </ns0:c>
      <ns0:c r="E1175">
        <ns0:f>IFERROR(IF(ISNUMBER($A1175),IF(AND(AH!$P$10=1,AH!$P$12=1,$A1175=TODAY()),AH!$P$20,IF(AH!$P$10=1,INDEX('Live History'!$H$5:$H$3004,MATCH($A1175,'Live History'!$G$5:$G$3004,1)),INDEX('AH History'!$D$1:$D$18046,AH!$P$7+1170))),NA()),NA())</ns0:f>
        <ns0:v/>
      </ns0:c>
      <ns0:c r="F1175">
        <ns0:f>IFERROR(IF(ISNUMBER($A1175),IF(AND(AH!$P$10=1,AH!$P$12=1,$A1175=TODAY()),IF(AND(AH!$P$10=1,AH!$P$12=1,$A1175=TODAY()),TODAY(),NA()),IF(AH!$P$10=1,INDEX('Live History'!$D$5:$D$3004,MATCH($A1175,'Live History'!$D$5:$D$3004,1)),INDEX('AH History'!$E$1:$E$18046,AH!$P$7+1170))),NA()),NA())</ns0:f>
        <ns0:v/>
      </ns0:c>
      <ns0:c r="G1175">
        <ns0:f>IFERROR(IF(ISNUMBER($A1175),IF(AND(AH!$P$10=1,AH!$P$12=1,$A1175=TODAY()),IF(AND(AH!$P$10=1,AH!$P$12=1,$A1175=TODAY()),TODAY(),NA()),IF(AH!$P$10=1,INDEX('Live History'!$G$5:$G$3004,MATCH($A1175,'Live History'!$G$5:$G$3004,1)),INDEX('AH History'!$F$1:$F$18046,AH!$P$7+1170))),NA()),NA())</ns0:f>
        <ns0:v/>
      </ns0:c>
      <ns0:c r="H1175">
        <ns0:f>IFERROR(IF(AND(AH!$E$4="Bloomberg",AH!$P$10=1,ISNUMBER($A1175),$A1175&lt;=AH!$P$17),AH!$P$7-1+MATCH($A1175,INDEX('AH History'!$A$1:$A$18046,AH!$P$7):INDEX('AH History'!$A$1:$A$18046,AH!$P$7+AH!$P$8-1),0),0),0)</ns0:f>
        <ns0:v/>
      </ns0:c>
      <ns0:c r="I1175">
        <ns0:f>IF($H1175=0,0,IFERROR(IF(AND(ABS($C1175-INDEX('AH History'!$B$1:$B$18046,$H1175))&lt;=MAX(0.005,ABS(INDEX('AH History'!$B$1:$B$18046,$H1175))*0.00005),ABS($D1175-INDEX('AH History'!$C$1:$C$18046,$H1175))&lt;=MAX(0.005,ABS(INDEX('AH History'!$C$1:$C$18046,$H1175))*0.00005),ABS($E1175-INDEX('AH History'!$D$1:$D$18046,$H1175))&lt;=0.00005,$F1175=INDEX('AH History'!$E$1:$E$18046,$H1175),$G1175=INDEX('AH History'!$F$1:$F$18046,$H1175)),1,-1),-1))</ns0:f>
        <ns0:v/>
      </ns0:c>
    </ns0:row>
    <ns0:row r="1176">
      <ns0:c r="A1176" s="215">
        <ns0:f>IF(OR(AH!$P$3=0,1171+1&gt;AH!$P$11,AND(AH!$E$4&lt;&gt;"Stored",AH!$P$10&lt;&gt;1)),"",IFERROR(IF(AND(AH!$P$21=1,1171+1=AH!$P$11),TODAY(),IF(AH!$P$10=1,INDEX('Live History'!$A$5:$A$3004,AH!$P$13+1171),INDEX('AH History'!$A$1:$A$18046,AH!$P$7+1171))),""))</ns0:f>
        <ns0:v/>
      </ns0:c>
      <ns0:c r="B1176" s="219">
        <ns0:f>IFERROR(IF(AND(AH!$P$9&lt;&gt;1,$C1176&gt;0,$D1176&gt;0,$E1176&gt;0,$F1176&gt;0,$G1176&gt;0,$F1176&lt;=$A1176,$G1176&lt;=$A1176,$A1176-$F1176&lt;=10,$A1176-$G1176&lt;=5),$D1176*$E1176/$C1176-1,NA()),NA())</ns0:f>
        <ns0:v/>
      </ns0:c>
      <ns0:c r="C1176">
        <ns0:f>IFERROR(IF(ISNUMBER($A1176),IF(AND(AH!$P$10=1,AH!$P$12=1,$A1176=TODAY()),AH!$P$19,IF(AH!$P$10=1,INDEX('Live History'!$B$5:$B$3004,AH!$P$13+1171),INDEX('AH History'!$B$1:$B$18046,AH!$P$7+1171))),NA()),NA())</ns0:f>
        <ns0:v/>
      </ns0:c>
      <ns0:c r="D1176">
        <ns0:f>IFERROR(IF(ISNUMBER($A1176),IF(AND(AH!$P$10=1,AH!$P$12=1,$A1176=TODAY()),AH!$P$18,IF(AH!$P$10=1,INDEX('Live History'!$E$5:$E$3004,MATCH($A1176,'Live History'!$D$5:$D$3004,1)),INDEX('AH History'!$C$1:$C$18046,AH!$P$7+1171))),NA()),NA())</ns0:f>
        <ns0:v/>
      </ns0:c>
      <ns0:c r="E1176">
        <ns0:f>IFERROR(IF(ISNUMBER($A1176),IF(AND(AH!$P$10=1,AH!$P$12=1,$A1176=TODAY()),AH!$P$20,IF(AH!$P$10=1,INDEX('Live History'!$H$5:$H$3004,MATCH($A1176,'Live History'!$G$5:$G$3004,1)),INDEX('AH History'!$D$1:$D$18046,AH!$P$7+1171))),NA()),NA())</ns0:f>
        <ns0:v/>
      </ns0:c>
      <ns0:c r="F1176">
        <ns0:f>IFERROR(IF(ISNUMBER($A1176),IF(AND(AH!$P$10=1,AH!$P$12=1,$A1176=TODAY()),IF(AND(AH!$P$10=1,AH!$P$12=1,$A1176=TODAY()),TODAY(),NA()),IF(AH!$P$10=1,INDEX('Live History'!$D$5:$D$3004,MATCH($A1176,'Live History'!$D$5:$D$3004,1)),INDEX('AH History'!$E$1:$E$18046,AH!$P$7+1171))),NA()),NA())</ns0:f>
        <ns0:v/>
      </ns0:c>
      <ns0:c r="G1176">
        <ns0:f>IFERROR(IF(ISNUMBER($A1176),IF(AND(AH!$P$10=1,AH!$P$12=1,$A1176=TODAY()),IF(AND(AH!$P$10=1,AH!$P$12=1,$A1176=TODAY()),TODAY(),NA()),IF(AH!$P$10=1,INDEX('Live History'!$G$5:$G$3004,MATCH($A1176,'Live History'!$G$5:$G$3004,1)),INDEX('AH History'!$F$1:$F$18046,AH!$P$7+1171))),NA()),NA())</ns0:f>
        <ns0:v/>
      </ns0:c>
      <ns0:c r="H1176">
        <ns0:f>IFERROR(IF(AND(AH!$E$4="Bloomberg",AH!$P$10=1,ISNUMBER($A1176),$A1176&lt;=AH!$P$17),AH!$P$7-1+MATCH($A1176,INDEX('AH History'!$A$1:$A$18046,AH!$P$7):INDEX('AH History'!$A$1:$A$18046,AH!$P$7+AH!$P$8-1),0),0),0)</ns0:f>
        <ns0:v/>
      </ns0:c>
      <ns0:c r="I1176">
        <ns0:f>IF($H1176=0,0,IFERROR(IF(AND(ABS($C1176-INDEX('AH History'!$B$1:$B$18046,$H1176))&lt;=MAX(0.005,ABS(INDEX('AH History'!$B$1:$B$18046,$H1176))*0.00005),ABS($D1176-INDEX('AH History'!$C$1:$C$18046,$H1176))&lt;=MAX(0.005,ABS(INDEX('AH History'!$C$1:$C$18046,$H1176))*0.00005),ABS($E1176-INDEX('AH History'!$D$1:$D$18046,$H1176))&lt;=0.00005,$F1176=INDEX('AH History'!$E$1:$E$18046,$H1176),$G1176=INDEX('AH History'!$F$1:$F$18046,$H1176)),1,-1),-1))</ns0:f>
        <ns0:v/>
      </ns0:c>
    </ns0:row>
    <ns0:row r="1177">
      <ns0:c r="A1177" s="215">
        <ns0:f>IF(OR(AH!$P$3=0,1172+1&gt;AH!$P$11,AND(AH!$E$4&lt;&gt;"Stored",AH!$P$10&lt;&gt;1)),"",IFERROR(IF(AND(AH!$P$21=1,1172+1=AH!$P$11),TODAY(),IF(AH!$P$10=1,INDEX('Live History'!$A$5:$A$3004,AH!$P$13+1172),INDEX('AH History'!$A$1:$A$18046,AH!$P$7+1172))),""))</ns0:f>
        <ns0:v/>
      </ns0:c>
      <ns0:c r="B1177" s="219">
        <ns0:f>IFERROR(IF(AND(AH!$P$9&lt;&gt;1,$C1177&gt;0,$D1177&gt;0,$E1177&gt;0,$F1177&gt;0,$G1177&gt;0,$F1177&lt;=$A1177,$G1177&lt;=$A1177,$A1177-$F1177&lt;=10,$A1177-$G1177&lt;=5),$D1177*$E1177/$C1177-1,NA()),NA())</ns0:f>
        <ns0:v/>
      </ns0:c>
      <ns0:c r="C1177">
        <ns0:f>IFERROR(IF(ISNUMBER($A1177),IF(AND(AH!$P$10=1,AH!$P$12=1,$A1177=TODAY()),AH!$P$19,IF(AH!$P$10=1,INDEX('Live History'!$B$5:$B$3004,AH!$P$13+1172),INDEX('AH History'!$B$1:$B$18046,AH!$P$7+1172))),NA()),NA())</ns0:f>
        <ns0:v/>
      </ns0:c>
      <ns0:c r="D1177">
        <ns0:f>IFERROR(IF(ISNUMBER($A1177),IF(AND(AH!$P$10=1,AH!$P$12=1,$A1177=TODAY()),AH!$P$18,IF(AH!$P$10=1,INDEX('Live History'!$E$5:$E$3004,MATCH($A1177,'Live History'!$D$5:$D$3004,1)),INDEX('AH History'!$C$1:$C$18046,AH!$P$7+1172))),NA()),NA())</ns0:f>
        <ns0:v/>
      </ns0:c>
      <ns0:c r="E1177">
        <ns0:f>IFERROR(IF(ISNUMBER($A1177),IF(AND(AH!$P$10=1,AH!$P$12=1,$A1177=TODAY()),AH!$P$20,IF(AH!$P$10=1,INDEX('Live History'!$H$5:$H$3004,MATCH($A1177,'Live History'!$G$5:$G$3004,1)),INDEX('AH History'!$D$1:$D$18046,AH!$P$7+1172))),NA()),NA())</ns0:f>
        <ns0:v/>
      </ns0:c>
      <ns0:c r="F1177">
        <ns0:f>IFERROR(IF(ISNUMBER($A1177),IF(AND(AH!$P$10=1,AH!$P$12=1,$A1177=TODAY()),IF(AND(AH!$P$10=1,AH!$P$12=1,$A1177=TODAY()),TODAY(),NA()),IF(AH!$P$10=1,INDEX('Live History'!$D$5:$D$3004,MATCH($A1177,'Live History'!$D$5:$D$3004,1)),INDEX('AH History'!$E$1:$E$18046,AH!$P$7+1172))),NA()),NA())</ns0:f>
        <ns0:v/>
      </ns0:c>
      <ns0:c r="G1177">
        <ns0:f>IFERROR(IF(ISNUMBER($A1177),IF(AND(AH!$P$10=1,AH!$P$12=1,$A1177=TODAY()),IF(AND(AH!$P$10=1,AH!$P$12=1,$A1177=TODAY()),TODAY(),NA()),IF(AH!$P$10=1,INDEX('Live History'!$G$5:$G$3004,MATCH($A1177,'Live History'!$G$5:$G$3004,1)),INDEX('AH History'!$F$1:$F$18046,AH!$P$7+1172))),NA()),NA())</ns0:f>
        <ns0:v/>
      </ns0:c>
      <ns0:c r="H1177">
        <ns0:f>IFERROR(IF(AND(AH!$E$4="Bloomberg",AH!$P$10=1,ISNUMBER($A1177),$A1177&lt;=AH!$P$17),AH!$P$7-1+MATCH($A1177,INDEX('AH History'!$A$1:$A$18046,AH!$P$7):INDEX('AH History'!$A$1:$A$18046,AH!$P$7+AH!$P$8-1),0),0),0)</ns0:f>
        <ns0:v/>
      </ns0:c>
      <ns0:c r="I1177">
        <ns0:f>IF($H1177=0,0,IFERROR(IF(AND(ABS($C1177-INDEX('AH History'!$B$1:$B$18046,$H1177))&lt;=MAX(0.005,ABS(INDEX('AH History'!$B$1:$B$18046,$H1177))*0.00005),ABS($D1177-INDEX('AH History'!$C$1:$C$18046,$H1177))&lt;=MAX(0.005,ABS(INDEX('AH History'!$C$1:$C$18046,$H1177))*0.00005),ABS($E1177-INDEX('AH History'!$D$1:$D$18046,$H1177))&lt;=0.00005,$F1177=INDEX('AH History'!$E$1:$E$18046,$H1177),$G1177=INDEX('AH History'!$F$1:$F$18046,$H1177)),1,-1),-1))</ns0:f>
        <ns0:v/>
      </ns0:c>
    </ns0:row>
    <ns0:row r="1178">
      <ns0:c r="A1178" s="215">
        <ns0:f>IF(OR(AH!$P$3=0,1173+1&gt;AH!$P$11,AND(AH!$E$4&lt;&gt;"Stored",AH!$P$10&lt;&gt;1)),"",IFERROR(IF(AND(AH!$P$21=1,1173+1=AH!$P$11),TODAY(),IF(AH!$P$10=1,INDEX('Live History'!$A$5:$A$3004,AH!$P$13+1173),INDEX('AH History'!$A$1:$A$18046,AH!$P$7+1173))),""))</ns0:f>
        <ns0:v/>
      </ns0:c>
      <ns0:c r="B1178" s="219">
        <ns0:f>IFERROR(IF(AND(AH!$P$9&lt;&gt;1,$C1178&gt;0,$D1178&gt;0,$E1178&gt;0,$F1178&gt;0,$G1178&gt;0,$F1178&lt;=$A1178,$G1178&lt;=$A1178,$A1178-$F1178&lt;=10,$A1178-$G1178&lt;=5),$D1178*$E1178/$C1178-1,NA()),NA())</ns0:f>
        <ns0:v/>
      </ns0:c>
      <ns0:c r="C1178">
        <ns0:f>IFERROR(IF(ISNUMBER($A1178),IF(AND(AH!$P$10=1,AH!$P$12=1,$A1178=TODAY()),AH!$P$19,IF(AH!$P$10=1,INDEX('Live History'!$B$5:$B$3004,AH!$P$13+1173),INDEX('AH History'!$B$1:$B$18046,AH!$P$7+1173))),NA()),NA())</ns0:f>
        <ns0:v/>
      </ns0:c>
      <ns0:c r="D1178">
        <ns0:f>IFERROR(IF(ISNUMBER($A1178),IF(AND(AH!$P$10=1,AH!$P$12=1,$A1178=TODAY()),AH!$P$18,IF(AH!$P$10=1,INDEX('Live History'!$E$5:$E$3004,MATCH($A1178,'Live History'!$D$5:$D$3004,1)),INDEX('AH History'!$C$1:$C$18046,AH!$P$7+1173))),NA()),NA())</ns0:f>
        <ns0:v/>
      </ns0:c>
      <ns0:c r="E1178">
        <ns0:f>IFERROR(IF(ISNUMBER($A1178),IF(AND(AH!$P$10=1,AH!$P$12=1,$A1178=TODAY()),AH!$P$20,IF(AH!$P$10=1,INDEX('Live History'!$H$5:$H$3004,MATCH($A1178,'Live History'!$G$5:$G$3004,1)),INDEX('AH History'!$D$1:$D$18046,AH!$P$7+1173))),NA()),NA())</ns0:f>
        <ns0:v/>
      </ns0:c>
      <ns0:c r="F1178">
        <ns0:f>IFERROR(IF(ISNUMBER($A1178),IF(AND(AH!$P$10=1,AH!$P$12=1,$A1178=TODAY()),IF(AND(AH!$P$10=1,AH!$P$12=1,$A1178=TODAY()),TODAY(),NA()),IF(AH!$P$10=1,INDEX('Live History'!$D$5:$D$3004,MATCH($A1178,'Live History'!$D$5:$D$3004,1)),INDEX('AH History'!$E$1:$E$18046,AH!$P$7+1173))),NA()),NA())</ns0:f>
        <ns0:v/>
      </ns0:c>
      <ns0:c r="G1178">
        <ns0:f>IFERROR(IF(ISNUMBER($A1178),IF(AND(AH!$P$10=1,AH!$P$12=1,$A1178=TODAY()),IF(AND(AH!$P$10=1,AH!$P$12=1,$A1178=TODAY()),TODAY(),NA()),IF(AH!$P$10=1,INDEX('Live History'!$G$5:$G$3004,MATCH($A1178,'Live History'!$G$5:$G$3004,1)),INDEX('AH History'!$F$1:$F$18046,AH!$P$7+1173))),NA()),NA())</ns0:f>
        <ns0:v/>
      </ns0:c>
      <ns0:c r="H1178">
        <ns0:f>IFERROR(IF(AND(AH!$E$4="Bloomberg",AH!$P$10=1,ISNUMBER($A1178),$A1178&lt;=AH!$P$17),AH!$P$7-1+MATCH($A1178,INDEX('AH History'!$A$1:$A$18046,AH!$P$7):INDEX('AH History'!$A$1:$A$18046,AH!$P$7+AH!$P$8-1),0),0),0)</ns0:f>
        <ns0:v/>
      </ns0:c>
      <ns0:c r="I1178">
        <ns0:f>IF($H1178=0,0,IFERROR(IF(AND(ABS($C1178-INDEX('AH History'!$B$1:$B$18046,$H1178))&lt;=MAX(0.005,ABS(INDEX('AH History'!$B$1:$B$18046,$H1178))*0.00005),ABS($D1178-INDEX('AH History'!$C$1:$C$18046,$H1178))&lt;=MAX(0.005,ABS(INDEX('AH History'!$C$1:$C$18046,$H1178))*0.00005),ABS($E1178-INDEX('AH History'!$D$1:$D$18046,$H1178))&lt;=0.00005,$F1178=INDEX('AH History'!$E$1:$E$18046,$H1178),$G1178=INDEX('AH History'!$F$1:$F$18046,$H1178)),1,-1),-1))</ns0:f>
        <ns0:v/>
      </ns0:c>
    </ns0:row>
    <ns0:row r="1179">
      <ns0:c r="A1179" s="215">
        <ns0:f>IF(OR(AH!$P$3=0,1174+1&gt;AH!$P$11,AND(AH!$E$4&lt;&gt;"Stored",AH!$P$10&lt;&gt;1)),"",IFERROR(IF(AND(AH!$P$21=1,1174+1=AH!$P$11),TODAY(),IF(AH!$P$10=1,INDEX('Live History'!$A$5:$A$3004,AH!$P$13+1174),INDEX('AH History'!$A$1:$A$18046,AH!$P$7+1174))),""))</ns0:f>
        <ns0:v/>
      </ns0:c>
      <ns0:c r="B1179" s="219">
        <ns0:f>IFERROR(IF(AND(AH!$P$9&lt;&gt;1,$C1179&gt;0,$D1179&gt;0,$E1179&gt;0,$F1179&gt;0,$G1179&gt;0,$F1179&lt;=$A1179,$G1179&lt;=$A1179,$A1179-$F1179&lt;=10,$A1179-$G1179&lt;=5),$D1179*$E1179/$C1179-1,NA()),NA())</ns0:f>
        <ns0:v/>
      </ns0:c>
      <ns0:c r="C1179">
        <ns0:f>IFERROR(IF(ISNUMBER($A1179),IF(AND(AH!$P$10=1,AH!$P$12=1,$A1179=TODAY()),AH!$P$19,IF(AH!$P$10=1,INDEX('Live History'!$B$5:$B$3004,AH!$P$13+1174),INDEX('AH History'!$B$1:$B$18046,AH!$P$7+1174))),NA()),NA())</ns0:f>
        <ns0:v/>
      </ns0:c>
      <ns0:c r="D1179">
        <ns0:f>IFERROR(IF(ISNUMBER($A1179),IF(AND(AH!$P$10=1,AH!$P$12=1,$A1179=TODAY()),AH!$P$18,IF(AH!$P$10=1,INDEX('Live History'!$E$5:$E$3004,MATCH($A1179,'Live History'!$D$5:$D$3004,1)),INDEX('AH History'!$C$1:$C$18046,AH!$P$7+1174))),NA()),NA())</ns0:f>
        <ns0:v/>
      </ns0:c>
      <ns0:c r="E1179">
        <ns0:f>IFERROR(IF(ISNUMBER($A1179),IF(AND(AH!$P$10=1,AH!$P$12=1,$A1179=TODAY()),AH!$P$20,IF(AH!$P$10=1,INDEX('Live History'!$H$5:$H$3004,MATCH($A1179,'Live History'!$G$5:$G$3004,1)),INDEX('AH History'!$D$1:$D$18046,AH!$P$7+1174))),NA()),NA())</ns0:f>
        <ns0:v/>
      </ns0:c>
      <ns0:c r="F1179">
        <ns0:f>IFERROR(IF(ISNUMBER($A1179),IF(AND(AH!$P$10=1,AH!$P$12=1,$A1179=TODAY()),IF(AND(AH!$P$10=1,AH!$P$12=1,$A1179=TODAY()),TODAY(),NA()),IF(AH!$P$10=1,INDEX('Live History'!$D$5:$D$3004,MATCH($A1179,'Live History'!$D$5:$D$3004,1)),INDEX('AH History'!$E$1:$E$18046,AH!$P$7+1174))),NA()),NA())</ns0:f>
        <ns0:v/>
      </ns0:c>
      <ns0:c r="G1179">
        <ns0:f>IFERROR(IF(ISNUMBER($A1179),IF(AND(AH!$P$10=1,AH!$P$12=1,$A1179=TODAY()),IF(AND(AH!$P$10=1,AH!$P$12=1,$A1179=TODAY()),TODAY(),NA()),IF(AH!$P$10=1,INDEX('Live History'!$G$5:$G$3004,MATCH($A1179,'Live History'!$G$5:$G$3004,1)),INDEX('AH History'!$F$1:$F$18046,AH!$P$7+1174))),NA()),NA())</ns0:f>
        <ns0:v/>
      </ns0:c>
      <ns0:c r="H1179">
        <ns0:f>IFERROR(IF(AND(AH!$E$4="Bloomberg",AH!$P$10=1,ISNUMBER($A1179),$A1179&lt;=AH!$P$17),AH!$P$7-1+MATCH($A1179,INDEX('AH History'!$A$1:$A$18046,AH!$P$7):INDEX('AH History'!$A$1:$A$18046,AH!$P$7+AH!$P$8-1),0),0),0)</ns0:f>
        <ns0:v/>
      </ns0:c>
      <ns0:c r="I1179">
        <ns0:f>IF($H1179=0,0,IFERROR(IF(AND(ABS($C1179-INDEX('AH History'!$B$1:$B$18046,$H1179))&lt;=MAX(0.005,ABS(INDEX('AH History'!$B$1:$B$18046,$H1179))*0.00005),ABS($D1179-INDEX('AH History'!$C$1:$C$18046,$H1179))&lt;=MAX(0.005,ABS(INDEX('AH History'!$C$1:$C$18046,$H1179))*0.00005),ABS($E1179-INDEX('AH History'!$D$1:$D$18046,$H1179))&lt;=0.00005,$F1179=INDEX('AH History'!$E$1:$E$18046,$H1179),$G1179=INDEX('AH History'!$F$1:$F$18046,$H1179)),1,-1),-1))</ns0:f>
        <ns0:v/>
      </ns0:c>
    </ns0:row>
    <ns0:row r="1180">
      <ns0:c r="A1180" s="215">
        <ns0:f>IF(OR(AH!$P$3=0,1175+1&gt;AH!$P$11,AND(AH!$E$4&lt;&gt;"Stored",AH!$P$10&lt;&gt;1)),"",IFERROR(IF(AND(AH!$P$21=1,1175+1=AH!$P$11),TODAY(),IF(AH!$P$10=1,INDEX('Live History'!$A$5:$A$3004,AH!$P$13+1175),INDEX('AH History'!$A$1:$A$18046,AH!$P$7+1175))),""))</ns0:f>
        <ns0:v/>
      </ns0:c>
      <ns0:c r="B1180" s="219">
        <ns0:f>IFERROR(IF(AND(AH!$P$9&lt;&gt;1,$C1180&gt;0,$D1180&gt;0,$E1180&gt;0,$F1180&gt;0,$G1180&gt;0,$F1180&lt;=$A1180,$G1180&lt;=$A1180,$A1180-$F1180&lt;=10,$A1180-$G1180&lt;=5),$D1180*$E1180/$C1180-1,NA()),NA())</ns0:f>
        <ns0:v/>
      </ns0:c>
      <ns0:c r="C1180">
        <ns0:f>IFERROR(IF(ISNUMBER($A1180),IF(AND(AH!$P$10=1,AH!$P$12=1,$A1180=TODAY()),AH!$P$19,IF(AH!$P$10=1,INDEX('Live History'!$B$5:$B$3004,AH!$P$13+1175),INDEX('AH History'!$B$1:$B$18046,AH!$P$7+1175))),NA()),NA())</ns0:f>
        <ns0:v/>
      </ns0:c>
      <ns0:c r="D1180">
        <ns0:f>IFERROR(IF(ISNUMBER($A1180),IF(AND(AH!$P$10=1,AH!$P$12=1,$A1180=TODAY()),AH!$P$18,IF(AH!$P$10=1,INDEX('Live History'!$E$5:$E$3004,MATCH($A1180,'Live History'!$D$5:$D$3004,1)),INDEX('AH History'!$C$1:$C$18046,AH!$P$7+1175))),NA()),NA())</ns0:f>
        <ns0:v/>
      </ns0:c>
      <ns0:c r="E1180">
        <ns0:f>IFERROR(IF(ISNUMBER($A1180),IF(AND(AH!$P$10=1,AH!$P$12=1,$A1180=TODAY()),AH!$P$20,IF(AH!$P$10=1,INDEX('Live History'!$H$5:$H$3004,MATCH($A1180,'Live History'!$G$5:$G$3004,1)),INDEX('AH History'!$D$1:$D$18046,AH!$P$7+1175))),NA()),NA())</ns0:f>
        <ns0:v/>
      </ns0:c>
      <ns0:c r="F1180">
        <ns0:f>IFERROR(IF(ISNUMBER($A1180),IF(AND(AH!$P$10=1,AH!$P$12=1,$A1180=TODAY()),IF(AND(AH!$P$10=1,AH!$P$12=1,$A1180=TODAY()),TODAY(),NA()),IF(AH!$P$10=1,INDEX('Live History'!$D$5:$D$3004,MATCH($A1180,'Live History'!$D$5:$D$3004,1)),INDEX('AH History'!$E$1:$E$18046,AH!$P$7+1175))),NA()),NA())</ns0:f>
        <ns0:v/>
      </ns0:c>
      <ns0:c r="G1180">
        <ns0:f>IFERROR(IF(ISNUMBER($A1180),IF(AND(AH!$P$10=1,AH!$P$12=1,$A1180=TODAY()),IF(AND(AH!$P$10=1,AH!$P$12=1,$A1180=TODAY()),TODAY(),NA()),IF(AH!$P$10=1,INDEX('Live History'!$G$5:$G$3004,MATCH($A1180,'Live History'!$G$5:$G$3004,1)),INDEX('AH History'!$F$1:$F$18046,AH!$P$7+1175))),NA()),NA())</ns0:f>
        <ns0:v/>
      </ns0:c>
      <ns0:c r="H1180">
        <ns0:f>IFERROR(IF(AND(AH!$E$4="Bloomberg",AH!$P$10=1,ISNUMBER($A1180),$A1180&lt;=AH!$P$17),AH!$P$7-1+MATCH($A1180,INDEX('AH History'!$A$1:$A$18046,AH!$P$7):INDEX('AH History'!$A$1:$A$18046,AH!$P$7+AH!$P$8-1),0),0),0)</ns0:f>
        <ns0:v/>
      </ns0:c>
      <ns0:c r="I1180">
        <ns0:f>IF($H1180=0,0,IFERROR(IF(AND(ABS($C1180-INDEX('AH History'!$B$1:$B$18046,$H1180))&lt;=MAX(0.005,ABS(INDEX('AH History'!$B$1:$B$18046,$H1180))*0.00005),ABS($D1180-INDEX('AH History'!$C$1:$C$18046,$H1180))&lt;=MAX(0.005,ABS(INDEX('AH History'!$C$1:$C$18046,$H1180))*0.00005),ABS($E1180-INDEX('AH History'!$D$1:$D$18046,$H1180))&lt;=0.00005,$F1180=INDEX('AH History'!$E$1:$E$18046,$H1180),$G1180=INDEX('AH History'!$F$1:$F$18046,$H1180)),1,-1),-1))</ns0:f>
        <ns0:v/>
      </ns0:c>
    </ns0:row>
    <ns0:row r="1181">
      <ns0:c r="A1181" s="215">
        <ns0:f>IF(OR(AH!$P$3=0,1176+1&gt;AH!$P$11,AND(AH!$E$4&lt;&gt;"Stored",AH!$P$10&lt;&gt;1)),"",IFERROR(IF(AND(AH!$P$21=1,1176+1=AH!$P$11),TODAY(),IF(AH!$P$10=1,INDEX('Live History'!$A$5:$A$3004,AH!$P$13+1176),INDEX('AH History'!$A$1:$A$18046,AH!$P$7+1176))),""))</ns0:f>
        <ns0:v/>
      </ns0:c>
      <ns0:c r="B1181" s="219">
        <ns0:f>IFERROR(IF(AND(AH!$P$9&lt;&gt;1,$C1181&gt;0,$D1181&gt;0,$E1181&gt;0,$F1181&gt;0,$G1181&gt;0,$F1181&lt;=$A1181,$G1181&lt;=$A1181,$A1181-$F1181&lt;=10,$A1181-$G1181&lt;=5),$D1181*$E1181/$C1181-1,NA()),NA())</ns0:f>
        <ns0:v/>
      </ns0:c>
      <ns0:c r="C1181">
        <ns0:f>IFERROR(IF(ISNUMBER($A1181),IF(AND(AH!$P$10=1,AH!$P$12=1,$A1181=TODAY()),AH!$P$19,IF(AH!$P$10=1,INDEX('Live History'!$B$5:$B$3004,AH!$P$13+1176),INDEX('AH History'!$B$1:$B$18046,AH!$P$7+1176))),NA()),NA())</ns0:f>
        <ns0:v/>
      </ns0:c>
      <ns0:c r="D1181">
        <ns0:f>IFERROR(IF(ISNUMBER($A1181),IF(AND(AH!$P$10=1,AH!$P$12=1,$A1181=TODAY()),AH!$P$18,IF(AH!$P$10=1,INDEX('Live History'!$E$5:$E$3004,MATCH($A1181,'Live History'!$D$5:$D$3004,1)),INDEX('AH History'!$C$1:$C$18046,AH!$P$7+1176))),NA()),NA())</ns0:f>
        <ns0:v/>
      </ns0:c>
      <ns0:c r="E1181">
        <ns0:f>IFERROR(IF(ISNUMBER($A1181),IF(AND(AH!$P$10=1,AH!$P$12=1,$A1181=TODAY()),AH!$P$20,IF(AH!$P$10=1,INDEX('Live History'!$H$5:$H$3004,MATCH($A1181,'Live History'!$G$5:$G$3004,1)),INDEX('AH History'!$D$1:$D$18046,AH!$P$7+1176))),NA()),NA())</ns0:f>
        <ns0:v/>
      </ns0:c>
      <ns0:c r="F1181">
        <ns0:f>IFERROR(IF(ISNUMBER($A1181),IF(AND(AH!$P$10=1,AH!$P$12=1,$A1181=TODAY()),IF(AND(AH!$P$10=1,AH!$P$12=1,$A1181=TODAY()),TODAY(),NA()),IF(AH!$P$10=1,INDEX('Live History'!$D$5:$D$3004,MATCH($A1181,'Live History'!$D$5:$D$3004,1)),INDEX('AH History'!$E$1:$E$18046,AH!$P$7+1176))),NA()),NA())</ns0:f>
        <ns0:v/>
      </ns0:c>
      <ns0:c r="G1181">
        <ns0:f>IFERROR(IF(ISNUMBER($A1181),IF(AND(AH!$P$10=1,AH!$P$12=1,$A1181=TODAY()),IF(AND(AH!$P$10=1,AH!$P$12=1,$A1181=TODAY()),TODAY(),NA()),IF(AH!$P$10=1,INDEX('Live History'!$G$5:$G$3004,MATCH($A1181,'Live History'!$G$5:$G$3004,1)),INDEX('AH History'!$F$1:$F$18046,AH!$P$7+1176))),NA()),NA())</ns0:f>
        <ns0:v/>
      </ns0:c>
      <ns0:c r="H1181">
        <ns0:f>IFERROR(IF(AND(AH!$E$4="Bloomberg",AH!$P$10=1,ISNUMBER($A1181),$A1181&lt;=AH!$P$17),AH!$P$7-1+MATCH($A1181,INDEX('AH History'!$A$1:$A$18046,AH!$P$7):INDEX('AH History'!$A$1:$A$18046,AH!$P$7+AH!$P$8-1),0),0),0)</ns0:f>
        <ns0:v/>
      </ns0:c>
      <ns0:c r="I1181">
        <ns0:f>IF($H1181=0,0,IFERROR(IF(AND(ABS($C1181-INDEX('AH History'!$B$1:$B$18046,$H1181))&lt;=MAX(0.005,ABS(INDEX('AH History'!$B$1:$B$18046,$H1181))*0.00005),ABS($D1181-INDEX('AH History'!$C$1:$C$18046,$H1181))&lt;=MAX(0.005,ABS(INDEX('AH History'!$C$1:$C$18046,$H1181))*0.00005),ABS($E1181-INDEX('AH History'!$D$1:$D$18046,$H1181))&lt;=0.00005,$F1181=INDEX('AH History'!$E$1:$E$18046,$H1181),$G1181=INDEX('AH History'!$F$1:$F$18046,$H1181)),1,-1),-1))</ns0:f>
        <ns0:v/>
      </ns0:c>
    </ns0:row>
    <ns0:row r="1182">
      <ns0:c r="A1182" s="215">
        <ns0:f>IF(OR(AH!$P$3=0,1177+1&gt;AH!$P$11,AND(AH!$E$4&lt;&gt;"Stored",AH!$P$10&lt;&gt;1)),"",IFERROR(IF(AND(AH!$P$21=1,1177+1=AH!$P$11),TODAY(),IF(AH!$P$10=1,INDEX('Live History'!$A$5:$A$3004,AH!$P$13+1177),INDEX('AH History'!$A$1:$A$18046,AH!$P$7+1177))),""))</ns0:f>
        <ns0:v/>
      </ns0:c>
      <ns0:c r="B1182" s="219">
        <ns0:f>IFERROR(IF(AND(AH!$P$9&lt;&gt;1,$C1182&gt;0,$D1182&gt;0,$E1182&gt;0,$F1182&gt;0,$G1182&gt;0,$F1182&lt;=$A1182,$G1182&lt;=$A1182,$A1182-$F1182&lt;=10,$A1182-$G1182&lt;=5),$D1182*$E1182/$C1182-1,NA()),NA())</ns0:f>
        <ns0:v/>
      </ns0:c>
      <ns0:c r="C1182">
        <ns0:f>IFERROR(IF(ISNUMBER($A1182),IF(AND(AH!$P$10=1,AH!$P$12=1,$A1182=TODAY()),AH!$P$19,IF(AH!$P$10=1,INDEX('Live History'!$B$5:$B$3004,AH!$P$13+1177),INDEX('AH History'!$B$1:$B$18046,AH!$P$7+1177))),NA()),NA())</ns0:f>
        <ns0:v/>
      </ns0:c>
      <ns0:c r="D1182">
        <ns0:f>IFERROR(IF(ISNUMBER($A1182),IF(AND(AH!$P$10=1,AH!$P$12=1,$A1182=TODAY()),AH!$P$18,IF(AH!$P$10=1,INDEX('Live History'!$E$5:$E$3004,MATCH($A1182,'Live History'!$D$5:$D$3004,1)),INDEX('AH History'!$C$1:$C$18046,AH!$P$7+1177))),NA()),NA())</ns0:f>
        <ns0:v/>
      </ns0:c>
      <ns0:c r="E1182">
        <ns0:f>IFERROR(IF(ISNUMBER($A1182),IF(AND(AH!$P$10=1,AH!$P$12=1,$A1182=TODAY()),AH!$P$20,IF(AH!$P$10=1,INDEX('Live History'!$H$5:$H$3004,MATCH($A1182,'Live History'!$G$5:$G$3004,1)),INDEX('AH History'!$D$1:$D$18046,AH!$P$7+1177))),NA()),NA())</ns0:f>
        <ns0:v/>
      </ns0:c>
      <ns0:c r="F1182">
        <ns0:f>IFERROR(IF(ISNUMBER($A1182),IF(AND(AH!$P$10=1,AH!$P$12=1,$A1182=TODAY()),IF(AND(AH!$P$10=1,AH!$P$12=1,$A1182=TODAY()),TODAY(),NA()),IF(AH!$P$10=1,INDEX('Live History'!$D$5:$D$3004,MATCH($A1182,'Live History'!$D$5:$D$3004,1)),INDEX('AH History'!$E$1:$E$18046,AH!$P$7+1177))),NA()),NA())</ns0:f>
        <ns0:v/>
      </ns0:c>
      <ns0:c r="G1182">
        <ns0:f>IFERROR(IF(ISNUMBER($A1182),IF(AND(AH!$P$10=1,AH!$P$12=1,$A1182=TODAY()),IF(AND(AH!$P$10=1,AH!$P$12=1,$A1182=TODAY()),TODAY(),NA()),IF(AH!$P$10=1,INDEX('Live History'!$G$5:$G$3004,MATCH($A1182,'Live History'!$G$5:$G$3004,1)),INDEX('AH History'!$F$1:$F$18046,AH!$P$7+1177))),NA()),NA())</ns0:f>
        <ns0:v/>
      </ns0:c>
      <ns0:c r="H1182">
        <ns0:f>IFERROR(IF(AND(AH!$E$4="Bloomberg",AH!$P$10=1,ISNUMBER($A1182),$A1182&lt;=AH!$P$17),AH!$P$7-1+MATCH($A1182,INDEX('AH History'!$A$1:$A$18046,AH!$P$7):INDEX('AH History'!$A$1:$A$18046,AH!$P$7+AH!$P$8-1),0),0),0)</ns0:f>
        <ns0:v/>
      </ns0:c>
      <ns0:c r="I1182">
        <ns0:f>IF($H1182=0,0,IFERROR(IF(AND(ABS($C1182-INDEX('AH History'!$B$1:$B$18046,$H1182))&lt;=MAX(0.005,ABS(INDEX('AH History'!$B$1:$B$18046,$H1182))*0.00005),ABS($D1182-INDEX('AH History'!$C$1:$C$18046,$H1182))&lt;=MAX(0.005,ABS(INDEX('AH History'!$C$1:$C$18046,$H1182))*0.00005),ABS($E1182-INDEX('AH History'!$D$1:$D$18046,$H1182))&lt;=0.00005,$F1182=INDEX('AH History'!$E$1:$E$18046,$H1182),$G1182=INDEX('AH History'!$F$1:$F$18046,$H1182)),1,-1),-1))</ns0:f>
        <ns0:v/>
      </ns0:c>
    </ns0:row>
    <ns0:row r="1183">
      <ns0:c r="A1183" s="215">
        <ns0:f>IF(OR(AH!$P$3=0,1178+1&gt;AH!$P$11,AND(AH!$E$4&lt;&gt;"Stored",AH!$P$10&lt;&gt;1)),"",IFERROR(IF(AND(AH!$P$21=1,1178+1=AH!$P$11),TODAY(),IF(AH!$P$10=1,INDEX('Live History'!$A$5:$A$3004,AH!$P$13+1178),INDEX('AH History'!$A$1:$A$18046,AH!$P$7+1178))),""))</ns0:f>
        <ns0:v/>
      </ns0:c>
      <ns0:c r="B1183" s="219">
        <ns0:f>IFERROR(IF(AND(AH!$P$9&lt;&gt;1,$C1183&gt;0,$D1183&gt;0,$E1183&gt;0,$F1183&gt;0,$G1183&gt;0,$F1183&lt;=$A1183,$G1183&lt;=$A1183,$A1183-$F1183&lt;=10,$A1183-$G1183&lt;=5),$D1183*$E1183/$C1183-1,NA()),NA())</ns0:f>
        <ns0:v/>
      </ns0:c>
      <ns0:c r="C1183">
        <ns0:f>IFERROR(IF(ISNUMBER($A1183),IF(AND(AH!$P$10=1,AH!$P$12=1,$A1183=TODAY()),AH!$P$19,IF(AH!$P$10=1,INDEX('Live History'!$B$5:$B$3004,AH!$P$13+1178),INDEX('AH History'!$B$1:$B$18046,AH!$P$7+1178))),NA()),NA())</ns0:f>
        <ns0:v/>
      </ns0:c>
      <ns0:c r="D1183">
        <ns0:f>IFERROR(IF(ISNUMBER($A1183),IF(AND(AH!$P$10=1,AH!$P$12=1,$A1183=TODAY()),AH!$P$18,IF(AH!$P$10=1,INDEX('Live History'!$E$5:$E$3004,MATCH($A1183,'Live History'!$D$5:$D$3004,1)),INDEX('AH History'!$C$1:$C$18046,AH!$P$7+1178))),NA()),NA())</ns0:f>
        <ns0:v/>
      </ns0:c>
      <ns0:c r="E1183">
        <ns0:f>IFERROR(IF(ISNUMBER($A1183),IF(AND(AH!$P$10=1,AH!$P$12=1,$A1183=TODAY()),AH!$P$20,IF(AH!$P$10=1,INDEX('Live History'!$H$5:$H$3004,MATCH($A1183,'Live History'!$G$5:$G$3004,1)),INDEX('AH History'!$D$1:$D$18046,AH!$P$7+1178))),NA()),NA())</ns0:f>
        <ns0:v/>
      </ns0:c>
      <ns0:c r="F1183">
        <ns0:f>IFERROR(IF(ISNUMBER($A1183),IF(AND(AH!$P$10=1,AH!$P$12=1,$A1183=TODAY()),IF(AND(AH!$P$10=1,AH!$P$12=1,$A1183=TODAY()),TODAY(),NA()),IF(AH!$P$10=1,INDEX('Live History'!$D$5:$D$3004,MATCH($A1183,'Live History'!$D$5:$D$3004,1)),INDEX('AH History'!$E$1:$E$18046,AH!$P$7+1178))),NA()),NA())</ns0:f>
        <ns0:v/>
      </ns0:c>
      <ns0:c r="G1183">
        <ns0:f>IFERROR(IF(ISNUMBER($A1183),IF(AND(AH!$P$10=1,AH!$P$12=1,$A1183=TODAY()),IF(AND(AH!$P$10=1,AH!$P$12=1,$A1183=TODAY()),TODAY(),NA()),IF(AH!$P$10=1,INDEX('Live History'!$G$5:$G$3004,MATCH($A1183,'Live History'!$G$5:$G$3004,1)),INDEX('AH History'!$F$1:$F$18046,AH!$P$7+1178))),NA()),NA())</ns0:f>
        <ns0:v/>
      </ns0:c>
      <ns0:c r="H1183">
        <ns0:f>IFERROR(IF(AND(AH!$E$4="Bloomberg",AH!$P$10=1,ISNUMBER($A1183),$A1183&lt;=AH!$P$17),AH!$P$7-1+MATCH($A1183,INDEX('AH History'!$A$1:$A$18046,AH!$P$7):INDEX('AH History'!$A$1:$A$18046,AH!$P$7+AH!$P$8-1),0),0),0)</ns0:f>
        <ns0:v/>
      </ns0:c>
      <ns0:c r="I1183">
        <ns0:f>IF($H1183=0,0,IFERROR(IF(AND(ABS($C1183-INDEX('AH History'!$B$1:$B$18046,$H1183))&lt;=MAX(0.005,ABS(INDEX('AH History'!$B$1:$B$18046,$H1183))*0.00005),ABS($D1183-INDEX('AH History'!$C$1:$C$18046,$H1183))&lt;=MAX(0.005,ABS(INDEX('AH History'!$C$1:$C$18046,$H1183))*0.00005),ABS($E1183-INDEX('AH History'!$D$1:$D$18046,$H1183))&lt;=0.00005,$F1183=INDEX('AH History'!$E$1:$E$18046,$H1183),$G1183=INDEX('AH History'!$F$1:$F$18046,$H1183)),1,-1),-1))</ns0:f>
        <ns0:v/>
      </ns0:c>
    </ns0:row>
    <ns0:row r="1184">
      <ns0:c r="A1184" s="215">
        <ns0:f>IF(OR(AH!$P$3=0,1179+1&gt;AH!$P$11,AND(AH!$E$4&lt;&gt;"Stored",AH!$P$10&lt;&gt;1)),"",IFERROR(IF(AND(AH!$P$21=1,1179+1=AH!$P$11),TODAY(),IF(AH!$P$10=1,INDEX('Live History'!$A$5:$A$3004,AH!$P$13+1179),INDEX('AH History'!$A$1:$A$18046,AH!$P$7+1179))),""))</ns0:f>
        <ns0:v/>
      </ns0:c>
      <ns0:c r="B1184" s="219">
        <ns0:f>IFERROR(IF(AND(AH!$P$9&lt;&gt;1,$C1184&gt;0,$D1184&gt;0,$E1184&gt;0,$F1184&gt;0,$G1184&gt;0,$F1184&lt;=$A1184,$G1184&lt;=$A1184,$A1184-$F1184&lt;=10,$A1184-$G1184&lt;=5),$D1184*$E1184/$C1184-1,NA()),NA())</ns0:f>
        <ns0:v/>
      </ns0:c>
      <ns0:c r="C1184">
        <ns0:f>IFERROR(IF(ISNUMBER($A1184),IF(AND(AH!$P$10=1,AH!$P$12=1,$A1184=TODAY()),AH!$P$19,IF(AH!$P$10=1,INDEX('Live History'!$B$5:$B$3004,AH!$P$13+1179),INDEX('AH History'!$B$1:$B$18046,AH!$P$7+1179))),NA()),NA())</ns0:f>
        <ns0:v/>
      </ns0:c>
      <ns0:c r="D1184">
        <ns0:f>IFERROR(IF(ISNUMBER($A1184),IF(AND(AH!$P$10=1,AH!$P$12=1,$A1184=TODAY()),AH!$P$18,IF(AH!$P$10=1,INDEX('Live History'!$E$5:$E$3004,MATCH($A1184,'Live History'!$D$5:$D$3004,1)),INDEX('AH History'!$C$1:$C$18046,AH!$P$7+1179))),NA()),NA())</ns0:f>
        <ns0:v/>
      </ns0:c>
      <ns0:c r="E1184">
        <ns0:f>IFERROR(IF(ISNUMBER($A1184),IF(AND(AH!$P$10=1,AH!$P$12=1,$A1184=TODAY()),AH!$P$20,IF(AH!$P$10=1,INDEX('Live History'!$H$5:$H$3004,MATCH($A1184,'Live History'!$G$5:$G$3004,1)),INDEX('AH History'!$D$1:$D$18046,AH!$P$7+1179))),NA()),NA())</ns0:f>
        <ns0:v/>
      </ns0:c>
      <ns0:c r="F1184">
        <ns0:f>IFERROR(IF(ISNUMBER($A1184),IF(AND(AH!$P$10=1,AH!$P$12=1,$A1184=TODAY()),IF(AND(AH!$P$10=1,AH!$P$12=1,$A1184=TODAY()),TODAY(),NA()),IF(AH!$P$10=1,INDEX('Live History'!$D$5:$D$3004,MATCH($A1184,'Live History'!$D$5:$D$3004,1)),INDEX('AH History'!$E$1:$E$18046,AH!$P$7+1179))),NA()),NA())</ns0:f>
        <ns0:v/>
      </ns0:c>
      <ns0:c r="G1184">
        <ns0:f>IFERROR(IF(ISNUMBER($A1184),IF(AND(AH!$P$10=1,AH!$P$12=1,$A1184=TODAY()),IF(AND(AH!$P$10=1,AH!$P$12=1,$A1184=TODAY()),TODAY(),NA()),IF(AH!$P$10=1,INDEX('Live History'!$G$5:$G$3004,MATCH($A1184,'Live History'!$G$5:$G$3004,1)),INDEX('AH History'!$F$1:$F$18046,AH!$P$7+1179))),NA()),NA())</ns0:f>
        <ns0:v/>
      </ns0:c>
      <ns0:c r="H1184">
        <ns0:f>IFERROR(IF(AND(AH!$E$4="Bloomberg",AH!$P$10=1,ISNUMBER($A1184),$A1184&lt;=AH!$P$17),AH!$P$7-1+MATCH($A1184,INDEX('AH History'!$A$1:$A$18046,AH!$P$7):INDEX('AH History'!$A$1:$A$18046,AH!$P$7+AH!$P$8-1),0),0),0)</ns0:f>
        <ns0:v/>
      </ns0:c>
      <ns0:c r="I1184">
        <ns0:f>IF($H1184=0,0,IFERROR(IF(AND(ABS($C1184-INDEX('AH History'!$B$1:$B$18046,$H1184))&lt;=MAX(0.005,ABS(INDEX('AH History'!$B$1:$B$18046,$H1184))*0.00005),ABS($D1184-INDEX('AH History'!$C$1:$C$18046,$H1184))&lt;=MAX(0.005,ABS(INDEX('AH History'!$C$1:$C$18046,$H1184))*0.00005),ABS($E1184-INDEX('AH History'!$D$1:$D$18046,$H1184))&lt;=0.00005,$F1184=INDEX('AH History'!$E$1:$E$18046,$H1184),$G1184=INDEX('AH History'!$F$1:$F$18046,$H1184)),1,-1),-1))</ns0:f>
        <ns0:v/>
      </ns0:c>
    </ns0:row>
    <ns0:row r="1185">
      <ns0:c r="A1185" s="215">
        <ns0:f>IF(OR(AH!$P$3=0,1180+1&gt;AH!$P$11,AND(AH!$E$4&lt;&gt;"Stored",AH!$P$10&lt;&gt;1)),"",IFERROR(IF(AND(AH!$P$21=1,1180+1=AH!$P$11),TODAY(),IF(AH!$P$10=1,INDEX('Live History'!$A$5:$A$3004,AH!$P$13+1180),INDEX('AH History'!$A$1:$A$18046,AH!$P$7+1180))),""))</ns0:f>
        <ns0:v/>
      </ns0:c>
      <ns0:c r="B1185" s="219">
        <ns0:f>IFERROR(IF(AND(AH!$P$9&lt;&gt;1,$C1185&gt;0,$D1185&gt;0,$E1185&gt;0,$F1185&gt;0,$G1185&gt;0,$F1185&lt;=$A1185,$G1185&lt;=$A1185,$A1185-$F1185&lt;=10,$A1185-$G1185&lt;=5),$D1185*$E1185/$C1185-1,NA()),NA())</ns0:f>
        <ns0:v/>
      </ns0:c>
      <ns0:c r="C1185">
        <ns0:f>IFERROR(IF(ISNUMBER($A1185),IF(AND(AH!$P$10=1,AH!$P$12=1,$A1185=TODAY()),AH!$P$19,IF(AH!$P$10=1,INDEX('Live History'!$B$5:$B$3004,AH!$P$13+1180),INDEX('AH History'!$B$1:$B$18046,AH!$P$7+1180))),NA()),NA())</ns0:f>
        <ns0:v/>
      </ns0:c>
      <ns0:c r="D1185">
        <ns0:f>IFERROR(IF(ISNUMBER($A1185),IF(AND(AH!$P$10=1,AH!$P$12=1,$A1185=TODAY()),AH!$P$18,IF(AH!$P$10=1,INDEX('Live History'!$E$5:$E$3004,MATCH($A1185,'Live History'!$D$5:$D$3004,1)),INDEX('AH History'!$C$1:$C$18046,AH!$P$7+1180))),NA()),NA())</ns0:f>
        <ns0:v/>
      </ns0:c>
      <ns0:c r="E1185">
        <ns0:f>IFERROR(IF(ISNUMBER($A1185),IF(AND(AH!$P$10=1,AH!$P$12=1,$A1185=TODAY()),AH!$P$20,IF(AH!$P$10=1,INDEX('Live History'!$H$5:$H$3004,MATCH($A1185,'Live History'!$G$5:$G$3004,1)),INDEX('AH History'!$D$1:$D$18046,AH!$P$7+1180))),NA()),NA())</ns0:f>
        <ns0:v/>
      </ns0:c>
      <ns0:c r="F1185">
        <ns0:f>IFERROR(IF(ISNUMBER($A1185),IF(AND(AH!$P$10=1,AH!$P$12=1,$A1185=TODAY()),IF(AND(AH!$P$10=1,AH!$P$12=1,$A1185=TODAY()),TODAY(),NA()),IF(AH!$P$10=1,INDEX('Live History'!$D$5:$D$3004,MATCH($A1185,'Live History'!$D$5:$D$3004,1)),INDEX('AH History'!$E$1:$E$18046,AH!$P$7+1180))),NA()),NA())</ns0:f>
        <ns0:v/>
      </ns0:c>
      <ns0:c r="G1185">
        <ns0:f>IFERROR(IF(ISNUMBER($A1185),IF(AND(AH!$P$10=1,AH!$P$12=1,$A1185=TODAY()),IF(AND(AH!$P$10=1,AH!$P$12=1,$A1185=TODAY()),TODAY(),NA()),IF(AH!$P$10=1,INDEX('Live History'!$G$5:$G$3004,MATCH($A1185,'Live History'!$G$5:$G$3004,1)),INDEX('AH History'!$F$1:$F$18046,AH!$P$7+1180))),NA()),NA())</ns0:f>
        <ns0:v/>
      </ns0:c>
      <ns0:c r="H1185">
        <ns0:f>IFERROR(IF(AND(AH!$E$4="Bloomberg",AH!$P$10=1,ISNUMBER($A1185),$A1185&lt;=AH!$P$17),AH!$P$7-1+MATCH($A1185,INDEX('AH History'!$A$1:$A$18046,AH!$P$7):INDEX('AH History'!$A$1:$A$18046,AH!$P$7+AH!$P$8-1),0),0),0)</ns0:f>
        <ns0:v/>
      </ns0:c>
      <ns0:c r="I1185">
        <ns0:f>IF($H1185=0,0,IFERROR(IF(AND(ABS($C1185-INDEX('AH History'!$B$1:$B$18046,$H1185))&lt;=MAX(0.005,ABS(INDEX('AH History'!$B$1:$B$18046,$H1185))*0.00005),ABS($D1185-INDEX('AH History'!$C$1:$C$18046,$H1185))&lt;=MAX(0.005,ABS(INDEX('AH History'!$C$1:$C$18046,$H1185))*0.00005),ABS($E1185-INDEX('AH History'!$D$1:$D$18046,$H1185))&lt;=0.00005,$F1185=INDEX('AH History'!$E$1:$E$18046,$H1185),$G1185=INDEX('AH History'!$F$1:$F$18046,$H1185)),1,-1),-1))</ns0:f>
        <ns0:v/>
      </ns0:c>
    </ns0:row>
    <ns0:row r="1186">
      <ns0:c r="A1186" s="215">
        <ns0:f>IF(OR(AH!$P$3=0,1181+1&gt;AH!$P$11,AND(AH!$E$4&lt;&gt;"Stored",AH!$P$10&lt;&gt;1)),"",IFERROR(IF(AND(AH!$P$21=1,1181+1=AH!$P$11),TODAY(),IF(AH!$P$10=1,INDEX('Live History'!$A$5:$A$3004,AH!$P$13+1181),INDEX('AH History'!$A$1:$A$18046,AH!$P$7+1181))),""))</ns0:f>
        <ns0:v/>
      </ns0:c>
      <ns0:c r="B1186" s="219">
        <ns0:f>IFERROR(IF(AND(AH!$P$9&lt;&gt;1,$C1186&gt;0,$D1186&gt;0,$E1186&gt;0,$F1186&gt;0,$G1186&gt;0,$F1186&lt;=$A1186,$G1186&lt;=$A1186,$A1186-$F1186&lt;=10,$A1186-$G1186&lt;=5),$D1186*$E1186/$C1186-1,NA()),NA())</ns0:f>
        <ns0:v/>
      </ns0:c>
      <ns0:c r="C1186">
        <ns0:f>IFERROR(IF(ISNUMBER($A1186),IF(AND(AH!$P$10=1,AH!$P$12=1,$A1186=TODAY()),AH!$P$19,IF(AH!$P$10=1,INDEX('Live History'!$B$5:$B$3004,AH!$P$13+1181),INDEX('AH History'!$B$1:$B$18046,AH!$P$7+1181))),NA()),NA())</ns0:f>
        <ns0:v/>
      </ns0:c>
      <ns0:c r="D1186">
        <ns0:f>IFERROR(IF(ISNUMBER($A1186),IF(AND(AH!$P$10=1,AH!$P$12=1,$A1186=TODAY()),AH!$P$18,IF(AH!$P$10=1,INDEX('Live History'!$E$5:$E$3004,MATCH($A1186,'Live History'!$D$5:$D$3004,1)),INDEX('AH History'!$C$1:$C$18046,AH!$P$7+1181))),NA()),NA())</ns0:f>
        <ns0:v/>
      </ns0:c>
      <ns0:c r="E1186">
        <ns0:f>IFERROR(IF(ISNUMBER($A1186),IF(AND(AH!$P$10=1,AH!$P$12=1,$A1186=TODAY()),AH!$P$20,IF(AH!$P$10=1,INDEX('Live History'!$H$5:$H$3004,MATCH($A1186,'Live History'!$G$5:$G$3004,1)),INDEX('AH History'!$D$1:$D$18046,AH!$P$7+1181))),NA()),NA())</ns0:f>
        <ns0:v/>
      </ns0:c>
      <ns0:c r="F1186">
        <ns0:f>IFERROR(IF(ISNUMBER($A1186),IF(AND(AH!$P$10=1,AH!$P$12=1,$A1186=TODAY()),IF(AND(AH!$P$10=1,AH!$P$12=1,$A1186=TODAY()),TODAY(),NA()),IF(AH!$P$10=1,INDEX('Live History'!$D$5:$D$3004,MATCH($A1186,'Live History'!$D$5:$D$3004,1)),INDEX('AH History'!$E$1:$E$18046,AH!$P$7+1181))),NA()),NA())</ns0:f>
        <ns0:v/>
      </ns0:c>
      <ns0:c r="G1186">
        <ns0:f>IFERROR(IF(ISNUMBER($A1186),IF(AND(AH!$P$10=1,AH!$P$12=1,$A1186=TODAY()),IF(AND(AH!$P$10=1,AH!$P$12=1,$A1186=TODAY()),TODAY(),NA()),IF(AH!$P$10=1,INDEX('Live History'!$G$5:$G$3004,MATCH($A1186,'Live History'!$G$5:$G$3004,1)),INDEX('AH History'!$F$1:$F$18046,AH!$P$7+1181))),NA()),NA())</ns0:f>
        <ns0:v/>
      </ns0:c>
      <ns0:c r="H1186">
        <ns0:f>IFERROR(IF(AND(AH!$E$4="Bloomberg",AH!$P$10=1,ISNUMBER($A1186),$A1186&lt;=AH!$P$17),AH!$P$7-1+MATCH($A1186,INDEX('AH History'!$A$1:$A$18046,AH!$P$7):INDEX('AH History'!$A$1:$A$18046,AH!$P$7+AH!$P$8-1),0),0),0)</ns0:f>
        <ns0:v/>
      </ns0:c>
      <ns0:c r="I1186">
        <ns0:f>IF($H1186=0,0,IFERROR(IF(AND(ABS($C1186-INDEX('AH History'!$B$1:$B$18046,$H1186))&lt;=MAX(0.005,ABS(INDEX('AH History'!$B$1:$B$18046,$H1186))*0.00005),ABS($D1186-INDEX('AH History'!$C$1:$C$18046,$H1186))&lt;=MAX(0.005,ABS(INDEX('AH History'!$C$1:$C$18046,$H1186))*0.00005),ABS($E1186-INDEX('AH History'!$D$1:$D$18046,$H1186))&lt;=0.00005,$F1186=INDEX('AH History'!$E$1:$E$18046,$H1186),$G1186=INDEX('AH History'!$F$1:$F$18046,$H1186)),1,-1),-1))</ns0:f>
        <ns0:v/>
      </ns0:c>
    </ns0:row>
    <ns0:row r="1187">
      <ns0:c r="A1187" s="215">
        <ns0:f>IF(OR(AH!$P$3=0,1182+1&gt;AH!$P$11,AND(AH!$E$4&lt;&gt;"Stored",AH!$P$10&lt;&gt;1)),"",IFERROR(IF(AND(AH!$P$21=1,1182+1=AH!$P$11),TODAY(),IF(AH!$P$10=1,INDEX('Live History'!$A$5:$A$3004,AH!$P$13+1182),INDEX('AH History'!$A$1:$A$18046,AH!$P$7+1182))),""))</ns0:f>
        <ns0:v/>
      </ns0:c>
      <ns0:c r="B1187" s="219">
        <ns0:f>IFERROR(IF(AND(AH!$P$9&lt;&gt;1,$C1187&gt;0,$D1187&gt;0,$E1187&gt;0,$F1187&gt;0,$G1187&gt;0,$F1187&lt;=$A1187,$G1187&lt;=$A1187,$A1187-$F1187&lt;=10,$A1187-$G1187&lt;=5),$D1187*$E1187/$C1187-1,NA()),NA())</ns0:f>
        <ns0:v/>
      </ns0:c>
      <ns0:c r="C1187">
        <ns0:f>IFERROR(IF(ISNUMBER($A1187),IF(AND(AH!$P$10=1,AH!$P$12=1,$A1187=TODAY()),AH!$P$19,IF(AH!$P$10=1,INDEX('Live History'!$B$5:$B$3004,AH!$P$13+1182),INDEX('AH History'!$B$1:$B$18046,AH!$P$7+1182))),NA()),NA())</ns0:f>
        <ns0:v/>
      </ns0:c>
      <ns0:c r="D1187">
        <ns0:f>IFERROR(IF(ISNUMBER($A1187),IF(AND(AH!$P$10=1,AH!$P$12=1,$A1187=TODAY()),AH!$P$18,IF(AH!$P$10=1,INDEX('Live History'!$E$5:$E$3004,MATCH($A1187,'Live History'!$D$5:$D$3004,1)),INDEX('AH History'!$C$1:$C$18046,AH!$P$7+1182))),NA()),NA())</ns0:f>
        <ns0:v/>
      </ns0:c>
      <ns0:c r="E1187">
        <ns0:f>IFERROR(IF(ISNUMBER($A1187),IF(AND(AH!$P$10=1,AH!$P$12=1,$A1187=TODAY()),AH!$P$20,IF(AH!$P$10=1,INDEX('Live History'!$H$5:$H$3004,MATCH($A1187,'Live History'!$G$5:$G$3004,1)),INDEX('AH History'!$D$1:$D$18046,AH!$P$7+1182))),NA()),NA())</ns0:f>
        <ns0:v/>
      </ns0:c>
      <ns0:c r="F1187">
        <ns0:f>IFERROR(IF(ISNUMBER($A1187),IF(AND(AH!$P$10=1,AH!$P$12=1,$A1187=TODAY()),IF(AND(AH!$P$10=1,AH!$P$12=1,$A1187=TODAY()),TODAY(),NA()),IF(AH!$P$10=1,INDEX('Live History'!$D$5:$D$3004,MATCH($A1187,'Live History'!$D$5:$D$3004,1)),INDEX('AH History'!$E$1:$E$18046,AH!$P$7+1182))),NA()),NA())</ns0:f>
        <ns0:v/>
      </ns0:c>
      <ns0:c r="G1187">
        <ns0:f>IFERROR(IF(ISNUMBER($A1187),IF(AND(AH!$P$10=1,AH!$P$12=1,$A1187=TODAY()),IF(AND(AH!$P$10=1,AH!$P$12=1,$A1187=TODAY()),TODAY(),NA()),IF(AH!$P$10=1,INDEX('Live History'!$G$5:$G$3004,MATCH($A1187,'Live History'!$G$5:$G$3004,1)),INDEX('AH History'!$F$1:$F$18046,AH!$P$7+1182))),NA()),NA())</ns0:f>
        <ns0:v/>
      </ns0:c>
      <ns0:c r="H1187">
        <ns0:f>IFERROR(IF(AND(AH!$E$4="Bloomberg",AH!$P$10=1,ISNUMBER($A1187),$A1187&lt;=AH!$P$17),AH!$P$7-1+MATCH($A1187,INDEX('AH History'!$A$1:$A$18046,AH!$P$7):INDEX('AH History'!$A$1:$A$18046,AH!$P$7+AH!$P$8-1),0),0),0)</ns0:f>
        <ns0:v/>
      </ns0:c>
      <ns0:c r="I1187">
        <ns0:f>IF($H1187=0,0,IFERROR(IF(AND(ABS($C1187-INDEX('AH History'!$B$1:$B$18046,$H1187))&lt;=MAX(0.005,ABS(INDEX('AH History'!$B$1:$B$18046,$H1187))*0.00005),ABS($D1187-INDEX('AH History'!$C$1:$C$18046,$H1187))&lt;=MAX(0.005,ABS(INDEX('AH History'!$C$1:$C$18046,$H1187))*0.00005),ABS($E1187-INDEX('AH History'!$D$1:$D$18046,$H1187))&lt;=0.00005,$F1187=INDEX('AH History'!$E$1:$E$18046,$H1187),$G1187=INDEX('AH History'!$F$1:$F$18046,$H1187)),1,-1),-1))</ns0:f>
        <ns0:v/>
      </ns0:c>
    </ns0:row>
    <ns0:row r="1188">
      <ns0:c r="A1188" s="215">
        <ns0:f>IF(OR(AH!$P$3=0,1183+1&gt;AH!$P$11,AND(AH!$E$4&lt;&gt;"Stored",AH!$P$10&lt;&gt;1)),"",IFERROR(IF(AND(AH!$P$21=1,1183+1=AH!$P$11),TODAY(),IF(AH!$P$10=1,INDEX('Live History'!$A$5:$A$3004,AH!$P$13+1183),INDEX('AH History'!$A$1:$A$18046,AH!$P$7+1183))),""))</ns0:f>
        <ns0:v/>
      </ns0:c>
      <ns0:c r="B1188" s="219">
        <ns0:f>IFERROR(IF(AND(AH!$P$9&lt;&gt;1,$C1188&gt;0,$D1188&gt;0,$E1188&gt;0,$F1188&gt;0,$G1188&gt;0,$F1188&lt;=$A1188,$G1188&lt;=$A1188,$A1188-$F1188&lt;=10,$A1188-$G1188&lt;=5),$D1188*$E1188/$C1188-1,NA()),NA())</ns0:f>
        <ns0:v/>
      </ns0:c>
      <ns0:c r="C1188">
        <ns0:f>IFERROR(IF(ISNUMBER($A1188),IF(AND(AH!$P$10=1,AH!$P$12=1,$A1188=TODAY()),AH!$P$19,IF(AH!$P$10=1,INDEX('Live History'!$B$5:$B$3004,AH!$P$13+1183),INDEX('AH History'!$B$1:$B$18046,AH!$P$7+1183))),NA()),NA())</ns0:f>
        <ns0:v/>
      </ns0:c>
      <ns0:c r="D1188">
        <ns0:f>IFERROR(IF(ISNUMBER($A1188),IF(AND(AH!$P$10=1,AH!$P$12=1,$A1188=TODAY()),AH!$P$18,IF(AH!$P$10=1,INDEX('Live History'!$E$5:$E$3004,MATCH($A1188,'Live History'!$D$5:$D$3004,1)),INDEX('AH History'!$C$1:$C$18046,AH!$P$7+1183))),NA()),NA())</ns0:f>
        <ns0:v/>
      </ns0:c>
      <ns0:c r="E1188">
        <ns0:f>IFERROR(IF(ISNUMBER($A1188),IF(AND(AH!$P$10=1,AH!$P$12=1,$A1188=TODAY()),AH!$P$20,IF(AH!$P$10=1,INDEX('Live History'!$H$5:$H$3004,MATCH($A1188,'Live History'!$G$5:$G$3004,1)),INDEX('AH History'!$D$1:$D$18046,AH!$P$7+1183))),NA()),NA())</ns0:f>
        <ns0:v/>
      </ns0:c>
      <ns0:c r="F1188">
        <ns0:f>IFERROR(IF(ISNUMBER($A1188),IF(AND(AH!$P$10=1,AH!$P$12=1,$A1188=TODAY()),IF(AND(AH!$P$10=1,AH!$P$12=1,$A1188=TODAY()),TODAY(),NA()),IF(AH!$P$10=1,INDEX('Live History'!$D$5:$D$3004,MATCH($A1188,'Live History'!$D$5:$D$3004,1)),INDEX('AH History'!$E$1:$E$18046,AH!$P$7+1183))),NA()),NA())</ns0:f>
        <ns0:v/>
      </ns0:c>
      <ns0:c r="G1188">
        <ns0:f>IFERROR(IF(ISNUMBER($A1188),IF(AND(AH!$P$10=1,AH!$P$12=1,$A1188=TODAY()),IF(AND(AH!$P$10=1,AH!$P$12=1,$A1188=TODAY()),TODAY(),NA()),IF(AH!$P$10=1,INDEX('Live History'!$G$5:$G$3004,MATCH($A1188,'Live History'!$G$5:$G$3004,1)),INDEX('AH History'!$F$1:$F$18046,AH!$P$7+1183))),NA()),NA())</ns0:f>
        <ns0:v/>
      </ns0:c>
      <ns0:c r="H1188">
        <ns0:f>IFERROR(IF(AND(AH!$E$4="Bloomberg",AH!$P$10=1,ISNUMBER($A1188),$A1188&lt;=AH!$P$17),AH!$P$7-1+MATCH($A1188,INDEX('AH History'!$A$1:$A$18046,AH!$P$7):INDEX('AH History'!$A$1:$A$18046,AH!$P$7+AH!$P$8-1),0),0),0)</ns0:f>
        <ns0:v/>
      </ns0:c>
      <ns0:c r="I1188">
        <ns0:f>IF($H1188=0,0,IFERROR(IF(AND(ABS($C1188-INDEX('AH History'!$B$1:$B$18046,$H1188))&lt;=MAX(0.005,ABS(INDEX('AH History'!$B$1:$B$18046,$H1188))*0.00005),ABS($D1188-INDEX('AH History'!$C$1:$C$18046,$H1188))&lt;=MAX(0.005,ABS(INDEX('AH History'!$C$1:$C$18046,$H1188))*0.00005),ABS($E1188-INDEX('AH History'!$D$1:$D$18046,$H1188))&lt;=0.00005,$F1188=INDEX('AH History'!$E$1:$E$18046,$H1188),$G1188=INDEX('AH History'!$F$1:$F$18046,$H1188)),1,-1),-1))</ns0:f>
        <ns0:v/>
      </ns0:c>
    </ns0:row>
    <ns0:row r="1189">
      <ns0:c r="A1189" s="215">
        <ns0:f>IF(OR(AH!$P$3=0,1184+1&gt;AH!$P$11,AND(AH!$E$4&lt;&gt;"Stored",AH!$P$10&lt;&gt;1)),"",IFERROR(IF(AND(AH!$P$21=1,1184+1=AH!$P$11),TODAY(),IF(AH!$P$10=1,INDEX('Live History'!$A$5:$A$3004,AH!$P$13+1184),INDEX('AH History'!$A$1:$A$18046,AH!$P$7+1184))),""))</ns0:f>
        <ns0:v/>
      </ns0:c>
      <ns0:c r="B1189" s="219">
        <ns0:f>IFERROR(IF(AND(AH!$P$9&lt;&gt;1,$C1189&gt;0,$D1189&gt;0,$E1189&gt;0,$F1189&gt;0,$G1189&gt;0,$F1189&lt;=$A1189,$G1189&lt;=$A1189,$A1189-$F1189&lt;=10,$A1189-$G1189&lt;=5),$D1189*$E1189/$C1189-1,NA()),NA())</ns0:f>
        <ns0:v/>
      </ns0:c>
      <ns0:c r="C1189">
        <ns0:f>IFERROR(IF(ISNUMBER($A1189),IF(AND(AH!$P$10=1,AH!$P$12=1,$A1189=TODAY()),AH!$P$19,IF(AH!$P$10=1,INDEX('Live History'!$B$5:$B$3004,AH!$P$13+1184),INDEX('AH History'!$B$1:$B$18046,AH!$P$7+1184))),NA()),NA())</ns0:f>
        <ns0:v/>
      </ns0:c>
      <ns0:c r="D1189">
        <ns0:f>IFERROR(IF(ISNUMBER($A1189),IF(AND(AH!$P$10=1,AH!$P$12=1,$A1189=TODAY()),AH!$P$18,IF(AH!$P$10=1,INDEX('Live History'!$E$5:$E$3004,MATCH($A1189,'Live History'!$D$5:$D$3004,1)),INDEX('AH History'!$C$1:$C$18046,AH!$P$7+1184))),NA()),NA())</ns0:f>
        <ns0:v/>
      </ns0:c>
      <ns0:c r="E1189">
        <ns0:f>IFERROR(IF(ISNUMBER($A1189),IF(AND(AH!$P$10=1,AH!$P$12=1,$A1189=TODAY()),AH!$P$20,IF(AH!$P$10=1,INDEX('Live History'!$H$5:$H$3004,MATCH($A1189,'Live History'!$G$5:$G$3004,1)),INDEX('AH History'!$D$1:$D$18046,AH!$P$7+1184))),NA()),NA())</ns0:f>
        <ns0:v/>
      </ns0:c>
      <ns0:c r="F1189">
        <ns0:f>IFERROR(IF(ISNUMBER($A1189),IF(AND(AH!$P$10=1,AH!$P$12=1,$A1189=TODAY()),IF(AND(AH!$P$10=1,AH!$P$12=1,$A1189=TODAY()),TODAY(),NA()),IF(AH!$P$10=1,INDEX('Live History'!$D$5:$D$3004,MATCH($A1189,'Live History'!$D$5:$D$3004,1)),INDEX('AH History'!$E$1:$E$18046,AH!$P$7+1184))),NA()),NA())</ns0:f>
        <ns0:v/>
      </ns0:c>
      <ns0:c r="G1189">
        <ns0:f>IFERROR(IF(ISNUMBER($A1189),IF(AND(AH!$P$10=1,AH!$P$12=1,$A1189=TODAY()),IF(AND(AH!$P$10=1,AH!$P$12=1,$A1189=TODAY()),TODAY(),NA()),IF(AH!$P$10=1,INDEX('Live History'!$G$5:$G$3004,MATCH($A1189,'Live History'!$G$5:$G$3004,1)),INDEX('AH History'!$F$1:$F$18046,AH!$P$7+1184))),NA()),NA())</ns0:f>
        <ns0:v/>
      </ns0:c>
      <ns0:c r="H1189">
        <ns0:f>IFERROR(IF(AND(AH!$E$4="Bloomberg",AH!$P$10=1,ISNUMBER($A1189),$A1189&lt;=AH!$P$17),AH!$P$7-1+MATCH($A1189,INDEX('AH History'!$A$1:$A$18046,AH!$P$7):INDEX('AH History'!$A$1:$A$18046,AH!$P$7+AH!$P$8-1),0),0),0)</ns0:f>
        <ns0:v/>
      </ns0:c>
      <ns0:c r="I1189">
        <ns0:f>IF($H1189=0,0,IFERROR(IF(AND(ABS($C1189-INDEX('AH History'!$B$1:$B$18046,$H1189))&lt;=MAX(0.005,ABS(INDEX('AH History'!$B$1:$B$18046,$H1189))*0.00005),ABS($D1189-INDEX('AH History'!$C$1:$C$18046,$H1189))&lt;=MAX(0.005,ABS(INDEX('AH History'!$C$1:$C$18046,$H1189))*0.00005),ABS($E1189-INDEX('AH History'!$D$1:$D$18046,$H1189))&lt;=0.00005,$F1189=INDEX('AH History'!$E$1:$E$18046,$H1189),$G1189=INDEX('AH History'!$F$1:$F$18046,$H1189)),1,-1),-1))</ns0:f>
        <ns0:v/>
      </ns0:c>
    </ns0:row>
    <ns0:row r="1190">
      <ns0:c r="A1190" s="215">
        <ns0:f>IF(OR(AH!$P$3=0,1185+1&gt;AH!$P$11,AND(AH!$E$4&lt;&gt;"Stored",AH!$P$10&lt;&gt;1)),"",IFERROR(IF(AND(AH!$P$21=1,1185+1=AH!$P$11),TODAY(),IF(AH!$P$10=1,INDEX('Live History'!$A$5:$A$3004,AH!$P$13+1185),INDEX('AH History'!$A$1:$A$18046,AH!$P$7+1185))),""))</ns0:f>
        <ns0:v/>
      </ns0:c>
      <ns0:c r="B1190" s="219">
        <ns0:f>IFERROR(IF(AND(AH!$P$9&lt;&gt;1,$C1190&gt;0,$D1190&gt;0,$E1190&gt;0,$F1190&gt;0,$G1190&gt;0,$F1190&lt;=$A1190,$G1190&lt;=$A1190,$A1190-$F1190&lt;=10,$A1190-$G1190&lt;=5),$D1190*$E1190/$C1190-1,NA()),NA())</ns0:f>
        <ns0:v/>
      </ns0:c>
      <ns0:c r="C1190">
        <ns0:f>IFERROR(IF(ISNUMBER($A1190),IF(AND(AH!$P$10=1,AH!$P$12=1,$A1190=TODAY()),AH!$P$19,IF(AH!$P$10=1,INDEX('Live History'!$B$5:$B$3004,AH!$P$13+1185),INDEX('AH History'!$B$1:$B$18046,AH!$P$7+1185))),NA()),NA())</ns0:f>
        <ns0:v/>
      </ns0:c>
      <ns0:c r="D1190">
        <ns0:f>IFERROR(IF(ISNUMBER($A1190),IF(AND(AH!$P$10=1,AH!$P$12=1,$A1190=TODAY()),AH!$P$18,IF(AH!$P$10=1,INDEX('Live History'!$E$5:$E$3004,MATCH($A1190,'Live History'!$D$5:$D$3004,1)),INDEX('AH History'!$C$1:$C$18046,AH!$P$7+1185))),NA()),NA())</ns0:f>
        <ns0:v/>
      </ns0:c>
      <ns0:c r="E1190">
        <ns0:f>IFERROR(IF(ISNUMBER($A1190),IF(AND(AH!$P$10=1,AH!$P$12=1,$A1190=TODAY()),AH!$P$20,IF(AH!$P$10=1,INDEX('Live History'!$H$5:$H$3004,MATCH($A1190,'Live History'!$G$5:$G$3004,1)),INDEX('AH History'!$D$1:$D$18046,AH!$P$7+1185))),NA()),NA())</ns0:f>
        <ns0:v/>
      </ns0:c>
      <ns0:c r="F1190">
        <ns0:f>IFERROR(IF(ISNUMBER($A1190),IF(AND(AH!$P$10=1,AH!$P$12=1,$A1190=TODAY()),IF(AND(AH!$P$10=1,AH!$P$12=1,$A1190=TODAY()),TODAY(),NA()),IF(AH!$P$10=1,INDEX('Live History'!$D$5:$D$3004,MATCH($A1190,'Live History'!$D$5:$D$3004,1)),INDEX('AH History'!$E$1:$E$18046,AH!$P$7+1185))),NA()),NA())</ns0:f>
        <ns0:v/>
      </ns0:c>
      <ns0:c r="G1190">
        <ns0:f>IFERROR(IF(ISNUMBER($A1190),IF(AND(AH!$P$10=1,AH!$P$12=1,$A1190=TODAY()),IF(AND(AH!$P$10=1,AH!$P$12=1,$A1190=TODAY()),TODAY(),NA()),IF(AH!$P$10=1,INDEX('Live History'!$G$5:$G$3004,MATCH($A1190,'Live History'!$G$5:$G$3004,1)),INDEX('AH History'!$F$1:$F$18046,AH!$P$7+1185))),NA()),NA())</ns0:f>
        <ns0:v/>
      </ns0:c>
      <ns0:c r="H1190">
        <ns0:f>IFERROR(IF(AND(AH!$E$4="Bloomberg",AH!$P$10=1,ISNUMBER($A1190),$A1190&lt;=AH!$P$17),AH!$P$7-1+MATCH($A1190,INDEX('AH History'!$A$1:$A$18046,AH!$P$7):INDEX('AH History'!$A$1:$A$18046,AH!$P$7+AH!$P$8-1),0),0),0)</ns0:f>
        <ns0:v/>
      </ns0:c>
      <ns0:c r="I1190">
        <ns0:f>IF($H1190=0,0,IFERROR(IF(AND(ABS($C1190-INDEX('AH History'!$B$1:$B$18046,$H1190))&lt;=MAX(0.005,ABS(INDEX('AH History'!$B$1:$B$18046,$H1190))*0.00005),ABS($D1190-INDEX('AH History'!$C$1:$C$18046,$H1190))&lt;=MAX(0.005,ABS(INDEX('AH History'!$C$1:$C$18046,$H1190))*0.00005),ABS($E1190-INDEX('AH History'!$D$1:$D$18046,$H1190))&lt;=0.00005,$F1190=INDEX('AH History'!$E$1:$E$18046,$H1190),$G1190=INDEX('AH History'!$F$1:$F$18046,$H1190)),1,-1),-1))</ns0:f>
        <ns0:v/>
      </ns0:c>
    </ns0:row>
    <ns0:row r="1191">
      <ns0:c r="A1191" s="215">
        <ns0:f>IF(OR(AH!$P$3=0,1186+1&gt;AH!$P$11,AND(AH!$E$4&lt;&gt;"Stored",AH!$P$10&lt;&gt;1)),"",IFERROR(IF(AND(AH!$P$21=1,1186+1=AH!$P$11),TODAY(),IF(AH!$P$10=1,INDEX('Live History'!$A$5:$A$3004,AH!$P$13+1186),INDEX('AH History'!$A$1:$A$18046,AH!$P$7+1186))),""))</ns0:f>
        <ns0:v/>
      </ns0:c>
      <ns0:c r="B1191" s="219">
        <ns0:f>IFERROR(IF(AND(AH!$P$9&lt;&gt;1,$C1191&gt;0,$D1191&gt;0,$E1191&gt;0,$F1191&gt;0,$G1191&gt;0,$F1191&lt;=$A1191,$G1191&lt;=$A1191,$A1191-$F1191&lt;=10,$A1191-$G1191&lt;=5),$D1191*$E1191/$C1191-1,NA()),NA())</ns0:f>
        <ns0:v/>
      </ns0:c>
      <ns0:c r="C1191">
        <ns0:f>IFERROR(IF(ISNUMBER($A1191),IF(AND(AH!$P$10=1,AH!$P$12=1,$A1191=TODAY()),AH!$P$19,IF(AH!$P$10=1,INDEX('Live History'!$B$5:$B$3004,AH!$P$13+1186),INDEX('AH History'!$B$1:$B$18046,AH!$P$7+1186))),NA()),NA())</ns0:f>
        <ns0:v/>
      </ns0:c>
      <ns0:c r="D1191">
        <ns0:f>IFERROR(IF(ISNUMBER($A1191),IF(AND(AH!$P$10=1,AH!$P$12=1,$A1191=TODAY()),AH!$P$18,IF(AH!$P$10=1,INDEX('Live History'!$E$5:$E$3004,MATCH($A1191,'Live History'!$D$5:$D$3004,1)),INDEX('AH History'!$C$1:$C$18046,AH!$P$7+1186))),NA()),NA())</ns0:f>
        <ns0:v/>
      </ns0:c>
      <ns0:c r="E1191">
        <ns0:f>IFERROR(IF(ISNUMBER($A1191),IF(AND(AH!$P$10=1,AH!$P$12=1,$A1191=TODAY()),AH!$P$20,IF(AH!$P$10=1,INDEX('Live History'!$H$5:$H$3004,MATCH($A1191,'Live History'!$G$5:$G$3004,1)),INDEX('AH History'!$D$1:$D$18046,AH!$P$7+1186))),NA()),NA())</ns0:f>
        <ns0:v/>
      </ns0:c>
      <ns0:c r="F1191">
        <ns0:f>IFERROR(IF(ISNUMBER($A1191),IF(AND(AH!$P$10=1,AH!$P$12=1,$A1191=TODAY()),IF(AND(AH!$P$10=1,AH!$P$12=1,$A1191=TODAY()),TODAY(),NA()),IF(AH!$P$10=1,INDEX('Live History'!$D$5:$D$3004,MATCH($A1191,'Live History'!$D$5:$D$3004,1)),INDEX('AH History'!$E$1:$E$18046,AH!$P$7+1186))),NA()),NA())</ns0:f>
        <ns0:v/>
      </ns0:c>
      <ns0:c r="G1191">
        <ns0:f>IFERROR(IF(ISNUMBER($A1191),IF(AND(AH!$P$10=1,AH!$P$12=1,$A1191=TODAY()),IF(AND(AH!$P$10=1,AH!$P$12=1,$A1191=TODAY()),TODAY(),NA()),IF(AH!$P$10=1,INDEX('Live History'!$G$5:$G$3004,MATCH($A1191,'Live History'!$G$5:$G$3004,1)),INDEX('AH History'!$F$1:$F$18046,AH!$P$7+1186))),NA()),NA())</ns0:f>
        <ns0:v/>
      </ns0:c>
      <ns0:c r="H1191">
        <ns0:f>IFERROR(IF(AND(AH!$E$4="Bloomberg",AH!$P$10=1,ISNUMBER($A1191),$A1191&lt;=AH!$P$17),AH!$P$7-1+MATCH($A1191,INDEX('AH History'!$A$1:$A$18046,AH!$P$7):INDEX('AH History'!$A$1:$A$18046,AH!$P$7+AH!$P$8-1),0),0),0)</ns0:f>
        <ns0:v/>
      </ns0:c>
      <ns0:c r="I1191">
        <ns0:f>IF($H1191=0,0,IFERROR(IF(AND(ABS($C1191-INDEX('AH History'!$B$1:$B$18046,$H1191))&lt;=MAX(0.005,ABS(INDEX('AH History'!$B$1:$B$18046,$H1191))*0.00005),ABS($D1191-INDEX('AH History'!$C$1:$C$18046,$H1191))&lt;=MAX(0.005,ABS(INDEX('AH History'!$C$1:$C$18046,$H1191))*0.00005),ABS($E1191-INDEX('AH History'!$D$1:$D$18046,$H1191))&lt;=0.00005,$F1191=INDEX('AH History'!$E$1:$E$18046,$H1191),$G1191=INDEX('AH History'!$F$1:$F$18046,$H1191)),1,-1),-1))</ns0:f>
        <ns0:v/>
      </ns0:c>
    </ns0:row>
    <ns0:row r="1192">
      <ns0:c r="A1192" s="215">
        <ns0:f>IF(OR(AH!$P$3=0,1187+1&gt;AH!$P$11,AND(AH!$E$4&lt;&gt;"Stored",AH!$P$10&lt;&gt;1)),"",IFERROR(IF(AND(AH!$P$21=1,1187+1=AH!$P$11),TODAY(),IF(AH!$P$10=1,INDEX('Live History'!$A$5:$A$3004,AH!$P$13+1187),INDEX('AH History'!$A$1:$A$18046,AH!$P$7+1187))),""))</ns0:f>
        <ns0:v/>
      </ns0:c>
      <ns0:c r="B1192" s="219">
        <ns0:f>IFERROR(IF(AND(AH!$P$9&lt;&gt;1,$C1192&gt;0,$D1192&gt;0,$E1192&gt;0,$F1192&gt;0,$G1192&gt;0,$F1192&lt;=$A1192,$G1192&lt;=$A1192,$A1192-$F1192&lt;=10,$A1192-$G1192&lt;=5),$D1192*$E1192/$C1192-1,NA()),NA())</ns0:f>
        <ns0:v/>
      </ns0:c>
      <ns0:c r="C1192">
        <ns0:f>IFERROR(IF(ISNUMBER($A1192),IF(AND(AH!$P$10=1,AH!$P$12=1,$A1192=TODAY()),AH!$P$19,IF(AH!$P$10=1,INDEX('Live History'!$B$5:$B$3004,AH!$P$13+1187),INDEX('AH History'!$B$1:$B$18046,AH!$P$7+1187))),NA()),NA())</ns0:f>
        <ns0:v/>
      </ns0:c>
      <ns0:c r="D1192">
        <ns0:f>IFERROR(IF(ISNUMBER($A1192),IF(AND(AH!$P$10=1,AH!$P$12=1,$A1192=TODAY()),AH!$P$18,IF(AH!$P$10=1,INDEX('Live History'!$E$5:$E$3004,MATCH($A1192,'Live History'!$D$5:$D$3004,1)),INDEX('AH History'!$C$1:$C$18046,AH!$P$7+1187))),NA()),NA())</ns0:f>
        <ns0:v/>
      </ns0:c>
      <ns0:c r="E1192">
        <ns0:f>IFERROR(IF(ISNUMBER($A1192),IF(AND(AH!$P$10=1,AH!$P$12=1,$A1192=TODAY()),AH!$P$20,IF(AH!$P$10=1,INDEX('Live History'!$H$5:$H$3004,MATCH($A1192,'Live History'!$G$5:$G$3004,1)),INDEX('AH History'!$D$1:$D$18046,AH!$P$7+1187))),NA()),NA())</ns0:f>
        <ns0:v/>
      </ns0:c>
      <ns0:c r="F1192">
        <ns0:f>IFERROR(IF(ISNUMBER($A1192),IF(AND(AH!$P$10=1,AH!$P$12=1,$A1192=TODAY()),IF(AND(AH!$P$10=1,AH!$P$12=1,$A1192=TODAY()),TODAY(),NA()),IF(AH!$P$10=1,INDEX('Live History'!$D$5:$D$3004,MATCH($A1192,'Live History'!$D$5:$D$3004,1)),INDEX('AH History'!$E$1:$E$18046,AH!$P$7+1187))),NA()),NA())</ns0:f>
        <ns0:v/>
      </ns0:c>
      <ns0:c r="G1192">
        <ns0:f>IFERROR(IF(ISNUMBER($A1192),IF(AND(AH!$P$10=1,AH!$P$12=1,$A1192=TODAY()),IF(AND(AH!$P$10=1,AH!$P$12=1,$A1192=TODAY()),TODAY(),NA()),IF(AH!$P$10=1,INDEX('Live History'!$G$5:$G$3004,MATCH($A1192,'Live History'!$G$5:$G$3004,1)),INDEX('AH History'!$F$1:$F$18046,AH!$P$7+1187))),NA()),NA())</ns0:f>
        <ns0:v/>
      </ns0:c>
      <ns0:c r="H1192">
        <ns0:f>IFERROR(IF(AND(AH!$E$4="Bloomberg",AH!$P$10=1,ISNUMBER($A1192),$A1192&lt;=AH!$P$17),AH!$P$7-1+MATCH($A1192,INDEX('AH History'!$A$1:$A$18046,AH!$P$7):INDEX('AH History'!$A$1:$A$18046,AH!$P$7+AH!$P$8-1),0),0),0)</ns0:f>
        <ns0:v/>
      </ns0:c>
      <ns0:c r="I1192">
        <ns0:f>IF($H1192=0,0,IFERROR(IF(AND(ABS($C1192-INDEX('AH History'!$B$1:$B$18046,$H1192))&lt;=MAX(0.005,ABS(INDEX('AH History'!$B$1:$B$18046,$H1192))*0.00005),ABS($D1192-INDEX('AH History'!$C$1:$C$18046,$H1192))&lt;=MAX(0.005,ABS(INDEX('AH History'!$C$1:$C$18046,$H1192))*0.00005),ABS($E1192-INDEX('AH History'!$D$1:$D$18046,$H1192))&lt;=0.00005,$F1192=INDEX('AH History'!$E$1:$E$18046,$H1192),$G1192=INDEX('AH History'!$F$1:$F$18046,$H1192)),1,-1),-1))</ns0:f>
        <ns0:v/>
      </ns0:c>
    </ns0:row>
    <ns0:row r="1193">
      <ns0:c r="A1193" s="215">
        <ns0:f>IF(OR(AH!$P$3=0,1188+1&gt;AH!$P$11,AND(AH!$E$4&lt;&gt;"Stored",AH!$P$10&lt;&gt;1)),"",IFERROR(IF(AND(AH!$P$21=1,1188+1=AH!$P$11),TODAY(),IF(AH!$P$10=1,INDEX('Live History'!$A$5:$A$3004,AH!$P$13+1188),INDEX('AH History'!$A$1:$A$18046,AH!$P$7+1188))),""))</ns0:f>
        <ns0:v/>
      </ns0:c>
      <ns0:c r="B1193" s="219">
        <ns0:f>IFERROR(IF(AND(AH!$P$9&lt;&gt;1,$C1193&gt;0,$D1193&gt;0,$E1193&gt;0,$F1193&gt;0,$G1193&gt;0,$F1193&lt;=$A1193,$G1193&lt;=$A1193,$A1193-$F1193&lt;=10,$A1193-$G1193&lt;=5),$D1193*$E1193/$C1193-1,NA()),NA())</ns0:f>
        <ns0:v/>
      </ns0:c>
      <ns0:c r="C1193">
        <ns0:f>IFERROR(IF(ISNUMBER($A1193),IF(AND(AH!$P$10=1,AH!$P$12=1,$A1193=TODAY()),AH!$P$19,IF(AH!$P$10=1,INDEX('Live History'!$B$5:$B$3004,AH!$P$13+1188),INDEX('AH History'!$B$1:$B$18046,AH!$P$7+1188))),NA()),NA())</ns0:f>
        <ns0:v/>
      </ns0:c>
      <ns0:c r="D1193">
        <ns0:f>IFERROR(IF(ISNUMBER($A1193),IF(AND(AH!$P$10=1,AH!$P$12=1,$A1193=TODAY()),AH!$P$18,IF(AH!$P$10=1,INDEX('Live History'!$E$5:$E$3004,MATCH($A1193,'Live History'!$D$5:$D$3004,1)),INDEX('AH History'!$C$1:$C$18046,AH!$P$7+1188))),NA()),NA())</ns0:f>
        <ns0:v/>
      </ns0:c>
      <ns0:c r="E1193">
        <ns0:f>IFERROR(IF(ISNUMBER($A1193),IF(AND(AH!$P$10=1,AH!$P$12=1,$A1193=TODAY()),AH!$P$20,IF(AH!$P$10=1,INDEX('Live History'!$H$5:$H$3004,MATCH($A1193,'Live History'!$G$5:$G$3004,1)),INDEX('AH History'!$D$1:$D$18046,AH!$P$7+1188))),NA()),NA())</ns0:f>
        <ns0:v/>
      </ns0:c>
      <ns0:c r="F1193">
        <ns0:f>IFERROR(IF(ISNUMBER($A1193),IF(AND(AH!$P$10=1,AH!$P$12=1,$A1193=TODAY()),IF(AND(AH!$P$10=1,AH!$P$12=1,$A1193=TODAY()),TODAY(),NA()),IF(AH!$P$10=1,INDEX('Live History'!$D$5:$D$3004,MATCH($A1193,'Live History'!$D$5:$D$3004,1)),INDEX('AH History'!$E$1:$E$18046,AH!$P$7+1188))),NA()),NA())</ns0:f>
        <ns0:v/>
      </ns0:c>
      <ns0:c r="G1193">
        <ns0:f>IFERROR(IF(ISNUMBER($A1193),IF(AND(AH!$P$10=1,AH!$P$12=1,$A1193=TODAY()),IF(AND(AH!$P$10=1,AH!$P$12=1,$A1193=TODAY()),TODAY(),NA()),IF(AH!$P$10=1,INDEX('Live History'!$G$5:$G$3004,MATCH($A1193,'Live History'!$G$5:$G$3004,1)),INDEX('AH History'!$F$1:$F$18046,AH!$P$7+1188))),NA()),NA())</ns0:f>
        <ns0:v/>
      </ns0:c>
      <ns0:c r="H1193">
        <ns0:f>IFERROR(IF(AND(AH!$E$4="Bloomberg",AH!$P$10=1,ISNUMBER($A1193),$A1193&lt;=AH!$P$17),AH!$P$7-1+MATCH($A1193,INDEX('AH History'!$A$1:$A$18046,AH!$P$7):INDEX('AH History'!$A$1:$A$18046,AH!$P$7+AH!$P$8-1),0),0),0)</ns0:f>
        <ns0:v/>
      </ns0:c>
      <ns0:c r="I1193">
        <ns0:f>IF($H1193=0,0,IFERROR(IF(AND(ABS($C1193-INDEX('AH History'!$B$1:$B$18046,$H1193))&lt;=MAX(0.005,ABS(INDEX('AH History'!$B$1:$B$18046,$H1193))*0.00005),ABS($D1193-INDEX('AH History'!$C$1:$C$18046,$H1193))&lt;=MAX(0.005,ABS(INDEX('AH History'!$C$1:$C$18046,$H1193))*0.00005),ABS($E1193-INDEX('AH History'!$D$1:$D$18046,$H1193))&lt;=0.00005,$F1193=INDEX('AH History'!$E$1:$E$18046,$H1193),$G1193=INDEX('AH History'!$F$1:$F$18046,$H1193)),1,-1),-1))</ns0:f>
        <ns0:v/>
      </ns0:c>
    </ns0:row>
    <ns0:row r="1194">
      <ns0:c r="A1194" s="215">
        <ns0:f>IF(OR(AH!$P$3=0,1189+1&gt;AH!$P$11,AND(AH!$E$4&lt;&gt;"Stored",AH!$P$10&lt;&gt;1)),"",IFERROR(IF(AND(AH!$P$21=1,1189+1=AH!$P$11),TODAY(),IF(AH!$P$10=1,INDEX('Live History'!$A$5:$A$3004,AH!$P$13+1189),INDEX('AH History'!$A$1:$A$18046,AH!$P$7+1189))),""))</ns0:f>
        <ns0:v/>
      </ns0:c>
      <ns0:c r="B1194" s="219">
        <ns0:f>IFERROR(IF(AND(AH!$P$9&lt;&gt;1,$C1194&gt;0,$D1194&gt;0,$E1194&gt;0,$F1194&gt;0,$G1194&gt;0,$F1194&lt;=$A1194,$G1194&lt;=$A1194,$A1194-$F1194&lt;=10,$A1194-$G1194&lt;=5),$D1194*$E1194/$C1194-1,NA()),NA())</ns0:f>
        <ns0:v/>
      </ns0:c>
      <ns0:c r="C1194">
        <ns0:f>IFERROR(IF(ISNUMBER($A1194),IF(AND(AH!$P$10=1,AH!$P$12=1,$A1194=TODAY()),AH!$P$19,IF(AH!$P$10=1,INDEX('Live History'!$B$5:$B$3004,AH!$P$13+1189),INDEX('AH History'!$B$1:$B$18046,AH!$P$7+1189))),NA()),NA())</ns0:f>
        <ns0:v/>
      </ns0:c>
      <ns0:c r="D1194">
        <ns0:f>IFERROR(IF(ISNUMBER($A1194),IF(AND(AH!$P$10=1,AH!$P$12=1,$A1194=TODAY()),AH!$P$18,IF(AH!$P$10=1,INDEX('Live History'!$E$5:$E$3004,MATCH($A1194,'Live History'!$D$5:$D$3004,1)),INDEX('AH History'!$C$1:$C$18046,AH!$P$7+1189))),NA()),NA())</ns0:f>
        <ns0:v/>
      </ns0:c>
      <ns0:c r="E1194">
        <ns0:f>IFERROR(IF(ISNUMBER($A1194),IF(AND(AH!$P$10=1,AH!$P$12=1,$A1194=TODAY()),AH!$P$20,IF(AH!$P$10=1,INDEX('Live History'!$H$5:$H$3004,MATCH($A1194,'Live History'!$G$5:$G$3004,1)),INDEX('AH History'!$D$1:$D$18046,AH!$P$7+1189))),NA()),NA())</ns0:f>
        <ns0:v/>
      </ns0:c>
      <ns0:c r="F1194">
        <ns0:f>IFERROR(IF(ISNUMBER($A1194),IF(AND(AH!$P$10=1,AH!$P$12=1,$A1194=TODAY()),IF(AND(AH!$P$10=1,AH!$P$12=1,$A1194=TODAY()),TODAY(),NA()),IF(AH!$P$10=1,INDEX('Live History'!$D$5:$D$3004,MATCH($A1194,'Live History'!$D$5:$D$3004,1)),INDEX('AH History'!$E$1:$E$18046,AH!$P$7+1189))),NA()),NA())</ns0:f>
        <ns0:v/>
      </ns0:c>
      <ns0:c r="G1194">
        <ns0:f>IFERROR(IF(ISNUMBER($A1194),IF(AND(AH!$P$10=1,AH!$P$12=1,$A1194=TODAY()),IF(AND(AH!$P$10=1,AH!$P$12=1,$A1194=TODAY()),TODAY(),NA()),IF(AH!$P$10=1,INDEX('Live History'!$G$5:$G$3004,MATCH($A1194,'Live History'!$G$5:$G$3004,1)),INDEX('AH History'!$F$1:$F$18046,AH!$P$7+1189))),NA()),NA())</ns0:f>
        <ns0:v/>
      </ns0:c>
      <ns0:c r="H1194">
        <ns0:f>IFERROR(IF(AND(AH!$E$4="Bloomberg",AH!$P$10=1,ISNUMBER($A1194),$A1194&lt;=AH!$P$17),AH!$P$7-1+MATCH($A1194,INDEX('AH History'!$A$1:$A$18046,AH!$P$7):INDEX('AH History'!$A$1:$A$18046,AH!$P$7+AH!$P$8-1),0),0),0)</ns0:f>
        <ns0:v/>
      </ns0:c>
      <ns0:c r="I1194">
        <ns0:f>IF($H1194=0,0,IFERROR(IF(AND(ABS($C1194-INDEX('AH History'!$B$1:$B$18046,$H1194))&lt;=MAX(0.005,ABS(INDEX('AH History'!$B$1:$B$18046,$H1194))*0.00005),ABS($D1194-INDEX('AH History'!$C$1:$C$18046,$H1194))&lt;=MAX(0.005,ABS(INDEX('AH History'!$C$1:$C$18046,$H1194))*0.00005),ABS($E1194-INDEX('AH History'!$D$1:$D$18046,$H1194))&lt;=0.00005,$F1194=INDEX('AH History'!$E$1:$E$18046,$H1194),$G1194=INDEX('AH History'!$F$1:$F$18046,$H1194)),1,-1),-1))</ns0:f>
        <ns0:v/>
      </ns0:c>
    </ns0:row>
    <ns0:row r="1195">
      <ns0:c r="A1195" s="215">
        <ns0:f>IF(OR(AH!$P$3=0,1190+1&gt;AH!$P$11,AND(AH!$E$4&lt;&gt;"Stored",AH!$P$10&lt;&gt;1)),"",IFERROR(IF(AND(AH!$P$21=1,1190+1=AH!$P$11),TODAY(),IF(AH!$P$10=1,INDEX('Live History'!$A$5:$A$3004,AH!$P$13+1190),INDEX('AH History'!$A$1:$A$18046,AH!$P$7+1190))),""))</ns0:f>
        <ns0:v/>
      </ns0:c>
      <ns0:c r="B1195" s="219">
        <ns0:f>IFERROR(IF(AND(AH!$P$9&lt;&gt;1,$C1195&gt;0,$D1195&gt;0,$E1195&gt;0,$F1195&gt;0,$G1195&gt;0,$F1195&lt;=$A1195,$G1195&lt;=$A1195,$A1195-$F1195&lt;=10,$A1195-$G1195&lt;=5),$D1195*$E1195/$C1195-1,NA()),NA())</ns0:f>
        <ns0:v/>
      </ns0:c>
      <ns0:c r="C1195">
        <ns0:f>IFERROR(IF(ISNUMBER($A1195),IF(AND(AH!$P$10=1,AH!$P$12=1,$A1195=TODAY()),AH!$P$19,IF(AH!$P$10=1,INDEX('Live History'!$B$5:$B$3004,AH!$P$13+1190),INDEX('AH History'!$B$1:$B$18046,AH!$P$7+1190))),NA()),NA())</ns0:f>
        <ns0:v/>
      </ns0:c>
      <ns0:c r="D1195">
        <ns0:f>IFERROR(IF(ISNUMBER($A1195),IF(AND(AH!$P$10=1,AH!$P$12=1,$A1195=TODAY()),AH!$P$18,IF(AH!$P$10=1,INDEX('Live History'!$E$5:$E$3004,MATCH($A1195,'Live History'!$D$5:$D$3004,1)),INDEX('AH History'!$C$1:$C$18046,AH!$P$7+1190))),NA()),NA())</ns0:f>
        <ns0:v/>
      </ns0:c>
      <ns0:c r="E1195">
        <ns0:f>IFERROR(IF(ISNUMBER($A1195),IF(AND(AH!$P$10=1,AH!$P$12=1,$A1195=TODAY()),AH!$P$20,IF(AH!$P$10=1,INDEX('Live History'!$H$5:$H$3004,MATCH($A1195,'Live History'!$G$5:$G$3004,1)),INDEX('AH History'!$D$1:$D$18046,AH!$P$7+1190))),NA()),NA())</ns0:f>
        <ns0:v/>
      </ns0:c>
      <ns0:c r="F1195">
        <ns0:f>IFERROR(IF(ISNUMBER($A1195),IF(AND(AH!$P$10=1,AH!$P$12=1,$A1195=TODAY()),IF(AND(AH!$P$10=1,AH!$P$12=1,$A1195=TODAY()),TODAY(),NA()),IF(AH!$P$10=1,INDEX('Live History'!$D$5:$D$3004,MATCH($A1195,'Live History'!$D$5:$D$3004,1)),INDEX('AH History'!$E$1:$E$18046,AH!$P$7+1190))),NA()),NA())</ns0:f>
        <ns0:v/>
      </ns0:c>
      <ns0:c r="G1195">
        <ns0:f>IFERROR(IF(ISNUMBER($A1195),IF(AND(AH!$P$10=1,AH!$P$12=1,$A1195=TODAY()),IF(AND(AH!$P$10=1,AH!$P$12=1,$A1195=TODAY()),TODAY(),NA()),IF(AH!$P$10=1,INDEX('Live History'!$G$5:$G$3004,MATCH($A1195,'Live History'!$G$5:$G$3004,1)),INDEX('AH History'!$F$1:$F$18046,AH!$P$7+1190))),NA()),NA())</ns0:f>
        <ns0:v/>
      </ns0:c>
      <ns0:c r="H1195">
        <ns0:f>IFERROR(IF(AND(AH!$E$4="Bloomberg",AH!$P$10=1,ISNUMBER($A1195),$A1195&lt;=AH!$P$17),AH!$P$7-1+MATCH($A1195,INDEX('AH History'!$A$1:$A$18046,AH!$P$7):INDEX('AH History'!$A$1:$A$18046,AH!$P$7+AH!$P$8-1),0),0),0)</ns0:f>
        <ns0:v/>
      </ns0:c>
      <ns0:c r="I1195">
        <ns0:f>IF($H1195=0,0,IFERROR(IF(AND(ABS($C1195-INDEX('AH History'!$B$1:$B$18046,$H1195))&lt;=MAX(0.005,ABS(INDEX('AH History'!$B$1:$B$18046,$H1195))*0.00005),ABS($D1195-INDEX('AH History'!$C$1:$C$18046,$H1195))&lt;=MAX(0.005,ABS(INDEX('AH History'!$C$1:$C$18046,$H1195))*0.00005),ABS($E1195-INDEX('AH History'!$D$1:$D$18046,$H1195))&lt;=0.00005,$F1195=INDEX('AH History'!$E$1:$E$18046,$H1195),$G1195=INDEX('AH History'!$F$1:$F$18046,$H1195)),1,-1),-1))</ns0:f>
        <ns0:v/>
      </ns0:c>
    </ns0:row>
    <ns0:row r="1196">
      <ns0:c r="A1196" s="215">
        <ns0:f>IF(OR(AH!$P$3=0,1191+1&gt;AH!$P$11,AND(AH!$E$4&lt;&gt;"Stored",AH!$P$10&lt;&gt;1)),"",IFERROR(IF(AND(AH!$P$21=1,1191+1=AH!$P$11),TODAY(),IF(AH!$P$10=1,INDEX('Live History'!$A$5:$A$3004,AH!$P$13+1191),INDEX('AH History'!$A$1:$A$18046,AH!$P$7+1191))),""))</ns0:f>
        <ns0:v/>
      </ns0:c>
      <ns0:c r="B1196" s="219">
        <ns0:f>IFERROR(IF(AND(AH!$P$9&lt;&gt;1,$C1196&gt;0,$D1196&gt;0,$E1196&gt;0,$F1196&gt;0,$G1196&gt;0,$F1196&lt;=$A1196,$G1196&lt;=$A1196,$A1196-$F1196&lt;=10,$A1196-$G1196&lt;=5),$D1196*$E1196/$C1196-1,NA()),NA())</ns0:f>
        <ns0:v/>
      </ns0:c>
      <ns0:c r="C1196">
        <ns0:f>IFERROR(IF(ISNUMBER($A1196),IF(AND(AH!$P$10=1,AH!$P$12=1,$A1196=TODAY()),AH!$P$19,IF(AH!$P$10=1,INDEX('Live History'!$B$5:$B$3004,AH!$P$13+1191),INDEX('AH History'!$B$1:$B$18046,AH!$P$7+1191))),NA()),NA())</ns0:f>
        <ns0:v/>
      </ns0:c>
      <ns0:c r="D1196">
        <ns0:f>IFERROR(IF(ISNUMBER($A1196),IF(AND(AH!$P$10=1,AH!$P$12=1,$A1196=TODAY()),AH!$P$18,IF(AH!$P$10=1,INDEX('Live History'!$E$5:$E$3004,MATCH($A1196,'Live History'!$D$5:$D$3004,1)),INDEX('AH History'!$C$1:$C$18046,AH!$P$7+1191))),NA()),NA())</ns0:f>
        <ns0:v/>
      </ns0:c>
      <ns0:c r="E1196">
        <ns0:f>IFERROR(IF(ISNUMBER($A1196),IF(AND(AH!$P$10=1,AH!$P$12=1,$A1196=TODAY()),AH!$P$20,IF(AH!$P$10=1,INDEX('Live History'!$H$5:$H$3004,MATCH($A1196,'Live History'!$G$5:$G$3004,1)),INDEX('AH History'!$D$1:$D$18046,AH!$P$7+1191))),NA()),NA())</ns0:f>
        <ns0:v/>
      </ns0:c>
      <ns0:c r="F1196">
        <ns0:f>IFERROR(IF(ISNUMBER($A1196),IF(AND(AH!$P$10=1,AH!$P$12=1,$A1196=TODAY()),IF(AND(AH!$P$10=1,AH!$P$12=1,$A1196=TODAY()),TODAY(),NA()),IF(AH!$P$10=1,INDEX('Live History'!$D$5:$D$3004,MATCH($A1196,'Live History'!$D$5:$D$3004,1)),INDEX('AH History'!$E$1:$E$18046,AH!$P$7+1191))),NA()),NA())</ns0:f>
        <ns0:v/>
      </ns0:c>
      <ns0:c r="G1196">
        <ns0:f>IFERROR(IF(ISNUMBER($A1196),IF(AND(AH!$P$10=1,AH!$P$12=1,$A1196=TODAY()),IF(AND(AH!$P$10=1,AH!$P$12=1,$A1196=TODAY()),TODAY(),NA()),IF(AH!$P$10=1,INDEX('Live History'!$G$5:$G$3004,MATCH($A1196,'Live History'!$G$5:$G$3004,1)),INDEX('AH History'!$F$1:$F$18046,AH!$P$7+1191))),NA()),NA())</ns0:f>
        <ns0:v/>
      </ns0:c>
      <ns0:c r="H1196">
        <ns0:f>IFERROR(IF(AND(AH!$E$4="Bloomberg",AH!$P$10=1,ISNUMBER($A1196),$A1196&lt;=AH!$P$17),AH!$P$7-1+MATCH($A1196,INDEX('AH History'!$A$1:$A$18046,AH!$P$7):INDEX('AH History'!$A$1:$A$18046,AH!$P$7+AH!$P$8-1),0),0),0)</ns0:f>
        <ns0:v/>
      </ns0:c>
      <ns0:c r="I1196">
        <ns0:f>IF($H1196=0,0,IFERROR(IF(AND(ABS($C1196-INDEX('AH History'!$B$1:$B$18046,$H1196))&lt;=MAX(0.005,ABS(INDEX('AH History'!$B$1:$B$18046,$H1196))*0.00005),ABS($D1196-INDEX('AH History'!$C$1:$C$18046,$H1196))&lt;=MAX(0.005,ABS(INDEX('AH History'!$C$1:$C$18046,$H1196))*0.00005),ABS($E1196-INDEX('AH History'!$D$1:$D$18046,$H1196))&lt;=0.00005,$F1196=INDEX('AH History'!$E$1:$E$18046,$H1196),$G1196=INDEX('AH History'!$F$1:$F$18046,$H1196)),1,-1),-1))</ns0:f>
        <ns0:v/>
      </ns0:c>
    </ns0:row>
    <ns0:row r="1197">
      <ns0:c r="A1197" s="215">
        <ns0:f>IF(OR(AH!$P$3=0,1192+1&gt;AH!$P$11,AND(AH!$E$4&lt;&gt;"Stored",AH!$P$10&lt;&gt;1)),"",IFERROR(IF(AND(AH!$P$21=1,1192+1=AH!$P$11),TODAY(),IF(AH!$P$10=1,INDEX('Live History'!$A$5:$A$3004,AH!$P$13+1192),INDEX('AH History'!$A$1:$A$18046,AH!$P$7+1192))),""))</ns0:f>
        <ns0:v/>
      </ns0:c>
      <ns0:c r="B1197" s="219">
        <ns0:f>IFERROR(IF(AND(AH!$P$9&lt;&gt;1,$C1197&gt;0,$D1197&gt;0,$E1197&gt;0,$F1197&gt;0,$G1197&gt;0,$F1197&lt;=$A1197,$G1197&lt;=$A1197,$A1197-$F1197&lt;=10,$A1197-$G1197&lt;=5),$D1197*$E1197/$C1197-1,NA()),NA())</ns0:f>
        <ns0:v/>
      </ns0:c>
      <ns0:c r="C1197">
        <ns0:f>IFERROR(IF(ISNUMBER($A1197),IF(AND(AH!$P$10=1,AH!$P$12=1,$A1197=TODAY()),AH!$P$19,IF(AH!$P$10=1,INDEX('Live History'!$B$5:$B$3004,AH!$P$13+1192),INDEX('AH History'!$B$1:$B$18046,AH!$P$7+1192))),NA()),NA())</ns0:f>
        <ns0:v/>
      </ns0:c>
      <ns0:c r="D1197">
        <ns0:f>IFERROR(IF(ISNUMBER($A1197),IF(AND(AH!$P$10=1,AH!$P$12=1,$A1197=TODAY()),AH!$P$18,IF(AH!$P$10=1,INDEX('Live History'!$E$5:$E$3004,MATCH($A1197,'Live History'!$D$5:$D$3004,1)),INDEX('AH History'!$C$1:$C$18046,AH!$P$7+1192))),NA()),NA())</ns0:f>
        <ns0:v/>
      </ns0:c>
      <ns0:c r="E1197">
        <ns0:f>IFERROR(IF(ISNUMBER($A1197),IF(AND(AH!$P$10=1,AH!$P$12=1,$A1197=TODAY()),AH!$P$20,IF(AH!$P$10=1,INDEX('Live History'!$H$5:$H$3004,MATCH($A1197,'Live History'!$G$5:$G$3004,1)),INDEX('AH History'!$D$1:$D$18046,AH!$P$7+1192))),NA()),NA())</ns0:f>
        <ns0:v/>
      </ns0:c>
      <ns0:c r="F1197">
        <ns0:f>IFERROR(IF(ISNUMBER($A1197),IF(AND(AH!$P$10=1,AH!$P$12=1,$A1197=TODAY()),IF(AND(AH!$P$10=1,AH!$P$12=1,$A1197=TODAY()),TODAY(),NA()),IF(AH!$P$10=1,INDEX('Live History'!$D$5:$D$3004,MATCH($A1197,'Live History'!$D$5:$D$3004,1)),INDEX('AH History'!$E$1:$E$18046,AH!$P$7+1192))),NA()),NA())</ns0:f>
        <ns0:v/>
      </ns0:c>
      <ns0:c r="G1197">
        <ns0:f>IFERROR(IF(ISNUMBER($A1197),IF(AND(AH!$P$10=1,AH!$P$12=1,$A1197=TODAY()),IF(AND(AH!$P$10=1,AH!$P$12=1,$A1197=TODAY()),TODAY(),NA()),IF(AH!$P$10=1,INDEX('Live History'!$G$5:$G$3004,MATCH($A1197,'Live History'!$G$5:$G$3004,1)),INDEX('AH History'!$F$1:$F$18046,AH!$P$7+1192))),NA()),NA())</ns0:f>
        <ns0:v/>
      </ns0:c>
      <ns0:c r="H1197">
        <ns0:f>IFERROR(IF(AND(AH!$E$4="Bloomberg",AH!$P$10=1,ISNUMBER($A1197),$A1197&lt;=AH!$P$17),AH!$P$7-1+MATCH($A1197,INDEX('AH History'!$A$1:$A$18046,AH!$P$7):INDEX('AH History'!$A$1:$A$18046,AH!$P$7+AH!$P$8-1),0),0),0)</ns0:f>
        <ns0:v/>
      </ns0:c>
      <ns0:c r="I1197">
        <ns0:f>IF($H1197=0,0,IFERROR(IF(AND(ABS($C1197-INDEX('AH History'!$B$1:$B$18046,$H1197))&lt;=MAX(0.005,ABS(INDEX('AH History'!$B$1:$B$18046,$H1197))*0.00005),ABS($D1197-INDEX('AH History'!$C$1:$C$18046,$H1197))&lt;=MAX(0.005,ABS(INDEX('AH History'!$C$1:$C$18046,$H1197))*0.00005),ABS($E1197-INDEX('AH History'!$D$1:$D$18046,$H1197))&lt;=0.00005,$F1197=INDEX('AH History'!$E$1:$E$18046,$H1197),$G1197=INDEX('AH History'!$F$1:$F$18046,$H1197)),1,-1),-1))</ns0:f>
        <ns0:v/>
      </ns0:c>
    </ns0:row>
    <ns0:row r="1198">
      <ns0:c r="A1198" s="215">
        <ns0:f>IF(OR(AH!$P$3=0,1193+1&gt;AH!$P$11,AND(AH!$E$4&lt;&gt;"Stored",AH!$P$10&lt;&gt;1)),"",IFERROR(IF(AND(AH!$P$21=1,1193+1=AH!$P$11),TODAY(),IF(AH!$P$10=1,INDEX('Live History'!$A$5:$A$3004,AH!$P$13+1193),INDEX('AH History'!$A$1:$A$18046,AH!$P$7+1193))),""))</ns0:f>
        <ns0:v/>
      </ns0:c>
      <ns0:c r="B1198" s="219">
        <ns0:f>IFERROR(IF(AND(AH!$P$9&lt;&gt;1,$C1198&gt;0,$D1198&gt;0,$E1198&gt;0,$F1198&gt;0,$G1198&gt;0,$F1198&lt;=$A1198,$G1198&lt;=$A1198,$A1198-$F1198&lt;=10,$A1198-$G1198&lt;=5),$D1198*$E1198/$C1198-1,NA()),NA())</ns0:f>
        <ns0:v/>
      </ns0:c>
      <ns0:c r="C1198">
        <ns0:f>IFERROR(IF(ISNUMBER($A1198),IF(AND(AH!$P$10=1,AH!$P$12=1,$A1198=TODAY()),AH!$P$19,IF(AH!$P$10=1,INDEX('Live History'!$B$5:$B$3004,AH!$P$13+1193),INDEX('AH History'!$B$1:$B$18046,AH!$P$7+1193))),NA()),NA())</ns0:f>
        <ns0:v/>
      </ns0:c>
      <ns0:c r="D1198">
        <ns0:f>IFERROR(IF(ISNUMBER($A1198),IF(AND(AH!$P$10=1,AH!$P$12=1,$A1198=TODAY()),AH!$P$18,IF(AH!$P$10=1,INDEX('Live History'!$E$5:$E$3004,MATCH($A1198,'Live History'!$D$5:$D$3004,1)),INDEX('AH History'!$C$1:$C$18046,AH!$P$7+1193))),NA()),NA())</ns0:f>
        <ns0:v/>
      </ns0:c>
      <ns0:c r="E1198">
        <ns0:f>IFERROR(IF(ISNUMBER($A1198),IF(AND(AH!$P$10=1,AH!$P$12=1,$A1198=TODAY()),AH!$P$20,IF(AH!$P$10=1,INDEX('Live History'!$H$5:$H$3004,MATCH($A1198,'Live History'!$G$5:$G$3004,1)),INDEX('AH History'!$D$1:$D$18046,AH!$P$7+1193))),NA()),NA())</ns0:f>
        <ns0:v/>
      </ns0:c>
      <ns0:c r="F1198">
        <ns0:f>IFERROR(IF(ISNUMBER($A1198),IF(AND(AH!$P$10=1,AH!$P$12=1,$A1198=TODAY()),IF(AND(AH!$P$10=1,AH!$P$12=1,$A1198=TODAY()),TODAY(),NA()),IF(AH!$P$10=1,INDEX('Live History'!$D$5:$D$3004,MATCH($A1198,'Live History'!$D$5:$D$3004,1)),INDEX('AH History'!$E$1:$E$18046,AH!$P$7+1193))),NA()),NA())</ns0:f>
        <ns0:v/>
      </ns0:c>
      <ns0:c r="G1198">
        <ns0:f>IFERROR(IF(ISNUMBER($A1198),IF(AND(AH!$P$10=1,AH!$P$12=1,$A1198=TODAY()),IF(AND(AH!$P$10=1,AH!$P$12=1,$A1198=TODAY()),TODAY(),NA()),IF(AH!$P$10=1,INDEX('Live History'!$G$5:$G$3004,MATCH($A1198,'Live History'!$G$5:$G$3004,1)),INDEX('AH History'!$F$1:$F$18046,AH!$P$7+1193))),NA()),NA())</ns0:f>
        <ns0:v/>
      </ns0:c>
      <ns0:c r="H1198">
        <ns0:f>IFERROR(IF(AND(AH!$E$4="Bloomberg",AH!$P$10=1,ISNUMBER($A1198),$A1198&lt;=AH!$P$17),AH!$P$7-1+MATCH($A1198,INDEX('AH History'!$A$1:$A$18046,AH!$P$7):INDEX('AH History'!$A$1:$A$18046,AH!$P$7+AH!$P$8-1),0),0),0)</ns0:f>
        <ns0:v/>
      </ns0:c>
      <ns0:c r="I1198">
        <ns0:f>IF($H1198=0,0,IFERROR(IF(AND(ABS($C1198-INDEX('AH History'!$B$1:$B$18046,$H1198))&lt;=MAX(0.005,ABS(INDEX('AH History'!$B$1:$B$18046,$H1198))*0.00005),ABS($D1198-INDEX('AH History'!$C$1:$C$18046,$H1198))&lt;=MAX(0.005,ABS(INDEX('AH History'!$C$1:$C$18046,$H1198))*0.00005),ABS($E1198-INDEX('AH History'!$D$1:$D$18046,$H1198))&lt;=0.00005,$F1198=INDEX('AH History'!$E$1:$E$18046,$H1198),$G1198=INDEX('AH History'!$F$1:$F$18046,$H1198)),1,-1),-1))</ns0:f>
        <ns0:v/>
      </ns0:c>
    </ns0:row>
    <ns0:row r="1199">
      <ns0:c r="A1199" s="215">
        <ns0:f>IF(OR(AH!$P$3=0,1194+1&gt;AH!$P$11,AND(AH!$E$4&lt;&gt;"Stored",AH!$P$10&lt;&gt;1)),"",IFERROR(IF(AND(AH!$P$21=1,1194+1=AH!$P$11),TODAY(),IF(AH!$P$10=1,INDEX('Live History'!$A$5:$A$3004,AH!$P$13+1194),INDEX('AH History'!$A$1:$A$18046,AH!$P$7+1194))),""))</ns0:f>
        <ns0:v/>
      </ns0:c>
      <ns0:c r="B1199" s="219">
        <ns0:f>IFERROR(IF(AND(AH!$P$9&lt;&gt;1,$C1199&gt;0,$D1199&gt;0,$E1199&gt;0,$F1199&gt;0,$G1199&gt;0,$F1199&lt;=$A1199,$G1199&lt;=$A1199,$A1199-$F1199&lt;=10,$A1199-$G1199&lt;=5),$D1199*$E1199/$C1199-1,NA()),NA())</ns0:f>
        <ns0:v/>
      </ns0:c>
      <ns0:c r="C1199">
        <ns0:f>IFERROR(IF(ISNUMBER($A1199),IF(AND(AH!$P$10=1,AH!$P$12=1,$A1199=TODAY()),AH!$P$19,IF(AH!$P$10=1,INDEX('Live History'!$B$5:$B$3004,AH!$P$13+1194),INDEX('AH History'!$B$1:$B$18046,AH!$P$7+1194))),NA()),NA())</ns0:f>
        <ns0:v/>
      </ns0:c>
      <ns0:c r="D1199">
        <ns0:f>IFERROR(IF(ISNUMBER($A1199),IF(AND(AH!$P$10=1,AH!$P$12=1,$A1199=TODAY()),AH!$P$18,IF(AH!$P$10=1,INDEX('Live History'!$E$5:$E$3004,MATCH($A1199,'Live History'!$D$5:$D$3004,1)),INDEX('AH History'!$C$1:$C$18046,AH!$P$7+1194))),NA()),NA())</ns0:f>
        <ns0:v/>
      </ns0:c>
      <ns0:c r="E1199">
        <ns0:f>IFERROR(IF(ISNUMBER($A1199),IF(AND(AH!$P$10=1,AH!$P$12=1,$A1199=TODAY()),AH!$P$20,IF(AH!$P$10=1,INDEX('Live History'!$H$5:$H$3004,MATCH($A1199,'Live History'!$G$5:$G$3004,1)),INDEX('AH History'!$D$1:$D$18046,AH!$P$7+1194))),NA()),NA())</ns0:f>
        <ns0:v/>
      </ns0:c>
      <ns0:c r="F1199">
        <ns0:f>IFERROR(IF(ISNUMBER($A1199),IF(AND(AH!$P$10=1,AH!$P$12=1,$A1199=TODAY()),IF(AND(AH!$P$10=1,AH!$P$12=1,$A1199=TODAY()),TODAY(),NA()),IF(AH!$P$10=1,INDEX('Live History'!$D$5:$D$3004,MATCH($A1199,'Live History'!$D$5:$D$3004,1)),INDEX('AH History'!$E$1:$E$18046,AH!$P$7+1194))),NA()),NA())</ns0:f>
        <ns0:v/>
      </ns0:c>
      <ns0:c r="G1199">
        <ns0:f>IFERROR(IF(ISNUMBER($A1199),IF(AND(AH!$P$10=1,AH!$P$12=1,$A1199=TODAY()),IF(AND(AH!$P$10=1,AH!$P$12=1,$A1199=TODAY()),TODAY(),NA()),IF(AH!$P$10=1,INDEX('Live History'!$G$5:$G$3004,MATCH($A1199,'Live History'!$G$5:$G$3004,1)),INDEX('AH History'!$F$1:$F$18046,AH!$P$7+1194))),NA()),NA())</ns0:f>
        <ns0:v/>
      </ns0:c>
      <ns0:c r="H1199">
        <ns0:f>IFERROR(IF(AND(AH!$E$4="Bloomberg",AH!$P$10=1,ISNUMBER($A1199),$A1199&lt;=AH!$P$17),AH!$P$7-1+MATCH($A1199,INDEX('AH History'!$A$1:$A$18046,AH!$P$7):INDEX('AH History'!$A$1:$A$18046,AH!$P$7+AH!$P$8-1),0),0),0)</ns0:f>
        <ns0:v/>
      </ns0:c>
      <ns0:c r="I1199">
        <ns0:f>IF($H1199=0,0,IFERROR(IF(AND(ABS($C1199-INDEX('AH History'!$B$1:$B$18046,$H1199))&lt;=MAX(0.005,ABS(INDEX('AH History'!$B$1:$B$18046,$H1199))*0.00005),ABS($D1199-INDEX('AH History'!$C$1:$C$18046,$H1199))&lt;=MAX(0.005,ABS(INDEX('AH History'!$C$1:$C$18046,$H1199))*0.00005),ABS($E1199-INDEX('AH History'!$D$1:$D$18046,$H1199))&lt;=0.00005,$F1199=INDEX('AH History'!$E$1:$E$18046,$H1199),$G1199=INDEX('AH History'!$F$1:$F$18046,$H1199)),1,-1),-1))</ns0:f>
        <ns0:v/>
      </ns0:c>
    </ns0:row>
    <ns0:row r="1200">
      <ns0:c r="A1200" s="215">
        <ns0:f>IF(OR(AH!$P$3=0,1195+1&gt;AH!$P$11,AND(AH!$E$4&lt;&gt;"Stored",AH!$P$10&lt;&gt;1)),"",IFERROR(IF(AND(AH!$P$21=1,1195+1=AH!$P$11),TODAY(),IF(AH!$P$10=1,INDEX('Live History'!$A$5:$A$3004,AH!$P$13+1195),INDEX('AH History'!$A$1:$A$18046,AH!$P$7+1195))),""))</ns0:f>
        <ns0:v/>
      </ns0:c>
      <ns0:c r="B1200" s="219">
        <ns0:f>IFERROR(IF(AND(AH!$P$9&lt;&gt;1,$C1200&gt;0,$D1200&gt;0,$E1200&gt;0,$F1200&gt;0,$G1200&gt;0,$F1200&lt;=$A1200,$G1200&lt;=$A1200,$A1200-$F1200&lt;=10,$A1200-$G1200&lt;=5),$D1200*$E1200/$C1200-1,NA()),NA())</ns0:f>
        <ns0:v/>
      </ns0:c>
      <ns0:c r="C1200">
        <ns0:f>IFERROR(IF(ISNUMBER($A1200),IF(AND(AH!$P$10=1,AH!$P$12=1,$A1200=TODAY()),AH!$P$19,IF(AH!$P$10=1,INDEX('Live History'!$B$5:$B$3004,AH!$P$13+1195),INDEX('AH History'!$B$1:$B$18046,AH!$P$7+1195))),NA()),NA())</ns0:f>
        <ns0:v/>
      </ns0:c>
      <ns0:c r="D1200">
        <ns0:f>IFERROR(IF(ISNUMBER($A1200),IF(AND(AH!$P$10=1,AH!$P$12=1,$A1200=TODAY()),AH!$P$18,IF(AH!$P$10=1,INDEX('Live History'!$E$5:$E$3004,MATCH($A1200,'Live History'!$D$5:$D$3004,1)),INDEX('AH History'!$C$1:$C$18046,AH!$P$7+1195))),NA()),NA())</ns0:f>
        <ns0:v/>
      </ns0:c>
      <ns0:c r="E1200">
        <ns0:f>IFERROR(IF(ISNUMBER($A1200),IF(AND(AH!$P$10=1,AH!$P$12=1,$A1200=TODAY()),AH!$P$20,IF(AH!$P$10=1,INDEX('Live History'!$H$5:$H$3004,MATCH($A1200,'Live History'!$G$5:$G$3004,1)),INDEX('AH History'!$D$1:$D$18046,AH!$P$7+1195))),NA()),NA())</ns0:f>
        <ns0:v/>
      </ns0:c>
      <ns0:c r="F1200">
        <ns0:f>IFERROR(IF(ISNUMBER($A1200),IF(AND(AH!$P$10=1,AH!$P$12=1,$A1200=TODAY()),IF(AND(AH!$P$10=1,AH!$P$12=1,$A1200=TODAY()),TODAY(),NA()),IF(AH!$P$10=1,INDEX('Live History'!$D$5:$D$3004,MATCH($A1200,'Live History'!$D$5:$D$3004,1)),INDEX('AH History'!$E$1:$E$18046,AH!$P$7+1195))),NA()),NA())</ns0:f>
        <ns0:v/>
      </ns0:c>
      <ns0:c r="G1200">
        <ns0:f>IFERROR(IF(ISNUMBER($A1200),IF(AND(AH!$P$10=1,AH!$P$12=1,$A1200=TODAY()),IF(AND(AH!$P$10=1,AH!$P$12=1,$A1200=TODAY()),TODAY(),NA()),IF(AH!$P$10=1,INDEX('Live History'!$G$5:$G$3004,MATCH($A1200,'Live History'!$G$5:$G$3004,1)),INDEX('AH History'!$F$1:$F$18046,AH!$P$7+1195))),NA()),NA())</ns0:f>
        <ns0:v/>
      </ns0:c>
      <ns0:c r="H1200">
        <ns0:f>IFERROR(IF(AND(AH!$E$4="Bloomberg",AH!$P$10=1,ISNUMBER($A1200),$A1200&lt;=AH!$P$17),AH!$P$7-1+MATCH($A1200,INDEX('AH History'!$A$1:$A$18046,AH!$P$7):INDEX('AH History'!$A$1:$A$18046,AH!$P$7+AH!$P$8-1),0),0),0)</ns0:f>
        <ns0:v/>
      </ns0:c>
      <ns0:c r="I1200">
        <ns0:f>IF($H1200=0,0,IFERROR(IF(AND(ABS($C1200-INDEX('AH History'!$B$1:$B$18046,$H1200))&lt;=MAX(0.005,ABS(INDEX('AH History'!$B$1:$B$18046,$H1200))*0.00005),ABS($D1200-INDEX('AH History'!$C$1:$C$18046,$H1200))&lt;=MAX(0.005,ABS(INDEX('AH History'!$C$1:$C$18046,$H1200))*0.00005),ABS($E1200-INDEX('AH History'!$D$1:$D$18046,$H1200))&lt;=0.00005,$F1200=INDEX('AH History'!$E$1:$E$18046,$H1200),$G1200=INDEX('AH History'!$F$1:$F$18046,$H1200)),1,-1),-1))</ns0:f>
        <ns0:v/>
      </ns0:c>
    </ns0:row>
    <ns0:row r="1201">
      <ns0:c r="A1201" s="215">
        <ns0:f>IF(OR(AH!$P$3=0,1196+1&gt;AH!$P$11,AND(AH!$E$4&lt;&gt;"Stored",AH!$P$10&lt;&gt;1)),"",IFERROR(IF(AND(AH!$P$21=1,1196+1=AH!$P$11),TODAY(),IF(AH!$P$10=1,INDEX('Live History'!$A$5:$A$3004,AH!$P$13+1196),INDEX('AH History'!$A$1:$A$18046,AH!$P$7+1196))),""))</ns0:f>
        <ns0:v/>
      </ns0:c>
      <ns0:c r="B1201" s="219">
        <ns0:f>IFERROR(IF(AND(AH!$P$9&lt;&gt;1,$C1201&gt;0,$D1201&gt;0,$E1201&gt;0,$F1201&gt;0,$G1201&gt;0,$F1201&lt;=$A1201,$G1201&lt;=$A1201,$A1201-$F1201&lt;=10,$A1201-$G1201&lt;=5),$D1201*$E1201/$C1201-1,NA()),NA())</ns0:f>
        <ns0:v/>
      </ns0:c>
      <ns0:c r="C1201">
        <ns0:f>IFERROR(IF(ISNUMBER($A1201),IF(AND(AH!$P$10=1,AH!$P$12=1,$A1201=TODAY()),AH!$P$19,IF(AH!$P$10=1,INDEX('Live History'!$B$5:$B$3004,AH!$P$13+1196),INDEX('AH History'!$B$1:$B$18046,AH!$P$7+1196))),NA()),NA())</ns0:f>
        <ns0:v/>
      </ns0:c>
      <ns0:c r="D1201">
        <ns0:f>IFERROR(IF(ISNUMBER($A1201),IF(AND(AH!$P$10=1,AH!$P$12=1,$A1201=TODAY()),AH!$P$18,IF(AH!$P$10=1,INDEX('Live History'!$E$5:$E$3004,MATCH($A1201,'Live History'!$D$5:$D$3004,1)),INDEX('AH History'!$C$1:$C$18046,AH!$P$7+1196))),NA()),NA())</ns0:f>
        <ns0:v/>
      </ns0:c>
      <ns0:c r="E1201">
        <ns0:f>IFERROR(IF(ISNUMBER($A1201),IF(AND(AH!$P$10=1,AH!$P$12=1,$A1201=TODAY()),AH!$P$20,IF(AH!$P$10=1,INDEX('Live History'!$H$5:$H$3004,MATCH($A1201,'Live History'!$G$5:$G$3004,1)),INDEX('AH History'!$D$1:$D$18046,AH!$P$7+1196))),NA()),NA())</ns0:f>
        <ns0:v/>
      </ns0:c>
      <ns0:c r="F1201">
        <ns0:f>IFERROR(IF(ISNUMBER($A1201),IF(AND(AH!$P$10=1,AH!$P$12=1,$A1201=TODAY()),IF(AND(AH!$P$10=1,AH!$P$12=1,$A1201=TODAY()),TODAY(),NA()),IF(AH!$P$10=1,INDEX('Live History'!$D$5:$D$3004,MATCH($A1201,'Live History'!$D$5:$D$3004,1)),INDEX('AH History'!$E$1:$E$18046,AH!$P$7+1196))),NA()),NA())</ns0:f>
        <ns0:v/>
      </ns0:c>
      <ns0:c r="G1201">
        <ns0:f>IFERROR(IF(ISNUMBER($A1201),IF(AND(AH!$P$10=1,AH!$P$12=1,$A1201=TODAY()),IF(AND(AH!$P$10=1,AH!$P$12=1,$A1201=TODAY()),TODAY(),NA()),IF(AH!$P$10=1,INDEX('Live History'!$G$5:$G$3004,MATCH($A1201,'Live History'!$G$5:$G$3004,1)),INDEX('AH History'!$F$1:$F$18046,AH!$P$7+1196))),NA()),NA())</ns0:f>
        <ns0:v/>
      </ns0:c>
      <ns0:c r="H1201">
        <ns0:f>IFERROR(IF(AND(AH!$E$4="Bloomberg",AH!$P$10=1,ISNUMBER($A1201),$A1201&lt;=AH!$P$17),AH!$P$7-1+MATCH($A1201,INDEX('AH History'!$A$1:$A$18046,AH!$P$7):INDEX('AH History'!$A$1:$A$18046,AH!$P$7+AH!$P$8-1),0),0),0)</ns0:f>
        <ns0:v/>
      </ns0:c>
      <ns0:c r="I1201">
        <ns0:f>IF($H1201=0,0,IFERROR(IF(AND(ABS($C1201-INDEX('AH History'!$B$1:$B$18046,$H1201))&lt;=MAX(0.005,ABS(INDEX('AH History'!$B$1:$B$18046,$H1201))*0.00005),ABS($D1201-INDEX('AH History'!$C$1:$C$18046,$H1201))&lt;=MAX(0.005,ABS(INDEX('AH History'!$C$1:$C$18046,$H1201))*0.00005),ABS($E1201-INDEX('AH History'!$D$1:$D$18046,$H1201))&lt;=0.00005,$F1201=INDEX('AH History'!$E$1:$E$18046,$H1201),$G1201=INDEX('AH History'!$F$1:$F$18046,$H1201)),1,-1),-1))</ns0:f>
        <ns0:v/>
      </ns0:c>
    </ns0:row>
    <ns0:row r="1202">
      <ns0:c r="A1202" s="215">
        <ns0:f>IF(OR(AH!$P$3=0,1197+1&gt;AH!$P$11,AND(AH!$E$4&lt;&gt;"Stored",AH!$P$10&lt;&gt;1)),"",IFERROR(IF(AND(AH!$P$21=1,1197+1=AH!$P$11),TODAY(),IF(AH!$P$10=1,INDEX('Live History'!$A$5:$A$3004,AH!$P$13+1197),INDEX('AH History'!$A$1:$A$18046,AH!$P$7+1197))),""))</ns0:f>
        <ns0:v/>
      </ns0:c>
      <ns0:c r="B1202" s="219">
        <ns0:f>IFERROR(IF(AND(AH!$P$9&lt;&gt;1,$C1202&gt;0,$D1202&gt;0,$E1202&gt;0,$F1202&gt;0,$G1202&gt;0,$F1202&lt;=$A1202,$G1202&lt;=$A1202,$A1202-$F1202&lt;=10,$A1202-$G1202&lt;=5),$D1202*$E1202/$C1202-1,NA()),NA())</ns0:f>
        <ns0:v/>
      </ns0:c>
      <ns0:c r="C1202">
        <ns0:f>IFERROR(IF(ISNUMBER($A1202),IF(AND(AH!$P$10=1,AH!$P$12=1,$A1202=TODAY()),AH!$P$19,IF(AH!$P$10=1,INDEX('Live History'!$B$5:$B$3004,AH!$P$13+1197),INDEX('AH History'!$B$1:$B$18046,AH!$P$7+1197))),NA()),NA())</ns0:f>
        <ns0:v/>
      </ns0:c>
      <ns0:c r="D1202">
        <ns0:f>IFERROR(IF(ISNUMBER($A1202),IF(AND(AH!$P$10=1,AH!$P$12=1,$A1202=TODAY()),AH!$P$18,IF(AH!$P$10=1,INDEX('Live History'!$E$5:$E$3004,MATCH($A1202,'Live History'!$D$5:$D$3004,1)),INDEX('AH History'!$C$1:$C$18046,AH!$P$7+1197))),NA()),NA())</ns0:f>
        <ns0:v/>
      </ns0:c>
      <ns0:c r="E1202">
        <ns0:f>IFERROR(IF(ISNUMBER($A1202),IF(AND(AH!$P$10=1,AH!$P$12=1,$A1202=TODAY()),AH!$P$20,IF(AH!$P$10=1,INDEX('Live History'!$H$5:$H$3004,MATCH($A1202,'Live History'!$G$5:$G$3004,1)),INDEX('AH History'!$D$1:$D$18046,AH!$P$7+1197))),NA()),NA())</ns0:f>
        <ns0:v/>
      </ns0:c>
      <ns0:c r="F1202">
        <ns0:f>IFERROR(IF(ISNUMBER($A1202),IF(AND(AH!$P$10=1,AH!$P$12=1,$A1202=TODAY()),IF(AND(AH!$P$10=1,AH!$P$12=1,$A1202=TODAY()),TODAY(),NA()),IF(AH!$P$10=1,INDEX('Live History'!$D$5:$D$3004,MATCH($A1202,'Live History'!$D$5:$D$3004,1)),INDEX('AH History'!$E$1:$E$18046,AH!$P$7+1197))),NA()),NA())</ns0:f>
        <ns0:v/>
      </ns0:c>
      <ns0:c r="G1202">
        <ns0:f>IFERROR(IF(ISNUMBER($A1202),IF(AND(AH!$P$10=1,AH!$P$12=1,$A1202=TODAY()),IF(AND(AH!$P$10=1,AH!$P$12=1,$A1202=TODAY()),TODAY(),NA()),IF(AH!$P$10=1,INDEX('Live History'!$G$5:$G$3004,MATCH($A1202,'Live History'!$G$5:$G$3004,1)),INDEX('AH History'!$F$1:$F$18046,AH!$P$7+1197))),NA()),NA())</ns0:f>
        <ns0:v/>
      </ns0:c>
      <ns0:c r="H1202">
        <ns0:f>IFERROR(IF(AND(AH!$E$4="Bloomberg",AH!$P$10=1,ISNUMBER($A1202),$A1202&lt;=AH!$P$17),AH!$P$7-1+MATCH($A1202,INDEX('AH History'!$A$1:$A$18046,AH!$P$7):INDEX('AH History'!$A$1:$A$18046,AH!$P$7+AH!$P$8-1),0),0),0)</ns0:f>
        <ns0:v/>
      </ns0:c>
      <ns0:c r="I1202">
        <ns0:f>IF($H1202=0,0,IFERROR(IF(AND(ABS($C1202-INDEX('AH History'!$B$1:$B$18046,$H1202))&lt;=MAX(0.005,ABS(INDEX('AH History'!$B$1:$B$18046,$H1202))*0.00005),ABS($D1202-INDEX('AH History'!$C$1:$C$18046,$H1202))&lt;=MAX(0.005,ABS(INDEX('AH History'!$C$1:$C$18046,$H1202))*0.00005),ABS($E1202-INDEX('AH History'!$D$1:$D$18046,$H1202))&lt;=0.00005,$F1202=INDEX('AH History'!$E$1:$E$18046,$H1202),$G1202=INDEX('AH History'!$F$1:$F$18046,$H1202)),1,-1),-1))</ns0:f>
        <ns0:v/>
      </ns0:c>
    </ns0:row>
    <ns0:row r="1203">
      <ns0:c r="A1203" s="215">
        <ns0:f>IF(OR(AH!$P$3=0,1198+1&gt;AH!$P$11,AND(AH!$E$4&lt;&gt;"Stored",AH!$P$10&lt;&gt;1)),"",IFERROR(IF(AND(AH!$P$21=1,1198+1=AH!$P$11),TODAY(),IF(AH!$P$10=1,INDEX('Live History'!$A$5:$A$3004,AH!$P$13+1198),INDEX('AH History'!$A$1:$A$18046,AH!$P$7+1198))),""))</ns0:f>
        <ns0:v/>
      </ns0:c>
      <ns0:c r="B1203" s="219">
        <ns0:f>IFERROR(IF(AND(AH!$P$9&lt;&gt;1,$C1203&gt;0,$D1203&gt;0,$E1203&gt;0,$F1203&gt;0,$G1203&gt;0,$F1203&lt;=$A1203,$G1203&lt;=$A1203,$A1203-$F1203&lt;=10,$A1203-$G1203&lt;=5),$D1203*$E1203/$C1203-1,NA()),NA())</ns0:f>
        <ns0:v/>
      </ns0:c>
      <ns0:c r="C1203">
        <ns0:f>IFERROR(IF(ISNUMBER($A1203),IF(AND(AH!$P$10=1,AH!$P$12=1,$A1203=TODAY()),AH!$P$19,IF(AH!$P$10=1,INDEX('Live History'!$B$5:$B$3004,AH!$P$13+1198),INDEX('AH History'!$B$1:$B$18046,AH!$P$7+1198))),NA()),NA())</ns0:f>
        <ns0:v/>
      </ns0:c>
      <ns0:c r="D1203">
        <ns0:f>IFERROR(IF(ISNUMBER($A1203),IF(AND(AH!$P$10=1,AH!$P$12=1,$A1203=TODAY()),AH!$P$18,IF(AH!$P$10=1,INDEX('Live History'!$E$5:$E$3004,MATCH($A1203,'Live History'!$D$5:$D$3004,1)),INDEX('AH History'!$C$1:$C$18046,AH!$P$7+1198))),NA()),NA())</ns0:f>
        <ns0:v/>
      </ns0:c>
      <ns0:c r="E1203">
        <ns0:f>IFERROR(IF(ISNUMBER($A1203),IF(AND(AH!$P$10=1,AH!$P$12=1,$A1203=TODAY()),AH!$P$20,IF(AH!$P$10=1,INDEX('Live History'!$H$5:$H$3004,MATCH($A1203,'Live History'!$G$5:$G$3004,1)),INDEX('AH History'!$D$1:$D$18046,AH!$P$7+1198))),NA()),NA())</ns0:f>
        <ns0:v/>
      </ns0:c>
      <ns0:c r="F1203">
        <ns0:f>IFERROR(IF(ISNUMBER($A1203),IF(AND(AH!$P$10=1,AH!$P$12=1,$A1203=TODAY()),IF(AND(AH!$P$10=1,AH!$P$12=1,$A1203=TODAY()),TODAY(),NA()),IF(AH!$P$10=1,INDEX('Live History'!$D$5:$D$3004,MATCH($A1203,'Live History'!$D$5:$D$3004,1)),INDEX('AH History'!$E$1:$E$18046,AH!$P$7+1198))),NA()),NA())</ns0:f>
        <ns0:v/>
      </ns0:c>
      <ns0:c r="G1203">
        <ns0:f>IFERROR(IF(ISNUMBER($A1203),IF(AND(AH!$P$10=1,AH!$P$12=1,$A1203=TODAY()),IF(AND(AH!$P$10=1,AH!$P$12=1,$A1203=TODAY()),TODAY(),NA()),IF(AH!$P$10=1,INDEX('Live History'!$G$5:$G$3004,MATCH($A1203,'Live History'!$G$5:$G$3004,1)),INDEX('AH History'!$F$1:$F$18046,AH!$P$7+1198))),NA()),NA())</ns0:f>
        <ns0:v/>
      </ns0:c>
      <ns0:c r="H1203">
        <ns0:f>IFERROR(IF(AND(AH!$E$4="Bloomberg",AH!$P$10=1,ISNUMBER($A1203),$A1203&lt;=AH!$P$17),AH!$P$7-1+MATCH($A1203,INDEX('AH History'!$A$1:$A$18046,AH!$P$7):INDEX('AH History'!$A$1:$A$18046,AH!$P$7+AH!$P$8-1),0),0),0)</ns0:f>
        <ns0:v/>
      </ns0:c>
      <ns0:c r="I1203">
        <ns0:f>IF($H1203=0,0,IFERROR(IF(AND(ABS($C1203-INDEX('AH History'!$B$1:$B$18046,$H1203))&lt;=MAX(0.005,ABS(INDEX('AH History'!$B$1:$B$18046,$H1203))*0.00005),ABS($D1203-INDEX('AH History'!$C$1:$C$18046,$H1203))&lt;=MAX(0.005,ABS(INDEX('AH History'!$C$1:$C$18046,$H1203))*0.00005),ABS($E1203-INDEX('AH History'!$D$1:$D$18046,$H1203))&lt;=0.00005,$F1203=INDEX('AH History'!$E$1:$E$18046,$H1203),$G1203=INDEX('AH History'!$F$1:$F$18046,$H1203)),1,-1),-1))</ns0:f>
        <ns0:v/>
      </ns0:c>
    </ns0:row>
    <ns0:row r="1204">
      <ns0:c r="A1204" s="215">
        <ns0:f>IF(OR(AH!$P$3=0,1199+1&gt;AH!$P$11,AND(AH!$E$4&lt;&gt;"Stored",AH!$P$10&lt;&gt;1)),"",IFERROR(IF(AND(AH!$P$21=1,1199+1=AH!$P$11),TODAY(),IF(AH!$P$10=1,INDEX('Live History'!$A$5:$A$3004,AH!$P$13+1199),INDEX('AH History'!$A$1:$A$18046,AH!$P$7+1199))),""))</ns0:f>
        <ns0:v/>
      </ns0:c>
      <ns0:c r="B1204" s="219">
        <ns0:f>IFERROR(IF(AND(AH!$P$9&lt;&gt;1,$C1204&gt;0,$D1204&gt;0,$E1204&gt;0,$F1204&gt;0,$G1204&gt;0,$F1204&lt;=$A1204,$G1204&lt;=$A1204,$A1204-$F1204&lt;=10,$A1204-$G1204&lt;=5),$D1204*$E1204/$C1204-1,NA()),NA())</ns0:f>
        <ns0:v/>
      </ns0:c>
      <ns0:c r="C1204">
        <ns0:f>IFERROR(IF(ISNUMBER($A1204),IF(AND(AH!$P$10=1,AH!$P$12=1,$A1204=TODAY()),AH!$P$19,IF(AH!$P$10=1,INDEX('Live History'!$B$5:$B$3004,AH!$P$13+1199),INDEX('AH History'!$B$1:$B$18046,AH!$P$7+1199))),NA()),NA())</ns0:f>
        <ns0:v/>
      </ns0:c>
      <ns0:c r="D1204">
        <ns0:f>IFERROR(IF(ISNUMBER($A1204),IF(AND(AH!$P$10=1,AH!$P$12=1,$A1204=TODAY()),AH!$P$18,IF(AH!$P$10=1,INDEX('Live History'!$E$5:$E$3004,MATCH($A1204,'Live History'!$D$5:$D$3004,1)),INDEX('AH History'!$C$1:$C$18046,AH!$P$7+1199))),NA()),NA())</ns0:f>
        <ns0:v/>
      </ns0:c>
      <ns0:c r="E1204">
        <ns0:f>IFERROR(IF(ISNUMBER($A1204),IF(AND(AH!$P$10=1,AH!$P$12=1,$A1204=TODAY()),AH!$P$20,IF(AH!$P$10=1,INDEX('Live History'!$H$5:$H$3004,MATCH($A1204,'Live History'!$G$5:$G$3004,1)),INDEX('AH History'!$D$1:$D$18046,AH!$P$7+1199))),NA()),NA())</ns0:f>
        <ns0:v/>
      </ns0:c>
      <ns0:c r="F1204">
        <ns0:f>IFERROR(IF(ISNUMBER($A1204),IF(AND(AH!$P$10=1,AH!$P$12=1,$A1204=TODAY()),IF(AND(AH!$P$10=1,AH!$P$12=1,$A1204=TODAY()),TODAY(),NA()),IF(AH!$P$10=1,INDEX('Live History'!$D$5:$D$3004,MATCH($A1204,'Live History'!$D$5:$D$3004,1)),INDEX('AH History'!$E$1:$E$18046,AH!$P$7+1199))),NA()),NA())</ns0:f>
        <ns0:v/>
      </ns0:c>
      <ns0:c r="G1204">
        <ns0:f>IFERROR(IF(ISNUMBER($A1204),IF(AND(AH!$P$10=1,AH!$P$12=1,$A1204=TODAY()),IF(AND(AH!$P$10=1,AH!$P$12=1,$A1204=TODAY()),TODAY(),NA()),IF(AH!$P$10=1,INDEX('Live History'!$G$5:$G$3004,MATCH($A1204,'Live History'!$G$5:$G$3004,1)),INDEX('AH History'!$F$1:$F$18046,AH!$P$7+1199))),NA()),NA())</ns0:f>
        <ns0:v/>
      </ns0:c>
      <ns0:c r="H1204">
        <ns0:f>IFERROR(IF(AND(AH!$E$4="Bloomberg",AH!$P$10=1,ISNUMBER($A1204),$A1204&lt;=AH!$P$17),AH!$P$7-1+MATCH($A1204,INDEX('AH History'!$A$1:$A$18046,AH!$P$7):INDEX('AH History'!$A$1:$A$18046,AH!$P$7+AH!$P$8-1),0),0),0)</ns0:f>
        <ns0:v/>
      </ns0:c>
      <ns0:c r="I1204">
        <ns0:f>IF($H1204=0,0,IFERROR(IF(AND(ABS($C1204-INDEX('AH History'!$B$1:$B$18046,$H1204))&lt;=MAX(0.005,ABS(INDEX('AH History'!$B$1:$B$18046,$H1204))*0.00005),ABS($D1204-INDEX('AH History'!$C$1:$C$18046,$H1204))&lt;=MAX(0.005,ABS(INDEX('AH History'!$C$1:$C$18046,$H1204))*0.00005),ABS($E1204-INDEX('AH History'!$D$1:$D$18046,$H1204))&lt;=0.00005,$F1204=INDEX('AH History'!$E$1:$E$18046,$H1204),$G1204=INDEX('AH History'!$F$1:$F$18046,$H1204)),1,-1),-1))</ns0:f>
        <ns0:v/>
      </ns0:c>
    </ns0:row>
    <ns0:row r="1205">
      <ns0:c r="A1205" s="215">
        <ns0:f>IF(OR(AH!$P$3=0,1200+1&gt;AH!$P$11,AND(AH!$E$4&lt;&gt;"Stored",AH!$P$10&lt;&gt;1)),"",IFERROR(IF(AND(AH!$P$21=1,1200+1=AH!$P$11),TODAY(),IF(AH!$P$10=1,INDEX('Live History'!$A$5:$A$3004,AH!$P$13+1200),INDEX('AH History'!$A$1:$A$18046,AH!$P$7+1200))),""))</ns0:f>
        <ns0:v/>
      </ns0:c>
      <ns0:c r="B1205" s="219">
        <ns0:f>IFERROR(IF(AND(AH!$P$9&lt;&gt;1,$C1205&gt;0,$D1205&gt;0,$E1205&gt;0,$F1205&gt;0,$G1205&gt;0,$F1205&lt;=$A1205,$G1205&lt;=$A1205,$A1205-$F1205&lt;=10,$A1205-$G1205&lt;=5),$D1205*$E1205/$C1205-1,NA()),NA())</ns0:f>
        <ns0:v/>
      </ns0:c>
      <ns0:c r="C1205">
        <ns0:f>IFERROR(IF(ISNUMBER($A1205),IF(AND(AH!$P$10=1,AH!$P$12=1,$A1205=TODAY()),AH!$P$19,IF(AH!$P$10=1,INDEX('Live History'!$B$5:$B$3004,AH!$P$13+1200),INDEX('AH History'!$B$1:$B$18046,AH!$P$7+1200))),NA()),NA())</ns0:f>
        <ns0:v/>
      </ns0:c>
      <ns0:c r="D1205">
        <ns0:f>IFERROR(IF(ISNUMBER($A1205),IF(AND(AH!$P$10=1,AH!$P$12=1,$A1205=TODAY()),AH!$P$18,IF(AH!$P$10=1,INDEX('Live History'!$E$5:$E$3004,MATCH($A1205,'Live History'!$D$5:$D$3004,1)),INDEX('AH History'!$C$1:$C$18046,AH!$P$7+1200))),NA()),NA())</ns0:f>
        <ns0:v/>
      </ns0:c>
      <ns0:c r="E1205">
        <ns0:f>IFERROR(IF(ISNUMBER($A1205),IF(AND(AH!$P$10=1,AH!$P$12=1,$A1205=TODAY()),AH!$P$20,IF(AH!$P$10=1,INDEX('Live History'!$H$5:$H$3004,MATCH($A1205,'Live History'!$G$5:$G$3004,1)),INDEX('AH History'!$D$1:$D$18046,AH!$P$7+1200))),NA()),NA())</ns0:f>
        <ns0:v/>
      </ns0:c>
      <ns0:c r="F1205">
        <ns0:f>IFERROR(IF(ISNUMBER($A1205),IF(AND(AH!$P$10=1,AH!$P$12=1,$A1205=TODAY()),IF(AND(AH!$P$10=1,AH!$P$12=1,$A1205=TODAY()),TODAY(),NA()),IF(AH!$P$10=1,INDEX('Live History'!$D$5:$D$3004,MATCH($A1205,'Live History'!$D$5:$D$3004,1)),INDEX('AH History'!$E$1:$E$18046,AH!$P$7+1200))),NA()),NA())</ns0:f>
        <ns0:v/>
      </ns0:c>
      <ns0:c r="G1205">
        <ns0:f>IFERROR(IF(ISNUMBER($A1205),IF(AND(AH!$P$10=1,AH!$P$12=1,$A1205=TODAY()),IF(AND(AH!$P$10=1,AH!$P$12=1,$A1205=TODAY()),TODAY(),NA()),IF(AH!$P$10=1,INDEX('Live History'!$G$5:$G$3004,MATCH($A1205,'Live History'!$G$5:$G$3004,1)),INDEX('AH History'!$F$1:$F$18046,AH!$P$7+1200))),NA()),NA())</ns0:f>
        <ns0:v/>
      </ns0:c>
      <ns0:c r="H1205">
        <ns0:f>IFERROR(IF(AND(AH!$E$4="Bloomberg",AH!$P$10=1,ISNUMBER($A1205),$A1205&lt;=AH!$P$17),AH!$P$7-1+MATCH($A1205,INDEX('AH History'!$A$1:$A$18046,AH!$P$7):INDEX('AH History'!$A$1:$A$18046,AH!$P$7+AH!$P$8-1),0),0),0)</ns0:f>
        <ns0:v/>
      </ns0:c>
      <ns0:c r="I1205">
        <ns0:f>IF($H1205=0,0,IFERROR(IF(AND(ABS($C1205-INDEX('AH History'!$B$1:$B$18046,$H1205))&lt;=MAX(0.005,ABS(INDEX('AH History'!$B$1:$B$18046,$H1205))*0.00005),ABS($D1205-INDEX('AH History'!$C$1:$C$18046,$H1205))&lt;=MAX(0.005,ABS(INDEX('AH History'!$C$1:$C$18046,$H1205))*0.00005),ABS($E1205-INDEX('AH History'!$D$1:$D$18046,$H1205))&lt;=0.00005,$F1205=INDEX('AH History'!$E$1:$E$18046,$H1205),$G1205=INDEX('AH History'!$F$1:$F$18046,$H1205)),1,-1),-1))</ns0:f>
        <ns0:v/>
      </ns0:c>
    </ns0:row>
    <ns0:row r="1206">
      <ns0:c r="A1206" s="215">
        <ns0:f>IF(OR(AH!$P$3=0,1201+1&gt;AH!$P$11,AND(AH!$E$4&lt;&gt;"Stored",AH!$P$10&lt;&gt;1)),"",IFERROR(IF(AND(AH!$P$21=1,1201+1=AH!$P$11),TODAY(),IF(AH!$P$10=1,INDEX('Live History'!$A$5:$A$3004,AH!$P$13+1201),INDEX('AH History'!$A$1:$A$18046,AH!$P$7+1201))),""))</ns0:f>
        <ns0:v/>
      </ns0:c>
      <ns0:c r="B1206" s="219">
        <ns0:f>IFERROR(IF(AND(AH!$P$9&lt;&gt;1,$C1206&gt;0,$D1206&gt;0,$E1206&gt;0,$F1206&gt;0,$G1206&gt;0,$F1206&lt;=$A1206,$G1206&lt;=$A1206,$A1206-$F1206&lt;=10,$A1206-$G1206&lt;=5),$D1206*$E1206/$C1206-1,NA()),NA())</ns0:f>
        <ns0:v/>
      </ns0:c>
      <ns0:c r="C1206">
        <ns0:f>IFERROR(IF(ISNUMBER($A1206),IF(AND(AH!$P$10=1,AH!$P$12=1,$A1206=TODAY()),AH!$P$19,IF(AH!$P$10=1,INDEX('Live History'!$B$5:$B$3004,AH!$P$13+1201),INDEX('AH History'!$B$1:$B$18046,AH!$P$7+1201))),NA()),NA())</ns0:f>
        <ns0:v/>
      </ns0:c>
      <ns0:c r="D1206">
        <ns0:f>IFERROR(IF(ISNUMBER($A1206),IF(AND(AH!$P$10=1,AH!$P$12=1,$A1206=TODAY()),AH!$P$18,IF(AH!$P$10=1,INDEX('Live History'!$E$5:$E$3004,MATCH($A1206,'Live History'!$D$5:$D$3004,1)),INDEX('AH History'!$C$1:$C$18046,AH!$P$7+1201))),NA()),NA())</ns0:f>
        <ns0:v/>
      </ns0:c>
      <ns0:c r="E1206">
        <ns0:f>IFERROR(IF(ISNUMBER($A1206),IF(AND(AH!$P$10=1,AH!$P$12=1,$A1206=TODAY()),AH!$P$20,IF(AH!$P$10=1,INDEX('Live History'!$H$5:$H$3004,MATCH($A1206,'Live History'!$G$5:$G$3004,1)),INDEX('AH History'!$D$1:$D$18046,AH!$P$7+1201))),NA()),NA())</ns0:f>
        <ns0:v/>
      </ns0:c>
      <ns0:c r="F1206">
        <ns0:f>IFERROR(IF(ISNUMBER($A1206),IF(AND(AH!$P$10=1,AH!$P$12=1,$A1206=TODAY()),IF(AND(AH!$P$10=1,AH!$P$12=1,$A1206=TODAY()),TODAY(),NA()),IF(AH!$P$10=1,INDEX('Live History'!$D$5:$D$3004,MATCH($A1206,'Live History'!$D$5:$D$3004,1)),INDEX('AH History'!$E$1:$E$18046,AH!$P$7+1201))),NA()),NA())</ns0:f>
        <ns0:v/>
      </ns0:c>
      <ns0:c r="G1206">
        <ns0:f>IFERROR(IF(ISNUMBER($A1206),IF(AND(AH!$P$10=1,AH!$P$12=1,$A1206=TODAY()),IF(AND(AH!$P$10=1,AH!$P$12=1,$A1206=TODAY()),TODAY(),NA()),IF(AH!$P$10=1,INDEX('Live History'!$G$5:$G$3004,MATCH($A1206,'Live History'!$G$5:$G$3004,1)),INDEX('AH History'!$F$1:$F$18046,AH!$P$7+1201))),NA()),NA())</ns0:f>
        <ns0:v/>
      </ns0:c>
      <ns0:c r="H1206">
        <ns0:f>IFERROR(IF(AND(AH!$E$4="Bloomberg",AH!$P$10=1,ISNUMBER($A1206),$A1206&lt;=AH!$P$17),AH!$P$7-1+MATCH($A1206,INDEX('AH History'!$A$1:$A$18046,AH!$P$7):INDEX('AH History'!$A$1:$A$18046,AH!$P$7+AH!$P$8-1),0),0),0)</ns0:f>
        <ns0:v/>
      </ns0:c>
      <ns0:c r="I1206">
        <ns0:f>IF($H1206=0,0,IFERROR(IF(AND(ABS($C1206-INDEX('AH History'!$B$1:$B$18046,$H1206))&lt;=MAX(0.005,ABS(INDEX('AH History'!$B$1:$B$18046,$H1206))*0.00005),ABS($D1206-INDEX('AH History'!$C$1:$C$18046,$H1206))&lt;=MAX(0.005,ABS(INDEX('AH History'!$C$1:$C$18046,$H1206))*0.00005),ABS($E1206-INDEX('AH History'!$D$1:$D$18046,$H1206))&lt;=0.00005,$F1206=INDEX('AH History'!$E$1:$E$18046,$H1206),$G1206=INDEX('AH History'!$F$1:$F$18046,$H1206)),1,-1),-1))</ns0:f>
        <ns0:v/>
      </ns0:c>
    </ns0:row>
    <ns0:row r="1207">
      <ns0:c r="A1207" s="215">
        <ns0:f>IF(OR(AH!$P$3=0,1202+1&gt;AH!$P$11,AND(AH!$E$4&lt;&gt;"Stored",AH!$P$10&lt;&gt;1)),"",IFERROR(IF(AND(AH!$P$21=1,1202+1=AH!$P$11),TODAY(),IF(AH!$P$10=1,INDEX('Live History'!$A$5:$A$3004,AH!$P$13+1202),INDEX('AH History'!$A$1:$A$18046,AH!$P$7+1202))),""))</ns0:f>
        <ns0:v/>
      </ns0:c>
      <ns0:c r="B1207" s="219">
        <ns0:f>IFERROR(IF(AND(AH!$P$9&lt;&gt;1,$C1207&gt;0,$D1207&gt;0,$E1207&gt;0,$F1207&gt;0,$G1207&gt;0,$F1207&lt;=$A1207,$G1207&lt;=$A1207,$A1207-$F1207&lt;=10,$A1207-$G1207&lt;=5),$D1207*$E1207/$C1207-1,NA()),NA())</ns0:f>
        <ns0:v/>
      </ns0:c>
      <ns0:c r="C1207">
        <ns0:f>IFERROR(IF(ISNUMBER($A1207),IF(AND(AH!$P$10=1,AH!$P$12=1,$A1207=TODAY()),AH!$P$19,IF(AH!$P$10=1,INDEX('Live History'!$B$5:$B$3004,AH!$P$13+1202),INDEX('AH History'!$B$1:$B$18046,AH!$P$7+1202))),NA()),NA())</ns0:f>
        <ns0:v/>
      </ns0:c>
      <ns0:c r="D1207">
        <ns0:f>IFERROR(IF(ISNUMBER($A1207),IF(AND(AH!$P$10=1,AH!$P$12=1,$A1207=TODAY()),AH!$P$18,IF(AH!$P$10=1,INDEX('Live History'!$E$5:$E$3004,MATCH($A1207,'Live History'!$D$5:$D$3004,1)),INDEX('AH History'!$C$1:$C$18046,AH!$P$7+1202))),NA()),NA())</ns0:f>
        <ns0:v/>
      </ns0:c>
      <ns0:c r="E1207">
        <ns0:f>IFERROR(IF(ISNUMBER($A1207),IF(AND(AH!$P$10=1,AH!$P$12=1,$A1207=TODAY()),AH!$P$20,IF(AH!$P$10=1,INDEX('Live History'!$H$5:$H$3004,MATCH($A1207,'Live History'!$G$5:$G$3004,1)),INDEX('AH History'!$D$1:$D$18046,AH!$P$7+1202))),NA()),NA())</ns0:f>
        <ns0:v/>
      </ns0:c>
      <ns0:c r="F1207">
        <ns0:f>IFERROR(IF(ISNUMBER($A1207),IF(AND(AH!$P$10=1,AH!$P$12=1,$A1207=TODAY()),IF(AND(AH!$P$10=1,AH!$P$12=1,$A1207=TODAY()),TODAY(),NA()),IF(AH!$P$10=1,INDEX('Live History'!$D$5:$D$3004,MATCH($A1207,'Live History'!$D$5:$D$3004,1)),INDEX('AH History'!$E$1:$E$18046,AH!$P$7+1202))),NA()),NA())</ns0:f>
        <ns0:v/>
      </ns0:c>
      <ns0:c r="G1207">
        <ns0:f>IFERROR(IF(ISNUMBER($A1207),IF(AND(AH!$P$10=1,AH!$P$12=1,$A1207=TODAY()),IF(AND(AH!$P$10=1,AH!$P$12=1,$A1207=TODAY()),TODAY(),NA()),IF(AH!$P$10=1,INDEX('Live History'!$G$5:$G$3004,MATCH($A1207,'Live History'!$G$5:$G$3004,1)),INDEX('AH History'!$F$1:$F$18046,AH!$P$7+1202))),NA()),NA())</ns0:f>
        <ns0:v/>
      </ns0:c>
      <ns0:c r="H1207">
        <ns0:f>IFERROR(IF(AND(AH!$E$4="Bloomberg",AH!$P$10=1,ISNUMBER($A1207),$A1207&lt;=AH!$P$17),AH!$P$7-1+MATCH($A1207,INDEX('AH History'!$A$1:$A$18046,AH!$P$7):INDEX('AH History'!$A$1:$A$18046,AH!$P$7+AH!$P$8-1),0),0),0)</ns0:f>
        <ns0:v/>
      </ns0:c>
      <ns0:c r="I1207">
        <ns0:f>IF($H1207=0,0,IFERROR(IF(AND(ABS($C1207-INDEX('AH History'!$B$1:$B$18046,$H1207))&lt;=MAX(0.005,ABS(INDEX('AH History'!$B$1:$B$18046,$H1207))*0.00005),ABS($D1207-INDEX('AH History'!$C$1:$C$18046,$H1207))&lt;=MAX(0.005,ABS(INDEX('AH History'!$C$1:$C$18046,$H1207))*0.00005),ABS($E1207-INDEX('AH History'!$D$1:$D$18046,$H1207))&lt;=0.00005,$F1207=INDEX('AH History'!$E$1:$E$18046,$H1207),$G1207=INDEX('AH History'!$F$1:$F$18046,$H1207)),1,-1),-1))</ns0:f>
        <ns0:v/>
      </ns0:c>
    </ns0:row>
    <ns0:row r="1208">
      <ns0:c r="A1208" s="215">
        <ns0:f>IF(OR(AH!$P$3=0,1203+1&gt;AH!$P$11,AND(AH!$E$4&lt;&gt;"Stored",AH!$P$10&lt;&gt;1)),"",IFERROR(IF(AND(AH!$P$21=1,1203+1=AH!$P$11),TODAY(),IF(AH!$P$10=1,INDEX('Live History'!$A$5:$A$3004,AH!$P$13+1203),INDEX('AH History'!$A$1:$A$18046,AH!$P$7+1203))),""))</ns0:f>
        <ns0:v/>
      </ns0:c>
      <ns0:c r="B1208" s="219">
        <ns0:f>IFERROR(IF(AND(AH!$P$9&lt;&gt;1,$C1208&gt;0,$D1208&gt;0,$E1208&gt;0,$F1208&gt;0,$G1208&gt;0,$F1208&lt;=$A1208,$G1208&lt;=$A1208,$A1208-$F1208&lt;=10,$A1208-$G1208&lt;=5),$D1208*$E1208/$C1208-1,NA()),NA())</ns0:f>
        <ns0:v/>
      </ns0:c>
      <ns0:c r="C1208">
        <ns0:f>IFERROR(IF(ISNUMBER($A1208),IF(AND(AH!$P$10=1,AH!$P$12=1,$A1208=TODAY()),AH!$P$19,IF(AH!$P$10=1,INDEX('Live History'!$B$5:$B$3004,AH!$P$13+1203),INDEX('AH History'!$B$1:$B$18046,AH!$P$7+1203))),NA()),NA())</ns0:f>
        <ns0:v/>
      </ns0:c>
      <ns0:c r="D1208">
        <ns0:f>IFERROR(IF(ISNUMBER($A1208),IF(AND(AH!$P$10=1,AH!$P$12=1,$A1208=TODAY()),AH!$P$18,IF(AH!$P$10=1,INDEX('Live History'!$E$5:$E$3004,MATCH($A1208,'Live History'!$D$5:$D$3004,1)),INDEX('AH History'!$C$1:$C$18046,AH!$P$7+1203))),NA()),NA())</ns0:f>
        <ns0:v/>
      </ns0:c>
      <ns0:c r="E1208">
        <ns0:f>IFERROR(IF(ISNUMBER($A1208),IF(AND(AH!$P$10=1,AH!$P$12=1,$A1208=TODAY()),AH!$P$20,IF(AH!$P$10=1,INDEX('Live History'!$H$5:$H$3004,MATCH($A1208,'Live History'!$G$5:$G$3004,1)),INDEX('AH History'!$D$1:$D$18046,AH!$P$7+1203))),NA()),NA())</ns0:f>
        <ns0:v/>
      </ns0:c>
      <ns0:c r="F1208">
        <ns0:f>IFERROR(IF(ISNUMBER($A1208),IF(AND(AH!$P$10=1,AH!$P$12=1,$A1208=TODAY()),IF(AND(AH!$P$10=1,AH!$P$12=1,$A1208=TODAY()),TODAY(),NA()),IF(AH!$P$10=1,INDEX('Live History'!$D$5:$D$3004,MATCH($A1208,'Live History'!$D$5:$D$3004,1)),INDEX('AH History'!$E$1:$E$18046,AH!$P$7+1203))),NA()),NA())</ns0:f>
        <ns0:v/>
      </ns0:c>
      <ns0:c r="G1208">
        <ns0:f>IFERROR(IF(ISNUMBER($A1208),IF(AND(AH!$P$10=1,AH!$P$12=1,$A1208=TODAY()),IF(AND(AH!$P$10=1,AH!$P$12=1,$A1208=TODAY()),TODAY(),NA()),IF(AH!$P$10=1,INDEX('Live History'!$G$5:$G$3004,MATCH($A1208,'Live History'!$G$5:$G$3004,1)),INDEX('AH History'!$F$1:$F$18046,AH!$P$7+1203))),NA()),NA())</ns0:f>
        <ns0:v/>
      </ns0:c>
      <ns0:c r="H1208">
        <ns0:f>IFERROR(IF(AND(AH!$E$4="Bloomberg",AH!$P$10=1,ISNUMBER($A1208),$A1208&lt;=AH!$P$17),AH!$P$7-1+MATCH($A1208,INDEX('AH History'!$A$1:$A$18046,AH!$P$7):INDEX('AH History'!$A$1:$A$18046,AH!$P$7+AH!$P$8-1),0),0),0)</ns0:f>
        <ns0:v/>
      </ns0:c>
      <ns0:c r="I1208">
        <ns0:f>IF($H1208=0,0,IFERROR(IF(AND(ABS($C1208-INDEX('AH History'!$B$1:$B$18046,$H1208))&lt;=MAX(0.005,ABS(INDEX('AH History'!$B$1:$B$18046,$H1208))*0.00005),ABS($D1208-INDEX('AH History'!$C$1:$C$18046,$H1208))&lt;=MAX(0.005,ABS(INDEX('AH History'!$C$1:$C$18046,$H1208))*0.00005),ABS($E1208-INDEX('AH History'!$D$1:$D$18046,$H1208))&lt;=0.00005,$F1208=INDEX('AH History'!$E$1:$E$18046,$H1208),$G1208=INDEX('AH History'!$F$1:$F$18046,$H1208)),1,-1),-1))</ns0:f>
        <ns0:v/>
      </ns0:c>
    </ns0:row>
    <ns0:row r="1209">
      <ns0:c r="A1209" s="215">
        <ns0:f>IF(OR(AH!$P$3=0,1204+1&gt;AH!$P$11,AND(AH!$E$4&lt;&gt;"Stored",AH!$P$10&lt;&gt;1)),"",IFERROR(IF(AND(AH!$P$21=1,1204+1=AH!$P$11),TODAY(),IF(AH!$P$10=1,INDEX('Live History'!$A$5:$A$3004,AH!$P$13+1204),INDEX('AH History'!$A$1:$A$18046,AH!$P$7+1204))),""))</ns0:f>
        <ns0:v/>
      </ns0:c>
      <ns0:c r="B1209" s="219">
        <ns0:f>IFERROR(IF(AND(AH!$P$9&lt;&gt;1,$C1209&gt;0,$D1209&gt;0,$E1209&gt;0,$F1209&gt;0,$G1209&gt;0,$F1209&lt;=$A1209,$G1209&lt;=$A1209,$A1209-$F1209&lt;=10,$A1209-$G1209&lt;=5),$D1209*$E1209/$C1209-1,NA()),NA())</ns0:f>
        <ns0:v/>
      </ns0:c>
      <ns0:c r="C1209">
        <ns0:f>IFERROR(IF(ISNUMBER($A1209),IF(AND(AH!$P$10=1,AH!$P$12=1,$A1209=TODAY()),AH!$P$19,IF(AH!$P$10=1,INDEX('Live History'!$B$5:$B$3004,AH!$P$13+1204),INDEX('AH History'!$B$1:$B$18046,AH!$P$7+1204))),NA()),NA())</ns0:f>
        <ns0:v/>
      </ns0:c>
      <ns0:c r="D1209">
        <ns0:f>IFERROR(IF(ISNUMBER($A1209),IF(AND(AH!$P$10=1,AH!$P$12=1,$A1209=TODAY()),AH!$P$18,IF(AH!$P$10=1,INDEX('Live History'!$E$5:$E$3004,MATCH($A1209,'Live History'!$D$5:$D$3004,1)),INDEX('AH History'!$C$1:$C$18046,AH!$P$7+1204))),NA()),NA())</ns0:f>
        <ns0:v/>
      </ns0:c>
      <ns0:c r="E1209">
        <ns0:f>IFERROR(IF(ISNUMBER($A1209),IF(AND(AH!$P$10=1,AH!$P$12=1,$A1209=TODAY()),AH!$P$20,IF(AH!$P$10=1,INDEX('Live History'!$H$5:$H$3004,MATCH($A1209,'Live History'!$G$5:$G$3004,1)),INDEX('AH History'!$D$1:$D$18046,AH!$P$7+1204))),NA()),NA())</ns0:f>
        <ns0:v/>
      </ns0:c>
      <ns0:c r="F1209">
        <ns0:f>IFERROR(IF(ISNUMBER($A1209),IF(AND(AH!$P$10=1,AH!$P$12=1,$A1209=TODAY()),IF(AND(AH!$P$10=1,AH!$P$12=1,$A1209=TODAY()),TODAY(),NA()),IF(AH!$P$10=1,INDEX('Live History'!$D$5:$D$3004,MATCH($A1209,'Live History'!$D$5:$D$3004,1)),INDEX('AH History'!$E$1:$E$18046,AH!$P$7+1204))),NA()),NA())</ns0:f>
        <ns0:v/>
      </ns0:c>
      <ns0:c r="G1209">
        <ns0:f>IFERROR(IF(ISNUMBER($A1209),IF(AND(AH!$P$10=1,AH!$P$12=1,$A1209=TODAY()),IF(AND(AH!$P$10=1,AH!$P$12=1,$A1209=TODAY()),TODAY(),NA()),IF(AH!$P$10=1,INDEX('Live History'!$G$5:$G$3004,MATCH($A1209,'Live History'!$G$5:$G$3004,1)),INDEX('AH History'!$F$1:$F$18046,AH!$P$7+1204))),NA()),NA())</ns0:f>
        <ns0:v/>
      </ns0:c>
      <ns0:c r="H1209">
        <ns0:f>IFERROR(IF(AND(AH!$E$4="Bloomberg",AH!$P$10=1,ISNUMBER($A1209),$A1209&lt;=AH!$P$17),AH!$P$7-1+MATCH($A1209,INDEX('AH History'!$A$1:$A$18046,AH!$P$7):INDEX('AH History'!$A$1:$A$18046,AH!$P$7+AH!$P$8-1),0),0),0)</ns0:f>
        <ns0:v/>
      </ns0:c>
      <ns0:c r="I1209">
        <ns0:f>IF($H1209=0,0,IFERROR(IF(AND(ABS($C1209-INDEX('AH History'!$B$1:$B$18046,$H1209))&lt;=MAX(0.005,ABS(INDEX('AH History'!$B$1:$B$18046,$H1209))*0.00005),ABS($D1209-INDEX('AH History'!$C$1:$C$18046,$H1209))&lt;=MAX(0.005,ABS(INDEX('AH History'!$C$1:$C$18046,$H1209))*0.00005),ABS($E1209-INDEX('AH History'!$D$1:$D$18046,$H1209))&lt;=0.00005,$F1209=INDEX('AH History'!$E$1:$E$18046,$H1209),$G1209=INDEX('AH History'!$F$1:$F$18046,$H1209)),1,-1),-1))</ns0:f>
        <ns0:v/>
      </ns0:c>
    </ns0:row>
    <ns0:row r="1210">
      <ns0:c r="A1210" s="215">
        <ns0:f>IF(OR(AH!$P$3=0,1205+1&gt;AH!$P$11,AND(AH!$E$4&lt;&gt;"Stored",AH!$P$10&lt;&gt;1)),"",IFERROR(IF(AND(AH!$P$21=1,1205+1=AH!$P$11),TODAY(),IF(AH!$P$10=1,INDEX('Live History'!$A$5:$A$3004,AH!$P$13+1205),INDEX('AH History'!$A$1:$A$18046,AH!$P$7+1205))),""))</ns0:f>
        <ns0:v/>
      </ns0:c>
      <ns0:c r="B1210" s="219">
        <ns0:f>IFERROR(IF(AND(AH!$P$9&lt;&gt;1,$C1210&gt;0,$D1210&gt;0,$E1210&gt;0,$F1210&gt;0,$G1210&gt;0,$F1210&lt;=$A1210,$G1210&lt;=$A1210,$A1210-$F1210&lt;=10,$A1210-$G1210&lt;=5),$D1210*$E1210/$C1210-1,NA()),NA())</ns0:f>
        <ns0:v/>
      </ns0:c>
      <ns0:c r="C1210">
        <ns0:f>IFERROR(IF(ISNUMBER($A1210),IF(AND(AH!$P$10=1,AH!$P$12=1,$A1210=TODAY()),AH!$P$19,IF(AH!$P$10=1,INDEX('Live History'!$B$5:$B$3004,AH!$P$13+1205),INDEX('AH History'!$B$1:$B$18046,AH!$P$7+1205))),NA()),NA())</ns0:f>
        <ns0:v/>
      </ns0:c>
      <ns0:c r="D1210">
        <ns0:f>IFERROR(IF(ISNUMBER($A1210),IF(AND(AH!$P$10=1,AH!$P$12=1,$A1210=TODAY()),AH!$P$18,IF(AH!$P$10=1,INDEX('Live History'!$E$5:$E$3004,MATCH($A1210,'Live History'!$D$5:$D$3004,1)),INDEX('AH History'!$C$1:$C$18046,AH!$P$7+1205))),NA()),NA())</ns0:f>
        <ns0:v/>
      </ns0:c>
      <ns0:c r="E1210">
        <ns0:f>IFERROR(IF(ISNUMBER($A1210),IF(AND(AH!$P$10=1,AH!$P$12=1,$A1210=TODAY()),AH!$P$20,IF(AH!$P$10=1,INDEX('Live History'!$H$5:$H$3004,MATCH($A1210,'Live History'!$G$5:$G$3004,1)),INDEX('AH History'!$D$1:$D$18046,AH!$P$7+1205))),NA()),NA())</ns0:f>
        <ns0:v/>
      </ns0:c>
      <ns0:c r="F1210">
        <ns0:f>IFERROR(IF(ISNUMBER($A1210),IF(AND(AH!$P$10=1,AH!$P$12=1,$A1210=TODAY()),IF(AND(AH!$P$10=1,AH!$P$12=1,$A1210=TODAY()),TODAY(),NA()),IF(AH!$P$10=1,INDEX('Live History'!$D$5:$D$3004,MATCH($A1210,'Live History'!$D$5:$D$3004,1)),INDEX('AH History'!$E$1:$E$18046,AH!$P$7+1205))),NA()),NA())</ns0:f>
        <ns0:v/>
      </ns0:c>
      <ns0:c r="G1210">
        <ns0:f>IFERROR(IF(ISNUMBER($A1210),IF(AND(AH!$P$10=1,AH!$P$12=1,$A1210=TODAY()),IF(AND(AH!$P$10=1,AH!$P$12=1,$A1210=TODAY()),TODAY(),NA()),IF(AH!$P$10=1,INDEX('Live History'!$G$5:$G$3004,MATCH($A1210,'Live History'!$G$5:$G$3004,1)),INDEX('AH History'!$F$1:$F$18046,AH!$P$7+1205))),NA()),NA())</ns0:f>
        <ns0:v/>
      </ns0:c>
      <ns0:c r="H1210">
        <ns0:f>IFERROR(IF(AND(AH!$E$4="Bloomberg",AH!$P$10=1,ISNUMBER($A1210),$A1210&lt;=AH!$P$17),AH!$P$7-1+MATCH($A1210,INDEX('AH History'!$A$1:$A$18046,AH!$P$7):INDEX('AH History'!$A$1:$A$18046,AH!$P$7+AH!$P$8-1),0),0),0)</ns0:f>
        <ns0:v/>
      </ns0:c>
      <ns0:c r="I1210">
        <ns0:f>IF($H1210=0,0,IFERROR(IF(AND(ABS($C1210-INDEX('AH History'!$B$1:$B$18046,$H1210))&lt;=MAX(0.005,ABS(INDEX('AH History'!$B$1:$B$18046,$H1210))*0.00005),ABS($D1210-INDEX('AH History'!$C$1:$C$18046,$H1210))&lt;=MAX(0.005,ABS(INDEX('AH History'!$C$1:$C$18046,$H1210))*0.00005),ABS($E1210-INDEX('AH History'!$D$1:$D$18046,$H1210))&lt;=0.00005,$F1210=INDEX('AH History'!$E$1:$E$18046,$H1210),$G1210=INDEX('AH History'!$F$1:$F$18046,$H1210)),1,-1),-1))</ns0:f>
        <ns0:v/>
      </ns0:c>
    </ns0:row>
    <ns0:row r="1211">
      <ns0:c r="A1211" s="215">
        <ns0:f>IF(OR(AH!$P$3=0,1206+1&gt;AH!$P$11,AND(AH!$E$4&lt;&gt;"Stored",AH!$P$10&lt;&gt;1)),"",IFERROR(IF(AND(AH!$P$21=1,1206+1=AH!$P$11),TODAY(),IF(AH!$P$10=1,INDEX('Live History'!$A$5:$A$3004,AH!$P$13+1206),INDEX('AH History'!$A$1:$A$18046,AH!$P$7+1206))),""))</ns0:f>
        <ns0:v/>
      </ns0:c>
      <ns0:c r="B1211" s="219">
        <ns0:f>IFERROR(IF(AND(AH!$P$9&lt;&gt;1,$C1211&gt;0,$D1211&gt;0,$E1211&gt;0,$F1211&gt;0,$G1211&gt;0,$F1211&lt;=$A1211,$G1211&lt;=$A1211,$A1211-$F1211&lt;=10,$A1211-$G1211&lt;=5),$D1211*$E1211/$C1211-1,NA()),NA())</ns0:f>
        <ns0:v/>
      </ns0:c>
      <ns0:c r="C1211">
        <ns0:f>IFERROR(IF(ISNUMBER($A1211),IF(AND(AH!$P$10=1,AH!$P$12=1,$A1211=TODAY()),AH!$P$19,IF(AH!$P$10=1,INDEX('Live History'!$B$5:$B$3004,AH!$P$13+1206),INDEX('AH History'!$B$1:$B$18046,AH!$P$7+1206))),NA()),NA())</ns0:f>
        <ns0:v/>
      </ns0:c>
      <ns0:c r="D1211">
        <ns0:f>IFERROR(IF(ISNUMBER($A1211),IF(AND(AH!$P$10=1,AH!$P$12=1,$A1211=TODAY()),AH!$P$18,IF(AH!$P$10=1,INDEX('Live History'!$E$5:$E$3004,MATCH($A1211,'Live History'!$D$5:$D$3004,1)),INDEX('AH History'!$C$1:$C$18046,AH!$P$7+1206))),NA()),NA())</ns0:f>
        <ns0:v/>
      </ns0:c>
      <ns0:c r="E1211">
        <ns0:f>IFERROR(IF(ISNUMBER($A1211),IF(AND(AH!$P$10=1,AH!$P$12=1,$A1211=TODAY()),AH!$P$20,IF(AH!$P$10=1,INDEX('Live History'!$H$5:$H$3004,MATCH($A1211,'Live History'!$G$5:$G$3004,1)),INDEX('AH History'!$D$1:$D$18046,AH!$P$7+1206))),NA()),NA())</ns0:f>
        <ns0:v/>
      </ns0:c>
      <ns0:c r="F1211">
        <ns0:f>IFERROR(IF(ISNUMBER($A1211),IF(AND(AH!$P$10=1,AH!$P$12=1,$A1211=TODAY()),IF(AND(AH!$P$10=1,AH!$P$12=1,$A1211=TODAY()),TODAY(),NA()),IF(AH!$P$10=1,INDEX('Live History'!$D$5:$D$3004,MATCH($A1211,'Live History'!$D$5:$D$3004,1)),INDEX('AH History'!$E$1:$E$18046,AH!$P$7+1206))),NA()),NA())</ns0:f>
        <ns0:v/>
      </ns0:c>
      <ns0:c r="G1211">
        <ns0:f>IFERROR(IF(ISNUMBER($A1211),IF(AND(AH!$P$10=1,AH!$P$12=1,$A1211=TODAY()),IF(AND(AH!$P$10=1,AH!$P$12=1,$A1211=TODAY()),TODAY(),NA()),IF(AH!$P$10=1,INDEX('Live History'!$G$5:$G$3004,MATCH($A1211,'Live History'!$G$5:$G$3004,1)),INDEX('AH History'!$F$1:$F$18046,AH!$P$7+1206))),NA()),NA())</ns0:f>
        <ns0:v/>
      </ns0:c>
      <ns0:c r="H1211">
        <ns0:f>IFERROR(IF(AND(AH!$E$4="Bloomberg",AH!$P$10=1,ISNUMBER($A1211),$A1211&lt;=AH!$P$17),AH!$P$7-1+MATCH($A1211,INDEX('AH History'!$A$1:$A$18046,AH!$P$7):INDEX('AH History'!$A$1:$A$18046,AH!$P$7+AH!$P$8-1),0),0),0)</ns0:f>
        <ns0:v/>
      </ns0:c>
      <ns0:c r="I1211">
        <ns0:f>IF($H1211=0,0,IFERROR(IF(AND(ABS($C1211-INDEX('AH History'!$B$1:$B$18046,$H1211))&lt;=MAX(0.005,ABS(INDEX('AH History'!$B$1:$B$18046,$H1211))*0.00005),ABS($D1211-INDEX('AH History'!$C$1:$C$18046,$H1211))&lt;=MAX(0.005,ABS(INDEX('AH History'!$C$1:$C$18046,$H1211))*0.00005),ABS($E1211-INDEX('AH History'!$D$1:$D$18046,$H1211))&lt;=0.00005,$F1211=INDEX('AH History'!$E$1:$E$18046,$H1211),$G1211=INDEX('AH History'!$F$1:$F$18046,$H1211)),1,-1),-1))</ns0:f>
        <ns0:v/>
      </ns0:c>
    </ns0:row>
    <ns0:row r="1212">
      <ns0:c r="A1212" s="215">
        <ns0:f>IF(OR(AH!$P$3=0,1207+1&gt;AH!$P$11,AND(AH!$E$4&lt;&gt;"Stored",AH!$P$10&lt;&gt;1)),"",IFERROR(IF(AND(AH!$P$21=1,1207+1=AH!$P$11),TODAY(),IF(AH!$P$10=1,INDEX('Live History'!$A$5:$A$3004,AH!$P$13+1207),INDEX('AH History'!$A$1:$A$18046,AH!$P$7+1207))),""))</ns0:f>
        <ns0:v/>
      </ns0:c>
      <ns0:c r="B1212" s="219">
        <ns0:f>IFERROR(IF(AND(AH!$P$9&lt;&gt;1,$C1212&gt;0,$D1212&gt;0,$E1212&gt;0,$F1212&gt;0,$G1212&gt;0,$F1212&lt;=$A1212,$G1212&lt;=$A1212,$A1212-$F1212&lt;=10,$A1212-$G1212&lt;=5),$D1212*$E1212/$C1212-1,NA()),NA())</ns0:f>
        <ns0:v/>
      </ns0:c>
      <ns0:c r="C1212">
        <ns0:f>IFERROR(IF(ISNUMBER($A1212),IF(AND(AH!$P$10=1,AH!$P$12=1,$A1212=TODAY()),AH!$P$19,IF(AH!$P$10=1,INDEX('Live History'!$B$5:$B$3004,AH!$P$13+1207),INDEX('AH History'!$B$1:$B$18046,AH!$P$7+1207))),NA()),NA())</ns0:f>
        <ns0:v/>
      </ns0:c>
      <ns0:c r="D1212">
        <ns0:f>IFERROR(IF(ISNUMBER($A1212),IF(AND(AH!$P$10=1,AH!$P$12=1,$A1212=TODAY()),AH!$P$18,IF(AH!$P$10=1,INDEX('Live History'!$E$5:$E$3004,MATCH($A1212,'Live History'!$D$5:$D$3004,1)),INDEX('AH History'!$C$1:$C$18046,AH!$P$7+1207))),NA()),NA())</ns0:f>
        <ns0:v/>
      </ns0:c>
      <ns0:c r="E1212">
        <ns0:f>IFERROR(IF(ISNUMBER($A1212),IF(AND(AH!$P$10=1,AH!$P$12=1,$A1212=TODAY()),AH!$P$20,IF(AH!$P$10=1,INDEX('Live History'!$H$5:$H$3004,MATCH($A1212,'Live History'!$G$5:$G$3004,1)),INDEX('AH History'!$D$1:$D$18046,AH!$P$7+1207))),NA()),NA())</ns0:f>
        <ns0:v/>
      </ns0:c>
      <ns0:c r="F1212">
        <ns0:f>IFERROR(IF(ISNUMBER($A1212),IF(AND(AH!$P$10=1,AH!$P$12=1,$A1212=TODAY()),IF(AND(AH!$P$10=1,AH!$P$12=1,$A1212=TODAY()),TODAY(),NA()),IF(AH!$P$10=1,INDEX('Live History'!$D$5:$D$3004,MATCH($A1212,'Live History'!$D$5:$D$3004,1)),INDEX('AH History'!$E$1:$E$18046,AH!$P$7+1207))),NA()),NA())</ns0:f>
        <ns0:v/>
      </ns0:c>
      <ns0:c r="G1212">
        <ns0:f>IFERROR(IF(ISNUMBER($A1212),IF(AND(AH!$P$10=1,AH!$P$12=1,$A1212=TODAY()),IF(AND(AH!$P$10=1,AH!$P$12=1,$A1212=TODAY()),TODAY(),NA()),IF(AH!$P$10=1,INDEX('Live History'!$G$5:$G$3004,MATCH($A1212,'Live History'!$G$5:$G$3004,1)),INDEX('AH History'!$F$1:$F$18046,AH!$P$7+1207))),NA()),NA())</ns0:f>
        <ns0:v/>
      </ns0:c>
      <ns0:c r="H1212">
        <ns0:f>IFERROR(IF(AND(AH!$E$4="Bloomberg",AH!$P$10=1,ISNUMBER($A1212),$A1212&lt;=AH!$P$17),AH!$P$7-1+MATCH($A1212,INDEX('AH History'!$A$1:$A$18046,AH!$P$7):INDEX('AH History'!$A$1:$A$18046,AH!$P$7+AH!$P$8-1),0),0),0)</ns0:f>
        <ns0:v/>
      </ns0:c>
      <ns0:c r="I1212">
        <ns0:f>IF($H1212=0,0,IFERROR(IF(AND(ABS($C1212-INDEX('AH History'!$B$1:$B$18046,$H1212))&lt;=MAX(0.005,ABS(INDEX('AH History'!$B$1:$B$18046,$H1212))*0.00005),ABS($D1212-INDEX('AH History'!$C$1:$C$18046,$H1212))&lt;=MAX(0.005,ABS(INDEX('AH History'!$C$1:$C$18046,$H1212))*0.00005),ABS($E1212-INDEX('AH History'!$D$1:$D$18046,$H1212))&lt;=0.00005,$F1212=INDEX('AH History'!$E$1:$E$18046,$H1212),$G1212=INDEX('AH History'!$F$1:$F$18046,$H1212)),1,-1),-1))</ns0:f>
        <ns0:v/>
      </ns0:c>
    </ns0:row>
    <ns0:row r="1213">
      <ns0:c r="A1213" s="215">
        <ns0:f>IF(OR(AH!$P$3=0,1208+1&gt;AH!$P$11,AND(AH!$E$4&lt;&gt;"Stored",AH!$P$10&lt;&gt;1)),"",IFERROR(IF(AND(AH!$P$21=1,1208+1=AH!$P$11),TODAY(),IF(AH!$P$10=1,INDEX('Live History'!$A$5:$A$3004,AH!$P$13+1208),INDEX('AH History'!$A$1:$A$18046,AH!$P$7+1208))),""))</ns0:f>
        <ns0:v/>
      </ns0:c>
      <ns0:c r="B1213" s="219">
        <ns0:f>IFERROR(IF(AND(AH!$P$9&lt;&gt;1,$C1213&gt;0,$D1213&gt;0,$E1213&gt;0,$F1213&gt;0,$G1213&gt;0,$F1213&lt;=$A1213,$G1213&lt;=$A1213,$A1213-$F1213&lt;=10,$A1213-$G1213&lt;=5),$D1213*$E1213/$C1213-1,NA()),NA())</ns0:f>
        <ns0:v/>
      </ns0:c>
      <ns0:c r="C1213">
        <ns0:f>IFERROR(IF(ISNUMBER($A1213),IF(AND(AH!$P$10=1,AH!$P$12=1,$A1213=TODAY()),AH!$P$19,IF(AH!$P$10=1,INDEX('Live History'!$B$5:$B$3004,AH!$P$13+1208),INDEX('AH History'!$B$1:$B$18046,AH!$P$7+1208))),NA()),NA())</ns0:f>
        <ns0:v/>
      </ns0:c>
      <ns0:c r="D1213">
        <ns0:f>IFERROR(IF(ISNUMBER($A1213),IF(AND(AH!$P$10=1,AH!$P$12=1,$A1213=TODAY()),AH!$P$18,IF(AH!$P$10=1,INDEX('Live History'!$E$5:$E$3004,MATCH($A1213,'Live History'!$D$5:$D$3004,1)),INDEX('AH History'!$C$1:$C$18046,AH!$P$7+1208))),NA()),NA())</ns0:f>
        <ns0:v/>
      </ns0:c>
      <ns0:c r="E1213">
        <ns0:f>IFERROR(IF(ISNUMBER($A1213),IF(AND(AH!$P$10=1,AH!$P$12=1,$A1213=TODAY()),AH!$P$20,IF(AH!$P$10=1,INDEX('Live History'!$H$5:$H$3004,MATCH($A1213,'Live History'!$G$5:$G$3004,1)),INDEX('AH History'!$D$1:$D$18046,AH!$P$7+1208))),NA()),NA())</ns0:f>
        <ns0:v/>
      </ns0:c>
      <ns0:c r="F1213">
        <ns0:f>IFERROR(IF(ISNUMBER($A1213),IF(AND(AH!$P$10=1,AH!$P$12=1,$A1213=TODAY()),IF(AND(AH!$P$10=1,AH!$P$12=1,$A1213=TODAY()),TODAY(),NA()),IF(AH!$P$10=1,INDEX('Live History'!$D$5:$D$3004,MATCH($A1213,'Live History'!$D$5:$D$3004,1)),INDEX('AH History'!$E$1:$E$18046,AH!$P$7+1208))),NA()),NA())</ns0:f>
        <ns0:v/>
      </ns0:c>
      <ns0:c r="G1213">
        <ns0:f>IFERROR(IF(ISNUMBER($A1213),IF(AND(AH!$P$10=1,AH!$P$12=1,$A1213=TODAY()),IF(AND(AH!$P$10=1,AH!$P$12=1,$A1213=TODAY()),TODAY(),NA()),IF(AH!$P$10=1,INDEX('Live History'!$G$5:$G$3004,MATCH($A1213,'Live History'!$G$5:$G$3004,1)),INDEX('AH History'!$F$1:$F$18046,AH!$P$7+1208))),NA()),NA())</ns0:f>
        <ns0:v/>
      </ns0:c>
      <ns0:c r="H1213">
        <ns0:f>IFERROR(IF(AND(AH!$E$4="Bloomberg",AH!$P$10=1,ISNUMBER($A1213),$A1213&lt;=AH!$P$17),AH!$P$7-1+MATCH($A1213,INDEX('AH History'!$A$1:$A$18046,AH!$P$7):INDEX('AH History'!$A$1:$A$18046,AH!$P$7+AH!$P$8-1),0),0),0)</ns0:f>
        <ns0:v/>
      </ns0:c>
      <ns0:c r="I1213">
        <ns0:f>IF($H1213=0,0,IFERROR(IF(AND(ABS($C1213-INDEX('AH History'!$B$1:$B$18046,$H1213))&lt;=MAX(0.005,ABS(INDEX('AH History'!$B$1:$B$18046,$H1213))*0.00005),ABS($D1213-INDEX('AH History'!$C$1:$C$18046,$H1213))&lt;=MAX(0.005,ABS(INDEX('AH History'!$C$1:$C$18046,$H1213))*0.00005),ABS($E1213-INDEX('AH History'!$D$1:$D$18046,$H1213))&lt;=0.00005,$F1213=INDEX('AH History'!$E$1:$E$18046,$H1213),$G1213=INDEX('AH History'!$F$1:$F$18046,$H1213)),1,-1),-1))</ns0:f>
        <ns0:v/>
      </ns0:c>
    </ns0:row>
    <ns0:row r="1214">
      <ns0:c r="A1214" s="215">
        <ns0:f>IF(OR(AH!$P$3=0,1209+1&gt;AH!$P$11,AND(AH!$E$4&lt;&gt;"Stored",AH!$P$10&lt;&gt;1)),"",IFERROR(IF(AND(AH!$P$21=1,1209+1=AH!$P$11),TODAY(),IF(AH!$P$10=1,INDEX('Live History'!$A$5:$A$3004,AH!$P$13+1209),INDEX('AH History'!$A$1:$A$18046,AH!$P$7+1209))),""))</ns0:f>
        <ns0:v/>
      </ns0:c>
      <ns0:c r="B1214" s="219">
        <ns0:f>IFERROR(IF(AND(AH!$P$9&lt;&gt;1,$C1214&gt;0,$D1214&gt;0,$E1214&gt;0,$F1214&gt;0,$G1214&gt;0,$F1214&lt;=$A1214,$G1214&lt;=$A1214,$A1214-$F1214&lt;=10,$A1214-$G1214&lt;=5),$D1214*$E1214/$C1214-1,NA()),NA())</ns0:f>
        <ns0:v/>
      </ns0:c>
      <ns0:c r="C1214">
        <ns0:f>IFERROR(IF(ISNUMBER($A1214),IF(AND(AH!$P$10=1,AH!$P$12=1,$A1214=TODAY()),AH!$P$19,IF(AH!$P$10=1,INDEX('Live History'!$B$5:$B$3004,AH!$P$13+1209),INDEX('AH History'!$B$1:$B$18046,AH!$P$7+1209))),NA()),NA())</ns0:f>
        <ns0:v/>
      </ns0:c>
      <ns0:c r="D1214">
        <ns0:f>IFERROR(IF(ISNUMBER($A1214),IF(AND(AH!$P$10=1,AH!$P$12=1,$A1214=TODAY()),AH!$P$18,IF(AH!$P$10=1,INDEX('Live History'!$E$5:$E$3004,MATCH($A1214,'Live History'!$D$5:$D$3004,1)),INDEX('AH History'!$C$1:$C$18046,AH!$P$7+1209))),NA()),NA())</ns0:f>
        <ns0:v/>
      </ns0:c>
      <ns0:c r="E1214">
        <ns0:f>IFERROR(IF(ISNUMBER($A1214),IF(AND(AH!$P$10=1,AH!$P$12=1,$A1214=TODAY()),AH!$P$20,IF(AH!$P$10=1,INDEX('Live History'!$H$5:$H$3004,MATCH($A1214,'Live History'!$G$5:$G$3004,1)),INDEX('AH History'!$D$1:$D$18046,AH!$P$7+1209))),NA()),NA())</ns0:f>
        <ns0:v/>
      </ns0:c>
      <ns0:c r="F1214">
        <ns0:f>IFERROR(IF(ISNUMBER($A1214),IF(AND(AH!$P$10=1,AH!$P$12=1,$A1214=TODAY()),IF(AND(AH!$P$10=1,AH!$P$12=1,$A1214=TODAY()),TODAY(),NA()),IF(AH!$P$10=1,INDEX('Live History'!$D$5:$D$3004,MATCH($A1214,'Live History'!$D$5:$D$3004,1)),INDEX('AH History'!$E$1:$E$18046,AH!$P$7+1209))),NA()),NA())</ns0:f>
        <ns0:v/>
      </ns0:c>
      <ns0:c r="G1214">
        <ns0:f>IFERROR(IF(ISNUMBER($A1214),IF(AND(AH!$P$10=1,AH!$P$12=1,$A1214=TODAY()),IF(AND(AH!$P$10=1,AH!$P$12=1,$A1214=TODAY()),TODAY(),NA()),IF(AH!$P$10=1,INDEX('Live History'!$G$5:$G$3004,MATCH($A1214,'Live History'!$G$5:$G$3004,1)),INDEX('AH History'!$F$1:$F$18046,AH!$P$7+1209))),NA()),NA())</ns0:f>
        <ns0:v/>
      </ns0:c>
      <ns0:c r="H1214">
        <ns0:f>IFERROR(IF(AND(AH!$E$4="Bloomberg",AH!$P$10=1,ISNUMBER($A1214),$A1214&lt;=AH!$P$17),AH!$P$7-1+MATCH($A1214,INDEX('AH History'!$A$1:$A$18046,AH!$P$7):INDEX('AH History'!$A$1:$A$18046,AH!$P$7+AH!$P$8-1),0),0),0)</ns0:f>
        <ns0:v/>
      </ns0:c>
      <ns0:c r="I1214">
        <ns0:f>IF($H1214=0,0,IFERROR(IF(AND(ABS($C1214-INDEX('AH History'!$B$1:$B$18046,$H1214))&lt;=MAX(0.005,ABS(INDEX('AH History'!$B$1:$B$18046,$H1214))*0.00005),ABS($D1214-INDEX('AH History'!$C$1:$C$18046,$H1214))&lt;=MAX(0.005,ABS(INDEX('AH History'!$C$1:$C$18046,$H1214))*0.00005),ABS($E1214-INDEX('AH History'!$D$1:$D$18046,$H1214))&lt;=0.00005,$F1214=INDEX('AH History'!$E$1:$E$18046,$H1214),$G1214=INDEX('AH History'!$F$1:$F$18046,$H1214)),1,-1),-1))</ns0:f>
        <ns0:v/>
      </ns0:c>
    </ns0:row>
    <ns0:row r="1215">
      <ns0:c r="A1215" s="215">
        <ns0:f>IF(OR(AH!$P$3=0,1210+1&gt;AH!$P$11,AND(AH!$E$4&lt;&gt;"Stored",AH!$P$10&lt;&gt;1)),"",IFERROR(IF(AND(AH!$P$21=1,1210+1=AH!$P$11),TODAY(),IF(AH!$P$10=1,INDEX('Live History'!$A$5:$A$3004,AH!$P$13+1210),INDEX('AH History'!$A$1:$A$18046,AH!$P$7+1210))),""))</ns0:f>
        <ns0:v/>
      </ns0:c>
      <ns0:c r="B1215" s="219">
        <ns0:f>IFERROR(IF(AND(AH!$P$9&lt;&gt;1,$C1215&gt;0,$D1215&gt;0,$E1215&gt;0,$F1215&gt;0,$G1215&gt;0,$F1215&lt;=$A1215,$G1215&lt;=$A1215,$A1215-$F1215&lt;=10,$A1215-$G1215&lt;=5),$D1215*$E1215/$C1215-1,NA()),NA())</ns0:f>
        <ns0:v/>
      </ns0:c>
      <ns0:c r="C1215">
        <ns0:f>IFERROR(IF(ISNUMBER($A1215),IF(AND(AH!$P$10=1,AH!$P$12=1,$A1215=TODAY()),AH!$P$19,IF(AH!$P$10=1,INDEX('Live History'!$B$5:$B$3004,AH!$P$13+1210),INDEX('AH History'!$B$1:$B$18046,AH!$P$7+1210))),NA()),NA())</ns0:f>
        <ns0:v/>
      </ns0:c>
      <ns0:c r="D1215">
        <ns0:f>IFERROR(IF(ISNUMBER($A1215),IF(AND(AH!$P$10=1,AH!$P$12=1,$A1215=TODAY()),AH!$P$18,IF(AH!$P$10=1,INDEX('Live History'!$E$5:$E$3004,MATCH($A1215,'Live History'!$D$5:$D$3004,1)),INDEX('AH History'!$C$1:$C$18046,AH!$P$7+1210))),NA()),NA())</ns0:f>
        <ns0:v/>
      </ns0:c>
      <ns0:c r="E1215">
        <ns0:f>IFERROR(IF(ISNUMBER($A1215),IF(AND(AH!$P$10=1,AH!$P$12=1,$A1215=TODAY()),AH!$P$20,IF(AH!$P$10=1,INDEX('Live History'!$H$5:$H$3004,MATCH($A1215,'Live History'!$G$5:$G$3004,1)),INDEX('AH History'!$D$1:$D$18046,AH!$P$7+1210))),NA()),NA())</ns0:f>
        <ns0:v/>
      </ns0:c>
      <ns0:c r="F1215">
        <ns0:f>IFERROR(IF(ISNUMBER($A1215),IF(AND(AH!$P$10=1,AH!$P$12=1,$A1215=TODAY()),IF(AND(AH!$P$10=1,AH!$P$12=1,$A1215=TODAY()),TODAY(),NA()),IF(AH!$P$10=1,INDEX('Live History'!$D$5:$D$3004,MATCH($A1215,'Live History'!$D$5:$D$3004,1)),INDEX('AH History'!$E$1:$E$18046,AH!$P$7+1210))),NA()),NA())</ns0:f>
        <ns0:v/>
      </ns0:c>
      <ns0:c r="G1215">
        <ns0:f>IFERROR(IF(ISNUMBER($A1215),IF(AND(AH!$P$10=1,AH!$P$12=1,$A1215=TODAY()),IF(AND(AH!$P$10=1,AH!$P$12=1,$A1215=TODAY()),TODAY(),NA()),IF(AH!$P$10=1,INDEX('Live History'!$G$5:$G$3004,MATCH($A1215,'Live History'!$G$5:$G$3004,1)),INDEX('AH History'!$F$1:$F$18046,AH!$P$7+1210))),NA()),NA())</ns0:f>
        <ns0:v/>
      </ns0:c>
      <ns0:c r="H1215">
        <ns0:f>IFERROR(IF(AND(AH!$E$4="Bloomberg",AH!$P$10=1,ISNUMBER($A1215),$A1215&lt;=AH!$P$17),AH!$P$7-1+MATCH($A1215,INDEX('AH History'!$A$1:$A$18046,AH!$P$7):INDEX('AH History'!$A$1:$A$18046,AH!$P$7+AH!$P$8-1),0),0),0)</ns0:f>
        <ns0:v/>
      </ns0:c>
      <ns0:c r="I1215">
        <ns0:f>IF($H1215=0,0,IFERROR(IF(AND(ABS($C1215-INDEX('AH History'!$B$1:$B$18046,$H1215))&lt;=MAX(0.005,ABS(INDEX('AH History'!$B$1:$B$18046,$H1215))*0.00005),ABS($D1215-INDEX('AH History'!$C$1:$C$18046,$H1215))&lt;=MAX(0.005,ABS(INDEX('AH History'!$C$1:$C$18046,$H1215))*0.00005),ABS($E1215-INDEX('AH History'!$D$1:$D$18046,$H1215))&lt;=0.00005,$F1215=INDEX('AH History'!$E$1:$E$18046,$H1215),$G1215=INDEX('AH History'!$F$1:$F$18046,$H1215)),1,-1),-1))</ns0:f>
        <ns0:v/>
      </ns0:c>
    </ns0:row>
    <ns0:row r="1216">
      <ns0:c r="A1216" s="215">
        <ns0:f>IF(OR(AH!$P$3=0,1211+1&gt;AH!$P$11,AND(AH!$E$4&lt;&gt;"Stored",AH!$P$10&lt;&gt;1)),"",IFERROR(IF(AND(AH!$P$21=1,1211+1=AH!$P$11),TODAY(),IF(AH!$P$10=1,INDEX('Live History'!$A$5:$A$3004,AH!$P$13+1211),INDEX('AH History'!$A$1:$A$18046,AH!$P$7+1211))),""))</ns0:f>
        <ns0:v/>
      </ns0:c>
      <ns0:c r="B1216" s="219">
        <ns0:f>IFERROR(IF(AND(AH!$P$9&lt;&gt;1,$C1216&gt;0,$D1216&gt;0,$E1216&gt;0,$F1216&gt;0,$G1216&gt;0,$F1216&lt;=$A1216,$G1216&lt;=$A1216,$A1216-$F1216&lt;=10,$A1216-$G1216&lt;=5),$D1216*$E1216/$C1216-1,NA()),NA())</ns0:f>
        <ns0:v/>
      </ns0:c>
      <ns0:c r="C1216">
        <ns0:f>IFERROR(IF(ISNUMBER($A1216),IF(AND(AH!$P$10=1,AH!$P$12=1,$A1216=TODAY()),AH!$P$19,IF(AH!$P$10=1,INDEX('Live History'!$B$5:$B$3004,AH!$P$13+1211),INDEX('AH History'!$B$1:$B$18046,AH!$P$7+1211))),NA()),NA())</ns0:f>
        <ns0:v/>
      </ns0:c>
      <ns0:c r="D1216">
        <ns0:f>IFERROR(IF(ISNUMBER($A1216),IF(AND(AH!$P$10=1,AH!$P$12=1,$A1216=TODAY()),AH!$P$18,IF(AH!$P$10=1,INDEX('Live History'!$E$5:$E$3004,MATCH($A1216,'Live History'!$D$5:$D$3004,1)),INDEX('AH History'!$C$1:$C$18046,AH!$P$7+1211))),NA()),NA())</ns0:f>
        <ns0:v/>
      </ns0:c>
      <ns0:c r="E1216">
        <ns0:f>IFERROR(IF(ISNUMBER($A1216),IF(AND(AH!$P$10=1,AH!$P$12=1,$A1216=TODAY()),AH!$P$20,IF(AH!$P$10=1,INDEX('Live History'!$H$5:$H$3004,MATCH($A1216,'Live History'!$G$5:$G$3004,1)),INDEX('AH History'!$D$1:$D$18046,AH!$P$7+1211))),NA()),NA())</ns0:f>
        <ns0:v/>
      </ns0:c>
      <ns0:c r="F1216">
        <ns0:f>IFERROR(IF(ISNUMBER($A1216),IF(AND(AH!$P$10=1,AH!$P$12=1,$A1216=TODAY()),IF(AND(AH!$P$10=1,AH!$P$12=1,$A1216=TODAY()),TODAY(),NA()),IF(AH!$P$10=1,INDEX('Live History'!$D$5:$D$3004,MATCH($A1216,'Live History'!$D$5:$D$3004,1)),INDEX('AH History'!$E$1:$E$18046,AH!$P$7+1211))),NA()),NA())</ns0:f>
        <ns0:v/>
      </ns0:c>
      <ns0:c r="G1216">
        <ns0:f>IFERROR(IF(ISNUMBER($A1216),IF(AND(AH!$P$10=1,AH!$P$12=1,$A1216=TODAY()),IF(AND(AH!$P$10=1,AH!$P$12=1,$A1216=TODAY()),TODAY(),NA()),IF(AH!$P$10=1,INDEX('Live History'!$G$5:$G$3004,MATCH($A1216,'Live History'!$G$5:$G$3004,1)),INDEX('AH History'!$F$1:$F$18046,AH!$P$7+1211))),NA()),NA())</ns0:f>
        <ns0:v/>
      </ns0:c>
      <ns0:c r="H1216">
        <ns0:f>IFERROR(IF(AND(AH!$E$4="Bloomberg",AH!$P$10=1,ISNUMBER($A1216),$A1216&lt;=AH!$P$17),AH!$P$7-1+MATCH($A1216,INDEX('AH History'!$A$1:$A$18046,AH!$P$7):INDEX('AH History'!$A$1:$A$18046,AH!$P$7+AH!$P$8-1),0),0),0)</ns0:f>
        <ns0:v/>
      </ns0:c>
      <ns0:c r="I1216">
        <ns0:f>IF($H1216=0,0,IFERROR(IF(AND(ABS($C1216-INDEX('AH History'!$B$1:$B$18046,$H1216))&lt;=MAX(0.005,ABS(INDEX('AH History'!$B$1:$B$18046,$H1216))*0.00005),ABS($D1216-INDEX('AH History'!$C$1:$C$18046,$H1216))&lt;=MAX(0.005,ABS(INDEX('AH History'!$C$1:$C$18046,$H1216))*0.00005),ABS($E1216-INDEX('AH History'!$D$1:$D$18046,$H1216))&lt;=0.00005,$F1216=INDEX('AH History'!$E$1:$E$18046,$H1216),$G1216=INDEX('AH History'!$F$1:$F$18046,$H1216)),1,-1),-1))</ns0:f>
        <ns0:v/>
      </ns0:c>
    </ns0:row>
    <ns0:row r="1217">
      <ns0:c r="A1217" s="215">
        <ns0:f>IF(OR(AH!$P$3=0,1212+1&gt;AH!$P$11,AND(AH!$E$4&lt;&gt;"Stored",AH!$P$10&lt;&gt;1)),"",IFERROR(IF(AND(AH!$P$21=1,1212+1=AH!$P$11),TODAY(),IF(AH!$P$10=1,INDEX('Live History'!$A$5:$A$3004,AH!$P$13+1212),INDEX('AH History'!$A$1:$A$18046,AH!$P$7+1212))),""))</ns0:f>
        <ns0:v/>
      </ns0:c>
      <ns0:c r="B1217" s="219">
        <ns0:f>IFERROR(IF(AND(AH!$P$9&lt;&gt;1,$C1217&gt;0,$D1217&gt;0,$E1217&gt;0,$F1217&gt;0,$G1217&gt;0,$F1217&lt;=$A1217,$G1217&lt;=$A1217,$A1217-$F1217&lt;=10,$A1217-$G1217&lt;=5),$D1217*$E1217/$C1217-1,NA()),NA())</ns0:f>
        <ns0:v/>
      </ns0:c>
      <ns0:c r="C1217">
        <ns0:f>IFERROR(IF(ISNUMBER($A1217),IF(AND(AH!$P$10=1,AH!$P$12=1,$A1217=TODAY()),AH!$P$19,IF(AH!$P$10=1,INDEX('Live History'!$B$5:$B$3004,AH!$P$13+1212),INDEX('AH History'!$B$1:$B$18046,AH!$P$7+1212))),NA()),NA())</ns0:f>
        <ns0:v/>
      </ns0:c>
      <ns0:c r="D1217">
        <ns0:f>IFERROR(IF(ISNUMBER($A1217),IF(AND(AH!$P$10=1,AH!$P$12=1,$A1217=TODAY()),AH!$P$18,IF(AH!$P$10=1,INDEX('Live History'!$E$5:$E$3004,MATCH($A1217,'Live History'!$D$5:$D$3004,1)),INDEX('AH History'!$C$1:$C$18046,AH!$P$7+1212))),NA()),NA())</ns0:f>
        <ns0:v/>
      </ns0:c>
      <ns0:c r="E1217">
        <ns0:f>IFERROR(IF(ISNUMBER($A1217),IF(AND(AH!$P$10=1,AH!$P$12=1,$A1217=TODAY()),AH!$P$20,IF(AH!$P$10=1,INDEX('Live History'!$H$5:$H$3004,MATCH($A1217,'Live History'!$G$5:$G$3004,1)),INDEX('AH History'!$D$1:$D$18046,AH!$P$7+1212))),NA()),NA())</ns0:f>
        <ns0:v/>
      </ns0:c>
      <ns0:c r="F1217">
        <ns0:f>IFERROR(IF(ISNUMBER($A1217),IF(AND(AH!$P$10=1,AH!$P$12=1,$A1217=TODAY()),IF(AND(AH!$P$10=1,AH!$P$12=1,$A1217=TODAY()),TODAY(),NA()),IF(AH!$P$10=1,INDEX('Live History'!$D$5:$D$3004,MATCH($A1217,'Live History'!$D$5:$D$3004,1)),INDEX('AH History'!$E$1:$E$18046,AH!$P$7+1212))),NA()),NA())</ns0:f>
        <ns0:v/>
      </ns0:c>
      <ns0:c r="G1217">
        <ns0:f>IFERROR(IF(ISNUMBER($A1217),IF(AND(AH!$P$10=1,AH!$P$12=1,$A1217=TODAY()),IF(AND(AH!$P$10=1,AH!$P$12=1,$A1217=TODAY()),TODAY(),NA()),IF(AH!$P$10=1,INDEX('Live History'!$G$5:$G$3004,MATCH($A1217,'Live History'!$G$5:$G$3004,1)),INDEX('AH History'!$F$1:$F$18046,AH!$P$7+1212))),NA()),NA())</ns0:f>
        <ns0:v/>
      </ns0:c>
      <ns0:c r="H1217">
        <ns0:f>IFERROR(IF(AND(AH!$E$4="Bloomberg",AH!$P$10=1,ISNUMBER($A1217),$A1217&lt;=AH!$P$17),AH!$P$7-1+MATCH($A1217,INDEX('AH History'!$A$1:$A$18046,AH!$P$7):INDEX('AH History'!$A$1:$A$18046,AH!$P$7+AH!$P$8-1),0),0),0)</ns0:f>
        <ns0:v/>
      </ns0:c>
      <ns0:c r="I1217">
        <ns0:f>IF($H1217=0,0,IFERROR(IF(AND(ABS($C1217-INDEX('AH History'!$B$1:$B$18046,$H1217))&lt;=MAX(0.005,ABS(INDEX('AH History'!$B$1:$B$18046,$H1217))*0.00005),ABS($D1217-INDEX('AH History'!$C$1:$C$18046,$H1217))&lt;=MAX(0.005,ABS(INDEX('AH History'!$C$1:$C$18046,$H1217))*0.00005),ABS($E1217-INDEX('AH History'!$D$1:$D$18046,$H1217))&lt;=0.00005,$F1217=INDEX('AH History'!$E$1:$E$18046,$H1217),$G1217=INDEX('AH History'!$F$1:$F$18046,$H1217)),1,-1),-1))</ns0:f>
        <ns0:v/>
      </ns0:c>
    </ns0:row>
    <ns0:row r="1218">
      <ns0:c r="A1218" s="215">
        <ns0:f>IF(OR(AH!$P$3=0,1213+1&gt;AH!$P$11,AND(AH!$E$4&lt;&gt;"Stored",AH!$P$10&lt;&gt;1)),"",IFERROR(IF(AND(AH!$P$21=1,1213+1=AH!$P$11),TODAY(),IF(AH!$P$10=1,INDEX('Live History'!$A$5:$A$3004,AH!$P$13+1213),INDEX('AH History'!$A$1:$A$18046,AH!$P$7+1213))),""))</ns0:f>
        <ns0:v/>
      </ns0:c>
      <ns0:c r="B1218" s="219">
        <ns0:f>IFERROR(IF(AND(AH!$P$9&lt;&gt;1,$C1218&gt;0,$D1218&gt;0,$E1218&gt;0,$F1218&gt;0,$G1218&gt;0,$F1218&lt;=$A1218,$G1218&lt;=$A1218,$A1218-$F1218&lt;=10,$A1218-$G1218&lt;=5),$D1218*$E1218/$C1218-1,NA()),NA())</ns0:f>
        <ns0:v/>
      </ns0:c>
      <ns0:c r="C1218">
        <ns0:f>IFERROR(IF(ISNUMBER($A1218),IF(AND(AH!$P$10=1,AH!$P$12=1,$A1218=TODAY()),AH!$P$19,IF(AH!$P$10=1,INDEX('Live History'!$B$5:$B$3004,AH!$P$13+1213),INDEX('AH History'!$B$1:$B$18046,AH!$P$7+1213))),NA()),NA())</ns0:f>
        <ns0:v/>
      </ns0:c>
      <ns0:c r="D1218">
        <ns0:f>IFERROR(IF(ISNUMBER($A1218),IF(AND(AH!$P$10=1,AH!$P$12=1,$A1218=TODAY()),AH!$P$18,IF(AH!$P$10=1,INDEX('Live History'!$E$5:$E$3004,MATCH($A1218,'Live History'!$D$5:$D$3004,1)),INDEX('AH History'!$C$1:$C$18046,AH!$P$7+1213))),NA()),NA())</ns0:f>
        <ns0:v/>
      </ns0:c>
      <ns0:c r="E1218">
        <ns0:f>IFERROR(IF(ISNUMBER($A1218),IF(AND(AH!$P$10=1,AH!$P$12=1,$A1218=TODAY()),AH!$P$20,IF(AH!$P$10=1,INDEX('Live History'!$H$5:$H$3004,MATCH($A1218,'Live History'!$G$5:$G$3004,1)),INDEX('AH History'!$D$1:$D$18046,AH!$P$7+1213))),NA()),NA())</ns0:f>
        <ns0:v/>
      </ns0:c>
      <ns0:c r="F1218">
        <ns0:f>IFERROR(IF(ISNUMBER($A1218),IF(AND(AH!$P$10=1,AH!$P$12=1,$A1218=TODAY()),IF(AND(AH!$P$10=1,AH!$P$12=1,$A1218=TODAY()),TODAY(),NA()),IF(AH!$P$10=1,INDEX('Live History'!$D$5:$D$3004,MATCH($A1218,'Live History'!$D$5:$D$3004,1)),INDEX('AH History'!$E$1:$E$18046,AH!$P$7+1213))),NA()),NA())</ns0:f>
        <ns0:v/>
      </ns0:c>
      <ns0:c r="G1218">
        <ns0:f>IFERROR(IF(ISNUMBER($A1218),IF(AND(AH!$P$10=1,AH!$P$12=1,$A1218=TODAY()),IF(AND(AH!$P$10=1,AH!$P$12=1,$A1218=TODAY()),TODAY(),NA()),IF(AH!$P$10=1,INDEX('Live History'!$G$5:$G$3004,MATCH($A1218,'Live History'!$G$5:$G$3004,1)),INDEX('AH History'!$F$1:$F$18046,AH!$P$7+1213))),NA()),NA())</ns0:f>
        <ns0:v/>
      </ns0:c>
      <ns0:c r="H1218">
        <ns0:f>IFERROR(IF(AND(AH!$E$4="Bloomberg",AH!$P$10=1,ISNUMBER($A1218),$A1218&lt;=AH!$P$17),AH!$P$7-1+MATCH($A1218,INDEX('AH History'!$A$1:$A$18046,AH!$P$7):INDEX('AH History'!$A$1:$A$18046,AH!$P$7+AH!$P$8-1),0),0),0)</ns0:f>
        <ns0:v/>
      </ns0:c>
      <ns0:c r="I1218">
        <ns0:f>IF($H1218=0,0,IFERROR(IF(AND(ABS($C1218-INDEX('AH History'!$B$1:$B$18046,$H1218))&lt;=MAX(0.005,ABS(INDEX('AH History'!$B$1:$B$18046,$H1218))*0.00005),ABS($D1218-INDEX('AH History'!$C$1:$C$18046,$H1218))&lt;=MAX(0.005,ABS(INDEX('AH History'!$C$1:$C$18046,$H1218))*0.00005),ABS($E1218-INDEX('AH History'!$D$1:$D$18046,$H1218))&lt;=0.00005,$F1218=INDEX('AH History'!$E$1:$E$18046,$H1218),$G1218=INDEX('AH History'!$F$1:$F$18046,$H1218)),1,-1),-1))</ns0:f>
        <ns0:v/>
      </ns0:c>
    </ns0:row>
    <ns0:row r="1219">
      <ns0:c r="A1219" s="215">
        <ns0:f>IF(OR(AH!$P$3=0,1214+1&gt;AH!$P$11,AND(AH!$E$4&lt;&gt;"Stored",AH!$P$10&lt;&gt;1)),"",IFERROR(IF(AND(AH!$P$21=1,1214+1=AH!$P$11),TODAY(),IF(AH!$P$10=1,INDEX('Live History'!$A$5:$A$3004,AH!$P$13+1214),INDEX('AH History'!$A$1:$A$18046,AH!$P$7+1214))),""))</ns0:f>
        <ns0:v/>
      </ns0:c>
      <ns0:c r="B1219" s="219">
        <ns0:f>IFERROR(IF(AND(AH!$P$9&lt;&gt;1,$C1219&gt;0,$D1219&gt;0,$E1219&gt;0,$F1219&gt;0,$G1219&gt;0,$F1219&lt;=$A1219,$G1219&lt;=$A1219,$A1219-$F1219&lt;=10,$A1219-$G1219&lt;=5),$D1219*$E1219/$C1219-1,NA()),NA())</ns0:f>
        <ns0:v/>
      </ns0:c>
      <ns0:c r="C1219">
        <ns0:f>IFERROR(IF(ISNUMBER($A1219),IF(AND(AH!$P$10=1,AH!$P$12=1,$A1219=TODAY()),AH!$P$19,IF(AH!$P$10=1,INDEX('Live History'!$B$5:$B$3004,AH!$P$13+1214),INDEX('AH History'!$B$1:$B$18046,AH!$P$7+1214))),NA()),NA())</ns0:f>
        <ns0:v/>
      </ns0:c>
      <ns0:c r="D1219">
        <ns0:f>IFERROR(IF(ISNUMBER($A1219),IF(AND(AH!$P$10=1,AH!$P$12=1,$A1219=TODAY()),AH!$P$18,IF(AH!$P$10=1,INDEX('Live History'!$E$5:$E$3004,MATCH($A1219,'Live History'!$D$5:$D$3004,1)),INDEX('AH History'!$C$1:$C$18046,AH!$P$7+1214))),NA()),NA())</ns0:f>
        <ns0:v/>
      </ns0:c>
      <ns0:c r="E1219">
        <ns0:f>IFERROR(IF(ISNUMBER($A1219),IF(AND(AH!$P$10=1,AH!$P$12=1,$A1219=TODAY()),AH!$P$20,IF(AH!$P$10=1,INDEX('Live History'!$H$5:$H$3004,MATCH($A1219,'Live History'!$G$5:$G$3004,1)),INDEX('AH History'!$D$1:$D$18046,AH!$P$7+1214))),NA()),NA())</ns0:f>
        <ns0:v/>
      </ns0:c>
      <ns0:c r="F1219">
        <ns0:f>IFERROR(IF(ISNUMBER($A1219),IF(AND(AH!$P$10=1,AH!$P$12=1,$A1219=TODAY()),IF(AND(AH!$P$10=1,AH!$P$12=1,$A1219=TODAY()),TODAY(),NA()),IF(AH!$P$10=1,INDEX('Live History'!$D$5:$D$3004,MATCH($A1219,'Live History'!$D$5:$D$3004,1)),INDEX('AH History'!$E$1:$E$18046,AH!$P$7+1214))),NA()),NA())</ns0:f>
        <ns0:v/>
      </ns0:c>
      <ns0:c r="G1219">
        <ns0:f>IFERROR(IF(ISNUMBER($A1219),IF(AND(AH!$P$10=1,AH!$P$12=1,$A1219=TODAY()),IF(AND(AH!$P$10=1,AH!$P$12=1,$A1219=TODAY()),TODAY(),NA()),IF(AH!$P$10=1,INDEX('Live History'!$G$5:$G$3004,MATCH($A1219,'Live History'!$G$5:$G$3004,1)),INDEX('AH History'!$F$1:$F$18046,AH!$P$7+1214))),NA()),NA())</ns0:f>
        <ns0:v/>
      </ns0:c>
      <ns0:c r="H1219">
        <ns0:f>IFERROR(IF(AND(AH!$E$4="Bloomberg",AH!$P$10=1,ISNUMBER($A1219),$A1219&lt;=AH!$P$17),AH!$P$7-1+MATCH($A1219,INDEX('AH History'!$A$1:$A$18046,AH!$P$7):INDEX('AH History'!$A$1:$A$18046,AH!$P$7+AH!$P$8-1),0),0),0)</ns0:f>
        <ns0:v/>
      </ns0:c>
      <ns0:c r="I1219">
        <ns0:f>IF($H1219=0,0,IFERROR(IF(AND(ABS($C1219-INDEX('AH History'!$B$1:$B$18046,$H1219))&lt;=MAX(0.005,ABS(INDEX('AH History'!$B$1:$B$18046,$H1219))*0.00005),ABS($D1219-INDEX('AH History'!$C$1:$C$18046,$H1219))&lt;=MAX(0.005,ABS(INDEX('AH History'!$C$1:$C$18046,$H1219))*0.00005),ABS($E1219-INDEX('AH History'!$D$1:$D$18046,$H1219))&lt;=0.00005,$F1219=INDEX('AH History'!$E$1:$E$18046,$H1219),$G1219=INDEX('AH History'!$F$1:$F$18046,$H1219)),1,-1),-1))</ns0:f>
        <ns0:v/>
      </ns0:c>
    </ns0:row>
    <ns0:row r="1220">
      <ns0:c r="A1220" s="215">
        <ns0:f>IF(OR(AH!$P$3=0,1215+1&gt;AH!$P$11,AND(AH!$E$4&lt;&gt;"Stored",AH!$P$10&lt;&gt;1)),"",IFERROR(IF(AND(AH!$P$21=1,1215+1=AH!$P$11),TODAY(),IF(AH!$P$10=1,INDEX('Live History'!$A$5:$A$3004,AH!$P$13+1215),INDEX('AH History'!$A$1:$A$18046,AH!$P$7+1215))),""))</ns0:f>
        <ns0:v/>
      </ns0:c>
      <ns0:c r="B1220" s="219">
        <ns0:f>IFERROR(IF(AND(AH!$P$9&lt;&gt;1,$C1220&gt;0,$D1220&gt;0,$E1220&gt;0,$F1220&gt;0,$G1220&gt;0,$F1220&lt;=$A1220,$G1220&lt;=$A1220,$A1220-$F1220&lt;=10,$A1220-$G1220&lt;=5),$D1220*$E1220/$C1220-1,NA()),NA())</ns0:f>
        <ns0:v/>
      </ns0:c>
      <ns0:c r="C1220">
        <ns0:f>IFERROR(IF(ISNUMBER($A1220),IF(AND(AH!$P$10=1,AH!$P$12=1,$A1220=TODAY()),AH!$P$19,IF(AH!$P$10=1,INDEX('Live History'!$B$5:$B$3004,AH!$P$13+1215),INDEX('AH History'!$B$1:$B$18046,AH!$P$7+1215))),NA()),NA())</ns0:f>
        <ns0:v/>
      </ns0:c>
      <ns0:c r="D1220">
        <ns0:f>IFERROR(IF(ISNUMBER($A1220),IF(AND(AH!$P$10=1,AH!$P$12=1,$A1220=TODAY()),AH!$P$18,IF(AH!$P$10=1,INDEX('Live History'!$E$5:$E$3004,MATCH($A1220,'Live History'!$D$5:$D$3004,1)),INDEX('AH History'!$C$1:$C$18046,AH!$P$7+1215))),NA()),NA())</ns0:f>
        <ns0:v/>
      </ns0:c>
      <ns0:c r="E1220">
        <ns0:f>IFERROR(IF(ISNUMBER($A1220),IF(AND(AH!$P$10=1,AH!$P$12=1,$A1220=TODAY()),AH!$P$20,IF(AH!$P$10=1,INDEX('Live History'!$H$5:$H$3004,MATCH($A1220,'Live History'!$G$5:$G$3004,1)),INDEX('AH History'!$D$1:$D$18046,AH!$P$7+1215))),NA()),NA())</ns0:f>
        <ns0:v/>
      </ns0:c>
      <ns0:c r="F1220">
        <ns0:f>IFERROR(IF(ISNUMBER($A1220),IF(AND(AH!$P$10=1,AH!$P$12=1,$A1220=TODAY()),IF(AND(AH!$P$10=1,AH!$P$12=1,$A1220=TODAY()),TODAY(),NA()),IF(AH!$P$10=1,INDEX('Live History'!$D$5:$D$3004,MATCH($A1220,'Live History'!$D$5:$D$3004,1)),INDEX('AH History'!$E$1:$E$18046,AH!$P$7+1215))),NA()),NA())</ns0:f>
        <ns0:v/>
      </ns0:c>
      <ns0:c r="G1220">
        <ns0:f>IFERROR(IF(ISNUMBER($A1220),IF(AND(AH!$P$10=1,AH!$P$12=1,$A1220=TODAY()),IF(AND(AH!$P$10=1,AH!$P$12=1,$A1220=TODAY()),TODAY(),NA()),IF(AH!$P$10=1,INDEX('Live History'!$G$5:$G$3004,MATCH($A1220,'Live History'!$G$5:$G$3004,1)),INDEX('AH History'!$F$1:$F$18046,AH!$P$7+1215))),NA()),NA())</ns0:f>
        <ns0:v/>
      </ns0:c>
      <ns0:c r="H1220">
        <ns0:f>IFERROR(IF(AND(AH!$E$4="Bloomberg",AH!$P$10=1,ISNUMBER($A1220),$A1220&lt;=AH!$P$17),AH!$P$7-1+MATCH($A1220,INDEX('AH History'!$A$1:$A$18046,AH!$P$7):INDEX('AH History'!$A$1:$A$18046,AH!$P$7+AH!$P$8-1),0),0),0)</ns0:f>
        <ns0:v/>
      </ns0:c>
      <ns0:c r="I1220">
        <ns0:f>IF($H1220=0,0,IFERROR(IF(AND(ABS($C1220-INDEX('AH History'!$B$1:$B$18046,$H1220))&lt;=MAX(0.005,ABS(INDEX('AH History'!$B$1:$B$18046,$H1220))*0.00005),ABS($D1220-INDEX('AH History'!$C$1:$C$18046,$H1220))&lt;=MAX(0.005,ABS(INDEX('AH History'!$C$1:$C$18046,$H1220))*0.00005),ABS($E1220-INDEX('AH History'!$D$1:$D$18046,$H1220))&lt;=0.00005,$F1220=INDEX('AH History'!$E$1:$E$18046,$H1220),$G1220=INDEX('AH History'!$F$1:$F$18046,$H1220)),1,-1),-1))</ns0:f>
        <ns0:v/>
      </ns0:c>
    </ns0:row>
    <ns0:row r="1221">
      <ns0:c r="A1221" s="215">
        <ns0:f>IF(OR(AH!$P$3=0,1216+1&gt;AH!$P$11,AND(AH!$E$4&lt;&gt;"Stored",AH!$P$10&lt;&gt;1)),"",IFERROR(IF(AND(AH!$P$21=1,1216+1=AH!$P$11),TODAY(),IF(AH!$P$10=1,INDEX('Live History'!$A$5:$A$3004,AH!$P$13+1216),INDEX('AH History'!$A$1:$A$18046,AH!$P$7+1216))),""))</ns0:f>
        <ns0:v/>
      </ns0:c>
      <ns0:c r="B1221" s="219">
        <ns0:f>IFERROR(IF(AND(AH!$P$9&lt;&gt;1,$C1221&gt;0,$D1221&gt;0,$E1221&gt;0,$F1221&gt;0,$G1221&gt;0,$F1221&lt;=$A1221,$G1221&lt;=$A1221,$A1221-$F1221&lt;=10,$A1221-$G1221&lt;=5),$D1221*$E1221/$C1221-1,NA()),NA())</ns0:f>
        <ns0:v/>
      </ns0:c>
      <ns0:c r="C1221">
        <ns0:f>IFERROR(IF(ISNUMBER($A1221),IF(AND(AH!$P$10=1,AH!$P$12=1,$A1221=TODAY()),AH!$P$19,IF(AH!$P$10=1,INDEX('Live History'!$B$5:$B$3004,AH!$P$13+1216),INDEX('AH History'!$B$1:$B$18046,AH!$P$7+1216))),NA()),NA())</ns0:f>
        <ns0:v/>
      </ns0:c>
      <ns0:c r="D1221">
        <ns0:f>IFERROR(IF(ISNUMBER($A1221),IF(AND(AH!$P$10=1,AH!$P$12=1,$A1221=TODAY()),AH!$P$18,IF(AH!$P$10=1,INDEX('Live History'!$E$5:$E$3004,MATCH($A1221,'Live History'!$D$5:$D$3004,1)),INDEX('AH History'!$C$1:$C$18046,AH!$P$7+1216))),NA()),NA())</ns0:f>
        <ns0:v/>
      </ns0:c>
      <ns0:c r="E1221">
        <ns0:f>IFERROR(IF(ISNUMBER($A1221),IF(AND(AH!$P$10=1,AH!$P$12=1,$A1221=TODAY()),AH!$P$20,IF(AH!$P$10=1,INDEX('Live History'!$H$5:$H$3004,MATCH($A1221,'Live History'!$G$5:$G$3004,1)),INDEX('AH History'!$D$1:$D$18046,AH!$P$7+1216))),NA()),NA())</ns0:f>
        <ns0:v/>
      </ns0:c>
      <ns0:c r="F1221">
        <ns0:f>IFERROR(IF(ISNUMBER($A1221),IF(AND(AH!$P$10=1,AH!$P$12=1,$A1221=TODAY()),IF(AND(AH!$P$10=1,AH!$P$12=1,$A1221=TODAY()),TODAY(),NA()),IF(AH!$P$10=1,INDEX('Live History'!$D$5:$D$3004,MATCH($A1221,'Live History'!$D$5:$D$3004,1)),INDEX('AH History'!$E$1:$E$18046,AH!$P$7+1216))),NA()),NA())</ns0:f>
        <ns0:v/>
      </ns0:c>
      <ns0:c r="G1221">
        <ns0:f>IFERROR(IF(ISNUMBER($A1221),IF(AND(AH!$P$10=1,AH!$P$12=1,$A1221=TODAY()),IF(AND(AH!$P$10=1,AH!$P$12=1,$A1221=TODAY()),TODAY(),NA()),IF(AH!$P$10=1,INDEX('Live History'!$G$5:$G$3004,MATCH($A1221,'Live History'!$G$5:$G$3004,1)),INDEX('AH History'!$F$1:$F$18046,AH!$P$7+1216))),NA()),NA())</ns0:f>
        <ns0:v/>
      </ns0:c>
      <ns0:c r="H1221">
        <ns0:f>IFERROR(IF(AND(AH!$E$4="Bloomberg",AH!$P$10=1,ISNUMBER($A1221),$A1221&lt;=AH!$P$17),AH!$P$7-1+MATCH($A1221,INDEX('AH History'!$A$1:$A$18046,AH!$P$7):INDEX('AH History'!$A$1:$A$18046,AH!$P$7+AH!$P$8-1),0),0),0)</ns0:f>
        <ns0:v/>
      </ns0:c>
      <ns0:c r="I1221">
        <ns0:f>IF($H1221=0,0,IFERROR(IF(AND(ABS($C1221-INDEX('AH History'!$B$1:$B$18046,$H1221))&lt;=MAX(0.005,ABS(INDEX('AH History'!$B$1:$B$18046,$H1221))*0.00005),ABS($D1221-INDEX('AH History'!$C$1:$C$18046,$H1221))&lt;=MAX(0.005,ABS(INDEX('AH History'!$C$1:$C$18046,$H1221))*0.00005),ABS($E1221-INDEX('AH History'!$D$1:$D$18046,$H1221))&lt;=0.00005,$F1221=INDEX('AH History'!$E$1:$E$18046,$H1221),$G1221=INDEX('AH History'!$F$1:$F$18046,$H1221)),1,-1),-1))</ns0:f>
        <ns0:v/>
      </ns0:c>
    </ns0:row>
    <ns0:row r="1222">
      <ns0:c r="A1222" s="215">
        <ns0:f>IF(OR(AH!$P$3=0,1217+1&gt;AH!$P$11,AND(AH!$E$4&lt;&gt;"Stored",AH!$P$10&lt;&gt;1)),"",IFERROR(IF(AND(AH!$P$21=1,1217+1=AH!$P$11),TODAY(),IF(AH!$P$10=1,INDEX('Live History'!$A$5:$A$3004,AH!$P$13+1217),INDEX('AH History'!$A$1:$A$18046,AH!$P$7+1217))),""))</ns0:f>
        <ns0:v/>
      </ns0:c>
      <ns0:c r="B1222" s="219">
        <ns0:f>IFERROR(IF(AND(AH!$P$9&lt;&gt;1,$C1222&gt;0,$D1222&gt;0,$E1222&gt;0,$F1222&gt;0,$G1222&gt;0,$F1222&lt;=$A1222,$G1222&lt;=$A1222,$A1222-$F1222&lt;=10,$A1222-$G1222&lt;=5),$D1222*$E1222/$C1222-1,NA()),NA())</ns0:f>
        <ns0:v/>
      </ns0:c>
      <ns0:c r="C1222">
        <ns0:f>IFERROR(IF(ISNUMBER($A1222),IF(AND(AH!$P$10=1,AH!$P$12=1,$A1222=TODAY()),AH!$P$19,IF(AH!$P$10=1,INDEX('Live History'!$B$5:$B$3004,AH!$P$13+1217),INDEX('AH History'!$B$1:$B$18046,AH!$P$7+1217))),NA()),NA())</ns0:f>
        <ns0:v/>
      </ns0:c>
      <ns0:c r="D1222">
        <ns0:f>IFERROR(IF(ISNUMBER($A1222),IF(AND(AH!$P$10=1,AH!$P$12=1,$A1222=TODAY()),AH!$P$18,IF(AH!$P$10=1,INDEX('Live History'!$E$5:$E$3004,MATCH($A1222,'Live History'!$D$5:$D$3004,1)),INDEX('AH History'!$C$1:$C$18046,AH!$P$7+1217))),NA()),NA())</ns0:f>
        <ns0:v/>
      </ns0:c>
      <ns0:c r="E1222">
        <ns0:f>IFERROR(IF(ISNUMBER($A1222),IF(AND(AH!$P$10=1,AH!$P$12=1,$A1222=TODAY()),AH!$P$20,IF(AH!$P$10=1,INDEX('Live History'!$H$5:$H$3004,MATCH($A1222,'Live History'!$G$5:$G$3004,1)),INDEX('AH History'!$D$1:$D$18046,AH!$P$7+1217))),NA()),NA())</ns0:f>
        <ns0:v/>
      </ns0:c>
      <ns0:c r="F1222">
        <ns0:f>IFERROR(IF(ISNUMBER($A1222),IF(AND(AH!$P$10=1,AH!$P$12=1,$A1222=TODAY()),IF(AND(AH!$P$10=1,AH!$P$12=1,$A1222=TODAY()),TODAY(),NA()),IF(AH!$P$10=1,INDEX('Live History'!$D$5:$D$3004,MATCH($A1222,'Live History'!$D$5:$D$3004,1)),INDEX('AH History'!$E$1:$E$18046,AH!$P$7+1217))),NA()),NA())</ns0:f>
        <ns0:v/>
      </ns0:c>
      <ns0:c r="G1222">
        <ns0:f>IFERROR(IF(ISNUMBER($A1222),IF(AND(AH!$P$10=1,AH!$P$12=1,$A1222=TODAY()),IF(AND(AH!$P$10=1,AH!$P$12=1,$A1222=TODAY()),TODAY(),NA()),IF(AH!$P$10=1,INDEX('Live History'!$G$5:$G$3004,MATCH($A1222,'Live History'!$G$5:$G$3004,1)),INDEX('AH History'!$F$1:$F$18046,AH!$P$7+1217))),NA()),NA())</ns0:f>
        <ns0:v/>
      </ns0:c>
      <ns0:c r="H1222">
        <ns0:f>IFERROR(IF(AND(AH!$E$4="Bloomberg",AH!$P$10=1,ISNUMBER($A1222),$A1222&lt;=AH!$P$17),AH!$P$7-1+MATCH($A1222,INDEX('AH History'!$A$1:$A$18046,AH!$P$7):INDEX('AH History'!$A$1:$A$18046,AH!$P$7+AH!$P$8-1),0),0),0)</ns0:f>
        <ns0:v/>
      </ns0:c>
      <ns0:c r="I1222">
        <ns0:f>IF($H1222=0,0,IFERROR(IF(AND(ABS($C1222-INDEX('AH History'!$B$1:$B$18046,$H1222))&lt;=MAX(0.005,ABS(INDEX('AH History'!$B$1:$B$18046,$H1222))*0.00005),ABS($D1222-INDEX('AH History'!$C$1:$C$18046,$H1222))&lt;=MAX(0.005,ABS(INDEX('AH History'!$C$1:$C$18046,$H1222))*0.00005),ABS($E1222-INDEX('AH History'!$D$1:$D$18046,$H1222))&lt;=0.00005,$F1222=INDEX('AH History'!$E$1:$E$18046,$H1222),$G1222=INDEX('AH History'!$F$1:$F$18046,$H1222)),1,-1),-1))</ns0:f>
        <ns0:v/>
      </ns0:c>
    </ns0:row>
    <ns0:row r="1223">
      <ns0:c r="A1223" s="215">
        <ns0:f>IF(OR(AH!$P$3=0,1218+1&gt;AH!$P$11,AND(AH!$E$4&lt;&gt;"Stored",AH!$P$10&lt;&gt;1)),"",IFERROR(IF(AND(AH!$P$21=1,1218+1=AH!$P$11),TODAY(),IF(AH!$P$10=1,INDEX('Live History'!$A$5:$A$3004,AH!$P$13+1218),INDEX('AH History'!$A$1:$A$18046,AH!$P$7+1218))),""))</ns0:f>
        <ns0:v/>
      </ns0:c>
      <ns0:c r="B1223" s="219">
        <ns0:f>IFERROR(IF(AND(AH!$P$9&lt;&gt;1,$C1223&gt;0,$D1223&gt;0,$E1223&gt;0,$F1223&gt;0,$G1223&gt;0,$F1223&lt;=$A1223,$G1223&lt;=$A1223,$A1223-$F1223&lt;=10,$A1223-$G1223&lt;=5),$D1223*$E1223/$C1223-1,NA()),NA())</ns0:f>
        <ns0:v/>
      </ns0:c>
      <ns0:c r="C1223">
        <ns0:f>IFERROR(IF(ISNUMBER($A1223),IF(AND(AH!$P$10=1,AH!$P$12=1,$A1223=TODAY()),AH!$P$19,IF(AH!$P$10=1,INDEX('Live History'!$B$5:$B$3004,AH!$P$13+1218),INDEX('AH History'!$B$1:$B$18046,AH!$P$7+1218))),NA()),NA())</ns0:f>
        <ns0:v/>
      </ns0:c>
      <ns0:c r="D1223">
        <ns0:f>IFERROR(IF(ISNUMBER($A1223),IF(AND(AH!$P$10=1,AH!$P$12=1,$A1223=TODAY()),AH!$P$18,IF(AH!$P$10=1,INDEX('Live History'!$E$5:$E$3004,MATCH($A1223,'Live History'!$D$5:$D$3004,1)),INDEX('AH History'!$C$1:$C$18046,AH!$P$7+1218))),NA()),NA())</ns0:f>
        <ns0:v/>
      </ns0:c>
      <ns0:c r="E1223">
        <ns0:f>IFERROR(IF(ISNUMBER($A1223),IF(AND(AH!$P$10=1,AH!$P$12=1,$A1223=TODAY()),AH!$P$20,IF(AH!$P$10=1,INDEX('Live History'!$H$5:$H$3004,MATCH($A1223,'Live History'!$G$5:$G$3004,1)),INDEX('AH History'!$D$1:$D$18046,AH!$P$7+1218))),NA()),NA())</ns0:f>
        <ns0:v/>
      </ns0:c>
      <ns0:c r="F1223">
        <ns0:f>IFERROR(IF(ISNUMBER($A1223),IF(AND(AH!$P$10=1,AH!$P$12=1,$A1223=TODAY()),IF(AND(AH!$P$10=1,AH!$P$12=1,$A1223=TODAY()),TODAY(),NA()),IF(AH!$P$10=1,INDEX('Live History'!$D$5:$D$3004,MATCH($A1223,'Live History'!$D$5:$D$3004,1)),INDEX('AH History'!$E$1:$E$18046,AH!$P$7+1218))),NA()),NA())</ns0:f>
        <ns0:v/>
      </ns0:c>
      <ns0:c r="G1223">
        <ns0:f>IFERROR(IF(ISNUMBER($A1223),IF(AND(AH!$P$10=1,AH!$P$12=1,$A1223=TODAY()),IF(AND(AH!$P$10=1,AH!$P$12=1,$A1223=TODAY()),TODAY(),NA()),IF(AH!$P$10=1,INDEX('Live History'!$G$5:$G$3004,MATCH($A1223,'Live History'!$G$5:$G$3004,1)),INDEX('AH History'!$F$1:$F$18046,AH!$P$7+1218))),NA()),NA())</ns0:f>
        <ns0:v/>
      </ns0:c>
      <ns0:c r="H1223">
        <ns0:f>IFERROR(IF(AND(AH!$E$4="Bloomberg",AH!$P$10=1,ISNUMBER($A1223),$A1223&lt;=AH!$P$17),AH!$P$7-1+MATCH($A1223,INDEX('AH History'!$A$1:$A$18046,AH!$P$7):INDEX('AH History'!$A$1:$A$18046,AH!$P$7+AH!$P$8-1),0),0),0)</ns0:f>
        <ns0:v/>
      </ns0:c>
      <ns0:c r="I1223">
        <ns0:f>IF($H1223=0,0,IFERROR(IF(AND(ABS($C1223-INDEX('AH History'!$B$1:$B$18046,$H1223))&lt;=MAX(0.005,ABS(INDEX('AH History'!$B$1:$B$18046,$H1223))*0.00005),ABS($D1223-INDEX('AH History'!$C$1:$C$18046,$H1223))&lt;=MAX(0.005,ABS(INDEX('AH History'!$C$1:$C$18046,$H1223))*0.00005),ABS($E1223-INDEX('AH History'!$D$1:$D$18046,$H1223))&lt;=0.00005,$F1223=INDEX('AH History'!$E$1:$E$18046,$H1223),$G1223=INDEX('AH History'!$F$1:$F$18046,$H1223)),1,-1),-1))</ns0:f>
        <ns0:v/>
      </ns0:c>
    </ns0:row>
    <ns0:row r="1224">
      <ns0:c r="A1224" s="215">
        <ns0:f>IF(OR(AH!$P$3=0,1219+1&gt;AH!$P$11,AND(AH!$E$4&lt;&gt;"Stored",AH!$P$10&lt;&gt;1)),"",IFERROR(IF(AND(AH!$P$21=1,1219+1=AH!$P$11),TODAY(),IF(AH!$P$10=1,INDEX('Live History'!$A$5:$A$3004,AH!$P$13+1219),INDEX('AH History'!$A$1:$A$18046,AH!$P$7+1219))),""))</ns0:f>
        <ns0:v/>
      </ns0:c>
      <ns0:c r="B1224" s="219">
        <ns0:f>IFERROR(IF(AND(AH!$P$9&lt;&gt;1,$C1224&gt;0,$D1224&gt;0,$E1224&gt;0,$F1224&gt;0,$G1224&gt;0,$F1224&lt;=$A1224,$G1224&lt;=$A1224,$A1224-$F1224&lt;=10,$A1224-$G1224&lt;=5),$D1224*$E1224/$C1224-1,NA()),NA())</ns0:f>
        <ns0:v/>
      </ns0:c>
      <ns0:c r="C1224">
        <ns0:f>IFERROR(IF(ISNUMBER($A1224),IF(AND(AH!$P$10=1,AH!$P$12=1,$A1224=TODAY()),AH!$P$19,IF(AH!$P$10=1,INDEX('Live History'!$B$5:$B$3004,AH!$P$13+1219),INDEX('AH History'!$B$1:$B$18046,AH!$P$7+1219))),NA()),NA())</ns0:f>
        <ns0:v/>
      </ns0:c>
      <ns0:c r="D1224">
        <ns0:f>IFERROR(IF(ISNUMBER($A1224),IF(AND(AH!$P$10=1,AH!$P$12=1,$A1224=TODAY()),AH!$P$18,IF(AH!$P$10=1,INDEX('Live History'!$E$5:$E$3004,MATCH($A1224,'Live History'!$D$5:$D$3004,1)),INDEX('AH History'!$C$1:$C$18046,AH!$P$7+1219))),NA()),NA())</ns0:f>
        <ns0:v/>
      </ns0:c>
      <ns0:c r="E1224">
        <ns0:f>IFERROR(IF(ISNUMBER($A1224),IF(AND(AH!$P$10=1,AH!$P$12=1,$A1224=TODAY()),AH!$P$20,IF(AH!$P$10=1,INDEX('Live History'!$H$5:$H$3004,MATCH($A1224,'Live History'!$G$5:$G$3004,1)),INDEX('AH History'!$D$1:$D$18046,AH!$P$7+1219))),NA()),NA())</ns0:f>
        <ns0:v/>
      </ns0:c>
      <ns0:c r="F1224">
        <ns0:f>IFERROR(IF(ISNUMBER($A1224),IF(AND(AH!$P$10=1,AH!$P$12=1,$A1224=TODAY()),IF(AND(AH!$P$10=1,AH!$P$12=1,$A1224=TODAY()),TODAY(),NA()),IF(AH!$P$10=1,INDEX('Live History'!$D$5:$D$3004,MATCH($A1224,'Live History'!$D$5:$D$3004,1)),INDEX('AH History'!$E$1:$E$18046,AH!$P$7+1219))),NA()),NA())</ns0:f>
        <ns0:v/>
      </ns0:c>
      <ns0:c r="G1224">
        <ns0:f>IFERROR(IF(ISNUMBER($A1224),IF(AND(AH!$P$10=1,AH!$P$12=1,$A1224=TODAY()),IF(AND(AH!$P$10=1,AH!$P$12=1,$A1224=TODAY()),TODAY(),NA()),IF(AH!$P$10=1,INDEX('Live History'!$G$5:$G$3004,MATCH($A1224,'Live History'!$G$5:$G$3004,1)),INDEX('AH History'!$F$1:$F$18046,AH!$P$7+1219))),NA()),NA())</ns0:f>
        <ns0:v/>
      </ns0:c>
      <ns0:c r="H1224">
        <ns0:f>IFERROR(IF(AND(AH!$E$4="Bloomberg",AH!$P$10=1,ISNUMBER($A1224),$A1224&lt;=AH!$P$17),AH!$P$7-1+MATCH($A1224,INDEX('AH History'!$A$1:$A$18046,AH!$P$7):INDEX('AH History'!$A$1:$A$18046,AH!$P$7+AH!$P$8-1),0),0),0)</ns0:f>
        <ns0:v/>
      </ns0:c>
      <ns0:c r="I1224">
        <ns0:f>IF($H1224=0,0,IFERROR(IF(AND(ABS($C1224-INDEX('AH History'!$B$1:$B$18046,$H1224))&lt;=MAX(0.005,ABS(INDEX('AH History'!$B$1:$B$18046,$H1224))*0.00005),ABS($D1224-INDEX('AH History'!$C$1:$C$18046,$H1224))&lt;=MAX(0.005,ABS(INDEX('AH History'!$C$1:$C$18046,$H1224))*0.00005),ABS($E1224-INDEX('AH History'!$D$1:$D$18046,$H1224))&lt;=0.00005,$F1224=INDEX('AH History'!$E$1:$E$18046,$H1224),$G1224=INDEX('AH History'!$F$1:$F$18046,$H1224)),1,-1),-1))</ns0:f>
        <ns0:v/>
      </ns0:c>
    </ns0:row>
    <ns0:row r="1225">
      <ns0:c r="A1225" s="215">
        <ns0:f>IF(OR(AH!$P$3=0,1220+1&gt;AH!$P$11,AND(AH!$E$4&lt;&gt;"Stored",AH!$P$10&lt;&gt;1)),"",IFERROR(IF(AND(AH!$P$21=1,1220+1=AH!$P$11),TODAY(),IF(AH!$P$10=1,INDEX('Live History'!$A$5:$A$3004,AH!$P$13+1220),INDEX('AH History'!$A$1:$A$18046,AH!$P$7+1220))),""))</ns0:f>
        <ns0:v/>
      </ns0:c>
      <ns0:c r="B1225" s="219">
        <ns0:f>IFERROR(IF(AND(AH!$P$9&lt;&gt;1,$C1225&gt;0,$D1225&gt;0,$E1225&gt;0,$F1225&gt;0,$G1225&gt;0,$F1225&lt;=$A1225,$G1225&lt;=$A1225,$A1225-$F1225&lt;=10,$A1225-$G1225&lt;=5),$D1225*$E1225/$C1225-1,NA()),NA())</ns0:f>
        <ns0:v/>
      </ns0:c>
      <ns0:c r="C1225">
        <ns0:f>IFERROR(IF(ISNUMBER($A1225),IF(AND(AH!$P$10=1,AH!$P$12=1,$A1225=TODAY()),AH!$P$19,IF(AH!$P$10=1,INDEX('Live History'!$B$5:$B$3004,AH!$P$13+1220),INDEX('AH History'!$B$1:$B$18046,AH!$P$7+1220))),NA()),NA())</ns0:f>
        <ns0:v/>
      </ns0:c>
      <ns0:c r="D1225">
        <ns0:f>IFERROR(IF(ISNUMBER($A1225),IF(AND(AH!$P$10=1,AH!$P$12=1,$A1225=TODAY()),AH!$P$18,IF(AH!$P$10=1,INDEX('Live History'!$E$5:$E$3004,MATCH($A1225,'Live History'!$D$5:$D$3004,1)),INDEX('AH History'!$C$1:$C$18046,AH!$P$7+1220))),NA()),NA())</ns0:f>
        <ns0:v/>
      </ns0:c>
      <ns0:c r="E1225">
        <ns0:f>IFERROR(IF(ISNUMBER($A1225),IF(AND(AH!$P$10=1,AH!$P$12=1,$A1225=TODAY()),AH!$P$20,IF(AH!$P$10=1,INDEX('Live History'!$H$5:$H$3004,MATCH($A1225,'Live History'!$G$5:$G$3004,1)),INDEX('AH History'!$D$1:$D$18046,AH!$P$7+1220))),NA()),NA())</ns0:f>
        <ns0:v/>
      </ns0:c>
      <ns0:c r="F1225">
        <ns0:f>IFERROR(IF(ISNUMBER($A1225),IF(AND(AH!$P$10=1,AH!$P$12=1,$A1225=TODAY()),IF(AND(AH!$P$10=1,AH!$P$12=1,$A1225=TODAY()),TODAY(),NA()),IF(AH!$P$10=1,INDEX('Live History'!$D$5:$D$3004,MATCH($A1225,'Live History'!$D$5:$D$3004,1)),INDEX('AH History'!$E$1:$E$18046,AH!$P$7+1220))),NA()),NA())</ns0:f>
        <ns0:v/>
      </ns0:c>
      <ns0:c r="G1225">
        <ns0:f>IFERROR(IF(ISNUMBER($A1225),IF(AND(AH!$P$10=1,AH!$P$12=1,$A1225=TODAY()),IF(AND(AH!$P$10=1,AH!$P$12=1,$A1225=TODAY()),TODAY(),NA()),IF(AH!$P$10=1,INDEX('Live History'!$G$5:$G$3004,MATCH($A1225,'Live History'!$G$5:$G$3004,1)),INDEX('AH History'!$F$1:$F$18046,AH!$P$7+1220))),NA()),NA())</ns0:f>
        <ns0:v/>
      </ns0:c>
      <ns0:c r="H1225">
        <ns0:f>IFERROR(IF(AND(AH!$E$4="Bloomberg",AH!$P$10=1,ISNUMBER($A1225),$A1225&lt;=AH!$P$17),AH!$P$7-1+MATCH($A1225,INDEX('AH History'!$A$1:$A$18046,AH!$P$7):INDEX('AH History'!$A$1:$A$18046,AH!$P$7+AH!$P$8-1),0),0),0)</ns0:f>
        <ns0:v/>
      </ns0:c>
      <ns0:c r="I1225">
        <ns0:f>IF($H1225=0,0,IFERROR(IF(AND(ABS($C1225-INDEX('AH History'!$B$1:$B$18046,$H1225))&lt;=MAX(0.005,ABS(INDEX('AH History'!$B$1:$B$18046,$H1225))*0.00005),ABS($D1225-INDEX('AH History'!$C$1:$C$18046,$H1225))&lt;=MAX(0.005,ABS(INDEX('AH History'!$C$1:$C$18046,$H1225))*0.00005),ABS($E1225-INDEX('AH History'!$D$1:$D$18046,$H1225))&lt;=0.00005,$F1225=INDEX('AH History'!$E$1:$E$18046,$H1225),$G1225=INDEX('AH History'!$F$1:$F$18046,$H1225)),1,-1),-1))</ns0:f>
        <ns0:v/>
      </ns0:c>
    </ns0:row>
    <ns0:row r="1226">
      <ns0:c r="A1226" s="215">
        <ns0:f>IF(OR(AH!$P$3=0,1221+1&gt;AH!$P$11,AND(AH!$E$4&lt;&gt;"Stored",AH!$P$10&lt;&gt;1)),"",IFERROR(IF(AND(AH!$P$21=1,1221+1=AH!$P$11),TODAY(),IF(AH!$P$10=1,INDEX('Live History'!$A$5:$A$3004,AH!$P$13+1221),INDEX('AH History'!$A$1:$A$18046,AH!$P$7+1221))),""))</ns0:f>
        <ns0:v/>
      </ns0:c>
      <ns0:c r="B1226" s="219">
        <ns0:f>IFERROR(IF(AND(AH!$P$9&lt;&gt;1,$C1226&gt;0,$D1226&gt;0,$E1226&gt;0,$F1226&gt;0,$G1226&gt;0,$F1226&lt;=$A1226,$G1226&lt;=$A1226,$A1226-$F1226&lt;=10,$A1226-$G1226&lt;=5),$D1226*$E1226/$C1226-1,NA()),NA())</ns0:f>
        <ns0:v/>
      </ns0:c>
      <ns0:c r="C1226">
        <ns0:f>IFERROR(IF(ISNUMBER($A1226),IF(AND(AH!$P$10=1,AH!$P$12=1,$A1226=TODAY()),AH!$P$19,IF(AH!$P$10=1,INDEX('Live History'!$B$5:$B$3004,AH!$P$13+1221),INDEX('AH History'!$B$1:$B$18046,AH!$P$7+1221))),NA()),NA())</ns0:f>
        <ns0:v/>
      </ns0:c>
      <ns0:c r="D1226">
        <ns0:f>IFERROR(IF(ISNUMBER($A1226),IF(AND(AH!$P$10=1,AH!$P$12=1,$A1226=TODAY()),AH!$P$18,IF(AH!$P$10=1,INDEX('Live History'!$E$5:$E$3004,MATCH($A1226,'Live History'!$D$5:$D$3004,1)),INDEX('AH History'!$C$1:$C$18046,AH!$P$7+1221))),NA()),NA())</ns0:f>
        <ns0:v/>
      </ns0:c>
      <ns0:c r="E1226">
        <ns0:f>IFERROR(IF(ISNUMBER($A1226),IF(AND(AH!$P$10=1,AH!$P$12=1,$A1226=TODAY()),AH!$P$20,IF(AH!$P$10=1,INDEX('Live History'!$H$5:$H$3004,MATCH($A1226,'Live History'!$G$5:$G$3004,1)),INDEX('AH History'!$D$1:$D$18046,AH!$P$7+1221))),NA()),NA())</ns0:f>
        <ns0:v/>
      </ns0:c>
      <ns0:c r="F1226">
        <ns0:f>IFERROR(IF(ISNUMBER($A1226),IF(AND(AH!$P$10=1,AH!$P$12=1,$A1226=TODAY()),IF(AND(AH!$P$10=1,AH!$P$12=1,$A1226=TODAY()),TODAY(),NA()),IF(AH!$P$10=1,INDEX('Live History'!$D$5:$D$3004,MATCH($A1226,'Live History'!$D$5:$D$3004,1)),INDEX('AH History'!$E$1:$E$18046,AH!$P$7+1221))),NA()),NA())</ns0:f>
        <ns0:v/>
      </ns0:c>
      <ns0:c r="G1226">
        <ns0:f>IFERROR(IF(ISNUMBER($A1226),IF(AND(AH!$P$10=1,AH!$P$12=1,$A1226=TODAY()),IF(AND(AH!$P$10=1,AH!$P$12=1,$A1226=TODAY()),TODAY(),NA()),IF(AH!$P$10=1,INDEX('Live History'!$G$5:$G$3004,MATCH($A1226,'Live History'!$G$5:$G$3004,1)),INDEX('AH History'!$F$1:$F$18046,AH!$P$7+1221))),NA()),NA())</ns0:f>
        <ns0:v/>
      </ns0:c>
      <ns0:c r="H1226">
        <ns0:f>IFERROR(IF(AND(AH!$E$4="Bloomberg",AH!$P$10=1,ISNUMBER($A1226),$A1226&lt;=AH!$P$17),AH!$P$7-1+MATCH($A1226,INDEX('AH History'!$A$1:$A$18046,AH!$P$7):INDEX('AH History'!$A$1:$A$18046,AH!$P$7+AH!$P$8-1),0),0),0)</ns0:f>
        <ns0:v/>
      </ns0:c>
      <ns0:c r="I1226">
        <ns0:f>IF($H1226=0,0,IFERROR(IF(AND(ABS($C1226-INDEX('AH History'!$B$1:$B$18046,$H1226))&lt;=MAX(0.005,ABS(INDEX('AH History'!$B$1:$B$18046,$H1226))*0.00005),ABS($D1226-INDEX('AH History'!$C$1:$C$18046,$H1226))&lt;=MAX(0.005,ABS(INDEX('AH History'!$C$1:$C$18046,$H1226))*0.00005),ABS($E1226-INDEX('AH History'!$D$1:$D$18046,$H1226))&lt;=0.00005,$F1226=INDEX('AH History'!$E$1:$E$18046,$H1226),$G1226=INDEX('AH History'!$F$1:$F$18046,$H1226)),1,-1),-1))</ns0:f>
        <ns0:v/>
      </ns0:c>
    </ns0:row>
    <ns0:row r="1227">
      <ns0:c r="A1227" s="215">
        <ns0:f>IF(OR(AH!$P$3=0,1222+1&gt;AH!$P$11,AND(AH!$E$4&lt;&gt;"Stored",AH!$P$10&lt;&gt;1)),"",IFERROR(IF(AND(AH!$P$21=1,1222+1=AH!$P$11),TODAY(),IF(AH!$P$10=1,INDEX('Live History'!$A$5:$A$3004,AH!$P$13+1222),INDEX('AH History'!$A$1:$A$18046,AH!$P$7+1222))),""))</ns0:f>
        <ns0:v/>
      </ns0:c>
      <ns0:c r="B1227" s="219">
        <ns0:f>IFERROR(IF(AND(AH!$P$9&lt;&gt;1,$C1227&gt;0,$D1227&gt;0,$E1227&gt;0,$F1227&gt;0,$G1227&gt;0,$F1227&lt;=$A1227,$G1227&lt;=$A1227,$A1227-$F1227&lt;=10,$A1227-$G1227&lt;=5),$D1227*$E1227/$C1227-1,NA()),NA())</ns0:f>
        <ns0:v/>
      </ns0:c>
      <ns0:c r="C1227">
        <ns0:f>IFERROR(IF(ISNUMBER($A1227),IF(AND(AH!$P$10=1,AH!$P$12=1,$A1227=TODAY()),AH!$P$19,IF(AH!$P$10=1,INDEX('Live History'!$B$5:$B$3004,AH!$P$13+1222),INDEX('AH History'!$B$1:$B$18046,AH!$P$7+1222))),NA()),NA())</ns0:f>
        <ns0:v/>
      </ns0:c>
      <ns0:c r="D1227">
        <ns0:f>IFERROR(IF(ISNUMBER($A1227),IF(AND(AH!$P$10=1,AH!$P$12=1,$A1227=TODAY()),AH!$P$18,IF(AH!$P$10=1,INDEX('Live History'!$E$5:$E$3004,MATCH($A1227,'Live History'!$D$5:$D$3004,1)),INDEX('AH History'!$C$1:$C$18046,AH!$P$7+1222))),NA()),NA())</ns0:f>
        <ns0:v/>
      </ns0:c>
      <ns0:c r="E1227">
        <ns0:f>IFERROR(IF(ISNUMBER($A1227),IF(AND(AH!$P$10=1,AH!$P$12=1,$A1227=TODAY()),AH!$P$20,IF(AH!$P$10=1,INDEX('Live History'!$H$5:$H$3004,MATCH($A1227,'Live History'!$G$5:$G$3004,1)),INDEX('AH History'!$D$1:$D$18046,AH!$P$7+1222))),NA()),NA())</ns0:f>
        <ns0:v/>
      </ns0:c>
      <ns0:c r="F1227">
        <ns0:f>IFERROR(IF(ISNUMBER($A1227),IF(AND(AH!$P$10=1,AH!$P$12=1,$A1227=TODAY()),IF(AND(AH!$P$10=1,AH!$P$12=1,$A1227=TODAY()),TODAY(),NA()),IF(AH!$P$10=1,INDEX('Live History'!$D$5:$D$3004,MATCH($A1227,'Live History'!$D$5:$D$3004,1)),INDEX('AH History'!$E$1:$E$18046,AH!$P$7+1222))),NA()),NA())</ns0:f>
        <ns0:v/>
      </ns0:c>
      <ns0:c r="G1227">
        <ns0:f>IFERROR(IF(ISNUMBER($A1227),IF(AND(AH!$P$10=1,AH!$P$12=1,$A1227=TODAY()),IF(AND(AH!$P$10=1,AH!$P$12=1,$A1227=TODAY()),TODAY(),NA()),IF(AH!$P$10=1,INDEX('Live History'!$G$5:$G$3004,MATCH($A1227,'Live History'!$G$5:$G$3004,1)),INDEX('AH History'!$F$1:$F$18046,AH!$P$7+1222))),NA()),NA())</ns0:f>
        <ns0:v/>
      </ns0:c>
      <ns0:c r="H1227">
        <ns0:f>IFERROR(IF(AND(AH!$E$4="Bloomberg",AH!$P$10=1,ISNUMBER($A1227),$A1227&lt;=AH!$P$17),AH!$P$7-1+MATCH($A1227,INDEX('AH History'!$A$1:$A$18046,AH!$P$7):INDEX('AH History'!$A$1:$A$18046,AH!$P$7+AH!$P$8-1),0),0),0)</ns0:f>
        <ns0:v/>
      </ns0:c>
      <ns0:c r="I1227">
        <ns0:f>IF($H1227=0,0,IFERROR(IF(AND(ABS($C1227-INDEX('AH History'!$B$1:$B$18046,$H1227))&lt;=MAX(0.005,ABS(INDEX('AH History'!$B$1:$B$18046,$H1227))*0.00005),ABS($D1227-INDEX('AH History'!$C$1:$C$18046,$H1227))&lt;=MAX(0.005,ABS(INDEX('AH History'!$C$1:$C$18046,$H1227))*0.00005),ABS($E1227-INDEX('AH History'!$D$1:$D$18046,$H1227))&lt;=0.00005,$F1227=INDEX('AH History'!$E$1:$E$18046,$H1227),$G1227=INDEX('AH History'!$F$1:$F$18046,$H1227)),1,-1),-1))</ns0:f>
        <ns0:v/>
      </ns0:c>
    </ns0:row>
    <ns0:row r="1228">
      <ns0:c r="A1228" s="215">
        <ns0:f>IF(OR(AH!$P$3=0,1223+1&gt;AH!$P$11,AND(AH!$E$4&lt;&gt;"Stored",AH!$P$10&lt;&gt;1)),"",IFERROR(IF(AND(AH!$P$21=1,1223+1=AH!$P$11),TODAY(),IF(AH!$P$10=1,INDEX('Live History'!$A$5:$A$3004,AH!$P$13+1223),INDEX('AH History'!$A$1:$A$18046,AH!$P$7+1223))),""))</ns0:f>
        <ns0:v/>
      </ns0:c>
      <ns0:c r="B1228" s="219">
        <ns0:f>IFERROR(IF(AND(AH!$P$9&lt;&gt;1,$C1228&gt;0,$D1228&gt;0,$E1228&gt;0,$F1228&gt;0,$G1228&gt;0,$F1228&lt;=$A1228,$G1228&lt;=$A1228,$A1228-$F1228&lt;=10,$A1228-$G1228&lt;=5),$D1228*$E1228/$C1228-1,NA()),NA())</ns0:f>
        <ns0:v/>
      </ns0:c>
      <ns0:c r="C1228">
        <ns0:f>IFERROR(IF(ISNUMBER($A1228),IF(AND(AH!$P$10=1,AH!$P$12=1,$A1228=TODAY()),AH!$P$19,IF(AH!$P$10=1,INDEX('Live History'!$B$5:$B$3004,AH!$P$13+1223),INDEX('AH History'!$B$1:$B$18046,AH!$P$7+1223))),NA()),NA())</ns0:f>
        <ns0:v/>
      </ns0:c>
      <ns0:c r="D1228">
        <ns0:f>IFERROR(IF(ISNUMBER($A1228),IF(AND(AH!$P$10=1,AH!$P$12=1,$A1228=TODAY()),AH!$P$18,IF(AH!$P$10=1,INDEX('Live History'!$E$5:$E$3004,MATCH($A1228,'Live History'!$D$5:$D$3004,1)),INDEX('AH History'!$C$1:$C$18046,AH!$P$7+1223))),NA()),NA())</ns0:f>
        <ns0:v/>
      </ns0:c>
      <ns0:c r="E1228">
        <ns0:f>IFERROR(IF(ISNUMBER($A1228),IF(AND(AH!$P$10=1,AH!$P$12=1,$A1228=TODAY()),AH!$P$20,IF(AH!$P$10=1,INDEX('Live History'!$H$5:$H$3004,MATCH($A1228,'Live History'!$G$5:$G$3004,1)),INDEX('AH History'!$D$1:$D$18046,AH!$P$7+1223))),NA()),NA())</ns0:f>
        <ns0:v/>
      </ns0:c>
      <ns0:c r="F1228">
        <ns0:f>IFERROR(IF(ISNUMBER($A1228),IF(AND(AH!$P$10=1,AH!$P$12=1,$A1228=TODAY()),IF(AND(AH!$P$10=1,AH!$P$12=1,$A1228=TODAY()),TODAY(),NA()),IF(AH!$P$10=1,INDEX('Live History'!$D$5:$D$3004,MATCH($A1228,'Live History'!$D$5:$D$3004,1)),INDEX('AH History'!$E$1:$E$18046,AH!$P$7+1223))),NA()),NA())</ns0:f>
        <ns0:v/>
      </ns0:c>
      <ns0:c r="G1228">
        <ns0:f>IFERROR(IF(ISNUMBER($A1228),IF(AND(AH!$P$10=1,AH!$P$12=1,$A1228=TODAY()),IF(AND(AH!$P$10=1,AH!$P$12=1,$A1228=TODAY()),TODAY(),NA()),IF(AH!$P$10=1,INDEX('Live History'!$G$5:$G$3004,MATCH($A1228,'Live History'!$G$5:$G$3004,1)),INDEX('AH History'!$F$1:$F$18046,AH!$P$7+1223))),NA()),NA())</ns0:f>
        <ns0:v/>
      </ns0:c>
      <ns0:c r="H1228">
        <ns0:f>IFERROR(IF(AND(AH!$E$4="Bloomberg",AH!$P$10=1,ISNUMBER($A1228),$A1228&lt;=AH!$P$17),AH!$P$7-1+MATCH($A1228,INDEX('AH History'!$A$1:$A$18046,AH!$P$7):INDEX('AH History'!$A$1:$A$18046,AH!$P$7+AH!$P$8-1),0),0),0)</ns0:f>
        <ns0:v/>
      </ns0:c>
      <ns0:c r="I1228">
        <ns0:f>IF($H1228=0,0,IFERROR(IF(AND(ABS($C1228-INDEX('AH History'!$B$1:$B$18046,$H1228))&lt;=MAX(0.005,ABS(INDEX('AH History'!$B$1:$B$18046,$H1228))*0.00005),ABS($D1228-INDEX('AH History'!$C$1:$C$18046,$H1228))&lt;=MAX(0.005,ABS(INDEX('AH History'!$C$1:$C$18046,$H1228))*0.00005),ABS($E1228-INDEX('AH History'!$D$1:$D$18046,$H1228))&lt;=0.00005,$F1228=INDEX('AH History'!$E$1:$E$18046,$H1228),$G1228=INDEX('AH History'!$F$1:$F$18046,$H1228)),1,-1),-1))</ns0:f>
        <ns0:v/>
      </ns0:c>
    </ns0:row>
    <ns0:row r="1229">
      <ns0:c r="A1229" s="215">
        <ns0:f>IF(OR(AH!$P$3=0,1224+1&gt;AH!$P$11,AND(AH!$E$4&lt;&gt;"Stored",AH!$P$10&lt;&gt;1)),"",IFERROR(IF(AND(AH!$P$21=1,1224+1=AH!$P$11),TODAY(),IF(AH!$P$10=1,INDEX('Live History'!$A$5:$A$3004,AH!$P$13+1224),INDEX('AH History'!$A$1:$A$18046,AH!$P$7+1224))),""))</ns0:f>
        <ns0:v/>
      </ns0:c>
      <ns0:c r="B1229" s="219">
        <ns0:f>IFERROR(IF(AND(AH!$P$9&lt;&gt;1,$C1229&gt;0,$D1229&gt;0,$E1229&gt;0,$F1229&gt;0,$G1229&gt;0,$F1229&lt;=$A1229,$G1229&lt;=$A1229,$A1229-$F1229&lt;=10,$A1229-$G1229&lt;=5),$D1229*$E1229/$C1229-1,NA()),NA())</ns0:f>
        <ns0:v/>
      </ns0:c>
      <ns0:c r="C1229">
        <ns0:f>IFERROR(IF(ISNUMBER($A1229),IF(AND(AH!$P$10=1,AH!$P$12=1,$A1229=TODAY()),AH!$P$19,IF(AH!$P$10=1,INDEX('Live History'!$B$5:$B$3004,AH!$P$13+1224),INDEX('AH History'!$B$1:$B$18046,AH!$P$7+1224))),NA()),NA())</ns0:f>
        <ns0:v/>
      </ns0:c>
      <ns0:c r="D1229">
        <ns0:f>IFERROR(IF(ISNUMBER($A1229),IF(AND(AH!$P$10=1,AH!$P$12=1,$A1229=TODAY()),AH!$P$18,IF(AH!$P$10=1,INDEX('Live History'!$E$5:$E$3004,MATCH($A1229,'Live History'!$D$5:$D$3004,1)),INDEX('AH History'!$C$1:$C$18046,AH!$P$7+1224))),NA()),NA())</ns0:f>
        <ns0:v/>
      </ns0:c>
      <ns0:c r="E1229">
        <ns0:f>IFERROR(IF(ISNUMBER($A1229),IF(AND(AH!$P$10=1,AH!$P$12=1,$A1229=TODAY()),AH!$P$20,IF(AH!$P$10=1,INDEX('Live History'!$H$5:$H$3004,MATCH($A1229,'Live History'!$G$5:$G$3004,1)),INDEX('AH History'!$D$1:$D$18046,AH!$P$7+1224))),NA()),NA())</ns0:f>
        <ns0:v/>
      </ns0:c>
      <ns0:c r="F1229">
        <ns0:f>IFERROR(IF(ISNUMBER($A1229),IF(AND(AH!$P$10=1,AH!$P$12=1,$A1229=TODAY()),IF(AND(AH!$P$10=1,AH!$P$12=1,$A1229=TODAY()),TODAY(),NA()),IF(AH!$P$10=1,INDEX('Live History'!$D$5:$D$3004,MATCH($A1229,'Live History'!$D$5:$D$3004,1)),INDEX('AH History'!$E$1:$E$18046,AH!$P$7+1224))),NA()),NA())</ns0:f>
        <ns0:v/>
      </ns0:c>
      <ns0:c r="G1229">
        <ns0:f>IFERROR(IF(ISNUMBER($A1229),IF(AND(AH!$P$10=1,AH!$P$12=1,$A1229=TODAY()),IF(AND(AH!$P$10=1,AH!$P$12=1,$A1229=TODAY()),TODAY(),NA()),IF(AH!$P$10=1,INDEX('Live History'!$G$5:$G$3004,MATCH($A1229,'Live History'!$G$5:$G$3004,1)),INDEX('AH History'!$F$1:$F$18046,AH!$P$7+1224))),NA()),NA())</ns0:f>
        <ns0:v/>
      </ns0:c>
      <ns0:c r="H1229">
        <ns0:f>IFERROR(IF(AND(AH!$E$4="Bloomberg",AH!$P$10=1,ISNUMBER($A1229),$A1229&lt;=AH!$P$17),AH!$P$7-1+MATCH($A1229,INDEX('AH History'!$A$1:$A$18046,AH!$P$7):INDEX('AH History'!$A$1:$A$18046,AH!$P$7+AH!$P$8-1),0),0),0)</ns0:f>
        <ns0:v/>
      </ns0:c>
      <ns0:c r="I1229">
        <ns0:f>IF($H1229=0,0,IFERROR(IF(AND(ABS($C1229-INDEX('AH History'!$B$1:$B$18046,$H1229))&lt;=MAX(0.005,ABS(INDEX('AH History'!$B$1:$B$18046,$H1229))*0.00005),ABS($D1229-INDEX('AH History'!$C$1:$C$18046,$H1229))&lt;=MAX(0.005,ABS(INDEX('AH History'!$C$1:$C$18046,$H1229))*0.00005),ABS($E1229-INDEX('AH History'!$D$1:$D$18046,$H1229))&lt;=0.00005,$F1229=INDEX('AH History'!$E$1:$E$18046,$H1229),$G1229=INDEX('AH History'!$F$1:$F$18046,$H1229)),1,-1),-1))</ns0:f>
        <ns0:v/>
      </ns0:c>
    </ns0:row>
    <ns0:row r="1230">
      <ns0:c r="A1230" s="215">
        <ns0:f>IF(OR(AH!$P$3=0,1225+1&gt;AH!$P$11,AND(AH!$E$4&lt;&gt;"Stored",AH!$P$10&lt;&gt;1)),"",IFERROR(IF(AND(AH!$P$21=1,1225+1=AH!$P$11),TODAY(),IF(AH!$P$10=1,INDEX('Live History'!$A$5:$A$3004,AH!$P$13+1225),INDEX('AH History'!$A$1:$A$18046,AH!$P$7+1225))),""))</ns0:f>
        <ns0:v/>
      </ns0:c>
      <ns0:c r="B1230" s="219">
        <ns0:f>IFERROR(IF(AND(AH!$P$9&lt;&gt;1,$C1230&gt;0,$D1230&gt;0,$E1230&gt;0,$F1230&gt;0,$G1230&gt;0,$F1230&lt;=$A1230,$G1230&lt;=$A1230,$A1230-$F1230&lt;=10,$A1230-$G1230&lt;=5),$D1230*$E1230/$C1230-1,NA()),NA())</ns0:f>
        <ns0:v/>
      </ns0:c>
      <ns0:c r="C1230">
        <ns0:f>IFERROR(IF(ISNUMBER($A1230),IF(AND(AH!$P$10=1,AH!$P$12=1,$A1230=TODAY()),AH!$P$19,IF(AH!$P$10=1,INDEX('Live History'!$B$5:$B$3004,AH!$P$13+1225),INDEX('AH History'!$B$1:$B$18046,AH!$P$7+1225))),NA()),NA())</ns0:f>
        <ns0:v/>
      </ns0:c>
      <ns0:c r="D1230">
        <ns0:f>IFERROR(IF(ISNUMBER($A1230),IF(AND(AH!$P$10=1,AH!$P$12=1,$A1230=TODAY()),AH!$P$18,IF(AH!$P$10=1,INDEX('Live History'!$E$5:$E$3004,MATCH($A1230,'Live History'!$D$5:$D$3004,1)),INDEX('AH History'!$C$1:$C$18046,AH!$P$7+1225))),NA()),NA())</ns0:f>
        <ns0:v/>
      </ns0:c>
      <ns0:c r="E1230">
        <ns0:f>IFERROR(IF(ISNUMBER($A1230),IF(AND(AH!$P$10=1,AH!$P$12=1,$A1230=TODAY()),AH!$P$20,IF(AH!$P$10=1,INDEX('Live History'!$H$5:$H$3004,MATCH($A1230,'Live History'!$G$5:$G$3004,1)),INDEX('AH History'!$D$1:$D$18046,AH!$P$7+1225))),NA()),NA())</ns0:f>
        <ns0:v/>
      </ns0:c>
      <ns0:c r="F1230">
        <ns0:f>IFERROR(IF(ISNUMBER($A1230),IF(AND(AH!$P$10=1,AH!$P$12=1,$A1230=TODAY()),IF(AND(AH!$P$10=1,AH!$P$12=1,$A1230=TODAY()),TODAY(),NA()),IF(AH!$P$10=1,INDEX('Live History'!$D$5:$D$3004,MATCH($A1230,'Live History'!$D$5:$D$3004,1)),INDEX('AH History'!$E$1:$E$18046,AH!$P$7+1225))),NA()),NA())</ns0:f>
        <ns0:v/>
      </ns0:c>
      <ns0:c r="G1230">
        <ns0:f>IFERROR(IF(ISNUMBER($A1230),IF(AND(AH!$P$10=1,AH!$P$12=1,$A1230=TODAY()),IF(AND(AH!$P$10=1,AH!$P$12=1,$A1230=TODAY()),TODAY(),NA()),IF(AH!$P$10=1,INDEX('Live History'!$G$5:$G$3004,MATCH($A1230,'Live History'!$G$5:$G$3004,1)),INDEX('AH History'!$F$1:$F$18046,AH!$P$7+1225))),NA()),NA())</ns0:f>
        <ns0:v/>
      </ns0:c>
      <ns0:c r="H1230">
        <ns0:f>IFERROR(IF(AND(AH!$E$4="Bloomberg",AH!$P$10=1,ISNUMBER($A1230),$A1230&lt;=AH!$P$17),AH!$P$7-1+MATCH($A1230,INDEX('AH History'!$A$1:$A$18046,AH!$P$7):INDEX('AH History'!$A$1:$A$18046,AH!$P$7+AH!$P$8-1),0),0),0)</ns0:f>
        <ns0:v/>
      </ns0:c>
      <ns0:c r="I1230">
        <ns0:f>IF($H1230=0,0,IFERROR(IF(AND(ABS($C1230-INDEX('AH History'!$B$1:$B$18046,$H1230))&lt;=MAX(0.005,ABS(INDEX('AH History'!$B$1:$B$18046,$H1230))*0.00005),ABS($D1230-INDEX('AH History'!$C$1:$C$18046,$H1230))&lt;=MAX(0.005,ABS(INDEX('AH History'!$C$1:$C$18046,$H1230))*0.00005),ABS($E1230-INDEX('AH History'!$D$1:$D$18046,$H1230))&lt;=0.00005,$F1230=INDEX('AH History'!$E$1:$E$18046,$H1230),$G1230=INDEX('AH History'!$F$1:$F$18046,$H1230)),1,-1),-1))</ns0:f>
        <ns0:v/>
      </ns0:c>
    </ns0:row>
    <ns0:row r="1231">
      <ns0:c r="A1231" s="215">
        <ns0:f>IF(OR(AH!$P$3=0,1226+1&gt;AH!$P$11,AND(AH!$E$4&lt;&gt;"Stored",AH!$P$10&lt;&gt;1)),"",IFERROR(IF(AND(AH!$P$21=1,1226+1=AH!$P$11),TODAY(),IF(AH!$P$10=1,INDEX('Live History'!$A$5:$A$3004,AH!$P$13+1226),INDEX('AH History'!$A$1:$A$18046,AH!$P$7+1226))),""))</ns0:f>
        <ns0:v/>
      </ns0:c>
      <ns0:c r="B1231" s="219">
        <ns0:f>IFERROR(IF(AND(AH!$P$9&lt;&gt;1,$C1231&gt;0,$D1231&gt;0,$E1231&gt;0,$F1231&gt;0,$G1231&gt;0,$F1231&lt;=$A1231,$G1231&lt;=$A1231,$A1231-$F1231&lt;=10,$A1231-$G1231&lt;=5),$D1231*$E1231/$C1231-1,NA()),NA())</ns0:f>
        <ns0:v/>
      </ns0:c>
      <ns0:c r="C1231">
        <ns0:f>IFERROR(IF(ISNUMBER($A1231),IF(AND(AH!$P$10=1,AH!$P$12=1,$A1231=TODAY()),AH!$P$19,IF(AH!$P$10=1,INDEX('Live History'!$B$5:$B$3004,AH!$P$13+1226),INDEX('AH History'!$B$1:$B$18046,AH!$P$7+1226))),NA()),NA())</ns0:f>
        <ns0:v/>
      </ns0:c>
      <ns0:c r="D1231">
        <ns0:f>IFERROR(IF(ISNUMBER($A1231),IF(AND(AH!$P$10=1,AH!$P$12=1,$A1231=TODAY()),AH!$P$18,IF(AH!$P$10=1,INDEX('Live History'!$E$5:$E$3004,MATCH($A1231,'Live History'!$D$5:$D$3004,1)),INDEX('AH History'!$C$1:$C$18046,AH!$P$7+1226))),NA()),NA())</ns0:f>
        <ns0:v/>
      </ns0:c>
      <ns0:c r="E1231">
        <ns0:f>IFERROR(IF(ISNUMBER($A1231),IF(AND(AH!$P$10=1,AH!$P$12=1,$A1231=TODAY()),AH!$P$20,IF(AH!$P$10=1,INDEX('Live History'!$H$5:$H$3004,MATCH($A1231,'Live History'!$G$5:$G$3004,1)),INDEX('AH History'!$D$1:$D$18046,AH!$P$7+1226))),NA()),NA())</ns0:f>
        <ns0:v/>
      </ns0:c>
      <ns0:c r="F1231">
        <ns0:f>IFERROR(IF(ISNUMBER($A1231),IF(AND(AH!$P$10=1,AH!$P$12=1,$A1231=TODAY()),IF(AND(AH!$P$10=1,AH!$P$12=1,$A1231=TODAY()),TODAY(),NA()),IF(AH!$P$10=1,INDEX('Live History'!$D$5:$D$3004,MATCH($A1231,'Live History'!$D$5:$D$3004,1)),INDEX('AH History'!$E$1:$E$18046,AH!$P$7+1226))),NA()),NA())</ns0:f>
        <ns0:v/>
      </ns0:c>
      <ns0:c r="G1231">
        <ns0:f>IFERROR(IF(ISNUMBER($A1231),IF(AND(AH!$P$10=1,AH!$P$12=1,$A1231=TODAY()),IF(AND(AH!$P$10=1,AH!$P$12=1,$A1231=TODAY()),TODAY(),NA()),IF(AH!$P$10=1,INDEX('Live History'!$G$5:$G$3004,MATCH($A1231,'Live History'!$G$5:$G$3004,1)),INDEX('AH History'!$F$1:$F$18046,AH!$P$7+1226))),NA()),NA())</ns0:f>
        <ns0:v/>
      </ns0:c>
      <ns0:c r="H1231">
        <ns0:f>IFERROR(IF(AND(AH!$E$4="Bloomberg",AH!$P$10=1,ISNUMBER($A1231),$A1231&lt;=AH!$P$17),AH!$P$7-1+MATCH($A1231,INDEX('AH History'!$A$1:$A$18046,AH!$P$7):INDEX('AH History'!$A$1:$A$18046,AH!$P$7+AH!$P$8-1),0),0),0)</ns0:f>
        <ns0:v/>
      </ns0:c>
      <ns0:c r="I1231">
        <ns0:f>IF($H1231=0,0,IFERROR(IF(AND(ABS($C1231-INDEX('AH History'!$B$1:$B$18046,$H1231))&lt;=MAX(0.005,ABS(INDEX('AH History'!$B$1:$B$18046,$H1231))*0.00005),ABS($D1231-INDEX('AH History'!$C$1:$C$18046,$H1231))&lt;=MAX(0.005,ABS(INDEX('AH History'!$C$1:$C$18046,$H1231))*0.00005),ABS($E1231-INDEX('AH History'!$D$1:$D$18046,$H1231))&lt;=0.00005,$F1231=INDEX('AH History'!$E$1:$E$18046,$H1231),$G1231=INDEX('AH History'!$F$1:$F$18046,$H1231)),1,-1),-1))</ns0:f>
        <ns0:v/>
      </ns0:c>
    </ns0:row>
    <ns0:row r="1232">
      <ns0:c r="A1232" s="215">
        <ns0:f>IF(OR(AH!$P$3=0,1227+1&gt;AH!$P$11,AND(AH!$E$4&lt;&gt;"Stored",AH!$P$10&lt;&gt;1)),"",IFERROR(IF(AND(AH!$P$21=1,1227+1=AH!$P$11),TODAY(),IF(AH!$P$10=1,INDEX('Live History'!$A$5:$A$3004,AH!$P$13+1227),INDEX('AH History'!$A$1:$A$18046,AH!$P$7+1227))),""))</ns0:f>
        <ns0:v/>
      </ns0:c>
      <ns0:c r="B1232" s="219">
        <ns0:f>IFERROR(IF(AND(AH!$P$9&lt;&gt;1,$C1232&gt;0,$D1232&gt;0,$E1232&gt;0,$F1232&gt;0,$G1232&gt;0,$F1232&lt;=$A1232,$G1232&lt;=$A1232,$A1232-$F1232&lt;=10,$A1232-$G1232&lt;=5),$D1232*$E1232/$C1232-1,NA()),NA())</ns0:f>
        <ns0:v/>
      </ns0:c>
      <ns0:c r="C1232">
        <ns0:f>IFERROR(IF(ISNUMBER($A1232),IF(AND(AH!$P$10=1,AH!$P$12=1,$A1232=TODAY()),AH!$P$19,IF(AH!$P$10=1,INDEX('Live History'!$B$5:$B$3004,AH!$P$13+1227),INDEX('AH History'!$B$1:$B$18046,AH!$P$7+1227))),NA()),NA())</ns0:f>
        <ns0:v/>
      </ns0:c>
      <ns0:c r="D1232">
        <ns0:f>IFERROR(IF(ISNUMBER($A1232),IF(AND(AH!$P$10=1,AH!$P$12=1,$A1232=TODAY()),AH!$P$18,IF(AH!$P$10=1,INDEX('Live History'!$E$5:$E$3004,MATCH($A1232,'Live History'!$D$5:$D$3004,1)),INDEX('AH History'!$C$1:$C$18046,AH!$P$7+1227))),NA()),NA())</ns0:f>
        <ns0:v/>
      </ns0:c>
      <ns0:c r="E1232">
        <ns0:f>IFERROR(IF(ISNUMBER($A1232),IF(AND(AH!$P$10=1,AH!$P$12=1,$A1232=TODAY()),AH!$P$20,IF(AH!$P$10=1,INDEX('Live History'!$H$5:$H$3004,MATCH($A1232,'Live History'!$G$5:$G$3004,1)),INDEX('AH History'!$D$1:$D$18046,AH!$P$7+1227))),NA()),NA())</ns0:f>
        <ns0:v/>
      </ns0:c>
      <ns0:c r="F1232">
        <ns0:f>IFERROR(IF(ISNUMBER($A1232),IF(AND(AH!$P$10=1,AH!$P$12=1,$A1232=TODAY()),IF(AND(AH!$P$10=1,AH!$P$12=1,$A1232=TODAY()),TODAY(),NA()),IF(AH!$P$10=1,INDEX('Live History'!$D$5:$D$3004,MATCH($A1232,'Live History'!$D$5:$D$3004,1)),INDEX('AH History'!$E$1:$E$18046,AH!$P$7+1227))),NA()),NA())</ns0:f>
        <ns0:v/>
      </ns0:c>
      <ns0:c r="G1232">
        <ns0:f>IFERROR(IF(ISNUMBER($A1232),IF(AND(AH!$P$10=1,AH!$P$12=1,$A1232=TODAY()),IF(AND(AH!$P$10=1,AH!$P$12=1,$A1232=TODAY()),TODAY(),NA()),IF(AH!$P$10=1,INDEX('Live History'!$G$5:$G$3004,MATCH($A1232,'Live History'!$G$5:$G$3004,1)),INDEX('AH History'!$F$1:$F$18046,AH!$P$7+1227))),NA()),NA())</ns0:f>
        <ns0:v/>
      </ns0:c>
      <ns0:c r="H1232">
        <ns0:f>IFERROR(IF(AND(AH!$E$4="Bloomberg",AH!$P$10=1,ISNUMBER($A1232),$A1232&lt;=AH!$P$17),AH!$P$7-1+MATCH($A1232,INDEX('AH History'!$A$1:$A$18046,AH!$P$7):INDEX('AH History'!$A$1:$A$18046,AH!$P$7+AH!$P$8-1),0),0),0)</ns0:f>
        <ns0:v/>
      </ns0:c>
      <ns0:c r="I1232">
        <ns0:f>IF($H1232=0,0,IFERROR(IF(AND(ABS($C1232-INDEX('AH History'!$B$1:$B$18046,$H1232))&lt;=MAX(0.005,ABS(INDEX('AH History'!$B$1:$B$18046,$H1232))*0.00005),ABS($D1232-INDEX('AH History'!$C$1:$C$18046,$H1232))&lt;=MAX(0.005,ABS(INDEX('AH History'!$C$1:$C$18046,$H1232))*0.00005),ABS($E1232-INDEX('AH History'!$D$1:$D$18046,$H1232))&lt;=0.00005,$F1232=INDEX('AH History'!$E$1:$E$18046,$H1232),$G1232=INDEX('AH History'!$F$1:$F$18046,$H1232)),1,-1),-1))</ns0:f>
        <ns0:v/>
      </ns0:c>
    </ns0:row>
    <ns0:row r="1233">
      <ns0:c r="A1233" s="215">
        <ns0:f>IF(OR(AH!$P$3=0,1228+1&gt;AH!$P$11,AND(AH!$E$4&lt;&gt;"Stored",AH!$P$10&lt;&gt;1)),"",IFERROR(IF(AND(AH!$P$21=1,1228+1=AH!$P$11),TODAY(),IF(AH!$P$10=1,INDEX('Live History'!$A$5:$A$3004,AH!$P$13+1228),INDEX('AH History'!$A$1:$A$18046,AH!$P$7+1228))),""))</ns0:f>
        <ns0:v/>
      </ns0:c>
      <ns0:c r="B1233" s="219">
        <ns0:f>IFERROR(IF(AND(AH!$P$9&lt;&gt;1,$C1233&gt;0,$D1233&gt;0,$E1233&gt;0,$F1233&gt;0,$G1233&gt;0,$F1233&lt;=$A1233,$G1233&lt;=$A1233,$A1233-$F1233&lt;=10,$A1233-$G1233&lt;=5),$D1233*$E1233/$C1233-1,NA()),NA())</ns0:f>
        <ns0:v/>
      </ns0:c>
      <ns0:c r="C1233">
        <ns0:f>IFERROR(IF(ISNUMBER($A1233),IF(AND(AH!$P$10=1,AH!$P$12=1,$A1233=TODAY()),AH!$P$19,IF(AH!$P$10=1,INDEX('Live History'!$B$5:$B$3004,AH!$P$13+1228),INDEX('AH History'!$B$1:$B$18046,AH!$P$7+1228))),NA()),NA())</ns0:f>
        <ns0:v/>
      </ns0:c>
      <ns0:c r="D1233">
        <ns0:f>IFERROR(IF(ISNUMBER($A1233),IF(AND(AH!$P$10=1,AH!$P$12=1,$A1233=TODAY()),AH!$P$18,IF(AH!$P$10=1,INDEX('Live History'!$E$5:$E$3004,MATCH($A1233,'Live History'!$D$5:$D$3004,1)),INDEX('AH History'!$C$1:$C$18046,AH!$P$7+1228))),NA()),NA())</ns0:f>
        <ns0:v/>
      </ns0:c>
      <ns0:c r="E1233">
        <ns0:f>IFERROR(IF(ISNUMBER($A1233),IF(AND(AH!$P$10=1,AH!$P$12=1,$A1233=TODAY()),AH!$P$20,IF(AH!$P$10=1,INDEX('Live History'!$H$5:$H$3004,MATCH($A1233,'Live History'!$G$5:$G$3004,1)),INDEX('AH History'!$D$1:$D$18046,AH!$P$7+1228))),NA()),NA())</ns0:f>
        <ns0:v/>
      </ns0:c>
      <ns0:c r="F1233">
        <ns0:f>IFERROR(IF(ISNUMBER($A1233),IF(AND(AH!$P$10=1,AH!$P$12=1,$A1233=TODAY()),IF(AND(AH!$P$10=1,AH!$P$12=1,$A1233=TODAY()),TODAY(),NA()),IF(AH!$P$10=1,INDEX('Live History'!$D$5:$D$3004,MATCH($A1233,'Live History'!$D$5:$D$3004,1)),INDEX('AH History'!$E$1:$E$18046,AH!$P$7+1228))),NA()),NA())</ns0:f>
        <ns0:v/>
      </ns0:c>
      <ns0:c r="G1233">
        <ns0:f>IFERROR(IF(ISNUMBER($A1233),IF(AND(AH!$P$10=1,AH!$P$12=1,$A1233=TODAY()),IF(AND(AH!$P$10=1,AH!$P$12=1,$A1233=TODAY()),TODAY(),NA()),IF(AH!$P$10=1,INDEX('Live History'!$G$5:$G$3004,MATCH($A1233,'Live History'!$G$5:$G$3004,1)),INDEX('AH History'!$F$1:$F$18046,AH!$P$7+1228))),NA()),NA())</ns0:f>
        <ns0:v/>
      </ns0:c>
      <ns0:c r="H1233">
        <ns0:f>IFERROR(IF(AND(AH!$E$4="Bloomberg",AH!$P$10=1,ISNUMBER($A1233),$A1233&lt;=AH!$P$17),AH!$P$7-1+MATCH($A1233,INDEX('AH History'!$A$1:$A$18046,AH!$P$7):INDEX('AH History'!$A$1:$A$18046,AH!$P$7+AH!$P$8-1),0),0),0)</ns0:f>
        <ns0:v/>
      </ns0:c>
      <ns0:c r="I1233">
        <ns0:f>IF($H1233=0,0,IFERROR(IF(AND(ABS($C1233-INDEX('AH History'!$B$1:$B$18046,$H1233))&lt;=MAX(0.005,ABS(INDEX('AH History'!$B$1:$B$18046,$H1233))*0.00005),ABS($D1233-INDEX('AH History'!$C$1:$C$18046,$H1233))&lt;=MAX(0.005,ABS(INDEX('AH History'!$C$1:$C$18046,$H1233))*0.00005),ABS($E1233-INDEX('AH History'!$D$1:$D$18046,$H1233))&lt;=0.00005,$F1233=INDEX('AH History'!$E$1:$E$18046,$H1233),$G1233=INDEX('AH History'!$F$1:$F$18046,$H1233)),1,-1),-1))</ns0:f>
        <ns0:v/>
      </ns0:c>
    </ns0:row>
    <ns0:row r="1234">
      <ns0:c r="A1234" s="215">
        <ns0:f>IF(OR(AH!$P$3=0,1229+1&gt;AH!$P$11,AND(AH!$E$4&lt;&gt;"Stored",AH!$P$10&lt;&gt;1)),"",IFERROR(IF(AND(AH!$P$21=1,1229+1=AH!$P$11),TODAY(),IF(AH!$P$10=1,INDEX('Live History'!$A$5:$A$3004,AH!$P$13+1229),INDEX('AH History'!$A$1:$A$18046,AH!$P$7+1229))),""))</ns0:f>
        <ns0:v/>
      </ns0:c>
      <ns0:c r="B1234" s="219">
        <ns0:f>IFERROR(IF(AND(AH!$P$9&lt;&gt;1,$C1234&gt;0,$D1234&gt;0,$E1234&gt;0,$F1234&gt;0,$G1234&gt;0,$F1234&lt;=$A1234,$G1234&lt;=$A1234,$A1234-$F1234&lt;=10,$A1234-$G1234&lt;=5),$D1234*$E1234/$C1234-1,NA()),NA())</ns0:f>
        <ns0:v/>
      </ns0:c>
      <ns0:c r="C1234">
        <ns0:f>IFERROR(IF(ISNUMBER($A1234),IF(AND(AH!$P$10=1,AH!$P$12=1,$A1234=TODAY()),AH!$P$19,IF(AH!$P$10=1,INDEX('Live History'!$B$5:$B$3004,AH!$P$13+1229),INDEX('AH History'!$B$1:$B$18046,AH!$P$7+1229))),NA()),NA())</ns0:f>
        <ns0:v/>
      </ns0:c>
      <ns0:c r="D1234">
        <ns0:f>IFERROR(IF(ISNUMBER($A1234),IF(AND(AH!$P$10=1,AH!$P$12=1,$A1234=TODAY()),AH!$P$18,IF(AH!$P$10=1,INDEX('Live History'!$E$5:$E$3004,MATCH($A1234,'Live History'!$D$5:$D$3004,1)),INDEX('AH History'!$C$1:$C$18046,AH!$P$7+1229))),NA()),NA())</ns0:f>
        <ns0:v/>
      </ns0:c>
      <ns0:c r="E1234">
        <ns0:f>IFERROR(IF(ISNUMBER($A1234),IF(AND(AH!$P$10=1,AH!$P$12=1,$A1234=TODAY()),AH!$P$20,IF(AH!$P$10=1,INDEX('Live History'!$H$5:$H$3004,MATCH($A1234,'Live History'!$G$5:$G$3004,1)),INDEX('AH History'!$D$1:$D$18046,AH!$P$7+1229))),NA()),NA())</ns0:f>
        <ns0:v/>
      </ns0:c>
      <ns0:c r="F1234">
        <ns0:f>IFERROR(IF(ISNUMBER($A1234),IF(AND(AH!$P$10=1,AH!$P$12=1,$A1234=TODAY()),IF(AND(AH!$P$10=1,AH!$P$12=1,$A1234=TODAY()),TODAY(),NA()),IF(AH!$P$10=1,INDEX('Live History'!$D$5:$D$3004,MATCH($A1234,'Live History'!$D$5:$D$3004,1)),INDEX('AH History'!$E$1:$E$18046,AH!$P$7+1229))),NA()),NA())</ns0:f>
        <ns0:v/>
      </ns0:c>
      <ns0:c r="G1234">
        <ns0:f>IFERROR(IF(ISNUMBER($A1234),IF(AND(AH!$P$10=1,AH!$P$12=1,$A1234=TODAY()),IF(AND(AH!$P$10=1,AH!$P$12=1,$A1234=TODAY()),TODAY(),NA()),IF(AH!$P$10=1,INDEX('Live History'!$G$5:$G$3004,MATCH($A1234,'Live History'!$G$5:$G$3004,1)),INDEX('AH History'!$F$1:$F$18046,AH!$P$7+1229))),NA()),NA())</ns0:f>
        <ns0:v/>
      </ns0:c>
      <ns0:c r="H1234">
        <ns0:f>IFERROR(IF(AND(AH!$E$4="Bloomberg",AH!$P$10=1,ISNUMBER($A1234),$A1234&lt;=AH!$P$17),AH!$P$7-1+MATCH($A1234,INDEX('AH History'!$A$1:$A$18046,AH!$P$7):INDEX('AH History'!$A$1:$A$18046,AH!$P$7+AH!$P$8-1),0),0),0)</ns0:f>
        <ns0:v/>
      </ns0:c>
      <ns0:c r="I1234">
        <ns0:f>IF($H1234=0,0,IFERROR(IF(AND(ABS($C1234-INDEX('AH History'!$B$1:$B$18046,$H1234))&lt;=MAX(0.005,ABS(INDEX('AH History'!$B$1:$B$18046,$H1234))*0.00005),ABS($D1234-INDEX('AH History'!$C$1:$C$18046,$H1234))&lt;=MAX(0.005,ABS(INDEX('AH History'!$C$1:$C$18046,$H1234))*0.00005),ABS($E1234-INDEX('AH History'!$D$1:$D$18046,$H1234))&lt;=0.00005,$F1234=INDEX('AH History'!$E$1:$E$18046,$H1234),$G1234=INDEX('AH History'!$F$1:$F$18046,$H1234)),1,-1),-1))</ns0:f>
        <ns0:v/>
      </ns0:c>
    </ns0:row>
    <ns0:row r="1235">
      <ns0:c r="A1235" s="215">
        <ns0:f>IF(OR(AH!$P$3=0,1230+1&gt;AH!$P$11,AND(AH!$E$4&lt;&gt;"Stored",AH!$P$10&lt;&gt;1)),"",IFERROR(IF(AND(AH!$P$21=1,1230+1=AH!$P$11),TODAY(),IF(AH!$P$10=1,INDEX('Live History'!$A$5:$A$3004,AH!$P$13+1230),INDEX('AH History'!$A$1:$A$18046,AH!$P$7+1230))),""))</ns0:f>
        <ns0:v/>
      </ns0:c>
      <ns0:c r="B1235" s="219">
        <ns0:f>IFERROR(IF(AND(AH!$P$9&lt;&gt;1,$C1235&gt;0,$D1235&gt;0,$E1235&gt;0,$F1235&gt;0,$G1235&gt;0,$F1235&lt;=$A1235,$G1235&lt;=$A1235,$A1235-$F1235&lt;=10,$A1235-$G1235&lt;=5),$D1235*$E1235/$C1235-1,NA()),NA())</ns0:f>
        <ns0:v/>
      </ns0:c>
      <ns0:c r="C1235">
        <ns0:f>IFERROR(IF(ISNUMBER($A1235),IF(AND(AH!$P$10=1,AH!$P$12=1,$A1235=TODAY()),AH!$P$19,IF(AH!$P$10=1,INDEX('Live History'!$B$5:$B$3004,AH!$P$13+1230),INDEX('AH History'!$B$1:$B$18046,AH!$P$7+1230))),NA()),NA())</ns0:f>
        <ns0:v/>
      </ns0:c>
      <ns0:c r="D1235">
        <ns0:f>IFERROR(IF(ISNUMBER($A1235),IF(AND(AH!$P$10=1,AH!$P$12=1,$A1235=TODAY()),AH!$P$18,IF(AH!$P$10=1,INDEX('Live History'!$E$5:$E$3004,MATCH($A1235,'Live History'!$D$5:$D$3004,1)),INDEX('AH History'!$C$1:$C$18046,AH!$P$7+1230))),NA()),NA())</ns0:f>
        <ns0:v/>
      </ns0:c>
      <ns0:c r="E1235">
        <ns0:f>IFERROR(IF(ISNUMBER($A1235),IF(AND(AH!$P$10=1,AH!$P$12=1,$A1235=TODAY()),AH!$P$20,IF(AH!$P$10=1,INDEX('Live History'!$H$5:$H$3004,MATCH($A1235,'Live History'!$G$5:$G$3004,1)),INDEX('AH History'!$D$1:$D$18046,AH!$P$7+1230))),NA()),NA())</ns0:f>
        <ns0:v/>
      </ns0:c>
      <ns0:c r="F1235">
        <ns0:f>IFERROR(IF(ISNUMBER($A1235),IF(AND(AH!$P$10=1,AH!$P$12=1,$A1235=TODAY()),IF(AND(AH!$P$10=1,AH!$P$12=1,$A1235=TODAY()),TODAY(),NA()),IF(AH!$P$10=1,INDEX('Live History'!$D$5:$D$3004,MATCH($A1235,'Live History'!$D$5:$D$3004,1)),INDEX('AH History'!$E$1:$E$18046,AH!$P$7+1230))),NA()),NA())</ns0:f>
        <ns0:v/>
      </ns0:c>
      <ns0:c r="G1235">
        <ns0:f>IFERROR(IF(ISNUMBER($A1235),IF(AND(AH!$P$10=1,AH!$P$12=1,$A1235=TODAY()),IF(AND(AH!$P$10=1,AH!$P$12=1,$A1235=TODAY()),TODAY(),NA()),IF(AH!$P$10=1,INDEX('Live History'!$G$5:$G$3004,MATCH($A1235,'Live History'!$G$5:$G$3004,1)),INDEX('AH History'!$F$1:$F$18046,AH!$P$7+1230))),NA()),NA())</ns0:f>
        <ns0:v/>
      </ns0:c>
      <ns0:c r="H1235">
        <ns0:f>IFERROR(IF(AND(AH!$E$4="Bloomberg",AH!$P$10=1,ISNUMBER($A1235),$A1235&lt;=AH!$P$17),AH!$P$7-1+MATCH($A1235,INDEX('AH History'!$A$1:$A$18046,AH!$P$7):INDEX('AH History'!$A$1:$A$18046,AH!$P$7+AH!$P$8-1),0),0),0)</ns0:f>
        <ns0:v/>
      </ns0:c>
      <ns0:c r="I1235">
        <ns0:f>IF($H1235=0,0,IFERROR(IF(AND(ABS($C1235-INDEX('AH History'!$B$1:$B$18046,$H1235))&lt;=MAX(0.005,ABS(INDEX('AH History'!$B$1:$B$18046,$H1235))*0.00005),ABS($D1235-INDEX('AH History'!$C$1:$C$18046,$H1235))&lt;=MAX(0.005,ABS(INDEX('AH History'!$C$1:$C$18046,$H1235))*0.00005),ABS($E1235-INDEX('AH History'!$D$1:$D$18046,$H1235))&lt;=0.00005,$F1235=INDEX('AH History'!$E$1:$E$18046,$H1235),$G1235=INDEX('AH History'!$F$1:$F$18046,$H1235)),1,-1),-1))</ns0:f>
        <ns0:v/>
      </ns0:c>
    </ns0:row>
    <ns0:row r="1236">
      <ns0:c r="A1236" s="215">
        <ns0:f>IF(OR(AH!$P$3=0,1231+1&gt;AH!$P$11,AND(AH!$E$4&lt;&gt;"Stored",AH!$P$10&lt;&gt;1)),"",IFERROR(IF(AND(AH!$P$21=1,1231+1=AH!$P$11),TODAY(),IF(AH!$P$10=1,INDEX('Live History'!$A$5:$A$3004,AH!$P$13+1231),INDEX('AH History'!$A$1:$A$18046,AH!$P$7+1231))),""))</ns0:f>
        <ns0:v/>
      </ns0:c>
      <ns0:c r="B1236" s="219">
        <ns0:f>IFERROR(IF(AND(AH!$P$9&lt;&gt;1,$C1236&gt;0,$D1236&gt;0,$E1236&gt;0,$F1236&gt;0,$G1236&gt;0,$F1236&lt;=$A1236,$G1236&lt;=$A1236,$A1236-$F1236&lt;=10,$A1236-$G1236&lt;=5),$D1236*$E1236/$C1236-1,NA()),NA())</ns0:f>
        <ns0:v/>
      </ns0:c>
      <ns0:c r="C1236">
        <ns0:f>IFERROR(IF(ISNUMBER($A1236),IF(AND(AH!$P$10=1,AH!$P$12=1,$A1236=TODAY()),AH!$P$19,IF(AH!$P$10=1,INDEX('Live History'!$B$5:$B$3004,AH!$P$13+1231),INDEX('AH History'!$B$1:$B$18046,AH!$P$7+1231))),NA()),NA())</ns0:f>
        <ns0:v/>
      </ns0:c>
      <ns0:c r="D1236">
        <ns0:f>IFERROR(IF(ISNUMBER($A1236),IF(AND(AH!$P$10=1,AH!$P$12=1,$A1236=TODAY()),AH!$P$18,IF(AH!$P$10=1,INDEX('Live History'!$E$5:$E$3004,MATCH($A1236,'Live History'!$D$5:$D$3004,1)),INDEX('AH History'!$C$1:$C$18046,AH!$P$7+1231))),NA()),NA())</ns0:f>
        <ns0:v/>
      </ns0:c>
      <ns0:c r="E1236">
        <ns0:f>IFERROR(IF(ISNUMBER($A1236),IF(AND(AH!$P$10=1,AH!$P$12=1,$A1236=TODAY()),AH!$P$20,IF(AH!$P$10=1,INDEX('Live History'!$H$5:$H$3004,MATCH($A1236,'Live History'!$G$5:$G$3004,1)),INDEX('AH History'!$D$1:$D$18046,AH!$P$7+1231))),NA()),NA())</ns0:f>
        <ns0:v/>
      </ns0:c>
      <ns0:c r="F1236">
        <ns0:f>IFERROR(IF(ISNUMBER($A1236),IF(AND(AH!$P$10=1,AH!$P$12=1,$A1236=TODAY()),IF(AND(AH!$P$10=1,AH!$P$12=1,$A1236=TODAY()),TODAY(),NA()),IF(AH!$P$10=1,INDEX('Live History'!$D$5:$D$3004,MATCH($A1236,'Live History'!$D$5:$D$3004,1)),INDEX('AH History'!$E$1:$E$18046,AH!$P$7+1231))),NA()),NA())</ns0:f>
        <ns0:v/>
      </ns0:c>
      <ns0:c r="G1236">
        <ns0:f>IFERROR(IF(ISNUMBER($A1236),IF(AND(AH!$P$10=1,AH!$P$12=1,$A1236=TODAY()),IF(AND(AH!$P$10=1,AH!$P$12=1,$A1236=TODAY()),TODAY(),NA()),IF(AH!$P$10=1,INDEX('Live History'!$G$5:$G$3004,MATCH($A1236,'Live History'!$G$5:$G$3004,1)),INDEX('AH History'!$F$1:$F$18046,AH!$P$7+1231))),NA()),NA())</ns0:f>
        <ns0:v/>
      </ns0:c>
      <ns0:c r="H1236">
        <ns0:f>IFERROR(IF(AND(AH!$E$4="Bloomberg",AH!$P$10=1,ISNUMBER($A1236),$A1236&lt;=AH!$P$17),AH!$P$7-1+MATCH($A1236,INDEX('AH History'!$A$1:$A$18046,AH!$P$7):INDEX('AH History'!$A$1:$A$18046,AH!$P$7+AH!$P$8-1),0),0),0)</ns0:f>
        <ns0:v/>
      </ns0:c>
      <ns0:c r="I1236">
        <ns0:f>IF($H1236=0,0,IFERROR(IF(AND(ABS($C1236-INDEX('AH History'!$B$1:$B$18046,$H1236))&lt;=MAX(0.005,ABS(INDEX('AH History'!$B$1:$B$18046,$H1236))*0.00005),ABS($D1236-INDEX('AH History'!$C$1:$C$18046,$H1236))&lt;=MAX(0.005,ABS(INDEX('AH History'!$C$1:$C$18046,$H1236))*0.00005),ABS($E1236-INDEX('AH History'!$D$1:$D$18046,$H1236))&lt;=0.00005,$F1236=INDEX('AH History'!$E$1:$E$18046,$H1236),$G1236=INDEX('AH History'!$F$1:$F$18046,$H1236)),1,-1),-1))</ns0:f>
        <ns0:v/>
      </ns0:c>
    </ns0:row>
    <ns0:row r="1237">
      <ns0:c r="A1237" s="215">
        <ns0:f>IF(OR(AH!$P$3=0,1232+1&gt;AH!$P$11,AND(AH!$E$4&lt;&gt;"Stored",AH!$P$10&lt;&gt;1)),"",IFERROR(IF(AND(AH!$P$21=1,1232+1=AH!$P$11),TODAY(),IF(AH!$P$10=1,INDEX('Live History'!$A$5:$A$3004,AH!$P$13+1232),INDEX('AH History'!$A$1:$A$18046,AH!$P$7+1232))),""))</ns0:f>
        <ns0:v/>
      </ns0:c>
      <ns0:c r="B1237" s="219">
        <ns0:f>IFERROR(IF(AND(AH!$P$9&lt;&gt;1,$C1237&gt;0,$D1237&gt;0,$E1237&gt;0,$F1237&gt;0,$G1237&gt;0,$F1237&lt;=$A1237,$G1237&lt;=$A1237,$A1237-$F1237&lt;=10,$A1237-$G1237&lt;=5),$D1237*$E1237/$C1237-1,NA()),NA())</ns0:f>
        <ns0:v/>
      </ns0:c>
      <ns0:c r="C1237">
        <ns0:f>IFERROR(IF(ISNUMBER($A1237),IF(AND(AH!$P$10=1,AH!$P$12=1,$A1237=TODAY()),AH!$P$19,IF(AH!$P$10=1,INDEX('Live History'!$B$5:$B$3004,AH!$P$13+1232),INDEX('AH History'!$B$1:$B$18046,AH!$P$7+1232))),NA()),NA())</ns0:f>
        <ns0:v/>
      </ns0:c>
      <ns0:c r="D1237">
        <ns0:f>IFERROR(IF(ISNUMBER($A1237),IF(AND(AH!$P$10=1,AH!$P$12=1,$A1237=TODAY()),AH!$P$18,IF(AH!$P$10=1,INDEX('Live History'!$E$5:$E$3004,MATCH($A1237,'Live History'!$D$5:$D$3004,1)),INDEX('AH History'!$C$1:$C$18046,AH!$P$7+1232))),NA()),NA())</ns0:f>
        <ns0:v/>
      </ns0:c>
      <ns0:c r="E1237">
        <ns0:f>IFERROR(IF(ISNUMBER($A1237),IF(AND(AH!$P$10=1,AH!$P$12=1,$A1237=TODAY()),AH!$P$20,IF(AH!$P$10=1,INDEX('Live History'!$H$5:$H$3004,MATCH($A1237,'Live History'!$G$5:$G$3004,1)),INDEX('AH History'!$D$1:$D$18046,AH!$P$7+1232))),NA()),NA())</ns0:f>
        <ns0:v/>
      </ns0:c>
      <ns0:c r="F1237">
        <ns0:f>IFERROR(IF(ISNUMBER($A1237),IF(AND(AH!$P$10=1,AH!$P$12=1,$A1237=TODAY()),IF(AND(AH!$P$10=1,AH!$P$12=1,$A1237=TODAY()),TODAY(),NA()),IF(AH!$P$10=1,INDEX('Live History'!$D$5:$D$3004,MATCH($A1237,'Live History'!$D$5:$D$3004,1)),INDEX('AH History'!$E$1:$E$18046,AH!$P$7+1232))),NA()),NA())</ns0:f>
        <ns0:v/>
      </ns0:c>
      <ns0:c r="G1237">
        <ns0:f>IFERROR(IF(ISNUMBER($A1237),IF(AND(AH!$P$10=1,AH!$P$12=1,$A1237=TODAY()),IF(AND(AH!$P$10=1,AH!$P$12=1,$A1237=TODAY()),TODAY(),NA()),IF(AH!$P$10=1,INDEX('Live History'!$G$5:$G$3004,MATCH($A1237,'Live History'!$G$5:$G$3004,1)),INDEX('AH History'!$F$1:$F$18046,AH!$P$7+1232))),NA()),NA())</ns0:f>
        <ns0:v/>
      </ns0:c>
      <ns0:c r="H1237">
        <ns0:f>IFERROR(IF(AND(AH!$E$4="Bloomberg",AH!$P$10=1,ISNUMBER($A1237),$A1237&lt;=AH!$P$17),AH!$P$7-1+MATCH($A1237,INDEX('AH History'!$A$1:$A$18046,AH!$P$7):INDEX('AH History'!$A$1:$A$18046,AH!$P$7+AH!$P$8-1),0),0),0)</ns0:f>
        <ns0:v/>
      </ns0:c>
      <ns0:c r="I1237">
        <ns0:f>IF($H1237=0,0,IFERROR(IF(AND(ABS($C1237-INDEX('AH History'!$B$1:$B$18046,$H1237))&lt;=MAX(0.005,ABS(INDEX('AH History'!$B$1:$B$18046,$H1237))*0.00005),ABS($D1237-INDEX('AH History'!$C$1:$C$18046,$H1237))&lt;=MAX(0.005,ABS(INDEX('AH History'!$C$1:$C$18046,$H1237))*0.00005),ABS($E1237-INDEX('AH History'!$D$1:$D$18046,$H1237))&lt;=0.00005,$F1237=INDEX('AH History'!$E$1:$E$18046,$H1237),$G1237=INDEX('AH History'!$F$1:$F$18046,$H1237)),1,-1),-1))</ns0:f>
        <ns0:v/>
      </ns0:c>
    </ns0:row>
    <ns0:row r="1238">
      <ns0:c r="A1238" s="215">
        <ns0:f>IF(OR(AH!$P$3=0,1233+1&gt;AH!$P$11,AND(AH!$E$4&lt;&gt;"Stored",AH!$P$10&lt;&gt;1)),"",IFERROR(IF(AND(AH!$P$21=1,1233+1=AH!$P$11),TODAY(),IF(AH!$P$10=1,INDEX('Live History'!$A$5:$A$3004,AH!$P$13+1233),INDEX('AH History'!$A$1:$A$18046,AH!$P$7+1233))),""))</ns0:f>
        <ns0:v/>
      </ns0:c>
      <ns0:c r="B1238" s="219">
        <ns0:f>IFERROR(IF(AND(AH!$P$9&lt;&gt;1,$C1238&gt;0,$D1238&gt;0,$E1238&gt;0,$F1238&gt;0,$G1238&gt;0,$F1238&lt;=$A1238,$G1238&lt;=$A1238,$A1238-$F1238&lt;=10,$A1238-$G1238&lt;=5),$D1238*$E1238/$C1238-1,NA()),NA())</ns0:f>
        <ns0:v/>
      </ns0:c>
      <ns0:c r="C1238">
        <ns0:f>IFERROR(IF(ISNUMBER($A1238),IF(AND(AH!$P$10=1,AH!$P$12=1,$A1238=TODAY()),AH!$P$19,IF(AH!$P$10=1,INDEX('Live History'!$B$5:$B$3004,AH!$P$13+1233),INDEX('AH History'!$B$1:$B$18046,AH!$P$7+1233))),NA()),NA())</ns0:f>
        <ns0:v/>
      </ns0:c>
      <ns0:c r="D1238">
        <ns0:f>IFERROR(IF(ISNUMBER($A1238),IF(AND(AH!$P$10=1,AH!$P$12=1,$A1238=TODAY()),AH!$P$18,IF(AH!$P$10=1,INDEX('Live History'!$E$5:$E$3004,MATCH($A1238,'Live History'!$D$5:$D$3004,1)),INDEX('AH History'!$C$1:$C$18046,AH!$P$7+1233))),NA()),NA())</ns0:f>
        <ns0:v/>
      </ns0:c>
      <ns0:c r="E1238">
        <ns0:f>IFERROR(IF(ISNUMBER($A1238),IF(AND(AH!$P$10=1,AH!$P$12=1,$A1238=TODAY()),AH!$P$20,IF(AH!$P$10=1,INDEX('Live History'!$H$5:$H$3004,MATCH($A1238,'Live History'!$G$5:$G$3004,1)),INDEX('AH History'!$D$1:$D$18046,AH!$P$7+1233))),NA()),NA())</ns0:f>
        <ns0:v/>
      </ns0:c>
      <ns0:c r="F1238">
        <ns0:f>IFERROR(IF(ISNUMBER($A1238),IF(AND(AH!$P$10=1,AH!$P$12=1,$A1238=TODAY()),IF(AND(AH!$P$10=1,AH!$P$12=1,$A1238=TODAY()),TODAY(),NA()),IF(AH!$P$10=1,INDEX('Live History'!$D$5:$D$3004,MATCH($A1238,'Live History'!$D$5:$D$3004,1)),INDEX('AH History'!$E$1:$E$18046,AH!$P$7+1233))),NA()),NA())</ns0:f>
        <ns0:v/>
      </ns0:c>
      <ns0:c r="G1238">
        <ns0:f>IFERROR(IF(ISNUMBER($A1238),IF(AND(AH!$P$10=1,AH!$P$12=1,$A1238=TODAY()),IF(AND(AH!$P$10=1,AH!$P$12=1,$A1238=TODAY()),TODAY(),NA()),IF(AH!$P$10=1,INDEX('Live History'!$G$5:$G$3004,MATCH($A1238,'Live History'!$G$5:$G$3004,1)),INDEX('AH History'!$F$1:$F$18046,AH!$P$7+1233))),NA()),NA())</ns0:f>
        <ns0:v/>
      </ns0:c>
      <ns0:c r="H1238">
        <ns0:f>IFERROR(IF(AND(AH!$E$4="Bloomberg",AH!$P$10=1,ISNUMBER($A1238),$A1238&lt;=AH!$P$17),AH!$P$7-1+MATCH($A1238,INDEX('AH History'!$A$1:$A$18046,AH!$P$7):INDEX('AH History'!$A$1:$A$18046,AH!$P$7+AH!$P$8-1),0),0),0)</ns0:f>
        <ns0:v/>
      </ns0:c>
      <ns0:c r="I1238">
        <ns0:f>IF($H1238=0,0,IFERROR(IF(AND(ABS($C1238-INDEX('AH History'!$B$1:$B$18046,$H1238))&lt;=MAX(0.005,ABS(INDEX('AH History'!$B$1:$B$18046,$H1238))*0.00005),ABS($D1238-INDEX('AH History'!$C$1:$C$18046,$H1238))&lt;=MAX(0.005,ABS(INDEX('AH History'!$C$1:$C$18046,$H1238))*0.00005),ABS($E1238-INDEX('AH History'!$D$1:$D$18046,$H1238))&lt;=0.00005,$F1238=INDEX('AH History'!$E$1:$E$18046,$H1238),$G1238=INDEX('AH History'!$F$1:$F$18046,$H1238)),1,-1),-1))</ns0:f>
        <ns0:v/>
      </ns0:c>
    </ns0:row>
    <ns0:row r="1239">
      <ns0:c r="A1239" s="215">
        <ns0:f>IF(OR(AH!$P$3=0,1234+1&gt;AH!$P$11,AND(AH!$E$4&lt;&gt;"Stored",AH!$P$10&lt;&gt;1)),"",IFERROR(IF(AND(AH!$P$21=1,1234+1=AH!$P$11),TODAY(),IF(AH!$P$10=1,INDEX('Live History'!$A$5:$A$3004,AH!$P$13+1234),INDEX('AH History'!$A$1:$A$18046,AH!$P$7+1234))),""))</ns0:f>
        <ns0:v/>
      </ns0:c>
      <ns0:c r="B1239" s="219">
        <ns0:f>IFERROR(IF(AND(AH!$P$9&lt;&gt;1,$C1239&gt;0,$D1239&gt;0,$E1239&gt;0,$F1239&gt;0,$G1239&gt;0,$F1239&lt;=$A1239,$G1239&lt;=$A1239,$A1239-$F1239&lt;=10,$A1239-$G1239&lt;=5),$D1239*$E1239/$C1239-1,NA()),NA())</ns0:f>
        <ns0:v/>
      </ns0:c>
      <ns0:c r="C1239">
        <ns0:f>IFERROR(IF(ISNUMBER($A1239),IF(AND(AH!$P$10=1,AH!$P$12=1,$A1239=TODAY()),AH!$P$19,IF(AH!$P$10=1,INDEX('Live History'!$B$5:$B$3004,AH!$P$13+1234),INDEX('AH History'!$B$1:$B$18046,AH!$P$7+1234))),NA()),NA())</ns0:f>
        <ns0:v/>
      </ns0:c>
      <ns0:c r="D1239">
        <ns0:f>IFERROR(IF(ISNUMBER($A1239),IF(AND(AH!$P$10=1,AH!$P$12=1,$A1239=TODAY()),AH!$P$18,IF(AH!$P$10=1,INDEX('Live History'!$E$5:$E$3004,MATCH($A1239,'Live History'!$D$5:$D$3004,1)),INDEX('AH History'!$C$1:$C$18046,AH!$P$7+1234))),NA()),NA())</ns0:f>
        <ns0:v/>
      </ns0:c>
      <ns0:c r="E1239">
        <ns0:f>IFERROR(IF(ISNUMBER($A1239),IF(AND(AH!$P$10=1,AH!$P$12=1,$A1239=TODAY()),AH!$P$20,IF(AH!$P$10=1,INDEX('Live History'!$H$5:$H$3004,MATCH($A1239,'Live History'!$G$5:$G$3004,1)),INDEX('AH History'!$D$1:$D$18046,AH!$P$7+1234))),NA()),NA())</ns0:f>
        <ns0:v/>
      </ns0:c>
      <ns0:c r="F1239">
        <ns0:f>IFERROR(IF(ISNUMBER($A1239),IF(AND(AH!$P$10=1,AH!$P$12=1,$A1239=TODAY()),IF(AND(AH!$P$10=1,AH!$P$12=1,$A1239=TODAY()),TODAY(),NA()),IF(AH!$P$10=1,INDEX('Live History'!$D$5:$D$3004,MATCH($A1239,'Live History'!$D$5:$D$3004,1)),INDEX('AH History'!$E$1:$E$18046,AH!$P$7+1234))),NA()),NA())</ns0:f>
        <ns0:v/>
      </ns0:c>
      <ns0:c r="G1239">
        <ns0:f>IFERROR(IF(ISNUMBER($A1239),IF(AND(AH!$P$10=1,AH!$P$12=1,$A1239=TODAY()),IF(AND(AH!$P$10=1,AH!$P$12=1,$A1239=TODAY()),TODAY(),NA()),IF(AH!$P$10=1,INDEX('Live History'!$G$5:$G$3004,MATCH($A1239,'Live History'!$G$5:$G$3004,1)),INDEX('AH History'!$F$1:$F$18046,AH!$P$7+1234))),NA()),NA())</ns0:f>
        <ns0:v/>
      </ns0:c>
      <ns0:c r="H1239">
        <ns0:f>IFERROR(IF(AND(AH!$E$4="Bloomberg",AH!$P$10=1,ISNUMBER($A1239),$A1239&lt;=AH!$P$17),AH!$P$7-1+MATCH($A1239,INDEX('AH History'!$A$1:$A$18046,AH!$P$7):INDEX('AH History'!$A$1:$A$18046,AH!$P$7+AH!$P$8-1),0),0),0)</ns0:f>
        <ns0:v/>
      </ns0:c>
      <ns0:c r="I1239">
        <ns0:f>IF($H1239=0,0,IFERROR(IF(AND(ABS($C1239-INDEX('AH History'!$B$1:$B$18046,$H1239))&lt;=MAX(0.005,ABS(INDEX('AH History'!$B$1:$B$18046,$H1239))*0.00005),ABS($D1239-INDEX('AH History'!$C$1:$C$18046,$H1239))&lt;=MAX(0.005,ABS(INDEX('AH History'!$C$1:$C$18046,$H1239))*0.00005),ABS($E1239-INDEX('AH History'!$D$1:$D$18046,$H1239))&lt;=0.00005,$F1239=INDEX('AH History'!$E$1:$E$18046,$H1239),$G1239=INDEX('AH History'!$F$1:$F$18046,$H1239)),1,-1),-1))</ns0:f>
        <ns0:v/>
      </ns0:c>
    </ns0:row>
    <ns0:row r="1240">
      <ns0:c r="A1240" s="215">
        <ns0:f>IF(OR(AH!$P$3=0,1235+1&gt;AH!$P$11,AND(AH!$E$4&lt;&gt;"Stored",AH!$P$10&lt;&gt;1)),"",IFERROR(IF(AND(AH!$P$21=1,1235+1=AH!$P$11),TODAY(),IF(AH!$P$10=1,INDEX('Live History'!$A$5:$A$3004,AH!$P$13+1235),INDEX('AH History'!$A$1:$A$18046,AH!$P$7+1235))),""))</ns0:f>
        <ns0:v/>
      </ns0:c>
      <ns0:c r="B1240" s="219">
        <ns0:f>IFERROR(IF(AND(AH!$P$9&lt;&gt;1,$C1240&gt;0,$D1240&gt;0,$E1240&gt;0,$F1240&gt;0,$G1240&gt;0,$F1240&lt;=$A1240,$G1240&lt;=$A1240,$A1240-$F1240&lt;=10,$A1240-$G1240&lt;=5),$D1240*$E1240/$C1240-1,NA()),NA())</ns0:f>
        <ns0:v/>
      </ns0:c>
      <ns0:c r="C1240">
        <ns0:f>IFERROR(IF(ISNUMBER($A1240),IF(AND(AH!$P$10=1,AH!$P$12=1,$A1240=TODAY()),AH!$P$19,IF(AH!$P$10=1,INDEX('Live History'!$B$5:$B$3004,AH!$P$13+1235),INDEX('AH History'!$B$1:$B$18046,AH!$P$7+1235))),NA()),NA())</ns0:f>
        <ns0:v/>
      </ns0:c>
      <ns0:c r="D1240">
        <ns0:f>IFERROR(IF(ISNUMBER($A1240),IF(AND(AH!$P$10=1,AH!$P$12=1,$A1240=TODAY()),AH!$P$18,IF(AH!$P$10=1,INDEX('Live History'!$E$5:$E$3004,MATCH($A1240,'Live History'!$D$5:$D$3004,1)),INDEX('AH History'!$C$1:$C$18046,AH!$P$7+1235))),NA()),NA())</ns0:f>
        <ns0:v/>
      </ns0:c>
      <ns0:c r="E1240">
        <ns0:f>IFERROR(IF(ISNUMBER($A1240),IF(AND(AH!$P$10=1,AH!$P$12=1,$A1240=TODAY()),AH!$P$20,IF(AH!$P$10=1,INDEX('Live History'!$H$5:$H$3004,MATCH($A1240,'Live History'!$G$5:$G$3004,1)),INDEX('AH History'!$D$1:$D$18046,AH!$P$7+1235))),NA()),NA())</ns0:f>
        <ns0:v/>
      </ns0:c>
      <ns0:c r="F1240">
        <ns0:f>IFERROR(IF(ISNUMBER($A1240),IF(AND(AH!$P$10=1,AH!$P$12=1,$A1240=TODAY()),IF(AND(AH!$P$10=1,AH!$P$12=1,$A1240=TODAY()),TODAY(),NA()),IF(AH!$P$10=1,INDEX('Live History'!$D$5:$D$3004,MATCH($A1240,'Live History'!$D$5:$D$3004,1)),INDEX('AH History'!$E$1:$E$18046,AH!$P$7+1235))),NA()),NA())</ns0:f>
        <ns0:v/>
      </ns0:c>
      <ns0:c r="G1240">
        <ns0:f>IFERROR(IF(ISNUMBER($A1240),IF(AND(AH!$P$10=1,AH!$P$12=1,$A1240=TODAY()),IF(AND(AH!$P$10=1,AH!$P$12=1,$A1240=TODAY()),TODAY(),NA()),IF(AH!$P$10=1,INDEX('Live History'!$G$5:$G$3004,MATCH($A1240,'Live History'!$G$5:$G$3004,1)),INDEX('AH History'!$F$1:$F$18046,AH!$P$7+1235))),NA()),NA())</ns0:f>
        <ns0:v/>
      </ns0:c>
      <ns0:c r="H1240">
        <ns0:f>IFERROR(IF(AND(AH!$E$4="Bloomberg",AH!$P$10=1,ISNUMBER($A1240),$A1240&lt;=AH!$P$17),AH!$P$7-1+MATCH($A1240,INDEX('AH History'!$A$1:$A$18046,AH!$P$7):INDEX('AH History'!$A$1:$A$18046,AH!$P$7+AH!$P$8-1),0),0),0)</ns0:f>
        <ns0:v/>
      </ns0:c>
      <ns0:c r="I1240">
        <ns0:f>IF($H1240=0,0,IFERROR(IF(AND(ABS($C1240-INDEX('AH History'!$B$1:$B$18046,$H1240))&lt;=MAX(0.005,ABS(INDEX('AH History'!$B$1:$B$18046,$H1240))*0.00005),ABS($D1240-INDEX('AH History'!$C$1:$C$18046,$H1240))&lt;=MAX(0.005,ABS(INDEX('AH History'!$C$1:$C$18046,$H1240))*0.00005),ABS($E1240-INDEX('AH History'!$D$1:$D$18046,$H1240))&lt;=0.00005,$F1240=INDEX('AH History'!$E$1:$E$18046,$H1240),$G1240=INDEX('AH History'!$F$1:$F$18046,$H1240)),1,-1),-1))</ns0:f>
        <ns0:v/>
      </ns0:c>
    </ns0:row>
    <ns0:row r="1241">
      <ns0:c r="A1241" s="215">
        <ns0:f>IF(OR(AH!$P$3=0,1236+1&gt;AH!$P$11,AND(AH!$E$4&lt;&gt;"Stored",AH!$P$10&lt;&gt;1)),"",IFERROR(IF(AND(AH!$P$21=1,1236+1=AH!$P$11),TODAY(),IF(AH!$P$10=1,INDEX('Live History'!$A$5:$A$3004,AH!$P$13+1236),INDEX('AH History'!$A$1:$A$18046,AH!$P$7+1236))),""))</ns0:f>
        <ns0:v/>
      </ns0:c>
      <ns0:c r="B1241" s="219">
        <ns0:f>IFERROR(IF(AND(AH!$P$9&lt;&gt;1,$C1241&gt;0,$D1241&gt;0,$E1241&gt;0,$F1241&gt;0,$G1241&gt;0,$F1241&lt;=$A1241,$G1241&lt;=$A1241,$A1241-$F1241&lt;=10,$A1241-$G1241&lt;=5),$D1241*$E1241/$C1241-1,NA()),NA())</ns0:f>
        <ns0:v/>
      </ns0:c>
      <ns0:c r="C1241">
        <ns0:f>IFERROR(IF(ISNUMBER($A1241),IF(AND(AH!$P$10=1,AH!$P$12=1,$A1241=TODAY()),AH!$P$19,IF(AH!$P$10=1,INDEX('Live History'!$B$5:$B$3004,AH!$P$13+1236),INDEX('AH History'!$B$1:$B$18046,AH!$P$7+1236))),NA()),NA())</ns0:f>
        <ns0:v/>
      </ns0:c>
      <ns0:c r="D1241">
        <ns0:f>IFERROR(IF(ISNUMBER($A1241),IF(AND(AH!$P$10=1,AH!$P$12=1,$A1241=TODAY()),AH!$P$18,IF(AH!$P$10=1,INDEX('Live History'!$E$5:$E$3004,MATCH($A1241,'Live History'!$D$5:$D$3004,1)),INDEX('AH History'!$C$1:$C$18046,AH!$P$7+1236))),NA()),NA())</ns0:f>
        <ns0:v/>
      </ns0:c>
      <ns0:c r="E1241">
        <ns0:f>IFERROR(IF(ISNUMBER($A1241),IF(AND(AH!$P$10=1,AH!$P$12=1,$A1241=TODAY()),AH!$P$20,IF(AH!$P$10=1,INDEX('Live History'!$H$5:$H$3004,MATCH($A1241,'Live History'!$G$5:$G$3004,1)),INDEX('AH History'!$D$1:$D$18046,AH!$P$7+1236))),NA()),NA())</ns0:f>
        <ns0:v/>
      </ns0:c>
      <ns0:c r="F1241">
        <ns0:f>IFERROR(IF(ISNUMBER($A1241),IF(AND(AH!$P$10=1,AH!$P$12=1,$A1241=TODAY()),IF(AND(AH!$P$10=1,AH!$P$12=1,$A1241=TODAY()),TODAY(),NA()),IF(AH!$P$10=1,INDEX('Live History'!$D$5:$D$3004,MATCH($A1241,'Live History'!$D$5:$D$3004,1)),INDEX('AH History'!$E$1:$E$18046,AH!$P$7+1236))),NA()),NA())</ns0:f>
        <ns0:v/>
      </ns0:c>
      <ns0:c r="G1241">
        <ns0:f>IFERROR(IF(ISNUMBER($A1241),IF(AND(AH!$P$10=1,AH!$P$12=1,$A1241=TODAY()),IF(AND(AH!$P$10=1,AH!$P$12=1,$A1241=TODAY()),TODAY(),NA()),IF(AH!$P$10=1,INDEX('Live History'!$G$5:$G$3004,MATCH($A1241,'Live History'!$G$5:$G$3004,1)),INDEX('AH History'!$F$1:$F$18046,AH!$P$7+1236))),NA()),NA())</ns0:f>
        <ns0:v/>
      </ns0:c>
      <ns0:c r="H1241">
        <ns0:f>IFERROR(IF(AND(AH!$E$4="Bloomberg",AH!$P$10=1,ISNUMBER($A1241),$A1241&lt;=AH!$P$17),AH!$P$7-1+MATCH($A1241,INDEX('AH History'!$A$1:$A$18046,AH!$P$7):INDEX('AH History'!$A$1:$A$18046,AH!$P$7+AH!$P$8-1),0),0),0)</ns0:f>
        <ns0:v/>
      </ns0:c>
      <ns0:c r="I1241">
        <ns0:f>IF($H1241=0,0,IFERROR(IF(AND(ABS($C1241-INDEX('AH History'!$B$1:$B$18046,$H1241))&lt;=MAX(0.005,ABS(INDEX('AH History'!$B$1:$B$18046,$H1241))*0.00005),ABS($D1241-INDEX('AH History'!$C$1:$C$18046,$H1241))&lt;=MAX(0.005,ABS(INDEX('AH History'!$C$1:$C$18046,$H1241))*0.00005),ABS($E1241-INDEX('AH History'!$D$1:$D$18046,$H1241))&lt;=0.00005,$F1241=INDEX('AH History'!$E$1:$E$18046,$H1241),$G1241=INDEX('AH History'!$F$1:$F$18046,$H1241)),1,-1),-1))</ns0:f>
        <ns0:v/>
      </ns0:c>
    </ns0:row>
    <ns0:row r="1242">
      <ns0:c r="A1242" s="215">
        <ns0:f>IF(OR(AH!$P$3=0,1237+1&gt;AH!$P$11,AND(AH!$E$4&lt;&gt;"Stored",AH!$P$10&lt;&gt;1)),"",IFERROR(IF(AND(AH!$P$21=1,1237+1=AH!$P$11),TODAY(),IF(AH!$P$10=1,INDEX('Live History'!$A$5:$A$3004,AH!$P$13+1237),INDEX('AH History'!$A$1:$A$18046,AH!$P$7+1237))),""))</ns0:f>
        <ns0:v/>
      </ns0:c>
      <ns0:c r="B1242" s="219">
        <ns0:f>IFERROR(IF(AND(AH!$P$9&lt;&gt;1,$C1242&gt;0,$D1242&gt;0,$E1242&gt;0,$F1242&gt;0,$G1242&gt;0,$F1242&lt;=$A1242,$G1242&lt;=$A1242,$A1242-$F1242&lt;=10,$A1242-$G1242&lt;=5),$D1242*$E1242/$C1242-1,NA()),NA())</ns0:f>
        <ns0:v/>
      </ns0:c>
      <ns0:c r="C1242">
        <ns0:f>IFERROR(IF(ISNUMBER($A1242),IF(AND(AH!$P$10=1,AH!$P$12=1,$A1242=TODAY()),AH!$P$19,IF(AH!$P$10=1,INDEX('Live History'!$B$5:$B$3004,AH!$P$13+1237),INDEX('AH History'!$B$1:$B$18046,AH!$P$7+1237))),NA()),NA())</ns0:f>
        <ns0:v/>
      </ns0:c>
      <ns0:c r="D1242">
        <ns0:f>IFERROR(IF(ISNUMBER($A1242),IF(AND(AH!$P$10=1,AH!$P$12=1,$A1242=TODAY()),AH!$P$18,IF(AH!$P$10=1,INDEX('Live History'!$E$5:$E$3004,MATCH($A1242,'Live History'!$D$5:$D$3004,1)),INDEX('AH History'!$C$1:$C$18046,AH!$P$7+1237))),NA()),NA())</ns0:f>
        <ns0:v/>
      </ns0:c>
      <ns0:c r="E1242">
        <ns0:f>IFERROR(IF(ISNUMBER($A1242),IF(AND(AH!$P$10=1,AH!$P$12=1,$A1242=TODAY()),AH!$P$20,IF(AH!$P$10=1,INDEX('Live History'!$H$5:$H$3004,MATCH($A1242,'Live History'!$G$5:$G$3004,1)),INDEX('AH History'!$D$1:$D$18046,AH!$P$7+1237))),NA()),NA())</ns0:f>
        <ns0:v/>
      </ns0:c>
      <ns0:c r="F1242">
        <ns0:f>IFERROR(IF(ISNUMBER($A1242),IF(AND(AH!$P$10=1,AH!$P$12=1,$A1242=TODAY()),IF(AND(AH!$P$10=1,AH!$P$12=1,$A1242=TODAY()),TODAY(),NA()),IF(AH!$P$10=1,INDEX('Live History'!$D$5:$D$3004,MATCH($A1242,'Live History'!$D$5:$D$3004,1)),INDEX('AH History'!$E$1:$E$18046,AH!$P$7+1237))),NA()),NA())</ns0:f>
        <ns0:v/>
      </ns0:c>
      <ns0:c r="G1242">
        <ns0:f>IFERROR(IF(ISNUMBER($A1242),IF(AND(AH!$P$10=1,AH!$P$12=1,$A1242=TODAY()),IF(AND(AH!$P$10=1,AH!$P$12=1,$A1242=TODAY()),TODAY(),NA()),IF(AH!$P$10=1,INDEX('Live History'!$G$5:$G$3004,MATCH($A1242,'Live History'!$G$5:$G$3004,1)),INDEX('AH History'!$F$1:$F$18046,AH!$P$7+1237))),NA()),NA())</ns0:f>
        <ns0:v/>
      </ns0:c>
      <ns0:c r="H1242">
        <ns0:f>IFERROR(IF(AND(AH!$E$4="Bloomberg",AH!$P$10=1,ISNUMBER($A1242),$A1242&lt;=AH!$P$17),AH!$P$7-1+MATCH($A1242,INDEX('AH History'!$A$1:$A$18046,AH!$P$7):INDEX('AH History'!$A$1:$A$18046,AH!$P$7+AH!$P$8-1),0),0),0)</ns0:f>
        <ns0:v/>
      </ns0:c>
      <ns0:c r="I1242">
        <ns0:f>IF($H1242=0,0,IFERROR(IF(AND(ABS($C1242-INDEX('AH History'!$B$1:$B$18046,$H1242))&lt;=MAX(0.005,ABS(INDEX('AH History'!$B$1:$B$18046,$H1242))*0.00005),ABS($D1242-INDEX('AH History'!$C$1:$C$18046,$H1242))&lt;=MAX(0.005,ABS(INDEX('AH History'!$C$1:$C$18046,$H1242))*0.00005),ABS($E1242-INDEX('AH History'!$D$1:$D$18046,$H1242))&lt;=0.00005,$F1242=INDEX('AH History'!$E$1:$E$18046,$H1242),$G1242=INDEX('AH History'!$F$1:$F$18046,$H1242)),1,-1),-1))</ns0:f>
        <ns0:v/>
      </ns0:c>
    </ns0:row>
    <ns0:row r="1243">
      <ns0:c r="A1243" s="215">
        <ns0:f>IF(OR(AH!$P$3=0,1238+1&gt;AH!$P$11,AND(AH!$E$4&lt;&gt;"Stored",AH!$P$10&lt;&gt;1)),"",IFERROR(IF(AND(AH!$P$21=1,1238+1=AH!$P$11),TODAY(),IF(AH!$P$10=1,INDEX('Live History'!$A$5:$A$3004,AH!$P$13+1238),INDEX('AH History'!$A$1:$A$18046,AH!$P$7+1238))),""))</ns0:f>
        <ns0:v/>
      </ns0:c>
      <ns0:c r="B1243" s="219">
        <ns0:f>IFERROR(IF(AND(AH!$P$9&lt;&gt;1,$C1243&gt;0,$D1243&gt;0,$E1243&gt;0,$F1243&gt;0,$G1243&gt;0,$F1243&lt;=$A1243,$G1243&lt;=$A1243,$A1243-$F1243&lt;=10,$A1243-$G1243&lt;=5),$D1243*$E1243/$C1243-1,NA()),NA())</ns0:f>
        <ns0:v/>
      </ns0:c>
      <ns0:c r="C1243">
        <ns0:f>IFERROR(IF(ISNUMBER($A1243),IF(AND(AH!$P$10=1,AH!$P$12=1,$A1243=TODAY()),AH!$P$19,IF(AH!$P$10=1,INDEX('Live History'!$B$5:$B$3004,AH!$P$13+1238),INDEX('AH History'!$B$1:$B$18046,AH!$P$7+1238))),NA()),NA())</ns0:f>
        <ns0:v/>
      </ns0:c>
      <ns0:c r="D1243">
        <ns0:f>IFERROR(IF(ISNUMBER($A1243),IF(AND(AH!$P$10=1,AH!$P$12=1,$A1243=TODAY()),AH!$P$18,IF(AH!$P$10=1,INDEX('Live History'!$E$5:$E$3004,MATCH($A1243,'Live History'!$D$5:$D$3004,1)),INDEX('AH History'!$C$1:$C$18046,AH!$P$7+1238))),NA()),NA())</ns0:f>
        <ns0:v/>
      </ns0:c>
      <ns0:c r="E1243">
        <ns0:f>IFERROR(IF(ISNUMBER($A1243),IF(AND(AH!$P$10=1,AH!$P$12=1,$A1243=TODAY()),AH!$P$20,IF(AH!$P$10=1,INDEX('Live History'!$H$5:$H$3004,MATCH($A1243,'Live History'!$G$5:$G$3004,1)),INDEX('AH History'!$D$1:$D$18046,AH!$P$7+1238))),NA()),NA())</ns0:f>
        <ns0:v/>
      </ns0:c>
      <ns0:c r="F1243">
        <ns0:f>IFERROR(IF(ISNUMBER($A1243),IF(AND(AH!$P$10=1,AH!$P$12=1,$A1243=TODAY()),IF(AND(AH!$P$10=1,AH!$P$12=1,$A1243=TODAY()),TODAY(),NA()),IF(AH!$P$10=1,INDEX('Live History'!$D$5:$D$3004,MATCH($A1243,'Live History'!$D$5:$D$3004,1)),INDEX('AH History'!$E$1:$E$18046,AH!$P$7+1238))),NA()),NA())</ns0:f>
        <ns0:v/>
      </ns0:c>
      <ns0:c r="G1243">
        <ns0:f>IFERROR(IF(ISNUMBER($A1243),IF(AND(AH!$P$10=1,AH!$P$12=1,$A1243=TODAY()),IF(AND(AH!$P$10=1,AH!$P$12=1,$A1243=TODAY()),TODAY(),NA()),IF(AH!$P$10=1,INDEX('Live History'!$G$5:$G$3004,MATCH($A1243,'Live History'!$G$5:$G$3004,1)),INDEX('AH History'!$F$1:$F$18046,AH!$P$7+1238))),NA()),NA())</ns0:f>
        <ns0:v/>
      </ns0:c>
      <ns0:c r="H1243">
        <ns0:f>IFERROR(IF(AND(AH!$E$4="Bloomberg",AH!$P$10=1,ISNUMBER($A1243),$A1243&lt;=AH!$P$17),AH!$P$7-1+MATCH($A1243,INDEX('AH History'!$A$1:$A$18046,AH!$P$7):INDEX('AH History'!$A$1:$A$18046,AH!$P$7+AH!$P$8-1),0),0),0)</ns0:f>
        <ns0:v/>
      </ns0:c>
      <ns0:c r="I1243">
        <ns0:f>IF($H1243=0,0,IFERROR(IF(AND(ABS($C1243-INDEX('AH History'!$B$1:$B$18046,$H1243))&lt;=MAX(0.005,ABS(INDEX('AH History'!$B$1:$B$18046,$H1243))*0.00005),ABS($D1243-INDEX('AH History'!$C$1:$C$18046,$H1243))&lt;=MAX(0.005,ABS(INDEX('AH History'!$C$1:$C$18046,$H1243))*0.00005),ABS($E1243-INDEX('AH History'!$D$1:$D$18046,$H1243))&lt;=0.00005,$F1243=INDEX('AH History'!$E$1:$E$18046,$H1243),$G1243=INDEX('AH History'!$F$1:$F$18046,$H1243)),1,-1),-1))</ns0:f>
        <ns0:v/>
      </ns0:c>
    </ns0:row>
    <ns0:row r="1244">
      <ns0:c r="A1244" s="215">
        <ns0:f>IF(OR(AH!$P$3=0,1239+1&gt;AH!$P$11,AND(AH!$E$4&lt;&gt;"Stored",AH!$P$10&lt;&gt;1)),"",IFERROR(IF(AND(AH!$P$21=1,1239+1=AH!$P$11),TODAY(),IF(AH!$P$10=1,INDEX('Live History'!$A$5:$A$3004,AH!$P$13+1239),INDEX('AH History'!$A$1:$A$18046,AH!$P$7+1239))),""))</ns0:f>
        <ns0:v/>
      </ns0:c>
      <ns0:c r="B1244" s="219">
        <ns0:f>IFERROR(IF(AND(AH!$P$9&lt;&gt;1,$C1244&gt;0,$D1244&gt;0,$E1244&gt;0,$F1244&gt;0,$G1244&gt;0,$F1244&lt;=$A1244,$G1244&lt;=$A1244,$A1244-$F1244&lt;=10,$A1244-$G1244&lt;=5),$D1244*$E1244/$C1244-1,NA()),NA())</ns0:f>
        <ns0:v/>
      </ns0:c>
      <ns0:c r="C1244">
        <ns0:f>IFERROR(IF(ISNUMBER($A1244),IF(AND(AH!$P$10=1,AH!$P$12=1,$A1244=TODAY()),AH!$P$19,IF(AH!$P$10=1,INDEX('Live History'!$B$5:$B$3004,AH!$P$13+1239),INDEX('AH History'!$B$1:$B$18046,AH!$P$7+1239))),NA()),NA())</ns0:f>
        <ns0:v/>
      </ns0:c>
      <ns0:c r="D1244">
        <ns0:f>IFERROR(IF(ISNUMBER($A1244),IF(AND(AH!$P$10=1,AH!$P$12=1,$A1244=TODAY()),AH!$P$18,IF(AH!$P$10=1,INDEX('Live History'!$E$5:$E$3004,MATCH($A1244,'Live History'!$D$5:$D$3004,1)),INDEX('AH History'!$C$1:$C$18046,AH!$P$7+1239))),NA()),NA())</ns0:f>
        <ns0:v/>
      </ns0:c>
      <ns0:c r="E1244">
        <ns0:f>IFERROR(IF(ISNUMBER($A1244),IF(AND(AH!$P$10=1,AH!$P$12=1,$A1244=TODAY()),AH!$P$20,IF(AH!$P$10=1,INDEX('Live History'!$H$5:$H$3004,MATCH($A1244,'Live History'!$G$5:$G$3004,1)),INDEX('AH History'!$D$1:$D$18046,AH!$P$7+1239))),NA()),NA())</ns0:f>
        <ns0:v/>
      </ns0:c>
      <ns0:c r="F1244">
        <ns0:f>IFERROR(IF(ISNUMBER($A1244),IF(AND(AH!$P$10=1,AH!$P$12=1,$A1244=TODAY()),IF(AND(AH!$P$10=1,AH!$P$12=1,$A1244=TODAY()),TODAY(),NA()),IF(AH!$P$10=1,INDEX('Live History'!$D$5:$D$3004,MATCH($A1244,'Live History'!$D$5:$D$3004,1)),INDEX('AH History'!$E$1:$E$18046,AH!$P$7+1239))),NA()),NA())</ns0:f>
        <ns0:v/>
      </ns0:c>
      <ns0:c r="G1244">
        <ns0:f>IFERROR(IF(ISNUMBER($A1244),IF(AND(AH!$P$10=1,AH!$P$12=1,$A1244=TODAY()),IF(AND(AH!$P$10=1,AH!$P$12=1,$A1244=TODAY()),TODAY(),NA()),IF(AH!$P$10=1,INDEX('Live History'!$G$5:$G$3004,MATCH($A1244,'Live History'!$G$5:$G$3004,1)),INDEX('AH History'!$F$1:$F$18046,AH!$P$7+1239))),NA()),NA())</ns0:f>
        <ns0:v/>
      </ns0:c>
      <ns0:c r="H1244">
        <ns0:f>IFERROR(IF(AND(AH!$E$4="Bloomberg",AH!$P$10=1,ISNUMBER($A1244),$A1244&lt;=AH!$P$17),AH!$P$7-1+MATCH($A1244,INDEX('AH History'!$A$1:$A$18046,AH!$P$7):INDEX('AH History'!$A$1:$A$18046,AH!$P$7+AH!$P$8-1),0),0),0)</ns0:f>
        <ns0:v/>
      </ns0:c>
      <ns0:c r="I1244">
        <ns0:f>IF($H1244=0,0,IFERROR(IF(AND(ABS($C1244-INDEX('AH History'!$B$1:$B$18046,$H1244))&lt;=MAX(0.005,ABS(INDEX('AH History'!$B$1:$B$18046,$H1244))*0.00005),ABS($D1244-INDEX('AH History'!$C$1:$C$18046,$H1244))&lt;=MAX(0.005,ABS(INDEX('AH History'!$C$1:$C$18046,$H1244))*0.00005),ABS($E1244-INDEX('AH History'!$D$1:$D$18046,$H1244))&lt;=0.00005,$F1244=INDEX('AH History'!$E$1:$E$18046,$H1244),$G1244=INDEX('AH History'!$F$1:$F$18046,$H1244)),1,-1),-1))</ns0:f>
        <ns0:v/>
      </ns0:c>
    </ns0:row>
    <ns0:row r="1245">
      <ns0:c r="A1245" s="215">
        <ns0:f>IF(OR(AH!$P$3=0,1240+1&gt;AH!$P$11,AND(AH!$E$4&lt;&gt;"Stored",AH!$P$10&lt;&gt;1)),"",IFERROR(IF(AND(AH!$P$21=1,1240+1=AH!$P$11),TODAY(),IF(AH!$P$10=1,INDEX('Live History'!$A$5:$A$3004,AH!$P$13+1240),INDEX('AH History'!$A$1:$A$18046,AH!$P$7+1240))),""))</ns0:f>
        <ns0:v/>
      </ns0:c>
      <ns0:c r="B1245" s="219">
        <ns0:f>IFERROR(IF(AND(AH!$P$9&lt;&gt;1,$C1245&gt;0,$D1245&gt;0,$E1245&gt;0,$F1245&gt;0,$G1245&gt;0,$F1245&lt;=$A1245,$G1245&lt;=$A1245,$A1245-$F1245&lt;=10,$A1245-$G1245&lt;=5),$D1245*$E1245/$C1245-1,NA()),NA())</ns0:f>
        <ns0:v/>
      </ns0:c>
      <ns0:c r="C1245">
        <ns0:f>IFERROR(IF(ISNUMBER($A1245),IF(AND(AH!$P$10=1,AH!$P$12=1,$A1245=TODAY()),AH!$P$19,IF(AH!$P$10=1,INDEX('Live History'!$B$5:$B$3004,AH!$P$13+1240),INDEX('AH History'!$B$1:$B$18046,AH!$P$7+1240))),NA()),NA())</ns0:f>
        <ns0:v/>
      </ns0:c>
      <ns0:c r="D1245">
        <ns0:f>IFERROR(IF(ISNUMBER($A1245),IF(AND(AH!$P$10=1,AH!$P$12=1,$A1245=TODAY()),AH!$P$18,IF(AH!$P$10=1,INDEX('Live History'!$E$5:$E$3004,MATCH($A1245,'Live History'!$D$5:$D$3004,1)),INDEX('AH History'!$C$1:$C$18046,AH!$P$7+1240))),NA()),NA())</ns0:f>
        <ns0:v/>
      </ns0:c>
      <ns0:c r="E1245">
        <ns0:f>IFERROR(IF(ISNUMBER($A1245),IF(AND(AH!$P$10=1,AH!$P$12=1,$A1245=TODAY()),AH!$P$20,IF(AH!$P$10=1,INDEX('Live History'!$H$5:$H$3004,MATCH($A1245,'Live History'!$G$5:$G$3004,1)),INDEX('AH History'!$D$1:$D$18046,AH!$P$7+1240))),NA()),NA())</ns0:f>
        <ns0:v/>
      </ns0:c>
      <ns0:c r="F1245">
        <ns0:f>IFERROR(IF(ISNUMBER($A1245),IF(AND(AH!$P$10=1,AH!$P$12=1,$A1245=TODAY()),IF(AND(AH!$P$10=1,AH!$P$12=1,$A1245=TODAY()),TODAY(),NA()),IF(AH!$P$10=1,INDEX('Live History'!$D$5:$D$3004,MATCH($A1245,'Live History'!$D$5:$D$3004,1)),INDEX('AH History'!$E$1:$E$18046,AH!$P$7+1240))),NA()),NA())</ns0:f>
        <ns0:v/>
      </ns0:c>
      <ns0:c r="G1245">
        <ns0:f>IFERROR(IF(ISNUMBER($A1245),IF(AND(AH!$P$10=1,AH!$P$12=1,$A1245=TODAY()),IF(AND(AH!$P$10=1,AH!$P$12=1,$A1245=TODAY()),TODAY(),NA()),IF(AH!$P$10=1,INDEX('Live History'!$G$5:$G$3004,MATCH($A1245,'Live History'!$G$5:$G$3004,1)),INDEX('AH History'!$F$1:$F$18046,AH!$P$7+1240))),NA()),NA())</ns0:f>
        <ns0:v/>
      </ns0:c>
      <ns0:c r="H1245">
        <ns0:f>IFERROR(IF(AND(AH!$E$4="Bloomberg",AH!$P$10=1,ISNUMBER($A1245),$A1245&lt;=AH!$P$17),AH!$P$7-1+MATCH($A1245,INDEX('AH History'!$A$1:$A$18046,AH!$P$7):INDEX('AH History'!$A$1:$A$18046,AH!$P$7+AH!$P$8-1),0),0),0)</ns0:f>
        <ns0:v/>
      </ns0:c>
      <ns0:c r="I1245">
        <ns0:f>IF($H1245=0,0,IFERROR(IF(AND(ABS($C1245-INDEX('AH History'!$B$1:$B$18046,$H1245))&lt;=MAX(0.005,ABS(INDEX('AH History'!$B$1:$B$18046,$H1245))*0.00005),ABS($D1245-INDEX('AH History'!$C$1:$C$18046,$H1245))&lt;=MAX(0.005,ABS(INDEX('AH History'!$C$1:$C$18046,$H1245))*0.00005),ABS($E1245-INDEX('AH History'!$D$1:$D$18046,$H1245))&lt;=0.00005,$F1245=INDEX('AH History'!$E$1:$E$18046,$H1245),$G1245=INDEX('AH History'!$F$1:$F$18046,$H1245)),1,-1),-1))</ns0:f>
        <ns0:v/>
      </ns0:c>
    </ns0:row>
    <ns0:row r="1246">
      <ns0:c r="A1246" s="215">
        <ns0:f>IF(OR(AH!$P$3=0,1241+1&gt;AH!$P$11,AND(AH!$E$4&lt;&gt;"Stored",AH!$P$10&lt;&gt;1)),"",IFERROR(IF(AND(AH!$P$21=1,1241+1=AH!$P$11),TODAY(),IF(AH!$P$10=1,INDEX('Live History'!$A$5:$A$3004,AH!$P$13+1241),INDEX('AH History'!$A$1:$A$18046,AH!$P$7+1241))),""))</ns0:f>
        <ns0:v/>
      </ns0:c>
      <ns0:c r="B1246" s="219">
        <ns0:f>IFERROR(IF(AND(AH!$P$9&lt;&gt;1,$C1246&gt;0,$D1246&gt;0,$E1246&gt;0,$F1246&gt;0,$G1246&gt;0,$F1246&lt;=$A1246,$G1246&lt;=$A1246,$A1246-$F1246&lt;=10,$A1246-$G1246&lt;=5),$D1246*$E1246/$C1246-1,NA()),NA())</ns0:f>
        <ns0:v/>
      </ns0:c>
      <ns0:c r="C1246">
        <ns0:f>IFERROR(IF(ISNUMBER($A1246),IF(AND(AH!$P$10=1,AH!$P$12=1,$A1246=TODAY()),AH!$P$19,IF(AH!$P$10=1,INDEX('Live History'!$B$5:$B$3004,AH!$P$13+1241),INDEX('AH History'!$B$1:$B$18046,AH!$P$7+1241))),NA()),NA())</ns0:f>
        <ns0:v/>
      </ns0:c>
      <ns0:c r="D1246">
        <ns0:f>IFERROR(IF(ISNUMBER($A1246),IF(AND(AH!$P$10=1,AH!$P$12=1,$A1246=TODAY()),AH!$P$18,IF(AH!$P$10=1,INDEX('Live History'!$E$5:$E$3004,MATCH($A1246,'Live History'!$D$5:$D$3004,1)),INDEX('AH History'!$C$1:$C$18046,AH!$P$7+1241))),NA()),NA())</ns0:f>
        <ns0:v/>
      </ns0:c>
      <ns0:c r="E1246">
        <ns0:f>IFERROR(IF(ISNUMBER($A1246),IF(AND(AH!$P$10=1,AH!$P$12=1,$A1246=TODAY()),AH!$P$20,IF(AH!$P$10=1,INDEX('Live History'!$H$5:$H$3004,MATCH($A1246,'Live History'!$G$5:$G$3004,1)),INDEX('AH History'!$D$1:$D$18046,AH!$P$7+1241))),NA()),NA())</ns0:f>
        <ns0:v/>
      </ns0:c>
      <ns0:c r="F1246">
        <ns0:f>IFERROR(IF(ISNUMBER($A1246),IF(AND(AH!$P$10=1,AH!$P$12=1,$A1246=TODAY()),IF(AND(AH!$P$10=1,AH!$P$12=1,$A1246=TODAY()),TODAY(),NA()),IF(AH!$P$10=1,INDEX('Live History'!$D$5:$D$3004,MATCH($A1246,'Live History'!$D$5:$D$3004,1)),INDEX('AH History'!$E$1:$E$18046,AH!$P$7+1241))),NA()),NA())</ns0:f>
        <ns0:v/>
      </ns0:c>
      <ns0:c r="G1246">
        <ns0:f>IFERROR(IF(ISNUMBER($A1246),IF(AND(AH!$P$10=1,AH!$P$12=1,$A1246=TODAY()),IF(AND(AH!$P$10=1,AH!$P$12=1,$A1246=TODAY()),TODAY(),NA()),IF(AH!$P$10=1,INDEX('Live History'!$G$5:$G$3004,MATCH($A1246,'Live History'!$G$5:$G$3004,1)),INDEX('AH History'!$F$1:$F$18046,AH!$P$7+1241))),NA()),NA())</ns0:f>
        <ns0:v/>
      </ns0:c>
      <ns0:c r="H1246">
        <ns0:f>IFERROR(IF(AND(AH!$E$4="Bloomberg",AH!$P$10=1,ISNUMBER($A1246),$A1246&lt;=AH!$P$17),AH!$P$7-1+MATCH($A1246,INDEX('AH History'!$A$1:$A$18046,AH!$P$7):INDEX('AH History'!$A$1:$A$18046,AH!$P$7+AH!$P$8-1),0),0),0)</ns0:f>
        <ns0:v/>
      </ns0:c>
      <ns0:c r="I1246">
        <ns0:f>IF($H1246=0,0,IFERROR(IF(AND(ABS($C1246-INDEX('AH History'!$B$1:$B$18046,$H1246))&lt;=MAX(0.005,ABS(INDEX('AH History'!$B$1:$B$18046,$H1246))*0.00005),ABS($D1246-INDEX('AH History'!$C$1:$C$18046,$H1246))&lt;=MAX(0.005,ABS(INDEX('AH History'!$C$1:$C$18046,$H1246))*0.00005),ABS($E1246-INDEX('AH History'!$D$1:$D$18046,$H1246))&lt;=0.00005,$F1246=INDEX('AH History'!$E$1:$E$18046,$H1246),$G1246=INDEX('AH History'!$F$1:$F$18046,$H1246)),1,-1),-1))</ns0:f>
        <ns0:v/>
      </ns0:c>
    </ns0:row>
    <ns0:row r="1247">
      <ns0:c r="A1247" s="215">
        <ns0:f>IF(OR(AH!$P$3=0,1242+1&gt;AH!$P$11,AND(AH!$E$4&lt;&gt;"Stored",AH!$P$10&lt;&gt;1)),"",IFERROR(IF(AND(AH!$P$21=1,1242+1=AH!$P$11),TODAY(),IF(AH!$P$10=1,INDEX('Live History'!$A$5:$A$3004,AH!$P$13+1242),INDEX('AH History'!$A$1:$A$18046,AH!$P$7+1242))),""))</ns0:f>
        <ns0:v/>
      </ns0:c>
      <ns0:c r="B1247" s="219">
        <ns0:f>IFERROR(IF(AND(AH!$P$9&lt;&gt;1,$C1247&gt;0,$D1247&gt;0,$E1247&gt;0,$F1247&gt;0,$G1247&gt;0,$F1247&lt;=$A1247,$G1247&lt;=$A1247,$A1247-$F1247&lt;=10,$A1247-$G1247&lt;=5),$D1247*$E1247/$C1247-1,NA()),NA())</ns0:f>
        <ns0:v/>
      </ns0:c>
      <ns0:c r="C1247">
        <ns0:f>IFERROR(IF(ISNUMBER($A1247),IF(AND(AH!$P$10=1,AH!$P$12=1,$A1247=TODAY()),AH!$P$19,IF(AH!$P$10=1,INDEX('Live History'!$B$5:$B$3004,AH!$P$13+1242),INDEX('AH History'!$B$1:$B$18046,AH!$P$7+1242))),NA()),NA())</ns0:f>
        <ns0:v/>
      </ns0:c>
      <ns0:c r="D1247">
        <ns0:f>IFERROR(IF(ISNUMBER($A1247),IF(AND(AH!$P$10=1,AH!$P$12=1,$A1247=TODAY()),AH!$P$18,IF(AH!$P$10=1,INDEX('Live History'!$E$5:$E$3004,MATCH($A1247,'Live History'!$D$5:$D$3004,1)),INDEX('AH History'!$C$1:$C$18046,AH!$P$7+1242))),NA()),NA())</ns0:f>
        <ns0:v/>
      </ns0:c>
      <ns0:c r="E1247">
        <ns0:f>IFERROR(IF(ISNUMBER($A1247),IF(AND(AH!$P$10=1,AH!$P$12=1,$A1247=TODAY()),AH!$P$20,IF(AH!$P$10=1,INDEX('Live History'!$H$5:$H$3004,MATCH($A1247,'Live History'!$G$5:$G$3004,1)),INDEX('AH History'!$D$1:$D$18046,AH!$P$7+1242))),NA()),NA())</ns0:f>
        <ns0:v/>
      </ns0:c>
      <ns0:c r="F1247">
        <ns0:f>IFERROR(IF(ISNUMBER($A1247),IF(AND(AH!$P$10=1,AH!$P$12=1,$A1247=TODAY()),IF(AND(AH!$P$10=1,AH!$P$12=1,$A1247=TODAY()),TODAY(),NA()),IF(AH!$P$10=1,INDEX('Live History'!$D$5:$D$3004,MATCH($A1247,'Live History'!$D$5:$D$3004,1)),INDEX('AH History'!$E$1:$E$18046,AH!$P$7+1242))),NA()),NA())</ns0:f>
        <ns0:v/>
      </ns0:c>
      <ns0:c r="G1247">
        <ns0:f>IFERROR(IF(ISNUMBER($A1247),IF(AND(AH!$P$10=1,AH!$P$12=1,$A1247=TODAY()),IF(AND(AH!$P$10=1,AH!$P$12=1,$A1247=TODAY()),TODAY(),NA()),IF(AH!$P$10=1,INDEX('Live History'!$G$5:$G$3004,MATCH($A1247,'Live History'!$G$5:$G$3004,1)),INDEX('AH History'!$F$1:$F$18046,AH!$P$7+1242))),NA()),NA())</ns0:f>
        <ns0:v/>
      </ns0:c>
      <ns0:c r="H1247">
        <ns0:f>IFERROR(IF(AND(AH!$E$4="Bloomberg",AH!$P$10=1,ISNUMBER($A1247),$A1247&lt;=AH!$P$17),AH!$P$7-1+MATCH($A1247,INDEX('AH History'!$A$1:$A$18046,AH!$P$7):INDEX('AH History'!$A$1:$A$18046,AH!$P$7+AH!$P$8-1),0),0),0)</ns0:f>
        <ns0:v/>
      </ns0:c>
      <ns0:c r="I1247">
        <ns0:f>IF($H1247=0,0,IFERROR(IF(AND(ABS($C1247-INDEX('AH History'!$B$1:$B$18046,$H1247))&lt;=MAX(0.005,ABS(INDEX('AH History'!$B$1:$B$18046,$H1247))*0.00005),ABS($D1247-INDEX('AH History'!$C$1:$C$18046,$H1247))&lt;=MAX(0.005,ABS(INDEX('AH History'!$C$1:$C$18046,$H1247))*0.00005),ABS($E1247-INDEX('AH History'!$D$1:$D$18046,$H1247))&lt;=0.00005,$F1247=INDEX('AH History'!$E$1:$E$18046,$H1247),$G1247=INDEX('AH History'!$F$1:$F$18046,$H1247)),1,-1),-1))</ns0:f>
        <ns0:v/>
      </ns0:c>
    </ns0:row>
    <ns0:row r="1248">
      <ns0:c r="A1248" s="215">
        <ns0:f>IF(OR(AH!$P$3=0,1243+1&gt;AH!$P$11,AND(AH!$E$4&lt;&gt;"Stored",AH!$P$10&lt;&gt;1)),"",IFERROR(IF(AND(AH!$P$21=1,1243+1=AH!$P$11),TODAY(),IF(AH!$P$10=1,INDEX('Live History'!$A$5:$A$3004,AH!$P$13+1243),INDEX('AH History'!$A$1:$A$18046,AH!$P$7+1243))),""))</ns0:f>
        <ns0:v/>
      </ns0:c>
      <ns0:c r="B1248" s="219">
        <ns0:f>IFERROR(IF(AND(AH!$P$9&lt;&gt;1,$C1248&gt;0,$D1248&gt;0,$E1248&gt;0,$F1248&gt;0,$G1248&gt;0,$F1248&lt;=$A1248,$G1248&lt;=$A1248,$A1248-$F1248&lt;=10,$A1248-$G1248&lt;=5),$D1248*$E1248/$C1248-1,NA()),NA())</ns0:f>
        <ns0:v/>
      </ns0:c>
      <ns0:c r="C1248">
        <ns0:f>IFERROR(IF(ISNUMBER($A1248),IF(AND(AH!$P$10=1,AH!$P$12=1,$A1248=TODAY()),AH!$P$19,IF(AH!$P$10=1,INDEX('Live History'!$B$5:$B$3004,AH!$P$13+1243),INDEX('AH History'!$B$1:$B$18046,AH!$P$7+1243))),NA()),NA())</ns0:f>
        <ns0:v/>
      </ns0:c>
      <ns0:c r="D1248">
        <ns0:f>IFERROR(IF(ISNUMBER($A1248),IF(AND(AH!$P$10=1,AH!$P$12=1,$A1248=TODAY()),AH!$P$18,IF(AH!$P$10=1,INDEX('Live History'!$E$5:$E$3004,MATCH($A1248,'Live History'!$D$5:$D$3004,1)),INDEX('AH History'!$C$1:$C$18046,AH!$P$7+1243))),NA()),NA())</ns0:f>
        <ns0:v/>
      </ns0:c>
      <ns0:c r="E1248">
        <ns0:f>IFERROR(IF(ISNUMBER($A1248),IF(AND(AH!$P$10=1,AH!$P$12=1,$A1248=TODAY()),AH!$P$20,IF(AH!$P$10=1,INDEX('Live History'!$H$5:$H$3004,MATCH($A1248,'Live History'!$G$5:$G$3004,1)),INDEX('AH History'!$D$1:$D$18046,AH!$P$7+1243))),NA()),NA())</ns0:f>
        <ns0:v/>
      </ns0:c>
      <ns0:c r="F1248">
        <ns0:f>IFERROR(IF(ISNUMBER($A1248),IF(AND(AH!$P$10=1,AH!$P$12=1,$A1248=TODAY()),IF(AND(AH!$P$10=1,AH!$P$12=1,$A1248=TODAY()),TODAY(),NA()),IF(AH!$P$10=1,INDEX('Live History'!$D$5:$D$3004,MATCH($A1248,'Live History'!$D$5:$D$3004,1)),INDEX('AH History'!$E$1:$E$18046,AH!$P$7+1243))),NA()),NA())</ns0:f>
        <ns0:v/>
      </ns0:c>
      <ns0:c r="G1248">
        <ns0:f>IFERROR(IF(ISNUMBER($A1248),IF(AND(AH!$P$10=1,AH!$P$12=1,$A1248=TODAY()),IF(AND(AH!$P$10=1,AH!$P$12=1,$A1248=TODAY()),TODAY(),NA()),IF(AH!$P$10=1,INDEX('Live History'!$G$5:$G$3004,MATCH($A1248,'Live History'!$G$5:$G$3004,1)),INDEX('AH History'!$F$1:$F$18046,AH!$P$7+1243))),NA()),NA())</ns0:f>
        <ns0:v/>
      </ns0:c>
      <ns0:c r="H1248">
        <ns0:f>IFERROR(IF(AND(AH!$E$4="Bloomberg",AH!$P$10=1,ISNUMBER($A1248),$A1248&lt;=AH!$P$17),AH!$P$7-1+MATCH($A1248,INDEX('AH History'!$A$1:$A$18046,AH!$P$7):INDEX('AH History'!$A$1:$A$18046,AH!$P$7+AH!$P$8-1),0),0),0)</ns0:f>
        <ns0:v/>
      </ns0:c>
      <ns0:c r="I1248">
        <ns0:f>IF($H1248=0,0,IFERROR(IF(AND(ABS($C1248-INDEX('AH History'!$B$1:$B$18046,$H1248))&lt;=MAX(0.005,ABS(INDEX('AH History'!$B$1:$B$18046,$H1248))*0.00005),ABS($D1248-INDEX('AH History'!$C$1:$C$18046,$H1248))&lt;=MAX(0.005,ABS(INDEX('AH History'!$C$1:$C$18046,$H1248))*0.00005),ABS($E1248-INDEX('AH History'!$D$1:$D$18046,$H1248))&lt;=0.00005,$F1248=INDEX('AH History'!$E$1:$E$18046,$H1248),$G1248=INDEX('AH History'!$F$1:$F$18046,$H1248)),1,-1),-1))</ns0:f>
        <ns0:v/>
      </ns0:c>
    </ns0:row>
    <ns0:row r="1249">
      <ns0:c r="A1249" s="215">
        <ns0:f>IF(OR(AH!$P$3=0,1244+1&gt;AH!$P$11,AND(AH!$E$4&lt;&gt;"Stored",AH!$P$10&lt;&gt;1)),"",IFERROR(IF(AND(AH!$P$21=1,1244+1=AH!$P$11),TODAY(),IF(AH!$P$10=1,INDEX('Live History'!$A$5:$A$3004,AH!$P$13+1244),INDEX('AH History'!$A$1:$A$18046,AH!$P$7+1244))),""))</ns0:f>
        <ns0:v/>
      </ns0:c>
      <ns0:c r="B1249" s="219">
        <ns0:f>IFERROR(IF(AND(AH!$P$9&lt;&gt;1,$C1249&gt;0,$D1249&gt;0,$E1249&gt;0,$F1249&gt;0,$G1249&gt;0,$F1249&lt;=$A1249,$G1249&lt;=$A1249,$A1249-$F1249&lt;=10,$A1249-$G1249&lt;=5),$D1249*$E1249/$C1249-1,NA()),NA())</ns0:f>
        <ns0:v/>
      </ns0:c>
      <ns0:c r="C1249">
        <ns0:f>IFERROR(IF(ISNUMBER($A1249),IF(AND(AH!$P$10=1,AH!$P$12=1,$A1249=TODAY()),AH!$P$19,IF(AH!$P$10=1,INDEX('Live History'!$B$5:$B$3004,AH!$P$13+1244),INDEX('AH History'!$B$1:$B$18046,AH!$P$7+1244))),NA()),NA())</ns0:f>
        <ns0:v/>
      </ns0:c>
      <ns0:c r="D1249">
        <ns0:f>IFERROR(IF(ISNUMBER($A1249),IF(AND(AH!$P$10=1,AH!$P$12=1,$A1249=TODAY()),AH!$P$18,IF(AH!$P$10=1,INDEX('Live History'!$E$5:$E$3004,MATCH($A1249,'Live History'!$D$5:$D$3004,1)),INDEX('AH History'!$C$1:$C$18046,AH!$P$7+1244))),NA()),NA())</ns0:f>
        <ns0:v/>
      </ns0:c>
      <ns0:c r="E1249">
        <ns0:f>IFERROR(IF(ISNUMBER($A1249),IF(AND(AH!$P$10=1,AH!$P$12=1,$A1249=TODAY()),AH!$P$20,IF(AH!$P$10=1,INDEX('Live History'!$H$5:$H$3004,MATCH($A1249,'Live History'!$G$5:$G$3004,1)),INDEX('AH History'!$D$1:$D$18046,AH!$P$7+1244))),NA()),NA())</ns0:f>
        <ns0:v/>
      </ns0:c>
      <ns0:c r="F1249">
        <ns0:f>IFERROR(IF(ISNUMBER($A1249),IF(AND(AH!$P$10=1,AH!$P$12=1,$A1249=TODAY()),IF(AND(AH!$P$10=1,AH!$P$12=1,$A1249=TODAY()),TODAY(),NA()),IF(AH!$P$10=1,INDEX('Live History'!$D$5:$D$3004,MATCH($A1249,'Live History'!$D$5:$D$3004,1)),INDEX('AH History'!$E$1:$E$18046,AH!$P$7+1244))),NA()),NA())</ns0:f>
        <ns0:v/>
      </ns0:c>
      <ns0:c r="G1249">
        <ns0:f>IFERROR(IF(ISNUMBER($A1249),IF(AND(AH!$P$10=1,AH!$P$12=1,$A1249=TODAY()),IF(AND(AH!$P$10=1,AH!$P$12=1,$A1249=TODAY()),TODAY(),NA()),IF(AH!$P$10=1,INDEX('Live History'!$G$5:$G$3004,MATCH($A1249,'Live History'!$G$5:$G$3004,1)),INDEX('AH History'!$F$1:$F$18046,AH!$P$7+1244))),NA()),NA())</ns0:f>
        <ns0:v/>
      </ns0:c>
      <ns0:c r="H1249">
        <ns0:f>IFERROR(IF(AND(AH!$E$4="Bloomberg",AH!$P$10=1,ISNUMBER($A1249),$A1249&lt;=AH!$P$17),AH!$P$7-1+MATCH($A1249,INDEX('AH History'!$A$1:$A$18046,AH!$P$7):INDEX('AH History'!$A$1:$A$18046,AH!$P$7+AH!$P$8-1),0),0),0)</ns0:f>
        <ns0:v/>
      </ns0:c>
      <ns0:c r="I1249">
        <ns0:f>IF($H1249=0,0,IFERROR(IF(AND(ABS($C1249-INDEX('AH History'!$B$1:$B$18046,$H1249))&lt;=MAX(0.005,ABS(INDEX('AH History'!$B$1:$B$18046,$H1249))*0.00005),ABS($D1249-INDEX('AH History'!$C$1:$C$18046,$H1249))&lt;=MAX(0.005,ABS(INDEX('AH History'!$C$1:$C$18046,$H1249))*0.00005),ABS($E1249-INDEX('AH History'!$D$1:$D$18046,$H1249))&lt;=0.00005,$F1249=INDEX('AH History'!$E$1:$E$18046,$H1249),$G1249=INDEX('AH History'!$F$1:$F$18046,$H1249)),1,-1),-1))</ns0:f>
        <ns0:v/>
      </ns0:c>
    </ns0:row>
    <ns0:row r="1250">
      <ns0:c r="A1250" s="215">
        <ns0:f>IF(OR(AH!$P$3=0,1245+1&gt;AH!$P$11,AND(AH!$E$4&lt;&gt;"Stored",AH!$P$10&lt;&gt;1)),"",IFERROR(IF(AND(AH!$P$21=1,1245+1=AH!$P$11),TODAY(),IF(AH!$P$10=1,INDEX('Live History'!$A$5:$A$3004,AH!$P$13+1245),INDEX('AH History'!$A$1:$A$18046,AH!$P$7+1245))),""))</ns0:f>
        <ns0:v/>
      </ns0:c>
      <ns0:c r="B1250" s="219">
        <ns0:f>IFERROR(IF(AND(AH!$P$9&lt;&gt;1,$C1250&gt;0,$D1250&gt;0,$E1250&gt;0,$F1250&gt;0,$G1250&gt;0,$F1250&lt;=$A1250,$G1250&lt;=$A1250,$A1250-$F1250&lt;=10,$A1250-$G1250&lt;=5),$D1250*$E1250/$C1250-1,NA()),NA())</ns0:f>
        <ns0:v/>
      </ns0:c>
      <ns0:c r="C1250">
        <ns0:f>IFERROR(IF(ISNUMBER($A1250),IF(AND(AH!$P$10=1,AH!$P$12=1,$A1250=TODAY()),AH!$P$19,IF(AH!$P$10=1,INDEX('Live History'!$B$5:$B$3004,AH!$P$13+1245),INDEX('AH History'!$B$1:$B$18046,AH!$P$7+1245))),NA()),NA())</ns0:f>
        <ns0:v/>
      </ns0:c>
      <ns0:c r="D1250">
        <ns0:f>IFERROR(IF(ISNUMBER($A1250),IF(AND(AH!$P$10=1,AH!$P$12=1,$A1250=TODAY()),AH!$P$18,IF(AH!$P$10=1,INDEX('Live History'!$E$5:$E$3004,MATCH($A1250,'Live History'!$D$5:$D$3004,1)),INDEX('AH History'!$C$1:$C$18046,AH!$P$7+1245))),NA()),NA())</ns0:f>
        <ns0:v/>
      </ns0:c>
      <ns0:c r="E1250">
        <ns0:f>IFERROR(IF(ISNUMBER($A1250),IF(AND(AH!$P$10=1,AH!$P$12=1,$A1250=TODAY()),AH!$P$20,IF(AH!$P$10=1,INDEX('Live History'!$H$5:$H$3004,MATCH($A1250,'Live History'!$G$5:$G$3004,1)),INDEX('AH History'!$D$1:$D$18046,AH!$P$7+1245))),NA()),NA())</ns0:f>
        <ns0:v/>
      </ns0:c>
      <ns0:c r="F1250">
        <ns0:f>IFERROR(IF(ISNUMBER($A1250),IF(AND(AH!$P$10=1,AH!$P$12=1,$A1250=TODAY()),IF(AND(AH!$P$10=1,AH!$P$12=1,$A1250=TODAY()),TODAY(),NA()),IF(AH!$P$10=1,INDEX('Live History'!$D$5:$D$3004,MATCH($A1250,'Live History'!$D$5:$D$3004,1)),INDEX('AH History'!$E$1:$E$18046,AH!$P$7+1245))),NA()),NA())</ns0:f>
        <ns0:v/>
      </ns0:c>
      <ns0:c r="G1250">
        <ns0:f>IFERROR(IF(ISNUMBER($A1250),IF(AND(AH!$P$10=1,AH!$P$12=1,$A1250=TODAY()),IF(AND(AH!$P$10=1,AH!$P$12=1,$A1250=TODAY()),TODAY(),NA()),IF(AH!$P$10=1,INDEX('Live History'!$G$5:$G$3004,MATCH($A1250,'Live History'!$G$5:$G$3004,1)),INDEX('AH History'!$F$1:$F$18046,AH!$P$7+1245))),NA()),NA())</ns0:f>
        <ns0:v/>
      </ns0:c>
      <ns0:c r="H1250">
        <ns0:f>IFERROR(IF(AND(AH!$E$4="Bloomberg",AH!$P$10=1,ISNUMBER($A1250),$A1250&lt;=AH!$P$17),AH!$P$7-1+MATCH($A1250,INDEX('AH History'!$A$1:$A$18046,AH!$P$7):INDEX('AH History'!$A$1:$A$18046,AH!$P$7+AH!$P$8-1),0),0),0)</ns0:f>
        <ns0:v/>
      </ns0:c>
      <ns0:c r="I1250">
        <ns0:f>IF($H1250=0,0,IFERROR(IF(AND(ABS($C1250-INDEX('AH History'!$B$1:$B$18046,$H1250))&lt;=MAX(0.005,ABS(INDEX('AH History'!$B$1:$B$18046,$H1250))*0.00005),ABS($D1250-INDEX('AH History'!$C$1:$C$18046,$H1250))&lt;=MAX(0.005,ABS(INDEX('AH History'!$C$1:$C$18046,$H1250))*0.00005),ABS($E1250-INDEX('AH History'!$D$1:$D$18046,$H1250))&lt;=0.00005,$F1250=INDEX('AH History'!$E$1:$E$18046,$H1250),$G1250=INDEX('AH History'!$F$1:$F$18046,$H1250)),1,-1),-1))</ns0:f>
        <ns0:v/>
      </ns0:c>
    </ns0:row>
    <ns0:row r="1251">
      <ns0:c r="A1251" s="215">
        <ns0:f>IF(OR(AH!$P$3=0,1246+1&gt;AH!$P$11,AND(AH!$E$4&lt;&gt;"Stored",AH!$P$10&lt;&gt;1)),"",IFERROR(IF(AND(AH!$P$21=1,1246+1=AH!$P$11),TODAY(),IF(AH!$P$10=1,INDEX('Live History'!$A$5:$A$3004,AH!$P$13+1246),INDEX('AH History'!$A$1:$A$18046,AH!$P$7+1246))),""))</ns0:f>
        <ns0:v/>
      </ns0:c>
      <ns0:c r="B1251" s="219">
        <ns0:f>IFERROR(IF(AND(AH!$P$9&lt;&gt;1,$C1251&gt;0,$D1251&gt;0,$E1251&gt;0,$F1251&gt;0,$G1251&gt;0,$F1251&lt;=$A1251,$G1251&lt;=$A1251,$A1251-$F1251&lt;=10,$A1251-$G1251&lt;=5),$D1251*$E1251/$C1251-1,NA()),NA())</ns0:f>
        <ns0:v/>
      </ns0:c>
      <ns0:c r="C1251">
        <ns0:f>IFERROR(IF(ISNUMBER($A1251),IF(AND(AH!$P$10=1,AH!$P$12=1,$A1251=TODAY()),AH!$P$19,IF(AH!$P$10=1,INDEX('Live History'!$B$5:$B$3004,AH!$P$13+1246),INDEX('AH History'!$B$1:$B$18046,AH!$P$7+1246))),NA()),NA())</ns0:f>
        <ns0:v/>
      </ns0:c>
      <ns0:c r="D1251">
        <ns0:f>IFERROR(IF(ISNUMBER($A1251),IF(AND(AH!$P$10=1,AH!$P$12=1,$A1251=TODAY()),AH!$P$18,IF(AH!$P$10=1,INDEX('Live History'!$E$5:$E$3004,MATCH($A1251,'Live History'!$D$5:$D$3004,1)),INDEX('AH History'!$C$1:$C$18046,AH!$P$7+1246))),NA()),NA())</ns0:f>
        <ns0:v/>
      </ns0:c>
      <ns0:c r="E1251">
        <ns0:f>IFERROR(IF(ISNUMBER($A1251),IF(AND(AH!$P$10=1,AH!$P$12=1,$A1251=TODAY()),AH!$P$20,IF(AH!$P$10=1,INDEX('Live History'!$H$5:$H$3004,MATCH($A1251,'Live History'!$G$5:$G$3004,1)),INDEX('AH History'!$D$1:$D$18046,AH!$P$7+1246))),NA()),NA())</ns0:f>
        <ns0:v/>
      </ns0:c>
      <ns0:c r="F1251">
        <ns0:f>IFERROR(IF(ISNUMBER($A1251),IF(AND(AH!$P$10=1,AH!$P$12=1,$A1251=TODAY()),IF(AND(AH!$P$10=1,AH!$P$12=1,$A1251=TODAY()),TODAY(),NA()),IF(AH!$P$10=1,INDEX('Live History'!$D$5:$D$3004,MATCH($A1251,'Live History'!$D$5:$D$3004,1)),INDEX('AH History'!$E$1:$E$18046,AH!$P$7+1246))),NA()),NA())</ns0:f>
        <ns0:v/>
      </ns0:c>
      <ns0:c r="G1251">
        <ns0:f>IFERROR(IF(ISNUMBER($A1251),IF(AND(AH!$P$10=1,AH!$P$12=1,$A1251=TODAY()),IF(AND(AH!$P$10=1,AH!$P$12=1,$A1251=TODAY()),TODAY(),NA()),IF(AH!$P$10=1,INDEX('Live History'!$G$5:$G$3004,MATCH($A1251,'Live History'!$G$5:$G$3004,1)),INDEX('AH History'!$F$1:$F$18046,AH!$P$7+1246))),NA()),NA())</ns0:f>
        <ns0:v/>
      </ns0:c>
      <ns0:c r="H1251">
        <ns0:f>IFERROR(IF(AND(AH!$E$4="Bloomberg",AH!$P$10=1,ISNUMBER($A1251),$A1251&lt;=AH!$P$17),AH!$P$7-1+MATCH($A1251,INDEX('AH History'!$A$1:$A$18046,AH!$P$7):INDEX('AH History'!$A$1:$A$18046,AH!$P$7+AH!$P$8-1),0),0),0)</ns0:f>
        <ns0:v/>
      </ns0:c>
      <ns0:c r="I1251">
        <ns0:f>IF($H1251=0,0,IFERROR(IF(AND(ABS($C1251-INDEX('AH History'!$B$1:$B$18046,$H1251))&lt;=MAX(0.005,ABS(INDEX('AH History'!$B$1:$B$18046,$H1251))*0.00005),ABS($D1251-INDEX('AH History'!$C$1:$C$18046,$H1251))&lt;=MAX(0.005,ABS(INDEX('AH History'!$C$1:$C$18046,$H1251))*0.00005),ABS($E1251-INDEX('AH History'!$D$1:$D$18046,$H1251))&lt;=0.00005,$F1251=INDEX('AH History'!$E$1:$E$18046,$H1251),$G1251=INDEX('AH History'!$F$1:$F$18046,$H1251)),1,-1),-1))</ns0:f>
        <ns0:v/>
      </ns0:c>
    </ns0:row>
    <ns0:row r="1252">
      <ns0:c r="A1252" s="215">
        <ns0:f>IF(OR(AH!$P$3=0,1247+1&gt;AH!$P$11,AND(AH!$E$4&lt;&gt;"Stored",AH!$P$10&lt;&gt;1)),"",IFERROR(IF(AND(AH!$P$21=1,1247+1=AH!$P$11),TODAY(),IF(AH!$P$10=1,INDEX('Live History'!$A$5:$A$3004,AH!$P$13+1247),INDEX('AH History'!$A$1:$A$18046,AH!$P$7+1247))),""))</ns0:f>
        <ns0:v/>
      </ns0:c>
      <ns0:c r="B1252" s="219">
        <ns0:f>IFERROR(IF(AND(AH!$P$9&lt;&gt;1,$C1252&gt;0,$D1252&gt;0,$E1252&gt;0,$F1252&gt;0,$G1252&gt;0,$F1252&lt;=$A1252,$G1252&lt;=$A1252,$A1252-$F1252&lt;=10,$A1252-$G1252&lt;=5),$D1252*$E1252/$C1252-1,NA()),NA())</ns0:f>
        <ns0:v/>
      </ns0:c>
      <ns0:c r="C1252">
        <ns0:f>IFERROR(IF(ISNUMBER($A1252),IF(AND(AH!$P$10=1,AH!$P$12=1,$A1252=TODAY()),AH!$P$19,IF(AH!$P$10=1,INDEX('Live History'!$B$5:$B$3004,AH!$P$13+1247),INDEX('AH History'!$B$1:$B$18046,AH!$P$7+1247))),NA()),NA())</ns0:f>
        <ns0:v/>
      </ns0:c>
      <ns0:c r="D1252">
        <ns0:f>IFERROR(IF(ISNUMBER($A1252),IF(AND(AH!$P$10=1,AH!$P$12=1,$A1252=TODAY()),AH!$P$18,IF(AH!$P$10=1,INDEX('Live History'!$E$5:$E$3004,MATCH($A1252,'Live History'!$D$5:$D$3004,1)),INDEX('AH History'!$C$1:$C$18046,AH!$P$7+1247))),NA()),NA())</ns0:f>
        <ns0:v/>
      </ns0:c>
      <ns0:c r="E1252">
        <ns0:f>IFERROR(IF(ISNUMBER($A1252),IF(AND(AH!$P$10=1,AH!$P$12=1,$A1252=TODAY()),AH!$P$20,IF(AH!$P$10=1,INDEX('Live History'!$H$5:$H$3004,MATCH($A1252,'Live History'!$G$5:$G$3004,1)),INDEX('AH History'!$D$1:$D$18046,AH!$P$7+1247))),NA()),NA())</ns0:f>
        <ns0:v/>
      </ns0:c>
      <ns0:c r="F1252">
        <ns0:f>IFERROR(IF(ISNUMBER($A1252),IF(AND(AH!$P$10=1,AH!$P$12=1,$A1252=TODAY()),IF(AND(AH!$P$10=1,AH!$P$12=1,$A1252=TODAY()),TODAY(),NA()),IF(AH!$P$10=1,INDEX('Live History'!$D$5:$D$3004,MATCH($A1252,'Live History'!$D$5:$D$3004,1)),INDEX('AH History'!$E$1:$E$18046,AH!$P$7+1247))),NA()),NA())</ns0:f>
        <ns0:v/>
      </ns0:c>
      <ns0:c r="G1252">
        <ns0:f>IFERROR(IF(ISNUMBER($A1252),IF(AND(AH!$P$10=1,AH!$P$12=1,$A1252=TODAY()),IF(AND(AH!$P$10=1,AH!$P$12=1,$A1252=TODAY()),TODAY(),NA()),IF(AH!$P$10=1,INDEX('Live History'!$G$5:$G$3004,MATCH($A1252,'Live History'!$G$5:$G$3004,1)),INDEX('AH History'!$F$1:$F$18046,AH!$P$7+1247))),NA()),NA())</ns0:f>
        <ns0:v/>
      </ns0:c>
      <ns0:c r="H1252">
        <ns0:f>IFERROR(IF(AND(AH!$E$4="Bloomberg",AH!$P$10=1,ISNUMBER($A1252),$A1252&lt;=AH!$P$17),AH!$P$7-1+MATCH($A1252,INDEX('AH History'!$A$1:$A$18046,AH!$P$7):INDEX('AH History'!$A$1:$A$18046,AH!$P$7+AH!$P$8-1),0),0),0)</ns0:f>
        <ns0:v/>
      </ns0:c>
      <ns0:c r="I1252">
        <ns0:f>IF($H1252=0,0,IFERROR(IF(AND(ABS($C1252-INDEX('AH History'!$B$1:$B$18046,$H1252))&lt;=MAX(0.005,ABS(INDEX('AH History'!$B$1:$B$18046,$H1252))*0.00005),ABS($D1252-INDEX('AH History'!$C$1:$C$18046,$H1252))&lt;=MAX(0.005,ABS(INDEX('AH History'!$C$1:$C$18046,$H1252))*0.00005),ABS($E1252-INDEX('AH History'!$D$1:$D$18046,$H1252))&lt;=0.00005,$F1252=INDEX('AH History'!$E$1:$E$18046,$H1252),$G1252=INDEX('AH History'!$F$1:$F$18046,$H1252)),1,-1),-1))</ns0:f>
        <ns0:v/>
      </ns0:c>
    </ns0:row>
    <ns0:row r="1253">
      <ns0:c r="A1253" s="215">
        <ns0:f>IF(OR(AH!$P$3=0,1248+1&gt;AH!$P$11,AND(AH!$E$4&lt;&gt;"Stored",AH!$P$10&lt;&gt;1)),"",IFERROR(IF(AND(AH!$P$21=1,1248+1=AH!$P$11),TODAY(),IF(AH!$P$10=1,INDEX('Live History'!$A$5:$A$3004,AH!$P$13+1248),INDEX('AH History'!$A$1:$A$18046,AH!$P$7+1248))),""))</ns0:f>
        <ns0:v/>
      </ns0:c>
      <ns0:c r="B1253" s="219">
        <ns0:f>IFERROR(IF(AND(AH!$P$9&lt;&gt;1,$C1253&gt;0,$D1253&gt;0,$E1253&gt;0,$F1253&gt;0,$G1253&gt;0,$F1253&lt;=$A1253,$G1253&lt;=$A1253,$A1253-$F1253&lt;=10,$A1253-$G1253&lt;=5),$D1253*$E1253/$C1253-1,NA()),NA())</ns0:f>
        <ns0:v/>
      </ns0:c>
      <ns0:c r="C1253">
        <ns0:f>IFERROR(IF(ISNUMBER($A1253),IF(AND(AH!$P$10=1,AH!$P$12=1,$A1253=TODAY()),AH!$P$19,IF(AH!$P$10=1,INDEX('Live History'!$B$5:$B$3004,AH!$P$13+1248),INDEX('AH History'!$B$1:$B$18046,AH!$P$7+1248))),NA()),NA())</ns0:f>
        <ns0:v/>
      </ns0:c>
      <ns0:c r="D1253">
        <ns0:f>IFERROR(IF(ISNUMBER($A1253),IF(AND(AH!$P$10=1,AH!$P$12=1,$A1253=TODAY()),AH!$P$18,IF(AH!$P$10=1,INDEX('Live History'!$E$5:$E$3004,MATCH($A1253,'Live History'!$D$5:$D$3004,1)),INDEX('AH History'!$C$1:$C$18046,AH!$P$7+1248))),NA()),NA())</ns0:f>
        <ns0:v/>
      </ns0:c>
      <ns0:c r="E1253">
        <ns0:f>IFERROR(IF(ISNUMBER($A1253),IF(AND(AH!$P$10=1,AH!$P$12=1,$A1253=TODAY()),AH!$P$20,IF(AH!$P$10=1,INDEX('Live History'!$H$5:$H$3004,MATCH($A1253,'Live History'!$G$5:$G$3004,1)),INDEX('AH History'!$D$1:$D$18046,AH!$P$7+1248))),NA()),NA())</ns0:f>
        <ns0:v/>
      </ns0:c>
      <ns0:c r="F1253">
        <ns0:f>IFERROR(IF(ISNUMBER($A1253),IF(AND(AH!$P$10=1,AH!$P$12=1,$A1253=TODAY()),IF(AND(AH!$P$10=1,AH!$P$12=1,$A1253=TODAY()),TODAY(),NA()),IF(AH!$P$10=1,INDEX('Live History'!$D$5:$D$3004,MATCH($A1253,'Live History'!$D$5:$D$3004,1)),INDEX('AH History'!$E$1:$E$18046,AH!$P$7+1248))),NA()),NA())</ns0:f>
        <ns0:v/>
      </ns0:c>
      <ns0:c r="G1253">
        <ns0:f>IFERROR(IF(ISNUMBER($A1253),IF(AND(AH!$P$10=1,AH!$P$12=1,$A1253=TODAY()),IF(AND(AH!$P$10=1,AH!$P$12=1,$A1253=TODAY()),TODAY(),NA()),IF(AH!$P$10=1,INDEX('Live History'!$G$5:$G$3004,MATCH($A1253,'Live History'!$G$5:$G$3004,1)),INDEX('AH History'!$F$1:$F$18046,AH!$P$7+1248))),NA()),NA())</ns0:f>
        <ns0:v/>
      </ns0:c>
      <ns0:c r="H1253">
        <ns0:f>IFERROR(IF(AND(AH!$E$4="Bloomberg",AH!$P$10=1,ISNUMBER($A1253),$A1253&lt;=AH!$P$17),AH!$P$7-1+MATCH($A1253,INDEX('AH History'!$A$1:$A$18046,AH!$P$7):INDEX('AH History'!$A$1:$A$18046,AH!$P$7+AH!$P$8-1),0),0),0)</ns0:f>
        <ns0:v/>
      </ns0:c>
      <ns0:c r="I1253">
        <ns0:f>IF($H1253=0,0,IFERROR(IF(AND(ABS($C1253-INDEX('AH History'!$B$1:$B$18046,$H1253))&lt;=MAX(0.005,ABS(INDEX('AH History'!$B$1:$B$18046,$H1253))*0.00005),ABS($D1253-INDEX('AH History'!$C$1:$C$18046,$H1253))&lt;=MAX(0.005,ABS(INDEX('AH History'!$C$1:$C$18046,$H1253))*0.00005),ABS($E1253-INDEX('AH History'!$D$1:$D$18046,$H1253))&lt;=0.00005,$F1253=INDEX('AH History'!$E$1:$E$18046,$H1253),$G1253=INDEX('AH History'!$F$1:$F$18046,$H1253)),1,-1),-1))</ns0:f>
        <ns0:v/>
      </ns0:c>
    </ns0:row>
    <ns0:row r="1254">
      <ns0:c r="A1254" s="215">
        <ns0:f>IF(OR(AH!$P$3=0,1249+1&gt;AH!$P$11,AND(AH!$E$4&lt;&gt;"Stored",AH!$P$10&lt;&gt;1)),"",IFERROR(IF(AND(AH!$P$21=1,1249+1=AH!$P$11),TODAY(),IF(AH!$P$10=1,INDEX('Live History'!$A$5:$A$3004,AH!$P$13+1249),INDEX('AH History'!$A$1:$A$18046,AH!$P$7+1249))),""))</ns0:f>
        <ns0:v/>
      </ns0:c>
      <ns0:c r="B1254" s="219">
        <ns0:f>IFERROR(IF(AND(AH!$P$9&lt;&gt;1,$C1254&gt;0,$D1254&gt;0,$E1254&gt;0,$F1254&gt;0,$G1254&gt;0,$F1254&lt;=$A1254,$G1254&lt;=$A1254,$A1254-$F1254&lt;=10,$A1254-$G1254&lt;=5),$D1254*$E1254/$C1254-1,NA()),NA())</ns0:f>
        <ns0:v/>
      </ns0:c>
      <ns0:c r="C1254">
        <ns0:f>IFERROR(IF(ISNUMBER($A1254),IF(AND(AH!$P$10=1,AH!$P$12=1,$A1254=TODAY()),AH!$P$19,IF(AH!$P$10=1,INDEX('Live History'!$B$5:$B$3004,AH!$P$13+1249),INDEX('AH History'!$B$1:$B$18046,AH!$P$7+1249))),NA()),NA())</ns0:f>
        <ns0:v/>
      </ns0:c>
      <ns0:c r="D1254">
        <ns0:f>IFERROR(IF(ISNUMBER($A1254),IF(AND(AH!$P$10=1,AH!$P$12=1,$A1254=TODAY()),AH!$P$18,IF(AH!$P$10=1,INDEX('Live History'!$E$5:$E$3004,MATCH($A1254,'Live History'!$D$5:$D$3004,1)),INDEX('AH History'!$C$1:$C$18046,AH!$P$7+1249))),NA()),NA())</ns0:f>
        <ns0:v/>
      </ns0:c>
      <ns0:c r="E1254">
        <ns0:f>IFERROR(IF(ISNUMBER($A1254),IF(AND(AH!$P$10=1,AH!$P$12=1,$A1254=TODAY()),AH!$P$20,IF(AH!$P$10=1,INDEX('Live History'!$H$5:$H$3004,MATCH($A1254,'Live History'!$G$5:$G$3004,1)),INDEX('AH History'!$D$1:$D$18046,AH!$P$7+1249))),NA()),NA())</ns0:f>
        <ns0:v/>
      </ns0:c>
      <ns0:c r="F1254">
        <ns0:f>IFERROR(IF(ISNUMBER($A1254),IF(AND(AH!$P$10=1,AH!$P$12=1,$A1254=TODAY()),IF(AND(AH!$P$10=1,AH!$P$12=1,$A1254=TODAY()),TODAY(),NA()),IF(AH!$P$10=1,INDEX('Live History'!$D$5:$D$3004,MATCH($A1254,'Live History'!$D$5:$D$3004,1)),INDEX('AH History'!$E$1:$E$18046,AH!$P$7+1249))),NA()),NA())</ns0:f>
        <ns0:v/>
      </ns0:c>
      <ns0:c r="G1254">
        <ns0:f>IFERROR(IF(ISNUMBER($A1254),IF(AND(AH!$P$10=1,AH!$P$12=1,$A1254=TODAY()),IF(AND(AH!$P$10=1,AH!$P$12=1,$A1254=TODAY()),TODAY(),NA()),IF(AH!$P$10=1,INDEX('Live History'!$G$5:$G$3004,MATCH($A1254,'Live History'!$G$5:$G$3004,1)),INDEX('AH History'!$F$1:$F$18046,AH!$P$7+1249))),NA()),NA())</ns0:f>
        <ns0:v/>
      </ns0:c>
      <ns0:c r="H1254">
        <ns0:f>IFERROR(IF(AND(AH!$E$4="Bloomberg",AH!$P$10=1,ISNUMBER($A1254),$A1254&lt;=AH!$P$17),AH!$P$7-1+MATCH($A1254,INDEX('AH History'!$A$1:$A$18046,AH!$P$7):INDEX('AH History'!$A$1:$A$18046,AH!$P$7+AH!$P$8-1),0),0),0)</ns0:f>
        <ns0:v/>
      </ns0:c>
      <ns0:c r="I1254">
        <ns0:f>IF($H1254=0,0,IFERROR(IF(AND(ABS($C1254-INDEX('AH History'!$B$1:$B$18046,$H1254))&lt;=MAX(0.005,ABS(INDEX('AH History'!$B$1:$B$18046,$H1254))*0.00005),ABS($D1254-INDEX('AH History'!$C$1:$C$18046,$H1254))&lt;=MAX(0.005,ABS(INDEX('AH History'!$C$1:$C$18046,$H1254))*0.00005),ABS($E1254-INDEX('AH History'!$D$1:$D$18046,$H1254))&lt;=0.00005,$F1254=INDEX('AH History'!$E$1:$E$18046,$H1254),$G1254=INDEX('AH History'!$F$1:$F$18046,$H1254)),1,-1),-1))</ns0:f>
        <ns0:v/>
      </ns0:c>
    </ns0:row>
    <ns0:row r="1255">
      <ns0:c r="A1255" s="215">
        <ns0:f>IF(OR(AH!$P$3=0,1250+1&gt;AH!$P$11,AND(AH!$E$4&lt;&gt;"Stored",AH!$P$10&lt;&gt;1)),"",IFERROR(IF(AND(AH!$P$21=1,1250+1=AH!$P$11),TODAY(),IF(AH!$P$10=1,INDEX('Live History'!$A$5:$A$3004,AH!$P$13+1250),INDEX('AH History'!$A$1:$A$18046,AH!$P$7+1250))),""))</ns0:f>
        <ns0:v/>
      </ns0:c>
      <ns0:c r="B1255" s="219">
        <ns0:f>IFERROR(IF(AND(AH!$P$9&lt;&gt;1,$C1255&gt;0,$D1255&gt;0,$E1255&gt;0,$F1255&gt;0,$G1255&gt;0,$F1255&lt;=$A1255,$G1255&lt;=$A1255,$A1255-$F1255&lt;=10,$A1255-$G1255&lt;=5),$D1255*$E1255/$C1255-1,NA()),NA())</ns0:f>
        <ns0:v/>
      </ns0:c>
      <ns0:c r="C1255">
        <ns0:f>IFERROR(IF(ISNUMBER($A1255),IF(AND(AH!$P$10=1,AH!$P$12=1,$A1255=TODAY()),AH!$P$19,IF(AH!$P$10=1,INDEX('Live History'!$B$5:$B$3004,AH!$P$13+1250),INDEX('AH History'!$B$1:$B$18046,AH!$P$7+1250))),NA()),NA())</ns0:f>
        <ns0:v/>
      </ns0:c>
      <ns0:c r="D1255">
        <ns0:f>IFERROR(IF(ISNUMBER($A1255),IF(AND(AH!$P$10=1,AH!$P$12=1,$A1255=TODAY()),AH!$P$18,IF(AH!$P$10=1,INDEX('Live History'!$E$5:$E$3004,MATCH($A1255,'Live History'!$D$5:$D$3004,1)),INDEX('AH History'!$C$1:$C$18046,AH!$P$7+1250))),NA()),NA())</ns0:f>
        <ns0:v/>
      </ns0:c>
      <ns0:c r="E1255">
        <ns0:f>IFERROR(IF(ISNUMBER($A1255),IF(AND(AH!$P$10=1,AH!$P$12=1,$A1255=TODAY()),AH!$P$20,IF(AH!$P$10=1,INDEX('Live History'!$H$5:$H$3004,MATCH($A1255,'Live History'!$G$5:$G$3004,1)),INDEX('AH History'!$D$1:$D$18046,AH!$P$7+1250))),NA()),NA())</ns0:f>
        <ns0:v/>
      </ns0:c>
      <ns0:c r="F1255">
        <ns0:f>IFERROR(IF(ISNUMBER($A1255),IF(AND(AH!$P$10=1,AH!$P$12=1,$A1255=TODAY()),IF(AND(AH!$P$10=1,AH!$P$12=1,$A1255=TODAY()),TODAY(),NA()),IF(AH!$P$10=1,INDEX('Live History'!$D$5:$D$3004,MATCH($A1255,'Live History'!$D$5:$D$3004,1)),INDEX('AH History'!$E$1:$E$18046,AH!$P$7+1250))),NA()),NA())</ns0:f>
        <ns0:v/>
      </ns0:c>
      <ns0:c r="G1255">
        <ns0:f>IFERROR(IF(ISNUMBER($A1255),IF(AND(AH!$P$10=1,AH!$P$12=1,$A1255=TODAY()),IF(AND(AH!$P$10=1,AH!$P$12=1,$A1255=TODAY()),TODAY(),NA()),IF(AH!$P$10=1,INDEX('Live History'!$G$5:$G$3004,MATCH($A1255,'Live History'!$G$5:$G$3004,1)),INDEX('AH History'!$F$1:$F$18046,AH!$P$7+1250))),NA()),NA())</ns0:f>
        <ns0:v/>
      </ns0:c>
      <ns0:c r="H1255">
        <ns0:f>IFERROR(IF(AND(AH!$E$4="Bloomberg",AH!$P$10=1,ISNUMBER($A1255),$A1255&lt;=AH!$P$17),AH!$P$7-1+MATCH($A1255,INDEX('AH History'!$A$1:$A$18046,AH!$P$7):INDEX('AH History'!$A$1:$A$18046,AH!$P$7+AH!$P$8-1),0),0),0)</ns0:f>
        <ns0:v/>
      </ns0:c>
      <ns0:c r="I1255">
        <ns0:f>IF($H1255=0,0,IFERROR(IF(AND(ABS($C1255-INDEX('AH History'!$B$1:$B$18046,$H1255))&lt;=MAX(0.005,ABS(INDEX('AH History'!$B$1:$B$18046,$H1255))*0.00005),ABS($D1255-INDEX('AH History'!$C$1:$C$18046,$H1255))&lt;=MAX(0.005,ABS(INDEX('AH History'!$C$1:$C$18046,$H1255))*0.00005),ABS($E1255-INDEX('AH History'!$D$1:$D$18046,$H1255))&lt;=0.00005,$F1255=INDEX('AH History'!$E$1:$E$18046,$H1255),$G1255=INDEX('AH History'!$F$1:$F$18046,$H1255)),1,-1),-1))</ns0:f>
        <ns0:v/>
      </ns0:c>
    </ns0:row>
    <ns0:row r="1256">
      <ns0:c r="A1256" s="215">
        <ns0:f>IF(OR(AH!$P$3=0,1251+1&gt;AH!$P$11,AND(AH!$E$4&lt;&gt;"Stored",AH!$P$10&lt;&gt;1)),"",IFERROR(IF(AND(AH!$P$21=1,1251+1=AH!$P$11),TODAY(),IF(AH!$P$10=1,INDEX('Live History'!$A$5:$A$3004,AH!$P$13+1251),INDEX('AH History'!$A$1:$A$18046,AH!$P$7+1251))),""))</ns0:f>
        <ns0:v/>
      </ns0:c>
      <ns0:c r="B1256" s="219">
        <ns0:f>IFERROR(IF(AND(AH!$P$9&lt;&gt;1,$C1256&gt;0,$D1256&gt;0,$E1256&gt;0,$F1256&gt;0,$G1256&gt;0,$F1256&lt;=$A1256,$G1256&lt;=$A1256,$A1256-$F1256&lt;=10,$A1256-$G1256&lt;=5),$D1256*$E1256/$C1256-1,NA()),NA())</ns0:f>
        <ns0:v/>
      </ns0:c>
      <ns0:c r="C1256">
        <ns0:f>IFERROR(IF(ISNUMBER($A1256),IF(AND(AH!$P$10=1,AH!$P$12=1,$A1256=TODAY()),AH!$P$19,IF(AH!$P$10=1,INDEX('Live History'!$B$5:$B$3004,AH!$P$13+1251),INDEX('AH History'!$B$1:$B$18046,AH!$P$7+1251))),NA()),NA())</ns0:f>
        <ns0:v/>
      </ns0:c>
      <ns0:c r="D1256">
        <ns0:f>IFERROR(IF(ISNUMBER($A1256),IF(AND(AH!$P$10=1,AH!$P$12=1,$A1256=TODAY()),AH!$P$18,IF(AH!$P$10=1,INDEX('Live History'!$E$5:$E$3004,MATCH($A1256,'Live History'!$D$5:$D$3004,1)),INDEX('AH History'!$C$1:$C$18046,AH!$P$7+1251))),NA()),NA())</ns0:f>
        <ns0:v/>
      </ns0:c>
      <ns0:c r="E1256">
        <ns0:f>IFERROR(IF(ISNUMBER($A1256),IF(AND(AH!$P$10=1,AH!$P$12=1,$A1256=TODAY()),AH!$P$20,IF(AH!$P$10=1,INDEX('Live History'!$H$5:$H$3004,MATCH($A1256,'Live History'!$G$5:$G$3004,1)),INDEX('AH History'!$D$1:$D$18046,AH!$P$7+1251))),NA()),NA())</ns0:f>
        <ns0:v/>
      </ns0:c>
      <ns0:c r="F1256">
        <ns0:f>IFERROR(IF(ISNUMBER($A1256),IF(AND(AH!$P$10=1,AH!$P$12=1,$A1256=TODAY()),IF(AND(AH!$P$10=1,AH!$P$12=1,$A1256=TODAY()),TODAY(),NA()),IF(AH!$P$10=1,INDEX('Live History'!$D$5:$D$3004,MATCH($A1256,'Live History'!$D$5:$D$3004,1)),INDEX('AH History'!$E$1:$E$18046,AH!$P$7+1251))),NA()),NA())</ns0:f>
        <ns0:v/>
      </ns0:c>
      <ns0:c r="G1256">
        <ns0:f>IFERROR(IF(ISNUMBER($A1256),IF(AND(AH!$P$10=1,AH!$P$12=1,$A1256=TODAY()),IF(AND(AH!$P$10=1,AH!$P$12=1,$A1256=TODAY()),TODAY(),NA()),IF(AH!$P$10=1,INDEX('Live History'!$G$5:$G$3004,MATCH($A1256,'Live History'!$G$5:$G$3004,1)),INDEX('AH History'!$F$1:$F$18046,AH!$P$7+1251))),NA()),NA())</ns0:f>
        <ns0:v/>
      </ns0:c>
      <ns0:c r="H1256">
        <ns0:f>IFERROR(IF(AND(AH!$E$4="Bloomberg",AH!$P$10=1,ISNUMBER($A1256),$A1256&lt;=AH!$P$17),AH!$P$7-1+MATCH($A1256,INDEX('AH History'!$A$1:$A$18046,AH!$P$7):INDEX('AH History'!$A$1:$A$18046,AH!$P$7+AH!$P$8-1),0),0),0)</ns0:f>
        <ns0:v/>
      </ns0:c>
      <ns0:c r="I1256">
        <ns0:f>IF($H1256=0,0,IFERROR(IF(AND(ABS($C1256-INDEX('AH History'!$B$1:$B$18046,$H1256))&lt;=MAX(0.005,ABS(INDEX('AH History'!$B$1:$B$18046,$H1256))*0.00005),ABS($D1256-INDEX('AH History'!$C$1:$C$18046,$H1256))&lt;=MAX(0.005,ABS(INDEX('AH History'!$C$1:$C$18046,$H1256))*0.00005),ABS($E1256-INDEX('AH History'!$D$1:$D$18046,$H1256))&lt;=0.00005,$F1256=INDEX('AH History'!$E$1:$E$18046,$H1256),$G1256=INDEX('AH History'!$F$1:$F$18046,$H1256)),1,-1),-1))</ns0:f>
        <ns0:v/>
      </ns0:c>
    </ns0:row>
    <ns0:row r="1257">
      <ns0:c r="A1257" s="215">
        <ns0:f>IF(OR(AH!$P$3=0,1252+1&gt;AH!$P$11,AND(AH!$E$4&lt;&gt;"Stored",AH!$P$10&lt;&gt;1)),"",IFERROR(IF(AND(AH!$P$21=1,1252+1=AH!$P$11),TODAY(),IF(AH!$P$10=1,INDEX('Live History'!$A$5:$A$3004,AH!$P$13+1252),INDEX('AH History'!$A$1:$A$18046,AH!$P$7+1252))),""))</ns0:f>
        <ns0:v/>
      </ns0:c>
      <ns0:c r="B1257" s="219">
        <ns0:f>IFERROR(IF(AND(AH!$P$9&lt;&gt;1,$C1257&gt;0,$D1257&gt;0,$E1257&gt;0,$F1257&gt;0,$G1257&gt;0,$F1257&lt;=$A1257,$G1257&lt;=$A1257,$A1257-$F1257&lt;=10,$A1257-$G1257&lt;=5),$D1257*$E1257/$C1257-1,NA()),NA())</ns0:f>
        <ns0:v/>
      </ns0:c>
      <ns0:c r="C1257">
        <ns0:f>IFERROR(IF(ISNUMBER($A1257),IF(AND(AH!$P$10=1,AH!$P$12=1,$A1257=TODAY()),AH!$P$19,IF(AH!$P$10=1,INDEX('Live History'!$B$5:$B$3004,AH!$P$13+1252),INDEX('AH History'!$B$1:$B$18046,AH!$P$7+1252))),NA()),NA())</ns0:f>
        <ns0:v/>
      </ns0:c>
      <ns0:c r="D1257">
        <ns0:f>IFERROR(IF(ISNUMBER($A1257),IF(AND(AH!$P$10=1,AH!$P$12=1,$A1257=TODAY()),AH!$P$18,IF(AH!$P$10=1,INDEX('Live History'!$E$5:$E$3004,MATCH($A1257,'Live History'!$D$5:$D$3004,1)),INDEX('AH History'!$C$1:$C$18046,AH!$P$7+1252))),NA()),NA())</ns0:f>
        <ns0:v/>
      </ns0:c>
      <ns0:c r="E1257">
        <ns0:f>IFERROR(IF(ISNUMBER($A1257),IF(AND(AH!$P$10=1,AH!$P$12=1,$A1257=TODAY()),AH!$P$20,IF(AH!$P$10=1,INDEX('Live History'!$H$5:$H$3004,MATCH($A1257,'Live History'!$G$5:$G$3004,1)),INDEX('AH History'!$D$1:$D$18046,AH!$P$7+1252))),NA()),NA())</ns0:f>
        <ns0:v/>
      </ns0:c>
      <ns0:c r="F1257">
        <ns0:f>IFERROR(IF(ISNUMBER($A1257),IF(AND(AH!$P$10=1,AH!$P$12=1,$A1257=TODAY()),IF(AND(AH!$P$10=1,AH!$P$12=1,$A1257=TODAY()),TODAY(),NA()),IF(AH!$P$10=1,INDEX('Live History'!$D$5:$D$3004,MATCH($A1257,'Live History'!$D$5:$D$3004,1)),INDEX('AH History'!$E$1:$E$18046,AH!$P$7+1252))),NA()),NA())</ns0:f>
        <ns0:v/>
      </ns0:c>
      <ns0:c r="G1257">
        <ns0:f>IFERROR(IF(ISNUMBER($A1257),IF(AND(AH!$P$10=1,AH!$P$12=1,$A1257=TODAY()),IF(AND(AH!$P$10=1,AH!$P$12=1,$A1257=TODAY()),TODAY(),NA()),IF(AH!$P$10=1,INDEX('Live History'!$G$5:$G$3004,MATCH($A1257,'Live History'!$G$5:$G$3004,1)),INDEX('AH History'!$F$1:$F$18046,AH!$P$7+1252))),NA()),NA())</ns0:f>
        <ns0:v/>
      </ns0:c>
      <ns0:c r="H1257">
        <ns0:f>IFERROR(IF(AND(AH!$E$4="Bloomberg",AH!$P$10=1,ISNUMBER($A1257),$A1257&lt;=AH!$P$17),AH!$P$7-1+MATCH($A1257,INDEX('AH History'!$A$1:$A$18046,AH!$P$7):INDEX('AH History'!$A$1:$A$18046,AH!$P$7+AH!$P$8-1),0),0),0)</ns0:f>
        <ns0:v/>
      </ns0:c>
      <ns0:c r="I1257">
        <ns0:f>IF($H1257=0,0,IFERROR(IF(AND(ABS($C1257-INDEX('AH History'!$B$1:$B$18046,$H1257))&lt;=MAX(0.005,ABS(INDEX('AH History'!$B$1:$B$18046,$H1257))*0.00005),ABS($D1257-INDEX('AH History'!$C$1:$C$18046,$H1257))&lt;=MAX(0.005,ABS(INDEX('AH History'!$C$1:$C$18046,$H1257))*0.00005),ABS($E1257-INDEX('AH History'!$D$1:$D$18046,$H1257))&lt;=0.00005,$F1257=INDEX('AH History'!$E$1:$E$18046,$H1257),$G1257=INDEX('AH History'!$F$1:$F$18046,$H1257)),1,-1),-1))</ns0:f>
        <ns0:v/>
      </ns0:c>
    </ns0:row>
    <ns0:row r="1258">
      <ns0:c r="A1258" s="215">
        <ns0:f>IF(OR(AH!$P$3=0,1253+1&gt;AH!$P$11,AND(AH!$E$4&lt;&gt;"Stored",AH!$P$10&lt;&gt;1)),"",IFERROR(IF(AND(AH!$P$21=1,1253+1=AH!$P$11),TODAY(),IF(AH!$P$10=1,INDEX('Live History'!$A$5:$A$3004,AH!$P$13+1253),INDEX('AH History'!$A$1:$A$18046,AH!$P$7+1253))),""))</ns0:f>
        <ns0:v/>
      </ns0:c>
      <ns0:c r="B1258" s="219">
        <ns0:f>IFERROR(IF(AND(AH!$P$9&lt;&gt;1,$C1258&gt;0,$D1258&gt;0,$E1258&gt;0,$F1258&gt;0,$G1258&gt;0,$F1258&lt;=$A1258,$G1258&lt;=$A1258,$A1258-$F1258&lt;=10,$A1258-$G1258&lt;=5),$D1258*$E1258/$C1258-1,NA()),NA())</ns0:f>
        <ns0:v/>
      </ns0:c>
      <ns0:c r="C1258">
        <ns0:f>IFERROR(IF(ISNUMBER($A1258),IF(AND(AH!$P$10=1,AH!$P$12=1,$A1258=TODAY()),AH!$P$19,IF(AH!$P$10=1,INDEX('Live History'!$B$5:$B$3004,AH!$P$13+1253),INDEX('AH History'!$B$1:$B$18046,AH!$P$7+1253))),NA()),NA())</ns0:f>
        <ns0:v/>
      </ns0:c>
      <ns0:c r="D1258">
        <ns0:f>IFERROR(IF(ISNUMBER($A1258),IF(AND(AH!$P$10=1,AH!$P$12=1,$A1258=TODAY()),AH!$P$18,IF(AH!$P$10=1,INDEX('Live History'!$E$5:$E$3004,MATCH($A1258,'Live History'!$D$5:$D$3004,1)),INDEX('AH History'!$C$1:$C$18046,AH!$P$7+1253))),NA()),NA())</ns0:f>
        <ns0:v/>
      </ns0:c>
      <ns0:c r="E1258">
        <ns0:f>IFERROR(IF(ISNUMBER($A1258),IF(AND(AH!$P$10=1,AH!$P$12=1,$A1258=TODAY()),AH!$P$20,IF(AH!$P$10=1,INDEX('Live History'!$H$5:$H$3004,MATCH($A1258,'Live History'!$G$5:$G$3004,1)),INDEX('AH History'!$D$1:$D$18046,AH!$P$7+1253))),NA()),NA())</ns0:f>
        <ns0:v/>
      </ns0:c>
      <ns0:c r="F1258">
        <ns0:f>IFERROR(IF(ISNUMBER($A1258),IF(AND(AH!$P$10=1,AH!$P$12=1,$A1258=TODAY()),IF(AND(AH!$P$10=1,AH!$P$12=1,$A1258=TODAY()),TODAY(),NA()),IF(AH!$P$10=1,INDEX('Live History'!$D$5:$D$3004,MATCH($A1258,'Live History'!$D$5:$D$3004,1)),INDEX('AH History'!$E$1:$E$18046,AH!$P$7+1253))),NA()),NA())</ns0:f>
        <ns0:v/>
      </ns0:c>
      <ns0:c r="G1258">
        <ns0:f>IFERROR(IF(ISNUMBER($A1258),IF(AND(AH!$P$10=1,AH!$P$12=1,$A1258=TODAY()),IF(AND(AH!$P$10=1,AH!$P$12=1,$A1258=TODAY()),TODAY(),NA()),IF(AH!$P$10=1,INDEX('Live History'!$G$5:$G$3004,MATCH($A1258,'Live History'!$G$5:$G$3004,1)),INDEX('AH History'!$F$1:$F$18046,AH!$P$7+1253))),NA()),NA())</ns0:f>
        <ns0:v/>
      </ns0:c>
      <ns0:c r="H1258">
        <ns0:f>IFERROR(IF(AND(AH!$E$4="Bloomberg",AH!$P$10=1,ISNUMBER($A1258),$A1258&lt;=AH!$P$17),AH!$P$7-1+MATCH($A1258,INDEX('AH History'!$A$1:$A$18046,AH!$P$7):INDEX('AH History'!$A$1:$A$18046,AH!$P$7+AH!$P$8-1),0),0),0)</ns0:f>
        <ns0:v/>
      </ns0:c>
      <ns0:c r="I1258">
        <ns0:f>IF($H1258=0,0,IFERROR(IF(AND(ABS($C1258-INDEX('AH History'!$B$1:$B$18046,$H1258))&lt;=MAX(0.005,ABS(INDEX('AH History'!$B$1:$B$18046,$H1258))*0.00005),ABS($D1258-INDEX('AH History'!$C$1:$C$18046,$H1258))&lt;=MAX(0.005,ABS(INDEX('AH History'!$C$1:$C$18046,$H1258))*0.00005),ABS($E1258-INDEX('AH History'!$D$1:$D$18046,$H1258))&lt;=0.00005,$F1258=INDEX('AH History'!$E$1:$E$18046,$H1258),$G1258=INDEX('AH History'!$F$1:$F$18046,$H1258)),1,-1),-1))</ns0:f>
        <ns0:v/>
      </ns0:c>
    </ns0:row>
    <ns0:row r="1259">
      <ns0:c r="A1259" s="215">
        <ns0:f>IF(OR(AH!$P$3=0,1254+1&gt;AH!$P$11,AND(AH!$E$4&lt;&gt;"Stored",AH!$P$10&lt;&gt;1)),"",IFERROR(IF(AND(AH!$P$21=1,1254+1=AH!$P$11),TODAY(),IF(AH!$P$10=1,INDEX('Live History'!$A$5:$A$3004,AH!$P$13+1254),INDEX('AH History'!$A$1:$A$18046,AH!$P$7+1254))),""))</ns0:f>
        <ns0:v/>
      </ns0:c>
      <ns0:c r="B1259" s="219">
        <ns0:f>IFERROR(IF(AND(AH!$P$9&lt;&gt;1,$C1259&gt;0,$D1259&gt;0,$E1259&gt;0,$F1259&gt;0,$G1259&gt;0,$F1259&lt;=$A1259,$G1259&lt;=$A1259,$A1259-$F1259&lt;=10,$A1259-$G1259&lt;=5),$D1259*$E1259/$C1259-1,NA()),NA())</ns0:f>
        <ns0:v/>
      </ns0:c>
      <ns0:c r="C1259">
        <ns0:f>IFERROR(IF(ISNUMBER($A1259),IF(AND(AH!$P$10=1,AH!$P$12=1,$A1259=TODAY()),AH!$P$19,IF(AH!$P$10=1,INDEX('Live History'!$B$5:$B$3004,AH!$P$13+1254),INDEX('AH History'!$B$1:$B$18046,AH!$P$7+1254))),NA()),NA())</ns0:f>
        <ns0:v/>
      </ns0:c>
      <ns0:c r="D1259">
        <ns0:f>IFERROR(IF(ISNUMBER($A1259),IF(AND(AH!$P$10=1,AH!$P$12=1,$A1259=TODAY()),AH!$P$18,IF(AH!$P$10=1,INDEX('Live History'!$E$5:$E$3004,MATCH($A1259,'Live History'!$D$5:$D$3004,1)),INDEX('AH History'!$C$1:$C$18046,AH!$P$7+1254))),NA()),NA())</ns0:f>
        <ns0:v/>
      </ns0:c>
      <ns0:c r="E1259">
        <ns0:f>IFERROR(IF(ISNUMBER($A1259),IF(AND(AH!$P$10=1,AH!$P$12=1,$A1259=TODAY()),AH!$P$20,IF(AH!$P$10=1,INDEX('Live History'!$H$5:$H$3004,MATCH($A1259,'Live History'!$G$5:$G$3004,1)),INDEX('AH History'!$D$1:$D$18046,AH!$P$7+1254))),NA()),NA())</ns0:f>
        <ns0:v/>
      </ns0:c>
      <ns0:c r="F1259">
        <ns0:f>IFERROR(IF(ISNUMBER($A1259),IF(AND(AH!$P$10=1,AH!$P$12=1,$A1259=TODAY()),IF(AND(AH!$P$10=1,AH!$P$12=1,$A1259=TODAY()),TODAY(),NA()),IF(AH!$P$10=1,INDEX('Live History'!$D$5:$D$3004,MATCH($A1259,'Live History'!$D$5:$D$3004,1)),INDEX('AH History'!$E$1:$E$18046,AH!$P$7+1254))),NA()),NA())</ns0:f>
        <ns0:v/>
      </ns0:c>
      <ns0:c r="G1259">
        <ns0:f>IFERROR(IF(ISNUMBER($A1259),IF(AND(AH!$P$10=1,AH!$P$12=1,$A1259=TODAY()),IF(AND(AH!$P$10=1,AH!$P$12=1,$A1259=TODAY()),TODAY(),NA()),IF(AH!$P$10=1,INDEX('Live History'!$G$5:$G$3004,MATCH($A1259,'Live History'!$G$5:$G$3004,1)),INDEX('AH History'!$F$1:$F$18046,AH!$P$7+1254))),NA()),NA())</ns0:f>
        <ns0:v/>
      </ns0:c>
      <ns0:c r="H1259">
        <ns0:f>IFERROR(IF(AND(AH!$E$4="Bloomberg",AH!$P$10=1,ISNUMBER($A1259),$A1259&lt;=AH!$P$17),AH!$P$7-1+MATCH($A1259,INDEX('AH History'!$A$1:$A$18046,AH!$P$7):INDEX('AH History'!$A$1:$A$18046,AH!$P$7+AH!$P$8-1),0),0),0)</ns0:f>
        <ns0:v/>
      </ns0:c>
      <ns0:c r="I1259">
        <ns0:f>IF($H1259=0,0,IFERROR(IF(AND(ABS($C1259-INDEX('AH History'!$B$1:$B$18046,$H1259))&lt;=MAX(0.005,ABS(INDEX('AH History'!$B$1:$B$18046,$H1259))*0.00005),ABS($D1259-INDEX('AH History'!$C$1:$C$18046,$H1259))&lt;=MAX(0.005,ABS(INDEX('AH History'!$C$1:$C$18046,$H1259))*0.00005),ABS($E1259-INDEX('AH History'!$D$1:$D$18046,$H1259))&lt;=0.00005,$F1259=INDEX('AH History'!$E$1:$E$18046,$H1259),$G1259=INDEX('AH History'!$F$1:$F$18046,$H1259)),1,-1),-1))</ns0:f>
        <ns0:v/>
      </ns0:c>
    </ns0:row>
    <ns0:row r="1260">
      <ns0:c r="A1260" s="215">
        <ns0:f>IF(OR(AH!$P$3=0,1255+1&gt;AH!$P$11,AND(AH!$E$4&lt;&gt;"Stored",AH!$P$10&lt;&gt;1)),"",IFERROR(IF(AND(AH!$P$21=1,1255+1=AH!$P$11),TODAY(),IF(AH!$P$10=1,INDEX('Live History'!$A$5:$A$3004,AH!$P$13+1255),INDEX('AH History'!$A$1:$A$18046,AH!$P$7+1255))),""))</ns0:f>
        <ns0:v/>
      </ns0:c>
      <ns0:c r="B1260" s="219">
        <ns0:f>IFERROR(IF(AND(AH!$P$9&lt;&gt;1,$C1260&gt;0,$D1260&gt;0,$E1260&gt;0,$F1260&gt;0,$G1260&gt;0,$F1260&lt;=$A1260,$G1260&lt;=$A1260,$A1260-$F1260&lt;=10,$A1260-$G1260&lt;=5),$D1260*$E1260/$C1260-1,NA()),NA())</ns0:f>
        <ns0:v/>
      </ns0:c>
      <ns0:c r="C1260">
        <ns0:f>IFERROR(IF(ISNUMBER($A1260),IF(AND(AH!$P$10=1,AH!$P$12=1,$A1260=TODAY()),AH!$P$19,IF(AH!$P$10=1,INDEX('Live History'!$B$5:$B$3004,AH!$P$13+1255),INDEX('AH History'!$B$1:$B$18046,AH!$P$7+1255))),NA()),NA())</ns0:f>
        <ns0:v/>
      </ns0:c>
      <ns0:c r="D1260">
        <ns0:f>IFERROR(IF(ISNUMBER($A1260),IF(AND(AH!$P$10=1,AH!$P$12=1,$A1260=TODAY()),AH!$P$18,IF(AH!$P$10=1,INDEX('Live History'!$E$5:$E$3004,MATCH($A1260,'Live History'!$D$5:$D$3004,1)),INDEX('AH History'!$C$1:$C$18046,AH!$P$7+1255))),NA()),NA())</ns0:f>
        <ns0:v/>
      </ns0:c>
      <ns0:c r="E1260">
        <ns0:f>IFERROR(IF(ISNUMBER($A1260),IF(AND(AH!$P$10=1,AH!$P$12=1,$A1260=TODAY()),AH!$P$20,IF(AH!$P$10=1,INDEX('Live History'!$H$5:$H$3004,MATCH($A1260,'Live History'!$G$5:$G$3004,1)),INDEX('AH History'!$D$1:$D$18046,AH!$P$7+1255))),NA()),NA())</ns0:f>
        <ns0:v/>
      </ns0:c>
      <ns0:c r="F1260">
        <ns0:f>IFERROR(IF(ISNUMBER($A1260),IF(AND(AH!$P$10=1,AH!$P$12=1,$A1260=TODAY()),IF(AND(AH!$P$10=1,AH!$P$12=1,$A1260=TODAY()),TODAY(),NA()),IF(AH!$P$10=1,INDEX('Live History'!$D$5:$D$3004,MATCH($A1260,'Live History'!$D$5:$D$3004,1)),INDEX('AH History'!$E$1:$E$18046,AH!$P$7+1255))),NA()),NA())</ns0:f>
        <ns0:v/>
      </ns0:c>
      <ns0:c r="G1260">
        <ns0:f>IFERROR(IF(ISNUMBER($A1260),IF(AND(AH!$P$10=1,AH!$P$12=1,$A1260=TODAY()),IF(AND(AH!$P$10=1,AH!$P$12=1,$A1260=TODAY()),TODAY(),NA()),IF(AH!$P$10=1,INDEX('Live History'!$G$5:$G$3004,MATCH($A1260,'Live History'!$G$5:$G$3004,1)),INDEX('AH History'!$F$1:$F$18046,AH!$P$7+1255))),NA()),NA())</ns0:f>
        <ns0:v/>
      </ns0:c>
      <ns0:c r="H1260">
        <ns0:f>IFERROR(IF(AND(AH!$E$4="Bloomberg",AH!$P$10=1,ISNUMBER($A1260),$A1260&lt;=AH!$P$17),AH!$P$7-1+MATCH($A1260,INDEX('AH History'!$A$1:$A$18046,AH!$P$7):INDEX('AH History'!$A$1:$A$18046,AH!$P$7+AH!$P$8-1),0),0),0)</ns0:f>
        <ns0:v/>
      </ns0:c>
      <ns0:c r="I1260">
        <ns0:f>IF($H1260=0,0,IFERROR(IF(AND(ABS($C1260-INDEX('AH History'!$B$1:$B$18046,$H1260))&lt;=MAX(0.005,ABS(INDEX('AH History'!$B$1:$B$18046,$H1260))*0.00005),ABS($D1260-INDEX('AH History'!$C$1:$C$18046,$H1260))&lt;=MAX(0.005,ABS(INDEX('AH History'!$C$1:$C$18046,$H1260))*0.00005),ABS($E1260-INDEX('AH History'!$D$1:$D$18046,$H1260))&lt;=0.00005,$F1260=INDEX('AH History'!$E$1:$E$18046,$H1260),$G1260=INDEX('AH History'!$F$1:$F$18046,$H1260)),1,-1),-1))</ns0:f>
        <ns0:v/>
      </ns0:c>
    </ns0:row>
    <ns0:row r="1261">
      <ns0:c r="A1261" s="215">
        <ns0:f>IF(OR(AH!$P$3=0,1256+1&gt;AH!$P$11,AND(AH!$E$4&lt;&gt;"Stored",AH!$P$10&lt;&gt;1)),"",IFERROR(IF(AND(AH!$P$21=1,1256+1=AH!$P$11),TODAY(),IF(AH!$P$10=1,INDEX('Live History'!$A$5:$A$3004,AH!$P$13+1256),INDEX('AH History'!$A$1:$A$18046,AH!$P$7+1256))),""))</ns0:f>
        <ns0:v/>
      </ns0:c>
      <ns0:c r="B1261" s="219">
        <ns0:f>IFERROR(IF(AND(AH!$P$9&lt;&gt;1,$C1261&gt;0,$D1261&gt;0,$E1261&gt;0,$F1261&gt;0,$G1261&gt;0,$F1261&lt;=$A1261,$G1261&lt;=$A1261,$A1261-$F1261&lt;=10,$A1261-$G1261&lt;=5),$D1261*$E1261/$C1261-1,NA()),NA())</ns0:f>
        <ns0:v/>
      </ns0:c>
      <ns0:c r="C1261">
        <ns0:f>IFERROR(IF(ISNUMBER($A1261),IF(AND(AH!$P$10=1,AH!$P$12=1,$A1261=TODAY()),AH!$P$19,IF(AH!$P$10=1,INDEX('Live History'!$B$5:$B$3004,AH!$P$13+1256),INDEX('AH History'!$B$1:$B$18046,AH!$P$7+1256))),NA()),NA())</ns0:f>
        <ns0:v/>
      </ns0:c>
      <ns0:c r="D1261">
        <ns0:f>IFERROR(IF(ISNUMBER($A1261),IF(AND(AH!$P$10=1,AH!$P$12=1,$A1261=TODAY()),AH!$P$18,IF(AH!$P$10=1,INDEX('Live History'!$E$5:$E$3004,MATCH($A1261,'Live History'!$D$5:$D$3004,1)),INDEX('AH History'!$C$1:$C$18046,AH!$P$7+1256))),NA()),NA())</ns0:f>
        <ns0:v/>
      </ns0:c>
      <ns0:c r="E1261">
        <ns0:f>IFERROR(IF(ISNUMBER($A1261),IF(AND(AH!$P$10=1,AH!$P$12=1,$A1261=TODAY()),AH!$P$20,IF(AH!$P$10=1,INDEX('Live History'!$H$5:$H$3004,MATCH($A1261,'Live History'!$G$5:$G$3004,1)),INDEX('AH History'!$D$1:$D$18046,AH!$P$7+1256))),NA()),NA())</ns0:f>
        <ns0:v/>
      </ns0:c>
      <ns0:c r="F1261">
        <ns0:f>IFERROR(IF(ISNUMBER($A1261),IF(AND(AH!$P$10=1,AH!$P$12=1,$A1261=TODAY()),IF(AND(AH!$P$10=1,AH!$P$12=1,$A1261=TODAY()),TODAY(),NA()),IF(AH!$P$10=1,INDEX('Live History'!$D$5:$D$3004,MATCH($A1261,'Live History'!$D$5:$D$3004,1)),INDEX('AH History'!$E$1:$E$18046,AH!$P$7+1256))),NA()),NA())</ns0:f>
        <ns0:v/>
      </ns0:c>
      <ns0:c r="G1261">
        <ns0:f>IFERROR(IF(ISNUMBER($A1261),IF(AND(AH!$P$10=1,AH!$P$12=1,$A1261=TODAY()),IF(AND(AH!$P$10=1,AH!$P$12=1,$A1261=TODAY()),TODAY(),NA()),IF(AH!$P$10=1,INDEX('Live History'!$G$5:$G$3004,MATCH($A1261,'Live History'!$G$5:$G$3004,1)),INDEX('AH History'!$F$1:$F$18046,AH!$P$7+1256))),NA()),NA())</ns0:f>
        <ns0:v/>
      </ns0:c>
      <ns0:c r="H1261">
        <ns0:f>IFERROR(IF(AND(AH!$E$4="Bloomberg",AH!$P$10=1,ISNUMBER($A1261),$A1261&lt;=AH!$P$17),AH!$P$7-1+MATCH($A1261,INDEX('AH History'!$A$1:$A$18046,AH!$P$7):INDEX('AH History'!$A$1:$A$18046,AH!$P$7+AH!$P$8-1),0),0),0)</ns0:f>
        <ns0:v/>
      </ns0:c>
      <ns0:c r="I1261">
        <ns0:f>IF($H1261=0,0,IFERROR(IF(AND(ABS($C1261-INDEX('AH History'!$B$1:$B$18046,$H1261))&lt;=MAX(0.005,ABS(INDEX('AH History'!$B$1:$B$18046,$H1261))*0.00005),ABS($D1261-INDEX('AH History'!$C$1:$C$18046,$H1261))&lt;=MAX(0.005,ABS(INDEX('AH History'!$C$1:$C$18046,$H1261))*0.00005),ABS($E1261-INDEX('AH History'!$D$1:$D$18046,$H1261))&lt;=0.00005,$F1261=INDEX('AH History'!$E$1:$E$18046,$H1261),$G1261=INDEX('AH History'!$F$1:$F$18046,$H1261)),1,-1),-1))</ns0:f>
        <ns0:v/>
      </ns0:c>
    </ns0:row>
    <ns0:row r="1262">
      <ns0:c r="A1262" s="215">
        <ns0:f>IF(OR(AH!$P$3=0,1257+1&gt;AH!$P$11,AND(AH!$E$4&lt;&gt;"Stored",AH!$P$10&lt;&gt;1)),"",IFERROR(IF(AND(AH!$P$21=1,1257+1=AH!$P$11),TODAY(),IF(AH!$P$10=1,INDEX('Live History'!$A$5:$A$3004,AH!$P$13+1257),INDEX('AH History'!$A$1:$A$18046,AH!$P$7+1257))),""))</ns0:f>
        <ns0:v/>
      </ns0:c>
      <ns0:c r="B1262" s="219">
        <ns0:f>IFERROR(IF(AND(AH!$P$9&lt;&gt;1,$C1262&gt;0,$D1262&gt;0,$E1262&gt;0,$F1262&gt;0,$G1262&gt;0,$F1262&lt;=$A1262,$G1262&lt;=$A1262,$A1262-$F1262&lt;=10,$A1262-$G1262&lt;=5),$D1262*$E1262/$C1262-1,NA()),NA())</ns0:f>
        <ns0:v/>
      </ns0:c>
      <ns0:c r="C1262">
        <ns0:f>IFERROR(IF(ISNUMBER($A1262),IF(AND(AH!$P$10=1,AH!$P$12=1,$A1262=TODAY()),AH!$P$19,IF(AH!$P$10=1,INDEX('Live History'!$B$5:$B$3004,AH!$P$13+1257),INDEX('AH History'!$B$1:$B$18046,AH!$P$7+1257))),NA()),NA())</ns0:f>
        <ns0:v/>
      </ns0:c>
      <ns0:c r="D1262">
        <ns0:f>IFERROR(IF(ISNUMBER($A1262),IF(AND(AH!$P$10=1,AH!$P$12=1,$A1262=TODAY()),AH!$P$18,IF(AH!$P$10=1,INDEX('Live History'!$E$5:$E$3004,MATCH($A1262,'Live History'!$D$5:$D$3004,1)),INDEX('AH History'!$C$1:$C$18046,AH!$P$7+1257))),NA()),NA())</ns0:f>
        <ns0:v/>
      </ns0:c>
      <ns0:c r="E1262">
        <ns0:f>IFERROR(IF(ISNUMBER($A1262),IF(AND(AH!$P$10=1,AH!$P$12=1,$A1262=TODAY()),AH!$P$20,IF(AH!$P$10=1,INDEX('Live History'!$H$5:$H$3004,MATCH($A1262,'Live History'!$G$5:$G$3004,1)),INDEX('AH History'!$D$1:$D$18046,AH!$P$7+1257))),NA()),NA())</ns0:f>
        <ns0:v/>
      </ns0:c>
      <ns0:c r="F1262">
        <ns0:f>IFERROR(IF(ISNUMBER($A1262),IF(AND(AH!$P$10=1,AH!$P$12=1,$A1262=TODAY()),IF(AND(AH!$P$10=1,AH!$P$12=1,$A1262=TODAY()),TODAY(),NA()),IF(AH!$P$10=1,INDEX('Live History'!$D$5:$D$3004,MATCH($A1262,'Live History'!$D$5:$D$3004,1)),INDEX('AH History'!$E$1:$E$18046,AH!$P$7+1257))),NA()),NA())</ns0:f>
        <ns0:v/>
      </ns0:c>
      <ns0:c r="G1262">
        <ns0:f>IFERROR(IF(ISNUMBER($A1262),IF(AND(AH!$P$10=1,AH!$P$12=1,$A1262=TODAY()),IF(AND(AH!$P$10=1,AH!$P$12=1,$A1262=TODAY()),TODAY(),NA()),IF(AH!$P$10=1,INDEX('Live History'!$G$5:$G$3004,MATCH($A1262,'Live History'!$G$5:$G$3004,1)),INDEX('AH History'!$F$1:$F$18046,AH!$P$7+1257))),NA()),NA())</ns0:f>
        <ns0:v/>
      </ns0:c>
      <ns0:c r="H1262">
        <ns0:f>IFERROR(IF(AND(AH!$E$4="Bloomberg",AH!$P$10=1,ISNUMBER($A1262),$A1262&lt;=AH!$P$17),AH!$P$7-1+MATCH($A1262,INDEX('AH History'!$A$1:$A$18046,AH!$P$7):INDEX('AH History'!$A$1:$A$18046,AH!$P$7+AH!$P$8-1),0),0),0)</ns0:f>
        <ns0:v/>
      </ns0:c>
      <ns0:c r="I1262">
        <ns0:f>IF($H1262=0,0,IFERROR(IF(AND(ABS($C1262-INDEX('AH History'!$B$1:$B$18046,$H1262))&lt;=MAX(0.005,ABS(INDEX('AH History'!$B$1:$B$18046,$H1262))*0.00005),ABS($D1262-INDEX('AH History'!$C$1:$C$18046,$H1262))&lt;=MAX(0.005,ABS(INDEX('AH History'!$C$1:$C$18046,$H1262))*0.00005),ABS($E1262-INDEX('AH History'!$D$1:$D$18046,$H1262))&lt;=0.00005,$F1262=INDEX('AH History'!$E$1:$E$18046,$H1262),$G1262=INDEX('AH History'!$F$1:$F$18046,$H1262)),1,-1),-1))</ns0:f>
        <ns0:v/>
      </ns0:c>
    </ns0:row>
    <ns0:row r="1263">
      <ns0:c r="A1263" s="215">
        <ns0:f>IF(OR(AH!$P$3=0,1258+1&gt;AH!$P$11,AND(AH!$E$4&lt;&gt;"Stored",AH!$P$10&lt;&gt;1)),"",IFERROR(IF(AND(AH!$P$21=1,1258+1=AH!$P$11),TODAY(),IF(AH!$P$10=1,INDEX('Live History'!$A$5:$A$3004,AH!$P$13+1258),INDEX('AH History'!$A$1:$A$18046,AH!$P$7+1258))),""))</ns0:f>
        <ns0:v/>
      </ns0:c>
      <ns0:c r="B1263" s="219">
        <ns0:f>IFERROR(IF(AND(AH!$P$9&lt;&gt;1,$C1263&gt;0,$D1263&gt;0,$E1263&gt;0,$F1263&gt;0,$G1263&gt;0,$F1263&lt;=$A1263,$G1263&lt;=$A1263,$A1263-$F1263&lt;=10,$A1263-$G1263&lt;=5),$D1263*$E1263/$C1263-1,NA()),NA())</ns0:f>
        <ns0:v/>
      </ns0:c>
      <ns0:c r="C1263">
        <ns0:f>IFERROR(IF(ISNUMBER($A1263),IF(AND(AH!$P$10=1,AH!$P$12=1,$A1263=TODAY()),AH!$P$19,IF(AH!$P$10=1,INDEX('Live History'!$B$5:$B$3004,AH!$P$13+1258),INDEX('AH History'!$B$1:$B$18046,AH!$P$7+1258))),NA()),NA())</ns0:f>
        <ns0:v/>
      </ns0:c>
      <ns0:c r="D1263">
        <ns0:f>IFERROR(IF(ISNUMBER($A1263),IF(AND(AH!$P$10=1,AH!$P$12=1,$A1263=TODAY()),AH!$P$18,IF(AH!$P$10=1,INDEX('Live History'!$E$5:$E$3004,MATCH($A1263,'Live History'!$D$5:$D$3004,1)),INDEX('AH History'!$C$1:$C$18046,AH!$P$7+1258))),NA()),NA())</ns0:f>
        <ns0:v/>
      </ns0:c>
      <ns0:c r="E1263">
        <ns0:f>IFERROR(IF(ISNUMBER($A1263),IF(AND(AH!$P$10=1,AH!$P$12=1,$A1263=TODAY()),AH!$P$20,IF(AH!$P$10=1,INDEX('Live History'!$H$5:$H$3004,MATCH($A1263,'Live History'!$G$5:$G$3004,1)),INDEX('AH History'!$D$1:$D$18046,AH!$P$7+1258))),NA()),NA())</ns0:f>
        <ns0:v/>
      </ns0:c>
      <ns0:c r="F1263">
        <ns0:f>IFERROR(IF(ISNUMBER($A1263),IF(AND(AH!$P$10=1,AH!$P$12=1,$A1263=TODAY()),IF(AND(AH!$P$10=1,AH!$P$12=1,$A1263=TODAY()),TODAY(),NA()),IF(AH!$P$10=1,INDEX('Live History'!$D$5:$D$3004,MATCH($A1263,'Live History'!$D$5:$D$3004,1)),INDEX('AH History'!$E$1:$E$18046,AH!$P$7+1258))),NA()),NA())</ns0:f>
        <ns0:v/>
      </ns0:c>
      <ns0:c r="G1263">
        <ns0:f>IFERROR(IF(ISNUMBER($A1263),IF(AND(AH!$P$10=1,AH!$P$12=1,$A1263=TODAY()),IF(AND(AH!$P$10=1,AH!$P$12=1,$A1263=TODAY()),TODAY(),NA()),IF(AH!$P$10=1,INDEX('Live History'!$G$5:$G$3004,MATCH($A1263,'Live History'!$G$5:$G$3004,1)),INDEX('AH History'!$F$1:$F$18046,AH!$P$7+1258))),NA()),NA())</ns0:f>
        <ns0:v/>
      </ns0:c>
      <ns0:c r="H1263">
        <ns0:f>IFERROR(IF(AND(AH!$E$4="Bloomberg",AH!$P$10=1,ISNUMBER($A1263),$A1263&lt;=AH!$P$17),AH!$P$7-1+MATCH($A1263,INDEX('AH History'!$A$1:$A$18046,AH!$P$7):INDEX('AH History'!$A$1:$A$18046,AH!$P$7+AH!$P$8-1),0),0),0)</ns0:f>
        <ns0:v/>
      </ns0:c>
      <ns0:c r="I1263">
        <ns0:f>IF($H1263=0,0,IFERROR(IF(AND(ABS($C1263-INDEX('AH History'!$B$1:$B$18046,$H1263))&lt;=MAX(0.005,ABS(INDEX('AH History'!$B$1:$B$18046,$H1263))*0.00005),ABS($D1263-INDEX('AH History'!$C$1:$C$18046,$H1263))&lt;=MAX(0.005,ABS(INDEX('AH History'!$C$1:$C$18046,$H1263))*0.00005),ABS($E1263-INDEX('AH History'!$D$1:$D$18046,$H1263))&lt;=0.00005,$F1263=INDEX('AH History'!$E$1:$E$18046,$H1263),$G1263=INDEX('AH History'!$F$1:$F$18046,$H1263)),1,-1),-1))</ns0:f>
        <ns0:v/>
      </ns0:c>
    </ns0:row>
    <ns0:row r="1264">
      <ns0:c r="A1264" s="215">
        <ns0:f>IF(OR(AH!$P$3=0,1259+1&gt;AH!$P$11,AND(AH!$E$4&lt;&gt;"Stored",AH!$P$10&lt;&gt;1)),"",IFERROR(IF(AND(AH!$P$21=1,1259+1=AH!$P$11),TODAY(),IF(AH!$P$10=1,INDEX('Live History'!$A$5:$A$3004,AH!$P$13+1259),INDEX('AH History'!$A$1:$A$18046,AH!$P$7+1259))),""))</ns0:f>
        <ns0:v/>
      </ns0:c>
      <ns0:c r="B1264" s="219">
        <ns0:f>IFERROR(IF(AND(AH!$P$9&lt;&gt;1,$C1264&gt;0,$D1264&gt;0,$E1264&gt;0,$F1264&gt;0,$G1264&gt;0,$F1264&lt;=$A1264,$G1264&lt;=$A1264,$A1264-$F1264&lt;=10,$A1264-$G1264&lt;=5),$D1264*$E1264/$C1264-1,NA()),NA())</ns0:f>
        <ns0:v/>
      </ns0:c>
      <ns0:c r="C1264">
        <ns0:f>IFERROR(IF(ISNUMBER($A1264),IF(AND(AH!$P$10=1,AH!$P$12=1,$A1264=TODAY()),AH!$P$19,IF(AH!$P$10=1,INDEX('Live History'!$B$5:$B$3004,AH!$P$13+1259),INDEX('AH History'!$B$1:$B$18046,AH!$P$7+1259))),NA()),NA())</ns0:f>
        <ns0:v/>
      </ns0:c>
      <ns0:c r="D1264">
        <ns0:f>IFERROR(IF(ISNUMBER($A1264),IF(AND(AH!$P$10=1,AH!$P$12=1,$A1264=TODAY()),AH!$P$18,IF(AH!$P$10=1,INDEX('Live History'!$E$5:$E$3004,MATCH($A1264,'Live History'!$D$5:$D$3004,1)),INDEX('AH History'!$C$1:$C$18046,AH!$P$7+1259))),NA()),NA())</ns0:f>
        <ns0:v/>
      </ns0:c>
      <ns0:c r="E1264">
        <ns0:f>IFERROR(IF(ISNUMBER($A1264),IF(AND(AH!$P$10=1,AH!$P$12=1,$A1264=TODAY()),AH!$P$20,IF(AH!$P$10=1,INDEX('Live History'!$H$5:$H$3004,MATCH($A1264,'Live History'!$G$5:$G$3004,1)),INDEX('AH History'!$D$1:$D$18046,AH!$P$7+1259))),NA()),NA())</ns0:f>
        <ns0:v/>
      </ns0:c>
      <ns0:c r="F1264">
        <ns0:f>IFERROR(IF(ISNUMBER($A1264),IF(AND(AH!$P$10=1,AH!$P$12=1,$A1264=TODAY()),IF(AND(AH!$P$10=1,AH!$P$12=1,$A1264=TODAY()),TODAY(),NA()),IF(AH!$P$10=1,INDEX('Live History'!$D$5:$D$3004,MATCH($A1264,'Live History'!$D$5:$D$3004,1)),INDEX('AH History'!$E$1:$E$18046,AH!$P$7+1259))),NA()),NA())</ns0:f>
        <ns0:v/>
      </ns0:c>
      <ns0:c r="G1264">
        <ns0:f>IFERROR(IF(ISNUMBER($A1264),IF(AND(AH!$P$10=1,AH!$P$12=1,$A1264=TODAY()),IF(AND(AH!$P$10=1,AH!$P$12=1,$A1264=TODAY()),TODAY(),NA()),IF(AH!$P$10=1,INDEX('Live History'!$G$5:$G$3004,MATCH($A1264,'Live History'!$G$5:$G$3004,1)),INDEX('AH History'!$F$1:$F$18046,AH!$P$7+1259))),NA()),NA())</ns0:f>
        <ns0:v/>
      </ns0:c>
      <ns0:c r="H1264">
        <ns0:f>IFERROR(IF(AND(AH!$E$4="Bloomberg",AH!$P$10=1,ISNUMBER($A1264),$A1264&lt;=AH!$P$17),AH!$P$7-1+MATCH($A1264,INDEX('AH History'!$A$1:$A$18046,AH!$P$7):INDEX('AH History'!$A$1:$A$18046,AH!$P$7+AH!$P$8-1),0),0),0)</ns0:f>
        <ns0:v/>
      </ns0:c>
      <ns0:c r="I1264">
        <ns0:f>IF($H1264=0,0,IFERROR(IF(AND(ABS($C1264-INDEX('AH History'!$B$1:$B$18046,$H1264))&lt;=MAX(0.005,ABS(INDEX('AH History'!$B$1:$B$18046,$H1264))*0.00005),ABS($D1264-INDEX('AH History'!$C$1:$C$18046,$H1264))&lt;=MAX(0.005,ABS(INDEX('AH History'!$C$1:$C$18046,$H1264))*0.00005),ABS($E1264-INDEX('AH History'!$D$1:$D$18046,$H1264))&lt;=0.00005,$F1264=INDEX('AH History'!$E$1:$E$18046,$H1264),$G1264=INDEX('AH History'!$F$1:$F$18046,$H1264)),1,-1),-1))</ns0:f>
        <ns0:v/>
      </ns0:c>
    </ns0:row>
    <ns0:row r="1265">
      <ns0:c r="A1265" s="215">
        <ns0:f>IF(OR(AH!$P$3=0,1260+1&gt;AH!$P$11,AND(AH!$E$4&lt;&gt;"Stored",AH!$P$10&lt;&gt;1)),"",IFERROR(IF(AND(AH!$P$21=1,1260+1=AH!$P$11),TODAY(),IF(AH!$P$10=1,INDEX('Live History'!$A$5:$A$3004,AH!$P$13+1260),INDEX('AH History'!$A$1:$A$18046,AH!$P$7+1260))),""))</ns0:f>
        <ns0:v/>
      </ns0:c>
      <ns0:c r="B1265" s="219">
        <ns0:f>IFERROR(IF(AND(AH!$P$9&lt;&gt;1,$C1265&gt;0,$D1265&gt;0,$E1265&gt;0,$F1265&gt;0,$G1265&gt;0,$F1265&lt;=$A1265,$G1265&lt;=$A1265,$A1265-$F1265&lt;=10,$A1265-$G1265&lt;=5),$D1265*$E1265/$C1265-1,NA()),NA())</ns0:f>
        <ns0:v/>
      </ns0:c>
      <ns0:c r="C1265">
        <ns0:f>IFERROR(IF(ISNUMBER($A1265),IF(AND(AH!$P$10=1,AH!$P$12=1,$A1265=TODAY()),AH!$P$19,IF(AH!$P$10=1,INDEX('Live History'!$B$5:$B$3004,AH!$P$13+1260),INDEX('AH History'!$B$1:$B$18046,AH!$P$7+1260))),NA()),NA())</ns0:f>
        <ns0:v/>
      </ns0:c>
      <ns0:c r="D1265">
        <ns0:f>IFERROR(IF(ISNUMBER($A1265),IF(AND(AH!$P$10=1,AH!$P$12=1,$A1265=TODAY()),AH!$P$18,IF(AH!$P$10=1,INDEX('Live History'!$E$5:$E$3004,MATCH($A1265,'Live History'!$D$5:$D$3004,1)),INDEX('AH History'!$C$1:$C$18046,AH!$P$7+1260))),NA()),NA())</ns0:f>
        <ns0:v/>
      </ns0:c>
      <ns0:c r="E1265">
        <ns0:f>IFERROR(IF(ISNUMBER($A1265),IF(AND(AH!$P$10=1,AH!$P$12=1,$A1265=TODAY()),AH!$P$20,IF(AH!$P$10=1,INDEX('Live History'!$H$5:$H$3004,MATCH($A1265,'Live History'!$G$5:$G$3004,1)),INDEX('AH History'!$D$1:$D$18046,AH!$P$7+1260))),NA()),NA())</ns0:f>
        <ns0:v/>
      </ns0:c>
      <ns0:c r="F1265">
        <ns0:f>IFERROR(IF(ISNUMBER($A1265),IF(AND(AH!$P$10=1,AH!$P$12=1,$A1265=TODAY()),IF(AND(AH!$P$10=1,AH!$P$12=1,$A1265=TODAY()),TODAY(),NA()),IF(AH!$P$10=1,INDEX('Live History'!$D$5:$D$3004,MATCH($A1265,'Live History'!$D$5:$D$3004,1)),INDEX('AH History'!$E$1:$E$18046,AH!$P$7+1260))),NA()),NA())</ns0:f>
        <ns0:v/>
      </ns0:c>
      <ns0:c r="G1265">
        <ns0:f>IFERROR(IF(ISNUMBER($A1265),IF(AND(AH!$P$10=1,AH!$P$12=1,$A1265=TODAY()),IF(AND(AH!$P$10=1,AH!$P$12=1,$A1265=TODAY()),TODAY(),NA()),IF(AH!$P$10=1,INDEX('Live History'!$G$5:$G$3004,MATCH($A1265,'Live History'!$G$5:$G$3004,1)),INDEX('AH History'!$F$1:$F$18046,AH!$P$7+1260))),NA()),NA())</ns0:f>
        <ns0:v/>
      </ns0:c>
      <ns0:c r="H1265">
        <ns0:f>IFERROR(IF(AND(AH!$E$4="Bloomberg",AH!$P$10=1,ISNUMBER($A1265),$A1265&lt;=AH!$P$17),AH!$P$7-1+MATCH($A1265,INDEX('AH History'!$A$1:$A$18046,AH!$P$7):INDEX('AH History'!$A$1:$A$18046,AH!$P$7+AH!$P$8-1),0),0),0)</ns0:f>
        <ns0:v/>
      </ns0:c>
      <ns0:c r="I1265">
        <ns0:f>IF($H1265=0,0,IFERROR(IF(AND(ABS($C1265-INDEX('AH History'!$B$1:$B$18046,$H1265))&lt;=MAX(0.005,ABS(INDEX('AH History'!$B$1:$B$18046,$H1265))*0.00005),ABS($D1265-INDEX('AH History'!$C$1:$C$18046,$H1265))&lt;=MAX(0.005,ABS(INDEX('AH History'!$C$1:$C$18046,$H1265))*0.00005),ABS($E1265-INDEX('AH History'!$D$1:$D$18046,$H1265))&lt;=0.00005,$F1265=INDEX('AH History'!$E$1:$E$18046,$H1265),$G1265=INDEX('AH History'!$F$1:$F$18046,$H1265)),1,-1),-1))</ns0:f>
        <ns0:v/>
      </ns0:c>
    </ns0:row>
    <ns0:row r="1266">
      <ns0:c r="A1266" s="215">
        <ns0:f>IF(OR(AH!$P$3=0,1261+1&gt;AH!$P$11,AND(AH!$E$4&lt;&gt;"Stored",AH!$P$10&lt;&gt;1)),"",IFERROR(IF(AND(AH!$P$21=1,1261+1=AH!$P$11),TODAY(),IF(AH!$P$10=1,INDEX('Live History'!$A$5:$A$3004,AH!$P$13+1261),INDEX('AH History'!$A$1:$A$18046,AH!$P$7+1261))),""))</ns0:f>
        <ns0:v/>
      </ns0:c>
      <ns0:c r="B1266" s="219">
        <ns0:f>IFERROR(IF(AND(AH!$P$9&lt;&gt;1,$C1266&gt;0,$D1266&gt;0,$E1266&gt;0,$F1266&gt;0,$G1266&gt;0,$F1266&lt;=$A1266,$G1266&lt;=$A1266,$A1266-$F1266&lt;=10,$A1266-$G1266&lt;=5),$D1266*$E1266/$C1266-1,NA()),NA())</ns0:f>
        <ns0:v/>
      </ns0:c>
      <ns0:c r="C1266">
        <ns0:f>IFERROR(IF(ISNUMBER($A1266),IF(AND(AH!$P$10=1,AH!$P$12=1,$A1266=TODAY()),AH!$P$19,IF(AH!$P$10=1,INDEX('Live History'!$B$5:$B$3004,AH!$P$13+1261),INDEX('AH History'!$B$1:$B$18046,AH!$P$7+1261))),NA()),NA())</ns0:f>
        <ns0:v/>
      </ns0:c>
      <ns0:c r="D1266">
        <ns0:f>IFERROR(IF(ISNUMBER($A1266),IF(AND(AH!$P$10=1,AH!$P$12=1,$A1266=TODAY()),AH!$P$18,IF(AH!$P$10=1,INDEX('Live History'!$E$5:$E$3004,MATCH($A1266,'Live History'!$D$5:$D$3004,1)),INDEX('AH History'!$C$1:$C$18046,AH!$P$7+1261))),NA()),NA())</ns0:f>
        <ns0:v/>
      </ns0:c>
      <ns0:c r="E1266">
        <ns0:f>IFERROR(IF(ISNUMBER($A1266),IF(AND(AH!$P$10=1,AH!$P$12=1,$A1266=TODAY()),AH!$P$20,IF(AH!$P$10=1,INDEX('Live History'!$H$5:$H$3004,MATCH($A1266,'Live History'!$G$5:$G$3004,1)),INDEX('AH History'!$D$1:$D$18046,AH!$P$7+1261))),NA()),NA())</ns0:f>
        <ns0:v/>
      </ns0:c>
      <ns0:c r="F1266">
        <ns0:f>IFERROR(IF(ISNUMBER($A1266),IF(AND(AH!$P$10=1,AH!$P$12=1,$A1266=TODAY()),IF(AND(AH!$P$10=1,AH!$P$12=1,$A1266=TODAY()),TODAY(),NA()),IF(AH!$P$10=1,INDEX('Live History'!$D$5:$D$3004,MATCH($A1266,'Live History'!$D$5:$D$3004,1)),INDEX('AH History'!$E$1:$E$18046,AH!$P$7+1261))),NA()),NA())</ns0:f>
        <ns0:v/>
      </ns0:c>
      <ns0:c r="G1266">
        <ns0:f>IFERROR(IF(ISNUMBER($A1266),IF(AND(AH!$P$10=1,AH!$P$12=1,$A1266=TODAY()),IF(AND(AH!$P$10=1,AH!$P$12=1,$A1266=TODAY()),TODAY(),NA()),IF(AH!$P$10=1,INDEX('Live History'!$G$5:$G$3004,MATCH($A1266,'Live History'!$G$5:$G$3004,1)),INDEX('AH History'!$F$1:$F$18046,AH!$P$7+1261))),NA()),NA())</ns0:f>
        <ns0:v/>
      </ns0:c>
      <ns0:c r="H1266">
        <ns0:f>IFERROR(IF(AND(AH!$E$4="Bloomberg",AH!$P$10=1,ISNUMBER($A1266),$A1266&lt;=AH!$P$17),AH!$P$7-1+MATCH($A1266,INDEX('AH History'!$A$1:$A$18046,AH!$P$7):INDEX('AH History'!$A$1:$A$18046,AH!$P$7+AH!$P$8-1),0),0),0)</ns0:f>
        <ns0:v/>
      </ns0:c>
      <ns0:c r="I1266">
        <ns0:f>IF($H1266=0,0,IFERROR(IF(AND(ABS($C1266-INDEX('AH History'!$B$1:$B$18046,$H1266))&lt;=MAX(0.005,ABS(INDEX('AH History'!$B$1:$B$18046,$H1266))*0.00005),ABS($D1266-INDEX('AH History'!$C$1:$C$18046,$H1266))&lt;=MAX(0.005,ABS(INDEX('AH History'!$C$1:$C$18046,$H1266))*0.00005),ABS($E1266-INDEX('AH History'!$D$1:$D$18046,$H1266))&lt;=0.00005,$F1266=INDEX('AH History'!$E$1:$E$18046,$H1266),$G1266=INDEX('AH History'!$F$1:$F$18046,$H1266)),1,-1),-1))</ns0:f>
        <ns0:v/>
      </ns0:c>
    </ns0:row>
    <ns0:row r="1267">
      <ns0:c r="A1267" s="215">
        <ns0:f>IF(OR(AH!$P$3=0,1262+1&gt;AH!$P$11,AND(AH!$E$4&lt;&gt;"Stored",AH!$P$10&lt;&gt;1)),"",IFERROR(IF(AND(AH!$P$21=1,1262+1=AH!$P$11),TODAY(),IF(AH!$P$10=1,INDEX('Live History'!$A$5:$A$3004,AH!$P$13+1262),INDEX('AH History'!$A$1:$A$18046,AH!$P$7+1262))),""))</ns0:f>
        <ns0:v/>
      </ns0:c>
      <ns0:c r="B1267" s="219">
        <ns0:f>IFERROR(IF(AND(AH!$P$9&lt;&gt;1,$C1267&gt;0,$D1267&gt;0,$E1267&gt;0,$F1267&gt;0,$G1267&gt;0,$F1267&lt;=$A1267,$G1267&lt;=$A1267,$A1267-$F1267&lt;=10,$A1267-$G1267&lt;=5),$D1267*$E1267/$C1267-1,NA()),NA())</ns0:f>
        <ns0:v/>
      </ns0:c>
      <ns0:c r="C1267">
        <ns0:f>IFERROR(IF(ISNUMBER($A1267),IF(AND(AH!$P$10=1,AH!$P$12=1,$A1267=TODAY()),AH!$P$19,IF(AH!$P$10=1,INDEX('Live History'!$B$5:$B$3004,AH!$P$13+1262),INDEX('AH History'!$B$1:$B$18046,AH!$P$7+1262))),NA()),NA())</ns0:f>
        <ns0:v/>
      </ns0:c>
      <ns0:c r="D1267">
        <ns0:f>IFERROR(IF(ISNUMBER($A1267),IF(AND(AH!$P$10=1,AH!$P$12=1,$A1267=TODAY()),AH!$P$18,IF(AH!$P$10=1,INDEX('Live History'!$E$5:$E$3004,MATCH($A1267,'Live History'!$D$5:$D$3004,1)),INDEX('AH History'!$C$1:$C$18046,AH!$P$7+1262))),NA()),NA())</ns0:f>
        <ns0:v/>
      </ns0:c>
      <ns0:c r="E1267">
        <ns0:f>IFERROR(IF(ISNUMBER($A1267),IF(AND(AH!$P$10=1,AH!$P$12=1,$A1267=TODAY()),AH!$P$20,IF(AH!$P$10=1,INDEX('Live History'!$H$5:$H$3004,MATCH($A1267,'Live History'!$G$5:$G$3004,1)),INDEX('AH History'!$D$1:$D$18046,AH!$P$7+1262))),NA()),NA())</ns0:f>
        <ns0:v/>
      </ns0:c>
      <ns0:c r="F1267">
        <ns0:f>IFERROR(IF(ISNUMBER($A1267),IF(AND(AH!$P$10=1,AH!$P$12=1,$A1267=TODAY()),IF(AND(AH!$P$10=1,AH!$P$12=1,$A1267=TODAY()),TODAY(),NA()),IF(AH!$P$10=1,INDEX('Live History'!$D$5:$D$3004,MATCH($A1267,'Live History'!$D$5:$D$3004,1)),INDEX('AH History'!$E$1:$E$18046,AH!$P$7+1262))),NA()),NA())</ns0:f>
        <ns0:v/>
      </ns0:c>
      <ns0:c r="G1267">
        <ns0:f>IFERROR(IF(ISNUMBER($A1267),IF(AND(AH!$P$10=1,AH!$P$12=1,$A1267=TODAY()),IF(AND(AH!$P$10=1,AH!$P$12=1,$A1267=TODAY()),TODAY(),NA()),IF(AH!$P$10=1,INDEX('Live History'!$G$5:$G$3004,MATCH($A1267,'Live History'!$G$5:$G$3004,1)),INDEX('AH History'!$F$1:$F$18046,AH!$P$7+1262))),NA()),NA())</ns0:f>
        <ns0:v/>
      </ns0:c>
      <ns0:c r="H1267">
        <ns0:f>IFERROR(IF(AND(AH!$E$4="Bloomberg",AH!$P$10=1,ISNUMBER($A1267),$A1267&lt;=AH!$P$17),AH!$P$7-1+MATCH($A1267,INDEX('AH History'!$A$1:$A$18046,AH!$P$7):INDEX('AH History'!$A$1:$A$18046,AH!$P$7+AH!$P$8-1),0),0),0)</ns0:f>
        <ns0:v/>
      </ns0:c>
      <ns0:c r="I1267">
        <ns0:f>IF($H1267=0,0,IFERROR(IF(AND(ABS($C1267-INDEX('AH History'!$B$1:$B$18046,$H1267))&lt;=MAX(0.005,ABS(INDEX('AH History'!$B$1:$B$18046,$H1267))*0.00005),ABS($D1267-INDEX('AH History'!$C$1:$C$18046,$H1267))&lt;=MAX(0.005,ABS(INDEX('AH History'!$C$1:$C$18046,$H1267))*0.00005),ABS($E1267-INDEX('AH History'!$D$1:$D$18046,$H1267))&lt;=0.00005,$F1267=INDEX('AH History'!$E$1:$E$18046,$H1267),$G1267=INDEX('AH History'!$F$1:$F$18046,$H1267)),1,-1),-1))</ns0:f>
        <ns0:v/>
      </ns0:c>
    </ns0:row>
    <ns0:row r="1268">
      <ns0:c r="A1268" s="215">
        <ns0:f>IF(OR(AH!$P$3=0,1263+1&gt;AH!$P$11,AND(AH!$E$4&lt;&gt;"Stored",AH!$P$10&lt;&gt;1)),"",IFERROR(IF(AND(AH!$P$21=1,1263+1=AH!$P$11),TODAY(),IF(AH!$P$10=1,INDEX('Live History'!$A$5:$A$3004,AH!$P$13+1263),INDEX('AH History'!$A$1:$A$18046,AH!$P$7+1263))),""))</ns0:f>
        <ns0:v/>
      </ns0:c>
      <ns0:c r="B1268" s="219">
        <ns0:f>IFERROR(IF(AND(AH!$P$9&lt;&gt;1,$C1268&gt;0,$D1268&gt;0,$E1268&gt;0,$F1268&gt;0,$G1268&gt;0,$F1268&lt;=$A1268,$G1268&lt;=$A1268,$A1268-$F1268&lt;=10,$A1268-$G1268&lt;=5),$D1268*$E1268/$C1268-1,NA()),NA())</ns0:f>
        <ns0:v/>
      </ns0:c>
      <ns0:c r="C1268">
        <ns0:f>IFERROR(IF(ISNUMBER($A1268),IF(AND(AH!$P$10=1,AH!$P$12=1,$A1268=TODAY()),AH!$P$19,IF(AH!$P$10=1,INDEX('Live History'!$B$5:$B$3004,AH!$P$13+1263),INDEX('AH History'!$B$1:$B$18046,AH!$P$7+1263))),NA()),NA())</ns0:f>
        <ns0:v/>
      </ns0:c>
      <ns0:c r="D1268">
        <ns0:f>IFERROR(IF(ISNUMBER($A1268),IF(AND(AH!$P$10=1,AH!$P$12=1,$A1268=TODAY()),AH!$P$18,IF(AH!$P$10=1,INDEX('Live History'!$E$5:$E$3004,MATCH($A1268,'Live History'!$D$5:$D$3004,1)),INDEX('AH History'!$C$1:$C$18046,AH!$P$7+1263))),NA()),NA())</ns0:f>
        <ns0:v/>
      </ns0:c>
      <ns0:c r="E1268">
        <ns0:f>IFERROR(IF(ISNUMBER($A1268),IF(AND(AH!$P$10=1,AH!$P$12=1,$A1268=TODAY()),AH!$P$20,IF(AH!$P$10=1,INDEX('Live History'!$H$5:$H$3004,MATCH($A1268,'Live History'!$G$5:$G$3004,1)),INDEX('AH History'!$D$1:$D$18046,AH!$P$7+1263))),NA()),NA())</ns0:f>
        <ns0:v/>
      </ns0:c>
      <ns0:c r="F1268">
        <ns0:f>IFERROR(IF(ISNUMBER($A1268),IF(AND(AH!$P$10=1,AH!$P$12=1,$A1268=TODAY()),IF(AND(AH!$P$10=1,AH!$P$12=1,$A1268=TODAY()),TODAY(),NA()),IF(AH!$P$10=1,INDEX('Live History'!$D$5:$D$3004,MATCH($A1268,'Live History'!$D$5:$D$3004,1)),INDEX('AH History'!$E$1:$E$18046,AH!$P$7+1263))),NA()),NA())</ns0:f>
        <ns0:v/>
      </ns0:c>
      <ns0:c r="G1268">
        <ns0:f>IFERROR(IF(ISNUMBER($A1268),IF(AND(AH!$P$10=1,AH!$P$12=1,$A1268=TODAY()),IF(AND(AH!$P$10=1,AH!$P$12=1,$A1268=TODAY()),TODAY(),NA()),IF(AH!$P$10=1,INDEX('Live History'!$G$5:$G$3004,MATCH($A1268,'Live History'!$G$5:$G$3004,1)),INDEX('AH History'!$F$1:$F$18046,AH!$P$7+1263))),NA()),NA())</ns0:f>
        <ns0:v/>
      </ns0:c>
      <ns0:c r="H1268">
        <ns0:f>IFERROR(IF(AND(AH!$E$4="Bloomberg",AH!$P$10=1,ISNUMBER($A1268),$A1268&lt;=AH!$P$17),AH!$P$7-1+MATCH($A1268,INDEX('AH History'!$A$1:$A$18046,AH!$P$7):INDEX('AH History'!$A$1:$A$18046,AH!$P$7+AH!$P$8-1),0),0),0)</ns0:f>
        <ns0:v/>
      </ns0:c>
      <ns0:c r="I1268">
        <ns0:f>IF($H1268=0,0,IFERROR(IF(AND(ABS($C1268-INDEX('AH History'!$B$1:$B$18046,$H1268))&lt;=MAX(0.005,ABS(INDEX('AH History'!$B$1:$B$18046,$H1268))*0.00005),ABS($D1268-INDEX('AH History'!$C$1:$C$18046,$H1268))&lt;=MAX(0.005,ABS(INDEX('AH History'!$C$1:$C$18046,$H1268))*0.00005),ABS($E1268-INDEX('AH History'!$D$1:$D$18046,$H1268))&lt;=0.00005,$F1268=INDEX('AH History'!$E$1:$E$18046,$H1268),$G1268=INDEX('AH History'!$F$1:$F$18046,$H1268)),1,-1),-1))</ns0:f>
        <ns0:v/>
      </ns0:c>
    </ns0:row>
    <ns0:row r="1269">
      <ns0:c r="A1269" s="215">
        <ns0:f>IF(OR(AH!$P$3=0,1264+1&gt;AH!$P$11,AND(AH!$E$4&lt;&gt;"Stored",AH!$P$10&lt;&gt;1)),"",IFERROR(IF(AND(AH!$P$21=1,1264+1=AH!$P$11),TODAY(),IF(AH!$P$10=1,INDEX('Live History'!$A$5:$A$3004,AH!$P$13+1264),INDEX('AH History'!$A$1:$A$18046,AH!$P$7+1264))),""))</ns0:f>
        <ns0:v/>
      </ns0:c>
      <ns0:c r="B1269" s="219">
        <ns0:f>IFERROR(IF(AND(AH!$P$9&lt;&gt;1,$C1269&gt;0,$D1269&gt;0,$E1269&gt;0,$F1269&gt;0,$G1269&gt;0,$F1269&lt;=$A1269,$G1269&lt;=$A1269,$A1269-$F1269&lt;=10,$A1269-$G1269&lt;=5),$D1269*$E1269/$C1269-1,NA()),NA())</ns0:f>
        <ns0:v/>
      </ns0:c>
      <ns0:c r="C1269">
        <ns0:f>IFERROR(IF(ISNUMBER($A1269),IF(AND(AH!$P$10=1,AH!$P$12=1,$A1269=TODAY()),AH!$P$19,IF(AH!$P$10=1,INDEX('Live History'!$B$5:$B$3004,AH!$P$13+1264),INDEX('AH History'!$B$1:$B$18046,AH!$P$7+1264))),NA()),NA())</ns0:f>
        <ns0:v/>
      </ns0:c>
      <ns0:c r="D1269">
        <ns0:f>IFERROR(IF(ISNUMBER($A1269),IF(AND(AH!$P$10=1,AH!$P$12=1,$A1269=TODAY()),AH!$P$18,IF(AH!$P$10=1,INDEX('Live History'!$E$5:$E$3004,MATCH($A1269,'Live History'!$D$5:$D$3004,1)),INDEX('AH History'!$C$1:$C$18046,AH!$P$7+1264))),NA()),NA())</ns0:f>
        <ns0:v/>
      </ns0:c>
      <ns0:c r="E1269">
        <ns0:f>IFERROR(IF(ISNUMBER($A1269),IF(AND(AH!$P$10=1,AH!$P$12=1,$A1269=TODAY()),AH!$P$20,IF(AH!$P$10=1,INDEX('Live History'!$H$5:$H$3004,MATCH($A1269,'Live History'!$G$5:$G$3004,1)),INDEX('AH History'!$D$1:$D$18046,AH!$P$7+1264))),NA()),NA())</ns0:f>
        <ns0:v/>
      </ns0:c>
      <ns0:c r="F1269">
        <ns0:f>IFERROR(IF(ISNUMBER($A1269),IF(AND(AH!$P$10=1,AH!$P$12=1,$A1269=TODAY()),IF(AND(AH!$P$10=1,AH!$P$12=1,$A1269=TODAY()),TODAY(),NA()),IF(AH!$P$10=1,INDEX('Live History'!$D$5:$D$3004,MATCH($A1269,'Live History'!$D$5:$D$3004,1)),INDEX('AH History'!$E$1:$E$18046,AH!$P$7+1264))),NA()),NA())</ns0:f>
        <ns0:v/>
      </ns0:c>
      <ns0:c r="G1269">
        <ns0:f>IFERROR(IF(ISNUMBER($A1269),IF(AND(AH!$P$10=1,AH!$P$12=1,$A1269=TODAY()),IF(AND(AH!$P$10=1,AH!$P$12=1,$A1269=TODAY()),TODAY(),NA()),IF(AH!$P$10=1,INDEX('Live History'!$G$5:$G$3004,MATCH($A1269,'Live History'!$G$5:$G$3004,1)),INDEX('AH History'!$F$1:$F$18046,AH!$P$7+1264))),NA()),NA())</ns0:f>
        <ns0:v/>
      </ns0:c>
      <ns0:c r="H1269">
        <ns0:f>IFERROR(IF(AND(AH!$E$4="Bloomberg",AH!$P$10=1,ISNUMBER($A1269),$A1269&lt;=AH!$P$17),AH!$P$7-1+MATCH($A1269,INDEX('AH History'!$A$1:$A$18046,AH!$P$7):INDEX('AH History'!$A$1:$A$18046,AH!$P$7+AH!$P$8-1),0),0),0)</ns0:f>
        <ns0:v/>
      </ns0:c>
      <ns0:c r="I1269">
        <ns0:f>IF($H1269=0,0,IFERROR(IF(AND(ABS($C1269-INDEX('AH History'!$B$1:$B$18046,$H1269))&lt;=MAX(0.005,ABS(INDEX('AH History'!$B$1:$B$18046,$H1269))*0.00005),ABS($D1269-INDEX('AH History'!$C$1:$C$18046,$H1269))&lt;=MAX(0.005,ABS(INDEX('AH History'!$C$1:$C$18046,$H1269))*0.00005),ABS($E1269-INDEX('AH History'!$D$1:$D$18046,$H1269))&lt;=0.00005,$F1269=INDEX('AH History'!$E$1:$E$18046,$H1269),$G1269=INDEX('AH History'!$F$1:$F$18046,$H1269)),1,-1),-1))</ns0:f>
        <ns0:v/>
      </ns0:c>
    </ns0:row>
    <ns0:row r="1270">
      <ns0:c r="A1270" s="215">
        <ns0:f>IF(OR(AH!$P$3=0,1265+1&gt;AH!$P$11,AND(AH!$E$4&lt;&gt;"Stored",AH!$P$10&lt;&gt;1)),"",IFERROR(IF(AND(AH!$P$21=1,1265+1=AH!$P$11),TODAY(),IF(AH!$P$10=1,INDEX('Live History'!$A$5:$A$3004,AH!$P$13+1265),INDEX('AH History'!$A$1:$A$18046,AH!$P$7+1265))),""))</ns0:f>
        <ns0:v/>
      </ns0:c>
      <ns0:c r="B1270" s="219">
        <ns0:f>IFERROR(IF(AND(AH!$P$9&lt;&gt;1,$C1270&gt;0,$D1270&gt;0,$E1270&gt;0,$F1270&gt;0,$G1270&gt;0,$F1270&lt;=$A1270,$G1270&lt;=$A1270,$A1270-$F1270&lt;=10,$A1270-$G1270&lt;=5),$D1270*$E1270/$C1270-1,NA()),NA())</ns0:f>
        <ns0:v/>
      </ns0:c>
      <ns0:c r="C1270">
        <ns0:f>IFERROR(IF(ISNUMBER($A1270),IF(AND(AH!$P$10=1,AH!$P$12=1,$A1270=TODAY()),AH!$P$19,IF(AH!$P$10=1,INDEX('Live History'!$B$5:$B$3004,AH!$P$13+1265),INDEX('AH History'!$B$1:$B$18046,AH!$P$7+1265))),NA()),NA())</ns0:f>
        <ns0:v/>
      </ns0:c>
      <ns0:c r="D1270">
        <ns0:f>IFERROR(IF(ISNUMBER($A1270),IF(AND(AH!$P$10=1,AH!$P$12=1,$A1270=TODAY()),AH!$P$18,IF(AH!$P$10=1,INDEX('Live History'!$E$5:$E$3004,MATCH($A1270,'Live History'!$D$5:$D$3004,1)),INDEX('AH History'!$C$1:$C$18046,AH!$P$7+1265))),NA()),NA())</ns0:f>
        <ns0:v/>
      </ns0:c>
      <ns0:c r="E1270">
        <ns0:f>IFERROR(IF(ISNUMBER($A1270),IF(AND(AH!$P$10=1,AH!$P$12=1,$A1270=TODAY()),AH!$P$20,IF(AH!$P$10=1,INDEX('Live History'!$H$5:$H$3004,MATCH($A1270,'Live History'!$G$5:$G$3004,1)),INDEX('AH History'!$D$1:$D$18046,AH!$P$7+1265))),NA()),NA())</ns0:f>
        <ns0:v/>
      </ns0:c>
      <ns0:c r="F1270">
        <ns0:f>IFERROR(IF(ISNUMBER($A1270),IF(AND(AH!$P$10=1,AH!$P$12=1,$A1270=TODAY()),IF(AND(AH!$P$10=1,AH!$P$12=1,$A1270=TODAY()),TODAY(),NA()),IF(AH!$P$10=1,INDEX('Live History'!$D$5:$D$3004,MATCH($A1270,'Live History'!$D$5:$D$3004,1)),INDEX('AH History'!$E$1:$E$18046,AH!$P$7+1265))),NA()),NA())</ns0:f>
        <ns0:v/>
      </ns0:c>
      <ns0:c r="G1270">
        <ns0:f>IFERROR(IF(ISNUMBER($A1270),IF(AND(AH!$P$10=1,AH!$P$12=1,$A1270=TODAY()),IF(AND(AH!$P$10=1,AH!$P$12=1,$A1270=TODAY()),TODAY(),NA()),IF(AH!$P$10=1,INDEX('Live History'!$G$5:$G$3004,MATCH($A1270,'Live History'!$G$5:$G$3004,1)),INDEX('AH History'!$F$1:$F$18046,AH!$P$7+1265))),NA()),NA())</ns0:f>
        <ns0:v/>
      </ns0:c>
      <ns0:c r="H1270">
        <ns0:f>IFERROR(IF(AND(AH!$E$4="Bloomberg",AH!$P$10=1,ISNUMBER($A1270),$A1270&lt;=AH!$P$17),AH!$P$7-1+MATCH($A1270,INDEX('AH History'!$A$1:$A$18046,AH!$P$7):INDEX('AH History'!$A$1:$A$18046,AH!$P$7+AH!$P$8-1),0),0),0)</ns0:f>
        <ns0:v/>
      </ns0:c>
      <ns0:c r="I1270">
        <ns0:f>IF($H1270=0,0,IFERROR(IF(AND(ABS($C1270-INDEX('AH History'!$B$1:$B$18046,$H1270))&lt;=MAX(0.005,ABS(INDEX('AH History'!$B$1:$B$18046,$H1270))*0.00005),ABS($D1270-INDEX('AH History'!$C$1:$C$18046,$H1270))&lt;=MAX(0.005,ABS(INDEX('AH History'!$C$1:$C$18046,$H1270))*0.00005),ABS($E1270-INDEX('AH History'!$D$1:$D$18046,$H1270))&lt;=0.00005,$F1270=INDEX('AH History'!$E$1:$E$18046,$H1270),$G1270=INDEX('AH History'!$F$1:$F$18046,$H1270)),1,-1),-1))</ns0:f>
        <ns0:v/>
      </ns0:c>
    </ns0:row>
    <ns0:row r="1271">
      <ns0:c r="A1271" s="215">
        <ns0:f>IF(OR(AH!$P$3=0,1266+1&gt;AH!$P$11,AND(AH!$E$4&lt;&gt;"Stored",AH!$P$10&lt;&gt;1)),"",IFERROR(IF(AND(AH!$P$21=1,1266+1=AH!$P$11),TODAY(),IF(AH!$P$10=1,INDEX('Live History'!$A$5:$A$3004,AH!$P$13+1266),INDEX('AH History'!$A$1:$A$18046,AH!$P$7+1266))),""))</ns0:f>
        <ns0:v/>
      </ns0:c>
      <ns0:c r="B1271" s="219">
        <ns0:f>IFERROR(IF(AND(AH!$P$9&lt;&gt;1,$C1271&gt;0,$D1271&gt;0,$E1271&gt;0,$F1271&gt;0,$G1271&gt;0,$F1271&lt;=$A1271,$G1271&lt;=$A1271,$A1271-$F1271&lt;=10,$A1271-$G1271&lt;=5),$D1271*$E1271/$C1271-1,NA()),NA())</ns0:f>
        <ns0:v/>
      </ns0:c>
      <ns0:c r="C1271">
        <ns0:f>IFERROR(IF(ISNUMBER($A1271),IF(AND(AH!$P$10=1,AH!$P$12=1,$A1271=TODAY()),AH!$P$19,IF(AH!$P$10=1,INDEX('Live History'!$B$5:$B$3004,AH!$P$13+1266),INDEX('AH History'!$B$1:$B$18046,AH!$P$7+1266))),NA()),NA())</ns0:f>
        <ns0:v/>
      </ns0:c>
      <ns0:c r="D1271">
        <ns0:f>IFERROR(IF(ISNUMBER($A1271),IF(AND(AH!$P$10=1,AH!$P$12=1,$A1271=TODAY()),AH!$P$18,IF(AH!$P$10=1,INDEX('Live History'!$E$5:$E$3004,MATCH($A1271,'Live History'!$D$5:$D$3004,1)),INDEX('AH History'!$C$1:$C$18046,AH!$P$7+1266))),NA()),NA())</ns0:f>
        <ns0:v/>
      </ns0:c>
      <ns0:c r="E1271">
        <ns0:f>IFERROR(IF(ISNUMBER($A1271),IF(AND(AH!$P$10=1,AH!$P$12=1,$A1271=TODAY()),AH!$P$20,IF(AH!$P$10=1,INDEX('Live History'!$H$5:$H$3004,MATCH($A1271,'Live History'!$G$5:$G$3004,1)),INDEX('AH History'!$D$1:$D$18046,AH!$P$7+1266))),NA()),NA())</ns0:f>
        <ns0:v/>
      </ns0:c>
      <ns0:c r="F1271">
        <ns0:f>IFERROR(IF(ISNUMBER($A1271),IF(AND(AH!$P$10=1,AH!$P$12=1,$A1271=TODAY()),IF(AND(AH!$P$10=1,AH!$P$12=1,$A1271=TODAY()),TODAY(),NA()),IF(AH!$P$10=1,INDEX('Live History'!$D$5:$D$3004,MATCH($A1271,'Live History'!$D$5:$D$3004,1)),INDEX('AH History'!$E$1:$E$18046,AH!$P$7+1266))),NA()),NA())</ns0:f>
        <ns0:v/>
      </ns0:c>
      <ns0:c r="G1271">
        <ns0:f>IFERROR(IF(ISNUMBER($A1271),IF(AND(AH!$P$10=1,AH!$P$12=1,$A1271=TODAY()),IF(AND(AH!$P$10=1,AH!$P$12=1,$A1271=TODAY()),TODAY(),NA()),IF(AH!$P$10=1,INDEX('Live History'!$G$5:$G$3004,MATCH($A1271,'Live History'!$G$5:$G$3004,1)),INDEX('AH History'!$F$1:$F$18046,AH!$P$7+1266))),NA()),NA())</ns0:f>
        <ns0:v/>
      </ns0:c>
      <ns0:c r="H1271">
        <ns0:f>IFERROR(IF(AND(AH!$E$4="Bloomberg",AH!$P$10=1,ISNUMBER($A1271),$A1271&lt;=AH!$P$17),AH!$P$7-1+MATCH($A1271,INDEX('AH History'!$A$1:$A$18046,AH!$P$7):INDEX('AH History'!$A$1:$A$18046,AH!$P$7+AH!$P$8-1),0),0),0)</ns0:f>
        <ns0:v/>
      </ns0:c>
      <ns0:c r="I1271">
        <ns0:f>IF($H1271=0,0,IFERROR(IF(AND(ABS($C1271-INDEX('AH History'!$B$1:$B$18046,$H1271))&lt;=MAX(0.005,ABS(INDEX('AH History'!$B$1:$B$18046,$H1271))*0.00005),ABS($D1271-INDEX('AH History'!$C$1:$C$18046,$H1271))&lt;=MAX(0.005,ABS(INDEX('AH History'!$C$1:$C$18046,$H1271))*0.00005),ABS($E1271-INDEX('AH History'!$D$1:$D$18046,$H1271))&lt;=0.00005,$F1271=INDEX('AH History'!$E$1:$E$18046,$H1271),$G1271=INDEX('AH History'!$F$1:$F$18046,$H1271)),1,-1),-1))</ns0:f>
        <ns0:v/>
      </ns0:c>
    </ns0:row>
    <ns0:row r="1272">
      <ns0:c r="A1272" s="215">
        <ns0:f>IF(OR(AH!$P$3=0,1267+1&gt;AH!$P$11,AND(AH!$E$4&lt;&gt;"Stored",AH!$P$10&lt;&gt;1)),"",IFERROR(IF(AND(AH!$P$21=1,1267+1=AH!$P$11),TODAY(),IF(AH!$P$10=1,INDEX('Live History'!$A$5:$A$3004,AH!$P$13+1267),INDEX('AH History'!$A$1:$A$18046,AH!$P$7+1267))),""))</ns0:f>
        <ns0:v/>
      </ns0:c>
      <ns0:c r="B1272" s="219">
        <ns0:f>IFERROR(IF(AND(AH!$P$9&lt;&gt;1,$C1272&gt;0,$D1272&gt;0,$E1272&gt;0,$F1272&gt;0,$G1272&gt;0,$F1272&lt;=$A1272,$G1272&lt;=$A1272,$A1272-$F1272&lt;=10,$A1272-$G1272&lt;=5),$D1272*$E1272/$C1272-1,NA()),NA())</ns0:f>
        <ns0:v/>
      </ns0:c>
      <ns0:c r="C1272">
        <ns0:f>IFERROR(IF(ISNUMBER($A1272),IF(AND(AH!$P$10=1,AH!$P$12=1,$A1272=TODAY()),AH!$P$19,IF(AH!$P$10=1,INDEX('Live History'!$B$5:$B$3004,AH!$P$13+1267),INDEX('AH History'!$B$1:$B$18046,AH!$P$7+1267))),NA()),NA())</ns0:f>
        <ns0:v/>
      </ns0:c>
      <ns0:c r="D1272">
        <ns0:f>IFERROR(IF(ISNUMBER($A1272),IF(AND(AH!$P$10=1,AH!$P$12=1,$A1272=TODAY()),AH!$P$18,IF(AH!$P$10=1,INDEX('Live History'!$E$5:$E$3004,MATCH($A1272,'Live History'!$D$5:$D$3004,1)),INDEX('AH History'!$C$1:$C$18046,AH!$P$7+1267))),NA()),NA())</ns0:f>
        <ns0:v/>
      </ns0:c>
      <ns0:c r="E1272">
        <ns0:f>IFERROR(IF(ISNUMBER($A1272),IF(AND(AH!$P$10=1,AH!$P$12=1,$A1272=TODAY()),AH!$P$20,IF(AH!$P$10=1,INDEX('Live History'!$H$5:$H$3004,MATCH($A1272,'Live History'!$G$5:$G$3004,1)),INDEX('AH History'!$D$1:$D$18046,AH!$P$7+1267))),NA()),NA())</ns0:f>
        <ns0:v/>
      </ns0:c>
      <ns0:c r="F1272">
        <ns0:f>IFERROR(IF(ISNUMBER($A1272),IF(AND(AH!$P$10=1,AH!$P$12=1,$A1272=TODAY()),IF(AND(AH!$P$10=1,AH!$P$12=1,$A1272=TODAY()),TODAY(),NA()),IF(AH!$P$10=1,INDEX('Live History'!$D$5:$D$3004,MATCH($A1272,'Live History'!$D$5:$D$3004,1)),INDEX('AH History'!$E$1:$E$18046,AH!$P$7+1267))),NA()),NA())</ns0:f>
        <ns0:v/>
      </ns0:c>
      <ns0:c r="G1272">
        <ns0:f>IFERROR(IF(ISNUMBER($A1272),IF(AND(AH!$P$10=1,AH!$P$12=1,$A1272=TODAY()),IF(AND(AH!$P$10=1,AH!$P$12=1,$A1272=TODAY()),TODAY(),NA()),IF(AH!$P$10=1,INDEX('Live History'!$G$5:$G$3004,MATCH($A1272,'Live History'!$G$5:$G$3004,1)),INDEX('AH History'!$F$1:$F$18046,AH!$P$7+1267))),NA()),NA())</ns0:f>
        <ns0:v/>
      </ns0:c>
      <ns0:c r="H1272">
        <ns0:f>IFERROR(IF(AND(AH!$E$4="Bloomberg",AH!$P$10=1,ISNUMBER($A1272),$A1272&lt;=AH!$P$17),AH!$P$7-1+MATCH($A1272,INDEX('AH History'!$A$1:$A$18046,AH!$P$7):INDEX('AH History'!$A$1:$A$18046,AH!$P$7+AH!$P$8-1),0),0),0)</ns0:f>
        <ns0:v/>
      </ns0:c>
      <ns0:c r="I1272">
        <ns0:f>IF($H1272=0,0,IFERROR(IF(AND(ABS($C1272-INDEX('AH History'!$B$1:$B$18046,$H1272))&lt;=MAX(0.005,ABS(INDEX('AH History'!$B$1:$B$18046,$H1272))*0.00005),ABS($D1272-INDEX('AH History'!$C$1:$C$18046,$H1272))&lt;=MAX(0.005,ABS(INDEX('AH History'!$C$1:$C$18046,$H1272))*0.00005),ABS($E1272-INDEX('AH History'!$D$1:$D$18046,$H1272))&lt;=0.00005,$F1272=INDEX('AH History'!$E$1:$E$18046,$H1272),$G1272=INDEX('AH History'!$F$1:$F$18046,$H1272)),1,-1),-1))</ns0:f>
        <ns0:v/>
      </ns0:c>
    </ns0:row>
    <ns0:row r="1273">
      <ns0:c r="A1273" s="215">
        <ns0:f>IF(OR(AH!$P$3=0,1268+1&gt;AH!$P$11,AND(AH!$E$4&lt;&gt;"Stored",AH!$P$10&lt;&gt;1)),"",IFERROR(IF(AND(AH!$P$21=1,1268+1=AH!$P$11),TODAY(),IF(AH!$P$10=1,INDEX('Live History'!$A$5:$A$3004,AH!$P$13+1268),INDEX('AH History'!$A$1:$A$18046,AH!$P$7+1268))),""))</ns0:f>
        <ns0:v/>
      </ns0:c>
      <ns0:c r="B1273" s="219">
        <ns0:f>IFERROR(IF(AND(AH!$P$9&lt;&gt;1,$C1273&gt;0,$D1273&gt;0,$E1273&gt;0,$F1273&gt;0,$G1273&gt;0,$F1273&lt;=$A1273,$G1273&lt;=$A1273,$A1273-$F1273&lt;=10,$A1273-$G1273&lt;=5),$D1273*$E1273/$C1273-1,NA()),NA())</ns0:f>
        <ns0:v/>
      </ns0:c>
      <ns0:c r="C1273">
        <ns0:f>IFERROR(IF(ISNUMBER($A1273),IF(AND(AH!$P$10=1,AH!$P$12=1,$A1273=TODAY()),AH!$P$19,IF(AH!$P$10=1,INDEX('Live History'!$B$5:$B$3004,AH!$P$13+1268),INDEX('AH History'!$B$1:$B$18046,AH!$P$7+1268))),NA()),NA())</ns0:f>
        <ns0:v/>
      </ns0:c>
      <ns0:c r="D1273">
        <ns0:f>IFERROR(IF(ISNUMBER($A1273),IF(AND(AH!$P$10=1,AH!$P$12=1,$A1273=TODAY()),AH!$P$18,IF(AH!$P$10=1,INDEX('Live History'!$E$5:$E$3004,MATCH($A1273,'Live History'!$D$5:$D$3004,1)),INDEX('AH History'!$C$1:$C$18046,AH!$P$7+1268))),NA()),NA())</ns0:f>
        <ns0:v/>
      </ns0:c>
      <ns0:c r="E1273">
        <ns0:f>IFERROR(IF(ISNUMBER($A1273),IF(AND(AH!$P$10=1,AH!$P$12=1,$A1273=TODAY()),AH!$P$20,IF(AH!$P$10=1,INDEX('Live History'!$H$5:$H$3004,MATCH($A1273,'Live History'!$G$5:$G$3004,1)),INDEX('AH History'!$D$1:$D$18046,AH!$P$7+1268))),NA()),NA())</ns0:f>
        <ns0:v/>
      </ns0:c>
      <ns0:c r="F1273">
        <ns0:f>IFERROR(IF(ISNUMBER($A1273),IF(AND(AH!$P$10=1,AH!$P$12=1,$A1273=TODAY()),IF(AND(AH!$P$10=1,AH!$P$12=1,$A1273=TODAY()),TODAY(),NA()),IF(AH!$P$10=1,INDEX('Live History'!$D$5:$D$3004,MATCH($A1273,'Live History'!$D$5:$D$3004,1)),INDEX('AH History'!$E$1:$E$18046,AH!$P$7+1268))),NA()),NA())</ns0:f>
        <ns0:v/>
      </ns0:c>
      <ns0:c r="G1273">
        <ns0:f>IFERROR(IF(ISNUMBER($A1273),IF(AND(AH!$P$10=1,AH!$P$12=1,$A1273=TODAY()),IF(AND(AH!$P$10=1,AH!$P$12=1,$A1273=TODAY()),TODAY(),NA()),IF(AH!$P$10=1,INDEX('Live History'!$G$5:$G$3004,MATCH($A1273,'Live History'!$G$5:$G$3004,1)),INDEX('AH History'!$F$1:$F$18046,AH!$P$7+1268))),NA()),NA())</ns0:f>
        <ns0:v/>
      </ns0:c>
      <ns0:c r="H1273">
        <ns0:f>IFERROR(IF(AND(AH!$E$4="Bloomberg",AH!$P$10=1,ISNUMBER($A1273),$A1273&lt;=AH!$P$17),AH!$P$7-1+MATCH($A1273,INDEX('AH History'!$A$1:$A$18046,AH!$P$7):INDEX('AH History'!$A$1:$A$18046,AH!$P$7+AH!$P$8-1),0),0),0)</ns0:f>
        <ns0:v/>
      </ns0:c>
      <ns0:c r="I1273">
        <ns0:f>IF($H1273=0,0,IFERROR(IF(AND(ABS($C1273-INDEX('AH History'!$B$1:$B$18046,$H1273))&lt;=MAX(0.005,ABS(INDEX('AH History'!$B$1:$B$18046,$H1273))*0.00005),ABS($D1273-INDEX('AH History'!$C$1:$C$18046,$H1273))&lt;=MAX(0.005,ABS(INDEX('AH History'!$C$1:$C$18046,$H1273))*0.00005),ABS($E1273-INDEX('AH History'!$D$1:$D$18046,$H1273))&lt;=0.00005,$F1273=INDEX('AH History'!$E$1:$E$18046,$H1273),$G1273=INDEX('AH History'!$F$1:$F$18046,$H1273)),1,-1),-1))</ns0:f>
        <ns0:v/>
      </ns0:c>
    </ns0:row>
    <ns0:row r="1274">
      <ns0:c r="A1274" s="215">
        <ns0:f>IF(OR(AH!$P$3=0,1269+1&gt;AH!$P$11,AND(AH!$E$4&lt;&gt;"Stored",AH!$P$10&lt;&gt;1)),"",IFERROR(IF(AND(AH!$P$21=1,1269+1=AH!$P$11),TODAY(),IF(AH!$P$10=1,INDEX('Live History'!$A$5:$A$3004,AH!$P$13+1269),INDEX('AH History'!$A$1:$A$18046,AH!$P$7+1269))),""))</ns0:f>
        <ns0:v/>
      </ns0:c>
      <ns0:c r="B1274" s="219">
        <ns0:f>IFERROR(IF(AND(AH!$P$9&lt;&gt;1,$C1274&gt;0,$D1274&gt;0,$E1274&gt;0,$F1274&gt;0,$G1274&gt;0,$F1274&lt;=$A1274,$G1274&lt;=$A1274,$A1274-$F1274&lt;=10,$A1274-$G1274&lt;=5),$D1274*$E1274/$C1274-1,NA()),NA())</ns0:f>
        <ns0:v/>
      </ns0:c>
      <ns0:c r="C1274">
        <ns0:f>IFERROR(IF(ISNUMBER($A1274),IF(AND(AH!$P$10=1,AH!$P$12=1,$A1274=TODAY()),AH!$P$19,IF(AH!$P$10=1,INDEX('Live History'!$B$5:$B$3004,AH!$P$13+1269),INDEX('AH History'!$B$1:$B$18046,AH!$P$7+1269))),NA()),NA())</ns0:f>
        <ns0:v/>
      </ns0:c>
      <ns0:c r="D1274">
        <ns0:f>IFERROR(IF(ISNUMBER($A1274),IF(AND(AH!$P$10=1,AH!$P$12=1,$A1274=TODAY()),AH!$P$18,IF(AH!$P$10=1,INDEX('Live History'!$E$5:$E$3004,MATCH($A1274,'Live History'!$D$5:$D$3004,1)),INDEX('AH History'!$C$1:$C$18046,AH!$P$7+1269))),NA()),NA())</ns0:f>
        <ns0:v/>
      </ns0:c>
      <ns0:c r="E1274">
        <ns0:f>IFERROR(IF(ISNUMBER($A1274),IF(AND(AH!$P$10=1,AH!$P$12=1,$A1274=TODAY()),AH!$P$20,IF(AH!$P$10=1,INDEX('Live History'!$H$5:$H$3004,MATCH($A1274,'Live History'!$G$5:$G$3004,1)),INDEX('AH History'!$D$1:$D$18046,AH!$P$7+1269))),NA()),NA())</ns0:f>
        <ns0:v/>
      </ns0:c>
      <ns0:c r="F1274">
        <ns0:f>IFERROR(IF(ISNUMBER($A1274),IF(AND(AH!$P$10=1,AH!$P$12=1,$A1274=TODAY()),IF(AND(AH!$P$10=1,AH!$P$12=1,$A1274=TODAY()),TODAY(),NA()),IF(AH!$P$10=1,INDEX('Live History'!$D$5:$D$3004,MATCH($A1274,'Live History'!$D$5:$D$3004,1)),INDEX('AH History'!$E$1:$E$18046,AH!$P$7+1269))),NA()),NA())</ns0:f>
        <ns0:v/>
      </ns0:c>
      <ns0:c r="G1274">
        <ns0:f>IFERROR(IF(ISNUMBER($A1274),IF(AND(AH!$P$10=1,AH!$P$12=1,$A1274=TODAY()),IF(AND(AH!$P$10=1,AH!$P$12=1,$A1274=TODAY()),TODAY(),NA()),IF(AH!$P$10=1,INDEX('Live History'!$G$5:$G$3004,MATCH($A1274,'Live History'!$G$5:$G$3004,1)),INDEX('AH History'!$F$1:$F$18046,AH!$P$7+1269))),NA()),NA())</ns0:f>
        <ns0:v/>
      </ns0:c>
      <ns0:c r="H1274">
        <ns0:f>IFERROR(IF(AND(AH!$E$4="Bloomberg",AH!$P$10=1,ISNUMBER($A1274),$A1274&lt;=AH!$P$17),AH!$P$7-1+MATCH($A1274,INDEX('AH History'!$A$1:$A$18046,AH!$P$7):INDEX('AH History'!$A$1:$A$18046,AH!$P$7+AH!$P$8-1),0),0),0)</ns0:f>
        <ns0:v/>
      </ns0:c>
      <ns0:c r="I1274">
        <ns0:f>IF($H1274=0,0,IFERROR(IF(AND(ABS($C1274-INDEX('AH History'!$B$1:$B$18046,$H1274))&lt;=MAX(0.005,ABS(INDEX('AH History'!$B$1:$B$18046,$H1274))*0.00005),ABS($D1274-INDEX('AH History'!$C$1:$C$18046,$H1274))&lt;=MAX(0.005,ABS(INDEX('AH History'!$C$1:$C$18046,$H1274))*0.00005),ABS($E1274-INDEX('AH History'!$D$1:$D$18046,$H1274))&lt;=0.00005,$F1274=INDEX('AH History'!$E$1:$E$18046,$H1274),$G1274=INDEX('AH History'!$F$1:$F$18046,$H1274)),1,-1),-1))</ns0:f>
        <ns0:v/>
      </ns0:c>
    </ns0:row>
    <ns0:row r="1275">
      <ns0:c r="A1275" s="215">
        <ns0:f>IF(OR(AH!$P$3=0,1270+1&gt;AH!$P$11,AND(AH!$E$4&lt;&gt;"Stored",AH!$P$10&lt;&gt;1)),"",IFERROR(IF(AND(AH!$P$21=1,1270+1=AH!$P$11),TODAY(),IF(AH!$P$10=1,INDEX('Live History'!$A$5:$A$3004,AH!$P$13+1270),INDEX('AH History'!$A$1:$A$18046,AH!$P$7+1270))),""))</ns0:f>
        <ns0:v/>
      </ns0:c>
      <ns0:c r="B1275" s="219">
        <ns0:f>IFERROR(IF(AND(AH!$P$9&lt;&gt;1,$C1275&gt;0,$D1275&gt;0,$E1275&gt;0,$F1275&gt;0,$G1275&gt;0,$F1275&lt;=$A1275,$G1275&lt;=$A1275,$A1275-$F1275&lt;=10,$A1275-$G1275&lt;=5),$D1275*$E1275/$C1275-1,NA()),NA())</ns0:f>
        <ns0:v/>
      </ns0:c>
      <ns0:c r="C1275">
        <ns0:f>IFERROR(IF(ISNUMBER($A1275),IF(AND(AH!$P$10=1,AH!$P$12=1,$A1275=TODAY()),AH!$P$19,IF(AH!$P$10=1,INDEX('Live History'!$B$5:$B$3004,AH!$P$13+1270),INDEX('AH History'!$B$1:$B$18046,AH!$P$7+1270))),NA()),NA())</ns0:f>
        <ns0:v/>
      </ns0:c>
      <ns0:c r="D1275">
        <ns0:f>IFERROR(IF(ISNUMBER($A1275),IF(AND(AH!$P$10=1,AH!$P$12=1,$A1275=TODAY()),AH!$P$18,IF(AH!$P$10=1,INDEX('Live History'!$E$5:$E$3004,MATCH($A1275,'Live History'!$D$5:$D$3004,1)),INDEX('AH History'!$C$1:$C$18046,AH!$P$7+1270))),NA()),NA())</ns0:f>
        <ns0:v/>
      </ns0:c>
      <ns0:c r="E1275">
        <ns0:f>IFERROR(IF(ISNUMBER($A1275),IF(AND(AH!$P$10=1,AH!$P$12=1,$A1275=TODAY()),AH!$P$20,IF(AH!$P$10=1,INDEX('Live History'!$H$5:$H$3004,MATCH($A1275,'Live History'!$G$5:$G$3004,1)),INDEX('AH History'!$D$1:$D$18046,AH!$P$7+1270))),NA()),NA())</ns0:f>
        <ns0:v/>
      </ns0:c>
      <ns0:c r="F1275">
        <ns0:f>IFERROR(IF(ISNUMBER($A1275),IF(AND(AH!$P$10=1,AH!$P$12=1,$A1275=TODAY()),IF(AND(AH!$P$10=1,AH!$P$12=1,$A1275=TODAY()),TODAY(),NA()),IF(AH!$P$10=1,INDEX('Live History'!$D$5:$D$3004,MATCH($A1275,'Live History'!$D$5:$D$3004,1)),INDEX('AH History'!$E$1:$E$18046,AH!$P$7+1270))),NA()),NA())</ns0:f>
        <ns0:v/>
      </ns0:c>
      <ns0:c r="G1275">
        <ns0:f>IFERROR(IF(ISNUMBER($A1275),IF(AND(AH!$P$10=1,AH!$P$12=1,$A1275=TODAY()),IF(AND(AH!$P$10=1,AH!$P$12=1,$A1275=TODAY()),TODAY(),NA()),IF(AH!$P$10=1,INDEX('Live History'!$G$5:$G$3004,MATCH($A1275,'Live History'!$G$5:$G$3004,1)),INDEX('AH History'!$F$1:$F$18046,AH!$P$7+1270))),NA()),NA())</ns0:f>
        <ns0:v/>
      </ns0:c>
      <ns0:c r="H1275">
        <ns0:f>IFERROR(IF(AND(AH!$E$4="Bloomberg",AH!$P$10=1,ISNUMBER($A1275),$A1275&lt;=AH!$P$17),AH!$P$7-1+MATCH($A1275,INDEX('AH History'!$A$1:$A$18046,AH!$P$7):INDEX('AH History'!$A$1:$A$18046,AH!$P$7+AH!$P$8-1),0),0),0)</ns0:f>
        <ns0:v/>
      </ns0:c>
      <ns0:c r="I1275">
        <ns0:f>IF($H1275=0,0,IFERROR(IF(AND(ABS($C1275-INDEX('AH History'!$B$1:$B$18046,$H1275))&lt;=MAX(0.005,ABS(INDEX('AH History'!$B$1:$B$18046,$H1275))*0.00005),ABS($D1275-INDEX('AH History'!$C$1:$C$18046,$H1275))&lt;=MAX(0.005,ABS(INDEX('AH History'!$C$1:$C$18046,$H1275))*0.00005),ABS($E1275-INDEX('AH History'!$D$1:$D$18046,$H1275))&lt;=0.00005,$F1275=INDEX('AH History'!$E$1:$E$18046,$H1275),$G1275=INDEX('AH History'!$F$1:$F$18046,$H1275)),1,-1),-1))</ns0:f>
        <ns0:v/>
      </ns0:c>
    </ns0:row>
    <ns0:row r="1276">
      <ns0:c r="A1276" s="215">
        <ns0:f>IF(OR(AH!$P$3=0,1271+1&gt;AH!$P$11,AND(AH!$E$4&lt;&gt;"Stored",AH!$P$10&lt;&gt;1)),"",IFERROR(IF(AND(AH!$P$21=1,1271+1=AH!$P$11),TODAY(),IF(AH!$P$10=1,INDEX('Live History'!$A$5:$A$3004,AH!$P$13+1271),INDEX('AH History'!$A$1:$A$18046,AH!$P$7+1271))),""))</ns0:f>
        <ns0:v/>
      </ns0:c>
      <ns0:c r="B1276" s="219">
        <ns0:f>IFERROR(IF(AND(AH!$P$9&lt;&gt;1,$C1276&gt;0,$D1276&gt;0,$E1276&gt;0,$F1276&gt;0,$G1276&gt;0,$F1276&lt;=$A1276,$G1276&lt;=$A1276,$A1276-$F1276&lt;=10,$A1276-$G1276&lt;=5),$D1276*$E1276/$C1276-1,NA()),NA())</ns0:f>
        <ns0:v/>
      </ns0:c>
      <ns0:c r="C1276">
        <ns0:f>IFERROR(IF(ISNUMBER($A1276),IF(AND(AH!$P$10=1,AH!$P$12=1,$A1276=TODAY()),AH!$P$19,IF(AH!$P$10=1,INDEX('Live History'!$B$5:$B$3004,AH!$P$13+1271),INDEX('AH History'!$B$1:$B$18046,AH!$P$7+1271))),NA()),NA())</ns0:f>
        <ns0:v/>
      </ns0:c>
      <ns0:c r="D1276">
        <ns0:f>IFERROR(IF(ISNUMBER($A1276),IF(AND(AH!$P$10=1,AH!$P$12=1,$A1276=TODAY()),AH!$P$18,IF(AH!$P$10=1,INDEX('Live History'!$E$5:$E$3004,MATCH($A1276,'Live History'!$D$5:$D$3004,1)),INDEX('AH History'!$C$1:$C$18046,AH!$P$7+1271))),NA()),NA())</ns0:f>
        <ns0:v/>
      </ns0:c>
      <ns0:c r="E1276">
        <ns0:f>IFERROR(IF(ISNUMBER($A1276),IF(AND(AH!$P$10=1,AH!$P$12=1,$A1276=TODAY()),AH!$P$20,IF(AH!$P$10=1,INDEX('Live History'!$H$5:$H$3004,MATCH($A1276,'Live History'!$G$5:$G$3004,1)),INDEX('AH History'!$D$1:$D$18046,AH!$P$7+1271))),NA()),NA())</ns0:f>
        <ns0:v/>
      </ns0:c>
      <ns0:c r="F1276">
        <ns0:f>IFERROR(IF(ISNUMBER($A1276),IF(AND(AH!$P$10=1,AH!$P$12=1,$A1276=TODAY()),IF(AND(AH!$P$10=1,AH!$P$12=1,$A1276=TODAY()),TODAY(),NA()),IF(AH!$P$10=1,INDEX('Live History'!$D$5:$D$3004,MATCH($A1276,'Live History'!$D$5:$D$3004,1)),INDEX('AH History'!$E$1:$E$18046,AH!$P$7+1271))),NA()),NA())</ns0:f>
        <ns0:v/>
      </ns0:c>
      <ns0:c r="G1276">
        <ns0:f>IFERROR(IF(ISNUMBER($A1276),IF(AND(AH!$P$10=1,AH!$P$12=1,$A1276=TODAY()),IF(AND(AH!$P$10=1,AH!$P$12=1,$A1276=TODAY()),TODAY(),NA()),IF(AH!$P$10=1,INDEX('Live History'!$G$5:$G$3004,MATCH($A1276,'Live History'!$G$5:$G$3004,1)),INDEX('AH History'!$F$1:$F$18046,AH!$P$7+1271))),NA()),NA())</ns0:f>
        <ns0:v/>
      </ns0:c>
      <ns0:c r="H1276">
        <ns0:f>IFERROR(IF(AND(AH!$E$4="Bloomberg",AH!$P$10=1,ISNUMBER($A1276),$A1276&lt;=AH!$P$17),AH!$P$7-1+MATCH($A1276,INDEX('AH History'!$A$1:$A$18046,AH!$P$7):INDEX('AH History'!$A$1:$A$18046,AH!$P$7+AH!$P$8-1),0),0),0)</ns0:f>
        <ns0:v/>
      </ns0:c>
      <ns0:c r="I1276">
        <ns0:f>IF($H1276=0,0,IFERROR(IF(AND(ABS($C1276-INDEX('AH History'!$B$1:$B$18046,$H1276))&lt;=MAX(0.005,ABS(INDEX('AH History'!$B$1:$B$18046,$H1276))*0.00005),ABS($D1276-INDEX('AH History'!$C$1:$C$18046,$H1276))&lt;=MAX(0.005,ABS(INDEX('AH History'!$C$1:$C$18046,$H1276))*0.00005),ABS($E1276-INDEX('AH History'!$D$1:$D$18046,$H1276))&lt;=0.00005,$F1276=INDEX('AH History'!$E$1:$E$18046,$H1276),$G1276=INDEX('AH History'!$F$1:$F$18046,$H1276)),1,-1),-1))</ns0:f>
        <ns0:v/>
      </ns0:c>
    </ns0:row>
    <ns0:row r="1277">
      <ns0:c r="A1277" s="215">
        <ns0:f>IF(OR(AH!$P$3=0,1272+1&gt;AH!$P$11,AND(AH!$E$4&lt;&gt;"Stored",AH!$P$10&lt;&gt;1)),"",IFERROR(IF(AND(AH!$P$21=1,1272+1=AH!$P$11),TODAY(),IF(AH!$P$10=1,INDEX('Live History'!$A$5:$A$3004,AH!$P$13+1272),INDEX('AH History'!$A$1:$A$18046,AH!$P$7+1272))),""))</ns0:f>
        <ns0:v/>
      </ns0:c>
      <ns0:c r="B1277" s="219">
        <ns0:f>IFERROR(IF(AND(AH!$P$9&lt;&gt;1,$C1277&gt;0,$D1277&gt;0,$E1277&gt;0,$F1277&gt;0,$G1277&gt;0,$F1277&lt;=$A1277,$G1277&lt;=$A1277,$A1277-$F1277&lt;=10,$A1277-$G1277&lt;=5),$D1277*$E1277/$C1277-1,NA()),NA())</ns0:f>
        <ns0:v/>
      </ns0:c>
      <ns0:c r="C1277">
        <ns0:f>IFERROR(IF(ISNUMBER($A1277),IF(AND(AH!$P$10=1,AH!$P$12=1,$A1277=TODAY()),AH!$P$19,IF(AH!$P$10=1,INDEX('Live History'!$B$5:$B$3004,AH!$P$13+1272),INDEX('AH History'!$B$1:$B$18046,AH!$P$7+1272))),NA()),NA())</ns0:f>
        <ns0:v/>
      </ns0:c>
      <ns0:c r="D1277">
        <ns0:f>IFERROR(IF(ISNUMBER($A1277),IF(AND(AH!$P$10=1,AH!$P$12=1,$A1277=TODAY()),AH!$P$18,IF(AH!$P$10=1,INDEX('Live History'!$E$5:$E$3004,MATCH($A1277,'Live History'!$D$5:$D$3004,1)),INDEX('AH History'!$C$1:$C$18046,AH!$P$7+1272))),NA()),NA())</ns0:f>
        <ns0:v/>
      </ns0:c>
      <ns0:c r="E1277">
        <ns0:f>IFERROR(IF(ISNUMBER($A1277),IF(AND(AH!$P$10=1,AH!$P$12=1,$A1277=TODAY()),AH!$P$20,IF(AH!$P$10=1,INDEX('Live History'!$H$5:$H$3004,MATCH($A1277,'Live History'!$G$5:$G$3004,1)),INDEX('AH History'!$D$1:$D$18046,AH!$P$7+1272))),NA()),NA())</ns0:f>
        <ns0:v/>
      </ns0:c>
      <ns0:c r="F1277">
        <ns0:f>IFERROR(IF(ISNUMBER($A1277),IF(AND(AH!$P$10=1,AH!$P$12=1,$A1277=TODAY()),IF(AND(AH!$P$10=1,AH!$P$12=1,$A1277=TODAY()),TODAY(),NA()),IF(AH!$P$10=1,INDEX('Live History'!$D$5:$D$3004,MATCH($A1277,'Live History'!$D$5:$D$3004,1)),INDEX('AH History'!$E$1:$E$18046,AH!$P$7+1272))),NA()),NA())</ns0:f>
        <ns0:v/>
      </ns0:c>
      <ns0:c r="G1277">
        <ns0:f>IFERROR(IF(ISNUMBER($A1277),IF(AND(AH!$P$10=1,AH!$P$12=1,$A1277=TODAY()),IF(AND(AH!$P$10=1,AH!$P$12=1,$A1277=TODAY()),TODAY(),NA()),IF(AH!$P$10=1,INDEX('Live History'!$G$5:$G$3004,MATCH($A1277,'Live History'!$G$5:$G$3004,1)),INDEX('AH History'!$F$1:$F$18046,AH!$P$7+1272))),NA()),NA())</ns0:f>
        <ns0:v/>
      </ns0:c>
      <ns0:c r="H1277">
        <ns0:f>IFERROR(IF(AND(AH!$E$4="Bloomberg",AH!$P$10=1,ISNUMBER($A1277),$A1277&lt;=AH!$P$17),AH!$P$7-1+MATCH($A1277,INDEX('AH History'!$A$1:$A$18046,AH!$P$7):INDEX('AH History'!$A$1:$A$18046,AH!$P$7+AH!$P$8-1),0),0),0)</ns0:f>
        <ns0:v/>
      </ns0:c>
      <ns0:c r="I1277">
        <ns0:f>IF($H1277=0,0,IFERROR(IF(AND(ABS($C1277-INDEX('AH History'!$B$1:$B$18046,$H1277))&lt;=MAX(0.005,ABS(INDEX('AH History'!$B$1:$B$18046,$H1277))*0.00005),ABS($D1277-INDEX('AH History'!$C$1:$C$18046,$H1277))&lt;=MAX(0.005,ABS(INDEX('AH History'!$C$1:$C$18046,$H1277))*0.00005),ABS($E1277-INDEX('AH History'!$D$1:$D$18046,$H1277))&lt;=0.00005,$F1277=INDEX('AH History'!$E$1:$E$18046,$H1277),$G1277=INDEX('AH History'!$F$1:$F$18046,$H1277)),1,-1),-1))</ns0:f>
        <ns0:v/>
      </ns0:c>
    </ns0:row>
    <ns0:row r="1278">
      <ns0:c r="A1278" s="215">
        <ns0:f>IF(OR(AH!$P$3=0,1273+1&gt;AH!$P$11,AND(AH!$E$4&lt;&gt;"Stored",AH!$P$10&lt;&gt;1)),"",IFERROR(IF(AND(AH!$P$21=1,1273+1=AH!$P$11),TODAY(),IF(AH!$P$10=1,INDEX('Live History'!$A$5:$A$3004,AH!$P$13+1273),INDEX('AH History'!$A$1:$A$18046,AH!$P$7+1273))),""))</ns0:f>
        <ns0:v/>
      </ns0:c>
      <ns0:c r="B1278" s="219">
        <ns0:f>IFERROR(IF(AND(AH!$P$9&lt;&gt;1,$C1278&gt;0,$D1278&gt;0,$E1278&gt;0,$F1278&gt;0,$G1278&gt;0,$F1278&lt;=$A1278,$G1278&lt;=$A1278,$A1278-$F1278&lt;=10,$A1278-$G1278&lt;=5),$D1278*$E1278/$C1278-1,NA()),NA())</ns0:f>
        <ns0:v/>
      </ns0:c>
      <ns0:c r="C1278">
        <ns0:f>IFERROR(IF(ISNUMBER($A1278),IF(AND(AH!$P$10=1,AH!$P$12=1,$A1278=TODAY()),AH!$P$19,IF(AH!$P$10=1,INDEX('Live History'!$B$5:$B$3004,AH!$P$13+1273),INDEX('AH History'!$B$1:$B$18046,AH!$P$7+1273))),NA()),NA())</ns0:f>
        <ns0:v/>
      </ns0:c>
      <ns0:c r="D1278">
        <ns0:f>IFERROR(IF(ISNUMBER($A1278),IF(AND(AH!$P$10=1,AH!$P$12=1,$A1278=TODAY()),AH!$P$18,IF(AH!$P$10=1,INDEX('Live History'!$E$5:$E$3004,MATCH($A1278,'Live History'!$D$5:$D$3004,1)),INDEX('AH History'!$C$1:$C$18046,AH!$P$7+1273))),NA()),NA())</ns0:f>
        <ns0:v/>
      </ns0:c>
      <ns0:c r="E1278">
        <ns0:f>IFERROR(IF(ISNUMBER($A1278),IF(AND(AH!$P$10=1,AH!$P$12=1,$A1278=TODAY()),AH!$P$20,IF(AH!$P$10=1,INDEX('Live History'!$H$5:$H$3004,MATCH($A1278,'Live History'!$G$5:$G$3004,1)),INDEX('AH History'!$D$1:$D$18046,AH!$P$7+1273))),NA()),NA())</ns0:f>
        <ns0:v/>
      </ns0:c>
      <ns0:c r="F1278">
        <ns0:f>IFERROR(IF(ISNUMBER($A1278),IF(AND(AH!$P$10=1,AH!$P$12=1,$A1278=TODAY()),IF(AND(AH!$P$10=1,AH!$P$12=1,$A1278=TODAY()),TODAY(),NA()),IF(AH!$P$10=1,INDEX('Live History'!$D$5:$D$3004,MATCH($A1278,'Live History'!$D$5:$D$3004,1)),INDEX('AH History'!$E$1:$E$18046,AH!$P$7+1273))),NA()),NA())</ns0:f>
        <ns0:v/>
      </ns0:c>
      <ns0:c r="G1278">
        <ns0:f>IFERROR(IF(ISNUMBER($A1278),IF(AND(AH!$P$10=1,AH!$P$12=1,$A1278=TODAY()),IF(AND(AH!$P$10=1,AH!$P$12=1,$A1278=TODAY()),TODAY(),NA()),IF(AH!$P$10=1,INDEX('Live History'!$G$5:$G$3004,MATCH($A1278,'Live History'!$G$5:$G$3004,1)),INDEX('AH History'!$F$1:$F$18046,AH!$P$7+1273))),NA()),NA())</ns0:f>
        <ns0:v/>
      </ns0:c>
      <ns0:c r="H1278">
        <ns0:f>IFERROR(IF(AND(AH!$E$4="Bloomberg",AH!$P$10=1,ISNUMBER($A1278),$A1278&lt;=AH!$P$17),AH!$P$7-1+MATCH($A1278,INDEX('AH History'!$A$1:$A$18046,AH!$P$7):INDEX('AH History'!$A$1:$A$18046,AH!$P$7+AH!$P$8-1),0),0),0)</ns0:f>
        <ns0:v/>
      </ns0:c>
      <ns0:c r="I1278">
        <ns0:f>IF($H1278=0,0,IFERROR(IF(AND(ABS($C1278-INDEX('AH History'!$B$1:$B$18046,$H1278))&lt;=MAX(0.005,ABS(INDEX('AH History'!$B$1:$B$18046,$H1278))*0.00005),ABS($D1278-INDEX('AH History'!$C$1:$C$18046,$H1278))&lt;=MAX(0.005,ABS(INDEX('AH History'!$C$1:$C$18046,$H1278))*0.00005),ABS($E1278-INDEX('AH History'!$D$1:$D$18046,$H1278))&lt;=0.00005,$F1278=INDEX('AH History'!$E$1:$E$18046,$H1278),$G1278=INDEX('AH History'!$F$1:$F$18046,$H1278)),1,-1),-1))</ns0:f>
        <ns0:v/>
      </ns0:c>
    </ns0:row>
    <ns0:row r="1279">
      <ns0:c r="A1279" s="215">
        <ns0:f>IF(OR(AH!$P$3=0,1274+1&gt;AH!$P$11,AND(AH!$E$4&lt;&gt;"Stored",AH!$P$10&lt;&gt;1)),"",IFERROR(IF(AND(AH!$P$21=1,1274+1=AH!$P$11),TODAY(),IF(AH!$P$10=1,INDEX('Live History'!$A$5:$A$3004,AH!$P$13+1274),INDEX('AH History'!$A$1:$A$18046,AH!$P$7+1274))),""))</ns0:f>
        <ns0:v/>
      </ns0:c>
      <ns0:c r="B1279" s="219">
        <ns0:f>IFERROR(IF(AND(AH!$P$9&lt;&gt;1,$C1279&gt;0,$D1279&gt;0,$E1279&gt;0,$F1279&gt;0,$G1279&gt;0,$F1279&lt;=$A1279,$G1279&lt;=$A1279,$A1279-$F1279&lt;=10,$A1279-$G1279&lt;=5),$D1279*$E1279/$C1279-1,NA()),NA())</ns0:f>
        <ns0:v/>
      </ns0:c>
      <ns0:c r="C1279">
        <ns0:f>IFERROR(IF(ISNUMBER($A1279),IF(AND(AH!$P$10=1,AH!$P$12=1,$A1279=TODAY()),AH!$P$19,IF(AH!$P$10=1,INDEX('Live History'!$B$5:$B$3004,AH!$P$13+1274),INDEX('AH History'!$B$1:$B$18046,AH!$P$7+1274))),NA()),NA())</ns0:f>
        <ns0:v/>
      </ns0:c>
      <ns0:c r="D1279">
        <ns0:f>IFERROR(IF(ISNUMBER($A1279),IF(AND(AH!$P$10=1,AH!$P$12=1,$A1279=TODAY()),AH!$P$18,IF(AH!$P$10=1,INDEX('Live History'!$E$5:$E$3004,MATCH($A1279,'Live History'!$D$5:$D$3004,1)),INDEX('AH History'!$C$1:$C$18046,AH!$P$7+1274))),NA()),NA())</ns0:f>
        <ns0:v/>
      </ns0:c>
      <ns0:c r="E1279">
        <ns0:f>IFERROR(IF(ISNUMBER($A1279),IF(AND(AH!$P$10=1,AH!$P$12=1,$A1279=TODAY()),AH!$P$20,IF(AH!$P$10=1,INDEX('Live History'!$H$5:$H$3004,MATCH($A1279,'Live History'!$G$5:$G$3004,1)),INDEX('AH History'!$D$1:$D$18046,AH!$P$7+1274))),NA()),NA())</ns0:f>
        <ns0:v/>
      </ns0:c>
      <ns0:c r="F1279">
        <ns0:f>IFERROR(IF(ISNUMBER($A1279),IF(AND(AH!$P$10=1,AH!$P$12=1,$A1279=TODAY()),IF(AND(AH!$P$10=1,AH!$P$12=1,$A1279=TODAY()),TODAY(),NA()),IF(AH!$P$10=1,INDEX('Live History'!$D$5:$D$3004,MATCH($A1279,'Live History'!$D$5:$D$3004,1)),INDEX('AH History'!$E$1:$E$18046,AH!$P$7+1274))),NA()),NA())</ns0:f>
        <ns0:v/>
      </ns0:c>
      <ns0:c r="G1279">
        <ns0:f>IFERROR(IF(ISNUMBER($A1279),IF(AND(AH!$P$10=1,AH!$P$12=1,$A1279=TODAY()),IF(AND(AH!$P$10=1,AH!$P$12=1,$A1279=TODAY()),TODAY(),NA()),IF(AH!$P$10=1,INDEX('Live History'!$G$5:$G$3004,MATCH($A1279,'Live History'!$G$5:$G$3004,1)),INDEX('AH History'!$F$1:$F$18046,AH!$P$7+1274))),NA()),NA())</ns0:f>
        <ns0:v/>
      </ns0:c>
      <ns0:c r="H1279">
        <ns0:f>IFERROR(IF(AND(AH!$E$4="Bloomberg",AH!$P$10=1,ISNUMBER($A1279),$A1279&lt;=AH!$P$17),AH!$P$7-1+MATCH($A1279,INDEX('AH History'!$A$1:$A$18046,AH!$P$7):INDEX('AH History'!$A$1:$A$18046,AH!$P$7+AH!$P$8-1),0),0),0)</ns0:f>
        <ns0:v/>
      </ns0:c>
      <ns0:c r="I1279">
        <ns0:f>IF($H1279=0,0,IFERROR(IF(AND(ABS($C1279-INDEX('AH History'!$B$1:$B$18046,$H1279))&lt;=MAX(0.005,ABS(INDEX('AH History'!$B$1:$B$18046,$H1279))*0.00005),ABS($D1279-INDEX('AH History'!$C$1:$C$18046,$H1279))&lt;=MAX(0.005,ABS(INDEX('AH History'!$C$1:$C$18046,$H1279))*0.00005),ABS($E1279-INDEX('AH History'!$D$1:$D$18046,$H1279))&lt;=0.00005,$F1279=INDEX('AH History'!$E$1:$E$18046,$H1279),$G1279=INDEX('AH History'!$F$1:$F$18046,$H1279)),1,-1),-1))</ns0:f>
        <ns0:v/>
      </ns0:c>
    </ns0:row>
    <ns0:row r="1280">
      <ns0:c r="A1280" s="215">
        <ns0:f>IF(OR(AH!$P$3=0,1275+1&gt;AH!$P$11,AND(AH!$E$4&lt;&gt;"Stored",AH!$P$10&lt;&gt;1)),"",IFERROR(IF(AND(AH!$P$21=1,1275+1=AH!$P$11),TODAY(),IF(AH!$P$10=1,INDEX('Live History'!$A$5:$A$3004,AH!$P$13+1275),INDEX('AH History'!$A$1:$A$18046,AH!$P$7+1275))),""))</ns0:f>
        <ns0:v/>
      </ns0:c>
      <ns0:c r="B1280" s="219">
        <ns0:f>IFERROR(IF(AND(AH!$P$9&lt;&gt;1,$C1280&gt;0,$D1280&gt;0,$E1280&gt;0,$F1280&gt;0,$G1280&gt;0,$F1280&lt;=$A1280,$G1280&lt;=$A1280,$A1280-$F1280&lt;=10,$A1280-$G1280&lt;=5),$D1280*$E1280/$C1280-1,NA()),NA())</ns0:f>
        <ns0:v/>
      </ns0:c>
      <ns0:c r="C1280">
        <ns0:f>IFERROR(IF(ISNUMBER($A1280),IF(AND(AH!$P$10=1,AH!$P$12=1,$A1280=TODAY()),AH!$P$19,IF(AH!$P$10=1,INDEX('Live History'!$B$5:$B$3004,AH!$P$13+1275),INDEX('AH History'!$B$1:$B$18046,AH!$P$7+1275))),NA()),NA())</ns0:f>
        <ns0:v/>
      </ns0:c>
      <ns0:c r="D1280">
        <ns0:f>IFERROR(IF(ISNUMBER($A1280),IF(AND(AH!$P$10=1,AH!$P$12=1,$A1280=TODAY()),AH!$P$18,IF(AH!$P$10=1,INDEX('Live History'!$E$5:$E$3004,MATCH($A1280,'Live History'!$D$5:$D$3004,1)),INDEX('AH History'!$C$1:$C$18046,AH!$P$7+1275))),NA()),NA())</ns0:f>
        <ns0:v/>
      </ns0:c>
      <ns0:c r="E1280">
        <ns0:f>IFERROR(IF(ISNUMBER($A1280),IF(AND(AH!$P$10=1,AH!$P$12=1,$A1280=TODAY()),AH!$P$20,IF(AH!$P$10=1,INDEX('Live History'!$H$5:$H$3004,MATCH($A1280,'Live History'!$G$5:$G$3004,1)),INDEX('AH History'!$D$1:$D$18046,AH!$P$7+1275))),NA()),NA())</ns0:f>
        <ns0:v/>
      </ns0:c>
      <ns0:c r="F1280">
        <ns0:f>IFERROR(IF(ISNUMBER($A1280),IF(AND(AH!$P$10=1,AH!$P$12=1,$A1280=TODAY()),IF(AND(AH!$P$10=1,AH!$P$12=1,$A1280=TODAY()),TODAY(),NA()),IF(AH!$P$10=1,INDEX('Live History'!$D$5:$D$3004,MATCH($A1280,'Live History'!$D$5:$D$3004,1)),INDEX('AH History'!$E$1:$E$18046,AH!$P$7+1275))),NA()),NA())</ns0:f>
        <ns0:v/>
      </ns0:c>
      <ns0:c r="G1280">
        <ns0:f>IFERROR(IF(ISNUMBER($A1280),IF(AND(AH!$P$10=1,AH!$P$12=1,$A1280=TODAY()),IF(AND(AH!$P$10=1,AH!$P$12=1,$A1280=TODAY()),TODAY(),NA()),IF(AH!$P$10=1,INDEX('Live History'!$G$5:$G$3004,MATCH($A1280,'Live History'!$G$5:$G$3004,1)),INDEX('AH History'!$F$1:$F$18046,AH!$P$7+1275))),NA()),NA())</ns0:f>
        <ns0:v/>
      </ns0:c>
      <ns0:c r="H1280">
        <ns0:f>IFERROR(IF(AND(AH!$E$4="Bloomberg",AH!$P$10=1,ISNUMBER($A1280),$A1280&lt;=AH!$P$17),AH!$P$7-1+MATCH($A1280,INDEX('AH History'!$A$1:$A$18046,AH!$P$7):INDEX('AH History'!$A$1:$A$18046,AH!$P$7+AH!$P$8-1),0),0),0)</ns0:f>
        <ns0:v/>
      </ns0:c>
      <ns0:c r="I1280">
        <ns0:f>IF($H1280=0,0,IFERROR(IF(AND(ABS($C1280-INDEX('AH History'!$B$1:$B$18046,$H1280))&lt;=MAX(0.005,ABS(INDEX('AH History'!$B$1:$B$18046,$H1280))*0.00005),ABS($D1280-INDEX('AH History'!$C$1:$C$18046,$H1280))&lt;=MAX(0.005,ABS(INDEX('AH History'!$C$1:$C$18046,$H1280))*0.00005),ABS($E1280-INDEX('AH History'!$D$1:$D$18046,$H1280))&lt;=0.00005,$F1280=INDEX('AH History'!$E$1:$E$18046,$H1280),$G1280=INDEX('AH History'!$F$1:$F$18046,$H1280)),1,-1),-1))</ns0:f>
        <ns0:v/>
      </ns0:c>
    </ns0:row>
    <ns0:row r="1281">
      <ns0:c r="A1281" s="215">
        <ns0:f>IF(OR(AH!$P$3=0,1276+1&gt;AH!$P$11,AND(AH!$E$4&lt;&gt;"Stored",AH!$P$10&lt;&gt;1)),"",IFERROR(IF(AND(AH!$P$21=1,1276+1=AH!$P$11),TODAY(),IF(AH!$P$10=1,INDEX('Live History'!$A$5:$A$3004,AH!$P$13+1276),INDEX('AH History'!$A$1:$A$18046,AH!$P$7+1276))),""))</ns0:f>
        <ns0:v/>
      </ns0:c>
      <ns0:c r="B1281" s="219">
        <ns0:f>IFERROR(IF(AND(AH!$P$9&lt;&gt;1,$C1281&gt;0,$D1281&gt;0,$E1281&gt;0,$F1281&gt;0,$G1281&gt;0,$F1281&lt;=$A1281,$G1281&lt;=$A1281,$A1281-$F1281&lt;=10,$A1281-$G1281&lt;=5),$D1281*$E1281/$C1281-1,NA()),NA())</ns0:f>
        <ns0:v/>
      </ns0:c>
      <ns0:c r="C1281">
        <ns0:f>IFERROR(IF(ISNUMBER($A1281),IF(AND(AH!$P$10=1,AH!$P$12=1,$A1281=TODAY()),AH!$P$19,IF(AH!$P$10=1,INDEX('Live History'!$B$5:$B$3004,AH!$P$13+1276),INDEX('AH History'!$B$1:$B$18046,AH!$P$7+1276))),NA()),NA())</ns0:f>
        <ns0:v/>
      </ns0:c>
      <ns0:c r="D1281">
        <ns0:f>IFERROR(IF(ISNUMBER($A1281),IF(AND(AH!$P$10=1,AH!$P$12=1,$A1281=TODAY()),AH!$P$18,IF(AH!$P$10=1,INDEX('Live History'!$E$5:$E$3004,MATCH($A1281,'Live History'!$D$5:$D$3004,1)),INDEX('AH History'!$C$1:$C$18046,AH!$P$7+1276))),NA()),NA())</ns0:f>
        <ns0:v/>
      </ns0:c>
      <ns0:c r="E1281">
        <ns0:f>IFERROR(IF(ISNUMBER($A1281),IF(AND(AH!$P$10=1,AH!$P$12=1,$A1281=TODAY()),AH!$P$20,IF(AH!$P$10=1,INDEX('Live History'!$H$5:$H$3004,MATCH($A1281,'Live History'!$G$5:$G$3004,1)),INDEX('AH History'!$D$1:$D$18046,AH!$P$7+1276))),NA()),NA())</ns0:f>
        <ns0:v/>
      </ns0:c>
      <ns0:c r="F1281">
        <ns0:f>IFERROR(IF(ISNUMBER($A1281),IF(AND(AH!$P$10=1,AH!$P$12=1,$A1281=TODAY()),IF(AND(AH!$P$10=1,AH!$P$12=1,$A1281=TODAY()),TODAY(),NA()),IF(AH!$P$10=1,INDEX('Live History'!$D$5:$D$3004,MATCH($A1281,'Live History'!$D$5:$D$3004,1)),INDEX('AH History'!$E$1:$E$18046,AH!$P$7+1276))),NA()),NA())</ns0:f>
        <ns0:v/>
      </ns0:c>
      <ns0:c r="G1281">
        <ns0:f>IFERROR(IF(ISNUMBER($A1281),IF(AND(AH!$P$10=1,AH!$P$12=1,$A1281=TODAY()),IF(AND(AH!$P$10=1,AH!$P$12=1,$A1281=TODAY()),TODAY(),NA()),IF(AH!$P$10=1,INDEX('Live History'!$G$5:$G$3004,MATCH($A1281,'Live History'!$G$5:$G$3004,1)),INDEX('AH History'!$F$1:$F$18046,AH!$P$7+1276))),NA()),NA())</ns0:f>
        <ns0:v/>
      </ns0:c>
      <ns0:c r="H1281">
        <ns0:f>IFERROR(IF(AND(AH!$E$4="Bloomberg",AH!$P$10=1,ISNUMBER($A1281),$A1281&lt;=AH!$P$17),AH!$P$7-1+MATCH($A1281,INDEX('AH History'!$A$1:$A$18046,AH!$P$7):INDEX('AH History'!$A$1:$A$18046,AH!$P$7+AH!$P$8-1),0),0),0)</ns0:f>
        <ns0:v/>
      </ns0:c>
      <ns0:c r="I1281">
        <ns0:f>IF($H1281=0,0,IFERROR(IF(AND(ABS($C1281-INDEX('AH History'!$B$1:$B$18046,$H1281))&lt;=MAX(0.005,ABS(INDEX('AH History'!$B$1:$B$18046,$H1281))*0.00005),ABS($D1281-INDEX('AH History'!$C$1:$C$18046,$H1281))&lt;=MAX(0.005,ABS(INDEX('AH History'!$C$1:$C$18046,$H1281))*0.00005),ABS($E1281-INDEX('AH History'!$D$1:$D$18046,$H1281))&lt;=0.00005,$F1281=INDEX('AH History'!$E$1:$E$18046,$H1281),$G1281=INDEX('AH History'!$F$1:$F$18046,$H1281)),1,-1),-1))</ns0:f>
        <ns0:v/>
      </ns0:c>
    </ns0:row>
    <ns0:row r="1282">
      <ns0:c r="A1282" s="215">
        <ns0:f>IF(OR(AH!$P$3=0,1277+1&gt;AH!$P$11,AND(AH!$E$4&lt;&gt;"Stored",AH!$P$10&lt;&gt;1)),"",IFERROR(IF(AND(AH!$P$21=1,1277+1=AH!$P$11),TODAY(),IF(AH!$P$10=1,INDEX('Live History'!$A$5:$A$3004,AH!$P$13+1277),INDEX('AH History'!$A$1:$A$18046,AH!$P$7+1277))),""))</ns0:f>
        <ns0:v/>
      </ns0:c>
      <ns0:c r="B1282" s="219">
        <ns0:f>IFERROR(IF(AND(AH!$P$9&lt;&gt;1,$C1282&gt;0,$D1282&gt;0,$E1282&gt;0,$F1282&gt;0,$G1282&gt;0,$F1282&lt;=$A1282,$G1282&lt;=$A1282,$A1282-$F1282&lt;=10,$A1282-$G1282&lt;=5),$D1282*$E1282/$C1282-1,NA()),NA())</ns0:f>
        <ns0:v/>
      </ns0:c>
      <ns0:c r="C1282">
        <ns0:f>IFERROR(IF(ISNUMBER($A1282),IF(AND(AH!$P$10=1,AH!$P$12=1,$A1282=TODAY()),AH!$P$19,IF(AH!$P$10=1,INDEX('Live History'!$B$5:$B$3004,AH!$P$13+1277),INDEX('AH History'!$B$1:$B$18046,AH!$P$7+1277))),NA()),NA())</ns0:f>
        <ns0:v/>
      </ns0:c>
      <ns0:c r="D1282">
        <ns0:f>IFERROR(IF(ISNUMBER($A1282),IF(AND(AH!$P$10=1,AH!$P$12=1,$A1282=TODAY()),AH!$P$18,IF(AH!$P$10=1,INDEX('Live History'!$E$5:$E$3004,MATCH($A1282,'Live History'!$D$5:$D$3004,1)),INDEX('AH History'!$C$1:$C$18046,AH!$P$7+1277))),NA()),NA())</ns0:f>
        <ns0:v/>
      </ns0:c>
      <ns0:c r="E1282">
        <ns0:f>IFERROR(IF(ISNUMBER($A1282),IF(AND(AH!$P$10=1,AH!$P$12=1,$A1282=TODAY()),AH!$P$20,IF(AH!$P$10=1,INDEX('Live History'!$H$5:$H$3004,MATCH($A1282,'Live History'!$G$5:$G$3004,1)),INDEX('AH History'!$D$1:$D$18046,AH!$P$7+1277))),NA()),NA())</ns0:f>
        <ns0:v/>
      </ns0:c>
      <ns0:c r="F1282">
        <ns0:f>IFERROR(IF(ISNUMBER($A1282),IF(AND(AH!$P$10=1,AH!$P$12=1,$A1282=TODAY()),IF(AND(AH!$P$10=1,AH!$P$12=1,$A1282=TODAY()),TODAY(),NA()),IF(AH!$P$10=1,INDEX('Live History'!$D$5:$D$3004,MATCH($A1282,'Live History'!$D$5:$D$3004,1)),INDEX('AH History'!$E$1:$E$18046,AH!$P$7+1277))),NA()),NA())</ns0:f>
        <ns0:v/>
      </ns0:c>
      <ns0:c r="G1282">
        <ns0:f>IFERROR(IF(ISNUMBER($A1282),IF(AND(AH!$P$10=1,AH!$P$12=1,$A1282=TODAY()),IF(AND(AH!$P$10=1,AH!$P$12=1,$A1282=TODAY()),TODAY(),NA()),IF(AH!$P$10=1,INDEX('Live History'!$G$5:$G$3004,MATCH($A1282,'Live History'!$G$5:$G$3004,1)),INDEX('AH History'!$F$1:$F$18046,AH!$P$7+1277))),NA()),NA())</ns0:f>
        <ns0:v/>
      </ns0:c>
      <ns0:c r="H1282">
        <ns0:f>IFERROR(IF(AND(AH!$E$4="Bloomberg",AH!$P$10=1,ISNUMBER($A1282),$A1282&lt;=AH!$P$17),AH!$P$7-1+MATCH($A1282,INDEX('AH History'!$A$1:$A$18046,AH!$P$7):INDEX('AH History'!$A$1:$A$18046,AH!$P$7+AH!$P$8-1),0),0),0)</ns0:f>
        <ns0:v/>
      </ns0:c>
      <ns0:c r="I1282">
        <ns0:f>IF($H1282=0,0,IFERROR(IF(AND(ABS($C1282-INDEX('AH History'!$B$1:$B$18046,$H1282))&lt;=MAX(0.005,ABS(INDEX('AH History'!$B$1:$B$18046,$H1282))*0.00005),ABS($D1282-INDEX('AH History'!$C$1:$C$18046,$H1282))&lt;=MAX(0.005,ABS(INDEX('AH History'!$C$1:$C$18046,$H1282))*0.00005),ABS($E1282-INDEX('AH History'!$D$1:$D$18046,$H1282))&lt;=0.00005,$F1282=INDEX('AH History'!$E$1:$E$18046,$H1282),$G1282=INDEX('AH History'!$F$1:$F$18046,$H1282)),1,-1),-1))</ns0:f>
        <ns0:v/>
      </ns0:c>
    </ns0:row>
    <ns0:row r="1283">
      <ns0:c r="A1283" s="215">
        <ns0:f>IF(OR(AH!$P$3=0,1278+1&gt;AH!$P$11,AND(AH!$E$4&lt;&gt;"Stored",AH!$P$10&lt;&gt;1)),"",IFERROR(IF(AND(AH!$P$21=1,1278+1=AH!$P$11),TODAY(),IF(AH!$P$10=1,INDEX('Live History'!$A$5:$A$3004,AH!$P$13+1278),INDEX('AH History'!$A$1:$A$18046,AH!$P$7+1278))),""))</ns0:f>
        <ns0:v/>
      </ns0:c>
      <ns0:c r="B1283" s="219">
        <ns0:f>IFERROR(IF(AND(AH!$P$9&lt;&gt;1,$C1283&gt;0,$D1283&gt;0,$E1283&gt;0,$F1283&gt;0,$G1283&gt;0,$F1283&lt;=$A1283,$G1283&lt;=$A1283,$A1283-$F1283&lt;=10,$A1283-$G1283&lt;=5),$D1283*$E1283/$C1283-1,NA()),NA())</ns0:f>
        <ns0:v/>
      </ns0:c>
      <ns0:c r="C1283">
        <ns0:f>IFERROR(IF(ISNUMBER($A1283),IF(AND(AH!$P$10=1,AH!$P$12=1,$A1283=TODAY()),AH!$P$19,IF(AH!$P$10=1,INDEX('Live History'!$B$5:$B$3004,AH!$P$13+1278),INDEX('AH History'!$B$1:$B$18046,AH!$P$7+1278))),NA()),NA())</ns0:f>
        <ns0:v/>
      </ns0:c>
      <ns0:c r="D1283">
        <ns0:f>IFERROR(IF(ISNUMBER($A1283),IF(AND(AH!$P$10=1,AH!$P$12=1,$A1283=TODAY()),AH!$P$18,IF(AH!$P$10=1,INDEX('Live History'!$E$5:$E$3004,MATCH($A1283,'Live History'!$D$5:$D$3004,1)),INDEX('AH History'!$C$1:$C$18046,AH!$P$7+1278))),NA()),NA())</ns0:f>
        <ns0:v/>
      </ns0:c>
      <ns0:c r="E1283">
        <ns0:f>IFERROR(IF(ISNUMBER($A1283),IF(AND(AH!$P$10=1,AH!$P$12=1,$A1283=TODAY()),AH!$P$20,IF(AH!$P$10=1,INDEX('Live History'!$H$5:$H$3004,MATCH($A1283,'Live History'!$G$5:$G$3004,1)),INDEX('AH History'!$D$1:$D$18046,AH!$P$7+1278))),NA()),NA())</ns0:f>
        <ns0:v/>
      </ns0:c>
      <ns0:c r="F1283">
        <ns0:f>IFERROR(IF(ISNUMBER($A1283),IF(AND(AH!$P$10=1,AH!$P$12=1,$A1283=TODAY()),IF(AND(AH!$P$10=1,AH!$P$12=1,$A1283=TODAY()),TODAY(),NA()),IF(AH!$P$10=1,INDEX('Live History'!$D$5:$D$3004,MATCH($A1283,'Live History'!$D$5:$D$3004,1)),INDEX('AH History'!$E$1:$E$18046,AH!$P$7+1278))),NA()),NA())</ns0:f>
        <ns0:v/>
      </ns0:c>
      <ns0:c r="G1283">
        <ns0:f>IFERROR(IF(ISNUMBER($A1283),IF(AND(AH!$P$10=1,AH!$P$12=1,$A1283=TODAY()),IF(AND(AH!$P$10=1,AH!$P$12=1,$A1283=TODAY()),TODAY(),NA()),IF(AH!$P$10=1,INDEX('Live History'!$G$5:$G$3004,MATCH($A1283,'Live History'!$G$5:$G$3004,1)),INDEX('AH History'!$F$1:$F$18046,AH!$P$7+1278))),NA()),NA())</ns0:f>
        <ns0:v/>
      </ns0:c>
      <ns0:c r="H1283">
        <ns0:f>IFERROR(IF(AND(AH!$E$4="Bloomberg",AH!$P$10=1,ISNUMBER($A1283),$A1283&lt;=AH!$P$17),AH!$P$7-1+MATCH($A1283,INDEX('AH History'!$A$1:$A$18046,AH!$P$7):INDEX('AH History'!$A$1:$A$18046,AH!$P$7+AH!$P$8-1),0),0),0)</ns0:f>
        <ns0:v/>
      </ns0:c>
      <ns0:c r="I1283">
        <ns0:f>IF($H1283=0,0,IFERROR(IF(AND(ABS($C1283-INDEX('AH History'!$B$1:$B$18046,$H1283))&lt;=MAX(0.005,ABS(INDEX('AH History'!$B$1:$B$18046,$H1283))*0.00005),ABS($D1283-INDEX('AH History'!$C$1:$C$18046,$H1283))&lt;=MAX(0.005,ABS(INDEX('AH History'!$C$1:$C$18046,$H1283))*0.00005),ABS($E1283-INDEX('AH History'!$D$1:$D$18046,$H1283))&lt;=0.00005,$F1283=INDEX('AH History'!$E$1:$E$18046,$H1283),$G1283=INDEX('AH History'!$F$1:$F$18046,$H1283)),1,-1),-1))</ns0:f>
        <ns0:v/>
      </ns0:c>
    </ns0:row>
    <ns0:row r="1284">
      <ns0:c r="A1284" s="215">
        <ns0:f>IF(OR(AH!$P$3=0,1279+1&gt;AH!$P$11,AND(AH!$E$4&lt;&gt;"Stored",AH!$P$10&lt;&gt;1)),"",IFERROR(IF(AND(AH!$P$21=1,1279+1=AH!$P$11),TODAY(),IF(AH!$P$10=1,INDEX('Live History'!$A$5:$A$3004,AH!$P$13+1279),INDEX('AH History'!$A$1:$A$18046,AH!$P$7+1279))),""))</ns0:f>
        <ns0:v/>
      </ns0:c>
      <ns0:c r="B1284" s="219">
        <ns0:f>IFERROR(IF(AND(AH!$P$9&lt;&gt;1,$C1284&gt;0,$D1284&gt;0,$E1284&gt;0,$F1284&gt;0,$G1284&gt;0,$F1284&lt;=$A1284,$G1284&lt;=$A1284,$A1284-$F1284&lt;=10,$A1284-$G1284&lt;=5),$D1284*$E1284/$C1284-1,NA()),NA())</ns0:f>
        <ns0:v/>
      </ns0:c>
      <ns0:c r="C1284">
        <ns0:f>IFERROR(IF(ISNUMBER($A1284),IF(AND(AH!$P$10=1,AH!$P$12=1,$A1284=TODAY()),AH!$P$19,IF(AH!$P$10=1,INDEX('Live History'!$B$5:$B$3004,AH!$P$13+1279),INDEX('AH History'!$B$1:$B$18046,AH!$P$7+1279))),NA()),NA())</ns0:f>
        <ns0:v/>
      </ns0:c>
      <ns0:c r="D1284">
        <ns0:f>IFERROR(IF(ISNUMBER($A1284),IF(AND(AH!$P$10=1,AH!$P$12=1,$A1284=TODAY()),AH!$P$18,IF(AH!$P$10=1,INDEX('Live History'!$E$5:$E$3004,MATCH($A1284,'Live History'!$D$5:$D$3004,1)),INDEX('AH History'!$C$1:$C$18046,AH!$P$7+1279))),NA()),NA())</ns0:f>
        <ns0:v/>
      </ns0:c>
      <ns0:c r="E1284">
        <ns0:f>IFERROR(IF(ISNUMBER($A1284),IF(AND(AH!$P$10=1,AH!$P$12=1,$A1284=TODAY()),AH!$P$20,IF(AH!$P$10=1,INDEX('Live History'!$H$5:$H$3004,MATCH($A1284,'Live History'!$G$5:$G$3004,1)),INDEX('AH History'!$D$1:$D$18046,AH!$P$7+1279))),NA()),NA())</ns0:f>
        <ns0:v/>
      </ns0:c>
      <ns0:c r="F1284">
        <ns0:f>IFERROR(IF(ISNUMBER($A1284),IF(AND(AH!$P$10=1,AH!$P$12=1,$A1284=TODAY()),IF(AND(AH!$P$10=1,AH!$P$12=1,$A1284=TODAY()),TODAY(),NA()),IF(AH!$P$10=1,INDEX('Live History'!$D$5:$D$3004,MATCH($A1284,'Live History'!$D$5:$D$3004,1)),INDEX('AH History'!$E$1:$E$18046,AH!$P$7+1279))),NA()),NA())</ns0:f>
        <ns0:v/>
      </ns0:c>
      <ns0:c r="G1284">
        <ns0:f>IFERROR(IF(ISNUMBER($A1284),IF(AND(AH!$P$10=1,AH!$P$12=1,$A1284=TODAY()),IF(AND(AH!$P$10=1,AH!$P$12=1,$A1284=TODAY()),TODAY(),NA()),IF(AH!$P$10=1,INDEX('Live History'!$G$5:$G$3004,MATCH($A1284,'Live History'!$G$5:$G$3004,1)),INDEX('AH History'!$F$1:$F$18046,AH!$P$7+1279))),NA()),NA())</ns0:f>
        <ns0:v/>
      </ns0:c>
      <ns0:c r="H1284">
        <ns0:f>IFERROR(IF(AND(AH!$E$4="Bloomberg",AH!$P$10=1,ISNUMBER($A1284),$A1284&lt;=AH!$P$17),AH!$P$7-1+MATCH($A1284,INDEX('AH History'!$A$1:$A$18046,AH!$P$7):INDEX('AH History'!$A$1:$A$18046,AH!$P$7+AH!$P$8-1),0),0),0)</ns0:f>
        <ns0:v/>
      </ns0:c>
      <ns0:c r="I1284">
        <ns0:f>IF($H1284=0,0,IFERROR(IF(AND(ABS($C1284-INDEX('AH History'!$B$1:$B$18046,$H1284))&lt;=MAX(0.005,ABS(INDEX('AH History'!$B$1:$B$18046,$H1284))*0.00005),ABS($D1284-INDEX('AH History'!$C$1:$C$18046,$H1284))&lt;=MAX(0.005,ABS(INDEX('AH History'!$C$1:$C$18046,$H1284))*0.00005),ABS($E1284-INDEX('AH History'!$D$1:$D$18046,$H1284))&lt;=0.00005,$F1284=INDEX('AH History'!$E$1:$E$18046,$H1284),$G1284=INDEX('AH History'!$F$1:$F$18046,$H1284)),1,-1),-1))</ns0:f>
        <ns0:v/>
      </ns0:c>
    </ns0:row>
    <ns0:row r="1285">
      <ns0:c r="A1285" s="215">
        <ns0:f>IF(OR(AH!$P$3=0,1280+1&gt;AH!$P$11,AND(AH!$E$4&lt;&gt;"Stored",AH!$P$10&lt;&gt;1)),"",IFERROR(IF(AND(AH!$P$21=1,1280+1=AH!$P$11),TODAY(),IF(AH!$P$10=1,INDEX('Live History'!$A$5:$A$3004,AH!$P$13+1280),INDEX('AH History'!$A$1:$A$18046,AH!$P$7+1280))),""))</ns0:f>
        <ns0:v/>
      </ns0:c>
      <ns0:c r="B1285" s="219">
        <ns0:f>IFERROR(IF(AND(AH!$P$9&lt;&gt;1,$C1285&gt;0,$D1285&gt;0,$E1285&gt;0,$F1285&gt;0,$G1285&gt;0,$F1285&lt;=$A1285,$G1285&lt;=$A1285,$A1285-$F1285&lt;=10,$A1285-$G1285&lt;=5),$D1285*$E1285/$C1285-1,NA()),NA())</ns0:f>
        <ns0:v/>
      </ns0:c>
      <ns0:c r="C1285">
        <ns0:f>IFERROR(IF(ISNUMBER($A1285),IF(AND(AH!$P$10=1,AH!$P$12=1,$A1285=TODAY()),AH!$P$19,IF(AH!$P$10=1,INDEX('Live History'!$B$5:$B$3004,AH!$P$13+1280),INDEX('AH History'!$B$1:$B$18046,AH!$P$7+1280))),NA()),NA())</ns0:f>
        <ns0:v/>
      </ns0:c>
      <ns0:c r="D1285">
        <ns0:f>IFERROR(IF(ISNUMBER($A1285),IF(AND(AH!$P$10=1,AH!$P$12=1,$A1285=TODAY()),AH!$P$18,IF(AH!$P$10=1,INDEX('Live History'!$E$5:$E$3004,MATCH($A1285,'Live History'!$D$5:$D$3004,1)),INDEX('AH History'!$C$1:$C$18046,AH!$P$7+1280))),NA()),NA())</ns0:f>
        <ns0:v/>
      </ns0:c>
      <ns0:c r="E1285">
        <ns0:f>IFERROR(IF(ISNUMBER($A1285),IF(AND(AH!$P$10=1,AH!$P$12=1,$A1285=TODAY()),AH!$P$20,IF(AH!$P$10=1,INDEX('Live History'!$H$5:$H$3004,MATCH($A1285,'Live History'!$G$5:$G$3004,1)),INDEX('AH History'!$D$1:$D$18046,AH!$P$7+1280))),NA()),NA())</ns0:f>
        <ns0:v/>
      </ns0:c>
      <ns0:c r="F1285">
        <ns0:f>IFERROR(IF(ISNUMBER($A1285),IF(AND(AH!$P$10=1,AH!$P$12=1,$A1285=TODAY()),IF(AND(AH!$P$10=1,AH!$P$12=1,$A1285=TODAY()),TODAY(),NA()),IF(AH!$P$10=1,INDEX('Live History'!$D$5:$D$3004,MATCH($A1285,'Live History'!$D$5:$D$3004,1)),INDEX('AH History'!$E$1:$E$18046,AH!$P$7+1280))),NA()),NA())</ns0:f>
        <ns0:v/>
      </ns0:c>
      <ns0:c r="G1285">
        <ns0:f>IFERROR(IF(ISNUMBER($A1285),IF(AND(AH!$P$10=1,AH!$P$12=1,$A1285=TODAY()),IF(AND(AH!$P$10=1,AH!$P$12=1,$A1285=TODAY()),TODAY(),NA()),IF(AH!$P$10=1,INDEX('Live History'!$G$5:$G$3004,MATCH($A1285,'Live History'!$G$5:$G$3004,1)),INDEX('AH History'!$F$1:$F$18046,AH!$P$7+1280))),NA()),NA())</ns0:f>
        <ns0:v/>
      </ns0:c>
      <ns0:c r="H1285">
        <ns0:f>IFERROR(IF(AND(AH!$E$4="Bloomberg",AH!$P$10=1,ISNUMBER($A1285),$A1285&lt;=AH!$P$17),AH!$P$7-1+MATCH($A1285,INDEX('AH History'!$A$1:$A$18046,AH!$P$7):INDEX('AH History'!$A$1:$A$18046,AH!$P$7+AH!$P$8-1),0),0),0)</ns0:f>
        <ns0:v/>
      </ns0:c>
      <ns0:c r="I1285">
        <ns0:f>IF($H1285=0,0,IFERROR(IF(AND(ABS($C1285-INDEX('AH History'!$B$1:$B$18046,$H1285))&lt;=MAX(0.005,ABS(INDEX('AH History'!$B$1:$B$18046,$H1285))*0.00005),ABS($D1285-INDEX('AH History'!$C$1:$C$18046,$H1285))&lt;=MAX(0.005,ABS(INDEX('AH History'!$C$1:$C$18046,$H1285))*0.00005),ABS($E1285-INDEX('AH History'!$D$1:$D$18046,$H1285))&lt;=0.00005,$F1285=INDEX('AH History'!$E$1:$E$18046,$H1285),$G1285=INDEX('AH History'!$F$1:$F$18046,$H1285)),1,-1),-1))</ns0:f>
        <ns0:v/>
      </ns0:c>
    </ns0:row>
    <ns0:row r="1286">
      <ns0:c r="A1286" s="215">
        <ns0:f>IF(OR(AH!$P$3=0,1281+1&gt;AH!$P$11,AND(AH!$E$4&lt;&gt;"Stored",AH!$P$10&lt;&gt;1)),"",IFERROR(IF(AND(AH!$P$21=1,1281+1=AH!$P$11),TODAY(),IF(AH!$P$10=1,INDEX('Live History'!$A$5:$A$3004,AH!$P$13+1281),INDEX('AH History'!$A$1:$A$18046,AH!$P$7+1281))),""))</ns0:f>
        <ns0:v/>
      </ns0:c>
      <ns0:c r="B1286" s="219">
        <ns0:f>IFERROR(IF(AND(AH!$P$9&lt;&gt;1,$C1286&gt;0,$D1286&gt;0,$E1286&gt;0,$F1286&gt;0,$G1286&gt;0,$F1286&lt;=$A1286,$G1286&lt;=$A1286,$A1286-$F1286&lt;=10,$A1286-$G1286&lt;=5),$D1286*$E1286/$C1286-1,NA()),NA())</ns0:f>
        <ns0:v/>
      </ns0:c>
      <ns0:c r="C1286">
        <ns0:f>IFERROR(IF(ISNUMBER($A1286),IF(AND(AH!$P$10=1,AH!$P$12=1,$A1286=TODAY()),AH!$P$19,IF(AH!$P$10=1,INDEX('Live History'!$B$5:$B$3004,AH!$P$13+1281),INDEX('AH History'!$B$1:$B$18046,AH!$P$7+1281))),NA()),NA())</ns0:f>
        <ns0:v/>
      </ns0:c>
      <ns0:c r="D1286">
        <ns0:f>IFERROR(IF(ISNUMBER($A1286),IF(AND(AH!$P$10=1,AH!$P$12=1,$A1286=TODAY()),AH!$P$18,IF(AH!$P$10=1,INDEX('Live History'!$E$5:$E$3004,MATCH($A1286,'Live History'!$D$5:$D$3004,1)),INDEX('AH History'!$C$1:$C$18046,AH!$P$7+1281))),NA()),NA())</ns0:f>
        <ns0:v/>
      </ns0:c>
      <ns0:c r="E1286">
        <ns0:f>IFERROR(IF(ISNUMBER($A1286),IF(AND(AH!$P$10=1,AH!$P$12=1,$A1286=TODAY()),AH!$P$20,IF(AH!$P$10=1,INDEX('Live History'!$H$5:$H$3004,MATCH($A1286,'Live History'!$G$5:$G$3004,1)),INDEX('AH History'!$D$1:$D$18046,AH!$P$7+1281))),NA()),NA())</ns0:f>
        <ns0:v/>
      </ns0:c>
      <ns0:c r="F1286">
        <ns0:f>IFERROR(IF(ISNUMBER($A1286),IF(AND(AH!$P$10=1,AH!$P$12=1,$A1286=TODAY()),IF(AND(AH!$P$10=1,AH!$P$12=1,$A1286=TODAY()),TODAY(),NA()),IF(AH!$P$10=1,INDEX('Live History'!$D$5:$D$3004,MATCH($A1286,'Live History'!$D$5:$D$3004,1)),INDEX('AH History'!$E$1:$E$18046,AH!$P$7+1281))),NA()),NA())</ns0:f>
        <ns0:v/>
      </ns0:c>
      <ns0:c r="G1286">
        <ns0:f>IFERROR(IF(ISNUMBER($A1286),IF(AND(AH!$P$10=1,AH!$P$12=1,$A1286=TODAY()),IF(AND(AH!$P$10=1,AH!$P$12=1,$A1286=TODAY()),TODAY(),NA()),IF(AH!$P$10=1,INDEX('Live History'!$G$5:$G$3004,MATCH($A1286,'Live History'!$G$5:$G$3004,1)),INDEX('AH History'!$F$1:$F$18046,AH!$P$7+1281))),NA()),NA())</ns0:f>
        <ns0:v/>
      </ns0:c>
      <ns0:c r="H1286">
        <ns0:f>IFERROR(IF(AND(AH!$E$4="Bloomberg",AH!$P$10=1,ISNUMBER($A1286),$A1286&lt;=AH!$P$17),AH!$P$7-1+MATCH($A1286,INDEX('AH History'!$A$1:$A$18046,AH!$P$7):INDEX('AH History'!$A$1:$A$18046,AH!$P$7+AH!$P$8-1),0),0),0)</ns0:f>
        <ns0:v/>
      </ns0:c>
      <ns0:c r="I1286">
        <ns0:f>IF($H1286=0,0,IFERROR(IF(AND(ABS($C1286-INDEX('AH History'!$B$1:$B$18046,$H1286))&lt;=MAX(0.005,ABS(INDEX('AH History'!$B$1:$B$18046,$H1286))*0.00005),ABS($D1286-INDEX('AH History'!$C$1:$C$18046,$H1286))&lt;=MAX(0.005,ABS(INDEX('AH History'!$C$1:$C$18046,$H1286))*0.00005),ABS($E1286-INDEX('AH History'!$D$1:$D$18046,$H1286))&lt;=0.00005,$F1286=INDEX('AH History'!$E$1:$E$18046,$H1286),$G1286=INDEX('AH History'!$F$1:$F$18046,$H1286)),1,-1),-1))</ns0:f>
        <ns0:v/>
      </ns0:c>
    </ns0:row>
    <ns0:row r="1287">
      <ns0:c r="A1287" s="215">
        <ns0:f>IF(OR(AH!$P$3=0,1282+1&gt;AH!$P$11,AND(AH!$E$4&lt;&gt;"Stored",AH!$P$10&lt;&gt;1)),"",IFERROR(IF(AND(AH!$P$21=1,1282+1=AH!$P$11),TODAY(),IF(AH!$P$10=1,INDEX('Live History'!$A$5:$A$3004,AH!$P$13+1282),INDEX('AH History'!$A$1:$A$18046,AH!$P$7+1282))),""))</ns0:f>
        <ns0:v/>
      </ns0:c>
      <ns0:c r="B1287" s="219">
        <ns0:f>IFERROR(IF(AND(AH!$P$9&lt;&gt;1,$C1287&gt;0,$D1287&gt;0,$E1287&gt;0,$F1287&gt;0,$G1287&gt;0,$F1287&lt;=$A1287,$G1287&lt;=$A1287,$A1287-$F1287&lt;=10,$A1287-$G1287&lt;=5),$D1287*$E1287/$C1287-1,NA()),NA())</ns0:f>
        <ns0:v/>
      </ns0:c>
      <ns0:c r="C1287">
        <ns0:f>IFERROR(IF(ISNUMBER($A1287),IF(AND(AH!$P$10=1,AH!$P$12=1,$A1287=TODAY()),AH!$P$19,IF(AH!$P$10=1,INDEX('Live History'!$B$5:$B$3004,AH!$P$13+1282),INDEX('AH History'!$B$1:$B$18046,AH!$P$7+1282))),NA()),NA())</ns0:f>
        <ns0:v/>
      </ns0:c>
      <ns0:c r="D1287">
        <ns0:f>IFERROR(IF(ISNUMBER($A1287),IF(AND(AH!$P$10=1,AH!$P$12=1,$A1287=TODAY()),AH!$P$18,IF(AH!$P$10=1,INDEX('Live History'!$E$5:$E$3004,MATCH($A1287,'Live History'!$D$5:$D$3004,1)),INDEX('AH History'!$C$1:$C$18046,AH!$P$7+1282))),NA()),NA())</ns0:f>
        <ns0:v/>
      </ns0:c>
      <ns0:c r="E1287">
        <ns0:f>IFERROR(IF(ISNUMBER($A1287),IF(AND(AH!$P$10=1,AH!$P$12=1,$A1287=TODAY()),AH!$P$20,IF(AH!$P$10=1,INDEX('Live History'!$H$5:$H$3004,MATCH($A1287,'Live History'!$G$5:$G$3004,1)),INDEX('AH History'!$D$1:$D$18046,AH!$P$7+1282))),NA()),NA())</ns0:f>
        <ns0:v/>
      </ns0:c>
      <ns0:c r="F1287">
        <ns0:f>IFERROR(IF(ISNUMBER($A1287),IF(AND(AH!$P$10=1,AH!$P$12=1,$A1287=TODAY()),IF(AND(AH!$P$10=1,AH!$P$12=1,$A1287=TODAY()),TODAY(),NA()),IF(AH!$P$10=1,INDEX('Live History'!$D$5:$D$3004,MATCH($A1287,'Live History'!$D$5:$D$3004,1)),INDEX('AH History'!$E$1:$E$18046,AH!$P$7+1282))),NA()),NA())</ns0:f>
        <ns0:v/>
      </ns0:c>
      <ns0:c r="G1287">
        <ns0:f>IFERROR(IF(ISNUMBER($A1287),IF(AND(AH!$P$10=1,AH!$P$12=1,$A1287=TODAY()),IF(AND(AH!$P$10=1,AH!$P$12=1,$A1287=TODAY()),TODAY(),NA()),IF(AH!$P$10=1,INDEX('Live History'!$G$5:$G$3004,MATCH($A1287,'Live History'!$G$5:$G$3004,1)),INDEX('AH History'!$F$1:$F$18046,AH!$P$7+1282))),NA()),NA())</ns0:f>
        <ns0:v/>
      </ns0:c>
      <ns0:c r="H1287">
        <ns0:f>IFERROR(IF(AND(AH!$E$4="Bloomberg",AH!$P$10=1,ISNUMBER($A1287),$A1287&lt;=AH!$P$17),AH!$P$7-1+MATCH($A1287,INDEX('AH History'!$A$1:$A$18046,AH!$P$7):INDEX('AH History'!$A$1:$A$18046,AH!$P$7+AH!$P$8-1),0),0),0)</ns0:f>
        <ns0:v/>
      </ns0:c>
      <ns0:c r="I1287">
        <ns0:f>IF($H1287=0,0,IFERROR(IF(AND(ABS($C1287-INDEX('AH History'!$B$1:$B$18046,$H1287))&lt;=MAX(0.005,ABS(INDEX('AH History'!$B$1:$B$18046,$H1287))*0.00005),ABS($D1287-INDEX('AH History'!$C$1:$C$18046,$H1287))&lt;=MAX(0.005,ABS(INDEX('AH History'!$C$1:$C$18046,$H1287))*0.00005),ABS($E1287-INDEX('AH History'!$D$1:$D$18046,$H1287))&lt;=0.00005,$F1287=INDEX('AH History'!$E$1:$E$18046,$H1287),$G1287=INDEX('AH History'!$F$1:$F$18046,$H1287)),1,-1),-1))</ns0:f>
        <ns0:v/>
      </ns0:c>
    </ns0:row>
    <ns0:row r="1288">
      <ns0:c r="A1288" s="215">
        <ns0:f>IF(OR(AH!$P$3=0,1283+1&gt;AH!$P$11,AND(AH!$E$4&lt;&gt;"Stored",AH!$P$10&lt;&gt;1)),"",IFERROR(IF(AND(AH!$P$21=1,1283+1=AH!$P$11),TODAY(),IF(AH!$P$10=1,INDEX('Live History'!$A$5:$A$3004,AH!$P$13+1283),INDEX('AH History'!$A$1:$A$18046,AH!$P$7+1283))),""))</ns0:f>
        <ns0:v/>
      </ns0:c>
      <ns0:c r="B1288" s="219">
        <ns0:f>IFERROR(IF(AND(AH!$P$9&lt;&gt;1,$C1288&gt;0,$D1288&gt;0,$E1288&gt;0,$F1288&gt;0,$G1288&gt;0,$F1288&lt;=$A1288,$G1288&lt;=$A1288,$A1288-$F1288&lt;=10,$A1288-$G1288&lt;=5),$D1288*$E1288/$C1288-1,NA()),NA())</ns0:f>
        <ns0:v/>
      </ns0:c>
      <ns0:c r="C1288">
        <ns0:f>IFERROR(IF(ISNUMBER($A1288),IF(AND(AH!$P$10=1,AH!$P$12=1,$A1288=TODAY()),AH!$P$19,IF(AH!$P$10=1,INDEX('Live History'!$B$5:$B$3004,AH!$P$13+1283),INDEX('AH History'!$B$1:$B$18046,AH!$P$7+1283))),NA()),NA())</ns0:f>
        <ns0:v/>
      </ns0:c>
      <ns0:c r="D1288">
        <ns0:f>IFERROR(IF(ISNUMBER($A1288),IF(AND(AH!$P$10=1,AH!$P$12=1,$A1288=TODAY()),AH!$P$18,IF(AH!$P$10=1,INDEX('Live History'!$E$5:$E$3004,MATCH($A1288,'Live History'!$D$5:$D$3004,1)),INDEX('AH History'!$C$1:$C$18046,AH!$P$7+1283))),NA()),NA())</ns0:f>
        <ns0:v/>
      </ns0:c>
      <ns0:c r="E1288">
        <ns0:f>IFERROR(IF(ISNUMBER($A1288),IF(AND(AH!$P$10=1,AH!$P$12=1,$A1288=TODAY()),AH!$P$20,IF(AH!$P$10=1,INDEX('Live History'!$H$5:$H$3004,MATCH($A1288,'Live History'!$G$5:$G$3004,1)),INDEX('AH History'!$D$1:$D$18046,AH!$P$7+1283))),NA()),NA())</ns0:f>
        <ns0:v/>
      </ns0:c>
      <ns0:c r="F1288">
        <ns0:f>IFERROR(IF(ISNUMBER($A1288),IF(AND(AH!$P$10=1,AH!$P$12=1,$A1288=TODAY()),IF(AND(AH!$P$10=1,AH!$P$12=1,$A1288=TODAY()),TODAY(),NA()),IF(AH!$P$10=1,INDEX('Live History'!$D$5:$D$3004,MATCH($A1288,'Live History'!$D$5:$D$3004,1)),INDEX('AH History'!$E$1:$E$18046,AH!$P$7+1283))),NA()),NA())</ns0:f>
        <ns0:v/>
      </ns0:c>
      <ns0:c r="G1288">
        <ns0:f>IFERROR(IF(ISNUMBER($A1288),IF(AND(AH!$P$10=1,AH!$P$12=1,$A1288=TODAY()),IF(AND(AH!$P$10=1,AH!$P$12=1,$A1288=TODAY()),TODAY(),NA()),IF(AH!$P$10=1,INDEX('Live History'!$G$5:$G$3004,MATCH($A1288,'Live History'!$G$5:$G$3004,1)),INDEX('AH History'!$F$1:$F$18046,AH!$P$7+1283))),NA()),NA())</ns0:f>
        <ns0:v/>
      </ns0:c>
      <ns0:c r="H1288">
        <ns0:f>IFERROR(IF(AND(AH!$E$4="Bloomberg",AH!$P$10=1,ISNUMBER($A1288),$A1288&lt;=AH!$P$17),AH!$P$7-1+MATCH($A1288,INDEX('AH History'!$A$1:$A$18046,AH!$P$7):INDEX('AH History'!$A$1:$A$18046,AH!$P$7+AH!$P$8-1),0),0),0)</ns0:f>
        <ns0:v/>
      </ns0:c>
      <ns0:c r="I1288">
        <ns0:f>IF($H1288=0,0,IFERROR(IF(AND(ABS($C1288-INDEX('AH History'!$B$1:$B$18046,$H1288))&lt;=MAX(0.005,ABS(INDEX('AH History'!$B$1:$B$18046,$H1288))*0.00005),ABS($D1288-INDEX('AH History'!$C$1:$C$18046,$H1288))&lt;=MAX(0.005,ABS(INDEX('AH History'!$C$1:$C$18046,$H1288))*0.00005),ABS($E1288-INDEX('AH History'!$D$1:$D$18046,$H1288))&lt;=0.00005,$F1288=INDEX('AH History'!$E$1:$E$18046,$H1288),$G1288=INDEX('AH History'!$F$1:$F$18046,$H1288)),1,-1),-1))</ns0:f>
        <ns0:v/>
      </ns0:c>
    </ns0:row>
    <ns0:row r="1289">
      <ns0:c r="A1289" s="215">
        <ns0:f>IF(OR(AH!$P$3=0,1284+1&gt;AH!$P$11,AND(AH!$E$4&lt;&gt;"Stored",AH!$P$10&lt;&gt;1)),"",IFERROR(IF(AND(AH!$P$21=1,1284+1=AH!$P$11),TODAY(),IF(AH!$P$10=1,INDEX('Live History'!$A$5:$A$3004,AH!$P$13+1284),INDEX('AH History'!$A$1:$A$18046,AH!$P$7+1284))),""))</ns0:f>
        <ns0:v/>
      </ns0:c>
      <ns0:c r="B1289" s="219">
        <ns0:f>IFERROR(IF(AND(AH!$P$9&lt;&gt;1,$C1289&gt;0,$D1289&gt;0,$E1289&gt;0,$F1289&gt;0,$G1289&gt;0,$F1289&lt;=$A1289,$G1289&lt;=$A1289,$A1289-$F1289&lt;=10,$A1289-$G1289&lt;=5),$D1289*$E1289/$C1289-1,NA()),NA())</ns0:f>
        <ns0:v/>
      </ns0:c>
      <ns0:c r="C1289">
        <ns0:f>IFERROR(IF(ISNUMBER($A1289),IF(AND(AH!$P$10=1,AH!$P$12=1,$A1289=TODAY()),AH!$P$19,IF(AH!$P$10=1,INDEX('Live History'!$B$5:$B$3004,AH!$P$13+1284),INDEX('AH History'!$B$1:$B$18046,AH!$P$7+1284))),NA()),NA())</ns0:f>
        <ns0:v/>
      </ns0:c>
      <ns0:c r="D1289">
        <ns0:f>IFERROR(IF(ISNUMBER($A1289),IF(AND(AH!$P$10=1,AH!$P$12=1,$A1289=TODAY()),AH!$P$18,IF(AH!$P$10=1,INDEX('Live History'!$E$5:$E$3004,MATCH($A1289,'Live History'!$D$5:$D$3004,1)),INDEX('AH History'!$C$1:$C$18046,AH!$P$7+1284))),NA()),NA())</ns0:f>
        <ns0:v/>
      </ns0:c>
      <ns0:c r="E1289">
        <ns0:f>IFERROR(IF(ISNUMBER($A1289),IF(AND(AH!$P$10=1,AH!$P$12=1,$A1289=TODAY()),AH!$P$20,IF(AH!$P$10=1,INDEX('Live History'!$H$5:$H$3004,MATCH($A1289,'Live History'!$G$5:$G$3004,1)),INDEX('AH History'!$D$1:$D$18046,AH!$P$7+1284))),NA()),NA())</ns0:f>
        <ns0:v/>
      </ns0:c>
      <ns0:c r="F1289">
        <ns0:f>IFERROR(IF(ISNUMBER($A1289),IF(AND(AH!$P$10=1,AH!$P$12=1,$A1289=TODAY()),IF(AND(AH!$P$10=1,AH!$P$12=1,$A1289=TODAY()),TODAY(),NA()),IF(AH!$P$10=1,INDEX('Live History'!$D$5:$D$3004,MATCH($A1289,'Live History'!$D$5:$D$3004,1)),INDEX('AH History'!$E$1:$E$18046,AH!$P$7+1284))),NA()),NA())</ns0:f>
        <ns0:v/>
      </ns0:c>
      <ns0:c r="G1289">
        <ns0:f>IFERROR(IF(ISNUMBER($A1289),IF(AND(AH!$P$10=1,AH!$P$12=1,$A1289=TODAY()),IF(AND(AH!$P$10=1,AH!$P$12=1,$A1289=TODAY()),TODAY(),NA()),IF(AH!$P$10=1,INDEX('Live History'!$G$5:$G$3004,MATCH($A1289,'Live History'!$G$5:$G$3004,1)),INDEX('AH History'!$F$1:$F$18046,AH!$P$7+1284))),NA()),NA())</ns0:f>
        <ns0:v/>
      </ns0:c>
      <ns0:c r="H1289">
        <ns0:f>IFERROR(IF(AND(AH!$E$4="Bloomberg",AH!$P$10=1,ISNUMBER($A1289),$A1289&lt;=AH!$P$17),AH!$P$7-1+MATCH($A1289,INDEX('AH History'!$A$1:$A$18046,AH!$P$7):INDEX('AH History'!$A$1:$A$18046,AH!$P$7+AH!$P$8-1),0),0),0)</ns0:f>
        <ns0:v/>
      </ns0:c>
      <ns0:c r="I1289">
        <ns0:f>IF($H1289=0,0,IFERROR(IF(AND(ABS($C1289-INDEX('AH History'!$B$1:$B$18046,$H1289))&lt;=MAX(0.005,ABS(INDEX('AH History'!$B$1:$B$18046,$H1289))*0.00005),ABS($D1289-INDEX('AH History'!$C$1:$C$18046,$H1289))&lt;=MAX(0.005,ABS(INDEX('AH History'!$C$1:$C$18046,$H1289))*0.00005),ABS($E1289-INDEX('AH History'!$D$1:$D$18046,$H1289))&lt;=0.00005,$F1289=INDEX('AH History'!$E$1:$E$18046,$H1289),$G1289=INDEX('AH History'!$F$1:$F$18046,$H1289)),1,-1),-1))</ns0:f>
        <ns0:v/>
      </ns0:c>
    </ns0:row>
    <ns0:row r="1290">
      <ns0:c r="A1290" s="215">
        <ns0:f>IF(OR(AH!$P$3=0,1285+1&gt;AH!$P$11,AND(AH!$E$4&lt;&gt;"Stored",AH!$P$10&lt;&gt;1)),"",IFERROR(IF(AND(AH!$P$21=1,1285+1=AH!$P$11),TODAY(),IF(AH!$P$10=1,INDEX('Live History'!$A$5:$A$3004,AH!$P$13+1285),INDEX('AH History'!$A$1:$A$18046,AH!$P$7+1285))),""))</ns0:f>
        <ns0:v/>
      </ns0:c>
      <ns0:c r="B1290" s="219">
        <ns0:f>IFERROR(IF(AND(AH!$P$9&lt;&gt;1,$C1290&gt;0,$D1290&gt;0,$E1290&gt;0,$F1290&gt;0,$G1290&gt;0,$F1290&lt;=$A1290,$G1290&lt;=$A1290,$A1290-$F1290&lt;=10,$A1290-$G1290&lt;=5),$D1290*$E1290/$C1290-1,NA()),NA())</ns0:f>
        <ns0:v/>
      </ns0:c>
      <ns0:c r="C1290">
        <ns0:f>IFERROR(IF(ISNUMBER($A1290),IF(AND(AH!$P$10=1,AH!$P$12=1,$A1290=TODAY()),AH!$P$19,IF(AH!$P$10=1,INDEX('Live History'!$B$5:$B$3004,AH!$P$13+1285),INDEX('AH History'!$B$1:$B$18046,AH!$P$7+1285))),NA()),NA())</ns0:f>
        <ns0:v/>
      </ns0:c>
      <ns0:c r="D1290">
        <ns0:f>IFERROR(IF(ISNUMBER($A1290),IF(AND(AH!$P$10=1,AH!$P$12=1,$A1290=TODAY()),AH!$P$18,IF(AH!$P$10=1,INDEX('Live History'!$E$5:$E$3004,MATCH($A1290,'Live History'!$D$5:$D$3004,1)),INDEX('AH History'!$C$1:$C$18046,AH!$P$7+1285))),NA()),NA())</ns0:f>
        <ns0:v/>
      </ns0:c>
      <ns0:c r="E1290">
        <ns0:f>IFERROR(IF(ISNUMBER($A1290),IF(AND(AH!$P$10=1,AH!$P$12=1,$A1290=TODAY()),AH!$P$20,IF(AH!$P$10=1,INDEX('Live History'!$H$5:$H$3004,MATCH($A1290,'Live History'!$G$5:$G$3004,1)),INDEX('AH History'!$D$1:$D$18046,AH!$P$7+1285))),NA()),NA())</ns0:f>
        <ns0:v/>
      </ns0:c>
      <ns0:c r="F1290">
        <ns0:f>IFERROR(IF(ISNUMBER($A1290),IF(AND(AH!$P$10=1,AH!$P$12=1,$A1290=TODAY()),IF(AND(AH!$P$10=1,AH!$P$12=1,$A1290=TODAY()),TODAY(),NA()),IF(AH!$P$10=1,INDEX('Live History'!$D$5:$D$3004,MATCH($A1290,'Live History'!$D$5:$D$3004,1)),INDEX('AH History'!$E$1:$E$18046,AH!$P$7+1285))),NA()),NA())</ns0:f>
        <ns0:v/>
      </ns0:c>
      <ns0:c r="G1290">
        <ns0:f>IFERROR(IF(ISNUMBER($A1290),IF(AND(AH!$P$10=1,AH!$P$12=1,$A1290=TODAY()),IF(AND(AH!$P$10=1,AH!$P$12=1,$A1290=TODAY()),TODAY(),NA()),IF(AH!$P$10=1,INDEX('Live History'!$G$5:$G$3004,MATCH($A1290,'Live History'!$G$5:$G$3004,1)),INDEX('AH History'!$F$1:$F$18046,AH!$P$7+1285))),NA()),NA())</ns0:f>
        <ns0:v/>
      </ns0:c>
      <ns0:c r="H1290">
        <ns0:f>IFERROR(IF(AND(AH!$E$4="Bloomberg",AH!$P$10=1,ISNUMBER($A1290),$A1290&lt;=AH!$P$17),AH!$P$7-1+MATCH($A1290,INDEX('AH History'!$A$1:$A$18046,AH!$P$7):INDEX('AH History'!$A$1:$A$18046,AH!$P$7+AH!$P$8-1),0),0),0)</ns0:f>
        <ns0:v/>
      </ns0:c>
      <ns0:c r="I1290">
        <ns0:f>IF($H1290=0,0,IFERROR(IF(AND(ABS($C1290-INDEX('AH History'!$B$1:$B$18046,$H1290))&lt;=MAX(0.005,ABS(INDEX('AH History'!$B$1:$B$18046,$H1290))*0.00005),ABS($D1290-INDEX('AH History'!$C$1:$C$18046,$H1290))&lt;=MAX(0.005,ABS(INDEX('AH History'!$C$1:$C$18046,$H1290))*0.00005),ABS($E1290-INDEX('AH History'!$D$1:$D$18046,$H1290))&lt;=0.00005,$F1290=INDEX('AH History'!$E$1:$E$18046,$H1290),$G1290=INDEX('AH History'!$F$1:$F$18046,$H1290)),1,-1),-1))</ns0:f>
        <ns0:v/>
      </ns0:c>
    </ns0:row>
    <ns0:row r="1291">
      <ns0:c r="A1291" s="215">
        <ns0:f>IF(OR(AH!$P$3=0,1286+1&gt;AH!$P$11,AND(AH!$E$4&lt;&gt;"Stored",AH!$P$10&lt;&gt;1)),"",IFERROR(IF(AND(AH!$P$21=1,1286+1=AH!$P$11),TODAY(),IF(AH!$P$10=1,INDEX('Live History'!$A$5:$A$3004,AH!$P$13+1286),INDEX('AH History'!$A$1:$A$18046,AH!$P$7+1286))),""))</ns0:f>
        <ns0:v/>
      </ns0:c>
      <ns0:c r="B1291" s="219">
        <ns0:f>IFERROR(IF(AND(AH!$P$9&lt;&gt;1,$C1291&gt;0,$D1291&gt;0,$E1291&gt;0,$F1291&gt;0,$G1291&gt;0,$F1291&lt;=$A1291,$G1291&lt;=$A1291,$A1291-$F1291&lt;=10,$A1291-$G1291&lt;=5),$D1291*$E1291/$C1291-1,NA()),NA())</ns0:f>
        <ns0:v/>
      </ns0:c>
      <ns0:c r="C1291">
        <ns0:f>IFERROR(IF(ISNUMBER($A1291),IF(AND(AH!$P$10=1,AH!$P$12=1,$A1291=TODAY()),AH!$P$19,IF(AH!$P$10=1,INDEX('Live History'!$B$5:$B$3004,AH!$P$13+1286),INDEX('AH History'!$B$1:$B$18046,AH!$P$7+1286))),NA()),NA())</ns0:f>
        <ns0:v/>
      </ns0:c>
      <ns0:c r="D1291">
        <ns0:f>IFERROR(IF(ISNUMBER($A1291),IF(AND(AH!$P$10=1,AH!$P$12=1,$A1291=TODAY()),AH!$P$18,IF(AH!$P$10=1,INDEX('Live History'!$E$5:$E$3004,MATCH($A1291,'Live History'!$D$5:$D$3004,1)),INDEX('AH History'!$C$1:$C$18046,AH!$P$7+1286))),NA()),NA())</ns0:f>
        <ns0:v/>
      </ns0:c>
      <ns0:c r="E1291">
        <ns0:f>IFERROR(IF(ISNUMBER($A1291),IF(AND(AH!$P$10=1,AH!$P$12=1,$A1291=TODAY()),AH!$P$20,IF(AH!$P$10=1,INDEX('Live History'!$H$5:$H$3004,MATCH($A1291,'Live History'!$G$5:$G$3004,1)),INDEX('AH History'!$D$1:$D$18046,AH!$P$7+1286))),NA()),NA())</ns0:f>
        <ns0:v/>
      </ns0:c>
      <ns0:c r="F1291">
        <ns0:f>IFERROR(IF(ISNUMBER($A1291),IF(AND(AH!$P$10=1,AH!$P$12=1,$A1291=TODAY()),IF(AND(AH!$P$10=1,AH!$P$12=1,$A1291=TODAY()),TODAY(),NA()),IF(AH!$P$10=1,INDEX('Live History'!$D$5:$D$3004,MATCH($A1291,'Live History'!$D$5:$D$3004,1)),INDEX('AH History'!$E$1:$E$18046,AH!$P$7+1286))),NA()),NA())</ns0:f>
        <ns0:v/>
      </ns0:c>
      <ns0:c r="G1291">
        <ns0:f>IFERROR(IF(ISNUMBER($A1291),IF(AND(AH!$P$10=1,AH!$P$12=1,$A1291=TODAY()),IF(AND(AH!$P$10=1,AH!$P$12=1,$A1291=TODAY()),TODAY(),NA()),IF(AH!$P$10=1,INDEX('Live History'!$G$5:$G$3004,MATCH($A1291,'Live History'!$G$5:$G$3004,1)),INDEX('AH History'!$F$1:$F$18046,AH!$P$7+1286))),NA()),NA())</ns0:f>
        <ns0:v/>
      </ns0:c>
      <ns0:c r="H1291">
        <ns0:f>IFERROR(IF(AND(AH!$E$4="Bloomberg",AH!$P$10=1,ISNUMBER($A1291),$A1291&lt;=AH!$P$17),AH!$P$7-1+MATCH($A1291,INDEX('AH History'!$A$1:$A$18046,AH!$P$7):INDEX('AH History'!$A$1:$A$18046,AH!$P$7+AH!$P$8-1),0),0),0)</ns0:f>
        <ns0:v/>
      </ns0:c>
      <ns0:c r="I1291">
        <ns0:f>IF($H1291=0,0,IFERROR(IF(AND(ABS($C1291-INDEX('AH History'!$B$1:$B$18046,$H1291))&lt;=MAX(0.005,ABS(INDEX('AH History'!$B$1:$B$18046,$H1291))*0.00005),ABS($D1291-INDEX('AH History'!$C$1:$C$18046,$H1291))&lt;=MAX(0.005,ABS(INDEX('AH History'!$C$1:$C$18046,$H1291))*0.00005),ABS($E1291-INDEX('AH History'!$D$1:$D$18046,$H1291))&lt;=0.00005,$F1291=INDEX('AH History'!$E$1:$E$18046,$H1291),$G1291=INDEX('AH History'!$F$1:$F$18046,$H1291)),1,-1),-1))</ns0:f>
        <ns0:v/>
      </ns0:c>
    </ns0:row>
    <ns0:row r="1292">
      <ns0:c r="A1292" s="215">
        <ns0:f>IF(OR(AH!$P$3=0,1287+1&gt;AH!$P$11,AND(AH!$E$4&lt;&gt;"Stored",AH!$P$10&lt;&gt;1)),"",IFERROR(IF(AND(AH!$P$21=1,1287+1=AH!$P$11),TODAY(),IF(AH!$P$10=1,INDEX('Live History'!$A$5:$A$3004,AH!$P$13+1287),INDEX('AH History'!$A$1:$A$18046,AH!$P$7+1287))),""))</ns0:f>
        <ns0:v/>
      </ns0:c>
      <ns0:c r="B1292" s="219">
        <ns0:f>IFERROR(IF(AND(AH!$P$9&lt;&gt;1,$C1292&gt;0,$D1292&gt;0,$E1292&gt;0,$F1292&gt;0,$G1292&gt;0,$F1292&lt;=$A1292,$G1292&lt;=$A1292,$A1292-$F1292&lt;=10,$A1292-$G1292&lt;=5),$D1292*$E1292/$C1292-1,NA()),NA())</ns0:f>
        <ns0:v/>
      </ns0:c>
      <ns0:c r="C1292">
        <ns0:f>IFERROR(IF(ISNUMBER($A1292),IF(AND(AH!$P$10=1,AH!$P$12=1,$A1292=TODAY()),AH!$P$19,IF(AH!$P$10=1,INDEX('Live History'!$B$5:$B$3004,AH!$P$13+1287),INDEX('AH History'!$B$1:$B$18046,AH!$P$7+1287))),NA()),NA())</ns0:f>
        <ns0:v/>
      </ns0:c>
      <ns0:c r="D1292">
        <ns0:f>IFERROR(IF(ISNUMBER($A1292),IF(AND(AH!$P$10=1,AH!$P$12=1,$A1292=TODAY()),AH!$P$18,IF(AH!$P$10=1,INDEX('Live History'!$E$5:$E$3004,MATCH($A1292,'Live History'!$D$5:$D$3004,1)),INDEX('AH History'!$C$1:$C$18046,AH!$P$7+1287))),NA()),NA())</ns0:f>
        <ns0:v/>
      </ns0:c>
      <ns0:c r="E1292">
        <ns0:f>IFERROR(IF(ISNUMBER($A1292),IF(AND(AH!$P$10=1,AH!$P$12=1,$A1292=TODAY()),AH!$P$20,IF(AH!$P$10=1,INDEX('Live History'!$H$5:$H$3004,MATCH($A1292,'Live History'!$G$5:$G$3004,1)),INDEX('AH History'!$D$1:$D$18046,AH!$P$7+1287))),NA()),NA())</ns0:f>
        <ns0:v/>
      </ns0:c>
      <ns0:c r="F1292">
        <ns0:f>IFERROR(IF(ISNUMBER($A1292),IF(AND(AH!$P$10=1,AH!$P$12=1,$A1292=TODAY()),IF(AND(AH!$P$10=1,AH!$P$12=1,$A1292=TODAY()),TODAY(),NA()),IF(AH!$P$10=1,INDEX('Live History'!$D$5:$D$3004,MATCH($A1292,'Live History'!$D$5:$D$3004,1)),INDEX('AH History'!$E$1:$E$18046,AH!$P$7+1287))),NA()),NA())</ns0:f>
        <ns0:v/>
      </ns0:c>
      <ns0:c r="G1292">
        <ns0:f>IFERROR(IF(ISNUMBER($A1292),IF(AND(AH!$P$10=1,AH!$P$12=1,$A1292=TODAY()),IF(AND(AH!$P$10=1,AH!$P$12=1,$A1292=TODAY()),TODAY(),NA()),IF(AH!$P$10=1,INDEX('Live History'!$G$5:$G$3004,MATCH($A1292,'Live History'!$G$5:$G$3004,1)),INDEX('AH History'!$F$1:$F$18046,AH!$P$7+1287))),NA()),NA())</ns0:f>
        <ns0:v/>
      </ns0:c>
      <ns0:c r="H1292">
        <ns0:f>IFERROR(IF(AND(AH!$E$4="Bloomberg",AH!$P$10=1,ISNUMBER($A1292),$A1292&lt;=AH!$P$17),AH!$P$7-1+MATCH($A1292,INDEX('AH History'!$A$1:$A$18046,AH!$P$7):INDEX('AH History'!$A$1:$A$18046,AH!$P$7+AH!$P$8-1),0),0),0)</ns0:f>
        <ns0:v/>
      </ns0:c>
      <ns0:c r="I1292">
        <ns0:f>IF($H1292=0,0,IFERROR(IF(AND(ABS($C1292-INDEX('AH History'!$B$1:$B$18046,$H1292))&lt;=MAX(0.005,ABS(INDEX('AH History'!$B$1:$B$18046,$H1292))*0.00005),ABS($D1292-INDEX('AH History'!$C$1:$C$18046,$H1292))&lt;=MAX(0.005,ABS(INDEX('AH History'!$C$1:$C$18046,$H1292))*0.00005),ABS($E1292-INDEX('AH History'!$D$1:$D$18046,$H1292))&lt;=0.00005,$F1292=INDEX('AH History'!$E$1:$E$18046,$H1292),$G1292=INDEX('AH History'!$F$1:$F$18046,$H1292)),1,-1),-1))</ns0:f>
        <ns0:v/>
      </ns0:c>
    </ns0:row>
    <ns0:row r="1293">
      <ns0:c r="A1293" s="215">
        <ns0:f>IF(OR(AH!$P$3=0,1288+1&gt;AH!$P$11,AND(AH!$E$4&lt;&gt;"Stored",AH!$P$10&lt;&gt;1)),"",IFERROR(IF(AND(AH!$P$21=1,1288+1=AH!$P$11),TODAY(),IF(AH!$P$10=1,INDEX('Live History'!$A$5:$A$3004,AH!$P$13+1288),INDEX('AH History'!$A$1:$A$18046,AH!$P$7+1288))),""))</ns0:f>
        <ns0:v/>
      </ns0:c>
      <ns0:c r="B1293" s="219">
        <ns0:f>IFERROR(IF(AND(AH!$P$9&lt;&gt;1,$C1293&gt;0,$D1293&gt;0,$E1293&gt;0,$F1293&gt;0,$G1293&gt;0,$F1293&lt;=$A1293,$G1293&lt;=$A1293,$A1293-$F1293&lt;=10,$A1293-$G1293&lt;=5),$D1293*$E1293/$C1293-1,NA()),NA())</ns0:f>
        <ns0:v/>
      </ns0:c>
      <ns0:c r="C1293">
        <ns0:f>IFERROR(IF(ISNUMBER($A1293),IF(AND(AH!$P$10=1,AH!$P$12=1,$A1293=TODAY()),AH!$P$19,IF(AH!$P$10=1,INDEX('Live History'!$B$5:$B$3004,AH!$P$13+1288),INDEX('AH History'!$B$1:$B$18046,AH!$P$7+1288))),NA()),NA())</ns0:f>
        <ns0:v/>
      </ns0:c>
      <ns0:c r="D1293">
        <ns0:f>IFERROR(IF(ISNUMBER($A1293),IF(AND(AH!$P$10=1,AH!$P$12=1,$A1293=TODAY()),AH!$P$18,IF(AH!$P$10=1,INDEX('Live History'!$E$5:$E$3004,MATCH($A1293,'Live History'!$D$5:$D$3004,1)),INDEX('AH History'!$C$1:$C$18046,AH!$P$7+1288))),NA()),NA())</ns0:f>
        <ns0:v/>
      </ns0:c>
      <ns0:c r="E1293">
        <ns0:f>IFERROR(IF(ISNUMBER($A1293),IF(AND(AH!$P$10=1,AH!$P$12=1,$A1293=TODAY()),AH!$P$20,IF(AH!$P$10=1,INDEX('Live History'!$H$5:$H$3004,MATCH($A1293,'Live History'!$G$5:$G$3004,1)),INDEX('AH History'!$D$1:$D$18046,AH!$P$7+1288))),NA()),NA())</ns0:f>
        <ns0:v/>
      </ns0:c>
      <ns0:c r="F1293">
        <ns0:f>IFERROR(IF(ISNUMBER($A1293),IF(AND(AH!$P$10=1,AH!$P$12=1,$A1293=TODAY()),IF(AND(AH!$P$10=1,AH!$P$12=1,$A1293=TODAY()),TODAY(),NA()),IF(AH!$P$10=1,INDEX('Live History'!$D$5:$D$3004,MATCH($A1293,'Live History'!$D$5:$D$3004,1)),INDEX('AH History'!$E$1:$E$18046,AH!$P$7+1288))),NA()),NA())</ns0:f>
        <ns0:v/>
      </ns0:c>
      <ns0:c r="G1293">
        <ns0:f>IFERROR(IF(ISNUMBER($A1293),IF(AND(AH!$P$10=1,AH!$P$12=1,$A1293=TODAY()),IF(AND(AH!$P$10=1,AH!$P$12=1,$A1293=TODAY()),TODAY(),NA()),IF(AH!$P$10=1,INDEX('Live History'!$G$5:$G$3004,MATCH($A1293,'Live History'!$G$5:$G$3004,1)),INDEX('AH History'!$F$1:$F$18046,AH!$P$7+1288))),NA()),NA())</ns0:f>
        <ns0:v/>
      </ns0:c>
      <ns0:c r="H1293">
        <ns0:f>IFERROR(IF(AND(AH!$E$4="Bloomberg",AH!$P$10=1,ISNUMBER($A1293),$A1293&lt;=AH!$P$17),AH!$P$7-1+MATCH($A1293,INDEX('AH History'!$A$1:$A$18046,AH!$P$7):INDEX('AH History'!$A$1:$A$18046,AH!$P$7+AH!$P$8-1),0),0),0)</ns0:f>
        <ns0:v/>
      </ns0:c>
      <ns0:c r="I1293">
        <ns0:f>IF($H1293=0,0,IFERROR(IF(AND(ABS($C1293-INDEX('AH History'!$B$1:$B$18046,$H1293))&lt;=MAX(0.005,ABS(INDEX('AH History'!$B$1:$B$18046,$H1293))*0.00005),ABS($D1293-INDEX('AH History'!$C$1:$C$18046,$H1293))&lt;=MAX(0.005,ABS(INDEX('AH History'!$C$1:$C$18046,$H1293))*0.00005),ABS($E1293-INDEX('AH History'!$D$1:$D$18046,$H1293))&lt;=0.00005,$F1293=INDEX('AH History'!$E$1:$E$18046,$H1293),$G1293=INDEX('AH History'!$F$1:$F$18046,$H1293)),1,-1),-1))</ns0:f>
        <ns0:v/>
      </ns0:c>
    </ns0:row>
    <ns0:row r="1294">
      <ns0:c r="A1294" s="215">
        <ns0:f>IF(OR(AH!$P$3=0,1289+1&gt;AH!$P$11,AND(AH!$E$4&lt;&gt;"Stored",AH!$P$10&lt;&gt;1)),"",IFERROR(IF(AND(AH!$P$21=1,1289+1=AH!$P$11),TODAY(),IF(AH!$P$10=1,INDEX('Live History'!$A$5:$A$3004,AH!$P$13+1289),INDEX('AH History'!$A$1:$A$18046,AH!$P$7+1289))),""))</ns0:f>
        <ns0:v/>
      </ns0:c>
      <ns0:c r="B1294" s="219">
        <ns0:f>IFERROR(IF(AND(AH!$P$9&lt;&gt;1,$C1294&gt;0,$D1294&gt;0,$E1294&gt;0,$F1294&gt;0,$G1294&gt;0,$F1294&lt;=$A1294,$G1294&lt;=$A1294,$A1294-$F1294&lt;=10,$A1294-$G1294&lt;=5),$D1294*$E1294/$C1294-1,NA()),NA())</ns0:f>
        <ns0:v/>
      </ns0:c>
      <ns0:c r="C1294">
        <ns0:f>IFERROR(IF(ISNUMBER($A1294),IF(AND(AH!$P$10=1,AH!$P$12=1,$A1294=TODAY()),AH!$P$19,IF(AH!$P$10=1,INDEX('Live History'!$B$5:$B$3004,AH!$P$13+1289),INDEX('AH History'!$B$1:$B$18046,AH!$P$7+1289))),NA()),NA())</ns0:f>
        <ns0:v/>
      </ns0:c>
      <ns0:c r="D1294">
        <ns0:f>IFERROR(IF(ISNUMBER($A1294),IF(AND(AH!$P$10=1,AH!$P$12=1,$A1294=TODAY()),AH!$P$18,IF(AH!$P$10=1,INDEX('Live History'!$E$5:$E$3004,MATCH($A1294,'Live History'!$D$5:$D$3004,1)),INDEX('AH History'!$C$1:$C$18046,AH!$P$7+1289))),NA()),NA())</ns0:f>
        <ns0:v/>
      </ns0:c>
      <ns0:c r="E1294">
        <ns0:f>IFERROR(IF(ISNUMBER($A1294),IF(AND(AH!$P$10=1,AH!$P$12=1,$A1294=TODAY()),AH!$P$20,IF(AH!$P$10=1,INDEX('Live History'!$H$5:$H$3004,MATCH($A1294,'Live History'!$G$5:$G$3004,1)),INDEX('AH History'!$D$1:$D$18046,AH!$P$7+1289))),NA()),NA())</ns0:f>
        <ns0:v/>
      </ns0:c>
      <ns0:c r="F1294">
        <ns0:f>IFERROR(IF(ISNUMBER($A1294),IF(AND(AH!$P$10=1,AH!$P$12=1,$A1294=TODAY()),IF(AND(AH!$P$10=1,AH!$P$12=1,$A1294=TODAY()),TODAY(),NA()),IF(AH!$P$10=1,INDEX('Live History'!$D$5:$D$3004,MATCH($A1294,'Live History'!$D$5:$D$3004,1)),INDEX('AH History'!$E$1:$E$18046,AH!$P$7+1289))),NA()),NA())</ns0:f>
        <ns0:v/>
      </ns0:c>
      <ns0:c r="G1294">
        <ns0:f>IFERROR(IF(ISNUMBER($A1294),IF(AND(AH!$P$10=1,AH!$P$12=1,$A1294=TODAY()),IF(AND(AH!$P$10=1,AH!$P$12=1,$A1294=TODAY()),TODAY(),NA()),IF(AH!$P$10=1,INDEX('Live History'!$G$5:$G$3004,MATCH($A1294,'Live History'!$G$5:$G$3004,1)),INDEX('AH History'!$F$1:$F$18046,AH!$P$7+1289))),NA()),NA())</ns0:f>
        <ns0:v/>
      </ns0:c>
      <ns0:c r="H1294">
        <ns0:f>IFERROR(IF(AND(AH!$E$4="Bloomberg",AH!$P$10=1,ISNUMBER($A1294),$A1294&lt;=AH!$P$17),AH!$P$7-1+MATCH($A1294,INDEX('AH History'!$A$1:$A$18046,AH!$P$7):INDEX('AH History'!$A$1:$A$18046,AH!$P$7+AH!$P$8-1),0),0),0)</ns0:f>
        <ns0:v/>
      </ns0:c>
      <ns0:c r="I1294">
        <ns0:f>IF($H1294=0,0,IFERROR(IF(AND(ABS($C1294-INDEX('AH History'!$B$1:$B$18046,$H1294))&lt;=MAX(0.005,ABS(INDEX('AH History'!$B$1:$B$18046,$H1294))*0.00005),ABS($D1294-INDEX('AH History'!$C$1:$C$18046,$H1294))&lt;=MAX(0.005,ABS(INDEX('AH History'!$C$1:$C$18046,$H1294))*0.00005),ABS($E1294-INDEX('AH History'!$D$1:$D$18046,$H1294))&lt;=0.00005,$F1294=INDEX('AH History'!$E$1:$E$18046,$H1294),$G1294=INDEX('AH History'!$F$1:$F$18046,$H1294)),1,-1),-1))</ns0:f>
        <ns0:v/>
      </ns0:c>
    </ns0:row>
    <ns0:row r="1295">
      <ns0:c r="A1295" s="215">
        <ns0:f>IF(OR(AH!$P$3=0,1290+1&gt;AH!$P$11,AND(AH!$E$4&lt;&gt;"Stored",AH!$P$10&lt;&gt;1)),"",IFERROR(IF(AND(AH!$P$21=1,1290+1=AH!$P$11),TODAY(),IF(AH!$P$10=1,INDEX('Live History'!$A$5:$A$3004,AH!$P$13+1290),INDEX('AH History'!$A$1:$A$18046,AH!$P$7+1290))),""))</ns0:f>
        <ns0:v/>
      </ns0:c>
      <ns0:c r="B1295" s="219">
        <ns0:f>IFERROR(IF(AND(AH!$P$9&lt;&gt;1,$C1295&gt;0,$D1295&gt;0,$E1295&gt;0,$F1295&gt;0,$G1295&gt;0,$F1295&lt;=$A1295,$G1295&lt;=$A1295,$A1295-$F1295&lt;=10,$A1295-$G1295&lt;=5),$D1295*$E1295/$C1295-1,NA()),NA())</ns0:f>
        <ns0:v/>
      </ns0:c>
      <ns0:c r="C1295">
        <ns0:f>IFERROR(IF(ISNUMBER($A1295),IF(AND(AH!$P$10=1,AH!$P$12=1,$A1295=TODAY()),AH!$P$19,IF(AH!$P$10=1,INDEX('Live History'!$B$5:$B$3004,AH!$P$13+1290),INDEX('AH History'!$B$1:$B$18046,AH!$P$7+1290))),NA()),NA())</ns0:f>
        <ns0:v/>
      </ns0:c>
      <ns0:c r="D1295">
        <ns0:f>IFERROR(IF(ISNUMBER($A1295),IF(AND(AH!$P$10=1,AH!$P$12=1,$A1295=TODAY()),AH!$P$18,IF(AH!$P$10=1,INDEX('Live History'!$E$5:$E$3004,MATCH($A1295,'Live History'!$D$5:$D$3004,1)),INDEX('AH History'!$C$1:$C$18046,AH!$P$7+1290))),NA()),NA())</ns0:f>
        <ns0:v/>
      </ns0:c>
      <ns0:c r="E1295">
        <ns0:f>IFERROR(IF(ISNUMBER($A1295),IF(AND(AH!$P$10=1,AH!$P$12=1,$A1295=TODAY()),AH!$P$20,IF(AH!$P$10=1,INDEX('Live History'!$H$5:$H$3004,MATCH($A1295,'Live History'!$G$5:$G$3004,1)),INDEX('AH History'!$D$1:$D$18046,AH!$P$7+1290))),NA()),NA())</ns0:f>
        <ns0:v/>
      </ns0:c>
      <ns0:c r="F1295">
        <ns0:f>IFERROR(IF(ISNUMBER($A1295),IF(AND(AH!$P$10=1,AH!$P$12=1,$A1295=TODAY()),IF(AND(AH!$P$10=1,AH!$P$12=1,$A1295=TODAY()),TODAY(),NA()),IF(AH!$P$10=1,INDEX('Live History'!$D$5:$D$3004,MATCH($A1295,'Live History'!$D$5:$D$3004,1)),INDEX('AH History'!$E$1:$E$18046,AH!$P$7+1290))),NA()),NA())</ns0:f>
        <ns0:v/>
      </ns0:c>
      <ns0:c r="G1295">
        <ns0:f>IFERROR(IF(ISNUMBER($A1295),IF(AND(AH!$P$10=1,AH!$P$12=1,$A1295=TODAY()),IF(AND(AH!$P$10=1,AH!$P$12=1,$A1295=TODAY()),TODAY(),NA()),IF(AH!$P$10=1,INDEX('Live History'!$G$5:$G$3004,MATCH($A1295,'Live History'!$G$5:$G$3004,1)),INDEX('AH History'!$F$1:$F$18046,AH!$P$7+1290))),NA()),NA())</ns0:f>
        <ns0:v/>
      </ns0:c>
      <ns0:c r="H1295">
        <ns0:f>IFERROR(IF(AND(AH!$E$4="Bloomberg",AH!$P$10=1,ISNUMBER($A1295),$A1295&lt;=AH!$P$17),AH!$P$7-1+MATCH($A1295,INDEX('AH History'!$A$1:$A$18046,AH!$P$7):INDEX('AH History'!$A$1:$A$18046,AH!$P$7+AH!$P$8-1),0),0),0)</ns0:f>
        <ns0:v/>
      </ns0:c>
      <ns0:c r="I1295">
        <ns0:f>IF($H1295=0,0,IFERROR(IF(AND(ABS($C1295-INDEX('AH History'!$B$1:$B$18046,$H1295))&lt;=MAX(0.005,ABS(INDEX('AH History'!$B$1:$B$18046,$H1295))*0.00005),ABS($D1295-INDEX('AH History'!$C$1:$C$18046,$H1295))&lt;=MAX(0.005,ABS(INDEX('AH History'!$C$1:$C$18046,$H1295))*0.00005),ABS($E1295-INDEX('AH History'!$D$1:$D$18046,$H1295))&lt;=0.00005,$F1295=INDEX('AH History'!$E$1:$E$18046,$H1295),$G1295=INDEX('AH History'!$F$1:$F$18046,$H1295)),1,-1),-1))</ns0:f>
        <ns0:v/>
      </ns0:c>
    </ns0:row>
    <ns0:row r="1296">
      <ns0:c r="A1296" s="215">
        <ns0:f>IF(OR(AH!$P$3=0,1291+1&gt;AH!$P$11,AND(AH!$E$4&lt;&gt;"Stored",AH!$P$10&lt;&gt;1)),"",IFERROR(IF(AND(AH!$P$21=1,1291+1=AH!$P$11),TODAY(),IF(AH!$P$10=1,INDEX('Live History'!$A$5:$A$3004,AH!$P$13+1291),INDEX('AH History'!$A$1:$A$18046,AH!$P$7+1291))),""))</ns0:f>
        <ns0:v/>
      </ns0:c>
      <ns0:c r="B1296" s="219">
        <ns0:f>IFERROR(IF(AND(AH!$P$9&lt;&gt;1,$C1296&gt;0,$D1296&gt;0,$E1296&gt;0,$F1296&gt;0,$G1296&gt;0,$F1296&lt;=$A1296,$G1296&lt;=$A1296,$A1296-$F1296&lt;=10,$A1296-$G1296&lt;=5),$D1296*$E1296/$C1296-1,NA()),NA())</ns0:f>
        <ns0:v/>
      </ns0:c>
      <ns0:c r="C1296">
        <ns0:f>IFERROR(IF(ISNUMBER($A1296),IF(AND(AH!$P$10=1,AH!$P$12=1,$A1296=TODAY()),AH!$P$19,IF(AH!$P$10=1,INDEX('Live History'!$B$5:$B$3004,AH!$P$13+1291),INDEX('AH History'!$B$1:$B$18046,AH!$P$7+1291))),NA()),NA())</ns0:f>
        <ns0:v/>
      </ns0:c>
      <ns0:c r="D1296">
        <ns0:f>IFERROR(IF(ISNUMBER($A1296),IF(AND(AH!$P$10=1,AH!$P$12=1,$A1296=TODAY()),AH!$P$18,IF(AH!$P$10=1,INDEX('Live History'!$E$5:$E$3004,MATCH($A1296,'Live History'!$D$5:$D$3004,1)),INDEX('AH History'!$C$1:$C$18046,AH!$P$7+1291))),NA()),NA())</ns0:f>
        <ns0:v/>
      </ns0:c>
      <ns0:c r="E1296">
        <ns0:f>IFERROR(IF(ISNUMBER($A1296),IF(AND(AH!$P$10=1,AH!$P$12=1,$A1296=TODAY()),AH!$P$20,IF(AH!$P$10=1,INDEX('Live History'!$H$5:$H$3004,MATCH($A1296,'Live History'!$G$5:$G$3004,1)),INDEX('AH History'!$D$1:$D$18046,AH!$P$7+1291))),NA()),NA())</ns0:f>
        <ns0:v/>
      </ns0:c>
      <ns0:c r="F1296">
        <ns0:f>IFERROR(IF(ISNUMBER($A1296),IF(AND(AH!$P$10=1,AH!$P$12=1,$A1296=TODAY()),IF(AND(AH!$P$10=1,AH!$P$12=1,$A1296=TODAY()),TODAY(),NA()),IF(AH!$P$10=1,INDEX('Live History'!$D$5:$D$3004,MATCH($A1296,'Live History'!$D$5:$D$3004,1)),INDEX('AH History'!$E$1:$E$18046,AH!$P$7+1291))),NA()),NA())</ns0:f>
        <ns0:v/>
      </ns0:c>
      <ns0:c r="G1296">
        <ns0:f>IFERROR(IF(ISNUMBER($A1296),IF(AND(AH!$P$10=1,AH!$P$12=1,$A1296=TODAY()),IF(AND(AH!$P$10=1,AH!$P$12=1,$A1296=TODAY()),TODAY(),NA()),IF(AH!$P$10=1,INDEX('Live History'!$G$5:$G$3004,MATCH($A1296,'Live History'!$G$5:$G$3004,1)),INDEX('AH History'!$F$1:$F$18046,AH!$P$7+1291))),NA()),NA())</ns0:f>
        <ns0:v/>
      </ns0:c>
      <ns0:c r="H1296">
        <ns0:f>IFERROR(IF(AND(AH!$E$4="Bloomberg",AH!$P$10=1,ISNUMBER($A1296),$A1296&lt;=AH!$P$17),AH!$P$7-1+MATCH($A1296,INDEX('AH History'!$A$1:$A$18046,AH!$P$7):INDEX('AH History'!$A$1:$A$18046,AH!$P$7+AH!$P$8-1),0),0),0)</ns0:f>
        <ns0:v/>
      </ns0:c>
      <ns0:c r="I1296">
        <ns0:f>IF($H1296=0,0,IFERROR(IF(AND(ABS($C1296-INDEX('AH History'!$B$1:$B$18046,$H1296))&lt;=MAX(0.005,ABS(INDEX('AH History'!$B$1:$B$18046,$H1296))*0.00005),ABS($D1296-INDEX('AH History'!$C$1:$C$18046,$H1296))&lt;=MAX(0.005,ABS(INDEX('AH History'!$C$1:$C$18046,$H1296))*0.00005),ABS($E1296-INDEX('AH History'!$D$1:$D$18046,$H1296))&lt;=0.00005,$F1296=INDEX('AH History'!$E$1:$E$18046,$H1296),$G1296=INDEX('AH History'!$F$1:$F$18046,$H1296)),1,-1),-1))</ns0:f>
        <ns0:v/>
      </ns0:c>
    </ns0:row>
    <ns0:row r="1297">
      <ns0:c r="A1297" s="215">
        <ns0:f>IF(OR(AH!$P$3=0,1292+1&gt;AH!$P$11,AND(AH!$E$4&lt;&gt;"Stored",AH!$P$10&lt;&gt;1)),"",IFERROR(IF(AND(AH!$P$21=1,1292+1=AH!$P$11),TODAY(),IF(AH!$P$10=1,INDEX('Live History'!$A$5:$A$3004,AH!$P$13+1292),INDEX('AH History'!$A$1:$A$18046,AH!$P$7+1292))),""))</ns0:f>
        <ns0:v/>
      </ns0:c>
      <ns0:c r="B1297" s="219">
        <ns0:f>IFERROR(IF(AND(AH!$P$9&lt;&gt;1,$C1297&gt;0,$D1297&gt;0,$E1297&gt;0,$F1297&gt;0,$G1297&gt;0,$F1297&lt;=$A1297,$G1297&lt;=$A1297,$A1297-$F1297&lt;=10,$A1297-$G1297&lt;=5),$D1297*$E1297/$C1297-1,NA()),NA())</ns0:f>
        <ns0:v/>
      </ns0:c>
      <ns0:c r="C1297">
        <ns0:f>IFERROR(IF(ISNUMBER($A1297),IF(AND(AH!$P$10=1,AH!$P$12=1,$A1297=TODAY()),AH!$P$19,IF(AH!$P$10=1,INDEX('Live History'!$B$5:$B$3004,AH!$P$13+1292),INDEX('AH History'!$B$1:$B$18046,AH!$P$7+1292))),NA()),NA())</ns0:f>
        <ns0:v/>
      </ns0:c>
      <ns0:c r="D1297">
        <ns0:f>IFERROR(IF(ISNUMBER($A1297),IF(AND(AH!$P$10=1,AH!$P$12=1,$A1297=TODAY()),AH!$P$18,IF(AH!$P$10=1,INDEX('Live History'!$E$5:$E$3004,MATCH($A1297,'Live History'!$D$5:$D$3004,1)),INDEX('AH History'!$C$1:$C$18046,AH!$P$7+1292))),NA()),NA())</ns0:f>
        <ns0:v/>
      </ns0:c>
      <ns0:c r="E1297">
        <ns0:f>IFERROR(IF(ISNUMBER($A1297),IF(AND(AH!$P$10=1,AH!$P$12=1,$A1297=TODAY()),AH!$P$20,IF(AH!$P$10=1,INDEX('Live History'!$H$5:$H$3004,MATCH($A1297,'Live History'!$G$5:$G$3004,1)),INDEX('AH History'!$D$1:$D$18046,AH!$P$7+1292))),NA()),NA())</ns0:f>
        <ns0:v/>
      </ns0:c>
      <ns0:c r="F1297">
        <ns0:f>IFERROR(IF(ISNUMBER($A1297),IF(AND(AH!$P$10=1,AH!$P$12=1,$A1297=TODAY()),IF(AND(AH!$P$10=1,AH!$P$12=1,$A1297=TODAY()),TODAY(),NA()),IF(AH!$P$10=1,INDEX('Live History'!$D$5:$D$3004,MATCH($A1297,'Live History'!$D$5:$D$3004,1)),INDEX('AH History'!$E$1:$E$18046,AH!$P$7+1292))),NA()),NA())</ns0:f>
        <ns0:v/>
      </ns0:c>
      <ns0:c r="G1297">
        <ns0:f>IFERROR(IF(ISNUMBER($A1297),IF(AND(AH!$P$10=1,AH!$P$12=1,$A1297=TODAY()),IF(AND(AH!$P$10=1,AH!$P$12=1,$A1297=TODAY()),TODAY(),NA()),IF(AH!$P$10=1,INDEX('Live History'!$G$5:$G$3004,MATCH($A1297,'Live History'!$G$5:$G$3004,1)),INDEX('AH History'!$F$1:$F$18046,AH!$P$7+1292))),NA()),NA())</ns0:f>
        <ns0:v/>
      </ns0:c>
      <ns0:c r="H1297">
        <ns0:f>IFERROR(IF(AND(AH!$E$4="Bloomberg",AH!$P$10=1,ISNUMBER($A1297),$A1297&lt;=AH!$P$17),AH!$P$7-1+MATCH($A1297,INDEX('AH History'!$A$1:$A$18046,AH!$P$7):INDEX('AH History'!$A$1:$A$18046,AH!$P$7+AH!$P$8-1),0),0),0)</ns0:f>
        <ns0:v/>
      </ns0:c>
      <ns0:c r="I1297">
        <ns0:f>IF($H1297=0,0,IFERROR(IF(AND(ABS($C1297-INDEX('AH History'!$B$1:$B$18046,$H1297))&lt;=MAX(0.005,ABS(INDEX('AH History'!$B$1:$B$18046,$H1297))*0.00005),ABS($D1297-INDEX('AH History'!$C$1:$C$18046,$H1297))&lt;=MAX(0.005,ABS(INDEX('AH History'!$C$1:$C$18046,$H1297))*0.00005),ABS($E1297-INDEX('AH History'!$D$1:$D$18046,$H1297))&lt;=0.00005,$F1297=INDEX('AH History'!$E$1:$E$18046,$H1297),$G1297=INDEX('AH History'!$F$1:$F$18046,$H1297)),1,-1),-1))</ns0:f>
        <ns0:v/>
      </ns0:c>
    </ns0:row>
    <ns0:row r="1298">
      <ns0:c r="A1298" s="215">
        <ns0:f>IF(OR(AH!$P$3=0,1293+1&gt;AH!$P$11,AND(AH!$E$4&lt;&gt;"Stored",AH!$P$10&lt;&gt;1)),"",IFERROR(IF(AND(AH!$P$21=1,1293+1=AH!$P$11),TODAY(),IF(AH!$P$10=1,INDEX('Live History'!$A$5:$A$3004,AH!$P$13+1293),INDEX('AH History'!$A$1:$A$18046,AH!$P$7+1293))),""))</ns0:f>
        <ns0:v/>
      </ns0:c>
      <ns0:c r="B1298" s="219">
        <ns0:f>IFERROR(IF(AND(AH!$P$9&lt;&gt;1,$C1298&gt;0,$D1298&gt;0,$E1298&gt;0,$F1298&gt;0,$G1298&gt;0,$F1298&lt;=$A1298,$G1298&lt;=$A1298,$A1298-$F1298&lt;=10,$A1298-$G1298&lt;=5),$D1298*$E1298/$C1298-1,NA()),NA())</ns0:f>
        <ns0:v/>
      </ns0:c>
      <ns0:c r="C1298">
        <ns0:f>IFERROR(IF(ISNUMBER($A1298),IF(AND(AH!$P$10=1,AH!$P$12=1,$A1298=TODAY()),AH!$P$19,IF(AH!$P$10=1,INDEX('Live History'!$B$5:$B$3004,AH!$P$13+1293),INDEX('AH History'!$B$1:$B$18046,AH!$P$7+1293))),NA()),NA())</ns0:f>
        <ns0:v/>
      </ns0:c>
      <ns0:c r="D1298">
        <ns0:f>IFERROR(IF(ISNUMBER($A1298),IF(AND(AH!$P$10=1,AH!$P$12=1,$A1298=TODAY()),AH!$P$18,IF(AH!$P$10=1,INDEX('Live History'!$E$5:$E$3004,MATCH($A1298,'Live History'!$D$5:$D$3004,1)),INDEX('AH History'!$C$1:$C$18046,AH!$P$7+1293))),NA()),NA())</ns0:f>
        <ns0:v/>
      </ns0:c>
      <ns0:c r="E1298">
        <ns0:f>IFERROR(IF(ISNUMBER($A1298),IF(AND(AH!$P$10=1,AH!$P$12=1,$A1298=TODAY()),AH!$P$20,IF(AH!$P$10=1,INDEX('Live History'!$H$5:$H$3004,MATCH($A1298,'Live History'!$G$5:$G$3004,1)),INDEX('AH History'!$D$1:$D$18046,AH!$P$7+1293))),NA()),NA())</ns0:f>
        <ns0:v/>
      </ns0:c>
      <ns0:c r="F1298">
        <ns0:f>IFERROR(IF(ISNUMBER($A1298),IF(AND(AH!$P$10=1,AH!$P$12=1,$A1298=TODAY()),IF(AND(AH!$P$10=1,AH!$P$12=1,$A1298=TODAY()),TODAY(),NA()),IF(AH!$P$10=1,INDEX('Live History'!$D$5:$D$3004,MATCH($A1298,'Live History'!$D$5:$D$3004,1)),INDEX('AH History'!$E$1:$E$18046,AH!$P$7+1293))),NA()),NA())</ns0:f>
        <ns0:v/>
      </ns0:c>
      <ns0:c r="G1298">
        <ns0:f>IFERROR(IF(ISNUMBER($A1298),IF(AND(AH!$P$10=1,AH!$P$12=1,$A1298=TODAY()),IF(AND(AH!$P$10=1,AH!$P$12=1,$A1298=TODAY()),TODAY(),NA()),IF(AH!$P$10=1,INDEX('Live History'!$G$5:$G$3004,MATCH($A1298,'Live History'!$G$5:$G$3004,1)),INDEX('AH History'!$F$1:$F$18046,AH!$P$7+1293))),NA()),NA())</ns0:f>
        <ns0:v/>
      </ns0:c>
      <ns0:c r="H1298">
        <ns0:f>IFERROR(IF(AND(AH!$E$4="Bloomberg",AH!$P$10=1,ISNUMBER($A1298),$A1298&lt;=AH!$P$17),AH!$P$7-1+MATCH($A1298,INDEX('AH History'!$A$1:$A$18046,AH!$P$7):INDEX('AH History'!$A$1:$A$18046,AH!$P$7+AH!$P$8-1),0),0),0)</ns0:f>
        <ns0:v/>
      </ns0:c>
      <ns0:c r="I1298">
        <ns0:f>IF($H1298=0,0,IFERROR(IF(AND(ABS($C1298-INDEX('AH History'!$B$1:$B$18046,$H1298))&lt;=MAX(0.005,ABS(INDEX('AH History'!$B$1:$B$18046,$H1298))*0.00005),ABS($D1298-INDEX('AH History'!$C$1:$C$18046,$H1298))&lt;=MAX(0.005,ABS(INDEX('AH History'!$C$1:$C$18046,$H1298))*0.00005),ABS($E1298-INDEX('AH History'!$D$1:$D$18046,$H1298))&lt;=0.00005,$F1298=INDEX('AH History'!$E$1:$E$18046,$H1298),$G1298=INDEX('AH History'!$F$1:$F$18046,$H1298)),1,-1),-1))</ns0:f>
        <ns0:v/>
      </ns0:c>
    </ns0:row>
    <ns0:row r="1299">
      <ns0:c r="A1299" s="215">
        <ns0:f>IF(OR(AH!$P$3=0,1294+1&gt;AH!$P$11,AND(AH!$E$4&lt;&gt;"Stored",AH!$P$10&lt;&gt;1)),"",IFERROR(IF(AND(AH!$P$21=1,1294+1=AH!$P$11),TODAY(),IF(AH!$P$10=1,INDEX('Live History'!$A$5:$A$3004,AH!$P$13+1294),INDEX('AH History'!$A$1:$A$18046,AH!$P$7+1294))),""))</ns0:f>
        <ns0:v/>
      </ns0:c>
      <ns0:c r="B1299" s="219">
        <ns0:f>IFERROR(IF(AND(AH!$P$9&lt;&gt;1,$C1299&gt;0,$D1299&gt;0,$E1299&gt;0,$F1299&gt;0,$G1299&gt;0,$F1299&lt;=$A1299,$G1299&lt;=$A1299,$A1299-$F1299&lt;=10,$A1299-$G1299&lt;=5),$D1299*$E1299/$C1299-1,NA()),NA())</ns0:f>
        <ns0:v/>
      </ns0:c>
      <ns0:c r="C1299">
        <ns0:f>IFERROR(IF(ISNUMBER($A1299),IF(AND(AH!$P$10=1,AH!$P$12=1,$A1299=TODAY()),AH!$P$19,IF(AH!$P$10=1,INDEX('Live History'!$B$5:$B$3004,AH!$P$13+1294),INDEX('AH History'!$B$1:$B$18046,AH!$P$7+1294))),NA()),NA())</ns0:f>
        <ns0:v/>
      </ns0:c>
      <ns0:c r="D1299">
        <ns0:f>IFERROR(IF(ISNUMBER($A1299),IF(AND(AH!$P$10=1,AH!$P$12=1,$A1299=TODAY()),AH!$P$18,IF(AH!$P$10=1,INDEX('Live History'!$E$5:$E$3004,MATCH($A1299,'Live History'!$D$5:$D$3004,1)),INDEX('AH History'!$C$1:$C$18046,AH!$P$7+1294))),NA()),NA())</ns0:f>
        <ns0:v/>
      </ns0:c>
      <ns0:c r="E1299">
        <ns0:f>IFERROR(IF(ISNUMBER($A1299),IF(AND(AH!$P$10=1,AH!$P$12=1,$A1299=TODAY()),AH!$P$20,IF(AH!$P$10=1,INDEX('Live History'!$H$5:$H$3004,MATCH($A1299,'Live History'!$G$5:$G$3004,1)),INDEX('AH History'!$D$1:$D$18046,AH!$P$7+1294))),NA()),NA())</ns0:f>
        <ns0:v/>
      </ns0:c>
      <ns0:c r="F1299">
        <ns0:f>IFERROR(IF(ISNUMBER($A1299),IF(AND(AH!$P$10=1,AH!$P$12=1,$A1299=TODAY()),IF(AND(AH!$P$10=1,AH!$P$12=1,$A1299=TODAY()),TODAY(),NA()),IF(AH!$P$10=1,INDEX('Live History'!$D$5:$D$3004,MATCH($A1299,'Live History'!$D$5:$D$3004,1)),INDEX('AH History'!$E$1:$E$18046,AH!$P$7+1294))),NA()),NA())</ns0:f>
        <ns0:v/>
      </ns0:c>
      <ns0:c r="G1299">
        <ns0:f>IFERROR(IF(ISNUMBER($A1299),IF(AND(AH!$P$10=1,AH!$P$12=1,$A1299=TODAY()),IF(AND(AH!$P$10=1,AH!$P$12=1,$A1299=TODAY()),TODAY(),NA()),IF(AH!$P$10=1,INDEX('Live History'!$G$5:$G$3004,MATCH($A1299,'Live History'!$G$5:$G$3004,1)),INDEX('AH History'!$F$1:$F$18046,AH!$P$7+1294))),NA()),NA())</ns0:f>
        <ns0:v/>
      </ns0:c>
      <ns0:c r="H1299">
        <ns0:f>IFERROR(IF(AND(AH!$E$4="Bloomberg",AH!$P$10=1,ISNUMBER($A1299),$A1299&lt;=AH!$P$17),AH!$P$7-1+MATCH($A1299,INDEX('AH History'!$A$1:$A$18046,AH!$P$7):INDEX('AH History'!$A$1:$A$18046,AH!$P$7+AH!$P$8-1),0),0),0)</ns0:f>
        <ns0:v/>
      </ns0:c>
      <ns0:c r="I1299">
        <ns0:f>IF($H1299=0,0,IFERROR(IF(AND(ABS($C1299-INDEX('AH History'!$B$1:$B$18046,$H1299))&lt;=MAX(0.005,ABS(INDEX('AH History'!$B$1:$B$18046,$H1299))*0.00005),ABS($D1299-INDEX('AH History'!$C$1:$C$18046,$H1299))&lt;=MAX(0.005,ABS(INDEX('AH History'!$C$1:$C$18046,$H1299))*0.00005),ABS($E1299-INDEX('AH History'!$D$1:$D$18046,$H1299))&lt;=0.00005,$F1299=INDEX('AH History'!$E$1:$E$18046,$H1299),$G1299=INDEX('AH History'!$F$1:$F$18046,$H1299)),1,-1),-1))</ns0:f>
        <ns0:v/>
      </ns0:c>
    </ns0:row>
    <ns0:row r="1300">
      <ns0:c r="A1300" s="215">
        <ns0:f>IF(OR(AH!$P$3=0,1295+1&gt;AH!$P$11,AND(AH!$E$4&lt;&gt;"Stored",AH!$P$10&lt;&gt;1)),"",IFERROR(IF(AND(AH!$P$21=1,1295+1=AH!$P$11),TODAY(),IF(AH!$P$10=1,INDEX('Live History'!$A$5:$A$3004,AH!$P$13+1295),INDEX('AH History'!$A$1:$A$18046,AH!$P$7+1295))),""))</ns0:f>
        <ns0:v/>
      </ns0:c>
      <ns0:c r="B1300" s="219">
        <ns0:f>IFERROR(IF(AND(AH!$P$9&lt;&gt;1,$C1300&gt;0,$D1300&gt;0,$E1300&gt;0,$F1300&gt;0,$G1300&gt;0,$F1300&lt;=$A1300,$G1300&lt;=$A1300,$A1300-$F1300&lt;=10,$A1300-$G1300&lt;=5),$D1300*$E1300/$C1300-1,NA()),NA())</ns0:f>
        <ns0:v/>
      </ns0:c>
      <ns0:c r="C1300">
        <ns0:f>IFERROR(IF(ISNUMBER($A1300),IF(AND(AH!$P$10=1,AH!$P$12=1,$A1300=TODAY()),AH!$P$19,IF(AH!$P$10=1,INDEX('Live History'!$B$5:$B$3004,AH!$P$13+1295),INDEX('AH History'!$B$1:$B$18046,AH!$P$7+1295))),NA()),NA())</ns0:f>
        <ns0:v/>
      </ns0:c>
      <ns0:c r="D1300">
        <ns0:f>IFERROR(IF(ISNUMBER($A1300),IF(AND(AH!$P$10=1,AH!$P$12=1,$A1300=TODAY()),AH!$P$18,IF(AH!$P$10=1,INDEX('Live History'!$E$5:$E$3004,MATCH($A1300,'Live History'!$D$5:$D$3004,1)),INDEX('AH History'!$C$1:$C$18046,AH!$P$7+1295))),NA()),NA())</ns0:f>
        <ns0:v/>
      </ns0:c>
      <ns0:c r="E1300">
        <ns0:f>IFERROR(IF(ISNUMBER($A1300),IF(AND(AH!$P$10=1,AH!$P$12=1,$A1300=TODAY()),AH!$P$20,IF(AH!$P$10=1,INDEX('Live History'!$H$5:$H$3004,MATCH($A1300,'Live History'!$G$5:$G$3004,1)),INDEX('AH History'!$D$1:$D$18046,AH!$P$7+1295))),NA()),NA())</ns0:f>
        <ns0:v/>
      </ns0:c>
      <ns0:c r="F1300">
        <ns0:f>IFERROR(IF(ISNUMBER($A1300),IF(AND(AH!$P$10=1,AH!$P$12=1,$A1300=TODAY()),IF(AND(AH!$P$10=1,AH!$P$12=1,$A1300=TODAY()),TODAY(),NA()),IF(AH!$P$10=1,INDEX('Live History'!$D$5:$D$3004,MATCH($A1300,'Live History'!$D$5:$D$3004,1)),INDEX('AH History'!$E$1:$E$18046,AH!$P$7+1295))),NA()),NA())</ns0:f>
        <ns0:v/>
      </ns0:c>
      <ns0:c r="G1300">
        <ns0:f>IFERROR(IF(ISNUMBER($A1300),IF(AND(AH!$P$10=1,AH!$P$12=1,$A1300=TODAY()),IF(AND(AH!$P$10=1,AH!$P$12=1,$A1300=TODAY()),TODAY(),NA()),IF(AH!$P$10=1,INDEX('Live History'!$G$5:$G$3004,MATCH($A1300,'Live History'!$G$5:$G$3004,1)),INDEX('AH History'!$F$1:$F$18046,AH!$P$7+1295))),NA()),NA())</ns0:f>
        <ns0:v/>
      </ns0:c>
      <ns0:c r="H1300">
        <ns0:f>IFERROR(IF(AND(AH!$E$4="Bloomberg",AH!$P$10=1,ISNUMBER($A1300),$A1300&lt;=AH!$P$17),AH!$P$7-1+MATCH($A1300,INDEX('AH History'!$A$1:$A$18046,AH!$P$7):INDEX('AH History'!$A$1:$A$18046,AH!$P$7+AH!$P$8-1),0),0),0)</ns0:f>
        <ns0:v/>
      </ns0:c>
      <ns0:c r="I1300">
        <ns0:f>IF($H1300=0,0,IFERROR(IF(AND(ABS($C1300-INDEX('AH History'!$B$1:$B$18046,$H1300))&lt;=MAX(0.005,ABS(INDEX('AH History'!$B$1:$B$18046,$H1300))*0.00005),ABS($D1300-INDEX('AH History'!$C$1:$C$18046,$H1300))&lt;=MAX(0.005,ABS(INDEX('AH History'!$C$1:$C$18046,$H1300))*0.00005),ABS($E1300-INDEX('AH History'!$D$1:$D$18046,$H1300))&lt;=0.00005,$F1300=INDEX('AH History'!$E$1:$E$18046,$H1300),$G1300=INDEX('AH History'!$F$1:$F$18046,$H1300)),1,-1),-1))</ns0:f>
        <ns0:v/>
      </ns0:c>
    </ns0:row>
    <ns0:row r="1301">
      <ns0:c r="A1301" s="215">
        <ns0:f>IF(OR(AH!$P$3=0,1296+1&gt;AH!$P$11,AND(AH!$E$4&lt;&gt;"Stored",AH!$P$10&lt;&gt;1)),"",IFERROR(IF(AND(AH!$P$21=1,1296+1=AH!$P$11),TODAY(),IF(AH!$P$10=1,INDEX('Live History'!$A$5:$A$3004,AH!$P$13+1296),INDEX('AH History'!$A$1:$A$18046,AH!$P$7+1296))),""))</ns0:f>
        <ns0:v/>
      </ns0:c>
      <ns0:c r="B1301" s="219">
        <ns0:f>IFERROR(IF(AND(AH!$P$9&lt;&gt;1,$C1301&gt;0,$D1301&gt;0,$E1301&gt;0,$F1301&gt;0,$G1301&gt;0,$F1301&lt;=$A1301,$G1301&lt;=$A1301,$A1301-$F1301&lt;=10,$A1301-$G1301&lt;=5),$D1301*$E1301/$C1301-1,NA()),NA())</ns0:f>
        <ns0:v/>
      </ns0:c>
      <ns0:c r="C1301">
        <ns0:f>IFERROR(IF(ISNUMBER($A1301),IF(AND(AH!$P$10=1,AH!$P$12=1,$A1301=TODAY()),AH!$P$19,IF(AH!$P$10=1,INDEX('Live History'!$B$5:$B$3004,AH!$P$13+1296),INDEX('AH History'!$B$1:$B$18046,AH!$P$7+1296))),NA()),NA())</ns0:f>
        <ns0:v/>
      </ns0:c>
      <ns0:c r="D1301">
        <ns0:f>IFERROR(IF(ISNUMBER($A1301),IF(AND(AH!$P$10=1,AH!$P$12=1,$A1301=TODAY()),AH!$P$18,IF(AH!$P$10=1,INDEX('Live History'!$E$5:$E$3004,MATCH($A1301,'Live History'!$D$5:$D$3004,1)),INDEX('AH History'!$C$1:$C$18046,AH!$P$7+1296))),NA()),NA())</ns0:f>
        <ns0:v/>
      </ns0:c>
      <ns0:c r="E1301">
        <ns0:f>IFERROR(IF(ISNUMBER($A1301),IF(AND(AH!$P$10=1,AH!$P$12=1,$A1301=TODAY()),AH!$P$20,IF(AH!$P$10=1,INDEX('Live History'!$H$5:$H$3004,MATCH($A1301,'Live History'!$G$5:$G$3004,1)),INDEX('AH History'!$D$1:$D$18046,AH!$P$7+1296))),NA()),NA())</ns0:f>
        <ns0:v/>
      </ns0:c>
      <ns0:c r="F1301">
        <ns0:f>IFERROR(IF(ISNUMBER($A1301),IF(AND(AH!$P$10=1,AH!$P$12=1,$A1301=TODAY()),IF(AND(AH!$P$10=1,AH!$P$12=1,$A1301=TODAY()),TODAY(),NA()),IF(AH!$P$10=1,INDEX('Live History'!$D$5:$D$3004,MATCH($A1301,'Live History'!$D$5:$D$3004,1)),INDEX('AH History'!$E$1:$E$18046,AH!$P$7+1296))),NA()),NA())</ns0:f>
        <ns0:v/>
      </ns0:c>
      <ns0:c r="G1301">
        <ns0:f>IFERROR(IF(ISNUMBER($A1301),IF(AND(AH!$P$10=1,AH!$P$12=1,$A1301=TODAY()),IF(AND(AH!$P$10=1,AH!$P$12=1,$A1301=TODAY()),TODAY(),NA()),IF(AH!$P$10=1,INDEX('Live History'!$G$5:$G$3004,MATCH($A1301,'Live History'!$G$5:$G$3004,1)),INDEX('AH History'!$F$1:$F$18046,AH!$P$7+1296))),NA()),NA())</ns0:f>
        <ns0:v/>
      </ns0:c>
      <ns0:c r="H1301">
        <ns0:f>IFERROR(IF(AND(AH!$E$4="Bloomberg",AH!$P$10=1,ISNUMBER($A1301),$A1301&lt;=AH!$P$17),AH!$P$7-1+MATCH($A1301,INDEX('AH History'!$A$1:$A$18046,AH!$P$7):INDEX('AH History'!$A$1:$A$18046,AH!$P$7+AH!$P$8-1),0),0),0)</ns0:f>
        <ns0:v/>
      </ns0:c>
      <ns0:c r="I1301">
        <ns0:f>IF($H1301=0,0,IFERROR(IF(AND(ABS($C1301-INDEX('AH History'!$B$1:$B$18046,$H1301))&lt;=MAX(0.005,ABS(INDEX('AH History'!$B$1:$B$18046,$H1301))*0.00005),ABS($D1301-INDEX('AH History'!$C$1:$C$18046,$H1301))&lt;=MAX(0.005,ABS(INDEX('AH History'!$C$1:$C$18046,$H1301))*0.00005),ABS($E1301-INDEX('AH History'!$D$1:$D$18046,$H1301))&lt;=0.00005,$F1301=INDEX('AH History'!$E$1:$E$18046,$H1301),$G1301=INDEX('AH History'!$F$1:$F$18046,$H1301)),1,-1),-1))</ns0:f>
        <ns0:v/>
      </ns0:c>
    </ns0:row>
    <ns0:row r="1302">
      <ns0:c r="A1302" s="215">
        <ns0:f>IF(OR(AH!$P$3=0,1297+1&gt;AH!$P$11,AND(AH!$E$4&lt;&gt;"Stored",AH!$P$10&lt;&gt;1)),"",IFERROR(IF(AND(AH!$P$21=1,1297+1=AH!$P$11),TODAY(),IF(AH!$P$10=1,INDEX('Live History'!$A$5:$A$3004,AH!$P$13+1297),INDEX('AH History'!$A$1:$A$18046,AH!$P$7+1297))),""))</ns0:f>
        <ns0:v/>
      </ns0:c>
      <ns0:c r="B1302" s="219">
        <ns0:f>IFERROR(IF(AND(AH!$P$9&lt;&gt;1,$C1302&gt;0,$D1302&gt;0,$E1302&gt;0,$F1302&gt;0,$G1302&gt;0,$F1302&lt;=$A1302,$G1302&lt;=$A1302,$A1302-$F1302&lt;=10,$A1302-$G1302&lt;=5),$D1302*$E1302/$C1302-1,NA()),NA())</ns0:f>
        <ns0:v/>
      </ns0:c>
      <ns0:c r="C1302">
        <ns0:f>IFERROR(IF(ISNUMBER($A1302),IF(AND(AH!$P$10=1,AH!$P$12=1,$A1302=TODAY()),AH!$P$19,IF(AH!$P$10=1,INDEX('Live History'!$B$5:$B$3004,AH!$P$13+1297),INDEX('AH History'!$B$1:$B$18046,AH!$P$7+1297))),NA()),NA())</ns0:f>
        <ns0:v/>
      </ns0:c>
      <ns0:c r="D1302">
        <ns0:f>IFERROR(IF(ISNUMBER($A1302),IF(AND(AH!$P$10=1,AH!$P$12=1,$A1302=TODAY()),AH!$P$18,IF(AH!$P$10=1,INDEX('Live History'!$E$5:$E$3004,MATCH($A1302,'Live History'!$D$5:$D$3004,1)),INDEX('AH History'!$C$1:$C$18046,AH!$P$7+1297))),NA()),NA())</ns0:f>
        <ns0:v/>
      </ns0:c>
      <ns0:c r="E1302">
        <ns0:f>IFERROR(IF(ISNUMBER($A1302),IF(AND(AH!$P$10=1,AH!$P$12=1,$A1302=TODAY()),AH!$P$20,IF(AH!$P$10=1,INDEX('Live History'!$H$5:$H$3004,MATCH($A1302,'Live History'!$G$5:$G$3004,1)),INDEX('AH History'!$D$1:$D$18046,AH!$P$7+1297))),NA()),NA())</ns0:f>
        <ns0:v/>
      </ns0:c>
      <ns0:c r="F1302">
        <ns0:f>IFERROR(IF(ISNUMBER($A1302),IF(AND(AH!$P$10=1,AH!$P$12=1,$A1302=TODAY()),IF(AND(AH!$P$10=1,AH!$P$12=1,$A1302=TODAY()),TODAY(),NA()),IF(AH!$P$10=1,INDEX('Live History'!$D$5:$D$3004,MATCH($A1302,'Live History'!$D$5:$D$3004,1)),INDEX('AH History'!$E$1:$E$18046,AH!$P$7+1297))),NA()),NA())</ns0:f>
        <ns0:v/>
      </ns0:c>
      <ns0:c r="G1302">
        <ns0:f>IFERROR(IF(ISNUMBER($A1302),IF(AND(AH!$P$10=1,AH!$P$12=1,$A1302=TODAY()),IF(AND(AH!$P$10=1,AH!$P$12=1,$A1302=TODAY()),TODAY(),NA()),IF(AH!$P$10=1,INDEX('Live History'!$G$5:$G$3004,MATCH($A1302,'Live History'!$G$5:$G$3004,1)),INDEX('AH History'!$F$1:$F$18046,AH!$P$7+1297))),NA()),NA())</ns0:f>
        <ns0:v/>
      </ns0:c>
      <ns0:c r="H1302">
        <ns0:f>IFERROR(IF(AND(AH!$E$4="Bloomberg",AH!$P$10=1,ISNUMBER($A1302),$A1302&lt;=AH!$P$17),AH!$P$7-1+MATCH($A1302,INDEX('AH History'!$A$1:$A$18046,AH!$P$7):INDEX('AH History'!$A$1:$A$18046,AH!$P$7+AH!$P$8-1),0),0),0)</ns0:f>
        <ns0:v/>
      </ns0:c>
      <ns0:c r="I1302">
        <ns0:f>IF($H1302=0,0,IFERROR(IF(AND(ABS($C1302-INDEX('AH History'!$B$1:$B$18046,$H1302))&lt;=MAX(0.005,ABS(INDEX('AH History'!$B$1:$B$18046,$H1302))*0.00005),ABS($D1302-INDEX('AH History'!$C$1:$C$18046,$H1302))&lt;=MAX(0.005,ABS(INDEX('AH History'!$C$1:$C$18046,$H1302))*0.00005),ABS($E1302-INDEX('AH History'!$D$1:$D$18046,$H1302))&lt;=0.00005,$F1302=INDEX('AH History'!$E$1:$E$18046,$H1302),$G1302=INDEX('AH History'!$F$1:$F$18046,$H1302)),1,-1),-1))</ns0:f>
        <ns0:v/>
      </ns0:c>
    </ns0:row>
    <ns0:row r="1303">
      <ns0:c r="A1303" s="215">
        <ns0:f>IF(OR(AH!$P$3=0,1298+1&gt;AH!$P$11,AND(AH!$E$4&lt;&gt;"Stored",AH!$P$10&lt;&gt;1)),"",IFERROR(IF(AND(AH!$P$21=1,1298+1=AH!$P$11),TODAY(),IF(AH!$P$10=1,INDEX('Live History'!$A$5:$A$3004,AH!$P$13+1298),INDEX('AH History'!$A$1:$A$18046,AH!$P$7+1298))),""))</ns0:f>
        <ns0:v/>
      </ns0:c>
      <ns0:c r="B1303" s="219">
        <ns0:f>IFERROR(IF(AND(AH!$P$9&lt;&gt;1,$C1303&gt;0,$D1303&gt;0,$E1303&gt;0,$F1303&gt;0,$G1303&gt;0,$F1303&lt;=$A1303,$G1303&lt;=$A1303,$A1303-$F1303&lt;=10,$A1303-$G1303&lt;=5),$D1303*$E1303/$C1303-1,NA()),NA())</ns0:f>
        <ns0:v/>
      </ns0:c>
      <ns0:c r="C1303">
        <ns0:f>IFERROR(IF(ISNUMBER($A1303),IF(AND(AH!$P$10=1,AH!$P$12=1,$A1303=TODAY()),AH!$P$19,IF(AH!$P$10=1,INDEX('Live History'!$B$5:$B$3004,AH!$P$13+1298),INDEX('AH History'!$B$1:$B$18046,AH!$P$7+1298))),NA()),NA())</ns0:f>
        <ns0:v/>
      </ns0:c>
      <ns0:c r="D1303">
        <ns0:f>IFERROR(IF(ISNUMBER($A1303),IF(AND(AH!$P$10=1,AH!$P$12=1,$A1303=TODAY()),AH!$P$18,IF(AH!$P$10=1,INDEX('Live History'!$E$5:$E$3004,MATCH($A1303,'Live History'!$D$5:$D$3004,1)),INDEX('AH History'!$C$1:$C$18046,AH!$P$7+1298))),NA()),NA())</ns0:f>
        <ns0:v/>
      </ns0:c>
      <ns0:c r="E1303">
        <ns0:f>IFERROR(IF(ISNUMBER($A1303),IF(AND(AH!$P$10=1,AH!$P$12=1,$A1303=TODAY()),AH!$P$20,IF(AH!$P$10=1,INDEX('Live History'!$H$5:$H$3004,MATCH($A1303,'Live History'!$G$5:$G$3004,1)),INDEX('AH History'!$D$1:$D$18046,AH!$P$7+1298))),NA()),NA())</ns0:f>
        <ns0:v/>
      </ns0:c>
      <ns0:c r="F1303">
        <ns0:f>IFERROR(IF(ISNUMBER($A1303),IF(AND(AH!$P$10=1,AH!$P$12=1,$A1303=TODAY()),IF(AND(AH!$P$10=1,AH!$P$12=1,$A1303=TODAY()),TODAY(),NA()),IF(AH!$P$10=1,INDEX('Live History'!$D$5:$D$3004,MATCH($A1303,'Live History'!$D$5:$D$3004,1)),INDEX('AH History'!$E$1:$E$18046,AH!$P$7+1298))),NA()),NA())</ns0:f>
        <ns0:v/>
      </ns0:c>
      <ns0:c r="G1303">
        <ns0:f>IFERROR(IF(ISNUMBER($A1303),IF(AND(AH!$P$10=1,AH!$P$12=1,$A1303=TODAY()),IF(AND(AH!$P$10=1,AH!$P$12=1,$A1303=TODAY()),TODAY(),NA()),IF(AH!$P$10=1,INDEX('Live History'!$G$5:$G$3004,MATCH($A1303,'Live History'!$G$5:$G$3004,1)),INDEX('AH History'!$F$1:$F$18046,AH!$P$7+1298))),NA()),NA())</ns0:f>
        <ns0:v/>
      </ns0:c>
      <ns0:c r="H1303">
        <ns0:f>IFERROR(IF(AND(AH!$E$4="Bloomberg",AH!$P$10=1,ISNUMBER($A1303),$A1303&lt;=AH!$P$17),AH!$P$7-1+MATCH($A1303,INDEX('AH History'!$A$1:$A$18046,AH!$P$7):INDEX('AH History'!$A$1:$A$18046,AH!$P$7+AH!$P$8-1),0),0),0)</ns0:f>
        <ns0:v/>
      </ns0:c>
      <ns0:c r="I1303">
        <ns0:f>IF($H1303=0,0,IFERROR(IF(AND(ABS($C1303-INDEX('AH History'!$B$1:$B$18046,$H1303))&lt;=MAX(0.005,ABS(INDEX('AH History'!$B$1:$B$18046,$H1303))*0.00005),ABS($D1303-INDEX('AH History'!$C$1:$C$18046,$H1303))&lt;=MAX(0.005,ABS(INDEX('AH History'!$C$1:$C$18046,$H1303))*0.00005),ABS($E1303-INDEX('AH History'!$D$1:$D$18046,$H1303))&lt;=0.00005,$F1303=INDEX('AH History'!$E$1:$E$18046,$H1303),$G1303=INDEX('AH History'!$F$1:$F$18046,$H1303)),1,-1),-1))</ns0:f>
        <ns0:v/>
      </ns0:c>
    </ns0:row>
    <ns0:row r="1304">
      <ns0:c r="A1304" s="215">
        <ns0:f>IF(OR(AH!$P$3=0,1299+1&gt;AH!$P$11,AND(AH!$E$4&lt;&gt;"Stored",AH!$P$10&lt;&gt;1)),"",IFERROR(IF(AND(AH!$P$21=1,1299+1=AH!$P$11),TODAY(),IF(AH!$P$10=1,INDEX('Live History'!$A$5:$A$3004,AH!$P$13+1299),INDEX('AH History'!$A$1:$A$18046,AH!$P$7+1299))),""))</ns0:f>
        <ns0:v/>
      </ns0:c>
      <ns0:c r="B1304" s="219">
        <ns0:f>IFERROR(IF(AND(AH!$P$9&lt;&gt;1,$C1304&gt;0,$D1304&gt;0,$E1304&gt;0,$F1304&gt;0,$G1304&gt;0,$F1304&lt;=$A1304,$G1304&lt;=$A1304,$A1304-$F1304&lt;=10,$A1304-$G1304&lt;=5),$D1304*$E1304/$C1304-1,NA()),NA())</ns0:f>
        <ns0:v/>
      </ns0:c>
      <ns0:c r="C1304">
        <ns0:f>IFERROR(IF(ISNUMBER($A1304),IF(AND(AH!$P$10=1,AH!$P$12=1,$A1304=TODAY()),AH!$P$19,IF(AH!$P$10=1,INDEX('Live History'!$B$5:$B$3004,AH!$P$13+1299),INDEX('AH History'!$B$1:$B$18046,AH!$P$7+1299))),NA()),NA())</ns0:f>
        <ns0:v/>
      </ns0:c>
      <ns0:c r="D1304">
        <ns0:f>IFERROR(IF(ISNUMBER($A1304),IF(AND(AH!$P$10=1,AH!$P$12=1,$A1304=TODAY()),AH!$P$18,IF(AH!$P$10=1,INDEX('Live History'!$E$5:$E$3004,MATCH($A1304,'Live History'!$D$5:$D$3004,1)),INDEX('AH History'!$C$1:$C$18046,AH!$P$7+1299))),NA()),NA())</ns0:f>
        <ns0:v/>
      </ns0:c>
      <ns0:c r="E1304">
        <ns0:f>IFERROR(IF(ISNUMBER($A1304),IF(AND(AH!$P$10=1,AH!$P$12=1,$A1304=TODAY()),AH!$P$20,IF(AH!$P$10=1,INDEX('Live History'!$H$5:$H$3004,MATCH($A1304,'Live History'!$G$5:$G$3004,1)),INDEX('AH History'!$D$1:$D$18046,AH!$P$7+1299))),NA()),NA())</ns0:f>
        <ns0:v/>
      </ns0:c>
      <ns0:c r="F1304">
        <ns0:f>IFERROR(IF(ISNUMBER($A1304),IF(AND(AH!$P$10=1,AH!$P$12=1,$A1304=TODAY()),IF(AND(AH!$P$10=1,AH!$P$12=1,$A1304=TODAY()),TODAY(),NA()),IF(AH!$P$10=1,INDEX('Live History'!$D$5:$D$3004,MATCH($A1304,'Live History'!$D$5:$D$3004,1)),INDEX('AH History'!$E$1:$E$18046,AH!$P$7+1299))),NA()),NA())</ns0:f>
        <ns0:v/>
      </ns0:c>
      <ns0:c r="G1304">
        <ns0:f>IFERROR(IF(ISNUMBER($A1304),IF(AND(AH!$P$10=1,AH!$P$12=1,$A1304=TODAY()),IF(AND(AH!$P$10=1,AH!$P$12=1,$A1304=TODAY()),TODAY(),NA()),IF(AH!$P$10=1,INDEX('Live History'!$G$5:$G$3004,MATCH($A1304,'Live History'!$G$5:$G$3004,1)),INDEX('AH History'!$F$1:$F$18046,AH!$P$7+1299))),NA()),NA())</ns0:f>
        <ns0:v/>
      </ns0:c>
      <ns0:c r="H1304">
        <ns0:f>IFERROR(IF(AND(AH!$E$4="Bloomberg",AH!$P$10=1,ISNUMBER($A1304),$A1304&lt;=AH!$P$17),AH!$P$7-1+MATCH($A1304,INDEX('AH History'!$A$1:$A$18046,AH!$P$7):INDEX('AH History'!$A$1:$A$18046,AH!$P$7+AH!$P$8-1),0),0),0)</ns0:f>
        <ns0:v/>
      </ns0:c>
      <ns0:c r="I1304">
        <ns0:f>IF($H1304=0,0,IFERROR(IF(AND(ABS($C1304-INDEX('AH History'!$B$1:$B$18046,$H1304))&lt;=MAX(0.005,ABS(INDEX('AH History'!$B$1:$B$18046,$H1304))*0.00005),ABS($D1304-INDEX('AH History'!$C$1:$C$18046,$H1304))&lt;=MAX(0.005,ABS(INDEX('AH History'!$C$1:$C$18046,$H1304))*0.00005),ABS($E1304-INDEX('AH History'!$D$1:$D$18046,$H1304))&lt;=0.00005,$F1304=INDEX('AH History'!$E$1:$E$18046,$H1304),$G1304=INDEX('AH History'!$F$1:$F$18046,$H1304)),1,-1),-1))</ns0:f>
        <ns0:v/>
      </ns0:c>
    </ns0:row>
    <ns0:row r="1305">
      <ns0:c r="A1305" s="215">
        <ns0:f>IF(OR(AH!$P$3=0,1300+1&gt;AH!$P$11,AND(AH!$E$4&lt;&gt;"Stored",AH!$P$10&lt;&gt;1)),"",IFERROR(IF(AND(AH!$P$21=1,1300+1=AH!$P$11),TODAY(),IF(AH!$P$10=1,INDEX('Live History'!$A$5:$A$3004,AH!$P$13+1300),INDEX('AH History'!$A$1:$A$18046,AH!$P$7+1300))),""))</ns0:f>
        <ns0:v/>
      </ns0:c>
      <ns0:c r="B1305" s="219">
        <ns0:f>IFERROR(IF(AND(AH!$P$9&lt;&gt;1,$C1305&gt;0,$D1305&gt;0,$E1305&gt;0,$F1305&gt;0,$G1305&gt;0,$F1305&lt;=$A1305,$G1305&lt;=$A1305,$A1305-$F1305&lt;=10,$A1305-$G1305&lt;=5),$D1305*$E1305/$C1305-1,NA()),NA())</ns0:f>
        <ns0:v/>
      </ns0:c>
      <ns0:c r="C1305">
        <ns0:f>IFERROR(IF(ISNUMBER($A1305),IF(AND(AH!$P$10=1,AH!$P$12=1,$A1305=TODAY()),AH!$P$19,IF(AH!$P$10=1,INDEX('Live History'!$B$5:$B$3004,AH!$P$13+1300),INDEX('AH History'!$B$1:$B$18046,AH!$P$7+1300))),NA()),NA())</ns0:f>
        <ns0:v/>
      </ns0:c>
      <ns0:c r="D1305">
        <ns0:f>IFERROR(IF(ISNUMBER($A1305),IF(AND(AH!$P$10=1,AH!$P$12=1,$A1305=TODAY()),AH!$P$18,IF(AH!$P$10=1,INDEX('Live History'!$E$5:$E$3004,MATCH($A1305,'Live History'!$D$5:$D$3004,1)),INDEX('AH History'!$C$1:$C$18046,AH!$P$7+1300))),NA()),NA())</ns0:f>
        <ns0:v/>
      </ns0:c>
      <ns0:c r="E1305">
        <ns0:f>IFERROR(IF(ISNUMBER($A1305),IF(AND(AH!$P$10=1,AH!$P$12=1,$A1305=TODAY()),AH!$P$20,IF(AH!$P$10=1,INDEX('Live History'!$H$5:$H$3004,MATCH($A1305,'Live History'!$G$5:$G$3004,1)),INDEX('AH History'!$D$1:$D$18046,AH!$P$7+1300))),NA()),NA())</ns0:f>
        <ns0:v/>
      </ns0:c>
      <ns0:c r="F1305">
        <ns0:f>IFERROR(IF(ISNUMBER($A1305),IF(AND(AH!$P$10=1,AH!$P$12=1,$A1305=TODAY()),IF(AND(AH!$P$10=1,AH!$P$12=1,$A1305=TODAY()),TODAY(),NA()),IF(AH!$P$10=1,INDEX('Live History'!$D$5:$D$3004,MATCH($A1305,'Live History'!$D$5:$D$3004,1)),INDEX('AH History'!$E$1:$E$18046,AH!$P$7+1300))),NA()),NA())</ns0:f>
        <ns0:v/>
      </ns0:c>
      <ns0:c r="G1305">
        <ns0:f>IFERROR(IF(ISNUMBER($A1305),IF(AND(AH!$P$10=1,AH!$P$12=1,$A1305=TODAY()),IF(AND(AH!$P$10=1,AH!$P$12=1,$A1305=TODAY()),TODAY(),NA()),IF(AH!$P$10=1,INDEX('Live History'!$G$5:$G$3004,MATCH($A1305,'Live History'!$G$5:$G$3004,1)),INDEX('AH History'!$F$1:$F$18046,AH!$P$7+1300))),NA()),NA())</ns0:f>
        <ns0:v/>
      </ns0:c>
      <ns0:c r="H1305">
        <ns0:f>IFERROR(IF(AND(AH!$E$4="Bloomberg",AH!$P$10=1,ISNUMBER($A1305),$A1305&lt;=AH!$P$17),AH!$P$7-1+MATCH($A1305,INDEX('AH History'!$A$1:$A$18046,AH!$P$7):INDEX('AH History'!$A$1:$A$18046,AH!$P$7+AH!$P$8-1),0),0),0)</ns0:f>
        <ns0:v/>
      </ns0:c>
      <ns0:c r="I1305">
        <ns0:f>IF($H1305=0,0,IFERROR(IF(AND(ABS($C1305-INDEX('AH History'!$B$1:$B$18046,$H1305))&lt;=MAX(0.005,ABS(INDEX('AH History'!$B$1:$B$18046,$H1305))*0.00005),ABS($D1305-INDEX('AH History'!$C$1:$C$18046,$H1305))&lt;=MAX(0.005,ABS(INDEX('AH History'!$C$1:$C$18046,$H1305))*0.00005),ABS($E1305-INDEX('AH History'!$D$1:$D$18046,$H1305))&lt;=0.00005,$F1305=INDEX('AH History'!$E$1:$E$18046,$H1305),$G1305=INDEX('AH History'!$F$1:$F$18046,$H1305)),1,-1),-1))</ns0:f>
        <ns0:v/>
      </ns0:c>
    </ns0:row>
    <ns0:row r="1306">
      <ns0:c r="A1306" s="215">
        <ns0:f>IF(OR(AH!$P$3=0,1301+1&gt;AH!$P$11,AND(AH!$E$4&lt;&gt;"Stored",AH!$P$10&lt;&gt;1)),"",IFERROR(IF(AND(AH!$P$21=1,1301+1=AH!$P$11),TODAY(),IF(AH!$P$10=1,INDEX('Live History'!$A$5:$A$3004,AH!$P$13+1301),INDEX('AH History'!$A$1:$A$18046,AH!$P$7+1301))),""))</ns0:f>
        <ns0:v/>
      </ns0:c>
      <ns0:c r="B1306" s="219">
        <ns0:f>IFERROR(IF(AND(AH!$P$9&lt;&gt;1,$C1306&gt;0,$D1306&gt;0,$E1306&gt;0,$F1306&gt;0,$G1306&gt;0,$F1306&lt;=$A1306,$G1306&lt;=$A1306,$A1306-$F1306&lt;=10,$A1306-$G1306&lt;=5),$D1306*$E1306/$C1306-1,NA()),NA())</ns0:f>
        <ns0:v/>
      </ns0:c>
      <ns0:c r="C1306">
        <ns0:f>IFERROR(IF(ISNUMBER($A1306),IF(AND(AH!$P$10=1,AH!$P$12=1,$A1306=TODAY()),AH!$P$19,IF(AH!$P$10=1,INDEX('Live History'!$B$5:$B$3004,AH!$P$13+1301),INDEX('AH History'!$B$1:$B$18046,AH!$P$7+1301))),NA()),NA())</ns0:f>
        <ns0:v/>
      </ns0:c>
      <ns0:c r="D1306">
        <ns0:f>IFERROR(IF(ISNUMBER($A1306),IF(AND(AH!$P$10=1,AH!$P$12=1,$A1306=TODAY()),AH!$P$18,IF(AH!$P$10=1,INDEX('Live History'!$E$5:$E$3004,MATCH($A1306,'Live History'!$D$5:$D$3004,1)),INDEX('AH History'!$C$1:$C$18046,AH!$P$7+1301))),NA()),NA())</ns0:f>
        <ns0:v/>
      </ns0:c>
      <ns0:c r="E1306">
        <ns0:f>IFERROR(IF(ISNUMBER($A1306),IF(AND(AH!$P$10=1,AH!$P$12=1,$A1306=TODAY()),AH!$P$20,IF(AH!$P$10=1,INDEX('Live History'!$H$5:$H$3004,MATCH($A1306,'Live History'!$G$5:$G$3004,1)),INDEX('AH History'!$D$1:$D$18046,AH!$P$7+1301))),NA()),NA())</ns0:f>
        <ns0:v/>
      </ns0:c>
      <ns0:c r="F1306">
        <ns0:f>IFERROR(IF(ISNUMBER($A1306),IF(AND(AH!$P$10=1,AH!$P$12=1,$A1306=TODAY()),IF(AND(AH!$P$10=1,AH!$P$12=1,$A1306=TODAY()),TODAY(),NA()),IF(AH!$P$10=1,INDEX('Live History'!$D$5:$D$3004,MATCH($A1306,'Live History'!$D$5:$D$3004,1)),INDEX('AH History'!$E$1:$E$18046,AH!$P$7+1301))),NA()),NA())</ns0:f>
        <ns0:v/>
      </ns0:c>
      <ns0:c r="G1306">
        <ns0:f>IFERROR(IF(ISNUMBER($A1306),IF(AND(AH!$P$10=1,AH!$P$12=1,$A1306=TODAY()),IF(AND(AH!$P$10=1,AH!$P$12=1,$A1306=TODAY()),TODAY(),NA()),IF(AH!$P$10=1,INDEX('Live History'!$G$5:$G$3004,MATCH($A1306,'Live History'!$G$5:$G$3004,1)),INDEX('AH History'!$F$1:$F$18046,AH!$P$7+1301))),NA()),NA())</ns0:f>
        <ns0:v/>
      </ns0:c>
      <ns0:c r="H1306">
        <ns0:f>IFERROR(IF(AND(AH!$E$4="Bloomberg",AH!$P$10=1,ISNUMBER($A1306),$A1306&lt;=AH!$P$17),AH!$P$7-1+MATCH($A1306,INDEX('AH History'!$A$1:$A$18046,AH!$P$7):INDEX('AH History'!$A$1:$A$18046,AH!$P$7+AH!$P$8-1),0),0),0)</ns0:f>
        <ns0:v/>
      </ns0:c>
      <ns0:c r="I1306">
        <ns0:f>IF($H1306=0,0,IFERROR(IF(AND(ABS($C1306-INDEX('AH History'!$B$1:$B$18046,$H1306))&lt;=MAX(0.005,ABS(INDEX('AH History'!$B$1:$B$18046,$H1306))*0.00005),ABS($D1306-INDEX('AH History'!$C$1:$C$18046,$H1306))&lt;=MAX(0.005,ABS(INDEX('AH History'!$C$1:$C$18046,$H1306))*0.00005),ABS($E1306-INDEX('AH History'!$D$1:$D$18046,$H1306))&lt;=0.00005,$F1306=INDEX('AH History'!$E$1:$E$18046,$H1306),$G1306=INDEX('AH History'!$F$1:$F$18046,$H1306)),1,-1),-1))</ns0:f>
        <ns0:v/>
      </ns0:c>
    </ns0:row>
    <ns0:row r="1307">
      <ns0:c r="A1307" s="215">
        <ns0:f>IF(OR(AH!$P$3=0,1302+1&gt;AH!$P$11,AND(AH!$E$4&lt;&gt;"Stored",AH!$P$10&lt;&gt;1)),"",IFERROR(IF(AND(AH!$P$21=1,1302+1=AH!$P$11),TODAY(),IF(AH!$P$10=1,INDEX('Live History'!$A$5:$A$3004,AH!$P$13+1302),INDEX('AH History'!$A$1:$A$18046,AH!$P$7+1302))),""))</ns0:f>
        <ns0:v/>
      </ns0:c>
      <ns0:c r="B1307" s="219">
        <ns0:f>IFERROR(IF(AND(AH!$P$9&lt;&gt;1,$C1307&gt;0,$D1307&gt;0,$E1307&gt;0,$F1307&gt;0,$G1307&gt;0,$F1307&lt;=$A1307,$G1307&lt;=$A1307,$A1307-$F1307&lt;=10,$A1307-$G1307&lt;=5),$D1307*$E1307/$C1307-1,NA()),NA())</ns0:f>
        <ns0:v/>
      </ns0:c>
      <ns0:c r="C1307">
        <ns0:f>IFERROR(IF(ISNUMBER($A1307),IF(AND(AH!$P$10=1,AH!$P$12=1,$A1307=TODAY()),AH!$P$19,IF(AH!$P$10=1,INDEX('Live History'!$B$5:$B$3004,AH!$P$13+1302),INDEX('AH History'!$B$1:$B$18046,AH!$P$7+1302))),NA()),NA())</ns0:f>
        <ns0:v/>
      </ns0:c>
      <ns0:c r="D1307">
        <ns0:f>IFERROR(IF(ISNUMBER($A1307),IF(AND(AH!$P$10=1,AH!$P$12=1,$A1307=TODAY()),AH!$P$18,IF(AH!$P$10=1,INDEX('Live History'!$E$5:$E$3004,MATCH($A1307,'Live History'!$D$5:$D$3004,1)),INDEX('AH History'!$C$1:$C$18046,AH!$P$7+1302))),NA()),NA())</ns0:f>
        <ns0:v/>
      </ns0:c>
      <ns0:c r="E1307">
        <ns0:f>IFERROR(IF(ISNUMBER($A1307),IF(AND(AH!$P$10=1,AH!$P$12=1,$A1307=TODAY()),AH!$P$20,IF(AH!$P$10=1,INDEX('Live History'!$H$5:$H$3004,MATCH($A1307,'Live History'!$G$5:$G$3004,1)),INDEX('AH History'!$D$1:$D$18046,AH!$P$7+1302))),NA()),NA())</ns0:f>
        <ns0:v/>
      </ns0:c>
      <ns0:c r="F1307">
        <ns0:f>IFERROR(IF(ISNUMBER($A1307),IF(AND(AH!$P$10=1,AH!$P$12=1,$A1307=TODAY()),IF(AND(AH!$P$10=1,AH!$P$12=1,$A1307=TODAY()),TODAY(),NA()),IF(AH!$P$10=1,INDEX('Live History'!$D$5:$D$3004,MATCH($A1307,'Live History'!$D$5:$D$3004,1)),INDEX('AH History'!$E$1:$E$18046,AH!$P$7+1302))),NA()),NA())</ns0:f>
        <ns0:v/>
      </ns0:c>
      <ns0:c r="G1307">
        <ns0:f>IFERROR(IF(ISNUMBER($A1307),IF(AND(AH!$P$10=1,AH!$P$12=1,$A1307=TODAY()),IF(AND(AH!$P$10=1,AH!$P$12=1,$A1307=TODAY()),TODAY(),NA()),IF(AH!$P$10=1,INDEX('Live History'!$G$5:$G$3004,MATCH($A1307,'Live History'!$G$5:$G$3004,1)),INDEX('AH History'!$F$1:$F$18046,AH!$P$7+1302))),NA()),NA())</ns0:f>
        <ns0:v/>
      </ns0:c>
      <ns0:c r="H1307">
        <ns0:f>IFERROR(IF(AND(AH!$E$4="Bloomberg",AH!$P$10=1,ISNUMBER($A1307),$A1307&lt;=AH!$P$17),AH!$P$7-1+MATCH($A1307,INDEX('AH History'!$A$1:$A$18046,AH!$P$7):INDEX('AH History'!$A$1:$A$18046,AH!$P$7+AH!$P$8-1),0),0),0)</ns0:f>
        <ns0:v/>
      </ns0:c>
      <ns0:c r="I1307">
        <ns0:f>IF($H1307=0,0,IFERROR(IF(AND(ABS($C1307-INDEX('AH History'!$B$1:$B$18046,$H1307))&lt;=MAX(0.005,ABS(INDEX('AH History'!$B$1:$B$18046,$H1307))*0.00005),ABS($D1307-INDEX('AH History'!$C$1:$C$18046,$H1307))&lt;=MAX(0.005,ABS(INDEX('AH History'!$C$1:$C$18046,$H1307))*0.00005),ABS($E1307-INDEX('AH History'!$D$1:$D$18046,$H1307))&lt;=0.00005,$F1307=INDEX('AH History'!$E$1:$E$18046,$H1307),$G1307=INDEX('AH History'!$F$1:$F$18046,$H1307)),1,-1),-1))</ns0:f>
        <ns0:v/>
      </ns0:c>
    </ns0:row>
    <ns0:row r="1308">
      <ns0:c r="A1308" s="215">
        <ns0:f>IF(OR(AH!$P$3=0,1303+1&gt;AH!$P$11,AND(AH!$E$4&lt;&gt;"Stored",AH!$P$10&lt;&gt;1)),"",IFERROR(IF(AND(AH!$P$21=1,1303+1=AH!$P$11),TODAY(),IF(AH!$P$10=1,INDEX('Live History'!$A$5:$A$3004,AH!$P$13+1303),INDEX('AH History'!$A$1:$A$18046,AH!$P$7+1303))),""))</ns0:f>
        <ns0:v/>
      </ns0:c>
      <ns0:c r="B1308" s="219">
        <ns0:f>IFERROR(IF(AND(AH!$P$9&lt;&gt;1,$C1308&gt;0,$D1308&gt;0,$E1308&gt;0,$F1308&gt;0,$G1308&gt;0,$F1308&lt;=$A1308,$G1308&lt;=$A1308,$A1308-$F1308&lt;=10,$A1308-$G1308&lt;=5),$D1308*$E1308/$C1308-1,NA()),NA())</ns0:f>
        <ns0:v/>
      </ns0:c>
      <ns0:c r="C1308">
        <ns0:f>IFERROR(IF(ISNUMBER($A1308),IF(AND(AH!$P$10=1,AH!$P$12=1,$A1308=TODAY()),AH!$P$19,IF(AH!$P$10=1,INDEX('Live History'!$B$5:$B$3004,AH!$P$13+1303),INDEX('AH History'!$B$1:$B$18046,AH!$P$7+1303))),NA()),NA())</ns0:f>
        <ns0:v/>
      </ns0:c>
      <ns0:c r="D1308">
        <ns0:f>IFERROR(IF(ISNUMBER($A1308),IF(AND(AH!$P$10=1,AH!$P$12=1,$A1308=TODAY()),AH!$P$18,IF(AH!$P$10=1,INDEX('Live History'!$E$5:$E$3004,MATCH($A1308,'Live History'!$D$5:$D$3004,1)),INDEX('AH History'!$C$1:$C$18046,AH!$P$7+1303))),NA()),NA())</ns0:f>
        <ns0:v/>
      </ns0:c>
      <ns0:c r="E1308">
        <ns0:f>IFERROR(IF(ISNUMBER($A1308),IF(AND(AH!$P$10=1,AH!$P$12=1,$A1308=TODAY()),AH!$P$20,IF(AH!$P$10=1,INDEX('Live History'!$H$5:$H$3004,MATCH($A1308,'Live History'!$G$5:$G$3004,1)),INDEX('AH History'!$D$1:$D$18046,AH!$P$7+1303))),NA()),NA())</ns0:f>
        <ns0:v/>
      </ns0:c>
      <ns0:c r="F1308">
        <ns0:f>IFERROR(IF(ISNUMBER($A1308),IF(AND(AH!$P$10=1,AH!$P$12=1,$A1308=TODAY()),IF(AND(AH!$P$10=1,AH!$P$12=1,$A1308=TODAY()),TODAY(),NA()),IF(AH!$P$10=1,INDEX('Live History'!$D$5:$D$3004,MATCH($A1308,'Live History'!$D$5:$D$3004,1)),INDEX('AH History'!$E$1:$E$18046,AH!$P$7+1303))),NA()),NA())</ns0:f>
        <ns0:v/>
      </ns0:c>
      <ns0:c r="G1308">
        <ns0:f>IFERROR(IF(ISNUMBER($A1308),IF(AND(AH!$P$10=1,AH!$P$12=1,$A1308=TODAY()),IF(AND(AH!$P$10=1,AH!$P$12=1,$A1308=TODAY()),TODAY(),NA()),IF(AH!$P$10=1,INDEX('Live History'!$G$5:$G$3004,MATCH($A1308,'Live History'!$G$5:$G$3004,1)),INDEX('AH History'!$F$1:$F$18046,AH!$P$7+1303))),NA()),NA())</ns0:f>
        <ns0:v/>
      </ns0:c>
      <ns0:c r="H1308">
        <ns0:f>IFERROR(IF(AND(AH!$E$4="Bloomberg",AH!$P$10=1,ISNUMBER($A1308),$A1308&lt;=AH!$P$17),AH!$P$7-1+MATCH($A1308,INDEX('AH History'!$A$1:$A$18046,AH!$P$7):INDEX('AH History'!$A$1:$A$18046,AH!$P$7+AH!$P$8-1),0),0),0)</ns0:f>
        <ns0:v/>
      </ns0:c>
      <ns0:c r="I1308">
        <ns0:f>IF($H1308=0,0,IFERROR(IF(AND(ABS($C1308-INDEX('AH History'!$B$1:$B$18046,$H1308))&lt;=MAX(0.005,ABS(INDEX('AH History'!$B$1:$B$18046,$H1308))*0.00005),ABS($D1308-INDEX('AH History'!$C$1:$C$18046,$H1308))&lt;=MAX(0.005,ABS(INDEX('AH History'!$C$1:$C$18046,$H1308))*0.00005),ABS($E1308-INDEX('AH History'!$D$1:$D$18046,$H1308))&lt;=0.00005,$F1308=INDEX('AH History'!$E$1:$E$18046,$H1308),$G1308=INDEX('AH History'!$F$1:$F$18046,$H1308)),1,-1),-1))</ns0:f>
        <ns0:v/>
      </ns0:c>
    </ns0:row>
    <ns0:row r="1309">
      <ns0:c r="A1309" s="215">
        <ns0:f>IF(OR(AH!$P$3=0,1304+1&gt;AH!$P$11,AND(AH!$E$4&lt;&gt;"Stored",AH!$P$10&lt;&gt;1)),"",IFERROR(IF(AND(AH!$P$21=1,1304+1=AH!$P$11),TODAY(),IF(AH!$P$10=1,INDEX('Live History'!$A$5:$A$3004,AH!$P$13+1304),INDEX('AH History'!$A$1:$A$18046,AH!$P$7+1304))),""))</ns0:f>
        <ns0:v/>
      </ns0:c>
      <ns0:c r="B1309" s="219">
        <ns0:f>IFERROR(IF(AND(AH!$P$9&lt;&gt;1,$C1309&gt;0,$D1309&gt;0,$E1309&gt;0,$F1309&gt;0,$G1309&gt;0,$F1309&lt;=$A1309,$G1309&lt;=$A1309,$A1309-$F1309&lt;=10,$A1309-$G1309&lt;=5),$D1309*$E1309/$C1309-1,NA()),NA())</ns0:f>
        <ns0:v/>
      </ns0:c>
      <ns0:c r="C1309">
        <ns0:f>IFERROR(IF(ISNUMBER($A1309),IF(AND(AH!$P$10=1,AH!$P$12=1,$A1309=TODAY()),AH!$P$19,IF(AH!$P$10=1,INDEX('Live History'!$B$5:$B$3004,AH!$P$13+1304),INDEX('AH History'!$B$1:$B$18046,AH!$P$7+1304))),NA()),NA())</ns0:f>
        <ns0:v/>
      </ns0:c>
      <ns0:c r="D1309">
        <ns0:f>IFERROR(IF(ISNUMBER($A1309),IF(AND(AH!$P$10=1,AH!$P$12=1,$A1309=TODAY()),AH!$P$18,IF(AH!$P$10=1,INDEX('Live History'!$E$5:$E$3004,MATCH($A1309,'Live History'!$D$5:$D$3004,1)),INDEX('AH History'!$C$1:$C$18046,AH!$P$7+1304))),NA()),NA())</ns0:f>
        <ns0:v/>
      </ns0:c>
      <ns0:c r="E1309">
        <ns0:f>IFERROR(IF(ISNUMBER($A1309),IF(AND(AH!$P$10=1,AH!$P$12=1,$A1309=TODAY()),AH!$P$20,IF(AH!$P$10=1,INDEX('Live History'!$H$5:$H$3004,MATCH($A1309,'Live History'!$G$5:$G$3004,1)),INDEX('AH History'!$D$1:$D$18046,AH!$P$7+1304))),NA()),NA())</ns0:f>
        <ns0:v/>
      </ns0:c>
      <ns0:c r="F1309">
        <ns0:f>IFERROR(IF(ISNUMBER($A1309),IF(AND(AH!$P$10=1,AH!$P$12=1,$A1309=TODAY()),IF(AND(AH!$P$10=1,AH!$P$12=1,$A1309=TODAY()),TODAY(),NA()),IF(AH!$P$10=1,INDEX('Live History'!$D$5:$D$3004,MATCH($A1309,'Live History'!$D$5:$D$3004,1)),INDEX('AH History'!$E$1:$E$18046,AH!$P$7+1304))),NA()),NA())</ns0:f>
        <ns0:v/>
      </ns0:c>
      <ns0:c r="G1309">
        <ns0:f>IFERROR(IF(ISNUMBER($A1309),IF(AND(AH!$P$10=1,AH!$P$12=1,$A1309=TODAY()),IF(AND(AH!$P$10=1,AH!$P$12=1,$A1309=TODAY()),TODAY(),NA()),IF(AH!$P$10=1,INDEX('Live History'!$G$5:$G$3004,MATCH($A1309,'Live History'!$G$5:$G$3004,1)),INDEX('AH History'!$F$1:$F$18046,AH!$P$7+1304))),NA()),NA())</ns0:f>
        <ns0:v/>
      </ns0:c>
      <ns0:c r="H1309">
        <ns0:f>IFERROR(IF(AND(AH!$E$4="Bloomberg",AH!$P$10=1,ISNUMBER($A1309),$A1309&lt;=AH!$P$17),AH!$P$7-1+MATCH($A1309,INDEX('AH History'!$A$1:$A$18046,AH!$P$7):INDEX('AH History'!$A$1:$A$18046,AH!$P$7+AH!$P$8-1),0),0),0)</ns0:f>
        <ns0:v/>
      </ns0:c>
      <ns0:c r="I1309">
        <ns0:f>IF($H1309=0,0,IFERROR(IF(AND(ABS($C1309-INDEX('AH History'!$B$1:$B$18046,$H1309))&lt;=MAX(0.005,ABS(INDEX('AH History'!$B$1:$B$18046,$H1309))*0.00005),ABS($D1309-INDEX('AH History'!$C$1:$C$18046,$H1309))&lt;=MAX(0.005,ABS(INDEX('AH History'!$C$1:$C$18046,$H1309))*0.00005),ABS($E1309-INDEX('AH History'!$D$1:$D$18046,$H1309))&lt;=0.00005,$F1309=INDEX('AH History'!$E$1:$E$18046,$H1309),$G1309=INDEX('AH History'!$F$1:$F$18046,$H1309)),1,-1),-1))</ns0:f>
        <ns0:v/>
      </ns0:c>
    </ns0:row>
    <ns0:row r="1310">
      <ns0:c r="A1310" s="215">
        <ns0:f>IF(OR(AH!$P$3=0,1305+1&gt;AH!$P$11,AND(AH!$E$4&lt;&gt;"Stored",AH!$P$10&lt;&gt;1)),"",IFERROR(IF(AND(AH!$P$21=1,1305+1=AH!$P$11),TODAY(),IF(AH!$P$10=1,INDEX('Live History'!$A$5:$A$3004,AH!$P$13+1305),INDEX('AH History'!$A$1:$A$18046,AH!$P$7+1305))),""))</ns0:f>
        <ns0:v/>
      </ns0:c>
      <ns0:c r="B1310" s="219">
        <ns0:f>IFERROR(IF(AND(AH!$P$9&lt;&gt;1,$C1310&gt;0,$D1310&gt;0,$E1310&gt;0,$F1310&gt;0,$G1310&gt;0,$F1310&lt;=$A1310,$G1310&lt;=$A1310,$A1310-$F1310&lt;=10,$A1310-$G1310&lt;=5),$D1310*$E1310/$C1310-1,NA()),NA())</ns0:f>
        <ns0:v/>
      </ns0:c>
      <ns0:c r="C1310">
        <ns0:f>IFERROR(IF(ISNUMBER($A1310),IF(AND(AH!$P$10=1,AH!$P$12=1,$A1310=TODAY()),AH!$P$19,IF(AH!$P$10=1,INDEX('Live History'!$B$5:$B$3004,AH!$P$13+1305),INDEX('AH History'!$B$1:$B$18046,AH!$P$7+1305))),NA()),NA())</ns0:f>
        <ns0:v/>
      </ns0:c>
      <ns0:c r="D1310">
        <ns0:f>IFERROR(IF(ISNUMBER($A1310),IF(AND(AH!$P$10=1,AH!$P$12=1,$A1310=TODAY()),AH!$P$18,IF(AH!$P$10=1,INDEX('Live History'!$E$5:$E$3004,MATCH($A1310,'Live History'!$D$5:$D$3004,1)),INDEX('AH History'!$C$1:$C$18046,AH!$P$7+1305))),NA()),NA())</ns0:f>
        <ns0:v/>
      </ns0:c>
      <ns0:c r="E1310">
        <ns0:f>IFERROR(IF(ISNUMBER($A1310),IF(AND(AH!$P$10=1,AH!$P$12=1,$A1310=TODAY()),AH!$P$20,IF(AH!$P$10=1,INDEX('Live History'!$H$5:$H$3004,MATCH($A1310,'Live History'!$G$5:$G$3004,1)),INDEX('AH History'!$D$1:$D$18046,AH!$P$7+1305))),NA()),NA())</ns0:f>
        <ns0:v/>
      </ns0:c>
      <ns0:c r="F1310">
        <ns0:f>IFERROR(IF(ISNUMBER($A1310),IF(AND(AH!$P$10=1,AH!$P$12=1,$A1310=TODAY()),IF(AND(AH!$P$10=1,AH!$P$12=1,$A1310=TODAY()),TODAY(),NA()),IF(AH!$P$10=1,INDEX('Live History'!$D$5:$D$3004,MATCH($A1310,'Live History'!$D$5:$D$3004,1)),INDEX('AH History'!$E$1:$E$18046,AH!$P$7+1305))),NA()),NA())</ns0:f>
        <ns0:v/>
      </ns0:c>
      <ns0:c r="G1310">
        <ns0:f>IFERROR(IF(ISNUMBER($A1310),IF(AND(AH!$P$10=1,AH!$P$12=1,$A1310=TODAY()),IF(AND(AH!$P$10=1,AH!$P$12=1,$A1310=TODAY()),TODAY(),NA()),IF(AH!$P$10=1,INDEX('Live History'!$G$5:$G$3004,MATCH($A1310,'Live History'!$G$5:$G$3004,1)),INDEX('AH History'!$F$1:$F$18046,AH!$P$7+1305))),NA()),NA())</ns0:f>
        <ns0:v/>
      </ns0:c>
      <ns0:c r="H1310">
        <ns0:f>IFERROR(IF(AND(AH!$E$4="Bloomberg",AH!$P$10=1,ISNUMBER($A1310),$A1310&lt;=AH!$P$17),AH!$P$7-1+MATCH($A1310,INDEX('AH History'!$A$1:$A$18046,AH!$P$7):INDEX('AH History'!$A$1:$A$18046,AH!$P$7+AH!$P$8-1),0),0),0)</ns0:f>
        <ns0:v/>
      </ns0:c>
      <ns0:c r="I1310">
        <ns0:f>IF($H1310=0,0,IFERROR(IF(AND(ABS($C1310-INDEX('AH History'!$B$1:$B$18046,$H1310))&lt;=MAX(0.005,ABS(INDEX('AH History'!$B$1:$B$18046,$H1310))*0.00005),ABS($D1310-INDEX('AH History'!$C$1:$C$18046,$H1310))&lt;=MAX(0.005,ABS(INDEX('AH History'!$C$1:$C$18046,$H1310))*0.00005),ABS($E1310-INDEX('AH History'!$D$1:$D$18046,$H1310))&lt;=0.00005,$F1310=INDEX('AH History'!$E$1:$E$18046,$H1310),$G1310=INDEX('AH History'!$F$1:$F$18046,$H1310)),1,-1),-1))</ns0:f>
        <ns0:v/>
      </ns0:c>
    </ns0:row>
    <ns0:row r="1311">
      <ns0:c r="A1311" s="215">
        <ns0:f>IF(OR(AH!$P$3=0,1306+1&gt;AH!$P$11,AND(AH!$E$4&lt;&gt;"Stored",AH!$P$10&lt;&gt;1)),"",IFERROR(IF(AND(AH!$P$21=1,1306+1=AH!$P$11),TODAY(),IF(AH!$P$10=1,INDEX('Live History'!$A$5:$A$3004,AH!$P$13+1306),INDEX('AH History'!$A$1:$A$18046,AH!$P$7+1306))),""))</ns0:f>
        <ns0:v/>
      </ns0:c>
      <ns0:c r="B1311" s="219">
        <ns0:f>IFERROR(IF(AND(AH!$P$9&lt;&gt;1,$C1311&gt;0,$D1311&gt;0,$E1311&gt;0,$F1311&gt;0,$G1311&gt;0,$F1311&lt;=$A1311,$G1311&lt;=$A1311,$A1311-$F1311&lt;=10,$A1311-$G1311&lt;=5),$D1311*$E1311/$C1311-1,NA()),NA())</ns0:f>
        <ns0:v/>
      </ns0:c>
      <ns0:c r="C1311">
        <ns0:f>IFERROR(IF(ISNUMBER($A1311),IF(AND(AH!$P$10=1,AH!$P$12=1,$A1311=TODAY()),AH!$P$19,IF(AH!$P$10=1,INDEX('Live History'!$B$5:$B$3004,AH!$P$13+1306),INDEX('AH History'!$B$1:$B$18046,AH!$P$7+1306))),NA()),NA())</ns0:f>
        <ns0:v/>
      </ns0:c>
      <ns0:c r="D1311">
        <ns0:f>IFERROR(IF(ISNUMBER($A1311),IF(AND(AH!$P$10=1,AH!$P$12=1,$A1311=TODAY()),AH!$P$18,IF(AH!$P$10=1,INDEX('Live History'!$E$5:$E$3004,MATCH($A1311,'Live History'!$D$5:$D$3004,1)),INDEX('AH History'!$C$1:$C$18046,AH!$P$7+1306))),NA()),NA())</ns0:f>
        <ns0:v/>
      </ns0:c>
      <ns0:c r="E1311">
        <ns0:f>IFERROR(IF(ISNUMBER($A1311),IF(AND(AH!$P$10=1,AH!$P$12=1,$A1311=TODAY()),AH!$P$20,IF(AH!$P$10=1,INDEX('Live History'!$H$5:$H$3004,MATCH($A1311,'Live History'!$G$5:$G$3004,1)),INDEX('AH History'!$D$1:$D$18046,AH!$P$7+1306))),NA()),NA())</ns0:f>
        <ns0:v/>
      </ns0:c>
      <ns0:c r="F1311">
        <ns0:f>IFERROR(IF(ISNUMBER($A1311),IF(AND(AH!$P$10=1,AH!$P$12=1,$A1311=TODAY()),IF(AND(AH!$P$10=1,AH!$P$12=1,$A1311=TODAY()),TODAY(),NA()),IF(AH!$P$10=1,INDEX('Live History'!$D$5:$D$3004,MATCH($A1311,'Live History'!$D$5:$D$3004,1)),INDEX('AH History'!$E$1:$E$18046,AH!$P$7+1306))),NA()),NA())</ns0:f>
        <ns0:v/>
      </ns0:c>
      <ns0:c r="G1311">
        <ns0:f>IFERROR(IF(ISNUMBER($A1311),IF(AND(AH!$P$10=1,AH!$P$12=1,$A1311=TODAY()),IF(AND(AH!$P$10=1,AH!$P$12=1,$A1311=TODAY()),TODAY(),NA()),IF(AH!$P$10=1,INDEX('Live History'!$G$5:$G$3004,MATCH($A1311,'Live History'!$G$5:$G$3004,1)),INDEX('AH History'!$F$1:$F$18046,AH!$P$7+1306))),NA()),NA())</ns0:f>
        <ns0:v/>
      </ns0:c>
      <ns0:c r="H1311">
        <ns0:f>IFERROR(IF(AND(AH!$E$4="Bloomberg",AH!$P$10=1,ISNUMBER($A1311),$A1311&lt;=AH!$P$17),AH!$P$7-1+MATCH($A1311,INDEX('AH History'!$A$1:$A$18046,AH!$P$7):INDEX('AH History'!$A$1:$A$18046,AH!$P$7+AH!$P$8-1),0),0),0)</ns0:f>
        <ns0:v/>
      </ns0:c>
      <ns0:c r="I1311">
        <ns0:f>IF($H1311=0,0,IFERROR(IF(AND(ABS($C1311-INDEX('AH History'!$B$1:$B$18046,$H1311))&lt;=MAX(0.005,ABS(INDEX('AH History'!$B$1:$B$18046,$H1311))*0.00005),ABS($D1311-INDEX('AH History'!$C$1:$C$18046,$H1311))&lt;=MAX(0.005,ABS(INDEX('AH History'!$C$1:$C$18046,$H1311))*0.00005),ABS($E1311-INDEX('AH History'!$D$1:$D$18046,$H1311))&lt;=0.00005,$F1311=INDEX('AH History'!$E$1:$E$18046,$H1311),$G1311=INDEX('AH History'!$F$1:$F$18046,$H1311)),1,-1),-1))</ns0:f>
        <ns0:v/>
      </ns0:c>
    </ns0:row>
    <ns0:row r="1312">
      <ns0:c r="A1312" s="215">
        <ns0:f>IF(OR(AH!$P$3=0,1307+1&gt;AH!$P$11,AND(AH!$E$4&lt;&gt;"Stored",AH!$P$10&lt;&gt;1)),"",IFERROR(IF(AND(AH!$P$21=1,1307+1=AH!$P$11),TODAY(),IF(AH!$P$10=1,INDEX('Live History'!$A$5:$A$3004,AH!$P$13+1307),INDEX('AH History'!$A$1:$A$18046,AH!$P$7+1307))),""))</ns0:f>
        <ns0:v/>
      </ns0:c>
      <ns0:c r="B1312" s="219">
        <ns0:f>IFERROR(IF(AND(AH!$P$9&lt;&gt;1,$C1312&gt;0,$D1312&gt;0,$E1312&gt;0,$F1312&gt;0,$G1312&gt;0,$F1312&lt;=$A1312,$G1312&lt;=$A1312,$A1312-$F1312&lt;=10,$A1312-$G1312&lt;=5),$D1312*$E1312/$C1312-1,NA()),NA())</ns0:f>
        <ns0:v/>
      </ns0:c>
      <ns0:c r="C1312">
        <ns0:f>IFERROR(IF(ISNUMBER($A1312),IF(AND(AH!$P$10=1,AH!$P$12=1,$A1312=TODAY()),AH!$P$19,IF(AH!$P$10=1,INDEX('Live History'!$B$5:$B$3004,AH!$P$13+1307),INDEX('AH History'!$B$1:$B$18046,AH!$P$7+1307))),NA()),NA())</ns0:f>
        <ns0:v/>
      </ns0:c>
      <ns0:c r="D1312">
        <ns0:f>IFERROR(IF(ISNUMBER($A1312),IF(AND(AH!$P$10=1,AH!$P$12=1,$A1312=TODAY()),AH!$P$18,IF(AH!$P$10=1,INDEX('Live History'!$E$5:$E$3004,MATCH($A1312,'Live History'!$D$5:$D$3004,1)),INDEX('AH History'!$C$1:$C$18046,AH!$P$7+1307))),NA()),NA())</ns0:f>
        <ns0:v/>
      </ns0:c>
      <ns0:c r="E1312">
        <ns0:f>IFERROR(IF(ISNUMBER($A1312),IF(AND(AH!$P$10=1,AH!$P$12=1,$A1312=TODAY()),AH!$P$20,IF(AH!$P$10=1,INDEX('Live History'!$H$5:$H$3004,MATCH($A1312,'Live History'!$G$5:$G$3004,1)),INDEX('AH History'!$D$1:$D$18046,AH!$P$7+1307))),NA()),NA())</ns0:f>
        <ns0:v/>
      </ns0:c>
      <ns0:c r="F1312">
        <ns0:f>IFERROR(IF(ISNUMBER($A1312),IF(AND(AH!$P$10=1,AH!$P$12=1,$A1312=TODAY()),IF(AND(AH!$P$10=1,AH!$P$12=1,$A1312=TODAY()),TODAY(),NA()),IF(AH!$P$10=1,INDEX('Live History'!$D$5:$D$3004,MATCH($A1312,'Live History'!$D$5:$D$3004,1)),INDEX('AH History'!$E$1:$E$18046,AH!$P$7+1307))),NA()),NA())</ns0:f>
        <ns0:v/>
      </ns0:c>
      <ns0:c r="G1312">
        <ns0:f>IFERROR(IF(ISNUMBER($A1312),IF(AND(AH!$P$10=1,AH!$P$12=1,$A1312=TODAY()),IF(AND(AH!$P$10=1,AH!$P$12=1,$A1312=TODAY()),TODAY(),NA()),IF(AH!$P$10=1,INDEX('Live History'!$G$5:$G$3004,MATCH($A1312,'Live History'!$G$5:$G$3004,1)),INDEX('AH History'!$F$1:$F$18046,AH!$P$7+1307))),NA()),NA())</ns0:f>
        <ns0:v/>
      </ns0:c>
      <ns0:c r="H1312">
        <ns0:f>IFERROR(IF(AND(AH!$E$4="Bloomberg",AH!$P$10=1,ISNUMBER($A1312),$A1312&lt;=AH!$P$17),AH!$P$7-1+MATCH($A1312,INDEX('AH History'!$A$1:$A$18046,AH!$P$7):INDEX('AH History'!$A$1:$A$18046,AH!$P$7+AH!$P$8-1),0),0),0)</ns0:f>
        <ns0:v/>
      </ns0:c>
      <ns0:c r="I1312">
        <ns0:f>IF($H1312=0,0,IFERROR(IF(AND(ABS($C1312-INDEX('AH History'!$B$1:$B$18046,$H1312))&lt;=MAX(0.005,ABS(INDEX('AH History'!$B$1:$B$18046,$H1312))*0.00005),ABS($D1312-INDEX('AH History'!$C$1:$C$18046,$H1312))&lt;=MAX(0.005,ABS(INDEX('AH History'!$C$1:$C$18046,$H1312))*0.00005),ABS($E1312-INDEX('AH History'!$D$1:$D$18046,$H1312))&lt;=0.00005,$F1312=INDEX('AH History'!$E$1:$E$18046,$H1312),$G1312=INDEX('AH History'!$F$1:$F$18046,$H1312)),1,-1),-1))</ns0:f>
        <ns0:v/>
      </ns0:c>
    </ns0:row>
    <ns0:row r="1313">
      <ns0:c r="A1313" s="215">
        <ns0:f>IF(OR(AH!$P$3=0,1308+1&gt;AH!$P$11,AND(AH!$E$4&lt;&gt;"Stored",AH!$P$10&lt;&gt;1)),"",IFERROR(IF(AND(AH!$P$21=1,1308+1=AH!$P$11),TODAY(),IF(AH!$P$10=1,INDEX('Live History'!$A$5:$A$3004,AH!$P$13+1308),INDEX('AH History'!$A$1:$A$18046,AH!$P$7+1308))),""))</ns0:f>
        <ns0:v/>
      </ns0:c>
      <ns0:c r="B1313" s="219">
        <ns0:f>IFERROR(IF(AND(AH!$P$9&lt;&gt;1,$C1313&gt;0,$D1313&gt;0,$E1313&gt;0,$F1313&gt;0,$G1313&gt;0,$F1313&lt;=$A1313,$G1313&lt;=$A1313,$A1313-$F1313&lt;=10,$A1313-$G1313&lt;=5),$D1313*$E1313/$C1313-1,NA()),NA())</ns0:f>
        <ns0:v/>
      </ns0:c>
      <ns0:c r="C1313">
        <ns0:f>IFERROR(IF(ISNUMBER($A1313),IF(AND(AH!$P$10=1,AH!$P$12=1,$A1313=TODAY()),AH!$P$19,IF(AH!$P$10=1,INDEX('Live History'!$B$5:$B$3004,AH!$P$13+1308),INDEX('AH History'!$B$1:$B$18046,AH!$P$7+1308))),NA()),NA())</ns0:f>
        <ns0:v/>
      </ns0:c>
      <ns0:c r="D1313">
        <ns0:f>IFERROR(IF(ISNUMBER($A1313),IF(AND(AH!$P$10=1,AH!$P$12=1,$A1313=TODAY()),AH!$P$18,IF(AH!$P$10=1,INDEX('Live History'!$E$5:$E$3004,MATCH($A1313,'Live History'!$D$5:$D$3004,1)),INDEX('AH History'!$C$1:$C$18046,AH!$P$7+1308))),NA()),NA())</ns0:f>
        <ns0:v/>
      </ns0:c>
      <ns0:c r="E1313">
        <ns0:f>IFERROR(IF(ISNUMBER($A1313),IF(AND(AH!$P$10=1,AH!$P$12=1,$A1313=TODAY()),AH!$P$20,IF(AH!$P$10=1,INDEX('Live History'!$H$5:$H$3004,MATCH($A1313,'Live History'!$G$5:$G$3004,1)),INDEX('AH History'!$D$1:$D$18046,AH!$P$7+1308))),NA()),NA())</ns0:f>
        <ns0:v/>
      </ns0:c>
      <ns0:c r="F1313">
        <ns0:f>IFERROR(IF(ISNUMBER($A1313),IF(AND(AH!$P$10=1,AH!$P$12=1,$A1313=TODAY()),IF(AND(AH!$P$10=1,AH!$P$12=1,$A1313=TODAY()),TODAY(),NA()),IF(AH!$P$10=1,INDEX('Live History'!$D$5:$D$3004,MATCH($A1313,'Live History'!$D$5:$D$3004,1)),INDEX('AH History'!$E$1:$E$18046,AH!$P$7+1308))),NA()),NA())</ns0:f>
        <ns0:v/>
      </ns0:c>
      <ns0:c r="G1313">
        <ns0:f>IFERROR(IF(ISNUMBER($A1313),IF(AND(AH!$P$10=1,AH!$P$12=1,$A1313=TODAY()),IF(AND(AH!$P$10=1,AH!$P$12=1,$A1313=TODAY()),TODAY(),NA()),IF(AH!$P$10=1,INDEX('Live History'!$G$5:$G$3004,MATCH($A1313,'Live History'!$G$5:$G$3004,1)),INDEX('AH History'!$F$1:$F$18046,AH!$P$7+1308))),NA()),NA())</ns0:f>
        <ns0:v/>
      </ns0:c>
      <ns0:c r="H1313">
        <ns0:f>IFERROR(IF(AND(AH!$E$4="Bloomberg",AH!$P$10=1,ISNUMBER($A1313),$A1313&lt;=AH!$P$17),AH!$P$7-1+MATCH($A1313,INDEX('AH History'!$A$1:$A$18046,AH!$P$7):INDEX('AH History'!$A$1:$A$18046,AH!$P$7+AH!$P$8-1),0),0),0)</ns0:f>
        <ns0:v/>
      </ns0:c>
      <ns0:c r="I1313">
        <ns0:f>IF($H1313=0,0,IFERROR(IF(AND(ABS($C1313-INDEX('AH History'!$B$1:$B$18046,$H1313))&lt;=MAX(0.005,ABS(INDEX('AH History'!$B$1:$B$18046,$H1313))*0.00005),ABS($D1313-INDEX('AH History'!$C$1:$C$18046,$H1313))&lt;=MAX(0.005,ABS(INDEX('AH History'!$C$1:$C$18046,$H1313))*0.00005),ABS($E1313-INDEX('AH History'!$D$1:$D$18046,$H1313))&lt;=0.00005,$F1313=INDEX('AH History'!$E$1:$E$18046,$H1313),$G1313=INDEX('AH History'!$F$1:$F$18046,$H1313)),1,-1),-1))</ns0:f>
        <ns0:v/>
      </ns0:c>
    </ns0:row>
    <ns0:row r="1314">
      <ns0:c r="A1314" s="215">
        <ns0:f>IF(OR(AH!$P$3=0,1309+1&gt;AH!$P$11,AND(AH!$E$4&lt;&gt;"Stored",AH!$P$10&lt;&gt;1)),"",IFERROR(IF(AND(AH!$P$21=1,1309+1=AH!$P$11),TODAY(),IF(AH!$P$10=1,INDEX('Live History'!$A$5:$A$3004,AH!$P$13+1309),INDEX('AH History'!$A$1:$A$18046,AH!$P$7+1309))),""))</ns0:f>
        <ns0:v/>
      </ns0:c>
      <ns0:c r="B1314" s="219">
        <ns0:f>IFERROR(IF(AND(AH!$P$9&lt;&gt;1,$C1314&gt;0,$D1314&gt;0,$E1314&gt;0,$F1314&gt;0,$G1314&gt;0,$F1314&lt;=$A1314,$G1314&lt;=$A1314,$A1314-$F1314&lt;=10,$A1314-$G1314&lt;=5),$D1314*$E1314/$C1314-1,NA()),NA())</ns0:f>
        <ns0:v/>
      </ns0:c>
      <ns0:c r="C1314">
        <ns0:f>IFERROR(IF(ISNUMBER($A1314),IF(AND(AH!$P$10=1,AH!$P$12=1,$A1314=TODAY()),AH!$P$19,IF(AH!$P$10=1,INDEX('Live History'!$B$5:$B$3004,AH!$P$13+1309),INDEX('AH History'!$B$1:$B$18046,AH!$P$7+1309))),NA()),NA())</ns0:f>
        <ns0:v/>
      </ns0:c>
      <ns0:c r="D1314">
        <ns0:f>IFERROR(IF(ISNUMBER($A1314),IF(AND(AH!$P$10=1,AH!$P$12=1,$A1314=TODAY()),AH!$P$18,IF(AH!$P$10=1,INDEX('Live History'!$E$5:$E$3004,MATCH($A1314,'Live History'!$D$5:$D$3004,1)),INDEX('AH History'!$C$1:$C$18046,AH!$P$7+1309))),NA()),NA())</ns0:f>
        <ns0:v/>
      </ns0:c>
      <ns0:c r="E1314">
        <ns0:f>IFERROR(IF(ISNUMBER($A1314),IF(AND(AH!$P$10=1,AH!$P$12=1,$A1314=TODAY()),AH!$P$20,IF(AH!$P$10=1,INDEX('Live History'!$H$5:$H$3004,MATCH($A1314,'Live History'!$G$5:$G$3004,1)),INDEX('AH History'!$D$1:$D$18046,AH!$P$7+1309))),NA()),NA())</ns0:f>
        <ns0:v/>
      </ns0:c>
      <ns0:c r="F1314">
        <ns0:f>IFERROR(IF(ISNUMBER($A1314),IF(AND(AH!$P$10=1,AH!$P$12=1,$A1314=TODAY()),IF(AND(AH!$P$10=1,AH!$P$12=1,$A1314=TODAY()),TODAY(),NA()),IF(AH!$P$10=1,INDEX('Live History'!$D$5:$D$3004,MATCH($A1314,'Live History'!$D$5:$D$3004,1)),INDEX('AH History'!$E$1:$E$18046,AH!$P$7+1309))),NA()),NA())</ns0:f>
        <ns0:v/>
      </ns0:c>
      <ns0:c r="G1314">
        <ns0:f>IFERROR(IF(ISNUMBER($A1314),IF(AND(AH!$P$10=1,AH!$P$12=1,$A1314=TODAY()),IF(AND(AH!$P$10=1,AH!$P$12=1,$A1314=TODAY()),TODAY(),NA()),IF(AH!$P$10=1,INDEX('Live History'!$G$5:$G$3004,MATCH($A1314,'Live History'!$G$5:$G$3004,1)),INDEX('AH History'!$F$1:$F$18046,AH!$P$7+1309))),NA()),NA())</ns0:f>
        <ns0:v/>
      </ns0:c>
      <ns0:c r="H1314">
        <ns0:f>IFERROR(IF(AND(AH!$E$4="Bloomberg",AH!$P$10=1,ISNUMBER($A1314),$A1314&lt;=AH!$P$17),AH!$P$7-1+MATCH($A1314,INDEX('AH History'!$A$1:$A$18046,AH!$P$7):INDEX('AH History'!$A$1:$A$18046,AH!$P$7+AH!$P$8-1),0),0),0)</ns0:f>
        <ns0:v/>
      </ns0:c>
      <ns0:c r="I1314">
        <ns0:f>IF($H1314=0,0,IFERROR(IF(AND(ABS($C1314-INDEX('AH History'!$B$1:$B$18046,$H1314))&lt;=MAX(0.005,ABS(INDEX('AH History'!$B$1:$B$18046,$H1314))*0.00005),ABS($D1314-INDEX('AH History'!$C$1:$C$18046,$H1314))&lt;=MAX(0.005,ABS(INDEX('AH History'!$C$1:$C$18046,$H1314))*0.00005),ABS($E1314-INDEX('AH History'!$D$1:$D$18046,$H1314))&lt;=0.00005,$F1314=INDEX('AH History'!$E$1:$E$18046,$H1314),$G1314=INDEX('AH History'!$F$1:$F$18046,$H1314)),1,-1),-1))</ns0:f>
        <ns0:v/>
      </ns0:c>
    </ns0:row>
    <ns0:row r="1315">
      <ns0:c r="A1315" s="215">
        <ns0:f>IF(OR(AH!$P$3=0,1310+1&gt;AH!$P$11,AND(AH!$E$4&lt;&gt;"Stored",AH!$P$10&lt;&gt;1)),"",IFERROR(IF(AND(AH!$P$21=1,1310+1=AH!$P$11),TODAY(),IF(AH!$P$10=1,INDEX('Live History'!$A$5:$A$3004,AH!$P$13+1310),INDEX('AH History'!$A$1:$A$18046,AH!$P$7+1310))),""))</ns0:f>
        <ns0:v/>
      </ns0:c>
      <ns0:c r="B1315" s="219">
        <ns0:f>IFERROR(IF(AND(AH!$P$9&lt;&gt;1,$C1315&gt;0,$D1315&gt;0,$E1315&gt;0,$F1315&gt;0,$G1315&gt;0,$F1315&lt;=$A1315,$G1315&lt;=$A1315,$A1315-$F1315&lt;=10,$A1315-$G1315&lt;=5),$D1315*$E1315/$C1315-1,NA()),NA())</ns0:f>
        <ns0:v/>
      </ns0:c>
      <ns0:c r="C1315">
        <ns0:f>IFERROR(IF(ISNUMBER($A1315),IF(AND(AH!$P$10=1,AH!$P$12=1,$A1315=TODAY()),AH!$P$19,IF(AH!$P$10=1,INDEX('Live History'!$B$5:$B$3004,AH!$P$13+1310),INDEX('AH History'!$B$1:$B$18046,AH!$P$7+1310))),NA()),NA())</ns0:f>
        <ns0:v/>
      </ns0:c>
      <ns0:c r="D1315">
        <ns0:f>IFERROR(IF(ISNUMBER($A1315),IF(AND(AH!$P$10=1,AH!$P$12=1,$A1315=TODAY()),AH!$P$18,IF(AH!$P$10=1,INDEX('Live History'!$E$5:$E$3004,MATCH($A1315,'Live History'!$D$5:$D$3004,1)),INDEX('AH History'!$C$1:$C$18046,AH!$P$7+1310))),NA()),NA())</ns0:f>
        <ns0:v/>
      </ns0:c>
      <ns0:c r="E1315">
        <ns0:f>IFERROR(IF(ISNUMBER($A1315),IF(AND(AH!$P$10=1,AH!$P$12=1,$A1315=TODAY()),AH!$P$20,IF(AH!$P$10=1,INDEX('Live History'!$H$5:$H$3004,MATCH($A1315,'Live History'!$G$5:$G$3004,1)),INDEX('AH History'!$D$1:$D$18046,AH!$P$7+1310))),NA()),NA())</ns0:f>
        <ns0:v/>
      </ns0:c>
      <ns0:c r="F1315">
        <ns0:f>IFERROR(IF(ISNUMBER($A1315),IF(AND(AH!$P$10=1,AH!$P$12=1,$A1315=TODAY()),IF(AND(AH!$P$10=1,AH!$P$12=1,$A1315=TODAY()),TODAY(),NA()),IF(AH!$P$10=1,INDEX('Live History'!$D$5:$D$3004,MATCH($A1315,'Live History'!$D$5:$D$3004,1)),INDEX('AH History'!$E$1:$E$18046,AH!$P$7+1310))),NA()),NA())</ns0:f>
        <ns0:v/>
      </ns0:c>
      <ns0:c r="G1315">
        <ns0:f>IFERROR(IF(ISNUMBER($A1315),IF(AND(AH!$P$10=1,AH!$P$12=1,$A1315=TODAY()),IF(AND(AH!$P$10=1,AH!$P$12=1,$A1315=TODAY()),TODAY(),NA()),IF(AH!$P$10=1,INDEX('Live History'!$G$5:$G$3004,MATCH($A1315,'Live History'!$G$5:$G$3004,1)),INDEX('AH History'!$F$1:$F$18046,AH!$P$7+1310))),NA()),NA())</ns0:f>
        <ns0:v/>
      </ns0:c>
      <ns0:c r="H1315">
        <ns0:f>IFERROR(IF(AND(AH!$E$4="Bloomberg",AH!$P$10=1,ISNUMBER($A1315),$A1315&lt;=AH!$P$17),AH!$P$7-1+MATCH($A1315,INDEX('AH History'!$A$1:$A$18046,AH!$P$7):INDEX('AH History'!$A$1:$A$18046,AH!$P$7+AH!$P$8-1),0),0),0)</ns0:f>
        <ns0:v/>
      </ns0:c>
      <ns0:c r="I1315">
        <ns0:f>IF($H1315=0,0,IFERROR(IF(AND(ABS($C1315-INDEX('AH History'!$B$1:$B$18046,$H1315))&lt;=MAX(0.005,ABS(INDEX('AH History'!$B$1:$B$18046,$H1315))*0.00005),ABS($D1315-INDEX('AH History'!$C$1:$C$18046,$H1315))&lt;=MAX(0.005,ABS(INDEX('AH History'!$C$1:$C$18046,$H1315))*0.00005),ABS($E1315-INDEX('AH History'!$D$1:$D$18046,$H1315))&lt;=0.00005,$F1315=INDEX('AH History'!$E$1:$E$18046,$H1315),$G1315=INDEX('AH History'!$F$1:$F$18046,$H1315)),1,-1),-1))</ns0:f>
        <ns0:v/>
      </ns0:c>
    </ns0:row>
    <ns0:row r="1316">
      <ns0:c r="A1316" s="215">
        <ns0:f>IF(OR(AH!$P$3=0,1311+1&gt;AH!$P$11,AND(AH!$E$4&lt;&gt;"Stored",AH!$P$10&lt;&gt;1)),"",IFERROR(IF(AND(AH!$P$21=1,1311+1=AH!$P$11),TODAY(),IF(AH!$P$10=1,INDEX('Live History'!$A$5:$A$3004,AH!$P$13+1311),INDEX('AH History'!$A$1:$A$18046,AH!$P$7+1311))),""))</ns0:f>
        <ns0:v/>
      </ns0:c>
      <ns0:c r="B1316" s="219">
        <ns0:f>IFERROR(IF(AND(AH!$P$9&lt;&gt;1,$C1316&gt;0,$D1316&gt;0,$E1316&gt;0,$F1316&gt;0,$G1316&gt;0,$F1316&lt;=$A1316,$G1316&lt;=$A1316,$A1316-$F1316&lt;=10,$A1316-$G1316&lt;=5),$D1316*$E1316/$C1316-1,NA()),NA())</ns0:f>
        <ns0:v/>
      </ns0:c>
      <ns0:c r="C1316">
        <ns0:f>IFERROR(IF(ISNUMBER($A1316),IF(AND(AH!$P$10=1,AH!$P$12=1,$A1316=TODAY()),AH!$P$19,IF(AH!$P$10=1,INDEX('Live History'!$B$5:$B$3004,AH!$P$13+1311),INDEX('AH History'!$B$1:$B$18046,AH!$P$7+1311))),NA()),NA())</ns0:f>
        <ns0:v/>
      </ns0:c>
      <ns0:c r="D1316">
        <ns0:f>IFERROR(IF(ISNUMBER($A1316),IF(AND(AH!$P$10=1,AH!$P$12=1,$A1316=TODAY()),AH!$P$18,IF(AH!$P$10=1,INDEX('Live History'!$E$5:$E$3004,MATCH($A1316,'Live History'!$D$5:$D$3004,1)),INDEX('AH History'!$C$1:$C$18046,AH!$P$7+1311))),NA()),NA())</ns0:f>
        <ns0:v/>
      </ns0:c>
      <ns0:c r="E1316">
        <ns0:f>IFERROR(IF(ISNUMBER($A1316),IF(AND(AH!$P$10=1,AH!$P$12=1,$A1316=TODAY()),AH!$P$20,IF(AH!$P$10=1,INDEX('Live History'!$H$5:$H$3004,MATCH($A1316,'Live History'!$G$5:$G$3004,1)),INDEX('AH History'!$D$1:$D$18046,AH!$P$7+1311))),NA()),NA())</ns0:f>
        <ns0:v/>
      </ns0:c>
      <ns0:c r="F1316">
        <ns0:f>IFERROR(IF(ISNUMBER($A1316),IF(AND(AH!$P$10=1,AH!$P$12=1,$A1316=TODAY()),IF(AND(AH!$P$10=1,AH!$P$12=1,$A1316=TODAY()),TODAY(),NA()),IF(AH!$P$10=1,INDEX('Live History'!$D$5:$D$3004,MATCH($A1316,'Live History'!$D$5:$D$3004,1)),INDEX('AH History'!$E$1:$E$18046,AH!$P$7+1311))),NA()),NA())</ns0:f>
        <ns0:v/>
      </ns0:c>
      <ns0:c r="G1316">
        <ns0:f>IFERROR(IF(ISNUMBER($A1316),IF(AND(AH!$P$10=1,AH!$P$12=1,$A1316=TODAY()),IF(AND(AH!$P$10=1,AH!$P$12=1,$A1316=TODAY()),TODAY(),NA()),IF(AH!$P$10=1,INDEX('Live History'!$G$5:$G$3004,MATCH($A1316,'Live History'!$G$5:$G$3004,1)),INDEX('AH History'!$F$1:$F$18046,AH!$P$7+1311))),NA()),NA())</ns0:f>
        <ns0:v/>
      </ns0:c>
      <ns0:c r="H1316">
        <ns0:f>IFERROR(IF(AND(AH!$E$4="Bloomberg",AH!$P$10=1,ISNUMBER($A1316),$A1316&lt;=AH!$P$17),AH!$P$7-1+MATCH($A1316,INDEX('AH History'!$A$1:$A$18046,AH!$P$7):INDEX('AH History'!$A$1:$A$18046,AH!$P$7+AH!$P$8-1),0),0),0)</ns0:f>
        <ns0:v/>
      </ns0:c>
      <ns0:c r="I1316">
        <ns0:f>IF($H1316=0,0,IFERROR(IF(AND(ABS($C1316-INDEX('AH History'!$B$1:$B$18046,$H1316))&lt;=MAX(0.005,ABS(INDEX('AH History'!$B$1:$B$18046,$H1316))*0.00005),ABS($D1316-INDEX('AH History'!$C$1:$C$18046,$H1316))&lt;=MAX(0.005,ABS(INDEX('AH History'!$C$1:$C$18046,$H1316))*0.00005),ABS($E1316-INDEX('AH History'!$D$1:$D$18046,$H1316))&lt;=0.00005,$F1316=INDEX('AH History'!$E$1:$E$18046,$H1316),$G1316=INDEX('AH History'!$F$1:$F$18046,$H1316)),1,-1),-1))</ns0:f>
        <ns0:v/>
      </ns0:c>
    </ns0:row>
    <ns0:row r="1317">
      <ns0:c r="A1317" s="215">
        <ns0:f>IF(OR(AH!$P$3=0,1312+1&gt;AH!$P$11,AND(AH!$E$4&lt;&gt;"Stored",AH!$P$10&lt;&gt;1)),"",IFERROR(IF(AND(AH!$P$21=1,1312+1=AH!$P$11),TODAY(),IF(AH!$P$10=1,INDEX('Live History'!$A$5:$A$3004,AH!$P$13+1312),INDEX('AH History'!$A$1:$A$18046,AH!$P$7+1312))),""))</ns0:f>
        <ns0:v/>
      </ns0:c>
      <ns0:c r="B1317" s="219">
        <ns0:f>IFERROR(IF(AND(AH!$P$9&lt;&gt;1,$C1317&gt;0,$D1317&gt;0,$E1317&gt;0,$F1317&gt;0,$G1317&gt;0,$F1317&lt;=$A1317,$G1317&lt;=$A1317,$A1317-$F1317&lt;=10,$A1317-$G1317&lt;=5),$D1317*$E1317/$C1317-1,NA()),NA())</ns0:f>
        <ns0:v/>
      </ns0:c>
      <ns0:c r="C1317">
        <ns0:f>IFERROR(IF(ISNUMBER($A1317),IF(AND(AH!$P$10=1,AH!$P$12=1,$A1317=TODAY()),AH!$P$19,IF(AH!$P$10=1,INDEX('Live History'!$B$5:$B$3004,AH!$P$13+1312),INDEX('AH History'!$B$1:$B$18046,AH!$P$7+1312))),NA()),NA())</ns0:f>
        <ns0:v/>
      </ns0:c>
      <ns0:c r="D1317">
        <ns0:f>IFERROR(IF(ISNUMBER($A1317),IF(AND(AH!$P$10=1,AH!$P$12=1,$A1317=TODAY()),AH!$P$18,IF(AH!$P$10=1,INDEX('Live History'!$E$5:$E$3004,MATCH($A1317,'Live History'!$D$5:$D$3004,1)),INDEX('AH History'!$C$1:$C$18046,AH!$P$7+1312))),NA()),NA())</ns0:f>
        <ns0:v/>
      </ns0:c>
      <ns0:c r="E1317">
        <ns0:f>IFERROR(IF(ISNUMBER($A1317),IF(AND(AH!$P$10=1,AH!$P$12=1,$A1317=TODAY()),AH!$P$20,IF(AH!$P$10=1,INDEX('Live History'!$H$5:$H$3004,MATCH($A1317,'Live History'!$G$5:$G$3004,1)),INDEX('AH History'!$D$1:$D$18046,AH!$P$7+1312))),NA()),NA())</ns0:f>
        <ns0:v/>
      </ns0:c>
      <ns0:c r="F1317">
        <ns0:f>IFERROR(IF(ISNUMBER($A1317),IF(AND(AH!$P$10=1,AH!$P$12=1,$A1317=TODAY()),IF(AND(AH!$P$10=1,AH!$P$12=1,$A1317=TODAY()),TODAY(),NA()),IF(AH!$P$10=1,INDEX('Live History'!$D$5:$D$3004,MATCH($A1317,'Live History'!$D$5:$D$3004,1)),INDEX('AH History'!$E$1:$E$18046,AH!$P$7+1312))),NA()),NA())</ns0:f>
        <ns0:v/>
      </ns0:c>
      <ns0:c r="G1317">
        <ns0:f>IFERROR(IF(ISNUMBER($A1317),IF(AND(AH!$P$10=1,AH!$P$12=1,$A1317=TODAY()),IF(AND(AH!$P$10=1,AH!$P$12=1,$A1317=TODAY()),TODAY(),NA()),IF(AH!$P$10=1,INDEX('Live History'!$G$5:$G$3004,MATCH($A1317,'Live History'!$G$5:$G$3004,1)),INDEX('AH History'!$F$1:$F$18046,AH!$P$7+1312))),NA()),NA())</ns0:f>
        <ns0:v/>
      </ns0:c>
      <ns0:c r="H1317">
        <ns0:f>IFERROR(IF(AND(AH!$E$4="Bloomberg",AH!$P$10=1,ISNUMBER($A1317),$A1317&lt;=AH!$P$17),AH!$P$7-1+MATCH($A1317,INDEX('AH History'!$A$1:$A$18046,AH!$P$7):INDEX('AH History'!$A$1:$A$18046,AH!$P$7+AH!$P$8-1),0),0),0)</ns0:f>
        <ns0:v/>
      </ns0:c>
      <ns0:c r="I1317">
        <ns0:f>IF($H1317=0,0,IFERROR(IF(AND(ABS($C1317-INDEX('AH History'!$B$1:$B$18046,$H1317))&lt;=MAX(0.005,ABS(INDEX('AH History'!$B$1:$B$18046,$H1317))*0.00005),ABS($D1317-INDEX('AH History'!$C$1:$C$18046,$H1317))&lt;=MAX(0.005,ABS(INDEX('AH History'!$C$1:$C$18046,$H1317))*0.00005),ABS($E1317-INDEX('AH History'!$D$1:$D$18046,$H1317))&lt;=0.00005,$F1317=INDEX('AH History'!$E$1:$E$18046,$H1317),$G1317=INDEX('AH History'!$F$1:$F$18046,$H1317)),1,-1),-1))</ns0:f>
        <ns0:v/>
      </ns0:c>
    </ns0:row>
    <ns0:row r="1318">
      <ns0:c r="A1318" s="215">
        <ns0:f>IF(OR(AH!$P$3=0,1313+1&gt;AH!$P$11,AND(AH!$E$4&lt;&gt;"Stored",AH!$P$10&lt;&gt;1)),"",IFERROR(IF(AND(AH!$P$21=1,1313+1=AH!$P$11),TODAY(),IF(AH!$P$10=1,INDEX('Live History'!$A$5:$A$3004,AH!$P$13+1313),INDEX('AH History'!$A$1:$A$18046,AH!$P$7+1313))),""))</ns0:f>
        <ns0:v/>
      </ns0:c>
      <ns0:c r="B1318" s="219">
        <ns0:f>IFERROR(IF(AND(AH!$P$9&lt;&gt;1,$C1318&gt;0,$D1318&gt;0,$E1318&gt;0,$F1318&gt;0,$G1318&gt;0,$F1318&lt;=$A1318,$G1318&lt;=$A1318,$A1318-$F1318&lt;=10,$A1318-$G1318&lt;=5),$D1318*$E1318/$C1318-1,NA()),NA())</ns0:f>
        <ns0:v/>
      </ns0:c>
      <ns0:c r="C1318">
        <ns0:f>IFERROR(IF(ISNUMBER($A1318),IF(AND(AH!$P$10=1,AH!$P$12=1,$A1318=TODAY()),AH!$P$19,IF(AH!$P$10=1,INDEX('Live History'!$B$5:$B$3004,AH!$P$13+1313),INDEX('AH History'!$B$1:$B$18046,AH!$P$7+1313))),NA()),NA())</ns0:f>
        <ns0:v/>
      </ns0:c>
      <ns0:c r="D1318">
        <ns0:f>IFERROR(IF(ISNUMBER($A1318),IF(AND(AH!$P$10=1,AH!$P$12=1,$A1318=TODAY()),AH!$P$18,IF(AH!$P$10=1,INDEX('Live History'!$E$5:$E$3004,MATCH($A1318,'Live History'!$D$5:$D$3004,1)),INDEX('AH History'!$C$1:$C$18046,AH!$P$7+1313))),NA()),NA())</ns0:f>
        <ns0:v/>
      </ns0:c>
      <ns0:c r="E1318">
        <ns0:f>IFERROR(IF(ISNUMBER($A1318),IF(AND(AH!$P$10=1,AH!$P$12=1,$A1318=TODAY()),AH!$P$20,IF(AH!$P$10=1,INDEX('Live History'!$H$5:$H$3004,MATCH($A1318,'Live History'!$G$5:$G$3004,1)),INDEX('AH History'!$D$1:$D$18046,AH!$P$7+1313))),NA()),NA())</ns0:f>
        <ns0:v/>
      </ns0:c>
      <ns0:c r="F1318">
        <ns0:f>IFERROR(IF(ISNUMBER($A1318),IF(AND(AH!$P$10=1,AH!$P$12=1,$A1318=TODAY()),IF(AND(AH!$P$10=1,AH!$P$12=1,$A1318=TODAY()),TODAY(),NA()),IF(AH!$P$10=1,INDEX('Live History'!$D$5:$D$3004,MATCH($A1318,'Live History'!$D$5:$D$3004,1)),INDEX('AH History'!$E$1:$E$18046,AH!$P$7+1313))),NA()),NA())</ns0:f>
        <ns0:v/>
      </ns0:c>
      <ns0:c r="G1318">
        <ns0:f>IFERROR(IF(ISNUMBER($A1318),IF(AND(AH!$P$10=1,AH!$P$12=1,$A1318=TODAY()),IF(AND(AH!$P$10=1,AH!$P$12=1,$A1318=TODAY()),TODAY(),NA()),IF(AH!$P$10=1,INDEX('Live History'!$G$5:$G$3004,MATCH($A1318,'Live History'!$G$5:$G$3004,1)),INDEX('AH History'!$F$1:$F$18046,AH!$P$7+1313))),NA()),NA())</ns0:f>
        <ns0:v/>
      </ns0:c>
      <ns0:c r="H1318">
        <ns0:f>IFERROR(IF(AND(AH!$E$4="Bloomberg",AH!$P$10=1,ISNUMBER($A1318),$A1318&lt;=AH!$P$17),AH!$P$7-1+MATCH($A1318,INDEX('AH History'!$A$1:$A$18046,AH!$P$7):INDEX('AH History'!$A$1:$A$18046,AH!$P$7+AH!$P$8-1),0),0),0)</ns0:f>
        <ns0:v/>
      </ns0:c>
      <ns0:c r="I1318">
        <ns0:f>IF($H1318=0,0,IFERROR(IF(AND(ABS($C1318-INDEX('AH History'!$B$1:$B$18046,$H1318))&lt;=MAX(0.005,ABS(INDEX('AH History'!$B$1:$B$18046,$H1318))*0.00005),ABS($D1318-INDEX('AH History'!$C$1:$C$18046,$H1318))&lt;=MAX(0.005,ABS(INDEX('AH History'!$C$1:$C$18046,$H1318))*0.00005),ABS($E1318-INDEX('AH History'!$D$1:$D$18046,$H1318))&lt;=0.00005,$F1318=INDEX('AH History'!$E$1:$E$18046,$H1318),$G1318=INDEX('AH History'!$F$1:$F$18046,$H1318)),1,-1),-1))</ns0:f>
        <ns0:v/>
      </ns0:c>
    </ns0:row>
    <ns0:row r="1319">
      <ns0:c r="A1319" s="215">
        <ns0:f>IF(OR(AH!$P$3=0,1314+1&gt;AH!$P$11,AND(AH!$E$4&lt;&gt;"Stored",AH!$P$10&lt;&gt;1)),"",IFERROR(IF(AND(AH!$P$21=1,1314+1=AH!$P$11),TODAY(),IF(AH!$P$10=1,INDEX('Live History'!$A$5:$A$3004,AH!$P$13+1314),INDEX('AH History'!$A$1:$A$18046,AH!$P$7+1314))),""))</ns0:f>
        <ns0:v/>
      </ns0:c>
      <ns0:c r="B1319" s="219">
        <ns0:f>IFERROR(IF(AND(AH!$P$9&lt;&gt;1,$C1319&gt;0,$D1319&gt;0,$E1319&gt;0,$F1319&gt;0,$G1319&gt;0,$F1319&lt;=$A1319,$G1319&lt;=$A1319,$A1319-$F1319&lt;=10,$A1319-$G1319&lt;=5),$D1319*$E1319/$C1319-1,NA()),NA())</ns0:f>
        <ns0:v/>
      </ns0:c>
      <ns0:c r="C1319">
        <ns0:f>IFERROR(IF(ISNUMBER($A1319),IF(AND(AH!$P$10=1,AH!$P$12=1,$A1319=TODAY()),AH!$P$19,IF(AH!$P$10=1,INDEX('Live History'!$B$5:$B$3004,AH!$P$13+1314),INDEX('AH History'!$B$1:$B$18046,AH!$P$7+1314))),NA()),NA())</ns0:f>
        <ns0:v/>
      </ns0:c>
      <ns0:c r="D1319">
        <ns0:f>IFERROR(IF(ISNUMBER($A1319),IF(AND(AH!$P$10=1,AH!$P$12=1,$A1319=TODAY()),AH!$P$18,IF(AH!$P$10=1,INDEX('Live History'!$E$5:$E$3004,MATCH($A1319,'Live History'!$D$5:$D$3004,1)),INDEX('AH History'!$C$1:$C$18046,AH!$P$7+1314))),NA()),NA())</ns0:f>
        <ns0:v/>
      </ns0:c>
      <ns0:c r="E1319">
        <ns0:f>IFERROR(IF(ISNUMBER($A1319),IF(AND(AH!$P$10=1,AH!$P$12=1,$A1319=TODAY()),AH!$P$20,IF(AH!$P$10=1,INDEX('Live History'!$H$5:$H$3004,MATCH($A1319,'Live History'!$G$5:$G$3004,1)),INDEX('AH History'!$D$1:$D$18046,AH!$P$7+1314))),NA()),NA())</ns0:f>
        <ns0:v/>
      </ns0:c>
      <ns0:c r="F1319">
        <ns0:f>IFERROR(IF(ISNUMBER($A1319),IF(AND(AH!$P$10=1,AH!$P$12=1,$A1319=TODAY()),IF(AND(AH!$P$10=1,AH!$P$12=1,$A1319=TODAY()),TODAY(),NA()),IF(AH!$P$10=1,INDEX('Live History'!$D$5:$D$3004,MATCH($A1319,'Live History'!$D$5:$D$3004,1)),INDEX('AH History'!$E$1:$E$18046,AH!$P$7+1314))),NA()),NA())</ns0:f>
        <ns0:v/>
      </ns0:c>
      <ns0:c r="G1319">
        <ns0:f>IFERROR(IF(ISNUMBER($A1319),IF(AND(AH!$P$10=1,AH!$P$12=1,$A1319=TODAY()),IF(AND(AH!$P$10=1,AH!$P$12=1,$A1319=TODAY()),TODAY(),NA()),IF(AH!$P$10=1,INDEX('Live History'!$G$5:$G$3004,MATCH($A1319,'Live History'!$G$5:$G$3004,1)),INDEX('AH History'!$F$1:$F$18046,AH!$P$7+1314))),NA()),NA())</ns0:f>
        <ns0:v/>
      </ns0:c>
      <ns0:c r="H1319">
        <ns0:f>IFERROR(IF(AND(AH!$E$4="Bloomberg",AH!$P$10=1,ISNUMBER($A1319),$A1319&lt;=AH!$P$17),AH!$P$7-1+MATCH($A1319,INDEX('AH History'!$A$1:$A$18046,AH!$P$7):INDEX('AH History'!$A$1:$A$18046,AH!$P$7+AH!$P$8-1),0),0),0)</ns0:f>
        <ns0:v/>
      </ns0:c>
      <ns0:c r="I1319">
        <ns0:f>IF($H1319=0,0,IFERROR(IF(AND(ABS($C1319-INDEX('AH History'!$B$1:$B$18046,$H1319))&lt;=MAX(0.005,ABS(INDEX('AH History'!$B$1:$B$18046,$H1319))*0.00005),ABS($D1319-INDEX('AH History'!$C$1:$C$18046,$H1319))&lt;=MAX(0.005,ABS(INDEX('AH History'!$C$1:$C$18046,$H1319))*0.00005),ABS($E1319-INDEX('AH History'!$D$1:$D$18046,$H1319))&lt;=0.00005,$F1319=INDEX('AH History'!$E$1:$E$18046,$H1319),$G1319=INDEX('AH History'!$F$1:$F$18046,$H1319)),1,-1),-1))</ns0:f>
        <ns0:v/>
      </ns0:c>
    </ns0:row>
    <ns0:row r="1320">
      <ns0:c r="A1320" s="215">
        <ns0:f>IF(OR(AH!$P$3=0,1315+1&gt;AH!$P$11,AND(AH!$E$4&lt;&gt;"Stored",AH!$P$10&lt;&gt;1)),"",IFERROR(IF(AND(AH!$P$21=1,1315+1=AH!$P$11),TODAY(),IF(AH!$P$10=1,INDEX('Live History'!$A$5:$A$3004,AH!$P$13+1315),INDEX('AH History'!$A$1:$A$18046,AH!$P$7+1315))),""))</ns0:f>
        <ns0:v/>
      </ns0:c>
      <ns0:c r="B1320" s="219">
        <ns0:f>IFERROR(IF(AND(AH!$P$9&lt;&gt;1,$C1320&gt;0,$D1320&gt;0,$E1320&gt;0,$F1320&gt;0,$G1320&gt;0,$F1320&lt;=$A1320,$G1320&lt;=$A1320,$A1320-$F1320&lt;=10,$A1320-$G1320&lt;=5),$D1320*$E1320/$C1320-1,NA()),NA())</ns0:f>
        <ns0:v/>
      </ns0:c>
      <ns0:c r="C1320">
        <ns0:f>IFERROR(IF(ISNUMBER($A1320),IF(AND(AH!$P$10=1,AH!$P$12=1,$A1320=TODAY()),AH!$P$19,IF(AH!$P$10=1,INDEX('Live History'!$B$5:$B$3004,AH!$P$13+1315),INDEX('AH History'!$B$1:$B$18046,AH!$P$7+1315))),NA()),NA())</ns0:f>
        <ns0:v/>
      </ns0:c>
      <ns0:c r="D1320">
        <ns0:f>IFERROR(IF(ISNUMBER($A1320),IF(AND(AH!$P$10=1,AH!$P$12=1,$A1320=TODAY()),AH!$P$18,IF(AH!$P$10=1,INDEX('Live History'!$E$5:$E$3004,MATCH($A1320,'Live History'!$D$5:$D$3004,1)),INDEX('AH History'!$C$1:$C$18046,AH!$P$7+1315))),NA()),NA())</ns0:f>
        <ns0:v/>
      </ns0:c>
      <ns0:c r="E1320">
        <ns0:f>IFERROR(IF(ISNUMBER($A1320),IF(AND(AH!$P$10=1,AH!$P$12=1,$A1320=TODAY()),AH!$P$20,IF(AH!$P$10=1,INDEX('Live History'!$H$5:$H$3004,MATCH($A1320,'Live History'!$G$5:$G$3004,1)),INDEX('AH History'!$D$1:$D$18046,AH!$P$7+1315))),NA()),NA())</ns0:f>
        <ns0:v/>
      </ns0:c>
      <ns0:c r="F1320">
        <ns0:f>IFERROR(IF(ISNUMBER($A1320),IF(AND(AH!$P$10=1,AH!$P$12=1,$A1320=TODAY()),IF(AND(AH!$P$10=1,AH!$P$12=1,$A1320=TODAY()),TODAY(),NA()),IF(AH!$P$10=1,INDEX('Live History'!$D$5:$D$3004,MATCH($A1320,'Live History'!$D$5:$D$3004,1)),INDEX('AH History'!$E$1:$E$18046,AH!$P$7+1315))),NA()),NA())</ns0:f>
        <ns0:v/>
      </ns0:c>
      <ns0:c r="G1320">
        <ns0:f>IFERROR(IF(ISNUMBER($A1320),IF(AND(AH!$P$10=1,AH!$P$12=1,$A1320=TODAY()),IF(AND(AH!$P$10=1,AH!$P$12=1,$A1320=TODAY()),TODAY(),NA()),IF(AH!$P$10=1,INDEX('Live History'!$G$5:$G$3004,MATCH($A1320,'Live History'!$G$5:$G$3004,1)),INDEX('AH History'!$F$1:$F$18046,AH!$P$7+1315))),NA()),NA())</ns0:f>
        <ns0:v/>
      </ns0:c>
      <ns0:c r="H1320">
        <ns0:f>IFERROR(IF(AND(AH!$E$4="Bloomberg",AH!$P$10=1,ISNUMBER($A1320),$A1320&lt;=AH!$P$17),AH!$P$7-1+MATCH($A1320,INDEX('AH History'!$A$1:$A$18046,AH!$P$7):INDEX('AH History'!$A$1:$A$18046,AH!$P$7+AH!$P$8-1),0),0),0)</ns0:f>
        <ns0:v/>
      </ns0:c>
      <ns0:c r="I1320">
        <ns0:f>IF($H1320=0,0,IFERROR(IF(AND(ABS($C1320-INDEX('AH History'!$B$1:$B$18046,$H1320))&lt;=MAX(0.005,ABS(INDEX('AH History'!$B$1:$B$18046,$H1320))*0.00005),ABS($D1320-INDEX('AH History'!$C$1:$C$18046,$H1320))&lt;=MAX(0.005,ABS(INDEX('AH History'!$C$1:$C$18046,$H1320))*0.00005),ABS($E1320-INDEX('AH History'!$D$1:$D$18046,$H1320))&lt;=0.00005,$F1320=INDEX('AH History'!$E$1:$E$18046,$H1320),$G1320=INDEX('AH History'!$F$1:$F$18046,$H1320)),1,-1),-1))</ns0:f>
        <ns0:v/>
      </ns0:c>
    </ns0:row>
    <ns0:row r="1321">
      <ns0:c r="A1321" s="215">
        <ns0:f>IF(OR(AH!$P$3=0,1316+1&gt;AH!$P$11,AND(AH!$E$4&lt;&gt;"Stored",AH!$P$10&lt;&gt;1)),"",IFERROR(IF(AND(AH!$P$21=1,1316+1=AH!$P$11),TODAY(),IF(AH!$P$10=1,INDEX('Live History'!$A$5:$A$3004,AH!$P$13+1316),INDEX('AH History'!$A$1:$A$18046,AH!$P$7+1316))),""))</ns0:f>
        <ns0:v/>
      </ns0:c>
      <ns0:c r="B1321" s="219">
        <ns0:f>IFERROR(IF(AND(AH!$P$9&lt;&gt;1,$C1321&gt;0,$D1321&gt;0,$E1321&gt;0,$F1321&gt;0,$G1321&gt;0,$F1321&lt;=$A1321,$G1321&lt;=$A1321,$A1321-$F1321&lt;=10,$A1321-$G1321&lt;=5),$D1321*$E1321/$C1321-1,NA()),NA())</ns0:f>
        <ns0:v/>
      </ns0:c>
      <ns0:c r="C1321">
        <ns0:f>IFERROR(IF(ISNUMBER($A1321),IF(AND(AH!$P$10=1,AH!$P$12=1,$A1321=TODAY()),AH!$P$19,IF(AH!$P$10=1,INDEX('Live History'!$B$5:$B$3004,AH!$P$13+1316),INDEX('AH History'!$B$1:$B$18046,AH!$P$7+1316))),NA()),NA())</ns0:f>
        <ns0:v/>
      </ns0:c>
      <ns0:c r="D1321">
        <ns0:f>IFERROR(IF(ISNUMBER($A1321),IF(AND(AH!$P$10=1,AH!$P$12=1,$A1321=TODAY()),AH!$P$18,IF(AH!$P$10=1,INDEX('Live History'!$E$5:$E$3004,MATCH($A1321,'Live History'!$D$5:$D$3004,1)),INDEX('AH History'!$C$1:$C$18046,AH!$P$7+1316))),NA()),NA())</ns0:f>
        <ns0:v/>
      </ns0:c>
      <ns0:c r="E1321">
        <ns0:f>IFERROR(IF(ISNUMBER($A1321),IF(AND(AH!$P$10=1,AH!$P$12=1,$A1321=TODAY()),AH!$P$20,IF(AH!$P$10=1,INDEX('Live History'!$H$5:$H$3004,MATCH($A1321,'Live History'!$G$5:$G$3004,1)),INDEX('AH History'!$D$1:$D$18046,AH!$P$7+1316))),NA()),NA())</ns0:f>
        <ns0:v/>
      </ns0:c>
      <ns0:c r="F1321">
        <ns0:f>IFERROR(IF(ISNUMBER($A1321),IF(AND(AH!$P$10=1,AH!$P$12=1,$A1321=TODAY()),IF(AND(AH!$P$10=1,AH!$P$12=1,$A1321=TODAY()),TODAY(),NA()),IF(AH!$P$10=1,INDEX('Live History'!$D$5:$D$3004,MATCH($A1321,'Live History'!$D$5:$D$3004,1)),INDEX('AH History'!$E$1:$E$18046,AH!$P$7+1316))),NA()),NA())</ns0:f>
        <ns0:v/>
      </ns0:c>
      <ns0:c r="G1321">
        <ns0:f>IFERROR(IF(ISNUMBER($A1321),IF(AND(AH!$P$10=1,AH!$P$12=1,$A1321=TODAY()),IF(AND(AH!$P$10=1,AH!$P$12=1,$A1321=TODAY()),TODAY(),NA()),IF(AH!$P$10=1,INDEX('Live History'!$G$5:$G$3004,MATCH($A1321,'Live History'!$G$5:$G$3004,1)),INDEX('AH History'!$F$1:$F$18046,AH!$P$7+1316))),NA()),NA())</ns0:f>
        <ns0:v/>
      </ns0:c>
      <ns0:c r="H1321">
        <ns0:f>IFERROR(IF(AND(AH!$E$4="Bloomberg",AH!$P$10=1,ISNUMBER($A1321),$A1321&lt;=AH!$P$17),AH!$P$7-1+MATCH($A1321,INDEX('AH History'!$A$1:$A$18046,AH!$P$7):INDEX('AH History'!$A$1:$A$18046,AH!$P$7+AH!$P$8-1),0),0),0)</ns0:f>
        <ns0:v/>
      </ns0:c>
      <ns0:c r="I1321">
        <ns0:f>IF($H1321=0,0,IFERROR(IF(AND(ABS($C1321-INDEX('AH History'!$B$1:$B$18046,$H1321))&lt;=MAX(0.005,ABS(INDEX('AH History'!$B$1:$B$18046,$H1321))*0.00005),ABS($D1321-INDEX('AH History'!$C$1:$C$18046,$H1321))&lt;=MAX(0.005,ABS(INDEX('AH History'!$C$1:$C$18046,$H1321))*0.00005),ABS($E1321-INDEX('AH History'!$D$1:$D$18046,$H1321))&lt;=0.00005,$F1321=INDEX('AH History'!$E$1:$E$18046,$H1321),$G1321=INDEX('AH History'!$F$1:$F$18046,$H1321)),1,-1),-1))</ns0:f>
        <ns0:v/>
      </ns0:c>
    </ns0:row>
    <ns0:row r="1322">
      <ns0:c r="A1322" s="215">
        <ns0:f>IF(OR(AH!$P$3=0,1317+1&gt;AH!$P$11,AND(AH!$E$4&lt;&gt;"Stored",AH!$P$10&lt;&gt;1)),"",IFERROR(IF(AND(AH!$P$21=1,1317+1=AH!$P$11),TODAY(),IF(AH!$P$10=1,INDEX('Live History'!$A$5:$A$3004,AH!$P$13+1317),INDEX('AH History'!$A$1:$A$18046,AH!$P$7+1317))),""))</ns0:f>
        <ns0:v/>
      </ns0:c>
      <ns0:c r="B1322" s="219">
        <ns0:f>IFERROR(IF(AND(AH!$P$9&lt;&gt;1,$C1322&gt;0,$D1322&gt;0,$E1322&gt;0,$F1322&gt;0,$G1322&gt;0,$F1322&lt;=$A1322,$G1322&lt;=$A1322,$A1322-$F1322&lt;=10,$A1322-$G1322&lt;=5),$D1322*$E1322/$C1322-1,NA()),NA())</ns0:f>
        <ns0:v/>
      </ns0:c>
      <ns0:c r="C1322">
        <ns0:f>IFERROR(IF(ISNUMBER($A1322),IF(AND(AH!$P$10=1,AH!$P$12=1,$A1322=TODAY()),AH!$P$19,IF(AH!$P$10=1,INDEX('Live History'!$B$5:$B$3004,AH!$P$13+1317),INDEX('AH History'!$B$1:$B$18046,AH!$P$7+1317))),NA()),NA())</ns0:f>
        <ns0:v/>
      </ns0:c>
      <ns0:c r="D1322">
        <ns0:f>IFERROR(IF(ISNUMBER($A1322),IF(AND(AH!$P$10=1,AH!$P$12=1,$A1322=TODAY()),AH!$P$18,IF(AH!$P$10=1,INDEX('Live History'!$E$5:$E$3004,MATCH($A1322,'Live History'!$D$5:$D$3004,1)),INDEX('AH History'!$C$1:$C$18046,AH!$P$7+1317))),NA()),NA())</ns0:f>
        <ns0:v/>
      </ns0:c>
      <ns0:c r="E1322">
        <ns0:f>IFERROR(IF(ISNUMBER($A1322),IF(AND(AH!$P$10=1,AH!$P$12=1,$A1322=TODAY()),AH!$P$20,IF(AH!$P$10=1,INDEX('Live History'!$H$5:$H$3004,MATCH($A1322,'Live History'!$G$5:$G$3004,1)),INDEX('AH History'!$D$1:$D$18046,AH!$P$7+1317))),NA()),NA())</ns0:f>
        <ns0:v/>
      </ns0:c>
      <ns0:c r="F1322">
        <ns0:f>IFERROR(IF(ISNUMBER($A1322),IF(AND(AH!$P$10=1,AH!$P$12=1,$A1322=TODAY()),IF(AND(AH!$P$10=1,AH!$P$12=1,$A1322=TODAY()),TODAY(),NA()),IF(AH!$P$10=1,INDEX('Live History'!$D$5:$D$3004,MATCH($A1322,'Live History'!$D$5:$D$3004,1)),INDEX('AH History'!$E$1:$E$18046,AH!$P$7+1317))),NA()),NA())</ns0:f>
        <ns0:v/>
      </ns0:c>
      <ns0:c r="G1322">
        <ns0:f>IFERROR(IF(ISNUMBER($A1322),IF(AND(AH!$P$10=1,AH!$P$12=1,$A1322=TODAY()),IF(AND(AH!$P$10=1,AH!$P$12=1,$A1322=TODAY()),TODAY(),NA()),IF(AH!$P$10=1,INDEX('Live History'!$G$5:$G$3004,MATCH($A1322,'Live History'!$G$5:$G$3004,1)),INDEX('AH History'!$F$1:$F$18046,AH!$P$7+1317))),NA()),NA())</ns0:f>
        <ns0:v/>
      </ns0:c>
      <ns0:c r="H1322">
        <ns0:f>IFERROR(IF(AND(AH!$E$4="Bloomberg",AH!$P$10=1,ISNUMBER($A1322),$A1322&lt;=AH!$P$17),AH!$P$7-1+MATCH($A1322,INDEX('AH History'!$A$1:$A$18046,AH!$P$7):INDEX('AH History'!$A$1:$A$18046,AH!$P$7+AH!$P$8-1),0),0),0)</ns0:f>
        <ns0:v/>
      </ns0:c>
      <ns0:c r="I1322">
        <ns0:f>IF($H1322=0,0,IFERROR(IF(AND(ABS($C1322-INDEX('AH History'!$B$1:$B$18046,$H1322))&lt;=MAX(0.005,ABS(INDEX('AH History'!$B$1:$B$18046,$H1322))*0.00005),ABS($D1322-INDEX('AH History'!$C$1:$C$18046,$H1322))&lt;=MAX(0.005,ABS(INDEX('AH History'!$C$1:$C$18046,$H1322))*0.00005),ABS($E1322-INDEX('AH History'!$D$1:$D$18046,$H1322))&lt;=0.00005,$F1322=INDEX('AH History'!$E$1:$E$18046,$H1322),$G1322=INDEX('AH History'!$F$1:$F$18046,$H1322)),1,-1),-1))</ns0:f>
        <ns0:v/>
      </ns0:c>
    </ns0:row>
    <ns0:row r="1323">
      <ns0:c r="A1323" s="215">
        <ns0:f>IF(OR(AH!$P$3=0,1318+1&gt;AH!$P$11,AND(AH!$E$4&lt;&gt;"Stored",AH!$P$10&lt;&gt;1)),"",IFERROR(IF(AND(AH!$P$21=1,1318+1=AH!$P$11),TODAY(),IF(AH!$P$10=1,INDEX('Live History'!$A$5:$A$3004,AH!$P$13+1318),INDEX('AH History'!$A$1:$A$18046,AH!$P$7+1318))),""))</ns0:f>
        <ns0:v/>
      </ns0:c>
      <ns0:c r="B1323" s="219">
        <ns0:f>IFERROR(IF(AND(AH!$P$9&lt;&gt;1,$C1323&gt;0,$D1323&gt;0,$E1323&gt;0,$F1323&gt;0,$G1323&gt;0,$F1323&lt;=$A1323,$G1323&lt;=$A1323,$A1323-$F1323&lt;=10,$A1323-$G1323&lt;=5),$D1323*$E1323/$C1323-1,NA()),NA())</ns0:f>
        <ns0:v/>
      </ns0:c>
      <ns0:c r="C1323">
        <ns0:f>IFERROR(IF(ISNUMBER($A1323),IF(AND(AH!$P$10=1,AH!$P$12=1,$A1323=TODAY()),AH!$P$19,IF(AH!$P$10=1,INDEX('Live History'!$B$5:$B$3004,AH!$P$13+1318),INDEX('AH History'!$B$1:$B$18046,AH!$P$7+1318))),NA()),NA())</ns0:f>
        <ns0:v/>
      </ns0:c>
      <ns0:c r="D1323">
        <ns0:f>IFERROR(IF(ISNUMBER($A1323),IF(AND(AH!$P$10=1,AH!$P$12=1,$A1323=TODAY()),AH!$P$18,IF(AH!$P$10=1,INDEX('Live History'!$E$5:$E$3004,MATCH($A1323,'Live History'!$D$5:$D$3004,1)),INDEX('AH History'!$C$1:$C$18046,AH!$P$7+1318))),NA()),NA())</ns0:f>
        <ns0:v/>
      </ns0:c>
      <ns0:c r="E1323">
        <ns0:f>IFERROR(IF(ISNUMBER($A1323),IF(AND(AH!$P$10=1,AH!$P$12=1,$A1323=TODAY()),AH!$P$20,IF(AH!$P$10=1,INDEX('Live History'!$H$5:$H$3004,MATCH($A1323,'Live History'!$G$5:$G$3004,1)),INDEX('AH History'!$D$1:$D$18046,AH!$P$7+1318))),NA()),NA())</ns0:f>
        <ns0:v/>
      </ns0:c>
      <ns0:c r="F1323">
        <ns0:f>IFERROR(IF(ISNUMBER($A1323),IF(AND(AH!$P$10=1,AH!$P$12=1,$A1323=TODAY()),IF(AND(AH!$P$10=1,AH!$P$12=1,$A1323=TODAY()),TODAY(),NA()),IF(AH!$P$10=1,INDEX('Live History'!$D$5:$D$3004,MATCH($A1323,'Live History'!$D$5:$D$3004,1)),INDEX('AH History'!$E$1:$E$18046,AH!$P$7+1318))),NA()),NA())</ns0:f>
        <ns0:v/>
      </ns0:c>
      <ns0:c r="G1323">
        <ns0:f>IFERROR(IF(ISNUMBER($A1323),IF(AND(AH!$P$10=1,AH!$P$12=1,$A1323=TODAY()),IF(AND(AH!$P$10=1,AH!$P$12=1,$A1323=TODAY()),TODAY(),NA()),IF(AH!$P$10=1,INDEX('Live History'!$G$5:$G$3004,MATCH($A1323,'Live History'!$G$5:$G$3004,1)),INDEX('AH History'!$F$1:$F$18046,AH!$P$7+1318))),NA()),NA())</ns0:f>
        <ns0:v/>
      </ns0:c>
      <ns0:c r="H1323">
        <ns0:f>IFERROR(IF(AND(AH!$E$4="Bloomberg",AH!$P$10=1,ISNUMBER($A1323),$A1323&lt;=AH!$P$17),AH!$P$7-1+MATCH($A1323,INDEX('AH History'!$A$1:$A$18046,AH!$P$7):INDEX('AH History'!$A$1:$A$18046,AH!$P$7+AH!$P$8-1),0),0),0)</ns0:f>
        <ns0:v/>
      </ns0:c>
      <ns0:c r="I1323">
        <ns0:f>IF($H1323=0,0,IFERROR(IF(AND(ABS($C1323-INDEX('AH History'!$B$1:$B$18046,$H1323))&lt;=MAX(0.005,ABS(INDEX('AH History'!$B$1:$B$18046,$H1323))*0.00005),ABS($D1323-INDEX('AH History'!$C$1:$C$18046,$H1323))&lt;=MAX(0.005,ABS(INDEX('AH History'!$C$1:$C$18046,$H1323))*0.00005),ABS($E1323-INDEX('AH History'!$D$1:$D$18046,$H1323))&lt;=0.00005,$F1323=INDEX('AH History'!$E$1:$E$18046,$H1323),$G1323=INDEX('AH History'!$F$1:$F$18046,$H1323)),1,-1),-1))</ns0:f>
        <ns0:v/>
      </ns0:c>
    </ns0:row>
    <ns0:row r="1324">
      <ns0:c r="A1324" s="215">
        <ns0:f>IF(OR(AH!$P$3=0,1319+1&gt;AH!$P$11,AND(AH!$E$4&lt;&gt;"Stored",AH!$P$10&lt;&gt;1)),"",IFERROR(IF(AND(AH!$P$21=1,1319+1=AH!$P$11),TODAY(),IF(AH!$P$10=1,INDEX('Live History'!$A$5:$A$3004,AH!$P$13+1319),INDEX('AH History'!$A$1:$A$18046,AH!$P$7+1319))),""))</ns0:f>
        <ns0:v/>
      </ns0:c>
      <ns0:c r="B1324" s="219">
        <ns0:f>IFERROR(IF(AND(AH!$P$9&lt;&gt;1,$C1324&gt;0,$D1324&gt;0,$E1324&gt;0,$F1324&gt;0,$G1324&gt;0,$F1324&lt;=$A1324,$G1324&lt;=$A1324,$A1324-$F1324&lt;=10,$A1324-$G1324&lt;=5),$D1324*$E1324/$C1324-1,NA()),NA())</ns0:f>
        <ns0:v/>
      </ns0:c>
      <ns0:c r="C1324">
        <ns0:f>IFERROR(IF(ISNUMBER($A1324),IF(AND(AH!$P$10=1,AH!$P$12=1,$A1324=TODAY()),AH!$P$19,IF(AH!$P$10=1,INDEX('Live History'!$B$5:$B$3004,AH!$P$13+1319),INDEX('AH History'!$B$1:$B$18046,AH!$P$7+1319))),NA()),NA())</ns0:f>
        <ns0:v/>
      </ns0:c>
      <ns0:c r="D1324">
        <ns0:f>IFERROR(IF(ISNUMBER($A1324),IF(AND(AH!$P$10=1,AH!$P$12=1,$A1324=TODAY()),AH!$P$18,IF(AH!$P$10=1,INDEX('Live History'!$E$5:$E$3004,MATCH($A1324,'Live History'!$D$5:$D$3004,1)),INDEX('AH History'!$C$1:$C$18046,AH!$P$7+1319))),NA()),NA())</ns0:f>
        <ns0:v/>
      </ns0:c>
      <ns0:c r="E1324">
        <ns0:f>IFERROR(IF(ISNUMBER($A1324),IF(AND(AH!$P$10=1,AH!$P$12=1,$A1324=TODAY()),AH!$P$20,IF(AH!$P$10=1,INDEX('Live History'!$H$5:$H$3004,MATCH($A1324,'Live History'!$G$5:$G$3004,1)),INDEX('AH History'!$D$1:$D$18046,AH!$P$7+1319))),NA()),NA())</ns0:f>
        <ns0:v/>
      </ns0:c>
      <ns0:c r="F1324">
        <ns0:f>IFERROR(IF(ISNUMBER($A1324),IF(AND(AH!$P$10=1,AH!$P$12=1,$A1324=TODAY()),IF(AND(AH!$P$10=1,AH!$P$12=1,$A1324=TODAY()),TODAY(),NA()),IF(AH!$P$10=1,INDEX('Live History'!$D$5:$D$3004,MATCH($A1324,'Live History'!$D$5:$D$3004,1)),INDEX('AH History'!$E$1:$E$18046,AH!$P$7+1319))),NA()),NA())</ns0:f>
        <ns0:v/>
      </ns0:c>
      <ns0:c r="G1324">
        <ns0:f>IFERROR(IF(ISNUMBER($A1324),IF(AND(AH!$P$10=1,AH!$P$12=1,$A1324=TODAY()),IF(AND(AH!$P$10=1,AH!$P$12=1,$A1324=TODAY()),TODAY(),NA()),IF(AH!$P$10=1,INDEX('Live History'!$G$5:$G$3004,MATCH($A1324,'Live History'!$G$5:$G$3004,1)),INDEX('AH History'!$F$1:$F$18046,AH!$P$7+1319))),NA()),NA())</ns0:f>
        <ns0:v/>
      </ns0:c>
      <ns0:c r="H1324">
        <ns0:f>IFERROR(IF(AND(AH!$E$4="Bloomberg",AH!$P$10=1,ISNUMBER($A1324),$A1324&lt;=AH!$P$17),AH!$P$7-1+MATCH($A1324,INDEX('AH History'!$A$1:$A$18046,AH!$P$7):INDEX('AH History'!$A$1:$A$18046,AH!$P$7+AH!$P$8-1),0),0),0)</ns0:f>
        <ns0:v/>
      </ns0:c>
      <ns0:c r="I1324">
        <ns0:f>IF($H1324=0,0,IFERROR(IF(AND(ABS($C1324-INDEX('AH History'!$B$1:$B$18046,$H1324))&lt;=MAX(0.005,ABS(INDEX('AH History'!$B$1:$B$18046,$H1324))*0.00005),ABS($D1324-INDEX('AH History'!$C$1:$C$18046,$H1324))&lt;=MAX(0.005,ABS(INDEX('AH History'!$C$1:$C$18046,$H1324))*0.00005),ABS($E1324-INDEX('AH History'!$D$1:$D$18046,$H1324))&lt;=0.00005,$F1324=INDEX('AH History'!$E$1:$E$18046,$H1324),$G1324=INDEX('AH History'!$F$1:$F$18046,$H1324)),1,-1),-1))</ns0:f>
        <ns0:v/>
      </ns0:c>
    </ns0:row>
    <ns0:row r="1325">
      <ns0:c r="A1325" s="215">
        <ns0:f>IF(OR(AH!$P$3=0,1320+1&gt;AH!$P$11,AND(AH!$E$4&lt;&gt;"Stored",AH!$P$10&lt;&gt;1)),"",IFERROR(IF(AND(AH!$P$21=1,1320+1=AH!$P$11),TODAY(),IF(AH!$P$10=1,INDEX('Live History'!$A$5:$A$3004,AH!$P$13+1320),INDEX('AH History'!$A$1:$A$18046,AH!$P$7+1320))),""))</ns0:f>
        <ns0:v/>
      </ns0:c>
      <ns0:c r="B1325" s="219">
        <ns0:f>IFERROR(IF(AND(AH!$P$9&lt;&gt;1,$C1325&gt;0,$D1325&gt;0,$E1325&gt;0,$F1325&gt;0,$G1325&gt;0,$F1325&lt;=$A1325,$G1325&lt;=$A1325,$A1325-$F1325&lt;=10,$A1325-$G1325&lt;=5),$D1325*$E1325/$C1325-1,NA()),NA())</ns0:f>
        <ns0:v/>
      </ns0:c>
      <ns0:c r="C1325">
        <ns0:f>IFERROR(IF(ISNUMBER($A1325),IF(AND(AH!$P$10=1,AH!$P$12=1,$A1325=TODAY()),AH!$P$19,IF(AH!$P$10=1,INDEX('Live History'!$B$5:$B$3004,AH!$P$13+1320),INDEX('AH History'!$B$1:$B$18046,AH!$P$7+1320))),NA()),NA())</ns0:f>
        <ns0:v/>
      </ns0:c>
      <ns0:c r="D1325">
        <ns0:f>IFERROR(IF(ISNUMBER($A1325),IF(AND(AH!$P$10=1,AH!$P$12=1,$A1325=TODAY()),AH!$P$18,IF(AH!$P$10=1,INDEX('Live History'!$E$5:$E$3004,MATCH($A1325,'Live History'!$D$5:$D$3004,1)),INDEX('AH History'!$C$1:$C$18046,AH!$P$7+1320))),NA()),NA())</ns0:f>
        <ns0:v/>
      </ns0:c>
      <ns0:c r="E1325">
        <ns0:f>IFERROR(IF(ISNUMBER($A1325),IF(AND(AH!$P$10=1,AH!$P$12=1,$A1325=TODAY()),AH!$P$20,IF(AH!$P$10=1,INDEX('Live History'!$H$5:$H$3004,MATCH($A1325,'Live History'!$G$5:$G$3004,1)),INDEX('AH History'!$D$1:$D$18046,AH!$P$7+1320))),NA()),NA())</ns0:f>
        <ns0:v/>
      </ns0:c>
      <ns0:c r="F1325">
        <ns0:f>IFERROR(IF(ISNUMBER($A1325),IF(AND(AH!$P$10=1,AH!$P$12=1,$A1325=TODAY()),IF(AND(AH!$P$10=1,AH!$P$12=1,$A1325=TODAY()),TODAY(),NA()),IF(AH!$P$10=1,INDEX('Live History'!$D$5:$D$3004,MATCH($A1325,'Live History'!$D$5:$D$3004,1)),INDEX('AH History'!$E$1:$E$18046,AH!$P$7+1320))),NA()),NA())</ns0:f>
        <ns0:v/>
      </ns0:c>
      <ns0:c r="G1325">
        <ns0:f>IFERROR(IF(ISNUMBER($A1325),IF(AND(AH!$P$10=1,AH!$P$12=1,$A1325=TODAY()),IF(AND(AH!$P$10=1,AH!$P$12=1,$A1325=TODAY()),TODAY(),NA()),IF(AH!$P$10=1,INDEX('Live History'!$G$5:$G$3004,MATCH($A1325,'Live History'!$G$5:$G$3004,1)),INDEX('AH History'!$F$1:$F$18046,AH!$P$7+1320))),NA()),NA())</ns0:f>
        <ns0:v/>
      </ns0:c>
      <ns0:c r="H1325">
        <ns0:f>IFERROR(IF(AND(AH!$E$4="Bloomberg",AH!$P$10=1,ISNUMBER($A1325),$A1325&lt;=AH!$P$17),AH!$P$7-1+MATCH($A1325,INDEX('AH History'!$A$1:$A$18046,AH!$P$7):INDEX('AH History'!$A$1:$A$18046,AH!$P$7+AH!$P$8-1),0),0),0)</ns0:f>
        <ns0:v/>
      </ns0:c>
      <ns0:c r="I1325">
        <ns0:f>IF($H1325=0,0,IFERROR(IF(AND(ABS($C1325-INDEX('AH History'!$B$1:$B$18046,$H1325))&lt;=MAX(0.005,ABS(INDEX('AH History'!$B$1:$B$18046,$H1325))*0.00005),ABS($D1325-INDEX('AH History'!$C$1:$C$18046,$H1325))&lt;=MAX(0.005,ABS(INDEX('AH History'!$C$1:$C$18046,$H1325))*0.00005),ABS($E1325-INDEX('AH History'!$D$1:$D$18046,$H1325))&lt;=0.00005,$F1325=INDEX('AH History'!$E$1:$E$18046,$H1325),$G1325=INDEX('AH History'!$F$1:$F$18046,$H1325)),1,-1),-1))</ns0:f>
        <ns0:v/>
      </ns0:c>
    </ns0:row>
    <ns0:row r="1326">
      <ns0:c r="A1326" s="215">
        <ns0:f>IF(OR(AH!$P$3=0,1321+1&gt;AH!$P$11,AND(AH!$E$4&lt;&gt;"Stored",AH!$P$10&lt;&gt;1)),"",IFERROR(IF(AND(AH!$P$21=1,1321+1=AH!$P$11),TODAY(),IF(AH!$P$10=1,INDEX('Live History'!$A$5:$A$3004,AH!$P$13+1321),INDEX('AH History'!$A$1:$A$18046,AH!$P$7+1321))),""))</ns0:f>
        <ns0:v/>
      </ns0:c>
      <ns0:c r="B1326" s="219">
        <ns0:f>IFERROR(IF(AND(AH!$P$9&lt;&gt;1,$C1326&gt;0,$D1326&gt;0,$E1326&gt;0,$F1326&gt;0,$G1326&gt;0,$F1326&lt;=$A1326,$G1326&lt;=$A1326,$A1326-$F1326&lt;=10,$A1326-$G1326&lt;=5),$D1326*$E1326/$C1326-1,NA()),NA())</ns0:f>
        <ns0:v/>
      </ns0:c>
      <ns0:c r="C1326">
        <ns0:f>IFERROR(IF(ISNUMBER($A1326),IF(AND(AH!$P$10=1,AH!$P$12=1,$A1326=TODAY()),AH!$P$19,IF(AH!$P$10=1,INDEX('Live History'!$B$5:$B$3004,AH!$P$13+1321),INDEX('AH History'!$B$1:$B$18046,AH!$P$7+1321))),NA()),NA())</ns0:f>
        <ns0:v/>
      </ns0:c>
      <ns0:c r="D1326">
        <ns0:f>IFERROR(IF(ISNUMBER($A1326),IF(AND(AH!$P$10=1,AH!$P$12=1,$A1326=TODAY()),AH!$P$18,IF(AH!$P$10=1,INDEX('Live History'!$E$5:$E$3004,MATCH($A1326,'Live History'!$D$5:$D$3004,1)),INDEX('AH History'!$C$1:$C$18046,AH!$P$7+1321))),NA()),NA())</ns0:f>
        <ns0:v/>
      </ns0:c>
      <ns0:c r="E1326">
        <ns0:f>IFERROR(IF(ISNUMBER($A1326),IF(AND(AH!$P$10=1,AH!$P$12=1,$A1326=TODAY()),AH!$P$20,IF(AH!$P$10=1,INDEX('Live History'!$H$5:$H$3004,MATCH($A1326,'Live History'!$G$5:$G$3004,1)),INDEX('AH History'!$D$1:$D$18046,AH!$P$7+1321))),NA()),NA())</ns0:f>
        <ns0:v/>
      </ns0:c>
      <ns0:c r="F1326">
        <ns0:f>IFERROR(IF(ISNUMBER($A1326),IF(AND(AH!$P$10=1,AH!$P$12=1,$A1326=TODAY()),IF(AND(AH!$P$10=1,AH!$P$12=1,$A1326=TODAY()),TODAY(),NA()),IF(AH!$P$10=1,INDEX('Live History'!$D$5:$D$3004,MATCH($A1326,'Live History'!$D$5:$D$3004,1)),INDEX('AH History'!$E$1:$E$18046,AH!$P$7+1321))),NA()),NA())</ns0:f>
        <ns0:v/>
      </ns0:c>
      <ns0:c r="G1326">
        <ns0:f>IFERROR(IF(ISNUMBER($A1326),IF(AND(AH!$P$10=1,AH!$P$12=1,$A1326=TODAY()),IF(AND(AH!$P$10=1,AH!$P$12=1,$A1326=TODAY()),TODAY(),NA()),IF(AH!$P$10=1,INDEX('Live History'!$G$5:$G$3004,MATCH($A1326,'Live History'!$G$5:$G$3004,1)),INDEX('AH History'!$F$1:$F$18046,AH!$P$7+1321))),NA()),NA())</ns0:f>
        <ns0:v/>
      </ns0:c>
      <ns0:c r="H1326">
        <ns0:f>IFERROR(IF(AND(AH!$E$4="Bloomberg",AH!$P$10=1,ISNUMBER($A1326),$A1326&lt;=AH!$P$17),AH!$P$7-1+MATCH($A1326,INDEX('AH History'!$A$1:$A$18046,AH!$P$7):INDEX('AH History'!$A$1:$A$18046,AH!$P$7+AH!$P$8-1),0),0),0)</ns0:f>
        <ns0:v/>
      </ns0:c>
      <ns0:c r="I1326">
        <ns0:f>IF($H1326=0,0,IFERROR(IF(AND(ABS($C1326-INDEX('AH History'!$B$1:$B$18046,$H1326))&lt;=MAX(0.005,ABS(INDEX('AH History'!$B$1:$B$18046,$H1326))*0.00005),ABS($D1326-INDEX('AH History'!$C$1:$C$18046,$H1326))&lt;=MAX(0.005,ABS(INDEX('AH History'!$C$1:$C$18046,$H1326))*0.00005),ABS($E1326-INDEX('AH History'!$D$1:$D$18046,$H1326))&lt;=0.00005,$F1326=INDEX('AH History'!$E$1:$E$18046,$H1326),$G1326=INDEX('AH History'!$F$1:$F$18046,$H1326)),1,-1),-1))</ns0:f>
        <ns0:v/>
      </ns0:c>
    </ns0:row>
    <ns0:row r="1327">
      <ns0:c r="A1327" s="215">
        <ns0:f>IF(OR(AH!$P$3=0,1322+1&gt;AH!$P$11,AND(AH!$E$4&lt;&gt;"Stored",AH!$P$10&lt;&gt;1)),"",IFERROR(IF(AND(AH!$P$21=1,1322+1=AH!$P$11),TODAY(),IF(AH!$P$10=1,INDEX('Live History'!$A$5:$A$3004,AH!$P$13+1322),INDEX('AH History'!$A$1:$A$18046,AH!$P$7+1322))),""))</ns0:f>
        <ns0:v/>
      </ns0:c>
      <ns0:c r="B1327" s="219">
        <ns0:f>IFERROR(IF(AND(AH!$P$9&lt;&gt;1,$C1327&gt;0,$D1327&gt;0,$E1327&gt;0,$F1327&gt;0,$G1327&gt;0,$F1327&lt;=$A1327,$G1327&lt;=$A1327,$A1327-$F1327&lt;=10,$A1327-$G1327&lt;=5),$D1327*$E1327/$C1327-1,NA()),NA())</ns0:f>
        <ns0:v/>
      </ns0:c>
      <ns0:c r="C1327">
        <ns0:f>IFERROR(IF(ISNUMBER($A1327),IF(AND(AH!$P$10=1,AH!$P$12=1,$A1327=TODAY()),AH!$P$19,IF(AH!$P$10=1,INDEX('Live History'!$B$5:$B$3004,AH!$P$13+1322),INDEX('AH History'!$B$1:$B$18046,AH!$P$7+1322))),NA()),NA())</ns0:f>
        <ns0:v/>
      </ns0:c>
      <ns0:c r="D1327">
        <ns0:f>IFERROR(IF(ISNUMBER($A1327),IF(AND(AH!$P$10=1,AH!$P$12=1,$A1327=TODAY()),AH!$P$18,IF(AH!$P$10=1,INDEX('Live History'!$E$5:$E$3004,MATCH($A1327,'Live History'!$D$5:$D$3004,1)),INDEX('AH History'!$C$1:$C$18046,AH!$P$7+1322))),NA()),NA())</ns0:f>
        <ns0:v/>
      </ns0:c>
      <ns0:c r="E1327">
        <ns0:f>IFERROR(IF(ISNUMBER($A1327),IF(AND(AH!$P$10=1,AH!$P$12=1,$A1327=TODAY()),AH!$P$20,IF(AH!$P$10=1,INDEX('Live History'!$H$5:$H$3004,MATCH($A1327,'Live History'!$G$5:$G$3004,1)),INDEX('AH History'!$D$1:$D$18046,AH!$P$7+1322))),NA()),NA())</ns0:f>
        <ns0:v/>
      </ns0:c>
      <ns0:c r="F1327">
        <ns0:f>IFERROR(IF(ISNUMBER($A1327),IF(AND(AH!$P$10=1,AH!$P$12=1,$A1327=TODAY()),IF(AND(AH!$P$10=1,AH!$P$12=1,$A1327=TODAY()),TODAY(),NA()),IF(AH!$P$10=1,INDEX('Live History'!$D$5:$D$3004,MATCH($A1327,'Live History'!$D$5:$D$3004,1)),INDEX('AH History'!$E$1:$E$18046,AH!$P$7+1322))),NA()),NA())</ns0:f>
        <ns0:v/>
      </ns0:c>
      <ns0:c r="G1327">
        <ns0:f>IFERROR(IF(ISNUMBER($A1327),IF(AND(AH!$P$10=1,AH!$P$12=1,$A1327=TODAY()),IF(AND(AH!$P$10=1,AH!$P$12=1,$A1327=TODAY()),TODAY(),NA()),IF(AH!$P$10=1,INDEX('Live History'!$G$5:$G$3004,MATCH($A1327,'Live History'!$G$5:$G$3004,1)),INDEX('AH History'!$F$1:$F$18046,AH!$P$7+1322))),NA()),NA())</ns0:f>
        <ns0:v/>
      </ns0:c>
      <ns0:c r="H1327">
        <ns0:f>IFERROR(IF(AND(AH!$E$4="Bloomberg",AH!$P$10=1,ISNUMBER($A1327),$A1327&lt;=AH!$P$17),AH!$P$7-1+MATCH($A1327,INDEX('AH History'!$A$1:$A$18046,AH!$P$7):INDEX('AH History'!$A$1:$A$18046,AH!$P$7+AH!$P$8-1),0),0),0)</ns0:f>
        <ns0:v/>
      </ns0:c>
      <ns0:c r="I1327">
        <ns0:f>IF($H1327=0,0,IFERROR(IF(AND(ABS($C1327-INDEX('AH History'!$B$1:$B$18046,$H1327))&lt;=MAX(0.005,ABS(INDEX('AH History'!$B$1:$B$18046,$H1327))*0.00005),ABS($D1327-INDEX('AH History'!$C$1:$C$18046,$H1327))&lt;=MAX(0.005,ABS(INDEX('AH History'!$C$1:$C$18046,$H1327))*0.00005),ABS($E1327-INDEX('AH History'!$D$1:$D$18046,$H1327))&lt;=0.00005,$F1327=INDEX('AH History'!$E$1:$E$18046,$H1327),$G1327=INDEX('AH History'!$F$1:$F$18046,$H1327)),1,-1),-1))</ns0:f>
        <ns0:v/>
      </ns0:c>
    </ns0:row>
    <ns0:row r="1328">
      <ns0:c r="A1328" s="215">
        <ns0:f>IF(OR(AH!$P$3=0,1323+1&gt;AH!$P$11,AND(AH!$E$4&lt;&gt;"Stored",AH!$P$10&lt;&gt;1)),"",IFERROR(IF(AND(AH!$P$21=1,1323+1=AH!$P$11),TODAY(),IF(AH!$P$10=1,INDEX('Live History'!$A$5:$A$3004,AH!$P$13+1323),INDEX('AH History'!$A$1:$A$18046,AH!$P$7+1323))),""))</ns0:f>
        <ns0:v/>
      </ns0:c>
      <ns0:c r="B1328" s="219">
        <ns0:f>IFERROR(IF(AND(AH!$P$9&lt;&gt;1,$C1328&gt;0,$D1328&gt;0,$E1328&gt;0,$F1328&gt;0,$G1328&gt;0,$F1328&lt;=$A1328,$G1328&lt;=$A1328,$A1328-$F1328&lt;=10,$A1328-$G1328&lt;=5),$D1328*$E1328/$C1328-1,NA()),NA())</ns0:f>
        <ns0:v/>
      </ns0:c>
      <ns0:c r="C1328">
        <ns0:f>IFERROR(IF(ISNUMBER($A1328),IF(AND(AH!$P$10=1,AH!$P$12=1,$A1328=TODAY()),AH!$P$19,IF(AH!$P$10=1,INDEX('Live History'!$B$5:$B$3004,AH!$P$13+1323),INDEX('AH History'!$B$1:$B$18046,AH!$P$7+1323))),NA()),NA())</ns0:f>
        <ns0:v/>
      </ns0:c>
      <ns0:c r="D1328">
        <ns0:f>IFERROR(IF(ISNUMBER($A1328),IF(AND(AH!$P$10=1,AH!$P$12=1,$A1328=TODAY()),AH!$P$18,IF(AH!$P$10=1,INDEX('Live History'!$E$5:$E$3004,MATCH($A1328,'Live History'!$D$5:$D$3004,1)),INDEX('AH History'!$C$1:$C$18046,AH!$P$7+1323))),NA()),NA())</ns0:f>
        <ns0:v/>
      </ns0:c>
      <ns0:c r="E1328">
        <ns0:f>IFERROR(IF(ISNUMBER($A1328),IF(AND(AH!$P$10=1,AH!$P$12=1,$A1328=TODAY()),AH!$P$20,IF(AH!$P$10=1,INDEX('Live History'!$H$5:$H$3004,MATCH($A1328,'Live History'!$G$5:$G$3004,1)),INDEX('AH History'!$D$1:$D$18046,AH!$P$7+1323))),NA()),NA())</ns0:f>
        <ns0:v/>
      </ns0:c>
      <ns0:c r="F1328">
        <ns0:f>IFERROR(IF(ISNUMBER($A1328),IF(AND(AH!$P$10=1,AH!$P$12=1,$A1328=TODAY()),IF(AND(AH!$P$10=1,AH!$P$12=1,$A1328=TODAY()),TODAY(),NA()),IF(AH!$P$10=1,INDEX('Live History'!$D$5:$D$3004,MATCH($A1328,'Live History'!$D$5:$D$3004,1)),INDEX('AH History'!$E$1:$E$18046,AH!$P$7+1323))),NA()),NA())</ns0:f>
        <ns0:v/>
      </ns0:c>
      <ns0:c r="G1328">
        <ns0:f>IFERROR(IF(ISNUMBER($A1328),IF(AND(AH!$P$10=1,AH!$P$12=1,$A1328=TODAY()),IF(AND(AH!$P$10=1,AH!$P$12=1,$A1328=TODAY()),TODAY(),NA()),IF(AH!$P$10=1,INDEX('Live History'!$G$5:$G$3004,MATCH($A1328,'Live History'!$G$5:$G$3004,1)),INDEX('AH History'!$F$1:$F$18046,AH!$P$7+1323))),NA()),NA())</ns0:f>
        <ns0:v/>
      </ns0:c>
      <ns0:c r="H1328">
        <ns0:f>IFERROR(IF(AND(AH!$E$4="Bloomberg",AH!$P$10=1,ISNUMBER($A1328),$A1328&lt;=AH!$P$17),AH!$P$7-1+MATCH($A1328,INDEX('AH History'!$A$1:$A$18046,AH!$P$7):INDEX('AH History'!$A$1:$A$18046,AH!$P$7+AH!$P$8-1),0),0),0)</ns0:f>
        <ns0:v/>
      </ns0:c>
      <ns0:c r="I1328">
        <ns0:f>IF($H1328=0,0,IFERROR(IF(AND(ABS($C1328-INDEX('AH History'!$B$1:$B$18046,$H1328))&lt;=MAX(0.005,ABS(INDEX('AH History'!$B$1:$B$18046,$H1328))*0.00005),ABS($D1328-INDEX('AH History'!$C$1:$C$18046,$H1328))&lt;=MAX(0.005,ABS(INDEX('AH History'!$C$1:$C$18046,$H1328))*0.00005),ABS($E1328-INDEX('AH History'!$D$1:$D$18046,$H1328))&lt;=0.00005,$F1328=INDEX('AH History'!$E$1:$E$18046,$H1328),$G1328=INDEX('AH History'!$F$1:$F$18046,$H1328)),1,-1),-1))</ns0:f>
        <ns0:v/>
      </ns0:c>
    </ns0:row>
    <ns0:row r="1329">
      <ns0:c r="A1329" s="215">
        <ns0:f>IF(OR(AH!$P$3=0,1324+1&gt;AH!$P$11,AND(AH!$E$4&lt;&gt;"Stored",AH!$P$10&lt;&gt;1)),"",IFERROR(IF(AND(AH!$P$21=1,1324+1=AH!$P$11),TODAY(),IF(AH!$P$10=1,INDEX('Live History'!$A$5:$A$3004,AH!$P$13+1324),INDEX('AH History'!$A$1:$A$18046,AH!$P$7+1324))),""))</ns0:f>
        <ns0:v/>
      </ns0:c>
      <ns0:c r="B1329" s="219">
        <ns0:f>IFERROR(IF(AND(AH!$P$9&lt;&gt;1,$C1329&gt;0,$D1329&gt;0,$E1329&gt;0,$F1329&gt;0,$G1329&gt;0,$F1329&lt;=$A1329,$G1329&lt;=$A1329,$A1329-$F1329&lt;=10,$A1329-$G1329&lt;=5),$D1329*$E1329/$C1329-1,NA()),NA())</ns0:f>
        <ns0:v/>
      </ns0:c>
      <ns0:c r="C1329">
        <ns0:f>IFERROR(IF(ISNUMBER($A1329),IF(AND(AH!$P$10=1,AH!$P$12=1,$A1329=TODAY()),AH!$P$19,IF(AH!$P$10=1,INDEX('Live History'!$B$5:$B$3004,AH!$P$13+1324),INDEX('AH History'!$B$1:$B$18046,AH!$P$7+1324))),NA()),NA())</ns0:f>
        <ns0:v/>
      </ns0:c>
      <ns0:c r="D1329">
        <ns0:f>IFERROR(IF(ISNUMBER($A1329),IF(AND(AH!$P$10=1,AH!$P$12=1,$A1329=TODAY()),AH!$P$18,IF(AH!$P$10=1,INDEX('Live History'!$E$5:$E$3004,MATCH($A1329,'Live History'!$D$5:$D$3004,1)),INDEX('AH History'!$C$1:$C$18046,AH!$P$7+1324))),NA()),NA())</ns0:f>
        <ns0:v/>
      </ns0:c>
      <ns0:c r="E1329">
        <ns0:f>IFERROR(IF(ISNUMBER($A1329),IF(AND(AH!$P$10=1,AH!$P$12=1,$A1329=TODAY()),AH!$P$20,IF(AH!$P$10=1,INDEX('Live History'!$H$5:$H$3004,MATCH($A1329,'Live History'!$G$5:$G$3004,1)),INDEX('AH History'!$D$1:$D$18046,AH!$P$7+1324))),NA()),NA())</ns0:f>
        <ns0:v/>
      </ns0:c>
      <ns0:c r="F1329">
        <ns0:f>IFERROR(IF(ISNUMBER($A1329),IF(AND(AH!$P$10=1,AH!$P$12=1,$A1329=TODAY()),IF(AND(AH!$P$10=1,AH!$P$12=1,$A1329=TODAY()),TODAY(),NA()),IF(AH!$P$10=1,INDEX('Live History'!$D$5:$D$3004,MATCH($A1329,'Live History'!$D$5:$D$3004,1)),INDEX('AH History'!$E$1:$E$18046,AH!$P$7+1324))),NA()),NA())</ns0:f>
        <ns0:v/>
      </ns0:c>
      <ns0:c r="G1329">
        <ns0:f>IFERROR(IF(ISNUMBER($A1329),IF(AND(AH!$P$10=1,AH!$P$12=1,$A1329=TODAY()),IF(AND(AH!$P$10=1,AH!$P$12=1,$A1329=TODAY()),TODAY(),NA()),IF(AH!$P$10=1,INDEX('Live History'!$G$5:$G$3004,MATCH($A1329,'Live History'!$G$5:$G$3004,1)),INDEX('AH History'!$F$1:$F$18046,AH!$P$7+1324))),NA()),NA())</ns0:f>
        <ns0:v/>
      </ns0:c>
      <ns0:c r="H1329">
        <ns0:f>IFERROR(IF(AND(AH!$E$4="Bloomberg",AH!$P$10=1,ISNUMBER($A1329),$A1329&lt;=AH!$P$17),AH!$P$7-1+MATCH($A1329,INDEX('AH History'!$A$1:$A$18046,AH!$P$7):INDEX('AH History'!$A$1:$A$18046,AH!$P$7+AH!$P$8-1),0),0),0)</ns0:f>
        <ns0:v/>
      </ns0:c>
      <ns0:c r="I1329">
        <ns0:f>IF($H1329=0,0,IFERROR(IF(AND(ABS($C1329-INDEX('AH History'!$B$1:$B$18046,$H1329))&lt;=MAX(0.005,ABS(INDEX('AH History'!$B$1:$B$18046,$H1329))*0.00005),ABS($D1329-INDEX('AH History'!$C$1:$C$18046,$H1329))&lt;=MAX(0.005,ABS(INDEX('AH History'!$C$1:$C$18046,$H1329))*0.00005),ABS($E1329-INDEX('AH History'!$D$1:$D$18046,$H1329))&lt;=0.00005,$F1329=INDEX('AH History'!$E$1:$E$18046,$H1329),$G1329=INDEX('AH History'!$F$1:$F$18046,$H1329)),1,-1),-1))</ns0:f>
        <ns0:v/>
      </ns0:c>
    </ns0:row>
    <ns0:row r="1330">
      <ns0:c r="A1330" s="215">
        <ns0:f>IF(OR(AH!$P$3=0,1325+1&gt;AH!$P$11,AND(AH!$E$4&lt;&gt;"Stored",AH!$P$10&lt;&gt;1)),"",IFERROR(IF(AND(AH!$P$21=1,1325+1=AH!$P$11),TODAY(),IF(AH!$P$10=1,INDEX('Live History'!$A$5:$A$3004,AH!$P$13+1325),INDEX('AH History'!$A$1:$A$18046,AH!$P$7+1325))),""))</ns0:f>
        <ns0:v/>
      </ns0:c>
      <ns0:c r="B1330" s="219">
        <ns0:f>IFERROR(IF(AND(AH!$P$9&lt;&gt;1,$C1330&gt;0,$D1330&gt;0,$E1330&gt;0,$F1330&gt;0,$G1330&gt;0,$F1330&lt;=$A1330,$G1330&lt;=$A1330,$A1330-$F1330&lt;=10,$A1330-$G1330&lt;=5),$D1330*$E1330/$C1330-1,NA()),NA())</ns0:f>
        <ns0:v/>
      </ns0:c>
      <ns0:c r="C1330">
        <ns0:f>IFERROR(IF(ISNUMBER($A1330),IF(AND(AH!$P$10=1,AH!$P$12=1,$A1330=TODAY()),AH!$P$19,IF(AH!$P$10=1,INDEX('Live History'!$B$5:$B$3004,AH!$P$13+1325),INDEX('AH History'!$B$1:$B$18046,AH!$P$7+1325))),NA()),NA())</ns0:f>
        <ns0:v/>
      </ns0:c>
      <ns0:c r="D1330">
        <ns0:f>IFERROR(IF(ISNUMBER($A1330),IF(AND(AH!$P$10=1,AH!$P$12=1,$A1330=TODAY()),AH!$P$18,IF(AH!$P$10=1,INDEX('Live History'!$E$5:$E$3004,MATCH($A1330,'Live History'!$D$5:$D$3004,1)),INDEX('AH History'!$C$1:$C$18046,AH!$P$7+1325))),NA()),NA())</ns0:f>
        <ns0:v/>
      </ns0:c>
      <ns0:c r="E1330">
        <ns0:f>IFERROR(IF(ISNUMBER($A1330),IF(AND(AH!$P$10=1,AH!$P$12=1,$A1330=TODAY()),AH!$P$20,IF(AH!$P$10=1,INDEX('Live History'!$H$5:$H$3004,MATCH($A1330,'Live History'!$G$5:$G$3004,1)),INDEX('AH History'!$D$1:$D$18046,AH!$P$7+1325))),NA()),NA())</ns0:f>
        <ns0:v/>
      </ns0:c>
      <ns0:c r="F1330">
        <ns0:f>IFERROR(IF(ISNUMBER($A1330),IF(AND(AH!$P$10=1,AH!$P$12=1,$A1330=TODAY()),IF(AND(AH!$P$10=1,AH!$P$12=1,$A1330=TODAY()),TODAY(),NA()),IF(AH!$P$10=1,INDEX('Live History'!$D$5:$D$3004,MATCH($A1330,'Live History'!$D$5:$D$3004,1)),INDEX('AH History'!$E$1:$E$18046,AH!$P$7+1325))),NA()),NA())</ns0:f>
        <ns0:v/>
      </ns0:c>
      <ns0:c r="G1330">
        <ns0:f>IFERROR(IF(ISNUMBER($A1330),IF(AND(AH!$P$10=1,AH!$P$12=1,$A1330=TODAY()),IF(AND(AH!$P$10=1,AH!$P$12=1,$A1330=TODAY()),TODAY(),NA()),IF(AH!$P$10=1,INDEX('Live History'!$G$5:$G$3004,MATCH($A1330,'Live History'!$G$5:$G$3004,1)),INDEX('AH History'!$F$1:$F$18046,AH!$P$7+1325))),NA()),NA())</ns0:f>
        <ns0:v/>
      </ns0:c>
      <ns0:c r="H1330">
        <ns0:f>IFERROR(IF(AND(AH!$E$4="Bloomberg",AH!$P$10=1,ISNUMBER($A1330),$A1330&lt;=AH!$P$17),AH!$P$7-1+MATCH($A1330,INDEX('AH History'!$A$1:$A$18046,AH!$P$7):INDEX('AH History'!$A$1:$A$18046,AH!$P$7+AH!$P$8-1),0),0),0)</ns0:f>
        <ns0:v/>
      </ns0:c>
      <ns0:c r="I1330">
        <ns0:f>IF($H1330=0,0,IFERROR(IF(AND(ABS($C1330-INDEX('AH History'!$B$1:$B$18046,$H1330))&lt;=MAX(0.005,ABS(INDEX('AH History'!$B$1:$B$18046,$H1330))*0.00005),ABS($D1330-INDEX('AH History'!$C$1:$C$18046,$H1330))&lt;=MAX(0.005,ABS(INDEX('AH History'!$C$1:$C$18046,$H1330))*0.00005),ABS($E1330-INDEX('AH History'!$D$1:$D$18046,$H1330))&lt;=0.00005,$F1330=INDEX('AH History'!$E$1:$E$18046,$H1330),$G1330=INDEX('AH History'!$F$1:$F$18046,$H1330)),1,-1),-1))</ns0:f>
        <ns0:v/>
      </ns0:c>
    </ns0:row>
    <ns0:row r="1331">
      <ns0:c r="A1331" s="215">
        <ns0:f>IF(OR(AH!$P$3=0,1326+1&gt;AH!$P$11,AND(AH!$E$4&lt;&gt;"Stored",AH!$P$10&lt;&gt;1)),"",IFERROR(IF(AND(AH!$P$21=1,1326+1=AH!$P$11),TODAY(),IF(AH!$P$10=1,INDEX('Live History'!$A$5:$A$3004,AH!$P$13+1326),INDEX('AH History'!$A$1:$A$18046,AH!$P$7+1326))),""))</ns0:f>
        <ns0:v/>
      </ns0:c>
      <ns0:c r="B1331" s="219">
        <ns0:f>IFERROR(IF(AND(AH!$P$9&lt;&gt;1,$C1331&gt;0,$D1331&gt;0,$E1331&gt;0,$F1331&gt;0,$G1331&gt;0,$F1331&lt;=$A1331,$G1331&lt;=$A1331,$A1331-$F1331&lt;=10,$A1331-$G1331&lt;=5),$D1331*$E1331/$C1331-1,NA()),NA())</ns0:f>
        <ns0:v/>
      </ns0:c>
      <ns0:c r="C1331">
        <ns0:f>IFERROR(IF(ISNUMBER($A1331),IF(AND(AH!$P$10=1,AH!$P$12=1,$A1331=TODAY()),AH!$P$19,IF(AH!$P$10=1,INDEX('Live History'!$B$5:$B$3004,AH!$P$13+1326),INDEX('AH History'!$B$1:$B$18046,AH!$P$7+1326))),NA()),NA())</ns0:f>
        <ns0:v/>
      </ns0:c>
      <ns0:c r="D1331">
        <ns0:f>IFERROR(IF(ISNUMBER($A1331),IF(AND(AH!$P$10=1,AH!$P$12=1,$A1331=TODAY()),AH!$P$18,IF(AH!$P$10=1,INDEX('Live History'!$E$5:$E$3004,MATCH($A1331,'Live History'!$D$5:$D$3004,1)),INDEX('AH History'!$C$1:$C$18046,AH!$P$7+1326))),NA()),NA())</ns0:f>
        <ns0:v/>
      </ns0:c>
      <ns0:c r="E1331">
        <ns0:f>IFERROR(IF(ISNUMBER($A1331),IF(AND(AH!$P$10=1,AH!$P$12=1,$A1331=TODAY()),AH!$P$20,IF(AH!$P$10=1,INDEX('Live History'!$H$5:$H$3004,MATCH($A1331,'Live History'!$G$5:$G$3004,1)),INDEX('AH History'!$D$1:$D$18046,AH!$P$7+1326))),NA()),NA())</ns0:f>
        <ns0:v/>
      </ns0:c>
      <ns0:c r="F1331">
        <ns0:f>IFERROR(IF(ISNUMBER($A1331),IF(AND(AH!$P$10=1,AH!$P$12=1,$A1331=TODAY()),IF(AND(AH!$P$10=1,AH!$P$12=1,$A1331=TODAY()),TODAY(),NA()),IF(AH!$P$10=1,INDEX('Live History'!$D$5:$D$3004,MATCH($A1331,'Live History'!$D$5:$D$3004,1)),INDEX('AH History'!$E$1:$E$18046,AH!$P$7+1326))),NA()),NA())</ns0:f>
        <ns0:v/>
      </ns0:c>
      <ns0:c r="G1331">
        <ns0:f>IFERROR(IF(ISNUMBER($A1331),IF(AND(AH!$P$10=1,AH!$P$12=1,$A1331=TODAY()),IF(AND(AH!$P$10=1,AH!$P$12=1,$A1331=TODAY()),TODAY(),NA()),IF(AH!$P$10=1,INDEX('Live History'!$G$5:$G$3004,MATCH($A1331,'Live History'!$G$5:$G$3004,1)),INDEX('AH History'!$F$1:$F$18046,AH!$P$7+1326))),NA()),NA())</ns0:f>
        <ns0:v/>
      </ns0:c>
      <ns0:c r="H1331">
        <ns0:f>IFERROR(IF(AND(AH!$E$4="Bloomberg",AH!$P$10=1,ISNUMBER($A1331),$A1331&lt;=AH!$P$17),AH!$P$7-1+MATCH($A1331,INDEX('AH History'!$A$1:$A$18046,AH!$P$7):INDEX('AH History'!$A$1:$A$18046,AH!$P$7+AH!$P$8-1),0),0),0)</ns0:f>
        <ns0:v/>
      </ns0:c>
      <ns0:c r="I1331">
        <ns0:f>IF($H1331=0,0,IFERROR(IF(AND(ABS($C1331-INDEX('AH History'!$B$1:$B$18046,$H1331))&lt;=MAX(0.005,ABS(INDEX('AH History'!$B$1:$B$18046,$H1331))*0.00005),ABS($D1331-INDEX('AH History'!$C$1:$C$18046,$H1331))&lt;=MAX(0.005,ABS(INDEX('AH History'!$C$1:$C$18046,$H1331))*0.00005),ABS($E1331-INDEX('AH History'!$D$1:$D$18046,$H1331))&lt;=0.00005,$F1331=INDEX('AH History'!$E$1:$E$18046,$H1331),$G1331=INDEX('AH History'!$F$1:$F$18046,$H1331)),1,-1),-1))</ns0:f>
        <ns0:v/>
      </ns0:c>
    </ns0:row>
    <ns0:row r="1332">
      <ns0:c r="A1332" s="215">
        <ns0:f>IF(OR(AH!$P$3=0,1327+1&gt;AH!$P$11,AND(AH!$E$4&lt;&gt;"Stored",AH!$P$10&lt;&gt;1)),"",IFERROR(IF(AND(AH!$P$21=1,1327+1=AH!$P$11),TODAY(),IF(AH!$P$10=1,INDEX('Live History'!$A$5:$A$3004,AH!$P$13+1327),INDEX('AH History'!$A$1:$A$18046,AH!$P$7+1327))),""))</ns0:f>
        <ns0:v/>
      </ns0:c>
      <ns0:c r="B1332" s="219">
        <ns0:f>IFERROR(IF(AND(AH!$P$9&lt;&gt;1,$C1332&gt;0,$D1332&gt;0,$E1332&gt;0,$F1332&gt;0,$G1332&gt;0,$F1332&lt;=$A1332,$G1332&lt;=$A1332,$A1332-$F1332&lt;=10,$A1332-$G1332&lt;=5),$D1332*$E1332/$C1332-1,NA()),NA())</ns0:f>
        <ns0:v/>
      </ns0:c>
      <ns0:c r="C1332">
        <ns0:f>IFERROR(IF(ISNUMBER($A1332),IF(AND(AH!$P$10=1,AH!$P$12=1,$A1332=TODAY()),AH!$P$19,IF(AH!$P$10=1,INDEX('Live History'!$B$5:$B$3004,AH!$P$13+1327),INDEX('AH History'!$B$1:$B$18046,AH!$P$7+1327))),NA()),NA())</ns0:f>
        <ns0:v/>
      </ns0:c>
      <ns0:c r="D1332">
        <ns0:f>IFERROR(IF(ISNUMBER($A1332),IF(AND(AH!$P$10=1,AH!$P$12=1,$A1332=TODAY()),AH!$P$18,IF(AH!$P$10=1,INDEX('Live History'!$E$5:$E$3004,MATCH($A1332,'Live History'!$D$5:$D$3004,1)),INDEX('AH History'!$C$1:$C$18046,AH!$P$7+1327))),NA()),NA())</ns0:f>
        <ns0:v/>
      </ns0:c>
      <ns0:c r="E1332">
        <ns0:f>IFERROR(IF(ISNUMBER($A1332),IF(AND(AH!$P$10=1,AH!$P$12=1,$A1332=TODAY()),AH!$P$20,IF(AH!$P$10=1,INDEX('Live History'!$H$5:$H$3004,MATCH($A1332,'Live History'!$G$5:$G$3004,1)),INDEX('AH History'!$D$1:$D$18046,AH!$P$7+1327))),NA()),NA())</ns0:f>
        <ns0:v/>
      </ns0:c>
      <ns0:c r="F1332">
        <ns0:f>IFERROR(IF(ISNUMBER($A1332),IF(AND(AH!$P$10=1,AH!$P$12=1,$A1332=TODAY()),IF(AND(AH!$P$10=1,AH!$P$12=1,$A1332=TODAY()),TODAY(),NA()),IF(AH!$P$10=1,INDEX('Live History'!$D$5:$D$3004,MATCH($A1332,'Live History'!$D$5:$D$3004,1)),INDEX('AH History'!$E$1:$E$18046,AH!$P$7+1327))),NA()),NA())</ns0:f>
        <ns0:v/>
      </ns0:c>
      <ns0:c r="G1332">
        <ns0:f>IFERROR(IF(ISNUMBER($A1332),IF(AND(AH!$P$10=1,AH!$P$12=1,$A1332=TODAY()),IF(AND(AH!$P$10=1,AH!$P$12=1,$A1332=TODAY()),TODAY(),NA()),IF(AH!$P$10=1,INDEX('Live History'!$G$5:$G$3004,MATCH($A1332,'Live History'!$G$5:$G$3004,1)),INDEX('AH History'!$F$1:$F$18046,AH!$P$7+1327))),NA()),NA())</ns0:f>
        <ns0:v/>
      </ns0:c>
      <ns0:c r="H1332">
        <ns0:f>IFERROR(IF(AND(AH!$E$4="Bloomberg",AH!$P$10=1,ISNUMBER($A1332),$A1332&lt;=AH!$P$17),AH!$P$7-1+MATCH($A1332,INDEX('AH History'!$A$1:$A$18046,AH!$P$7):INDEX('AH History'!$A$1:$A$18046,AH!$P$7+AH!$P$8-1),0),0),0)</ns0:f>
        <ns0:v/>
      </ns0:c>
      <ns0:c r="I1332">
        <ns0:f>IF($H1332=0,0,IFERROR(IF(AND(ABS($C1332-INDEX('AH History'!$B$1:$B$18046,$H1332))&lt;=MAX(0.005,ABS(INDEX('AH History'!$B$1:$B$18046,$H1332))*0.00005),ABS($D1332-INDEX('AH History'!$C$1:$C$18046,$H1332))&lt;=MAX(0.005,ABS(INDEX('AH History'!$C$1:$C$18046,$H1332))*0.00005),ABS($E1332-INDEX('AH History'!$D$1:$D$18046,$H1332))&lt;=0.00005,$F1332=INDEX('AH History'!$E$1:$E$18046,$H1332),$G1332=INDEX('AH History'!$F$1:$F$18046,$H1332)),1,-1),-1))</ns0:f>
        <ns0:v/>
      </ns0:c>
    </ns0:row>
    <ns0:row r="1333">
      <ns0:c r="A1333" s="215">
        <ns0:f>IF(OR(AH!$P$3=0,1328+1&gt;AH!$P$11,AND(AH!$E$4&lt;&gt;"Stored",AH!$P$10&lt;&gt;1)),"",IFERROR(IF(AND(AH!$P$21=1,1328+1=AH!$P$11),TODAY(),IF(AH!$P$10=1,INDEX('Live History'!$A$5:$A$3004,AH!$P$13+1328),INDEX('AH History'!$A$1:$A$18046,AH!$P$7+1328))),""))</ns0:f>
        <ns0:v/>
      </ns0:c>
      <ns0:c r="B1333" s="219">
        <ns0:f>IFERROR(IF(AND(AH!$P$9&lt;&gt;1,$C1333&gt;0,$D1333&gt;0,$E1333&gt;0,$F1333&gt;0,$G1333&gt;0,$F1333&lt;=$A1333,$G1333&lt;=$A1333,$A1333-$F1333&lt;=10,$A1333-$G1333&lt;=5),$D1333*$E1333/$C1333-1,NA()),NA())</ns0:f>
        <ns0:v/>
      </ns0:c>
      <ns0:c r="C1333">
        <ns0:f>IFERROR(IF(ISNUMBER($A1333),IF(AND(AH!$P$10=1,AH!$P$12=1,$A1333=TODAY()),AH!$P$19,IF(AH!$P$10=1,INDEX('Live History'!$B$5:$B$3004,AH!$P$13+1328),INDEX('AH History'!$B$1:$B$18046,AH!$P$7+1328))),NA()),NA())</ns0:f>
        <ns0:v/>
      </ns0:c>
      <ns0:c r="D1333">
        <ns0:f>IFERROR(IF(ISNUMBER($A1333),IF(AND(AH!$P$10=1,AH!$P$12=1,$A1333=TODAY()),AH!$P$18,IF(AH!$P$10=1,INDEX('Live History'!$E$5:$E$3004,MATCH($A1333,'Live History'!$D$5:$D$3004,1)),INDEX('AH History'!$C$1:$C$18046,AH!$P$7+1328))),NA()),NA())</ns0:f>
        <ns0:v/>
      </ns0:c>
      <ns0:c r="E1333">
        <ns0:f>IFERROR(IF(ISNUMBER($A1333),IF(AND(AH!$P$10=1,AH!$P$12=1,$A1333=TODAY()),AH!$P$20,IF(AH!$P$10=1,INDEX('Live History'!$H$5:$H$3004,MATCH($A1333,'Live History'!$G$5:$G$3004,1)),INDEX('AH History'!$D$1:$D$18046,AH!$P$7+1328))),NA()),NA())</ns0:f>
        <ns0:v/>
      </ns0:c>
      <ns0:c r="F1333">
        <ns0:f>IFERROR(IF(ISNUMBER($A1333),IF(AND(AH!$P$10=1,AH!$P$12=1,$A1333=TODAY()),IF(AND(AH!$P$10=1,AH!$P$12=1,$A1333=TODAY()),TODAY(),NA()),IF(AH!$P$10=1,INDEX('Live History'!$D$5:$D$3004,MATCH($A1333,'Live History'!$D$5:$D$3004,1)),INDEX('AH History'!$E$1:$E$18046,AH!$P$7+1328))),NA()),NA())</ns0:f>
        <ns0:v/>
      </ns0:c>
      <ns0:c r="G1333">
        <ns0:f>IFERROR(IF(ISNUMBER($A1333),IF(AND(AH!$P$10=1,AH!$P$12=1,$A1333=TODAY()),IF(AND(AH!$P$10=1,AH!$P$12=1,$A1333=TODAY()),TODAY(),NA()),IF(AH!$P$10=1,INDEX('Live History'!$G$5:$G$3004,MATCH($A1333,'Live History'!$G$5:$G$3004,1)),INDEX('AH History'!$F$1:$F$18046,AH!$P$7+1328))),NA()),NA())</ns0:f>
        <ns0:v/>
      </ns0:c>
      <ns0:c r="H1333">
        <ns0:f>IFERROR(IF(AND(AH!$E$4="Bloomberg",AH!$P$10=1,ISNUMBER($A1333),$A1333&lt;=AH!$P$17),AH!$P$7-1+MATCH($A1333,INDEX('AH History'!$A$1:$A$18046,AH!$P$7):INDEX('AH History'!$A$1:$A$18046,AH!$P$7+AH!$P$8-1),0),0),0)</ns0:f>
        <ns0:v/>
      </ns0:c>
      <ns0:c r="I1333">
        <ns0:f>IF($H1333=0,0,IFERROR(IF(AND(ABS($C1333-INDEX('AH History'!$B$1:$B$18046,$H1333))&lt;=MAX(0.005,ABS(INDEX('AH History'!$B$1:$B$18046,$H1333))*0.00005),ABS($D1333-INDEX('AH History'!$C$1:$C$18046,$H1333))&lt;=MAX(0.005,ABS(INDEX('AH History'!$C$1:$C$18046,$H1333))*0.00005),ABS($E1333-INDEX('AH History'!$D$1:$D$18046,$H1333))&lt;=0.00005,$F1333=INDEX('AH History'!$E$1:$E$18046,$H1333),$G1333=INDEX('AH History'!$F$1:$F$18046,$H1333)),1,-1),-1))</ns0:f>
        <ns0:v/>
      </ns0:c>
    </ns0:row>
    <ns0:row r="1334">
      <ns0:c r="A1334" s="215">
        <ns0:f>IF(OR(AH!$P$3=0,1329+1&gt;AH!$P$11,AND(AH!$E$4&lt;&gt;"Stored",AH!$P$10&lt;&gt;1)),"",IFERROR(IF(AND(AH!$P$21=1,1329+1=AH!$P$11),TODAY(),IF(AH!$P$10=1,INDEX('Live History'!$A$5:$A$3004,AH!$P$13+1329),INDEX('AH History'!$A$1:$A$18046,AH!$P$7+1329))),""))</ns0:f>
        <ns0:v/>
      </ns0:c>
      <ns0:c r="B1334" s="219">
        <ns0:f>IFERROR(IF(AND(AH!$P$9&lt;&gt;1,$C1334&gt;0,$D1334&gt;0,$E1334&gt;0,$F1334&gt;0,$G1334&gt;0,$F1334&lt;=$A1334,$G1334&lt;=$A1334,$A1334-$F1334&lt;=10,$A1334-$G1334&lt;=5),$D1334*$E1334/$C1334-1,NA()),NA())</ns0:f>
        <ns0:v/>
      </ns0:c>
      <ns0:c r="C1334">
        <ns0:f>IFERROR(IF(ISNUMBER($A1334),IF(AND(AH!$P$10=1,AH!$P$12=1,$A1334=TODAY()),AH!$P$19,IF(AH!$P$10=1,INDEX('Live History'!$B$5:$B$3004,AH!$P$13+1329),INDEX('AH History'!$B$1:$B$18046,AH!$P$7+1329))),NA()),NA())</ns0:f>
        <ns0:v/>
      </ns0:c>
      <ns0:c r="D1334">
        <ns0:f>IFERROR(IF(ISNUMBER($A1334),IF(AND(AH!$P$10=1,AH!$P$12=1,$A1334=TODAY()),AH!$P$18,IF(AH!$P$10=1,INDEX('Live History'!$E$5:$E$3004,MATCH($A1334,'Live History'!$D$5:$D$3004,1)),INDEX('AH History'!$C$1:$C$18046,AH!$P$7+1329))),NA()),NA())</ns0:f>
        <ns0:v/>
      </ns0:c>
      <ns0:c r="E1334">
        <ns0:f>IFERROR(IF(ISNUMBER($A1334),IF(AND(AH!$P$10=1,AH!$P$12=1,$A1334=TODAY()),AH!$P$20,IF(AH!$P$10=1,INDEX('Live History'!$H$5:$H$3004,MATCH($A1334,'Live History'!$G$5:$G$3004,1)),INDEX('AH History'!$D$1:$D$18046,AH!$P$7+1329))),NA()),NA())</ns0:f>
        <ns0:v/>
      </ns0:c>
      <ns0:c r="F1334">
        <ns0:f>IFERROR(IF(ISNUMBER($A1334),IF(AND(AH!$P$10=1,AH!$P$12=1,$A1334=TODAY()),IF(AND(AH!$P$10=1,AH!$P$12=1,$A1334=TODAY()),TODAY(),NA()),IF(AH!$P$10=1,INDEX('Live History'!$D$5:$D$3004,MATCH($A1334,'Live History'!$D$5:$D$3004,1)),INDEX('AH History'!$E$1:$E$18046,AH!$P$7+1329))),NA()),NA())</ns0:f>
        <ns0:v/>
      </ns0:c>
      <ns0:c r="G1334">
        <ns0:f>IFERROR(IF(ISNUMBER($A1334),IF(AND(AH!$P$10=1,AH!$P$12=1,$A1334=TODAY()),IF(AND(AH!$P$10=1,AH!$P$12=1,$A1334=TODAY()),TODAY(),NA()),IF(AH!$P$10=1,INDEX('Live History'!$G$5:$G$3004,MATCH($A1334,'Live History'!$G$5:$G$3004,1)),INDEX('AH History'!$F$1:$F$18046,AH!$P$7+1329))),NA()),NA())</ns0:f>
        <ns0:v/>
      </ns0:c>
      <ns0:c r="H1334">
        <ns0:f>IFERROR(IF(AND(AH!$E$4="Bloomberg",AH!$P$10=1,ISNUMBER($A1334),$A1334&lt;=AH!$P$17),AH!$P$7-1+MATCH($A1334,INDEX('AH History'!$A$1:$A$18046,AH!$P$7):INDEX('AH History'!$A$1:$A$18046,AH!$P$7+AH!$P$8-1),0),0),0)</ns0:f>
        <ns0:v/>
      </ns0:c>
      <ns0:c r="I1334">
        <ns0:f>IF($H1334=0,0,IFERROR(IF(AND(ABS($C1334-INDEX('AH History'!$B$1:$B$18046,$H1334))&lt;=MAX(0.005,ABS(INDEX('AH History'!$B$1:$B$18046,$H1334))*0.00005),ABS($D1334-INDEX('AH History'!$C$1:$C$18046,$H1334))&lt;=MAX(0.005,ABS(INDEX('AH History'!$C$1:$C$18046,$H1334))*0.00005),ABS($E1334-INDEX('AH History'!$D$1:$D$18046,$H1334))&lt;=0.00005,$F1334=INDEX('AH History'!$E$1:$E$18046,$H1334),$G1334=INDEX('AH History'!$F$1:$F$18046,$H1334)),1,-1),-1))</ns0:f>
        <ns0:v/>
      </ns0:c>
    </ns0:row>
    <ns0:row r="1335">
      <ns0:c r="A1335" s="215">
        <ns0:f>IF(OR(AH!$P$3=0,1330+1&gt;AH!$P$11,AND(AH!$E$4&lt;&gt;"Stored",AH!$P$10&lt;&gt;1)),"",IFERROR(IF(AND(AH!$P$21=1,1330+1=AH!$P$11),TODAY(),IF(AH!$P$10=1,INDEX('Live History'!$A$5:$A$3004,AH!$P$13+1330),INDEX('AH History'!$A$1:$A$18046,AH!$P$7+1330))),""))</ns0:f>
        <ns0:v/>
      </ns0:c>
      <ns0:c r="B1335" s="219">
        <ns0:f>IFERROR(IF(AND(AH!$P$9&lt;&gt;1,$C1335&gt;0,$D1335&gt;0,$E1335&gt;0,$F1335&gt;0,$G1335&gt;0,$F1335&lt;=$A1335,$G1335&lt;=$A1335,$A1335-$F1335&lt;=10,$A1335-$G1335&lt;=5),$D1335*$E1335/$C1335-1,NA()),NA())</ns0:f>
        <ns0:v/>
      </ns0:c>
      <ns0:c r="C1335">
        <ns0:f>IFERROR(IF(ISNUMBER($A1335),IF(AND(AH!$P$10=1,AH!$P$12=1,$A1335=TODAY()),AH!$P$19,IF(AH!$P$10=1,INDEX('Live History'!$B$5:$B$3004,AH!$P$13+1330),INDEX('AH History'!$B$1:$B$18046,AH!$P$7+1330))),NA()),NA())</ns0:f>
        <ns0:v/>
      </ns0:c>
      <ns0:c r="D1335">
        <ns0:f>IFERROR(IF(ISNUMBER($A1335),IF(AND(AH!$P$10=1,AH!$P$12=1,$A1335=TODAY()),AH!$P$18,IF(AH!$P$10=1,INDEX('Live History'!$E$5:$E$3004,MATCH($A1335,'Live History'!$D$5:$D$3004,1)),INDEX('AH History'!$C$1:$C$18046,AH!$P$7+1330))),NA()),NA())</ns0:f>
        <ns0:v/>
      </ns0:c>
      <ns0:c r="E1335">
        <ns0:f>IFERROR(IF(ISNUMBER($A1335),IF(AND(AH!$P$10=1,AH!$P$12=1,$A1335=TODAY()),AH!$P$20,IF(AH!$P$10=1,INDEX('Live History'!$H$5:$H$3004,MATCH($A1335,'Live History'!$G$5:$G$3004,1)),INDEX('AH History'!$D$1:$D$18046,AH!$P$7+1330))),NA()),NA())</ns0:f>
        <ns0:v/>
      </ns0:c>
      <ns0:c r="F1335">
        <ns0:f>IFERROR(IF(ISNUMBER($A1335),IF(AND(AH!$P$10=1,AH!$P$12=1,$A1335=TODAY()),IF(AND(AH!$P$10=1,AH!$P$12=1,$A1335=TODAY()),TODAY(),NA()),IF(AH!$P$10=1,INDEX('Live History'!$D$5:$D$3004,MATCH($A1335,'Live History'!$D$5:$D$3004,1)),INDEX('AH History'!$E$1:$E$18046,AH!$P$7+1330))),NA()),NA())</ns0:f>
        <ns0:v/>
      </ns0:c>
      <ns0:c r="G1335">
        <ns0:f>IFERROR(IF(ISNUMBER($A1335),IF(AND(AH!$P$10=1,AH!$P$12=1,$A1335=TODAY()),IF(AND(AH!$P$10=1,AH!$P$12=1,$A1335=TODAY()),TODAY(),NA()),IF(AH!$P$10=1,INDEX('Live History'!$G$5:$G$3004,MATCH($A1335,'Live History'!$G$5:$G$3004,1)),INDEX('AH History'!$F$1:$F$18046,AH!$P$7+1330))),NA()),NA())</ns0:f>
        <ns0:v/>
      </ns0:c>
      <ns0:c r="H1335">
        <ns0:f>IFERROR(IF(AND(AH!$E$4="Bloomberg",AH!$P$10=1,ISNUMBER($A1335),$A1335&lt;=AH!$P$17),AH!$P$7-1+MATCH($A1335,INDEX('AH History'!$A$1:$A$18046,AH!$P$7):INDEX('AH History'!$A$1:$A$18046,AH!$P$7+AH!$P$8-1),0),0),0)</ns0:f>
        <ns0:v/>
      </ns0:c>
      <ns0:c r="I1335">
        <ns0:f>IF($H1335=0,0,IFERROR(IF(AND(ABS($C1335-INDEX('AH History'!$B$1:$B$18046,$H1335))&lt;=MAX(0.005,ABS(INDEX('AH History'!$B$1:$B$18046,$H1335))*0.00005),ABS($D1335-INDEX('AH History'!$C$1:$C$18046,$H1335))&lt;=MAX(0.005,ABS(INDEX('AH History'!$C$1:$C$18046,$H1335))*0.00005),ABS($E1335-INDEX('AH History'!$D$1:$D$18046,$H1335))&lt;=0.00005,$F1335=INDEX('AH History'!$E$1:$E$18046,$H1335),$G1335=INDEX('AH History'!$F$1:$F$18046,$H1335)),1,-1),-1))</ns0:f>
        <ns0:v/>
      </ns0:c>
    </ns0:row>
    <ns0:row r="1336">
      <ns0:c r="A1336" s="215">
        <ns0:f>IF(OR(AH!$P$3=0,1331+1&gt;AH!$P$11,AND(AH!$E$4&lt;&gt;"Stored",AH!$P$10&lt;&gt;1)),"",IFERROR(IF(AND(AH!$P$21=1,1331+1=AH!$P$11),TODAY(),IF(AH!$P$10=1,INDEX('Live History'!$A$5:$A$3004,AH!$P$13+1331),INDEX('AH History'!$A$1:$A$18046,AH!$P$7+1331))),""))</ns0:f>
        <ns0:v/>
      </ns0:c>
      <ns0:c r="B1336" s="219">
        <ns0:f>IFERROR(IF(AND(AH!$P$9&lt;&gt;1,$C1336&gt;0,$D1336&gt;0,$E1336&gt;0,$F1336&gt;0,$G1336&gt;0,$F1336&lt;=$A1336,$G1336&lt;=$A1336,$A1336-$F1336&lt;=10,$A1336-$G1336&lt;=5),$D1336*$E1336/$C1336-1,NA()),NA())</ns0:f>
        <ns0:v/>
      </ns0:c>
      <ns0:c r="C1336">
        <ns0:f>IFERROR(IF(ISNUMBER($A1336),IF(AND(AH!$P$10=1,AH!$P$12=1,$A1336=TODAY()),AH!$P$19,IF(AH!$P$10=1,INDEX('Live History'!$B$5:$B$3004,AH!$P$13+1331),INDEX('AH History'!$B$1:$B$18046,AH!$P$7+1331))),NA()),NA())</ns0:f>
        <ns0:v/>
      </ns0:c>
      <ns0:c r="D1336">
        <ns0:f>IFERROR(IF(ISNUMBER($A1336),IF(AND(AH!$P$10=1,AH!$P$12=1,$A1336=TODAY()),AH!$P$18,IF(AH!$P$10=1,INDEX('Live History'!$E$5:$E$3004,MATCH($A1336,'Live History'!$D$5:$D$3004,1)),INDEX('AH History'!$C$1:$C$18046,AH!$P$7+1331))),NA()),NA())</ns0:f>
        <ns0:v/>
      </ns0:c>
      <ns0:c r="E1336">
        <ns0:f>IFERROR(IF(ISNUMBER($A1336),IF(AND(AH!$P$10=1,AH!$P$12=1,$A1336=TODAY()),AH!$P$20,IF(AH!$P$10=1,INDEX('Live History'!$H$5:$H$3004,MATCH($A1336,'Live History'!$G$5:$G$3004,1)),INDEX('AH History'!$D$1:$D$18046,AH!$P$7+1331))),NA()),NA())</ns0:f>
        <ns0:v/>
      </ns0:c>
      <ns0:c r="F1336">
        <ns0:f>IFERROR(IF(ISNUMBER($A1336),IF(AND(AH!$P$10=1,AH!$P$12=1,$A1336=TODAY()),IF(AND(AH!$P$10=1,AH!$P$12=1,$A1336=TODAY()),TODAY(),NA()),IF(AH!$P$10=1,INDEX('Live History'!$D$5:$D$3004,MATCH($A1336,'Live History'!$D$5:$D$3004,1)),INDEX('AH History'!$E$1:$E$18046,AH!$P$7+1331))),NA()),NA())</ns0:f>
        <ns0:v/>
      </ns0:c>
      <ns0:c r="G1336">
        <ns0:f>IFERROR(IF(ISNUMBER($A1336),IF(AND(AH!$P$10=1,AH!$P$12=1,$A1336=TODAY()),IF(AND(AH!$P$10=1,AH!$P$12=1,$A1336=TODAY()),TODAY(),NA()),IF(AH!$P$10=1,INDEX('Live History'!$G$5:$G$3004,MATCH($A1336,'Live History'!$G$5:$G$3004,1)),INDEX('AH History'!$F$1:$F$18046,AH!$P$7+1331))),NA()),NA())</ns0:f>
        <ns0:v/>
      </ns0:c>
      <ns0:c r="H1336">
        <ns0:f>IFERROR(IF(AND(AH!$E$4="Bloomberg",AH!$P$10=1,ISNUMBER($A1336),$A1336&lt;=AH!$P$17),AH!$P$7-1+MATCH($A1336,INDEX('AH History'!$A$1:$A$18046,AH!$P$7):INDEX('AH History'!$A$1:$A$18046,AH!$P$7+AH!$P$8-1),0),0),0)</ns0:f>
        <ns0:v/>
      </ns0:c>
      <ns0:c r="I1336">
        <ns0:f>IF($H1336=0,0,IFERROR(IF(AND(ABS($C1336-INDEX('AH History'!$B$1:$B$18046,$H1336))&lt;=MAX(0.005,ABS(INDEX('AH History'!$B$1:$B$18046,$H1336))*0.00005),ABS($D1336-INDEX('AH History'!$C$1:$C$18046,$H1336))&lt;=MAX(0.005,ABS(INDEX('AH History'!$C$1:$C$18046,$H1336))*0.00005),ABS($E1336-INDEX('AH History'!$D$1:$D$18046,$H1336))&lt;=0.00005,$F1336=INDEX('AH History'!$E$1:$E$18046,$H1336),$G1336=INDEX('AH History'!$F$1:$F$18046,$H1336)),1,-1),-1))</ns0:f>
        <ns0:v/>
      </ns0:c>
    </ns0:row>
    <ns0:row r="1337">
      <ns0:c r="A1337" s="215">
        <ns0:f>IF(OR(AH!$P$3=0,1332+1&gt;AH!$P$11,AND(AH!$E$4&lt;&gt;"Stored",AH!$P$10&lt;&gt;1)),"",IFERROR(IF(AND(AH!$P$21=1,1332+1=AH!$P$11),TODAY(),IF(AH!$P$10=1,INDEX('Live History'!$A$5:$A$3004,AH!$P$13+1332),INDEX('AH History'!$A$1:$A$18046,AH!$P$7+1332))),""))</ns0:f>
        <ns0:v/>
      </ns0:c>
      <ns0:c r="B1337" s="219">
        <ns0:f>IFERROR(IF(AND(AH!$P$9&lt;&gt;1,$C1337&gt;0,$D1337&gt;0,$E1337&gt;0,$F1337&gt;0,$G1337&gt;0,$F1337&lt;=$A1337,$G1337&lt;=$A1337,$A1337-$F1337&lt;=10,$A1337-$G1337&lt;=5),$D1337*$E1337/$C1337-1,NA()),NA())</ns0:f>
        <ns0:v/>
      </ns0:c>
      <ns0:c r="C1337">
        <ns0:f>IFERROR(IF(ISNUMBER($A1337),IF(AND(AH!$P$10=1,AH!$P$12=1,$A1337=TODAY()),AH!$P$19,IF(AH!$P$10=1,INDEX('Live History'!$B$5:$B$3004,AH!$P$13+1332),INDEX('AH History'!$B$1:$B$18046,AH!$P$7+1332))),NA()),NA())</ns0:f>
        <ns0:v/>
      </ns0:c>
      <ns0:c r="D1337">
        <ns0:f>IFERROR(IF(ISNUMBER($A1337),IF(AND(AH!$P$10=1,AH!$P$12=1,$A1337=TODAY()),AH!$P$18,IF(AH!$P$10=1,INDEX('Live History'!$E$5:$E$3004,MATCH($A1337,'Live History'!$D$5:$D$3004,1)),INDEX('AH History'!$C$1:$C$18046,AH!$P$7+1332))),NA()),NA())</ns0:f>
        <ns0:v/>
      </ns0:c>
      <ns0:c r="E1337">
        <ns0:f>IFERROR(IF(ISNUMBER($A1337),IF(AND(AH!$P$10=1,AH!$P$12=1,$A1337=TODAY()),AH!$P$20,IF(AH!$P$10=1,INDEX('Live History'!$H$5:$H$3004,MATCH($A1337,'Live History'!$G$5:$G$3004,1)),INDEX('AH History'!$D$1:$D$18046,AH!$P$7+1332))),NA()),NA())</ns0:f>
        <ns0:v/>
      </ns0:c>
      <ns0:c r="F1337">
        <ns0:f>IFERROR(IF(ISNUMBER($A1337),IF(AND(AH!$P$10=1,AH!$P$12=1,$A1337=TODAY()),IF(AND(AH!$P$10=1,AH!$P$12=1,$A1337=TODAY()),TODAY(),NA()),IF(AH!$P$10=1,INDEX('Live History'!$D$5:$D$3004,MATCH($A1337,'Live History'!$D$5:$D$3004,1)),INDEX('AH History'!$E$1:$E$18046,AH!$P$7+1332))),NA()),NA())</ns0:f>
        <ns0:v/>
      </ns0:c>
      <ns0:c r="G1337">
        <ns0:f>IFERROR(IF(ISNUMBER($A1337),IF(AND(AH!$P$10=1,AH!$P$12=1,$A1337=TODAY()),IF(AND(AH!$P$10=1,AH!$P$12=1,$A1337=TODAY()),TODAY(),NA()),IF(AH!$P$10=1,INDEX('Live History'!$G$5:$G$3004,MATCH($A1337,'Live History'!$G$5:$G$3004,1)),INDEX('AH History'!$F$1:$F$18046,AH!$P$7+1332))),NA()),NA())</ns0:f>
        <ns0:v/>
      </ns0:c>
      <ns0:c r="H1337">
        <ns0:f>IFERROR(IF(AND(AH!$E$4="Bloomberg",AH!$P$10=1,ISNUMBER($A1337),$A1337&lt;=AH!$P$17),AH!$P$7-1+MATCH($A1337,INDEX('AH History'!$A$1:$A$18046,AH!$P$7):INDEX('AH History'!$A$1:$A$18046,AH!$P$7+AH!$P$8-1),0),0),0)</ns0:f>
        <ns0:v/>
      </ns0:c>
      <ns0:c r="I1337">
        <ns0:f>IF($H1337=0,0,IFERROR(IF(AND(ABS($C1337-INDEX('AH History'!$B$1:$B$18046,$H1337))&lt;=MAX(0.005,ABS(INDEX('AH History'!$B$1:$B$18046,$H1337))*0.00005),ABS($D1337-INDEX('AH History'!$C$1:$C$18046,$H1337))&lt;=MAX(0.005,ABS(INDEX('AH History'!$C$1:$C$18046,$H1337))*0.00005),ABS($E1337-INDEX('AH History'!$D$1:$D$18046,$H1337))&lt;=0.00005,$F1337=INDEX('AH History'!$E$1:$E$18046,$H1337),$G1337=INDEX('AH History'!$F$1:$F$18046,$H1337)),1,-1),-1))</ns0:f>
        <ns0:v/>
      </ns0:c>
    </ns0:row>
    <ns0:row r="1338">
      <ns0:c r="A1338" s="215">
        <ns0:f>IF(OR(AH!$P$3=0,1333+1&gt;AH!$P$11,AND(AH!$E$4&lt;&gt;"Stored",AH!$P$10&lt;&gt;1)),"",IFERROR(IF(AND(AH!$P$21=1,1333+1=AH!$P$11),TODAY(),IF(AH!$P$10=1,INDEX('Live History'!$A$5:$A$3004,AH!$P$13+1333),INDEX('AH History'!$A$1:$A$18046,AH!$P$7+1333))),""))</ns0:f>
        <ns0:v/>
      </ns0:c>
      <ns0:c r="B1338" s="219">
        <ns0:f>IFERROR(IF(AND(AH!$P$9&lt;&gt;1,$C1338&gt;0,$D1338&gt;0,$E1338&gt;0,$F1338&gt;0,$G1338&gt;0,$F1338&lt;=$A1338,$G1338&lt;=$A1338,$A1338-$F1338&lt;=10,$A1338-$G1338&lt;=5),$D1338*$E1338/$C1338-1,NA()),NA())</ns0:f>
        <ns0:v/>
      </ns0:c>
      <ns0:c r="C1338">
        <ns0:f>IFERROR(IF(ISNUMBER($A1338),IF(AND(AH!$P$10=1,AH!$P$12=1,$A1338=TODAY()),AH!$P$19,IF(AH!$P$10=1,INDEX('Live History'!$B$5:$B$3004,AH!$P$13+1333),INDEX('AH History'!$B$1:$B$18046,AH!$P$7+1333))),NA()),NA())</ns0:f>
        <ns0:v/>
      </ns0:c>
      <ns0:c r="D1338">
        <ns0:f>IFERROR(IF(ISNUMBER($A1338),IF(AND(AH!$P$10=1,AH!$P$12=1,$A1338=TODAY()),AH!$P$18,IF(AH!$P$10=1,INDEX('Live History'!$E$5:$E$3004,MATCH($A1338,'Live History'!$D$5:$D$3004,1)),INDEX('AH History'!$C$1:$C$18046,AH!$P$7+1333))),NA()),NA())</ns0:f>
        <ns0:v/>
      </ns0:c>
      <ns0:c r="E1338">
        <ns0:f>IFERROR(IF(ISNUMBER($A1338),IF(AND(AH!$P$10=1,AH!$P$12=1,$A1338=TODAY()),AH!$P$20,IF(AH!$P$10=1,INDEX('Live History'!$H$5:$H$3004,MATCH($A1338,'Live History'!$G$5:$G$3004,1)),INDEX('AH History'!$D$1:$D$18046,AH!$P$7+1333))),NA()),NA())</ns0:f>
        <ns0:v/>
      </ns0:c>
      <ns0:c r="F1338">
        <ns0:f>IFERROR(IF(ISNUMBER($A1338),IF(AND(AH!$P$10=1,AH!$P$12=1,$A1338=TODAY()),IF(AND(AH!$P$10=1,AH!$P$12=1,$A1338=TODAY()),TODAY(),NA()),IF(AH!$P$10=1,INDEX('Live History'!$D$5:$D$3004,MATCH($A1338,'Live History'!$D$5:$D$3004,1)),INDEX('AH History'!$E$1:$E$18046,AH!$P$7+1333))),NA()),NA())</ns0:f>
        <ns0:v/>
      </ns0:c>
      <ns0:c r="G1338">
        <ns0:f>IFERROR(IF(ISNUMBER($A1338),IF(AND(AH!$P$10=1,AH!$P$12=1,$A1338=TODAY()),IF(AND(AH!$P$10=1,AH!$P$12=1,$A1338=TODAY()),TODAY(),NA()),IF(AH!$P$10=1,INDEX('Live History'!$G$5:$G$3004,MATCH($A1338,'Live History'!$G$5:$G$3004,1)),INDEX('AH History'!$F$1:$F$18046,AH!$P$7+1333))),NA()),NA())</ns0:f>
        <ns0:v/>
      </ns0:c>
      <ns0:c r="H1338">
        <ns0:f>IFERROR(IF(AND(AH!$E$4="Bloomberg",AH!$P$10=1,ISNUMBER($A1338),$A1338&lt;=AH!$P$17),AH!$P$7-1+MATCH($A1338,INDEX('AH History'!$A$1:$A$18046,AH!$P$7):INDEX('AH History'!$A$1:$A$18046,AH!$P$7+AH!$P$8-1),0),0),0)</ns0:f>
        <ns0:v/>
      </ns0:c>
      <ns0:c r="I1338">
        <ns0:f>IF($H1338=0,0,IFERROR(IF(AND(ABS($C1338-INDEX('AH History'!$B$1:$B$18046,$H1338))&lt;=MAX(0.005,ABS(INDEX('AH History'!$B$1:$B$18046,$H1338))*0.00005),ABS($D1338-INDEX('AH History'!$C$1:$C$18046,$H1338))&lt;=MAX(0.005,ABS(INDEX('AH History'!$C$1:$C$18046,$H1338))*0.00005),ABS($E1338-INDEX('AH History'!$D$1:$D$18046,$H1338))&lt;=0.00005,$F1338=INDEX('AH History'!$E$1:$E$18046,$H1338),$G1338=INDEX('AH History'!$F$1:$F$18046,$H1338)),1,-1),-1))</ns0:f>
        <ns0:v/>
      </ns0:c>
    </ns0:row>
    <ns0:row r="1339">
      <ns0:c r="A1339" s="215">
        <ns0:f>IF(OR(AH!$P$3=0,1334+1&gt;AH!$P$11,AND(AH!$E$4&lt;&gt;"Stored",AH!$P$10&lt;&gt;1)),"",IFERROR(IF(AND(AH!$P$21=1,1334+1=AH!$P$11),TODAY(),IF(AH!$P$10=1,INDEX('Live History'!$A$5:$A$3004,AH!$P$13+1334),INDEX('AH History'!$A$1:$A$18046,AH!$P$7+1334))),""))</ns0:f>
        <ns0:v/>
      </ns0:c>
      <ns0:c r="B1339" s="219">
        <ns0:f>IFERROR(IF(AND(AH!$P$9&lt;&gt;1,$C1339&gt;0,$D1339&gt;0,$E1339&gt;0,$F1339&gt;0,$G1339&gt;0,$F1339&lt;=$A1339,$G1339&lt;=$A1339,$A1339-$F1339&lt;=10,$A1339-$G1339&lt;=5),$D1339*$E1339/$C1339-1,NA()),NA())</ns0:f>
        <ns0:v/>
      </ns0:c>
      <ns0:c r="C1339">
        <ns0:f>IFERROR(IF(ISNUMBER($A1339),IF(AND(AH!$P$10=1,AH!$P$12=1,$A1339=TODAY()),AH!$P$19,IF(AH!$P$10=1,INDEX('Live History'!$B$5:$B$3004,AH!$P$13+1334),INDEX('AH History'!$B$1:$B$18046,AH!$P$7+1334))),NA()),NA())</ns0:f>
        <ns0:v/>
      </ns0:c>
      <ns0:c r="D1339">
        <ns0:f>IFERROR(IF(ISNUMBER($A1339),IF(AND(AH!$P$10=1,AH!$P$12=1,$A1339=TODAY()),AH!$P$18,IF(AH!$P$10=1,INDEX('Live History'!$E$5:$E$3004,MATCH($A1339,'Live History'!$D$5:$D$3004,1)),INDEX('AH History'!$C$1:$C$18046,AH!$P$7+1334))),NA()),NA())</ns0:f>
        <ns0:v/>
      </ns0:c>
      <ns0:c r="E1339">
        <ns0:f>IFERROR(IF(ISNUMBER($A1339),IF(AND(AH!$P$10=1,AH!$P$12=1,$A1339=TODAY()),AH!$P$20,IF(AH!$P$10=1,INDEX('Live History'!$H$5:$H$3004,MATCH($A1339,'Live History'!$G$5:$G$3004,1)),INDEX('AH History'!$D$1:$D$18046,AH!$P$7+1334))),NA()),NA())</ns0:f>
        <ns0:v/>
      </ns0:c>
      <ns0:c r="F1339">
        <ns0:f>IFERROR(IF(ISNUMBER($A1339),IF(AND(AH!$P$10=1,AH!$P$12=1,$A1339=TODAY()),IF(AND(AH!$P$10=1,AH!$P$12=1,$A1339=TODAY()),TODAY(),NA()),IF(AH!$P$10=1,INDEX('Live History'!$D$5:$D$3004,MATCH($A1339,'Live History'!$D$5:$D$3004,1)),INDEX('AH History'!$E$1:$E$18046,AH!$P$7+1334))),NA()),NA())</ns0:f>
        <ns0:v/>
      </ns0:c>
      <ns0:c r="G1339">
        <ns0:f>IFERROR(IF(ISNUMBER($A1339),IF(AND(AH!$P$10=1,AH!$P$12=1,$A1339=TODAY()),IF(AND(AH!$P$10=1,AH!$P$12=1,$A1339=TODAY()),TODAY(),NA()),IF(AH!$P$10=1,INDEX('Live History'!$G$5:$G$3004,MATCH($A1339,'Live History'!$G$5:$G$3004,1)),INDEX('AH History'!$F$1:$F$18046,AH!$P$7+1334))),NA()),NA())</ns0:f>
        <ns0:v/>
      </ns0:c>
      <ns0:c r="H1339">
        <ns0:f>IFERROR(IF(AND(AH!$E$4="Bloomberg",AH!$P$10=1,ISNUMBER($A1339),$A1339&lt;=AH!$P$17),AH!$P$7-1+MATCH($A1339,INDEX('AH History'!$A$1:$A$18046,AH!$P$7):INDEX('AH History'!$A$1:$A$18046,AH!$P$7+AH!$P$8-1),0),0),0)</ns0:f>
        <ns0:v/>
      </ns0:c>
      <ns0:c r="I1339">
        <ns0:f>IF($H1339=0,0,IFERROR(IF(AND(ABS($C1339-INDEX('AH History'!$B$1:$B$18046,$H1339))&lt;=MAX(0.005,ABS(INDEX('AH History'!$B$1:$B$18046,$H1339))*0.00005),ABS($D1339-INDEX('AH History'!$C$1:$C$18046,$H1339))&lt;=MAX(0.005,ABS(INDEX('AH History'!$C$1:$C$18046,$H1339))*0.00005),ABS($E1339-INDEX('AH History'!$D$1:$D$18046,$H1339))&lt;=0.00005,$F1339=INDEX('AH History'!$E$1:$E$18046,$H1339),$G1339=INDEX('AH History'!$F$1:$F$18046,$H1339)),1,-1),-1))</ns0:f>
        <ns0:v/>
      </ns0:c>
    </ns0:row>
    <ns0:row r="1340">
      <ns0:c r="A1340" s="215">
        <ns0:f>IF(OR(AH!$P$3=0,1335+1&gt;AH!$P$11,AND(AH!$E$4&lt;&gt;"Stored",AH!$P$10&lt;&gt;1)),"",IFERROR(IF(AND(AH!$P$21=1,1335+1=AH!$P$11),TODAY(),IF(AH!$P$10=1,INDEX('Live History'!$A$5:$A$3004,AH!$P$13+1335),INDEX('AH History'!$A$1:$A$18046,AH!$P$7+1335))),""))</ns0:f>
        <ns0:v/>
      </ns0:c>
      <ns0:c r="B1340" s="219">
        <ns0:f>IFERROR(IF(AND(AH!$P$9&lt;&gt;1,$C1340&gt;0,$D1340&gt;0,$E1340&gt;0,$F1340&gt;0,$G1340&gt;0,$F1340&lt;=$A1340,$G1340&lt;=$A1340,$A1340-$F1340&lt;=10,$A1340-$G1340&lt;=5),$D1340*$E1340/$C1340-1,NA()),NA())</ns0:f>
        <ns0:v/>
      </ns0:c>
      <ns0:c r="C1340">
        <ns0:f>IFERROR(IF(ISNUMBER($A1340),IF(AND(AH!$P$10=1,AH!$P$12=1,$A1340=TODAY()),AH!$P$19,IF(AH!$P$10=1,INDEX('Live History'!$B$5:$B$3004,AH!$P$13+1335),INDEX('AH History'!$B$1:$B$18046,AH!$P$7+1335))),NA()),NA())</ns0:f>
        <ns0:v/>
      </ns0:c>
      <ns0:c r="D1340">
        <ns0:f>IFERROR(IF(ISNUMBER($A1340),IF(AND(AH!$P$10=1,AH!$P$12=1,$A1340=TODAY()),AH!$P$18,IF(AH!$P$10=1,INDEX('Live History'!$E$5:$E$3004,MATCH($A1340,'Live History'!$D$5:$D$3004,1)),INDEX('AH History'!$C$1:$C$18046,AH!$P$7+1335))),NA()),NA())</ns0:f>
        <ns0:v/>
      </ns0:c>
      <ns0:c r="E1340">
        <ns0:f>IFERROR(IF(ISNUMBER($A1340),IF(AND(AH!$P$10=1,AH!$P$12=1,$A1340=TODAY()),AH!$P$20,IF(AH!$P$10=1,INDEX('Live History'!$H$5:$H$3004,MATCH($A1340,'Live History'!$G$5:$G$3004,1)),INDEX('AH History'!$D$1:$D$18046,AH!$P$7+1335))),NA()),NA())</ns0:f>
        <ns0:v/>
      </ns0:c>
      <ns0:c r="F1340">
        <ns0:f>IFERROR(IF(ISNUMBER($A1340),IF(AND(AH!$P$10=1,AH!$P$12=1,$A1340=TODAY()),IF(AND(AH!$P$10=1,AH!$P$12=1,$A1340=TODAY()),TODAY(),NA()),IF(AH!$P$10=1,INDEX('Live History'!$D$5:$D$3004,MATCH($A1340,'Live History'!$D$5:$D$3004,1)),INDEX('AH History'!$E$1:$E$18046,AH!$P$7+1335))),NA()),NA())</ns0:f>
        <ns0:v/>
      </ns0:c>
      <ns0:c r="G1340">
        <ns0:f>IFERROR(IF(ISNUMBER($A1340),IF(AND(AH!$P$10=1,AH!$P$12=1,$A1340=TODAY()),IF(AND(AH!$P$10=1,AH!$P$12=1,$A1340=TODAY()),TODAY(),NA()),IF(AH!$P$10=1,INDEX('Live History'!$G$5:$G$3004,MATCH($A1340,'Live History'!$G$5:$G$3004,1)),INDEX('AH History'!$F$1:$F$18046,AH!$P$7+1335))),NA()),NA())</ns0:f>
        <ns0:v/>
      </ns0:c>
      <ns0:c r="H1340">
        <ns0:f>IFERROR(IF(AND(AH!$E$4="Bloomberg",AH!$P$10=1,ISNUMBER($A1340),$A1340&lt;=AH!$P$17),AH!$P$7-1+MATCH($A1340,INDEX('AH History'!$A$1:$A$18046,AH!$P$7):INDEX('AH History'!$A$1:$A$18046,AH!$P$7+AH!$P$8-1),0),0),0)</ns0:f>
        <ns0:v/>
      </ns0:c>
      <ns0:c r="I1340">
        <ns0:f>IF($H1340=0,0,IFERROR(IF(AND(ABS($C1340-INDEX('AH History'!$B$1:$B$18046,$H1340))&lt;=MAX(0.005,ABS(INDEX('AH History'!$B$1:$B$18046,$H1340))*0.00005),ABS($D1340-INDEX('AH History'!$C$1:$C$18046,$H1340))&lt;=MAX(0.005,ABS(INDEX('AH History'!$C$1:$C$18046,$H1340))*0.00005),ABS($E1340-INDEX('AH History'!$D$1:$D$18046,$H1340))&lt;=0.00005,$F1340=INDEX('AH History'!$E$1:$E$18046,$H1340),$G1340=INDEX('AH History'!$F$1:$F$18046,$H1340)),1,-1),-1))</ns0:f>
        <ns0:v/>
      </ns0:c>
    </ns0:row>
    <ns0:row r="1341">
      <ns0:c r="A1341" s="215">
        <ns0:f>IF(OR(AH!$P$3=0,1336+1&gt;AH!$P$11,AND(AH!$E$4&lt;&gt;"Stored",AH!$P$10&lt;&gt;1)),"",IFERROR(IF(AND(AH!$P$21=1,1336+1=AH!$P$11),TODAY(),IF(AH!$P$10=1,INDEX('Live History'!$A$5:$A$3004,AH!$P$13+1336),INDEX('AH History'!$A$1:$A$18046,AH!$P$7+1336))),""))</ns0:f>
        <ns0:v/>
      </ns0:c>
      <ns0:c r="B1341" s="219">
        <ns0:f>IFERROR(IF(AND(AH!$P$9&lt;&gt;1,$C1341&gt;0,$D1341&gt;0,$E1341&gt;0,$F1341&gt;0,$G1341&gt;0,$F1341&lt;=$A1341,$G1341&lt;=$A1341,$A1341-$F1341&lt;=10,$A1341-$G1341&lt;=5),$D1341*$E1341/$C1341-1,NA()),NA())</ns0:f>
        <ns0:v/>
      </ns0:c>
      <ns0:c r="C1341">
        <ns0:f>IFERROR(IF(ISNUMBER($A1341),IF(AND(AH!$P$10=1,AH!$P$12=1,$A1341=TODAY()),AH!$P$19,IF(AH!$P$10=1,INDEX('Live History'!$B$5:$B$3004,AH!$P$13+1336),INDEX('AH History'!$B$1:$B$18046,AH!$P$7+1336))),NA()),NA())</ns0:f>
        <ns0:v/>
      </ns0:c>
      <ns0:c r="D1341">
        <ns0:f>IFERROR(IF(ISNUMBER($A1341),IF(AND(AH!$P$10=1,AH!$P$12=1,$A1341=TODAY()),AH!$P$18,IF(AH!$P$10=1,INDEX('Live History'!$E$5:$E$3004,MATCH($A1341,'Live History'!$D$5:$D$3004,1)),INDEX('AH History'!$C$1:$C$18046,AH!$P$7+1336))),NA()),NA())</ns0:f>
        <ns0:v/>
      </ns0:c>
      <ns0:c r="E1341">
        <ns0:f>IFERROR(IF(ISNUMBER($A1341),IF(AND(AH!$P$10=1,AH!$P$12=1,$A1341=TODAY()),AH!$P$20,IF(AH!$P$10=1,INDEX('Live History'!$H$5:$H$3004,MATCH($A1341,'Live History'!$G$5:$G$3004,1)),INDEX('AH History'!$D$1:$D$18046,AH!$P$7+1336))),NA()),NA())</ns0:f>
        <ns0:v/>
      </ns0:c>
      <ns0:c r="F1341">
        <ns0:f>IFERROR(IF(ISNUMBER($A1341),IF(AND(AH!$P$10=1,AH!$P$12=1,$A1341=TODAY()),IF(AND(AH!$P$10=1,AH!$P$12=1,$A1341=TODAY()),TODAY(),NA()),IF(AH!$P$10=1,INDEX('Live History'!$D$5:$D$3004,MATCH($A1341,'Live History'!$D$5:$D$3004,1)),INDEX('AH History'!$E$1:$E$18046,AH!$P$7+1336))),NA()),NA())</ns0:f>
        <ns0:v/>
      </ns0:c>
      <ns0:c r="G1341">
        <ns0:f>IFERROR(IF(ISNUMBER($A1341),IF(AND(AH!$P$10=1,AH!$P$12=1,$A1341=TODAY()),IF(AND(AH!$P$10=1,AH!$P$12=1,$A1341=TODAY()),TODAY(),NA()),IF(AH!$P$10=1,INDEX('Live History'!$G$5:$G$3004,MATCH($A1341,'Live History'!$G$5:$G$3004,1)),INDEX('AH History'!$F$1:$F$18046,AH!$P$7+1336))),NA()),NA())</ns0:f>
        <ns0:v/>
      </ns0:c>
      <ns0:c r="H1341">
        <ns0:f>IFERROR(IF(AND(AH!$E$4="Bloomberg",AH!$P$10=1,ISNUMBER($A1341),$A1341&lt;=AH!$P$17),AH!$P$7-1+MATCH($A1341,INDEX('AH History'!$A$1:$A$18046,AH!$P$7):INDEX('AH History'!$A$1:$A$18046,AH!$P$7+AH!$P$8-1),0),0),0)</ns0:f>
        <ns0:v/>
      </ns0:c>
      <ns0:c r="I1341">
        <ns0:f>IF($H1341=0,0,IFERROR(IF(AND(ABS($C1341-INDEX('AH History'!$B$1:$B$18046,$H1341))&lt;=MAX(0.005,ABS(INDEX('AH History'!$B$1:$B$18046,$H1341))*0.00005),ABS($D1341-INDEX('AH History'!$C$1:$C$18046,$H1341))&lt;=MAX(0.005,ABS(INDEX('AH History'!$C$1:$C$18046,$H1341))*0.00005),ABS($E1341-INDEX('AH History'!$D$1:$D$18046,$H1341))&lt;=0.00005,$F1341=INDEX('AH History'!$E$1:$E$18046,$H1341),$G1341=INDEX('AH History'!$F$1:$F$18046,$H1341)),1,-1),-1))</ns0:f>
        <ns0:v/>
      </ns0:c>
    </ns0:row>
    <ns0:row r="1342">
      <ns0:c r="A1342" s="215">
        <ns0:f>IF(OR(AH!$P$3=0,1337+1&gt;AH!$P$11,AND(AH!$E$4&lt;&gt;"Stored",AH!$P$10&lt;&gt;1)),"",IFERROR(IF(AND(AH!$P$21=1,1337+1=AH!$P$11),TODAY(),IF(AH!$P$10=1,INDEX('Live History'!$A$5:$A$3004,AH!$P$13+1337),INDEX('AH History'!$A$1:$A$18046,AH!$P$7+1337))),""))</ns0:f>
        <ns0:v/>
      </ns0:c>
      <ns0:c r="B1342" s="219">
        <ns0:f>IFERROR(IF(AND(AH!$P$9&lt;&gt;1,$C1342&gt;0,$D1342&gt;0,$E1342&gt;0,$F1342&gt;0,$G1342&gt;0,$F1342&lt;=$A1342,$G1342&lt;=$A1342,$A1342-$F1342&lt;=10,$A1342-$G1342&lt;=5),$D1342*$E1342/$C1342-1,NA()),NA())</ns0:f>
        <ns0:v/>
      </ns0:c>
      <ns0:c r="C1342">
        <ns0:f>IFERROR(IF(ISNUMBER($A1342),IF(AND(AH!$P$10=1,AH!$P$12=1,$A1342=TODAY()),AH!$P$19,IF(AH!$P$10=1,INDEX('Live History'!$B$5:$B$3004,AH!$P$13+1337),INDEX('AH History'!$B$1:$B$18046,AH!$P$7+1337))),NA()),NA())</ns0:f>
        <ns0:v/>
      </ns0:c>
      <ns0:c r="D1342">
        <ns0:f>IFERROR(IF(ISNUMBER($A1342),IF(AND(AH!$P$10=1,AH!$P$12=1,$A1342=TODAY()),AH!$P$18,IF(AH!$P$10=1,INDEX('Live History'!$E$5:$E$3004,MATCH($A1342,'Live History'!$D$5:$D$3004,1)),INDEX('AH History'!$C$1:$C$18046,AH!$P$7+1337))),NA()),NA())</ns0:f>
        <ns0:v/>
      </ns0:c>
      <ns0:c r="E1342">
        <ns0:f>IFERROR(IF(ISNUMBER($A1342),IF(AND(AH!$P$10=1,AH!$P$12=1,$A1342=TODAY()),AH!$P$20,IF(AH!$P$10=1,INDEX('Live History'!$H$5:$H$3004,MATCH($A1342,'Live History'!$G$5:$G$3004,1)),INDEX('AH History'!$D$1:$D$18046,AH!$P$7+1337))),NA()),NA())</ns0:f>
        <ns0:v/>
      </ns0:c>
      <ns0:c r="F1342">
        <ns0:f>IFERROR(IF(ISNUMBER($A1342),IF(AND(AH!$P$10=1,AH!$P$12=1,$A1342=TODAY()),IF(AND(AH!$P$10=1,AH!$P$12=1,$A1342=TODAY()),TODAY(),NA()),IF(AH!$P$10=1,INDEX('Live History'!$D$5:$D$3004,MATCH($A1342,'Live History'!$D$5:$D$3004,1)),INDEX('AH History'!$E$1:$E$18046,AH!$P$7+1337))),NA()),NA())</ns0:f>
        <ns0:v/>
      </ns0:c>
      <ns0:c r="G1342">
        <ns0:f>IFERROR(IF(ISNUMBER($A1342),IF(AND(AH!$P$10=1,AH!$P$12=1,$A1342=TODAY()),IF(AND(AH!$P$10=1,AH!$P$12=1,$A1342=TODAY()),TODAY(),NA()),IF(AH!$P$10=1,INDEX('Live History'!$G$5:$G$3004,MATCH($A1342,'Live History'!$G$5:$G$3004,1)),INDEX('AH History'!$F$1:$F$18046,AH!$P$7+1337))),NA()),NA())</ns0:f>
        <ns0:v/>
      </ns0:c>
      <ns0:c r="H1342">
        <ns0:f>IFERROR(IF(AND(AH!$E$4="Bloomberg",AH!$P$10=1,ISNUMBER($A1342),$A1342&lt;=AH!$P$17),AH!$P$7-1+MATCH($A1342,INDEX('AH History'!$A$1:$A$18046,AH!$P$7):INDEX('AH History'!$A$1:$A$18046,AH!$P$7+AH!$P$8-1),0),0),0)</ns0:f>
        <ns0:v/>
      </ns0:c>
      <ns0:c r="I1342">
        <ns0:f>IF($H1342=0,0,IFERROR(IF(AND(ABS($C1342-INDEX('AH History'!$B$1:$B$18046,$H1342))&lt;=MAX(0.005,ABS(INDEX('AH History'!$B$1:$B$18046,$H1342))*0.00005),ABS($D1342-INDEX('AH History'!$C$1:$C$18046,$H1342))&lt;=MAX(0.005,ABS(INDEX('AH History'!$C$1:$C$18046,$H1342))*0.00005),ABS($E1342-INDEX('AH History'!$D$1:$D$18046,$H1342))&lt;=0.00005,$F1342=INDEX('AH History'!$E$1:$E$18046,$H1342),$G1342=INDEX('AH History'!$F$1:$F$18046,$H1342)),1,-1),-1))</ns0:f>
        <ns0:v/>
      </ns0:c>
    </ns0:row>
    <ns0:row r="1343">
      <ns0:c r="A1343" s="215">
        <ns0:f>IF(OR(AH!$P$3=0,1338+1&gt;AH!$P$11,AND(AH!$E$4&lt;&gt;"Stored",AH!$P$10&lt;&gt;1)),"",IFERROR(IF(AND(AH!$P$21=1,1338+1=AH!$P$11),TODAY(),IF(AH!$P$10=1,INDEX('Live History'!$A$5:$A$3004,AH!$P$13+1338),INDEX('AH History'!$A$1:$A$18046,AH!$P$7+1338))),""))</ns0:f>
        <ns0:v/>
      </ns0:c>
      <ns0:c r="B1343" s="219">
        <ns0:f>IFERROR(IF(AND(AH!$P$9&lt;&gt;1,$C1343&gt;0,$D1343&gt;0,$E1343&gt;0,$F1343&gt;0,$G1343&gt;0,$F1343&lt;=$A1343,$G1343&lt;=$A1343,$A1343-$F1343&lt;=10,$A1343-$G1343&lt;=5),$D1343*$E1343/$C1343-1,NA()),NA())</ns0:f>
        <ns0:v/>
      </ns0:c>
      <ns0:c r="C1343">
        <ns0:f>IFERROR(IF(ISNUMBER($A1343),IF(AND(AH!$P$10=1,AH!$P$12=1,$A1343=TODAY()),AH!$P$19,IF(AH!$P$10=1,INDEX('Live History'!$B$5:$B$3004,AH!$P$13+1338),INDEX('AH History'!$B$1:$B$18046,AH!$P$7+1338))),NA()),NA())</ns0:f>
        <ns0:v/>
      </ns0:c>
      <ns0:c r="D1343">
        <ns0:f>IFERROR(IF(ISNUMBER($A1343),IF(AND(AH!$P$10=1,AH!$P$12=1,$A1343=TODAY()),AH!$P$18,IF(AH!$P$10=1,INDEX('Live History'!$E$5:$E$3004,MATCH($A1343,'Live History'!$D$5:$D$3004,1)),INDEX('AH History'!$C$1:$C$18046,AH!$P$7+1338))),NA()),NA())</ns0:f>
        <ns0:v/>
      </ns0:c>
      <ns0:c r="E1343">
        <ns0:f>IFERROR(IF(ISNUMBER($A1343),IF(AND(AH!$P$10=1,AH!$P$12=1,$A1343=TODAY()),AH!$P$20,IF(AH!$P$10=1,INDEX('Live History'!$H$5:$H$3004,MATCH($A1343,'Live History'!$G$5:$G$3004,1)),INDEX('AH History'!$D$1:$D$18046,AH!$P$7+1338))),NA()),NA())</ns0:f>
        <ns0:v/>
      </ns0:c>
      <ns0:c r="F1343">
        <ns0:f>IFERROR(IF(ISNUMBER($A1343),IF(AND(AH!$P$10=1,AH!$P$12=1,$A1343=TODAY()),IF(AND(AH!$P$10=1,AH!$P$12=1,$A1343=TODAY()),TODAY(),NA()),IF(AH!$P$10=1,INDEX('Live History'!$D$5:$D$3004,MATCH($A1343,'Live History'!$D$5:$D$3004,1)),INDEX('AH History'!$E$1:$E$18046,AH!$P$7+1338))),NA()),NA())</ns0:f>
        <ns0:v/>
      </ns0:c>
      <ns0:c r="G1343">
        <ns0:f>IFERROR(IF(ISNUMBER($A1343),IF(AND(AH!$P$10=1,AH!$P$12=1,$A1343=TODAY()),IF(AND(AH!$P$10=1,AH!$P$12=1,$A1343=TODAY()),TODAY(),NA()),IF(AH!$P$10=1,INDEX('Live History'!$G$5:$G$3004,MATCH($A1343,'Live History'!$G$5:$G$3004,1)),INDEX('AH History'!$F$1:$F$18046,AH!$P$7+1338))),NA()),NA())</ns0:f>
        <ns0:v/>
      </ns0:c>
      <ns0:c r="H1343">
        <ns0:f>IFERROR(IF(AND(AH!$E$4="Bloomberg",AH!$P$10=1,ISNUMBER($A1343),$A1343&lt;=AH!$P$17),AH!$P$7-1+MATCH($A1343,INDEX('AH History'!$A$1:$A$18046,AH!$P$7):INDEX('AH History'!$A$1:$A$18046,AH!$P$7+AH!$P$8-1),0),0),0)</ns0:f>
        <ns0:v/>
      </ns0:c>
      <ns0:c r="I1343">
        <ns0:f>IF($H1343=0,0,IFERROR(IF(AND(ABS($C1343-INDEX('AH History'!$B$1:$B$18046,$H1343))&lt;=MAX(0.005,ABS(INDEX('AH History'!$B$1:$B$18046,$H1343))*0.00005),ABS($D1343-INDEX('AH History'!$C$1:$C$18046,$H1343))&lt;=MAX(0.005,ABS(INDEX('AH History'!$C$1:$C$18046,$H1343))*0.00005),ABS($E1343-INDEX('AH History'!$D$1:$D$18046,$H1343))&lt;=0.00005,$F1343=INDEX('AH History'!$E$1:$E$18046,$H1343),$G1343=INDEX('AH History'!$F$1:$F$18046,$H1343)),1,-1),-1))</ns0:f>
        <ns0:v/>
      </ns0:c>
    </ns0:row>
    <ns0:row r="1344">
      <ns0:c r="A1344" s="215">
        <ns0:f>IF(OR(AH!$P$3=0,1339+1&gt;AH!$P$11,AND(AH!$E$4&lt;&gt;"Stored",AH!$P$10&lt;&gt;1)),"",IFERROR(IF(AND(AH!$P$21=1,1339+1=AH!$P$11),TODAY(),IF(AH!$P$10=1,INDEX('Live History'!$A$5:$A$3004,AH!$P$13+1339),INDEX('AH History'!$A$1:$A$18046,AH!$P$7+1339))),""))</ns0:f>
        <ns0:v/>
      </ns0:c>
      <ns0:c r="B1344" s="219">
        <ns0:f>IFERROR(IF(AND(AH!$P$9&lt;&gt;1,$C1344&gt;0,$D1344&gt;0,$E1344&gt;0,$F1344&gt;0,$G1344&gt;0,$F1344&lt;=$A1344,$G1344&lt;=$A1344,$A1344-$F1344&lt;=10,$A1344-$G1344&lt;=5),$D1344*$E1344/$C1344-1,NA()),NA())</ns0:f>
        <ns0:v/>
      </ns0:c>
      <ns0:c r="C1344">
        <ns0:f>IFERROR(IF(ISNUMBER($A1344),IF(AND(AH!$P$10=1,AH!$P$12=1,$A1344=TODAY()),AH!$P$19,IF(AH!$P$10=1,INDEX('Live History'!$B$5:$B$3004,AH!$P$13+1339),INDEX('AH History'!$B$1:$B$18046,AH!$P$7+1339))),NA()),NA())</ns0:f>
        <ns0:v/>
      </ns0:c>
      <ns0:c r="D1344">
        <ns0:f>IFERROR(IF(ISNUMBER($A1344),IF(AND(AH!$P$10=1,AH!$P$12=1,$A1344=TODAY()),AH!$P$18,IF(AH!$P$10=1,INDEX('Live History'!$E$5:$E$3004,MATCH($A1344,'Live History'!$D$5:$D$3004,1)),INDEX('AH History'!$C$1:$C$18046,AH!$P$7+1339))),NA()),NA())</ns0:f>
        <ns0:v/>
      </ns0:c>
      <ns0:c r="E1344">
        <ns0:f>IFERROR(IF(ISNUMBER($A1344),IF(AND(AH!$P$10=1,AH!$P$12=1,$A1344=TODAY()),AH!$P$20,IF(AH!$P$10=1,INDEX('Live History'!$H$5:$H$3004,MATCH($A1344,'Live History'!$G$5:$G$3004,1)),INDEX('AH History'!$D$1:$D$18046,AH!$P$7+1339))),NA()),NA())</ns0:f>
        <ns0:v/>
      </ns0:c>
      <ns0:c r="F1344">
        <ns0:f>IFERROR(IF(ISNUMBER($A1344),IF(AND(AH!$P$10=1,AH!$P$12=1,$A1344=TODAY()),IF(AND(AH!$P$10=1,AH!$P$12=1,$A1344=TODAY()),TODAY(),NA()),IF(AH!$P$10=1,INDEX('Live History'!$D$5:$D$3004,MATCH($A1344,'Live History'!$D$5:$D$3004,1)),INDEX('AH History'!$E$1:$E$18046,AH!$P$7+1339))),NA()),NA())</ns0:f>
        <ns0:v/>
      </ns0:c>
      <ns0:c r="G1344">
        <ns0:f>IFERROR(IF(ISNUMBER($A1344),IF(AND(AH!$P$10=1,AH!$P$12=1,$A1344=TODAY()),IF(AND(AH!$P$10=1,AH!$P$12=1,$A1344=TODAY()),TODAY(),NA()),IF(AH!$P$10=1,INDEX('Live History'!$G$5:$G$3004,MATCH($A1344,'Live History'!$G$5:$G$3004,1)),INDEX('AH History'!$F$1:$F$18046,AH!$P$7+1339))),NA()),NA())</ns0:f>
        <ns0:v/>
      </ns0:c>
      <ns0:c r="H1344">
        <ns0:f>IFERROR(IF(AND(AH!$E$4="Bloomberg",AH!$P$10=1,ISNUMBER($A1344),$A1344&lt;=AH!$P$17),AH!$P$7-1+MATCH($A1344,INDEX('AH History'!$A$1:$A$18046,AH!$P$7):INDEX('AH History'!$A$1:$A$18046,AH!$P$7+AH!$P$8-1),0),0),0)</ns0:f>
        <ns0:v/>
      </ns0:c>
      <ns0:c r="I1344">
        <ns0:f>IF($H1344=0,0,IFERROR(IF(AND(ABS($C1344-INDEX('AH History'!$B$1:$B$18046,$H1344))&lt;=MAX(0.005,ABS(INDEX('AH History'!$B$1:$B$18046,$H1344))*0.00005),ABS($D1344-INDEX('AH History'!$C$1:$C$18046,$H1344))&lt;=MAX(0.005,ABS(INDEX('AH History'!$C$1:$C$18046,$H1344))*0.00005),ABS($E1344-INDEX('AH History'!$D$1:$D$18046,$H1344))&lt;=0.00005,$F1344=INDEX('AH History'!$E$1:$E$18046,$H1344),$G1344=INDEX('AH History'!$F$1:$F$18046,$H1344)),1,-1),-1))</ns0:f>
        <ns0:v/>
      </ns0:c>
    </ns0:row>
    <ns0:row r="1345">
      <ns0:c r="A1345" s="215">
        <ns0:f>IF(OR(AH!$P$3=0,1340+1&gt;AH!$P$11,AND(AH!$E$4&lt;&gt;"Stored",AH!$P$10&lt;&gt;1)),"",IFERROR(IF(AND(AH!$P$21=1,1340+1=AH!$P$11),TODAY(),IF(AH!$P$10=1,INDEX('Live History'!$A$5:$A$3004,AH!$P$13+1340),INDEX('AH History'!$A$1:$A$18046,AH!$P$7+1340))),""))</ns0:f>
        <ns0:v/>
      </ns0:c>
      <ns0:c r="B1345" s="219">
        <ns0:f>IFERROR(IF(AND(AH!$P$9&lt;&gt;1,$C1345&gt;0,$D1345&gt;0,$E1345&gt;0,$F1345&gt;0,$G1345&gt;0,$F1345&lt;=$A1345,$G1345&lt;=$A1345,$A1345-$F1345&lt;=10,$A1345-$G1345&lt;=5),$D1345*$E1345/$C1345-1,NA()),NA())</ns0:f>
        <ns0:v/>
      </ns0:c>
      <ns0:c r="C1345">
        <ns0:f>IFERROR(IF(ISNUMBER($A1345),IF(AND(AH!$P$10=1,AH!$P$12=1,$A1345=TODAY()),AH!$P$19,IF(AH!$P$10=1,INDEX('Live History'!$B$5:$B$3004,AH!$P$13+1340),INDEX('AH History'!$B$1:$B$18046,AH!$P$7+1340))),NA()),NA())</ns0:f>
        <ns0:v/>
      </ns0:c>
      <ns0:c r="D1345">
        <ns0:f>IFERROR(IF(ISNUMBER($A1345),IF(AND(AH!$P$10=1,AH!$P$12=1,$A1345=TODAY()),AH!$P$18,IF(AH!$P$10=1,INDEX('Live History'!$E$5:$E$3004,MATCH($A1345,'Live History'!$D$5:$D$3004,1)),INDEX('AH History'!$C$1:$C$18046,AH!$P$7+1340))),NA()),NA())</ns0:f>
        <ns0:v/>
      </ns0:c>
      <ns0:c r="E1345">
        <ns0:f>IFERROR(IF(ISNUMBER($A1345),IF(AND(AH!$P$10=1,AH!$P$12=1,$A1345=TODAY()),AH!$P$20,IF(AH!$P$10=1,INDEX('Live History'!$H$5:$H$3004,MATCH($A1345,'Live History'!$G$5:$G$3004,1)),INDEX('AH History'!$D$1:$D$18046,AH!$P$7+1340))),NA()),NA())</ns0:f>
        <ns0:v/>
      </ns0:c>
      <ns0:c r="F1345">
        <ns0:f>IFERROR(IF(ISNUMBER($A1345),IF(AND(AH!$P$10=1,AH!$P$12=1,$A1345=TODAY()),IF(AND(AH!$P$10=1,AH!$P$12=1,$A1345=TODAY()),TODAY(),NA()),IF(AH!$P$10=1,INDEX('Live History'!$D$5:$D$3004,MATCH($A1345,'Live History'!$D$5:$D$3004,1)),INDEX('AH History'!$E$1:$E$18046,AH!$P$7+1340))),NA()),NA())</ns0:f>
        <ns0:v/>
      </ns0:c>
      <ns0:c r="G1345">
        <ns0:f>IFERROR(IF(ISNUMBER($A1345),IF(AND(AH!$P$10=1,AH!$P$12=1,$A1345=TODAY()),IF(AND(AH!$P$10=1,AH!$P$12=1,$A1345=TODAY()),TODAY(),NA()),IF(AH!$P$10=1,INDEX('Live History'!$G$5:$G$3004,MATCH($A1345,'Live History'!$G$5:$G$3004,1)),INDEX('AH History'!$F$1:$F$18046,AH!$P$7+1340))),NA()),NA())</ns0:f>
        <ns0:v/>
      </ns0:c>
      <ns0:c r="H1345">
        <ns0:f>IFERROR(IF(AND(AH!$E$4="Bloomberg",AH!$P$10=1,ISNUMBER($A1345),$A1345&lt;=AH!$P$17),AH!$P$7-1+MATCH($A1345,INDEX('AH History'!$A$1:$A$18046,AH!$P$7):INDEX('AH History'!$A$1:$A$18046,AH!$P$7+AH!$P$8-1),0),0),0)</ns0:f>
        <ns0:v/>
      </ns0:c>
      <ns0:c r="I1345">
        <ns0:f>IF($H1345=0,0,IFERROR(IF(AND(ABS($C1345-INDEX('AH History'!$B$1:$B$18046,$H1345))&lt;=MAX(0.005,ABS(INDEX('AH History'!$B$1:$B$18046,$H1345))*0.00005),ABS($D1345-INDEX('AH History'!$C$1:$C$18046,$H1345))&lt;=MAX(0.005,ABS(INDEX('AH History'!$C$1:$C$18046,$H1345))*0.00005),ABS($E1345-INDEX('AH History'!$D$1:$D$18046,$H1345))&lt;=0.00005,$F1345=INDEX('AH History'!$E$1:$E$18046,$H1345),$G1345=INDEX('AH History'!$F$1:$F$18046,$H1345)),1,-1),-1))</ns0:f>
        <ns0:v/>
      </ns0:c>
    </ns0:row>
    <ns0:row r="1346">
      <ns0:c r="A1346" s="215">
        <ns0:f>IF(OR(AH!$P$3=0,1341+1&gt;AH!$P$11,AND(AH!$E$4&lt;&gt;"Stored",AH!$P$10&lt;&gt;1)),"",IFERROR(IF(AND(AH!$P$21=1,1341+1=AH!$P$11),TODAY(),IF(AH!$P$10=1,INDEX('Live History'!$A$5:$A$3004,AH!$P$13+1341),INDEX('AH History'!$A$1:$A$18046,AH!$P$7+1341))),""))</ns0:f>
        <ns0:v/>
      </ns0:c>
      <ns0:c r="B1346" s="219">
        <ns0:f>IFERROR(IF(AND(AH!$P$9&lt;&gt;1,$C1346&gt;0,$D1346&gt;0,$E1346&gt;0,$F1346&gt;0,$G1346&gt;0,$F1346&lt;=$A1346,$G1346&lt;=$A1346,$A1346-$F1346&lt;=10,$A1346-$G1346&lt;=5),$D1346*$E1346/$C1346-1,NA()),NA())</ns0:f>
        <ns0:v/>
      </ns0:c>
      <ns0:c r="C1346">
        <ns0:f>IFERROR(IF(ISNUMBER($A1346),IF(AND(AH!$P$10=1,AH!$P$12=1,$A1346=TODAY()),AH!$P$19,IF(AH!$P$10=1,INDEX('Live History'!$B$5:$B$3004,AH!$P$13+1341),INDEX('AH History'!$B$1:$B$18046,AH!$P$7+1341))),NA()),NA())</ns0:f>
        <ns0:v/>
      </ns0:c>
      <ns0:c r="D1346">
        <ns0:f>IFERROR(IF(ISNUMBER($A1346),IF(AND(AH!$P$10=1,AH!$P$12=1,$A1346=TODAY()),AH!$P$18,IF(AH!$P$10=1,INDEX('Live History'!$E$5:$E$3004,MATCH($A1346,'Live History'!$D$5:$D$3004,1)),INDEX('AH History'!$C$1:$C$18046,AH!$P$7+1341))),NA()),NA())</ns0:f>
        <ns0:v/>
      </ns0:c>
      <ns0:c r="E1346">
        <ns0:f>IFERROR(IF(ISNUMBER($A1346),IF(AND(AH!$P$10=1,AH!$P$12=1,$A1346=TODAY()),AH!$P$20,IF(AH!$P$10=1,INDEX('Live History'!$H$5:$H$3004,MATCH($A1346,'Live History'!$G$5:$G$3004,1)),INDEX('AH History'!$D$1:$D$18046,AH!$P$7+1341))),NA()),NA())</ns0:f>
        <ns0:v/>
      </ns0:c>
      <ns0:c r="F1346">
        <ns0:f>IFERROR(IF(ISNUMBER($A1346),IF(AND(AH!$P$10=1,AH!$P$12=1,$A1346=TODAY()),IF(AND(AH!$P$10=1,AH!$P$12=1,$A1346=TODAY()),TODAY(),NA()),IF(AH!$P$10=1,INDEX('Live History'!$D$5:$D$3004,MATCH($A1346,'Live History'!$D$5:$D$3004,1)),INDEX('AH History'!$E$1:$E$18046,AH!$P$7+1341))),NA()),NA())</ns0:f>
        <ns0:v/>
      </ns0:c>
      <ns0:c r="G1346">
        <ns0:f>IFERROR(IF(ISNUMBER($A1346),IF(AND(AH!$P$10=1,AH!$P$12=1,$A1346=TODAY()),IF(AND(AH!$P$10=1,AH!$P$12=1,$A1346=TODAY()),TODAY(),NA()),IF(AH!$P$10=1,INDEX('Live History'!$G$5:$G$3004,MATCH($A1346,'Live History'!$G$5:$G$3004,1)),INDEX('AH History'!$F$1:$F$18046,AH!$P$7+1341))),NA()),NA())</ns0:f>
        <ns0:v/>
      </ns0:c>
      <ns0:c r="H1346">
        <ns0:f>IFERROR(IF(AND(AH!$E$4="Bloomberg",AH!$P$10=1,ISNUMBER($A1346),$A1346&lt;=AH!$P$17),AH!$P$7-1+MATCH($A1346,INDEX('AH History'!$A$1:$A$18046,AH!$P$7):INDEX('AH History'!$A$1:$A$18046,AH!$P$7+AH!$P$8-1),0),0),0)</ns0:f>
        <ns0:v/>
      </ns0:c>
      <ns0:c r="I1346">
        <ns0:f>IF($H1346=0,0,IFERROR(IF(AND(ABS($C1346-INDEX('AH History'!$B$1:$B$18046,$H1346))&lt;=MAX(0.005,ABS(INDEX('AH History'!$B$1:$B$18046,$H1346))*0.00005),ABS($D1346-INDEX('AH History'!$C$1:$C$18046,$H1346))&lt;=MAX(0.005,ABS(INDEX('AH History'!$C$1:$C$18046,$H1346))*0.00005),ABS($E1346-INDEX('AH History'!$D$1:$D$18046,$H1346))&lt;=0.00005,$F1346=INDEX('AH History'!$E$1:$E$18046,$H1346),$G1346=INDEX('AH History'!$F$1:$F$18046,$H1346)),1,-1),-1))</ns0:f>
        <ns0:v/>
      </ns0:c>
    </ns0:row>
    <ns0:row r="1347">
      <ns0:c r="A1347" s="215">
        <ns0:f>IF(OR(AH!$P$3=0,1342+1&gt;AH!$P$11,AND(AH!$E$4&lt;&gt;"Stored",AH!$P$10&lt;&gt;1)),"",IFERROR(IF(AND(AH!$P$21=1,1342+1=AH!$P$11),TODAY(),IF(AH!$P$10=1,INDEX('Live History'!$A$5:$A$3004,AH!$P$13+1342),INDEX('AH History'!$A$1:$A$18046,AH!$P$7+1342))),""))</ns0:f>
        <ns0:v/>
      </ns0:c>
      <ns0:c r="B1347" s="219">
        <ns0:f>IFERROR(IF(AND(AH!$P$9&lt;&gt;1,$C1347&gt;0,$D1347&gt;0,$E1347&gt;0,$F1347&gt;0,$G1347&gt;0,$F1347&lt;=$A1347,$G1347&lt;=$A1347,$A1347-$F1347&lt;=10,$A1347-$G1347&lt;=5),$D1347*$E1347/$C1347-1,NA()),NA())</ns0:f>
        <ns0:v/>
      </ns0:c>
      <ns0:c r="C1347">
        <ns0:f>IFERROR(IF(ISNUMBER($A1347),IF(AND(AH!$P$10=1,AH!$P$12=1,$A1347=TODAY()),AH!$P$19,IF(AH!$P$10=1,INDEX('Live History'!$B$5:$B$3004,AH!$P$13+1342),INDEX('AH History'!$B$1:$B$18046,AH!$P$7+1342))),NA()),NA())</ns0:f>
        <ns0:v/>
      </ns0:c>
      <ns0:c r="D1347">
        <ns0:f>IFERROR(IF(ISNUMBER($A1347),IF(AND(AH!$P$10=1,AH!$P$12=1,$A1347=TODAY()),AH!$P$18,IF(AH!$P$10=1,INDEX('Live History'!$E$5:$E$3004,MATCH($A1347,'Live History'!$D$5:$D$3004,1)),INDEX('AH History'!$C$1:$C$18046,AH!$P$7+1342))),NA()),NA())</ns0:f>
        <ns0:v/>
      </ns0:c>
      <ns0:c r="E1347">
        <ns0:f>IFERROR(IF(ISNUMBER($A1347),IF(AND(AH!$P$10=1,AH!$P$12=1,$A1347=TODAY()),AH!$P$20,IF(AH!$P$10=1,INDEX('Live History'!$H$5:$H$3004,MATCH($A1347,'Live History'!$G$5:$G$3004,1)),INDEX('AH History'!$D$1:$D$18046,AH!$P$7+1342))),NA()),NA())</ns0:f>
        <ns0:v/>
      </ns0:c>
      <ns0:c r="F1347">
        <ns0:f>IFERROR(IF(ISNUMBER($A1347),IF(AND(AH!$P$10=1,AH!$P$12=1,$A1347=TODAY()),IF(AND(AH!$P$10=1,AH!$P$12=1,$A1347=TODAY()),TODAY(),NA()),IF(AH!$P$10=1,INDEX('Live History'!$D$5:$D$3004,MATCH($A1347,'Live History'!$D$5:$D$3004,1)),INDEX('AH History'!$E$1:$E$18046,AH!$P$7+1342))),NA()),NA())</ns0:f>
        <ns0:v/>
      </ns0:c>
      <ns0:c r="G1347">
        <ns0:f>IFERROR(IF(ISNUMBER($A1347),IF(AND(AH!$P$10=1,AH!$P$12=1,$A1347=TODAY()),IF(AND(AH!$P$10=1,AH!$P$12=1,$A1347=TODAY()),TODAY(),NA()),IF(AH!$P$10=1,INDEX('Live History'!$G$5:$G$3004,MATCH($A1347,'Live History'!$G$5:$G$3004,1)),INDEX('AH History'!$F$1:$F$18046,AH!$P$7+1342))),NA()),NA())</ns0:f>
        <ns0:v/>
      </ns0:c>
      <ns0:c r="H1347">
        <ns0:f>IFERROR(IF(AND(AH!$E$4="Bloomberg",AH!$P$10=1,ISNUMBER($A1347),$A1347&lt;=AH!$P$17),AH!$P$7-1+MATCH($A1347,INDEX('AH History'!$A$1:$A$18046,AH!$P$7):INDEX('AH History'!$A$1:$A$18046,AH!$P$7+AH!$P$8-1),0),0),0)</ns0:f>
        <ns0:v/>
      </ns0:c>
      <ns0:c r="I1347">
        <ns0:f>IF($H1347=0,0,IFERROR(IF(AND(ABS($C1347-INDEX('AH History'!$B$1:$B$18046,$H1347))&lt;=MAX(0.005,ABS(INDEX('AH History'!$B$1:$B$18046,$H1347))*0.00005),ABS($D1347-INDEX('AH History'!$C$1:$C$18046,$H1347))&lt;=MAX(0.005,ABS(INDEX('AH History'!$C$1:$C$18046,$H1347))*0.00005),ABS($E1347-INDEX('AH History'!$D$1:$D$18046,$H1347))&lt;=0.00005,$F1347=INDEX('AH History'!$E$1:$E$18046,$H1347),$G1347=INDEX('AH History'!$F$1:$F$18046,$H1347)),1,-1),-1))</ns0:f>
        <ns0:v/>
      </ns0:c>
    </ns0:row>
    <ns0:row r="1348">
      <ns0:c r="A1348" s="215">
        <ns0:f>IF(OR(AH!$P$3=0,1343+1&gt;AH!$P$11,AND(AH!$E$4&lt;&gt;"Stored",AH!$P$10&lt;&gt;1)),"",IFERROR(IF(AND(AH!$P$21=1,1343+1=AH!$P$11),TODAY(),IF(AH!$P$10=1,INDEX('Live History'!$A$5:$A$3004,AH!$P$13+1343),INDEX('AH History'!$A$1:$A$18046,AH!$P$7+1343))),""))</ns0:f>
        <ns0:v/>
      </ns0:c>
      <ns0:c r="B1348" s="219">
        <ns0:f>IFERROR(IF(AND(AH!$P$9&lt;&gt;1,$C1348&gt;0,$D1348&gt;0,$E1348&gt;0,$F1348&gt;0,$G1348&gt;0,$F1348&lt;=$A1348,$G1348&lt;=$A1348,$A1348-$F1348&lt;=10,$A1348-$G1348&lt;=5),$D1348*$E1348/$C1348-1,NA()),NA())</ns0:f>
        <ns0:v/>
      </ns0:c>
      <ns0:c r="C1348">
        <ns0:f>IFERROR(IF(ISNUMBER($A1348),IF(AND(AH!$P$10=1,AH!$P$12=1,$A1348=TODAY()),AH!$P$19,IF(AH!$P$10=1,INDEX('Live History'!$B$5:$B$3004,AH!$P$13+1343),INDEX('AH History'!$B$1:$B$18046,AH!$P$7+1343))),NA()),NA())</ns0:f>
        <ns0:v/>
      </ns0:c>
      <ns0:c r="D1348">
        <ns0:f>IFERROR(IF(ISNUMBER($A1348),IF(AND(AH!$P$10=1,AH!$P$12=1,$A1348=TODAY()),AH!$P$18,IF(AH!$P$10=1,INDEX('Live History'!$E$5:$E$3004,MATCH($A1348,'Live History'!$D$5:$D$3004,1)),INDEX('AH History'!$C$1:$C$18046,AH!$P$7+1343))),NA()),NA())</ns0:f>
        <ns0:v/>
      </ns0:c>
      <ns0:c r="E1348">
        <ns0:f>IFERROR(IF(ISNUMBER($A1348),IF(AND(AH!$P$10=1,AH!$P$12=1,$A1348=TODAY()),AH!$P$20,IF(AH!$P$10=1,INDEX('Live History'!$H$5:$H$3004,MATCH($A1348,'Live History'!$G$5:$G$3004,1)),INDEX('AH History'!$D$1:$D$18046,AH!$P$7+1343))),NA()),NA())</ns0:f>
        <ns0:v/>
      </ns0:c>
      <ns0:c r="F1348">
        <ns0:f>IFERROR(IF(ISNUMBER($A1348),IF(AND(AH!$P$10=1,AH!$P$12=1,$A1348=TODAY()),IF(AND(AH!$P$10=1,AH!$P$12=1,$A1348=TODAY()),TODAY(),NA()),IF(AH!$P$10=1,INDEX('Live History'!$D$5:$D$3004,MATCH($A1348,'Live History'!$D$5:$D$3004,1)),INDEX('AH History'!$E$1:$E$18046,AH!$P$7+1343))),NA()),NA())</ns0:f>
        <ns0:v/>
      </ns0:c>
      <ns0:c r="G1348">
        <ns0:f>IFERROR(IF(ISNUMBER($A1348),IF(AND(AH!$P$10=1,AH!$P$12=1,$A1348=TODAY()),IF(AND(AH!$P$10=1,AH!$P$12=1,$A1348=TODAY()),TODAY(),NA()),IF(AH!$P$10=1,INDEX('Live History'!$G$5:$G$3004,MATCH($A1348,'Live History'!$G$5:$G$3004,1)),INDEX('AH History'!$F$1:$F$18046,AH!$P$7+1343))),NA()),NA())</ns0:f>
        <ns0:v/>
      </ns0:c>
      <ns0:c r="H1348">
        <ns0:f>IFERROR(IF(AND(AH!$E$4="Bloomberg",AH!$P$10=1,ISNUMBER($A1348),$A1348&lt;=AH!$P$17),AH!$P$7-1+MATCH($A1348,INDEX('AH History'!$A$1:$A$18046,AH!$P$7):INDEX('AH History'!$A$1:$A$18046,AH!$P$7+AH!$P$8-1),0),0),0)</ns0:f>
        <ns0:v/>
      </ns0:c>
      <ns0:c r="I1348">
        <ns0:f>IF($H1348=0,0,IFERROR(IF(AND(ABS($C1348-INDEX('AH History'!$B$1:$B$18046,$H1348))&lt;=MAX(0.005,ABS(INDEX('AH History'!$B$1:$B$18046,$H1348))*0.00005),ABS($D1348-INDEX('AH History'!$C$1:$C$18046,$H1348))&lt;=MAX(0.005,ABS(INDEX('AH History'!$C$1:$C$18046,$H1348))*0.00005),ABS($E1348-INDEX('AH History'!$D$1:$D$18046,$H1348))&lt;=0.00005,$F1348=INDEX('AH History'!$E$1:$E$18046,$H1348),$G1348=INDEX('AH History'!$F$1:$F$18046,$H1348)),1,-1),-1))</ns0:f>
        <ns0:v/>
      </ns0:c>
    </ns0:row>
    <ns0:row r="1349">
      <ns0:c r="A1349" s="215">
        <ns0:f>IF(OR(AH!$P$3=0,1344+1&gt;AH!$P$11,AND(AH!$E$4&lt;&gt;"Stored",AH!$P$10&lt;&gt;1)),"",IFERROR(IF(AND(AH!$P$21=1,1344+1=AH!$P$11),TODAY(),IF(AH!$P$10=1,INDEX('Live History'!$A$5:$A$3004,AH!$P$13+1344),INDEX('AH History'!$A$1:$A$18046,AH!$P$7+1344))),""))</ns0:f>
        <ns0:v/>
      </ns0:c>
      <ns0:c r="B1349" s="219">
        <ns0:f>IFERROR(IF(AND(AH!$P$9&lt;&gt;1,$C1349&gt;0,$D1349&gt;0,$E1349&gt;0,$F1349&gt;0,$G1349&gt;0,$F1349&lt;=$A1349,$G1349&lt;=$A1349,$A1349-$F1349&lt;=10,$A1349-$G1349&lt;=5),$D1349*$E1349/$C1349-1,NA()),NA())</ns0:f>
        <ns0:v/>
      </ns0:c>
      <ns0:c r="C1349">
        <ns0:f>IFERROR(IF(ISNUMBER($A1349),IF(AND(AH!$P$10=1,AH!$P$12=1,$A1349=TODAY()),AH!$P$19,IF(AH!$P$10=1,INDEX('Live History'!$B$5:$B$3004,AH!$P$13+1344),INDEX('AH History'!$B$1:$B$18046,AH!$P$7+1344))),NA()),NA())</ns0:f>
        <ns0:v/>
      </ns0:c>
      <ns0:c r="D1349">
        <ns0:f>IFERROR(IF(ISNUMBER($A1349),IF(AND(AH!$P$10=1,AH!$P$12=1,$A1349=TODAY()),AH!$P$18,IF(AH!$P$10=1,INDEX('Live History'!$E$5:$E$3004,MATCH($A1349,'Live History'!$D$5:$D$3004,1)),INDEX('AH History'!$C$1:$C$18046,AH!$P$7+1344))),NA()),NA())</ns0:f>
        <ns0:v/>
      </ns0:c>
      <ns0:c r="E1349">
        <ns0:f>IFERROR(IF(ISNUMBER($A1349),IF(AND(AH!$P$10=1,AH!$P$12=1,$A1349=TODAY()),AH!$P$20,IF(AH!$P$10=1,INDEX('Live History'!$H$5:$H$3004,MATCH($A1349,'Live History'!$G$5:$G$3004,1)),INDEX('AH History'!$D$1:$D$18046,AH!$P$7+1344))),NA()),NA())</ns0:f>
        <ns0:v/>
      </ns0:c>
      <ns0:c r="F1349">
        <ns0:f>IFERROR(IF(ISNUMBER($A1349),IF(AND(AH!$P$10=1,AH!$P$12=1,$A1349=TODAY()),IF(AND(AH!$P$10=1,AH!$P$12=1,$A1349=TODAY()),TODAY(),NA()),IF(AH!$P$10=1,INDEX('Live History'!$D$5:$D$3004,MATCH($A1349,'Live History'!$D$5:$D$3004,1)),INDEX('AH History'!$E$1:$E$18046,AH!$P$7+1344))),NA()),NA())</ns0:f>
        <ns0:v/>
      </ns0:c>
      <ns0:c r="G1349">
        <ns0:f>IFERROR(IF(ISNUMBER($A1349),IF(AND(AH!$P$10=1,AH!$P$12=1,$A1349=TODAY()),IF(AND(AH!$P$10=1,AH!$P$12=1,$A1349=TODAY()),TODAY(),NA()),IF(AH!$P$10=1,INDEX('Live History'!$G$5:$G$3004,MATCH($A1349,'Live History'!$G$5:$G$3004,1)),INDEX('AH History'!$F$1:$F$18046,AH!$P$7+1344))),NA()),NA())</ns0:f>
        <ns0:v/>
      </ns0:c>
      <ns0:c r="H1349">
        <ns0:f>IFERROR(IF(AND(AH!$E$4="Bloomberg",AH!$P$10=1,ISNUMBER($A1349),$A1349&lt;=AH!$P$17),AH!$P$7-1+MATCH($A1349,INDEX('AH History'!$A$1:$A$18046,AH!$P$7):INDEX('AH History'!$A$1:$A$18046,AH!$P$7+AH!$P$8-1),0),0),0)</ns0:f>
        <ns0:v/>
      </ns0:c>
      <ns0:c r="I1349">
        <ns0:f>IF($H1349=0,0,IFERROR(IF(AND(ABS($C1349-INDEX('AH History'!$B$1:$B$18046,$H1349))&lt;=MAX(0.005,ABS(INDEX('AH History'!$B$1:$B$18046,$H1349))*0.00005),ABS($D1349-INDEX('AH History'!$C$1:$C$18046,$H1349))&lt;=MAX(0.005,ABS(INDEX('AH History'!$C$1:$C$18046,$H1349))*0.00005),ABS($E1349-INDEX('AH History'!$D$1:$D$18046,$H1349))&lt;=0.00005,$F1349=INDEX('AH History'!$E$1:$E$18046,$H1349),$G1349=INDEX('AH History'!$F$1:$F$18046,$H1349)),1,-1),-1))</ns0:f>
        <ns0:v/>
      </ns0:c>
    </ns0:row>
    <ns0:row r="1350">
      <ns0:c r="A1350" s="215">
        <ns0:f>IF(OR(AH!$P$3=0,1345+1&gt;AH!$P$11,AND(AH!$E$4&lt;&gt;"Stored",AH!$P$10&lt;&gt;1)),"",IFERROR(IF(AND(AH!$P$21=1,1345+1=AH!$P$11),TODAY(),IF(AH!$P$10=1,INDEX('Live History'!$A$5:$A$3004,AH!$P$13+1345),INDEX('AH History'!$A$1:$A$18046,AH!$P$7+1345))),""))</ns0:f>
        <ns0:v/>
      </ns0:c>
      <ns0:c r="B1350" s="219">
        <ns0:f>IFERROR(IF(AND(AH!$P$9&lt;&gt;1,$C1350&gt;0,$D1350&gt;0,$E1350&gt;0,$F1350&gt;0,$G1350&gt;0,$F1350&lt;=$A1350,$G1350&lt;=$A1350,$A1350-$F1350&lt;=10,$A1350-$G1350&lt;=5),$D1350*$E1350/$C1350-1,NA()),NA())</ns0:f>
        <ns0:v/>
      </ns0:c>
      <ns0:c r="C1350">
        <ns0:f>IFERROR(IF(ISNUMBER($A1350),IF(AND(AH!$P$10=1,AH!$P$12=1,$A1350=TODAY()),AH!$P$19,IF(AH!$P$10=1,INDEX('Live History'!$B$5:$B$3004,AH!$P$13+1345),INDEX('AH History'!$B$1:$B$18046,AH!$P$7+1345))),NA()),NA())</ns0:f>
        <ns0:v/>
      </ns0:c>
      <ns0:c r="D1350">
        <ns0:f>IFERROR(IF(ISNUMBER($A1350),IF(AND(AH!$P$10=1,AH!$P$12=1,$A1350=TODAY()),AH!$P$18,IF(AH!$P$10=1,INDEX('Live History'!$E$5:$E$3004,MATCH($A1350,'Live History'!$D$5:$D$3004,1)),INDEX('AH History'!$C$1:$C$18046,AH!$P$7+1345))),NA()),NA())</ns0:f>
        <ns0:v/>
      </ns0:c>
      <ns0:c r="E1350">
        <ns0:f>IFERROR(IF(ISNUMBER($A1350),IF(AND(AH!$P$10=1,AH!$P$12=1,$A1350=TODAY()),AH!$P$20,IF(AH!$P$10=1,INDEX('Live History'!$H$5:$H$3004,MATCH($A1350,'Live History'!$G$5:$G$3004,1)),INDEX('AH History'!$D$1:$D$18046,AH!$P$7+1345))),NA()),NA())</ns0:f>
        <ns0:v/>
      </ns0:c>
      <ns0:c r="F1350">
        <ns0:f>IFERROR(IF(ISNUMBER($A1350),IF(AND(AH!$P$10=1,AH!$P$12=1,$A1350=TODAY()),IF(AND(AH!$P$10=1,AH!$P$12=1,$A1350=TODAY()),TODAY(),NA()),IF(AH!$P$10=1,INDEX('Live History'!$D$5:$D$3004,MATCH($A1350,'Live History'!$D$5:$D$3004,1)),INDEX('AH History'!$E$1:$E$18046,AH!$P$7+1345))),NA()),NA())</ns0:f>
        <ns0:v/>
      </ns0:c>
      <ns0:c r="G1350">
        <ns0:f>IFERROR(IF(ISNUMBER($A1350),IF(AND(AH!$P$10=1,AH!$P$12=1,$A1350=TODAY()),IF(AND(AH!$P$10=1,AH!$P$12=1,$A1350=TODAY()),TODAY(),NA()),IF(AH!$P$10=1,INDEX('Live History'!$G$5:$G$3004,MATCH($A1350,'Live History'!$G$5:$G$3004,1)),INDEX('AH History'!$F$1:$F$18046,AH!$P$7+1345))),NA()),NA())</ns0:f>
        <ns0:v/>
      </ns0:c>
      <ns0:c r="H1350">
        <ns0:f>IFERROR(IF(AND(AH!$E$4="Bloomberg",AH!$P$10=1,ISNUMBER($A1350),$A1350&lt;=AH!$P$17),AH!$P$7-1+MATCH($A1350,INDEX('AH History'!$A$1:$A$18046,AH!$P$7):INDEX('AH History'!$A$1:$A$18046,AH!$P$7+AH!$P$8-1),0),0),0)</ns0:f>
        <ns0:v/>
      </ns0:c>
      <ns0:c r="I1350">
        <ns0:f>IF($H1350=0,0,IFERROR(IF(AND(ABS($C1350-INDEX('AH History'!$B$1:$B$18046,$H1350))&lt;=MAX(0.005,ABS(INDEX('AH History'!$B$1:$B$18046,$H1350))*0.00005),ABS($D1350-INDEX('AH History'!$C$1:$C$18046,$H1350))&lt;=MAX(0.005,ABS(INDEX('AH History'!$C$1:$C$18046,$H1350))*0.00005),ABS($E1350-INDEX('AH History'!$D$1:$D$18046,$H1350))&lt;=0.00005,$F1350=INDEX('AH History'!$E$1:$E$18046,$H1350),$G1350=INDEX('AH History'!$F$1:$F$18046,$H1350)),1,-1),-1))</ns0:f>
        <ns0:v/>
      </ns0:c>
    </ns0:row>
    <ns0:row r="1351">
      <ns0:c r="A1351" s="215">
        <ns0:f>IF(OR(AH!$P$3=0,1346+1&gt;AH!$P$11,AND(AH!$E$4&lt;&gt;"Stored",AH!$P$10&lt;&gt;1)),"",IFERROR(IF(AND(AH!$P$21=1,1346+1=AH!$P$11),TODAY(),IF(AH!$P$10=1,INDEX('Live History'!$A$5:$A$3004,AH!$P$13+1346),INDEX('AH History'!$A$1:$A$18046,AH!$P$7+1346))),""))</ns0:f>
        <ns0:v/>
      </ns0:c>
      <ns0:c r="B1351" s="219">
        <ns0:f>IFERROR(IF(AND(AH!$P$9&lt;&gt;1,$C1351&gt;0,$D1351&gt;0,$E1351&gt;0,$F1351&gt;0,$G1351&gt;0,$F1351&lt;=$A1351,$G1351&lt;=$A1351,$A1351-$F1351&lt;=10,$A1351-$G1351&lt;=5),$D1351*$E1351/$C1351-1,NA()),NA())</ns0:f>
        <ns0:v/>
      </ns0:c>
      <ns0:c r="C1351">
        <ns0:f>IFERROR(IF(ISNUMBER($A1351),IF(AND(AH!$P$10=1,AH!$P$12=1,$A1351=TODAY()),AH!$P$19,IF(AH!$P$10=1,INDEX('Live History'!$B$5:$B$3004,AH!$P$13+1346),INDEX('AH History'!$B$1:$B$18046,AH!$P$7+1346))),NA()),NA())</ns0:f>
        <ns0:v/>
      </ns0:c>
      <ns0:c r="D1351">
        <ns0:f>IFERROR(IF(ISNUMBER($A1351),IF(AND(AH!$P$10=1,AH!$P$12=1,$A1351=TODAY()),AH!$P$18,IF(AH!$P$10=1,INDEX('Live History'!$E$5:$E$3004,MATCH($A1351,'Live History'!$D$5:$D$3004,1)),INDEX('AH History'!$C$1:$C$18046,AH!$P$7+1346))),NA()),NA())</ns0:f>
        <ns0:v/>
      </ns0:c>
      <ns0:c r="E1351">
        <ns0:f>IFERROR(IF(ISNUMBER($A1351),IF(AND(AH!$P$10=1,AH!$P$12=1,$A1351=TODAY()),AH!$P$20,IF(AH!$P$10=1,INDEX('Live History'!$H$5:$H$3004,MATCH($A1351,'Live History'!$G$5:$G$3004,1)),INDEX('AH History'!$D$1:$D$18046,AH!$P$7+1346))),NA()),NA())</ns0:f>
        <ns0:v/>
      </ns0:c>
      <ns0:c r="F1351">
        <ns0:f>IFERROR(IF(ISNUMBER($A1351),IF(AND(AH!$P$10=1,AH!$P$12=1,$A1351=TODAY()),IF(AND(AH!$P$10=1,AH!$P$12=1,$A1351=TODAY()),TODAY(),NA()),IF(AH!$P$10=1,INDEX('Live History'!$D$5:$D$3004,MATCH($A1351,'Live History'!$D$5:$D$3004,1)),INDEX('AH History'!$E$1:$E$18046,AH!$P$7+1346))),NA()),NA())</ns0:f>
        <ns0:v/>
      </ns0:c>
      <ns0:c r="G1351">
        <ns0:f>IFERROR(IF(ISNUMBER($A1351),IF(AND(AH!$P$10=1,AH!$P$12=1,$A1351=TODAY()),IF(AND(AH!$P$10=1,AH!$P$12=1,$A1351=TODAY()),TODAY(),NA()),IF(AH!$P$10=1,INDEX('Live History'!$G$5:$G$3004,MATCH($A1351,'Live History'!$G$5:$G$3004,1)),INDEX('AH History'!$F$1:$F$18046,AH!$P$7+1346))),NA()),NA())</ns0:f>
        <ns0:v/>
      </ns0:c>
      <ns0:c r="H1351">
        <ns0:f>IFERROR(IF(AND(AH!$E$4="Bloomberg",AH!$P$10=1,ISNUMBER($A1351),$A1351&lt;=AH!$P$17),AH!$P$7-1+MATCH($A1351,INDEX('AH History'!$A$1:$A$18046,AH!$P$7):INDEX('AH History'!$A$1:$A$18046,AH!$P$7+AH!$P$8-1),0),0),0)</ns0:f>
        <ns0:v/>
      </ns0:c>
      <ns0:c r="I1351">
        <ns0:f>IF($H1351=0,0,IFERROR(IF(AND(ABS($C1351-INDEX('AH History'!$B$1:$B$18046,$H1351))&lt;=MAX(0.005,ABS(INDEX('AH History'!$B$1:$B$18046,$H1351))*0.00005),ABS($D1351-INDEX('AH History'!$C$1:$C$18046,$H1351))&lt;=MAX(0.005,ABS(INDEX('AH History'!$C$1:$C$18046,$H1351))*0.00005),ABS($E1351-INDEX('AH History'!$D$1:$D$18046,$H1351))&lt;=0.00005,$F1351=INDEX('AH History'!$E$1:$E$18046,$H1351),$G1351=INDEX('AH History'!$F$1:$F$18046,$H1351)),1,-1),-1))</ns0:f>
        <ns0:v/>
      </ns0:c>
    </ns0:row>
    <ns0:row r="1352">
      <ns0:c r="A1352" s="215">
        <ns0:f>IF(OR(AH!$P$3=0,1347+1&gt;AH!$P$11,AND(AH!$E$4&lt;&gt;"Stored",AH!$P$10&lt;&gt;1)),"",IFERROR(IF(AND(AH!$P$21=1,1347+1=AH!$P$11),TODAY(),IF(AH!$P$10=1,INDEX('Live History'!$A$5:$A$3004,AH!$P$13+1347),INDEX('AH History'!$A$1:$A$18046,AH!$P$7+1347))),""))</ns0:f>
        <ns0:v/>
      </ns0:c>
      <ns0:c r="B1352" s="219">
        <ns0:f>IFERROR(IF(AND(AH!$P$9&lt;&gt;1,$C1352&gt;0,$D1352&gt;0,$E1352&gt;0,$F1352&gt;0,$G1352&gt;0,$F1352&lt;=$A1352,$G1352&lt;=$A1352,$A1352-$F1352&lt;=10,$A1352-$G1352&lt;=5),$D1352*$E1352/$C1352-1,NA()),NA())</ns0:f>
        <ns0:v/>
      </ns0:c>
      <ns0:c r="C1352">
        <ns0:f>IFERROR(IF(ISNUMBER($A1352),IF(AND(AH!$P$10=1,AH!$P$12=1,$A1352=TODAY()),AH!$P$19,IF(AH!$P$10=1,INDEX('Live History'!$B$5:$B$3004,AH!$P$13+1347),INDEX('AH History'!$B$1:$B$18046,AH!$P$7+1347))),NA()),NA())</ns0:f>
        <ns0:v/>
      </ns0:c>
      <ns0:c r="D1352">
        <ns0:f>IFERROR(IF(ISNUMBER($A1352),IF(AND(AH!$P$10=1,AH!$P$12=1,$A1352=TODAY()),AH!$P$18,IF(AH!$P$10=1,INDEX('Live History'!$E$5:$E$3004,MATCH($A1352,'Live History'!$D$5:$D$3004,1)),INDEX('AH History'!$C$1:$C$18046,AH!$P$7+1347))),NA()),NA())</ns0:f>
        <ns0:v/>
      </ns0:c>
      <ns0:c r="E1352">
        <ns0:f>IFERROR(IF(ISNUMBER($A1352),IF(AND(AH!$P$10=1,AH!$P$12=1,$A1352=TODAY()),AH!$P$20,IF(AH!$P$10=1,INDEX('Live History'!$H$5:$H$3004,MATCH($A1352,'Live History'!$G$5:$G$3004,1)),INDEX('AH History'!$D$1:$D$18046,AH!$P$7+1347))),NA()),NA())</ns0:f>
        <ns0:v/>
      </ns0:c>
      <ns0:c r="F1352">
        <ns0:f>IFERROR(IF(ISNUMBER($A1352),IF(AND(AH!$P$10=1,AH!$P$12=1,$A1352=TODAY()),IF(AND(AH!$P$10=1,AH!$P$12=1,$A1352=TODAY()),TODAY(),NA()),IF(AH!$P$10=1,INDEX('Live History'!$D$5:$D$3004,MATCH($A1352,'Live History'!$D$5:$D$3004,1)),INDEX('AH History'!$E$1:$E$18046,AH!$P$7+1347))),NA()),NA())</ns0:f>
        <ns0:v/>
      </ns0:c>
      <ns0:c r="G1352">
        <ns0:f>IFERROR(IF(ISNUMBER($A1352),IF(AND(AH!$P$10=1,AH!$P$12=1,$A1352=TODAY()),IF(AND(AH!$P$10=1,AH!$P$12=1,$A1352=TODAY()),TODAY(),NA()),IF(AH!$P$10=1,INDEX('Live History'!$G$5:$G$3004,MATCH($A1352,'Live History'!$G$5:$G$3004,1)),INDEX('AH History'!$F$1:$F$18046,AH!$P$7+1347))),NA()),NA())</ns0:f>
        <ns0:v/>
      </ns0:c>
      <ns0:c r="H1352">
        <ns0:f>IFERROR(IF(AND(AH!$E$4="Bloomberg",AH!$P$10=1,ISNUMBER($A1352),$A1352&lt;=AH!$P$17),AH!$P$7-1+MATCH($A1352,INDEX('AH History'!$A$1:$A$18046,AH!$P$7):INDEX('AH History'!$A$1:$A$18046,AH!$P$7+AH!$P$8-1),0),0),0)</ns0:f>
        <ns0:v/>
      </ns0:c>
      <ns0:c r="I1352">
        <ns0:f>IF($H1352=0,0,IFERROR(IF(AND(ABS($C1352-INDEX('AH History'!$B$1:$B$18046,$H1352))&lt;=MAX(0.005,ABS(INDEX('AH History'!$B$1:$B$18046,$H1352))*0.00005),ABS($D1352-INDEX('AH History'!$C$1:$C$18046,$H1352))&lt;=MAX(0.005,ABS(INDEX('AH History'!$C$1:$C$18046,$H1352))*0.00005),ABS($E1352-INDEX('AH History'!$D$1:$D$18046,$H1352))&lt;=0.00005,$F1352=INDEX('AH History'!$E$1:$E$18046,$H1352),$G1352=INDEX('AH History'!$F$1:$F$18046,$H1352)),1,-1),-1))</ns0:f>
        <ns0:v/>
      </ns0:c>
    </ns0:row>
    <ns0:row r="1353">
      <ns0:c r="A1353" s="215">
        <ns0:f>IF(OR(AH!$P$3=0,1348+1&gt;AH!$P$11,AND(AH!$E$4&lt;&gt;"Stored",AH!$P$10&lt;&gt;1)),"",IFERROR(IF(AND(AH!$P$21=1,1348+1=AH!$P$11),TODAY(),IF(AH!$P$10=1,INDEX('Live History'!$A$5:$A$3004,AH!$P$13+1348),INDEX('AH History'!$A$1:$A$18046,AH!$P$7+1348))),""))</ns0:f>
        <ns0:v/>
      </ns0:c>
      <ns0:c r="B1353" s="219">
        <ns0:f>IFERROR(IF(AND(AH!$P$9&lt;&gt;1,$C1353&gt;0,$D1353&gt;0,$E1353&gt;0,$F1353&gt;0,$G1353&gt;0,$F1353&lt;=$A1353,$G1353&lt;=$A1353,$A1353-$F1353&lt;=10,$A1353-$G1353&lt;=5),$D1353*$E1353/$C1353-1,NA()),NA())</ns0:f>
        <ns0:v/>
      </ns0:c>
      <ns0:c r="C1353">
        <ns0:f>IFERROR(IF(ISNUMBER($A1353),IF(AND(AH!$P$10=1,AH!$P$12=1,$A1353=TODAY()),AH!$P$19,IF(AH!$P$10=1,INDEX('Live History'!$B$5:$B$3004,AH!$P$13+1348),INDEX('AH History'!$B$1:$B$18046,AH!$P$7+1348))),NA()),NA())</ns0:f>
        <ns0:v/>
      </ns0:c>
      <ns0:c r="D1353">
        <ns0:f>IFERROR(IF(ISNUMBER($A1353),IF(AND(AH!$P$10=1,AH!$P$12=1,$A1353=TODAY()),AH!$P$18,IF(AH!$P$10=1,INDEX('Live History'!$E$5:$E$3004,MATCH($A1353,'Live History'!$D$5:$D$3004,1)),INDEX('AH History'!$C$1:$C$18046,AH!$P$7+1348))),NA()),NA())</ns0:f>
        <ns0:v/>
      </ns0:c>
      <ns0:c r="E1353">
        <ns0:f>IFERROR(IF(ISNUMBER($A1353),IF(AND(AH!$P$10=1,AH!$P$12=1,$A1353=TODAY()),AH!$P$20,IF(AH!$P$10=1,INDEX('Live History'!$H$5:$H$3004,MATCH($A1353,'Live History'!$G$5:$G$3004,1)),INDEX('AH History'!$D$1:$D$18046,AH!$P$7+1348))),NA()),NA())</ns0:f>
        <ns0:v/>
      </ns0:c>
      <ns0:c r="F1353">
        <ns0:f>IFERROR(IF(ISNUMBER($A1353),IF(AND(AH!$P$10=1,AH!$P$12=1,$A1353=TODAY()),IF(AND(AH!$P$10=1,AH!$P$12=1,$A1353=TODAY()),TODAY(),NA()),IF(AH!$P$10=1,INDEX('Live History'!$D$5:$D$3004,MATCH($A1353,'Live History'!$D$5:$D$3004,1)),INDEX('AH History'!$E$1:$E$18046,AH!$P$7+1348))),NA()),NA())</ns0:f>
        <ns0:v/>
      </ns0:c>
      <ns0:c r="G1353">
        <ns0:f>IFERROR(IF(ISNUMBER($A1353),IF(AND(AH!$P$10=1,AH!$P$12=1,$A1353=TODAY()),IF(AND(AH!$P$10=1,AH!$P$12=1,$A1353=TODAY()),TODAY(),NA()),IF(AH!$P$10=1,INDEX('Live History'!$G$5:$G$3004,MATCH($A1353,'Live History'!$G$5:$G$3004,1)),INDEX('AH History'!$F$1:$F$18046,AH!$P$7+1348))),NA()),NA())</ns0:f>
        <ns0:v/>
      </ns0:c>
      <ns0:c r="H1353">
        <ns0:f>IFERROR(IF(AND(AH!$E$4="Bloomberg",AH!$P$10=1,ISNUMBER($A1353),$A1353&lt;=AH!$P$17),AH!$P$7-1+MATCH($A1353,INDEX('AH History'!$A$1:$A$18046,AH!$P$7):INDEX('AH History'!$A$1:$A$18046,AH!$P$7+AH!$P$8-1),0),0),0)</ns0:f>
        <ns0:v/>
      </ns0:c>
      <ns0:c r="I1353">
        <ns0:f>IF($H1353=0,0,IFERROR(IF(AND(ABS($C1353-INDEX('AH History'!$B$1:$B$18046,$H1353))&lt;=MAX(0.005,ABS(INDEX('AH History'!$B$1:$B$18046,$H1353))*0.00005),ABS($D1353-INDEX('AH History'!$C$1:$C$18046,$H1353))&lt;=MAX(0.005,ABS(INDEX('AH History'!$C$1:$C$18046,$H1353))*0.00005),ABS($E1353-INDEX('AH History'!$D$1:$D$18046,$H1353))&lt;=0.00005,$F1353=INDEX('AH History'!$E$1:$E$18046,$H1353),$G1353=INDEX('AH History'!$F$1:$F$18046,$H1353)),1,-1),-1))</ns0:f>
        <ns0:v/>
      </ns0:c>
    </ns0:row>
    <ns0:row r="1354">
      <ns0:c r="A1354" s="215">
        <ns0:f>IF(OR(AH!$P$3=0,1349+1&gt;AH!$P$11,AND(AH!$E$4&lt;&gt;"Stored",AH!$P$10&lt;&gt;1)),"",IFERROR(IF(AND(AH!$P$21=1,1349+1=AH!$P$11),TODAY(),IF(AH!$P$10=1,INDEX('Live History'!$A$5:$A$3004,AH!$P$13+1349),INDEX('AH History'!$A$1:$A$18046,AH!$P$7+1349))),""))</ns0:f>
        <ns0:v/>
      </ns0:c>
      <ns0:c r="B1354" s="219">
        <ns0:f>IFERROR(IF(AND(AH!$P$9&lt;&gt;1,$C1354&gt;0,$D1354&gt;0,$E1354&gt;0,$F1354&gt;0,$G1354&gt;0,$F1354&lt;=$A1354,$G1354&lt;=$A1354,$A1354-$F1354&lt;=10,$A1354-$G1354&lt;=5),$D1354*$E1354/$C1354-1,NA()),NA())</ns0:f>
        <ns0:v/>
      </ns0:c>
      <ns0:c r="C1354">
        <ns0:f>IFERROR(IF(ISNUMBER($A1354),IF(AND(AH!$P$10=1,AH!$P$12=1,$A1354=TODAY()),AH!$P$19,IF(AH!$P$10=1,INDEX('Live History'!$B$5:$B$3004,AH!$P$13+1349),INDEX('AH History'!$B$1:$B$18046,AH!$P$7+1349))),NA()),NA())</ns0:f>
        <ns0:v/>
      </ns0:c>
      <ns0:c r="D1354">
        <ns0:f>IFERROR(IF(ISNUMBER($A1354),IF(AND(AH!$P$10=1,AH!$P$12=1,$A1354=TODAY()),AH!$P$18,IF(AH!$P$10=1,INDEX('Live History'!$E$5:$E$3004,MATCH($A1354,'Live History'!$D$5:$D$3004,1)),INDEX('AH History'!$C$1:$C$18046,AH!$P$7+1349))),NA()),NA())</ns0:f>
        <ns0:v/>
      </ns0:c>
      <ns0:c r="E1354">
        <ns0:f>IFERROR(IF(ISNUMBER($A1354),IF(AND(AH!$P$10=1,AH!$P$12=1,$A1354=TODAY()),AH!$P$20,IF(AH!$P$10=1,INDEX('Live History'!$H$5:$H$3004,MATCH($A1354,'Live History'!$G$5:$G$3004,1)),INDEX('AH History'!$D$1:$D$18046,AH!$P$7+1349))),NA()),NA())</ns0:f>
        <ns0:v/>
      </ns0:c>
      <ns0:c r="F1354">
        <ns0:f>IFERROR(IF(ISNUMBER($A1354),IF(AND(AH!$P$10=1,AH!$P$12=1,$A1354=TODAY()),IF(AND(AH!$P$10=1,AH!$P$12=1,$A1354=TODAY()),TODAY(),NA()),IF(AH!$P$10=1,INDEX('Live History'!$D$5:$D$3004,MATCH($A1354,'Live History'!$D$5:$D$3004,1)),INDEX('AH History'!$E$1:$E$18046,AH!$P$7+1349))),NA()),NA())</ns0:f>
        <ns0:v/>
      </ns0:c>
      <ns0:c r="G1354">
        <ns0:f>IFERROR(IF(ISNUMBER($A1354),IF(AND(AH!$P$10=1,AH!$P$12=1,$A1354=TODAY()),IF(AND(AH!$P$10=1,AH!$P$12=1,$A1354=TODAY()),TODAY(),NA()),IF(AH!$P$10=1,INDEX('Live History'!$G$5:$G$3004,MATCH($A1354,'Live History'!$G$5:$G$3004,1)),INDEX('AH History'!$F$1:$F$18046,AH!$P$7+1349))),NA()),NA())</ns0:f>
        <ns0:v/>
      </ns0:c>
      <ns0:c r="H1354">
        <ns0:f>IFERROR(IF(AND(AH!$E$4="Bloomberg",AH!$P$10=1,ISNUMBER($A1354),$A1354&lt;=AH!$P$17),AH!$P$7-1+MATCH($A1354,INDEX('AH History'!$A$1:$A$18046,AH!$P$7):INDEX('AH History'!$A$1:$A$18046,AH!$P$7+AH!$P$8-1),0),0),0)</ns0:f>
        <ns0:v/>
      </ns0:c>
      <ns0:c r="I1354">
        <ns0:f>IF($H1354=0,0,IFERROR(IF(AND(ABS($C1354-INDEX('AH History'!$B$1:$B$18046,$H1354))&lt;=MAX(0.005,ABS(INDEX('AH History'!$B$1:$B$18046,$H1354))*0.00005),ABS($D1354-INDEX('AH History'!$C$1:$C$18046,$H1354))&lt;=MAX(0.005,ABS(INDEX('AH History'!$C$1:$C$18046,$H1354))*0.00005),ABS($E1354-INDEX('AH History'!$D$1:$D$18046,$H1354))&lt;=0.00005,$F1354=INDEX('AH History'!$E$1:$E$18046,$H1354),$G1354=INDEX('AH History'!$F$1:$F$18046,$H1354)),1,-1),-1))</ns0:f>
        <ns0:v/>
      </ns0:c>
    </ns0:row>
    <ns0:row r="1355">
      <ns0:c r="A1355" s="215">
        <ns0:f>IF(OR(AH!$P$3=0,1350+1&gt;AH!$P$11,AND(AH!$E$4&lt;&gt;"Stored",AH!$P$10&lt;&gt;1)),"",IFERROR(IF(AND(AH!$P$21=1,1350+1=AH!$P$11),TODAY(),IF(AH!$P$10=1,INDEX('Live History'!$A$5:$A$3004,AH!$P$13+1350),INDEX('AH History'!$A$1:$A$18046,AH!$P$7+1350))),""))</ns0:f>
        <ns0:v/>
      </ns0:c>
      <ns0:c r="B1355" s="219">
        <ns0:f>IFERROR(IF(AND(AH!$P$9&lt;&gt;1,$C1355&gt;0,$D1355&gt;0,$E1355&gt;0,$F1355&gt;0,$G1355&gt;0,$F1355&lt;=$A1355,$G1355&lt;=$A1355,$A1355-$F1355&lt;=10,$A1355-$G1355&lt;=5),$D1355*$E1355/$C1355-1,NA()),NA())</ns0:f>
        <ns0:v/>
      </ns0:c>
      <ns0:c r="C1355">
        <ns0:f>IFERROR(IF(ISNUMBER($A1355),IF(AND(AH!$P$10=1,AH!$P$12=1,$A1355=TODAY()),AH!$P$19,IF(AH!$P$10=1,INDEX('Live History'!$B$5:$B$3004,AH!$P$13+1350),INDEX('AH History'!$B$1:$B$18046,AH!$P$7+1350))),NA()),NA())</ns0:f>
        <ns0:v/>
      </ns0:c>
      <ns0:c r="D1355">
        <ns0:f>IFERROR(IF(ISNUMBER($A1355),IF(AND(AH!$P$10=1,AH!$P$12=1,$A1355=TODAY()),AH!$P$18,IF(AH!$P$10=1,INDEX('Live History'!$E$5:$E$3004,MATCH($A1355,'Live History'!$D$5:$D$3004,1)),INDEX('AH History'!$C$1:$C$18046,AH!$P$7+1350))),NA()),NA())</ns0:f>
        <ns0:v/>
      </ns0:c>
      <ns0:c r="E1355">
        <ns0:f>IFERROR(IF(ISNUMBER($A1355),IF(AND(AH!$P$10=1,AH!$P$12=1,$A1355=TODAY()),AH!$P$20,IF(AH!$P$10=1,INDEX('Live History'!$H$5:$H$3004,MATCH($A1355,'Live History'!$G$5:$G$3004,1)),INDEX('AH History'!$D$1:$D$18046,AH!$P$7+1350))),NA()),NA())</ns0:f>
        <ns0:v/>
      </ns0:c>
      <ns0:c r="F1355">
        <ns0:f>IFERROR(IF(ISNUMBER($A1355),IF(AND(AH!$P$10=1,AH!$P$12=1,$A1355=TODAY()),IF(AND(AH!$P$10=1,AH!$P$12=1,$A1355=TODAY()),TODAY(),NA()),IF(AH!$P$10=1,INDEX('Live History'!$D$5:$D$3004,MATCH($A1355,'Live History'!$D$5:$D$3004,1)),INDEX('AH History'!$E$1:$E$18046,AH!$P$7+1350))),NA()),NA())</ns0:f>
        <ns0:v/>
      </ns0:c>
      <ns0:c r="G1355">
        <ns0:f>IFERROR(IF(ISNUMBER($A1355),IF(AND(AH!$P$10=1,AH!$P$12=1,$A1355=TODAY()),IF(AND(AH!$P$10=1,AH!$P$12=1,$A1355=TODAY()),TODAY(),NA()),IF(AH!$P$10=1,INDEX('Live History'!$G$5:$G$3004,MATCH($A1355,'Live History'!$G$5:$G$3004,1)),INDEX('AH History'!$F$1:$F$18046,AH!$P$7+1350))),NA()),NA())</ns0:f>
        <ns0:v/>
      </ns0:c>
      <ns0:c r="H1355">
        <ns0:f>IFERROR(IF(AND(AH!$E$4="Bloomberg",AH!$P$10=1,ISNUMBER($A1355),$A1355&lt;=AH!$P$17),AH!$P$7-1+MATCH($A1355,INDEX('AH History'!$A$1:$A$18046,AH!$P$7):INDEX('AH History'!$A$1:$A$18046,AH!$P$7+AH!$P$8-1),0),0),0)</ns0:f>
        <ns0:v/>
      </ns0:c>
      <ns0:c r="I1355">
        <ns0:f>IF($H1355=0,0,IFERROR(IF(AND(ABS($C1355-INDEX('AH History'!$B$1:$B$18046,$H1355))&lt;=MAX(0.005,ABS(INDEX('AH History'!$B$1:$B$18046,$H1355))*0.00005),ABS($D1355-INDEX('AH History'!$C$1:$C$18046,$H1355))&lt;=MAX(0.005,ABS(INDEX('AH History'!$C$1:$C$18046,$H1355))*0.00005),ABS($E1355-INDEX('AH History'!$D$1:$D$18046,$H1355))&lt;=0.00005,$F1355=INDEX('AH History'!$E$1:$E$18046,$H1355),$G1355=INDEX('AH History'!$F$1:$F$18046,$H1355)),1,-1),-1))</ns0:f>
        <ns0:v/>
      </ns0:c>
    </ns0:row>
    <ns0:row r="1356">
      <ns0:c r="A1356" s="215">
        <ns0:f>IF(OR(AH!$P$3=0,1351+1&gt;AH!$P$11,AND(AH!$E$4&lt;&gt;"Stored",AH!$P$10&lt;&gt;1)),"",IFERROR(IF(AND(AH!$P$21=1,1351+1=AH!$P$11),TODAY(),IF(AH!$P$10=1,INDEX('Live History'!$A$5:$A$3004,AH!$P$13+1351),INDEX('AH History'!$A$1:$A$18046,AH!$P$7+1351))),""))</ns0:f>
        <ns0:v/>
      </ns0:c>
      <ns0:c r="B1356" s="219">
        <ns0:f>IFERROR(IF(AND(AH!$P$9&lt;&gt;1,$C1356&gt;0,$D1356&gt;0,$E1356&gt;0,$F1356&gt;0,$G1356&gt;0,$F1356&lt;=$A1356,$G1356&lt;=$A1356,$A1356-$F1356&lt;=10,$A1356-$G1356&lt;=5),$D1356*$E1356/$C1356-1,NA()),NA())</ns0:f>
        <ns0:v/>
      </ns0:c>
      <ns0:c r="C1356">
        <ns0:f>IFERROR(IF(ISNUMBER($A1356),IF(AND(AH!$P$10=1,AH!$P$12=1,$A1356=TODAY()),AH!$P$19,IF(AH!$P$10=1,INDEX('Live History'!$B$5:$B$3004,AH!$P$13+1351),INDEX('AH History'!$B$1:$B$18046,AH!$P$7+1351))),NA()),NA())</ns0:f>
        <ns0:v/>
      </ns0:c>
      <ns0:c r="D1356">
        <ns0:f>IFERROR(IF(ISNUMBER($A1356),IF(AND(AH!$P$10=1,AH!$P$12=1,$A1356=TODAY()),AH!$P$18,IF(AH!$P$10=1,INDEX('Live History'!$E$5:$E$3004,MATCH($A1356,'Live History'!$D$5:$D$3004,1)),INDEX('AH History'!$C$1:$C$18046,AH!$P$7+1351))),NA()),NA())</ns0:f>
        <ns0:v/>
      </ns0:c>
      <ns0:c r="E1356">
        <ns0:f>IFERROR(IF(ISNUMBER($A1356),IF(AND(AH!$P$10=1,AH!$P$12=1,$A1356=TODAY()),AH!$P$20,IF(AH!$P$10=1,INDEX('Live History'!$H$5:$H$3004,MATCH($A1356,'Live History'!$G$5:$G$3004,1)),INDEX('AH History'!$D$1:$D$18046,AH!$P$7+1351))),NA()),NA())</ns0:f>
        <ns0:v/>
      </ns0:c>
      <ns0:c r="F1356">
        <ns0:f>IFERROR(IF(ISNUMBER($A1356),IF(AND(AH!$P$10=1,AH!$P$12=1,$A1356=TODAY()),IF(AND(AH!$P$10=1,AH!$P$12=1,$A1356=TODAY()),TODAY(),NA()),IF(AH!$P$10=1,INDEX('Live History'!$D$5:$D$3004,MATCH($A1356,'Live History'!$D$5:$D$3004,1)),INDEX('AH History'!$E$1:$E$18046,AH!$P$7+1351))),NA()),NA())</ns0:f>
        <ns0:v/>
      </ns0:c>
      <ns0:c r="G1356">
        <ns0:f>IFERROR(IF(ISNUMBER($A1356),IF(AND(AH!$P$10=1,AH!$P$12=1,$A1356=TODAY()),IF(AND(AH!$P$10=1,AH!$P$12=1,$A1356=TODAY()),TODAY(),NA()),IF(AH!$P$10=1,INDEX('Live History'!$G$5:$G$3004,MATCH($A1356,'Live History'!$G$5:$G$3004,1)),INDEX('AH History'!$F$1:$F$18046,AH!$P$7+1351))),NA()),NA())</ns0:f>
        <ns0:v/>
      </ns0:c>
      <ns0:c r="H1356">
        <ns0:f>IFERROR(IF(AND(AH!$E$4="Bloomberg",AH!$P$10=1,ISNUMBER($A1356),$A1356&lt;=AH!$P$17),AH!$P$7-1+MATCH($A1356,INDEX('AH History'!$A$1:$A$18046,AH!$P$7):INDEX('AH History'!$A$1:$A$18046,AH!$P$7+AH!$P$8-1),0),0),0)</ns0:f>
        <ns0:v/>
      </ns0:c>
      <ns0:c r="I1356">
        <ns0:f>IF($H1356=0,0,IFERROR(IF(AND(ABS($C1356-INDEX('AH History'!$B$1:$B$18046,$H1356))&lt;=MAX(0.005,ABS(INDEX('AH History'!$B$1:$B$18046,$H1356))*0.00005),ABS($D1356-INDEX('AH History'!$C$1:$C$18046,$H1356))&lt;=MAX(0.005,ABS(INDEX('AH History'!$C$1:$C$18046,$H1356))*0.00005),ABS($E1356-INDEX('AH History'!$D$1:$D$18046,$H1356))&lt;=0.00005,$F1356=INDEX('AH History'!$E$1:$E$18046,$H1356),$G1356=INDEX('AH History'!$F$1:$F$18046,$H1356)),1,-1),-1))</ns0:f>
        <ns0:v/>
      </ns0:c>
    </ns0:row>
    <ns0:row r="1357">
      <ns0:c r="A1357" s="215">
        <ns0:f>IF(OR(AH!$P$3=0,1352+1&gt;AH!$P$11,AND(AH!$E$4&lt;&gt;"Stored",AH!$P$10&lt;&gt;1)),"",IFERROR(IF(AND(AH!$P$21=1,1352+1=AH!$P$11),TODAY(),IF(AH!$P$10=1,INDEX('Live History'!$A$5:$A$3004,AH!$P$13+1352),INDEX('AH History'!$A$1:$A$18046,AH!$P$7+1352))),""))</ns0:f>
        <ns0:v/>
      </ns0:c>
      <ns0:c r="B1357" s="219">
        <ns0:f>IFERROR(IF(AND(AH!$P$9&lt;&gt;1,$C1357&gt;0,$D1357&gt;0,$E1357&gt;0,$F1357&gt;0,$G1357&gt;0,$F1357&lt;=$A1357,$G1357&lt;=$A1357,$A1357-$F1357&lt;=10,$A1357-$G1357&lt;=5),$D1357*$E1357/$C1357-1,NA()),NA())</ns0:f>
        <ns0:v/>
      </ns0:c>
      <ns0:c r="C1357">
        <ns0:f>IFERROR(IF(ISNUMBER($A1357),IF(AND(AH!$P$10=1,AH!$P$12=1,$A1357=TODAY()),AH!$P$19,IF(AH!$P$10=1,INDEX('Live History'!$B$5:$B$3004,AH!$P$13+1352),INDEX('AH History'!$B$1:$B$18046,AH!$P$7+1352))),NA()),NA())</ns0:f>
        <ns0:v/>
      </ns0:c>
      <ns0:c r="D1357">
        <ns0:f>IFERROR(IF(ISNUMBER($A1357),IF(AND(AH!$P$10=1,AH!$P$12=1,$A1357=TODAY()),AH!$P$18,IF(AH!$P$10=1,INDEX('Live History'!$E$5:$E$3004,MATCH($A1357,'Live History'!$D$5:$D$3004,1)),INDEX('AH History'!$C$1:$C$18046,AH!$P$7+1352))),NA()),NA())</ns0:f>
        <ns0:v/>
      </ns0:c>
      <ns0:c r="E1357">
        <ns0:f>IFERROR(IF(ISNUMBER($A1357),IF(AND(AH!$P$10=1,AH!$P$12=1,$A1357=TODAY()),AH!$P$20,IF(AH!$P$10=1,INDEX('Live History'!$H$5:$H$3004,MATCH($A1357,'Live History'!$G$5:$G$3004,1)),INDEX('AH History'!$D$1:$D$18046,AH!$P$7+1352))),NA()),NA())</ns0:f>
        <ns0:v/>
      </ns0:c>
      <ns0:c r="F1357">
        <ns0:f>IFERROR(IF(ISNUMBER($A1357),IF(AND(AH!$P$10=1,AH!$P$12=1,$A1357=TODAY()),IF(AND(AH!$P$10=1,AH!$P$12=1,$A1357=TODAY()),TODAY(),NA()),IF(AH!$P$10=1,INDEX('Live History'!$D$5:$D$3004,MATCH($A1357,'Live History'!$D$5:$D$3004,1)),INDEX('AH History'!$E$1:$E$18046,AH!$P$7+1352))),NA()),NA())</ns0:f>
        <ns0:v/>
      </ns0:c>
      <ns0:c r="G1357">
        <ns0:f>IFERROR(IF(ISNUMBER($A1357),IF(AND(AH!$P$10=1,AH!$P$12=1,$A1357=TODAY()),IF(AND(AH!$P$10=1,AH!$P$12=1,$A1357=TODAY()),TODAY(),NA()),IF(AH!$P$10=1,INDEX('Live History'!$G$5:$G$3004,MATCH($A1357,'Live History'!$G$5:$G$3004,1)),INDEX('AH History'!$F$1:$F$18046,AH!$P$7+1352))),NA()),NA())</ns0:f>
        <ns0:v/>
      </ns0:c>
      <ns0:c r="H1357">
        <ns0:f>IFERROR(IF(AND(AH!$E$4="Bloomberg",AH!$P$10=1,ISNUMBER($A1357),$A1357&lt;=AH!$P$17),AH!$P$7-1+MATCH($A1357,INDEX('AH History'!$A$1:$A$18046,AH!$P$7):INDEX('AH History'!$A$1:$A$18046,AH!$P$7+AH!$P$8-1),0),0),0)</ns0:f>
        <ns0:v/>
      </ns0:c>
      <ns0:c r="I1357">
        <ns0:f>IF($H1357=0,0,IFERROR(IF(AND(ABS($C1357-INDEX('AH History'!$B$1:$B$18046,$H1357))&lt;=MAX(0.005,ABS(INDEX('AH History'!$B$1:$B$18046,$H1357))*0.00005),ABS($D1357-INDEX('AH History'!$C$1:$C$18046,$H1357))&lt;=MAX(0.005,ABS(INDEX('AH History'!$C$1:$C$18046,$H1357))*0.00005),ABS($E1357-INDEX('AH History'!$D$1:$D$18046,$H1357))&lt;=0.00005,$F1357=INDEX('AH History'!$E$1:$E$18046,$H1357),$G1357=INDEX('AH History'!$F$1:$F$18046,$H1357)),1,-1),-1))</ns0:f>
        <ns0:v/>
      </ns0:c>
    </ns0:row>
    <ns0:row r="1358">
      <ns0:c r="A1358" s="215">
        <ns0:f>IF(OR(AH!$P$3=0,1353+1&gt;AH!$P$11,AND(AH!$E$4&lt;&gt;"Stored",AH!$P$10&lt;&gt;1)),"",IFERROR(IF(AND(AH!$P$21=1,1353+1=AH!$P$11),TODAY(),IF(AH!$P$10=1,INDEX('Live History'!$A$5:$A$3004,AH!$P$13+1353),INDEX('AH History'!$A$1:$A$18046,AH!$P$7+1353))),""))</ns0:f>
        <ns0:v/>
      </ns0:c>
      <ns0:c r="B1358" s="219">
        <ns0:f>IFERROR(IF(AND(AH!$P$9&lt;&gt;1,$C1358&gt;0,$D1358&gt;0,$E1358&gt;0,$F1358&gt;0,$G1358&gt;0,$F1358&lt;=$A1358,$G1358&lt;=$A1358,$A1358-$F1358&lt;=10,$A1358-$G1358&lt;=5),$D1358*$E1358/$C1358-1,NA()),NA())</ns0:f>
        <ns0:v/>
      </ns0:c>
      <ns0:c r="C1358">
        <ns0:f>IFERROR(IF(ISNUMBER($A1358),IF(AND(AH!$P$10=1,AH!$P$12=1,$A1358=TODAY()),AH!$P$19,IF(AH!$P$10=1,INDEX('Live History'!$B$5:$B$3004,AH!$P$13+1353),INDEX('AH History'!$B$1:$B$18046,AH!$P$7+1353))),NA()),NA())</ns0:f>
        <ns0:v/>
      </ns0:c>
      <ns0:c r="D1358">
        <ns0:f>IFERROR(IF(ISNUMBER($A1358),IF(AND(AH!$P$10=1,AH!$P$12=1,$A1358=TODAY()),AH!$P$18,IF(AH!$P$10=1,INDEX('Live History'!$E$5:$E$3004,MATCH($A1358,'Live History'!$D$5:$D$3004,1)),INDEX('AH History'!$C$1:$C$18046,AH!$P$7+1353))),NA()),NA())</ns0:f>
        <ns0:v/>
      </ns0:c>
      <ns0:c r="E1358">
        <ns0:f>IFERROR(IF(ISNUMBER($A1358),IF(AND(AH!$P$10=1,AH!$P$12=1,$A1358=TODAY()),AH!$P$20,IF(AH!$P$10=1,INDEX('Live History'!$H$5:$H$3004,MATCH($A1358,'Live History'!$G$5:$G$3004,1)),INDEX('AH History'!$D$1:$D$18046,AH!$P$7+1353))),NA()),NA())</ns0:f>
        <ns0:v/>
      </ns0:c>
      <ns0:c r="F1358">
        <ns0:f>IFERROR(IF(ISNUMBER($A1358),IF(AND(AH!$P$10=1,AH!$P$12=1,$A1358=TODAY()),IF(AND(AH!$P$10=1,AH!$P$12=1,$A1358=TODAY()),TODAY(),NA()),IF(AH!$P$10=1,INDEX('Live History'!$D$5:$D$3004,MATCH($A1358,'Live History'!$D$5:$D$3004,1)),INDEX('AH History'!$E$1:$E$18046,AH!$P$7+1353))),NA()),NA())</ns0:f>
        <ns0:v/>
      </ns0:c>
      <ns0:c r="G1358">
        <ns0:f>IFERROR(IF(ISNUMBER($A1358),IF(AND(AH!$P$10=1,AH!$P$12=1,$A1358=TODAY()),IF(AND(AH!$P$10=1,AH!$P$12=1,$A1358=TODAY()),TODAY(),NA()),IF(AH!$P$10=1,INDEX('Live History'!$G$5:$G$3004,MATCH($A1358,'Live History'!$G$5:$G$3004,1)),INDEX('AH History'!$F$1:$F$18046,AH!$P$7+1353))),NA()),NA())</ns0:f>
        <ns0:v/>
      </ns0:c>
      <ns0:c r="H1358">
        <ns0:f>IFERROR(IF(AND(AH!$E$4="Bloomberg",AH!$P$10=1,ISNUMBER($A1358),$A1358&lt;=AH!$P$17),AH!$P$7-1+MATCH($A1358,INDEX('AH History'!$A$1:$A$18046,AH!$P$7):INDEX('AH History'!$A$1:$A$18046,AH!$P$7+AH!$P$8-1),0),0),0)</ns0:f>
        <ns0:v/>
      </ns0:c>
      <ns0:c r="I1358">
        <ns0:f>IF($H1358=0,0,IFERROR(IF(AND(ABS($C1358-INDEX('AH History'!$B$1:$B$18046,$H1358))&lt;=MAX(0.005,ABS(INDEX('AH History'!$B$1:$B$18046,$H1358))*0.00005),ABS($D1358-INDEX('AH History'!$C$1:$C$18046,$H1358))&lt;=MAX(0.005,ABS(INDEX('AH History'!$C$1:$C$18046,$H1358))*0.00005),ABS($E1358-INDEX('AH History'!$D$1:$D$18046,$H1358))&lt;=0.00005,$F1358=INDEX('AH History'!$E$1:$E$18046,$H1358),$G1358=INDEX('AH History'!$F$1:$F$18046,$H1358)),1,-1),-1))</ns0:f>
        <ns0:v/>
      </ns0:c>
    </ns0:row>
    <ns0:row r="1359">
      <ns0:c r="A1359" s="215">
        <ns0:f>IF(OR(AH!$P$3=0,1354+1&gt;AH!$P$11,AND(AH!$E$4&lt;&gt;"Stored",AH!$P$10&lt;&gt;1)),"",IFERROR(IF(AND(AH!$P$21=1,1354+1=AH!$P$11),TODAY(),IF(AH!$P$10=1,INDEX('Live History'!$A$5:$A$3004,AH!$P$13+1354),INDEX('AH History'!$A$1:$A$18046,AH!$P$7+1354))),""))</ns0:f>
        <ns0:v/>
      </ns0:c>
      <ns0:c r="B1359" s="219">
        <ns0:f>IFERROR(IF(AND(AH!$P$9&lt;&gt;1,$C1359&gt;0,$D1359&gt;0,$E1359&gt;0,$F1359&gt;0,$G1359&gt;0,$F1359&lt;=$A1359,$G1359&lt;=$A1359,$A1359-$F1359&lt;=10,$A1359-$G1359&lt;=5),$D1359*$E1359/$C1359-1,NA()),NA())</ns0:f>
        <ns0:v/>
      </ns0:c>
      <ns0:c r="C1359">
        <ns0:f>IFERROR(IF(ISNUMBER($A1359),IF(AND(AH!$P$10=1,AH!$P$12=1,$A1359=TODAY()),AH!$P$19,IF(AH!$P$10=1,INDEX('Live History'!$B$5:$B$3004,AH!$P$13+1354),INDEX('AH History'!$B$1:$B$18046,AH!$P$7+1354))),NA()),NA())</ns0:f>
        <ns0:v/>
      </ns0:c>
      <ns0:c r="D1359">
        <ns0:f>IFERROR(IF(ISNUMBER($A1359),IF(AND(AH!$P$10=1,AH!$P$12=1,$A1359=TODAY()),AH!$P$18,IF(AH!$P$10=1,INDEX('Live History'!$E$5:$E$3004,MATCH($A1359,'Live History'!$D$5:$D$3004,1)),INDEX('AH History'!$C$1:$C$18046,AH!$P$7+1354))),NA()),NA())</ns0:f>
        <ns0:v/>
      </ns0:c>
      <ns0:c r="E1359">
        <ns0:f>IFERROR(IF(ISNUMBER($A1359),IF(AND(AH!$P$10=1,AH!$P$12=1,$A1359=TODAY()),AH!$P$20,IF(AH!$P$10=1,INDEX('Live History'!$H$5:$H$3004,MATCH($A1359,'Live History'!$G$5:$G$3004,1)),INDEX('AH History'!$D$1:$D$18046,AH!$P$7+1354))),NA()),NA())</ns0:f>
        <ns0:v/>
      </ns0:c>
      <ns0:c r="F1359">
        <ns0:f>IFERROR(IF(ISNUMBER($A1359),IF(AND(AH!$P$10=1,AH!$P$12=1,$A1359=TODAY()),IF(AND(AH!$P$10=1,AH!$P$12=1,$A1359=TODAY()),TODAY(),NA()),IF(AH!$P$10=1,INDEX('Live History'!$D$5:$D$3004,MATCH($A1359,'Live History'!$D$5:$D$3004,1)),INDEX('AH History'!$E$1:$E$18046,AH!$P$7+1354))),NA()),NA())</ns0:f>
        <ns0:v/>
      </ns0:c>
      <ns0:c r="G1359">
        <ns0:f>IFERROR(IF(ISNUMBER($A1359),IF(AND(AH!$P$10=1,AH!$P$12=1,$A1359=TODAY()),IF(AND(AH!$P$10=1,AH!$P$12=1,$A1359=TODAY()),TODAY(),NA()),IF(AH!$P$10=1,INDEX('Live History'!$G$5:$G$3004,MATCH($A1359,'Live History'!$G$5:$G$3004,1)),INDEX('AH History'!$F$1:$F$18046,AH!$P$7+1354))),NA()),NA())</ns0:f>
        <ns0:v/>
      </ns0:c>
      <ns0:c r="H1359">
        <ns0:f>IFERROR(IF(AND(AH!$E$4="Bloomberg",AH!$P$10=1,ISNUMBER($A1359),$A1359&lt;=AH!$P$17),AH!$P$7-1+MATCH($A1359,INDEX('AH History'!$A$1:$A$18046,AH!$P$7):INDEX('AH History'!$A$1:$A$18046,AH!$P$7+AH!$P$8-1),0),0),0)</ns0:f>
        <ns0:v/>
      </ns0:c>
      <ns0:c r="I1359">
        <ns0:f>IF($H1359=0,0,IFERROR(IF(AND(ABS($C1359-INDEX('AH History'!$B$1:$B$18046,$H1359))&lt;=MAX(0.005,ABS(INDEX('AH History'!$B$1:$B$18046,$H1359))*0.00005),ABS($D1359-INDEX('AH History'!$C$1:$C$18046,$H1359))&lt;=MAX(0.005,ABS(INDEX('AH History'!$C$1:$C$18046,$H1359))*0.00005),ABS($E1359-INDEX('AH History'!$D$1:$D$18046,$H1359))&lt;=0.00005,$F1359=INDEX('AH History'!$E$1:$E$18046,$H1359),$G1359=INDEX('AH History'!$F$1:$F$18046,$H1359)),1,-1),-1))</ns0:f>
        <ns0:v/>
      </ns0:c>
    </ns0:row>
    <ns0:row r="1360">
      <ns0:c r="A1360" s="215">
        <ns0:f>IF(OR(AH!$P$3=0,1355+1&gt;AH!$P$11,AND(AH!$E$4&lt;&gt;"Stored",AH!$P$10&lt;&gt;1)),"",IFERROR(IF(AND(AH!$P$21=1,1355+1=AH!$P$11),TODAY(),IF(AH!$P$10=1,INDEX('Live History'!$A$5:$A$3004,AH!$P$13+1355),INDEX('AH History'!$A$1:$A$18046,AH!$P$7+1355))),""))</ns0:f>
        <ns0:v/>
      </ns0:c>
      <ns0:c r="B1360" s="219">
        <ns0:f>IFERROR(IF(AND(AH!$P$9&lt;&gt;1,$C1360&gt;0,$D1360&gt;0,$E1360&gt;0,$F1360&gt;0,$G1360&gt;0,$F1360&lt;=$A1360,$G1360&lt;=$A1360,$A1360-$F1360&lt;=10,$A1360-$G1360&lt;=5),$D1360*$E1360/$C1360-1,NA()),NA())</ns0:f>
        <ns0:v/>
      </ns0:c>
      <ns0:c r="C1360">
        <ns0:f>IFERROR(IF(ISNUMBER($A1360),IF(AND(AH!$P$10=1,AH!$P$12=1,$A1360=TODAY()),AH!$P$19,IF(AH!$P$10=1,INDEX('Live History'!$B$5:$B$3004,AH!$P$13+1355),INDEX('AH History'!$B$1:$B$18046,AH!$P$7+1355))),NA()),NA())</ns0:f>
        <ns0:v/>
      </ns0:c>
      <ns0:c r="D1360">
        <ns0:f>IFERROR(IF(ISNUMBER($A1360),IF(AND(AH!$P$10=1,AH!$P$12=1,$A1360=TODAY()),AH!$P$18,IF(AH!$P$10=1,INDEX('Live History'!$E$5:$E$3004,MATCH($A1360,'Live History'!$D$5:$D$3004,1)),INDEX('AH History'!$C$1:$C$18046,AH!$P$7+1355))),NA()),NA())</ns0:f>
        <ns0:v/>
      </ns0:c>
      <ns0:c r="E1360">
        <ns0:f>IFERROR(IF(ISNUMBER($A1360),IF(AND(AH!$P$10=1,AH!$P$12=1,$A1360=TODAY()),AH!$P$20,IF(AH!$P$10=1,INDEX('Live History'!$H$5:$H$3004,MATCH($A1360,'Live History'!$G$5:$G$3004,1)),INDEX('AH History'!$D$1:$D$18046,AH!$P$7+1355))),NA()),NA())</ns0:f>
        <ns0:v/>
      </ns0:c>
      <ns0:c r="F1360">
        <ns0:f>IFERROR(IF(ISNUMBER($A1360),IF(AND(AH!$P$10=1,AH!$P$12=1,$A1360=TODAY()),IF(AND(AH!$P$10=1,AH!$P$12=1,$A1360=TODAY()),TODAY(),NA()),IF(AH!$P$10=1,INDEX('Live History'!$D$5:$D$3004,MATCH($A1360,'Live History'!$D$5:$D$3004,1)),INDEX('AH History'!$E$1:$E$18046,AH!$P$7+1355))),NA()),NA())</ns0:f>
        <ns0:v/>
      </ns0:c>
      <ns0:c r="G1360">
        <ns0:f>IFERROR(IF(ISNUMBER($A1360),IF(AND(AH!$P$10=1,AH!$P$12=1,$A1360=TODAY()),IF(AND(AH!$P$10=1,AH!$P$12=1,$A1360=TODAY()),TODAY(),NA()),IF(AH!$P$10=1,INDEX('Live History'!$G$5:$G$3004,MATCH($A1360,'Live History'!$G$5:$G$3004,1)),INDEX('AH History'!$F$1:$F$18046,AH!$P$7+1355))),NA()),NA())</ns0:f>
        <ns0:v/>
      </ns0:c>
      <ns0:c r="H1360">
        <ns0:f>IFERROR(IF(AND(AH!$E$4="Bloomberg",AH!$P$10=1,ISNUMBER($A1360),$A1360&lt;=AH!$P$17),AH!$P$7-1+MATCH($A1360,INDEX('AH History'!$A$1:$A$18046,AH!$P$7):INDEX('AH History'!$A$1:$A$18046,AH!$P$7+AH!$P$8-1),0),0),0)</ns0:f>
        <ns0:v/>
      </ns0:c>
      <ns0:c r="I1360">
        <ns0:f>IF($H1360=0,0,IFERROR(IF(AND(ABS($C1360-INDEX('AH History'!$B$1:$B$18046,$H1360))&lt;=MAX(0.005,ABS(INDEX('AH History'!$B$1:$B$18046,$H1360))*0.00005),ABS($D1360-INDEX('AH History'!$C$1:$C$18046,$H1360))&lt;=MAX(0.005,ABS(INDEX('AH History'!$C$1:$C$18046,$H1360))*0.00005),ABS($E1360-INDEX('AH History'!$D$1:$D$18046,$H1360))&lt;=0.00005,$F1360=INDEX('AH History'!$E$1:$E$18046,$H1360),$G1360=INDEX('AH History'!$F$1:$F$18046,$H1360)),1,-1),-1))</ns0:f>
        <ns0:v/>
      </ns0:c>
    </ns0:row>
    <ns0:row r="1361">
      <ns0:c r="A1361" s="215">
        <ns0:f>IF(OR(AH!$P$3=0,1356+1&gt;AH!$P$11,AND(AH!$E$4&lt;&gt;"Stored",AH!$P$10&lt;&gt;1)),"",IFERROR(IF(AND(AH!$P$21=1,1356+1=AH!$P$11),TODAY(),IF(AH!$P$10=1,INDEX('Live History'!$A$5:$A$3004,AH!$P$13+1356),INDEX('AH History'!$A$1:$A$18046,AH!$P$7+1356))),""))</ns0:f>
        <ns0:v/>
      </ns0:c>
      <ns0:c r="B1361" s="219">
        <ns0:f>IFERROR(IF(AND(AH!$P$9&lt;&gt;1,$C1361&gt;0,$D1361&gt;0,$E1361&gt;0,$F1361&gt;0,$G1361&gt;0,$F1361&lt;=$A1361,$G1361&lt;=$A1361,$A1361-$F1361&lt;=10,$A1361-$G1361&lt;=5),$D1361*$E1361/$C1361-1,NA()),NA())</ns0:f>
        <ns0:v/>
      </ns0:c>
      <ns0:c r="C1361">
        <ns0:f>IFERROR(IF(ISNUMBER($A1361),IF(AND(AH!$P$10=1,AH!$P$12=1,$A1361=TODAY()),AH!$P$19,IF(AH!$P$10=1,INDEX('Live History'!$B$5:$B$3004,AH!$P$13+1356),INDEX('AH History'!$B$1:$B$18046,AH!$P$7+1356))),NA()),NA())</ns0:f>
        <ns0:v/>
      </ns0:c>
      <ns0:c r="D1361">
        <ns0:f>IFERROR(IF(ISNUMBER($A1361),IF(AND(AH!$P$10=1,AH!$P$12=1,$A1361=TODAY()),AH!$P$18,IF(AH!$P$10=1,INDEX('Live History'!$E$5:$E$3004,MATCH($A1361,'Live History'!$D$5:$D$3004,1)),INDEX('AH History'!$C$1:$C$18046,AH!$P$7+1356))),NA()),NA())</ns0:f>
        <ns0:v/>
      </ns0:c>
      <ns0:c r="E1361">
        <ns0:f>IFERROR(IF(ISNUMBER($A1361),IF(AND(AH!$P$10=1,AH!$P$12=1,$A1361=TODAY()),AH!$P$20,IF(AH!$P$10=1,INDEX('Live History'!$H$5:$H$3004,MATCH($A1361,'Live History'!$G$5:$G$3004,1)),INDEX('AH History'!$D$1:$D$18046,AH!$P$7+1356))),NA()),NA())</ns0:f>
        <ns0:v/>
      </ns0:c>
      <ns0:c r="F1361">
        <ns0:f>IFERROR(IF(ISNUMBER($A1361),IF(AND(AH!$P$10=1,AH!$P$12=1,$A1361=TODAY()),IF(AND(AH!$P$10=1,AH!$P$12=1,$A1361=TODAY()),TODAY(),NA()),IF(AH!$P$10=1,INDEX('Live History'!$D$5:$D$3004,MATCH($A1361,'Live History'!$D$5:$D$3004,1)),INDEX('AH History'!$E$1:$E$18046,AH!$P$7+1356))),NA()),NA())</ns0:f>
        <ns0:v/>
      </ns0:c>
      <ns0:c r="G1361">
        <ns0:f>IFERROR(IF(ISNUMBER($A1361),IF(AND(AH!$P$10=1,AH!$P$12=1,$A1361=TODAY()),IF(AND(AH!$P$10=1,AH!$P$12=1,$A1361=TODAY()),TODAY(),NA()),IF(AH!$P$10=1,INDEX('Live History'!$G$5:$G$3004,MATCH($A1361,'Live History'!$G$5:$G$3004,1)),INDEX('AH History'!$F$1:$F$18046,AH!$P$7+1356))),NA()),NA())</ns0:f>
        <ns0:v/>
      </ns0:c>
      <ns0:c r="H1361">
        <ns0:f>IFERROR(IF(AND(AH!$E$4="Bloomberg",AH!$P$10=1,ISNUMBER($A1361),$A1361&lt;=AH!$P$17),AH!$P$7-1+MATCH($A1361,INDEX('AH History'!$A$1:$A$18046,AH!$P$7):INDEX('AH History'!$A$1:$A$18046,AH!$P$7+AH!$P$8-1),0),0),0)</ns0:f>
        <ns0:v/>
      </ns0:c>
      <ns0:c r="I1361">
        <ns0:f>IF($H1361=0,0,IFERROR(IF(AND(ABS($C1361-INDEX('AH History'!$B$1:$B$18046,$H1361))&lt;=MAX(0.005,ABS(INDEX('AH History'!$B$1:$B$18046,$H1361))*0.00005),ABS($D1361-INDEX('AH History'!$C$1:$C$18046,$H1361))&lt;=MAX(0.005,ABS(INDEX('AH History'!$C$1:$C$18046,$H1361))*0.00005),ABS($E1361-INDEX('AH History'!$D$1:$D$18046,$H1361))&lt;=0.00005,$F1361=INDEX('AH History'!$E$1:$E$18046,$H1361),$G1361=INDEX('AH History'!$F$1:$F$18046,$H1361)),1,-1),-1))</ns0:f>
        <ns0:v/>
      </ns0:c>
    </ns0:row>
    <ns0:row r="1362">
      <ns0:c r="A1362" s="215">
        <ns0:f>IF(OR(AH!$P$3=0,1357+1&gt;AH!$P$11,AND(AH!$E$4&lt;&gt;"Stored",AH!$P$10&lt;&gt;1)),"",IFERROR(IF(AND(AH!$P$21=1,1357+1=AH!$P$11),TODAY(),IF(AH!$P$10=1,INDEX('Live History'!$A$5:$A$3004,AH!$P$13+1357),INDEX('AH History'!$A$1:$A$18046,AH!$P$7+1357))),""))</ns0:f>
        <ns0:v/>
      </ns0:c>
      <ns0:c r="B1362" s="219">
        <ns0:f>IFERROR(IF(AND(AH!$P$9&lt;&gt;1,$C1362&gt;0,$D1362&gt;0,$E1362&gt;0,$F1362&gt;0,$G1362&gt;0,$F1362&lt;=$A1362,$G1362&lt;=$A1362,$A1362-$F1362&lt;=10,$A1362-$G1362&lt;=5),$D1362*$E1362/$C1362-1,NA()),NA())</ns0:f>
        <ns0:v/>
      </ns0:c>
      <ns0:c r="C1362">
        <ns0:f>IFERROR(IF(ISNUMBER($A1362),IF(AND(AH!$P$10=1,AH!$P$12=1,$A1362=TODAY()),AH!$P$19,IF(AH!$P$10=1,INDEX('Live History'!$B$5:$B$3004,AH!$P$13+1357),INDEX('AH History'!$B$1:$B$18046,AH!$P$7+1357))),NA()),NA())</ns0:f>
        <ns0:v/>
      </ns0:c>
      <ns0:c r="D1362">
        <ns0:f>IFERROR(IF(ISNUMBER($A1362),IF(AND(AH!$P$10=1,AH!$P$12=1,$A1362=TODAY()),AH!$P$18,IF(AH!$P$10=1,INDEX('Live History'!$E$5:$E$3004,MATCH($A1362,'Live History'!$D$5:$D$3004,1)),INDEX('AH History'!$C$1:$C$18046,AH!$P$7+1357))),NA()),NA())</ns0:f>
        <ns0:v/>
      </ns0:c>
      <ns0:c r="E1362">
        <ns0:f>IFERROR(IF(ISNUMBER($A1362),IF(AND(AH!$P$10=1,AH!$P$12=1,$A1362=TODAY()),AH!$P$20,IF(AH!$P$10=1,INDEX('Live History'!$H$5:$H$3004,MATCH($A1362,'Live History'!$G$5:$G$3004,1)),INDEX('AH History'!$D$1:$D$18046,AH!$P$7+1357))),NA()),NA())</ns0:f>
        <ns0:v/>
      </ns0:c>
      <ns0:c r="F1362">
        <ns0:f>IFERROR(IF(ISNUMBER($A1362),IF(AND(AH!$P$10=1,AH!$P$12=1,$A1362=TODAY()),IF(AND(AH!$P$10=1,AH!$P$12=1,$A1362=TODAY()),TODAY(),NA()),IF(AH!$P$10=1,INDEX('Live History'!$D$5:$D$3004,MATCH($A1362,'Live History'!$D$5:$D$3004,1)),INDEX('AH History'!$E$1:$E$18046,AH!$P$7+1357))),NA()),NA())</ns0:f>
        <ns0:v/>
      </ns0:c>
      <ns0:c r="G1362">
        <ns0:f>IFERROR(IF(ISNUMBER($A1362),IF(AND(AH!$P$10=1,AH!$P$12=1,$A1362=TODAY()),IF(AND(AH!$P$10=1,AH!$P$12=1,$A1362=TODAY()),TODAY(),NA()),IF(AH!$P$10=1,INDEX('Live History'!$G$5:$G$3004,MATCH($A1362,'Live History'!$G$5:$G$3004,1)),INDEX('AH History'!$F$1:$F$18046,AH!$P$7+1357))),NA()),NA())</ns0:f>
        <ns0:v/>
      </ns0:c>
      <ns0:c r="H1362">
        <ns0:f>IFERROR(IF(AND(AH!$E$4="Bloomberg",AH!$P$10=1,ISNUMBER($A1362),$A1362&lt;=AH!$P$17),AH!$P$7-1+MATCH($A1362,INDEX('AH History'!$A$1:$A$18046,AH!$P$7):INDEX('AH History'!$A$1:$A$18046,AH!$P$7+AH!$P$8-1),0),0),0)</ns0:f>
        <ns0:v/>
      </ns0:c>
      <ns0:c r="I1362">
        <ns0:f>IF($H1362=0,0,IFERROR(IF(AND(ABS($C1362-INDEX('AH History'!$B$1:$B$18046,$H1362))&lt;=MAX(0.005,ABS(INDEX('AH History'!$B$1:$B$18046,$H1362))*0.00005),ABS($D1362-INDEX('AH History'!$C$1:$C$18046,$H1362))&lt;=MAX(0.005,ABS(INDEX('AH History'!$C$1:$C$18046,$H1362))*0.00005),ABS($E1362-INDEX('AH History'!$D$1:$D$18046,$H1362))&lt;=0.00005,$F1362=INDEX('AH History'!$E$1:$E$18046,$H1362),$G1362=INDEX('AH History'!$F$1:$F$18046,$H1362)),1,-1),-1))</ns0:f>
        <ns0:v/>
      </ns0:c>
    </ns0:row>
    <ns0:row r="1363">
      <ns0:c r="A1363" s="215">
        <ns0:f>IF(OR(AH!$P$3=0,1358+1&gt;AH!$P$11,AND(AH!$E$4&lt;&gt;"Stored",AH!$P$10&lt;&gt;1)),"",IFERROR(IF(AND(AH!$P$21=1,1358+1=AH!$P$11),TODAY(),IF(AH!$P$10=1,INDEX('Live History'!$A$5:$A$3004,AH!$P$13+1358),INDEX('AH History'!$A$1:$A$18046,AH!$P$7+1358))),""))</ns0:f>
        <ns0:v/>
      </ns0:c>
      <ns0:c r="B1363" s="219">
        <ns0:f>IFERROR(IF(AND(AH!$P$9&lt;&gt;1,$C1363&gt;0,$D1363&gt;0,$E1363&gt;0,$F1363&gt;0,$G1363&gt;0,$F1363&lt;=$A1363,$G1363&lt;=$A1363,$A1363-$F1363&lt;=10,$A1363-$G1363&lt;=5),$D1363*$E1363/$C1363-1,NA()),NA())</ns0:f>
        <ns0:v/>
      </ns0:c>
      <ns0:c r="C1363">
        <ns0:f>IFERROR(IF(ISNUMBER($A1363),IF(AND(AH!$P$10=1,AH!$P$12=1,$A1363=TODAY()),AH!$P$19,IF(AH!$P$10=1,INDEX('Live History'!$B$5:$B$3004,AH!$P$13+1358),INDEX('AH History'!$B$1:$B$18046,AH!$P$7+1358))),NA()),NA())</ns0:f>
        <ns0:v/>
      </ns0:c>
      <ns0:c r="D1363">
        <ns0:f>IFERROR(IF(ISNUMBER($A1363),IF(AND(AH!$P$10=1,AH!$P$12=1,$A1363=TODAY()),AH!$P$18,IF(AH!$P$10=1,INDEX('Live History'!$E$5:$E$3004,MATCH($A1363,'Live History'!$D$5:$D$3004,1)),INDEX('AH History'!$C$1:$C$18046,AH!$P$7+1358))),NA()),NA())</ns0:f>
        <ns0:v/>
      </ns0:c>
      <ns0:c r="E1363">
        <ns0:f>IFERROR(IF(ISNUMBER($A1363),IF(AND(AH!$P$10=1,AH!$P$12=1,$A1363=TODAY()),AH!$P$20,IF(AH!$P$10=1,INDEX('Live History'!$H$5:$H$3004,MATCH($A1363,'Live History'!$G$5:$G$3004,1)),INDEX('AH History'!$D$1:$D$18046,AH!$P$7+1358))),NA()),NA())</ns0:f>
        <ns0:v/>
      </ns0:c>
      <ns0:c r="F1363">
        <ns0:f>IFERROR(IF(ISNUMBER($A1363),IF(AND(AH!$P$10=1,AH!$P$12=1,$A1363=TODAY()),IF(AND(AH!$P$10=1,AH!$P$12=1,$A1363=TODAY()),TODAY(),NA()),IF(AH!$P$10=1,INDEX('Live History'!$D$5:$D$3004,MATCH($A1363,'Live History'!$D$5:$D$3004,1)),INDEX('AH History'!$E$1:$E$18046,AH!$P$7+1358))),NA()),NA())</ns0:f>
        <ns0:v/>
      </ns0:c>
      <ns0:c r="G1363">
        <ns0:f>IFERROR(IF(ISNUMBER($A1363),IF(AND(AH!$P$10=1,AH!$P$12=1,$A1363=TODAY()),IF(AND(AH!$P$10=1,AH!$P$12=1,$A1363=TODAY()),TODAY(),NA()),IF(AH!$P$10=1,INDEX('Live History'!$G$5:$G$3004,MATCH($A1363,'Live History'!$G$5:$G$3004,1)),INDEX('AH History'!$F$1:$F$18046,AH!$P$7+1358))),NA()),NA())</ns0:f>
        <ns0:v/>
      </ns0:c>
      <ns0:c r="H1363">
        <ns0:f>IFERROR(IF(AND(AH!$E$4="Bloomberg",AH!$P$10=1,ISNUMBER($A1363),$A1363&lt;=AH!$P$17),AH!$P$7-1+MATCH($A1363,INDEX('AH History'!$A$1:$A$18046,AH!$P$7):INDEX('AH History'!$A$1:$A$18046,AH!$P$7+AH!$P$8-1),0),0),0)</ns0:f>
        <ns0:v/>
      </ns0:c>
      <ns0:c r="I1363">
        <ns0:f>IF($H1363=0,0,IFERROR(IF(AND(ABS($C1363-INDEX('AH History'!$B$1:$B$18046,$H1363))&lt;=MAX(0.005,ABS(INDEX('AH History'!$B$1:$B$18046,$H1363))*0.00005),ABS($D1363-INDEX('AH History'!$C$1:$C$18046,$H1363))&lt;=MAX(0.005,ABS(INDEX('AH History'!$C$1:$C$18046,$H1363))*0.00005),ABS($E1363-INDEX('AH History'!$D$1:$D$18046,$H1363))&lt;=0.00005,$F1363=INDEX('AH History'!$E$1:$E$18046,$H1363),$G1363=INDEX('AH History'!$F$1:$F$18046,$H1363)),1,-1),-1))</ns0:f>
        <ns0:v/>
      </ns0:c>
    </ns0:row>
    <ns0:row r="1364">
      <ns0:c r="A1364" s="215">
        <ns0:f>IF(OR(AH!$P$3=0,1359+1&gt;AH!$P$11,AND(AH!$E$4&lt;&gt;"Stored",AH!$P$10&lt;&gt;1)),"",IFERROR(IF(AND(AH!$P$21=1,1359+1=AH!$P$11),TODAY(),IF(AH!$P$10=1,INDEX('Live History'!$A$5:$A$3004,AH!$P$13+1359),INDEX('AH History'!$A$1:$A$18046,AH!$P$7+1359))),""))</ns0:f>
        <ns0:v/>
      </ns0:c>
      <ns0:c r="B1364" s="219">
        <ns0:f>IFERROR(IF(AND(AH!$P$9&lt;&gt;1,$C1364&gt;0,$D1364&gt;0,$E1364&gt;0,$F1364&gt;0,$G1364&gt;0,$F1364&lt;=$A1364,$G1364&lt;=$A1364,$A1364-$F1364&lt;=10,$A1364-$G1364&lt;=5),$D1364*$E1364/$C1364-1,NA()),NA())</ns0:f>
        <ns0:v/>
      </ns0:c>
      <ns0:c r="C1364">
        <ns0:f>IFERROR(IF(ISNUMBER($A1364),IF(AND(AH!$P$10=1,AH!$P$12=1,$A1364=TODAY()),AH!$P$19,IF(AH!$P$10=1,INDEX('Live History'!$B$5:$B$3004,AH!$P$13+1359),INDEX('AH History'!$B$1:$B$18046,AH!$P$7+1359))),NA()),NA())</ns0:f>
        <ns0:v/>
      </ns0:c>
      <ns0:c r="D1364">
        <ns0:f>IFERROR(IF(ISNUMBER($A1364),IF(AND(AH!$P$10=1,AH!$P$12=1,$A1364=TODAY()),AH!$P$18,IF(AH!$P$10=1,INDEX('Live History'!$E$5:$E$3004,MATCH($A1364,'Live History'!$D$5:$D$3004,1)),INDEX('AH History'!$C$1:$C$18046,AH!$P$7+1359))),NA()),NA())</ns0:f>
        <ns0:v/>
      </ns0:c>
      <ns0:c r="E1364">
        <ns0:f>IFERROR(IF(ISNUMBER($A1364),IF(AND(AH!$P$10=1,AH!$P$12=1,$A1364=TODAY()),AH!$P$20,IF(AH!$P$10=1,INDEX('Live History'!$H$5:$H$3004,MATCH($A1364,'Live History'!$G$5:$G$3004,1)),INDEX('AH History'!$D$1:$D$18046,AH!$P$7+1359))),NA()),NA())</ns0:f>
        <ns0:v/>
      </ns0:c>
      <ns0:c r="F1364">
        <ns0:f>IFERROR(IF(ISNUMBER($A1364),IF(AND(AH!$P$10=1,AH!$P$12=1,$A1364=TODAY()),IF(AND(AH!$P$10=1,AH!$P$12=1,$A1364=TODAY()),TODAY(),NA()),IF(AH!$P$10=1,INDEX('Live History'!$D$5:$D$3004,MATCH($A1364,'Live History'!$D$5:$D$3004,1)),INDEX('AH History'!$E$1:$E$18046,AH!$P$7+1359))),NA()),NA())</ns0:f>
        <ns0:v/>
      </ns0:c>
      <ns0:c r="G1364">
        <ns0:f>IFERROR(IF(ISNUMBER($A1364),IF(AND(AH!$P$10=1,AH!$P$12=1,$A1364=TODAY()),IF(AND(AH!$P$10=1,AH!$P$12=1,$A1364=TODAY()),TODAY(),NA()),IF(AH!$P$10=1,INDEX('Live History'!$G$5:$G$3004,MATCH($A1364,'Live History'!$G$5:$G$3004,1)),INDEX('AH History'!$F$1:$F$18046,AH!$P$7+1359))),NA()),NA())</ns0:f>
        <ns0:v/>
      </ns0:c>
      <ns0:c r="H1364">
        <ns0:f>IFERROR(IF(AND(AH!$E$4="Bloomberg",AH!$P$10=1,ISNUMBER($A1364),$A1364&lt;=AH!$P$17),AH!$P$7-1+MATCH($A1364,INDEX('AH History'!$A$1:$A$18046,AH!$P$7):INDEX('AH History'!$A$1:$A$18046,AH!$P$7+AH!$P$8-1),0),0),0)</ns0:f>
        <ns0:v/>
      </ns0:c>
      <ns0:c r="I1364">
        <ns0:f>IF($H1364=0,0,IFERROR(IF(AND(ABS($C1364-INDEX('AH History'!$B$1:$B$18046,$H1364))&lt;=MAX(0.005,ABS(INDEX('AH History'!$B$1:$B$18046,$H1364))*0.00005),ABS($D1364-INDEX('AH History'!$C$1:$C$18046,$H1364))&lt;=MAX(0.005,ABS(INDEX('AH History'!$C$1:$C$18046,$H1364))*0.00005),ABS($E1364-INDEX('AH History'!$D$1:$D$18046,$H1364))&lt;=0.00005,$F1364=INDEX('AH History'!$E$1:$E$18046,$H1364),$G1364=INDEX('AH History'!$F$1:$F$18046,$H1364)),1,-1),-1))</ns0:f>
        <ns0:v/>
      </ns0:c>
    </ns0:row>
    <ns0:row r="1365">
      <ns0:c r="A1365" s="215">
        <ns0:f>IF(OR(AH!$P$3=0,1360+1&gt;AH!$P$11,AND(AH!$E$4&lt;&gt;"Stored",AH!$P$10&lt;&gt;1)),"",IFERROR(IF(AND(AH!$P$21=1,1360+1=AH!$P$11),TODAY(),IF(AH!$P$10=1,INDEX('Live History'!$A$5:$A$3004,AH!$P$13+1360),INDEX('AH History'!$A$1:$A$18046,AH!$P$7+1360))),""))</ns0:f>
        <ns0:v/>
      </ns0:c>
      <ns0:c r="B1365" s="219">
        <ns0:f>IFERROR(IF(AND(AH!$P$9&lt;&gt;1,$C1365&gt;0,$D1365&gt;0,$E1365&gt;0,$F1365&gt;0,$G1365&gt;0,$F1365&lt;=$A1365,$G1365&lt;=$A1365,$A1365-$F1365&lt;=10,$A1365-$G1365&lt;=5),$D1365*$E1365/$C1365-1,NA()),NA())</ns0:f>
        <ns0:v/>
      </ns0:c>
      <ns0:c r="C1365">
        <ns0:f>IFERROR(IF(ISNUMBER($A1365),IF(AND(AH!$P$10=1,AH!$P$12=1,$A1365=TODAY()),AH!$P$19,IF(AH!$P$10=1,INDEX('Live History'!$B$5:$B$3004,AH!$P$13+1360),INDEX('AH History'!$B$1:$B$18046,AH!$P$7+1360))),NA()),NA())</ns0:f>
        <ns0:v/>
      </ns0:c>
      <ns0:c r="D1365">
        <ns0:f>IFERROR(IF(ISNUMBER($A1365),IF(AND(AH!$P$10=1,AH!$P$12=1,$A1365=TODAY()),AH!$P$18,IF(AH!$P$10=1,INDEX('Live History'!$E$5:$E$3004,MATCH($A1365,'Live History'!$D$5:$D$3004,1)),INDEX('AH History'!$C$1:$C$18046,AH!$P$7+1360))),NA()),NA())</ns0:f>
        <ns0:v/>
      </ns0:c>
      <ns0:c r="E1365">
        <ns0:f>IFERROR(IF(ISNUMBER($A1365),IF(AND(AH!$P$10=1,AH!$P$12=1,$A1365=TODAY()),AH!$P$20,IF(AH!$P$10=1,INDEX('Live History'!$H$5:$H$3004,MATCH($A1365,'Live History'!$G$5:$G$3004,1)),INDEX('AH History'!$D$1:$D$18046,AH!$P$7+1360))),NA()),NA())</ns0:f>
        <ns0:v/>
      </ns0:c>
      <ns0:c r="F1365">
        <ns0:f>IFERROR(IF(ISNUMBER($A1365),IF(AND(AH!$P$10=1,AH!$P$12=1,$A1365=TODAY()),IF(AND(AH!$P$10=1,AH!$P$12=1,$A1365=TODAY()),TODAY(),NA()),IF(AH!$P$10=1,INDEX('Live History'!$D$5:$D$3004,MATCH($A1365,'Live History'!$D$5:$D$3004,1)),INDEX('AH History'!$E$1:$E$18046,AH!$P$7+1360))),NA()),NA())</ns0:f>
        <ns0:v/>
      </ns0:c>
      <ns0:c r="G1365">
        <ns0:f>IFERROR(IF(ISNUMBER($A1365),IF(AND(AH!$P$10=1,AH!$P$12=1,$A1365=TODAY()),IF(AND(AH!$P$10=1,AH!$P$12=1,$A1365=TODAY()),TODAY(),NA()),IF(AH!$P$10=1,INDEX('Live History'!$G$5:$G$3004,MATCH($A1365,'Live History'!$G$5:$G$3004,1)),INDEX('AH History'!$F$1:$F$18046,AH!$P$7+1360))),NA()),NA())</ns0:f>
        <ns0:v/>
      </ns0:c>
      <ns0:c r="H1365">
        <ns0:f>IFERROR(IF(AND(AH!$E$4="Bloomberg",AH!$P$10=1,ISNUMBER($A1365),$A1365&lt;=AH!$P$17),AH!$P$7-1+MATCH($A1365,INDEX('AH History'!$A$1:$A$18046,AH!$P$7):INDEX('AH History'!$A$1:$A$18046,AH!$P$7+AH!$P$8-1),0),0),0)</ns0:f>
        <ns0:v/>
      </ns0:c>
      <ns0:c r="I1365">
        <ns0:f>IF($H1365=0,0,IFERROR(IF(AND(ABS($C1365-INDEX('AH History'!$B$1:$B$18046,$H1365))&lt;=MAX(0.005,ABS(INDEX('AH History'!$B$1:$B$18046,$H1365))*0.00005),ABS($D1365-INDEX('AH History'!$C$1:$C$18046,$H1365))&lt;=MAX(0.005,ABS(INDEX('AH History'!$C$1:$C$18046,$H1365))*0.00005),ABS($E1365-INDEX('AH History'!$D$1:$D$18046,$H1365))&lt;=0.00005,$F1365=INDEX('AH History'!$E$1:$E$18046,$H1365),$G1365=INDEX('AH History'!$F$1:$F$18046,$H1365)),1,-1),-1))</ns0:f>
        <ns0:v/>
      </ns0:c>
    </ns0:row>
    <ns0:row r="1366">
      <ns0:c r="A1366" s="215">
        <ns0:f>IF(OR(AH!$P$3=0,1361+1&gt;AH!$P$11,AND(AH!$E$4&lt;&gt;"Stored",AH!$P$10&lt;&gt;1)),"",IFERROR(IF(AND(AH!$P$21=1,1361+1=AH!$P$11),TODAY(),IF(AH!$P$10=1,INDEX('Live History'!$A$5:$A$3004,AH!$P$13+1361),INDEX('AH History'!$A$1:$A$18046,AH!$P$7+1361))),""))</ns0:f>
        <ns0:v/>
      </ns0:c>
      <ns0:c r="B1366" s="219">
        <ns0:f>IFERROR(IF(AND(AH!$P$9&lt;&gt;1,$C1366&gt;0,$D1366&gt;0,$E1366&gt;0,$F1366&gt;0,$G1366&gt;0,$F1366&lt;=$A1366,$G1366&lt;=$A1366,$A1366-$F1366&lt;=10,$A1366-$G1366&lt;=5),$D1366*$E1366/$C1366-1,NA()),NA())</ns0:f>
        <ns0:v/>
      </ns0:c>
      <ns0:c r="C1366">
        <ns0:f>IFERROR(IF(ISNUMBER($A1366),IF(AND(AH!$P$10=1,AH!$P$12=1,$A1366=TODAY()),AH!$P$19,IF(AH!$P$10=1,INDEX('Live History'!$B$5:$B$3004,AH!$P$13+1361),INDEX('AH History'!$B$1:$B$18046,AH!$P$7+1361))),NA()),NA())</ns0:f>
        <ns0:v/>
      </ns0:c>
      <ns0:c r="D1366">
        <ns0:f>IFERROR(IF(ISNUMBER($A1366),IF(AND(AH!$P$10=1,AH!$P$12=1,$A1366=TODAY()),AH!$P$18,IF(AH!$P$10=1,INDEX('Live History'!$E$5:$E$3004,MATCH($A1366,'Live History'!$D$5:$D$3004,1)),INDEX('AH History'!$C$1:$C$18046,AH!$P$7+1361))),NA()),NA())</ns0:f>
        <ns0:v/>
      </ns0:c>
      <ns0:c r="E1366">
        <ns0:f>IFERROR(IF(ISNUMBER($A1366),IF(AND(AH!$P$10=1,AH!$P$12=1,$A1366=TODAY()),AH!$P$20,IF(AH!$P$10=1,INDEX('Live History'!$H$5:$H$3004,MATCH($A1366,'Live History'!$G$5:$G$3004,1)),INDEX('AH History'!$D$1:$D$18046,AH!$P$7+1361))),NA()),NA())</ns0:f>
        <ns0:v/>
      </ns0:c>
      <ns0:c r="F1366">
        <ns0:f>IFERROR(IF(ISNUMBER($A1366),IF(AND(AH!$P$10=1,AH!$P$12=1,$A1366=TODAY()),IF(AND(AH!$P$10=1,AH!$P$12=1,$A1366=TODAY()),TODAY(),NA()),IF(AH!$P$10=1,INDEX('Live History'!$D$5:$D$3004,MATCH($A1366,'Live History'!$D$5:$D$3004,1)),INDEX('AH History'!$E$1:$E$18046,AH!$P$7+1361))),NA()),NA())</ns0:f>
        <ns0:v/>
      </ns0:c>
      <ns0:c r="G1366">
        <ns0:f>IFERROR(IF(ISNUMBER($A1366),IF(AND(AH!$P$10=1,AH!$P$12=1,$A1366=TODAY()),IF(AND(AH!$P$10=1,AH!$P$12=1,$A1366=TODAY()),TODAY(),NA()),IF(AH!$P$10=1,INDEX('Live History'!$G$5:$G$3004,MATCH($A1366,'Live History'!$G$5:$G$3004,1)),INDEX('AH History'!$F$1:$F$18046,AH!$P$7+1361))),NA()),NA())</ns0:f>
        <ns0:v/>
      </ns0:c>
      <ns0:c r="H1366">
        <ns0:f>IFERROR(IF(AND(AH!$E$4="Bloomberg",AH!$P$10=1,ISNUMBER($A1366),$A1366&lt;=AH!$P$17),AH!$P$7-1+MATCH($A1366,INDEX('AH History'!$A$1:$A$18046,AH!$P$7):INDEX('AH History'!$A$1:$A$18046,AH!$P$7+AH!$P$8-1),0),0),0)</ns0:f>
        <ns0:v/>
      </ns0:c>
      <ns0:c r="I1366">
        <ns0:f>IF($H1366=0,0,IFERROR(IF(AND(ABS($C1366-INDEX('AH History'!$B$1:$B$18046,$H1366))&lt;=MAX(0.005,ABS(INDEX('AH History'!$B$1:$B$18046,$H1366))*0.00005),ABS($D1366-INDEX('AH History'!$C$1:$C$18046,$H1366))&lt;=MAX(0.005,ABS(INDEX('AH History'!$C$1:$C$18046,$H1366))*0.00005),ABS($E1366-INDEX('AH History'!$D$1:$D$18046,$H1366))&lt;=0.00005,$F1366=INDEX('AH History'!$E$1:$E$18046,$H1366),$G1366=INDEX('AH History'!$F$1:$F$18046,$H1366)),1,-1),-1))</ns0:f>
        <ns0:v/>
      </ns0:c>
    </ns0:row>
    <ns0:row r="1367">
      <ns0:c r="A1367" s="215">
        <ns0:f>IF(OR(AH!$P$3=0,1362+1&gt;AH!$P$11,AND(AH!$E$4&lt;&gt;"Stored",AH!$P$10&lt;&gt;1)),"",IFERROR(IF(AND(AH!$P$21=1,1362+1=AH!$P$11),TODAY(),IF(AH!$P$10=1,INDEX('Live History'!$A$5:$A$3004,AH!$P$13+1362),INDEX('AH History'!$A$1:$A$18046,AH!$P$7+1362))),""))</ns0:f>
        <ns0:v/>
      </ns0:c>
      <ns0:c r="B1367" s="219">
        <ns0:f>IFERROR(IF(AND(AH!$P$9&lt;&gt;1,$C1367&gt;0,$D1367&gt;0,$E1367&gt;0,$F1367&gt;0,$G1367&gt;0,$F1367&lt;=$A1367,$G1367&lt;=$A1367,$A1367-$F1367&lt;=10,$A1367-$G1367&lt;=5),$D1367*$E1367/$C1367-1,NA()),NA())</ns0:f>
        <ns0:v/>
      </ns0:c>
      <ns0:c r="C1367">
        <ns0:f>IFERROR(IF(ISNUMBER($A1367),IF(AND(AH!$P$10=1,AH!$P$12=1,$A1367=TODAY()),AH!$P$19,IF(AH!$P$10=1,INDEX('Live History'!$B$5:$B$3004,AH!$P$13+1362),INDEX('AH History'!$B$1:$B$18046,AH!$P$7+1362))),NA()),NA())</ns0:f>
        <ns0:v/>
      </ns0:c>
      <ns0:c r="D1367">
        <ns0:f>IFERROR(IF(ISNUMBER($A1367),IF(AND(AH!$P$10=1,AH!$P$12=1,$A1367=TODAY()),AH!$P$18,IF(AH!$P$10=1,INDEX('Live History'!$E$5:$E$3004,MATCH($A1367,'Live History'!$D$5:$D$3004,1)),INDEX('AH History'!$C$1:$C$18046,AH!$P$7+1362))),NA()),NA())</ns0:f>
        <ns0:v/>
      </ns0:c>
      <ns0:c r="E1367">
        <ns0:f>IFERROR(IF(ISNUMBER($A1367),IF(AND(AH!$P$10=1,AH!$P$12=1,$A1367=TODAY()),AH!$P$20,IF(AH!$P$10=1,INDEX('Live History'!$H$5:$H$3004,MATCH($A1367,'Live History'!$G$5:$G$3004,1)),INDEX('AH History'!$D$1:$D$18046,AH!$P$7+1362))),NA()),NA())</ns0:f>
        <ns0:v/>
      </ns0:c>
      <ns0:c r="F1367">
        <ns0:f>IFERROR(IF(ISNUMBER($A1367),IF(AND(AH!$P$10=1,AH!$P$12=1,$A1367=TODAY()),IF(AND(AH!$P$10=1,AH!$P$12=1,$A1367=TODAY()),TODAY(),NA()),IF(AH!$P$10=1,INDEX('Live History'!$D$5:$D$3004,MATCH($A1367,'Live History'!$D$5:$D$3004,1)),INDEX('AH History'!$E$1:$E$18046,AH!$P$7+1362))),NA()),NA())</ns0:f>
        <ns0:v/>
      </ns0:c>
      <ns0:c r="G1367">
        <ns0:f>IFERROR(IF(ISNUMBER($A1367),IF(AND(AH!$P$10=1,AH!$P$12=1,$A1367=TODAY()),IF(AND(AH!$P$10=1,AH!$P$12=1,$A1367=TODAY()),TODAY(),NA()),IF(AH!$P$10=1,INDEX('Live History'!$G$5:$G$3004,MATCH($A1367,'Live History'!$G$5:$G$3004,1)),INDEX('AH History'!$F$1:$F$18046,AH!$P$7+1362))),NA()),NA())</ns0:f>
        <ns0:v/>
      </ns0:c>
      <ns0:c r="H1367">
        <ns0:f>IFERROR(IF(AND(AH!$E$4="Bloomberg",AH!$P$10=1,ISNUMBER($A1367),$A1367&lt;=AH!$P$17),AH!$P$7-1+MATCH($A1367,INDEX('AH History'!$A$1:$A$18046,AH!$P$7):INDEX('AH History'!$A$1:$A$18046,AH!$P$7+AH!$P$8-1),0),0),0)</ns0:f>
        <ns0:v/>
      </ns0:c>
      <ns0:c r="I1367">
        <ns0:f>IF($H1367=0,0,IFERROR(IF(AND(ABS($C1367-INDEX('AH History'!$B$1:$B$18046,$H1367))&lt;=MAX(0.005,ABS(INDEX('AH History'!$B$1:$B$18046,$H1367))*0.00005),ABS($D1367-INDEX('AH History'!$C$1:$C$18046,$H1367))&lt;=MAX(0.005,ABS(INDEX('AH History'!$C$1:$C$18046,$H1367))*0.00005),ABS($E1367-INDEX('AH History'!$D$1:$D$18046,$H1367))&lt;=0.00005,$F1367=INDEX('AH History'!$E$1:$E$18046,$H1367),$G1367=INDEX('AH History'!$F$1:$F$18046,$H1367)),1,-1),-1))</ns0:f>
        <ns0:v/>
      </ns0:c>
    </ns0:row>
    <ns0:row r="1368">
      <ns0:c r="A1368" s="215">
        <ns0:f>IF(OR(AH!$P$3=0,1363+1&gt;AH!$P$11,AND(AH!$E$4&lt;&gt;"Stored",AH!$P$10&lt;&gt;1)),"",IFERROR(IF(AND(AH!$P$21=1,1363+1=AH!$P$11),TODAY(),IF(AH!$P$10=1,INDEX('Live History'!$A$5:$A$3004,AH!$P$13+1363),INDEX('AH History'!$A$1:$A$18046,AH!$P$7+1363))),""))</ns0:f>
        <ns0:v/>
      </ns0:c>
      <ns0:c r="B1368" s="219">
        <ns0:f>IFERROR(IF(AND(AH!$P$9&lt;&gt;1,$C1368&gt;0,$D1368&gt;0,$E1368&gt;0,$F1368&gt;0,$G1368&gt;0,$F1368&lt;=$A1368,$G1368&lt;=$A1368,$A1368-$F1368&lt;=10,$A1368-$G1368&lt;=5),$D1368*$E1368/$C1368-1,NA()),NA())</ns0:f>
        <ns0:v/>
      </ns0:c>
      <ns0:c r="C1368">
        <ns0:f>IFERROR(IF(ISNUMBER($A1368),IF(AND(AH!$P$10=1,AH!$P$12=1,$A1368=TODAY()),AH!$P$19,IF(AH!$P$10=1,INDEX('Live History'!$B$5:$B$3004,AH!$P$13+1363),INDEX('AH History'!$B$1:$B$18046,AH!$P$7+1363))),NA()),NA())</ns0:f>
        <ns0:v/>
      </ns0:c>
      <ns0:c r="D1368">
        <ns0:f>IFERROR(IF(ISNUMBER($A1368),IF(AND(AH!$P$10=1,AH!$P$12=1,$A1368=TODAY()),AH!$P$18,IF(AH!$P$10=1,INDEX('Live History'!$E$5:$E$3004,MATCH($A1368,'Live History'!$D$5:$D$3004,1)),INDEX('AH History'!$C$1:$C$18046,AH!$P$7+1363))),NA()),NA())</ns0:f>
        <ns0:v/>
      </ns0:c>
      <ns0:c r="E1368">
        <ns0:f>IFERROR(IF(ISNUMBER($A1368),IF(AND(AH!$P$10=1,AH!$P$12=1,$A1368=TODAY()),AH!$P$20,IF(AH!$P$10=1,INDEX('Live History'!$H$5:$H$3004,MATCH($A1368,'Live History'!$G$5:$G$3004,1)),INDEX('AH History'!$D$1:$D$18046,AH!$P$7+1363))),NA()),NA())</ns0:f>
        <ns0:v/>
      </ns0:c>
      <ns0:c r="F1368">
        <ns0:f>IFERROR(IF(ISNUMBER($A1368),IF(AND(AH!$P$10=1,AH!$P$12=1,$A1368=TODAY()),IF(AND(AH!$P$10=1,AH!$P$12=1,$A1368=TODAY()),TODAY(),NA()),IF(AH!$P$10=1,INDEX('Live History'!$D$5:$D$3004,MATCH($A1368,'Live History'!$D$5:$D$3004,1)),INDEX('AH History'!$E$1:$E$18046,AH!$P$7+1363))),NA()),NA())</ns0:f>
        <ns0:v/>
      </ns0:c>
      <ns0:c r="G1368">
        <ns0:f>IFERROR(IF(ISNUMBER($A1368),IF(AND(AH!$P$10=1,AH!$P$12=1,$A1368=TODAY()),IF(AND(AH!$P$10=1,AH!$P$12=1,$A1368=TODAY()),TODAY(),NA()),IF(AH!$P$10=1,INDEX('Live History'!$G$5:$G$3004,MATCH($A1368,'Live History'!$G$5:$G$3004,1)),INDEX('AH History'!$F$1:$F$18046,AH!$P$7+1363))),NA()),NA())</ns0:f>
        <ns0:v/>
      </ns0:c>
      <ns0:c r="H1368">
        <ns0:f>IFERROR(IF(AND(AH!$E$4="Bloomberg",AH!$P$10=1,ISNUMBER($A1368),$A1368&lt;=AH!$P$17),AH!$P$7-1+MATCH($A1368,INDEX('AH History'!$A$1:$A$18046,AH!$P$7):INDEX('AH History'!$A$1:$A$18046,AH!$P$7+AH!$P$8-1),0),0),0)</ns0:f>
        <ns0:v/>
      </ns0:c>
      <ns0:c r="I1368">
        <ns0:f>IF($H1368=0,0,IFERROR(IF(AND(ABS($C1368-INDEX('AH History'!$B$1:$B$18046,$H1368))&lt;=MAX(0.005,ABS(INDEX('AH History'!$B$1:$B$18046,$H1368))*0.00005),ABS($D1368-INDEX('AH History'!$C$1:$C$18046,$H1368))&lt;=MAX(0.005,ABS(INDEX('AH History'!$C$1:$C$18046,$H1368))*0.00005),ABS($E1368-INDEX('AH History'!$D$1:$D$18046,$H1368))&lt;=0.00005,$F1368=INDEX('AH History'!$E$1:$E$18046,$H1368),$G1368=INDEX('AH History'!$F$1:$F$18046,$H1368)),1,-1),-1))</ns0:f>
        <ns0:v/>
      </ns0:c>
    </ns0:row>
    <ns0:row r="1369">
      <ns0:c r="A1369" s="215">
        <ns0:f>IF(OR(AH!$P$3=0,1364+1&gt;AH!$P$11,AND(AH!$E$4&lt;&gt;"Stored",AH!$P$10&lt;&gt;1)),"",IFERROR(IF(AND(AH!$P$21=1,1364+1=AH!$P$11),TODAY(),IF(AH!$P$10=1,INDEX('Live History'!$A$5:$A$3004,AH!$P$13+1364),INDEX('AH History'!$A$1:$A$18046,AH!$P$7+1364))),""))</ns0:f>
        <ns0:v/>
      </ns0:c>
      <ns0:c r="B1369" s="219">
        <ns0:f>IFERROR(IF(AND(AH!$P$9&lt;&gt;1,$C1369&gt;0,$D1369&gt;0,$E1369&gt;0,$F1369&gt;0,$G1369&gt;0,$F1369&lt;=$A1369,$G1369&lt;=$A1369,$A1369-$F1369&lt;=10,$A1369-$G1369&lt;=5),$D1369*$E1369/$C1369-1,NA()),NA())</ns0:f>
        <ns0:v/>
      </ns0:c>
      <ns0:c r="C1369">
        <ns0:f>IFERROR(IF(ISNUMBER($A1369),IF(AND(AH!$P$10=1,AH!$P$12=1,$A1369=TODAY()),AH!$P$19,IF(AH!$P$10=1,INDEX('Live History'!$B$5:$B$3004,AH!$P$13+1364),INDEX('AH History'!$B$1:$B$18046,AH!$P$7+1364))),NA()),NA())</ns0:f>
        <ns0:v/>
      </ns0:c>
      <ns0:c r="D1369">
        <ns0:f>IFERROR(IF(ISNUMBER($A1369),IF(AND(AH!$P$10=1,AH!$P$12=1,$A1369=TODAY()),AH!$P$18,IF(AH!$P$10=1,INDEX('Live History'!$E$5:$E$3004,MATCH($A1369,'Live History'!$D$5:$D$3004,1)),INDEX('AH History'!$C$1:$C$18046,AH!$P$7+1364))),NA()),NA())</ns0:f>
        <ns0:v/>
      </ns0:c>
      <ns0:c r="E1369">
        <ns0:f>IFERROR(IF(ISNUMBER($A1369),IF(AND(AH!$P$10=1,AH!$P$12=1,$A1369=TODAY()),AH!$P$20,IF(AH!$P$10=1,INDEX('Live History'!$H$5:$H$3004,MATCH($A1369,'Live History'!$G$5:$G$3004,1)),INDEX('AH History'!$D$1:$D$18046,AH!$P$7+1364))),NA()),NA())</ns0:f>
        <ns0:v/>
      </ns0:c>
      <ns0:c r="F1369">
        <ns0:f>IFERROR(IF(ISNUMBER($A1369),IF(AND(AH!$P$10=1,AH!$P$12=1,$A1369=TODAY()),IF(AND(AH!$P$10=1,AH!$P$12=1,$A1369=TODAY()),TODAY(),NA()),IF(AH!$P$10=1,INDEX('Live History'!$D$5:$D$3004,MATCH($A1369,'Live History'!$D$5:$D$3004,1)),INDEX('AH History'!$E$1:$E$18046,AH!$P$7+1364))),NA()),NA())</ns0:f>
        <ns0:v/>
      </ns0:c>
      <ns0:c r="G1369">
        <ns0:f>IFERROR(IF(ISNUMBER($A1369),IF(AND(AH!$P$10=1,AH!$P$12=1,$A1369=TODAY()),IF(AND(AH!$P$10=1,AH!$P$12=1,$A1369=TODAY()),TODAY(),NA()),IF(AH!$P$10=1,INDEX('Live History'!$G$5:$G$3004,MATCH($A1369,'Live History'!$G$5:$G$3004,1)),INDEX('AH History'!$F$1:$F$18046,AH!$P$7+1364))),NA()),NA())</ns0:f>
        <ns0:v/>
      </ns0:c>
      <ns0:c r="H1369">
        <ns0:f>IFERROR(IF(AND(AH!$E$4="Bloomberg",AH!$P$10=1,ISNUMBER($A1369),$A1369&lt;=AH!$P$17),AH!$P$7-1+MATCH($A1369,INDEX('AH History'!$A$1:$A$18046,AH!$P$7):INDEX('AH History'!$A$1:$A$18046,AH!$P$7+AH!$P$8-1),0),0),0)</ns0:f>
        <ns0:v/>
      </ns0:c>
      <ns0:c r="I1369">
        <ns0:f>IF($H1369=0,0,IFERROR(IF(AND(ABS($C1369-INDEX('AH History'!$B$1:$B$18046,$H1369))&lt;=MAX(0.005,ABS(INDEX('AH History'!$B$1:$B$18046,$H1369))*0.00005),ABS($D1369-INDEX('AH History'!$C$1:$C$18046,$H1369))&lt;=MAX(0.005,ABS(INDEX('AH History'!$C$1:$C$18046,$H1369))*0.00005),ABS($E1369-INDEX('AH History'!$D$1:$D$18046,$H1369))&lt;=0.00005,$F1369=INDEX('AH History'!$E$1:$E$18046,$H1369),$G1369=INDEX('AH History'!$F$1:$F$18046,$H1369)),1,-1),-1))</ns0:f>
        <ns0:v/>
      </ns0:c>
    </ns0:row>
    <ns0:row r="1370">
      <ns0:c r="A1370" s="215">
        <ns0:f>IF(OR(AH!$P$3=0,1365+1&gt;AH!$P$11,AND(AH!$E$4&lt;&gt;"Stored",AH!$P$10&lt;&gt;1)),"",IFERROR(IF(AND(AH!$P$21=1,1365+1=AH!$P$11),TODAY(),IF(AH!$P$10=1,INDEX('Live History'!$A$5:$A$3004,AH!$P$13+1365),INDEX('AH History'!$A$1:$A$18046,AH!$P$7+1365))),""))</ns0:f>
        <ns0:v/>
      </ns0:c>
      <ns0:c r="B1370" s="219">
        <ns0:f>IFERROR(IF(AND(AH!$P$9&lt;&gt;1,$C1370&gt;0,$D1370&gt;0,$E1370&gt;0,$F1370&gt;0,$G1370&gt;0,$F1370&lt;=$A1370,$G1370&lt;=$A1370,$A1370-$F1370&lt;=10,$A1370-$G1370&lt;=5),$D1370*$E1370/$C1370-1,NA()),NA())</ns0:f>
        <ns0:v/>
      </ns0:c>
      <ns0:c r="C1370">
        <ns0:f>IFERROR(IF(ISNUMBER($A1370),IF(AND(AH!$P$10=1,AH!$P$12=1,$A1370=TODAY()),AH!$P$19,IF(AH!$P$10=1,INDEX('Live History'!$B$5:$B$3004,AH!$P$13+1365),INDEX('AH History'!$B$1:$B$18046,AH!$P$7+1365))),NA()),NA())</ns0:f>
        <ns0:v/>
      </ns0:c>
      <ns0:c r="D1370">
        <ns0:f>IFERROR(IF(ISNUMBER($A1370),IF(AND(AH!$P$10=1,AH!$P$12=1,$A1370=TODAY()),AH!$P$18,IF(AH!$P$10=1,INDEX('Live History'!$E$5:$E$3004,MATCH($A1370,'Live History'!$D$5:$D$3004,1)),INDEX('AH History'!$C$1:$C$18046,AH!$P$7+1365))),NA()),NA())</ns0:f>
        <ns0:v/>
      </ns0:c>
      <ns0:c r="E1370">
        <ns0:f>IFERROR(IF(ISNUMBER($A1370),IF(AND(AH!$P$10=1,AH!$P$12=1,$A1370=TODAY()),AH!$P$20,IF(AH!$P$10=1,INDEX('Live History'!$H$5:$H$3004,MATCH($A1370,'Live History'!$G$5:$G$3004,1)),INDEX('AH History'!$D$1:$D$18046,AH!$P$7+1365))),NA()),NA())</ns0:f>
        <ns0:v/>
      </ns0:c>
      <ns0:c r="F1370">
        <ns0:f>IFERROR(IF(ISNUMBER($A1370),IF(AND(AH!$P$10=1,AH!$P$12=1,$A1370=TODAY()),IF(AND(AH!$P$10=1,AH!$P$12=1,$A1370=TODAY()),TODAY(),NA()),IF(AH!$P$10=1,INDEX('Live History'!$D$5:$D$3004,MATCH($A1370,'Live History'!$D$5:$D$3004,1)),INDEX('AH History'!$E$1:$E$18046,AH!$P$7+1365))),NA()),NA())</ns0:f>
        <ns0:v/>
      </ns0:c>
      <ns0:c r="G1370">
        <ns0:f>IFERROR(IF(ISNUMBER($A1370),IF(AND(AH!$P$10=1,AH!$P$12=1,$A1370=TODAY()),IF(AND(AH!$P$10=1,AH!$P$12=1,$A1370=TODAY()),TODAY(),NA()),IF(AH!$P$10=1,INDEX('Live History'!$G$5:$G$3004,MATCH($A1370,'Live History'!$G$5:$G$3004,1)),INDEX('AH History'!$F$1:$F$18046,AH!$P$7+1365))),NA()),NA())</ns0:f>
        <ns0:v/>
      </ns0:c>
      <ns0:c r="H1370">
        <ns0:f>IFERROR(IF(AND(AH!$E$4="Bloomberg",AH!$P$10=1,ISNUMBER($A1370),$A1370&lt;=AH!$P$17),AH!$P$7-1+MATCH($A1370,INDEX('AH History'!$A$1:$A$18046,AH!$P$7):INDEX('AH History'!$A$1:$A$18046,AH!$P$7+AH!$P$8-1),0),0),0)</ns0:f>
        <ns0:v/>
      </ns0:c>
      <ns0:c r="I1370">
        <ns0:f>IF($H1370=0,0,IFERROR(IF(AND(ABS($C1370-INDEX('AH History'!$B$1:$B$18046,$H1370))&lt;=MAX(0.005,ABS(INDEX('AH History'!$B$1:$B$18046,$H1370))*0.00005),ABS($D1370-INDEX('AH History'!$C$1:$C$18046,$H1370))&lt;=MAX(0.005,ABS(INDEX('AH History'!$C$1:$C$18046,$H1370))*0.00005),ABS($E1370-INDEX('AH History'!$D$1:$D$18046,$H1370))&lt;=0.00005,$F1370=INDEX('AH History'!$E$1:$E$18046,$H1370),$G1370=INDEX('AH History'!$F$1:$F$18046,$H1370)),1,-1),-1))</ns0:f>
        <ns0:v/>
      </ns0:c>
    </ns0:row>
    <ns0:row r="1371">
      <ns0:c r="A1371" s="215">
        <ns0:f>IF(OR(AH!$P$3=0,1366+1&gt;AH!$P$11,AND(AH!$E$4&lt;&gt;"Stored",AH!$P$10&lt;&gt;1)),"",IFERROR(IF(AND(AH!$P$21=1,1366+1=AH!$P$11),TODAY(),IF(AH!$P$10=1,INDEX('Live History'!$A$5:$A$3004,AH!$P$13+1366),INDEX('AH History'!$A$1:$A$18046,AH!$P$7+1366))),""))</ns0:f>
        <ns0:v/>
      </ns0:c>
      <ns0:c r="B1371" s="219">
        <ns0:f>IFERROR(IF(AND(AH!$P$9&lt;&gt;1,$C1371&gt;0,$D1371&gt;0,$E1371&gt;0,$F1371&gt;0,$G1371&gt;0,$F1371&lt;=$A1371,$G1371&lt;=$A1371,$A1371-$F1371&lt;=10,$A1371-$G1371&lt;=5),$D1371*$E1371/$C1371-1,NA()),NA())</ns0:f>
        <ns0:v/>
      </ns0:c>
      <ns0:c r="C1371">
        <ns0:f>IFERROR(IF(ISNUMBER($A1371),IF(AND(AH!$P$10=1,AH!$P$12=1,$A1371=TODAY()),AH!$P$19,IF(AH!$P$10=1,INDEX('Live History'!$B$5:$B$3004,AH!$P$13+1366),INDEX('AH History'!$B$1:$B$18046,AH!$P$7+1366))),NA()),NA())</ns0:f>
        <ns0:v/>
      </ns0:c>
      <ns0:c r="D1371">
        <ns0:f>IFERROR(IF(ISNUMBER($A1371),IF(AND(AH!$P$10=1,AH!$P$12=1,$A1371=TODAY()),AH!$P$18,IF(AH!$P$10=1,INDEX('Live History'!$E$5:$E$3004,MATCH($A1371,'Live History'!$D$5:$D$3004,1)),INDEX('AH History'!$C$1:$C$18046,AH!$P$7+1366))),NA()),NA())</ns0:f>
        <ns0:v/>
      </ns0:c>
      <ns0:c r="E1371">
        <ns0:f>IFERROR(IF(ISNUMBER($A1371),IF(AND(AH!$P$10=1,AH!$P$12=1,$A1371=TODAY()),AH!$P$20,IF(AH!$P$10=1,INDEX('Live History'!$H$5:$H$3004,MATCH($A1371,'Live History'!$G$5:$G$3004,1)),INDEX('AH History'!$D$1:$D$18046,AH!$P$7+1366))),NA()),NA())</ns0:f>
        <ns0:v/>
      </ns0:c>
      <ns0:c r="F1371">
        <ns0:f>IFERROR(IF(ISNUMBER($A1371),IF(AND(AH!$P$10=1,AH!$P$12=1,$A1371=TODAY()),IF(AND(AH!$P$10=1,AH!$P$12=1,$A1371=TODAY()),TODAY(),NA()),IF(AH!$P$10=1,INDEX('Live History'!$D$5:$D$3004,MATCH($A1371,'Live History'!$D$5:$D$3004,1)),INDEX('AH History'!$E$1:$E$18046,AH!$P$7+1366))),NA()),NA())</ns0:f>
        <ns0:v/>
      </ns0:c>
      <ns0:c r="G1371">
        <ns0:f>IFERROR(IF(ISNUMBER($A1371),IF(AND(AH!$P$10=1,AH!$P$12=1,$A1371=TODAY()),IF(AND(AH!$P$10=1,AH!$P$12=1,$A1371=TODAY()),TODAY(),NA()),IF(AH!$P$10=1,INDEX('Live History'!$G$5:$G$3004,MATCH($A1371,'Live History'!$G$5:$G$3004,1)),INDEX('AH History'!$F$1:$F$18046,AH!$P$7+1366))),NA()),NA())</ns0:f>
        <ns0:v/>
      </ns0:c>
      <ns0:c r="H1371">
        <ns0:f>IFERROR(IF(AND(AH!$E$4="Bloomberg",AH!$P$10=1,ISNUMBER($A1371),$A1371&lt;=AH!$P$17),AH!$P$7-1+MATCH($A1371,INDEX('AH History'!$A$1:$A$18046,AH!$P$7):INDEX('AH History'!$A$1:$A$18046,AH!$P$7+AH!$P$8-1),0),0),0)</ns0:f>
        <ns0:v/>
      </ns0:c>
      <ns0:c r="I1371">
        <ns0:f>IF($H1371=0,0,IFERROR(IF(AND(ABS($C1371-INDEX('AH History'!$B$1:$B$18046,$H1371))&lt;=MAX(0.005,ABS(INDEX('AH History'!$B$1:$B$18046,$H1371))*0.00005),ABS($D1371-INDEX('AH History'!$C$1:$C$18046,$H1371))&lt;=MAX(0.005,ABS(INDEX('AH History'!$C$1:$C$18046,$H1371))*0.00005),ABS($E1371-INDEX('AH History'!$D$1:$D$18046,$H1371))&lt;=0.00005,$F1371=INDEX('AH History'!$E$1:$E$18046,$H1371),$G1371=INDEX('AH History'!$F$1:$F$18046,$H1371)),1,-1),-1))</ns0:f>
        <ns0:v/>
      </ns0:c>
    </ns0:row>
    <ns0:row r="1372">
      <ns0:c r="A1372" s="215">
        <ns0:f>IF(OR(AH!$P$3=0,1367+1&gt;AH!$P$11,AND(AH!$E$4&lt;&gt;"Stored",AH!$P$10&lt;&gt;1)),"",IFERROR(IF(AND(AH!$P$21=1,1367+1=AH!$P$11),TODAY(),IF(AH!$P$10=1,INDEX('Live History'!$A$5:$A$3004,AH!$P$13+1367),INDEX('AH History'!$A$1:$A$18046,AH!$P$7+1367))),""))</ns0:f>
        <ns0:v/>
      </ns0:c>
      <ns0:c r="B1372" s="219">
        <ns0:f>IFERROR(IF(AND(AH!$P$9&lt;&gt;1,$C1372&gt;0,$D1372&gt;0,$E1372&gt;0,$F1372&gt;0,$G1372&gt;0,$F1372&lt;=$A1372,$G1372&lt;=$A1372,$A1372-$F1372&lt;=10,$A1372-$G1372&lt;=5),$D1372*$E1372/$C1372-1,NA()),NA())</ns0:f>
        <ns0:v/>
      </ns0:c>
      <ns0:c r="C1372">
        <ns0:f>IFERROR(IF(ISNUMBER($A1372),IF(AND(AH!$P$10=1,AH!$P$12=1,$A1372=TODAY()),AH!$P$19,IF(AH!$P$10=1,INDEX('Live History'!$B$5:$B$3004,AH!$P$13+1367),INDEX('AH History'!$B$1:$B$18046,AH!$P$7+1367))),NA()),NA())</ns0:f>
        <ns0:v/>
      </ns0:c>
      <ns0:c r="D1372">
        <ns0:f>IFERROR(IF(ISNUMBER($A1372),IF(AND(AH!$P$10=1,AH!$P$12=1,$A1372=TODAY()),AH!$P$18,IF(AH!$P$10=1,INDEX('Live History'!$E$5:$E$3004,MATCH($A1372,'Live History'!$D$5:$D$3004,1)),INDEX('AH History'!$C$1:$C$18046,AH!$P$7+1367))),NA()),NA())</ns0:f>
        <ns0:v/>
      </ns0:c>
      <ns0:c r="E1372">
        <ns0:f>IFERROR(IF(ISNUMBER($A1372),IF(AND(AH!$P$10=1,AH!$P$12=1,$A1372=TODAY()),AH!$P$20,IF(AH!$P$10=1,INDEX('Live History'!$H$5:$H$3004,MATCH($A1372,'Live History'!$G$5:$G$3004,1)),INDEX('AH History'!$D$1:$D$18046,AH!$P$7+1367))),NA()),NA())</ns0:f>
        <ns0:v/>
      </ns0:c>
      <ns0:c r="F1372">
        <ns0:f>IFERROR(IF(ISNUMBER($A1372),IF(AND(AH!$P$10=1,AH!$P$12=1,$A1372=TODAY()),IF(AND(AH!$P$10=1,AH!$P$12=1,$A1372=TODAY()),TODAY(),NA()),IF(AH!$P$10=1,INDEX('Live History'!$D$5:$D$3004,MATCH($A1372,'Live History'!$D$5:$D$3004,1)),INDEX('AH History'!$E$1:$E$18046,AH!$P$7+1367))),NA()),NA())</ns0:f>
        <ns0:v/>
      </ns0:c>
      <ns0:c r="G1372">
        <ns0:f>IFERROR(IF(ISNUMBER($A1372),IF(AND(AH!$P$10=1,AH!$P$12=1,$A1372=TODAY()),IF(AND(AH!$P$10=1,AH!$P$12=1,$A1372=TODAY()),TODAY(),NA()),IF(AH!$P$10=1,INDEX('Live History'!$G$5:$G$3004,MATCH($A1372,'Live History'!$G$5:$G$3004,1)),INDEX('AH History'!$F$1:$F$18046,AH!$P$7+1367))),NA()),NA())</ns0:f>
        <ns0:v/>
      </ns0:c>
      <ns0:c r="H1372">
        <ns0:f>IFERROR(IF(AND(AH!$E$4="Bloomberg",AH!$P$10=1,ISNUMBER($A1372),$A1372&lt;=AH!$P$17),AH!$P$7-1+MATCH($A1372,INDEX('AH History'!$A$1:$A$18046,AH!$P$7):INDEX('AH History'!$A$1:$A$18046,AH!$P$7+AH!$P$8-1),0),0),0)</ns0:f>
        <ns0:v/>
      </ns0:c>
      <ns0:c r="I1372">
        <ns0:f>IF($H1372=0,0,IFERROR(IF(AND(ABS($C1372-INDEX('AH History'!$B$1:$B$18046,$H1372))&lt;=MAX(0.005,ABS(INDEX('AH History'!$B$1:$B$18046,$H1372))*0.00005),ABS($D1372-INDEX('AH History'!$C$1:$C$18046,$H1372))&lt;=MAX(0.005,ABS(INDEX('AH History'!$C$1:$C$18046,$H1372))*0.00005),ABS($E1372-INDEX('AH History'!$D$1:$D$18046,$H1372))&lt;=0.00005,$F1372=INDEX('AH History'!$E$1:$E$18046,$H1372),$G1372=INDEX('AH History'!$F$1:$F$18046,$H1372)),1,-1),-1))</ns0:f>
        <ns0:v/>
      </ns0:c>
    </ns0:row>
    <ns0:row r="1373">
      <ns0:c r="A1373" s="215">
        <ns0:f>IF(OR(AH!$P$3=0,1368+1&gt;AH!$P$11,AND(AH!$E$4&lt;&gt;"Stored",AH!$P$10&lt;&gt;1)),"",IFERROR(IF(AND(AH!$P$21=1,1368+1=AH!$P$11),TODAY(),IF(AH!$P$10=1,INDEX('Live History'!$A$5:$A$3004,AH!$P$13+1368),INDEX('AH History'!$A$1:$A$18046,AH!$P$7+1368))),""))</ns0:f>
        <ns0:v/>
      </ns0:c>
      <ns0:c r="B1373" s="219">
        <ns0:f>IFERROR(IF(AND(AH!$P$9&lt;&gt;1,$C1373&gt;0,$D1373&gt;0,$E1373&gt;0,$F1373&gt;0,$G1373&gt;0,$F1373&lt;=$A1373,$G1373&lt;=$A1373,$A1373-$F1373&lt;=10,$A1373-$G1373&lt;=5),$D1373*$E1373/$C1373-1,NA()),NA())</ns0:f>
        <ns0:v/>
      </ns0:c>
      <ns0:c r="C1373">
        <ns0:f>IFERROR(IF(ISNUMBER($A1373),IF(AND(AH!$P$10=1,AH!$P$12=1,$A1373=TODAY()),AH!$P$19,IF(AH!$P$10=1,INDEX('Live History'!$B$5:$B$3004,AH!$P$13+1368),INDEX('AH History'!$B$1:$B$18046,AH!$P$7+1368))),NA()),NA())</ns0:f>
        <ns0:v/>
      </ns0:c>
      <ns0:c r="D1373">
        <ns0:f>IFERROR(IF(ISNUMBER($A1373),IF(AND(AH!$P$10=1,AH!$P$12=1,$A1373=TODAY()),AH!$P$18,IF(AH!$P$10=1,INDEX('Live History'!$E$5:$E$3004,MATCH($A1373,'Live History'!$D$5:$D$3004,1)),INDEX('AH History'!$C$1:$C$18046,AH!$P$7+1368))),NA()),NA())</ns0:f>
        <ns0:v/>
      </ns0:c>
      <ns0:c r="E1373">
        <ns0:f>IFERROR(IF(ISNUMBER($A1373),IF(AND(AH!$P$10=1,AH!$P$12=1,$A1373=TODAY()),AH!$P$20,IF(AH!$P$10=1,INDEX('Live History'!$H$5:$H$3004,MATCH($A1373,'Live History'!$G$5:$G$3004,1)),INDEX('AH History'!$D$1:$D$18046,AH!$P$7+1368))),NA()),NA())</ns0:f>
        <ns0:v/>
      </ns0:c>
      <ns0:c r="F1373">
        <ns0:f>IFERROR(IF(ISNUMBER($A1373),IF(AND(AH!$P$10=1,AH!$P$12=1,$A1373=TODAY()),IF(AND(AH!$P$10=1,AH!$P$12=1,$A1373=TODAY()),TODAY(),NA()),IF(AH!$P$10=1,INDEX('Live History'!$D$5:$D$3004,MATCH($A1373,'Live History'!$D$5:$D$3004,1)),INDEX('AH History'!$E$1:$E$18046,AH!$P$7+1368))),NA()),NA())</ns0:f>
        <ns0:v/>
      </ns0:c>
      <ns0:c r="G1373">
        <ns0:f>IFERROR(IF(ISNUMBER($A1373),IF(AND(AH!$P$10=1,AH!$P$12=1,$A1373=TODAY()),IF(AND(AH!$P$10=1,AH!$P$12=1,$A1373=TODAY()),TODAY(),NA()),IF(AH!$P$10=1,INDEX('Live History'!$G$5:$G$3004,MATCH($A1373,'Live History'!$G$5:$G$3004,1)),INDEX('AH History'!$F$1:$F$18046,AH!$P$7+1368))),NA()),NA())</ns0:f>
        <ns0:v/>
      </ns0:c>
      <ns0:c r="H1373">
        <ns0:f>IFERROR(IF(AND(AH!$E$4="Bloomberg",AH!$P$10=1,ISNUMBER($A1373),$A1373&lt;=AH!$P$17),AH!$P$7-1+MATCH($A1373,INDEX('AH History'!$A$1:$A$18046,AH!$P$7):INDEX('AH History'!$A$1:$A$18046,AH!$P$7+AH!$P$8-1),0),0),0)</ns0:f>
        <ns0:v/>
      </ns0:c>
      <ns0:c r="I1373">
        <ns0:f>IF($H1373=0,0,IFERROR(IF(AND(ABS($C1373-INDEX('AH History'!$B$1:$B$18046,$H1373))&lt;=MAX(0.005,ABS(INDEX('AH History'!$B$1:$B$18046,$H1373))*0.00005),ABS($D1373-INDEX('AH History'!$C$1:$C$18046,$H1373))&lt;=MAX(0.005,ABS(INDEX('AH History'!$C$1:$C$18046,$H1373))*0.00005),ABS($E1373-INDEX('AH History'!$D$1:$D$18046,$H1373))&lt;=0.00005,$F1373=INDEX('AH History'!$E$1:$E$18046,$H1373),$G1373=INDEX('AH History'!$F$1:$F$18046,$H1373)),1,-1),-1))</ns0:f>
        <ns0:v/>
      </ns0:c>
    </ns0:row>
    <ns0:row r="1374">
      <ns0:c r="A1374" s="215">
        <ns0:f>IF(OR(AH!$P$3=0,1369+1&gt;AH!$P$11,AND(AH!$E$4&lt;&gt;"Stored",AH!$P$10&lt;&gt;1)),"",IFERROR(IF(AND(AH!$P$21=1,1369+1=AH!$P$11),TODAY(),IF(AH!$P$10=1,INDEX('Live History'!$A$5:$A$3004,AH!$P$13+1369),INDEX('AH History'!$A$1:$A$18046,AH!$P$7+1369))),""))</ns0:f>
        <ns0:v/>
      </ns0:c>
      <ns0:c r="B1374" s="219">
        <ns0:f>IFERROR(IF(AND(AH!$P$9&lt;&gt;1,$C1374&gt;0,$D1374&gt;0,$E1374&gt;0,$F1374&gt;0,$G1374&gt;0,$F1374&lt;=$A1374,$G1374&lt;=$A1374,$A1374-$F1374&lt;=10,$A1374-$G1374&lt;=5),$D1374*$E1374/$C1374-1,NA()),NA())</ns0:f>
        <ns0:v/>
      </ns0:c>
      <ns0:c r="C1374">
        <ns0:f>IFERROR(IF(ISNUMBER($A1374),IF(AND(AH!$P$10=1,AH!$P$12=1,$A1374=TODAY()),AH!$P$19,IF(AH!$P$10=1,INDEX('Live History'!$B$5:$B$3004,AH!$P$13+1369),INDEX('AH History'!$B$1:$B$18046,AH!$P$7+1369))),NA()),NA())</ns0:f>
        <ns0:v/>
      </ns0:c>
      <ns0:c r="D1374">
        <ns0:f>IFERROR(IF(ISNUMBER($A1374),IF(AND(AH!$P$10=1,AH!$P$12=1,$A1374=TODAY()),AH!$P$18,IF(AH!$P$10=1,INDEX('Live History'!$E$5:$E$3004,MATCH($A1374,'Live History'!$D$5:$D$3004,1)),INDEX('AH History'!$C$1:$C$18046,AH!$P$7+1369))),NA()),NA())</ns0:f>
        <ns0:v/>
      </ns0:c>
      <ns0:c r="E1374">
        <ns0:f>IFERROR(IF(ISNUMBER($A1374),IF(AND(AH!$P$10=1,AH!$P$12=1,$A1374=TODAY()),AH!$P$20,IF(AH!$P$10=1,INDEX('Live History'!$H$5:$H$3004,MATCH($A1374,'Live History'!$G$5:$G$3004,1)),INDEX('AH History'!$D$1:$D$18046,AH!$P$7+1369))),NA()),NA())</ns0:f>
        <ns0:v/>
      </ns0:c>
      <ns0:c r="F1374">
        <ns0:f>IFERROR(IF(ISNUMBER($A1374),IF(AND(AH!$P$10=1,AH!$P$12=1,$A1374=TODAY()),IF(AND(AH!$P$10=1,AH!$P$12=1,$A1374=TODAY()),TODAY(),NA()),IF(AH!$P$10=1,INDEX('Live History'!$D$5:$D$3004,MATCH($A1374,'Live History'!$D$5:$D$3004,1)),INDEX('AH History'!$E$1:$E$18046,AH!$P$7+1369))),NA()),NA())</ns0:f>
        <ns0:v/>
      </ns0:c>
      <ns0:c r="G1374">
        <ns0:f>IFERROR(IF(ISNUMBER($A1374),IF(AND(AH!$P$10=1,AH!$P$12=1,$A1374=TODAY()),IF(AND(AH!$P$10=1,AH!$P$12=1,$A1374=TODAY()),TODAY(),NA()),IF(AH!$P$10=1,INDEX('Live History'!$G$5:$G$3004,MATCH($A1374,'Live History'!$G$5:$G$3004,1)),INDEX('AH History'!$F$1:$F$18046,AH!$P$7+1369))),NA()),NA())</ns0:f>
        <ns0:v/>
      </ns0:c>
      <ns0:c r="H1374">
        <ns0:f>IFERROR(IF(AND(AH!$E$4="Bloomberg",AH!$P$10=1,ISNUMBER($A1374),$A1374&lt;=AH!$P$17),AH!$P$7-1+MATCH($A1374,INDEX('AH History'!$A$1:$A$18046,AH!$P$7):INDEX('AH History'!$A$1:$A$18046,AH!$P$7+AH!$P$8-1),0),0),0)</ns0:f>
        <ns0:v/>
      </ns0:c>
      <ns0:c r="I1374">
        <ns0:f>IF($H1374=0,0,IFERROR(IF(AND(ABS($C1374-INDEX('AH History'!$B$1:$B$18046,$H1374))&lt;=MAX(0.005,ABS(INDEX('AH History'!$B$1:$B$18046,$H1374))*0.00005),ABS($D1374-INDEX('AH History'!$C$1:$C$18046,$H1374))&lt;=MAX(0.005,ABS(INDEX('AH History'!$C$1:$C$18046,$H1374))*0.00005),ABS($E1374-INDEX('AH History'!$D$1:$D$18046,$H1374))&lt;=0.00005,$F1374=INDEX('AH History'!$E$1:$E$18046,$H1374),$G1374=INDEX('AH History'!$F$1:$F$18046,$H1374)),1,-1),-1))</ns0:f>
        <ns0:v/>
      </ns0:c>
    </ns0:row>
    <ns0:row r="1375">
      <ns0:c r="A1375" s="215">
        <ns0:f>IF(OR(AH!$P$3=0,1370+1&gt;AH!$P$11,AND(AH!$E$4&lt;&gt;"Stored",AH!$P$10&lt;&gt;1)),"",IFERROR(IF(AND(AH!$P$21=1,1370+1=AH!$P$11),TODAY(),IF(AH!$P$10=1,INDEX('Live History'!$A$5:$A$3004,AH!$P$13+1370),INDEX('AH History'!$A$1:$A$18046,AH!$P$7+1370))),""))</ns0:f>
        <ns0:v/>
      </ns0:c>
      <ns0:c r="B1375" s="219">
        <ns0:f>IFERROR(IF(AND(AH!$P$9&lt;&gt;1,$C1375&gt;0,$D1375&gt;0,$E1375&gt;0,$F1375&gt;0,$G1375&gt;0,$F1375&lt;=$A1375,$G1375&lt;=$A1375,$A1375-$F1375&lt;=10,$A1375-$G1375&lt;=5),$D1375*$E1375/$C1375-1,NA()),NA())</ns0:f>
        <ns0:v/>
      </ns0:c>
      <ns0:c r="C1375">
        <ns0:f>IFERROR(IF(ISNUMBER($A1375),IF(AND(AH!$P$10=1,AH!$P$12=1,$A1375=TODAY()),AH!$P$19,IF(AH!$P$10=1,INDEX('Live History'!$B$5:$B$3004,AH!$P$13+1370),INDEX('AH History'!$B$1:$B$18046,AH!$P$7+1370))),NA()),NA())</ns0:f>
        <ns0:v/>
      </ns0:c>
      <ns0:c r="D1375">
        <ns0:f>IFERROR(IF(ISNUMBER($A1375),IF(AND(AH!$P$10=1,AH!$P$12=1,$A1375=TODAY()),AH!$P$18,IF(AH!$P$10=1,INDEX('Live History'!$E$5:$E$3004,MATCH($A1375,'Live History'!$D$5:$D$3004,1)),INDEX('AH History'!$C$1:$C$18046,AH!$P$7+1370))),NA()),NA())</ns0:f>
        <ns0:v/>
      </ns0:c>
      <ns0:c r="E1375">
        <ns0:f>IFERROR(IF(ISNUMBER($A1375),IF(AND(AH!$P$10=1,AH!$P$12=1,$A1375=TODAY()),AH!$P$20,IF(AH!$P$10=1,INDEX('Live History'!$H$5:$H$3004,MATCH($A1375,'Live History'!$G$5:$G$3004,1)),INDEX('AH History'!$D$1:$D$18046,AH!$P$7+1370))),NA()),NA())</ns0:f>
        <ns0:v/>
      </ns0:c>
      <ns0:c r="F1375">
        <ns0:f>IFERROR(IF(ISNUMBER($A1375),IF(AND(AH!$P$10=1,AH!$P$12=1,$A1375=TODAY()),IF(AND(AH!$P$10=1,AH!$P$12=1,$A1375=TODAY()),TODAY(),NA()),IF(AH!$P$10=1,INDEX('Live History'!$D$5:$D$3004,MATCH($A1375,'Live History'!$D$5:$D$3004,1)),INDEX('AH History'!$E$1:$E$18046,AH!$P$7+1370))),NA()),NA())</ns0:f>
        <ns0:v/>
      </ns0:c>
      <ns0:c r="G1375">
        <ns0:f>IFERROR(IF(ISNUMBER($A1375),IF(AND(AH!$P$10=1,AH!$P$12=1,$A1375=TODAY()),IF(AND(AH!$P$10=1,AH!$P$12=1,$A1375=TODAY()),TODAY(),NA()),IF(AH!$P$10=1,INDEX('Live History'!$G$5:$G$3004,MATCH($A1375,'Live History'!$G$5:$G$3004,1)),INDEX('AH History'!$F$1:$F$18046,AH!$P$7+1370))),NA()),NA())</ns0:f>
        <ns0:v/>
      </ns0:c>
      <ns0:c r="H1375">
        <ns0:f>IFERROR(IF(AND(AH!$E$4="Bloomberg",AH!$P$10=1,ISNUMBER($A1375),$A1375&lt;=AH!$P$17),AH!$P$7-1+MATCH($A1375,INDEX('AH History'!$A$1:$A$18046,AH!$P$7):INDEX('AH History'!$A$1:$A$18046,AH!$P$7+AH!$P$8-1),0),0),0)</ns0:f>
        <ns0:v/>
      </ns0:c>
      <ns0:c r="I1375">
        <ns0:f>IF($H1375=0,0,IFERROR(IF(AND(ABS($C1375-INDEX('AH History'!$B$1:$B$18046,$H1375))&lt;=MAX(0.005,ABS(INDEX('AH History'!$B$1:$B$18046,$H1375))*0.00005),ABS($D1375-INDEX('AH History'!$C$1:$C$18046,$H1375))&lt;=MAX(0.005,ABS(INDEX('AH History'!$C$1:$C$18046,$H1375))*0.00005),ABS($E1375-INDEX('AH History'!$D$1:$D$18046,$H1375))&lt;=0.00005,$F1375=INDEX('AH History'!$E$1:$E$18046,$H1375),$G1375=INDEX('AH History'!$F$1:$F$18046,$H1375)),1,-1),-1))</ns0:f>
        <ns0:v/>
      </ns0:c>
    </ns0:row>
    <ns0:row r="1376">
      <ns0:c r="A1376" s="215">
        <ns0:f>IF(OR(AH!$P$3=0,1371+1&gt;AH!$P$11,AND(AH!$E$4&lt;&gt;"Stored",AH!$P$10&lt;&gt;1)),"",IFERROR(IF(AND(AH!$P$21=1,1371+1=AH!$P$11),TODAY(),IF(AH!$P$10=1,INDEX('Live History'!$A$5:$A$3004,AH!$P$13+1371),INDEX('AH History'!$A$1:$A$18046,AH!$P$7+1371))),""))</ns0:f>
        <ns0:v/>
      </ns0:c>
      <ns0:c r="B1376" s="219">
        <ns0:f>IFERROR(IF(AND(AH!$P$9&lt;&gt;1,$C1376&gt;0,$D1376&gt;0,$E1376&gt;0,$F1376&gt;0,$G1376&gt;0,$F1376&lt;=$A1376,$G1376&lt;=$A1376,$A1376-$F1376&lt;=10,$A1376-$G1376&lt;=5),$D1376*$E1376/$C1376-1,NA()),NA())</ns0:f>
        <ns0:v/>
      </ns0:c>
      <ns0:c r="C1376">
        <ns0:f>IFERROR(IF(ISNUMBER($A1376),IF(AND(AH!$P$10=1,AH!$P$12=1,$A1376=TODAY()),AH!$P$19,IF(AH!$P$10=1,INDEX('Live History'!$B$5:$B$3004,AH!$P$13+1371),INDEX('AH History'!$B$1:$B$18046,AH!$P$7+1371))),NA()),NA())</ns0:f>
        <ns0:v/>
      </ns0:c>
      <ns0:c r="D1376">
        <ns0:f>IFERROR(IF(ISNUMBER($A1376),IF(AND(AH!$P$10=1,AH!$P$12=1,$A1376=TODAY()),AH!$P$18,IF(AH!$P$10=1,INDEX('Live History'!$E$5:$E$3004,MATCH($A1376,'Live History'!$D$5:$D$3004,1)),INDEX('AH History'!$C$1:$C$18046,AH!$P$7+1371))),NA()),NA())</ns0:f>
        <ns0:v/>
      </ns0:c>
      <ns0:c r="E1376">
        <ns0:f>IFERROR(IF(ISNUMBER($A1376),IF(AND(AH!$P$10=1,AH!$P$12=1,$A1376=TODAY()),AH!$P$20,IF(AH!$P$10=1,INDEX('Live History'!$H$5:$H$3004,MATCH($A1376,'Live History'!$G$5:$G$3004,1)),INDEX('AH History'!$D$1:$D$18046,AH!$P$7+1371))),NA()),NA())</ns0:f>
        <ns0:v/>
      </ns0:c>
      <ns0:c r="F1376">
        <ns0:f>IFERROR(IF(ISNUMBER($A1376),IF(AND(AH!$P$10=1,AH!$P$12=1,$A1376=TODAY()),IF(AND(AH!$P$10=1,AH!$P$12=1,$A1376=TODAY()),TODAY(),NA()),IF(AH!$P$10=1,INDEX('Live History'!$D$5:$D$3004,MATCH($A1376,'Live History'!$D$5:$D$3004,1)),INDEX('AH History'!$E$1:$E$18046,AH!$P$7+1371))),NA()),NA())</ns0:f>
        <ns0:v/>
      </ns0:c>
      <ns0:c r="G1376">
        <ns0:f>IFERROR(IF(ISNUMBER($A1376),IF(AND(AH!$P$10=1,AH!$P$12=1,$A1376=TODAY()),IF(AND(AH!$P$10=1,AH!$P$12=1,$A1376=TODAY()),TODAY(),NA()),IF(AH!$P$10=1,INDEX('Live History'!$G$5:$G$3004,MATCH($A1376,'Live History'!$G$5:$G$3004,1)),INDEX('AH History'!$F$1:$F$18046,AH!$P$7+1371))),NA()),NA())</ns0:f>
        <ns0:v/>
      </ns0:c>
      <ns0:c r="H1376">
        <ns0:f>IFERROR(IF(AND(AH!$E$4="Bloomberg",AH!$P$10=1,ISNUMBER($A1376),$A1376&lt;=AH!$P$17),AH!$P$7-1+MATCH($A1376,INDEX('AH History'!$A$1:$A$18046,AH!$P$7):INDEX('AH History'!$A$1:$A$18046,AH!$P$7+AH!$P$8-1),0),0),0)</ns0:f>
        <ns0:v/>
      </ns0:c>
      <ns0:c r="I1376">
        <ns0:f>IF($H1376=0,0,IFERROR(IF(AND(ABS($C1376-INDEX('AH History'!$B$1:$B$18046,$H1376))&lt;=MAX(0.005,ABS(INDEX('AH History'!$B$1:$B$18046,$H1376))*0.00005),ABS($D1376-INDEX('AH History'!$C$1:$C$18046,$H1376))&lt;=MAX(0.005,ABS(INDEX('AH History'!$C$1:$C$18046,$H1376))*0.00005),ABS($E1376-INDEX('AH History'!$D$1:$D$18046,$H1376))&lt;=0.00005,$F1376=INDEX('AH History'!$E$1:$E$18046,$H1376),$G1376=INDEX('AH History'!$F$1:$F$18046,$H1376)),1,-1),-1))</ns0:f>
        <ns0:v/>
      </ns0:c>
    </ns0:row>
    <ns0:row r="1377">
      <ns0:c r="A1377" s="215">
        <ns0:f>IF(OR(AH!$P$3=0,1372+1&gt;AH!$P$11,AND(AH!$E$4&lt;&gt;"Stored",AH!$P$10&lt;&gt;1)),"",IFERROR(IF(AND(AH!$P$21=1,1372+1=AH!$P$11),TODAY(),IF(AH!$P$10=1,INDEX('Live History'!$A$5:$A$3004,AH!$P$13+1372),INDEX('AH History'!$A$1:$A$18046,AH!$P$7+1372))),""))</ns0:f>
        <ns0:v/>
      </ns0:c>
      <ns0:c r="B1377" s="219">
        <ns0:f>IFERROR(IF(AND(AH!$P$9&lt;&gt;1,$C1377&gt;0,$D1377&gt;0,$E1377&gt;0,$F1377&gt;0,$G1377&gt;0,$F1377&lt;=$A1377,$G1377&lt;=$A1377,$A1377-$F1377&lt;=10,$A1377-$G1377&lt;=5),$D1377*$E1377/$C1377-1,NA()),NA())</ns0:f>
        <ns0:v/>
      </ns0:c>
      <ns0:c r="C1377">
        <ns0:f>IFERROR(IF(ISNUMBER($A1377),IF(AND(AH!$P$10=1,AH!$P$12=1,$A1377=TODAY()),AH!$P$19,IF(AH!$P$10=1,INDEX('Live History'!$B$5:$B$3004,AH!$P$13+1372),INDEX('AH History'!$B$1:$B$18046,AH!$P$7+1372))),NA()),NA())</ns0:f>
        <ns0:v/>
      </ns0:c>
      <ns0:c r="D1377">
        <ns0:f>IFERROR(IF(ISNUMBER($A1377),IF(AND(AH!$P$10=1,AH!$P$12=1,$A1377=TODAY()),AH!$P$18,IF(AH!$P$10=1,INDEX('Live History'!$E$5:$E$3004,MATCH($A1377,'Live History'!$D$5:$D$3004,1)),INDEX('AH History'!$C$1:$C$18046,AH!$P$7+1372))),NA()),NA())</ns0:f>
        <ns0:v/>
      </ns0:c>
      <ns0:c r="E1377">
        <ns0:f>IFERROR(IF(ISNUMBER($A1377),IF(AND(AH!$P$10=1,AH!$P$12=1,$A1377=TODAY()),AH!$P$20,IF(AH!$P$10=1,INDEX('Live History'!$H$5:$H$3004,MATCH($A1377,'Live History'!$G$5:$G$3004,1)),INDEX('AH History'!$D$1:$D$18046,AH!$P$7+1372))),NA()),NA())</ns0:f>
        <ns0:v/>
      </ns0:c>
      <ns0:c r="F1377">
        <ns0:f>IFERROR(IF(ISNUMBER($A1377),IF(AND(AH!$P$10=1,AH!$P$12=1,$A1377=TODAY()),IF(AND(AH!$P$10=1,AH!$P$12=1,$A1377=TODAY()),TODAY(),NA()),IF(AH!$P$10=1,INDEX('Live History'!$D$5:$D$3004,MATCH($A1377,'Live History'!$D$5:$D$3004,1)),INDEX('AH History'!$E$1:$E$18046,AH!$P$7+1372))),NA()),NA())</ns0:f>
        <ns0:v/>
      </ns0:c>
      <ns0:c r="G1377">
        <ns0:f>IFERROR(IF(ISNUMBER($A1377),IF(AND(AH!$P$10=1,AH!$P$12=1,$A1377=TODAY()),IF(AND(AH!$P$10=1,AH!$P$12=1,$A1377=TODAY()),TODAY(),NA()),IF(AH!$P$10=1,INDEX('Live History'!$G$5:$G$3004,MATCH($A1377,'Live History'!$G$5:$G$3004,1)),INDEX('AH History'!$F$1:$F$18046,AH!$P$7+1372))),NA()),NA())</ns0:f>
        <ns0:v/>
      </ns0:c>
      <ns0:c r="H1377">
        <ns0:f>IFERROR(IF(AND(AH!$E$4="Bloomberg",AH!$P$10=1,ISNUMBER($A1377),$A1377&lt;=AH!$P$17),AH!$P$7-1+MATCH($A1377,INDEX('AH History'!$A$1:$A$18046,AH!$P$7):INDEX('AH History'!$A$1:$A$18046,AH!$P$7+AH!$P$8-1),0),0),0)</ns0:f>
        <ns0:v/>
      </ns0:c>
      <ns0:c r="I1377">
        <ns0:f>IF($H1377=0,0,IFERROR(IF(AND(ABS($C1377-INDEX('AH History'!$B$1:$B$18046,$H1377))&lt;=MAX(0.005,ABS(INDEX('AH History'!$B$1:$B$18046,$H1377))*0.00005),ABS($D1377-INDEX('AH History'!$C$1:$C$18046,$H1377))&lt;=MAX(0.005,ABS(INDEX('AH History'!$C$1:$C$18046,$H1377))*0.00005),ABS($E1377-INDEX('AH History'!$D$1:$D$18046,$H1377))&lt;=0.00005,$F1377=INDEX('AH History'!$E$1:$E$18046,$H1377),$G1377=INDEX('AH History'!$F$1:$F$18046,$H1377)),1,-1),-1))</ns0:f>
        <ns0:v/>
      </ns0:c>
    </ns0:row>
    <ns0:row r="1378">
      <ns0:c r="A1378" s="215">
        <ns0:f>IF(OR(AH!$P$3=0,1373+1&gt;AH!$P$11,AND(AH!$E$4&lt;&gt;"Stored",AH!$P$10&lt;&gt;1)),"",IFERROR(IF(AND(AH!$P$21=1,1373+1=AH!$P$11),TODAY(),IF(AH!$P$10=1,INDEX('Live History'!$A$5:$A$3004,AH!$P$13+1373),INDEX('AH History'!$A$1:$A$18046,AH!$P$7+1373))),""))</ns0:f>
        <ns0:v/>
      </ns0:c>
      <ns0:c r="B1378" s="219">
        <ns0:f>IFERROR(IF(AND(AH!$P$9&lt;&gt;1,$C1378&gt;0,$D1378&gt;0,$E1378&gt;0,$F1378&gt;0,$G1378&gt;0,$F1378&lt;=$A1378,$G1378&lt;=$A1378,$A1378-$F1378&lt;=10,$A1378-$G1378&lt;=5),$D1378*$E1378/$C1378-1,NA()),NA())</ns0:f>
        <ns0:v/>
      </ns0:c>
      <ns0:c r="C1378">
        <ns0:f>IFERROR(IF(ISNUMBER($A1378),IF(AND(AH!$P$10=1,AH!$P$12=1,$A1378=TODAY()),AH!$P$19,IF(AH!$P$10=1,INDEX('Live History'!$B$5:$B$3004,AH!$P$13+1373),INDEX('AH History'!$B$1:$B$18046,AH!$P$7+1373))),NA()),NA())</ns0:f>
        <ns0:v/>
      </ns0:c>
      <ns0:c r="D1378">
        <ns0:f>IFERROR(IF(ISNUMBER($A1378),IF(AND(AH!$P$10=1,AH!$P$12=1,$A1378=TODAY()),AH!$P$18,IF(AH!$P$10=1,INDEX('Live History'!$E$5:$E$3004,MATCH($A1378,'Live History'!$D$5:$D$3004,1)),INDEX('AH History'!$C$1:$C$18046,AH!$P$7+1373))),NA()),NA())</ns0:f>
        <ns0:v/>
      </ns0:c>
      <ns0:c r="E1378">
        <ns0:f>IFERROR(IF(ISNUMBER($A1378),IF(AND(AH!$P$10=1,AH!$P$12=1,$A1378=TODAY()),AH!$P$20,IF(AH!$P$10=1,INDEX('Live History'!$H$5:$H$3004,MATCH($A1378,'Live History'!$G$5:$G$3004,1)),INDEX('AH History'!$D$1:$D$18046,AH!$P$7+1373))),NA()),NA())</ns0:f>
        <ns0:v/>
      </ns0:c>
      <ns0:c r="F1378">
        <ns0:f>IFERROR(IF(ISNUMBER($A1378),IF(AND(AH!$P$10=1,AH!$P$12=1,$A1378=TODAY()),IF(AND(AH!$P$10=1,AH!$P$12=1,$A1378=TODAY()),TODAY(),NA()),IF(AH!$P$10=1,INDEX('Live History'!$D$5:$D$3004,MATCH($A1378,'Live History'!$D$5:$D$3004,1)),INDEX('AH History'!$E$1:$E$18046,AH!$P$7+1373))),NA()),NA())</ns0:f>
        <ns0:v/>
      </ns0:c>
      <ns0:c r="G1378">
        <ns0:f>IFERROR(IF(ISNUMBER($A1378),IF(AND(AH!$P$10=1,AH!$P$12=1,$A1378=TODAY()),IF(AND(AH!$P$10=1,AH!$P$12=1,$A1378=TODAY()),TODAY(),NA()),IF(AH!$P$10=1,INDEX('Live History'!$G$5:$G$3004,MATCH($A1378,'Live History'!$G$5:$G$3004,1)),INDEX('AH History'!$F$1:$F$18046,AH!$P$7+1373))),NA()),NA())</ns0:f>
        <ns0:v/>
      </ns0:c>
      <ns0:c r="H1378">
        <ns0:f>IFERROR(IF(AND(AH!$E$4="Bloomberg",AH!$P$10=1,ISNUMBER($A1378),$A1378&lt;=AH!$P$17),AH!$P$7-1+MATCH($A1378,INDEX('AH History'!$A$1:$A$18046,AH!$P$7):INDEX('AH History'!$A$1:$A$18046,AH!$P$7+AH!$P$8-1),0),0),0)</ns0:f>
        <ns0:v/>
      </ns0:c>
      <ns0:c r="I1378">
        <ns0:f>IF($H1378=0,0,IFERROR(IF(AND(ABS($C1378-INDEX('AH History'!$B$1:$B$18046,$H1378))&lt;=MAX(0.005,ABS(INDEX('AH History'!$B$1:$B$18046,$H1378))*0.00005),ABS($D1378-INDEX('AH History'!$C$1:$C$18046,$H1378))&lt;=MAX(0.005,ABS(INDEX('AH History'!$C$1:$C$18046,$H1378))*0.00005),ABS($E1378-INDEX('AH History'!$D$1:$D$18046,$H1378))&lt;=0.00005,$F1378=INDEX('AH History'!$E$1:$E$18046,$H1378),$G1378=INDEX('AH History'!$F$1:$F$18046,$H1378)),1,-1),-1))</ns0:f>
        <ns0:v/>
      </ns0:c>
    </ns0:row>
    <ns0:row r="1379">
      <ns0:c r="A1379" s="215">
        <ns0:f>IF(OR(AH!$P$3=0,1374+1&gt;AH!$P$11,AND(AH!$E$4&lt;&gt;"Stored",AH!$P$10&lt;&gt;1)),"",IFERROR(IF(AND(AH!$P$21=1,1374+1=AH!$P$11),TODAY(),IF(AH!$P$10=1,INDEX('Live History'!$A$5:$A$3004,AH!$P$13+1374),INDEX('AH History'!$A$1:$A$18046,AH!$P$7+1374))),""))</ns0:f>
        <ns0:v/>
      </ns0:c>
      <ns0:c r="B1379" s="219">
        <ns0:f>IFERROR(IF(AND(AH!$P$9&lt;&gt;1,$C1379&gt;0,$D1379&gt;0,$E1379&gt;0,$F1379&gt;0,$G1379&gt;0,$F1379&lt;=$A1379,$G1379&lt;=$A1379,$A1379-$F1379&lt;=10,$A1379-$G1379&lt;=5),$D1379*$E1379/$C1379-1,NA()),NA())</ns0:f>
        <ns0:v/>
      </ns0:c>
      <ns0:c r="C1379">
        <ns0:f>IFERROR(IF(ISNUMBER($A1379),IF(AND(AH!$P$10=1,AH!$P$12=1,$A1379=TODAY()),AH!$P$19,IF(AH!$P$10=1,INDEX('Live History'!$B$5:$B$3004,AH!$P$13+1374),INDEX('AH History'!$B$1:$B$18046,AH!$P$7+1374))),NA()),NA())</ns0:f>
        <ns0:v/>
      </ns0:c>
      <ns0:c r="D1379">
        <ns0:f>IFERROR(IF(ISNUMBER($A1379),IF(AND(AH!$P$10=1,AH!$P$12=1,$A1379=TODAY()),AH!$P$18,IF(AH!$P$10=1,INDEX('Live History'!$E$5:$E$3004,MATCH($A1379,'Live History'!$D$5:$D$3004,1)),INDEX('AH History'!$C$1:$C$18046,AH!$P$7+1374))),NA()),NA())</ns0:f>
        <ns0:v/>
      </ns0:c>
      <ns0:c r="E1379">
        <ns0:f>IFERROR(IF(ISNUMBER($A1379),IF(AND(AH!$P$10=1,AH!$P$12=1,$A1379=TODAY()),AH!$P$20,IF(AH!$P$10=1,INDEX('Live History'!$H$5:$H$3004,MATCH($A1379,'Live History'!$G$5:$G$3004,1)),INDEX('AH History'!$D$1:$D$18046,AH!$P$7+1374))),NA()),NA())</ns0:f>
        <ns0:v/>
      </ns0:c>
      <ns0:c r="F1379">
        <ns0:f>IFERROR(IF(ISNUMBER($A1379),IF(AND(AH!$P$10=1,AH!$P$12=1,$A1379=TODAY()),IF(AND(AH!$P$10=1,AH!$P$12=1,$A1379=TODAY()),TODAY(),NA()),IF(AH!$P$10=1,INDEX('Live History'!$D$5:$D$3004,MATCH($A1379,'Live History'!$D$5:$D$3004,1)),INDEX('AH History'!$E$1:$E$18046,AH!$P$7+1374))),NA()),NA())</ns0:f>
        <ns0:v/>
      </ns0:c>
      <ns0:c r="G1379">
        <ns0:f>IFERROR(IF(ISNUMBER($A1379),IF(AND(AH!$P$10=1,AH!$P$12=1,$A1379=TODAY()),IF(AND(AH!$P$10=1,AH!$P$12=1,$A1379=TODAY()),TODAY(),NA()),IF(AH!$P$10=1,INDEX('Live History'!$G$5:$G$3004,MATCH($A1379,'Live History'!$G$5:$G$3004,1)),INDEX('AH History'!$F$1:$F$18046,AH!$P$7+1374))),NA()),NA())</ns0:f>
        <ns0:v/>
      </ns0:c>
      <ns0:c r="H1379">
        <ns0:f>IFERROR(IF(AND(AH!$E$4="Bloomberg",AH!$P$10=1,ISNUMBER($A1379),$A1379&lt;=AH!$P$17),AH!$P$7-1+MATCH($A1379,INDEX('AH History'!$A$1:$A$18046,AH!$P$7):INDEX('AH History'!$A$1:$A$18046,AH!$P$7+AH!$P$8-1),0),0),0)</ns0:f>
        <ns0:v/>
      </ns0:c>
      <ns0:c r="I1379">
        <ns0:f>IF($H1379=0,0,IFERROR(IF(AND(ABS($C1379-INDEX('AH History'!$B$1:$B$18046,$H1379))&lt;=MAX(0.005,ABS(INDEX('AH History'!$B$1:$B$18046,$H1379))*0.00005),ABS($D1379-INDEX('AH History'!$C$1:$C$18046,$H1379))&lt;=MAX(0.005,ABS(INDEX('AH History'!$C$1:$C$18046,$H1379))*0.00005),ABS($E1379-INDEX('AH History'!$D$1:$D$18046,$H1379))&lt;=0.00005,$F1379=INDEX('AH History'!$E$1:$E$18046,$H1379),$G1379=INDEX('AH History'!$F$1:$F$18046,$H1379)),1,-1),-1))</ns0:f>
        <ns0:v/>
      </ns0:c>
    </ns0:row>
    <ns0:row r="1380">
      <ns0:c r="A1380" s="215">
        <ns0:f>IF(OR(AH!$P$3=0,1375+1&gt;AH!$P$11,AND(AH!$E$4&lt;&gt;"Stored",AH!$P$10&lt;&gt;1)),"",IFERROR(IF(AND(AH!$P$21=1,1375+1=AH!$P$11),TODAY(),IF(AH!$P$10=1,INDEX('Live History'!$A$5:$A$3004,AH!$P$13+1375),INDEX('AH History'!$A$1:$A$18046,AH!$P$7+1375))),""))</ns0:f>
        <ns0:v/>
      </ns0:c>
      <ns0:c r="B1380" s="219">
        <ns0:f>IFERROR(IF(AND(AH!$P$9&lt;&gt;1,$C1380&gt;0,$D1380&gt;0,$E1380&gt;0,$F1380&gt;0,$G1380&gt;0,$F1380&lt;=$A1380,$G1380&lt;=$A1380,$A1380-$F1380&lt;=10,$A1380-$G1380&lt;=5),$D1380*$E1380/$C1380-1,NA()),NA())</ns0:f>
        <ns0:v/>
      </ns0:c>
      <ns0:c r="C1380">
        <ns0:f>IFERROR(IF(ISNUMBER($A1380),IF(AND(AH!$P$10=1,AH!$P$12=1,$A1380=TODAY()),AH!$P$19,IF(AH!$P$10=1,INDEX('Live History'!$B$5:$B$3004,AH!$P$13+1375),INDEX('AH History'!$B$1:$B$18046,AH!$P$7+1375))),NA()),NA())</ns0:f>
        <ns0:v/>
      </ns0:c>
      <ns0:c r="D1380">
        <ns0:f>IFERROR(IF(ISNUMBER($A1380),IF(AND(AH!$P$10=1,AH!$P$12=1,$A1380=TODAY()),AH!$P$18,IF(AH!$P$10=1,INDEX('Live History'!$E$5:$E$3004,MATCH($A1380,'Live History'!$D$5:$D$3004,1)),INDEX('AH History'!$C$1:$C$18046,AH!$P$7+1375))),NA()),NA())</ns0:f>
        <ns0:v/>
      </ns0:c>
      <ns0:c r="E1380">
        <ns0:f>IFERROR(IF(ISNUMBER($A1380),IF(AND(AH!$P$10=1,AH!$P$12=1,$A1380=TODAY()),AH!$P$20,IF(AH!$P$10=1,INDEX('Live History'!$H$5:$H$3004,MATCH($A1380,'Live History'!$G$5:$G$3004,1)),INDEX('AH History'!$D$1:$D$18046,AH!$P$7+1375))),NA()),NA())</ns0:f>
        <ns0:v/>
      </ns0:c>
      <ns0:c r="F1380">
        <ns0:f>IFERROR(IF(ISNUMBER($A1380),IF(AND(AH!$P$10=1,AH!$P$12=1,$A1380=TODAY()),IF(AND(AH!$P$10=1,AH!$P$12=1,$A1380=TODAY()),TODAY(),NA()),IF(AH!$P$10=1,INDEX('Live History'!$D$5:$D$3004,MATCH($A1380,'Live History'!$D$5:$D$3004,1)),INDEX('AH History'!$E$1:$E$18046,AH!$P$7+1375))),NA()),NA())</ns0:f>
        <ns0:v/>
      </ns0:c>
      <ns0:c r="G1380">
        <ns0:f>IFERROR(IF(ISNUMBER($A1380),IF(AND(AH!$P$10=1,AH!$P$12=1,$A1380=TODAY()),IF(AND(AH!$P$10=1,AH!$P$12=1,$A1380=TODAY()),TODAY(),NA()),IF(AH!$P$10=1,INDEX('Live History'!$G$5:$G$3004,MATCH($A1380,'Live History'!$G$5:$G$3004,1)),INDEX('AH History'!$F$1:$F$18046,AH!$P$7+1375))),NA()),NA())</ns0:f>
        <ns0:v/>
      </ns0:c>
      <ns0:c r="H1380">
        <ns0:f>IFERROR(IF(AND(AH!$E$4="Bloomberg",AH!$P$10=1,ISNUMBER($A1380),$A1380&lt;=AH!$P$17),AH!$P$7-1+MATCH($A1380,INDEX('AH History'!$A$1:$A$18046,AH!$P$7):INDEX('AH History'!$A$1:$A$18046,AH!$P$7+AH!$P$8-1),0),0),0)</ns0:f>
        <ns0:v/>
      </ns0:c>
      <ns0:c r="I1380">
        <ns0:f>IF($H1380=0,0,IFERROR(IF(AND(ABS($C1380-INDEX('AH History'!$B$1:$B$18046,$H1380))&lt;=MAX(0.005,ABS(INDEX('AH History'!$B$1:$B$18046,$H1380))*0.00005),ABS($D1380-INDEX('AH History'!$C$1:$C$18046,$H1380))&lt;=MAX(0.005,ABS(INDEX('AH History'!$C$1:$C$18046,$H1380))*0.00005),ABS($E1380-INDEX('AH History'!$D$1:$D$18046,$H1380))&lt;=0.00005,$F1380=INDEX('AH History'!$E$1:$E$18046,$H1380),$G1380=INDEX('AH History'!$F$1:$F$18046,$H1380)),1,-1),-1))</ns0:f>
        <ns0:v/>
      </ns0:c>
    </ns0:row>
    <ns0:row r="1381">
      <ns0:c r="A1381" s="215">
        <ns0:f>IF(OR(AH!$P$3=0,1376+1&gt;AH!$P$11,AND(AH!$E$4&lt;&gt;"Stored",AH!$P$10&lt;&gt;1)),"",IFERROR(IF(AND(AH!$P$21=1,1376+1=AH!$P$11),TODAY(),IF(AH!$P$10=1,INDEX('Live History'!$A$5:$A$3004,AH!$P$13+1376),INDEX('AH History'!$A$1:$A$18046,AH!$P$7+1376))),""))</ns0:f>
        <ns0:v/>
      </ns0:c>
      <ns0:c r="B1381" s="219">
        <ns0:f>IFERROR(IF(AND(AH!$P$9&lt;&gt;1,$C1381&gt;0,$D1381&gt;0,$E1381&gt;0,$F1381&gt;0,$G1381&gt;0,$F1381&lt;=$A1381,$G1381&lt;=$A1381,$A1381-$F1381&lt;=10,$A1381-$G1381&lt;=5),$D1381*$E1381/$C1381-1,NA()),NA())</ns0:f>
        <ns0:v/>
      </ns0:c>
      <ns0:c r="C1381">
        <ns0:f>IFERROR(IF(ISNUMBER($A1381),IF(AND(AH!$P$10=1,AH!$P$12=1,$A1381=TODAY()),AH!$P$19,IF(AH!$P$10=1,INDEX('Live History'!$B$5:$B$3004,AH!$P$13+1376),INDEX('AH History'!$B$1:$B$18046,AH!$P$7+1376))),NA()),NA())</ns0:f>
        <ns0:v/>
      </ns0:c>
      <ns0:c r="D1381">
        <ns0:f>IFERROR(IF(ISNUMBER($A1381),IF(AND(AH!$P$10=1,AH!$P$12=1,$A1381=TODAY()),AH!$P$18,IF(AH!$P$10=1,INDEX('Live History'!$E$5:$E$3004,MATCH($A1381,'Live History'!$D$5:$D$3004,1)),INDEX('AH History'!$C$1:$C$18046,AH!$P$7+1376))),NA()),NA())</ns0:f>
        <ns0:v/>
      </ns0:c>
      <ns0:c r="E1381">
        <ns0:f>IFERROR(IF(ISNUMBER($A1381),IF(AND(AH!$P$10=1,AH!$P$12=1,$A1381=TODAY()),AH!$P$20,IF(AH!$P$10=1,INDEX('Live History'!$H$5:$H$3004,MATCH($A1381,'Live History'!$G$5:$G$3004,1)),INDEX('AH History'!$D$1:$D$18046,AH!$P$7+1376))),NA()),NA())</ns0:f>
        <ns0:v/>
      </ns0:c>
      <ns0:c r="F1381">
        <ns0:f>IFERROR(IF(ISNUMBER($A1381),IF(AND(AH!$P$10=1,AH!$P$12=1,$A1381=TODAY()),IF(AND(AH!$P$10=1,AH!$P$12=1,$A1381=TODAY()),TODAY(),NA()),IF(AH!$P$10=1,INDEX('Live History'!$D$5:$D$3004,MATCH($A1381,'Live History'!$D$5:$D$3004,1)),INDEX('AH History'!$E$1:$E$18046,AH!$P$7+1376))),NA()),NA())</ns0:f>
        <ns0:v/>
      </ns0:c>
      <ns0:c r="G1381">
        <ns0:f>IFERROR(IF(ISNUMBER($A1381),IF(AND(AH!$P$10=1,AH!$P$12=1,$A1381=TODAY()),IF(AND(AH!$P$10=1,AH!$P$12=1,$A1381=TODAY()),TODAY(),NA()),IF(AH!$P$10=1,INDEX('Live History'!$G$5:$G$3004,MATCH($A1381,'Live History'!$G$5:$G$3004,1)),INDEX('AH History'!$F$1:$F$18046,AH!$P$7+1376))),NA()),NA())</ns0:f>
        <ns0:v/>
      </ns0:c>
      <ns0:c r="H1381">
        <ns0:f>IFERROR(IF(AND(AH!$E$4="Bloomberg",AH!$P$10=1,ISNUMBER($A1381),$A1381&lt;=AH!$P$17),AH!$P$7-1+MATCH($A1381,INDEX('AH History'!$A$1:$A$18046,AH!$P$7):INDEX('AH History'!$A$1:$A$18046,AH!$P$7+AH!$P$8-1),0),0),0)</ns0:f>
        <ns0:v/>
      </ns0:c>
      <ns0:c r="I1381">
        <ns0:f>IF($H1381=0,0,IFERROR(IF(AND(ABS($C1381-INDEX('AH History'!$B$1:$B$18046,$H1381))&lt;=MAX(0.005,ABS(INDEX('AH History'!$B$1:$B$18046,$H1381))*0.00005),ABS($D1381-INDEX('AH History'!$C$1:$C$18046,$H1381))&lt;=MAX(0.005,ABS(INDEX('AH History'!$C$1:$C$18046,$H1381))*0.00005),ABS($E1381-INDEX('AH History'!$D$1:$D$18046,$H1381))&lt;=0.00005,$F1381=INDEX('AH History'!$E$1:$E$18046,$H1381),$G1381=INDEX('AH History'!$F$1:$F$18046,$H1381)),1,-1),-1))</ns0:f>
        <ns0:v/>
      </ns0:c>
    </ns0:row>
    <ns0:row r="1382">
      <ns0:c r="A1382" s="215">
        <ns0:f>IF(OR(AH!$P$3=0,1377+1&gt;AH!$P$11,AND(AH!$E$4&lt;&gt;"Stored",AH!$P$10&lt;&gt;1)),"",IFERROR(IF(AND(AH!$P$21=1,1377+1=AH!$P$11),TODAY(),IF(AH!$P$10=1,INDEX('Live History'!$A$5:$A$3004,AH!$P$13+1377),INDEX('AH History'!$A$1:$A$18046,AH!$P$7+1377))),""))</ns0:f>
        <ns0:v/>
      </ns0:c>
      <ns0:c r="B1382" s="219">
        <ns0:f>IFERROR(IF(AND(AH!$P$9&lt;&gt;1,$C1382&gt;0,$D1382&gt;0,$E1382&gt;0,$F1382&gt;0,$G1382&gt;0,$F1382&lt;=$A1382,$G1382&lt;=$A1382,$A1382-$F1382&lt;=10,$A1382-$G1382&lt;=5),$D1382*$E1382/$C1382-1,NA()),NA())</ns0:f>
        <ns0:v/>
      </ns0:c>
      <ns0:c r="C1382">
        <ns0:f>IFERROR(IF(ISNUMBER($A1382),IF(AND(AH!$P$10=1,AH!$P$12=1,$A1382=TODAY()),AH!$P$19,IF(AH!$P$10=1,INDEX('Live History'!$B$5:$B$3004,AH!$P$13+1377),INDEX('AH History'!$B$1:$B$18046,AH!$P$7+1377))),NA()),NA())</ns0:f>
        <ns0:v/>
      </ns0:c>
      <ns0:c r="D1382">
        <ns0:f>IFERROR(IF(ISNUMBER($A1382),IF(AND(AH!$P$10=1,AH!$P$12=1,$A1382=TODAY()),AH!$P$18,IF(AH!$P$10=1,INDEX('Live History'!$E$5:$E$3004,MATCH($A1382,'Live History'!$D$5:$D$3004,1)),INDEX('AH History'!$C$1:$C$18046,AH!$P$7+1377))),NA()),NA())</ns0:f>
        <ns0:v/>
      </ns0:c>
      <ns0:c r="E1382">
        <ns0:f>IFERROR(IF(ISNUMBER($A1382),IF(AND(AH!$P$10=1,AH!$P$12=1,$A1382=TODAY()),AH!$P$20,IF(AH!$P$10=1,INDEX('Live History'!$H$5:$H$3004,MATCH($A1382,'Live History'!$G$5:$G$3004,1)),INDEX('AH History'!$D$1:$D$18046,AH!$P$7+1377))),NA()),NA())</ns0:f>
        <ns0:v/>
      </ns0:c>
      <ns0:c r="F1382">
        <ns0:f>IFERROR(IF(ISNUMBER($A1382),IF(AND(AH!$P$10=1,AH!$P$12=1,$A1382=TODAY()),IF(AND(AH!$P$10=1,AH!$P$12=1,$A1382=TODAY()),TODAY(),NA()),IF(AH!$P$10=1,INDEX('Live History'!$D$5:$D$3004,MATCH($A1382,'Live History'!$D$5:$D$3004,1)),INDEX('AH History'!$E$1:$E$18046,AH!$P$7+1377))),NA()),NA())</ns0:f>
        <ns0:v/>
      </ns0:c>
      <ns0:c r="G1382">
        <ns0:f>IFERROR(IF(ISNUMBER($A1382),IF(AND(AH!$P$10=1,AH!$P$12=1,$A1382=TODAY()),IF(AND(AH!$P$10=1,AH!$P$12=1,$A1382=TODAY()),TODAY(),NA()),IF(AH!$P$10=1,INDEX('Live History'!$G$5:$G$3004,MATCH($A1382,'Live History'!$G$5:$G$3004,1)),INDEX('AH History'!$F$1:$F$18046,AH!$P$7+1377))),NA()),NA())</ns0:f>
        <ns0:v/>
      </ns0:c>
      <ns0:c r="H1382">
        <ns0:f>IFERROR(IF(AND(AH!$E$4="Bloomberg",AH!$P$10=1,ISNUMBER($A1382),$A1382&lt;=AH!$P$17),AH!$P$7-1+MATCH($A1382,INDEX('AH History'!$A$1:$A$18046,AH!$P$7):INDEX('AH History'!$A$1:$A$18046,AH!$P$7+AH!$P$8-1),0),0),0)</ns0:f>
        <ns0:v/>
      </ns0:c>
      <ns0:c r="I1382">
        <ns0:f>IF($H1382=0,0,IFERROR(IF(AND(ABS($C1382-INDEX('AH History'!$B$1:$B$18046,$H1382))&lt;=MAX(0.005,ABS(INDEX('AH History'!$B$1:$B$18046,$H1382))*0.00005),ABS($D1382-INDEX('AH History'!$C$1:$C$18046,$H1382))&lt;=MAX(0.005,ABS(INDEX('AH History'!$C$1:$C$18046,$H1382))*0.00005),ABS($E1382-INDEX('AH History'!$D$1:$D$18046,$H1382))&lt;=0.00005,$F1382=INDEX('AH History'!$E$1:$E$18046,$H1382),$G1382=INDEX('AH History'!$F$1:$F$18046,$H1382)),1,-1),-1))</ns0:f>
        <ns0:v/>
      </ns0:c>
    </ns0:row>
    <ns0:row r="1383">
      <ns0:c r="A1383" s="215">
        <ns0:f>IF(OR(AH!$P$3=0,1378+1&gt;AH!$P$11,AND(AH!$E$4&lt;&gt;"Stored",AH!$P$10&lt;&gt;1)),"",IFERROR(IF(AND(AH!$P$21=1,1378+1=AH!$P$11),TODAY(),IF(AH!$P$10=1,INDEX('Live History'!$A$5:$A$3004,AH!$P$13+1378),INDEX('AH History'!$A$1:$A$18046,AH!$P$7+1378))),""))</ns0:f>
        <ns0:v/>
      </ns0:c>
      <ns0:c r="B1383" s="219">
        <ns0:f>IFERROR(IF(AND(AH!$P$9&lt;&gt;1,$C1383&gt;0,$D1383&gt;0,$E1383&gt;0,$F1383&gt;0,$G1383&gt;0,$F1383&lt;=$A1383,$G1383&lt;=$A1383,$A1383-$F1383&lt;=10,$A1383-$G1383&lt;=5),$D1383*$E1383/$C1383-1,NA()),NA())</ns0:f>
        <ns0:v/>
      </ns0:c>
      <ns0:c r="C1383">
        <ns0:f>IFERROR(IF(ISNUMBER($A1383),IF(AND(AH!$P$10=1,AH!$P$12=1,$A1383=TODAY()),AH!$P$19,IF(AH!$P$10=1,INDEX('Live History'!$B$5:$B$3004,AH!$P$13+1378),INDEX('AH History'!$B$1:$B$18046,AH!$P$7+1378))),NA()),NA())</ns0:f>
        <ns0:v/>
      </ns0:c>
      <ns0:c r="D1383">
        <ns0:f>IFERROR(IF(ISNUMBER($A1383),IF(AND(AH!$P$10=1,AH!$P$12=1,$A1383=TODAY()),AH!$P$18,IF(AH!$P$10=1,INDEX('Live History'!$E$5:$E$3004,MATCH($A1383,'Live History'!$D$5:$D$3004,1)),INDEX('AH History'!$C$1:$C$18046,AH!$P$7+1378))),NA()),NA())</ns0:f>
        <ns0:v/>
      </ns0:c>
      <ns0:c r="E1383">
        <ns0:f>IFERROR(IF(ISNUMBER($A1383),IF(AND(AH!$P$10=1,AH!$P$12=1,$A1383=TODAY()),AH!$P$20,IF(AH!$P$10=1,INDEX('Live History'!$H$5:$H$3004,MATCH($A1383,'Live History'!$G$5:$G$3004,1)),INDEX('AH History'!$D$1:$D$18046,AH!$P$7+1378))),NA()),NA())</ns0:f>
        <ns0:v/>
      </ns0:c>
      <ns0:c r="F1383">
        <ns0:f>IFERROR(IF(ISNUMBER($A1383),IF(AND(AH!$P$10=1,AH!$P$12=1,$A1383=TODAY()),IF(AND(AH!$P$10=1,AH!$P$12=1,$A1383=TODAY()),TODAY(),NA()),IF(AH!$P$10=1,INDEX('Live History'!$D$5:$D$3004,MATCH($A1383,'Live History'!$D$5:$D$3004,1)),INDEX('AH History'!$E$1:$E$18046,AH!$P$7+1378))),NA()),NA())</ns0:f>
        <ns0:v/>
      </ns0:c>
      <ns0:c r="G1383">
        <ns0:f>IFERROR(IF(ISNUMBER($A1383),IF(AND(AH!$P$10=1,AH!$P$12=1,$A1383=TODAY()),IF(AND(AH!$P$10=1,AH!$P$12=1,$A1383=TODAY()),TODAY(),NA()),IF(AH!$P$10=1,INDEX('Live History'!$G$5:$G$3004,MATCH($A1383,'Live History'!$G$5:$G$3004,1)),INDEX('AH History'!$F$1:$F$18046,AH!$P$7+1378))),NA()),NA())</ns0:f>
        <ns0:v/>
      </ns0:c>
      <ns0:c r="H1383">
        <ns0:f>IFERROR(IF(AND(AH!$E$4="Bloomberg",AH!$P$10=1,ISNUMBER($A1383),$A1383&lt;=AH!$P$17),AH!$P$7-1+MATCH($A1383,INDEX('AH History'!$A$1:$A$18046,AH!$P$7):INDEX('AH History'!$A$1:$A$18046,AH!$P$7+AH!$P$8-1),0),0),0)</ns0:f>
        <ns0:v/>
      </ns0:c>
      <ns0:c r="I1383">
        <ns0:f>IF($H1383=0,0,IFERROR(IF(AND(ABS($C1383-INDEX('AH History'!$B$1:$B$18046,$H1383))&lt;=MAX(0.005,ABS(INDEX('AH History'!$B$1:$B$18046,$H1383))*0.00005),ABS($D1383-INDEX('AH History'!$C$1:$C$18046,$H1383))&lt;=MAX(0.005,ABS(INDEX('AH History'!$C$1:$C$18046,$H1383))*0.00005),ABS($E1383-INDEX('AH History'!$D$1:$D$18046,$H1383))&lt;=0.00005,$F1383=INDEX('AH History'!$E$1:$E$18046,$H1383),$G1383=INDEX('AH History'!$F$1:$F$18046,$H1383)),1,-1),-1))</ns0:f>
        <ns0:v/>
      </ns0:c>
    </ns0:row>
    <ns0:row r="1384">
      <ns0:c r="A1384" s="215">
        <ns0:f>IF(OR(AH!$P$3=0,1379+1&gt;AH!$P$11,AND(AH!$E$4&lt;&gt;"Stored",AH!$P$10&lt;&gt;1)),"",IFERROR(IF(AND(AH!$P$21=1,1379+1=AH!$P$11),TODAY(),IF(AH!$P$10=1,INDEX('Live History'!$A$5:$A$3004,AH!$P$13+1379),INDEX('AH History'!$A$1:$A$18046,AH!$P$7+1379))),""))</ns0:f>
        <ns0:v/>
      </ns0:c>
      <ns0:c r="B1384" s="219">
        <ns0:f>IFERROR(IF(AND(AH!$P$9&lt;&gt;1,$C1384&gt;0,$D1384&gt;0,$E1384&gt;0,$F1384&gt;0,$G1384&gt;0,$F1384&lt;=$A1384,$G1384&lt;=$A1384,$A1384-$F1384&lt;=10,$A1384-$G1384&lt;=5),$D1384*$E1384/$C1384-1,NA()),NA())</ns0:f>
        <ns0:v/>
      </ns0:c>
      <ns0:c r="C1384">
        <ns0:f>IFERROR(IF(ISNUMBER($A1384),IF(AND(AH!$P$10=1,AH!$P$12=1,$A1384=TODAY()),AH!$P$19,IF(AH!$P$10=1,INDEX('Live History'!$B$5:$B$3004,AH!$P$13+1379),INDEX('AH History'!$B$1:$B$18046,AH!$P$7+1379))),NA()),NA())</ns0:f>
        <ns0:v/>
      </ns0:c>
      <ns0:c r="D1384">
        <ns0:f>IFERROR(IF(ISNUMBER($A1384),IF(AND(AH!$P$10=1,AH!$P$12=1,$A1384=TODAY()),AH!$P$18,IF(AH!$P$10=1,INDEX('Live History'!$E$5:$E$3004,MATCH($A1384,'Live History'!$D$5:$D$3004,1)),INDEX('AH History'!$C$1:$C$18046,AH!$P$7+1379))),NA()),NA())</ns0:f>
        <ns0:v/>
      </ns0:c>
      <ns0:c r="E1384">
        <ns0:f>IFERROR(IF(ISNUMBER($A1384),IF(AND(AH!$P$10=1,AH!$P$12=1,$A1384=TODAY()),AH!$P$20,IF(AH!$P$10=1,INDEX('Live History'!$H$5:$H$3004,MATCH($A1384,'Live History'!$G$5:$G$3004,1)),INDEX('AH History'!$D$1:$D$18046,AH!$P$7+1379))),NA()),NA())</ns0:f>
        <ns0:v/>
      </ns0:c>
      <ns0:c r="F1384">
        <ns0:f>IFERROR(IF(ISNUMBER($A1384),IF(AND(AH!$P$10=1,AH!$P$12=1,$A1384=TODAY()),IF(AND(AH!$P$10=1,AH!$P$12=1,$A1384=TODAY()),TODAY(),NA()),IF(AH!$P$10=1,INDEX('Live History'!$D$5:$D$3004,MATCH($A1384,'Live History'!$D$5:$D$3004,1)),INDEX('AH History'!$E$1:$E$18046,AH!$P$7+1379))),NA()),NA())</ns0:f>
        <ns0:v/>
      </ns0:c>
      <ns0:c r="G1384">
        <ns0:f>IFERROR(IF(ISNUMBER($A1384),IF(AND(AH!$P$10=1,AH!$P$12=1,$A1384=TODAY()),IF(AND(AH!$P$10=1,AH!$P$12=1,$A1384=TODAY()),TODAY(),NA()),IF(AH!$P$10=1,INDEX('Live History'!$G$5:$G$3004,MATCH($A1384,'Live History'!$G$5:$G$3004,1)),INDEX('AH History'!$F$1:$F$18046,AH!$P$7+1379))),NA()),NA())</ns0:f>
        <ns0:v/>
      </ns0:c>
      <ns0:c r="H1384">
        <ns0:f>IFERROR(IF(AND(AH!$E$4="Bloomberg",AH!$P$10=1,ISNUMBER($A1384),$A1384&lt;=AH!$P$17),AH!$P$7-1+MATCH($A1384,INDEX('AH History'!$A$1:$A$18046,AH!$P$7):INDEX('AH History'!$A$1:$A$18046,AH!$P$7+AH!$P$8-1),0),0),0)</ns0:f>
        <ns0:v/>
      </ns0:c>
      <ns0:c r="I1384">
        <ns0:f>IF($H1384=0,0,IFERROR(IF(AND(ABS($C1384-INDEX('AH History'!$B$1:$B$18046,$H1384))&lt;=MAX(0.005,ABS(INDEX('AH History'!$B$1:$B$18046,$H1384))*0.00005),ABS($D1384-INDEX('AH History'!$C$1:$C$18046,$H1384))&lt;=MAX(0.005,ABS(INDEX('AH History'!$C$1:$C$18046,$H1384))*0.00005),ABS($E1384-INDEX('AH History'!$D$1:$D$18046,$H1384))&lt;=0.00005,$F1384=INDEX('AH History'!$E$1:$E$18046,$H1384),$G1384=INDEX('AH History'!$F$1:$F$18046,$H1384)),1,-1),-1))</ns0:f>
        <ns0:v/>
      </ns0:c>
    </ns0:row>
    <ns0:row r="1385">
      <ns0:c r="A1385" s="215">
        <ns0:f>IF(OR(AH!$P$3=0,1380+1&gt;AH!$P$11,AND(AH!$E$4&lt;&gt;"Stored",AH!$P$10&lt;&gt;1)),"",IFERROR(IF(AND(AH!$P$21=1,1380+1=AH!$P$11),TODAY(),IF(AH!$P$10=1,INDEX('Live History'!$A$5:$A$3004,AH!$P$13+1380),INDEX('AH History'!$A$1:$A$18046,AH!$P$7+1380))),""))</ns0:f>
        <ns0:v/>
      </ns0:c>
      <ns0:c r="B1385" s="219">
        <ns0:f>IFERROR(IF(AND(AH!$P$9&lt;&gt;1,$C1385&gt;0,$D1385&gt;0,$E1385&gt;0,$F1385&gt;0,$G1385&gt;0,$F1385&lt;=$A1385,$G1385&lt;=$A1385,$A1385-$F1385&lt;=10,$A1385-$G1385&lt;=5),$D1385*$E1385/$C1385-1,NA()),NA())</ns0:f>
        <ns0:v/>
      </ns0:c>
      <ns0:c r="C1385">
        <ns0:f>IFERROR(IF(ISNUMBER($A1385),IF(AND(AH!$P$10=1,AH!$P$12=1,$A1385=TODAY()),AH!$P$19,IF(AH!$P$10=1,INDEX('Live History'!$B$5:$B$3004,AH!$P$13+1380),INDEX('AH History'!$B$1:$B$18046,AH!$P$7+1380))),NA()),NA())</ns0:f>
        <ns0:v/>
      </ns0:c>
      <ns0:c r="D1385">
        <ns0:f>IFERROR(IF(ISNUMBER($A1385),IF(AND(AH!$P$10=1,AH!$P$12=1,$A1385=TODAY()),AH!$P$18,IF(AH!$P$10=1,INDEX('Live History'!$E$5:$E$3004,MATCH($A1385,'Live History'!$D$5:$D$3004,1)),INDEX('AH History'!$C$1:$C$18046,AH!$P$7+1380))),NA()),NA())</ns0:f>
        <ns0:v/>
      </ns0:c>
      <ns0:c r="E1385">
        <ns0:f>IFERROR(IF(ISNUMBER($A1385),IF(AND(AH!$P$10=1,AH!$P$12=1,$A1385=TODAY()),AH!$P$20,IF(AH!$P$10=1,INDEX('Live History'!$H$5:$H$3004,MATCH($A1385,'Live History'!$G$5:$G$3004,1)),INDEX('AH History'!$D$1:$D$18046,AH!$P$7+1380))),NA()),NA())</ns0:f>
        <ns0:v/>
      </ns0:c>
      <ns0:c r="F1385">
        <ns0:f>IFERROR(IF(ISNUMBER($A1385),IF(AND(AH!$P$10=1,AH!$P$12=1,$A1385=TODAY()),IF(AND(AH!$P$10=1,AH!$P$12=1,$A1385=TODAY()),TODAY(),NA()),IF(AH!$P$10=1,INDEX('Live History'!$D$5:$D$3004,MATCH($A1385,'Live History'!$D$5:$D$3004,1)),INDEX('AH History'!$E$1:$E$18046,AH!$P$7+1380))),NA()),NA())</ns0:f>
        <ns0:v/>
      </ns0:c>
      <ns0:c r="G1385">
        <ns0:f>IFERROR(IF(ISNUMBER($A1385),IF(AND(AH!$P$10=1,AH!$P$12=1,$A1385=TODAY()),IF(AND(AH!$P$10=1,AH!$P$12=1,$A1385=TODAY()),TODAY(),NA()),IF(AH!$P$10=1,INDEX('Live History'!$G$5:$G$3004,MATCH($A1385,'Live History'!$G$5:$G$3004,1)),INDEX('AH History'!$F$1:$F$18046,AH!$P$7+1380))),NA()),NA())</ns0:f>
        <ns0:v/>
      </ns0:c>
      <ns0:c r="H1385">
        <ns0:f>IFERROR(IF(AND(AH!$E$4="Bloomberg",AH!$P$10=1,ISNUMBER($A1385),$A1385&lt;=AH!$P$17),AH!$P$7-1+MATCH($A1385,INDEX('AH History'!$A$1:$A$18046,AH!$P$7):INDEX('AH History'!$A$1:$A$18046,AH!$P$7+AH!$P$8-1),0),0),0)</ns0:f>
        <ns0:v/>
      </ns0:c>
      <ns0:c r="I1385">
        <ns0:f>IF($H1385=0,0,IFERROR(IF(AND(ABS($C1385-INDEX('AH History'!$B$1:$B$18046,$H1385))&lt;=MAX(0.005,ABS(INDEX('AH History'!$B$1:$B$18046,$H1385))*0.00005),ABS($D1385-INDEX('AH History'!$C$1:$C$18046,$H1385))&lt;=MAX(0.005,ABS(INDEX('AH History'!$C$1:$C$18046,$H1385))*0.00005),ABS($E1385-INDEX('AH History'!$D$1:$D$18046,$H1385))&lt;=0.00005,$F1385=INDEX('AH History'!$E$1:$E$18046,$H1385),$G1385=INDEX('AH History'!$F$1:$F$18046,$H1385)),1,-1),-1))</ns0:f>
        <ns0:v/>
      </ns0:c>
    </ns0:row>
    <ns0:row r="1386">
      <ns0:c r="A1386" s="215">
        <ns0:f>IF(OR(AH!$P$3=0,1381+1&gt;AH!$P$11,AND(AH!$E$4&lt;&gt;"Stored",AH!$P$10&lt;&gt;1)),"",IFERROR(IF(AND(AH!$P$21=1,1381+1=AH!$P$11),TODAY(),IF(AH!$P$10=1,INDEX('Live History'!$A$5:$A$3004,AH!$P$13+1381),INDEX('AH History'!$A$1:$A$18046,AH!$P$7+1381))),""))</ns0:f>
        <ns0:v/>
      </ns0:c>
      <ns0:c r="B1386" s="219">
        <ns0:f>IFERROR(IF(AND(AH!$P$9&lt;&gt;1,$C1386&gt;0,$D1386&gt;0,$E1386&gt;0,$F1386&gt;0,$G1386&gt;0,$F1386&lt;=$A1386,$G1386&lt;=$A1386,$A1386-$F1386&lt;=10,$A1386-$G1386&lt;=5),$D1386*$E1386/$C1386-1,NA()),NA())</ns0:f>
        <ns0:v/>
      </ns0:c>
      <ns0:c r="C1386">
        <ns0:f>IFERROR(IF(ISNUMBER($A1386),IF(AND(AH!$P$10=1,AH!$P$12=1,$A1386=TODAY()),AH!$P$19,IF(AH!$P$10=1,INDEX('Live History'!$B$5:$B$3004,AH!$P$13+1381),INDEX('AH History'!$B$1:$B$18046,AH!$P$7+1381))),NA()),NA())</ns0:f>
        <ns0:v/>
      </ns0:c>
      <ns0:c r="D1386">
        <ns0:f>IFERROR(IF(ISNUMBER($A1386),IF(AND(AH!$P$10=1,AH!$P$12=1,$A1386=TODAY()),AH!$P$18,IF(AH!$P$10=1,INDEX('Live History'!$E$5:$E$3004,MATCH($A1386,'Live History'!$D$5:$D$3004,1)),INDEX('AH History'!$C$1:$C$18046,AH!$P$7+1381))),NA()),NA())</ns0:f>
        <ns0:v/>
      </ns0:c>
      <ns0:c r="E1386">
        <ns0:f>IFERROR(IF(ISNUMBER($A1386),IF(AND(AH!$P$10=1,AH!$P$12=1,$A1386=TODAY()),AH!$P$20,IF(AH!$P$10=1,INDEX('Live History'!$H$5:$H$3004,MATCH($A1386,'Live History'!$G$5:$G$3004,1)),INDEX('AH History'!$D$1:$D$18046,AH!$P$7+1381))),NA()),NA())</ns0:f>
        <ns0:v/>
      </ns0:c>
      <ns0:c r="F1386">
        <ns0:f>IFERROR(IF(ISNUMBER($A1386),IF(AND(AH!$P$10=1,AH!$P$12=1,$A1386=TODAY()),IF(AND(AH!$P$10=1,AH!$P$12=1,$A1386=TODAY()),TODAY(),NA()),IF(AH!$P$10=1,INDEX('Live History'!$D$5:$D$3004,MATCH($A1386,'Live History'!$D$5:$D$3004,1)),INDEX('AH History'!$E$1:$E$18046,AH!$P$7+1381))),NA()),NA())</ns0:f>
        <ns0:v/>
      </ns0:c>
      <ns0:c r="G1386">
        <ns0:f>IFERROR(IF(ISNUMBER($A1386),IF(AND(AH!$P$10=1,AH!$P$12=1,$A1386=TODAY()),IF(AND(AH!$P$10=1,AH!$P$12=1,$A1386=TODAY()),TODAY(),NA()),IF(AH!$P$10=1,INDEX('Live History'!$G$5:$G$3004,MATCH($A1386,'Live History'!$G$5:$G$3004,1)),INDEX('AH History'!$F$1:$F$18046,AH!$P$7+1381))),NA()),NA())</ns0:f>
        <ns0:v/>
      </ns0:c>
      <ns0:c r="H1386">
        <ns0:f>IFERROR(IF(AND(AH!$E$4="Bloomberg",AH!$P$10=1,ISNUMBER($A1386),$A1386&lt;=AH!$P$17),AH!$P$7-1+MATCH($A1386,INDEX('AH History'!$A$1:$A$18046,AH!$P$7):INDEX('AH History'!$A$1:$A$18046,AH!$P$7+AH!$P$8-1),0),0),0)</ns0:f>
        <ns0:v/>
      </ns0:c>
      <ns0:c r="I1386">
        <ns0:f>IF($H1386=0,0,IFERROR(IF(AND(ABS($C1386-INDEX('AH History'!$B$1:$B$18046,$H1386))&lt;=MAX(0.005,ABS(INDEX('AH History'!$B$1:$B$18046,$H1386))*0.00005),ABS($D1386-INDEX('AH History'!$C$1:$C$18046,$H1386))&lt;=MAX(0.005,ABS(INDEX('AH History'!$C$1:$C$18046,$H1386))*0.00005),ABS($E1386-INDEX('AH History'!$D$1:$D$18046,$H1386))&lt;=0.00005,$F1386=INDEX('AH History'!$E$1:$E$18046,$H1386),$G1386=INDEX('AH History'!$F$1:$F$18046,$H1386)),1,-1),-1))</ns0:f>
        <ns0:v/>
      </ns0:c>
    </ns0:row>
    <ns0:row r="1387">
      <ns0:c r="A1387" s="215">
        <ns0:f>IF(OR(AH!$P$3=0,1382+1&gt;AH!$P$11,AND(AH!$E$4&lt;&gt;"Stored",AH!$P$10&lt;&gt;1)),"",IFERROR(IF(AND(AH!$P$21=1,1382+1=AH!$P$11),TODAY(),IF(AH!$P$10=1,INDEX('Live History'!$A$5:$A$3004,AH!$P$13+1382),INDEX('AH History'!$A$1:$A$18046,AH!$P$7+1382))),""))</ns0:f>
        <ns0:v/>
      </ns0:c>
      <ns0:c r="B1387" s="219">
        <ns0:f>IFERROR(IF(AND(AH!$P$9&lt;&gt;1,$C1387&gt;0,$D1387&gt;0,$E1387&gt;0,$F1387&gt;0,$G1387&gt;0,$F1387&lt;=$A1387,$G1387&lt;=$A1387,$A1387-$F1387&lt;=10,$A1387-$G1387&lt;=5),$D1387*$E1387/$C1387-1,NA()),NA())</ns0:f>
        <ns0:v/>
      </ns0:c>
      <ns0:c r="C1387">
        <ns0:f>IFERROR(IF(ISNUMBER($A1387),IF(AND(AH!$P$10=1,AH!$P$12=1,$A1387=TODAY()),AH!$P$19,IF(AH!$P$10=1,INDEX('Live History'!$B$5:$B$3004,AH!$P$13+1382),INDEX('AH History'!$B$1:$B$18046,AH!$P$7+1382))),NA()),NA())</ns0:f>
        <ns0:v/>
      </ns0:c>
      <ns0:c r="D1387">
        <ns0:f>IFERROR(IF(ISNUMBER($A1387),IF(AND(AH!$P$10=1,AH!$P$12=1,$A1387=TODAY()),AH!$P$18,IF(AH!$P$10=1,INDEX('Live History'!$E$5:$E$3004,MATCH($A1387,'Live History'!$D$5:$D$3004,1)),INDEX('AH History'!$C$1:$C$18046,AH!$P$7+1382))),NA()),NA())</ns0:f>
        <ns0:v/>
      </ns0:c>
      <ns0:c r="E1387">
        <ns0:f>IFERROR(IF(ISNUMBER($A1387),IF(AND(AH!$P$10=1,AH!$P$12=1,$A1387=TODAY()),AH!$P$20,IF(AH!$P$10=1,INDEX('Live History'!$H$5:$H$3004,MATCH($A1387,'Live History'!$G$5:$G$3004,1)),INDEX('AH History'!$D$1:$D$18046,AH!$P$7+1382))),NA()),NA())</ns0:f>
        <ns0:v/>
      </ns0:c>
      <ns0:c r="F1387">
        <ns0:f>IFERROR(IF(ISNUMBER($A1387),IF(AND(AH!$P$10=1,AH!$P$12=1,$A1387=TODAY()),IF(AND(AH!$P$10=1,AH!$P$12=1,$A1387=TODAY()),TODAY(),NA()),IF(AH!$P$10=1,INDEX('Live History'!$D$5:$D$3004,MATCH($A1387,'Live History'!$D$5:$D$3004,1)),INDEX('AH History'!$E$1:$E$18046,AH!$P$7+1382))),NA()),NA())</ns0:f>
        <ns0:v/>
      </ns0:c>
      <ns0:c r="G1387">
        <ns0:f>IFERROR(IF(ISNUMBER($A1387),IF(AND(AH!$P$10=1,AH!$P$12=1,$A1387=TODAY()),IF(AND(AH!$P$10=1,AH!$P$12=1,$A1387=TODAY()),TODAY(),NA()),IF(AH!$P$10=1,INDEX('Live History'!$G$5:$G$3004,MATCH($A1387,'Live History'!$G$5:$G$3004,1)),INDEX('AH History'!$F$1:$F$18046,AH!$P$7+1382))),NA()),NA())</ns0:f>
        <ns0:v/>
      </ns0:c>
      <ns0:c r="H1387">
        <ns0:f>IFERROR(IF(AND(AH!$E$4="Bloomberg",AH!$P$10=1,ISNUMBER($A1387),$A1387&lt;=AH!$P$17),AH!$P$7-1+MATCH($A1387,INDEX('AH History'!$A$1:$A$18046,AH!$P$7):INDEX('AH History'!$A$1:$A$18046,AH!$P$7+AH!$P$8-1),0),0),0)</ns0:f>
        <ns0:v/>
      </ns0:c>
      <ns0:c r="I1387">
        <ns0:f>IF($H1387=0,0,IFERROR(IF(AND(ABS($C1387-INDEX('AH History'!$B$1:$B$18046,$H1387))&lt;=MAX(0.005,ABS(INDEX('AH History'!$B$1:$B$18046,$H1387))*0.00005),ABS($D1387-INDEX('AH History'!$C$1:$C$18046,$H1387))&lt;=MAX(0.005,ABS(INDEX('AH History'!$C$1:$C$18046,$H1387))*0.00005),ABS($E1387-INDEX('AH History'!$D$1:$D$18046,$H1387))&lt;=0.00005,$F1387=INDEX('AH History'!$E$1:$E$18046,$H1387),$G1387=INDEX('AH History'!$F$1:$F$18046,$H1387)),1,-1),-1))</ns0:f>
        <ns0:v/>
      </ns0:c>
    </ns0:row>
    <ns0:row r="1388">
      <ns0:c r="A1388" s="215">
        <ns0:f>IF(OR(AH!$P$3=0,1383+1&gt;AH!$P$11,AND(AH!$E$4&lt;&gt;"Stored",AH!$P$10&lt;&gt;1)),"",IFERROR(IF(AND(AH!$P$21=1,1383+1=AH!$P$11),TODAY(),IF(AH!$P$10=1,INDEX('Live History'!$A$5:$A$3004,AH!$P$13+1383),INDEX('AH History'!$A$1:$A$18046,AH!$P$7+1383))),""))</ns0:f>
        <ns0:v/>
      </ns0:c>
      <ns0:c r="B1388" s="219">
        <ns0:f>IFERROR(IF(AND(AH!$P$9&lt;&gt;1,$C1388&gt;0,$D1388&gt;0,$E1388&gt;0,$F1388&gt;0,$G1388&gt;0,$F1388&lt;=$A1388,$G1388&lt;=$A1388,$A1388-$F1388&lt;=10,$A1388-$G1388&lt;=5),$D1388*$E1388/$C1388-1,NA()),NA())</ns0:f>
        <ns0:v/>
      </ns0:c>
      <ns0:c r="C1388">
        <ns0:f>IFERROR(IF(ISNUMBER($A1388),IF(AND(AH!$P$10=1,AH!$P$12=1,$A1388=TODAY()),AH!$P$19,IF(AH!$P$10=1,INDEX('Live History'!$B$5:$B$3004,AH!$P$13+1383),INDEX('AH History'!$B$1:$B$18046,AH!$P$7+1383))),NA()),NA())</ns0:f>
        <ns0:v/>
      </ns0:c>
      <ns0:c r="D1388">
        <ns0:f>IFERROR(IF(ISNUMBER($A1388),IF(AND(AH!$P$10=1,AH!$P$12=1,$A1388=TODAY()),AH!$P$18,IF(AH!$P$10=1,INDEX('Live History'!$E$5:$E$3004,MATCH($A1388,'Live History'!$D$5:$D$3004,1)),INDEX('AH History'!$C$1:$C$18046,AH!$P$7+1383))),NA()),NA())</ns0:f>
        <ns0:v/>
      </ns0:c>
      <ns0:c r="E1388">
        <ns0:f>IFERROR(IF(ISNUMBER($A1388),IF(AND(AH!$P$10=1,AH!$P$12=1,$A1388=TODAY()),AH!$P$20,IF(AH!$P$10=1,INDEX('Live History'!$H$5:$H$3004,MATCH($A1388,'Live History'!$G$5:$G$3004,1)),INDEX('AH History'!$D$1:$D$18046,AH!$P$7+1383))),NA()),NA())</ns0:f>
        <ns0:v/>
      </ns0:c>
      <ns0:c r="F1388">
        <ns0:f>IFERROR(IF(ISNUMBER($A1388),IF(AND(AH!$P$10=1,AH!$P$12=1,$A1388=TODAY()),IF(AND(AH!$P$10=1,AH!$P$12=1,$A1388=TODAY()),TODAY(),NA()),IF(AH!$P$10=1,INDEX('Live History'!$D$5:$D$3004,MATCH($A1388,'Live History'!$D$5:$D$3004,1)),INDEX('AH History'!$E$1:$E$18046,AH!$P$7+1383))),NA()),NA())</ns0:f>
        <ns0:v/>
      </ns0:c>
      <ns0:c r="G1388">
        <ns0:f>IFERROR(IF(ISNUMBER($A1388),IF(AND(AH!$P$10=1,AH!$P$12=1,$A1388=TODAY()),IF(AND(AH!$P$10=1,AH!$P$12=1,$A1388=TODAY()),TODAY(),NA()),IF(AH!$P$10=1,INDEX('Live History'!$G$5:$G$3004,MATCH($A1388,'Live History'!$G$5:$G$3004,1)),INDEX('AH History'!$F$1:$F$18046,AH!$P$7+1383))),NA()),NA())</ns0:f>
        <ns0:v/>
      </ns0:c>
      <ns0:c r="H1388">
        <ns0:f>IFERROR(IF(AND(AH!$E$4="Bloomberg",AH!$P$10=1,ISNUMBER($A1388),$A1388&lt;=AH!$P$17),AH!$P$7-1+MATCH($A1388,INDEX('AH History'!$A$1:$A$18046,AH!$P$7):INDEX('AH History'!$A$1:$A$18046,AH!$P$7+AH!$P$8-1),0),0),0)</ns0:f>
        <ns0:v/>
      </ns0:c>
      <ns0:c r="I1388">
        <ns0:f>IF($H1388=0,0,IFERROR(IF(AND(ABS($C1388-INDEX('AH History'!$B$1:$B$18046,$H1388))&lt;=MAX(0.005,ABS(INDEX('AH History'!$B$1:$B$18046,$H1388))*0.00005),ABS($D1388-INDEX('AH History'!$C$1:$C$18046,$H1388))&lt;=MAX(0.005,ABS(INDEX('AH History'!$C$1:$C$18046,$H1388))*0.00005),ABS($E1388-INDEX('AH History'!$D$1:$D$18046,$H1388))&lt;=0.00005,$F1388=INDEX('AH History'!$E$1:$E$18046,$H1388),$G1388=INDEX('AH History'!$F$1:$F$18046,$H1388)),1,-1),-1))</ns0:f>
        <ns0:v/>
      </ns0:c>
    </ns0:row>
    <ns0:row r="1389">
      <ns0:c r="A1389" s="215">
        <ns0:f>IF(OR(AH!$P$3=0,1384+1&gt;AH!$P$11,AND(AH!$E$4&lt;&gt;"Stored",AH!$P$10&lt;&gt;1)),"",IFERROR(IF(AND(AH!$P$21=1,1384+1=AH!$P$11),TODAY(),IF(AH!$P$10=1,INDEX('Live History'!$A$5:$A$3004,AH!$P$13+1384),INDEX('AH History'!$A$1:$A$18046,AH!$P$7+1384))),""))</ns0:f>
        <ns0:v/>
      </ns0:c>
      <ns0:c r="B1389" s="219">
        <ns0:f>IFERROR(IF(AND(AH!$P$9&lt;&gt;1,$C1389&gt;0,$D1389&gt;0,$E1389&gt;0,$F1389&gt;0,$G1389&gt;0,$F1389&lt;=$A1389,$G1389&lt;=$A1389,$A1389-$F1389&lt;=10,$A1389-$G1389&lt;=5),$D1389*$E1389/$C1389-1,NA()),NA())</ns0:f>
        <ns0:v/>
      </ns0:c>
      <ns0:c r="C1389">
        <ns0:f>IFERROR(IF(ISNUMBER($A1389),IF(AND(AH!$P$10=1,AH!$P$12=1,$A1389=TODAY()),AH!$P$19,IF(AH!$P$10=1,INDEX('Live History'!$B$5:$B$3004,AH!$P$13+1384),INDEX('AH History'!$B$1:$B$18046,AH!$P$7+1384))),NA()),NA())</ns0:f>
        <ns0:v/>
      </ns0:c>
      <ns0:c r="D1389">
        <ns0:f>IFERROR(IF(ISNUMBER($A1389),IF(AND(AH!$P$10=1,AH!$P$12=1,$A1389=TODAY()),AH!$P$18,IF(AH!$P$10=1,INDEX('Live History'!$E$5:$E$3004,MATCH($A1389,'Live History'!$D$5:$D$3004,1)),INDEX('AH History'!$C$1:$C$18046,AH!$P$7+1384))),NA()),NA())</ns0:f>
        <ns0:v/>
      </ns0:c>
      <ns0:c r="E1389">
        <ns0:f>IFERROR(IF(ISNUMBER($A1389),IF(AND(AH!$P$10=1,AH!$P$12=1,$A1389=TODAY()),AH!$P$20,IF(AH!$P$10=1,INDEX('Live History'!$H$5:$H$3004,MATCH($A1389,'Live History'!$G$5:$G$3004,1)),INDEX('AH History'!$D$1:$D$18046,AH!$P$7+1384))),NA()),NA())</ns0:f>
        <ns0:v/>
      </ns0:c>
      <ns0:c r="F1389">
        <ns0:f>IFERROR(IF(ISNUMBER($A1389),IF(AND(AH!$P$10=1,AH!$P$12=1,$A1389=TODAY()),IF(AND(AH!$P$10=1,AH!$P$12=1,$A1389=TODAY()),TODAY(),NA()),IF(AH!$P$10=1,INDEX('Live History'!$D$5:$D$3004,MATCH($A1389,'Live History'!$D$5:$D$3004,1)),INDEX('AH History'!$E$1:$E$18046,AH!$P$7+1384))),NA()),NA())</ns0:f>
        <ns0:v/>
      </ns0:c>
      <ns0:c r="G1389">
        <ns0:f>IFERROR(IF(ISNUMBER($A1389),IF(AND(AH!$P$10=1,AH!$P$12=1,$A1389=TODAY()),IF(AND(AH!$P$10=1,AH!$P$12=1,$A1389=TODAY()),TODAY(),NA()),IF(AH!$P$10=1,INDEX('Live History'!$G$5:$G$3004,MATCH($A1389,'Live History'!$G$5:$G$3004,1)),INDEX('AH History'!$F$1:$F$18046,AH!$P$7+1384))),NA()),NA())</ns0:f>
        <ns0:v/>
      </ns0:c>
      <ns0:c r="H1389">
        <ns0:f>IFERROR(IF(AND(AH!$E$4="Bloomberg",AH!$P$10=1,ISNUMBER($A1389),$A1389&lt;=AH!$P$17),AH!$P$7-1+MATCH($A1389,INDEX('AH History'!$A$1:$A$18046,AH!$P$7):INDEX('AH History'!$A$1:$A$18046,AH!$P$7+AH!$P$8-1),0),0),0)</ns0:f>
        <ns0:v/>
      </ns0:c>
      <ns0:c r="I1389">
        <ns0:f>IF($H1389=0,0,IFERROR(IF(AND(ABS($C1389-INDEX('AH History'!$B$1:$B$18046,$H1389))&lt;=MAX(0.005,ABS(INDEX('AH History'!$B$1:$B$18046,$H1389))*0.00005),ABS($D1389-INDEX('AH History'!$C$1:$C$18046,$H1389))&lt;=MAX(0.005,ABS(INDEX('AH History'!$C$1:$C$18046,$H1389))*0.00005),ABS($E1389-INDEX('AH History'!$D$1:$D$18046,$H1389))&lt;=0.00005,$F1389=INDEX('AH History'!$E$1:$E$18046,$H1389),$G1389=INDEX('AH History'!$F$1:$F$18046,$H1389)),1,-1),-1))</ns0:f>
        <ns0:v/>
      </ns0:c>
    </ns0:row>
    <ns0:row r="1390">
      <ns0:c r="A1390" s="215">
        <ns0:f>IF(OR(AH!$P$3=0,1385+1&gt;AH!$P$11,AND(AH!$E$4&lt;&gt;"Stored",AH!$P$10&lt;&gt;1)),"",IFERROR(IF(AND(AH!$P$21=1,1385+1=AH!$P$11),TODAY(),IF(AH!$P$10=1,INDEX('Live History'!$A$5:$A$3004,AH!$P$13+1385),INDEX('AH History'!$A$1:$A$18046,AH!$P$7+1385))),""))</ns0:f>
        <ns0:v/>
      </ns0:c>
      <ns0:c r="B1390" s="219">
        <ns0:f>IFERROR(IF(AND(AH!$P$9&lt;&gt;1,$C1390&gt;0,$D1390&gt;0,$E1390&gt;0,$F1390&gt;0,$G1390&gt;0,$F1390&lt;=$A1390,$G1390&lt;=$A1390,$A1390-$F1390&lt;=10,$A1390-$G1390&lt;=5),$D1390*$E1390/$C1390-1,NA()),NA())</ns0:f>
        <ns0:v/>
      </ns0:c>
      <ns0:c r="C1390">
        <ns0:f>IFERROR(IF(ISNUMBER($A1390),IF(AND(AH!$P$10=1,AH!$P$12=1,$A1390=TODAY()),AH!$P$19,IF(AH!$P$10=1,INDEX('Live History'!$B$5:$B$3004,AH!$P$13+1385),INDEX('AH History'!$B$1:$B$18046,AH!$P$7+1385))),NA()),NA())</ns0:f>
        <ns0:v/>
      </ns0:c>
      <ns0:c r="D1390">
        <ns0:f>IFERROR(IF(ISNUMBER($A1390),IF(AND(AH!$P$10=1,AH!$P$12=1,$A1390=TODAY()),AH!$P$18,IF(AH!$P$10=1,INDEX('Live History'!$E$5:$E$3004,MATCH($A1390,'Live History'!$D$5:$D$3004,1)),INDEX('AH History'!$C$1:$C$18046,AH!$P$7+1385))),NA()),NA())</ns0:f>
        <ns0:v/>
      </ns0:c>
      <ns0:c r="E1390">
        <ns0:f>IFERROR(IF(ISNUMBER($A1390),IF(AND(AH!$P$10=1,AH!$P$12=1,$A1390=TODAY()),AH!$P$20,IF(AH!$P$10=1,INDEX('Live History'!$H$5:$H$3004,MATCH($A1390,'Live History'!$G$5:$G$3004,1)),INDEX('AH History'!$D$1:$D$18046,AH!$P$7+1385))),NA()),NA())</ns0:f>
        <ns0:v/>
      </ns0:c>
      <ns0:c r="F1390">
        <ns0:f>IFERROR(IF(ISNUMBER($A1390),IF(AND(AH!$P$10=1,AH!$P$12=1,$A1390=TODAY()),IF(AND(AH!$P$10=1,AH!$P$12=1,$A1390=TODAY()),TODAY(),NA()),IF(AH!$P$10=1,INDEX('Live History'!$D$5:$D$3004,MATCH($A1390,'Live History'!$D$5:$D$3004,1)),INDEX('AH History'!$E$1:$E$18046,AH!$P$7+1385))),NA()),NA())</ns0:f>
        <ns0:v/>
      </ns0:c>
      <ns0:c r="G1390">
        <ns0:f>IFERROR(IF(ISNUMBER($A1390),IF(AND(AH!$P$10=1,AH!$P$12=1,$A1390=TODAY()),IF(AND(AH!$P$10=1,AH!$P$12=1,$A1390=TODAY()),TODAY(),NA()),IF(AH!$P$10=1,INDEX('Live History'!$G$5:$G$3004,MATCH($A1390,'Live History'!$G$5:$G$3004,1)),INDEX('AH History'!$F$1:$F$18046,AH!$P$7+1385))),NA()),NA())</ns0:f>
        <ns0:v/>
      </ns0:c>
      <ns0:c r="H1390">
        <ns0:f>IFERROR(IF(AND(AH!$E$4="Bloomberg",AH!$P$10=1,ISNUMBER($A1390),$A1390&lt;=AH!$P$17),AH!$P$7-1+MATCH($A1390,INDEX('AH History'!$A$1:$A$18046,AH!$P$7):INDEX('AH History'!$A$1:$A$18046,AH!$P$7+AH!$P$8-1),0),0),0)</ns0:f>
        <ns0:v/>
      </ns0:c>
      <ns0:c r="I1390">
        <ns0:f>IF($H1390=0,0,IFERROR(IF(AND(ABS($C1390-INDEX('AH History'!$B$1:$B$18046,$H1390))&lt;=MAX(0.005,ABS(INDEX('AH History'!$B$1:$B$18046,$H1390))*0.00005),ABS($D1390-INDEX('AH History'!$C$1:$C$18046,$H1390))&lt;=MAX(0.005,ABS(INDEX('AH History'!$C$1:$C$18046,$H1390))*0.00005),ABS($E1390-INDEX('AH History'!$D$1:$D$18046,$H1390))&lt;=0.00005,$F1390=INDEX('AH History'!$E$1:$E$18046,$H1390),$G1390=INDEX('AH History'!$F$1:$F$18046,$H1390)),1,-1),-1))</ns0:f>
        <ns0:v/>
      </ns0:c>
    </ns0:row>
    <ns0:row r="1391">
      <ns0:c r="A1391" s="215">
        <ns0:f>IF(OR(AH!$P$3=0,1386+1&gt;AH!$P$11,AND(AH!$E$4&lt;&gt;"Stored",AH!$P$10&lt;&gt;1)),"",IFERROR(IF(AND(AH!$P$21=1,1386+1=AH!$P$11),TODAY(),IF(AH!$P$10=1,INDEX('Live History'!$A$5:$A$3004,AH!$P$13+1386),INDEX('AH History'!$A$1:$A$18046,AH!$P$7+1386))),""))</ns0:f>
        <ns0:v/>
      </ns0:c>
      <ns0:c r="B1391" s="219">
        <ns0:f>IFERROR(IF(AND(AH!$P$9&lt;&gt;1,$C1391&gt;0,$D1391&gt;0,$E1391&gt;0,$F1391&gt;0,$G1391&gt;0,$F1391&lt;=$A1391,$G1391&lt;=$A1391,$A1391-$F1391&lt;=10,$A1391-$G1391&lt;=5),$D1391*$E1391/$C1391-1,NA()),NA())</ns0:f>
        <ns0:v/>
      </ns0:c>
      <ns0:c r="C1391">
        <ns0:f>IFERROR(IF(ISNUMBER($A1391),IF(AND(AH!$P$10=1,AH!$P$12=1,$A1391=TODAY()),AH!$P$19,IF(AH!$P$10=1,INDEX('Live History'!$B$5:$B$3004,AH!$P$13+1386),INDEX('AH History'!$B$1:$B$18046,AH!$P$7+1386))),NA()),NA())</ns0:f>
        <ns0:v/>
      </ns0:c>
      <ns0:c r="D1391">
        <ns0:f>IFERROR(IF(ISNUMBER($A1391),IF(AND(AH!$P$10=1,AH!$P$12=1,$A1391=TODAY()),AH!$P$18,IF(AH!$P$10=1,INDEX('Live History'!$E$5:$E$3004,MATCH($A1391,'Live History'!$D$5:$D$3004,1)),INDEX('AH History'!$C$1:$C$18046,AH!$P$7+1386))),NA()),NA())</ns0:f>
        <ns0:v/>
      </ns0:c>
      <ns0:c r="E1391">
        <ns0:f>IFERROR(IF(ISNUMBER($A1391),IF(AND(AH!$P$10=1,AH!$P$12=1,$A1391=TODAY()),AH!$P$20,IF(AH!$P$10=1,INDEX('Live History'!$H$5:$H$3004,MATCH($A1391,'Live History'!$G$5:$G$3004,1)),INDEX('AH History'!$D$1:$D$18046,AH!$P$7+1386))),NA()),NA())</ns0:f>
        <ns0:v/>
      </ns0:c>
      <ns0:c r="F1391">
        <ns0:f>IFERROR(IF(ISNUMBER($A1391),IF(AND(AH!$P$10=1,AH!$P$12=1,$A1391=TODAY()),IF(AND(AH!$P$10=1,AH!$P$12=1,$A1391=TODAY()),TODAY(),NA()),IF(AH!$P$10=1,INDEX('Live History'!$D$5:$D$3004,MATCH($A1391,'Live History'!$D$5:$D$3004,1)),INDEX('AH History'!$E$1:$E$18046,AH!$P$7+1386))),NA()),NA())</ns0:f>
        <ns0:v/>
      </ns0:c>
      <ns0:c r="G1391">
        <ns0:f>IFERROR(IF(ISNUMBER($A1391),IF(AND(AH!$P$10=1,AH!$P$12=1,$A1391=TODAY()),IF(AND(AH!$P$10=1,AH!$P$12=1,$A1391=TODAY()),TODAY(),NA()),IF(AH!$P$10=1,INDEX('Live History'!$G$5:$G$3004,MATCH($A1391,'Live History'!$G$5:$G$3004,1)),INDEX('AH History'!$F$1:$F$18046,AH!$P$7+1386))),NA()),NA())</ns0:f>
        <ns0:v/>
      </ns0:c>
      <ns0:c r="H1391">
        <ns0:f>IFERROR(IF(AND(AH!$E$4="Bloomberg",AH!$P$10=1,ISNUMBER($A1391),$A1391&lt;=AH!$P$17),AH!$P$7-1+MATCH($A1391,INDEX('AH History'!$A$1:$A$18046,AH!$P$7):INDEX('AH History'!$A$1:$A$18046,AH!$P$7+AH!$P$8-1),0),0),0)</ns0:f>
        <ns0:v/>
      </ns0:c>
      <ns0:c r="I1391">
        <ns0:f>IF($H1391=0,0,IFERROR(IF(AND(ABS($C1391-INDEX('AH History'!$B$1:$B$18046,$H1391))&lt;=MAX(0.005,ABS(INDEX('AH History'!$B$1:$B$18046,$H1391))*0.00005),ABS($D1391-INDEX('AH History'!$C$1:$C$18046,$H1391))&lt;=MAX(0.005,ABS(INDEX('AH History'!$C$1:$C$18046,$H1391))*0.00005),ABS($E1391-INDEX('AH History'!$D$1:$D$18046,$H1391))&lt;=0.00005,$F1391=INDEX('AH History'!$E$1:$E$18046,$H1391),$G1391=INDEX('AH History'!$F$1:$F$18046,$H1391)),1,-1),-1))</ns0:f>
        <ns0:v/>
      </ns0:c>
    </ns0:row>
    <ns0:row r="1392">
      <ns0:c r="A1392" s="215">
        <ns0:f>IF(OR(AH!$P$3=0,1387+1&gt;AH!$P$11,AND(AH!$E$4&lt;&gt;"Stored",AH!$P$10&lt;&gt;1)),"",IFERROR(IF(AND(AH!$P$21=1,1387+1=AH!$P$11),TODAY(),IF(AH!$P$10=1,INDEX('Live History'!$A$5:$A$3004,AH!$P$13+1387),INDEX('AH History'!$A$1:$A$18046,AH!$P$7+1387))),""))</ns0:f>
        <ns0:v/>
      </ns0:c>
      <ns0:c r="B1392" s="219">
        <ns0:f>IFERROR(IF(AND(AH!$P$9&lt;&gt;1,$C1392&gt;0,$D1392&gt;0,$E1392&gt;0,$F1392&gt;0,$G1392&gt;0,$F1392&lt;=$A1392,$G1392&lt;=$A1392,$A1392-$F1392&lt;=10,$A1392-$G1392&lt;=5),$D1392*$E1392/$C1392-1,NA()),NA())</ns0:f>
        <ns0:v/>
      </ns0:c>
      <ns0:c r="C1392">
        <ns0:f>IFERROR(IF(ISNUMBER($A1392),IF(AND(AH!$P$10=1,AH!$P$12=1,$A1392=TODAY()),AH!$P$19,IF(AH!$P$10=1,INDEX('Live History'!$B$5:$B$3004,AH!$P$13+1387),INDEX('AH History'!$B$1:$B$18046,AH!$P$7+1387))),NA()),NA())</ns0:f>
        <ns0:v/>
      </ns0:c>
      <ns0:c r="D1392">
        <ns0:f>IFERROR(IF(ISNUMBER($A1392),IF(AND(AH!$P$10=1,AH!$P$12=1,$A1392=TODAY()),AH!$P$18,IF(AH!$P$10=1,INDEX('Live History'!$E$5:$E$3004,MATCH($A1392,'Live History'!$D$5:$D$3004,1)),INDEX('AH History'!$C$1:$C$18046,AH!$P$7+1387))),NA()),NA())</ns0:f>
        <ns0:v/>
      </ns0:c>
      <ns0:c r="E1392">
        <ns0:f>IFERROR(IF(ISNUMBER($A1392),IF(AND(AH!$P$10=1,AH!$P$12=1,$A1392=TODAY()),AH!$P$20,IF(AH!$P$10=1,INDEX('Live History'!$H$5:$H$3004,MATCH($A1392,'Live History'!$G$5:$G$3004,1)),INDEX('AH History'!$D$1:$D$18046,AH!$P$7+1387))),NA()),NA())</ns0:f>
        <ns0:v/>
      </ns0:c>
      <ns0:c r="F1392">
        <ns0:f>IFERROR(IF(ISNUMBER($A1392),IF(AND(AH!$P$10=1,AH!$P$12=1,$A1392=TODAY()),IF(AND(AH!$P$10=1,AH!$P$12=1,$A1392=TODAY()),TODAY(),NA()),IF(AH!$P$10=1,INDEX('Live History'!$D$5:$D$3004,MATCH($A1392,'Live History'!$D$5:$D$3004,1)),INDEX('AH History'!$E$1:$E$18046,AH!$P$7+1387))),NA()),NA())</ns0:f>
        <ns0:v/>
      </ns0:c>
      <ns0:c r="G1392">
        <ns0:f>IFERROR(IF(ISNUMBER($A1392),IF(AND(AH!$P$10=1,AH!$P$12=1,$A1392=TODAY()),IF(AND(AH!$P$10=1,AH!$P$12=1,$A1392=TODAY()),TODAY(),NA()),IF(AH!$P$10=1,INDEX('Live History'!$G$5:$G$3004,MATCH($A1392,'Live History'!$G$5:$G$3004,1)),INDEX('AH History'!$F$1:$F$18046,AH!$P$7+1387))),NA()),NA())</ns0:f>
        <ns0:v/>
      </ns0:c>
      <ns0:c r="H1392">
        <ns0:f>IFERROR(IF(AND(AH!$E$4="Bloomberg",AH!$P$10=1,ISNUMBER($A1392),$A1392&lt;=AH!$P$17),AH!$P$7-1+MATCH($A1392,INDEX('AH History'!$A$1:$A$18046,AH!$P$7):INDEX('AH History'!$A$1:$A$18046,AH!$P$7+AH!$P$8-1),0),0),0)</ns0:f>
        <ns0:v/>
      </ns0:c>
      <ns0:c r="I1392">
        <ns0:f>IF($H1392=0,0,IFERROR(IF(AND(ABS($C1392-INDEX('AH History'!$B$1:$B$18046,$H1392))&lt;=MAX(0.005,ABS(INDEX('AH History'!$B$1:$B$18046,$H1392))*0.00005),ABS($D1392-INDEX('AH History'!$C$1:$C$18046,$H1392))&lt;=MAX(0.005,ABS(INDEX('AH History'!$C$1:$C$18046,$H1392))*0.00005),ABS($E1392-INDEX('AH History'!$D$1:$D$18046,$H1392))&lt;=0.00005,$F1392=INDEX('AH History'!$E$1:$E$18046,$H1392),$G1392=INDEX('AH History'!$F$1:$F$18046,$H1392)),1,-1),-1))</ns0:f>
        <ns0:v/>
      </ns0:c>
    </ns0:row>
    <ns0:row r="1393">
      <ns0:c r="A1393" s="215">
        <ns0:f>IF(OR(AH!$P$3=0,1388+1&gt;AH!$P$11,AND(AH!$E$4&lt;&gt;"Stored",AH!$P$10&lt;&gt;1)),"",IFERROR(IF(AND(AH!$P$21=1,1388+1=AH!$P$11),TODAY(),IF(AH!$P$10=1,INDEX('Live History'!$A$5:$A$3004,AH!$P$13+1388),INDEX('AH History'!$A$1:$A$18046,AH!$P$7+1388))),""))</ns0:f>
        <ns0:v/>
      </ns0:c>
      <ns0:c r="B1393" s="219">
        <ns0:f>IFERROR(IF(AND(AH!$P$9&lt;&gt;1,$C1393&gt;0,$D1393&gt;0,$E1393&gt;0,$F1393&gt;0,$G1393&gt;0,$F1393&lt;=$A1393,$G1393&lt;=$A1393,$A1393-$F1393&lt;=10,$A1393-$G1393&lt;=5),$D1393*$E1393/$C1393-1,NA()),NA())</ns0:f>
        <ns0:v/>
      </ns0:c>
      <ns0:c r="C1393">
        <ns0:f>IFERROR(IF(ISNUMBER($A1393),IF(AND(AH!$P$10=1,AH!$P$12=1,$A1393=TODAY()),AH!$P$19,IF(AH!$P$10=1,INDEX('Live History'!$B$5:$B$3004,AH!$P$13+1388),INDEX('AH History'!$B$1:$B$18046,AH!$P$7+1388))),NA()),NA())</ns0:f>
        <ns0:v/>
      </ns0:c>
      <ns0:c r="D1393">
        <ns0:f>IFERROR(IF(ISNUMBER($A1393),IF(AND(AH!$P$10=1,AH!$P$12=1,$A1393=TODAY()),AH!$P$18,IF(AH!$P$10=1,INDEX('Live History'!$E$5:$E$3004,MATCH($A1393,'Live History'!$D$5:$D$3004,1)),INDEX('AH History'!$C$1:$C$18046,AH!$P$7+1388))),NA()),NA())</ns0:f>
        <ns0:v/>
      </ns0:c>
      <ns0:c r="E1393">
        <ns0:f>IFERROR(IF(ISNUMBER($A1393),IF(AND(AH!$P$10=1,AH!$P$12=1,$A1393=TODAY()),AH!$P$20,IF(AH!$P$10=1,INDEX('Live History'!$H$5:$H$3004,MATCH($A1393,'Live History'!$G$5:$G$3004,1)),INDEX('AH History'!$D$1:$D$18046,AH!$P$7+1388))),NA()),NA())</ns0:f>
        <ns0:v/>
      </ns0:c>
      <ns0:c r="F1393">
        <ns0:f>IFERROR(IF(ISNUMBER($A1393),IF(AND(AH!$P$10=1,AH!$P$12=1,$A1393=TODAY()),IF(AND(AH!$P$10=1,AH!$P$12=1,$A1393=TODAY()),TODAY(),NA()),IF(AH!$P$10=1,INDEX('Live History'!$D$5:$D$3004,MATCH($A1393,'Live History'!$D$5:$D$3004,1)),INDEX('AH History'!$E$1:$E$18046,AH!$P$7+1388))),NA()),NA())</ns0:f>
        <ns0:v/>
      </ns0:c>
      <ns0:c r="G1393">
        <ns0:f>IFERROR(IF(ISNUMBER($A1393),IF(AND(AH!$P$10=1,AH!$P$12=1,$A1393=TODAY()),IF(AND(AH!$P$10=1,AH!$P$12=1,$A1393=TODAY()),TODAY(),NA()),IF(AH!$P$10=1,INDEX('Live History'!$G$5:$G$3004,MATCH($A1393,'Live History'!$G$5:$G$3004,1)),INDEX('AH History'!$F$1:$F$18046,AH!$P$7+1388))),NA()),NA())</ns0:f>
        <ns0:v/>
      </ns0:c>
      <ns0:c r="H1393">
        <ns0:f>IFERROR(IF(AND(AH!$E$4="Bloomberg",AH!$P$10=1,ISNUMBER($A1393),$A1393&lt;=AH!$P$17),AH!$P$7-1+MATCH($A1393,INDEX('AH History'!$A$1:$A$18046,AH!$P$7):INDEX('AH History'!$A$1:$A$18046,AH!$P$7+AH!$P$8-1),0),0),0)</ns0:f>
        <ns0:v/>
      </ns0:c>
      <ns0:c r="I1393">
        <ns0:f>IF($H1393=0,0,IFERROR(IF(AND(ABS($C1393-INDEX('AH History'!$B$1:$B$18046,$H1393))&lt;=MAX(0.005,ABS(INDEX('AH History'!$B$1:$B$18046,$H1393))*0.00005),ABS($D1393-INDEX('AH History'!$C$1:$C$18046,$H1393))&lt;=MAX(0.005,ABS(INDEX('AH History'!$C$1:$C$18046,$H1393))*0.00005),ABS($E1393-INDEX('AH History'!$D$1:$D$18046,$H1393))&lt;=0.00005,$F1393=INDEX('AH History'!$E$1:$E$18046,$H1393),$G1393=INDEX('AH History'!$F$1:$F$18046,$H1393)),1,-1),-1))</ns0:f>
        <ns0:v/>
      </ns0:c>
    </ns0:row>
    <ns0:row r="1394">
      <ns0:c r="A1394" s="215">
        <ns0:f>IF(OR(AH!$P$3=0,1389+1&gt;AH!$P$11,AND(AH!$E$4&lt;&gt;"Stored",AH!$P$10&lt;&gt;1)),"",IFERROR(IF(AND(AH!$P$21=1,1389+1=AH!$P$11),TODAY(),IF(AH!$P$10=1,INDEX('Live History'!$A$5:$A$3004,AH!$P$13+1389),INDEX('AH History'!$A$1:$A$18046,AH!$P$7+1389))),""))</ns0:f>
        <ns0:v/>
      </ns0:c>
      <ns0:c r="B1394" s="219">
        <ns0:f>IFERROR(IF(AND(AH!$P$9&lt;&gt;1,$C1394&gt;0,$D1394&gt;0,$E1394&gt;0,$F1394&gt;0,$G1394&gt;0,$F1394&lt;=$A1394,$G1394&lt;=$A1394,$A1394-$F1394&lt;=10,$A1394-$G1394&lt;=5),$D1394*$E1394/$C1394-1,NA()),NA())</ns0:f>
        <ns0:v/>
      </ns0:c>
      <ns0:c r="C1394">
        <ns0:f>IFERROR(IF(ISNUMBER($A1394),IF(AND(AH!$P$10=1,AH!$P$12=1,$A1394=TODAY()),AH!$P$19,IF(AH!$P$10=1,INDEX('Live History'!$B$5:$B$3004,AH!$P$13+1389),INDEX('AH History'!$B$1:$B$18046,AH!$P$7+1389))),NA()),NA())</ns0:f>
        <ns0:v/>
      </ns0:c>
      <ns0:c r="D1394">
        <ns0:f>IFERROR(IF(ISNUMBER($A1394),IF(AND(AH!$P$10=1,AH!$P$12=1,$A1394=TODAY()),AH!$P$18,IF(AH!$P$10=1,INDEX('Live History'!$E$5:$E$3004,MATCH($A1394,'Live History'!$D$5:$D$3004,1)),INDEX('AH History'!$C$1:$C$18046,AH!$P$7+1389))),NA()),NA())</ns0:f>
        <ns0:v/>
      </ns0:c>
      <ns0:c r="E1394">
        <ns0:f>IFERROR(IF(ISNUMBER($A1394),IF(AND(AH!$P$10=1,AH!$P$12=1,$A1394=TODAY()),AH!$P$20,IF(AH!$P$10=1,INDEX('Live History'!$H$5:$H$3004,MATCH($A1394,'Live History'!$G$5:$G$3004,1)),INDEX('AH History'!$D$1:$D$18046,AH!$P$7+1389))),NA()),NA())</ns0:f>
        <ns0:v/>
      </ns0:c>
      <ns0:c r="F1394">
        <ns0:f>IFERROR(IF(ISNUMBER($A1394),IF(AND(AH!$P$10=1,AH!$P$12=1,$A1394=TODAY()),IF(AND(AH!$P$10=1,AH!$P$12=1,$A1394=TODAY()),TODAY(),NA()),IF(AH!$P$10=1,INDEX('Live History'!$D$5:$D$3004,MATCH($A1394,'Live History'!$D$5:$D$3004,1)),INDEX('AH History'!$E$1:$E$18046,AH!$P$7+1389))),NA()),NA())</ns0:f>
        <ns0:v/>
      </ns0:c>
      <ns0:c r="G1394">
        <ns0:f>IFERROR(IF(ISNUMBER($A1394),IF(AND(AH!$P$10=1,AH!$P$12=1,$A1394=TODAY()),IF(AND(AH!$P$10=1,AH!$P$12=1,$A1394=TODAY()),TODAY(),NA()),IF(AH!$P$10=1,INDEX('Live History'!$G$5:$G$3004,MATCH($A1394,'Live History'!$G$5:$G$3004,1)),INDEX('AH History'!$F$1:$F$18046,AH!$P$7+1389))),NA()),NA())</ns0:f>
        <ns0:v/>
      </ns0:c>
      <ns0:c r="H1394">
        <ns0:f>IFERROR(IF(AND(AH!$E$4="Bloomberg",AH!$P$10=1,ISNUMBER($A1394),$A1394&lt;=AH!$P$17),AH!$P$7-1+MATCH($A1394,INDEX('AH History'!$A$1:$A$18046,AH!$P$7):INDEX('AH History'!$A$1:$A$18046,AH!$P$7+AH!$P$8-1),0),0),0)</ns0:f>
        <ns0:v/>
      </ns0:c>
      <ns0:c r="I1394">
        <ns0:f>IF($H1394=0,0,IFERROR(IF(AND(ABS($C1394-INDEX('AH History'!$B$1:$B$18046,$H1394))&lt;=MAX(0.005,ABS(INDEX('AH History'!$B$1:$B$18046,$H1394))*0.00005),ABS($D1394-INDEX('AH History'!$C$1:$C$18046,$H1394))&lt;=MAX(0.005,ABS(INDEX('AH History'!$C$1:$C$18046,$H1394))*0.00005),ABS($E1394-INDEX('AH History'!$D$1:$D$18046,$H1394))&lt;=0.00005,$F1394=INDEX('AH History'!$E$1:$E$18046,$H1394),$G1394=INDEX('AH History'!$F$1:$F$18046,$H1394)),1,-1),-1))</ns0:f>
        <ns0:v/>
      </ns0:c>
    </ns0:row>
    <ns0:row r="1395">
      <ns0:c r="A1395" s="215">
        <ns0:f>IF(OR(AH!$P$3=0,1390+1&gt;AH!$P$11,AND(AH!$E$4&lt;&gt;"Stored",AH!$P$10&lt;&gt;1)),"",IFERROR(IF(AND(AH!$P$21=1,1390+1=AH!$P$11),TODAY(),IF(AH!$P$10=1,INDEX('Live History'!$A$5:$A$3004,AH!$P$13+1390),INDEX('AH History'!$A$1:$A$18046,AH!$P$7+1390))),""))</ns0:f>
        <ns0:v/>
      </ns0:c>
      <ns0:c r="B1395" s="219">
        <ns0:f>IFERROR(IF(AND(AH!$P$9&lt;&gt;1,$C1395&gt;0,$D1395&gt;0,$E1395&gt;0,$F1395&gt;0,$G1395&gt;0,$F1395&lt;=$A1395,$G1395&lt;=$A1395,$A1395-$F1395&lt;=10,$A1395-$G1395&lt;=5),$D1395*$E1395/$C1395-1,NA()),NA())</ns0:f>
        <ns0:v/>
      </ns0:c>
      <ns0:c r="C1395">
        <ns0:f>IFERROR(IF(ISNUMBER($A1395),IF(AND(AH!$P$10=1,AH!$P$12=1,$A1395=TODAY()),AH!$P$19,IF(AH!$P$10=1,INDEX('Live History'!$B$5:$B$3004,AH!$P$13+1390),INDEX('AH History'!$B$1:$B$18046,AH!$P$7+1390))),NA()),NA())</ns0:f>
        <ns0:v/>
      </ns0:c>
      <ns0:c r="D1395">
        <ns0:f>IFERROR(IF(ISNUMBER($A1395),IF(AND(AH!$P$10=1,AH!$P$12=1,$A1395=TODAY()),AH!$P$18,IF(AH!$P$10=1,INDEX('Live History'!$E$5:$E$3004,MATCH($A1395,'Live History'!$D$5:$D$3004,1)),INDEX('AH History'!$C$1:$C$18046,AH!$P$7+1390))),NA()),NA())</ns0:f>
        <ns0:v/>
      </ns0:c>
      <ns0:c r="E1395">
        <ns0:f>IFERROR(IF(ISNUMBER($A1395),IF(AND(AH!$P$10=1,AH!$P$12=1,$A1395=TODAY()),AH!$P$20,IF(AH!$P$10=1,INDEX('Live History'!$H$5:$H$3004,MATCH($A1395,'Live History'!$G$5:$G$3004,1)),INDEX('AH History'!$D$1:$D$18046,AH!$P$7+1390))),NA()),NA())</ns0:f>
        <ns0:v/>
      </ns0:c>
      <ns0:c r="F1395">
        <ns0:f>IFERROR(IF(ISNUMBER($A1395),IF(AND(AH!$P$10=1,AH!$P$12=1,$A1395=TODAY()),IF(AND(AH!$P$10=1,AH!$P$12=1,$A1395=TODAY()),TODAY(),NA()),IF(AH!$P$10=1,INDEX('Live History'!$D$5:$D$3004,MATCH($A1395,'Live History'!$D$5:$D$3004,1)),INDEX('AH History'!$E$1:$E$18046,AH!$P$7+1390))),NA()),NA())</ns0:f>
        <ns0:v/>
      </ns0:c>
      <ns0:c r="G1395">
        <ns0:f>IFERROR(IF(ISNUMBER($A1395),IF(AND(AH!$P$10=1,AH!$P$12=1,$A1395=TODAY()),IF(AND(AH!$P$10=1,AH!$P$12=1,$A1395=TODAY()),TODAY(),NA()),IF(AH!$P$10=1,INDEX('Live History'!$G$5:$G$3004,MATCH($A1395,'Live History'!$G$5:$G$3004,1)),INDEX('AH History'!$F$1:$F$18046,AH!$P$7+1390))),NA()),NA())</ns0:f>
        <ns0:v/>
      </ns0:c>
      <ns0:c r="H1395">
        <ns0:f>IFERROR(IF(AND(AH!$E$4="Bloomberg",AH!$P$10=1,ISNUMBER($A1395),$A1395&lt;=AH!$P$17),AH!$P$7-1+MATCH($A1395,INDEX('AH History'!$A$1:$A$18046,AH!$P$7):INDEX('AH History'!$A$1:$A$18046,AH!$P$7+AH!$P$8-1),0),0),0)</ns0:f>
        <ns0:v/>
      </ns0:c>
      <ns0:c r="I1395">
        <ns0:f>IF($H1395=0,0,IFERROR(IF(AND(ABS($C1395-INDEX('AH History'!$B$1:$B$18046,$H1395))&lt;=MAX(0.005,ABS(INDEX('AH History'!$B$1:$B$18046,$H1395))*0.00005),ABS($D1395-INDEX('AH History'!$C$1:$C$18046,$H1395))&lt;=MAX(0.005,ABS(INDEX('AH History'!$C$1:$C$18046,$H1395))*0.00005),ABS($E1395-INDEX('AH History'!$D$1:$D$18046,$H1395))&lt;=0.00005,$F1395=INDEX('AH History'!$E$1:$E$18046,$H1395),$G1395=INDEX('AH History'!$F$1:$F$18046,$H1395)),1,-1),-1))</ns0:f>
        <ns0:v/>
      </ns0:c>
    </ns0:row>
    <ns0:row r="1396">
      <ns0:c r="A1396" s="215">
        <ns0:f>IF(OR(AH!$P$3=0,1391+1&gt;AH!$P$11,AND(AH!$E$4&lt;&gt;"Stored",AH!$P$10&lt;&gt;1)),"",IFERROR(IF(AND(AH!$P$21=1,1391+1=AH!$P$11),TODAY(),IF(AH!$P$10=1,INDEX('Live History'!$A$5:$A$3004,AH!$P$13+1391),INDEX('AH History'!$A$1:$A$18046,AH!$P$7+1391))),""))</ns0:f>
        <ns0:v/>
      </ns0:c>
      <ns0:c r="B1396" s="219">
        <ns0:f>IFERROR(IF(AND(AH!$P$9&lt;&gt;1,$C1396&gt;0,$D1396&gt;0,$E1396&gt;0,$F1396&gt;0,$G1396&gt;0,$F1396&lt;=$A1396,$G1396&lt;=$A1396,$A1396-$F1396&lt;=10,$A1396-$G1396&lt;=5),$D1396*$E1396/$C1396-1,NA()),NA())</ns0:f>
        <ns0:v/>
      </ns0:c>
      <ns0:c r="C1396">
        <ns0:f>IFERROR(IF(ISNUMBER($A1396),IF(AND(AH!$P$10=1,AH!$P$12=1,$A1396=TODAY()),AH!$P$19,IF(AH!$P$10=1,INDEX('Live History'!$B$5:$B$3004,AH!$P$13+1391),INDEX('AH History'!$B$1:$B$18046,AH!$P$7+1391))),NA()),NA())</ns0:f>
        <ns0:v/>
      </ns0:c>
      <ns0:c r="D1396">
        <ns0:f>IFERROR(IF(ISNUMBER($A1396),IF(AND(AH!$P$10=1,AH!$P$12=1,$A1396=TODAY()),AH!$P$18,IF(AH!$P$10=1,INDEX('Live History'!$E$5:$E$3004,MATCH($A1396,'Live History'!$D$5:$D$3004,1)),INDEX('AH History'!$C$1:$C$18046,AH!$P$7+1391))),NA()),NA())</ns0:f>
        <ns0:v/>
      </ns0:c>
      <ns0:c r="E1396">
        <ns0:f>IFERROR(IF(ISNUMBER($A1396),IF(AND(AH!$P$10=1,AH!$P$12=1,$A1396=TODAY()),AH!$P$20,IF(AH!$P$10=1,INDEX('Live History'!$H$5:$H$3004,MATCH($A1396,'Live History'!$G$5:$G$3004,1)),INDEX('AH History'!$D$1:$D$18046,AH!$P$7+1391))),NA()),NA())</ns0:f>
        <ns0:v/>
      </ns0:c>
      <ns0:c r="F1396">
        <ns0:f>IFERROR(IF(ISNUMBER($A1396),IF(AND(AH!$P$10=1,AH!$P$12=1,$A1396=TODAY()),IF(AND(AH!$P$10=1,AH!$P$12=1,$A1396=TODAY()),TODAY(),NA()),IF(AH!$P$10=1,INDEX('Live History'!$D$5:$D$3004,MATCH($A1396,'Live History'!$D$5:$D$3004,1)),INDEX('AH History'!$E$1:$E$18046,AH!$P$7+1391))),NA()),NA())</ns0:f>
        <ns0:v/>
      </ns0:c>
      <ns0:c r="G1396">
        <ns0:f>IFERROR(IF(ISNUMBER($A1396),IF(AND(AH!$P$10=1,AH!$P$12=1,$A1396=TODAY()),IF(AND(AH!$P$10=1,AH!$P$12=1,$A1396=TODAY()),TODAY(),NA()),IF(AH!$P$10=1,INDEX('Live History'!$G$5:$G$3004,MATCH($A1396,'Live History'!$G$5:$G$3004,1)),INDEX('AH History'!$F$1:$F$18046,AH!$P$7+1391))),NA()),NA())</ns0:f>
        <ns0:v/>
      </ns0:c>
      <ns0:c r="H1396">
        <ns0:f>IFERROR(IF(AND(AH!$E$4="Bloomberg",AH!$P$10=1,ISNUMBER($A1396),$A1396&lt;=AH!$P$17),AH!$P$7-1+MATCH($A1396,INDEX('AH History'!$A$1:$A$18046,AH!$P$7):INDEX('AH History'!$A$1:$A$18046,AH!$P$7+AH!$P$8-1),0),0),0)</ns0:f>
        <ns0:v/>
      </ns0:c>
      <ns0:c r="I1396">
        <ns0:f>IF($H1396=0,0,IFERROR(IF(AND(ABS($C1396-INDEX('AH History'!$B$1:$B$18046,$H1396))&lt;=MAX(0.005,ABS(INDEX('AH History'!$B$1:$B$18046,$H1396))*0.00005),ABS($D1396-INDEX('AH History'!$C$1:$C$18046,$H1396))&lt;=MAX(0.005,ABS(INDEX('AH History'!$C$1:$C$18046,$H1396))*0.00005),ABS($E1396-INDEX('AH History'!$D$1:$D$18046,$H1396))&lt;=0.00005,$F1396=INDEX('AH History'!$E$1:$E$18046,$H1396),$G1396=INDEX('AH History'!$F$1:$F$18046,$H1396)),1,-1),-1))</ns0:f>
        <ns0:v/>
      </ns0:c>
    </ns0:row>
    <ns0:row r="1397">
      <ns0:c r="A1397" s="215">
        <ns0:f>IF(OR(AH!$P$3=0,1392+1&gt;AH!$P$11,AND(AH!$E$4&lt;&gt;"Stored",AH!$P$10&lt;&gt;1)),"",IFERROR(IF(AND(AH!$P$21=1,1392+1=AH!$P$11),TODAY(),IF(AH!$P$10=1,INDEX('Live History'!$A$5:$A$3004,AH!$P$13+1392),INDEX('AH History'!$A$1:$A$18046,AH!$P$7+1392))),""))</ns0:f>
        <ns0:v/>
      </ns0:c>
      <ns0:c r="B1397" s="219">
        <ns0:f>IFERROR(IF(AND(AH!$P$9&lt;&gt;1,$C1397&gt;0,$D1397&gt;0,$E1397&gt;0,$F1397&gt;0,$G1397&gt;0,$F1397&lt;=$A1397,$G1397&lt;=$A1397,$A1397-$F1397&lt;=10,$A1397-$G1397&lt;=5),$D1397*$E1397/$C1397-1,NA()),NA())</ns0:f>
        <ns0:v/>
      </ns0:c>
      <ns0:c r="C1397">
        <ns0:f>IFERROR(IF(ISNUMBER($A1397),IF(AND(AH!$P$10=1,AH!$P$12=1,$A1397=TODAY()),AH!$P$19,IF(AH!$P$10=1,INDEX('Live History'!$B$5:$B$3004,AH!$P$13+1392),INDEX('AH History'!$B$1:$B$18046,AH!$P$7+1392))),NA()),NA())</ns0:f>
        <ns0:v/>
      </ns0:c>
      <ns0:c r="D1397">
        <ns0:f>IFERROR(IF(ISNUMBER($A1397),IF(AND(AH!$P$10=1,AH!$P$12=1,$A1397=TODAY()),AH!$P$18,IF(AH!$P$10=1,INDEX('Live History'!$E$5:$E$3004,MATCH($A1397,'Live History'!$D$5:$D$3004,1)),INDEX('AH History'!$C$1:$C$18046,AH!$P$7+1392))),NA()),NA())</ns0:f>
        <ns0:v/>
      </ns0:c>
      <ns0:c r="E1397">
        <ns0:f>IFERROR(IF(ISNUMBER($A1397),IF(AND(AH!$P$10=1,AH!$P$12=1,$A1397=TODAY()),AH!$P$20,IF(AH!$P$10=1,INDEX('Live History'!$H$5:$H$3004,MATCH($A1397,'Live History'!$G$5:$G$3004,1)),INDEX('AH History'!$D$1:$D$18046,AH!$P$7+1392))),NA()),NA())</ns0:f>
        <ns0:v/>
      </ns0:c>
      <ns0:c r="F1397">
        <ns0:f>IFERROR(IF(ISNUMBER($A1397),IF(AND(AH!$P$10=1,AH!$P$12=1,$A1397=TODAY()),IF(AND(AH!$P$10=1,AH!$P$12=1,$A1397=TODAY()),TODAY(),NA()),IF(AH!$P$10=1,INDEX('Live History'!$D$5:$D$3004,MATCH($A1397,'Live History'!$D$5:$D$3004,1)),INDEX('AH History'!$E$1:$E$18046,AH!$P$7+1392))),NA()),NA())</ns0:f>
        <ns0:v/>
      </ns0:c>
      <ns0:c r="G1397">
        <ns0:f>IFERROR(IF(ISNUMBER($A1397),IF(AND(AH!$P$10=1,AH!$P$12=1,$A1397=TODAY()),IF(AND(AH!$P$10=1,AH!$P$12=1,$A1397=TODAY()),TODAY(),NA()),IF(AH!$P$10=1,INDEX('Live History'!$G$5:$G$3004,MATCH($A1397,'Live History'!$G$5:$G$3004,1)),INDEX('AH History'!$F$1:$F$18046,AH!$P$7+1392))),NA()),NA())</ns0:f>
        <ns0:v/>
      </ns0:c>
      <ns0:c r="H1397">
        <ns0:f>IFERROR(IF(AND(AH!$E$4="Bloomberg",AH!$P$10=1,ISNUMBER($A1397),$A1397&lt;=AH!$P$17),AH!$P$7-1+MATCH($A1397,INDEX('AH History'!$A$1:$A$18046,AH!$P$7):INDEX('AH History'!$A$1:$A$18046,AH!$P$7+AH!$P$8-1),0),0),0)</ns0:f>
        <ns0:v/>
      </ns0:c>
      <ns0:c r="I1397">
        <ns0:f>IF($H1397=0,0,IFERROR(IF(AND(ABS($C1397-INDEX('AH History'!$B$1:$B$18046,$H1397))&lt;=MAX(0.005,ABS(INDEX('AH History'!$B$1:$B$18046,$H1397))*0.00005),ABS($D1397-INDEX('AH History'!$C$1:$C$18046,$H1397))&lt;=MAX(0.005,ABS(INDEX('AH History'!$C$1:$C$18046,$H1397))*0.00005),ABS($E1397-INDEX('AH History'!$D$1:$D$18046,$H1397))&lt;=0.00005,$F1397=INDEX('AH History'!$E$1:$E$18046,$H1397),$G1397=INDEX('AH History'!$F$1:$F$18046,$H1397)),1,-1),-1))</ns0:f>
        <ns0:v/>
      </ns0:c>
    </ns0:row>
    <ns0:row r="1398">
      <ns0:c r="A1398" s="215">
        <ns0:f>IF(OR(AH!$P$3=0,1393+1&gt;AH!$P$11,AND(AH!$E$4&lt;&gt;"Stored",AH!$P$10&lt;&gt;1)),"",IFERROR(IF(AND(AH!$P$21=1,1393+1=AH!$P$11),TODAY(),IF(AH!$P$10=1,INDEX('Live History'!$A$5:$A$3004,AH!$P$13+1393),INDEX('AH History'!$A$1:$A$18046,AH!$P$7+1393))),""))</ns0:f>
        <ns0:v/>
      </ns0:c>
      <ns0:c r="B1398" s="219">
        <ns0:f>IFERROR(IF(AND(AH!$P$9&lt;&gt;1,$C1398&gt;0,$D1398&gt;0,$E1398&gt;0,$F1398&gt;0,$G1398&gt;0,$F1398&lt;=$A1398,$G1398&lt;=$A1398,$A1398-$F1398&lt;=10,$A1398-$G1398&lt;=5),$D1398*$E1398/$C1398-1,NA()),NA())</ns0:f>
        <ns0:v/>
      </ns0:c>
      <ns0:c r="C1398">
        <ns0:f>IFERROR(IF(ISNUMBER($A1398),IF(AND(AH!$P$10=1,AH!$P$12=1,$A1398=TODAY()),AH!$P$19,IF(AH!$P$10=1,INDEX('Live History'!$B$5:$B$3004,AH!$P$13+1393),INDEX('AH History'!$B$1:$B$18046,AH!$P$7+1393))),NA()),NA())</ns0:f>
        <ns0:v/>
      </ns0:c>
      <ns0:c r="D1398">
        <ns0:f>IFERROR(IF(ISNUMBER($A1398),IF(AND(AH!$P$10=1,AH!$P$12=1,$A1398=TODAY()),AH!$P$18,IF(AH!$P$10=1,INDEX('Live History'!$E$5:$E$3004,MATCH($A1398,'Live History'!$D$5:$D$3004,1)),INDEX('AH History'!$C$1:$C$18046,AH!$P$7+1393))),NA()),NA())</ns0:f>
        <ns0:v/>
      </ns0:c>
      <ns0:c r="E1398">
        <ns0:f>IFERROR(IF(ISNUMBER($A1398),IF(AND(AH!$P$10=1,AH!$P$12=1,$A1398=TODAY()),AH!$P$20,IF(AH!$P$10=1,INDEX('Live History'!$H$5:$H$3004,MATCH($A1398,'Live History'!$G$5:$G$3004,1)),INDEX('AH History'!$D$1:$D$18046,AH!$P$7+1393))),NA()),NA())</ns0:f>
        <ns0:v/>
      </ns0:c>
      <ns0:c r="F1398">
        <ns0:f>IFERROR(IF(ISNUMBER($A1398),IF(AND(AH!$P$10=1,AH!$P$12=1,$A1398=TODAY()),IF(AND(AH!$P$10=1,AH!$P$12=1,$A1398=TODAY()),TODAY(),NA()),IF(AH!$P$10=1,INDEX('Live History'!$D$5:$D$3004,MATCH($A1398,'Live History'!$D$5:$D$3004,1)),INDEX('AH History'!$E$1:$E$18046,AH!$P$7+1393))),NA()),NA())</ns0:f>
        <ns0:v/>
      </ns0:c>
      <ns0:c r="G1398">
        <ns0:f>IFERROR(IF(ISNUMBER($A1398),IF(AND(AH!$P$10=1,AH!$P$12=1,$A1398=TODAY()),IF(AND(AH!$P$10=1,AH!$P$12=1,$A1398=TODAY()),TODAY(),NA()),IF(AH!$P$10=1,INDEX('Live History'!$G$5:$G$3004,MATCH($A1398,'Live History'!$G$5:$G$3004,1)),INDEX('AH History'!$F$1:$F$18046,AH!$P$7+1393))),NA()),NA())</ns0:f>
        <ns0:v/>
      </ns0:c>
      <ns0:c r="H1398">
        <ns0:f>IFERROR(IF(AND(AH!$E$4="Bloomberg",AH!$P$10=1,ISNUMBER($A1398),$A1398&lt;=AH!$P$17),AH!$P$7-1+MATCH($A1398,INDEX('AH History'!$A$1:$A$18046,AH!$P$7):INDEX('AH History'!$A$1:$A$18046,AH!$P$7+AH!$P$8-1),0),0),0)</ns0:f>
        <ns0:v/>
      </ns0:c>
      <ns0:c r="I1398">
        <ns0:f>IF($H1398=0,0,IFERROR(IF(AND(ABS($C1398-INDEX('AH History'!$B$1:$B$18046,$H1398))&lt;=MAX(0.005,ABS(INDEX('AH History'!$B$1:$B$18046,$H1398))*0.00005),ABS($D1398-INDEX('AH History'!$C$1:$C$18046,$H1398))&lt;=MAX(0.005,ABS(INDEX('AH History'!$C$1:$C$18046,$H1398))*0.00005),ABS($E1398-INDEX('AH History'!$D$1:$D$18046,$H1398))&lt;=0.00005,$F1398=INDEX('AH History'!$E$1:$E$18046,$H1398),$G1398=INDEX('AH History'!$F$1:$F$18046,$H1398)),1,-1),-1))</ns0:f>
        <ns0:v/>
      </ns0:c>
    </ns0:row>
    <ns0:row r="1399">
      <ns0:c r="A1399" s="215">
        <ns0:f>IF(OR(AH!$P$3=0,1394+1&gt;AH!$P$11,AND(AH!$E$4&lt;&gt;"Stored",AH!$P$10&lt;&gt;1)),"",IFERROR(IF(AND(AH!$P$21=1,1394+1=AH!$P$11),TODAY(),IF(AH!$P$10=1,INDEX('Live History'!$A$5:$A$3004,AH!$P$13+1394),INDEX('AH History'!$A$1:$A$18046,AH!$P$7+1394))),""))</ns0:f>
        <ns0:v/>
      </ns0:c>
      <ns0:c r="B1399" s="219">
        <ns0:f>IFERROR(IF(AND(AH!$P$9&lt;&gt;1,$C1399&gt;0,$D1399&gt;0,$E1399&gt;0,$F1399&gt;0,$G1399&gt;0,$F1399&lt;=$A1399,$G1399&lt;=$A1399,$A1399-$F1399&lt;=10,$A1399-$G1399&lt;=5),$D1399*$E1399/$C1399-1,NA()),NA())</ns0:f>
        <ns0:v/>
      </ns0:c>
      <ns0:c r="C1399">
        <ns0:f>IFERROR(IF(ISNUMBER($A1399),IF(AND(AH!$P$10=1,AH!$P$12=1,$A1399=TODAY()),AH!$P$19,IF(AH!$P$10=1,INDEX('Live History'!$B$5:$B$3004,AH!$P$13+1394),INDEX('AH History'!$B$1:$B$18046,AH!$P$7+1394))),NA()),NA())</ns0:f>
        <ns0:v/>
      </ns0:c>
      <ns0:c r="D1399">
        <ns0:f>IFERROR(IF(ISNUMBER($A1399),IF(AND(AH!$P$10=1,AH!$P$12=1,$A1399=TODAY()),AH!$P$18,IF(AH!$P$10=1,INDEX('Live History'!$E$5:$E$3004,MATCH($A1399,'Live History'!$D$5:$D$3004,1)),INDEX('AH History'!$C$1:$C$18046,AH!$P$7+1394))),NA()),NA())</ns0:f>
        <ns0:v/>
      </ns0:c>
      <ns0:c r="E1399">
        <ns0:f>IFERROR(IF(ISNUMBER($A1399),IF(AND(AH!$P$10=1,AH!$P$12=1,$A1399=TODAY()),AH!$P$20,IF(AH!$P$10=1,INDEX('Live History'!$H$5:$H$3004,MATCH($A1399,'Live History'!$G$5:$G$3004,1)),INDEX('AH History'!$D$1:$D$18046,AH!$P$7+1394))),NA()),NA())</ns0:f>
        <ns0:v/>
      </ns0:c>
      <ns0:c r="F1399">
        <ns0:f>IFERROR(IF(ISNUMBER($A1399),IF(AND(AH!$P$10=1,AH!$P$12=1,$A1399=TODAY()),IF(AND(AH!$P$10=1,AH!$P$12=1,$A1399=TODAY()),TODAY(),NA()),IF(AH!$P$10=1,INDEX('Live History'!$D$5:$D$3004,MATCH($A1399,'Live History'!$D$5:$D$3004,1)),INDEX('AH History'!$E$1:$E$18046,AH!$P$7+1394))),NA()),NA())</ns0:f>
        <ns0:v/>
      </ns0:c>
      <ns0:c r="G1399">
        <ns0:f>IFERROR(IF(ISNUMBER($A1399),IF(AND(AH!$P$10=1,AH!$P$12=1,$A1399=TODAY()),IF(AND(AH!$P$10=1,AH!$P$12=1,$A1399=TODAY()),TODAY(),NA()),IF(AH!$P$10=1,INDEX('Live History'!$G$5:$G$3004,MATCH($A1399,'Live History'!$G$5:$G$3004,1)),INDEX('AH History'!$F$1:$F$18046,AH!$P$7+1394))),NA()),NA())</ns0:f>
        <ns0:v/>
      </ns0:c>
      <ns0:c r="H1399">
        <ns0:f>IFERROR(IF(AND(AH!$E$4="Bloomberg",AH!$P$10=1,ISNUMBER($A1399),$A1399&lt;=AH!$P$17),AH!$P$7-1+MATCH($A1399,INDEX('AH History'!$A$1:$A$18046,AH!$P$7):INDEX('AH History'!$A$1:$A$18046,AH!$P$7+AH!$P$8-1),0),0),0)</ns0:f>
        <ns0:v/>
      </ns0:c>
      <ns0:c r="I1399">
        <ns0:f>IF($H1399=0,0,IFERROR(IF(AND(ABS($C1399-INDEX('AH History'!$B$1:$B$18046,$H1399))&lt;=MAX(0.005,ABS(INDEX('AH History'!$B$1:$B$18046,$H1399))*0.00005),ABS($D1399-INDEX('AH History'!$C$1:$C$18046,$H1399))&lt;=MAX(0.005,ABS(INDEX('AH History'!$C$1:$C$18046,$H1399))*0.00005),ABS($E1399-INDEX('AH History'!$D$1:$D$18046,$H1399))&lt;=0.00005,$F1399=INDEX('AH History'!$E$1:$E$18046,$H1399),$G1399=INDEX('AH History'!$F$1:$F$18046,$H1399)),1,-1),-1))</ns0:f>
        <ns0:v/>
      </ns0:c>
    </ns0:row>
    <ns0:row r="1400">
      <ns0:c r="A1400" s="215">
        <ns0:f>IF(OR(AH!$P$3=0,1395+1&gt;AH!$P$11,AND(AH!$E$4&lt;&gt;"Stored",AH!$P$10&lt;&gt;1)),"",IFERROR(IF(AND(AH!$P$21=1,1395+1=AH!$P$11),TODAY(),IF(AH!$P$10=1,INDEX('Live History'!$A$5:$A$3004,AH!$P$13+1395),INDEX('AH History'!$A$1:$A$18046,AH!$P$7+1395))),""))</ns0:f>
        <ns0:v/>
      </ns0:c>
      <ns0:c r="B1400" s="219">
        <ns0:f>IFERROR(IF(AND(AH!$P$9&lt;&gt;1,$C1400&gt;0,$D1400&gt;0,$E1400&gt;0,$F1400&gt;0,$G1400&gt;0,$F1400&lt;=$A1400,$G1400&lt;=$A1400,$A1400-$F1400&lt;=10,$A1400-$G1400&lt;=5),$D1400*$E1400/$C1400-1,NA()),NA())</ns0:f>
        <ns0:v/>
      </ns0:c>
      <ns0:c r="C1400">
        <ns0:f>IFERROR(IF(ISNUMBER($A1400),IF(AND(AH!$P$10=1,AH!$P$12=1,$A1400=TODAY()),AH!$P$19,IF(AH!$P$10=1,INDEX('Live History'!$B$5:$B$3004,AH!$P$13+1395),INDEX('AH History'!$B$1:$B$18046,AH!$P$7+1395))),NA()),NA())</ns0:f>
        <ns0:v/>
      </ns0:c>
      <ns0:c r="D1400">
        <ns0:f>IFERROR(IF(ISNUMBER($A1400),IF(AND(AH!$P$10=1,AH!$P$12=1,$A1400=TODAY()),AH!$P$18,IF(AH!$P$10=1,INDEX('Live History'!$E$5:$E$3004,MATCH($A1400,'Live History'!$D$5:$D$3004,1)),INDEX('AH History'!$C$1:$C$18046,AH!$P$7+1395))),NA()),NA())</ns0:f>
        <ns0:v/>
      </ns0:c>
      <ns0:c r="E1400">
        <ns0:f>IFERROR(IF(ISNUMBER($A1400),IF(AND(AH!$P$10=1,AH!$P$12=1,$A1400=TODAY()),AH!$P$20,IF(AH!$P$10=1,INDEX('Live History'!$H$5:$H$3004,MATCH($A1400,'Live History'!$G$5:$G$3004,1)),INDEX('AH History'!$D$1:$D$18046,AH!$P$7+1395))),NA()),NA())</ns0:f>
        <ns0:v/>
      </ns0:c>
      <ns0:c r="F1400">
        <ns0:f>IFERROR(IF(ISNUMBER($A1400),IF(AND(AH!$P$10=1,AH!$P$12=1,$A1400=TODAY()),IF(AND(AH!$P$10=1,AH!$P$12=1,$A1400=TODAY()),TODAY(),NA()),IF(AH!$P$10=1,INDEX('Live History'!$D$5:$D$3004,MATCH($A1400,'Live History'!$D$5:$D$3004,1)),INDEX('AH History'!$E$1:$E$18046,AH!$P$7+1395))),NA()),NA())</ns0:f>
        <ns0:v/>
      </ns0:c>
      <ns0:c r="G1400">
        <ns0:f>IFERROR(IF(ISNUMBER($A1400),IF(AND(AH!$P$10=1,AH!$P$12=1,$A1400=TODAY()),IF(AND(AH!$P$10=1,AH!$P$12=1,$A1400=TODAY()),TODAY(),NA()),IF(AH!$P$10=1,INDEX('Live History'!$G$5:$G$3004,MATCH($A1400,'Live History'!$G$5:$G$3004,1)),INDEX('AH History'!$F$1:$F$18046,AH!$P$7+1395))),NA()),NA())</ns0:f>
        <ns0:v/>
      </ns0:c>
      <ns0:c r="H1400">
        <ns0:f>IFERROR(IF(AND(AH!$E$4="Bloomberg",AH!$P$10=1,ISNUMBER($A1400),$A1400&lt;=AH!$P$17),AH!$P$7-1+MATCH($A1400,INDEX('AH History'!$A$1:$A$18046,AH!$P$7):INDEX('AH History'!$A$1:$A$18046,AH!$P$7+AH!$P$8-1),0),0),0)</ns0:f>
        <ns0:v/>
      </ns0:c>
      <ns0:c r="I1400">
        <ns0:f>IF($H1400=0,0,IFERROR(IF(AND(ABS($C1400-INDEX('AH History'!$B$1:$B$18046,$H1400))&lt;=MAX(0.005,ABS(INDEX('AH History'!$B$1:$B$18046,$H1400))*0.00005),ABS($D1400-INDEX('AH History'!$C$1:$C$18046,$H1400))&lt;=MAX(0.005,ABS(INDEX('AH History'!$C$1:$C$18046,$H1400))*0.00005),ABS($E1400-INDEX('AH History'!$D$1:$D$18046,$H1400))&lt;=0.00005,$F1400=INDEX('AH History'!$E$1:$E$18046,$H1400),$G1400=INDEX('AH History'!$F$1:$F$18046,$H1400)),1,-1),-1))</ns0:f>
        <ns0:v/>
      </ns0:c>
    </ns0:row>
    <ns0:row r="1401">
      <ns0:c r="A1401" s="215">
        <ns0:f>IF(OR(AH!$P$3=0,1396+1&gt;AH!$P$11,AND(AH!$E$4&lt;&gt;"Stored",AH!$P$10&lt;&gt;1)),"",IFERROR(IF(AND(AH!$P$21=1,1396+1=AH!$P$11),TODAY(),IF(AH!$P$10=1,INDEX('Live History'!$A$5:$A$3004,AH!$P$13+1396),INDEX('AH History'!$A$1:$A$18046,AH!$P$7+1396))),""))</ns0:f>
        <ns0:v/>
      </ns0:c>
      <ns0:c r="B1401" s="219">
        <ns0:f>IFERROR(IF(AND(AH!$P$9&lt;&gt;1,$C1401&gt;0,$D1401&gt;0,$E1401&gt;0,$F1401&gt;0,$G1401&gt;0,$F1401&lt;=$A1401,$G1401&lt;=$A1401,$A1401-$F1401&lt;=10,$A1401-$G1401&lt;=5),$D1401*$E1401/$C1401-1,NA()),NA())</ns0:f>
        <ns0:v/>
      </ns0:c>
      <ns0:c r="C1401">
        <ns0:f>IFERROR(IF(ISNUMBER($A1401),IF(AND(AH!$P$10=1,AH!$P$12=1,$A1401=TODAY()),AH!$P$19,IF(AH!$P$10=1,INDEX('Live History'!$B$5:$B$3004,AH!$P$13+1396),INDEX('AH History'!$B$1:$B$18046,AH!$P$7+1396))),NA()),NA())</ns0:f>
        <ns0:v/>
      </ns0:c>
      <ns0:c r="D1401">
        <ns0:f>IFERROR(IF(ISNUMBER($A1401),IF(AND(AH!$P$10=1,AH!$P$12=1,$A1401=TODAY()),AH!$P$18,IF(AH!$P$10=1,INDEX('Live History'!$E$5:$E$3004,MATCH($A1401,'Live History'!$D$5:$D$3004,1)),INDEX('AH History'!$C$1:$C$18046,AH!$P$7+1396))),NA()),NA())</ns0:f>
        <ns0:v/>
      </ns0:c>
      <ns0:c r="E1401">
        <ns0:f>IFERROR(IF(ISNUMBER($A1401),IF(AND(AH!$P$10=1,AH!$P$12=1,$A1401=TODAY()),AH!$P$20,IF(AH!$P$10=1,INDEX('Live History'!$H$5:$H$3004,MATCH($A1401,'Live History'!$G$5:$G$3004,1)),INDEX('AH History'!$D$1:$D$18046,AH!$P$7+1396))),NA()),NA())</ns0:f>
        <ns0:v/>
      </ns0:c>
      <ns0:c r="F1401">
        <ns0:f>IFERROR(IF(ISNUMBER($A1401),IF(AND(AH!$P$10=1,AH!$P$12=1,$A1401=TODAY()),IF(AND(AH!$P$10=1,AH!$P$12=1,$A1401=TODAY()),TODAY(),NA()),IF(AH!$P$10=1,INDEX('Live History'!$D$5:$D$3004,MATCH($A1401,'Live History'!$D$5:$D$3004,1)),INDEX('AH History'!$E$1:$E$18046,AH!$P$7+1396))),NA()),NA())</ns0:f>
        <ns0:v/>
      </ns0:c>
      <ns0:c r="G1401">
        <ns0:f>IFERROR(IF(ISNUMBER($A1401),IF(AND(AH!$P$10=1,AH!$P$12=1,$A1401=TODAY()),IF(AND(AH!$P$10=1,AH!$P$12=1,$A1401=TODAY()),TODAY(),NA()),IF(AH!$P$10=1,INDEX('Live History'!$G$5:$G$3004,MATCH($A1401,'Live History'!$G$5:$G$3004,1)),INDEX('AH History'!$F$1:$F$18046,AH!$P$7+1396))),NA()),NA())</ns0:f>
        <ns0:v/>
      </ns0:c>
      <ns0:c r="H1401">
        <ns0:f>IFERROR(IF(AND(AH!$E$4="Bloomberg",AH!$P$10=1,ISNUMBER($A1401),$A1401&lt;=AH!$P$17),AH!$P$7-1+MATCH($A1401,INDEX('AH History'!$A$1:$A$18046,AH!$P$7):INDEX('AH History'!$A$1:$A$18046,AH!$P$7+AH!$P$8-1),0),0),0)</ns0:f>
        <ns0:v/>
      </ns0:c>
      <ns0:c r="I1401">
        <ns0:f>IF($H1401=0,0,IFERROR(IF(AND(ABS($C1401-INDEX('AH History'!$B$1:$B$18046,$H1401))&lt;=MAX(0.005,ABS(INDEX('AH History'!$B$1:$B$18046,$H1401))*0.00005),ABS($D1401-INDEX('AH History'!$C$1:$C$18046,$H1401))&lt;=MAX(0.005,ABS(INDEX('AH History'!$C$1:$C$18046,$H1401))*0.00005),ABS($E1401-INDEX('AH History'!$D$1:$D$18046,$H1401))&lt;=0.00005,$F1401=INDEX('AH History'!$E$1:$E$18046,$H1401),$G1401=INDEX('AH History'!$F$1:$F$18046,$H1401)),1,-1),-1))</ns0:f>
        <ns0:v/>
      </ns0:c>
    </ns0:row>
    <ns0:row r="1402">
      <ns0:c r="A1402" s="215">
        <ns0:f>IF(OR(AH!$P$3=0,1397+1&gt;AH!$P$11,AND(AH!$E$4&lt;&gt;"Stored",AH!$P$10&lt;&gt;1)),"",IFERROR(IF(AND(AH!$P$21=1,1397+1=AH!$P$11),TODAY(),IF(AH!$P$10=1,INDEX('Live History'!$A$5:$A$3004,AH!$P$13+1397),INDEX('AH History'!$A$1:$A$18046,AH!$P$7+1397))),""))</ns0:f>
        <ns0:v/>
      </ns0:c>
      <ns0:c r="B1402" s="219">
        <ns0:f>IFERROR(IF(AND(AH!$P$9&lt;&gt;1,$C1402&gt;0,$D1402&gt;0,$E1402&gt;0,$F1402&gt;0,$G1402&gt;0,$F1402&lt;=$A1402,$G1402&lt;=$A1402,$A1402-$F1402&lt;=10,$A1402-$G1402&lt;=5),$D1402*$E1402/$C1402-1,NA()),NA())</ns0:f>
        <ns0:v/>
      </ns0:c>
      <ns0:c r="C1402">
        <ns0:f>IFERROR(IF(ISNUMBER($A1402),IF(AND(AH!$P$10=1,AH!$P$12=1,$A1402=TODAY()),AH!$P$19,IF(AH!$P$10=1,INDEX('Live History'!$B$5:$B$3004,AH!$P$13+1397),INDEX('AH History'!$B$1:$B$18046,AH!$P$7+1397))),NA()),NA())</ns0:f>
        <ns0:v/>
      </ns0:c>
      <ns0:c r="D1402">
        <ns0:f>IFERROR(IF(ISNUMBER($A1402),IF(AND(AH!$P$10=1,AH!$P$12=1,$A1402=TODAY()),AH!$P$18,IF(AH!$P$10=1,INDEX('Live History'!$E$5:$E$3004,MATCH($A1402,'Live History'!$D$5:$D$3004,1)),INDEX('AH History'!$C$1:$C$18046,AH!$P$7+1397))),NA()),NA())</ns0:f>
        <ns0:v/>
      </ns0:c>
      <ns0:c r="E1402">
        <ns0:f>IFERROR(IF(ISNUMBER($A1402),IF(AND(AH!$P$10=1,AH!$P$12=1,$A1402=TODAY()),AH!$P$20,IF(AH!$P$10=1,INDEX('Live History'!$H$5:$H$3004,MATCH($A1402,'Live History'!$G$5:$G$3004,1)),INDEX('AH History'!$D$1:$D$18046,AH!$P$7+1397))),NA()),NA())</ns0:f>
        <ns0:v/>
      </ns0:c>
      <ns0:c r="F1402">
        <ns0:f>IFERROR(IF(ISNUMBER($A1402),IF(AND(AH!$P$10=1,AH!$P$12=1,$A1402=TODAY()),IF(AND(AH!$P$10=1,AH!$P$12=1,$A1402=TODAY()),TODAY(),NA()),IF(AH!$P$10=1,INDEX('Live History'!$D$5:$D$3004,MATCH($A1402,'Live History'!$D$5:$D$3004,1)),INDEX('AH History'!$E$1:$E$18046,AH!$P$7+1397))),NA()),NA())</ns0:f>
        <ns0:v/>
      </ns0:c>
      <ns0:c r="G1402">
        <ns0:f>IFERROR(IF(ISNUMBER($A1402),IF(AND(AH!$P$10=1,AH!$P$12=1,$A1402=TODAY()),IF(AND(AH!$P$10=1,AH!$P$12=1,$A1402=TODAY()),TODAY(),NA()),IF(AH!$P$10=1,INDEX('Live History'!$G$5:$G$3004,MATCH($A1402,'Live History'!$G$5:$G$3004,1)),INDEX('AH History'!$F$1:$F$18046,AH!$P$7+1397))),NA()),NA())</ns0:f>
        <ns0:v/>
      </ns0:c>
      <ns0:c r="H1402">
        <ns0:f>IFERROR(IF(AND(AH!$E$4="Bloomberg",AH!$P$10=1,ISNUMBER($A1402),$A1402&lt;=AH!$P$17),AH!$P$7-1+MATCH($A1402,INDEX('AH History'!$A$1:$A$18046,AH!$P$7):INDEX('AH History'!$A$1:$A$18046,AH!$P$7+AH!$P$8-1),0),0),0)</ns0:f>
        <ns0:v/>
      </ns0:c>
      <ns0:c r="I1402">
        <ns0:f>IF($H1402=0,0,IFERROR(IF(AND(ABS($C1402-INDEX('AH History'!$B$1:$B$18046,$H1402))&lt;=MAX(0.005,ABS(INDEX('AH History'!$B$1:$B$18046,$H1402))*0.00005),ABS($D1402-INDEX('AH History'!$C$1:$C$18046,$H1402))&lt;=MAX(0.005,ABS(INDEX('AH History'!$C$1:$C$18046,$H1402))*0.00005),ABS($E1402-INDEX('AH History'!$D$1:$D$18046,$H1402))&lt;=0.00005,$F1402=INDEX('AH History'!$E$1:$E$18046,$H1402),$G1402=INDEX('AH History'!$F$1:$F$18046,$H1402)),1,-1),-1))</ns0:f>
        <ns0:v/>
      </ns0:c>
    </ns0:row>
    <ns0:row r="1403">
      <ns0:c r="A1403" s="215">
        <ns0:f>IF(OR(AH!$P$3=0,1398+1&gt;AH!$P$11,AND(AH!$E$4&lt;&gt;"Stored",AH!$P$10&lt;&gt;1)),"",IFERROR(IF(AND(AH!$P$21=1,1398+1=AH!$P$11),TODAY(),IF(AH!$P$10=1,INDEX('Live History'!$A$5:$A$3004,AH!$P$13+1398),INDEX('AH History'!$A$1:$A$18046,AH!$P$7+1398))),""))</ns0:f>
        <ns0:v/>
      </ns0:c>
      <ns0:c r="B1403" s="219">
        <ns0:f>IFERROR(IF(AND(AH!$P$9&lt;&gt;1,$C1403&gt;0,$D1403&gt;0,$E1403&gt;0,$F1403&gt;0,$G1403&gt;0,$F1403&lt;=$A1403,$G1403&lt;=$A1403,$A1403-$F1403&lt;=10,$A1403-$G1403&lt;=5),$D1403*$E1403/$C1403-1,NA()),NA())</ns0:f>
        <ns0:v/>
      </ns0:c>
      <ns0:c r="C1403">
        <ns0:f>IFERROR(IF(ISNUMBER($A1403),IF(AND(AH!$P$10=1,AH!$P$12=1,$A1403=TODAY()),AH!$P$19,IF(AH!$P$10=1,INDEX('Live History'!$B$5:$B$3004,AH!$P$13+1398),INDEX('AH History'!$B$1:$B$18046,AH!$P$7+1398))),NA()),NA())</ns0:f>
        <ns0:v/>
      </ns0:c>
      <ns0:c r="D1403">
        <ns0:f>IFERROR(IF(ISNUMBER($A1403),IF(AND(AH!$P$10=1,AH!$P$12=1,$A1403=TODAY()),AH!$P$18,IF(AH!$P$10=1,INDEX('Live History'!$E$5:$E$3004,MATCH($A1403,'Live History'!$D$5:$D$3004,1)),INDEX('AH History'!$C$1:$C$18046,AH!$P$7+1398))),NA()),NA())</ns0:f>
        <ns0:v/>
      </ns0:c>
      <ns0:c r="E1403">
        <ns0:f>IFERROR(IF(ISNUMBER($A1403),IF(AND(AH!$P$10=1,AH!$P$12=1,$A1403=TODAY()),AH!$P$20,IF(AH!$P$10=1,INDEX('Live History'!$H$5:$H$3004,MATCH($A1403,'Live History'!$G$5:$G$3004,1)),INDEX('AH History'!$D$1:$D$18046,AH!$P$7+1398))),NA()),NA())</ns0:f>
        <ns0:v/>
      </ns0:c>
      <ns0:c r="F1403">
        <ns0:f>IFERROR(IF(ISNUMBER($A1403),IF(AND(AH!$P$10=1,AH!$P$12=1,$A1403=TODAY()),IF(AND(AH!$P$10=1,AH!$P$12=1,$A1403=TODAY()),TODAY(),NA()),IF(AH!$P$10=1,INDEX('Live History'!$D$5:$D$3004,MATCH($A1403,'Live History'!$D$5:$D$3004,1)),INDEX('AH History'!$E$1:$E$18046,AH!$P$7+1398))),NA()),NA())</ns0:f>
        <ns0:v/>
      </ns0:c>
      <ns0:c r="G1403">
        <ns0:f>IFERROR(IF(ISNUMBER($A1403),IF(AND(AH!$P$10=1,AH!$P$12=1,$A1403=TODAY()),IF(AND(AH!$P$10=1,AH!$P$12=1,$A1403=TODAY()),TODAY(),NA()),IF(AH!$P$10=1,INDEX('Live History'!$G$5:$G$3004,MATCH($A1403,'Live History'!$G$5:$G$3004,1)),INDEX('AH History'!$F$1:$F$18046,AH!$P$7+1398))),NA()),NA())</ns0:f>
        <ns0:v/>
      </ns0:c>
      <ns0:c r="H1403">
        <ns0:f>IFERROR(IF(AND(AH!$E$4="Bloomberg",AH!$P$10=1,ISNUMBER($A1403),$A1403&lt;=AH!$P$17),AH!$P$7-1+MATCH($A1403,INDEX('AH History'!$A$1:$A$18046,AH!$P$7):INDEX('AH History'!$A$1:$A$18046,AH!$P$7+AH!$P$8-1),0),0),0)</ns0:f>
        <ns0:v/>
      </ns0:c>
      <ns0:c r="I1403">
        <ns0:f>IF($H1403=0,0,IFERROR(IF(AND(ABS($C1403-INDEX('AH History'!$B$1:$B$18046,$H1403))&lt;=MAX(0.005,ABS(INDEX('AH History'!$B$1:$B$18046,$H1403))*0.00005),ABS($D1403-INDEX('AH History'!$C$1:$C$18046,$H1403))&lt;=MAX(0.005,ABS(INDEX('AH History'!$C$1:$C$18046,$H1403))*0.00005),ABS($E1403-INDEX('AH History'!$D$1:$D$18046,$H1403))&lt;=0.00005,$F1403=INDEX('AH History'!$E$1:$E$18046,$H1403),$G1403=INDEX('AH History'!$F$1:$F$18046,$H1403)),1,-1),-1))</ns0:f>
        <ns0:v/>
      </ns0:c>
    </ns0:row>
    <ns0:row r="1404">
      <ns0:c r="A1404" s="215">
        <ns0:f>IF(OR(AH!$P$3=0,1399+1&gt;AH!$P$11,AND(AH!$E$4&lt;&gt;"Stored",AH!$P$10&lt;&gt;1)),"",IFERROR(IF(AND(AH!$P$21=1,1399+1=AH!$P$11),TODAY(),IF(AH!$P$10=1,INDEX('Live History'!$A$5:$A$3004,AH!$P$13+1399),INDEX('AH History'!$A$1:$A$18046,AH!$P$7+1399))),""))</ns0:f>
        <ns0:v/>
      </ns0:c>
      <ns0:c r="B1404" s="219">
        <ns0:f>IFERROR(IF(AND(AH!$P$9&lt;&gt;1,$C1404&gt;0,$D1404&gt;0,$E1404&gt;0,$F1404&gt;0,$G1404&gt;0,$F1404&lt;=$A1404,$G1404&lt;=$A1404,$A1404-$F1404&lt;=10,$A1404-$G1404&lt;=5),$D1404*$E1404/$C1404-1,NA()),NA())</ns0:f>
        <ns0:v/>
      </ns0:c>
      <ns0:c r="C1404">
        <ns0:f>IFERROR(IF(ISNUMBER($A1404),IF(AND(AH!$P$10=1,AH!$P$12=1,$A1404=TODAY()),AH!$P$19,IF(AH!$P$10=1,INDEX('Live History'!$B$5:$B$3004,AH!$P$13+1399),INDEX('AH History'!$B$1:$B$18046,AH!$P$7+1399))),NA()),NA())</ns0:f>
        <ns0:v/>
      </ns0:c>
      <ns0:c r="D1404">
        <ns0:f>IFERROR(IF(ISNUMBER($A1404),IF(AND(AH!$P$10=1,AH!$P$12=1,$A1404=TODAY()),AH!$P$18,IF(AH!$P$10=1,INDEX('Live History'!$E$5:$E$3004,MATCH($A1404,'Live History'!$D$5:$D$3004,1)),INDEX('AH History'!$C$1:$C$18046,AH!$P$7+1399))),NA()),NA())</ns0:f>
        <ns0:v/>
      </ns0:c>
      <ns0:c r="E1404">
        <ns0:f>IFERROR(IF(ISNUMBER($A1404),IF(AND(AH!$P$10=1,AH!$P$12=1,$A1404=TODAY()),AH!$P$20,IF(AH!$P$10=1,INDEX('Live History'!$H$5:$H$3004,MATCH($A1404,'Live History'!$G$5:$G$3004,1)),INDEX('AH History'!$D$1:$D$18046,AH!$P$7+1399))),NA()),NA())</ns0:f>
        <ns0:v/>
      </ns0:c>
      <ns0:c r="F1404">
        <ns0:f>IFERROR(IF(ISNUMBER($A1404),IF(AND(AH!$P$10=1,AH!$P$12=1,$A1404=TODAY()),IF(AND(AH!$P$10=1,AH!$P$12=1,$A1404=TODAY()),TODAY(),NA()),IF(AH!$P$10=1,INDEX('Live History'!$D$5:$D$3004,MATCH($A1404,'Live History'!$D$5:$D$3004,1)),INDEX('AH History'!$E$1:$E$18046,AH!$P$7+1399))),NA()),NA())</ns0:f>
        <ns0:v/>
      </ns0:c>
      <ns0:c r="G1404">
        <ns0:f>IFERROR(IF(ISNUMBER($A1404),IF(AND(AH!$P$10=1,AH!$P$12=1,$A1404=TODAY()),IF(AND(AH!$P$10=1,AH!$P$12=1,$A1404=TODAY()),TODAY(),NA()),IF(AH!$P$10=1,INDEX('Live History'!$G$5:$G$3004,MATCH($A1404,'Live History'!$G$5:$G$3004,1)),INDEX('AH History'!$F$1:$F$18046,AH!$P$7+1399))),NA()),NA())</ns0:f>
        <ns0:v/>
      </ns0:c>
      <ns0:c r="H1404">
        <ns0:f>IFERROR(IF(AND(AH!$E$4="Bloomberg",AH!$P$10=1,ISNUMBER($A1404),$A1404&lt;=AH!$P$17),AH!$P$7-1+MATCH($A1404,INDEX('AH History'!$A$1:$A$18046,AH!$P$7):INDEX('AH History'!$A$1:$A$18046,AH!$P$7+AH!$P$8-1),0),0),0)</ns0:f>
        <ns0:v/>
      </ns0:c>
      <ns0:c r="I1404">
        <ns0:f>IF($H1404=0,0,IFERROR(IF(AND(ABS($C1404-INDEX('AH History'!$B$1:$B$18046,$H1404))&lt;=MAX(0.005,ABS(INDEX('AH History'!$B$1:$B$18046,$H1404))*0.00005),ABS($D1404-INDEX('AH History'!$C$1:$C$18046,$H1404))&lt;=MAX(0.005,ABS(INDEX('AH History'!$C$1:$C$18046,$H1404))*0.00005),ABS($E1404-INDEX('AH History'!$D$1:$D$18046,$H1404))&lt;=0.00005,$F1404=INDEX('AH History'!$E$1:$E$18046,$H1404),$G1404=INDEX('AH History'!$F$1:$F$18046,$H1404)),1,-1),-1))</ns0:f>
        <ns0:v/>
      </ns0:c>
    </ns0:row>
    <ns0:row r="1405">
      <ns0:c r="A1405" s="215">
        <ns0:f>IF(OR(AH!$P$3=0,1400+1&gt;AH!$P$11,AND(AH!$E$4&lt;&gt;"Stored",AH!$P$10&lt;&gt;1)),"",IFERROR(IF(AND(AH!$P$21=1,1400+1=AH!$P$11),TODAY(),IF(AH!$P$10=1,INDEX('Live History'!$A$5:$A$3004,AH!$P$13+1400),INDEX('AH History'!$A$1:$A$18046,AH!$P$7+1400))),""))</ns0:f>
        <ns0:v/>
      </ns0:c>
      <ns0:c r="B1405" s="219">
        <ns0:f>IFERROR(IF(AND(AH!$P$9&lt;&gt;1,$C1405&gt;0,$D1405&gt;0,$E1405&gt;0,$F1405&gt;0,$G1405&gt;0,$F1405&lt;=$A1405,$G1405&lt;=$A1405,$A1405-$F1405&lt;=10,$A1405-$G1405&lt;=5),$D1405*$E1405/$C1405-1,NA()),NA())</ns0:f>
        <ns0:v/>
      </ns0:c>
      <ns0:c r="C1405">
        <ns0:f>IFERROR(IF(ISNUMBER($A1405),IF(AND(AH!$P$10=1,AH!$P$12=1,$A1405=TODAY()),AH!$P$19,IF(AH!$P$10=1,INDEX('Live History'!$B$5:$B$3004,AH!$P$13+1400),INDEX('AH History'!$B$1:$B$18046,AH!$P$7+1400))),NA()),NA())</ns0:f>
        <ns0:v/>
      </ns0:c>
      <ns0:c r="D1405">
        <ns0:f>IFERROR(IF(ISNUMBER($A1405),IF(AND(AH!$P$10=1,AH!$P$12=1,$A1405=TODAY()),AH!$P$18,IF(AH!$P$10=1,INDEX('Live History'!$E$5:$E$3004,MATCH($A1405,'Live History'!$D$5:$D$3004,1)),INDEX('AH History'!$C$1:$C$18046,AH!$P$7+1400))),NA()),NA())</ns0:f>
        <ns0:v/>
      </ns0:c>
      <ns0:c r="E1405">
        <ns0:f>IFERROR(IF(ISNUMBER($A1405),IF(AND(AH!$P$10=1,AH!$P$12=1,$A1405=TODAY()),AH!$P$20,IF(AH!$P$10=1,INDEX('Live History'!$H$5:$H$3004,MATCH($A1405,'Live History'!$G$5:$G$3004,1)),INDEX('AH History'!$D$1:$D$18046,AH!$P$7+1400))),NA()),NA())</ns0:f>
        <ns0:v/>
      </ns0:c>
      <ns0:c r="F1405">
        <ns0:f>IFERROR(IF(ISNUMBER($A1405),IF(AND(AH!$P$10=1,AH!$P$12=1,$A1405=TODAY()),IF(AND(AH!$P$10=1,AH!$P$12=1,$A1405=TODAY()),TODAY(),NA()),IF(AH!$P$10=1,INDEX('Live History'!$D$5:$D$3004,MATCH($A1405,'Live History'!$D$5:$D$3004,1)),INDEX('AH History'!$E$1:$E$18046,AH!$P$7+1400))),NA()),NA())</ns0:f>
        <ns0:v/>
      </ns0:c>
      <ns0:c r="G1405">
        <ns0:f>IFERROR(IF(ISNUMBER($A1405),IF(AND(AH!$P$10=1,AH!$P$12=1,$A1405=TODAY()),IF(AND(AH!$P$10=1,AH!$P$12=1,$A1405=TODAY()),TODAY(),NA()),IF(AH!$P$10=1,INDEX('Live History'!$G$5:$G$3004,MATCH($A1405,'Live History'!$G$5:$G$3004,1)),INDEX('AH History'!$F$1:$F$18046,AH!$P$7+1400))),NA()),NA())</ns0:f>
        <ns0:v/>
      </ns0:c>
      <ns0:c r="H1405">
        <ns0:f>IFERROR(IF(AND(AH!$E$4="Bloomberg",AH!$P$10=1,ISNUMBER($A1405),$A1405&lt;=AH!$P$17),AH!$P$7-1+MATCH($A1405,INDEX('AH History'!$A$1:$A$18046,AH!$P$7):INDEX('AH History'!$A$1:$A$18046,AH!$P$7+AH!$P$8-1),0),0),0)</ns0:f>
        <ns0:v/>
      </ns0:c>
      <ns0:c r="I1405">
        <ns0:f>IF($H1405=0,0,IFERROR(IF(AND(ABS($C1405-INDEX('AH History'!$B$1:$B$18046,$H1405))&lt;=MAX(0.005,ABS(INDEX('AH History'!$B$1:$B$18046,$H1405))*0.00005),ABS($D1405-INDEX('AH History'!$C$1:$C$18046,$H1405))&lt;=MAX(0.005,ABS(INDEX('AH History'!$C$1:$C$18046,$H1405))*0.00005),ABS($E1405-INDEX('AH History'!$D$1:$D$18046,$H1405))&lt;=0.00005,$F1405=INDEX('AH History'!$E$1:$E$18046,$H1405),$G1405=INDEX('AH History'!$F$1:$F$18046,$H1405)),1,-1),-1))</ns0:f>
        <ns0:v/>
      </ns0:c>
    </ns0:row>
    <ns0:row r="1406">
      <ns0:c r="A1406" s="215">
        <ns0:f>IF(OR(AH!$P$3=0,1401+1&gt;AH!$P$11,AND(AH!$E$4&lt;&gt;"Stored",AH!$P$10&lt;&gt;1)),"",IFERROR(IF(AND(AH!$P$21=1,1401+1=AH!$P$11),TODAY(),IF(AH!$P$10=1,INDEX('Live History'!$A$5:$A$3004,AH!$P$13+1401),INDEX('AH History'!$A$1:$A$18046,AH!$P$7+1401))),""))</ns0:f>
        <ns0:v/>
      </ns0:c>
      <ns0:c r="B1406" s="219">
        <ns0:f>IFERROR(IF(AND(AH!$P$9&lt;&gt;1,$C1406&gt;0,$D1406&gt;0,$E1406&gt;0,$F1406&gt;0,$G1406&gt;0,$F1406&lt;=$A1406,$G1406&lt;=$A1406,$A1406-$F1406&lt;=10,$A1406-$G1406&lt;=5),$D1406*$E1406/$C1406-1,NA()),NA())</ns0:f>
        <ns0:v/>
      </ns0:c>
      <ns0:c r="C1406">
        <ns0:f>IFERROR(IF(ISNUMBER($A1406),IF(AND(AH!$P$10=1,AH!$P$12=1,$A1406=TODAY()),AH!$P$19,IF(AH!$P$10=1,INDEX('Live History'!$B$5:$B$3004,AH!$P$13+1401),INDEX('AH History'!$B$1:$B$18046,AH!$P$7+1401))),NA()),NA())</ns0:f>
        <ns0:v/>
      </ns0:c>
      <ns0:c r="D1406">
        <ns0:f>IFERROR(IF(ISNUMBER($A1406),IF(AND(AH!$P$10=1,AH!$P$12=1,$A1406=TODAY()),AH!$P$18,IF(AH!$P$10=1,INDEX('Live History'!$E$5:$E$3004,MATCH($A1406,'Live History'!$D$5:$D$3004,1)),INDEX('AH History'!$C$1:$C$18046,AH!$P$7+1401))),NA()),NA())</ns0:f>
        <ns0:v/>
      </ns0:c>
      <ns0:c r="E1406">
        <ns0:f>IFERROR(IF(ISNUMBER($A1406),IF(AND(AH!$P$10=1,AH!$P$12=1,$A1406=TODAY()),AH!$P$20,IF(AH!$P$10=1,INDEX('Live History'!$H$5:$H$3004,MATCH($A1406,'Live History'!$G$5:$G$3004,1)),INDEX('AH History'!$D$1:$D$18046,AH!$P$7+1401))),NA()),NA())</ns0:f>
        <ns0:v/>
      </ns0:c>
      <ns0:c r="F1406">
        <ns0:f>IFERROR(IF(ISNUMBER($A1406),IF(AND(AH!$P$10=1,AH!$P$12=1,$A1406=TODAY()),IF(AND(AH!$P$10=1,AH!$P$12=1,$A1406=TODAY()),TODAY(),NA()),IF(AH!$P$10=1,INDEX('Live History'!$D$5:$D$3004,MATCH($A1406,'Live History'!$D$5:$D$3004,1)),INDEX('AH History'!$E$1:$E$18046,AH!$P$7+1401))),NA()),NA())</ns0:f>
        <ns0:v/>
      </ns0:c>
      <ns0:c r="G1406">
        <ns0:f>IFERROR(IF(ISNUMBER($A1406),IF(AND(AH!$P$10=1,AH!$P$12=1,$A1406=TODAY()),IF(AND(AH!$P$10=1,AH!$P$12=1,$A1406=TODAY()),TODAY(),NA()),IF(AH!$P$10=1,INDEX('Live History'!$G$5:$G$3004,MATCH($A1406,'Live History'!$G$5:$G$3004,1)),INDEX('AH History'!$F$1:$F$18046,AH!$P$7+1401))),NA()),NA())</ns0:f>
        <ns0:v/>
      </ns0:c>
      <ns0:c r="H1406">
        <ns0:f>IFERROR(IF(AND(AH!$E$4="Bloomberg",AH!$P$10=1,ISNUMBER($A1406),$A1406&lt;=AH!$P$17),AH!$P$7-1+MATCH($A1406,INDEX('AH History'!$A$1:$A$18046,AH!$P$7):INDEX('AH History'!$A$1:$A$18046,AH!$P$7+AH!$P$8-1),0),0),0)</ns0:f>
        <ns0:v/>
      </ns0:c>
      <ns0:c r="I1406">
        <ns0:f>IF($H1406=0,0,IFERROR(IF(AND(ABS($C1406-INDEX('AH History'!$B$1:$B$18046,$H1406))&lt;=MAX(0.005,ABS(INDEX('AH History'!$B$1:$B$18046,$H1406))*0.00005),ABS($D1406-INDEX('AH History'!$C$1:$C$18046,$H1406))&lt;=MAX(0.005,ABS(INDEX('AH History'!$C$1:$C$18046,$H1406))*0.00005),ABS($E1406-INDEX('AH History'!$D$1:$D$18046,$H1406))&lt;=0.00005,$F1406=INDEX('AH History'!$E$1:$E$18046,$H1406),$G1406=INDEX('AH History'!$F$1:$F$18046,$H1406)),1,-1),-1))</ns0:f>
        <ns0:v/>
      </ns0:c>
    </ns0:row>
    <ns0:row r="1407">
      <ns0:c r="A1407" s="215">
        <ns0:f>IF(OR(AH!$P$3=0,1402+1&gt;AH!$P$11,AND(AH!$E$4&lt;&gt;"Stored",AH!$P$10&lt;&gt;1)),"",IFERROR(IF(AND(AH!$P$21=1,1402+1=AH!$P$11),TODAY(),IF(AH!$P$10=1,INDEX('Live History'!$A$5:$A$3004,AH!$P$13+1402),INDEX('AH History'!$A$1:$A$18046,AH!$P$7+1402))),""))</ns0:f>
        <ns0:v/>
      </ns0:c>
      <ns0:c r="B1407" s="219">
        <ns0:f>IFERROR(IF(AND(AH!$P$9&lt;&gt;1,$C1407&gt;0,$D1407&gt;0,$E1407&gt;0,$F1407&gt;0,$G1407&gt;0,$F1407&lt;=$A1407,$G1407&lt;=$A1407,$A1407-$F1407&lt;=10,$A1407-$G1407&lt;=5),$D1407*$E1407/$C1407-1,NA()),NA())</ns0:f>
        <ns0:v/>
      </ns0:c>
      <ns0:c r="C1407">
        <ns0:f>IFERROR(IF(ISNUMBER($A1407),IF(AND(AH!$P$10=1,AH!$P$12=1,$A1407=TODAY()),AH!$P$19,IF(AH!$P$10=1,INDEX('Live History'!$B$5:$B$3004,AH!$P$13+1402),INDEX('AH History'!$B$1:$B$18046,AH!$P$7+1402))),NA()),NA())</ns0:f>
        <ns0:v/>
      </ns0:c>
      <ns0:c r="D1407">
        <ns0:f>IFERROR(IF(ISNUMBER($A1407),IF(AND(AH!$P$10=1,AH!$P$12=1,$A1407=TODAY()),AH!$P$18,IF(AH!$P$10=1,INDEX('Live History'!$E$5:$E$3004,MATCH($A1407,'Live History'!$D$5:$D$3004,1)),INDEX('AH History'!$C$1:$C$18046,AH!$P$7+1402))),NA()),NA())</ns0:f>
        <ns0:v/>
      </ns0:c>
      <ns0:c r="E1407">
        <ns0:f>IFERROR(IF(ISNUMBER($A1407),IF(AND(AH!$P$10=1,AH!$P$12=1,$A1407=TODAY()),AH!$P$20,IF(AH!$P$10=1,INDEX('Live History'!$H$5:$H$3004,MATCH($A1407,'Live History'!$G$5:$G$3004,1)),INDEX('AH History'!$D$1:$D$18046,AH!$P$7+1402))),NA()),NA())</ns0:f>
        <ns0:v/>
      </ns0:c>
      <ns0:c r="F1407">
        <ns0:f>IFERROR(IF(ISNUMBER($A1407),IF(AND(AH!$P$10=1,AH!$P$12=1,$A1407=TODAY()),IF(AND(AH!$P$10=1,AH!$P$12=1,$A1407=TODAY()),TODAY(),NA()),IF(AH!$P$10=1,INDEX('Live History'!$D$5:$D$3004,MATCH($A1407,'Live History'!$D$5:$D$3004,1)),INDEX('AH History'!$E$1:$E$18046,AH!$P$7+1402))),NA()),NA())</ns0:f>
        <ns0:v/>
      </ns0:c>
      <ns0:c r="G1407">
        <ns0:f>IFERROR(IF(ISNUMBER($A1407),IF(AND(AH!$P$10=1,AH!$P$12=1,$A1407=TODAY()),IF(AND(AH!$P$10=1,AH!$P$12=1,$A1407=TODAY()),TODAY(),NA()),IF(AH!$P$10=1,INDEX('Live History'!$G$5:$G$3004,MATCH($A1407,'Live History'!$G$5:$G$3004,1)),INDEX('AH History'!$F$1:$F$18046,AH!$P$7+1402))),NA()),NA())</ns0:f>
        <ns0:v/>
      </ns0:c>
      <ns0:c r="H1407">
        <ns0:f>IFERROR(IF(AND(AH!$E$4="Bloomberg",AH!$P$10=1,ISNUMBER($A1407),$A1407&lt;=AH!$P$17),AH!$P$7-1+MATCH($A1407,INDEX('AH History'!$A$1:$A$18046,AH!$P$7):INDEX('AH History'!$A$1:$A$18046,AH!$P$7+AH!$P$8-1),0),0),0)</ns0:f>
        <ns0:v/>
      </ns0:c>
      <ns0:c r="I1407">
        <ns0:f>IF($H1407=0,0,IFERROR(IF(AND(ABS($C1407-INDEX('AH History'!$B$1:$B$18046,$H1407))&lt;=MAX(0.005,ABS(INDEX('AH History'!$B$1:$B$18046,$H1407))*0.00005),ABS($D1407-INDEX('AH History'!$C$1:$C$18046,$H1407))&lt;=MAX(0.005,ABS(INDEX('AH History'!$C$1:$C$18046,$H1407))*0.00005),ABS($E1407-INDEX('AH History'!$D$1:$D$18046,$H1407))&lt;=0.00005,$F1407=INDEX('AH History'!$E$1:$E$18046,$H1407),$G1407=INDEX('AH History'!$F$1:$F$18046,$H1407)),1,-1),-1))</ns0:f>
        <ns0:v/>
      </ns0:c>
    </ns0:row>
    <ns0:row r="1408">
      <ns0:c r="A1408" s="215">
        <ns0:f>IF(OR(AH!$P$3=0,1403+1&gt;AH!$P$11,AND(AH!$E$4&lt;&gt;"Stored",AH!$P$10&lt;&gt;1)),"",IFERROR(IF(AND(AH!$P$21=1,1403+1=AH!$P$11),TODAY(),IF(AH!$P$10=1,INDEX('Live History'!$A$5:$A$3004,AH!$P$13+1403),INDEX('AH History'!$A$1:$A$18046,AH!$P$7+1403))),""))</ns0:f>
        <ns0:v/>
      </ns0:c>
      <ns0:c r="B1408" s="219">
        <ns0:f>IFERROR(IF(AND(AH!$P$9&lt;&gt;1,$C1408&gt;0,$D1408&gt;0,$E1408&gt;0,$F1408&gt;0,$G1408&gt;0,$F1408&lt;=$A1408,$G1408&lt;=$A1408,$A1408-$F1408&lt;=10,$A1408-$G1408&lt;=5),$D1408*$E1408/$C1408-1,NA()),NA())</ns0:f>
        <ns0:v/>
      </ns0:c>
      <ns0:c r="C1408">
        <ns0:f>IFERROR(IF(ISNUMBER($A1408),IF(AND(AH!$P$10=1,AH!$P$12=1,$A1408=TODAY()),AH!$P$19,IF(AH!$P$10=1,INDEX('Live History'!$B$5:$B$3004,AH!$P$13+1403),INDEX('AH History'!$B$1:$B$18046,AH!$P$7+1403))),NA()),NA())</ns0:f>
        <ns0:v/>
      </ns0:c>
      <ns0:c r="D1408">
        <ns0:f>IFERROR(IF(ISNUMBER($A1408),IF(AND(AH!$P$10=1,AH!$P$12=1,$A1408=TODAY()),AH!$P$18,IF(AH!$P$10=1,INDEX('Live History'!$E$5:$E$3004,MATCH($A1408,'Live History'!$D$5:$D$3004,1)),INDEX('AH History'!$C$1:$C$18046,AH!$P$7+1403))),NA()),NA())</ns0:f>
        <ns0:v/>
      </ns0:c>
      <ns0:c r="E1408">
        <ns0:f>IFERROR(IF(ISNUMBER($A1408),IF(AND(AH!$P$10=1,AH!$P$12=1,$A1408=TODAY()),AH!$P$20,IF(AH!$P$10=1,INDEX('Live History'!$H$5:$H$3004,MATCH($A1408,'Live History'!$G$5:$G$3004,1)),INDEX('AH History'!$D$1:$D$18046,AH!$P$7+1403))),NA()),NA())</ns0:f>
        <ns0:v/>
      </ns0:c>
      <ns0:c r="F1408">
        <ns0:f>IFERROR(IF(ISNUMBER($A1408),IF(AND(AH!$P$10=1,AH!$P$12=1,$A1408=TODAY()),IF(AND(AH!$P$10=1,AH!$P$12=1,$A1408=TODAY()),TODAY(),NA()),IF(AH!$P$10=1,INDEX('Live History'!$D$5:$D$3004,MATCH($A1408,'Live History'!$D$5:$D$3004,1)),INDEX('AH History'!$E$1:$E$18046,AH!$P$7+1403))),NA()),NA())</ns0:f>
        <ns0:v/>
      </ns0:c>
      <ns0:c r="G1408">
        <ns0:f>IFERROR(IF(ISNUMBER($A1408),IF(AND(AH!$P$10=1,AH!$P$12=1,$A1408=TODAY()),IF(AND(AH!$P$10=1,AH!$P$12=1,$A1408=TODAY()),TODAY(),NA()),IF(AH!$P$10=1,INDEX('Live History'!$G$5:$G$3004,MATCH($A1408,'Live History'!$G$5:$G$3004,1)),INDEX('AH History'!$F$1:$F$18046,AH!$P$7+1403))),NA()),NA())</ns0:f>
        <ns0:v/>
      </ns0:c>
      <ns0:c r="H1408">
        <ns0:f>IFERROR(IF(AND(AH!$E$4="Bloomberg",AH!$P$10=1,ISNUMBER($A1408),$A1408&lt;=AH!$P$17),AH!$P$7-1+MATCH($A1408,INDEX('AH History'!$A$1:$A$18046,AH!$P$7):INDEX('AH History'!$A$1:$A$18046,AH!$P$7+AH!$P$8-1),0),0),0)</ns0:f>
        <ns0:v/>
      </ns0:c>
      <ns0:c r="I1408">
        <ns0:f>IF($H1408=0,0,IFERROR(IF(AND(ABS($C1408-INDEX('AH History'!$B$1:$B$18046,$H1408))&lt;=MAX(0.005,ABS(INDEX('AH History'!$B$1:$B$18046,$H1408))*0.00005),ABS($D1408-INDEX('AH History'!$C$1:$C$18046,$H1408))&lt;=MAX(0.005,ABS(INDEX('AH History'!$C$1:$C$18046,$H1408))*0.00005),ABS($E1408-INDEX('AH History'!$D$1:$D$18046,$H1408))&lt;=0.00005,$F1408=INDEX('AH History'!$E$1:$E$18046,$H1408),$G1408=INDEX('AH History'!$F$1:$F$18046,$H1408)),1,-1),-1))</ns0:f>
        <ns0:v/>
      </ns0:c>
    </ns0:row>
    <ns0:row r="1409">
      <ns0:c r="A1409" s="215">
        <ns0:f>IF(OR(AH!$P$3=0,1404+1&gt;AH!$P$11,AND(AH!$E$4&lt;&gt;"Stored",AH!$P$10&lt;&gt;1)),"",IFERROR(IF(AND(AH!$P$21=1,1404+1=AH!$P$11),TODAY(),IF(AH!$P$10=1,INDEX('Live History'!$A$5:$A$3004,AH!$P$13+1404),INDEX('AH History'!$A$1:$A$18046,AH!$P$7+1404))),""))</ns0:f>
        <ns0:v/>
      </ns0:c>
      <ns0:c r="B1409" s="219">
        <ns0:f>IFERROR(IF(AND(AH!$P$9&lt;&gt;1,$C1409&gt;0,$D1409&gt;0,$E1409&gt;0,$F1409&gt;0,$G1409&gt;0,$F1409&lt;=$A1409,$G1409&lt;=$A1409,$A1409-$F1409&lt;=10,$A1409-$G1409&lt;=5),$D1409*$E1409/$C1409-1,NA()),NA())</ns0:f>
        <ns0:v/>
      </ns0:c>
      <ns0:c r="C1409">
        <ns0:f>IFERROR(IF(ISNUMBER($A1409),IF(AND(AH!$P$10=1,AH!$P$12=1,$A1409=TODAY()),AH!$P$19,IF(AH!$P$10=1,INDEX('Live History'!$B$5:$B$3004,AH!$P$13+1404),INDEX('AH History'!$B$1:$B$18046,AH!$P$7+1404))),NA()),NA())</ns0:f>
        <ns0:v/>
      </ns0:c>
      <ns0:c r="D1409">
        <ns0:f>IFERROR(IF(ISNUMBER($A1409),IF(AND(AH!$P$10=1,AH!$P$12=1,$A1409=TODAY()),AH!$P$18,IF(AH!$P$10=1,INDEX('Live History'!$E$5:$E$3004,MATCH($A1409,'Live History'!$D$5:$D$3004,1)),INDEX('AH History'!$C$1:$C$18046,AH!$P$7+1404))),NA()),NA())</ns0:f>
        <ns0:v/>
      </ns0:c>
      <ns0:c r="E1409">
        <ns0:f>IFERROR(IF(ISNUMBER($A1409),IF(AND(AH!$P$10=1,AH!$P$12=1,$A1409=TODAY()),AH!$P$20,IF(AH!$P$10=1,INDEX('Live History'!$H$5:$H$3004,MATCH($A1409,'Live History'!$G$5:$G$3004,1)),INDEX('AH History'!$D$1:$D$18046,AH!$P$7+1404))),NA()),NA())</ns0:f>
        <ns0:v/>
      </ns0:c>
      <ns0:c r="F1409">
        <ns0:f>IFERROR(IF(ISNUMBER($A1409),IF(AND(AH!$P$10=1,AH!$P$12=1,$A1409=TODAY()),IF(AND(AH!$P$10=1,AH!$P$12=1,$A1409=TODAY()),TODAY(),NA()),IF(AH!$P$10=1,INDEX('Live History'!$D$5:$D$3004,MATCH($A1409,'Live History'!$D$5:$D$3004,1)),INDEX('AH History'!$E$1:$E$18046,AH!$P$7+1404))),NA()),NA())</ns0:f>
        <ns0:v/>
      </ns0:c>
      <ns0:c r="G1409">
        <ns0:f>IFERROR(IF(ISNUMBER($A1409),IF(AND(AH!$P$10=1,AH!$P$12=1,$A1409=TODAY()),IF(AND(AH!$P$10=1,AH!$P$12=1,$A1409=TODAY()),TODAY(),NA()),IF(AH!$P$10=1,INDEX('Live History'!$G$5:$G$3004,MATCH($A1409,'Live History'!$G$5:$G$3004,1)),INDEX('AH History'!$F$1:$F$18046,AH!$P$7+1404))),NA()),NA())</ns0:f>
        <ns0:v/>
      </ns0:c>
      <ns0:c r="H1409">
        <ns0:f>IFERROR(IF(AND(AH!$E$4="Bloomberg",AH!$P$10=1,ISNUMBER($A1409),$A1409&lt;=AH!$P$17),AH!$P$7-1+MATCH($A1409,INDEX('AH History'!$A$1:$A$18046,AH!$P$7):INDEX('AH History'!$A$1:$A$18046,AH!$P$7+AH!$P$8-1),0),0),0)</ns0:f>
        <ns0:v/>
      </ns0:c>
      <ns0:c r="I1409">
        <ns0:f>IF($H1409=0,0,IFERROR(IF(AND(ABS($C1409-INDEX('AH History'!$B$1:$B$18046,$H1409))&lt;=MAX(0.005,ABS(INDEX('AH History'!$B$1:$B$18046,$H1409))*0.00005),ABS($D1409-INDEX('AH History'!$C$1:$C$18046,$H1409))&lt;=MAX(0.005,ABS(INDEX('AH History'!$C$1:$C$18046,$H1409))*0.00005),ABS($E1409-INDEX('AH History'!$D$1:$D$18046,$H1409))&lt;=0.00005,$F1409=INDEX('AH History'!$E$1:$E$18046,$H1409),$G1409=INDEX('AH History'!$F$1:$F$18046,$H1409)),1,-1),-1))</ns0:f>
        <ns0:v/>
      </ns0:c>
    </ns0:row>
    <ns0:row r="1410">
      <ns0:c r="A1410" s="215">
        <ns0:f>IF(OR(AH!$P$3=0,1405+1&gt;AH!$P$11,AND(AH!$E$4&lt;&gt;"Stored",AH!$P$10&lt;&gt;1)),"",IFERROR(IF(AND(AH!$P$21=1,1405+1=AH!$P$11),TODAY(),IF(AH!$P$10=1,INDEX('Live History'!$A$5:$A$3004,AH!$P$13+1405),INDEX('AH History'!$A$1:$A$18046,AH!$P$7+1405))),""))</ns0:f>
        <ns0:v/>
      </ns0:c>
      <ns0:c r="B1410" s="219">
        <ns0:f>IFERROR(IF(AND(AH!$P$9&lt;&gt;1,$C1410&gt;0,$D1410&gt;0,$E1410&gt;0,$F1410&gt;0,$G1410&gt;0,$F1410&lt;=$A1410,$G1410&lt;=$A1410,$A1410-$F1410&lt;=10,$A1410-$G1410&lt;=5),$D1410*$E1410/$C1410-1,NA()),NA())</ns0:f>
        <ns0:v/>
      </ns0:c>
      <ns0:c r="C1410">
        <ns0:f>IFERROR(IF(ISNUMBER($A1410),IF(AND(AH!$P$10=1,AH!$P$12=1,$A1410=TODAY()),AH!$P$19,IF(AH!$P$10=1,INDEX('Live History'!$B$5:$B$3004,AH!$P$13+1405),INDEX('AH History'!$B$1:$B$18046,AH!$P$7+1405))),NA()),NA())</ns0:f>
        <ns0:v/>
      </ns0:c>
      <ns0:c r="D1410">
        <ns0:f>IFERROR(IF(ISNUMBER($A1410),IF(AND(AH!$P$10=1,AH!$P$12=1,$A1410=TODAY()),AH!$P$18,IF(AH!$P$10=1,INDEX('Live History'!$E$5:$E$3004,MATCH($A1410,'Live History'!$D$5:$D$3004,1)),INDEX('AH History'!$C$1:$C$18046,AH!$P$7+1405))),NA()),NA())</ns0:f>
        <ns0:v/>
      </ns0:c>
      <ns0:c r="E1410">
        <ns0:f>IFERROR(IF(ISNUMBER($A1410),IF(AND(AH!$P$10=1,AH!$P$12=1,$A1410=TODAY()),AH!$P$20,IF(AH!$P$10=1,INDEX('Live History'!$H$5:$H$3004,MATCH($A1410,'Live History'!$G$5:$G$3004,1)),INDEX('AH History'!$D$1:$D$18046,AH!$P$7+1405))),NA()),NA())</ns0:f>
        <ns0:v/>
      </ns0:c>
      <ns0:c r="F1410">
        <ns0:f>IFERROR(IF(ISNUMBER($A1410),IF(AND(AH!$P$10=1,AH!$P$12=1,$A1410=TODAY()),IF(AND(AH!$P$10=1,AH!$P$12=1,$A1410=TODAY()),TODAY(),NA()),IF(AH!$P$10=1,INDEX('Live History'!$D$5:$D$3004,MATCH($A1410,'Live History'!$D$5:$D$3004,1)),INDEX('AH History'!$E$1:$E$18046,AH!$P$7+1405))),NA()),NA())</ns0:f>
        <ns0:v/>
      </ns0:c>
      <ns0:c r="G1410">
        <ns0:f>IFERROR(IF(ISNUMBER($A1410),IF(AND(AH!$P$10=1,AH!$P$12=1,$A1410=TODAY()),IF(AND(AH!$P$10=1,AH!$P$12=1,$A1410=TODAY()),TODAY(),NA()),IF(AH!$P$10=1,INDEX('Live History'!$G$5:$G$3004,MATCH($A1410,'Live History'!$G$5:$G$3004,1)),INDEX('AH History'!$F$1:$F$18046,AH!$P$7+1405))),NA()),NA())</ns0:f>
        <ns0:v/>
      </ns0:c>
      <ns0:c r="H1410">
        <ns0:f>IFERROR(IF(AND(AH!$E$4="Bloomberg",AH!$P$10=1,ISNUMBER($A1410),$A1410&lt;=AH!$P$17),AH!$P$7-1+MATCH($A1410,INDEX('AH History'!$A$1:$A$18046,AH!$P$7):INDEX('AH History'!$A$1:$A$18046,AH!$P$7+AH!$P$8-1),0),0),0)</ns0:f>
        <ns0:v/>
      </ns0:c>
      <ns0:c r="I1410">
        <ns0:f>IF($H1410=0,0,IFERROR(IF(AND(ABS($C1410-INDEX('AH History'!$B$1:$B$18046,$H1410))&lt;=MAX(0.005,ABS(INDEX('AH History'!$B$1:$B$18046,$H1410))*0.00005),ABS($D1410-INDEX('AH History'!$C$1:$C$18046,$H1410))&lt;=MAX(0.005,ABS(INDEX('AH History'!$C$1:$C$18046,$H1410))*0.00005),ABS($E1410-INDEX('AH History'!$D$1:$D$18046,$H1410))&lt;=0.00005,$F1410=INDEX('AH History'!$E$1:$E$18046,$H1410),$G1410=INDEX('AH History'!$F$1:$F$18046,$H1410)),1,-1),-1))</ns0:f>
        <ns0:v/>
      </ns0:c>
    </ns0:row>
    <ns0:row r="1411">
      <ns0:c r="A1411" s="215">
        <ns0:f>IF(OR(AH!$P$3=0,1406+1&gt;AH!$P$11,AND(AH!$E$4&lt;&gt;"Stored",AH!$P$10&lt;&gt;1)),"",IFERROR(IF(AND(AH!$P$21=1,1406+1=AH!$P$11),TODAY(),IF(AH!$P$10=1,INDEX('Live History'!$A$5:$A$3004,AH!$P$13+1406),INDEX('AH History'!$A$1:$A$18046,AH!$P$7+1406))),""))</ns0:f>
        <ns0:v/>
      </ns0:c>
      <ns0:c r="B1411" s="219">
        <ns0:f>IFERROR(IF(AND(AH!$P$9&lt;&gt;1,$C1411&gt;0,$D1411&gt;0,$E1411&gt;0,$F1411&gt;0,$G1411&gt;0,$F1411&lt;=$A1411,$G1411&lt;=$A1411,$A1411-$F1411&lt;=10,$A1411-$G1411&lt;=5),$D1411*$E1411/$C1411-1,NA()),NA())</ns0:f>
        <ns0:v/>
      </ns0:c>
      <ns0:c r="C1411">
        <ns0:f>IFERROR(IF(ISNUMBER($A1411),IF(AND(AH!$P$10=1,AH!$P$12=1,$A1411=TODAY()),AH!$P$19,IF(AH!$P$10=1,INDEX('Live History'!$B$5:$B$3004,AH!$P$13+1406),INDEX('AH History'!$B$1:$B$18046,AH!$P$7+1406))),NA()),NA())</ns0:f>
        <ns0:v/>
      </ns0:c>
      <ns0:c r="D1411">
        <ns0:f>IFERROR(IF(ISNUMBER($A1411),IF(AND(AH!$P$10=1,AH!$P$12=1,$A1411=TODAY()),AH!$P$18,IF(AH!$P$10=1,INDEX('Live History'!$E$5:$E$3004,MATCH($A1411,'Live History'!$D$5:$D$3004,1)),INDEX('AH History'!$C$1:$C$18046,AH!$P$7+1406))),NA()),NA())</ns0:f>
        <ns0:v/>
      </ns0:c>
      <ns0:c r="E1411">
        <ns0:f>IFERROR(IF(ISNUMBER($A1411),IF(AND(AH!$P$10=1,AH!$P$12=1,$A1411=TODAY()),AH!$P$20,IF(AH!$P$10=1,INDEX('Live History'!$H$5:$H$3004,MATCH($A1411,'Live History'!$G$5:$G$3004,1)),INDEX('AH History'!$D$1:$D$18046,AH!$P$7+1406))),NA()),NA())</ns0:f>
        <ns0:v/>
      </ns0:c>
      <ns0:c r="F1411">
        <ns0:f>IFERROR(IF(ISNUMBER($A1411),IF(AND(AH!$P$10=1,AH!$P$12=1,$A1411=TODAY()),IF(AND(AH!$P$10=1,AH!$P$12=1,$A1411=TODAY()),TODAY(),NA()),IF(AH!$P$10=1,INDEX('Live History'!$D$5:$D$3004,MATCH($A1411,'Live History'!$D$5:$D$3004,1)),INDEX('AH History'!$E$1:$E$18046,AH!$P$7+1406))),NA()),NA())</ns0:f>
        <ns0:v/>
      </ns0:c>
      <ns0:c r="G1411">
        <ns0:f>IFERROR(IF(ISNUMBER($A1411),IF(AND(AH!$P$10=1,AH!$P$12=1,$A1411=TODAY()),IF(AND(AH!$P$10=1,AH!$P$12=1,$A1411=TODAY()),TODAY(),NA()),IF(AH!$P$10=1,INDEX('Live History'!$G$5:$G$3004,MATCH($A1411,'Live History'!$G$5:$G$3004,1)),INDEX('AH History'!$F$1:$F$18046,AH!$P$7+1406))),NA()),NA())</ns0:f>
        <ns0:v/>
      </ns0:c>
      <ns0:c r="H1411">
        <ns0:f>IFERROR(IF(AND(AH!$E$4="Bloomberg",AH!$P$10=1,ISNUMBER($A1411),$A1411&lt;=AH!$P$17),AH!$P$7-1+MATCH($A1411,INDEX('AH History'!$A$1:$A$18046,AH!$P$7):INDEX('AH History'!$A$1:$A$18046,AH!$P$7+AH!$P$8-1),0),0),0)</ns0:f>
        <ns0:v/>
      </ns0:c>
      <ns0:c r="I1411">
        <ns0:f>IF($H1411=0,0,IFERROR(IF(AND(ABS($C1411-INDEX('AH History'!$B$1:$B$18046,$H1411))&lt;=MAX(0.005,ABS(INDEX('AH History'!$B$1:$B$18046,$H1411))*0.00005),ABS($D1411-INDEX('AH History'!$C$1:$C$18046,$H1411))&lt;=MAX(0.005,ABS(INDEX('AH History'!$C$1:$C$18046,$H1411))*0.00005),ABS($E1411-INDEX('AH History'!$D$1:$D$18046,$H1411))&lt;=0.00005,$F1411=INDEX('AH History'!$E$1:$E$18046,$H1411),$G1411=INDEX('AH History'!$F$1:$F$18046,$H1411)),1,-1),-1))</ns0:f>
        <ns0:v/>
      </ns0:c>
    </ns0:row>
    <ns0:row r="1412">
      <ns0:c r="A1412" s="215">
        <ns0:f>IF(OR(AH!$P$3=0,1407+1&gt;AH!$P$11,AND(AH!$E$4&lt;&gt;"Stored",AH!$P$10&lt;&gt;1)),"",IFERROR(IF(AND(AH!$P$21=1,1407+1=AH!$P$11),TODAY(),IF(AH!$P$10=1,INDEX('Live History'!$A$5:$A$3004,AH!$P$13+1407),INDEX('AH History'!$A$1:$A$18046,AH!$P$7+1407))),""))</ns0:f>
        <ns0:v/>
      </ns0:c>
      <ns0:c r="B1412" s="219">
        <ns0:f>IFERROR(IF(AND(AH!$P$9&lt;&gt;1,$C1412&gt;0,$D1412&gt;0,$E1412&gt;0,$F1412&gt;0,$G1412&gt;0,$F1412&lt;=$A1412,$G1412&lt;=$A1412,$A1412-$F1412&lt;=10,$A1412-$G1412&lt;=5),$D1412*$E1412/$C1412-1,NA()),NA())</ns0:f>
        <ns0:v/>
      </ns0:c>
      <ns0:c r="C1412">
        <ns0:f>IFERROR(IF(ISNUMBER($A1412),IF(AND(AH!$P$10=1,AH!$P$12=1,$A1412=TODAY()),AH!$P$19,IF(AH!$P$10=1,INDEX('Live History'!$B$5:$B$3004,AH!$P$13+1407),INDEX('AH History'!$B$1:$B$18046,AH!$P$7+1407))),NA()),NA())</ns0:f>
        <ns0:v/>
      </ns0:c>
      <ns0:c r="D1412">
        <ns0:f>IFERROR(IF(ISNUMBER($A1412),IF(AND(AH!$P$10=1,AH!$P$12=1,$A1412=TODAY()),AH!$P$18,IF(AH!$P$10=1,INDEX('Live History'!$E$5:$E$3004,MATCH($A1412,'Live History'!$D$5:$D$3004,1)),INDEX('AH History'!$C$1:$C$18046,AH!$P$7+1407))),NA()),NA())</ns0:f>
        <ns0:v/>
      </ns0:c>
      <ns0:c r="E1412">
        <ns0:f>IFERROR(IF(ISNUMBER($A1412),IF(AND(AH!$P$10=1,AH!$P$12=1,$A1412=TODAY()),AH!$P$20,IF(AH!$P$10=1,INDEX('Live History'!$H$5:$H$3004,MATCH($A1412,'Live History'!$G$5:$G$3004,1)),INDEX('AH History'!$D$1:$D$18046,AH!$P$7+1407))),NA()),NA())</ns0:f>
        <ns0:v/>
      </ns0:c>
      <ns0:c r="F1412">
        <ns0:f>IFERROR(IF(ISNUMBER($A1412),IF(AND(AH!$P$10=1,AH!$P$12=1,$A1412=TODAY()),IF(AND(AH!$P$10=1,AH!$P$12=1,$A1412=TODAY()),TODAY(),NA()),IF(AH!$P$10=1,INDEX('Live History'!$D$5:$D$3004,MATCH($A1412,'Live History'!$D$5:$D$3004,1)),INDEX('AH History'!$E$1:$E$18046,AH!$P$7+1407))),NA()),NA())</ns0:f>
        <ns0:v/>
      </ns0:c>
      <ns0:c r="G1412">
        <ns0:f>IFERROR(IF(ISNUMBER($A1412),IF(AND(AH!$P$10=1,AH!$P$12=1,$A1412=TODAY()),IF(AND(AH!$P$10=1,AH!$P$12=1,$A1412=TODAY()),TODAY(),NA()),IF(AH!$P$10=1,INDEX('Live History'!$G$5:$G$3004,MATCH($A1412,'Live History'!$G$5:$G$3004,1)),INDEX('AH History'!$F$1:$F$18046,AH!$P$7+1407))),NA()),NA())</ns0:f>
        <ns0:v/>
      </ns0:c>
      <ns0:c r="H1412">
        <ns0:f>IFERROR(IF(AND(AH!$E$4="Bloomberg",AH!$P$10=1,ISNUMBER($A1412),$A1412&lt;=AH!$P$17),AH!$P$7-1+MATCH($A1412,INDEX('AH History'!$A$1:$A$18046,AH!$P$7):INDEX('AH History'!$A$1:$A$18046,AH!$P$7+AH!$P$8-1),0),0),0)</ns0:f>
        <ns0:v/>
      </ns0:c>
      <ns0:c r="I1412">
        <ns0:f>IF($H1412=0,0,IFERROR(IF(AND(ABS($C1412-INDEX('AH History'!$B$1:$B$18046,$H1412))&lt;=MAX(0.005,ABS(INDEX('AH History'!$B$1:$B$18046,$H1412))*0.00005),ABS($D1412-INDEX('AH History'!$C$1:$C$18046,$H1412))&lt;=MAX(0.005,ABS(INDEX('AH History'!$C$1:$C$18046,$H1412))*0.00005),ABS($E1412-INDEX('AH History'!$D$1:$D$18046,$H1412))&lt;=0.00005,$F1412=INDEX('AH History'!$E$1:$E$18046,$H1412),$G1412=INDEX('AH History'!$F$1:$F$18046,$H1412)),1,-1),-1))</ns0:f>
        <ns0:v/>
      </ns0:c>
    </ns0:row>
    <ns0:row r="1413">
      <ns0:c r="A1413" s="215">
        <ns0:f>IF(OR(AH!$P$3=0,1408+1&gt;AH!$P$11,AND(AH!$E$4&lt;&gt;"Stored",AH!$P$10&lt;&gt;1)),"",IFERROR(IF(AND(AH!$P$21=1,1408+1=AH!$P$11),TODAY(),IF(AH!$P$10=1,INDEX('Live History'!$A$5:$A$3004,AH!$P$13+1408),INDEX('AH History'!$A$1:$A$18046,AH!$P$7+1408))),""))</ns0:f>
        <ns0:v/>
      </ns0:c>
      <ns0:c r="B1413" s="219">
        <ns0:f>IFERROR(IF(AND(AH!$P$9&lt;&gt;1,$C1413&gt;0,$D1413&gt;0,$E1413&gt;0,$F1413&gt;0,$G1413&gt;0,$F1413&lt;=$A1413,$G1413&lt;=$A1413,$A1413-$F1413&lt;=10,$A1413-$G1413&lt;=5),$D1413*$E1413/$C1413-1,NA()),NA())</ns0:f>
        <ns0:v/>
      </ns0:c>
      <ns0:c r="C1413">
        <ns0:f>IFERROR(IF(ISNUMBER($A1413),IF(AND(AH!$P$10=1,AH!$P$12=1,$A1413=TODAY()),AH!$P$19,IF(AH!$P$10=1,INDEX('Live History'!$B$5:$B$3004,AH!$P$13+1408),INDEX('AH History'!$B$1:$B$18046,AH!$P$7+1408))),NA()),NA())</ns0:f>
        <ns0:v/>
      </ns0:c>
      <ns0:c r="D1413">
        <ns0:f>IFERROR(IF(ISNUMBER($A1413),IF(AND(AH!$P$10=1,AH!$P$12=1,$A1413=TODAY()),AH!$P$18,IF(AH!$P$10=1,INDEX('Live History'!$E$5:$E$3004,MATCH($A1413,'Live History'!$D$5:$D$3004,1)),INDEX('AH History'!$C$1:$C$18046,AH!$P$7+1408))),NA()),NA())</ns0:f>
        <ns0:v/>
      </ns0:c>
      <ns0:c r="E1413">
        <ns0:f>IFERROR(IF(ISNUMBER($A1413),IF(AND(AH!$P$10=1,AH!$P$12=1,$A1413=TODAY()),AH!$P$20,IF(AH!$P$10=1,INDEX('Live History'!$H$5:$H$3004,MATCH($A1413,'Live History'!$G$5:$G$3004,1)),INDEX('AH History'!$D$1:$D$18046,AH!$P$7+1408))),NA()),NA())</ns0:f>
        <ns0:v/>
      </ns0:c>
      <ns0:c r="F1413">
        <ns0:f>IFERROR(IF(ISNUMBER($A1413),IF(AND(AH!$P$10=1,AH!$P$12=1,$A1413=TODAY()),IF(AND(AH!$P$10=1,AH!$P$12=1,$A1413=TODAY()),TODAY(),NA()),IF(AH!$P$10=1,INDEX('Live History'!$D$5:$D$3004,MATCH($A1413,'Live History'!$D$5:$D$3004,1)),INDEX('AH History'!$E$1:$E$18046,AH!$P$7+1408))),NA()),NA())</ns0:f>
        <ns0:v/>
      </ns0:c>
      <ns0:c r="G1413">
        <ns0:f>IFERROR(IF(ISNUMBER($A1413),IF(AND(AH!$P$10=1,AH!$P$12=1,$A1413=TODAY()),IF(AND(AH!$P$10=1,AH!$P$12=1,$A1413=TODAY()),TODAY(),NA()),IF(AH!$P$10=1,INDEX('Live History'!$G$5:$G$3004,MATCH($A1413,'Live History'!$G$5:$G$3004,1)),INDEX('AH History'!$F$1:$F$18046,AH!$P$7+1408))),NA()),NA())</ns0:f>
        <ns0:v/>
      </ns0:c>
      <ns0:c r="H1413">
        <ns0:f>IFERROR(IF(AND(AH!$E$4="Bloomberg",AH!$P$10=1,ISNUMBER($A1413),$A1413&lt;=AH!$P$17),AH!$P$7-1+MATCH($A1413,INDEX('AH History'!$A$1:$A$18046,AH!$P$7):INDEX('AH History'!$A$1:$A$18046,AH!$P$7+AH!$P$8-1),0),0),0)</ns0:f>
        <ns0:v/>
      </ns0:c>
      <ns0:c r="I1413">
        <ns0:f>IF($H1413=0,0,IFERROR(IF(AND(ABS($C1413-INDEX('AH History'!$B$1:$B$18046,$H1413))&lt;=MAX(0.005,ABS(INDEX('AH History'!$B$1:$B$18046,$H1413))*0.00005),ABS($D1413-INDEX('AH History'!$C$1:$C$18046,$H1413))&lt;=MAX(0.005,ABS(INDEX('AH History'!$C$1:$C$18046,$H1413))*0.00005),ABS($E1413-INDEX('AH History'!$D$1:$D$18046,$H1413))&lt;=0.00005,$F1413=INDEX('AH History'!$E$1:$E$18046,$H1413),$G1413=INDEX('AH History'!$F$1:$F$18046,$H1413)),1,-1),-1))</ns0:f>
        <ns0:v/>
      </ns0:c>
    </ns0:row>
    <ns0:row r="1414">
      <ns0:c r="A1414" s="215">
        <ns0:f>IF(OR(AH!$P$3=0,1409+1&gt;AH!$P$11,AND(AH!$E$4&lt;&gt;"Stored",AH!$P$10&lt;&gt;1)),"",IFERROR(IF(AND(AH!$P$21=1,1409+1=AH!$P$11),TODAY(),IF(AH!$P$10=1,INDEX('Live History'!$A$5:$A$3004,AH!$P$13+1409),INDEX('AH History'!$A$1:$A$18046,AH!$P$7+1409))),""))</ns0:f>
        <ns0:v/>
      </ns0:c>
      <ns0:c r="B1414" s="219">
        <ns0:f>IFERROR(IF(AND(AH!$P$9&lt;&gt;1,$C1414&gt;0,$D1414&gt;0,$E1414&gt;0,$F1414&gt;0,$G1414&gt;0,$F1414&lt;=$A1414,$G1414&lt;=$A1414,$A1414-$F1414&lt;=10,$A1414-$G1414&lt;=5),$D1414*$E1414/$C1414-1,NA()),NA())</ns0:f>
        <ns0:v/>
      </ns0:c>
      <ns0:c r="C1414">
        <ns0:f>IFERROR(IF(ISNUMBER($A1414),IF(AND(AH!$P$10=1,AH!$P$12=1,$A1414=TODAY()),AH!$P$19,IF(AH!$P$10=1,INDEX('Live History'!$B$5:$B$3004,AH!$P$13+1409),INDEX('AH History'!$B$1:$B$18046,AH!$P$7+1409))),NA()),NA())</ns0:f>
        <ns0:v/>
      </ns0:c>
      <ns0:c r="D1414">
        <ns0:f>IFERROR(IF(ISNUMBER($A1414),IF(AND(AH!$P$10=1,AH!$P$12=1,$A1414=TODAY()),AH!$P$18,IF(AH!$P$10=1,INDEX('Live History'!$E$5:$E$3004,MATCH($A1414,'Live History'!$D$5:$D$3004,1)),INDEX('AH History'!$C$1:$C$18046,AH!$P$7+1409))),NA()),NA())</ns0:f>
        <ns0:v/>
      </ns0:c>
      <ns0:c r="E1414">
        <ns0:f>IFERROR(IF(ISNUMBER($A1414),IF(AND(AH!$P$10=1,AH!$P$12=1,$A1414=TODAY()),AH!$P$20,IF(AH!$P$10=1,INDEX('Live History'!$H$5:$H$3004,MATCH($A1414,'Live History'!$G$5:$G$3004,1)),INDEX('AH History'!$D$1:$D$18046,AH!$P$7+1409))),NA()),NA())</ns0:f>
        <ns0:v/>
      </ns0:c>
      <ns0:c r="F1414">
        <ns0:f>IFERROR(IF(ISNUMBER($A1414),IF(AND(AH!$P$10=1,AH!$P$12=1,$A1414=TODAY()),IF(AND(AH!$P$10=1,AH!$P$12=1,$A1414=TODAY()),TODAY(),NA()),IF(AH!$P$10=1,INDEX('Live History'!$D$5:$D$3004,MATCH($A1414,'Live History'!$D$5:$D$3004,1)),INDEX('AH History'!$E$1:$E$18046,AH!$P$7+1409))),NA()),NA())</ns0:f>
        <ns0:v/>
      </ns0:c>
      <ns0:c r="G1414">
        <ns0:f>IFERROR(IF(ISNUMBER($A1414),IF(AND(AH!$P$10=1,AH!$P$12=1,$A1414=TODAY()),IF(AND(AH!$P$10=1,AH!$P$12=1,$A1414=TODAY()),TODAY(),NA()),IF(AH!$P$10=1,INDEX('Live History'!$G$5:$G$3004,MATCH($A1414,'Live History'!$G$5:$G$3004,1)),INDEX('AH History'!$F$1:$F$18046,AH!$P$7+1409))),NA()),NA())</ns0:f>
        <ns0:v/>
      </ns0:c>
      <ns0:c r="H1414">
        <ns0:f>IFERROR(IF(AND(AH!$E$4="Bloomberg",AH!$P$10=1,ISNUMBER($A1414),$A1414&lt;=AH!$P$17),AH!$P$7-1+MATCH($A1414,INDEX('AH History'!$A$1:$A$18046,AH!$P$7):INDEX('AH History'!$A$1:$A$18046,AH!$P$7+AH!$P$8-1),0),0),0)</ns0:f>
        <ns0:v/>
      </ns0:c>
      <ns0:c r="I1414">
        <ns0:f>IF($H1414=0,0,IFERROR(IF(AND(ABS($C1414-INDEX('AH History'!$B$1:$B$18046,$H1414))&lt;=MAX(0.005,ABS(INDEX('AH History'!$B$1:$B$18046,$H1414))*0.00005),ABS($D1414-INDEX('AH History'!$C$1:$C$18046,$H1414))&lt;=MAX(0.005,ABS(INDEX('AH History'!$C$1:$C$18046,$H1414))*0.00005),ABS($E1414-INDEX('AH History'!$D$1:$D$18046,$H1414))&lt;=0.00005,$F1414=INDEX('AH History'!$E$1:$E$18046,$H1414),$G1414=INDEX('AH History'!$F$1:$F$18046,$H1414)),1,-1),-1))</ns0:f>
        <ns0:v/>
      </ns0:c>
    </ns0:row>
    <ns0:row r="1415">
      <ns0:c r="A1415" s="215">
        <ns0:f>IF(OR(AH!$P$3=0,1410+1&gt;AH!$P$11,AND(AH!$E$4&lt;&gt;"Stored",AH!$P$10&lt;&gt;1)),"",IFERROR(IF(AND(AH!$P$21=1,1410+1=AH!$P$11),TODAY(),IF(AH!$P$10=1,INDEX('Live History'!$A$5:$A$3004,AH!$P$13+1410),INDEX('AH History'!$A$1:$A$18046,AH!$P$7+1410))),""))</ns0:f>
        <ns0:v/>
      </ns0:c>
      <ns0:c r="B1415" s="219">
        <ns0:f>IFERROR(IF(AND(AH!$P$9&lt;&gt;1,$C1415&gt;0,$D1415&gt;0,$E1415&gt;0,$F1415&gt;0,$G1415&gt;0,$F1415&lt;=$A1415,$G1415&lt;=$A1415,$A1415-$F1415&lt;=10,$A1415-$G1415&lt;=5),$D1415*$E1415/$C1415-1,NA()),NA())</ns0:f>
        <ns0:v/>
      </ns0:c>
      <ns0:c r="C1415">
        <ns0:f>IFERROR(IF(ISNUMBER($A1415),IF(AND(AH!$P$10=1,AH!$P$12=1,$A1415=TODAY()),AH!$P$19,IF(AH!$P$10=1,INDEX('Live History'!$B$5:$B$3004,AH!$P$13+1410),INDEX('AH History'!$B$1:$B$18046,AH!$P$7+1410))),NA()),NA())</ns0:f>
        <ns0:v/>
      </ns0:c>
      <ns0:c r="D1415">
        <ns0:f>IFERROR(IF(ISNUMBER($A1415),IF(AND(AH!$P$10=1,AH!$P$12=1,$A1415=TODAY()),AH!$P$18,IF(AH!$P$10=1,INDEX('Live History'!$E$5:$E$3004,MATCH($A1415,'Live History'!$D$5:$D$3004,1)),INDEX('AH History'!$C$1:$C$18046,AH!$P$7+1410))),NA()),NA())</ns0:f>
        <ns0:v/>
      </ns0:c>
      <ns0:c r="E1415">
        <ns0:f>IFERROR(IF(ISNUMBER($A1415),IF(AND(AH!$P$10=1,AH!$P$12=1,$A1415=TODAY()),AH!$P$20,IF(AH!$P$10=1,INDEX('Live History'!$H$5:$H$3004,MATCH($A1415,'Live History'!$G$5:$G$3004,1)),INDEX('AH History'!$D$1:$D$18046,AH!$P$7+1410))),NA()),NA())</ns0:f>
        <ns0:v/>
      </ns0:c>
      <ns0:c r="F1415">
        <ns0:f>IFERROR(IF(ISNUMBER($A1415),IF(AND(AH!$P$10=1,AH!$P$12=1,$A1415=TODAY()),IF(AND(AH!$P$10=1,AH!$P$12=1,$A1415=TODAY()),TODAY(),NA()),IF(AH!$P$10=1,INDEX('Live History'!$D$5:$D$3004,MATCH($A1415,'Live History'!$D$5:$D$3004,1)),INDEX('AH History'!$E$1:$E$18046,AH!$P$7+1410))),NA()),NA())</ns0:f>
        <ns0:v/>
      </ns0:c>
      <ns0:c r="G1415">
        <ns0:f>IFERROR(IF(ISNUMBER($A1415),IF(AND(AH!$P$10=1,AH!$P$12=1,$A1415=TODAY()),IF(AND(AH!$P$10=1,AH!$P$12=1,$A1415=TODAY()),TODAY(),NA()),IF(AH!$P$10=1,INDEX('Live History'!$G$5:$G$3004,MATCH($A1415,'Live History'!$G$5:$G$3004,1)),INDEX('AH History'!$F$1:$F$18046,AH!$P$7+1410))),NA()),NA())</ns0:f>
        <ns0:v/>
      </ns0:c>
      <ns0:c r="H1415">
        <ns0:f>IFERROR(IF(AND(AH!$E$4="Bloomberg",AH!$P$10=1,ISNUMBER($A1415),$A1415&lt;=AH!$P$17),AH!$P$7-1+MATCH($A1415,INDEX('AH History'!$A$1:$A$18046,AH!$P$7):INDEX('AH History'!$A$1:$A$18046,AH!$P$7+AH!$P$8-1),0),0),0)</ns0:f>
        <ns0:v/>
      </ns0:c>
      <ns0:c r="I1415">
        <ns0:f>IF($H1415=0,0,IFERROR(IF(AND(ABS($C1415-INDEX('AH History'!$B$1:$B$18046,$H1415))&lt;=MAX(0.005,ABS(INDEX('AH History'!$B$1:$B$18046,$H1415))*0.00005),ABS($D1415-INDEX('AH History'!$C$1:$C$18046,$H1415))&lt;=MAX(0.005,ABS(INDEX('AH History'!$C$1:$C$18046,$H1415))*0.00005),ABS($E1415-INDEX('AH History'!$D$1:$D$18046,$H1415))&lt;=0.00005,$F1415=INDEX('AH History'!$E$1:$E$18046,$H1415),$G1415=INDEX('AH History'!$F$1:$F$18046,$H1415)),1,-1),-1))</ns0:f>
        <ns0:v/>
      </ns0:c>
    </ns0:row>
    <ns0:row r="1416">
      <ns0:c r="A1416" s="215">
        <ns0:f>IF(OR(AH!$P$3=0,1411+1&gt;AH!$P$11,AND(AH!$E$4&lt;&gt;"Stored",AH!$P$10&lt;&gt;1)),"",IFERROR(IF(AND(AH!$P$21=1,1411+1=AH!$P$11),TODAY(),IF(AH!$P$10=1,INDEX('Live History'!$A$5:$A$3004,AH!$P$13+1411),INDEX('AH History'!$A$1:$A$18046,AH!$P$7+1411))),""))</ns0:f>
        <ns0:v/>
      </ns0:c>
      <ns0:c r="B1416" s="219">
        <ns0:f>IFERROR(IF(AND(AH!$P$9&lt;&gt;1,$C1416&gt;0,$D1416&gt;0,$E1416&gt;0,$F1416&gt;0,$G1416&gt;0,$F1416&lt;=$A1416,$G1416&lt;=$A1416,$A1416-$F1416&lt;=10,$A1416-$G1416&lt;=5),$D1416*$E1416/$C1416-1,NA()),NA())</ns0:f>
        <ns0:v/>
      </ns0:c>
      <ns0:c r="C1416">
        <ns0:f>IFERROR(IF(ISNUMBER($A1416),IF(AND(AH!$P$10=1,AH!$P$12=1,$A1416=TODAY()),AH!$P$19,IF(AH!$P$10=1,INDEX('Live History'!$B$5:$B$3004,AH!$P$13+1411),INDEX('AH History'!$B$1:$B$18046,AH!$P$7+1411))),NA()),NA())</ns0:f>
        <ns0:v/>
      </ns0:c>
      <ns0:c r="D1416">
        <ns0:f>IFERROR(IF(ISNUMBER($A1416),IF(AND(AH!$P$10=1,AH!$P$12=1,$A1416=TODAY()),AH!$P$18,IF(AH!$P$10=1,INDEX('Live History'!$E$5:$E$3004,MATCH($A1416,'Live History'!$D$5:$D$3004,1)),INDEX('AH History'!$C$1:$C$18046,AH!$P$7+1411))),NA()),NA())</ns0:f>
        <ns0:v/>
      </ns0:c>
      <ns0:c r="E1416">
        <ns0:f>IFERROR(IF(ISNUMBER($A1416),IF(AND(AH!$P$10=1,AH!$P$12=1,$A1416=TODAY()),AH!$P$20,IF(AH!$P$10=1,INDEX('Live History'!$H$5:$H$3004,MATCH($A1416,'Live History'!$G$5:$G$3004,1)),INDEX('AH History'!$D$1:$D$18046,AH!$P$7+1411))),NA()),NA())</ns0:f>
        <ns0:v/>
      </ns0:c>
      <ns0:c r="F1416">
        <ns0:f>IFERROR(IF(ISNUMBER($A1416),IF(AND(AH!$P$10=1,AH!$P$12=1,$A1416=TODAY()),IF(AND(AH!$P$10=1,AH!$P$12=1,$A1416=TODAY()),TODAY(),NA()),IF(AH!$P$10=1,INDEX('Live History'!$D$5:$D$3004,MATCH($A1416,'Live History'!$D$5:$D$3004,1)),INDEX('AH History'!$E$1:$E$18046,AH!$P$7+1411))),NA()),NA())</ns0:f>
        <ns0:v/>
      </ns0:c>
      <ns0:c r="G1416">
        <ns0:f>IFERROR(IF(ISNUMBER($A1416),IF(AND(AH!$P$10=1,AH!$P$12=1,$A1416=TODAY()),IF(AND(AH!$P$10=1,AH!$P$12=1,$A1416=TODAY()),TODAY(),NA()),IF(AH!$P$10=1,INDEX('Live History'!$G$5:$G$3004,MATCH($A1416,'Live History'!$G$5:$G$3004,1)),INDEX('AH History'!$F$1:$F$18046,AH!$P$7+1411))),NA()),NA())</ns0:f>
        <ns0:v/>
      </ns0:c>
      <ns0:c r="H1416">
        <ns0:f>IFERROR(IF(AND(AH!$E$4="Bloomberg",AH!$P$10=1,ISNUMBER($A1416),$A1416&lt;=AH!$P$17),AH!$P$7-1+MATCH($A1416,INDEX('AH History'!$A$1:$A$18046,AH!$P$7):INDEX('AH History'!$A$1:$A$18046,AH!$P$7+AH!$P$8-1),0),0),0)</ns0:f>
        <ns0:v/>
      </ns0:c>
      <ns0:c r="I1416">
        <ns0:f>IF($H1416=0,0,IFERROR(IF(AND(ABS($C1416-INDEX('AH History'!$B$1:$B$18046,$H1416))&lt;=MAX(0.005,ABS(INDEX('AH History'!$B$1:$B$18046,$H1416))*0.00005),ABS($D1416-INDEX('AH History'!$C$1:$C$18046,$H1416))&lt;=MAX(0.005,ABS(INDEX('AH History'!$C$1:$C$18046,$H1416))*0.00005),ABS($E1416-INDEX('AH History'!$D$1:$D$18046,$H1416))&lt;=0.00005,$F1416=INDEX('AH History'!$E$1:$E$18046,$H1416),$G1416=INDEX('AH History'!$F$1:$F$18046,$H1416)),1,-1),-1))</ns0:f>
        <ns0:v/>
      </ns0:c>
    </ns0:row>
    <ns0:row r="1417">
      <ns0:c r="A1417" s="215">
        <ns0:f>IF(OR(AH!$P$3=0,1412+1&gt;AH!$P$11,AND(AH!$E$4&lt;&gt;"Stored",AH!$P$10&lt;&gt;1)),"",IFERROR(IF(AND(AH!$P$21=1,1412+1=AH!$P$11),TODAY(),IF(AH!$P$10=1,INDEX('Live History'!$A$5:$A$3004,AH!$P$13+1412),INDEX('AH History'!$A$1:$A$18046,AH!$P$7+1412))),""))</ns0:f>
        <ns0:v/>
      </ns0:c>
      <ns0:c r="B1417" s="219">
        <ns0:f>IFERROR(IF(AND(AH!$P$9&lt;&gt;1,$C1417&gt;0,$D1417&gt;0,$E1417&gt;0,$F1417&gt;0,$G1417&gt;0,$F1417&lt;=$A1417,$G1417&lt;=$A1417,$A1417-$F1417&lt;=10,$A1417-$G1417&lt;=5),$D1417*$E1417/$C1417-1,NA()),NA())</ns0:f>
        <ns0:v/>
      </ns0:c>
      <ns0:c r="C1417">
        <ns0:f>IFERROR(IF(ISNUMBER($A1417),IF(AND(AH!$P$10=1,AH!$P$12=1,$A1417=TODAY()),AH!$P$19,IF(AH!$P$10=1,INDEX('Live History'!$B$5:$B$3004,AH!$P$13+1412),INDEX('AH History'!$B$1:$B$18046,AH!$P$7+1412))),NA()),NA())</ns0:f>
        <ns0:v/>
      </ns0:c>
      <ns0:c r="D1417">
        <ns0:f>IFERROR(IF(ISNUMBER($A1417),IF(AND(AH!$P$10=1,AH!$P$12=1,$A1417=TODAY()),AH!$P$18,IF(AH!$P$10=1,INDEX('Live History'!$E$5:$E$3004,MATCH($A1417,'Live History'!$D$5:$D$3004,1)),INDEX('AH History'!$C$1:$C$18046,AH!$P$7+1412))),NA()),NA())</ns0:f>
        <ns0:v/>
      </ns0:c>
      <ns0:c r="E1417">
        <ns0:f>IFERROR(IF(ISNUMBER($A1417),IF(AND(AH!$P$10=1,AH!$P$12=1,$A1417=TODAY()),AH!$P$20,IF(AH!$P$10=1,INDEX('Live History'!$H$5:$H$3004,MATCH($A1417,'Live History'!$G$5:$G$3004,1)),INDEX('AH History'!$D$1:$D$18046,AH!$P$7+1412))),NA()),NA())</ns0:f>
        <ns0:v/>
      </ns0:c>
      <ns0:c r="F1417">
        <ns0:f>IFERROR(IF(ISNUMBER($A1417),IF(AND(AH!$P$10=1,AH!$P$12=1,$A1417=TODAY()),IF(AND(AH!$P$10=1,AH!$P$12=1,$A1417=TODAY()),TODAY(),NA()),IF(AH!$P$10=1,INDEX('Live History'!$D$5:$D$3004,MATCH($A1417,'Live History'!$D$5:$D$3004,1)),INDEX('AH History'!$E$1:$E$18046,AH!$P$7+1412))),NA()),NA())</ns0:f>
        <ns0:v/>
      </ns0:c>
      <ns0:c r="G1417">
        <ns0:f>IFERROR(IF(ISNUMBER($A1417),IF(AND(AH!$P$10=1,AH!$P$12=1,$A1417=TODAY()),IF(AND(AH!$P$10=1,AH!$P$12=1,$A1417=TODAY()),TODAY(),NA()),IF(AH!$P$10=1,INDEX('Live History'!$G$5:$G$3004,MATCH($A1417,'Live History'!$G$5:$G$3004,1)),INDEX('AH History'!$F$1:$F$18046,AH!$P$7+1412))),NA()),NA())</ns0:f>
        <ns0:v/>
      </ns0:c>
      <ns0:c r="H1417">
        <ns0:f>IFERROR(IF(AND(AH!$E$4="Bloomberg",AH!$P$10=1,ISNUMBER($A1417),$A1417&lt;=AH!$P$17),AH!$P$7-1+MATCH($A1417,INDEX('AH History'!$A$1:$A$18046,AH!$P$7):INDEX('AH History'!$A$1:$A$18046,AH!$P$7+AH!$P$8-1),0),0),0)</ns0:f>
        <ns0:v/>
      </ns0:c>
      <ns0:c r="I1417">
        <ns0:f>IF($H1417=0,0,IFERROR(IF(AND(ABS($C1417-INDEX('AH History'!$B$1:$B$18046,$H1417))&lt;=MAX(0.005,ABS(INDEX('AH History'!$B$1:$B$18046,$H1417))*0.00005),ABS($D1417-INDEX('AH History'!$C$1:$C$18046,$H1417))&lt;=MAX(0.005,ABS(INDEX('AH History'!$C$1:$C$18046,$H1417))*0.00005),ABS($E1417-INDEX('AH History'!$D$1:$D$18046,$H1417))&lt;=0.00005,$F1417=INDEX('AH History'!$E$1:$E$18046,$H1417),$G1417=INDEX('AH History'!$F$1:$F$18046,$H1417)),1,-1),-1))</ns0:f>
        <ns0:v/>
      </ns0:c>
    </ns0:row>
    <ns0:row r="1418">
      <ns0:c r="A1418" s="215">
        <ns0:f>IF(OR(AH!$P$3=0,1413+1&gt;AH!$P$11,AND(AH!$E$4&lt;&gt;"Stored",AH!$P$10&lt;&gt;1)),"",IFERROR(IF(AND(AH!$P$21=1,1413+1=AH!$P$11),TODAY(),IF(AH!$P$10=1,INDEX('Live History'!$A$5:$A$3004,AH!$P$13+1413),INDEX('AH History'!$A$1:$A$18046,AH!$P$7+1413))),""))</ns0:f>
        <ns0:v/>
      </ns0:c>
      <ns0:c r="B1418" s="219">
        <ns0:f>IFERROR(IF(AND(AH!$P$9&lt;&gt;1,$C1418&gt;0,$D1418&gt;0,$E1418&gt;0,$F1418&gt;0,$G1418&gt;0,$F1418&lt;=$A1418,$G1418&lt;=$A1418,$A1418-$F1418&lt;=10,$A1418-$G1418&lt;=5),$D1418*$E1418/$C1418-1,NA()),NA())</ns0:f>
        <ns0:v/>
      </ns0:c>
      <ns0:c r="C1418">
        <ns0:f>IFERROR(IF(ISNUMBER($A1418),IF(AND(AH!$P$10=1,AH!$P$12=1,$A1418=TODAY()),AH!$P$19,IF(AH!$P$10=1,INDEX('Live History'!$B$5:$B$3004,AH!$P$13+1413),INDEX('AH History'!$B$1:$B$18046,AH!$P$7+1413))),NA()),NA())</ns0:f>
        <ns0:v/>
      </ns0:c>
      <ns0:c r="D1418">
        <ns0:f>IFERROR(IF(ISNUMBER($A1418),IF(AND(AH!$P$10=1,AH!$P$12=1,$A1418=TODAY()),AH!$P$18,IF(AH!$P$10=1,INDEX('Live History'!$E$5:$E$3004,MATCH($A1418,'Live History'!$D$5:$D$3004,1)),INDEX('AH History'!$C$1:$C$18046,AH!$P$7+1413))),NA()),NA())</ns0:f>
        <ns0:v/>
      </ns0:c>
      <ns0:c r="E1418">
        <ns0:f>IFERROR(IF(ISNUMBER($A1418),IF(AND(AH!$P$10=1,AH!$P$12=1,$A1418=TODAY()),AH!$P$20,IF(AH!$P$10=1,INDEX('Live History'!$H$5:$H$3004,MATCH($A1418,'Live History'!$G$5:$G$3004,1)),INDEX('AH History'!$D$1:$D$18046,AH!$P$7+1413))),NA()),NA())</ns0:f>
        <ns0:v/>
      </ns0:c>
      <ns0:c r="F1418">
        <ns0:f>IFERROR(IF(ISNUMBER($A1418),IF(AND(AH!$P$10=1,AH!$P$12=1,$A1418=TODAY()),IF(AND(AH!$P$10=1,AH!$P$12=1,$A1418=TODAY()),TODAY(),NA()),IF(AH!$P$10=1,INDEX('Live History'!$D$5:$D$3004,MATCH($A1418,'Live History'!$D$5:$D$3004,1)),INDEX('AH History'!$E$1:$E$18046,AH!$P$7+1413))),NA()),NA())</ns0:f>
        <ns0:v/>
      </ns0:c>
      <ns0:c r="G1418">
        <ns0:f>IFERROR(IF(ISNUMBER($A1418),IF(AND(AH!$P$10=1,AH!$P$12=1,$A1418=TODAY()),IF(AND(AH!$P$10=1,AH!$P$12=1,$A1418=TODAY()),TODAY(),NA()),IF(AH!$P$10=1,INDEX('Live History'!$G$5:$G$3004,MATCH($A1418,'Live History'!$G$5:$G$3004,1)),INDEX('AH History'!$F$1:$F$18046,AH!$P$7+1413))),NA()),NA())</ns0:f>
        <ns0:v/>
      </ns0:c>
      <ns0:c r="H1418">
        <ns0:f>IFERROR(IF(AND(AH!$E$4="Bloomberg",AH!$P$10=1,ISNUMBER($A1418),$A1418&lt;=AH!$P$17),AH!$P$7-1+MATCH($A1418,INDEX('AH History'!$A$1:$A$18046,AH!$P$7):INDEX('AH History'!$A$1:$A$18046,AH!$P$7+AH!$P$8-1),0),0),0)</ns0:f>
        <ns0:v/>
      </ns0:c>
      <ns0:c r="I1418">
        <ns0:f>IF($H1418=0,0,IFERROR(IF(AND(ABS($C1418-INDEX('AH History'!$B$1:$B$18046,$H1418))&lt;=MAX(0.005,ABS(INDEX('AH History'!$B$1:$B$18046,$H1418))*0.00005),ABS($D1418-INDEX('AH History'!$C$1:$C$18046,$H1418))&lt;=MAX(0.005,ABS(INDEX('AH History'!$C$1:$C$18046,$H1418))*0.00005),ABS($E1418-INDEX('AH History'!$D$1:$D$18046,$H1418))&lt;=0.00005,$F1418=INDEX('AH History'!$E$1:$E$18046,$H1418),$G1418=INDEX('AH History'!$F$1:$F$18046,$H1418)),1,-1),-1))</ns0:f>
        <ns0:v/>
      </ns0:c>
    </ns0:row>
    <ns0:row r="1419">
      <ns0:c r="A1419" s="215">
        <ns0:f>IF(OR(AH!$P$3=0,1414+1&gt;AH!$P$11,AND(AH!$E$4&lt;&gt;"Stored",AH!$P$10&lt;&gt;1)),"",IFERROR(IF(AND(AH!$P$21=1,1414+1=AH!$P$11),TODAY(),IF(AH!$P$10=1,INDEX('Live History'!$A$5:$A$3004,AH!$P$13+1414),INDEX('AH History'!$A$1:$A$18046,AH!$P$7+1414))),""))</ns0:f>
        <ns0:v/>
      </ns0:c>
      <ns0:c r="B1419" s="219">
        <ns0:f>IFERROR(IF(AND(AH!$P$9&lt;&gt;1,$C1419&gt;0,$D1419&gt;0,$E1419&gt;0,$F1419&gt;0,$G1419&gt;0,$F1419&lt;=$A1419,$G1419&lt;=$A1419,$A1419-$F1419&lt;=10,$A1419-$G1419&lt;=5),$D1419*$E1419/$C1419-1,NA()),NA())</ns0:f>
        <ns0:v/>
      </ns0:c>
      <ns0:c r="C1419">
        <ns0:f>IFERROR(IF(ISNUMBER($A1419),IF(AND(AH!$P$10=1,AH!$P$12=1,$A1419=TODAY()),AH!$P$19,IF(AH!$P$10=1,INDEX('Live History'!$B$5:$B$3004,AH!$P$13+1414),INDEX('AH History'!$B$1:$B$18046,AH!$P$7+1414))),NA()),NA())</ns0:f>
        <ns0:v/>
      </ns0:c>
      <ns0:c r="D1419">
        <ns0:f>IFERROR(IF(ISNUMBER($A1419),IF(AND(AH!$P$10=1,AH!$P$12=1,$A1419=TODAY()),AH!$P$18,IF(AH!$P$10=1,INDEX('Live History'!$E$5:$E$3004,MATCH($A1419,'Live History'!$D$5:$D$3004,1)),INDEX('AH History'!$C$1:$C$18046,AH!$P$7+1414))),NA()),NA())</ns0:f>
        <ns0:v/>
      </ns0:c>
      <ns0:c r="E1419">
        <ns0:f>IFERROR(IF(ISNUMBER($A1419),IF(AND(AH!$P$10=1,AH!$P$12=1,$A1419=TODAY()),AH!$P$20,IF(AH!$P$10=1,INDEX('Live History'!$H$5:$H$3004,MATCH($A1419,'Live History'!$G$5:$G$3004,1)),INDEX('AH History'!$D$1:$D$18046,AH!$P$7+1414))),NA()),NA())</ns0:f>
        <ns0:v/>
      </ns0:c>
      <ns0:c r="F1419">
        <ns0:f>IFERROR(IF(ISNUMBER($A1419),IF(AND(AH!$P$10=1,AH!$P$12=1,$A1419=TODAY()),IF(AND(AH!$P$10=1,AH!$P$12=1,$A1419=TODAY()),TODAY(),NA()),IF(AH!$P$10=1,INDEX('Live History'!$D$5:$D$3004,MATCH($A1419,'Live History'!$D$5:$D$3004,1)),INDEX('AH History'!$E$1:$E$18046,AH!$P$7+1414))),NA()),NA())</ns0:f>
        <ns0:v/>
      </ns0:c>
      <ns0:c r="G1419">
        <ns0:f>IFERROR(IF(ISNUMBER($A1419),IF(AND(AH!$P$10=1,AH!$P$12=1,$A1419=TODAY()),IF(AND(AH!$P$10=1,AH!$P$12=1,$A1419=TODAY()),TODAY(),NA()),IF(AH!$P$10=1,INDEX('Live History'!$G$5:$G$3004,MATCH($A1419,'Live History'!$G$5:$G$3004,1)),INDEX('AH History'!$F$1:$F$18046,AH!$P$7+1414))),NA()),NA())</ns0:f>
        <ns0:v/>
      </ns0:c>
      <ns0:c r="H1419">
        <ns0:f>IFERROR(IF(AND(AH!$E$4="Bloomberg",AH!$P$10=1,ISNUMBER($A1419),$A1419&lt;=AH!$P$17),AH!$P$7-1+MATCH($A1419,INDEX('AH History'!$A$1:$A$18046,AH!$P$7):INDEX('AH History'!$A$1:$A$18046,AH!$P$7+AH!$P$8-1),0),0),0)</ns0:f>
        <ns0:v/>
      </ns0:c>
      <ns0:c r="I1419">
        <ns0:f>IF($H1419=0,0,IFERROR(IF(AND(ABS($C1419-INDEX('AH History'!$B$1:$B$18046,$H1419))&lt;=MAX(0.005,ABS(INDEX('AH History'!$B$1:$B$18046,$H1419))*0.00005),ABS($D1419-INDEX('AH History'!$C$1:$C$18046,$H1419))&lt;=MAX(0.005,ABS(INDEX('AH History'!$C$1:$C$18046,$H1419))*0.00005),ABS($E1419-INDEX('AH History'!$D$1:$D$18046,$H1419))&lt;=0.00005,$F1419=INDEX('AH History'!$E$1:$E$18046,$H1419),$G1419=INDEX('AH History'!$F$1:$F$18046,$H1419)),1,-1),-1))</ns0:f>
        <ns0:v/>
      </ns0:c>
    </ns0:row>
    <ns0:row r="1420">
      <ns0:c r="A1420" s="215">
        <ns0:f>IF(OR(AH!$P$3=0,1415+1&gt;AH!$P$11,AND(AH!$E$4&lt;&gt;"Stored",AH!$P$10&lt;&gt;1)),"",IFERROR(IF(AND(AH!$P$21=1,1415+1=AH!$P$11),TODAY(),IF(AH!$P$10=1,INDEX('Live History'!$A$5:$A$3004,AH!$P$13+1415),INDEX('AH History'!$A$1:$A$18046,AH!$P$7+1415))),""))</ns0:f>
        <ns0:v/>
      </ns0:c>
      <ns0:c r="B1420" s="219">
        <ns0:f>IFERROR(IF(AND(AH!$P$9&lt;&gt;1,$C1420&gt;0,$D1420&gt;0,$E1420&gt;0,$F1420&gt;0,$G1420&gt;0,$F1420&lt;=$A1420,$G1420&lt;=$A1420,$A1420-$F1420&lt;=10,$A1420-$G1420&lt;=5),$D1420*$E1420/$C1420-1,NA()),NA())</ns0:f>
        <ns0:v/>
      </ns0:c>
      <ns0:c r="C1420">
        <ns0:f>IFERROR(IF(ISNUMBER($A1420),IF(AND(AH!$P$10=1,AH!$P$12=1,$A1420=TODAY()),AH!$P$19,IF(AH!$P$10=1,INDEX('Live History'!$B$5:$B$3004,AH!$P$13+1415),INDEX('AH History'!$B$1:$B$18046,AH!$P$7+1415))),NA()),NA())</ns0:f>
        <ns0:v/>
      </ns0:c>
      <ns0:c r="D1420">
        <ns0:f>IFERROR(IF(ISNUMBER($A1420),IF(AND(AH!$P$10=1,AH!$P$12=1,$A1420=TODAY()),AH!$P$18,IF(AH!$P$10=1,INDEX('Live History'!$E$5:$E$3004,MATCH($A1420,'Live History'!$D$5:$D$3004,1)),INDEX('AH History'!$C$1:$C$18046,AH!$P$7+1415))),NA()),NA())</ns0:f>
        <ns0:v/>
      </ns0:c>
      <ns0:c r="E1420">
        <ns0:f>IFERROR(IF(ISNUMBER($A1420),IF(AND(AH!$P$10=1,AH!$P$12=1,$A1420=TODAY()),AH!$P$20,IF(AH!$P$10=1,INDEX('Live History'!$H$5:$H$3004,MATCH($A1420,'Live History'!$G$5:$G$3004,1)),INDEX('AH History'!$D$1:$D$18046,AH!$P$7+1415))),NA()),NA())</ns0:f>
        <ns0:v/>
      </ns0:c>
      <ns0:c r="F1420">
        <ns0:f>IFERROR(IF(ISNUMBER($A1420),IF(AND(AH!$P$10=1,AH!$P$12=1,$A1420=TODAY()),IF(AND(AH!$P$10=1,AH!$P$12=1,$A1420=TODAY()),TODAY(),NA()),IF(AH!$P$10=1,INDEX('Live History'!$D$5:$D$3004,MATCH($A1420,'Live History'!$D$5:$D$3004,1)),INDEX('AH History'!$E$1:$E$18046,AH!$P$7+1415))),NA()),NA())</ns0:f>
        <ns0:v/>
      </ns0:c>
      <ns0:c r="G1420">
        <ns0:f>IFERROR(IF(ISNUMBER($A1420),IF(AND(AH!$P$10=1,AH!$P$12=1,$A1420=TODAY()),IF(AND(AH!$P$10=1,AH!$P$12=1,$A1420=TODAY()),TODAY(),NA()),IF(AH!$P$10=1,INDEX('Live History'!$G$5:$G$3004,MATCH($A1420,'Live History'!$G$5:$G$3004,1)),INDEX('AH History'!$F$1:$F$18046,AH!$P$7+1415))),NA()),NA())</ns0:f>
        <ns0:v/>
      </ns0:c>
      <ns0:c r="H1420">
        <ns0:f>IFERROR(IF(AND(AH!$E$4="Bloomberg",AH!$P$10=1,ISNUMBER($A1420),$A1420&lt;=AH!$P$17),AH!$P$7-1+MATCH($A1420,INDEX('AH History'!$A$1:$A$18046,AH!$P$7):INDEX('AH History'!$A$1:$A$18046,AH!$P$7+AH!$P$8-1),0),0),0)</ns0:f>
        <ns0:v/>
      </ns0:c>
      <ns0:c r="I1420">
        <ns0:f>IF($H1420=0,0,IFERROR(IF(AND(ABS($C1420-INDEX('AH History'!$B$1:$B$18046,$H1420))&lt;=MAX(0.005,ABS(INDEX('AH History'!$B$1:$B$18046,$H1420))*0.00005),ABS($D1420-INDEX('AH History'!$C$1:$C$18046,$H1420))&lt;=MAX(0.005,ABS(INDEX('AH History'!$C$1:$C$18046,$H1420))*0.00005),ABS($E1420-INDEX('AH History'!$D$1:$D$18046,$H1420))&lt;=0.00005,$F1420=INDEX('AH History'!$E$1:$E$18046,$H1420),$G1420=INDEX('AH History'!$F$1:$F$18046,$H1420)),1,-1),-1))</ns0:f>
        <ns0:v/>
      </ns0:c>
    </ns0:row>
    <ns0:row r="1421">
      <ns0:c r="A1421" s="215">
        <ns0:f>IF(OR(AH!$P$3=0,1416+1&gt;AH!$P$11,AND(AH!$E$4&lt;&gt;"Stored",AH!$P$10&lt;&gt;1)),"",IFERROR(IF(AND(AH!$P$21=1,1416+1=AH!$P$11),TODAY(),IF(AH!$P$10=1,INDEX('Live History'!$A$5:$A$3004,AH!$P$13+1416),INDEX('AH History'!$A$1:$A$18046,AH!$P$7+1416))),""))</ns0:f>
        <ns0:v/>
      </ns0:c>
      <ns0:c r="B1421" s="219">
        <ns0:f>IFERROR(IF(AND(AH!$P$9&lt;&gt;1,$C1421&gt;0,$D1421&gt;0,$E1421&gt;0,$F1421&gt;0,$G1421&gt;0,$F1421&lt;=$A1421,$G1421&lt;=$A1421,$A1421-$F1421&lt;=10,$A1421-$G1421&lt;=5),$D1421*$E1421/$C1421-1,NA()),NA())</ns0:f>
        <ns0:v/>
      </ns0:c>
      <ns0:c r="C1421">
        <ns0:f>IFERROR(IF(ISNUMBER($A1421),IF(AND(AH!$P$10=1,AH!$P$12=1,$A1421=TODAY()),AH!$P$19,IF(AH!$P$10=1,INDEX('Live History'!$B$5:$B$3004,AH!$P$13+1416),INDEX('AH History'!$B$1:$B$18046,AH!$P$7+1416))),NA()),NA())</ns0:f>
        <ns0:v/>
      </ns0:c>
      <ns0:c r="D1421">
        <ns0:f>IFERROR(IF(ISNUMBER($A1421),IF(AND(AH!$P$10=1,AH!$P$12=1,$A1421=TODAY()),AH!$P$18,IF(AH!$P$10=1,INDEX('Live History'!$E$5:$E$3004,MATCH($A1421,'Live History'!$D$5:$D$3004,1)),INDEX('AH History'!$C$1:$C$18046,AH!$P$7+1416))),NA()),NA())</ns0:f>
        <ns0:v/>
      </ns0:c>
      <ns0:c r="E1421">
        <ns0:f>IFERROR(IF(ISNUMBER($A1421),IF(AND(AH!$P$10=1,AH!$P$12=1,$A1421=TODAY()),AH!$P$20,IF(AH!$P$10=1,INDEX('Live History'!$H$5:$H$3004,MATCH($A1421,'Live History'!$G$5:$G$3004,1)),INDEX('AH History'!$D$1:$D$18046,AH!$P$7+1416))),NA()),NA())</ns0:f>
        <ns0:v/>
      </ns0:c>
      <ns0:c r="F1421">
        <ns0:f>IFERROR(IF(ISNUMBER($A1421),IF(AND(AH!$P$10=1,AH!$P$12=1,$A1421=TODAY()),IF(AND(AH!$P$10=1,AH!$P$12=1,$A1421=TODAY()),TODAY(),NA()),IF(AH!$P$10=1,INDEX('Live History'!$D$5:$D$3004,MATCH($A1421,'Live History'!$D$5:$D$3004,1)),INDEX('AH History'!$E$1:$E$18046,AH!$P$7+1416))),NA()),NA())</ns0:f>
        <ns0:v/>
      </ns0:c>
      <ns0:c r="G1421">
        <ns0:f>IFERROR(IF(ISNUMBER($A1421),IF(AND(AH!$P$10=1,AH!$P$12=1,$A1421=TODAY()),IF(AND(AH!$P$10=1,AH!$P$12=1,$A1421=TODAY()),TODAY(),NA()),IF(AH!$P$10=1,INDEX('Live History'!$G$5:$G$3004,MATCH($A1421,'Live History'!$G$5:$G$3004,1)),INDEX('AH History'!$F$1:$F$18046,AH!$P$7+1416))),NA()),NA())</ns0:f>
        <ns0:v/>
      </ns0:c>
      <ns0:c r="H1421">
        <ns0:f>IFERROR(IF(AND(AH!$E$4="Bloomberg",AH!$P$10=1,ISNUMBER($A1421),$A1421&lt;=AH!$P$17),AH!$P$7-1+MATCH($A1421,INDEX('AH History'!$A$1:$A$18046,AH!$P$7):INDEX('AH History'!$A$1:$A$18046,AH!$P$7+AH!$P$8-1),0),0),0)</ns0:f>
        <ns0:v/>
      </ns0:c>
      <ns0:c r="I1421">
        <ns0:f>IF($H1421=0,0,IFERROR(IF(AND(ABS($C1421-INDEX('AH History'!$B$1:$B$18046,$H1421))&lt;=MAX(0.005,ABS(INDEX('AH History'!$B$1:$B$18046,$H1421))*0.00005),ABS($D1421-INDEX('AH History'!$C$1:$C$18046,$H1421))&lt;=MAX(0.005,ABS(INDEX('AH History'!$C$1:$C$18046,$H1421))*0.00005),ABS($E1421-INDEX('AH History'!$D$1:$D$18046,$H1421))&lt;=0.00005,$F1421=INDEX('AH History'!$E$1:$E$18046,$H1421),$G1421=INDEX('AH History'!$F$1:$F$18046,$H1421)),1,-1),-1))</ns0:f>
        <ns0:v/>
      </ns0:c>
    </ns0:row>
    <ns0:row r="1422">
      <ns0:c r="A1422" s="215">
        <ns0:f>IF(OR(AH!$P$3=0,1417+1&gt;AH!$P$11,AND(AH!$E$4&lt;&gt;"Stored",AH!$P$10&lt;&gt;1)),"",IFERROR(IF(AND(AH!$P$21=1,1417+1=AH!$P$11),TODAY(),IF(AH!$P$10=1,INDEX('Live History'!$A$5:$A$3004,AH!$P$13+1417),INDEX('AH History'!$A$1:$A$18046,AH!$P$7+1417))),""))</ns0:f>
        <ns0:v/>
      </ns0:c>
      <ns0:c r="B1422" s="219">
        <ns0:f>IFERROR(IF(AND(AH!$P$9&lt;&gt;1,$C1422&gt;0,$D1422&gt;0,$E1422&gt;0,$F1422&gt;0,$G1422&gt;0,$F1422&lt;=$A1422,$G1422&lt;=$A1422,$A1422-$F1422&lt;=10,$A1422-$G1422&lt;=5),$D1422*$E1422/$C1422-1,NA()),NA())</ns0:f>
        <ns0:v/>
      </ns0:c>
      <ns0:c r="C1422">
        <ns0:f>IFERROR(IF(ISNUMBER($A1422),IF(AND(AH!$P$10=1,AH!$P$12=1,$A1422=TODAY()),AH!$P$19,IF(AH!$P$10=1,INDEX('Live History'!$B$5:$B$3004,AH!$P$13+1417),INDEX('AH History'!$B$1:$B$18046,AH!$P$7+1417))),NA()),NA())</ns0:f>
        <ns0:v/>
      </ns0:c>
      <ns0:c r="D1422">
        <ns0:f>IFERROR(IF(ISNUMBER($A1422),IF(AND(AH!$P$10=1,AH!$P$12=1,$A1422=TODAY()),AH!$P$18,IF(AH!$P$10=1,INDEX('Live History'!$E$5:$E$3004,MATCH($A1422,'Live History'!$D$5:$D$3004,1)),INDEX('AH History'!$C$1:$C$18046,AH!$P$7+1417))),NA()),NA())</ns0:f>
        <ns0:v/>
      </ns0:c>
      <ns0:c r="E1422">
        <ns0:f>IFERROR(IF(ISNUMBER($A1422),IF(AND(AH!$P$10=1,AH!$P$12=1,$A1422=TODAY()),AH!$P$20,IF(AH!$P$10=1,INDEX('Live History'!$H$5:$H$3004,MATCH($A1422,'Live History'!$G$5:$G$3004,1)),INDEX('AH History'!$D$1:$D$18046,AH!$P$7+1417))),NA()),NA())</ns0:f>
        <ns0:v/>
      </ns0:c>
      <ns0:c r="F1422">
        <ns0:f>IFERROR(IF(ISNUMBER($A1422),IF(AND(AH!$P$10=1,AH!$P$12=1,$A1422=TODAY()),IF(AND(AH!$P$10=1,AH!$P$12=1,$A1422=TODAY()),TODAY(),NA()),IF(AH!$P$10=1,INDEX('Live History'!$D$5:$D$3004,MATCH($A1422,'Live History'!$D$5:$D$3004,1)),INDEX('AH History'!$E$1:$E$18046,AH!$P$7+1417))),NA()),NA())</ns0:f>
        <ns0:v/>
      </ns0:c>
      <ns0:c r="G1422">
        <ns0:f>IFERROR(IF(ISNUMBER($A1422),IF(AND(AH!$P$10=1,AH!$P$12=1,$A1422=TODAY()),IF(AND(AH!$P$10=1,AH!$P$12=1,$A1422=TODAY()),TODAY(),NA()),IF(AH!$P$10=1,INDEX('Live History'!$G$5:$G$3004,MATCH($A1422,'Live History'!$G$5:$G$3004,1)),INDEX('AH History'!$F$1:$F$18046,AH!$P$7+1417))),NA()),NA())</ns0:f>
        <ns0:v/>
      </ns0:c>
      <ns0:c r="H1422">
        <ns0:f>IFERROR(IF(AND(AH!$E$4="Bloomberg",AH!$P$10=1,ISNUMBER($A1422),$A1422&lt;=AH!$P$17),AH!$P$7-1+MATCH($A1422,INDEX('AH History'!$A$1:$A$18046,AH!$P$7):INDEX('AH History'!$A$1:$A$18046,AH!$P$7+AH!$P$8-1),0),0),0)</ns0:f>
        <ns0:v/>
      </ns0:c>
      <ns0:c r="I1422">
        <ns0:f>IF($H1422=0,0,IFERROR(IF(AND(ABS($C1422-INDEX('AH History'!$B$1:$B$18046,$H1422))&lt;=MAX(0.005,ABS(INDEX('AH History'!$B$1:$B$18046,$H1422))*0.00005),ABS($D1422-INDEX('AH History'!$C$1:$C$18046,$H1422))&lt;=MAX(0.005,ABS(INDEX('AH History'!$C$1:$C$18046,$H1422))*0.00005),ABS($E1422-INDEX('AH History'!$D$1:$D$18046,$H1422))&lt;=0.00005,$F1422=INDEX('AH History'!$E$1:$E$18046,$H1422),$G1422=INDEX('AH History'!$F$1:$F$18046,$H1422)),1,-1),-1))</ns0:f>
        <ns0:v/>
      </ns0:c>
    </ns0:row>
    <ns0:row r="1423">
      <ns0:c r="A1423" s="215">
        <ns0:f>IF(OR(AH!$P$3=0,1418+1&gt;AH!$P$11,AND(AH!$E$4&lt;&gt;"Stored",AH!$P$10&lt;&gt;1)),"",IFERROR(IF(AND(AH!$P$21=1,1418+1=AH!$P$11),TODAY(),IF(AH!$P$10=1,INDEX('Live History'!$A$5:$A$3004,AH!$P$13+1418),INDEX('AH History'!$A$1:$A$18046,AH!$P$7+1418))),""))</ns0:f>
        <ns0:v/>
      </ns0:c>
      <ns0:c r="B1423" s="219">
        <ns0:f>IFERROR(IF(AND(AH!$P$9&lt;&gt;1,$C1423&gt;0,$D1423&gt;0,$E1423&gt;0,$F1423&gt;0,$G1423&gt;0,$F1423&lt;=$A1423,$G1423&lt;=$A1423,$A1423-$F1423&lt;=10,$A1423-$G1423&lt;=5),$D1423*$E1423/$C1423-1,NA()),NA())</ns0:f>
        <ns0:v/>
      </ns0:c>
      <ns0:c r="C1423">
        <ns0:f>IFERROR(IF(ISNUMBER($A1423),IF(AND(AH!$P$10=1,AH!$P$12=1,$A1423=TODAY()),AH!$P$19,IF(AH!$P$10=1,INDEX('Live History'!$B$5:$B$3004,AH!$P$13+1418),INDEX('AH History'!$B$1:$B$18046,AH!$P$7+1418))),NA()),NA())</ns0:f>
        <ns0:v/>
      </ns0:c>
      <ns0:c r="D1423">
        <ns0:f>IFERROR(IF(ISNUMBER($A1423),IF(AND(AH!$P$10=1,AH!$P$12=1,$A1423=TODAY()),AH!$P$18,IF(AH!$P$10=1,INDEX('Live History'!$E$5:$E$3004,MATCH($A1423,'Live History'!$D$5:$D$3004,1)),INDEX('AH History'!$C$1:$C$18046,AH!$P$7+1418))),NA()),NA())</ns0:f>
        <ns0:v/>
      </ns0:c>
      <ns0:c r="E1423">
        <ns0:f>IFERROR(IF(ISNUMBER($A1423),IF(AND(AH!$P$10=1,AH!$P$12=1,$A1423=TODAY()),AH!$P$20,IF(AH!$P$10=1,INDEX('Live History'!$H$5:$H$3004,MATCH($A1423,'Live History'!$G$5:$G$3004,1)),INDEX('AH History'!$D$1:$D$18046,AH!$P$7+1418))),NA()),NA())</ns0:f>
        <ns0:v/>
      </ns0:c>
      <ns0:c r="F1423">
        <ns0:f>IFERROR(IF(ISNUMBER($A1423),IF(AND(AH!$P$10=1,AH!$P$12=1,$A1423=TODAY()),IF(AND(AH!$P$10=1,AH!$P$12=1,$A1423=TODAY()),TODAY(),NA()),IF(AH!$P$10=1,INDEX('Live History'!$D$5:$D$3004,MATCH($A1423,'Live History'!$D$5:$D$3004,1)),INDEX('AH History'!$E$1:$E$18046,AH!$P$7+1418))),NA()),NA())</ns0:f>
        <ns0:v/>
      </ns0:c>
      <ns0:c r="G1423">
        <ns0:f>IFERROR(IF(ISNUMBER($A1423),IF(AND(AH!$P$10=1,AH!$P$12=1,$A1423=TODAY()),IF(AND(AH!$P$10=1,AH!$P$12=1,$A1423=TODAY()),TODAY(),NA()),IF(AH!$P$10=1,INDEX('Live History'!$G$5:$G$3004,MATCH($A1423,'Live History'!$G$5:$G$3004,1)),INDEX('AH History'!$F$1:$F$18046,AH!$P$7+1418))),NA()),NA())</ns0:f>
        <ns0:v/>
      </ns0:c>
      <ns0:c r="H1423">
        <ns0:f>IFERROR(IF(AND(AH!$E$4="Bloomberg",AH!$P$10=1,ISNUMBER($A1423),$A1423&lt;=AH!$P$17),AH!$P$7-1+MATCH($A1423,INDEX('AH History'!$A$1:$A$18046,AH!$P$7):INDEX('AH History'!$A$1:$A$18046,AH!$P$7+AH!$P$8-1),0),0),0)</ns0:f>
        <ns0:v/>
      </ns0:c>
      <ns0:c r="I1423">
        <ns0:f>IF($H1423=0,0,IFERROR(IF(AND(ABS($C1423-INDEX('AH History'!$B$1:$B$18046,$H1423))&lt;=MAX(0.005,ABS(INDEX('AH History'!$B$1:$B$18046,$H1423))*0.00005),ABS($D1423-INDEX('AH History'!$C$1:$C$18046,$H1423))&lt;=MAX(0.005,ABS(INDEX('AH History'!$C$1:$C$18046,$H1423))*0.00005),ABS($E1423-INDEX('AH History'!$D$1:$D$18046,$H1423))&lt;=0.00005,$F1423=INDEX('AH History'!$E$1:$E$18046,$H1423),$G1423=INDEX('AH History'!$F$1:$F$18046,$H1423)),1,-1),-1))</ns0:f>
        <ns0:v/>
      </ns0:c>
    </ns0:row>
    <ns0:row r="1424">
      <ns0:c r="A1424" s="215">
        <ns0:f>IF(OR(AH!$P$3=0,1419+1&gt;AH!$P$11,AND(AH!$E$4&lt;&gt;"Stored",AH!$P$10&lt;&gt;1)),"",IFERROR(IF(AND(AH!$P$21=1,1419+1=AH!$P$11),TODAY(),IF(AH!$P$10=1,INDEX('Live History'!$A$5:$A$3004,AH!$P$13+1419),INDEX('AH History'!$A$1:$A$18046,AH!$P$7+1419))),""))</ns0:f>
        <ns0:v/>
      </ns0:c>
      <ns0:c r="B1424" s="219">
        <ns0:f>IFERROR(IF(AND(AH!$P$9&lt;&gt;1,$C1424&gt;0,$D1424&gt;0,$E1424&gt;0,$F1424&gt;0,$G1424&gt;0,$F1424&lt;=$A1424,$G1424&lt;=$A1424,$A1424-$F1424&lt;=10,$A1424-$G1424&lt;=5),$D1424*$E1424/$C1424-1,NA()),NA())</ns0:f>
        <ns0:v/>
      </ns0:c>
      <ns0:c r="C1424">
        <ns0:f>IFERROR(IF(ISNUMBER($A1424),IF(AND(AH!$P$10=1,AH!$P$12=1,$A1424=TODAY()),AH!$P$19,IF(AH!$P$10=1,INDEX('Live History'!$B$5:$B$3004,AH!$P$13+1419),INDEX('AH History'!$B$1:$B$18046,AH!$P$7+1419))),NA()),NA())</ns0:f>
        <ns0:v/>
      </ns0:c>
      <ns0:c r="D1424">
        <ns0:f>IFERROR(IF(ISNUMBER($A1424),IF(AND(AH!$P$10=1,AH!$P$12=1,$A1424=TODAY()),AH!$P$18,IF(AH!$P$10=1,INDEX('Live History'!$E$5:$E$3004,MATCH($A1424,'Live History'!$D$5:$D$3004,1)),INDEX('AH History'!$C$1:$C$18046,AH!$P$7+1419))),NA()),NA())</ns0:f>
        <ns0:v/>
      </ns0:c>
      <ns0:c r="E1424">
        <ns0:f>IFERROR(IF(ISNUMBER($A1424),IF(AND(AH!$P$10=1,AH!$P$12=1,$A1424=TODAY()),AH!$P$20,IF(AH!$P$10=1,INDEX('Live History'!$H$5:$H$3004,MATCH($A1424,'Live History'!$G$5:$G$3004,1)),INDEX('AH History'!$D$1:$D$18046,AH!$P$7+1419))),NA()),NA())</ns0:f>
        <ns0:v/>
      </ns0:c>
      <ns0:c r="F1424">
        <ns0:f>IFERROR(IF(ISNUMBER($A1424),IF(AND(AH!$P$10=1,AH!$P$12=1,$A1424=TODAY()),IF(AND(AH!$P$10=1,AH!$P$12=1,$A1424=TODAY()),TODAY(),NA()),IF(AH!$P$10=1,INDEX('Live History'!$D$5:$D$3004,MATCH($A1424,'Live History'!$D$5:$D$3004,1)),INDEX('AH History'!$E$1:$E$18046,AH!$P$7+1419))),NA()),NA())</ns0:f>
        <ns0:v/>
      </ns0:c>
      <ns0:c r="G1424">
        <ns0:f>IFERROR(IF(ISNUMBER($A1424),IF(AND(AH!$P$10=1,AH!$P$12=1,$A1424=TODAY()),IF(AND(AH!$P$10=1,AH!$P$12=1,$A1424=TODAY()),TODAY(),NA()),IF(AH!$P$10=1,INDEX('Live History'!$G$5:$G$3004,MATCH($A1424,'Live History'!$G$5:$G$3004,1)),INDEX('AH History'!$F$1:$F$18046,AH!$P$7+1419))),NA()),NA())</ns0:f>
        <ns0:v/>
      </ns0:c>
      <ns0:c r="H1424">
        <ns0:f>IFERROR(IF(AND(AH!$E$4="Bloomberg",AH!$P$10=1,ISNUMBER($A1424),$A1424&lt;=AH!$P$17),AH!$P$7-1+MATCH($A1424,INDEX('AH History'!$A$1:$A$18046,AH!$P$7):INDEX('AH History'!$A$1:$A$18046,AH!$P$7+AH!$P$8-1),0),0),0)</ns0:f>
        <ns0:v/>
      </ns0:c>
      <ns0:c r="I1424">
        <ns0:f>IF($H1424=0,0,IFERROR(IF(AND(ABS($C1424-INDEX('AH History'!$B$1:$B$18046,$H1424))&lt;=MAX(0.005,ABS(INDEX('AH History'!$B$1:$B$18046,$H1424))*0.00005),ABS($D1424-INDEX('AH History'!$C$1:$C$18046,$H1424))&lt;=MAX(0.005,ABS(INDEX('AH History'!$C$1:$C$18046,$H1424))*0.00005),ABS($E1424-INDEX('AH History'!$D$1:$D$18046,$H1424))&lt;=0.00005,$F1424=INDEX('AH History'!$E$1:$E$18046,$H1424),$G1424=INDEX('AH History'!$F$1:$F$18046,$H1424)),1,-1),-1))</ns0:f>
        <ns0:v/>
      </ns0:c>
    </ns0:row>
    <ns0:row r="1425">
      <ns0:c r="A1425" s="215">
        <ns0:f>IF(OR(AH!$P$3=0,1420+1&gt;AH!$P$11,AND(AH!$E$4&lt;&gt;"Stored",AH!$P$10&lt;&gt;1)),"",IFERROR(IF(AND(AH!$P$21=1,1420+1=AH!$P$11),TODAY(),IF(AH!$P$10=1,INDEX('Live History'!$A$5:$A$3004,AH!$P$13+1420),INDEX('AH History'!$A$1:$A$18046,AH!$P$7+1420))),""))</ns0:f>
        <ns0:v/>
      </ns0:c>
      <ns0:c r="B1425" s="219">
        <ns0:f>IFERROR(IF(AND(AH!$P$9&lt;&gt;1,$C1425&gt;0,$D1425&gt;0,$E1425&gt;0,$F1425&gt;0,$G1425&gt;0,$F1425&lt;=$A1425,$G1425&lt;=$A1425,$A1425-$F1425&lt;=10,$A1425-$G1425&lt;=5),$D1425*$E1425/$C1425-1,NA()),NA())</ns0:f>
        <ns0:v/>
      </ns0:c>
      <ns0:c r="C1425">
        <ns0:f>IFERROR(IF(ISNUMBER($A1425),IF(AND(AH!$P$10=1,AH!$P$12=1,$A1425=TODAY()),AH!$P$19,IF(AH!$P$10=1,INDEX('Live History'!$B$5:$B$3004,AH!$P$13+1420),INDEX('AH History'!$B$1:$B$18046,AH!$P$7+1420))),NA()),NA())</ns0:f>
        <ns0:v/>
      </ns0:c>
      <ns0:c r="D1425">
        <ns0:f>IFERROR(IF(ISNUMBER($A1425),IF(AND(AH!$P$10=1,AH!$P$12=1,$A1425=TODAY()),AH!$P$18,IF(AH!$P$10=1,INDEX('Live History'!$E$5:$E$3004,MATCH($A1425,'Live History'!$D$5:$D$3004,1)),INDEX('AH History'!$C$1:$C$18046,AH!$P$7+1420))),NA()),NA())</ns0:f>
        <ns0:v/>
      </ns0:c>
      <ns0:c r="E1425">
        <ns0:f>IFERROR(IF(ISNUMBER($A1425),IF(AND(AH!$P$10=1,AH!$P$12=1,$A1425=TODAY()),AH!$P$20,IF(AH!$P$10=1,INDEX('Live History'!$H$5:$H$3004,MATCH($A1425,'Live History'!$G$5:$G$3004,1)),INDEX('AH History'!$D$1:$D$18046,AH!$P$7+1420))),NA()),NA())</ns0:f>
        <ns0:v/>
      </ns0:c>
      <ns0:c r="F1425">
        <ns0:f>IFERROR(IF(ISNUMBER($A1425),IF(AND(AH!$P$10=1,AH!$P$12=1,$A1425=TODAY()),IF(AND(AH!$P$10=1,AH!$P$12=1,$A1425=TODAY()),TODAY(),NA()),IF(AH!$P$10=1,INDEX('Live History'!$D$5:$D$3004,MATCH($A1425,'Live History'!$D$5:$D$3004,1)),INDEX('AH History'!$E$1:$E$18046,AH!$P$7+1420))),NA()),NA())</ns0:f>
        <ns0:v/>
      </ns0:c>
      <ns0:c r="G1425">
        <ns0:f>IFERROR(IF(ISNUMBER($A1425),IF(AND(AH!$P$10=1,AH!$P$12=1,$A1425=TODAY()),IF(AND(AH!$P$10=1,AH!$P$12=1,$A1425=TODAY()),TODAY(),NA()),IF(AH!$P$10=1,INDEX('Live History'!$G$5:$G$3004,MATCH($A1425,'Live History'!$G$5:$G$3004,1)),INDEX('AH History'!$F$1:$F$18046,AH!$P$7+1420))),NA()),NA())</ns0:f>
        <ns0:v/>
      </ns0:c>
      <ns0:c r="H1425">
        <ns0:f>IFERROR(IF(AND(AH!$E$4="Bloomberg",AH!$P$10=1,ISNUMBER($A1425),$A1425&lt;=AH!$P$17),AH!$P$7-1+MATCH($A1425,INDEX('AH History'!$A$1:$A$18046,AH!$P$7):INDEX('AH History'!$A$1:$A$18046,AH!$P$7+AH!$P$8-1),0),0),0)</ns0:f>
        <ns0:v/>
      </ns0:c>
      <ns0:c r="I1425">
        <ns0:f>IF($H1425=0,0,IFERROR(IF(AND(ABS($C1425-INDEX('AH History'!$B$1:$B$18046,$H1425))&lt;=MAX(0.005,ABS(INDEX('AH History'!$B$1:$B$18046,$H1425))*0.00005),ABS($D1425-INDEX('AH History'!$C$1:$C$18046,$H1425))&lt;=MAX(0.005,ABS(INDEX('AH History'!$C$1:$C$18046,$H1425))*0.00005),ABS($E1425-INDEX('AH History'!$D$1:$D$18046,$H1425))&lt;=0.00005,$F1425=INDEX('AH History'!$E$1:$E$18046,$H1425),$G1425=INDEX('AH History'!$F$1:$F$18046,$H1425)),1,-1),-1))</ns0:f>
        <ns0:v/>
      </ns0:c>
    </ns0:row>
    <ns0:row r="1426">
      <ns0:c r="A1426" s="215">
        <ns0:f>IF(OR(AH!$P$3=0,1421+1&gt;AH!$P$11,AND(AH!$E$4&lt;&gt;"Stored",AH!$P$10&lt;&gt;1)),"",IFERROR(IF(AND(AH!$P$21=1,1421+1=AH!$P$11),TODAY(),IF(AH!$P$10=1,INDEX('Live History'!$A$5:$A$3004,AH!$P$13+1421),INDEX('AH History'!$A$1:$A$18046,AH!$P$7+1421))),""))</ns0:f>
        <ns0:v/>
      </ns0:c>
      <ns0:c r="B1426" s="219">
        <ns0:f>IFERROR(IF(AND(AH!$P$9&lt;&gt;1,$C1426&gt;0,$D1426&gt;0,$E1426&gt;0,$F1426&gt;0,$G1426&gt;0,$F1426&lt;=$A1426,$G1426&lt;=$A1426,$A1426-$F1426&lt;=10,$A1426-$G1426&lt;=5),$D1426*$E1426/$C1426-1,NA()),NA())</ns0:f>
        <ns0:v/>
      </ns0:c>
      <ns0:c r="C1426">
        <ns0:f>IFERROR(IF(ISNUMBER($A1426),IF(AND(AH!$P$10=1,AH!$P$12=1,$A1426=TODAY()),AH!$P$19,IF(AH!$P$10=1,INDEX('Live History'!$B$5:$B$3004,AH!$P$13+1421),INDEX('AH History'!$B$1:$B$18046,AH!$P$7+1421))),NA()),NA())</ns0:f>
        <ns0:v/>
      </ns0:c>
      <ns0:c r="D1426">
        <ns0:f>IFERROR(IF(ISNUMBER($A1426),IF(AND(AH!$P$10=1,AH!$P$12=1,$A1426=TODAY()),AH!$P$18,IF(AH!$P$10=1,INDEX('Live History'!$E$5:$E$3004,MATCH($A1426,'Live History'!$D$5:$D$3004,1)),INDEX('AH History'!$C$1:$C$18046,AH!$P$7+1421))),NA()),NA())</ns0:f>
        <ns0:v/>
      </ns0:c>
      <ns0:c r="E1426">
        <ns0:f>IFERROR(IF(ISNUMBER($A1426),IF(AND(AH!$P$10=1,AH!$P$12=1,$A1426=TODAY()),AH!$P$20,IF(AH!$P$10=1,INDEX('Live History'!$H$5:$H$3004,MATCH($A1426,'Live History'!$G$5:$G$3004,1)),INDEX('AH History'!$D$1:$D$18046,AH!$P$7+1421))),NA()),NA())</ns0:f>
        <ns0:v/>
      </ns0:c>
      <ns0:c r="F1426">
        <ns0:f>IFERROR(IF(ISNUMBER($A1426),IF(AND(AH!$P$10=1,AH!$P$12=1,$A1426=TODAY()),IF(AND(AH!$P$10=1,AH!$P$12=1,$A1426=TODAY()),TODAY(),NA()),IF(AH!$P$10=1,INDEX('Live History'!$D$5:$D$3004,MATCH($A1426,'Live History'!$D$5:$D$3004,1)),INDEX('AH History'!$E$1:$E$18046,AH!$P$7+1421))),NA()),NA())</ns0:f>
        <ns0:v/>
      </ns0:c>
      <ns0:c r="G1426">
        <ns0:f>IFERROR(IF(ISNUMBER($A1426),IF(AND(AH!$P$10=1,AH!$P$12=1,$A1426=TODAY()),IF(AND(AH!$P$10=1,AH!$P$12=1,$A1426=TODAY()),TODAY(),NA()),IF(AH!$P$10=1,INDEX('Live History'!$G$5:$G$3004,MATCH($A1426,'Live History'!$G$5:$G$3004,1)),INDEX('AH History'!$F$1:$F$18046,AH!$P$7+1421))),NA()),NA())</ns0:f>
        <ns0:v/>
      </ns0:c>
      <ns0:c r="H1426">
        <ns0:f>IFERROR(IF(AND(AH!$E$4="Bloomberg",AH!$P$10=1,ISNUMBER($A1426),$A1426&lt;=AH!$P$17),AH!$P$7-1+MATCH($A1426,INDEX('AH History'!$A$1:$A$18046,AH!$P$7):INDEX('AH History'!$A$1:$A$18046,AH!$P$7+AH!$P$8-1),0),0),0)</ns0:f>
        <ns0:v/>
      </ns0:c>
      <ns0:c r="I1426">
        <ns0:f>IF($H1426=0,0,IFERROR(IF(AND(ABS($C1426-INDEX('AH History'!$B$1:$B$18046,$H1426))&lt;=MAX(0.005,ABS(INDEX('AH History'!$B$1:$B$18046,$H1426))*0.00005),ABS($D1426-INDEX('AH History'!$C$1:$C$18046,$H1426))&lt;=MAX(0.005,ABS(INDEX('AH History'!$C$1:$C$18046,$H1426))*0.00005),ABS($E1426-INDEX('AH History'!$D$1:$D$18046,$H1426))&lt;=0.00005,$F1426=INDEX('AH History'!$E$1:$E$18046,$H1426),$G1426=INDEX('AH History'!$F$1:$F$18046,$H1426)),1,-1),-1))</ns0:f>
        <ns0:v/>
      </ns0:c>
    </ns0:row>
    <ns0:row r="1427">
      <ns0:c r="A1427" s="215">
        <ns0:f>IF(OR(AH!$P$3=0,1422+1&gt;AH!$P$11,AND(AH!$E$4&lt;&gt;"Stored",AH!$P$10&lt;&gt;1)),"",IFERROR(IF(AND(AH!$P$21=1,1422+1=AH!$P$11),TODAY(),IF(AH!$P$10=1,INDEX('Live History'!$A$5:$A$3004,AH!$P$13+1422),INDEX('AH History'!$A$1:$A$18046,AH!$P$7+1422))),""))</ns0:f>
        <ns0:v/>
      </ns0:c>
      <ns0:c r="B1427" s="219">
        <ns0:f>IFERROR(IF(AND(AH!$P$9&lt;&gt;1,$C1427&gt;0,$D1427&gt;0,$E1427&gt;0,$F1427&gt;0,$G1427&gt;0,$F1427&lt;=$A1427,$G1427&lt;=$A1427,$A1427-$F1427&lt;=10,$A1427-$G1427&lt;=5),$D1427*$E1427/$C1427-1,NA()),NA())</ns0:f>
        <ns0:v/>
      </ns0:c>
      <ns0:c r="C1427">
        <ns0:f>IFERROR(IF(ISNUMBER($A1427),IF(AND(AH!$P$10=1,AH!$P$12=1,$A1427=TODAY()),AH!$P$19,IF(AH!$P$10=1,INDEX('Live History'!$B$5:$B$3004,AH!$P$13+1422),INDEX('AH History'!$B$1:$B$18046,AH!$P$7+1422))),NA()),NA())</ns0:f>
        <ns0:v/>
      </ns0:c>
      <ns0:c r="D1427">
        <ns0:f>IFERROR(IF(ISNUMBER($A1427),IF(AND(AH!$P$10=1,AH!$P$12=1,$A1427=TODAY()),AH!$P$18,IF(AH!$P$10=1,INDEX('Live History'!$E$5:$E$3004,MATCH($A1427,'Live History'!$D$5:$D$3004,1)),INDEX('AH History'!$C$1:$C$18046,AH!$P$7+1422))),NA()),NA())</ns0:f>
        <ns0:v/>
      </ns0:c>
      <ns0:c r="E1427">
        <ns0:f>IFERROR(IF(ISNUMBER($A1427),IF(AND(AH!$P$10=1,AH!$P$12=1,$A1427=TODAY()),AH!$P$20,IF(AH!$P$10=1,INDEX('Live History'!$H$5:$H$3004,MATCH($A1427,'Live History'!$G$5:$G$3004,1)),INDEX('AH History'!$D$1:$D$18046,AH!$P$7+1422))),NA()),NA())</ns0:f>
        <ns0:v/>
      </ns0:c>
      <ns0:c r="F1427">
        <ns0:f>IFERROR(IF(ISNUMBER($A1427),IF(AND(AH!$P$10=1,AH!$P$12=1,$A1427=TODAY()),IF(AND(AH!$P$10=1,AH!$P$12=1,$A1427=TODAY()),TODAY(),NA()),IF(AH!$P$10=1,INDEX('Live History'!$D$5:$D$3004,MATCH($A1427,'Live History'!$D$5:$D$3004,1)),INDEX('AH History'!$E$1:$E$18046,AH!$P$7+1422))),NA()),NA())</ns0:f>
        <ns0:v/>
      </ns0:c>
      <ns0:c r="G1427">
        <ns0:f>IFERROR(IF(ISNUMBER($A1427),IF(AND(AH!$P$10=1,AH!$P$12=1,$A1427=TODAY()),IF(AND(AH!$P$10=1,AH!$P$12=1,$A1427=TODAY()),TODAY(),NA()),IF(AH!$P$10=1,INDEX('Live History'!$G$5:$G$3004,MATCH($A1427,'Live History'!$G$5:$G$3004,1)),INDEX('AH History'!$F$1:$F$18046,AH!$P$7+1422))),NA()),NA())</ns0:f>
        <ns0:v/>
      </ns0:c>
      <ns0:c r="H1427">
        <ns0:f>IFERROR(IF(AND(AH!$E$4="Bloomberg",AH!$P$10=1,ISNUMBER($A1427),$A1427&lt;=AH!$P$17),AH!$P$7-1+MATCH($A1427,INDEX('AH History'!$A$1:$A$18046,AH!$P$7):INDEX('AH History'!$A$1:$A$18046,AH!$P$7+AH!$P$8-1),0),0),0)</ns0:f>
        <ns0:v/>
      </ns0:c>
      <ns0:c r="I1427">
        <ns0:f>IF($H1427=0,0,IFERROR(IF(AND(ABS($C1427-INDEX('AH History'!$B$1:$B$18046,$H1427))&lt;=MAX(0.005,ABS(INDEX('AH History'!$B$1:$B$18046,$H1427))*0.00005),ABS($D1427-INDEX('AH History'!$C$1:$C$18046,$H1427))&lt;=MAX(0.005,ABS(INDEX('AH History'!$C$1:$C$18046,$H1427))*0.00005),ABS($E1427-INDEX('AH History'!$D$1:$D$18046,$H1427))&lt;=0.00005,$F1427=INDEX('AH History'!$E$1:$E$18046,$H1427),$G1427=INDEX('AH History'!$F$1:$F$18046,$H1427)),1,-1),-1))</ns0:f>
        <ns0:v/>
      </ns0:c>
    </ns0:row>
    <ns0:row r="1428">
      <ns0:c r="A1428" s="215">
        <ns0:f>IF(OR(AH!$P$3=0,1423+1&gt;AH!$P$11,AND(AH!$E$4&lt;&gt;"Stored",AH!$P$10&lt;&gt;1)),"",IFERROR(IF(AND(AH!$P$21=1,1423+1=AH!$P$11),TODAY(),IF(AH!$P$10=1,INDEX('Live History'!$A$5:$A$3004,AH!$P$13+1423),INDEX('AH History'!$A$1:$A$18046,AH!$P$7+1423))),""))</ns0:f>
        <ns0:v/>
      </ns0:c>
      <ns0:c r="B1428" s="219">
        <ns0:f>IFERROR(IF(AND(AH!$P$9&lt;&gt;1,$C1428&gt;0,$D1428&gt;0,$E1428&gt;0,$F1428&gt;0,$G1428&gt;0,$F1428&lt;=$A1428,$G1428&lt;=$A1428,$A1428-$F1428&lt;=10,$A1428-$G1428&lt;=5),$D1428*$E1428/$C1428-1,NA()),NA())</ns0:f>
        <ns0:v/>
      </ns0:c>
      <ns0:c r="C1428">
        <ns0:f>IFERROR(IF(ISNUMBER($A1428),IF(AND(AH!$P$10=1,AH!$P$12=1,$A1428=TODAY()),AH!$P$19,IF(AH!$P$10=1,INDEX('Live History'!$B$5:$B$3004,AH!$P$13+1423),INDEX('AH History'!$B$1:$B$18046,AH!$P$7+1423))),NA()),NA())</ns0:f>
        <ns0:v/>
      </ns0:c>
      <ns0:c r="D1428">
        <ns0:f>IFERROR(IF(ISNUMBER($A1428),IF(AND(AH!$P$10=1,AH!$P$12=1,$A1428=TODAY()),AH!$P$18,IF(AH!$P$10=1,INDEX('Live History'!$E$5:$E$3004,MATCH($A1428,'Live History'!$D$5:$D$3004,1)),INDEX('AH History'!$C$1:$C$18046,AH!$P$7+1423))),NA()),NA())</ns0:f>
        <ns0:v/>
      </ns0:c>
      <ns0:c r="E1428">
        <ns0:f>IFERROR(IF(ISNUMBER($A1428),IF(AND(AH!$P$10=1,AH!$P$12=1,$A1428=TODAY()),AH!$P$20,IF(AH!$P$10=1,INDEX('Live History'!$H$5:$H$3004,MATCH($A1428,'Live History'!$G$5:$G$3004,1)),INDEX('AH History'!$D$1:$D$18046,AH!$P$7+1423))),NA()),NA())</ns0:f>
        <ns0:v/>
      </ns0:c>
      <ns0:c r="F1428">
        <ns0:f>IFERROR(IF(ISNUMBER($A1428),IF(AND(AH!$P$10=1,AH!$P$12=1,$A1428=TODAY()),IF(AND(AH!$P$10=1,AH!$P$12=1,$A1428=TODAY()),TODAY(),NA()),IF(AH!$P$10=1,INDEX('Live History'!$D$5:$D$3004,MATCH($A1428,'Live History'!$D$5:$D$3004,1)),INDEX('AH History'!$E$1:$E$18046,AH!$P$7+1423))),NA()),NA())</ns0:f>
        <ns0:v/>
      </ns0:c>
      <ns0:c r="G1428">
        <ns0:f>IFERROR(IF(ISNUMBER($A1428),IF(AND(AH!$P$10=1,AH!$P$12=1,$A1428=TODAY()),IF(AND(AH!$P$10=1,AH!$P$12=1,$A1428=TODAY()),TODAY(),NA()),IF(AH!$P$10=1,INDEX('Live History'!$G$5:$G$3004,MATCH($A1428,'Live History'!$G$5:$G$3004,1)),INDEX('AH History'!$F$1:$F$18046,AH!$P$7+1423))),NA()),NA())</ns0:f>
        <ns0:v/>
      </ns0:c>
      <ns0:c r="H1428">
        <ns0:f>IFERROR(IF(AND(AH!$E$4="Bloomberg",AH!$P$10=1,ISNUMBER($A1428),$A1428&lt;=AH!$P$17),AH!$P$7-1+MATCH($A1428,INDEX('AH History'!$A$1:$A$18046,AH!$P$7):INDEX('AH History'!$A$1:$A$18046,AH!$P$7+AH!$P$8-1),0),0),0)</ns0:f>
        <ns0:v/>
      </ns0:c>
      <ns0:c r="I1428">
        <ns0:f>IF($H1428=0,0,IFERROR(IF(AND(ABS($C1428-INDEX('AH History'!$B$1:$B$18046,$H1428))&lt;=MAX(0.005,ABS(INDEX('AH History'!$B$1:$B$18046,$H1428))*0.00005),ABS($D1428-INDEX('AH History'!$C$1:$C$18046,$H1428))&lt;=MAX(0.005,ABS(INDEX('AH History'!$C$1:$C$18046,$H1428))*0.00005),ABS($E1428-INDEX('AH History'!$D$1:$D$18046,$H1428))&lt;=0.00005,$F1428=INDEX('AH History'!$E$1:$E$18046,$H1428),$G1428=INDEX('AH History'!$F$1:$F$18046,$H1428)),1,-1),-1))</ns0:f>
        <ns0:v/>
      </ns0:c>
    </ns0:row>
    <ns0:row r="1429">
      <ns0:c r="A1429" s="215">
        <ns0:f>IF(OR(AH!$P$3=0,1424+1&gt;AH!$P$11,AND(AH!$E$4&lt;&gt;"Stored",AH!$P$10&lt;&gt;1)),"",IFERROR(IF(AND(AH!$P$21=1,1424+1=AH!$P$11),TODAY(),IF(AH!$P$10=1,INDEX('Live History'!$A$5:$A$3004,AH!$P$13+1424),INDEX('AH History'!$A$1:$A$18046,AH!$P$7+1424))),""))</ns0:f>
        <ns0:v/>
      </ns0:c>
      <ns0:c r="B1429" s="219">
        <ns0:f>IFERROR(IF(AND(AH!$P$9&lt;&gt;1,$C1429&gt;0,$D1429&gt;0,$E1429&gt;0,$F1429&gt;0,$G1429&gt;0,$F1429&lt;=$A1429,$G1429&lt;=$A1429,$A1429-$F1429&lt;=10,$A1429-$G1429&lt;=5),$D1429*$E1429/$C1429-1,NA()),NA())</ns0:f>
        <ns0:v/>
      </ns0:c>
      <ns0:c r="C1429">
        <ns0:f>IFERROR(IF(ISNUMBER($A1429),IF(AND(AH!$P$10=1,AH!$P$12=1,$A1429=TODAY()),AH!$P$19,IF(AH!$P$10=1,INDEX('Live History'!$B$5:$B$3004,AH!$P$13+1424),INDEX('AH History'!$B$1:$B$18046,AH!$P$7+1424))),NA()),NA())</ns0:f>
        <ns0:v/>
      </ns0:c>
      <ns0:c r="D1429">
        <ns0:f>IFERROR(IF(ISNUMBER($A1429),IF(AND(AH!$P$10=1,AH!$P$12=1,$A1429=TODAY()),AH!$P$18,IF(AH!$P$10=1,INDEX('Live History'!$E$5:$E$3004,MATCH($A1429,'Live History'!$D$5:$D$3004,1)),INDEX('AH History'!$C$1:$C$18046,AH!$P$7+1424))),NA()),NA())</ns0:f>
        <ns0:v/>
      </ns0:c>
      <ns0:c r="E1429">
        <ns0:f>IFERROR(IF(ISNUMBER($A1429),IF(AND(AH!$P$10=1,AH!$P$12=1,$A1429=TODAY()),AH!$P$20,IF(AH!$P$10=1,INDEX('Live History'!$H$5:$H$3004,MATCH($A1429,'Live History'!$G$5:$G$3004,1)),INDEX('AH History'!$D$1:$D$18046,AH!$P$7+1424))),NA()),NA())</ns0:f>
        <ns0:v/>
      </ns0:c>
      <ns0:c r="F1429">
        <ns0:f>IFERROR(IF(ISNUMBER($A1429),IF(AND(AH!$P$10=1,AH!$P$12=1,$A1429=TODAY()),IF(AND(AH!$P$10=1,AH!$P$12=1,$A1429=TODAY()),TODAY(),NA()),IF(AH!$P$10=1,INDEX('Live History'!$D$5:$D$3004,MATCH($A1429,'Live History'!$D$5:$D$3004,1)),INDEX('AH History'!$E$1:$E$18046,AH!$P$7+1424))),NA()),NA())</ns0:f>
        <ns0:v/>
      </ns0:c>
      <ns0:c r="G1429">
        <ns0:f>IFERROR(IF(ISNUMBER($A1429),IF(AND(AH!$P$10=1,AH!$P$12=1,$A1429=TODAY()),IF(AND(AH!$P$10=1,AH!$P$12=1,$A1429=TODAY()),TODAY(),NA()),IF(AH!$P$10=1,INDEX('Live History'!$G$5:$G$3004,MATCH($A1429,'Live History'!$G$5:$G$3004,1)),INDEX('AH History'!$F$1:$F$18046,AH!$P$7+1424))),NA()),NA())</ns0:f>
        <ns0:v/>
      </ns0:c>
      <ns0:c r="H1429">
        <ns0:f>IFERROR(IF(AND(AH!$E$4="Bloomberg",AH!$P$10=1,ISNUMBER($A1429),$A1429&lt;=AH!$P$17),AH!$P$7-1+MATCH($A1429,INDEX('AH History'!$A$1:$A$18046,AH!$P$7):INDEX('AH History'!$A$1:$A$18046,AH!$P$7+AH!$P$8-1),0),0),0)</ns0:f>
        <ns0:v/>
      </ns0:c>
      <ns0:c r="I1429">
        <ns0:f>IF($H1429=0,0,IFERROR(IF(AND(ABS($C1429-INDEX('AH History'!$B$1:$B$18046,$H1429))&lt;=MAX(0.005,ABS(INDEX('AH History'!$B$1:$B$18046,$H1429))*0.00005),ABS($D1429-INDEX('AH History'!$C$1:$C$18046,$H1429))&lt;=MAX(0.005,ABS(INDEX('AH History'!$C$1:$C$18046,$H1429))*0.00005),ABS($E1429-INDEX('AH History'!$D$1:$D$18046,$H1429))&lt;=0.00005,$F1429=INDEX('AH History'!$E$1:$E$18046,$H1429),$G1429=INDEX('AH History'!$F$1:$F$18046,$H1429)),1,-1),-1))</ns0:f>
        <ns0:v/>
      </ns0:c>
    </ns0:row>
    <ns0:row r="1430">
      <ns0:c r="A1430" s="215">
        <ns0:f>IF(OR(AH!$P$3=0,1425+1&gt;AH!$P$11,AND(AH!$E$4&lt;&gt;"Stored",AH!$P$10&lt;&gt;1)),"",IFERROR(IF(AND(AH!$P$21=1,1425+1=AH!$P$11),TODAY(),IF(AH!$P$10=1,INDEX('Live History'!$A$5:$A$3004,AH!$P$13+1425),INDEX('AH History'!$A$1:$A$18046,AH!$P$7+1425))),""))</ns0:f>
        <ns0:v/>
      </ns0:c>
      <ns0:c r="B1430" s="219">
        <ns0:f>IFERROR(IF(AND(AH!$P$9&lt;&gt;1,$C1430&gt;0,$D1430&gt;0,$E1430&gt;0,$F1430&gt;0,$G1430&gt;0,$F1430&lt;=$A1430,$G1430&lt;=$A1430,$A1430-$F1430&lt;=10,$A1430-$G1430&lt;=5),$D1430*$E1430/$C1430-1,NA()),NA())</ns0:f>
        <ns0:v/>
      </ns0:c>
      <ns0:c r="C1430">
        <ns0:f>IFERROR(IF(ISNUMBER($A1430),IF(AND(AH!$P$10=1,AH!$P$12=1,$A1430=TODAY()),AH!$P$19,IF(AH!$P$10=1,INDEX('Live History'!$B$5:$B$3004,AH!$P$13+1425),INDEX('AH History'!$B$1:$B$18046,AH!$P$7+1425))),NA()),NA())</ns0:f>
        <ns0:v/>
      </ns0:c>
      <ns0:c r="D1430">
        <ns0:f>IFERROR(IF(ISNUMBER($A1430),IF(AND(AH!$P$10=1,AH!$P$12=1,$A1430=TODAY()),AH!$P$18,IF(AH!$P$10=1,INDEX('Live History'!$E$5:$E$3004,MATCH($A1430,'Live History'!$D$5:$D$3004,1)),INDEX('AH History'!$C$1:$C$18046,AH!$P$7+1425))),NA()),NA())</ns0:f>
        <ns0:v/>
      </ns0:c>
      <ns0:c r="E1430">
        <ns0:f>IFERROR(IF(ISNUMBER($A1430),IF(AND(AH!$P$10=1,AH!$P$12=1,$A1430=TODAY()),AH!$P$20,IF(AH!$P$10=1,INDEX('Live History'!$H$5:$H$3004,MATCH($A1430,'Live History'!$G$5:$G$3004,1)),INDEX('AH History'!$D$1:$D$18046,AH!$P$7+1425))),NA()),NA())</ns0:f>
        <ns0:v/>
      </ns0:c>
      <ns0:c r="F1430">
        <ns0:f>IFERROR(IF(ISNUMBER($A1430),IF(AND(AH!$P$10=1,AH!$P$12=1,$A1430=TODAY()),IF(AND(AH!$P$10=1,AH!$P$12=1,$A1430=TODAY()),TODAY(),NA()),IF(AH!$P$10=1,INDEX('Live History'!$D$5:$D$3004,MATCH($A1430,'Live History'!$D$5:$D$3004,1)),INDEX('AH History'!$E$1:$E$18046,AH!$P$7+1425))),NA()),NA())</ns0:f>
        <ns0:v/>
      </ns0:c>
      <ns0:c r="G1430">
        <ns0:f>IFERROR(IF(ISNUMBER($A1430),IF(AND(AH!$P$10=1,AH!$P$12=1,$A1430=TODAY()),IF(AND(AH!$P$10=1,AH!$P$12=1,$A1430=TODAY()),TODAY(),NA()),IF(AH!$P$10=1,INDEX('Live History'!$G$5:$G$3004,MATCH($A1430,'Live History'!$G$5:$G$3004,1)),INDEX('AH History'!$F$1:$F$18046,AH!$P$7+1425))),NA()),NA())</ns0:f>
        <ns0:v/>
      </ns0:c>
      <ns0:c r="H1430">
        <ns0:f>IFERROR(IF(AND(AH!$E$4="Bloomberg",AH!$P$10=1,ISNUMBER($A1430),$A1430&lt;=AH!$P$17),AH!$P$7-1+MATCH($A1430,INDEX('AH History'!$A$1:$A$18046,AH!$P$7):INDEX('AH History'!$A$1:$A$18046,AH!$P$7+AH!$P$8-1),0),0),0)</ns0:f>
        <ns0:v/>
      </ns0:c>
      <ns0:c r="I1430">
        <ns0:f>IF($H1430=0,0,IFERROR(IF(AND(ABS($C1430-INDEX('AH History'!$B$1:$B$18046,$H1430))&lt;=MAX(0.005,ABS(INDEX('AH History'!$B$1:$B$18046,$H1430))*0.00005),ABS($D1430-INDEX('AH History'!$C$1:$C$18046,$H1430))&lt;=MAX(0.005,ABS(INDEX('AH History'!$C$1:$C$18046,$H1430))*0.00005),ABS($E1430-INDEX('AH History'!$D$1:$D$18046,$H1430))&lt;=0.00005,$F1430=INDEX('AH History'!$E$1:$E$18046,$H1430),$G1430=INDEX('AH History'!$F$1:$F$18046,$H1430)),1,-1),-1))</ns0:f>
        <ns0:v/>
      </ns0:c>
    </ns0:row>
    <ns0:row r="1431">
      <ns0:c r="A1431" s="215">
        <ns0:f>IF(OR(AH!$P$3=0,1426+1&gt;AH!$P$11,AND(AH!$E$4&lt;&gt;"Stored",AH!$P$10&lt;&gt;1)),"",IFERROR(IF(AND(AH!$P$21=1,1426+1=AH!$P$11),TODAY(),IF(AH!$P$10=1,INDEX('Live History'!$A$5:$A$3004,AH!$P$13+1426),INDEX('AH History'!$A$1:$A$18046,AH!$P$7+1426))),""))</ns0:f>
        <ns0:v/>
      </ns0:c>
      <ns0:c r="B1431" s="219">
        <ns0:f>IFERROR(IF(AND(AH!$P$9&lt;&gt;1,$C1431&gt;0,$D1431&gt;0,$E1431&gt;0,$F1431&gt;0,$G1431&gt;0,$F1431&lt;=$A1431,$G1431&lt;=$A1431,$A1431-$F1431&lt;=10,$A1431-$G1431&lt;=5),$D1431*$E1431/$C1431-1,NA()),NA())</ns0:f>
        <ns0:v/>
      </ns0:c>
      <ns0:c r="C1431">
        <ns0:f>IFERROR(IF(ISNUMBER($A1431),IF(AND(AH!$P$10=1,AH!$P$12=1,$A1431=TODAY()),AH!$P$19,IF(AH!$P$10=1,INDEX('Live History'!$B$5:$B$3004,AH!$P$13+1426),INDEX('AH History'!$B$1:$B$18046,AH!$P$7+1426))),NA()),NA())</ns0:f>
        <ns0:v/>
      </ns0:c>
      <ns0:c r="D1431">
        <ns0:f>IFERROR(IF(ISNUMBER($A1431),IF(AND(AH!$P$10=1,AH!$P$12=1,$A1431=TODAY()),AH!$P$18,IF(AH!$P$10=1,INDEX('Live History'!$E$5:$E$3004,MATCH($A1431,'Live History'!$D$5:$D$3004,1)),INDEX('AH History'!$C$1:$C$18046,AH!$P$7+1426))),NA()),NA())</ns0:f>
        <ns0:v/>
      </ns0:c>
      <ns0:c r="E1431">
        <ns0:f>IFERROR(IF(ISNUMBER($A1431),IF(AND(AH!$P$10=1,AH!$P$12=1,$A1431=TODAY()),AH!$P$20,IF(AH!$P$10=1,INDEX('Live History'!$H$5:$H$3004,MATCH($A1431,'Live History'!$G$5:$G$3004,1)),INDEX('AH History'!$D$1:$D$18046,AH!$P$7+1426))),NA()),NA())</ns0:f>
        <ns0:v/>
      </ns0:c>
      <ns0:c r="F1431">
        <ns0:f>IFERROR(IF(ISNUMBER($A1431),IF(AND(AH!$P$10=1,AH!$P$12=1,$A1431=TODAY()),IF(AND(AH!$P$10=1,AH!$P$12=1,$A1431=TODAY()),TODAY(),NA()),IF(AH!$P$10=1,INDEX('Live History'!$D$5:$D$3004,MATCH($A1431,'Live History'!$D$5:$D$3004,1)),INDEX('AH History'!$E$1:$E$18046,AH!$P$7+1426))),NA()),NA())</ns0:f>
        <ns0:v/>
      </ns0:c>
      <ns0:c r="G1431">
        <ns0:f>IFERROR(IF(ISNUMBER($A1431),IF(AND(AH!$P$10=1,AH!$P$12=1,$A1431=TODAY()),IF(AND(AH!$P$10=1,AH!$P$12=1,$A1431=TODAY()),TODAY(),NA()),IF(AH!$P$10=1,INDEX('Live History'!$G$5:$G$3004,MATCH($A1431,'Live History'!$G$5:$G$3004,1)),INDEX('AH History'!$F$1:$F$18046,AH!$P$7+1426))),NA()),NA())</ns0:f>
        <ns0:v/>
      </ns0:c>
      <ns0:c r="H1431">
        <ns0:f>IFERROR(IF(AND(AH!$E$4="Bloomberg",AH!$P$10=1,ISNUMBER($A1431),$A1431&lt;=AH!$P$17),AH!$P$7-1+MATCH($A1431,INDEX('AH History'!$A$1:$A$18046,AH!$P$7):INDEX('AH History'!$A$1:$A$18046,AH!$P$7+AH!$P$8-1),0),0),0)</ns0:f>
        <ns0:v/>
      </ns0:c>
      <ns0:c r="I1431">
        <ns0:f>IF($H1431=0,0,IFERROR(IF(AND(ABS($C1431-INDEX('AH History'!$B$1:$B$18046,$H1431))&lt;=MAX(0.005,ABS(INDEX('AH History'!$B$1:$B$18046,$H1431))*0.00005),ABS($D1431-INDEX('AH History'!$C$1:$C$18046,$H1431))&lt;=MAX(0.005,ABS(INDEX('AH History'!$C$1:$C$18046,$H1431))*0.00005),ABS($E1431-INDEX('AH History'!$D$1:$D$18046,$H1431))&lt;=0.00005,$F1431=INDEX('AH History'!$E$1:$E$18046,$H1431),$G1431=INDEX('AH History'!$F$1:$F$18046,$H1431)),1,-1),-1))</ns0:f>
        <ns0:v/>
      </ns0:c>
    </ns0:row>
    <ns0:row r="1432">
      <ns0:c r="A1432" s="215">
        <ns0:f>IF(OR(AH!$P$3=0,1427+1&gt;AH!$P$11,AND(AH!$E$4&lt;&gt;"Stored",AH!$P$10&lt;&gt;1)),"",IFERROR(IF(AND(AH!$P$21=1,1427+1=AH!$P$11),TODAY(),IF(AH!$P$10=1,INDEX('Live History'!$A$5:$A$3004,AH!$P$13+1427),INDEX('AH History'!$A$1:$A$18046,AH!$P$7+1427))),""))</ns0:f>
        <ns0:v/>
      </ns0:c>
      <ns0:c r="B1432" s="219">
        <ns0:f>IFERROR(IF(AND(AH!$P$9&lt;&gt;1,$C1432&gt;0,$D1432&gt;0,$E1432&gt;0,$F1432&gt;0,$G1432&gt;0,$F1432&lt;=$A1432,$G1432&lt;=$A1432,$A1432-$F1432&lt;=10,$A1432-$G1432&lt;=5),$D1432*$E1432/$C1432-1,NA()),NA())</ns0:f>
        <ns0:v/>
      </ns0:c>
      <ns0:c r="C1432">
        <ns0:f>IFERROR(IF(ISNUMBER($A1432),IF(AND(AH!$P$10=1,AH!$P$12=1,$A1432=TODAY()),AH!$P$19,IF(AH!$P$10=1,INDEX('Live History'!$B$5:$B$3004,AH!$P$13+1427),INDEX('AH History'!$B$1:$B$18046,AH!$P$7+1427))),NA()),NA())</ns0:f>
        <ns0:v/>
      </ns0:c>
      <ns0:c r="D1432">
        <ns0:f>IFERROR(IF(ISNUMBER($A1432),IF(AND(AH!$P$10=1,AH!$P$12=1,$A1432=TODAY()),AH!$P$18,IF(AH!$P$10=1,INDEX('Live History'!$E$5:$E$3004,MATCH($A1432,'Live History'!$D$5:$D$3004,1)),INDEX('AH History'!$C$1:$C$18046,AH!$P$7+1427))),NA()),NA())</ns0:f>
        <ns0:v/>
      </ns0:c>
      <ns0:c r="E1432">
        <ns0:f>IFERROR(IF(ISNUMBER($A1432),IF(AND(AH!$P$10=1,AH!$P$12=1,$A1432=TODAY()),AH!$P$20,IF(AH!$P$10=1,INDEX('Live History'!$H$5:$H$3004,MATCH($A1432,'Live History'!$G$5:$G$3004,1)),INDEX('AH History'!$D$1:$D$18046,AH!$P$7+1427))),NA()),NA())</ns0:f>
        <ns0:v/>
      </ns0:c>
      <ns0:c r="F1432">
        <ns0:f>IFERROR(IF(ISNUMBER($A1432),IF(AND(AH!$P$10=1,AH!$P$12=1,$A1432=TODAY()),IF(AND(AH!$P$10=1,AH!$P$12=1,$A1432=TODAY()),TODAY(),NA()),IF(AH!$P$10=1,INDEX('Live History'!$D$5:$D$3004,MATCH($A1432,'Live History'!$D$5:$D$3004,1)),INDEX('AH History'!$E$1:$E$18046,AH!$P$7+1427))),NA()),NA())</ns0:f>
        <ns0:v/>
      </ns0:c>
      <ns0:c r="G1432">
        <ns0:f>IFERROR(IF(ISNUMBER($A1432),IF(AND(AH!$P$10=1,AH!$P$12=1,$A1432=TODAY()),IF(AND(AH!$P$10=1,AH!$P$12=1,$A1432=TODAY()),TODAY(),NA()),IF(AH!$P$10=1,INDEX('Live History'!$G$5:$G$3004,MATCH($A1432,'Live History'!$G$5:$G$3004,1)),INDEX('AH History'!$F$1:$F$18046,AH!$P$7+1427))),NA()),NA())</ns0:f>
        <ns0:v/>
      </ns0:c>
      <ns0:c r="H1432">
        <ns0:f>IFERROR(IF(AND(AH!$E$4="Bloomberg",AH!$P$10=1,ISNUMBER($A1432),$A1432&lt;=AH!$P$17),AH!$P$7-1+MATCH($A1432,INDEX('AH History'!$A$1:$A$18046,AH!$P$7):INDEX('AH History'!$A$1:$A$18046,AH!$P$7+AH!$P$8-1),0),0),0)</ns0:f>
        <ns0:v/>
      </ns0:c>
      <ns0:c r="I1432">
        <ns0:f>IF($H1432=0,0,IFERROR(IF(AND(ABS($C1432-INDEX('AH History'!$B$1:$B$18046,$H1432))&lt;=MAX(0.005,ABS(INDEX('AH History'!$B$1:$B$18046,$H1432))*0.00005),ABS($D1432-INDEX('AH History'!$C$1:$C$18046,$H1432))&lt;=MAX(0.005,ABS(INDEX('AH History'!$C$1:$C$18046,$H1432))*0.00005),ABS($E1432-INDEX('AH History'!$D$1:$D$18046,$H1432))&lt;=0.00005,$F1432=INDEX('AH History'!$E$1:$E$18046,$H1432),$G1432=INDEX('AH History'!$F$1:$F$18046,$H1432)),1,-1),-1))</ns0:f>
        <ns0:v/>
      </ns0:c>
    </ns0:row>
    <ns0:row r="1433">
      <ns0:c r="A1433" s="215">
        <ns0:f>IF(OR(AH!$P$3=0,1428+1&gt;AH!$P$11,AND(AH!$E$4&lt;&gt;"Stored",AH!$P$10&lt;&gt;1)),"",IFERROR(IF(AND(AH!$P$21=1,1428+1=AH!$P$11),TODAY(),IF(AH!$P$10=1,INDEX('Live History'!$A$5:$A$3004,AH!$P$13+1428),INDEX('AH History'!$A$1:$A$18046,AH!$P$7+1428))),""))</ns0:f>
        <ns0:v/>
      </ns0:c>
      <ns0:c r="B1433" s="219">
        <ns0:f>IFERROR(IF(AND(AH!$P$9&lt;&gt;1,$C1433&gt;0,$D1433&gt;0,$E1433&gt;0,$F1433&gt;0,$G1433&gt;0,$F1433&lt;=$A1433,$G1433&lt;=$A1433,$A1433-$F1433&lt;=10,$A1433-$G1433&lt;=5),$D1433*$E1433/$C1433-1,NA()),NA())</ns0:f>
        <ns0:v/>
      </ns0:c>
      <ns0:c r="C1433">
        <ns0:f>IFERROR(IF(ISNUMBER($A1433),IF(AND(AH!$P$10=1,AH!$P$12=1,$A1433=TODAY()),AH!$P$19,IF(AH!$P$10=1,INDEX('Live History'!$B$5:$B$3004,AH!$P$13+1428),INDEX('AH History'!$B$1:$B$18046,AH!$P$7+1428))),NA()),NA())</ns0:f>
        <ns0:v/>
      </ns0:c>
      <ns0:c r="D1433">
        <ns0:f>IFERROR(IF(ISNUMBER($A1433),IF(AND(AH!$P$10=1,AH!$P$12=1,$A1433=TODAY()),AH!$P$18,IF(AH!$P$10=1,INDEX('Live History'!$E$5:$E$3004,MATCH($A1433,'Live History'!$D$5:$D$3004,1)),INDEX('AH History'!$C$1:$C$18046,AH!$P$7+1428))),NA()),NA())</ns0:f>
        <ns0:v/>
      </ns0:c>
      <ns0:c r="E1433">
        <ns0:f>IFERROR(IF(ISNUMBER($A1433),IF(AND(AH!$P$10=1,AH!$P$12=1,$A1433=TODAY()),AH!$P$20,IF(AH!$P$10=1,INDEX('Live History'!$H$5:$H$3004,MATCH($A1433,'Live History'!$G$5:$G$3004,1)),INDEX('AH History'!$D$1:$D$18046,AH!$P$7+1428))),NA()),NA())</ns0:f>
        <ns0:v/>
      </ns0:c>
      <ns0:c r="F1433">
        <ns0:f>IFERROR(IF(ISNUMBER($A1433),IF(AND(AH!$P$10=1,AH!$P$12=1,$A1433=TODAY()),IF(AND(AH!$P$10=1,AH!$P$12=1,$A1433=TODAY()),TODAY(),NA()),IF(AH!$P$10=1,INDEX('Live History'!$D$5:$D$3004,MATCH($A1433,'Live History'!$D$5:$D$3004,1)),INDEX('AH History'!$E$1:$E$18046,AH!$P$7+1428))),NA()),NA())</ns0:f>
        <ns0:v/>
      </ns0:c>
      <ns0:c r="G1433">
        <ns0:f>IFERROR(IF(ISNUMBER($A1433),IF(AND(AH!$P$10=1,AH!$P$12=1,$A1433=TODAY()),IF(AND(AH!$P$10=1,AH!$P$12=1,$A1433=TODAY()),TODAY(),NA()),IF(AH!$P$10=1,INDEX('Live History'!$G$5:$G$3004,MATCH($A1433,'Live History'!$G$5:$G$3004,1)),INDEX('AH History'!$F$1:$F$18046,AH!$P$7+1428))),NA()),NA())</ns0:f>
        <ns0:v/>
      </ns0:c>
      <ns0:c r="H1433">
        <ns0:f>IFERROR(IF(AND(AH!$E$4="Bloomberg",AH!$P$10=1,ISNUMBER($A1433),$A1433&lt;=AH!$P$17),AH!$P$7-1+MATCH($A1433,INDEX('AH History'!$A$1:$A$18046,AH!$P$7):INDEX('AH History'!$A$1:$A$18046,AH!$P$7+AH!$P$8-1),0),0),0)</ns0:f>
        <ns0:v/>
      </ns0:c>
      <ns0:c r="I1433">
        <ns0:f>IF($H1433=0,0,IFERROR(IF(AND(ABS($C1433-INDEX('AH History'!$B$1:$B$18046,$H1433))&lt;=MAX(0.005,ABS(INDEX('AH History'!$B$1:$B$18046,$H1433))*0.00005),ABS($D1433-INDEX('AH History'!$C$1:$C$18046,$H1433))&lt;=MAX(0.005,ABS(INDEX('AH History'!$C$1:$C$18046,$H1433))*0.00005),ABS($E1433-INDEX('AH History'!$D$1:$D$18046,$H1433))&lt;=0.00005,$F1433=INDEX('AH History'!$E$1:$E$18046,$H1433),$G1433=INDEX('AH History'!$F$1:$F$18046,$H1433)),1,-1),-1))</ns0:f>
        <ns0:v/>
      </ns0:c>
    </ns0:row>
    <ns0:row r="1434">
      <ns0:c r="A1434" s="215">
        <ns0:f>IF(OR(AH!$P$3=0,1429+1&gt;AH!$P$11,AND(AH!$E$4&lt;&gt;"Stored",AH!$P$10&lt;&gt;1)),"",IFERROR(IF(AND(AH!$P$21=1,1429+1=AH!$P$11),TODAY(),IF(AH!$P$10=1,INDEX('Live History'!$A$5:$A$3004,AH!$P$13+1429),INDEX('AH History'!$A$1:$A$18046,AH!$P$7+1429))),""))</ns0:f>
        <ns0:v/>
      </ns0:c>
      <ns0:c r="B1434" s="219">
        <ns0:f>IFERROR(IF(AND(AH!$P$9&lt;&gt;1,$C1434&gt;0,$D1434&gt;0,$E1434&gt;0,$F1434&gt;0,$G1434&gt;0,$F1434&lt;=$A1434,$G1434&lt;=$A1434,$A1434-$F1434&lt;=10,$A1434-$G1434&lt;=5),$D1434*$E1434/$C1434-1,NA()),NA())</ns0:f>
        <ns0:v/>
      </ns0:c>
      <ns0:c r="C1434">
        <ns0:f>IFERROR(IF(ISNUMBER($A1434),IF(AND(AH!$P$10=1,AH!$P$12=1,$A1434=TODAY()),AH!$P$19,IF(AH!$P$10=1,INDEX('Live History'!$B$5:$B$3004,AH!$P$13+1429),INDEX('AH History'!$B$1:$B$18046,AH!$P$7+1429))),NA()),NA())</ns0:f>
        <ns0:v/>
      </ns0:c>
      <ns0:c r="D1434">
        <ns0:f>IFERROR(IF(ISNUMBER($A1434),IF(AND(AH!$P$10=1,AH!$P$12=1,$A1434=TODAY()),AH!$P$18,IF(AH!$P$10=1,INDEX('Live History'!$E$5:$E$3004,MATCH($A1434,'Live History'!$D$5:$D$3004,1)),INDEX('AH History'!$C$1:$C$18046,AH!$P$7+1429))),NA()),NA())</ns0:f>
        <ns0:v/>
      </ns0:c>
      <ns0:c r="E1434">
        <ns0:f>IFERROR(IF(ISNUMBER($A1434),IF(AND(AH!$P$10=1,AH!$P$12=1,$A1434=TODAY()),AH!$P$20,IF(AH!$P$10=1,INDEX('Live History'!$H$5:$H$3004,MATCH($A1434,'Live History'!$G$5:$G$3004,1)),INDEX('AH History'!$D$1:$D$18046,AH!$P$7+1429))),NA()),NA())</ns0:f>
        <ns0:v/>
      </ns0:c>
      <ns0:c r="F1434">
        <ns0:f>IFERROR(IF(ISNUMBER($A1434),IF(AND(AH!$P$10=1,AH!$P$12=1,$A1434=TODAY()),IF(AND(AH!$P$10=1,AH!$P$12=1,$A1434=TODAY()),TODAY(),NA()),IF(AH!$P$10=1,INDEX('Live History'!$D$5:$D$3004,MATCH($A1434,'Live History'!$D$5:$D$3004,1)),INDEX('AH History'!$E$1:$E$18046,AH!$P$7+1429))),NA()),NA())</ns0:f>
        <ns0:v/>
      </ns0:c>
      <ns0:c r="G1434">
        <ns0:f>IFERROR(IF(ISNUMBER($A1434),IF(AND(AH!$P$10=1,AH!$P$12=1,$A1434=TODAY()),IF(AND(AH!$P$10=1,AH!$P$12=1,$A1434=TODAY()),TODAY(),NA()),IF(AH!$P$10=1,INDEX('Live History'!$G$5:$G$3004,MATCH($A1434,'Live History'!$G$5:$G$3004,1)),INDEX('AH History'!$F$1:$F$18046,AH!$P$7+1429))),NA()),NA())</ns0:f>
        <ns0:v/>
      </ns0:c>
      <ns0:c r="H1434">
        <ns0:f>IFERROR(IF(AND(AH!$E$4="Bloomberg",AH!$P$10=1,ISNUMBER($A1434),$A1434&lt;=AH!$P$17),AH!$P$7-1+MATCH($A1434,INDEX('AH History'!$A$1:$A$18046,AH!$P$7):INDEX('AH History'!$A$1:$A$18046,AH!$P$7+AH!$P$8-1),0),0),0)</ns0:f>
        <ns0:v/>
      </ns0:c>
      <ns0:c r="I1434">
        <ns0:f>IF($H1434=0,0,IFERROR(IF(AND(ABS($C1434-INDEX('AH History'!$B$1:$B$18046,$H1434))&lt;=MAX(0.005,ABS(INDEX('AH History'!$B$1:$B$18046,$H1434))*0.00005),ABS($D1434-INDEX('AH History'!$C$1:$C$18046,$H1434))&lt;=MAX(0.005,ABS(INDEX('AH History'!$C$1:$C$18046,$H1434))*0.00005),ABS($E1434-INDEX('AH History'!$D$1:$D$18046,$H1434))&lt;=0.00005,$F1434=INDEX('AH History'!$E$1:$E$18046,$H1434),$G1434=INDEX('AH History'!$F$1:$F$18046,$H1434)),1,-1),-1))</ns0:f>
        <ns0:v/>
      </ns0:c>
    </ns0:row>
    <ns0:row r="1435">
      <ns0:c r="A1435" s="215">
        <ns0:f>IF(OR(AH!$P$3=0,1430+1&gt;AH!$P$11,AND(AH!$E$4&lt;&gt;"Stored",AH!$P$10&lt;&gt;1)),"",IFERROR(IF(AND(AH!$P$21=1,1430+1=AH!$P$11),TODAY(),IF(AH!$P$10=1,INDEX('Live History'!$A$5:$A$3004,AH!$P$13+1430),INDEX('AH History'!$A$1:$A$18046,AH!$P$7+1430))),""))</ns0:f>
        <ns0:v/>
      </ns0:c>
      <ns0:c r="B1435" s="219">
        <ns0:f>IFERROR(IF(AND(AH!$P$9&lt;&gt;1,$C1435&gt;0,$D1435&gt;0,$E1435&gt;0,$F1435&gt;0,$G1435&gt;0,$F1435&lt;=$A1435,$G1435&lt;=$A1435,$A1435-$F1435&lt;=10,$A1435-$G1435&lt;=5),$D1435*$E1435/$C1435-1,NA()),NA())</ns0:f>
        <ns0:v/>
      </ns0:c>
      <ns0:c r="C1435">
        <ns0:f>IFERROR(IF(ISNUMBER($A1435),IF(AND(AH!$P$10=1,AH!$P$12=1,$A1435=TODAY()),AH!$P$19,IF(AH!$P$10=1,INDEX('Live History'!$B$5:$B$3004,AH!$P$13+1430),INDEX('AH History'!$B$1:$B$18046,AH!$P$7+1430))),NA()),NA())</ns0:f>
        <ns0:v/>
      </ns0:c>
      <ns0:c r="D1435">
        <ns0:f>IFERROR(IF(ISNUMBER($A1435),IF(AND(AH!$P$10=1,AH!$P$12=1,$A1435=TODAY()),AH!$P$18,IF(AH!$P$10=1,INDEX('Live History'!$E$5:$E$3004,MATCH($A1435,'Live History'!$D$5:$D$3004,1)),INDEX('AH History'!$C$1:$C$18046,AH!$P$7+1430))),NA()),NA())</ns0:f>
        <ns0:v/>
      </ns0:c>
      <ns0:c r="E1435">
        <ns0:f>IFERROR(IF(ISNUMBER($A1435),IF(AND(AH!$P$10=1,AH!$P$12=1,$A1435=TODAY()),AH!$P$20,IF(AH!$P$10=1,INDEX('Live History'!$H$5:$H$3004,MATCH($A1435,'Live History'!$G$5:$G$3004,1)),INDEX('AH History'!$D$1:$D$18046,AH!$P$7+1430))),NA()),NA())</ns0:f>
        <ns0:v/>
      </ns0:c>
      <ns0:c r="F1435">
        <ns0:f>IFERROR(IF(ISNUMBER($A1435),IF(AND(AH!$P$10=1,AH!$P$12=1,$A1435=TODAY()),IF(AND(AH!$P$10=1,AH!$P$12=1,$A1435=TODAY()),TODAY(),NA()),IF(AH!$P$10=1,INDEX('Live History'!$D$5:$D$3004,MATCH($A1435,'Live History'!$D$5:$D$3004,1)),INDEX('AH History'!$E$1:$E$18046,AH!$P$7+1430))),NA()),NA())</ns0:f>
        <ns0:v/>
      </ns0:c>
      <ns0:c r="G1435">
        <ns0:f>IFERROR(IF(ISNUMBER($A1435),IF(AND(AH!$P$10=1,AH!$P$12=1,$A1435=TODAY()),IF(AND(AH!$P$10=1,AH!$P$12=1,$A1435=TODAY()),TODAY(),NA()),IF(AH!$P$10=1,INDEX('Live History'!$G$5:$G$3004,MATCH($A1435,'Live History'!$G$5:$G$3004,1)),INDEX('AH History'!$F$1:$F$18046,AH!$P$7+1430))),NA()),NA())</ns0:f>
        <ns0:v/>
      </ns0:c>
      <ns0:c r="H1435">
        <ns0:f>IFERROR(IF(AND(AH!$E$4="Bloomberg",AH!$P$10=1,ISNUMBER($A1435),$A1435&lt;=AH!$P$17),AH!$P$7-1+MATCH($A1435,INDEX('AH History'!$A$1:$A$18046,AH!$P$7):INDEX('AH History'!$A$1:$A$18046,AH!$P$7+AH!$P$8-1),0),0),0)</ns0:f>
        <ns0:v/>
      </ns0:c>
      <ns0:c r="I1435">
        <ns0:f>IF($H1435=0,0,IFERROR(IF(AND(ABS($C1435-INDEX('AH History'!$B$1:$B$18046,$H1435))&lt;=MAX(0.005,ABS(INDEX('AH History'!$B$1:$B$18046,$H1435))*0.00005),ABS($D1435-INDEX('AH History'!$C$1:$C$18046,$H1435))&lt;=MAX(0.005,ABS(INDEX('AH History'!$C$1:$C$18046,$H1435))*0.00005),ABS($E1435-INDEX('AH History'!$D$1:$D$18046,$H1435))&lt;=0.00005,$F1435=INDEX('AH History'!$E$1:$E$18046,$H1435),$G1435=INDEX('AH History'!$F$1:$F$18046,$H1435)),1,-1),-1))</ns0:f>
        <ns0:v/>
      </ns0:c>
    </ns0:row>
    <ns0:row r="1436">
      <ns0:c r="A1436" s="215">
        <ns0:f>IF(OR(AH!$P$3=0,1431+1&gt;AH!$P$11,AND(AH!$E$4&lt;&gt;"Stored",AH!$P$10&lt;&gt;1)),"",IFERROR(IF(AND(AH!$P$21=1,1431+1=AH!$P$11),TODAY(),IF(AH!$P$10=1,INDEX('Live History'!$A$5:$A$3004,AH!$P$13+1431),INDEX('AH History'!$A$1:$A$18046,AH!$P$7+1431))),""))</ns0:f>
        <ns0:v/>
      </ns0:c>
      <ns0:c r="B1436" s="219">
        <ns0:f>IFERROR(IF(AND(AH!$P$9&lt;&gt;1,$C1436&gt;0,$D1436&gt;0,$E1436&gt;0,$F1436&gt;0,$G1436&gt;0,$F1436&lt;=$A1436,$G1436&lt;=$A1436,$A1436-$F1436&lt;=10,$A1436-$G1436&lt;=5),$D1436*$E1436/$C1436-1,NA()),NA())</ns0:f>
        <ns0:v/>
      </ns0:c>
      <ns0:c r="C1436">
        <ns0:f>IFERROR(IF(ISNUMBER($A1436),IF(AND(AH!$P$10=1,AH!$P$12=1,$A1436=TODAY()),AH!$P$19,IF(AH!$P$10=1,INDEX('Live History'!$B$5:$B$3004,AH!$P$13+1431),INDEX('AH History'!$B$1:$B$18046,AH!$P$7+1431))),NA()),NA())</ns0:f>
        <ns0:v/>
      </ns0:c>
      <ns0:c r="D1436">
        <ns0:f>IFERROR(IF(ISNUMBER($A1436),IF(AND(AH!$P$10=1,AH!$P$12=1,$A1436=TODAY()),AH!$P$18,IF(AH!$P$10=1,INDEX('Live History'!$E$5:$E$3004,MATCH($A1436,'Live History'!$D$5:$D$3004,1)),INDEX('AH History'!$C$1:$C$18046,AH!$P$7+1431))),NA()),NA())</ns0:f>
        <ns0:v/>
      </ns0:c>
      <ns0:c r="E1436">
        <ns0:f>IFERROR(IF(ISNUMBER($A1436),IF(AND(AH!$P$10=1,AH!$P$12=1,$A1436=TODAY()),AH!$P$20,IF(AH!$P$10=1,INDEX('Live History'!$H$5:$H$3004,MATCH($A1436,'Live History'!$G$5:$G$3004,1)),INDEX('AH History'!$D$1:$D$18046,AH!$P$7+1431))),NA()),NA())</ns0:f>
        <ns0:v/>
      </ns0:c>
      <ns0:c r="F1436">
        <ns0:f>IFERROR(IF(ISNUMBER($A1436),IF(AND(AH!$P$10=1,AH!$P$12=1,$A1436=TODAY()),IF(AND(AH!$P$10=1,AH!$P$12=1,$A1436=TODAY()),TODAY(),NA()),IF(AH!$P$10=1,INDEX('Live History'!$D$5:$D$3004,MATCH($A1436,'Live History'!$D$5:$D$3004,1)),INDEX('AH History'!$E$1:$E$18046,AH!$P$7+1431))),NA()),NA())</ns0:f>
        <ns0:v/>
      </ns0:c>
      <ns0:c r="G1436">
        <ns0:f>IFERROR(IF(ISNUMBER($A1436),IF(AND(AH!$P$10=1,AH!$P$12=1,$A1436=TODAY()),IF(AND(AH!$P$10=1,AH!$P$12=1,$A1436=TODAY()),TODAY(),NA()),IF(AH!$P$10=1,INDEX('Live History'!$G$5:$G$3004,MATCH($A1436,'Live History'!$G$5:$G$3004,1)),INDEX('AH History'!$F$1:$F$18046,AH!$P$7+1431))),NA()),NA())</ns0:f>
        <ns0:v/>
      </ns0:c>
      <ns0:c r="H1436">
        <ns0:f>IFERROR(IF(AND(AH!$E$4="Bloomberg",AH!$P$10=1,ISNUMBER($A1436),$A1436&lt;=AH!$P$17),AH!$P$7-1+MATCH($A1436,INDEX('AH History'!$A$1:$A$18046,AH!$P$7):INDEX('AH History'!$A$1:$A$18046,AH!$P$7+AH!$P$8-1),0),0),0)</ns0:f>
        <ns0:v/>
      </ns0:c>
      <ns0:c r="I1436">
        <ns0:f>IF($H1436=0,0,IFERROR(IF(AND(ABS($C1436-INDEX('AH History'!$B$1:$B$18046,$H1436))&lt;=MAX(0.005,ABS(INDEX('AH History'!$B$1:$B$18046,$H1436))*0.00005),ABS($D1436-INDEX('AH History'!$C$1:$C$18046,$H1436))&lt;=MAX(0.005,ABS(INDEX('AH History'!$C$1:$C$18046,$H1436))*0.00005),ABS($E1436-INDEX('AH History'!$D$1:$D$18046,$H1436))&lt;=0.00005,$F1436=INDEX('AH History'!$E$1:$E$18046,$H1436),$G1436=INDEX('AH History'!$F$1:$F$18046,$H1436)),1,-1),-1))</ns0:f>
        <ns0:v/>
      </ns0:c>
    </ns0:row>
    <ns0:row r="1437">
      <ns0:c r="A1437" s="215">
        <ns0:f>IF(OR(AH!$P$3=0,1432+1&gt;AH!$P$11,AND(AH!$E$4&lt;&gt;"Stored",AH!$P$10&lt;&gt;1)),"",IFERROR(IF(AND(AH!$P$21=1,1432+1=AH!$P$11),TODAY(),IF(AH!$P$10=1,INDEX('Live History'!$A$5:$A$3004,AH!$P$13+1432),INDEX('AH History'!$A$1:$A$18046,AH!$P$7+1432))),""))</ns0:f>
        <ns0:v/>
      </ns0:c>
      <ns0:c r="B1437" s="219">
        <ns0:f>IFERROR(IF(AND(AH!$P$9&lt;&gt;1,$C1437&gt;0,$D1437&gt;0,$E1437&gt;0,$F1437&gt;0,$G1437&gt;0,$F1437&lt;=$A1437,$G1437&lt;=$A1437,$A1437-$F1437&lt;=10,$A1437-$G1437&lt;=5),$D1437*$E1437/$C1437-1,NA()),NA())</ns0:f>
        <ns0:v/>
      </ns0:c>
      <ns0:c r="C1437">
        <ns0:f>IFERROR(IF(ISNUMBER($A1437),IF(AND(AH!$P$10=1,AH!$P$12=1,$A1437=TODAY()),AH!$P$19,IF(AH!$P$10=1,INDEX('Live History'!$B$5:$B$3004,AH!$P$13+1432),INDEX('AH History'!$B$1:$B$18046,AH!$P$7+1432))),NA()),NA())</ns0:f>
        <ns0:v/>
      </ns0:c>
      <ns0:c r="D1437">
        <ns0:f>IFERROR(IF(ISNUMBER($A1437),IF(AND(AH!$P$10=1,AH!$P$12=1,$A1437=TODAY()),AH!$P$18,IF(AH!$P$10=1,INDEX('Live History'!$E$5:$E$3004,MATCH($A1437,'Live History'!$D$5:$D$3004,1)),INDEX('AH History'!$C$1:$C$18046,AH!$P$7+1432))),NA()),NA())</ns0:f>
        <ns0:v/>
      </ns0:c>
      <ns0:c r="E1437">
        <ns0:f>IFERROR(IF(ISNUMBER($A1437),IF(AND(AH!$P$10=1,AH!$P$12=1,$A1437=TODAY()),AH!$P$20,IF(AH!$P$10=1,INDEX('Live History'!$H$5:$H$3004,MATCH($A1437,'Live History'!$G$5:$G$3004,1)),INDEX('AH History'!$D$1:$D$18046,AH!$P$7+1432))),NA()),NA())</ns0:f>
        <ns0:v/>
      </ns0:c>
      <ns0:c r="F1437">
        <ns0:f>IFERROR(IF(ISNUMBER($A1437),IF(AND(AH!$P$10=1,AH!$P$12=1,$A1437=TODAY()),IF(AND(AH!$P$10=1,AH!$P$12=1,$A1437=TODAY()),TODAY(),NA()),IF(AH!$P$10=1,INDEX('Live History'!$D$5:$D$3004,MATCH($A1437,'Live History'!$D$5:$D$3004,1)),INDEX('AH History'!$E$1:$E$18046,AH!$P$7+1432))),NA()),NA())</ns0:f>
        <ns0:v/>
      </ns0:c>
      <ns0:c r="G1437">
        <ns0:f>IFERROR(IF(ISNUMBER($A1437),IF(AND(AH!$P$10=1,AH!$P$12=1,$A1437=TODAY()),IF(AND(AH!$P$10=1,AH!$P$12=1,$A1437=TODAY()),TODAY(),NA()),IF(AH!$P$10=1,INDEX('Live History'!$G$5:$G$3004,MATCH($A1437,'Live History'!$G$5:$G$3004,1)),INDEX('AH History'!$F$1:$F$18046,AH!$P$7+1432))),NA()),NA())</ns0:f>
        <ns0:v/>
      </ns0:c>
      <ns0:c r="H1437">
        <ns0:f>IFERROR(IF(AND(AH!$E$4="Bloomberg",AH!$P$10=1,ISNUMBER($A1437),$A1437&lt;=AH!$P$17),AH!$P$7-1+MATCH($A1437,INDEX('AH History'!$A$1:$A$18046,AH!$P$7):INDEX('AH History'!$A$1:$A$18046,AH!$P$7+AH!$P$8-1),0),0),0)</ns0:f>
        <ns0:v/>
      </ns0:c>
      <ns0:c r="I1437">
        <ns0:f>IF($H1437=0,0,IFERROR(IF(AND(ABS($C1437-INDEX('AH History'!$B$1:$B$18046,$H1437))&lt;=MAX(0.005,ABS(INDEX('AH History'!$B$1:$B$18046,$H1437))*0.00005),ABS($D1437-INDEX('AH History'!$C$1:$C$18046,$H1437))&lt;=MAX(0.005,ABS(INDEX('AH History'!$C$1:$C$18046,$H1437))*0.00005),ABS($E1437-INDEX('AH History'!$D$1:$D$18046,$H1437))&lt;=0.00005,$F1437=INDEX('AH History'!$E$1:$E$18046,$H1437),$G1437=INDEX('AH History'!$F$1:$F$18046,$H1437)),1,-1),-1))</ns0:f>
        <ns0:v/>
      </ns0:c>
    </ns0:row>
    <ns0:row r="1438">
      <ns0:c r="A1438" s="215">
        <ns0:f>IF(OR(AH!$P$3=0,1433+1&gt;AH!$P$11,AND(AH!$E$4&lt;&gt;"Stored",AH!$P$10&lt;&gt;1)),"",IFERROR(IF(AND(AH!$P$21=1,1433+1=AH!$P$11),TODAY(),IF(AH!$P$10=1,INDEX('Live History'!$A$5:$A$3004,AH!$P$13+1433),INDEX('AH History'!$A$1:$A$18046,AH!$P$7+1433))),""))</ns0:f>
        <ns0:v/>
      </ns0:c>
      <ns0:c r="B1438" s="219">
        <ns0:f>IFERROR(IF(AND(AH!$P$9&lt;&gt;1,$C1438&gt;0,$D1438&gt;0,$E1438&gt;0,$F1438&gt;0,$G1438&gt;0,$F1438&lt;=$A1438,$G1438&lt;=$A1438,$A1438-$F1438&lt;=10,$A1438-$G1438&lt;=5),$D1438*$E1438/$C1438-1,NA()),NA())</ns0:f>
        <ns0:v/>
      </ns0:c>
      <ns0:c r="C1438">
        <ns0:f>IFERROR(IF(ISNUMBER($A1438),IF(AND(AH!$P$10=1,AH!$P$12=1,$A1438=TODAY()),AH!$P$19,IF(AH!$P$10=1,INDEX('Live History'!$B$5:$B$3004,AH!$P$13+1433),INDEX('AH History'!$B$1:$B$18046,AH!$P$7+1433))),NA()),NA())</ns0:f>
        <ns0:v/>
      </ns0:c>
      <ns0:c r="D1438">
        <ns0:f>IFERROR(IF(ISNUMBER($A1438),IF(AND(AH!$P$10=1,AH!$P$12=1,$A1438=TODAY()),AH!$P$18,IF(AH!$P$10=1,INDEX('Live History'!$E$5:$E$3004,MATCH($A1438,'Live History'!$D$5:$D$3004,1)),INDEX('AH History'!$C$1:$C$18046,AH!$P$7+1433))),NA()),NA())</ns0:f>
        <ns0:v/>
      </ns0:c>
      <ns0:c r="E1438">
        <ns0:f>IFERROR(IF(ISNUMBER($A1438),IF(AND(AH!$P$10=1,AH!$P$12=1,$A1438=TODAY()),AH!$P$20,IF(AH!$P$10=1,INDEX('Live History'!$H$5:$H$3004,MATCH($A1438,'Live History'!$G$5:$G$3004,1)),INDEX('AH History'!$D$1:$D$18046,AH!$P$7+1433))),NA()),NA())</ns0:f>
        <ns0:v/>
      </ns0:c>
      <ns0:c r="F1438">
        <ns0:f>IFERROR(IF(ISNUMBER($A1438),IF(AND(AH!$P$10=1,AH!$P$12=1,$A1438=TODAY()),IF(AND(AH!$P$10=1,AH!$P$12=1,$A1438=TODAY()),TODAY(),NA()),IF(AH!$P$10=1,INDEX('Live History'!$D$5:$D$3004,MATCH($A1438,'Live History'!$D$5:$D$3004,1)),INDEX('AH History'!$E$1:$E$18046,AH!$P$7+1433))),NA()),NA())</ns0:f>
        <ns0:v/>
      </ns0:c>
      <ns0:c r="G1438">
        <ns0:f>IFERROR(IF(ISNUMBER($A1438),IF(AND(AH!$P$10=1,AH!$P$12=1,$A1438=TODAY()),IF(AND(AH!$P$10=1,AH!$P$12=1,$A1438=TODAY()),TODAY(),NA()),IF(AH!$P$10=1,INDEX('Live History'!$G$5:$G$3004,MATCH($A1438,'Live History'!$G$5:$G$3004,1)),INDEX('AH History'!$F$1:$F$18046,AH!$P$7+1433))),NA()),NA())</ns0:f>
        <ns0:v/>
      </ns0:c>
      <ns0:c r="H1438">
        <ns0:f>IFERROR(IF(AND(AH!$E$4="Bloomberg",AH!$P$10=1,ISNUMBER($A1438),$A1438&lt;=AH!$P$17),AH!$P$7-1+MATCH($A1438,INDEX('AH History'!$A$1:$A$18046,AH!$P$7):INDEX('AH History'!$A$1:$A$18046,AH!$P$7+AH!$P$8-1),0),0),0)</ns0:f>
        <ns0:v/>
      </ns0:c>
      <ns0:c r="I1438">
        <ns0:f>IF($H1438=0,0,IFERROR(IF(AND(ABS($C1438-INDEX('AH History'!$B$1:$B$18046,$H1438))&lt;=MAX(0.005,ABS(INDEX('AH History'!$B$1:$B$18046,$H1438))*0.00005),ABS($D1438-INDEX('AH History'!$C$1:$C$18046,$H1438))&lt;=MAX(0.005,ABS(INDEX('AH History'!$C$1:$C$18046,$H1438))*0.00005),ABS($E1438-INDEX('AH History'!$D$1:$D$18046,$H1438))&lt;=0.00005,$F1438=INDEX('AH History'!$E$1:$E$18046,$H1438),$G1438=INDEX('AH History'!$F$1:$F$18046,$H1438)),1,-1),-1))</ns0:f>
        <ns0:v/>
      </ns0:c>
    </ns0:row>
    <ns0:row r="1439">
      <ns0:c r="A1439" s="215">
        <ns0:f>IF(OR(AH!$P$3=0,1434+1&gt;AH!$P$11,AND(AH!$E$4&lt;&gt;"Stored",AH!$P$10&lt;&gt;1)),"",IFERROR(IF(AND(AH!$P$21=1,1434+1=AH!$P$11),TODAY(),IF(AH!$P$10=1,INDEX('Live History'!$A$5:$A$3004,AH!$P$13+1434),INDEX('AH History'!$A$1:$A$18046,AH!$P$7+1434))),""))</ns0:f>
        <ns0:v/>
      </ns0:c>
      <ns0:c r="B1439" s="219">
        <ns0:f>IFERROR(IF(AND(AH!$P$9&lt;&gt;1,$C1439&gt;0,$D1439&gt;0,$E1439&gt;0,$F1439&gt;0,$G1439&gt;0,$F1439&lt;=$A1439,$G1439&lt;=$A1439,$A1439-$F1439&lt;=10,$A1439-$G1439&lt;=5),$D1439*$E1439/$C1439-1,NA()),NA())</ns0:f>
        <ns0:v/>
      </ns0:c>
      <ns0:c r="C1439">
        <ns0:f>IFERROR(IF(ISNUMBER($A1439),IF(AND(AH!$P$10=1,AH!$P$12=1,$A1439=TODAY()),AH!$P$19,IF(AH!$P$10=1,INDEX('Live History'!$B$5:$B$3004,AH!$P$13+1434),INDEX('AH History'!$B$1:$B$18046,AH!$P$7+1434))),NA()),NA())</ns0:f>
        <ns0:v/>
      </ns0:c>
      <ns0:c r="D1439">
        <ns0:f>IFERROR(IF(ISNUMBER($A1439),IF(AND(AH!$P$10=1,AH!$P$12=1,$A1439=TODAY()),AH!$P$18,IF(AH!$P$10=1,INDEX('Live History'!$E$5:$E$3004,MATCH($A1439,'Live History'!$D$5:$D$3004,1)),INDEX('AH History'!$C$1:$C$18046,AH!$P$7+1434))),NA()),NA())</ns0:f>
        <ns0:v/>
      </ns0:c>
      <ns0:c r="E1439">
        <ns0:f>IFERROR(IF(ISNUMBER($A1439),IF(AND(AH!$P$10=1,AH!$P$12=1,$A1439=TODAY()),AH!$P$20,IF(AH!$P$10=1,INDEX('Live History'!$H$5:$H$3004,MATCH($A1439,'Live History'!$G$5:$G$3004,1)),INDEX('AH History'!$D$1:$D$18046,AH!$P$7+1434))),NA()),NA())</ns0:f>
        <ns0:v/>
      </ns0:c>
      <ns0:c r="F1439">
        <ns0:f>IFERROR(IF(ISNUMBER($A1439),IF(AND(AH!$P$10=1,AH!$P$12=1,$A1439=TODAY()),IF(AND(AH!$P$10=1,AH!$P$12=1,$A1439=TODAY()),TODAY(),NA()),IF(AH!$P$10=1,INDEX('Live History'!$D$5:$D$3004,MATCH($A1439,'Live History'!$D$5:$D$3004,1)),INDEX('AH History'!$E$1:$E$18046,AH!$P$7+1434))),NA()),NA())</ns0:f>
        <ns0:v/>
      </ns0:c>
      <ns0:c r="G1439">
        <ns0:f>IFERROR(IF(ISNUMBER($A1439),IF(AND(AH!$P$10=1,AH!$P$12=1,$A1439=TODAY()),IF(AND(AH!$P$10=1,AH!$P$12=1,$A1439=TODAY()),TODAY(),NA()),IF(AH!$P$10=1,INDEX('Live History'!$G$5:$G$3004,MATCH($A1439,'Live History'!$G$5:$G$3004,1)),INDEX('AH History'!$F$1:$F$18046,AH!$P$7+1434))),NA()),NA())</ns0:f>
        <ns0:v/>
      </ns0:c>
      <ns0:c r="H1439">
        <ns0:f>IFERROR(IF(AND(AH!$E$4="Bloomberg",AH!$P$10=1,ISNUMBER($A1439),$A1439&lt;=AH!$P$17),AH!$P$7-1+MATCH($A1439,INDEX('AH History'!$A$1:$A$18046,AH!$P$7):INDEX('AH History'!$A$1:$A$18046,AH!$P$7+AH!$P$8-1),0),0),0)</ns0:f>
        <ns0:v/>
      </ns0:c>
      <ns0:c r="I1439">
        <ns0:f>IF($H1439=0,0,IFERROR(IF(AND(ABS($C1439-INDEX('AH History'!$B$1:$B$18046,$H1439))&lt;=MAX(0.005,ABS(INDEX('AH History'!$B$1:$B$18046,$H1439))*0.00005),ABS($D1439-INDEX('AH History'!$C$1:$C$18046,$H1439))&lt;=MAX(0.005,ABS(INDEX('AH History'!$C$1:$C$18046,$H1439))*0.00005),ABS($E1439-INDEX('AH History'!$D$1:$D$18046,$H1439))&lt;=0.00005,$F1439=INDEX('AH History'!$E$1:$E$18046,$H1439),$G1439=INDEX('AH History'!$F$1:$F$18046,$H1439)),1,-1),-1))</ns0:f>
        <ns0:v/>
      </ns0:c>
    </ns0:row>
    <ns0:row r="1440">
      <ns0:c r="A1440" s="215">
        <ns0:f>IF(OR(AH!$P$3=0,1435+1&gt;AH!$P$11,AND(AH!$E$4&lt;&gt;"Stored",AH!$P$10&lt;&gt;1)),"",IFERROR(IF(AND(AH!$P$21=1,1435+1=AH!$P$11),TODAY(),IF(AH!$P$10=1,INDEX('Live History'!$A$5:$A$3004,AH!$P$13+1435),INDEX('AH History'!$A$1:$A$18046,AH!$P$7+1435))),""))</ns0:f>
        <ns0:v/>
      </ns0:c>
      <ns0:c r="B1440" s="219">
        <ns0:f>IFERROR(IF(AND(AH!$P$9&lt;&gt;1,$C1440&gt;0,$D1440&gt;0,$E1440&gt;0,$F1440&gt;0,$G1440&gt;0,$F1440&lt;=$A1440,$G1440&lt;=$A1440,$A1440-$F1440&lt;=10,$A1440-$G1440&lt;=5),$D1440*$E1440/$C1440-1,NA()),NA())</ns0:f>
        <ns0:v/>
      </ns0:c>
      <ns0:c r="C1440">
        <ns0:f>IFERROR(IF(ISNUMBER($A1440),IF(AND(AH!$P$10=1,AH!$P$12=1,$A1440=TODAY()),AH!$P$19,IF(AH!$P$10=1,INDEX('Live History'!$B$5:$B$3004,AH!$P$13+1435),INDEX('AH History'!$B$1:$B$18046,AH!$P$7+1435))),NA()),NA())</ns0:f>
        <ns0:v/>
      </ns0:c>
      <ns0:c r="D1440">
        <ns0:f>IFERROR(IF(ISNUMBER($A1440),IF(AND(AH!$P$10=1,AH!$P$12=1,$A1440=TODAY()),AH!$P$18,IF(AH!$P$10=1,INDEX('Live History'!$E$5:$E$3004,MATCH($A1440,'Live History'!$D$5:$D$3004,1)),INDEX('AH History'!$C$1:$C$18046,AH!$P$7+1435))),NA()),NA())</ns0:f>
        <ns0:v/>
      </ns0:c>
      <ns0:c r="E1440">
        <ns0:f>IFERROR(IF(ISNUMBER($A1440),IF(AND(AH!$P$10=1,AH!$P$12=1,$A1440=TODAY()),AH!$P$20,IF(AH!$P$10=1,INDEX('Live History'!$H$5:$H$3004,MATCH($A1440,'Live History'!$G$5:$G$3004,1)),INDEX('AH History'!$D$1:$D$18046,AH!$P$7+1435))),NA()),NA())</ns0:f>
        <ns0:v/>
      </ns0:c>
      <ns0:c r="F1440">
        <ns0:f>IFERROR(IF(ISNUMBER($A1440),IF(AND(AH!$P$10=1,AH!$P$12=1,$A1440=TODAY()),IF(AND(AH!$P$10=1,AH!$P$12=1,$A1440=TODAY()),TODAY(),NA()),IF(AH!$P$10=1,INDEX('Live History'!$D$5:$D$3004,MATCH($A1440,'Live History'!$D$5:$D$3004,1)),INDEX('AH History'!$E$1:$E$18046,AH!$P$7+1435))),NA()),NA())</ns0:f>
        <ns0:v/>
      </ns0:c>
      <ns0:c r="G1440">
        <ns0:f>IFERROR(IF(ISNUMBER($A1440),IF(AND(AH!$P$10=1,AH!$P$12=1,$A1440=TODAY()),IF(AND(AH!$P$10=1,AH!$P$12=1,$A1440=TODAY()),TODAY(),NA()),IF(AH!$P$10=1,INDEX('Live History'!$G$5:$G$3004,MATCH($A1440,'Live History'!$G$5:$G$3004,1)),INDEX('AH History'!$F$1:$F$18046,AH!$P$7+1435))),NA()),NA())</ns0:f>
        <ns0:v/>
      </ns0:c>
      <ns0:c r="H1440">
        <ns0:f>IFERROR(IF(AND(AH!$E$4="Bloomberg",AH!$P$10=1,ISNUMBER($A1440),$A1440&lt;=AH!$P$17),AH!$P$7-1+MATCH($A1440,INDEX('AH History'!$A$1:$A$18046,AH!$P$7):INDEX('AH History'!$A$1:$A$18046,AH!$P$7+AH!$P$8-1),0),0),0)</ns0:f>
        <ns0:v/>
      </ns0:c>
      <ns0:c r="I1440">
        <ns0:f>IF($H1440=0,0,IFERROR(IF(AND(ABS($C1440-INDEX('AH History'!$B$1:$B$18046,$H1440))&lt;=MAX(0.005,ABS(INDEX('AH History'!$B$1:$B$18046,$H1440))*0.00005),ABS($D1440-INDEX('AH History'!$C$1:$C$18046,$H1440))&lt;=MAX(0.005,ABS(INDEX('AH History'!$C$1:$C$18046,$H1440))*0.00005),ABS($E1440-INDEX('AH History'!$D$1:$D$18046,$H1440))&lt;=0.00005,$F1440=INDEX('AH History'!$E$1:$E$18046,$H1440),$G1440=INDEX('AH History'!$F$1:$F$18046,$H1440)),1,-1),-1))</ns0:f>
        <ns0:v/>
      </ns0:c>
    </ns0:row>
    <ns0:row r="1441">
      <ns0:c r="A1441" s="215">
        <ns0:f>IF(OR(AH!$P$3=0,1436+1&gt;AH!$P$11,AND(AH!$E$4&lt;&gt;"Stored",AH!$P$10&lt;&gt;1)),"",IFERROR(IF(AND(AH!$P$21=1,1436+1=AH!$P$11),TODAY(),IF(AH!$P$10=1,INDEX('Live History'!$A$5:$A$3004,AH!$P$13+1436),INDEX('AH History'!$A$1:$A$18046,AH!$P$7+1436))),""))</ns0:f>
        <ns0:v/>
      </ns0:c>
      <ns0:c r="B1441" s="219">
        <ns0:f>IFERROR(IF(AND(AH!$P$9&lt;&gt;1,$C1441&gt;0,$D1441&gt;0,$E1441&gt;0,$F1441&gt;0,$G1441&gt;0,$F1441&lt;=$A1441,$G1441&lt;=$A1441,$A1441-$F1441&lt;=10,$A1441-$G1441&lt;=5),$D1441*$E1441/$C1441-1,NA()),NA())</ns0:f>
        <ns0:v/>
      </ns0:c>
      <ns0:c r="C1441">
        <ns0:f>IFERROR(IF(ISNUMBER($A1441),IF(AND(AH!$P$10=1,AH!$P$12=1,$A1441=TODAY()),AH!$P$19,IF(AH!$P$10=1,INDEX('Live History'!$B$5:$B$3004,AH!$P$13+1436),INDEX('AH History'!$B$1:$B$18046,AH!$P$7+1436))),NA()),NA())</ns0:f>
        <ns0:v/>
      </ns0:c>
      <ns0:c r="D1441">
        <ns0:f>IFERROR(IF(ISNUMBER($A1441),IF(AND(AH!$P$10=1,AH!$P$12=1,$A1441=TODAY()),AH!$P$18,IF(AH!$P$10=1,INDEX('Live History'!$E$5:$E$3004,MATCH($A1441,'Live History'!$D$5:$D$3004,1)),INDEX('AH History'!$C$1:$C$18046,AH!$P$7+1436))),NA()),NA())</ns0:f>
        <ns0:v/>
      </ns0:c>
      <ns0:c r="E1441">
        <ns0:f>IFERROR(IF(ISNUMBER($A1441),IF(AND(AH!$P$10=1,AH!$P$12=1,$A1441=TODAY()),AH!$P$20,IF(AH!$P$10=1,INDEX('Live History'!$H$5:$H$3004,MATCH($A1441,'Live History'!$G$5:$G$3004,1)),INDEX('AH History'!$D$1:$D$18046,AH!$P$7+1436))),NA()),NA())</ns0:f>
        <ns0:v/>
      </ns0:c>
      <ns0:c r="F1441">
        <ns0:f>IFERROR(IF(ISNUMBER($A1441),IF(AND(AH!$P$10=1,AH!$P$12=1,$A1441=TODAY()),IF(AND(AH!$P$10=1,AH!$P$12=1,$A1441=TODAY()),TODAY(),NA()),IF(AH!$P$10=1,INDEX('Live History'!$D$5:$D$3004,MATCH($A1441,'Live History'!$D$5:$D$3004,1)),INDEX('AH History'!$E$1:$E$18046,AH!$P$7+1436))),NA()),NA())</ns0:f>
        <ns0:v/>
      </ns0:c>
      <ns0:c r="G1441">
        <ns0:f>IFERROR(IF(ISNUMBER($A1441),IF(AND(AH!$P$10=1,AH!$P$12=1,$A1441=TODAY()),IF(AND(AH!$P$10=1,AH!$P$12=1,$A1441=TODAY()),TODAY(),NA()),IF(AH!$P$10=1,INDEX('Live History'!$G$5:$G$3004,MATCH($A1441,'Live History'!$G$5:$G$3004,1)),INDEX('AH History'!$F$1:$F$18046,AH!$P$7+1436))),NA()),NA())</ns0:f>
        <ns0:v/>
      </ns0:c>
      <ns0:c r="H1441">
        <ns0:f>IFERROR(IF(AND(AH!$E$4="Bloomberg",AH!$P$10=1,ISNUMBER($A1441),$A1441&lt;=AH!$P$17),AH!$P$7-1+MATCH($A1441,INDEX('AH History'!$A$1:$A$18046,AH!$P$7):INDEX('AH History'!$A$1:$A$18046,AH!$P$7+AH!$P$8-1),0),0),0)</ns0:f>
        <ns0:v/>
      </ns0:c>
      <ns0:c r="I1441">
        <ns0:f>IF($H1441=0,0,IFERROR(IF(AND(ABS($C1441-INDEX('AH History'!$B$1:$B$18046,$H1441))&lt;=MAX(0.005,ABS(INDEX('AH History'!$B$1:$B$18046,$H1441))*0.00005),ABS($D1441-INDEX('AH History'!$C$1:$C$18046,$H1441))&lt;=MAX(0.005,ABS(INDEX('AH History'!$C$1:$C$18046,$H1441))*0.00005),ABS($E1441-INDEX('AH History'!$D$1:$D$18046,$H1441))&lt;=0.00005,$F1441=INDEX('AH History'!$E$1:$E$18046,$H1441),$G1441=INDEX('AH History'!$F$1:$F$18046,$H1441)),1,-1),-1))</ns0:f>
        <ns0:v/>
      </ns0:c>
    </ns0:row>
    <ns0:row r="1442">
      <ns0:c r="A1442" s="215">
        <ns0:f>IF(OR(AH!$P$3=0,1437+1&gt;AH!$P$11,AND(AH!$E$4&lt;&gt;"Stored",AH!$P$10&lt;&gt;1)),"",IFERROR(IF(AND(AH!$P$21=1,1437+1=AH!$P$11),TODAY(),IF(AH!$P$10=1,INDEX('Live History'!$A$5:$A$3004,AH!$P$13+1437),INDEX('AH History'!$A$1:$A$18046,AH!$P$7+1437))),""))</ns0:f>
        <ns0:v/>
      </ns0:c>
      <ns0:c r="B1442" s="219">
        <ns0:f>IFERROR(IF(AND(AH!$P$9&lt;&gt;1,$C1442&gt;0,$D1442&gt;0,$E1442&gt;0,$F1442&gt;0,$G1442&gt;0,$F1442&lt;=$A1442,$G1442&lt;=$A1442,$A1442-$F1442&lt;=10,$A1442-$G1442&lt;=5),$D1442*$E1442/$C1442-1,NA()),NA())</ns0:f>
        <ns0:v/>
      </ns0:c>
      <ns0:c r="C1442">
        <ns0:f>IFERROR(IF(ISNUMBER($A1442),IF(AND(AH!$P$10=1,AH!$P$12=1,$A1442=TODAY()),AH!$P$19,IF(AH!$P$10=1,INDEX('Live History'!$B$5:$B$3004,AH!$P$13+1437),INDEX('AH History'!$B$1:$B$18046,AH!$P$7+1437))),NA()),NA())</ns0:f>
        <ns0:v/>
      </ns0:c>
      <ns0:c r="D1442">
        <ns0:f>IFERROR(IF(ISNUMBER($A1442),IF(AND(AH!$P$10=1,AH!$P$12=1,$A1442=TODAY()),AH!$P$18,IF(AH!$P$10=1,INDEX('Live History'!$E$5:$E$3004,MATCH($A1442,'Live History'!$D$5:$D$3004,1)),INDEX('AH History'!$C$1:$C$18046,AH!$P$7+1437))),NA()),NA())</ns0:f>
        <ns0:v/>
      </ns0:c>
      <ns0:c r="E1442">
        <ns0:f>IFERROR(IF(ISNUMBER($A1442),IF(AND(AH!$P$10=1,AH!$P$12=1,$A1442=TODAY()),AH!$P$20,IF(AH!$P$10=1,INDEX('Live History'!$H$5:$H$3004,MATCH($A1442,'Live History'!$G$5:$G$3004,1)),INDEX('AH History'!$D$1:$D$18046,AH!$P$7+1437))),NA()),NA())</ns0:f>
        <ns0:v/>
      </ns0:c>
      <ns0:c r="F1442">
        <ns0:f>IFERROR(IF(ISNUMBER($A1442),IF(AND(AH!$P$10=1,AH!$P$12=1,$A1442=TODAY()),IF(AND(AH!$P$10=1,AH!$P$12=1,$A1442=TODAY()),TODAY(),NA()),IF(AH!$P$10=1,INDEX('Live History'!$D$5:$D$3004,MATCH($A1442,'Live History'!$D$5:$D$3004,1)),INDEX('AH History'!$E$1:$E$18046,AH!$P$7+1437))),NA()),NA())</ns0:f>
        <ns0:v/>
      </ns0:c>
      <ns0:c r="G1442">
        <ns0:f>IFERROR(IF(ISNUMBER($A1442),IF(AND(AH!$P$10=1,AH!$P$12=1,$A1442=TODAY()),IF(AND(AH!$P$10=1,AH!$P$12=1,$A1442=TODAY()),TODAY(),NA()),IF(AH!$P$10=1,INDEX('Live History'!$G$5:$G$3004,MATCH($A1442,'Live History'!$G$5:$G$3004,1)),INDEX('AH History'!$F$1:$F$18046,AH!$P$7+1437))),NA()),NA())</ns0:f>
        <ns0:v/>
      </ns0:c>
      <ns0:c r="H1442">
        <ns0:f>IFERROR(IF(AND(AH!$E$4="Bloomberg",AH!$P$10=1,ISNUMBER($A1442),$A1442&lt;=AH!$P$17),AH!$P$7-1+MATCH($A1442,INDEX('AH History'!$A$1:$A$18046,AH!$P$7):INDEX('AH History'!$A$1:$A$18046,AH!$P$7+AH!$P$8-1),0),0),0)</ns0:f>
        <ns0:v/>
      </ns0:c>
      <ns0:c r="I1442">
        <ns0:f>IF($H1442=0,0,IFERROR(IF(AND(ABS($C1442-INDEX('AH History'!$B$1:$B$18046,$H1442))&lt;=MAX(0.005,ABS(INDEX('AH History'!$B$1:$B$18046,$H1442))*0.00005),ABS($D1442-INDEX('AH History'!$C$1:$C$18046,$H1442))&lt;=MAX(0.005,ABS(INDEX('AH History'!$C$1:$C$18046,$H1442))*0.00005),ABS($E1442-INDEX('AH History'!$D$1:$D$18046,$H1442))&lt;=0.00005,$F1442=INDEX('AH History'!$E$1:$E$18046,$H1442),$G1442=INDEX('AH History'!$F$1:$F$18046,$H1442)),1,-1),-1))</ns0:f>
        <ns0:v/>
      </ns0:c>
    </ns0:row>
    <ns0:row r="1443">
      <ns0:c r="A1443" s="215">
        <ns0:f>IF(OR(AH!$P$3=0,1438+1&gt;AH!$P$11,AND(AH!$E$4&lt;&gt;"Stored",AH!$P$10&lt;&gt;1)),"",IFERROR(IF(AND(AH!$P$21=1,1438+1=AH!$P$11),TODAY(),IF(AH!$P$10=1,INDEX('Live History'!$A$5:$A$3004,AH!$P$13+1438),INDEX('AH History'!$A$1:$A$18046,AH!$P$7+1438))),""))</ns0:f>
        <ns0:v/>
      </ns0:c>
      <ns0:c r="B1443" s="219">
        <ns0:f>IFERROR(IF(AND(AH!$P$9&lt;&gt;1,$C1443&gt;0,$D1443&gt;0,$E1443&gt;0,$F1443&gt;0,$G1443&gt;0,$F1443&lt;=$A1443,$G1443&lt;=$A1443,$A1443-$F1443&lt;=10,$A1443-$G1443&lt;=5),$D1443*$E1443/$C1443-1,NA()),NA())</ns0:f>
        <ns0:v/>
      </ns0:c>
      <ns0:c r="C1443">
        <ns0:f>IFERROR(IF(ISNUMBER($A1443),IF(AND(AH!$P$10=1,AH!$P$12=1,$A1443=TODAY()),AH!$P$19,IF(AH!$P$10=1,INDEX('Live History'!$B$5:$B$3004,AH!$P$13+1438),INDEX('AH History'!$B$1:$B$18046,AH!$P$7+1438))),NA()),NA())</ns0:f>
        <ns0:v/>
      </ns0:c>
      <ns0:c r="D1443">
        <ns0:f>IFERROR(IF(ISNUMBER($A1443),IF(AND(AH!$P$10=1,AH!$P$12=1,$A1443=TODAY()),AH!$P$18,IF(AH!$P$10=1,INDEX('Live History'!$E$5:$E$3004,MATCH($A1443,'Live History'!$D$5:$D$3004,1)),INDEX('AH History'!$C$1:$C$18046,AH!$P$7+1438))),NA()),NA())</ns0:f>
        <ns0:v/>
      </ns0:c>
      <ns0:c r="E1443">
        <ns0:f>IFERROR(IF(ISNUMBER($A1443),IF(AND(AH!$P$10=1,AH!$P$12=1,$A1443=TODAY()),AH!$P$20,IF(AH!$P$10=1,INDEX('Live History'!$H$5:$H$3004,MATCH($A1443,'Live History'!$G$5:$G$3004,1)),INDEX('AH History'!$D$1:$D$18046,AH!$P$7+1438))),NA()),NA())</ns0:f>
        <ns0:v/>
      </ns0:c>
      <ns0:c r="F1443">
        <ns0:f>IFERROR(IF(ISNUMBER($A1443),IF(AND(AH!$P$10=1,AH!$P$12=1,$A1443=TODAY()),IF(AND(AH!$P$10=1,AH!$P$12=1,$A1443=TODAY()),TODAY(),NA()),IF(AH!$P$10=1,INDEX('Live History'!$D$5:$D$3004,MATCH($A1443,'Live History'!$D$5:$D$3004,1)),INDEX('AH History'!$E$1:$E$18046,AH!$P$7+1438))),NA()),NA())</ns0:f>
        <ns0:v/>
      </ns0:c>
      <ns0:c r="G1443">
        <ns0:f>IFERROR(IF(ISNUMBER($A1443),IF(AND(AH!$P$10=1,AH!$P$12=1,$A1443=TODAY()),IF(AND(AH!$P$10=1,AH!$P$12=1,$A1443=TODAY()),TODAY(),NA()),IF(AH!$P$10=1,INDEX('Live History'!$G$5:$G$3004,MATCH($A1443,'Live History'!$G$5:$G$3004,1)),INDEX('AH History'!$F$1:$F$18046,AH!$P$7+1438))),NA()),NA())</ns0:f>
        <ns0:v/>
      </ns0:c>
      <ns0:c r="H1443">
        <ns0:f>IFERROR(IF(AND(AH!$E$4="Bloomberg",AH!$P$10=1,ISNUMBER($A1443),$A1443&lt;=AH!$P$17),AH!$P$7-1+MATCH($A1443,INDEX('AH History'!$A$1:$A$18046,AH!$P$7):INDEX('AH History'!$A$1:$A$18046,AH!$P$7+AH!$P$8-1),0),0),0)</ns0:f>
        <ns0:v/>
      </ns0:c>
      <ns0:c r="I1443">
        <ns0:f>IF($H1443=0,0,IFERROR(IF(AND(ABS($C1443-INDEX('AH History'!$B$1:$B$18046,$H1443))&lt;=MAX(0.005,ABS(INDEX('AH History'!$B$1:$B$18046,$H1443))*0.00005),ABS($D1443-INDEX('AH History'!$C$1:$C$18046,$H1443))&lt;=MAX(0.005,ABS(INDEX('AH History'!$C$1:$C$18046,$H1443))*0.00005),ABS($E1443-INDEX('AH History'!$D$1:$D$18046,$H1443))&lt;=0.00005,$F1443=INDEX('AH History'!$E$1:$E$18046,$H1443),$G1443=INDEX('AH History'!$F$1:$F$18046,$H1443)),1,-1),-1))</ns0:f>
        <ns0:v/>
      </ns0:c>
    </ns0:row>
    <ns0:row r="1444">
      <ns0:c r="A1444" s="215">
        <ns0:f>IF(OR(AH!$P$3=0,1439+1&gt;AH!$P$11,AND(AH!$E$4&lt;&gt;"Stored",AH!$P$10&lt;&gt;1)),"",IFERROR(IF(AND(AH!$P$21=1,1439+1=AH!$P$11),TODAY(),IF(AH!$P$10=1,INDEX('Live History'!$A$5:$A$3004,AH!$P$13+1439),INDEX('AH History'!$A$1:$A$18046,AH!$P$7+1439))),""))</ns0:f>
        <ns0:v/>
      </ns0:c>
      <ns0:c r="B1444" s="219">
        <ns0:f>IFERROR(IF(AND(AH!$P$9&lt;&gt;1,$C1444&gt;0,$D1444&gt;0,$E1444&gt;0,$F1444&gt;0,$G1444&gt;0,$F1444&lt;=$A1444,$G1444&lt;=$A1444,$A1444-$F1444&lt;=10,$A1444-$G1444&lt;=5),$D1444*$E1444/$C1444-1,NA()),NA())</ns0:f>
        <ns0:v/>
      </ns0:c>
      <ns0:c r="C1444">
        <ns0:f>IFERROR(IF(ISNUMBER($A1444),IF(AND(AH!$P$10=1,AH!$P$12=1,$A1444=TODAY()),AH!$P$19,IF(AH!$P$10=1,INDEX('Live History'!$B$5:$B$3004,AH!$P$13+1439),INDEX('AH History'!$B$1:$B$18046,AH!$P$7+1439))),NA()),NA())</ns0:f>
        <ns0:v/>
      </ns0:c>
      <ns0:c r="D1444">
        <ns0:f>IFERROR(IF(ISNUMBER($A1444),IF(AND(AH!$P$10=1,AH!$P$12=1,$A1444=TODAY()),AH!$P$18,IF(AH!$P$10=1,INDEX('Live History'!$E$5:$E$3004,MATCH($A1444,'Live History'!$D$5:$D$3004,1)),INDEX('AH History'!$C$1:$C$18046,AH!$P$7+1439))),NA()),NA())</ns0:f>
        <ns0:v/>
      </ns0:c>
      <ns0:c r="E1444">
        <ns0:f>IFERROR(IF(ISNUMBER($A1444),IF(AND(AH!$P$10=1,AH!$P$12=1,$A1444=TODAY()),AH!$P$20,IF(AH!$P$10=1,INDEX('Live History'!$H$5:$H$3004,MATCH($A1444,'Live History'!$G$5:$G$3004,1)),INDEX('AH History'!$D$1:$D$18046,AH!$P$7+1439))),NA()),NA())</ns0:f>
        <ns0:v/>
      </ns0:c>
      <ns0:c r="F1444">
        <ns0:f>IFERROR(IF(ISNUMBER($A1444),IF(AND(AH!$P$10=1,AH!$P$12=1,$A1444=TODAY()),IF(AND(AH!$P$10=1,AH!$P$12=1,$A1444=TODAY()),TODAY(),NA()),IF(AH!$P$10=1,INDEX('Live History'!$D$5:$D$3004,MATCH($A1444,'Live History'!$D$5:$D$3004,1)),INDEX('AH History'!$E$1:$E$18046,AH!$P$7+1439))),NA()),NA())</ns0:f>
        <ns0:v/>
      </ns0:c>
      <ns0:c r="G1444">
        <ns0:f>IFERROR(IF(ISNUMBER($A1444),IF(AND(AH!$P$10=1,AH!$P$12=1,$A1444=TODAY()),IF(AND(AH!$P$10=1,AH!$P$12=1,$A1444=TODAY()),TODAY(),NA()),IF(AH!$P$10=1,INDEX('Live History'!$G$5:$G$3004,MATCH($A1444,'Live History'!$G$5:$G$3004,1)),INDEX('AH History'!$F$1:$F$18046,AH!$P$7+1439))),NA()),NA())</ns0:f>
        <ns0:v/>
      </ns0:c>
      <ns0:c r="H1444">
        <ns0:f>IFERROR(IF(AND(AH!$E$4="Bloomberg",AH!$P$10=1,ISNUMBER($A1444),$A1444&lt;=AH!$P$17),AH!$P$7-1+MATCH($A1444,INDEX('AH History'!$A$1:$A$18046,AH!$P$7):INDEX('AH History'!$A$1:$A$18046,AH!$P$7+AH!$P$8-1),0),0),0)</ns0:f>
        <ns0:v/>
      </ns0:c>
      <ns0:c r="I1444">
        <ns0:f>IF($H1444=0,0,IFERROR(IF(AND(ABS($C1444-INDEX('AH History'!$B$1:$B$18046,$H1444))&lt;=MAX(0.005,ABS(INDEX('AH History'!$B$1:$B$18046,$H1444))*0.00005),ABS($D1444-INDEX('AH History'!$C$1:$C$18046,$H1444))&lt;=MAX(0.005,ABS(INDEX('AH History'!$C$1:$C$18046,$H1444))*0.00005),ABS($E1444-INDEX('AH History'!$D$1:$D$18046,$H1444))&lt;=0.00005,$F1444=INDEX('AH History'!$E$1:$E$18046,$H1444),$G1444=INDEX('AH History'!$F$1:$F$18046,$H1444)),1,-1),-1))</ns0:f>
        <ns0:v/>
      </ns0:c>
    </ns0:row>
    <ns0:row r="1445">
      <ns0:c r="A1445" s="215">
        <ns0:f>IF(OR(AH!$P$3=0,1440+1&gt;AH!$P$11,AND(AH!$E$4&lt;&gt;"Stored",AH!$P$10&lt;&gt;1)),"",IFERROR(IF(AND(AH!$P$21=1,1440+1=AH!$P$11),TODAY(),IF(AH!$P$10=1,INDEX('Live History'!$A$5:$A$3004,AH!$P$13+1440),INDEX('AH History'!$A$1:$A$18046,AH!$P$7+1440))),""))</ns0:f>
        <ns0:v/>
      </ns0:c>
      <ns0:c r="B1445" s="219">
        <ns0:f>IFERROR(IF(AND(AH!$P$9&lt;&gt;1,$C1445&gt;0,$D1445&gt;0,$E1445&gt;0,$F1445&gt;0,$G1445&gt;0,$F1445&lt;=$A1445,$G1445&lt;=$A1445,$A1445-$F1445&lt;=10,$A1445-$G1445&lt;=5),$D1445*$E1445/$C1445-1,NA()),NA())</ns0:f>
        <ns0:v/>
      </ns0:c>
      <ns0:c r="C1445">
        <ns0:f>IFERROR(IF(ISNUMBER($A1445),IF(AND(AH!$P$10=1,AH!$P$12=1,$A1445=TODAY()),AH!$P$19,IF(AH!$P$10=1,INDEX('Live History'!$B$5:$B$3004,AH!$P$13+1440),INDEX('AH History'!$B$1:$B$18046,AH!$P$7+1440))),NA()),NA())</ns0:f>
        <ns0:v/>
      </ns0:c>
      <ns0:c r="D1445">
        <ns0:f>IFERROR(IF(ISNUMBER($A1445),IF(AND(AH!$P$10=1,AH!$P$12=1,$A1445=TODAY()),AH!$P$18,IF(AH!$P$10=1,INDEX('Live History'!$E$5:$E$3004,MATCH($A1445,'Live History'!$D$5:$D$3004,1)),INDEX('AH History'!$C$1:$C$18046,AH!$P$7+1440))),NA()),NA())</ns0:f>
        <ns0:v/>
      </ns0:c>
      <ns0:c r="E1445">
        <ns0:f>IFERROR(IF(ISNUMBER($A1445),IF(AND(AH!$P$10=1,AH!$P$12=1,$A1445=TODAY()),AH!$P$20,IF(AH!$P$10=1,INDEX('Live History'!$H$5:$H$3004,MATCH($A1445,'Live History'!$G$5:$G$3004,1)),INDEX('AH History'!$D$1:$D$18046,AH!$P$7+1440))),NA()),NA())</ns0:f>
        <ns0:v/>
      </ns0:c>
      <ns0:c r="F1445">
        <ns0:f>IFERROR(IF(ISNUMBER($A1445),IF(AND(AH!$P$10=1,AH!$P$12=1,$A1445=TODAY()),IF(AND(AH!$P$10=1,AH!$P$12=1,$A1445=TODAY()),TODAY(),NA()),IF(AH!$P$10=1,INDEX('Live History'!$D$5:$D$3004,MATCH($A1445,'Live History'!$D$5:$D$3004,1)),INDEX('AH History'!$E$1:$E$18046,AH!$P$7+1440))),NA()),NA())</ns0:f>
        <ns0:v/>
      </ns0:c>
      <ns0:c r="G1445">
        <ns0:f>IFERROR(IF(ISNUMBER($A1445),IF(AND(AH!$P$10=1,AH!$P$12=1,$A1445=TODAY()),IF(AND(AH!$P$10=1,AH!$P$12=1,$A1445=TODAY()),TODAY(),NA()),IF(AH!$P$10=1,INDEX('Live History'!$G$5:$G$3004,MATCH($A1445,'Live History'!$G$5:$G$3004,1)),INDEX('AH History'!$F$1:$F$18046,AH!$P$7+1440))),NA()),NA())</ns0:f>
        <ns0:v/>
      </ns0:c>
      <ns0:c r="H1445">
        <ns0:f>IFERROR(IF(AND(AH!$E$4="Bloomberg",AH!$P$10=1,ISNUMBER($A1445),$A1445&lt;=AH!$P$17),AH!$P$7-1+MATCH($A1445,INDEX('AH History'!$A$1:$A$18046,AH!$P$7):INDEX('AH History'!$A$1:$A$18046,AH!$P$7+AH!$P$8-1),0),0),0)</ns0:f>
        <ns0:v/>
      </ns0:c>
      <ns0:c r="I1445">
        <ns0:f>IF($H1445=0,0,IFERROR(IF(AND(ABS($C1445-INDEX('AH History'!$B$1:$B$18046,$H1445))&lt;=MAX(0.005,ABS(INDEX('AH History'!$B$1:$B$18046,$H1445))*0.00005),ABS($D1445-INDEX('AH History'!$C$1:$C$18046,$H1445))&lt;=MAX(0.005,ABS(INDEX('AH History'!$C$1:$C$18046,$H1445))*0.00005),ABS($E1445-INDEX('AH History'!$D$1:$D$18046,$H1445))&lt;=0.00005,$F1445=INDEX('AH History'!$E$1:$E$18046,$H1445),$G1445=INDEX('AH History'!$F$1:$F$18046,$H1445)),1,-1),-1))</ns0:f>
        <ns0:v/>
      </ns0:c>
    </ns0:row>
    <ns0:row r="1446">
      <ns0:c r="A1446" s="215">
        <ns0:f>IF(OR(AH!$P$3=0,1441+1&gt;AH!$P$11,AND(AH!$E$4&lt;&gt;"Stored",AH!$P$10&lt;&gt;1)),"",IFERROR(IF(AND(AH!$P$21=1,1441+1=AH!$P$11),TODAY(),IF(AH!$P$10=1,INDEX('Live History'!$A$5:$A$3004,AH!$P$13+1441),INDEX('AH History'!$A$1:$A$18046,AH!$P$7+1441))),""))</ns0:f>
        <ns0:v/>
      </ns0:c>
      <ns0:c r="B1446" s="219">
        <ns0:f>IFERROR(IF(AND(AH!$P$9&lt;&gt;1,$C1446&gt;0,$D1446&gt;0,$E1446&gt;0,$F1446&gt;0,$G1446&gt;0,$F1446&lt;=$A1446,$G1446&lt;=$A1446,$A1446-$F1446&lt;=10,$A1446-$G1446&lt;=5),$D1446*$E1446/$C1446-1,NA()),NA())</ns0:f>
        <ns0:v/>
      </ns0:c>
      <ns0:c r="C1446">
        <ns0:f>IFERROR(IF(ISNUMBER($A1446),IF(AND(AH!$P$10=1,AH!$P$12=1,$A1446=TODAY()),AH!$P$19,IF(AH!$P$10=1,INDEX('Live History'!$B$5:$B$3004,AH!$P$13+1441),INDEX('AH History'!$B$1:$B$18046,AH!$P$7+1441))),NA()),NA())</ns0:f>
        <ns0:v/>
      </ns0:c>
      <ns0:c r="D1446">
        <ns0:f>IFERROR(IF(ISNUMBER($A1446),IF(AND(AH!$P$10=1,AH!$P$12=1,$A1446=TODAY()),AH!$P$18,IF(AH!$P$10=1,INDEX('Live History'!$E$5:$E$3004,MATCH($A1446,'Live History'!$D$5:$D$3004,1)),INDEX('AH History'!$C$1:$C$18046,AH!$P$7+1441))),NA()),NA())</ns0:f>
        <ns0:v/>
      </ns0:c>
      <ns0:c r="E1446">
        <ns0:f>IFERROR(IF(ISNUMBER($A1446),IF(AND(AH!$P$10=1,AH!$P$12=1,$A1446=TODAY()),AH!$P$20,IF(AH!$P$10=1,INDEX('Live History'!$H$5:$H$3004,MATCH($A1446,'Live History'!$G$5:$G$3004,1)),INDEX('AH History'!$D$1:$D$18046,AH!$P$7+1441))),NA()),NA())</ns0:f>
        <ns0:v/>
      </ns0:c>
      <ns0:c r="F1446">
        <ns0:f>IFERROR(IF(ISNUMBER($A1446),IF(AND(AH!$P$10=1,AH!$P$12=1,$A1446=TODAY()),IF(AND(AH!$P$10=1,AH!$P$12=1,$A1446=TODAY()),TODAY(),NA()),IF(AH!$P$10=1,INDEX('Live History'!$D$5:$D$3004,MATCH($A1446,'Live History'!$D$5:$D$3004,1)),INDEX('AH History'!$E$1:$E$18046,AH!$P$7+1441))),NA()),NA())</ns0:f>
        <ns0:v/>
      </ns0:c>
      <ns0:c r="G1446">
        <ns0:f>IFERROR(IF(ISNUMBER($A1446),IF(AND(AH!$P$10=1,AH!$P$12=1,$A1446=TODAY()),IF(AND(AH!$P$10=1,AH!$P$12=1,$A1446=TODAY()),TODAY(),NA()),IF(AH!$P$10=1,INDEX('Live History'!$G$5:$G$3004,MATCH($A1446,'Live History'!$G$5:$G$3004,1)),INDEX('AH History'!$F$1:$F$18046,AH!$P$7+1441))),NA()),NA())</ns0:f>
        <ns0:v/>
      </ns0:c>
      <ns0:c r="H1446">
        <ns0:f>IFERROR(IF(AND(AH!$E$4="Bloomberg",AH!$P$10=1,ISNUMBER($A1446),$A1446&lt;=AH!$P$17),AH!$P$7-1+MATCH($A1446,INDEX('AH History'!$A$1:$A$18046,AH!$P$7):INDEX('AH History'!$A$1:$A$18046,AH!$P$7+AH!$P$8-1),0),0),0)</ns0:f>
        <ns0:v/>
      </ns0:c>
      <ns0:c r="I1446">
        <ns0:f>IF($H1446=0,0,IFERROR(IF(AND(ABS($C1446-INDEX('AH History'!$B$1:$B$18046,$H1446))&lt;=MAX(0.005,ABS(INDEX('AH History'!$B$1:$B$18046,$H1446))*0.00005),ABS($D1446-INDEX('AH History'!$C$1:$C$18046,$H1446))&lt;=MAX(0.005,ABS(INDEX('AH History'!$C$1:$C$18046,$H1446))*0.00005),ABS($E1446-INDEX('AH History'!$D$1:$D$18046,$H1446))&lt;=0.00005,$F1446=INDEX('AH History'!$E$1:$E$18046,$H1446),$G1446=INDEX('AH History'!$F$1:$F$18046,$H1446)),1,-1),-1))</ns0:f>
        <ns0:v/>
      </ns0:c>
    </ns0:row>
    <ns0:row r="1447">
      <ns0:c r="A1447" s="215">
        <ns0:f>IF(OR(AH!$P$3=0,1442+1&gt;AH!$P$11,AND(AH!$E$4&lt;&gt;"Stored",AH!$P$10&lt;&gt;1)),"",IFERROR(IF(AND(AH!$P$21=1,1442+1=AH!$P$11),TODAY(),IF(AH!$P$10=1,INDEX('Live History'!$A$5:$A$3004,AH!$P$13+1442),INDEX('AH History'!$A$1:$A$18046,AH!$P$7+1442))),""))</ns0:f>
        <ns0:v/>
      </ns0:c>
      <ns0:c r="B1447" s="219">
        <ns0:f>IFERROR(IF(AND(AH!$P$9&lt;&gt;1,$C1447&gt;0,$D1447&gt;0,$E1447&gt;0,$F1447&gt;0,$G1447&gt;0,$F1447&lt;=$A1447,$G1447&lt;=$A1447,$A1447-$F1447&lt;=10,$A1447-$G1447&lt;=5),$D1447*$E1447/$C1447-1,NA()),NA())</ns0:f>
        <ns0:v/>
      </ns0:c>
      <ns0:c r="C1447">
        <ns0:f>IFERROR(IF(ISNUMBER($A1447),IF(AND(AH!$P$10=1,AH!$P$12=1,$A1447=TODAY()),AH!$P$19,IF(AH!$P$10=1,INDEX('Live History'!$B$5:$B$3004,AH!$P$13+1442),INDEX('AH History'!$B$1:$B$18046,AH!$P$7+1442))),NA()),NA())</ns0:f>
        <ns0:v/>
      </ns0:c>
      <ns0:c r="D1447">
        <ns0:f>IFERROR(IF(ISNUMBER($A1447),IF(AND(AH!$P$10=1,AH!$P$12=1,$A1447=TODAY()),AH!$P$18,IF(AH!$P$10=1,INDEX('Live History'!$E$5:$E$3004,MATCH($A1447,'Live History'!$D$5:$D$3004,1)),INDEX('AH History'!$C$1:$C$18046,AH!$P$7+1442))),NA()),NA())</ns0:f>
        <ns0:v/>
      </ns0:c>
      <ns0:c r="E1447">
        <ns0:f>IFERROR(IF(ISNUMBER($A1447),IF(AND(AH!$P$10=1,AH!$P$12=1,$A1447=TODAY()),AH!$P$20,IF(AH!$P$10=1,INDEX('Live History'!$H$5:$H$3004,MATCH($A1447,'Live History'!$G$5:$G$3004,1)),INDEX('AH History'!$D$1:$D$18046,AH!$P$7+1442))),NA()),NA())</ns0:f>
        <ns0:v/>
      </ns0:c>
      <ns0:c r="F1447">
        <ns0:f>IFERROR(IF(ISNUMBER($A1447),IF(AND(AH!$P$10=1,AH!$P$12=1,$A1447=TODAY()),IF(AND(AH!$P$10=1,AH!$P$12=1,$A1447=TODAY()),TODAY(),NA()),IF(AH!$P$10=1,INDEX('Live History'!$D$5:$D$3004,MATCH($A1447,'Live History'!$D$5:$D$3004,1)),INDEX('AH History'!$E$1:$E$18046,AH!$P$7+1442))),NA()),NA())</ns0:f>
        <ns0:v/>
      </ns0:c>
      <ns0:c r="G1447">
        <ns0:f>IFERROR(IF(ISNUMBER($A1447),IF(AND(AH!$P$10=1,AH!$P$12=1,$A1447=TODAY()),IF(AND(AH!$P$10=1,AH!$P$12=1,$A1447=TODAY()),TODAY(),NA()),IF(AH!$P$10=1,INDEX('Live History'!$G$5:$G$3004,MATCH($A1447,'Live History'!$G$5:$G$3004,1)),INDEX('AH History'!$F$1:$F$18046,AH!$P$7+1442))),NA()),NA())</ns0:f>
        <ns0:v/>
      </ns0:c>
      <ns0:c r="H1447">
        <ns0:f>IFERROR(IF(AND(AH!$E$4="Bloomberg",AH!$P$10=1,ISNUMBER($A1447),$A1447&lt;=AH!$P$17),AH!$P$7-1+MATCH($A1447,INDEX('AH History'!$A$1:$A$18046,AH!$P$7):INDEX('AH History'!$A$1:$A$18046,AH!$P$7+AH!$P$8-1),0),0),0)</ns0:f>
        <ns0:v/>
      </ns0:c>
      <ns0:c r="I1447">
        <ns0:f>IF($H1447=0,0,IFERROR(IF(AND(ABS($C1447-INDEX('AH History'!$B$1:$B$18046,$H1447))&lt;=MAX(0.005,ABS(INDEX('AH History'!$B$1:$B$18046,$H1447))*0.00005),ABS($D1447-INDEX('AH History'!$C$1:$C$18046,$H1447))&lt;=MAX(0.005,ABS(INDEX('AH History'!$C$1:$C$18046,$H1447))*0.00005),ABS($E1447-INDEX('AH History'!$D$1:$D$18046,$H1447))&lt;=0.00005,$F1447=INDEX('AH History'!$E$1:$E$18046,$H1447),$G1447=INDEX('AH History'!$F$1:$F$18046,$H1447)),1,-1),-1))</ns0:f>
        <ns0:v/>
      </ns0:c>
    </ns0:row>
    <ns0:row r="1448">
      <ns0:c r="A1448" s="215">
        <ns0:f>IF(OR(AH!$P$3=0,1443+1&gt;AH!$P$11,AND(AH!$E$4&lt;&gt;"Stored",AH!$P$10&lt;&gt;1)),"",IFERROR(IF(AND(AH!$P$21=1,1443+1=AH!$P$11),TODAY(),IF(AH!$P$10=1,INDEX('Live History'!$A$5:$A$3004,AH!$P$13+1443),INDEX('AH History'!$A$1:$A$18046,AH!$P$7+1443))),""))</ns0:f>
        <ns0:v/>
      </ns0:c>
      <ns0:c r="B1448" s="219">
        <ns0:f>IFERROR(IF(AND(AH!$P$9&lt;&gt;1,$C1448&gt;0,$D1448&gt;0,$E1448&gt;0,$F1448&gt;0,$G1448&gt;0,$F1448&lt;=$A1448,$G1448&lt;=$A1448,$A1448-$F1448&lt;=10,$A1448-$G1448&lt;=5),$D1448*$E1448/$C1448-1,NA()),NA())</ns0:f>
        <ns0:v/>
      </ns0:c>
      <ns0:c r="C1448">
        <ns0:f>IFERROR(IF(ISNUMBER($A1448),IF(AND(AH!$P$10=1,AH!$P$12=1,$A1448=TODAY()),AH!$P$19,IF(AH!$P$10=1,INDEX('Live History'!$B$5:$B$3004,AH!$P$13+1443),INDEX('AH History'!$B$1:$B$18046,AH!$P$7+1443))),NA()),NA())</ns0:f>
        <ns0:v/>
      </ns0:c>
      <ns0:c r="D1448">
        <ns0:f>IFERROR(IF(ISNUMBER($A1448),IF(AND(AH!$P$10=1,AH!$P$12=1,$A1448=TODAY()),AH!$P$18,IF(AH!$P$10=1,INDEX('Live History'!$E$5:$E$3004,MATCH($A1448,'Live History'!$D$5:$D$3004,1)),INDEX('AH History'!$C$1:$C$18046,AH!$P$7+1443))),NA()),NA())</ns0:f>
        <ns0:v/>
      </ns0:c>
      <ns0:c r="E1448">
        <ns0:f>IFERROR(IF(ISNUMBER($A1448),IF(AND(AH!$P$10=1,AH!$P$12=1,$A1448=TODAY()),AH!$P$20,IF(AH!$P$10=1,INDEX('Live History'!$H$5:$H$3004,MATCH($A1448,'Live History'!$G$5:$G$3004,1)),INDEX('AH History'!$D$1:$D$18046,AH!$P$7+1443))),NA()),NA())</ns0:f>
        <ns0:v/>
      </ns0:c>
      <ns0:c r="F1448">
        <ns0:f>IFERROR(IF(ISNUMBER($A1448),IF(AND(AH!$P$10=1,AH!$P$12=1,$A1448=TODAY()),IF(AND(AH!$P$10=1,AH!$P$12=1,$A1448=TODAY()),TODAY(),NA()),IF(AH!$P$10=1,INDEX('Live History'!$D$5:$D$3004,MATCH($A1448,'Live History'!$D$5:$D$3004,1)),INDEX('AH History'!$E$1:$E$18046,AH!$P$7+1443))),NA()),NA())</ns0:f>
        <ns0:v/>
      </ns0:c>
      <ns0:c r="G1448">
        <ns0:f>IFERROR(IF(ISNUMBER($A1448),IF(AND(AH!$P$10=1,AH!$P$12=1,$A1448=TODAY()),IF(AND(AH!$P$10=1,AH!$P$12=1,$A1448=TODAY()),TODAY(),NA()),IF(AH!$P$10=1,INDEX('Live History'!$G$5:$G$3004,MATCH($A1448,'Live History'!$G$5:$G$3004,1)),INDEX('AH History'!$F$1:$F$18046,AH!$P$7+1443))),NA()),NA())</ns0:f>
        <ns0:v/>
      </ns0:c>
      <ns0:c r="H1448">
        <ns0:f>IFERROR(IF(AND(AH!$E$4="Bloomberg",AH!$P$10=1,ISNUMBER($A1448),$A1448&lt;=AH!$P$17),AH!$P$7-1+MATCH($A1448,INDEX('AH History'!$A$1:$A$18046,AH!$P$7):INDEX('AH History'!$A$1:$A$18046,AH!$P$7+AH!$P$8-1),0),0),0)</ns0:f>
        <ns0:v/>
      </ns0:c>
      <ns0:c r="I1448">
        <ns0:f>IF($H1448=0,0,IFERROR(IF(AND(ABS($C1448-INDEX('AH History'!$B$1:$B$18046,$H1448))&lt;=MAX(0.005,ABS(INDEX('AH History'!$B$1:$B$18046,$H1448))*0.00005),ABS($D1448-INDEX('AH History'!$C$1:$C$18046,$H1448))&lt;=MAX(0.005,ABS(INDEX('AH History'!$C$1:$C$18046,$H1448))*0.00005),ABS($E1448-INDEX('AH History'!$D$1:$D$18046,$H1448))&lt;=0.00005,$F1448=INDEX('AH History'!$E$1:$E$18046,$H1448),$G1448=INDEX('AH History'!$F$1:$F$18046,$H1448)),1,-1),-1))</ns0:f>
        <ns0:v/>
      </ns0:c>
    </ns0:row>
    <ns0:row r="1449">
      <ns0:c r="A1449" s="215">
        <ns0:f>IF(OR(AH!$P$3=0,1444+1&gt;AH!$P$11,AND(AH!$E$4&lt;&gt;"Stored",AH!$P$10&lt;&gt;1)),"",IFERROR(IF(AND(AH!$P$21=1,1444+1=AH!$P$11),TODAY(),IF(AH!$P$10=1,INDEX('Live History'!$A$5:$A$3004,AH!$P$13+1444),INDEX('AH History'!$A$1:$A$18046,AH!$P$7+1444))),""))</ns0:f>
        <ns0:v/>
      </ns0:c>
      <ns0:c r="B1449" s="219">
        <ns0:f>IFERROR(IF(AND(AH!$P$9&lt;&gt;1,$C1449&gt;0,$D1449&gt;0,$E1449&gt;0,$F1449&gt;0,$G1449&gt;0,$F1449&lt;=$A1449,$G1449&lt;=$A1449,$A1449-$F1449&lt;=10,$A1449-$G1449&lt;=5),$D1449*$E1449/$C1449-1,NA()),NA())</ns0:f>
        <ns0:v/>
      </ns0:c>
      <ns0:c r="C1449">
        <ns0:f>IFERROR(IF(ISNUMBER($A1449),IF(AND(AH!$P$10=1,AH!$P$12=1,$A1449=TODAY()),AH!$P$19,IF(AH!$P$10=1,INDEX('Live History'!$B$5:$B$3004,AH!$P$13+1444),INDEX('AH History'!$B$1:$B$18046,AH!$P$7+1444))),NA()),NA())</ns0:f>
        <ns0:v/>
      </ns0:c>
      <ns0:c r="D1449">
        <ns0:f>IFERROR(IF(ISNUMBER($A1449),IF(AND(AH!$P$10=1,AH!$P$12=1,$A1449=TODAY()),AH!$P$18,IF(AH!$P$10=1,INDEX('Live History'!$E$5:$E$3004,MATCH($A1449,'Live History'!$D$5:$D$3004,1)),INDEX('AH History'!$C$1:$C$18046,AH!$P$7+1444))),NA()),NA())</ns0:f>
        <ns0:v/>
      </ns0:c>
      <ns0:c r="E1449">
        <ns0:f>IFERROR(IF(ISNUMBER($A1449),IF(AND(AH!$P$10=1,AH!$P$12=1,$A1449=TODAY()),AH!$P$20,IF(AH!$P$10=1,INDEX('Live History'!$H$5:$H$3004,MATCH($A1449,'Live History'!$G$5:$G$3004,1)),INDEX('AH History'!$D$1:$D$18046,AH!$P$7+1444))),NA()),NA())</ns0:f>
        <ns0:v/>
      </ns0:c>
      <ns0:c r="F1449">
        <ns0:f>IFERROR(IF(ISNUMBER($A1449),IF(AND(AH!$P$10=1,AH!$P$12=1,$A1449=TODAY()),IF(AND(AH!$P$10=1,AH!$P$12=1,$A1449=TODAY()),TODAY(),NA()),IF(AH!$P$10=1,INDEX('Live History'!$D$5:$D$3004,MATCH($A1449,'Live History'!$D$5:$D$3004,1)),INDEX('AH History'!$E$1:$E$18046,AH!$P$7+1444))),NA()),NA())</ns0:f>
        <ns0:v/>
      </ns0:c>
      <ns0:c r="G1449">
        <ns0:f>IFERROR(IF(ISNUMBER($A1449),IF(AND(AH!$P$10=1,AH!$P$12=1,$A1449=TODAY()),IF(AND(AH!$P$10=1,AH!$P$12=1,$A1449=TODAY()),TODAY(),NA()),IF(AH!$P$10=1,INDEX('Live History'!$G$5:$G$3004,MATCH($A1449,'Live History'!$G$5:$G$3004,1)),INDEX('AH History'!$F$1:$F$18046,AH!$P$7+1444))),NA()),NA())</ns0:f>
        <ns0:v/>
      </ns0:c>
      <ns0:c r="H1449">
        <ns0:f>IFERROR(IF(AND(AH!$E$4="Bloomberg",AH!$P$10=1,ISNUMBER($A1449),$A1449&lt;=AH!$P$17),AH!$P$7-1+MATCH($A1449,INDEX('AH History'!$A$1:$A$18046,AH!$P$7):INDEX('AH History'!$A$1:$A$18046,AH!$P$7+AH!$P$8-1),0),0),0)</ns0:f>
        <ns0:v/>
      </ns0:c>
      <ns0:c r="I1449">
        <ns0:f>IF($H1449=0,0,IFERROR(IF(AND(ABS($C1449-INDEX('AH History'!$B$1:$B$18046,$H1449))&lt;=MAX(0.005,ABS(INDEX('AH History'!$B$1:$B$18046,$H1449))*0.00005),ABS($D1449-INDEX('AH History'!$C$1:$C$18046,$H1449))&lt;=MAX(0.005,ABS(INDEX('AH History'!$C$1:$C$18046,$H1449))*0.00005),ABS($E1449-INDEX('AH History'!$D$1:$D$18046,$H1449))&lt;=0.00005,$F1449=INDEX('AH History'!$E$1:$E$18046,$H1449),$G1449=INDEX('AH History'!$F$1:$F$18046,$H1449)),1,-1),-1))</ns0:f>
        <ns0:v/>
      </ns0:c>
    </ns0:row>
    <ns0:row r="1450">
      <ns0:c r="A1450" s="215">
        <ns0:f>IF(OR(AH!$P$3=0,1445+1&gt;AH!$P$11,AND(AH!$E$4&lt;&gt;"Stored",AH!$P$10&lt;&gt;1)),"",IFERROR(IF(AND(AH!$P$21=1,1445+1=AH!$P$11),TODAY(),IF(AH!$P$10=1,INDEX('Live History'!$A$5:$A$3004,AH!$P$13+1445),INDEX('AH History'!$A$1:$A$18046,AH!$P$7+1445))),""))</ns0:f>
        <ns0:v/>
      </ns0:c>
      <ns0:c r="B1450" s="219">
        <ns0:f>IFERROR(IF(AND(AH!$P$9&lt;&gt;1,$C1450&gt;0,$D1450&gt;0,$E1450&gt;0,$F1450&gt;0,$G1450&gt;0,$F1450&lt;=$A1450,$G1450&lt;=$A1450,$A1450-$F1450&lt;=10,$A1450-$G1450&lt;=5),$D1450*$E1450/$C1450-1,NA()),NA())</ns0:f>
        <ns0:v/>
      </ns0:c>
      <ns0:c r="C1450">
        <ns0:f>IFERROR(IF(ISNUMBER($A1450),IF(AND(AH!$P$10=1,AH!$P$12=1,$A1450=TODAY()),AH!$P$19,IF(AH!$P$10=1,INDEX('Live History'!$B$5:$B$3004,AH!$P$13+1445),INDEX('AH History'!$B$1:$B$18046,AH!$P$7+1445))),NA()),NA())</ns0:f>
        <ns0:v/>
      </ns0:c>
      <ns0:c r="D1450">
        <ns0:f>IFERROR(IF(ISNUMBER($A1450),IF(AND(AH!$P$10=1,AH!$P$12=1,$A1450=TODAY()),AH!$P$18,IF(AH!$P$10=1,INDEX('Live History'!$E$5:$E$3004,MATCH($A1450,'Live History'!$D$5:$D$3004,1)),INDEX('AH History'!$C$1:$C$18046,AH!$P$7+1445))),NA()),NA())</ns0:f>
        <ns0:v/>
      </ns0:c>
      <ns0:c r="E1450">
        <ns0:f>IFERROR(IF(ISNUMBER($A1450),IF(AND(AH!$P$10=1,AH!$P$12=1,$A1450=TODAY()),AH!$P$20,IF(AH!$P$10=1,INDEX('Live History'!$H$5:$H$3004,MATCH($A1450,'Live History'!$G$5:$G$3004,1)),INDEX('AH History'!$D$1:$D$18046,AH!$P$7+1445))),NA()),NA())</ns0:f>
        <ns0:v/>
      </ns0:c>
      <ns0:c r="F1450">
        <ns0:f>IFERROR(IF(ISNUMBER($A1450),IF(AND(AH!$P$10=1,AH!$P$12=1,$A1450=TODAY()),IF(AND(AH!$P$10=1,AH!$P$12=1,$A1450=TODAY()),TODAY(),NA()),IF(AH!$P$10=1,INDEX('Live History'!$D$5:$D$3004,MATCH($A1450,'Live History'!$D$5:$D$3004,1)),INDEX('AH History'!$E$1:$E$18046,AH!$P$7+1445))),NA()),NA())</ns0:f>
        <ns0:v/>
      </ns0:c>
      <ns0:c r="G1450">
        <ns0:f>IFERROR(IF(ISNUMBER($A1450),IF(AND(AH!$P$10=1,AH!$P$12=1,$A1450=TODAY()),IF(AND(AH!$P$10=1,AH!$P$12=1,$A1450=TODAY()),TODAY(),NA()),IF(AH!$P$10=1,INDEX('Live History'!$G$5:$G$3004,MATCH($A1450,'Live History'!$G$5:$G$3004,1)),INDEX('AH History'!$F$1:$F$18046,AH!$P$7+1445))),NA()),NA())</ns0:f>
        <ns0:v/>
      </ns0:c>
      <ns0:c r="H1450">
        <ns0:f>IFERROR(IF(AND(AH!$E$4="Bloomberg",AH!$P$10=1,ISNUMBER($A1450),$A1450&lt;=AH!$P$17),AH!$P$7-1+MATCH($A1450,INDEX('AH History'!$A$1:$A$18046,AH!$P$7):INDEX('AH History'!$A$1:$A$18046,AH!$P$7+AH!$P$8-1),0),0),0)</ns0:f>
        <ns0:v/>
      </ns0:c>
      <ns0:c r="I1450">
        <ns0:f>IF($H1450=0,0,IFERROR(IF(AND(ABS($C1450-INDEX('AH History'!$B$1:$B$18046,$H1450))&lt;=MAX(0.005,ABS(INDEX('AH History'!$B$1:$B$18046,$H1450))*0.00005),ABS($D1450-INDEX('AH History'!$C$1:$C$18046,$H1450))&lt;=MAX(0.005,ABS(INDEX('AH History'!$C$1:$C$18046,$H1450))*0.00005),ABS($E1450-INDEX('AH History'!$D$1:$D$18046,$H1450))&lt;=0.00005,$F1450=INDEX('AH History'!$E$1:$E$18046,$H1450),$G1450=INDEX('AH History'!$F$1:$F$18046,$H1450)),1,-1),-1))</ns0:f>
        <ns0:v/>
      </ns0:c>
    </ns0:row>
    <ns0:row r="1451">
      <ns0:c r="A1451" s="215">
        <ns0:f>IF(OR(AH!$P$3=0,1446+1&gt;AH!$P$11,AND(AH!$E$4&lt;&gt;"Stored",AH!$P$10&lt;&gt;1)),"",IFERROR(IF(AND(AH!$P$21=1,1446+1=AH!$P$11),TODAY(),IF(AH!$P$10=1,INDEX('Live History'!$A$5:$A$3004,AH!$P$13+1446),INDEX('AH History'!$A$1:$A$18046,AH!$P$7+1446))),""))</ns0:f>
        <ns0:v/>
      </ns0:c>
      <ns0:c r="B1451" s="219">
        <ns0:f>IFERROR(IF(AND(AH!$P$9&lt;&gt;1,$C1451&gt;0,$D1451&gt;0,$E1451&gt;0,$F1451&gt;0,$G1451&gt;0,$F1451&lt;=$A1451,$G1451&lt;=$A1451,$A1451-$F1451&lt;=10,$A1451-$G1451&lt;=5),$D1451*$E1451/$C1451-1,NA()),NA())</ns0:f>
        <ns0:v/>
      </ns0:c>
      <ns0:c r="C1451">
        <ns0:f>IFERROR(IF(ISNUMBER($A1451),IF(AND(AH!$P$10=1,AH!$P$12=1,$A1451=TODAY()),AH!$P$19,IF(AH!$P$10=1,INDEX('Live History'!$B$5:$B$3004,AH!$P$13+1446),INDEX('AH History'!$B$1:$B$18046,AH!$P$7+1446))),NA()),NA())</ns0:f>
        <ns0:v/>
      </ns0:c>
      <ns0:c r="D1451">
        <ns0:f>IFERROR(IF(ISNUMBER($A1451),IF(AND(AH!$P$10=1,AH!$P$12=1,$A1451=TODAY()),AH!$P$18,IF(AH!$P$10=1,INDEX('Live History'!$E$5:$E$3004,MATCH($A1451,'Live History'!$D$5:$D$3004,1)),INDEX('AH History'!$C$1:$C$18046,AH!$P$7+1446))),NA()),NA())</ns0:f>
        <ns0:v/>
      </ns0:c>
      <ns0:c r="E1451">
        <ns0:f>IFERROR(IF(ISNUMBER($A1451),IF(AND(AH!$P$10=1,AH!$P$12=1,$A1451=TODAY()),AH!$P$20,IF(AH!$P$10=1,INDEX('Live History'!$H$5:$H$3004,MATCH($A1451,'Live History'!$G$5:$G$3004,1)),INDEX('AH History'!$D$1:$D$18046,AH!$P$7+1446))),NA()),NA())</ns0:f>
        <ns0:v/>
      </ns0:c>
      <ns0:c r="F1451">
        <ns0:f>IFERROR(IF(ISNUMBER($A1451),IF(AND(AH!$P$10=1,AH!$P$12=1,$A1451=TODAY()),IF(AND(AH!$P$10=1,AH!$P$12=1,$A1451=TODAY()),TODAY(),NA()),IF(AH!$P$10=1,INDEX('Live History'!$D$5:$D$3004,MATCH($A1451,'Live History'!$D$5:$D$3004,1)),INDEX('AH History'!$E$1:$E$18046,AH!$P$7+1446))),NA()),NA())</ns0:f>
        <ns0:v/>
      </ns0:c>
      <ns0:c r="G1451">
        <ns0:f>IFERROR(IF(ISNUMBER($A1451),IF(AND(AH!$P$10=1,AH!$P$12=1,$A1451=TODAY()),IF(AND(AH!$P$10=1,AH!$P$12=1,$A1451=TODAY()),TODAY(),NA()),IF(AH!$P$10=1,INDEX('Live History'!$G$5:$G$3004,MATCH($A1451,'Live History'!$G$5:$G$3004,1)),INDEX('AH History'!$F$1:$F$18046,AH!$P$7+1446))),NA()),NA())</ns0:f>
        <ns0:v/>
      </ns0:c>
      <ns0:c r="H1451">
        <ns0:f>IFERROR(IF(AND(AH!$E$4="Bloomberg",AH!$P$10=1,ISNUMBER($A1451),$A1451&lt;=AH!$P$17),AH!$P$7-1+MATCH($A1451,INDEX('AH History'!$A$1:$A$18046,AH!$P$7):INDEX('AH History'!$A$1:$A$18046,AH!$P$7+AH!$P$8-1),0),0),0)</ns0:f>
        <ns0:v/>
      </ns0:c>
      <ns0:c r="I1451">
        <ns0:f>IF($H1451=0,0,IFERROR(IF(AND(ABS($C1451-INDEX('AH History'!$B$1:$B$18046,$H1451))&lt;=MAX(0.005,ABS(INDEX('AH History'!$B$1:$B$18046,$H1451))*0.00005),ABS($D1451-INDEX('AH History'!$C$1:$C$18046,$H1451))&lt;=MAX(0.005,ABS(INDEX('AH History'!$C$1:$C$18046,$H1451))*0.00005),ABS($E1451-INDEX('AH History'!$D$1:$D$18046,$H1451))&lt;=0.00005,$F1451=INDEX('AH History'!$E$1:$E$18046,$H1451),$G1451=INDEX('AH History'!$F$1:$F$18046,$H1451)),1,-1),-1))</ns0:f>
        <ns0:v/>
      </ns0:c>
    </ns0:row>
    <ns0:row r="1452">
      <ns0:c r="A1452" s="215">
        <ns0:f>IF(OR(AH!$P$3=0,1447+1&gt;AH!$P$11,AND(AH!$E$4&lt;&gt;"Stored",AH!$P$10&lt;&gt;1)),"",IFERROR(IF(AND(AH!$P$21=1,1447+1=AH!$P$11),TODAY(),IF(AH!$P$10=1,INDEX('Live History'!$A$5:$A$3004,AH!$P$13+1447),INDEX('AH History'!$A$1:$A$18046,AH!$P$7+1447))),""))</ns0:f>
        <ns0:v/>
      </ns0:c>
      <ns0:c r="B1452" s="219">
        <ns0:f>IFERROR(IF(AND(AH!$P$9&lt;&gt;1,$C1452&gt;0,$D1452&gt;0,$E1452&gt;0,$F1452&gt;0,$G1452&gt;0,$F1452&lt;=$A1452,$G1452&lt;=$A1452,$A1452-$F1452&lt;=10,$A1452-$G1452&lt;=5),$D1452*$E1452/$C1452-1,NA()),NA())</ns0:f>
        <ns0:v/>
      </ns0:c>
      <ns0:c r="C1452">
        <ns0:f>IFERROR(IF(ISNUMBER($A1452),IF(AND(AH!$P$10=1,AH!$P$12=1,$A1452=TODAY()),AH!$P$19,IF(AH!$P$10=1,INDEX('Live History'!$B$5:$B$3004,AH!$P$13+1447),INDEX('AH History'!$B$1:$B$18046,AH!$P$7+1447))),NA()),NA())</ns0:f>
        <ns0:v/>
      </ns0:c>
      <ns0:c r="D1452">
        <ns0:f>IFERROR(IF(ISNUMBER($A1452),IF(AND(AH!$P$10=1,AH!$P$12=1,$A1452=TODAY()),AH!$P$18,IF(AH!$P$10=1,INDEX('Live History'!$E$5:$E$3004,MATCH($A1452,'Live History'!$D$5:$D$3004,1)),INDEX('AH History'!$C$1:$C$18046,AH!$P$7+1447))),NA()),NA())</ns0:f>
        <ns0:v/>
      </ns0:c>
      <ns0:c r="E1452">
        <ns0:f>IFERROR(IF(ISNUMBER($A1452),IF(AND(AH!$P$10=1,AH!$P$12=1,$A1452=TODAY()),AH!$P$20,IF(AH!$P$10=1,INDEX('Live History'!$H$5:$H$3004,MATCH($A1452,'Live History'!$G$5:$G$3004,1)),INDEX('AH History'!$D$1:$D$18046,AH!$P$7+1447))),NA()),NA())</ns0:f>
        <ns0:v/>
      </ns0:c>
      <ns0:c r="F1452">
        <ns0:f>IFERROR(IF(ISNUMBER($A1452),IF(AND(AH!$P$10=1,AH!$P$12=1,$A1452=TODAY()),IF(AND(AH!$P$10=1,AH!$P$12=1,$A1452=TODAY()),TODAY(),NA()),IF(AH!$P$10=1,INDEX('Live History'!$D$5:$D$3004,MATCH($A1452,'Live History'!$D$5:$D$3004,1)),INDEX('AH History'!$E$1:$E$18046,AH!$P$7+1447))),NA()),NA())</ns0:f>
        <ns0:v/>
      </ns0:c>
      <ns0:c r="G1452">
        <ns0:f>IFERROR(IF(ISNUMBER($A1452),IF(AND(AH!$P$10=1,AH!$P$12=1,$A1452=TODAY()),IF(AND(AH!$P$10=1,AH!$P$12=1,$A1452=TODAY()),TODAY(),NA()),IF(AH!$P$10=1,INDEX('Live History'!$G$5:$G$3004,MATCH($A1452,'Live History'!$G$5:$G$3004,1)),INDEX('AH History'!$F$1:$F$18046,AH!$P$7+1447))),NA()),NA())</ns0:f>
        <ns0:v/>
      </ns0:c>
      <ns0:c r="H1452">
        <ns0:f>IFERROR(IF(AND(AH!$E$4="Bloomberg",AH!$P$10=1,ISNUMBER($A1452),$A1452&lt;=AH!$P$17),AH!$P$7-1+MATCH($A1452,INDEX('AH History'!$A$1:$A$18046,AH!$P$7):INDEX('AH History'!$A$1:$A$18046,AH!$P$7+AH!$P$8-1),0),0),0)</ns0:f>
        <ns0:v/>
      </ns0:c>
      <ns0:c r="I1452">
        <ns0:f>IF($H1452=0,0,IFERROR(IF(AND(ABS($C1452-INDEX('AH History'!$B$1:$B$18046,$H1452))&lt;=MAX(0.005,ABS(INDEX('AH History'!$B$1:$B$18046,$H1452))*0.00005),ABS($D1452-INDEX('AH History'!$C$1:$C$18046,$H1452))&lt;=MAX(0.005,ABS(INDEX('AH History'!$C$1:$C$18046,$H1452))*0.00005),ABS($E1452-INDEX('AH History'!$D$1:$D$18046,$H1452))&lt;=0.00005,$F1452=INDEX('AH History'!$E$1:$E$18046,$H1452),$G1452=INDEX('AH History'!$F$1:$F$18046,$H1452)),1,-1),-1))</ns0:f>
        <ns0:v/>
      </ns0:c>
    </ns0:row>
    <ns0:row r="1453">
      <ns0:c r="A1453" s="215">
        <ns0:f>IF(OR(AH!$P$3=0,1448+1&gt;AH!$P$11,AND(AH!$E$4&lt;&gt;"Stored",AH!$P$10&lt;&gt;1)),"",IFERROR(IF(AND(AH!$P$21=1,1448+1=AH!$P$11),TODAY(),IF(AH!$P$10=1,INDEX('Live History'!$A$5:$A$3004,AH!$P$13+1448),INDEX('AH History'!$A$1:$A$18046,AH!$P$7+1448))),""))</ns0:f>
        <ns0:v/>
      </ns0:c>
      <ns0:c r="B1453" s="219">
        <ns0:f>IFERROR(IF(AND(AH!$P$9&lt;&gt;1,$C1453&gt;0,$D1453&gt;0,$E1453&gt;0,$F1453&gt;0,$G1453&gt;0,$F1453&lt;=$A1453,$G1453&lt;=$A1453,$A1453-$F1453&lt;=10,$A1453-$G1453&lt;=5),$D1453*$E1453/$C1453-1,NA()),NA())</ns0:f>
        <ns0:v/>
      </ns0:c>
      <ns0:c r="C1453">
        <ns0:f>IFERROR(IF(ISNUMBER($A1453),IF(AND(AH!$P$10=1,AH!$P$12=1,$A1453=TODAY()),AH!$P$19,IF(AH!$P$10=1,INDEX('Live History'!$B$5:$B$3004,AH!$P$13+1448),INDEX('AH History'!$B$1:$B$18046,AH!$P$7+1448))),NA()),NA())</ns0:f>
        <ns0:v/>
      </ns0:c>
      <ns0:c r="D1453">
        <ns0:f>IFERROR(IF(ISNUMBER($A1453),IF(AND(AH!$P$10=1,AH!$P$12=1,$A1453=TODAY()),AH!$P$18,IF(AH!$P$10=1,INDEX('Live History'!$E$5:$E$3004,MATCH($A1453,'Live History'!$D$5:$D$3004,1)),INDEX('AH History'!$C$1:$C$18046,AH!$P$7+1448))),NA()),NA())</ns0:f>
        <ns0:v/>
      </ns0:c>
      <ns0:c r="E1453">
        <ns0:f>IFERROR(IF(ISNUMBER($A1453),IF(AND(AH!$P$10=1,AH!$P$12=1,$A1453=TODAY()),AH!$P$20,IF(AH!$P$10=1,INDEX('Live History'!$H$5:$H$3004,MATCH($A1453,'Live History'!$G$5:$G$3004,1)),INDEX('AH History'!$D$1:$D$18046,AH!$P$7+1448))),NA()),NA())</ns0:f>
        <ns0:v/>
      </ns0:c>
      <ns0:c r="F1453">
        <ns0:f>IFERROR(IF(ISNUMBER($A1453),IF(AND(AH!$P$10=1,AH!$P$12=1,$A1453=TODAY()),IF(AND(AH!$P$10=1,AH!$P$12=1,$A1453=TODAY()),TODAY(),NA()),IF(AH!$P$10=1,INDEX('Live History'!$D$5:$D$3004,MATCH($A1453,'Live History'!$D$5:$D$3004,1)),INDEX('AH History'!$E$1:$E$18046,AH!$P$7+1448))),NA()),NA())</ns0:f>
        <ns0:v/>
      </ns0:c>
      <ns0:c r="G1453">
        <ns0:f>IFERROR(IF(ISNUMBER($A1453),IF(AND(AH!$P$10=1,AH!$P$12=1,$A1453=TODAY()),IF(AND(AH!$P$10=1,AH!$P$12=1,$A1453=TODAY()),TODAY(),NA()),IF(AH!$P$10=1,INDEX('Live History'!$G$5:$G$3004,MATCH($A1453,'Live History'!$G$5:$G$3004,1)),INDEX('AH History'!$F$1:$F$18046,AH!$P$7+1448))),NA()),NA())</ns0:f>
        <ns0:v/>
      </ns0:c>
      <ns0:c r="H1453">
        <ns0:f>IFERROR(IF(AND(AH!$E$4="Bloomberg",AH!$P$10=1,ISNUMBER($A1453),$A1453&lt;=AH!$P$17),AH!$P$7-1+MATCH($A1453,INDEX('AH History'!$A$1:$A$18046,AH!$P$7):INDEX('AH History'!$A$1:$A$18046,AH!$P$7+AH!$P$8-1),0),0),0)</ns0:f>
        <ns0:v/>
      </ns0:c>
      <ns0:c r="I1453">
        <ns0:f>IF($H1453=0,0,IFERROR(IF(AND(ABS($C1453-INDEX('AH History'!$B$1:$B$18046,$H1453))&lt;=MAX(0.005,ABS(INDEX('AH History'!$B$1:$B$18046,$H1453))*0.00005),ABS($D1453-INDEX('AH History'!$C$1:$C$18046,$H1453))&lt;=MAX(0.005,ABS(INDEX('AH History'!$C$1:$C$18046,$H1453))*0.00005),ABS($E1453-INDEX('AH History'!$D$1:$D$18046,$H1453))&lt;=0.00005,$F1453=INDEX('AH History'!$E$1:$E$18046,$H1453),$G1453=INDEX('AH History'!$F$1:$F$18046,$H1453)),1,-1),-1))</ns0:f>
        <ns0:v/>
      </ns0:c>
    </ns0:row>
    <ns0:row r="1454">
      <ns0:c r="A1454" s="215">
        <ns0:f>IF(OR(AH!$P$3=0,1449+1&gt;AH!$P$11,AND(AH!$E$4&lt;&gt;"Stored",AH!$P$10&lt;&gt;1)),"",IFERROR(IF(AND(AH!$P$21=1,1449+1=AH!$P$11),TODAY(),IF(AH!$P$10=1,INDEX('Live History'!$A$5:$A$3004,AH!$P$13+1449),INDEX('AH History'!$A$1:$A$18046,AH!$P$7+1449))),""))</ns0:f>
        <ns0:v/>
      </ns0:c>
      <ns0:c r="B1454" s="219">
        <ns0:f>IFERROR(IF(AND(AH!$P$9&lt;&gt;1,$C1454&gt;0,$D1454&gt;0,$E1454&gt;0,$F1454&gt;0,$G1454&gt;0,$F1454&lt;=$A1454,$G1454&lt;=$A1454,$A1454-$F1454&lt;=10,$A1454-$G1454&lt;=5),$D1454*$E1454/$C1454-1,NA()),NA())</ns0:f>
        <ns0:v/>
      </ns0:c>
      <ns0:c r="C1454">
        <ns0:f>IFERROR(IF(ISNUMBER($A1454),IF(AND(AH!$P$10=1,AH!$P$12=1,$A1454=TODAY()),AH!$P$19,IF(AH!$P$10=1,INDEX('Live History'!$B$5:$B$3004,AH!$P$13+1449),INDEX('AH History'!$B$1:$B$18046,AH!$P$7+1449))),NA()),NA())</ns0:f>
        <ns0:v/>
      </ns0:c>
      <ns0:c r="D1454">
        <ns0:f>IFERROR(IF(ISNUMBER($A1454),IF(AND(AH!$P$10=1,AH!$P$12=1,$A1454=TODAY()),AH!$P$18,IF(AH!$P$10=1,INDEX('Live History'!$E$5:$E$3004,MATCH($A1454,'Live History'!$D$5:$D$3004,1)),INDEX('AH History'!$C$1:$C$18046,AH!$P$7+1449))),NA()),NA())</ns0:f>
        <ns0:v/>
      </ns0:c>
      <ns0:c r="E1454">
        <ns0:f>IFERROR(IF(ISNUMBER($A1454),IF(AND(AH!$P$10=1,AH!$P$12=1,$A1454=TODAY()),AH!$P$20,IF(AH!$P$10=1,INDEX('Live History'!$H$5:$H$3004,MATCH($A1454,'Live History'!$G$5:$G$3004,1)),INDEX('AH History'!$D$1:$D$18046,AH!$P$7+1449))),NA()),NA())</ns0:f>
        <ns0:v/>
      </ns0:c>
      <ns0:c r="F1454">
        <ns0:f>IFERROR(IF(ISNUMBER($A1454),IF(AND(AH!$P$10=1,AH!$P$12=1,$A1454=TODAY()),IF(AND(AH!$P$10=1,AH!$P$12=1,$A1454=TODAY()),TODAY(),NA()),IF(AH!$P$10=1,INDEX('Live History'!$D$5:$D$3004,MATCH($A1454,'Live History'!$D$5:$D$3004,1)),INDEX('AH History'!$E$1:$E$18046,AH!$P$7+1449))),NA()),NA())</ns0:f>
        <ns0:v/>
      </ns0:c>
      <ns0:c r="G1454">
        <ns0:f>IFERROR(IF(ISNUMBER($A1454),IF(AND(AH!$P$10=1,AH!$P$12=1,$A1454=TODAY()),IF(AND(AH!$P$10=1,AH!$P$12=1,$A1454=TODAY()),TODAY(),NA()),IF(AH!$P$10=1,INDEX('Live History'!$G$5:$G$3004,MATCH($A1454,'Live History'!$G$5:$G$3004,1)),INDEX('AH History'!$F$1:$F$18046,AH!$P$7+1449))),NA()),NA())</ns0:f>
        <ns0:v/>
      </ns0:c>
      <ns0:c r="H1454">
        <ns0:f>IFERROR(IF(AND(AH!$E$4="Bloomberg",AH!$P$10=1,ISNUMBER($A1454),$A1454&lt;=AH!$P$17),AH!$P$7-1+MATCH($A1454,INDEX('AH History'!$A$1:$A$18046,AH!$P$7):INDEX('AH History'!$A$1:$A$18046,AH!$P$7+AH!$P$8-1),0),0),0)</ns0:f>
        <ns0:v/>
      </ns0:c>
      <ns0:c r="I1454">
        <ns0:f>IF($H1454=0,0,IFERROR(IF(AND(ABS($C1454-INDEX('AH History'!$B$1:$B$18046,$H1454))&lt;=MAX(0.005,ABS(INDEX('AH History'!$B$1:$B$18046,$H1454))*0.00005),ABS($D1454-INDEX('AH History'!$C$1:$C$18046,$H1454))&lt;=MAX(0.005,ABS(INDEX('AH History'!$C$1:$C$18046,$H1454))*0.00005),ABS($E1454-INDEX('AH History'!$D$1:$D$18046,$H1454))&lt;=0.00005,$F1454=INDEX('AH History'!$E$1:$E$18046,$H1454),$G1454=INDEX('AH History'!$F$1:$F$18046,$H1454)),1,-1),-1))</ns0:f>
        <ns0:v/>
      </ns0:c>
    </ns0:row>
    <ns0:row r="1455">
      <ns0:c r="A1455" s="215">
        <ns0:f>IF(OR(AH!$P$3=0,1450+1&gt;AH!$P$11,AND(AH!$E$4&lt;&gt;"Stored",AH!$P$10&lt;&gt;1)),"",IFERROR(IF(AND(AH!$P$21=1,1450+1=AH!$P$11),TODAY(),IF(AH!$P$10=1,INDEX('Live History'!$A$5:$A$3004,AH!$P$13+1450),INDEX('AH History'!$A$1:$A$18046,AH!$P$7+1450))),""))</ns0:f>
        <ns0:v/>
      </ns0:c>
      <ns0:c r="B1455" s="219">
        <ns0:f>IFERROR(IF(AND(AH!$P$9&lt;&gt;1,$C1455&gt;0,$D1455&gt;0,$E1455&gt;0,$F1455&gt;0,$G1455&gt;0,$F1455&lt;=$A1455,$G1455&lt;=$A1455,$A1455-$F1455&lt;=10,$A1455-$G1455&lt;=5),$D1455*$E1455/$C1455-1,NA()),NA())</ns0:f>
        <ns0:v/>
      </ns0:c>
      <ns0:c r="C1455">
        <ns0:f>IFERROR(IF(ISNUMBER($A1455),IF(AND(AH!$P$10=1,AH!$P$12=1,$A1455=TODAY()),AH!$P$19,IF(AH!$P$10=1,INDEX('Live History'!$B$5:$B$3004,AH!$P$13+1450),INDEX('AH History'!$B$1:$B$18046,AH!$P$7+1450))),NA()),NA())</ns0:f>
        <ns0:v/>
      </ns0:c>
      <ns0:c r="D1455">
        <ns0:f>IFERROR(IF(ISNUMBER($A1455),IF(AND(AH!$P$10=1,AH!$P$12=1,$A1455=TODAY()),AH!$P$18,IF(AH!$P$10=1,INDEX('Live History'!$E$5:$E$3004,MATCH($A1455,'Live History'!$D$5:$D$3004,1)),INDEX('AH History'!$C$1:$C$18046,AH!$P$7+1450))),NA()),NA())</ns0:f>
        <ns0:v/>
      </ns0:c>
      <ns0:c r="E1455">
        <ns0:f>IFERROR(IF(ISNUMBER($A1455),IF(AND(AH!$P$10=1,AH!$P$12=1,$A1455=TODAY()),AH!$P$20,IF(AH!$P$10=1,INDEX('Live History'!$H$5:$H$3004,MATCH($A1455,'Live History'!$G$5:$G$3004,1)),INDEX('AH History'!$D$1:$D$18046,AH!$P$7+1450))),NA()),NA())</ns0:f>
        <ns0:v/>
      </ns0:c>
      <ns0:c r="F1455">
        <ns0:f>IFERROR(IF(ISNUMBER($A1455),IF(AND(AH!$P$10=1,AH!$P$12=1,$A1455=TODAY()),IF(AND(AH!$P$10=1,AH!$P$12=1,$A1455=TODAY()),TODAY(),NA()),IF(AH!$P$10=1,INDEX('Live History'!$D$5:$D$3004,MATCH($A1455,'Live History'!$D$5:$D$3004,1)),INDEX('AH History'!$E$1:$E$18046,AH!$P$7+1450))),NA()),NA())</ns0:f>
        <ns0:v/>
      </ns0:c>
      <ns0:c r="G1455">
        <ns0:f>IFERROR(IF(ISNUMBER($A1455),IF(AND(AH!$P$10=1,AH!$P$12=1,$A1455=TODAY()),IF(AND(AH!$P$10=1,AH!$P$12=1,$A1455=TODAY()),TODAY(),NA()),IF(AH!$P$10=1,INDEX('Live History'!$G$5:$G$3004,MATCH($A1455,'Live History'!$G$5:$G$3004,1)),INDEX('AH History'!$F$1:$F$18046,AH!$P$7+1450))),NA()),NA())</ns0:f>
        <ns0:v/>
      </ns0:c>
      <ns0:c r="H1455">
        <ns0:f>IFERROR(IF(AND(AH!$E$4="Bloomberg",AH!$P$10=1,ISNUMBER($A1455),$A1455&lt;=AH!$P$17),AH!$P$7-1+MATCH($A1455,INDEX('AH History'!$A$1:$A$18046,AH!$P$7):INDEX('AH History'!$A$1:$A$18046,AH!$P$7+AH!$P$8-1),0),0),0)</ns0:f>
        <ns0:v/>
      </ns0:c>
      <ns0:c r="I1455">
        <ns0:f>IF($H1455=0,0,IFERROR(IF(AND(ABS($C1455-INDEX('AH History'!$B$1:$B$18046,$H1455))&lt;=MAX(0.005,ABS(INDEX('AH History'!$B$1:$B$18046,$H1455))*0.00005),ABS($D1455-INDEX('AH History'!$C$1:$C$18046,$H1455))&lt;=MAX(0.005,ABS(INDEX('AH History'!$C$1:$C$18046,$H1455))*0.00005),ABS($E1455-INDEX('AH History'!$D$1:$D$18046,$H1455))&lt;=0.00005,$F1455=INDEX('AH History'!$E$1:$E$18046,$H1455),$G1455=INDEX('AH History'!$F$1:$F$18046,$H1455)),1,-1),-1))</ns0:f>
        <ns0:v/>
      </ns0:c>
    </ns0:row>
    <ns0:row r="1456">
      <ns0:c r="A1456" s="215">
        <ns0:f>IF(OR(AH!$P$3=0,1451+1&gt;AH!$P$11,AND(AH!$E$4&lt;&gt;"Stored",AH!$P$10&lt;&gt;1)),"",IFERROR(IF(AND(AH!$P$21=1,1451+1=AH!$P$11),TODAY(),IF(AH!$P$10=1,INDEX('Live History'!$A$5:$A$3004,AH!$P$13+1451),INDEX('AH History'!$A$1:$A$18046,AH!$P$7+1451))),""))</ns0:f>
        <ns0:v/>
      </ns0:c>
      <ns0:c r="B1456" s="219">
        <ns0:f>IFERROR(IF(AND(AH!$P$9&lt;&gt;1,$C1456&gt;0,$D1456&gt;0,$E1456&gt;0,$F1456&gt;0,$G1456&gt;0,$F1456&lt;=$A1456,$G1456&lt;=$A1456,$A1456-$F1456&lt;=10,$A1456-$G1456&lt;=5),$D1456*$E1456/$C1456-1,NA()),NA())</ns0:f>
        <ns0:v/>
      </ns0:c>
      <ns0:c r="C1456">
        <ns0:f>IFERROR(IF(ISNUMBER($A1456),IF(AND(AH!$P$10=1,AH!$P$12=1,$A1456=TODAY()),AH!$P$19,IF(AH!$P$10=1,INDEX('Live History'!$B$5:$B$3004,AH!$P$13+1451),INDEX('AH History'!$B$1:$B$18046,AH!$P$7+1451))),NA()),NA())</ns0:f>
        <ns0:v/>
      </ns0:c>
      <ns0:c r="D1456">
        <ns0:f>IFERROR(IF(ISNUMBER($A1456),IF(AND(AH!$P$10=1,AH!$P$12=1,$A1456=TODAY()),AH!$P$18,IF(AH!$P$10=1,INDEX('Live History'!$E$5:$E$3004,MATCH($A1456,'Live History'!$D$5:$D$3004,1)),INDEX('AH History'!$C$1:$C$18046,AH!$P$7+1451))),NA()),NA())</ns0:f>
        <ns0:v/>
      </ns0:c>
      <ns0:c r="E1456">
        <ns0:f>IFERROR(IF(ISNUMBER($A1456),IF(AND(AH!$P$10=1,AH!$P$12=1,$A1456=TODAY()),AH!$P$20,IF(AH!$P$10=1,INDEX('Live History'!$H$5:$H$3004,MATCH($A1456,'Live History'!$G$5:$G$3004,1)),INDEX('AH History'!$D$1:$D$18046,AH!$P$7+1451))),NA()),NA())</ns0:f>
        <ns0:v/>
      </ns0:c>
      <ns0:c r="F1456">
        <ns0:f>IFERROR(IF(ISNUMBER($A1456),IF(AND(AH!$P$10=1,AH!$P$12=1,$A1456=TODAY()),IF(AND(AH!$P$10=1,AH!$P$12=1,$A1456=TODAY()),TODAY(),NA()),IF(AH!$P$10=1,INDEX('Live History'!$D$5:$D$3004,MATCH($A1456,'Live History'!$D$5:$D$3004,1)),INDEX('AH History'!$E$1:$E$18046,AH!$P$7+1451))),NA()),NA())</ns0:f>
        <ns0:v/>
      </ns0:c>
      <ns0:c r="G1456">
        <ns0:f>IFERROR(IF(ISNUMBER($A1456),IF(AND(AH!$P$10=1,AH!$P$12=1,$A1456=TODAY()),IF(AND(AH!$P$10=1,AH!$P$12=1,$A1456=TODAY()),TODAY(),NA()),IF(AH!$P$10=1,INDEX('Live History'!$G$5:$G$3004,MATCH($A1456,'Live History'!$G$5:$G$3004,1)),INDEX('AH History'!$F$1:$F$18046,AH!$P$7+1451))),NA()),NA())</ns0:f>
        <ns0:v/>
      </ns0:c>
      <ns0:c r="H1456">
        <ns0:f>IFERROR(IF(AND(AH!$E$4="Bloomberg",AH!$P$10=1,ISNUMBER($A1456),$A1456&lt;=AH!$P$17),AH!$P$7-1+MATCH($A1456,INDEX('AH History'!$A$1:$A$18046,AH!$P$7):INDEX('AH History'!$A$1:$A$18046,AH!$P$7+AH!$P$8-1),0),0),0)</ns0:f>
        <ns0:v/>
      </ns0:c>
      <ns0:c r="I1456">
        <ns0:f>IF($H1456=0,0,IFERROR(IF(AND(ABS($C1456-INDEX('AH History'!$B$1:$B$18046,$H1456))&lt;=MAX(0.005,ABS(INDEX('AH History'!$B$1:$B$18046,$H1456))*0.00005),ABS($D1456-INDEX('AH History'!$C$1:$C$18046,$H1456))&lt;=MAX(0.005,ABS(INDEX('AH History'!$C$1:$C$18046,$H1456))*0.00005),ABS($E1456-INDEX('AH History'!$D$1:$D$18046,$H1456))&lt;=0.00005,$F1456=INDEX('AH History'!$E$1:$E$18046,$H1456),$G1456=INDEX('AH History'!$F$1:$F$18046,$H1456)),1,-1),-1))</ns0:f>
        <ns0:v/>
      </ns0:c>
    </ns0:row>
    <ns0:row r="1457">
      <ns0:c r="A1457" s="215">
        <ns0:f>IF(OR(AH!$P$3=0,1452+1&gt;AH!$P$11,AND(AH!$E$4&lt;&gt;"Stored",AH!$P$10&lt;&gt;1)),"",IFERROR(IF(AND(AH!$P$21=1,1452+1=AH!$P$11),TODAY(),IF(AH!$P$10=1,INDEX('Live History'!$A$5:$A$3004,AH!$P$13+1452),INDEX('AH History'!$A$1:$A$18046,AH!$P$7+1452))),""))</ns0:f>
        <ns0:v/>
      </ns0:c>
      <ns0:c r="B1457" s="219">
        <ns0:f>IFERROR(IF(AND(AH!$P$9&lt;&gt;1,$C1457&gt;0,$D1457&gt;0,$E1457&gt;0,$F1457&gt;0,$G1457&gt;0,$F1457&lt;=$A1457,$G1457&lt;=$A1457,$A1457-$F1457&lt;=10,$A1457-$G1457&lt;=5),$D1457*$E1457/$C1457-1,NA()),NA())</ns0:f>
        <ns0:v/>
      </ns0:c>
      <ns0:c r="C1457">
        <ns0:f>IFERROR(IF(ISNUMBER($A1457),IF(AND(AH!$P$10=1,AH!$P$12=1,$A1457=TODAY()),AH!$P$19,IF(AH!$P$10=1,INDEX('Live History'!$B$5:$B$3004,AH!$P$13+1452),INDEX('AH History'!$B$1:$B$18046,AH!$P$7+1452))),NA()),NA())</ns0:f>
        <ns0:v/>
      </ns0:c>
      <ns0:c r="D1457">
        <ns0:f>IFERROR(IF(ISNUMBER($A1457),IF(AND(AH!$P$10=1,AH!$P$12=1,$A1457=TODAY()),AH!$P$18,IF(AH!$P$10=1,INDEX('Live History'!$E$5:$E$3004,MATCH($A1457,'Live History'!$D$5:$D$3004,1)),INDEX('AH History'!$C$1:$C$18046,AH!$P$7+1452))),NA()),NA())</ns0:f>
        <ns0:v/>
      </ns0:c>
      <ns0:c r="E1457">
        <ns0:f>IFERROR(IF(ISNUMBER($A1457),IF(AND(AH!$P$10=1,AH!$P$12=1,$A1457=TODAY()),AH!$P$20,IF(AH!$P$10=1,INDEX('Live History'!$H$5:$H$3004,MATCH($A1457,'Live History'!$G$5:$G$3004,1)),INDEX('AH History'!$D$1:$D$18046,AH!$P$7+1452))),NA()),NA())</ns0:f>
        <ns0:v/>
      </ns0:c>
      <ns0:c r="F1457">
        <ns0:f>IFERROR(IF(ISNUMBER($A1457),IF(AND(AH!$P$10=1,AH!$P$12=1,$A1457=TODAY()),IF(AND(AH!$P$10=1,AH!$P$12=1,$A1457=TODAY()),TODAY(),NA()),IF(AH!$P$10=1,INDEX('Live History'!$D$5:$D$3004,MATCH($A1457,'Live History'!$D$5:$D$3004,1)),INDEX('AH History'!$E$1:$E$18046,AH!$P$7+1452))),NA()),NA())</ns0:f>
        <ns0:v/>
      </ns0:c>
      <ns0:c r="G1457">
        <ns0:f>IFERROR(IF(ISNUMBER($A1457),IF(AND(AH!$P$10=1,AH!$P$12=1,$A1457=TODAY()),IF(AND(AH!$P$10=1,AH!$P$12=1,$A1457=TODAY()),TODAY(),NA()),IF(AH!$P$10=1,INDEX('Live History'!$G$5:$G$3004,MATCH($A1457,'Live History'!$G$5:$G$3004,1)),INDEX('AH History'!$F$1:$F$18046,AH!$P$7+1452))),NA()),NA())</ns0:f>
        <ns0:v/>
      </ns0:c>
      <ns0:c r="H1457">
        <ns0:f>IFERROR(IF(AND(AH!$E$4="Bloomberg",AH!$P$10=1,ISNUMBER($A1457),$A1457&lt;=AH!$P$17),AH!$P$7-1+MATCH($A1457,INDEX('AH History'!$A$1:$A$18046,AH!$P$7):INDEX('AH History'!$A$1:$A$18046,AH!$P$7+AH!$P$8-1),0),0),0)</ns0:f>
        <ns0:v/>
      </ns0:c>
      <ns0:c r="I1457">
        <ns0:f>IF($H1457=0,0,IFERROR(IF(AND(ABS($C1457-INDEX('AH History'!$B$1:$B$18046,$H1457))&lt;=MAX(0.005,ABS(INDEX('AH History'!$B$1:$B$18046,$H1457))*0.00005),ABS($D1457-INDEX('AH History'!$C$1:$C$18046,$H1457))&lt;=MAX(0.005,ABS(INDEX('AH History'!$C$1:$C$18046,$H1457))*0.00005),ABS($E1457-INDEX('AH History'!$D$1:$D$18046,$H1457))&lt;=0.00005,$F1457=INDEX('AH History'!$E$1:$E$18046,$H1457),$G1457=INDEX('AH History'!$F$1:$F$18046,$H1457)),1,-1),-1))</ns0:f>
        <ns0:v/>
      </ns0:c>
    </ns0:row>
    <ns0:row r="1458">
      <ns0:c r="A1458" s="215">
        <ns0:f>IF(OR(AH!$P$3=0,1453+1&gt;AH!$P$11,AND(AH!$E$4&lt;&gt;"Stored",AH!$P$10&lt;&gt;1)),"",IFERROR(IF(AND(AH!$P$21=1,1453+1=AH!$P$11),TODAY(),IF(AH!$P$10=1,INDEX('Live History'!$A$5:$A$3004,AH!$P$13+1453),INDEX('AH History'!$A$1:$A$18046,AH!$P$7+1453))),""))</ns0:f>
        <ns0:v/>
      </ns0:c>
      <ns0:c r="B1458" s="219">
        <ns0:f>IFERROR(IF(AND(AH!$P$9&lt;&gt;1,$C1458&gt;0,$D1458&gt;0,$E1458&gt;0,$F1458&gt;0,$G1458&gt;0,$F1458&lt;=$A1458,$G1458&lt;=$A1458,$A1458-$F1458&lt;=10,$A1458-$G1458&lt;=5),$D1458*$E1458/$C1458-1,NA()),NA())</ns0:f>
        <ns0:v/>
      </ns0:c>
      <ns0:c r="C1458">
        <ns0:f>IFERROR(IF(ISNUMBER($A1458),IF(AND(AH!$P$10=1,AH!$P$12=1,$A1458=TODAY()),AH!$P$19,IF(AH!$P$10=1,INDEX('Live History'!$B$5:$B$3004,AH!$P$13+1453),INDEX('AH History'!$B$1:$B$18046,AH!$P$7+1453))),NA()),NA())</ns0:f>
        <ns0:v/>
      </ns0:c>
      <ns0:c r="D1458">
        <ns0:f>IFERROR(IF(ISNUMBER($A1458),IF(AND(AH!$P$10=1,AH!$P$12=1,$A1458=TODAY()),AH!$P$18,IF(AH!$P$10=1,INDEX('Live History'!$E$5:$E$3004,MATCH($A1458,'Live History'!$D$5:$D$3004,1)),INDEX('AH History'!$C$1:$C$18046,AH!$P$7+1453))),NA()),NA())</ns0:f>
        <ns0:v/>
      </ns0:c>
      <ns0:c r="E1458">
        <ns0:f>IFERROR(IF(ISNUMBER($A1458),IF(AND(AH!$P$10=1,AH!$P$12=1,$A1458=TODAY()),AH!$P$20,IF(AH!$P$10=1,INDEX('Live History'!$H$5:$H$3004,MATCH($A1458,'Live History'!$G$5:$G$3004,1)),INDEX('AH History'!$D$1:$D$18046,AH!$P$7+1453))),NA()),NA())</ns0:f>
        <ns0:v/>
      </ns0:c>
      <ns0:c r="F1458">
        <ns0:f>IFERROR(IF(ISNUMBER($A1458),IF(AND(AH!$P$10=1,AH!$P$12=1,$A1458=TODAY()),IF(AND(AH!$P$10=1,AH!$P$12=1,$A1458=TODAY()),TODAY(),NA()),IF(AH!$P$10=1,INDEX('Live History'!$D$5:$D$3004,MATCH($A1458,'Live History'!$D$5:$D$3004,1)),INDEX('AH History'!$E$1:$E$18046,AH!$P$7+1453))),NA()),NA())</ns0:f>
        <ns0:v/>
      </ns0:c>
      <ns0:c r="G1458">
        <ns0:f>IFERROR(IF(ISNUMBER($A1458),IF(AND(AH!$P$10=1,AH!$P$12=1,$A1458=TODAY()),IF(AND(AH!$P$10=1,AH!$P$12=1,$A1458=TODAY()),TODAY(),NA()),IF(AH!$P$10=1,INDEX('Live History'!$G$5:$G$3004,MATCH($A1458,'Live History'!$G$5:$G$3004,1)),INDEX('AH History'!$F$1:$F$18046,AH!$P$7+1453))),NA()),NA())</ns0:f>
        <ns0:v/>
      </ns0:c>
      <ns0:c r="H1458">
        <ns0:f>IFERROR(IF(AND(AH!$E$4="Bloomberg",AH!$P$10=1,ISNUMBER($A1458),$A1458&lt;=AH!$P$17),AH!$P$7-1+MATCH($A1458,INDEX('AH History'!$A$1:$A$18046,AH!$P$7):INDEX('AH History'!$A$1:$A$18046,AH!$P$7+AH!$P$8-1),0),0),0)</ns0:f>
        <ns0:v/>
      </ns0:c>
      <ns0:c r="I1458">
        <ns0:f>IF($H1458=0,0,IFERROR(IF(AND(ABS($C1458-INDEX('AH History'!$B$1:$B$18046,$H1458))&lt;=MAX(0.005,ABS(INDEX('AH History'!$B$1:$B$18046,$H1458))*0.00005),ABS($D1458-INDEX('AH History'!$C$1:$C$18046,$H1458))&lt;=MAX(0.005,ABS(INDEX('AH History'!$C$1:$C$18046,$H1458))*0.00005),ABS($E1458-INDEX('AH History'!$D$1:$D$18046,$H1458))&lt;=0.00005,$F1458=INDEX('AH History'!$E$1:$E$18046,$H1458),$G1458=INDEX('AH History'!$F$1:$F$18046,$H1458)),1,-1),-1))</ns0:f>
        <ns0:v/>
      </ns0:c>
    </ns0:row>
    <ns0:row r="1459">
      <ns0:c r="A1459" s="215">
        <ns0:f>IF(OR(AH!$P$3=0,1454+1&gt;AH!$P$11,AND(AH!$E$4&lt;&gt;"Stored",AH!$P$10&lt;&gt;1)),"",IFERROR(IF(AND(AH!$P$21=1,1454+1=AH!$P$11),TODAY(),IF(AH!$P$10=1,INDEX('Live History'!$A$5:$A$3004,AH!$P$13+1454),INDEX('AH History'!$A$1:$A$18046,AH!$P$7+1454))),""))</ns0:f>
        <ns0:v/>
      </ns0:c>
      <ns0:c r="B1459" s="219">
        <ns0:f>IFERROR(IF(AND(AH!$P$9&lt;&gt;1,$C1459&gt;0,$D1459&gt;0,$E1459&gt;0,$F1459&gt;0,$G1459&gt;0,$F1459&lt;=$A1459,$G1459&lt;=$A1459,$A1459-$F1459&lt;=10,$A1459-$G1459&lt;=5),$D1459*$E1459/$C1459-1,NA()),NA())</ns0:f>
        <ns0:v/>
      </ns0:c>
      <ns0:c r="C1459">
        <ns0:f>IFERROR(IF(ISNUMBER($A1459),IF(AND(AH!$P$10=1,AH!$P$12=1,$A1459=TODAY()),AH!$P$19,IF(AH!$P$10=1,INDEX('Live History'!$B$5:$B$3004,AH!$P$13+1454),INDEX('AH History'!$B$1:$B$18046,AH!$P$7+1454))),NA()),NA())</ns0:f>
        <ns0:v/>
      </ns0:c>
      <ns0:c r="D1459">
        <ns0:f>IFERROR(IF(ISNUMBER($A1459),IF(AND(AH!$P$10=1,AH!$P$12=1,$A1459=TODAY()),AH!$P$18,IF(AH!$P$10=1,INDEX('Live History'!$E$5:$E$3004,MATCH($A1459,'Live History'!$D$5:$D$3004,1)),INDEX('AH History'!$C$1:$C$18046,AH!$P$7+1454))),NA()),NA())</ns0:f>
        <ns0:v/>
      </ns0:c>
      <ns0:c r="E1459">
        <ns0:f>IFERROR(IF(ISNUMBER($A1459),IF(AND(AH!$P$10=1,AH!$P$12=1,$A1459=TODAY()),AH!$P$20,IF(AH!$P$10=1,INDEX('Live History'!$H$5:$H$3004,MATCH($A1459,'Live History'!$G$5:$G$3004,1)),INDEX('AH History'!$D$1:$D$18046,AH!$P$7+1454))),NA()),NA())</ns0:f>
        <ns0:v/>
      </ns0:c>
      <ns0:c r="F1459">
        <ns0:f>IFERROR(IF(ISNUMBER($A1459),IF(AND(AH!$P$10=1,AH!$P$12=1,$A1459=TODAY()),IF(AND(AH!$P$10=1,AH!$P$12=1,$A1459=TODAY()),TODAY(),NA()),IF(AH!$P$10=1,INDEX('Live History'!$D$5:$D$3004,MATCH($A1459,'Live History'!$D$5:$D$3004,1)),INDEX('AH History'!$E$1:$E$18046,AH!$P$7+1454))),NA()),NA())</ns0:f>
        <ns0:v/>
      </ns0:c>
      <ns0:c r="G1459">
        <ns0:f>IFERROR(IF(ISNUMBER($A1459),IF(AND(AH!$P$10=1,AH!$P$12=1,$A1459=TODAY()),IF(AND(AH!$P$10=1,AH!$P$12=1,$A1459=TODAY()),TODAY(),NA()),IF(AH!$P$10=1,INDEX('Live History'!$G$5:$G$3004,MATCH($A1459,'Live History'!$G$5:$G$3004,1)),INDEX('AH History'!$F$1:$F$18046,AH!$P$7+1454))),NA()),NA())</ns0:f>
        <ns0:v/>
      </ns0:c>
      <ns0:c r="H1459">
        <ns0:f>IFERROR(IF(AND(AH!$E$4="Bloomberg",AH!$P$10=1,ISNUMBER($A1459),$A1459&lt;=AH!$P$17),AH!$P$7-1+MATCH($A1459,INDEX('AH History'!$A$1:$A$18046,AH!$P$7):INDEX('AH History'!$A$1:$A$18046,AH!$P$7+AH!$P$8-1),0),0),0)</ns0:f>
        <ns0:v/>
      </ns0:c>
      <ns0:c r="I1459">
        <ns0:f>IF($H1459=0,0,IFERROR(IF(AND(ABS($C1459-INDEX('AH History'!$B$1:$B$18046,$H1459))&lt;=MAX(0.005,ABS(INDEX('AH History'!$B$1:$B$18046,$H1459))*0.00005),ABS($D1459-INDEX('AH History'!$C$1:$C$18046,$H1459))&lt;=MAX(0.005,ABS(INDEX('AH History'!$C$1:$C$18046,$H1459))*0.00005),ABS($E1459-INDEX('AH History'!$D$1:$D$18046,$H1459))&lt;=0.00005,$F1459=INDEX('AH History'!$E$1:$E$18046,$H1459),$G1459=INDEX('AH History'!$F$1:$F$18046,$H1459)),1,-1),-1))</ns0:f>
        <ns0:v/>
      </ns0:c>
    </ns0:row>
    <ns0:row r="1460">
      <ns0:c r="A1460" s="215">
        <ns0:f>IF(OR(AH!$P$3=0,1455+1&gt;AH!$P$11,AND(AH!$E$4&lt;&gt;"Stored",AH!$P$10&lt;&gt;1)),"",IFERROR(IF(AND(AH!$P$21=1,1455+1=AH!$P$11),TODAY(),IF(AH!$P$10=1,INDEX('Live History'!$A$5:$A$3004,AH!$P$13+1455),INDEX('AH History'!$A$1:$A$18046,AH!$P$7+1455))),""))</ns0:f>
        <ns0:v/>
      </ns0:c>
      <ns0:c r="B1460" s="219">
        <ns0:f>IFERROR(IF(AND(AH!$P$9&lt;&gt;1,$C1460&gt;0,$D1460&gt;0,$E1460&gt;0,$F1460&gt;0,$G1460&gt;0,$F1460&lt;=$A1460,$G1460&lt;=$A1460,$A1460-$F1460&lt;=10,$A1460-$G1460&lt;=5),$D1460*$E1460/$C1460-1,NA()),NA())</ns0:f>
        <ns0:v/>
      </ns0:c>
      <ns0:c r="C1460">
        <ns0:f>IFERROR(IF(ISNUMBER($A1460),IF(AND(AH!$P$10=1,AH!$P$12=1,$A1460=TODAY()),AH!$P$19,IF(AH!$P$10=1,INDEX('Live History'!$B$5:$B$3004,AH!$P$13+1455),INDEX('AH History'!$B$1:$B$18046,AH!$P$7+1455))),NA()),NA())</ns0:f>
        <ns0:v/>
      </ns0:c>
      <ns0:c r="D1460">
        <ns0:f>IFERROR(IF(ISNUMBER($A1460),IF(AND(AH!$P$10=1,AH!$P$12=1,$A1460=TODAY()),AH!$P$18,IF(AH!$P$10=1,INDEX('Live History'!$E$5:$E$3004,MATCH($A1460,'Live History'!$D$5:$D$3004,1)),INDEX('AH History'!$C$1:$C$18046,AH!$P$7+1455))),NA()),NA())</ns0:f>
        <ns0:v/>
      </ns0:c>
      <ns0:c r="E1460">
        <ns0:f>IFERROR(IF(ISNUMBER($A1460),IF(AND(AH!$P$10=1,AH!$P$12=1,$A1460=TODAY()),AH!$P$20,IF(AH!$P$10=1,INDEX('Live History'!$H$5:$H$3004,MATCH($A1460,'Live History'!$G$5:$G$3004,1)),INDEX('AH History'!$D$1:$D$18046,AH!$P$7+1455))),NA()),NA())</ns0:f>
        <ns0:v/>
      </ns0:c>
      <ns0:c r="F1460">
        <ns0:f>IFERROR(IF(ISNUMBER($A1460),IF(AND(AH!$P$10=1,AH!$P$12=1,$A1460=TODAY()),IF(AND(AH!$P$10=1,AH!$P$12=1,$A1460=TODAY()),TODAY(),NA()),IF(AH!$P$10=1,INDEX('Live History'!$D$5:$D$3004,MATCH($A1460,'Live History'!$D$5:$D$3004,1)),INDEX('AH History'!$E$1:$E$18046,AH!$P$7+1455))),NA()),NA())</ns0:f>
        <ns0:v/>
      </ns0:c>
      <ns0:c r="G1460">
        <ns0:f>IFERROR(IF(ISNUMBER($A1460),IF(AND(AH!$P$10=1,AH!$P$12=1,$A1460=TODAY()),IF(AND(AH!$P$10=1,AH!$P$12=1,$A1460=TODAY()),TODAY(),NA()),IF(AH!$P$10=1,INDEX('Live History'!$G$5:$G$3004,MATCH($A1460,'Live History'!$G$5:$G$3004,1)),INDEX('AH History'!$F$1:$F$18046,AH!$P$7+1455))),NA()),NA())</ns0:f>
        <ns0:v/>
      </ns0:c>
      <ns0:c r="H1460">
        <ns0:f>IFERROR(IF(AND(AH!$E$4="Bloomberg",AH!$P$10=1,ISNUMBER($A1460),$A1460&lt;=AH!$P$17),AH!$P$7-1+MATCH($A1460,INDEX('AH History'!$A$1:$A$18046,AH!$P$7):INDEX('AH History'!$A$1:$A$18046,AH!$P$7+AH!$P$8-1),0),0),0)</ns0:f>
        <ns0:v/>
      </ns0:c>
      <ns0:c r="I1460">
        <ns0:f>IF($H1460=0,0,IFERROR(IF(AND(ABS($C1460-INDEX('AH History'!$B$1:$B$18046,$H1460))&lt;=MAX(0.005,ABS(INDEX('AH History'!$B$1:$B$18046,$H1460))*0.00005),ABS($D1460-INDEX('AH History'!$C$1:$C$18046,$H1460))&lt;=MAX(0.005,ABS(INDEX('AH History'!$C$1:$C$18046,$H1460))*0.00005),ABS($E1460-INDEX('AH History'!$D$1:$D$18046,$H1460))&lt;=0.00005,$F1460=INDEX('AH History'!$E$1:$E$18046,$H1460),$G1460=INDEX('AH History'!$F$1:$F$18046,$H1460)),1,-1),-1))</ns0:f>
        <ns0:v/>
      </ns0:c>
    </ns0:row>
    <ns0:row r="1461">
      <ns0:c r="A1461" s="215">
        <ns0:f>IF(OR(AH!$P$3=0,1456+1&gt;AH!$P$11,AND(AH!$E$4&lt;&gt;"Stored",AH!$P$10&lt;&gt;1)),"",IFERROR(IF(AND(AH!$P$21=1,1456+1=AH!$P$11),TODAY(),IF(AH!$P$10=1,INDEX('Live History'!$A$5:$A$3004,AH!$P$13+1456),INDEX('AH History'!$A$1:$A$18046,AH!$P$7+1456))),""))</ns0:f>
        <ns0:v/>
      </ns0:c>
      <ns0:c r="B1461" s="219">
        <ns0:f>IFERROR(IF(AND(AH!$P$9&lt;&gt;1,$C1461&gt;0,$D1461&gt;0,$E1461&gt;0,$F1461&gt;0,$G1461&gt;0,$F1461&lt;=$A1461,$G1461&lt;=$A1461,$A1461-$F1461&lt;=10,$A1461-$G1461&lt;=5),$D1461*$E1461/$C1461-1,NA()),NA())</ns0:f>
        <ns0:v/>
      </ns0:c>
      <ns0:c r="C1461">
        <ns0:f>IFERROR(IF(ISNUMBER($A1461),IF(AND(AH!$P$10=1,AH!$P$12=1,$A1461=TODAY()),AH!$P$19,IF(AH!$P$10=1,INDEX('Live History'!$B$5:$B$3004,AH!$P$13+1456),INDEX('AH History'!$B$1:$B$18046,AH!$P$7+1456))),NA()),NA())</ns0:f>
        <ns0:v/>
      </ns0:c>
      <ns0:c r="D1461">
        <ns0:f>IFERROR(IF(ISNUMBER($A1461),IF(AND(AH!$P$10=1,AH!$P$12=1,$A1461=TODAY()),AH!$P$18,IF(AH!$P$10=1,INDEX('Live History'!$E$5:$E$3004,MATCH($A1461,'Live History'!$D$5:$D$3004,1)),INDEX('AH History'!$C$1:$C$18046,AH!$P$7+1456))),NA()),NA())</ns0:f>
        <ns0:v/>
      </ns0:c>
      <ns0:c r="E1461">
        <ns0:f>IFERROR(IF(ISNUMBER($A1461),IF(AND(AH!$P$10=1,AH!$P$12=1,$A1461=TODAY()),AH!$P$20,IF(AH!$P$10=1,INDEX('Live History'!$H$5:$H$3004,MATCH($A1461,'Live History'!$G$5:$G$3004,1)),INDEX('AH History'!$D$1:$D$18046,AH!$P$7+1456))),NA()),NA())</ns0:f>
        <ns0:v/>
      </ns0:c>
      <ns0:c r="F1461">
        <ns0:f>IFERROR(IF(ISNUMBER($A1461),IF(AND(AH!$P$10=1,AH!$P$12=1,$A1461=TODAY()),IF(AND(AH!$P$10=1,AH!$P$12=1,$A1461=TODAY()),TODAY(),NA()),IF(AH!$P$10=1,INDEX('Live History'!$D$5:$D$3004,MATCH($A1461,'Live History'!$D$5:$D$3004,1)),INDEX('AH History'!$E$1:$E$18046,AH!$P$7+1456))),NA()),NA())</ns0:f>
        <ns0:v/>
      </ns0:c>
      <ns0:c r="G1461">
        <ns0:f>IFERROR(IF(ISNUMBER($A1461),IF(AND(AH!$P$10=1,AH!$P$12=1,$A1461=TODAY()),IF(AND(AH!$P$10=1,AH!$P$12=1,$A1461=TODAY()),TODAY(),NA()),IF(AH!$P$10=1,INDEX('Live History'!$G$5:$G$3004,MATCH($A1461,'Live History'!$G$5:$G$3004,1)),INDEX('AH History'!$F$1:$F$18046,AH!$P$7+1456))),NA()),NA())</ns0:f>
        <ns0:v/>
      </ns0:c>
      <ns0:c r="H1461">
        <ns0:f>IFERROR(IF(AND(AH!$E$4="Bloomberg",AH!$P$10=1,ISNUMBER($A1461),$A1461&lt;=AH!$P$17),AH!$P$7-1+MATCH($A1461,INDEX('AH History'!$A$1:$A$18046,AH!$P$7):INDEX('AH History'!$A$1:$A$18046,AH!$P$7+AH!$P$8-1),0),0),0)</ns0:f>
        <ns0:v/>
      </ns0:c>
      <ns0:c r="I1461">
        <ns0:f>IF($H1461=0,0,IFERROR(IF(AND(ABS($C1461-INDEX('AH History'!$B$1:$B$18046,$H1461))&lt;=MAX(0.005,ABS(INDEX('AH History'!$B$1:$B$18046,$H1461))*0.00005),ABS($D1461-INDEX('AH History'!$C$1:$C$18046,$H1461))&lt;=MAX(0.005,ABS(INDEX('AH History'!$C$1:$C$18046,$H1461))*0.00005),ABS($E1461-INDEX('AH History'!$D$1:$D$18046,$H1461))&lt;=0.00005,$F1461=INDEX('AH History'!$E$1:$E$18046,$H1461),$G1461=INDEX('AH History'!$F$1:$F$18046,$H1461)),1,-1),-1))</ns0:f>
        <ns0:v/>
      </ns0:c>
    </ns0:row>
    <ns0:row r="1462">
      <ns0:c r="A1462" s="215">
        <ns0:f>IF(OR(AH!$P$3=0,1457+1&gt;AH!$P$11,AND(AH!$E$4&lt;&gt;"Stored",AH!$P$10&lt;&gt;1)),"",IFERROR(IF(AND(AH!$P$21=1,1457+1=AH!$P$11),TODAY(),IF(AH!$P$10=1,INDEX('Live History'!$A$5:$A$3004,AH!$P$13+1457),INDEX('AH History'!$A$1:$A$18046,AH!$P$7+1457))),""))</ns0:f>
        <ns0:v/>
      </ns0:c>
      <ns0:c r="B1462" s="219">
        <ns0:f>IFERROR(IF(AND(AH!$P$9&lt;&gt;1,$C1462&gt;0,$D1462&gt;0,$E1462&gt;0,$F1462&gt;0,$G1462&gt;0,$F1462&lt;=$A1462,$G1462&lt;=$A1462,$A1462-$F1462&lt;=10,$A1462-$G1462&lt;=5),$D1462*$E1462/$C1462-1,NA()),NA())</ns0:f>
        <ns0:v/>
      </ns0:c>
      <ns0:c r="C1462">
        <ns0:f>IFERROR(IF(ISNUMBER($A1462),IF(AND(AH!$P$10=1,AH!$P$12=1,$A1462=TODAY()),AH!$P$19,IF(AH!$P$10=1,INDEX('Live History'!$B$5:$B$3004,AH!$P$13+1457),INDEX('AH History'!$B$1:$B$18046,AH!$P$7+1457))),NA()),NA())</ns0:f>
        <ns0:v/>
      </ns0:c>
      <ns0:c r="D1462">
        <ns0:f>IFERROR(IF(ISNUMBER($A1462),IF(AND(AH!$P$10=1,AH!$P$12=1,$A1462=TODAY()),AH!$P$18,IF(AH!$P$10=1,INDEX('Live History'!$E$5:$E$3004,MATCH($A1462,'Live History'!$D$5:$D$3004,1)),INDEX('AH History'!$C$1:$C$18046,AH!$P$7+1457))),NA()),NA())</ns0:f>
        <ns0:v/>
      </ns0:c>
      <ns0:c r="E1462">
        <ns0:f>IFERROR(IF(ISNUMBER($A1462),IF(AND(AH!$P$10=1,AH!$P$12=1,$A1462=TODAY()),AH!$P$20,IF(AH!$P$10=1,INDEX('Live History'!$H$5:$H$3004,MATCH($A1462,'Live History'!$G$5:$G$3004,1)),INDEX('AH History'!$D$1:$D$18046,AH!$P$7+1457))),NA()),NA())</ns0:f>
        <ns0:v/>
      </ns0:c>
      <ns0:c r="F1462">
        <ns0:f>IFERROR(IF(ISNUMBER($A1462),IF(AND(AH!$P$10=1,AH!$P$12=1,$A1462=TODAY()),IF(AND(AH!$P$10=1,AH!$P$12=1,$A1462=TODAY()),TODAY(),NA()),IF(AH!$P$10=1,INDEX('Live History'!$D$5:$D$3004,MATCH($A1462,'Live History'!$D$5:$D$3004,1)),INDEX('AH History'!$E$1:$E$18046,AH!$P$7+1457))),NA()),NA())</ns0:f>
        <ns0:v/>
      </ns0:c>
      <ns0:c r="G1462">
        <ns0:f>IFERROR(IF(ISNUMBER($A1462),IF(AND(AH!$P$10=1,AH!$P$12=1,$A1462=TODAY()),IF(AND(AH!$P$10=1,AH!$P$12=1,$A1462=TODAY()),TODAY(),NA()),IF(AH!$P$10=1,INDEX('Live History'!$G$5:$G$3004,MATCH($A1462,'Live History'!$G$5:$G$3004,1)),INDEX('AH History'!$F$1:$F$18046,AH!$P$7+1457))),NA()),NA())</ns0:f>
        <ns0:v/>
      </ns0:c>
      <ns0:c r="H1462">
        <ns0:f>IFERROR(IF(AND(AH!$E$4="Bloomberg",AH!$P$10=1,ISNUMBER($A1462),$A1462&lt;=AH!$P$17),AH!$P$7-1+MATCH($A1462,INDEX('AH History'!$A$1:$A$18046,AH!$P$7):INDEX('AH History'!$A$1:$A$18046,AH!$P$7+AH!$P$8-1),0),0),0)</ns0:f>
        <ns0:v/>
      </ns0:c>
      <ns0:c r="I1462">
        <ns0:f>IF($H1462=0,0,IFERROR(IF(AND(ABS($C1462-INDEX('AH History'!$B$1:$B$18046,$H1462))&lt;=MAX(0.005,ABS(INDEX('AH History'!$B$1:$B$18046,$H1462))*0.00005),ABS($D1462-INDEX('AH History'!$C$1:$C$18046,$H1462))&lt;=MAX(0.005,ABS(INDEX('AH History'!$C$1:$C$18046,$H1462))*0.00005),ABS($E1462-INDEX('AH History'!$D$1:$D$18046,$H1462))&lt;=0.00005,$F1462=INDEX('AH History'!$E$1:$E$18046,$H1462),$G1462=INDEX('AH History'!$F$1:$F$18046,$H1462)),1,-1),-1))</ns0:f>
        <ns0:v/>
      </ns0:c>
    </ns0:row>
    <ns0:row r="1463">
      <ns0:c r="A1463" s="215">
        <ns0:f>IF(OR(AH!$P$3=0,1458+1&gt;AH!$P$11,AND(AH!$E$4&lt;&gt;"Stored",AH!$P$10&lt;&gt;1)),"",IFERROR(IF(AND(AH!$P$21=1,1458+1=AH!$P$11),TODAY(),IF(AH!$P$10=1,INDEX('Live History'!$A$5:$A$3004,AH!$P$13+1458),INDEX('AH History'!$A$1:$A$18046,AH!$P$7+1458))),""))</ns0:f>
        <ns0:v/>
      </ns0:c>
      <ns0:c r="B1463" s="219">
        <ns0:f>IFERROR(IF(AND(AH!$P$9&lt;&gt;1,$C1463&gt;0,$D1463&gt;0,$E1463&gt;0,$F1463&gt;0,$G1463&gt;0,$F1463&lt;=$A1463,$G1463&lt;=$A1463,$A1463-$F1463&lt;=10,$A1463-$G1463&lt;=5),$D1463*$E1463/$C1463-1,NA()),NA())</ns0:f>
        <ns0:v/>
      </ns0:c>
      <ns0:c r="C1463">
        <ns0:f>IFERROR(IF(ISNUMBER($A1463),IF(AND(AH!$P$10=1,AH!$P$12=1,$A1463=TODAY()),AH!$P$19,IF(AH!$P$10=1,INDEX('Live History'!$B$5:$B$3004,AH!$P$13+1458),INDEX('AH History'!$B$1:$B$18046,AH!$P$7+1458))),NA()),NA())</ns0:f>
        <ns0:v/>
      </ns0:c>
      <ns0:c r="D1463">
        <ns0:f>IFERROR(IF(ISNUMBER($A1463),IF(AND(AH!$P$10=1,AH!$P$12=1,$A1463=TODAY()),AH!$P$18,IF(AH!$P$10=1,INDEX('Live History'!$E$5:$E$3004,MATCH($A1463,'Live History'!$D$5:$D$3004,1)),INDEX('AH History'!$C$1:$C$18046,AH!$P$7+1458))),NA()),NA())</ns0:f>
        <ns0:v/>
      </ns0:c>
      <ns0:c r="E1463">
        <ns0:f>IFERROR(IF(ISNUMBER($A1463),IF(AND(AH!$P$10=1,AH!$P$12=1,$A1463=TODAY()),AH!$P$20,IF(AH!$P$10=1,INDEX('Live History'!$H$5:$H$3004,MATCH($A1463,'Live History'!$G$5:$G$3004,1)),INDEX('AH History'!$D$1:$D$18046,AH!$P$7+1458))),NA()),NA())</ns0:f>
        <ns0:v/>
      </ns0:c>
      <ns0:c r="F1463">
        <ns0:f>IFERROR(IF(ISNUMBER($A1463),IF(AND(AH!$P$10=1,AH!$P$12=1,$A1463=TODAY()),IF(AND(AH!$P$10=1,AH!$P$12=1,$A1463=TODAY()),TODAY(),NA()),IF(AH!$P$10=1,INDEX('Live History'!$D$5:$D$3004,MATCH($A1463,'Live History'!$D$5:$D$3004,1)),INDEX('AH History'!$E$1:$E$18046,AH!$P$7+1458))),NA()),NA())</ns0:f>
        <ns0:v/>
      </ns0:c>
      <ns0:c r="G1463">
        <ns0:f>IFERROR(IF(ISNUMBER($A1463),IF(AND(AH!$P$10=1,AH!$P$12=1,$A1463=TODAY()),IF(AND(AH!$P$10=1,AH!$P$12=1,$A1463=TODAY()),TODAY(),NA()),IF(AH!$P$10=1,INDEX('Live History'!$G$5:$G$3004,MATCH($A1463,'Live History'!$G$5:$G$3004,1)),INDEX('AH History'!$F$1:$F$18046,AH!$P$7+1458))),NA()),NA())</ns0:f>
        <ns0:v/>
      </ns0:c>
      <ns0:c r="H1463">
        <ns0:f>IFERROR(IF(AND(AH!$E$4="Bloomberg",AH!$P$10=1,ISNUMBER($A1463),$A1463&lt;=AH!$P$17),AH!$P$7-1+MATCH($A1463,INDEX('AH History'!$A$1:$A$18046,AH!$P$7):INDEX('AH History'!$A$1:$A$18046,AH!$P$7+AH!$P$8-1),0),0),0)</ns0:f>
        <ns0:v/>
      </ns0:c>
      <ns0:c r="I1463">
        <ns0:f>IF($H1463=0,0,IFERROR(IF(AND(ABS($C1463-INDEX('AH History'!$B$1:$B$18046,$H1463))&lt;=MAX(0.005,ABS(INDEX('AH History'!$B$1:$B$18046,$H1463))*0.00005),ABS($D1463-INDEX('AH History'!$C$1:$C$18046,$H1463))&lt;=MAX(0.005,ABS(INDEX('AH History'!$C$1:$C$18046,$H1463))*0.00005),ABS($E1463-INDEX('AH History'!$D$1:$D$18046,$H1463))&lt;=0.00005,$F1463=INDEX('AH History'!$E$1:$E$18046,$H1463),$G1463=INDEX('AH History'!$F$1:$F$18046,$H1463)),1,-1),-1))</ns0:f>
        <ns0:v/>
      </ns0:c>
    </ns0:row>
    <ns0:row r="1464">
      <ns0:c r="A1464" s="215">
        <ns0:f>IF(OR(AH!$P$3=0,1459+1&gt;AH!$P$11,AND(AH!$E$4&lt;&gt;"Stored",AH!$P$10&lt;&gt;1)),"",IFERROR(IF(AND(AH!$P$21=1,1459+1=AH!$P$11),TODAY(),IF(AH!$P$10=1,INDEX('Live History'!$A$5:$A$3004,AH!$P$13+1459),INDEX('AH History'!$A$1:$A$18046,AH!$P$7+1459))),""))</ns0:f>
        <ns0:v/>
      </ns0:c>
      <ns0:c r="B1464" s="219">
        <ns0:f>IFERROR(IF(AND(AH!$P$9&lt;&gt;1,$C1464&gt;0,$D1464&gt;0,$E1464&gt;0,$F1464&gt;0,$G1464&gt;0,$F1464&lt;=$A1464,$G1464&lt;=$A1464,$A1464-$F1464&lt;=10,$A1464-$G1464&lt;=5),$D1464*$E1464/$C1464-1,NA()),NA())</ns0:f>
        <ns0:v/>
      </ns0:c>
      <ns0:c r="C1464">
        <ns0:f>IFERROR(IF(ISNUMBER($A1464),IF(AND(AH!$P$10=1,AH!$P$12=1,$A1464=TODAY()),AH!$P$19,IF(AH!$P$10=1,INDEX('Live History'!$B$5:$B$3004,AH!$P$13+1459),INDEX('AH History'!$B$1:$B$18046,AH!$P$7+1459))),NA()),NA())</ns0:f>
        <ns0:v/>
      </ns0:c>
      <ns0:c r="D1464">
        <ns0:f>IFERROR(IF(ISNUMBER($A1464),IF(AND(AH!$P$10=1,AH!$P$12=1,$A1464=TODAY()),AH!$P$18,IF(AH!$P$10=1,INDEX('Live History'!$E$5:$E$3004,MATCH($A1464,'Live History'!$D$5:$D$3004,1)),INDEX('AH History'!$C$1:$C$18046,AH!$P$7+1459))),NA()),NA())</ns0:f>
        <ns0:v/>
      </ns0:c>
      <ns0:c r="E1464">
        <ns0:f>IFERROR(IF(ISNUMBER($A1464),IF(AND(AH!$P$10=1,AH!$P$12=1,$A1464=TODAY()),AH!$P$20,IF(AH!$P$10=1,INDEX('Live History'!$H$5:$H$3004,MATCH($A1464,'Live History'!$G$5:$G$3004,1)),INDEX('AH History'!$D$1:$D$18046,AH!$P$7+1459))),NA()),NA())</ns0:f>
        <ns0:v/>
      </ns0:c>
      <ns0:c r="F1464">
        <ns0:f>IFERROR(IF(ISNUMBER($A1464),IF(AND(AH!$P$10=1,AH!$P$12=1,$A1464=TODAY()),IF(AND(AH!$P$10=1,AH!$P$12=1,$A1464=TODAY()),TODAY(),NA()),IF(AH!$P$10=1,INDEX('Live History'!$D$5:$D$3004,MATCH($A1464,'Live History'!$D$5:$D$3004,1)),INDEX('AH History'!$E$1:$E$18046,AH!$P$7+1459))),NA()),NA())</ns0:f>
        <ns0:v/>
      </ns0:c>
      <ns0:c r="G1464">
        <ns0:f>IFERROR(IF(ISNUMBER($A1464),IF(AND(AH!$P$10=1,AH!$P$12=1,$A1464=TODAY()),IF(AND(AH!$P$10=1,AH!$P$12=1,$A1464=TODAY()),TODAY(),NA()),IF(AH!$P$10=1,INDEX('Live History'!$G$5:$G$3004,MATCH($A1464,'Live History'!$G$5:$G$3004,1)),INDEX('AH History'!$F$1:$F$18046,AH!$P$7+1459))),NA()),NA())</ns0:f>
        <ns0:v/>
      </ns0:c>
      <ns0:c r="H1464">
        <ns0:f>IFERROR(IF(AND(AH!$E$4="Bloomberg",AH!$P$10=1,ISNUMBER($A1464),$A1464&lt;=AH!$P$17),AH!$P$7-1+MATCH($A1464,INDEX('AH History'!$A$1:$A$18046,AH!$P$7):INDEX('AH History'!$A$1:$A$18046,AH!$P$7+AH!$P$8-1),0),0),0)</ns0:f>
        <ns0:v/>
      </ns0:c>
      <ns0:c r="I1464">
        <ns0:f>IF($H1464=0,0,IFERROR(IF(AND(ABS($C1464-INDEX('AH History'!$B$1:$B$18046,$H1464))&lt;=MAX(0.005,ABS(INDEX('AH History'!$B$1:$B$18046,$H1464))*0.00005),ABS($D1464-INDEX('AH History'!$C$1:$C$18046,$H1464))&lt;=MAX(0.005,ABS(INDEX('AH History'!$C$1:$C$18046,$H1464))*0.00005),ABS($E1464-INDEX('AH History'!$D$1:$D$18046,$H1464))&lt;=0.00005,$F1464=INDEX('AH History'!$E$1:$E$18046,$H1464),$G1464=INDEX('AH History'!$F$1:$F$18046,$H1464)),1,-1),-1))</ns0:f>
        <ns0:v/>
      </ns0:c>
    </ns0:row>
    <ns0:row r="1465">
      <ns0:c r="A1465" s="215">
        <ns0:f>IF(OR(AH!$P$3=0,1460+1&gt;AH!$P$11,AND(AH!$E$4&lt;&gt;"Stored",AH!$P$10&lt;&gt;1)),"",IFERROR(IF(AND(AH!$P$21=1,1460+1=AH!$P$11),TODAY(),IF(AH!$P$10=1,INDEX('Live History'!$A$5:$A$3004,AH!$P$13+1460),INDEX('AH History'!$A$1:$A$18046,AH!$P$7+1460))),""))</ns0:f>
        <ns0:v/>
      </ns0:c>
      <ns0:c r="B1465" s="219">
        <ns0:f>IFERROR(IF(AND(AH!$P$9&lt;&gt;1,$C1465&gt;0,$D1465&gt;0,$E1465&gt;0,$F1465&gt;0,$G1465&gt;0,$F1465&lt;=$A1465,$G1465&lt;=$A1465,$A1465-$F1465&lt;=10,$A1465-$G1465&lt;=5),$D1465*$E1465/$C1465-1,NA()),NA())</ns0:f>
        <ns0:v/>
      </ns0:c>
      <ns0:c r="C1465">
        <ns0:f>IFERROR(IF(ISNUMBER($A1465),IF(AND(AH!$P$10=1,AH!$P$12=1,$A1465=TODAY()),AH!$P$19,IF(AH!$P$10=1,INDEX('Live History'!$B$5:$B$3004,AH!$P$13+1460),INDEX('AH History'!$B$1:$B$18046,AH!$P$7+1460))),NA()),NA())</ns0:f>
        <ns0:v/>
      </ns0:c>
      <ns0:c r="D1465">
        <ns0:f>IFERROR(IF(ISNUMBER($A1465),IF(AND(AH!$P$10=1,AH!$P$12=1,$A1465=TODAY()),AH!$P$18,IF(AH!$P$10=1,INDEX('Live History'!$E$5:$E$3004,MATCH($A1465,'Live History'!$D$5:$D$3004,1)),INDEX('AH History'!$C$1:$C$18046,AH!$P$7+1460))),NA()),NA())</ns0:f>
        <ns0:v/>
      </ns0:c>
      <ns0:c r="E1465">
        <ns0:f>IFERROR(IF(ISNUMBER($A1465),IF(AND(AH!$P$10=1,AH!$P$12=1,$A1465=TODAY()),AH!$P$20,IF(AH!$P$10=1,INDEX('Live History'!$H$5:$H$3004,MATCH($A1465,'Live History'!$G$5:$G$3004,1)),INDEX('AH History'!$D$1:$D$18046,AH!$P$7+1460))),NA()),NA())</ns0:f>
        <ns0:v/>
      </ns0:c>
      <ns0:c r="F1465">
        <ns0:f>IFERROR(IF(ISNUMBER($A1465),IF(AND(AH!$P$10=1,AH!$P$12=1,$A1465=TODAY()),IF(AND(AH!$P$10=1,AH!$P$12=1,$A1465=TODAY()),TODAY(),NA()),IF(AH!$P$10=1,INDEX('Live History'!$D$5:$D$3004,MATCH($A1465,'Live History'!$D$5:$D$3004,1)),INDEX('AH History'!$E$1:$E$18046,AH!$P$7+1460))),NA()),NA())</ns0:f>
        <ns0:v/>
      </ns0:c>
      <ns0:c r="G1465">
        <ns0:f>IFERROR(IF(ISNUMBER($A1465),IF(AND(AH!$P$10=1,AH!$P$12=1,$A1465=TODAY()),IF(AND(AH!$P$10=1,AH!$P$12=1,$A1465=TODAY()),TODAY(),NA()),IF(AH!$P$10=1,INDEX('Live History'!$G$5:$G$3004,MATCH($A1465,'Live History'!$G$5:$G$3004,1)),INDEX('AH History'!$F$1:$F$18046,AH!$P$7+1460))),NA()),NA())</ns0:f>
        <ns0:v/>
      </ns0:c>
      <ns0:c r="H1465">
        <ns0:f>IFERROR(IF(AND(AH!$E$4="Bloomberg",AH!$P$10=1,ISNUMBER($A1465),$A1465&lt;=AH!$P$17),AH!$P$7-1+MATCH($A1465,INDEX('AH History'!$A$1:$A$18046,AH!$P$7):INDEX('AH History'!$A$1:$A$18046,AH!$P$7+AH!$P$8-1),0),0),0)</ns0:f>
        <ns0:v/>
      </ns0:c>
      <ns0:c r="I1465">
        <ns0:f>IF($H1465=0,0,IFERROR(IF(AND(ABS($C1465-INDEX('AH History'!$B$1:$B$18046,$H1465))&lt;=MAX(0.005,ABS(INDEX('AH History'!$B$1:$B$18046,$H1465))*0.00005),ABS($D1465-INDEX('AH History'!$C$1:$C$18046,$H1465))&lt;=MAX(0.005,ABS(INDEX('AH History'!$C$1:$C$18046,$H1465))*0.00005),ABS($E1465-INDEX('AH History'!$D$1:$D$18046,$H1465))&lt;=0.00005,$F1465=INDEX('AH History'!$E$1:$E$18046,$H1465),$G1465=INDEX('AH History'!$F$1:$F$18046,$H1465)),1,-1),-1))</ns0:f>
        <ns0:v/>
      </ns0:c>
    </ns0:row>
    <ns0:row r="1466">
      <ns0:c r="A1466" s="215">
        <ns0:f>IF(OR(AH!$P$3=0,1461+1&gt;AH!$P$11,AND(AH!$E$4&lt;&gt;"Stored",AH!$P$10&lt;&gt;1)),"",IFERROR(IF(AND(AH!$P$21=1,1461+1=AH!$P$11),TODAY(),IF(AH!$P$10=1,INDEX('Live History'!$A$5:$A$3004,AH!$P$13+1461),INDEX('AH History'!$A$1:$A$18046,AH!$P$7+1461))),""))</ns0:f>
        <ns0:v/>
      </ns0:c>
      <ns0:c r="B1466" s="219">
        <ns0:f>IFERROR(IF(AND(AH!$P$9&lt;&gt;1,$C1466&gt;0,$D1466&gt;0,$E1466&gt;0,$F1466&gt;0,$G1466&gt;0,$F1466&lt;=$A1466,$G1466&lt;=$A1466,$A1466-$F1466&lt;=10,$A1466-$G1466&lt;=5),$D1466*$E1466/$C1466-1,NA()),NA())</ns0:f>
        <ns0:v/>
      </ns0:c>
      <ns0:c r="C1466">
        <ns0:f>IFERROR(IF(ISNUMBER($A1466),IF(AND(AH!$P$10=1,AH!$P$12=1,$A1466=TODAY()),AH!$P$19,IF(AH!$P$10=1,INDEX('Live History'!$B$5:$B$3004,AH!$P$13+1461),INDEX('AH History'!$B$1:$B$18046,AH!$P$7+1461))),NA()),NA())</ns0:f>
        <ns0:v/>
      </ns0:c>
      <ns0:c r="D1466">
        <ns0:f>IFERROR(IF(ISNUMBER($A1466),IF(AND(AH!$P$10=1,AH!$P$12=1,$A1466=TODAY()),AH!$P$18,IF(AH!$P$10=1,INDEX('Live History'!$E$5:$E$3004,MATCH($A1466,'Live History'!$D$5:$D$3004,1)),INDEX('AH History'!$C$1:$C$18046,AH!$P$7+1461))),NA()),NA())</ns0:f>
        <ns0:v/>
      </ns0:c>
      <ns0:c r="E1466">
        <ns0:f>IFERROR(IF(ISNUMBER($A1466),IF(AND(AH!$P$10=1,AH!$P$12=1,$A1466=TODAY()),AH!$P$20,IF(AH!$P$10=1,INDEX('Live History'!$H$5:$H$3004,MATCH($A1466,'Live History'!$G$5:$G$3004,1)),INDEX('AH History'!$D$1:$D$18046,AH!$P$7+1461))),NA()),NA())</ns0:f>
        <ns0:v/>
      </ns0:c>
      <ns0:c r="F1466">
        <ns0:f>IFERROR(IF(ISNUMBER($A1466),IF(AND(AH!$P$10=1,AH!$P$12=1,$A1466=TODAY()),IF(AND(AH!$P$10=1,AH!$P$12=1,$A1466=TODAY()),TODAY(),NA()),IF(AH!$P$10=1,INDEX('Live History'!$D$5:$D$3004,MATCH($A1466,'Live History'!$D$5:$D$3004,1)),INDEX('AH History'!$E$1:$E$18046,AH!$P$7+1461))),NA()),NA())</ns0:f>
        <ns0:v/>
      </ns0:c>
      <ns0:c r="G1466">
        <ns0:f>IFERROR(IF(ISNUMBER($A1466),IF(AND(AH!$P$10=1,AH!$P$12=1,$A1466=TODAY()),IF(AND(AH!$P$10=1,AH!$P$12=1,$A1466=TODAY()),TODAY(),NA()),IF(AH!$P$10=1,INDEX('Live History'!$G$5:$G$3004,MATCH($A1466,'Live History'!$G$5:$G$3004,1)),INDEX('AH History'!$F$1:$F$18046,AH!$P$7+1461))),NA()),NA())</ns0:f>
        <ns0:v/>
      </ns0:c>
      <ns0:c r="H1466">
        <ns0:f>IFERROR(IF(AND(AH!$E$4="Bloomberg",AH!$P$10=1,ISNUMBER($A1466),$A1466&lt;=AH!$P$17),AH!$P$7-1+MATCH($A1466,INDEX('AH History'!$A$1:$A$18046,AH!$P$7):INDEX('AH History'!$A$1:$A$18046,AH!$P$7+AH!$P$8-1),0),0),0)</ns0:f>
        <ns0:v/>
      </ns0:c>
      <ns0:c r="I1466">
        <ns0:f>IF($H1466=0,0,IFERROR(IF(AND(ABS($C1466-INDEX('AH History'!$B$1:$B$18046,$H1466))&lt;=MAX(0.005,ABS(INDEX('AH History'!$B$1:$B$18046,$H1466))*0.00005),ABS($D1466-INDEX('AH History'!$C$1:$C$18046,$H1466))&lt;=MAX(0.005,ABS(INDEX('AH History'!$C$1:$C$18046,$H1466))*0.00005),ABS($E1466-INDEX('AH History'!$D$1:$D$18046,$H1466))&lt;=0.00005,$F1466=INDEX('AH History'!$E$1:$E$18046,$H1466),$G1466=INDEX('AH History'!$F$1:$F$18046,$H1466)),1,-1),-1))</ns0:f>
        <ns0:v/>
      </ns0:c>
    </ns0:row>
    <ns0:row r="1467">
      <ns0:c r="A1467" s="215">
        <ns0:f>IF(OR(AH!$P$3=0,1462+1&gt;AH!$P$11,AND(AH!$E$4&lt;&gt;"Stored",AH!$P$10&lt;&gt;1)),"",IFERROR(IF(AND(AH!$P$21=1,1462+1=AH!$P$11),TODAY(),IF(AH!$P$10=1,INDEX('Live History'!$A$5:$A$3004,AH!$P$13+1462),INDEX('AH History'!$A$1:$A$18046,AH!$P$7+1462))),""))</ns0:f>
        <ns0:v/>
      </ns0:c>
      <ns0:c r="B1467" s="219">
        <ns0:f>IFERROR(IF(AND(AH!$P$9&lt;&gt;1,$C1467&gt;0,$D1467&gt;0,$E1467&gt;0,$F1467&gt;0,$G1467&gt;0,$F1467&lt;=$A1467,$G1467&lt;=$A1467,$A1467-$F1467&lt;=10,$A1467-$G1467&lt;=5),$D1467*$E1467/$C1467-1,NA()),NA())</ns0:f>
        <ns0:v/>
      </ns0:c>
      <ns0:c r="C1467">
        <ns0:f>IFERROR(IF(ISNUMBER($A1467),IF(AND(AH!$P$10=1,AH!$P$12=1,$A1467=TODAY()),AH!$P$19,IF(AH!$P$10=1,INDEX('Live History'!$B$5:$B$3004,AH!$P$13+1462),INDEX('AH History'!$B$1:$B$18046,AH!$P$7+1462))),NA()),NA())</ns0:f>
        <ns0:v/>
      </ns0:c>
      <ns0:c r="D1467">
        <ns0:f>IFERROR(IF(ISNUMBER($A1467),IF(AND(AH!$P$10=1,AH!$P$12=1,$A1467=TODAY()),AH!$P$18,IF(AH!$P$10=1,INDEX('Live History'!$E$5:$E$3004,MATCH($A1467,'Live History'!$D$5:$D$3004,1)),INDEX('AH History'!$C$1:$C$18046,AH!$P$7+1462))),NA()),NA())</ns0:f>
        <ns0:v/>
      </ns0:c>
      <ns0:c r="E1467">
        <ns0:f>IFERROR(IF(ISNUMBER($A1467),IF(AND(AH!$P$10=1,AH!$P$12=1,$A1467=TODAY()),AH!$P$20,IF(AH!$P$10=1,INDEX('Live History'!$H$5:$H$3004,MATCH($A1467,'Live History'!$G$5:$G$3004,1)),INDEX('AH History'!$D$1:$D$18046,AH!$P$7+1462))),NA()),NA())</ns0:f>
        <ns0:v/>
      </ns0:c>
      <ns0:c r="F1467">
        <ns0:f>IFERROR(IF(ISNUMBER($A1467),IF(AND(AH!$P$10=1,AH!$P$12=1,$A1467=TODAY()),IF(AND(AH!$P$10=1,AH!$P$12=1,$A1467=TODAY()),TODAY(),NA()),IF(AH!$P$10=1,INDEX('Live History'!$D$5:$D$3004,MATCH($A1467,'Live History'!$D$5:$D$3004,1)),INDEX('AH History'!$E$1:$E$18046,AH!$P$7+1462))),NA()),NA())</ns0:f>
        <ns0:v/>
      </ns0:c>
      <ns0:c r="G1467">
        <ns0:f>IFERROR(IF(ISNUMBER($A1467),IF(AND(AH!$P$10=1,AH!$P$12=1,$A1467=TODAY()),IF(AND(AH!$P$10=1,AH!$P$12=1,$A1467=TODAY()),TODAY(),NA()),IF(AH!$P$10=1,INDEX('Live History'!$G$5:$G$3004,MATCH($A1467,'Live History'!$G$5:$G$3004,1)),INDEX('AH History'!$F$1:$F$18046,AH!$P$7+1462))),NA()),NA())</ns0:f>
        <ns0:v/>
      </ns0:c>
      <ns0:c r="H1467">
        <ns0:f>IFERROR(IF(AND(AH!$E$4="Bloomberg",AH!$P$10=1,ISNUMBER($A1467),$A1467&lt;=AH!$P$17),AH!$P$7-1+MATCH($A1467,INDEX('AH History'!$A$1:$A$18046,AH!$P$7):INDEX('AH History'!$A$1:$A$18046,AH!$P$7+AH!$P$8-1),0),0),0)</ns0:f>
        <ns0:v/>
      </ns0:c>
      <ns0:c r="I1467">
        <ns0:f>IF($H1467=0,0,IFERROR(IF(AND(ABS($C1467-INDEX('AH History'!$B$1:$B$18046,$H1467))&lt;=MAX(0.005,ABS(INDEX('AH History'!$B$1:$B$18046,$H1467))*0.00005),ABS($D1467-INDEX('AH History'!$C$1:$C$18046,$H1467))&lt;=MAX(0.005,ABS(INDEX('AH History'!$C$1:$C$18046,$H1467))*0.00005),ABS($E1467-INDEX('AH History'!$D$1:$D$18046,$H1467))&lt;=0.00005,$F1467=INDEX('AH History'!$E$1:$E$18046,$H1467),$G1467=INDEX('AH History'!$F$1:$F$18046,$H1467)),1,-1),-1))</ns0:f>
        <ns0:v/>
      </ns0:c>
    </ns0:row>
    <ns0:row r="1468">
      <ns0:c r="A1468" s="215">
        <ns0:f>IF(OR(AH!$P$3=0,1463+1&gt;AH!$P$11,AND(AH!$E$4&lt;&gt;"Stored",AH!$P$10&lt;&gt;1)),"",IFERROR(IF(AND(AH!$P$21=1,1463+1=AH!$P$11),TODAY(),IF(AH!$P$10=1,INDEX('Live History'!$A$5:$A$3004,AH!$P$13+1463),INDEX('AH History'!$A$1:$A$18046,AH!$P$7+1463))),""))</ns0:f>
        <ns0:v/>
      </ns0:c>
      <ns0:c r="B1468" s="219">
        <ns0:f>IFERROR(IF(AND(AH!$P$9&lt;&gt;1,$C1468&gt;0,$D1468&gt;0,$E1468&gt;0,$F1468&gt;0,$G1468&gt;0,$F1468&lt;=$A1468,$G1468&lt;=$A1468,$A1468-$F1468&lt;=10,$A1468-$G1468&lt;=5),$D1468*$E1468/$C1468-1,NA()),NA())</ns0:f>
        <ns0:v/>
      </ns0:c>
      <ns0:c r="C1468">
        <ns0:f>IFERROR(IF(ISNUMBER($A1468),IF(AND(AH!$P$10=1,AH!$P$12=1,$A1468=TODAY()),AH!$P$19,IF(AH!$P$10=1,INDEX('Live History'!$B$5:$B$3004,AH!$P$13+1463),INDEX('AH History'!$B$1:$B$18046,AH!$P$7+1463))),NA()),NA())</ns0:f>
        <ns0:v/>
      </ns0:c>
      <ns0:c r="D1468">
        <ns0:f>IFERROR(IF(ISNUMBER($A1468),IF(AND(AH!$P$10=1,AH!$P$12=1,$A1468=TODAY()),AH!$P$18,IF(AH!$P$10=1,INDEX('Live History'!$E$5:$E$3004,MATCH($A1468,'Live History'!$D$5:$D$3004,1)),INDEX('AH History'!$C$1:$C$18046,AH!$P$7+1463))),NA()),NA())</ns0:f>
        <ns0:v/>
      </ns0:c>
      <ns0:c r="E1468">
        <ns0:f>IFERROR(IF(ISNUMBER($A1468),IF(AND(AH!$P$10=1,AH!$P$12=1,$A1468=TODAY()),AH!$P$20,IF(AH!$P$10=1,INDEX('Live History'!$H$5:$H$3004,MATCH($A1468,'Live History'!$G$5:$G$3004,1)),INDEX('AH History'!$D$1:$D$18046,AH!$P$7+1463))),NA()),NA())</ns0:f>
        <ns0:v/>
      </ns0:c>
      <ns0:c r="F1468">
        <ns0:f>IFERROR(IF(ISNUMBER($A1468),IF(AND(AH!$P$10=1,AH!$P$12=1,$A1468=TODAY()),IF(AND(AH!$P$10=1,AH!$P$12=1,$A1468=TODAY()),TODAY(),NA()),IF(AH!$P$10=1,INDEX('Live History'!$D$5:$D$3004,MATCH($A1468,'Live History'!$D$5:$D$3004,1)),INDEX('AH History'!$E$1:$E$18046,AH!$P$7+1463))),NA()),NA())</ns0:f>
        <ns0:v/>
      </ns0:c>
      <ns0:c r="G1468">
        <ns0:f>IFERROR(IF(ISNUMBER($A1468),IF(AND(AH!$P$10=1,AH!$P$12=1,$A1468=TODAY()),IF(AND(AH!$P$10=1,AH!$P$12=1,$A1468=TODAY()),TODAY(),NA()),IF(AH!$P$10=1,INDEX('Live History'!$G$5:$G$3004,MATCH($A1468,'Live History'!$G$5:$G$3004,1)),INDEX('AH History'!$F$1:$F$18046,AH!$P$7+1463))),NA()),NA())</ns0:f>
        <ns0:v/>
      </ns0:c>
      <ns0:c r="H1468">
        <ns0:f>IFERROR(IF(AND(AH!$E$4="Bloomberg",AH!$P$10=1,ISNUMBER($A1468),$A1468&lt;=AH!$P$17),AH!$P$7-1+MATCH($A1468,INDEX('AH History'!$A$1:$A$18046,AH!$P$7):INDEX('AH History'!$A$1:$A$18046,AH!$P$7+AH!$P$8-1),0),0),0)</ns0:f>
        <ns0:v/>
      </ns0:c>
      <ns0:c r="I1468">
        <ns0:f>IF($H1468=0,0,IFERROR(IF(AND(ABS($C1468-INDEX('AH History'!$B$1:$B$18046,$H1468))&lt;=MAX(0.005,ABS(INDEX('AH History'!$B$1:$B$18046,$H1468))*0.00005),ABS($D1468-INDEX('AH History'!$C$1:$C$18046,$H1468))&lt;=MAX(0.005,ABS(INDEX('AH History'!$C$1:$C$18046,$H1468))*0.00005),ABS($E1468-INDEX('AH History'!$D$1:$D$18046,$H1468))&lt;=0.00005,$F1468=INDEX('AH History'!$E$1:$E$18046,$H1468),$G1468=INDEX('AH History'!$F$1:$F$18046,$H1468)),1,-1),-1))</ns0:f>
        <ns0:v/>
      </ns0:c>
    </ns0:row>
    <ns0:row r="1469">
      <ns0:c r="A1469" s="215">
        <ns0:f>IF(OR(AH!$P$3=0,1464+1&gt;AH!$P$11,AND(AH!$E$4&lt;&gt;"Stored",AH!$P$10&lt;&gt;1)),"",IFERROR(IF(AND(AH!$P$21=1,1464+1=AH!$P$11),TODAY(),IF(AH!$P$10=1,INDEX('Live History'!$A$5:$A$3004,AH!$P$13+1464),INDEX('AH History'!$A$1:$A$18046,AH!$P$7+1464))),""))</ns0:f>
        <ns0:v/>
      </ns0:c>
      <ns0:c r="B1469" s="219">
        <ns0:f>IFERROR(IF(AND(AH!$P$9&lt;&gt;1,$C1469&gt;0,$D1469&gt;0,$E1469&gt;0,$F1469&gt;0,$G1469&gt;0,$F1469&lt;=$A1469,$G1469&lt;=$A1469,$A1469-$F1469&lt;=10,$A1469-$G1469&lt;=5),$D1469*$E1469/$C1469-1,NA()),NA())</ns0:f>
        <ns0:v/>
      </ns0:c>
      <ns0:c r="C1469">
        <ns0:f>IFERROR(IF(ISNUMBER($A1469),IF(AND(AH!$P$10=1,AH!$P$12=1,$A1469=TODAY()),AH!$P$19,IF(AH!$P$10=1,INDEX('Live History'!$B$5:$B$3004,AH!$P$13+1464),INDEX('AH History'!$B$1:$B$18046,AH!$P$7+1464))),NA()),NA())</ns0:f>
        <ns0:v/>
      </ns0:c>
      <ns0:c r="D1469">
        <ns0:f>IFERROR(IF(ISNUMBER($A1469),IF(AND(AH!$P$10=1,AH!$P$12=1,$A1469=TODAY()),AH!$P$18,IF(AH!$P$10=1,INDEX('Live History'!$E$5:$E$3004,MATCH($A1469,'Live History'!$D$5:$D$3004,1)),INDEX('AH History'!$C$1:$C$18046,AH!$P$7+1464))),NA()),NA())</ns0:f>
        <ns0:v/>
      </ns0:c>
      <ns0:c r="E1469">
        <ns0:f>IFERROR(IF(ISNUMBER($A1469),IF(AND(AH!$P$10=1,AH!$P$12=1,$A1469=TODAY()),AH!$P$20,IF(AH!$P$10=1,INDEX('Live History'!$H$5:$H$3004,MATCH($A1469,'Live History'!$G$5:$G$3004,1)),INDEX('AH History'!$D$1:$D$18046,AH!$P$7+1464))),NA()),NA())</ns0:f>
        <ns0:v/>
      </ns0:c>
      <ns0:c r="F1469">
        <ns0:f>IFERROR(IF(ISNUMBER($A1469),IF(AND(AH!$P$10=1,AH!$P$12=1,$A1469=TODAY()),IF(AND(AH!$P$10=1,AH!$P$12=1,$A1469=TODAY()),TODAY(),NA()),IF(AH!$P$10=1,INDEX('Live History'!$D$5:$D$3004,MATCH($A1469,'Live History'!$D$5:$D$3004,1)),INDEX('AH History'!$E$1:$E$18046,AH!$P$7+1464))),NA()),NA())</ns0:f>
        <ns0:v/>
      </ns0:c>
      <ns0:c r="G1469">
        <ns0:f>IFERROR(IF(ISNUMBER($A1469),IF(AND(AH!$P$10=1,AH!$P$12=1,$A1469=TODAY()),IF(AND(AH!$P$10=1,AH!$P$12=1,$A1469=TODAY()),TODAY(),NA()),IF(AH!$P$10=1,INDEX('Live History'!$G$5:$G$3004,MATCH($A1469,'Live History'!$G$5:$G$3004,1)),INDEX('AH History'!$F$1:$F$18046,AH!$P$7+1464))),NA()),NA())</ns0:f>
        <ns0:v/>
      </ns0:c>
      <ns0:c r="H1469">
        <ns0:f>IFERROR(IF(AND(AH!$E$4="Bloomberg",AH!$P$10=1,ISNUMBER($A1469),$A1469&lt;=AH!$P$17),AH!$P$7-1+MATCH($A1469,INDEX('AH History'!$A$1:$A$18046,AH!$P$7):INDEX('AH History'!$A$1:$A$18046,AH!$P$7+AH!$P$8-1),0),0),0)</ns0:f>
        <ns0:v/>
      </ns0:c>
      <ns0:c r="I1469">
        <ns0:f>IF($H1469=0,0,IFERROR(IF(AND(ABS($C1469-INDEX('AH History'!$B$1:$B$18046,$H1469))&lt;=MAX(0.005,ABS(INDEX('AH History'!$B$1:$B$18046,$H1469))*0.00005),ABS($D1469-INDEX('AH History'!$C$1:$C$18046,$H1469))&lt;=MAX(0.005,ABS(INDEX('AH History'!$C$1:$C$18046,$H1469))*0.00005),ABS($E1469-INDEX('AH History'!$D$1:$D$18046,$H1469))&lt;=0.00005,$F1469=INDEX('AH History'!$E$1:$E$18046,$H1469),$G1469=INDEX('AH History'!$F$1:$F$18046,$H1469)),1,-1),-1))</ns0:f>
        <ns0:v/>
      </ns0:c>
    </ns0:row>
    <ns0:row r="1470">
      <ns0:c r="A1470" s="215">
        <ns0:f>IF(OR(AH!$P$3=0,1465+1&gt;AH!$P$11,AND(AH!$E$4&lt;&gt;"Stored",AH!$P$10&lt;&gt;1)),"",IFERROR(IF(AND(AH!$P$21=1,1465+1=AH!$P$11),TODAY(),IF(AH!$P$10=1,INDEX('Live History'!$A$5:$A$3004,AH!$P$13+1465),INDEX('AH History'!$A$1:$A$18046,AH!$P$7+1465))),""))</ns0:f>
        <ns0:v/>
      </ns0:c>
      <ns0:c r="B1470" s="219">
        <ns0:f>IFERROR(IF(AND(AH!$P$9&lt;&gt;1,$C1470&gt;0,$D1470&gt;0,$E1470&gt;0,$F1470&gt;0,$G1470&gt;0,$F1470&lt;=$A1470,$G1470&lt;=$A1470,$A1470-$F1470&lt;=10,$A1470-$G1470&lt;=5),$D1470*$E1470/$C1470-1,NA()),NA())</ns0:f>
        <ns0:v/>
      </ns0:c>
      <ns0:c r="C1470">
        <ns0:f>IFERROR(IF(ISNUMBER($A1470),IF(AND(AH!$P$10=1,AH!$P$12=1,$A1470=TODAY()),AH!$P$19,IF(AH!$P$10=1,INDEX('Live History'!$B$5:$B$3004,AH!$P$13+1465),INDEX('AH History'!$B$1:$B$18046,AH!$P$7+1465))),NA()),NA())</ns0:f>
        <ns0:v/>
      </ns0:c>
      <ns0:c r="D1470">
        <ns0:f>IFERROR(IF(ISNUMBER($A1470),IF(AND(AH!$P$10=1,AH!$P$12=1,$A1470=TODAY()),AH!$P$18,IF(AH!$P$10=1,INDEX('Live History'!$E$5:$E$3004,MATCH($A1470,'Live History'!$D$5:$D$3004,1)),INDEX('AH History'!$C$1:$C$18046,AH!$P$7+1465))),NA()),NA())</ns0:f>
        <ns0:v/>
      </ns0:c>
      <ns0:c r="E1470">
        <ns0:f>IFERROR(IF(ISNUMBER($A1470),IF(AND(AH!$P$10=1,AH!$P$12=1,$A1470=TODAY()),AH!$P$20,IF(AH!$P$10=1,INDEX('Live History'!$H$5:$H$3004,MATCH($A1470,'Live History'!$G$5:$G$3004,1)),INDEX('AH History'!$D$1:$D$18046,AH!$P$7+1465))),NA()),NA())</ns0:f>
        <ns0:v/>
      </ns0:c>
      <ns0:c r="F1470">
        <ns0:f>IFERROR(IF(ISNUMBER($A1470),IF(AND(AH!$P$10=1,AH!$P$12=1,$A1470=TODAY()),IF(AND(AH!$P$10=1,AH!$P$12=1,$A1470=TODAY()),TODAY(),NA()),IF(AH!$P$10=1,INDEX('Live History'!$D$5:$D$3004,MATCH($A1470,'Live History'!$D$5:$D$3004,1)),INDEX('AH History'!$E$1:$E$18046,AH!$P$7+1465))),NA()),NA())</ns0:f>
        <ns0:v/>
      </ns0:c>
      <ns0:c r="G1470">
        <ns0:f>IFERROR(IF(ISNUMBER($A1470),IF(AND(AH!$P$10=1,AH!$P$12=1,$A1470=TODAY()),IF(AND(AH!$P$10=1,AH!$P$12=1,$A1470=TODAY()),TODAY(),NA()),IF(AH!$P$10=1,INDEX('Live History'!$G$5:$G$3004,MATCH($A1470,'Live History'!$G$5:$G$3004,1)),INDEX('AH History'!$F$1:$F$18046,AH!$P$7+1465))),NA()),NA())</ns0:f>
        <ns0:v/>
      </ns0:c>
      <ns0:c r="H1470">
        <ns0:f>IFERROR(IF(AND(AH!$E$4="Bloomberg",AH!$P$10=1,ISNUMBER($A1470),$A1470&lt;=AH!$P$17),AH!$P$7-1+MATCH($A1470,INDEX('AH History'!$A$1:$A$18046,AH!$P$7):INDEX('AH History'!$A$1:$A$18046,AH!$P$7+AH!$P$8-1),0),0),0)</ns0:f>
        <ns0:v/>
      </ns0:c>
      <ns0:c r="I1470">
        <ns0:f>IF($H1470=0,0,IFERROR(IF(AND(ABS($C1470-INDEX('AH History'!$B$1:$B$18046,$H1470))&lt;=MAX(0.005,ABS(INDEX('AH History'!$B$1:$B$18046,$H1470))*0.00005),ABS($D1470-INDEX('AH History'!$C$1:$C$18046,$H1470))&lt;=MAX(0.005,ABS(INDEX('AH History'!$C$1:$C$18046,$H1470))*0.00005),ABS($E1470-INDEX('AH History'!$D$1:$D$18046,$H1470))&lt;=0.00005,$F1470=INDEX('AH History'!$E$1:$E$18046,$H1470),$G1470=INDEX('AH History'!$F$1:$F$18046,$H1470)),1,-1),-1))</ns0:f>
        <ns0:v/>
      </ns0:c>
    </ns0:row>
    <ns0:row r="1471">
      <ns0:c r="A1471" s="215">
        <ns0:f>IF(OR(AH!$P$3=0,1466+1&gt;AH!$P$11,AND(AH!$E$4&lt;&gt;"Stored",AH!$P$10&lt;&gt;1)),"",IFERROR(IF(AND(AH!$P$21=1,1466+1=AH!$P$11),TODAY(),IF(AH!$P$10=1,INDEX('Live History'!$A$5:$A$3004,AH!$P$13+1466),INDEX('AH History'!$A$1:$A$18046,AH!$P$7+1466))),""))</ns0:f>
        <ns0:v/>
      </ns0:c>
      <ns0:c r="B1471" s="219">
        <ns0:f>IFERROR(IF(AND(AH!$P$9&lt;&gt;1,$C1471&gt;0,$D1471&gt;0,$E1471&gt;0,$F1471&gt;0,$G1471&gt;0,$F1471&lt;=$A1471,$G1471&lt;=$A1471,$A1471-$F1471&lt;=10,$A1471-$G1471&lt;=5),$D1471*$E1471/$C1471-1,NA()),NA())</ns0:f>
        <ns0:v/>
      </ns0:c>
      <ns0:c r="C1471">
        <ns0:f>IFERROR(IF(ISNUMBER($A1471),IF(AND(AH!$P$10=1,AH!$P$12=1,$A1471=TODAY()),AH!$P$19,IF(AH!$P$10=1,INDEX('Live History'!$B$5:$B$3004,AH!$P$13+1466),INDEX('AH History'!$B$1:$B$18046,AH!$P$7+1466))),NA()),NA())</ns0:f>
        <ns0:v/>
      </ns0:c>
      <ns0:c r="D1471">
        <ns0:f>IFERROR(IF(ISNUMBER($A1471),IF(AND(AH!$P$10=1,AH!$P$12=1,$A1471=TODAY()),AH!$P$18,IF(AH!$P$10=1,INDEX('Live History'!$E$5:$E$3004,MATCH($A1471,'Live History'!$D$5:$D$3004,1)),INDEX('AH History'!$C$1:$C$18046,AH!$P$7+1466))),NA()),NA())</ns0:f>
        <ns0:v/>
      </ns0:c>
      <ns0:c r="E1471">
        <ns0:f>IFERROR(IF(ISNUMBER($A1471),IF(AND(AH!$P$10=1,AH!$P$12=1,$A1471=TODAY()),AH!$P$20,IF(AH!$P$10=1,INDEX('Live History'!$H$5:$H$3004,MATCH($A1471,'Live History'!$G$5:$G$3004,1)),INDEX('AH History'!$D$1:$D$18046,AH!$P$7+1466))),NA()),NA())</ns0:f>
        <ns0:v/>
      </ns0:c>
      <ns0:c r="F1471">
        <ns0:f>IFERROR(IF(ISNUMBER($A1471),IF(AND(AH!$P$10=1,AH!$P$12=1,$A1471=TODAY()),IF(AND(AH!$P$10=1,AH!$P$12=1,$A1471=TODAY()),TODAY(),NA()),IF(AH!$P$10=1,INDEX('Live History'!$D$5:$D$3004,MATCH($A1471,'Live History'!$D$5:$D$3004,1)),INDEX('AH History'!$E$1:$E$18046,AH!$P$7+1466))),NA()),NA())</ns0:f>
        <ns0:v/>
      </ns0:c>
      <ns0:c r="G1471">
        <ns0:f>IFERROR(IF(ISNUMBER($A1471),IF(AND(AH!$P$10=1,AH!$P$12=1,$A1471=TODAY()),IF(AND(AH!$P$10=1,AH!$P$12=1,$A1471=TODAY()),TODAY(),NA()),IF(AH!$P$10=1,INDEX('Live History'!$G$5:$G$3004,MATCH($A1471,'Live History'!$G$5:$G$3004,1)),INDEX('AH History'!$F$1:$F$18046,AH!$P$7+1466))),NA()),NA())</ns0:f>
        <ns0:v/>
      </ns0:c>
      <ns0:c r="H1471">
        <ns0:f>IFERROR(IF(AND(AH!$E$4="Bloomberg",AH!$P$10=1,ISNUMBER($A1471),$A1471&lt;=AH!$P$17),AH!$P$7-1+MATCH($A1471,INDEX('AH History'!$A$1:$A$18046,AH!$P$7):INDEX('AH History'!$A$1:$A$18046,AH!$P$7+AH!$P$8-1),0),0),0)</ns0:f>
        <ns0:v/>
      </ns0:c>
      <ns0:c r="I1471">
        <ns0:f>IF($H1471=0,0,IFERROR(IF(AND(ABS($C1471-INDEX('AH History'!$B$1:$B$18046,$H1471))&lt;=MAX(0.005,ABS(INDEX('AH History'!$B$1:$B$18046,$H1471))*0.00005),ABS($D1471-INDEX('AH History'!$C$1:$C$18046,$H1471))&lt;=MAX(0.005,ABS(INDEX('AH History'!$C$1:$C$18046,$H1471))*0.00005),ABS($E1471-INDEX('AH History'!$D$1:$D$18046,$H1471))&lt;=0.00005,$F1471=INDEX('AH History'!$E$1:$E$18046,$H1471),$G1471=INDEX('AH History'!$F$1:$F$18046,$H1471)),1,-1),-1))</ns0:f>
        <ns0:v/>
      </ns0:c>
    </ns0:row>
    <ns0:row r="1472">
      <ns0:c r="A1472" s="215">
        <ns0:f>IF(OR(AH!$P$3=0,1467+1&gt;AH!$P$11,AND(AH!$E$4&lt;&gt;"Stored",AH!$P$10&lt;&gt;1)),"",IFERROR(IF(AND(AH!$P$21=1,1467+1=AH!$P$11),TODAY(),IF(AH!$P$10=1,INDEX('Live History'!$A$5:$A$3004,AH!$P$13+1467),INDEX('AH History'!$A$1:$A$18046,AH!$P$7+1467))),""))</ns0:f>
        <ns0:v/>
      </ns0:c>
      <ns0:c r="B1472" s="219">
        <ns0:f>IFERROR(IF(AND(AH!$P$9&lt;&gt;1,$C1472&gt;0,$D1472&gt;0,$E1472&gt;0,$F1472&gt;0,$G1472&gt;0,$F1472&lt;=$A1472,$G1472&lt;=$A1472,$A1472-$F1472&lt;=10,$A1472-$G1472&lt;=5),$D1472*$E1472/$C1472-1,NA()),NA())</ns0:f>
        <ns0:v/>
      </ns0:c>
      <ns0:c r="C1472">
        <ns0:f>IFERROR(IF(ISNUMBER($A1472),IF(AND(AH!$P$10=1,AH!$P$12=1,$A1472=TODAY()),AH!$P$19,IF(AH!$P$10=1,INDEX('Live History'!$B$5:$B$3004,AH!$P$13+1467),INDEX('AH History'!$B$1:$B$18046,AH!$P$7+1467))),NA()),NA())</ns0:f>
        <ns0:v/>
      </ns0:c>
      <ns0:c r="D1472">
        <ns0:f>IFERROR(IF(ISNUMBER($A1472),IF(AND(AH!$P$10=1,AH!$P$12=1,$A1472=TODAY()),AH!$P$18,IF(AH!$P$10=1,INDEX('Live History'!$E$5:$E$3004,MATCH($A1472,'Live History'!$D$5:$D$3004,1)),INDEX('AH History'!$C$1:$C$18046,AH!$P$7+1467))),NA()),NA())</ns0:f>
        <ns0:v/>
      </ns0:c>
      <ns0:c r="E1472">
        <ns0:f>IFERROR(IF(ISNUMBER($A1472),IF(AND(AH!$P$10=1,AH!$P$12=1,$A1472=TODAY()),AH!$P$20,IF(AH!$P$10=1,INDEX('Live History'!$H$5:$H$3004,MATCH($A1472,'Live History'!$G$5:$G$3004,1)),INDEX('AH History'!$D$1:$D$18046,AH!$P$7+1467))),NA()),NA())</ns0:f>
        <ns0:v/>
      </ns0:c>
      <ns0:c r="F1472">
        <ns0:f>IFERROR(IF(ISNUMBER($A1472),IF(AND(AH!$P$10=1,AH!$P$12=1,$A1472=TODAY()),IF(AND(AH!$P$10=1,AH!$P$12=1,$A1472=TODAY()),TODAY(),NA()),IF(AH!$P$10=1,INDEX('Live History'!$D$5:$D$3004,MATCH($A1472,'Live History'!$D$5:$D$3004,1)),INDEX('AH History'!$E$1:$E$18046,AH!$P$7+1467))),NA()),NA())</ns0:f>
        <ns0:v/>
      </ns0:c>
      <ns0:c r="G1472">
        <ns0:f>IFERROR(IF(ISNUMBER($A1472),IF(AND(AH!$P$10=1,AH!$P$12=1,$A1472=TODAY()),IF(AND(AH!$P$10=1,AH!$P$12=1,$A1472=TODAY()),TODAY(),NA()),IF(AH!$P$10=1,INDEX('Live History'!$G$5:$G$3004,MATCH($A1472,'Live History'!$G$5:$G$3004,1)),INDEX('AH History'!$F$1:$F$18046,AH!$P$7+1467))),NA()),NA())</ns0:f>
        <ns0:v/>
      </ns0:c>
      <ns0:c r="H1472">
        <ns0:f>IFERROR(IF(AND(AH!$E$4="Bloomberg",AH!$P$10=1,ISNUMBER($A1472),$A1472&lt;=AH!$P$17),AH!$P$7-1+MATCH($A1472,INDEX('AH History'!$A$1:$A$18046,AH!$P$7):INDEX('AH History'!$A$1:$A$18046,AH!$P$7+AH!$P$8-1),0),0),0)</ns0:f>
        <ns0:v/>
      </ns0:c>
      <ns0:c r="I1472">
        <ns0:f>IF($H1472=0,0,IFERROR(IF(AND(ABS($C1472-INDEX('AH History'!$B$1:$B$18046,$H1472))&lt;=MAX(0.005,ABS(INDEX('AH History'!$B$1:$B$18046,$H1472))*0.00005),ABS($D1472-INDEX('AH History'!$C$1:$C$18046,$H1472))&lt;=MAX(0.005,ABS(INDEX('AH History'!$C$1:$C$18046,$H1472))*0.00005),ABS($E1472-INDEX('AH History'!$D$1:$D$18046,$H1472))&lt;=0.00005,$F1472=INDEX('AH History'!$E$1:$E$18046,$H1472),$G1472=INDEX('AH History'!$F$1:$F$18046,$H1472)),1,-1),-1))</ns0:f>
        <ns0:v/>
      </ns0:c>
    </ns0:row>
    <ns0:row r="1473">
      <ns0:c r="A1473" s="215">
        <ns0:f>IF(OR(AH!$P$3=0,1468+1&gt;AH!$P$11,AND(AH!$E$4&lt;&gt;"Stored",AH!$P$10&lt;&gt;1)),"",IFERROR(IF(AND(AH!$P$21=1,1468+1=AH!$P$11),TODAY(),IF(AH!$P$10=1,INDEX('Live History'!$A$5:$A$3004,AH!$P$13+1468),INDEX('AH History'!$A$1:$A$18046,AH!$P$7+1468))),""))</ns0:f>
        <ns0:v/>
      </ns0:c>
      <ns0:c r="B1473" s="219">
        <ns0:f>IFERROR(IF(AND(AH!$P$9&lt;&gt;1,$C1473&gt;0,$D1473&gt;0,$E1473&gt;0,$F1473&gt;0,$G1473&gt;0,$F1473&lt;=$A1473,$G1473&lt;=$A1473,$A1473-$F1473&lt;=10,$A1473-$G1473&lt;=5),$D1473*$E1473/$C1473-1,NA()),NA())</ns0:f>
        <ns0:v/>
      </ns0:c>
      <ns0:c r="C1473">
        <ns0:f>IFERROR(IF(ISNUMBER($A1473),IF(AND(AH!$P$10=1,AH!$P$12=1,$A1473=TODAY()),AH!$P$19,IF(AH!$P$10=1,INDEX('Live History'!$B$5:$B$3004,AH!$P$13+1468),INDEX('AH History'!$B$1:$B$18046,AH!$P$7+1468))),NA()),NA())</ns0:f>
        <ns0:v/>
      </ns0:c>
      <ns0:c r="D1473">
        <ns0:f>IFERROR(IF(ISNUMBER($A1473),IF(AND(AH!$P$10=1,AH!$P$12=1,$A1473=TODAY()),AH!$P$18,IF(AH!$P$10=1,INDEX('Live History'!$E$5:$E$3004,MATCH($A1473,'Live History'!$D$5:$D$3004,1)),INDEX('AH History'!$C$1:$C$18046,AH!$P$7+1468))),NA()),NA())</ns0:f>
        <ns0:v/>
      </ns0:c>
      <ns0:c r="E1473">
        <ns0:f>IFERROR(IF(ISNUMBER($A1473),IF(AND(AH!$P$10=1,AH!$P$12=1,$A1473=TODAY()),AH!$P$20,IF(AH!$P$10=1,INDEX('Live History'!$H$5:$H$3004,MATCH($A1473,'Live History'!$G$5:$G$3004,1)),INDEX('AH History'!$D$1:$D$18046,AH!$P$7+1468))),NA()),NA())</ns0:f>
        <ns0:v/>
      </ns0:c>
      <ns0:c r="F1473">
        <ns0:f>IFERROR(IF(ISNUMBER($A1473),IF(AND(AH!$P$10=1,AH!$P$12=1,$A1473=TODAY()),IF(AND(AH!$P$10=1,AH!$P$12=1,$A1473=TODAY()),TODAY(),NA()),IF(AH!$P$10=1,INDEX('Live History'!$D$5:$D$3004,MATCH($A1473,'Live History'!$D$5:$D$3004,1)),INDEX('AH History'!$E$1:$E$18046,AH!$P$7+1468))),NA()),NA())</ns0:f>
        <ns0:v/>
      </ns0:c>
      <ns0:c r="G1473">
        <ns0:f>IFERROR(IF(ISNUMBER($A1473),IF(AND(AH!$P$10=1,AH!$P$12=1,$A1473=TODAY()),IF(AND(AH!$P$10=1,AH!$P$12=1,$A1473=TODAY()),TODAY(),NA()),IF(AH!$P$10=1,INDEX('Live History'!$G$5:$G$3004,MATCH($A1473,'Live History'!$G$5:$G$3004,1)),INDEX('AH History'!$F$1:$F$18046,AH!$P$7+1468))),NA()),NA())</ns0:f>
        <ns0:v/>
      </ns0:c>
      <ns0:c r="H1473">
        <ns0:f>IFERROR(IF(AND(AH!$E$4="Bloomberg",AH!$P$10=1,ISNUMBER($A1473),$A1473&lt;=AH!$P$17),AH!$P$7-1+MATCH($A1473,INDEX('AH History'!$A$1:$A$18046,AH!$P$7):INDEX('AH History'!$A$1:$A$18046,AH!$P$7+AH!$P$8-1),0),0),0)</ns0:f>
        <ns0:v/>
      </ns0:c>
      <ns0:c r="I1473">
        <ns0:f>IF($H1473=0,0,IFERROR(IF(AND(ABS($C1473-INDEX('AH History'!$B$1:$B$18046,$H1473))&lt;=MAX(0.005,ABS(INDEX('AH History'!$B$1:$B$18046,$H1473))*0.00005),ABS($D1473-INDEX('AH History'!$C$1:$C$18046,$H1473))&lt;=MAX(0.005,ABS(INDEX('AH History'!$C$1:$C$18046,$H1473))*0.00005),ABS($E1473-INDEX('AH History'!$D$1:$D$18046,$H1473))&lt;=0.00005,$F1473=INDEX('AH History'!$E$1:$E$18046,$H1473),$G1473=INDEX('AH History'!$F$1:$F$18046,$H1473)),1,-1),-1))</ns0:f>
        <ns0:v/>
      </ns0:c>
    </ns0:row>
    <ns0:row r="1474">
      <ns0:c r="A1474" s="215">
        <ns0:f>IF(OR(AH!$P$3=0,1469+1&gt;AH!$P$11,AND(AH!$E$4&lt;&gt;"Stored",AH!$P$10&lt;&gt;1)),"",IFERROR(IF(AND(AH!$P$21=1,1469+1=AH!$P$11),TODAY(),IF(AH!$P$10=1,INDEX('Live History'!$A$5:$A$3004,AH!$P$13+1469),INDEX('AH History'!$A$1:$A$18046,AH!$P$7+1469))),""))</ns0:f>
        <ns0:v/>
      </ns0:c>
      <ns0:c r="B1474" s="219">
        <ns0:f>IFERROR(IF(AND(AH!$P$9&lt;&gt;1,$C1474&gt;0,$D1474&gt;0,$E1474&gt;0,$F1474&gt;0,$G1474&gt;0,$F1474&lt;=$A1474,$G1474&lt;=$A1474,$A1474-$F1474&lt;=10,$A1474-$G1474&lt;=5),$D1474*$E1474/$C1474-1,NA()),NA())</ns0:f>
        <ns0:v/>
      </ns0:c>
      <ns0:c r="C1474">
        <ns0:f>IFERROR(IF(ISNUMBER($A1474),IF(AND(AH!$P$10=1,AH!$P$12=1,$A1474=TODAY()),AH!$P$19,IF(AH!$P$10=1,INDEX('Live History'!$B$5:$B$3004,AH!$P$13+1469),INDEX('AH History'!$B$1:$B$18046,AH!$P$7+1469))),NA()),NA())</ns0:f>
        <ns0:v/>
      </ns0:c>
      <ns0:c r="D1474">
        <ns0:f>IFERROR(IF(ISNUMBER($A1474),IF(AND(AH!$P$10=1,AH!$P$12=1,$A1474=TODAY()),AH!$P$18,IF(AH!$P$10=1,INDEX('Live History'!$E$5:$E$3004,MATCH($A1474,'Live History'!$D$5:$D$3004,1)),INDEX('AH History'!$C$1:$C$18046,AH!$P$7+1469))),NA()),NA())</ns0:f>
        <ns0:v/>
      </ns0:c>
      <ns0:c r="E1474">
        <ns0:f>IFERROR(IF(ISNUMBER($A1474),IF(AND(AH!$P$10=1,AH!$P$12=1,$A1474=TODAY()),AH!$P$20,IF(AH!$P$10=1,INDEX('Live History'!$H$5:$H$3004,MATCH($A1474,'Live History'!$G$5:$G$3004,1)),INDEX('AH History'!$D$1:$D$18046,AH!$P$7+1469))),NA()),NA())</ns0:f>
        <ns0:v/>
      </ns0:c>
      <ns0:c r="F1474">
        <ns0:f>IFERROR(IF(ISNUMBER($A1474),IF(AND(AH!$P$10=1,AH!$P$12=1,$A1474=TODAY()),IF(AND(AH!$P$10=1,AH!$P$12=1,$A1474=TODAY()),TODAY(),NA()),IF(AH!$P$10=1,INDEX('Live History'!$D$5:$D$3004,MATCH($A1474,'Live History'!$D$5:$D$3004,1)),INDEX('AH History'!$E$1:$E$18046,AH!$P$7+1469))),NA()),NA())</ns0:f>
        <ns0:v/>
      </ns0:c>
      <ns0:c r="G1474">
        <ns0:f>IFERROR(IF(ISNUMBER($A1474),IF(AND(AH!$P$10=1,AH!$P$12=1,$A1474=TODAY()),IF(AND(AH!$P$10=1,AH!$P$12=1,$A1474=TODAY()),TODAY(),NA()),IF(AH!$P$10=1,INDEX('Live History'!$G$5:$G$3004,MATCH($A1474,'Live History'!$G$5:$G$3004,1)),INDEX('AH History'!$F$1:$F$18046,AH!$P$7+1469))),NA()),NA())</ns0:f>
        <ns0:v/>
      </ns0:c>
      <ns0:c r="H1474">
        <ns0:f>IFERROR(IF(AND(AH!$E$4="Bloomberg",AH!$P$10=1,ISNUMBER($A1474),$A1474&lt;=AH!$P$17),AH!$P$7-1+MATCH($A1474,INDEX('AH History'!$A$1:$A$18046,AH!$P$7):INDEX('AH History'!$A$1:$A$18046,AH!$P$7+AH!$P$8-1),0),0),0)</ns0:f>
        <ns0:v/>
      </ns0:c>
      <ns0:c r="I1474">
        <ns0:f>IF($H1474=0,0,IFERROR(IF(AND(ABS($C1474-INDEX('AH History'!$B$1:$B$18046,$H1474))&lt;=MAX(0.005,ABS(INDEX('AH History'!$B$1:$B$18046,$H1474))*0.00005),ABS($D1474-INDEX('AH History'!$C$1:$C$18046,$H1474))&lt;=MAX(0.005,ABS(INDEX('AH History'!$C$1:$C$18046,$H1474))*0.00005),ABS($E1474-INDEX('AH History'!$D$1:$D$18046,$H1474))&lt;=0.00005,$F1474=INDEX('AH History'!$E$1:$E$18046,$H1474),$G1474=INDEX('AH History'!$F$1:$F$18046,$H1474)),1,-1),-1))</ns0:f>
        <ns0:v/>
      </ns0:c>
    </ns0:row>
    <ns0:row r="1475">
      <ns0:c r="A1475" s="215">
        <ns0:f>IF(OR(AH!$P$3=0,1470+1&gt;AH!$P$11,AND(AH!$E$4&lt;&gt;"Stored",AH!$P$10&lt;&gt;1)),"",IFERROR(IF(AND(AH!$P$21=1,1470+1=AH!$P$11),TODAY(),IF(AH!$P$10=1,INDEX('Live History'!$A$5:$A$3004,AH!$P$13+1470),INDEX('AH History'!$A$1:$A$18046,AH!$P$7+1470))),""))</ns0:f>
        <ns0:v/>
      </ns0:c>
      <ns0:c r="B1475" s="219">
        <ns0:f>IFERROR(IF(AND(AH!$P$9&lt;&gt;1,$C1475&gt;0,$D1475&gt;0,$E1475&gt;0,$F1475&gt;0,$G1475&gt;0,$F1475&lt;=$A1475,$G1475&lt;=$A1475,$A1475-$F1475&lt;=10,$A1475-$G1475&lt;=5),$D1475*$E1475/$C1475-1,NA()),NA())</ns0:f>
        <ns0:v/>
      </ns0:c>
      <ns0:c r="C1475">
        <ns0:f>IFERROR(IF(ISNUMBER($A1475),IF(AND(AH!$P$10=1,AH!$P$12=1,$A1475=TODAY()),AH!$P$19,IF(AH!$P$10=1,INDEX('Live History'!$B$5:$B$3004,AH!$P$13+1470),INDEX('AH History'!$B$1:$B$18046,AH!$P$7+1470))),NA()),NA())</ns0:f>
        <ns0:v/>
      </ns0:c>
      <ns0:c r="D1475">
        <ns0:f>IFERROR(IF(ISNUMBER($A1475),IF(AND(AH!$P$10=1,AH!$P$12=1,$A1475=TODAY()),AH!$P$18,IF(AH!$P$10=1,INDEX('Live History'!$E$5:$E$3004,MATCH($A1475,'Live History'!$D$5:$D$3004,1)),INDEX('AH History'!$C$1:$C$18046,AH!$P$7+1470))),NA()),NA())</ns0:f>
        <ns0:v/>
      </ns0:c>
      <ns0:c r="E1475">
        <ns0:f>IFERROR(IF(ISNUMBER($A1475),IF(AND(AH!$P$10=1,AH!$P$12=1,$A1475=TODAY()),AH!$P$20,IF(AH!$P$10=1,INDEX('Live History'!$H$5:$H$3004,MATCH($A1475,'Live History'!$G$5:$G$3004,1)),INDEX('AH History'!$D$1:$D$18046,AH!$P$7+1470))),NA()),NA())</ns0:f>
        <ns0:v/>
      </ns0:c>
      <ns0:c r="F1475">
        <ns0:f>IFERROR(IF(ISNUMBER($A1475),IF(AND(AH!$P$10=1,AH!$P$12=1,$A1475=TODAY()),IF(AND(AH!$P$10=1,AH!$P$12=1,$A1475=TODAY()),TODAY(),NA()),IF(AH!$P$10=1,INDEX('Live History'!$D$5:$D$3004,MATCH($A1475,'Live History'!$D$5:$D$3004,1)),INDEX('AH History'!$E$1:$E$18046,AH!$P$7+1470))),NA()),NA())</ns0:f>
        <ns0:v/>
      </ns0:c>
      <ns0:c r="G1475">
        <ns0:f>IFERROR(IF(ISNUMBER($A1475),IF(AND(AH!$P$10=1,AH!$P$12=1,$A1475=TODAY()),IF(AND(AH!$P$10=1,AH!$P$12=1,$A1475=TODAY()),TODAY(),NA()),IF(AH!$P$10=1,INDEX('Live History'!$G$5:$G$3004,MATCH($A1475,'Live History'!$G$5:$G$3004,1)),INDEX('AH History'!$F$1:$F$18046,AH!$P$7+1470))),NA()),NA())</ns0:f>
        <ns0:v/>
      </ns0:c>
      <ns0:c r="H1475">
        <ns0:f>IFERROR(IF(AND(AH!$E$4="Bloomberg",AH!$P$10=1,ISNUMBER($A1475),$A1475&lt;=AH!$P$17),AH!$P$7-1+MATCH($A1475,INDEX('AH History'!$A$1:$A$18046,AH!$P$7):INDEX('AH History'!$A$1:$A$18046,AH!$P$7+AH!$P$8-1),0),0),0)</ns0:f>
        <ns0:v/>
      </ns0:c>
      <ns0:c r="I1475">
        <ns0:f>IF($H1475=0,0,IFERROR(IF(AND(ABS($C1475-INDEX('AH History'!$B$1:$B$18046,$H1475))&lt;=MAX(0.005,ABS(INDEX('AH History'!$B$1:$B$18046,$H1475))*0.00005),ABS($D1475-INDEX('AH History'!$C$1:$C$18046,$H1475))&lt;=MAX(0.005,ABS(INDEX('AH History'!$C$1:$C$18046,$H1475))*0.00005),ABS($E1475-INDEX('AH History'!$D$1:$D$18046,$H1475))&lt;=0.00005,$F1475=INDEX('AH History'!$E$1:$E$18046,$H1475),$G1475=INDEX('AH History'!$F$1:$F$18046,$H1475)),1,-1),-1))</ns0:f>
        <ns0:v/>
      </ns0:c>
    </ns0:row>
    <ns0:row r="1476">
      <ns0:c r="A1476" s="215">
        <ns0:f>IF(OR(AH!$P$3=0,1471+1&gt;AH!$P$11,AND(AH!$E$4&lt;&gt;"Stored",AH!$P$10&lt;&gt;1)),"",IFERROR(IF(AND(AH!$P$21=1,1471+1=AH!$P$11),TODAY(),IF(AH!$P$10=1,INDEX('Live History'!$A$5:$A$3004,AH!$P$13+1471),INDEX('AH History'!$A$1:$A$18046,AH!$P$7+1471))),""))</ns0:f>
        <ns0:v/>
      </ns0:c>
      <ns0:c r="B1476" s="219">
        <ns0:f>IFERROR(IF(AND(AH!$P$9&lt;&gt;1,$C1476&gt;0,$D1476&gt;0,$E1476&gt;0,$F1476&gt;0,$G1476&gt;0,$F1476&lt;=$A1476,$G1476&lt;=$A1476,$A1476-$F1476&lt;=10,$A1476-$G1476&lt;=5),$D1476*$E1476/$C1476-1,NA()),NA())</ns0:f>
        <ns0:v/>
      </ns0:c>
      <ns0:c r="C1476">
        <ns0:f>IFERROR(IF(ISNUMBER($A1476),IF(AND(AH!$P$10=1,AH!$P$12=1,$A1476=TODAY()),AH!$P$19,IF(AH!$P$10=1,INDEX('Live History'!$B$5:$B$3004,AH!$P$13+1471),INDEX('AH History'!$B$1:$B$18046,AH!$P$7+1471))),NA()),NA())</ns0:f>
        <ns0:v/>
      </ns0:c>
      <ns0:c r="D1476">
        <ns0:f>IFERROR(IF(ISNUMBER($A1476),IF(AND(AH!$P$10=1,AH!$P$12=1,$A1476=TODAY()),AH!$P$18,IF(AH!$P$10=1,INDEX('Live History'!$E$5:$E$3004,MATCH($A1476,'Live History'!$D$5:$D$3004,1)),INDEX('AH History'!$C$1:$C$18046,AH!$P$7+1471))),NA()),NA())</ns0:f>
        <ns0:v/>
      </ns0:c>
      <ns0:c r="E1476">
        <ns0:f>IFERROR(IF(ISNUMBER($A1476),IF(AND(AH!$P$10=1,AH!$P$12=1,$A1476=TODAY()),AH!$P$20,IF(AH!$P$10=1,INDEX('Live History'!$H$5:$H$3004,MATCH($A1476,'Live History'!$G$5:$G$3004,1)),INDEX('AH History'!$D$1:$D$18046,AH!$P$7+1471))),NA()),NA())</ns0:f>
        <ns0:v/>
      </ns0:c>
      <ns0:c r="F1476">
        <ns0:f>IFERROR(IF(ISNUMBER($A1476),IF(AND(AH!$P$10=1,AH!$P$12=1,$A1476=TODAY()),IF(AND(AH!$P$10=1,AH!$P$12=1,$A1476=TODAY()),TODAY(),NA()),IF(AH!$P$10=1,INDEX('Live History'!$D$5:$D$3004,MATCH($A1476,'Live History'!$D$5:$D$3004,1)),INDEX('AH History'!$E$1:$E$18046,AH!$P$7+1471))),NA()),NA())</ns0:f>
        <ns0:v/>
      </ns0:c>
      <ns0:c r="G1476">
        <ns0:f>IFERROR(IF(ISNUMBER($A1476),IF(AND(AH!$P$10=1,AH!$P$12=1,$A1476=TODAY()),IF(AND(AH!$P$10=1,AH!$P$12=1,$A1476=TODAY()),TODAY(),NA()),IF(AH!$P$10=1,INDEX('Live History'!$G$5:$G$3004,MATCH($A1476,'Live History'!$G$5:$G$3004,1)),INDEX('AH History'!$F$1:$F$18046,AH!$P$7+1471))),NA()),NA())</ns0:f>
        <ns0:v/>
      </ns0:c>
      <ns0:c r="H1476">
        <ns0:f>IFERROR(IF(AND(AH!$E$4="Bloomberg",AH!$P$10=1,ISNUMBER($A1476),$A1476&lt;=AH!$P$17),AH!$P$7-1+MATCH($A1476,INDEX('AH History'!$A$1:$A$18046,AH!$P$7):INDEX('AH History'!$A$1:$A$18046,AH!$P$7+AH!$P$8-1),0),0),0)</ns0:f>
        <ns0:v/>
      </ns0:c>
      <ns0:c r="I1476">
        <ns0:f>IF($H1476=0,0,IFERROR(IF(AND(ABS($C1476-INDEX('AH History'!$B$1:$B$18046,$H1476))&lt;=MAX(0.005,ABS(INDEX('AH History'!$B$1:$B$18046,$H1476))*0.00005),ABS($D1476-INDEX('AH History'!$C$1:$C$18046,$H1476))&lt;=MAX(0.005,ABS(INDEX('AH History'!$C$1:$C$18046,$H1476))*0.00005),ABS($E1476-INDEX('AH History'!$D$1:$D$18046,$H1476))&lt;=0.00005,$F1476=INDEX('AH History'!$E$1:$E$18046,$H1476),$G1476=INDEX('AH History'!$F$1:$F$18046,$H1476)),1,-1),-1))</ns0:f>
        <ns0:v/>
      </ns0:c>
    </ns0:row>
    <ns0:row r="1477">
      <ns0:c r="A1477" s="215">
        <ns0:f>IF(OR(AH!$P$3=0,1472+1&gt;AH!$P$11,AND(AH!$E$4&lt;&gt;"Stored",AH!$P$10&lt;&gt;1)),"",IFERROR(IF(AND(AH!$P$21=1,1472+1=AH!$P$11),TODAY(),IF(AH!$P$10=1,INDEX('Live History'!$A$5:$A$3004,AH!$P$13+1472),INDEX('AH History'!$A$1:$A$18046,AH!$P$7+1472))),""))</ns0:f>
        <ns0:v/>
      </ns0:c>
      <ns0:c r="B1477" s="219">
        <ns0:f>IFERROR(IF(AND(AH!$P$9&lt;&gt;1,$C1477&gt;0,$D1477&gt;0,$E1477&gt;0,$F1477&gt;0,$G1477&gt;0,$F1477&lt;=$A1477,$G1477&lt;=$A1477,$A1477-$F1477&lt;=10,$A1477-$G1477&lt;=5),$D1477*$E1477/$C1477-1,NA()),NA())</ns0:f>
        <ns0:v/>
      </ns0:c>
      <ns0:c r="C1477">
        <ns0:f>IFERROR(IF(ISNUMBER($A1477),IF(AND(AH!$P$10=1,AH!$P$12=1,$A1477=TODAY()),AH!$P$19,IF(AH!$P$10=1,INDEX('Live History'!$B$5:$B$3004,AH!$P$13+1472),INDEX('AH History'!$B$1:$B$18046,AH!$P$7+1472))),NA()),NA())</ns0:f>
        <ns0:v/>
      </ns0:c>
      <ns0:c r="D1477">
        <ns0:f>IFERROR(IF(ISNUMBER($A1477),IF(AND(AH!$P$10=1,AH!$P$12=1,$A1477=TODAY()),AH!$P$18,IF(AH!$P$10=1,INDEX('Live History'!$E$5:$E$3004,MATCH($A1477,'Live History'!$D$5:$D$3004,1)),INDEX('AH History'!$C$1:$C$18046,AH!$P$7+1472))),NA()),NA())</ns0:f>
        <ns0:v/>
      </ns0:c>
      <ns0:c r="E1477">
        <ns0:f>IFERROR(IF(ISNUMBER($A1477),IF(AND(AH!$P$10=1,AH!$P$12=1,$A1477=TODAY()),AH!$P$20,IF(AH!$P$10=1,INDEX('Live History'!$H$5:$H$3004,MATCH($A1477,'Live History'!$G$5:$G$3004,1)),INDEX('AH History'!$D$1:$D$18046,AH!$P$7+1472))),NA()),NA())</ns0:f>
        <ns0:v/>
      </ns0:c>
      <ns0:c r="F1477">
        <ns0:f>IFERROR(IF(ISNUMBER($A1477),IF(AND(AH!$P$10=1,AH!$P$12=1,$A1477=TODAY()),IF(AND(AH!$P$10=1,AH!$P$12=1,$A1477=TODAY()),TODAY(),NA()),IF(AH!$P$10=1,INDEX('Live History'!$D$5:$D$3004,MATCH($A1477,'Live History'!$D$5:$D$3004,1)),INDEX('AH History'!$E$1:$E$18046,AH!$P$7+1472))),NA()),NA())</ns0:f>
        <ns0:v/>
      </ns0:c>
      <ns0:c r="G1477">
        <ns0:f>IFERROR(IF(ISNUMBER($A1477),IF(AND(AH!$P$10=1,AH!$P$12=1,$A1477=TODAY()),IF(AND(AH!$P$10=1,AH!$P$12=1,$A1477=TODAY()),TODAY(),NA()),IF(AH!$P$10=1,INDEX('Live History'!$G$5:$G$3004,MATCH($A1477,'Live History'!$G$5:$G$3004,1)),INDEX('AH History'!$F$1:$F$18046,AH!$P$7+1472))),NA()),NA())</ns0:f>
        <ns0:v/>
      </ns0:c>
      <ns0:c r="H1477">
        <ns0:f>IFERROR(IF(AND(AH!$E$4="Bloomberg",AH!$P$10=1,ISNUMBER($A1477),$A1477&lt;=AH!$P$17),AH!$P$7-1+MATCH($A1477,INDEX('AH History'!$A$1:$A$18046,AH!$P$7):INDEX('AH History'!$A$1:$A$18046,AH!$P$7+AH!$P$8-1),0),0),0)</ns0:f>
        <ns0:v/>
      </ns0:c>
      <ns0:c r="I1477">
        <ns0:f>IF($H1477=0,0,IFERROR(IF(AND(ABS($C1477-INDEX('AH History'!$B$1:$B$18046,$H1477))&lt;=MAX(0.005,ABS(INDEX('AH History'!$B$1:$B$18046,$H1477))*0.00005),ABS($D1477-INDEX('AH History'!$C$1:$C$18046,$H1477))&lt;=MAX(0.005,ABS(INDEX('AH History'!$C$1:$C$18046,$H1477))*0.00005),ABS($E1477-INDEX('AH History'!$D$1:$D$18046,$H1477))&lt;=0.00005,$F1477=INDEX('AH History'!$E$1:$E$18046,$H1477),$G1477=INDEX('AH History'!$F$1:$F$18046,$H1477)),1,-1),-1))</ns0:f>
        <ns0:v/>
      </ns0:c>
    </ns0:row>
    <ns0:row r="1478">
      <ns0:c r="A1478" s="215">
        <ns0:f>IF(OR(AH!$P$3=0,1473+1&gt;AH!$P$11,AND(AH!$E$4&lt;&gt;"Stored",AH!$P$10&lt;&gt;1)),"",IFERROR(IF(AND(AH!$P$21=1,1473+1=AH!$P$11),TODAY(),IF(AH!$P$10=1,INDEX('Live History'!$A$5:$A$3004,AH!$P$13+1473),INDEX('AH History'!$A$1:$A$18046,AH!$P$7+1473))),""))</ns0:f>
        <ns0:v/>
      </ns0:c>
      <ns0:c r="B1478" s="219">
        <ns0:f>IFERROR(IF(AND(AH!$P$9&lt;&gt;1,$C1478&gt;0,$D1478&gt;0,$E1478&gt;0,$F1478&gt;0,$G1478&gt;0,$F1478&lt;=$A1478,$G1478&lt;=$A1478,$A1478-$F1478&lt;=10,$A1478-$G1478&lt;=5),$D1478*$E1478/$C1478-1,NA()),NA())</ns0:f>
        <ns0:v/>
      </ns0:c>
      <ns0:c r="C1478">
        <ns0:f>IFERROR(IF(ISNUMBER($A1478),IF(AND(AH!$P$10=1,AH!$P$12=1,$A1478=TODAY()),AH!$P$19,IF(AH!$P$10=1,INDEX('Live History'!$B$5:$B$3004,AH!$P$13+1473),INDEX('AH History'!$B$1:$B$18046,AH!$P$7+1473))),NA()),NA())</ns0:f>
        <ns0:v/>
      </ns0:c>
      <ns0:c r="D1478">
        <ns0:f>IFERROR(IF(ISNUMBER($A1478),IF(AND(AH!$P$10=1,AH!$P$12=1,$A1478=TODAY()),AH!$P$18,IF(AH!$P$10=1,INDEX('Live History'!$E$5:$E$3004,MATCH($A1478,'Live History'!$D$5:$D$3004,1)),INDEX('AH History'!$C$1:$C$18046,AH!$P$7+1473))),NA()),NA())</ns0:f>
        <ns0:v/>
      </ns0:c>
      <ns0:c r="E1478">
        <ns0:f>IFERROR(IF(ISNUMBER($A1478),IF(AND(AH!$P$10=1,AH!$P$12=1,$A1478=TODAY()),AH!$P$20,IF(AH!$P$10=1,INDEX('Live History'!$H$5:$H$3004,MATCH($A1478,'Live History'!$G$5:$G$3004,1)),INDEX('AH History'!$D$1:$D$18046,AH!$P$7+1473))),NA()),NA())</ns0:f>
        <ns0:v/>
      </ns0:c>
      <ns0:c r="F1478">
        <ns0:f>IFERROR(IF(ISNUMBER($A1478),IF(AND(AH!$P$10=1,AH!$P$12=1,$A1478=TODAY()),IF(AND(AH!$P$10=1,AH!$P$12=1,$A1478=TODAY()),TODAY(),NA()),IF(AH!$P$10=1,INDEX('Live History'!$D$5:$D$3004,MATCH($A1478,'Live History'!$D$5:$D$3004,1)),INDEX('AH History'!$E$1:$E$18046,AH!$P$7+1473))),NA()),NA())</ns0:f>
        <ns0:v/>
      </ns0:c>
      <ns0:c r="G1478">
        <ns0:f>IFERROR(IF(ISNUMBER($A1478),IF(AND(AH!$P$10=1,AH!$P$12=1,$A1478=TODAY()),IF(AND(AH!$P$10=1,AH!$P$12=1,$A1478=TODAY()),TODAY(),NA()),IF(AH!$P$10=1,INDEX('Live History'!$G$5:$G$3004,MATCH($A1478,'Live History'!$G$5:$G$3004,1)),INDEX('AH History'!$F$1:$F$18046,AH!$P$7+1473))),NA()),NA())</ns0:f>
        <ns0:v/>
      </ns0:c>
      <ns0:c r="H1478">
        <ns0:f>IFERROR(IF(AND(AH!$E$4="Bloomberg",AH!$P$10=1,ISNUMBER($A1478),$A1478&lt;=AH!$P$17),AH!$P$7-1+MATCH($A1478,INDEX('AH History'!$A$1:$A$18046,AH!$P$7):INDEX('AH History'!$A$1:$A$18046,AH!$P$7+AH!$P$8-1),0),0),0)</ns0:f>
        <ns0:v/>
      </ns0:c>
      <ns0:c r="I1478">
        <ns0:f>IF($H1478=0,0,IFERROR(IF(AND(ABS($C1478-INDEX('AH History'!$B$1:$B$18046,$H1478))&lt;=MAX(0.005,ABS(INDEX('AH History'!$B$1:$B$18046,$H1478))*0.00005),ABS($D1478-INDEX('AH History'!$C$1:$C$18046,$H1478))&lt;=MAX(0.005,ABS(INDEX('AH History'!$C$1:$C$18046,$H1478))*0.00005),ABS($E1478-INDEX('AH History'!$D$1:$D$18046,$H1478))&lt;=0.00005,$F1478=INDEX('AH History'!$E$1:$E$18046,$H1478),$G1478=INDEX('AH History'!$F$1:$F$18046,$H1478)),1,-1),-1))</ns0:f>
        <ns0:v/>
      </ns0:c>
    </ns0:row>
    <ns0:row r="1479">
      <ns0:c r="A1479" s="215">
        <ns0:f>IF(OR(AH!$P$3=0,1474+1&gt;AH!$P$11,AND(AH!$E$4&lt;&gt;"Stored",AH!$P$10&lt;&gt;1)),"",IFERROR(IF(AND(AH!$P$21=1,1474+1=AH!$P$11),TODAY(),IF(AH!$P$10=1,INDEX('Live History'!$A$5:$A$3004,AH!$P$13+1474),INDEX('AH History'!$A$1:$A$18046,AH!$P$7+1474))),""))</ns0:f>
        <ns0:v/>
      </ns0:c>
      <ns0:c r="B1479" s="219">
        <ns0:f>IFERROR(IF(AND(AH!$P$9&lt;&gt;1,$C1479&gt;0,$D1479&gt;0,$E1479&gt;0,$F1479&gt;0,$G1479&gt;0,$F1479&lt;=$A1479,$G1479&lt;=$A1479,$A1479-$F1479&lt;=10,$A1479-$G1479&lt;=5),$D1479*$E1479/$C1479-1,NA()),NA())</ns0:f>
        <ns0:v/>
      </ns0:c>
      <ns0:c r="C1479">
        <ns0:f>IFERROR(IF(ISNUMBER($A1479),IF(AND(AH!$P$10=1,AH!$P$12=1,$A1479=TODAY()),AH!$P$19,IF(AH!$P$10=1,INDEX('Live History'!$B$5:$B$3004,AH!$P$13+1474),INDEX('AH History'!$B$1:$B$18046,AH!$P$7+1474))),NA()),NA())</ns0:f>
        <ns0:v/>
      </ns0:c>
      <ns0:c r="D1479">
        <ns0:f>IFERROR(IF(ISNUMBER($A1479),IF(AND(AH!$P$10=1,AH!$P$12=1,$A1479=TODAY()),AH!$P$18,IF(AH!$P$10=1,INDEX('Live History'!$E$5:$E$3004,MATCH($A1479,'Live History'!$D$5:$D$3004,1)),INDEX('AH History'!$C$1:$C$18046,AH!$P$7+1474))),NA()),NA())</ns0:f>
        <ns0:v/>
      </ns0:c>
      <ns0:c r="E1479">
        <ns0:f>IFERROR(IF(ISNUMBER($A1479),IF(AND(AH!$P$10=1,AH!$P$12=1,$A1479=TODAY()),AH!$P$20,IF(AH!$P$10=1,INDEX('Live History'!$H$5:$H$3004,MATCH($A1479,'Live History'!$G$5:$G$3004,1)),INDEX('AH History'!$D$1:$D$18046,AH!$P$7+1474))),NA()),NA())</ns0:f>
        <ns0:v/>
      </ns0:c>
      <ns0:c r="F1479">
        <ns0:f>IFERROR(IF(ISNUMBER($A1479),IF(AND(AH!$P$10=1,AH!$P$12=1,$A1479=TODAY()),IF(AND(AH!$P$10=1,AH!$P$12=1,$A1479=TODAY()),TODAY(),NA()),IF(AH!$P$10=1,INDEX('Live History'!$D$5:$D$3004,MATCH($A1479,'Live History'!$D$5:$D$3004,1)),INDEX('AH History'!$E$1:$E$18046,AH!$P$7+1474))),NA()),NA())</ns0:f>
        <ns0:v/>
      </ns0:c>
      <ns0:c r="G1479">
        <ns0:f>IFERROR(IF(ISNUMBER($A1479),IF(AND(AH!$P$10=1,AH!$P$12=1,$A1479=TODAY()),IF(AND(AH!$P$10=1,AH!$P$12=1,$A1479=TODAY()),TODAY(),NA()),IF(AH!$P$10=1,INDEX('Live History'!$G$5:$G$3004,MATCH($A1479,'Live History'!$G$5:$G$3004,1)),INDEX('AH History'!$F$1:$F$18046,AH!$P$7+1474))),NA()),NA())</ns0:f>
        <ns0:v/>
      </ns0:c>
      <ns0:c r="H1479">
        <ns0:f>IFERROR(IF(AND(AH!$E$4="Bloomberg",AH!$P$10=1,ISNUMBER($A1479),$A1479&lt;=AH!$P$17),AH!$P$7-1+MATCH($A1479,INDEX('AH History'!$A$1:$A$18046,AH!$P$7):INDEX('AH History'!$A$1:$A$18046,AH!$P$7+AH!$P$8-1),0),0),0)</ns0:f>
        <ns0:v/>
      </ns0:c>
      <ns0:c r="I1479">
        <ns0:f>IF($H1479=0,0,IFERROR(IF(AND(ABS($C1479-INDEX('AH History'!$B$1:$B$18046,$H1479))&lt;=MAX(0.005,ABS(INDEX('AH History'!$B$1:$B$18046,$H1479))*0.00005),ABS($D1479-INDEX('AH History'!$C$1:$C$18046,$H1479))&lt;=MAX(0.005,ABS(INDEX('AH History'!$C$1:$C$18046,$H1479))*0.00005),ABS($E1479-INDEX('AH History'!$D$1:$D$18046,$H1479))&lt;=0.00005,$F1479=INDEX('AH History'!$E$1:$E$18046,$H1479),$G1479=INDEX('AH History'!$F$1:$F$18046,$H1479)),1,-1),-1))</ns0:f>
        <ns0:v/>
      </ns0:c>
    </ns0:row>
    <ns0:row r="1480">
      <ns0:c r="A1480" s="215">
        <ns0:f>IF(OR(AH!$P$3=0,1475+1&gt;AH!$P$11,AND(AH!$E$4&lt;&gt;"Stored",AH!$P$10&lt;&gt;1)),"",IFERROR(IF(AND(AH!$P$21=1,1475+1=AH!$P$11),TODAY(),IF(AH!$P$10=1,INDEX('Live History'!$A$5:$A$3004,AH!$P$13+1475),INDEX('AH History'!$A$1:$A$18046,AH!$P$7+1475))),""))</ns0:f>
        <ns0:v/>
      </ns0:c>
      <ns0:c r="B1480" s="219">
        <ns0:f>IFERROR(IF(AND(AH!$P$9&lt;&gt;1,$C1480&gt;0,$D1480&gt;0,$E1480&gt;0,$F1480&gt;0,$G1480&gt;0,$F1480&lt;=$A1480,$G1480&lt;=$A1480,$A1480-$F1480&lt;=10,$A1480-$G1480&lt;=5),$D1480*$E1480/$C1480-1,NA()),NA())</ns0:f>
        <ns0:v/>
      </ns0:c>
      <ns0:c r="C1480">
        <ns0:f>IFERROR(IF(ISNUMBER($A1480),IF(AND(AH!$P$10=1,AH!$P$12=1,$A1480=TODAY()),AH!$P$19,IF(AH!$P$10=1,INDEX('Live History'!$B$5:$B$3004,AH!$P$13+1475),INDEX('AH History'!$B$1:$B$18046,AH!$P$7+1475))),NA()),NA())</ns0:f>
        <ns0:v/>
      </ns0:c>
      <ns0:c r="D1480">
        <ns0:f>IFERROR(IF(ISNUMBER($A1480),IF(AND(AH!$P$10=1,AH!$P$12=1,$A1480=TODAY()),AH!$P$18,IF(AH!$P$10=1,INDEX('Live History'!$E$5:$E$3004,MATCH($A1480,'Live History'!$D$5:$D$3004,1)),INDEX('AH History'!$C$1:$C$18046,AH!$P$7+1475))),NA()),NA())</ns0:f>
        <ns0:v/>
      </ns0:c>
      <ns0:c r="E1480">
        <ns0:f>IFERROR(IF(ISNUMBER($A1480),IF(AND(AH!$P$10=1,AH!$P$12=1,$A1480=TODAY()),AH!$P$20,IF(AH!$P$10=1,INDEX('Live History'!$H$5:$H$3004,MATCH($A1480,'Live History'!$G$5:$G$3004,1)),INDEX('AH History'!$D$1:$D$18046,AH!$P$7+1475))),NA()),NA())</ns0:f>
        <ns0:v/>
      </ns0:c>
      <ns0:c r="F1480">
        <ns0:f>IFERROR(IF(ISNUMBER($A1480),IF(AND(AH!$P$10=1,AH!$P$12=1,$A1480=TODAY()),IF(AND(AH!$P$10=1,AH!$P$12=1,$A1480=TODAY()),TODAY(),NA()),IF(AH!$P$10=1,INDEX('Live History'!$D$5:$D$3004,MATCH($A1480,'Live History'!$D$5:$D$3004,1)),INDEX('AH History'!$E$1:$E$18046,AH!$P$7+1475))),NA()),NA())</ns0:f>
        <ns0:v/>
      </ns0:c>
      <ns0:c r="G1480">
        <ns0:f>IFERROR(IF(ISNUMBER($A1480),IF(AND(AH!$P$10=1,AH!$P$12=1,$A1480=TODAY()),IF(AND(AH!$P$10=1,AH!$P$12=1,$A1480=TODAY()),TODAY(),NA()),IF(AH!$P$10=1,INDEX('Live History'!$G$5:$G$3004,MATCH($A1480,'Live History'!$G$5:$G$3004,1)),INDEX('AH History'!$F$1:$F$18046,AH!$P$7+1475))),NA()),NA())</ns0:f>
        <ns0:v/>
      </ns0:c>
      <ns0:c r="H1480">
        <ns0:f>IFERROR(IF(AND(AH!$E$4="Bloomberg",AH!$P$10=1,ISNUMBER($A1480),$A1480&lt;=AH!$P$17),AH!$P$7-1+MATCH($A1480,INDEX('AH History'!$A$1:$A$18046,AH!$P$7):INDEX('AH History'!$A$1:$A$18046,AH!$P$7+AH!$P$8-1),0),0),0)</ns0:f>
        <ns0:v/>
      </ns0:c>
      <ns0:c r="I1480">
        <ns0:f>IF($H1480=0,0,IFERROR(IF(AND(ABS($C1480-INDEX('AH History'!$B$1:$B$18046,$H1480))&lt;=MAX(0.005,ABS(INDEX('AH History'!$B$1:$B$18046,$H1480))*0.00005),ABS($D1480-INDEX('AH History'!$C$1:$C$18046,$H1480))&lt;=MAX(0.005,ABS(INDEX('AH History'!$C$1:$C$18046,$H1480))*0.00005),ABS($E1480-INDEX('AH History'!$D$1:$D$18046,$H1480))&lt;=0.00005,$F1480=INDEX('AH History'!$E$1:$E$18046,$H1480),$G1480=INDEX('AH History'!$F$1:$F$18046,$H1480)),1,-1),-1))</ns0:f>
        <ns0:v/>
      </ns0:c>
    </ns0:row>
    <ns0:row r="1481">
      <ns0:c r="A1481" s="215">
        <ns0:f>IF(OR(AH!$P$3=0,1476+1&gt;AH!$P$11,AND(AH!$E$4&lt;&gt;"Stored",AH!$P$10&lt;&gt;1)),"",IFERROR(IF(AND(AH!$P$21=1,1476+1=AH!$P$11),TODAY(),IF(AH!$P$10=1,INDEX('Live History'!$A$5:$A$3004,AH!$P$13+1476),INDEX('AH History'!$A$1:$A$18046,AH!$P$7+1476))),""))</ns0:f>
        <ns0:v/>
      </ns0:c>
      <ns0:c r="B1481" s="219">
        <ns0:f>IFERROR(IF(AND(AH!$P$9&lt;&gt;1,$C1481&gt;0,$D1481&gt;0,$E1481&gt;0,$F1481&gt;0,$G1481&gt;0,$F1481&lt;=$A1481,$G1481&lt;=$A1481,$A1481-$F1481&lt;=10,$A1481-$G1481&lt;=5),$D1481*$E1481/$C1481-1,NA()),NA())</ns0:f>
        <ns0:v/>
      </ns0:c>
      <ns0:c r="C1481">
        <ns0:f>IFERROR(IF(ISNUMBER($A1481),IF(AND(AH!$P$10=1,AH!$P$12=1,$A1481=TODAY()),AH!$P$19,IF(AH!$P$10=1,INDEX('Live History'!$B$5:$B$3004,AH!$P$13+1476),INDEX('AH History'!$B$1:$B$18046,AH!$P$7+1476))),NA()),NA())</ns0:f>
        <ns0:v/>
      </ns0:c>
      <ns0:c r="D1481">
        <ns0:f>IFERROR(IF(ISNUMBER($A1481),IF(AND(AH!$P$10=1,AH!$P$12=1,$A1481=TODAY()),AH!$P$18,IF(AH!$P$10=1,INDEX('Live History'!$E$5:$E$3004,MATCH($A1481,'Live History'!$D$5:$D$3004,1)),INDEX('AH History'!$C$1:$C$18046,AH!$P$7+1476))),NA()),NA())</ns0:f>
        <ns0:v/>
      </ns0:c>
      <ns0:c r="E1481">
        <ns0:f>IFERROR(IF(ISNUMBER($A1481),IF(AND(AH!$P$10=1,AH!$P$12=1,$A1481=TODAY()),AH!$P$20,IF(AH!$P$10=1,INDEX('Live History'!$H$5:$H$3004,MATCH($A1481,'Live History'!$G$5:$G$3004,1)),INDEX('AH History'!$D$1:$D$18046,AH!$P$7+1476))),NA()),NA())</ns0:f>
        <ns0:v/>
      </ns0:c>
      <ns0:c r="F1481">
        <ns0:f>IFERROR(IF(ISNUMBER($A1481),IF(AND(AH!$P$10=1,AH!$P$12=1,$A1481=TODAY()),IF(AND(AH!$P$10=1,AH!$P$12=1,$A1481=TODAY()),TODAY(),NA()),IF(AH!$P$10=1,INDEX('Live History'!$D$5:$D$3004,MATCH($A1481,'Live History'!$D$5:$D$3004,1)),INDEX('AH History'!$E$1:$E$18046,AH!$P$7+1476))),NA()),NA())</ns0:f>
        <ns0:v/>
      </ns0:c>
      <ns0:c r="G1481">
        <ns0:f>IFERROR(IF(ISNUMBER($A1481),IF(AND(AH!$P$10=1,AH!$P$12=1,$A1481=TODAY()),IF(AND(AH!$P$10=1,AH!$P$12=1,$A1481=TODAY()),TODAY(),NA()),IF(AH!$P$10=1,INDEX('Live History'!$G$5:$G$3004,MATCH($A1481,'Live History'!$G$5:$G$3004,1)),INDEX('AH History'!$F$1:$F$18046,AH!$P$7+1476))),NA()),NA())</ns0:f>
        <ns0:v/>
      </ns0:c>
      <ns0:c r="H1481">
        <ns0:f>IFERROR(IF(AND(AH!$E$4="Bloomberg",AH!$P$10=1,ISNUMBER($A1481),$A1481&lt;=AH!$P$17),AH!$P$7-1+MATCH($A1481,INDEX('AH History'!$A$1:$A$18046,AH!$P$7):INDEX('AH History'!$A$1:$A$18046,AH!$P$7+AH!$P$8-1),0),0),0)</ns0:f>
        <ns0:v/>
      </ns0:c>
      <ns0:c r="I1481">
        <ns0:f>IF($H1481=0,0,IFERROR(IF(AND(ABS($C1481-INDEX('AH History'!$B$1:$B$18046,$H1481))&lt;=MAX(0.005,ABS(INDEX('AH History'!$B$1:$B$18046,$H1481))*0.00005),ABS($D1481-INDEX('AH History'!$C$1:$C$18046,$H1481))&lt;=MAX(0.005,ABS(INDEX('AH History'!$C$1:$C$18046,$H1481))*0.00005),ABS($E1481-INDEX('AH History'!$D$1:$D$18046,$H1481))&lt;=0.00005,$F1481=INDEX('AH History'!$E$1:$E$18046,$H1481),$G1481=INDEX('AH History'!$F$1:$F$18046,$H1481)),1,-1),-1))</ns0:f>
        <ns0:v/>
      </ns0:c>
    </ns0:row>
    <ns0:row r="1482">
      <ns0:c r="A1482" s="215">
        <ns0:f>IF(OR(AH!$P$3=0,1477+1&gt;AH!$P$11,AND(AH!$E$4&lt;&gt;"Stored",AH!$P$10&lt;&gt;1)),"",IFERROR(IF(AND(AH!$P$21=1,1477+1=AH!$P$11),TODAY(),IF(AH!$P$10=1,INDEX('Live History'!$A$5:$A$3004,AH!$P$13+1477),INDEX('AH History'!$A$1:$A$18046,AH!$P$7+1477))),""))</ns0:f>
        <ns0:v/>
      </ns0:c>
      <ns0:c r="B1482" s="219">
        <ns0:f>IFERROR(IF(AND(AH!$P$9&lt;&gt;1,$C1482&gt;0,$D1482&gt;0,$E1482&gt;0,$F1482&gt;0,$G1482&gt;0,$F1482&lt;=$A1482,$G1482&lt;=$A1482,$A1482-$F1482&lt;=10,$A1482-$G1482&lt;=5),$D1482*$E1482/$C1482-1,NA()),NA())</ns0:f>
        <ns0:v/>
      </ns0:c>
      <ns0:c r="C1482">
        <ns0:f>IFERROR(IF(ISNUMBER($A1482),IF(AND(AH!$P$10=1,AH!$P$12=1,$A1482=TODAY()),AH!$P$19,IF(AH!$P$10=1,INDEX('Live History'!$B$5:$B$3004,AH!$P$13+1477),INDEX('AH History'!$B$1:$B$18046,AH!$P$7+1477))),NA()),NA())</ns0:f>
        <ns0:v/>
      </ns0:c>
      <ns0:c r="D1482">
        <ns0:f>IFERROR(IF(ISNUMBER($A1482),IF(AND(AH!$P$10=1,AH!$P$12=1,$A1482=TODAY()),AH!$P$18,IF(AH!$P$10=1,INDEX('Live History'!$E$5:$E$3004,MATCH($A1482,'Live History'!$D$5:$D$3004,1)),INDEX('AH History'!$C$1:$C$18046,AH!$P$7+1477))),NA()),NA())</ns0:f>
        <ns0:v/>
      </ns0:c>
      <ns0:c r="E1482">
        <ns0:f>IFERROR(IF(ISNUMBER($A1482),IF(AND(AH!$P$10=1,AH!$P$12=1,$A1482=TODAY()),AH!$P$20,IF(AH!$P$10=1,INDEX('Live History'!$H$5:$H$3004,MATCH($A1482,'Live History'!$G$5:$G$3004,1)),INDEX('AH History'!$D$1:$D$18046,AH!$P$7+1477))),NA()),NA())</ns0:f>
        <ns0:v/>
      </ns0:c>
      <ns0:c r="F1482">
        <ns0:f>IFERROR(IF(ISNUMBER($A1482),IF(AND(AH!$P$10=1,AH!$P$12=1,$A1482=TODAY()),IF(AND(AH!$P$10=1,AH!$P$12=1,$A1482=TODAY()),TODAY(),NA()),IF(AH!$P$10=1,INDEX('Live History'!$D$5:$D$3004,MATCH($A1482,'Live History'!$D$5:$D$3004,1)),INDEX('AH History'!$E$1:$E$18046,AH!$P$7+1477))),NA()),NA())</ns0:f>
        <ns0:v/>
      </ns0:c>
      <ns0:c r="G1482">
        <ns0:f>IFERROR(IF(ISNUMBER($A1482),IF(AND(AH!$P$10=1,AH!$P$12=1,$A1482=TODAY()),IF(AND(AH!$P$10=1,AH!$P$12=1,$A1482=TODAY()),TODAY(),NA()),IF(AH!$P$10=1,INDEX('Live History'!$G$5:$G$3004,MATCH($A1482,'Live History'!$G$5:$G$3004,1)),INDEX('AH History'!$F$1:$F$18046,AH!$P$7+1477))),NA()),NA())</ns0:f>
        <ns0:v/>
      </ns0:c>
      <ns0:c r="H1482">
        <ns0:f>IFERROR(IF(AND(AH!$E$4="Bloomberg",AH!$P$10=1,ISNUMBER($A1482),$A1482&lt;=AH!$P$17),AH!$P$7-1+MATCH($A1482,INDEX('AH History'!$A$1:$A$18046,AH!$P$7):INDEX('AH History'!$A$1:$A$18046,AH!$P$7+AH!$P$8-1),0),0),0)</ns0:f>
        <ns0:v/>
      </ns0:c>
      <ns0:c r="I1482">
        <ns0:f>IF($H1482=0,0,IFERROR(IF(AND(ABS($C1482-INDEX('AH History'!$B$1:$B$18046,$H1482))&lt;=MAX(0.005,ABS(INDEX('AH History'!$B$1:$B$18046,$H1482))*0.00005),ABS($D1482-INDEX('AH History'!$C$1:$C$18046,$H1482))&lt;=MAX(0.005,ABS(INDEX('AH History'!$C$1:$C$18046,$H1482))*0.00005),ABS($E1482-INDEX('AH History'!$D$1:$D$18046,$H1482))&lt;=0.00005,$F1482=INDEX('AH History'!$E$1:$E$18046,$H1482),$G1482=INDEX('AH History'!$F$1:$F$18046,$H1482)),1,-1),-1))</ns0:f>
        <ns0:v/>
      </ns0:c>
    </ns0:row>
    <ns0:row r="1483">
      <ns0:c r="A1483" s="215">
        <ns0:f>IF(OR(AH!$P$3=0,1478+1&gt;AH!$P$11,AND(AH!$E$4&lt;&gt;"Stored",AH!$P$10&lt;&gt;1)),"",IFERROR(IF(AND(AH!$P$21=1,1478+1=AH!$P$11),TODAY(),IF(AH!$P$10=1,INDEX('Live History'!$A$5:$A$3004,AH!$P$13+1478),INDEX('AH History'!$A$1:$A$18046,AH!$P$7+1478))),""))</ns0:f>
        <ns0:v/>
      </ns0:c>
      <ns0:c r="B1483" s="219">
        <ns0:f>IFERROR(IF(AND(AH!$P$9&lt;&gt;1,$C1483&gt;0,$D1483&gt;0,$E1483&gt;0,$F1483&gt;0,$G1483&gt;0,$F1483&lt;=$A1483,$G1483&lt;=$A1483,$A1483-$F1483&lt;=10,$A1483-$G1483&lt;=5),$D1483*$E1483/$C1483-1,NA()),NA())</ns0:f>
        <ns0:v/>
      </ns0:c>
      <ns0:c r="C1483">
        <ns0:f>IFERROR(IF(ISNUMBER($A1483),IF(AND(AH!$P$10=1,AH!$P$12=1,$A1483=TODAY()),AH!$P$19,IF(AH!$P$10=1,INDEX('Live History'!$B$5:$B$3004,AH!$P$13+1478),INDEX('AH History'!$B$1:$B$18046,AH!$P$7+1478))),NA()),NA())</ns0:f>
        <ns0:v/>
      </ns0:c>
      <ns0:c r="D1483">
        <ns0:f>IFERROR(IF(ISNUMBER($A1483),IF(AND(AH!$P$10=1,AH!$P$12=1,$A1483=TODAY()),AH!$P$18,IF(AH!$P$10=1,INDEX('Live History'!$E$5:$E$3004,MATCH($A1483,'Live History'!$D$5:$D$3004,1)),INDEX('AH History'!$C$1:$C$18046,AH!$P$7+1478))),NA()),NA())</ns0:f>
        <ns0:v/>
      </ns0:c>
      <ns0:c r="E1483">
        <ns0:f>IFERROR(IF(ISNUMBER($A1483),IF(AND(AH!$P$10=1,AH!$P$12=1,$A1483=TODAY()),AH!$P$20,IF(AH!$P$10=1,INDEX('Live History'!$H$5:$H$3004,MATCH($A1483,'Live History'!$G$5:$G$3004,1)),INDEX('AH History'!$D$1:$D$18046,AH!$P$7+1478))),NA()),NA())</ns0:f>
        <ns0:v/>
      </ns0:c>
      <ns0:c r="F1483">
        <ns0:f>IFERROR(IF(ISNUMBER($A1483),IF(AND(AH!$P$10=1,AH!$P$12=1,$A1483=TODAY()),IF(AND(AH!$P$10=1,AH!$P$12=1,$A1483=TODAY()),TODAY(),NA()),IF(AH!$P$10=1,INDEX('Live History'!$D$5:$D$3004,MATCH($A1483,'Live History'!$D$5:$D$3004,1)),INDEX('AH History'!$E$1:$E$18046,AH!$P$7+1478))),NA()),NA())</ns0:f>
        <ns0:v/>
      </ns0:c>
      <ns0:c r="G1483">
        <ns0:f>IFERROR(IF(ISNUMBER($A1483),IF(AND(AH!$P$10=1,AH!$P$12=1,$A1483=TODAY()),IF(AND(AH!$P$10=1,AH!$P$12=1,$A1483=TODAY()),TODAY(),NA()),IF(AH!$P$10=1,INDEX('Live History'!$G$5:$G$3004,MATCH($A1483,'Live History'!$G$5:$G$3004,1)),INDEX('AH History'!$F$1:$F$18046,AH!$P$7+1478))),NA()),NA())</ns0:f>
        <ns0:v/>
      </ns0:c>
      <ns0:c r="H1483">
        <ns0:f>IFERROR(IF(AND(AH!$E$4="Bloomberg",AH!$P$10=1,ISNUMBER($A1483),$A1483&lt;=AH!$P$17),AH!$P$7-1+MATCH($A1483,INDEX('AH History'!$A$1:$A$18046,AH!$P$7):INDEX('AH History'!$A$1:$A$18046,AH!$P$7+AH!$P$8-1),0),0),0)</ns0:f>
        <ns0:v/>
      </ns0:c>
      <ns0:c r="I1483">
        <ns0:f>IF($H1483=0,0,IFERROR(IF(AND(ABS($C1483-INDEX('AH History'!$B$1:$B$18046,$H1483))&lt;=MAX(0.005,ABS(INDEX('AH History'!$B$1:$B$18046,$H1483))*0.00005),ABS($D1483-INDEX('AH History'!$C$1:$C$18046,$H1483))&lt;=MAX(0.005,ABS(INDEX('AH History'!$C$1:$C$18046,$H1483))*0.00005),ABS($E1483-INDEX('AH History'!$D$1:$D$18046,$H1483))&lt;=0.00005,$F1483=INDEX('AH History'!$E$1:$E$18046,$H1483),$G1483=INDEX('AH History'!$F$1:$F$18046,$H1483)),1,-1),-1))</ns0:f>
        <ns0:v/>
      </ns0:c>
    </ns0:row>
    <ns0:row r="1484">
      <ns0:c r="A1484" s="215">
        <ns0:f>IF(OR(AH!$P$3=0,1479+1&gt;AH!$P$11,AND(AH!$E$4&lt;&gt;"Stored",AH!$P$10&lt;&gt;1)),"",IFERROR(IF(AND(AH!$P$21=1,1479+1=AH!$P$11),TODAY(),IF(AH!$P$10=1,INDEX('Live History'!$A$5:$A$3004,AH!$P$13+1479),INDEX('AH History'!$A$1:$A$18046,AH!$P$7+1479))),""))</ns0:f>
        <ns0:v/>
      </ns0:c>
      <ns0:c r="B1484" s="219">
        <ns0:f>IFERROR(IF(AND(AH!$P$9&lt;&gt;1,$C1484&gt;0,$D1484&gt;0,$E1484&gt;0,$F1484&gt;0,$G1484&gt;0,$F1484&lt;=$A1484,$G1484&lt;=$A1484,$A1484-$F1484&lt;=10,$A1484-$G1484&lt;=5),$D1484*$E1484/$C1484-1,NA()),NA())</ns0:f>
        <ns0:v/>
      </ns0:c>
      <ns0:c r="C1484">
        <ns0:f>IFERROR(IF(ISNUMBER($A1484),IF(AND(AH!$P$10=1,AH!$P$12=1,$A1484=TODAY()),AH!$P$19,IF(AH!$P$10=1,INDEX('Live History'!$B$5:$B$3004,AH!$P$13+1479),INDEX('AH History'!$B$1:$B$18046,AH!$P$7+1479))),NA()),NA())</ns0:f>
        <ns0:v/>
      </ns0:c>
      <ns0:c r="D1484">
        <ns0:f>IFERROR(IF(ISNUMBER($A1484),IF(AND(AH!$P$10=1,AH!$P$12=1,$A1484=TODAY()),AH!$P$18,IF(AH!$P$10=1,INDEX('Live History'!$E$5:$E$3004,MATCH($A1484,'Live History'!$D$5:$D$3004,1)),INDEX('AH History'!$C$1:$C$18046,AH!$P$7+1479))),NA()),NA())</ns0:f>
        <ns0:v/>
      </ns0:c>
      <ns0:c r="E1484">
        <ns0:f>IFERROR(IF(ISNUMBER($A1484),IF(AND(AH!$P$10=1,AH!$P$12=1,$A1484=TODAY()),AH!$P$20,IF(AH!$P$10=1,INDEX('Live History'!$H$5:$H$3004,MATCH($A1484,'Live History'!$G$5:$G$3004,1)),INDEX('AH History'!$D$1:$D$18046,AH!$P$7+1479))),NA()),NA())</ns0:f>
        <ns0:v/>
      </ns0:c>
      <ns0:c r="F1484">
        <ns0:f>IFERROR(IF(ISNUMBER($A1484),IF(AND(AH!$P$10=1,AH!$P$12=1,$A1484=TODAY()),IF(AND(AH!$P$10=1,AH!$P$12=1,$A1484=TODAY()),TODAY(),NA()),IF(AH!$P$10=1,INDEX('Live History'!$D$5:$D$3004,MATCH($A1484,'Live History'!$D$5:$D$3004,1)),INDEX('AH History'!$E$1:$E$18046,AH!$P$7+1479))),NA()),NA())</ns0:f>
        <ns0:v/>
      </ns0:c>
      <ns0:c r="G1484">
        <ns0:f>IFERROR(IF(ISNUMBER($A1484),IF(AND(AH!$P$10=1,AH!$P$12=1,$A1484=TODAY()),IF(AND(AH!$P$10=1,AH!$P$12=1,$A1484=TODAY()),TODAY(),NA()),IF(AH!$P$10=1,INDEX('Live History'!$G$5:$G$3004,MATCH($A1484,'Live History'!$G$5:$G$3004,1)),INDEX('AH History'!$F$1:$F$18046,AH!$P$7+1479))),NA()),NA())</ns0:f>
        <ns0:v/>
      </ns0:c>
      <ns0:c r="H1484">
        <ns0:f>IFERROR(IF(AND(AH!$E$4="Bloomberg",AH!$P$10=1,ISNUMBER($A1484),$A1484&lt;=AH!$P$17),AH!$P$7-1+MATCH($A1484,INDEX('AH History'!$A$1:$A$18046,AH!$P$7):INDEX('AH History'!$A$1:$A$18046,AH!$P$7+AH!$P$8-1),0),0),0)</ns0:f>
        <ns0:v/>
      </ns0:c>
      <ns0:c r="I1484">
        <ns0:f>IF($H1484=0,0,IFERROR(IF(AND(ABS($C1484-INDEX('AH History'!$B$1:$B$18046,$H1484))&lt;=MAX(0.005,ABS(INDEX('AH History'!$B$1:$B$18046,$H1484))*0.00005),ABS($D1484-INDEX('AH History'!$C$1:$C$18046,$H1484))&lt;=MAX(0.005,ABS(INDEX('AH History'!$C$1:$C$18046,$H1484))*0.00005),ABS($E1484-INDEX('AH History'!$D$1:$D$18046,$H1484))&lt;=0.00005,$F1484=INDEX('AH History'!$E$1:$E$18046,$H1484),$G1484=INDEX('AH History'!$F$1:$F$18046,$H1484)),1,-1),-1))</ns0:f>
        <ns0:v/>
      </ns0:c>
    </ns0:row>
    <ns0:row r="1485">
      <ns0:c r="A1485" s="215">
        <ns0:f>IF(OR(AH!$P$3=0,1480+1&gt;AH!$P$11,AND(AH!$E$4&lt;&gt;"Stored",AH!$P$10&lt;&gt;1)),"",IFERROR(IF(AND(AH!$P$21=1,1480+1=AH!$P$11),TODAY(),IF(AH!$P$10=1,INDEX('Live History'!$A$5:$A$3004,AH!$P$13+1480),INDEX('AH History'!$A$1:$A$18046,AH!$P$7+1480))),""))</ns0:f>
        <ns0:v/>
      </ns0:c>
      <ns0:c r="B1485" s="219">
        <ns0:f>IFERROR(IF(AND(AH!$P$9&lt;&gt;1,$C1485&gt;0,$D1485&gt;0,$E1485&gt;0,$F1485&gt;0,$G1485&gt;0,$F1485&lt;=$A1485,$G1485&lt;=$A1485,$A1485-$F1485&lt;=10,$A1485-$G1485&lt;=5),$D1485*$E1485/$C1485-1,NA()),NA())</ns0:f>
        <ns0:v/>
      </ns0:c>
      <ns0:c r="C1485">
        <ns0:f>IFERROR(IF(ISNUMBER($A1485),IF(AND(AH!$P$10=1,AH!$P$12=1,$A1485=TODAY()),AH!$P$19,IF(AH!$P$10=1,INDEX('Live History'!$B$5:$B$3004,AH!$P$13+1480),INDEX('AH History'!$B$1:$B$18046,AH!$P$7+1480))),NA()),NA())</ns0:f>
        <ns0:v/>
      </ns0:c>
      <ns0:c r="D1485">
        <ns0:f>IFERROR(IF(ISNUMBER($A1485),IF(AND(AH!$P$10=1,AH!$P$12=1,$A1485=TODAY()),AH!$P$18,IF(AH!$P$10=1,INDEX('Live History'!$E$5:$E$3004,MATCH($A1485,'Live History'!$D$5:$D$3004,1)),INDEX('AH History'!$C$1:$C$18046,AH!$P$7+1480))),NA()),NA())</ns0:f>
        <ns0:v/>
      </ns0:c>
      <ns0:c r="E1485">
        <ns0:f>IFERROR(IF(ISNUMBER($A1485),IF(AND(AH!$P$10=1,AH!$P$12=1,$A1485=TODAY()),AH!$P$20,IF(AH!$P$10=1,INDEX('Live History'!$H$5:$H$3004,MATCH($A1485,'Live History'!$G$5:$G$3004,1)),INDEX('AH History'!$D$1:$D$18046,AH!$P$7+1480))),NA()),NA())</ns0:f>
        <ns0:v/>
      </ns0:c>
      <ns0:c r="F1485">
        <ns0:f>IFERROR(IF(ISNUMBER($A1485),IF(AND(AH!$P$10=1,AH!$P$12=1,$A1485=TODAY()),IF(AND(AH!$P$10=1,AH!$P$12=1,$A1485=TODAY()),TODAY(),NA()),IF(AH!$P$10=1,INDEX('Live History'!$D$5:$D$3004,MATCH($A1485,'Live History'!$D$5:$D$3004,1)),INDEX('AH History'!$E$1:$E$18046,AH!$P$7+1480))),NA()),NA())</ns0:f>
        <ns0:v/>
      </ns0:c>
      <ns0:c r="G1485">
        <ns0:f>IFERROR(IF(ISNUMBER($A1485),IF(AND(AH!$P$10=1,AH!$P$12=1,$A1485=TODAY()),IF(AND(AH!$P$10=1,AH!$P$12=1,$A1485=TODAY()),TODAY(),NA()),IF(AH!$P$10=1,INDEX('Live History'!$G$5:$G$3004,MATCH($A1485,'Live History'!$G$5:$G$3004,1)),INDEX('AH History'!$F$1:$F$18046,AH!$P$7+1480))),NA()),NA())</ns0:f>
        <ns0:v/>
      </ns0:c>
      <ns0:c r="H1485">
        <ns0:f>IFERROR(IF(AND(AH!$E$4="Bloomberg",AH!$P$10=1,ISNUMBER($A1485),$A1485&lt;=AH!$P$17),AH!$P$7-1+MATCH($A1485,INDEX('AH History'!$A$1:$A$18046,AH!$P$7):INDEX('AH History'!$A$1:$A$18046,AH!$P$7+AH!$P$8-1),0),0),0)</ns0:f>
        <ns0:v/>
      </ns0:c>
      <ns0:c r="I1485">
        <ns0:f>IF($H1485=0,0,IFERROR(IF(AND(ABS($C1485-INDEX('AH History'!$B$1:$B$18046,$H1485))&lt;=MAX(0.005,ABS(INDEX('AH History'!$B$1:$B$18046,$H1485))*0.00005),ABS($D1485-INDEX('AH History'!$C$1:$C$18046,$H1485))&lt;=MAX(0.005,ABS(INDEX('AH History'!$C$1:$C$18046,$H1485))*0.00005),ABS($E1485-INDEX('AH History'!$D$1:$D$18046,$H1485))&lt;=0.00005,$F1485=INDEX('AH History'!$E$1:$E$18046,$H1485),$G1485=INDEX('AH History'!$F$1:$F$18046,$H1485)),1,-1),-1))</ns0:f>
        <ns0:v/>
      </ns0:c>
    </ns0:row>
    <ns0:row r="1486">
      <ns0:c r="A1486" s="215">
        <ns0:f>IF(OR(AH!$P$3=0,1481+1&gt;AH!$P$11,AND(AH!$E$4&lt;&gt;"Stored",AH!$P$10&lt;&gt;1)),"",IFERROR(IF(AND(AH!$P$21=1,1481+1=AH!$P$11),TODAY(),IF(AH!$P$10=1,INDEX('Live History'!$A$5:$A$3004,AH!$P$13+1481),INDEX('AH History'!$A$1:$A$18046,AH!$P$7+1481))),""))</ns0:f>
        <ns0:v/>
      </ns0:c>
      <ns0:c r="B1486" s="219">
        <ns0:f>IFERROR(IF(AND(AH!$P$9&lt;&gt;1,$C1486&gt;0,$D1486&gt;0,$E1486&gt;0,$F1486&gt;0,$G1486&gt;0,$F1486&lt;=$A1486,$G1486&lt;=$A1486,$A1486-$F1486&lt;=10,$A1486-$G1486&lt;=5),$D1486*$E1486/$C1486-1,NA()),NA())</ns0:f>
        <ns0:v/>
      </ns0:c>
      <ns0:c r="C1486">
        <ns0:f>IFERROR(IF(ISNUMBER($A1486),IF(AND(AH!$P$10=1,AH!$P$12=1,$A1486=TODAY()),AH!$P$19,IF(AH!$P$10=1,INDEX('Live History'!$B$5:$B$3004,AH!$P$13+1481),INDEX('AH History'!$B$1:$B$18046,AH!$P$7+1481))),NA()),NA())</ns0:f>
        <ns0:v/>
      </ns0:c>
      <ns0:c r="D1486">
        <ns0:f>IFERROR(IF(ISNUMBER($A1486),IF(AND(AH!$P$10=1,AH!$P$12=1,$A1486=TODAY()),AH!$P$18,IF(AH!$P$10=1,INDEX('Live History'!$E$5:$E$3004,MATCH($A1486,'Live History'!$D$5:$D$3004,1)),INDEX('AH History'!$C$1:$C$18046,AH!$P$7+1481))),NA()),NA())</ns0:f>
        <ns0:v/>
      </ns0:c>
      <ns0:c r="E1486">
        <ns0:f>IFERROR(IF(ISNUMBER($A1486),IF(AND(AH!$P$10=1,AH!$P$12=1,$A1486=TODAY()),AH!$P$20,IF(AH!$P$10=1,INDEX('Live History'!$H$5:$H$3004,MATCH($A1486,'Live History'!$G$5:$G$3004,1)),INDEX('AH History'!$D$1:$D$18046,AH!$P$7+1481))),NA()),NA())</ns0:f>
        <ns0:v/>
      </ns0:c>
      <ns0:c r="F1486">
        <ns0:f>IFERROR(IF(ISNUMBER($A1486),IF(AND(AH!$P$10=1,AH!$P$12=1,$A1486=TODAY()),IF(AND(AH!$P$10=1,AH!$P$12=1,$A1486=TODAY()),TODAY(),NA()),IF(AH!$P$10=1,INDEX('Live History'!$D$5:$D$3004,MATCH($A1486,'Live History'!$D$5:$D$3004,1)),INDEX('AH History'!$E$1:$E$18046,AH!$P$7+1481))),NA()),NA())</ns0:f>
        <ns0:v/>
      </ns0:c>
      <ns0:c r="G1486">
        <ns0:f>IFERROR(IF(ISNUMBER($A1486),IF(AND(AH!$P$10=1,AH!$P$12=1,$A1486=TODAY()),IF(AND(AH!$P$10=1,AH!$P$12=1,$A1486=TODAY()),TODAY(),NA()),IF(AH!$P$10=1,INDEX('Live History'!$G$5:$G$3004,MATCH($A1486,'Live History'!$G$5:$G$3004,1)),INDEX('AH History'!$F$1:$F$18046,AH!$P$7+1481))),NA()),NA())</ns0:f>
        <ns0:v/>
      </ns0:c>
      <ns0:c r="H1486">
        <ns0:f>IFERROR(IF(AND(AH!$E$4="Bloomberg",AH!$P$10=1,ISNUMBER($A1486),$A1486&lt;=AH!$P$17),AH!$P$7-1+MATCH($A1486,INDEX('AH History'!$A$1:$A$18046,AH!$P$7):INDEX('AH History'!$A$1:$A$18046,AH!$P$7+AH!$P$8-1),0),0),0)</ns0:f>
        <ns0:v/>
      </ns0:c>
      <ns0:c r="I1486">
        <ns0:f>IF($H1486=0,0,IFERROR(IF(AND(ABS($C1486-INDEX('AH History'!$B$1:$B$18046,$H1486))&lt;=MAX(0.005,ABS(INDEX('AH History'!$B$1:$B$18046,$H1486))*0.00005),ABS($D1486-INDEX('AH History'!$C$1:$C$18046,$H1486))&lt;=MAX(0.005,ABS(INDEX('AH History'!$C$1:$C$18046,$H1486))*0.00005),ABS($E1486-INDEX('AH History'!$D$1:$D$18046,$H1486))&lt;=0.00005,$F1486=INDEX('AH History'!$E$1:$E$18046,$H1486),$G1486=INDEX('AH History'!$F$1:$F$18046,$H1486)),1,-1),-1))</ns0:f>
        <ns0:v/>
      </ns0:c>
    </ns0:row>
    <ns0:row r="1487">
      <ns0:c r="A1487" s="215">
        <ns0:f>IF(OR(AH!$P$3=0,1482+1&gt;AH!$P$11,AND(AH!$E$4&lt;&gt;"Stored",AH!$P$10&lt;&gt;1)),"",IFERROR(IF(AND(AH!$P$21=1,1482+1=AH!$P$11),TODAY(),IF(AH!$P$10=1,INDEX('Live History'!$A$5:$A$3004,AH!$P$13+1482),INDEX('AH History'!$A$1:$A$18046,AH!$P$7+1482))),""))</ns0:f>
        <ns0:v/>
      </ns0:c>
      <ns0:c r="B1487" s="219">
        <ns0:f>IFERROR(IF(AND(AH!$P$9&lt;&gt;1,$C1487&gt;0,$D1487&gt;0,$E1487&gt;0,$F1487&gt;0,$G1487&gt;0,$F1487&lt;=$A1487,$G1487&lt;=$A1487,$A1487-$F1487&lt;=10,$A1487-$G1487&lt;=5),$D1487*$E1487/$C1487-1,NA()),NA())</ns0:f>
        <ns0:v/>
      </ns0:c>
      <ns0:c r="C1487">
        <ns0:f>IFERROR(IF(ISNUMBER($A1487),IF(AND(AH!$P$10=1,AH!$P$12=1,$A1487=TODAY()),AH!$P$19,IF(AH!$P$10=1,INDEX('Live History'!$B$5:$B$3004,AH!$P$13+1482),INDEX('AH History'!$B$1:$B$18046,AH!$P$7+1482))),NA()),NA())</ns0:f>
        <ns0:v/>
      </ns0:c>
      <ns0:c r="D1487">
        <ns0:f>IFERROR(IF(ISNUMBER($A1487),IF(AND(AH!$P$10=1,AH!$P$12=1,$A1487=TODAY()),AH!$P$18,IF(AH!$P$10=1,INDEX('Live History'!$E$5:$E$3004,MATCH($A1487,'Live History'!$D$5:$D$3004,1)),INDEX('AH History'!$C$1:$C$18046,AH!$P$7+1482))),NA()),NA())</ns0:f>
        <ns0:v/>
      </ns0:c>
      <ns0:c r="E1487">
        <ns0:f>IFERROR(IF(ISNUMBER($A1487),IF(AND(AH!$P$10=1,AH!$P$12=1,$A1487=TODAY()),AH!$P$20,IF(AH!$P$10=1,INDEX('Live History'!$H$5:$H$3004,MATCH($A1487,'Live History'!$G$5:$G$3004,1)),INDEX('AH History'!$D$1:$D$18046,AH!$P$7+1482))),NA()),NA())</ns0:f>
        <ns0:v/>
      </ns0:c>
      <ns0:c r="F1487">
        <ns0:f>IFERROR(IF(ISNUMBER($A1487),IF(AND(AH!$P$10=1,AH!$P$12=1,$A1487=TODAY()),IF(AND(AH!$P$10=1,AH!$P$12=1,$A1487=TODAY()),TODAY(),NA()),IF(AH!$P$10=1,INDEX('Live History'!$D$5:$D$3004,MATCH($A1487,'Live History'!$D$5:$D$3004,1)),INDEX('AH History'!$E$1:$E$18046,AH!$P$7+1482))),NA()),NA())</ns0:f>
        <ns0:v/>
      </ns0:c>
      <ns0:c r="G1487">
        <ns0:f>IFERROR(IF(ISNUMBER($A1487),IF(AND(AH!$P$10=1,AH!$P$12=1,$A1487=TODAY()),IF(AND(AH!$P$10=1,AH!$P$12=1,$A1487=TODAY()),TODAY(),NA()),IF(AH!$P$10=1,INDEX('Live History'!$G$5:$G$3004,MATCH($A1487,'Live History'!$G$5:$G$3004,1)),INDEX('AH History'!$F$1:$F$18046,AH!$P$7+1482))),NA()),NA())</ns0:f>
        <ns0:v/>
      </ns0:c>
      <ns0:c r="H1487">
        <ns0:f>IFERROR(IF(AND(AH!$E$4="Bloomberg",AH!$P$10=1,ISNUMBER($A1487),$A1487&lt;=AH!$P$17),AH!$P$7-1+MATCH($A1487,INDEX('AH History'!$A$1:$A$18046,AH!$P$7):INDEX('AH History'!$A$1:$A$18046,AH!$P$7+AH!$P$8-1),0),0),0)</ns0:f>
        <ns0:v/>
      </ns0:c>
      <ns0:c r="I1487">
        <ns0:f>IF($H1487=0,0,IFERROR(IF(AND(ABS($C1487-INDEX('AH History'!$B$1:$B$18046,$H1487))&lt;=MAX(0.005,ABS(INDEX('AH History'!$B$1:$B$18046,$H1487))*0.00005),ABS($D1487-INDEX('AH History'!$C$1:$C$18046,$H1487))&lt;=MAX(0.005,ABS(INDEX('AH History'!$C$1:$C$18046,$H1487))*0.00005),ABS($E1487-INDEX('AH History'!$D$1:$D$18046,$H1487))&lt;=0.00005,$F1487=INDEX('AH History'!$E$1:$E$18046,$H1487),$G1487=INDEX('AH History'!$F$1:$F$18046,$H1487)),1,-1),-1))</ns0:f>
        <ns0:v/>
      </ns0:c>
    </ns0:row>
    <ns0:row r="1488">
      <ns0:c r="A1488" s="215">
        <ns0:f>IF(OR(AH!$P$3=0,1483+1&gt;AH!$P$11,AND(AH!$E$4&lt;&gt;"Stored",AH!$P$10&lt;&gt;1)),"",IFERROR(IF(AND(AH!$P$21=1,1483+1=AH!$P$11),TODAY(),IF(AH!$P$10=1,INDEX('Live History'!$A$5:$A$3004,AH!$P$13+1483),INDEX('AH History'!$A$1:$A$18046,AH!$P$7+1483))),""))</ns0:f>
        <ns0:v/>
      </ns0:c>
      <ns0:c r="B1488" s="219">
        <ns0:f>IFERROR(IF(AND(AH!$P$9&lt;&gt;1,$C1488&gt;0,$D1488&gt;0,$E1488&gt;0,$F1488&gt;0,$G1488&gt;0,$F1488&lt;=$A1488,$G1488&lt;=$A1488,$A1488-$F1488&lt;=10,$A1488-$G1488&lt;=5),$D1488*$E1488/$C1488-1,NA()),NA())</ns0:f>
        <ns0:v/>
      </ns0:c>
      <ns0:c r="C1488">
        <ns0:f>IFERROR(IF(ISNUMBER($A1488),IF(AND(AH!$P$10=1,AH!$P$12=1,$A1488=TODAY()),AH!$P$19,IF(AH!$P$10=1,INDEX('Live History'!$B$5:$B$3004,AH!$P$13+1483),INDEX('AH History'!$B$1:$B$18046,AH!$P$7+1483))),NA()),NA())</ns0:f>
        <ns0:v/>
      </ns0:c>
      <ns0:c r="D1488">
        <ns0:f>IFERROR(IF(ISNUMBER($A1488),IF(AND(AH!$P$10=1,AH!$P$12=1,$A1488=TODAY()),AH!$P$18,IF(AH!$P$10=1,INDEX('Live History'!$E$5:$E$3004,MATCH($A1488,'Live History'!$D$5:$D$3004,1)),INDEX('AH History'!$C$1:$C$18046,AH!$P$7+1483))),NA()),NA())</ns0:f>
        <ns0:v/>
      </ns0:c>
      <ns0:c r="E1488">
        <ns0:f>IFERROR(IF(ISNUMBER($A1488),IF(AND(AH!$P$10=1,AH!$P$12=1,$A1488=TODAY()),AH!$P$20,IF(AH!$P$10=1,INDEX('Live History'!$H$5:$H$3004,MATCH($A1488,'Live History'!$G$5:$G$3004,1)),INDEX('AH History'!$D$1:$D$18046,AH!$P$7+1483))),NA()),NA())</ns0:f>
        <ns0:v/>
      </ns0:c>
      <ns0:c r="F1488">
        <ns0:f>IFERROR(IF(ISNUMBER($A1488),IF(AND(AH!$P$10=1,AH!$P$12=1,$A1488=TODAY()),IF(AND(AH!$P$10=1,AH!$P$12=1,$A1488=TODAY()),TODAY(),NA()),IF(AH!$P$10=1,INDEX('Live History'!$D$5:$D$3004,MATCH($A1488,'Live History'!$D$5:$D$3004,1)),INDEX('AH History'!$E$1:$E$18046,AH!$P$7+1483))),NA()),NA())</ns0:f>
        <ns0:v/>
      </ns0:c>
      <ns0:c r="G1488">
        <ns0:f>IFERROR(IF(ISNUMBER($A1488),IF(AND(AH!$P$10=1,AH!$P$12=1,$A1488=TODAY()),IF(AND(AH!$P$10=1,AH!$P$12=1,$A1488=TODAY()),TODAY(),NA()),IF(AH!$P$10=1,INDEX('Live History'!$G$5:$G$3004,MATCH($A1488,'Live History'!$G$5:$G$3004,1)),INDEX('AH History'!$F$1:$F$18046,AH!$P$7+1483))),NA()),NA())</ns0:f>
        <ns0:v/>
      </ns0:c>
      <ns0:c r="H1488">
        <ns0:f>IFERROR(IF(AND(AH!$E$4="Bloomberg",AH!$P$10=1,ISNUMBER($A1488),$A1488&lt;=AH!$P$17),AH!$P$7-1+MATCH($A1488,INDEX('AH History'!$A$1:$A$18046,AH!$P$7):INDEX('AH History'!$A$1:$A$18046,AH!$P$7+AH!$P$8-1),0),0),0)</ns0:f>
        <ns0:v/>
      </ns0:c>
      <ns0:c r="I1488">
        <ns0:f>IF($H1488=0,0,IFERROR(IF(AND(ABS($C1488-INDEX('AH History'!$B$1:$B$18046,$H1488))&lt;=MAX(0.005,ABS(INDEX('AH History'!$B$1:$B$18046,$H1488))*0.00005),ABS($D1488-INDEX('AH History'!$C$1:$C$18046,$H1488))&lt;=MAX(0.005,ABS(INDEX('AH History'!$C$1:$C$18046,$H1488))*0.00005),ABS($E1488-INDEX('AH History'!$D$1:$D$18046,$H1488))&lt;=0.00005,$F1488=INDEX('AH History'!$E$1:$E$18046,$H1488),$G1488=INDEX('AH History'!$F$1:$F$18046,$H1488)),1,-1),-1))</ns0:f>
        <ns0:v/>
      </ns0:c>
    </ns0:row>
    <ns0:row r="1489">
      <ns0:c r="A1489" s="215">
        <ns0:f>IF(OR(AH!$P$3=0,1484+1&gt;AH!$P$11,AND(AH!$E$4&lt;&gt;"Stored",AH!$P$10&lt;&gt;1)),"",IFERROR(IF(AND(AH!$P$21=1,1484+1=AH!$P$11),TODAY(),IF(AH!$P$10=1,INDEX('Live History'!$A$5:$A$3004,AH!$P$13+1484),INDEX('AH History'!$A$1:$A$18046,AH!$P$7+1484))),""))</ns0:f>
        <ns0:v/>
      </ns0:c>
      <ns0:c r="B1489" s="219">
        <ns0:f>IFERROR(IF(AND(AH!$P$9&lt;&gt;1,$C1489&gt;0,$D1489&gt;0,$E1489&gt;0,$F1489&gt;0,$G1489&gt;0,$F1489&lt;=$A1489,$G1489&lt;=$A1489,$A1489-$F1489&lt;=10,$A1489-$G1489&lt;=5),$D1489*$E1489/$C1489-1,NA()),NA())</ns0:f>
        <ns0:v/>
      </ns0:c>
      <ns0:c r="C1489">
        <ns0:f>IFERROR(IF(ISNUMBER($A1489),IF(AND(AH!$P$10=1,AH!$P$12=1,$A1489=TODAY()),AH!$P$19,IF(AH!$P$10=1,INDEX('Live History'!$B$5:$B$3004,AH!$P$13+1484),INDEX('AH History'!$B$1:$B$18046,AH!$P$7+1484))),NA()),NA())</ns0:f>
        <ns0:v/>
      </ns0:c>
      <ns0:c r="D1489">
        <ns0:f>IFERROR(IF(ISNUMBER($A1489),IF(AND(AH!$P$10=1,AH!$P$12=1,$A1489=TODAY()),AH!$P$18,IF(AH!$P$10=1,INDEX('Live History'!$E$5:$E$3004,MATCH($A1489,'Live History'!$D$5:$D$3004,1)),INDEX('AH History'!$C$1:$C$18046,AH!$P$7+1484))),NA()),NA())</ns0:f>
        <ns0:v/>
      </ns0:c>
      <ns0:c r="E1489">
        <ns0:f>IFERROR(IF(ISNUMBER($A1489),IF(AND(AH!$P$10=1,AH!$P$12=1,$A1489=TODAY()),AH!$P$20,IF(AH!$P$10=1,INDEX('Live History'!$H$5:$H$3004,MATCH($A1489,'Live History'!$G$5:$G$3004,1)),INDEX('AH History'!$D$1:$D$18046,AH!$P$7+1484))),NA()),NA())</ns0:f>
        <ns0:v/>
      </ns0:c>
      <ns0:c r="F1489">
        <ns0:f>IFERROR(IF(ISNUMBER($A1489),IF(AND(AH!$P$10=1,AH!$P$12=1,$A1489=TODAY()),IF(AND(AH!$P$10=1,AH!$P$12=1,$A1489=TODAY()),TODAY(),NA()),IF(AH!$P$10=1,INDEX('Live History'!$D$5:$D$3004,MATCH($A1489,'Live History'!$D$5:$D$3004,1)),INDEX('AH History'!$E$1:$E$18046,AH!$P$7+1484))),NA()),NA())</ns0:f>
        <ns0:v/>
      </ns0:c>
      <ns0:c r="G1489">
        <ns0:f>IFERROR(IF(ISNUMBER($A1489),IF(AND(AH!$P$10=1,AH!$P$12=1,$A1489=TODAY()),IF(AND(AH!$P$10=1,AH!$P$12=1,$A1489=TODAY()),TODAY(),NA()),IF(AH!$P$10=1,INDEX('Live History'!$G$5:$G$3004,MATCH($A1489,'Live History'!$G$5:$G$3004,1)),INDEX('AH History'!$F$1:$F$18046,AH!$P$7+1484))),NA()),NA())</ns0:f>
        <ns0:v/>
      </ns0:c>
      <ns0:c r="H1489">
        <ns0:f>IFERROR(IF(AND(AH!$E$4="Bloomberg",AH!$P$10=1,ISNUMBER($A1489),$A1489&lt;=AH!$P$17),AH!$P$7-1+MATCH($A1489,INDEX('AH History'!$A$1:$A$18046,AH!$P$7):INDEX('AH History'!$A$1:$A$18046,AH!$P$7+AH!$P$8-1),0),0),0)</ns0:f>
        <ns0:v/>
      </ns0:c>
      <ns0:c r="I1489">
        <ns0:f>IF($H1489=0,0,IFERROR(IF(AND(ABS($C1489-INDEX('AH History'!$B$1:$B$18046,$H1489))&lt;=MAX(0.005,ABS(INDEX('AH History'!$B$1:$B$18046,$H1489))*0.00005),ABS($D1489-INDEX('AH History'!$C$1:$C$18046,$H1489))&lt;=MAX(0.005,ABS(INDEX('AH History'!$C$1:$C$18046,$H1489))*0.00005),ABS($E1489-INDEX('AH History'!$D$1:$D$18046,$H1489))&lt;=0.00005,$F1489=INDEX('AH History'!$E$1:$E$18046,$H1489),$G1489=INDEX('AH History'!$F$1:$F$18046,$H1489)),1,-1),-1))</ns0:f>
        <ns0:v/>
      </ns0:c>
    </ns0:row>
    <ns0:row r="1490">
      <ns0:c r="A1490" s="215">
        <ns0:f>IF(OR(AH!$P$3=0,1485+1&gt;AH!$P$11,AND(AH!$E$4&lt;&gt;"Stored",AH!$P$10&lt;&gt;1)),"",IFERROR(IF(AND(AH!$P$21=1,1485+1=AH!$P$11),TODAY(),IF(AH!$P$10=1,INDEX('Live History'!$A$5:$A$3004,AH!$P$13+1485),INDEX('AH History'!$A$1:$A$18046,AH!$P$7+1485))),""))</ns0:f>
        <ns0:v/>
      </ns0:c>
      <ns0:c r="B1490" s="219">
        <ns0:f>IFERROR(IF(AND(AH!$P$9&lt;&gt;1,$C1490&gt;0,$D1490&gt;0,$E1490&gt;0,$F1490&gt;0,$G1490&gt;0,$F1490&lt;=$A1490,$G1490&lt;=$A1490,$A1490-$F1490&lt;=10,$A1490-$G1490&lt;=5),$D1490*$E1490/$C1490-1,NA()),NA())</ns0:f>
        <ns0:v/>
      </ns0:c>
      <ns0:c r="C1490">
        <ns0:f>IFERROR(IF(ISNUMBER($A1490),IF(AND(AH!$P$10=1,AH!$P$12=1,$A1490=TODAY()),AH!$P$19,IF(AH!$P$10=1,INDEX('Live History'!$B$5:$B$3004,AH!$P$13+1485),INDEX('AH History'!$B$1:$B$18046,AH!$P$7+1485))),NA()),NA())</ns0:f>
        <ns0:v/>
      </ns0:c>
      <ns0:c r="D1490">
        <ns0:f>IFERROR(IF(ISNUMBER($A1490),IF(AND(AH!$P$10=1,AH!$P$12=1,$A1490=TODAY()),AH!$P$18,IF(AH!$P$10=1,INDEX('Live History'!$E$5:$E$3004,MATCH($A1490,'Live History'!$D$5:$D$3004,1)),INDEX('AH History'!$C$1:$C$18046,AH!$P$7+1485))),NA()),NA())</ns0:f>
        <ns0:v/>
      </ns0:c>
      <ns0:c r="E1490">
        <ns0:f>IFERROR(IF(ISNUMBER($A1490),IF(AND(AH!$P$10=1,AH!$P$12=1,$A1490=TODAY()),AH!$P$20,IF(AH!$P$10=1,INDEX('Live History'!$H$5:$H$3004,MATCH($A1490,'Live History'!$G$5:$G$3004,1)),INDEX('AH History'!$D$1:$D$18046,AH!$P$7+1485))),NA()),NA())</ns0:f>
        <ns0:v/>
      </ns0:c>
      <ns0:c r="F1490">
        <ns0:f>IFERROR(IF(ISNUMBER($A1490),IF(AND(AH!$P$10=1,AH!$P$12=1,$A1490=TODAY()),IF(AND(AH!$P$10=1,AH!$P$12=1,$A1490=TODAY()),TODAY(),NA()),IF(AH!$P$10=1,INDEX('Live History'!$D$5:$D$3004,MATCH($A1490,'Live History'!$D$5:$D$3004,1)),INDEX('AH History'!$E$1:$E$18046,AH!$P$7+1485))),NA()),NA())</ns0:f>
        <ns0:v/>
      </ns0:c>
      <ns0:c r="G1490">
        <ns0:f>IFERROR(IF(ISNUMBER($A1490),IF(AND(AH!$P$10=1,AH!$P$12=1,$A1490=TODAY()),IF(AND(AH!$P$10=1,AH!$P$12=1,$A1490=TODAY()),TODAY(),NA()),IF(AH!$P$10=1,INDEX('Live History'!$G$5:$G$3004,MATCH($A1490,'Live History'!$G$5:$G$3004,1)),INDEX('AH History'!$F$1:$F$18046,AH!$P$7+1485))),NA()),NA())</ns0:f>
        <ns0:v/>
      </ns0:c>
      <ns0:c r="H1490">
        <ns0:f>IFERROR(IF(AND(AH!$E$4="Bloomberg",AH!$P$10=1,ISNUMBER($A1490),$A1490&lt;=AH!$P$17),AH!$P$7-1+MATCH($A1490,INDEX('AH History'!$A$1:$A$18046,AH!$P$7):INDEX('AH History'!$A$1:$A$18046,AH!$P$7+AH!$P$8-1),0),0),0)</ns0:f>
        <ns0:v/>
      </ns0:c>
      <ns0:c r="I1490">
        <ns0:f>IF($H1490=0,0,IFERROR(IF(AND(ABS($C1490-INDEX('AH History'!$B$1:$B$18046,$H1490))&lt;=MAX(0.005,ABS(INDEX('AH History'!$B$1:$B$18046,$H1490))*0.00005),ABS($D1490-INDEX('AH History'!$C$1:$C$18046,$H1490))&lt;=MAX(0.005,ABS(INDEX('AH History'!$C$1:$C$18046,$H1490))*0.00005),ABS($E1490-INDEX('AH History'!$D$1:$D$18046,$H1490))&lt;=0.00005,$F1490=INDEX('AH History'!$E$1:$E$18046,$H1490),$G1490=INDEX('AH History'!$F$1:$F$18046,$H1490)),1,-1),-1))</ns0:f>
        <ns0:v/>
      </ns0:c>
    </ns0:row>
    <ns0:row r="1491">
      <ns0:c r="A1491" s="215">
        <ns0:f>IF(OR(AH!$P$3=0,1486+1&gt;AH!$P$11,AND(AH!$E$4&lt;&gt;"Stored",AH!$P$10&lt;&gt;1)),"",IFERROR(IF(AND(AH!$P$21=1,1486+1=AH!$P$11),TODAY(),IF(AH!$P$10=1,INDEX('Live History'!$A$5:$A$3004,AH!$P$13+1486),INDEX('AH History'!$A$1:$A$18046,AH!$P$7+1486))),""))</ns0:f>
        <ns0:v/>
      </ns0:c>
      <ns0:c r="B1491" s="219">
        <ns0:f>IFERROR(IF(AND(AH!$P$9&lt;&gt;1,$C1491&gt;0,$D1491&gt;0,$E1491&gt;0,$F1491&gt;0,$G1491&gt;0,$F1491&lt;=$A1491,$G1491&lt;=$A1491,$A1491-$F1491&lt;=10,$A1491-$G1491&lt;=5),$D1491*$E1491/$C1491-1,NA()),NA())</ns0:f>
        <ns0:v/>
      </ns0:c>
      <ns0:c r="C1491">
        <ns0:f>IFERROR(IF(ISNUMBER($A1491),IF(AND(AH!$P$10=1,AH!$P$12=1,$A1491=TODAY()),AH!$P$19,IF(AH!$P$10=1,INDEX('Live History'!$B$5:$B$3004,AH!$P$13+1486),INDEX('AH History'!$B$1:$B$18046,AH!$P$7+1486))),NA()),NA())</ns0:f>
        <ns0:v/>
      </ns0:c>
      <ns0:c r="D1491">
        <ns0:f>IFERROR(IF(ISNUMBER($A1491),IF(AND(AH!$P$10=1,AH!$P$12=1,$A1491=TODAY()),AH!$P$18,IF(AH!$P$10=1,INDEX('Live History'!$E$5:$E$3004,MATCH($A1491,'Live History'!$D$5:$D$3004,1)),INDEX('AH History'!$C$1:$C$18046,AH!$P$7+1486))),NA()),NA())</ns0:f>
        <ns0:v/>
      </ns0:c>
      <ns0:c r="E1491">
        <ns0:f>IFERROR(IF(ISNUMBER($A1491),IF(AND(AH!$P$10=1,AH!$P$12=1,$A1491=TODAY()),AH!$P$20,IF(AH!$P$10=1,INDEX('Live History'!$H$5:$H$3004,MATCH($A1491,'Live History'!$G$5:$G$3004,1)),INDEX('AH History'!$D$1:$D$18046,AH!$P$7+1486))),NA()),NA())</ns0:f>
        <ns0:v/>
      </ns0:c>
      <ns0:c r="F1491">
        <ns0:f>IFERROR(IF(ISNUMBER($A1491),IF(AND(AH!$P$10=1,AH!$P$12=1,$A1491=TODAY()),IF(AND(AH!$P$10=1,AH!$P$12=1,$A1491=TODAY()),TODAY(),NA()),IF(AH!$P$10=1,INDEX('Live History'!$D$5:$D$3004,MATCH($A1491,'Live History'!$D$5:$D$3004,1)),INDEX('AH History'!$E$1:$E$18046,AH!$P$7+1486))),NA()),NA())</ns0:f>
        <ns0:v/>
      </ns0:c>
      <ns0:c r="G1491">
        <ns0:f>IFERROR(IF(ISNUMBER($A1491),IF(AND(AH!$P$10=1,AH!$P$12=1,$A1491=TODAY()),IF(AND(AH!$P$10=1,AH!$P$12=1,$A1491=TODAY()),TODAY(),NA()),IF(AH!$P$10=1,INDEX('Live History'!$G$5:$G$3004,MATCH($A1491,'Live History'!$G$5:$G$3004,1)),INDEX('AH History'!$F$1:$F$18046,AH!$P$7+1486))),NA()),NA())</ns0:f>
        <ns0:v/>
      </ns0:c>
      <ns0:c r="H1491">
        <ns0:f>IFERROR(IF(AND(AH!$E$4="Bloomberg",AH!$P$10=1,ISNUMBER($A1491),$A1491&lt;=AH!$P$17),AH!$P$7-1+MATCH($A1491,INDEX('AH History'!$A$1:$A$18046,AH!$P$7):INDEX('AH History'!$A$1:$A$18046,AH!$P$7+AH!$P$8-1),0),0),0)</ns0:f>
        <ns0:v/>
      </ns0:c>
      <ns0:c r="I1491">
        <ns0:f>IF($H1491=0,0,IFERROR(IF(AND(ABS($C1491-INDEX('AH History'!$B$1:$B$18046,$H1491))&lt;=MAX(0.005,ABS(INDEX('AH History'!$B$1:$B$18046,$H1491))*0.00005),ABS($D1491-INDEX('AH History'!$C$1:$C$18046,$H1491))&lt;=MAX(0.005,ABS(INDEX('AH History'!$C$1:$C$18046,$H1491))*0.00005),ABS($E1491-INDEX('AH History'!$D$1:$D$18046,$H1491))&lt;=0.00005,$F1491=INDEX('AH History'!$E$1:$E$18046,$H1491),$G1491=INDEX('AH History'!$F$1:$F$18046,$H1491)),1,-1),-1))</ns0:f>
        <ns0:v/>
      </ns0:c>
    </ns0:row>
    <ns0:row r="1492">
      <ns0:c r="A1492" s="215">
        <ns0:f>IF(OR(AH!$P$3=0,1487+1&gt;AH!$P$11,AND(AH!$E$4&lt;&gt;"Stored",AH!$P$10&lt;&gt;1)),"",IFERROR(IF(AND(AH!$P$21=1,1487+1=AH!$P$11),TODAY(),IF(AH!$P$10=1,INDEX('Live History'!$A$5:$A$3004,AH!$P$13+1487),INDEX('AH History'!$A$1:$A$18046,AH!$P$7+1487))),""))</ns0:f>
        <ns0:v/>
      </ns0:c>
      <ns0:c r="B1492" s="219">
        <ns0:f>IFERROR(IF(AND(AH!$P$9&lt;&gt;1,$C1492&gt;0,$D1492&gt;0,$E1492&gt;0,$F1492&gt;0,$G1492&gt;0,$F1492&lt;=$A1492,$G1492&lt;=$A1492,$A1492-$F1492&lt;=10,$A1492-$G1492&lt;=5),$D1492*$E1492/$C1492-1,NA()),NA())</ns0:f>
        <ns0:v/>
      </ns0:c>
      <ns0:c r="C1492">
        <ns0:f>IFERROR(IF(ISNUMBER($A1492),IF(AND(AH!$P$10=1,AH!$P$12=1,$A1492=TODAY()),AH!$P$19,IF(AH!$P$10=1,INDEX('Live History'!$B$5:$B$3004,AH!$P$13+1487),INDEX('AH History'!$B$1:$B$18046,AH!$P$7+1487))),NA()),NA())</ns0:f>
        <ns0:v/>
      </ns0:c>
      <ns0:c r="D1492">
        <ns0:f>IFERROR(IF(ISNUMBER($A1492),IF(AND(AH!$P$10=1,AH!$P$12=1,$A1492=TODAY()),AH!$P$18,IF(AH!$P$10=1,INDEX('Live History'!$E$5:$E$3004,MATCH($A1492,'Live History'!$D$5:$D$3004,1)),INDEX('AH History'!$C$1:$C$18046,AH!$P$7+1487))),NA()),NA())</ns0:f>
        <ns0:v/>
      </ns0:c>
      <ns0:c r="E1492">
        <ns0:f>IFERROR(IF(ISNUMBER($A1492),IF(AND(AH!$P$10=1,AH!$P$12=1,$A1492=TODAY()),AH!$P$20,IF(AH!$P$10=1,INDEX('Live History'!$H$5:$H$3004,MATCH($A1492,'Live History'!$G$5:$G$3004,1)),INDEX('AH History'!$D$1:$D$18046,AH!$P$7+1487))),NA()),NA())</ns0:f>
        <ns0:v/>
      </ns0:c>
      <ns0:c r="F1492">
        <ns0:f>IFERROR(IF(ISNUMBER($A1492),IF(AND(AH!$P$10=1,AH!$P$12=1,$A1492=TODAY()),IF(AND(AH!$P$10=1,AH!$P$12=1,$A1492=TODAY()),TODAY(),NA()),IF(AH!$P$10=1,INDEX('Live History'!$D$5:$D$3004,MATCH($A1492,'Live History'!$D$5:$D$3004,1)),INDEX('AH History'!$E$1:$E$18046,AH!$P$7+1487))),NA()),NA())</ns0:f>
        <ns0:v/>
      </ns0:c>
      <ns0:c r="G1492">
        <ns0:f>IFERROR(IF(ISNUMBER($A1492),IF(AND(AH!$P$10=1,AH!$P$12=1,$A1492=TODAY()),IF(AND(AH!$P$10=1,AH!$P$12=1,$A1492=TODAY()),TODAY(),NA()),IF(AH!$P$10=1,INDEX('Live History'!$G$5:$G$3004,MATCH($A1492,'Live History'!$G$5:$G$3004,1)),INDEX('AH History'!$F$1:$F$18046,AH!$P$7+1487))),NA()),NA())</ns0:f>
        <ns0:v/>
      </ns0:c>
      <ns0:c r="H1492">
        <ns0:f>IFERROR(IF(AND(AH!$E$4="Bloomberg",AH!$P$10=1,ISNUMBER($A1492),$A1492&lt;=AH!$P$17),AH!$P$7-1+MATCH($A1492,INDEX('AH History'!$A$1:$A$18046,AH!$P$7):INDEX('AH History'!$A$1:$A$18046,AH!$P$7+AH!$P$8-1),0),0),0)</ns0:f>
        <ns0:v/>
      </ns0:c>
      <ns0:c r="I1492">
        <ns0:f>IF($H1492=0,0,IFERROR(IF(AND(ABS($C1492-INDEX('AH History'!$B$1:$B$18046,$H1492))&lt;=MAX(0.005,ABS(INDEX('AH History'!$B$1:$B$18046,$H1492))*0.00005),ABS($D1492-INDEX('AH History'!$C$1:$C$18046,$H1492))&lt;=MAX(0.005,ABS(INDEX('AH History'!$C$1:$C$18046,$H1492))*0.00005),ABS($E1492-INDEX('AH History'!$D$1:$D$18046,$H1492))&lt;=0.00005,$F1492=INDEX('AH History'!$E$1:$E$18046,$H1492),$G1492=INDEX('AH History'!$F$1:$F$18046,$H1492)),1,-1),-1))</ns0:f>
        <ns0:v/>
      </ns0:c>
    </ns0:row>
    <ns0:row r="1493">
      <ns0:c r="A1493" s="215">
        <ns0:f>IF(OR(AH!$P$3=0,1488+1&gt;AH!$P$11,AND(AH!$E$4&lt;&gt;"Stored",AH!$P$10&lt;&gt;1)),"",IFERROR(IF(AND(AH!$P$21=1,1488+1=AH!$P$11),TODAY(),IF(AH!$P$10=1,INDEX('Live History'!$A$5:$A$3004,AH!$P$13+1488),INDEX('AH History'!$A$1:$A$18046,AH!$P$7+1488))),""))</ns0:f>
        <ns0:v/>
      </ns0:c>
      <ns0:c r="B1493" s="219">
        <ns0:f>IFERROR(IF(AND(AH!$P$9&lt;&gt;1,$C1493&gt;0,$D1493&gt;0,$E1493&gt;0,$F1493&gt;0,$G1493&gt;0,$F1493&lt;=$A1493,$G1493&lt;=$A1493,$A1493-$F1493&lt;=10,$A1493-$G1493&lt;=5),$D1493*$E1493/$C1493-1,NA()),NA())</ns0:f>
        <ns0:v/>
      </ns0:c>
      <ns0:c r="C1493">
        <ns0:f>IFERROR(IF(ISNUMBER($A1493),IF(AND(AH!$P$10=1,AH!$P$12=1,$A1493=TODAY()),AH!$P$19,IF(AH!$P$10=1,INDEX('Live History'!$B$5:$B$3004,AH!$P$13+1488),INDEX('AH History'!$B$1:$B$18046,AH!$P$7+1488))),NA()),NA())</ns0:f>
        <ns0:v/>
      </ns0:c>
      <ns0:c r="D1493">
        <ns0:f>IFERROR(IF(ISNUMBER($A1493),IF(AND(AH!$P$10=1,AH!$P$12=1,$A1493=TODAY()),AH!$P$18,IF(AH!$P$10=1,INDEX('Live History'!$E$5:$E$3004,MATCH($A1493,'Live History'!$D$5:$D$3004,1)),INDEX('AH History'!$C$1:$C$18046,AH!$P$7+1488))),NA()),NA())</ns0:f>
        <ns0:v/>
      </ns0:c>
      <ns0:c r="E1493">
        <ns0:f>IFERROR(IF(ISNUMBER($A1493),IF(AND(AH!$P$10=1,AH!$P$12=1,$A1493=TODAY()),AH!$P$20,IF(AH!$P$10=1,INDEX('Live History'!$H$5:$H$3004,MATCH($A1493,'Live History'!$G$5:$G$3004,1)),INDEX('AH History'!$D$1:$D$18046,AH!$P$7+1488))),NA()),NA())</ns0:f>
        <ns0:v/>
      </ns0:c>
      <ns0:c r="F1493">
        <ns0:f>IFERROR(IF(ISNUMBER($A1493),IF(AND(AH!$P$10=1,AH!$P$12=1,$A1493=TODAY()),IF(AND(AH!$P$10=1,AH!$P$12=1,$A1493=TODAY()),TODAY(),NA()),IF(AH!$P$10=1,INDEX('Live History'!$D$5:$D$3004,MATCH($A1493,'Live History'!$D$5:$D$3004,1)),INDEX('AH History'!$E$1:$E$18046,AH!$P$7+1488))),NA()),NA())</ns0:f>
        <ns0:v/>
      </ns0:c>
      <ns0:c r="G1493">
        <ns0:f>IFERROR(IF(ISNUMBER($A1493),IF(AND(AH!$P$10=1,AH!$P$12=1,$A1493=TODAY()),IF(AND(AH!$P$10=1,AH!$P$12=1,$A1493=TODAY()),TODAY(),NA()),IF(AH!$P$10=1,INDEX('Live History'!$G$5:$G$3004,MATCH($A1493,'Live History'!$G$5:$G$3004,1)),INDEX('AH History'!$F$1:$F$18046,AH!$P$7+1488))),NA()),NA())</ns0:f>
        <ns0:v/>
      </ns0:c>
      <ns0:c r="H1493">
        <ns0:f>IFERROR(IF(AND(AH!$E$4="Bloomberg",AH!$P$10=1,ISNUMBER($A1493),$A1493&lt;=AH!$P$17),AH!$P$7-1+MATCH($A1493,INDEX('AH History'!$A$1:$A$18046,AH!$P$7):INDEX('AH History'!$A$1:$A$18046,AH!$P$7+AH!$P$8-1),0),0),0)</ns0:f>
        <ns0:v/>
      </ns0:c>
      <ns0:c r="I1493">
        <ns0:f>IF($H1493=0,0,IFERROR(IF(AND(ABS($C1493-INDEX('AH History'!$B$1:$B$18046,$H1493))&lt;=MAX(0.005,ABS(INDEX('AH History'!$B$1:$B$18046,$H1493))*0.00005),ABS($D1493-INDEX('AH History'!$C$1:$C$18046,$H1493))&lt;=MAX(0.005,ABS(INDEX('AH History'!$C$1:$C$18046,$H1493))*0.00005),ABS($E1493-INDEX('AH History'!$D$1:$D$18046,$H1493))&lt;=0.00005,$F1493=INDEX('AH History'!$E$1:$E$18046,$H1493),$G1493=INDEX('AH History'!$F$1:$F$18046,$H1493)),1,-1),-1))</ns0:f>
        <ns0:v/>
      </ns0:c>
    </ns0:row>
    <ns0:row r="1494">
      <ns0:c r="A1494" s="215">
        <ns0:f>IF(OR(AH!$P$3=0,1489+1&gt;AH!$P$11,AND(AH!$E$4&lt;&gt;"Stored",AH!$P$10&lt;&gt;1)),"",IFERROR(IF(AND(AH!$P$21=1,1489+1=AH!$P$11),TODAY(),IF(AH!$P$10=1,INDEX('Live History'!$A$5:$A$3004,AH!$P$13+1489),INDEX('AH History'!$A$1:$A$18046,AH!$P$7+1489))),""))</ns0:f>
        <ns0:v/>
      </ns0:c>
      <ns0:c r="B1494" s="219">
        <ns0:f>IFERROR(IF(AND(AH!$P$9&lt;&gt;1,$C1494&gt;0,$D1494&gt;0,$E1494&gt;0,$F1494&gt;0,$G1494&gt;0,$F1494&lt;=$A1494,$G1494&lt;=$A1494,$A1494-$F1494&lt;=10,$A1494-$G1494&lt;=5),$D1494*$E1494/$C1494-1,NA()),NA())</ns0:f>
        <ns0:v/>
      </ns0:c>
      <ns0:c r="C1494">
        <ns0:f>IFERROR(IF(ISNUMBER($A1494),IF(AND(AH!$P$10=1,AH!$P$12=1,$A1494=TODAY()),AH!$P$19,IF(AH!$P$10=1,INDEX('Live History'!$B$5:$B$3004,AH!$P$13+1489),INDEX('AH History'!$B$1:$B$18046,AH!$P$7+1489))),NA()),NA())</ns0:f>
        <ns0:v/>
      </ns0:c>
      <ns0:c r="D1494">
        <ns0:f>IFERROR(IF(ISNUMBER($A1494),IF(AND(AH!$P$10=1,AH!$P$12=1,$A1494=TODAY()),AH!$P$18,IF(AH!$P$10=1,INDEX('Live History'!$E$5:$E$3004,MATCH($A1494,'Live History'!$D$5:$D$3004,1)),INDEX('AH History'!$C$1:$C$18046,AH!$P$7+1489))),NA()),NA())</ns0:f>
        <ns0:v/>
      </ns0:c>
      <ns0:c r="E1494">
        <ns0:f>IFERROR(IF(ISNUMBER($A1494),IF(AND(AH!$P$10=1,AH!$P$12=1,$A1494=TODAY()),AH!$P$20,IF(AH!$P$10=1,INDEX('Live History'!$H$5:$H$3004,MATCH($A1494,'Live History'!$G$5:$G$3004,1)),INDEX('AH History'!$D$1:$D$18046,AH!$P$7+1489))),NA()),NA())</ns0:f>
        <ns0:v/>
      </ns0:c>
      <ns0:c r="F1494">
        <ns0:f>IFERROR(IF(ISNUMBER($A1494),IF(AND(AH!$P$10=1,AH!$P$12=1,$A1494=TODAY()),IF(AND(AH!$P$10=1,AH!$P$12=1,$A1494=TODAY()),TODAY(),NA()),IF(AH!$P$10=1,INDEX('Live History'!$D$5:$D$3004,MATCH($A1494,'Live History'!$D$5:$D$3004,1)),INDEX('AH History'!$E$1:$E$18046,AH!$P$7+1489))),NA()),NA())</ns0:f>
        <ns0:v/>
      </ns0:c>
      <ns0:c r="G1494">
        <ns0:f>IFERROR(IF(ISNUMBER($A1494),IF(AND(AH!$P$10=1,AH!$P$12=1,$A1494=TODAY()),IF(AND(AH!$P$10=1,AH!$P$12=1,$A1494=TODAY()),TODAY(),NA()),IF(AH!$P$10=1,INDEX('Live History'!$G$5:$G$3004,MATCH($A1494,'Live History'!$G$5:$G$3004,1)),INDEX('AH History'!$F$1:$F$18046,AH!$P$7+1489))),NA()),NA())</ns0:f>
        <ns0:v/>
      </ns0:c>
      <ns0:c r="H1494">
        <ns0:f>IFERROR(IF(AND(AH!$E$4="Bloomberg",AH!$P$10=1,ISNUMBER($A1494),$A1494&lt;=AH!$P$17),AH!$P$7-1+MATCH($A1494,INDEX('AH History'!$A$1:$A$18046,AH!$P$7):INDEX('AH History'!$A$1:$A$18046,AH!$P$7+AH!$P$8-1),0),0),0)</ns0:f>
        <ns0:v/>
      </ns0:c>
      <ns0:c r="I1494">
        <ns0:f>IF($H1494=0,0,IFERROR(IF(AND(ABS($C1494-INDEX('AH History'!$B$1:$B$18046,$H1494))&lt;=MAX(0.005,ABS(INDEX('AH History'!$B$1:$B$18046,$H1494))*0.00005),ABS($D1494-INDEX('AH History'!$C$1:$C$18046,$H1494))&lt;=MAX(0.005,ABS(INDEX('AH History'!$C$1:$C$18046,$H1494))*0.00005),ABS($E1494-INDEX('AH History'!$D$1:$D$18046,$H1494))&lt;=0.00005,$F1494=INDEX('AH History'!$E$1:$E$18046,$H1494),$G1494=INDEX('AH History'!$F$1:$F$18046,$H1494)),1,-1),-1))</ns0:f>
        <ns0:v/>
      </ns0:c>
    </ns0:row>
    <ns0:row r="1495">
      <ns0:c r="A1495" s="215">
        <ns0:f>IF(OR(AH!$P$3=0,1490+1&gt;AH!$P$11,AND(AH!$E$4&lt;&gt;"Stored",AH!$P$10&lt;&gt;1)),"",IFERROR(IF(AND(AH!$P$21=1,1490+1=AH!$P$11),TODAY(),IF(AH!$P$10=1,INDEX('Live History'!$A$5:$A$3004,AH!$P$13+1490),INDEX('AH History'!$A$1:$A$18046,AH!$P$7+1490))),""))</ns0:f>
        <ns0:v/>
      </ns0:c>
      <ns0:c r="B1495" s="219">
        <ns0:f>IFERROR(IF(AND(AH!$P$9&lt;&gt;1,$C1495&gt;0,$D1495&gt;0,$E1495&gt;0,$F1495&gt;0,$G1495&gt;0,$F1495&lt;=$A1495,$G1495&lt;=$A1495,$A1495-$F1495&lt;=10,$A1495-$G1495&lt;=5),$D1495*$E1495/$C1495-1,NA()),NA())</ns0:f>
        <ns0:v/>
      </ns0:c>
      <ns0:c r="C1495">
        <ns0:f>IFERROR(IF(ISNUMBER($A1495),IF(AND(AH!$P$10=1,AH!$P$12=1,$A1495=TODAY()),AH!$P$19,IF(AH!$P$10=1,INDEX('Live History'!$B$5:$B$3004,AH!$P$13+1490),INDEX('AH History'!$B$1:$B$18046,AH!$P$7+1490))),NA()),NA())</ns0:f>
        <ns0:v/>
      </ns0:c>
      <ns0:c r="D1495">
        <ns0:f>IFERROR(IF(ISNUMBER($A1495),IF(AND(AH!$P$10=1,AH!$P$12=1,$A1495=TODAY()),AH!$P$18,IF(AH!$P$10=1,INDEX('Live History'!$E$5:$E$3004,MATCH($A1495,'Live History'!$D$5:$D$3004,1)),INDEX('AH History'!$C$1:$C$18046,AH!$P$7+1490))),NA()),NA())</ns0:f>
        <ns0:v/>
      </ns0:c>
      <ns0:c r="E1495">
        <ns0:f>IFERROR(IF(ISNUMBER($A1495),IF(AND(AH!$P$10=1,AH!$P$12=1,$A1495=TODAY()),AH!$P$20,IF(AH!$P$10=1,INDEX('Live History'!$H$5:$H$3004,MATCH($A1495,'Live History'!$G$5:$G$3004,1)),INDEX('AH History'!$D$1:$D$18046,AH!$P$7+1490))),NA()),NA())</ns0:f>
        <ns0:v/>
      </ns0:c>
      <ns0:c r="F1495">
        <ns0:f>IFERROR(IF(ISNUMBER($A1495),IF(AND(AH!$P$10=1,AH!$P$12=1,$A1495=TODAY()),IF(AND(AH!$P$10=1,AH!$P$12=1,$A1495=TODAY()),TODAY(),NA()),IF(AH!$P$10=1,INDEX('Live History'!$D$5:$D$3004,MATCH($A1495,'Live History'!$D$5:$D$3004,1)),INDEX('AH History'!$E$1:$E$18046,AH!$P$7+1490))),NA()),NA())</ns0:f>
        <ns0:v/>
      </ns0:c>
      <ns0:c r="G1495">
        <ns0:f>IFERROR(IF(ISNUMBER($A1495),IF(AND(AH!$P$10=1,AH!$P$12=1,$A1495=TODAY()),IF(AND(AH!$P$10=1,AH!$P$12=1,$A1495=TODAY()),TODAY(),NA()),IF(AH!$P$10=1,INDEX('Live History'!$G$5:$G$3004,MATCH($A1495,'Live History'!$G$5:$G$3004,1)),INDEX('AH History'!$F$1:$F$18046,AH!$P$7+1490))),NA()),NA())</ns0:f>
        <ns0:v/>
      </ns0:c>
      <ns0:c r="H1495">
        <ns0:f>IFERROR(IF(AND(AH!$E$4="Bloomberg",AH!$P$10=1,ISNUMBER($A1495),$A1495&lt;=AH!$P$17),AH!$P$7-1+MATCH($A1495,INDEX('AH History'!$A$1:$A$18046,AH!$P$7):INDEX('AH History'!$A$1:$A$18046,AH!$P$7+AH!$P$8-1),0),0),0)</ns0:f>
        <ns0:v/>
      </ns0:c>
      <ns0:c r="I1495">
        <ns0:f>IF($H1495=0,0,IFERROR(IF(AND(ABS($C1495-INDEX('AH History'!$B$1:$B$18046,$H1495))&lt;=MAX(0.005,ABS(INDEX('AH History'!$B$1:$B$18046,$H1495))*0.00005),ABS($D1495-INDEX('AH History'!$C$1:$C$18046,$H1495))&lt;=MAX(0.005,ABS(INDEX('AH History'!$C$1:$C$18046,$H1495))*0.00005),ABS($E1495-INDEX('AH History'!$D$1:$D$18046,$H1495))&lt;=0.00005,$F1495=INDEX('AH History'!$E$1:$E$18046,$H1495),$G1495=INDEX('AH History'!$F$1:$F$18046,$H1495)),1,-1),-1))</ns0:f>
        <ns0:v/>
      </ns0:c>
    </ns0:row>
    <ns0:row r="1496">
      <ns0:c r="A1496" s="215">
        <ns0:f>IF(OR(AH!$P$3=0,1491+1&gt;AH!$P$11,AND(AH!$E$4&lt;&gt;"Stored",AH!$P$10&lt;&gt;1)),"",IFERROR(IF(AND(AH!$P$21=1,1491+1=AH!$P$11),TODAY(),IF(AH!$P$10=1,INDEX('Live History'!$A$5:$A$3004,AH!$P$13+1491),INDEX('AH History'!$A$1:$A$18046,AH!$P$7+1491))),""))</ns0:f>
        <ns0:v/>
      </ns0:c>
      <ns0:c r="B1496" s="219">
        <ns0:f>IFERROR(IF(AND(AH!$P$9&lt;&gt;1,$C1496&gt;0,$D1496&gt;0,$E1496&gt;0,$F1496&gt;0,$G1496&gt;0,$F1496&lt;=$A1496,$G1496&lt;=$A1496,$A1496-$F1496&lt;=10,$A1496-$G1496&lt;=5),$D1496*$E1496/$C1496-1,NA()),NA())</ns0:f>
        <ns0:v/>
      </ns0:c>
      <ns0:c r="C1496">
        <ns0:f>IFERROR(IF(ISNUMBER($A1496),IF(AND(AH!$P$10=1,AH!$P$12=1,$A1496=TODAY()),AH!$P$19,IF(AH!$P$10=1,INDEX('Live History'!$B$5:$B$3004,AH!$P$13+1491),INDEX('AH History'!$B$1:$B$18046,AH!$P$7+1491))),NA()),NA())</ns0:f>
        <ns0:v/>
      </ns0:c>
      <ns0:c r="D1496">
        <ns0:f>IFERROR(IF(ISNUMBER($A1496),IF(AND(AH!$P$10=1,AH!$P$12=1,$A1496=TODAY()),AH!$P$18,IF(AH!$P$10=1,INDEX('Live History'!$E$5:$E$3004,MATCH($A1496,'Live History'!$D$5:$D$3004,1)),INDEX('AH History'!$C$1:$C$18046,AH!$P$7+1491))),NA()),NA())</ns0:f>
        <ns0:v/>
      </ns0:c>
      <ns0:c r="E1496">
        <ns0:f>IFERROR(IF(ISNUMBER($A1496),IF(AND(AH!$P$10=1,AH!$P$12=1,$A1496=TODAY()),AH!$P$20,IF(AH!$P$10=1,INDEX('Live History'!$H$5:$H$3004,MATCH($A1496,'Live History'!$G$5:$G$3004,1)),INDEX('AH History'!$D$1:$D$18046,AH!$P$7+1491))),NA()),NA())</ns0:f>
        <ns0:v/>
      </ns0:c>
      <ns0:c r="F1496">
        <ns0:f>IFERROR(IF(ISNUMBER($A1496),IF(AND(AH!$P$10=1,AH!$P$12=1,$A1496=TODAY()),IF(AND(AH!$P$10=1,AH!$P$12=1,$A1496=TODAY()),TODAY(),NA()),IF(AH!$P$10=1,INDEX('Live History'!$D$5:$D$3004,MATCH($A1496,'Live History'!$D$5:$D$3004,1)),INDEX('AH History'!$E$1:$E$18046,AH!$P$7+1491))),NA()),NA())</ns0:f>
        <ns0:v/>
      </ns0:c>
      <ns0:c r="G1496">
        <ns0:f>IFERROR(IF(ISNUMBER($A1496),IF(AND(AH!$P$10=1,AH!$P$12=1,$A1496=TODAY()),IF(AND(AH!$P$10=1,AH!$P$12=1,$A1496=TODAY()),TODAY(),NA()),IF(AH!$P$10=1,INDEX('Live History'!$G$5:$G$3004,MATCH($A1496,'Live History'!$G$5:$G$3004,1)),INDEX('AH History'!$F$1:$F$18046,AH!$P$7+1491))),NA()),NA())</ns0:f>
        <ns0:v/>
      </ns0:c>
      <ns0:c r="H1496">
        <ns0:f>IFERROR(IF(AND(AH!$E$4="Bloomberg",AH!$P$10=1,ISNUMBER($A1496),$A1496&lt;=AH!$P$17),AH!$P$7-1+MATCH($A1496,INDEX('AH History'!$A$1:$A$18046,AH!$P$7):INDEX('AH History'!$A$1:$A$18046,AH!$P$7+AH!$P$8-1),0),0),0)</ns0:f>
        <ns0:v/>
      </ns0:c>
      <ns0:c r="I1496">
        <ns0:f>IF($H1496=0,0,IFERROR(IF(AND(ABS($C1496-INDEX('AH History'!$B$1:$B$18046,$H1496))&lt;=MAX(0.005,ABS(INDEX('AH History'!$B$1:$B$18046,$H1496))*0.00005),ABS($D1496-INDEX('AH History'!$C$1:$C$18046,$H1496))&lt;=MAX(0.005,ABS(INDEX('AH History'!$C$1:$C$18046,$H1496))*0.00005),ABS($E1496-INDEX('AH History'!$D$1:$D$18046,$H1496))&lt;=0.00005,$F1496=INDEX('AH History'!$E$1:$E$18046,$H1496),$G1496=INDEX('AH History'!$F$1:$F$18046,$H1496)),1,-1),-1))</ns0:f>
        <ns0:v/>
      </ns0:c>
    </ns0:row>
    <ns0:row r="1497">
      <ns0:c r="A1497" s="215">
        <ns0:f>IF(OR(AH!$P$3=0,1492+1&gt;AH!$P$11,AND(AH!$E$4&lt;&gt;"Stored",AH!$P$10&lt;&gt;1)),"",IFERROR(IF(AND(AH!$P$21=1,1492+1=AH!$P$11),TODAY(),IF(AH!$P$10=1,INDEX('Live History'!$A$5:$A$3004,AH!$P$13+1492),INDEX('AH History'!$A$1:$A$18046,AH!$P$7+1492))),""))</ns0:f>
        <ns0:v/>
      </ns0:c>
      <ns0:c r="B1497" s="219">
        <ns0:f>IFERROR(IF(AND(AH!$P$9&lt;&gt;1,$C1497&gt;0,$D1497&gt;0,$E1497&gt;0,$F1497&gt;0,$G1497&gt;0,$F1497&lt;=$A1497,$G1497&lt;=$A1497,$A1497-$F1497&lt;=10,$A1497-$G1497&lt;=5),$D1497*$E1497/$C1497-1,NA()),NA())</ns0:f>
        <ns0:v/>
      </ns0:c>
      <ns0:c r="C1497">
        <ns0:f>IFERROR(IF(ISNUMBER($A1497),IF(AND(AH!$P$10=1,AH!$P$12=1,$A1497=TODAY()),AH!$P$19,IF(AH!$P$10=1,INDEX('Live History'!$B$5:$B$3004,AH!$P$13+1492),INDEX('AH History'!$B$1:$B$18046,AH!$P$7+1492))),NA()),NA())</ns0:f>
        <ns0:v/>
      </ns0:c>
      <ns0:c r="D1497">
        <ns0:f>IFERROR(IF(ISNUMBER($A1497),IF(AND(AH!$P$10=1,AH!$P$12=1,$A1497=TODAY()),AH!$P$18,IF(AH!$P$10=1,INDEX('Live History'!$E$5:$E$3004,MATCH($A1497,'Live History'!$D$5:$D$3004,1)),INDEX('AH History'!$C$1:$C$18046,AH!$P$7+1492))),NA()),NA())</ns0:f>
        <ns0:v/>
      </ns0:c>
      <ns0:c r="E1497">
        <ns0:f>IFERROR(IF(ISNUMBER($A1497),IF(AND(AH!$P$10=1,AH!$P$12=1,$A1497=TODAY()),AH!$P$20,IF(AH!$P$10=1,INDEX('Live History'!$H$5:$H$3004,MATCH($A1497,'Live History'!$G$5:$G$3004,1)),INDEX('AH History'!$D$1:$D$18046,AH!$P$7+1492))),NA()),NA())</ns0:f>
        <ns0:v/>
      </ns0:c>
      <ns0:c r="F1497">
        <ns0:f>IFERROR(IF(ISNUMBER($A1497),IF(AND(AH!$P$10=1,AH!$P$12=1,$A1497=TODAY()),IF(AND(AH!$P$10=1,AH!$P$12=1,$A1497=TODAY()),TODAY(),NA()),IF(AH!$P$10=1,INDEX('Live History'!$D$5:$D$3004,MATCH($A1497,'Live History'!$D$5:$D$3004,1)),INDEX('AH History'!$E$1:$E$18046,AH!$P$7+1492))),NA()),NA())</ns0:f>
        <ns0:v/>
      </ns0:c>
      <ns0:c r="G1497">
        <ns0:f>IFERROR(IF(ISNUMBER($A1497),IF(AND(AH!$P$10=1,AH!$P$12=1,$A1497=TODAY()),IF(AND(AH!$P$10=1,AH!$P$12=1,$A1497=TODAY()),TODAY(),NA()),IF(AH!$P$10=1,INDEX('Live History'!$G$5:$G$3004,MATCH($A1497,'Live History'!$G$5:$G$3004,1)),INDEX('AH History'!$F$1:$F$18046,AH!$P$7+1492))),NA()),NA())</ns0:f>
        <ns0:v/>
      </ns0:c>
      <ns0:c r="H1497">
        <ns0:f>IFERROR(IF(AND(AH!$E$4="Bloomberg",AH!$P$10=1,ISNUMBER($A1497),$A1497&lt;=AH!$P$17),AH!$P$7-1+MATCH($A1497,INDEX('AH History'!$A$1:$A$18046,AH!$P$7):INDEX('AH History'!$A$1:$A$18046,AH!$P$7+AH!$P$8-1),0),0),0)</ns0:f>
        <ns0:v/>
      </ns0:c>
      <ns0:c r="I1497">
        <ns0:f>IF($H1497=0,0,IFERROR(IF(AND(ABS($C1497-INDEX('AH History'!$B$1:$B$18046,$H1497))&lt;=MAX(0.005,ABS(INDEX('AH History'!$B$1:$B$18046,$H1497))*0.00005),ABS($D1497-INDEX('AH History'!$C$1:$C$18046,$H1497))&lt;=MAX(0.005,ABS(INDEX('AH History'!$C$1:$C$18046,$H1497))*0.00005),ABS($E1497-INDEX('AH History'!$D$1:$D$18046,$H1497))&lt;=0.00005,$F1497=INDEX('AH History'!$E$1:$E$18046,$H1497),$G1497=INDEX('AH History'!$F$1:$F$18046,$H1497)),1,-1),-1))</ns0:f>
        <ns0:v/>
      </ns0:c>
    </ns0:row>
    <ns0:row r="1498">
      <ns0:c r="A1498" s="215">
        <ns0:f>IF(OR(AH!$P$3=0,1493+1&gt;AH!$P$11,AND(AH!$E$4&lt;&gt;"Stored",AH!$P$10&lt;&gt;1)),"",IFERROR(IF(AND(AH!$P$21=1,1493+1=AH!$P$11),TODAY(),IF(AH!$P$10=1,INDEX('Live History'!$A$5:$A$3004,AH!$P$13+1493),INDEX('AH History'!$A$1:$A$18046,AH!$P$7+1493))),""))</ns0:f>
        <ns0:v/>
      </ns0:c>
      <ns0:c r="B1498" s="219">
        <ns0:f>IFERROR(IF(AND(AH!$P$9&lt;&gt;1,$C1498&gt;0,$D1498&gt;0,$E1498&gt;0,$F1498&gt;0,$G1498&gt;0,$F1498&lt;=$A1498,$G1498&lt;=$A1498,$A1498-$F1498&lt;=10,$A1498-$G1498&lt;=5),$D1498*$E1498/$C1498-1,NA()),NA())</ns0:f>
        <ns0:v/>
      </ns0:c>
      <ns0:c r="C1498">
        <ns0:f>IFERROR(IF(ISNUMBER($A1498),IF(AND(AH!$P$10=1,AH!$P$12=1,$A1498=TODAY()),AH!$P$19,IF(AH!$P$10=1,INDEX('Live History'!$B$5:$B$3004,AH!$P$13+1493),INDEX('AH History'!$B$1:$B$18046,AH!$P$7+1493))),NA()),NA())</ns0:f>
        <ns0:v/>
      </ns0:c>
      <ns0:c r="D1498">
        <ns0:f>IFERROR(IF(ISNUMBER($A1498),IF(AND(AH!$P$10=1,AH!$P$12=1,$A1498=TODAY()),AH!$P$18,IF(AH!$P$10=1,INDEX('Live History'!$E$5:$E$3004,MATCH($A1498,'Live History'!$D$5:$D$3004,1)),INDEX('AH History'!$C$1:$C$18046,AH!$P$7+1493))),NA()),NA())</ns0:f>
        <ns0:v/>
      </ns0:c>
      <ns0:c r="E1498">
        <ns0:f>IFERROR(IF(ISNUMBER($A1498),IF(AND(AH!$P$10=1,AH!$P$12=1,$A1498=TODAY()),AH!$P$20,IF(AH!$P$10=1,INDEX('Live History'!$H$5:$H$3004,MATCH($A1498,'Live History'!$G$5:$G$3004,1)),INDEX('AH History'!$D$1:$D$18046,AH!$P$7+1493))),NA()),NA())</ns0:f>
        <ns0:v/>
      </ns0:c>
      <ns0:c r="F1498">
        <ns0:f>IFERROR(IF(ISNUMBER($A1498),IF(AND(AH!$P$10=1,AH!$P$12=1,$A1498=TODAY()),IF(AND(AH!$P$10=1,AH!$P$12=1,$A1498=TODAY()),TODAY(),NA()),IF(AH!$P$10=1,INDEX('Live History'!$D$5:$D$3004,MATCH($A1498,'Live History'!$D$5:$D$3004,1)),INDEX('AH History'!$E$1:$E$18046,AH!$P$7+1493))),NA()),NA())</ns0:f>
        <ns0:v/>
      </ns0:c>
      <ns0:c r="G1498">
        <ns0:f>IFERROR(IF(ISNUMBER($A1498),IF(AND(AH!$P$10=1,AH!$P$12=1,$A1498=TODAY()),IF(AND(AH!$P$10=1,AH!$P$12=1,$A1498=TODAY()),TODAY(),NA()),IF(AH!$P$10=1,INDEX('Live History'!$G$5:$G$3004,MATCH($A1498,'Live History'!$G$5:$G$3004,1)),INDEX('AH History'!$F$1:$F$18046,AH!$P$7+1493))),NA()),NA())</ns0:f>
        <ns0:v/>
      </ns0:c>
      <ns0:c r="H1498">
        <ns0:f>IFERROR(IF(AND(AH!$E$4="Bloomberg",AH!$P$10=1,ISNUMBER($A1498),$A1498&lt;=AH!$P$17),AH!$P$7-1+MATCH($A1498,INDEX('AH History'!$A$1:$A$18046,AH!$P$7):INDEX('AH History'!$A$1:$A$18046,AH!$P$7+AH!$P$8-1),0),0),0)</ns0:f>
        <ns0:v/>
      </ns0:c>
      <ns0:c r="I1498">
        <ns0:f>IF($H1498=0,0,IFERROR(IF(AND(ABS($C1498-INDEX('AH History'!$B$1:$B$18046,$H1498))&lt;=MAX(0.005,ABS(INDEX('AH History'!$B$1:$B$18046,$H1498))*0.00005),ABS($D1498-INDEX('AH History'!$C$1:$C$18046,$H1498))&lt;=MAX(0.005,ABS(INDEX('AH History'!$C$1:$C$18046,$H1498))*0.00005),ABS($E1498-INDEX('AH History'!$D$1:$D$18046,$H1498))&lt;=0.00005,$F1498=INDEX('AH History'!$E$1:$E$18046,$H1498),$G1498=INDEX('AH History'!$F$1:$F$18046,$H1498)),1,-1),-1))</ns0:f>
        <ns0:v/>
      </ns0:c>
    </ns0:row>
    <ns0:row r="1499">
      <ns0:c r="A1499" s="215">
        <ns0:f>IF(OR(AH!$P$3=0,1494+1&gt;AH!$P$11,AND(AH!$E$4&lt;&gt;"Stored",AH!$P$10&lt;&gt;1)),"",IFERROR(IF(AND(AH!$P$21=1,1494+1=AH!$P$11),TODAY(),IF(AH!$P$10=1,INDEX('Live History'!$A$5:$A$3004,AH!$P$13+1494),INDEX('AH History'!$A$1:$A$18046,AH!$P$7+1494))),""))</ns0:f>
        <ns0:v/>
      </ns0:c>
      <ns0:c r="B1499" s="219">
        <ns0:f>IFERROR(IF(AND(AH!$P$9&lt;&gt;1,$C1499&gt;0,$D1499&gt;0,$E1499&gt;0,$F1499&gt;0,$G1499&gt;0,$F1499&lt;=$A1499,$G1499&lt;=$A1499,$A1499-$F1499&lt;=10,$A1499-$G1499&lt;=5),$D1499*$E1499/$C1499-1,NA()),NA())</ns0:f>
        <ns0:v/>
      </ns0:c>
      <ns0:c r="C1499">
        <ns0:f>IFERROR(IF(ISNUMBER($A1499),IF(AND(AH!$P$10=1,AH!$P$12=1,$A1499=TODAY()),AH!$P$19,IF(AH!$P$10=1,INDEX('Live History'!$B$5:$B$3004,AH!$P$13+1494),INDEX('AH History'!$B$1:$B$18046,AH!$P$7+1494))),NA()),NA())</ns0:f>
        <ns0:v/>
      </ns0:c>
      <ns0:c r="D1499">
        <ns0:f>IFERROR(IF(ISNUMBER($A1499),IF(AND(AH!$P$10=1,AH!$P$12=1,$A1499=TODAY()),AH!$P$18,IF(AH!$P$10=1,INDEX('Live History'!$E$5:$E$3004,MATCH($A1499,'Live History'!$D$5:$D$3004,1)),INDEX('AH History'!$C$1:$C$18046,AH!$P$7+1494))),NA()),NA())</ns0:f>
        <ns0:v/>
      </ns0:c>
      <ns0:c r="E1499">
        <ns0:f>IFERROR(IF(ISNUMBER($A1499),IF(AND(AH!$P$10=1,AH!$P$12=1,$A1499=TODAY()),AH!$P$20,IF(AH!$P$10=1,INDEX('Live History'!$H$5:$H$3004,MATCH($A1499,'Live History'!$G$5:$G$3004,1)),INDEX('AH History'!$D$1:$D$18046,AH!$P$7+1494))),NA()),NA())</ns0:f>
        <ns0:v/>
      </ns0:c>
      <ns0:c r="F1499">
        <ns0:f>IFERROR(IF(ISNUMBER($A1499),IF(AND(AH!$P$10=1,AH!$P$12=1,$A1499=TODAY()),IF(AND(AH!$P$10=1,AH!$P$12=1,$A1499=TODAY()),TODAY(),NA()),IF(AH!$P$10=1,INDEX('Live History'!$D$5:$D$3004,MATCH($A1499,'Live History'!$D$5:$D$3004,1)),INDEX('AH History'!$E$1:$E$18046,AH!$P$7+1494))),NA()),NA())</ns0:f>
        <ns0:v/>
      </ns0:c>
      <ns0:c r="G1499">
        <ns0:f>IFERROR(IF(ISNUMBER($A1499),IF(AND(AH!$P$10=1,AH!$P$12=1,$A1499=TODAY()),IF(AND(AH!$P$10=1,AH!$P$12=1,$A1499=TODAY()),TODAY(),NA()),IF(AH!$P$10=1,INDEX('Live History'!$G$5:$G$3004,MATCH($A1499,'Live History'!$G$5:$G$3004,1)),INDEX('AH History'!$F$1:$F$18046,AH!$P$7+1494))),NA()),NA())</ns0:f>
        <ns0:v/>
      </ns0:c>
      <ns0:c r="H1499">
        <ns0:f>IFERROR(IF(AND(AH!$E$4="Bloomberg",AH!$P$10=1,ISNUMBER($A1499),$A1499&lt;=AH!$P$17),AH!$P$7-1+MATCH($A1499,INDEX('AH History'!$A$1:$A$18046,AH!$P$7):INDEX('AH History'!$A$1:$A$18046,AH!$P$7+AH!$P$8-1),0),0),0)</ns0:f>
        <ns0:v/>
      </ns0:c>
      <ns0:c r="I1499">
        <ns0:f>IF($H1499=0,0,IFERROR(IF(AND(ABS($C1499-INDEX('AH History'!$B$1:$B$18046,$H1499))&lt;=MAX(0.005,ABS(INDEX('AH History'!$B$1:$B$18046,$H1499))*0.00005),ABS($D1499-INDEX('AH History'!$C$1:$C$18046,$H1499))&lt;=MAX(0.005,ABS(INDEX('AH History'!$C$1:$C$18046,$H1499))*0.00005),ABS($E1499-INDEX('AH History'!$D$1:$D$18046,$H1499))&lt;=0.00005,$F1499=INDEX('AH History'!$E$1:$E$18046,$H1499),$G1499=INDEX('AH History'!$F$1:$F$18046,$H1499)),1,-1),-1))</ns0:f>
        <ns0:v/>
      </ns0:c>
    </ns0:row>
    <ns0:row r="1500">
      <ns0:c r="A1500" s="215">
        <ns0:f>IF(OR(AH!$P$3=0,1495+1&gt;AH!$P$11,AND(AH!$E$4&lt;&gt;"Stored",AH!$P$10&lt;&gt;1)),"",IFERROR(IF(AND(AH!$P$21=1,1495+1=AH!$P$11),TODAY(),IF(AH!$P$10=1,INDEX('Live History'!$A$5:$A$3004,AH!$P$13+1495),INDEX('AH History'!$A$1:$A$18046,AH!$P$7+1495))),""))</ns0:f>
        <ns0:v/>
      </ns0:c>
      <ns0:c r="B1500" s="219">
        <ns0:f>IFERROR(IF(AND(AH!$P$9&lt;&gt;1,$C1500&gt;0,$D1500&gt;0,$E1500&gt;0,$F1500&gt;0,$G1500&gt;0,$F1500&lt;=$A1500,$G1500&lt;=$A1500,$A1500-$F1500&lt;=10,$A1500-$G1500&lt;=5),$D1500*$E1500/$C1500-1,NA()),NA())</ns0:f>
        <ns0:v/>
      </ns0:c>
      <ns0:c r="C1500">
        <ns0:f>IFERROR(IF(ISNUMBER($A1500),IF(AND(AH!$P$10=1,AH!$P$12=1,$A1500=TODAY()),AH!$P$19,IF(AH!$P$10=1,INDEX('Live History'!$B$5:$B$3004,AH!$P$13+1495),INDEX('AH History'!$B$1:$B$18046,AH!$P$7+1495))),NA()),NA())</ns0:f>
        <ns0:v/>
      </ns0:c>
      <ns0:c r="D1500">
        <ns0:f>IFERROR(IF(ISNUMBER($A1500),IF(AND(AH!$P$10=1,AH!$P$12=1,$A1500=TODAY()),AH!$P$18,IF(AH!$P$10=1,INDEX('Live History'!$E$5:$E$3004,MATCH($A1500,'Live History'!$D$5:$D$3004,1)),INDEX('AH History'!$C$1:$C$18046,AH!$P$7+1495))),NA()),NA())</ns0:f>
        <ns0:v/>
      </ns0:c>
      <ns0:c r="E1500">
        <ns0:f>IFERROR(IF(ISNUMBER($A1500),IF(AND(AH!$P$10=1,AH!$P$12=1,$A1500=TODAY()),AH!$P$20,IF(AH!$P$10=1,INDEX('Live History'!$H$5:$H$3004,MATCH($A1500,'Live History'!$G$5:$G$3004,1)),INDEX('AH History'!$D$1:$D$18046,AH!$P$7+1495))),NA()),NA())</ns0:f>
        <ns0:v/>
      </ns0:c>
      <ns0:c r="F1500">
        <ns0:f>IFERROR(IF(ISNUMBER($A1500),IF(AND(AH!$P$10=1,AH!$P$12=1,$A1500=TODAY()),IF(AND(AH!$P$10=1,AH!$P$12=1,$A1500=TODAY()),TODAY(),NA()),IF(AH!$P$10=1,INDEX('Live History'!$D$5:$D$3004,MATCH($A1500,'Live History'!$D$5:$D$3004,1)),INDEX('AH History'!$E$1:$E$18046,AH!$P$7+1495))),NA()),NA())</ns0:f>
        <ns0:v/>
      </ns0:c>
      <ns0:c r="G1500">
        <ns0:f>IFERROR(IF(ISNUMBER($A1500),IF(AND(AH!$P$10=1,AH!$P$12=1,$A1500=TODAY()),IF(AND(AH!$P$10=1,AH!$P$12=1,$A1500=TODAY()),TODAY(),NA()),IF(AH!$P$10=1,INDEX('Live History'!$G$5:$G$3004,MATCH($A1500,'Live History'!$G$5:$G$3004,1)),INDEX('AH History'!$F$1:$F$18046,AH!$P$7+1495))),NA()),NA())</ns0:f>
        <ns0:v/>
      </ns0:c>
      <ns0:c r="H1500">
        <ns0:f>IFERROR(IF(AND(AH!$E$4="Bloomberg",AH!$P$10=1,ISNUMBER($A1500),$A1500&lt;=AH!$P$17),AH!$P$7-1+MATCH($A1500,INDEX('AH History'!$A$1:$A$18046,AH!$P$7):INDEX('AH History'!$A$1:$A$18046,AH!$P$7+AH!$P$8-1),0),0),0)</ns0:f>
        <ns0:v/>
      </ns0:c>
      <ns0:c r="I1500">
        <ns0:f>IF($H1500=0,0,IFERROR(IF(AND(ABS($C1500-INDEX('AH History'!$B$1:$B$18046,$H1500))&lt;=MAX(0.005,ABS(INDEX('AH History'!$B$1:$B$18046,$H1500))*0.00005),ABS($D1500-INDEX('AH History'!$C$1:$C$18046,$H1500))&lt;=MAX(0.005,ABS(INDEX('AH History'!$C$1:$C$18046,$H1500))*0.00005),ABS($E1500-INDEX('AH History'!$D$1:$D$18046,$H1500))&lt;=0.00005,$F1500=INDEX('AH History'!$E$1:$E$18046,$H1500),$G1500=INDEX('AH History'!$F$1:$F$18046,$H1500)),1,-1),-1))</ns0:f>
        <ns0:v/>
      </ns0:c>
    </ns0:row>
    <ns0:row r="1501">
      <ns0:c r="A1501" s="215">
        <ns0:f>IF(OR(AH!$P$3=0,1496+1&gt;AH!$P$11,AND(AH!$E$4&lt;&gt;"Stored",AH!$P$10&lt;&gt;1)),"",IFERROR(IF(AND(AH!$P$21=1,1496+1=AH!$P$11),TODAY(),IF(AH!$P$10=1,INDEX('Live History'!$A$5:$A$3004,AH!$P$13+1496),INDEX('AH History'!$A$1:$A$18046,AH!$P$7+1496))),""))</ns0:f>
        <ns0:v/>
      </ns0:c>
      <ns0:c r="B1501" s="219">
        <ns0:f>IFERROR(IF(AND(AH!$P$9&lt;&gt;1,$C1501&gt;0,$D1501&gt;0,$E1501&gt;0,$F1501&gt;0,$G1501&gt;0,$F1501&lt;=$A1501,$G1501&lt;=$A1501,$A1501-$F1501&lt;=10,$A1501-$G1501&lt;=5),$D1501*$E1501/$C1501-1,NA()),NA())</ns0:f>
        <ns0:v/>
      </ns0:c>
      <ns0:c r="C1501">
        <ns0:f>IFERROR(IF(ISNUMBER($A1501),IF(AND(AH!$P$10=1,AH!$P$12=1,$A1501=TODAY()),AH!$P$19,IF(AH!$P$10=1,INDEX('Live History'!$B$5:$B$3004,AH!$P$13+1496),INDEX('AH History'!$B$1:$B$18046,AH!$P$7+1496))),NA()),NA())</ns0:f>
        <ns0:v/>
      </ns0:c>
      <ns0:c r="D1501">
        <ns0:f>IFERROR(IF(ISNUMBER($A1501),IF(AND(AH!$P$10=1,AH!$P$12=1,$A1501=TODAY()),AH!$P$18,IF(AH!$P$10=1,INDEX('Live History'!$E$5:$E$3004,MATCH($A1501,'Live History'!$D$5:$D$3004,1)),INDEX('AH History'!$C$1:$C$18046,AH!$P$7+1496))),NA()),NA())</ns0:f>
        <ns0:v/>
      </ns0:c>
      <ns0:c r="E1501">
        <ns0:f>IFERROR(IF(ISNUMBER($A1501),IF(AND(AH!$P$10=1,AH!$P$12=1,$A1501=TODAY()),AH!$P$20,IF(AH!$P$10=1,INDEX('Live History'!$H$5:$H$3004,MATCH($A1501,'Live History'!$G$5:$G$3004,1)),INDEX('AH History'!$D$1:$D$18046,AH!$P$7+1496))),NA()),NA())</ns0:f>
        <ns0:v/>
      </ns0:c>
      <ns0:c r="F1501">
        <ns0:f>IFERROR(IF(ISNUMBER($A1501),IF(AND(AH!$P$10=1,AH!$P$12=1,$A1501=TODAY()),IF(AND(AH!$P$10=1,AH!$P$12=1,$A1501=TODAY()),TODAY(),NA()),IF(AH!$P$10=1,INDEX('Live History'!$D$5:$D$3004,MATCH($A1501,'Live History'!$D$5:$D$3004,1)),INDEX('AH History'!$E$1:$E$18046,AH!$P$7+1496))),NA()),NA())</ns0:f>
        <ns0:v/>
      </ns0:c>
      <ns0:c r="G1501">
        <ns0:f>IFERROR(IF(ISNUMBER($A1501),IF(AND(AH!$P$10=1,AH!$P$12=1,$A1501=TODAY()),IF(AND(AH!$P$10=1,AH!$P$12=1,$A1501=TODAY()),TODAY(),NA()),IF(AH!$P$10=1,INDEX('Live History'!$G$5:$G$3004,MATCH($A1501,'Live History'!$G$5:$G$3004,1)),INDEX('AH History'!$F$1:$F$18046,AH!$P$7+1496))),NA()),NA())</ns0:f>
        <ns0:v/>
      </ns0:c>
      <ns0:c r="H1501">
        <ns0:f>IFERROR(IF(AND(AH!$E$4="Bloomberg",AH!$P$10=1,ISNUMBER($A1501),$A1501&lt;=AH!$P$17),AH!$P$7-1+MATCH($A1501,INDEX('AH History'!$A$1:$A$18046,AH!$P$7):INDEX('AH History'!$A$1:$A$18046,AH!$P$7+AH!$P$8-1),0),0),0)</ns0:f>
        <ns0:v/>
      </ns0:c>
      <ns0:c r="I1501">
        <ns0:f>IF($H1501=0,0,IFERROR(IF(AND(ABS($C1501-INDEX('AH History'!$B$1:$B$18046,$H1501))&lt;=MAX(0.005,ABS(INDEX('AH History'!$B$1:$B$18046,$H1501))*0.00005),ABS($D1501-INDEX('AH History'!$C$1:$C$18046,$H1501))&lt;=MAX(0.005,ABS(INDEX('AH History'!$C$1:$C$18046,$H1501))*0.00005),ABS($E1501-INDEX('AH History'!$D$1:$D$18046,$H1501))&lt;=0.00005,$F1501=INDEX('AH History'!$E$1:$E$18046,$H1501),$G1501=INDEX('AH History'!$F$1:$F$18046,$H1501)),1,-1),-1))</ns0:f>
        <ns0:v/>
      </ns0:c>
    </ns0:row>
    <ns0:row r="1502">
      <ns0:c r="A1502" s="215">
        <ns0:f>IF(OR(AH!$P$3=0,1497+1&gt;AH!$P$11,AND(AH!$E$4&lt;&gt;"Stored",AH!$P$10&lt;&gt;1)),"",IFERROR(IF(AND(AH!$P$21=1,1497+1=AH!$P$11),TODAY(),IF(AH!$P$10=1,INDEX('Live History'!$A$5:$A$3004,AH!$P$13+1497),INDEX('AH History'!$A$1:$A$18046,AH!$P$7+1497))),""))</ns0:f>
        <ns0:v/>
      </ns0:c>
      <ns0:c r="B1502" s="219">
        <ns0:f>IFERROR(IF(AND(AH!$P$9&lt;&gt;1,$C1502&gt;0,$D1502&gt;0,$E1502&gt;0,$F1502&gt;0,$G1502&gt;0,$F1502&lt;=$A1502,$G1502&lt;=$A1502,$A1502-$F1502&lt;=10,$A1502-$G1502&lt;=5),$D1502*$E1502/$C1502-1,NA()),NA())</ns0:f>
        <ns0:v/>
      </ns0:c>
      <ns0:c r="C1502">
        <ns0:f>IFERROR(IF(ISNUMBER($A1502),IF(AND(AH!$P$10=1,AH!$P$12=1,$A1502=TODAY()),AH!$P$19,IF(AH!$P$10=1,INDEX('Live History'!$B$5:$B$3004,AH!$P$13+1497),INDEX('AH History'!$B$1:$B$18046,AH!$P$7+1497))),NA()),NA())</ns0:f>
        <ns0:v/>
      </ns0:c>
      <ns0:c r="D1502">
        <ns0:f>IFERROR(IF(ISNUMBER($A1502),IF(AND(AH!$P$10=1,AH!$P$12=1,$A1502=TODAY()),AH!$P$18,IF(AH!$P$10=1,INDEX('Live History'!$E$5:$E$3004,MATCH($A1502,'Live History'!$D$5:$D$3004,1)),INDEX('AH History'!$C$1:$C$18046,AH!$P$7+1497))),NA()),NA())</ns0:f>
        <ns0:v/>
      </ns0:c>
      <ns0:c r="E1502">
        <ns0:f>IFERROR(IF(ISNUMBER($A1502),IF(AND(AH!$P$10=1,AH!$P$12=1,$A1502=TODAY()),AH!$P$20,IF(AH!$P$10=1,INDEX('Live History'!$H$5:$H$3004,MATCH($A1502,'Live History'!$G$5:$G$3004,1)),INDEX('AH History'!$D$1:$D$18046,AH!$P$7+1497))),NA()),NA())</ns0:f>
        <ns0:v/>
      </ns0:c>
      <ns0:c r="F1502">
        <ns0:f>IFERROR(IF(ISNUMBER($A1502),IF(AND(AH!$P$10=1,AH!$P$12=1,$A1502=TODAY()),IF(AND(AH!$P$10=1,AH!$P$12=1,$A1502=TODAY()),TODAY(),NA()),IF(AH!$P$10=1,INDEX('Live History'!$D$5:$D$3004,MATCH($A1502,'Live History'!$D$5:$D$3004,1)),INDEX('AH History'!$E$1:$E$18046,AH!$P$7+1497))),NA()),NA())</ns0:f>
        <ns0:v/>
      </ns0:c>
      <ns0:c r="G1502">
        <ns0:f>IFERROR(IF(ISNUMBER($A1502),IF(AND(AH!$P$10=1,AH!$P$12=1,$A1502=TODAY()),IF(AND(AH!$P$10=1,AH!$P$12=1,$A1502=TODAY()),TODAY(),NA()),IF(AH!$P$10=1,INDEX('Live History'!$G$5:$G$3004,MATCH($A1502,'Live History'!$G$5:$G$3004,1)),INDEX('AH History'!$F$1:$F$18046,AH!$P$7+1497))),NA()),NA())</ns0:f>
        <ns0:v/>
      </ns0:c>
      <ns0:c r="H1502">
        <ns0:f>IFERROR(IF(AND(AH!$E$4="Bloomberg",AH!$P$10=1,ISNUMBER($A1502),$A1502&lt;=AH!$P$17),AH!$P$7-1+MATCH($A1502,INDEX('AH History'!$A$1:$A$18046,AH!$P$7):INDEX('AH History'!$A$1:$A$18046,AH!$P$7+AH!$P$8-1),0),0),0)</ns0:f>
        <ns0:v/>
      </ns0:c>
      <ns0:c r="I1502">
        <ns0:f>IF($H1502=0,0,IFERROR(IF(AND(ABS($C1502-INDEX('AH History'!$B$1:$B$18046,$H1502))&lt;=MAX(0.005,ABS(INDEX('AH History'!$B$1:$B$18046,$H1502))*0.00005),ABS($D1502-INDEX('AH History'!$C$1:$C$18046,$H1502))&lt;=MAX(0.005,ABS(INDEX('AH History'!$C$1:$C$18046,$H1502))*0.00005),ABS($E1502-INDEX('AH History'!$D$1:$D$18046,$H1502))&lt;=0.00005,$F1502=INDEX('AH History'!$E$1:$E$18046,$H1502),$G1502=INDEX('AH History'!$F$1:$F$18046,$H1502)),1,-1),-1))</ns0:f>
        <ns0:v/>
      </ns0:c>
    </ns0:row>
    <ns0:row r="1503">
      <ns0:c r="A1503" s="215">
        <ns0:f>IF(OR(AH!$P$3=0,1498+1&gt;AH!$P$11,AND(AH!$E$4&lt;&gt;"Stored",AH!$P$10&lt;&gt;1)),"",IFERROR(IF(AND(AH!$P$21=1,1498+1=AH!$P$11),TODAY(),IF(AH!$P$10=1,INDEX('Live History'!$A$5:$A$3004,AH!$P$13+1498),INDEX('AH History'!$A$1:$A$18046,AH!$P$7+1498))),""))</ns0:f>
        <ns0:v/>
      </ns0:c>
      <ns0:c r="B1503" s="219">
        <ns0:f>IFERROR(IF(AND(AH!$P$9&lt;&gt;1,$C1503&gt;0,$D1503&gt;0,$E1503&gt;0,$F1503&gt;0,$G1503&gt;0,$F1503&lt;=$A1503,$G1503&lt;=$A1503,$A1503-$F1503&lt;=10,$A1503-$G1503&lt;=5),$D1503*$E1503/$C1503-1,NA()),NA())</ns0:f>
        <ns0:v/>
      </ns0:c>
      <ns0:c r="C1503">
        <ns0:f>IFERROR(IF(ISNUMBER($A1503),IF(AND(AH!$P$10=1,AH!$P$12=1,$A1503=TODAY()),AH!$P$19,IF(AH!$P$10=1,INDEX('Live History'!$B$5:$B$3004,AH!$P$13+1498),INDEX('AH History'!$B$1:$B$18046,AH!$P$7+1498))),NA()),NA())</ns0:f>
        <ns0:v/>
      </ns0:c>
      <ns0:c r="D1503">
        <ns0:f>IFERROR(IF(ISNUMBER($A1503),IF(AND(AH!$P$10=1,AH!$P$12=1,$A1503=TODAY()),AH!$P$18,IF(AH!$P$10=1,INDEX('Live History'!$E$5:$E$3004,MATCH($A1503,'Live History'!$D$5:$D$3004,1)),INDEX('AH History'!$C$1:$C$18046,AH!$P$7+1498))),NA()),NA())</ns0:f>
        <ns0:v/>
      </ns0:c>
      <ns0:c r="E1503">
        <ns0:f>IFERROR(IF(ISNUMBER($A1503),IF(AND(AH!$P$10=1,AH!$P$12=1,$A1503=TODAY()),AH!$P$20,IF(AH!$P$10=1,INDEX('Live History'!$H$5:$H$3004,MATCH($A1503,'Live History'!$G$5:$G$3004,1)),INDEX('AH History'!$D$1:$D$18046,AH!$P$7+1498))),NA()),NA())</ns0:f>
        <ns0:v/>
      </ns0:c>
      <ns0:c r="F1503">
        <ns0:f>IFERROR(IF(ISNUMBER($A1503),IF(AND(AH!$P$10=1,AH!$P$12=1,$A1503=TODAY()),IF(AND(AH!$P$10=1,AH!$P$12=1,$A1503=TODAY()),TODAY(),NA()),IF(AH!$P$10=1,INDEX('Live History'!$D$5:$D$3004,MATCH($A1503,'Live History'!$D$5:$D$3004,1)),INDEX('AH History'!$E$1:$E$18046,AH!$P$7+1498))),NA()),NA())</ns0:f>
        <ns0:v/>
      </ns0:c>
      <ns0:c r="G1503">
        <ns0:f>IFERROR(IF(ISNUMBER($A1503),IF(AND(AH!$P$10=1,AH!$P$12=1,$A1503=TODAY()),IF(AND(AH!$P$10=1,AH!$P$12=1,$A1503=TODAY()),TODAY(),NA()),IF(AH!$P$10=1,INDEX('Live History'!$G$5:$G$3004,MATCH($A1503,'Live History'!$G$5:$G$3004,1)),INDEX('AH History'!$F$1:$F$18046,AH!$P$7+1498))),NA()),NA())</ns0:f>
        <ns0:v/>
      </ns0:c>
      <ns0:c r="H1503">
        <ns0:f>IFERROR(IF(AND(AH!$E$4="Bloomberg",AH!$P$10=1,ISNUMBER($A1503),$A1503&lt;=AH!$P$17),AH!$P$7-1+MATCH($A1503,INDEX('AH History'!$A$1:$A$18046,AH!$P$7):INDEX('AH History'!$A$1:$A$18046,AH!$P$7+AH!$P$8-1),0),0),0)</ns0:f>
        <ns0:v/>
      </ns0:c>
      <ns0:c r="I1503">
        <ns0:f>IF($H1503=0,0,IFERROR(IF(AND(ABS($C1503-INDEX('AH History'!$B$1:$B$18046,$H1503))&lt;=MAX(0.005,ABS(INDEX('AH History'!$B$1:$B$18046,$H1503))*0.00005),ABS($D1503-INDEX('AH History'!$C$1:$C$18046,$H1503))&lt;=MAX(0.005,ABS(INDEX('AH History'!$C$1:$C$18046,$H1503))*0.00005),ABS($E1503-INDEX('AH History'!$D$1:$D$18046,$H1503))&lt;=0.00005,$F1503=INDEX('AH History'!$E$1:$E$18046,$H1503),$G1503=INDEX('AH History'!$F$1:$F$18046,$H1503)),1,-1),-1))</ns0:f>
        <ns0:v/>
      </ns0:c>
    </ns0:row>
    <ns0:row r="1504">
      <ns0:c r="A1504" s="215">
        <ns0:f>IF(OR(AH!$P$3=0,1499+1&gt;AH!$P$11,AND(AH!$E$4&lt;&gt;"Stored",AH!$P$10&lt;&gt;1)),"",IFERROR(IF(AND(AH!$P$21=1,1499+1=AH!$P$11),TODAY(),IF(AH!$P$10=1,INDEX('Live History'!$A$5:$A$3004,AH!$P$13+1499),INDEX('AH History'!$A$1:$A$18046,AH!$P$7+1499))),""))</ns0:f>
        <ns0:v/>
      </ns0:c>
      <ns0:c r="B1504" s="219">
        <ns0:f>IFERROR(IF(AND(AH!$P$9&lt;&gt;1,$C1504&gt;0,$D1504&gt;0,$E1504&gt;0,$F1504&gt;0,$G1504&gt;0,$F1504&lt;=$A1504,$G1504&lt;=$A1504,$A1504-$F1504&lt;=10,$A1504-$G1504&lt;=5),$D1504*$E1504/$C1504-1,NA()),NA())</ns0:f>
        <ns0:v/>
      </ns0:c>
      <ns0:c r="C1504">
        <ns0:f>IFERROR(IF(ISNUMBER($A1504),IF(AND(AH!$P$10=1,AH!$P$12=1,$A1504=TODAY()),AH!$P$19,IF(AH!$P$10=1,INDEX('Live History'!$B$5:$B$3004,AH!$P$13+1499),INDEX('AH History'!$B$1:$B$18046,AH!$P$7+1499))),NA()),NA())</ns0:f>
        <ns0:v/>
      </ns0:c>
      <ns0:c r="D1504">
        <ns0:f>IFERROR(IF(ISNUMBER($A1504),IF(AND(AH!$P$10=1,AH!$P$12=1,$A1504=TODAY()),AH!$P$18,IF(AH!$P$10=1,INDEX('Live History'!$E$5:$E$3004,MATCH($A1504,'Live History'!$D$5:$D$3004,1)),INDEX('AH History'!$C$1:$C$18046,AH!$P$7+1499))),NA()),NA())</ns0:f>
        <ns0:v/>
      </ns0:c>
      <ns0:c r="E1504">
        <ns0:f>IFERROR(IF(ISNUMBER($A1504),IF(AND(AH!$P$10=1,AH!$P$12=1,$A1504=TODAY()),AH!$P$20,IF(AH!$P$10=1,INDEX('Live History'!$H$5:$H$3004,MATCH($A1504,'Live History'!$G$5:$G$3004,1)),INDEX('AH History'!$D$1:$D$18046,AH!$P$7+1499))),NA()),NA())</ns0:f>
        <ns0:v/>
      </ns0:c>
      <ns0:c r="F1504">
        <ns0:f>IFERROR(IF(ISNUMBER($A1504),IF(AND(AH!$P$10=1,AH!$P$12=1,$A1504=TODAY()),IF(AND(AH!$P$10=1,AH!$P$12=1,$A1504=TODAY()),TODAY(),NA()),IF(AH!$P$10=1,INDEX('Live History'!$D$5:$D$3004,MATCH($A1504,'Live History'!$D$5:$D$3004,1)),INDEX('AH History'!$E$1:$E$18046,AH!$P$7+1499))),NA()),NA())</ns0:f>
        <ns0:v/>
      </ns0:c>
      <ns0:c r="G1504">
        <ns0:f>IFERROR(IF(ISNUMBER($A1504),IF(AND(AH!$P$10=1,AH!$P$12=1,$A1504=TODAY()),IF(AND(AH!$P$10=1,AH!$P$12=1,$A1504=TODAY()),TODAY(),NA()),IF(AH!$P$10=1,INDEX('Live History'!$G$5:$G$3004,MATCH($A1504,'Live History'!$G$5:$G$3004,1)),INDEX('AH History'!$F$1:$F$18046,AH!$P$7+1499))),NA()),NA())</ns0:f>
        <ns0:v/>
      </ns0:c>
      <ns0:c r="H1504">
        <ns0:f>IFERROR(IF(AND(AH!$E$4="Bloomberg",AH!$P$10=1,ISNUMBER($A1504),$A1504&lt;=AH!$P$17),AH!$P$7-1+MATCH($A1504,INDEX('AH History'!$A$1:$A$18046,AH!$P$7):INDEX('AH History'!$A$1:$A$18046,AH!$P$7+AH!$P$8-1),0),0),0)</ns0:f>
        <ns0:v/>
      </ns0:c>
      <ns0:c r="I1504">
        <ns0:f>IF($H1504=0,0,IFERROR(IF(AND(ABS($C1504-INDEX('AH History'!$B$1:$B$18046,$H1504))&lt;=MAX(0.005,ABS(INDEX('AH History'!$B$1:$B$18046,$H1504))*0.00005),ABS($D1504-INDEX('AH History'!$C$1:$C$18046,$H1504))&lt;=MAX(0.005,ABS(INDEX('AH History'!$C$1:$C$18046,$H1504))*0.00005),ABS($E1504-INDEX('AH History'!$D$1:$D$18046,$H1504))&lt;=0.00005,$F1504=INDEX('AH History'!$E$1:$E$18046,$H1504),$G1504=INDEX('AH History'!$F$1:$F$18046,$H1504)),1,-1),-1))</ns0:f>
        <ns0:v/>
      </ns0:c>
    </ns0:row>
    <ns0:row r="1505">
      <ns0:c r="A1505" s="215">
        <ns0:f>IF(OR(AH!$P$3=0,1500+1&gt;AH!$P$11,AND(AH!$E$4&lt;&gt;"Stored",AH!$P$10&lt;&gt;1)),"",IFERROR(IF(AND(AH!$P$21=1,1500+1=AH!$P$11),TODAY(),IF(AH!$P$10=1,INDEX('Live History'!$A$5:$A$3004,AH!$P$13+1500),INDEX('AH History'!$A$1:$A$18046,AH!$P$7+1500))),""))</ns0:f>
        <ns0:v/>
      </ns0:c>
      <ns0:c r="B1505" s="219">
        <ns0:f>IFERROR(IF(AND(AH!$P$9&lt;&gt;1,$C1505&gt;0,$D1505&gt;0,$E1505&gt;0,$F1505&gt;0,$G1505&gt;0,$F1505&lt;=$A1505,$G1505&lt;=$A1505,$A1505-$F1505&lt;=10,$A1505-$G1505&lt;=5),$D1505*$E1505/$C1505-1,NA()),NA())</ns0:f>
        <ns0:v/>
      </ns0:c>
      <ns0:c r="C1505">
        <ns0:f>IFERROR(IF(ISNUMBER($A1505),IF(AND(AH!$P$10=1,AH!$P$12=1,$A1505=TODAY()),AH!$P$19,IF(AH!$P$10=1,INDEX('Live History'!$B$5:$B$3004,AH!$P$13+1500),INDEX('AH History'!$B$1:$B$18046,AH!$P$7+1500))),NA()),NA())</ns0:f>
        <ns0:v/>
      </ns0:c>
      <ns0:c r="D1505">
        <ns0:f>IFERROR(IF(ISNUMBER($A1505),IF(AND(AH!$P$10=1,AH!$P$12=1,$A1505=TODAY()),AH!$P$18,IF(AH!$P$10=1,INDEX('Live History'!$E$5:$E$3004,MATCH($A1505,'Live History'!$D$5:$D$3004,1)),INDEX('AH History'!$C$1:$C$18046,AH!$P$7+1500))),NA()),NA())</ns0:f>
        <ns0:v/>
      </ns0:c>
      <ns0:c r="E1505">
        <ns0:f>IFERROR(IF(ISNUMBER($A1505),IF(AND(AH!$P$10=1,AH!$P$12=1,$A1505=TODAY()),AH!$P$20,IF(AH!$P$10=1,INDEX('Live History'!$H$5:$H$3004,MATCH($A1505,'Live History'!$G$5:$G$3004,1)),INDEX('AH History'!$D$1:$D$18046,AH!$P$7+1500))),NA()),NA())</ns0:f>
        <ns0:v/>
      </ns0:c>
      <ns0:c r="F1505">
        <ns0:f>IFERROR(IF(ISNUMBER($A1505),IF(AND(AH!$P$10=1,AH!$P$12=1,$A1505=TODAY()),IF(AND(AH!$P$10=1,AH!$P$12=1,$A1505=TODAY()),TODAY(),NA()),IF(AH!$P$10=1,INDEX('Live History'!$D$5:$D$3004,MATCH($A1505,'Live History'!$D$5:$D$3004,1)),INDEX('AH History'!$E$1:$E$18046,AH!$P$7+1500))),NA()),NA())</ns0:f>
        <ns0:v/>
      </ns0:c>
      <ns0:c r="G1505">
        <ns0:f>IFERROR(IF(ISNUMBER($A1505),IF(AND(AH!$P$10=1,AH!$P$12=1,$A1505=TODAY()),IF(AND(AH!$P$10=1,AH!$P$12=1,$A1505=TODAY()),TODAY(),NA()),IF(AH!$P$10=1,INDEX('Live History'!$G$5:$G$3004,MATCH($A1505,'Live History'!$G$5:$G$3004,1)),INDEX('AH History'!$F$1:$F$18046,AH!$P$7+1500))),NA()),NA())</ns0:f>
        <ns0:v/>
      </ns0:c>
      <ns0:c r="H1505">
        <ns0:f>IFERROR(IF(AND(AH!$E$4="Bloomberg",AH!$P$10=1,ISNUMBER($A1505),$A1505&lt;=AH!$P$17),AH!$P$7-1+MATCH($A1505,INDEX('AH History'!$A$1:$A$18046,AH!$P$7):INDEX('AH History'!$A$1:$A$18046,AH!$P$7+AH!$P$8-1),0),0),0)</ns0:f>
        <ns0:v/>
      </ns0:c>
      <ns0:c r="I1505">
        <ns0:f>IF($H1505=0,0,IFERROR(IF(AND(ABS($C1505-INDEX('AH History'!$B$1:$B$18046,$H1505))&lt;=MAX(0.005,ABS(INDEX('AH History'!$B$1:$B$18046,$H1505))*0.00005),ABS($D1505-INDEX('AH History'!$C$1:$C$18046,$H1505))&lt;=MAX(0.005,ABS(INDEX('AH History'!$C$1:$C$18046,$H1505))*0.00005),ABS($E1505-INDEX('AH History'!$D$1:$D$18046,$H1505))&lt;=0.00005,$F1505=INDEX('AH History'!$E$1:$E$18046,$H1505),$G1505=INDEX('AH History'!$F$1:$F$18046,$H1505)),1,-1),-1))</ns0:f>
        <ns0:v/>
      </ns0:c>
    </ns0:row>
    <ns0:row r="1506">
      <ns0:c r="A1506" s="215">
        <ns0:f>IF(OR(AH!$P$3=0,1501+1&gt;AH!$P$11,AND(AH!$E$4&lt;&gt;"Stored",AH!$P$10&lt;&gt;1)),"",IFERROR(IF(AND(AH!$P$21=1,1501+1=AH!$P$11),TODAY(),IF(AH!$P$10=1,INDEX('Live History'!$A$5:$A$3004,AH!$P$13+1501),INDEX('AH History'!$A$1:$A$18046,AH!$P$7+1501))),""))</ns0:f>
        <ns0:v/>
      </ns0:c>
      <ns0:c r="B1506" s="219">
        <ns0:f>IFERROR(IF(AND(AH!$P$9&lt;&gt;1,$C1506&gt;0,$D1506&gt;0,$E1506&gt;0,$F1506&gt;0,$G1506&gt;0,$F1506&lt;=$A1506,$G1506&lt;=$A1506,$A1506-$F1506&lt;=10,$A1506-$G1506&lt;=5),$D1506*$E1506/$C1506-1,NA()),NA())</ns0:f>
        <ns0:v/>
      </ns0:c>
      <ns0:c r="C1506">
        <ns0:f>IFERROR(IF(ISNUMBER($A1506),IF(AND(AH!$P$10=1,AH!$P$12=1,$A1506=TODAY()),AH!$P$19,IF(AH!$P$10=1,INDEX('Live History'!$B$5:$B$3004,AH!$P$13+1501),INDEX('AH History'!$B$1:$B$18046,AH!$P$7+1501))),NA()),NA())</ns0:f>
        <ns0:v/>
      </ns0:c>
      <ns0:c r="D1506">
        <ns0:f>IFERROR(IF(ISNUMBER($A1506),IF(AND(AH!$P$10=1,AH!$P$12=1,$A1506=TODAY()),AH!$P$18,IF(AH!$P$10=1,INDEX('Live History'!$E$5:$E$3004,MATCH($A1506,'Live History'!$D$5:$D$3004,1)),INDEX('AH History'!$C$1:$C$18046,AH!$P$7+1501))),NA()),NA())</ns0:f>
        <ns0:v/>
      </ns0:c>
      <ns0:c r="E1506">
        <ns0:f>IFERROR(IF(ISNUMBER($A1506),IF(AND(AH!$P$10=1,AH!$P$12=1,$A1506=TODAY()),AH!$P$20,IF(AH!$P$10=1,INDEX('Live History'!$H$5:$H$3004,MATCH($A1506,'Live History'!$G$5:$G$3004,1)),INDEX('AH History'!$D$1:$D$18046,AH!$P$7+1501))),NA()),NA())</ns0:f>
        <ns0:v/>
      </ns0:c>
      <ns0:c r="F1506">
        <ns0:f>IFERROR(IF(ISNUMBER($A1506),IF(AND(AH!$P$10=1,AH!$P$12=1,$A1506=TODAY()),IF(AND(AH!$P$10=1,AH!$P$12=1,$A1506=TODAY()),TODAY(),NA()),IF(AH!$P$10=1,INDEX('Live History'!$D$5:$D$3004,MATCH($A1506,'Live History'!$D$5:$D$3004,1)),INDEX('AH History'!$E$1:$E$18046,AH!$P$7+1501))),NA()),NA())</ns0:f>
        <ns0:v/>
      </ns0:c>
      <ns0:c r="G1506">
        <ns0:f>IFERROR(IF(ISNUMBER($A1506),IF(AND(AH!$P$10=1,AH!$P$12=1,$A1506=TODAY()),IF(AND(AH!$P$10=1,AH!$P$12=1,$A1506=TODAY()),TODAY(),NA()),IF(AH!$P$10=1,INDEX('Live History'!$G$5:$G$3004,MATCH($A1506,'Live History'!$G$5:$G$3004,1)),INDEX('AH History'!$F$1:$F$18046,AH!$P$7+1501))),NA()),NA())</ns0:f>
        <ns0:v/>
      </ns0:c>
      <ns0:c r="H1506">
        <ns0:f>IFERROR(IF(AND(AH!$E$4="Bloomberg",AH!$P$10=1,ISNUMBER($A1506),$A1506&lt;=AH!$P$17),AH!$P$7-1+MATCH($A1506,INDEX('AH History'!$A$1:$A$18046,AH!$P$7):INDEX('AH History'!$A$1:$A$18046,AH!$P$7+AH!$P$8-1),0),0),0)</ns0:f>
        <ns0:v/>
      </ns0:c>
      <ns0:c r="I1506">
        <ns0:f>IF($H1506=0,0,IFERROR(IF(AND(ABS($C1506-INDEX('AH History'!$B$1:$B$18046,$H1506))&lt;=MAX(0.005,ABS(INDEX('AH History'!$B$1:$B$18046,$H1506))*0.00005),ABS($D1506-INDEX('AH History'!$C$1:$C$18046,$H1506))&lt;=MAX(0.005,ABS(INDEX('AH History'!$C$1:$C$18046,$H1506))*0.00005),ABS($E1506-INDEX('AH History'!$D$1:$D$18046,$H1506))&lt;=0.00005,$F1506=INDEX('AH History'!$E$1:$E$18046,$H1506),$G1506=INDEX('AH History'!$F$1:$F$18046,$H1506)),1,-1),-1))</ns0:f>
        <ns0:v/>
      </ns0:c>
    </ns0:row>
    <ns0:row r="1507">
      <ns0:c r="A1507" s="215">
        <ns0:f>IF(OR(AH!$P$3=0,1502+1&gt;AH!$P$11,AND(AH!$E$4&lt;&gt;"Stored",AH!$P$10&lt;&gt;1)),"",IFERROR(IF(AND(AH!$P$21=1,1502+1=AH!$P$11),TODAY(),IF(AH!$P$10=1,INDEX('Live History'!$A$5:$A$3004,AH!$P$13+1502),INDEX('AH History'!$A$1:$A$18046,AH!$P$7+1502))),""))</ns0:f>
        <ns0:v/>
      </ns0:c>
      <ns0:c r="B1507" s="219">
        <ns0:f>IFERROR(IF(AND(AH!$P$9&lt;&gt;1,$C1507&gt;0,$D1507&gt;0,$E1507&gt;0,$F1507&gt;0,$G1507&gt;0,$F1507&lt;=$A1507,$G1507&lt;=$A1507,$A1507-$F1507&lt;=10,$A1507-$G1507&lt;=5),$D1507*$E1507/$C1507-1,NA()),NA())</ns0:f>
        <ns0:v/>
      </ns0:c>
      <ns0:c r="C1507">
        <ns0:f>IFERROR(IF(ISNUMBER($A1507),IF(AND(AH!$P$10=1,AH!$P$12=1,$A1507=TODAY()),AH!$P$19,IF(AH!$P$10=1,INDEX('Live History'!$B$5:$B$3004,AH!$P$13+1502),INDEX('AH History'!$B$1:$B$18046,AH!$P$7+1502))),NA()),NA())</ns0:f>
        <ns0:v/>
      </ns0:c>
      <ns0:c r="D1507">
        <ns0:f>IFERROR(IF(ISNUMBER($A1507),IF(AND(AH!$P$10=1,AH!$P$12=1,$A1507=TODAY()),AH!$P$18,IF(AH!$P$10=1,INDEX('Live History'!$E$5:$E$3004,MATCH($A1507,'Live History'!$D$5:$D$3004,1)),INDEX('AH History'!$C$1:$C$18046,AH!$P$7+1502))),NA()),NA())</ns0:f>
        <ns0:v/>
      </ns0:c>
      <ns0:c r="E1507">
        <ns0:f>IFERROR(IF(ISNUMBER($A1507),IF(AND(AH!$P$10=1,AH!$P$12=1,$A1507=TODAY()),AH!$P$20,IF(AH!$P$10=1,INDEX('Live History'!$H$5:$H$3004,MATCH($A1507,'Live History'!$G$5:$G$3004,1)),INDEX('AH History'!$D$1:$D$18046,AH!$P$7+1502))),NA()),NA())</ns0:f>
        <ns0:v/>
      </ns0:c>
      <ns0:c r="F1507">
        <ns0:f>IFERROR(IF(ISNUMBER($A1507),IF(AND(AH!$P$10=1,AH!$P$12=1,$A1507=TODAY()),IF(AND(AH!$P$10=1,AH!$P$12=1,$A1507=TODAY()),TODAY(),NA()),IF(AH!$P$10=1,INDEX('Live History'!$D$5:$D$3004,MATCH($A1507,'Live History'!$D$5:$D$3004,1)),INDEX('AH History'!$E$1:$E$18046,AH!$P$7+1502))),NA()),NA())</ns0:f>
        <ns0:v/>
      </ns0:c>
      <ns0:c r="G1507">
        <ns0:f>IFERROR(IF(ISNUMBER($A1507),IF(AND(AH!$P$10=1,AH!$P$12=1,$A1507=TODAY()),IF(AND(AH!$P$10=1,AH!$P$12=1,$A1507=TODAY()),TODAY(),NA()),IF(AH!$P$10=1,INDEX('Live History'!$G$5:$G$3004,MATCH($A1507,'Live History'!$G$5:$G$3004,1)),INDEX('AH History'!$F$1:$F$18046,AH!$P$7+1502))),NA()),NA())</ns0:f>
        <ns0:v/>
      </ns0:c>
      <ns0:c r="H1507">
        <ns0:f>IFERROR(IF(AND(AH!$E$4="Bloomberg",AH!$P$10=1,ISNUMBER($A1507),$A1507&lt;=AH!$P$17),AH!$P$7-1+MATCH($A1507,INDEX('AH History'!$A$1:$A$18046,AH!$P$7):INDEX('AH History'!$A$1:$A$18046,AH!$P$7+AH!$P$8-1),0),0),0)</ns0:f>
        <ns0:v/>
      </ns0:c>
      <ns0:c r="I1507">
        <ns0:f>IF($H1507=0,0,IFERROR(IF(AND(ABS($C1507-INDEX('AH History'!$B$1:$B$18046,$H1507))&lt;=MAX(0.005,ABS(INDEX('AH History'!$B$1:$B$18046,$H1507))*0.00005),ABS($D1507-INDEX('AH History'!$C$1:$C$18046,$H1507))&lt;=MAX(0.005,ABS(INDEX('AH History'!$C$1:$C$18046,$H1507))*0.00005),ABS($E1507-INDEX('AH History'!$D$1:$D$18046,$H1507))&lt;=0.00005,$F1507=INDEX('AH History'!$E$1:$E$18046,$H1507),$G1507=INDEX('AH History'!$F$1:$F$18046,$H1507)),1,-1),-1))</ns0:f>
        <ns0:v/>
      </ns0:c>
    </ns0:row>
    <ns0:row r="1508">
      <ns0:c r="A1508" s="215">
        <ns0:f>IF(OR(AH!$P$3=0,1503+1&gt;AH!$P$11,AND(AH!$E$4&lt;&gt;"Stored",AH!$P$10&lt;&gt;1)),"",IFERROR(IF(AND(AH!$P$21=1,1503+1=AH!$P$11),TODAY(),IF(AH!$P$10=1,INDEX('Live History'!$A$5:$A$3004,AH!$P$13+1503),INDEX('AH History'!$A$1:$A$18046,AH!$P$7+1503))),""))</ns0:f>
        <ns0:v/>
      </ns0:c>
      <ns0:c r="B1508" s="219">
        <ns0:f>IFERROR(IF(AND(AH!$P$9&lt;&gt;1,$C1508&gt;0,$D1508&gt;0,$E1508&gt;0,$F1508&gt;0,$G1508&gt;0,$F1508&lt;=$A1508,$G1508&lt;=$A1508,$A1508-$F1508&lt;=10,$A1508-$G1508&lt;=5),$D1508*$E1508/$C1508-1,NA()),NA())</ns0:f>
        <ns0:v/>
      </ns0:c>
      <ns0:c r="C1508">
        <ns0:f>IFERROR(IF(ISNUMBER($A1508),IF(AND(AH!$P$10=1,AH!$P$12=1,$A1508=TODAY()),AH!$P$19,IF(AH!$P$10=1,INDEX('Live History'!$B$5:$B$3004,AH!$P$13+1503),INDEX('AH History'!$B$1:$B$18046,AH!$P$7+1503))),NA()),NA())</ns0:f>
        <ns0:v/>
      </ns0:c>
      <ns0:c r="D1508">
        <ns0:f>IFERROR(IF(ISNUMBER($A1508),IF(AND(AH!$P$10=1,AH!$P$12=1,$A1508=TODAY()),AH!$P$18,IF(AH!$P$10=1,INDEX('Live History'!$E$5:$E$3004,MATCH($A1508,'Live History'!$D$5:$D$3004,1)),INDEX('AH History'!$C$1:$C$18046,AH!$P$7+1503))),NA()),NA())</ns0:f>
        <ns0:v/>
      </ns0:c>
      <ns0:c r="E1508">
        <ns0:f>IFERROR(IF(ISNUMBER($A1508),IF(AND(AH!$P$10=1,AH!$P$12=1,$A1508=TODAY()),AH!$P$20,IF(AH!$P$10=1,INDEX('Live History'!$H$5:$H$3004,MATCH($A1508,'Live History'!$G$5:$G$3004,1)),INDEX('AH History'!$D$1:$D$18046,AH!$P$7+1503))),NA()),NA())</ns0:f>
        <ns0:v/>
      </ns0:c>
      <ns0:c r="F1508">
        <ns0:f>IFERROR(IF(ISNUMBER($A1508),IF(AND(AH!$P$10=1,AH!$P$12=1,$A1508=TODAY()),IF(AND(AH!$P$10=1,AH!$P$12=1,$A1508=TODAY()),TODAY(),NA()),IF(AH!$P$10=1,INDEX('Live History'!$D$5:$D$3004,MATCH($A1508,'Live History'!$D$5:$D$3004,1)),INDEX('AH History'!$E$1:$E$18046,AH!$P$7+1503))),NA()),NA())</ns0:f>
        <ns0:v/>
      </ns0:c>
      <ns0:c r="G1508">
        <ns0:f>IFERROR(IF(ISNUMBER($A1508),IF(AND(AH!$P$10=1,AH!$P$12=1,$A1508=TODAY()),IF(AND(AH!$P$10=1,AH!$P$12=1,$A1508=TODAY()),TODAY(),NA()),IF(AH!$P$10=1,INDEX('Live History'!$G$5:$G$3004,MATCH($A1508,'Live History'!$G$5:$G$3004,1)),INDEX('AH History'!$F$1:$F$18046,AH!$P$7+1503))),NA()),NA())</ns0:f>
        <ns0:v/>
      </ns0:c>
      <ns0:c r="H1508">
        <ns0:f>IFERROR(IF(AND(AH!$E$4="Bloomberg",AH!$P$10=1,ISNUMBER($A1508),$A1508&lt;=AH!$P$17),AH!$P$7-1+MATCH($A1508,INDEX('AH History'!$A$1:$A$18046,AH!$P$7):INDEX('AH History'!$A$1:$A$18046,AH!$P$7+AH!$P$8-1),0),0),0)</ns0:f>
        <ns0:v/>
      </ns0:c>
      <ns0:c r="I1508">
        <ns0:f>IF($H1508=0,0,IFERROR(IF(AND(ABS($C1508-INDEX('AH History'!$B$1:$B$18046,$H1508))&lt;=MAX(0.005,ABS(INDEX('AH History'!$B$1:$B$18046,$H1508))*0.00005),ABS($D1508-INDEX('AH History'!$C$1:$C$18046,$H1508))&lt;=MAX(0.005,ABS(INDEX('AH History'!$C$1:$C$18046,$H1508))*0.00005),ABS($E1508-INDEX('AH History'!$D$1:$D$18046,$H1508))&lt;=0.00005,$F1508=INDEX('AH History'!$E$1:$E$18046,$H1508),$G1508=INDEX('AH History'!$F$1:$F$18046,$H1508)),1,-1),-1))</ns0:f>
        <ns0:v/>
      </ns0:c>
    </ns0:row>
    <ns0:row r="1509">
      <ns0:c r="A1509" s="215">
        <ns0:f>IF(OR(AH!$P$3=0,1504+1&gt;AH!$P$11,AND(AH!$E$4&lt;&gt;"Stored",AH!$P$10&lt;&gt;1)),"",IFERROR(IF(AND(AH!$P$21=1,1504+1=AH!$P$11),TODAY(),IF(AH!$P$10=1,INDEX('Live History'!$A$5:$A$3004,AH!$P$13+1504),INDEX('AH History'!$A$1:$A$18046,AH!$P$7+1504))),""))</ns0:f>
        <ns0:v/>
      </ns0:c>
      <ns0:c r="B1509" s="219">
        <ns0:f>IFERROR(IF(AND(AH!$P$9&lt;&gt;1,$C1509&gt;0,$D1509&gt;0,$E1509&gt;0,$F1509&gt;0,$G1509&gt;0,$F1509&lt;=$A1509,$G1509&lt;=$A1509,$A1509-$F1509&lt;=10,$A1509-$G1509&lt;=5),$D1509*$E1509/$C1509-1,NA()),NA())</ns0:f>
        <ns0:v/>
      </ns0:c>
      <ns0:c r="C1509">
        <ns0:f>IFERROR(IF(ISNUMBER($A1509),IF(AND(AH!$P$10=1,AH!$P$12=1,$A1509=TODAY()),AH!$P$19,IF(AH!$P$10=1,INDEX('Live History'!$B$5:$B$3004,AH!$P$13+1504),INDEX('AH History'!$B$1:$B$18046,AH!$P$7+1504))),NA()),NA())</ns0:f>
        <ns0:v/>
      </ns0:c>
      <ns0:c r="D1509">
        <ns0:f>IFERROR(IF(ISNUMBER($A1509),IF(AND(AH!$P$10=1,AH!$P$12=1,$A1509=TODAY()),AH!$P$18,IF(AH!$P$10=1,INDEX('Live History'!$E$5:$E$3004,MATCH($A1509,'Live History'!$D$5:$D$3004,1)),INDEX('AH History'!$C$1:$C$18046,AH!$P$7+1504))),NA()),NA())</ns0:f>
        <ns0:v/>
      </ns0:c>
      <ns0:c r="E1509">
        <ns0:f>IFERROR(IF(ISNUMBER($A1509),IF(AND(AH!$P$10=1,AH!$P$12=1,$A1509=TODAY()),AH!$P$20,IF(AH!$P$10=1,INDEX('Live History'!$H$5:$H$3004,MATCH($A1509,'Live History'!$G$5:$G$3004,1)),INDEX('AH History'!$D$1:$D$18046,AH!$P$7+1504))),NA()),NA())</ns0:f>
        <ns0:v/>
      </ns0:c>
      <ns0:c r="F1509">
        <ns0:f>IFERROR(IF(ISNUMBER($A1509),IF(AND(AH!$P$10=1,AH!$P$12=1,$A1509=TODAY()),IF(AND(AH!$P$10=1,AH!$P$12=1,$A1509=TODAY()),TODAY(),NA()),IF(AH!$P$10=1,INDEX('Live History'!$D$5:$D$3004,MATCH($A1509,'Live History'!$D$5:$D$3004,1)),INDEX('AH History'!$E$1:$E$18046,AH!$P$7+1504))),NA()),NA())</ns0:f>
        <ns0:v/>
      </ns0:c>
      <ns0:c r="G1509">
        <ns0:f>IFERROR(IF(ISNUMBER($A1509),IF(AND(AH!$P$10=1,AH!$P$12=1,$A1509=TODAY()),IF(AND(AH!$P$10=1,AH!$P$12=1,$A1509=TODAY()),TODAY(),NA()),IF(AH!$P$10=1,INDEX('Live History'!$G$5:$G$3004,MATCH($A1509,'Live History'!$G$5:$G$3004,1)),INDEX('AH History'!$F$1:$F$18046,AH!$P$7+1504))),NA()),NA())</ns0:f>
        <ns0:v/>
      </ns0:c>
      <ns0:c r="H1509">
        <ns0:f>IFERROR(IF(AND(AH!$E$4="Bloomberg",AH!$P$10=1,ISNUMBER($A1509),$A1509&lt;=AH!$P$17),AH!$P$7-1+MATCH($A1509,INDEX('AH History'!$A$1:$A$18046,AH!$P$7):INDEX('AH History'!$A$1:$A$18046,AH!$P$7+AH!$P$8-1),0),0),0)</ns0:f>
        <ns0:v/>
      </ns0:c>
      <ns0:c r="I1509">
        <ns0:f>IF($H1509=0,0,IFERROR(IF(AND(ABS($C1509-INDEX('AH History'!$B$1:$B$18046,$H1509))&lt;=MAX(0.005,ABS(INDEX('AH History'!$B$1:$B$18046,$H1509))*0.00005),ABS($D1509-INDEX('AH History'!$C$1:$C$18046,$H1509))&lt;=MAX(0.005,ABS(INDEX('AH History'!$C$1:$C$18046,$H1509))*0.00005),ABS($E1509-INDEX('AH History'!$D$1:$D$18046,$H1509))&lt;=0.00005,$F1509=INDEX('AH History'!$E$1:$E$18046,$H1509),$G1509=INDEX('AH History'!$F$1:$F$18046,$H1509)),1,-1),-1))</ns0:f>
        <ns0:v/>
      </ns0:c>
    </ns0:row>
    <ns0:row r="1510">
      <ns0:c r="A1510" s="215">
        <ns0:f>IF(OR(AH!$P$3=0,1505+1&gt;AH!$P$11,AND(AH!$E$4&lt;&gt;"Stored",AH!$P$10&lt;&gt;1)),"",IFERROR(IF(AND(AH!$P$21=1,1505+1=AH!$P$11),TODAY(),IF(AH!$P$10=1,INDEX('Live History'!$A$5:$A$3004,AH!$P$13+1505),INDEX('AH History'!$A$1:$A$18046,AH!$P$7+1505))),""))</ns0:f>
        <ns0:v/>
      </ns0:c>
      <ns0:c r="B1510" s="219">
        <ns0:f>IFERROR(IF(AND(AH!$P$9&lt;&gt;1,$C1510&gt;0,$D1510&gt;0,$E1510&gt;0,$F1510&gt;0,$G1510&gt;0,$F1510&lt;=$A1510,$G1510&lt;=$A1510,$A1510-$F1510&lt;=10,$A1510-$G1510&lt;=5),$D1510*$E1510/$C1510-1,NA()),NA())</ns0:f>
        <ns0:v/>
      </ns0:c>
      <ns0:c r="C1510">
        <ns0:f>IFERROR(IF(ISNUMBER($A1510),IF(AND(AH!$P$10=1,AH!$P$12=1,$A1510=TODAY()),AH!$P$19,IF(AH!$P$10=1,INDEX('Live History'!$B$5:$B$3004,AH!$P$13+1505),INDEX('AH History'!$B$1:$B$18046,AH!$P$7+1505))),NA()),NA())</ns0:f>
        <ns0:v/>
      </ns0:c>
      <ns0:c r="D1510">
        <ns0:f>IFERROR(IF(ISNUMBER($A1510),IF(AND(AH!$P$10=1,AH!$P$12=1,$A1510=TODAY()),AH!$P$18,IF(AH!$P$10=1,INDEX('Live History'!$E$5:$E$3004,MATCH($A1510,'Live History'!$D$5:$D$3004,1)),INDEX('AH History'!$C$1:$C$18046,AH!$P$7+1505))),NA()),NA())</ns0:f>
        <ns0:v/>
      </ns0:c>
      <ns0:c r="E1510">
        <ns0:f>IFERROR(IF(ISNUMBER($A1510),IF(AND(AH!$P$10=1,AH!$P$12=1,$A1510=TODAY()),AH!$P$20,IF(AH!$P$10=1,INDEX('Live History'!$H$5:$H$3004,MATCH($A1510,'Live History'!$G$5:$G$3004,1)),INDEX('AH History'!$D$1:$D$18046,AH!$P$7+1505))),NA()),NA())</ns0:f>
        <ns0:v/>
      </ns0:c>
      <ns0:c r="F1510">
        <ns0:f>IFERROR(IF(ISNUMBER($A1510),IF(AND(AH!$P$10=1,AH!$P$12=1,$A1510=TODAY()),IF(AND(AH!$P$10=1,AH!$P$12=1,$A1510=TODAY()),TODAY(),NA()),IF(AH!$P$10=1,INDEX('Live History'!$D$5:$D$3004,MATCH($A1510,'Live History'!$D$5:$D$3004,1)),INDEX('AH History'!$E$1:$E$18046,AH!$P$7+1505))),NA()),NA())</ns0:f>
        <ns0:v/>
      </ns0:c>
      <ns0:c r="G1510">
        <ns0:f>IFERROR(IF(ISNUMBER($A1510),IF(AND(AH!$P$10=1,AH!$P$12=1,$A1510=TODAY()),IF(AND(AH!$P$10=1,AH!$P$12=1,$A1510=TODAY()),TODAY(),NA()),IF(AH!$P$10=1,INDEX('Live History'!$G$5:$G$3004,MATCH($A1510,'Live History'!$G$5:$G$3004,1)),INDEX('AH History'!$F$1:$F$18046,AH!$P$7+1505))),NA()),NA())</ns0:f>
        <ns0:v/>
      </ns0:c>
      <ns0:c r="H1510">
        <ns0:f>IFERROR(IF(AND(AH!$E$4="Bloomberg",AH!$P$10=1,ISNUMBER($A1510),$A1510&lt;=AH!$P$17),AH!$P$7-1+MATCH($A1510,INDEX('AH History'!$A$1:$A$18046,AH!$P$7):INDEX('AH History'!$A$1:$A$18046,AH!$P$7+AH!$P$8-1),0),0),0)</ns0:f>
        <ns0:v/>
      </ns0:c>
      <ns0:c r="I1510">
        <ns0:f>IF($H1510=0,0,IFERROR(IF(AND(ABS($C1510-INDEX('AH History'!$B$1:$B$18046,$H1510))&lt;=MAX(0.005,ABS(INDEX('AH History'!$B$1:$B$18046,$H1510))*0.00005),ABS($D1510-INDEX('AH History'!$C$1:$C$18046,$H1510))&lt;=MAX(0.005,ABS(INDEX('AH History'!$C$1:$C$18046,$H1510))*0.00005),ABS($E1510-INDEX('AH History'!$D$1:$D$18046,$H1510))&lt;=0.00005,$F1510=INDEX('AH History'!$E$1:$E$18046,$H1510),$G1510=INDEX('AH History'!$F$1:$F$18046,$H1510)),1,-1),-1))</ns0:f>
        <ns0:v/>
      </ns0:c>
    </ns0:row>
    <ns0:row r="1511">
      <ns0:c r="A1511" s="215">
        <ns0:f>IF(OR(AH!$P$3=0,1506+1&gt;AH!$P$11,AND(AH!$E$4&lt;&gt;"Stored",AH!$P$10&lt;&gt;1)),"",IFERROR(IF(AND(AH!$P$21=1,1506+1=AH!$P$11),TODAY(),IF(AH!$P$10=1,INDEX('Live History'!$A$5:$A$3004,AH!$P$13+1506),INDEX('AH History'!$A$1:$A$18046,AH!$P$7+1506))),""))</ns0:f>
        <ns0:v/>
      </ns0:c>
      <ns0:c r="B1511" s="219">
        <ns0:f>IFERROR(IF(AND(AH!$P$9&lt;&gt;1,$C1511&gt;0,$D1511&gt;0,$E1511&gt;0,$F1511&gt;0,$G1511&gt;0,$F1511&lt;=$A1511,$G1511&lt;=$A1511,$A1511-$F1511&lt;=10,$A1511-$G1511&lt;=5),$D1511*$E1511/$C1511-1,NA()),NA())</ns0:f>
        <ns0:v/>
      </ns0:c>
      <ns0:c r="C1511">
        <ns0:f>IFERROR(IF(ISNUMBER($A1511),IF(AND(AH!$P$10=1,AH!$P$12=1,$A1511=TODAY()),AH!$P$19,IF(AH!$P$10=1,INDEX('Live History'!$B$5:$B$3004,AH!$P$13+1506),INDEX('AH History'!$B$1:$B$18046,AH!$P$7+1506))),NA()),NA())</ns0:f>
        <ns0:v/>
      </ns0:c>
      <ns0:c r="D1511">
        <ns0:f>IFERROR(IF(ISNUMBER($A1511),IF(AND(AH!$P$10=1,AH!$P$12=1,$A1511=TODAY()),AH!$P$18,IF(AH!$P$10=1,INDEX('Live History'!$E$5:$E$3004,MATCH($A1511,'Live History'!$D$5:$D$3004,1)),INDEX('AH History'!$C$1:$C$18046,AH!$P$7+1506))),NA()),NA())</ns0:f>
        <ns0:v/>
      </ns0:c>
      <ns0:c r="E1511">
        <ns0:f>IFERROR(IF(ISNUMBER($A1511),IF(AND(AH!$P$10=1,AH!$P$12=1,$A1511=TODAY()),AH!$P$20,IF(AH!$P$10=1,INDEX('Live History'!$H$5:$H$3004,MATCH($A1511,'Live History'!$G$5:$G$3004,1)),INDEX('AH History'!$D$1:$D$18046,AH!$P$7+1506))),NA()),NA())</ns0:f>
        <ns0:v/>
      </ns0:c>
      <ns0:c r="F1511">
        <ns0:f>IFERROR(IF(ISNUMBER($A1511),IF(AND(AH!$P$10=1,AH!$P$12=1,$A1511=TODAY()),IF(AND(AH!$P$10=1,AH!$P$12=1,$A1511=TODAY()),TODAY(),NA()),IF(AH!$P$10=1,INDEX('Live History'!$D$5:$D$3004,MATCH($A1511,'Live History'!$D$5:$D$3004,1)),INDEX('AH History'!$E$1:$E$18046,AH!$P$7+1506))),NA()),NA())</ns0:f>
        <ns0:v/>
      </ns0:c>
      <ns0:c r="G1511">
        <ns0:f>IFERROR(IF(ISNUMBER($A1511),IF(AND(AH!$P$10=1,AH!$P$12=1,$A1511=TODAY()),IF(AND(AH!$P$10=1,AH!$P$12=1,$A1511=TODAY()),TODAY(),NA()),IF(AH!$P$10=1,INDEX('Live History'!$G$5:$G$3004,MATCH($A1511,'Live History'!$G$5:$G$3004,1)),INDEX('AH History'!$F$1:$F$18046,AH!$P$7+1506))),NA()),NA())</ns0:f>
        <ns0:v/>
      </ns0:c>
      <ns0:c r="H1511">
        <ns0:f>IFERROR(IF(AND(AH!$E$4="Bloomberg",AH!$P$10=1,ISNUMBER($A1511),$A1511&lt;=AH!$P$17),AH!$P$7-1+MATCH($A1511,INDEX('AH History'!$A$1:$A$18046,AH!$P$7):INDEX('AH History'!$A$1:$A$18046,AH!$P$7+AH!$P$8-1),0),0),0)</ns0:f>
        <ns0:v/>
      </ns0:c>
      <ns0:c r="I1511">
        <ns0:f>IF($H1511=0,0,IFERROR(IF(AND(ABS($C1511-INDEX('AH History'!$B$1:$B$18046,$H1511))&lt;=MAX(0.005,ABS(INDEX('AH History'!$B$1:$B$18046,$H1511))*0.00005),ABS($D1511-INDEX('AH History'!$C$1:$C$18046,$H1511))&lt;=MAX(0.005,ABS(INDEX('AH History'!$C$1:$C$18046,$H1511))*0.00005),ABS($E1511-INDEX('AH History'!$D$1:$D$18046,$H1511))&lt;=0.00005,$F1511=INDEX('AH History'!$E$1:$E$18046,$H1511),$G1511=INDEX('AH History'!$F$1:$F$18046,$H1511)),1,-1),-1))</ns0:f>
        <ns0:v/>
      </ns0:c>
    </ns0:row>
    <ns0:row r="1512">
      <ns0:c r="A1512" s="215">
        <ns0:f>IF(OR(AH!$P$3=0,1507+1&gt;AH!$P$11,AND(AH!$E$4&lt;&gt;"Stored",AH!$P$10&lt;&gt;1)),"",IFERROR(IF(AND(AH!$P$21=1,1507+1=AH!$P$11),TODAY(),IF(AH!$P$10=1,INDEX('Live History'!$A$5:$A$3004,AH!$P$13+1507),INDEX('AH History'!$A$1:$A$18046,AH!$P$7+1507))),""))</ns0:f>
        <ns0:v/>
      </ns0:c>
      <ns0:c r="B1512" s="219">
        <ns0:f>IFERROR(IF(AND(AH!$P$9&lt;&gt;1,$C1512&gt;0,$D1512&gt;0,$E1512&gt;0,$F1512&gt;0,$G1512&gt;0,$F1512&lt;=$A1512,$G1512&lt;=$A1512,$A1512-$F1512&lt;=10,$A1512-$G1512&lt;=5),$D1512*$E1512/$C1512-1,NA()),NA())</ns0:f>
        <ns0:v/>
      </ns0:c>
      <ns0:c r="C1512">
        <ns0:f>IFERROR(IF(ISNUMBER($A1512),IF(AND(AH!$P$10=1,AH!$P$12=1,$A1512=TODAY()),AH!$P$19,IF(AH!$P$10=1,INDEX('Live History'!$B$5:$B$3004,AH!$P$13+1507),INDEX('AH History'!$B$1:$B$18046,AH!$P$7+1507))),NA()),NA())</ns0:f>
        <ns0:v/>
      </ns0:c>
      <ns0:c r="D1512">
        <ns0:f>IFERROR(IF(ISNUMBER($A1512),IF(AND(AH!$P$10=1,AH!$P$12=1,$A1512=TODAY()),AH!$P$18,IF(AH!$P$10=1,INDEX('Live History'!$E$5:$E$3004,MATCH($A1512,'Live History'!$D$5:$D$3004,1)),INDEX('AH History'!$C$1:$C$18046,AH!$P$7+1507))),NA()),NA())</ns0:f>
        <ns0:v/>
      </ns0:c>
      <ns0:c r="E1512">
        <ns0:f>IFERROR(IF(ISNUMBER($A1512),IF(AND(AH!$P$10=1,AH!$P$12=1,$A1512=TODAY()),AH!$P$20,IF(AH!$P$10=1,INDEX('Live History'!$H$5:$H$3004,MATCH($A1512,'Live History'!$G$5:$G$3004,1)),INDEX('AH History'!$D$1:$D$18046,AH!$P$7+1507))),NA()),NA())</ns0:f>
        <ns0:v/>
      </ns0:c>
      <ns0:c r="F1512">
        <ns0:f>IFERROR(IF(ISNUMBER($A1512),IF(AND(AH!$P$10=1,AH!$P$12=1,$A1512=TODAY()),IF(AND(AH!$P$10=1,AH!$P$12=1,$A1512=TODAY()),TODAY(),NA()),IF(AH!$P$10=1,INDEX('Live History'!$D$5:$D$3004,MATCH($A1512,'Live History'!$D$5:$D$3004,1)),INDEX('AH History'!$E$1:$E$18046,AH!$P$7+1507))),NA()),NA())</ns0:f>
        <ns0:v/>
      </ns0:c>
      <ns0:c r="G1512">
        <ns0:f>IFERROR(IF(ISNUMBER($A1512),IF(AND(AH!$P$10=1,AH!$P$12=1,$A1512=TODAY()),IF(AND(AH!$P$10=1,AH!$P$12=1,$A1512=TODAY()),TODAY(),NA()),IF(AH!$P$10=1,INDEX('Live History'!$G$5:$G$3004,MATCH($A1512,'Live History'!$G$5:$G$3004,1)),INDEX('AH History'!$F$1:$F$18046,AH!$P$7+1507))),NA()),NA())</ns0:f>
        <ns0:v/>
      </ns0:c>
      <ns0:c r="H1512">
        <ns0:f>IFERROR(IF(AND(AH!$E$4="Bloomberg",AH!$P$10=1,ISNUMBER($A1512),$A1512&lt;=AH!$P$17),AH!$P$7-1+MATCH($A1512,INDEX('AH History'!$A$1:$A$18046,AH!$P$7):INDEX('AH History'!$A$1:$A$18046,AH!$P$7+AH!$P$8-1),0),0),0)</ns0:f>
        <ns0:v/>
      </ns0:c>
      <ns0:c r="I1512">
        <ns0:f>IF($H1512=0,0,IFERROR(IF(AND(ABS($C1512-INDEX('AH History'!$B$1:$B$18046,$H1512))&lt;=MAX(0.005,ABS(INDEX('AH History'!$B$1:$B$18046,$H1512))*0.00005),ABS($D1512-INDEX('AH History'!$C$1:$C$18046,$H1512))&lt;=MAX(0.005,ABS(INDEX('AH History'!$C$1:$C$18046,$H1512))*0.00005),ABS($E1512-INDEX('AH History'!$D$1:$D$18046,$H1512))&lt;=0.00005,$F1512=INDEX('AH History'!$E$1:$E$18046,$H1512),$G1512=INDEX('AH History'!$F$1:$F$18046,$H1512)),1,-1),-1))</ns0:f>
        <ns0:v/>
      </ns0:c>
    </ns0:row>
    <ns0:row r="1513">
      <ns0:c r="A1513" s="215">
        <ns0:f>IF(OR(AH!$P$3=0,1508+1&gt;AH!$P$11,AND(AH!$E$4&lt;&gt;"Stored",AH!$P$10&lt;&gt;1)),"",IFERROR(IF(AND(AH!$P$21=1,1508+1=AH!$P$11),TODAY(),IF(AH!$P$10=1,INDEX('Live History'!$A$5:$A$3004,AH!$P$13+1508),INDEX('AH History'!$A$1:$A$18046,AH!$P$7+1508))),""))</ns0:f>
        <ns0:v/>
      </ns0:c>
      <ns0:c r="B1513" s="219">
        <ns0:f>IFERROR(IF(AND(AH!$P$9&lt;&gt;1,$C1513&gt;0,$D1513&gt;0,$E1513&gt;0,$F1513&gt;0,$G1513&gt;0,$F1513&lt;=$A1513,$G1513&lt;=$A1513,$A1513-$F1513&lt;=10,$A1513-$G1513&lt;=5),$D1513*$E1513/$C1513-1,NA()),NA())</ns0:f>
        <ns0:v/>
      </ns0:c>
      <ns0:c r="C1513">
        <ns0:f>IFERROR(IF(ISNUMBER($A1513),IF(AND(AH!$P$10=1,AH!$P$12=1,$A1513=TODAY()),AH!$P$19,IF(AH!$P$10=1,INDEX('Live History'!$B$5:$B$3004,AH!$P$13+1508),INDEX('AH History'!$B$1:$B$18046,AH!$P$7+1508))),NA()),NA())</ns0:f>
        <ns0:v/>
      </ns0:c>
      <ns0:c r="D1513">
        <ns0:f>IFERROR(IF(ISNUMBER($A1513),IF(AND(AH!$P$10=1,AH!$P$12=1,$A1513=TODAY()),AH!$P$18,IF(AH!$P$10=1,INDEX('Live History'!$E$5:$E$3004,MATCH($A1513,'Live History'!$D$5:$D$3004,1)),INDEX('AH History'!$C$1:$C$18046,AH!$P$7+1508))),NA()),NA())</ns0:f>
        <ns0:v/>
      </ns0:c>
      <ns0:c r="E1513">
        <ns0:f>IFERROR(IF(ISNUMBER($A1513),IF(AND(AH!$P$10=1,AH!$P$12=1,$A1513=TODAY()),AH!$P$20,IF(AH!$P$10=1,INDEX('Live History'!$H$5:$H$3004,MATCH($A1513,'Live History'!$G$5:$G$3004,1)),INDEX('AH History'!$D$1:$D$18046,AH!$P$7+1508))),NA()),NA())</ns0:f>
        <ns0:v/>
      </ns0:c>
      <ns0:c r="F1513">
        <ns0:f>IFERROR(IF(ISNUMBER($A1513),IF(AND(AH!$P$10=1,AH!$P$12=1,$A1513=TODAY()),IF(AND(AH!$P$10=1,AH!$P$12=1,$A1513=TODAY()),TODAY(),NA()),IF(AH!$P$10=1,INDEX('Live History'!$D$5:$D$3004,MATCH($A1513,'Live History'!$D$5:$D$3004,1)),INDEX('AH History'!$E$1:$E$18046,AH!$P$7+1508))),NA()),NA())</ns0:f>
        <ns0:v/>
      </ns0:c>
      <ns0:c r="G1513">
        <ns0:f>IFERROR(IF(ISNUMBER($A1513),IF(AND(AH!$P$10=1,AH!$P$12=1,$A1513=TODAY()),IF(AND(AH!$P$10=1,AH!$P$12=1,$A1513=TODAY()),TODAY(),NA()),IF(AH!$P$10=1,INDEX('Live History'!$G$5:$G$3004,MATCH($A1513,'Live History'!$G$5:$G$3004,1)),INDEX('AH History'!$F$1:$F$18046,AH!$P$7+1508))),NA()),NA())</ns0:f>
        <ns0:v/>
      </ns0:c>
      <ns0:c r="H1513">
        <ns0:f>IFERROR(IF(AND(AH!$E$4="Bloomberg",AH!$P$10=1,ISNUMBER($A1513),$A1513&lt;=AH!$P$17),AH!$P$7-1+MATCH($A1513,INDEX('AH History'!$A$1:$A$18046,AH!$P$7):INDEX('AH History'!$A$1:$A$18046,AH!$P$7+AH!$P$8-1),0),0),0)</ns0:f>
        <ns0:v/>
      </ns0:c>
      <ns0:c r="I1513">
        <ns0:f>IF($H1513=0,0,IFERROR(IF(AND(ABS($C1513-INDEX('AH History'!$B$1:$B$18046,$H1513))&lt;=MAX(0.005,ABS(INDEX('AH History'!$B$1:$B$18046,$H1513))*0.00005),ABS($D1513-INDEX('AH History'!$C$1:$C$18046,$H1513))&lt;=MAX(0.005,ABS(INDEX('AH History'!$C$1:$C$18046,$H1513))*0.00005),ABS($E1513-INDEX('AH History'!$D$1:$D$18046,$H1513))&lt;=0.00005,$F1513=INDEX('AH History'!$E$1:$E$18046,$H1513),$G1513=INDEX('AH History'!$F$1:$F$18046,$H1513)),1,-1),-1))</ns0:f>
        <ns0:v/>
      </ns0:c>
    </ns0:row>
    <ns0:row r="1514">
      <ns0:c r="A1514" s="215">
        <ns0:f>IF(OR(AH!$P$3=0,1509+1&gt;AH!$P$11,AND(AH!$E$4&lt;&gt;"Stored",AH!$P$10&lt;&gt;1)),"",IFERROR(IF(AND(AH!$P$21=1,1509+1=AH!$P$11),TODAY(),IF(AH!$P$10=1,INDEX('Live History'!$A$5:$A$3004,AH!$P$13+1509),INDEX('AH History'!$A$1:$A$18046,AH!$P$7+1509))),""))</ns0:f>
        <ns0:v/>
      </ns0:c>
      <ns0:c r="B1514" s="219">
        <ns0:f>IFERROR(IF(AND(AH!$P$9&lt;&gt;1,$C1514&gt;0,$D1514&gt;0,$E1514&gt;0,$F1514&gt;0,$G1514&gt;0,$F1514&lt;=$A1514,$G1514&lt;=$A1514,$A1514-$F1514&lt;=10,$A1514-$G1514&lt;=5),$D1514*$E1514/$C1514-1,NA()),NA())</ns0:f>
        <ns0:v/>
      </ns0:c>
      <ns0:c r="C1514">
        <ns0:f>IFERROR(IF(ISNUMBER($A1514),IF(AND(AH!$P$10=1,AH!$P$12=1,$A1514=TODAY()),AH!$P$19,IF(AH!$P$10=1,INDEX('Live History'!$B$5:$B$3004,AH!$P$13+1509),INDEX('AH History'!$B$1:$B$18046,AH!$P$7+1509))),NA()),NA())</ns0:f>
        <ns0:v/>
      </ns0:c>
      <ns0:c r="D1514">
        <ns0:f>IFERROR(IF(ISNUMBER($A1514),IF(AND(AH!$P$10=1,AH!$P$12=1,$A1514=TODAY()),AH!$P$18,IF(AH!$P$10=1,INDEX('Live History'!$E$5:$E$3004,MATCH($A1514,'Live History'!$D$5:$D$3004,1)),INDEX('AH History'!$C$1:$C$18046,AH!$P$7+1509))),NA()),NA())</ns0:f>
        <ns0:v/>
      </ns0:c>
      <ns0:c r="E1514">
        <ns0:f>IFERROR(IF(ISNUMBER($A1514),IF(AND(AH!$P$10=1,AH!$P$12=1,$A1514=TODAY()),AH!$P$20,IF(AH!$P$10=1,INDEX('Live History'!$H$5:$H$3004,MATCH($A1514,'Live History'!$G$5:$G$3004,1)),INDEX('AH History'!$D$1:$D$18046,AH!$P$7+1509))),NA()),NA())</ns0:f>
        <ns0:v/>
      </ns0:c>
      <ns0:c r="F1514">
        <ns0:f>IFERROR(IF(ISNUMBER($A1514),IF(AND(AH!$P$10=1,AH!$P$12=1,$A1514=TODAY()),IF(AND(AH!$P$10=1,AH!$P$12=1,$A1514=TODAY()),TODAY(),NA()),IF(AH!$P$10=1,INDEX('Live History'!$D$5:$D$3004,MATCH($A1514,'Live History'!$D$5:$D$3004,1)),INDEX('AH History'!$E$1:$E$18046,AH!$P$7+1509))),NA()),NA())</ns0:f>
        <ns0:v/>
      </ns0:c>
      <ns0:c r="G1514">
        <ns0:f>IFERROR(IF(ISNUMBER($A1514),IF(AND(AH!$P$10=1,AH!$P$12=1,$A1514=TODAY()),IF(AND(AH!$P$10=1,AH!$P$12=1,$A1514=TODAY()),TODAY(),NA()),IF(AH!$P$10=1,INDEX('Live History'!$G$5:$G$3004,MATCH($A1514,'Live History'!$G$5:$G$3004,1)),INDEX('AH History'!$F$1:$F$18046,AH!$P$7+1509))),NA()),NA())</ns0:f>
        <ns0:v/>
      </ns0:c>
      <ns0:c r="H1514">
        <ns0:f>IFERROR(IF(AND(AH!$E$4="Bloomberg",AH!$P$10=1,ISNUMBER($A1514),$A1514&lt;=AH!$P$17),AH!$P$7-1+MATCH($A1514,INDEX('AH History'!$A$1:$A$18046,AH!$P$7):INDEX('AH History'!$A$1:$A$18046,AH!$P$7+AH!$P$8-1),0),0),0)</ns0:f>
        <ns0:v/>
      </ns0:c>
      <ns0:c r="I1514">
        <ns0:f>IF($H1514=0,0,IFERROR(IF(AND(ABS($C1514-INDEX('AH History'!$B$1:$B$18046,$H1514))&lt;=MAX(0.005,ABS(INDEX('AH History'!$B$1:$B$18046,$H1514))*0.00005),ABS($D1514-INDEX('AH History'!$C$1:$C$18046,$H1514))&lt;=MAX(0.005,ABS(INDEX('AH History'!$C$1:$C$18046,$H1514))*0.00005),ABS($E1514-INDEX('AH History'!$D$1:$D$18046,$H1514))&lt;=0.00005,$F1514=INDEX('AH History'!$E$1:$E$18046,$H1514),$G1514=INDEX('AH History'!$F$1:$F$18046,$H1514)),1,-1),-1))</ns0:f>
        <ns0:v/>
      </ns0:c>
    </ns0:row>
    <ns0:row r="1515">
      <ns0:c r="A1515" s="215">
        <ns0:f>IF(OR(AH!$P$3=0,1510+1&gt;AH!$P$11,AND(AH!$E$4&lt;&gt;"Stored",AH!$P$10&lt;&gt;1)),"",IFERROR(IF(AND(AH!$P$21=1,1510+1=AH!$P$11),TODAY(),IF(AH!$P$10=1,INDEX('Live History'!$A$5:$A$3004,AH!$P$13+1510),INDEX('AH History'!$A$1:$A$18046,AH!$P$7+1510))),""))</ns0:f>
        <ns0:v/>
      </ns0:c>
      <ns0:c r="B1515" s="219">
        <ns0:f>IFERROR(IF(AND(AH!$P$9&lt;&gt;1,$C1515&gt;0,$D1515&gt;0,$E1515&gt;0,$F1515&gt;0,$G1515&gt;0,$F1515&lt;=$A1515,$G1515&lt;=$A1515,$A1515-$F1515&lt;=10,$A1515-$G1515&lt;=5),$D1515*$E1515/$C1515-1,NA()),NA())</ns0:f>
        <ns0:v/>
      </ns0:c>
      <ns0:c r="C1515">
        <ns0:f>IFERROR(IF(ISNUMBER($A1515),IF(AND(AH!$P$10=1,AH!$P$12=1,$A1515=TODAY()),AH!$P$19,IF(AH!$P$10=1,INDEX('Live History'!$B$5:$B$3004,AH!$P$13+1510),INDEX('AH History'!$B$1:$B$18046,AH!$P$7+1510))),NA()),NA())</ns0:f>
        <ns0:v/>
      </ns0:c>
      <ns0:c r="D1515">
        <ns0:f>IFERROR(IF(ISNUMBER($A1515),IF(AND(AH!$P$10=1,AH!$P$12=1,$A1515=TODAY()),AH!$P$18,IF(AH!$P$10=1,INDEX('Live History'!$E$5:$E$3004,MATCH($A1515,'Live History'!$D$5:$D$3004,1)),INDEX('AH History'!$C$1:$C$18046,AH!$P$7+1510))),NA()),NA())</ns0:f>
        <ns0:v/>
      </ns0:c>
      <ns0:c r="E1515">
        <ns0:f>IFERROR(IF(ISNUMBER($A1515),IF(AND(AH!$P$10=1,AH!$P$12=1,$A1515=TODAY()),AH!$P$20,IF(AH!$P$10=1,INDEX('Live History'!$H$5:$H$3004,MATCH($A1515,'Live History'!$G$5:$G$3004,1)),INDEX('AH History'!$D$1:$D$18046,AH!$P$7+1510))),NA()),NA())</ns0:f>
        <ns0:v/>
      </ns0:c>
      <ns0:c r="F1515">
        <ns0:f>IFERROR(IF(ISNUMBER($A1515),IF(AND(AH!$P$10=1,AH!$P$12=1,$A1515=TODAY()),IF(AND(AH!$P$10=1,AH!$P$12=1,$A1515=TODAY()),TODAY(),NA()),IF(AH!$P$10=1,INDEX('Live History'!$D$5:$D$3004,MATCH($A1515,'Live History'!$D$5:$D$3004,1)),INDEX('AH History'!$E$1:$E$18046,AH!$P$7+1510))),NA()),NA())</ns0:f>
        <ns0:v/>
      </ns0:c>
      <ns0:c r="G1515">
        <ns0:f>IFERROR(IF(ISNUMBER($A1515),IF(AND(AH!$P$10=1,AH!$P$12=1,$A1515=TODAY()),IF(AND(AH!$P$10=1,AH!$P$12=1,$A1515=TODAY()),TODAY(),NA()),IF(AH!$P$10=1,INDEX('Live History'!$G$5:$G$3004,MATCH($A1515,'Live History'!$G$5:$G$3004,1)),INDEX('AH History'!$F$1:$F$18046,AH!$P$7+1510))),NA()),NA())</ns0:f>
        <ns0:v/>
      </ns0:c>
      <ns0:c r="H1515">
        <ns0:f>IFERROR(IF(AND(AH!$E$4="Bloomberg",AH!$P$10=1,ISNUMBER($A1515),$A1515&lt;=AH!$P$17),AH!$P$7-1+MATCH($A1515,INDEX('AH History'!$A$1:$A$18046,AH!$P$7):INDEX('AH History'!$A$1:$A$18046,AH!$P$7+AH!$P$8-1),0),0),0)</ns0:f>
        <ns0:v/>
      </ns0:c>
      <ns0:c r="I1515">
        <ns0:f>IF($H1515=0,0,IFERROR(IF(AND(ABS($C1515-INDEX('AH History'!$B$1:$B$18046,$H1515))&lt;=MAX(0.005,ABS(INDEX('AH History'!$B$1:$B$18046,$H1515))*0.00005),ABS($D1515-INDEX('AH History'!$C$1:$C$18046,$H1515))&lt;=MAX(0.005,ABS(INDEX('AH History'!$C$1:$C$18046,$H1515))*0.00005),ABS($E1515-INDEX('AH History'!$D$1:$D$18046,$H1515))&lt;=0.00005,$F1515=INDEX('AH History'!$E$1:$E$18046,$H1515),$G1515=INDEX('AH History'!$F$1:$F$18046,$H1515)),1,-1),-1))</ns0:f>
        <ns0:v/>
      </ns0:c>
    </ns0:row>
    <ns0:row r="1516">
      <ns0:c r="A1516" s="215">
        <ns0:f>IF(OR(AH!$P$3=0,1511+1&gt;AH!$P$11,AND(AH!$E$4&lt;&gt;"Stored",AH!$P$10&lt;&gt;1)),"",IFERROR(IF(AND(AH!$P$21=1,1511+1=AH!$P$11),TODAY(),IF(AH!$P$10=1,INDEX('Live History'!$A$5:$A$3004,AH!$P$13+1511),INDEX('AH History'!$A$1:$A$18046,AH!$P$7+1511))),""))</ns0:f>
        <ns0:v/>
      </ns0:c>
      <ns0:c r="B1516" s="219">
        <ns0:f>IFERROR(IF(AND(AH!$P$9&lt;&gt;1,$C1516&gt;0,$D1516&gt;0,$E1516&gt;0,$F1516&gt;0,$G1516&gt;0,$F1516&lt;=$A1516,$G1516&lt;=$A1516,$A1516-$F1516&lt;=10,$A1516-$G1516&lt;=5),$D1516*$E1516/$C1516-1,NA()),NA())</ns0:f>
        <ns0:v/>
      </ns0:c>
      <ns0:c r="C1516">
        <ns0:f>IFERROR(IF(ISNUMBER($A1516),IF(AND(AH!$P$10=1,AH!$P$12=1,$A1516=TODAY()),AH!$P$19,IF(AH!$P$10=1,INDEX('Live History'!$B$5:$B$3004,AH!$P$13+1511),INDEX('AH History'!$B$1:$B$18046,AH!$P$7+1511))),NA()),NA())</ns0:f>
        <ns0:v/>
      </ns0:c>
      <ns0:c r="D1516">
        <ns0:f>IFERROR(IF(ISNUMBER($A1516),IF(AND(AH!$P$10=1,AH!$P$12=1,$A1516=TODAY()),AH!$P$18,IF(AH!$P$10=1,INDEX('Live History'!$E$5:$E$3004,MATCH($A1516,'Live History'!$D$5:$D$3004,1)),INDEX('AH History'!$C$1:$C$18046,AH!$P$7+1511))),NA()),NA())</ns0:f>
        <ns0:v/>
      </ns0:c>
      <ns0:c r="E1516">
        <ns0:f>IFERROR(IF(ISNUMBER($A1516),IF(AND(AH!$P$10=1,AH!$P$12=1,$A1516=TODAY()),AH!$P$20,IF(AH!$P$10=1,INDEX('Live History'!$H$5:$H$3004,MATCH($A1516,'Live History'!$G$5:$G$3004,1)),INDEX('AH History'!$D$1:$D$18046,AH!$P$7+1511))),NA()),NA())</ns0:f>
        <ns0:v/>
      </ns0:c>
      <ns0:c r="F1516">
        <ns0:f>IFERROR(IF(ISNUMBER($A1516),IF(AND(AH!$P$10=1,AH!$P$12=1,$A1516=TODAY()),IF(AND(AH!$P$10=1,AH!$P$12=1,$A1516=TODAY()),TODAY(),NA()),IF(AH!$P$10=1,INDEX('Live History'!$D$5:$D$3004,MATCH($A1516,'Live History'!$D$5:$D$3004,1)),INDEX('AH History'!$E$1:$E$18046,AH!$P$7+1511))),NA()),NA())</ns0:f>
        <ns0:v/>
      </ns0:c>
      <ns0:c r="G1516">
        <ns0:f>IFERROR(IF(ISNUMBER($A1516),IF(AND(AH!$P$10=1,AH!$P$12=1,$A1516=TODAY()),IF(AND(AH!$P$10=1,AH!$P$12=1,$A1516=TODAY()),TODAY(),NA()),IF(AH!$P$10=1,INDEX('Live History'!$G$5:$G$3004,MATCH($A1516,'Live History'!$G$5:$G$3004,1)),INDEX('AH History'!$F$1:$F$18046,AH!$P$7+1511))),NA()),NA())</ns0:f>
        <ns0:v/>
      </ns0:c>
      <ns0:c r="H1516">
        <ns0:f>IFERROR(IF(AND(AH!$E$4="Bloomberg",AH!$P$10=1,ISNUMBER($A1516),$A1516&lt;=AH!$P$17),AH!$P$7-1+MATCH($A1516,INDEX('AH History'!$A$1:$A$18046,AH!$P$7):INDEX('AH History'!$A$1:$A$18046,AH!$P$7+AH!$P$8-1),0),0),0)</ns0:f>
        <ns0:v/>
      </ns0:c>
      <ns0:c r="I1516">
        <ns0:f>IF($H1516=0,0,IFERROR(IF(AND(ABS($C1516-INDEX('AH History'!$B$1:$B$18046,$H1516))&lt;=MAX(0.005,ABS(INDEX('AH History'!$B$1:$B$18046,$H1516))*0.00005),ABS($D1516-INDEX('AH History'!$C$1:$C$18046,$H1516))&lt;=MAX(0.005,ABS(INDEX('AH History'!$C$1:$C$18046,$H1516))*0.00005),ABS($E1516-INDEX('AH History'!$D$1:$D$18046,$H1516))&lt;=0.00005,$F1516=INDEX('AH History'!$E$1:$E$18046,$H1516),$G1516=INDEX('AH History'!$F$1:$F$18046,$H1516)),1,-1),-1))</ns0:f>
        <ns0:v/>
      </ns0:c>
    </ns0:row>
    <ns0:row r="1517">
      <ns0:c r="A1517" s="215">
        <ns0:f>IF(OR(AH!$P$3=0,1512+1&gt;AH!$P$11,AND(AH!$E$4&lt;&gt;"Stored",AH!$P$10&lt;&gt;1)),"",IFERROR(IF(AND(AH!$P$21=1,1512+1=AH!$P$11),TODAY(),IF(AH!$P$10=1,INDEX('Live History'!$A$5:$A$3004,AH!$P$13+1512),INDEX('AH History'!$A$1:$A$18046,AH!$P$7+1512))),""))</ns0:f>
        <ns0:v/>
      </ns0:c>
      <ns0:c r="B1517" s="219">
        <ns0:f>IFERROR(IF(AND(AH!$P$9&lt;&gt;1,$C1517&gt;0,$D1517&gt;0,$E1517&gt;0,$F1517&gt;0,$G1517&gt;0,$F1517&lt;=$A1517,$G1517&lt;=$A1517,$A1517-$F1517&lt;=10,$A1517-$G1517&lt;=5),$D1517*$E1517/$C1517-1,NA()),NA())</ns0:f>
        <ns0:v/>
      </ns0:c>
      <ns0:c r="C1517">
        <ns0:f>IFERROR(IF(ISNUMBER($A1517),IF(AND(AH!$P$10=1,AH!$P$12=1,$A1517=TODAY()),AH!$P$19,IF(AH!$P$10=1,INDEX('Live History'!$B$5:$B$3004,AH!$P$13+1512),INDEX('AH History'!$B$1:$B$18046,AH!$P$7+1512))),NA()),NA())</ns0:f>
        <ns0:v/>
      </ns0:c>
      <ns0:c r="D1517">
        <ns0:f>IFERROR(IF(ISNUMBER($A1517),IF(AND(AH!$P$10=1,AH!$P$12=1,$A1517=TODAY()),AH!$P$18,IF(AH!$P$10=1,INDEX('Live History'!$E$5:$E$3004,MATCH($A1517,'Live History'!$D$5:$D$3004,1)),INDEX('AH History'!$C$1:$C$18046,AH!$P$7+1512))),NA()),NA())</ns0:f>
        <ns0:v/>
      </ns0:c>
      <ns0:c r="E1517">
        <ns0:f>IFERROR(IF(ISNUMBER($A1517),IF(AND(AH!$P$10=1,AH!$P$12=1,$A1517=TODAY()),AH!$P$20,IF(AH!$P$10=1,INDEX('Live History'!$H$5:$H$3004,MATCH($A1517,'Live History'!$G$5:$G$3004,1)),INDEX('AH History'!$D$1:$D$18046,AH!$P$7+1512))),NA()),NA())</ns0:f>
        <ns0:v/>
      </ns0:c>
      <ns0:c r="F1517">
        <ns0:f>IFERROR(IF(ISNUMBER($A1517),IF(AND(AH!$P$10=1,AH!$P$12=1,$A1517=TODAY()),IF(AND(AH!$P$10=1,AH!$P$12=1,$A1517=TODAY()),TODAY(),NA()),IF(AH!$P$10=1,INDEX('Live History'!$D$5:$D$3004,MATCH($A1517,'Live History'!$D$5:$D$3004,1)),INDEX('AH History'!$E$1:$E$18046,AH!$P$7+1512))),NA()),NA())</ns0:f>
        <ns0:v/>
      </ns0:c>
      <ns0:c r="G1517">
        <ns0:f>IFERROR(IF(ISNUMBER($A1517),IF(AND(AH!$P$10=1,AH!$P$12=1,$A1517=TODAY()),IF(AND(AH!$P$10=1,AH!$P$12=1,$A1517=TODAY()),TODAY(),NA()),IF(AH!$P$10=1,INDEX('Live History'!$G$5:$G$3004,MATCH($A1517,'Live History'!$G$5:$G$3004,1)),INDEX('AH History'!$F$1:$F$18046,AH!$P$7+1512))),NA()),NA())</ns0:f>
        <ns0:v/>
      </ns0:c>
      <ns0:c r="H1517">
        <ns0:f>IFERROR(IF(AND(AH!$E$4="Bloomberg",AH!$P$10=1,ISNUMBER($A1517),$A1517&lt;=AH!$P$17),AH!$P$7-1+MATCH($A1517,INDEX('AH History'!$A$1:$A$18046,AH!$P$7):INDEX('AH History'!$A$1:$A$18046,AH!$P$7+AH!$P$8-1),0),0),0)</ns0:f>
        <ns0:v/>
      </ns0:c>
      <ns0:c r="I1517">
        <ns0:f>IF($H1517=0,0,IFERROR(IF(AND(ABS($C1517-INDEX('AH History'!$B$1:$B$18046,$H1517))&lt;=MAX(0.005,ABS(INDEX('AH History'!$B$1:$B$18046,$H1517))*0.00005),ABS($D1517-INDEX('AH History'!$C$1:$C$18046,$H1517))&lt;=MAX(0.005,ABS(INDEX('AH History'!$C$1:$C$18046,$H1517))*0.00005),ABS($E1517-INDEX('AH History'!$D$1:$D$18046,$H1517))&lt;=0.00005,$F1517=INDEX('AH History'!$E$1:$E$18046,$H1517),$G1517=INDEX('AH History'!$F$1:$F$18046,$H1517)),1,-1),-1))</ns0:f>
        <ns0:v/>
      </ns0:c>
    </ns0:row>
    <ns0:row r="1518">
      <ns0:c r="A1518" s="215">
        <ns0:f>IF(OR(AH!$P$3=0,1513+1&gt;AH!$P$11,AND(AH!$E$4&lt;&gt;"Stored",AH!$P$10&lt;&gt;1)),"",IFERROR(IF(AND(AH!$P$21=1,1513+1=AH!$P$11),TODAY(),IF(AH!$P$10=1,INDEX('Live History'!$A$5:$A$3004,AH!$P$13+1513),INDEX('AH History'!$A$1:$A$18046,AH!$P$7+1513))),""))</ns0:f>
        <ns0:v/>
      </ns0:c>
      <ns0:c r="B1518" s="219">
        <ns0:f>IFERROR(IF(AND(AH!$P$9&lt;&gt;1,$C1518&gt;0,$D1518&gt;0,$E1518&gt;0,$F1518&gt;0,$G1518&gt;0,$F1518&lt;=$A1518,$G1518&lt;=$A1518,$A1518-$F1518&lt;=10,$A1518-$G1518&lt;=5),$D1518*$E1518/$C1518-1,NA()),NA())</ns0:f>
        <ns0:v/>
      </ns0:c>
      <ns0:c r="C1518">
        <ns0:f>IFERROR(IF(ISNUMBER($A1518),IF(AND(AH!$P$10=1,AH!$P$12=1,$A1518=TODAY()),AH!$P$19,IF(AH!$P$10=1,INDEX('Live History'!$B$5:$B$3004,AH!$P$13+1513),INDEX('AH History'!$B$1:$B$18046,AH!$P$7+1513))),NA()),NA())</ns0:f>
        <ns0:v/>
      </ns0:c>
      <ns0:c r="D1518">
        <ns0:f>IFERROR(IF(ISNUMBER($A1518),IF(AND(AH!$P$10=1,AH!$P$12=1,$A1518=TODAY()),AH!$P$18,IF(AH!$P$10=1,INDEX('Live History'!$E$5:$E$3004,MATCH($A1518,'Live History'!$D$5:$D$3004,1)),INDEX('AH History'!$C$1:$C$18046,AH!$P$7+1513))),NA()),NA())</ns0:f>
        <ns0:v/>
      </ns0:c>
      <ns0:c r="E1518">
        <ns0:f>IFERROR(IF(ISNUMBER($A1518),IF(AND(AH!$P$10=1,AH!$P$12=1,$A1518=TODAY()),AH!$P$20,IF(AH!$P$10=1,INDEX('Live History'!$H$5:$H$3004,MATCH($A1518,'Live History'!$G$5:$G$3004,1)),INDEX('AH History'!$D$1:$D$18046,AH!$P$7+1513))),NA()),NA())</ns0:f>
        <ns0:v/>
      </ns0:c>
      <ns0:c r="F1518">
        <ns0:f>IFERROR(IF(ISNUMBER($A1518),IF(AND(AH!$P$10=1,AH!$P$12=1,$A1518=TODAY()),IF(AND(AH!$P$10=1,AH!$P$12=1,$A1518=TODAY()),TODAY(),NA()),IF(AH!$P$10=1,INDEX('Live History'!$D$5:$D$3004,MATCH($A1518,'Live History'!$D$5:$D$3004,1)),INDEX('AH History'!$E$1:$E$18046,AH!$P$7+1513))),NA()),NA())</ns0:f>
        <ns0:v/>
      </ns0:c>
      <ns0:c r="G1518">
        <ns0:f>IFERROR(IF(ISNUMBER($A1518),IF(AND(AH!$P$10=1,AH!$P$12=1,$A1518=TODAY()),IF(AND(AH!$P$10=1,AH!$P$12=1,$A1518=TODAY()),TODAY(),NA()),IF(AH!$P$10=1,INDEX('Live History'!$G$5:$G$3004,MATCH($A1518,'Live History'!$G$5:$G$3004,1)),INDEX('AH History'!$F$1:$F$18046,AH!$P$7+1513))),NA()),NA())</ns0:f>
        <ns0:v/>
      </ns0:c>
      <ns0:c r="H1518">
        <ns0:f>IFERROR(IF(AND(AH!$E$4="Bloomberg",AH!$P$10=1,ISNUMBER($A1518),$A1518&lt;=AH!$P$17),AH!$P$7-1+MATCH($A1518,INDEX('AH History'!$A$1:$A$18046,AH!$P$7):INDEX('AH History'!$A$1:$A$18046,AH!$P$7+AH!$P$8-1),0),0),0)</ns0:f>
        <ns0:v/>
      </ns0:c>
      <ns0:c r="I1518">
        <ns0:f>IF($H1518=0,0,IFERROR(IF(AND(ABS($C1518-INDEX('AH History'!$B$1:$B$18046,$H1518))&lt;=MAX(0.005,ABS(INDEX('AH History'!$B$1:$B$18046,$H1518))*0.00005),ABS($D1518-INDEX('AH History'!$C$1:$C$18046,$H1518))&lt;=MAX(0.005,ABS(INDEX('AH History'!$C$1:$C$18046,$H1518))*0.00005),ABS($E1518-INDEX('AH History'!$D$1:$D$18046,$H1518))&lt;=0.00005,$F1518=INDEX('AH History'!$E$1:$E$18046,$H1518),$G1518=INDEX('AH History'!$F$1:$F$18046,$H1518)),1,-1),-1))</ns0:f>
        <ns0:v/>
      </ns0:c>
    </ns0:row>
    <ns0:row r="1519">
      <ns0:c r="A1519" s="215">
        <ns0:f>IF(OR(AH!$P$3=0,1514+1&gt;AH!$P$11,AND(AH!$E$4&lt;&gt;"Stored",AH!$P$10&lt;&gt;1)),"",IFERROR(IF(AND(AH!$P$21=1,1514+1=AH!$P$11),TODAY(),IF(AH!$P$10=1,INDEX('Live History'!$A$5:$A$3004,AH!$P$13+1514),INDEX('AH History'!$A$1:$A$18046,AH!$P$7+1514))),""))</ns0:f>
        <ns0:v/>
      </ns0:c>
      <ns0:c r="B1519" s="219">
        <ns0:f>IFERROR(IF(AND(AH!$P$9&lt;&gt;1,$C1519&gt;0,$D1519&gt;0,$E1519&gt;0,$F1519&gt;0,$G1519&gt;0,$F1519&lt;=$A1519,$G1519&lt;=$A1519,$A1519-$F1519&lt;=10,$A1519-$G1519&lt;=5),$D1519*$E1519/$C1519-1,NA()),NA())</ns0:f>
        <ns0:v/>
      </ns0:c>
      <ns0:c r="C1519">
        <ns0:f>IFERROR(IF(ISNUMBER($A1519),IF(AND(AH!$P$10=1,AH!$P$12=1,$A1519=TODAY()),AH!$P$19,IF(AH!$P$10=1,INDEX('Live History'!$B$5:$B$3004,AH!$P$13+1514),INDEX('AH History'!$B$1:$B$18046,AH!$P$7+1514))),NA()),NA())</ns0:f>
        <ns0:v/>
      </ns0:c>
      <ns0:c r="D1519">
        <ns0:f>IFERROR(IF(ISNUMBER($A1519),IF(AND(AH!$P$10=1,AH!$P$12=1,$A1519=TODAY()),AH!$P$18,IF(AH!$P$10=1,INDEX('Live History'!$E$5:$E$3004,MATCH($A1519,'Live History'!$D$5:$D$3004,1)),INDEX('AH History'!$C$1:$C$18046,AH!$P$7+1514))),NA()),NA())</ns0:f>
        <ns0:v/>
      </ns0:c>
      <ns0:c r="E1519">
        <ns0:f>IFERROR(IF(ISNUMBER($A1519),IF(AND(AH!$P$10=1,AH!$P$12=1,$A1519=TODAY()),AH!$P$20,IF(AH!$P$10=1,INDEX('Live History'!$H$5:$H$3004,MATCH($A1519,'Live History'!$G$5:$G$3004,1)),INDEX('AH History'!$D$1:$D$18046,AH!$P$7+1514))),NA()),NA())</ns0:f>
        <ns0:v/>
      </ns0:c>
      <ns0:c r="F1519">
        <ns0:f>IFERROR(IF(ISNUMBER($A1519),IF(AND(AH!$P$10=1,AH!$P$12=1,$A1519=TODAY()),IF(AND(AH!$P$10=1,AH!$P$12=1,$A1519=TODAY()),TODAY(),NA()),IF(AH!$P$10=1,INDEX('Live History'!$D$5:$D$3004,MATCH($A1519,'Live History'!$D$5:$D$3004,1)),INDEX('AH History'!$E$1:$E$18046,AH!$P$7+1514))),NA()),NA())</ns0:f>
        <ns0:v/>
      </ns0:c>
      <ns0:c r="G1519">
        <ns0:f>IFERROR(IF(ISNUMBER($A1519),IF(AND(AH!$P$10=1,AH!$P$12=1,$A1519=TODAY()),IF(AND(AH!$P$10=1,AH!$P$12=1,$A1519=TODAY()),TODAY(),NA()),IF(AH!$P$10=1,INDEX('Live History'!$G$5:$G$3004,MATCH($A1519,'Live History'!$G$5:$G$3004,1)),INDEX('AH History'!$F$1:$F$18046,AH!$P$7+1514))),NA()),NA())</ns0:f>
        <ns0:v/>
      </ns0:c>
      <ns0:c r="H1519">
        <ns0:f>IFERROR(IF(AND(AH!$E$4="Bloomberg",AH!$P$10=1,ISNUMBER($A1519),$A1519&lt;=AH!$P$17),AH!$P$7-1+MATCH($A1519,INDEX('AH History'!$A$1:$A$18046,AH!$P$7):INDEX('AH History'!$A$1:$A$18046,AH!$P$7+AH!$P$8-1),0),0),0)</ns0:f>
        <ns0:v/>
      </ns0:c>
      <ns0:c r="I1519">
        <ns0:f>IF($H1519=0,0,IFERROR(IF(AND(ABS($C1519-INDEX('AH History'!$B$1:$B$18046,$H1519))&lt;=MAX(0.005,ABS(INDEX('AH History'!$B$1:$B$18046,$H1519))*0.00005),ABS($D1519-INDEX('AH History'!$C$1:$C$18046,$H1519))&lt;=MAX(0.005,ABS(INDEX('AH History'!$C$1:$C$18046,$H1519))*0.00005),ABS($E1519-INDEX('AH History'!$D$1:$D$18046,$H1519))&lt;=0.00005,$F1519=INDEX('AH History'!$E$1:$E$18046,$H1519),$G1519=INDEX('AH History'!$F$1:$F$18046,$H1519)),1,-1),-1))</ns0:f>
        <ns0:v/>
      </ns0:c>
    </ns0:row>
    <ns0:row r="1520">
      <ns0:c r="A1520" s="215">
        <ns0:f>IF(OR(AH!$P$3=0,1515+1&gt;AH!$P$11,AND(AH!$E$4&lt;&gt;"Stored",AH!$P$10&lt;&gt;1)),"",IFERROR(IF(AND(AH!$P$21=1,1515+1=AH!$P$11),TODAY(),IF(AH!$P$10=1,INDEX('Live History'!$A$5:$A$3004,AH!$P$13+1515),INDEX('AH History'!$A$1:$A$18046,AH!$P$7+1515))),""))</ns0:f>
        <ns0:v/>
      </ns0:c>
      <ns0:c r="B1520" s="219">
        <ns0:f>IFERROR(IF(AND(AH!$P$9&lt;&gt;1,$C1520&gt;0,$D1520&gt;0,$E1520&gt;0,$F1520&gt;0,$G1520&gt;0,$F1520&lt;=$A1520,$G1520&lt;=$A1520,$A1520-$F1520&lt;=10,$A1520-$G1520&lt;=5),$D1520*$E1520/$C1520-1,NA()),NA())</ns0:f>
        <ns0:v/>
      </ns0:c>
      <ns0:c r="C1520">
        <ns0:f>IFERROR(IF(ISNUMBER($A1520),IF(AND(AH!$P$10=1,AH!$P$12=1,$A1520=TODAY()),AH!$P$19,IF(AH!$P$10=1,INDEX('Live History'!$B$5:$B$3004,AH!$P$13+1515),INDEX('AH History'!$B$1:$B$18046,AH!$P$7+1515))),NA()),NA())</ns0:f>
        <ns0:v/>
      </ns0:c>
      <ns0:c r="D1520">
        <ns0:f>IFERROR(IF(ISNUMBER($A1520),IF(AND(AH!$P$10=1,AH!$P$12=1,$A1520=TODAY()),AH!$P$18,IF(AH!$P$10=1,INDEX('Live History'!$E$5:$E$3004,MATCH($A1520,'Live History'!$D$5:$D$3004,1)),INDEX('AH History'!$C$1:$C$18046,AH!$P$7+1515))),NA()),NA())</ns0:f>
        <ns0:v/>
      </ns0:c>
      <ns0:c r="E1520">
        <ns0:f>IFERROR(IF(ISNUMBER($A1520),IF(AND(AH!$P$10=1,AH!$P$12=1,$A1520=TODAY()),AH!$P$20,IF(AH!$P$10=1,INDEX('Live History'!$H$5:$H$3004,MATCH($A1520,'Live History'!$G$5:$G$3004,1)),INDEX('AH History'!$D$1:$D$18046,AH!$P$7+1515))),NA()),NA())</ns0:f>
        <ns0:v/>
      </ns0:c>
      <ns0:c r="F1520">
        <ns0:f>IFERROR(IF(ISNUMBER($A1520),IF(AND(AH!$P$10=1,AH!$P$12=1,$A1520=TODAY()),IF(AND(AH!$P$10=1,AH!$P$12=1,$A1520=TODAY()),TODAY(),NA()),IF(AH!$P$10=1,INDEX('Live History'!$D$5:$D$3004,MATCH($A1520,'Live History'!$D$5:$D$3004,1)),INDEX('AH History'!$E$1:$E$18046,AH!$P$7+1515))),NA()),NA())</ns0:f>
        <ns0:v/>
      </ns0:c>
      <ns0:c r="G1520">
        <ns0:f>IFERROR(IF(ISNUMBER($A1520),IF(AND(AH!$P$10=1,AH!$P$12=1,$A1520=TODAY()),IF(AND(AH!$P$10=1,AH!$P$12=1,$A1520=TODAY()),TODAY(),NA()),IF(AH!$P$10=1,INDEX('Live History'!$G$5:$G$3004,MATCH($A1520,'Live History'!$G$5:$G$3004,1)),INDEX('AH History'!$F$1:$F$18046,AH!$P$7+1515))),NA()),NA())</ns0:f>
        <ns0:v/>
      </ns0:c>
      <ns0:c r="H1520">
        <ns0:f>IFERROR(IF(AND(AH!$E$4="Bloomberg",AH!$P$10=1,ISNUMBER($A1520),$A1520&lt;=AH!$P$17),AH!$P$7-1+MATCH($A1520,INDEX('AH History'!$A$1:$A$18046,AH!$P$7):INDEX('AH History'!$A$1:$A$18046,AH!$P$7+AH!$P$8-1),0),0),0)</ns0:f>
        <ns0:v/>
      </ns0:c>
      <ns0:c r="I1520">
        <ns0:f>IF($H1520=0,0,IFERROR(IF(AND(ABS($C1520-INDEX('AH History'!$B$1:$B$18046,$H1520))&lt;=MAX(0.005,ABS(INDEX('AH History'!$B$1:$B$18046,$H1520))*0.00005),ABS($D1520-INDEX('AH History'!$C$1:$C$18046,$H1520))&lt;=MAX(0.005,ABS(INDEX('AH History'!$C$1:$C$18046,$H1520))*0.00005),ABS($E1520-INDEX('AH History'!$D$1:$D$18046,$H1520))&lt;=0.00005,$F1520=INDEX('AH History'!$E$1:$E$18046,$H1520),$G1520=INDEX('AH History'!$F$1:$F$18046,$H1520)),1,-1),-1))</ns0:f>
        <ns0:v/>
      </ns0:c>
    </ns0:row>
    <ns0:row r="1521">
      <ns0:c r="A1521" s="215">
        <ns0:f>IF(OR(AH!$P$3=0,1516+1&gt;AH!$P$11,AND(AH!$E$4&lt;&gt;"Stored",AH!$P$10&lt;&gt;1)),"",IFERROR(IF(AND(AH!$P$21=1,1516+1=AH!$P$11),TODAY(),IF(AH!$P$10=1,INDEX('Live History'!$A$5:$A$3004,AH!$P$13+1516),INDEX('AH History'!$A$1:$A$18046,AH!$P$7+1516))),""))</ns0:f>
        <ns0:v/>
      </ns0:c>
      <ns0:c r="B1521" s="219">
        <ns0:f>IFERROR(IF(AND(AH!$P$9&lt;&gt;1,$C1521&gt;0,$D1521&gt;0,$E1521&gt;0,$F1521&gt;0,$G1521&gt;0,$F1521&lt;=$A1521,$G1521&lt;=$A1521,$A1521-$F1521&lt;=10,$A1521-$G1521&lt;=5),$D1521*$E1521/$C1521-1,NA()),NA())</ns0:f>
        <ns0:v/>
      </ns0:c>
      <ns0:c r="C1521">
        <ns0:f>IFERROR(IF(ISNUMBER($A1521),IF(AND(AH!$P$10=1,AH!$P$12=1,$A1521=TODAY()),AH!$P$19,IF(AH!$P$10=1,INDEX('Live History'!$B$5:$B$3004,AH!$P$13+1516),INDEX('AH History'!$B$1:$B$18046,AH!$P$7+1516))),NA()),NA())</ns0:f>
        <ns0:v/>
      </ns0:c>
      <ns0:c r="D1521">
        <ns0:f>IFERROR(IF(ISNUMBER($A1521),IF(AND(AH!$P$10=1,AH!$P$12=1,$A1521=TODAY()),AH!$P$18,IF(AH!$P$10=1,INDEX('Live History'!$E$5:$E$3004,MATCH($A1521,'Live History'!$D$5:$D$3004,1)),INDEX('AH History'!$C$1:$C$18046,AH!$P$7+1516))),NA()),NA())</ns0:f>
        <ns0:v/>
      </ns0:c>
      <ns0:c r="E1521">
        <ns0:f>IFERROR(IF(ISNUMBER($A1521),IF(AND(AH!$P$10=1,AH!$P$12=1,$A1521=TODAY()),AH!$P$20,IF(AH!$P$10=1,INDEX('Live History'!$H$5:$H$3004,MATCH($A1521,'Live History'!$G$5:$G$3004,1)),INDEX('AH History'!$D$1:$D$18046,AH!$P$7+1516))),NA()),NA())</ns0:f>
        <ns0:v/>
      </ns0:c>
      <ns0:c r="F1521">
        <ns0:f>IFERROR(IF(ISNUMBER($A1521),IF(AND(AH!$P$10=1,AH!$P$12=1,$A1521=TODAY()),IF(AND(AH!$P$10=1,AH!$P$12=1,$A1521=TODAY()),TODAY(),NA()),IF(AH!$P$10=1,INDEX('Live History'!$D$5:$D$3004,MATCH($A1521,'Live History'!$D$5:$D$3004,1)),INDEX('AH History'!$E$1:$E$18046,AH!$P$7+1516))),NA()),NA())</ns0:f>
        <ns0:v/>
      </ns0:c>
      <ns0:c r="G1521">
        <ns0:f>IFERROR(IF(ISNUMBER($A1521),IF(AND(AH!$P$10=1,AH!$P$12=1,$A1521=TODAY()),IF(AND(AH!$P$10=1,AH!$P$12=1,$A1521=TODAY()),TODAY(),NA()),IF(AH!$P$10=1,INDEX('Live History'!$G$5:$G$3004,MATCH($A1521,'Live History'!$G$5:$G$3004,1)),INDEX('AH History'!$F$1:$F$18046,AH!$P$7+1516))),NA()),NA())</ns0:f>
        <ns0:v/>
      </ns0:c>
      <ns0:c r="H1521">
        <ns0:f>IFERROR(IF(AND(AH!$E$4="Bloomberg",AH!$P$10=1,ISNUMBER($A1521),$A1521&lt;=AH!$P$17),AH!$P$7-1+MATCH($A1521,INDEX('AH History'!$A$1:$A$18046,AH!$P$7):INDEX('AH History'!$A$1:$A$18046,AH!$P$7+AH!$P$8-1),0),0),0)</ns0:f>
        <ns0:v/>
      </ns0:c>
      <ns0:c r="I1521">
        <ns0:f>IF($H1521=0,0,IFERROR(IF(AND(ABS($C1521-INDEX('AH History'!$B$1:$B$18046,$H1521))&lt;=MAX(0.005,ABS(INDEX('AH History'!$B$1:$B$18046,$H1521))*0.00005),ABS($D1521-INDEX('AH History'!$C$1:$C$18046,$H1521))&lt;=MAX(0.005,ABS(INDEX('AH History'!$C$1:$C$18046,$H1521))*0.00005),ABS($E1521-INDEX('AH History'!$D$1:$D$18046,$H1521))&lt;=0.00005,$F1521=INDEX('AH History'!$E$1:$E$18046,$H1521),$G1521=INDEX('AH History'!$F$1:$F$18046,$H1521)),1,-1),-1))</ns0:f>
        <ns0:v/>
      </ns0:c>
    </ns0:row>
    <ns0:row r="1522">
      <ns0:c r="A1522" s="215">
        <ns0:f>IF(OR(AH!$P$3=0,1517+1&gt;AH!$P$11,AND(AH!$E$4&lt;&gt;"Stored",AH!$P$10&lt;&gt;1)),"",IFERROR(IF(AND(AH!$P$21=1,1517+1=AH!$P$11),TODAY(),IF(AH!$P$10=1,INDEX('Live History'!$A$5:$A$3004,AH!$P$13+1517),INDEX('AH History'!$A$1:$A$18046,AH!$P$7+1517))),""))</ns0:f>
        <ns0:v/>
      </ns0:c>
      <ns0:c r="B1522" s="219">
        <ns0:f>IFERROR(IF(AND(AH!$P$9&lt;&gt;1,$C1522&gt;0,$D1522&gt;0,$E1522&gt;0,$F1522&gt;0,$G1522&gt;0,$F1522&lt;=$A1522,$G1522&lt;=$A1522,$A1522-$F1522&lt;=10,$A1522-$G1522&lt;=5),$D1522*$E1522/$C1522-1,NA()),NA())</ns0:f>
        <ns0:v/>
      </ns0:c>
      <ns0:c r="C1522">
        <ns0:f>IFERROR(IF(ISNUMBER($A1522),IF(AND(AH!$P$10=1,AH!$P$12=1,$A1522=TODAY()),AH!$P$19,IF(AH!$P$10=1,INDEX('Live History'!$B$5:$B$3004,AH!$P$13+1517),INDEX('AH History'!$B$1:$B$18046,AH!$P$7+1517))),NA()),NA())</ns0:f>
        <ns0:v/>
      </ns0:c>
      <ns0:c r="D1522">
        <ns0:f>IFERROR(IF(ISNUMBER($A1522),IF(AND(AH!$P$10=1,AH!$P$12=1,$A1522=TODAY()),AH!$P$18,IF(AH!$P$10=1,INDEX('Live History'!$E$5:$E$3004,MATCH($A1522,'Live History'!$D$5:$D$3004,1)),INDEX('AH History'!$C$1:$C$18046,AH!$P$7+1517))),NA()),NA())</ns0:f>
        <ns0:v/>
      </ns0:c>
      <ns0:c r="E1522">
        <ns0:f>IFERROR(IF(ISNUMBER($A1522),IF(AND(AH!$P$10=1,AH!$P$12=1,$A1522=TODAY()),AH!$P$20,IF(AH!$P$10=1,INDEX('Live History'!$H$5:$H$3004,MATCH($A1522,'Live History'!$G$5:$G$3004,1)),INDEX('AH History'!$D$1:$D$18046,AH!$P$7+1517))),NA()),NA())</ns0:f>
        <ns0:v/>
      </ns0:c>
      <ns0:c r="F1522">
        <ns0:f>IFERROR(IF(ISNUMBER($A1522),IF(AND(AH!$P$10=1,AH!$P$12=1,$A1522=TODAY()),IF(AND(AH!$P$10=1,AH!$P$12=1,$A1522=TODAY()),TODAY(),NA()),IF(AH!$P$10=1,INDEX('Live History'!$D$5:$D$3004,MATCH($A1522,'Live History'!$D$5:$D$3004,1)),INDEX('AH History'!$E$1:$E$18046,AH!$P$7+1517))),NA()),NA())</ns0:f>
        <ns0:v/>
      </ns0:c>
      <ns0:c r="G1522">
        <ns0:f>IFERROR(IF(ISNUMBER($A1522),IF(AND(AH!$P$10=1,AH!$P$12=1,$A1522=TODAY()),IF(AND(AH!$P$10=1,AH!$P$12=1,$A1522=TODAY()),TODAY(),NA()),IF(AH!$P$10=1,INDEX('Live History'!$G$5:$G$3004,MATCH($A1522,'Live History'!$G$5:$G$3004,1)),INDEX('AH History'!$F$1:$F$18046,AH!$P$7+1517))),NA()),NA())</ns0:f>
        <ns0:v/>
      </ns0:c>
      <ns0:c r="H1522">
        <ns0:f>IFERROR(IF(AND(AH!$E$4="Bloomberg",AH!$P$10=1,ISNUMBER($A1522),$A1522&lt;=AH!$P$17),AH!$P$7-1+MATCH($A1522,INDEX('AH History'!$A$1:$A$18046,AH!$P$7):INDEX('AH History'!$A$1:$A$18046,AH!$P$7+AH!$P$8-1),0),0),0)</ns0:f>
        <ns0:v/>
      </ns0:c>
      <ns0:c r="I1522">
        <ns0:f>IF($H1522=0,0,IFERROR(IF(AND(ABS($C1522-INDEX('AH History'!$B$1:$B$18046,$H1522))&lt;=MAX(0.005,ABS(INDEX('AH History'!$B$1:$B$18046,$H1522))*0.00005),ABS($D1522-INDEX('AH History'!$C$1:$C$18046,$H1522))&lt;=MAX(0.005,ABS(INDEX('AH History'!$C$1:$C$18046,$H1522))*0.00005),ABS($E1522-INDEX('AH History'!$D$1:$D$18046,$H1522))&lt;=0.00005,$F1522=INDEX('AH History'!$E$1:$E$18046,$H1522),$G1522=INDEX('AH History'!$F$1:$F$18046,$H1522)),1,-1),-1))</ns0:f>
        <ns0:v/>
      </ns0:c>
    </ns0:row>
    <ns0:row r="1523">
      <ns0:c r="A1523" s="215">
        <ns0:f>IF(OR(AH!$P$3=0,1518+1&gt;AH!$P$11,AND(AH!$E$4&lt;&gt;"Stored",AH!$P$10&lt;&gt;1)),"",IFERROR(IF(AND(AH!$P$21=1,1518+1=AH!$P$11),TODAY(),IF(AH!$P$10=1,INDEX('Live History'!$A$5:$A$3004,AH!$P$13+1518),INDEX('AH History'!$A$1:$A$18046,AH!$P$7+1518))),""))</ns0:f>
        <ns0:v/>
      </ns0:c>
      <ns0:c r="B1523" s="219">
        <ns0:f>IFERROR(IF(AND(AH!$P$9&lt;&gt;1,$C1523&gt;0,$D1523&gt;0,$E1523&gt;0,$F1523&gt;0,$G1523&gt;0,$F1523&lt;=$A1523,$G1523&lt;=$A1523,$A1523-$F1523&lt;=10,$A1523-$G1523&lt;=5),$D1523*$E1523/$C1523-1,NA()),NA())</ns0:f>
        <ns0:v/>
      </ns0:c>
      <ns0:c r="C1523">
        <ns0:f>IFERROR(IF(ISNUMBER($A1523),IF(AND(AH!$P$10=1,AH!$P$12=1,$A1523=TODAY()),AH!$P$19,IF(AH!$P$10=1,INDEX('Live History'!$B$5:$B$3004,AH!$P$13+1518),INDEX('AH History'!$B$1:$B$18046,AH!$P$7+1518))),NA()),NA())</ns0:f>
        <ns0:v/>
      </ns0:c>
      <ns0:c r="D1523">
        <ns0:f>IFERROR(IF(ISNUMBER($A1523),IF(AND(AH!$P$10=1,AH!$P$12=1,$A1523=TODAY()),AH!$P$18,IF(AH!$P$10=1,INDEX('Live History'!$E$5:$E$3004,MATCH($A1523,'Live History'!$D$5:$D$3004,1)),INDEX('AH History'!$C$1:$C$18046,AH!$P$7+1518))),NA()),NA())</ns0:f>
        <ns0:v/>
      </ns0:c>
      <ns0:c r="E1523">
        <ns0:f>IFERROR(IF(ISNUMBER($A1523),IF(AND(AH!$P$10=1,AH!$P$12=1,$A1523=TODAY()),AH!$P$20,IF(AH!$P$10=1,INDEX('Live History'!$H$5:$H$3004,MATCH($A1523,'Live History'!$G$5:$G$3004,1)),INDEX('AH History'!$D$1:$D$18046,AH!$P$7+1518))),NA()),NA())</ns0:f>
        <ns0:v/>
      </ns0:c>
      <ns0:c r="F1523">
        <ns0:f>IFERROR(IF(ISNUMBER($A1523),IF(AND(AH!$P$10=1,AH!$P$12=1,$A1523=TODAY()),IF(AND(AH!$P$10=1,AH!$P$12=1,$A1523=TODAY()),TODAY(),NA()),IF(AH!$P$10=1,INDEX('Live History'!$D$5:$D$3004,MATCH($A1523,'Live History'!$D$5:$D$3004,1)),INDEX('AH History'!$E$1:$E$18046,AH!$P$7+1518))),NA()),NA())</ns0:f>
        <ns0:v/>
      </ns0:c>
      <ns0:c r="G1523">
        <ns0:f>IFERROR(IF(ISNUMBER($A1523),IF(AND(AH!$P$10=1,AH!$P$12=1,$A1523=TODAY()),IF(AND(AH!$P$10=1,AH!$P$12=1,$A1523=TODAY()),TODAY(),NA()),IF(AH!$P$10=1,INDEX('Live History'!$G$5:$G$3004,MATCH($A1523,'Live History'!$G$5:$G$3004,1)),INDEX('AH History'!$F$1:$F$18046,AH!$P$7+1518))),NA()),NA())</ns0:f>
        <ns0:v/>
      </ns0:c>
      <ns0:c r="H1523">
        <ns0:f>IFERROR(IF(AND(AH!$E$4="Bloomberg",AH!$P$10=1,ISNUMBER($A1523),$A1523&lt;=AH!$P$17),AH!$P$7-1+MATCH($A1523,INDEX('AH History'!$A$1:$A$18046,AH!$P$7):INDEX('AH History'!$A$1:$A$18046,AH!$P$7+AH!$P$8-1),0),0),0)</ns0:f>
        <ns0:v/>
      </ns0:c>
      <ns0:c r="I1523">
        <ns0:f>IF($H1523=0,0,IFERROR(IF(AND(ABS($C1523-INDEX('AH History'!$B$1:$B$18046,$H1523))&lt;=MAX(0.005,ABS(INDEX('AH History'!$B$1:$B$18046,$H1523))*0.00005),ABS($D1523-INDEX('AH History'!$C$1:$C$18046,$H1523))&lt;=MAX(0.005,ABS(INDEX('AH History'!$C$1:$C$18046,$H1523))*0.00005),ABS($E1523-INDEX('AH History'!$D$1:$D$18046,$H1523))&lt;=0.00005,$F1523=INDEX('AH History'!$E$1:$E$18046,$H1523),$G1523=INDEX('AH History'!$F$1:$F$18046,$H1523)),1,-1),-1))</ns0:f>
        <ns0:v/>
      </ns0:c>
    </ns0:row>
    <ns0:row r="1524">
      <ns0:c r="A1524" s="215">
        <ns0:f>IF(OR(AH!$P$3=0,1519+1&gt;AH!$P$11,AND(AH!$E$4&lt;&gt;"Stored",AH!$P$10&lt;&gt;1)),"",IFERROR(IF(AND(AH!$P$21=1,1519+1=AH!$P$11),TODAY(),IF(AH!$P$10=1,INDEX('Live History'!$A$5:$A$3004,AH!$P$13+1519),INDEX('AH History'!$A$1:$A$18046,AH!$P$7+1519))),""))</ns0:f>
        <ns0:v/>
      </ns0:c>
      <ns0:c r="B1524" s="219">
        <ns0:f>IFERROR(IF(AND(AH!$P$9&lt;&gt;1,$C1524&gt;0,$D1524&gt;0,$E1524&gt;0,$F1524&gt;0,$G1524&gt;0,$F1524&lt;=$A1524,$G1524&lt;=$A1524,$A1524-$F1524&lt;=10,$A1524-$G1524&lt;=5),$D1524*$E1524/$C1524-1,NA()),NA())</ns0:f>
        <ns0:v/>
      </ns0:c>
      <ns0:c r="C1524">
        <ns0:f>IFERROR(IF(ISNUMBER($A1524),IF(AND(AH!$P$10=1,AH!$P$12=1,$A1524=TODAY()),AH!$P$19,IF(AH!$P$10=1,INDEX('Live History'!$B$5:$B$3004,AH!$P$13+1519),INDEX('AH History'!$B$1:$B$18046,AH!$P$7+1519))),NA()),NA())</ns0:f>
        <ns0:v/>
      </ns0:c>
      <ns0:c r="D1524">
        <ns0:f>IFERROR(IF(ISNUMBER($A1524),IF(AND(AH!$P$10=1,AH!$P$12=1,$A1524=TODAY()),AH!$P$18,IF(AH!$P$10=1,INDEX('Live History'!$E$5:$E$3004,MATCH($A1524,'Live History'!$D$5:$D$3004,1)),INDEX('AH History'!$C$1:$C$18046,AH!$P$7+1519))),NA()),NA())</ns0:f>
        <ns0:v/>
      </ns0:c>
      <ns0:c r="E1524">
        <ns0:f>IFERROR(IF(ISNUMBER($A1524),IF(AND(AH!$P$10=1,AH!$P$12=1,$A1524=TODAY()),AH!$P$20,IF(AH!$P$10=1,INDEX('Live History'!$H$5:$H$3004,MATCH($A1524,'Live History'!$G$5:$G$3004,1)),INDEX('AH History'!$D$1:$D$18046,AH!$P$7+1519))),NA()),NA())</ns0:f>
        <ns0:v/>
      </ns0:c>
      <ns0:c r="F1524">
        <ns0:f>IFERROR(IF(ISNUMBER($A1524),IF(AND(AH!$P$10=1,AH!$P$12=1,$A1524=TODAY()),IF(AND(AH!$P$10=1,AH!$P$12=1,$A1524=TODAY()),TODAY(),NA()),IF(AH!$P$10=1,INDEX('Live History'!$D$5:$D$3004,MATCH($A1524,'Live History'!$D$5:$D$3004,1)),INDEX('AH History'!$E$1:$E$18046,AH!$P$7+1519))),NA()),NA())</ns0:f>
        <ns0:v/>
      </ns0:c>
      <ns0:c r="G1524">
        <ns0:f>IFERROR(IF(ISNUMBER($A1524),IF(AND(AH!$P$10=1,AH!$P$12=1,$A1524=TODAY()),IF(AND(AH!$P$10=1,AH!$P$12=1,$A1524=TODAY()),TODAY(),NA()),IF(AH!$P$10=1,INDEX('Live History'!$G$5:$G$3004,MATCH($A1524,'Live History'!$G$5:$G$3004,1)),INDEX('AH History'!$F$1:$F$18046,AH!$P$7+1519))),NA()),NA())</ns0:f>
        <ns0:v/>
      </ns0:c>
      <ns0:c r="H1524">
        <ns0:f>IFERROR(IF(AND(AH!$E$4="Bloomberg",AH!$P$10=1,ISNUMBER($A1524),$A1524&lt;=AH!$P$17),AH!$P$7-1+MATCH($A1524,INDEX('AH History'!$A$1:$A$18046,AH!$P$7):INDEX('AH History'!$A$1:$A$18046,AH!$P$7+AH!$P$8-1),0),0),0)</ns0:f>
        <ns0:v/>
      </ns0:c>
      <ns0:c r="I1524">
        <ns0:f>IF($H1524=0,0,IFERROR(IF(AND(ABS($C1524-INDEX('AH History'!$B$1:$B$18046,$H1524))&lt;=MAX(0.005,ABS(INDEX('AH History'!$B$1:$B$18046,$H1524))*0.00005),ABS($D1524-INDEX('AH History'!$C$1:$C$18046,$H1524))&lt;=MAX(0.005,ABS(INDEX('AH History'!$C$1:$C$18046,$H1524))*0.00005),ABS($E1524-INDEX('AH History'!$D$1:$D$18046,$H1524))&lt;=0.00005,$F1524=INDEX('AH History'!$E$1:$E$18046,$H1524),$G1524=INDEX('AH History'!$F$1:$F$18046,$H1524)),1,-1),-1))</ns0:f>
        <ns0:v/>
      </ns0:c>
    </ns0:row>
    <ns0:row r="1525">
      <ns0:c r="A1525" s="215">
        <ns0:f>IF(OR(AH!$P$3=0,1520+1&gt;AH!$P$11,AND(AH!$E$4&lt;&gt;"Stored",AH!$P$10&lt;&gt;1)),"",IFERROR(IF(AND(AH!$P$21=1,1520+1=AH!$P$11),TODAY(),IF(AH!$P$10=1,INDEX('Live History'!$A$5:$A$3004,AH!$P$13+1520),INDEX('AH History'!$A$1:$A$18046,AH!$P$7+1520))),""))</ns0:f>
        <ns0:v/>
      </ns0:c>
      <ns0:c r="B1525" s="219">
        <ns0:f>IFERROR(IF(AND(AH!$P$9&lt;&gt;1,$C1525&gt;0,$D1525&gt;0,$E1525&gt;0,$F1525&gt;0,$G1525&gt;0,$F1525&lt;=$A1525,$G1525&lt;=$A1525,$A1525-$F1525&lt;=10,$A1525-$G1525&lt;=5),$D1525*$E1525/$C1525-1,NA()),NA())</ns0:f>
        <ns0:v/>
      </ns0:c>
      <ns0:c r="C1525">
        <ns0:f>IFERROR(IF(ISNUMBER($A1525),IF(AND(AH!$P$10=1,AH!$P$12=1,$A1525=TODAY()),AH!$P$19,IF(AH!$P$10=1,INDEX('Live History'!$B$5:$B$3004,AH!$P$13+1520),INDEX('AH History'!$B$1:$B$18046,AH!$P$7+1520))),NA()),NA())</ns0:f>
        <ns0:v/>
      </ns0:c>
      <ns0:c r="D1525">
        <ns0:f>IFERROR(IF(ISNUMBER($A1525),IF(AND(AH!$P$10=1,AH!$P$12=1,$A1525=TODAY()),AH!$P$18,IF(AH!$P$10=1,INDEX('Live History'!$E$5:$E$3004,MATCH($A1525,'Live History'!$D$5:$D$3004,1)),INDEX('AH History'!$C$1:$C$18046,AH!$P$7+1520))),NA()),NA())</ns0:f>
        <ns0:v/>
      </ns0:c>
      <ns0:c r="E1525">
        <ns0:f>IFERROR(IF(ISNUMBER($A1525),IF(AND(AH!$P$10=1,AH!$P$12=1,$A1525=TODAY()),AH!$P$20,IF(AH!$P$10=1,INDEX('Live History'!$H$5:$H$3004,MATCH($A1525,'Live History'!$G$5:$G$3004,1)),INDEX('AH History'!$D$1:$D$18046,AH!$P$7+1520))),NA()),NA())</ns0:f>
        <ns0:v/>
      </ns0:c>
      <ns0:c r="F1525">
        <ns0:f>IFERROR(IF(ISNUMBER($A1525),IF(AND(AH!$P$10=1,AH!$P$12=1,$A1525=TODAY()),IF(AND(AH!$P$10=1,AH!$P$12=1,$A1525=TODAY()),TODAY(),NA()),IF(AH!$P$10=1,INDEX('Live History'!$D$5:$D$3004,MATCH($A1525,'Live History'!$D$5:$D$3004,1)),INDEX('AH History'!$E$1:$E$18046,AH!$P$7+1520))),NA()),NA())</ns0:f>
        <ns0:v/>
      </ns0:c>
      <ns0:c r="G1525">
        <ns0:f>IFERROR(IF(ISNUMBER($A1525),IF(AND(AH!$P$10=1,AH!$P$12=1,$A1525=TODAY()),IF(AND(AH!$P$10=1,AH!$P$12=1,$A1525=TODAY()),TODAY(),NA()),IF(AH!$P$10=1,INDEX('Live History'!$G$5:$G$3004,MATCH($A1525,'Live History'!$G$5:$G$3004,1)),INDEX('AH History'!$F$1:$F$18046,AH!$P$7+1520))),NA()),NA())</ns0:f>
        <ns0:v/>
      </ns0:c>
      <ns0:c r="H1525">
        <ns0:f>IFERROR(IF(AND(AH!$E$4="Bloomberg",AH!$P$10=1,ISNUMBER($A1525),$A1525&lt;=AH!$P$17),AH!$P$7-1+MATCH($A1525,INDEX('AH History'!$A$1:$A$18046,AH!$P$7):INDEX('AH History'!$A$1:$A$18046,AH!$P$7+AH!$P$8-1),0),0),0)</ns0:f>
        <ns0:v/>
      </ns0:c>
      <ns0:c r="I1525">
        <ns0:f>IF($H1525=0,0,IFERROR(IF(AND(ABS($C1525-INDEX('AH History'!$B$1:$B$18046,$H1525))&lt;=MAX(0.005,ABS(INDEX('AH History'!$B$1:$B$18046,$H1525))*0.00005),ABS($D1525-INDEX('AH History'!$C$1:$C$18046,$H1525))&lt;=MAX(0.005,ABS(INDEX('AH History'!$C$1:$C$18046,$H1525))*0.00005),ABS($E1525-INDEX('AH History'!$D$1:$D$18046,$H1525))&lt;=0.00005,$F1525=INDEX('AH History'!$E$1:$E$18046,$H1525),$G1525=INDEX('AH History'!$F$1:$F$18046,$H1525)),1,-1),-1))</ns0:f>
        <ns0:v/>
      </ns0:c>
    </ns0:row>
    <ns0:row r="1526">
      <ns0:c r="A1526" s="215">
        <ns0:f>IF(OR(AH!$P$3=0,1521+1&gt;AH!$P$11,AND(AH!$E$4&lt;&gt;"Stored",AH!$P$10&lt;&gt;1)),"",IFERROR(IF(AND(AH!$P$21=1,1521+1=AH!$P$11),TODAY(),IF(AH!$P$10=1,INDEX('Live History'!$A$5:$A$3004,AH!$P$13+1521),INDEX('AH History'!$A$1:$A$18046,AH!$P$7+1521))),""))</ns0:f>
        <ns0:v/>
      </ns0:c>
      <ns0:c r="B1526" s="219">
        <ns0:f>IFERROR(IF(AND(AH!$P$9&lt;&gt;1,$C1526&gt;0,$D1526&gt;0,$E1526&gt;0,$F1526&gt;0,$G1526&gt;0,$F1526&lt;=$A1526,$G1526&lt;=$A1526,$A1526-$F1526&lt;=10,$A1526-$G1526&lt;=5),$D1526*$E1526/$C1526-1,NA()),NA())</ns0:f>
        <ns0:v/>
      </ns0:c>
      <ns0:c r="C1526">
        <ns0:f>IFERROR(IF(ISNUMBER($A1526),IF(AND(AH!$P$10=1,AH!$P$12=1,$A1526=TODAY()),AH!$P$19,IF(AH!$P$10=1,INDEX('Live History'!$B$5:$B$3004,AH!$P$13+1521),INDEX('AH History'!$B$1:$B$18046,AH!$P$7+1521))),NA()),NA())</ns0:f>
        <ns0:v/>
      </ns0:c>
      <ns0:c r="D1526">
        <ns0:f>IFERROR(IF(ISNUMBER($A1526),IF(AND(AH!$P$10=1,AH!$P$12=1,$A1526=TODAY()),AH!$P$18,IF(AH!$P$10=1,INDEX('Live History'!$E$5:$E$3004,MATCH($A1526,'Live History'!$D$5:$D$3004,1)),INDEX('AH History'!$C$1:$C$18046,AH!$P$7+1521))),NA()),NA())</ns0:f>
        <ns0:v/>
      </ns0:c>
      <ns0:c r="E1526">
        <ns0:f>IFERROR(IF(ISNUMBER($A1526),IF(AND(AH!$P$10=1,AH!$P$12=1,$A1526=TODAY()),AH!$P$20,IF(AH!$P$10=1,INDEX('Live History'!$H$5:$H$3004,MATCH($A1526,'Live History'!$G$5:$G$3004,1)),INDEX('AH History'!$D$1:$D$18046,AH!$P$7+1521))),NA()),NA())</ns0:f>
        <ns0:v/>
      </ns0:c>
      <ns0:c r="F1526">
        <ns0:f>IFERROR(IF(ISNUMBER($A1526),IF(AND(AH!$P$10=1,AH!$P$12=1,$A1526=TODAY()),IF(AND(AH!$P$10=1,AH!$P$12=1,$A1526=TODAY()),TODAY(),NA()),IF(AH!$P$10=1,INDEX('Live History'!$D$5:$D$3004,MATCH($A1526,'Live History'!$D$5:$D$3004,1)),INDEX('AH History'!$E$1:$E$18046,AH!$P$7+1521))),NA()),NA())</ns0:f>
        <ns0:v/>
      </ns0:c>
      <ns0:c r="G1526">
        <ns0:f>IFERROR(IF(ISNUMBER($A1526),IF(AND(AH!$P$10=1,AH!$P$12=1,$A1526=TODAY()),IF(AND(AH!$P$10=1,AH!$P$12=1,$A1526=TODAY()),TODAY(),NA()),IF(AH!$P$10=1,INDEX('Live History'!$G$5:$G$3004,MATCH($A1526,'Live History'!$G$5:$G$3004,1)),INDEX('AH History'!$F$1:$F$18046,AH!$P$7+1521))),NA()),NA())</ns0:f>
        <ns0:v/>
      </ns0:c>
      <ns0:c r="H1526">
        <ns0:f>IFERROR(IF(AND(AH!$E$4="Bloomberg",AH!$P$10=1,ISNUMBER($A1526),$A1526&lt;=AH!$P$17),AH!$P$7-1+MATCH($A1526,INDEX('AH History'!$A$1:$A$18046,AH!$P$7):INDEX('AH History'!$A$1:$A$18046,AH!$P$7+AH!$P$8-1),0),0),0)</ns0:f>
        <ns0:v/>
      </ns0:c>
      <ns0:c r="I1526">
        <ns0:f>IF($H1526=0,0,IFERROR(IF(AND(ABS($C1526-INDEX('AH History'!$B$1:$B$18046,$H1526))&lt;=MAX(0.005,ABS(INDEX('AH History'!$B$1:$B$18046,$H1526))*0.00005),ABS($D1526-INDEX('AH History'!$C$1:$C$18046,$H1526))&lt;=MAX(0.005,ABS(INDEX('AH History'!$C$1:$C$18046,$H1526))*0.00005),ABS($E1526-INDEX('AH History'!$D$1:$D$18046,$H1526))&lt;=0.00005,$F1526=INDEX('AH History'!$E$1:$E$18046,$H1526),$G1526=INDEX('AH History'!$F$1:$F$18046,$H1526)),1,-1),-1))</ns0:f>
        <ns0:v/>
      </ns0:c>
    </ns0:row>
    <ns0:row r="1527">
      <ns0:c r="A1527" s="215">
        <ns0:f>IF(OR(AH!$P$3=0,1522+1&gt;AH!$P$11,AND(AH!$E$4&lt;&gt;"Stored",AH!$P$10&lt;&gt;1)),"",IFERROR(IF(AND(AH!$P$21=1,1522+1=AH!$P$11),TODAY(),IF(AH!$P$10=1,INDEX('Live History'!$A$5:$A$3004,AH!$P$13+1522),INDEX('AH History'!$A$1:$A$18046,AH!$P$7+1522))),""))</ns0:f>
        <ns0:v/>
      </ns0:c>
      <ns0:c r="B1527" s="219">
        <ns0:f>IFERROR(IF(AND(AH!$P$9&lt;&gt;1,$C1527&gt;0,$D1527&gt;0,$E1527&gt;0,$F1527&gt;0,$G1527&gt;0,$F1527&lt;=$A1527,$G1527&lt;=$A1527,$A1527-$F1527&lt;=10,$A1527-$G1527&lt;=5),$D1527*$E1527/$C1527-1,NA()),NA())</ns0:f>
        <ns0:v/>
      </ns0:c>
      <ns0:c r="C1527">
        <ns0:f>IFERROR(IF(ISNUMBER($A1527),IF(AND(AH!$P$10=1,AH!$P$12=1,$A1527=TODAY()),AH!$P$19,IF(AH!$P$10=1,INDEX('Live History'!$B$5:$B$3004,AH!$P$13+1522),INDEX('AH History'!$B$1:$B$18046,AH!$P$7+1522))),NA()),NA())</ns0:f>
        <ns0:v/>
      </ns0:c>
      <ns0:c r="D1527">
        <ns0:f>IFERROR(IF(ISNUMBER($A1527),IF(AND(AH!$P$10=1,AH!$P$12=1,$A1527=TODAY()),AH!$P$18,IF(AH!$P$10=1,INDEX('Live History'!$E$5:$E$3004,MATCH($A1527,'Live History'!$D$5:$D$3004,1)),INDEX('AH History'!$C$1:$C$18046,AH!$P$7+1522))),NA()),NA())</ns0:f>
        <ns0:v/>
      </ns0:c>
      <ns0:c r="E1527">
        <ns0:f>IFERROR(IF(ISNUMBER($A1527),IF(AND(AH!$P$10=1,AH!$P$12=1,$A1527=TODAY()),AH!$P$20,IF(AH!$P$10=1,INDEX('Live History'!$H$5:$H$3004,MATCH($A1527,'Live History'!$G$5:$G$3004,1)),INDEX('AH History'!$D$1:$D$18046,AH!$P$7+1522))),NA()),NA())</ns0:f>
        <ns0:v/>
      </ns0:c>
      <ns0:c r="F1527">
        <ns0:f>IFERROR(IF(ISNUMBER($A1527),IF(AND(AH!$P$10=1,AH!$P$12=1,$A1527=TODAY()),IF(AND(AH!$P$10=1,AH!$P$12=1,$A1527=TODAY()),TODAY(),NA()),IF(AH!$P$10=1,INDEX('Live History'!$D$5:$D$3004,MATCH($A1527,'Live History'!$D$5:$D$3004,1)),INDEX('AH History'!$E$1:$E$18046,AH!$P$7+1522))),NA()),NA())</ns0:f>
        <ns0:v/>
      </ns0:c>
      <ns0:c r="G1527">
        <ns0:f>IFERROR(IF(ISNUMBER($A1527),IF(AND(AH!$P$10=1,AH!$P$12=1,$A1527=TODAY()),IF(AND(AH!$P$10=1,AH!$P$12=1,$A1527=TODAY()),TODAY(),NA()),IF(AH!$P$10=1,INDEX('Live History'!$G$5:$G$3004,MATCH($A1527,'Live History'!$G$5:$G$3004,1)),INDEX('AH History'!$F$1:$F$18046,AH!$P$7+1522))),NA()),NA())</ns0:f>
        <ns0:v/>
      </ns0:c>
      <ns0:c r="H1527">
        <ns0:f>IFERROR(IF(AND(AH!$E$4="Bloomberg",AH!$P$10=1,ISNUMBER($A1527),$A1527&lt;=AH!$P$17),AH!$P$7-1+MATCH($A1527,INDEX('AH History'!$A$1:$A$18046,AH!$P$7):INDEX('AH History'!$A$1:$A$18046,AH!$P$7+AH!$P$8-1),0),0),0)</ns0:f>
        <ns0:v/>
      </ns0:c>
      <ns0:c r="I1527">
        <ns0:f>IF($H1527=0,0,IFERROR(IF(AND(ABS($C1527-INDEX('AH History'!$B$1:$B$18046,$H1527))&lt;=MAX(0.005,ABS(INDEX('AH History'!$B$1:$B$18046,$H1527))*0.00005),ABS($D1527-INDEX('AH History'!$C$1:$C$18046,$H1527))&lt;=MAX(0.005,ABS(INDEX('AH History'!$C$1:$C$18046,$H1527))*0.00005),ABS($E1527-INDEX('AH History'!$D$1:$D$18046,$H1527))&lt;=0.00005,$F1527=INDEX('AH History'!$E$1:$E$18046,$H1527),$G1527=INDEX('AH History'!$F$1:$F$18046,$H1527)),1,-1),-1))</ns0:f>
        <ns0:v/>
      </ns0:c>
    </ns0:row>
    <ns0:row r="1528">
      <ns0:c r="A1528" s="215">
        <ns0:f>IF(OR(AH!$P$3=0,1523+1&gt;AH!$P$11,AND(AH!$E$4&lt;&gt;"Stored",AH!$P$10&lt;&gt;1)),"",IFERROR(IF(AND(AH!$P$21=1,1523+1=AH!$P$11),TODAY(),IF(AH!$P$10=1,INDEX('Live History'!$A$5:$A$3004,AH!$P$13+1523),INDEX('AH History'!$A$1:$A$18046,AH!$P$7+1523))),""))</ns0:f>
        <ns0:v/>
      </ns0:c>
      <ns0:c r="B1528" s="219">
        <ns0:f>IFERROR(IF(AND(AH!$P$9&lt;&gt;1,$C1528&gt;0,$D1528&gt;0,$E1528&gt;0,$F1528&gt;0,$G1528&gt;0,$F1528&lt;=$A1528,$G1528&lt;=$A1528,$A1528-$F1528&lt;=10,$A1528-$G1528&lt;=5),$D1528*$E1528/$C1528-1,NA()),NA())</ns0:f>
        <ns0:v/>
      </ns0:c>
      <ns0:c r="C1528">
        <ns0:f>IFERROR(IF(ISNUMBER($A1528),IF(AND(AH!$P$10=1,AH!$P$12=1,$A1528=TODAY()),AH!$P$19,IF(AH!$P$10=1,INDEX('Live History'!$B$5:$B$3004,AH!$P$13+1523),INDEX('AH History'!$B$1:$B$18046,AH!$P$7+1523))),NA()),NA())</ns0:f>
        <ns0:v/>
      </ns0:c>
      <ns0:c r="D1528">
        <ns0:f>IFERROR(IF(ISNUMBER($A1528),IF(AND(AH!$P$10=1,AH!$P$12=1,$A1528=TODAY()),AH!$P$18,IF(AH!$P$10=1,INDEX('Live History'!$E$5:$E$3004,MATCH($A1528,'Live History'!$D$5:$D$3004,1)),INDEX('AH History'!$C$1:$C$18046,AH!$P$7+1523))),NA()),NA())</ns0:f>
        <ns0:v/>
      </ns0:c>
      <ns0:c r="E1528">
        <ns0:f>IFERROR(IF(ISNUMBER($A1528),IF(AND(AH!$P$10=1,AH!$P$12=1,$A1528=TODAY()),AH!$P$20,IF(AH!$P$10=1,INDEX('Live History'!$H$5:$H$3004,MATCH($A1528,'Live History'!$G$5:$G$3004,1)),INDEX('AH History'!$D$1:$D$18046,AH!$P$7+1523))),NA()),NA())</ns0:f>
        <ns0:v/>
      </ns0:c>
      <ns0:c r="F1528">
        <ns0:f>IFERROR(IF(ISNUMBER($A1528),IF(AND(AH!$P$10=1,AH!$P$12=1,$A1528=TODAY()),IF(AND(AH!$P$10=1,AH!$P$12=1,$A1528=TODAY()),TODAY(),NA()),IF(AH!$P$10=1,INDEX('Live History'!$D$5:$D$3004,MATCH($A1528,'Live History'!$D$5:$D$3004,1)),INDEX('AH History'!$E$1:$E$18046,AH!$P$7+1523))),NA()),NA())</ns0:f>
        <ns0:v/>
      </ns0:c>
      <ns0:c r="G1528">
        <ns0:f>IFERROR(IF(ISNUMBER($A1528),IF(AND(AH!$P$10=1,AH!$P$12=1,$A1528=TODAY()),IF(AND(AH!$P$10=1,AH!$P$12=1,$A1528=TODAY()),TODAY(),NA()),IF(AH!$P$10=1,INDEX('Live History'!$G$5:$G$3004,MATCH($A1528,'Live History'!$G$5:$G$3004,1)),INDEX('AH History'!$F$1:$F$18046,AH!$P$7+1523))),NA()),NA())</ns0:f>
        <ns0:v/>
      </ns0:c>
      <ns0:c r="H1528">
        <ns0:f>IFERROR(IF(AND(AH!$E$4="Bloomberg",AH!$P$10=1,ISNUMBER($A1528),$A1528&lt;=AH!$P$17),AH!$P$7-1+MATCH($A1528,INDEX('AH History'!$A$1:$A$18046,AH!$P$7):INDEX('AH History'!$A$1:$A$18046,AH!$P$7+AH!$P$8-1),0),0),0)</ns0:f>
        <ns0:v/>
      </ns0:c>
      <ns0:c r="I1528">
        <ns0:f>IF($H1528=0,0,IFERROR(IF(AND(ABS($C1528-INDEX('AH History'!$B$1:$B$18046,$H1528))&lt;=MAX(0.005,ABS(INDEX('AH History'!$B$1:$B$18046,$H1528))*0.00005),ABS($D1528-INDEX('AH History'!$C$1:$C$18046,$H1528))&lt;=MAX(0.005,ABS(INDEX('AH History'!$C$1:$C$18046,$H1528))*0.00005),ABS($E1528-INDEX('AH History'!$D$1:$D$18046,$H1528))&lt;=0.00005,$F1528=INDEX('AH History'!$E$1:$E$18046,$H1528),$G1528=INDEX('AH History'!$F$1:$F$18046,$H1528)),1,-1),-1))</ns0:f>
        <ns0:v/>
      </ns0:c>
    </ns0:row>
    <ns0:row r="1529">
      <ns0:c r="A1529" s="215">
        <ns0:f>IF(OR(AH!$P$3=0,1524+1&gt;AH!$P$11,AND(AH!$E$4&lt;&gt;"Stored",AH!$P$10&lt;&gt;1)),"",IFERROR(IF(AND(AH!$P$21=1,1524+1=AH!$P$11),TODAY(),IF(AH!$P$10=1,INDEX('Live History'!$A$5:$A$3004,AH!$P$13+1524),INDEX('AH History'!$A$1:$A$18046,AH!$P$7+1524))),""))</ns0:f>
        <ns0:v/>
      </ns0:c>
      <ns0:c r="B1529" s="219">
        <ns0:f>IFERROR(IF(AND(AH!$P$9&lt;&gt;1,$C1529&gt;0,$D1529&gt;0,$E1529&gt;0,$F1529&gt;0,$G1529&gt;0,$F1529&lt;=$A1529,$G1529&lt;=$A1529,$A1529-$F1529&lt;=10,$A1529-$G1529&lt;=5),$D1529*$E1529/$C1529-1,NA()),NA())</ns0:f>
        <ns0:v/>
      </ns0:c>
      <ns0:c r="C1529">
        <ns0:f>IFERROR(IF(ISNUMBER($A1529),IF(AND(AH!$P$10=1,AH!$P$12=1,$A1529=TODAY()),AH!$P$19,IF(AH!$P$10=1,INDEX('Live History'!$B$5:$B$3004,AH!$P$13+1524),INDEX('AH History'!$B$1:$B$18046,AH!$P$7+1524))),NA()),NA())</ns0:f>
        <ns0:v/>
      </ns0:c>
      <ns0:c r="D1529">
        <ns0:f>IFERROR(IF(ISNUMBER($A1529),IF(AND(AH!$P$10=1,AH!$P$12=1,$A1529=TODAY()),AH!$P$18,IF(AH!$P$10=1,INDEX('Live History'!$E$5:$E$3004,MATCH($A1529,'Live History'!$D$5:$D$3004,1)),INDEX('AH History'!$C$1:$C$18046,AH!$P$7+1524))),NA()),NA())</ns0:f>
        <ns0:v/>
      </ns0:c>
      <ns0:c r="E1529">
        <ns0:f>IFERROR(IF(ISNUMBER($A1529),IF(AND(AH!$P$10=1,AH!$P$12=1,$A1529=TODAY()),AH!$P$20,IF(AH!$P$10=1,INDEX('Live History'!$H$5:$H$3004,MATCH($A1529,'Live History'!$G$5:$G$3004,1)),INDEX('AH History'!$D$1:$D$18046,AH!$P$7+1524))),NA()),NA())</ns0:f>
        <ns0:v/>
      </ns0:c>
      <ns0:c r="F1529">
        <ns0:f>IFERROR(IF(ISNUMBER($A1529),IF(AND(AH!$P$10=1,AH!$P$12=1,$A1529=TODAY()),IF(AND(AH!$P$10=1,AH!$P$12=1,$A1529=TODAY()),TODAY(),NA()),IF(AH!$P$10=1,INDEX('Live History'!$D$5:$D$3004,MATCH($A1529,'Live History'!$D$5:$D$3004,1)),INDEX('AH History'!$E$1:$E$18046,AH!$P$7+1524))),NA()),NA())</ns0:f>
        <ns0:v/>
      </ns0:c>
      <ns0:c r="G1529">
        <ns0:f>IFERROR(IF(ISNUMBER($A1529),IF(AND(AH!$P$10=1,AH!$P$12=1,$A1529=TODAY()),IF(AND(AH!$P$10=1,AH!$P$12=1,$A1529=TODAY()),TODAY(),NA()),IF(AH!$P$10=1,INDEX('Live History'!$G$5:$G$3004,MATCH($A1529,'Live History'!$G$5:$G$3004,1)),INDEX('AH History'!$F$1:$F$18046,AH!$P$7+1524))),NA()),NA())</ns0:f>
        <ns0:v/>
      </ns0:c>
      <ns0:c r="H1529">
        <ns0:f>IFERROR(IF(AND(AH!$E$4="Bloomberg",AH!$P$10=1,ISNUMBER($A1529),$A1529&lt;=AH!$P$17),AH!$P$7-1+MATCH($A1529,INDEX('AH History'!$A$1:$A$18046,AH!$P$7):INDEX('AH History'!$A$1:$A$18046,AH!$P$7+AH!$P$8-1),0),0),0)</ns0:f>
        <ns0:v/>
      </ns0:c>
      <ns0:c r="I1529">
        <ns0:f>IF($H1529=0,0,IFERROR(IF(AND(ABS($C1529-INDEX('AH History'!$B$1:$B$18046,$H1529))&lt;=MAX(0.005,ABS(INDEX('AH History'!$B$1:$B$18046,$H1529))*0.00005),ABS($D1529-INDEX('AH History'!$C$1:$C$18046,$H1529))&lt;=MAX(0.005,ABS(INDEX('AH History'!$C$1:$C$18046,$H1529))*0.00005),ABS($E1529-INDEX('AH History'!$D$1:$D$18046,$H1529))&lt;=0.00005,$F1529=INDEX('AH History'!$E$1:$E$18046,$H1529),$G1529=INDEX('AH History'!$F$1:$F$18046,$H1529)),1,-1),-1))</ns0:f>
        <ns0:v/>
      </ns0:c>
    </ns0:row>
    <ns0:row r="1530">
      <ns0:c r="A1530" s="215">
        <ns0:f>IF(OR(AH!$P$3=0,1525+1&gt;AH!$P$11,AND(AH!$E$4&lt;&gt;"Stored",AH!$P$10&lt;&gt;1)),"",IFERROR(IF(AND(AH!$P$21=1,1525+1=AH!$P$11),TODAY(),IF(AH!$P$10=1,INDEX('Live History'!$A$5:$A$3004,AH!$P$13+1525),INDEX('AH History'!$A$1:$A$18046,AH!$P$7+1525))),""))</ns0:f>
        <ns0:v/>
      </ns0:c>
      <ns0:c r="B1530" s="219">
        <ns0:f>IFERROR(IF(AND(AH!$P$9&lt;&gt;1,$C1530&gt;0,$D1530&gt;0,$E1530&gt;0,$F1530&gt;0,$G1530&gt;0,$F1530&lt;=$A1530,$G1530&lt;=$A1530,$A1530-$F1530&lt;=10,$A1530-$G1530&lt;=5),$D1530*$E1530/$C1530-1,NA()),NA())</ns0:f>
        <ns0:v/>
      </ns0:c>
      <ns0:c r="C1530">
        <ns0:f>IFERROR(IF(ISNUMBER($A1530),IF(AND(AH!$P$10=1,AH!$P$12=1,$A1530=TODAY()),AH!$P$19,IF(AH!$P$10=1,INDEX('Live History'!$B$5:$B$3004,AH!$P$13+1525),INDEX('AH History'!$B$1:$B$18046,AH!$P$7+1525))),NA()),NA())</ns0:f>
        <ns0:v/>
      </ns0:c>
      <ns0:c r="D1530">
        <ns0:f>IFERROR(IF(ISNUMBER($A1530),IF(AND(AH!$P$10=1,AH!$P$12=1,$A1530=TODAY()),AH!$P$18,IF(AH!$P$10=1,INDEX('Live History'!$E$5:$E$3004,MATCH($A1530,'Live History'!$D$5:$D$3004,1)),INDEX('AH History'!$C$1:$C$18046,AH!$P$7+1525))),NA()),NA())</ns0:f>
        <ns0:v/>
      </ns0:c>
      <ns0:c r="E1530">
        <ns0:f>IFERROR(IF(ISNUMBER($A1530),IF(AND(AH!$P$10=1,AH!$P$12=1,$A1530=TODAY()),AH!$P$20,IF(AH!$P$10=1,INDEX('Live History'!$H$5:$H$3004,MATCH($A1530,'Live History'!$G$5:$G$3004,1)),INDEX('AH History'!$D$1:$D$18046,AH!$P$7+1525))),NA()),NA())</ns0:f>
        <ns0:v/>
      </ns0:c>
      <ns0:c r="F1530">
        <ns0:f>IFERROR(IF(ISNUMBER($A1530),IF(AND(AH!$P$10=1,AH!$P$12=1,$A1530=TODAY()),IF(AND(AH!$P$10=1,AH!$P$12=1,$A1530=TODAY()),TODAY(),NA()),IF(AH!$P$10=1,INDEX('Live History'!$D$5:$D$3004,MATCH($A1530,'Live History'!$D$5:$D$3004,1)),INDEX('AH History'!$E$1:$E$18046,AH!$P$7+1525))),NA()),NA())</ns0:f>
        <ns0:v/>
      </ns0:c>
      <ns0:c r="G1530">
        <ns0:f>IFERROR(IF(ISNUMBER($A1530),IF(AND(AH!$P$10=1,AH!$P$12=1,$A1530=TODAY()),IF(AND(AH!$P$10=1,AH!$P$12=1,$A1530=TODAY()),TODAY(),NA()),IF(AH!$P$10=1,INDEX('Live History'!$G$5:$G$3004,MATCH($A1530,'Live History'!$G$5:$G$3004,1)),INDEX('AH History'!$F$1:$F$18046,AH!$P$7+1525))),NA()),NA())</ns0:f>
        <ns0:v/>
      </ns0:c>
      <ns0:c r="H1530">
        <ns0:f>IFERROR(IF(AND(AH!$E$4="Bloomberg",AH!$P$10=1,ISNUMBER($A1530),$A1530&lt;=AH!$P$17),AH!$P$7-1+MATCH($A1530,INDEX('AH History'!$A$1:$A$18046,AH!$P$7):INDEX('AH History'!$A$1:$A$18046,AH!$P$7+AH!$P$8-1),0),0),0)</ns0:f>
        <ns0:v/>
      </ns0:c>
      <ns0:c r="I1530">
        <ns0:f>IF($H1530=0,0,IFERROR(IF(AND(ABS($C1530-INDEX('AH History'!$B$1:$B$18046,$H1530))&lt;=MAX(0.005,ABS(INDEX('AH History'!$B$1:$B$18046,$H1530))*0.00005),ABS($D1530-INDEX('AH History'!$C$1:$C$18046,$H1530))&lt;=MAX(0.005,ABS(INDEX('AH History'!$C$1:$C$18046,$H1530))*0.00005),ABS($E1530-INDEX('AH History'!$D$1:$D$18046,$H1530))&lt;=0.00005,$F1530=INDEX('AH History'!$E$1:$E$18046,$H1530),$G1530=INDEX('AH History'!$F$1:$F$18046,$H1530)),1,-1),-1))</ns0:f>
        <ns0:v/>
      </ns0:c>
    </ns0:row>
    <ns0:row r="1531">
      <ns0:c r="A1531" s="215">
        <ns0:f>IF(OR(AH!$P$3=0,1526+1&gt;AH!$P$11,AND(AH!$E$4&lt;&gt;"Stored",AH!$P$10&lt;&gt;1)),"",IFERROR(IF(AND(AH!$P$21=1,1526+1=AH!$P$11),TODAY(),IF(AH!$P$10=1,INDEX('Live History'!$A$5:$A$3004,AH!$P$13+1526),INDEX('AH History'!$A$1:$A$18046,AH!$P$7+1526))),""))</ns0:f>
        <ns0:v/>
      </ns0:c>
      <ns0:c r="B1531" s="219">
        <ns0:f>IFERROR(IF(AND(AH!$P$9&lt;&gt;1,$C1531&gt;0,$D1531&gt;0,$E1531&gt;0,$F1531&gt;0,$G1531&gt;0,$F1531&lt;=$A1531,$G1531&lt;=$A1531,$A1531-$F1531&lt;=10,$A1531-$G1531&lt;=5),$D1531*$E1531/$C1531-1,NA()),NA())</ns0:f>
        <ns0:v/>
      </ns0:c>
      <ns0:c r="C1531">
        <ns0:f>IFERROR(IF(ISNUMBER($A1531),IF(AND(AH!$P$10=1,AH!$P$12=1,$A1531=TODAY()),AH!$P$19,IF(AH!$P$10=1,INDEX('Live History'!$B$5:$B$3004,AH!$P$13+1526),INDEX('AH History'!$B$1:$B$18046,AH!$P$7+1526))),NA()),NA())</ns0:f>
        <ns0:v/>
      </ns0:c>
      <ns0:c r="D1531">
        <ns0:f>IFERROR(IF(ISNUMBER($A1531),IF(AND(AH!$P$10=1,AH!$P$12=1,$A1531=TODAY()),AH!$P$18,IF(AH!$P$10=1,INDEX('Live History'!$E$5:$E$3004,MATCH($A1531,'Live History'!$D$5:$D$3004,1)),INDEX('AH History'!$C$1:$C$18046,AH!$P$7+1526))),NA()),NA())</ns0:f>
        <ns0:v/>
      </ns0:c>
      <ns0:c r="E1531">
        <ns0:f>IFERROR(IF(ISNUMBER($A1531),IF(AND(AH!$P$10=1,AH!$P$12=1,$A1531=TODAY()),AH!$P$20,IF(AH!$P$10=1,INDEX('Live History'!$H$5:$H$3004,MATCH($A1531,'Live History'!$G$5:$G$3004,1)),INDEX('AH History'!$D$1:$D$18046,AH!$P$7+1526))),NA()),NA())</ns0:f>
        <ns0:v/>
      </ns0:c>
      <ns0:c r="F1531">
        <ns0:f>IFERROR(IF(ISNUMBER($A1531),IF(AND(AH!$P$10=1,AH!$P$12=1,$A1531=TODAY()),IF(AND(AH!$P$10=1,AH!$P$12=1,$A1531=TODAY()),TODAY(),NA()),IF(AH!$P$10=1,INDEX('Live History'!$D$5:$D$3004,MATCH($A1531,'Live History'!$D$5:$D$3004,1)),INDEX('AH History'!$E$1:$E$18046,AH!$P$7+1526))),NA()),NA())</ns0:f>
        <ns0:v/>
      </ns0:c>
      <ns0:c r="G1531">
        <ns0:f>IFERROR(IF(ISNUMBER($A1531),IF(AND(AH!$P$10=1,AH!$P$12=1,$A1531=TODAY()),IF(AND(AH!$P$10=1,AH!$P$12=1,$A1531=TODAY()),TODAY(),NA()),IF(AH!$P$10=1,INDEX('Live History'!$G$5:$G$3004,MATCH($A1531,'Live History'!$G$5:$G$3004,1)),INDEX('AH History'!$F$1:$F$18046,AH!$P$7+1526))),NA()),NA())</ns0:f>
        <ns0:v/>
      </ns0:c>
      <ns0:c r="H1531">
        <ns0:f>IFERROR(IF(AND(AH!$E$4="Bloomberg",AH!$P$10=1,ISNUMBER($A1531),$A1531&lt;=AH!$P$17),AH!$P$7-1+MATCH($A1531,INDEX('AH History'!$A$1:$A$18046,AH!$P$7):INDEX('AH History'!$A$1:$A$18046,AH!$P$7+AH!$P$8-1),0),0),0)</ns0:f>
        <ns0:v/>
      </ns0:c>
      <ns0:c r="I1531">
        <ns0:f>IF($H1531=0,0,IFERROR(IF(AND(ABS($C1531-INDEX('AH History'!$B$1:$B$18046,$H1531))&lt;=MAX(0.005,ABS(INDEX('AH History'!$B$1:$B$18046,$H1531))*0.00005),ABS($D1531-INDEX('AH History'!$C$1:$C$18046,$H1531))&lt;=MAX(0.005,ABS(INDEX('AH History'!$C$1:$C$18046,$H1531))*0.00005),ABS($E1531-INDEX('AH History'!$D$1:$D$18046,$H1531))&lt;=0.00005,$F1531=INDEX('AH History'!$E$1:$E$18046,$H1531),$G1531=INDEX('AH History'!$F$1:$F$18046,$H1531)),1,-1),-1))</ns0:f>
        <ns0:v/>
      </ns0:c>
    </ns0:row>
    <ns0:row r="1532">
      <ns0:c r="A1532" s="215">
        <ns0:f>IF(OR(AH!$P$3=0,1527+1&gt;AH!$P$11,AND(AH!$E$4&lt;&gt;"Stored",AH!$P$10&lt;&gt;1)),"",IFERROR(IF(AND(AH!$P$21=1,1527+1=AH!$P$11),TODAY(),IF(AH!$P$10=1,INDEX('Live History'!$A$5:$A$3004,AH!$P$13+1527),INDEX('AH History'!$A$1:$A$18046,AH!$P$7+1527))),""))</ns0:f>
        <ns0:v/>
      </ns0:c>
      <ns0:c r="B1532" s="219">
        <ns0:f>IFERROR(IF(AND(AH!$P$9&lt;&gt;1,$C1532&gt;0,$D1532&gt;0,$E1532&gt;0,$F1532&gt;0,$G1532&gt;0,$F1532&lt;=$A1532,$G1532&lt;=$A1532,$A1532-$F1532&lt;=10,$A1532-$G1532&lt;=5),$D1532*$E1532/$C1532-1,NA()),NA())</ns0:f>
        <ns0:v/>
      </ns0:c>
      <ns0:c r="C1532">
        <ns0:f>IFERROR(IF(ISNUMBER($A1532),IF(AND(AH!$P$10=1,AH!$P$12=1,$A1532=TODAY()),AH!$P$19,IF(AH!$P$10=1,INDEX('Live History'!$B$5:$B$3004,AH!$P$13+1527),INDEX('AH History'!$B$1:$B$18046,AH!$P$7+1527))),NA()),NA())</ns0:f>
        <ns0:v/>
      </ns0:c>
      <ns0:c r="D1532">
        <ns0:f>IFERROR(IF(ISNUMBER($A1532),IF(AND(AH!$P$10=1,AH!$P$12=1,$A1532=TODAY()),AH!$P$18,IF(AH!$P$10=1,INDEX('Live History'!$E$5:$E$3004,MATCH($A1532,'Live History'!$D$5:$D$3004,1)),INDEX('AH History'!$C$1:$C$18046,AH!$P$7+1527))),NA()),NA())</ns0:f>
        <ns0:v/>
      </ns0:c>
      <ns0:c r="E1532">
        <ns0:f>IFERROR(IF(ISNUMBER($A1532),IF(AND(AH!$P$10=1,AH!$P$12=1,$A1532=TODAY()),AH!$P$20,IF(AH!$P$10=1,INDEX('Live History'!$H$5:$H$3004,MATCH($A1532,'Live History'!$G$5:$G$3004,1)),INDEX('AH History'!$D$1:$D$18046,AH!$P$7+1527))),NA()),NA())</ns0:f>
        <ns0:v/>
      </ns0:c>
      <ns0:c r="F1532">
        <ns0:f>IFERROR(IF(ISNUMBER($A1532),IF(AND(AH!$P$10=1,AH!$P$12=1,$A1532=TODAY()),IF(AND(AH!$P$10=1,AH!$P$12=1,$A1532=TODAY()),TODAY(),NA()),IF(AH!$P$10=1,INDEX('Live History'!$D$5:$D$3004,MATCH($A1532,'Live History'!$D$5:$D$3004,1)),INDEX('AH History'!$E$1:$E$18046,AH!$P$7+1527))),NA()),NA())</ns0:f>
        <ns0:v/>
      </ns0:c>
      <ns0:c r="G1532">
        <ns0:f>IFERROR(IF(ISNUMBER($A1532),IF(AND(AH!$P$10=1,AH!$P$12=1,$A1532=TODAY()),IF(AND(AH!$P$10=1,AH!$P$12=1,$A1532=TODAY()),TODAY(),NA()),IF(AH!$P$10=1,INDEX('Live History'!$G$5:$G$3004,MATCH($A1532,'Live History'!$G$5:$G$3004,1)),INDEX('AH History'!$F$1:$F$18046,AH!$P$7+1527))),NA()),NA())</ns0:f>
        <ns0:v/>
      </ns0:c>
      <ns0:c r="H1532">
        <ns0:f>IFERROR(IF(AND(AH!$E$4="Bloomberg",AH!$P$10=1,ISNUMBER($A1532),$A1532&lt;=AH!$P$17),AH!$P$7-1+MATCH($A1532,INDEX('AH History'!$A$1:$A$18046,AH!$P$7):INDEX('AH History'!$A$1:$A$18046,AH!$P$7+AH!$P$8-1),0),0),0)</ns0:f>
        <ns0:v/>
      </ns0:c>
      <ns0:c r="I1532">
        <ns0:f>IF($H1532=0,0,IFERROR(IF(AND(ABS($C1532-INDEX('AH History'!$B$1:$B$18046,$H1532))&lt;=MAX(0.005,ABS(INDEX('AH History'!$B$1:$B$18046,$H1532))*0.00005),ABS($D1532-INDEX('AH History'!$C$1:$C$18046,$H1532))&lt;=MAX(0.005,ABS(INDEX('AH History'!$C$1:$C$18046,$H1532))*0.00005),ABS($E1532-INDEX('AH History'!$D$1:$D$18046,$H1532))&lt;=0.00005,$F1532=INDEX('AH History'!$E$1:$E$18046,$H1532),$G1532=INDEX('AH History'!$F$1:$F$18046,$H1532)),1,-1),-1))</ns0:f>
        <ns0:v/>
      </ns0:c>
    </ns0:row>
    <ns0:row r="1533">
      <ns0:c r="A1533" s="215">
        <ns0:f>IF(OR(AH!$P$3=0,1528+1&gt;AH!$P$11,AND(AH!$E$4&lt;&gt;"Stored",AH!$P$10&lt;&gt;1)),"",IFERROR(IF(AND(AH!$P$21=1,1528+1=AH!$P$11),TODAY(),IF(AH!$P$10=1,INDEX('Live History'!$A$5:$A$3004,AH!$P$13+1528),INDEX('AH History'!$A$1:$A$18046,AH!$P$7+1528))),""))</ns0:f>
        <ns0:v/>
      </ns0:c>
      <ns0:c r="B1533" s="219">
        <ns0:f>IFERROR(IF(AND(AH!$P$9&lt;&gt;1,$C1533&gt;0,$D1533&gt;0,$E1533&gt;0,$F1533&gt;0,$G1533&gt;0,$F1533&lt;=$A1533,$G1533&lt;=$A1533,$A1533-$F1533&lt;=10,$A1533-$G1533&lt;=5),$D1533*$E1533/$C1533-1,NA()),NA())</ns0:f>
        <ns0:v/>
      </ns0:c>
      <ns0:c r="C1533">
        <ns0:f>IFERROR(IF(ISNUMBER($A1533),IF(AND(AH!$P$10=1,AH!$P$12=1,$A1533=TODAY()),AH!$P$19,IF(AH!$P$10=1,INDEX('Live History'!$B$5:$B$3004,AH!$P$13+1528),INDEX('AH History'!$B$1:$B$18046,AH!$P$7+1528))),NA()),NA())</ns0:f>
        <ns0:v/>
      </ns0:c>
      <ns0:c r="D1533">
        <ns0:f>IFERROR(IF(ISNUMBER($A1533),IF(AND(AH!$P$10=1,AH!$P$12=1,$A1533=TODAY()),AH!$P$18,IF(AH!$P$10=1,INDEX('Live History'!$E$5:$E$3004,MATCH($A1533,'Live History'!$D$5:$D$3004,1)),INDEX('AH History'!$C$1:$C$18046,AH!$P$7+1528))),NA()),NA())</ns0:f>
        <ns0:v/>
      </ns0:c>
      <ns0:c r="E1533">
        <ns0:f>IFERROR(IF(ISNUMBER($A1533),IF(AND(AH!$P$10=1,AH!$P$12=1,$A1533=TODAY()),AH!$P$20,IF(AH!$P$10=1,INDEX('Live History'!$H$5:$H$3004,MATCH($A1533,'Live History'!$G$5:$G$3004,1)),INDEX('AH History'!$D$1:$D$18046,AH!$P$7+1528))),NA()),NA())</ns0:f>
        <ns0:v/>
      </ns0:c>
      <ns0:c r="F1533">
        <ns0:f>IFERROR(IF(ISNUMBER($A1533),IF(AND(AH!$P$10=1,AH!$P$12=1,$A1533=TODAY()),IF(AND(AH!$P$10=1,AH!$P$12=1,$A1533=TODAY()),TODAY(),NA()),IF(AH!$P$10=1,INDEX('Live History'!$D$5:$D$3004,MATCH($A1533,'Live History'!$D$5:$D$3004,1)),INDEX('AH History'!$E$1:$E$18046,AH!$P$7+1528))),NA()),NA())</ns0:f>
        <ns0:v/>
      </ns0:c>
      <ns0:c r="G1533">
        <ns0:f>IFERROR(IF(ISNUMBER($A1533),IF(AND(AH!$P$10=1,AH!$P$12=1,$A1533=TODAY()),IF(AND(AH!$P$10=1,AH!$P$12=1,$A1533=TODAY()),TODAY(),NA()),IF(AH!$P$10=1,INDEX('Live History'!$G$5:$G$3004,MATCH($A1533,'Live History'!$G$5:$G$3004,1)),INDEX('AH History'!$F$1:$F$18046,AH!$P$7+1528))),NA()),NA())</ns0:f>
        <ns0:v/>
      </ns0:c>
      <ns0:c r="H1533">
        <ns0:f>IFERROR(IF(AND(AH!$E$4="Bloomberg",AH!$P$10=1,ISNUMBER($A1533),$A1533&lt;=AH!$P$17),AH!$P$7-1+MATCH($A1533,INDEX('AH History'!$A$1:$A$18046,AH!$P$7):INDEX('AH History'!$A$1:$A$18046,AH!$P$7+AH!$P$8-1),0),0),0)</ns0:f>
        <ns0:v/>
      </ns0:c>
      <ns0:c r="I1533">
        <ns0:f>IF($H1533=0,0,IFERROR(IF(AND(ABS($C1533-INDEX('AH History'!$B$1:$B$18046,$H1533))&lt;=MAX(0.005,ABS(INDEX('AH History'!$B$1:$B$18046,$H1533))*0.00005),ABS($D1533-INDEX('AH History'!$C$1:$C$18046,$H1533))&lt;=MAX(0.005,ABS(INDEX('AH History'!$C$1:$C$18046,$H1533))*0.00005),ABS($E1533-INDEX('AH History'!$D$1:$D$18046,$H1533))&lt;=0.00005,$F1533=INDEX('AH History'!$E$1:$E$18046,$H1533),$G1533=INDEX('AH History'!$F$1:$F$18046,$H1533)),1,-1),-1))</ns0:f>
        <ns0:v/>
      </ns0:c>
    </ns0:row>
    <ns0:row r="1534">
      <ns0:c r="A1534" s="215">
        <ns0:f>IF(OR(AH!$P$3=0,1529+1&gt;AH!$P$11,AND(AH!$E$4&lt;&gt;"Stored",AH!$P$10&lt;&gt;1)),"",IFERROR(IF(AND(AH!$P$21=1,1529+1=AH!$P$11),TODAY(),IF(AH!$P$10=1,INDEX('Live History'!$A$5:$A$3004,AH!$P$13+1529),INDEX('AH History'!$A$1:$A$18046,AH!$P$7+1529))),""))</ns0:f>
        <ns0:v/>
      </ns0:c>
      <ns0:c r="B1534" s="219">
        <ns0:f>IFERROR(IF(AND(AH!$P$9&lt;&gt;1,$C1534&gt;0,$D1534&gt;0,$E1534&gt;0,$F1534&gt;0,$G1534&gt;0,$F1534&lt;=$A1534,$G1534&lt;=$A1534,$A1534-$F1534&lt;=10,$A1534-$G1534&lt;=5),$D1534*$E1534/$C1534-1,NA()),NA())</ns0:f>
        <ns0:v/>
      </ns0:c>
      <ns0:c r="C1534">
        <ns0:f>IFERROR(IF(ISNUMBER($A1534),IF(AND(AH!$P$10=1,AH!$P$12=1,$A1534=TODAY()),AH!$P$19,IF(AH!$P$10=1,INDEX('Live History'!$B$5:$B$3004,AH!$P$13+1529),INDEX('AH History'!$B$1:$B$18046,AH!$P$7+1529))),NA()),NA())</ns0:f>
        <ns0:v/>
      </ns0:c>
      <ns0:c r="D1534">
        <ns0:f>IFERROR(IF(ISNUMBER($A1534),IF(AND(AH!$P$10=1,AH!$P$12=1,$A1534=TODAY()),AH!$P$18,IF(AH!$P$10=1,INDEX('Live History'!$E$5:$E$3004,MATCH($A1534,'Live History'!$D$5:$D$3004,1)),INDEX('AH History'!$C$1:$C$18046,AH!$P$7+1529))),NA()),NA())</ns0:f>
        <ns0:v/>
      </ns0:c>
      <ns0:c r="E1534">
        <ns0:f>IFERROR(IF(ISNUMBER($A1534),IF(AND(AH!$P$10=1,AH!$P$12=1,$A1534=TODAY()),AH!$P$20,IF(AH!$P$10=1,INDEX('Live History'!$H$5:$H$3004,MATCH($A1534,'Live History'!$G$5:$G$3004,1)),INDEX('AH History'!$D$1:$D$18046,AH!$P$7+1529))),NA()),NA())</ns0:f>
        <ns0:v/>
      </ns0:c>
      <ns0:c r="F1534">
        <ns0:f>IFERROR(IF(ISNUMBER($A1534),IF(AND(AH!$P$10=1,AH!$P$12=1,$A1534=TODAY()),IF(AND(AH!$P$10=1,AH!$P$12=1,$A1534=TODAY()),TODAY(),NA()),IF(AH!$P$10=1,INDEX('Live History'!$D$5:$D$3004,MATCH($A1534,'Live History'!$D$5:$D$3004,1)),INDEX('AH History'!$E$1:$E$18046,AH!$P$7+1529))),NA()),NA())</ns0:f>
        <ns0:v/>
      </ns0:c>
      <ns0:c r="G1534">
        <ns0:f>IFERROR(IF(ISNUMBER($A1534),IF(AND(AH!$P$10=1,AH!$P$12=1,$A1534=TODAY()),IF(AND(AH!$P$10=1,AH!$P$12=1,$A1534=TODAY()),TODAY(),NA()),IF(AH!$P$10=1,INDEX('Live History'!$G$5:$G$3004,MATCH($A1534,'Live History'!$G$5:$G$3004,1)),INDEX('AH History'!$F$1:$F$18046,AH!$P$7+1529))),NA()),NA())</ns0:f>
        <ns0:v/>
      </ns0:c>
      <ns0:c r="H1534">
        <ns0:f>IFERROR(IF(AND(AH!$E$4="Bloomberg",AH!$P$10=1,ISNUMBER($A1534),$A1534&lt;=AH!$P$17),AH!$P$7-1+MATCH($A1534,INDEX('AH History'!$A$1:$A$18046,AH!$P$7):INDEX('AH History'!$A$1:$A$18046,AH!$P$7+AH!$P$8-1),0),0),0)</ns0:f>
        <ns0:v/>
      </ns0:c>
      <ns0:c r="I1534">
        <ns0:f>IF($H1534=0,0,IFERROR(IF(AND(ABS($C1534-INDEX('AH History'!$B$1:$B$18046,$H1534))&lt;=MAX(0.005,ABS(INDEX('AH History'!$B$1:$B$18046,$H1534))*0.00005),ABS($D1534-INDEX('AH History'!$C$1:$C$18046,$H1534))&lt;=MAX(0.005,ABS(INDEX('AH History'!$C$1:$C$18046,$H1534))*0.00005),ABS($E1534-INDEX('AH History'!$D$1:$D$18046,$H1534))&lt;=0.00005,$F1534=INDEX('AH History'!$E$1:$E$18046,$H1534),$G1534=INDEX('AH History'!$F$1:$F$18046,$H1534)),1,-1),-1))</ns0:f>
        <ns0:v/>
      </ns0:c>
    </ns0:row>
    <ns0:row r="1535">
      <ns0:c r="A1535" s="215">
        <ns0:f>IF(OR(AH!$P$3=0,1530+1&gt;AH!$P$11,AND(AH!$E$4&lt;&gt;"Stored",AH!$P$10&lt;&gt;1)),"",IFERROR(IF(AND(AH!$P$21=1,1530+1=AH!$P$11),TODAY(),IF(AH!$P$10=1,INDEX('Live History'!$A$5:$A$3004,AH!$P$13+1530),INDEX('AH History'!$A$1:$A$18046,AH!$P$7+1530))),""))</ns0:f>
        <ns0:v/>
      </ns0:c>
      <ns0:c r="B1535" s="219">
        <ns0:f>IFERROR(IF(AND(AH!$P$9&lt;&gt;1,$C1535&gt;0,$D1535&gt;0,$E1535&gt;0,$F1535&gt;0,$G1535&gt;0,$F1535&lt;=$A1535,$G1535&lt;=$A1535,$A1535-$F1535&lt;=10,$A1535-$G1535&lt;=5),$D1535*$E1535/$C1535-1,NA()),NA())</ns0:f>
        <ns0:v/>
      </ns0:c>
      <ns0:c r="C1535">
        <ns0:f>IFERROR(IF(ISNUMBER($A1535),IF(AND(AH!$P$10=1,AH!$P$12=1,$A1535=TODAY()),AH!$P$19,IF(AH!$P$10=1,INDEX('Live History'!$B$5:$B$3004,AH!$P$13+1530),INDEX('AH History'!$B$1:$B$18046,AH!$P$7+1530))),NA()),NA())</ns0:f>
        <ns0:v/>
      </ns0:c>
      <ns0:c r="D1535">
        <ns0:f>IFERROR(IF(ISNUMBER($A1535),IF(AND(AH!$P$10=1,AH!$P$12=1,$A1535=TODAY()),AH!$P$18,IF(AH!$P$10=1,INDEX('Live History'!$E$5:$E$3004,MATCH($A1535,'Live History'!$D$5:$D$3004,1)),INDEX('AH History'!$C$1:$C$18046,AH!$P$7+1530))),NA()),NA())</ns0:f>
        <ns0:v/>
      </ns0:c>
      <ns0:c r="E1535">
        <ns0:f>IFERROR(IF(ISNUMBER($A1535),IF(AND(AH!$P$10=1,AH!$P$12=1,$A1535=TODAY()),AH!$P$20,IF(AH!$P$10=1,INDEX('Live History'!$H$5:$H$3004,MATCH($A1535,'Live History'!$G$5:$G$3004,1)),INDEX('AH History'!$D$1:$D$18046,AH!$P$7+1530))),NA()),NA())</ns0:f>
        <ns0:v/>
      </ns0:c>
      <ns0:c r="F1535">
        <ns0:f>IFERROR(IF(ISNUMBER($A1535),IF(AND(AH!$P$10=1,AH!$P$12=1,$A1535=TODAY()),IF(AND(AH!$P$10=1,AH!$P$12=1,$A1535=TODAY()),TODAY(),NA()),IF(AH!$P$10=1,INDEX('Live History'!$D$5:$D$3004,MATCH($A1535,'Live History'!$D$5:$D$3004,1)),INDEX('AH History'!$E$1:$E$18046,AH!$P$7+1530))),NA()),NA())</ns0:f>
        <ns0:v/>
      </ns0:c>
      <ns0:c r="G1535">
        <ns0:f>IFERROR(IF(ISNUMBER($A1535),IF(AND(AH!$P$10=1,AH!$P$12=1,$A1535=TODAY()),IF(AND(AH!$P$10=1,AH!$P$12=1,$A1535=TODAY()),TODAY(),NA()),IF(AH!$P$10=1,INDEX('Live History'!$G$5:$G$3004,MATCH($A1535,'Live History'!$G$5:$G$3004,1)),INDEX('AH History'!$F$1:$F$18046,AH!$P$7+1530))),NA()),NA())</ns0:f>
        <ns0:v/>
      </ns0:c>
      <ns0:c r="H1535">
        <ns0:f>IFERROR(IF(AND(AH!$E$4="Bloomberg",AH!$P$10=1,ISNUMBER($A1535),$A1535&lt;=AH!$P$17),AH!$P$7-1+MATCH($A1535,INDEX('AH History'!$A$1:$A$18046,AH!$P$7):INDEX('AH History'!$A$1:$A$18046,AH!$P$7+AH!$P$8-1),0),0),0)</ns0:f>
        <ns0:v/>
      </ns0:c>
      <ns0:c r="I1535">
        <ns0:f>IF($H1535=0,0,IFERROR(IF(AND(ABS($C1535-INDEX('AH History'!$B$1:$B$18046,$H1535))&lt;=MAX(0.005,ABS(INDEX('AH History'!$B$1:$B$18046,$H1535))*0.00005),ABS($D1535-INDEX('AH History'!$C$1:$C$18046,$H1535))&lt;=MAX(0.005,ABS(INDEX('AH History'!$C$1:$C$18046,$H1535))*0.00005),ABS($E1535-INDEX('AH History'!$D$1:$D$18046,$H1535))&lt;=0.00005,$F1535=INDEX('AH History'!$E$1:$E$18046,$H1535),$G1535=INDEX('AH History'!$F$1:$F$18046,$H1535)),1,-1),-1))</ns0:f>
        <ns0:v/>
      </ns0:c>
    </ns0:row>
    <ns0:row r="1536">
      <ns0:c r="A1536" s="215">
        <ns0:f>IF(OR(AH!$P$3=0,1531+1&gt;AH!$P$11,AND(AH!$E$4&lt;&gt;"Stored",AH!$P$10&lt;&gt;1)),"",IFERROR(IF(AND(AH!$P$21=1,1531+1=AH!$P$11),TODAY(),IF(AH!$P$10=1,INDEX('Live History'!$A$5:$A$3004,AH!$P$13+1531),INDEX('AH History'!$A$1:$A$18046,AH!$P$7+1531))),""))</ns0:f>
        <ns0:v/>
      </ns0:c>
      <ns0:c r="B1536" s="219">
        <ns0:f>IFERROR(IF(AND(AH!$P$9&lt;&gt;1,$C1536&gt;0,$D1536&gt;0,$E1536&gt;0,$F1536&gt;0,$G1536&gt;0,$F1536&lt;=$A1536,$G1536&lt;=$A1536,$A1536-$F1536&lt;=10,$A1536-$G1536&lt;=5),$D1536*$E1536/$C1536-1,NA()),NA())</ns0:f>
        <ns0:v/>
      </ns0:c>
      <ns0:c r="C1536">
        <ns0:f>IFERROR(IF(ISNUMBER($A1536),IF(AND(AH!$P$10=1,AH!$P$12=1,$A1536=TODAY()),AH!$P$19,IF(AH!$P$10=1,INDEX('Live History'!$B$5:$B$3004,AH!$P$13+1531),INDEX('AH History'!$B$1:$B$18046,AH!$P$7+1531))),NA()),NA())</ns0:f>
        <ns0:v/>
      </ns0:c>
      <ns0:c r="D1536">
        <ns0:f>IFERROR(IF(ISNUMBER($A1536),IF(AND(AH!$P$10=1,AH!$P$12=1,$A1536=TODAY()),AH!$P$18,IF(AH!$P$10=1,INDEX('Live History'!$E$5:$E$3004,MATCH($A1536,'Live History'!$D$5:$D$3004,1)),INDEX('AH History'!$C$1:$C$18046,AH!$P$7+1531))),NA()),NA())</ns0:f>
        <ns0:v/>
      </ns0:c>
      <ns0:c r="E1536">
        <ns0:f>IFERROR(IF(ISNUMBER($A1536),IF(AND(AH!$P$10=1,AH!$P$12=1,$A1536=TODAY()),AH!$P$20,IF(AH!$P$10=1,INDEX('Live History'!$H$5:$H$3004,MATCH($A1536,'Live History'!$G$5:$G$3004,1)),INDEX('AH History'!$D$1:$D$18046,AH!$P$7+1531))),NA()),NA())</ns0:f>
        <ns0:v/>
      </ns0:c>
      <ns0:c r="F1536">
        <ns0:f>IFERROR(IF(ISNUMBER($A1536),IF(AND(AH!$P$10=1,AH!$P$12=1,$A1536=TODAY()),IF(AND(AH!$P$10=1,AH!$P$12=1,$A1536=TODAY()),TODAY(),NA()),IF(AH!$P$10=1,INDEX('Live History'!$D$5:$D$3004,MATCH($A1536,'Live History'!$D$5:$D$3004,1)),INDEX('AH History'!$E$1:$E$18046,AH!$P$7+1531))),NA()),NA())</ns0:f>
        <ns0:v/>
      </ns0:c>
      <ns0:c r="G1536">
        <ns0:f>IFERROR(IF(ISNUMBER($A1536),IF(AND(AH!$P$10=1,AH!$P$12=1,$A1536=TODAY()),IF(AND(AH!$P$10=1,AH!$P$12=1,$A1536=TODAY()),TODAY(),NA()),IF(AH!$P$10=1,INDEX('Live History'!$G$5:$G$3004,MATCH($A1536,'Live History'!$G$5:$G$3004,1)),INDEX('AH History'!$F$1:$F$18046,AH!$P$7+1531))),NA()),NA())</ns0:f>
        <ns0:v/>
      </ns0:c>
      <ns0:c r="H1536">
        <ns0:f>IFERROR(IF(AND(AH!$E$4="Bloomberg",AH!$P$10=1,ISNUMBER($A1536),$A1536&lt;=AH!$P$17),AH!$P$7-1+MATCH($A1536,INDEX('AH History'!$A$1:$A$18046,AH!$P$7):INDEX('AH History'!$A$1:$A$18046,AH!$P$7+AH!$P$8-1),0),0),0)</ns0:f>
        <ns0:v/>
      </ns0:c>
      <ns0:c r="I1536">
        <ns0:f>IF($H1536=0,0,IFERROR(IF(AND(ABS($C1536-INDEX('AH History'!$B$1:$B$18046,$H1536))&lt;=MAX(0.005,ABS(INDEX('AH History'!$B$1:$B$18046,$H1536))*0.00005),ABS($D1536-INDEX('AH History'!$C$1:$C$18046,$H1536))&lt;=MAX(0.005,ABS(INDEX('AH History'!$C$1:$C$18046,$H1536))*0.00005),ABS($E1536-INDEX('AH History'!$D$1:$D$18046,$H1536))&lt;=0.00005,$F1536=INDEX('AH History'!$E$1:$E$18046,$H1536),$G1536=INDEX('AH History'!$F$1:$F$18046,$H1536)),1,-1),-1))</ns0:f>
        <ns0:v/>
      </ns0:c>
    </ns0:row>
    <ns0:row r="1537">
      <ns0:c r="A1537" s="215">
        <ns0:f>IF(OR(AH!$P$3=0,1532+1&gt;AH!$P$11,AND(AH!$E$4&lt;&gt;"Stored",AH!$P$10&lt;&gt;1)),"",IFERROR(IF(AND(AH!$P$21=1,1532+1=AH!$P$11),TODAY(),IF(AH!$P$10=1,INDEX('Live History'!$A$5:$A$3004,AH!$P$13+1532),INDEX('AH History'!$A$1:$A$18046,AH!$P$7+1532))),""))</ns0:f>
        <ns0:v/>
      </ns0:c>
      <ns0:c r="B1537" s="219">
        <ns0:f>IFERROR(IF(AND(AH!$P$9&lt;&gt;1,$C1537&gt;0,$D1537&gt;0,$E1537&gt;0,$F1537&gt;0,$G1537&gt;0,$F1537&lt;=$A1537,$G1537&lt;=$A1537,$A1537-$F1537&lt;=10,$A1537-$G1537&lt;=5),$D1537*$E1537/$C1537-1,NA()),NA())</ns0:f>
        <ns0:v/>
      </ns0:c>
      <ns0:c r="C1537">
        <ns0:f>IFERROR(IF(ISNUMBER($A1537),IF(AND(AH!$P$10=1,AH!$P$12=1,$A1537=TODAY()),AH!$P$19,IF(AH!$P$10=1,INDEX('Live History'!$B$5:$B$3004,AH!$P$13+1532),INDEX('AH History'!$B$1:$B$18046,AH!$P$7+1532))),NA()),NA())</ns0:f>
        <ns0:v/>
      </ns0:c>
      <ns0:c r="D1537">
        <ns0:f>IFERROR(IF(ISNUMBER($A1537),IF(AND(AH!$P$10=1,AH!$P$12=1,$A1537=TODAY()),AH!$P$18,IF(AH!$P$10=1,INDEX('Live History'!$E$5:$E$3004,MATCH($A1537,'Live History'!$D$5:$D$3004,1)),INDEX('AH History'!$C$1:$C$18046,AH!$P$7+1532))),NA()),NA())</ns0:f>
        <ns0:v/>
      </ns0:c>
      <ns0:c r="E1537">
        <ns0:f>IFERROR(IF(ISNUMBER($A1537),IF(AND(AH!$P$10=1,AH!$P$12=1,$A1537=TODAY()),AH!$P$20,IF(AH!$P$10=1,INDEX('Live History'!$H$5:$H$3004,MATCH($A1537,'Live History'!$G$5:$G$3004,1)),INDEX('AH History'!$D$1:$D$18046,AH!$P$7+1532))),NA()),NA())</ns0:f>
        <ns0:v/>
      </ns0:c>
      <ns0:c r="F1537">
        <ns0:f>IFERROR(IF(ISNUMBER($A1537),IF(AND(AH!$P$10=1,AH!$P$12=1,$A1537=TODAY()),IF(AND(AH!$P$10=1,AH!$P$12=1,$A1537=TODAY()),TODAY(),NA()),IF(AH!$P$10=1,INDEX('Live History'!$D$5:$D$3004,MATCH($A1537,'Live History'!$D$5:$D$3004,1)),INDEX('AH History'!$E$1:$E$18046,AH!$P$7+1532))),NA()),NA())</ns0:f>
        <ns0:v/>
      </ns0:c>
      <ns0:c r="G1537">
        <ns0:f>IFERROR(IF(ISNUMBER($A1537),IF(AND(AH!$P$10=1,AH!$P$12=1,$A1537=TODAY()),IF(AND(AH!$P$10=1,AH!$P$12=1,$A1537=TODAY()),TODAY(),NA()),IF(AH!$P$10=1,INDEX('Live History'!$G$5:$G$3004,MATCH($A1537,'Live History'!$G$5:$G$3004,1)),INDEX('AH History'!$F$1:$F$18046,AH!$P$7+1532))),NA()),NA())</ns0:f>
        <ns0:v/>
      </ns0:c>
      <ns0:c r="H1537">
        <ns0:f>IFERROR(IF(AND(AH!$E$4="Bloomberg",AH!$P$10=1,ISNUMBER($A1537),$A1537&lt;=AH!$P$17),AH!$P$7-1+MATCH($A1537,INDEX('AH History'!$A$1:$A$18046,AH!$P$7):INDEX('AH History'!$A$1:$A$18046,AH!$P$7+AH!$P$8-1),0),0),0)</ns0:f>
        <ns0:v/>
      </ns0:c>
      <ns0:c r="I1537">
        <ns0:f>IF($H1537=0,0,IFERROR(IF(AND(ABS($C1537-INDEX('AH History'!$B$1:$B$18046,$H1537))&lt;=MAX(0.005,ABS(INDEX('AH History'!$B$1:$B$18046,$H1537))*0.00005),ABS($D1537-INDEX('AH History'!$C$1:$C$18046,$H1537))&lt;=MAX(0.005,ABS(INDEX('AH History'!$C$1:$C$18046,$H1537))*0.00005),ABS($E1537-INDEX('AH History'!$D$1:$D$18046,$H1537))&lt;=0.00005,$F1537=INDEX('AH History'!$E$1:$E$18046,$H1537),$G1537=INDEX('AH History'!$F$1:$F$18046,$H1537)),1,-1),-1))</ns0:f>
        <ns0:v/>
      </ns0:c>
    </ns0:row>
    <ns0:row r="1538">
      <ns0:c r="A1538" s="215">
        <ns0:f>IF(OR(AH!$P$3=0,1533+1&gt;AH!$P$11,AND(AH!$E$4&lt;&gt;"Stored",AH!$P$10&lt;&gt;1)),"",IFERROR(IF(AND(AH!$P$21=1,1533+1=AH!$P$11),TODAY(),IF(AH!$P$10=1,INDEX('Live History'!$A$5:$A$3004,AH!$P$13+1533),INDEX('AH History'!$A$1:$A$18046,AH!$P$7+1533))),""))</ns0:f>
        <ns0:v/>
      </ns0:c>
      <ns0:c r="B1538" s="219">
        <ns0:f>IFERROR(IF(AND(AH!$P$9&lt;&gt;1,$C1538&gt;0,$D1538&gt;0,$E1538&gt;0,$F1538&gt;0,$G1538&gt;0,$F1538&lt;=$A1538,$G1538&lt;=$A1538,$A1538-$F1538&lt;=10,$A1538-$G1538&lt;=5),$D1538*$E1538/$C1538-1,NA()),NA())</ns0:f>
        <ns0:v/>
      </ns0:c>
      <ns0:c r="C1538">
        <ns0:f>IFERROR(IF(ISNUMBER($A1538),IF(AND(AH!$P$10=1,AH!$P$12=1,$A1538=TODAY()),AH!$P$19,IF(AH!$P$10=1,INDEX('Live History'!$B$5:$B$3004,AH!$P$13+1533),INDEX('AH History'!$B$1:$B$18046,AH!$P$7+1533))),NA()),NA())</ns0:f>
        <ns0:v/>
      </ns0:c>
      <ns0:c r="D1538">
        <ns0:f>IFERROR(IF(ISNUMBER($A1538),IF(AND(AH!$P$10=1,AH!$P$12=1,$A1538=TODAY()),AH!$P$18,IF(AH!$P$10=1,INDEX('Live History'!$E$5:$E$3004,MATCH($A1538,'Live History'!$D$5:$D$3004,1)),INDEX('AH History'!$C$1:$C$18046,AH!$P$7+1533))),NA()),NA())</ns0:f>
        <ns0:v/>
      </ns0:c>
      <ns0:c r="E1538">
        <ns0:f>IFERROR(IF(ISNUMBER($A1538),IF(AND(AH!$P$10=1,AH!$P$12=1,$A1538=TODAY()),AH!$P$20,IF(AH!$P$10=1,INDEX('Live History'!$H$5:$H$3004,MATCH($A1538,'Live History'!$G$5:$G$3004,1)),INDEX('AH History'!$D$1:$D$18046,AH!$P$7+1533))),NA()),NA())</ns0:f>
        <ns0:v/>
      </ns0:c>
      <ns0:c r="F1538">
        <ns0:f>IFERROR(IF(ISNUMBER($A1538),IF(AND(AH!$P$10=1,AH!$P$12=1,$A1538=TODAY()),IF(AND(AH!$P$10=1,AH!$P$12=1,$A1538=TODAY()),TODAY(),NA()),IF(AH!$P$10=1,INDEX('Live History'!$D$5:$D$3004,MATCH($A1538,'Live History'!$D$5:$D$3004,1)),INDEX('AH History'!$E$1:$E$18046,AH!$P$7+1533))),NA()),NA())</ns0:f>
        <ns0:v/>
      </ns0:c>
      <ns0:c r="G1538">
        <ns0:f>IFERROR(IF(ISNUMBER($A1538),IF(AND(AH!$P$10=1,AH!$P$12=1,$A1538=TODAY()),IF(AND(AH!$P$10=1,AH!$P$12=1,$A1538=TODAY()),TODAY(),NA()),IF(AH!$P$10=1,INDEX('Live History'!$G$5:$G$3004,MATCH($A1538,'Live History'!$G$5:$G$3004,1)),INDEX('AH History'!$F$1:$F$18046,AH!$P$7+1533))),NA()),NA())</ns0:f>
        <ns0:v/>
      </ns0:c>
      <ns0:c r="H1538">
        <ns0:f>IFERROR(IF(AND(AH!$E$4="Bloomberg",AH!$P$10=1,ISNUMBER($A1538),$A1538&lt;=AH!$P$17),AH!$P$7-1+MATCH($A1538,INDEX('AH History'!$A$1:$A$18046,AH!$P$7):INDEX('AH History'!$A$1:$A$18046,AH!$P$7+AH!$P$8-1),0),0),0)</ns0:f>
        <ns0:v/>
      </ns0:c>
      <ns0:c r="I1538">
        <ns0:f>IF($H1538=0,0,IFERROR(IF(AND(ABS($C1538-INDEX('AH History'!$B$1:$B$18046,$H1538))&lt;=MAX(0.005,ABS(INDEX('AH History'!$B$1:$B$18046,$H1538))*0.00005),ABS($D1538-INDEX('AH History'!$C$1:$C$18046,$H1538))&lt;=MAX(0.005,ABS(INDEX('AH History'!$C$1:$C$18046,$H1538))*0.00005),ABS($E1538-INDEX('AH History'!$D$1:$D$18046,$H1538))&lt;=0.00005,$F1538=INDEX('AH History'!$E$1:$E$18046,$H1538),$G1538=INDEX('AH History'!$F$1:$F$18046,$H1538)),1,-1),-1))</ns0:f>
        <ns0:v/>
      </ns0:c>
    </ns0:row>
    <ns0:row r="1539">
      <ns0:c r="A1539" s="215">
        <ns0:f>IF(OR(AH!$P$3=0,1534+1&gt;AH!$P$11,AND(AH!$E$4&lt;&gt;"Stored",AH!$P$10&lt;&gt;1)),"",IFERROR(IF(AND(AH!$P$21=1,1534+1=AH!$P$11),TODAY(),IF(AH!$P$10=1,INDEX('Live History'!$A$5:$A$3004,AH!$P$13+1534),INDEX('AH History'!$A$1:$A$18046,AH!$P$7+1534))),""))</ns0:f>
        <ns0:v/>
      </ns0:c>
      <ns0:c r="B1539" s="219">
        <ns0:f>IFERROR(IF(AND(AH!$P$9&lt;&gt;1,$C1539&gt;0,$D1539&gt;0,$E1539&gt;0,$F1539&gt;0,$G1539&gt;0,$F1539&lt;=$A1539,$G1539&lt;=$A1539,$A1539-$F1539&lt;=10,$A1539-$G1539&lt;=5),$D1539*$E1539/$C1539-1,NA()),NA())</ns0:f>
        <ns0:v/>
      </ns0:c>
      <ns0:c r="C1539">
        <ns0:f>IFERROR(IF(ISNUMBER($A1539),IF(AND(AH!$P$10=1,AH!$P$12=1,$A1539=TODAY()),AH!$P$19,IF(AH!$P$10=1,INDEX('Live History'!$B$5:$B$3004,AH!$P$13+1534),INDEX('AH History'!$B$1:$B$18046,AH!$P$7+1534))),NA()),NA())</ns0:f>
        <ns0:v/>
      </ns0:c>
      <ns0:c r="D1539">
        <ns0:f>IFERROR(IF(ISNUMBER($A1539),IF(AND(AH!$P$10=1,AH!$P$12=1,$A1539=TODAY()),AH!$P$18,IF(AH!$P$10=1,INDEX('Live History'!$E$5:$E$3004,MATCH($A1539,'Live History'!$D$5:$D$3004,1)),INDEX('AH History'!$C$1:$C$18046,AH!$P$7+1534))),NA()),NA())</ns0:f>
        <ns0:v/>
      </ns0:c>
      <ns0:c r="E1539">
        <ns0:f>IFERROR(IF(ISNUMBER($A1539),IF(AND(AH!$P$10=1,AH!$P$12=1,$A1539=TODAY()),AH!$P$20,IF(AH!$P$10=1,INDEX('Live History'!$H$5:$H$3004,MATCH($A1539,'Live History'!$G$5:$G$3004,1)),INDEX('AH History'!$D$1:$D$18046,AH!$P$7+1534))),NA()),NA())</ns0:f>
        <ns0:v/>
      </ns0:c>
      <ns0:c r="F1539">
        <ns0:f>IFERROR(IF(ISNUMBER($A1539),IF(AND(AH!$P$10=1,AH!$P$12=1,$A1539=TODAY()),IF(AND(AH!$P$10=1,AH!$P$12=1,$A1539=TODAY()),TODAY(),NA()),IF(AH!$P$10=1,INDEX('Live History'!$D$5:$D$3004,MATCH($A1539,'Live History'!$D$5:$D$3004,1)),INDEX('AH History'!$E$1:$E$18046,AH!$P$7+1534))),NA()),NA())</ns0:f>
        <ns0:v/>
      </ns0:c>
      <ns0:c r="G1539">
        <ns0:f>IFERROR(IF(ISNUMBER($A1539),IF(AND(AH!$P$10=1,AH!$P$12=1,$A1539=TODAY()),IF(AND(AH!$P$10=1,AH!$P$12=1,$A1539=TODAY()),TODAY(),NA()),IF(AH!$P$10=1,INDEX('Live History'!$G$5:$G$3004,MATCH($A1539,'Live History'!$G$5:$G$3004,1)),INDEX('AH History'!$F$1:$F$18046,AH!$P$7+1534))),NA()),NA())</ns0:f>
        <ns0:v/>
      </ns0:c>
      <ns0:c r="H1539">
        <ns0:f>IFERROR(IF(AND(AH!$E$4="Bloomberg",AH!$P$10=1,ISNUMBER($A1539),$A1539&lt;=AH!$P$17),AH!$P$7-1+MATCH($A1539,INDEX('AH History'!$A$1:$A$18046,AH!$P$7):INDEX('AH History'!$A$1:$A$18046,AH!$P$7+AH!$P$8-1),0),0),0)</ns0:f>
        <ns0:v/>
      </ns0:c>
      <ns0:c r="I1539">
        <ns0:f>IF($H1539=0,0,IFERROR(IF(AND(ABS($C1539-INDEX('AH History'!$B$1:$B$18046,$H1539))&lt;=MAX(0.005,ABS(INDEX('AH History'!$B$1:$B$18046,$H1539))*0.00005),ABS($D1539-INDEX('AH History'!$C$1:$C$18046,$H1539))&lt;=MAX(0.005,ABS(INDEX('AH History'!$C$1:$C$18046,$H1539))*0.00005),ABS($E1539-INDEX('AH History'!$D$1:$D$18046,$H1539))&lt;=0.00005,$F1539=INDEX('AH History'!$E$1:$E$18046,$H1539),$G1539=INDEX('AH History'!$F$1:$F$18046,$H1539)),1,-1),-1))</ns0:f>
        <ns0:v/>
      </ns0:c>
    </ns0:row>
    <ns0:row r="1540">
      <ns0:c r="A1540" s="215">
        <ns0:f>IF(OR(AH!$P$3=0,1535+1&gt;AH!$P$11,AND(AH!$E$4&lt;&gt;"Stored",AH!$P$10&lt;&gt;1)),"",IFERROR(IF(AND(AH!$P$21=1,1535+1=AH!$P$11),TODAY(),IF(AH!$P$10=1,INDEX('Live History'!$A$5:$A$3004,AH!$P$13+1535),INDEX('AH History'!$A$1:$A$18046,AH!$P$7+1535))),""))</ns0:f>
        <ns0:v/>
      </ns0:c>
      <ns0:c r="B1540" s="219">
        <ns0:f>IFERROR(IF(AND(AH!$P$9&lt;&gt;1,$C1540&gt;0,$D1540&gt;0,$E1540&gt;0,$F1540&gt;0,$G1540&gt;0,$F1540&lt;=$A1540,$G1540&lt;=$A1540,$A1540-$F1540&lt;=10,$A1540-$G1540&lt;=5),$D1540*$E1540/$C1540-1,NA()),NA())</ns0:f>
        <ns0:v/>
      </ns0:c>
      <ns0:c r="C1540">
        <ns0:f>IFERROR(IF(ISNUMBER($A1540),IF(AND(AH!$P$10=1,AH!$P$12=1,$A1540=TODAY()),AH!$P$19,IF(AH!$P$10=1,INDEX('Live History'!$B$5:$B$3004,AH!$P$13+1535),INDEX('AH History'!$B$1:$B$18046,AH!$P$7+1535))),NA()),NA())</ns0:f>
        <ns0:v/>
      </ns0:c>
      <ns0:c r="D1540">
        <ns0:f>IFERROR(IF(ISNUMBER($A1540),IF(AND(AH!$P$10=1,AH!$P$12=1,$A1540=TODAY()),AH!$P$18,IF(AH!$P$10=1,INDEX('Live History'!$E$5:$E$3004,MATCH($A1540,'Live History'!$D$5:$D$3004,1)),INDEX('AH History'!$C$1:$C$18046,AH!$P$7+1535))),NA()),NA())</ns0:f>
        <ns0:v/>
      </ns0:c>
      <ns0:c r="E1540">
        <ns0:f>IFERROR(IF(ISNUMBER($A1540),IF(AND(AH!$P$10=1,AH!$P$12=1,$A1540=TODAY()),AH!$P$20,IF(AH!$P$10=1,INDEX('Live History'!$H$5:$H$3004,MATCH($A1540,'Live History'!$G$5:$G$3004,1)),INDEX('AH History'!$D$1:$D$18046,AH!$P$7+1535))),NA()),NA())</ns0:f>
        <ns0:v/>
      </ns0:c>
      <ns0:c r="F1540">
        <ns0:f>IFERROR(IF(ISNUMBER($A1540),IF(AND(AH!$P$10=1,AH!$P$12=1,$A1540=TODAY()),IF(AND(AH!$P$10=1,AH!$P$12=1,$A1540=TODAY()),TODAY(),NA()),IF(AH!$P$10=1,INDEX('Live History'!$D$5:$D$3004,MATCH($A1540,'Live History'!$D$5:$D$3004,1)),INDEX('AH History'!$E$1:$E$18046,AH!$P$7+1535))),NA()),NA())</ns0:f>
        <ns0:v/>
      </ns0:c>
      <ns0:c r="G1540">
        <ns0:f>IFERROR(IF(ISNUMBER($A1540),IF(AND(AH!$P$10=1,AH!$P$12=1,$A1540=TODAY()),IF(AND(AH!$P$10=1,AH!$P$12=1,$A1540=TODAY()),TODAY(),NA()),IF(AH!$P$10=1,INDEX('Live History'!$G$5:$G$3004,MATCH($A1540,'Live History'!$G$5:$G$3004,1)),INDEX('AH History'!$F$1:$F$18046,AH!$P$7+1535))),NA()),NA())</ns0:f>
        <ns0:v/>
      </ns0:c>
      <ns0:c r="H1540">
        <ns0:f>IFERROR(IF(AND(AH!$E$4="Bloomberg",AH!$P$10=1,ISNUMBER($A1540),$A1540&lt;=AH!$P$17),AH!$P$7-1+MATCH($A1540,INDEX('AH History'!$A$1:$A$18046,AH!$P$7):INDEX('AH History'!$A$1:$A$18046,AH!$P$7+AH!$P$8-1),0),0),0)</ns0:f>
        <ns0:v/>
      </ns0:c>
      <ns0:c r="I1540">
        <ns0:f>IF($H1540=0,0,IFERROR(IF(AND(ABS($C1540-INDEX('AH History'!$B$1:$B$18046,$H1540))&lt;=MAX(0.005,ABS(INDEX('AH History'!$B$1:$B$18046,$H1540))*0.00005),ABS($D1540-INDEX('AH History'!$C$1:$C$18046,$H1540))&lt;=MAX(0.005,ABS(INDEX('AH History'!$C$1:$C$18046,$H1540))*0.00005),ABS($E1540-INDEX('AH History'!$D$1:$D$18046,$H1540))&lt;=0.00005,$F1540=INDEX('AH History'!$E$1:$E$18046,$H1540),$G1540=INDEX('AH History'!$F$1:$F$18046,$H1540)),1,-1),-1))</ns0:f>
        <ns0:v/>
      </ns0:c>
    </ns0:row>
    <ns0:row r="1541">
      <ns0:c r="A1541" s="215">
        <ns0:f>IF(OR(AH!$P$3=0,1536+1&gt;AH!$P$11,AND(AH!$E$4&lt;&gt;"Stored",AH!$P$10&lt;&gt;1)),"",IFERROR(IF(AND(AH!$P$21=1,1536+1=AH!$P$11),TODAY(),IF(AH!$P$10=1,INDEX('Live History'!$A$5:$A$3004,AH!$P$13+1536),INDEX('AH History'!$A$1:$A$18046,AH!$P$7+1536))),""))</ns0:f>
        <ns0:v/>
      </ns0:c>
      <ns0:c r="B1541" s="219">
        <ns0:f>IFERROR(IF(AND(AH!$P$9&lt;&gt;1,$C1541&gt;0,$D1541&gt;0,$E1541&gt;0,$F1541&gt;0,$G1541&gt;0,$F1541&lt;=$A1541,$G1541&lt;=$A1541,$A1541-$F1541&lt;=10,$A1541-$G1541&lt;=5),$D1541*$E1541/$C1541-1,NA()),NA())</ns0:f>
        <ns0:v/>
      </ns0:c>
      <ns0:c r="C1541">
        <ns0:f>IFERROR(IF(ISNUMBER($A1541),IF(AND(AH!$P$10=1,AH!$P$12=1,$A1541=TODAY()),AH!$P$19,IF(AH!$P$10=1,INDEX('Live History'!$B$5:$B$3004,AH!$P$13+1536),INDEX('AH History'!$B$1:$B$18046,AH!$P$7+1536))),NA()),NA())</ns0:f>
        <ns0:v/>
      </ns0:c>
      <ns0:c r="D1541">
        <ns0:f>IFERROR(IF(ISNUMBER($A1541),IF(AND(AH!$P$10=1,AH!$P$12=1,$A1541=TODAY()),AH!$P$18,IF(AH!$P$10=1,INDEX('Live History'!$E$5:$E$3004,MATCH($A1541,'Live History'!$D$5:$D$3004,1)),INDEX('AH History'!$C$1:$C$18046,AH!$P$7+1536))),NA()),NA())</ns0:f>
        <ns0:v/>
      </ns0:c>
      <ns0:c r="E1541">
        <ns0:f>IFERROR(IF(ISNUMBER($A1541),IF(AND(AH!$P$10=1,AH!$P$12=1,$A1541=TODAY()),AH!$P$20,IF(AH!$P$10=1,INDEX('Live History'!$H$5:$H$3004,MATCH($A1541,'Live History'!$G$5:$G$3004,1)),INDEX('AH History'!$D$1:$D$18046,AH!$P$7+1536))),NA()),NA())</ns0:f>
        <ns0:v/>
      </ns0:c>
      <ns0:c r="F1541">
        <ns0:f>IFERROR(IF(ISNUMBER($A1541),IF(AND(AH!$P$10=1,AH!$P$12=1,$A1541=TODAY()),IF(AND(AH!$P$10=1,AH!$P$12=1,$A1541=TODAY()),TODAY(),NA()),IF(AH!$P$10=1,INDEX('Live History'!$D$5:$D$3004,MATCH($A1541,'Live History'!$D$5:$D$3004,1)),INDEX('AH History'!$E$1:$E$18046,AH!$P$7+1536))),NA()),NA())</ns0:f>
        <ns0:v/>
      </ns0:c>
      <ns0:c r="G1541">
        <ns0:f>IFERROR(IF(ISNUMBER($A1541),IF(AND(AH!$P$10=1,AH!$P$12=1,$A1541=TODAY()),IF(AND(AH!$P$10=1,AH!$P$12=1,$A1541=TODAY()),TODAY(),NA()),IF(AH!$P$10=1,INDEX('Live History'!$G$5:$G$3004,MATCH($A1541,'Live History'!$G$5:$G$3004,1)),INDEX('AH History'!$F$1:$F$18046,AH!$P$7+1536))),NA()),NA())</ns0:f>
        <ns0:v/>
      </ns0:c>
      <ns0:c r="H1541">
        <ns0:f>IFERROR(IF(AND(AH!$E$4="Bloomberg",AH!$P$10=1,ISNUMBER($A1541),$A1541&lt;=AH!$P$17),AH!$P$7-1+MATCH($A1541,INDEX('AH History'!$A$1:$A$18046,AH!$P$7):INDEX('AH History'!$A$1:$A$18046,AH!$P$7+AH!$P$8-1),0),0),0)</ns0:f>
        <ns0:v/>
      </ns0:c>
      <ns0:c r="I1541">
        <ns0:f>IF($H1541=0,0,IFERROR(IF(AND(ABS($C1541-INDEX('AH History'!$B$1:$B$18046,$H1541))&lt;=MAX(0.005,ABS(INDEX('AH History'!$B$1:$B$18046,$H1541))*0.00005),ABS($D1541-INDEX('AH History'!$C$1:$C$18046,$H1541))&lt;=MAX(0.005,ABS(INDEX('AH History'!$C$1:$C$18046,$H1541))*0.00005),ABS($E1541-INDEX('AH History'!$D$1:$D$18046,$H1541))&lt;=0.00005,$F1541=INDEX('AH History'!$E$1:$E$18046,$H1541),$G1541=INDEX('AH History'!$F$1:$F$18046,$H1541)),1,-1),-1))</ns0:f>
        <ns0:v/>
      </ns0:c>
    </ns0:row>
    <ns0:row r="1542">
      <ns0:c r="A1542" s="215">
        <ns0:f>IF(OR(AH!$P$3=0,1537+1&gt;AH!$P$11,AND(AH!$E$4&lt;&gt;"Stored",AH!$P$10&lt;&gt;1)),"",IFERROR(IF(AND(AH!$P$21=1,1537+1=AH!$P$11),TODAY(),IF(AH!$P$10=1,INDEX('Live History'!$A$5:$A$3004,AH!$P$13+1537),INDEX('AH History'!$A$1:$A$18046,AH!$P$7+1537))),""))</ns0:f>
        <ns0:v/>
      </ns0:c>
      <ns0:c r="B1542" s="219">
        <ns0:f>IFERROR(IF(AND(AH!$P$9&lt;&gt;1,$C1542&gt;0,$D1542&gt;0,$E1542&gt;0,$F1542&gt;0,$G1542&gt;0,$F1542&lt;=$A1542,$G1542&lt;=$A1542,$A1542-$F1542&lt;=10,$A1542-$G1542&lt;=5),$D1542*$E1542/$C1542-1,NA()),NA())</ns0:f>
        <ns0:v/>
      </ns0:c>
      <ns0:c r="C1542">
        <ns0:f>IFERROR(IF(ISNUMBER($A1542),IF(AND(AH!$P$10=1,AH!$P$12=1,$A1542=TODAY()),AH!$P$19,IF(AH!$P$10=1,INDEX('Live History'!$B$5:$B$3004,AH!$P$13+1537),INDEX('AH History'!$B$1:$B$18046,AH!$P$7+1537))),NA()),NA())</ns0:f>
        <ns0:v/>
      </ns0:c>
      <ns0:c r="D1542">
        <ns0:f>IFERROR(IF(ISNUMBER($A1542),IF(AND(AH!$P$10=1,AH!$P$12=1,$A1542=TODAY()),AH!$P$18,IF(AH!$P$10=1,INDEX('Live History'!$E$5:$E$3004,MATCH($A1542,'Live History'!$D$5:$D$3004,1)),INDEX('AH History'!$C$1:$C$18046,AH!$P$7+1537))),NA()),NA())</ns0:f>
        <ns0:v/>
      </ns0:c>
      <ns0:c r="E1542">
        <ns0:f>IFERROR(IF(ISNUMBER($A1542),IF(AND(AH!$P$10=1,AH!$P$12=1,$A1542=TODAY()),AH!$P$20,IF(AH!$P$10=1,INDEX('Live History'!$H$5:$H$3004,MATCH($A1542,'Live History'!$G$5:$G$3004,1)),INDEX('AH History'!$D$1:$D$18046,AH!$P$7+1537))),NA()),NA())</ns0:f>
        <ns0:v/>
      </ns0:c>
      <ns0:c r="F1542">
        <ns0:f>IFERROR(IF(ISNUMBER($A1542),IF(AND(AH!$P$10=1,AH!$P$12=1,$A1542=TODAY()),IF(AND(AH!$P$10=1,AH!$P$12=1,$A1542=TODAY()),TODAY(),NA()),IF(AH!$P$10=1,INDEX('Live History'!$D$5:$D$3004,MATCH($A1542,'Live History'!$D$5:$D$3004,1)),INDEX('AH History'!$E$1:$E$18046,AH!$P$7+1537))),NA()),NA())</ns0:f>
        <ns0:v/>
      </ns0:c>
      <ns0:c r="G1542">
        <ns0:f>IFERROR(IF(ISNUMBER($A1542),IF(AND(AH!$P$10=1,AH!$P$12=1,$A1542=TODAY()),IF(AND(AH!$P$10=1,AH!$P$12=1,$A1542=TODAY()),TODAY(),NA()),IF(AH!$P$10=1,INDEX('Live History'!$G$5:$G$3004,MATCH($A1542,'Live History'!$G$5:$G$3004,1)),INDEX('AH History'!$F$1:$F$18046,AH!$P$7+1537))),NA()),NA())</ns0:f>
        <ns0:v/>
      </ns0:c>
      <ns0:c r="H1542">
        <ns0:f>IFERROR(IF(AND(AH!$E$4="Bloomberg",AH!$P$10=1,ISNUMBER($A1542),$A1542&lt;=AH!$P$17),AH!$P$7-1+MATCH($A1542,INDEX('AH History'!$A$1:$A$18046,AH!$P$7):INDEX('AH History'!$A$1:$A$18046,AH!$P$7+AH!$P$8-1),0),0),0)</ns0:f>
        <ns0:v/>
      </ns0:c>
      <ns0:c r="I1542">
        <ns0:f>IF($H1542=0,0,IFERROR(IF(AND(ABS($C1542-INDEX('AH History'!$B$1:$B$18046,$H1542))&lt;=MAX(0.005,ABS(INDEX('AH History'!$B$1:$B$18046,$H1542))*0.00005),ABS($D1542-INDEX('AH History'!$C$1:$C$18046,$H1542))&lt;=MAX(0.005,ABS(INDEX('AH History'!$C$1:$C$18046,$H1542))*0.00005),ABS($E1542-INDEX('AH History'!$D$1:$D$18046,$H1542))&lt;=0.00005,$F1542=INDEX('AH History'!$E$1:$E$18046,$H1542),$G1542=INDEX('AH History'!$F$1:$F$18046,$H1542)),1,-1),-1))</ns0:f>
        <ns0:v/>
      </ns0:c>
    </ns0:row>
    <ns0:row r="1543">
      <ns0:c r="A1543" s="215">
        <ns0:f>IF(OR(AH!$P$3=0,1538+1&gt;AH!$P$11,AND(AH!$E$4&lt;&gt;"Stored",AH!$P$10&lt;&gt;1)),"",IFERROR(IF(AND(AH!$P$21=1,1538+1=AH!$P$11),TODAY(),IF(AH!$P$10=1,INDEX('Live History'!$A$5:$A$3004,AH!$P$13+1538),INDEX('AH History'!$A$1:$A$18046,AH!$P$7+1538))),""))</ns0:f>
        <ns0:v/>
      </ns0:c>
      <ns0:c r="B1543" s="219">
        <ns0:f>IFERROR(IF(AND(AH!$P$9&lt;&gt;1,$C1543&gt;0,$D1543&gt;0,$E1543&gt;0,$F1543&gt;0,$G1543&gt;0,$F1543&lt;=$A1543,$G1543&lt;=$A1543,$A1543-$F1543&lt;=10,$A1543-$G1543&lt;=5),$D1543*$E1543/$C1543-1,NA()),NA())</ns0:f>
        <ns0:v/>
      </ns0:c>
      <ns0:c r="C1543">
        <ns0:f>IFERROR(IF(ISNUMBER($A1543),IF(AND(AH!$P$10=1,AH!$P$12=1,$A1543=TODAY()),AH!$P$19,IF(AH!$P$10=1,INDEX('Live History'!$B$5:$B$3004,AH!$P$13+1538),INDEX('AH History'!$B$1:$B$18046,AH!$P$7+1538))),NA()),NA())</ns0:f>
        <ns0:v/>
      </ns0:c>
      <ns0:c r="D1543">
        <ns0:f>IFERROR(IF(ISNUMBER($A1543),IF(AND(AH!$P$10=1,AH!$P$12=1,$A1543=TODAY()),AH!$P$18,IF(AH!$P$10=1,INDEX('Live History'!$E$5:$E$3004,MATCH($A1543,'Live History'!$D$5:$D$3004,1)),INDEX('AH History'!$C$1:$C$18046,AH!$P$7+1538))),NA()),NA())</ns0:f>
        <ns0:v/>
      </ns0:c>
      <ns0:c r="E1543">
        <ns0:f>IFERROR(IF(ISNUMBER($A1543),IF(AND(AH!$P$10=1,AH!$P$12=1,$A1543=TODAY()),AH!$P$20,IF(AH!$P$10=1,INDEX('Live History'!$H$5:$H$3004,MATCH($A1543,'Live History'!$G$5:$G$3004,1)),INDEX('AH History'!$D$1:$D$18046,AH!$P$7+1538))),NA()),NA())</ns0:f>
        <ns0:v/>
      </ns0:c>
      <ns0:c r="F1543">
        <ns0:f>IFERROR(IF(ISNUMBER($A1543),IF(AND(AH!$P$10=1,AH!$P$12=1,$A1543=TODAY()),IF(AND(AH!$P$10=1,AH!$P$12=1,$A1543=TODAY()),TODAY(),NA()),IF(AH!$P$10=1,INDEX('Live History'!$D$5:$D$3004,MATCH($A1543,'Live History'!$D$5:$D$3004,1)),INDEX('AH History'!$E$1:$E$18046,AH!$P$7+1538))),NA()),NA())</ns0:f>
        <ns0:v/>
      </ns0:c>
      <ns0:c r="G1543">
        <ns0:f>IFERROR(IF(ISNUMBER($A1543),IF(AND(AH!$P$10=1,AH!$P$12=1,$A1543=TODAY()),IF(AND(AH!$P$10=1,AH!$P$12=1,$A1543=TODAY()),TODAY(),NA()),IF(AH!$P$10=1,INDEX('Live History'!$G$5:$G$3004,MATCH($A1543,'Live History'!$G$5:$G$3004,1)),INDEX('AH History'!$F$1:$F$18046,AH!$P$7+1538))),NA()),NA())</ns0:f>
        <ns0:v/>
      </ns0:c>
      <ns0:c r="H1543">
        <ns0:f>IFERROR(IF(AND(AH!$E$4="Bloomberg",AH!$P$10=1,ISNUMBER($A1543),$A1543&lt;=AH!$P$17),AH!$P$7-1+MATCH($A1543,INDEX('AH History'!$A$1:$A$18046,AH!$P$7):INDEX('AH History'!$A$1:$A$18046,AH!$P$7+AH!$P$8-1),0),0),0)</ns0:f>
        <ns0:v/>
      </ns0:c>
      <ns0:c r="I1543">
        <ns0:f>IF($H1543=0,0,IFERROR(IF(AND(ABS($C1543-INDEX('AH History'!$B$1:$B$18046,$H1543))&lt;=MAX(0.005,ABS(INDEX('AH History'!$B$1:$B$18046,$H1543))*0.00005),ABS($D1543-INDEX('AH History'!$C$1:$C$18046,$H1543))&lt;=MAX(0.005,ABS(INDEX('AH History'!$C$1:$C$18046,$H1543))*0.00005),ABS($E1543-INDEX('AH History'!$D$1:$D$18046,$H1543))&lt;=0.00005,$F1543=INDEX('AH History'!$E$1:$E$18046,$H1543),$G1543=INDEX('AH History'!$F$1:$F$18046,$H1543)),1,-1),-1))</ns0:f>
        <ns0:v/>
      </ns0:c>
    </ns0:row>
    <ns0:row r="1544">
      <ns0:c r="A1544" s="215">
        <ns0:f>IF(OR(AH!$P$3=0,1539+1&gt;AH!$P$11,AND(AH!$E$4&lt;&gt;"Stored",AH!$P$10&lt;&gt;1)),"",IFERROR(IF(AND(AH!$P$21=1,1539+1=AH!$P$11),TODAY(),IF(AH!$P$10=1,INDEX('Live History'!$A$5:$A$3004,AH!$P$13+1539),INDEX('AH History'!$A$1:$A$18046,AH!$P$7+1539))),""))</ns0:f>
        <ns0:v/>
      </ns0:c>
      <ns0:c r="B1544" s="219">
        <ns0:f>IFERROR(IF(AND(AH!$P$9&lt;&gt;1,$C1544&gt;0,$D1544&gt;0,$E1544&gt;0,$F1544&gt;0,$G1544&gt;0,$F1544&lt;=$A1544,$G1544&lt;=$A1544,$A1544-$F1544&lt;=10,$A1544-$G1544&lt;=5),$D1544*$E1544/$C1544-1,NA()),NA())</ns0:f>
        <ns0:v/>
      </ns0:c>
      <ns0:c r="C1544">
        <ns0:f>IFERROR(IF(ISNUMBER($A1544),IF(AND(AH!$P$10=1,AH!$P$12=1,$A1544=TODAY()),AH!$P$19,IF(AH!$P$10=1,INDEX('Live History'!$B$5:$B$3004,AH!$P$13+1539),INDEX('AH History'!$B$1:$B$18046,AH!$P$7+1539))),NA()),NA())</ns0:f>
        <ns0:v/>
      </ns0:c>
      <ns0:c r="D1544">
        <ns0:f>IFERROR(IF(ISNUMBER($A1544),IF(AND(AH!$P$10=1,AH!$P$12=1,$A1544=TODAY()),AH!$P$18,IF(AH!$P$10=1,INDEX('Live History'!$E$5:$E$3004,MATCH($A1544,'Live History'!$D$5:$D$3004,1)),INDEX('AH History'!$C$1:$C$18046,AH!$P$7+1539))),NA()),NA())</ns0:f>
        <ns0:v/>
      </ns0:c>
      <ns0:c r="E1544">
        <ns0:f>IFERROR(IF(ISNUMBER($A1544),IF(AND(AH!$P$10=1,AH!$P$12=1,$A1544=TODAY()),AH!$P$20,IF(AH!$P$10=1,INDEX('Live History'!$H$5:$H$3004,MATCH($A1544,'Live History'!$G$5:$G$3004,1)),INDEX('AH History'!$D$1:$D$18046,AH!$P$7+1539))),NA()),NA())</ns0:f>
        <ns0:v/>
      </ns0:c>
      <ns0:c r="F1544">
        <ns0:f>IFERROR(IF(ISNUMBER($A1544),IF(AND(AH!$P$10=1,AH!$P$12=1,$A1544=TODAY()),IF(AND(AH!$P$10=1,AH!$P$12=1,$A1544=TODAY()),TODAY(),NA()),IF(AH!$P$10=1,INDEX('Live History'!$D$5:$D$3004,MATCH($A1544,'Live History'!$D$5:$D$3004,1)),INDEX('AH History'!$E$1:$E$18046,AH!$P$7+1539))),NA()),NA())</ns0:f>
        <ns0:v/>
      </ns0:c>
      <ns0:c r="G1544">
        <ns0:f>IFERROR(IF(ISNUMBER($A1544),IF(AND(AH!$P$10=1,AH!$P$12=1,$A1544=TODAY()),IF(AND(AH!$P$10=1,AH!$P$12=1,$A1544=TODAY()),TODAY(),NA()),IF(AH!$P$10=1,INDEX('Live History'!$G$5:$G$3004,MATCH($A1544,'Live History'!$G$5:$G$3004,1)),INDEX('AH History'!$F$1:$F$18046,AH!$P$7+1539))),NA()),NA())</ns0:f>
        <ns0:v/>
      </ns0:c>
      <ns0:c r="H1544">
        <ns0:f>IFERROR(IF(AND(AH!$E$4="Bloomberg",AH!$P$10=1,ISNUMBER($A1544),$A1544&lt;=AH!$P$17),AH!$P$7-1+MATCH($A1544,INDEX('AH History'!$A$1:$A$18046,AH!$P$7):INDEX('AH History'!$A$1:$A$18046,AH!$P$7+AH!$P$8-1),0),0),0)</ns0:f>
        <ns0:v/>
      </ns0:c>
      <ns0:c r="I1544">
        <ns0:f>IF($H1544=0,0,IFERROR(IF(AND(ABS($C1544-INDEX('AH History'!$B$1:$B$18046,$H1544))&lt;=MAX(0.005,ABS(INDEX('AH History'!$B$1:$B$18046,$H1544))*0.00005),ABS($D1544-INDEX('AH History'!$C$1:$C$18046,$H1544))&lt;=MAX(0.005,ABS(INDEX('AH History'!$C$1:$C$18046,$H1544))*0.00005),ABS($E1544-INDEX('AH History'!$D$1:$D$18046,$H1544))&lt;=0.00005,$F1544=INDEX('AH History'!$E$1:$E$18046,$H1544),$G1544=INDEX('AH History'!$F$1:$F$18046,$H1544)),1,-1),-1))</ns0:f>
        <ns0:v/>
      </ns0:c>
    </ns0:row>
    <ns0:row r="1545">
      <ns0:c r="A1545" s="215">
        <ns0:f>IF(OR(AH!$P$3=0,1540+1&gt;AH!$P$11,AND(AH!$E$4&lt;&gt;"Stored",AH!$P$10&lt;&gt;1)),"",IFERROR(IF(AND(AH!$P$21=1,1540+1=AH!$P$11),TODAY(),IF(AH!$P$10=1,INDEX('Live History'!$A$5:$A$3004,AH!$P$13+1540),INDEX('AH History'!$A$1:$A$18046,AH!$P$7+1540))),""))</ns0:f>
        <ns0:v/>
      </ns0:c>
      <ns0:c r="B1545" s="219">
        <ns0:f>IFERROR(IF(AND(AH!$P$9&lt;&gt;1,$C1545&gt;0,$D1545&gt;0,$E1545&gt;0,$F1545&gt;0,$G1545&gt;0,$F1545&lt;=$A1545,$G1545&lt;=$A1545,$A1545-$F1545&lt;=10,$A1545-$G1545&lt;=5),$D1545*$E1545/$C1545-1,NA()),NA())</ns0:f>
        <ns0:v/>
      </ns0:c>
      <ns0:c r="C1545">
        <ns0:f>IFERROR(IF(ISNUMBER($A1545),IF(AND(AH!$P$10=1,AH!$P$12=1,$A1545=TODAY()),AH!$P$19,IF(AH!$P$10=1,INDEX('Live History'!$B$5:$B$3004,AH!$P$13+1540),INDEX('AH History'!$B$1:$B$18046,AH!$P$7+1540))),NA()),NA())</ns0:f>
        <ns0:v/>
      </ns0:c>
      <ns0:c r="D1545">
        <ns0:f>IFERROR(IF(ISNUMBER($A1545),IF(AND(AH!$P$10=1,AH!$P$12=1,$A1545=TODAY()),AH!$P$18,IF(AH!$P$10=1,INDEX('Live History'!$E$5:$E$3004,MATCH($A1545,'Live History'!$D$5:$D$3004,1)),INDEX('AH History'!$C$1:$C$18046,AH!$P$7+1540))),NA()),NA())</ns0:f>
        <ns0:v/>
      </ns0:c>
      <ns0:c r="E1545">
        <ns0:f>IFERROR(IF(ISNUMBER($A1545),IF(AND(AH!$P$10=1,AH!$P$12=1,$A1545=TODAY()),AH!$P$20,IF(AH!$P$10=1,INDEX('Live History'!$H$5:$H$3004,MATCH($A1545,'Live History'!$G$5:$G$3004,1)),INDEX('AH History'!$D$1:$D$18046,AH!$P$7+1540))),NA()),NA())</ns0:f>
        <ns0:v/>
      </ns0:c>
      <ns0:c r="F1545">
        <ns0:f>IFERROR(IF(ISNUMBER($A1545),IF(AND(AH!$P$10=1,AH!$P$12=1,$A1545=TODAY()),IF(AND(AH!$P$10=1,AH!$P$12=1,$A1545=TODAY()),TODAY(),NA()),IF(AH!$P$10=1,INDEX('Live History'!$D$5:$D$3004,MATCH($A1545,'Live History'!$D$5:$D$3004,1)),INDEX('AH History'!$E$1:$E$18046,AH!$P$7+1540))),NA()),NA())</ns0:f>
        <ns0:v/>
      </ns0:c>
      <ns0:c r="G1545">
        <ns0:f>IFERROR(IF(ISNUMBER($A1545),IF(AND(AH!$P$10=1,AH!$P$12=1,$A1545=TODAY()),IF(AND(AH!$P$10=1,AH!$P$12=1,$A1545=TODAY()),TODAY(),NA()),IF(AH!$P$10=1,INDEX('Live History'!$G$5:$G$3004,MATCH($A1545,'Live History'!$G$5:$G$3004,1)),INDEX('AH History'!$F$1:$F$18046,AH!$P$7+1540))),NA()),NA())</ns0:f>
        <ns0:v/>
      </ns0:c>
      <ns0:c r="H1545">
        <ns0:f>IFERROR(IF(AND(AH!$E$4="Bloomberg",AH!$P$10=1,ISNUMBER($A1545),$A1545&lt;=AH!$P$17),AH!$P$7-1+MATCH($A1545,INDEX('AH History'!$A$1:$A$18046,AH!$P$7):INDEX('AH History'!$A$1:$A$18046,AH!$P$7+AH!$P$8-1),0),0),0)</ns0:f>
        <ns0:v/>
      </ns0:c>
      <ns0:c r="I1545">
        <ns0:f>IF($H1545=0,0,IFERROR(IF(AND(ABS($C1545-INDEX('AH History'!$B$1:$B$18046,$H1545))&lt;=MAX(0.005,ABS(INDEX('AH History'!$B$1:$B$18046,$H1545))*0.00005),ABS($D1545-INDEX('AH History'!$C$1:$C$18046,$H1545))&lt;=MAX(0.005,ABS(INDEX('AH History'!$C$1:$C$18046,$H1545))*0.00005),ABS($E1545-INDEX('AH History'!$D$1:$D$18046,$H1545))&lt;=0.00005,$F1545=INDEX('AH History'!$E$1:$E$18046,$H1545),$G1545=INDEX('AH History'!$F$1:$F$18046,$H1545)),1,-1),-1))</ns0:f>
        <ns0:v/>
      </ns0:c>
    </ns0:row>
    <ns0:row r="1546">
      <ns0:c r="A1546" s="215">
        <ns0:f>IF(OR(AH!$P$3=0,1541+1&gt;AH!$P$11,AND(AH!$E$4&lt;&gt;"Stored",AH!$P$10&lt;&gt;1)),"",IFERROR(IF(AND(AH!$P$21=1,1541+1=AH!$P$11),TODAY(),IF(AH!$P$10=1,INDEX('Live History'!$A$5:$A$3004,AH!$P$13+1541),INDEX('AH History'!$A$1:$A$18046,AH!$P$7+1541))),""))</ns0:f>
        <ns0:v/>
      </ns0:c>
      <ns0:c r="B1546" s="219">
        <ns0:f>IFERROR(IF(AND(AH!$P$9&lt;&gt;1,$C1546&gt;0,$D1546&gt;0,$E1546&gt;0,$F1546&gt;0,$G1546&gt;0,$F1546&lt;=$A1546,$G1546&lt;=$A1546,$A1546-$F1546&lt;=10,$A1546-$G1546&lt;=5),$D1546*$E1546/$C1546-1,NA()),NA())</ns0:f>
        <ns0:v/>
      </ns0:c>
      <ns0:c r="C1546">
        <ns0:f>IFERROR(IF(ISNUMBER($A1546),IF(AND(AH!$P$10=1,AH!$P$12=1,$A1546=TODAY()),AH!$P$19,IF(AH!$P$10=1,INDEX('Live History'!$B$5:$B$3004,AH!$P$13+1541),INDEX('AH History'!$B$1:$B$18046,AH!$P$7+1541))),NA()),NA())</ns0:f>
        <ns0:v/>
      </ns0:c>
      <ns0:c r="D1546">
        <ns0:f>IFERROR(IF(ISNUMBER($A1546),IF(AND(AH!$P$10=1,AH!$P$12=1,$A1546=TODAY()),AH!$P$18,IF(AH!$P$10=1,INDEX('Live History'!$E$5:$E$3004,MATCH($A1546,'Live History'!$D$5:$D$3004,1)),INDEX('AH History'!$C$1:$C$18046,AH!$P$7+1541))),NA()),NA())</ns0:f>
        <ns0:v/>
      </ns0:c>
      <ns0:c r="E1546">
        <ns0:f>IFERROR(IF(ISNUMBER($A1546),IF(AND(AH!$P$10=1,AH!$P$12=1,$A1546=TODAY()),AH!$P$20,IF(AH!$P$10=1,INDEX('Live History'!$H$5:$H$3004,MATCH($A1546,'Live History'!$G$5:$G$3004,1)),INDEX('AH History'!$D$1:$D$18046,AH!$P$7+1541))),NA()),NA())</ns0:f>
        <ns0:v/>
      </ns0:c>
      <ns0:c r="F1546">
        <ns0:f>IFERROR(IF(ISNUMBER($A1546),IF(AND(AH!$P$10=1,AH!$P$12=1,$A1546=TODAY()),IF(AND(AH!$P$10=1,AH!$P$12=1,$A1546=TODAY()),TODAY(),NA()),IF(AH!$P$10=1,INDEX('Live History'!$D$5:$D$3004,MATCH($A1546,'Live History'!$D$5:$D$3004,1)),INDEX('AH History'!$E$1:$E$18046,AH!$P$7+1541))),NA()),NA())</ns0:f>
        <ns0:v/>
      </ns0:c>
      <ns0:c r="G1546">
        <ns0:f>IFERROR(IF(ISNUMBER($A1546),IF(AND(AH!$P$10=1,AH!$P$12=1,$A1546=TODAY()),IF(AND(AH!$P$10=1,AH!$P$12=1,$A1546=TODAY()),TODAY(),NA()),IF(AH!$P$10=1,INDEX('Live History'!$G$5:$G$3004,MATCH($A1546,'Live History'!$G$5:$G$3004,1)),INDEX('AH History'!$F$1:$F$18046,AH!$P$7+1541))),NA()),NA())</ns0:f>
        <ns0:v/>
      </ns0:c>
      <ns0:c r="H1546">
        <ns0:f>IFERROR(IF(AND(AH!$E$4="Bloomberg",AH!$P$10=1,ISNUMBER($A1546),$A1546&lt;=AH!$P$17),AH!$P$7-1+MATCH($A1546,INDEX('AH History'!$A$1:$A$18046,AH!$P$7):INDEX('AH History'!$A$1:$A$18046,AH!$P$7+AH!$P$8-1),0),0),0)</ns0:f>
        <ns0:v/>
      </ns0:c>
      <ns0:c r="I1546">
        <ns0:f>IF($H1546=0,0,IFERROR(IF(AND(ABS($C1546-INDEX('AH History'!$B$1:$B$18046,$H1546))&lt;=MAX(0.005,ABS(INDEX('AH History'!$B$1:$B$18046,$H1546))*0.00005),ABS($D1546-INDEX('AH History'!$C$1:$C$18046,$H1546))&lt;=MAX(0.005,ABS(INDEX('AH History'!$C$1:$C$18046,$H1546))*0.00005),ABS($E1546-INDEX('AH History'!$D$1:$D$18046,$H1546))&lt;=0.00005,$F1546=INDEX('AH History'!$E$1:$E$18046,$H1546),$G1546=INDEX('AH History'!$F$1:$F$18046,$H1546)),1,-1),-1))</ns0:f>
        <ns0:v/>
      </ns0:c>
    </ns0:row>
    <ns0:row r="1547">
      <ns0:c r="A1547" s="215">
        <ns0:f>IF(OR(AH!$P$3=0,1542+1&gt;AH!$P$11,AND(AH!$E$4&lt;&gt;"Stored",AH!$P$10&lt;&gt;1)),"",IFERROR(IF(AND(AH!$P$21=1,1542+1=AH!$P$11),TODAY(),IF(AH!$P$10=1,INDEX('Live History'!$A$5:$A$3004,AH!$P$13+1542),INDEX('AH History'!$A$1:$A$18046,AH!$P$7+1542))),""))</ns0:f>
        <ns0:v/>
      </ns0:c>
      <ns0:c r="B1547" s="219">
        <ns0:f>IFERROR(IF(AND(AH!$P$9&lt;&gt;1,$C1547&gt;0,$D1547&gt;0,$E1547&gt;0,$F1547&gt;0,$G1547&gt;0,$F1547&lt;=$A1547,$G1547&lt;=$A1547,$A1547-$F1547&lt;=10,$A1547-$G1547&lt;=5),$D1547*$E1547/$C1547-1,NA()),NA())</ns0:f>
        <ns0:v/>
      </ns0:c>
      <ns0:c r="C1547">
        <ns0:f>IFERROR(IF(ISNUMBER($A1547),IF(AND(AH!$P$10=1,AH!$P$12=1,$A1547=TODAY()),AH!$P$19,IF(AH!$P$10=1,INDEX('Live History'!$B$5:$B$3004,AH!$P$13+1542),INDEX('AH History'!$B$1:$B$18046,AH!$P$7+1542))),NA()),NA())</ns0:f>
        <ns0:v/>
      </ns0:c>
      <ns0:c r="D1547">
        <ns0:f>IFERROR(IF(ISNUMBER($A1547),IF(AND(AH!$P$10=1,AH!$P$12=1,$A1547=TODAY()),AH!$P$18,IF(AH!$P$10=1,INDEX('Live History'!$E$5:$E$3004,MATCH($A1547,'Live History'!$D$5:$D$3004,1)),INDEX('AH History'!$C$1:$C$18046,AH!$P$7+1542))),NA()),NA())</ns0:f>
        <ns0:v/>
      </ns0:c>
      <ns0:c r="E1547">
        <ns0:f>IFERROR(IF(ISNUMBER($A1547),IF(AND(AH!$P$10=1,AH!$P$12=1,$A1547=TODAY()),AH!$P$20,IF(AH!$P$10=1,INDEX('Live History'!$H$5:$H$3004,MATCH($A1547,'Live History'!$G$5:$G$3004,1)),INDEX('AH History'!$D$1:$D$18046,AH!$P$7+1542))),NA()),NA())</ns0:f>
        <ns0:v/>
      </ns0:c>
      <ns0:c r="F1547">
        <ns0:f>IFERROR(IF(ISNUMBER($A1547),IF(AND(AH!$P$10=1,AH!$P$12=1,$A1547=TODAY()),IF(AND(AH!$P$10=1,AH!$P$12=1,$A1547=TODAY()),TODAY(),NA()),IF(AH!$P$10=1,INDEX('Live History'!$D$5:$D$3004,MATCH($A1547,'Live History'!$D$5:$D$3004,1)),INDEX('AH History'!$E$1:$E$18046,AH!$P$7+1542))),NA()),NA())</ns0:f>
        <ns0:v/>
      </ns0:c>
      <ns0:c r="G1547">
        <ns0:f>IFERROR(IF(ISNUMBER($A1547),IF(AND(AH!$P$10=1,AH!$P$12=1,$A1547=TODAY()),IF(AND(AH!$P$10=1,AH!$P$12=1,$A1547=TODAY()),TODAY(),NA()),IF(AH!$P$10=1,INDEX('Live History'!$G$5:$G$3004,MATCH($A1547,'Live History'!$G$5:$G$3004,1)),INDEX('AH History'!$F$1:$F$18046,AH!$P$7+1542))),NA()),NA())</ns0:f>
        <ns0:v/>
      </ns0:c>
      <ns0:c r="H1547">
        <ns0:f>IFERROR(IF(AND(AH!$E$4="Bloomberg",AH!$P$10=1,ISNUMBER($A1547),$A1547&lt;=AH!$P$17),AH!$P$7-1+MATCH($A1547,INDEX('AH History'!$A$1:$A$18046,AH!$P$7):INDEX('AH History'!$A$1:$A$18046,AH!$P$7+AH!$P$8-1),0),0),0)</ns0:f>
        <ns0:v/>
      </ns0:c>
      <ns0:c r="I1547">
        <ns0:f>IF($H1547=0,0,IFERROR(IF(AND(ABS($C1547-INDEX('AH History'!$B$1:$B$18046,$H1547))&lt;=MAX(0.005,ABS(INDEX('AH History'!$B$1:$B$18046,$H1547))*0.00005),ABS($D1547-INDEX('AH History'!$C$1:$C$18046,$H1547))&lt;=MAX(0.005,ABS(INDEX('AH History'!$C$1:$C$18046,$H1547))*0.00005),ABS($E1547-INDEX('AH History'!$D$1:$D$18046,$H1547))&lt;=0.00005,$F1547=INDEX('AH History'!$E$1:$E$18046,$H1547),$G1547=INDEX('AH History'!$F$1:$F$18046,$H1547)),1,-1),-1))</ns0:f>
        <ns0:v/>
      </ns0:c>
    </ns0:row>
    <ns0:row r="1548">
      <ns0:c r="A1548" s="215">
        <ns0:f>IF(OR(AH!$P$3=0,1543+1&gt;AH!$P$11,AND(AH!$E$4&lt;&gt;"Stored",AH!$P$10&lt;&gt;1)),"",IFERROR(IF(AND(AH!$P$21=1,1543+1=AH!$P$11),TODAY(),IF(AH!$P$10=1,INDEX('Live History'!$A$5:$A$3004,AH!$P$13+1543),INDEX('AH History'!$A$1:$A$18046,AH!$P$7+1543))),""))</ns0:f>
        <ns0:v/>
      </ns0:c>
      <ns0:c r="B1548" s="219">
        <ns0:f>IFERROR(IF(AND(AH!$P$9&lt;&gt;1,$C1548&gt;0,$D1548&gt;0,$E1548&gt;0,$F1548&gt;0,$G1548&gt;0,$F1548&lt;=$A1548,$G1548&lt;=$A1548,$A1548-$F1548&lt;=10,$A1548-$G1548&lt;=5),$D1548*$E1548/$C1548-1,NA()),NA())</ns0:f>
        <ns0:v/>
      </ns0:c>
      <ns0:c r="C1548">
        <ns0:f>IFERROR(IF(ISNUMBER($A1548),IF(AND(AH!$P$10=1,AH!$P$12=1,$A1548=TODAY()),AH!$P$19,IF(AH!$P$10=1,INDEX('Live History'!$B$5:$B$3004,AH!$P$13+1543),INDEX('AH History'!$B$1:$B$18046,AH!$P$7+1543))),NA()),NA())</ns0:f>
        <ns0:v/>
      </ns0:c>
      <ns0:c r="D1548">
        <ns0:f>IFERROR(IF(ISNUMBER($A1548),IF(AND(AH!$P$10=1,AH!$P$12=1,$A1548=TODAY()),AH!$P$18,IF(AH!$P$10=1,INDEX('Live History'!$E$5:$E$3004,MATCH($A1548,'Live History'!$D$5:$D$3004,1)),INDEX('AH History'!$C$1:$C$18046,AH!$P$7+1543))),NA()),NA())</ns0:f>
        <ns0:v/>
      </ns0:c>
      <ns0:c r="E1548">
        <ns0:f>IFERROR(IF(ISNUMBER($A1548),IF(AND(AH!$P$10=1,AH!$P$12=1,$A1548=TODAY()),AH!$P$20,IF(AH!$P$10=1,INDEX('Live History'!$H$5:$H$3004,MATCH($A1548,'Live History'!$G$5:$G$3004,1)),INDEX('AH History'!$D$1:$D$18046,AH!$P$7+1543))),NA()),NA())</ns0:f>
        <ns0:v/>
      </ns0:c>
      <ns0:c r="F1548">
        <ns0:f>IFERROR(IF(ISNUMBER($A1548),IF(AND(AH!$P$10=1,AH!$P$12=1,$A1548=TODAY()),IF(AND(AH!$P$10=1,AH!$P$12=1,$A1548=TODAY()),TODAY(),NA()),IF(AH!$P$10=1,INDEX('Live History'!$D$5:$D$3004,MATCH($A1548,'Live History'!$D$5:$D$3004,1)),INDEX('AH History'!$E$1:$E$18046,AH!$P$7+1543))),NA()),NA())</ns0:f>
        <ns0:v/>
      </ns0:c>
      <ns0:c r="G1548">
        <ns0:f>IFERROR(IF(ISNUMBER($A1548),IF(AND(AH!$P$10=1,AH!$P$12=1,$A1548=TODAY()),IF(AND(AH!$P$10=1,AH!$P$12=1,$A1548=TODAY()),TODAY(),NA()),IF(AH!$P$10=1,INDEX('Live History'!$G$5:$G$3004,MATCH($A1548,'Live History'!$G$5:$G$3004,1)),INDEX('AH History'!$F$1:$F$18046,AH!$P$7+1543))),NA()),NA())</ns0:f>
        <ns0:v/>
      </ns0:c>
      <ns0:c r="H1548">
        <ns0:f>IFERROR(IF(AND(AH!$E$4="Bloomberg",AH!$P$10=1,ISNUMBER($A1548),$A1548&lt;=AH!$P$17),AH!$P$7-1+MATCH($A1548,INDEX('AH History'!$A$1:$A$18046,AH!$P$7):INDEX('AH History'!$A$1:$A$18046,AH!$P$7+AH!$P$8-1),0),0),0)</ns0:f>
        <ns0:v/>
      </ns0:c>
      <ns0:c r="I1548">
        <ns0:f>IF($H1548=0,0,IFERROR(IF(AND(ABS($C1548-INDEX('AH History'!$B$1:$B$18046,$H1548))&lt;=MAX(0.005,ABS(INDEX('AH History'!$B$1:$B$18046,$H1548))*0.00005),ABS($D1548-INDEX('AH History'!$C$1:$C$18046,$H1548))&lt;=MAX(0.005,ABS(INDEX('AH History'!$C$1:$C$18046,$H1548))*0.00005),ABS($E1548-INDEX('AH History'!$D$1:$D$18046,$H1548))&lt;=0.00005,$F1548=INDEX('AH History'!$E$1:$E$18046,$H1548),$G1548=INDEX('AH History'!$F$1:$F$18046,$H1548)),1,-1),-1))</ns0:f>
        <ns0:v/>
      </ns0:c>
    </ns0:row>
    <ns0:row r="1549">
      <ns0:c r="A1549" s="215">
        <ns0:f>IF(OR(AH!$P$3=0,1544+1&gt;AH!$P$11,AND(AH!$E$4&lt;&gt;"Stored",AH!$P$10&lt;&gt;1)),"",IFERROR(IF(AND(AH!$P$21=1,1544+1=AH!$P$11),TODAY(),IF(AH!$P$10=1,INDEX('Live History'!$A$5:$A$3004,AH!$P$13+1544),INDEX('AH History'!$A$1:$A$18046,AH!$P$7+1544))),""))</ns0:f>
        <ns0:v/>
      </ns0:c>
      <ns0:c r="B1549" s="219">
        <ns0:f>IFERROR(IF(AND(AH!$P$9&lt;&gt;1,$C1549&gt;0,$D1549&gt;0,$E1549&gt;0,$F1549&gt;0,$G1549&gt;0,$F1549&lt;=$A1549,$G1549&lt;=$A1549,$A1549-$F1549&lt;=10,$A1549-$G1549&lt;=5),$D1549*$E1549/$C1549-1,NA()),NA())</ns0:f>
        <ns0:v/>
      </ns0:c>
      <ns0:c r="C1549">
        <ns0:f>IFERROR(IF(ISNUMBER($A1549),IF(AND(AH!$P$10=1,AH!$P$12=1,$A1549=TODAY()),AH!$P$19,IF(AH!$P$10=1,INDEX('Live History'!$B$5:$B$3004,AH!$P$13+1544),INDEX('AH History'!$B$1:$B$18046,AH!$P$7+1544))),NA()),NA())</ns0:f>
        <ns0:v/>
      </ns0:c>
      <ns0:c r="D1549">
        <ns0:f>IFERROR(IF(ISNUMBER($A1549),IF(AND(AH!$P$10=1,AH!$P$12=1,$A1549=TODAY()),AH!$P$18,IF(AH!$P$10=1,INDEX('Live History'!$E$5:$E$3004,MATCH($A1549,'Live History'!$D$5:$D$3004,1)),INDEX('AH History'!$C$1:$C$18046,AH!$P$7+1544))),NA()),NA())</ns0:f>
        <ns0:v/>
      </ns0:c>
      <ns0:c r="E1549">
        <ns0:f>IFERROR(IF(ISNUMBER($A1549),IF(AND(AH!$P$10=1,AH!$P$12=1,$A1549=TODAY()),AH!$P$20,IF(AH!$P$10=1,INDEX('Live History'!$H$5:$H$3004,MATCH($A1549,'Live History'!$G$5:$G$3004,1)),INDEX('AH History'!$D$1:$D$18046,AH!$P$7+1544))),NA()),NA())</ns0:f>
        <ns0:v/>
      </ns0:c>
      <ns0:c r="F1549">
        <ns0:f>IFERROR(IF(ISNUMBER($A1549),IF(AND(AH!$P$10=1,AH!$P$12=1,$A1549=TODAY()),IF(AND(AH!$P$10=1,AH!$P$12=1,$A1549=TODAY()),TODAY(),NA()),IF(AH!$P$10=1,INDEX('Live History'!$D$5:$D$3004,MATCH($A1549,'Live History'!$D$5:$D$3004,1)),INDEX('AH History'!$E$1:$E$18046,AH!$P$7+1544))),NA()),NA())</ns0:f>
        <ns0:v/>
      </ns0:c>
      <ns0:c r="G1549">
        <ns0:f>IFERROR(IF(ISNUMBER($A1549),IF(AND(AH!$P$10=1,AH!$P$12=1,$A1549=TODAY()),IF(AND(AH!$P$10=1,AH!$P$12=1,$A1549=TODAY()),TODAY(),NA()),IF(AH!$P$10=1,INDEX('Live History'!$G$5:$G$3004,MATCH($A1549,'Live History'!$G$5:$G$3004,1)),INDEX('AH History'!$F$1:$F$18046,AH!$P$7+1544))),NA()),NA())</ns0:f>
        <ns0:v/>
      </ns0:c>
      <ns0:c r="H1549">
        <ns0:f>IFERROR(IF(AND(AH!$E$4="Bloomberg",AH!$P$10=1,ISNUMBER($A1549),$A1549&lt;=AH!$P$17),AH!$P$7-1+MATCH($A1549,INDEX('AH History'!$A$1:$A$18046,AH!$P$7):INDEX('AH History'!$A$1:$A$18046,AH!$P$7+AH!$P$8-1),0),0),0)</ns0:f>
        <ns0:v/>
      </ns0:c>
      <ns0:c r="I1549">
        <ns0:f>IF($H1549=0,0,IFERROR(IF(AND(ABS($C1549-INDEX('AH History'!$B$1:$B$18046,$H1549))&lt;=MAX(0.005,ABS(INDEX('AH History'!$B$1:$B$18046,$H1549))*0.00005),ABS($D1549-INDEX('AH History'!$C$1:$C$18046,$H1549))&lt;=MAX(0.005,ABS(INDEX('AH History'!$C$1:$C$18046,$H1549))*0.00005),ABS($E1549-INDEX('AH History'!$D$1:$D$18046,$H1549))&lt;=0.00005,$F1549=INDEX('AH History'!$E$1:$E$18046,$H1549),$G1549=INDEX('AH History'!$F$1:$F$18046,$H1549)),1,-1),-1))</ns0:f>
        <ns0:v/>
      </ns0:c>
    </ns0:row>
    <ns0:row r="1550">
      <ns0:c r="A1550" s="215">
        <ns0:f>IF(OR(AH!$P$3=0,1545+1&gt;AH!$P$11,AND(AH!$E$4&lt;&gt;"Stored",AH!$P$10&lt;&gt;1)),"",IFERROR(IF(AND(AH!$P$21=1,1545+1=AH!$P$11),TODAY(),IF(AH!$P$10=1,INDEX('Live History'!$A$5:$A$3004,AH!$P$13+1545),INDEX('AH History'!$A$1:$A$18046,AH!$P$7+1545))),""))</ns0:f>
        <ns0:v/>
      </ns0:c>
      <ns0:c r="B1550" s="219">
        <ns0:f>IFERROR(IF(AND(AH!$P$9&lt;&gt;1,$C1550&gt;0,$D1550&gt;0,$E1550&gt;0,$F1550&gt;0,$G1550&gt;0,$F1550&lt;=$A1550,$G1550&lt;=$A1550,$A1550-$F1550&lt;=10,$A1550-$G1550&lt;=5),$D1550*$E1550/$C1550-1,NA()),NA())</ns0:f>
        <ns0:v/>
      </ns0:c>
      <ns0:c r="C1550">
        <ns0:f>IFERROR(IF(ISNUMBER($A1550),IF(AND(AH!$P$10=1,AH!$P$12=1,$A1550=TODAY()),AH!$P$19,IF(AH!$P$10=1,INDEX('Live History'!$B$5:$B$3004,AH!$P$13+1545),INDEX('AH History'!$B$1:$B$18046,AH!$P$7+1545))),NA()),NA())</ns0:f>
        <ns0:v/>
      </ns0:c>
      <ns0:c r="D1550">
        <ns0:f>IFERROR(IF(ISNUMBER($A1550),IF(AND(AH!$P$10=1,AH!$P$12=1,$A1550=TODAY()),AH!$P$18,IF(AH!$P$10=1,INDEX('Live History'!$E$5:$E$3004,MATCH($A1550,'Live History'!$D$5:$D$3004,1)),INDEX('AH History'!$C$1:$C$18046,AH!$P$7+1545))),NA()),NA())</ns0:f>
        <ns0:v/>
      </ns0:c>
      <ns0:c r="E1550">
        <ns0:f>IFERROR(IF(ISNUMBER($A1550),IF(AND(AH!$P$10=1,AH!$P$12=1,$A1550=TODAY()),AH!$P$20,IF(AH!$P$10=1,INDEX('Live History'!$H$5:$H$3004,MATCH($A1550,'Live History'!$G$5:$G$3004,1)),INDEX('AH History'!$D$1:$D$18046,AH!$P$7+1545))),NA()),NA())</ns0:f>
        <ns0:v/>
      </ns0:c>
      <ns0:c r="F1550">
        <ns0:f>IFERROR(IF(ISNUMBER($A1550),IF(AND(AH!$P$10=1,AH!$P$12=1,$A1550=TODAY()),IF(AND(AH!$P$10=1,AH!$P$12=1,$A1550=TODAY()),TODAY(),NA()),IF(AH!$P$10=1,INDEX('Live History'!$D$5:$D$3004,MATCH($A1550,'Live History'!$D$5:$D$3004,1)),INDEX('AH History'!$E$1:$E$18046,AH!$P$7+1545))),NA()),NA())</ns0:f>
        <ns0:v/>
      </ns0:c>
      <ns0:c r="G1550">
        <ns0:f>IFERROR(IF(ISNUMBER($A1550),IF(AND(AH!$P$10=1,AH!$P$12=1,$A1550=TODAY()),IF(AND(AH!$P$10=1,AH!$P$12=1,$A1550=TODAY()),TODAY(),NA()),IF(AH!$P$10=1,INDEX('Live History'!$G$5:$G$3004,MATCH($A1550,'Live History'!$G$5:$G$3004,1)),INDEX('AH History'!$F$1:$F$18046,AH!$P$7+1545))),NA()),NA())</ns0:f>
        <ns0:v/>
      </ns0:c>
      <ns0:c r="H1550">
        <ns0:f>IFERROR(IF(AND(AH!$E$4="Bloomberg",AH!$P$10=1,ISNUMBER($A1550),$A1550&lt;=AH!$P$17),AH!$P$7-1+MATCH($A1550,INDEX('AH History'!$A$1:$A$18046,AH!$P$7):INDEX('AH History'!$A$1:$A$18046,AH!$P$7+AH!$P$8-1),0),0),0)</ns0:f>
        <ns0:v/>
      </ns0:c>
      <ns0:c r="I1550">
        <ns0:f>IF($H1550=0,0,IFERROR(IF(AND(ABS($C1550-INDEX('AH History'!$B$1:$B$18046,$H1550))&lt;=MAX(0.005,ABS(INDEX('AH History'!$B$1:$B$18046,$H1550))*0.00005),ABS($D1550-INDEX('AH History'!$C$1:$C$18046,$H1550))&lt;=MAX(0.005,ABS(INDEX('AH History'!$C$1:$C$18046,$H1550))*0.00005),ABS($E1550-INDEX('AH History'!$D$1:$D$18046,$H1550))&lt;=0.00005,$F1550=INDEX('AH History'!$E$1:$E$18046,$H1550),$G1550=INDEX('AH History'!$F$1:$F$18046,$H1550)),1,-1),-1))</ns0:f>
        <ns0:v/>
      </ns0:c>
    </ns0:row>
    <ns0:row r="1551">
      <ns0:c r="A1551" s="215">
        <ns0:f>IF(OR(AH!$P$3=0,1546+1&gt;AH!$P$11,AND(AH!$E$4&lt;&gt;"Stored",AH!$P$10&lt;&gt;1)),"",IFERROR(IF(AND(AH!$P$21=1,1546+1=AH!$P$11),TODAY(),IF(AH!$P$10=1,INDEX('Live History'!$A$5:$A$3004,AH!$P$13+1546),INDEX('AH History'!$A$1:$A$18046,AH!$P$7+1546))),""))</ns0:f>
        <ns0:v/>
      </ns0:c>
      <ns0:c r="B1551" s="219">
        <ns0:f>IFERROR(IF(AND(AH!$P$9&lt;&gt;1,$C1551&gt;0,$D1551&gt;0,$E1551&gt;0,$F1551&gt;0,$G1551&gt;0,$F1551&lt;=$A1551,$G1551&lt;=$A1551,$A1551-$F1551&lt;=10,$A1551-$G1551&lt;=5),$D1551*$E1551/$C1551-1,NA()),NA())</ns0:f>
        <ns0:v/>
      </ns0:c>
      <ns0:c r="C1551">
        <ns0:f>IFERROR(IF(ISNUMBER($A1551),IF(AND(AH!$P$10=1,AH!$P$12=1,$A1551=TODAY()),AH!$P$19,IF(AH!$P$10=1,INDEX('Live History'!$B$5:$B$3004,AH!$P$13+1546),INDEX('AH History'!$B$1:$B$18046,AH!$P$7+1546))),NA()),NA())</ns0:f>
        <ns0:v/>
      </ns0:c>
      <ns0:c r="D1551">
        <ns0:f>IFERROR(IF(ISNUMBER($A1551),IF(AND(AH!$P$10=1,AH!$P$12=1,$A1551=TODAY()),AH!$P$18,IF(AH!$P$10=1,INDEX('Live History'!$E$5:$E$3004,MATCH($A1551,'Live History'!$D$5:$D$3004,1)),INDEX('AH History'!$C$1:$C$18046,AH!$P$7+1546))),NA()),NA())</ns0:f>
        <ns0:v/>
      </ns0:c>
      <ns0:c r="E1551">
        <ns0:f>IFERROR(IF(ISNUMBER($A1551),IF(AND(AH!$P$10=1,AH!$P$12=1,$A1551=TODAY()),AH!$P$20,IF(AH!$P$10=1,INDEX('Live History'!$H$5:$H$3004,MATCH($A1551,'Live History'!$G$5:$G$3004,1)),INDEX('AH History'!$D$1:$D$18046,AH!$P$7+1546))),NA()),NA())</ns0:f>
        <ns0:v/>
      </ns0:c>
      <ns0:c r="F1551">
        <ns0:f>IFERROR(IF(ISNUMBER($A1551),IF(AND(AH!$P$10=1,AH!$P$12=1,$A1551=TODAY()),IF(AND(AH!$P$10=1,AH!$P$12=1,$A1551=TODAY()),TODAY(),NA()),IF(AH!$P$10=1,INDEX('Live History'!$D$5:$D$3004,MATCH($A1551,'Live History'!$D$5:$D$3004,1)),INDEX('AH History'!$E$1:$E$18046,AH!$P$7+1546))),NA()),NA())</ns0:f>
        <ns0:v/>
      </ns0:c>
      <ns0:c r="G1551">
        <ns0:f>IFERROR(IF(ISNUMBER($A1551),IF(AND(AH!$P$10=1,AH!$P$12=1,$A1551=TODAY()),IF(AND(AH!$P$10=1,AH!$P$12=1,$A1551=TODAY()),TODAY(),NA()),IF(AH!$P$10=1,INDEX('Live History'!$G$5:$G$3004,MATCH($A1551,'Live History'!$G$5:$G$3004,1)),INDEX('AH History'!$F$1:$F$18046,AH!$P$7+1546))),NA()),NA())</ns0:f>
        <ns0:v/>
      </ns0:c>
      <ns0:c r="H1551">
        <ns0:f>IFERROR(IF(AND(AH!$E$4="Bloomberg",AH!$P$10=1,ISNUMBER($A1551),$A1551&lt;=AH!$P$17),AH!$P$7-1+MATCH($A1551,INDEX('AH History'!$A$1:$A$18046,AH!$P$7):INDEX('AH History'!$A$1:$A$18046,AH!$P$7+AH!$P$8-1),0),0),0)</ns0:f>
        <ns0:v/>
      </ns0:c>
      <ns0:c r="I1551">
        <ns0:f>IF($H1551=0,0,IFERROR(IF(AND(ABS($C1551-INDEX('AH History'!$B$1:$B$18046,$H1551))&lt;=MAX(0.005,ABS(INDEX('AH History'!$B$1:$B$18046,$H1551))*0.00005),ABS($D1551-INDEX('AH History'!$C$1:$C$18046,$H1551))&lt;=MAX(0.005,ABS(INDEX('AH History'!$C$1:$C$18046,$H1551))*0.00005),ABS($E1551-INDEX('AH History'!$D$1:$D$18046,$H1551))&lt;=0.00005,$F1551=INDEX('AH History'!$E$1:$E$18046,$H1551),$G1551=INDEX('AH History'!$F$1:$F$18046,$H1551)),1,-1),-1))</ns0:f>
        <ns0:v/>
      </ns0:c>
    </ns0:row>
    <ns0:row r="1552">
      <ns0:c r="A1552" s="215">
        <ns0:f>IF(OR(AH!$P$3=0,1547+1&gt;AH!$P$11,AND(AH!$E$4&lt;&gt;"Stored",AH!$P$10&lt;&gt;1)),"",IFERROR(IF(AND(AH!$P$21=1,1547+1=AH!$P$11),TODAY(),IF(AH!$P$10=1,INDEX('Live History'!$A$5:$A$3004,AH!$P$13+1547),INDEX('AH History'!$A$1:$A$18046,AH!$P$7+1547))),""))</ns0:f>
        <ns0:v/>
      </ns0:c>
      <ns0:c r="B1552" s="219">
        <ns0:f>IFERROR(IF(AND(AH!$P$9&lt;&gt;1,$C1552&gt;0,$D1552&gt;0,$E1552&gt;0,$F1552&gt;0,$G1552&gt;0,$F1552&lt;=$A1552,$G1552&lt;=$A1552,$A1552-$F1552&lt;=10,$A1552-$G1552&lt;=5),$D1552*$E1552/$C1552-1,NA()),NA())</ns0:f>
        <ns0:v/>
      </ns0:c>
      <ns0:c r="C1552">
        <ns0:f>IFERROR(IF(ISNUMBER($A1552),IF(AND(AH!$P$10=1,AH!$P$12=1,$A1552=TODAY()),AH!$P$19,IF(AH!$P$10=1,INDEX('Live History'!$B$5:$B$3004,AH!$P$13+1547),INDEX('AH History'!$B$1:$B$18046,AH!$P$7+1547))),NA()),NA())</ns0:f>
        <ns0:v/>
      </ns0:c>
      <ns0:c r="D1552">
        <ns0:f>IFERROR(IF(ISNUMBER($A1552),IF(AND(AH!$P$10=1,AH!$P$12=1,$A1552=TODAY()),AH!$P$18,IF(AH!$P$10=1,INDEX('Live History'!$E$5:$E$3004,MATCH($A1552,'Live History'!$D$5:$D$3004,1)),INDEX('AH History'!$C$1:$C$18046,AH!$P$7+1547))),NA()),NA())</ns0:f>
        <ns0:v/>
      </ns0:c>
      <ns0:c r="E1552">
        <ns0:f>IFERROR(IF(ISNUMBER($A1552),IF(AND(AH!$P$10=1,AH!$P$12=1,$A1552=TODAY()),AH!$P$20,IF(AH!$P$10=1,INDEX('Live History'!$H$5:$H$3004,MATCH($A1552,'Live History'!$G$5:$G$3004,1)),INDEX('AH History'!$D$1:$D$18046,AH!$P$7+1547))),NA()),NA())</ns0:f>
        <ns0:v/>
      </ns0:c>
      <ns0:c r="F1552">
        <ns0:f>IFERROR(IF(ISNUMBER($A1552),IF(AND(AH!$P$10=1,AH!$P$12=1,$A1552=TODAY()),IF(AND(AH!$P$10=1,AH!$P$12=1,$A1552=TODAY()),TODAY(),NA()),IF(AH!$P$10=1,INDEX('Live History'!$D$5:$D$3004,MATCH($A1552,'Live History'!$D$5:$D$3004,1)),INDEX('AH History'!$E$1:$E$18046,AH!$P$7+1547))),NA()),NA())</ns0:f>
        <ns0:v/>
      </ns0:c>
      <ns0:c r="G1552">
        <ns0:f>IFERROR(IF(ISNUMBER($A1552),IF(AND(AH!$P$10=1,AH!$P$12=1,$A1552=TODAY()),IF(AND(AH!$P$10=1,AH!$P$12=1,$A1552=TODAY()),TODAY(),NA()),IF(AH!$P$10=1,INDEX('Live History'!$G$5:$G$3004,MATCH($A1552,'Live History'!$G$5:$G$3004,1)),INDEX('AH History'!$F$1:$F$18046,AH!$P$7+1547))),NA()),NA())</ns0:f>
        <ns0:v/>
      </ns0:c>
      <ns0:c r="H1552">
        <ns0:f>IFERROR(IF(AND(AH!$E$4="Bloomberg",AH!$P$10=1,ISNUMBER($A1552),$A1552&lt;=AH!$P$17),AH!$P$7-1+MATCH($A1552,INDEX('AH History'!$A$1:$A$18046,AH!$P$7):INDEX('AH History'!$A$1:$A$18046,AH!$P$7+AH!$P$8-1),0),0),0)</ns0:f>
        <ns0:v/>
      </ns0:c>
      <ns0:c r="I1552">
        <ns0:f>IF($H1552=0,0,IFERROR(IF(AND(ABS($C1552-INDEX('AH History'!$B$1:$B$18046,$H1552))&lt;=MAX(0.005,ABS(INDEX('AH History'!$B$1:$B$18046,$H1552))*0.00005),ABS($D1552-INDEX('AH History'!$C$1:$C$18046,$H1552))&lt;=MAX(0.005,ABS(INDEX('AH History'!$C$1:$C$18046,$H1552))*0.00005),ABS($E1552-INDEX('AH History'!$D$1:$D$18046,$H1552))&lt;=0.00005,$F1552=INDEX('AH History'!$E$1:$E$18046,$H1552),$G1552=INDEX('AH History'!$F$1:$F$18046,$H1552)),1,-1),-1))</ns0:f>
        <ns0:v/>
      </ns0:c>
    </ns0:row>
    <ns0:row r="1553">
      <ns0:c r="A1553" s="215">
        <ns0:f>IF(OR(AH!$P$3=0,1548+1&gt;AH!$P$11,AND(AH!$E$4&lt;&gt;"Stored",AH!$P$10&lt;&gt;1)),"",IFERROR(IF(AND(AH!$P$21=1,1548+1=AH!$P$11),TODAY(),IF(AH!$P$10=1,INDEX('Live History'!$A$5:$A$3004,AH!$P$13+1548),INDEX('AH History'!$A$1:$A$18046,AH!$P$7+1548))),""))</ns0:f>
        <ns0:v/>
      </ns0:c>
      <ns0:c r="B1553" s="219">
        <ns0:f>IFERROR(IF(AND(AH!$P$9&lt;&gt;1,$C1553&gt;0,$D1553&gt;0,$E1553&gt;0,$F1553&gt;0,$G1553&gt;0,$F1553&lt;=$A1553,$G1553&lt;=$A1553,$A1553-$F1553&lt;=10,$A1553-$G1553&lt;=5),$D1553*$E1553/$C1553-1,NA()),NA())</ns0:f>
        <ns0:v/>
      </ns0:c>
      <ns0:c r="C1553">
        <ns0:f>IFERROR(IF(ISNUMBER($A1553),IF(AND(AH!$P$10=1,AH!$P$12=1,$A1553=TODAY()),AH!$P$19,IF(AH!$P$10=1,INDEX('Live History'!$B$5:$B$3004,AH!$P$13+1548),INDEX('AH History'!$B$1:$B$18046,AH!$P$7+1548))),NA()),NA())</ns0:f>
        <ns0:v/>
      </ns0:c>
      <ns0:c r="D1553">
        <ns0:f>IFERROR(IF(ISNUMBER($A1553),IF(AND(AH!$P$10=1,AH!$P$12=1,$A1553=TODAY()),AH!$P$18,IF(AH!$P$10=1,INDEX('Live History'!$E$5:$E$3004,MATCH($A1553,'Live History'!$D$5:$D$3004,1)),INDEX('AH History'!$C$1:$C$18046,AH!$P$7+1548))),NA()),NA())</ns0:f>
        <ns0:v/>
      </ns0:c>
      <ns0:c r="E1553">
        <ns0:f>IFERROR(IF(ISNUMBER($A1553),IF(AND(AH!$P$10=1,AH!$P$12=1,$A1553=TODAY()),AH!$P$20,IF(AH!$P$10=1,INDEX('Live History'!$H$5:$H$3004,MATCH($A1553,'Live History'!$G$5:$G$3004,1)),INDEX('AH History'!$D$1:$D$18046,AH!$P$7+1548))),NA()),NA())</ns0:f>
        <ns0:v/>
      </ns0:c>
      <ns0:c r="F1553">
        <ns0:f>IFERROR(IF(ISNUMBER($A1553),IF(AND(AH!$P$10=1,AH!$P$12=1,$A1553=TODAY()),IF(AND(AH!$P$10=1,AH!$P$12=1,$A1553=TODAY()),TODAY(),NA()),IF(AH!$P$10=1,INDEX('Live History'!$D$5:$D$3004,MATCH($A1553,'Live History'!$D$5:$D$3004,1)),INDEX('AH History'!$E$1:$E$18046,AH!$P$7+1548))),NA()),NA())</ns0:f>
        <ns0:v/>
      </ns0:c>
      <ns0:c r="G1553">
        <ns0:f>IFERROR(IF(ISNUMBER($A1553),IF(AND(AH!$P$10=1,AH!$P$12=1,$A1553=TODAY()),IF(AND(AH!$P$10=1,AH!$P$12=1,$A1553=TODAY()),TODAY(),NA()),IF(AH!$P$10=1,INDEX('Live History'!$G$5:$G$3004,MATCH($A1553,'Live History'!$G$5:$G$3004,1)),INDEX('AH History'!$F$1:$F$18046,AH!$P$7+1548))),NA()),NA())</ns0:f>
        <ns0:v/>
      </ns0:c>
      <ns0:c r="H1553">
        <ns0:f>IFERROR(IF(AND(AH!$E$4="Bloomberg",AH!$P$10=1,ISNUMBER($A1553),$A1553&lt;=AH!$P$17),AH!$P$7-1+MATCH($A1553,INDEX('AH History'!$A$1:$A$18046,AH!$P$7):INDEX('AH History'!$A$1:$A$18046,AH!$P$7+AH!$P$8-1),0),0),0)</ns0:f>
        <ns0:v/>
      </ns0:c>
      <ns0:c r="I1553">
        <ns0:f>IF($H1553=0,0,IFERROR(IF(AND(ABS($C1553-INDEX('AH History'!$B$1:$B$18046,$H1553))&lt;=MAX(0.005,ABS(INDEX('AH History'!$B$1:$B$18046,$H1553))*0.00005),ABS($D1553-INDEX('AH History'!$C$1:$C$18046,$H1553))&lt;=MAX(0.005,ABS(INDEX('AH History'!$C$1:$C$18046,$H1553))*0.00005),ABS($E1553-INDEX('AH History'!$D$1:$D$18046,$H1553))&lt;=0.00005,$F1553=INDEX('AH History'!$E$1:$E$18046,$H1553),$G1553=INDEX('AH History'!$F$1:$F$18046,$H1553)),1,-1),-1))</ns0:f>
        <ns0:v/>
      </ns0:c>
    </ns0:row>
    <ns0:row r="1554">
      <ns0:c r="A1554" s="215">
        <ns0:f>IF(OR(AH!$P$3=0,1549+1&gt;AH!$P$11,AND(AH!$E$4&lt;&gt;"Stored",AH!$P$10&lt;&gt;1)),"",IFERROR(IF(AND(AH!$P$21=1,1549+1=AH!$P$11),TODAY(),IF(AH!$P$10=1,INDEX('Live History'!$A$5:$A$3004,AH!$P$13+1549),INDEX('AH History'!$A$1:$A$18046,AH!$P$7+1549))),""))</ns0:f>
        <ns0:v/>
      </ns0:c>
      <ns0:c r="B1554" s="219">
        <ns0:f>IFERROR(IF(AND(AH!$P$9&lt;&gt;1,$C1554&gt;0,$D1554&gt;0,$E1554&gt;0,$F1554&gt;0,$G1554&gt;0,$F1554&lt;=$A1554,$G1554&lt;=$A1554,$A1554-$F1554&lt;=10,$A1554-$G1554&lt;=5),$D1554*$E1554/$C1554-1,NA()),NA())</ns0:f>
        <ns0:v/>
      </ns0:c>
      <ns0:c r="C1554">
        <ns0:f>IFERROR(IF(ISNUMBER($A1554),IF(AND(AH!$P$10=1,AH!$P$12=1,$A1554=TODAY()),AH!$P$19,IF(AH!$P$10=1,INDEX('Live History'!$B$5:$B$3004,AH!$P$13+1549),INDEX('AH History'!$B$1:$B$18046,AH!$P$7+1549))),NA()),NA())</ns0:f>
        <ns0:v/>
      </ns0:c>
      <ns0:c r="D1554">
        <ns0:f>IFERROR(IF(ISNUMBER($A1554),IF(AND(AH!$P$10=1,AH!$P$12=1,$A1554=TODAY()),AH!$P$18,IF(AH!$P$10=1,INDEX('Live History'!$E$5:$E$3004,MATCH($A1554,'Live History'!$D$5:$D$3004,1)),INDEX('AH History'!$C$1:$C$18046,AH!$P$7+1549))),NA()),NA())</ns0:f>
        <ns0:v/>
      </ns0:c>
      <ns0:c r="E1554">
        <ns0:f>IFERROR(IF(ISNUMBER($A1554),IF(AND(AH!$P$10=1,AH!$P$12=1,$A1554=TODAY()),AH!$P$20,IF(AH!$P$10=1,INDEX('Live History'!$H$5:$H$3004,MATCH($A1554,'Live History'!$G$5:$G$3004,1)),INDEX('AH History'!$D$1:$D$18046,AH!$P$7+1549))),NA()),NA())</ns0:f>
        <ns0:v/>
      </ns0:c>
      <ns0:c r="F1554">
        <ns0:f>IFERROR(IF(ISNUMBER($A1554),IF(AND(AH!$P$10=1,AH!$P$12=1,$A1554=TODAY()),IF(AND(AH!$P$10=1,AH!$P$12=1,$A1554=TODAY()),TODAY(),NA()),IF(AH!$P$10=1,INDEX('Live History'!$D$5:$D$3004,MATCH($A1554,'Live History'!$D$5:$D$3004,1)),INDEX('AH History'!$E$1:$E$18046,AH!$P$7+1549))),NA()),NA())</ns0:f>
        <ns0:v/>
      </ns0:c>
      <ns0:c r="G1554">
        <ns0:f>IFERROR(IF(ISNUMBER($A1554),IF(AND(AH!$P$10=1,AH!$P$12=1,$A1554=TODAY()),IF(AND(AH!$P$10=1,AH!$P$12=1,$A1554=TODAY()),TODAY(),NA()),IF(AH!$P$10=1,INDEX('Live History'!$G$5:$G$3004,MATCH($A1554,'Live History'!$G$5:$G$3004,1)),INDEX('AH History'!$F$1:$F$18046,AH!$P$7+1549))),NA()),NA())</ns0:f>
        <ns0:v/>
      </ns0:c>
      <ns0:c r="H1554">
        <ns0:f>IFERROR(IF(AND(AH!$E$4="Bloomberg",AH!$P$10=1,ISNUMBER($A1554),$A1554&lt;=AH!$P$17),AH!$P$7-1+MATCH($A1554,INDEX('AH History'!$A$1:$A$18046,AH!$P$7):INDEX('AH History'!$A$1:$A$18046,AH!$P$7+AH!$P$8-1),0),0),0)</ns0:f>
        <ns0:v/>
      </ns0:c>
      <ns0:c r="I1554">
        <ns0:f>IF($H1554=0,0,IFERROR(IF(AND(ABS($C1554-INDEX('AH History'!$B$1:$B$18046,$H1554))&lt;=MAX(0.005,ABS(INDEX('AH History'!$B$1:$B$18046,$H1554))*0.00005),ABS($D1554-INDEX('AH History'!$C$1:$C$18046,$H1554))&lt;=MAX(0.005,ABS(INDEX('AH History'!$C$1:$C$18046,$H1554))*0.00005),ABS($E1554-INDEX('AH History'!$D$1:$D$18046,$H1554))&lt;=0.00005,$F1554=INDEX('AH History'!$E$1:$E$18046,$H1554),$G1554=INDEX('AH History'!$F$1:$F$18046,$H1554)),1,-1),-1))</ns0:f>
        <ns0:v/>
      </ns0:c>
    </ns0:row>
    <ns0:row r="1555">
      <ns0:c r="A1555" s="215">
        <ns0:f>IF(OR(AH!$P$3=0,1550+1&gt;AH!$P$11,AND(AH!$E$4&lt;&gt;"Stored",AH!$P$10&lt;&gt;1)),"",IFERROR(IF(AND(AH!$P$21=1,1550+1=AH!$P$11),TODAY(),IF(AH!$P$10=1,INDEX('Live History'!$A$5:$A$3004,AH!$P$13+1550),INDEX('AH History'!$A$1:$A$18046,AH!$P$7+1550))),""))</ns0:f>
        <ns0:v/>
      </ns0:c>
      <ns0:c r="B1555" s="219">
        <ns0:f>IFERROR(IF(AND(AH!$P$9&lt;&gt;1,$C1555&gt;0,$D1555&gt;0,$E1555&gt;0,$F1555&gt;0,$G1555&gt;0,$F1555&lt;=$A1555,$G1555&lt;=$A1555,$A1555-$F1555&lt;=10,$A1555-$G1555&lt;=5),$D1555*$E1555/$C1555-1,NA()),NA())</ns0:f>
        <ns0:v/>
      </ns0:c>
      <ns0:c r="C1555">
        <ns0:f>IFERROR(IF(ISNUMBER($A1555),IF(AND(AH!$P$10=1,AH!$P$12=1,$A1555=TODAY()),AH!$P$19,IF(AH!$P$10=1,INDEX('Live History'!$B$5:$B$3004,AH!$P$13+1550),INDEX('AH History'!$B$1:$B$18046,AH!$P$7+1550))),NA()),NA())</ns0:f>
        <ns0:v/>
      </ns0:c>
      <ns0:c r="D1555">
        <ns0:f>IFERROR(IF(ISNUMBER($A1555),IF(AND(AH!$P$10=1,AH!$P$12=1,$A1555=TODAY()),AH!$P$18,IF(AH!$P$10=1,INDEX('Live History'!$E$5:$E$3004,MATCH($A1555,'Live History'!$D$5:$D$3004,1)),INDEX('AH History'!$C$1:$C$18046,AH!$P$7+1550))),NA()),NA())</ns0:f>
        <ns0:v/>
      </ns0:c>
      <ns0:c r="E1555">
        <ns0:f>IFERROR(IF(ISNUMBER($A1555),IF(AND(AH!$P$10=1,AH!$P$12=1,$A1555=TODAY()),AH!$P$20,IF(AH!$P$10=1,INDEX('Live History'!$H$5:$H$3004,MATCH($A1555,'Live History'!$G$5:$G$3004,1)),INDEX('AH History'!$D$1:$D$18046,AH!$P$7+1550))),NA()),NA())</ns0:f>
        <ns0:v/>
      </ns0:c>
      <ns0:c r="F1555">
        <ns0:f>IFERROR(IF(ISNUMBER($A1555),IF(AND(AH!$P$10=1,AH!$P$12=1,$A1555=TODAY()),IF(AND(AH!$P$10=1,AH!$P$12=1,$A1555=TODAY()),TODAY(),NA()),IF(AH!$P$10=1,INDEX('Live History'!$D$5:$D$3004,MATCH($A1555,'Live History'!$D$5:$D$3004,1)),INDEX('AH History'!$E$1:$E$18046,AH!$P$7+1550))),NA()),NA())</ns0:f>
        <ns0:v/>
      </ns0:c>
      <ns0:c r="G1555">
        <ns0:f>IFERROR(IF(ISNUMBER($A1555),IF(AND(AH!$P$10=1,AH!$P$12=1,$A1555=TODAY()),IF(AND(AH!$P$10=1,AH!$P$12=1,$A1555=TODAY()),TODAY(),NA()),IF(AH!$P$10=1,INDEX('Live History'!$G$5:$G$3004,MATCH($A1555,'Live History'!$G$5:$G$3004,1)),INDEX('AH History'!$F$1:$F$18046,AH!$P$7+1550))),NA()),NA())</ns0:f>
        <ns0:v/>
      </ns0:c>
      <ns0:c r="H1555">
        <ns0:f>IFERROR(IF(AND(AH!$E$4="Bloomberg",AH!$P$10=1,ISNUMBER($A1555),$A1555&lt;=AH!$P$17),AH!$P$7-1+MATCH($A1555,INDEX('AH History'!$A$1:$A$18046,AH!$P$7):INDEX('AH History'!$A$1:$A$18046,AH!$P$7+AH!$P$8-1),0),0),0)</ns0:f>
        <ns0:v/>
      </ns0:c>
      <ns0:c r="I1555">
        <ns0:f>IF($H1555=0,0,IFERROR(IF(AND(ABS($C1555-INDEX('AH History'!$B$1:$B$18046,$H1555))&lt;=MAX(0.005,ABS(INDEX('AH History'!$B$1:$B$18046,$H1555))*0.00005),ABS($D1555-INDEX('AH History'!$C$1:$C$18046,$H1555))&lt;=MAX(0.005,ABS(INDEX('AH History'!$C$1:$C$18046,$H1555))*0.00005),ABS($E1555-INDEX('AH History'!$D$1:$D$18046,$H1555))&lt;=0.00005,$F1555=INDEX('AH History'!$E$1:$E$18046,$H1555),$G1555=INDEX('AH History'!$F$1:$F$18046,$H1555)),1,-1),-1))</ns0:f>
        <ns0:v/>
      </ns0:c>
    </ns0:row>
    <ns0:row r="1556">
      <ns0:c r="A1556" s="215">
        <ns0:f>IF(OR(AH!$P$3=0,1551+1&gt;AH!$P$11,AND(AH!$E$4&lt;&gt;"Stored",AH!$P$10&lt;&gt;1)),"",IFERROR(IF(AND(AH!$P$21=1,1551+1=AH!$P$11),TODAY(),IF(AH!$P$10=1,INDEX('Live History'!$A$5:$A$3004,AH!$P$13+1551),INDEX('AH History'!$A$1:$A$18046,AH!$P$7+1551))),""))</ns0:f>
        <ns0:v/>
      </ns0:c>
      <ns0:c r="B1556" s="219">
        <ns0:f>IFERROR(IF(AND(AH!$P$9&lt;&gt;1,$C1556&gt;0,$D1556&gt;0,$E1556&gt;0,$F1556&gt;0,$G1556&gt;0,$F1556&lt;=$A1556,$G1556&lt;=$A1556,$A1556-$F1556&lt;=10,$A1556-$G1556&lt;=5),$D1556*$E1556/$C1556-1,NA()),NA())</ns0:f>
        <ns0:v/>
      </ns0:c>
      <ns0:c r="C1556">
        <ns0:f>IFERROR(IF(ISNUMBER($A1556),IF(AND(AH!$P$10=1,AH!$P$12=1,$A1556=TODAY()),AH!$P$19,IF(AH!$P$10=1,INDEX('Live History'!$B$5:$B$3004,AH!$P$13+1551),INDEX('AH History'!$B$1:$B$18046,AH!$P$7+1551))),NA()),NA())</ns0:f>
        <ns0:v/>
      </ns0:c>
      <ns0:c r="D1556">
        <ns0:f>IFERROR(IF(ISNUMBER($A1556),IF(AND(AH!$P$10=1,AH!$P$12=1,$A1556=TODAY()),AH!$P$18,IF(AH!$P$10=1,INDEX('Live History'!$E$5:$E$3004,MATCH($A1556,'Live History'!$D$5:$D$3004,1)),INDEX('AH History'!$C$1:$C$18046,AH!$P$7+1551))),NA()),NA())</ns0:f>
        <ns0:v/>
      </ns0:c>
      <ns0:c r="E1556">
        <ns0:f>IFERROR(IF(ISNUMBER($A1556),IF(AND(AH!$P$10=1,AH!$P$12=1,$A1556=TODAY()),AH!$P$20,IF(AH!$P$10=1,INDEX('Live History'!$H$5:$H$3004,MATCH($A1556,'Live History'!$G$5:$G$3004,1)),INDEX('AH History'!$D$1:$D$18046,AH!$P$7+1551))),NA()),NA())</ns0:f>
        <ns0:v/>
      </ns0:c>
      <ns0:c r="F1556">
        <ns0:f>IFERROR(IF(ISNUMBER($A1556),IF(AND(AH!$P$10=1,AH!$P$12=1,$A1556=TODAY()),IF(AND(AH!$P$10=1,AH!$P$12=1,$A1556=TODAY()),TODAY(),NA()),IF(AH!$P$10=1,INDEX('Live History'!$D$5:$D$3004,MATCH($A1556,'Live History'!$D$5:$D$3004,1)),INDEX('AH History'!$E$1:$E$18046,AH!$P$7+1551))),NA()),NA())</ns0:f>
        <ns0:v/>
      </ns0:c>
      <ns0:c r="G1556">
        <ns0:f>IFERROR(IF(ISNUMBER($A1556),IF(AND(AH!$P$10=1,AH!$P$12=1,$A1556=TODAY()),IF(AND(AH!$P$10=1,AH!$P$12=1,$A1556=TODAY()),TODAY(),NA()),IF(AH!$P$10=1,INDEX('Live History'!$G$5:$G$3004,MATCH($A1556,'Live History'!$G$5:$G$3004,1)),INDEX('AH History'!$F$1:$F$18046,AH!$P$7+1551))),NA()),NA())</ns0:f>
        <ns0:v/>
      </ns0:c>
      <ns0:c r="H1556">
        <ns0:f>IFERROR(IF(AND(AH!$E$4="Bloomberg",AH!$P$10=1,ISNUMBER($A1556),$A1556&lt;=AH!$P$17),AH!$P$7-1+MATCH($A1556,INDEX('AH History'!$A$1:$A$18046,AH!$P$7):INDEX('AH History'!$A$1:$A$18046,AH!$P$7+AH!$P$8-1),0),0),0)</ns0:f>
        <ns0:v/>
      </ns0:c>
      <ns0:c r="I1556">
        <ns0:f>IF($H1556=0,0,IFERROR(IF(AND(ABS($C1556-INDEX('AH History'!$B$1:$B$18046,$H1556))&lt;=MAX(0.005,ABS(INDEX('AH History'!$B$1:$B$18046,$H1556))*0.00005),ABS($D1556-INDEX('AH History'!$C$1:$C$18046,$H1556))&lt;=MAX(0.005,ABS(INDEX('AH History'!$C$1:$C$18046,$H1556))*0.00005),ABS($E1556-INDEX('AH History'!$D$1:$D$18046,$H1556))&lt;=0.00005,$F1556=INDEX('AH History'!$E$1:$E$18046,$H1556),$G1556=INDEX('AH History'!$F$1:$F$18046,$H1556)),1,-1),-1))</ns0:f>
        <ns0:v/>
      </ns0:c>
    </ns0:row>
    <ns0:row r="1557">
      <ns0:c r="A1557" s="215">
        <ns0:f>IF(OR(AH!$P$3=0,1552+1&gt;AH!$P$11,AND(AH!$E$4&lt;&gt;"Stored",AH!$P$10&lt;&gt;1)),"",IFERROR(IF(AND(AH!$P$21=1,1552+1=AH!$P$11),TODAY(),IF(AH!$P$10=1,INDEX('Live History'!$A$5:$A$3004,AH!$P$13+1552),INDEX('AH History'!$A$1:$A$18046,AH!$P$7+1552))),""))</ns0:f>
        <ns0:v/>
      </ns0:c>
      <ns0:c r="B1557" s="219">
        <ns0:f>IFERROR(IF(AND(AH!$P$9&lt;&gt;1,$C1557&gt;0,$D1557&gt;0,$E1557&gt;0,$F1557&gt;0,$G1557&gt;0,$F1557&lt;=$A1557,$G1557&lt;=$A1557,$A1557-$F1557&lt;=10,$A1557-$G1557&lt;=5),$D1557*$E1557/$C1557-1,NA()),NA())</ns0:f>
        <ns0:v/>
      </ns0:c>
      <ns0:c r="C1557">
        <ns0:f>IFERROR(IF(ISNUMBER($A1557),IF(AND(AH!$P$10=1,AH!$P$12=1,$A1557=TODAY()),AH!$P$19,IF(AH!$P$10=1,INDEX('Live History'!$B$5:$B$3004,AH!$P$13+1552),INDEX('AH History'!$B$1:$B$18046,AH!$P$7+1552))),NA()),NA())</ns0:f>
        <ns0:v/>
      </ns0:c>
      <ns0:c r="D1557">
        <ns0:f>IFERROR(IF(ISNUMBER($A1557),IF(AND(AH!$P$10=1,AH!$P$12=1,$A1557=TODAY()),AH!$P$18,IF(AH!$P$10=1,INDEX('Live History'!$E$5:$E$3004,MATCH($A1557,'Live History'!$D$5:$D$3004,1)),INDEX('AH History'!$C$1:$C$18046,AH!$P$7+1552))),NA()),NA())</ns0:f>
        <ns0:v/>
      </ns0:c>
      <ns0:c r="E1557">
        <ns0:f>IFERROR(IF(ISNUMBER($A1557),IF(AND(AH!$P$10=1,AH!$P$12=1,$A1557=TODAY()),AH!$P$20,IF(AH!$P$10=1,INDEX('Live History'!$H$5:$H$3004,MATCH($A1557,'Live History'!$G$5:$G$3004,1)),INDEX('AH History'!$D$1:$D$18046,AH!$P$7+1552))),NA()),NA())</ns0:f>
        <ns0:v/>
      </ns0:c>
      <ns0:c r="F1557">
        <ns0:f>IFERROR(IF(ISNUMBER($A1557),IF(AND(AH!$P$10=1,AH!$P$12=1,$A1557=TODAY()),IF(AND(AH!$P$10=1,AH!$P$12=1,$A1557=TODAY()),TODAY(),NA()),IF(AH!$P$10=1,INDEX('Live History'!$D$5:$D$3004,MATCH($A1557,'Live History'!$D$5:$D$3004,1)),INDEX('AH History'!$E$1:$E$18046,AH!$P$7+1552))),NA()),NA())</ns0:f>
        <ns0:v/>
      </ns0:c>
      <ns0:c r="G1557">
        <ns0:f>IFERROR(IF(ISNUMBER($A1557),IF(AND(AH!$P$10=1,AH!$P$12=1,$A1557=TODAY()),IF(AND(AH!$P$10=1,AH!$P$12=1,$A1557=TODAY()),TODAY(),NA()),IF(AH!$P$10=1,INDEX('Live History'!$G$5:$G$3004,MATCH($A1557,'Live History'!$G$5:$G$3004,1)),INDEX('AH History'!$F$1:$F$18046,AH!$P$7+1552))),NA()),NA())</ns0:f>
        <ns0:v/>
      </ns0:c>
      <ns0:c r="H1557">
        <ns0:f>IFERROR(IF(AND(AH!$E$4="Bloomberg",AH!$P$10=1,ISNUMBER($A1557),$A1557&lt;=AH!$P$17),AH!$P$7-1+MATCH($A1557,INDEX('AH History'!$A$1:$A$18046,AH!$P$7):INDEX('AH History'!$A$1:$A$18046,AH!$P$7+AH!$P$8-1),0),0),0)</ns0:f>
        <ns0:v/>
      </ns0:c>
      <ns0:c r="I1557">
        <ns0:f>IF($H1557=0,0,IFERROR(IF(AND(ABS($C1557-INDEX('AH History'!$B$1:$B$18046,$H1557))&lt;=MAX(0.005,ABS(INDEX('AH History'!$B$1:$B$18046,$H1557))*0.00005),ABS($D1557-INDEX('AH History'!$C$1:$C$18046,$H1557))&lt;=MAX(0.005,ABS(INDEX('AH History'!$C$1:$C$18046,$H1557))*0.00005),ABS($E1557-INDEX('AH History'!$D$1:$D$18046,$H1557))&lt;=0.00005,$F1557=INDEX('AH History'!$E$1:$E$18046,$H1557),$G1557=INDEX('AH History'!$F$1:$F$18046,$H1557)),1,-1),-1))</ns0:f>
        <ns0:v/>
      </ns0:c>
    </ns0:row>
    <ns0:row r="1558">
      <ns0:c r="A1558" s="215">
        <ns0:f>IF(OR(AH!$P$3=0,1553+1&gt;AH!$P$11,AND(AH!$E$4&lt;&gt;"Stored",AH!$P$10&lt;&gt;1)),"",IFERROR(IF(AND(AH!$P$21=1,1553+1=AH!$P$11),TODAY(),IF(AH!$P$10=1,INDEX('Live History'!$A$5:$A$3004,AH!$P$13+1553),INDEX('AH History'!$A$1:$A$18046,AH!$P$7+1553))),""))</ns0:f>
        <ns0:v/>
      </ns0:c>
      <ns0:c r="B1558" s="219">
        <ns0:f>IFERROR(IF(AND(AH!$P$9&lt;&gt;1,$C1558&gt;0,$D1558&gt;0,$E1558&gt;0,$F1558&gt;0,$G1558&gt;0,$F1558&lt;=$A1558,$G1558&lt;=$A1558,$A1558-$F1558&lt;=10,$A1558-$G1558&lt;=5),$D1558*$E1558/$C1558-1,NA()),NA())</ns0:f>
        <ns0:v/>
      </ns0:c>
      <ns0:c r="C1558">
        <ns0:f>IFERROR(IF(ISNUMBER($A1558),IF(AND(AH!$P$10=1,AH!$P$12=1,$A1558=TODAY()),AH!$P$19,IF(AH!$P$10=1,INDEX('Live History'!$B$5:$B$3004,AH!$P$13+1553),INDEX('AH History'!$B$1:$B$18046,AH!$P$7+1553))),NA()),NA())</ns0:f>
        <ns0:v/>
      </ns0:c>
      <ns0:c r="D1558">
        <ns0:f>IFERROR(IF(ISNUMBER($A1558),IF(AND(AH!$P$10=1,AH!$P$12=1,$A1558=TODAY()),AH!$P$18,IF(AH!$P$10=1,INDEX('Live History'!$E$5:$E$3004,MATCH($A1558,'Live History'!$D$5:$D$3004,1)),INDEX('AH History'!$C$1:$C$18046,AH!$P$7+1553))),NA()),NA())</ns0:f>
        <ns0:v/>
      </ns0:c>
      <ns0:c r="E1558">
        <ns0:f>IFERROR(IF(ISNUMBER($A1558),IF(AND(AH!$P$10=1,AH!$P$12=1,$A1558=TODAY()),AH!$P$20,IF(AH!$P$10=1,INDEX('Live History'!$H$5:$H$3004,MATCH($A1558,'Live History'!$G$5:$G$3004,1)),INDEX('AH History'!$D$1:$D$18046,AH!$P$7+1553))),NA()),NA())</ns0:f>
        <ns0:v/>
      </ns0:c>
      <ns0:c r="F1558">
        <ns0:f>IFERROR(IF(ISNUMBER($A1558),IF(AND(AH!$P$10=1,AH!$P$12=1,$A1558=TODAY()),IF(AND(AH!$P$10=1,AH!$P$12=1,$A1558=TODAY()),TODAY(),NA()),IF(AH!$P$10=1,INDEX('Live History'!$D$5:$D$3004,MATCH($A1558,'Live History'!$D$5:$D$3004,1)),INDEX('AH History'!$E$1:$E$18046,AH!$P$7+1553))),NA()),NA())</ns0:f>
        <ns0:v/>
      </ns0:c>
      <ns0:c r="G1558">
        <ns0:f>IFERROR(IF(ISNUMBER($A1558),IF(AND(AH!$P$10=1,AH!$P$12=1,$A1558=TODAY()),IF(AND(AH!$P$10=1,AH!$P$12=1,$A1558=TODAY()),TODAY(),NA()),IF(AH!$P$10=1,INDEX('Live History'!$G$5:$G$3004,MATCH($A1558,'Live History'!$G$5:$G$3004,1)),INDEX('AH History'!$F$1:$F$18046,AH!$P$7+1553))),NA()),NA())</ns0:f>
        <ns0:v/>
      </ns0:c>
      <ns0:c r="H1558">
        <ns0:f>IFERROR(IF(AND(AH!$E$4="Bloomberg",AH!$P$10=1,ISNUMBER($A1558),$A1558&lt;=AH!$P$17),AH!$P$7-1+MATCH($A1558,INDEX('AH History'!$A$1:$A$18046,AH!$P$7):INDEX('AH History'!$A$1:$A$18046,AH!$P$7+AH!$P$8-1),0),0),0)</ns0:f>
        <ns0:v/>
      </ns0:c>
      <ns0:c r="I1558">
        <ns0:f>IF($H1558=0,0,IFERROR(IF(AND(ABS($C1558-INDEX('AH History'!$B$1:$B$18046,$H1558))&lt;=MAX(0.005,ABS(INDEX('AH History'!$B$1:$B$18046,$H1558))*0.00005),ABS($D1558-INDEX('AH History'!$C$1:$C$18046,$H1558))&lt;=MAX(0.005,ABS(INDEX('AH History'!$C$1:$C$18046,$H1558))*0.00005),ABS($E1558-INDEX('AH History'!$D$1:$D$18046,$H1558))&lt;=0.00005,$F1558=INDEX('AH History'!$E$1:$E$18046,$H1558),$G1558=INDEX('AH History'!$F$1:$F$18046,$H1558)),1,-1),-1))</ns0:f>
        <ns0:v/>
      </ns0:c>
    </ns0:row>
    <ns0:row r="1559">
      <ns0:c r="A1559" s="215">
        <ns0:f>IF(OR(AH!$P$3=0,1554+1&gt;AH!$P$11,AND(AH!$E$4&lt;&gt;"Stored",AH!$P$10&lt;&gt;1)),"",IFERROR(IF(AND(AH!$P$21=1,1554+1=AH!$P$11),TODAY(),IF(AH!$P$10=1,INDEX('Live History'!$A$5:$A$3004,AH!$P$13+1554),INDEX('AH History'!$A$1:$A$18046,AH!$P$7+1554))),""))</ns0:f>
        <ns0:v/>
      </ns0:c>
      <ns0:c r="B1559" s="219">
        <ns0:f>IFERROR(IF(AND(AH!$P$9&lt;&gt;1,$C1559&gt;0,$D1559&gt;0,$E1559&gt;0,$F1559&gt;0,$G1559&gt;0,$F1559&lt;=$A1559,$G1559&lt;=$A1559,$A1559-$F1559&lt;=10,$A1559-$G1559&lt;=5),$D1559*$E1559/$C1559-1,NA()),NA())</ns0:f>
        <ns0:v/>
      </ns0:c>
      <ns0:c r="C1559">
        <ns0:f>IFERROR(IF(ISNUMBER($A1559),IF(AND(AH!$P$10=1,AH!$P$12=1,$A1559=TODAY()),AH!$P$19,IF(AH!$P$10=1,INDEX('Live History'!$B$5:$B$3004,AH!$P$13+1554),INDEX('AH History'!$B$1:$B$18046,AH!$P$7+1554))),NA()),NA())</ns0:f>
        <ns0:v/>
      </ns0:c>
      <ns0:c r="D1559">
        <ns0:f>IFERROR(IF(ISNUMBER($A1559),IF(AND(AH!$P$10=1,AH!$P$12=1,$A1559=TODAY()),AH!$P$18,IF(AH!$P$10=1,INDEX('Live History'!$E$5:$E$3004,MATCH($A1559,'Live History'!$D$5:$D$3004,1)),INDEX('AH History'!$C$1:$C$18046,AH!$P$7+1554))),NA()),NA())</ns0:f>
        <ns0:v/>
      </ns0:c>
      <ns0:c r="E1559">
        <ns0:f>IFERROR(IF(ISNUMBER($A1559),IF(AND(AH!$P$10=1,AH!$P$12=1,$A1559=TODAY()),AH!$P$20,IF(AH!$P$10=1,INDEX('Live History'!$H$5:$H$3004,MATCH($A1559,'Live History'!$G$5:$G$3004,1)),INDEX('AH History'!$D$1:$D$18046,AH!$P$7+1554))),NA()),NA())</ns0:f>
        <ns0:v/>
      </ns0:c>
      <ns0:c r="F1559">
        <ns0:f>IFERROR(IF(ISNUMBER($A1559),IF(AND(AH!$P$10=1,AH!$P$12=1,$A1559=TODAY()),IF(AND(AH!$P$10=1,AH!$P$12=1,$A1559=TODAY()),TODAY(),NA()),IF(AH!$P$10=1,INDEX('Live History'!$D$5:$D$3004,MATCH($A1559,'Live History'!$D$5:$D$3004,1)),INDEX('AH History'!$E$1:$E$18046,AH!$P$7+1554))),NA()),NA())</ns0:f>
        <ns0:v/>
      </ns0:c>
      <ns0:c r="G1559">
        <ns0:f>IFERROR(IF(ISNUMBER($A1559),IF(AND(AH!$P$10=1,AH!$P$12=1,$A1559=TODAY()),IF(AND(AH!$P$10=1,AH!$P$12=1,$A1559=TODAY()),TODAY(),NA()),IF(AH!$P$10=1,INDEX('Live History'!$G$5:$G$3004,MATCH($A1559,'Live History'!$G$5:$G$3004,1)),INDEX('AH History'!$F$1:$F$18046,AH!$P$7+1554))),NA()),NA())</ns0:f>
        <ns0:v/>
      </ns0:c>
      <ns0:c r="H1559">
        <ns0:f>IFERROR(IF(AND(AH!$E$4="Bloomberg",AH!$P$10=1,ISNUMBER($A1559),$A1559&lt;=AH!$P$17),AH!$P$7-1+MATCH($A1559,INDEX('AH History'!$A$1:$A$18046,AH!$P$7):INDEX('AH History'!$A$1:$A$18046,AH!$P$7+AH!$P$8-1),0),0),0)</ns0:f>
        <ns0:v/>
      </ns0:c>
      <ns0:c r="I1559">
        <ns0:f>IF($H1559=0,0,IFERROR(IF(AND(ABS($C1559-INDEX('AH History'!$B$1:$B$18046,$H1559))&lt;=MAX(0.005,ABS(INDEX('AH History'!$B$1:$B$18046,$H1559))*0.00005),ABS($D1559-INDEX('AH History'!$C$1:$C$18046,$H1559))&lt;=MAX(0.005,ABS(INDEX('AH History'!$C$1:$C$18046,$H1559))*0.00005),ABS($E1559-INDEX('AH History'!$D$1:$D$18046,$H1559))&lt;=0.00005,$F1559=INDEX('AH History'!$E$1:$E$18046,$H1559),$G1559=INDEX('AH History'!$F$1:$F$18046,$H1559)),1,-1),-1))</ns0:f>
        <ns0:v/>
      </ns0:c>
    </ns0:row>
    <ns0:row r="1560">
      <ns0:c r="A1560" s="215">
        <ns0:f>IF(OR(AH!$P$3=0,1555+1&gt;AH!$P$11,AND(AH!$E$4&lt;&gt;"Stored",AH!$P$10&lt;&gt;1)),"",IFERROR(IF(AND(AH!$P$21=1,1555+1=AH!$P$11),TODAY(),IF(AH!$P$10=1,INDEX('Live History'!$A$5:$A$3004,AH!$P$13+1555),INDEX('AH History'!$A$1:$A$18046,AH!$P$7+1555))),""))</ns0:f>
        <ns0:v/>
      </ns0:c>
      <ns0:c r="B1560" s="219">
        <ns0:f>IFERROR(IF(AND(AH!$P$9&lt;&gt;1,$C1560&gt;0,$D1560&gt;0,$E1560&gt;0,$F1560&gt;0,$G1560&gt;0,$F1560&lt;=$A1560,$G1560&lt;=$A1560,$A1560-$F1560&lt;=10,$A1560-$G1560&lt;=5),$D1560*$E1560/$C1560-1,NA()),NA())</ns0:f>
        <ns0:v/>
      </ns0:c>
      <ns0:c r="C1560">
        <ns0:f>IFERROR(IF(ISNUMBER($A1560),IF(AND(AH!$P$10=1,AH!$P$12=1,$A1560=TODAY()),AH!$P$19,IF(AH!$P$10=1,INDEX('Live History'!$B$5:$B$3004,AH!$P$13+1555),INDEX('AH History'!$B$1:$B$18046,AH!$P$7+1555))),NA()),NA())</ns0:f>
        <ns0:v/>
      </ns0:c>
      <ns0:c r="D1560">
        <ns0:f>IFERROR(IF(ISNUMBER($A1560),IF(AND(AH!$P$10=1,AH!$P$12=1,$A1560=TODAY()),AH!$P$18,IF(AH!$P$10=1,INDEX('Live History'!$E$5:$E$3004,MATCH($A1560,'Live History'!$D$5:$D$3004,1)),INDEX('AH History'!$C$1:$C$18046,AH!$P$7+1555))),NA()),NA())</ns0:f>
        <ns0:v/>
      </ns0:c>
      <ns0:c r="E1560">
        <ns0:f>IFERROR(IF(ISNUMBER($A1560),IF(AND(AH!$P$10=1,AH!$P$12=1,$A1560=TODAY()),AH!$P$20,IF(AH!$P$10=1,INDEX('Live History'!$H$5:$H$3004,MATCH($A1560,'Live History'!$G$5:$G$3004,1)),INDEX('AH History'!$D$1:$D$18046,AH!$P$7+1555))),NA()),NA())</ns0:f>
        <ns0:v/>
      </ns0:c>
      <ns0:c r="F1560">
        <ns0:f>IFERROR(IF(ISNUMBER($A1560),IF(AND(AH!$P$10=1,AH!$P$12=1,$A1560=TODAY()),IF(AND(AH!$P$10=1,AH!$P$12=1,$A1560=TODAY()),TODAY(),NA()),IF(AH!$P$10=1,INDEX('Live History'!$D$5:$D$3004,MATCH($A1560,'Live History'!$D$5:$D$3004,1)),INDEX('AH History'!$E$1:$E$18046,AH!$P$7+1555))),NA()),NA())</ns0:f>
        <ns0:v/>
      </ns0:c>
      <ns0:c r="G1560">
        <ns0:f>IFERROR(IF(ISNUMBER($A1560),IF(AND(AH!$P$10=1,AH!$P$12=1,$A1560=TODAY()),IF(AND(AH!$P$10=1,AH!$P$12=1,$A1560=TODAY()),TODAY(),NA()),IF(AH!$P$10=1,INDEX('Live History'!$G$5:$G$3004,MATCH($A1560,'Live History'!$G$5:$G$3004,1)),INDEX('AH History'!$F$1:$F$18046,AH!$P$7+1555))),NA()),NA())</ns0:f>
        <ns0:v/>
      </ns0:c>
      <ns0:c r="H1560">
        <ns0:f>IFERROR(IF(AND(AH!$E$4="Bloomberg",AH!$P$10=1,ISNUMBER($A1560),$A1560&lt;=AH!$P$17),AH!$P$7-1+MATCH($A1560,INDEX('AH History'!$A$1:$A$18046,AH!$P$7):INDEX('AH History'!$A$1:$A$18046,AH!$P$7+AH!$P$8-1),0),0),0)</ns0:f>
        <ns0:v/>
      </ns0:c>
      <ns0:c r="I1560">
        <ns0:f>IF($H1560=0,0,IFERROR(IF(AND(ABS($C1560-INDEX('AH History'!$B$1:$B$18046,$H1560))&lt;=MAX(0.005,ABS(INDEX('AH History'!$B$1:$B$18046,$H1560))*0.00005),ABS($D1560-INDEX('AH History'!$C$1:$C$18046,$H1560))&lt;=MAX(0.005,ABS(INDEX('AH History'!$C$1:$C$18046,$H1560))*0.00005),ABS($E1560-INDEX('AH History'!$D$1:$D$18046,$H1560))&lt;=0.00005,$F1560=INDEX('AH History'!$E$1:$E$18046,$H1560),$G1560=INDEX('AH History'!$F$1:$F$18046,$H1560)),1,-1),-1))</ns0:f>
        <ns0:v/>
      </ns0:c>
    </ns0:row>
    <ns0:row r="1561">
      <ns0:c r="A1561" s="215">
        <ns0:f>IF(OR(AH!$P$3=0,1556+1&gt;AH!$P$11,AND(AH!$E$4&lt;&gt;"Stored",AH!$P$10&lt;&gt;1)),"",IFERROR(IF(AND(AH!$P$21=1,1556+1=AH!$P$11),TODAY(),IF(AH!$P$10=1,INDEX('Live History'!$A$5:$A$3004,AH!$P$13+1556),INDEX('AH History'!$A$1:$A$18046,AH!$P$7+1556))),""))</ns0:f>
        <ns0:v/>
      </ns0:c>
      <ns0:c r="B1561" s="219">
        <ns0:f>IFERROR(IF(AND(AH!$P$9&lt;&gt;1,$C1561&gt;0,$D1561&gt;0,$E1561&gt;0,$F1561&gt;0,$G1561&gt;0,$F1561&lt;=$A1561,$G1561&lt;=$A1561,$A1561-$F1561&lt;=10,$A1561-$G1561&lt;=5),$D1561*$E1561/$C1561-1,NA()),NA())</ns0:f>
        <ns0:v/>
      </ns0:c>
      <ns0:c r="C1561">
        <ns0:f>IFERROR(IF(ISNUMBER($A1561),IF(AND(AH!$P$10=1,AH!$P$12=1,$A1561=TODAY()),AH!$P$19,IF(AH!$P$10=1,INDEX('Live History'!$B$5:$B$3004,AH!$P$13+1556),INDEX('AH History'!$B$1:$B$18046,AH!$P$7+1556))),NA()),NA())</ns0:f>
        <ns0:v/>
      </ns0:c>
      <ns0:c r="D1561">
        <ns0:f>IFERROR(IF(ISNUMBER($A1561),IF(AND(AH!$P$10=1,AH!$P$12=1,$A1561=TODAY()),AH!$P$18,IF(AH!$P$10=1,INDEX('Live History'!$E$5:$E$3004,MATCH($A1561,'Live History'!$D$5:$D$3004,1)),INDEX('AH History'!$C$1:$C$18046,AH!$P$7+1556))),NA()),NA())</ns0:f>
        <ns0:v/>
      </ns0:c>
      <ns0:c r="E1561">
        <ns0:f>IFERROR(IF(ISNUMBER($A1561),IF(AND(AH!$P$10=1,AH!$P$12=1,$A1561=TODAY()),AH!$P$20,IF(AH!$P$10=1,INDEX('Live History'!$H$5:$H$3004,MATCH($A1561,'Live History'!$G$5:$G$3004,1)),INDEX('AH History'!$D$1:$D$18046,AH!$P$7+1556))),NA()),NA())</ns0:f>
        <ns0:v/>
      </ns0:c>
      <ns0:c r="F1561">
        <ns0:f>IFERROR(IF(ISNUMBER($A1561),IF(AND(AH!$P$10=1,AH!$P$12=1,$A1561=TODAY()),IF(AND(AH!$P$10=1,AH!$P$12=1,$A1561=TODAY()),TODAY(),NA()),IF(AH!$P$10=1,INDEX('Live History'!$D$5:$D$3004,MATCH($A1561,'Live History'!$D$5:$D$3004,1)),INDEX('AH History'!$E$1:$E$18046,AH!$P$7+1556))),NA()),NA())</ns0:f>
        <ns0:v/>
      </ns0:c>
      <ns0:c r="G1561">
        <ns0:f>IFERROR(IF(ISNUMBER($A1561),IF(AND(AH!$P$10=1,AH!$P$12=1,$A1561=TODAY()),IF(AND(AH!$P$10=1,AH!$P$12=1,$A1561=TODAY()),TODAY(),NA()),IF(AH!$P$10=1,INDEX('Live History'!$G$5:$G$3004,MATCH($A1561,'Live History'!$G$5:$G$3004,1)),INDEX('AH History'!$F$1:$F$18046,AH!$P$7+1556))),NA()),NA())</ns0:f>
        <ns0:v/>
      </ns0:c>
      <ns0:c r="H1561">
        <ns0:f>IFERROR(IF(AND(AH!$E$4="Bloomberg",AH!$P$10=1,ISNUMBER($A1561),$A1561&lt;=AH!$P$17),AH!$P$7-1+MATCH($A1561,INDEX('AH History'!$A$1:$A$18046,AH!$P$7):INDEX('AH History'!$A$1:$A$18046,AH!$P$7+AH!$P$8-1),0),0),0)</ns0:f>
        <ns0:v/>
      </ns0:c>
      <ns0:c r="I1561">
        <ns0:f>IF($H1561=0,0,IFERROR(IF(AND(ABS($C1561-INDEX('AH History'!$B$1:$B$18046,$H1561))&lt;=MAX(0.005,ABS(INDEX('AH History'!$B$1:$B$18046,$H1561))*0.00005),ABS($D1561-INDEX('AH History'!$C$1:$C$18046,$H1561))&lt;=MAX(0.005,ABS(INDEX('AH History'!$C$1:$C$18046,$H1561))*0.00005),ABS($E1561-INDEX('AH History'!$D$1:$D$18046,$H1561))&lt;=0.00005,$F1561=INDEX('AH History'!$E$1:$E$18046,$H1561),$G1561=INDEX('AH History'!$F$1:$F$18046,$H1561)),1,-1),-1))</ns0:f>
        <ns0:v/>
      </ns0:c>
    </ns0:row>
    <ns0:row r="1562">
      <ns0:c r="A1562" s="215">
        <ns0:f>IF(OR(AH!$P$3=0,1557+1&gt;AH!$P$11,AND(AH!$E$4&lt;&gt;"Stored",AH!$P$10&lt;&gt;1)),"",IFERROR(IF(AND(AH!$P$21=1,1557+1=AH!$P$11),TODAY(),IF(AH!$P$10=1,INDEX('Live History'!$A$5:$A$3004,AH!$P$13+1557),INDEX('AH History'!$A$1:$A$18046,AH!$P$7+1557))),""))</ns0:f>
        <ns0:v/>
      </ns0:c>
      <ns0:c r="B1562" s="219">
        <ns0:f>IFERROR(IF(AND(AH!$P$9&lt;&gt;1,$C1562&gt;0,$D1562&gt;0,$E1562&gt;0,$F1562&gt;0,$G1562&gt;0,$F1562&lt;=$A1562,$G1562&lt;=$A1562,$A1562-$F1562&lt;=10,$A1562-$G1562&lt;=5),$D1562*$E1562/$C1562-1,NA()),NA())</ns0:f>
        <ns0:v/>
      </ns0:c>
      <ns0:c r="C1562">
        <ns0:f>IFERROR(IF(ISNUMBER($A1562),IF(AND(AH!$P$10=1,AH!$P$12=1,$A1562=TODAY()),AH!$P$19,IF(AH!$P$10=1,INDEX('Live History'!$B$5:$B$3004,AH!$P$13+1557),INDEX('AH History'!$B$1:$B$18046,AH!$P$7+1557))),NA()),NA())</ns0:f>
        <ns0:v/>
      </ns0:c>
      <ns0:c r="D1562">
        <ns0:f>IFERROR(IF(ISNUMBER($A1562),IF(AND(AH!$P$10=1,AH!$P$12=1,$A1562=TODAY()),AH!$P$18,IF(AH!$P$10=1,INDEX('Live History'!$E$5:$E$3004,MATCH($A1562,'Live History'!$D$5:$D$3004,1)),INDEX('AH History'!$C$1:$C$18046,AH!$P$7+1557))),NA()),NA())</ns0:f>
        <ns0:v/>
      </ns0:c>
      <ns0:c r="E1562">
        <ns0:f>IFERROR(IF(ISNUMBER($A1562),IF(AND(AH!$P$10=1,AH!$P$12=1,$A1562=TODAY()),AH!$P$20,IF(AH!$P$10=1,INDEX('Live History'!$H$5:$H$3004,MATCH($A1562,'Live History'!$G$5:$G$3004,1)),INDEX('AH History'!$D$1:$D$18046,AH!$P$7+1557))),NA()),NA())</ns0:f>
        <ns0:v/>
      </ns0:c>
      <ns0:c r="F1562">
        <ns0:f>IFERROR(IF(ISNUMBER($A1562),IF(AND(AH!$P$10=1,AH!$P$12=1,$A1562=TODAY()),IF(AND(AH!$P$10=1,AH!$P$12=1,$A1562=TODAY()),TODAY(),NA()),IF(AH!$P$10=1,INDEX('Live History'!$D$5:$D$3004,MATCH($A1562,'Live History'!$D$5:$D$3004,1)),INDEX('AH History'!$E$1:$E$18046,AH!$P$7+1557))),NA()),NA())</ns0:f>
        <ns0:v/>
      </ns0:c>
      <ns0:c r="G1562">
        <ns0:f>IFERROR(IF(ISNUMBER($A1562),IF(AND(AH!$P$10=1,AH!$P$12=1,$A1562=TODAY()),IF(AND(AH!$P$10=1,AH!$P$12=1,$A1562=TODAY()),TODAY(),NA()),IF(AH!$P$10=1,INDEX('Live History'!$G$5:$G$3004,MATCH($A1562,'Live History'!$G$5:$G$3004,1)),INDEX('AH History'!$F$1:$F$18046,AH!$P$7+1557))),NA()),NA())</ns0:f>
        <ns0:v/>
      </ns0:c>
      <ns0:c r="H1562">
        <ns0:f>IFERROR(IF(AND(AH!$E$4="Bloomberg",AH!$P$10=1,ISNUMBER($A1562),$A1562&lt;=AH!$P$17),AH!$P$7-1+MATCH($A1562,INDEX('AH History'!$A$1:$A$18046,AH!$P$7):INDEX('AH History'!$A$1:$A$18046,AH!$P$7+AH!$P$8-1),0),0),0)</ns0:f>
        <ns0:v/>
      </ns0:c>
      <ns0:c r="I1562">
        <ns0:f>IF($H1562=0,0,IFERROR(IF(AND(ABS($C1562-INDEX('AH History'!$B$1:$B$18046,$H1562))&lt;=MAX(0.005,ABS(INDEX('AH History'!$B$1:$B$18046,$H1562))*0.00005),ABS($D1562-INDEX('AH History'!$C$1:$C$18046,$H1562))&lt;=MAX(0.005,ABS(INDEX('AH History'!$C$1:$C$18046,$H1562))*0.00005),ABS($E1562-INDEX('AH History'!$D$1:$D$18046,$H1562))&lt;=0.00005,$F1562=INDEX('AH History'!$E$1:$E$18046,$H1562),$G1562=INDEX('AH History'!$F$1:$F$18046,$H1562)),1,-1),-1))</ns0:f>
        <ns0:v/>
      </ns0:c>
    </ns0:row>
    <ns0:row r="1563">
      <ns0:c r="A1563" s="215">
        <ns0:f>IF(OR(AH!$P$3=0,1558+1&gt;AH!$P$11,AND(AH!$E$4&lt;&gt;"Stored",AH!$P$10&lt;&gt;1)),"",IFERROR(IF(AND(AH!$P$21=1,1558+1=AH!$P$11),TODAY(),IF(AH!$P$10=1,INDEX('Live History'!$A$5:$A$3004,AH!$P$13+1558),INDEX('AH History'!$A$1:$A$18046,AH!$P$7+1558))),""))</ns0:f>
        <ns0:v/>
      </ns0:c>
      <ns0:c r="B1563" s="219">
        <ns0:f>IFERROR(IF(AND(AH!$P$9&lt;&gt;1,$C1563&gt;0,$D1563&gt;0,$E1563&gt;0,$F1563&gt;0,$G1563&gt;0,$F1563&lt;=$A1563,$G1563&lt;=$A1563,$A1563-$F1563&lt;=10,$A1563-$G1563&lt;=5),$D1563*$E1563/$C1563-1,NA()),NA())</ns0:f>
        <ns0:v/>
      </ns0:c>
      <ns0:c r="C1563">
        <ns0:f>IFERROR(IF(ISNUMBER($A1563),IF(AND(AH!$P$10=1,AH!$P$12=1,$A1563=TODAY()),AH!$P$19,IF(AH!$P$10=1,INDEX('Live History'!$B$5:$B$3004,AH!$P$13+1558),INDEX('AH History'!$B$1:$B$18046,AH!$P$7+1558))),NA()),NA())</ns0:f>
        <ns0:v/>
      </ns0:c>
      <ns0:c r="D1563">
        <ns0:f>IFERROR(IF(ISNUMBER($A1563),IF(AND(AH!$P$10=1,AH!$P$12=1,$A1563=TODAY()),AH!$P$18,IF(AH!$P$10=1,INDEX('Live History'!$E$5:$E$3004,MATCH($A1563,'Live History'!$D$5:$D$3004,1)),INDEX('AH History'!$C$1:$C$18046,AH!$P$7+1558))),NA()),NA())</ns0:f>
        <ns0:v/>
      </ns0:c>
      <ns0:c r="E1563">
        <ns0:f>IFERROR(IF(ISNUMBER($A1563),IF(AND(AH!$P$10=1,AH!$P$12=1,$A1563=TODAY()),AH!$P$20,IF(AH!$P$10=1,INDEX('Live History'!$H$5:$H$3004,MATCH($A1563,'Live History'!$G$5:$G$3004,1)),INDEX('AH History'!$D$1:$D$18046,AH!$P$7+1558))),NA()),NA())</ns0:f>
        <ns0:v/>
      </ns0:c>
      <ns0:c r="F1563">
        <ns0:f>IFERROR(IF(ISNUMBER($A1563),IF(AND(AH!$P$10=1,AH!$P$12=1,$A1563=TODAY()),IF(AND(AH!$P$10=1,AH!$P$12=1,$A1563=TODAY()),TODAY(),NA()),IF(AH!$P$10=1,INDEX('Live History'!$D$5:$D$3004,MATCH($A1563,'Live History'!$D$5:$D$3004,1)),INDEX('AH History'!$E$1:$E$18046,AH!$P$7+1558))),NA()),NA())</ns0:f>
        <ns0:v/>
      </ns0:c>
      <ns0:c r="G1563">
        <ns0:f>IFERROR(IF(ISNUMBER($A1563),IF(AND(AH!$P$10=1,AH!$P$12=1,$A1563=TODAY()),IF(AND(AH!$P$10=1,AH!$P$12=1,$A1563=TODAY()),TODAY(),NA()),IF(AH!$P$10=1,INDEX('Live History'!$G$5:$G$3004,MATCH($A1563,'Live History'!$G$5:$G$3004,1)),INDEX('AH History'!$F$1:$F$18046,AH!$P$7+1558))),NA()),NA())</ns0:f>
        <ns0:v/>
      </ns0:c>
      <ns0:c r="H1563">
        <ns0:f>IFERROR(IF(AND(AH!$E$4="Bloomberg",AH!$P$10=1,ISNUMBER($A1563),$A1563&lt;=AH!$P$17),AH!$P$7-1+MATCH($A1563,INDEX('AH History'!$A$1:$A$18046,AH!$P$7):INDEX('AH History'!$A$1:$A$18046,AH!$P$7+AH!$P$8-1),0),0),0)</ns0:f>
        <ns0:v/>
      </ns0:c>
      <ns0:c r="I1563">
        <ns0:f>IF($H1563=0,0,IFERROR(IF(AND(ABS($C1563-INDEX('AH History'!$B$1:$B$18046,$H1563))&lt;=MAX(0.005,ABS(INDEX('AH History'!$B$1:$B$18046,$H1563))*0.00005),ABS($D1563-INDEX('AH History'!$C$1:$C$18046,$H1563))&lt;=MAX(0.005,ABS(INDEX('AH History'!$C$1:$C$18046,$H1563))*0.00005),ABS($E1563-INDEX('AH History'!$D$1:$D$18046,$H1563))&lt;=0.00005,$F1563=INDEX('AH History'!$E$1:$E$18046,$H1563),$G1563=INDEX('AH History'!$F$1:$F$18046,$H1563)),1,-1),-1))</ns0:f>
        <ns0:v/>
      </ns0:c>
    </ns0:row>
    <ns0:row r="1564">
      <ns0:c r="A1564" s="215">
        <ns0:f>IF(OR(AH!$P$3=0,1559+1&gt;AH!$P$11,AND(AH!$E$4&lt;&gt;"Stored",AH!$P$10&lt;&gt;1)),"",IFERROR(IF(AND(AH!$P$21=1,1559+1=AH!$P$11),TODAY(),IF(AH!$P$10=1,INDEX('Live History'!$A$5:$A$3004,AH!$P$13+1559),INDEX('AH History'!$A$1:$A$18046,AH!$P$7+1559))),""))</ns0:f>
        <ns0:v/>
      </ns0:c>
      <ns0:c r="B1564" s="219">
        <ns0:f>IFERROR(IF(AND(AH!$P$9&lt;&gt;1,$C1564&gt;0,$D1564&gt;0,$E1564&gt;0,$F1564&gt;0,$G1564&gt;0,$F1564&lt;=$A1564,$G1564&lt;=$A1564,$A1564-$F1564&lt;=10,$A1564-$G1564&lt;=5),$D1564*$E1564/$C1564-1,NA()),NA())</ns0:f>
        <ns0:v/>
      </ns0:c>
      <ns0:c r="C1564">
        <ns0:f>IFERROR(IF(ISNUMBER($A1564),IF(AND(AH!$P$10=1,AH!$P$12=1,$A1564=TODAY()),AH!$P$19,IF(AH!$P$10=1,INDEX('Live History'!$B$5:$B$3004,AH!$P$13+1559),INDEX('AH History'!$B$1:$B$18046,AH!$P$7+1559))),NA()),NA())</ns0:f>
        <ns0:v/>
      </ns0:c>
      <ns0:c r="D1564">
        <ns0:f>IFERROR(IF(ISNUMBER($A1564),IF(AND(AH!$P$10=1,AH!$P$12=1,$A1564=TODAY()),AH!$P$18,IF(AH!$P$10=1,INDEX('Live History'!$E$5:$E$3004,MATCH($A1564,'Live History'!$D$5:$D$3004,1)),INDEX('AH History'!$C$1:$C$18046,AH!$P$7+1559))),NA()),NA())</ns0:f>
        <ns0:v/>
      </ns0:c>
      <ns0:c r="E1564">
        <ns0:f>IFERROR(IF(ISNUMBER($A1564),IF(AND(AH!$P$10=1,AH!$P$12=1,$A1564=TODAY()),AH!$P$20,IF(AH!$P$10=1,INDEX('Live History'!$H$5:$H$3004,MATCH($A1564,'Live History'!$G$5:$G$3004,1)),INDEX('AH History'!$D$1:$D$18046,AH!$P$7+1559))),NA()),NA())</ns0:f>
        <ns0:v/>
      </ns0:c>
      <ns0:c r="F1564">
        <ns0:f>IFERROR(IF(ISNUMBER($A1564),IF(AND(AH!$P$10=1,AH!$P$12=1,$A1564=TODAY()),IF(AND(AH!$P$10=1,AH!$P$12=1,$A1564=TODAY()),TODAY(),NA()),IF(AH!$P$10=1,INDEX('Live History'!$D$5:$D$3004,MATCH($A1564,'Live History'!$D$5:$D$3004,1)),INDEX('AH History'!$E$1:$E$18046,AH!$P$7+1559))),NA()),NA())</ns0:f>
        <ns0:v/>
      </ns0:c>
      <ns0:c r="G1564">
        <ns0:f>IFERROR(IF(ISNUMBER($A1564),IF(AND(AH!$P$10=1,AH!$P$12=1,$A1564=TODAY()),IF(AND(AH!$P$10=1,AH!$P$12=1,$A1564=TODAY()),TODAY(),NA()),IF(AH!$P$10=1,INDEX('Live History'!$G$5:$G$3004,MATCH($A1564,'Live History'!$G$5:$G$3004,1)),INDEX('AH History'!$F$1:$F$18046,AH!$P$7+1559))),NA()),NA())</ns0:f>
        <ns0:v/>
      </ns0:c>
      <ns0:c r="H1564">
        <ns0:f>IFERROR(IF(AND(AH!$E$4="Bloomberg",AH!$P$10=1,ISNUMBER($A1564),$A1564&lt;=AH!$P$17),AH!$P$7-1+MATCH($A1564,INDEX('AH History'!$A$1:$A$18046,AH!$P$7):INDEX('AH History'!$A$1:$A$18046,AH!$P$7+AH!$P$8-1),0),0),0)</ns0:f>
        <ns0:v/>
      </ns0:c>
      <ns0:c r="I1564">
        <ns0:f>IF($H1564=0,0,IFERROR(IF(AND(ABS($C1564-INDEX('AH History'!$B$1:$B$18046,$H1564))&lt;=MAX(0.005,ABS(INDEX('AH History'!$B$1:$B$18046,$H1564))*0.00005),ABS($D1564-INDEX('AH History'!$C$1:$C$18046,$H1564))&lt;=MAX(0.005,ABS(INDEX('AH History'!$C$1:$C$18046,$H1564))*0.00005),ABS($E1564-INDEX('AH History'!$D$1:$D$18046,$H1564))&lt;=0.00005,$F1564=INDEX('AH History'!$E$1:$E$18046,$H1564),$G1564=INDEX('AH History'!$F$1:$F$18046,$H1564)),1,-1),-1))</ns0:f>
        <ns0:v/>
      </ns0:c>
    </ns0:row>
    <ns0:row r="1565">
      <ns0:c r="A1565" s="215">
        <ns0:f>IF(OR(AH!$P$3=0,1560+1&gt;AH!$P$11,AND(AH!$E$4&lt;&gt;"Stored",AH!$P$10&lt;&gt;1)),"",IFERROR(IF(AND(AH!$P$21=1,1560+1=AH!$P$11),TODAY(),IF(AH!$P$10=1,INDEX('Live History'!$A$5:$A$3004,AH!$P$13+1560),INDEX('AH History'!$A$1:$A$18046,AH!$P$7+1560))),""))</ns0:f>
        <ns0:v/>
      </ns0:c>
      <ns0:c r="B1565" s="219">
        <ns0:f>IFERROR(IF(AND(AH!$P$9&lt;&gt;1,$C1565&gt;0,$D1565&gt;0,$E1565&gt;0,$F1565&gt;0,$G1565&gt;0,$F1565&lt;=$A1565,$G1565&lt;=$A1565,$A1565-$F1565&lt;=10,$A1565-$G1565&lt;=5),$D1565*$E1565/$C1565-1,NA()),NA())</ns0:f>
        <ns0:v/>
      </ns0:c>
      <ns0:c r="C1565">
        <ns0:f>IFERROR(IF(ISNUMBER($A1565),IF(AND(AH!$P$10=1,AH!$P$12=1,$A1565=TODAY()),AH!$P$19,IF(AH!$P$10=1,INDEX('Live History'!$B$5:$B$3004,AH!$P$13+1560),INDEX('AH History'!$B$1:$B$18046,AH!$P$7+1560))),NA()),NA())</ns0:f>
        <ns0:v/>
      </ns0:c>
      <ns0:c r="D1565">
        <ns0:f>IFERROR(IF(ISNUMBER($A1565),IF(AND(AH!$P$10=1,AH!$P$12=1,$A1565=TODAY()),AH!$P$18,IF(AH!$P$10=1,INDEX('Live History'!$E$5:$E$3004,MATCH($A1565,'Live History'!$D$5:$D$3004,1)),INDEX('AH History'!$C$1:$C$18046,AH!$P$7+1560))),NA()),NA())</ns0:f>
        <ns0:v/>
      </ns0:c>
      <ns0:c r="E1565">
        <ns0:f>IFERROR(IF(ISNUMBER($A1565),IF(AND(AH!$P$10=1,AH!$P$12=1,$A1565=TODAY()),AH!$P$20,IF(AH!$P$10=1,INDEX('Live History'!$H$5:$H$3004,MATCH($A1565,'Live History'!$G$5:$G$3004,1)),INDEX('AH History'!$D$1:$D$18046,AH!$P$7+1560))),NA()),NA())</ns0:f>
        <ns0:v/>
      </ns0:c>
      <ns0:c r="F1565">
        <ns0:f>IFERROR(IF(ISNUMBER($A1565),IF(AND(AH!$P$10=1,AH!$P$12=1,$A1565=TODAY()),IF(AND(AH!$P$10=1,AH!$P$12=1,$A1565=TODAY()),TODAY(),NA()),IF(AH!$P$10=1,INDEX('Live History'!$D$5:$D$3004,MATCH($A1565,'Live History'!$D$5:$D$3004,1)),INDEX('AH History'!$E$1:$E$18046,AH!$P$7+1560))),NA()),NA())</ns0:f>
        <ns0:v/>
      </ns0:c>
      <ns0:c r="G1565">
        <ns0:f>IFERROR(IF(ISNUMBER($A1565),IF(AND(AH!$P$10=1,AH!$P$12=1,$A1565=TODAY()),IF(AND(AH!$P$10=1,AH!$P$12=1,$A1565=TODAY()),TODAY(),NA()),IF(AH!$P$10=1,INDEX('Live History'!$G$5:$G$3004,MATCH($A1565,'Live History'!$G$5:$G$3004,1)),INDEX('AH History'!$F$1:$F$18046,AH!$P$7+1560))),NA()),NA())</ns0:f>
        <ns0:v/>
      </ns0:c>
      <ns0:c r="H1565">
        <ns0:f>IFERROR(IF(AND(AH!$E$4="Bloomberg",AH!$P$10=1,ISNUMBER($A1565),$A1565&lt;=AH!$P$17),AH!$P$7-1+MATCH($A1565,INDEX('AH History'!$A$1:$A$18046,AH!$P$7):INDEX('AH History'!$A$1:$A$18046,AH!$P$7+AH!$P$8-1),0),0),0)</ns0:f>
        <ns0:v/>
      </ns0:c>
      <ns0:c r="I1565">
        <ns0:f>IF($H1565=0,0,IFERROR(IF(AND(ABS($C1565-INDEX('AH History'!$B$1:$B$18046,$H1565))&lt;=MAX(0.005,ABS(INDEX('AH History'!$B$1:$B$18046,$H1565))*0.00005),ABS($D1565-INDEX('AH History'!$C$1:$C$18046,$H1565))&lt;=MAX(0.005,ABS(INDEX('AH History'!$C$1:$C$18046,$H1565))*0.00005),ABS($E1565-INDEX('AH History'!$D$1:$D$18046,$H1565))&lt;=0.00005,$F1565=INDEX('AH History'!$E$1:$E$18046,$H1565),$G1565=INDEX('AH History'!$F$1:$F$18046,$H1565)),1,-1),-1))</ns0:f>
        <ns0:v/>
      </ns0:c>
    </ns0:row>
    <ns0:row r="1566">
      <ns0:c r="A1566" s="215">
        <ns0:f>IF(OR(AH!$P$3=0,1561+1&gt;AH!$P$11,AND(AH!$E$4&lt;&gt;"Stored",AH!$P$10&lt;&gt;1)),"",IFERROR(IF(AND(AH!$P$21=1,1561+1=AH!$P$11),TODAY(),IF(AH!$P$10=1,INDEX('Live History'!$A$5:$A$3004,AH!$P$13+1561),INDEX('AH History'!$A$1:$A$18046,AH!$P$7+1561))),""))</ns0:f>
        <ns0:v/>
      </ns0:c>
      <ns0:c r="B1566" s="219">
        <ns0:f>IFERROR(IF(AND(AH!$P$9&lt;&gt;1,$C1566&gt;0,$D1566&gt;0,$E1566&gt;0,$F1566&gt;0,$G1566&gt;0,$F1566&lt;=$A1566,$G1566&lt;=$A1566,$A1566-$F1566&lt;=10,$A1566-$G1566&lt;=5),$D1566*$E1566/$C1566-1,NA()),NA())</ns0:f>
        <ns0:v/>
      </ns0:c>
      <ns0:c r="C1566">
        <ns0:f>IFERROR(IF(ISNUMBER($A1566),IF(AND(AH!$P$10=1,AH!$P$12=1,$A1566=TODAY()),AH!$P$19,IF(AH!$P$10=1,INDEX('Live History'!$B$5:$B$3004,AH!$P$13+1561),INDEX('AH History'!$B$1:$B$18046,AH!$P$7+1561))),NA()),NA())</ns0:f>
        <ns0:v/>
      </ns0:c>
      <ns0:c r="D1566">
        <ns0:f>IFERROR(IF(ISNUMBER($A1566),IF(AND(AH!$P$10=1,AH!$P$12=1,$A1566=TODAY()),AH!$P$18,IF(AH!$P$10=1,INDEX('Live History'!$E$5:$E$3004,MATCH($A1566,'Live History'!$D$5:$D$3004,1)),INDEX('AH History'!$C$1:$C$18046,AH!$P$7+1561))),NA()),NA())</ns0:f>
        <ns0:v/>
      </ns0:c>
      <ns0:c r="E1566">
        <ns0:f>IFERROR(IF(ISNUMBER($A1566),IF(AND(AH!$P$10=1,AH!$P$12=1,$A1566=TODAY()),AH!$P$20,IF(AH!$P$10=1,INDEX('Live History'!$H$5:$H$3004,MATCH($A1566,'Live History'!$G$5:$G$3004,1)),INDEX('AH History'!$D$1:$D$18046,AH!$P$7+1561))),NA()),NA())</ns0:f>
        <ns0:v/>
      </ns0:c>
      <ns0:c r="F1566">
        <ns0:f>IFERROR(IF(ISNUMBER($A1566),IF(AND(AH!$P$10=1,AH!$P$12=1,$A1566=TODAY()),IF(AND(AH!$P$10=1,AH!$P$12=1,$A1566=TODAY()),TODAY(),NA()),IF(AH!$P$10=1,INDEX('Live History'!$D$5:$D$3004,MATCH($A1566,'Live History'!$D$5:$D$3004,1)),INDEX('AH History'!$E$1:$E$18046,AH!$P$7+1561))),NA()),NA())</ns0:f>
        <ns0:v/>
      </ns0:c>
      <ns0:c r="G1566">
        <ns0:f>IFERROR(IF(ISNUMBER($A1566),IF(AND(AH!$P$10=1,AH!$P$12=1,$A1566=TODAY()),IF(AND(AH!$P$10=1,AH!$P$12=1,$A1566=TODAY()),TODAY(),NA()),IF(AH!$P$10=1,INDEX('Live History'!$G$5:$G$3004,MATCH($A1566,'Live History'!$G$5:$G$3004,1)),INDEX('AH History'!$F$1:$F$18046,AH!$P$7+1561))),NA()),NA())</ns0:f>
        <ns0:v/>
      </ns0:c>
      <ns0:c r="H1566">
        <ns0:f>IFERROR(IF(AND(AH!$E$4="Bloomberg",AH!$P$10=1,ISNUMBER($A1566),$A1566&lt;=AH!$P$17),AH!$P$7-1+MATCH($A1566,INDEX('AH History'!$A$1:$A$18046,AH!$P$7):INDEX('AH History'!$A$1:$A$18046,AH!$P$7+AH!$P$8-1),0),0),0)</ns0:f>
        <ns0:v/>
      </ns0:c>
      <ns0:c r="I1566">
        <ns0:f>IF($H1566=0,0,IFERROR(IF(AND(ABS($C1566-INDEX('AH History'!$B$1:$B$18046,$H1566))&lt;=MAX(0.005,ABS(INDEX('AH History'!$B$1:$B$18046,$H1566))*0.00005),ABS($D1566-INDEX('AH History'!$C$1:$C$18046,$H1566))&lt;=MAX(0.005,ABS(INDEX('AH History'!$C$1:$C$18046,$H1566))*0.00005),ABS($E1566-INDEX('AH History'!$D$1:$D$18046,$H1566))&lt;=0.00005,$F1566=INDEX('AH History'!$E$1:$E$18046,$H1566),$G1566=INDEX('AH History'!$F$1:$F$18046,$H1566)),1,-1),-1))</ns0:f>
        <ns0:v/>
      </ns0:c>
    </ns0:row>
    <ns0:row r="1567">
      <ns0:c r="A1567" s="215">
        <ns0:f>IF(OR(AH!$P$3=0,1562+1&gt;AH!$P$11,AND(AH!$E$4&lt;&gt;"Stored",AH!$P$10&lt;&gt;1)),"",IFERROR(IF(AND(AH!$P$21=1,1562+1=AH!$P$11),TODAY(),IF(AH!$P$10=1,INDEX('Live History'!$A$5:$A$3004,AH!$P$13+1562),INDEX('AH History'!$A$1:$A$18046,AH!$P$7+1562))),""))</ns0:f>
        <ns0:v/>
      </ns0:c>
      <ns0:c r="B1567" s="219">
        <ns0:f>IFERROR(IF(AND(AH!$P$9&lt;&gt;1,$C1567&gt;0,$D1567&gt;0,$E1567&gt;0,$F1567&gt;0,$G1567&gt;0,$F1567&lt;=$A1567,$G1567&lt;=$A1567,$A1567-$F1567&lt;=10,$A1567-$G1567&lt;=5),$D1567*$E1567/$C1567-1,NA()),NA())</ns0:f>
        <ns0:v/>
      </ns0:c>
      <ns0:c r="C1567">
        <ns0:f>IFERROR(IF(ISNUMBER($A1567),IF(AND(AH!$P$10=1,AH!$P$12=1,$A1567=TODAY()),AH!$P$19,IF(AH!$P$10=1,INDEX('Live History'!$B$5:$B$3004,AH!$P$13+1562),INDEX('AH History'!$B$1:$B$18046,AH!$P$7+1562))),NA()),NA())</ns0:f>
        <ns0:v/>
      </ns0:c>
      <ns0:c r="D1567">
        <ns0:f>IFERROR(IF(ISNUMBER($A1567),IF(AND(AH!$P$10=1,AH!$P$12=1,$A1567=TODAY()),AH!$P$18,IF(AH!$P$10=1,INDEX('Live History'!$E$5:$E$3004,MATCH($A1567,'Live History'!$D$5:$D$3004,1)),INDEX('AH History'!$C$1:$C$18046,AH!$P$7+1562))),NA()),NA())</ns0:f>
        <ns0:v/>
      </ns0:c>
      <ns0:c r="E1567">
        <ns0:f>IFERROR(IF(ISNUMBER($A1567),IF(AND(AH!$P$10=1,AH!$P$12=1,$A1567=TODAY()),AH!$P$20,IF(AH!$P$10=1,INDEX('Live History'!$H$5:$H$3004,MATCH($A1567,'Live History'!$G$5:$G$3004,1)),INDEX('AH History'!$D$1:$D$18046,AH!$P$7+1562))),NA()),NA())</ns0:f>
        <ns0:v/>
      </ns0:c>
      <ns0:c r="F1567">
        <ns0:f>IFERROR(IF(ISNUMBER($A1567),IF(AND(AH!$P$10=1,AH!$P$12=1,$A1567=TODAY()),IF(AND(AH!$P$10=1,AH!$P$12=1,$A1567=TODAY()),TODAY(),NA()),IF(AH!$P$10=1,INDEX('Live History'!$D$5:$D$3004,MATCH($A1567,'Live History'!$D$5:$D$3004,1)),INDEX('AH History'!$E$1:$E$18046,AH!$P$7+1562))),NA()),NA())</ns0:f>
        <ns0:v/>
      </ns0:c>
      <ns0:c r="G1567">
        <ns0:f>IFERROR(IF(ISNUMBER($A1567),IF(AND(AH!$P$10=1,AH!$P$12=1,$A1567=TODAY()),IF(AND(AH!$P$10=1,AH!$P$12=1,$A1567=TODAY()),TODAY(),NA()),IF(AH!$P$10=1,INDEX('Live History'!$G$5:$G$3004,MATCH($A1567,'Live History'!$G$5:$G$3004,1)),INDEX('AH History'!$F$1:$F$18046,AH!$P$7+1562))),NA()),NA())</ns0:f>
        <ns0:v/>
      </ns0:c>
      <ns0:c r="H1567">
        <ns0:f>IFERROR(IF(AND(AH!$E$4="Bloomberg",AH!$P$10=1,ISNUMBER($A1567),$A1567&lt;=AH!$P$17),AH!$P$7-1+MATCH($A1567,INDEX('AH History'!$A$1:$A$18046,AH!$P$7):INDEX('AH History'!$A$1:$A$18046,AH!$P$7+AH!$P$8-1),0),0),0)</ns0:f>
        <ns0:v/>
      </ns0:c>
      <ns0:c r="I1567">
        <ns0:f>IF($H1567=0,0,IFERROR(IF(AND(ABS($C1567-INDEX('AH History'!$B$1:$B$18046,$H1567))&lt;=MAX(0.005,ABS(INDEX('AH History'!$B$1:$B$18046,$H1567))*0.00005),ABS($D1567-INDEX('AH History'!$C$1:$C$18046,$H1567))&lt;=MAX(0.005,ABS(INDEX('AH History'!$C$1:$C$18046,$H1567))*0.00005),ABS($E1567-INDEX('AH History'!$D$1:$D$18046,$H1567))&lt;=0.00005,$F1567=INDEX('AH History'!$E$1:$E$18046,$H1567),$G1567=INDEX('AH History'!$F$1:$F$18046,$H1567)),1,-1),-1))</ns0:f>
        <ns0:v/>
      </ns0:c>
    </ns0:row>
    <ns0:row r="1568">
      <ns0:c r="A1568" s="215">
        <ns0:f>IF(OR(AH!$P$3=0,1563+1&gt;AH!$P$11,AND(AH!$E$4&lt;&gt;"Stored",AH!$P$10&lt;&gt;1)),"",IFERROR(IF(AND(AH!$P$21=1,1563+1=AH!$P$11),TODAY(),IF(AH!$P$10=1,INDEX('Live History'!$A$5:$A$3004,AH!$P$13+1563),INDEX('AH History'!$A$1:$A$18046,AH!$P$7+1563))),""))</ns0:f>
        <ns0:v/>
      </ns0:c>
      <ns0:c r="B1568" s="219">
        <ns0:f>IFERROR(IF(AND(AH!$P$9&lt;&gt;1,$C1568&gt;0,$D1568&gt;0,$E1568&gt;0,$F1568&gt;0,$G1568&gt;0,$F1568&lt;=$A1568,$G1568&lt;=$A1568,$A1568-$F1568&lt;=10,$A1568-$G1568&lt;=5),$D1568*$E1568/$C1568-1,NA()),NA())</ns0:f>
        <ns0:v/>
      </ns0:c>
      <ns0:c r="C1568">
        <ns0:f>IFERROR(IF(ISNUMBER($A1568),IF(AND(AH!$P$10=1,AH!$P$12=1,$A1568=TODAY()),AH!$P$19,IF(AH!$P$10=1,INDEX('Live History'!$B$5:$B$3004,AH!$P$13+1563),INDEX('AH History'!$B$1:$B$18046,AH!$P$7+1563))),NA()),NA())</ns0:f>
        <ns0:v/>
      </ns0:c>
      <ns0:c r="D1568">
        <ns0:f>IFERROR(IF(ISNUMBER($A1568),IF(AND(AH!$P$10=1,AH!$P$12=1,$A1568=TODAY()),AH!$P$18,IF(AH!$P$10=1,INDEX('Live History'!$E$5:$E$3004,MATCH($A1568,'Live History'!$D$5:$D$3004,1)),INDEX('AH History'!$C$1:$C$18046,AH!$P$7+1563))),NA()),NA())</ns0:f>
        <ns0:v/>
      </ns0:c>
      <ns0:c r="E1568">
        <ns0:f>IFERROR(IF(ISNUMBER($A1568),IF(AND(AH!$P$10=1,AH!$P$12=1,$A1568=TODAY()),AH!$P$20,IF(AH!$P$10=1,INDEX('Live History'!$H$5:$H$3004,MATCH($A1568,'Live History'!$G$5:$G$3004,1)),INDEX('AH History'!$D$1:$D$18046,AH!$P$7+1563))),NA()),NA())</ns0:f>
        <ns0:v/>
      </ns0:c>
      <ns0:c r="F1568">
        <ns0:f>IFERROR(IF(ISNUMBER($A1568),IF(AND(AH!$P$10=1,AH!$P$12=1,$A1568=TODAY()),IF(AND(AH!$P$10=1,AH!$P$12=1,$A1568=TODAY()),TODAY(),NA()),IF(AH!$P$10=1,INDEX('Live History'!$D$5:$D$3004,MATCH($A1568,'Live History'!$D$5:$D$3004,1)),INDEX('AH History'!$E$1:$E$18046,AH!$P$7+1563))),NA()),NA())</ns0:f>
        <ns0:v/>
      </ns0:c>
      <ns0:c r="G1568">
        <ns0:f>IFERROR(IF(ISNUMBER($A1568),IF(AND(AH!$P$10=1,AH!$P$12=1,$A1568=TODAY()),IF(AND(AH!$P$10=1,AH!$P$12=1,$A1568=TODAY()),TODAY(),NA()),IF(AH!$P$10=1,INDEX('Live History'!$G$5:$G$3004,MATCH($A1568,'Live History'!$G$5:$G$3004,1)),INDEX('AH History'!$F$1:$F$18046,AH!$P$7+1563))),NA()),NA())</ns0:f>
        <ns0:v/>
      </ns0:c>
      <ns0:c r="H1568">
        <ns0:f>IFERROR(IF(AND(AH!$E$4="Bloomberg",AH!$P$10=1,ISNUMBER($A1568),$A1568&lt;=AH!$P$17),AH!$P$7-1+MATCH($A1568,INDEX('AH History'!$A$1:$A$18046,AH!$P$7):INDEX('AH History'!$A$1:$A$18046,AH!$P$7+AH!$P$8-1),0),0),0)</ns0:f>
        <ns0:v/>
      </ns0:c>
      <ns0:c r="I1568">
        <ns0:f>IF($H1568=0,0,IFERROR(IF(AND(ABS($C1568-INDEX('AH History'!$B$1:$B$18046,$H1568))&lt;=MAX(0.005,ABS(INDEX('AH History'!$B$1:$B$18046,$H1568))*0.00005),ABS($D1568-INDEX('AH History'!$C$1:$C$18046,$H1568))&lt;=MAX(0.005,ABS(INDEX('AH History'!$C$1:$C$18046,$H1568))*0.00005),ABS($E1568-INDEX('AH History'!$D$1:$D$18046,$H1568))&lt;=0.00005,$F1568=INDEX('AH History'!$E$1:$E$18046,$H1568),$G1568=INDEX('AH History'!$F$1:$F$18046,$H1568)),1,-1),-1))</ns0:f>
        <ns0:v/>
      </ns0:c>
    </ns0:row>
    <ns0:row r="1569">
      <ns0:c r="A1569" s="215">
        <ns0:f>IF(OR(AH!$P$3=0,1564+1&gt;AH!$P$11,AND(AH!$E$4&lt;&gt;"Stored",AH!$P$10&lt;&gt;1)),"",IFERROR(IF(AND(AH!$P$21=1,1564+1=AH!$P$11),TODAY(),IF(AH!$P$10=1,INDEX('Live History'!$A$5:$A$3004,AH!$P$13+1564),INDEX('AH History'!$A$1:$A$18046,AH!$P$7+1564))),""))</ns0:f>
        <ns0:v/>
      </ns0:c>
      <ns0:c r="B1569" s="219">
        <ns0:f>IFERROR(IF(AND(AH!$P$9&lt;&gt;1,$C1569&gt;0,$D1569&gt;0,$E1569&gt;0,$F1569&gt;0,$G1569&gt;0,$F1569&lt;=$A1569,$G1569&lt;=$A1569,$A1569-$F1569&lt;=10,$A1569-$G1569&lt;=5),$D1569*$E1569/$C1569-1,NA()),NA())</ns0:f>
        <ns0:v/>
      </ns0:c>
      <ns0:c r="C1569">
        <ns0:f>IFERROR(IF(ISNUMBER($A1569),IF(AND(AH!$P$10=1,AH!$P$12=1,$A1569=TODAY()),AH!$P$19,IF(AH!$P$10=1,INDEX('Live History'!$B$5:$B$3004,AH!$P$13+1564),INDEX('AH History'!$B$1:$B$18046,AH!$P$7+1564))),NA()),NA())</ns0:f>
        <ns0:v/>
      </ns0:c>
      <ns0:c r="D1569">
        <ns0:f>IFERROR(IF(ISNUMBER($A1569),IF(AND(AH!$P$10=1,AH!$P$12=1,$A1569=TODAY()),AH!$P$18,IF(AH!$P$10=1,INDEX('Live History'!$E$5:$E$3004,MATCH($A1569,'Live History'!$D$5:$D$3004,1)),INDEX('AH History'!$C$1:$C$18046,AH!$P$7+1564))),NA()),NA())</ns0:f>
        <ns0:v/>
      </ns0:c>
      <ns0:c r="E1569">
        <ns0:f>IFERROR(IF(ISNUMBER($A1569),IF(AND(AH!$P$10=1,AH!$P$12=1,$A1569=TODAY()),AH!$P$20,IF(AH!$P$10=1,INDEX('Live History'!$H$5:$H$3004,MATCH($A1569,'Live History'!$G$5:$G$3004,1)),INDEX('AH History'!$D$1:$D$18046,AH!$P$7+1564))),NA()),NA())</ns0:f>
        <ns0:v/>
      </ns0:c>
      <ns0:c r="F1569">
        <ns0:f>IFERROR(IF(ISNUMBER($A1569),IF(AND(AH!$P$10=1,AH!$P$12=1,$A1569=TODAY()),IF(AND(AH!$P$10=1,AH!$P$12=1,$A1569=TODAY()),TODAY(),NA()),IF(AH!$P$10=1,INDEX('Live History'!$D$5:$D$3004,MATCH($A1569,'Live History'!$D$5:$D$3004,1)),INDEX('AH History'!$E$1:$E$18046,AH!$P$7+1564))),NA()),NA())</ns0:f>
        <ns0:v/>
      </ns0:c>
      <ns0:c r="G1569">
        <ns0:f>IFERROR(IF(ISNUMBER($A1569),IF(AND(AH!$P$10=1,AH!$P$12=1,$A1569=TODAY()),IF(AND(AH!$P$10=1,AH!$P$12=1,$A1569=TODAY()),TODAY(),NA()),IF(AH!$P$10=1,INDEX('Live History'!$G$5:$G$3004,MATCH($A1569,'Live History'!$G$5:$G$3004,1)),INDEX('AH History'!$F$1:$F$18046,AH!$P$7+1564))),NA()),NA())</ns0:f>
        <ns0:v/>
      </ns0:c>
      <ns0:c r="H1569">
        <ns0:f>IFERROR(IF(AND(AH!$E$4="Bloomberg",AH!$P$10=1,ISNUMBER($A1569),$A1569&lt;=AH!$P$17),AH!$P$7-1+MATCH($A1569,INDEX('AH History'!$A$1:$A$18046,AH!$P$7):INDEX('AH History'!$A$1:$A$18046,AH!$P$7+AH!$P$8-1),0),0),0)</ns0:f>
        <ns0:v/>
      </ns0:c>
      <ns0:c r="I1569">
        <ns0:f>IF($H1569=0,0,IFERROR(IF(AND(ABS($C1569-INDEX('AH History'!$B$1:$B$18046,$H1569))&lt;=MAX(0.005,ABS(INDEX('AH History'!$B$1:$B$18046,$H1569))*0.00005),ABS($D1569-INDEX('AH History'!$C$1:$C$18046,$H1569))&lt;=MAX(0.005,ABS(INDEX('AH History'!$C$1:$C$18046,$H1569))*0.00005),ABS($E1569-INDEX('AH History'!$D$1:$D$18046,$H1569))&lt;=0.00005,$F1569=INDEX('AH History'!$E$1:$E$18046,$H1569),$G1569=INDEX('AH History'!$F$1:$F$18046,$H1569)),1,-1),-1))</ns0:f>
        <ns0:v/>
      </ns0:c>
    </ns0:row>
    <ns0:row r="1570">
      <ns0:c r="A1570" s="215">
        <ns0:f>IF(OR(AH!$P$3=0,1565+1&gt;AH!$P$11,AND(AH!$E$4&lt;&gt;"Stored",AH!$P$10&lt;&gt;1)),"",IFERROR(IF(AND(AH!$P$21=1,1565+1=AH!$P$11),TODAY(),IF(AH!$P$10=1,INDEX('Live History'!$A$5:$A$3004,AH!$P$13+1565),INDEX('AH History'!$A$1:$A$18046,AH!$P$7+1565))),""))</ns0:f>
        <ns0:v/>
      </ns0:c>
      <ns0:c r="B1570" s="219">
        <ns0:f>IFERROR(IF(AND(AH!$P$9&lt;&gt;1,$C1570&gt;0,$D1570&gt;0,$E1570&gt;0,$F1570&gt;0,$G1570&gt;0,$F1570&lt;=$A1570,$G1570&lt;=$A1570,$A1570-$F1570&lt;=10,$A1570-$G1570&lt;=5),$D1570*$E1570/$C1570-1,NA()),NA())</ns0:f>
        <ns0:v/>
      </ns0:c>
      <ns0:c r="C1570">
        <ns0:f>IFERROR(IF(ISNUMBER($A1570),IF(AND(AH!$P$10=1,AH!$P$12=1,$A1570=TODAY()),AH!$P$19,IF(AH!$P$10=1,INDEX('Live History'!$B$5:$B$3004,AH!$P$13+1565),INDEX('AH History'!$B$1:$B$18046,AH!$P$7+1565))),NA()),NA())</ns0:f>
        <ns0:v/>
      </ns0:c>
      <ns0:c r="D1570">
        <ns0:f>IFERROR(IF(ISNUMBER($A1570),IF(AND(AH!$P$10=1,AH!$P$12=1,$A1570=TODAY()),AH!$P$18,IF(AH!$P$10=1,INDEX('Live History'!$E$5:$E$3004,MATCH($A1570,'Live History'!$D$5:$D$3004,1)),INDEX('AH History'!$C$1:$C$18046,AH!$P$7+1565))),NA()),NA())</ns0:f>
        <ns0:v/>
      </ns0:c>
      <ns0:c r="E1570">
        <ns0:f>IFERROR(IF(ISNUMBER($A1570),IF(AND(AH!$P$10=1,AH!$P$12=1,$A1570=TODAY()),AH!$P$20,IF(AH!$P$10=1,INDEX('Live History'!$H$5:$H$3004,MATCH($A1570,'Live History'!$G$5:$G$3004,1)),INDEX('AH History'!$D$1:$D$18046,AH!$P$7+1565))),NA()),NA())</ns0:f>
        <ns0:v/>
      </ns0:c>
      <ns0:c r="F1570">
        <ns0:f>IFERROR(IF(ISNUMBER($A1570),IF(AND(AH!$P$10=1,AH!$P$12=1,$A1570=TODAY()),IF(AND(AH!$P$10=1,AH!$P$12=1,$A1570=TODAY()),TODAY(),NA()),IF(AH!$P$10=1,INDEX('Live History'!$D$5:$D$3004,MATCH($A1570,'Live History'!$D$5:$D$3004,1)),INDEX('AH History'!$E$1:$E$18046,AH!$P$7+1565))),NA()),NA())</ns0:f>
        <ns0:v/>
      </ns0:c>
      <ns0:c r="G1570">
        <ns0:f>IFERROR(IF(ISNUMBER($A1570),IF(AND(AH!$P$10=1,AH!$P$12=1,$A1570=TODAY()),IF(AND(AH!$P$10=1,AH!$P$12=1,$A1570=TODAY()),TODAY(),NA()),IF(AH!$P$10=1,INDEX('Live History'!$G$5:$G$3004,MATCH($A1570,'Live History'!$G$5:$G$3004,1)),INDEX('AH History'!$F$1:$F$18046,AH!$P$7+1565))),NA()),NA())</ns0:f>
        <ns0:v/>
      </ns0:c>
      <ns0:c r="H1570">
        <ns0:f>IFERROR(IF(AND(AH!$E$4="Bloomberg",AH!$P$10=1,ISNUMBER($A1570),$A1570&lt;=AH!$P$17),AH!$P$7-1+MATCH($A1570,INDEX('AH History'!$A$1:$A$18046,AH!$P$7):INDEX('AH History'!$A$1:$A$18046,AH!$P$7+AH!$P$8-1),0),0),0)</ns0:f>
        <ns0:v/>
      </ns0:c>
      <ns0:c r="I1570">
        <ns0:f>IF($H1570=0,0,IFERROR(IF(AND(ABS($C1570-INDEX('AH History'!$B$1:$B$18046,$H1570))&lt;=MAX(0.005,ABS(INDEX('AH History'!$B$1:$B$18046,$H1570))*0.00005),ABS($D1570-INDEX('AH History'!$C$1:$C$18046,$H1570))&lt;=MAX(0.005,ABS(INDEX('AH History'!$C$1:$C$18046,$H1570))*0.00005),ABS($E1570-INDEX('AH History'!$D$1:$D$18046,$H1570))&lt;=0.00005,$F1570=INDEX('AH History'!$E$1:$E$18046,$H1570),$G1570=INDEX('AH History'!$F$1:$F$18046,$H1570)),1,-1),-1))</ns0:f>
        <ns0:v/>
      </ns0:c>
    </ns0:row>
    <ns0:row r="1571">
      <ns0:c r="A1571" s="215">
        <ns0:f>IF(OR(AH!$P$3=0,1566+1&gt;AH!$P$11,AND(AH!$E$4&lt;&gt;"Stored",AH!$P$10&lt;&gt;1)),"",IFERROR(IF(AND(AH!$P$21=1,1566+1=AH!$P$11),TODAY(),IF(AH!$P$10=1,INDEX('Live History'!$A$5:$A$3004,AH!$P$13+1566),INDEX('AH History'!$A$1:$A$18046,AH!$P$7+1566))),""))</ns0:f>
        <ns0:v/>
      </ns0:c>
      <ns0:c r="B1571" s="219">
        <ns0:f>IFERROR(IF(AND(AH!$P$9&lt;&gt;1,$C1571&gt;0,$D1571&gt;0,$E1571&gt;0,$F1571&gt;0,$G1571&gt;0,$F1571&lt;=$A1571,$G1571&lt;=$A1571,$A1571-$F1571&lt;=10,$A1571-$G1571&lt;=5),$D1571*$E1571/$C1571-1,NA()),NA())</ns0:f>
        <ns0:v/>
      </ns0:c>
      <ns0:c r="C1571">
        <ns0:f>IFERROR(IF(ISNUMBER($A1571),IF(AND(AH!$P$10=1,AH!$P$12=1,$A1571=TODAY()),AH!$P$19,IF(AH!$P$10=1,INDEX('Live History'!$B$5:$B$3004,AH!$P$13+1566),INDEX('AH History'!$B$1:$B$18046,AH!$P$7+1566))),NA()),NA())</ns0:f>
        <ns0:v/>
      </ns0:c>
      <ns0:c r="D1571">
        <ns0:f>IFERROR(IF(ISNUMBER($A1571),IF(AND(AH!$P$10=1,AH!$P$12=1,$A1571=TODAY()),AH!$P$18,IF(AH!$P$10=1,INDEX('Live History'!$E$5:$E$3004,MATCH($A1571,'Live History'!$D$5:$D$3004,1)),INDEX('AH History'!$C$1:$C$18046,AH!$P$7+1566))),NA()),NA())</ns0:f>
        <ns0:v/>
      </ns0:c>
      <ns0:c r="E1571">
        <ns0:f>IFERROR(IF(ISNUMBER($A1571),IF(AND(AH!$P$10=1,AH!$P$12=1,$A1571=TODAY()),AH!$P$20,IF(AH!$P$10=1,INDEX('Live History'!$H$5:$H$3004,MATCH($A1571,'Live History'!$G$5:$G$3004,1)),INDEX('AH History'!$D$1:$D$18046,AH!$P$7+1566))),NA()),NA())</ns0:f>
        <ns0:v/>
      </ns0:c>
      <ns0:c r="F1571">
        <ns0:f>IFERROR(IF(ISNUMBER($A1571),IF(AND(AH!$P$10=1,AH!$P$12=1,$A1571=TODAY()),IF(AND(AH!$P$10=1,AH!$P$12=1,$A1571=TODAY()),TODAY(),NA()),IF(AH!$P$10=1,INDEX('Live History'!$D$5:$D$3004,MATCH($A1571,'Live History'!$D$5:$D$3004,1)),INDEX('AH History'!$E$1:$E$18046,AH!$P$7+1566))),NA()),NA())</ns0:f>
        <ns0:v/>
      </ns0:c>
      <ns0:c r="G1571">
        <ns0:f>IFERROR(IF(ISNUMBER($A1571),IF(AND(AH!$P$10=1,AH!$P$12=1,$A1571=TODAY()),IF(AND(AH!$P$10=1,AH!$P$12=1,$A1571=TODAY()),TODAY(),NA()),IF(AH!$P$10=1,INDEX('Live History'!$G$5:$G$3004,MATCH($A1571,'Live History'!$G$5:$G$3004,1)),INDEX('AH History'!$F$1:$F$18046,AH!$P$7+1566))),NA()),NA())</ns0:f>
        <ns0:v/>
      </ns0:c>
      <ns0:c r="H1571">
        <ns0:f>IFERROR(IF(AND(AH!$E$4="Bloomberg",AH!$P$10=1,ISNUMBER($A1571),$A1571&lt;=AH!$P$17),AH!$P$7-1+MATCH($A1571,INDEX('AH History'!$A$1:$A$18046,AH!$P$7):INDEX('AH History'!$A$1:$A$18046,AH!$P$7+AH!$P$8-1),0),0),0)</ns0:f>
        <ns0:v/>
      </ns0:c>
      <ns0:c r="I1571">
        <ns0:f>IF($H1571=0,0,IFERROR(IF(AND(ABS($C1571-INDEX('AH History'!$B$1:$B$18046,$H1571))&lt;=MAX(0.005,ABS(INDEX('AH History'!$B$1:$B$18046,$H1571))*0.00005),ABS($D1571-INDEX('AH History'!$C$1:$C$18046,$H1571))&lt;=MAX(0.005,ABS(INDEX('AH History'!$C$1:$C$18046,$H1571))*0.00005),ABS($E1571-INDEX('AH History'!$D$1:$D$18046,$H1571))&lt;=0.00005,$F1571=INDEX('AH History'!$E$1:$E$18046,$H1571),$G1571=INDEX('AH History'!$F$1:$F$18046,$H1571)),1,-1),-1))</ns0:f>
        <ns0:v/>
      </ns0:c>
    </ns0:row>
    <ns0:row r="1572">
      <ns0:c r="A1572" s="215">
        <ns0:f>IF(OR(AH!$P$3=0,1567+1&gt;AH!$P$11,AND(AH!$E$4&lt;&gt;"Stored",AH!$P$10&lt;&gt;1)),"",IFERROR(IF(AND(AH!$P$21=1,1567+1=AH!$P$11),TODAY(),IF(AH!$P$10=1,INDEX('Live History'!$A$5:$A$3004,AH!$P$13+1567),INDEX('AH History'!$A$1:$A$18046,AH!$P$7+1567))),""))</ns0:f>
        <ns0:v/>
      </ns0:c>
      <ns0:c r="B1572" s="219">
        <ns0:f>IFERROR(IF(AND(AH!$P$9&lt;&gt;1,$C1572&gt;0,$D1572&gt;0,$E1572&gt;0,$F1572&gt;0,$G1572&gt;0,$F1572&lt;=$A1572,$G1572&lt;=$A1572,$A1572-$F1572&lt;=10,$A1572-$G1572&lt;=5),$D1572*$E1572/$C1572-1,NA()),NA())</ns0:f>
        <ns0:v/>
      </ns0:c>
      <ns0:c r="C1572">
        <ns0:f>IFERROR(IF(ISNUMBER($A1572),IF(AND(AH!$P$10=1,AH!$P$12=1,$A1572=TODAY()),AH!$P$19,IF(AH!$P$10=1,INDEX('Live History'!$B$5:$B$3004,AH!$P$13+1567),INDEX('AH History'!$B$1:$B$18046,AH!$P$7+1567))),NA()),NA())</ns0:f>
        <ns0:v/>
      </ns0:c>
      <ns0:c r="D1572">
        <ns0:f>IFERROR(IF(ISNUMBER($A1572),IF(AND(AH!$P$10=1,AH!$P$12=1,$A1572=TODAY()),AH!$P$18,IF(AH!$P$10=1,INDEX('Live History'!$E$5:$E$3004,MATCH($A1572,'Live History'!$D$5:$D$3004,1)),INDEX('AH History'!$C$1:$C$18046,AH!$P$7+1567))),NA()),NA())</ns0:f>
        <ns0:v/>
      </ns0:c>
      <ns0:c r="E1572">
        <ns0:f>IFERROR(IF(ISNUMBER($A1572),IF(AND(AH!$P$10=1,AH!$P$12=1,$A1572=TODAY()),AH!$P$20,IF(AH!$P$10=1,INDEX('Live History'!$H$5:$H$3004,MATCH($A1572,'Live History'!$G$5:$G$3004,1)),INDEX('AH History'!$D$1:$D$18046,AH!$P$7+1567))),NA()),NA())</ns0:f>
        <ns0:v/>
      </ns0:c>
      <ns0:c r="F1572">
        <ns0:f>IFERROR(IF(ISNUMBER($A1572),IF(AND(AH!$P$10=1,AH!$P$12=1,$A1572=TODAY()),IF(AND(AH!$P$10=1,AH!$P$12=1,$A1572=TODAY()),TODAY(),NA()),IF(AH!$P$10=1,INDEX('Live History'!$D$5:$D$3004,MATCH($A1572,'Live History'!$D$5:$D$3004,1)),INDEX('AH History'!$E$1:$E$18046,AH!$P$7+1567))),NA()),NA())</ns0:f>
        <ns0:v/>
      </ns0:c>
      <ns0:c r="G1572">
        <ns0:f>IFERROR(IF(ISNUMBER($A1572),IF(AND(AH!$P$10=1,AH!$P$12=1,$A1572=TODAY()),IF(AND(AH!$P$10=1,AH!$P$12=1,$A1572=TODAY()),TODAY(),NA()),IF(AH!$P$10=1,INDEX('Live History'!$G$5:$G$3004,MATCH($A1572,'Live History'!$G$5:$G$3004,1)),INDEX('AH History'!$F$1:$F$18046,AH!$P$7+1567))),NA()),NA())</ns0:f>
        <ns0:v/>
      </ns0:c>
      <ns0:c r="H1572">
        <ns0:f>IFERROR(IF(AND(AH!$E$4="Bloomberg",AH!$P$10=1,ISNUMBER($A1572),$A1572&lt;=AH!$P$17),AH!$P$7-1+MATCH($A1572,INDEX('AH History'!$A$1:$A$18046,AH!$P$7):INDEX('AH History'!$A$1:$A$18046,AH!$P$7+AH!$P$8-1),0),0),0)</ns0:f>
        <ns0:v/>
      </ns0:c>
      <ns0:c r="I1572">
        <ns0:f>IF($H1572=0,0,IFERROR(IF(AND(ABS($C1572-INDEX('AH History'!$B$1:$B$18046,$H1572))&lt;=MAX(0.005,ABS(INDEX('AH History'!$B$1:$B$18046,$H1572))*0.00005),ABS($D1572-INDEX('AH History'!$C$1:$C$18046,$H1572))&lt;=MAX(0.005,ABS(INDEX('AH History'!$C$1:$C$18046,$H1572))*0.00005),ABS($E1572-INDEX('AH History'!$D$1:$D$18046,$H1572))&lt;=0.00005,$F1572=INDEX('AH History'!$E$1:$E$18046,$H1572),$G1572=INDEX('AH History'!$F$1:$F$18046,$H1572)),1,-1),-1))</ns0:f>
        <ns0:v/>
      </ns0:c>
    </ns0:row>
    <ns0:row r="1573">
      <ns0:c r="A1573" s="215">
        <ns0:f>IF(OR(AH!$P$3=0,1568+1&gt;AH!$P$11,AND(AH!$E$4&lt;&gt;"Stored",AH!$P$10&lt;&gt;1)),"",IFERROR(IF(AND(AH!$P$21=1,1568+1=AH!$P$11),TODAY(),IF(AH!$P$10=1,INDEX('Live History'!$A$5:$A$3004,AH!$P$13+1568),INDEX('AH History'!$A$1:$A$18046,AH!$P$7+1568))),""))</ns0:f>
        <ns0:v/>
      </ns0:c>
      <ns0:c r="B1573" s="219">
        <ns0:f>IFERROR(IF(AND(AH!$P$9&lt;&gt;1,$C1573&gt;0,$D1573&gt;0,$E1573&gt;0,$F1573&gt;0,$G1573&gt;0,$F1573&lt;=$A1573,$G1573&lt;=$A1573,$A1573-$F1573&lt;=10,$A1573-$G1573&lt;=5),$D1573*$E1573/$C1573-1,NA()),NA())</ns0:f>
        <ns0:v/>
      </ns0:c>
      <ns0:c r="C1573">
        <ns0:f>IFERROR(IF(ISNUMBER($A1573),IF(AND(AH!$P$10=1,AH!$P$12=1,$A1573=TODAY()),AH!$P$19,IF(AH!$P$10=1,INDEX('Live History'!$B$5:$B$3004,AH!$P$13+1568),INDEX('AH History'!$B$1:$B$18046,AH!$P$7+1568))),NA()),NA())</ns0:f>
        <ns0:v/>
      </ns0:c>
      <ns0:c r="D1573">
        <ns0:f>IFERROR(IF(ISNUMBER($A1573),IF(AND(AH!$P$10=1,AH!$P$12=1,$A1573=TODAY()),AH!$P$18,IF(AH!$P$10=1,INDEX('Live History'!$E$5:$E$3004,MATCH($A1573,'Live History'!$D$5:$D$3004,1)),INDEX('AH History'!$C$1:$C$18046,AH!$P$7+1568))),NA()),NA())</ns0:f>
        <ns0:v/>
      </ns0:c>
      <ns0:c r="E1573">
        <ns0:f>IFERROR(IF(ISNUMBER($A1573),IF(AND(AH!$P$10=1,AH!$P$12=1,$A1573=TODAY()),AH!$P$20,IF(AH!$P$10=1,INDEX('Live History'!$H$5:$H$3004,MATCH($A1573,'Live History'!$G$5:$G$3004,1)),INDEX('AH History'!$D$1:$D$18046,AH!$P$7+1568))),NA()),NA())</ns0:f>
        <ns0:v/>
      </ns0:c>
      <ns0:c r="F1573">
        <ns0:f>IFERROR(IF(ISNUMBER($A1573),IF(AND(AH!$P$10=1,AH!$P$12=1,$A1573=TODAY()),IF(AND(AH!$P$10=1,AH!$P$12=1,$A1573=TODAY()),TODAY(),NA()),IF(AH!$P$10=1,INDEX('Live History'!$D$5:$D$3004,MATCH($A1573,'Live History'!$D$5:$D$3004,1)),INDEX('AH History'!$E$1:$E$18046,AH!$P$7+1568))),NA()),NA())</ns0:f>
        <ns0:v/>
      </ns0:c>
      <ns0:c r="G1573">
        <ns0:f>IFERROR(IF(ISNUMBER($A1573),IF(AND(AH!$P$10=1,AH!$P$12=1,$A1573=TODAY()),IF(AND(AH!$P$10=1,AH!$P$12=1,$A1573=TODAY()),TODAY(),NA()),IF(AH!$P$10=1,INDEX('Live History'!$G$5:$G$3004,MATCH($A1573,'Live History'!$G$5:$G$3004,1)),INDEX('AH History'!$F$1:$F$18046,AH!$P$7+1568))),NA()),NA())</ns0:f>
        <ns0:v/>
      </ns0:c>
      <ns0:c r="H1573">
        <ns0:f>IFERROR(IF(AND(AH!$E$4="Bloomberg",AH!$P$10=1,ISNUMBER($A1573),$A1573&lt;=AH!$P$17),AH!$P$7-1+MATCH($A1573,INDEX('AH History'!$A$1:$A$18046,AH!$P$7):INDEX('AH History'!$A$1:$A$18046,AH!$P$7+AH!$P$8-1),0),0),0)</ns0:f>
        <ns0:v/>
      </ns0:c>
      <ns0:c r="I1573">
        <ns0:f>IF($H1573=0,0,IFERROR(IF(AND(ABS($C1573-INDEX('AH History'!$B$1:$B$18046,$H1573))&lt;=MAX(0.005,ABS(INDEX('AH History'!$B$1:$B$18046,$H1573))*0.00005),ABS($D1573-INDEX('AH History'!$C$1:$C$18046,$H1573))&lt;=MAX(0.005,ABS(INDEX('AH History'!$C$1:$C$18046,$H1573))*0.00005),ABS($E1573-INDEX('AH History'!$D$1:$D$18046,$H1573))&lt;=0.00005,$F1573=INDEX('AH History'!$E$1:$E$18046,$H1573),$G1573=INDEX('AH History'!$F$1:$F$18046,$H1573)),1,-1),-1))</ns0:f>
        <ns0:v/>
      </ns0:c>
    </ns0:row>
    <ns0:row r="1574">
      <ns0:c r="A1574" s="215">
        <ns0:f>IF(OR(AH!$P$3=0,1569+1&gt;AH!$P$11,AND(AH!$E$4&lt;&gt;"Stored",AH!$P$10&lt;&gt;1)),"",IFERROR(IF(AND(AH!$P$21=1,1569+1=AH!$P$11),TODAY(),IF(AH!$P$10=1,INDEX('Live History'!$A$5:$A$3004,AH!$P$13+1569),INDEX('AH History'!$A$1:$A$18046,AH!$P$7+1569))),""))</ns0:f>
        <ns0:v/>
      </ns0:c>
      <ns0:c r="B1574" s="219">
        <ns0:f>IFERROR(IF(AND(AH!$P$9&lt;&gt;1,$C1574&gt;0,$D1574&gt;0,$E1574&gt;0,$F1574&gt;0,$G1574&gt;0,$F1574&lt;=$A1574,$G1574&lt;=$A1574,$A1574-$F1574&lt;=10,$A1574-$G1574&lt;=5),$D1574*$E1574/$C1574-1,NA()),NA())</ns0:f>
        <ns0:v/>
      </ns0:c>
      <ns0:c r="C1574">
        <ns0:f>IFERROR(IF(ISNUMBER($A1574),IF(AND(AH!$P$10=1,AH!$P$12=1,$A1574=TODAY()),AH!$P$19,IF(AH!$P$10=1,INDEX('Live History'!$B$5:$B$3004,AH!$P$13+1569),INDEX('AH History'!$B$1:$B$18046,AH!$P$7+1569))),NA()),NA())</ns0:f>
        <ns0:v/>
      </ns0:c>
      <ns0:c r="D1574">
        <ns0:f>IFERROR(IF(ISNUMBER($A1574),IF(AND(AH!$P$10=1,AH!$P$12=1,$A1574=TODAY()),AH!$P$18,IF(AH!$P$10=1,INDEX('Live History'!$E$5:$E$3004,MATCH($A1574,'Live History'!$D$5:$D$3004,1)),INDEX('AH History'!$C$1:$C$18046,AH!$P$7+1569))),NA()),NA())</ns0:f>
        <ns0:v/>
      </ns0:c>
      <ns0:c r="E1574">
        <ns0:f>IFERROR(IF(ISNUMBER($A1574),IF(AND(AH!$P$10=1,AH!$P$12=1,$A1574=TODAY()),AH!$P$20,IF(AH!$P$10=1,INDEX('Live History'!$H$5:$H$3004,MATCH($A1574,'Live History'!$G$5:$G$3004,1)),INDEX('AH History'!$D$1:$D$18046,AH!$P$7+1569))),NA()),NA())</ns0:f>
        <ns0:v/>
      </ns0:c>
      <ns0:c r="F1574">
        <ns0:f>IFERROR(IF(ISNUMBER($A1574),IF(AND(AH!$P$10=1,AH!$P$12=1,$A1574=TODAY()),IF(AND(AH!$P$10=1,AH!$P$12=1,$A1574=TODAY()),TODAY(),NA()),IF(AH!$P$10=1,INDEX('Live History'!$D$5:$D$3004,MATCH($A1574,'Live History'!$D$5:$D$3004,1)),INDEX('AH History'!$E$1:$E$18046,AH!$P$7+1569))),NA()),NA())</ns0:f>
        <ns0:v/>
      </ns0:c>
      <ns0:c r="G1574">
        <ns0:f>IFERROR(IF(ISNUMBER($A1574),IF(AND(AH!$P$10=1,AH!$P$12=1,$A1574=TODAY()),IF(AND(AH!$P$10=1,AH!$P$12=1,$A1574=TODAY()),TODAY(),NA()),IF(AH!$P$10=1,INDEX('Live History'!$G$5:$G$3004,MATCH($A1574,'Live History'!$G$5:$G$3004,1)),INDEX('AH History'!$F$1:$F$18046,AH!$P$7+1569))),NA()),NA())</ns0:f>
        <ns0:v/>
      </ns0:c>
      <ns0:c r="H1574">
        <ns0:f>IFERROR(IF(AND(AH!$E$4="Bloomberg",AH!$P$10=1,ISNUMBER($A1574),$A1574&lt;=AH!$P$17),AH!$P$7-1+MATCH($A1574,INDEX('AH History'!$A$1:$A$18046,AH!$P$7):INDEX('AH History'!$A$1:$A$18046,AH!$P$7+AH!$P$8-1),0),0),0)</ns0:f>
        <ns0:v/>
      </ns0:c>
      <ns0:c r="I1574">
        <ns0:f>IF($H1574=0,0,IFERROR(IF(AND(ABS($C1574-INDEX('AH History'!$B$1:$B$18046,$H1574))&lt;=MAX(0.005,ABS(INDEX('AH History'!$B$1:$B$18046,$H1574))*0.00005),ABS($D1574-INDEX('AH History'!$C$1:$C$18046,$H1574))&lt;=MAX(0.005,ABS(INDEX('AH History'!$C$1:$C$18046,$H1574))*0.00005),ABS($E1574-INDEX('AH History'!$D$1:$D$18046,$H1574))&lt;=0.00005,$F1574=INDEX('AH History'!$E$1:$E$18046,$H1574),$G1574=INDEX('AH History'!$F$1:$F$18046,$H1574)),1,-1),-1))</ns0:f>
        <ns0:v/>
      </ns0:c>
    </ns0:row>
    <ns0:row r="1575">
      <ns0:c r="A1575" s="215">
        <ns0:f>IF(OR(AH!$P$3=0,1570+1&gt;AH!$P$11,AND(AH!$E$4&lt;&gt;"Stored",AH!$P$10&lt;&gt;1)),"",IFERROR(IF(AND(AH!$P$21=1,1570+1=AH!$P$11),TODAY(),IF(AH!$P$10=1,INDEX('Live History'!$A$5:$A$3004,AH!$P$13+1570),INDEX('AH History'!$A$1:$A$18046,AH!$P$7+1570))),""))</ns0:f>
        <ns0:v/>
      </ns0:c>
      <ns0:c r="B1575" s="219">
        <ns0:f>IFERROR(IF(AND(AH!$P$9&lt;&gt;1,$C1575&gt;0,$D1575&gt;0,$E1575&gt;0,$F1575&gt;0,$G1575&gt;0,$F1575&lt;=$A1575,$G1575&lt;=$A1575,$A1575-$F1575&lt;=10,$A1575-$G1575&lt;=5),$D1575*$E1575/$C1575-1,NA()),NA())</ns0:f>
        <ns0:v/>
      </ns0:c>
      <ns0:c r="C1575">
        <ns0:f>IFERROR(IF(ISNUMBER($A1575),IF(AND(AH!$P$10=1,AH!$P$12=1,$A1575=TODAY()),AH!$P$19,IF(AH!$P$10=1,INDEX('Live History'!$B$5:$B$3004,AH!$P$13+1570),INDEX('AH History'!$B$1:$B$18046,AH!$P$7+1570))),NA()),NA())</ns0:f>
        <ns0:v/>
      </ns0:c>
      <ns0:c r="D1575">
        <ns0:f>IFERROR(IF(ISNUMBER($A1575),IF(AND(AH!$P$10=1,AH!$P$12=1,$A1575=TODAY()),AH!$P$18,IF(AH!$P$10=1,INDEX('Live History'!$E$5:$E$3004,MATCH($A1575,'Live History'!$D$5:$D$3004,1)),INDEX('AH History'!$C$1:$C$18046,AH!$P$7+1570))),NA()),NA())</ns0:f>
        <ns0:v/>
      </ns0:c>
      <ns0:c r="E1575">
        <ns0:f>IFERROR(IF(ISNUMBER($A1575),IF(AND(AH!$P$10=1,AH!$P$12=1,$A1575=TODAY()),AH!$P$20,IF(AH!$P$10=1,INDEX('Live History'!$H$5:$H$3004,MATCH($A1575,'Live History'!$G$5:$G$3004,1)),INDEX('AH History'!$D$1:$D$18046,AH!$P$7+1570))),NA()),NA())</ns0:f>
        <ns0:v/>
      </ns0:c>
      <ns0:c r="F1575">
        <ns0:f>IFERROR(IF(ISNUMBER($A1575),IF(AND(AH!$P$10=1,AH!$P$12=1,$A1575=TODAY()),IF(AND(AH!$P$10=1,AH!$P$12=1,$A1575=TODAY()),TODAY(),NA()),IF(AH!$P$10=1,INDEX('Live History'!$D$5:$D$3004,MATCH($A1575,'Live History'!$D$5:$D$3004,1)),INDEX('AH History'!$E$1:$E$18046,AH!$P$7+1570))),NA()),NA())</ns0:f>
        <ns0:v/>
      </ns0:c>
      <ns0:c r="G1575">
        <ns0:f>IFERROR(IF(ISNUMBER($A1575),IF(AND(AH!$P$10=1,AH!$P$12=1,$A1575=TODAY()),IF(AND(AH!$P$10=1,AH!$P$12=1,$A1575=TODAY()),TODAY(),NA()),IF(AH!$P$10=1,INDEX('Live History'!$G$5:$G$3004,MATCH($A1575,'Live History'!$G$5:$G$3004,1)),INDEX('AH History'!$F$1:$F$18046,AH!$P$7+1570))),NA()),NA())</ns0:f>
        <ns0:v/>
      </ns0:c>
      <ns0:c r="H1575">
        <ns0:f>IFERROR(IF(AND(AH!$E$4="Bloomberg",AH!$P$10=1,ISNUMBER($A1575),$A1575&lt;=AH!$P$17),AH!$P$7-1+MATCH($A1575,INDEX('AH History'!$A$1:$A$18046,AH!$P$7):INDEX('AH History'!$A$1:$A$18046,AH!$P$7+AH!$P$8-1),0),0),0)</ns0:f>
        <ns0:v/>
      </ns0:c>
      <ns0:c r="I1575">
        <ns0:f>IF($H1575=0,0,IFERROR(IF(AND(ABS($C1575-INDEX('AH History'!$B$1:$B$18046,$H1575))&lt;=MAX(0.005,ABS(INDEX('AH History'!$B$1:$B$18046,$H1575))*0.00005),ABS($D1575-INDEX('AH History'!$C$1:$C$18046,$H1575))&lt;=MAX(0.005,ABS(INDEX('AH History'!$C$1:$C$18046,$H1575))*0.00005),ABS($E1575-INDEX('AH History'!$D$1:$D$18046,$H1575))&lt;=0.00005,$F1575=INDEX('AH History'!$E$1:$E$18046,$H1575),$G1575=INDEX('AH History'!$F$1:$F$18046,$H1575)),1,-1),-1))</ns0:f>
        <ns0:v/>
      </ns0:c>
    </ns0:row>
    <ns0:row r="1576">
      <ns0:c r="A1576" s="215">
        <ns0:f>IF(OR(AH!$P$3=0,1571+1&gt;AH!$P$11,AND(AH!$E$4&lt;&gt;"Stored",AH!$P$10&lt;&gt;1)),"",IFERROR(IF(AND(AH!$P$21=1,1571+1=AH!$P$11),TODAY(),IF(AH!$P$10=1,INDEX('Live History'!$A$5:$A$3004,AH!$P$13+1571),INDEX('AH History'!$A$1:$A$18046,AH!$P$7+1571))),""))</ns0:f>
        <ns0:v/>
      </ns0:c>
      <ns0:c r="B1576" s="219">
        <ns0:f>IFERROR(IF(AND(AH!$P$9&lt;&gt;1,$C1576&gt;0,$D1576&gt;0,$E1576&gt;0,$F1576&gt;0,$G1576&gt;0,$F1576&lt;=$A1576,$G1576&lt;=$A1576,$A1576-$F1576&lt;=10,$A1576-$G1576&lt;=5),$D1576*$E1576/$C1576-1,NA()),NA())</ns0:f>
        <ns0:v/>
      </ns0:c>
      <ns0:c r="C1576">
        <ns0:f>IFERROR(IF(ISNUMBER($A1576),IF(AND(AH!$P$10=1,AH!$P$12=1,$A1576=TODAY()),AH!$P$19,IF(AH!$P$10=1,INDEX('Live History'!$B$5:$B$3004,AH!$P$13+1571),INDEX('AH History'!$B$1:$B$18046,AH!$P$7+1571))),NA()),NA())</ns0:f>
        <ns0:v/>
      </ns0:c>
      <ns0:c r="D1576">
        <ns0:f>IFERROR(IF(ISNUMBER($A1576),IF(AND(AH!$P$10=1,AH!$P$12=1,$A1576=TODAY()),AH!$P$18,IF(AH!$P$10=1,INDEX('Live History'!$E$5:$E$3004,MATCH($A1576,'Live History'!$D$5:$D$3004,1)),INDEX('AH History'!$C$1:$C$18046,AH!$P$7+1571))),NA()),NA())</ns0:f>
        <ns0:v/>
      </ns0:c>
      <ns0:c r="E1576">
        <ns0:f>IFERROR(IF(ISNUMBER($A1576),IF(AND(AH!$P$10=1,AH!$P$12=1,$A1576=TODAY()),AH!$P$20,IF(AH!$P$10=1,INDEX('Live History'!$H$5:$H$3004,MATCH($A1576,'Live History'!$G$5:$G$3004,1)),INDEX('AH History'!$D$1:$D$18046,AH!$P$7+1571))),NA()),NA())</ns0:f>
        <ns0:v/>
      </ns0:c>
      <ns0:c r="F1576">
        <ns0:f>IFERROR(IF(ISNUMBER($A1576),IF(AND(AH!$P$10=1,AH!$P$12=1,$A1576=TODAY()),IF(AND(AH!$P$10=1,AH!$P$12=1,$A1576=TODAY()),TODAY(),NA()),IF(AH!$P$10=1,INDEX('Live History'!$D$5:$D$3004,MATCH($A1576,'Live History'!$D$5:$D$3004,1)),INDEX('AH History'!$E$1:$E$18046,AH!$P$7+1571))),NA()),NA())</ns0:f>
        <ns0:v/>
      </ns0:c>
      <ns0:c r="G1576">
        <ns0:f>IFERROR(IF(ISNUMBER($A1576),IF(AND(AH!$P$10=1,AH!$P$12=1,$A1576=TODAY()),IF(AND(AH!$P$10=1,AH!$P$12=1,$A1576=TODAY()),TODAY(),NA()),IF(AH!$P$10=1,INDEX('Live History'!$G$5:$G$3004,MATCH($A1576,'Live History'!$G$5:$G$3004,1)),INDEX('AH History'!$F$1:$F$18046,AH!$P$7+1571))),NA()),NA())</ns0:f>
        <ns0:v/>
      </ns0:c>
      <ns0:c r="H1576">
        <ns0:f>IFERROR(IF(AND(AH!$E$4="Bloomberg",AH!$P$10=1,ISNUMBER($A1576),$A1576&lt;=AH!$P$17),AH!$P$7-1+MATCH($A1576,INDEX('AH History'!$A$1:$A$18046,AH!$P$7):INDEX('AH History'!$A$1:$A$18046,AH!$P$7+AH!$P$8-1),0),0),0)</ns0:f>
        <ns0:v/>
      </ns0:c>
      <ns0:c r="I1576">
        <ns0:f>IF($H1576=0,0,IFERROR(IF(AND(ABS($C1576-INDEX('AH History'!$B$1:$B$18046,$H1576))&lt;=MAX(0.005,ABS(INDEX('AH History'!$B$1:$B$18046,$H1576))*0.00005),ABS($D1576-INDEX('AH History'!$C$1:$C$18046,$H1576))&lt;=MAX(0.005,ABS(INDEX('AH History'!$C$1:$C$18046,$H1576))*0.00005),ABS($E1576-INDEX('AH History'!$D$1:$D$18046,$H1576))&lt;=0.00005,$F1576=INDEX('AH History'!$E$1:$E$18046,$H1576),$G1576=INDEX('AH History'!$F$1:$F$18046,$H1576)),1,-1),-1))</ns0:f>
        <ns0:v/>
      </ns0:c>
    </ns0:row>
    <ns0:row r="1577">
      <ns0:c r="A1577" s="215">
        <ns0:f>IF(OR(AH!$P$3=0,1572+1&gt;AH!$P$11,AND(AH!$E$4&lt;&gt;"Stored",AH!$P$10&lt;&gt;1)),"",IFERROR(IF(AND(AH!$P$21=1,1572+1=AH!$P$11),TODAY(),IF(AH!$P$10=1,INDEX('Live History'!$A$5:$A$3004,AH!$P$13+1572),INDEX('AH History'!$A$1:$A$18046,AH!$P$7+1572))),""))</ns0:f>
        <ns0:v/>
      </ns0:c>
      <ns0:c r="B1577" s="219">
        <ns0:f>IFERROR(IF(AND(AH!$P$9&lt;&gt;1,$C1577&gt;0,$D1577&gt;0,$E1577&gt;0,$F1577&gt;0,$G1577&gt;0,$F1577&lt;=$A1577,$G1577&lt;=$A1577,$A1577-$F1577&lt;=10,$A1577-$G1577&lt;=5),$D1577*$E1577/$C1577-1,NA()),NA())</ns0:f>
        <ns0:v/>
      </ns0:c>
      <ns0:c r="C1577">
        <ns0:f>IFERROR(IF(ISNUMBER($A1577),IF(AND(AH!$P$10=1,AH!$P$12=1,$A1577=TODAY()),AH!$P$19,IF(AH!$P$10=1,INDEX('Live History'!$B$5:$B$3004,AH!$P$13+1572),INDEX('AH History'!$B$1:$B$18046,AH!$P$7+1572))),NA()),NA())</ns0:f>
        <ns0:v/>
      </ns0:c>
      <ns0:c r="D1577">
        <ns0:f>IFERROR(IF(ISNUMBER($A1577),IF(AND(AH!$P$10=1,AH!$P$12=1,$A1577=TODAY()),AH!$P$18,IF(AH!$P$10=1,INDEX('Live History'!$E$5:$E$3004,MATCH($A1577,'Live History'!$D$5:$D$3004,1)),INDEX('AH History'!$C$1:$C$18046,AH!$P$7+1572))),NA()),NA())</ns0:f>
        <ns0:v/>
      </ns0:c>
      <ns0:c r="E1577">
        <ns0:f>IFERROR(IF(ISNUMBER($A1577),IF(AND(AH!$P$10=1,AH!$P$12=1,$A1577=TODAY()),AH!$P$20,IF(AH!$P$10=1,INDEX('Live History'!$H$5:$H$3004,MATCH($A1577,'Live History'!$G$5:$G$3004,1)),INDEX('AH History'!$D$1:$D$18046,AH!$P$7+1572))),NA()),NA())</ns0:f>
        <ns0:v/>
      </ns0:c>
      <ns0:c r="F1577">
        <ns0:f>IFERROR(IF(ISNUMBER($A1577),IF(AND(AH!$P$10=1,AH!$P$12=1,$A1577=TODAY()),IF(AND(AH!$P$10=1,AH!$P$12=1,$A1577=TODAY()),TODAY(),NA()),IF(AH!$P$10=1,INDEX('Live History'!$D$5:$D$3004,MATCH($A1577,'Live History'!$D$5:$D$3004,1)),INDEX('AH History'!$E$1:$E$18046,AH!$P$7+1572))),NA()),NA())</ns0:f>
        <ns0:v/>
      </ns0:c>
      <ns0:c r="G1577">
        <ns0:f>IFERROR(IF(ISNUMBER($A1577),IF(AND(AH!$P$10=1,AH!$P$12=1,$A1577=TODAY()),IF(AND(AH!$P$10=1,AH!$P$12=1,$A1577=TODAY()),TODAY(),NA()),IF(AH!$P$10=1,INDEX('Live History'!$G$5:$G$3004,MATCH($A1577,'Live History'!$G$5:$G$3004,1)),INDEX('AH History'!$F$1:$F$18046,AH!$P$7+1572))),NA()),NA())</ns0:f>
        <ns0:v/>
      </ns0:c>
      <ns0:c r="H1577">
        <ns0:f>IFERROR(IF(AND(AH!$E$4="Bloomberg",AH!$P$10=1,ISNUMBER($A1577),$A1577&lt;=AH!$P$17),AH!$P$7-1+MATCH($A1577,INDEX('AH History'!$A$1:$A$18046,AH!$P$7):INDEX('AH History'!$A$1:$A$18046,AH!$P$7+AH!$P$8-1),0),0),0)</ns0:f>
        <ns0:v/>
      </ns0:c>
      <ns0:c r="I1577">
        <ns0:f>IF($H1577=0,0,IFERROR(IF(AND(ABS($C1577-INDEX('AH History'!$B$1:$B$18046,$H1577))&lt;=MAX(0.005,ABS(INDEX('AH History'!$B$1:$B$18046,$H1577))*0.00005),ABS($D1577-INDEX('AH History'!$C$1:$C$18046,$H1577))&lt;=MAX(0.005,ABS(INDEX('AH History'!$C$1:$C$18046,$H1577))*0.00005),ABS($E1577-INDEX('AH History'!$D$1:$D$18046,$H1577))&lt;=0.00005,$F1577=INDEX('AH History'!$E$1:$E$18046,$H1577),$G1577=INDEX('AH History'!$F$1:$F$18046,$H1577)),1,-1),-1))</ns0:f>
        <ns0:v/>
      </ns0:c>
    </ns0:row>
    <ns0:row r="1578">
      <ns0:c r="A1578" s="215">
        <ns0:f>IF(OR(AH!$P$3=0,1573+1&gt;AH!$P$11,AND(AH!$E$4&lt;&gt;"Stored",AH!$P$10&lt;&gt;1)),"",IFERROR(IF(AND(AH!$P$21=1,1573+1=AH!$P$11),TODAY(),IF(AH!$P$10=1,INDEX('Live History'!$A$5:$A$3004,AH!$P$13+1573),INDEX('AH History'!$A$1:$A$18046,AH!$P$7+1573))),""))</ns0:f>
        <ns0:v/>
      </ns0:c>
      <ns0:c r="B1578" s="219">
        <ns0:f>IFERROR(IF(AND(AH!$P$9&lt;&gt;1,$C1578&gt;0,$D1578&gt;0,$E1578&gt;0,$F1578&gt;0,$G1578&gt;0,$F1578&lt;=$A1578,$G1578&lt;=$A1578,$A1578-$F1578&lt;=10,$A1578-$G1578&lt;=5),$D1578*$E1578/$C1578-1,NA()),NA())</ns0:f>
        <ns0:v/>
      </ns0:c>
      <ns0:c r="C1578">
        <ns0:f>IFERROR(IF(ISNUMBER($A1578),IF(AND(AH!$P$10=1,AH!$P$12=1,$A1578=TODAY()),AH!$P$19,IF(AH!$P$10=1,INDEX('Live History'!$B$5:$B$3004,AH!$P$13+1573),INDEX('AH History'!$B$1:$B$18046,AH!$P$7+1573))),NA()),NA())</ns0:f>
        <ns0:v/>
      </ns0:c>
      <ns0:c r="D1578">
        <ns0:f>IFERROR(IF(ISNUMBER($A1578),IF(AND(AH!$P$10=1,AH!$P$12=1,$A1578=TODAY()),AH!$P$18,IF(AH!$P$10=1,INDEX('Live History'!$E$5:$E$3004,MATCH($A1578,'Live History'!$D$5:$D$3004,1)),INDEX('AH History'!$C$1:$C$18046,AH!$P$7+1573))),NA()),NA())</ns0:f>
        <ns0:v/>
      </ns0:c>
      <ns0:c r="E1578">
        <ns0:f>IFERROR(IF(ISNUMBER($A1578),IF(AND(AH!$P$10=1,AH!$P$12=1,$A1578=TODAY()),AH!$P$20,IF(AH!$P$10=1,INDEX('Live History'!$H$5:$H$3004,MATCH($A1578,'Live History'!$G$5:$G$3004,1)),INDEX('AH History'!$D$1:$D$18046,AH!$P$7+1573))),NA()),NA())</ns0:f>
        <ns0:v/>
      </ns0:c>
      <ns0:c r="F1578">
        <ns0:f>IFERROR(IF(ISNUMBER($A1578),IF(AND(AH!$P$10=1,AH!$P$12=1,$A1578=TODAY()),IF(AND(AH!$P$10=1,AH!$P$12=1,$A1578=TODAY()),TODAY(),NA()),IF(AH!$P$10=1,INDEX('Live History'!$D$5:$D$3004,MATCH($A1578,'Live History'!$D$5:$D$3004,1)),INDEX('AH History'!$E$1:$E$18046,AH!$P$7+1573))),NA()),NA())</ns0:f>
        <ns0:v/>
      </ns0:c>
      <ns0:c r="G1578">
        <ns0:f>IFERROR(IF(ISNUMBER($A1578),IF(AND(AH!$P$10=1,AH!$P$12=1,$A1578=TODAY()),IF(AND(AH!$P$10=1,AH!$P$12=1,$A1578=TODAY()),TODAY(),NA()),IF(AH!$P$10=1,INDEX('Live History'!$G$5:$G$3004,MATCH($A1578,'Live History'!$G$5:$G$3004,1)),INDEX('AH History'!$F$1:$F$18046,AH!$P$7+1573))),NA()),NA())</ns0:f>
        <ns0:v/>
      </ns0:c>
      <ns0:c r="H1578">
        <ns0:f>IFERROR(IF(AND(AH!$E$4="Bloomberg",AH!$P$10=1,ISNUMBER($A1578),$A1578&lt;=AH!$P$17),AH!$P$7-1+MATCH($A1578,INDEX('AH History'!$A$1:$A$18046,AH!$P$7):INDEX('AH History'!$A$1:$A$18046,AH!$P$7+AH!$P$8-1),0),0),0)</ns0:f>
        <ns0:v/>
      </ns0:c>
      <ns0:c r="I1578">
        <ns0:f>IF($H1578=0,0,IFERROR(IF(AND(ABS($C1578-INDEX('AH History'!$B$1:$B$18046,$H1578))&lt;=MAX(0.005,ABS(INDEX('AH History'!$B$1:$B$18046,$H1578))*0.00005),ABS($D1578-INDEX('AH History'!$C$1:$C$18046,$H1578))&lt;=MAX(0.005,ABS(INDEX('AH History'!$C$1:$C$18046,$H1578))*0.00005),ABS($E1578-INDEX('AH History'!$D$1:$D$18046,$H1578))&lt;=0.00005,$F1578=INDEX('AH History'!$E$1:$E$18046,$H1578),$G1578=INDEX('AH History'!$F$1:$F$18046,$H1578)),1,-1),-1))</ns0:f>
        <ns0:v/>
      </ns0:c>
    </ns0:row>
    <ns0:row r="1579">
      <ns0:c r="A1579" s="215">
        <ns0:f>IF(OR(AH!$P$3=0,1574+1&gt;AH!$P$11,AND(AH!$E$4&lt;&gt;"Stored",AH!$P$10&lt;&gt;1)),"",IFERROR(IF(AND(AH!$P$21=1,1574+1=AH!$P$11),TODAY(),IF(AH!$P$10=1,INDEX('Live History'!$A$5:$A$3004,AH!$P$13+1574),INDEX('AH History'!$A$1:$A$18046,AH!$P$7+1574))),""))</ns0:f>
        <ns0:v/>
      </ns0:c>
      <ns0:c r="B1579" s="219">
        <ns0:f>IFERROR(IF(AND(AH!$P$9&lt;&gt;1,$C1579&gt;0,$D1579&gt;0,$E1579&gt;0,$F1579&gt;0,$G1579&gt;0,$F1579&lt;=$A1579,$G1579&lt;=$A1579,$A1579-$F1579&lt;=10,$A1579-$G1579&lt;=5),$D1579*$E1579/$C1579-1,NA()),NA())</ns0:f>
        <ns0:v/>
      </ns0:c>
      <ns0:c r="C1579">
        <ns0:f>IFERROR(IF(ISNUMBER($A1579),IF(AND(AH!$P$10=1,AH!$P$12=1,$A1579=TODAY()),AH!$P$19,IF(AH!$P$10=1,INDEX('Live History'!$B$5:$B$3004,AH!$P$13+1574),INDEX('AH History'!$B$1:$B$18046,AH!$P$7+1574))),NA()),NA())</ns0:f>
        <ns0:v/>
      </ns0:c>
      <ns0:c r="D1579">
        <ns0:f>IFERROR(IF(ISNUMBER($A1579),IF(AND(AH!$P$10=1,AH!$P$12=1,$A1579=TODAY()),AH!$P$18,IF(AH!$P$10=1,INDEX('Live History'!$E$5:$E$3004,MATCH($A1579,'Live History'!$D$5:$D$3004,1)),INDEX('AH History'!$C$1:$C$18046,AH!$P$7+1574))),NA()),NA())</ns0:f>
        <ns0:v/>
      </ns0:c>
      <ns0:c r="E1579">
        <ns0:f>IFERROR(IF(ISNUMBER($A1579),IF(AND(AH!$P$10=1,AH!$P$12=1,$A1579=TODAY()),AH!$P$20,IF(AH!$P$10=1,INDEX('Live History'!$H$5:$H$3004,MATCH($A1579,'Live History'!$G$5:$G$3004,1)),INDEX('AH History'!$D$1:$D$18046,AH!$P$7+1574))),NA()),NA())</ns0:f>
        <ns0:v/>
      </ns0:c>
      <ns0:c r="F1579">
        <ns0:f>IFERROR(IF(ISNUMBER($A1579),IF(AND(AH!$P$10=1,AH!$P$12=1,$A1579=TODAY()),IF(AND(AH!$P$10=1,AH!$P$12=1,$A1579=TODAY()),TODAY(),NA()),IF(AH!$P$10=1,INDEX('Live History'!$D$5:$D$3004,MATCH($A1579,'Live History'!$D$5:$D$3004,1)),INDEX('AH History'!$E$1:$E$18046,AH!$P$7+1574))),NA()),NA())</ns0:f>
        <ns0:v/>
      </ns0:c>
      <ns0:c r="G1579">
        <ns0:f>IFERROR(IF(ISNUMBER($A1579),IF(AND(AH!$P$10=1,AH!$P$12=1,$A1579=TODAY()),IF(AND(AH!$P$10=1,AH!$P$12=1,$A1579=TODAY()),TODAY(),NA()),IF(AH!$P$10=1,INDEX('Live History'!$G$5:$G$3004,MATCH($A1579,'Live History'!$G$5:$G$3004,1)),INDEX('AH History'!$F$1:$F$18046,AH!$P$7+1574))),NA()),NA())</ns0:f>
        <ns0:v/>
      </ns0:c>
      <ns0:c r="H1579">
        <ns0:f>IFERROR(IF(AND(AH!$E$4="Bloomberg",AH!$P$10=1,ISNUMBER($A1579),$A1579&lt;=AH!$P$17),AH!$P$7-1+MATCH($A1579,INDEX('AH History'!$A$1:$A$18046,AH!$P$7):INDEX('AH History'!$A$1:$A$18046,AH!$P$7+AH!$P$8-1),0),0),0)</ns0:f>
        <ns0:v/>
      </ns0:c>
      <ns0:c r="I1579">
        <ns0:f>IF($H1579=0,0,IFERROR(IF(AND(ABS($C1579-INDEX('AH History'!$B$1:$B$18046,$H1579))&lt;=MAX(0.005,ABS(INDEX('AH History'!$B$1:$B$18046,$H1579))*0.00005),ABS($D1579-INDEX('AH History'!$C$1:$C$18046,$H1579))&lt;=MAX(0.005,ABS(INDEX('AH History'!$C$1:$C$18046,$H1579))*0.00005),ABS($E1579-INDEX('AH History'!$D$1:$D$18046,$H1579))&lt;=0.00005,$F1579=INDEX('AH History'!$E$1:$E$18046,$H1579),$G1579=INDEX('AH History'!$F$1:$F$18046,$H1579)),1,-1),-1))</ns0:f>
        <ns0:v/>
      </ns0:c>
    </ns0:row>
    <ns0:row r="1580">
      <ns0:c r="A1580" s="215">
        <ns0:f>IF(OR(AH!$P$3=0,1575+1&gt;AH!$P$11,AND(AH!$E$4&lt;&gt;"Stored",AH!$P$10&lt;&gt;1)),"",IFERROR(IF(AND(AH!$P$21=1,1575+1=AH!$P$11),TODAY(),IF(AH!$P$10=1,INDEX('Live History'!$A$5:$A$3004,AH!$P$13+1575),INDEX('AH History'!$A$1:$A$18046,AH!$P$7+1575))),""))</ns0:f>
        <ns0:v/>
      </ns0:c>
      <ns0:c r="B1580" s="219">
        <ns0:f>IFERROR(IF(AND(AH!$P$9&lt;&gt;1,$C1580&gt;0,$D1580&gt;0,$E1580&gt;0,$F1580&gt;0,$G1580&gt;0,$F1580&lt;=$A1580,$G1580&lt;=$A1580,$A1580-$F1580&lt;=10,$A1580-$G1580&lt;=5),$D1580*$E1580/$C1580-1,NA()),NA())</ns0:f>
        <ns0:v/>
      </ns0:c>
      <ns0:c r="C1580">
        <ns0:f>IFERROR(IF(ISNUMBER($A1580),IF(AND(AH!$P$10=1,AH!$P$12=1,$A1580=TODAY()),AH!$P$19,IF(AH!$P$10=1,INDEX('Live History'!$B$5:$B$3004,AH!$P$13+1575),INDEX('AH History'!$B$1:$B$18046,AH!$P$7+1575))),NA()),NA())</ns0:f>
        <ns0:v/>
      </ns0:c>
      <ns0:c r="D1580">
        <ns0:f>IFERROR(IF(ISNUMBER($A1580),IF(AND(AH!$P$10=1,AH!$P$12=1,$A1580=TODAY()),AH!$P$18,IF(AH!$P$10=1,INDEX('Live History'!$E$5:$E$3004,MATCH($A1580,'Live History'!$D$5:$D$3004,1)),INDEX('AH History'!$C$1:$C$18046,AH!$P$7+1575))),NA()),NA())</ns0:f>
        <ns0:v/>
      </ns0:c>
      <ns0:c r="E1580">
        <ns0:f>IFERROR(IF(ISNUMBER($A1580),IF(AND(AH!$P$10=1,AH!$P$12=1,$A1580=TODAY()),AH!$P$20,IF(AH!$P$10=1,INDEX('Live History'!$H$5:$H$3004,MATCH($A1580,'Live History'!$G$5:$G$3004,1)),INDEX('AH History'!$D$1:$D$18046,AH!$P$7+1575))),NA()),NA())</ns0:f>
        <ns0:v/>
      </ns0:c>
      <ns0:c r="F1580">
        <ns0:f>IFERROR(IF(ISNUMBER($A1580),IF(AND(AH!$P$10=1,AH!$P$12=1,$A1580=TODAY()),IF(AND(AH!$P$10=1,AH!$P$12=1,$A1580=TODAY()),TODAY(),NA()),IF(AH!$P$10=1,INDEX('Live History'!$D$5:$D$3004,MATCH($A1580,'Live History'!$D$5:$D$3004,1)),INDEX('AH History'!$E$1:$E$18046,AH!$P$7+1575))),NA()),NA())</ns0:f>
        <ns0:v/>
      </ns0:c>
      <ns0:c r="G1580">
        <ns0:f>IFERROR(IF(ISNUMBER($A1580),IF(AND(AH!$P$10=1,AH!$P$12=1,$A1580=TODAY()),IF(AND(AH!$P$10=1,AH!$P$12=1,$A1580=TODAY()),TODAY(),NA()),IF(AH!$P$10=1,INDEX('Live History'!$G$5:$G$3004,MATCH($A1580,'Live History'!$G$5:$G$3004,1)),INDEX('AH History'!$F$1:$F$18046,AH!$P$7+1575))),NA()),NA())</ns0:f>
        <ns0:v/>
      </ns0:c>
      <ns0:c r="H1580">
        <ns0:f>IFERROR(IF(AND(AH!$E$4="Bloomberg",AH!$P$10=1,ISNUMBER($A1580),$A1580&lt;=AH!$P$17),AH!$P$7-1+MATCH($A1580,INDEX('AH History'!$A$1:$A$18046,AH!$P$7):INDEX('AH History'!$A$1:$A$18046,AH!$P$7+AH!$P$8-1),0),0),0)</ns0:f>
        <ns0:v/>
      </ns0:c>
      <ns0:c r="I1580">
        <ns0:f>IF($H1580=0,0,IFERROR(IF(AND(ABS($C1580-INDEX('AH History'!$B$1:$B$18046,$H1580))&lt;=MAX(0.005,ABS(INDEX('AH History'!$B$1:$B$18046,$H1580))*0.00005),ABS($D1580-INDEX('AH History'!$C$1:$C$18046,$H1580))&lt;=MAX(0.005,ABS(INDEX('AH History'!$C$1:$C$18046,$H1580))*0.00005),ABS($E1580-INDEX('AH History'!$D$1:$D$18046,$H1580))&lt;=0.00005,$F1580=INDEX('AH History'!$E$1:$E$18046,$H1580),$G1580=INDEX('AH History'!$F$1:$F$18046,$H1580)),1,-1),-1))</ns0:f>
        <ns0:v/>
      </ns0:c>
    </ns0:row>
    <ns0:row r="1581">
      <ns0:c r="A1581" s="215">
        <ns0:f>IF(OR(AH!$P$3=0,1576+1&gt;AH!$P$11,AND(AH!$E$4&lt;&gt;"Stored",AH!$P$10&lt;&gt;1)),"",IFERROR(IF(AND(AH!$P$21=1,1576+1=AH!$P$11),TODAY(),IF(AH!$P$10=1,INDEX('Live History'!$A$5:$A$3004,AH!$P$13+1576),INDEX('AH History'!$A$1:$A$18046,AH!$P$7+1576))),""))</ns0:f>
        <ns0:v/>
      </ns0:c>
      <ns0:c r="B1581" s="219">
        <ns0:f>IFERROR(IF(AND(AH!$P$9&lt;&gt;1,$C1581&gt;0,$D1581&gt;0,$E1581&gt;0,$F1581&gt;0,$G1581&gt;0,$F1581&lt;=$A1581,$G1581&lt;=$A1581,$A1581-$F1581&lt;=10,$A1581-$G1581&lt;=5),$D1581*$E1581/$C1581-1,NA()),NA())</ns0:f>
        <ns0:v/>
      </ns0:c>
      <ns0:c r="C1581">
        <ns0:f>IFERROR(IF(ISNUMBER($A1581),IF(AND(AH!$P$10=1,AH!$P$12=1,$A1581=TODAY()),AH!$P$19,IF(AH!$P$10=1,INDEX('Live History'!$B$5:$B$3004,AH!$P$13+1576),INDEX('AH History'!$B$1:$B$18046,AH!$P$7+1576))),NA()),NA())</ns0:f>
        <ns0:v/>
      </ns0:c>
      <ns0:c r="D1581">
        <ns0:f>IFERROR(IF(ISNUMBER($A1581),IF(AND(AH!$P$10=1,AH!$P$12=1,$A1581=TODAY()),AH!$P$18,IF(AH!$P$10=1,INDEX('Live History'!$E$5:$E$3004,MATCH($A1581,'Live History'!$D$5:$D$3004,1)),INDEX('AH History'!$C$1:$C$18046,AH!$P$7+1576))),NA()),NA())</ns0:f>
        <ns0:v/>
      </ns0:c>
      <ns0:c r="E1581">
        <ns0:f>IFERROR(IF(ISNUMBER($A1581),IF(AND(AH!$P$10=1,AH!$P$12=1,$A1581=TODAY()),AH!$P$20,IF(AH!$P$10=1,INDEX('Live History'!$H$5:$H$3004,MATCH($A1581,'Live History'!$G$5:$G$3004,1)),INDEX('AH History'!$D$1:$D$18046,AH!$P$7+1576))),NA()),NA())</ns0:f>
        <ns0:v/>
      </ns0:c>
      <ns0:c r="F1581">
        <ns0:f>IFERROR(IF(ISNUMBER($A1581),IF(AND(AH!$P$10=1,AH!$P$12=1,$A1581=TODAY()),IF(AND(AH!$P$10=1,AH!$P$12=1,$A1581=TODAY()),TODAY(),NA()),IF(AH!$P$10=1,INDEX('Live History'!$D$5:$D$3004,MATCH($A1581,'Live History'!$D$5:$D$3004,1)),INDEX('AH History'!$E$1:$E$18046,AH!$P$7+1576))),NA()),NA())</ns0:f>
        <ns0:v/>
      </ns0:c>
      <ns0:c r="G1581">
        <ns0:f>IFERROR(IF(ISNUMBER($A1581),IF(AND(AH!$P$10=1,AH!$P$12=1,$A1581=TODAY()),IF(AND(AH!$P$10=1,AH!$P$12=1,$A1581=TODAY()),TODAY(),NA()),IF(AH!$P$10=1,INDEX('Live History'!$G$5:$G$3004,MATCH($A1581,'Live History'!$G$5:$G$3004,1)),INDEX('AH History'!$F$1:$F$18046,AH!$P$7+1576))),NA()),NA())</ns0:f>
        <ns0:v/>
      </ns0:c>
      <ns0:c r="H1581">
        <ns0:f>IFERROR(IF(AND(AH!$E$4="Bloomberg",AH!$P$10=1,ISNUMBER($A1581),$A1581&lt;=AH!$P$17),AH!$P$7-1+MATCH($A1581,INDEX('AH History'!$A$1:$A$18046,AH!$P$7):INDEX('AH History'!$A$1:$A$18046,AH!$P$7+AH!$P$8-1),0),0),0)</ns0:f>
        <ns0:v/>
      </ns0:c>
      <ns0:c r="I1581">
        <ns0:f>IF($H1581=0,0,IFERROR(IF(AND(ABS($C1581-INDEX('AH History'!$B$1:$B$18046,$H1581))&lt;=MAX(0.005,ABS(INDEX('AH History'!$B$1:$B$18046,$H1581))*0.00005),ABS($D1581-INDEX('AH History'!$C$1:$C$18046,$H1581))&lt;=MAX(0.005,ABS(INDEX('AH History'!$C$1:$C$18046,$H1581))*0.00005),ABS($E1581-INDEX('AH History'!$D$1:$D$18046,$H1581))&lt;=0.00005,$F1581=INDEX('AH History'!$E$1:$E$18046,$H1581),$G1581=INDEX('AH History'!$F$1:$F$18046,$H1581)),1,-1),-1))</ns0:f>
        <ns0:v/>
      </ns0:c>
    </ns0:row>
    <ns0:row r="1582">
      <ns0:c r="A1582" s="215">
        <ns0:f>IF(OR(AH!$P$3=0,1577+1&gt;AH!$P$11,AND(AH!$E$4&lt;&gt;"Stored",AH!$P$10&lt;&gt;1)),"",IFERROR(IF(AND(AH!$P$21=1,1577+1=AH!$P$11),TODAY(),IF(AH!$P$10=1,INDEX('Live History'!$A$5:$A$3004,AH!$P$13+1577),INDEX('AH History'!$A$1:$A$18046,AH!$P$7+1577))),""))</ns0:f>
        <ns0:v/>
      </ns0:c>
      <ns0:c r="B1582" s="219">
        <ns0:f>IFERROR(IF(AND(AH!$P$9&lt;&gt;1,$C1582&gt;0,$D1582&gt;0,$E1582&gt;0,$F1582&gt;0,$G1582&gt;0,$F1582&lt;=$A1582,$G1582&lt;=$A1582,$A1582-$F1582&lt;=10,$A1582-$G1582&lt;=5),$D1582*$E1582/$C1582-1,NA()),NA())</ns0:f>
        <ns0:v/>
      </ns0:c>
      <ns0:c r="C1582">
        <ns0:f>IFERROR(IF(ISNUMBER($A1582),IF(AND(AH!$P$10=1,AH!$P$12=1,$A1582=TODAY()),AH!$P$19,IF(AH!$P$10=1,INDEX('Live History'!$B$5:$B$3004,AH!$P$13+1577),INDEX('AH History'!$B$1:$B$18046,AH!$P$7+1577))),NA()),NA())</ns0:f>
        <ns0:v/>
      </ns0:c>
      <ns0:c r="D1582">
        <ns0:f>IFERROR(IF(ISNUMBER($A1582),IF(AND(AH!$P$10=1,AH!$P$12=1,$A1582=TODAY()),AH!$P$18,IF(AH!$P$10=1,INDEX('Live History'!$E$5:$E$3004,MATCH($A1582,'Live History'!$D$5:$D$3004,1)),INDEX('AH History'!$C$1:$C$18046,AH!$P$7+1577))),NA()),NA())</ns0:f>
        <ns0:v/>
      </ns0:c>
      <ns0:c r="E1582">
        <ns0:f>IFERROR(IF(ISNUMBER($A1582),IF(AND(AH!$P$10=1,AH!$P$12=1,$A1582=TODAY()),AH!$P$20,IF(AH!$P$10=1,INDEX('Live History'!$H$5:$H$3004,MATCH($A1582,'Live History'!$G$5:$G$3004,1)),INDEX('AH History'!$D$1:$D$18046,AH!$P$7+1577))),NA()),NA())</ns0:f>
        <ns0:v/>
      </ns0:c>
      <ns0:c r="F1582">
        <ns0:f>IFERROR(IF(ISNUMBER($A1582),IF(AND(AH!$P$10=1,AH!$P$12=1,$A1582=TODAY()),IF(AND(AH!$P$10=1,AH!$P$12=1,$A1582=TODAY()),TODAY(),NA()),IF(AH!$P$10=1,INDEX('Live History'!$D$5:$D$3004,MATCH($A1582,'Live History'!$D$5:$D$3004,1)),INDEX('AH History'!$E$1:$E$18046,AH!$P$7+1577))),NA()),NA())</ns0:f>
        <ns0:v/>
      </ns0:c>
      <ns0:c r="G1582">
        <ns0:f>IFERROR(IF(ISNUMBER($A1582),IF(AND(AH!$P$10=1,AH!$P$12=1,$A1582=TODAY()),IF(AND(AH!$P$10=1,AH!$P$12=1,$A1582=TODAY()),TODAY(),NA()),IF(AH!$P$10=1,INDEX('Live History'!$G$5:$G$3004,MATCH($A1582,'Live History'!$G$5:$G$3004,1)),INDEX('AH History'!$F$1:$F$18046,AH!$P$7+1577))),NA()),NA())</ns0:f>
        <ns0:v/>
      </ns0:c>
      <ns0:c r="H1582">
        <ns0:f>IFERROR(IF(AND(AH!$E$4="Bloomberg",AH!$P$10=1,ISNUMBER($A1582),$A1582&lt;=AH!$P$17),AH!$P$7-1+MATCH($A1582,INDEX('AH History'!$A$1:$A$18046,AH!$P$7):INDEX('AH History'!$A$1:$A$18046,AH!$P$7+AH!$P$8-1),0),0),0)</ns0:f>
        <ns0:v/>
      </ns0:c>
      <ns0:c r="I1582">
        <ns0:f>IF($H1582=0,0,IFERROR(IF(AND(ABS($C1582-INDEX('AH History'!$B$1:$B$18046,$H1582))&lt;=MAX(0.005,ABS(INDEX('AH History'!$B$1:$B$18046,$H1582))*0.00005),ABS($D1582-INDEX('AH History'!$C$1:$C$18046,$H1582))&lt;=MAX(0.005,ABS(INDEX('AH History'!$C$1:$C$18046,$H1582))*0.00005),ABS($E1582-INDEX('AH History'!$D$1:$D$18046,$H1582))&lt;=0.00005,$F1582=INDEX('AH History'!$E$1:$E$18046,$H1582),$G1582=INDEX('AH History'!$F$1:$F$18046,$H1582)),1,-1),-1))</ns0:f>
        <ns0:v/>
      </ns0:c>
    </ns0:row>
    <ns0:row r="1583">
      <ns0:c r="A1583" s="215">
        <ns0:f>IF(OR(AH!$P$3=0,1578+1&gt;AH!$P$11,AND(AH!$E$4&lt;&gt;"Stored",AH!$P$10&lt;&gt;1)),"",IFERROR(IF(AND(AH!$P$21=1,1578+1=AH!$P$11),TODAY(),IF(AH!$P$10=1,INDEX('Live History'!$A$5:$A$3004,AH!$P$13+1578),INDEX('AH History'!$A$1:$A$18046,AH!$P$7+1578))),""))</ns0:f>
        <ns0:v/>
      </ns0:c>
      <ns0:c r="B1583" s="219">
        <ns0:f>IFERROR(IF(AND(AH!$P$9&lt;&gt;1,$C1583&gt;0,$D1583&gt;0,$E1583&gt;0,$F1583&gt;0,$G1583&gt;0,$F1583&lt;=$A1583,$G1583&lt;=$A1583,$A1583-$F1583&lt;=10,$A1583-$G1583&lt;=5),$D1583*$E1583/$C1583-1,NA()),NA())</ns0:f>
        <ns0:v/>
      </ns0:c>
      <ns0:c r="C1583">
        <ns0:f>IFERROR(IF(ISNUMBER($A1583),IF(AND(AH!$P$10=1,AH!$P$12=1,$A1583=TODAY()),AH!$P$19,IF(AH!$P$10=1,INDEX('Live History'!$B$5:$B$3004,AH!$P$13+1578),INDEX('AH History'!$B$1:$B$18046,AH!$P$7+1578))),NA()),NA())</ns0:f>
        <ns0:v/>
      </ns0:c>
      <ns0:c r="D1583">
        <ns0:f>IFERROR(IF(ISNUMBER($A1583),IF(AND(AH!$P$10=1,AH!$P$12=1,$A1583=TODAY()),AH!$P$18,IF(AH!$P$10=1,INDEX('Live History'!$E$5:$E$3004,MATCH($A1583,'Live History'!$D$5:$D$3004,1)),INDEX('AH History'!$C$1:$C$18046,AH!$P$7+1578))),NA()),NA())</ns0:f>
        <ns0:v/>
      </ns0:c>
      <ns0:c r="E1583">
        <ns0:f>IFERROR(IF(ISNUMBER($A1583),IF(AND(AH!$P$10=1,AH!$P$12=1,$A1583=TODAY()),AH!$P$20,IF(AH!$P$10=1,INDEX('Live History'!$H$5:$H$3004,MATCH($A1583,'Live History'!$G$5:$G$3004,1)),INDEX('AH History'!$D$1:$D$18046,AH!$P$7+1578))),NA()),NA())</ns0:f>
        <ns0:v/>
      </ns0:c>
      <ns0:c r="F1583">
        <ns0:f>IFERROR(IF(ISNUMBER($A1583),IF(AND(AH!$P$10=1,AH!$P$12=1,$A1583=TODAY()),IF(AND(AH!$P$10=1,AH!$P$12=1,$A1583=TODAY()),TODAY(),NA()),IF(AH!$P$10=1,INDEX('Live History'!$D$5:$D$3004,MATCH($A1583,'Live History'!$D$5:$D$3004,1)),INDEX('AH History'!$E$1:$E$18046,AH!$P$7+1578))),NA()),NA())</ns0:f>
        <ns0:v/>
      </ns0:c>
      <ns0:c r="G1583">
        <ns0:f>IFERROR(IF(ISNUMBER($A1583),IF(AND(AH!$P$10=1,AH!$P$12=1,$A1583=TODAY()),IF(AND(AH!$P$10=1,AH!$P$12=1,$A1583=TODAY()),TODAY(),NA()),IF(AH!$P$10=1,INDEX('Live History'!$G$5:$G$3004,MATCH($A1583,'Live History'!$G$5:$G$3004,1)),INDEX('AH History'!$F$1:$F$18046,AH!$P$7+1578))),NA()),NA())</ns0:f>
        <ns0:v/>
      </ns0:c>
      <ns0:c r="H1583">
        <ns0:f>IFERROR(IF(AND(AH!$E$4="Bloomberg",AH!$P$10=1,ISNUMBER($A1583),$A1583&lt;=AH!$P$17),AH!$P$7-1+MATCH($A1583,INDEX('AH History'!$A$1:$A$18046,AH!$P$7):INDEX('AH History'!$A$1:$A$18046,AH!$P$7+AH!$P$8-1),0),0),0)</ns0:f>
        <ns0:v/>
      </ns0:c>
      <ns0:c r="I1583">
        <ns0:f>IF($H1583=0,0,IFERROR(IF(AND(ABS($C1583-INDEX('AH History'!$B$1:$B$18046,$H1583))&lt;=MAX(0.005,ABS(INDEX('AH History'!$B$1:$B$18046,$H1583))*0.00005),ABS($D1583-INDEX('AH History'!$C$1:$C$18046,$H1583))&lt;=MAX(0.005,ABS(INDEX('AH History'!$C$1:$C$18046,$H1583))*0.00005),ABS($E1583-INDEX('AH History'!$D$1:$D$18046,$H1583))&lt;=0.00005,$F1583=INDEX('AH History'!$E$1:$E$18046,$H1583),$G1583=INDEX('AH History'!$F$1:$F$18046,$H1583)),1,-1),-1))</ns0:f>
        <ns0:v/>
      </ns0:c>
    </ns0:row>
    <ns0:row r="1584">
      <ns0:c r="A1584" s="215">
        <ns0:f>IF(OR(AH!$P$3=0,1579+1&gt;AH!$P$11,AND(AH!$E$4&lt;&gt;"Stored",AH!$P$10&lt;&gt;1)),"",IFERROR(IF(AND(AH!$P$21=1,1579+1=AH!$P$11),TODAY(),IF(AH!$P$10=1,INDEX('Live History'!$A$5:$A$3004,AH!$P$13+1579),INDEX('AH History'!$A$1:$A$18046,AH!$P$7+1579))),""))</ns0:f>
        <ns0:v/>
      </ns0:c>
      <ns0:c r="B1584" s="219">
        <ns0:f>IFERROR(IF(AND(AH!$P$9&lt;&gt;1,$C1584&gt;0,$D1584&gt;0,$E1584&gt;0,$F1584&gt;0,$G1584&gt;0,$F1584&lt;=$A1584,$G1584&lt;=$A1584,$A1584-$F1584&lt;=10,$A1584-$G1584&lt;=5),$D1584*$E1584/$C1584-1,NA()),NA())</ns0:f>
        <ns0:v/>
      </ns0:c>
      <ns0:c r="C1584">
        <ns0:f>IFERROR(IF(ISNUMBER($A1584),IF(AND(AH!$P$10=1,AH!$P$12=1,$A1584=TODAY()),AH!$P$19,IF(AH!$P$10=1,INDEX('Live History'!$B$5:$B$3004,AH!$P$13+1579),INDEX('AH History'!$B$1:$B$18046,AH!$P$7+1579))),NA()),NA())</ns0:f>
        <ns0:v/>
      </ns0:c>
      <ns0:c r="D1584">
        <ns0:f>IFERROR(IF(ISNUMBER($A1584),IF(AND(AH!$P$10=1,AH!$P$12=1,$A1584=TODAY()),AH!$P$18,IF(AH!$P$10=1,INDEX('Live History'!$E$5:$E$3004,MATCH($A1584,'Live History'!$D$5:$D$3004,1)),INDEX('AH History'!$C$1:$C$18046,AH!$P$7+1579))),NA()),NA())</ns0:f>
        <ns0:v/>
      </ns0:c>
      <ns0:c r="E1584">
        <ns0:f>IFERROR(IF(ISNUMBER($A1584),IF(AND(AH!$P$10=1,AH!$P$12=1,$A1584=TODAY()),AH!$P$20,IF(AH!$P$10=1,INDEX('Live History'!$H$5:$H$3004,MATCH($A1584,'Live History'!$G$5:$G$3004,1)),INDEX('AH History'!$D$1:$D$18046,AH!$P$7+1579))),NA()),NA())</ns0:f>
        <ns0:v/>
      </ns0:c>
      <ns0:c r="F1584">
        <ns0:f>IFERROR(IF(ISNUMBER($A1584),IF(AND(AH!$P$10=1,AH!$P$12=1,$A1584=TODAY()),IF(AND(AH!$P$10=1,AH!$P$12=1,$A1584=TODAY()),TODAY(),NA()),IF(AH!$P$10=1,INDEX('Live History'!$D$5:$D$3004,MATCH($A1584,'Live History'!$D$5:$D$3004,1)),INDEX('AH History'!$E$1:$E$18046,AH!$P$7+1579))),NA()),NA())</ns0:f>
        <ns0:v/>
      </ns0:c>
      <ns0:c r="G1584">
        <ns0:f>IFERROR(IF(ISNUMBER($A1584),IF(AND(AH!$P$10=1,AH!$P$12=1,$A1584=TODAY()),IF(AND(AH!$P$10=1,AH!$P$12=1,$A1584=TODAY()),TODAY(),NA()),IF(AH!$P$10=1,INDEX('Live History'!$G$5:$G$3004,MATCH($A1584,'Live History'!$G$5:$G$3004,1)),INDEX('AH History'!$F$1:$F$18046,AH!$P$7+1579))),NA()),NA())</ns0:f>
        <ns0:v/>
      </ns0:c>
      <ns0:c r="H1584">
        <ns0:f>IFERROR(IF(AND(AH!$E$4="Bloomberg",AH!$P$10=1,ISNUMBER($A1584),$A1584&lt;=AH!$P$17),AH!$P$7-1+MATCH($A1584,INDEX('AH History'!$A$1:$A$18046,AH!$P$7):INDEX('AH History'!$A$1:$A$18046,AH!$P$7+AH!$P$8-1),0),0),0)</ns0:f>
        <ns0:v/>
      </ns0:c>
      <ns0:c r="I1584">
        <ns0:f>IF($H1584=0,0,IFERROR(IF(AND(ABS($C1584-INDEX('AH History'!$B$1:$B$18046,$H1584))&lt;=MAX(0.005,ABS(INDEX('AH History'!$B$1:$B$18046,$H1584))*0.00005),ABS($D1584-INDEX('AH History'!$C$1:$C$18046,$H1584))&lt;=MAX(0.005,ABS(INDEX('AH History'!$C$1:$C$18046,$H1584))*0.00005),ABS($E1584-INDEX('AH History'!$D$1:$D$18046,$H1584))&lt;=0.00005,$F1584=INDEX('AH History'!$E$1:$E$18046,$H1584),$G1584=INDEX('AH History'!$F$1:$F$18046,$H1584)),1,-1),-1))</ns0:f>
        <ns0:v/>
      </ns0:c>
    </ns0:row>
    <ns0:row r="1585">
      <ns0:c r="A1585" s="215">
        <ns0:f>IF(OR(AH!$P$3=0,1580+1&gt;AH!$P$11,AND(AH!$E$4&lt;&gt;"Stored",AH!$P$10&lt;&gt;1)),"",IFERROR(IF(AND(AH!$P$21=1,1580+1=AH!$P$11),TODAY(),IF(AH!$P$10=1,INDEX('Live History'!$A$5:$A$3004,AH!$P$13+1580),INDEX('AH History'!$A$1:$A$18046,AH!$P$7+1580))),""))</ns0:f>
        <ns0:v/>
      </ns0:c>
      <ns0:c r="B1585" s="219">
        <ns0:f>IFERROR(IF(AND(AH!$P$9&lt;&gt;1,$C1585&gt;0,$D1585&gt;0,$E1585&gt;0,$F1585&gt;0,$G1585&gt;0,$F1585&lt;=$A1585,$G1585&lt;=$A1585,$A1585-$F1585&lt;=10,$A1585-$G1585&lt;=5),$D1585*$E1585/$C1585-1,NA()),NA())</ns0:f>
        <ns0:v/>
      </ns0:c>
      <ns0:c r="C1585">
        <ns0:f>IFERROR(IF(ISNUMBER($A1585),IF(AND(AH!$P$10=1,AH!$P$12=1,$A1585=TODAY()),AH!$P$19,IF(AH!$P$10=1,INDEX('Live History'!$B$5:$B$3004,AH!$P$13+1580),INDEX('AH History'!$B$1:$B$18046,AH!$P$7+1580))),NA()),NA())</ns0:f>
        <ns0:v/>
      </ns0:c>
      <ns0:c r="D1585">
        <ns0:f>IFERROR(IF(ISNUMBER($A1585),IF(AND(AH!$P$10=1,AH!$P$12=1,$A1585=TODAY()),AH!$P$18,IF(AH!$P$10=1,INDEX('Live History'!$E$5:$E$3004,MATCH($A1585,'Live History'!$D$5:$D$3004,1)),INDEX('AH History'!$C$1:$C$18046,AH!$P$7+1580))),NA()),NA())</ns0:f>
        <ns0:v/>
      </ns0:c>
      <ns0:c r="E1585">
        <ns0:f>IFERROR(IF(ISNUMBER($A1585),IF(AND(AH!$P$10=1,AH!$P$12=1,$A1585=TODAY()),AH!$P$20,IF(AH!$P$10=1,INDEX('Live History'!$H$5:$H$3004,MATCH($A1585,'Live History'!$G$5:$G$3004,1)),INDEX('AH History'!$D$1:$D$18046,AH!$P$7+1580))),NA()),NA())</ns0:f>
        <ns0:v/>
      </ns0:c>
      <ns0:c r="F1585">
        <ns0:f>IFERROR(IF(ISNUMBER($A1585),IF(AND(AH!$P$10=1,AH!$P$12=1,$A1585=TODAY()),IF(AND(AH!$P$10=1,AH!$P$12=1,$A1585=TODAY()),TODAY(),NA()),IF(AH!$P$10=1,INDEX('Live History'!$D$5:$D$3004,MATCH($A1585,'Live History'!$D$5:$D$3004,1)),INDEX('AH History'!$E$1:$E$18046,AH!$P$7+1580))),NA()),NA())</ns0:f>
        <ns0:v/>
      </ns0:c>
      <ns0:c r="G1585">
        <ns0:f>IFERROR(IF(ISNUMBER($A1585),IF(AND(AH!$P$10=1,AH!$P$12=1,$A1585=TODAY()),IF(AND(AH!$P$10=1,AH!$P$12=1,$A1585=TODAY()),TODAY(),NA()),IF(AH!$P$10=1,INDEX('Live History'!$G$5:$G$3004,MATCH($A1585,'Live History'!$G$5:$G$3004,1)),INDEX('AH History'!$F$1:$F$18046,AH!$P$7+1580))),NA()),NA())</ns0:f>
        <ns0:v/>
      </ns0:c>
      <ns0:c r="H1585">
        <ns0:f>IFERROR(IF(AND(AH!$E$4="Bloomberg",AH!$P$10=1,ISNUMBER($A1585),$A1585&lt;=AH!$P$17),AH!$P$7-1+MATCH($A1585,INDEX('AH History'!$A$1:$A$18046,AH!$P$7):INDEX('AH History'!$A$1:$A$18046,AH!$P$7+AH!$P$8-1),0),0),0)</ns0:f>
        <ns0:v/>
      </ns0:c>
      <ns0:c r="I1585">
        <ns0:f>IF($H1585=0,0,IFERROR(IF(AND(ABS($C1585-INDEX('AH History'!$B$1:$B$18046,$H1585))&lt;=MAX(0.005,ABS(INDEX('AH History'!$B$1:$B$18046,$H1585))*0.00005),ABS($D1585-INDEX('AH History'!$C$1:$C$18046,$H1585))&lt;=MAX(0.005,ABS(INDEX('AH History'!$C$1:$C$18046,$H1585))*0.00005),ABS($E1585-INDEX('AH History'!$D$1:$D$18046,$H1585))&lt;=0.00005,$F1585=INDEX('AH History'!$E$1:$E$18046,$H1585),$G1585=INDEX('AH History'!$F$1:$F$18046,$H1585)),1,-1),-1))</ns0:f>
        <ns0:v/>
      </ns0:c>
    </ns0:row>
    <ns0:row r="1586">
      <ns0:c r="A1586" s="215">
        <ns0:f>IF(OR(AH!$P$3=0,1581+1&gt;AH!$P$11,AND(AH!$E$4&lt;&gt;"Stored",AH!$P$10&lt;&gt;1)),"",IFERROR(IF(AND(AH!$P$21=1,1581+1=AH!$P$11),TODAY(),IF(AH!$P$10=1,INDEX('Live History'!$A$5:$A$3004,AH!$P$13+1581),INDEX('AH History'!$A$1:$A$18046,AH!$P$7+1581))),""))</ns0:f>
        <ns0:v/>
      </ns0:c>
      <ns0:c r="B1586" s="219">
        <ns0:f>IFERROR(IF(AND(AH!$P$9&lt;&gt;1,$C1586&gt;0,$D1586&gt;0,$E1586&gt;0,$F1586&gt;0,$G1586&gt;0,$F1586&lt;=$A1586,$G1586&lt;=$A1586,$A1586-$F1586&lt;=10,$A1586-$G1586&lt;=5),$D1586*$E1586/$C1586-1,NA()),NA())</ns0:f>
        <ns0:v/>
      </ns0:c>
      <ns0:c r="C1586">
        <ns0:f>IFERROR(IF(ISNUMBER($A1586),IF(AND(AH!$P$10=1,AH!$P$12=1,$A1586=TODAY()),AH!$P$19,IF(AH!$P$10=1,INDEX('Live History'!$B$5:$B$3004,AH!$P$13+1581),INDEX('AH History'!$B$1:$B$18046,AH!$P$7+1581))),NA()),NA())</ns0:f>
        <ns0:v/>
      </ns0:c>
      <ns0:c r="D1586">
        <ns0:f>IFERROR(IF(ISNUMBER($A1586),IF(AND(AH!$P$10=1,AH!$P$12=1,$A1586=TODAY()),AH!$P$18,IF(AH!$P$10=1,INDEX('Live History'!$E$5:$E$3004,MATCH($A1586,'Live History'!$D$5:$D$3004,1)),INDEX('AH History'!$C$1:$C$18046,AH!$P$7+1581))),NA()),NA())</ns0:f>
        <ns0:v/>
      </ns0:c>
      <ns0:c r="E1586">
        <ns0:f>IFERROR(IF(ISNUMBER($A1586),IF(AND(AH!$P$10=1,AH!$P$12=1,$A1586=TODAY()),AH!$P$20,IF(AH!$P$10=1,INDEX('Live History'!$H$5:$H$3004,MATCH($A1586,'Live History'!$G$5:$G$3004,1)),INDEX('AH History'!$D$1:$D$18046,AH!$P$7+1581))),NA()),NA())</ns0:f>
        <ns0:v/>
      </ns0:c>
      <ns0:c r="F1586">
        <ns0:f>IFERROR(IF(ISNUMBER($A1586),IF(AND(AH!$P$10=1,AH!$P$12=1,$A1586=TODAY()),IF(AND(AH!$P$10=1,AH!$P$12=1,$A1586=TODAY()),TODAY(),NA()),IF(AH!$P$10=1,INDEX('Live History'!$D$5:$D$3004,MATCH($A1586,'Live History'!$D$5:$D$3004,1)),INDEX('AH History'!$E$1:$E$18046,AH!$P$7+1581))),NA()),NA())</ns0:f>
        <ns0:v/>
      </ns0:c>
      <ns0:c r="G1586">
        <ns0:f>IFERROR(IF(ISNUMBER($A1586),IF(AND(AH!$P$10=1,AH!$P$12=1,$A1586=TODAY()),IF(AND(AH!$P$10=1,AH!$P$12=1,$A1586=TODAY()),TODAY(),NA()),IF(AH!$P$10=1,INDEX('Live History'!$G$5:$G$3004,MATCH($A1586,'Live History'!$G$5:$G$3004,1)),INDEX('AH History'!$F$1:$F$18046,AH!$P$7+1581))),NA()),NA())</ns0:f>
        <ns0:v/>
      </ns0:c>
      <ns0:c r="H1586">
        <ns0:f>IFERROR(IF(AND(AH!$E$4="Bloomberg",AH!$P$10=1,ISNUMBER($A1586),$A1586&lt;=AH!$P$17),AH!$P$7-1+MATCH($A1586,INDEX('AH History'!$A$1:$A$18046,AH!$P$7):INDEX('AH History'!$A$1:$A$18046,AH!$P$7+AH!$P$8-1),0),0),0)</ns0:f>
        <ns0:v/>
      </ns0:c>
      <ns0:c r="I1586">
        <ns0:f>IF($H1586=0,0,IFERROR(IF(AND(ABS($C1586-INDEX('AH History'!$B$1:$B$18046,$H1586))&lt;=MAX(0.005,ABS(INDEX('AH History'!$B$1:$B$18046,$H1586))*0.00005),ABS($D1586-INDEX('AH History'!$C$1:$C$18046,$H1586))&lt;=MAX(0.005,ABS(INDEX('AH History'!$C$1:$C$18046,$H1586))*0.00005),ABS($E1586-INDEX('AH History'!$D$1:$D$18046,$H1586))&lt;=0.00005,$F1586=INDEX('AH History'!$E$1:$E$18046,$H1586),$G1586=INDEX('AH History'!$F$1:$F$18046,$H1586)),1,-1),-1))</ns0:f>
        <ns0:v/>
      </ns0:c>
    </ns0:row>
    <ns0:row r="1587">
      <ns0:c r="A1587" s="215">
        <ns0:f>IF(OR(AH!$P$3=0,1582+1&gt;AH!$P$11,AND(AH!$E$4&lt;&gt;"Stored",AH!$P$10&lt;&gt;1)),"",IFERROR(IF(AND(AH!$P$21=1,1582+1=AH!$P$11),TODAY(),IF(AH!$P$10=1,INDEX('Live History'!$A$5:$A$3004,AH!$P$13+1582),INDEX('AH History'!$A$1:$A$18046,AH!$P$7+1582))),""))</ns0:f>
        <ns0:v/>
      </ns0:c>
      <ns0:c r="B1587" s="219">
        <ns0:f>IFERROR(IF(AND(AH!$P$9&lt;&gt;1,$C1587&gt;0,$D1587&gt;0,$E1587&gt;0,$F1587&gt;0,$G1587&gt;0,$F1587&lt;=$A1587,$G1587&lt;=$A1587,$A1587-$F1587&lt;=10,$A1587-$G1587&lt;=5),$D1587*$E1587/$C1587-1,NA()),NA())</ns0:f>
        <ns0:v/>
      </ns0:c>
      <ns0:c r="C1587">
        <ns0:f>IFERROR(IF(ISNUMBER($A1587),IF(AND(AH!$P$10=1,AH!$P$12=1,$A1587=TODAY()),AH!$P$19,IF(AH!$P$10=1,INDEX('Live History'!$B$5:$B$3004,AH!$P$13+1582),INDEX('AH History'!$B$1:$B$18046,AH!$P$7+1582))),NA()),NA())</ns0:f>
        <ns0:v/>
      </ns0:c>
      <ns0:c r="D1587">
        <ns0:f>IFERROR(IF(ISNUMBER($A1587),IF(AND(AH!$P$10=1,AH!$P$12=1,$A1587=TODAY()),AH!$P$18,IF(AH!$P$10=1,INDEX('Live History'!$E$5:$E$3004,MATCH($A1587,'Live History'!$D$5:$D$3004,1)),INDEX('AH History'!$C$1:$C$18046,AH!$P$7+1582))),NA()),NA())</ns0:f>
        <ns0:v/>
      </ns0:c>
      <ns0:c r="E1587">
        <ns0:f>IFERROR(IF(ISNUMBER($A1587),IF(AND(AH!$P$10=1,AH!$P$12=1,$A1587=TODAY()),AH!$P$20,IF(AH!$P$10=1,INDEX('Live History'!$H$5:$H$3004,MATCH($A1587,'Live History'!$G$5:$G$3004,1)),INDEX('AH History'!$D$1:$D$18046,AH!$P$7+1582))),NA()),NA())</ns0:f>
        <ns0:v/>
      </ns0:c>
      <ns0:c r="F1587">
        <ns0:f>IFERROR(IF(ISNUMBER($A1587),IF(AND(AH!$P$10=1,AH!$P$12=1,$A1587=TODAY()),IF(AND(AH!$P$10=1,AH!$P$12=1,$A1587=TODAY()),TODAY(),NA()),IF(AH!$P$10=1,INDEX('Live History'!$D$5:$D$3004,MATCH($A1587,'Live History'!$D$5:$D$3004,1)),INDEX('AH History'!$E$1:$E$18046,AH!$P$7+1582))),NA()),NA())</ns0:f>
        <ns0:v/>
      </ns0:c>
      <ns0:c r="G1587">
        <ns0:f>IFERROR(IF(ISNUMBER($A1587),IF(AND(AH!$P$10=1,AH!$P$12=1,$A1587=TODAY()),IF(AND(AH!$P$10=1,AH!$P$12=1,$A1587=TODAY()),TODAY(),NA()),IF(AH!$P$10=1,INDEX('Live History'!$G$5:$G$3004,MATCH($A1587,'Live History'!$G$5:$G$3004,1)),INDEX('AH History'!$F$1:$F$18046,AH!$P$7+1582))),NA()),NA())</ns0:f>
        <ns0:v/>
      </ns0:c>
      <ns0:c r="H1587">
        <ns0:f>IFERROR(IF(AND(AH!$E$4="Bloomberg",AH!$P$10=1,ISNUMBER($A1587),$A1587&lt;=AH!$P$17),AH!$P$7-1+MATCH($A1587,INDEX('AH History'!$A$1:$A$18046,AH!$P$7):INDEX('AH History'!$A$1:$A$18046,AH!$P$7+AH!$P$8-1),0),0),0)</ns0:f>
        <ns0:v/>
      </ns0:c>
      <ns0:c r="I1587">
        <ns0:f>IF($H1587=0,0,IFERROR(IF(AND(ABS($C1587-INDEX('AH History'!$B$1:$B$18046,$H1587))&lt;=MAX(0.005,ABS(INDEX('AH History'!$B$1:$B$18046,$H1587))*0.00005),ABS($D1587-INDEX('AH History'!$C$1:$C$18046,$H1587))&lt;=MAX(0.005,ABS(INDEX('AH History'!$C$1:$C$18046,$H1587))*0.00005),ABS($E1587-INDEX('AH History'!$D$1:$D$18046,$H1587))&lt;=0.00005,$F1587=INDEX('AH History'!$E$1:$E$18046,$H1587),$G1587=INDEX('AH History'!$F$1:$F$18046,$H1587)),1,-1),-1))</ns0:f>
        <ns0:v/>
      </ns0:c>
    </ns0:row>
    <ns0:row r="1588">
      <ns0:c r="A1588" s="215">
        <ns0:f>IF(OR(AH!$P$3=0,1583+1&gt;AH!$P$11,AND(AH!$E$4&lt;&gt;"Stored",AH!$P$10&lt;&gt;1)),"",IFERROR(IF(AND(AH!$P$21=1,1583+1=AH!$P$11),TODAY(),IF(AH!$P$10=1,INDEX('Live History'!$A$5:$A$3004,AH!$P$13+1583),INDEX('AH History'!$A$1:$A$18046,AH!$P$7+1583))),""))</ns0:f>
        <ns0:v/>
      </ns0:c>
      <ns0:c r="B1588" s="219">
        <ns0:f>IFERROR(IF(AND(AH!$P$9&lt;&gt;1,$C1588&gt;0,$D1588&gt;0,$E1588&gt;0,$F1588&gt;0,$G1588&gt;0,$F1588&lt;=$A1588,$G1588&lt;=$A1588,$A1588-$F1588&lt;=10,$A1588-$G1588&lt;=5),$D1588*$E1588/$C1588-1,NA()),NA())</ns0:f>
        <ns0:v/>
      </ns0:c>
      <ns0:c r="C1588">
        <ns0:f>IFERROR(IF(ISNUMBER($A1588),IF(AND(AH!$P$10=1,AH!$P$12=1,$A1588=TODAY()),AH!$P$19,IF(AH!$P$10=1,INDEX('Live History'!$B$5:$B$3004,AH!$P$13+1583),INDEX('AH History'!$B$1:$B$18046,AH!$P$7+1583))),NA()),NA())</ns0:f>
        <ns0:v/>
      </ns0:c>
      <ns0:c r="D1588">
        <ns0:f>IFERROR(IF(ISNUMBER($A1588),IF(AND(AH!$P$10=1,AH!$P$12=1,$A1588=TODAY()),AH!$P$18,IF(AH!$P$10=1,INDEX('Live History'!$E$5:$E$3004,MATCH($A1588,'Live History'!$D$5:$D$3004,1)),INDEX('AH History'!$C$1:$C$18046,AH!$P$7+1583))),NA()),NA())</ns0:f>
        <ns0:v/>
      </ns0:c>
      <ns0:c r="E1588">
        <ns0:f>IFERROR(IF(ISNUMBER($A1588),IF(AND(AH!$P$10=1,AH!$P$12=1,$A1588=TODAY()),AH!$P$20,IF(AH!$P$10=1,INDEX('Live History'!$H$5:$H$3004,MATCH($A1588,'Live History'!$G$5:$G$3004,1)),INDEX('AH History'!$D$1:$D$18046,AH!$P$7+1583))),NA()),NA())</ns0:f>
        <ns0:v/>
      </ns0:c>
      <ns0:c r="F1588">
        <ns0:f>IFERROR(IF(ISNUMBER($A1588),IF(AND(AH!$P$10=1,AH!$P$12=1,$A1588=TODAY()),IF(AND(AH!$P$10=1,AH!$P$12=1,$A1588=TODAY()),TODAY(),NA()),IF(AH!$P$10=1,INDEX('Live History'!$D$5:$D$3004,MATCH($A1588,'Live History'!$D$5:$D$3004,1)),INDEX('AH History'!$E$1:$E$18046,AH!$P$7+1583))),NA()),NA())</ns0:f>
        <ns0:v/>
      </ns0:c>
      <ns0:c r="G1588">
        <ns0:f>IFERROR(IF(ISNUMBER($A1588),IF(AND(AH!$P$10=1,AH!$P$12=1,$A1588=TODAY()),IF(AND(AH!$P$10=1,AH!$P$12=1,$A1588=TODAY()),TODAY(),NA()),IF(AH!$P$10=1,INDEX('Live History'!$G$5:$G$3004,MATCH($A1588,'Live History'!$G$5:$G$3004,1)),INDEX('AH History'!$F$1:$F$18046,AH!$P$7+1583))),NA()),NA())</ns0:f>
        <ns0:v/>
      </ns0:c>
      <ns0:c r="H1588">
        <ns0:f>IFERROR(IF(AND(AH!$E$4="Bloomberg",AH!$P$10=1,ISNUMBER($A1588),$A1588&lt;=AH!$P$17),AH!$P$7-1+MATCH($A1588,INDEX('AH History'!$A$1:$A$18046,AH!$P$7):INDEX('AH History'!$A$1:$A$18046,AH!$P$7+AH!$P$8-1),0),0),0)</ns0:f>
        <ns0:v/>
      </ns0:c>
      <ns0:c r="I1588">
        <ns0:f>IF($H1588=0,0,IFERROR(IF(AND(ABS($C1588-INDEX('AH History'!$B$1:$B$18046,$H1588))&lt;=MAX(0.005,ABS(INDEX('AH History'!$B$1:$B$18046,$H1588))*0.00005),ABS($D1588-INDEX('AH History'!$C$1:$C$18046,$H1588))&lt;=MAX(0.005,ABS(INDEX('AH History'!$C$1:$C$18046,$H1588))*0.00005),ABS($E1588-INDEX('AH History'!$D$1:$D$18046,$H1588))&lt;=0.00005,$F1588=INDEX('AH History'!$E$1:$E$18046,$H1588),$G1588=INDEX('AH History'!$F$1:$F$18046,$H1588)),1,-1),-1))</ns0:f>
        <ns0:v/>
      </ns0:c>
    </ns0:row>
    <ns0:row r="1589">
      <ns0:c r="A1589" s="215">
        <ns0:f>IF(OR(AH!$P$3=0,1584+1&gt;AH!$P$11,AND(AH!$E$4&lt;&gt;"Stored",AH!$P$10&lt;&gt;1)),"",IFERROR(IF(AND(AH!$P$21=1,1584+1=AH!$P$11),TODAY(),IF(AH!$P$10=1,INDEX('Live History'!$A$5:$A$3004,AH!$P$13+1584),INDEX('AH History'!$A$1:$A$18046,AH!$P$7+1584))),""))</ns0:f>
        <ns0:v/>
      </ns0:c>
      <ns0:c r="B1589" s="219">
        <ns0:f>IFERROR(IF(AND(AH!$P$9&lt;&gt;1,$C1589&gt;0,$D1589&gt;0,$E1589&gt;0,$F1589&gt;0,$G1589&gt;0,$F1589&lt;=$A1589,$G1589&lt;=$A1589,$A1589-$F1589&lt;=10,$A1589-$G1589&lt;=5),$D1589*$E1589/$C1589-1,NA()),NA())</ns0:f>
        <ns0:v/>
      </ns0:c>
      <ns0:c r="C1589">
        <ns0:f>IFERROR(IF(ISNUMBER($A1589),IF(AND(AH!$P$10=1,AH!$P$12=1,$A1589=TODAY()),AH!$P$19,IF(AH!$P$10=1,INDEX('Live History'!$B$5:$B$3004,AH!$P$13+1584),INDEX('AH History'!$B$1:$B$18046,AH!$P$7+1584))),NA()),NA())</ns0:f>
        <ns0:v/>
      </ns0:c>
      <ns0:c r="D1589">
        <ns0:f>IFERROR(IF(ISNUMBER($A1589),IF(AND(AH!$P$10=1,AH!$P$12=1,$A1589=TODAY()),AH!$P$18,IF(AH!$P$10=1,INDEX('Live History'!$E$5:$E$3004,MATCH($A1589,'Live History'!$D$5:$D$3004,1)),INDEX('AH History'!$C$1:$C$18046,AH!$P$7+1584))),NA()),NA())</ns0:f>
        <ns0:v/>
      </ns0:c>
      <ns0:c r="E1589">
        <ns0:f>IFERROR(IF(ISNUMBER($A1589),IF(AND(AH!$P$10=1,AH!$P$12=1,$A1589=TODAY()),AH!$P$20,IF(AH!$P$10=1,INDEX('Live History'!$H$5:$H$3004,MATCH($A1589,'Live History'!$G$5:$G$3004,1)),INDEX('AH History'!$D$1:$D$18046,AH!$P$7+1584))),NA()),NA())</ns0:f>
        <ns0:v/>
      </ns0:c>
      <ns0:c r="F1589">
        <ns0:f>IFERROR(IF(ISNUMBER($A1589),IF(AND(AH!$P$10=1,AH!$P$12=1,$A1589=TODAY()),IF(AND(AH!$P$10=1,AH!$P$12=1,$A1589=TODAY()),TODAY(),NA()),IF(AH!$P$10=1,INDEX('Live History'!$D$5:$D$3004,MATCH($A1589,'Live History'!$D$5:$D$3004,1)),INDEX('AH History'!$E$1:$E$18046,AH!$P$7+1584))),NA()),NA())</ns0:f>
        <ns0:v/>
      </ns0:c>
      <ns0:c r="G1589">
        <ns0:f>IFERROR(IF(ISNUMBER($A1589),IF(AND(AH!$P$10=1,AH!$P$12=1,$A1589=TODAY()),IF(AND(AH!$P$10=1,AH!$P$12=1,$A1589=TODAY()),TODAY(),NA()),IF(AH!$P$10=1,INDEX('Live History'!$G$5:$G$3004,MATCH($A1589,'Live History'!$G$5:$G$3004,1)),INDEX('AH History'!$F$1:$F$18046,AH!$P$7+1584))),NA()),NA())</ns0:f>
        <ns0:v/>
      </ns0:c>
      <ns0:c r="H1589">
        <ns0:f>IFERROR(IF(AND(AH!$E$4="Bloomberg",AH!$P$10=1,ISNUMBER($A1589),$A1589&lt;=AH!$P$17),AH!$P$7-1+MATCH($A1589,INDEX('AH History'!$A$1:$A$18046,AH!$P$7):INDEX('AH History'!$A$1:$A$18046,AH!$P$7+AH!$P$8-1),0),0),0)</ns0:f>
        <ns0:v/>
      </ns0:c>
      <ns0:c r="I1589">
        <ns0:f>IF($H1589=0,0,IFERROR(IF(AND(ABS($C1589-INDEX('AH History'!$B$1:$B$18046,$H1589))&lt;=MAX(0.005,ABS(INDEX('AH History'!$B$1:$B$18046,$H1589))*0.00005),ABS($D1589-INDEX('AH History'!$C$1:$C$18046,$H1589))&lt;=MAX(0.005,ABS(INDEX('AH History'!$C$1:$C$18046,$H1589))*0.00005),ABS($E1589-INDEX('AH History'!$D$1:$D$18046,$H1589))&lt;=0.00005,$F1589=INDEX('AH History'!$E$1:$E$18046,$H1589),$G1589=INDEX('AH History'!$F$1:$F$18046,$H1589)),1,-1),-1))</ns0:f>
        <ns0:v/>
      </ns0:c>
    </ns0:row>
    <ns0:row r="1590">
      <ns0:c r="A1590" s="215">
        <ns0:f>IF(OR(AH!$P$3=0,1585+1&gt;AH!$P$11,AND(AH!$E$4&lt;&gt;"Stored",AH!$P$10&lt;&gt;1)),"",IFERROR(IF(AND(AH!$P$21=1,1585+1=AH!$P$11),TODAY(),IF(AH!$P$10=1,INDEX('Live History'!$A$5:$A$3004,AH!$P$13+1585),INDEX('AH History'!$A$1:$A$18046,AH!$P$7+1585))),""))</ns0:f>
        <ns0:v/>
      </ns0:c>
      <ns0:c r="B1590" s="219">
        <ns0:f>IFERROR(IF(AND(AH!$P$9&lt;&gt;1,$C1590&gt;0,$D1590&gt;0,$E1590&gt;0,$F1590&gt;0,$G1590&gt;0,$F1590&lt;=$A1590,$G1590&lt;=$A1590,$A1590-$F1590&lt;=10,$A1590-$G1590&lt;=5),$D1590*$E1590/$C1590-1,NA()),NA())</ns0:f>
        <ns0:v/>
      </ns0:c>
      <ns0:c r="C1590">
        <ns0:f>IFERROR(IF(ISNUMBER($A1590),IF(AND(AH!$P$10=1,AH!$P$12=1,$A1590=TODAY()),AH!$P$19,IF(AH!$P$10=1,INDEX('Live History'!$B$5:$B$3004,AH!$P$13+1585),INDEX('AH History'!$B$1:$B$18046,AH!$P$7+1585))),NA()),NA())</ns0:f>
        <ns0:v/>
      </ns0:c>
      <ns0:c r="D1590">
        <ns0:f>IFERROR(IF(ISNUMBER($A1590),IF(AND(AH!$P$10=1,AH!$P$12=1,$A1590=TODAY()),AH!$P$18,IF(AH!$P$10=1,INDEX('Live History'!$E$5:$E$3004,MATCH($A1590,'Live History'!$D$5:$D$3004,1)),INDEX('AH History'!$C$1:$C$18046,AH!$P$7+1585))),NA()),NA())</ns0:f>
        <ns0:v/>
      </ns0:c>
      <ns0:c r="E1590">
        <ns0:f>IFERROR(IF(ISNUMBER($A1590),IF(AND(AH!$P$10=1,AH!$P$12=1,$A1590=TODAY()),AH!$P$20,IF(AH!$P$10=1,INDEX('Live History'!$H$5:$H$3004,MATCH($A1590,'Live History'!$G$5:$G$3004,1)),INDEX('AH History'!$D$1:$D$18046,AH!$P$7+1585))),NA()),NA())</ns0:f>
        <ns0:v/>
      </ns0:c>
      <ns0:c r="F1590">
        <ns0:f>IFERROR(IF(ISNUMBER($A1590),IF(AND(AH!$P$10=1,AH!$P$12=1,$A1590=TODAY()),IF(AND(AH!$P$10=1,AH!$P$12=1,$A1590=TODAY()),TODAY(),NA()),IF(AH!$P$10=1,INDEX('Live History'!$D$5:$D$3004,MATCH($A1590,'Live History'!$D$5:$D$3004,1)),INDEX('AH History'!$E$1:$E$18046,AH!$P$7+1585))),NA()),NA())</ns0:f>
        <ns0:v/>
      </ns0:c>
      <ns0:c r="G1590">
        <ns0:f>IFERROR(IF(ISNUMBER($A1590),IF(AND(AH!$P$10=1,AH!$P$12=1,$A1590=TODAY()),IF(AND(AH!$P$10=1,AH!$P$12=1,$A1590=TODAY()),TODAY(),NA()),IF(AH!$P$10=1,INDEX('Live History'!$G$5:$G$3004,MATCH($A1590,'Live History'!$G$5:$G$3004,1)),INDEX('AH History'!$F$1:$F$18046,AH!$P$7+1585))),NA()),NA())</ns0:f>
        <ns0:v/>
      </ns0:c>
      <ns0:c r="H1590">
        <ns0:f>IFERROR(IF(AND(AH!$E$4="Bloomberg",AH!$P$10=1,ISNUMBER($A1590),$A1590&lt;=AH!$P$17),AH!$P$7-1+MATCH($A1590,INDEX('AH History'!$A$1:$A$18046,AH!$P$7):INDEX('AH History'!$A$1:$A$18046,AH!$P$7+AH!$P$8-1),0),0),0)</ns0:f>
        <ns0:v/>
      </ns0:c>
      <ns0:c r="I1590">
        <ns0:f>IF($H1590=0,0,IFERROR(IF(AND(ABS($C1590-INDEX('AH History'!$B$1:$B$18046,$H1590))&lt;=MAX(0.005,ABS(INDEX('AH History'!$B$1:$B$18046,$H1590))*0.00005),ABS($D1590-INDEX('AH History'!$C$1:$C$18046,$H1590))&lt;=MAX(0.005,ABS(INDEX('AH History'!$C$1:$C$18046,$H1590))*0.00005),ABS($E1590-INDEX('AH History'!$D$1:$D$18046,$H1590))&lt;=0.00005,$F1590=INDEX('AH History'!$E$1:$E$18046,$H1590),$G1590=INDEX('AH History'!$F$1:$F$18046,$H1590)),1,-1),-1))</ns0:f>
        <ns0:v/>
      </ns0:c>
    </ns0:row>
    <ns0:row r="1591">
      <ns0:c r="A1591" s="215">
        <ns0:f>IF(OR(AH!$P$3=0,1586+1&gt;AH!$P$11,AND(AH!$E$4&lt;&gt;"Stored",AH!$P$10&lt;&gt;1)),"",IFERROR(IF(AND(AH!$P$21=1,1586+1=AH!$P$11),TODAY(),IF(AH!$P$10=1,INDEX('Live History'!$A$5:$A$3004,AH!$P$13+1586),INDEX('AH History'!$A$1:$A$18046,AH!$P$7+1586))),""))</ns0:f>
        <ns0:v/>
      </ns0:c>
      <ns0:c r="B1591" s="219">
        <ns0:f>IFERROR(IF(AND(AH!$P$9&lt;&gt;1,$C1591&gt;0,$D1591&gt;0,$E1591&gt;0,$F1591&gt;0,$G1591&gt;0,$F1591&lt;=$A1591,$G1591&lt;=$A1591,$A1591-$F1591&lt;=10,$A1591-$G1591&lt;=5),$D1591*$E1591/$C1591-1,NA()),NA())</ns0:f>
        <ns0:v/>
      </ns0:c>
      <ns0:c r="C1591">
        <ns0:f>IFERROR(IF(ISNUMBER($A1591),IF(AND(AH!$P$10=1,AH!$P$12=1,$A1591=TODAY()),AH!$P$19,IF(AH!$P$10=1,INDEX('Live History'!$B$5:$B$3004,AH!$P$13+1586),INDEX('AH History'!$B$1:$B$18046,AH!$P$7+1586))),NA()),NA())</ns0:f>
        <ns0:v/>
      </ns0:c>
      <ns0:c r="D1591">
        <ns0:f>IFERROR(IF(ISNUMBER($A1591),IF(AND(AH!$P$10=1,AH!$P$12=1,$A1591=TODAY()),AH!$P$18,IF(AH!$P$10=1,INDEX('Live History'!$E$5:$E$3004,MATCH($A1591,'Live History'!$D$5:$D$3004,1)),INDEX('AH History'!$C$1:$C$18046,AH!$P$7+1586))),NA()),NA())</ns0:f>
        <ns0:v/>
      </ns0:c>
      <ns0:c r="E1591">
        <ns0:f>IFERROR(IF(ISNUMBER($A1591),IF(AND(AH!$P$10=1,AH!$P$12=1,$A1591=TODAY()),AH!$P$20,IF(AH!$P$10=1,INDEX('Live History'!$H$5:$H$3004,MATCH($A1591,'Live History'!$G$5:$G$3004,1)),INDEX('AH History'!$D$1:$D$18046,AH!$P$7+1586))),NA()),NA())</ns0:f>
        <ns0:v/>
      </ns0:c>
      <ns0:c r="F1591">
        <ns0:f>IFERROR(IF(ISNUMBER($A1591),IF(AND(AH!$P$10=1,AH!$P$12=1,$A1591=TODAY()),IF(AND(AH!$P$10=1,AH!$P$12=1,$A1591=TODAY()),TODAY(),NA()),IF(AH!$P$10=1,INDEX('Live History'!$D$5:$D$3004,MATCH($A1591,'Live History'!$D$5:$D$3004,1)),INDEX('AH History'!$E$1:$E$18046,AH!$P$7+1586))),NA()),NA())</ns0:f>
        <ns0:v/>
      </ns0:c>
      <ns0:c r="G1591">
        <ns0:f>IFERROR(IF(ISNUMBER($A1591),IF(AND(AH!$P$10=1,AH!$P$12=1,$A1591=TODAY()),IF(AND(AH!$P$10=1,AH!$P$12=1,$A1591=TODAY()),TODAY(),NA()),IF(AH!$P$10=1,INDEX('Live History'!$G$5:$G$3004,MATCH($A1591,'Live History'!$G$5:$G$3004,1)),INDEX('AH History'!$F$1:$F$18046,AH!$P$7+1586))),NA()),NA())</ns0:f>
        <ns0:v/>
      </ns0:c>
      <ns0:c r="H1591">
        <ns0:f>IFERROR(IF(AND(AH!$E$4="Bloomberg",AH!$P$10=1,ISNUMBER($A1591),$A1591&lt;=AH!$P$17),AH!$P$7-1+MATCH($A1591,INDEX('AH History'!$A$1:$A$18046,AH!$P$7):INDEX('AH History'!$A$1:$A$18046,AH!$P$7+AH!$P$8-1),0),0),0)</ns0:f>
        <ns0:v/>
      </ns0:c>
      <ns0:c r="I1591">
        <ns0:f>IF($H1591=0,0,IFERROR(IF(AND(ABS($C1591-INDEX('AH History'!$B$1:$B$18046,$H1591))&lt;=MAX(0.005,ABS(INDEX('AH History'!$B$1:$B$18046,$H1591))*0.00005),ABS($D1591-INDEX('AH History'!$C$1:$C$18046,$H1591))&lt;=MAX(0.005,ABS(INDEX('AH History'!$C$1:$C$18046,$H1591))*0.00005),ABS($E1591-INDEX('AH History'!$D$1:$D$18046,$H1591))&lt;=0.00005,$F1591=INDEX('AH History'!$E$1:$E$18046,$H1591),$G1591=INDEX('AH History'!$F$1:$F$18046,$H1591)),1,-1),-1))</ns0:f>
        <ns0:v/>
      </ns0:c>
    </ns0:row>
    <ns0:row r="1592">
      <ns0:c r="A1592" s="215">
        <ns0:f>IF(OR(AH!$P$3=0,1587+1&gt;AH!$P$11,AND(AH!$E$4&lt;&gt;"Stored",AH!$P$10&lt;&gt;1)),"",IFERROR(IF(AND(AH!$P$21=1,1587+1=AH!$P$11),TODAY(),IF(AH!$P$10=1,INDEX('Live History'!$A$5:$A$3004,AH!$P$13+1587),INDEX('AH History'!$A$1:$A$18046,AH!$P$7+1587))),""))</ns0:f>
        <ns0:v/>
      </ns0:c>
      <ns0:c r="B1592" s="219">
        <ns0:f>IFERROR(IF(AND(AH!$P$9&lt;&gt;1,$C1592&gt;0,$D1592&gt;0,$E1592&gt;0,$F1592&gt;0,$G1592&gt;0,$F1592&lt;=$A1592,$G1592&lt;=$A1592,$A1592-$F1592&lt;=10,$A1592-$G1592&lt;=5),$D1592*$E1592/$C1592-1,NA()),NA())</ns0:f>
        <ns0:v/>
      </ns0:c>
      <ns0:c r="C1592">
        <ns0:f>IFERROR(IF(ISNUMBER($A1592),IF(AND(AH!$P$10=1,AH!$P$12=1,$A1592=TODAY()),AH!$P$19,IF(AH!$P$10=1,INDEX('Live History'!$B$5:$B$3004,AH!$P$13+1587),INDEX('AH History'!$B$1:$B$18046,AH!$P$7+1587))),NA()),NA())</ns0:f>
        <ns0:v/>
      </ns0:c>
      <ns0:c r="D1592">
        <ns0:f>IFERROR(IF(ISNUMBER($A1592),IF(AND(AH!$P$10=1,AH!$P$12=1,$A1592=TODAY()),AH!$P$18,IF(AH!$P$10=1,INDEX('Live History'!$E$5:$E$3004,MATCH($A1592,'Live History'!$D$5:$D$3004,1)),INDEX('AH History'!$C$1:$C$18046,AH!$P$7+1587))),NA()),NA())</ns0:f>
        <ns0:v/>
      </ns0:c>
      <ns0:c r="E1592">
        <ns0:f>IFERROR(IF(ISNUMBER($A1592),IF(AND(AH!$P$10=1,AH!$P$12=1,$A1592=TODAY()),AH!$P$20,IF(AH!$P$10=1,INDEX('Live History'!$H$5:$H$3004,MATCH($A1592,'Live History'!$G$5:$G$3004,1)),INDEX('AH History'!$D$1:$D$18046,AH!$P$7+1587))),NA()),NA())</ns0:f>
        <ns0:v/>
      </ns0:c>
      <ns0:c r="F1592">
        <ns0:f>IFERROR(IF(ISNUMBER($A1592),IF(AND(AH!$P$10=1,AH!$P$12=1,$A1592=TODAY()),IF(AND(AH!$P$10=1,AH!$P$12=1,$A1592=TODAY()),TODAY(),NA()),IF(AH!$P$10=1,INDEX('Live History'!$D$5:$D$3004,MATCH($A1592,'Live History'!$D$5:$D$3004,1)),INDEX('AH History'!$E$1:$E$18046,AH!$P$7+1587))),NA()),NA())</ns0:f>
        <ns0:v/>
      </ns0:c>
      <ns0:c r="G1592">
        <ns0:f>IFERROR(IF(ISNUMBER($A1592),IF(AND(AH!$P$10=1,AH!$P$12=1,$A1592=TODAY()),IF(AND(AH!$P$10=1,AH!$P$12=1,$A1592=TODAY()),TODAY(),NA()),IF(AH!$P$10=1,INDEX('Live History'!$G$5:$G$3004,MATCH($A1592,'Live History'!$G$5:$G$3004,1)),INDEX('AH History'!$F$1:$F$18046,AH!$P$7+1587))),NA()),NA())</ns0:f>
        <ns0:v/>
      </ns0:c>
      <ns0:c r="H1592">
        <ns0:f>IFERROR(IF(AND(AH!$E$4="Bloomberg",AH!$P$10=1,ISNUMBER($A1592),$A1592&lt;=AH!$P$17),AH!$P$7-1+MATCH($A1592,INDEX('AH History'!$A$1:$A$18046,AH!$P$7):INDEX('AH History'!$A$1:$A$18046,AH!$P$7+AH!$P$8-1),0),0),0)</ns0:f>
        <ns0:v/>
      </ns0:c>
      <ns0:c r="I1592">
        <ns0:f>IF($H1592=0,0,IFERROR(IF(AND(ABS($C1592-INDEX('AH History'!$B$1:$B$18046,$H1592))&lt;=MAX(0.005,ABS(INDEX('AH History'!$B$1:$B$18046,$H1592))*0.00005),ABS($D1592-INDEX('AH History'!$C$1:$C$18046,$H1592))&lt;=MAX(0.005,ABS(INDEX('AH History'!$C$1:$C$18046,$H1592))*0.00005),ABS($E1592-INDEX('AH History'!$D$1:$D$18046,$H1592))&lt;=0.00005,$F1592=INDEX('AH History'!$E$1:$E$18046,$H1592),$G1592=INDEX('AH History'!$F$1:$F$18046,$H1592)),1,-1),-1))</ns0:f>
        <ns0:v/>
      </ns0:c>
    </ns0:row>
    <ns0:row r="1593">
      <ns0:c r="A1593" s="215">
        <ns0:f>IF(OR(AH!$P$3=0,1588+1&gt;AH!$P$11,AND(AH!$E$4&lt;&gt;"Stored",AH!$P$10&lt;&gt;1)),"",IFERROR(IF(AND(AH!$P$21=1,1588+1=AH!$P$11),TODAY(),IF(AH!$P$10=1,INDEX('Live History'!$A$5:$A$3004,AH!$P$13+1588),INDEX('AH History'!$A$1:$A$18046,AH!$P$7+1588))),""))</ns0:f>
        <ns0:v/>
      </ns0:c>
      <ns0:c r="B1593" s="219">
        <ns0:f>IFERROR(IF(AND(AH!$P$9&lt;&gt;1,$C1593&gt;0,$D1593&gt;0,$E1593&gt;0,$F1593&gt;0,$G1593&gt;0,$F1593&lt;=$A1593,$G1593&lt;=$A1593,$A1593-$F1593&lt;=10,$A1593-$G1593&lt;=5),$D1593*$E1593/$C1593-1,NA()),NA())</ns0:f>
        <ns0:v/>
      </ns0:c>
      <ns0:c r="C1593">
        <ns0:f>IFERROR(IF(ISNUMBER($A1593),IF(AND(AH!$P$10=1,AH!$P$12=1,$A1593=TODAY()),AH!$P$19,IF(AH!$P$10=1,INDEX('Live History'!$B$5:$B$3004,AH!$P$13+1588),INDEX('AH History'!$B$1:$B$18046,AH!$P$7+1588))),NA()),NA())</ns0:f>
        <ns0:v/>
      </ns0:c>
      <ns0:c r="D1593">
        <ns0:f>IFERROR(IF(ISNUMBER($A1593),IF(AND(AH!$P$10=1,AH!$P$12=1,$A1593=TODAY()),AH!$P$18,IF(AH!$P$10=1,INDEX('Live History'!$E$5:$E$3004,MATCH($A1593,'Live History'!$D$5:$D$3004,1)),INDEX('AH History'!$C$1:$C$18046,AH!$P$7+1588))),NA()),NA())</ns0:f>
        <ns0:v/>
      </ns0:c>
      <ns0:c r="E1593">
        <ns0:f>IFERROR(IF(ISNUMBER($A1593),IF(AND(AH!$P$10=1,AH!$P$12=1,$A1593=TODAY()),AH!$P$20,IF(AH!$P$10=1,INDEX('Live History'!$H$5:$H$3004,MATCH($A1593,'Live History'!$G$5:$G$3004,1)),INDEX('AH History'!$D$1:$D$18046,AH!$P$7+1588))),NA()),NA())</ns0:f>
        <ns0:v/>
      </ns0:c>
      <ns0:c r="F1593">
        <ns0:f>IFERROR(IF(ISNUMBER($A1593),IF(AND(AH!$P$10=1,AH!$P$12=1,$A1593=TODAY()),IF(AND(AH!$P$10=1,AH!$P$12=1,$A1593=TODAY()),TODAY(),NA()),IF(AH!$P$10=1,INDEX('Live History'!$D$5:$D$3004,MATCH($A1593,'Live History'!$D$5:$D$3004,1)),INDEX('AH History'!$E$1:$E$18046,AH!$P$7+1588))),NA()),NA())</ns0:f>
        <ns0:v/>
      </ns0:c>
      <ns0:c r="G1593">
        <ns0:f>IFERROR(IF(ISNUMBER($A1593),IF(AND(AH!$P$10=1,AH!$P$12=1,$A1593=TODAY()),IF(AND(AH!$P$10=1,AH!$P$12=1,$A1593=TODAY()),TODAY(),NA()),IF(AH!$P$10=1,INDEX('Live History'!$G$5:$G$3004,MATCH($A1593,'Live History'!$G$5:$G$3004,1)),INDEX('AH History'!$F$1:$F$18046,AH!$P$7+1588))),NA()),NA())</ns0:f>
        <ns0:v/>
      </ns0:c>
      <ns0:c r="H1593">
        <ns0:f>IFERROR(IF(AND(AH!$E$4="Bloomberg",AH!$P$10=1,ISNUMBER($A1593),$A1593&lt;=AH!$P$17),AH!$P$7-1+MATCH($A1593,INDEX('AH History'!$A$1:$A$18046,AH!$P$7):INDEX('AH History'!$A$1:$A$18046,AH!$P$7+AH!$P$8-1),0),0),0)</ns0:f>
        <ns0:v/>
      </ns0:c>
      <ns0:c r="I1593">
        <ns0:f>IF($H1593=0,0,IFERROR(IF(AND(ABS($C1593-INDEX('AH History'!$B$1:$B$18046,$H1593))&lt;=MAX(0.005,ABS(INDEX('AH History'!$B$1:$B$18046,$H1593))*0.00005),ABS($D1593-INDEX('AH History'!$C$1:$C$18046,$H1593))&lt;=MAX(0.005,ABS(INDEX('AH History'!$C$1:$C$18046,$H1593))*0.00005),ABS($E1593-INDEX('AH History'!$D$1:$D$18046,$H1593))&lt;=0.00005,$F1593=INDEX('AH History'!$E$1:$E$18046,$H1593),$G1593=INDEX('AH History'!$F$1:$F$18046,$H1593)),1,-1),-1))</ns0:f>
        <ns0:v/>
      </ns0:c>
    </ns0:row>
    <ns0:row r="1594">
      <ns0:c r="A1594" s="215">
        <ns0:f>IF(OR(AH!$P$3=0,1589+1&gt;AH!$P$11,AND(AH!$E$4&lt;&gt;"Stored",AH!$P$10&lt;&gt;1)),"",IFERROR(IF(AND(AH!$P$21=1,1589+1=AH!$P$11),TODAY(),IF(AH!$P$10=1,INDEX('Live History'!$A$5:$A$3004,AH!$P$13+1589),INDEX('AH History'!$A$1:$A$18046,AH!$P$7+1589))),""))</ns0:f>
        <ns0:v/>
      </ns0:c>
      <ns0:c r="B1594" s="219">
        <ns0:f>IFERROR(IF(AND(AH!$P$9&lt;&gt;1,$C1594&gt;0,$D1594&gt;0,$E1594&gt;0,$F1594&gt;0,$G1594&gt;0,$F1594&lt;=$A1594,$G1594&lt;=$A1594,$A1594-$F1594&lt;=10,$A1594-$G1594&lt;=5),$D1594*$E1594/$C1594-1,NA()),NA())</ns0:f>
        <ns0:v/>
      </ns0:c>
      <ns0:c r="C1594">
        <ns0:f>IFERROR(IF(ISNUMBER($A1594),IF(AND(AH!$P$10=1,AH!$P$12=1,$A1594=TODAY()),AH!$P$19,IF(AH!$P$10=1,INDEX('Live History'!$B$5:$B$3004,AH!$P$13+1589),INDEX('AH History'!$B$1:$B$18046,AH!$P$7+1589))),NA()),NA())</ns0:f>
        <ns0:v/>
      </ns0:c>
      <ns0:c r="D1594">
        <ns0:f>IFERROR(IF(ISNUMBER($A1594),IF(AND(AH!$P$10=1,AH!$P$12=1,$A1594=TODAY()),AH!$P$18,IF(AH!$P$10=1,INDEX('Live History'!$E$5:$E$3004,MATCH($A1594,'Live History'!$D$5:$D$3004,1)),INDEX('AH History'!$C$1:$C$18046,AH!$P$7+1589))),NA()),NA())</ns0:f>
        <ns0:v/>
      </ns0:c>
      <ns0:c r="E1594">
        <ns0:f>IFERROR(IF(ISNUMBER($A1594),IF(AND(AH!$P$10=1,AH!$P$12=1,$A1594=TODAY()),AH!$P$20,IF(AH!$P$10=1,INDEX('Live History'!$H$5:$H$3004,MATCH($A1594,'Live History'!$G$5:$G$3004,1)),INDEX('AH History'!$D$1:$D$18046,AH!$P$7+1589))),NA()),NA())</ns0:f>
        <ns0:v/>
      </ns0:c>
      <ns0:c r="F1594">
        <ns0:f>IFERROR(IF(ISNUMBER($A1594),IF(AND(AH!$P$10=1,AH!$P$12=1,$A1594=TODAY()),IF(AND(AH!$P$10=1,AH!$P$12=1,$A1594=TODAY()),TODAY(),NA()),IF(AH!$P$10=1,INDEX('Live History'!$D$5:$D$3004,MATCH($A1594,'Live History'!$D$5:$D$3004,1)),INDEX('AH History'!$E$1:$E$18046,AH!$P$7+1589))),NA()),NA())</ns0:f>
        <ns0:v/>
      </ns0:c>
      <ns0:c r="G1594">
        <ns0:f>IFERROR(IF(ISNUMBER($A1594),IF(AND(AH!$P$10=1,AH!$P$12=1,$A1594=TODAY()),IF(AND(AH!$P$10=1,AH!$P$12=1,$A1594=TODAY()),TODAY(),NA()),IF(AH!$P$10=1,INDEX('Live History'!$G$5:$G$3004,MATCH($A1594,'Live History'!$G$5:$G$3004,1)),INDEX('AH History'!$F$1:$F$18046,AH!$P$7+1589))),NA()),NA())</ns0:f>
        <ns0:v/>
      </ns0:c>
      <ns0:c r="H1594">
        <ns0:f>IFERROR(IF(AND(AH!$E$4="Bloomberg",AH!$P$10=1,ISNUMBER($A1594),$A1594&lt;=AH!$P$17),AH!$P$7-1+MATCH($A1594,INDEX('AH History'!$A$1:$A$18046,AH!$P$7):INDEX('AH History'!$A$1:$A$18046,AH!$P$7+AH!$P$8-1),0),0),0)</ns0:f>
        <ns0:v/>
      </ns0:c>
      <ns0:c r="I1594">
        <ns0:f>IF($H1594=0,0,IFERROR(IF(AND(ABS($C1594-INDEX('AH History'!$B$1:$B$18046,$H1594))&lt;=MAX(0.005,ABS(INDEX('AH History'!$B$1:$B$18046,$H1594))*0.00005),ABS($D1594-INDEX('AH History'!$C$1:$C$18046,$H1594))&lt;=MAX(0.005,ABS(INDEX('AH History'!$C$1:$C$18046,$H1594))*0.00005),ABS($E1594-INDEX('AH History'!$D$1:$D$18046,$H1594))&lt;=0.00005,$F1594=INDEX('AH History'!$E$1:$E$18046,$H1594),$G1594=INDEX('AH History'!$F$1:$F$18046,$H1594)),1,-1),-1))</ns0:f>
        <ns0:v/>
      </ns0:c>
    </ns0:row>
    <ns0:row r="1595">
      <ns0:c r="A1595" s="215">
        <ns0:f>IF(OR(AH!$P$3=0,1590+1&gt;AH!$P$11,AND(AH!$E$4&lt;&gt;"Stored",AH!$P$10&lt;&gt;1)),"",IFERROR(IF(AND(AH!$P$21=1,1590+1=AH!$P$11),TODAY(),IF(AH!$P$10=1,INDEX('Live History'!$A$5:$A$3004,AH!$P$13+1590),INDEX('AH History'!$A$1:$A$18046,AH!$P$7+1590))),""))</ns0:f>
        <ns0:v/>
      </ns0:c>
      <ns0:c r="B1595" s="219">
        <ns0:f>IFERROR(IF(AND(AH!$P$9&lt;&gt;1,$C1595&gt;0,$D1595&gt;0,$E1595&gt;0,$F1595&gt;0,$G1595&gt;0,$F1595&lt;=$A1595,$G1595&lt;=$A1595,$A1595-$F1595&lt;=10,$A1595-$G1595&lt;=5),$D1595*$E1595/$C1595-1,NA()),NA())</ns0:f>
        <ns0:v/>
      </ns0:c>
      <ns0:c r="C1595">
        <ns0:f>IFERROR(IF(ISNUMBER($A1595),IF(AND(AH!$P$10=1,AH!$P$12=1,$A1595=TODAY()),AH!$P$19,IF(AH!$P$10=1,INDEX('Live History'!$B$5:$B$3004,AH!$P$13+1590),INDEX('AH History'!$B$1:$B$18046,AH!$P$7+1590))),NA()),NA())</ns0:f>
        <ns0:v/>
      </ns0:c>
      <ns0:c r="D1595">
        <ns0:f>IFERROR(IF(ISNUMBER($A1595),IF(AND(AH!$P$10=1,AH!$P$12=1,$A1595=TODAY()),AH!$P$18,IF(AH!$P$10=1,INDEX('Live History'!$E$5:$E$3004,MATCH($A1595,'Live History'!$D$5:$D$3004,1)),INDEX('AH History'!$C$1:$C$18046,AH!$P$7+1590))),NA()),NA())</ns0:f>
        <ns0:v/>
      </ns0:c>
      <ns0:c r="E1595">
        <ns0:f>IFERROR(IF(ISNUMBER($A1595),IF(AND(AH!$P$10=1,AH!$P$12=1,$A1595=TODAY()),AH!$P$20,IF(AH!$P$10=1,INDEX('Live History'!$H$5:$H$3004,MATCH($A1595,'Live History'!$G$5:$G$3004,1)),INDEX('AH History'!$D$1:$D$18046,AH!$P$7+1590))),NA()),NA())</ns0:f>
        <ns0:v/>
      </ns0:c>
      <ns0:c r="F1595">
        <ns0:f>IFERROR(IF(ISNUMBER($A1595),IF(AND(AH!$P$10=1,AH!$P$12=1,$A1595=TODAY()),IF(AND(AH!$P$10=1,AH!$P$12=1,$A1595=TODAY()),TODAY(),NA()),IF(AH!$P$10=1,INDEX('Live History'!$D$5:$D$3004,MATCH($A1595,'Live History'!$D$5:$D$3004,1)),INDEX('AH History'!$E$1:$E$18046,AH!$P$7+1590))),NA()),NA())</ns0:f>
        <ns0:v/>
      </ns0:c>
      <ns0:c r="G1595">
        <ns0:f>IFERROR(IF(ISNUMBER($A1595),IF(AND(AH!$P$10=1,AH!$P$12=1,$A1595=TODAY()),IF(AND(AH!$P$10=1,AH!$P$12=1,$A1595=TODAY()),TODAY(),NA()),IF(AH!$P$10=1,INDEX('Live History'!$G$5:$G$3004,MATCH($A1595,'Live History'!$G$5:$G$3004,1)),INDEX('AH History'!$F$1:$F$18046,AH!$P$7+1590))),NA()),NA())</ns0:f>
        <ns0:v/>
      </ns0:c>
      <ns0:c r="H1595">
        <ns0:f>IFERROR(IF(AND(AH!$E$4="Bloomberg",AH!$P$10=1,ISNUMBER($A1595),$A1595&lt;=AH!$P$17),AH!$P$7-1+MATCH($A1595,INDEX('AH History'!$A$1:$A$18046,AH!$P$7):INDEX('AH History'!$A$1:$A$18046,AH!$P$7+AH!$P$8-1),0),0),0)</ns0:f>
        <ns0:v/>
      </ns0:c>
      <ns0:c r="I1595">
        <ns0:f>IF($H1595=0,0,IFERROR(IF(AND(ABS($C1595-INDEX('AH History'!$B$1:$B$18046,$H1595))&lt;=MAX(0.005,ABS(INDEX('AH History'!$B$1:$B$18046,$H1595))*0.00005),ABS($D1595-INDEX('AH History'!$C$1:$C$18046,$H1595))&lt;=MAX(0.005,ABS(INDEX('AH History'!$C$1:$C$18046,$H1595))*0.00005),ABS($E1595-INDEX('AH History'!$D$1:$D$18046,$H1595))&lt;=0.00005,$F1595=INDEX('AH History'!$E$1:$E$18046,$H1595),$G1595=INDEX('AH History'!$F$1:$F$18046,$H1595)),1,-1),-1))</ns0:f>
        <ns0:v/>
      </ns0:c>
    </ns0:row>
    <ns0:row r="1596">
      <ns0:c r="A1596" s="215">
        <ns0:f>IF(OR(AH!$P$3=0,1591+1&gt;AH!$P$11,AND(AH!$E$4&lt;&gt;"Stored",AH!$P$10&lt;&gt;1)),"",IFERROR(IF(AND(AH!$P$21=1,1591+1=AH!$P$11),TODAY(),IF(AH!$P$10=1,INDEX('Live History'!$A$5:$A$3004,AH!$P$13+1591),INDEX('AH History'!$A$1:$A$18046,AH!$P$7+1591))),""))</ns0:f>
        <ns0:v/>
      </ns0:c>
      <ns0:c r="B1596" s="219">
        <ns0:f>IFERROR(IF(AND(AH!$P$9&lt;&gt;1,$C1596&gt;0,$D1596&gt;0,$E1596&gt;0,$F1596&gt;0,$G1596&gt;0,$F1596&lt;=$A1596,$G1596&lt;=$A1596,$A1596-$F1596&lt;=10,$A1596-$G1596&lt;=5),$D1596*$E1596/$C1596-1,NA()),NA())</ns0:f>
        <ns0:v/>
      </ns0:c>
      <ns0:c r="C1596">
        <ns0:f>IFERROR(IF(ISNUMBER($A1596),IF(AND(AH!$P$10=1,AH!$P$12=1,$A1596=TODAY()),AH!$P$19,IF(AH!$P$10=1,INDEX('Live History'!$B$5:$B$3004,AH!$P$13+1591),INDEX('AH History'!$B$1:$B$18046,AH!$P$7+1591))),NA()),NA())</ns0:f>
        <ns0:v/>
      </ns0:c>
      <ns0:c r="D1596">
        <ns0:f>IFERROR(IF(ISNUMBER($A1596),IF(AND(AH!$P$10=1,AH!$P$12=1,$A1596=TODAY()),AH!$P$18,IF(AH!$P$10=1,INDEX('Live History'!$E$5:$E$3004,MATCH($A1596,'Live History'!$D$5:$D$3004,1)),INDEX('AH History'!$C$1:$C$18046,AH!$P$7+1591))),NA()),NA())</ns0:f>
        <ns0:v/>
      </ns0:c>
      <ns0:c r="E1596">
        <ns0:f>IFERROR(IF(ISNUMBER($A1596),IF(AND(AH!$P$10=1,AH!$P$12=1,$A1596=TODAY()),AH!$P$20,IF(AH!$P$10=1,INDEX('Live History'!$H$5:$H$3004,MATCH($A1596,'Live History'!$G$5:$G$3004,1)),INDEX('AH History'!$D$1:$D$18046,AH!$P$7+1591))),NA()),NA())</ns0:f>
        <ns0:v/>
      </ns0:c>
      <ns0:c r="F1596">
        <ns0:f>IFERROR(IF(ISNUMBER($A1596),IF(AND(AH!$P$10=1,AH!$P$12=1,$A1596=TODAY()),IF(AND(AH!$P$10=1,AH!$P$12=1,$A1596=TODAY()),TODAY(),NA()),IF(AH!$P$10=1,INDEX('Live History'!$D$5:$D$3004,MATCH($A1596,'Live History'!$D$5:$D$3004,1)),INDEX('AH History'!$E$1:$E$18046,AH!$P$7+1591))),NA()),NA())</ns0:f>
        <ns0:v/>
      </ns0:c>
      <ns0:c r="G1596">
        <ns0:f>IFERROR(IF(ISNUMBER($A1596),IF(AND(AH!$P$10=1,AH!$P$12=1,$A1596=TODAY()),IF(AND(AH!$P$10=1,AH!$P$12=1,$A1596=TODAY()),TODAY(),NA()),IF(AH!$P$10=1,INDEX('Live History'!$G$5:$G$3004,MATCH($A1596,'Live History'!$G$5:$G$3004,1)),INDEX('AH History'!$F$1:$F$18046,AH!$P$7+1591))),NA()),NA())</ns0:f>
        <ns0:v/>
      </ns0:c>
      <ns0:c r="H1596">
        <ns0:f>IFERROR(IF(AND(AH!$E$4="Bloomberg",AH!$P$10=1,ISNUMBER($A1596),$A1596&lt;=AH!$P$17),AH!$P$7-1+MATCH($A1596,INDEX('AH History'!$A$1:$A$18046,AH!$P$7):INDEX('AH History'!$A$1:$A$18046,AH!$P$7+AH!$P$8-1),0),0),0)</ns0:f>
        <ns0:v/>
      </ns0:c>
      <ns0:c r="I1596">
        <ns0:f>IF($H1596=0,0,IFERROR(IF(AND(ABS($C1596-INDEX('AH History'!$B$1:$B$18046,$H1596))&lt;=MAX(0.005,ABS(INDEX('AH History'!$B$1:$B$18046,$H1596))*0.00005),ABS($D1596-INDEX('AH History'!$C$1:$C$18046,$H1596))&lt;=MAX(0.005,ABS(INDEX('AH History'!$C$1:$C$18046,$H1596))*0.00005),ABS($E1596-INDEX('AH History'!$D$1:$D$18046,$H1596))&lt;=0.00005,$F1596=INDEX('AH History'!$E$1:$E$18046,$H1596),$G1596=INDEX('AH History'!$F$1:$F$18046,$H1596)),1,-1),-1))</ns0:f>
        <ns0:v/>
      </ns0:c>
    </ns0:row>
    <ns0:row r="1597">
      <ns0:c r="A1597" s="215">
        <ns0:f>IF(OR(AH!$P$3=0,1592+1&gt;AH!$P$11,AND(AH!$E$4&lt;&gt;"Stored",AH!$P$10&lt;&gt;1)),"",IFERROR(IF(AND(AH!$P$21=1,1592+1=AH!$P$11),TODAY(),IF(AH!$P$10=1,INDEX('Live History'!$A$5:$A$3004,AH!$P$13+1592),INDEX('AH History'!$A$1:$A$18046,AH!$P$7+1592))),""))</ns0:f>
        <ns0:v/>
      </ns0:c>
      <ns0:c r="B1597" s="219">
        <ns0:f>IFERROR(IF(AND(AH!$P$9&lt;&gt;1,$C1597&gt;0,$D1597&gt;0,$E1597&gt;0,$F1597&gt;0,$G1597&gt;0,$F1597&lt;=$A1597,$G1597&lt;=$A1597,$A1597-$F1597&lt;=10,$A1597-$G1597&lt;=5),$D1597*$E1597/$C1597-1,NA()),NA())</ns0:f>
        <ns0:v/>
      </ns0:c>
      <ns0:c r="C1597">
        <ns0:f>IFERROR(IF(ISNUMBER($A1597),IF(AND(AH!$P$10=1,AH!$P$12=1,$A1597=TODAY()),AH!$P$19,IF(AH!$P$10=1,INDEX('Live History'!$B$5:$B$3004,AH!$P$13+1592),INDEX('AH History'!$B$1:$B$18046,AH!$P$7+1592))),NA()),NA())</ns0:f>
        <ns0:v/>
      </ns0:c>
      <ns0:c r="D1597">
        <ns0:f>IFERROR(IF(ISNUMBER($A1597),IF(AND(AH!$P$10=1,AH!$P$12=1,$A1597=TODAY()),AH!$P$18,IF(AH!$P$10=1,INDEX('Live History'!$E$5:$E$3004,MATCH($A1597,'Live History'!$D$5:$D$3004,1)),INDEX('AH History'!$C$1:$C$18046,AH!$P$7+1592))),NA()),NA())</ns0:f>
        <ns0:v/>
      </ns0:c>
      <ns0:c r="E1597">
        <ns0:f>IFERROR(IF(ISNUMBER($A1597),IF(AND(AH!$P$10=1,AH!$P$12=1,$A1597=TODAY()),AH!$P$20,IF(AH!$P$10=1,INDEX('Live History'!$H$5:$H$3004,MATCH($A1597,'Live History'!$G$5:$G$3004,1)),INDEX('AH History'!$D$1:$D$18046,AH!$P$7+1592))),NA()),NA())</ns0:f>
        <ns0:v/>
      </ns0:c>
      <ns0:c r="F1597">
        <ns0:f>IFERROR(IF(ISNUMBER($A1597),IF(AND(AH!$P$10=1,AH!$P$12=1,$A1597=TODAY()),IF(AND(AH!$P$10=1,AH!$P$12=1,$A1597=TODAY()),TODAY(),NA()),IF(AH!$P$10=1,INDEX('Live History'!$D$5:$D$3004,MATCH($A1597,'Live History'!$D$5:$D$3004,1)),INDEX('AH History'!$E$1:$E$18046,AH!$P$7+1592))),NA()),NA())</ns0:f>
        <ns0:v/>
      </ns0:c>
      <ns0:c r="G1597">
        <ns0:f>IFERROR(IF(ISNUMBER($A1597),IF(AND(AH!$P$10=1,AH!$P$12=1,$A1597=TODAY()),IF(AND(AH!$P$10=1,AH!$P$12=1,$A1597=TODAY()),TODAY(),NA()),IF(AH!$P$10=1,INDEX('Live History'!$G$5:$G$3004,MATCH($A1597,'Live History'!$G$5:$G$3004,1)),INDEX('AH History'!$F$1:$F$18046,AH!$P$7+1592))),NA()),NA())</ns0:f>
        <ns0:v/>
      </ns0:c>
      <ns0:c r="H1597">
        <ns0:f>IFERROR(IF(AND(AH!$E$4="Bloomberg",AH!$P$10=1,ISNUMBER($A1597),$A1597&lt;=AH!$P$17),AH!$P$7-1+MATCH($A1597,INDEX('AH History'!$A$1:$A$18046,AH!$P$7):INDEX('AH History'!$A$1:$A$18046,AH!$P$7+AH!$P$8-1),0),0),0)</ns0:f>
        <ns0:v/>
      </ns0:c>
      <ns0:c r="I1597">
        <ns0:f>IF($H1597=0,0,IFERROR(IF(AND(ABS($C1597-INDEX('AH History'!$B$1:$B$18046,$H1597))&lt;=MAX(0.005,ABS(INDEX('AH History'!$B$1:$B$18046,$H1597))*0.00005),ABS($D1597-INDEX('AH History'!$C$1:$C$18046,$H1597))&lt;=MAX(0.005,ABS(INDEX('AH History'!$C$1:$C$18046,$H1597))*0.00005),ABS($E1597-INDEX('AH History'!$D$1:$D$18046,$H1597))&lt;=0.00005,$F1597=INDEX('AH History'!$E$1:$E$18046,$H1597),$G1597=INDEX('AH History'!$F$1:$F$18046,$H1597)),1,-1),-1))</ns0:f>
        <ns0:v/>
      </ns0:c>
    </ns0:row>
    <ns0:row r="1598">
      <ns0:c r="A1598" s="215">
        <ns0:f>IF(OR(AH!$P$3=0,1593+1&gt;AH!$P$11,AND(AH!$E$4&lt;&gt;"Stored",AH!$P$10&lt;&gt;1)),"",IFERROR(IF(AND(AH!$P$21=1,1593+1=AH!$P$11),TODAY(),IF(AH!$P$10=1,INDEX('Live History'!$A$5:$A$3004,AH!$P$13+1593),INDEX('AH History'!$A$1:$A$18046,AH!$P$7+1593))),""))</ns0:f>
        <ns0:v/>
      </ns0:c>
      <ns0:c r="B1598" s="219">
        <ns0:f>IFERROR(IF(AND(AH!$P$9&lt;&gt;1,$C1598&gt;0,$D1598&gt;0,$E1598&gt;0,$F1598&gt;0,$G1598&gt;0,$F1598&lt;=$A1598,$G1598&lt;=$A1598,$A1598-$F1598&lt;=10,$A1598-$G1598&lt;=5),$D1598*$E1598/$C1598-1,NA()),NA())</ns0:f>
        <ns0:v/>
      </ns0:c>
      <ns0:c r="C1598">
        <ns0:f>IFERROR(IF(ISNUMBER($A1598),IF(AND(AH!$P$10=1,AH!$P$12=1,$A1598=TODAY()),AH!$P$19,IF(AH!$P$10=1,INDEX('Live History'!$B$5:$B$3004,AH!$P$13+1593),INDEX('AH History'!$B$1:$B$18046,AH!$P$7+1593))),NA()),NA())</ns0:f>
        <ns0:v/>
      </ns0:c>
      <ns0:c r="D1598">
        <ns0:f>IFERROR(IF(ISNUMBER($A1598),IF(AND(AH!$P$10=1,AH!$P$12=1,$A1598=TODAY()),AH!$P$18,IF(AH!$P$10=1,INDEX('Live History'!$E$5:$E$3004,MATCH($A1598,'Live History'!$D$5:$D$3004,1)),INDEX('AH History'!$C$1:$C$18046,AH!$P$7+1593))),NA()),NA())</ns0:f>
        <ns0:v/>
      </ns0:c>
      <ns0:c r="E1598">
        <ns0:f>IFERROR(IF(ISNUMBER($A1598),IF(AND(AH!$P$10=1,AH!$P$12=1,$A1598=TODAY()),AH!$P$20,IF(AH!$P$10=1,INDEX('Live History'!$H$5:$H$3004,MATCH($A1598,'Live History'!$G$5:$G$3004,1)),INDEX('AH History'!$D$1:$D$18046,AH!$P$7+1593))),NA()),NA())</ns0:f>
        <ns0:v/>
      </ns0:c>
      <ns0:c r="F1598">
        <ns0:f>IFERROR(IF(ISNUMBER($A1598),IF(AND(AH!$P$10=1,AH!$P$12=1,$A1598=TODAY()),IF(AND(AH!$P$10=1,AH!$P$12=1,$A1598=TODAY()),TODAY(),NA()),IF(AH!$P$10=1,INDEX('Live History'!$D$5:$D$3004,MATCH($A1598,'Live History'!$D$5:$D$3004,1)),INDEX('AH History'!$E$1:$E$18046,AH!$P$7+1593))),NA()),NA())</ns0:f>
        <ns0:v/>
      </ns0:c>
      <ns0:c r="G1598">
        <ns0:f>IFERROR(IF(ISNUMBER($A1598),IF(AND(AH!$P$10=1,AH!$P$12=1,$A1598=TODAY()),IF(AND(AH!$P$10=1,AH!$P$12=1,$A1598=TODAY()),TODAY(),NA()),IF(AH!$P$10=1,INDEX('Live History'!$G$5:$G$3004,MATCH($A1598,'Live History'!$G$5:$G$3004,1)),INDEX('AH History'!$F$1:$F$18046,AH!$P$7+1593))),NA()),NA())</ns0:f>
        <ns0:v/>
      </ns0:c>
      <ns0:c r="H1598">
        <ns0:f>IFERROR(IF(AND(AH!$E$4="Bloomberg",AH!$P$10=1,ISNUMBER($A1598),$A1598&lt;=AH!$P$17),AH!$P$7-1+MATCH($A1598,INDEX('AH History'!$A$1:$A$18046,AH!$P$7):INDEX('AH History'!$A$1:$A$18046,AH!$P$7+AH!$P$8-1),0),0),0)</ns0:f>
        <ns0:v/>
      </ns0:c>
      <ns0:c r="I1598">
        <ns0:f>IF($H1598=0,0,IFERROR(IF(AND(ABS($C1598-INDEX('AH History'!$B$1:$B$18046,$H1598))&lt;=MAX(0.005,ABS(INDEX('AH History'!$B$1:$B$18046,$H1598))*0.00005),ABS($D1598-INDEX('AH History'!$C$1:$C$18046,$H1598))&lt;=MAX(0.005,ABS(INDEX('AH History'!$C$1:$C$18046,$H1598))*0.00005),ABS($E1598-INDEX('AH History'!$D$1:$D$18046,$H1598))&lt;=0.00005,$F1598=INDEX('AH History'!$E$1:$E$18046,$H1598),$G1598=INDEX('AH History'!$F$1:$F$18046,$H1598)),1,-1),-1))</ns0:f>
        <ns0:v/>
      </ns0:c>
    </ns0:row>
    <ns0:row r="1599">
      <ns0:c r="A1599" s="215">
        <ns0:f>IF(OR(AH!$P$3=0,1594+1&gt;AH!$P$11,AND(AH!$E$4&lt;&gt;"Stored",AH!$P$10&lt;&gt;1)),"",IFERROR(IF(AND(AH!$P$21=1,1594+1=AH!$P$11),TODAY(),IF(AH!$P$10=1,INDEX('Live History'!$A$5:$A$3004,AH!$P$13+1594),INDEX('AH History'!$A$1:$A$18046,AH!$P$7+1594))),""))</ns0:f>
        <ns0:v/>
      </ns0:c>
      <ns0:c r="B1599" s="219">
        <ns0:f>IFERROR(IF(AND(AH!$P$9&lt;&gt;1,$C1599&gt;0,$D1599&gt;0,$E1599&gt;0,$F1599&gt;0,$G1599&gt;0,$F1599&lt;=$A1599,$G1599&lt;=$A1599,$A1599-$F1599&lt;=10,$A1599-$G1599&lt;=5),$D1599*$E1599/$C1599-1,NA()),NA())</ns0:f>
        <ns0:v/>
      </ns0:c>
      <ns0:c r="C1599">
        <ns0:f>IFERROR(IF(ISNUMBER($A1599),IF(AND(AH!$P$10=1,AH!$P$12=1,$A1599=TODAY()),AH!$P$19,IF(AH!$P$10=1,INDEX('Live History'!$B$5:$B$3004,AH!$P$13+1594),INDEX('AH History'!$B$1:$B$18046,AH!$P$7+1594))),NA()),NA())</ns0:f>
        <ns0:v/>
      </ns0:c>
      <ns0:c r="D1599">
        <ns0:f>IFERROR(IF(ISNUMBER($A1599),IF(AND(AH!$P$10=1,AH!$P$12=1,$A1599=TODAY()),AH!$P$18,IF(AH!$P$10=1,INDEX('Live History'!$E$5:$E$3004,MATCH($A1599,'Live History'!$D$5:$D$3004,1)),INDEX('AH History'!$C$1:$C$18046,AH!$P$7+1594))),NA()),NA())</ns0:f>
        <ns0:v/>
      </ns0:c>
      <ns0:c r="E1599">
        <ns0:f>IFERROR(IF(ISNUMBER($A1599),IF(AND(AH!$P$10=1,AH!$P$12=1,$A1599=TODAY()),AH!$P$20,IF(AH!$P$10=1,INDEX('Live History'!$H$5:$H$3004,MATCH($A1599,'Live History'!$G$5:$G$3004,1)),INDEX('AH History'!$D$1:$D$18046,AH!$P$7+1594))),NA()),NA())</ns0:f>
        <ns0:v/>
      </ns0:c>
      <ns0:c r="F1599">
        <ns0:f>IFERROR(IF(ISNUMBER($A1599),IF(AND(AH!$P$10=1,AH!$P$12=1,$A1599=TODAY()),IF(AND(AH!$P$10=1,AH!$P$12=1,$A1599=TODAY()),TODAY(),NA()),IF(AH!$P$10=1,INDEX('Live History'!$D$5:$D$3004,MATCH($A1599,'Live History'!$D$5:$D$3004,1)),INDEX('AH History'!$E$1:$E$18046,AH!$P$7+1594))),NA()),NA())</ns0:f>
        <ns0:v/>
      </ns0:c>
      <ns0:c r="G1599">
        <ns0:f>IFERROR(IF(ISNUMBER($A1599),IF(AND(AH!$P$10=1,AH!$P$12=1,$A1599=TODAY()),IF(AND(AH!$P$10=1,AH!$P$12=1,$A1599=TODAY()),TODAY(),NA()),IF(AH!$P$10=1,INDEX('Live History'!$G$5:$G$3004,MATCH($A1599,'Live History'!$G$5:$G$3004,1)),INDEX('AH History'!$F$1:$F$18046,AH!$P$7+1594))),NA()),NA())</ns0:f>
        <ns0:v/>
      </ns0:c>
      <ns0:c r="H1599">
        <ns0:f>IFERROR(IF(AND(AH!$E$4="Bloomberg",AH!$P$10=1,ISNUMBER($A1599),$A1599&lt;=AH!$P$17),AH!$P$7-1+MATCH($A1599,INDEX('AH History'!$A$1:$A$18046,AH!$P$7):INDEX('AH History'!$A$1:$A$18046,AH!$P$7+AH!$P$8-1),0),0),0)</ns0:f>
        <ns0:v/>
      </ns0:c>
      <ns0:c r="I1599">
        <ns0:f>IF($H1599=0,0,IFERROR(IF(AND(ABS($C1599-INDEX('AH History'!$B$1:$B$18046,$H1599))&lt;=MAX(0.005,ABS(INDEX('AH History'!$B$1:$B$18046,$H1599))*0.00005),ABS($D1599-INDEX('AH History'!$C$1:$C$18046,$H1599))&lt;=MAX(0.005,ABS(INDEX('AH History'!$C$1:$C$18046,$H1599))*0.00005),ABS($E1599-INDEX('AH History'!$D$1:$D$18046,$H1599))&lt;=0.00005,$F1599=INDEX('AH History'!$E$1:$E$18046,$H1599),$G1599=INDEX('AH History'!$F$1:$F$18046,$H1599)),1,-1),-1))</ns0:f>
        <ns0:v/>
      </ns0:c>
    </ns0:row>
    <ns0:row r="1600">
      <ns0:c r="A1600" s="215">
        <ns0:f>IF(OR(AH!$P$3=0,1595+1&gt;AH!$P$11,AND(AH!$E$4&lt;&gt;"Stored",AH!$P$10&lt;&gt;1)),"",IFERROR(IF(AND(AH!$P$21=1,1595+1=AH!$P$11),TODAY(),IF(AH!$P$10=1,INDEX('Live History'!$A$5:$A$3004,AH!$P$13+1595),INDEX('AH History'!$A$1:$A$18046,AH!$P$7+1595))),""))</ns0:f>
        <ns0:v/>
      </ns0:c>
      <ns0:c r="B1600" s="219">
        <ns0:f>IFERROR(IF(AND(AH!$P$9&lt;&gt;1,$C1600&gt;0,$D1600&gt;0,$E1600&gt;0,$F1600&gt;0,$G1600&gt;0,$F1600&lt;=$A1600,$G1600&lt;=$A1600,$A1600-$F1600&lt;=10,$A1600-$G1600&lt;=5),$D1600*$E1600/$C1600-1,NA()),NA())</ns0:f>
        <ns0:v/>
      </ns0:c>
      <ns0:c r="C1600">
        <ns0:f>IFERROR(IF(ISNUMBER($A1600),IF(AND(AH!$P$10=1,AH!$P$12=1,$A1600=TODAY()),AH!$P$19,IF(AH!$P$10=1,INDEX('Live History'!$B$5:$B$3004,AH!$P$13+1595),INDEX('AH History'!$B$1:$B$18046,AH!$P$7+1595))),NA()),NA())</ns0:f>
        <ns0:v/>
      </ns0:c>
      <ns0:c r="D1600">
        <ns0:f>IFERROR(IF(ISNUMBER($A1600),IF(AND(AH!$P$10=1,AH!$P$12=1,$A1600=TODAY()),AH!$P$18,IF(AH!$P$10=1,INDEX('Live History'!$E$5:$E$3004,MATCH($A1600,'Live History'!$D$5:$D$3004,1)),INDEX('AH History'!$C$1:$C$18046,AH!$P$7+1595))),NA()),NA())</ns0:f>
        <ns0:v/>
      </ns0:c>
      <ns0:c r="E1600">
        <ns0:f>IFERROR(IF(ISNUMBER($A1600),IF(AND(AH!$P$10=1,AH!$P$12=1,$A1600=TODAY()),AH!$P$20,IF(AH!$P$10=1,INDEX('Live History'!$H$5:$H$3004,MATCH($A1600,'Live History'!$G$5:$G$3004,1)),INDEX('AH History'!$D$1:$D$18046,AH!$P$7+1595))),NA()),NA())</ns0:f>
        <ns0:v/>
      </ns0:c>
      <ns0:c r="F1600">
        <ns0:f>IFERROR(IF(ISNUMBER($A1600),IF(AND(AH!$P$10=1,AH!$P$12=1,$A1600=TODAY()),IF(AND(AH!$P$10=1,AH!$P$12=1,$A1600=TODAY()),TODAY(),NA()),IF(AH!$P$10=1,INDEX('Live History'!$D$5:$D$3004,MATCH($A1600,'Live History'!$D$5:$D$3004,1)),INDEX('AH History'!$E$1:$E$18046,AH!$P$7+1595))),NA()),NA())</ns0:f>
        <ns0:v/>
      </ns0:c>
      <ns0:c r="G1600">
        <ns0:f>IFERROR(IF(ISNUMBER($A1600),IF(AND(AH!$P$10=1,AH!$P$12=1,$A1600=TODAY()),IF(AND(AH!$P$10=1,AH!$P$12=1,$A1600=TODAY()),TODAY(),NA()),IF(AH!$P$10=1,INDEX('Live History'!$G$5:$G$3004,MATCH($A1600,'Live History'!$G$5:$G$3004,1)),INDEX('AH History'!$F$1:$F$18046,AH!$P$7+1595))),NA()),NA())</ns0:f>
        <ns0:v/>
      </ns0:c>
      <ns0:c r="H1600">
        <ns0:f>IFERROR(IF(AND(AH!$E$4="Bloomberg",AH!$P$10=1,ISNUMBER($A1600),$A1600&lt;=AH!$P$17),AH!$P$7-1+MATCH($A1600,INDEX('AH History'!$A$1:$A$18046,AH!$P$7):INDEX('AH History'!$A$1:$A$18046,AH!$P$7+AH!$P$8-1),0),0),0)</ns0:f>
        <ns0:v/>
      </ns0:c>
      <ns0:c r="I1600">
        <ns0:f>IF($H1600=0,0,IFERROR(IF(AND(ABS($C1600-INDEX('AH History'!$B$1:$B$18046,$H1600))&lt;=MAX(0.005,ABS(INDEX('AH History'!$B$1:$B$18046,$H1600))*0.00005),ABS($D1600-INDEX('AH History'!$C$1:$C$18046,$H1600))&lt;=MAX(0.005,ABS(INDEX('AH History'!$C$1:$C$18046,$H1600))*0.00005),ABS($E1600-INDEX('AH History'!$D$1:$D$18046,$H1600))&lt;=0.00005,$F1600=INDEX('AH History'!$E$1:$E$18046,$H1600),$G1600=INDEX('AH History'!$F$1:$F$18046,$H1600)),1,-1),-1))</ns0:f>
        <ns0:v/>
      </ns0:c>
    </ns0:row>
    <ns0:row r="1601">
      <ns0:c r="A1601" s="215">
        <ns0:f>IF(OR(AH!$P$3=0,1596+1&gt;AH!$P$11,AND(AH!$E$4&lt;&gt;"Stored",AH!$P$10&lt;&gt;1)),"",IFERROR(IF(AND(AH!$P$21=1,1596+1=AH!$P$11),TODAY(),IF(AH!$P$10=1,INDEX('Live History'!$A$5:$A$3004,AH!$P$13+1596),INDEX('AH History'!$A$1:$A$18046,AH!$P$7+1596))),""))</ns0:f>
        <ns0:v/>
      </ns0:c>
      <ns0:c r="B1601" s="219">
        <ns0:f>IFERROR(IF(AND(AH!$P$9&lt;&gt;1,$C1601&gt;0,$D1601&gt;0,$E1601&gt;0,$F1601&gt;0,$G1601&gt;0,$F1601&lt;=$A1601,$G1601&lt;=$A1601,$A1601-$F1601&lt;=10,$A1601-$G1601&lt;=5),$D1601*$E1601/$C1601-1,NA()),NA())</ns0:f>
        <ns0:v/>
      </ns0:c>
      <ns0:c r="C1601">
        <ns0:f>IFERROR(IF(ISNUMBER($A1601),IF(AND(AH!$P$10=1,AH!$P$12=1,$A1601=TODAY()),AH!$P$19,IF(AH!$P$10=1,INDEX('Live History'!$B$5:$B$3004,AH!$P$13+1596),INDEX('AH History'!$B$1:$B$18046,AH!$P$7+1596))),NA()),NA())</ns0:f>
        <ns0:v/>
      </ns0:c>
      <ns0:c r="D1601">
        <ns0:f>IFERROR(IF(ISNUMBER($A1601),IF(AND(AH!$P$10=1,AH!$P$12=1,$A1601=TODAY()),AH!$P$18,IF(AH!$P$10=1,INDEX('Live History'!$E$5:$E$3004,MATCH($A1601,'Live History'!$D$5:$D$3004,1)),INDEX('AH History'!$C$1:$C$18046,AH!$P$7+1596))),NA()),NA())</ns0:f>
        <ns0:v/>
      </ns0:c>
      <ns0:c r="E1601">
        <ns0:f>IFERROR(IF(ISNUMBER($A1601),IF(AND(AH!$P$10=1,AH!$P$12=1,$A1601=TODAY()),AH!$P$20,IF(AH!$P$10=1,INDEX('Live History'!$H$5:$H$3004,MATCH($A1601,'Live History'!$G$5:$G$3004,1)),INDEX('AH History'!$D$1:$D$18046,AH!$P$7+1596))),NA()),NA())</ns0:f>
        <ns0:v/>
      </ns0:c>
      <ns0:c r="F1601">
        <ns0:f>IFERROR(IF(ISNUMBER($A1601),IF(AND(AH!$P$10=1,AH!$P$12=1,$A1601=TODAY()),IF(AND(AH!$P$10=1,AH!$P$12=1,$A1601=TODAY()),TODAY(),NA()),IF(AH!$P$10=1,INDEX('Live History'!$D$5:$D$3004,MATCH($A1601,'Live History'!$D$5:$D$3004,1)),INDEX('AH History'!$E$1:$E$18046,AH!$P$7+1596))),NA()),NA())</ns0:f>
        <ns0:v/>
      </ns0:c>
      <ns0:c r="G1601">
        <ns0:f>IFERROR(IF(ISNUMBER($A1601),IF(AND(AH!$P$10=1,AH!$P$12=1,$A1601=TODAY()),IF(AND(AH!$P$10=1,AH!$P$12=1,$A1601=TODAY()),TODAY(),NA()),IF(AH!$P$10=1,INDEX('Live History'!$G$5:$G$3004,MATCH($A1601,'Live History'!$G$5:$G$3004,1)),INDEX('AH History'!$F$1:$F$18046,AH!$P$7+1596))),NA()),NA())</ns0:f>
        <ns0:v/>
      </ns0:c>
      <ns0:c r="H1601">
        <ns0:f>IFERROR(IF(AND(AH!$E$4="Bloomberg",AH!$P$10=1,ISNUMBER($A1601),$A1601&lt;=AH!$P$17),AH!$P$7-1+MATCH($A1601,INDEX('AH History'!$A$1:$A$18046,AH!$P$7):INDEX('AH History'!$A$1:$A$18046,AH!$P$7+AH!$P$8-1),0),0),0)</ns0:f>
        <ns0:v/>
      </ns0:c>
      <ns0:c r="I1601">
        <ns0:f>IF($H1601=0,0,IFERROR(IF(AND(ABS($C1601-INDEX('AH History'!$B$1:$B$18046,$H1601))&lt;=MAX(0.005,ABS(INDEX('AH History'!$B$1:$B$18046,$H1601))*0.00005),ABS($D1601-INDEX('AH History'!$C$1:$C$18046,$H1601))&lt;=MAX(0.005,ABS(INDEX('AH History'!$C$1:$C$18046,$H1601))*0.00005),ABS($E1601-INDEX('AH History'!$D$1:$D$18046,$H1601))&lt;=0.00005,$F1601=INDEX('AH History'!$E$1:$E$18046,$H1601),$G1601=INDEX('AH History'!$F$1:$F$18046,$H1601)),1,-1),-1))</ns0:f>
        <ns0:v/>
      </ns0:c>
    </ns0:row>
    <ns0:row r="1602">
      <ns0:c r="A1602" s="215">
        <ns0:f>IF(OR(AH!$P$3=0,1597+1&gt;AH!$P$11,AND(AH!$E$4&lt;&gt;"Stored",AH!$P$10&lt;&gt;1)),"",IFERROR(IF(AND(AH!$P$21=1,1597+1=AH!$P$11),TODAY(),IF(AH!$P$10=1,INDEX('Live History'!$A$5:$A$3004,AH!$P$13+1597),INDEX('AH History'!$A$1:$A$18046,AH!$P$7+1597))),""))</ns0:f>
        <ns0:v/>
      </ns0:c>
      <ns0:c r="B1602" s="219">
        <ns0:f>IFERROR(IF(AND(AH!$P$9&lt;&gt;1,$C1602&gt;0,$D1602&gt;0,$E1602&gt;0,$F1602&gt;0,$G1602&gt;0,$F1602&lt;=$A1602,$G1602&lt;=$A1602,$A1602-$F1602&lt;=10,$A1602-$G1602&lt;=5),$D1602*$E1602/$C1602-1,NA()),NA())</ns0:f>
        <ns0:v/>
      </ns0:c>
      <ns0:c r="C1602">
        <ns0:f>IFERROR(IF(ISNUMBER($A1602),IF(AND(AH!$P$10=1,AH!$P$12=1,$A1602=TODAY()),AH!$P$19,IF(AH!$P$10=1,INDEX('Live History'!$B$5:$B$3004,AH!$P$13+1597),INDEX('AH History'!$B$1:$B$18046,AH!$P$7+1597))),NA()),NA())</ns0:f>
        <ns0:v/>
      </ns0:c>
      <ns0:c r="D1602">
        <ns0:f>IFERROR(IF(ISNUMBER($A1602),IF(AND(AH!$P$10=1,AH!$P$12=1,$A1602=TODAY()),AH!$P$18,IF(AH!$P$10=1,INDEX('Live History'!$E$5:$E$3004,MATCH($A1602,'Live History'!$D$5:$D$3004,1)),INDEX('AH History'!$C$1:$C$18046,AH!$P$7+1597))),NA()),NA())</ns0:f>
        <ns0:v/>
      </ns0:c>
      <ns0:c r="E1602">
        <ns0:f>IFERROR(IF(ISNUMBER($A1602),IF(AND(AH!$P$10=1,AH!$P$12=1,$A1602=TODAY()),AH!$P$20,IF(AH!$P$10=1,INDEX('Live History'!$H$5:$H$3004,MATCH($A1602,'Live History'!$G$5:$G$3004,1)),INDEX('AH History'!$D$1:$D$18046,AH!$P$7+1597))),NA()),NA())</ns0:f>
        <ns0:v/>
      </ns0:c>
      <ns0:c r="F1602">
        <ns0:f>IFERROR(IF(ISNUMBER($A1602),IF(AND(AH!$P$10=1,AH!$P$12=1,$A1602=TODAY()),IF(AND(AH!$P$10=1,AH!$P$12=1,$A1602=TODAY()),TODAY(),NA()),IF(AH!$P$10=1,INDEX('Live History'!$D$5:$D$3004,MATCH($A1602,'Live History'!$D$5:$D$3004,1)),INDEX('AH History'!$E$1:$E$18046,AH!$P$7+1597))),NA()),NA())</ns0:f>
        <ns0:v/>
      </ns0:c>
      <ns0:c r="G1602">
        <ns0:f>IFERROR(IF(ISNUMBER($A1602),IF(AND(AH!$P$10=1,AH!$P$12=1,$A1602=TODAY()),IF(AND(AH!$P$10=1,AH!$P$12=1,$A1602=TODAY()),TODAY(),NA()),IF(AH!$P$10=1,INDEX('Live History'!$G$5:$G$3004,MATCH($A1602,'Live History'!$G$5:$G$3004,1)),INDEX('AH History'!$F$1:$F$18046,AH!$P$7+1597))),NA()),NA())</ns0:f>
        <ns0:v/>
      </ns0:c>
      <ns0:c r="H1602">
        <ns0:f>IFERROR(IF(AND(AH!$E$4="Bloomberg",AH!$P$10=1,ISNUMBER($A1602),$A1602&lt;=AH!$P$17),AH!$P$7-1+MATCH($A1602,INDEX('AH History'!$A$1:$A$18046,AH!$P$7):INDEX('AH History'!$A$1:$A$18046,AH!$P$7+AH!$P$8-1),0),0),0)</ns0:f>
        <ns0:v/>
      </ns0:c>
      <ns0:c r="I1602">
        <ns0:f>IF($H1602=0,0,IFERROR(IF(AND(ABS($C1602-INDEX('AH History'!$B$1:$B$18046,$H1602))&lt;=MAX(0.005,ABS(INDEX('AH History'!$B$1:$B$18046,$H1602))*0.00005),ABS($D1602-INDEX('AH History'!$C$1:$C$18046,$H1602))&lt;=MAX(0.005,ABS(INDEX('AH History'!$C$1:$C$18046,$H1602))*0.00005),ABS($E1602-INDEX('AH History'!$D$1:$D$18046,$H1602))&lt;=0.00005,$F1602=INDEX('AH History'!$E$1:$E$18046,$H1602),$G1602=INDEX('AH History'!$F$1:$F$18046,$H1602)),1,-1),-1))</ns0:f>
        <ns0:v/>
      </ns0:c>
    </ns0:row>
    <ns0:row r="1603">
      <ns0:c r="A1603" s="215">
        <ns0:f>IF(OR(AH!$P$3=0,1598+1&gt;AH!$P$11,AND(AH!$E$4&lt;&gt;"Stored",AH!$P$10&lt;&gt;1)),"",IFERROR(IF(AND(AH!$P$21=1,1598+1=AH!$P$11),TODAY(),IF(AH!$P$10=1,INDEX('Live History'!$A$5:$A$3004,AH!$P$13+1598),INDEX('AH History'!$A$1:$A$18046,AH!$P$7+1598))),""))</ns0:f>
        <ns0:v/>
      </ns0:c>
      <ns0:c r="B1603" s="219">
        <ns0:f>IFERROR(IF(AND(AH!$P$9&lt;&gt;1,$C1603&gt;0,$D1603&gt;0,$E1603&gt;0,$F1603&gt;0,$G1603&gt;0,$F1603&lt;=$A1603,$G1603&lt;=$A1603,$A1603-$F1603&lt;=10,$A1603-$G1603&lt;=5),$D1603*$E1603/$C1603-1,NA()),NA())</ns0:f>
        <ns0:v/>
      </ns0:c>
      <ns0:c r="C1603">
        <ns0:f>IFERROR(IF(ISNUMBER($A1603),IF(AND(AH!$P$10=1,AH!$P$12=1,$A1603=TODAY()),AH!$P$19,IF(AH!$P$10=1,INDEX('Live History'!$B$5:$B$3004,AH!$P$13+1598),INDEX('AH History'!$B$1:$B$18046,AH!$P$7+1598))),NA()),NA())</ns0:f>
        <ns0:v/>
      </ns0:c>
      <ns0:c r="D1603">
        <ns0:f>IFERROR(IF(ISNUMBER($A1603),IF(AND(AH!$P$10=1,AH!$P$12=1,$A1603=TODAY()),AH!$P$18,IF(AH!$P$10=1,INDEX('Live History'!$E$5:$E$3004,MATCH($A1603,'Live History'!$D$5:$D$3004,1)),INDEX('AH History'!$C$1:$C$18046,AH!$P$7+1598))),NA()),NA())</ns0:f>
        <ns0:v/>
      </ns0:c>
      <ns0:c r="E1603">
        <ns0:f>IFERROR(IF(ISNUMBER($A1603),IF(AND(AH!$P$10=1,AH!$P$12=1,$A1603=TODAY()),AH!$P$20,IF(AH!$P$10=1,INDEX('Live History'!$H$5:$H$3004,MATCH($A1603,'Live History'!$G$5:$G$3004,1)),INDEX('AH History'!$D$1:$D$18046,AH!$P$7+1598))),NA()),NA())</ns0:f>
        <ns0:v/>
      </ns0:c>
      <ns0:c r="F1603">
        <ns0:f>IFERROR(IF(ISNUMBER($A1603),IF(AND(AH!$P$10=1,AH!$P$12=1,$A1603=TODAY()),IF(AND(AH!$P$10=1,AH!$P$12=1,$A1603=TODAY()),TODAY(),NA()),IF(AH!$P$10=1,INDEX('Live History'!$D$5:$D$3004,MATCH($A1603,'Live History'!$D$5:$D$3004,1)),INDEX('AH History'!$E$1:$E$18046,AH!$P$7+1598))),NA()),NA())</ns0:f>
        <ns0:v/>
      </ns0:c>
      <ns0:c r="G1603">
        <ns0:f>IFERROR(IF(ISNUMBER($A1603),IF(AND(AH!$P$10=1,AH!$P$12=1,$A1603=TODAY()),IF(AND(AH!$P$10=1,AH!$P$12=1,$A1603=TODAY()),TODAY(),NA()),IF(AH!$P$10=1,INDEX('Live History'!$G$5:$G$3004,MATCH($A1603,'Live History'!$G$5:$G$3004,1)),INDEX('AH History'!$F$1:$F$18046,AH!$P$7+1598))),NA()),NA())</ns0:f>
        <ns0:v/>
      </ns0:c>
      <ns0:c r="H1603">
        <ns0:f>IFERROR(IF(AND(AH!$E$4="Bloomberg",AH!$P$10=1,ISNUMBER($A1603),$A1603&lt;=AH!$P$17),AH!$P$7-1+MATCH($A1603,INDEX('AH History'!$A$1:$A$18046,AH!$P$7):INDEX('AH History'!$A$1:$A$18046,AH!$P$7+AH!$P$8-1),0),0),0)</ns0:f>
        <ns0:v/>
      </ns0:c>
      <ns0:c r="I1603">
        <ns0:f>IF($H1603=0,0,IFERROR(IF(AND(ABS($C1603-INDEX('AH History'!$B$1:$B$18046,$H1603))&lt;=MAX(0.005,ABS(INDEX('AH History'!$B$1:$B$18046,$H1603))*0.00005),ABS($D1603-INDEX('AH History'!$C$1:$C$18046,$H1603))&lt;=MAX(0.005,ABS(INDEX('AH History'!$C$1:$C$18046,$H1603))*0.00005),ABS($E1603-INDEX('AH History'!$D$1:$D$18046,$H1603))&lt;=0.00005,$F1603=INDEX('AH History'!$E$1:$E$18046,$H1603),$G1603=INDEX('AH History'!$F$1:$F$18046,$H1603)),1,-1),-1))</ns0:f>
        <ns0:v/>
      </ns0:c>
    </ns0:row>
    <ns0:row r="1604">
      <ns0:c r="A1604" s="215">
        <ns0:f>IF(OR(AH!$P$3=0,1599+1&gt;AH!$P$11,AND(AH!$E$4&lt;&gt;"Stored",AH!$P$10&lt;&gt;1)),"",IFERROR(IF(AND(AH!$P$21=1,1599+1=AH!$P$11),TODAY(),IF(AH!$P$10=1,INDEX('Live History'!$A$5:$A$3004,AH!$P$13+1599),INDEX('AH History'!$A$1:$A$18046,AH!$P$7+1599))),""))</ns0:f>
        <ns0:v/>
      </ns0:c>
      <ns0:c r="B1604" s="219">
        <ns0:f>IFERROR(IF(AND(AH!$P$9&lt;&gt;1,$C1604&gt;0,$D1604&gt;0,$E1604&gt;0,$F1604&gt;0,$G1604&gt;0,$F1604&lt;=$A1604,$G1604&lt;=$A1604,$A1604-$F1604&lt;=10,$A1604-$G1604&lt;=5),$D1604*$E1604/$C1604-1,NA()),NA())</ns0:f>
        <ns0:v/>
      </ns0:c>
      <ns0:c r="C1604">
        <ns0:f>IFERROR(IF(ISNUMBER($A1604),IF(AND(AH!$P$10=1,AH!$P$12=1,$A1604=TODAY()),AH!$P$19,IF(AH!$P$10=1,INDEX('Live History'!$B$5:$B$3004,AH!$P$13+1599),INDEX('AH History'!$B$1:$B$18046,AH!$P$7+1599))),NA()),NA())</ns0:f>
        <ns0:v/>
      </ns0:c>
      <ns0:c r="D1604">
        <ns0:f>IFERROR(IF(ISNUMBER($A1604),IF(AND(AH!$P$10=1,AH!$P$12=1,$A1604=TODAY()),AH!$P$18,IF(AH!$P$10=1,INDEX('Live History'!$E$5:$E$3004,MATCH($A1604,'Live History'!$D$5:$D$3004,1)),INDEX('AH History'!$C$1:$C$18046,AH!$P$7+1599))),NA()),NA())</ns0:f>
        <ns0:v/>
      </ns0:c>
      <ns0:c r="E1604">
        <ns0:f>IFERROR(IF(ISNUMBER($A1604),IF(AND(AH!$P$10=1,AH!$P$12=1,$A1604=TODAY()),AH!$P$20,IF(AH!$P$10=1,INDEX('Live History'!$H$5:$H$3004,MATCH($A1604,'Live History'!$G$5:$G$3004,1)),INDEX('AH History'!$D$1:$D$18046,AH!$P$7+1599))),NA()),NA())</ns0:f>
        <ns0:v/>
      </ns0:c>
      <ns0:c r="F1604">
        <ns0:f>IFERROR(IF(ISNUMBER($A1604),IF(AND(AH!$P$10=1,AH!$P$12=1,$A1604=TODAY()),IF(AND(AH!$P$10=1,AH!$P$12=1,$A1604=TODAY()),TODAY(),NA()),IF(AH!$P$10=1,INDEX('Live History'!$D$5:$D$3004,MATCH($A1604,'Live History'!$D$5:$D$3004,1)),INDEX('AH History'!$E$1:$E$18046,AH!$P$7+1599))),NA()),NA())</ns0:f>
        <ns0:v/>
      </ns0:c>
      <ns0:c r="G1604">
        <ns0:f>IFERROR(IF(ISNUMBER($A1604),IF(AND(AH!$P$10=1,AH!$P$12=1,$A1604=TODAY()),IF(AND(AH!$P$10=1,AH!$P$12=1,$A1604=TODAY()),TODAY(),NA()),IF(AH!$P$10=1,INDEX('Live History'!$G$5:$G$3004,MATCH($A1604,'Live History'!$G$5:$G$3004,1)),INDEX('AH History'!$F$1:$F$18046,AH!$P$7+1599))),NA()),NA())</ns0:f>
        <ns0:v/>
      </ns0:c>
      <ns0:c r="H1604">
        <ns0:f>IFERROR(IF(AND(AH!$E$4="Bloomberg",AH!$P$10=1,ISNUMBER($A1604),$A1604&lt;=AH!$P$17),AH!$P$7-1+MATCH($A1604,INDEX('AH History'!$A$1:$A$18046,AH!$P$7):INDEX('AH History'!$A$1:$A$18046,AH!$P$7+AH!$P$8-1),0),0),0)</ns0:f>
        <ns0:v/>
      </ns0:c>
      <ns0:c r="I1604">
        <ns0:f>IF($H1604=0,0,IFERROR(IF(AND(ABS($C1604-INDEX('AH History'!$B$1:$B$18046,$H1604))&lt;=MAX(0.005,ABS(INDEX('AH History'!$B$1:$B$18046,$H1604))*0.00005),ABS($D1604-INDEX('AH History'!$C$1:$C$18046,$H1604))&lt;=MAX(0.005,ABS(INDEX('AH History'!$C$1:$C$18046,$H1604))*0.00005),ABS($E1604-INDEX('AH History'!$D$1:$D$18046,$H1604))&lt;=0.00005,$F1604=INDEX('AH History'!$E$1:$E$18046,$H1604),$G1604=INDEX('AH History'!$F$1:$F$18046,$H1604)),1,-1),-1))</ns0:f>
        <ns0:v/>
      </ns0:c>
    </ns0:row>
    <ns0:row r="1605">
      <ns0:c r="A1605" s="215">
        <ns0:f>IF(OR(AH!$P$3=0,1600+1&gt;AH!$P$11,AND(AH!$E$4&lt;&gt;"Stored",AH!$P$10&lt;&gt;1)),"",IFERROR(IF(AND(AH!$P$21=1,1600+1=AH!$P$11),TODAY(),IF(AH!$P$10=1,INDEX('Live History'!$A$5:$A$3004,AH!$P$13+1600),INDEX('AH History'!$A$1:$A$18046,AH!$P$7+1600))),""))</ns0:f>
        <ns0:v/>
      </ns0:c>
      <ns0:c r="B1605" s="219">
        <ns0:f>IFERROR(IF(AND(AH!$P$9&lt;&gt;1,$C1605&gt;0,$D1605&gt;0,$E1605&gt;0,$F1605&gt;0,$G1605&gt;0,$F1605&lt;=$A1605,$G1605&lt;=$A1605,$A1605-$F1605&lt;=10,$A1605-$G1605&lt;=5),$D1605*$E1605/$C1605-1,NA()),NA())</ns0:f>
        <ns0:v/>
      </ns0:c>
      <ns0:c r="C1605">
        <ns0:f>IFERROR(IF(ISNUMBER($A1605),IF(AND(AH!$P$10=1,AH!$P$12=1,$A1605=TODAY()),AH!$P$19,IF(AH!$P$10=1,INDEX('Live History'!$B$5:$B$3004,AH!$P$13+1600),INDEX('AH History'!$B$1:$B$18046,AH!$P$7+1600))),NA()),NA())</ns0:f>
        <ns0:v/>
      </ns0:c>
      <ns0:c r="D1605">
        <ns0:f>IFERROR(IF(ISNUMBER($A1605),IF(AND(AH!$P$10=1,AH!$P$12=1,$A1605=TODAY()),AH!$P$18,IF(AH!$P$10=1,INDEX('Live History'!$E$5:$E$3004,MATCH($A1605,'Live History'!$D$5:$D$3004,1)),INDEX('AH History'!$C$1:$C$18046,AH!$P$7+1600))),NA()),NA())</ns0:f>
        <ns0:v/>
      </ns0:c>
      <ns0:c r="E1605">
        <ns0:f>IFERROR(IF(ISNUMBER($A1605),IF(AND(AH!$P$10=1,AH!$P$12=1,$A1605=TODAY()),AH!$P$20,IF(AH!$P$10=1,INDEX('Live History'!$H$5:$H$3004,MATCH($A1605,'Live History'!$G$5:$G$3004,1)),INDEX('AH History'!$D$1:$D$18046,AH!$P$7+1600))),NA()),NA())</ns0:f>
        <ns0:v/>
      </ns0:c>
      <ns0:c r="F1605">
        <ns0:f>IFERROR(IF(ISNUMBER($A1605),IF(AND(AH!$P$10=1,AH!$P$12=1,$A1605=TODAY()),IF(AND(AH!$P$10=1,AH!$P$12=1,$A1605=TODAY()),TODAY(),NA()),IF(AH!$P$10=1,INDEX('Live History'!$D$5:$D$3004,MATCH($A1605,'Live History'!$D$5:$D$3004,1)),INDEX('AH History'!$E$1:$E$18046,AH!$P$7+1600))),NA()),NA())</ns0:f>
        <ns0:v/>
      </ns0:c>
      <ns0:c r="G1605">
        <ns0:f>IFERROR(IF(ISNUMBER($A1605),IF(AND(AH!$P$10=1,AH!$P$12=1,$A1605=TODAY()),IF(AND(AH!$P$10=1,AH!$P$12=1,$A1605=TODAY()),TODAY(),NA()),IF(AH!$P$10=1,INDEX('Live History'!$G$5:$G$3004,MATCH($A1605,'Live History'!$G$5:$G$3004,1)),INDEX('AH History'!$F$1:$F$18046,AH!$P$7+1600))),NA()),NA())</ns0:f>
        <ns0:v/>
      </ns0:c>
      <ns0:c r="H1605">
        <ns0:f>IFERROR(IF(AND(AH!$E$4="Bloomberg",AH!$P$10=1,ISNUMBER($A1605),$A1605&lt;=AH!$P$17),AH!$P$7-1+MATCH($A1605,INDEX('AH History'!$A$1:$A$18046,AH!$P$7):INDEX('AH History'!$A$1:$A$18046,AH!$P$7+AH!$P$8-1),0),0),0)</ns0:f>
        <ns0:v/>
      </ns0:c>
      <ns0:c r="I1605">
        <ns0:f>IF($H1605=0,0,IFERROR(IF(AND(ABS($C1605-INDEX('AH History'!$B$1:$B$18046,$H1605))&lt;=MAX(0.005,ABS(INDEX('AH History'!$B$1:$B$18046,$H1605))*0.00005),ABS($D1605-INDEX('AH History'!$C$1:$C$18046,$H1605))&lt;=MAX(0.005,ABS(INDEX('AH History'!$C$1:$C$18046,$H1605))*0.00005),ABS($E1605-INDEX('AH History'!$D$1:$D$18046,$H1605))&lt;=0.00005,$F1605=INDEX('AH History'!$E$1:$E$18046,$H1605),$G1605=INDEX('AH History'!$F$1:$F$18046,$H1605)),1,-1),-1))</ns0:f>
        <ns0:v/>
      </ns0:c>
    </ns0:row>
    <ns0:row r="1606">
      <ns0:c r="A1606" s="215">
        <ns0:f>IF(OR(AH!$P$3=0,1601+1&gt;AH!$P$11,AND(AH!$E$4&lt;&gt;"Stored",AH!$P$10&lt;&gt;1)),"",IFERROR(IF(AND(AH!$P$21=1,1601+1=AH!$P$11),TODAY(),IF(AH!$P$10=1,INDEX('Live History'!$A$5:$A$3004,AH!$P$13+1601),INDEX('AH History'!$A$1:$A$18046,AH!$P$7+1601))),""))</ns0:f>
        <ns0:v/>
      </ns0:c>
      <ns0:c r="B1606" s="219">
        <ns0:f>IFERROR(IF(AND(AH!$P$9&lt;&gt;1,$C1606&gt;0,$D1606&gt;0,$E1606&gt;0,$F1606&gt;0,$G1606&gt;0,$F1606&lt;=$A1606,$G1606&lt;=$A1606,$A1606-$F1606&lt;=10,$A1606-$G1606&lt;=5),$D1606*$E1606/$C1606-1,NA()),NA())</ns0:f>
        <ns0:v/>
      </ns0:c>
      <ns0:c r="C1606">
        <ns0:f>IFERROR(IF(ISNUMBER($A1606),IF(AND(AH!$P$10=1,AH!$P$12=1,$A1606=TODAY()),AH!$P$19,IF(AH!$P$10=1,INDEX('Live History'!$B$5:$B$3004,AH!$P$13+1601),INDEX('AH History'!$B$1:$B$18046,AH!$P$7+1601))),NA()),NA())</ns0:f>
        <ns0:v/>
      </ns0:c>
      <ns0:c r="D1606">
        <ns0:f>IFERROR(IF(ISNUMBER($A1606),IF(AND(AH!$P$10=1,AH!$P$12=1,$A1606=TODAY()),AH!$P$18,IF(AH!$P$10=1,INDEX('Live History'!$E$5:$E$3004,MATCH($A1606,'Live History'!$D$5:$D$3004,1)),INDEX('AH History'!$C$1:$C$18046,AH!$P$7+1601))),NA()),NA())</ns0:f>
        <ns0:v/>
      </ns0:c>
      <ns0:c r="E1606">
        <ns0:f>IFERROR(IF(ISNUMBER($A1606),IF(AND(AH!$P$10=1,AH!$P$12=1,$A1606=TODAY()),AH!$P$20,IF(AH!$P$10=1,INDEX('Live History'!$H$5:$H$3004,MATCH($A1606,'Live History'!$G$5:$G$3004,1)),INDEX('AH History'!$D$1:$D$18046,AH!$P$7+1601))),NA()),NA())</ns0:f>
        <ns0:v/>
      </ns0:c>
      <ns0:c r="F1606">
        <ns0:f>IFERROR(IF(ISNUMBER($A1606),IF(AND(AH!$P$10=1,AH!$P$12=1,$A1606=TODAY()),IF(AND(AH!$P$10=1,AH!$P$12=1,$A1606=TODAY()),TODAY(),NA()),IF(AH!$P$10=1,INDEX('Live History'!$D$5:$D$3004,MATCH($A1606,'Live History'!$D$5:$D$3004,1)),INDEX('AH History'!$E$1:$E$18046,AH!$P$7+1601))),NA()),NA())</ns0:f>
        <ns0:v/>
      </ns0:c>
      <ns0:c r="G1606">
        <ns0:f>IFERROR(IF(ISNUMBER($A1606),IF(AND(AH!$P$10=1,AH!$P$12=1,$A1606=TODAY()),IF(AND(AH!$P$10=1,AH!$P$12=1,$A1606=TODAY()),TODAY(),NA()),IF(AH!$P$10=1,INDEX('Live History'!$G$5:$G$3004,MATCH($A1606,'Live History'!$G$5:$G$3004,1)),INDEX('AH History'!$F$1:$F$18046,AH!$P$7+1601))),NA()),NA())</ns0:f>
        <ns0:v/>
      </ns0:c>
      <ns0:c r="H1606">
        <ns0:f>IFERROR(IF(AND(AH!$E$4="Bloomberg",AH!$P$10=1,ISNUMBER($A1606),$A1606&lt;=AH!$P$17),AH!$P$7-1+MATCH($A1606,INDEX('AH History'!$A$1:$A$18046,AH!$P$7):INDEX('AH History'!$A$1:$A$18046,AH!$P$7+AH!$P$8-1),0),0),0)</ns0:f>
        <ns0:v/>
      </ns0:c>
      <ns0:c r="I1606">
        <ns0:f>IF($H1606=0,0,IFERROR(IF(AND(ABS($C1606-INDEX('AH History'!$B$1:$B$18046,$H1606))&lt;=MAX(0.005,ABS(INDEX('AH History'!$B$1:$B$18046,$H1606))*0.00005),ABS($D1606-INDEX('AH History'!$C$1:$C$18046,$H1606))&lt;=MAX(0.005,ABS(INDEX('AH History'!$C$1:$C$18046,$H1606))*0.00005),ABS($E1606-INDEX('AH History'!$D$1:$D$18046,$H1606))&lt;=0.00005,$F1606=INDEX('AH History'!$E$1:$E$18046,$H1606),$G1606=INDEX('AH History'!$F$1:$F$18046,$H1606)),1,-1),-1))</ns0:f>
        <ns0:v/>
      </ns0:c>
    </ns0:row>
    <ns0:row r="1607">
      <ns0:c r="A1607" s="215">
        <ns0:f>IF(OR(AH!$P$3=0,1602+1&gt;AH!$P$11,AND(AH!$E$4&lt;&gt;"Stored",AH!$P$10&lt;&gt;1)),"",IFERROR(IF(AND(AH!$P$21=1,1602+1=AH!$P$11),TODAY(),IF(AH!$P$10=1,INDEX('Live History'!$A$5:$A$3004,AH!$P$13+1602),INDEX('AH History'!$A$1:$A$18046,AH!$P$7+1602))),""))</ns0:f>
        <ns0:v/>
      </ns0:c>
      <ns0:c r="B1607" s="219">
        <ns0:f>IFERROR(IF(AND(AH!$P$9&lt;&gt;1,$C1607&gt;0,$D1607&gt;0,$E1607&gt;0,$F1607&gt;0,$G1607&gt;0,$F1607&lt;=$A1607,$G1607&lt;=$A1607,$A1607-$F1607&lt;=10,$A1607-$G1607&lt;=5),$D1607*$E1607/$C1607-1,NA()),NA())</ns0:f>
        <ns0:v/>
      </ns0:c>
      <ns0:c r="C1607">
        <ns0:f>IFERROR(IF(ISNUMBER($A1607),IF(AND(AH!$P$10=1,AH!$P$12=1,$A1607=TODAY()),AH!$P$19,IF(AH!$P$10=1,INDEX('Live History'!$B$5:$B$3004,AH!$P$13+1602),INDEX('AH History'!$B$1:$B$18046,AH!$P$7+1602))),NA()),NA())</ns0:f>
        <ns0:v/>
      </ns0:c>
      <ns0:c r="D1607">
        <ns0:f>IFERROR(IF(ISNUMBER($A1607),IF(AND(AH!$P$10=1,AH!$P$12=1,$A1607=TODAY()),AH!$P$18,IF(AH!$P$10=1,INDEX('Live History'!$E$5:$E$3004,MATCH($A1607,'Live History'!$D$5:$D$3004,1)),INDEX('AH History'!$C$1:$C$18046,AH!$P$7+1602))),NA()),NA())</ns0:f>
        <ns0:v/>
      </ns0:c>
      <ns0:c r="E1607">
        <ns0:f>IFERROR(IF(ISNUMBER($A1607),IF(AND(AH!$P$10=1,AH!$P$12=1,$A1607=TODAY()),AH!$P$20,IF(AH!$P$10=1,INDEX('Live History'!$H$5:$H$3004,MATCH($A1607,'Live History'!$G$5:$G$3004,1)),INDEX('AH History'!$D$1:$D$18046,AH!$P$7+1602))),NA()),NA())</ns0:f>
        <ns0:v/>
      </ns0:c>
      <ns0:c r="F1607">
        <ns0:f>IFERROR(IF(ISNUMBER($A1607),IF(AND(AH!$P$10=1,AH!$P$12=1,$A1607=TODAY()),IF(AND(AH!$P$10=1,AH!$P$12=1,$A1607=TODAY()),TODAY(),NA()),IF(AH!$P$10=1,INDEX('Live History'!$D$5:$D$3004,MATCH($A1607,'Live History'!$D$5:$D$3004,1)),INDEX('AH History'!$E$1:$E$18046,AH!$P$7+1602))),NA()),NA())</ns0:f>
        <ns0:v/>
      </ns0:c>
      <ns0:c r="G1607">
        <ns0:f>IFERROR(IF(ISNUMBER($A1607),IF(AND(AH!$P$10=1,AH!$P$12=1,$A1607=TODAY()),IF(AND(AH!$P$10=1,AH!$P$12=1,$A1607=TODAY()),TODAY(),NA()),IF(AH!$P$10=1,INDEX('Live History'!$G$5:$G$3004,MATCH($A1607,'Live History'!$G$5:$G$3004,1)),INDEX('AH History'!$F$1:$F$18046,AH!$P$7+1602))),NA()),NA())</ns0:f>
        <ns0:v/>
      </ns0:c>
      <ns0:c r="H1607">
        <ns0:f>IFERROR(IF(AND(AH!$E$4="Bloomberg",AH!$P$10=1,ISNUMBER($A1607),$A1607&lt;=AH!$P$17),AH!$P$7-1+MATCH($A1607,INDEX('AH History'!$A$1:$A$18046,AH!$P$7):INDEX('AH History'!$A$1:$A$18046,AH!$P$7+AH!$P$8-1),0),0),0)</ns0:f>
        <ns0:v/>
      </ns0:c>
      <ns0:c r="I1607">
        <ns0:f>IF($H1607=0,0,IFERROR(IF(AND(ABS($C1607-INDEX('AH History'!$B$1:$B$18046,$H1607))&lt;=MAX(0.005,ABS(INDEX('AH History'!$B$1:$B$18046,$H1607))*0.00005),ABS($D1607-INDEX('AH History'!$C$1:$C$18046,$H1607))&lt;=MAX(0.005,ABS(INDEX('AH History'!$C$1:$C$18046,$H1607))*0.00005),ABS($E1607-INDEX('AH History'!$D$1:$D$18046,$H1607))&lt;=0.00005,$F1607=INDEX('AH History'!$E$1:$E$18046,$H1607),$G1607=INDEX('AH History'!$F$1:$F$18046,$H1607)),1,-1),-1))</ns0:f>
        <ns0:v/>
      </ns0:c>
    </ns0:row>
    <ns0:row r="1608">
      <ns0:c r="A1608" s="215">
        <ns0:f>IF(OR(AH!$P$3=0,1603+1&gt;AH!$P$11,AND(AH!$E$4&lt;&gt;"Stored",AH!$P$10&lt;&gt;1)),"",IFERROR(IF(AND(AH!$P$21=1,1603+1=AH!$P$11),TODAY(),IF(AH!$P$10=1,INDEX('Live History'!$A$5:$A$3004,AH!$P$13+1603),INDEX('AH History'!$A$1:$A$18046,AH!$P$7+1603))),""))</ns0:f>
        <ns0:v/>
      </ns0:c>
      <ns0:c r="B1608" s="219">
        <ns0:f>IFERROR(IF(AND(AH!$P$9&lt;&gt;1,$C1608&gt;0,$D1608&gt;0,$E1608&gt;0,$F1608&gt;0,$G1608&gt;0,$F1608&lt;=$A1608,$G1608&lt;=$A1608,$A1608-$F1608&lt;=10,$A1608-$G1608&lt;=5),$D1608*$E1608/$C1608-1,NA()),NA())</ns0:f>
        <ns0:v/>
      </ns0:c>
      <ns0:c r="C1608">
        <ns0:f>IFERROR(IF(ISNUMBER($A1608),IF(AND(AH!$P$10=1,AH!$P$12=1,$A1608=TODAY()),AH!$P$19,IF(AH!$P$10=1,INDEX('Live History'!$B$5:$B$3004,AH!$P$13+1603),INDEX('AH History'!$B$1:$B$18046,AH!$P$7+1603))),NA()),NA())</ns0:f>
        <ns0:v/>
      </ns0:c>
      <ns0:c r="D1608">
        <ns0:f>IFERROR(IF(ISNUMBER($A1608),IF(AND(AH!$P$10=1,AH!$P$12=1,$A1608=TODAY()),AH!$P$18,IF(AH!$P$10=1,INDEX('Live History'!$E$5:$E$3004,MATCH($A1608,'Live History'!$D$5:$D$3004,1)),INDEX('AH History'!$C$1:$C$18046,AH!$P$7+1603))),NA()),NA())</ns0:f>
        <ns0:v/>
      </ns0:c>
      <ns0:c r="E1608">
        <ns0:f>IFERROR(IF(ISNUMBER($A1608),IF(AND(AH!$P$10=1,AH!$P$12=1,$A1608=TODAY()),AH!$P$20,IF(AH!$P$10=1,INDEX('Live History'!$H$5:$H$3004,MATCH($A1608,'Live History'!$G$5:$G$3004,1)),INDEX('AH History'!$D$1:$D$18046,AH!$P$7+1603))),NA()),NA())</ns0:f>
        <ns0:v/>
      </ns0:c>
      <ns0:c r="F1608">
        <ns0:f>IFERROR(IF(ISNUMBER($A1608),IF(AND(AH!$P$10=1,AH!$P$12=1,$A1608=TODAY()),IF(AND(AH!$P$10=1,AH!$P$12=1,$A1608=TODAY()),TODAY(),NA()),IF(AH!$P$10=1,INDEX('Live History'!$D$5:$D$3004,MATCH($A1608,'Live History'!$D$5:$D$3004,1)),INDEX('AH History'!$E$1:$E$18046,AH!$P$7+1603))),NA()),NA())</ns0:f>
        <ns0:v/>
      </ns0:c>
      <ns0:c r="G1608">
        <ns0:f>IFERROR(IF(ISNUMBER($A1608),IF(AND(AH!$P$10=1,AH!$P$12=1,$A1608=TODAY()),IF(AND(AH!$P$10=1,AH!$P$12=1,$A1608=TODAY()),TODAY(),NA()),IF(AH!$P$10=1,INDEX('Live History'!$G$5:$G$3004,MATCH($A1608,'Live History'!$G$5:$G$3004,1)),INDEX('AH History'!$F$1:$F$18046,AH!$P$7+1603))),NA()),NA())</ns0:f>
        <ns0:v/>
      </ns0:c>
      <ns0:c r="H1608">
        <ns0:f>IFERROR(IF(AND(AH!$E$4="Bloomberg",AH!$P$10=1,ISNUMBER($A1608),$A1608&lt;=AH!$P$17),AH!$P$7-1+MATCH($A1608,INDEX('AH History'!$A$1:$A$18046,AH!$P$7):INDEX('AH History'!$A$1:$A$18046,AH!$P$7+AH!$P$8-1),0),0),0)</ns0:f>
        <ns0:v/>
      </ns0:c>
      <ns0:c r="I1608">
        <ns0:f>IF($H1608=0,0,IFERROR(IF(AND(ABS($C1608-INDEX('AH History'!$B$1:$B$18046,$H1608))&lt;=MAX(0.005,ABS(INDEX('AH History'!$B$1:$B$18046,$H1608))*0.00005),ABS($D1608-INDEX('AH History'!$C$1:$C$18046,$H1608))&lt;=MAX(0.005,ABS(INDEX('AH History'!$C$1:$C$18046,$H1608))*0.00005),ABS($E1608-INDEX('AH History'!$D$1:$D$18046,$H1608))&lt;=0.00005,$F1608=INDEX('AH History'!$E$1:$E$18046,$H1608),$G1608=INDEX('AH History'!$F$1:$F$18046,$H1608)),1,-1),-1))</ns0:f>
        <ns0:v/>
      </ns0:c>
    </ns0:row>
    <ns0:row r="1609">
      <ns0:c r="A1609" s="215">
        <ns0:f>IF(OR(AH!$P$3=0,1604+1&gt;AH!$P$11,AND(AH!$E$4&lt;&gt;"Stored",AH!$P$10&lt;&gt;1)),"",IFERROR(IF(AND(AH!$P$21=1,1604+1=AH!$P$11),TODAY(),IF(AH!$P$10=1,INDEX('Live History'!$A$5:$A$3004,AH!$P$13+1604),INDEX('AH History'!$A$1:$A$18046,AH!$P$7+1604))),""))</ns0:f>
        <ns0:v/>
      </ns0:c>
      <ns0:c r="B1609" s="219">
        <ns0:f>IFERROR(IF(AND(AH!$P$9&lt;&gt;1,$C1609&gt;0,$D1609&gt;0,$E1609&gt;0,$F1609&gt;0,$G1609&gt;0,$F1609&lt;=$A1609,$G1609&lt;=$A1609,$A1609-$F1609&lt;=10,$A1609-$G1609&lt;=5),$D1609*$E1609/$C1609-1,NA()),NA())</ns0:f>
        <ns0:v/>
      </ns0:c>
      <ns0:c r="C1609">
        <ns0:f>IFERROR(IF(ISNUMBER($A1609),IF(AND(AH!$P$10=1,AH!$P$12=1,$A1609=TODAY()),AH!$P$19,IF(AH!$P$10=1,INDEX('Live History'!$B$5:$B$3004,AH!$P$13+1604),INDEX('AH History'!$B$1:$B$18046,AH!$P$7+1604))),NA()),NA())</ns0:f>
        <ns0:v/>
      </ns0:c>
      <ns0:c r="D1609">
        <ns0:f>IFERROR(IF(ISNUMBER($A1609),IF(AND(AH!$P$10=1,AH!$P$12=1,$A1609=TODAY()),AH!$P$18,IF(AH!$P$10=1,INDEX('Live History'!$E$5:$E$3004,MATCH($A1609,'Live History'!$D$5:$D$3004,1)),INDEX('AH History'!$C$1:$C$18046,AH!$P$7+1604))),NA()),NA())</ns0:f>
        <ns0:v/>
      </ns0:c>
      <ns0:c r="E1609">
        <ns0:f>IFERROR(IF(ISNUMBER($A1609),IF(AND(AH!$P$10=1,AH!$P$12=1,$A1609=TODAY()),AH!$P$20,IF(AH!$P$10=1,INDEX('Live History'!$H$5:$H$3004,MATCH($A1609,'Live History'!$G$5:$G$3004,1)),INDEX('AH History'!$D$1:$D$18046,AH!$P$7+1604))),NA()),NA())</ns0:f>
        <ns0:v/>
      </ns0:c>
      <ns0:c r="F1609">
        <ns0:f>IFERROR(IF(ISNUMBER($A1609),IF(AND(AH!$P$10=1,AH!$P$12=1,$A1609=TODAY()),IF(AND(AH!$P$10=1,AH!$P$12=1,$A1609=TODAY()),TODAY(),NA()),IF(AH!$P$10=1,INDEX('Live History'!$D$5:$D$3004,MATCH($A1609,'Live History'!$D$5:$D$3004,1)),INDEX('AH History'!$E$1:$E$18046,AH!$P$7+1604))),NA()),NA())</ns0:f>
        <ns0:v/>
      </ns0:c>
      <ns0:c r="G1609">
        <ns0:f>IFERROR(IF(ISNUMBER($A1609),IF(AND(AH!$P$10=1,AH!$P$12=1,$A1609=TODAY()),IF(AND(AH!$P$10=1,AH!$P$12=1,$A1609=TODAY()),TODAY(),NA()),IF(AH!$P$10=1,INDEX('Live History'!$G$5:$G$3004,MATCH($A1609,'Live History'!$G$5:$G$3004,1)),INDEX('AH History'!$F$1:$F$18046,AH!$P$7+1604))),NA()),NA())</ns0:f>
        <ns0:v/>
      </ns0:c>
      <ns0:c r="H1609">
        <ns0:f>IFERROR(IF(AND(AH!$E$4="Bloomberg",AH!$P$10=1,ISNUMBER($A1609),$A1609&lt;=AH!$P$17),AH!$P$7-1+MATCH($A1609,INDEX('AH History'!$A$1:$A$18046,AH!$P$7):INDEX('AH History'!$A$1:$A$18046,AH!$P$7+AH!$P$8-1),0),0),0)</ns0:f>
        <ns0:v/>
      </ns0:c>
      <ns0:c r="I1609">
        <ns0:f>IF($H1609=0,0,IFERROR(IF(AND(ABS($C1609-INDEX('AH History'!$B$1:$B$18046,$H1609))&lt;=MAX(0.005,ABS(INDEX('AH History'!$B$1:$B$18046,$H1609))*0.00005),ABS($D1609-INDEX('AH History'!$C$1:$C$18046,$H1609))&lt;=MAX(0.005,ABS(INDEX('AH History'!$C$1:$C$18046,$H1609))*0.00005),ABS($E1609-INDEX('AH History'!$D$1:$D$18046,$H1609))&lt;=0.00005,$F1609=INDEX('AH History'!$E$1:$E$18046,$H1609),$G1609=INDEX('AH History'!$F$1:$F$18046,$H1609)),1,-1),-1))</ns0:f>
        <ns0:v/>
      </ns0:c>
    </ns0:row>
    <ns0:row r="1610">
      <ns0:c r="A1610" s="215">
        <ns0:f>IF(OR(AH!$P$3=0,1605+1&gt;AH!$P$11,AND(AH!$E$4&lt;&gt;"Stored",AH!$P$10&lt;&gt;1)),"",IFERROR(IF(AND(AH!$P$21=1,1605+1=AH!$P$11),TODAY(),IF(AH!$P$10=1,INDEX('Live History'!$A$5:$A$3004,AH!$P$13+1605),INDEX('AH History'!$A$1:$A$18046,AH!$P$7+1605))),""))</ns0:f>
        <ns0:v/>
      </ns0:c>
      <ns0:c r="B1610" s="219">
        <ns0:f>IFERROR(IF(AND(AH!$P$9&lt;&gt;1,$C1610&gt;0,$D1610&gt;0,$E1610&gt;0,$F1610&gt;0,$G1610&gt;0,$F1610&lt;=$A1610,$G1610&lt;=$A1610,$A1610-$F1610&lt;=10,$A1610-$G1610&lt;=5),$D1610*$E1610/$C1610-1,NA()),NA())</ns0:f>
        <ns0:v/>
      </ns0:c>
      <ns0:c r="C1610">
        <ns0:f>IFERROR(IF(ISNUMBER($A1610),IF(AND(AH!$P$10=1,AH!$P$12=1,$A1610=TODAY()),AH!$P$19,IF(AH!$P$10=1,INDEX('Live History'!$B$5:$B$3004,AH!$P$13+1605),INDEX('AH History'!$B$1:$B$18046,AH!$P$7+1605))),NA()),NA())</ns0:f>
        <ns0:v/>
      </ns0:c>
      <ns0:c r="D1610">
        <ns0:f>IFERROR(IF(ISNUMBER($A1610),IF(AND(AH!$P$10=1,AH!$P$12=1,$A1610=TODAY()),AH!$P$18,IF(AH!$P$10=1,INDEX('Live History'!$E$5:$E$3004,MATCH($A1610,'Live History'!$D$5:$D$3004,1)),INDEX('AH History'!$C$1:$C$18046,AH!$P$7+1605))),NA()),NA())</ns0:f>
        <ns0:v/>
      </ns0:c>
      <ns0:c r="E1610">
        <ns0:f>IFERROR(IF(ISNUMBER($A1610),IF(AND(AH!$P$10=1,AH!$P$12=1,$A1610=TODAY()),AH!$P$20,IF(AH!$P$10=1,INDEX('Live History'!$H$5:$H$3004,MATCH($A1610,'Live History'!$G$5:$G$3004,1)),INDEX('AH History'!$D$1:$D$18046,AH!$P$7+1605))),NA()),NA())</ns0:f>
        <ns0:v/>
      </ns0:c>
      <ns0:c r="F1610">
        <ns0:f>IFERROR(IF(ISNUMBER($A1610),IF(AND(AH!$P$10=1,AH!$P$12=1,$A1610=TODAY()),IF(AND(AH!$P$10=1,AH!$P$12=1,$A1610=TODAY()),TODAY(),NA()),IF(AH!$P$10=1,INDEX('Live History'!$D$5:$D$3004,MATCH($A1610,'Live History'!$D$5:$D$3004,1)),INDEX('AH History'!$E$1:$E$18046,AH!$P$7+1605))),NA()),NA())</ns0:f>
        <ns0:v/>
      </ns0:c>
      <ns0:c r="G1610">
        <ns0:f>IFERROR(IF(ISNUMBER($A1610),IF(AND(AH!$P$10=1,AH!$P$12=1,$A1610=TODAY()),IF(AND(AH!$P$10=1,AH!$P$12=1,$A1610=TODAY()),TODAY(),NA()),IF(AH!$P$10=1,INDEX('Live History'!$G$5:$G$3004,MATCH($A1610,'Live History'!$G$5:$G$3004,1)),INDEX('AH History'!$F$1:$F$18046,AH!$P$7+1605))),NA()),NA())</ns0:f>
        <ns0:v/>
      </ns0:c>
      <ns0:c r="H1610">
        <ns0:f>IFERROR(IF(AND(AH!$E$4="Bloomberg",AH!$P$10=1,ISNUMBER($A1610),$A1610&lt;=AH!$P$17),AH!$P$7-1+MATCH($A1610,INDEX('AH History'!$A$1:$A$18046,AH!$P$7):INDEX('AH History'!$A$1:$A$18046,AH!$P$7+AH!$P$8-1),0),0),0)</ns0:f>
        <ns0:v/>
      </ns0:c>
      <ns0:c r="I1610">
        <ns0:f>IF($H1610=0,0,IFERROR(IF(AND(ABS($C1610-INDEX('AH History'!$B$1:$B$18046,$H1610))&lt;=MAX(0.005,ABS(INDEX('AH History'!$B$1:$B$18046,$H1610))*0.00005),ABS($D1610-INDEX('AH History'!$C$1:$C$18046,$H1610))&lt;=MAX(0.005,ABS(INDEX('AH History'!$C$1:$C$18046,$H1610))*0.00005),ABS($E1610-INDEX('AH History'!$D$1:$D$18046,$H1610))&lt;=0.00005,$F1610=INDEX('AH History'!$E$1:$E$18046,$H1610),$G1610=INDEX('AH History'!$F$1:$F$18046,$H1610)),1,-1),-1))</ns0:f>
        <ns0:v/>
      </ns0:c>
    </ns0:row>
    <ns0:row r="1611">
      <ns0:c r="A1611" s="215">
        <ns0:f>IF(OR(AH!$P$3=0,1606+1&gt;AH!$P$11,AND(AH!$E$4&lt;&gt;"Stored",AH!$P$10&lt;&gt;1)),"",IFERROR(IF(AND(AH!$P$21=1,1606+1=AH!$P$11),TODAY(),IF(AH!$P$10=1,INDEX('Live History'!$A$5:$A$3004,AH!$P$13+1606),INDEX('AH History'!$A$1:$A$18046,AH!$P$7+1606))),""))</ns0:f>
        <ns0:v/>
      </ns0:c>
      <ns0:c r="B1611" s="219">
        <ns0:f>IFERROR(IF(AND(AH!$P$9&lt;&gt;1,$C1611&gt;0,$D1611&gt;0,$E1611&gt;0,$F1611&gt;0,$G1611&gt;0,$F1611&lt;=$A1611,$G1611&lt;=$A1611,$A1611-$F1611&lt;=10,$A1611-$G1611&lt;=5),$D1611*$E1611/$C1611-1,NA()),NA())</ns0:f>
        <ns0:v/>
      </ns0:c>
      <ns0:c r="C1611">
        <ns0:f>IFERROR(IF(ISNUMBER($A1611),IF(AND(AH!$P$10=1,AH!$P$12=1,$A1611=TODAY()),AH!$P$19,IF(AH!$P$10=1,INDEX('Live History'!$B$5:$B$3004,AH!$P$13+1606),INDEX('AH History'!$B$1:$B$18046,AH!$P$7+1606))),NA()),NA())</ns0:f>
        <ns0:v/>
      </ns0:c>
      <ns0:c r="D1611">
        <ns0:f>IFERROR(IF(ISNUMBER($A1611),IF(AND(AH!$P$10=1,AH!$P$12=1,$A1611=TODAY()),AH!$P$18,IF(AH!$P$10=1,INDEX('Live History'!$E$5:$E$3004,MATCH($A1611,'Live History'!$D$5:$D$3004,1)),INDEX('AH History'!$C$1:$C$18046,AH!$P$7+1606))),NA()),NA())</ns0:f>
        <ns0:v/>
      </ns0:c>
      <ns0:c r="E1611">
        <ns0:f>IFERROR(IF(ISNUMBER($A1611),IF(AND(AH!$P$10=1,AH!$P$12=1,$A1611=TODAY()),AH!$P$20,IF(AH!$P$10=1,INDEX('Live History'!$H$5:$H$3004,MATCH($A1611,'Live History'!$G$5:$G$3004,1)),INDEX('AH History'!$D$1:$D$18046,AH!$P$7+1606))),NA()),NA())</ns0:f>
        <ns0:v/>
      </ns0:c>
      <ns0:c r="F1611">
        <ns0:f>IFERROR(IF(ISNUMBER($A1611),IF(AND(AH!$P$10=1,AH!$P$12=1,$A1611=TODAY()),IF(AND(AH!$P$10=1,AH!$P$12=1,$A1611=TODAY()),TODAY(),NA()),IF(AH!$P$10=1,INDEX('Live History'!$D$5:$D$3004,MATCH($A1611,'Live History'!$D$5:$D$3004,1)),INDEX('AH History'!$E$1:$E$18046,AH!$P$7+1606))),NA()),NA())</ns0:f>
        <ns0:v/>
      </ns0:c>
      <ns0:c r="G1611">
        <ns0:f>IFERROR(IF(ISNUMBER($A1611),IF(AND(AH!$P$10=1,AH!$P$12=1,$A1611=TODAY()),IF(AND(AH!$P$10=1,AH!$P$12=1,$A1611=TODAY()),TODAY(),NA()),IF(AH!$P$10=1,INDEX('Live History'!$G$5:$G$3004,MATCH($A1611,'Live History'!$G$5:$G$3004,1)),INDEX('AH History'!$F$1:$F$18046,AH!$P$7+1606))),NA()),NA())</ns0:f>
        <ns0:v/>
      </ns0:c>
      <ns0:c r="H1611">
        <ns0:f>IFERROR(IF(AND(AH!$E$4="Bloomberg",AH!$P$10=1,ISNUMBER($A1611),$A1611&lt;=AH!$P$17),AH!$P$7-1+MATCH($A1611,INDEX('AH History'!$A$1:$A$18046,AH!$P$7):INDEX('AH History'!$A$1:$A$18046,AH!$P$7+AH!$P$8-1),0),0),0)</ns0:f>
        <ns0:v/>
      </ns0:c>
      <ns0:c r="I1611">
        <ns0:f>IF($H1611=0,0,IFERROR(IF(AND(ABS($C1611-INDEX('AH History'!$B$1:$B$18046,$H1611))&lt;=MAX(0.005,ABS(INDEX('AH History'!$B$1:$B$18046,$H1611))*0.00005),ABS($D1611-INDEX('AH History'!$C$1:$C$18046,$H1611))&lt;=MAX(0.005,ABS(INDEX('AH History'!$C$1:$C$18046,$H1611))*0.00005),ABS($E1611-INDEX('AH History'!$D$1:$D$18046,$H1611))&lt;=0.00005,$F1611=INDEX('AH History'!$E$1:$E$18046,$H1611),$G1611=INDEX('AH History'!$F$1:$F$18046,$H1611)),1,-1),-1))</ns0:f>
        <ns0:v/>
      </ns0:c>
    </ns0:row>
    <ns0:row r="1612">
      <ns0:c r="A1612" s="215">
        <ns0:f>IF(OR(AH!$P$3=0,1607+1&gt;AH!$P$11,AND(AH!$E$4&lt;&gt;"Stored",AH!$P$10&lt;&gt;1)),"",IFERROR(IF(AND(AH!$P$21=1,1607+1=AH!$P$11),TODAY(),IF(AH!$P$10=1,INDEX('Live History'!$A$5:$A$3004,AH!$P$13+1607),INDEX('AH History'!$A$1:$A$18046,AH!$P$7+1607))),""))</ns0:f>
        <ns0:v/>
      </ns0:c>
      <ns0:c r="B1612" s="219">
        <ns0:f>IFERROR(IF(AND(AH!$P$9&lt;&gt;1,$C1612&gt;0,$D1612&gt;0,$E1612&gt;0,$F1612&gt;0,$G1612&gt;0,$F1612&lt;=$A1612,$G1612&lt;=$A1612,$A1612-$F1612&lt;=10,$A1612-$G1612&lt;=5),$D1612*$E1612/$C1612-1,NA()),NA())</ns0:f>
        <ns0:v/>
      </ns0:c>
      <ns0:c r="C1612">
        <ns0:f>IFERROR(IF(ISNUMBER($A1612),IF(AND(AH!$P$10=1,AH!$P$12=1,$A1612=TODAY()),AH!$P$19,IF(AH!$P$10=1,INDEX('Live History'!$B$5:$B$3004,AH!$P$13+1607),INDEX('AH History'!$B$1:$B$18046,AH!$P$7+1607))),NA()),NA())</ns0:f>
        <ns0:v/>
      </ns0:c>
      <ns0:c r="D1612">
        <ns0:f>IFERROR(IF(ISNUMBER($A1612),IF(AND(AH!$P$10=1,AH!$P$12=1,$A1612=TODAY()),AH!$P$18,IF(AH!$P$10=1,INDEX('Live History'!$E$5:$E$3004,MATCH($A1612,'Live History'!$D$5:$D$3004,1)),INDEX('AH History'!$C$1:$C$18046,AH!$P$7+1607))),NA()),NA())</ns0:f>
        <ns0:v/>
      </ns0:c>
      <ns0:c r="E1612">
        <ns0:f>IFERROR(IF(ISNUMBER($A1612),IF(AND(AH!$P$10=1,AH!$P$12=1,$A1612=TODAY()),AH!$P$20,IF(AH!$P$10=1,INDEX('Live History'!$H$5:$H$3004,MATCH($A1612,'Live History'!$G$5:$G$3004,1)),INDEX('AH History'!$D$1:$D$18046,AH!$P$7+1607))),NA()),NA())</ns0:f>
        <ns0:v/>
      </ns0:c>
      <ns0:c r="F1612">
        <ns0:f>IFERROR(IF(ISNUMBER($A1612),IF(AND(AH!$P$10=1,AH!$P$12=1,$A1612=TODAY()),IF(AND(AH!$P$10=1,AH!$P$12=1,$A1612=TODAY()),TODAY(),NA()),IF(AH!$P$10=1,INDEX('Live History'!$D$5:$D$3004,MATCH($A1612,'Live History'!$D$5:$D$3004,1)),INDEX('AH History'!$E$1:$E$18046,AH!$P$7+1607))),NA()),NA())</ns0:f>
        <ns0:v/>
      </ns0:c>
      <ns0:c r="G1612">
        <ns0:f>IFERROR(IF(ISNUMBER($A1612),IF(AND(AH!$P$10=1,AH!$P$12=1,$A1612=TODAY()),IF(AND(AH!$P$10=1,AH!$P$12=1,$A1612=TODAY()),TODAY(),NA()),IF(AH!$P$10=1,INDEX('Live History'!$G$5:$G$3004,MATCH($A1612,'Live History'!$G$5:$G$3004,1)),INDEX('AH History'!$F$1:$F$18046,AH!$P$7+1607))),NA()),NA())</ns0:f>
        <ns0:v/>
      </ns0:c>
      <ns0:c r="H1612">
        <ns0:f>IFERROR(IF(AND(AH!$E$4="Bloomberg",AH!$P$10=1,ISNUMBER($A1612),$A1612&lt;=AH!$P$17),AH!$P$7-1+MATCH($A1612,INDEX('AH History'!$A$1:$A$18046,AH!$P$7):INDEX('AH History'!$A$1:$A$18046,AH!$P$7+AH!$P$8-1),0),0),0)</ns0:f>
        <ns0:v/>
      </ns0:c>
      <ns0:c r="I1612">
        <ns0:f>IF($H1612=0,0,IFERROR(IF(AND(ABS($C1612-INDEX('AH History'!$B$1:$B$18046,$H1612))&lt;=MAX(0.005,ABS(INDEX('AH History'!$B$1:$B$18046,$H1612))*0.00005),ABS($D1612-INDEX('AH History'!$C$1:$C$18046,$H1612))&lt;=MAX(0.005,ABS(INDEX('AH History'!$C$1:$C$18046,$H1612))*0.00005),ABS($E1612-INDEX('AH History'!$D$1:$D$18046,$H1612))&lt;=0.00005,$F1612=INDEX('AH History'!$E$1:$E$18046,$H1612),$G1612=INDEX('AH History'!$F$1:$F$18046,$H1612)),1,-1),-1))</ns0:f>
        <ns0:v/>
      </ns0:c>
    </ns0:row>
    <ns0:row r="1613">
      <ns0:c r="A1613" s="215">
        <ns0:f>IF(OR(AH!$P$3=0,1608+1&gt;AH!$P$11,AND(AH!$E$4&lt;&gt;"Stored",AH!$P$10&lt;&gt;1)),"",IFERROR(IF(AND(AH!$P$21=1,1608+1=AH!$P$11),TODAY(),IF(AH!$P$10=1,INDEX('Live History'!$A$5:$A$3004,AH!$P$13+1608),INDEX('AH History'!$A$1:$A$18046,AH!$P$7+1608))),""))</ns0:f>
        <ns0:v/>
      </ns0:c>
      <ns0:c r="B1613" s="219">
        <ns0:f>IFERROR(IF(AND(AH!$P$9&lt;&gt;1,$C1613&gt;0,$D1613&gt;0,$E1613&gt;0,$F1613&gt;0,$G1613&gt;0,$F1613&lt;=$A1613,$G1613&lt;=$A1613,$A1613-$F1613&lt;=10,$A1613-$G1613&lt;=5),$D1613*$E1613/$C1613-1,NA()),NA())</ns0:f>
        <ns0:v/>
      </ns0:c>
      <ns0:c r="C1613">
        <ns0:f>IFERROR(IF(ISNUMBER($A1613),IF(AND(AH!$P$10=1,AH!$P$12=1,$A1613=TODAY()),AH!$P$19,IF(AH!$P$10=1,INDEX('Live History'!$B$5:$B$3004,AH!$P$13+1608),INDEX('AH History'!$B$1:$B$18046,AH!$P$7+1608))),NA()),NA())</ns0:f>
        <ns0:v/>
      </ns0:c>
      <ns0:c r="D1613">
        <ns0:f>IFERROR(IF(ISNUMBER($A1613),IF(AND(AH!$P$10=1,AH!$P$12=1,$A1613=TODAY()),AH!$P$18,IF(AH!$P$10=1,INDEX('Live History'!$E$5:$E$3004,MATCH($A1613,'Live History'!$D$5:$D$3004,1)),INDEX('AH History'!$C$1:$C$18046,AH!$P$7+1608))),NA()),NA())</ns0:f>
        <ns0:v/>
      </ns0:c>
      <ns0:c r="E1613">
        <ns0:f>IFERROR(IF(ISNUMBER($A1613),IF(AND(AH!$P$10=1,AH!$P$12=1,$A1613=TODAY()),AH!$P$20,IF(AH!$P$10=1,INDEX('Live History'!$H$5:$H$3004,MATCH($A1613,'Live History'!$G$5:$G$3004,1)),INDEX('AH History'!$D$1:$D$18046,AH!$P$7+1608))),NA()),NA())</ns0:f>
        <ns0:v/>
      </ns0:c>
      <ns0:c r="F1613">
        <ns0:f>IFERROR(IF(ISNUMBER($A1613),IF(AND(AH!$P$10=1,AH!$P$12=1,$A1613=TODAY()),IF(AND(AH!$P$10=1,AH!$P$12=1,$A1613=TODAY()),TODAY(),NA()),IF(AH!$P$10=1,INDEX('Live History'!$D$5:$D$3004,MATCH($A1613,'Live History'!$D$5:$D$3004,1)),INDEX('AH History'!$E$1:$E$18046,AH!$P$7+1608))),NA()),NA())</ns0:f>
        <ns0:v/>
      </ns0:c>
      <ns0:c r="G1613">
        <ns0:f>IFERROR(IF(ISNUMBER($A1613),IF(AND(AH!$P$10=1,AH!$P$12=1,$A1613=TODAY()),IF(AND(AH!$P$10=1,AH!$P$12=1,$A1613=TODAY()),TODAY(),NA()),IF(AH!$P$10=1,INDEX('Live History'!$G$5:$G$3004,MATCH($A1613,'Live History'!$G$5:$G$3004,1)),INDEX('AH History'!$F$1:$F$18046,AH!$P$7+1608))),NA()),NA())</ns0:f>
        <ns0:v/>
      </ns0:c>
      <ns0:c r="H1613">
        <ns0:f>IFERROR(IF(AND(AH!$E$4="Bloomberg",AH!$P$10=1,ISNUMBER($A1613),$A1613&lt;=AH!$P$17),AH!$P$7-1+MATCH($A1613,INDEX('AH History'!$A$1:$A$18046,AH!$P$7):INDEX('AH History'!$A$1:$A$18046,AH!$P$7+AH!$P$8-1),0),0),0)</ns0:f>
        <ns0:v/>
      </ns0:c>
      <ns0:c r="I1613">
        <ns0:f>IF($H1613=0,0,IFERROR(IF(AND(ABS($C1613-INDEX('AH History'!$B$1:$B$18046,$H1613))&lt;=MAX(0.005,ABS(INDEX('AH History'!$B$1:$B$18046,$H1613))*0.00005),ABS($D1613-INDEX('AH History'!$C$1:$C$18046,$H1613))&lt;=MAX(0.005,ABS(INDEX('AH History'!$C$1:$C$18046,$H1613))*0.00005),ABS($E1613-INDEX('AH History'!$D$1:$D$18046,$H1613))&lt;=0.00005,$F1613=INDEX('AH History'!$E$1:$E$18046,$H1613),$G1613=INDEX('AH History'!$F$1:$F$18046,$H1613)),1,-1),-1))</ns0:f>
        <ns0:v/>
      </ns0:c>
    </ns0:row>
    <ns0:row r="1614">
      <ns0:c r="A1614" s="215">
        <ns0:f>IF(OR(AH!$P$3=0,1609+1&gt;AH!$P$11,AND(AH!$E$4&lt;&gt;"Stored",AH!$P$10&lt;&gt;1)),"",IFERROR(IF(AND(AH!$P$21=1,1609+1=AH!$P$11),TODAY(),IF(AH!$P$10=1,INDEX('Live History'!$A$5:$A$3004,AH!$P$13+1609),INDEX('AH History'!$A$1:$A$18046,AH!$P$7+1609))),""))</ns0:f>
        <ns0:v/>
      </ns0:c>
      <ns0:c r="B1614" s="219">
        <ns0:f>IFERROR(IF(AND(AH!$P$9&lt;&gt;1,$C1614&gt;0,$D1614&gt;0,$E1614&gt;0,$F1614&gt;0,$G1614&gt;0,$F1614&lt;=$A1614,$G1614&lt;=$A1614,$A1614-$F1614&lt;=10,$A1614-$G1614&lt;=5),$D1614*$E1614/$C1614-1,NA()),NA())</ns0:f>
        <ns0:v/>
      </ns0:c>
      <ns0:c r="C1614">
        <ns0:f>IFERROR(IF(ISNUMBER($A1614),IF(AND(AH!$P$10=1,AH!$P$12=1,$A1614=TODAY()),AH!$P$19,IF(AH!$P$10=1,INDEX('Live History'!$B$5:$B$3004,AH!$P$13+1609),INDEX('AH History'!$B$1:$B$18046,AH!$P$7+1609))),NA()),NA())</ns0:f>
        <ns0:v/>
      </ns0:c>
      <ns0:c r="D1614">
        <ns0:f>IFERROR(IF(ISNUMBER($A1614),IF(AND(AH!$P$10=1,AH!$P$12=1,$A1614=TODAY()),AH!$P$18,IF(AH!$P$10=1,INDEX('Live History'!$E$5:$E$3004,MATCH($A1614,'Live History'!$D$5:$D$3004,1)),INDEX('AH History'!$C$1:$C$18046,AH!$P$7+1609))),NA()),NA())</ns0:f>
        <ns0:v/>
      </ns0:c>
      <ns0:c r="E1614">
        <ns0:f>IFERROR(IF(ISNUMBER($A1614),IF(AND(AH!$P$10=1,AH!$P$12=1,$A1614=TODAY()),AH!$P$20,IF(AH!$P$10=1,INDEX('Live History'!$H$5:$H$3004,MATCH($A1614,'Live History'!$G$5:$G$3004,1)),INDEX('AH History'!$D$1:$D$18046,AH!$P$7+1609))),NA()),NA())</ns0:f>
        <ns0:v/>
      </ns0:c>
      <ns0:c r="F1614">
        <ns0:f>IFERROR(IF(ISNUMBER($A1614),IF(AND(AH!$P$10=1,AH!$P$12=1,$A1614=TODAY()),IF(AND(AH!$P$10=1,AH!$P$12=1,$A1614=TODAY()),TODAY(),NA()),IF(AH!$P$10=1,INDEX('Live History'!$D$5:$D$3004,MATCH($A1614,'Live History'!$D$5:$D$3004,1)),INDEX('AH History'!$E$1:$E$18046,AH!$P$7+1609))),NA()),NA())</ns0:f>
        <ns0:v/>
      </ns0:c>
      <ns0:c r="G1614">
        <ns0:f>IFERROR(IF(ISNUMBER($A1614),IF(AND(AH!$P$10=1,AH!$P$12=1,$A1614=TODAY()),IF(AND(AH!$P$10=1,AH!$P$12=1,$A1614=TODAY()),TODAY(),NA()),IF(AH!$P$10=1,INDEX('Live History'!$G$5:$G$3004,MATCH($A1614,'Live History'!$G$5:$G$3004,1)),INDEX('AH History'!$F$1:$F$18046,AH!$P$7+1609))),NA()),NA())</ns0:f>
        <ns0:v/>
      </ns0:c>
      <ns0:c r="H1614">
        <ns0:f>IFERROR(IF(AND(AH!$E$4="Bloomberg",AH!$P$10=1,ISNUMBER($A1614),$A1614&lt;=AH!$P$17),AH!$P$7-1+MATCH($A1614,INDEX('AH History'!$A$1:$A$18046,AH!$P$7):INDEX('AH History'!$A$1:$A$18046,AH!$P$7+AH!$P$8-1),0),0),0)</ns0:f>
        <ns0:v/>
      </ns0:c>
      <ns0:c r="I1614">
        <ns0:f>IF($H1614=0,0,IFERROR(IF(AND(ABS($C1614-INDEX('AH History'!$B$1:$B$18046,$H1614))&lt;=MAX(0.005,ABS(INDEX('AH History'!$B$1:$B$18046,$H1614))*0.00005),ABS($D1614-INDEX('AH History'!$C$1:$C$18046,$H1614))&lt;=MAX(0.005,ABS(INDEX('AH History'!$C$1:$C$18046,$H1614))*0.00005),ABS($E1614-INDEX('AH History'!$D$1:$D$18046,$H1614))&lt;=0.00005,$F1614=INDEX('AH History'!$E$1:$E$18046,$H1614),$G1614=INDEX('AH History'!$F$1:$F$18046,$H1614)),1,-1),-1))</ns0:f>
        <ns0:v/>
      </ns0:c>
    </ns0:row>
    <ns0:row r="1615">
      <ns0:c r="A1615" s="215">
        <ns0:f>IF(OR(AH!$P$3=0,1610+1&gt;AH!$P$11,AND(AH!$E$4&lt;&gt;"Stored",AH!$P$10&lt;&gt;1)),"",IFERROR(IF(AND(AH!$P$21=1,1610+1=AH!$P$11),TODAY(),IF(AH!$P$10=1,INDEX('Live History'!$A$5:$A$3004,AH!$P$13+1610),INDEX('AH History'!$A$1:$A$18046,AH!$P$7+1610))),""))</ns0:f>
        <ns0:v/>
      </ns0:c>
      <ns0:c r="B1615" s="219">
        <ns0:f>IFERROR(IF(AND(AH!$P$9&lt;&gt;1,$C1615&gt;0,$D1615&gt;0,$E1615&gt;0,$F1615&gt;0,$G1615&gt;0,$F1615&lt;=$A1615,$G1615&lt;=$A1615,$A1615-$F1615&lt;=10,$A1615-$G1615&lt;=5),$D1615*$E1615/$C1615-1,NA()),NA())</ns0:f>
        <ns0:v/>
      </ns0:c>
      <ns0:c r="C1615">
        <ns0:f>IFERROR(IF(ISNUMBER($A1615),IF(AND(AH!$P$10=1,AH!$P$12=1,$A1615=TODAY()),AH!$P$19,IF(AH!$P$10=1,INDEX('Live History'!$B$5:$B$3004,AH!$P$13+1610),INDEX('AH History'!$B$1:$B$18046,AH!$P$7+1610))),NA()),NA())</ns0:f>
        <ns0:v/>
      </ns0:c>
      <ns0:c r="D1615">
        <ns0:f>IFERROR(IF(ISNUMBER($A1615),IF(AND(AH!$P$10=1,AH!$P$12=1,$A1615=TODAY()),AH!$P$18,IF(AH!$P$10=1,INDEX('Live History'!$E$5:$E$3004,MATCH($A1615,'Live History'!$D$5:$D$3004,1)),INDEX('AH History'!$C$1:$C$18046,AH!$P$7+1610))),NA()),NA())</ns0:f>
        <ns0:v/>
      </ns0:c>
      <ns0:c r="E1615">
        <ns0:f>IFERROR(IF(ISNUMBER($A1615),IF(AND(AH!$P$10=1,AH!$P$12=1,$A1615=TODAY()),AH!$P$20,IF(AH!$P$10=1,INDEX('Live History'!$H$5:$H$3004,MATCH($A1615,'Live History'!$G$5:$G$3004,1)),INDEX('AH History'!$D$1:$D$18046,AH!$P$7+1610))),NA()),NA())</ns0:f>
        <ns0:v/>
      </ns0:c>
      <ns0:c r="F1615">
        <ns0:f>IFERROR(IF(ISNUMBER($A1615),IF(AND(AH!$P$10=1,AH!$P$12=1,$A1615=TODAY()),IF(AND(AH!$P$10=1,AH!$P$12=1,$A1615=TODAY()),TODAY(),NA()),IF(AH!$P$10=1,INDEX('Live History'!$D$5:$D$3004,MATCH($A1615,'Live History'!$D$5:$D$3004,1)),INDEX('AH History'!$E$1:$E$18046,AH!$P$7+1610))),NA()),NA())</ns0:f>
        <ns0:v/>
      </ns0:c>
      <ns0:c r="G1615">
        <ns0:f>IFERROR(IF(ISNUMBER($A1615),IF(AND(AH!$P$10=1,AH!$P$12=1,$A1615=TODAY()),IF(AND(AH!$P$10=1,AH!$P$12=1,$A1615=TODAY()),TODAY(),NA()),IF(AH!$P$10=1,INDEX('Live History'!$G$5:$G$3004,MATCH($A1615,'Live History'!$G$5:$G$3004,1)),INDEX('AH History'!$F$1:$F$18046,AH!$P$7+1610))),NA()),NA())</ns0:f>
        <ns0:v/>
      </ns0:c>
      <ns0:c r="H1615">
        <ns0:f>IFERROR(IF(AND(AH!$E$4="Bloomberg",AH!$P$10=1,ISNUMBER($A1615),$A1615&lt;=AH!$P$17),AH!$P$7-1+MATCH($A1615,INDEX('AH History'!$A$1:$A$18046,AH!$P$7):INDEX('AH History'!$A$1:$A$18046,AH!$P$7+AH!$P$8-1),0),0),0)</ns0:f>
        <ns0:v/>
      </ns0:c>
      <ns0:c r="I1615">
        <ns0:f>IF($H1615=0,0,IFERROR(IF(AND(ABS($C1615-INDEX('AH History'!$B$1:$B$18046,$H1615))&lt;=MAX(0.005,ABS(INDEX('AH History'!$B$1:$B$18046,$H1615))*0.00005),ABS($D1615-INDEX('AH History'!$C$1:$C$18046,$H1615))&lt;=MAX(0.005,ABS(INDEX('AH History'!$C$1:$C$18046,$H1615))*0.00005),ABS($E1615-INDEX('AH History'!$D$1:$D$18046,$H1615))&lt;=0.00005,$F1615=INDEX('AH History'!$E$1:$E$18046,$H1615),$G1615=INDEX('AH History'!$F$1:$F$18046,$H1615)),1,-1),-1))</ns0:f>
        <ns0:v/>
      </ns0:c>
    </ns0:row>
    <ns0:row r="1616">
      <ns0:c r="A1616" s="215">
        <ns0:f>IF(OR(AH!$P$3=0,1611+1&gt;AH!$P$11,AND(AH!$E$4&lt;&gt;"Stored",AH!$P$10&lt;&gt;1)),"",IFERROR(IF(AND(AH!$P$21=1,1611+1=AH!$P$11),TODAY(),IF(AH!$P$10=1,INDEX('Live History'!$A$5:$A$3004,AH!$P$13+1611),INDEX('AH History'!$A$1:$A$18046,AH!$P$7+1611))),""))</ns0:f>
        <ns0:v/>
      </ns0:c>
      <ns0:c r="B1616" s="219">
        <ns0:f>IFERROR(IF(AND(AH!$P$9&lt;&gt;1,$C1616&gt;0,$D1616&gt;0,$E1616&gt;0,$F1616&gt;0,$G1616&gt;0,$F1616&lt;=$A1616,$G1616&lt;=$A1616,$A1616-$F1616&lt;=10,$A1616-$G1616&lt;=5),$D1616*$E1616/$C1616-1,NA()),NA())</ns0:f>
        <ns0:v/>
      </ns0:c>
      <ns0:c r="C1616">
        <ns0:f>IFERROR(IF(ISNUMBER($A1616),IF(AND(AH!$P$10=1,AH!$P$12=1,$A1616=TODAY()),AH!$P$19,IF(AH!$P$10=1,INDEX('Live History'!$B$5:$B$3004,AH!$P$13+1611),INDEX('AH History'!$B$1:$B$18046,AH!$P$7+1611))),NA()),NA())</ns0:f>
        <ns0:v/>
      </ns0:c>
      <ns0:c r="D1616">
        <ns0:f>IFERROR(IF(ISNUMBER($A1616),IF(AND(AH!$P$10=1,AH!$P$12=1,$A1616=TODAY()),AH!$P$18,IF(AH!$P$10=1,INDEX('Live History'!$E$5:$E$3004,MATCH($A1616,'Live History'!$D$5:$D$3004,1)),INDEX('AH History'!$C$1:$C$18046,AH!$P$7+1611))),NA()),NA())</ns0:f>
        <ns0:v/>
      </ns0:c>
      <ns0:c r="E1616">
        <ns0:f>IFERROR(IF(ISNUMBER($A1616),IF(AND(AH!$P$10=1,AH!$P$12=1,$A1616=TODAY()),AH!$P$20,IF(AH!$P$10=1,INDEX('Live History'!$H$5:$H$3004,MATCH($A1616,'Live History'!$G$5:$G$3004,1)),INDEX('AH History'!$D$1:$D$18046,AH!$P$7+1611))),NA()),NA())</ns0:f>
        <ns0:v/>
      </ns0:c>
      <ns0:c r="F1616">
        <ns0:f>IFERROR(IF(ISNUMBER($A1616),IF(AND(AH!$P$10=1,AH!$P$12=1,$A1616=TODAY()),IF(AND(AH!$P$10=1,AH!$P$12=1,$A1616=TODAY()),TODAY(),NA()),IF(AH!$P$10=1,INDEX('Live History'!$D$5:$D$3004,MATCH($A1616,'Live History'!$D$5:$D$3004,1)),INDEX('AH History'!$E$1:$E$18046,AH!$P$7+1611))),NA()),NA())</ns0:f>
        <ns0:v/>
      </ns0:c>
      <ns0:c r="G1616">
        <ns0:f>IFERROR(IF(ISNUMBER($A1616),IF(AND(AH!$P$10=1,AH!$P$12=1,$A1616=TODAY()),IF(AND(AH!$P$10=1,AH!$P$12=1,$A1616=TODAY()),TODAY(),NA()),IF(AH!$P$10=1,INDEX('Live History'!$G$5:$G$3004,MATCH($A1616,'Live History'!$G$5:$G$3004,1)),INDEX('AH History'!$F$1:$F$18046,AH!$P$7+1611))),NA()),NA())</ns0:f>
        <ns0:v/>
      </ns0:c>
      <ns0:c r="H1616">
        <ns0:f>IFERROR(IF(AND(AH!$E$4="Bloomberg",AH!$P$10=1,ISNUMBER($A1616),$A1616&lt;=AH!$P$17),AH!$P$7-1+MATCH($A1616,INDEX('AH History'!$A$1:$A$18046,AH!$P$7):INDEX('AH History'!$A$1:$A$18046,AH!$P$7+AH!$P$8-1),0),0),0)</ns0:f>
        <ns0:v/>
      </ns0:c>
      <ns0:c r="I1616">
        <ns0:f>IF($H1616=0,0,IFERROR(IF(AND(ABS($C1616-INDEX('AH History'!$B$1:$B$18046,$H1616))&lt;=MAX(0.005,ABS(INDEX('AH History'!$B$1:$B$18046,$H1616))*0.00005),ABS($D1616-INDEX('AH History'!$C$1:$C$18046,$H1616))&lt;=MAX(0.005,ABS(INDEX('AH History'!$C$1:$C$18046,$H1616))*0.00005),ABS($E1616-INDEX('AH History'!$D$1:$D$18046,$H1616))&lt;=0.00005,$F1616=INDEX('AH History'!$E$1:$E$18046,$H1616),$G1616=INDEX('AH History'!$F$1:$F$18046,$H1616)),1,-1),-1))</ns0:f>
        <ns0:v/>
      </ns0:c>
    </ns0:row>
    <ns0:row r="1617">
      <ns0:c r="A1617" s="215">
        <ns0:f>IF(OR(AH!$P$3=0,1612+1&gt;AH!$P$11,AND(AH!$E$4&lt;&gt;"Stored",AH!$P$10&lt;&gt;1)),"",IFERROR(IF(AND(AH!$P$21=1,1612+1=AH!$P$11),TODAY(),IF(AH!$P$10=1,INDEX('Live History'!$A$5:$A$3004,AH!$P$13+1612),INDEX('AH History'!$A$1:$A$18046,AH!$P$7+1612))),""))</ns0:f>
        <ns0:v/>
      </ns0:c>
      <ns0:c r="B1617" s="219">
        <ns0:f>IFERROR(IF(AND(AH!$P$9&lt;&gt;1,$C1617&gt;0,$D1617&gt;0,$E1617&gt;0,$F1617&gt;0,$G1617&gt;0,$F1617&lt;=$A1617,$G1617&lt;=$A1617,$A1617-$F1617&lt;=10,$A1617-$G1617&lt;=5),$D1617*$E1617/$C1617-1,NA()),NA())</ns0:f>
        <ns0:v/>
      </ns0:c>
      <ns0:c r="C1617">
        <ns0:f>IFERROR(IF(ISNUMBER($A1617),IF(AND(AH!$P$10=1,AH!$P$12=1,$A1617=TODAY()),AH!$P$19,IF(AH!$P$10=1,INDEX('Live History'!$B$5:$B$3004,AH!$P$13+1612),INDEX('AH History'!$B$1:$B$18046,AH!$P$7+1612))),NA()),NA())</ns0:f>
        <ns0:v/>
      </ns0:c>
      <ns0:c r="D1617">
        <ns0:f>IFERROR(IF(ISNUMBER($A1617),IF(AND(AH!$P$10=1,AH!$P$12=1,$A1617=TODAY()),AH!$P$18,IF(AH!$P$10=1,INDEX('Live History'!$E$5:$E$3004,MATCH($A1617,'Live History'!$D$5:$D$3004,1)),INDEX('AH History'!$C$1:$C$18046,AH!$P$7+1612))),NA()),NA())</ns0:f>
        <ns0:v/>
      </ns0:c>
      <ns0:c r="E1617">
        <ns0:f>IFERROR(IF(ISNUMBER($A1617),IF(AND(AH!$P$10=1,AH!$P$12=1,$A1617=TODAY()),AH!$P$20,IF(AH!$P$10=1,INDEX('Live History'!$H$5:$H$3004,MATCH($A1617,'Live History'!$G$5:$G$3004,1)),INDEX('AH History'!$D$1:$D$18046,AH!$P$7+1612))),NA()),NA())</ns0:f>
        <ns0:v/>
      </ns0:c>
      <ns0:c r="F1617">
        <ns0:f>IFERROR(IF(ISNUMBER($A1617),IF(AND(AH!$P$10=1,AH!$P$12=1,$A1617=TODAY()),IF(AND(AH!$P$10=1,AH!$P$12=1,$A1617=TODAY()),TODAY(),NA()),IF(AH!$P$10=1,INDEX('Live History'!$D$5:$D$3004,MATCH($A1617,'Live History'!$D$5:$D$3004,1)),INDEX('AH History'!$E$1:$E$18046,AH!$P$7+1612))),NA()),NA())</ns0:f>
        <ns0:v/>
      </ns0:c>
      <ns0:c r="G1617">
        <ns0:f>IFERROR(IF(ISNUMBER($A1617),IF(AND(AH!$P$10=1,AH!$P$12=1,$A1617=TODAY()),IF(AND(AH!$P$10=1,AH!$P$12=1,$A1617=TODAY()),TODAY(),NA()),IF(AH!$P$10=1,INDEX('Live History'!$G$5:$G$3004,MATCH($A1617,'Live History'!$G$5:$G$3004,1)),INDEX('AH History'!$F$1:$F$18046,AH!$P$7+1612))),NA()),NA())</ns0:f>
        <ns0:v/>
      </ns0:c>
      <ns0:c r="H1617">
        <ns0:f>IFERROR(IF(AND(AH!$E$4="Bloomberg",AH!$P$10=1,ISNUMBER($A1617),$A1617&lt;=AH!$P$17),AH!$P$7-1+MATCH($A1617,INDEX('AH History'!$A$1:$A$18046,AH!$P$7):INDEX('AH History'!$A$1:$A$18046,AH!$P$7+AH!$P$8-1),0),0),0)</ns0:f>
        <ns0:v/>
      </ns0:c>
      <ns0:c r="I1617">
        <ns0:f>IF($H1617=0,0,IFERROR(IF(AND(ABS($C1617-INDEX('AH History'!$B$1:$B$18046,$H1617))&lt;=MAX(0.005,ABS(INDEX('AH History'!$B$1:$B$18046,$H1617))*0.00005),ABS($D1617-INDEX('AH History'!$C$1:$C$18046,$H1617))&lt;=MAX(0.005,ABS(INDEX('AH History'!$C$1:$C$18046,$H1617))*0.00005),ABS($E1617-INDEX('AH History'!$D$1:$D$18046,$H1617))&lt;=0.00005,$F1617=INDEX('AH History'!$E$1:$E$18046,$H1617),$G1617=INDEX('AH History'!$F$1:$F$18046,$H1617)),1,-1),-1))</ns0:f>
        <ns0:v/>
      </ns0:c>
    </ns0:row>
    <ns0:row r="1618">
      <ns0:c r="A1618" s="215">
        <ns0:f>IF(OR(AH!$P$3=0,1613+1&gt;AH!$P$11,AND(AH!$E$4&lt;&gt;"Stored",AH!$P$10&lt;&gt;1)),"",IFERROR(IF(AND(AH!$P$21=1,1613+1=AH!$P$11),TODAY(),IF(AH!$P$10=1,INDEX('Live History'!$A$5:$A$3004,AH!$P$13+1613),INDEX('AH History'!$A$1:$A$18046,AH!$P$7+1613))),""))</ns0:f>
        <ns0:v/>
      </ns0:c>
      <ns0:c r="B1618" s="219">
        <ns0:f>IFERROR(IF(AND(AH!$P$9&lt;&gt;1,$C1618&gt;0,$D1618&gt;0,$E1618&gt;0,$F1618&gt;0,$G1618&gt;0,$F1618&lt;=$A1618,$G1618&lt;=$A1618,$A1618-$F1618&lt;=10,$A1618-$G1618&lt;=5),$D1618*$E1618/$C1618-1,NA()),NA())</ns0:f>
        <ns0:v/>
      </ns0:c>
      <ns0:c r="C1618">
        <ns0:f>IFERROR(IF(ISNUMBER($A1618),IF(AND(AH!$P$10=1,AH!$P$12=1,$A1618=TODAY()),AH!$P$19,IF(AH!$P$10=1,INDEX('Live History'!$B$5:$B$3004,AH!$P$13+1613),INDEX('AH History'!$B$1:$B$18046,AH!$P$7+1613))),NA()),NA())</ns0:f>
        <ns0:v/>
      </ns0:c>
      <ns0:c r="D1618">
        <ns0:f>IFERROR(IF(ISNUMBER($A1618),IF(AND(AH!$P$10=1,AH!$P$12=1,$A1618=TODAY()),AH!$P$18,IF(AH!$P$10=1,INDEX('Live History'!$E$5:$E$3004,MATCH($A1618,'Live History'!$D$5:$D$3004,1)),INDEX('AH History'!$C$1:$C$18046,AH!$P$7+1613))),NA()),NA())</ns0:f>
        <ns0:v/>
      </ns0:c>
      <ns0:c r="E1618">
        <ns0:f>IFERROR(IF(ISNUMBER($A1618),IF(AND(AH!$P$10=1,AH!$P$12=1,$A1618=TODAY()),AH!$P$20,IF(AH!$P$10=1,INDEX('Live History'!$H$5:$H$3004,MATCH($A1618,'Live History'!$G$5:$G$3004,1)),INDEX('AH History'!$D$1:$D$18046,AH!$P$7+1613))),NA()),NA())</ns0:f>
        <ns0:v/>
      </ns0:c>
      <ns0:c r="F1618">
        <ns0:f>IFERROR(IF(ISNUMBER($A1618),IF(AND(AH!$P$10=1,AH!$P$12=1,$A1618=TODAY()),IF(AND(AH!$P$10=1,AH!$P$12=1,$A1618=TODAY()),TODAY(),NA()),IF(AH!$P$10=1,INDEX('Live History'!$D$5:$D$3004,MATCH($A1618,'Live History'!$D$5:$D$3004,1)),INDEX('AH History'!$E$1:$E$18046,AH!$P$7+1613))),NA()),NA())</ns0:f>
        <ns0:v/>
      </ns0:c>
      <ns0:c r="G1618">
        <ns0:f>IFERROR(IF(ISNUMBER($A1618),IF(AND(AH!$P$10=1,AH!$P$12=1,$A1618=TODAY()),IF(AND(AH!$P$10=1,AH!$P$12=1,$A1618=TODAY()),TODAY(),NA()),IF(AH!$P$10=1,INDEX('Live History'!$G$5:$G$3004,MATCH($A1618,'Live History'!$G$5:$G$3004,1)),INDEX('AH History'!$F$1:$F$18046,AH!$P$7+1613))),NA()),NA())</ns0:f>
        <ns0:v/>
      </ns0:c>
      <ns0:c r="H1618">
        <ns0:f>IFERROR(IF(AND(AH!$E$4="Bloomberg",AH!$P$10=1,ISNUMBER($A1618),$A1618&lt;=AH!$P$17),AH!$P$7-1+MATCH($A1618,INDEX('AH History'!$A$1:$A$18046,AH!$P$7):INDEX('AH History'!$A$1:$A$18046,AH!$P$7+AH!$P$8-1),0),0),0)</ns0:f>
        <ns0:v/>
      </ns0:c>
      <ns0:c r="I1618">
        <ns0:f>IF($H1618=0,0,IFERROR(IF(AND(ABS($C1618-INDEX('AH History'!$B$1:$B$18046,$H1618))&lt;=MAX(0.005,ABS(INDEX('AH History'!$B$1:$B$18046,$H1618))*0.00005),ABS($D1618-INDEX('AH History'!$C$1:$C$18046,$H1618))&lt;=MAX(0.005,ABS(INDEX('AH History'!$C$1:$C$18046,$H1618))*0.00005),ABS($E1618-INDEX('AH History'!$D$1:$D$18046,$H1618))&lt;=0.00005,$F1618=INDEX('AH History'!$E$1:$E$18046,$H1618),$G1618=INDEX('AH History'!$F$1:$F$18046,$H1618)),1,-1),-1))</ns0:f>
        <ns0:v/>
      </ns0:c>
    </ns0:row>
    <ns0:row r="1619">
      <ns0:c r="A1619" s="215">
        <ns0:f>IF(OR(AH!$P$3=0,1614+1&gt;AH!$P$11,AND(AH!$E$4&lt;&gt;"Stored",AH!$P$10&lt;&gt;1)),"",IFERROR(IF(AND(AH!$P$21=1,1614+1=AH!$P$11),TODAY(),IF(AH!$P$10=1,INDEX('Live History'!$A$5:$A$3004,AH!$P$13+1614),INDEX('AH History'!$A$1:$A$18046,AH!$P$7+1614))),""))</ns0:f>
        <ns0:v/>
      </ns0:c>
      <ns0:c r="B1619" s="219">
        <ns0:f>IFERROR(IF(AND(AH!$P$9&lt;&gt;1,$C1619&gt;0,$D1619&gt;0,$E1619&gt;0,$F1619&gt;0,$G1619&gt;0,$F1619&lt;=$A1619,$G1619&lt;=$A1619,$A1619-$F1619&lt;=10,$A1619-$G1619&lt;=5),$D1619*$E1619/$C1619-1,NA()),NA())</ns0:f>
        <ns0:v/>
      </ns0:c>
      <ns0:c r="C1619">
        <ns0:f>IFERROR(IF(ISNUMBER($A1619),IF(AND(AH!$P$10=1,AH!$P$12=1,$A1619=TODAY()),AH!$P$19,IF(AH!$P$10=1,INDEX('Live History'!$B$5:$B$3004,AH!$P$13+1614),INDEX('AH History'!$B$1:$B$18046,AH!$P$7+1614))),NA()),NA())</ns0:f>
        <ns0:v/>
      </ns0:c>
      <ns0:c r="D1619">
        <ns0:f>IFERROR(IF(ISNUMBER($A1619),IF(AND(AH!$P$10=1,AH!$P$12=1,$A1619=TODAY()),AH!$P$18,IF(AH!$P$10=1,INDEX('Live History'!$E$5:$E$3004,MATCH($A1619,'Live History'!$D$5:$D$3004,1)),INDEX('AH History'!$C$1:$C$18046,AH!$P$7+1614))),NA()),NA())</ns0:f>
        <ns0:v/>
      </ns0:c>
      <ns0:c r="E1619">
        <ns0:f>IFERROR(IF(ISNUMBER($A1619),IF(AND(AH!$P$10=1,AH!$P$12=1,$A1619=TODAY()),AH!$P$20,IF(AH!$P$10=1,INDEX('Live History'!$H$5:$H$3004,MATCH($A1619,'Live History'!$G$5:$G$3004,1)),INDEX('AH History'!$D$1:$D$18046,AH!$P$7+1614))),NA()),NA())</ns0:f>
        <ns0:v/>
      </ns0:c>
      <ns0:c r="F1619">
        <ns0:f>IFERROR(IF(ISNUMBER($A1619),IF(AND(AH!$P$10=1,AH!$P$12=1,$A1619=TODAY()),IF(AND(AH!$P$10=1,AH!$P$12=1,$A1619=TODAY()),TODAY(),NA()),IF(AH!$P$10=1,INDEX('Live History'!$D$5:$D$3004,MATCH($A1619,'Live History'!$D$5:$D$3004,1)),INDEX('AH History'!$E$1:$E$18046,AH!$P$7+1614))),NA()),NA())</ns0:f>
        <ns0:v/>
      </ns0:c>
      <ns0:c r="G1619">
        <ns0:f>IFERROR(IF(ISNUMBER($A1619),IF(AND(AH!$P$10=1,AH!$P$12=1,$A1619=TODAY()),IF(AND(AH!$P$10=1,AH!$P$12=1,$A1619=TODAY()),TODAY(),NA()),IF(AH!$P$10=1,INDEX('Live History'!$G$5:$G$3004,MATCH($A1619,'Live History'!$G$5:$G$3004,1)),INDEX('AH History'!$F$1:$F$18046,AH!$P$7+1614))),NA()),NA())</ns0:f>
        <ns0:v/>
      </ns0:c>
      <ns0:c r="H1619">
        <ns0:f>IFERROR(IF(AND(AH!$E$4="Bloomberg",AH!$P$10=1,ISNUMBER($A1619),$A1619&lt;=AH!$P$17),AH!$P$7-1+MATCH($A1619,INDEX('AH History'!$A$1:$A$18046,AH!$P$7):INDEX('AH History'!$A$1:$A$18046,AH!$P$7+AH!$P$8-1),0),0),0)</ns0:f>
        <ns0:v/>
      </ns0:c>
      <ns0:c r="I1619">
        <ns0:f>IF($H1619=0,0,IFERROR(IF(AND(ABS($C1619-INDEX('AH History'!$B$1:$B$18046,$H1619))&lt;=MAX(0.005,ABS(INDEX('AH History'!$B$1:$B$18046,$H1619))*0.00005),ABS($D1619-INDEX('AH History'!$C$1:$C$18046,$H1619))&lt;=MAX(0.005,ABS(INDEX('AH History'!$C$1:$C$18046,$H1619))*0.00005),ABS($E1619-INDEX('AH History'!$D$1:$D$18046,$H1619))&lt;=0.00005,$F1619=INDEX('AH History'!$E$1:$E$18046,$H1619),$G1619=INDEX('AH History'!$F$1:$F$18046,$H1619)),1,-1),-1))</ns0:f>
        <ns0:v/>
      </ns0:c>
    </ns0:row>
    <ns0:row r="1620">
      <ns0:c r="A1620" s="215">
        <ns0:f>IF(OR(AH!$P$3=0,1615+1&gt;AH!$P$11,AND(AH!$E$4&lt;&gt;"Stored",AH!$P$10&lt;&gt;1)),"",IFERROR(IF(AND(AH!$P$21=1,1615+1=AH!$P$11),TODAY(),IF(AH!$P$10=1,INDEX('Live History'!$A$5:$A$3004,AH!$P$13+1615),INDEX('AH History'!$A$1:$A$18046,AH!$P$7+1615))),""))</ns0:f>
        <ns0:v/>
      </ns0:c>
      <ns0:c r="B1620" s="219">
        <ns0:f>IFERROR(IF(AND(AH!$P$9&lt;&gt;1,$C1620&gt;0,$D1620&gt;0,$E1620&gt;0,$F1620&gt;0,$G1620&gt;0,$F1620&lt;=$A1620,$G1620&lt;=$A1620,$A1620-$F1620&lt;=10,$A1620-$G1620&lt;=5),$D1620*$E1620/$C1620-1,NA()),NA())</ns0:f>
        <ns0:v/>
      </ns0:c>
      <ns0:c r="C1620">
        <ns0:f>IFERROR(IF(ISNUMBER($A1620),IF(AND(AH!$P$10=1,AH!$P$12=1,$A1620=TODAY()),AH!$P$19,IF(AH!$P$10=1,INDEX('Live History'!$B$5:$B$3004,AH!$P$13+1615),INDEX('AH History'!$B$1:$B$18046,AH!$P$7+1615))),NA()),NA())</ns0:f>
        <ns0:v/>
      </ns0:c>
      <ns0:c r="D1620">
        <ns0:f>IFERROR(IF(ISNUMBER($A1620),IF(AND(AH!$P$10=1,AH!$P$12=1,$A1620=TODAY()),AH!$P$18,IF(AH!$P$10=1,INDEX('Live History'!$E$5:$E$3004,MATCH($A1620,'Live History'!$D$5:$D$3004,1)),INDEX('AH History'!$C$1:$C$18046,AH!$P$7+1615))),NA()),NA())</ns0:f>
        <ns0:v/>
      </ns0:c>
      <ns0:c r="E1620">
        <ns0:f>IFERROR(IF(ISNUMBER($A1620),IF(AND(AH!$P$10=1,AH!$P$12=1,$A1620=TODAY()),AH!$P$20,IF(AH!$P$10=1,INDEX('Live History'!$H$5:$H$3004,MATCH($A1620,'Live History'!$G$5:$G$3004,1)),INDEX('AH History'!$D$1:$D$18046,AH!$P$7+1615))),NA()),NA())</ns0:f>
        <ns0:v/>
      </ns0:c>
      <ns0:c r="F1620">
        <ns0:f>IFERROR(IF(ISNUMBER($A1620),IF(AND(AH!$P$10=1,AH!$P$12=1,$A1620=TODAY()),IF(AND(AH!$P$10=1,AH!$P$12=1,$A1620=TODAY()),TODAY(),NA()),IF(AH!$P$10=1,INDEX('Live History'!$D$5:$D$3004,MATCH($A1620,'Live History'!$D$5:$D$3004,1)),INDEX('AH History'!$E$1:$E$18046,AH!$P$7+1615))),NA()),NA())</ns0:f>
        <ns0:v/>
      </ns0:c>
      <ns0:c r="G1620">
        <ns0:f>IFERROR(IF(ISNUMBER($A1620),IF(AND(AH!$P$10=1,AH!$P$12=1,$A1620=TODAY()),IF(AND(AH!$P$10=1,AH!$P$12=1,$A1620=TODAY()),TODAY(),NA()),IF(AH!$P$10=1,INDEX('Live History'!$G$5:$G$3004,MATCH($A1620,'Live History'!$G$5:$G$3004,1)),INDEX('AH History'!$F$1:$F$18046,AH!$P$7+1615))),NA()),NA())</ns0:f>
        <ns0:v/>
      </ns0:c>
      <ns0:c r="H1620">
        <ns0:f>IFERROR(IF(AND(AH!$E$4="Bloomberg",AH!$P$10=1,ISNUMBER($A1620),$A1620&lt;=AH!$P$17),AH!$P$7-1+MATCH($A1620,INDEX('AH History'!$A$1:$A$18046,AH!$P$7):INDEX('AH History'!$A$1:$A$18046,AH!$P$7+AH!$P$8-1),0),0),0)</ns0:f>
        <ns0:v/>
      </ns0:c>
      <ns0:c r="I1620">
        <ns0:f>IF($H1620=0,0,IFERROR(IF(AND(ABS($C1620-INDEX('AH History'!$B$1:$B$18046,$H1620))&lt;=MAX(0.005,ABS(INDEX('AH History'!$B$1:$B$18046,$H1620))*0.00005),ABS($D1620-INDEX('AH History'!$C$1:$C$18046,$H1620))&lt;=MAX(0.005,ABS(INDEX('AH History'!$C$1:$C$18046,$H1620))*0.00005),ABS($E1620-INDEX('AH History'!$D$1:$D$18046,$H1620))&lt;=0.00005,$F1620=INDEX('AH History'!$E$1:$E$18046,$H1620),$G1620=INDEX('AH History'!$F$1:$F$18046,$H1620)),1,-1),-1))</ns0:f>
        <ns0:v/>
      </ns0:c>
    </ns0:row>
    <ns0:row r="1621">
      <ns0:c r="A1621" s="215">
        <ns0:f>IF(OR(AH!$P$3=0,1616+1&gt;AH!$P$11,AND(AH!$E$4&lt;&gt;"Stored",AH!$P$10&lt;&gt;1)),"",IFERROR(IF(AND(AH!$P$21=1,1616+1=AH!$P$11),TODAY(),IF(AH!$P$10=1,INDEX('Live History'!$A$5:$A$3004,AH!$P$13+1616),INDEX('AH History'!$A$1:$A$18046,AH!$P$7+1616))),""))</ns0:f>
        <ns0:v/>
      </ns0:c>
      <ns0:c r="B1621" s="219">
        <ns0:f>IFERROR(IF(AND(AH!$P$9&lt;&gt;1,$C1621&gt;0,$D1621&gt;0,$E1621&gt;0,$F1621&gt;0,$G1621&gt;0,$F1621&lt;=$A1621,$G1621&lt;=$A1621,$A1621-$F1621&lt;=10,$A1621-$G1621&lt;=5),$D1621*$E1621/$C1621-1,NA()),NA())</ns0:f>
        <ns0:v/>
      </ns0:c>
      <ns0:c r="C1621">
        <ns0:f>IFERROR(IF(ISNUMBER($A1621),IF(AND(AH!$P$10=1,AH!$P$12=1,$A1621=TODAY()),AH!$P$19,IF(AH!$P$10=1,INDEX('Live History'!$B$5:$B$3004,AH!$P$13+1616),INDEX('AH History'!$B$1:$B$18046,AH!$P$7+1616))),NA()),NA())</ns0:f>
        <ns0:v/>
      </ns0:c>
      <ns0:c r="D1621">
        <ns0:f>IFERROR(IF(ISNUMBER($A1621),IF(AND(AH!$P$10=1,AH!$P$12=1,$A1621=TODAY()),AH!$P$18,IF(AH!$P$10=1,INDEX('Live History'!$E$5:$E$3004,MATCH($A1621,'Live History'!$D$5:$D$3004,1)),INDEX('AH History'!$C$1:$C$18046,AH!$P$7+1616))),NA()),NA())</ns0:f>
        <ns0:v/>
      </ns0:c>
      <ns0:c r="E1621">
        <ns0:f>IFERROR(IF(ISNUMBER($A1621),IF(AND(AH!$P$10=1,AH!$P$12=1,$A1621=TODAY()),AH!$P$20,IF(AH!$P$10=1,INDEX('Live History'!$H$5:$H$3004,MATCH($A1621,'Live History'!$G$5:$G$3004,1)),INDEX('AH History'!$D$1:$D$18046,AH!$P$7+1616))),NA()),NA())</ns0:f>
        <ns0:v/>
      </ns0:c>
      <ns0:c r="F1621">
        <ns0:f>IFERROR(IF(ISNUMBER($A1621),IF(AND(AH!$P$10=1,AH!$P$12=1,$A1621=TODAY()),IF(AND(AH!$P$10=1,AH!$P$12=1,$A1621=TODAY()),TODAY(),NA()),IF(AH!$P$10=1,INDEX('Live History'!$D$5:$D$3004,MATCH($A1621,'Live History'!$D$5:$D$3004,1)),INDEX('AH History'!$E$1:$E$18046,AH!$P$7+1616))),NA()),NA())</ns0:f>
        <ns0:v/>
      </ns0:c>
      <ns0:c r="G1621">
        <ns0:f>IFERROR(IF(ISNUMBER($A1621),IF(AND(AH!$P$10=1,AH!$P$12=1,$A1621=TODAY()),IF(AND(AH!$P$10=1,AH!$P$12=1,$A1621=TODAY()),TODAY(),NA()),IF(AH!$P$10=1,INDEX('Live History'!$G$5:$G$3004,MATCH($A1621,'Live History'!$G$5:$G$3004,1)),INDEX('AH History'!$F$1:$F$18046,AH!$P$7+1616))),NA()),NA())</ns0:f>
        <ns0:v/>
      </ns0:c>
      <ns0:c r="H1621">
        <ns0:f>IFERROR(IF(AND(AH!$E$4="Bloomberg",AH!$P$10=1,ISNUMBER($A1621),$A1621&lt;=AH!$P$17),AH!$P$7-1+MATCH($A1621,INDEX('AH History'!$A$1:$A$18046,AH!$P$7):INDEX('AH History'!$A$1:$A$18046,AH!$P$7+AH!$P$8-1),0),0),0)</ns0:f>
        <ns0:v/>
      </ns0:c>
      <ns0:c r="I1621">
        <ns0:f>IF($H1621=0,0,IFERROR(IF(AND(ABS($C1621-INDEX('AH History'!$B$1:$B$18046,$H1621))&lt;=MAX(0.005,ABS(INDEX('AH History'!$B$1:$B$18046,$H1621))*0.00005),ABS($D1621-INDEX('AH History'!$C$1:$C$18046,$H1621))&lt;=MAX(0.005,ABS(INDEX('AH History'!$C$1:$C$18046,$H1621))*0.00005),ABS($E1621-INDEX('AH History'!$D$1:$D$18046,$H1621))&lt;=0.00005,$F1621=INDEX('AH History'!$E$1:$E$18046,$H1621),$G1621=INDEX('AH History'!$F$1:$F$18046,$H1621)),1,-1),-1))</ns0:f>
        <ns0:v/>
      </ns0:c>
    </ns0:row>
    <ns0:row r="1622">
      <ns0:c r="A1622" s="215">
        <ns0:f>IF(OR(AH!$P$3=0,1617+1&gt;AH!$P$11,AND(AH!$E$4&lt;&gt;"Stored",AH!$P$10&lt;&gt;1)),"",IFERROR(IF(AND(AH!$P$21=1,1617+1=AH!$P$11),TODAY(),IF(AH!$P$10=1,INDEX('Live History'!$A$5:$A$3004,AH!$P$13+1617),INDEX('AH History'!$A$1:$A$18046,AH!$P$7+1617))),""))</ns0:f>
        <ns0:v/>
      </ns0:c>
      <ns0:c r="B1622" s="219">
        <ns0:f>IFERROR(IF(AND(AH!$P$9&lt;&gt;1,$C1622&gt;0,$D1622&gt;0,$E1622&gt;0,$F1622&gt;0,$G1622&gt;0,$F1622&lt;=$A1622,$G1622&lt;=$A1622,$A1622-$F1622&lt;=10,$A1622-$G1622&lt;=5),$D1622*$E1622/$C1622-1,NA()),NA())</ns0:f>
        <ns0:v/>
      </ns0:c>
      <ns0:c r="C1622">
        <ns0:f>IFERROR(IF(ISNUMBER($A1622),IF(AND(AH!$P$10=1,AH!$P$12=1,$A1622=TODAY()),AH!$P$19,IF(AH!$P$10=1,INDEX('Live History'!$B$5:$B$3004,AH!$P$13+1617),INDEX('AH History'!$B$1:$B$18046,AH!$P$7+1617))),NA()),NA())</ns0:f>
        <ns0:v/>
      </ns0:c>
      <ns0:c r="D1622">
        <ns0:f>IFERROR(IF(ISNUMBER($A1622),IF(AND(AH!$P$10=1,AH!$P$12=1,$A1622=TODAY()),AH!$P$18,IF(AH!$P$10=1,INDEX('Live History'!$E$5:$E$3004,MATCH($A1622,'Live History'!$D$5:$D$3004,1)),INDEX('AH History'!$C$1:$C$18046,AH!$P$7+1617))),NA()),NA())</ns0:f>
        <ns0:v/>
      </ns0:c>
      <ns0:c r="E1622">
        <ns0:f>IFERROR(IF(ISNUMBER($A1622),IF(AND(AH!$P$10=1,AH!$P$12=1,$A1622=TODAY()),AH!$P$20,IF(AH!$P$10=1,INDEX('Live History'!$H$5:$H$3004,MATCH($A1622,'Live History'!$G$5:$G$3004,1)),INDEX('AH History'!$D$1:$D$18046,AH!$P$7+1617))),NA()),NA())</ns0:f>
        <ns0:v/>
      </ns0:c>
      <ns0:c r="F1622">
        <ns0:f>IFERROR(IF(ISNUMBER($A1622),IF(AND(AH!$P$10=1,AH!$P$12=1,$A1622=TODAY()),IF(AND(AH!$P$10=1,AH!$P$12=1,$A1622=TODAY()),TODAY(),NA()),IF(AH!$P$10=1,INDEX('Live History'!$D$5:$D$3004,MATCH($A1622,'Live History'!$D$5:$D$3004,1)),INDEX('AH History'!$E$1:$E$18046,AH!$P$7+1617))),NA()),NA())</ns0:f>
        <ns0:v/>
      </ns0:c>
      <ns0:c r="G1622">
        <ns0:f>IFERROR(IF(ISNUMBER($A1622),IF(AND(AH!$P$10=1,AH!$P$12=1,$A1622=TODAY()),IF(AND(AH!$P$10=1,AH!$P$12=1,$A1622=TODAY()),TODAY(),NA()),IF(AH!$P$10=1,INDEX('Live History'!$G$5:$G$3004,MATCH($A1622,'Live History'!$G$5:$G$3004,1)),INDEX('AH History'!$F$1:$F$18046,AH!$P$7+1617))),NA()),NA())</ns0:f>
        <ns0:v/>
      </ns0:c>
      <ns0:c r="H1622">
        <ns0:f>IFERROR(IF(AND(AH!$E$4="Bloomberg",AH!$P$10=1,ISNUMBER($A1622),$A1622&lt;=AH!$P$17),AH!$P$7-1+MATCH($A1622,INDEX('AH History'!$A$1:$A$18046,AH!$P$7):INDEX('AH History'!$A$1:$A$18046,AH!$P$7+AH!$P$8-1),0),0),0)</ns0:f>
        <ns0:v/>
      </ns0:c>
      <ns0:c r="I1622">
        <ns0:f>IF($H1622=0,0,IFERROR(IF(AND(ABS($C1622-INDEX('AH History'!$B$1:$B$18046,$H1622))&lt;=MAX(0.005,ABS(INDEX('AH History'!$B$1:$B$18046,$H1622))*0.00005),ABS($D1622-INDEX('AH History'!$C$1:$C$18046,$H1622))&lt;=MAX(0.005,ABS(INDEX('AH History'!$C$1:$C$18046,$H1622))*0.00005),ABS($E1622-INDEX('AH History'!$D$1:$D$18046,$H1622))&lt;=0.00005,$F1622=INDEX('AH History'!$E$1:$E$18046,$H1622),$G1622=INDEX('AH History'!$F$1:$F$18046,$H1622)),1,-1),-1))</ns0:f>
        <ns0:v/>
      </ns0:c>
    </ns0:row>
    <ns0:row r="1623">
      <ns0:c r="A1623" s="215">
        <ns0:f>IF(OR(AH!$P$3=0,1618+1&gt;AH!$P$11,AND(AH!$E$4&lt;&gt;"Stored",AH!$P$10&lt;&gt;1)),"",IFERROR(IF(AND(AH!$P$21=1,1618+1=AH!$P$11),TODAY(),IF(AH!$P$10=1,INDEX('Live History'!$A$5:$A$3004,AH!$P$13+1618),INDEX('AH History'!$A$1:$A$18046,AH!$P$7+1618))),""))</ns0:f>
        <ns0:v/>
      </ns0:c>
      <ns0:c r="B1623" s="219">
        <ns0:f>IFERROR(IF(AND(AH!$P$9&lt;&gt;1,$C1623&gt;0,$D1623&gt;0,$E1623&gt;0,$F1623&gt;0,$G1623&gt;0,$F1623&lt;=$A1623,$G1623&lt;=$A1623,$A1623-$F1623&lt;=10,$A1623-$G1623&lt;=5),$D1623*$E1623/$C1623-1,NA()),NA())</ns0:f>
        <ns0:v/>
      </ns0:c>
      <ns0:c r="C1623">
        <ns0:f>IFERROR(IF(ISNUMBER($A1623),IF(AND(AH!$P$10=1,AH!$P$12=1,$A1623=TODAY()),AH!$P$19,IF(AH!$P$10=1,INDEX('Live History'!$B$5:$B$3004,AH!$P$13+1618),INDEX('AH History'!$B$1:$B$18046,AH!$P$7+1618))),NA()),NA())</ns0:f>
        <ns0:v/>
      </ns0:c>
      <ns0:c r="D1623">
        <ns0:f>IFERROR(IF(ISNUMBER($A1623),IF(AND(AH!$P$10=1,AH!$P$12=1,$A1623=TODAY()),AH!$P$18,IF(AH!$P$10=1,INDEX('Live History'!$E$5:$E$3004,MATCH($A1623,'Live History'!$D$5:$D$3004,1)),INDEX('AH History'!$C$1:$C$18046,AH!$P$7+1618))),NA()),NA())</ns0:f>
        <ns0:v/>
      </ns0:c>
      <ns0:c r="E1623">
        <ns0:f>IFERROR(IF(ISNUMBER($A1623),IF(AND(AH!$P$10=1,AH!$P$12=1,$A1623=TODAY()),AH!$P$20,IF(AH!$P$10=1,INDEX('Live History'!$H$5:$H$3004,MATCH($A1623,'Live History'!$G$5:$G$3004,1)),INDEX('AH History'!$D$1:$D$18046,AH!$P$7+1618))),NA()),NA())</ns0:f>
        <ns0:v/>
      </ns0:c>
      <ns0:c r="F1623">
        <ns0:f>IFERROR(IF(ISNUMBER($A1623),IF(AND(AH!$P$10=1,AH!$P$12=1,$A1623=TODAY()),IF(AND(AH!$P$10=1,AH!$P$12=1,$A1623=TODAY()),TODAY(),NA()),IF(AH!$P$10=1,INDEX('Live History'!$D$5:$D$3004,MATCH($A1623,'Live History'!$D$5:$D$3004,1)),INDEX('AH History'!$E$1:$E$18046,AH!$P$7+1618))),NA()),NA())</ns0:f>
        <ns0:v/>
      </ns0:c>
      <ns0:c r="G1623">
        <ns0:f>IFERROR(IF(ISNUMBER($A1623),IF(AND(AH!$P$10=1,AH!$P$12=1,$A1623=TODAY()),IF(AND(AH!$P$10=1,AH!$P$12=1,$A1623=TODAY()),TODAY(),NA()),IF(AH!$P$10=1,INDEX('Live History'!$G$5:$G$3004,MATCH($A1623,'Live History'!$G$5:$G$3004,1)),INDEX('AH History'!$F$1:$F$18046,AH!$P$7+1618))),NA()),NA())</ns0:f>
        <ns0:v/>
      </ns0:c>
      <ns0:c r="H1623">
        <ns0:f>IFERROR(IF(AND(AH!$E$4="Bloomberg",AH!$P$10=1,ISNUMBER($A1623),$A1623&lt;=AH!$P$17),AH!$P$7-1+MATCH($A1623,INDEX('AH History'!$A$1:$A$18046,AH!$P$7):INDEX('AH History'!$A$1:$A$18046,AH!$P$7+AH!$P$8-1),0),0),0)</ns0:f>
        <ns0:v/>
      </ns0:c>
      <ns0:c r="I1623">
        <ns0:f>IF($H1623=0,0,IFERROR(IF(AND(ABS($C1623-INDEX('AH History'!$B$1:$B$18046,$H1623))&lt;=MAX(0.005,ABS(INDEX('AH History'!$B$1:$B$18046,$H1623))*0.00005),ABS($D1623-INDEX('AH History'!$C$1:$C$18046,$H1623))&lt;=MAX(0.005,ABS(INDEX('AH History'!$C$1:$C$18046,$H1623))*0.00005),ABS($E1623-INDEX('AH History'!$D$1:$D$18046,$H1623))&lt;=0.00005,$F1623=INDEX('AH History'!$E$1:$E$18046,$H1623),$G1623=INDEX('AH History'!$F$1:$F$18046,$H1623)),1,-1),-1))</ns0:f>
        <ns0:v/>
      </ns0:c>
    </ns0:row>
    <ns0:row r="1624">
      <ns0:c r="A1624" s="215">
        <ns0:f>IF(OR(AH!$P$3=0,1619+1&gt;AH!$P$11,AND(AH!$E$4&lt;&gt;"Stored",AH!$P$10&lt;&gt;1)),"",IFERROR(IF(AND(AH!$P$21=1,1619+1=AH!$P$11),TODAY(),IF(AH!$P$10=1,INDEX('Live History'!$A$5:$A$3004,AH!$P$13+1619),INDEX('AH History'!$A$1:$A$18046,AH!$P$7+1619))),""))</ns0:f>
        <ns0:v/>
      </ns0:c>
      <ns0:c r="B1624" s="219">
        <ns0:f>IFERROR(IF(AND(AH!$P$9&lt;&gt;1,$C1624&gt;0,$D1624&gt;0,$E1624&gt;0,$F1624&gt;0,$G1624&gt;0,$F1624&lt;=$A1624,$G1624&lt;=$A1624,$A1624-$F1624&lt;=10,$A1624-$G1624&lt;=5),$D1624*$E1624/$C1624-1,NA()),NA())</ns0:f>
        <ns0:v/>
      </ns0:c>
      <ns0:c r="C1624">
        <ns0:f>IFERROR(IF(ISNUMBER($A1624),IF(AND(AH!$P$10=1,AH!$P$12=1,$A1624=TODAY()),AH!$P$19,IF(AH!$P$10=1,INDEX('Live History'!$B$5:$B$3004,AH!$P$13+1619),INDEX('AH History'!$B$1:$B$18046,AH!$P$7+1619))),NA()),NA())</ns0:f>
        <ns0:v/>
      </ns0:c>
      <ns0:c r="D1624">
        <ns0:f>IFERROR(IF(ISNUMBER($A1624),IF(AND(AH!$P$10=1,AH!$P$12=1,$A1624=TODAY()),AH!$P$18,IF(AH!$P$10=1,INDEX('Live History'!$E$5:$E$3004,MATCH($A1624,'Live History'!$D$5:$D$3004,1)),INDEX('AH History'!$C$1:$C$18046,AH!$P$7+1619))),NA()),NA())</ns0:f>
        <ns0:v/>
      </ns0:c>
      <ns0:c r="E1624">
        <ns0:f>IFERROR(IF(ISNUMBER($A1624),IF(AND(AH!$P$10=1,AH!$P$12=1,$A1624=TODAY()),AH!$P$20,IF(AH!$P$10=1,INDEX('Live History'!$H$5:$H$3004,MATCH($A1624,'Live History'!$G$5:$G$3004,1)),INDEX('AH History'!$D$1:$D$18046,AH!$P$7+1619))),NA()),NA())</ns0:f>
        <ns0:v/>
      </ns0:c>
      <ns0:c r="F1624">
        <ns0:f>IFERROR(IF(ISNUMBER($A1624),IF(AND(AH!$P$10=1,AH!$P$12=1,$A1624=TODAY()),IF(AND(AH!$P$10=1,AH!$P$12=1,$A1624=TODAY()),TODAY(),NA()),IF(AH!$P$10=1,INDEX('Live History'!$D$5:$D$3004,MATCH($A1624,'Live History'!$D$5:$D$3004,1)),INDEX('AH History'!$E$1:$E$18046,AH!$P$7+1619))),NA()),NA())</ns0:f>
        <ns0:v/>
      </ns0:c>
      <ns0:c r="G1624">
        <ns0:f>IFERROR(IF(ISNUMBER($A1624),IF(AND(AH!$P$10=1,AH!$P$12=1,$A1624=TODAY()),IF(AND(AH!$P$10=1,AH!$P$12=1,$A1624=TODAY()),TODAY(),NA()),IF(AH!$P$10=1,INDEX('Live History'!$G$5:$G$3004,MATCH($A1624,'Live History'!$G$5:$G$3004,1)),INDEX('AH History'!$F$1:$F$18046,AH!$P$7+1619))),NA()),NA())</ns0:f>
        <ns0:v/>
      </ns0:c>
      <ns0:c r="H1624">
        <ns0:f>IFERROR(IF(AND(AH!$E$4="Bloomberg",AH!$P$10=1,ISNUMBER($A1624),$A1624&lt;=AH!$P$17),AH!$P$7-1+MATCH($A1624,INDEX('AH History'!$A$1:$A$18046,AH!$P$7):INDEX('AH History'!$A$1:$A$18046,AH!$P$7+AH!$P$8-1),0),0),0)</ns0:f>
        <ns0:v/>
      </ns0:c>
      <ns0:c r="I1624">
        <ns0:f>IF($H1624=0,0,IFERROR(IF(AND(ABS($C1624-INDEX('AH History'!$B$1:$B$18046,$H1624))&lt;=MAX(0.005,ABS(INDEX('AH History'!$B$1:$B$18046,$H1624))*0.00005),ABS($D1624-INDEX('AH History'!$C$1:$C$18046,$H1624))&lt;=MAX(0.005,ABS(INDEX('AH History'!$C$1:$C$18046,$H1624))*0.00005),ABS($E1624-INDEX('AH History'!$D$1:$D$18046,$H1624))&lt;=0.00005,$F1624=INDEX('AH History'!$E$1:$E$18046,$H1624),$G1624=INDEX('AH History'!$F$1:$F$18046,$H1624)),1,-1),-1))</ns0:f>
        <ns0:v/>
      </ns0:c>
    </ns0:row>
    <ns0:row r="1625">
      <ns0:c r="A1625" s="215">
        <ns0:f>IF(OR(AH!$P$3=0,1620+1&gt;AH!$P$11,AND(AH!$E$4&lt;&gt;"Stored",AH!$P$10&lt;&gt;1)),"",IFERROR(IF(AND(AH!$P$21=1,1620+1=AH!$P$11),TODAY(),IF(AH!$P$10=1,INDEX('Live History'!$A$5:$A$3004,AH!$P$13+1620),INDEX('AH History'!$A$1:$A$18046,AH!$P$7+1620))),""))</ns0:f>
        <ns0:v/>
      </ns0:c>
      <ns0:c r="B1625" s="219">
        <ns0:f>IFERROR(IF(AND(AH!$P$9&lt;&gt;1,$C1625&gt;0,$D1625&gt;0,$E1625&gt;0,$F1625&gt;0,$G1625&gt;0,$F1625&lt;=$A1625,$G1625&lt;=$A1625,$A1625-$F1625&lt;=10,$A1625-$G1625&lt;=5),$D1625*$E1625/$C1625-1,NA()),NA())</ns0:f>
        <ns0:v/>
      </ns0:c>
      <ns0:c r="C1625">
        <ns0:f>IFERROR(IF(ISNUMBER($A1625),IF(AND(AH!$P$10=1,AH!$P$12=1,$A1625=TODAY()),AH!$P$19,IF(AH!$P$10=1,INDEX('Live History'!$B$5:$B$3004,AH!$P$13+1620),INDEX('AH History'!$B$1:$B$18046,AH!$P$7+1620))),NA()),NA())</ns0:f>
        <ns0:v/>
      </ns0:c>
      <ns0:c r="D1625">
        <ns0:f>IFERROR(IF(ISNUMBER($A1625),IF(AND(AH!$P$10=1,AH!$P$12=1,$A1625=TODAY()),AH!$P$18,IF(AH!$P$10=1,INDEX('Live History'!$E$5:$E$3004,MATCH($A1625,'Live History'!$D$5:$D$3004,1)),INDEX('AH History'!$C$1:$C$18046,AH!$P$7+1620))),NA()),NA())</ns0:f>
        <ns0:v/>
      </ns0:c>
      <ns0:c r="E1625">
        <ns0:f>IFERROR(IF(ISNUMBER($A1625),IF(AND(AH!$P$10=1,AH!$P$12=1,$A1625=TODAY()),AH!$P$20,IF(AH!$P$10=1,INDEX('Live History'!$H$5:$H$3004,MATCH($A1625,'Live History'!$G$5:$G$3004,1)),INDEX('AH History'!$D$1:$D$18046,AH!$P$7+1620))),NA()),NA())</ns0:f>
        <ns0:v/>
      </ns0:c>
      <ns0:c r="F1625">
        <ns0:f>IFERROR(IF(ISNUMBER($A1625),IF(AND(AH!$P$10=1,AH!$P$12=1,$A1625=TODAY()),IF(AND(AH!$P$10=1,AH!$P$12=1,$A1625=TODAY()),TODAY(),NA()),IF(AH!$P$10=1,INDEX('Live History'!$D$5:$D$3004,MATCH($A1625,'Live History'!$D$5:$D$3004,1)),INDEX('AH History'!$E$1:$E$18046,AH!$P$7+1620))),NA()),NA())</ns0:f>
        <ns0:v/>
      </ns0:c>
      <ns0:c r="G1625">
        <ns0:f>IFERROR(IF(ISNUMBER($A1625),IF(AND(AH!$P$10=1,AH!$P$12=1,$A1625=TODAY()),IF(AND(AH!$P$10=1,AH!$P$12=1,$A1625=TODAY()),TODAY(),NA()),IF(AH!$P$10=1,INDEX('Live History'!$G$5:$G$3004,MATCH($A1625,'Live History'!$G$5:$G$3004,1)),INDEX('AH History'!$F$1:$F$18046,AH!$P$7+1620))),NA()),NA())</ns0:f>
        <ns0:v/>
      </ns0:c>
      <ns0:c r="H1625">
        <ns0:f>IFERROR(IF(AND(AH!$E$4="Bloomberg",AH!$P$10=1,ISNUMBER($A1625),$A1625&lt;=AH!$P$17),AH!$P$7-1+MATCH($A1625,INDEX('AH History'!$A$1:$A$18046,AH!$P$7):INDEX('AH History'!$A$1:$A$18046,AH!$P$7+AH!$P$8-1),0),0),0)</ns0:f>
        <ns0:v/>
      </ns0:c>
      <ns0:c r="I1625">
        <ns0:f>IF($H1625=0,0,IFERROR(IF(AND(ABS($C1625-INDEX('AH History'!$B$1:$B$18046,$H1625))&lt;=MAX(0.005,ABS(INDEX('AH History'!$B$1:$B$18046,$H1625))*0.00005),ABS($D1625-INDEX('AH History'!$C$1:$C$18046,$H1625))&lt;=MAX(0.005,ABS(INDEX('AH History'!$C$1:$C$18046,$H1625))*0.00005),ABS($E1625-INDEX('AH History'!$D$1:$D$18046,$H1625))&lt;=0.00005,$F1625=INDEX('AH History'!$E$1:$E$18046,$H1625),$G1625=INDEX('AH History'!$F$1:$F$18046,$H1625)),1,-1),-1))</ns0:f>
        <ns0:v/>
      </ns0:c>
    </ns0:row>
    <ns0:row r="1626">
      <ns0:c r="A1626" s="215">
        <ns0:f>IF(OR(AH!$P$3=0,1621+1&gt;AH!$P$11,AND(AH!$E$4&lt;&gt;"Stored",AH!$P$10&lt;&gt;1)),"",IFERROR(IF(AND(AH!$P$21=1,1621+1=AH!$P$11),TODAY(),IF(AH!$P$10=1,INDEX('Live History'!$A$5:$A$3004,AH!$P$13+1621),INDEX('AH History'!$A$1:$A$18046,AH!$P$7+1621))),""))</ns0:f>
        <ns0:v/>
      </ns0:c>
      <ns0:c r="B1626" s="219">
        <ns0:f>IFERROR(IF(AND(AH!$P$9&lt;&gt;1,$C1626&gt;0,$D1626&gt;0,$E1626&gt;0,$F1626&gt;0,$G1626&gt;0,$F1626&lt;=$A1626,$G1626&lt;=$A1626,$A1626-$F1626&lt;=10,$A1626-$G1626&lt;=5),$D1626*$E1626/$C1626-1,NA()),NA())</ns0:f>
        <ns0:v/>
      </ns0:c>
      <ns0:c r="C1626">
        <ns0:f>IFERROR(IF(ISNUMBER($A1626),IF(AND(AH!$P$10=1,AH!$P$12=1,$A1626=TODAY()),AH!$P$19,IF(AH!$P$10=1,INDEX('Live History'!$B$5:$B$3004,AH!$P$13+1621),INDEX('AH History'!$B$1:$B$18046,AH!$P$7+1621))),NA()),NA())</ns0:f>
        <ns0:v/>
      </ns0:c>
      <ns0:c r="D1626">
        <ns0:f>IFERROR(IF(ISNUMBER($A1626),IF(AND(AH!$P$10=1,AH!$P$12=1,$A1626=TODAY()),AH!$P$18,IF(AH!$P$10=1,INDEX('Live History'!$E$5:$E$3004,MATCH($A1626,'Live History'!$D$5:$D$3004,1)),INDEX('AH History'!$C$1:$C$18046,AH!$P$7+1621))),NA()),NA())</ns0:f>
        <ns0:v/>
      </ns0:c>
      <ns0:c r="E1626">
        <ns0:f>IFERROR(IF(ISNUMBER($A1626),IF(AND(AH!$P$10=1,AH!$P$12=1,$A1626=TODAY()),AH!$P$20,IF(AH!$P$10=1,INDEX('Live History'!$H$5:$H$3004,MATCH($A1626,'Live History'!$G$5:$G$3004,1)),INDEX('AH History'!$D$1:$D$18046,AH!$P$7+1621))),NA()),NA())</ns0:f>
        <ns0:v/>
      </ns0:c>
      <ns0:c r="F1626">
        <ns0:f>IFERROR(IF(ISNUMBER($A1626),IF(AND(AH!$P$10=1,AH!$P$12=1,$A1626=TODAY()),IF(AND(AH!$P$10=1,AH!$P$12=1,$A1626=TODAY()),TODAY(),NA()),IF(AH!$P$10=1,INDEX('Live History'!$D$5:$D$3004,MATCH($A1626,'Live History'!$D$5:$D$3004,1)),INDEX('AH History'!$E$1:$E$18046,AH!$P$7+1621))),NA()),NA())</ns0:f>
        <ns0:v/>
      </ns0:c>
      <ns0:c r="G1626">
        <ns0:f>IFERROR(IF(ISNUMBER($A1626),IF(AND(AH!$P$10=1,AH!$P$12=1,$A1626=TODAY()),IF(AND(AH!$P$10=1,AH!$P$12=1,$A1626=TODAY()),TODAY(),NA()),IF(AH!$P$10=1,INDEX('Live History'!$G$5:$G$3004,MATCH($A1626,'Live History'!$G$5:$G$3004,1)),INDEX('AH History'!$F$1:$F$18046,AH!$P$7+1621))),NA()),NA())</ns0:f>
        <ns0:v/>
      </ns0:c>
      <ns0:c r="H1626">
        <ns0:f>IFERROR(IF(AND(AH!$E$4="Bloomberg",AH!$P$10=1,ISNUMBER($A1626),$A1626&lt;=AH!$P$17),AH!$P$7-1+MATCH($A1626,INDEX('AH History'!$A$1:$A$18046,AH!$P$7):INDEX('AH History'!$A$1:$A$18046,AH!$P$7+AH!$P$8-1),0),0),0)</ns0:f>
        <ns0:v/>
      </ns0:c>
      <ns0:c r="I1626">
        <ns0:f>IF($H1626=0,0,IFERROR(IF(AND(ABS($C1626-INDEX('AH History'!$B$1:$B$18046,$H1626))&lt;=MAX(0.005,ABS(INDEX('AH History'!$B$1:$B$18046,$H1626))*0.00005),ABS($D1626-INDEX('AH History'!$C$1:$C$18046,$H1626))&lt;=MAX(0.005,ABS(INDEX('AH History'!$C$1:$C$18046,$H1626))*0.00005),ABS($E1626-INDEX('AH History'!$D$1:$D$18046,$H1626))&lt;=0.00005,$F1626=INDEX('AH History'!$E$1:$E$18046,$H1626),$G1626=INDEX('AH History'!$F$1:$F$18046,$H1626)),1,-1),-1))</ns0:f>
        <ns0:v/>
      </ns0:c>
    </ns0:row>
    <ns0:row r="1627">
      <ns0:c r="A1627" s="215">
        <ns0:f>IF(OR(AH!$P$3=0,1622+1&gt;AH!$P$11,AND(AH!$E$4&lt;&gt;"Stored",AH!$P$10&lt;&gt;1)),"",IFERROR(IF(AND(AH!$P$21=1,1622+1=AH!$P$11),TODAY(),IF(AH!$P$10=1,INDEX('Live History'!$A$5:$A$3004,AH!$P$13+1622),INDEX('AH History'!$A$1:$A$18046,AH!$P$7+1622))),""))</ns0:f>
        <ns0:v/>
      </ns0:c>
      <ns0:c r="B1627" s="219">
        <ns0:f>IFERROR(IF(AND(AH!$P$9&lt;&gt;1,$C1627&gt;0,$D1627&gt;0,$E1627&gt;0,$F1627&gt;0,$G1627&gt;0,$F1627&lt;=$A1627,$G1627&lt;=$A1627,$A1627-$F1627&lt;=10,$A1627-$G1627&lt;=5),$D1627*$E1627/$C1627-1,NA()),NA())</ns0:f>
        <ns0:v/>
      </ns0:c>
      <ns0:c r="C1627">
        <ns0:f>IFERROR(IF(ISNUMBER($A1627),IF(AND(AH!$P$10=1,AH!$P$12=1,$A1627=TODAY()),AH!$P$19,IF(AH!$P$10=1,INDEX('Live History'!$B$5:$B$3004,AH!$P$13+1622),INDEX('AH History'!$B$1:$B$18046,AH!$P$7+1622))),NA()),NA())</ns0:f>
        <ns0:v/>
      </ns0:c>
      <ns0:c r="D1627">
        <ns0:f>IFERROR(IF(ISNUMBER($A1627),IF(AND(AH!$P$10=1,AH!$P$12=1,$A1627=TODAY()),AH!$P$18,IF(AH!$P$10=1,INDEX('Live History'!$E$5:$E$3004,MATCH($A1627,'Live History'!$D$5:$D$3004,1)),INDEX('AH History'!$C$1:$C$18046,AH!$P$7+1622))),NA()),NA())</ns0:f>
        <ns0:v/>
      </ns0:c>
      <ns0:c r="E1627">
        <ns0:f>IFERROR(IF(ISNUMBER($A1627),IF(AND(AH!$P$10=1,AH!$P$12=1,$A1627=TODAY()),AH!$P$20,IF(AH!$P$10=1,INDEX('Live History'!$H$5:$H$3004,MATCH($A1627,'Live History'!$G$5:$G$3004,1)),INDEX('AH History'!$D$1:$D$18046,AH!$P$7+1622))),NA()),NA())</ns0:f>
        <ns0:v/>
      </ns0:c>
      <ns0:c r="F1627">
        <ns0:f>IFERROR(IF(ISNUMBER($A1627),IF(AND(AH!$P$10=1,AH!$P$12=1,$A1627=TODAY()),IF(AND(AH!$P$10=1,AH!$P$12=1,$A1627=TODAY()),TODAY(),NA()),IF(AH!$P$10=1,INDEX('Live History'!$D$5:$D$3004,MATCH($A1627,'Live History'!$D$5:$D$3004,1)),INDEX('AH History'!$E$1:$E$18046,AH!$P$7+1622))),NA()),NA())</ns0:f>
        <ns0:v/>
      </ns0:c>
      <ns0:c r="G1627">
        <ns0:f>IFERROR(IF(ISNUMBER($A1627),IF(AND(AH!$P$10=1,AH!$P$12=1,$A1627=TODAY()),IF(AND(AH!$P$10=1,AH!$P$12=1,$A1627=TODAY()),TODAY(),NA()),IF(AH!$P$10=1,INDEX('Live History'!$G$5:$G$3004,MATCH($A1627,'Live History'!$G$5:$G$3004,1)),INDEX('AH History'!$F$1:$F$18046,AH!$P$7+1622))),NA()),NA())</ns0:f>
        <ns0:v/>
      </ns0:c>
      <ns0:c r="H1627">
        <ns0:f>IFERROR(IF(AND(AH!$E$4="Bloomberg",AH!$P$10=1,ISNUMBER($A1627),$A1627&lt;=AH!$P$17),AH!$P$7-1+MATCH($A1627,INDEX('AH History'!$A$1:$A$18046,AH!$P$7):INDEX('AH History'!$A$1:$A$18046,AH!$P$7+AH!$P$8-1),0),0),0)</ns0:f>
        <ns0:v/>
      </ns0:c>
      <ns0:c r="I1627">
        <ns0:f>IF($H1627=0,0,IFERROR(IF(AND(ABS($C1627-INDEX('AH History'!$B$1:$B$18046,$H1627))&lt;=MAX(0.005,ABS(INDEX('AH History'!$B$1:$B$18046,$H1627))*0.00005),ABS($D1627-INDEX('AH History'!$C$1:$C$18046,$H1627))&lt;=MAX(0.005,ABS(INDEX('AH History'!$C$1:$C$18046,$H1627))*0.00005),ABS($E1627-INDEX('AH History'!$D$1:$D$18046,$H1627))&lt;=0.00005,$F1627=INDEX('AH History'!$E$1:$E$18046,$H1627),$G1627=INDEX('AH History'!$F$1:$F$18046,$H1627)),1,-1),-1))</ns0:f>
        <ns0:v/>
      </ns0:c>
    </ns0:row>
    <ns0:row r="1628">
      <ns0:c r="A1628" s="215">
        <ns0:f>IF(OR(AH!$P$3=0,1623+1&gt;AH!$P$11,AND(AH!$E$4&lt;&gt;"Stored",AH!$P$10&lt;&gt;1)),"",IFERROR(IF(AND(AH!$P$21=1,1623+1=AH!$P$11),TODAY(),IF(AH!$P$10=1,INDEX('Live History'!$A$5:$A$3004,AH!$P$13+1623),INDEX('AH History'!$A$1:$A$18046,AH!$P$7+1623))),""))</ns0:f>
        <ns0:v/>
      </ns0:c>
      <ns0:c r="B1628" s="219">
        <ns0:f>IFERROR(IF(AND(AH!$P$9&lt;&gt;1,$C1628&gt;0,$D1628&gt;0,$E1628&gt;0,$F1628&gt;0,$G1628&gt;0,$F1628&lt;=$A1628,$G1628&lt;=$A1628,$A1628-$F1628&lt;=10,$A1628-$G1628&lt;=5),$D1628*$E1628/$C1628-1,NA()),NA())</ns0:f>
        <ns0:v/>
      </ns0:c>
      <ns0:c r="C1628">
        <ns0:f>IFERROR(IF(ISNUMBER($A1628),IF(AND(AH!$P$10=1,AH!$P$12=1,$A1628=TODAY()),AH!$P$19,IF(AH!$P$10=1,INDEX('Live History'!$B$5:$B$3004,AH!$P$13+1623),INDEX('AH History'!$B$1:$B$18046,AH!$P$7+1623))),NA()),NA())</ns0:f>
        <ns0:v/>
      </ns0:c>
      <ns0:c r="D1628">
        <ns0:f>IFERROR(IF(ISNUMBER($A1628),IF(AND(AH!$P$10=1,AH!$P$12=1,$A1628=TODAY()),AH!$P$18,IF(AH!$P$10=1,INDEX('Live History'!$E$5:$E$3004,MATCH($A1628,'Live History'!$D$5:$D$3004,1)),INDEX('AH History'!$C$1:$C$18046,AH!$P$7+1623))),NA()),NA())</ns0:f>
        <ns0:v/>
      </ns0:c>
      <ns0:c r="E1628">
        <ns0:f>IFERROR(IF(ISNUMBER($A1628),IF(AND(AH!$P$10=1,AH!$P$12=1,$A1628=TODAY()),AH!$P$20,IF(AH!$P$10=1,INDEX('Live History'!$H$5:$H$3004,MATCH($A1628,'Live History'!$G$5:$G$3004,1)),INDEX('AH History'!$D$1:$D$18046,AH!$P$7+1623))),NA()),NA())</ns0:f>
        <ns0:v/>
      </ns0:c>
      <ns0:c r="F1628">
        <ns0:f>IFERROR(IF(ISNUMBER($A1628),IF(AND(AH!$P$10=1,AH!$P$12=1,$A1628=TODAY()),IF(AND(AH!$P$10=1,AH!$P$12=1,$A1628=TODAY()),TODAY(),NA()),IF(AH!$P$10=1,INDEX('Live History'!$D$5:$D$3004,MATCH($A1628,'Live History'!$D$5:$D$3004,1)),INDEX('AH History'!$E$1:$E$18046,AH!$P$7+1623))),NA()),NA())</ns0:f>
        <ns0:v/>
      </ns0:c>
      <ns0:c r="G1628">
        <ns0:f>IFERROR(IF(ISNUMBER($A1628),IF(AND(AH!$P$10=1,AH!$P$12=1,$A1628=TODAY()),IF(AND(AH!$P$10=1,AH!$P$12=1,$A1628=TODAY()),TODAY(),NA()),IF(AH!$P$10=1,INDEX('Live History'!$G$5:$G$3004,MATCH($A1628,'Live History'!$G$5:$G$3004,1)),INDEX('AH History'!$F$1:$F$18046,AH!$P$7+1623))),NA()),NA())</ns0:f>
        <ns0:v/>
      </ns0:c>
      <ns0:c r="H1628">
        <ns0:f>IFERROR(IF(AND(AH!$E$4="Bloomberg",AH!$P$10=1,ISNUMBER($A1628),$A1628&lt;=AH!$P$17),AH!$P$7-1+MATCH($A1628,INDEX('AH History'!$A$1:$A$18046,AH!$P$7):INDEX('AH History'!$A$1:$A$18046,AH!$P$7+AH!$P$8-1),0),0),0)</ns0:f>
        <ns0:v/>
      </ns0:c>
      <ns0:c r="I1628">
        <ns0:f>IF($H1628=0,0,IFERROR(IF(AND(ABS($C1628-INDEX('AH History'!$B$1:$B$18046,$H1628))&lt;=MAX(0.005,ABS(INDEX('AH History'!$B$1:$B$18046,$H1628))*0.00005),ABS($D1628-INDEX('AH History'!$C$1:$C$18046,$H1628))&lt;=MAX(0.005,ABS(INDEX('AH History'!$C$1:$C$18046,$H1628))*0.00005),ABS($E1628-INDEX('AH History'!$D$1:$D$18046,$H1628))&lt;=0.00005,$F1628=INDEX('AH History'!$E$1:$E$18046,$H1628),$G1628=INDEX('AH History'!$F$1:$F$18046,$H1628)),1,-1),-1))</ns0:f>
        <ns0:v/>
      </ns0:c>
    </ns0:row>
    <ns0:row r="1629">
      <ns0:c r="A1629" s="215">
        <ns0:f>IF(OR(AH!$P$3=0,1624+1&gt;AH!$P$11,AND(AH!$E$4&lt;&gt;"Stored",AH!$P$10&lt;&gt;1)),"",IFERROR(IF(AND(AH!$P$21=1,1624+1=AH!$P$11),TODAY(),IF(AH!$P$10=1,INDEX('Live History'!$A$5:$A$3004,AH!$P$13+1624),INDEX('AH History'!$A$1:$A$18046,AH!$P$7+1624))),""))</ns0:f>
        <ns0:v/>
      </ns0:c>
      <ns0:c r="B1629" s="219">
        <ns0:f>IFERROR(IF(AND(AH!$P$9&lt;&gt;1,$C1629&gt;0,$D1629&gt;0,$E1629&gt;0,$F1629&gt;0,$G1629&gt;0,$F1629&lt;=$A1629,$G1629&lt;=$A1629,$A1629-$F1629&lt;=10,$A1629-$G1629&lt;=5),$D1629*$E1629/$C1629-1,NA()),NA())</ns0:f>
        <ns0:v/>
      </ns0:c>
      <ns0:c r="C1629">
        <ns0:f>IFERROR(IF(ISNUMBER($A1629),IF(AND(AH!$P$10=1,AH!$P$12=1,$A1629=TODAY()),AH!$P$19,IF(AH!$P$10=1,INDEX('Live History'!$B$5:$B$3004,AH!$P$13+1624),INDEX('AH History'!$B$1:$B$18046,AH!$P$7+1624))),NA()),NA())</ns0:f>
        <ns0:v/>
      </ns0:c>
      <ns0:c r="D1629">
        <ns0:f>IFERROR(IF(ISNUMBER($A1629),IF(AND(AH!$P$10=1,AH!$P$12=1,$A1629=TODAY()),AH!$P$18,IF(AH!$P$10=1,INDEX('Live History'!$E$5:$E$3004,MATCH($A1629,'Live History'!$D$5:$D$3004,1)),INDEX('AH History'!$C$1:$C$18046,AH!$P$7+1624))),NA()),NA())</ns0:f>
        <ns0:v/>
      </ns0:c>
      <ns0:c r="E1629">
        <ns0:f>IFERROR(IF(ISNUMBER($A1629),IF(AND(AH!$P$10=1,AH!$P$12=1,$A1629=TODAY()),AH!$P$20,IF(AH!$P$10=1,INDEX('Live History'!$H$5:$H$3004,MATCH($A1629,'Live History'!$G$5:$G$3004,1)),INDEX('AH History'!$D$1:$D$18046,AH!$P$7+1624))),NA()),NA())</ns0:f>
        <ns0:v/>
      </ns0:c>
      <ns0:c r="F1629">
        <ns0:f>IFERROR(IF(ISNUMBER($A1629),IF(AND(AH!$P$10=1,AH!$P$12=1,$A1629=TODAY()),IF(AND(AH!$P$10=1,AH!$P$12=1,$A1629=TODAY()),TODAY(),NA()),IF(AH!$P$10=1,INDEX('Live History'!$D$5:$D$3004,MATCH($A1629,'Live History'!$D$5:$D$3004,1)),INDEX('AH History'!$E$1:$E$18046,AH!$P$7+1624))),NA()),NA())</ns0:f>
        <ns0:v/>
      </ns0:c>
      <ns0:c r="G1629">
        <ns0:f>IFERROR(IF(ISNUMBER($A1629),IF(AND(AH!$P$10=1,AH!$P$12=1,$A1629=TODAY()),IF(AND(AH!$P$10=1,AH!$P$12=1,$A1629=TODAY()),TODAY(),NA()),IF(AH!$P$10=1,INDEX('Live History'!$G$5:$G$3004,MATCH($A1629,'Live History'!$G$5:$G$3004,1)),INDEX('AH History'!$F$1:$F$18046,AH!$P$7+1624))),NA()),NA())</ns0:f>
        <ns0:v/>
      </ns0:c>
      <ns0:c r="H1629">
        <ns0:f>IFERROR(IF(AND(AH!$E$4="Bloomberg",AH!$P$10=1,ISNUMBER($A1629),$A1629&lt;=AH!$P$17),AH!$P$7-1+MATCH($A1629,INDEX('AH History'!$A$1:$A$18046,AH!$P$7):INDEX('AH History'!$A$1:$A$18046,AH!$P$7+AH!$P$8-1),0),0),0)</ns0:f>
        <ns0:v/>
      </ns0:c>
      <ns0:c r="I1629">
        <ns0:f>IF($H1629=0,0,IFERROR(IF(AND(ABS($C1629-INDEX('AH History'!$B$1:$B$18046,$H1629))&lt;=MAX(0.005,ABS(INDEX('AH History'!$B$1:$B$18046,$H1629))*0.00005),ABS($D1629-INDEX('AH History'!$C$1:$C$18046,$H1629))&lt;=MAX(0.005,ABS(INDEX('AH History'!$C$1:$C$18046,$H1629))*0.00005),ABS($E1629-INDEX('AH History'!$D$1:$D$18046,$H1629))&lt;=0.00005,$F1629=INDEX('AH History'!$E$1:$E$18046,$H1629),$G1629=INDEX('AH History'!$F$1:$F$18046,$H1629)),1,-1),-1))</ns0:f>
        <ns0:v/>
      </ns0:c>
    </ns0:row>
    <ns0:row r="1630">
      <ns0:c r="A1630" s="215">
        <ns0:f>IF(OR(AH!$P$3=0,1625+1&gt;AH!$P$11,AND(AH!$E$4&lt;&gt;"Stored",AH!$P$10&lt;&gt;1)),"",IFERROR(IF(AND(AH!$P$21=1,1625+1=AH!$P$11),TODAY(),IF(AH!$P$10=1,INDEX('Live History'!$A$5:$A$3004,AH!$P$13+1625),INDEX('AH History'!$A$1:$A$18046,AH!$P$7+1625))),""))</ns0:f>
        <ns0:v/>
      </ns0:c>
      <ns0:c r="B1630" s="219">
        <ns0:f>IFERROR(IF(AND(AH!$P$9&lt;&gt;1,$C1630&gt;0,$D1630&gt;0,$E1630&gt;0,$F1630&gt;0,$G1630&gt;0,$F1630&lt;=$A1630,$G1630&lt;=$A1630,$A1630-$F1630&lt;=10,$A1630-$G1630&lt;=5),$D1630*$E1630/$C1630-1,NA()),NA())</ns0:f>
        <ns0:v/>
      </ns0:c>
      <ns0:c r="C1630">
        <ns0:f>IFERROR(IF(ISNUMBER($A1630),IF(AND(AH!$P$10=1,AH!$P$12=1,$A1630=TODAY()),AH!$P$19,IF(AH!$P$10=1,INDEX('Live History'!$B$5:$B$3004,AH!$P$13+1625),INDEX('AH History'!$B$1:$B$18046,AH!$P$7+1625))),NA()),NA())</ns0:f>
        <ns0:v/>
      </ns0:c>
      <ns0:c r="D1630">
        <ns0:f>IFERROR(IF(ISNUMBER($A1630),IF(AND(AH!$P$10=1,AH!$P$12=1,$A1630=TODAY()),AH!$P$18,IF(AH!$P$10=1,INDEX('Live History'!$E$5:$E$3004,MATCH($A1630,'Live History'!$D$5:$D$3004,1)),INDEX('AH History'!$C$1:$C$18046,AH!$P$7+1625))),NA()),NA())</ns0:f>
        <ns0:v/>
      </ns0:c>
      <ns0:c r="E1630">
        <ns0:f>IFERROR(IF(ISNUMBER($A1630),IF(AND(AH!$P$10=1,AH!$P$12=1,$A1630=TODAY()),AH!$P$20,IF(AH!$P$10=1,INDEX('Live History'!$H$5:$H$3004,MATCH($A1630,'Live History'!$G$5:$G$3004,1)),INDEX('AH History'!$D$1:$D$18046,AH!$P$7+1625))),NA()),NA())</ns0:f>
        <ns0:v/>
      </ns0:c>
      <ns0:c r="F1630">
        <ns0:f>IFERROR(IF(ISNUMBER($A1630),IF(AND(AH!$P$10=1,AH!$P$12=1,$A1630=TODAY()),IF(AND(AH!$P$10=1,AH!$P$12=1,$A1630=TODAY()),TODAY(),NA()),IF(AH!$P$10=1,INDEX('Live History'!$D$5:$D$3004,MATCH($A1630,'Live History'!$D$5:$D$3004,1)),INDEX('AH History'!$E$1:$E$18046,AH!$P$7+1625))),NA()),NA())</ns0:f>
        <ns0:v/>
      </ns0:c>
      <ns0:c r="G1630">
        <ns0:f>IFERROR(IF(ISNUMBER($A1630),IF(AND(AH!$P$10=1,AH!$P$12=1,$A1630=TODAY()),IF(AND(AH!$P$10=1,AH!$P$12=1,$A1630=TODAY()),TODAY(),NA()),IF(AH!$P$10=1,INDEX('Live History'!$G$5:$G$3004,MATCH($A1630,'Live History'!$G$5:$G$3004,1)),INDEX('AH History'!$F$1:$F$18046,AH!$P$7+1625))),NA()),NA())</ns0:f>
        <ns0:v/>
      </ns0:c>
      <ns0:c r="H1630">
        <ns0:f>IFERROR(IF(AND(AH!$E$4="Bloomberg",AH!$P$10=1,ISNUMBER($A1630),$A1630&lt;=AH!$P$17),AH!$P$7-1+MATCH($A1630,INDEX('AH History'!$A$1:$A$18046,AH!$P$7):INDEX('AH History'!$A$1:$A$18046,AH!$P$7+AH!$P$8-1),0),0),0)</ns0:f>
        <ns0:v/>
      </ns0:c>
      <ns0:c r="I1630">
        <ns0:f>IF($H1630=0,0,IFERROR(IF(AND(ABS($C1630-INDEX('AH History'!$B$1:$B$18046,$H1630))&lt;=MAX(0.005,ABS(INDEX('AH History'!$B$1:$B$18046,$H1630))*0.00005),ABS($D1630-INDEX('AH History'!$C$1:$C$18046,$H1630))&lt;=MAX(0.005,ABS(INDEX('AH History'!$C$1:$C$18046,$H1630))*0.00005),ABS($E1630-INDEX('AH History'!$D$1:$D$18046,$H1630))&lt;=0.00005,$F1630=INDEX('AH History'!$E$1:$E$18046,$H1630),$G1630=INDEX('AH History'!$F$1:$F$18046,$H1630)),1,-1),-1))</ns0:f>
        <ns0:v/>
      </ns0:c>
    </ns0:row>
    <ns0:row r="1631">
      <ns0:c r="A1631" s="215">
        <ns0:f>IF(OR(AH!$P$3=0,1626+1&gt;AH!$P$11,AND(AH!$E$4&lt;&gt;"Stored",AH!$P$10&lt;&gt;1)),"",IFERROR(IF(AND(AH!$P$21=1,1626+1=AH!$P$11),TODAY(),IF(AH!$P$10=1,INDEX('Live History'!$A$5:$A$3004,AH!$P$13+1626),INDEX('AH History'!$A$1:$A$18046,AH!$P$7+1626))),""))</ns0:f>
        <ns0:v/>
      </ns0:c>
      <ns0:c r="B1631" s="219">
        <ns0:f>IFERROR(IF(AND(AH!$P$9&lt;&gt;1,$C1631&gt;0,$D1631&gt;0,$E1631&gt;0,$F1631&gt;0,$G1631&gt;0,$F1631&lt;=$A1631,$G1631&lt;=$A1631,$A1631-$F1631&lt;=10,$A1631-$G1631&lt;=5),$D1631*$E1631/$C1631-1,NA()),NA())</ns0:f>
        <ns0:v/>
      </ns0:c>
      <ns0:c r="C1631">
        <ns0:f>IFERROR(IF(ISNUMBER($A1631),IF(AND(AH!$P$10=1,AH!$P$12=1,$A1631=TODAY()),AH!$P$19,IF(AH!$P$10=1,INDEX('Live History'!$B$5:$B$3004,AH!$P$13+1626),INDEX('AH History'!$B$1:$B$18046,AH!$P$7+1626))),NA()),NA())</ns0:f>
        <ns0:v/>
      </ns0:c>
      <ns0:c r="D1631">
        <ns0:f>IFERROR(IF(ISNUMBER($A1631),IF(AND(AH!$P$10=1,AH!$P$12=1,$A1631=TODAY()),AH!$P$18,IF(AH!$P$10=1,INDEX('Live History'!$E$5:$E$3004,MATCH($A1631,'Live History'!$D$5:$D$3004,1)),INDEX('AH History'!$C$1:$C$18046,AH!$P$7+1626))),NA()),NA())</ns0:f>
        <ns0:v/>
      </ns0:c>
      <ns0:c r="E1631">
        <ns0:f>IFERROR(IF(ISNUMBER($A1631),IF(AND(AH!$P$10=1,AH!$P$12=1,$A1631=TODAY()),AH!$P$20,IF(AH!$P$10=1,INDEX('Live History'!$H$5:$H$3004,MATCH($A1631,'Live History'!$G$5:$G$3004,1)),INDEX('AH History'!$D$1:$D$18046,AH!$P$7+1626))),NA()),NA())</ns0:f>
        <ns0:v/>
      </ns0:c>
      <ns0:c r="F1631">
        <ns0:f>IFERROR(IF(ISNUMBER($A1631),IF(AND(AH!$P$10=1,AH!$P$12=1,$A1631=TODAY()),IF(AND(AH!$P$10=1,AH!$P$12=1,$A1631=TODAY()),TODAY(),NA()),IF(AH!$P$10=1,INDEX('Live History'!$D$5:$D$3004,MATCH($A1631,'Live History'!$D$5:$D$3004,1)),INDEX('AH History'!$E$1:$E$18046,AH!$P$7+1626))),NA()),NA())</ns0:f>
        <ns0:v/>
      </ns0:c>
      <ns0:c r="G1631">
        <ns0:f>IFERROR(IF(ISNUMBER($A1631),IF(AND(AH!$P$10=1,AH!$P$12=1,$A1631=TODAY()),IF(AND(AH!$P$10=1,AH!$P$12=1,$A1631=TODAY()),TODAY(),NA()),IF(AH!$P$10=1,INDEX('Live History'!$G$5:$G$3004,MATCH($A1631,'Live History'!$G$5:$G$3004,1)),INDEX('AH History'!$F$1:$F$18046,AH!$P$7+1626))),NA()),NA())</ns0:f>
        <ns0:v/>
      </ns0:c>
      <ns0:c r="H1631">
        <ns0:f>IFERROR(IF(AND(AH!$E$4="Bloomberg",AH!$P$10=1,ISNUMBER($A1631),$A1631&lt;=AH!$P$17),AH!$P$7-1+MATCH($A1631,INDEX('AH History'!$A$1:$A$18046,AH!$P$7):INDEX('AH History'!$A$1:$A$18046,AH!$P$7+AH!$P$8-1),0),0),0)</ns0:f>
        <ns0:v/>
      </ns0:c>
      <ns0:c r="I1631">
        <ns0:f>IF($H1631=0,0,IFERROR(IF(AND(ABS($C1631-INDEX('AH History'!$B$1:$B$18046,$H1631))&lt;=MAX(0.005,ABS(INDEX('AH History'!$B$1:$B$18046,$H1631))*0.00005),ABS($D1631-INDEX('AH History'!$C$1:$C$18046,$H1631))&lt;=MAX(0.005,ABS(INDEX('AH History'!$C$1:$C$18046,$H1631))*0.00005),ABS($E1631-INDEX('AH History'!$D$1:$D$18046,$H1631))&lt;=0.00005,$F1631=INDEX('AH History'!$E$1:$E$18046,$H1631),$G1631=INDEX('AH History'!$F$1:$F$18046,$H1631)),1,-1),-1))</ns0:f>
        <ns0:v/>
      </ns0:c>
    </ns0:row>
    <ns0:row r="1632">
      <ns0:c r="A1632" s="215">
        <ns0:f>IF(OR(AH!$P$3=0,1627+1&gt;AH!$P$11,AND(AH!$E$4&lt;&gt;"Stored",AH!$P$10&lt;&gt;1)),"",IFERROR(IF(AND(AH!$P$21=1,1627+1=AH!$P$11),TODAY(),IF(AH!$P$10=1,INDEX('Live History'!$A$5:$A$3004,AH!$P$13+1627),INDEX('AH History'!$A$1:$A$18046,AH!$P$7+1627))),""))</ns0:f>
        <ns0:v/>
      </ns0:c>
      <ns0:c r="B1632" s="219">
        <ns0:f>IFERROR(IF(AND(AH!$P$9&lt;&gt;1,$C1632&gt;0,$D1632&gt;0,$E1632&gt;0,$F1632&gt;0,$G1632&gt;0,$F1632&lt;=$A1632,$G1632&lt;=$A1632,$A1632-$F1632&lt;=10,$A1632-$G1632&lt;=5),$D1632*$E1632/$C1632-1,NA()),NA())</ns0:f>
        <ns0:v/>
      </ns0:c>
      <ns0:c r="C1632">
        <ns0:f>IFERROR(IF(ISNUMBER($A1632),IF(AND(AH!$P$10=1,AH!$P$12=1,$A1632=TODAY()),AH!$P$19,IF(AH!$P$10=1,INDEX('Live History'!$B$5:$B$3004,AH!$P$13+1627),INDEX('AH History'!$B$1:$B$18046,AH!$P$7+1627))),NA()),NA())</ns0:f>
        <ns0:v/>
      </ns0:c>
      <ns0:c r="D1632">
        <ns0:f>IFERROR(IF(ISNUMBER($A1632),IF(AND(AH!$P$10=1,AH!$P$12=1,$A1632=TODAY()),AH!$P$18,IF(AH!$P$10=1,INDEX('Live History'!$E$5:$E$3004,MATCH($A1632,'Live History'!$D$5:$D$3004,1)),INDEX('AH History'!$C$1:$C$18046,AH!$P$7+1627))),NA()),NA())</ns0:f>
        <ns0:v/>
      </ns0:c>
      <ns0:c r="E1632">
        <ns0:f>IFERROR(IF(ISNUMBER($A1632),IF(AND(AH!$P$10=1,AH!$P$12=1,$A1632=TODAY()),AH!$P$20,IF(AH!$P$10=1,INDEX('Live History'!$H$5:$H$3004,MATCH($A1632,'Live History'!$G$5:$G$3004,1)),INDEX('AH History'!$D$1:$D$18046,AH!$P$7+1627))),NA()),NA())</ns0:f>
        <ns0:v/>
      </ns0:c>
      <ns0:c r="F1632">
        <ns0:f>IFERROR(IF(ISNUMBER($A1632),IF(AND(AH!$P$10=1,AH!$P$12=1,$A1632=TODAY()),IF(AND(AH!$P$10=1,AH!$P$12=1,$A1632=TODAY()),TODAY(),NA()),IF(AH!$P$10=1,INDEX('Live History'!$D$5:$D$3004,MATCH($A1632,'Live History'!$D$5:$D$3004,1)),INDEX('AH History'!$E$1:$E$18046,AH!$P$7+1627))),NA()),NA())</ns0:f>
        <ns0:v/>
      </ns0:c>
      <ns0:c r="G1632">
        <ns0:f>IFERROR(IF(ISNUMBER($A1632),IF(AND(AH!$P$10=1,AH!$P$12=1,$A1632=TODAY()),IF(AND(AH!$P$10=1,AH!$P$12=1,$A1632=TODAY()),TODAY(),NA()),IF(AH!$P$10=1,INDEX('Live History'!$G$5:$G$3004,MATCH($A1632,'Live History'!$G$5:$G$3004,1)),INDEX('AH History'!$F$1:$F$18046,AH!$P$7+1627))),NA()),NA())</ns0:f>
        <ns0:v/>
      </ns0:c>
      <ns0:c r="H1632">
        <ns0:f>IFERROR(IF(AND(AH!$E$4="Bloomberg",AH!$P$10=1,ISNUMBER($A1632),$A1632&lt;=AH!$P$17),AH!$P$7-1+MATCH($A1632,INDEX('AH History'!$A$1:$A$18046,AH!$P$7):INDEX('AH History'!$A$1:$A$18046,AH!$P$7+AH!$P$8-1),0),0),0)</ns0:f>
        <ns0:v/>
      </ns0:c>
      <ns0:c r="I1632">
        <ns0:f>IF($H1632=0,0,IFERROR(IF(AND(ABS($C1632-INDEX('AH History'!$B$1:$B$18046,$H1632))&lt;=MAX(0.005,ABS(INDEX('AH History'!$B$1:$B$18046,$H1632))*0.00005),ABS($D1632-INDEX('AH History'!$C$1:$C$18046,$H1632))&lt;=MAX(0.005,ABS(INDEX('AH History'!$C$1:$C$18046,$H1632))*0.00005),ABS($E1632-INDEX('AH History'!$D$1:$D$18046,$H1632))&lt;=0.00005,$F1632=INDEX('AH History'!$E$1:$E$18046,$H1632),$G1632=INDEX('AH History'!$F$1:$F$18046,$H1632)),1,-1),-1))</ns0:f>
        <ns0:v/>
      </ns0:c>
    </ns0:row>
    <ns0:row r="1633">
      <ns0:c r="A1633" s="215">
        <ns0:f>IF(OR(AH!$P$3=0,1628+1&gt;AH!$P$11,AND(AH!$E$4&lt;&gt;"Stored",AH!$P$10&lt;&gt;1)),"",IFERROR(IF(AND(AH!$P$21=1,1628+1=AH!$P$11),TODAY(),IF(AH!$P$10=1,INDEX('Live History'!$A$5:$A$3004,AH!$P$13+1628),INDEX('AH History'!$A$1:$A$18046,AH!$P$7+1628))),""))</ns0:f>
        <ns0:v/>
      </ns0:c>
      <ns0:c r="B1633" s="219">
        <ns0:f>IFERROR(IF(AND(AH!$P$9&lt;&gt;1,$C1633&gt;0,$D1633&gt;0,$E1633&gt;0,$F1633&gt;0,$G1633&gt;0,$F1633&lt;=$A1633,$G1633&lt;=$A1633,$A1633-$F1633&lt;=10,$A1633-$G1633&lt;=5),$D1633*$E1633/$C1633-1,NA()),NA())</ns0:f>
        <ns0:v/>
      </ns0:c>
      <ns0:c r="C1633">
        <ns0:f>IFERROR(IF(ISNUMBER($A1633),IF(AND(AH!$P$10=1,AH!$P$12=1,$A1633=TODAY()),AH!$P$19,IF(AH!$P$10=1,INDEX('Live History'!$B$5:$B$3004,AH!$P$13+1628),INDEX('AH History'!$B$1:$B$18046,AH!$P$7+1628))),NA()),NA())</ns0:f>
        <ns0:v/>
      </ns0:c>
      <ns0:c r="D1633">
        <ns0:f>IFERROR(IF(ISNUMBER($A1633),IF(AND(AH!$P$10=1,AH!$P$12=1,$A1633=TODAY()),AH!$P$18,IF(AH!$P$10=1,INDEX('Live History'!$E$5:$E$3004,MATCH($A1633,'Live History'!$D$5:$D$3004,1)),INDEX('AH History'!$C$1:$C$18046,AH!$P$7+1628))),NA()),NA())</ns0:f>
        <ns0:v/>
      </ns0:c>
      <ns0:c r="E1633">
        <ns0:f>IFERROR(IF(ISNUMBER($A1633),IF(AND(AH!$P$10=1,AH!$P$12=1,$A1633=TODAY()),AH!$P$20,IF(AH!$P$10=1,INDEX('Live History'!$H$5:$H$3004,MATCH($A1633,'Live History'!$G$5:$G$3004,1)),INDEX('AH History'!$D$1:$D$18046,AH!$P$7+1628))),NA()),NA())</ns0:f>
        <ns0:v/>
      </ns0:c>
      <ns0:c r="F1633">
        <ns0:f>IFERROR(IF(ISNUMBER($A1633),IF(AND(AH!$P$10=1,AH!$P$12=1,$A1633=TODAY()),IF(AND(AH!$P$10=1,AH!$P$12=1,$A1633=TODAY()),TODAY(),NA()),IF(AH!$P$10=1,INDEX('Live History'!$D$5:$D$3004,MATCH($A1633,'Live History'!$D$5:$D$3004,1)),INDEX('AH History'!$E$1:$E$18046,AH!$P$7+1628))),NA()),NA())</ns0:f>
        <ns0:v/>
      </ns0:c>
      <ns0:c r="G1633">
        <ns0:f>IFERROR(IF(ISNUMBER($A1633),IF(AND(AH!$P$10=1,AH!$P$12=1,$A1633=TODAY()),IF(AND(AH!$P$10=1,AH!$P$12=1,$A1633=TODAY()),TODAY(),NA()),IF(AH!$P$10=1,INDEX('Live History'!$G$5:$G$3004,MATCH($A1633,'Live History'!$G$5:$G$3004,1)),INDEX('AH History'!$F$1:$F$18046,AH!$P$7+1628))),NA()),NA())</ns0:f>
        <ns0:v/>
      </ns0:c>
      <ns0:c r="H1633">
        <ns0:f>IFERROR(IF(AND(AH!$E$4="Bloomberg",AH!$P$10=1,ISNUMBER($A1633),$A1633&lt;=AH!$P$17),AH!$P$7-1+MATCH($A1633,INDEX('AH History'!$A$1:$A$18046,AH!$P$7):INDEX('AH History'!$A$1:$A$18046,AH!$P$7+AH!$P$8-1),0),0),0)</ns0:f>
        <ns0:v/>
      </ns0:c>
      <ns0:c r="I1633">
        <ns0:f>IF($H1633=0,0,IFERROR(IF(AND(ABS($C1633-INDEX('AH History'!$B$1:$B$18046,$H1633))&lt;=MAX(0.005,ABS(INDEX('AH History'!$B$1:$B$18046,$H1633))*0.00005),ABS($D1633-INDEX('AH History'!$C$1:$C$18046,$H1633))&lt;=MAX(0.005,ABS(INDEX('AH History'!$C$1:$C$18046,$H1633))*0.00005),ABS($E1633-INDEX('AH History'!$D$1:$D$18046,$H1633))&lt;=0.00005,$F1633=INDEX('AH History'!$E$1:$E$18046,$H1633),$G1633=INDEX('AH History'!$F$1:$F$18046,$H1633)),1,-1),-1))</ns0:f>
        <ns0:v/>
      </ns0:c>
    </ns0:row>
    <ns0:row r="1634">
      <ns0:c r="A1634" s="215">
        <ns0:f>IF(OR(AH!$P$3=0,1629+1&gt;AH!$P$11,AND(AH!$E$4&lt;&gt;"Stored",AH!$P$10&lt;&gt;1)),"",IFERROR(IF(AND(AH!$P$21=1,1629+1=AH!$P$11),TODAY(),IF(AH!$P$10=1,INDEX('Live History'!$A$5:$A$3004,AH!$P$13+1629),INDEX('AH History'!$A$1:$A$18046,AH!$P$7+1629))),""))</ns0:f>
        <ns0:v/>
      </ns0:c>
      <ns0:c r="B1634" s="219">
        <ns0:f>IFERROR(IF(AND(AH!$P$9&lt;&gt;1,$C1634&gt;0,$D1634&gt;0,$E1634&gt;0,$F1634&gt;0,$G1634&gt;0,$F1634&lt;=$A1634,$G1634&lt;=$A1634,$A1634-$F1634&lt;=10,$A1634-$G1634&lt;=5),$D1634*$E1634/$C1634-1,NA()),NA())</ns0:f>
        <ns0:v/>
      </ns0:c>
      <ns0:c r="C1634">
        <ns0:f>IFERROR(IF(ISNUMBER($A1634),IF(AND(AH!$P$10=1,AH!$P$12=1,$A1634=TODAY()),AH!$P$19,IF(AH!$P$10=1,INDEX('Live History'!$B$5:$B$3004,AH!$P$13+1629),INDEX('AH History'!$B$1:$B$18046,AH!$P$7+1629))),NA()),NA())</ns0:f>
        <ns0:v/>
      </ns0:c>
      <ns0:c r="D1634">
        <ns0:f>IFERROR(IF(ISNUMBER($A1634),IF(AND(AH!$P$10=1,AH!$P$12=1,$A1634=TODAY()),AH!$P$18,IF(AH!$P$10=1,INDEX('Live History'!$E$5:$E$3004,MATCH($A1634,'Live History'!$D$5:$D$3004,1)),INDEX('AH History'!$C$1:$C$18046,AH!$P$7+1629))),NA()),NA())</ns0:f>
        <ns0:v/>
      </ns0:c>
      <ns0:c r="E1634">
        <ns0:f>IFERROR(IF(ISNUMBER($A1634),IF(AND(AH!$P$10=1,AH!$P$12=1,$A1634=TODAY()),AH!$P$20,IF(AH!$P$10=1,INDEX('Live History'!$H$5:$H$3004,MATCH($A1634,'Live History'!$G$5:$G$3004,1)),INDEX('AH History'!$D$1:$D$18046,AH!$P$7+1629))),NA()),NA())</ns0:f>
        <ns0:v/>
      </ns0:c>
      <ns0:c r="F1634">
        <ns0:f>IFERROR(IF(ISNUMBER($A1634),IF(AND(AH!$P$10=1,AH!$P$12=1,$A1634=TODAY()),IF(AND(AH!$P$10=1,AH!$P$12=1,$A1634=TODAY()),TODAY(),NA()),IF(AH!$P$10=1,INDEX('Live History'!$D$5:$D$3004,MATCH($A1634,'Live History'!$D$5:$D$3004,1)),INDEX('AH History'!$E$1:$E$18046,AH!$P$7+1629))),NA()),NA())</ns0:f>
        <ns0:v/>
      </ns0:c>
      <ns0:c r="G1634">
        <ns0:f>IFERROR(IF(ISNUMBER($A1634),IF(AND(AH!$P$10=1,AH!$P$12=1,$A1634=TODAY()),IF(AND(AH!$P$10=1,AH!$P$12=1,$A1634=TODAY()),TODAY(),NA()),IF(AH!$P$10=1,INDEX('Live History'!$G$5:$G$3004,MATCH($A1634,'Live History'!$G$5:$G$3004,1)),INDEX('AH History'!$F$1:$F$18046,AH!$P$7+1629))),NA()),NA())</ns0:f>
        <ns0:v/>
      </ns0:c>
      <ns0:c r="H1634">
        <ns0:f>IFERROR(IF(AND(AH!$E$4="Bloomberg",AH!$P$10=1,ISNUMBER($A1634),$A1634&lt;=AH!$P$17),AH!$P$7-1+MATCH($A1634,INDEX('AH History'!$A$1:$A$18046,AH!$P$7):INDEX('AH History'!$A$1:$A$18046,AH!$P$7+AH!$P$8-1),0),0),0)</ns0:f>
        <ns0:v/>
      </ns0:c>
      <ns0:c r="I1634">
        <ns0:f>IF($H1634=0,0,IFERROR(IF(AND(ABS($C1634-INDEX('AH History'!$B$1:$B$18046,$H1634))&lt;=MAX(0.005,ABS(INDEX('AH History'!$B$1:$B$18046,$H1634))*0.00005),ABS($D1634-INDEX('AH History'!$C$1:$C$18046,$H1634))&lt;=MAX(0.005,ABS(INDEX('AH History'!$C$1:$C$18046,$H1634))*0.00005),ABS($E1634-INDEX('AH History'!$D$1:$D$18046,$H1634))&lt;=0.00005,$F1634=INDEX('AH History'!$E$1:$E$18046,$H1634),$G1634=INDEX('AH History'!$F$1:$F$18046,$H1634)),1,-1),-1))</ns0:f>
        <ns0:v/>
      </ns0:c>
    </ns0:row>
    <ns0:row r="1635">
      <ns0:c r="A1635" s="215">
        <ns0:f>IF(OR(AH!$P$3=0,1630+1&gt;AH!$P$11,AND(AH!$E$4&lt;&gt;"Stored",AH!$P$10&lt;&gt;1)),"",IFERROR(IF(AND(AH!$P$21=1,1630+1=AH!$P$11),TODAY(),IF(AH!$P$10=1,INDEX('Live History'!$A$5:$A$3004,AH!$P$13+1630),INDEX('AH History'!$A$1:$A$18046,AH!$P$7+1630))),""))</ns0:f>
        <ns0:v/>
      </ns0:c>
      <ns0:c r="B1635" s="219">
        <ns0:f>IFERROR(IF(AND(AH!$P$9&lt;&gt;1,$C1635&gt;0,$D1635&gt;0,$E1635&gt;0,$F1635&gt;0,$G1635&gt;0,$F1635&lt;=$A1635,$G1635&lt;=$A1635,$A1635-$F1635&lt;=10,$A1635-$G1635&lt;=5),$D1635*$E1635/$C1635-1,NA()),NA())</ns0:f>
        <ns0:v/>
      </ns0:c>
      <ns0:c r="C1635">
        <ns0:f>IFERROR(IF(ISNUMBER($A1635),IF(AND(AH!$P$10=1,AH!$P$12=1,$A1635=TODAY()),AH!$P$19,IF(AH!$P$10=1,INDEX('Live History'!$B$5:$B$3004,AH!$P$13+1630),INDEX('AH History'!$B$1:$B$18046,AH!$P$7+1630))),NA()),NA())</ns0:f>
        <ns0:v/>
      </ns0:c>
      <ns0:c r="D1635">
        <ns0:f>IFERROR(IF(ISNUMBER($A1635),IF(AND(AH!$P$10=1,AH!$P$12=1,$A1635=TODAY()),AH!$P$18,IF(AH!$P$10=1,INDEX('Live History'!$E$5:$E$3004,MATCH($A1635,'Live History'!$D$5:$D$3004,1)),INDEX('AH History'!$C$1:$C$18046,AH!$P$7+1630))),NA()),NA())</ns0:f>
        <ns0:v/>
      </ns0:c>
      <ns0:c r="E1635">
        <ns0:f>IFERROR(IF(ISNUMBER($A1635),IF(AND(AH!$P$10=1,AH!$P$12=1,$A1635=TODAY()),AH!$P$20,IF(AH!$P$10=1,INDEX('Live History'!$H$5:$H$3004,MATCH($A1635,'Live History'!$G$5:$G$3004,1)),INDEX('AH History'!$D$1:$D$18046,AH!$P$7+1630))),NA()),NA())</ns0:f>
        <ns0:v/>
      </ns0:c>
      <ns0:c r="F1635">
        <ns0:f>IFERROR(IF(ISNUMBER($A1635),IF(AND(AH!$P$10=1,AH!$P$12=1,$A1635=TODAY()),IF(AND(AH!$P$10=1,AH!$P$12=1,$A1635=TODAY()),TODAY(),NA()),IF(AH!$P$10=1,INDEX('Live History'!$D$5:$D$3004,MATCH($A1635,'Live History'!$D$5:$D$3004,1)),INDEX('AH History'!$E$1:$E$18046,AH!$P$7+1630))),NA()),NA())</ns0:f>
        <ns0:v/>
      </ns0:c>
      <ns0:c r="G1635">
        <ns0:f>IFERROR(IF(ISNUMBER($A1635),IF(AND(AH!$P$10=1,AH!$P$12=1,$A1635=TODAY()),IF(AND(AH!$P$10=1,AH!$P$12=1,$A1635=TODAY()),TODAY(),NA()),IF(AH!$P$10=1,INDEX('Live History'!$G$5:$G$3004,MATCH($A1635,'Live History'!$G$5:$G$3004,1)),INDEX('AH History'!$F$1:$F$18046,AH!$P$7+1630))),NA()),NA())</ns0:f>
        <ns0:v/>
      </ns0:c>
      <ns0:c r="H1635">
        <ns0:f>IFERROR(IF(AND(AH!$E$4="Bloomberg",AH!$P$10=1,ISNUMBER($A1635),$A1635&lt;=AH!$P$17),AH!$P$7-1+MATCH($A1635,INDEX('AH History'!$A$1:$A$18046,AH!$P$7):INDEX('AH History'!$A$1:$A$18046,AH!$P$7+AH!$P$8-1),0),0),0)</ns0:f>
        <ns0:v/>
      </ns0:c>
      <ns0:c r="I1635">
        <ns0:f>IF($H1635=0,0,IFERROR(IF(AND(ABS($C1635-INDEX('AH History'!$B$1:$B$18046,$H1635))&lt;=MAX(0.005,ABS(INDEX('AH History'!$B$1:$B$18046,$H1635))*0.00005),ABS($D1635-INDEX('AH History'!$C$1:$C$18046,$H1635))&lt;=MAX(0.005,ABS(INDEX('AH History'!$C$1:$C$18046,$H1635))*0.00005),ABS($E1635-INDEX('AH History'!$D$1:$D$18046,$H1635))&lt;=0.00005,$F1635=INDEX('AH History'!$E$1:$E$18046,$H1635),$G1635=INDEX('AH History'!$F$1:$F$18046,$H1635)),1,-1),-1))</ns0:f>
        <ns0:v/>
      </ns0:c>
    </ns0:row>
    <ns0:row r="1636">
      <ns0:c r="A1636" s="215">
        <ns0:f>IF(OR(AH!$P$3=0,1631+1&gt;AH!$P$11,AND(AH!$E$4&lt;&gt;"Stored",AH!$P$10&lt;&gt;1)),"",IFERROR(IF(AND(AH!$P$21=1,1631+1=AH!$P$11),TODAY(),IF(AH!$P$10=1,INDEX('Live History'!$A$5:$A$3004,AH!$P$13+1631),INDEX('AH History'!$A$1:$A$18046,AH!$P$7+1631))),""))</ns0:f>
        <ns0:v/>
      </ns0:c>
      <ns0:c r="B1636" s="219">
        <ns0:f>IFERROR(IF(AND(AH!$P$9&lt;&gt;1,$C1636&gt;0,$D1636&gt;0,$E1636&gt;0,$F1636&gt;0,$G1636&gt;0,$F1636&lt;=$A1636,$G1636&lt;=$A1636,$A1636-$F1636&lt;=10,$A1636-$G1636&lt;=5),$D1636*$E1636/$C1636-1,NA()),NA())</ns0:f>
        <ns0:v/>
      </ns0:c>
      <ns0:c r="C1636">
        <ns0:f>IFERROR(IF(ISNUMBER($A1636),IF(AND(AH!$P$10=1,AH!$P$12=1,$A1636=TODAY()),AH!$P$19,IF(AH!$P$10=1,INDEX('Live History'!$B$5:$B$3004,AH!$P$13+1631),INDEX('AH History'!$B$1:$B$18046,AH!$P$7+1631))),NA()),NA())</ns0:f>
        <ns0:v/>
      </ns0:c>
      <ns0:c r="D1636">
        <ns0:f>IFERROR(IF(ISNUMBER($A1636),IF(AND(AH!$P$10=1,AH!$P$12=1,$A1636=TODAY()),AH!$P$18,IF(AH!$P$10=1,INDEX('Live History'!$E$5:$E$3004,MATCH($A1636,'Live History'!$D$5:$D$3004,1)),INDEX('AH History'!$C$1:$C$18046,AH!$P$7+1631))),NA()),NA())</ns0:f>
        <ns0:v/>
      </ns0:c>
      <ns0:c r="E1636">
        <ns0:f>IFERROR(IF(ISNUMBER($A1636),IF(AND(AH!$P$10=1,AH!$P$12=1,$A1636=TODAY()),AH!$P$20,IF(AH!$P$10=1,INDEX('Live History'!$H$5:$H$3004,MATCH($A1636,'Live History'!$G$5:$G$3004,1)),INDEX('AH History'!$D$1:$D$18046,AH!$P$7+1631))),NA()),NA())</ns0:f>
        <ns0:v/>
      </ns0:c>
      <ns0:c r="F1636">
        <ns0:f>IFERROR(IF(ISNUMBER($A1636),IF(AND(AH!$P$10=1,AH!$P$12=1,$A1636=TODAY()),IF(AND(AH!$P$10=1,AH!$P$12=1,$A1636=TODAY()),TODAY(),NA()),IF(AH!$P$10=1,INDEX('Live History'!$D$5:$D$3004,MATCH($A1636,'Live History'!$D$5:$D$3004,1)),INDEX('AH History'!$E$1:$E$18046,AH!$P$7+1631))),NA()),NA())</ns0:f>
        <ns0:v/>
      </ns0:c>
      <ns0:c r="G1636">
        <ns0:f>IFERROR(IF(ISNUMBER($A1636),IF(AND(AH!$P$10=1,AH!$P$12=1,$A1636=TODAY()),IF(AND(AH!$P$10=1,AH!$P$12=1,$A1636=TODAY()),TODAY(),NA()),IF(AH!$P$10=1,INDEX('Live History'!$G$5:$G$3004,MATCH($A1636,'Live History'!$G$5:$G$3004,1)),INDEX('AH History'!$F$1:$F$18046,AH!$P$7+1631))),NA()),NA())</ns0:f>
        <ns0:v/>
      </ns0:c>
      <ns0:c r="H1636">
        <ns0:f>IFERROR(IF(AND(AH!$E$4="Bloomberg",AH!$P$10=1,ISNUMBER($A1636),$A1636&lt;=AH!$P$17),AH!$P$7-1+MATCH($A1636,INDEX('AH History'!$A$1:$A$18046,AH!$P$7):INDEX('AH History'!$A$1:$A$18046,AH!$P$7+AH!$P$8-1),0),0),0)</ns0:f>
        <ns0:v/>
      </ns0:c>
      <ns0:c r="I1636">
        <ns0:f>IF($H1636=0,0,IFERROR(IF(AND(ABS($C1636-INDEX('AH History'!$B$1:$B$18046,$H1636))&lt;=MAX(0.005,ABS(INDEX('AH History'!$B$1:$B$18046,$H1636))*0.00005),ABS($D1636-INDEX('AH History'!$C$1:$C$18046,$H1636))&lt;=MAX(0.005,ABS(INDEX('AH History'!$C$1:$C$18046,$H1636))*0.00005),ABS($E1636-INDEX('AH History'!$D$1:$D$18046,$H1636))&lt;=0.00005,$F1636=INDEX('AH History'!$E$1:$E$18046,$H1636),$G1636=INDEX('AH History'!$F$1:$F$18046,$H1636)),1,-1),-1))</ns0:f>
        <ns0:v/>
      </ns0:c>
    </ns0:row>
    <ns0:row r="1637">
      <ns0:c r="A1637" s="215">
        <ns0:f>IF(OR(AH!$P$3=0,1632+1&gt;AH!$P$11,AND(AH!$E$4&lt;&gt;"Stored",AH!$P$10&lt;&gt;1)),"",IFERROR(IF(AND(AH!$P$21=1,1632+1=AH!$P$11),TODAY(),IF(AH!$P$10=1,INDEX('Live History'!$A$5:$A$3004,AH!$P$13+1632),INDEX('AH History'!$A$1:$A$18046,AH!$P$7+1632))),""))</ns0:f>
        <ns0:v/>
      </ns0:c>
      <ns0:c r="B1637" s="219">
        <ns0:f>IFERROR(IF(AND(AH!$P$9&lt;&gt;1,$C1637&gt;0,$D1637&gt;0,$E1637&gt;0,$F1637&gt;0,$G1637&gt;0,$F1637&lt;=$A1637,$G1637&lt;=$A1637,$A1637-$F1637&lt;=10,$A1637-$G1637&lt;=5),$D1637*$E1637/$C1637-1,NA()),NA())</ns0:f>
        <ns0:v/>
      </ns0:c>
      <ns0:c r="C1637">
        <ns0:f>IFERROR(IF(ISNUMBER($A1637),IF(AND(AH!$P$10=1,AH!$P$12=1,$A1637=TODAY()),AH!$P$19,IF(AH!$P$10=1,INDEX('Live History'!$B$5:$B$3004,AH!$P$13+1632),INDEX('AH History'!$B$1:$B$18046,AH!$P$7+1632))),NA()),NA())</ns0:f>
        <ns0:v/>
      </ns0:c>
      <ns0:c r="D1637">
        <ns0:f>IFERROR(IF(ISNUMBER($A1637),IF(AND(AH!$P$10=1,AH!$P$12=1,$A1637=TODAY()),AH!$P$18,IF(AH!$P$10=1,INDEX('Live History'!$E$5:$E$3004,MATCH($A1637,'Live History'!$D$5:$D$3004,1)),INDEX('AH History'!$C$1:$C$18046,AH!$P$7+1632))),NA()),NA())</ns0:f>
        <ns0:v/>
      </ns0:c>
      <ns0:c r="E1637">
        <ns0:f>IFERROR(IF(ISNUMBER($A1637),IF(AND(AH!$P$10=1,AH!$P$12=1,$A1637=TODAY()),AH!$P$20,IF(AH!$P$10=1,INDEX('Live History'!$H$5:$H$3004,MATCH($A1637,'Live History'!$G$5:$G$3004,1)),INDEX('AH History'!$D$1:$D$18046,AH!$P$7+1632))),NA()),NA())</ns0:f>
        <ns0:v/>
      </ns0:c>
      <ns0:c r="F1637">
        <ns0:f>IFERROR(IF(ISNUMBER($A1637),IF(AND(AH!$P$10=1,AH!$P$12=1,$A1637=TODAY()),IF(AND(AH!$P$10=1,AH!$P$12=1,$A1637=TODAY()),TODAY(),NA()),IF(AH!$P$10=1,INDEX('Live History'!$D$5:$D$3004,MATCH($A1637,'Live History'!$D$5:$D$3004,1)),INDEX('AH History'!$E$1:$E$18046,AH!$P$7+1632))),NA()),NA())</ns0:f>
        <ns0:v/>
      </ns0:c>
      <ns0:c r="G1637">
        <ns0:f>IFERROR(IF(ISNUMBER($A1637),IF(AND(AH!$P$10=1,AH!$P$12=1,$A1637=TODAY()),IF(AND(AH!$P$10=1,AH!$P$12=1,$A1637=TODAY()),TODAY(),NA()),IF(AH!$P$10=1,INDEX('Live History'!$G$5:$G$3004,MATCH($A1637,'Live History'!$G$5:$G$3004,1)),INDEX('AH History'!$F$1:$F$18046,AH!$P$7+1632))),NA()),NA())</ns0:f>
        <ns0:v/>
      </ns0:c>
      <ns0:c r="H1637">
        <ns0:f>IFERROR(IF(AND(AH!$E$4="Bloomberg",AH!$P$10=1,ISNUMBER($A1637),$A1637&lt;=AH!$P$17),AH!$P$7-1+MATCH($A1637,INDEX('AH History'!$A$1:$A$18046,AH!$P$7):INDEX('AH History'!$A$1:$A$18046,AH!$P$7+AH!$P$8-1),0),0),0)</ns0:f>
        <ns0:v/>
      </ns0:c>
      <ns0:c r="I1637">
        <ns0:f>IF($H1637=0,0,IFERROR(IF(AND(ABS($C1637-INDEX('AH History'!$B$1:$B$18046,$H1637))&lt;=MAX(0.005,ABS(INDEX('AH History'!$B$1:$B$18046,$H1637))*0.00005),ABS($D1637-INDEX('AH History'!$C$1:$C$18046,$H1637))&lt;=MAX(0.005,ABS(INDEX('AH History'!$C$1:$C$18046,$H1637))*0.00005),ABS($E1637-INDEX('AH History'!$D$1:$D$18046,$H1637))&lt;=0.00005,$F1637=INDEX('AH History'!$E$1:$E$18046,$H1637),$G1637=INDEX('AH History'!$F$1:$F$18046,$H1637)),1,-1),-1))</ns0:f>
        <ns0:v/>
      </ns0:c>
    </ns0:row>
    <ns0:row r="1638">
      <ns0:c r="A1638" s="215">
        <ns0:f>IF(OR(AH!$P$3=0,1633+1&gt;AH!$P$11,AND(AH!$E$4&lt;&gt;"Stored",AH!$P$10&lt;&gt;1)),"",IFERROR(IF(AND(AH!$P$21=1,1633+1=AH!$P$11),TODAY(),IF(AH!$P$10=1,INDEX('Live History'!$A$5:$A$3004,AH!$P$13+1633),INDEX('AH History'!$A$1:$A$18046,AH!$P$7+1633))),""))</ns0:f>
        <ns0:v/>
      </ns0:c>
      <ns0:c r="B1638" s="219">
        <ns0:f>IFERROR(IF(AND(AH!$P$9&lt;&gt;1,$C1638&gt;0,$D1638&gt;0,$E1638&gt;0,$F1638&gt;0,$G1638&gt;0,$F1638&lt;=$A1638,$G1638&lt;=$A1638,$A1638-$F1638&lt;=10,$A1638-$G1638&lt;=5),$D1638*$E1638/$C1638-1,NA()),NA())</ns0:f>
        <ns0:v/>
      </ns0:c>
      <ns0:c r="C1638">
        <ns0:f>IFERROR(IF(ISNUMBER($A1638),IF(AND(AH!$P$10=1,AH!$P$12=1,$A1638=TODAY()),AH!$P$19,IF(AH!$P$10=1,INDEX('Live History'!$B$5:$B$3004,AH!$P$13+1633),INDEX('AH History'!$B$1:$B$18046,AH!$P$7+1633))),NA()),NA())</ns0:f>
        <ns0:v/>
      </ns0:c>
      <ns0:c r="D1638">
        <ns0:f>IFERROR(IF(ISNUMBER($A1638),IF(AND(AH!$P$10=1,AH!$P$12=1,$A1638=TODAY()),AH!$P$18,IF(AH!$P$10=1,INDEX('Live History'!$E$5:$E$3004,MATCH($A1638,'Live History'!$D$5:$D$3004,1)),INDEX('AH History'!$C$1:$C$18046,AH!$P$7+1633))),NA()),NA())</ns0:f>
        <ns0:v/>
      </ns0:c>
      <ns0:c r="E1638">
        <ns0:f>IFERROR(IF(ISNUMBER($A1638),IF(AND(AH!$P$10=1,AH!$P$12=1,$A1638=TODAY()),AH!$P$20,IF(AH!$P$10=1,INDEX('Live History'!$H$5:$H$3004,MATCH($A1638,'Live History'!$G$5:$G$3004,1)),INDEX('AH History'!$D$1:$D$18046,AH!$P$7+1633))),NA()),NA())</ns0:f>
        <ns0:v/>
      </ns0:c>
      <ns0:c r="F1638">
        <ns0:f>IFERROR(IF(ISNUMBER($A1638),IF(AND(AH!$P$10=1,AH!$P$12=1,$A1638=TODAY()),IF(AND(AH!$P$10=1,AH!$P$12=1,$A1638=TODAY()),TODAY(),NA()),IF(AH!$P$10=1,INDEX('Live History'!$D$5:$D$3004,MATCH($A1638,'Live History'!$D$5:$D$3004,1)),INDEX('AH History'!$E$1:$E$18046,AH!$P$7+1633))),NA()),NA())</ns0:f>
        <ns0:v/>
      </ns0:c>
      <ns0:c r="G1638">
        <ns0:f>IFERROR(IF(ISNUMBER($A1638),IF(AND(AH!$P$10=1,AH!$P$12=1,$A1638=TODAY()),IF(AND(AH!$P$10=1,AH!$P$12=1,$A1638=TODAY()),TODAY(),NA()),IF(AH!$P$10=1,INDEX('Live History'!$G$5:$G$3004,MATCH($A1638,'Live History'!$G$5:$G$3004,1)),INDEX('AH History'!$F$1:$F$18046,AH!$P$7+1633))),NA()),NA())</ns0:f>
        <ns0:v/>
      </ns0:c>
      <ns0:c r="H1638">
        <ns0:f>IFERROR(IF(AND(AH!$E$4="Bloomberg",AH!$P$10=1,ISNUMBER($A1638),$A1638&lt;=AH!$P$17),AH!$P$7-1+MATCH($A1638,INDEX('AH History'!$A$1:$A$18046,AH!$P$7):INDEX('AH History'!$A$1:$A$18046,AH!$P$7+AH!$P$8-1),0),0),0)</ns0:f>
        <ns0:v/>
      </ns0:c>
      <ns0:c r="I1638">
        <ns0:f>IF($H1638=0,0,IFERROR(IF(AND(ABS($C1638-INDEX('AH History'!$B$1:$B$18046,$H1638))&lt;=MAX(0.005,ABS(INDEX('AH History'!$B$1:$B$18046,$H1638))*0.00005),ABS($D1638-INDEX('AH History'!$C$1:$C$18046,$H1638))&lt;=MAX(0.005,ABS(INDEX('AH History'!$C$1:$C$18046,$H1638))*0.00005),ABS($E1638-INDEX('AH History'!$D$1:$D$18046,$H1638))&lt;=0.00005,$F1638=INDEX('AH History'!$E$1:$E$18046,$H1638),$G1638=INDEX('AH History'!$F$1:$F$18046,$H1638)),1,-1),-1))</ns0:f>
        <ns0:v/>
      </ns0:c>
    </ns0:row>
    <ns0:row r="1639">
      <ns0:c r="A1639" s="215">
        <ns0:f>IF(OR(AH!$P$3=0,1634+1&gt;AH!$P$11,AND(AH!$E$4&lt;&gt;"Stored",AH!$P$10&lt;&gt;1)),"",IFERROR(IF(AND(AH!$P$21=1,1634+1=AH!$P$11),TODAY(),IF(AH!$P$10=1,INDEX('Live History'!$A$5:$A$3004,AH!$P$13+1634),INDEX('AH History'!$A$1:$A$18046,AH!$P$7+1634))),""))</ns0:f>
        <ns0:v/>
      </ns0:c>
      <ns0:c r="B1639" s="219">
        <ns0:f>IFERROR(IF(AND(AH!$P$9&lt;&gt;1,$C1639&gt;0,$D1639&gt;0,$E1639&gt;0,$F1639&gt;0,$G1639&gt;0,$F1639&lt;=$A1639,$G1639&lt;=$A1639,$A1639-$F1639&lt;=10,$A1639-$G1639&lt;=5),$D1639*$E1639/$C1639-1,NA()),NA())</ns0:f>
        <ns0:v/>
      </ns0:c>
      <ns0:c r="C1639">
        <ns0:f>IFERROR(IF(ISNUMBER($A1639),IF(AND(AH!$P$10=1,AH!$P$12=1,$A1639=TODAY()),AH!$P$19,IF(AH!$P$10=1,INDEX('Live History'!$B$5:$B$3004,AH!$P$13+1634),INDEX('AH History'!$B$1:$B$18046,AH!$P$7+1634))),NA()),NA())</ns0:f>
        <ns0:v/>
      </ns0:c>
      <ns0:c r="D1639">
        <ns0:f>IFERROR(IF(ISNUMBER($A1639),IF(AND(AH!$P$10=1,AH!$P$12=1,$A1639=TODAY()),AH!$P$18,IF(AH!$P$10=1,INDEX('Live History'!$E$5:$E$3004,MATCH($A1639,'Live History'!$D$5:$D$3004,1)),INDEX('AH History'!$C$1:$C$18046,AH!$P$7+1634))),NA()),NA())</ns0:f>
        <ns0:v/>
      </ns0:c>
      <ns0:c r="E1639">
        <ns0:f>IFERROR(IF(ISNUMBER($A1639),IF(AND(AH!$P$10=1,AH!$P$12=1,$A1639=TODAY()),AH!$P$20,IF(AH!$P$10=1,INDEX('Live History'!$H$5:$H$3004,MATCH($A1639,'Live History'!$G$5:$G$3004,1)),INDEX('AH History'!$D$1:$D$18046,AH!$P$7+1634))),NA()),NA())</ns0:f>
        <ns0:v/>
      </ns0:c>
      <ns0:c r="F1639">
        <ns0:f>IFERROR(IF(ISNUMBER($A1639),IF(AND(AH!$P$10=1,AH!$P$12=1,$A1639=TODAY()),IF(AND(AH!$P$10=1,AH!$P$12=1,$A1639=TODAY()),TODAY(),NA()),IF(AH!$P$10=1,INDEX('Live History'!$D$5:$D$3004,MATCH($A1639,'Live History'!$D$5:$D$3004,1)),INDEX('AH History'!$E$1:$E$18046,AH!$P$7+1634))),NA()),NA())</ns0:f>
        <ns0:v/>
      </ns0:c>
      <ns0:c r="G1639">
        <ns0:f>IFERROR(IF(ISNUMBER($A1639),IF(AND(AH!$P$10=1,AH!$P$12=1,$A1639=TODAY()),IF(AND(AH!$P$10=1,AH!$P$12=1,$A1639=TODAY()),TODAY(),NA()),IF(AH!$P$10=1,INDEX('Live History'!$G$5:$G$3004,MATCH($A1639,'Live History'!$G$5:$G$3004,1)),INDEX('AH History'!$F$1:$F$18046,AH!$P$7+1634))),NA()),NA())</ns0:f>
        <ns0:v/>
      </ns0:c>
      <ns0:c r="H1639">
        <ns0:f>IFERROR(IF(AND(AH!$E$4="Bloomberg",AH!$P$10=1,ISNUMBER($A1639),$A1639&lt;=AH!$P$17),AH!$P$7-1+MATCH($A1639,INDEX('AH History'!$A$1:$A$18046,AH!$P$7):INDEX('AH History'!$A$1:$A$18046,AH!$P$7+AH!$P$8-1),0),0),0)</ns0:f>
        <ns0:v/>
      </ns0:c>
      <ns0:c r="I1639">
        <ns0:f>IF($H1639=0,0,IFERROR(IF(AND(ABS($C1639-INDEX('AH History'!$B$1:$B$18046,$H1639))&lt;=MAX(0.005,ABS(INDEX('AH History'!$B$1:$B$18046,$H1639))*0.00005),ABS($D1639-INDEX('AH History'!$C$1:$C$18046,$H1639))&lt;=MAX(0.005,ABS(INDEX('AH History'!$C$1:$C$18046,$H1639))*0.00005),ABS($E1639-INDEX('AH History'!$D$1:$D$18046,$H1639))&lt;=0.00005,$F1639=INDEX('AH History'!$E$1:$E$18046,$H1639),$G1639=INDEX('AH History'!$F$1:$F$18046,$H1639)),1,-1),-1))</ns0:f>
        <ns0:v/>
      </ns0:c>
    </ns0:row>
    <ns0:row r="1640">
      <ns0:c r="A1640" s="215">
        <ns0:f>IF(OR(AH!$P$3=0,1635+1&gt;AH!$P$11,AND(AH!$E$4&lt;&gt;"Stored",AH!$P$10&lt;&gt;1)),"",IFERROR(IF(AND(AH!$P$21=1,1635+1=AH!$P$11),TODAY(),IF(AH!$P$10=1,INDEX('Live History'!$A$5:$A$3004,AH!$P$13+1635),INDEX('AH History'!$A$1:$A$18046,AH!$P$7+1635))),""))</ns0:f>
        <ns0:v/>
      </ns0:c>
      <ns0:c r="B1640" s="219">
        <ns0:f>IFERROR(IF(AND(AH!$P$9&lt;&gt;1,$C1640&gt;0,$D1640&gt;0,$E1640&gt;0,$F1640&gt;0,$G1640&gt;0,$F1640&lt;=$A1640,$G1640&lt;=$A1640,$A1640-$F1640&lt;=10,$A1640-$G1640&lt;=5),$D1640*$E1640/$C1640-1,NA()),NA())</ns0:f>
        <ns0:v/>
      </ns0:c>
      <ns0:c r="C1640">
        <ns0:f>IFERROR(IF(ISNUMBER($A1640),IF(AND(AH!$P$10=1,AH!$P$12=1,$A1640=TODAY()),AH!$P$19,IF(AH!$P$10=1,INDEX('Live History'!$B$5:$B$3004,AH!$P$13+1635),INDEX('AH History'!$B$1:$B$18046,AH!$P$7+1635))),NA()),NA())</ns0:f>
        <ns0:v/>
      </ns0:c>
      <ns0:c r="D1640">
        <ns0:f>IFERROR(IF(ISNUMBER($A1640),IF(AND(AH!$P$10=1,AH!$P$12=1,$A1640=TODAY()),AH!$P$18,IF(AH!$P$10=1,INDEX('Live History'!$E$5:$E$3004,MATCH($A1640,'Live History'!$D$5:$D$3004,1)),INDEX('AH History'!$C$1:$C$18046,AH!$P$7+1635))),NA()),NA())</ns0:f>
        <ns0:v/>
      </ns0:c>
      <ns0:c r="E1640">
        <ns0:f>IFERROR(IF(ISNUMBER($A1640),IF(AND(AH!$P$10=1,AH!$P$12=1,$A1640=TODAY()),AH!$P$20,IF(AH!$P$10=1,INDEX('Live History'!$H$5:$H$3004,MATCH($A1640,'Live History'!$G$5:$G$3004,1)),INDEX('AH History'!$D$1:$D$18046,AH!$P$7+1635))),NA()),NA())</ns0:f>
        <ns0:v/>
      </ns0:c>
      <ns0:c r="F1640">
        <ns0:f>IFERROR(IF(ISNUMBER($A1640),IF(AND(AH!$P$10=1,AH!$P$12=1,$A1640=TODAY()),IF(AND(AH!$P$10=1,AH!$P$12=1,$A1640=TODAY()),TODAY(),NA()),IF(AH!$P$10=1,INDEX('Live History'!$D$5:$D$3004,MATCH($A1640,'Live History'!$D$5:$D$3004,1)),INDEX('AH History'!$E$1:$E$18046,AH!$P$7+1635))),NA()),NA())</ns0:f>
        <ns0:v/>
      </ns0:c>
      <ns0:c r="G1640">
        <ns0:f>IFERROR(IF(ISNUMBER($A1640),IF(AND(AH!$P$10=1,AH!$P$12=1,$A1640=TODAY()),IF(AND(AH!$P$10=1,AH!$P$12=1,$A1640=TODAY()),TODAY(),NA()),IF(AH!$P$10=1,INDEX('Live History'!$G$5:$G$3004,MATCH($A1640,'Live History'!$G$5:$G$3004,1)),INDEX('AH History'!$F$1:$F$18046,AH!$P$7+1635))),NA()),NA())</ns0:f>
        <ns0:v/>
      </ns0:c>
      <ns0:c r="H1640">
        <ns0:f>IFERROR(IF(AND(AH!$E$4="Bloomberg",AH!$P$10=1,ISNUMBER($A1640),$A1640&lt;=AH!$P$17),AH!$P$7-1+MATCH($A1640,INDEX('AH History'!$A$1:$A$18046,AH!$P$7):INDEX('AH History'!$A$1:$A$18046,AH!$P$7+AH!$P$8-1),0),0),0)</ns0:f>
        <ns0:v/>
      </ns0:c>
      <ns0:c r="I1640">
        <ns0:f>IF($H1640=0,0,IFERROR(IF(AND(ABS($C1640-INDEX('AH History'!$B$1:$B$18046,$H1640))&lt;=MAX(0.005,ABS(INDEX('AH History'!$B$1:$B$18046,$H1640))*0.00005),ABS($D1640-INDEX('AH History'!$C$1:$C$18046,$H1640))&lt;=MAX(0.005,ABS(INDEX('AH History'!$C$1:$C$18046,$H1640))*0.00005),ABS($E1640-INDEX('AH History'!$D$1:$D$18046,$H1640))&lt;=0.00005,$F1640=INDEX('AH History'!$E$1:$E$18046,$H1640),$G1640=INDEX('AH History'!$F$1:$F$18046,$H1640)),1,-1),-1))</ns0:f>
        <ns0:v/>
      </ns0:c>
    </ns0:row>
    <ns0:row r="1641">
      <ns0:c r="A1641" s="215">
        <ns0:f>IF(OR(AH!$P$3=0,1636+1&gt;AH!$P$11,AND(AH!$E$4&lt;&gt;"Stored",AH!$P$10&lt;&gt;1)),"",IFERROR(IF(AND(AH!$P$21=1,1636+1=AH!$P$11),TODAY(),IF(AH!$P$10=1,INDEX('Live History'!$A$5:$A$3004,AH!$P$13+1636),INDEX('AH History'!$A$1:$A$18046,AH!$P$7+1636))),""))</ns0:f>
        <ns0:v/>
      </ns0:c>
      <ns0:c r="B1641" s="219">
        <ns0:f>IFERROR(IF(AND(AH!$P$9&lt;&gt;1,$C1641&gt;0,$D1641&gt;0,$E1641&gt;0,$F1641&gt;0,$G1641&gt;0,$F1641&lt;=$A1641,$G1641&lt;=$A1641,$A1641-$F1641&lt;=10,$A1641-$G1641&lt;=5),$D1641*$E1641/$C1641-1,NA()),NA())</ns0:f>
        <ns0:v/>
      </ns0:c>
      <ns0:c r="C1641">
        <ns0:f>IFERROR(IF(ISNUMBER($A1641),IF(AND(AH!$P$10=1,AH!$P$12=1,$A1641=TODAY()),AH!$P$19,IF(AH!$P$10=1,INDEX('Live History'!$B$5:$B$3004,AH!$P$13+1636),INDEX('AH History'!$B$1:$B$18046,AH!$P$7+1636))),NA()),NA())</ns0:f>
        <ns0:v/>
      </ns0:c>
      <ns0:c r="D1641">
        <ns0:f>IFERROR(IF(ISNUMBER($A1641),IF(AND(AH!$P$10=1,AH!$P$12=1,$A1641=TODAY()),AH!$P$18,IF(AH!$P$10=1,INDEX('Live History'!$E$5:$E$3004,MATCH($A1641,'Live History'!$D$5:$D$3004,1)),INDEX('AH History'!$C$1:$C$18046,AH!$P$7+1636))),NA()),NA())</ns0:f>
        <ns0:v/>
      </ns0:c>
      <ns0:c r="E1641">
        <ns0:f>IFERROR(IF(ISNUMBER($A1641),IF(AND(AH!$P$10=1,AH!$P$12=1,$A1641=TODAY()),AH!$P$20,IF(AH!$P$10=1,INDEX('Live History'!$H$5:$H$3004,MATCH($A1641,'Live History'!$G$5:$G$3004,1)),INDEX('AH History'!$D$1:$D$18046,AH!$P$7+1636))),NA()),NA())</ns0:f>
        <ns0:v/>
      </ns0:c>
      <ns0:c r="F1641">
        <ns0:f>IFERROR(IF(ISNUMBER($A1641),IF(AND(AH!$P$10=1,AH!$P$12=1,$A1641=TODAY()),IF(AND(AH!$P$10=1,AH!$P$12=1,$A1641=TODAY()),TODAY(),NA()),IF(AH!$P$10=1,INDEX('Live History'!$D$5:$D$3004,MATCH($A1641,'Live History'!$D$5:$D$3004,1)),INDEX('AH History'!$E$1:$E$18046,AH!$P$7+1636))),NA()),NA())</ns0:f>
        <ns0:v/>
      </ns0:c>
      <ns0:c r="G1641">
        <ns0:f>IFERROR(IF(ISNUMBER($A1641),IF(AND(AH!$P$10=1,AH!$P$12=1,$A1641=TODAY()),IF(AND(AH!$P$10=1,AH!$P$12=1,$A1641=TODAY()),TODAY(),NA()),IF(AH!$P$10=1,INDEX('Live History'!$G$5:$G$3004,MATCH($A1641,'Live History'!$G$5:$G$3004,1)),INDEX('AH History'!$F$1:$F$18046,AH!$P$7+1636))),NA()),NA())</ns0:f>
        <ns0:v/>
      </ns0:c>
      <ns0:c r="H1641">
        <ns0:f>IFERROR(IF(AND(AH!$E$4="Bloomberg",AH!$P$10=1,ISNUMBER($A1641),$A1641&lt;=AH!$P$17),AH!$P$7-1+MATCH($A1641,INDEX('AH History'!$A$1:$A$18046,AH!$P$7):INDEX('AH History'!$A$1:$A$18046,AH!$P$7+AH!$P$8-1),0),0),0)</ns0:f>
        <ns0:v/>
      </ns0:c>
      <ns0:c r="I1641">
        <ns0:f>IF($H1641=0,0,IFERROR(IF(AND(ABS($C1641-INDEX('AH History'!$B$1:$B$18046,$H1641))&lt;=MAX(0.005,ABS(INDEX('AH History'!$B$1:$B$18046,$H1641))*0.00005),ABS($D1641-INDEX('AH History'!$C$1:$C$18046,$H1641))&lt;=MAX(0.005,ABS(INDEX('AH History'!$C$1:$C$18046,$H1641))*0.00005),ABS($E1641-INDEX('AH History'!$D$1:$D$18046,$H1641))&lt;=0.00005,$F1641=INDEX('AH History'!$E$1:$E$18046,$H1641),$G1641=INDEX('AH History'!$F$1:$F$18046,$H1641)),1,-1),-1))</ns0:f>
        <ns0:v/>
      </ns0:c>
    </ns0:row>
    <ns0:row r="1642">
      <ns0:c r="A1642" s="215">
        <ns0:f>IF(OR(AH!$P$3=0,1637+1&gt;AH!$P$11,AND(AH!$E$4&lt;&gt;"Stored",AH!$P$10&lt;&gt;1)),"",IFERROR(IF(AND(AH!$P$21=1,1637+1=AH!$P$11),TODAY(),IF(AH!$P$10=1,INDEX('Live History'!$A$5:$A$3004,AH!$P$13+1637),INDEX('AH History'!$A$1:$A$18046,AH!$P$7+1637))),""))</ns0:f>
        <ns0:v/>
      </ns0:c>
      <ns0:c r="B1642" s="219">
        <ns0:f>IFERROR(IF(AND(AH!$P$9&lt;&gt;1,$C1642&gt;0,$D1642&gt;0,$E1642&gt;0,$F1642&gt;0,$G1642&gt;0,$F1642&lt;=$A1642,$G1642&lt;=$A1642,$A1642-$F1642&lt;=10,$A1642-$G1642&lt;=5),$D1642*$E1642/$C1642-1,NA()),NA())</ns0:f>
        <ns0:v/>
      </ns0:c>
      <ns0:c r="C1642">
        <ns0:f>IFERROR(IF(ISNUMBER($A1642),IF(AND(AH!$P$10=1,AH!$P$12=1,$A1642=TODAY()),AH!$P$19,IF(AH!$P$10=1,INDEX('Live History'!$B$5:$B$3004,AH!$P$13+1637),INDEX('AH History'!$B$1:$B$18046,AH!$P$7+1637))),NA()),NA())</ns0:f>
        <ns0:v/>
      </ns0:c>
      <ns0:c r="D1642">
        <ns0:f>IFERROR(IF(ISNUMBER($A1642),IF(AND(AH!$P$10=1,AH!$P$12=1,$A1642=TODAY()),AH!$P$18,IF(AH!$P$10=1,INDEX('Live History'!$E$5:$E$3004,MATCH($A1642,'Live History'!$D$5:$D$3004,1)),INDEX('AH History'!$C$1:$C$18046,AH!$P$7+1637))),NA()),NA())</ns0:f>
        <ns0:v/>
      </ns0:c>
      <ns0:c r="E1642">
        <ns0:f>IFERROR(IF(ISNUMBER($A1642),IF(AND(AH!$P$10=1,AH!$P$12=1,$A1642=TODAY()),AH!$P$20,IF(AH!$P$10=1,INDEX('Live History'!$H$5:$H$3004,MATCH($A1642,'Live History'!$G$5:$G$3004,1)),INDEX('AH History'!$D$1:$D$18046,AH!$P$7+1637))),NA()),NA())</ns0:f>
        <ns0:v/>
      </ns0:c>
      <ns0:c r="F1642">
        <ns0:f>IFERROR(IF(ISNUMBER($A1642),IF(AND(AH!$P$10=1,AH!$P$12=1,$A1642=TODAY()),IF(AND(AH!$P$10=1,AH!$P$12=1,$A1642=TODAY()),TODAY(),NA()),IF(AH!$P$10=1,INDEX('Live History'!$D$5:$D$3004,MATCH($A1642,'Live History'!$D$5:$D$3004,1)),INDEX('AH History'!$E$1:$E$18046,AH!$P$7+1637))),NA()),NA())</ns0:f>
        <ns0:v/>
      </ns0:c>
      <ns0:c r="G1642">
        <ns0:f>IFERROR(IF(ISNUMBER($A1642),IF(AND(AH!$P$10=1,AH!$P$12=1,$A1642=TODAY()),IF(AND(AH!$P$10=1,AH!$P$12=1,$A1642=TODAY()),TODAY(),NA()),IF(AH!$P$10=1,INDEX('Live History'!$G$5:$G$3004,MATCH($A1642,'Live History'!$G$5:$G$3004,1)),INDEX('AH History'!$F$1:$F$18046,AH!$P$7+1637))),NA()),NA())</ns0:f>
        <ns0:v/>
      </ns0:c>
      <ns0:c r="H1642">
        <ns0:f>IFERROR(IF(AND(AH!$E$4="Bloomberg",AH!$P$10=1,ISNUMBER($A1642),$A1642&lt;=AH!$P$17),AH!$P$7-1+MATCH($A1642,INDEX('AH History'!$A$1:$A$18046,AH!$P$7):INDEX('AH History'!$A$1:$A$18046,AH!$P$7+AH!$P$8-1),0),0),0)</ns0:f>
        <ns0:v/>
      </ns0:c>
      <ns0:c r="I1642">
        <ns0:f>IF($H1642=0,0,IFERROR(IF(AND(ABS($C1642-INDEX('AH History'!$B$1:$B$18046,$H1642))&lt;=MAX(0.005,ABS(INDEX('AH History'!$B$1:$B$18046,$H1642))*0.00005),ABS($D1642-INDEX('AH History'!$C$1:$C$18046,$H1642))&lt;=MAX(0.005,ABS(INDEX('AH History'!$C$1:$C$18046,$H1642))*0.00005),ABS($E1642-INDEX('AH History'!$D$1:$D$18046,$H1642))&lt;=0.00005,$F1642=INDEX('AH History'!$E$1:$E$18046,$H1642),$G1642=INDEX('AH History'!$F$1:$F$18046,$H1642)),1,-1),-1))</ns0:f>
        <ns0:v/>
      </ns0:c>
    </ns0:row>
    <ns0:row r="1643">
      <ns0:c r="A1643" s="215">
        <ns0:f>IF(OR(AH!$P$3=0,1638+1&gt;AH!$P$11,AND(AH!$E$4&lt;&gt;"Stored",AH!$P$10&lt;&gt;1)),"",IFERROR(IF(AND(AH!$P$21=1,1638+1=AH!$P$11),TODAY(),IF(AH!$P$10=1,INDEX('Live History'!$A$5:$A$3004,AH!$P$13+1638),INDEX('AH History'!$A$1:$A$18046,AH!$P$7+1638))),""))</ns0:f>
        <ns0:v/>
      </ns0:c>
      <ns0:c r="B1643" s="219">
        <ns0:f>IFERROR(IF(AND(AH!$P$9&lt;&gt;1,$C1643&gt;0,$D1643&gt;0,$E1643&gt;0,$F1643&gt;0,$G1643&gt;0,$F1643&lt;=$A1643,$G1643&lt;=$A1643,$A1643-$F1643&lt;=10,$A1643-$G1643&lt;=5),$D1643*$E1643/$C1643-1,NA()),NA())</ns0:f>
        <ns0:v/>
      </ns0:c>
      <ns0:c r="C1643">
        <ns0:f>IFERROR(IF(ISNUMBER($A1643),IF(AND(AH!$P$10=1,AH!$P$12=1,$A1643=TODAY()),AH!$P$19,IF(AH!$P$10=1,INDEX('Live History'!$B$5:$B$3004,AH!$P$13+1638),INDEX('AH History'!$B$1:$B$18046,AH!$P$7+1638))),NA()),NA())</ns0:f>
        <ns0:v/>
      </ns0:c>
      <ns0:c r="D1643">
        <ns0:f>IFERROR(IF(ISNUMBER($A1643),IF(AND(AH!$P$10=1,AH!$P$12=1,$A1643=TODAY()),AH!$P$18,IF(AH!$P$10=1,INDEX('Live History'!$E$5:$E$3004,MATCH($A1643,'Live History'!$D$5:$D$3004,1)),INDEX('AH History'!$C$1:$C$18046,AH!$P$7+1638))),NA()),NA())</ns0:f>
        <ns0:v/>
      </ns0:c>
      <ns0:c r="E1643">
        <ns0:f>IFERROR(IF(ISNUMBER($A1643),IF(AND(AH!$P$10=1,AH!$P$12=1,$A1643=TODAY()),AH!$P$20,IF(AH!$P$10=1,INDEX('Live History'!$H$5:$H$3004,MATCH($A1643,'Live History'!$G$5:$G$3004,1)),INDEX('AH History'!$D$1:$D$18046,AH!$P$7+1638))),NA()),NA())</ns0:f>
        <ns0:v/>
      </ns0:c>
      <ns0:c r="F1643">
        <ns0:f>IFERROR(IF(ISNUMBER($A1643),IF(AND(AH!$P$10=1,AH!$P$12=1,$A1643=TODAY()),IF(AND(AH!$P$10=1,AH!$P$12=1,$A1643=TODAY()),TODAY(),NA()),IF(AH!$P$10=1,INDEX('Live History'!$D$5:$D$3004,MATCH($A1643,'Live History'!$D$5:$D$3004,1)),INDEX('AH History'!$E$1:$E$18046,AH!$P$7+1638))),NA()),NA())</ns0:f>
        <ns0:v/>
      </ns0:c>
      <ns0:c r="G1643">
        <ns0:f>IFERROR(IF(ISNUMBER($A1643),IF(AND(AH!$P$10=1,AH!$P$12=1,$A1643=TODAY()),IF(AND(AH!$P$10=1,AH!$P$12=1,$A1643=TODAY()),TODAY(),NA()),IF(AH!$P$10=1,INDEX('Live History'!$G$5:$G$3004,MATCH($A1643,'Live History'!$G$5:$G$3004,1)),INDEX('AH History'!$F$1:$F$18046,AH!$P$7+1638))),NA()),NA())</ns0:f>
        <ns0:v/>
      </ns0:c>
      <ns0:c r="H1643">
        <ns0:f>IFERROR(IF(AND(AH!$E$4="Bloomberg",AH!$P$10=1,ISNUMBER($A1643),$A1643&lt;=AH!$P$17),AH!$P$7-1+MATCH($A1643,INDEX('AH History'!$A$1:$A$18046,AH!$P$7):INDEX('AH History'!$A$1:$A$18046,AH!$P$7+AH!$P$8-1),0),0),0)</ns0:f>
        <ns0:v/>
      </ns0:c>
      <ns0:c r="I1643">
        <ns0:f>IF($H1643=0,0,IFERROR(IF(AND(ABS($C1643-INDEX('AH History'!$B$1:$B$18046,$H1643))&lt;=MAX(0.005,ABS(INDEX('AH History'!$B$1:$B$18046,$H1643))*0.00005),ABS($D1643-INDEX('AH History'!$C$1:$C$18046,$H1643))&lt;=MAX(0.005,ABS(INDEX('AH History'!$C$1:$C$18046,$H1643))*0.00005),ABS($E1643-INDEX('AH History'!$D$1:$D$18046,$H1643))&lt;=0.00005,$F1643=INDEX('AH History'!$E$1:$E$18046,$H1643),$G1643=INDEX('AH History'!$F$1:$F$18046,$H1643)),1,-1),-1))</ns0:f>
        <ns0:v/>
      </ns0:c>
    </ns0:row>
    <ns0:row r="1644">
      <ns0:c r="A1644" s="215">
        <ns0:f>IF(OR(AH!$P$3=0,1639+1&gt;AH!$P$11,AND(AH!$E$4&lt;&gt;"Stored",AH!$P$10&lt;&gt;1)),"",IFERROR(IF(AND(AH!$P$21=1,1639+1=AH!$P$11),TODAY(),IF(AH!$P$10=1,INDEX('Live History'!$A$5:$A$3004,AH!$P$13+1639),INDEX('AH History'!$A$1:$A$18046,AH!$P$7+1639))),""))</ns0:f>
        <ns0:v/>
      </ns0:c>
      <ns0:c r="B1644" s="219">
        <ns0:f>IFERROR(IF(AND(AH!$P$9&lt;&gt;1,$C1644&gt;0,$D1644&gt;0,$E1644&gt;0,$F1644&gt;0,$G1644&gt;0,$F1644&lt;=$A1644,$G1644&lt;=$A1644,$A1644-$F1644&lt;=10,$A1644-$G1644&lt;=5),$D1644*$E1644/$C1644-1,NA()),NA())</ns0:f>
        <ns0:v/>
      </ns0:c>
      <ns0:c r="C1644">
        <ns0:f>IFERROR(IF(ISNUMBER($A1644),IF(AND(AH!$P$10=1,AH!$P$12=1,$A1644=TODAY()),AH!$P$19,IF(AH!$P$10=1,INDEX('Live History'!$B$5:$B$3004,AH!$P$13+1639),INDEX('AH History'!$B$1:$B$18046,AH!$P$7+1639))),NA()),NA())</ns0:f>
        <ns0:v/>
      </ns0:c>
      <ns0:c r="D1644">
        <ns0:f>IFERROR(IF(ISNUMBER($A1644),IF(AND(AH!$P$10=1,AH!$P$12=1,$A1644=TODAY()),AH!$P$18,IF(AH!$P$10=1,INDEX('Live History'!$E$5:$E$3004,MATCH($A1644,'Live History'!$D$5:$D$3004,1)),INDEX('AH History'!$C$1:$C$18046,AH!$P$7+1639))),NA()),NA())</ns0:f>
        <ns0:v/>
      </ns0:c>
      <ns0:c r="E1644">
        <ns0:f>IFERROR(IF(ISNUMBER($A1644),IF(AND(AH!$P$10=1,AH!$P$12=1,$A1644=TODAY()),AH!$P$20,IF(AH!$P$10=1,INDEX('Live History'!$H$5:$H$3004,MATCH($A1644,'Live History'!$G$5:$G$3004,1)),INDEX('AH History'!$D$1:$D$18046,AH!$P$7+1639))),NA()),NA())</ns0:f>
        <ns0:v/>
      </ns0:c>
      <ns0:c r="F1644">
        <ns0:f>IFERROR(IF(ISNUMBER($A1644),IF(AND(AH!$P$10=1,AH!$P$12=1,$A1644=TODAY()),IF(AND(AH!$P$10=1,AH!$P$12=1,$A1644=TODAY()),TODAY(),NA()),IF(AH!$P$10=1,INDEX('Live History'!$D$5:$D$3004,MATCH($A1644,'Live History'!$D$5:$D$3004,1)),INDEX('AH History'!$E$1:$E$18046,AH!$P$7+1639))),NA()),NA())</ns0:f>
        <ns0:v/>
      </ns0:c>
      <ns0:c r="G1644">
        <ns0:f>IFERROR(IF(ISNUMBER($A1644),IF(AND(AH!$P$10=1,AH!$P$12=1,$A1644=TODAY()),IF(AND(AH!$P$10=1,AH!$P$12=1,$A1644=TODAY()),TODAY(),NA()),IF(AH!$P$10=1,INDEX('Live History'!$G$5:$G$3004,MATCH($A1644,'Live History'!$G$5:$G$3004,1)),INDEX('AH History'!$F$1:$F$18046,AH!$P$7+1639))),NA()),NA())</ns0:f>
        <ns0:v/>
      </ns0:c>
      <ns0:c r="H1644">
        <ns0:f>IFERROR(IF(AND(AH!$E$4="Bloomberg",AH!$P$10=1,ISNUMBER($A1644),$A1644&lt;=AH!$P$17),AH!$P$7-1+MATCH($A1644,INDEX('AH History'!$A$1:$A$18046,AH!$P$7):INDEX('AH History'!$A$1:$A$18046,AH!$P$7+AH!$P$8-1),0),0),0)</ns0:f>
        <ns0:v/>
      </ns0:c>
      <ns0:c r="I1644">
        <ns0:f>IF($H1644=0,0,IFERROR(IF(AND(ABS($C1644-INDEX('AH History'!$B$1:$B$18046,$H1644))&lt;=MAX(0.005,ABS(INDEX('AH History'!$B$1:$B$18046,$H1644))*0.00005),ABS($D1644-INDEX('AH History'!$C$1:$C$18046,$H1644))&lt;=MAX(0.005,ABS(INDEX('AH History'!$C$1:$C$18046,$H1644))*0.00005),ABS($E1644-INDEX('AH History'!$D$1:$D$18046,$H1644))&lt;=0.00005,$F1644=INDEX('AH History'!$E$1:$E$18046,$H1644),$G1644=INDEX('AH History'!$F$1:$F$18046,$H1644)),1,-1),-1))</ns0:f>
        <ns0:v/>
      </ns0:c>
    </ns0:row>
    <ns0:row r="1645">
      <ns0:c r="A1645" s="215">
        <ns0:f>IF(OR(AH!$P$3=0,1640+1&gt;AH!$P$11,AND(AH!$E$4&lt;&gt;"Stored",AH!$P$10&lt;&gt;1)),"",IFERROR(IF(AND(AH!$P$21=1,1640+1=AH!$P$11),TODAY(),IF(AH!$P$10=1,INDEX('Live History'!$A$5:$A$3004,AH!$P$13+1640),INDEX('AH History'!$A$1:$A$18046,AH!$P$7+1640))),""))</ns0:f>
        <ns0:v/>
      </ns0:c>
      <ns0:c r="B1645" s="219">
        <ns0:f>IFERROR(IF(AND(AH!$P$9&lt;&gt;1,$C1645&gt;0,$D1645&gt;0,$E1645&gt;0,$F1645&gt;0,$G1645&gt;0,$F1645&lt;=$A1645,$G1645&lt;=$A1645,$A1645-$F1645&lt;=10,$A1645-$G1645&lt;=5),$D1645*$E1645/$C1645-1,NA()),NA())</ns0:f>
        <ns0:v/>
      </ns0:c>
      <ns0:c r="C1645">
        <ns0:f>IFERROR(IF(ISNUMBER($A1645),IF(AND(AH!$P$10=1,AH!$P$12=1,$A1645=TODAY()),AH!$P$19,IF(AH!$P$10=1,INDEX('Live History'!$B$5:$B$3004,AH!$P$13+1640),INDEX('AH History'!$B$1:$B$18046,AH!$P$7+1640))),NA()),NA())</ns0:f>
        <ns0:v/>
      </ns0:c>
      <ns0:c r="D1645">
        <ns0:f>IFERROR(IF(ISNUMBER($A1645),IF(AND(AH!$P$10=1,AH!$P$12=1,$A1645=TODAY()),AH!$P$18,IF(AH!$P$10=1,INDEX('Live History'!$E$5:$E$3004,MATCH($A1645,'Live History'!$D$5:$D$3004,1)),INDEX('AH History'!$C$1:$C$18046,AH!$P$7+1640))),NA()),NA())</ns0:f>
        <ns0:v/>
      </ns0:c>
      <ns0:c r="E1645">
        <ns0:f>IFERROR(IF(ISNUMBER($A1645),IF(AND(AH!$P$10=1,AH!$P$12=1,$A1645=TODAY()),AH!$P$20,IF(AH!$P$10=1,INDEX('Live History'!$H$5:$H$3004,MATCH($A1645,'Live History'!$G$5:$G$3004,1)),INDEX('AH History'!$D$1:$D$18046,AH!$P$7+1640))),NA()),NA())</ns0:f>
        <ns0:v/>
      </ns0:c>
      <ns0:c r="F1645">
        <ns0:f>IFERROR(IF(ISNUMBER($A1645),IF(AND(AH!$P$10=1,AH!$P$12=1,$A1645=TODAY()),IF(AND(AH!$P$10=1,AH!$P$12=1,$A1645=TODAY()),TODAY(),NA()),IF(AH!$P$10=1,INDEX('Live History'!$D$5:$D$3004,MATCH($A1645,'Live History'!$D$5:$D$3004,1)),INDEX('AH History'!$E$1:$E$18046,AH!$P$7+1640))),NA()),NA())</ns0:f>
        <ns0:v/>
      </ns0:c>
      <ns0:c r="G1645">
        <ns0:f>IFERROR(IF(ISNUMBER($A1645),IF(AND(AH!$P$10=1,AH!$P$12=1,$A1645=TODAY()),IF(AND(AH!$P$10=1,AH!$P$12=1,$A1645=TODAY()),TODAY(),NA()),IF(AH!$P$10=1,INDEX('Live History'!$G$5:$G$3004,MATCH($A1645,'Live History'!$G$5:$G$3004,1)),INDEX('AH History'!$F$1:$F$18046,AH!$P$7+1640))),NA()),NA())</ns0:f>
        <ns0:v/>
      </ns0:c>
      <ns0:c r="H1645">
        <ns0:f>IFERROR(IF(AND(AH!$E$4="Bloomberg",AH!$P$10=1,ISNUMBER($A1645),$A1645&lt;=AH!$P$17),AH!$P$7-1+MATCH($A1645,INDEX('AH History'!$A$1:$A$18046,AH!$P$7):INDEX('AH History'!$A$1:$A$18046,AH!$P$7+AH!$P$8-1),0),0),0)</ns0:f>
        <ns0:v/>
      </ns0:c>
      <ns0:c r="I1645">
        <ns0:f>IF($H1645=0,0,IFERROR(IF(AND(ABS($C1645-INDEX('AH History'!$B$1:$B$18046,$H1645))&lt;=MAX(0.005,ABS(INDEX('AH History'!$B$1:$B$18046,$H1645))*0.00005),ABS($D1645-INDEX('AH History'!$C$1:$C$18046,$H1645))&lt;=MAX(0.005,ABS(INDEX('AH History'!$C$1:$C$18046,$H1645))*0.00005),ABS($E1645-INDEX('AH History'!$D$1:$D$18046,$H1645))&lt;=0.00005,$F1645=INDEX('AH History'!$E$1:$E$18046,$H1645),$G1645=INDEX('AH History'!$F$1:$F$18046,$H1645)),1,-1),-1))</ns0:f>
        <ns0:v/>
      </ns0:c>
    </ns0:row>
    <ns0:row r="1646">
      <ns0:c r="A1646" s="215">
        <ns0:f>IF(OR(AH!$P$3=0,1641+1&gt;AH!$P$11,AND(AH!$E$4&lt;&gt;"Stored",AH!$P$10&lt;&gt;1)),"",IFERROR(IF(AND(AH!$P$21=1,1641+1=AH!$P$11),TODAY(),IF(AH!$P$10=1,INDEX('Live History'!$A$5:$A$3004,AH!$P$13+1641),INDEX('AH History'!$A$1:$A$18046,AH!$P$7+1641))),""))</ns0:f>
        <ns0:v/>
      </ns0:c>
      <ns0:c r="B1646" s="219">
        <ns0:f>IFERROR(IF(AND(AH!$P$9&lt;&gt;1,$C1646&gt;0,$D1646&gt;0,$E1646&gt;0,$F1646&gt;0,$G1646&gt;0,$F1646&lt;=$A1646,$G1646&lt;=$A1646,$A1646-$F1646&lt;=10,$A1646-$G1646&lt;=5),$D1646*$E1646/$C1646-1,NA()),NA())</ns0:f>
        <ns0:v/>
      </ns0:c>
      <ns0:c r="C1646">
        <ns0:f>IFERROR(IF(ISNUMBER($A1646),IF(AND(AH!$P$10=1,AH!$P$12=1,$A1646=TODAY()),AH!$P$19,IF(AH!$P$10=1,INDEX('Live History'!$B$5:$B$3004,AH!$P$13+1641),INDEX('AH History'!$B$1:$B$18046,AH!$P$7+1641))),NA()),NA())</ns0:f>
        <ns0:v/>
      </ns0:c>
      <ns0:c r="D1646">
        <ns0:f>IFERROR(IF(ISNUMBER($A1646),IF(AND(AH!$P$10=1,AH!$P$12=1,$A1646=TODAY()),AH!$P$18,IF(AH!$P$10=1,INDEX('Live History'!$E$5:$E$3004,MATCH($A1646,'Live History'!$D$5:$D$3004,1)),INDEX('AH History'!$C$1:$C$18046,AH!$P$7+1641))),NA()),NA())</ns0:f>
        <ns0:v/>
      </ns0:c>
      <ns0:c r="E1646">
        <ns0:f>IFERROR(IF(ISNUMBER($A1646),IF(AND(AH!$P$10=1,AH!$P$12=1,$A1646=TODAY()),AH!$P$20,IF(AH!$P$10=1,INDEX('Live History'!$H$5:$H$3004,MATCH($A1646,'Live History'!$G$5:$G$3004,1)),INDEX('AH History'!$D$1:$D$18046,AH!$P$7+1641))),NA()),NA())</ns0:f>
        <ns0:v/>
      </ns0:c>
      <ns0:c r="F1646">
        <ns0:f>IFERROR(IF(ISNUMBER($A1646),IF(AND(AH!$P$10=1,AH!$P$12=1,$A1646=TODAY()),IF(AND(AH!$P$10=1,AH!$P$12=1,$A1646=TODAY()),TODAY(),NA()),IF(AH!$P$10=1,INDEX('Live History'!$D$5:$D$3004,MATCH($A1646,'Live History'!$D$5:$D$3004,1)),INDEX('AH History'!$E$1:$E$18046,AH!$P$7+1641))),NA()),NA())</ns0:f>
        <ns0:v/>
      </ns0:c>
      <ns0:c r="G1646">
        <ns0:f>IFERROR(IF(ISNUMBER($A1646),IF(AND(AH!$P$10=1,AH!$P$12=1,$A1646=TODAY()),IF(AND(AH!$P$10=1,AH!$P$12=1,$A1646=TODAY()),TODAY(),NA()),IF(AH!$P$10=1,INDEX('Live History'!$G$5:$G$3004,MATCH($A1646,'Live History'!$G$5:$G$3004,1)),INDEX('AH History'!$F$1:$F$18046,AH!$P$7+1641))),NA()),NA())</ns0:f>
        <ns0:v/>
      </ns0:c>
      <ns0:c r="H1646">
        <ns0:f>IFERROR(IF(AND(AH!$E$4="Bloomberg",AH!$P$10=1,ISNUMBER($A1646),$A1646&lt;=AH!$P$17),AH!$P$7-1+MATCH($A1646,INDEX('AH History'!$A$1:$A$18046,AH!$P$7):INDEX('AH History'!$A$1:$A$18046,AH!$P$7+AH!$P$8-1),0),0),0)</ns0:f>
        <ns0:v/>
      </ns0:c>
      <ns0:c r="I1646">
        <ns0:f>IF($H1646=0,0,IFERROR(IF(AND(ABS($C1646-INDEX('AH History'!$B$1:$B$18046,$H1646))&lt;=MAX(0.005,ABS(INDEX('AH History'!$B$1:$B$18046,$H1646))*0.00005),ABS($D1646-INDEX('AH History'!$C$1:$C$18046,$H1646))&lt;=MAX(0.005,ABS(INDEX('AH History'!$C$1:$C$18046,$H1646))*0.00005),ABS($E1646-INDEX('AH History'!$D$1:$D$18046,$H1646))&lt;=0.00005,$F1646=INDEX('AH History'!$E$1:$E$18046,$H1646),$G1646=INDEX('AH History'!$F$1:$F$18046,$H1646)),1,-1),-1))</ns0:f>
        <ns0:v/>
      </ns0:c>
    </ns0:row>
    <ns0:row r="1647">
      <ns0:c r="A1647" s="215">
        <ns0:f>IF(OR(AH!$P$3=0,1642+1&gt;AH!$P$11,AND(AH!$E$4&lt;&gt;"Stored",AH!$P$10&lt;&gt;1)),"",IFERROR(IF(AND(AH!$P$21=1,1642+1=AH!$P$11),TODAY(),IF(AH!$P$10=1,INDEX('Live History'!$A$5:$A$3004,AH!$P$13+1642),INDEX('AH History'!$A$1:$A$18046,AH!$P$7+1642))),""))</ns0:f>
        <ns0:v/>
      </ns0:c>
      <ns0:c r="B1647" s="219">
        <ns0:f>IFERROR(IF(AND(AH!$P$9&lt;&gt;1,$C1647&gt;0,$D1647&gt;0,$E1647&gt;0,$F1647&gt;0,$G1647&gt;0,$F1647&lt;=$A1647,$G1647&lt;=$A1647,$A1647-$F1647&lt;=10,$A1647-$G1647&lt;=5),$D1647*$E1647/$C1647-1,NA()),NA())</ns0:f>
        <ns0:v/>
      </ns0:c>
      <ns0:c r="C1647">
        <ns0:f>IFERROR(IF(ISNUMBER($A1647),IF(AND(AH!$P$10=1,AH!$P$12=1,$A1647=TODAY()),AH!$P$19,IF(AH!$P$10=1,INDEX('Live History'!$B$5:$B$3004,AH!$P$13+1642),INDEX('AH History'!$B$1:$B$18046,AH!$P$7+1642))),NA()),NA())</ns0:f>
        <ns0:v/>
      </ns0:c>
      <ns0:c r="D1647">
        <ns0:f>IFERROR(IF(ISNUMBER($A1647),IF(AND(AH!$P$10=1,AH!$P$12=1,$A1647=TODAY()),AH!$P$18,IF(AH!$P$10=1,INDEX('Live History'!$E$5:$E$3004,MATCH($A1647,'Live History'!$D$5:$D$3004,1)),INDEX('AH History'!$C$1:$C$18046,AH!$P$7+1642))),NA()),NA())</ns0:f>
        <ns0:v/>
      </ns0:c>
      <ns0:c r="E1647">
        <ns0:f>IFERROR(IF(ISNUMBER($A1647),IF(AND(AH!$P$10=1,AH!$P$12=1,$A1647=TODAY()),AH!$P$20,IF(AH!$P$10=1,INDEX('Live History'!$H$5:$H$3004,MATCH($A1647,'Live History'!$G$5:$G$3004,1)),INDEX('AH History'!$D$1:$D$18046,AH!$P$7+1642))),NA()),NA())</ns0:f>
        <ns0:v/>
      </ns0:c>
      <ns0:c r="F1647">
        <ns0:f>IFERROR(IF(ISNUMBER($A1647),IF(AND(AH!$P$10=1,AH!$P$12=1,$A1647=TODAY()),IF(AND(AH!$P$10=1,AH!$P$12=1,$A1647=TODAY()),TODAY(),NA()),IF(AH!$P$10=1,INDEX('Live History'!$D$5:$D$3004,MATCH($A1647,'Live History'!$D$5:$D$3004,1)),INDEX('AH History'!$E$1:$E$18046,AH!$P$7+1642))),NA()),NA())</ns0:f>
        <ns0:v/>
      </ns0:c>
      <ns0:c r="G1647">
        <ns0:f>IFERROR(IF(ISNUMBER($A1647),IF(AND(AH!$P$10=1,AH!$P$12=1,$A1647=TODAY()),IF(AND(AH!$P$10=1,AH!$P$12=1,$A1647=TODAY()),TODAY(),NA()),IF(AH!$P$10=1,INDEX('Live History'!$G$5:$G$3004,MATCH($A1647,'Live History'!$G$5:$G$3004,1)),INDEX('AH History'!$F$1:$F$18046,AH!$P$7+1642))),NA()),NA())</ns0:f>
        <ns0:v/>
      </ns0:c>
      <ns0:c r="H1647">
        <ns0:f>IFERROR(IF(AND(AH!$E$4="Bloomberg",AH!$P$10=1,ISNUMBER($A1647),$A1647&lt;=AH!$P$17),AH!$P$7-1+MATCH($A1647,INDEX('AH History'!$A$1:$A$18046,AH!$P$7):INDEX('AH History'!$A$1:$A$18046,AH!$P$7+AH!$P$8-1),0),0),0)</ns0:f>
        <ns0:v/>
      </ns0:c>
      <ns0:c r="I1647">
        <ns0:f>IF($H1647=0,0,IFERROR(IF(AND(ABS($C1647-INDEX('AH History'!$B$1:$B$18046,$H1647))&lt;=MAX(0.005,ABS(INDEX('AH History'!$B$1:$B$18046,$H1647))*0.00005),ABS($D1647-INDEX('AH History'!$C$1:$C$18046,$H1647))&lt;=MAX(0.005,ABS(INDEX('AH History'!$C$1:$C$18046,$H1647))*0.00005),ABS($E1647-INDEX('AH History'!$D$1:$D$18046,$H1647))&lt;=0.00005,$F1647=INDEX('AH History'!$E$1:$E$18046,$H1647),$G1647=INDEX('AH History'!$F$1:$F$18046,$H1647)),1,-1),-1))</ns0:f>
        <ns0:v/>
      </ns0:c>
    </ns0:row>
    <ns0:row r="1648">
      <ns0:c r="A1648" s="215">
        <ns0:f>IF(OR(AH!$P$3=0,1643+1&gt;AH!$P$11,AND(AH!$E$4&lt;&gt;"Stored",AH!$P$10&lt;&gt;1)),"",IFERROR(IF(AND(AH!$P$21=1,1643+1=AH!$P$11),TODAY(),IF(AH!$P$10=1,INDEX('Live History'!$A$5:$A$3004,AH!$P$13+1643),INDEX('AH History'!$A$1:$A$18046,AH!$P$7+1643))),""))</ns0:f>
        <ns0:v/>
      </ns0:c>
      <ns0:c r="B1648" s="219">
        <ns0:f>IFERROR(IF(AND(AH!$P$9&lt;&gt;1,$C1648&gt;0,$D1648&gt;0,$E1648&gt;0,$F1648&gt;0,$G1648&gt;0,$F1648&lt;=$A1648,$G1648&lt;=$A1648,$A1648-$F1648&lt;=10,$A1648-$G1648&lt;=5),$D1648*$E1648/$C1648-1,NA()),NA())</ns0:f>
        <ns0:v/>
      </ns0:c>
      <ns0:c r="C1648">
        <ns0:f>IFERROR(IF(ISNUMBER($A1648),IF(AND(AH!$P$10=1,AH!$P$12=1,$A1648=TODAY()),AH!$P$19,IF(AH!$P$10=1,INDEX('Live History'!$B$5:$B$3004,AH!$P$13+1643),INDEX('AH History'!$B$1:$B$18046,AH!$P$7+1643))),NA()),NA())</ns0:f>
        <ns0:v/>
      </ns0:c>
      <ns0:c r="D1648">
        <ns0:f>IFERROR(IF(ISNUMBER($A1648),IF(AND(AH!$P$10=1,AH!$P$12=1,$A1648=TODAY()),AH!$P$18,IF(AH!$P$10=1,INDEX('Live History'!$E$5:$E$3004,MATCH($A1648,'Live History'!$D$5:$D$3004,1)),INDEX('AH History'!$C$1:$C$18046,AH!$P$7+1643))),NA()),NA())</ns0:f>
        <ns0:v/>
      </ns0:c>
      <ns0:c r="E1648">
        <ns0:f>IFERROR(IF(ISNUMBER($A1648),IF(AND(AH!$P$10=1,AH!$P$12=1,$A1648=TODAY()),AH!$P$20,IF(AH!$P$10=1,INDEX('Live History'!$H$5:$H$3004,MATCH($A1648,'Live History'!$G$5:$G$3004,1)),INDEX('AH History'!$D$1:$D$18046,AH!$P$7+1643))),NA()),NA())</ns0:f>
        <ns0:v/>
      </ns0:c>
      <ns0:c r="F1648">
        <ns0:f>IFERROR(IF(ISNUMBER($A1648),IF(AND(AH!$P$10=1,AH!$P$12=1,$A1648=TODAY()),IF(AND(AH!$P$10=1,AH!$P$12=1,$A1648=TODAY()),TODAY(),NA()),IF(AH!$P$10=1,INDEX('Live History'!$D$5:$D$3004,MATCH($A1648,'Live History'!$D$5:$D$3004,1)),INDEX('AH History'!$E$1:$E$18046,AH!$P$7+1643))),NA()),NA())</ns0:f>
        <ns0:v/>
      </ns0:c>
      <ns0:c r="G1648">
        <ns0:f>IFERROR(IF(ISNUMBER($A1648),IF(AND(AH!$P$10=1,AH!$P$12=1,$A1648=TODAY()),IF(AND(AH!$P$10=1,AH!$P$12=1,$A1648=TODAY()),TODAY(),NA()),IF(AH!$P$10=1,INDEX('Live History'!$G$5:$G$3004,MATCH($A1648,'Live History'!$G$5:$G$3004,1)),INDEX('AH History'!$F$1:$F$18046,AH!$P$7+1643))),NA()),NA())</ns0:f>
        <ns0:v/>
      </ns0:c>
      <ns0:c r="H1648">
        <ns0:f>IFERROR(IF(AND(AH!$E$4="Bloomberg",AH!$P$10=1,ISNUMBER($A1648),$A1648&lt;=AH!$P$17),AH!$P$7-1+MATCH($A1648,INDEX('AH History'!$A$1:$A$18046,AH!$P$7):INDEX('AH History'!$A$1:$A$18046,AH!$P$7+AH!$P$8-1),0),0),0)</ns0:f>
        <ns0:v/>
      </ns0:c>
      <ns0:c r="I1648">
        <ns0:f>IF($H1648=0,0,IFERROR(IF(AND(ABS($C1648-INDEX('AH History'!$B$1:$B$18046,$H1648))&lt;=MAX(0.005,ABS(INDEX('AH History'!$B$1:$B$18046,$H1648))*0.00005),ABS($D1648-INDEX('AH History'!$C$1:$C$18046,$H1648))&lt;=MAX(0.005,ABS(INDEX('AH History'!$C$1:$C$18046,$H1648))*0.00005),ABS($E1648-INDEX('AH History'!$D$1:$D$18046,$H1648))&lt;=0.00005,$F1648=INDEX('AH History'!$E$1:$E$18046,$H1648),$G1648=INDEX('AH History'!$F$1:$F$18046,$H1648)),1,-1),-1))</ns0:f>
        <ns0:v/>
      </ns0:c>
    </ns0:row>
    <ns0:row r="1649">
      <ns0:c r="A1649" s="215">
        <ns0:f>IF(OR(AH!$P$3=0,1644+1&gt;AH!$P$11,AND(AH!$E$4&lt;&gt;"Stored",AH!$P$10&lt;&gt;1)),"",IFERROR(IF(AND(AH!$P$21=1,1644+1=AH!$P$11),TODAY(),IF(AH!$P$10=1,INDEX('Live History'!$A$5:$A$3004,AH!$P$13+1644),INDEX('AH History'!$A$1:$A$18046,AH!$P$7+1644))),""))</ns0:f>
        <ns0:v/>
      </ns0:c>
      <ns0:c r="B1649" s="219">
        <ns0:f>IFERROR(IF(AND(AH!$P$9&lt;&gt;1,$C1649&gt;0,$D1649&gt;0,$E1649&gt;0,$F1649&gt;0,$G1649&gt;0,$F1649&lt;=$A1649,$G1649&lt;=$A1649,$A1649-$F1649&lt;=10,$A1649-$G1649&lt;=5),$D1649*$E1649/$C1649-1,NA()),NA())</ns0:f>
        <ns0:v/>
      </ns0:c>
      <ns0:c r="C1649">
        <ns0:f>IFERROR(IF(ISNUMBER($A1649),IF(AND(AH!$P$10=1,AH!$P$12=1,$A1649=TODAY()),AH!$P$19,IF(AH!$P$10=1,INDEX('Live History'!$B$5:$B$3004,AH!$P$13+1644),INDEX('AH History'!$B$1:$B$18046,AH!$P$7+1644))),NA()),NA())</ns0:f>
        <ns0:v/>
      </ns0:c>
      <ns0:c r="D1649">
        <ns0:f>IFERROR(IF(ISNUMBER($A1649),IF(AND(AH!$P$10=1,AH!$P$12=1,$A1649=TODAY()),AH!$P$18,IF(AH!$P$10=1,INDEX('Live History'!$E$5:$E$3004,MATCH($A1649,'Live History'!$D$5:$D$3004,1)),INDEX('AH History'!$C$1:$C$18046,AH!$P$7+1644))),NA()),NA())</ns0:f>
        <ns0:v/>
      </ns0:c>
      <ns0:c r="E1649">
        <ns0:f>IFERROR(IF(ISNUMBER($A1649),IF(AND(AH!$P$10=1,AH!$P$12=1,$A1649=TODAY()),AH!$P$20,IF(AH!$P$10=1,INDEX('Live History'!$H$5:$H$3004,MATCH($A1649,'Live History'!$G$5:$G$3004,1)),INDEX('AH History'!$D$1:$D$18046,AH!$P$7+1644))),NA()),NA())</ns0:f>
        <ns0:v/>
      </ns0:c>
      <ns0:c r="F1649">
        <ns0:f>IFERROR(IF(ISNUMBER($A1649),IF(AND(AH!$P$10=1,AH!$P$12=1,$A1649=TODAY()),IF(AND(AH!$P$10=1,AH!$P$12=1,$A1649=TODAY()),TODAY(),NA()),IF(AH!$P$10=1,INDEX('Live History'!$D$5:$D$3004,MATCH($A1649,'Live History'!$D$5:$D$3004,1)),INDEX('AH History'!$E$1:$E$18046,AH!$P$7+1644))),NA()),NA())</ns0:f>
        <ns0:v/>
      </ns0:c>
      <ns0:c r="G1649">
        <ns0:f>IFERROR(IF(ISNUMBER($A1649),IF(AND(AH!$P$10=1,AH!$P$12=1,$A1649=TODAY()),IF(AND(AH!$P$10=1,AH!$P$12=1,$A1649=TODAY()),TODAY(),NA()),IF(AH!$P$10=1,INDEX('Live History'!$G$5:$G$3004,MATCH($A1649,'Live History'!$G$5:$G$3004,1)),INDEX('AH History'!$F$1:$F$18046,AH!$P$7+1644))),NA()),NA())</ns0:f>
        <ns0:v/>
      </ns0:c>
      <ns0:c r="H1649">
        <ns0:f>IFERROR(IF(AND(AH!$E$4="Bloomberg",AH!$P$10=1,ISNUMBER($A1649),$A1649&lt;=AH!$P$17),AH!$P$7-1+MATCH($A1649,INDEX('AH History'!$A$1:$A$18046,AH!$P$7):INDEX('AH History'!$A$1:$A$18046,AH!$P$7+AH!$P$8-1),0),0),0)</ns0:f>
        <ns0:v/>
      </ns0:c>
      <ns0:c r="I1649">
        <ns0:f>IF($H1649=0,0,IFERROR(IF(AND(ABS($C1649-INDEX('AH History'!$B$1:$B$18046,$H1649))&lt;=MAX(0.005,ABS(INDEX('AH History'!$B$1:$B$18046,$H1649))*0.00005),ABS($D1649-INDEX('AH History'!$C$1:$C$18046,$H1649))&lt;=MAX(0.005,ABS(INDEX('AH History'!$C$1:$C$18046,$H1649))*0.00005),ABS($E1649-INDEX('AH History'!$D$1:$D$18046,$H1649))&lt;=0.00005,$F1649=INDEX('AH History'!$E$1:$E$18046,$H1649),$G1649=INDEX('AH History'!$F$1:$F$18046,$H1649)),1,-1),-1))</ns0:f>
        <ns0:v/>
      </ns0:c>
    </ns0:row>
    <ns0:row r="1650">
      <ns0:c r="A1650" s="215">
        <ns0:f>IF(OR(AH!$P$3=0,1645+1&gt;AH!$P$11,AND(AH!$E$4&lt;&gt;"Stored",AH!$P$10&lt;&gt;1)),"",IFERROR(IF(AND(AH!$P$21=1,1645+1=AH!$P$11),TODAY(),IF(AH!$P$10=1,INDEX('Live History'!$A$5:$A$3004,AH!$P$13+1645),INDEX('AH History'!$A$1:$A$18046,AH!$P$7+1645))),""))</ns0:f>
        <ns0:v/>
      </ns0:c>
      <ns0:c r="B1650" s="219">
        <ns0:f>IFERROR(IF(AND(AH!$P$9&lt;&gt;1,$C1650&gt;0,$D1650&gt;0,$E1650&gt;0,$F1650&gt;0,$G1650&gt;0,$F1650&lt;=$A1650,$G1650&lt;=$A1650,$A1650-$F1650&lt;=10,$A1650-$G1650&lt;=5),$D1650*$E1650/$C1650-1,NA()),NA())</ns0:f>
        <ns0:v/>
      </ns0:c>
      <ns0:c r="C1650">
        <ns0:f>IFERROR(IF(ISNUMBER($A1650),IF(AND(AH!$P$10=1,AH!$P$12=1,$A1650=TODAY()),AH!$P$19,IF(AH!$P$10=1,INDEX('Live History'!$B$5:$B$3004,AH!$P$13+1645),INDEX('AH History'!$B$1:$B$18046,AH!$P$7+1645))),NA()),NA())</ns0:f>
        <ns0:v/>
      </ns0:c>
      <ns0:c r="D1650">
        <ns0:f>IFERROR(IF(ISNUMBER($A1650),IF(AND(AH!$P$10=1,AH!$P$12=1,$A1650=TODAY()),AH!$P$18,IF(AH!$P$10=1,INDEX('Live History'!$E$5:$E$3004,MATCH($A1650,'Live History'!$D$5:$D$3004,1)),INDEX('AH History'!$C$1:$C$18046,AH!$P$7+1645))),NA()),NA())</ns0:f>
        <ns0:v/>
      </ns0:c>
      <ns0:c r="E1650">
        <ns0:f>IFERROR(IF(ISNUMBER($A1650),IF(AND(AH!$P$10=1,AH!$P$12=1,$A1650=TODAY()),AH!$P$20,IF(AH!$P$10=1,INDEX('Live History'!$H$5:$H$3004,MATCH($A1650,'Live History'!$G$5:$G$3004,1)),INDEX('AH History'!$D$1:$D$18046,AH!$P$7+1645))),NA()),NA())</ns0:f>
        <ns0:v/>
      </ns0:c>
      <ns0:c r="F1650">
        <ns0:f>IFERROR(IF(ISNUMBER($A1650),IF(AND(AH!$P$10=1,AH!$P$12=1,$A1650=TODAY()),IF(AND(AH!$P$10=1,AH!$P$12=1,$A1650=TODAY()),TODAY(),NA()),IF(AH!$P$10=1,INDEX('Live History'!$D$5:$D$3004,MATCH($A1650,'Live History'!$D$5:$D$3004,1)),INDEX('AH History'!$E$1:$E$18046,AH!$P$7+1645))),NA()),NA())</ns0:f>
        <ns0:v/>
      </ns0:c>
      <ns0:c r="G1650">
        <ns0:f>IFERROR(IF(ISNUMBER($A1650),IF(AND(AH!$P$10=1,AH!$P$12=1,$A1650=TODAY()),IF(AND(AH!$P$10=1,AH!$P$12=1,$A1650=TODAY()),TODAY(),NA()),IF(AH!$P$10=1,INDEX('Live History'!$G$5:$G$3004,MATCH($A1650,'Live History'!$G$5:$G$3004,1)),INDEX('AH History'!$F$1:$F$18046,AH!$P$7+1645))),NA()),NA())</ns0:f>
        <ns0:v/>
      </ns0:c>
      <ns0:c r="H1650">
        <ns0:f>IFERROR(IF(AND(AH!$E$4="Bloomberg",AH!$P$10=1,ISNUMBER($A1650),$A1650&lt;=AH!$P$17),AH!$P$7-1+MATCH($A1650,INDEX('AH History'!$A$1:$A$18046,AH!$P$7):INDEX('AH History'!$A$1:$A$18046,AH!$P$7+AH!$P$8-1),0),0),0)</ns0:f>
        <ns0:v/>
      </ns0:c>
      <ns0:c r="I1650">
        <ns0:f>IF($H1650=0,0,IFERROR(IF(AND(ABS($C1650-INDEX('AH History'!$B$1:$B$18046,$H1650))&lt;=MAX(0.005,ABS(INDEX('AH History'!$B$1:$B$18046,$H1650))*0.00005),ABS($D1650-INDEX('AH History'!$C$1:$C$18046,$H1650))&lt;=MAX(0.005,ABS(INDEX('AH History'!$C$1:$C$18046,$H1650))*0.00005),ABS($E1650-INDEX('AH History'!$D$1:$D$18046,$H1650))&lt;=0.00005,$F1650=INDEX('AH History'!$E$1:$E$18046,$H1650),$G1650=INDEX('AH History'!$F$1:$F$18046,$H1650)),1,-1),-1))</ns0:f>
        <ns0:v/>
      </ns0:c>
    </ns0:row>
    <ns0:row r="1651">
      <ns0:c r="A1651" s="215">
        <ns0:f>IF(OR(AH!$P$3=0,1646+1&gt;AH!$P$11,AND(AH!$E$4&lt;&gt;"Stored",AH!$P$10&lt;&gt;1)),"",IFERROR(IF(AND(AH!$P$21=1,1646+1=AH!$P$11),TODAY(),IF(AH!$P$10=1,INDEX('Live History'!$A$5:$A$3004,AH!$P$13+1646),INDEX('AH History'!$A$1:$A$18046,AH!$P$7+1646))),""))</ns0:f>
        <ns0:v/>
      </ns0:c>
      <ns0:c r="B1651" s="219">
        <ns0:f>IFERROR(IF(AND(AH!$P$9&lt;&gt;1,$C1651&gt;0,$D1651&gt;0,$E1651&gt;0,$F1651&gt;0,$G1651&gt;0,$F1651&lt;=$A1651,$G1651&lt;=$A1651,$A1651-$F1651&lt;=10,$A1651-$G1651&lt;=5),$D1651*$E1651/$C1651-1,NA()),NA())</ns0:f>
        <ns0:v/>
      </ns0:c>
      <ns0:c r="C1651">
        <ns0:f>IFERROR(IF(ISNUMBER($A1651),IF(AND(AH!$P$10=1,AH!$P$12=1,$A1651=TODAY()),AH!$P$19,IF(AH!$P$10=1,INDEX('Live History'!$B$5:$B$3004,AH!$P$13+1646),INDEX('AH History'!$B$1:$B$18046,AH!$P$7+1646))),NA()),NA())</ns0:f>
        <ns0:v/>
      </ns0:c>
      <ns0:c r="D1651">
        <ns0:f>IFERROR(IF(ISNUMBER($A1651),IF(AND(AH!$P$10=1,AH!$P$12=1,$A1651=TODAY()),AH!$P$18,IF(AH!$P$10=1,INDEX('Live History'!$E$5:$E$3004,MATCH($A1651,'Live History'!$D$5:$D$3004,1)),INDEX('AH History'!$C$1:$C$18046,AH!$P$7+1646))),NA()),NA())</ns0:f>
        <ns0:v/>
      </ns0:c>
      <ns0:c r="E1651">
        <ns0:f>IFERROR(IF(ISNUMBER($A1651),IF(AND(AH!$P$10=1,AH!$P$12=1,$A1651=TODAY()),AH!$P$20,IF(AH!$P$10=1,INDEX('Live History'!$H$5:$H$3004,MATCH($A1651,'Live History'!$G$5:$G$3004,1)),INDEX('AH History'!$D$1:$D$18046,AH!$P$7+1646))),NA()),NA())</ns0:f>
        <ns0:v/>
      </ns0:c>
      <ns0:c r="F1651">
        <ns0:f>IFERROR(IF(ISNUMBER($A1651),IF(AND(AH!$P$10=1,AH!$P$12=1,$A1651=TODAY()),IF(AND(AH!$P$10=1,AH!$P$12=1,$A1651=TODAY()),TODAY(),NA()),IF(AH!$P$10=1,INDEX('Live History'!$D$5:$D$3004,MATCH($A1651,'Live History'!$D$5:$D$3004,1)),INDEX('AH History'!$E$1:$E$18046,AH!$P$7+1646))),NA()),NA())</ns0:f>
        <ns0:v/>
      </ns0:c>
      <ns0:c r="G1651">
        <ns0:f>IFERROR(IF(ISNUMBER($A1651),IF(AND(AH!$P$10=1,AH!$P$12=1,$A1651=TODAY()),IF(AND(AH!$P$10=1,AH!$P$12=1,$A1651=TODAY()),TODAY(),NA()),IF(AH!$P$10=1,INDEX('Live History'!$G$5:$G$3004,MATCH($A1651,'Live History'!$G$5:$G$3004,1)),INDEX('AH History'!$F$1:$F$18046,AH!$P$7+1646))),NA()),NA())</ns0:f>
        <ns0:v/>
      </ns0:c>
      <ns0:c r="H1651">
        <ns0:f>IFERROR(IF(AND(AH!$E$4="Bloomberg",AH!$P$10=1,ISNUMBER($A1651),$A1651&lt;=AH!$P$17),AH!$P$7-1+MATCH($A1651,INDEX('AH History'!$A$1:$A$18046,AH!$P$7):INDEX('AH History'!$A$1:$A$18046,AH!$P$7+AH!$P$8-1),0),0),0)</ns0:f>
        <ns0:v/>
      </ns0:c>
      <ns0:c r="I1651">
        <ns0:f>IF($H1651=0,0,IFERROR(IF(AND(ABS($C1651-INDEX('AH History'!$B$1:$B$18046,$H1651))&lt;=MAX(0.005,ABS(INDEX('AH History'!$B$1:$B$18046,$H1651))*0.00005),ABS($D1651-INDEX('AH History'!$C$1:$C$18046,$H1651))&lt;=MAX(0.005,ABS(INDEX('AH History'!$C$1:$C$18046,$H1651))*0.00005),ABS($E1651-INDEX('AH History'!$D$1:$D$18046,$H1651))&lt;=0.00005,$F1651=INDEX('AH History'!$E$1:$E$18046,$H1651),$G1651=INDEX('AH History'!$F$1:$F$18046,$H1651)),1,-1),-1))</ns0:f>
        <ns0:v/>
      </ns0:c>
    </ns0:row>
    <ns0:row r="1652">
      <ns0:c r="A1652" s="215">
        <ns0:f>IF(OR(AH!$P$3=0,1647+1&gt;AH!$P$11,AND(AH!$E$4&lt;&gt;"Stored",AH!$P$10&lt;&gt;1)),"",IFERROR(IF(AND(AH!$P$21=1,1647+1=AH!$P$11),TODAY(),IF(AH!$P$10=1,INDEX('Live History'!$A$5:$A$3004,AH!$P$13+1647),INDEX('AH History'!$A$1:$A$18046,AH!$P$7+1647))),""))</ns0:f>
        <ns0:v/>
      </ns0:c>
      <ns0:c r="B1652" s="219">
        <ns0:f>IFERROR(IF(AND(AH!$P$9&lt;&gt;1,$C1652&gt;0,$D1652&gt;0,$E1652&gt;0,$F1652&gt;0,$G1652&gt;0,$F1652&lt;=$A1652,$G1652&lt;=$A1652,$A1652-$F1652&lt;=10,$A1652-$G1652&lt;=5),$D1652*$E1652/$C1652-1,NA()),NA())</ns0:f>
        <ns0:v/>
      </ns0:c>
      <ns0:c r="C1652">
        <ns0:f>IFERROR(IF(ISNUMBER($A1652),IF(AND(AH!$P$10=1,AH!$P$12=1,$A1652=TODAY()),AH!$P$19,IF(AH!$P$10=1,INDEX('Live History'!$B$5:$B$3004,AH!$P$13+1647),INDEX('AH History'!$B$1:$B$18046,AH!$P$7+1647))),NA()),NA())</ns0:f>
        <ns0:v/>
      </ns0:c>
      <ns0:c r="D1652">
        <ns0:f>IFERROR(IF(ISNUMBER($A1652),IF(AND(AH!$P$10=1,AH!$P$12=1,$A1652=TODAY()),AH!$P$18,IF(AH!$P$10=1,INDEX('Live History'!$E$5:$E$3004,MATCH($A1652,'Live History'!$D$5:$D$3004,1)),INDEX('AH History'!$C$1:$C$18046,AH!$P$7+1647))),NA()),NA())</ns0:f>
        <ns0:v/>
      </ns0:c>
      <ns0:c r="E1652">
        <ns0:f>IFERROR(IF(ISNUMBER($A1652),IF(AND(AH!$P$10=1,AH!$P$12=1,$A1652=TODAY()),AH!$P$20,IF(AH!$P$10=1,INDEX('Live History'!$H$5:$H$3004,MATCH($A1652,'Live History'!$G$5:$G$3004,1)),INDEX('AH History'!$D$1:$D$18046,AH!$P$7+1647))),NA()),NA())</ns0:f>
        <ns0:v/>
      </ns0:c>
      <ns0:c r="F1652">
        <ns0:f>IFERROR(IF(ISNUMBER($A1652),IF(AND(AH!$P$10=1,AH!$P$12=1,$A1652=TODAY()),IF(AND(AH!$P$10=1,AH!$P$12=1,$A1652=TODAY()),TODAY(),NA()),IF(AH!$P$10=1,INDEX('Live History'!$D$5:$D$3004,MATCH($A1652,'Live History'!$D$5:$D$3004,1)),INDEX('AH History'!$E$1:$E$18046,AH!$P$7+1647))),NA()),NA())</ns0:f>
        <ns0:v/>
      </ns0:c>
      <ns0:c r="G1652">
        <ns0:f>IFERROR(IF(ISNUMBER($A1652),IF(AND(AH!$P$10=1,AH!$P$12=1,$A1652=TODAY()),IF(AND(AH!$P$10=1,AH!$P$12=1,$A1652=TODAY()),TODAY(),NA()),IF(AH!$P$10=1,INDEX('Live History'!$G$5:$G$3004,MATCH($A1652,'Live History'!$G$5:$G$3004,1)),INDEX('AH History'!$F$1:$F$18046,AH!$P$7+1647))),NA()),NA())</ns0:f>
        <ns0:v/>
      </ns0:c>
      <ns0:c r="H1652">
        <ns0:f>IFERROR(IF(AND(AH!$E$4="Bloomberg",AH!$P$10=1,ISNUMBER($A1652),$A1652&lt;=AH!$P$17),AH!$P$7-1+MATCH($A1652,INDEX('AH History'!$A$1:$A$18046,AH!$P$7):INDEX('AH History'!$A$1:$A$18046,AH!$P$7+AH!$P$8-1),0),0),0)</ns0:f>
        <ns0:v/>
      </ns0:c>
      <ns0:c r="I1652">
        <ns0:f>IF($H1652=0,0,IFERROR(IF(AND(ABS($C1652-INDEX('AH History'!$B$1:$B$18046,$H1652))&lt;=MAX(0.005,ABS(INDEX('AH History'!$B$1:$B$18046,$H1652))*0.00005),ABS($D1652-INDEX('AH History'!$C$1:$C$18046,$H1652))&lt;=MAX(0.005,ABS(INDEX('AH History'!$C$1:$C$18046,$H1652))*0.00005),ABS($E1652-INDEX('AH History'!$D$1:$D$18046,$H1652))&lt;=0.00005,$F1652=INDEX('AH History'!$E$1:$E$18046,$H1652),$G1652=INDEX('AH History'!$F$1:$F$18046,$H1652)),1,-1),-1))</ns0:f>
        <ns0:v/>
      </ns0:c>
    </ns0:row>
    <ns0:row r="1653">
      <ns0:c r="A1653" s="215">
        <ns0:f>IF(OR(AH!$P$3=0,1648+1&gt;AH!$P$11,AND(AH!$E$4&lt;&gt;"Stored",AH!$P$10&lt;&gt;1)),"",IFERROR(IF(AND(AH!$P$21=1,1648+1=AH!$P$11),TODAY(),IF(AH!$P$10=1,INDEX('Live History'!$A$5:$A$3004,AH!$P$13+1648),INDEX('AH History'!$A$1:$A$18046,AH!$P$7+1648))),""))</ns0:f>
        <ns0:v/>
      </ns0:c>
      <ns0:c r="B1653" s="219">
        <ns0:f>IFERROR(IF(AND(AH!$P$9&lt;&gt;1,$C1653&gt;0,$D1653&gt;0,$E1653&gt;0,$F1653&gt;0,$G1653&gt;0,$F1653&lt;=$A1653,$G1653&lt;=$A1653,$A1653-$F1653&lt;=10,$A1653-$G1653&lt;=5),$D1653*$E1653/$C1653-1,NA()),NA())</ns0:f>
        <ns0:v/>
      </ns0:c>
      <ns0:c r="C1653">
        <ns0:f>IFERROR(IF(ISNUMBER($A1653),IF(AND(AH!$P$10=1,AH!$P$12=1,$A1653=TODAY()),AH!$P$19,IF(AH!$P$10=1,INDEX('Live History'!$B$5:$B$3004,AH!$P$13+1648),INDEX('AH History'!$B$1:$B$18046,AH!$P$7+1648))),NA()),NA())</ns0:f>
        <ns0:v/>
      </ns0:c>
      <ns0:c r="D1653">
        <ns0:f>IFERROR(IF(ISNUMBER($A1653),IF(AND(AH!$P$10=1,AH!$P$12=1,$A1653=TODAY()),AH!$P$18,IF(AH!$P$10=1,INDEX('Live History'!$E$5:$E$3004,MATCH($A1653,'Live History'!$D$5:$D$3004,1)),INDEX('AH History'!$C$1:$C$18046,AH!$P$7+1648))),NA()),NA())</ns0:f>
        <ns0:v/>
      </ns0:c>
      <ns0:c r="E1653">
        <ns0:f>IFERROR(IF(ISNUMBER($A1653),IF(AND(AH!$P$10=1,AH!$P$12=1,$A1653=TODAY()),AH!$P$20,IF(AH!$P$10=1,INDEX('Live History'!$H$5:$H$3004,MATCH($A1653,'Live History'!$G$5:$G$3004,1)),INDEX('AH History'!$D$1:$D$18046,AH!$P$7+1648))),NA()),NA())</ns0:f>
        <ns0:v/>
      </ns0:c>
      <ns0:c r="F1653">
        <ns0:f>IFERROR(IF(ISNUMBER($A1653),IF(AND(AH!$P$10=1,AH!$P$12=1,$A1653=TODAY()),IF(AND(AH!$P$10=1,AH!$P$12=1,$A1653=TODAY()),TODAY(),NA()),IF(AH!$P$10=1,INDEX('Live History'!$D$5:$D$3004,MATCH($A1653,'Live History'!$D$5:$D$3004,1)),INDEX('AH History'!$E$1:$E$18046,AH!$P$7+1648))),NA()),NA())</ns0:f>
        <ns0:v/>
      </ns0:c>
      <ns0:c r="G1653">
        <ns0:f>IFERROR(IF(ISNUMBER($A1653),IF(AND(AH!$P$10=1,AH!$P$12=1,$A1653=TODAY()),IF(AND(AH!$P$10=1,AH!$P$12=1,$A1653=TODAY()),TODAY(),NA()),IF(AH!$P$10=1,INDEX('Live History'!$G$5:$G$3004,MATCH($A1653,'Live History'!$G$5:$G$3004,1)),INDEX('AH History'!$F$1:$F$18046,AH!$P$7+1648))),NA()),NA())</ns0:f>
        <ns0:v/>
      </ns0:c>
      <ns0:c r="H1653">
        <ns0:f>IFERROR(IF(AND(AH!$E$4="Bloomberg",AH!$P$10=1,ISNUMBER($A1653),$A1653&lt;=AH!$P$17),AH!$P$7-1+MATCH($A1653,INDEX('AH History'!$A$1:$A$18046,AH!$P$7):INDEX('AH History'!$A$1:$A$18046,AH!$P$7+AH!$P$8-1),0),0),0)</ns0:f>
        <ns0:v/>
      </ns0:c>
      <ns0:c r="I1653">
        <ns0:f>IF($H1653=0,0,IFERROR(IF(AND(ABS($C1653-INDEX('AH History'!$B$1:$B$18046,$H1653))&lt;=MAX(0.005,ABS(INDEX('AH History'!$B$1:$B$18046,$H1653))*0.00005),ABS($D1653-INDEX('AH History'!$C$1:$C$18046,$H1653))&lt;=MAX(0.005,ABS(INDEX('AH History'!$C$1:$C$18046,$H1653))*0.00005),ABS($E1653-INDEX('AH History'!$D$1:$D$18046,$H1653))&lt;=0.00005,$F1653=INDEX('AH History'!$E$1:$E$18046,$H1653),$G1653=INDEX('AH History'!$F$1:$F$18046,$H1653)),1,-1),-1))</ns0:f>
        <ns0:v/>
      </ns0:c>
    </ns0:row>
    <ns0:row r="1654">
      <ns0:c r="A1654" s="215">
        <ns0:f>IF(OR(AH!$P$3=0,1649+1&gt;AH!$P$11,AND(AH!$E$4&lt;&gt;"Stored",AH!$P$10&lt;&gt;1)),"",IFERROR(IF(AND(AH!$P$21=1,1649+1=AH!$P$11),TODAY(),IF(AH!$P$10=1,INDEX('Live History'!$A$5:$A$3004,AH!$P$13+1649),INDEX('AH History'!$A$1:$A$18046,AH!$P$7+1649))),""))</ns0:f>
        <ns0:v/>
      </ns0:c>
      <ns0:c r="B1654" s="219">
        <ns0:f>IFERROR(IF(AND(AH!$P$9&lt;&gt;1,$C1654&gt;0,$D1654&gt;0,$E1654&gt;0,$F1654&gt;0,$G1654&gt;0,$F1654&lt;=$A1654,$G1654&lt;=$A1654,$A1654-$F1654&lt;=10,$A1654-$G1654&lt;=5),$D1654*$E1654/$C1654-1,NA()),NA())</ns0:f>
        <ns0:v/>
      </ns0:c>
      <ns0:c r="C1654">
        <ns0:f>IFERROR(IF(ISNUMBER($A1654),IF(AND(AH!$P$10=1,AH!$P$12=1,$A1654=TODAY()),AH!$P$19,IF(AH!$P$10=1,INDEX('Live History'!$B$5:$B$3004,AH!$P$13+1649),INDEX('AH History'!$B$1:$B$18046,AH!$P$7+1649))),NA()),NA())</ns0:f>
        <ns0:v/>
      </ns0:c>
      <ns0:c r="D1654">
        <ns0:f>IFERROR(IF(ISNUMBER($A1654),IF(AND(AH!$P$10=1,AH!$P$12=1,$A1654=TODAY()),AH!$P$18,IF(AH!$P$10=1,INDEX('Live History'!$E$5:$E$3004,MATCH($A1654,'Live History'!$D$5:$D$3004,1)),INDEX('AH History'!$C$1:$C$18046,AH!$P$7+1649))),NA()),NA())</ns0:f>
        <ns0:v/>
      </ns0:c>
      <ns0:c r="E1654">
        <ns0:f>IFERROR(IF(ISNUMBER($A1654),IF(AND(AH!$P$10=1,AH!$P$12=1,$A1654=TODAY()),AH!$P$20,IF(AH!$P$10=1,INDEX('Live History'!$H$5:$H$3004,MATCH($A1654,'Live History'!$G$5:$G$3004,1)),INDEX('AH History'!$D$1:$D$18046,AH!$P$7+1649))),NA()),NA())</ns0:f>
        <ns0:v/>
      </ns0:c>
      <ns0:c r="F1654">
        <ns0:f>IFERROR(IF(ISNUMBER($A1654),IF(AND(AH!$P$10=1,AH!$P$12=1,$A1654=TODAY()),IF(AND(AH!$P$10=1,AH!$P$12=1,$A1654=TODAY()),TODAY(),NA()),IF(AH!$P$10=1,INDEX('Live History'!$D$5:$D$3004,MATCH($A1654,'Live History'!$D$5:$D$3004,1)),INDEX('AH History'!$E$1:$E$18046,AH!$P$7+1649))),NA()),NA())</ns0:f>
        <ns0:v/>
      </ns0:c>
      <ns0:c r="G1654">
        <ns0:f>IFERROR(IF(ISNUMBER($A1654),IF(AND(AH!$P$10=1,AH!$P$12=1,$A1654=TODAY()),IF(AND(AH!$P$10=1,AH!$P$12=1,$A1654=TODAY()),TODAY(),NA()),IF(AH!$P$10=1,INDEX('Live History'!$G$5:$G$3004,MATCH($A1654,'Live History'!$G$5:$G$3004,1)),INDEX('AH History'!$F$1:$F$18046,AH!$P$7+1649))),NA()),NA())</ns0:f>
        <ns0:v/>
      </ns0:c>
      <ns0:c r="H1654">
        <ns0:f>IFERROR(IF(AND(AH!$E$4="Bloomberg",AH!$P$10=1,ISNUMBER($A1654),$A1654&lt;=AH!$P$17),AH!$P$7-1+MATCH($A1654,INDEX('AH History'!$A$1:$A$18046,AH!$P$7):INDEX('AH History'!$A$1:$A$18046,AH!$P$7+AH!$P$8-1),0),0),0)</ns0:f>
        <ns0:v/>
      </ns0:c>
      <ns0:c r="I1654">
        <ns0:f>IF($H1654=0,0,IFERROR(IF(AND(ABS($C1654-INDEX('AH History'!$B$1:$B$18046,$H1654))&lt;=MAX(0.005,ABS(INDEX('AH History'!$B$1:$B$18046,$H1654))*0.00005),ABS($D1654-INDEX('AH History'!$C$1:$C$18046,$H1654))&lt;=MAX(0.005,ABS(INDEX('AH History'!$C$1:$C$18046,$H1654))*0.00005),ABS($E1654-INDEX('AH History'!$D$1:$D$18046,$H1654))&lt;=0.00005,$F1654=INDEX('AH History'!$E$1:$E$18046,$H1654),$G1654=INDEX('AH History'!$F$1:$F$18046,$H1654)),1,-1),-1))</ns0:f>
        <ns0:v/>
      </ns0:c>
    </ns0:row>
    <ns0:row r="1655">
      <ns0:c r="A1655" s="215">
        <ns0:f>IF(OR(AH!$P$3=0,1650+1&gt;AH!$P$11,AND(AH!$E$4&lt;&gt;"Stored",AH!$P$10&lt;&gt;1)),"",IFERROR(IF(AND(AH!$P$21=1,1650+1=AH!$P$11),TODAY(),IF(AH!$P$10=1,INDEX('Live History'!$A$5:$A$3004,AH!$P$13+1650),INDEX('AH History'!$A$1:$A$18046,AH!$P$7+1650))),""))</ns0:f>
        <ns0:v/>
      </ns0:c>
      <ns0:c r="B1655" s="219">
        <ns0:f>IFERROR(IF(AND(AH!$P$9&lt;&gt;1,$C1655&gt;0,$D1655&gt;0,$E1655&gt;0,$F1655&gt;0,$G1655&gt;0,$F1655&lt;=$A1655,$G1655&lt;=$A1655,$A1655-$F1655&lt;=10,$A1655-$G1655&lt;=5),$D1655*$E1655/$C1655-1,NA()),NA())</ns0:f>
        <ns0:v/>
      </ns0:c>
      <ns0:c r="C1655">
        <ns0:f>IFERROR(IF(ISNUMBER($A1655),IF(AND(AH!$P$10=1,AH!$P$12=1,$A1655=TODAY()),AH!$P$19,IF(AH!$P$10=1,INDEX('Live History'!$B$5:$B$3004,AH!$P$13+1650),INDEX('AH History'!$B$1:$B$18046,AH!$P$7+1650))),NA()),NA())</ns0:f>
        <ns0:v/>
      </ns0:c>
      <ns0:c r="D1655">
        <ns0:f>IFERROR(IF(ISNUMBER($A1655),IF(AND(AH!$P$10=1,AH!$P$12=1,$A1655=TODAY()),AH!$P$18,IF(AH!$P$10=1,INDEX('Live History'!$E$5:$E$3004,MATCH($A1655,'Live History'!$D$5:$D$3004,1)),INDEX('AH History'!$C$1:$C$18046,AH!$P$7+1650))),NA()),NA())</ns0:f>
        <ns0:v/>
      </ns0:c>
      <ns0:c r="E1655">
        <ns0:f>IFERROR(IF(ISNUMBER($A1655),IF(AND(AH!$P$10=1,AH!$P$12=1,$A1655=TODAY()),AH!$P$20,IF(AH!$P$10=1,INDEX('Live History'!$H$5:$H$3004,MATCH($A1655,'Live History'!$G$5:$G$3004,1)),INDEX('AH History'!$D$1:$D$18046,AH!$P$7+1650))),NA()),NA())</ns0:f>
        <ns0:v/>
      </ns0:c>
      <ns0:c r="F1655">
        <ns0:f>IFERROR(IF(ISNUMBER($A1655),IF(AND(AH!$P$10=1,AH!$P$12=1,$A1655=TODAY()),IF(AND(AH!$P$10=1,AH!$P$12=1,$A1655=TODAY()),TODAY(),NA()),IF(AH!$P$10=1,INDEX('Live History'!$D$5:$D$3004,MATCH($A1655,'Live History'!$D$5:$D$3004,1)),INDEX('AH History'!$E$1:$E$18046,AH!$P$7+1650))),NA()),NA())</ns0:f>
        <ns0:v/>
      </ns0:c>
      <ns0:c r="G1655">
        <ns0:f>IFERROR(IF(ISNUMBER($A1655),IF(AND(AH!$P$10=1,AH!$P$12=1,$A1655=TODAY()),IF(AND(AH!$P$10=1,AH!$P$12=1,$A1655=TODAY()),TODAY(),NA()),IF(AH!$P$10=1,INDEX('Live History'!$G$5:$G$3004,MATCH($A1655,'Live History'!$G$5:$G$3004,1)),INDEX('AH History'!$F$1:$F$18046,AH!$P$7+1650))),NA()),NA())</ns0:f>
        <ns0:v/>
      </ns0:c>
      <ns0:c r="H1655">
        <ns0:f>IFERROR(IF(AND(AH!$E$4="Bloomberg",AH!$P$10=1,ISNUMBER($A1655),$A1655&lt;=AH!$P$17),AH!$P$7-1+MATCH($A1655,INDEX('AH History'!$A$1:$A$18046,AH!$P$7):INDEX('AH History'!$A$1:$A$18046,AH!$P$7+AH!$P$8-1),0),0),0)</ns0:f>
        <ns0:v/>
      </ns0:c>
      <ns0:c r="I1655">
        <ns0:f>IF($H1655=0,0,IFERROR(IF(AND(ABS($C1655-INDEX('AH History'!$B$1:$B$18046,$H1655))&lt;=MAX(0.005,ABS(INDEX('AH History'!$B$1:$B$18046,$H1655))*0.00005),ABS($D1655-INDEX('AH History'!$C$1:$C$18046,$H1655))&lt;=MAX(0.005,ABS(INDEX('AH History'!$C$1:$C$18046,$H1655))*0.00005),ABS($E1655-INDEX('AH History'!$D$1:$D$18046,$H1655))&lt;=0.00005,$F1655=INDEX('AH History'!$E$1:$E$18046,$H1655),$G1655=INDEX('AH History'!$F$1:$F$18046,$H1655)),1,-1),-1))</ns0:f>
        <ns0:v/>
      </ns0:c>
    </ns0:row>
    <ns0:row r="1656">
      <ns0:c r="A1656" s="215">
        <ns0:f>IF(OR(AH!$P$3=0,1651+1&gt;AH!$P$11,AND(AH!$E$4&lt;&gt;"Stored",AH!$P$10&lt;&gt;1)),"",IFERROR(IF(AND(AH!$P$21=1,1651+1=AH!$P$11),TODAY(),IF(AH!$P$10=1,INDEX('Live History'!$A$5:$A$3004,AH!$P$13+1651),INDEX('AH History'!$A$1:$A$18046,AH!$P$7+1651))),""))</ns0:f>
        <ns0:v/>
      </ns0:c>
      <ns0:c r="B1656" s="219">
        <ns0:f>IFERROR(IF(AND(AH!$P$9&lt;&gt;1,$C1656&gt;0,$D1656&gt;0,$E1656&gt;0,$F1656&gt;0,$G1656&gt;0,$F1656&lt;=$A1656,$G1656&lt;=$A1656,$A1656-$F1656&lt;=10,$A1656-$G1656&lt;=5),$D1656*$E1656/$C1656-1,NA()),NA())</ns0:f>
        <ns0:v/>
      </ns0:c>
      <ns0:c r="C1656">
        <ns0:f>IFERROR(IF(ISNUMBER($A1656),IF(AND(AH!$P$10=1,AH!$P$12=1,$A1656=TODAY()),AH!$P$19,IF(AH!$P$10=1,INDEX('Live History'!$B$5:$B$3004,AH!$P$13+1651),INDEX('AH History'!$B$1:$B$18046,AH!$P$7+1651))),NA()),NA())</ns0:f>
        <ns0:v/>
      </ns0:c>
      <ns0:c r="D1656">
        <ns0:f>IFERROR(IF(ISNUMBER($A1656),IF(AND(AH!$P$10=1,AH!$P$12=1,$A1656=TODAY()),AH!$P$18,IF(AH!$P$10=1,INDEX('Live History'!$E$5:$E$3004,MATCH($A1656,'Live History'!$D$5:$D$3004,1)),INDEX('AH History'!$C$1:$C$18046,AH!$P$7+1651))),NA()),NA())</ns0:f>
        <ns0:v/>
      </ns0:c>
      <ns0:c r="E1656">
        <ns0:f>IFERROR(IF(ISNUMBER($A1656),IF(AND(AH!$P$10=1,AH!$P$12=1,$A1656=TODAY()),AH!$P$20,IF(AH!$P$10=1,INDEX('Live History'!$H$5:$H$3004,MATCH($A1656,'Live History'!$G$5:$G$3004,1)),INDEX('AH History'!$D$1:$D$18046,AH!$P$7+1651))),NA()),NA())</ns0:f>
        <ns0:v/>
      </ns0:c>
      <ns0:c r="F1656">
        <ns0:f>IFERROR(IF(ISNUMBER($A1656),IF(AND(AH!$P$10=1,AH!$P$12=1,$A1656=TODAY()),IF(AND(AH!$P$10=1,AH!$P$12=1,$A1656=TODAY()),TODAY(),NA()),IF(AH!$P$10=1,INDEX('Live History'!$D$5:$D$3004,MATCH($A1656,'Live History'!$D$5:$D$3004,1)),INDEX('AH History'!$E$1:$E$18046,AH!$P$7+1651))),NA()),NA())</ns0:f>
        <ns0:v/>
      </ns0:c>
      <ns0:c r="G1656">
        <ns0:f>IFERROR(IF(ISNUMBER($A1656),IF(AND(AH!$P$10=1,AH!$P$12=1,$A1656=TODAY()),IF(AND(AH!$P$10=1,AH!$P$12=1,$A1656=TODAY()),TODAY(),NA()),IF(AH!$P$10=1,INDEX('Live History'!$G$5:$G$3004,MATCH($A1656,'Live History'!$G$5:$G$3004,1)),INDEX('AH History'!$F$1:$F$18046,AH!$P$7+1651))),NA()),NA())</ns0:f>
        <ns0:v/>
      </ns0:c>
      <ns0:c r="H1656">
        <ns0:f>IFERROR(IF(AND(AH!$E$4="Bloomberg",AH!$P$10=1,ISNUMBER($A1656),$A1656&lt;=AH!$P$17),AH!$P$7-1+MATCH($A1656,INDEX('AH History'!$A$1:$A$18046,AH!$P$7):INDEX('AH History'!$A$1:$A$18046,AH!$P$7+AH!$P$8-1),0),0),0)</ns0:f>
        <ns0:v/>
      </ns0:c>
      <ns0:c r="I1656">
        <ns0:f>IF($H1656=0,0,IFERROR(IF(AND(ABS($C1656-INDEX('AH History'!$B$1:$B$18046,$H1656))&lt;=MAX(0.005,ABS(INDEX('AH History'!$B$1:$B$18046,$H1656))*0.00005),ABS($D1656-INDEX('AH History'!$C$1:$C$18046,$H1656))&lt;=MAX(0.005,ABS(INDEX('AH History'!$C$1:$C$18046,$H1656))*0.00005),ABS($E1656-INDEX('AH History'!$D$1:$D$18046,$H1656))&lt;=0.00005,$F1656=INDEX('AH History'!$E$1:$E$18046,$H1656),$G1656=INDEX('AH History'!$F$1:$F$18046,$H1656)),1,-1),-1))</ns0:f>
        <ns0:v/>
      </ns0:c>
    </ns0:row>
    <ns0:row r="1657">
      <ns0:c r="A1657" s="215">
        <ns0:f>IF(OR(AH!$P$3=0,1652+1&gt;AH!$P$11,AND(AH!$E$4&lt;&gt;"Stored",AH!$P$10&lt;&gt;1)),"",IFERROR(IF(AND(AH!$P$21=1,1652+1=AH!$P$11),TODAY(),IF(AH!$P$10=1,INDEX('Live History'!$A$5:$A$3004,AH!$P$13+1652),INDEX('AH History'!$A$1:$A$18046,AH!$P$7+1652))),""))</ns0:f>
        <ns0:v/>
      </ns0:c>
      <ns0:c r="B1657" s="219">
        <ns0:f>IFERROR(IF(AND(AH!$P$9&lt;&gt;1,$C1657&gt;0,$D1657&gt;0,$E1657&gt;0,$F1657&gt;0,$G1657&gt;0,$F1657&lt;=$A1657,$G1657&lt;=$A1657,$A1657-$F1657&lt;=10,$A1657-$G1657&lt;=5),$D1657*$E1657/$C1657-1,NA()),NA())</ns0:f>
        <ns0:v/>
      </ns0:c>
      <ns0:c r="C1657">
        <ns0:f>IFERROR(IF(ISNUMBER($A1657),IF(AND(AH!$P$10=1,AH!$P$12=1,$A1657=TODAY()),AH!$P$19,IF(AH!$P$10=1,INDEX('Live History'!$B$5:$B$3004,AH!$P$13+1652),INDEX('AH History'!$B$1:$B$18046,AH!$P$7+1652))),NA()),NA())</ns0:f>
        <ns0:v/>
      </ns0:c>
      <ns0:c r="D1657">
        <ns0:f>IFERROR(IF(ISNUMBER($A1657),IF(AND(AH!$P$10=1,AH!$P$12=1,$A1657=TODAY()),AH!$P$18,IF(AH!$P$10=1,INDEX('Live History'!$E$5:$E$3004,MATCH($A1657,'Live History'!$D$5:$D$3004,1)),INDEX('AH History'!$C$1:$C$18046,AH!$P$7+1652))),NA()),NA())</ns0:f>
        <ns0:v/>
      </ns0:c>
      <ns0:c r="E1657">
        <ns0:f>IFERROR(IF(ISNUMBER($A1657),IF(AND(AH!$P$10=1,AH!$P$12=1,$A1657=TODAY()),AH!$P$20,IF(AH!$P$10=1,INDEX('Live History'!$H$5:$H$3004,MATCH($A1657,'Live History'!$G$5:$G$3004,1)),INDEX('AH History'!$D$1:$D$18046,AH!$P$7+1652))),NA()),NA())</ns0:f>
        <ns0:v/>
      </ns0:c>
      <ns0:c r="F1657">
        <ns0:f>IFERROR(IF(ISNUMBER($A1657),IF(AND(AH!$P$10=1,AH!$P$12=1,$A1657=TODAY()),IF(AND(AH!$P$10=1,AH!$P$12=1,$A1657=TODAY()),TODAY(),NA()),IF(AH!$P$10=1,INDEX('Live History'!$D$5:$D$3004,MATCH($A1657,'Live History'!$D$5:$D$3004,1)),INDEX('AH History'!$E$1:$E$18046,AH!$P$7+1652))),NA()),NA())</ns0:f>
        <ns0:v/>
      </ns0:c>
      <ns0:c r="G1657">
        <ns0:f>IFERROR(IF(ISNUMBER($A1657),IF(AND(AH!$P$10=1,AH!$P$12=1,$A1657=TODAY()),IF(AND(AH!$P$10=1,AH!$P$12=1,$A1657=TODAY()),TODAY(),NA()),IF(AH!$P$10=1,INDEX('Live History'!$G$5:$G$3004,MATCH($A1657,'Live History'!$G$5:$G$3004,1)),INDEX('AH History'!$F$1:$F$18046,AH!$P$7+1652))),NA()),NA())</ns0:f>
        <ns0:v/>
      </ns0:c>
      <ns0:c r="H1657">
        <ns0:f>IFERROR(IF(AND(AH!$E$4="Bloomberg",AH!$P$10=1,ISNUMBER($A1657),$A1657&lt;=AH!$P$17),AH!$P$7-1+MATCH($A1657,INDEX('AH History'!$A$1:$A$18046,AH!$P$7):INDEX('AH History'!$A$1:$A$18046,AH!$P$7+AH!$P$8-1),0),0),0)</ns0:f>
        <ns0:v/>
      </ns0:c>
      <ns0:c r="I1657">
        <ns0:f>IF($H1657=0,0,IFERROR(IF(AND(ABS($C1657-INDEX('AH History'!$B$1:$B$18046,$H1657))&lt;=MAX(0.005,ABS(INDEX('AH History'!$B$1:$B$18046,$H1657))*0.00005),ABS($D1657-INDEX('AH History'!$C$1:$C$18046,$H1657))&lt;=MAX(0.005,ABS(INDEX('AH History'!$C$1:$C$18046,$H1657))*0.00005),ABS($E1657-INDEX('AH History'!$D$1:$D$18046,$H1657))&lt;=0.00005,$F1657=INDEX('AH History'!$E$1:$E$18046,$H1657),$G1657=INDEX('AH History'!$F$1:$F$18046,$H1657)),1,-1),-1))</ns0:f>
        <ns0:v/>
      </ns0:c>
    </ns0:row>
    <ns0:row r="1658">
      <ns0:c r="A1658" s="215">
        <ns0:f>IF(OR(AH!$P$3=0,1653+1&gt;AH!$P$11,AND(AH!$E$4&lt;&gt;"Stored",AH!$P$10&lt;&gt;1)),"",IFERROR(IF(AND(AH!$P$21=1,1653+1=AH!$P$11),TODAY(),IF(AH!$P$10=1,INDEX('Live History'!$A$5:$A$3004,AH!$P$13+1653),INDEX('AH History'!$A$1:$A$18046,AH!$P$7+1653))),""))</ns0:f>
        <ns0:v/>
      </ns0:c>
      <ns0:c r="B1658" s="219">
        <ns0:f>IFERROR(IF(AND(AH!$P$9&lt;&gt;1,$C1658&gt;0,$D1658&gt;0,$E1658&gt;0,$F1658&gt;0,$G1658&gt;0,$F1658&lt;=$A1658,$G1658&lt;=$A1658,$A1658-$F1658&lt;=10,$A1658-$G1658&lt;=5),$D1658*$E1658/$C1658-1,NA()),NA())</ns0:f>
        <ns0:v/>
      </ns0:c>
      <ns0:c r="C1658">
        <ns0:f>IFERROR(IF(ISNUMBER($A1658),IF(AND(AH!$P$10=1,AH!$P$12=1,$A1658=TODAY()),AH!$P$19,IF(AH!$P$10=1,INDEX('Live History'!$B$5:$B$3004,AH!$P$13+1653),INDEX('AH History'!$B$1:$B$18046,AH!$P$7+1653))),NA()),NA())</ns0:f>
        <ns0:v/>
      </ns0:c>
      <ns0:c r="D1658">
        <ns0:f>IFERROR(IF(ISNUMBER($A1658),IF(AND(AH!$P$10=1,AH!$P$12=1,$A1658=TODAY()),AH!$P$18,IF(AH!$P$10=1,INDEX('Live History'!$E$5:$E$3004,MATCH($A1658,'Live History'!$D$5:$D$3004,1)),INDEX('AH History'!$C$1:$C$18046,AH!$P$7+1653))),NA()),NA())</ns0:f>
        <ns0:v/>
      </ns0:c>
      <ns0:c r="E1658">
        <ns0:f>IFERROR(IF(ISNUMBER($A1658),IF(AND(AH!$P$10=1,AH!$P$12=1,$A1658=TODAY()),AH!$P$20,IF(AH!$P$10=1,INDEX('Live History'!$H$5:$H$3004,MATCH($A1658,'Live History'!$G$5:$G$3004,1)),INDEX('AH History'!$D$1:$D$18046,AH!$P$7+1653))),NA()),NA())</ns0:f>
        <ns0:v/>
      </ns0:c>
      <ns0:c r="F1658">
        <ns0:f>IFERROR(IF(ISNUMBER($A1658),IF(AND(AH!$P$10=1,AH!$P$12=1,$A1658=TODAY()),IF(AND(AH!$P$10=1,AH!$P$12=1,$A1658=TODAY()),TODAY(),NA()),IF(AH!$P$10=1,INDEX('Live History'!$D$5:$D$3004,MATCH($A1658,'Live History'!$D$5:$D$3004,1)),INDEX('AH History'!$E$1:$E$18046,AH!$P$7+1653))),NA()),NA())</ns0:f>
        <ns0:v/>
      </ns0:c>
      <ns0:c r="G1658">
        <ns0:f>IFERROR(IF(ISNUMBER($A1658),IF(AND(AH!$P$10=1,AH!$P$12=1,$A1658=TODAY()),IF(AND(AH!$P$10=1,AH!$P$12=1,$A1658=TODAY()),TODAY(),NA()),IF(AH!$P$10=1,INDEX('Live History'!$G$5:$G$3004,MATCH($A1658,'Live History'!$G$5:$G$3004,1)),INDEX('AH History'!$F$1:$F$18046,AH!$P$7+1653))),NA()),NA())</ns0:f>
        <ns0:v/>
      </ns0:c>
      <ns0:c r="H1658">
        <ns0:f>IFERROR(IF(AND(AH!$E$4="Bloomberg",AH!$P$10=1,ISNUMBER($A1658),$A1658&lt;=AH!$P$17),AH!$P$7-1+MATCH($A1658,INDEX('AH History'!$A$1:$A$18046,AH!$P$7):INDEX('AH History'!$A$1:$A$18046,AH!$P$7+AH!$P$8-1),0),0),0)</ns0:f>
        <ns0:v/>
      </ns0:c>
      <ns0:c r="I1658">
        <ns0:f>IF($H1658=0,0,IFERROR(IF(AND(ABS($C1658-INDEX('AH History'!$B$1:$B$18046,$H1658))&lt;=MAX(0.005,ABS(INDEX('AH History'!$B$1:$B$18046,$H1658))*0.00005),ABS($D1658-INDEX('AH History'!$C$1:$C$18046,$H1658))&lt;=MAX(0.005,ABS(INDEX('AH History'!$C$1:$C$18046,$H1658))*0.00005),ABS($E1658-INDEX('AH History'!$D$1:$D$18046,$H1658))&lt;=0.00005,$F1658=INDEX('AH History'!$E$1:$E$18046,$H1658),$G1658=INDEX('AH History'!$F$1:$F$18046,$H1658)),1,-1),-1))</ns0:f>
        <ns0:v/>
      </ns0:c>
    </ns0:row>
    <ns0:row r="1659">
      <ns0:c r="A1659" s="215">
        <ns0:f>IF(OR(AH!$P$3=0,1654+1&gt;AH!$P$11,AND(AH!$E$4&lt;&gt;"Stored",AH!$P$10&lt;&gt;1)),"",IFERROR(IF(AND(AH!$P$21=1,1654+1=AH!$P$11),TODAY(),IF(AH!$P$10=1,INDEX('Live History'!$A$5:$A$3004,AH!$P$13+1654),INDEX('AH History'!$A$1:$A$18046,AH!$P$7+1654))),""))</ns0:f>
        <ns0:v/>
      </ns0:c>
      <ns0:c r="B1659" s="219">
        <ns0:f>IFERROR(IF(AND(AH!$P$9&lt;&gt;1,$C1659&gt;0,$D1659&gt;0,$E1659&gt;0,$F1659&gt;0,$G1659&gt;0,$F1659&lt;=$A1659,$G1659&lt;=$A1659,$A1659-$F1659&lt;=10,$A1659-$G1659&lt;=5),$D1659*$E1659/$C1659-1,NA()),NA())</ns0:f>
        <ns0:v/>
      </ns0:c>
      <ns0:c r="C1659">
        <ns0:f>IFERROR(IF(ISNUMBER($A1659),IF(AND(AH!$P$10=1,AH!$P$12=1,$A1659=TODAY()),AH!$P$19,IF(AH!$P$10=1,INDEX('Live History'!$B$5:$B$3004,AH!$P$13+1654),INDEX('AH History'!$B$1:$B$18046,AH!$P$7+1654))),NA()),NA())</ns0:f>
        <ns0:v/>
      </ns0:c>
      <ns0:c r="D1659">
        <ns0:f>IFERROR(IF(ISNUMBER($A1659),IF(AND(AH!$P$10=1,AH!$P$12=1,$A1659=TODAY()),AH!$P$18,IF(AH!$P$10=1,INDEX('Live History'!$E$5:$E$3004,MATCH($A1659,'Live History'!$D$5:$D$3004,1)),INDEX('AH History'!$C$1:$C$18046,AH!$P$7+1654))),NA()),NA())</ns0:f>
        <ns0:v/>
      </ns0:c>
      <ns0:c r="E1659">
        <ns0:f>IFERROR(IF(ISNUMBER($A1659),IF(AND(AH!$P$10=1,AH!$P$12=1,$A1659=TODAY()),AH!$P$20,IF(AH!$P$10=1,INDEX('Live History'!$H$5:$H$3004,MATCH($A1659,'Live History'!$G$5:$G$3004,1)),INDEX('AH History'!$D$1:$D$18046,AH!$P$7+1654))),NA()),NA())</ns0:f>
        <ns0:v/>
      </ns0:c>
      <ns0:c r="F1659">
        <ns0:f>IFERROR(IF(ISNUMBER($A1659),IF(AND(AH!$P$10=1,AH!$P$12=1,$A1659=TODAY()),IF(AND(AH!$P$10=1,AH!$P$12=1,$A1659=TODAY()),TODAY(),NA()),IF(AH!$P$10=1,INDEX('Live History'!$D$5:$D$3004,MATCH($A1659,'Live History'!$D$5:$D$3004,1)),INDEX('AH History'!$E$1:$E$18046,AH!$P$7+1654))),NA()),NA())</ns0:f>
        <ns0:v/>
      </ns0:c>
      <ns0:c r="G1659">
        <ns0:f>IFERROR(IF(ISNUMBER($A1659),IF(AND(AH!$P$10=1,AH!$P$12=1,$A1659=TODAY()),IF(AND(AH!$P$10=1,AH!$P$12=1,$A1659=TODAY()),TODAY(),NA()),IF(AH!$P$10=1,INDEX('Live History'!$G$5:$G$3004,MATCH($A1659,'Live History'!$G$5:$G$3004,1)),INDEX('AH History'!$F$1:$F$18046,AH!$P$7+1654))),NA()),NA())</ns0:f>
        <ns0:v/>
      </ns0:c>
      <ns0:c r="H1659">
        <ns0:f>IFERROR(IF(AND(AH!$E$4="Bloomberg",AH!$P$10=1,ISNUMBER($A1659),$A1659&lt;=AH!$P$17),AH!$P$7-1+MATCH($A1659,INDEX('AH History'!$A$1:$A$18046,AH!$P$7):INDEX('AH History'!$A$1:$A$18046,AH!$P$7+AH!$P$8-1),0),0),0)</ns0:f>
        <ns0:v/>
      </ns0:c>
      <ns0:c r="I1659">
        <ns0:f>IF($H1659=0,0,IFERROR(IF(AND(ABS($C1659-INDEX('AH History'!$B$1:$B$18046,$H1659))&lt;=MAX(0.005,ABS(INDEX('AH History'!$B$1:$B$18046,$H1659))*0.00005),ABS($D1659-INDEX('AH History'!$C$1:$C$18046,$H1659))&lt;=MAX(0.005,ABS(INDEX('AH History'!$C$1:$C$18046,$H1659))*0.00005),ABS($E1659-INDEX('AH History'!$D$1:$D$18046,$H1659))&lt;=0.00005,$F1659=INDEX('AH History'!$E$1:$E$18046,$H1659),$G1659=INDEX('AH History'!$F$1:$F$18046,$H1659)),1,-1),-1))</ns0:f>
        <ns0:v/>
      </ns0:c>
    </ns0:row>
    <ns0:row r="1660">
      <ns0:c r="A1660" s="215">
        <ns0:f>IF(OR(AH!$P$3=0,1655+1&gt;AH!$P$11,AND(AH!$E$4&lt;&gt;"Stored",AH!$P$10&lt;&gt;1)),"",IFERROR(IF(AND(AH!$P$21=1,1655+1=AH!$P$11),TODAY(),IF(AH!$P$10=1,INDEX('Live History'!$A$5:$A$3004,AH!$P$13+1655),INDEX('AH History'!$A$1:$A$18046,AH!$P$7+1655))),""))</ns0:f>
        <ns0:v/>
      </ns0:c>
      <ns0:c r="B1660" s="219">
        <ns0:f>IFERROR(IF(AND(AH!$P$9&lt;&gt;1,$C1660&gt;0,$D1660&gt;0,$E1660&gt;0,$F1660&gt;0,$G1660&gt;0,$F1660&lt;=$A1660,$G1660&lt;=$A1660,$A1660-$F1660&lt;=10,$A1660-$G1660&lt;=5),$D1660*$E1660/$C1660-1,NA()),NA())</ns0:f>
        <ns0:v/>
      </ns0:c>
      <ns0:c r="C1660">
        <ns0:f>IFERROR(IF(ISNUMBER($A1660),IF(AND(AH!$P$10=1,AH!$P$12=1,$A1660=TODAY()),AH!$P$19,IF(AH!$P$10=1,INDEX('Live History'!$B$5:$B$3004,AH!$P$13+1655),INDEX('AH History'!$B$1:$B$18046,AH!$P$7+1655))),NA()),NA())</ns0:f>
        <ns0:v/>
      </ns0:c>
      <ns0:c r="D1660">
        <ns0:f>IFERROR(IF(ISNUMBER($A1660),IF(AND(AH!$P$10=1,AH!$P$12=1,$A1660=TODAY()),AH!$P$18,IF(AH!$P$10=1,INDEX('Live History'!$E$5:$E$3004,MATCH($A1660,'Live History'!$D$5:$D$3004,1)),INDEX('AH History'!$C$1:$C$18046,AH!$P$7+1655))),NA()),NA())</ns0:f>
        <ns0:v/>
      </ns0:c>
      <ns0:c r="E1660">
        <ns0:f>IFERROR(IF(ISNUMBER($A1660),IF(AND(AH!$P$10=1,AH!$P$12=1,$A1660=TODAY()),AH!$P$20,IF(AH!$P$10=1,INDEX('Live History'!$H$5:$H$3004,MATCH($A1660,'Live History'!$G$5:$G$3004,1)),INDEX('AH History'!$D$1:$D$18046,AH!$P$7+1655))),NA()),NA())</ns0:f>
        <ns0:v/>
      </ns0:c>
      <ns0:c r="F1660">
        <ns0:f>IFERROR(IF(ISNUMBER($A1660),IF(AND(AH!$P$10=1,AH!$P$12=1,$A1660=TODAY()),IF(AND(AH!$P$10=1,AH!$P$12=1,$A1660=TODAY()),TODAY(),NA()),IF(AH!$P$10=1,INDEX('Live History'!$D$5:$D$3004,MATCH($A1660,'Live History'!$D$5:$D$3004,1)),INDEX('AH History'!$E$1:$E$18046,AH!$P$7+1655))),NA()),NA())</ns0:f>
        <ns0:v/>
      </ns0:c>
      <ns0:c r="G1660">
        <ns0:f>IFERROR(IF(ISNUMBER($A1660),IF(AND(AH!$P$10=1,AH!$P$12=1,$A1660=TODAY()),IF(AND(AH!$P$10=1,AH!$P$12=1,$A1660=TODAY()),TODAY(),NA()),IF(AH!$P$10=1,INDEX('Live History'!$G$5:$G$3004,MATCH($A1660,'Live History'!$G$5:$G$3004,1)),INDEX('AH History'!$F$1:$F$18046,AH!$P$7+1655))),NA()),NA())</ns0:f>
        <ns0:v/>
      </ns0:c>
      <ns0:c r="H1660">
        <ns0:f>IFERROR(IF(AND(AH!$E$4="Bloomberg",AH!$P$10=1,ISNUMBER($A1660),$A1660&lt;=AH!$P$17),AH!$P$7-1+MATCH($A1660,INDEX('AH History'!$A$1:$A$18046,AH!$P$7):INDEX('AH History'!$A$1:$A$18046,AH!$P$7+AH!$P$8-1),0),0),0)</ns0:f>
        <ns0:v/>
      </ns0:c>
      <ns0:c r="I1660">
        <ns0:f>IF($H1660=0,0,IFERROR(IF(AND(ABS($C1660-INDEX('AH History'!$B$1:$B$18046,$H1660))&lt;=MAX(0.005,ABS(INDEX('AH History'!$B$1:$B$18046,$H1660))*0.00005),ABS($D1660-INDEX('AH History'!$C$1:$C$18046,$H1660))&lt;=MAX(0.005,ABS(INDEX('AH History'!$C$1:$C$18046,$H1660))*0.00005),ABS($E1660-INDEX('AH History'!$D$1:$D$18046,$H1660))&lt;=0.00005,$F1660=INDEX('AH History'!$E$1:$E$18046,$H1660),$G1660=INDEX('AH History'!$F$1:$F$18046,$H1660)),1,-1),-1))</ns0:f>
        <ns0:v/>
      </ns0:c>
    </ns0:row>
    <ns0:row r="1661">
      <ns0:c r="A1661" s="215">
        <ns0:f>IF(OR(AH!$P$3=0,1656+1&gt;AH!$P$11,AND(AH!$E$4&lt;&gt;"Stored",AH!$P$10&lt;&gt;1)),"",IFERROR(IF(AND(AH!$P$21=1,1656+1=AH!$P$11),TODAY(),IF(AH!$P$10=1,INDEX('Live History'!$A$5:$A$3004,AH!$P$13+1656),INDEX('AH History'!$A$1:$A$18046,AH!$P$7+1656))),""))</ns0:f>
        <ns0:v/>
      </ns0:c>
      <ns0:c r="B1661" s="219">
        <ns0:f>IFERROR(IF(AND(AH!$P$9&lt;&gt;1,$C1661&gt;0,$D1661&gt;0,$E1661&gt;0,$F1661&gt;0,$G1661&gt;0,$F1661&lt;=$A1661,$G1661&lt;=$A1661,$A1661-$F1661&lt;=10,$A1661-$G1661&lt;=5),$D1661*$E1661/$C1661-1,NA()),NA())</ns0:f>
        <ns0:v/>
      </ns0:c>
      <ns0:c r="C1661">
        <ns0:f>IFERROR(IF(ISNUMBER($A1661),IF(AND(AH!$P$10=1,AH!$P$12=1,$A1661=TODAY()),AH!$P$19,IF(AH!$P$10=1,INDEX('Live History'!$B$5:$B$3004,AH!$P$13+1656),INDEX('AH History'!$B$1:$B$18046,AH!$P$7+1656))),NA()),NA())</ns0:f>
        <ns0:v/>
      </ns0:c>
      <ns0:c r="D1661">
        <ns0:f>IFERROR(IF(ISNUMBER($A1661),IF(AND(AH!$P$10=1,AH!$P$12=1,$A1661=TODAY()),AH!$P$18,IF(AH!$P$10=1,INDEX('Live History'!$E$5:$E$3004,MATCH($A1661,'Live History'!$D$5:$D$3004,1)),INDEX('AH History'!$C$1:$C$18046,AH!$P$7+1656))),NA()),NA())</ns0:f>
        <ns0:v/>
      </ns0:c>
      <ns0:c r="E1661">
        <ns0:f>IFERROR(IF(ISNUMBER($A1661),IF(AND(AH!$P$10=1,AH!$P$12=1,$A1661=TODAY()),AH!$P$20,IF(AH!$P$10=1,INDEX('Live History'!$H$5:$H$3004,MATCH($A1661,'Live History'!$G$5:$G$3004,1)),INDEX('AH History'!$D$1:$D$18046,AH!$P$7+1656))),NA()),NA())</ns0:f>
        <ns0:v/>
      </ns0:c>
      <ns0:c r="F1661">
        <ns0:f>IFERROR(IF(ISNUMBER($A1661),IF(AND(AH!$P$10=1,AH!$P$12=1,$A1661=TODAY()),IF(AND(AH!$P$10=1,AH!$P$12=1,$A1661=TODAY()),TODAY(),NA()),IF(AH!$P$10=1,INDEX('Live History'!$D$5:$D$3004,MATCH($A1661,'Live History'!$D$5:$D$3004,1)),INDEX('AH History'!$E$1:$E$18046,AH!$P$7+1656))),NA()),NA())</ns0:f>
        <ns0:v/>
      </ns0:c>
      <ns0:c r="G1661">
        <ns0:f>IFERROR(IF(ISNUMBER($A1661),IF(AND(AH!$P$10=1,AH!$P$12=1,$A1661=TODAY()),IF(AND(AH!$P$10=1,AH!$P$12=1,$A1661=TODAY()),TODAY(),NA()),IF(AH!$P$10=1,INDEX('Live History'!$G$5:$G$3004,MATCH($A1661,'Live History'!$G$5:$G$3004,1)),INDEX('AH History'!$F$1:$F$18046,AH!$P$7+1656))),NA()),NA())</ns0:f>
        <ns0:v/>
      </ns0:c>
      <ns0:c r="H1661">
        <ns0:f>IFERROR(IF(AND(AH!$E$4="Bloomberg",AH!$P$10=1,ISNUMBER($A1661),$A1661&lt;=AH!$P$17),AH!$P$7-1+MATCH($A1661,INDEX('AH History'!$A$1:$A$18046,AH!$P$7):INDEX('AH History'!$A$1:$A$18046,AH!$P$7+AH!$P$8-1),0),0),0)</ns0:f>
        <ns0:v/>
      </ns0:c>
      <ns0:c r="I1661">
        <ns0:f>IF($H1661=0,0,IFERROR(IF(AND(ABS($C1661-INDEX('AH History'!$B$1:$B$18046,$H1661))&lt;=MAX(0.005,ABS(INDEX('AH History'!$B$1:$B$18046,$H1661))*0.00005),ABS($D1661-INDEX('AH History'!$C$1:$C$18046,$H1661))&lt;=MAX(0.005,ABS(INDEX('AH History'!$C$1:$C$18046,$H1661))*0.00005),ABS($E1661-INDEX('AH History'!$D$1:$D$18046,$H1661))&lt;=0.00005,$F1661=INDEX('AH History'!$E$1:$E$18046,$H1661),$G1661=INDEX('AH History'!$F$1:$F$18046,$H1661)),1,-1),-1))</ns0:f>
        <ns0:v/>
      </ns0:c>
    </ns0:row>
    <ns0:row r="1662">
      <ns0:c r="A1662" s="215">
        <ns0:f>IF(OR(AH!$P$3=0,1657+1&gt;AH!$P$11,AND(AH!$E$4&lt;&gt;"Stored",AH!$P$10&lt;&gt;1)),"",IFERROR(IF(AND(AH!$P$21=1,1657+1=AH!$P$11),TODAY(),IF(AH!$P$10=1,INDEX('Live History'!$A$5:$A$3004,AH!$P$13+1657),INDEX('AH History'!$A$1:$A$18046,AH!$P$7+1657))),""))</ns0:f>
        <ns0:v/>
      </ns0:c>
      <ns0:c r="B1662" s="219">
        <ns0:f>IFERROR(IF(AND(AH!$P$9&lt;&gt;1,$C1662&gt;0,$D1662&gt;0,$E1662&gt;0,$F1662&gt;0,$G1662&gt;0,$F1662&lt;=$A1662,$G1662&lt;=$A1662,$A1662-$F1662&lt;=10,$A1662-$G1662&lt;=5),$D1662*$E1662/$C1662-1,NA()),NA())</ns0:f>
        <ns0:v/>
      </ns0:c>
      <ns0:c r="C1662">
        <ns0:f>IFERROR(IF(ISNUMBER($A1662),IF(AND(AH!$P$10=1,AH!$P$12=1,$A1662=TODAY()),AH!$P$19,IF(AH!$P$10=1,INDEX('Live History'!$B$5:$B$3004,AH!$P$13+1657),INDEX('AH History'!$B$1:$B$18046,AH!$P$7+1657))),NA()),NA())</ns0:f>
        <ns0:v/>
      </ns0:c>
      <ns0:c r="D1662">
        <ns0:f>IFERROR(IF(ISNUMBER($A1662),IF(AND(AH!$P$10=1,AH!$P$12=1,$A1662=TODAY()),AH!$P$18,IF(AH!$P$10=1,INDEX('Live History'!$E$5:$E$3004,MATCH($A1662,'Live History'!$D$5:$D$3004,1)),INDEX('AH History'!$C$1:$C$18046,AH!$P$7+1657))),NA()),NA())</ns0:f>
        <ns0:v/>
      </ns0:c>
      <ns0:c r="E1662">
        <ns0:f>IFERROR(IF(ISNUMBER($A1662),IF(AND(AH!$P$10=1,AH!$P$12=1,$A1662=TODAY()),AH!$P$20,IF(AH!$P$10=1,INDEX('Live History'!$H$5:$H$3004,MATCH($A1662,'Live History'!$G$5:$G$3004,1)),INDEX('AH History'!$D$1:$D$18046,AH!$P$7+1657))),NA()),NA())</ns0:f>
        <ns0:v/>
      </ns0:c>
      <ns0:c r="F1662">
        <ns0:f>IFERROR(IF(ISNUMBER($A1662),IF(AND(AH!$P$10=1,AH!$P$12=1,$A1662=TODAY()),IF(AND(AH!$P$10=1,AH!$P$12=1,$A1662=TODAY()),TODAY(),NA()),IF(AH!$P$10=1,INDEX('Live History'!$D$5:$D$3004,MATCH($A1662,'Live History'!$D$5:$D$3004,1)),INDEX('AH History'!$E$1:$E$18046,AH!$P$7+1657))),NA()),NA())</ns0:f>
        <ns0:v/>
      </ns0:c>
      <ns0:c r="G1662">
        <ns0:f>IFERROR(IF(ISNUMBER($A1662),IF(AND(AH!$P$10=1,AH!$P$12=1,$A1662=TODAY()),IF(AND(AH!$P$10=1,AH!$P$12=1,$A1662=TODAY()),TODAY(),NA()),IF(AH!$P$10=1,INDEX('Live History'!$G$5:$G$3004,MATCH($A1662,'Live History'!$G$5:$G$3004,1)),INDEX('AH History'!$F$1:$F$18046,AH!$P$7+1657))),NA()),NA())</ns0:f>
        <ns0:v/>
      </ns0:c>
      <ns0:c r="H1662">
        <ns0:f>IFERROR(IF(AND(AH!$E$4="Bloomberg",AH!$P$10=1,ISNUMBER($A1662),$A1662&lt;=AH!$P$17),AH!$P$7-1+MATCH($A1662,INDEX('AH History'!$A$1:$A$18046,AH!$P$7):INDEX('AH History'!$A$1:$A$18046,AH!$P$7+AH!$P$8-1),0),0),0)</ns0:f>
        <ns0:v/>
      </ns0:c>
      <ns0:c r="I1662">
        <ns0:f>IF($H1662=0,0,IFERROR(IF(AND(ABS($C1662-INDEX('AH History'!$B$1:$B$18046,$H1662))&lt;=MAX(0.005,ABS(INDEX('AH History'!$B$1:$B$18046,$H1662))*0.00005),ABS($D1662-INDEX('AH History'!$C$1:$C$18046,$H1662))&lt;=MAX(0.005,ABS(INDEX('AH History'!$C$1:$C$18046,$H1662))*0.00005),ABS($E1662-INDEX('AH History'!$D$1:$D$18046,$H1662))&lt;=0.00005,$F1662=INDEX('AH History'!$E$1:$E$18046,$H1662),$G1662=INDEX('AH History'!$F$1:$F$18046,$H1662)),1,-1),-1))</ns0:f>
        <ns0:v/>
      </ns0:c>
    </ns0:row>
    <ns0:row r="1663">
      <ns0:c r="A1663" s="215">
        <ns0:f>IF(OR(AH!$P$3=0,1658+1&gt;AH!$P$11,AND(AH!$E$4&lt;&gt;"Stored",AH!$P$10&lt;&gt;1)),"",IFERROR(IF(AND(AH!$P$21=1,1658+1=AH!$P$11),TODAY(),IF(AH!$P$10=1,INDEX('Live History'!$A$5:$A$3004,AH!$P$13+1658),INDEX('AH History'!$A$1:$A$18046,AH!$P$7+1658))),""))</ns0:f>
        <ns0:v/>
      </ns0:c>
      <ns0:c r="B1663" s="219">
        <ns0:f>IFERROR(IF(AND(AH!$P$9&lt;&gt;1,$C1663&gt;0,$D1663&gt;0,$E1663&gt;0,$F1663&gt;0,$G1663&gt;0,$F1663&lt;=$A1663,$G1663&lt;=$A1663,$A1663-$F1663&lt;=10,$A1663-$G1663&lt;=5),$D1663*$E1663/$C1663-1,NA()),NA())</ns0:f>
        <ns0:v/>
      </ns0:c>
      <ns0:c r="C1663">
        <ns0:f>IFERROR(IF(ISNUMBER($A1663),IF(AND(AH!$P$10=1,AH!$P$12=1,$A1663=TODAY()),AH!$P$19,IF(AH!$P$10=1,INDEX('Live History'!$B$5:$B$3004,AH!$P$13+1658),INDEX('AH History'!$B$1:$B$18046,AH!$P$7+1658))),NA()),NA())</ns0:f>
        <ns0:v/>
      </ns0:c>
      <ns0:c r="D1663">
        <ns0:f>IFERROR(IF(ISNUMBER($A1663),IF(AND(AH!$P$10=1,AH!$P$12=1,$A1663=TODAY()),AH!$P$18,IF(AH!$P$10=1,INDEX('Live History'!$E$5:$E$3004,MATCH($A1663,'Live History'!$D$5:$D$3004,1)),INDEX('AH History'!$C$1:$C$18046,AH!$P$7+1658))),NA()),NA())</ns0:f>
        <ns0:v/>
      </ns0:c>
      <ns0:c r="E1663">
        <ns0:f>IFERROR(IF(ISNUMBER($A1663),IF(AND(AH!$P$10=1,AH!$P$12=1,$A1663=TODAY()),AH!$P$20,IF(AH!$P$10=1,INDEX('Live History'!$H$5:$H$3004,MATCH($A1663,'Live History'!$G$5:$G$3004,1)),INDEX('AH History'!$D$1:$D$18046,AH!$P$7+1658))),NA()),NA())</ns0:f>
        <ns0:v/>
      </ns0:c>
      <ns0:c r="F1663">
        <ns0:f>IFERROR(IF(ISNUMBER($A1663),IF(AND(AH!$P$10=1,AH!$P$12=1,$A1663=TODAY()),IF(AND(AH!$P$10=1,AH!$P$12=1,$A1663=TODAY()),TODAY(),NA()),IF(AH!$P$10=1,INDEX('Live History'!$D$5:$D$3004,MATCH($A1663,'Live History'!$D$5:$D$3004,1)),INDEX('AH History'!$E$1:$E$18046,AH!$P$7+1658))),NA()),NA())</ns0:f>
        <ns0:v/>
      </ns0:c>
      <ns0:c r="G1663">
        <ns0:f>IFERROR(IF(ISNUMBER($A1663),IF(AND(AH!$P$10=1,AH!$P$12=1,$A1663=TODAY()),IF(AND(AH!$P$10=1,AH!$P$12=1,$A1663=TODAY()),TODAY(),NA()),IF(AH!$P$10=1,INDEX('Live History'!$G$5:$G$3004,MATCH($A1663,'Live History'!$G$5:$G$3004,1)),INDEX('AH History'!$F$1:$F$18046,AH!$P$7+1658))),NA()),NA())</ns0:f>
        <ns0:v/>
      </ns0:c>
      <ns0:c r="H1663">
        <ns0:f>IFERROR(IF(AND(AH!$E$4="Bloomberg",AH!$P$10=1,ISNUMBER($A1663),$A1663&lt;=AH!$P$17),AH!$P$7-1+MATCH($A1663,INDEX('AH History'!$A$1:$A$18046,AH!$P$7):INDEX('AH History'!$A$1:$A$18046,AH!$P$7+AH!$P$8-1),0),0),0)</ns0:f>
        <ns0:v/>
      </ns0:c>
      <ns0:c r="I1663">
        <ns0:f>IF($H1663=0,0,IFERROR(IF(AND(ABS($C1663-INDEX('AH History'!$B$1:$B$18046,$H1663))&lt;=MAX(0.005,ABS(INDEX('AH History'!$B$1:$B$18046,$H1663))*0.00005),ABS($D1663-INDEX('AH History'!$C$1:$C$18046,$H1663))&lt;=MAX(0.005,ABS(INDEX('AH History'!$C$1:$C$18046,$H1663))*0.00005),ABS($E1663-INDEX('AH History'!$D$1:$D$18046,$H1663))&lt;=0.00005,$F1663=INDEX('AH History'!$E$1:$E$18046,$H1663),$G1663=INDEX('AH History'!$F$1:$F$18046,$H1663)),1,-1),-1))</ns0:f>
        <ns0:v/>
      </ns0:c>
    </ns0:row>
    <ns0:row r="1664">
      <ns0:c r="A1664" s="215">
        <ns0:f>IF(OR(AH!$P$3=0,1659+1&gt;AH!$P$11,AND(AH!$E$4&lt;&gt;"Stored",AH!$P$10&lt;&gt;1)),"",IFERROR(IF(AND(AH!$P$21=1,1659+1=AH!$P$11),TODAY(),IF(AH!$P$10=1,INDEX('Live History'!$A$5:$A$3004,AH!$P$13+1659),INDEX('AH History'!$A$1:$A$18046,AH!$P$7+1659))),""))</ns0:f>
        <ns0:v/>
      </ns0:c>
      <ns0:c r="B1664" s="219">
        <ns0:f>IFERROR(IF(AND(AH!$P$9&lt;&gt;1,$C1664&gt;0,$D1664&gt;0,$E1664&gt;0,$F1664&gt;0,$G1664&gt;0,$F1664&lt;=$A1664,$G1664&lt;=$A1664,$A1664-$F1664&lt;=10,$A1664-$G1664&lt;=5),$D1664*$E1664/$C1664-1,NA()),NA())</ns0:f>
        <ns0:v/>
      </ns0:c>
      <ns0:c r="C1664">
        <ns0:f>IFERROR(IF(ISNUMBER($A1664),IF(AND(AH!$P$10=1,AH!$P$12=1,$A1664=TODAY()),AH!$P$19,IF(AH!$P$10=1,INDEX('Live History'!$B$5:$B$3004,AH!$P$13+1659),INDEX('AH History'!$B$1:$B$18046,AH!$P$7+1659))),NA()),NA())</ns0:f>
        <ns0:v/>
      </ns0:c>
      <ns0:c r="D1664">
        <ns0:f>IFERROR(IF(ISNUMBER($A1664),IF(AND(AH!$P$10=1,AH!$P$12=1,$A1664=TODAY()),AH!$P$18,IF(AH!$P$10=1,INDEX('Live History'!$E$5:$E$3004,MATCH($A1664,'Live History'!$D$5:$D$3004,1)),INDEX('AH History'!$C$1:$C$18046,AH!$P$7+1659))),NA()),NA())</ns0:f>
        <ns0:v/>
      </ns0:c>
      <ns0:c r="E1664">
        <ns0:f>IFERROR(IF(ISNUMBER($A1664),IF(AND(AH!$P$10=1,AH!$P$12=1,$A1664=TODAY()),AH!$P$20,IF(AH!$P$10=1,INDEX('Live History'!$H$5:$H$3004,MATCH($A1664,'Live History'!$G$5:$G$3004,1)),INDEX('AH History'!$D$1:$D$18046,AH!$P$7+1659))),NA()),NA())</ns0:f>
        <ns0:v/>
      </ns0:c>
      <ns0:c r="F1664">
        <ns0:f>IFERROR(IF(ISNUMBER($A1664),IF(AND(AH!$P$10=1,AH!$P$12=1,$A1664=TODAY()),IF(AND(AH!$P$10=1,AH!$P$12=1,$A1664=TODAY()),TODAY(),NA()),IF(AH!$P$10=1,INDEX('Live History'!$D$5:$D$3004,MATCH($A1664,'Live History'!$D$5:$D$3004,1)),INDEX('AH History'!$E$1:$E$18046,AH!$P$7+1659))),NA()),NA())</ns0:f>
        <ns0:v/>
      </ns0:c>
      <ns0:c r="G1664">
        <ns0:f>IFERROR(IF(ISNUMBER($A1664),IF(AND(AH!$P$10=1,AH!$P$12=1,$A1664=TODAY()),IF(AND(AH!$P$10=1,AH!$P$12=1,$A1664=TODAY()),TODAY(),NA()),IF(AH!$P$10=1,INDEX('Live History'!$G$5:$G$3004,MATCH($A1664,'Live History'!$G$5:$G$3004,1)),INDEX('AH History'!$F$1:$F$18046,AH!$P$7+1659))),NA()),NA())</ns0:f>
        <ns0:v/>
      </ns0:c>
      <ns0:c r="H1664">
        <ns0:f>IFERROR(IF(AND(AH!$E$4="Bloomberg",AH!$P$10=1,ISNUMBER($A1664),$A1664&lt;=AH!$P$17),AH!$P$7-1+MATCH($A1664,INDEX('AH History'!$A$1:$A$18046,AH!$P$7):INDEX('AH History'!$A$1:$A$18046,AH!$P$7+AH!$P$8-1),0),0),0)</ns0:f>
        <ns0:v/>
      </ns0:c>
      <ns0:c r="I1664">
        <ns0:f>IF($H1664=0,0,IFERROR(IF(AND(ABS($C1664-INDEX('AH History'!$B$1:$B$18046,$H1664))&lt;=MAX(0.005,ABS(INDEX('AH History'!$B$1:$B$18046,$H1664))*0.00005),ABS($D1664-INDEX('AH History'!$C$1:$C$18046,$H1664))&lt;=MAX(0.005,ABS(INDEX('AH History'!$C$1:$C$18046,$H1664))*0.00005),ABS($E1664-INDEX('AH History'!$D$1:$D$18046,$H1664))&lt;=0.00005,$F1664=INDEX('AH History'!$E$1:$E$18046,$H1664),$G1664=INDEX('AH History'!$F$1:$F$18046,$H1664)),1,-1),-1))</ns0:f>
        <ns0:v/>
      </ns0:c>
    </ns0:row>
    <ns0:row r="1665">
      <ns0:c r="A1665" s="215">
        <ns0:f>IF(OR(AH!$P$3=0,1660+1&gt;AH!$P$11,AND(AH!$E$4&lt;&gt;"Stored",AH!$P$10&lt;&gt;1)),"",IFERROR(IF(AND(AH!$P$21=1,1660+1=AH!$P$11),TODAY(),IF(AH!$P$10=1,INDEX('Live History'!$A$5:$A$3004,AH!$P$13+1660),INDEX('AH History'!$A$1:$A$18046,AH!$P$7+1660))),""))</ns0:f>
        <ns0:v/>
      </ns0:c>
      <ns0:c r="B1665" s="219">
        <ns0:f>IFERROR(IF(AND(AH!$P$9&lt;&gt;1,$C1665&gt;0,$D1665&gt;0,$E1665&gt;0,$F1665&gt;0,$G1665&gt;0,$F1665&lt;=$A1665,$G1665&lt;=$A1665,$A1665-$F1665&lt;=10,$A1665-$G1665&lt;=5),$D1665*$E1665/$C1665-1,NA()),NA())</ns0:f>
        <ns0:v/>
      </ns0:c>
      <ns0:c r="C1665">
        <ns0:f>IFERROR(IF(ISNUMBER($A1665),IF(AND(AH!$P$10=1,AH!$P$12=1,$A1665=TODAY()),AH!$P$19,IF(AH!$P$10=1,INDEX('Live History'!$B$5:$B$3004,AH!$P$13+1660),INDEX('AH History'!$B$1:$B$18046,AH!$P$7+1660))),NA()),NA())</ns0:f>
        <ns0:v/>
      </ns0:c>
      <ns0:c r="D1665">
        <ns0:f>IFERROR(IF(ISNUMBER($A1665),IF(AND(AH!$P$10=1,AH!$P$12=1,$A1665=TODAY()),AH!$P$18,IF(AH!$P$10=1,INDEX('Live History'!$E$5:$E$3004,MATCH($A1665,'Live History'!$D$5:$D$3004,1)),INDEX('AH History'!$C$1:$C$18046,AH!$P$7+1660))),NA()),NA())</ns0:f>
        <ns0:v/>
      </ns0:c>
      <ns0:c r="E1665">
        <ns0:f>IFERROR(IF(ISNUMBER($A1665),IF(AND(AH!$P$10=1,AH!$P$12=1,$A1665=TODAY()),AH!$P$20,IF(AH!$P$10=1,INDEX('Live History'!$H$5:$H$3004,MATCH($A1665,'Live History'!$G$5:$G$3004,1)),INDEX('AH History'!$D$1:$D$18046,AH!$P$7+1660))),NA()),NA())</ns0:f>
        <ns0:v/>
      </ns0:c>
      <ns0:c r="F1665">
        <ns0:f>IFERROR(IF(ISNUMBER($A1665),IF(AND(AH!$P$10=1,AH!$P$12=1,$A1665=TODAY()),IF(AND(AH!$P$10=1,AH!$P$12=1,$A1665=TODAY()),TODAY(),NA()),IF(AH!$P$10=1,INDEX('Live History'!$D$5:$D$3004,MATCH($A1665,'Live History'!$D$5:$D$3004,1)),INDEX('AH History'!$E$1:$E$18046,AH!$P$7+1660))),NA()),NA())</ns0:f>
        <ns0:v/>
      </ns0:c>
      <ns0:c r="G1665">
        <ns0:f>IFERROR(IF(ISNUMBER($A1665),IF(AND(AH!$P$10=1,AH!$P$12=1,$A1665=TODAY()),IF(AND(AH!$P$10=1,AH!$P$12=1,$A1665=TODAY()),TODAY(),NA()),IF(AH!$P$10=1,INDEX('Live History'!$G$5:$G$3004,MATCH($A1665,'Live History'!$G$5:$G$3004,1)),INDEX('AH History'!$F$1:$F$18046,AH!$P$7+1660))),NA()),NA())</ns0:f>
        <ns0:v/>
      </ns0:c>
      <ns0:c r="H1665">
        <ns0:f>IFERROR(IF(AND(AH!$E$4="Bloomberg",AH!$P$10=1,ISNUMBER($A1665),$A1665&lt;=AH!$P$17),AH!$P$7-1+MATCH($A1665,INDEX('AH History'!$A$1:$A$18046,AH!$P$7):INDEX('AH History'!$A$1:$A$18046,AH!$P$7+AH!$P$8-1),0),0),0)</ns0:f>
        <ns0:v/>
      </ns0:c>
      <ns0:c r="I1665">
        <ns0:f>IF($H1665=0,0,IFERROR(IF(AND(ABS($C1665-INDEX('AH History'!$B$1:$B$18046,$H1665))&lt;=MAX(0.005,ABS(INDEX('AH History'!$B$1:$B$18046,$H1665))*0.00005),ABS($D1665-INDEX('AH History'!$C$1:$C$18046,$H1665))&lt;=MAX(0.005,ABS(INDEX('AH History'!$C$1:$C$18046,$H1665))*0.00005),ABS($E1665-INDEX('AH History'!$D$1:$D$18046,$H1665))&lt;=0.00005,$F1665=INDEX('AH History'!$E$1:$E$18046,$H1665),$G1665=INDEX('AH History'!$F$1:$F$18046,$H1665)),1,-1),-1))</ns0:f>
        <ns0:v/>
      </ns0:c>
    </ns0:row>
    <ns0:row r="1666">
      <ns0:c r="A1666" s="215">
        <ns0:f>IF(OR(AH!$P$3=0,1661+1&gt;AH!$P$11,AND(AH!$E$4&lt;&gt;"Stored",AH!$P$10&lt;&gt;1)),"",IFERROR(IF(AND(AH!$P$21=1,1661+1=AH!$P$11),TODAY(),IF(AH!$P$10=1,INDEX('Live History'!$A$5:$A$3004,AH!$P$13+1661),INDEX('AH History'!$A$1:$A$18046,AH!$P$7+1661))),""))</ns0:f>
        <ns0:v/>
      </ns0:c>
      <ns0:c r="B1666" s="219">
        <ns0:f>IFERROR(IF(AND(AH!$P$9&lt;&gt;1,$C1666&gt;0,$D1666&gt;0,$E1666&gt;0,$F1666&gt;0,$G1666&gt;0,$F1666&lt;=$A1666,$G1666&lt;=$A1666,$A1666-$F1666&lt;=10,$A1666-$G1666&lt;=5),$D1666*$E1666/$C1666-1,NA()),NA())</ns0:f>
        <ns0:v/>
      </ns0:c>
      <ns0:c r="C1666">
        <ns0:f>IFERROR(IF(ISNUMBER($A1666),IF(AND(AH!$P$10=1,AH!$P$12=1,$A1666=TODAY()),AH!$P$19,IF(AH!$P$10=1,INDEX('Live History'!$B$5:$B$3004,AH!$P$13+1661),INDEX('AH History'!$B$1:$B$18046,AH!$P$7+1661))),NA()),NA())</ns0:f>
        <ns0:v/>
      </ns0:c>
      <ns0:c r="D1666">
        <ns0:f>IFERROR(IF(ISNUMBER($A1666),IF(AND(AH!$P$10=1,AH!$P$12=1,$A1666=TODAY()),AH!$P$18,IF(AH!$P$10=1,INDEX('Live History'!$E$5:$E$3004,MATCH($A1666,'Live History'!$D$5:$D$3004,1)),INDEX('AH History'!$C$1:$C$18046,AH!$P$7+1661))),NA()),NA())</ns0:f>
        <ns0:v/>
      </ns0:c>
      <ns0:c r="E1666">
        <ns0:f>IFERROR(IF(ISNUMBER($A1666),IF(AND(AH!$P$10=1,AH!$P$12=1,$A1666=TODAY()),AH!$P$20,IF(AH!$P$10=1,INDEX('Live History'!$H$5:$H$3004,MATCH($A1666,'Live History'!$G$5:$G$3004,1)),INDEX('AH History'!$D$1:$D$18046,AH!$P$7+1661))),NA()),NA())</ns0:f>
        <ns0:v/>
      </ns0:c>
      <ns0:c r="F1666">
        <ns0:f>IFERROR(IF(ISNUMBER($A1666),IF(AND(AH!$P$10=1,AH!$P$12=1,$A1666=TODAY()),IF(AND(AH!$P$10=1,AH!$P$12=1,$A1666=TODAY()),TODAY(),NA()),IF(AH!$P$10=1,INDEX('Live History'!$D$5:$D$3004,MATCH($A1666,'Live History'!$D$5:$D$3004,1)),INDEX('AH History'!$E$1:$E$18046,AH!$P$7+1661))),NA()),NA())</ns0:f>
        <ns0:v/>
      </ns0:c>
      <ns0:c r="G1666">
        <ns0:f>IFERROR(IF(ISNUMBER($A1666),IF(AND(AH!$P$10=1,AH!$P$12=1,$A1666=TODAY()),IF(AND(AH!$P$10=1,AH!$P$12=1,$A1666=TODAY()),TODAY(),NA()),IF(AH!$P$10=1,INDEX('Live History'!$G$5:$G$3004,MATCH($A1666,'Live History'!$G$5:$G$3004,1)),INDEX('AH History'!$F$1:$F$18046,AH!$P$7+1661))),NA()),NA())</ns0:f>
        <ns0:v/>
      </ns0:c>
      <ns0:c r="H1666">
        <ns0:f>IFERROR(IF(AND(AH!$E$4="Bloomberg",AH!$P$10=1,ISNUMBER($A1666),$A1666&lt;=AH!$P$17),AH!$P$7-1+MATCH($A1666,INDEX('AH History'!$A$1:$A$18046,AH!$P$7):INDEX('AH History'!$A$1:$A$18046,AH!$P$7+AH!$P$8-1),0),0),0)</ns0:f>
        <ns0:v/>
      </ns0:c>
      <ns0:c r="I1666">
        <ns0:f>IF($H1666=0,0,IFERROR(IF(AND(ABS($C1666-INDEX('AH History'!$B$1:$B$18046,$H1666))&lt;=MAX(0.005,ABS(INDEX('AH History'!$B$1:$B$18046,$H1666))*0.00005),ABS($D1666-INDEX('AH History'!$C$1:$C$18046,$H1666))&lt;=MAX(0.005,ABS(INDEX('AH History'!$C$1:$C$18046,$H1666))*0.00005),ABS($E1666-INDEX('AH History'!$D$1:$D$18046,$H1666))&lt;=0.00005,$F1666=INDEX('AH History'!$E$1:$E$18046,$H1666),$G1666=INDEX('AH History'!$F$1:$F$18046,$H1666)),1,-1),-1))</ns0:f>
        <ns0:v/>
      </ns0:c>
    </ns0:row>
    <ns0:row r="1667">
      <ns0:c r="A1667" s="215">
        <ns0:f>IF(OR(AH!$P$3=0,1662+1&gt;AH!$P$11,AND(AH!$E$4&lt;&gt;"Stored",AH!$P$10&lt;&gt;1)),"",IFERROR(IF(AND(AH!$P$21=1,1662+1=AH!$P$11),TODAY(),IF(AH!$P$10=1,INDEX('Live History'!$A$5:$A$3004,AH!$P$13+1662),INDEX('AH History'!$A$1:$A$18046,AH!$P$7+1662))),""))</ns0:f>
        <ns0:v/>
      </ns0:c>
      <ns0:c r="B1667" s="219">
        <ns0:f>IFERROR(IF(AND(AH!$P$9&lt;&gt;1,$C1667&gt;0,$D1667&gt;0,$E1667&gt;0,$F1667&gt;0,$G1667&gt;0,$F1667&lt;=$A1667,$G1667&lt;=$A1667,$A1667-$F1667&lt;=10,$A1667-$G1667&lt;=5),$D1667*$E1667/$C1667-1,NA()),NA())</ns0:f>
        <ns0:v/>
      </ns0:c>
      <ns0:c r="C1667">
        <ns0:f>IFERROR(IF(ISNUMBER($A1667),IF(AND(AH!$P$10=1,AH!$P$12=1,$A1667=TODAY()),AH!$P$19,IF(AH!$P$10=1,INDEX('Live History'!$B$5:$B$3004,AH!$P$13+1662),INDEX('AH History'!$B$1:$B$18046,AH!$P$7+1662))),NA()),NA())</ns0:f>
        <ns0:v/>
      </ns0:c>
      <ns0:c r="D1667">
        <ns0:f>IFERROR(IF(ISNUMBER($A1667),IF(AND(AH!$P$10=1,AH!$P$12=1,$A1667=TODAY()),AH!$P$18,IF(AH!$P$10=1,INDEX('Live History'!$E$5:$E$3004,MATCH($A1667,'Live History'!$D$5:$D$3004,1)),INDEX('AH History'!$C$1:$C$18046,AH!$P$7+1662))),NA()),NA())</ns0:f>
        <ns0:v/>
      </ns0:c>
      <ns0:c r="E1667">
        <ns0:f>IFERROR(IF(ISNUMBER($A1667),IF(AND(AH!$P$10=1,AH!$P$12=1,$A1667=TODAY()),AH!$P$20,IF(AH!$P$10=1,INDEX('Live History'!$H$5:$H$3004,MATCH($A1667,'Live History'!$G$5:$G$3004,1)),INDEX('AH History'!$D$1:$D$18046,AH!$P$7+1662))),NA()),NA())</ns0:f>
        <ns0:v/>
      </ns0:c>
      <ns0:c r="F1667">
        <ns0:f>IFERROR(IF(ISNUMBER($A1667),IF(AND(AH!$P$10=1,AH!$P$12=1,$A1667=TODAY()),IF(AND(AH!$P$10=1,AH!$P$12=1,$A1667=TODAY()),TODAY(),NA()),IF(AH!$P$10=1,INDEX('Live History'!$D$5:$D$3004,MATCH($A1667,'Live History'!$D$5:$D$3004,1)),INDEX('AH History'!$E$1:$E$18046,AH!$P$7+1662))),NA()),NA())</ns0:f>
        <ns0:v/>
      </ns0:c>
      <ns0:c r="G1667">
        <ns0:f>IFERROR(IF(ISNUMBER($A1667),IF(AND(AH!$P$10=1,AH!$P$12=1,$A1667=TODAY()),IF(AND(AH!$P$10=1,AH!$P$12=1,$A1667=TODAY()),TODAY(),NA()),IF(AH!$P$10=1,INDEX('Live History'!$G$5:$G$3004,MATCH($A1667,'Live History'!$G$5:$G$3004,1)),INDEX('AH History'!$F$1:$F$18046,AH!$P$7+1662))),NA()),NA())</ns0:f>
        <ns0:v/>
      </ns0:c>
      <ns0:c r="H1667">
        <ns0:f>IFERROR(IF(AND(AH!$E$4="Bloomberg",AH!$P$10=1,ISNUMBER($A1667),$A1667&lt;=AH!$P$17),AH!$P$7-1+MATCH($A1667,INDEX('AH History'!$A$1:$A$18046,AH!$P$7):INDEX('AH History'!$A$1:$A$18046,AH!$P$7+AH!$P$8-1),0),0),0)</ns0:f>
        <ns0:v/>
      </ns0:c>
      <ns0:c r="I1667">
        <ns0:f>IF($H1667=0,0,IFERROR(IF(AND(ABS($C1667-INDEX('AH History'!$B$1:$B$18046,$H1667))&lt;=MAX(0.005,ABS(INDEX('AH History'!$B$1:$B$18046,$H1667))*0.00005),ABS($D1667-INDEX('AH History'!$C$1:$C$18046,$H1667))&lt;=MAX(0.005,ABS(INDEX('AH History'!$C$1:$C$18046,$H1667))*0.00005),ABS($E1667-INDEX('AH History'!$D$1:$D$18046,$H1667))&lt;=0.00005,$F1667=INDEX('AH History'!$E$1:$E$18046,$H1667),$G1667=INDEX('AH History'!$F$1:$F$18046,$H1667)),1,-1),-1))</ns0:f>
        <ns0:v/>
      </ns0:c>
    </ns0:row>
    <ns0:row r="1668">
      <ns0:c r="A1668" s="215">
        <ns0:f>IF(OR(AH!$P$3=0,1663+1&gt;AH!$P$11,AND(AH!$E$4&lt;&gt;"Stored",AH!$P$10&lt;&gt;1)),"",IFERROR(IF(AND(AH!$P$21=1,1663+1=AH!$P$11),TODAY(),IF(AH!$P$10=1,INDEX('Live History'!$A$5:$A$3004,AH!$P$13+1663),INDEX('AH History'!$A$1:$A$18046,AH!$P$7+1663))),""))</ns0:f>
        <ns0:v/>
      </ns0:c>
      <ns0:c r="B1668" s="219">
        <ns0:f>IFERROR(IF(AND(AH!$P$9&lt;&gt;1,$C1668&gt;0,$D1668&gt;0,$E1668&gt;0,$F1668&gt;0,$G1668&gt;0,$F1668&lt;=$A1668,$G1668&lt;=$A1668,$A1668-$F1668&lt;=10,$A1668-$G1668&lt;=5),$D1668*$E1668/$C1668-1,NA()),NA())</ns0:f>
        <ns0:v/>
      </ns0:c>
      <ns0:c r="C1668">
        <ns0:f>IFERROR(IF(ISNUMBER($A1668),IF(AND(AH!$P$10=1,AH!$P$12=1,$A1668=TODAY()),AH!$P$19,IF(AH!$P$10=1,INDEX('Live History'!$B$5:$B$3004,AH!$P$13+1663),INDEX('AH History'!$B$1:$B$18046,AH!$P$7+1663))),NA()),NA())</ns0:f>
        <ns0:v/>
      </ns0:c>
      <ns0:c r="D1668">
        <ns0:f>IFERROR(IF(ISNUMBER($A1668),IF(AND(AH!$P$10=1,AH!$P$12=1,$A1668=TODAY()),AH!$P$18,IF(AH!$P$10=1,INDEX('Live History'!$E$5:$E$3004,MATCH($A1668,'Live History'!$D$5:$D$3004,1)),INDEX('AH History'!$C$1:$C$18046,AH!$P$7+1663))),NA()),NA())</ns0:f>
        <ns0:v/>
      </ns0:c>
      <ns0:c r="E1668">
        <ns0:f>IFERROR(IF(ISNUMBER($A1668),IF(AND(AH!$P$10=1,AH!$P$12=1,$A1668=TODAY()),AH!$P$20,IF(AH!$P$10=1,INDEX('Live History'!$H$5:$H$3004,MATCH($A1668,'Live History'!$G$5:$G$3004,1)),INDEX('AH History'!$D$1:$D$18046,AH!$P$7+1663))),NA()),NA())</ns0:f>
        <ns0:v/>
      </ns0:c>
      <ns0:c r="F1668">
        <ns0:f>IFERROR(IF(ISNUMBER($A1668),IF(AND(AH!$P$10=1,AH!$P$12=1,$A1668=TODAY()),IF(AND(AH!$P$10=1,AH!$P$12=1,$A1668=TODAY()),TODAY(),NA()),IF(AH!$P$10=1,INDEX('Live History'!$D$5:$D$3004,MATCH($A1668,'Live History'!$D$5:$D$3004,1)),INDEX('AH History'!$E$1:$E$18046,AH!$P$7+1663))),NA()),NA())</ns0:f>
        <ns0:v/>
      </ns0:c>
      <ns0:c r="G1668">
        <ns0:f>IFERROR(IF(ISNUMBER($A1668),IF(AND(AH!$P$10=1,AH!$P$12=1,$A1668=TODAY()),IF(AND(AH!$P$10=1,AH!$P$12=1,$A1668=TODAY()),TODAY(),NA()),IF(AH!$P$10=1,INDEX('Live History'!$G$5:$G$3004,MATCH($A1668,'Live History'!$G$5:$G$3004,1)),INDEX('AH History'!$F$1:$F$18046,AH!$P$7+1663))),NA()),NA())</ns0:f>
        <ns0:v/>
      </ns0:c>
      <ns0:c r="H1668">
        <ns0:f>IFERROR(IF(AND(AH!$E$4="Bloomberg",AH!$P$10=1,ISNUMBER($A1668),$A1668&lt;=AH!$P$17),AH!$P$7-1+MATCH($A1668,INDEX('AH History'!$A$1:$A$18046,AH!$P$7):INDEX('AH History'!$A$1:$A$18046,AH!$P$7+AH!$P$8-1),0),0),0)</ns0:f>
        <ns0:v/>
      </ns0:c>
      <ns0:c r="I1668">
        <ns0:f>IF($H1668=0,0,IFERROR(IF(AND(ABS($C1668-INDEX('AH History'!$B$1:$B$18046,$H1668))&lt;=MAX(0.005,ABS(INDEX('AH History'!$B$1:$B$18046,$H1668))*0.00005),ABS($D1668-INDEX('AH History'!$C$1:$C$18046,$H1668))&lt;=MAX(0.005,ABS(INDEX('AH History'!$C$1:$C$18046,$H1668))*0.00005),ABS($E1668-INDEX('AH History'!$D$1:$D$18046,$H1668))&lt;=0.00005,$F1668=INDEX('AH History'!$E$1:$E$18046,$H1668),$G1668=INDEX('AH History'!$F$1:$F$18046,$H1668)),1,-1),-1))</ns0:f>
        <ns0:v/>
      </ns0:c>
    </ns0:row>
    <ns0:row r="1669">
      <ns0:c r="A1669" s="215">
        <ns0:f>IF(OR(AH!$P$3=0,1664+1&gt;AH!$P$11,AND(AH!$E$4&lt;&gt;"Stored",AH!$P$10&lt;&gt;1)),"",IFERROR(IF(AND(AH!$P$21=1,1664+1=AH!$P$11),TODAY(),IF(AH!$P$10=1,INDEX('Live History'!$A$5:$A$3004,AH!$P$13+1664),INDEX('AH History'!$A$1:$A$18046,AH!$P$7+1664))),""))</ns0:f>
        <ns0:v/>
      </ns0:c>
      <ns0:c r="B1669" s="219">
        <ns0:f>IFERROR(IF(AND(AH!$P$9&lt;&gt;1,$C1669&gt;0,$D1669&gt;0,$E1669&gt;0,$F1669&gt;0,$G1669&gt;0,$F1669&lt;=$A1669,$G1669&lt;=$A1669,$A1669-$F1669&lt;=10,$A1669-$G1669&lt;=5),$D1669*$E1669/$C1669-1,NA()),NA())</ns0:f>
        <ns0:v/>
      </ns0:c>
      <ns0:c r="C1669">
        <ns0:f>IFERROR(IF(ISNUMBER($A1669),IF(AND(AH!$P$10=1,AH!$P$12=1,$A1669=TODAY()),AH!$P$19,IF(AH!$P$10=1,INDEX('Live History'!$B$5:$B$3004,AH!$P$13+1664),INDEX('AH History'!$B$1:$B$18046,AH!$P$7+1664))),NA()),NA())</ns0:f>
        <ns0:v/>
      </ns0:c>
      <ns0:c r="D1669">
        <ns0:f>IFERROR(IF(ISNUMBER($A1669),IF(AND(AH!$P$10=1,AH!$P$12=1,$A1669=TODAY()),AH!$P$18,IF(AH!$P$10=1,INDEX('Live History'!$E$5:$E$3004,MATCH($A1669,'Live History'!$D$5:$D$3004,1)),INDEX('AH History'!$C$1:$C$18046,AH!$P$7+1664))),NA()),NA())</ns0:f>
        <ns0:v/>
      </ns0:c>
      <ns0:c r="E1669">
        <ns0:f>IFERROR(IF(ISNUMBER($A1669),IF(AND(AH!$P$10=1,AH!$P$12=1,$A1669=TODAY()),AH!$P$20,IF(AH!$P$10=1,INDEX('Live History'!$H$5:$H$3004,MATCH($A1669,'Live History'!$G$5:$G$3004,1)),INDEX('AH History'!$D$1:$D$18046,AH!$P$7+1664))),NA()),NA())</ns0:f>
        <ns0:v/>
      </ns0:c>
      <ns0:c r="F1669">
        <ns0:f>IFERROR(IF(ISNUMBER($A1669),IF(AND(AH!$P$10=1,AH!$P$12=1,$A1669=TODAY()),IF(AND(AH!$P$10=1,AH!$P$12=1,$A1669=TODAY()),TODAY(),NA()),IF(AH!$P$10=1,INDEX('Live History'!$D$5:$D$3004,MATCH($A1669,'Live History'!$D$5:$D$3004,1)),INDEX('AH History'!$E$1:$E$18046,AH!$P$7+1664))),NA()),NA())</ns0:f>
        <ns0:v/>
      </ns0:c>
      <ns0:c r="G1669">
        <ns0:f>IFERROR(IF(ISNUMBER($A1669),IF(AND(AH!$P$10=1,AH!$P$12=1,$A1669=TODAY()),IF(AND(AH!$P$10=1,AH!$P$12=1,$A1669=TODAY()),TODAY(),NA()),IF(AH!$P$10=1,INDEX('Live History'!$G$5:$G$3004,MATCH($A1669,'Live History'!$G$5:$G$3004,1)),INDEX('AH History'!$F$1:$F$18046,AH!$P$7+1664))),NA()),NA())</ns0:f>
        <ns0:v/>
      </ns0:c>
      <ns0:c r="H1669">
        <ns0:f>IFERROR(IF(AND(AH!$E$4="Bloomberg",AH!$P$10=1,ISNUMBER($A1669),$A1669&lt;=AH!$P$17),AH!$P$7-1+MATCH($A1669,INDEX('AH History'!$A$1:$A$18046,AH!$P$7):INDEX('AH History'!$A$1:$A$18046,AH!$P$7+AH!$P$8-1),0),0),0)</ns0:f>
        <ns0:v/>
      </ns0:c>
      <ns0:c r="I1669">
        <ns0:f>IF($H1669=0,0,IFERROR(IF(AND(ABS($C1669-INDEX('AH History'!$B$1:$B$18046,$H1669))&lt;=MAX(0.005,ABS(INDEX('AH History'!$B$1:$B$18046,$H1669))*0.00005),ABS($D1669-INDEX('AH History'!$C$1:$C$18046,$H1669))&lt;=MAX(0.005,ABS(INDEX('AH History'!$C$1:$C$18046,$H1669))*0.00005),ABS($E1669-INDEX('AH History'!$D$1:$D$18046,$H1669))&lt;=0.00005,$F1669=INDEX('AH History'!$E$1:$E$18046,$H1669),$G1669=INDEX('AH History'!$F$1:$F$18046,$H1669)),1,-1),-1))</ns0:f>
        <ns0:v/>
      </ns0:c>
    </ns0:row>
    <ns0:row r="1670">
      <ns0:c r="A1670" s="215">
        <ns0:f>IF(OR(AH!$P$3=0,1665+1&gt;AH!$P$11,AND(AH!$E$4&lt;&gt;"Stored",AH!$P$10&lt;&gt;1)),"",IFERROR(IF(AND(AH!$P$21=1,1665+1=AH!$P$11),TODAY(),IF(AH!$P$10=1,INDEX('Live History'!$A$5:$A$3004,AH!$P$13+1665),INDEX('AH History'!$A$1:$A$18046,AH!$P$7+1665))),""))</ns0:f>
        <ns0:v/>
      </ns0:c>
      <ns0:c r="B1670" s="219">
        <ns0:f>IFERROR(IF(AND(AH!$P$9&lt;&gt;1,$C1670&gt;0,$D1670&gt;0,$E1670&gt;0,$F1670&gt;0,$G1670&gt;0,$F1670&lt;=$A1670,$G1670&lt;=$A1670,$A1670-$F1670&lt;=10,$A1670-$G1670&lt;=5),$D1670*$E1670/$C1670-1,NA()),NA())</ns0:f>
        <ns0:v/>
      </ns0:c>
      <ns0:c r="C1670">
        <ns0:f>IFERROR(IF(ISNUMBER($A1670),IF(AND(AH!$P$10=1,AH!$P$12=1,$A1670=TODAY()),AH!$P$19,IF(AH!$P$10=1,INDEX('Live History'!$B$5:$B$3004,AH!$P$13+1665),INDEX('AH History'!$B$1:$B$18046,AH!$P$7+1665))),NA()),NA())</ns0:f>
        <ns0:v/>
      </ns0:c>
      <ns0:c r="D1670">
        <ns0:f>IFERROR(IF(ISNUMBER($A1670),IF(AND(AH!$P$10=1,AH!$P$12=1,$A1670=TODAY()),AH!$P$18,IF(AH!$P$10=1,INDEX('Live History'!$E$5:$E$3004,MATCH($A1670,'Live History'!$D$5:$D$3004,1)),INDEX('AH History'!$C$1:$C$18046,AH!$P$7+1665))),NA()),NA())</ns0:f>
        <ns0:v/>
      </ns0:c>
      <ns0:c r="E1670">
        <ns0:f>IFERROR(IF(ISNUMBER($A1670),IF(AND(AH!$P$10=1,AH!$P$12=1,$A1670=TODAY()),AH!$P$20,IF(AH!$P$10=1,INDEX('Live History'!$H$5:$H$3004,MATCH($A1670,'Live History'!$G$5:$G$3004,1)),INDEX('AH History'!$D$1:$D$18046,AH!$P$7+1665))),NA()),NA())</ns0:f>
        <ns0:v/>
      </ns0:c>
      <ns0:c r="F1670">
        <ns0:f>IFERROR(IF(ISNUMBER($A1670),IF(AND(AH!$P$10=1,AH!$P$12=1,$A1670=TODAY()),IF(AND(AH!$P$10=1,AH!$P$12=1,$A1670=TODAY()),TODAY(),NA()),IF(AH!$P$10=1,INDEX('Live History'!$D$5:$D$3004,MATCH($A1670,'Live History'!$D$5:$D$3004,1)),INDEX('AH History'!$E$1:$E$18046,AH!$P$7+1665))),NA()),NA())</ns0:f>
        <ns0:v/>
      </ns0:c>
      <ns0:c r="G1670">
        <ns0:f>IFERROR(IF(ISNUMBER($A1670),IF(AND(AH!$P$10=1,AH!$P$12=1,$A1670=TODAY()),IF(AND(AH!$P$10=1,AH!$P$12=1,$A1670=TODAY()),TODAY(),NA()),IF(AH!$P$10=1,INDEX('Live History'!$G$5:$G$3004,MATCH($A1670,'Live History'!$G$5:$G$3004,1)),INDEX('AH History'!$F$1:$F$18046,AH!$P$7+1665))),NA()),NA())</ns0:f>
        <ns0:v/>
      </ns0:c>
      <ns0:c r="H1670">
        <ns0:f>IFERROR(IF(AND(AH!$E$4="Bloomberg",AH!$P$10=1,ISNUMBER($A1670),$A1670&lt;=AH!$P$17),AH!$P$7-1+MATCH($A1670,INDEX('AH History'!$A$1:$A$18046,AH!$P$7):INDEX('AH History'!$A$1:$A$18046,AH!$P$7+AH!$P$8-1),0),0),0)</ns0:f>
        <ns0:v/>
      </ns0:c>
      <ns0:c r="I1670">
        <ns0:f>IF($H1670=0,0,IFERROR(IF(AND(ABS($C1670-INDEX('AH History'!$B$1:$B$18046,$H1670))&lt;=MAX(0.005,ABS(INDEX('AH History'!$B$1:$B$18046,$H1670))*0.00005),ABS($D1670-INDEX('AH History'!$C$1:$C$18046,$H1670))&lt;=MAX(0.005,ABS(INDEX('AH History'!$C$1:$C$18046,$H1670))*0.00005),ABS($E1670-INDEX('AH History'!$D$1:$D$18046,$H1670))&lt;=0.00005,$F1670=INDEX('AH History'!$E$1:$E$18046,$H1670),$G1670=INDEX('AH History'!$F$1:$F$18046,$H1670)),1,-1),-1))</ns0:f>
        <ns0:v/>
      </ns0:c>
    </ns0:row>
    <ns0:row r="1671">
      <ns0:c r="A1671" s="215">
        <ns0:f>IF(OR(AH!$P$3=0,1666+1&gt;AH!$P$11,AND(AH!$E$4&lt;&gt;"Stored",AH!$P$10&lt;&gt;1)),"",IFERROR(IF(AND(AH!$P$21=1,1666+1=AH!$P$11),TODAY(),IF(AH!$P$10=1,INDEX('Live History'!$A$5:$A$3004,AH!$P$13+1666),INDEX('AH History'!$A$1:$A$18046,AH!$P$7+1666))),""))</ns0:f>
        <ns0:v/>
      </ns0:c>
      <ns0:c r="B1671" s="219">
        <ns0:f>IFERROR(IF(AND(AH!$P$9&lt;&gt;1,$C1671&gt;0,$D1671&gt;0,$E1671&gt;0,$F1671&gt;0,$G1671&gt;0,$F1671&lt;=$A1671,$G1671&lt;=$A1671,$A1671-$F1671&lt;=10,$A1671-$G1671&lt;=5),$D1671*$E1671/$C1671-1,NA()),NA())</ns0:f>
        <ns0:v/>
      </ns0:c>
      <ns0:c r="C1671">
        <ns0:f>IFERROR(IF(ISNUMBER($A1671),IF(AND(AH!$P$10=1,AH!$P$12=1,$A1671=TODAY()),AH!$P$19,IF(AH!$P$10=1,INDEX('Live History'!$B$5:$B$3004,AH!$P$13+1666),INDEX('AH History'!$B$1:$B$18046,AH!$P$7+1666))),NA()),NA())</ns0:f>
        <ns0:v/>
      </ns0:c>
      <ns0:c r="D1671">
        <ns0:f>IFERROR(IF(ISNUMBER($A1671),IF(AND(AH!$P$10=1,AH!$P$12=1,$A1671=TODAY()),AH!$P$18,IF(AH!$P$10=1,INDEX('Live History'!$E$5:$E$3004,MATCH($A1671,'Live History'!$D$5:$D$3004,1)),INDEX('AH History'!$C$1:$C$18046,AH!$P$7+1666))),NA()),NA())</ns0:f>
        <ns0:v/>
      </ns0:c>
      <ns0:c r="E1671">
        <ns0:f>IFERROR(IF(ISNUMBER($A1671),IF(AND(AH!$P$10=1,AH!$P$12=1,$A1671=TODAY()),AH!$P$20,IF(AH!$P$10=1,INDEX('Live History'!$H$5:$H$3004,MATCH($A1671,'Live History'!$G$5:$G$3004,1)),INDEX('AH History'!$D$1:$D$18046,AH!$P$7+1666))),NA()),NA())</ns0:f>
        <ns0:v/>
      </ns0:c>
      <ns0:c r="F1671">
        <ns0:f>IFERROR(IF(ISNUMBER($A1671),IF(AND(AH!$P$10=1,AH!$P$12=1,$A1671=TODAY()),IF(AND(AH!$P$10=1,AH!$P$12=1,$A1671=TODAY()),TODAY(),NA()),IF(AH!$P$10=1,INDEX('Live History'!$D$5:$D$3004,MATCH($A1671,'Live History'!$D$5:$D$3004,1)),INDEX('AH History'!$E$1:$E$18046,AH!$P$7+1666))),NA()),NA())</ns0:f>
        <ns0:v/>
      </ns0:c>
      <ns0:c r="G1671">
        <ns0:f>IFERROR(IF(ISNUMBER($A1671),IF(AND(AH!$P$10=1,AH!$P$12=1,$A1671=TODAY()),IF(AND(AH!$P$10=1,AH!$P$12=1,$A1671=TODAY()),TODAY(),NA()),IF(AH!$P$10=1,INDEX('Live History'!$G$5:$G$3004,MATCH($A1671,'Live History'!$G$5:$G$3004,1)),INDEX('AH History'!$F$1:$F$18046,AH!$P$7+1666))),NA()),NA())</ns0:f>
        <ns0:v/>
      </ns0:c>
      <ns0:c r="H1671">
        <ns0:f>IFERROR(IF(AND(AH!$E$4="Bloomberg",AH!$P$10=1,ISNUMBER($A1671),$A1671&lt;=AH!$P$17),AH!$P$7-1+MATCH($A1671,INDEX('AH History'!$A$1:$A$18046,AH!$P$7):INDEX('AH History'!$A$1:$A$18046,AH!$P$7+AH!$P$8-1),0),0),0)</ns0:f>
        <ns0:v/>
      </ns0:c>
      <ns0:c r="I1671">
        <ns0:f>IF($H1671=0,0,IFERROR(IF(AND(ABS($C1671-INDEX('AH History'!$B$1:$B$18046,$H1671))&lt;=MAX(0.005,ABS(INDEX('AH History'!$B$1:$B$18046,$H1671))*0.00005),ABS($D1671-INDEX('AH History'!$C$1:$C$18046,$H1671))&lt;=MAX(0.005,ABS(INDEX('AH History'!$C$1:$C$18046,$H1671))*0.00005),ABS($E1671-INDEX('AH History'!$D$1:$D$18046,$H1671))&lt;=0.00005,$F1671=INDEX('AH History'!$E$1:$E$18046,$H1671),$G1671=INDEX('AH History'!$F$1:$F$18046,$H1671)),1,-1),-1))</ns0:f>
        <ns0:v/>
      </ns0:c>
    </ns0:row>
    <ns0:row r="1672">
      <ns0:c r="A1672" s="215">
        <ns0:f>IF(OR(AH!$P$3=0,1667+1&gt;AH!$P$11,AND(AH!$E$4&lt;&gt;"Stored",AH!$P$10&lt;&gt;1)),"",IFERROR(IF(AND(AH!$P$21=1,1667+1=AH!$P$11),TODAY(),IF(AH!$P$10=1,INDEX('Live History'!$A$5:$A$3004,AH!$P$13+1667),INDEX('AH History'!$A$1:$A$18046,AH!$P$7+1667))),""))</ns0:f>
        <ns0:v/>
      </ns0:c>
      <ns0:c r="B1672" s="219">
        <ns0:f>IFERROR(IF(AND(AH!$P$9&lt;&gt;1,$C1672&gt;0,$D1672&gt;0,$E1672&gt;0,$F1672&gt;0,$G1672&gt;0,$F1672&lt;=$A1672,$G1672&lt;=$A1672,$A1672-$F1672&lt;=10,$A1672-$G1672&lt;=5),$D1672*$E1672/$C1672-1,NA()),NA())</ns0:f>
        <ns0:v/>
      </ns0:c>
      <ns0:c r="C1672">
        <ns0:f>IFERROR(IF(ISNUMBER($A1672),IF(AND(AH!$P$10=1,AH!$P$12=1,$A1672=TODAY()),AH!$P$19,IF(AH!$P$10=1,INDEX('Live History'!$B$5:$B$3004,AH!$P$13+1667),INDEX('AH History'!$B$1:$B$18046,AH!$P$7+1667))),NA()),NA())</ns0:f>
        <ns0:v/>
      </ns0:c>
      <ns0:c r="D1672">
        <ns0:f>IFERROR(IF(ISNUMBER($A1672),IF(AND(AH!$P$10=1,AH!$P$12=1,$A1672=TODAY()),AH!$P$18,IF(AH!$P$10=1,INDEX('Live History'!$E$5:$E$3004,MATCH($A1672,'Live History'!$D$5:$D$3004,1)),INDEX('AH History'!$C$1:$C$18046,AH!$P$7+1667))),NA()),NA())</ns0:f>
        <ns0:v/>
      </ns0:c>
      <ns0:c r="E1672">
        <ns0:f>IFERROR(IF(ISNUMBER($A1672),IF(AND(AH!$P$10=1,AH!$P$12=1,$A1672=TODAY()),AH!$P$20,IF(AH!$P$10=1,INDEX('Live History'!$H$5:$H$3004,MATCH($A1672,'Live History'!$G$5:$G$3004,1)),INDEX('AH History'!$D$1:$D$18046,AH!$P$7+1667))),NA()),NA())</ns0:f>
        <ns0:v/>
      </ns0:c>
      <ns0:c r="F1672">
        <ns0:f>IFERROR(IF(ISNUMBER($A1672),IF(AND(AH!$P$10=1,AH!$P$12=1,$A1672=TODAY()),IF(AND(AH!$P$10=1,AH!$P$12=1,$A1672=TODAY()),TODAY(),NA()),IF(AH!$P$10=1,INDEX('Live History'!$D$5:$D$3004,MATCH($A1672,'Live History'!$D$5:$D$3004,1)),INDEX('AH History'!$E$1:$E$18046,AH!$P$7+1667))),NA()),NA())</ns0:f>
        <ns0:v/>
      </ns0:c>
      <ns0:c r="G1672">
        <ns0:f>IFERROR(IF(ISNUMBER($A1672),IF(AND(AH!$P$10=1,AH!$P$12=1,$A1672=TODAY()),IF(AND(AH!$P$10=1,AH!$P$12=1,$A1672=TODAY()),TODAY(),NA()),IF(AH!$P$10=1,INDEX('Live History'!$G$5:$G$3004,MATCH($A1672,'Live History'!$G$5:$G$3004,1)),INDEX('AH History'!$F$1:$F$18046,AH!$P$7+1667))),NA()),NA())</ns0:f>
        <ns0:v/>
      </ns0:c>
      <ns0:c r="H1672">
        <ns0:f>IFERROR(IF(AND(AH!$E$4="Bloomberg",AH!$P$10=1,ISNUMBER($A1672),$A1672&lt;=AH!$P$17),AH!$P$7-1+MATCH($A1672,INDEX('AH History'!$A$1:$A$18046,AH!$P$7):INDEX('AH History'!$A$1:$A$18046,AH!$P$7+AH!$P$8-1),0),0),0)</ns0:f>
        <ns0:v/>
      </ns0:c>
      <ns0:c r="I1672">
        <ns0:f>IF($H1672=0,0,IFERROR(IF(AND(ABS($C1672-INDEX('AH History'!$B$1:$B$18046,$H1672))&lt;=MAX(0.005,ABS(INDEX('AH History'!$B$1:$B$18046,$H1672))*0.00005),ABS($D1672-INDEX('AH History'!$C$1:$C$18046,$H1672))&lt;=MAX(0.005,ABS(INDEX('AH History'!$C$1:$C$18046,$H1672))*0.00005),ABS($E1672-INDEX('AH History'!$D$1:$D$18046,$H1672))&lt;=0.00005,$F1672=INDEX('AH History'!$E$1:$E$18046,$H1672),$G1672=INDEX('AH History'!$F$1:$F$18046,$H1672)),1,-1),-1))</ns0:f>
        <ns0:v/>
      </ns0:c>
    </ns0:row>
    <ns0:row r="1673">
      <ns0:c r="A1673" s="215">
        <ns0:f>IF(OR(AH!$P$3=0,1668+1&gt;AH!$P$11,AND(AH!$E$4&lt;&gt;"Stored",AH!$P$10&lt;&gt;1)),"",IFERROR(IF(AND(AH!$P$21=1,1668+1=AH!$P$11),TODAY(),IF(AH!$P$10=1,INDEX('Live History'!$A$5:$A$3004,AH!$P$13+1668),INDEX('AH History'!$A$1:$A$18046,AH!$P$7+1668))),""))</ns0:f>
        <ns0:v/>
      </ns0:c>
      <ns0:c r="B1673" s="219">
        <ns0:f>IFERROR(IF(AND(AH!$P$9&lt;&gt;1,$C1673&gt;0,$D1673&gt;0,$E1673&gt;0,$F1673&gt;0,$G1673&gt;0,$F1673&lt;=$A1673,$G1673&lt;=$A1673,$A1673-$F1673&lt;=10,$A1673-$G1673&lt;=5),$D1673*$E1673/$C1673-1,NA()),NA())</ns0:f>
        <ns0:v/>
      </ns0:c>
      <ns0:c r="C1673">
        <ns0:f>IFERROR(IF(ISNUMBER($A1673),IF(AND(AH!$P$10=1,AH!$P$12=1,$A1673=TODAY()),AH!$P$19,IF(AH!$P$10=1,INDEX('Live History'!$B$5:$B$3004,AH!$P$13+1668),INDEX('AH History'!$B$1:$B$18046,AH!$P$7+1668))),NA()),NA())</ns0:f>
        <ns0:v/>
      </ns0:c>
      <ns0:c r="D1673">
        <ns0:f>IFERROR(IF(ISNUMBER($A1673),IF(AND(AH!$P$10=1,AH!$P$12=1,$A1673=TODAY()),AH!$P$18,IF(AH!$P$10=1,INDEX('Live History'!$E$5:$E$3004,MATCH($A1673,'Live History'!$D$5:$D$3004,1)),INDEX('AH History'!$C$1:$C$18046,AH!$P$7+1668))),NA()),NA())</ns0:f>
        <ns0:v/>
      </ns0:c>
      <ns0:c r="E1673">
        <ns0:f>IFERROR(IF(ISNUMBER($A1673),IF(AND(AH!$P$10=1,AH!$P$12=1,$A1673=TODAY()),AH!$P$20,IF(AH!$P$10=1,INDEX('Live History'!$H$5:$H$3004,MATCH($A1673,'Live History'!$G$5:$G$3004,1)),INDEX('AH History'!$D$1:$D$18046,AH!$P$7+1668))),NA()),NA())</ns0:f>
        <ns0:v/>
      </ns0:c>
      <ns0:c r="F1673">
        <ns0:f>IFERROR(IF(ISNUMBER($A1673),IF(AND(AH!$P$10=1,AH!$P$12=1,$A1673=TODAY()),IF(AND(AH!$P$10=1,AH!$P$12=1,$A1673=TODAY()),TODAY(),NA()),IF(AH!$P$10=1,INDEX('Live History'!$D$5:$D$3004,MATCH($A1673,'Live History'!$D$5:$D$3004,1)),INDEX('AH History'!$E$1:$E$18046,AH!$P$7+1668))),NA()),NA())</ns0:f>
        <ns0:v/>
      </ns0:c>
      <ns0:c r="G1673">
        <ns0:f>IFERROR(IF(ISNUMBER($A1673),IF(AND(AH!$P$10=1,AH!$P$12=1,$A1673=TODAY()),IF(AND(AH!$P$10=1,AH!$P$12=1,$A1673=TODAY()),TODAY(),NA()),IF(AH!$P$10=1,INDEX('Live History'!$G$5:$G$3004,MATCH($A1673,'Live History'!$G$5:$G$3004,1)),INDEX('AH History'!$F$1:$F$18046,AH!$P$7+1668))),NA()),NA())</ns0:f>
        <ns0:v/>
      </ns0:c>
      <ns0:c r="H1673">
        <ns0:f>IFERROR(IF(AND(AH!$E$4="Bloomberg",AH!$P$10=1,ISNUMBER($A1673),$A1673&lt;=AH!$P$17),AH!$P$7-1+MATCH($A1673,INDEX('AH History'!$A$1:$A$18046,AH!$P$7):INDEX('AH History'!$A$1:$A$18046,AH!$P$7+AH!$P$8-1),0),0),0)</ns0:f>
        <ns0:v/>
      </ns0:c>
      <ns0:c r="I1673">
        <ns0:f>IF($H1673=0,0,IFERROR(IF(AND(ABS($C1673-INDEX('AH History'!$B$1:$B$18046,$H1673))&lt;=MAX(0.005,ABS(INDEX('AH History'!$B$1:$B$18046,$H1673))*0.00005),ABS($D1673-INDEX('AH History'!$C$1:$C$18046,$H1673))&lt;=MAX(0.005,ABS(INDEX('AH History'!$C$1:$C$18046,$H1673))*0.00005),ABS($E1673-INDEX('AH History'!$D$1:$D$18046,$H1673))&lt;=0.00005,$F1673=INDEX('AH History'!$E$1:$E$18046,$H1673),$G1673=INDEX('AH History'!$F$1:$F$18046,$H1673)),1,-1),-1))</ns0:f>
        <ns0:v/>
      </ns0:c>
    </ns0:row>
    <ns0:row r="1674">
      <ns0:c r="A1674" s="215">
        <ns0:f>IF(OR(AH!$P$3=0,1669+1&gt;AH!$P$11,AND(AH!$E$4&lt;&gt;"Stored",AH!$P$10&lt;&gt;1)),"",IFERROR(IF(AND(AH!$P$21=1,1669+1=AH!$P$11),TODAY(),IF(AH!$P$10=1,INDEX('Live History'!$A$5:$A$3004,AH!$P$13+1669),INDEX('AH History'!$A$1:$A$18046,AH!$P$7+1669))),""))</ns0:f>
        <ns0:v/>
      </ns0:c>
      <ns0:c r="B1674" s="219">
        <ns0:f>IFERROR(IF(AND(AH!$P$9&lt;&gt;1,$C1674&gt;0,$D1674&gt;0,$E1674&gt;0,$F1674&gt;0,$G1674&gt;0,$F1674&lt;=$A1674,$G1674&lt;=$A1674,$A1674-$F1674&lt;=10,$A1674-$G1674&lt;=5),$D1674*$E1674/$C1674-1,NA()),NA())</ns0:f>
        <ns0:v/>
      </ns0:c>
      <ns0:c r="C1674">
        <ns0:f>IFERROR(IF(ISNUMBER($A1674),IF(AND(AH!$P$10=1,AH!$P$12=1,$A1674=TODAY()),AH!$P$19,IF(AH!$P$10=1,INDEX('Live History'!$B$5:$B$3004,AH!$P$13+1669),INDEX('AH History'!$B$1:$B$18046,AH!$P$7+1669))),NA()),NA())</ns0:f>
        <ns0:v/>
      </ns0:c>
      <ns0:c r="D1674">
        <ns0:f>IFERROR(IF(ISNUMBER($A1674),IF(AND(AH!$P$10=1,AH!$P$12=1,$A1674=TODAY()),AH!$P$18,IF(AH!$P$10=1,INDEX('Live History'!$E$5:$E$3004,MATCH($A1674,'Live History'!$D$5:$D$3004,1)),INDEX('AH History'!$C$1:$C$18046,AH!$P$7+1669))),NA()),NA())</ns0:f>
        <ns0:v/>
      </ns0:c>
      <ns0:c r="E1674">
        <ns0:f>IFERROR(IF(ISNUMBER($A1674),IF(AND(AH!$P$10=1,AH!$P$12=1,$A1674=TODAY()),AH!$P$20,IF(AH!$P$10=1,INDEX('Live History'!$H$5:$H$3004,MATCH($A1674,'Live History'!$G$5:$G$3004,1)),INDEX('AH History'!$D$1:$D$18046,AH!$P$7+1669))),NA()),NA())</ns0:f>
        <ns0:v/>
      </ns0:c>
      <ns0:c r="F1674">
        <ns0:f>IFERROR(IF(ISNUMBER($A1674),IF(AND(AH!$P$10=1,AH!$P$12=1,$A1674=TODAY()),IF(AND(AH!$P$10=1,AH!$P$12=1,$A1674=TODAY()),TODAY(),NA()),IF(AH!$P$10=1,INDEX('Live History'!$D$5:$D$3004,MATCH($A1674,'Live History'!$D$5:$D$3004,1)),INDEX('AH History'!$E$1:$E$18046,AH!$P$7+1669))),NA()),NA())</ns0:f>
        <ns0:v/>
      </ns0:c>
      <ns0:c r="G1674">
        <ns0:f>IFERROR(IF(ISNUMBER($A1674),IF(AND(AH!$P$10=1,AH!$P$12=1,$A1674=TODAY()),IF(AND(AH!$P$10=1,AH!$P$12=1,$A1674=TODAY()),TODAY(),NA()),IF(AH!$P$10=1,INDEX('Live History'!$G$5:$G$3004,MATCH($A1674,'Live History'!$G$5:$G$3004,1)),INDEX('AH History'!$F$1:$F$18046,AH!$P$7+1669))),NA()),NA())</ns0:f>
        <ns0:v/>
      </ns0:c>
      <ns0:c r="H1674">
        <ns0:f>IFERROR(IF(AND(AH!$E$4="Bloomberg",AH!$P$10=1,ISNUMBER($A1674),$A1674&lt;=AH!$P$17),AH!$P$7-1+MATCH($A1674,INDEX('AH History'!$A$1:$A$18046,AH!$P$7):INDEX('AH History'!$A$1:$A$18046,AH!$P$7+AH!$P$8-1),0),0),0)</ns0:f>
        <ns0:v/>
      </ns0:c>
      <ns0:c r="I1674">
        <ns0:f>IF($H1674=0,0,IFERROR(IF(AND(ABS($C1674-INDEX('AH History'!$B$1:$B$18046,$H1674))&lt;=MAX(0.005,ABS(INDEX('AH History'!$B$1:$B$18046,$H1674))*0.00005),ABS($D1674-INDEX('AH History'!$C$1:$C$18046,$H1674))&lt;=MAX(0.005,ABS(INDEX('AH History'!$C$1:$C$18046,$H1674))*0.00005),ABS($E1674-INDEX('AH History'!$D$1:$D$18046,$H1674))&lt;=0.00005,$F1674=INDEX('AH History'!$E$1:$E$18046,$H1674),$G1674=INDEX('AH History'!$F$1:$F$18046,$H1674)),1,-1),-1))</ns0:f>
        <ns0:v/>
      </ns0:c>
    </ns0:row>
    <ns0:row r="1675">
      <ns0:c r="A1675" s="215">
        <ns0:f>IF(OR(AH!$P$3=0,1670+1&gt;AH!$P$11,AND(AH!$E$4&lt;&gt;"Stored",AH!$P$10&lt;&gt;1)),"",IFERROR(IF(AND(AH!$P$21=1,1670+1=AH!$P$11),TODAY(),IF(AH!$P$10=1,INDEX('Live History'!$A$5:$A$3004,AH!$P$13+1670),INDEX('AH History'!$A$1:$A$18046,AH!$P$7+1670))),""))</ns0:f>
        <ns0:v/>
      </ns0:c>
      <ns0:c r="B1675" s="219">
        <ns0:f>IFERROR(IF(AND(AH!$P$9&lt;&gt;1,$C1675&gt;0,$D1675&gt;0,$E1675&gt;0,$F1675&gt;0,$G1675&gt;0,$F1675&lt;=$A1675,$G1675&lt;=$A1675,$A1675-$F1675&lt;=10,$A1675-$G1675&lt;=5),$D1675*$E1675/$C1675-1,NA()),NA())</ns0:f>
        <ns0:v/>
      </ns0:c>
      <ns0:c r="C1675">
        <ns0:f>IFERROR(IF(ISNUMBER($A1675),IF(AND(AH!$P$10=1,AH!$P$12=1,$A1675=TODAY()),AH!$P$19,IF(AH!$P$10=1,INDEX('Live History'!$B$5:$B$3004,AH!$P$13+1670),INDEX('AH History'!$B$1:$B$18046,AH!$P$7+1670))),NA()),NA())</ns0:f>
        <ns0:v/>
      </ns0:c>
      <ns0:c r="D1675">
        <ns0:f>IFERROR(IF(ISNUMBER($A1675),IF(AND(AH!$P$10=1,AH!$P$12=1,$A1675=TODAY()),AH!$P$18,IF(AH!$P$10=1,INDEX('Live History'!$E$5:$E$3004,MATCH($A1675,'Live History'!$D$5:$D$3004,1)),INDEX('AH History'!$C$1:$C$18046,AH!$P$7+1670))),NA()),NA())</ns0:f>
        <ns0:v/>
      </ns0:c>
      <ns0:c r="E1675">
        <ns0:f>IFERROR(IF(ISNUMBER($A1675),IF(AND(AH!$P$10=1,AH!$P$12=1,$A1675=TODAY()),AH!$P$20,IF(AH!$P$10=1,INDEX('Live History'!$H$5:$H$3004,MATCH($A1675,'Live History'!$G$5:$G$3004,1)),INDEX('AH History'!$D$1:$D$18046,AH!$P$7+1670))),NA()),NA())</ns0:f>
        <ns0:v/>
      </ns0:c>
      <ns0:c r="F1675">
        <ns0:f>IFERROR(IF(ISNUMBER($A1675),IF(AND(AH!$P$10=1,AH!$P$12=1,$A1675=TODAY()),IF(AND(AH!$P$10=1,AH!$P$12=1,$A1675=TODAY()),TODAY(),NA()),IF(AH!$P$10=1,INDEX('Live History'!$D$5:$D$3004,MATCH($A1675,'Live History'!$D$5:$D$3004,1)),INDEX('AH History'!$E$1:$E$18046,AH!$P$7+1670))),NA()),NA())</ns0:f>
        <ns0:v/>
      </ns0:c>
      <ns0:c r="G1675">
        <ns0:f>IFERROR(IF(ISNUMBER($A1675),IF(AND(AH!$P$10=1,AH!$P$12=1,$A1675=TODAY()),IF(AND(AH!$P$10=1,AH!$P$12=1,$A1675=TODAY()),TODAY(),NA()),IF(AH!$P$10=1,INDEX('Live History'!$G$5:$G$3004,MATCH($A1675,'Live History'!$G$5:$G$3004,1)),INDEX('AH History'!$F$1:$F$18046,AH!$P$7+1670))),NA()),NA())</ns0:f>
        <ns0:v/>
      </ns0:c>
      <ns0:c r="H1675">
        <ns0:f>IFERROR(IF(AND(AH!$E$4="Bloomberg",AH!$P$10=1,ISNUMBER($A1675),$A1675&lt;=AH!$P$17),AH!$P$7-1+MATCH($A1675,INDEX('AH History'!$A$1:$A$18046,AH!$P$7):INDEX('AH History'!$A$1:$A$18046,AH!$P$7+AH!$P$8-1),0),0),0)</ns0:f>
        <ns0:v/>
      </ns0:c>
      <ns0:c r="I1675">
        <ns0:f>IF($H1675=0,0,IFERROR(IF(AND(ABS($C1675-INDEX('AH History'!$B$1:$B$18046,$H1675))&lt;=MAX(0.005,ABS(INDEX('AH History'!$B$1:$B$18046,$H1675))*0.00005),ABS($D1675-INDEX('AH History'!$C$1:$C$18046,$H1675))&lt;=MAX(0.005,ABS(INDEX('AH History'!$C$1:$C$18046,$H1675))*0.00005),ABS($E1675-INDEX('AH History'!$D$1:$D$18046,$H1675))&lt;=0.00005,$F1675=INDEX('AH History'!$E$1:$E$18046,$H1675),$G1675=INDEX('AH History'!$F$1:$F$18046,$H1675)),1,-1),-1))</ns0:f>
        <ns0:v/>
      </ns0:c>
    </ns0:row>
    <ns0:row r="1676">
      <ns0:c r="A1676" s="215">
        <ns0:f>IF(OR(AH!$P$3=0,1671+1&gt;AH!$P$11,AND(AH!$E$4&lt;&gt;"Stored",AH!$P$10&lt;&gt;1)),"",IFERROR(IF(AND(AH!$P$21=1,1671+1=AH!$P$11),TODAY(),IF(AH!$P$10=1,INDEX('Live History'!$A$5:$A$3004,AH!$P$13+1671),INDEX('AH History'!$A$1:$A$18046,AH!$P$7+1671))),""))</ns0:f>
        <ns0:v/>
      </ns0:c>
      <ns0:c r="B1676" s="219">
        <ns0:f>IFERROR(IF(AND(AH!$P$9&lt;&gt;1,$C1676&gt;0,$D1676&gt;0,$E1676&gt;0,$F1676&gt;0,$G1676&gt;0,$F1676&lt;=$A1676,$G1676&lt;=$A1676,$A1676-$F1676&lt;=10,$A1676-$G1676&lt;=5),$D1676*$E1676/$C1676-1,NA()),NA())</ns0:f>
        <ns0:v/>
      </ns0:c>
      <ns0:c r="C1676">
        <ns0:f>IFERROR(IF(ISNUMBER($A1676),IF(AND(AH!$P$10=1,AH!$P$12=1,$A1676=TODAY()),AH!$P$19,IF(AH!$P$10=1,INDEX('Live History'!$B$5:$B$3004,AH!$P$13+1671),INDEX('AH History'!$B$1:$B$18046,AH!$P$7+1671))),NA()),NA())</ns0:f>
        <ns0:v/>
      </ns0:c>
      <ns0:c r="D1676">
        <ns0:f>IFERROR(IF(ISNUMBER($A1676),IF(AND(AH!$P$10=1,AH!$P$12=1,$A1676=TODAY()),AH!$P$18,IF(AH!$P$10=1,INDEX('Live History'!$E$5:$E$3004,MATCH($A1676,'Live History'!$D$5:$D$3004,1)),INDEX('AH History'!$C$1:$C$18046,AH!$P$7+1671))),NA()),NA())</ns0:f>
        <ns0:v/>
      </ns0:c>
      <ns0:c r="E1676">
        <ns0:f>IFERROR(IF(ISNUMBER($A1676),IF(AND(AH!$P$10=1,AH!$P$12=1,$A1676=TODAY()),AH!$P$20,IF(AH!$P$10=1,INDEX('Live History'!$H$5:$H$3004,MATCH($A1676,'Live History'!$G$5:$G$3004,1)),INDEX('AH History'!$D$1:$D$18046,AH!$P$7+1671))),NA()),NA())</ns0:f>
        <ns0:v/>
      </ns0:c>
      <ns0:c r="F1676">
        <ns0:f>IFERROR(IF(ISNUMBER($A1676),IF(AND(AH!$P$10=1,AH!$P$12=1,$A1676=TODAY()),IF(AND(AH!$P$10=1,AH!$P$12=1,$A1676=TODAY()),TODAY(),NA()),IF(AH!$P$10=1,INDEX('Live History'!$D$5:$D$3004,MATCH($A1676,'Live History'!$D$5:$D$3004,1)),INDEX('AH History'!$E$1:$E$18046,AH!$P$7+1671))),NA()),NA())</ns0:f>
        <ns0:v/>
      </ns0:c>
      <ns0:c r="G1676">
        <ns0:f>IFERROR(IF(ISNUMBER($A1676),IF(AND(AH!$P$10=1,AH!$P$12=1,$A1676=TODAY()),IF(AND(AH!$P$10=1,AH!$P$12=1,$A1676=TODAY()),TODAY(),NA()),IF(AH!$P$10=1,INDEX('Live History'!$G$5:$G$3004,MATCH($A1676,'Live History'!$G$5:$G$3004,1)),INDEX('AH History'!$F$1:$F$18046,AH!$P$7+1671))),NA()),NA())</ns0:f>
        <ns0:v/>
      </ns0:c>
      <ns0:c r="H1676">
        <ns0:f>IFERROR(IF(AND(AH!$E$4="Bloomberg",AH!$P$10=1,ISNUMBER($A1676),$A1676&lt;=AH!$P$17),AH!$P$7-1+MATCH($A1676,INDEX('AH History'!$A$1:$A$18046,AH!$P$7):INDEX('AH History'!$A$1:$A$18046,AH!$P$7+AH!$P$8-1),0),0),0)</ns0:f>
        <ns0:v/>
      </ns0:c>
      <ns0:c r="I1676">
        <ns0:f>IF($H1676=0,0,IFERROR(IF(AND(ABS($C1676-INDEX('AH History'!$B$1:$B$18046,$H1676))&lt;=MAX(0.005,ABS(INDEX('AH History'!$B$1:$B$18046,$H1676))*0.00005),ABS($D1676-INDEX('AH History'!$C$1:$C$18046,$H1676))&lt;=MAX(0.005,ABS(INDEX('AH History'!$C$1:$C$18046,$H1676))*0.00005),ABS($E1676-INDEX('AH History'!$D$1:$D$18046,$H1676))&lt;=0.00005,$F1676=INDEX('AH History'!$E$1:$E$18046,$H1676),$G1676=INDEX('AH History'!$F$1:$F$18046,$H1676)),1,-1),-1))</ns0:f>
        <ns0:v/>
      </ns0:c>
    </ns0:row>
    <ns0:row r="1677">
      <ns0:c r="A1677" s="215">
        <ns0:f>IF(OR(AH!$P$3=0,1672+1&gt;AH!$P$11,AND(AH!$E$4&lt;&gt;"Stored",AH!$P$10&lt;&gt;1)),"",IFERROR(IF(AND(AH!$P$21=1,1672+1=AH!$P$11),TODAY(),IF(AH!$P$10=1,INDEX('Live History'!$A$5:$A$3004,AH!$P$13+1672),INDEX('AH History'!$A$1:$A$18046,AH!$P$7+1672))),""))</ns0:f>
        <ns0:v/>
      </ns0:c>
      <ns0:c r="B1677" s="219">
        <ns0:f>IFERROR(IF(AND(AH!$P$9&lt;&gt;1,$C1677&gt;0,$D1677&gt;0,$E1677&gt;0,$F1677&gt;0,$G1677&gt;0,$F1677&lt;=$A1677,$G1677&lt;=$A1677,$A1677-$F1677&lt;=10,$A1677-$G1677&lt;=5),$D1677*$E1677/$C1677-1,NA()),NA())</ns0:f>
        <ns0:v/>
      </ns0:c>
      <ns0:c r="C1677">
        <ns0:f>IFERROR(IF(ISNUMBER($A1677),IF(AND(AH!$P$10=1,AH!$P$12=1,$A1677=TODAY()),AH!$P$19,IF(AH!$P$10=1,INDEX('Live History'!$B$5:$B$3004,AH!$P$13+1672),INDEX('AH History'!$B$1:$B$18046,AH!$P$7+1672))),NA()),NA())</ns0:f>
        <ns0:v/>
      </ns0:c>
      <ns0:c r="D1677">
        <ns0:f>IFERROR(IF(ISNUMBER($A1677),IF(AND(AH!$P$10=1,AH!$P$12=1,$A1677=TODAY()),AH!$P$18,IF(AH!$P$10=1,INDEX('Live History'!$E$5:$E$3004,MATCH($A1677,'Live History'!$D$5:$D$3004,1)),INDEX('AH History'!$C$1:$C$18046,AH!$P$7+1672))),NA()),NA())</ns0:f>
        <ns0:v/>
      </ns0:c>
      <ns0:c r="E1677">
        <ns0:f>IFERROR(IF(ISNUMBER($A1677),IF(AND(AH!$P$10=1,AH!$P$12=1,$A1677=TODAY()),AH!$P$20,IF(AH!$P$10=1,INDEX('Live History'!$H$5:$H$3004,MATCH($A1677,'Live History'!$G$5:$G$3004,1)),INDEX('AH History'!$D$1:$D$18046,AH!$P$7+1672))),NA()),NA())</ns0:f>
        <ns0:v/>
      </ns0:c>
      <ns0:c r="F1677">
        <ns0:f>IFERROR(IF(ISNUMBER($A1677),IF(AND(AH!$P$10=1,AH!$P$12=1,$A1677=TODAY()),IF(AND(AH!$P$10=1,AH!$P$12=1,$A1677=TODAY()),TODAY(),NA()),IF(AH!$P$10=1,INDEX('Live History'!$D$5:$D$3004,MATCH($A1677,'Live History'!$D$5:$D$3004,1)),INDEX('AH History'!$E$1:$E$18046,AH!$P$7+1672))),NA()),NA())</ns0:f>
        <ns0:v/>
      </ns0:c>
      <ns0:c r="G1677">
        <ns0:f>IFERROR(IF(ISNUMBER($A1677),IF(AND(AH!$P$10=1,AH!$P$12=1,$A1677=TODAY()),IF(AND(AH!$P$10=1,AH!$P$12=1,$A1677=TODAY()),TODAY(),NA()),IF(AH!$P$10=1,INDEX('Live History'!$G$5:$G$3004,MATCH($A1677,'Live History'!$G$5:$G$3004,1)),INDEX('AH History'!$F$1:$F$18046,AH!$P$7+1672))),NA()),NA())</ns0:f>
        <ns0:v/>
      </ns0:c>
      <ns0:c r="H1677">
        <ns0:f>IFERROR(IF(AND(AH!$E$4="Bloomberg",AH!$P$10=1,ISNUMBER($A1677),$A1677&lt;=AH!$P$17),AH!$P$7-1+MATCH($A1677,INDEX('AH History'!$A$1:$A$18046,AH!$P$7):INDEX('AH History'!$A$1:$A$18046,AH!$P$7+AH!$P$8-1),0),0),0)</ns0:f>
        <ns0:v/>
      </ns0:c>
      <ns0:c r="I1677">
        <ns0:f>IF($H1677=0,0,IFERROR(IF(AND(ABS($C1677-INDEX('AH History'!$B$1:$B$18046,$H1677))&lt;=MAX(0.005,ABS(INDEX('AH History'!$B$1:$B$18046,$H1677))*0.00005),ABS($D1677-INDEX('AH History'!$C$1:$C$18046,$H1677))&lt;=MAX(0.005,ABS(INDEX('AH History'!$C$1:$C$18046,$H1677))*0.00005),ABS($E1677-INDEX('AH History'!$D$1:$D$18046,$H1677))&lt;=0.00005,$F1677=INDEX('AH History'!$E$1:$E$18046,$H1677),$G1677=INDEX('AH History'!$F$1:$F$18046,$H1677)),1,-1),-1))</ns0:f>
        <ns0:v/>
      </ns0:c>
    </ns0:row>
    <ns0:row r="1678">
      <ns0:c r="A1678" s="215">
        <ns0:f>IF(OR(AH!$P$3=0,1673+1&gt;AH!$P$11,AND(AH!$E$4&lt;&gt;"Stored",AH!$P$10&lt;&gt;1)),"",IFERROR(IF(AND(AH!$P$21=1,1673+1=AH!$P$11),TODAY(),IF(AH!$P$10=1,INDEX('Live History'!$A$5:$A$3004,AH!$P$13+1673),INDEX('AH History'!$A$1:$A$18046,AH!$P$7+1673))),""))</ns0:f>
        <ns0:v/>
      </ns0:c>
      <ns0:c r="B1678" s="219">
        <ns0:f>IFERROR(IF(AND(AH!$P$9&lt;&gt;1,$C1678&gt;0,$D1678&gt;0,$E1678&gt;0,$F1678&gt;0,$G1678&gt;0,$F1678&lt;=$A1678,$G1678&lt;=$A1678,$A1678-$F1678&lt;=10,$A1678-$G1678&lt;=5),$D1678*$E1678/$C1678-1,NA()),NA())</ns0:f>
        <ns0:v/>
      </ns0:c>
      <ns0:c r="C1678">
        <ns0:f>IFERROR(IF(ISNUMBER($A1678),IF(AND(AH!$P$10=1,AH!$P$12=1,$A1678=TODAY()),AH!$P$19,IF(AH!$P$10=1,INDEX('Live History'!$B$5:$B$3004,AH!$P$13+1673),INDEX('AH History'!$B$1:$B$18046,AH!$P$7+1673))),NA()),NA())</ns0:f>
        <ns0:v/>
      </ns0:c>
      <ns0:c r="D1678">
        <ns0:f>IFERROR(IF(ISNUMBER($A1678),IF(AND(AH!$P$10=1,AH!$P$12=1,$A1678=TODAY()),AH!$P$18,IF(AH!$P$10=1,INDEX('Live History'!$E$5:$E$3004,MATCH($A1678,'Live History'!$D$5:$D$3004,1)),INDEX('AH History'!$C$1:$C$18046,AH!$P$7+1673))),NA()),NA())</ns0:f>
        <ns0:v/>
      </ns0:c>
      <ns0:c r="E1678">
        <ns0:f>IFERROR(IF(ISNUMBER($A1678),IF(AND(AH!$P$10=1,AH!$P$12=1,$A1678=TODAY()),AH!$P$20,IF(AH!$P$10=1,INDEX('Live History'!$H$5:$H$3004,MATCH($A1678,'Live History'!$G$5:$G$3004,1)),INDEX('AH History'!$D$1:$D$18046,AH!$P$7+1673))),NA()),NA())</ns0:f>
        <ns0:v/>
      </ns0:c>
      <ns0:c r="F1678">
        <ns0:f>IFERROR(IF(ISNUMBER($A1678),IF(AND(AH!$P$10=1,AH!$P$12=1,$A1678=TODAY()),IF(AND(AH!$P$10=1,AH!$P$12=1,$A1678=TODAY()),TODAY(),NA()),IF(AH!$P$10=1,INDEX('Live History'!$D$5:$D$3004,MATCH($A1678,'Live History'!$D$5:$D$3004,1)),INDEX('AH History'!$E$1:$E$18046,AH!$P$7+1673))),NA()),NA())</ns0:f>
        <ns0:v/>
      </ns0:c>
      <ns0:c r="G1678">
        <ns0:f>IFERROR(IF(ISNUMBER($A1678),IF(AND(AH!$P$10=1,AH!$P$12=1,$A1678=TODAY()),IF(AND(AH!$P$10=1,AH!$P$12=1,$A1678=TODAY()),TODAY(),NA()),IF(AH!$P$10=1,INDEX('Live History'!$G$5:$G$3004,MATCH($A1678,'Live History'!$G$5:$G$3004,1)),INDEX('AH History'!$F$1:$F$18046,AH!$P$7+1673))),NA()),NA())</ns0:f>
        <ns0:v/>
      </ns0:c>
      <ns0:c r="H1678">
        <ns0:f>IFERROR(IF(AND(AH!$E$4="Bloomberg",AH!$P$10=1,ISNUMBER($A1678),$A1678&lt;=AH!$P$17),AH!$P$7-1+MATCH($A1678,INDEX('AH History'!$A$1:$A$18046,AH!$P$7):INDEX('AH History'!$A$1:$A$18046,AH!$P$7+AH!$P$8-1),0),0),0)</ns0:f>
        <ns0:v/>
      </ns0:c>
      <ns0:c r="I1678">
        <ns0:f>IF($H1678=0,0,IFERROR(IF(AND(ABS($C1678-INDEX('AH History'!$B$1:$B$18046,$H1678))&lt;=MAX(0.005,ABS(INDEX('AH History'!$B$1:$B$18046,$H1678))*0.00005),ABS($D1678-INDEX('AH History'!$C$1:$C$18046,$H1678))&lt;=MAX(0.005,ABS(INDEX('AH History'!$C$1:$C$18046,$H1678))*0.00005),ABS($E1678-INDEX('AH History'!$D$1:$D$18046,$H1678))&lt;=0.00005,$F1678=INDEX('AH History'!$E$1:$E$18046,$H1678),$G1678=INDEX('AH History'!$F$1:$F$18046,$H1678)),1,-1),-1))</ns0:f>
        <ns0:v/>
      </ns0:c>
    </ns0:row>
    <ns0:row r="1679">
      <ns0:c r="A1679" s="215">
        <ns0:f>IF(OR(AH!$P$3=0,1674+1&gt;AH!$P$11,AND(AH!$E$4&lt;&gt;"Stored",AH!$P$10&lt;&gt;1)),"",IFERROR(IF(AND(AH!$P$21=1,1674+1=AH!$P$11),TODAY(),IF(AH!$P$10=1,INDEX('Live History'!$A$5:$A$3004,AH!$P$13+1674),INDEX('AH History'!$A$1:$A$18046,AH!$P$7+1674))),""))</ns0:f>
        <ns0:v/>
      </ns0:c>
      <ns0:c r="B1679" s="219">
        <ns0:f>IFERROR(IF(AND(AH!$P$9&lt;&gt;1,$C1679&gt;0,$D1679&gt;0,$E1679&gt;0,$F1679&gt;0,$G1679&gt;0,$F1679&lt;=$A1679,$G1679&lt;=$A1679,$A1679-$F1679&lt;=10,$A1679-$G1679&lt;=5),$D1679*$E1679/$C1679-1,NA()),NA())</ns0:f>
        <ns0:v/>
      </ns0:c>
      <ns0:c r="C1679">
        <ns0:f>IFERROR(IF(ISNUMBER($A1679),IF(AND(AH!$P$10=1,AH!$P$12=1,$A1679=TODAY()),AH!$P$19,IF(AH!$P$10=1,INDEX('Live History'!$B$5:$B$3004,AH!$P$13+1674),INDEX('AH History'!$B$1:$B$18046,AH!$P$7+1674))),NA()),NA())</ns0:f>
        <ns0:v/>
      </ns0:c>
      <ns0:c r="D1679">
        <ns0:f>IFERROR(IF(ISNUMBER($A1679),IF(AND(AH!$P$10=1,AH!$P$12=1,$A1679=TODAY()),AH!$P$18,IF(AH!$P$10=1,INDEX('Live History'!$E$5:$E$3004,MATCH($A1679,'Live History'!$D$5:$D$3004,1)),INDEX('AH History'!$C$1:$C$18046,AH!$P$7+1674))),NA()),NA())</ns0:f>
        <ns0:v/>
      </ns0:c>
      <ns0:c r="E1679">
        <ns0:f>IFERROR(IF(ISNUMBER($A1679),IF(AND(AH!$P$10=1,AH!$P$12=1,$A1679=TODAY()),AH!$P$20,IF(AH!$P$10=1,INDEX('Live History'!$H$5:$H$3004,MATCH($A1679,'Live History'!$G$5:$G$3004,1)),INDEX('AH History'!$D$1:$D$18046,AH!$P$7+1674))),NA()),NA())</ns0:f>
        <ns0:v/>
      </ns0:c>
      <ns0:c r="F1679">
        <ns0:f>IFERROR(IF(ISNUMBER($A1679),IF(AND(AH!$P$10=1,AH!$P$12=1,$A1679=TODAY()),IF(AND(AH!$P$10=1,AH!$P$12=1,$A1679=TODAY()),TODAY(),NA()),IF(AH!$P$10=1,INDEX('Live History'!$D$5:$D$3004,MATCH($A1679,'Live History'!$D$5:$D$3004,1)),INDEX('AH History'!$E$1:$E$18046,AH!$P$7+1674))),NA()),NA())</ns0:f>
        <ns0:v/>
      </ns0:c>
      <ns0:c r="G1679">
        <ns0:f>IFERROR(IF(ISNUMBER($A1679),IF(AND(AH!$P$10=1,AH!$P$12=1,$A1679=TODAY()),IF(AND(AH!$P$10=1,AH!$P$12=1,$A1679=TODAY()),TODAY(),NA()),IF(AH!$P$10=1,INDEX('Live History'!$G$5:$G$3004,MATCH($A1679,'Live History'!$G$5:$G$3004,1)),INDEX('AH History'!$F$1:$F$18046,AH!$P$7+1674))),NA()),NA())</ns0:f>
        <ns0:v/>
      </ns0:c>
      <ns0:c r="H1679">
        <ns0:f>IFERROR(IF(AND(AH!$E$4="Bloomberg",AH!$P$10=1,ISNUMBER($A1679),$A1679&lt;=AH!$P$17),AH!$P$7-1+MATCH($A1679,INDEX('AH History'!$A$1:$A$18046,AH!$P$7):INDEX('AH History'!$A$1:$A$18046,AH!$P$7+AH!$P$8-1),0),0),0)</ns0:f>
        <ns0:v/>
      </ns0:c>
      <ns0:c r="I1679">
        <ns0:f>IF($H1679=0,0,IFERROR(IF(AND(ABS($C1679-INDEX('AH History'!$B$1:$B$18046,$H1679))&lt;=MAX(0.005,ABS(INDEX('AH History'!$B$1:$B$18046,$H1679))*0.00005),ABS($D1679-INDEX('AH History'!$C$1:$C$18046,$H1679))&lt;=MAX(0.005,ABS(INDEX('AH History'!$C$1:$C$18046,$H1679))*0.00005),ABS($E1679-INDEX('AH History'!$D$1:$D$18046,$H1679))&lt;=0.00005,$F1679=INDEX('AH History'!$E$1:$E$18046,$H1679),$G1679=INDEX('AH History'!$F$1:$F$18046,$H1679)),1,-1),-1))</ns0:f>
        <ns0:v/>
      </ns0:c>
    </ns0:row>
    <ns0:row r="1680">
      <ns0:c r="A1680" s="215">
        <ns0:f>IF(OR(AH!$P$3=0,1675+1&gt;AH!$P$11,AND(AH!$E$4&lt;&gt;"Stored",AH!$P$10&lt;&gt;1)),"",IFERROR(IF(AND(AH!$P$21=1,1675+1=AH!$P$11),TODAY(),IF(AH!$P$10=1,INDEX('Live History'!$A$5:$A$3004,AH!$P$13+1675),INDEX('AH History'!$A$1:$A$18046,AH!$P$7+1675))),""))</ns0:f>
        <ns0:v/>
      </ns0:c>
      <ns0:c r="B1680" s="219">
        <ns0:f>IFERROR(IF(AND(AH!$P$9&lt;&gt;1,$C1680&gt;0,$D1680&gt;0,$E1680&gt;0,$F1680&gt;0,$G1680&gt;0,$F1680&lt;=$A1680,$G1680&lt;=$A1680,$A1680-$F1680&lt;=10,$A1680-$G1680&lt;=5),$D1680*$E1680/$C1680-1,NA()),NA())</ns0:f>
        <ns0:v/>
      </ns0:c>
      <ns0:c r="C1680">
        <ns0:f>IFERROR(IF(ISNUMBER($A1680),IF(AND(AH!$P$10=1,AH!$P$12=1,$A1680=TODAY()),AH!$P$19,IF(AH!$P$10=1,INDEX('Live History'!$B$5:$B$3004,AH!$P$13+1675),INDEX('AH History'!$B$1:$B$18046,AH!$P$7+1675))),NA()),NA())</ns0:f>
        <ns0:v/>
      </ns0:c>
      <ns0:c r="D1680">
        <ns0:f>IFERROR(IF(ISNUMBER($A1680),IF(AND(AH!$P$10=1,AH!$P$12=1,$A1680=TODAY()),AH!$P$18,IF(AH!$P$10=1,INDEX('Live History'!$E$5:$E$3004,MATCH($A1680,'Live History'!$D$5:$D$3004,1)),INDEX('AH History'!$C$1:$C$18046,AH!$P$7+1675))),NA()),NA())</ns0:f>
        <ns0:v/>
      </ns0:c>
      <ns0:c r="E1680">
        <ns0:f>IFERROR(IF(ISNUMBER($A1680),IF(AND(AH!$P$10=1,AH!$P$12=1,$A1680=TODAY()),AH!$P$20,IF(AH!$P$10=1,INDEX('Live History'!$H$5:$H$3004,MATCH($A1680,'Live History'!$G$5:$G$3004,1)),INDEX('AH History'!$D$1:$D$18046,AH!$P$7+1675))),NA()),NA())</ns0:f>
        <ns0:v/>
      </ns0:c>
      <ns0:c r="F1680">
        <ns0:f>IFERROR(IF(ISNUMBER($A1680),IF(AND(AH!$P$10=1,AH!$P$12=1,$A1680=TODAY()),IF(AND(AH!$P$10=1,AH!$P$12=1,$A1680=TODAY()),TODAY(),NA()),IF(AH!$P$10=1,INDEX('Live History'!$D$5:$D$3004,MATCH($A1680,'Live History'!$D$5:$D$3004,1)),INDEX('AH History'!$E$1:$E$18046,AH!$P$7+1675))),NA()),NA())</ns0:f>
        <ns0:v/>
      </ns0:c>
      <ns0:c r="G1680">
        <ns0:f>IFERROR(IF(ISNUMBER($A1680),IF(AND(AH!$P$10=1,AH!$P$12=1,$A1680=TODAY()),IF(AND(AH!$P$10=1,AH!$P$12=1,$A1680=TODAY()),TODAY(),NA()),IF(AH!$P$10=1,INDEX('Live History'!$G$5:$G$3004,MATCH($A1680,'Live History'!$G$5:$G$3004,1)),INDEX('AH History'!$F$1:$F$18046,AH!$P$7+1675))),NA()),NA())</ns0:f>
        <ns0:v/>
      </ns0:c>
      <ns0:c r="H1680">
        <ns0:f>IFERROR(IF(AND(AH!$E$4="Bloomberg",AH!$P$10=1,ISNUMBER($A1680),$A1680&lt;=AH!$P$17),AH!$P$7-1+MATCH($A1680,INDEX('AH History'!$A$1:$A$18046,AH!$P$7):INDEX('AH History'!$A$1:$A$18046,AH!$P$7+AH!$P$8-1),0),0),0)</ns0:f>
        <ns0:v/>
      </ns0:c>
      <ns0:c r="I1680">
        <ns0:f>IF($H1680=0,0,IFERROR(IF(AND(ABS($C1680-INDEX('AH History'!$B$1:$B$18046,$H1680))&lt;=MAX(0.005,ABS(INDEX('AH History'!$B$1:$B$18046,$H1680))*0.00005),ABS($D1680-INDEX('AH History'!$C$1:$C$18046,$H1680))&lt;=MAX(0.005,ABS(INDEX('AH History'!$C$1:$C$18046,$H1680))*0.00005),ABS($E1680-INDEX('AH History'!$D$1:$D$18046,$H1680))&lt;=0.00005,$F1680=INDEX('AH History'!$E$1:$E$18046,$H1680),$G1680=INDEX('AH History'!$F$1:$F$18046,$H1680)),1,-1),-1))</ns0:f>
        <ns0:v/>
      </ns0:c>
    </ns0:row>
    <ns0:row r="1681">
      <ns0:c r="A1681" s="215">
        <ns0:f>IF(OR(AH!$P$3=0,1676+1&gt;AH!$P$11,AND(AH!$E$4&lt;&gt;"Stored",AH!$P$10&lt;&gt;1)),"",IFERROR(IF(AND(AH!$P$21=1,1676+1=AH!$P$11),TODAY(),IF(AH!$P$10=1,INDEX('Live History'!$A$5:$A$3004,AH!$P$13+1676),INDEX('AH History'!$A$1:$A$18046,AH!$P$7+1676))),""))</ns0:f>
        <ns0:v/>
      </ns0:c>
      <ns0:c r="B1681" s="219">
        <ns0:f>IFERROR(IF(AND(AH!$P$9&lt;&gt;1,$C1681&gt;0,$D1681&gt;0,$E1681&gt;0,$F1681&gt;0,$G1681&gt;0,$F1681&lt;=$A1681,$G1681&lt;=$A1681,$A1681-$F1681&lt;=10,$A1681-$G1681&lt;=5),$D1681*$E1681/$C1681-1,NA()),NA())</ns0:f>
        <ns0:v/>
      </ns0:c>
      <ns0:c r="C1681">
        <ns0:f>IFERROR(IF(ISNUMBER($A1681),IF(AND(AH!$P$10=1,AH!$P$12=1,$A1681=TODAY()),AH!$P$19,IF(AH!$P$10=1,INDEX('Live History'!$B$5:$B$3004,AH!$P$13+1676),INDEX('AH History'!$B$1:$B$18046,AH!$P$7+1676))),NA()),NA())</ns0:f>
        <ns0:v/>
      </ns0:c>
      <ns0:c r="D1681">
        <ns0:f>IFERROR(IF(ISNUMBER($A1681),IF(AND(AH!$P$10=1,AH!$P$12=1,$A1681=TODAY()),AH!$P$18,IF(AH!$P$10=1,INDEX('Live History'!$E$5:$E$3004,MATCH($A1681,'Live History'!$D$5:$D$3004,1)),INDEX('AH History'!$C$1:$C$18046,AH!$P$7+1676))),NA()),NA())</ns0:f>
        <ns0:v/>
      </ns0:c>
      <ns0:c r="E1681">
        <ns0:f>IFERROR(IF(ISNUMBER($A1681),IF(AND(AH!$P$10=1,AH!$P$12=1,$A1681=TODAY()),AH!$P$20,IF(AH!$P$10=1,INDEX('Live History'!$H$5:$H$3004,MATCH($A1681,'Live History'!$G$5:$G$3004,1)),INDEX('AH History'!$D$1:$D$18046,AH!$P$7+1676))),NA()),NA())</ns0:f>
        <ns0:v/>
      </ns0:c>
      <ns0:c r="F1681">
        <ns0:f>IFERROR(IF(ISNUMBER($A1681),IF(AND(AH!$P$10=1,AH!$P$12=1,$A1681=TODAY()),IF(AND(AH!$P$10=1,AH!$P$12=1,$A1681=TODAY()),TODAY(),NA()),IF(AH!$P$10=1,INDEX('Live History'!$D$5:$D$3004,MATCH($A1681,'Live History'!$D$5:$D$3004,1)),INDEX('AH History'!$E$1:$E$18046,AH!$P$7+1676))),NA()),NA())</ns0:f>
        <ns0:v/>
      </ns0:c>
      <ns0:c r="G1681">
        <ns0:f>IFERROR(IF(ISNUMBER($A1681),IF(AND(AH!$P$10=1,AH!$P$12=1,$A1681=TODAY()),IF(AND(AH!$P$10=1,AH!$P$12=1,$A1681=TODAY()),TODAY(),NA()),IF(AH!$P$10=1,INDEX('Live History'!$G$5:$G$3004,MATCH($A1681,'Live History'!$G$5:$G$3004,1)),INDEX('AH History'!$F$1:$F$18046,AH!$P$7+1676))),NA()),NA())</ns0:f>
        <ns0:v/>
      </ns0:c>
      <ns0:c r="H1681">
        <ns0:f>IFERROR(IF(AND(AH!$E$4="Bloomberg",AH!$P$10=1,ISNUMBER($A1681),$A1681&lt;=AH!$P$17),AH!$P$7-1+MATCH($A1681,INDEX('AH History'!$A$1:$A$18046,AH!$P$7):INDEX('AH History'!$A$1:$A$18046,AH!$P$7+AH!$P$8-1),0),0),0)</ns0:f>
        <ns0:v/>
      </ns0:c>
      <ns0:c r="I1681">
        <ns0:f>IF($H1681=0,0,IFERROR(IF(AND(ABS($C1681-INDEX('AH History'!$B$1:$B$18046,$H1681))&lt;=MAX(0.005,ABS(INDEX('AH History'!$B$1:$B$18046,$H1681))*0.00005),ABS($D1681-INDEX('AH History'!$C$1:$C$18046,$H1681))&lt;=MAX(0.005,ABS(INDEX('AH History'!$C$1:$C$18046,$H1681))*0.00005),ABS($E1681-INDEX('AH History'!$D$1:$D$18046,$H1681))&lt;=0.00005,$F1681=INDEX('AH History'!$E$1:$E$18046,$H1681),$G1681=INDEX('AH History'!$F$1:$F$18046,$H1681)),1,-1),-1))</ns0:f>
        <ns0:v/>
      </ns0:c>
    </ns0:row>
    <ns0:row r="1682">
      <ns0:c r="A1682" s="215">
        <ns0:f>IF(OR(AH!$P$3=0,1677+1&gt;AH!$P$11,AND(AH!$E$4&lt;&gt;"Stored",AH!$P$10&lt;&gt;1)),"",IFERROR(IF(AND(AH!$P$21=1,1677+1=AH!$P$11),TODAY(),IF(AH!$P$10=1,INDEX('Live History'!$A$5:$A$3004,AH!$P$13+1677),INDEX('AH History'!$A$1:$A$18046,AH!$P$7+1677))),""))</ns0:f>
        <ns0:v/>
      </ns0:c>
      <ns0:c r="B1682" s="219">
        <ns0:f>IFERROR(IF(AND(AH!$P$9&lt;&gt;1,$C1682&gt;0,$D1682&gt;0,$E1682&gt;0,$F1682&gt;0,$G1682&gt;0,$F1682&lt;=$A1682,$G1682&lt;=$A1682,$A1682-$F1682&lt;=10,$A1682-$G1682&lt;=5),$D1682*$E1682/$C1682-1,NA()),NA())</ns0:f>
        <ns0:v/>
      </ns0:c>
      <ns0:c r="C1682">
        <ns0:f>IFERROR(IF(ISNUMBER($A1682),IF(AND(AH!$P$10=1,AH!$P$12=1,$A1682=TODAY()),AH!$P$19,IF(AH!$P$10=1,INDEX('Live History'!$B$5:$B$3004,AH!$P$13+1677),INDEX('AH History'!$B$1:$B$18046,AH!$P$7+1677))),NA()),NA())</ns0:f>
        <ns0:v/>
      </ns0:c>
      <ns0:c r="D1682">
        <ns0:f>IFERROR(IF(ISNUMBER($A1682),IF(AND(AH!$P$10=1,AH!$P$12=1,$A1682=TODAY()),AH!$P$18,IF(AH!$P$10=1,INDEX('Live History'!$E$5:$E$3004,MATCH($A1682,'Live History'!$D$5:$D$3004,1)),INDEX('AH History'!$C$1:$C$18046,AH!$P$7+1677))),NA()),NA())</ns0:f>
        <ns0:v/>
      </ns0:c>
      <ns0:c r="E1682">
        <ns0:f>IFERROR(IF(ISNUMBER($A1682),IF(AND(AH!$P$10=1,AH!$P$12=1,$A1682=TODAY()),AH!$P$20,IF(AH!$P$10=1,INDEX('Live History'!$H$5:$H$3004,MATCH($A1682,'Live History'!$G$5:$G$3004,1)),INDEX('AH History'!$D$1:$D$18046,AH!$P$7+1677))),NA()),NA())</ns0:f>
        <ns0:v/>
      </ns0:c>
      <ns0:c r="F1682">
        <ns0:f>IFERROR(IF(ISNUMBER($A1682),IF(AND(AH!$P$10=1,AH!$P$12=1,$A1682=TODAY()),IF(AND(AH!$P$10=1,AH!$P$12=1,$A1682=TODAY()),TODAY(),NA()),IF(AH!$P$10=1,INDEX('Live History'!$D$5:$D$3004,MATCH($A1682,'Live History'!$D$5:$D$3004,1)),INDEX('AH History'!$E$1:$E$18046,AH!$P$7+1677))),NA()),NA())</ns0:f>
        <ns0:v/>
      </ns0:c>
      <ns0:c r="G1682">
        <ns0:f>IFERROR(IF(ISNUMBER($A1682),IF(AND(AH!$P$10=1,AH!$P$12=1,$A1682=TODAY()),IF(AND(AH!$P$10=1,AH!$P$12=1,$A1682=TODAY()),TODAY(),NA()),IF(AH!$P$10=1,INDEX('Live History'!$G$5:$G$3004,MATCH($A1682,'Live History'!$G$5:$G$3004,1)),INDEX('AH History'!$F$1:$F$18046,AH!$P$7+1677))),NA()),NA())</ns0:f>
        <ns0:v/>
      </ns0:c>
      <ns0:c r="H1682">
        <ns0:f>IFERROR(IF(AND(AH!$E$4="Bloomberg",AH!$P$10=1,ISNUMBER($A1682),$A1682&lt;=AH!$P$17),AH!$P$7-1+MATCH($A1682,INDEX('AH History'!$A$1:$A$18046,AH!$P$7):INDEX('AH History'!$A$1:$A$18046,AH!$P$7+AH!$P$8-1),0),0),0)</ns0:f>
        <ns0:v/>
      </ns0:c>
      <ns0:c r="I1682">
        <ns0:f>IF($H1682=0,0,IFERROR(IF(AND(ABS($C1682-INDEX('AH History'!$B$1:$B$18046,$H1682))&lt;=MAX(0.005,ABS(INDEX('AH History'!$B$1:$B$18046,$H1682))*0.00005),ABS($D1682-INDEX('AH History'!$C$1:$C$18046,$H1682))&lt;=MAX(0.005,ABS(INDEX('AH History'!$C$1:$C$18046,$H1682))*0.00005),ABS($E1682-INDEX('AH History'!$D$1:$D$18046,$H1682))&lt;=0.00005,$F1682=INDEX('AH History'!$E$1:$E$18046,$H1682),$G1682=INDEX('AH History'!$F$1:$F$18046,$H1682)),1,-1),-1))</ns0:f>
        <ns0:v/>
      </ns0:c>
    </ns0:row>
    <ns0:row r="1683">
      <ns0:c r="A1683" s="215">
        <ns0:f>IF(OR(AH!$P$3=0,1678+1&gt;AH!$P$11,AND(AH!$E$4&lt;&gt;"Stored",AH!$P$10&lt;&gt;1)),"",IFERROR(IF(AND(AH!$P$21=1,1678+1=AH!$P$11),TODAY(),IF(AH!$P$10=1,INDEX('Live History'!$A$5:$A$3004,AH!$P$13+1678),INDEX('AH History'!$A$1:$A$18046,AH!$P$7+1678))),""))</ns0:f>
        <ns0:v/>
      </ns0:c>
      <ns0:c r="B1683" s="219">
        <ns0:f>IFERROR(IF(AND(AH!$P$9&lt;&gt;1,$C1683&gt;0,$D1683&gt;0,$E1683&gt;0,$F1683&gt;0,$G1683&gt;0,$F1683&lt;=$A1683,$G1683&lt;=$A1683,$A1683-$F1683&lt;=10,$A1683-$G1683&lt;=5),$D1683*$E1683/$C1683-1,NA()),NA())</ns0:f>
        <ns0:v/>
      </ns0:c>
      <ns0:c r="C1683">
        <ns0:f>IFERROR(IF(ISNUMBER($A1683),IF(AND(AH!$P$10=1,AH!$P$12=1,$A1683=TODAY()),AH!$P$19,IF(AH!$P$10=1,INDEX('Live History'!$B$5:$B$3004,AH!$P$13+1678),INDEX('AH History'!$B$1:$B$18046,AH!$P$7+1678))),NA()),NA())</ns0:f>
        <ns0:v/>
      </ns0:c>
      <ns0:c r="D1683">
        <ns0:f>IFERROR(IF(ISNUMBER($A1683),IF(AND(AH!$P$10=1,AH!$P$12=1,$A1683=TODAY()),AH!$P$18,IF(AH!$P$10=1,INDEX('Live History'!$E$5:$E$3004,MATCH($A1683,'Live History'!$D$5:$D$3004,1)),INDEX('AH History'!$C$1:$C$18046,AH!$P$7+1678))),NA()),NA())</ns0:f>
        <ns0:v/>
      </ns0:c>
      <ns0:c r="E1683">
        <ns0:f>IFERROR(IF(ISNUMBER($A1683),IF(AND(AH!$P$10=1,AH!$P$12=1,$A1683=TODAY()),AH!$P$20,IF(AH!$P$10=1,INDEX('Live History'!$H$5:$H$3004,MATCH($A1683,'Live History'!$G$5:$G$3004,1)),INDEX('AH History'!$D$1:$D$18046,AH!$P$7+1678))),NA()),NA())</ns0:f>
        <ns0:v/>
      </ns0:c>
      <ns0:c r="F1683">
        <ns0:f>IFERROR(IF(ISNUMBER($A1683),IF(AND(AH!$P$10=1,AH!$P$12=1,$A1683=TODAY()),IF(AND(AH!$P$10=1,AH!$P$12=1,$A1683=TODAY()),TODAY(),NA()),IF(AH!$P$10=1,INDEX('Live History'!$D$5:$D$3004,MATCH($A1683,'Live History'!$D$5:$D$3004,1)),INDEX('AH History'!$E$1:$E$18046,AH!$P$7+1678))),NA()),NA())</ns0:f>
        <ns0:v/>
      </ns0:c>
      <ns0:c r="G1683">
        <ns0:f>IFERROR(IF(ISNUMBER($A1683),IF(AND(AH!$P$10=1,AH!$P$12=1,$A1683=TODAY()),IF(AND(AH!$P$10=1,AH!$P$12=1,$A1683=TODAY()),TODAY(),NA()),IF(AH!$P$10=1,INDEX('Live History'!$G$5:$G$3004,MATCH($A1683,'Live History'!$G$5:$G$3004,1)),INDEX('AH History'!$F$1:$F$18046,AH!$P$7+1678))),NA()),NA())</ns0:f>
        <ns0:v/>
      </ns0:c>
      <ns0:c r="H1683">
        <ns0:f>IFERROR(IF(AND(AH!$E$4="Bloomberg",AH!$P$10=1,ISNUMBER($A1683),$A1683&lt;=AH!$P$17),AH!$P$7-1+MATCH($A1683,INDEX('AH History'!$A$1:$A$18046,AH!$P$7):INDEX('AH History'!$A$1:$A$18046,AH!$P$7+AH!$P$8-1),0),0),0)</ns0:f>
        <ns0:v/>
      </ns0:c>
      <ns0:c r="I1683">
        <ns0:f>IF($H1683=0,0,IFERROR(IF(AND(ABS($C1683-INDEX('AH History'!$B$1:$B$18046,$H1683))&lt;=MAX(0.005,ABS(INDEX('AH History'!$B$1:$B$18046,$H1683))*0.00005),ABS($D1683-INDEX('AH History'!$C$1:$C$18046,$H1683))&lt;=MAX(0.005,ABS(INDEX('AH History'!$C$1:$C$18046,$H1683))*0.00005),ABS($E1683-INDEX('AH History'!$D$1:$D$18046,$H1683))&lt;=0.00005,$F1683=INDEX('AH History'!$E$1:$E$18046,$H1683),$G1683=INDEX('AH History'!$F$1:$F$18046,$H1683)),1,-1),-1))</ns0:f>
        <ns0:v/>
      </ns0:c>
    </ns0:row>
    <ns0:row r="1684">
      <ns0:c r="A1684" s="215">
        <ns0:f>IF(OR(AH!$P$3=0,1679+1&gt;AH!$P$11,AND(AH!$E$4&lt;&gt;"Stored",AH!$P$10&lt;&gt;1)),"",IFERROR(IF(AND(AH!$P$21=1,1679+1=AH!$P$11),TODAY(),IF(AH!$P$10=1,INDEX('Live History'!$A$5:$A$3004,AH!$P$13+1679),INDEX('AH History'!$A$1:$A$18046,AH!$P$7+1679))),""))</ns0:f>
        <ns0:v/>
      </ns0:c>
      <ns0:c r="B1684" s="219">
        <ns0:f>IFERROR(IF(AND(AH!$P$9&lt;&gt;1,$C1684&gt;0,$D1684&gt;0,$E1684&gt;0,$F1684&gt;0,$G1684&gt;0,$F1684&lt;=$A1684,$G1684&lt;=$A1684,$A1684-$F1684&lt;=10,$A1684-$G1684&lt;=5),$D1684*$E1684/$C1684-1,NA()),NA())</ns0:f>
        <ns0:v/>
      </ns0:c>
      <ns0:c r="C1684">
        <ns0:f>IFERROR(IF(ISNUMBER($A1684),IF(AND(AH!$P$10=1,AH!$P$12=1,$A1684=TODAY()),AH!$P$19,IF(AH!$P$10=1,INDEX('Live History'!$B$5:$B$3004,AH!$P$13+1679),INDEX('AH History'!$B$1:$B$18046,AH!$P$7+1679))),NA()),NA())</ns0:f>
        <ns0:v/>
      </ns0:c>
      <ns0:c r="D1684">
        <ns0:f>IFERROR(IF(ISNUMBER($A1684),IF(AND(AH!$P$10=1,AH!$P$12=1,$A1684=TODAY()),AH!$P$18,IF(AH!$P$10=1,INDEX('Live History'!$E$5:$E$3004,MATCH($A1684,'Live History'!$D$5:$D$3004,1)),INDEX('AH History'!$C$1:$C$18046,AH!$P$7+1679))),NA()),NA())</ns0:f>
        <ns0:v/>
      </ns0:c>
      <ns0:c r="E1684">
        <ns0:f>IFERROR(IF(ISNUMBER($A1684),IF(AND(AH!$P$10=1,AH!$P$12=1,$A1684=TODAY()),AH!$P$20,IF(AH!$P$10=1,INDEX('Live History'!$H$5:$H$3004,MATCH($A1684,'Live History'!$G$5:$G$3004,1)),INDEX('AH History'!$D$1:$D$18046,AH!$P$7+1679))),NA()),NA())</ns0:f>
        <ns0:v/>
      </ns0:c>
      <ns0:c r="F1684">
        <ns0:f>IFERROR(IF(ISNUMBER($A1684),IF(AND(AH!$P$10=1,AH!$P$12=1,$A1684=TODAY()),IF(AND(AH!$P$10=1,AH!$P$12=1,$A1684=TODAY()),TODAY(),NA()),IF(AH!$P$10=1,INDEX('Live History'!$D$5:$D$3004,MATCH($A1684,'Live History'!$D$5:$D$3004,1)),INDEX('AH History'!$E$1:$E$18046,AH!$P$7+1679))),NA()),NA())</ns0:f>
        <ns0:v/>
      </ns0:c>
      <ns0:c r="G1684">
        <ns0:f>IFERROR(IF(ISNUMBER($A1684),IF(AND(AH!$P$10=1,AH!$P$12=1,$A1684=TODAY()),IF(AND(AH!$P$10=1,AH!$P$12=1,$A1684=TODAY()),TODAY(),NA()),IF(AH!$P$10=1,INDEX('Live History'!$G$5:$G$3004,MATCH($A1684,'Live History'!$G$5:$G$3004,1)),INDEX('AH History'!$F$1:$F$18046,AH!$P$7+1679))),NA()),NA())</ns0:f>
        <ns0:v/>
      </ns0:c>
      <ns0:c r="H1684">
        <ns0:f>IFERROR(IF(AND(AH!$E$4="Bloomberg",AH!$P$10=1,ISNUMBER($A1684),$A1684&lt;=AH!$P$17),AH!$P$7-1+MATCH($A1684,INDEX('AH History'!$A$1:$A$18046,AH!$P$7):INDEX('AH History'!$A$1:$A$18046,AH!$P$7+AH!$P$8-1),0),0),0)</ns0:f>
        <ns0:v/>
      </ns0:c>
      <ns0:c r="I1684">
        <ns0:f>IF($H1684=0,0,IFERROR(IF(AND(ABS($C1684-INDEX('AH History'!$B$1:$B$18046,$H1684))&lt;=MAX(0.005,ABS(INDEX('AH History'!$B$1:$B$18046,$H1684))*0.00005),ABS($D1684-INDEX('AH History'!$C$1:$C$18046,$H1684))&lt;=MAX(0.005,ABS(INDEX('AH History'!$C$1:$C$18046,$H1684))*0.00005),ABS($E1684-INDEX('AH History'!$D$1:$D$18046,$H1684))&lt;=0.00005,$F1684=INDEX('AH History'!$E$1:$E$18046,$H1684),$G1684=INDEX('AH History'!$F$1:$F$18046,$H1684)),1,-1),-1))</ns0:f>
        <ns0:v/>
      </ns0:c>
    </ns0:row>
    <ns0:row r="1685">
      <ns0:c r="A1685" s="215">
        <ns0:f>IF(OR(AH!$P$3=0,1680+1&gt;AH!$P$11,AND(AH!$E$4&lt;&gt;"Stored",AH!$P$10&lt;&gt;1)),"",IFERROR(IF(AND(AH!$P$21=1,1680+1=AH!$P$11),TODAY(),IF(AH!$P$10=1,INDEX('Live History'!$A$5:$A$3004,AH!$P$13+1680),INDEX('AH History'!$A$1:$A$18046,AH!$P$7+1680))),""))</ns0:f>
        <ns0:v/>
      </ns0:c>
      <ns0:c r="B1685" s="219">
        <ns0:f>IFERROR(IF(AND(AH!$P$9&lt;&gt;1,$C1685&gt;0,$D1685&gt;0,$E1685&gt;0,$F1685&gt;0,$G1685&gt;0,$F1685&lt;=$A1685,$G1685&lt;=$A1685,$A1685-$F1685&lt;=10,$A1685-$G1685&lt;=5),$D1685*$E1685/$C1685-1,NA()),NA())</ns0:f>
        <ns0:v/>
      </ns0:c>
      <ns0:c r="C1685">
        <ns0:f>IFERROR(IF(ISNUMBER($A1685),IF(AND(AH!$P$10=1,AH!$P$12=1,$A1685=TODAY()),AH!$P$19,IF(AH!$P$10=1,INDEX('Live History'!$B$5:$B$3004,AH!$P$13+1680),INDEX('AH History'!$B$1:$B$18046,AH!$P$7+1680))),NA()),NA())</ns0:f>
        <ns0:v/>
      </ns0:c>
      <ns0:c r="D1685">
        <ns0:f>IFERROR(IF(ISNUMBER($A1685),IF(AND(AH!$P$10=1,AH!$P$12=1,$A1685=TODAY()),AH!$P$18,IF(AH!$P$10=1,INDEX('Live History'!$E$5:$E$3004,MATCH($A1685,'Live History'!$D$5:$D$3004,1)),INDEX('AH History'!$C$1:$C$18046,AH!$P$7+1680))),NA()),NA())</ns0:f>
        <ns0:v/>
      </ns0:c>
      <ns0:c r="E1685">
        <ns0:f>IFERROR(IF(ISNUMBER($A1685),IF(AND(AH!$P$10=1,AH!$P$12=1,$A1685=TODAY()),AH!$P$20,IF(AH!$P$10=1,INDEX('Live History'!$H$5:$H$3004,MATCH($A1685,'Live History'!$G$5:$G$3004,1)),INDEX('AH History'!$D$1:$D$18046,AH!$P$7+1680))),NA()),NA())</ns0:f>
        <ns0:v/>
      </ns0:c>
      <ns0:c r="F1685">
        <ns0:f>IFERROR(IF(ISNUMBER($A1685),IF(AND(AH!$P$10=1,AH!$P$12=1,$A1685=TODAY()),IF(AND(AH!$P$10=1,AH!$P$12=1,$A1685=TODAY()),TODAY(),NA()),IF(AH!$P$10=1,INDEX('Live History'!$D$5:$D$3004,MATCH($A1685,'Live History'!$D$5:$D$3004,1)),INDEX('AH History'!$E$1:$E$18046,AH!$P$7+1680))),NA()),NA())</ns0:f>
        <ns0:v/>
      </ns0:c>
      <ns0:c r="G1685">
        <ns0:f>IFERROR(IF(ISNUMBER($A1685),IF(AND(AH!$P$10=1,AH!$P$12=1,$A1685=TODAY()),IF(AND(AH!$P$10=1,AH!$P$12=1,$A1685=TODAY()),TODAY(),NA()),IF(AH!$P$10=1,INDEX('Live History'!$G$5:$G$3004,MATCH($A1685,'Live History'!$G$5:$G$3004,1)),INDEX('AH History'!$F$1:$F$18046,AH!$P$7+1680))),NA()),NA())</ns0:f>
        <ns0:v/>
      </ns0:c>
      <ns0:c r="H1685">
        <ns0:f>IFERROR(IF(AND(AH!$E$4="Bloomberg",AH!$P$10=1,ISNUMBER($A1685),$A1685&lt;=AH!$P$17),AH!$P$7-1+MATCH($A1685,INDEX('AH History'!$A$1:$A$18046,AH!$P$7):INDEX('AH History'!$A$1:$A$18046,AH!$P$7+AH!$P$8-1),0),0),0)</ns0:f>
        <ns0:v/>
      </ns0:c>
      <ns0:c r="I1685">
        <ns0:f>IF($H1685=0,0,IFERROR(IF(AND(ABS($C1685-INDEX('AH History'!$B$1:$B$18046,$H1685))&lt;=MAX(0.005,ABS(INDEX('AH History'!$B$1:$B$18046,$H1685))*0.00005),ABS($D1685-INDEX('AH History'!$C$1:$C$18046,$H1685))&lt;=MAX(0.005,ABS(INDEX('AH History'!$C$1:$C$18046,$H1685))*0.00005),ABS($E1685-INDEX('AH History'!$D$1:$D$18046,$H1685))&lt;=0.00005,$F1685=INDEX('AH History'!$E$1:$E$18046,$H1685),$G1685=INDEX('AH History'!$F$1:$F$18046,$H1685)),1,-1),-1))</ns0:f>
        <ns0:v/>
      </ns0:c>
    </ns0:row>
    <ns0:row r="1686">
      <ns0:c r="A1686" s="215">
        <ns0:f>IF(OR(AH!$P$3=0,1681+1&gt;AH!$P$11,AND(AH!$E$4&lt;&gt;"Stored",AH!$P$10&lt;&gt;1)),"",IFERROR(IF(AND(AH!$P$21=1,1681+1=AH!$P$11),TODAY(),IF(AH!$P$10=1,INDEX('Live History'!$A$5:$A$3004,AH!$P$13+1681),INDEX('AH History'!$A$1:$A$18046,AH!$P$7+1681))),""))</ns0:f>
        <ns0:v/>
      </ns0:c>
      <ns0:c r="B1686" s="219">
        <ns0:f>IFERROR(IF(AND(AH!$P$9&lt;&gt;1,$C1686&gt;0,$D1686&gt;0,$E1686&gt;0,$F1686&gt;0,$G1686&gt;0,$F1686&lt;=$A1686,$G1686&lt;=$A1686,$A1686-$F1686&lt;=10,$A1686-$G1686&lt;=5),$D1686*$E1686/$C1686-1,NA()),NA())</ns0:f>
        <ns0:v/>
      </ns0:c>
      <ns0:c r="C1686">
        <ns0:f>IFERROR(IF(ISNUMBER($A1686),IF(AND(AH!$P$10=1,AH!$P$12=1,$A1686=TODAY()),AH!$P$19,IF(AH!$P$10=1,INDEX('Live History'!$B$5:$B$3004,AH!$P$13+1681),INDEX('AH History'!$B$1:$B$18046,AH!$P$7+1681))),NA()),NA())</ns0:f>
        <ns0:v/>
      </ns0:c>
      <ns0:c r="D1686">
        <ns0:f>IFERROR(IF(ISNUMBER($A1686),IF(AND(AH!$P$10=1,AH!$P$12=1,$A1686=TODAY()),AH!$P$18,IF(AH!$P$10=1,INDEX('Live History'!$E$5:$E$3004,MATCH($A1686,'Live History'!$D$5:$D$3004,1)),INDEX('AH History'!$C$1:$C$18046,AH!$P$7+1681))),NA()),NA())</ns0:f>
        <ns0:v/>
      </ns0:c>
      <ns0:c r="E1686">
        <ns0:f>IFERROR(IF(ISNUMBER($A1686),IF(AND(AH!$P$10=1,AH!$P$12=1,$A1686=TODAY()),AH!$P$20,IF(AH!$P$10=1,INDEX('Live History'!$H$5:$H$3004,MATCH($A1686,'Live History'!$G$5:$G$3004,1)),INDEX('AH History'!$D$1:$D$18046,AH!$P$7+1681))),NA()),NA())</ns0:f>
        <ns0:v/>
      </ns0:c>
      <ns0:c r="F1686">
        <ns0:f>IFERROR(IF(ISNUMBER($A1686),IF(AND(AH!$P$10=1,AH!$P$12=1,$A1686=TODAY()),IF(AND(AH!$P$10=1,AH!$P$12=1,$A1686=TODAY()),TODAY(),NA()),IF(AH!$P$10=1,INDEX('Live History'!$D$5:$D$3004,MATCH($A1686,'Live History'!$D$5:$D$3004,1)),INDEX('AH History'!$E$1:$E$18046,AH!$P$7+1681))),NA()),NA())</ns0:f>
        <ns0:v/>
      </ns0:c>
      <ns0:c r="G1686">
        <ns0:f>IFERROR(IF(ISNUMBER($A1686),IF(AND(AH!$P$10=1,AH!$P$12=1,$A1686=TODAY()),IF(AND(AH!$P$10=1,AH!$P$12=1,$A1686=TODAY()),TODAY(),NA()),IF(AH!$P$10=1,INDEX('Live History'!$G$5:$G$3004,MATCH($A1686,'Live History'!$G$5:$G$3004,1)),INDEX('AH History'!$F$1:$F$18046,AH!$P$7+1681))),NA()),NA())</ns0:f>
        <ns0:v/>
      </ns0:c>
      <ns0:c r="H1686">
        <ns0:f>IFERROR(IF(AND(AH!$E$4="Bloomberg",AH!$P$10=1,ISNUMBER($A1686),$A1686&lt;=AH!$P$17),AH!$P$7-1+MATCH($A1686,INDEX('AH History'!$A$1:$A$18046,AH!$P$7):INDEX('AH History'!$A$1:$A$18046,AH!$P$7+AH!$P$8-1),0),0),0)</ns0:f>
        <ns0:v/>
      </ns0:c>
      <ns0:c r="I1686">
        <ns0:f>IF($H1686=0,0,IFERROR(IF(AND(ABS($C1686-INDEX('AH History'!$B$1:$B$18046,$H1686))&lt;=MAX(0.005,ABS(INDEX('AH History'!$B$1:$B$18046,$H1686))*0.00005),ABS($D1686-INDEX('AH History'!$C$1:$C$18046,$H1686))&lt;=MAX(0.005,ABS(INDEX('AH History'!$C$1:$C$18046,$H1686))*0.00005),ABS($E1686-INDEX('AH History'!$D$1:$D$18046,$H1686))&lt;=0.00005,$F1686=INDEX('AH History'!$E$1:$E$18046,$H1686),$G1686=INDEX('AH History'!$F$1:$F$18046,$H1686)),1,-1),-1))</ns0:f>
        <ns0:v/>
      </ns0:c>
    </ns0:row>
    <ns0:row r="1687">
      <ns0:c r="A1687" s="215">
        <ns0:f>IF(OR(AH!$P$3=0,1682+1&gt;AH!$P$11,AND(AH!$E$4&lt;&gt;"Stored",AH!$P$10&lt;&gt;1)),"",IFERROR(IF(AND(AH!$P$21=1,1682+1=AH!$P$11),TODAY(),IF(AH!$P$10=1,INDEX('Live History'!$A$5:$A$3004,AH!$P$13+1682),INDEX('AH History'!$A$1:$A$18046,AH!$P$7+1682))),""))</ns0:f>
        <ns0:v/>
      </ns0:c>
      <ns0:c r="B1687" s="219">
        <ns0:f>IFERROR(IF(AND(AH!$P$9&lt;&gt;1,$C1687&gt;0,$D1687&gt;0,$E1687&gt;0,$F1687&gt;0,$G1687&gt;0,$F1687&lt;=$A1687,$G1687&lt;=$A1687,$A1687-$F1687&lt;=10,$A1687-$G1687&lt;=5),$D1687*$E1687/$C1687-1,NA()),NA())</ns0:f>
        <ns0:v/>
      </ns0:c>
      <ns0:c r="C1687">
        <ns0:f>IFERROR(IF(ISNUMBER($A1687),IF(AND(AH!$P$10=1,AH!$P$12=1,$A1687=TODAY()),AH!$P$19,IF(AH!$P$10=1,INDEX('Live History'!$B$5:$B$3004,AH!$P$13+1682),INDEX('AH History'!$B$1:$B$18046,AH!$P$7+1682))),NA()),NA())</ns0:f>
        <ns0:v/>
      </ns0:c>
      <ns0:c r="D1687">
        <ns0:f>IFERROR(IF(ISNUMBER($A1687),IF(AND(AH!$P$10=1,AH!$P$12=1,$A1687=TODAY()),AH!$P$18,IF(AH!$P$10=1,INDEX('Live History'!$E$5:$E$3004,MATCH($A1687,'Live History'!$D$5:$D$3004,1)),INDEX('AH History'!$C$1:$C$18046,AH!$P$7+1682))),NA()),NA())</ns0:f>
        <ns0:v/>
      </ns0:c>
      <ns0:c r="E1687">
        <ns0:f>IFERROR(IF(ISNUMBER($A1687),IF(AND(AH!$P$10=1,AH!$P$12=1,$A1687=TODAY()),AH!$P$20,IF(AH!$P$10=1,INDEX('Live History'!$H$5:$H$3004,MATCH($A1687,'Live History'!$G$5:$G$3004,1)),INDEX('AH History'!$D$1:$D$18046,AH!$P$7+1682))),NA()),NA())</ns0:f>
        <ns0:v/>
      </ns0:c>
      <ns0:c r="F1687">
        <ns0:f>IFERROR(IF(ISNUMBER($A1687),IF(AND(AH!$P$10=1,AH!$P$12=1,$A1687=TODAY()),IF(AND(AH!$P$10=1,AH!$P$12=1,$A1687=TODAY()),TODAY(),NA()),IF(AH!$P$10=1,INDEX('Live History'!$D$5:$D$3004,MATCH($A1687,'Live History'!$D$5:$D$3004,1)),INDEX('AH History'!$E$1:$E$18046,AH!$P$7+1682))),NA()),NA())</ns0:f>
        <ns0:v/>
      </ns0:c>
      <ns0:c r="G1687">
        <ns0:f>IFERROR(IF(ISNUMBER($A1687),IF(AND(AH!$P$10=1,AH!$P$12=1,$A1687=TODAY()),IF(AND(AH!$P$10=1,AH!$P$12=1,$A1687=TODAY()),TODAY(),NA()),IF(AH!$P$10=1,INDEX('Live History'!$G$5:$G$3004,MATCH($A1687,'Live History'!$G$5:$G$3004,1)),INDEX('AH History'!$F$1:$F$18046,AH!$P$7+1682))),NA()),NA())</ns0:f>
        <ns0:v/>
      </ns0:c>
      <ns0:c r="H1687">
        <ns0:f>IFERROR(IF(AND(AH!$E$4="Bloomberg",AH!$P$10=1,ISNUMBER($A1687),$A1687&lt;=AH!$P$17),AH!$P$7-1+MATCH($A1687,INDEX('AH History'!$A$1:$A$18046,AH!$P$7):INDEX('AH History'!$A$1:$A$18046,AH!$P$7+AH!$P$8-1),0),0),0)</ns0:f>
        <ns0:v/>
      </ns0:c>
      <ns0:c r="I1687">
        <ns0:f>IF($H1687=0,0,IFERROR(IF(AND(ABS($C1687-INDEX('AH History'!$B$1:$B$18046,$H1687))&lt;=MAX(0.005,ABS(INDEX('AH History'!$B$1:$B$18046,$H1687))*0.00005),ABS($D1687-INDEX('AH History'!$C$1:$C$18046,$H1687))&lt;=MAX(0.005,ABS(INDEX('AH History'!$C$1:$C$18046,$H1687))*0.00005),ABS($E1687-INDEX('AH History'!$D$1:$D$18046,$H1687))&lt;=0.00005,$F1687=INDEX('AH History'!$E$1:$E$18046,$H1687),$G1687=INDEX('AH History'!$F$1:$F$18046,$H1687)),1,-1),-1))</ns0:f>
        <ns0:v/>
      </ns0:c>
    </ns0:row>
    <ns0:row r="1688">
      <ns0:c r="A1688" s="215">
        <ns0:f>IF(OR(AH!$P$3=0,1683+1&gt;AH!$P$11,AND(AH!$E$4&lt;&gt;"Stored",AH!$P$10&lt;&gt;1)),"",IFERROR(IF(AND(AH!$P$21=1,1683+1=AH!$P$11),TODAY(),IF(AH!$P$10=1,INDEX('Live History'!$A$5:$A$3004,AH!$P$13+1683),INDEX('AH History'!$A$1:$A$18046,AH!$P$7+1683))),""))</ns0:f>
        <ns0:v/>
      </ns0:c>
      <ns0:c r="B1688" s="219">
        <ns0:f>IFERROR(IF(AND(AH!$P$9&lt;&gt;1,$C1688&gt;0,$D1688&gt;0,$E1688&gt;0,$F1688&gt;0,$G1688&gt;0,$F1688&lt;=$A1688,$G1688&lt;=$A1688,$A1688-$F1688&lt;=10,$A1688-$G1688&lt;=5),$D1688*$E1688/$C1688-1,NA()),NA())</ns0:f>
        <ns0:v/>
      </ns0:c>
      <ns0:c r="C1688">
        <ns0:f>IFERROR(IF(ISNUMBER($A1688),IF(AND(AH!$P$10=1,AH!$P$12=1,$A1688=TODAY()),AH!$P$19,IF(AH!$P$10=1,INDEX('Live History'!$B$5:$B$3004,AH!$P$13+1683),INDEX('AH History'!$B$1:$B$18046,AH!$P$7+1683))),NA()),NA())</ns0:f>
        <ns0:v/>
      </ns0:c>
      <ns0:c r="D1688">
        <ns0:f>IFERROR(IF(ISNUMBER($A1688),IF(AND(AH!$P$10=1,AH!$P$12=1,$A1688=TODAY()),AH!$P$18,IF(AH!$P$10=1,INDEX('Live History'!$E$5:$E$3004,MATCH($A1688,'Live History'!$D$5:$D$3004,1)),INDEX('AH History'!$C$1:$C$18046,AH!$P$7+1683))),NA()),NA())</ns0:f>
        <ns0:v/>
      </ns0:c>
      <ns0:c r="E1688">
        <ns0:f>IFERROR(IF(ISNUMBER($A1688),IF(AND(AH!$P$10=1,AH!$P$12=1,$A1688=TODAY()),AH!$P$20,IF(AH!$P$10=1,INDEX('Live History'!$H$5:$H$3004,MATCH($A1688,'Live History'!$G$5:$G$3004,1)),INDEX('AH History'!$D$1:$D$18046,AH!$P$7+1683))),NA()),NA())</ns0:f>
        <ns0:v/>
      </ns0:c>
      <ns0:c r="F1688">
        <ns0:f>IFERROR(IF(ISNUMBER($A1688),IF(AND(AH!$P$10=1,AH!$P$12=1,$A1688=TODAY()),IF(AND(AH!$P$10=1,AH!$P$12=1,$A1688=TODAY()),TODAY(),NA()),IF(AH!$P$10=1,INDEX('Live History'!$D$5:$D$3004,MATCH($A1688,'Live History'!$D$5:$D$3004,1)),INDEX('AH History'!$E$1:$E$18046,AH!$P$7+1683))),NA()),NA())</ns0:f>
        <ns0:v/>
      </ns0:c>
      <ns0:c r="G1688">
        <ns0:f>IFERROR(IF(ISNUMBER($A1688),IF(AND(AH!$P$10=1,AH!$P$12=1,$A1688=TODAY()),IF(AND(AH!$P$10=1,AH!$P$12=1,$A1688=TODAY()),TODAY(),NA()),IF(AH!$P$10=1,INDEX('Live History'!$G$5:$G$3004,MATCH($A1688,'Live History'!$G$5:$G$3004,1)),INDEX('AH History'!$F$1:$F$18046,AH!$P$7+1683))),NA()),NA())</ns0:f>
        <ns0:v/>
      </ns0:c>
      <ns0:c r="H1688">
        <ns0:f>IFERROR(IF(AND(AH!$E$4="Bloomberg",AH!$P$10=1,ISNUMBER($A1688),$A1688&lt;=AH!$P$17),AH!$P$7-1+MATCH($A1688,INDEX('AH History'!$A$1:$A$18046,AH!$P$7):INDEX('AH History'!$A$1:$A$18046,AH!$P$7+AH!$P$8-1),0),0),0)</ns0:f>
        <ns0:v/>
      </ns0:c>
      <ns0:c r="I1688">
        <ns0:f>IF($H1688=0,0,IFERROR(IF(AND(ABS($C1688-INDEX('AH History'!$B$1:$B$18046,$H1688))&lt;=MAX(0.005,ABS(INDEX('AH History'!$B$1:$B$18046,$H1688))*0.00005),ABS($D1688-INDEX('AH History'!$C$1:$C$18046,$H1688))&lt;=MAX(0.005,ABS(INDEX('AH History'!$C$1:$C$18046,$H1688))*0.00005),ABS($E1688-INDEX('AH History'!$D$1:$D$18046,$H1688))&lt;=0.00005,$F1688=INDEX('AH History'!$E$1:$E$18046,$H1688),$G1688=INDEX('AH History'!$F$1:$F$18046,$H1688)),1,-1),-1))</ns0:f>
        <ns0:v/>
      </ns0:c>
    </ns0:row>
    <ns0:row r="1689">
      <ns0:c r="A1689" s="215">
        <ns0:f>IF(OR(AH!$P$3=0,1684+1&gt;AH!$P$11,AND(AH!$E$4&lt;&gt;"Stored",AH!$P$10&lt;&gt;1)),"",IFERROR(IF(AND(AH!$P$21=1,1684+1=AH!$P$11),TODAY(),IF(AH!$P$10=1,INDEX('Live History'!$A$5:$A$3004,AH!$P$13+1684),INDEX('AH History'!$A$1:$A$18046,AH!$P$7+1684))),""))</ns0:f>
        <ns0:v/>
      </ns0:c>
      <ns0:c r="B1689" s="219">
        <ns0:f>IFERROR(IF(AND(AH!$P$9&lt;&gt;1,$C1689&gt;0,$D1689&gt;0,$E1689&gt;0,$F1689&gt;0,$G1689&gt;0,$F1689&lt;=$A1689,$G1689&lt;=$A1689,$A1689-$F1689&lt;=10,$A1689-$G1689&lt;=5),$D1689*$E1689/$C1689-1,NA()),NA())</ns0:f>
        <ns0:v/>
      </ns0:c>
      <ns0:c r="C1689">
        <ns0:f>IFERROR(IF(ISNUMBER($A1689),IF(AND(AH!$P$10=1,AH!$P$12=1,$A1689=TODAY()),AH!$P$19,IF(AH!$P$10=1,INDEX('Live History'!$B$5:$B$3004,AH!$P$13+1684),INDEX('AH History'!$B$1:$B$18046,AH!$P$7+1684))),NA()),NA())</ns0:f>
        <ns0:v/>
      </ns0:c>
      <ns0:c r="D1689">
        <ns0:f>IFERROR(IF(ISNUMBER($A1689),IF(AND(AH!$P$10=1,AH!$P$12=1,$A1689=TODAY()),AH!$P$18,IF(AH!$P$10=1,INDEX('Live History'!$E$5:$E$3004,MATCH($A1689,'Live History'!$D$5:$D$3004,1)),INDEX('AH History'!$C$1:$C$18046,AH!$P$7+1684))),NA()),NA())</ns0:f>
        <ns0:v/>
      </ns0:c>
      <ns0:c r="E1689">
        <ns0:f>IFERROR(IF(ISNUMBER($A1689),IF(AND(AH!$P$10=1,AH!$P$12=1,$A1689=TODAY()),AH!$P$20,IF(AH!$P$10=1,INDEX('Live History'!$H$5:$H$3004,MATCH($A1689,'Live History'!$G$5:$G$3004,1)),INDEX('AH History'!$D$1:$D$18046,AH!$P$7+1684))),NA()),NA())</ns0:f>
        <ns0:v/>
      </ns0:c>
      <ns0:c r="F1689">
        <ns0:f>IFERROR(IF(ISNUMBER($A1689),IF(AND(AH!$P$10=1,AH!$P$12=1,$A1689=TODAY()),IF(AND(AH!$P$10=1,AH!$P$12=1,$A1689=TODAY()),TODAY(),NA()),IF(AH!$P$10=1,INDEX('Live History'!$D$5:$D$3004,MATCH($A1689,'Live History'!$D$5:$D$3004,1)),INDEX('AH History'!$E$1:$E$18046,AH!$P$7+1684))),NA()),NA())</ns0:f>
        <ns0:v/>
      </ns0:c>
      <ns0:c r="G1689">
        <ns0:f>IFERROR(IF(ISNUMBER($A1689),IF(AND(AH!$P$10=1,AH!$P$12=1,$A1689=TODAY()),IF(AND(AH!$P$10=1,AH!$P$12=1,$A1689=TODAY()),TODAY(),NA()),IF(AH!$P$10=1,INDEX('Live History'!$G$5:$G$3004,MATCH($A1689,'Live History'!$G$5:$G$3004,1)),INDEX('AH History'!$F$1:$F$18046,AH!$P$7+1684))),NA()),NA())</ns0:f>
        <ns0:v/>
      </ns0:c>
      <ns0:c r="H1689">
        <ns0:f>IFERROR(IF(AND(AH!$E$4="Bloomberg",AH!$P$10=1,ISNUMBER($A1689),$A1689&lt;=AH!$P$17),AH!$P$7-1+MATCH($A1689,INDEX('AH History'!$A$1:$A$18046,AH!$P$7):INDEX('AH History'!$A$1:$A$18046,AH!$P$7+AH!$P$8-1),0),0),0)</ns0:f>
        <ns0:v/>
      </ns0:c>
      <ns0:c r="I1689">
        <ns0:f>IF($H1689=0,0,IFERROR(IF(AND(ABS($C1689-INDEX('AH History'!$B$1:$B$18046,$H1689))&lt;=MAX(0.005,ABS(INDEX('AH History'!$B$1:$B$18046,$H1689))*0.00005),ABS($D1689-INDEX('AH History'!$C$1:$C$18046,$H1689))&lt;=MAX(0.005,ABS(INDEX('AH History'!$C$1:$C$18046,$H1689))*0.00005),ABS($E1689-INDEX('AH History'!$D$1:$D$18046,$H1689))&lt;=0.00005,$F1689=INDEX('AH History'!$E$1:$E$18046,$H1689),$G1689=INDEX('AH History'!$F$1:$F$18046,$H1689)),1,-1),-1))</ns0:f>
        <ns0:v/>
      </ns0:c>
    </ns0:row>
    <ns0:row r="1690">
      <ns0:c r="A1690" s="215">
        <ns0:f>IF(OR(AH!$P$3=0,1685+1&gt;AH!$P$11,AND(AH!$E$4&lt;&gt;"Stored",AH!$P$10&lt;&gt;1)),"",IFERROR(IF(AND(AH!$P$21=1,1685+1=AH!$P$11),TODAY(),IF(AH!$P$10=1,INDEX('Live History'!$A$5:$A$3004,AH!$P$13+1685),INDEX('AH History'!$A$1:$A$18046,AH!$P$7+1685))),""))</ns0:f>
        <ns0:v/>
      </ns0:c>
      <ns0:c r="B1690" s="219">
        <ns0:f>IFERROR(IF(AND(AH!$P$9&lt;&gt;1,$C1690&gt;0,$D1690&gt;0,$E1690&gt;0,$F1690&gt;0,$G1690&gt;0,$F1690&lt;=$A1690,$G1690&lt;=$A1690,$A1690-$F1690&lt;=10,$A1690-$G1690&lt;=5),$D1690*$E1690/$C1690-1,NA()),NA())</ns0:f>
        <ns0:v/>
      </ns0:c>
      <ns0:c r="C1690">
        <ns0:f>IFERROR(IF(ISNUMBER($A1690),IF(AND(AH!$P$10=1,AH!$P$12=1,$A1690=TODAY()),AH!$P$19,IF(AH!$P$10=1,INDEX('Live History'!$B$5:$B$3004,AH!$P$13+1685),INDEX('AH History'!$B$1:$B$18046,AH!$P$7+1685))),NA()),NA())</ns0:f>
        <ns0:v/>
      </ns0:c>
      <ns0:c r="D1690">
        <ns0:f>IFERROR(IF(ISNUMBER($A1690),IF(AND(AH!$P$10=1,AH!$P$12=1,$A1690=TODAY()),AH!$P$18,IF(AH!$P$10=1,INDEX('Live History'!$E$5:$E$3004,MATCH($A1690,'Live History'!$D$5:$D$3004,1)),INDEX('AH History'!$C$1:$C$18046,AH!$P$7+1685))),NA()),NA())</ns0:f>
        <ns0:v/>
      </ns0:c>
      <ns0:c r="E1690">
        <ns0:f>IFERROR(IF(ISNUMBER($A1690),IF(AND(AH!$P$10=1,AH!$P$12=1,$A1690=TODAY()),AH!$P$20,IF(AH!$P$10=1,INDEX('Live History'!$H$5:$H$3004,MATCH($A1690,'Live History'!$G$5:$G$3004,1)),INDEX('AH History'!$D$1:$D$18046,AH!$P$7+1685))),NA()),NA())</ns0:f>
        <ns0:v/>
      </ns0:c>
      <ns0:c r="F1690">
        <ns0:f>IFERROR(IF(ISNUMBER($A1690),IF(AND(AH!$P$10=1,AH!$P$12=1,$A1690=TODAY()),IF(AND(AH!$P$10=1,AH!$P$12=1,$A1690=TODAY()),TODAY(),NA()),IF(AH!$P$10=1,INDEX('Live History'!$D$5:$D$3004,MATCH($A1690,'Live History'!$D$5:$D$3004,1)),INDEX('AH History'!$E$1:$E$18046,AH!$P$7+1685))),NA()),NA())</ns0:f>
        <ns0:v/>
      </ns0:c>
      <ns0:c r="G1690">
        <ns0:f>IFERROR(IF(ISNUMBER($A1690),IF(AND(AH!$P$10=1,AH!$P$12=1,$A1690=TODAY()),IF(AND(AH!$P$10=1,AH!$P$12=1,$A1690=TODAY()),TODAY(),NA()),IF(AH!$P$10=1,INDEX('Live History'!$G$5:$G$3004,MATCH($A1690,'Live History'!$G$5:$G$3004,1)),INDEX('AH History'!$F$1:$F$18046,AH!$P$7+1685))),NA()),NA())</ns0:f>
        <ns0:v/>
      </ns0:c>
      <ns0:c r="H1690">
        <ns0:f>IFERROR(IF(AND(AH!$E$4="Bloomberg",AH!$P$10=1,ISNUMBER($A1690),$A1690&lt;=AH!$P$17),AH!$P$7-1+MATCH($A1690,INDEX('AH History'!$A$1:$A$18046,AH!$P$7):INDEX('AH History'!$A$1:$A$18046,AH!$P$7+AH!$P$8-1),0),0),0)</ns0:f>
        <ns0:v/>
      </ns0:c>
      <ns0:c r="I1690">
        <ns0:f>IF($H1690=0,0,IFERROR(IF(AND(ABS($C1690-INDEX('AH History'!$B$1:$B$18046,$H1690))&lt;=MAX(0.005,ABS(INDEX('AH History'!$B$1:$B$18046,$H1690))*0.00005),ABS($D1690-INDEX('AH History'!$C$1:$C$18046,$H1690))&lt;=MAX(0.005,ABS(INDEX('AH History'!$C$1:$C$18046,$H1690))*0.00005),ABS($E1690-INDEX('AH History'!$D$1:$D$18046,$H1690))&lt;=0.00005,$F1690=INDEX('AH History'!$E$1:$E$18046,$H1690),$G1690=INDEX('AH History'!$F$1:$F$18046,$H1690)),1,-1),-1))</ns0:f>
        <ns0:v/>
      </ns0:c>
    </ns0:row>
    <ns0:row r="1691">
      <ns0:c r="A1691" s="215">
        <ns0:f>IF(OR(AH!$P$3=0,1686+1&gt;AH!$P$11,AND(AH!$E$4&lt;&gt;"Stored",AH!$P$10&lt;&gt;1)),"",IFERROR(IF(AND(AH!$P$21=1,1686+1=AH!$P$11),TODAY(),IF(AH!$P$10=1,INDEX('Live History'!$A$5:$A$3004,AH!$P$13+1686),INDEX('AH History'!$A$1:$A$18046,AH!$P$7+1686))),""))</ns0:f>
        <ns0:v/>
      </ns0:c>
      <ns0:c r="B1691" s="219">
        <ns0:f>IFERROR(IF(AND(AH!$P$9&lt;&gt;1,$C1691&gt;0,$D1691&gt;0,$E1691&gt;0,$F1691&gt;0,$G1691&gt;0,$F1691&lt;=$A1691,$G1691&lt;=$A1691,$A1691-$F1691&lt;=10,$A1691-$G1691&lt;=5),$D1691*$E1691/$C1691-1,NA()),NA())</ns0:f>
        <ns0:v/>
      </ns0:c>
      <ns0:c r="C1691">
        <ns0:f>IFERROR(IF(ISNUMBER($A1691),IF(AND(AH!$P$10=1,AH!$P$12=1,$A1691=TODAY()),AH!$P$19,IF(AH!$P$10=1,INDEX('Live History'!$B$5:$B$3004,AH!$P$13+1686),INDEX('AH History'!$B$1:$B$18046,AH!$P$7+1686))),NA()),NA())</ns0:f>
        <ns0:v/>
      </ns0:c>
      <ns0:c r="D1691">
        <ns0:f>IFERROR(IF(ISNUMBER($A1691),IF(AND(AH!$P$10=1,AH!$P$12=1,$A1691=TODAY()),AH!$P$18,IF(AH!$P$10=1,INDEX('Live History'!$E$5:$E$3004,MATCH($A1691,'Live History'!$D$5:$D$3004,1)),INDEX('AH History'!$C$1:$C$18046,AH!$P$7+1686))),NA()),NA())</ns0:f>
        <ns0:v/>
      </ns0:c>
      <ns0:c r="E1691">
        <ns0:f>IFERROR(IF(ISNUMBER($A1691),IF(AND(AH!$P$10=1,AH!$P$12=1,$A1691=TODAY()),AH!$P$20,IF(AH!$P$10=1,INDEX('Live History'!$H$5:$H$3004,MATCH($A1691,'Live History'!$G$5:$G$3004,1)),INDEX('AH History'!$D$1:$D$18046,AH!$P$7+1686))),NA()),NA())</ns0:f>
        <ns0:v/>
      </ns0:c>
      <ns0:c r="F1691">
        <ns0:f>IFERROR(IF(ISNUMBER($A1691),IF(AND(AH!$P$10=1,AH!$P$12=1,$A1691=TODAY()),IF(AND(AH!$P$10=1,AH!$P$12=1,$A1691=TODAY()),TODAY(),NA()),IF(AH!$P$10=1,INDEX('Live History'!$D$5:$D$3004,MATCH($A1691,'Live History'!$D$5:$D$3004,1)),INDEX('AH History'!$E$1:$E$18046,AH!$P$7+1686))),NA()),NA())</ns0:f>
        <ns0:v/>
      </ns0:c>
      <ns0:c r="G1691">
        <ns0:f>IFERROR(IF(ISNUMBER($A1691),IF(AND(AH!$P$10=1,AH!$P$12=1,$A1691=TODAY()),IF(AND(AH!$P$10=1,AH!$P$12=1,$A1691=TODAY()),TODAY(),NA()),IF(AH!$P$10=1,INDEX('Live History'!$G$5:$G$3004,MATCH($A1691,'Live History'!$G$5:$G$3004,1)),INDEX('AH History'!$F$1:$F$18046,AH!$P$7+1686))),NA()),NA())</ns0:f>
        <ns0:v/>
      </ns0:c>
      <ns0:c r="H1691">
        <ns0:f>IFERROR(IF(AND(AH!$E$4="Bloomberg",AH!$P$10=1,ISNUMBER($A1691),$A1691&lt;=AH!$P$17),AH!$P$7-1+MATCH($A1691,INDEX('AH History'!$A$1:$A$18046,AH!$P$7):INDEX('AH History'!$A$1:$A$18046,AH!$P$7+AH!$P$8-1),0),0),0)</ns0:f>
        <ns0:v/>
      </ns0:c>
      <ns0:c r="I1691">
        <ns0:f>IF($H1691=0,0,IFERROR(IF(AND(ABS($C1691-INDEX('AH History'!$B$1:$B$18046,$H1691))&lt;=MAX(0.005,ABS(INDEX('AH History'!$B$1:$B$18046,$H1691))*0.00005),ABS($D1691-INDEX('AH History'!$C$1:$C$18046,$H1691))&lt;=MAX(0.005,ABS(INDEX('AH History'!$C$1:$C$18046,$H1691))*0.00005),ABS($E1691-INDEX('AH History'!$D$1:$D$18046,$H1691))&lt;=0.00005,$F1691=INDEX('AH History'!$E$1:$E$18046,$H1691),$G1691=INDEX('AH History'!$F$1:$F$18046,$H1691)),1,-1),-1))</ns0:f>
        <ns0:v/>
      </ns0:c>
    </ns0:row>
    <ns0:row r="1692">
      <ns0:c r="A1692" s="215">
        <ns0:f>IF(OR(AH!$P$3=0,1687+1&gt;AH!$P$11,AND(AH!$E$4&lt;&gt;"Stored",AH!$P$10&lt;&gt;1)),"",IFERROR(IF(AND(AH!$P$21=1,1687+1=AH!$P$11),TODAY(),IF(AH!$P$10=1,INDEX('Live History'!$A$5:$A$3004,AH!$P$13+1687),INDEX('AH History'!$A$1:$A$18046,AH!$P$7+1687))),""))</ns0:f>
        <ns0:v/>
      </ns0:c>
      <ns0:c r="B1692" s="219">
        <ns0:f>IFERROR(IF(AND(AH!$P$9&lt;&gt;1,$C1692&gt;0,$D1692&gt;0,$E1692&gt;0,$F1692&gt;0,$G1692&gt;0,$F1692&lt;=$A1692,$G1692&lt;=$A1692,$A1692-$F1692&lt;=10,$A1692-$G1692&lt;=5),$D1692*$E1692/$C1692-1,NA()),NA())</ns0:f>
        <ns0:v/>
      </ns0:c>
      <ns0:c r="C1692">
        <ns0:f>IFERROR(IF(ISNUMBER($A1692),IF(AND(AH!$P$10=1,AH!$P$12=1,$A1692=TODAY()),AH!$P$19,IF(AH!$P$10=1,INDEX('Live History'!$B$5:$B$3004,AH!$P$13+1687),INDEX('AH History'!$B$1:$B$18046,AH!$P$7+1687))),NA()),NA())</ns0:f>
        <ns0:v/>
      </ns0:c>
      <ns0:c r="D1692">
        <ns0:f>IFERROR(IF(ISNUMBER($A1692),IF(AND(AH!$P$10=1,AH!$P$12=1,$A1692=TODAY()),AH!$P$18,IF(AH!$P$10=1,INDEX('Live History'!$E$5:$E$3004,MATCH($A1692,'Live History'!$D$5:$D$3004,1)),INDEX('AH History'!$C$1:$C$18046,AH!$P$7+1687))),NA()),NA())</ns0:f>
        <ns0:v/>
      </ns0:c>
      <ns0:c r="E1692">
        <ns0:f>IFERROR(IF(ISNUMBER($A1692),IF(AND(AH!$P$10=1,AH!$P$12=1,$A1692=TODAY()),AH!$P$20,IF(AH!$P$10=1,INDEX('Live History'!$H$5:$H$3004,MATCH($A1692,'Live History'!$G$5:$G$3004,1)),INDEX('AH History'!$D$1:$D$18046,AH!$P$7+1687))),NA()),NA())</ns0:f>
        <ns0:v/>
      </ns0:c>
      <ns0:c r="F1692">
        <ns0:f>IFERROR(IF(ISNUMBER($A1692),IF(AND(AH!$P$10=1,AH!$P$12=1,$A1692=TODAY()),IF(AND(AH!$P$10=1,AH!$P$12=1,$A1692=TODAY()),TODAY(),NA()),IF(AH!$P$10=1,INDEX('Live History'!$D$5:$D$3004,MATCH($A1692,'Live History'!$D$5:$D$3004,1)),INDEX('AH History'!$E$1:$E$18046,AH!$P$7+1687))),NA()),NA())</ns0:f>
        <ns0:v/>
      </ns0:c>
      <ns0:c r="G1692">
        <ns0:f>IFERROR(IF(ISNUMBER($A1692),IF(AND(AH!$P$10=1,AH!$P$12=1,$A1692=TODAY()),IF(AND(AH!$P$10=1,AH!$P$12=1,$A1692=TODAY()),TODAY(),NA()),IF(AH!$P$10=1,INDEX('Live History'!$G$5:$G$3004,MATCH($A1692,'Live History'!$G$5:$G$3004,1)),INDEX('AH History'!$F$1:$F$18046,AH!$P$7+1687))),NA()),NA())</ns0:f>
        <ns0:v/>
      </ns0:c>
      <ns0:c r="H1692">
        <ns0:f>IFERROR(IF(AND(AH!$E$4="Bloomberg",AH!$P$10=1,ISNUMBER($A1692),$A1692&lt;=AH!$P$17),AH!$P$7-1+MATCH($A1692,INDEX('AH History'!$A$1:$A$18046,AH!$P$7):INDEX('AH History'!$A$1:$A$18046,AH!$P$7+AH!$P$8-1),0),0),0)</ns0:f>
        <ns0:v/>
      </ns0:c>
      <ns0:c r="I1692">
        <ns0:f>IF($H1692=0,0,IFERROR(IF(AND(ABS($C1692-INDEX('AH History'!$B$1:$B$18046,$H1692))&lt;=MAX(0.005,ABS(INDEX('AH History'!$B$1:$B$18046,$H1692))*0.00005),ABS($D1692-INDEX('AH History'!$C$1:$C$18046,$H1692))&lt;=MAX(0.005,ABS(INDEX('AH History'!$C$1:$C$18046,$H1692))*0.00005),ABS($E1692-INDEX('AH History'!$D$1:$D$18046,$H1692))&lt;=0.00005,$F1692=INDEX('AH History'!$E$1:$E$18046,$H1692),$G1692=INDEX('AH History'!$F$1:$F$18046,$H1692)),1,-1),-1))</ns0:f>
        <ns0:v/>
      </ns0:c>
    </ns0:row>
    <ns0:row r="1693">
      <ns0:c r="A1693" s="215">
        <ns0:f>IF(OR(AH!$P$3=0,1688+1&gt;AH!$P$11,AND(AH!$E$4&lt;&gt;"Stored",AH!$P$10&lt;&gt;1)),"",IFERROR(IF(AND(AH!$P$21=1,1688+1=AH!$P$11),TODAY(),IF(AH!$P$10=1,INDEX('Live History'!$A$5:$A$3004,AH!$P$13+1688),INDEX('AH History'!$A$1:$A$18046,AH!$P$7+1688))),""))</ns0:f>
        <ns0:v/>
      </ns0:c>
      <ns0:c r="B1693" s="219">
        <ns0:f>IFERROR(IF(AND(AH!$P$9&lt;&gt;1,$C1693&gt;0,$D1693&gt;0,$E1693&gt;0,$F1693&gt;0,$G1693&gt;0,$F1693&lt;=$A1693,$G1693&lt;=$A1693,$A1693-$F1693&lt;=10,$A1693-$G1693&lt;=5),$D1693*$E1693/$C1693-1,NA()),NA())</ns0:f>
        <ns0:v/>
      </ns0:c>
      <ns0:c r="C1693">
        <ns0:f>IFERROR(IF(ISNUMBER($A1693),IF(AND(AH!$P$10=1,AH!$P$12=1,$A1693=TODAY()),AH!$P$19,IF(AH!$P$10=1,INDEX('Live History'!$B$5:$B$3004,AH!$P$13+1688),INDEX('AH History'!$B$1:$B$18046,AH!$P$7+1688))),NA()),NA())</ns0:f>
        <ns0:v/>
      </ns0:c>
      <ns0:c r="D1693">
        <ns0:f>IFERROR(IF(ISNUMBER($A1693),IF(AND(AH!$P$10=1,AH!$P$12=1,$A1693=TODAY()),AH!$P$18,IF(AH!$P$10=1,INDEX('Live History'!$E$5:$E$3004,MATCH($A1693,'Live History'!$D$5:$D$3004,1)),INDEX('AH History'!$C$1:$C$18046,AH!$P$7+1688))),NA()),NA())</ns0:f>
        <ns0:v/>
      </ns0:c>
      <ns0:c r="E1693">
        <ns0:f>IFERROR(IF(ISNUMBER($A1693),IF(AND(AH!$P$10=1,AH!$P$12=1,$A1693=TODAY()),AH!$P$20,IF(AH!$P$10=1,INDEX('Live History'!$H$5:$H$3004,MATCH($A1693,'Live History'!$G$5:$G$3004,1)),INDEX('AH History'!$D$1:$D$18046,AH!$P$7+1688))),NA()),NA())</ns0:f>
        <ns0:v/>
      </ns0:c>
      <ns0:c r="F1693">
        <ns0:f>IFERROR(IF(ISNUMBER($A1693),IF(AND(AH!$P$10=1,AH!$P$12=1,$A1693=TODAY()),IF(AND(AH!$P$10=1,AH!$P$12=1,$A1693=TODAY()),TODAY(),NA()),IF(AH!$P$10=1,INDEX('Live History'!$D$5:$D$3004,MATCH($A1693,'Live History'!$D$5:$D$3004,1)),INDEX('AH History'!$E$1:$E$18046,AH!$P$7+1688))),NA()),NA())</ns0:f>
        <ns0:v/>
      </ns0:c>
      <ns0:c r="G1693">
        <ns0:f>IFERROR(IF(ISNUMBER($A1693),IF(AND(AH!$P$10=1,AH!$P$12=1,$A1693=TODAY()),IF(AND(AH!$P$10=1,AH!$P$12=1,$A1693=TODAY()),TODAY(),NA()),IF(AH!$P$10=1,INDEX('Live History'!$G$5:$G$3004,MATCH($A1693,'Live History'!$G$5:$G$3004,1)),INDEX('AH History'!$F$1:$F$18046,AH!$P$7+1688))),NA()),NA())</ns0:f>
        <ns0:v/>
      </ns0:c>
      <ns0:c r="H1693">
        <ns0:f>IFERROR(IF(AND(AH!$E$4="Bloomberg",AH!$P$10=1,ISNUMBER($A1693),$A1693&lt;=AH!$P$17),AH!$P$7-1+MATCH($A1693,INDEX('AH History'!$A$1:$A$18046,AH!$P$7):INDEX('AH History'!$A$1:$A$18046,AH!$P$7+AH!$P$8-1),0),0),0)</ns0:f>
        <ns0:v/>
      </ns0:c>
      <ns0:c r="I1693">
        <ns0:f>IF($H1693=0,0,IFERROR(IF(AND(ABS($C1693-INDEX('AH History'!$B$1:$B$18046,$H1693))&lt;=MAX(0.005,ABS(INDEX('AH History'!$B$1:$B$18046,$H1693))*0.00005),ABS($D1693-INDEX('AH History'!$C$1:$C$18046,$H1693))&lt;=MAX(0.005,ABS(INDEX('AH History'!$C$1:$C$18046,$H1693))*0.00005),ABS($E1693-INDEX('AH History'!$D$1:$D$18046,$H1693))&lt;=0.00005,$F1693=INDEX('AH History'!$E$1:$E$18046,$H1693),$G1693=INDEX('AH History'!$F$1:$F$18046,$H1693)),1,-1),-1))</ns0:f>
        <ns0:v/>
      </ns0:c>
    </ns0:row>
    <ns0:row r="1694">
      <ns0:c r="A1694" s="215">
        <ns0:f>IF(OR(AH!$P$3=0,1689+1&gt;AH!$P$11,AND(AH!$E$4&lt;&gt;"Stored",AH!$P$10&lt;&gt;1)),"",IFERROR(IF(AND(AH!$P$21=1,1689+1=AH!$P$11),TODAY(),IF(AH!$P$10=1,INDEX('Live History'!$A$5:$A$3004,AH!$P$13+1689),INDEX('AH History'!$A$1:$A$18046,AH!$P$7+1689))),""))</ns0:f>
        <ns0:v/>
      </ns0:c>
      <ns0:c r="B1694" s="219">
        <ns0:f>IFERROR(IF(AND(AH!$P$9&lt;&gt;1,$C1694&gt;0,$D1694&gt;0,$E1694&gt;0,$F1694&gt;0,$G1694&gt;0,$F1694&lt;=$A1694,$G1694&lt;=$A1694,$A1694-$F1694&lt;=10,$A1694-$G1694&lt;=5),$D1694*$E1694/$C1694-1,NA()),NA())</ns0:f>
        <ns0:v/>
      </ns0:c>
      <ns0:c r="C1694">
        <ns0:f>IFERROR(IF(ISNUMBER($A1694),IF(AND(AH!$P$10=1,AH!$P$12=1,$A1694=TODAY()),AH!$P$19,IF(AH!$P$10=1,INDEX('Live History'!$B$5:$B$3004,AH!$P$13+1689),INDEX('AH History'!$B$1:$B$18046,AH!$P$7+1689))),NA()),NA())</ns0:f>
        <ns0:v/>
      </ns0:c>
      <ns0:c r="D1694">
        <ns0:f>IFERROR(IF(ISNUMBER($A1694),IF(AND(AH!$P$10=1,AH!$P$12=1,$A1694=TODAY()),AH!$P$18,IF(AH!$P$10=1,INDEX('Live History'!$E$5:$E$3004,MATCH($A1694,'Live History'!$D$5:$D$3004,1)),INDEX('AH History'!$C$1:$C$18046,AH!$P$7+1689))),NA()),NA())</ns0:f>
        <ns0:v/>
      </ns0:c>
      <ns0:c r="E1694">
        <ns0:f>IFERROR(IF(ISNUMBER($A1694),IF(AND(AH!$P$10=1,AH!$P$12=1,$A1694=TODAY()),AH!$P$20,IF(AH!$P$10=1,INDEX('Live History'!$H$5:$H$3004,MATCH($A1694,'Live History'!$G$5:$G$3004,1)),INDEX('AH History'!$D$1:$D$18046,AH!$P$7+1689))),NA()),NA())</ns0:f>
        <ns0:v/>
      </ns0:c>
      <ns0:c r="F1694">
        <ns0:f>IFERROR(IF(ISNUMBER($A1694),IF(AND(AH!$P$10=1,AH!$P$12=1,$A1694=TODAY()),IF(AND(AH!$P$10=1,AH!$P$12=1,$A1694=TODAY()),TODAY(),NA()),IF(AH!$P$10=1,INDEX('Live History'!$D$5:$D$3004,MATCH($A1694,'Live History'!$D$5:$D$3004,1)),INDEX('AH History'!$E$1:$E$18046,AH!$P$7+1689))),NA()),NA())</ns0:f>
        <ns0:v/>
      </ns0:c>
      <ns0:c r="G1694">
        <ns0:f>IFERROR(IF(ISNUMBER($A1694),IF(AND(AH!$P$10=1,AH!$P$12=1,$A1694=TODAY()),IF(AND(AH!$P$10=1,AH!$P$12=1,$A1694=TODAY()),TODAY(),NA()),IF(AH!$P$10=1,INDEX('Live History'!$G$5:$G$3004,MATCH($A1694,'Live History'!$G$5:$G$3004,1)),INDEX('AH History'!$F$1:$F$18046,AH!$P$7+1689))),NA()),NA())</ns0:f>
        <ns0:v/>
      </ns0:c>
      <ns0:c r="H1694">
        <ns0:f>IFERROR(IF(AND(AH!$E$4="Bloomberg",AH!$P$10=1,ISNUMBER($A1694),$A1694&lt;=AH!$P$17),AH!$P$7-1+MATCH($A1694,INDEX('AH History'!$A$1:$A$18046,AH!$P$7):INDEX('AH History'!$A$1:$A$18046,AH!$P$7+AH!$P$8-1),0),0),0)</ns0:f>
        <ns0:v/>
      </ns0:c>
      <ns0:c r="I1694">
        <ns0:f>IF($H1694=0,0,IFERROR(IF(AND(ABS($C1694-INDEX('AH History'!$B$1:$B$18046,$H1694))&lt;=MAX(0.005,ABS(INDEX('AH History'!$B$1:$B$18046,$H1694))*0.00005),ABS($D1694-INDEX('AH History'!$C$1:$C$18046,$H1694))&lt;=MAX(0.005,ABS(INDEX('AH History'!$C$1:$C$18046,$H1694))*0.00005),ABS($E1694-INDEX('AH History'!$D$1:$D$18046,$H1694))&lt;=0.00005,$F1694=INDEX('AH History'!$E$1:$E$18046,$H1694),$G1694=INDEX('AH History'!$F$1:$F$18046,$H1694)),1,-1),-1))</ns0:f>
        <ns0:v/>
      </ns0:c>
    </ns0:row>
    <ns0:row r="1695">
      <ns0:c r="A1695" s="215">
        <ns0:f>IF(OR(AH!$P$3=0,1690+1&gt;AH!$P$11,AND(AH!$E$4&lt;&gt;"Stored",AH!$P$10&lt;&gt;1)),"",IFERROR(IF(AND(AH!$P$21=1,1690+1=AH!$P$11),TODAY(),IF(AH!$P$10=1,INDEX('Live History'!$A$5:$A$3004,AH!$P$13+1690),INDEX('AH History'!$A$1:$A$18046,AH!$P$7+1690))),""))</ns0:f>
        <ns0:v/>
      </ns0:c>
      <ns0:c r="B1695" s="219">
        <ns0:f>IFERROR(IF(AND(AH!$P$9&lt;&gt;1,$C1695&gt;0,$D1695&gt;0,$E1695&gt;0,$F1695&gt;0,$G1695&gt;0,$F1695&lt;=$A1695,$G1695&lt;=$A1695,$A1695-$F1695&lt;=10,$A1695-$G1695&lt;=5),$D1695*$E1695/$C1695-1,NA()),NA())</ns0:f>
        <ns0:v/>
      </ns0:c>
      <ns0:c r="C1695">
        <ns0:f>IFERROR(IF(ISNUMBER($A1695),IF(AND(AH!$P$10=1,AH!$P$12=1,$A1695=TODAY()),AH!$P$19,IF(AH!$P$10=1,INDEX('Live History'!$B$5:$B$3004,AH!$P$13+1690),INDEX('AH History'!$B$1:$B$18046,AH!$P$7+1690))),NA()),NA())</ns0:f>
        <ns0:v/>
      </ns0:c>
      <ns0:c r="D1695">
        <ns0:f>IFERROR(IF(ISNUMBER($A1695),IF(AND(AH!$P$10=1,AH!$P$12=1,$A1695=TODAY()),AH!$P$18,IF(AH!$P$10=1,INDEX('Live History'!$E$5:$E$3004,MATCH($A1695,'Live History'!$D$5:$D$3004,1)),INDEX('AH History'!$C$1:$C$18046,AH!$P$7+1690))),NA()),NA())</ns0:f>
        <ns0:v/>
      </ns0:c>
      <ns0:c r="E1695">
        <ns0:f>IFERROR(IF(ISNUMBER($A1695),IF(AND(AH!$P$10=1,AH!$P$12=1,$A1695=TODAY()),AH!$P$20,IF(AH!$P$10=1,INDEX('Live History'!$H$5:$H$3004,MATCH($A1695,'Live History'!$G$5:$G$3004,1)),INDEX('AH History'!$D$1:$D$18046,AH!$P$7+1690))),NA()),NA())</ns0:f>
        <ns0:v/>
      </ns0:c>
      <ns0:c r="F1695">
        <ns0:f>IFERROR(IF(ISNUMBER($A1695),IF(AND(AH!$P$10=1,AH!$P$12=1,$A1695=TODAY()),IF(AND(AH!$P$10=1,AH!$P$12=1,$A1695=TODAY()),TODAY(),NA()),IF(AH!$P$10=1,INDEX('Live History'!$D$5:$D$3004,MATCH($A1695,'Live History'!$D$5:$D$3004,1)),INDEX('AH History'!$E$1:$E$18046,AH!$P$7+1690))),NA()),NA())</ns0:f>
        <ns0:v/>
      </ns0:c>
      <ns0:c r="G1695">
        <ns0:f>IFERROR(IF(ISNUMBER($A1695),IF(AND(AH!$P$10=1,AH!$P$12=1,$A1695=TODAY()),IF(AND(AH!$P$10=1,AH!$P$12=1,$A1695=TODAY()),TODAY(),NA()),IF(AH!$P$10=1,INDEX('Live History'!$G$5:$G$3004,MATCH($A1695,'Live History'!$G$5:$G$3004,1)),INDEX('AH History'!$F$1:$F$18046,AH!$P$7+1690))),NA()),NA())</ns0:f>
        <ns0:v/>
      </ns0:c>
      <ns0:c r="H1695">
        <ns0:f>IFERROR(IF(AND(AH!$E$4="Bloomberg",AH!$P$10=1,ISNUMBER($A1695),$A1695&lt;=AH!$P$17),AH!$P$7-1+MATCH($A1695,INDEX('AH History'!$A$1:$A$18046,AH!$P$7):INDEX('AH History'!$A$1:$A$18046,AH!$P$7+AH!$P$8-1),0),0),0)</ns0:f>
        <ns0:v/>
      </ns0:c>
      <ns0:c r="I1695">
        <ns0:f>IF($H1695=0,0,IFERROR(IF(AND(ABS($C1695-INDEX('AH History'!$B$1:$B$18046,$H1695))&lt;=MAX(0.005,ABS(INDEX('AH History'!$B$1:$B$18046,$H1695))*0.00005),ABS($D1695-INDEX('AH History'!$C$1:$C$18046,$H1695))&lt;=MAX(0.005,ABS(INDEX('AH History'!$C$1:$C$18046,$H1695))*0.00005),ABS($E1695-INDEX('AH History'!$D$1:$D$18046,$H1695))&lt;=0.00005,$F1695=INDEX('AH History'!$E$1:$E$18046,$H1695),$G1695=INDEX('AH History'!$F$1:$F$18046,$H1695)),1,-1),-1))</ns0:f>
        <ns0:v/>
      </ns0:c>
    </ns0:row>
    <ns0:row r="1696">
      <ns0:c r="A1696" s="215">
        <ns0:f>IF(OR(AH!$P$3=0,1691+1&gt;AH!$P$11,AND(AH!$E$4&lt;&gt;"Stored",AH!$P$10&lt;&gt;1)),"",IFERROR(IF(AND(AH!$P$21=1,1691+1=AH!$P$11),TODAY(),IF(AH!$P$10=1,INDEX('Live History'!$A$5:$A$3004,AH!$P$13+1691),INDEX('AH History'!$A$1:$A$18046,AH!$P$7+1691))),""))</ns0:f>
        <ns0:v/>
      </ns0:c>
      <ns0:c r="B1696" s="219">
        <ns0:f>IFERROR(IF(AND(AH!$P$9&lt;&gt;1,$C1696&gt;0,$D1696&gt;0,$E1696&gt;0,$F1696&gt;0,$G1696&gt;0,$F1696&lt;=$A1696,$G1696&lt;=$A1696,$A1696-$F1696&lt;=10,$A1696-$G1696&lt;=5),$D1696*$E1696/$C1696-1,NA()),NA())</ns0:f>
        <ns0:v/>
      </ns0:c>
      <ns0:c r="C1696">
        <ns0:f>IFERROR(IF(ISNUMBER($A1696),IF(AND(AH!$P$10=1,AH!$P$12=1,$A1696=TODAY()),AH!$P$19,IF(AH!$P$10=1,INDEX('Live History'!$B$5:$B$3004,AH!$P$13+1691),INDEX('AH History'!$B$1:$B$18046,AH!$P$7+1691))),NA()),NA())</ns0:f>
        <ns0:v/>
      </ns0:c>
      <ns0:c r="D1696">
        <ns0:f>IFERROR(IF(ISNUMBER($A1696),IF(AND(AH!$P$10=1,AH!$P$12=1,$A1696=TODAY()),AH!$P$18,IF(AH!$P$10=1,INDEX('Live History'!$E$5:$E$3004,MATCH($A1696,'Live History'!$D$5:$D$3004,1)),INDEX('AH History'!$C$1:$C$18046,AH!$P$7+1691))),NA()),NA())</ns0:f>
        <ns0:v/>
      </ns0:c>
      <ns0:c r="E1696">
        <ns0:f>IFERROR(IF(ISNUMBER($A1696),IF(AND(AH!$P$10=1,AH!$P$12=1,$A1696=TODAY()),AH!$P$20,IF(AH!$P$10=1,INDEX('Live History'!$H$5:$H$3004,MATCH($A1696,'Live History'!$G$5:$G$3004,1)),INDEX('AH History'!$D$1:$D$18046,AH!$P$7+1691))),NA()),NA())</ns0:f>
        <ns0:v/>
      </ns0:c>
      <ns0:c r="F1696">
        <ns0:f>IFERROR(IF(ISNUMBER($A1696),IF(AND(AH!$P$10=1,AH!$P$12=1,$A1696=TODAY()),IF(AND(AH!$P$10=1,AH!$P$12=1,$A1696=TODAY()),TODAY(),NA()),IF(AH!$P$10=1,INDEX('Live History'!$D$5:$D$3004,MATCH($A1696,'Live History'!$D$5:$D$3004,1)),INDEX('AH History'!$E$1:$E$18046,AH!$P$7+1691))),NA()),NA())</ns0:f>
        <ns0:v/>
      </ns0:c>
      <ns0:c r="G1696">
        <ns0:f>IFERROR(IF(ISNUMBER($A1696),IF(AND(AH!$P$10=1,AH!$P$12=1,$A1696=TODAY()),IF(AND(AH!$P$10=1,AH!$P$12=1,$A1696=TODAY()),TODAY(),NA()),IF(AH!$P$10=1,INDEX('Live History'!$G$5:$G$3004,MATCH($A1696,'Live History'!$G$5:$G$3004,1)),INDEX('AH History'!$F$1:$F$18046,AH!$P$7+1691))),NA()),NA())</ns0:f>
        <ns0:v/>
      </ns0:c>
      <ns0:c r="H1696">
        <ns0:f>IFERROR(IF(AND(AH!$E$4="Bloomberg",AH!$P$10=1,ISNUMBER($A1696),$A1696&lt;=AH!$P$17),AH!$P$7-1+MATCH($A1696,INDEX('AH History'!$A$1:$A$18046,AH!$P$7):INDEX('AH History'!$A$1:$A$18046,AH!$P$7+AH!$P$8-1),0),0),0)</ns0:f>
        <ns0:v/>
      </ns0:c>
      <ns0:c r="I1696">
        <ns0:f>IF($H1696=0,0,IFERROR(IF(AND(ABS($C1696-INDEX('AH History'!$B$1:$B$18046,$H1696))&lt;=MAX(0.005,ABS(INDEX('AH History'!$B$1:$B$18046,$H1696))*0.00005),ABS($D1696-INDEX('AH History'!$C$1:$C$18046,$H1696))&lt;=MAX(0.005,ABS(INDEX('AH History'!$C$1:$C$18046,$H1696))*0.00005),ABS($E1696-INDEX('AH History'!$D$1:$D$18046,$H1696))&lt;=0.00005,$F1696=INDEX('AH History'!$E$1:$E$18046,$H1696),$G1696=INDEX('AH History'!$F$1:$F$18046,$H1696)),1,-1),-1))</ns0:f>
        <ns0:v/>
      </ns0:c>
    </ns0:row>
    <ns0:row r="1697">
      <ns0:c r="A1697" s="215">
        <ns0:f>IF(OR(AH!$P$3=0,1692+1&gt;AH!$P$11,AND(AH!$E$4&lt;&gt;"Stored",AH!$P$10&lt;&gt;1)),"",IFERROR(IF(AND(AH!$P$21=1,1692+1=AH!$P$11),TODAY(),IF(AH!$P$10=1,INDEX('Live History'!$A$5:$A$3004,AH!$P$13+1692),INDEX('AH History'!$A$1:$A$18046,AH!$P$7+1692))),""))</ns0:f>
        <ns0:v/>
      </ns0:c>
      <ns0:c r="B1697" s="219">
        <ns0:f>IFERROR(IF(AND(AH!$P$9&lt;&gt;1,$C1697&gt;0,$D1697&gt;0,$E1697&gt;0,$F1697&gt;0,$G1697&gt;0,$F1697&lt;=$A1697,$G1697&lt;=$A1697,$A1697-$F1697&lt;=10,$A1697-$G1697&lt;=5),$D1697*$E1697/$C1697-1,NA()),NA())</ns0:f>
        <ns0:v/>
      </ns0:c>
      <ns0:c r="C1697">
        <ns0:f>IFERROR(IF(ISNUMBER($A1697),IF(AND(AH!$P$10=1,AH!$P$12=1,$A1697=TODAY()),AH!$P$19,IF(AH!$P$10=1,INDEX('Live History'!$B$5:$B$3004,AH!$P$13+1692),INDEX('AH History'!$B$1:$B$18046,AH!$P$7+1692))),NA()),NA())</ns0:f>
        <ns0:v/>
      </ns0:c>
      <ns0:c r="D1697">
        <ns0:f>IFERROR(IF(ISNUMBER($A1697),IF(AND(AH!$P$10=1,AH!$P$12=1,$A1697=TODAY()),AH!$P$18,IF(AH!$P$10=1,INDEX('Live History'!$E$5:$E$3004,MATCH($A1697,'Live History'!$D$5:$D$3004,1)),INDEX('AH History'!$C$1:$C$18046,AH!$P$7+1692))),NA()),NA())</ns0:f>
        <ns0:v/>
      </ns0:c>
      <ns0:c r="E1697">
        <ns0:f>IFERROR(IF(ISNUMBER($A1697),IF(AND(AH!$P$10=1,AH!$P$12=1,$A1697=TODAY()),AH!$P$20,IF(AH!$P$10=1,INDEX('Live History'!$H$5:$H$3004,MATCH($A1697,'Live History'!$G$5:$G$3004,1)),INDEX('AH History'!$D$1:$D$18046,AH!$P$7+1692))),NA()),NA())</ns0:f>
        <ns0:v/>
      </ns0:c>
      <ns0:c r="F1697">
        <ns0:f>IFERROR(IF(ISNUMBER($A1697),IF(AND(AH!$P$10=1,AH!$P$12=1,$A1697=TODAY()),IF(AND(AH!$P$10=1,AH!$P$12=1,$A1697=TODAY()),TODAY(),NA()),IF(AH!$P$10=1,INDEX('Live History'!$D$5:$D$3004,MATCH($A1697,'Live History'!$D$5:$D$3004,1)),INDEX('AH History'!$E$1:$E$18046,AH!$P$7+1692))),NA()),NA())</ns0:f>
        <ns0:v/>
      </ns0:c>
      <ns0:c r="G1697">
        <ns0:f>IFERROR(IF(ISNUMBER($A1697),IF(AND(AH!$P$10=1,AH!$P$12=1,$A1697=TODAY()),IF(AND(AH!$P$10=1,AH!$P$12=1,$A1697=TODAY()),TODAY(),NA()),IF(AH!$P$10=1,INDEX('Live History'!$G$5:$G$3004,MATCH($A1697,'Live History'!$G$5:$G$3004,1)),INDEX('AH History'!$F$1:$F$18046,AH!$P$7+1692))),NA()),NA())</ns0:f>
        <ns0:v/>
      </ns0:c>
      <ns0:c r="H1697">
        <ns0:f>IFERROR(IF(AND(AH!$E$4="Bloomberg",AH!$P$10=1,ISNUMBER($A1697),$A1697&lt;=AH!$P$17),AH!$P$7-1+MATCH($A1697,INDEX('AH History'!$A$1:$A$18046,AH!$P$7):INDEX('AH History'!$A$1:$A$18046,AH!$P$7+AH!$P$8-1),0),0),0)</ns0:f>
        <ns0:v/>
      </ns0:c>
      <ns0:c r="I1697">
        <ns0:f>IF($H1697=0,0,IFERROR(IF(AND(ABS($C1697-INDEX('AH History'!$B$1:$B$18046,$H1697))&lt;=MAX(0.005,ABS(INDEX('AH History'!$B$1:$B$18046,$H1697))*0.00005),ABS($D1697-INDEX('AH History'!$C$1:$C$18046,$H1697))&lt;=MAX(0.005,ABS(INDEX('AH History'!$C$1:$C$18046,$H1697))*0.00005),ABS($E1697-INDEX('AH History'!$D$1:$D$18046,$H1697))&lt;=0.00005,$F1697=INDEX('AH History'!$E$1:$E$18046,$H1697),$G1697=INDEX('AH History'!$F$1:$F$18046,$H1697)),1,-1),-1))</ns0:f>
        <ns0:v/>
      </ns0:c>
    </ns0:row>
    <ns0:row r="1698">
      <ns0:c r="A1698" s="215">
        <ns0:f>IF(OR(AH!$P$3=0,1693+1&gt;AH!$P$11,AND(AH!$E$4&lt;&gt;"Stored",AH!$P$10&lt;&gt;1)),"",IFERROR(IF(AND(AH!$P$21=1,1693+1=AH!$P$11),TODAY(),IF(AH!$P$10=1,INDEX('Live History'!$A$5:$A$3004,AH!$P$13+1693),INDEX('AH History'!$A$1:$A$18046,AH!$P$7+1693))),""))</ns0:f>
        <ns0:v/>
      </ns0:c>
      <ns0:c r="B1698" s="219">
        <ns0:f>IFERROR(IF(AND(AH!$P$9&lt;&gt;1,$C1698&gt;0,$D1698&gt;0,$E1698&gt;0,$F1698&gt;0,$G1698&gt;0,$F1698&lt;=$A1698,$G1698&lt;=$A1698,$A1698-$F1698&lt;=10,$A1698-$G1698&lt;=5),$D1698*$E1698/$C1698-1,NA()),NA())</ns0:f>
        <ns0:v/>
      </ns0:c>
      <ns0:c r="C1698">
        <ns0:f>IFERROR(IF(ISNUMBER($A1698),IF(AND(AH!$P$10=1,AH!$P$12=1,$A1698=TODAY()),AH!$P$19,IF(AH!$P$10=1,INDEX('Live History'!$B$5:$B$3004,AH!$P$13+1693),INDEX('AH History'!$B$1:$B$18046,AH!$P$7+1693))),NA()),NA())</ns0:f>
        <ns0:v/>
      </ns0:c>
      <ns0:c r="D1698">
        <ns0:f>IFERROR(IF(ISNUMBER($A1698),IF(AND(AH!$P$10=1,AH!$P$12=1,$A1698=TODAY()),AH!$P$18,IF(AH!$P$10=1,INDEX('Live History'!$E$5:$E$3004,MATCH($A1698,'Live History'!$D$5:$D$3004,1)),INDEX('AH History'!$C$1:$C$18046,AH!$P$7+1693))),NA()),NA())</ns0:f>
        <ns0:v/>
      </ns0:c>
      <ns0:c r="E1698">
        <ns0:f>IFERROR(IF(ISNUMBER($A1698),IF(AND(AH!$P$10=1,AH!$P$12=1,$A1698=TODAY()),AH!$P$20,IF(AH!$P$10=1,INDEX('Live History'!$H$5:$H$3004,MATCH($A1698,'Live History'!$G$5:$G$3004,1)),INDEX('AH History'!$D$1:$D$18046,AH!$P$7+1693))),NA()),NA())</ns0:f>
        <ns0:v/>
      </ns0:c>
      <ns0:c r="F1698">
        <ns0:f>IFERROR(IF(ISNUMBER($A1698),IF(AND(AH!$P$10=1,AH!$P$12=1,$A1698=TODAY()),IF(AND(AH!$P$10=1,AH!$P$12=1,$A1698=TODAY()),TODAY(),NA()),IF(AH!$P$10=1,INDEX('Live History'!$D$5:$D$3004,MATCH($A1698,'Live History'!$D$5:$D$3004,1)),INDEX('AH History'!$E$1:$E$18046,AH!$P$7+1693))),NA()),NA())</ns0:f>
        <ns0:v/>
      </ns0:c>
      <ns0:c r="G1698">
        <ns0:f>IFERROR(IF(ISNUMBER($A1698),IF(AND(AH!$P$10=1,AH!$P$12=1,$A1698=TODAY()),IF(AND(AH!$P$10=1,AH!$P$12=1,$A1698=TODAY()),TODAY(),NA()),IF(AH!$P$10=1,INDEX('Live History'!$G$5:$G$3004,MATCH($A1698,'Live History'!$G$5:$G$3004,1)),INDEX('AH History'!$F$1:$F$18046,AH!$P$7+1693))),NA()),NA())</ns0:f>
        <ns0:v/>
      </ns0:c>
      <ns0:c r="H1698">
        <ns0:f>IFERROR(IF(AND(AH!$E$4="Bloomberg",AH!$P$10=1,ISNUMBER($A1698),$A1698&lt;=AH!$P$17),AH!$P$7-1+MATCH($A1698,INDEX('AH History'!$A$1:$A$18046,AH!$P$7):INDEX('AH History'!$A$1:$A$18046,AH!$P$7+AH!$P$8-1),0),0),0)</ns0:f>
        <ns0:v/>
      </ns0:c>
      <ns0:c r="I1698">
        <ns0:f>IF($H1698=0,0,IFERROR(IF(AND(ABS($C1698-INDEX('AH History'!$B$1:$B$18046,$H1698))&lt;=MAX(0.005,ABS(INDEX('AH History'!$B$1:$B$18046,$H1698))*0.00005),ABS($D1698-INDEX('AH History'!$C$1:$C$18046,$H1698))&lt;=MAX(0.005,ABS(INDEX('AH History'!$C$1:$C$18046,$H1698))*0.00005),ABS($E1698-INDEX('AH History'!$D$1:$D$18046,$H1698))&lt;=0.00005,$F1698=INDEX('AH History'!$E$1:$E$18046,$H1698),$G1698=INDEX('AH History'!$F$1:$F$18046,$H1698)),1,-1),-1))</ns0:f>
        <ns0:v/>
      </ns0:c>
    </ns0:row>
    <ns0:row r="1699">
      <ns0:c r="A1699" s="215">
        <ns0:f>IF(OR(AH!$P$3=0,1694+1&gt;AH!$P$11,AND(AH!$E$4&lt;&gt;"Stored",AH!$P$10&lt;&gt;1)),"",IFERROR(IF(AND(AH!$P$21=1,1694+1=AH!$P$11),TODAY(),IF(AH!$P$10=1,INDEX('Live History'!$A$5:$A$3004,AH!$P$13+1694),INDEX('AH History'!$A$1:$A$18046,AH!$P$7+1694))),""))</ns0:f>
        <ns0:v/>
      </ns0:c>
      <ns0:c r="B1699" s="219">
        <ns0:f>IFERROR(IF(AND(AH!$P$9&lt;&gt;1,$C1699&gt;0,$D1699&gt;0,$E1699&gt;0,$F1699&gt;0,$G1699&gt;0,$F1699&lt;=$A1699,$G1699&lt;=$A1699,$A1699-$F1699&lt;=10,$A1699-$G1699&lt;=5),$D1699*$E1699/$C1699-1,NA()),NA())</ns0:f>
        <ns0:v/>
      </ns0:c>
      <ns0:c r="C1699">
        <ns0:f>IFERROR(IF(ISNUMBER($A1699),IF(AND(AH!$P$10=1,AH!$P$12=1,$A1699=TODAY()),AH!$P$19,IF(AH!$P$10=1,INDEX('Live History'!$B$5:$B$3004,AH!$P$13+1694),INDEX('AH History'!$B$1:$B$18046,AH!$P$7+1694))),NA()),NA())</ns0:f>
        <ns0:v/>
      </ns0:c>
      <ns0:c r="D1699">
        <ns0:f>IFERROR(IF(ISNUMBER($A1699),IF(AND(AH!$P$10=1,AH!$P$12=1,$A1699=TODAY()),AH!$P$18,IF(AH!$P$10=1,INDEX('Live History'!$E$5:$E$3004,MATCH($A1699,'Live History'!$D$5:$D$3004,1)),INDEX('AH History'!$C$1:$C$18046,AH!$P$7+1694))),NA()),NA())</ns0:f>
        <ns0:v/>
      </ns0:c>
      <ns0:c r="E1699">
        <ns0:f>IFERROR(IF(ISNUMBER($A1699),IF(AND(AH!$P$10=1,AH!$P$12=1,$A1699=TODAY()),AH!$P$20,IF(AH!$P$10=1,INDEX('Live History'!$H$5:$H$3004,MATCH($A1699,'Live History'!$G$5:$G$3004,1)),INDEX('AH History'!$D$1:$D$18046,AH!$P$7+1694))),NA()),NA())</ns0:f>
        <ns0:v/>
      </ns0:c>
      <ns0:c r="F1699">
        <ns0:f>IFERROR(IF(ISNUMBER($A1699),IF(AND(AH!$P$10=1,AH!$P$12=1,$A1699=TODAY()),IF(AND(AH!$P$10=1,AH!$P$12=1,$A1699=TODAY()),TODAY(),NA()),IF(AH!$P$10=1,INDEX('Live History'!$D$5:$D$3004,MATCH($A1699,'Live History'!$D$5:$D$3004,1)),INDEX('AH History'!$E$1:$E$18046,AH!$P$7+1694))),NA()),NA())</ns0:f>
        <ns0:v/>
      </ns0:c>
      <ns0:c r="G1699">
        <ns0:f>IFERROR(IF(ISNUMBER($A1699),IF(AND(AH!$P$10=1,AH!$P$12=1,$A1699=TODAY()),IF(AND(AH!$P$10=1,AH!$P$12=1,$A1699=TODAY()),TODAY(),NA()),IF(AH!$P$10=1,INDEX('Live History'!$G$5:$G$3004,MATCH($A1699,'Live History'!$G$5:$G$3004,1)),INDEX('AH History'!$F$1:$F$18046,AH!$P$7+1694))),NA()),NA())</ns0:f>
        <ns0:v/>
      </ns0:c>
      <ns0:c r="H1699">
        <ns0:f>IFERROR(IF(AND(AH!$E$4="Bloomberg",AH!$P$10=1,ISNUMBER($A1699),$A1699&lt;=AH!$P$17),AH!$P$7-1+MATCH($A1699,INDEX('AH History'!$A$1:$A$18046,AH!$P$7):INDEX('AH History'!$A$1:$A$18046,AH!$P$7+AH!$P$8-1),0),0),0)</ns0:f>
        <ns0:v/>
      </ns0:c>
      <ns0:c r="I1699">
        <ns0:f>IF($H1699=0,0,IFERROR(IF(AND(ABS($C1699-INDEX('AH History'!$B$1:$B$18046,$H1699))&lt;=MAX(0.005,ABS(INDEX('AH History'!$B$1:$B$18046,$H1699))*0.00005),ABS($D1699-INDEX('AH History'!$C$1:$C$18046,$H1699))&lt;=MAX(0.005,ABS(INDEX('AH History'!$C$1:$C$18046,$H1699))*0.00005),ABS($E1699-INDEX('AH History'!$D$1:$D$18046,$H1699))&lt;=0.00005,$F1699=INDEX('AH History'!$E$1:$E$18046,$H1699),$G1699=INDEX('AH History'!$F$1:$F$18046,$H1699)),1,-1),-1))</ns0:f>
        <ns0:v/>
      </ns0:c>
    </ns0:row>
    <ns0:row r="1700">
      <ns0:c r="A1700" s="215">
        <ns0:f>IF(OR(AH!$P$3=0,1695+1&gt;AH!$P$11,AND(AH!$E$4&lt;&gt;"Stored",AH!$P$10&lt;&gt;1)),"",IFERROR(IF(AND(AH!$P$21=1,1695+1=AH!$P$11),TODAY(),IF(AH!$P$10=1,INDEX('Live History'!$A$5:$A$3004,AH!$P$13+1695),INDEX('AH History'!$A$1:$A$18046,AH!$P$7+1695))),""))</ns0:f>
        <ns0:v/>
      </ns0:c>
      <ns0:c r="B1700" s="219">
        <ns0:f>IFERROR(IF(AND(AH!$P$9&lt;&gt;1,$C1700&gt;0,$D1700&gt;0,$E1700&gt;0,$F1700&gt;0,$G1700&gt;0,$F1700&lt;=$A1700,$G1700&lt;=$A1700,$A1700-$F1700&lt;=10,$A1700-$G1700&lt;=5),$D1700*$E1700/$C1700-1,NA()),NA())</ns0:f>
        <ns0:v/>
      </ns0:c>
      <ns0:c r="C1700">
        <ns0:f>IFERROR(IF(ISNUMBER($A1700),IF(AND(AH!$P$10=1,AH!$P$12=1,$A1700=TODAY()),AH!$P$19,IF(AH!$P$10=1,INDEX('Live History'!$B$5:$B$3004,AH!$P$13+1695),INDEX('AH History'!$B$1:$B$18046,AH!$P$7+1695))),NA()),NA())</ns0:f>
        <ns0:v/>
      </ns0:c>
      <ns0:c r="D1700">
        <ns0:f>IFERROR(IF(ISNUMBER($A1700),IF(AND(AH!$P$10=1,AH!$P$12=1,$A1700=TODAY()),AH!$P$18,IF(AH!$P$10=1,INDEX('Live History'!$E$5:$E$3004,MATCH($A1700,'Live History'!$D$5:$D$3004,1)),INDEX('AH History'!$C$1:$C$18046,AH!$P$7+1695))),NA()),NA())</ns0:f>
        <ns0:v/>
      </ns0:c>
      <ns0:c r="E1700">
        <ns0:f>IFERROR(IF(ISNUMBER($A1700),IF(AND(AH!$P$10=1,AH!$P$12=1,$A1700=TODAY()),AH!$P$20,IF(AH!$P$10=1,INDEX('Live History'!$H$5:$H$3004,MATCH($A1700,'Live History'!$G$5:$G$3004,1)),INDEX('AH History'!$D$1:$D$18046,AH!$P$7+1695))),NA()),NA())</ns0:f>
        <ns0:v/>
      </ns0:c>
      <ns0:c r="F1700">
        <ns0:f>IFERROR(IF(ISNUMBER($A1700),IF(AND(AH!$P$10=1,AH!$P$12=1,$A1700=TODAY()),IF(AND(AH!$P$10=1,AH!$P$12=1,$A1700=TODAY()),TODAY(),NA()),IF(AH!$P$10=1,INDEX('Live History'!$D$5:$D$3004,MATCH($A1700,'Live History'!$D$5:$D$3004,1)),INDEX('AH History'!$E$1:$E$18046,AH!$P$7+1695))),NA()),NA())</ns0:f>
        <ns0:v/>
      </ns0:c>
      <ns0:c r="G1700">
        <ns0:f>IFERROR(IF(ISNUMBER($A1700),IF(AND(AH!$P$10=1,AH!$P$12=1,$A1700=TODAY()),IF(AND(AH!$P$10=1,AH!$P$12=1,$A1700=TODAY()),TODAY(),NA()),IF(AH!$P$10=1,INDEX('Live History'!$G$5:$G$3004,MATCH($A1700,'Live History'!$G$5:$G$3004,1)),INDEX('AH History'!$F$1:$F$18046,AH!$P$7+1695))),NA()),NA())</ns0:f>
        <ns0:v/>
      </ns0:c>
      <ns0:c r="H1700">
        <ns0:f>IFERROR(IF(AND(AH!$E$4="Bloomberg",AH!$P$10=1,ISNUMBER($A1700),$A1700&lt;=AH!$P$17),AH!$P$7-1+MATCH($A1700,INDEX('AH History'!$A$1:$A$18046,AH!$P$7):INDEX('AH History'!$A$1:$A$18046,AH!$P$7+AH!$P$8-1),0),0),0)</ns0:f>
        <ns0:v/>
      </ns0:c>
      <ns0:c r="I1700">
        <ns0:f>IF($H1700=0,0,IFERROR(IF(AND(ABS($C1700-INDEX('AH History'!$B$1:$B$18046,$H1700))&lt;=MAX(0.005,ABS(INDEX('AH History'!$B$1:$B$18046,$H1700))*0.00005),ABS($D1700-INDEX('AH History'!$C$1:$C$18046,$H1700))&lt;=MAX(0.005,ABS(INDEX('AH History'!$C$1:$C$18046,$H1700))*0.00005),ABS($E1700-INDEX('AH History'!$D$1:$D$18046,$H1700))&lt;=0.00005,$F1700=INDEX('AH History'!$E$1:$E$18046,$H1700),$G1700=INDEX('AH History'!$F$1:$F$18046,$H1700)),1,-1),-1))</ns0:f>
        <ns0:v/>
      </ns0:c>
    </ns0:row>
    <ns0:row r="1701">
      <ns0:c r="A1701" s="215">
        <ns0:f>IF(OR(AH!$P$3=0,1696+1&gt;AH!$P$11,AND(AH!$E$4&lt;&gt;"Stored",AH!$P$10&lt;&gt;1)),"",IFERROR(IF(AND(AH!$P$21=1,1696+1=AH!$P$11),TODAY(),IF(AH!$P$10=1,INDEX('Live History'!$A$5:$A$3004,AH!$P$13+1696),INDEX('AH History'!$A$1:$A$18046,AH!$P$7+1696))),""))</ns0:f>
        <ns0:v/>
      </ns0:c>
      <ns0:c r="B1701" s="219">
        <ns0:f>IFERROR(IF(AND(AH!$P$9&lt;&gt;1,$C1701&gt;0,$D1701&gt;0,$E1701&gt;0,$F1701&gt;0,$G1701&gt;0,$F1701&lt;=$A1701,$G1701&lt;=$A1701,$A1701-$F1701&lt;=10,$A1701-$G1701&lt;=5),$D1701*$E1701/$C1701-1,NA()),NA())</ns0:f>
        <ns0:v/>
      </ns0:c>
      <ns0:c r="C1701">
        <ns0:f>IFERROR(IF(ISNUMBER($A1701),IF(AND(AH!$P$10=1,AH!$P$12=1,$A1701=TODAY()),AH!$P$19,IF(AH!$P$10=1,INDEX('Live History'!$B$5:$B$3004,AH!$P$13+1696),INDEX('AH History'!$B$1:$B$18046,AH!$P$7+1696))),NA()),NA())</ns0:f>
        <ns0:v/>
      </ns0:c>
      <ns0:c r="D1701">
        <ns0:f>IFERROR(IF(ISNUMBER($A1701),IF(AND(AH!$P$10=1,AH!$P$12=1,$A1701=TODAY()),AH!$P$18,IF(AH!$P$10=1,INDEX('Live History'!$E$5:$E$3004,MATCH($A1701,'Live History'!$D$5:$D$3004,1)),INDEX('AH History'!$C$1:$C$18046,AH!$P$7+1696))),NA()),NA())</ns0:f>
        <ns0:v/>
      </ns0:c>
      <ns0:c r="E1701">
        <ns0:f>IFERROR(IF(ISNUMBER($A1701),IF(AND(AH!$P$10=1,AH!$P$12=1,$A1701=TODAY()),AH!$P$20,IF(AH!$P$10=1,INDEX('Live History'!$H$5:$H$3004,MATCH($A1701,'Live History'!$G$5:$G$3004,1)),INDEX('AH History'!$D$1:$D$18046,AH!$P$7+1696))),NA()),NA())</ns0:f>
        <ns0:v/>
      </ns0:c>
      <ns0:c r="F1701">
        <ns0:f>IFERROR(IF(ISNUMBER($A1701),IF(AND(AH!$P$10=1,AH!$P$12=1,$A1701=TODAY()),IF(AND(AH!$P$10=1,AH!$P$12=1,$A1701=TODAY()),TODAY(),NA()),IF(AH!$P$10=1,INDEX('Live History'!$D$5:$D$3004,MATCH($A1701,'Live History'!$D$5:$D$3004,1)),INDEX('AH History'!$E$1:$E$18046,AH!$P$7+1696))),NA()),NA())</ns0:f>
        <ns0:v/>
      </ns0:c>
      <ns0:c r="G1701">
        <ns0:f>IFERROR(IF(ISNUMBER($A1701),IF(AND(AH!$P$10=1,AH!$P$12=1,$A1701=TODAY()),IF(AND(AH!$P$10=1,AH!$P$12=1,$A1701=TODAY()),TODAY(),NA()),IF(AH!$P$10=1,INDEX('Live History'!$G$5:$G$3004,MATCH($A1701,'Live History'!$G$5:$G$3004,1)),INDEX('AH History'!$F$1:$F$18046,AH!$P$7+1696))),NA()),NA())</ns0:f>
        <ns0:v/>
      </ns0:c>
      <ns0:c r="H1701">
        <ns0:f>IFERROR(IF(AND(AH!$E$4="Bloomberg",AH!$P$10=1,ISNUMBER($A1701),$A1701&lt;=AH!$P$17),AH!$P$7-1+MATCH($A1701,INDEX('AH History'!$A$1:$A$18046,AH!$P$7):INDEX('AH History'!$A$1:$A$18046,AH!$P$7+AH!$P$8-1),0),0),0)</ns0:f>
        <ns0:v/>
      </ns0:c>
      <ns0:c r="I1701">
        <ns0:f>IF($H1701=0,0,IFERROR(IF(AND(ABS($C1701-INDEX('AH History'!$B$1:$B$18046,$H1701))&lt;=MAX(0.005,ABS(INDEX('AH History'!$B$1:$B$18046,$H1701))*0.00005),ABS($D1701-INDEX('AH History'!$C$1:$C$18046,$H1701))&lt;=MAX(0.005,ABS(INDEX('AH History'!$C$1:$C$18046,$H1701))*0.00005),ABS($E1701-INDEX('AH History'!$D$1:$D$18046,$H1701))&lt;=0.00005,$F1701=INDEX('AH History'!$E$1:$E$18046,$H1701),$G1701=INDEX('AH History'!$F$1:$F$18046,$H1701)),1,-1),-1))</ns0:f>
        <ns0:v/>
      </ns0:c>
    </ns0:row>
    <ns0:row r="1702">
      <ns0:c r="A1702" s="215">
        <ns0:f>IF(OR(AH!$P$3=0,1697+1&gt;AH!$P$11,AND(AH!$E$4&lt;&gt;"Stored",AH!$P$10&lt;&gt;1)),"",IFERROR(IF(AND(AH!$P$21=1,1697+1=AH!$P$11),TODAY(),IF(AH!$P$10=1,INDEX('Live History'!$A$5:$A$3004,AH!$P$13+1697),INDEX('AH History'!$A$1:$A$18046,AH!$P$7+1697))),""))</ns0:f>
        <ns0:v/>
      </ns0:c>
      <ns0:c r="B1702" s="219">
        <ns0:f>IFERROR(IF(AND(AH!$P$9&lt;&gt;1,$C1702&gt;0,$D1702&gt;0,$E1702&gt;0,$F1702&gt;0,$G1702&gt;0,$F1702&lt;=$A1702,$G1702&lt;=$A1702,$A1702-$F1702&lt;=10,$A1702-$G1702&lt;=5),$D1702*$E1702/$C1702-1,NA()),NA())</ns0:f>
        <ns0:v/>
      </ns0:c>
      <ns0:c r="C1702">
        <ns0:f>IFERROR(IF(ISNUMBER($A1702),IF(AND(AH!$P$10=1,AH!$P$12=1,$A1702=TODAY()),AH!$P$19,IF(AH!$P$10=1,INDEX('Live History'!$B$5:$B$3004,AH!$P$13+1697),INDEX('AH History'!$B$1:$B$18046,AH!$P$7+1697))),NA()),NA())</ns0:f>
        <ns0:v/>
      </ns0:c>
      <ns0:c r="D1702">
        <ns0:f>IFERROR(IF(ISNUMBER($A1702),IF(AND(AH!$P$10=1,AH!$P$12=1,$A1702=TODAY()),AH!$P$18,IF(AH!$P$10=1,INDEX('Live History'!$E$5:$E$3004,MATCH($A1702,'Live History'!$D$5:$D$3004,1)),INDEX('AH History'!$C$1:$C$18046,AH!$P$7+1697))),NA()),NA())</ns0:f>
        <ns0:v/>
      </ns0:c>
      <ns0:c r="E1702">
        <ns0:f>IFERROR(IF(ISNUMBER($A1702),IF(AND(AH!$P$10=1,AH!$P$12=1,$A1702=TODAY()),AH!$P$20,IF(AH!$P$10=1,INDEX('Live History'!$H$5:$H$3004,MATCH($A1702,'Live History'!$G$5:$G$3004,1)),INDEX('AH History'!$D$1:$D$18046,AH!$P$7+1697))),NA()),NA())</ns0:f>
        <ns0:v/>
      </ns0:c>
      <ns0:c r="F1702">
        <ns0:f>IFERROR(IF(ISNUMBER($A1702),IF(AND(AH!$P$10=1,AH!$P$12=1,$A1702=TODAY()),IF(AND(AH!$P$10=1,AH!$P$12=1,$A1702=TODAY()),TODAY(),NA()),IF(AH!$P$10=1,INDEX('Live History'!$D$5:$D$3004,MATCH($A1702,'Live History'!$D$5:$D$3004,1)),INDEX('AH History'!$E$1:$E$18046,AH!$P$7+1697))),NA()),NA())</ns0:f>
        <ns0:v/>
      </ns0:c>
      <ns0:c r="G1702">
        <ns0:f>IFERROR(IF(ISNUMBER($A1702),IF(AND(AH!$P$10=1,AH!$P$12=1,$A1702=TODAY()),IF(AND(AH!$P$10=1,AH!$P$12=1,$A1702=TODAY()),TODAY(),NA()),IF(AH!$P$10=1,INDEX('Live History'!$G$5:$G$3004,MATCH($A1702,'Live History'!$G$5:$G$3004,1)),INDEX('AH History'!$F$1:$F$18046,AH!$P$7+1697))),NA()),NA())</ns0:f>
        <ns0:v/>
      </ns0:c>
      <ns0:c r="H1702">
        <ns0:f>IFERROR(IF(AND(AH!$E$4="Bloomberg",AH!$P$10=1,ISNUMBER($A1702),$A1702&lt;=AH!$P$17),AH!$P$7-1+MATCH($A1702,INDEX('AH History'!$A$1:$A$18046,AH!$P$7):INDEX('AH History'!$A$1:$A$18046,AH!$P$7+AH!$P$8-1),0),0),0)</ns0:f>
        <ns0:v/>
      </ns0:c>
      <ns0:c r="I1702">
        <ns0:f>IF($H1702=0,0,IFERROR(IF(AND(ABS($C1702-INDEX('AH History'!$B$1:$B$18046,$H1702))&lt;=MAX(0.005,ABS(INDEX('AH History'!$B$1:$B$18046,$H1702))*0.00005),ABS($D1702-INDEX('AH History'!$C$1:$C$18046,$H1702))&lt;=MAX(0.005,ABS(INDEX('AH History'!$C$1:$C$18046,$H1702))*0.00005),ABS($E1702-INDEX('AH History'!$D$1:$D$18046,$H1702))&lt;=0.00005,$F1702=INDEX('AH History'!$E$1:$E$18046,$H1702),$G1702=INDEX('AH History'!$F$1:$F$18046,$H1702)),1,-1),-1))</ns0:f>
        <ns0:v/>
      </ns0:c>
    </ns0:row>
    <ns0:row r="1703">
      <ns0:c r="A1703" s="215">
        <ns0:f>IF(OR(AH!$P$3=0,1698+1&gt;AH!$P$11,AND(AH!$E$4&lt;&gt;"Stored",AH!$P$10&lt;&gt;1)),"",IFERROR(IF(AND(AH!$P$21=1,1698+1=AH!$P$11),TODAY(),IF(AH!$P$10=1,INDEX('Live History'!$A$5:$A$3004,AH!$P$13+1698),INDEX('AH History'!$A$1:$A$18046,AH!$P$7+1698))),""))</ns0:f>
        <ns0:v/>
      </ns0:c>
      <ns0:c r="B1703" s="219">
        <ns0:f>IFERROR(IF(AND(AH!$P$9&lt;&gt;1,$C1703&gt;0,$D1703&gt;0,$E1703&gt;0,$F1703&gt;0,$G1703&gt;0,$F1703&lt;=$A1703,$G1703&lt;=$A1703,$A1703-$F1703&lt;=10,$A1703-$G1703&lt;=5),$D1703*$E1703/$C1703-1,NA()),NA())</ns0:f>
        <ns0:v/>
      </ns0:c>
      <ns0:c r="C1703">
        <ns0:f>IFERROR(IF(ISNUMBER($A1703),IF(AND(AH!$P$10=1,AH!$P$12=1,$A1703=TODAY()),AH!$P$19,IF(AH!$P$10=1,INDEX('Live History'!$B$5:$B$3004,AH!$P$13+1698),INDEX('AH History'!$B$1:$B$18046,AH!$P$7+1698))),NA()),NA())</ns0:f>
        <ns0:v/>
      </ns0:c>
      <ns0:c r="D1703">
        <ns0:f>IFERROR(IF(ISNUMBER($A1703),IF(AND(AH!$P$10=1,AH!$P$12=1,$A1703=TODAY()),AH!$P$18,IF(AH!$P$10=1,INDEX('Live History'!$E$5:$E$3004,MATCH($A1703,'Live History'!$D$5:$D$3004,1)),INDEX('AH History'!$C$1:$C$18046,AH!$P$7+1698))),NA()),NA())</ns0:f>
        <ns0:v/>
      </ns0:c>
      <ns0:c r="E1703">
        <ns0:f>IFERROR(IF(ISNUMBER($A1703),IF(AND(AH!$P$10=1,AH!$P$12=1,$A1703=TODAY()),AH!$P$20,IF(AH!$P$10=1,INDEX('Live History'!$H$5:$H$3004,MATCH($A1703,'Live History'!$G$5:$G$3004,1)),INDEX('AH History'!$D$1:$D$18046,AH!$P$7+1698))),NA()),NA())</ns0:f>
        <ns0:v/>
      </ns0:c>
      <ns0:c r="F1703">
        <ns0:f>IFERROR(IF(ISNUMBER($A1703),IF(AND(AH!$P$10=1,AH!$P$12=1,$A1703=TODAY()),IF(AND(AH!$P$10=1,AH!$P$12=1,$A1703=TODAY()),TODAY(),NA()),IF(AH!$P$10=1,INDEX('Live History'!$D$5:$D$3004,MATCH($A1703,'Live History'!$D$5:$D$3004,1)),INDEX('AH History'!$E$1:$E$18046,AH!$P$7+1698))),NA()),NA())</ns0:f>
        <ns0:v/>
      </ns0:c>
      <ns0:c r="G1703">
        <ns0:f>IFERROR(IF(ISNUMBER($A1703),IF(AND(AH!$P$10=1,AH!$P$12=1,$A1703=TODAY()),IF(AND(AH!$P$10=1,AH!$P$12=1,$A1703=TODAY()),TODAY(),NA()),IF(AH!$P$10=1,INDEX('Live History'!$G$5:$G$3004,MATCH($A1703,'Live History'!$G$5:$G$3004,1)),INDEX('AH History'!$F$1:$F$18046,AH!$P$7+1698))),NA()),NA())</ns0:f>
        <ns0:v/>
      </ns0:c>
      <ns0:c r="H1703">
        <ns0:f>IFERROR(IF(AND(AH!$E$4="Bloomberg",AH!$P$10=1,ISNUMBER($A1703),$A1703&lt;=AH!$P$17),AH!$P$7-1+MATCH($A1703,INDEX('AH History'!$A$1:$A$18046,AH!$P$7):INDEX('AH History'!$A$1:$A$18046,AH!$P$7+AH!$P$8-1),0),0),0)</ns0:f>
        <ns0:v/>
      </ns0:c>
      <ns0:c r="I1703">
        <ns0:f>IF($H1703=0,0,IFERROR(IF(AND(ABS($C1703-INDEX('AH History'!$B$1:$B$18046,$H1703))&lt;=MAX(0.005,ABS(INDEX('AH History'!$B$1:$B$18046,$H1703))*0.00005),ABS($D1703-INDEX('AH History'!$C$1:$C$18046,$H1703))&lt;=MAX(0.005,ABS(INDEX('AH History'!$C$1:$C$18046,$H1703))*0.00005),ABS($E1703-INDEX('AH History'!$D$1:$D$18046,$H1703))&lt;=0.00005,$F1703=INDEX('AH History'!$E$1:$E$18046,$H1703),$G1703=INDEX('AH History'!$F$1:$F$18046,$H1703)),1,-1),-1))</ns0:f>
        <ns0:v/>
      </ns0:c>
    </ns0:row>
    <ns0:row r="1704">
      <ns0:c r="A1704" s="215">
        <ns0:f>IF(OR(AH!$P$3=0,1699+1&gt;AH!$P$11,AND(AH!$E$4&lt;&gt;"Stored",AH!$P$10&lt;&gt;1)),"",IFERROR(IF(AND(AH!$P$21=1,1699+1=AH!$P$11),TODAY(),IF(AH!$P$10=1,INDEX('Live History'!$A$5:$A$3004,AH!$P$13+1699),INDEX('AH History'!$A$1:$A$18046,AH!$P$7+1699))),""))</ns0:f>
        <ns0:v/>
      </ns0:c>
      <ns0:c r="B1704" s="219">
        <ns0:f>IFERROR(IF(AND(AH!$P$9&lt;&gt;1,$C1704&gt;0,$D1704&gt;0,$E1704&gt;0,$F1704&gt;0,$G1704&gt;0,$F1704&lt;=$A1704,$G1704&lt;=$A1704,$A1704-$F1704&lt;=10,$A1704-$G1704&lt;=5),$D1704*$E1704/$C1704-1,NA()),NA())</ns0:f>
        <ns0:v/>
      </ns0:c>
      <ns0:c r="C1704">
        <ns0:f>IFERROR(IF(ISNUMBER($A1704),IF(AND(AH!$P$10=1,AH!$P$12=1,$A1704=TODAY()),AH!$P$19,IF(AH!$P$10=1,INDEX('Live History'!$B$5:$B$3004,AH!$P$13+1699),INDEX('AH History'!$B$1:$B$18046,AH!$P$7+1699))),NA()),NA())</ns0:f>
        <ns0:v/>
      </ns0:c>
      <ns0:c r="D1704">
        <ns0:f>IFERROR(IF(ISNUMBER($A1704),IF(AND(AH!$P$10=1,AH!$P$12=1,$A1704=TODAY()),AH!$P$18,IF(AH!$P$10=1,INDEX('Live History'!$E$5:$E$3004,MATCH($A1704,'Live History'!$D$5:$D$3004,1)),INDEX('AH History'!$C$1:$C$18046,AH!$P$7+1699))),NA()),NA())</ns0:f>
        <ns0:v/>
      </ns0:c>
      <ns0:c r="E1704">
        <ns0:f>IFERROR(IF(ISNUMBER($A1704),IF(AND(AH!$P$10=1,AH!$P$12=1,$A1704=TODAY()),AH!$P$20,IF(AH!$P$10=1,INDEX('Live History'!$H$5:$H$3004,MATCH($A1704,'Live History'!$G$5:$G$3004,1)),INDEX('AH History'!$D$1:$D$18046,AH!$P$7+1699))),NA()),NA())</ns0:f>
        <ns0:v/>
      </ns0:c>
      <ns0:c r="F1704">
        <ns0:f>IFERROR(IF(ISNUMBER($A1704),IF(AND(AH!$P$10=1,AH!$P$12=1,$A1704=TODAY()),IF(AND(AH!$P$10=1,AH!$P$12=1,$A1704=TODAY()),TODAY(),NA()),IF(AH!$P$10=1,INDEX('Live History'!$D$5:$D$3004,MATCH($A1704,'Live History'!$D$5:$D$3004,1)),INDEX('AH History'!$E$1:$E$18046,AH!$P$7+1699))),NA()),NA())</ns0:f>
        <ns0:v/>
      </ns0:c>
      <ns0:c r="G1704">
        <ns0:f>IFERROR(IF(ISNUMBER($A1704),IF(AND(AH!$P$10=1,AH!$P$12=1,$A1704=TODAY()),IF(AND(AH!$P$10=1,AH!$P$12=1,$A1704=TODAY()),TODAY(),NA()),IF(AH!$P$10=1,INDEX('Live History'!$G$5:$G$3004,MATCH($A1704,'Live History'!$G$5:$G$3004,1)),INDEX('AH History'!$F$1:$F$18046,AH!$P$7+1699))),NA()),NA())</ns0:f>
        <ns0:v/>
      </ns0:c>
      <ns0:c r="H1704">
        <ns0:f>IFERROR(IF(AND(AH!$E$4="Bloomberg",AH!$P$10=1,ISNUMBER($A1704),$A1704&lt;=AH!$P$17),AH!$P$7-1+MATCH($A1704,INDEX('AH History'!$A$1:$A$18046,AH!$P$7):INDEX('AH History'!$A$1:$A$18046,AH!$P$7+AH!$P$8-1),0),0),0)</ns0:f>
        <ns0:v/>
      </ns0:c>
      <ns0:c r="I1704">
        <ns0:f>IF($H1704=0,0,IFERROR(IF(AND(ABS($C1704-INDEX('AH History'!$B$1:$B$18046,$H1704))&lt;=MAX(0.005,ABS(INDEX('AH History'!$B$1:$B$18046,$H1704))*0.00005),ABS($D1704-INDEX('AH History'!$C$1:$C$18046,$H1704))&lt;=MAX(0.005,ABS(INDEX('AH History'!$C$1:$C$18046,$H1704))*0.00005),ABS($E1704-INDEX('AH History'!$D$1:$D$18046,$H1704))&lt;=0.00005,$F1704=INDEX('AH History'!$E$1:$E$18046,$H1704),$G1704=INDEX('AH History'!$F$1:$F$18046,$H1704)),1,-1),-1))</ns0:f>
        <ns0:v/>
      </ns0:c>
    </ns0:row>
    <ns0:row r="1705">
      <ns0:c r="A1705" s="215">
        <ns0:f>IF(OR(AH!$P$3=0,1700+1&gt;AH!$P$11,AND(AH!$E$4&lt;&gt;"Stored",AH!$P$10&lt;&gt;1)),"",IFERROR(IF(AND(AH!$P$21=1,1700+1=AH!$P$11),TODAY(),IF(AH!$P$10=1,INDEX('Live History'!$A$5:$A$3004,AH!$P$13+1700),INDEX('AH History'!$A$1:$A$18046,AH!$P$7+1700))),""))</ns0:f>
        <ns0:v/>
      </ns0:c>
      <ns0:c r="B1705" s="219">
        <ns0:f>IFERROR(IF(AND(AH!$P$9&lt;&gt;1,$C1705&gt;0,$D1705&gt;0,$E1705&gt;0,$F1705&gt;0,$G1705&gt;0,$F1705&lt;=$A1705,$G1705&lt;=$A1705,$A1705-$F1705&lt;=10,$A1705-$G1705&lt;=5),$D1705*$E1705/$C1705-1,NA()),NA())</ns0:f>
        <ns0:v/>
      </ns0:c>
      <ns0:c r="C1705">
        <ns0:f>IFERROR(IF(ISNUMBER($A1705),IF(AND(AH!$P$10=1,AH!$P$12=1,$A1705=TODAY()),AH!$P$19,IF(AH!$P$10=1,INDEX('Live History'!$B$5:$B$3004,AH!$P$13+1700),INDEX('AH History'!$B$1:$B$18046,AH!$P$7+1700))),NA()),NA())</ns0:f>
        <ns0:v/>
      </ns0:c>
      <ns0:c r="D1705">
        <ns0:f>IFERROR(IF(ISNUMBER($A1705),IF(AND(AH!$P$10=1,AH!$P$12=1,$A1705=TODAY()),AH!$P$18,IF(AH!$P$10=1,INDEX('Live History'!$E$5:$E$3004,MATCH($A1705,'Live History'!$D$5:$D$3004,1)),INDEX('AH History'!$C$1:$C$18046,AH!$P$7+1700))),NA()),NA())</ns0:f>
        <ns0:v/>
      </ns0:c>
      <ns0:c r="E1705">
        <ns0:f>IFERROR(IF(ISNUMBER($A1705),IF(AND(AH!$P$10=1,AH!$P$12=1,$A1705=TODAY()),AH!$P$20,IF(AH!$P$10=1,INDEX('Live History'!$H$5:$H$3004,MATCH($A1705,'Live History'!$G$5:$G$3004,1)),INDEX('AH History'!$D$1:$D$18046,AH!$P$7+1700))),NA()),NA())</ns0:f>
        <ns0:v/>
      </ns0:c>
      <ns0:c r="F1705">
        <ns0:f>IFERROR(IF(ISNUMBER($A1705),IF(AND(AH!$P$10=1,AH!$P$12=1,$A1705=TODAY()),IF(AND(AH!$P$10=1,AH!$P$12=1,$A1705=TODAY()),TODAY(),NA()),IF(AH!$P$10=1,INDEX('Live History'!$D$5:$D$3004,MATCH($A1705,'Live History'!$D$5:$D$3004,1)),INDEX('AH History'!$E$1:$E$18046,AH!$P$7+1700))),NA()),NA())</ns0:f>
        <ns0:v/>
      </ns0:c>
      <ns0:c r="G1705">
        <ns0:f>IFERROR(IF(ISNUMBER($A1705),IF(AND(AH!$P$10=1,AH!$P$12=1,$A1705=TODAY()),IF(AND(AH!$P$10=1,AH!$P$12=1,$A1705=TODAY()),TODAY(),NA()),IF(AH!$P$10=1,INDEX('Live History'!$G$5:$G$3004,MATCH($A1705,'Live History'!$G$5:$G$3004,1)),INDEX('AH History'!$F$1:$F$18046,AH!$P$7+1700))),NA()),NA())</ns0:f>
        <ns0:v/>
      </ns0:c>
      <ns0:c r="H1705">
        <ns0:f>IFERROR(IF(AND(AH!$E$4="Bloomberg",AH!$P$10=1,ISNUMBER($A1705),$A1705&lt;=AH!$P$17),AH!$P$7-1+MATCH($A1705,INDEX('AH History'!$A$1:$A$18046,AH!$P$7):INDEX('AH History'!$A$1:$A$18046,AH!$P$7+AH!$P$8-1),0),0),0)</ns0:f>
        <ns0:v/>
      </ns0:c>
      <ns0:c r="I1705">
        <ns0:f>IF($H1705=0,0,IFERROR(IF(AND(ABS($C1705-INDEX('AH History'!$B$1:$B$18046,$H1705))&lt;=MAX(0.005,ABS(INDEX('AH History'!$B$1:$B$18046,$H1705))*0.00005),ABS($D1705-INDEX('AH History'!$C$1:$C$18046,$H1705))&lt;=MAX(0.005,ABS(INDEX('AH History'!$C$1:$C$18046,$H1705))*0.00005),ABS($E1705-INDEX('AH History'!$D$1:$D$18046,$H1705))&lt;=0.00005,$F1705=INDEX('AH History'!$E$1:$E$18046,$H1705),$G1705=INDEX('AH History'!$F$1:$F$18046,$H1705)),1,-1),-1))</ns0:f>
        <ns0:v/>
      </ns0:c>
    </ns0:row>
    <ns0:row r="1706">
      <ns0:c r="A1706" s="215">
        <ns0:f>IF(OR(AH!$P$3=0,1701+1&gt;AH!$P$11,AND(AH!$E$4&lt;&gt;"Stored",AH!$P$10&lt;&gt;1)),"",IFERROR(IF(AND(AH!$P$21=1,1701+1=AH!$P$11),TODAY(),IF(AH!$P$10=1,INDEX('Live History'!$A$5:$A$3004,AH!$P$13+1701),INDEX('AH History'!$A$1:$A$18046,AH!$P$7+1701))),""))</ns0:f>
        <ns0:v/>
      </ns0:c>
      <ns0:c r="B1706" s="219">
        <ns0:f>IFERROR(IF(AND(AH!$P$9&lt;&gt;1,$C1706&gt;0,$D1706&gt;0,$E1706&gt;0,$F1706&gt;0,$G1706&gt;0,$F1706&lt;=$A1706,$G1706&lt;=$A1706,$A1706-$F1706&lt;=10,$A1706-$G1706&lt;=5),$D1706*$E1706/$C1706-1,NA()),NA())</ns0:f>
        <ns0:v/>
      </ns0:c>
      <ns0:c r="C1706">
        <ns0:f>IFERROR(IF(ISNUMBER($A1706),IF(AND(AH!$P$10=1,AH!$P$12=1,$A1706=TODAY()),AH!$P$19,IF(AH!$P$10=1,INDEX('Live History'!$B$5:$B$3004,AH!$P$13+1701),INDEX('AH History'!$B$1:$B$18046,AH!$P$7+1701))),NA()),NA())</ns0:f>
        <ns0:v/>
      </ns0:c>
      <ns0:c r="D1706">
        <ns0:f>IFERROR(IF(ISNUMBER($A1706),IF(AND(AH!$P$10=1,AH!$P$12=1,$A1706=TODAY()),AH!$P$18,IF(AH!$P$10=1,INDEX('Live History'!$E$5:$E$3004,MATCH($A1706,'Live History'!$D$5:$D$3004,1)),INDEX('AH History'!$C$1:$C$18046,AH!$P$7+1701))),NA()),NA())</ns0:f>
        <ns0:v/>
      </ns0:c>
      <ns0:c r="E1706">
        <ns0:f>IFERROR(IF(ISNUMBER($A1706),IF(AND(AH!$P$10=1,AH!$P$12=1,$A1706=TODAY()),AH!$P$20,IF(AH!$P$10=1,INDEX('Live History'!$H$5:$H$3004,MATCH($A1706,'Live History'!$G$5:$G$3004,1)),INDEX('AH History'!$D$1:$D$18046,AH!$P$7+1701))),NA()),NA())</ns0:f>
        <ns0:v/>
      </ns0:c>
      <ns0:c r="F1706">
        <ns0:f>IFERROR(IF(ISNUMBER($A1706),IF(AND(AH!$P$10=1,AH!$P$12=1,$A1706=TODAY()),IF(AND(AH!$P$10=1,AH!$P$12=1,$A1706=TODAY()),TODAY(),NA()),IF(AH!$P$10=1,INDEX('Live History'!$D$5:$D$3004,MATCH($A1706,'Live History'!$D$5:$D$3004,1)),INDEX('AH History'!$E$1:$E$18046,AH!$P$7+1701))),NA()),NA())</ns0:f>
        <ns0:v/>
      </ns0:c>
      <ns0:c r="G1706">
        <ns0:f>IFERROR(IF(ISNUMBER($A1706),IF(AND(AH!$P$10=1,AH!$P$12=1,$A1706=TODAY()),IF(AND(AH!$P$10=1,AH!$P$12=1,$A1706=TODAY()),TODAY(),NA()),IF(AH!$P$10=1,INDEX('Live History'!$G$5:$G$3004,MATCH($A1706,'Live History'!$G$5:$G$3004,1)),INDEX('AH History'!$F$1:$F$18046,AH!$P$7+1701))),NA()),NA())</ns0:f>
        <ns0:v/>
      </ns0:c>
      <ns0:c r="H1706">
        <ns0:f>IFERROR(IF(AND(AH!$E$4="Bloomberg",AH!$P$10=1,ISNUMBER($A1706),$A1706&lt;=AH!$P$17),AH!$P$7-1+MATCH($A1706,INDEX('AH History'!$A$1:$A$18046,AH!$P$7):INDEX('AH History'!$A$1:$A$18046,AH!$P$7+AH!$P$8-1),0),0),0)</ns0:f>
        <ns0:v/>
      </ns0:c>
      <ns0:c r="I1706">
        <ns0:f>IF($H1706=0,0,IFERROR(IF(AND(ABS($C1706-INDEX('AH History'!$B$1:$B$18046,$H1706))&lt;=MAX(0.005,ABS(INDEX('AH History'!$B$1:$B$18046,$H1706))*0.00005),ABS($D1706-INDEX('AH History'!$C$1:$C$18046,$H1706))&lt;=MAX(0.005,ABS(INDEX('AH History'!$C$1:$C$18046,$H1706))*0.00005),ABS($E1706-INDEX('AH History'!$D$1:$D$18046,$H1706))&lt;=0.00005,$F1706=INDEX('AH History'!$E$1:$E$18046,$H1706),$G1706=INDEX('AH History'!$F$1:$F$18046,$H1706)),1,-1),-1))</ns0:f>
        <ns0:v/>
      </ns0:c>
    </ns0:row>
    <ns0:row r="1707">
      <ns0:c r="A1707" s="215">
        <ns0:f>IF(OR(AH!$P$3=0,1702+1&gt;AH!$P$11,AND(AH!$E$4&lt;&gt;"Stored",AH!$P$10&lt;&gt;1)),"",IFERROR(IF(AND(AH!$P$21=1,1702+1=AH!$P$11),TODAY(),IF(AH!$P$10=1,INDEX('Live History'!$A$5:$A$3004,AH!$P$13+1702),INDEX('AH History'!$A$1:$A$18046,AH!$P$7+1702))),""))</ns0:f>
        <ns0:v/>
      </ns0:c>
      <ns0:c r="B1707" s="219">
        <ns0:f>IFERROR(IF(AND(AH!$P$9&lt;&gt;1,$C1707&gt;0,$D1707&gt;0,$E1707&gt;0,$F1707&gt;0,$G1707&gt;0,$F1707&lt;=$A1707,$G1707&lt;=$A1707,$A1707-$F1707&lt;=10,$A1707-$G1707&lt;=5),$D1707*$E1707/$C1707-1,NA()),NA())</ns0:f>
        <ns0:v/>
      </ns0:c>
      <ns0:c r="C1707">
        <ns0:f>IFERROR(IF(ISNUMBER($A1707),IF(AND(AH!$P$10=1,AH!$P$12=1,$A1707=TODAY()),AH!$P$19,IF(AH!$P$10=1,INDEX('Live History'!$B$5:$B$3004,AH!$P$13+1702),INDEX('AH History'!$B$1:$B$18046,AH!$P$7+1702))),NA()),NA())</ns0:f>
        <ns0:v/>
      </ns0:c>
      <ns0:c r="D1707">
        <ns0:f>IFERROR(IF(ISNUMBER($A1707),IF(AND(AH!$P$10=1,AH!$P$12=1,$A1707=TODAY()),AH!$P$18,IF(AH!$P$10=1,INDEX('Live History'!$E$5:$E$3004,MATCH($A1707,'Live History'!$D$5:$D$3004,1)),INDEX('AH History'!$C$1:$C$18046,AH!$P$7+1702))),NA()),NA())</ns0:f>
        <ns0:v/>
      </ns0:c>
      <ns0:c r="E1707">
        <ns0:f>IFERROR(IF(ISNUMBER($A1707),IF(AND(AH!$P$10=1,AH!$P$12=1,$A1707=TODAY()),AH!$P$20,IF(AH!$P$10=1,INDEX('Live History'!$H$5:$H$3004,MATCH($A1707,'Live History'!$G$5:$G$3004,1)),INDEX('AH History'!$D$1:$D$18046,AH!$P$7+1702))),NA()),NA())</ns0:f>
        <ns0:v/>
      </ns0:c>
      <ns0:c r="F1707">
        <ns0:f>IFERROR(IF(ISNUMBER($A1707),IF(AND(AH!$P$10=1,AH!$P$12=1,$A1707=TODAY()),IF(AND(AH!$P$10=1,AH!$P$12=1,$A1707=TODAY()),TODAY(),NA()),IF(AH!$P$10=1,INDEX('Live History'!$D$5:$D$3004,MATCH($A1707,'Live History'!$D$5:$D$3004,1)),INDEX('AH History'!$E$1:$E$18046,AH!$P$7+1702))),NA()),NA())</ns0:f>
        <ns0:v/>
      </ns0:c>
      <ns0:c r="G1707">
        <ns0:f>IFERROR(IF(ISNUMBER($A1707),IF(AND(AH!$P$10=1,AH!$P$12=1,$A1707=TODAY()),IF(AND(AH!$P$10=1,AH!$P$12=1,$A1707=TODAY()),TODAY(),NA()),IF(AH!$P$10=1,INDEX('Live History'!$G$5:$G$3004,MATCH($A1707,'Live History'!$G$5:$G$3004,1)),INDEX('AH History'!$F$1:$F$18046,AH!$P$7+1702))),NA()),NA())</ns0:f>
        <ns0:v/>
      </ns0:c>
      <ns0:c r="H1707">
        <ns0:f>IFERROR(IF(AND(AH!$E$4="Bloomberg",AH!$P$10=1,ISNUMBER($A1707),$A1707&lt;=AH!$P$17),AH!$P$7-1+MATCH($A1707,INDEX('AH History'!$A$1:$A$18046,AH!$P$7):INDEX('AH History'!$A$1:$A$18046,AH!$P$7+AH!$P$8-1),0),0),0)</ns0:f>
        <ns0:v/>
      </ns0:c>
      <ns0:c r="I1707">
        <ns0:f>IF($H1707=0,0,IFERROR(IF(AND(ABS($C1707-INDEX('AH History'!$B$1:$B$18046,$H1707))&lt;=MAX(0.005,ABS(INDEX('AH History'!$B$1:$B$18046,$H1707))*0.00005),ABS($D1707-INDEX('AH History'!$C$1:$C$18046,$H1707))&lt;=MAX(0.005,ABS(INDEX('AH History'!$C$1:$C$18046,$H1707))*0.00005),ABS($E1707-INDEX('AH History'!$D$1:$D$18046,$H1707))&lt;=0.00005,$F1707=INDEX('AH History'!$E$1:$E$18046,$H1707),$G1707=INDEX('AH History'!$F$1:$F$18046,$H1707)),1,-1),-1))</ns0:f>
        <ns0:v/>
      </ns0:c>
    </ns0:row>
    <ns0:row r="1708">
      <ns0:c r="A1708" s="215">
        <ns0:f>IF(OR(AH!$P$3=0,1703+1&gt;AH!$P$11,AND(AH!$E$4&lt;&gt;"Stored",AH!$P$10&lt;&gt;1)),"",IFERROR(IF(AND(AH!$P$21=1,1703+1=AH!$P$11),TODAY(),IF(AH!$P$10=1,INDEX('Live History'!$A$5:$A$3004,AH!$P$13+1703),INDEX('AH History'!$A$1:$A$18046,AH!$P$7+1703))),""))</ns0:f>
        <ns0:v/>
      </ns0:c>
      <ns0:c r="B1708" s="219">
        <ns0:f>IFERROR(IF(AND(AH!$P$9&lt;&gt;1,$C1708&gt;0,$D1708&gt;0,$E1708&gt;0,$F1708&gt;0,$G1708&gt;0,$F1708&lt;=$A1708,$G1708&lt;=$A1708,$A1708-$F1708&lt;=10,$A1708-$G1708&lt;=5),$D1708*$E1708/$C1708-1,NA()),NA())</ns0:f>
        <ns0:v/>
      </ns0:c>
      <ns0:c r="C1708">
        <ns0:f>IFERROR(IF(ISNUMBER($A1708),IF(AND(AH!$P$10=1,AH!$P$12=1,$A1708=TODAY()),AH!$P$19,IF(AH!$P$10=1,INDEX('Live History'!$B$5:$B$3004,AH!$P$13+1703),INDEX('AH History'!$B$1:$B$18046,AH!$P$7+1703))),NA()),NA())</ns0:f>
        <ns0:v/>
      </ns0:c>
      <ns0:c r="D1708">
        <ns0:f>IFERROR(IF(ISNUMBER($A1708),IF(AND(AH!$P$10=1,AH!$P$12=1,$A1708=TODAY()),AH!$P$18,IF(AH!$P$10=1,INDEX('Live History'!$E$5:$E$3004,MATCH($A1708,'Live History'!$D$5:$D$3004,1)),INDEX('AH History'!$C$1:$C$18046,AH!$P$7+1703))),NA()),NA())</ns0:f>
        <ns0:v/>
      </ns0:c>
      <ns0:c r="E1708">
        <ns0:f>IFERROR(IF(ISNUMBER($A1708),IF(AND(AH!$P$10=1,AH!$P$12=1,$A1708=TODAY()),AH!$P$20,IF(AH!$P$10=1,INDEX('Live History'!$H$5:$H$3004,MATCH($A1708,'Live History'!$G$5:$G$3004,1)),INDEX('AH History'!$D$1:$D$18046,AH!$P$7+1703))),NA()),NA())</ns0:f>
        <ns0:v/>
      </ns0:c>
      <ns0:c r="F1708">
        <ns0:f>IFERROR(IF(ISNUMBER($A1708),IF(AND(AH!$P$10=1,AH!$P$12=1,$A1708=TODAY()),IF(AND(AH!$P$10=1,AH!$P$12=1,$A1708=TODAY()),TODAY(),NA()),IF(AH!$P$10=1,INDEX('Live History'!$D$5:$D$3004,MATCH($A1708,'Live History'!$D$5:$D$3004,1)),INDEX('AH History'!$E$1:$E$18046,AH!$P$7+1703))),NA()),NA())</ns0:f>
        <ns0:v/>
      </ns0:c>
      <ns0:c r="G1708">
        <ns0:f>IFERROR(IF(ISNUMBER($A1708),IF(AND(AH!$P$10=1,AH!$P$12=1,$A1708=TODAY()),IF(AND(AH!$P$10=1,AH!$P$12=1,$A1708=TODAY()),TODAY(),NA()),IF(AH!$P$10=1,INDEX('Live History'!$G$5:$G$3004,MATCH($A1708,'Live History'!$G$5:$G$3004,1)),INDEX('AH History'!$F$1:$F$18046,AH!$P$7+1703))),NA()),NA())</ns0:f>
        <ns0:v/>
      </ns0:c>
      <ns0:c r="H1708">
        <ns0:f>IFERROR(IF(AND(AH!$E$4="Bloomberg",AH!$P$10=1,ISNUMBER($A1708),$A1708&lt;=AH!$P$17),AH!$P$7-1+MATCH($A1708,INDEX('AH History'!$A$1:$A$18046,AH!$P$7):INDEX('AH History'!$A$1:$A$18046,AH!$P$7+AH!$P$8-1),0),0),0)</ns0:f>
        <ns0:v/>
      </ns0:c>
      <ns0:c r="I1708">
        <ns0:f>IF($H1708=0,0,IFERROR(IF(AND(ABS($C1708-INDEX('AH History'!$B$1:$B$18046,$H1708))&lt;=MAX(0.005,ABS(INDEX('AH History'!$B$1:$B$18046,$H1708))*0.00005),ABS($D1708-INDEX('AH History'!$C$1:$C$18046,$H1708))&lt;=MAX(0.005,ABS(INDEX('AH History'!$C$1:$C$18046,$H1708))*0.00005),ABS($E1708-INDEX('AH History'!$D$1:$D$18046,$H1708))&lt;=0.00005,$F1708=INDEX('AH History'!$E$1:$E$18046,$H1708),$G1708=INDEX('AH History'!$F$1:$F$18046,$H1708)),1,-1),-1))</ns0:f>
        <ns0:v/>
      </ns0:c>
    </ns0:row>
    <ns0:row r="1709">
      <ns0:c r="A1709" s="215">
        <ns0:f>IF(OR(AH!$P$3=0,1704+1&gt;AH!$P$11,AND(AH!$E$4&lt;&gt;"Stored",AH!$P$10&lt;&gt;1)),"",IFERROR(IF(AND(AH!$P$21=1,1704+1=AH!$P$11),TODAY(),IF(AH!$P$10=1,INDEX('Live History'!$A$5:$A$3004,AH!$P$13+1704),INDEX('AH History'!$A$1:$A$18046,AH!$P$7+1704))),""))</ns0:f>
        <ns0:v/>
      </ns0:c>
      <ns0:c r="B1709" s="219">
        <ns0:f>IFERROR(IF(AND(AH!$P$9&lt;&gt;1,$C1709&gt;0,$D1709&gt;0,$E1709&gt;0,$F1709&gt;0,$G1709&gt;0,$F1709&lt;=$A1709,$G1709&lt;=$A1709,$A1709-$F1709&lt;=10,$A1709-$G1709&lt;=5),$D1709*$E1709/$C1709-1,NA()),NA())</ns0:f>
        <ns0:v/>
      </ns0:c>
      <ns0:c r="C1709">
        <ns0:f>IFERROR(IF(ISNUMBER($A1709),IF(AND(AH!$P$10=1,AH!$P$12=1,$A1709=TODAY()),AH!$P$19,IF(AH!$P$10=1,INDEX('Live History'!$B$5:$B$3004,AH!$P$13+1704),INDEX('AH History'!$B$1:$B$18046,AH!$P$7+1704))),NA()),NA())</ns0:f>
        <ns0:v/>
      </ns0:c>
      <ns0:c r="D1709">
        <ns0:f>IFERROR(IF(ISNUMBER($A1709),IF(AND(AH!$P$10=1,AH!$P$12=1,$A1709=TODAY()),AH!$P$18,IF(AH!$P$10=1,INDEX('Live History'!$E$5:$E$3004,MATCH($A1709,'Live History'!$D$5:$D$3004,1)),INDEX('AH History'!$C$1:$C$18046,AH!$P$7+1704))),NA()),NA())</ns0:f>
        <ns0:v/>
      </ns0:c>
      <ns0:c r="E1709">
        <ns0:f>IFERROR(IF(ISNUMBER($A1709),IF(AND(AH!$P$10=1,AH!$P$12=1,$A1709=TODAY()),AH!$P$20,IF(AH!$P$10=1,INDEX('Live History'!$H$5:$H$3004,MATCH($A1709,'Live History'!$G$5:$G$3004,1)),INDEX('AH History'!$D$1:$D$18046,AH!$P$7+1704))),NA()),NA())</ns0:f>
        <ns0:v/>
      </ns0:c>
      <ns0:c r="F1709">
        <ns0:f>IFERROR(IF(ISNUMBER($A1709),IF(AND(AH!$P$10=1,AH!$P$12=1,$A1709=TODAY()),IF(AND(AH!$P$10=1,AH!$P$12=1,$A1709=TODAY()),TODAY(),NA()),IF(AH!$P$10=1,INDEX('Live History'!$D$5:$D$3004,MATCH($A1709,'Live History'!$D$5:$D$3004,1)),INDEX('AH History'!$E$1:$E$18046,AH!$P$7+1704))),NA()),NA())</ns0:f>
        <ns0:v/>
      </ns0:c>
      <ns0:c r="G1709">
        <ns0:f>IFERROR(IF(ISNUMBER($A1709),IF(AND(AH!$P$10=1,AH!$P$12=1,$A1709=TODAY()),IF(AND(AH!$P$10=1,AH!$P$12=1,$A1709=TODAY()),TODAY(),NA()),IF(AH!$P$10=1,INDEX('Live History'!$G$5:$G$3004,MATCH($A1709,'Live History'!$G$5:$G$3004,1)),INDEX('AH History'!$F$1:$F$18046,AH!$P$7+1704))),NA()),NA())</ns0:f>
        <ns0:v/>
      </ns0:c>
      <ns0:c r="H1709">
        <ns0:f>IFERROR(IF(AND(AH!$E$4="Bloomberg",AH!$P$10=1,ISNUMBER($A1709),$A1709&lt;=AH!$P$17),AH!$P$7-1+MATCH($A1709,INDEX('AH History'!$A$1:$A$18046,AH!$P$7):INDEX('AH History'!$A$1:$A$18046,AH!$P$7+AH!$P$8-1),0),0),0)</ns0:f>
        <ns0:v/>
      </ns0:c>
      <ns0:c r="I1709">
        <ns0:f>IF($H1709=0,0,IFERROR(IF(AND(ABS($C1709-INDEX('AH History'!$B$1:$B$18046,$H1709))&lt;=MAX(0.005,ABS(INDEX('AH History'!$B$1:$B$18046,$H1709))*0.00005),ABS($D1709-INDEX('AH History'!$C$1:$C$18046,$H1709))&lt;=MAX(0.005,ABS(INDEX('AH History'!$C$1:$C$18046,$H1709))*0.00005),ABS($E1709-INDEX('AH History'!$D$1:$D$18046,$H1709))&lt;=0.00005,$F1709=INDEX('AH History'!$E$1:$E$18046,$H1709),$G1709=INDEX('AH History'!$F$1:$F$18046,$H1709)),1,-1),-1))</ns0:f>
        <ns0:v/>
      </ns0:c>
    </ns0:row>
    <ns0:row r="1710">
      <ns0:c r="A1710" s="215">
        <ns0:f>IF(OR(AH!$P$3=0,1705+1&gt;AH!$P$11,AND(AH!$E$4&lt;&gt;"Stored",AH!$P$10&lt;&gt;1)),"",IFERROR(IF(AND(AH!$P$21=1,1705+1=AH!$P$11),TODAY(),IF(AH!$P$10=1,INDEX('Live History'!$A$5:$A$3004,AH!$P$13+1705),INDEX('AH History'!$A$1:$A$18046,AH!$P$7+1705))),""))</ns0:f>
        <ns0:v/>
      </ns0:c>
      <ns0:c r="B1710" s="219">
        <ns0:f>IFERROR(IF(AND(AH!$P$9&lt;&gt;1,$C1710&gt;0,$D1710&gt;0,$E1710&gt;0,$F1710&gt;0,$G1710&gt;0,$F1710&lt;=$A1710,$G1710&lt;=$A1710,$A1710-$F1710&lt;=10,$A1710-$G1710&lt;=5),$D1710*$E1710/$C1710-1,NA()),NA())</ns0:f>
        <ns0:v/>
      </ns0:c>
      <ns0:c r="C1710">
        <ns0:f>IFERROR(IF(ISNUMBER($A1710),IF(AND(AH!$P$10=1,AH!$P$12=1,$A1710=TODAY()),AH!$P$19,IF(AH!$P$10=1,INDEX('Live History'!$B$5:$B$3004,AH!$P$13+1705),INDEX('AH History'!$B$1:$B$18046,AH!$P$7+1705))),NA()),NA())</ns0:f>
        <ns0:v/>
      </ns0:c>
      <ns0:c r="D1710">
        <ns0:f>IFERROR(IF(ISNUMBER($A1710),IF(AND(AH!$P$10=1,AH!$P$12=1,$A1710=TODAY()),AH!$P$18,IF(AH!$P$10=1,INDEX('Live History'!$E$5:$E$3004,MATCH($A1710,'Live History'!$D$5:$D$3004,1)),INDEX('AH History'!$C$1:$C$18046,AH!$P$7+1705))),NA()),NA())</ns0:f>
        <ns0:v/>
      </ns0:c>
      <ns0:c r="E1710">
        <ns0:f>IFERROR(IF(ISNUMBER($A1710),IF(AND(AH!$P$10=1,AH!$P$12=1,$A1710=TODAY()),AH!$P$20,IF(AH!$P$10=1,INDEX('Live History'!$H$5:$H$3004,MATCH($A1710,'Live History'!$G$5:$G$3004,1)),INDEX('AH History'!$D$1:$D$18046,AH!$P$7+1705))),NA()),NA())</ns0:f>
        <ns0:v/>
      </ns0:c>
      <ns0:c r="F1710">
        <ns0:f>IFERROR(IF(ISNUMBER($A1710),IF(AND(AH!$P$10=1,AH!$P$12=1,$A1710=TODAY()),IF(AND(AH!$P$10=1,AH!$P$12=1,$A1710=TODAY()),TODAY(),NA()),IF(AH!$P$10=1,INDEX('Live History'!$D$5:$D$3004,MATCH($A1710,'Live History'!$D$5:$D$3004,1)),INDEX('AH History'!$E$1:$E$18046,AH!$P$7+1705))),NA()),NA())</ns0:f>
        <ns0:v/>
      </ns0:c>
      <ns0:c r="G1710">
        <ns0:f>IFERROR(IF(ISNUMBER($A1710),IF(AND(AH!$P$10=1,AH!$P$12=1,$A1710=TODAY()),IF(AND(AH!$P$10=1,AH!$P$12=1,$A1710=TODAY()),TODAY(),NA()),IF(AH!$P$10=1,INDEX('Live History'!$G$5:$G$3004,MATCH($A1710,'Live History'!$G$5:$G$3004,1)),INDEX('AH History'!$F$1:$F$18046,AH!$P$7+1705))),NA()),NA())</ns0:f>
        <ns0:v/>
      </ns0:c>
      <ns0:c r="H1710">
        <ns0:f>IFERROR(IF(AND(AH!$E$4="Bloomberg",AH!$P$10=1,ISNUMBER($A1710),$A1710&lt;=AH!$P$17),AH!$P$7-1+MATCH($A1710,INDEX('AH History'!$A$1:$A$18046,AH!$P$7):INDEX('AH History'!$A$1:$A$18046,AH!$P$7+AH!$P$8-1),0),0),0)</ns0:f>
        <ns0:v/>
      </ns0:c>
      <ns0:c r="I1710">
        <ns0:f>IF($H1710=0,0,IFERROR(IF(AND(ABS($C1710-INDEX('AH History'!$B$1:$B$18046,$H1710))&lt;=MAX(0.005,ABS(INDEX('AH History'!$B$1:$B$18046,$H1710))*0.00005),ABS($D1710-INDEX('AH History'!$C$1:$C$18046,$H1710))&lt;=MAX(0.005,ABS(INDEX('AH History'!$C$1:$C$18046,$H1710))*0.00005),ABS($E1710-INDEX('AH History'!$D$1:$D$18046,$H1710))&lt;=0.00005,$F1710=INDEX('AH History'!$E$1:$E$18046,$H1710),$G1710=INDEX('AH History'!$F$1:$F$18046,$H1710)),1,-1),-1))</ns0:f>
        <ns0:v/>
      </ns0:c>
    </ns0:row>
    <ns0:row r="1711">
      <ns0:c r="A1711" s="215">
        <ns0:f>IF(OR(AH!$P$3=0,1706+1&gt;AH!$P$11,AND(AH!$E$4&lt;&gt;"Stored",AH!$P$10&lt;&gt;1)),"",IFERROR(IF(AND(AH!$P$21=1,1706+1=AH!$P$11),TODAY(),IF(AH!$P$10=1,INDEX('Live History'!$A$5:$A$3004,AH!$P$13+1706),INDEX('AH History'!$A$1:$A$18046,AH!$P$7+1706))),""))</ns0:f>
        <ns0:v/>
      </ns0:c>
      <ns0:c r="B1711" s="219">
        <ns0:f>IFERROR(IF(AND(AH!$P$9&lt;&gt;1,$C1711&gt;0,$D1711&gt;0,$E1711&gt;0,$F1711&gt;0,$G1711&gt;0,$F1711&lt;=$A1711,$G1711&lt;=$A1711,$A1711-$F1711&lt;=10,$A1711-$G1711&lt;=5),$D1711*$E1711/$C1711-1,NA()),NA())</ns0:f>
        <ns0:v/>
      </ns0:c>
      <ns0:c r="C1711">
        <ns0:f>IFERROR(IF(ISNUMBER($A1711),IF(AND(AH!$P$10=1,AH!$P$12=1,$A1711=TODAY()),AH!$P$19,IF(AH!$P$10=1,INDEX('Live History'!$B$5:$B$3004,AH!$P$13+1706),INDEX('AH History'!$B$1:$B$18046,AH!$P$7+1706))),NA()),NA())</ns0:f>
        <ns0:v/>
      </ns0:c>
      <ns0:c r="D1711">
        <ns0:f>IFERROR(IF(ISNUMBER($A1711),IF(AND(AH!$P$10=1,AH!$P$12=1,$A1711=TODAY()),AH!$P$18,IF(AH!$P$10=1,INDEX('Live History'!$E$5:$E$3004,MATCH($A1711,'Live History'!$D$5:$D$3004,1)),INDEX('AH History'!$C$1:$C$18046,AH!$P$7+1706))),NA()),NA())</ns0:f>
        <ns0:v/>
      </ns0:c>
      <ns0:c r="E1711">
        <ns0:f>IFERROR(IF(ISNUMBER($A1711),IF(AND(AH!$P$10=1,AH!$P$12=1,$A1711=TODAY()),AH!$P$20,IF(AH!$P$10=1,INDEX('Live History'!$H$5:$H$3004,MATCH($A1711,'Live History'!$G$5:$G$3004,1)),INDEX('AH History'!$D$1:$D$18046,AH!$P$7+1706))),NA()),NA())</ns0:f>
        <ns0:v/>
      </ns0:c>
      <ns0:c r="F1711">
        <ns0:f>IFERROR(IF(ISNUMBER($A1711),IF(AND(AH!$P$10=1,AH!$P$12=1,$A1711=TODAY()),IF(AND(AH!$P$10=1,AH!$P$12=1,$A1711=TODAY()),TODAY(),NA()),IF(AH!$P$10=1,INDEX('Live History'!$D$5:$D$3004,MATCH($A1711,'Live History'!$D$5:$D$3004,1)),INDEX('AH History'!$E$1:$E$18046,AH!$P$7+1706))),NA()),NA())</ns0:f>
        <ns0:v/>
      </ns0:c>
      <ns0:c r="G1711">
        <ns0:f>IFERROR(IF(ISNUMBER($A1711),IF(AND(AH!$P$10=1,AH!$P$12=1,$A1711=TODAY()),IF(AND(AH!$P$10=1,AH!$P$12=1,$A1711=TODAY()),TODAY(),NA()),IF(AH!$P$10=1,INDEX('Live History'!$G$5:$G$3004,MATCH($A1711,'Live History'!$G$5:$G$3004,1)),INDEX('AH History'!$F$1:$F$18046,AH!$P$7+1706))),NA()),NA())</ns0:f>
        <ns0:v/>
      </ns0:c>
      <ns0:c r="H1711">
        <ns0:f>IFERROR(IF(AND(AH!$E$4="Bloomberg",AH!$P$10=1,ISNUMBER($A1711),$A1711&lt;=AH!$P$17),AH!$P$7-1+MATCH($A1711,INDEX('AH History'!$A$1:$A$18046,AH!$P$7):INDEX('AH History'!$A$1:$A$18046,AH!$P$7+AH!$P$8-1),0),0),0)</ns0:f>
        <ns0:v/>
      </ns0:c>
      <ns0:c r="I1711">
        <ns0:f>IF($H1711=0,0,IFERROR(IF(AND(ABS($C1711-INDEX('AH History'!$B$1:$B$18046,$H1711))&lt;=MAX(0.005,ABS(INDEX('AH History'!$B$1:$B$18046,$H1711))*0.00005),ABS($D1711-INDEX('AH History'!$C$1:$C$18046,$H1711))&lt;=MAX(0.005,ABS(INDEX('AH History'!$C$1:$C$18046,$H1711))*0.00005),ABS($E1711-INDEX('AH History'!$D$1:$D$18046,$H1711))&lt;=0.00005,$F1711=INDEX('AH History'!$E$1:$E$18046,$H1711),$G1711=INDEX('AH History'!$F$1:$F$18046,$H1711)),1,-1),-1))</ns0:f>
        <ns0:v/>
      </ns0:c>
    </ns0:row>
    <ns0:row r="1712">
      <ns0:c r="A1712" s="215">
        <ns0:f>IF(OR(AH!$P$3=0,1707+1&gt;AH!$P$11,AND(AH!$E$4&lt;&gt;"Stored",AH!$P$10&lt;&gt;1)),"",IFERROR(IF(AND(AH!$P$21=1,1707+1=AH!$P$11),TODAY(),IF(AH!$P$10=1,INDEX('Live History'!$A$5:$A$3004,AH!$P$13+1707),INDEX('AH History'!$A$1:$A$18046,AH!$P$7+1707))),""))</ns0:f>
        <ns0:v/>
      </ns0:c>
      <ns0:c r="B1712" s="219">
        <ns0:f>IFERROR(IF(AND(AH!$P$9&lt;&gt;1,$C1712&gt;0,$D1712&gt;0,$E1712&gt;0,$F1712&gt;0,$G1712&gt;0,$F1712&lt;=$A1712,$G1712&lt;=$A1712,$A1712-$F1712&lt;=10,$A1712-$G1712&lt;=5),$D1712*$E1712/$C1712-1,NA()),NA())</ns0:f>
        <ns0:v/>
      </ns0:c>
      <ns0:c r="C1712">
        <ns0:f>IFERROR(IF(ISNUMBER($A1712),IF(AND(AH!$P$10=1,AH!$P$12=1,$A1712=TODAY()),AH!$P$19,IF(AH!$P$10=1,INDEX('Live History'!$B$5:$B$3004,AH!$P$13+1707),INDEX('AH History'!$B$1:$B$18046,AH!$P$7+1707))),NA()),NA())</ns0:f>
        <ns0:v/>
      </ns0:c>
      <ns0:c r="D1712">
        <ns0:f>IFERROR(IF(ISNUMBER($A1712),IF(AND(AH!$P$10=1,AH!$P$12=1,$A1712=TODAY()),AH!$P$18,IF(AH!$P$10=1,INDEX('Live History'!$E$5:$E$3004,MATCH($A1712,'Live History'!$D$5:$D$3004,1)),INDEX('AH History'!$C$1:$C$18046,AH!$P$7+1707))),NA()),NA())</ns0:f>
        <ns0:v/>
      </ns0:c>
      <ns0:c r="E1712">
        <ns0:f>IFERROR(IF(ISNUMBER($A1712),IF(AND(AH!$P$10=1,AH!$P$12=1,$A1712=TODAY()),AH!$P$20,IF(AH!$P$10=1,INDEX('Live History'!$H$5:$H$3004,MATCH($A1712,'Live History'!$G$5:$G$3004,1)),INDEX('AH History'!$D$1:$D$18046,AH!$P$7+1707))),NA()),NA())</ns0:f>
        <ns0:v/>
      </ns0:c>
      <ns0:c r="F1712">
        <ns0:f>IFERROR(IF(ISNUMBER($A1712),IF(AND(AH!$P$10=1,AH!$P$12=1,$A1712=TODAY()),IF(AND(AH!$P$10=1,AH!$P$12=1,$A1712=TODAY()),TODAY(),NA()),IF(AH!$P$10=1,INDEX('Live History'!$D$5:$D$3004,MATCH($A1712,'Live History'!$D$5:$D$3004,1)),INDEX('AH History'!$E$1:$E$18046,AH!$P$7+1707))),NA()),NA())</ns0:f>
        <ns0:v/>
      </ns0:c>
      <ns0:c r="G1712">
        <ns0:f>IFERROR(IF(ISNUMBER($A1712),IF(AND(AH!$P$10=1,AH!$P$12=1,$A1712=TODAY()),IF(AND(AH!$P$10=1,AH!$P$12=1,$A1712=TODAY()),TODAY(),NA()),IF(AH!$P$10=1,INDEX('Live History'!$G$5:$G$3004,MATCH($A1712,'Live History'!$G$5:$G$3004,1)),INDEX('AH History'!$F$1:$F$18046,AH!$P$7+1707))),NA()),NA())</ns0:f>
        <ns0:v/>
      </ns0:c>
      <ns0:c r="H1712">
        <ns0:f>IFERROR(IF(AND(AH!$E$4="Bloomberg",AH!$P$10=1,ISNUMBER($A1712),$A1712&lt;=AH!$P$17),AH!$P$7-1+MATCH($A1712,INDEX('AH History'!$A$1:$A$18046,AH!$P$7):INDEX('AH History'!$A$1:$A$18046,AH!$P$7+AH!$P$8-1),0),0),0)</ns0:f>
        <ns0:v/>
      </ns0:c>
      <ns0:c r="I1712">
        <ns0:f>IF($H1712=0,0,IFERROR(IF(AND(ABS($C1712-INDEX('AH History'!$B$1:$B$18046,$H1712))&lt;=MAX(0.005,ABS(INDEX('AH History'!$B$1:$B$18046,$H1712))*0.00005),ABS($D1712-INDEX('AH History'!$C$1:$C$18046,$H1712))&lt;=MAX(0.005,ABS(INDEX('AH History'!$C$1:$C$18046,$H1712))*0.00005),ABS($E1712-INDEX('AH History'!$D$1:$D$18046,$H1712))&lt;=0.00005,$F1712=INDEX('AH History'!$E$1:$E$18046,$H1712),$G1712=INDEX('AH History'!$F$1:$F$18046,$H1712)),1,-1),-1))</ns0:f>
        <ns0:v/>
      </ns0:c>
    </ns0:row>
    <ns0:row r="1713">
      <ns0:c r="A1713" s="215">
        <ns0:f>IF(OR(AH!$P$3=0,1708+1&gt;AH!$P$11,AND(AH!$E$4&lt;&gt;"Stored",AH!$P$10&lt;&gt;1)),"",IFERROR(IF(AND(AH!$P$21=1,1708+1=AH!$P$11),TODAY(),IF(AH!$P$10=1,INDEX('Live History'!$A$5:$A$3004,AH!$P$13+1708),INDEX('AH History'!$A$1:$A$18046,AH!$P$7+1708))),""))</ns0:f>
        <ns0:v/>
      </ns0:c>
      <ns0:c r="B1713" s="219">
        <ns0:f>IFERROR(IF(AND(AH!$P$9&lt;&gt;1,$C1713&gt;0,$D1713&gt;0,$E1713&gt;0,$F1713&gt;0,$G1713&gt;0,$F1713&lt;=$A1713,$G1713&lt;=$A1713,$A1713-$F1713&lt;=10,$A1713-$G1713&lt;=5),$D1713*$E1713/$C1713-1,NA()),NA())</ns0:f>
        <ns0:v/>
      </ns0:c>
      <ns0:c r="C1713">
        <ns0:f>IFERROR(IF(ISNUMBER($A1713),IF(AND(AH!$P$10=1,AH!$P$12=1,$A1713=TODAY()),AH!$P$19,IF(AH!$P$10=1,INDEX('Live History'!$B$5:$B$3004,AH!$P$13+1708),INDEX('AH History'!$B$1:$B$18046,AH!$P$7+1708))),NA()),NA())</ns0:f>
        <ns0:v/>
      </ns0:c>
      <ns0:c r="D1713">
        <ns0:f>IFERROR(IF(ISNUMBER($A1713),IF(AND(AH!$P$10=1,AH!$P$12=1,$A1713=TODAY()),AH!$P$18,IF(AH!$P$10=1,INDEX('Live History'!$E$5:$E$3004,MATCH($A1713,'Live History'!$D$5:$D$3004,1)),INDEX('AH History'!$C$1:$C$18046,AH!$P$7+1708))),NA()),NA())</ns0:f>
        <ns0:v/>
      </ns0:c>
      <ns0:c r="E1713">
        <ns0:f>IFERROR(IF(ISNUMBER($A1713),IF(AND(AH!$P$10=1,AH!$P$12=1,$A1713=TODAY()),AH!$P$20,IF(AH!$P$10=1,INDEX('Live History'!$H$5:$H$3004,MATCH($A1713,'Live History'!$G$5:$G$3004,1)),INDEX('AH History'!$D$1:$D$18046,AH!$P$7+1708))),NA()),NA())</ns0:f>
        <ns0:v/>
      </ns0:c>
      <ns0:c r="F1713">
        <ns0:f>IFERROR(IF(ISNUMBER($A1713),IF(AND(AH!$P$10=1,AH!$P$12=1,$A1713=TODAY()),IF(AND(AH!$P$10=1,AH!$P$12=1,$A1713=TODAY()),TODAY(),NA()),IF(AH!$P$10=1,INDEX('Live History'!$D$5:$D$3004,MATCH($A1713,'Live History'!$D$5:$D$3004,1)),INDEX('AH History'!$E$1:$E$18046,AH!$P$7+1708))),NA()),NA())</ns0:f>
        <ns0:v/>
      </ns0:c>
      <ns0:c r="G1713">
        <ns0:f>IFERROR(IF(ISNUMBER($A1713),IF(AND(AH!$P$10=1,AH!$P$12=1,$A1713=TODAY()),IF(AND(AH!$P$10=1,AH!$P$12=1,$A1713=TODAY()),TODAY(),NA()),IF(AH!$P$10=1,INDEX('Live History'!$G$5:$G$3004,MATCH($A1713,'Live History'!$G$5:$G$3004,1)),INDEX('AH History'!$F$1:$F$18046,AH!$P$7+1708))),NA()),NA())</ns0:f>
        <ns0:v/>
      </ns0:c>
      <ns0:c r="H1713">
        <ns0:f>IFERROR(IF(AND(AH!$E$4="Bloomberg",AH!$P$10=1,ISNUMBER($A1713),$A1713&lt;=AH!$P$17),AH!$P$7-1+MATCH($A1713,INDEX('AH History'!$A$1:$A$18046,AH!$P$7):INDEX('AH History'!$A$1:$A$18046,AH!$P$7+AH!$P$8-1),0),0),0)</ns0:f>
        <ns0:v/>
      </ns0:c>
      <ns0:c r="I1713">
        <ns0:f>IF($H1713=0,0,IFERROR(IF(AND(ABS($C1713-INDEX('AH History'!$B$1:$B$18046,$H1713))&lt;=MAX(0.005,ABS(INDEX('AH History'!$B$1:$B$18046,$H1713))*0.00005),ABS($D1713-INDEX('AH History'!$C$1:$C$18046,$H1713))&lt;=MAX(0.005,ABS(INDEX('AH History'!$C$1:$C$18046,$H1713))*0.00005),ABS($E1713-INDEX('AH History'!$D$1:$D$18046,$H1713))&lt;=0.00005,$F1713=INDEX('AH History'!$E$1:$E$18046,$H1713),$G1713=INDEX('AH History'!$F$1:$F$18046,$H1713)),1,-1),-1))</ns0:f>
        <ns0:v/>
      </ns0:c>
    </ns0:row>
    <ns0:row r="1714">
      <ns0:c r="A1714" s="215">
        <ns0:f>IF(OR(AH!$P$3=0,1709+1&gt;AH!$P$11,AND(AH!$E$4&lt;&gt;"Stored",AH!$P$10&lt;&gt;1)),"",IFERROR(IF(AND(AH!$P$21=1,1709+1=AH!$P$11),TODAY(),IF(AH!$P$10=1,INDEX('Live History'!$A$5:$A$3004,AH!$P$13+1709),INDEX('AH History'!$A$1:$A$18046,AH!$P$7+1709))),""))</ns0:f>
        <ns0:v/>
      </ns0:c>
      <ns0:c r="B1714" s="219">
        <ns0:f>IFERROR(IF(AND(AH!$P$9&lt;&gt;1,$C1714&gt;0,$D1714&gt;0,$E1714&gt;0,$F1714&gt;0,$G1714&gt;0,$F1714&lt;=$A1714,$G1714&lt;=$A1714,$A1714-$F1714&lt;=10,$A1714-$G1714&lt;=5),$D1714*$E1714/$C1714-1,NA()),NA())</ns0:f>
        <ns0:v/>
      </ns0:c>
      <ns0:c r="C1714">
        <ns0:f>IFERROR(IF(ISNUMBER($A1714),IF(AND(AH!$P$10=1,AH!$P$12=1,$A1714=TODAY()),AH!$P$19,IF(AH!$P$10=1,INDEX('Live History'!$B$5:$B$3004,AH!$P$13+1709),INDEX('AH History'!$B$1:$B$18046,AH!$P$7+1709))),NA()),NA())</ns0:f>
        <ns0:v/>
      </ns0:c>
      <ns0:c r="D1714">
        <ns0:f>IFERROR(IF(ISNUMBER($A1714),IF(AND(AH!$P$10=1,AH!$P$12=1,$A1714=TODAY()),AH!$P$18,IF(AH!$P$10=1,INDEX('Live History'!$E$5:$E$3004,MATCH($A1714,'Live History'!$D$5:$D$3004,1)),INDEX('AH History'!$C$1:$C$18046,AH!$P$7+1709))),NA()),NA())</ns0:f>
        <ns0:v/>
      </ns0:c>
      <ns0:c r="E1714">
        <ns0:f>IFERROR(IF(ISNUMBER($A1714),IF(AND(AH!$P$10=1,AH!$P$12=1,$A1714=TODAY()),AH!$P$20,IF(AH!$P$10=1,INDEX('Live History'!$H$5:$H$3004,MATCH($A1714,'Live History'!$G$5:$G$3004,1)),INDEX('AH History'!$D$1:$D$18046,AH!$P$7+1709))),NA()),NA())</ns0:f>
        <ns0:v/>
      </ns0:c>
      <ns0:c r="F1714">
        <ns0:f>IFERROR(IF(ISNUMBER($A1714),IF(AND(AH!$P$10=1,AH!$P$12=1,$A1714=TODAY()),IF(AND(AH!$P$10=1,AH!$P$12=1,$A1714=TODAY()),TODAY(),NA()),IF(AH!$P$10=1,INDEX('Live History'!$D$5:$D$3004,MATCH($A1714,'Live History'!$D$5:$D$3004,1)),INDEX('AH History'!$E$1:$E$18046,AH!$P$7+1709))),NA()),NA())</ns0:f>
        <ns0:v/>
      </ns0:c>
      <ns0:c r="G1714">
        <ns0:f>IFERROR(IF(ISNUMBER($A1714),IF(AND(AH!$P$10=1,AH!$P$12=1,$A1714=TODAY()),IF(AND(AH!$P$10=1,AH!$P$12=1,$A1714=TODAY()),TODAY(),NA()),IF(AH!$P$10=1,INDEX('Live History'!$G$5:$G$3004,MATCH($A1714,'Live History'!$G$5:$G$3004,1)),INDEX('AH History'!$F$1:$F$18046,AH!$P$7+1709))),NA()),NA())</ns0:f>
        <ns0:v/>
      </ns0:c>
      <ns0:c r="H1714">
        <ns0:f>IFERROR(IF(AND(AH!$E$4="Bloomberg",AH!$P$10=1,ISNUMBER($A1714),$A1714&lt;=AH!$P$17),AH!$P$7-1+MATCH($A1714,INDEX('AH History'!$A$1:$A$18046,AH!$P$7):INDEX('AH History'!$A$1:$A$18046,AH!$P$7+AH!$P$8-1),0),0),0)</ns0:f>
        <ns0:v/>
      </ns0:c>
      <ns0:c r="I1714">
        <ns0:f>IF($H1714=0,0,IFERROR(IF(AND(ABS($C1714-INDEX('AH History'!$B$1:$B$18046,$H1714))&lt;=MAX(0.005,ABS(INDEX('AH History'!$B$1:$B$18046,$H1714))*0.00005),ABS($D1714-INDEX('AH History'!$C$1:$C$18046,$H1714))&lt;=MAX(0.005,ABS(INDEX('AH History'!$C$1:$C$18046,$H1714))*0.00005),ABS($E1714-INDEX('AH History'!$D$1:$D$18046,$H1714))&lt;=0.00005,$F1714=INDEX('AH History'!$E$1:$E$18046,$H1714),$G1714=INDEX('AH History'!$F$1:$F$18046,$H1714)),1,-1),-1))</ns0:f>
        <ns0:v/>
      </ns0:c>
    </ns0:row>
    <ns0:row r="1715">
      <ns0:c r="A1715" s="215">
        <ns0:f>IF(OR(AH!$P$3=0,1710+1&gt;AH!$P$11,AND(AH!$E$4&lt;&gt;"Stored",AH!$P$10&lt;&gt;1)),"",IFERROR(IF(AND(AH!$P$21=1,1710+1=AH!$P$11),TODAY(),IF(AH!$P$10=1,INDEX('Live History'!$A$5:$A$3004,AH!$P$13+1710),INDEX('AH History'!$A$1:$A$18046,AH!$P$7+1710))),""))</ns0:f>
        <ns0:v/>
      </ns0:c>
      <ns0:c r="B1715" s="219">
        <ns0:f>IFERROR(IF(AND(AH!$P$9&lt;&gt;1,$C1715&gt;0,$D1715&gt;0,$E1715&gt;0,$F1715&gt;0,$G1715&gt;0,$F1715&lt;=$A1715,$G1715&lt;=$A1715,$A1715-$F1715&lt;=10,$A1715-$G1715&lt;=5),$D1715*$E1715/$C1715-1,NA()),NA())</ns0:f>
        <ns0:v/>
      </ns0:c>
      <ns0:c r="C1715">
        <ns0:f>IFERROR(IF(ISNUMBER($A1715),IF(AND(AH!$P$10=1,AH!$P$12=1,$A1715=TODAY()),AH!$P$19,IF(AH!$P$10=1,INDEX('Live History'!$B$5:$B$3004,AH!$P$13+1710),INDEX('AH History'!$B$1:$B$18046,AH!$P$7+1710))),NA()),NA())</ns0:f>
        <ns0:v/>
      </ns0:c>
      <ns0:c r="D1715">
        <ns0:f>IFERROR(IF(ISNUMBER($A1715),IF(AND(AH!$P$10=1,AH!$P$12=1,$A1715=TODAY()),AH!$P$18,IF(AH!$P$10=1,INDEX('Live History'!$E$5:$E$3004,MATCH($A1715,'Live History'!$D$5:$D$3004,1)),INDEX('AH History'!$C$1:$C$18046,AH!$P$7+1710))),NA()),NA())</ns0:f>
        <ns0:v/>
      </ns0:c>
      <ns0:c r="E1715">
        <ns0:f>IFERROR(IF(ISNUMBER($A1715),IF(AND(AH!$P$10=1,AH!$P$12=1,$A1715=TODAY()),AH!$P$20,IF(AH!$P$10=1,INDEX('Live History'!$H$5:$H$3004,MATCH($A1715,'Live History'!$G$5:$G$3004,1)),INDEX('AH History'!$D$1:$D$18046,AH!$P$7+1710))),NA()),NA())</ns0:f>
        <ns0:v/>
      </ns0:c>
      <ns0:c r="F1715">
        <ns0:f>IFERROR(IF(ISNUMBER($A1715),IF(AND(AH!$P$10=1,AH!$P$12=1,$A1715=TODAY()),IF(AND(AH!$P$10=1,AH!$P$12=1,$A1715=TODAY()),TODAY(),NA()),IF(AH!$P$10=1,INDEX('Live History'!$D$5:$D$3004,MATCH($A1715,'Live History'!$D$5:$D$3004,1)),INDEX('AH History'!$E$1:$E$18046,AH!$P$7+1710))),NA()),NA())</ns0:f>
        <ns0:v/>
      </ns0:c>
      <ns0:c r="G1715">
        <ns0:f>IFERROR(IF(ISNUMBER($A1715),IF(AND(AH!$P$10=1,AH!$P$12=1,$A1715=TODAY()),IF(AND(AH!$P$10=1,AH!$P$12=1,$A1715=TODAY()),TODAY(),NA()),IF(AH!$P$10=1,INDEX('Live History'!$G$5:$G$3004,MATCH($A1715,'Live History'!$G$5:$G$3004,1)),INDEX('AH History'!$F$1:$F$18046,AH!$P$7+1710))),NA()),NA())</ns0:f>
        <ns0:v/>
      </ns0:c>
      <ns0:c r="H1715">
        <ns0:f>IFERROR(IF(AND(AH!$E$4="Bloomberg",AH!$P$10=1,ISNUMBER($A1715),$A1715&lt;=AH!$P$17),AH!$P$7-1+MATCH($A1715,INDEX('AH History'!$A$1:$A$18046,AH!$P$7):INDEX('AH History'!$A$1:$A$18046,AH!$P$7+AH!$P$8-1),0),0),0)</ns0:f>
        <ns0:v/>
      </ns0:c>
      <ns0:c r="I1715">
        <ns0:f>IF($H1715=0,0,IFERROR(IF(AND(ABS($C1715-INDEX('AH History'!$B$1:$B$18046,$H1715))&lt;=MAX(0.005,ABS(INDEX('AH History'!$B$1:$B$18046,$H1715))*0.00005),ABS($D1715-INDEX('AH History'!$C$1:$C$18046,$H1715))&lt;=MAX(0.005,ABS(INDEX('AH History'!$C$1:$C$18046,$H1715))*0.00005),ABS($E1715-INDEX('AH History'!$D$1:$D$18046,$H1715))&lt;=0.00005,$F1715=INDEX('AH History'!$E$1:$E$18046,$H1715),$G1715=INDEX('AH History'!$F$1:$F$18046,$H1715)),1,-1),-1))</ns0:f>
        <ns0:v/>
      </ns0:c>
    </ns0:row>
    <ns0:row r="1716">
      <ns0:c r="A1716" s="215">
        <ns0:f>IF(OR(AH!$P$3=0,1711+1&gt;AH!$P$11,AND(AH!$E$4&lt;&gt;"Stored",AH!$P$10&lt;&gt;1)),"",IFERROR(IF(AND(AH!$P$21=1,1711+1=AH!$P$11),TODAY(),IF(AH!$P$10=1,INDEX('Live History'!$A$5:$A$3004,AH!$P$13+1711),INDEX('AH History'!$A$1:$A$18046,AH!$P$7+1711))),""))</ns0:f>
        <ns0:v/>
      </ns0:c>
      <ns0:c r="B1716" s="219">
        <ns0:f>IFERROR(IF(AND(AH!$P$9&lt;&gt;1,$C1716&gt;0,$D1716&gt;0,$E1716&gt;0,$F1716&gt;0,$G1716&gt;0,$F1716&lt;=$A1716,$G1716&lt;=$A1716,$A1716-$F1716&lt;=10,$A1716-$G1716&lt;=5),$D1716*$E1716/$C1716-1,NA()),NA())</ns0:f>
        <ns0:v/>
      </ns0:c>
      <ns0:c r="C1716">
        <ns0:f>IFERROR(IF(ISNUMBER($A1716),IF(AND(AH!$P$10=1,AH!$P$12=1,$A1716=TODAY()),AH!$P$19,IF(AH!$P$10=1,INDEX('Live History'!$B$5:$B$3004,AH!$P$13+1711),INDEX('AH History'!$B$1:$B$18046,AH!$P$7+1711))),NA()),NA())</ns0:f>
        <ns0:v/>
      </ns0:c>
      <ns0:c r="D1716">
        <ns0:f>IFERROR(IF(ISNUMBER($A1716),IF(AND(AH!$P$10=1,AH!$P$12=1,$A1716=TODAY()),AH!$P$18,IF(AH!$P$10=1,INDEX('Live History'!$E$5:$E$3004,MATCH($A1716,'Live History'!$D$5:$D$3004,1)),INDEX('AH History'!$C$1:$C$18046,AH!$P$7+1711))),NA()),NA())</ns0:f>
        <ns0:v/>
      </ns0:c>
      <ns0:c r="E1716">
        <ns0:f>IFERROR(IF(ISNUMBER($A1716),IF(AND(AH!$P$10=1,AH!$P$12=1,$A1716=TODAY()),AH!$P$20,IF(AH!$P$10=1,INDEX('Live History'!$H$5:$H$3004,MATCH($A1716,'Live History'!$G$5:$G$3004,1)),INDEX('AH History'!$D$1:$D$18046,AH!$P$7+1711))),NA()),NA())</ns0:f>
        <ns0:v/>
      </ns0:c>
      <ns0:c r="F1716">
        <ns0:f>IFERROR(IF(ISNUMBER($A1716),IF(AND(AH!$P$10=1,AH!$P$12=1,$A1716=TODAY()),IF(AND(AH!$P$10=1,AH!$P$12=1,$A1716=TODAY()),TODAY(),NA()),IF(AH!$P$10=1,INDEX('Live History'!$D$5:$D$3004,MATCH($A1716,'Live History'!$D$5:$D$3004,1)),INDEX('AH History'!$E$1:$E$18046,AH!$P$7+1711))),NA()),NA())</ns0:f>
        <ns0:v/>
      </ns0:c>
      <ns0:c r="G1716">
        <ns0:f>IFERROR(IF(ISNUMBER($A1716),IF(AND(AH!$P$10=1,AH!$P$12=1,$A1716=TODAY()),IF(AND(AH!$P$10=1,AH!$P$12=1,$A1716=TODAY()),TODAY(),NA()),IF(AH!$P$10=1,INDEX('Live History'!$G$5:$G$3004,MATCH($A1716,'Live History'!$G$5:$G$3004,1)),INDEX('AH History'!$F$1:$F$18046,AH!$P$7+1711))),NA()),NA())</ns0:f>
        <ns0:v/>
      </ns0:c>
      <ns0:c r="H1716">
        <ns0:f>IFERROR(IF(AND(AH!$E$4="Bloomberg",AH!$P$10=1,ISNUMBER($A1716),$A1716&lt;=AH!$P$17),AH!$P$7-1+MATCH($A1716,INDEX('AH History'!$A$1:$A$18046,AH!$P$7):INDEX('AH History'!$A$1:$A$18046,AH!$P$7+AH!$P$8-1),0),0),0)</ns0:f>
        <ns0:v/>
      </ns0:c>
      <ns0:c r="I1716">
        <ns0:f>IF($H1716=0,0,IFERROR(IF(AND(ABS($C1716-INDEX('AH History'!$B$1:$B$18046,$H1716))&lt;=MAX(0.005,ABS(INDEX('AH History'!$B$1:$B$18046,$H1716))*0.00005),ABS($D1716-INDEX('AH History'!$C$1:$C$18046,$H1716))&lt;=MAX(0.005,ABS(INDEX('AH History'!$C$1:$C$18046,$H1716))*0.00005),ABS($E1716-INDEX('AH History'!$D$1:$D$18046,$H1716))&lt;=0.00005,$F1716=INDEX('AH History'!$E$1:$E$18046,$H1716),$G1716=INDEX('AH History'!$F$1:$F$18046,$H1716)),1,-1),-1))</ns0:f>
        <ns0:v/>
      </ns0:c>
    </ns0:row>
    <ns0:row r="1717">
      <ns0:c r="A1717" s="215">
        <ns0:f>IF(OR(AH!$P$3=0,1712+1&gt;AH!$P$11,AND(AH!$E$4&lt;&gt;"Stored",AH!$P$10&lt;&gt;1)),"",IFERROR(IF(AND(AH!$P$21=1,1712+1=AH!$P$11),TODAY(),IF(AH!$P$10=1,INDEX('Live History'!$A$5:$A$3004,AH!$P$13+1712),INDEX('AH History'!$A$1:$A$18046,AH!$P$7+1712))),""))</ns0:f>
        <ns0:v/>
      </ns0:c>
      <ns0:c r="B1717" s="219">
        <ns0:f>IFERROR(IF(AND(AH!$P$9&lt;&gt;1,$C1717&gt;0,$D1717&gt;0,$E1717&gt;0,$F1717&gt;0,$G1717&gt;0,$F1717&lt;=$A1717,$G1717&lt;=$A1717,$A1717-$F1717&lt;=10,$A1717-$G1717&lt;=5),$D1717*$E1717/$C1717-1,NA()),NA())</ns0:f>
        <ns0:v/>
      </ns0:c>
      <ns0:c r="C1717">
        <ns0:f>IFERROR(IF(ISNUMBER($A1717),IF(AND(AH!$P$10=1,AH!$P$12=1,$A1717=TODAY()),AH!$P$19,IF(AH!$P$10=1,INDEX('Live History'!$B$5:$B$3004,AH!$P$13+1712),INDEX('AH History'!$B$1:$B$18046,AH!$P$7+1712))),NA()),NA())</ns0:f>
        <ns0:v/>
      </ns0:c>
      <ns0:c r="D1717">
        <ns0:f>IFERROR(IF(ISNUMBER($A1717),IF(AND(AH!$P$10=1,AH!$P$12=1,$A1717=TODAY()),AH!$P$18,IF(AH!$P$10=1,INDEX('Live History'!$E$5:$E$3004,MATCH($A1717,'Live History'!$D$5:$D$3004,1)),INDEX('AH History'!$C$1:$C$18046,AH!$P$7+1712))),NA()),NA())</ns0:f>
        <ns0:v/>
      </ns0:c>
      <ns0:c r="E1717">
        <ns0:f>IFERROR(IF(ISNUMBER($A1717),IF(AND(AH!$P$10=1,AH!$P$12=1,$A1717=TODAY()),AH!$P$20,IF(AH!$P$10=1,INDEX('Live History'!$H$5:$H$3004,MATCH($A1717,'Live History'!$G$5:$G$3004,1)),INDEX('AH History'!$D$1:$D$18046,AH!$P$7+1712))),NA()),NA())</ns0:f>
        <ns0:v/>
      </ns0:c>
      <ns0:c r="F1717">
        <ns0:f>IFERROR(IF(ISNUMBER($A1717),IF(AND(AH!$P$10=1,AH!$P$12=1,$A1717=TODAY()),IF(AND(AH!$P$10=1,AH!$P$12=1,$A1717=TODAY()),TODAY(),NA()),IF(AH!$P$10=1,INDEX('Live History'!$D$5:$D$3004,MATCH($A1717,'Live History'!$D$5:$D$3004,1)),INDEX('AH History'!$E$1:$E$18046,AH!$P$7+1712))),NA()),NA())</ns0:f>
        <ns0:v/>
      </ns0:c>
      <ns0:c r="G1717">
        <ns0:f>IFERROR(IF(ISNUMBER($A1717),IF(AND(AH!$P$10=1,AH!$P$12=1,$A1717=TODAY()),IF(AND(AH!$P$10=1,AH!$P$12=1,$A1717=TODAY()),TODAY(),NA()),IF(AH!$P$10=1,INDEX('Live History'!$G$5:$G$3004,MATCH($A1717,'Live History'!$G$5:$G$3004,1)),INDEX('AH History'!$F$1:$F$18046,AH!$P$7+1712))),NA()),NA())</ns0:f>
        <ns0:v/>
      </ns0:c>
      <ns0:c r="H1717">
        <ns0:f>IFERROR(IF(AND(AH!$E$4="Bloomberg",AH!$P$10=1,ISNUMBER($A1717),$A1717&lt;=AH!$P$17),AH!$P$7-1+MATCH($A1717,INDEX('AH History'!$A$1:$A$18046,AH!$P$7):INDEX('AH History'!$A$1:$A$18046,AH!$P$7+AH!$P$8-1),0),0),0)</ns0:f>
        <ns0:v/>
      </ns0:c>
      <ns0:c r="I1717">
        <ns0:f>IF($H1717=0,0,IFERROR(IF(AND(ABS($C1717-INDEX('AH History'!$B$1:$B$18046,$H1717))&lt;=MAX(0.005,ABS(INDEX('AH History'!$B$1:$B$18046,$H1717))*0.00005),ABS($D1717-INDEX('AH History'!$C$1:$C$18046,$H1717))&lt;=MAX(0.005,ABS(INDEX('AH History'!$C$1:$C$18046,$H1717))*0.00005),ABS($E1717-INDEX('AH History'!$D$1:$D$18046,$H1717))&lt;=0.00005,$F1717=INDEX('AH History'!$E$1:$E$18046,$H1717),$G1717=INDEX('AH History'!$F$1:$F$18046,$H1717)),1,-1),-1))</ns0:f>
        <ns0:v/>
      </ns0:c>
    </ns0:row>
    <ns0:row r="1718">
      <ns0:c r="A1718" s="215">
        <ns0:f>IF(OR(AH!$P$3=0,1713+1&gt;AH!$P$11,AND(AH!$E$4&lt;&gt;"Stored",AH!$P$10&lt;&gt;1)),"",IFERROR(IF(AND(AH!$P$21=1,1713+1=AH!$P$11),TODAY(),IF(AH!$P$10=1,INDEX('Live History'!$A$5:$A$3004,AH!$P$13+1713),INDEX('AH History'!$A$1:$A$18046,AH!$P$7+1713))),""))</ns0:f>
        <ns0:v/>
      </ns0:c>
      <ns0:c r="B1718" s="219">
        <ns0:f>IFERROR(IF(AND(AH!$P$9&lt;&gt;1,$C1718&gt;0,$D1718&gt;0,$E1718&gt;0,$F1718&gt;0,$G1718&gt;0,$F1718&lt;=$A1718,$G1718&lt;=$A1718,$A1718-$F1718&lt;=10,$A1718-$G1718&lt;=5),$D1718*$E1718/$C1718-1,NA()),NA())</ns0:f>
        <ns0:v/>
      </ns0:c>
      <ns0:c r="C1718">
        <ns0:f>IFERROR(IF(ISNUMBER($A1718),IF(AND(AH!$P$10=1,AH!$P$12=1,$A1718=TODAY()),AH!$P$19,IF(AH!$P$10=1,INDEX('Live History'!$B$5:$B$3004,AH!$P$13+1713),INDEX('AH History'!$B$1:$B$18046,AH!$P$7+1713))),NA()),NA())</ns0:f>
        <ns0:v/>
      </ns0:c>
      <ns0:c r="D1718">
        <ns0:f>IFERROR(IF(ISNUMBER($A1718),IF(AND(AH!$P$10=1,AH!$P$12=1,$A1718=TODAY()),AH!$P$18,IF(AH!$P$10=1,INDEX('Live History'!$E$5:$E$3004,MATCH($A1718,'Live History'!$D$5:$D$3004,1)),INDEX('AH History'!$C$1:$C$18046,AH!$P$7+1713))),NA()),NA())</ns0:f>
        <ns0:v/>
      </ns0:c>
      <ns0:c r="E1718">
        <ns0:f>IFERROR(IF(ISNUMBER($A1718),IF(AND(AH!$P$10=1,AH!$P$12=1,$A1718=TODAY()),AH!$P$20,IF(AH!$P$10=1,INDEX('Live History'!$H$5:$H$3004,MATCH($A1718,'Live History'!$G$5:$G$3004,1)),INDEX('AH History'!$D$1:$D$18046,AH!$P$7+1713))),NA()),NA())</ns0:f>
        <ns0:v/>
      </ns0:c>
      <ns0:c r="F1718">
        <ns0:f>IFERROR(IF(ISNUMBER($A1718),IF(AND(AH!$P$10=1,AH!$P$12=1,$A1718=TODAY()),IF(AND(AH!$P$10=1,AH!$P$12=1,$A1718=TODAY()),TODAY(),NA()),IF(AH!$P$10=1,INDEX('Live History'!$D$5:$D$3004,MATCH($A1718,'Live History'!$D$5:$D$3004,1)),INDEX('AH History'!$E$1:$E$18046,AH!$P$7+1713))),NA()),NA())</ns0:f>
        <ns0:v/>
      </ns0:c>
      <ns0:c r="G1718">
        <ns0:f>IFERROR(IF(ISNUMBER($A1718),IF(AND(AH!$P$10=1,AH!$P$12=1,$A1718=TODAY()),IF(AND(AH!$P$10=1,AH!$P$12=1,$A1718=TODAY()),TODAY(),NA()),IF(AH!$P$10=1,INDEX('Live History'!$G$5:$G$3004,MATCH($A1718,'Live History'!$G$5:$G$3004,1)),INDEX('AH History'!$F$1:$F$18046,AH!$P$7+1713))),NA()),NA())</ns0:f>
        <ns0:v/>
      </ns0:c>
      <ns0:c r="H1718">
        <ns0:f>IFERROR(IF(AND(AH!$E$4="Bloomberg",AH!$P$10=1,ISNUMBER($A1718),$A1718&lt;=AH!$P$17),AH!$P$7-1+MATCH($A1718,INDEX('AH History'!$A$1:$A$18046,AH!$P$7):INDEX('AH History'!$A$1:$A$18046,AH!$P$7+AH!$P$8-1),0),0),0)</ns0:f>
        <ns0:v/>
      </ns0:c>
      <ns0:c r="I1718">
        <ns0:f>IF($H1718=0,0,IFERROR(IF(AND(ABS($C1718-INDEX('AH History'!$B$1:$B$18046,$H1718))&lt;=MAX(0.005,ABS(INDEX('AH History'!$B$1:$B$18046,$H1718))*0.00005),ABS($D1718-INDEX('AH History'!$C$1:$C$18046,$H1718))&lt;=MAX(0.005,ABS(INDEX('AH History'!$C$1:$C$18046,$H1718))*0.00005),ABS($E1718-INDEX('AH History'!$D$1:$D$18046,$H1718))&lt;=0.00005,$F1718=INDEX('AH History'!$E$1:$E$18046,$H1718),$G1718=INDEX('AH History'!$F$1:$F$18046,$H1718)),1,-1),-1))</ns0:f>
        <ns0:v/>
      </ns0:c>
    </ns0:row>
    <ns0:row r="1719">
      <ns0:c r="A1719" s="215">
        <ns0:f>IF(OR(AH!$P$3=0,1714+1&gt;AH!$P$11,AND(AH!$E$4&lt;&gt;"Stored",AH!$P$10&lt;&gt;1)),"",IFERROR(IF(AND(AH!$P$21=1,1714+1=AH!$P$11),TODAY(),IF(AH!$P$10=1,INDEX('Live History'!$A$5:$A$3004,AH!$P$13+1714),INDEX('AH History'!$A$1:$A$18046,AH!$P$7+1714))),""))</ns0:f>
        <ns0:v/>
      </ns0:c>
      <ns0:c r="B1719" s="219">
        <ns0:f>IFERROR(IF(AND(AH!$P$9&lt;&gt;1,$C1719&gt;0,$D1719&gt;0,$E1719&gt;0,$F1719&gt;0,$G1719&gt;0,$F1719&lt;=$A1719,$G1719&lt;=$A1719,$A1719-$F1719&lt;=10,$A1719-$G1719&lt;=5),$D1719*$E1719/$C1719-1,NA()),NA())</ns0:f>
        <ns0:v/>
      </ns0:c>
      <ns0:c r="C1719">
        <ns0:f>IFERROR(IF(ISNUMBER($A1719),IF(AND(AH!$P$10=1,AH!$P$12=1,$A1719=TODAY()),AH!$P$19,IF(AH!$P$10=1,INDEX('Live History'!$B$5:$B$3004,AH!$P$13+1714),INDEX('AH History'!$B$1:$B$18046,AH!$P$7+1714))),NA()),NA())</ns0:f>
        <ns0:v/>
      </ns0:c>
      <ns0:c r="D1719">
        <ns0:f>IFERROR(IF(ISNUMBER($A1719),IF(AND(AH!$P$10=1,AH!$P$12=1,$A1719=TODAY()),AH!$P$18,IF(AH!$P$10=1,INDEX('Live History'!$E$5:$E$3004,MATCH($A1719,'Live History'!$D$5:$D$3004,1)),INDEX('AH History'!$C$1:$C$18046,AH!$P$7+1714))),NA()),NA())</ns0:f>
        <ns0:v/>
      </ns0:c>
      <ns0:c r="E1719">
        <ns0:f>IFERROR(IF(ISNUMBER($A1719),IF(AND(AH!$P$10=1,AH!$P$12=1,$A1719=TODAY()),AH!$P$20,IF(AH!$P$10=1,INDEX('Live History'!$H$5:$H$3004,MATCH($A1719,'Live History'!$G$5:$G$3004,1)),INDEX('AH History'!$D$1:$D$18046,AH!$P$7+1714))),NA()),NA())</ns0:f>
        <ns0:v/>
      </ns0:c>
      <ns0:c r="F1719">
        <ns0:f>IFERROR(IF(ISNUMBER($A1719),IF(AND(AH!$P$10=1,AH!$P$12=1,$A1719=TODAY()),IF(AND(AH!$P$10=1,AH!$P$12=1,$A1719=TODAY()),TODAY(),NA()),IF(AH!$P$10=1,INDEX('Live History'!$D$5:$D$3004,MATCH($A1719,'Live History'!$D$5:$D$3004,1)),INDEX('AH History'!$E$1:$E$18046,AH!$P$7+1714))),NA()),NA())</ns0:f>
        <ns0:v/>
      </ns0:c>
      <ns0:c r="G1719">
        <ns0:f>IFERROR(IF(ISNUMBER($A1719),IF(AND(AH!$P$10=1,AH!$P$12=1,$A1719=TODAY()),IF(AND(AH!$P$10=1,AH!$P$12=1,$A1719=TODAY()),TODAY(),NA()),IF(AH!$P$10=1,INDEX('Live History'!$G$5:$G$3004,MATCH($A1719,'Live History'!$G$5:$G$3004,1)),INDEX('AH History'!$F$1:$F$18046,AH!$P$7+1714))),NA()),NA())</ns0:f>
        <ns0:v/>
      </ns0:c>
      <ns0:c r="H1719">
        <ns0:f>IFERROR(IF(AND(AH!$E$4="Bloomberg",AH!$P$10=1,ISNUMBER($A1719),$A1719&lt;=AH!$P$17),AH!$P$7-1+MATCH($A1719,INDEX('AH History'!$A$1:$A$18046,AH!$P$7):INDEX('AH History'!$A$1:$A$18046,AH!$P$7+AH!$P$8-1),0),0),0)</ns0:f>
        <ns0:v/>
      </ns0:c>
      <ns0:c r="I1719">
        <ns0:f>IF($H1719=0,0,IFERROR(IF(AND(ABS($C1719-INDEX('AH History'!$B$1:$B$18046,$H1719))&lt;=MAX(0.005,ABS(INDEX('AH History'!$B$1:$B$18046,$H1719))*0.00005),ABS($D1719-INDEX('AH History'!$C$1:$C$18046,$H1719))&lt;=MAX(0.005,ABS(INDEX('AH History'!$C$1:$C$18046,$H1719))*0.00005),ABS($E1719-INDEX('AH History'!$D$1:$D$18046,$H1719))&lt;=0.00005,$F1719=INDEX('AH History'!$E$1:$E$18046,$H1719),$G1719=INDEX('AH History'!$F$1:$F$18046,$H1719)),1,-1),-1))</ns0:f>
        <ns0:v/>
      </ns0:c>
    </ns0:row>
    <ns0:row r="1720">
      <ns0:c r="A1720" s="215">
        <ns0:f>IF(OR(AH!$P$3=0,1715+1&gt;AH!$P$11,AND(AH!$E$4&lt;&gt;"Stored",AH!$P$10&lt;&gt;1)),"",IFERROR(IF(AND(AH!$P$21=1,1715+1=AH!$P$11),TODAY(),IF(AH!$P$10=1,INDEX('Live History'!$A$5:$A$3004,AH!$P$13+1715),INDEX('AH History'!$A$1:$A$18046,AH!$P$7+1715))),""))</ns0:f>
        <ns0:v/>
      </ns0:c>
      <ns0:c r="B1720" s="219">
        <ns0:f>IFERROR(IF(AND(AH!$P$9&lt;&gt;1,$C1720&gt;0,$D1720&gt;0,$E1720&gt;0,$F1720&gt;0,$G1720&gt;0,$F1720&lt;=$A1720,$G1720&lt;=$A1720,$A1720-$F1720&lt;=10,$A1720-$G1720&lt;=5),$D1720*$E1720/$C1720-1,NA()),NA())</ns0:f>
        <ns0:v/>
      </ns0:c>
      <ns0:c r="C1720">
        <ns0:f>IFERROR(IF(ISNUMBER($A1720),IF(AND(AH!$P$10=1,AH!$P$12=1,$A1720=TODAY()),AH!$P$19,IF(AH!$P$10=1,INDEX('Live History'!$B$5:$B$3004,AH!$P$13+1715),INDEX('AH History'!$B$1:$B$18046,AH!$P$7+1715))),NA()),NA())</ns0:f>
        <ns0:v/>
      </ns0:c>
      <ns0:c r="D1720">
        <ns0:f>IFERROR(IF(ISNUMBER($A1720),IF(AND(AH!$P$10=1,AH!$P$12=1,$A1720=TODAY()),AH!$P$18,IF(AH!$P$10=1,INDEX('Live History'!$E$5:$E$3004,MATCH($A1720,'Live History'!$D$5:$D$3004,1)),INDEX('AH History'!$C$1:$C$18046,AH!$P$7+1715))),NA()),NA())</ns0:f>
        <ns0:v/>
      </ns0:c>
      <ns0:c r="E1720">
        <ns0:f>IFERROR(IF(ISNUMBER($A1720),IF(AND(AH!$P$10=1,AH!$P$12=1,$A1720=TODAY()),AH!$P$20,IF(AH!$P$10=1,INDEX('Live History'!$H$5:$H$3004,MATCH($A1720,'Live History'!$G$5:$G$3004,1)),INDEX('AH History'!$D$1:$D$18046,AH!$P$7+1715))),NA()),NA())</ns0:f>
        <ns0:v/>
      </ns0:c>
      <ns0:c r="F1720">
        <ns0:f>IFERROR(IF(ISNUMBER($A1720),IF(AND(AH!$P$10=1,AH!$P$12=1,$A1720=TODAY()),IF(AND(AH!$P$10=1,AH!$P$12=1,$A1720=TODAY()),TODAY(),NA()),IF(AH!$P$10=1,INDEX('Live History'!$D$5:$D$3004,MATCH($A1720,'Live History'!$D$5:$D$3004,1)),INDEX('AH History'!$E$1:$E$18046,AH!$P$7+1715))),NA()),NA())</ns0:f>
        <ns0:v/>
      </ns0:c>
      <ns0:c r="G1720">
        <ns0:f>IFERROR(IF(ISNUMBER($A1720),IF(AND(AH!$P$10=1,AH!$P$12=1,$A1720=TODAY()),IF(AND(AH!$P$10=1,AH!$P$12=1,$A1720=TODAY()),TODAY(),NA()),IF(AH!$P$10=1,INDEX('Live History'!$G$5:$G$3004,MATCH($A1720,'Live History'!$G$5:$G$3004,1)),INDEX('AH History'!$F$1:$F$18046,AH!$P$7+1715))),NA()),NA())</ns0:f>
        <ns0:v/>
      </ns0:c>
      <ns0:c r="H1720">
        <ns0:f>IFERROR(IF(AND(AH!$E$4="Bloomberg",AH!$P$10=1,ISNUMBER($A1720),$A1720&lt;=AH!$P$17),AH!$P$7-1+MATCH($A1720,INDEX('AH History'!$A$1:$A$18046,AH!$P$7):INDEX('AH History'!$A$1:$A$18046,AH!$P$7+AH!$P$8-1),0),0),0)</ns0:f>
        <ns0:v/>
      </ns0:c>
      <ns0:c r="I1720">
        <ns0:f>IF($H1720=0,0,IFERROR(IF(AND(ABS($C1720-INDEX('AH History'!$B$1:$B$18046,$H1720))&lt;=MAX(0.005,ABS(INDEX('AH History'!$B$1:$B$18046,$H1720))*0.00005),ABS($D1720-INDEX('AH History'!$C$1:$C$18046,$H1720))&lt;=MAX(0.005,ABS(INDEX('AH History'!$C$1:$C$18046,$H1720))*0.00005),ABS($E1720-INDEX('AH History'!$D$1:$D$18046,$H1720))&lt;=0.00005,$F1720=INDEX('AH History'!$E$1:$E$18046,$H1720),$G1720=INDEX('AH History'!$F$1:$F$18046,$H1720)),1,-1),-1))</ns0:f>
        <ns0:v/>
      </ns0:c>
    </ns0:row>
    <ns0:row r="1721">
      <ns0:c r="A1721" s="215">
        <ns0:f>IF(OR(AH!$P$3=0,1716+1&gt;AH!$P$11,AND(AH!$E$4&lt;&gt;"Stored",AH!$P$10&lt;&gt;1)),"",IFERROR(IF(AND(AH!$P$21=1,1716+1=AH!$P$11),TODAY(),IF(AH!$P$10=1,INDEX('Live History'!$A$5:$A$3004,AH!$P$13+1716),INDEX('AH History'!$A$1:$A$18046,AH!$P$7+1716))),""))</ns0:f>
        <ns0:v/>
      </ns0:c>
      <ns0:c r="B1721" s="219">
        <ns0:f>IFERROR(IF(AND(AH!$P$9&lt;&gt;1,$C1721&gt;0,$D1721&gt;0,$E1721&gt;0,$F1721&gt;0,$G1721&gt;0,$F1721&lt;=$A1721,$G1721&lt;=$A1721,$A1721-$F1721&lt;=10,$A1721-$G1721&lt;=5),$D1721*$E1721/$C1721-1,NA()),NA())</ns0:f>
        <ns0:v/>
      </ns0:c>
      <ns0:c r="C1721">
        <ns0:f>IFERROR(IF(ISNUMBER($A1721),IF(AND(AH!$P$10=1,AH!$P$12=1,$A1721=TODAY()),AH!$P$19,IF(AH!$P$10=1,INDEX('Live History'!$B$5:$B$3004,AH!$P$13+1716),INDEX('AH History'!$B$1:$B$18046,AH!$P$7+1716))),NA()),NA())</ns0:f>
        <ns0:v/>
      </ns0:c>
      <ns0:c r="D1721">
        <ns0:f>IFERROR(IF(ISNUMBER($A1721),IF(AND(AH!$P$10=1,AH!$P$12=1,$A1721=TODAY()),AH!$P$18,IF(AH!$P$10=1,INDEX('Live History'!$E$5:$E$3004,MATCH($A1721,'Live History'!$D$5:$D$3004,1)),INDEX('AH History'!$C$1:$C$18046,AH!$P$7+1716))),NA()),NA())</ns0:f>
        <ns0:v/>
      </ns0:c>
      <ns0:c r="E1721">
        <ns0:f>IFERROR(IF(ISNUMBER($A1721),IF(AND(AH!$P$10=1,AH!$P$12=1,$A1721=TODAY()),AH!$P$20,IF(AH!$P$10=1,INDEX('Live History'!$H$5:$H$3004,MATCH($A1721,'Live History'!$G$5:$G$3004,1)),INDEX('AH History'!$D$1:$D$18046,AH!$P$7+1716))),NA()),NA())</ns0:f>
        <ns0:v/>
      </ns0:c>
      <ns0:c r="F1721">
        <ns0:f>IFERROR(IF(ISNUMBER($A1721),IF(AND(AH!$P$10=1,AH!$P$12=1,$A1721=TODAY()),IF(AND(AH!$P$10=1,AH!$P$12=1,$A1721=TODAY()),TODAY(),NA()),IF(AH!$P$10=1,INDEX('Live History'!$D$5:$D$3004,MATCH($A1721,'Live History'!$D$5:$D$3004,1)),INDEX('AH History'!$E$1:$E$18046,AH!$P$7+1716))),NA()),NA())</ns0:f>
        <ns0:v/>
      </ns0:c>
      <ns0:c r="G1721">
        <ns0:f>IFERROR(IF(ISNUMBER($A1721),IF(AND(AH!$P$10=1,AH!$P$12=1,$A1721=TODAY()),IF(AND(AH!$P$10=1,AH!$P$12=1,$A1721=TODAY()),TODAY(),NA()),IF(AH!$P$10=1,INDEX('Live History'!$G$5:$G$3004,MATCH($A1721,'Live History'!$G$5:$G$3004,1)),INDEX('AH History'!$F$1:$F$18046,AH!$P$7+1716))),NA()),NA())</ns0:f>
        <ns0:v/>
      </ns0:c>
      <ns0:c r="H1721">
        <ns0:f>IFERROR(IF(AND(AH!$E$4="Bloomberg",AH!$P$10=1,ISNUMBER($A1721),$A1721&lt;=AH!$P$17),AH!$P$7-1+MATCH($A1721,INDEX('AH History'!$A$1:$A$18046,AH!$P$7):INDEX('AH History'!$A$1:$A$18046,AH!$P$7+AH!$P$8-1),0),0),0)</ns0:f>
        <ns0:v/>
      </ns0:c>
      <ns0:c r="I1721">
        <ns0:f>IF($H1721=0,0,IFERROR(IF(AND(ABS($C1721-INDEX('AH History'!$B$1:$B$18046,$H1721))&lt;=MAX(0.005,ABS(INDEX('AH History'!$B$1:$B$18046,$H1721))*0.00005),ABS($D1721-INDEX('AH History'!$C$1:$C$18046,$H1721))&lt;=MAX(0.005,ABS(INDEX('AH History'!$C$1:$C$18046,$H1721))*0.00005),ABS($E1721-INDEX('AH History'!$D$1:$D$18046,$H1721))&lt;=0.00005,$F1721=INDEX('AH History'!$E$1:$E$18046,$H1721),$G1721=INDEX('AH History'!$F$1:$F$18046,$H1721)),1,-1),-1))</ns0:f>
        <ns0:v/>
      </ns0:c>
    </ns0:row>
    <ns0:row r="1722">
      <ns0:c r="A1722" s="215">
        <ns0:f>IF(OR(AH!$P$3=0,1717+1&gt;AH!$P$11,AND(AH!$E$4&lt;&gt;"Stored",AH!$P$10&lt;&gt;1)),"",IFERROR(IF(AND(AH!$P$21=1,1717+1=AH!$P$11),TODAY(),IF(AH!$P$10=1,INDEX('Live History'!$A$5:$A$3004,AH!$P$13+1717),INDEX('AH History'!$A$1:$A$18046,AH!$P$7+1717))),""))</ns0:f>
        <ns0:v/>
      </ns0:c>
      <ns0:c r="B1722" s="219">
        <ns0:f>IFERROR(IF(AND(AH!$P$9&lt;&gt;1,$C1722&gt;0,$D1722&gt;0,$E1722&gt;0,$F1722&gt;0,$G1722&gt;0,$F1722&lt;=$A1722,$G1722&lt;=$A1722,$A1722-$F1722&lt;=10,$A1722-$G1722&lt;=5),$D1722*$E1722/$C1722-1,NA()),NA())</ns0:f>
        <ns0:v/>
      </ns0:c>
      <ns0:c r="C1722">
        <ns0:f>IFERROR(IF(ISNUMBER($A1722),IF(AND(AH!$P$10=1,AH!$P$12=1,$A1722=TODAY()),AH!$P$19,IF(AH!$P$10=1,INDEX('Live History'!$B$5:$B$3004,AH!$P$13+1717),INDEX('AH History'!$B$1:$B$18046,AH!$P$7+1717))),NA()),NA())</ns0:f>
        <ns0:v/>
      </ns0:c>
      <ns0:c r="D1722">
        <ns0:f>IFERROR(IF(ISNUMBER($A1722),IF(AND(AH!$P$10=1,AH!$P$12=1,$A1722=TODAY()),AH!$P$18,IF(AH!$P$10=1,INDEX('Live History'!$E$5:$E$3004,MATCH($A1722,'Live History'!$D$5:$D$3004,1)),INDEX('AH History'!$C$1:$C$18046,AH!$P$7+1717))),NA()),NA())</ns0:f>
        <ns0:v/>
      </ns0:c>
      <ns0:c r="E1722">
        <ns0:f>IFERROR(IF(ISNUMBER($A1722),IF(AND(AH!$P$10=1,AH!$P$12=1,$A1722=TODAY()),AH!$P$20,IF(AH!$P$10=1,INDEX('Live History'!$H$5:$H$3004,MATCH($A1722,'Live History'!$G$5:$G$3004,1)),INDEX('AH History'!$D$1:$D$18046,AH!$P$7+1717))),NA()),NA())</ns0:f>
        <ns0:v/>
      </ns0:c>
      <ns0:c r="F1722">
        <ns0:f>IFERROR(IF(ISNUMBER($A1722),IF(AND(AH!$P$10=1,AH!$P$12=1,$A1722=TODAY()),IF(AND(AH!$P$10=1,AH!$P$12=1,$A1722=TODAY()),TODAY(),NA()),IF(AH!$P$10=1,INDEX('Live History'!$D$5:$D$3004,MATCH($A1722,'Live History'!$D$5:$D$3004,1)),INDEX('AH History'!$E$1:$E$18046,AH!$P$7+1717))),NA()),NA())</ns0:f>
        <ns0:v/>
      </ns0:c>
      <ns0:c r="G1722">
        <ns0:f>IFERROR(IF(ISNUMBER($A1722),IF(AND(AH!$P$10=1,AH!$P$12=1,$A1722=TODAY()),IF(AND(AH!$P$10=1,AH!$P$12=1,$A1722=TODAY()),TODAY(),NA()),IF(AH!$P$10=1,INDEX('Live History'!$G$5:$G$3004,MATCH($A1722,'Live History'!$G$5:$G$3004,1)),INDEX('AH History'!$F$1:$F$18046,AH!$P$7+1717))),NA()),NA())</ns0:f>
        <ns0:v/>
      </ns0:c>
      <ns0:c r="H1722">
        <ns0:f>IFERROR(IF(AND(AH!$E$4="Bloomberg",AH!$P$10=1,ISNUMBER($A1722),$A1722&lt;=AH!$P$17),AH!$P$7-1+MATCH($A1722,INDEX('AH History'!$A$1:$A$18046,AH!$P$7):INDEX('AH History'!$A$1:$A$18046,AH!$P$7+AH!$P$8-1),0),0),0)</ns0:f>
        <ns0:v/>
      </ns0:c>
      <ns0:c r="I1722">
        <ns0:f>IF($H1722=0,0,IFERROR(IF(AND(ABS($C1722-INDEX('AH History'!$B$1:$B$18046,$H1722))&lt;=MAX(0.005,ABS(INDEX('AH History'!$B$1:$B$18046,$H1722))*0.00005),ABS($D1722-INDEX('AH History'!$C$1:$C$18046,$H1722))&lt;=MAX(0.005,ABS(INDEX('AH History'!$C$1:$C$18046,$H1722))*0.00005),ABS($E1722-INDEX('AH History'!$D$1:$D$18046,$H1722))&lt;=0.00005,$F1722=INDEX('AH History'!$E$1:$E$18046,$H1722),$G1722=INDEX('AH History'!$F$1:$F$18046,$H1722)),1,-1),-1))</ns0:f>
        <ns0:v/>
      </ns0:c>
    </ns0:row>
    <ns0:row r="1723">
      <ns0:c r="A1723" s="215">
        <ns0:f>IF(OR(AH!$P$3=0,1718+1&gt;AH!$P$11,AND(AH!$E$4&lt;&gt;"Stored",AH!$P$10&lt;&gt;1)),"",IFERROR(IF(AND(AH!$P$21=1,1718+1=AH!$P$11),TODAY(),IF(AH!$P$10=1,INDEX('Live History'!$A$5:$A$3004,AH!$P$13+1718),INDEX('AH History'!$A$1:$A$18046,AH!$P$7+1718))),""))</ns0:f>
        <ns0:v/>
      </ns0:c>
      <ns0:c r="B1723" s="219">
        <ns0:f>IFERROR(IF(AND(AH!$P$9&lt;&gt;1,$C1723&gt;0,$D1723&gt;0,$E1723&gt;0,$F1723&gt;0,$G1723&gt;0,$F1723&lt;=$A1723,$G1723&lt;=$A1723,$A1723-$F1723&lt;=10,$A1723-$G1723&lt;=5),$D1723*$E1723/$C1723-1,NA()),NA())</ns0:f>
        <ns0:v/>
      </ns0:c>
      <ns0:c r="C1723">
        <ns0:f>IFERROR(IF(ISNUMBER($A1723),IF(AND(AH!$P$10=1,AH!$P$12=1,$A1723=TODAY()),AH!$P$19,IF(AH!$P$10=1,INDEX('Live History'!$B$5:$B$3004,AH!$P$13+1718),INDEX('AH History'!$B$1:$B$18046,AH!$P$7+1718))),NA()),NA())</ns0:f>
        <ns0:v/>
      </ns0:c>
      <ns0:c r="D1723">
        <ns0:f>IFERROR(IF(ISNUMBER($A1723),IF(AND(AH!$P$10=1,AH!$P$12=1,$A1723=TODAY()),AH!$P$18,IF(AH!$P$10=1,INDEX('Live History'!$E$5:$E$3004,MATCH($A1723,'Live History'!$D$5:$D$3004,1)),INDEX('AH History'!$C$1:$C$18046,AH!$P$7+1718))),NA()),NA())</ns0:f>
        <ns0:v/>
      </ns0:c>
      <ns0:c r="E1723">
        <ns0:f>IFERROR(IF(ISNUMBER($A1723),IF(AND(AH!$P$10=1,AH!$P$12=1,$A1723=TODAY()),AH!$P$20,IF(AH!$P$10=1,INDEX('Live History'!$H$5:$H$3004,MATCH($A1723,'Live History'!$G$5:$G$3004,1)),INDEX('AH History'!$D$1:$D$18046,AH!$P$7+1718))),NA()),NA())</ns0:f>
        <ns0:v/>
      </ns0:c>
      <ns0:c r="F1723">
        <ns0:f>IFERROR(IF(ISNUMBER($A1723),IF(AND(AH!$P$10=1,AH!$P$12=1,$A1723=TODAY()),IF(AND(AH!$P$10=1,AH!$P$12=1,$A1723=TODAY()),TODAY(),NA()),IF(AH!$P$10=1,INDEX('Live History'!$D$5:$D$3004,MATCH($A1723,'Live History'!$D$5:$D$3004,1)),INDEX('AH History'!$E$1:$E$18046,AH!$P$7+1718))),NA()),NA())</ns0:f>
        <ns0:v/>
      </ns0:c>
      <ns0:c r="G1723">
        <ns0:f>IFERROR(IF(ISNUMBER($A1723),IF(AND(AH!$P$10=1,AH!$P$12=1,$A1723=TODAY()),IF(AND(AH!$P$10=1,AH!$P$12=1,$A1723=TODAY()),TODAY(),NA()),IF(AH!$P$10=1,INDEX('Live History'!$G$5:$G$3004,MATCH($A1723,'Live History'!$G$5:$G$3004,1)),INDEX('AH History'!$F$1:$F$18046,AH!$P$7+1718))),NA()),NA())</ns0:f>
        <ns0:v/>
      </ns0:c>
      <ns0:c r="H1723">
        <ns0:f>IFERROR(IF(AND(AH!$E$4="Bloomberg",AH!$P$10=1,ISNUMBER($A1723),$A1723&lt;=AH!$P$17),AH!$P$7-1+MATCH($A1723,INDEX('AH History'!$A$1:$A$18046,AH!$P$7):INDEX('AH History'!$A$1:$A$18046,AH!$P$7+AH!$P$8-1),0),0),0)</ns0:f>
        <ns0:v/>
      </ns0:c>
      <ns0:c r="I1723">
        <ns0:f>IF($H1723=0,0,IFERROR(IF(AND(ABS($C1723-INDEX('AH History'!$B$1:$B$18046,$H1723))&lt;=MAX(0.005,ABS(INDEX('AH History'!$B$1:$B$18046,$H1723))*0.00005),ABS($D1723-INDEX('AH History'!$C$1:$C$18046,$H1723))&lt;=MAX(0.005,ABS(INDEX('AH History'!$C$1:$C$18046,$H1723))*0.00005),ABS($E1723-INDEX('AH History'!$D$1:$D$18046,$H1723))&lt;=0.00005,$F1723=INDEX('AH History'!$E$1:$E$18046,$H1723),$G1723=INDEX('AH History'!$F$1:$F$18046,$H1723)),1,-1),-1))</ns0:f>
        <ns0:v/>
      </ns0:c>
    </ns0:row>
    <ns0:row r="1724">
      <ns0:c r="A1724" s="215">
        <ns0:f>IF(OR(AH!$P$3=0,1719+1&gt;AH!$P$11,AND(AH!$E$4&lt;&gt;"Stored",AH!$P$10&lt;&gt;1)),"",IFERROR(IF(AND(AH!$P$21=1,1719+1=AH!$P$11),TODAY(),IF(AH!$P$10=1,INDEX('Live History'!$A$5:$A$3004,AH!$P$13+1719),INDEX('AH History'!$A$1:$A$18046,AH!$P$7+1719))),""))</ns0:f>
        <ns0:v/>
      </ns0:c>
      <ns0:c r="B1724" s="219">
        <ns0:f>IFERROR(IF(AND(AH!$P$9&lt;&gt;1,$C1724&gt;0,$D1724&gt;0,$E1724&gt;0,$F1724&gt;0,$G1724&gt;0,$F1724&lt;=$A1724,$G1724&lt;=$A1724,$A1724-$F1724&lt;=10,$A1724-$G1724&lt;=5),$D1724*$E1724/$C1724-1,NA()),NA())</ns0:f>
        <ns0:v/>
      </ns0:c>
      <ns0:c r="C1724">
        <ns0:f>IFERROR(IF(ISNUMBER($A1724),IF(AND(AH!$P$10=1,AH!$P$12=1,$A1724=TODAY()),AH!$P$19,IF(AH!$P$10=1,INDEX('Live History'!$B$5:$B$3004,AH!$P$13+1719),INDEX('AH History'!$B$1:$B$18046,AH!$P$7+1719))),NA()),NA())</ns0:f>
        <ns0:v/>
      </ns0:c>
      <ns0:c r="D1724">
        <ns0:f>IFERROR(IF(ISNUMBER($A1724),IF(AND(AH!$P$10=1,AH!$P$12=1,$A1724=TODAY()),AH!$P$18,IF(AH!$P$10=1,INDEX('Live History'!$E$5:$E$3004,MATCH($A1724,'Live History'!$D$5:$D$3004,1)),INDEX('AH History'!$C$1:$C$18046,AH!$P$7+1719))),NA()),NA())</ns0:f>
        <ns0:v/>
      </ns0:c>
      <ns0:c r="E1724">
        <ns0:f>IFERROR(IF(ISNUMBER($A1724),IF(AND(AH!$P$10=1,AH!$P$12=1,$A1724=TODAY()),AH!$P$20,IF(AH!$P$10=1,INDEX('Live History'!$H$5:$H$3004,MATCH($A1724,'Live History'!$G$5:$G$3004,1)),INDEX('AH History'!$D$1:$D$18046,AH!$P$7+1719))),NA()),NA())</ns0:f>
        <ns0:v/>
      </ns0:c>
      <ns0:c r="F1724">
        <ns0:f>IFERROR(IF(ISNUMBER($A1724),IF(AND(AH!$P$10=1,AH!$P$12=1,$A1724=TODAY()),IF(AND(AH!$P$10=1,AH!$P$12=1,$A1724=TODAY()),TODAY(),NA()),IF(AH!$P$10=1,INDEX('Live History'!$D$5:$D$3004,MATCH($A1724,'Live History'!$D$5:$D$3004,1)),INDEX('AH History'!$E$1:$E$18046,AH!$P$7+1719))),NA()),NA())</ns0:f>
        <ns0:v/>
      </ns0:c>
      <ns0:c r="G1724">
        <ns0:f>IFERROR(IF(ISNUMBER($A1724),IF(AND(AH!$P$10=1,AH!$P$12=1,$A1724=TODAY()),IF(AND(AH!$P$10=1,AH!$P$12=1,$A1724=TODAY()),TODAY(),NA()),IF(AH!$P$10=1,INDEX('Live History'!$G$5:$G$3004,MATCH($A1724,'Live History'!$G$5:$G$3004,1)),INDEX('AH History'!$F$1:$F$18046,AH!$P$7+1719))),NA()),NA())</ns0:f>
        <ns0:v/>
      </ns0:c>
      <ns0:c r="H1724">
        <ns0:f>IFERROR(IF(AND(AH!$E$4="Bloomberg",AH!$P$10=1,ISNUMBER($A1724),$A1724&lt;=AH!$P$17),AH!$P$7-1+MATCH($A1724,INDEX('AH History'!$A$1:$A$18046,AH!$P$7):INDEX('AH History'!$A$1:$A$18046,AH!$P$7+AH!$P$8-1),0),0),0)</ns0:f>
        <ns0:v/>
      </ns0:c>
      <ns0:c r="I1724">
        <ns0:f>IF($H1724=0,0,IFERROR(IF(AND(ABS($C1724-INDEX('AH History'!$B$1:$B$18046,$H1724))&lt;=MAX(0.005,ABS(INDEX('AH History'!$B$1:$B$18046,$H1724))*0.00005),ABS($D1724-INDEX('AH History'!$C$1:$C$18046,$H1724))&lt;=MAX(0.005,ABS(INDEX('AH History'!$C$1:$C$18046,$H1724))*0.00005),ABS($E1724-INDEX('AH History'!$D$1:$D$18046,$H1724))&lt;=0.00005,$F1724=INDEX('AH History'!$E$1:$E$18046,$H1724),$G1724=INDEX('AH History'!$F$1:$F$18046,$H1724)),1,-1),-1))</ns0:f>
        <ns0:v/>
      </ns0:c>
    </ns0:row>
    <ns0:row r="1725">
      <ns0:c r="A1725" s="215">
        <ns0:f>IF(OR(AH!$P$3=0,1720+1&gt;AH!$P$11,AND(AH!$E$4&lt;&gt;"Stored",AH!$P$10&lt;&gt;1)),"",IFERROR(IF(AND(AH!$P$21=1,1720+1=AH!$P$11),TODAY(),IF(AH!$P$10=1,INDEX('Live History'!$A$5:$A$3004,AH!$P$13+1720),INDEX('AH History'!$A$1:$A$18046,AH!$P$7+1720))),""))</ns0:f>
        <ns0:v/>
      </ns0:c>
      <ns0:c r="B1725" s="219">
        <ns0:f>IFERROR(IF(AND(AH!$P$9&lt;&gt;1,$C1725&gt;0,$D1725&gt;0,$E1725&gt;0,$F1725&gt;0,$G1725&gt;0,$F1725&lt;=$A1725,$G1725&lt;=$A1725,$A1725-$F1725&lt;=10,$A1725-$G1725&lt;=5),$D1725*$E1725/$C1725-1,NA()),NA())</ns0:f>
        <ns0:v/>
      </ns0:c>
      <ns0:c r="C1725">
        <ns0:f>IFERROR(IF(ISNUMBER($A1725),IF(AND(AH!$P$10=1,AH!$P$12=1,$A1725=TODAY()),AH!$P$19,IF(AH!$P$10=1,INDEX('Live History'!$B$5:$B$3004,AH!$P$13+1720),INDEX('AH History'!$B$1:$B$18046,AH!$P$7+1720))),NA()),NA())</ns0:f>
        <ns0:v/>
      </ns0:c>
      <ns0:c r="D1725">
        <ns0:f>IFERROR(IF(ISNUMBER($A1725),IF(AND(AH!$P$10=1,AH!$P$12=1,$A1725=TODAY()),AH!$P$18,IF(AH!$P$10=1,INDEX('Live History'!$E$5:$E$3004,MATCH($A1725,'Live History'!$D$5:$D$3004,1)),INDEX('AH History'!$C$1:$C$18046,AH!$P$7+1720))),NA()),NA())</ns0:f>
        <ns0:v/>
      </ns0:c>
      <ns0:c r="E1725">
        <ns0:f>IFERROR(IF(ISNUMBER($A1725),IF(AND(AH!$P$10=1,AH!$P$12=1,$A1725=TODAY()),AH!$P$20,IF(AH!$P$10=1,INDEX('Live History'!$H$5:$H$3004,MATCH($A1725,'Live History'!$G$5:$G$3004,1)),INDEX('AH History'!$D$1:$D$18046,AH!$P$7+1720))),NA()),NA())</ns0:f>
        <ns0:v/>
      </ns0:c>
      <ns0:c r="F1725">
        <ns0:f>IFERROR(IF(ISNUMBER($A1725),IF(AND(AH!$P$10=1,AH!$P$12=1,$A1725=TODAY()),IF(AND(AH!$P$10=1,AH!$P$12=1,$A1725=TODAY()),TODAY(),NA()),IF(AH!$P$10=1,INDEX('Live History'!$D$5:$D$3004,MATCH($A1725,'Live History'!$D$5:$D$3004,1)),INDEX('AH History'!$E$1:$E$18046,AH!$P$7+1720))),NA()),NA())</ns0:f>
        <ns0:v/>
      </ns0:c>
      <ns0:c r="G1725">
        <ns0:f>IFERROR(IF(ISNUMBER($A1725),IF(AND(AH!$P$10=1,AH!$P$12=1,$A1725=TODAY()),IF(AND(AH!$P$10=1,AH!$P$12=1,$A1725=TODAY()),TODAY(),NA()),IF(AH!$P$10=1,INDEX('Live History'!$G$5:$G$3004,MATCH($A1725,'Live History'!$G$5:$G$3004,1)),INDEX('AH History'!$F$1:$F$18046,AH!$P$7+1720))),NA()),NA())</ns0:f>
        <ns0:v/>
      </ns0:c>
      <ns0:c r="H1725">
        <ns0:f>IFERROR(IF(AND(AH!$E$4="Bloomberg",AH!$P$10=1,ISNUMBER($A1725),$A1725&lt;=AH!$P$17),AH!$P$7-1+MATCH($A1725,INDEX('AH History'!$A$1:$A$18046,AH!$P$7):INDEX('AH History'!$A$1:$A$18046,AH!$P$7+AH!$P$8-1),0),0),0)</ns0:f>
        <ns0:v/>
      </ns0:c>
      <ns0:c r="I1725">
        <ns0:f>IF($H1725=0,0,IFERROR(IF(AND(ABS($C1725-INDEX('AH History'!$B$1:$B$18046,$H1725))&lt;=MAX(0.005,ABS(INDEX('AH History'!$B$1:$B$18046,$H1725))*0.00005),ABS($D1725-INDEX('AH History'!$C$1:$C$18046,$H1725))&lt;=MAX(0.005,ABS(INDEX('AH History'!$C$1:$C$18046,$H1725))*0.00005),ABS($E1725-INDEX('AH History'!$D$1:$D$18046,$H1725))&lt;=0.00005,$F1725=INDEX('AH History'!$E$1:$E$18046,$H1725),$G1725=INDEX('AH History'!$F$1:$F$18046,$H1725)),1,-1),-1))</ns0:f>
        <ns0:v/>
      </ns0:c>
    </ns0:row>
    <ns0:row r="1726">
      <ns0:c r="A1726" s="215">
        <ns0:f>IF(OR(AH!$P$3=0,1721+1&gt;AH!$P$11,AND(AH!$E$4&lt;&gt;"Stored",AH!$P$10&lt;&gt;1)),"",IFERROR(IF(AND(AH!$P$21=1,1721+1=AH!$P$11),TODAY(),IF(AH!$P$10=1,INDEX('Live History'!$A$5:$A$3004,AH!$P$13+1721),INDEX('AH History'!$A$1:$A$18046,AH!$P$7+1721))),""))</ns0:f>
        <ns0:v/>
      </ns0:c>
      <ns0:c r="B1726" s="219">
        <ns0:f>IFERROR(IF(AND(AH!$P$9&lt;&gt;1,$C1726&gt;0,$D1726&gt;0,$E1726&gt;0,$F1726&gt;0,$G1726&gt;0,$F1726&lt;=$A1726,$G1726&lt;=$A1726,$A1726-$F1726&lt;=10,$A1726-$G1726&lt;=5),$D1726*$E1726/$C1726-1,NA()),NA())</ns0:f>
        <ns0:v/>
      </ns0:c>
      <ns0:c r="C1726">
        <ns0:f>IFERROR(IF(ISNUMBER($A1726),IF(AND(AH!$P$10=1,AH!$P$12=1,$A1726=TODAY()),AH!$P$19,IF(AH!$P$10=1,INDEX('Live History'!$B$5:$B$3004,AH!$P$13+1721),INDEX('AH History'!$B$1:$B$18046,AH!$P$7+1721))),NA()),NA())</ns0:f>
        <ns0:v/>
      </ns0:c>
      <ns0:c r="D1726">
        <ns0:f>IFERROR(IF(ISNUMBER($A1726),IF(AND(AH!$P$10=1,AH!$P$12=1,$A1726=TODAY()),AH!$P$18,IF(AH!$P$10=1,INDEX('Live History'!$E$5:$E$3004,MATCH($A1726,'Live History'!$D$5:$D$3004,1)),INDEX('AH History'!$C$1:$C$18046,AH!$P$7+1721))),NA()),NA())</ns0:f>
        <ns0:v/>
      </ns0:c>
      <ns0:c r="E1726">
        <ns0:f>IFERROR(IF(ISNUMBER($A1726),IF(AND(AH!$P$10=1,AH!$P$12=1,$A1726=TODAY()),AH!$P$20,IF(AH!$P$10=1,INDEX('Live History'!$H$5:$H$3004,MATCH($A1726,'Live History'!$G$5:$G$3004,1)),INDEX('AH History'!$D$1:$D$18046,AH!$P$7+1721))),NA()),NA())</ns0:f>
        <ns0:v/>
      </ns0:c>
      <ns0:c r="F1726">
        <ns0:f>IFERROR(IF(ISNUMBER($A1726),IF(AND(AH!$P$10=1,AH!$P$12=1,$A1726=TODAY()),IF(AND(AH!$P$10=1,AH!$P$12=1,$A1726=TODAY()),TODAY(),NA()),IF(AH!$P$10=1,INDEX('Live History'!$D$5:$D$3004,MATCH($A1726,'Live History'!$D$5:$D$3004,1)),INDEX('AH History'!$E$1:$E$18046,AH!$P$7+1721))),NA()),NA())</ns0:f>
        <ns0:v/>
      </ns0:c>
      <ns0:c r="G1726">
        <ns0:f>IFERROR(IF(ISNUMBER($A1726),IF(AND(AH!$P$10=1,AH!$P$12=1,$A1726=TODAY()),IF(AND(AH!$P$10=1,AH!$P$12=1,$A1726=TODAY()),TODAY(),NA()),IF(AH!$P$10=1,INDEX('Live History'!$G$5:$G$3004,MATCH($A1726,'Live History'!$G$5:$G$3004,1)),INDEX('AH History'!$F$1:$F$18046,AH!$P$7+1721))),NA()),NA())</ns0:f>
        <ns0:v/>
      </ns0:c>
      <ns0:c r="H1726">
        <ns0:f>IFERROR(IF(AND(AH!$E$4="Bloomberg",AH!$P$10=1,ISNUMBER($A1726),$A1726&lt;=AH!$P$17),AH!$P$7-1+MATCH($A1726,INDEX('AH History'!$A$1:$A$18046,AH!$P$7):INDEX('AH History'!$A$1:$A$18046,AH!$P$7+AH!$P$8-1),0),0),0)</ns0:f>
        <ns0:v/>
      </ns0:c>
      <ns0:c r="I1726">
        <ns0:f>IF($H1726=0,0,IFERROR(IF(AND(ABS($C1726-INDEX('AH History'!$B$1:$B$18046,$H1726))&lt;=MAX(0.005,ABS(INDEX('AH History'!$B$1:$B$18046,$H1726))*0.00005),ABS($D1726-INDEX('AH History'!$C$1:$C$18046,$H1726))&lt;=MAX(0.005,ABS(INDEX('AH History'!$C$1:$C$18046,$H1726))*0.00005),ABS($E1726-INDEX('AH History'!$D$1:$D$18046,$H1726))&lt;=0.00005,$F1726=INDEX('AH History'!$E$1:$E$18046,$H1726),$G1726=INDEX('AH History'!$F$1:$F$18046,$H1726)),1,-1),-1))</ns0:f>
        <ns0:v/>
      </ns0:c>
    </ns0:row>
    <ns0:row r="1727">
      <ns0:c r="A1727" s="215">
        <ns0:f>IF(OR(AH!$P$3=0,1722+1&gt;AH!$P$11,AND(AH!$E$4&lt;&gt;"Stored",AH!$P$10&lt;&gt;1)),"",IFERROR(IF(AND(AH!$P$21=1,1722+1=AH!$P$11),TODAY(),IF(AH!$P$10=1,INDEX('Live History'!$A$5:$A$3004,AH!$P$13+1722),INDEX('AH History'!$A$1:$A$18046,AH!$P$7+1722))),""))</ns0:f>
        <ns0:v/>
      </ns0:c>
      <ns0:c r="B1727" s="219">
        <ns0:f>IFERROR(IF(AND(AH!$P$9&lt;&gt;1,$C1727&gt;0,$D1727&gt;0,$E1727&gt;0,$F1727&gt;0,$G1727&gt;0,$F1727&lt;=$A1727,$G1727&lt;=$A1727,$A1727-$F1727&lt;=10,$A1727-$G1727&lt;=5),$D1727*$E1727/$C1727-1,NA()),NA())</ns0:f>
        <ns0:v/>
      </ns0:c>
      <ns0:c r="C1727">
        <ns0:f>IFERROR(IF(ISNUMBER($A1727),IF(AND(AH!$P$10=1,AH!$P$12=1,$A1727=TODAY()),AH!$P$19,IF(AH!$P$10=1,INDEX('Live History'!$B$5:$B$3004,AH!$P$13+1722),INDEX('AH History'!$B$1:$B$18046,AH!$P$7+1722))),NA()),NA())</ns0:f>
        <ns0:v/>
      </ns0:c>
      <ns0:c r="D1727">
        <ns0:f>IFERROR(IF(ISNUMBER($A1727),IF(AND(AH!$P$10=1,AH!$P$12=1,$A1727=TODAY()),AH!$P$18,IF(AH!$P$10=1,INDEX('Live History'!$E$5:$E$3004,MATCH($A1727,'Live History'!$D$5:$D$3004,1)),INDEX('AH History'!$C$1:$C$18046,AH!$P$7+1722))),NA()),NA())</ns0:f>
        <ns0:v/>
      </ns0:c>
      <ns0:c r="E1727">
        <ns0:f>IFERROR(IF(ISNUMBER($A1727),IF(AND(AH!$P$10=1,AH!$P$12=1,$A1727=TODAY()),AH!$P$20,IF(AH!$P$10=1,INDEX('Live History'!$H$5:$H$3004,MATCH($A1727,'Live History'!$G$5:$G$3004,1)),INDEX('AH History'!$D$1:$D$18046,AH!$P$7+1722))),NA()),NA())</ns0:f>
        <ns0:v/>
      </ns0:c>
      <ns0:c r="F1727">
        <ns0:f>IFERROR(IF(ISNUMBER($A1727),IF(AND(AH!$P$10=1,AH!$P$12=1,$A1727=TODAY()),IF(AND(AH!$P$10=1,AH!$P$12=1,$A1727=TODAY()),TODAY(),NA()),IF(AH!$P$10=1,INDEX('Live History'!$D$5:$D$3004,MATCH($A1727,'Live History'!$D$5:$D$3004,1)),INDEX('AH History'!$E$1:$E$18046,AH!$P$7+1722))),NA()),NA())</ns0:f>
        <ns0:v/>
      </ns0:c>
      <ns0:c r="G1727">
        <ns0:f>IFERROR(IF(ISNUMBER($A1727),IF(AND(AH!$P$10=1,AH!$P$12=1,$A1727=TODAY()),IF(AND(AH!$P$10=1,AH!$P$12=1,$A1727=TODAY()),TODAY(),NA()),IF(AH!$P$10=1,INDEX('Live History'!$G$5:$G$3004,MATCH($A1727,'Live History'!$G$5:$G$3004,1)),INDEX('AH History'!$F$1:$F$18046,AH!$P$7+1722))),NA()),NA())</ns0:f>
        <ns0:v/>
      </ns0:c>
      <ns0:c r="H1727">
        <ns0:f>IFERROR(IF(AND(AH!$E$4="Bloomberg",AH!$P$10=1,ISNUMBER($A1727),$A1727&lt;=AH!$P$17),AH!$P$7-1+MATCH($A1727,INDEX('AH History'!$A$1:$A$18046,AH!$P$7):INDEX('AH History'!$A$1:$A$18046,AH!$P$7+AH!$P$8-1),0),0),0)</ns0:f>
        <ns0:v/>
      </ns0:c>
      <ns0:c r="I1727">
        <ns0:f>IF($H1727=0,0,IFERROR(IF(AND(ABS($C1727-INDEX('AH History'!$B$1:$B$18046,$H1727))&lt;=MAX(0.005,ABS(INDEX('AH History'!$B$1:$B$18046,$H1727))*0.00005),ABS($D1727-INDEX('AH History'!$C$1:$C$18046,$H1727))&lt;=MAX(0.005,ABS(INDEX('AH History'!$C$1:$C$18046,$H1727))*0.00005),ABS($E1727-INDEX('AH History'!$D$1:$D$18046,$H1727))&lt;=0.00005,$F1727=INDEX('AH History'!$E$1:$E$18046,$H1727),$G1727=INDEX('AH History'!$F$1:$F$18046,$H1727)),1,-1),-1))</ns0:f>
        <ns0:v/>
      </ns0:c>
    </ns0:row>
    <ns0:row r="1728">
      <ns0:c r="A1728" s="215">
        <ns0:f>IF(OR(AH!$P$3=0,1723+1&gt;AH!$P$11,AND(AH!$E$4&lt;&gt;"Stored",AH!$P$10&lt;&gt;1)),"",IFERROR(IF(AND(AH!$P$21=1,1723+1=AH!$P$11),TODAY(),IF(AH!$P$10=1,INDEX('Live History'!$A$5:$A$3004,AH!$P$13+1723),INDEX('AH History'!$A$1:$A$18046,AH!$P$7+1723))),""))</ns0:f>
        <ns0:v/>
      </ns0:c>
      <ns0:c r="B1728" s="219">
        <ns0:f>IFERROR(IF(AND(AH!$P$9&lt;&gt;1,$C1728&gt;0,$D1728&gt;0,$E1728&gt;0,$F1728&gt;0,$G1728&gt;0,$F1728&lt;=$A1728,$G1728&lt;=$A1728,$A1728-$F1728&lt;=10,$A1728-$G1728&lt;=5),$D1728*$E1728/$C1728-1,NA()),NA())</ns0:f>
        <ns0:v/>
      </ns0:c>
      <ns0:c r="C1728">
        <ns0:f>IFERROR(IF(ISNUMBER($A1728),IF(AND(AH!$P$10=1,AH!$P$12=1,$A1728=TODAY()),AH!$P$19,IF(AH!$P$10=1,INDEX('Live History'!$B$5:$B$3004,AH!$P$13+1723),INDEX('AH History'!$B$1:$B$18046,AH!$P$7+1723))),NA()),NA())</ns0:f>
        <ns0:v/>
      </ns0:c>
      <ns0:c r="D1728">
        <ns0:f>IFERROR(IF(ISNUMBER($A1728),IF(AND(AH!$P$10=1,AH!$P$12=1,$A1728=TODAY()),AH!$P$18,IF(AH!$P$10=1,INDEX('Live History'!$E$5:$E$3004,MATCH($A1728,'Live History'!$D$5:$D$3004,1)),INDEX('AH History'!$C$1:$C$18046,AH!$P$7+1723))),NA()),NA())</ns0:f>
        <ns0:v/>
      </ns0:c>
      <ns0:c r="E1728">
        <ns0:f>IFERROR(IF(ISNUMBER($A1728),IF(AND(AH!$P$10=1,AH!$P$12=1,$A1728=TODAY()),AH!$P$20,IF(AH!$P$10=1,INDEX('Live History'!$H$5:$H$3004,MATCH($A1728,'Live History'!$G$5:$G$3004,1)),INDEX('AH History'!$D$1:$D$18046,AH!$P$7+1723))),NA()),NA())</ns0:f>
        <ns0:v/>
      </ns0:c>
      <ns0:c r="F1728">
        <ns0:f>IFERROR(IF(ISNUMBER($A1728),IF(AND(AH!$P$10=1,AH!$P$12=1,$A1728=TODAY()),IF(AND(AH!$P$10=1,AH!$P$12=1,$A1728=TODAY()),TODAY(),NA()),IF(AH!$P$10=1,INDEX('Live History'!$D$5:$D$3004,MATCH($A1728,'Live History'!$D$5:$D$3004,1)),INDEX('AH History'!$E$1:$E$18046,AH!$P$7+1723))),NA()),NA())</ns0:f>
        <ns0:v/>
      </ns0:c>
      <ns0:c r="G1728">
        <ns0:f>IFERROR(IF(ISNUMBER($A1728),IF(AND(AH!$P$10=1,AH!$P$12=1,$A1728=TODAY()),IF(AND(AH!$P$10=1,AH!$P$12=1,$A1728=TODAY()),TODAY(),NA()),IF(AH!$P$10=1,INDEX('Live History'!$G$5:$G$3004,MATCH($A1728,'Live History'!$G$5:$G$3004,1)),INDEX('AH History'!$F$1:$F$18046,AH!$P$7+1723))),NA()),NA())</ns0:f>
        <ns0:v/>
      </ns0:c>
      <ns0:c r="H1728">
        <ns0:f>IFERROR(IF(AND(AH!$E$4="Bloomberg",AH!$P$10=1,ISNUMBER($A1728),$A1728&lt;=AH!$P$17),AH!$P$7-1+MATCH($A1728,INDEX('AH History'!$A$1:$A$18046,AH!$P$7):INDEX('AH History'!$A$1:$A$18046,AH!$P$7+AH!$P$8-1),0),0),0)</ns0:f>
        <ns0:v/>
      </ns0:c>
      <ns0:c r="I1728">
        <ns0:f>IF($H1728=0,0,IFERROR(IF(AND(ABS($C1728-INDEX('AH History'!$B$1:$B$18046,$H1728))&lt;=MAX(0.005,ABS(INDEX('AH History'!$B$1:$B$18046,$H1728))*0.00005),ABS($D1728-INDEX('AH History'!$C$1:$C$18046,$H1728))&lt;=MAX(0.005,ABS(INDEX('AH History'!$C$1:$C$18046,$H1728))*0.00005),ABS($E1728-INDEX('AH History'!$D$1:$D$18046,$H1728))&lt;=0.00005,$F1728=INDEX('AH History'!$E$1:$E$18046,$H1728),$G1728=INDEX('AH History'!$F$1:$F$18046,$H1728)),1,-1),-1))</ns0:f>
        <ns0:v/>
      </ns0:c>
    </ns0:row>
    <ns0:row r="1729">
      <ns0:c r="A1729" s="215">
        <ns0:f>IF(OR(AH!$P$3=0,1724+1&gt;AH!$P$11,AND(AH!$E$4&lt;&gt;"Stored",AH!$P$10&lt;&gt;1)),"",IFERROR(IF(AND(AH!$P$21=1,1724+1=AH!$P$11),TODAY(),IF(AH!$P$10=1,INDEX('Live History'!$A$5:$A$3004,AH!$P$13+1724),INDEX('AH History'!$A$1:$A$18046,AH!$P$7+1724))),""))</ns0:f>
        <ns0:v/>
      </ns0:c>
      <ns0:c r="B1729" s="219">
        <ns0:f>IFERROR(IF(AND(AH!$P$9&lt;&gt;1,$C1729&gt;0,$D1729&gt;0,$E1729&gt;0,$F1729&gt;0,$G1729&gt;0,$F1729&lt;=$A1729,$G1729&lt;=$A1729,$A1729-$F1729&lt;=10,$A1729-$G1729&lt;=5),$D1729*$E1729/$C1729-1,NA()),NA())</ns0:f>
        <ns0:v/>
      </ns0:c>
      <ns0:c r="C1729">
        <ns0:f>IFERROR(IF(ISNUMBER($A1729),IF(AND(AH!$P$10=1,AH!$P$12=1,$A1729=TODAY()),AH!$P$19,IF(AH!$P$10=1,INDEX('Live History'!$B$5:$B$3004,AH!$P$13+1724),INDEX('AH History'!$B$1:$B$18046,AH!$P$7+1724))),NA()),NA())</ns0:f>
        <ns0:v/>
      </ns0:c>
      <ns0:c r="D1729">
        <ns0:f>IFERROR(IF(ISNUMBER($A1729),IF(AND(AH!$P$10=1,AH!$P$12=1,$A1729=TODAY()),AH!$P$18,IF(AH!$P$10=1,INDEX('Live History'!$E$5:$E$3004,MATCH($A1729,'Live History'!$D$5:$D$3004,1)),INDEX('AH History'!$C$1:$C$18046,AH!$P$7+1724))),NA()),NA())</ns0:f>
        <ns0:v/>
      </ns0:c>
      <ns0:c r="E1729">
        <ns0:f>IFERROR(IF(ISNUMBER($A1729),IF(AND(AH!$P$10=1,AH!$P$12=1,$A1729=TODAY()),AH!$P$20,IF(AH!$P$10=1,INDEX('Live History'!$H$5:$H$3004,MATCH($A1729,'Live History'!$G$5:$G$3004,1)),INDEX('AH History'!$D$1:$D$18046,AH!$P$7+1724))),NA()),NA())</ns0:f>
        <ns0:v/>
      </ns0:c>
      <ns0:c r="F1729">
        <ns0:f>IFERROR(IF(ISNUMBER($A1729),IF(AND(AH!$P$10=1,AH!$P$12=1,$A1729=TODAY()),IF(AND(AH!$P$10=1,AH!$P$12=1,$A1729=TODAY()),TODAY(),NA()),IF(AH!$P$10=1,INDEX('Live History'!$D$5:$D$3004,MATCH($A1729,'Live History'!$D$5:$D$3004,1)),INDEX('AH History'!$E$1:$E$18046,AH!$P$7+1724))),NA()),NA())</ns0:f>
        <ns0:v/>
      </ns0:c>
      <ns0:c r="G1729">
        <ns0:f>IFERROR(IF(ISNUMBER($A1729),IF(AND(AH!$P$10=1,AH!$P$12=1,$A1729=TODAY()),IF(AND(AH!$P$10=1,AH!$P$12=1,$A1729=TODAY()),TODAY(),NA()),IF(AH!$P$10=1,INDEX('Live History'!$G$5:$G$3004,MATCH($A1729,'Live History'!$G$5:$G$3004,1)),INDEX('AH History'!$F$1:$F$18046,AH!$P$7+1724))),NA()),NA())</ns0:f>
        <ns0:v/>
      </ns0:c>
      <ns0:c r="H1729">
        <ns0:f>IFERROR(IF(AND(AH!$E$4="Bloomberg",AH!$P$10=1,ISNUMBER($A1729),$A1729&lt;=AH!$P$17),AH!$P$7-1+MATCH($A1729,INDEX('AH History'!$A$1:$A$18046,AH!$P$7):INDEX('AH History'!$A$1:$A$18046,AH!$P$7+AH!$P$8-1),0),0),0)</ns0:f>
        <ns0:v/>
      </ns0:c>
      <ns0:c r="I1729">
        <ns0:f>IF($H1729=0,0,IFERROR(IF(AND(ABS($C1729-INDEX('AH History'!$B$1:$B$18046,$H1729))&lt;=MAX(0.005,ABS(INDEX('AH History'!$B$1:$B$18046,$H1729))*0.00005),ABS($D1729-INDEX('AH History'!$C$1:$C$18046,$H1729))&lt;=MAX(0.005,ABS(INDEX('AH History'!$C$1:$C$18046,$H1729))*0.00005),ABS($E1729-INDEX('AH History'!$D$1:$D$18046,$H1729))&lt;=0.00005,$F1729=INDEX('AH History'!$E$1:$E$18046,$H1729),$G1729=INDEX('AH History'!$F$1:$F$18046,$H1729)),1,-1),-1))</ns0:f>
        <ns0:v/>
      </ns0:c>
    </ns0:row>
    <ns0:row r="1730">
      <ns0:c r="A1730" s="215">
        <ns0:f>IF(OR(AH!$P$3=0,1725+1&gt;AH!$P$11,AND(AH!$E$4&lt;&gt;"Stored",AH!$P$10&lt;&gt;1)),"",IFERROR(IF(AND(AH!$P$21=1,1725+1=AH!$P$11),TODAY(),IF(AH!$P$10=1,INDEX('Live History'!$A$5:$A$3004,AH!$P$13+1725),INDEX('AH History'!$A$1:$A$18046,AH!$P$7+1725))),""))</ns0:f>
        <ns0:v/>
      </ns0:c>
      <ns0:c r="B1730" s="219">
        <ns0:f>IFERROR(IF(AND(AH!$P$9&lt;&gt;1,$C1730&gt;0,$D1730&gt;0,$E1730&gt;0,$F1730&gt;0,$G1730&gt;0,$F1730&lt;=$A1730,$G1730&lt;=$A1730,$A1730-$F1730&lt;=10,$A1730-$G1730&lt;=5),$D1730*$E1730/$C1730-1,NA()),NA())</ns0:f>
        <ns0:v/>
      </ns0:c>
      <ns0:c r="C1730">
        <ns0:f>IFERROR(IF(ISNUMBER($A1730),IF(AND(AH!$P$10=1,AH!$P$12=1,$A1730=TODAY()),AH!$P$19,IF(AH!$P$10=1,INDEX('Live History'!$B$5:$B$3004,AH!$P$13+1725),INDEX('AH History'!$B$1:$B$18046,AH!$P$7+1725))),NA()),NA())</ns0:f>
        <ns0:v/>
      </ns0:c>
      <ns0:c r="D1730">
        <ns0:f>IFERROR(IF(ISNUMBER($A1730),IF(AND(AH!$P$10=1,AH!$P$12=1,$A1730=TODAY()),AH!$P$18,IF(AH!$P$10=1,INDEX('Live History'!$E$5:$E$3004,MATCH($A1730,'Live History'!$D$5:$D$3004,1)),INDEX('AH History'!$C$1:$C$18046,AH!$P$7+1725))),NA()),NA())</ns0:f>
        <ns0:v/>
      </ns0:c>
      <ns0:c r="E1730">
        <ns0:f>IFERROR(IF(ISNUMBER($A1730),IF(AND(AH!$P$10=1,AH!$P$12=1,$A1730=TODAY()),AH!$P$20,IF(AH!$P$10=1,INDEX('Live History'!$H$5:$H$3004,MATCH($A1730,'Live History'!$G$5:$G$3004,1)),INDEX('AH History'!$D$1:$D$18046,AH!$P$7+1725))),NA()),NA())</ns0:f>
        <ns0:v/>
      </ns0:c>
      <ns0:c r="F1730">
        <ns0:f>IFERROR(IF(ISNUMBER($A1730),IF(AND(AH!$P$10=1,AH!$P$12=1,$A1730=TODAY()),IF(AND(AH!$P$10=1,AH!$P$12=1,$A1730=TODAY()),TODAY(),NA()),IF(AH!$P$10=1,INDEX('Live History'!$D$5:$D$3004,MATCH($A1730,'Live History'!$D$5:$D$3004,1)),INDEX('AH History'!$E$1:$E$18046,AH!$P$7+1725))),NA()),NA())</ns0:f>
        <ns0:v/>
      </ns0:c>
      <ns0:c r="G1730">
        <ns0:f>IFERROR(IF(ISNUMBER($A1730),IF(AND(AH!$P$10=1,AH!$P$12=1,$A1730=TODAY()),IF(AND(AH!$P$10=1,AH!$P$12=1,$A1730=TODAY()),TODAY(),NA()),IF(AH!$P$10=1,INDEX('Live History'!$G$5:$G$3004,MATCH($A1730,'Live History'!$G$5:$G$3004,1)),INDEX('AH History'!$F$1:$F$18046,AH!$P$7+1725))),NA()),NA())</ns0:f>
        <ns0:v/>
      </ns0:c>
      <ns0:c r="H1730">
        <ns0:f>IFERROR(IF(AND(AH!$E$4="Bloomberg",AH!$P$10=1,ISNUMBER($A1730),$A1730&lt;=AH!$P$17),AH!$P$7-1+MATCH($A1730,INDEX('AH History'!$A$1:$A$18046,AH!$P$7):INDEX('AH History'!$A$1:$A$18046,AH!$P$7+AH!$P$8-1),0),0),0)</ns0:f>
        <ns0:v/>
      </ns0:c>
      <ns0:c r="I1730">
        <ns0:f>IF($H1730=0,0,IFERROR(IF(AND(ABS($C1730-INDEX('AH History'!$B$1:$B$18046,$H1730))&lt;=MAX(0.005,ABS(INDEX('AH History'!$B$1:$B$18046,$H1730))*0.00005),ABS($D1730-INDEX('AH History'!$C$1:$C$18046,$H1730))&lt;=MAX(0.005,ABS(INDEX('AH History'!$C$1:$C$18046,$H1730))*0.00005),ABS($E1730-INDEX('AH History'!$D$1:$D$18046,$H1730))&lt;=0.00005,$F1730=INDEX('AH History'!$E$1:$E$18046,$H1730),$G1730=INDEX('AH History'!$F$1:$F$18046,$H1730)),1,-1),-1))</ns0:f>
        <ns0:v/>
      </ns0:c>
    </ns0:row>
    <ns0:row r="1731">
      <ns0:c r="A1731" s="215">
        <ns0:f>IF(OR(AH!$P$3=0,1726+1&gt;AH!$P$11,AND(AH!$E$4&lt;&gt;"Stored",AH!$P$10&lt;&gt;1)),"",IFERROR(IF(AND(AH!$P$21=1,1726+1=AH!$P$11),TODAY(),IF(AH!$P$10=1,INDEX('Live History'!$A$5:$A$3004,AH!$P$13+1726),INDEX('AH History'!$A$1:$A$18046,AH!$P$7+1726))),""))</ns0:f>
        <ns0:v/>
      </ns0:c>
      <ns0:c r="B1731" s="219">
        <ns0:f>IFERROR(IF(AND(AH!$P$9&lt;&gt;1,$C1731&gt;0,$D1731&gt;0,$E1731&gt;0,$F1731&gt;0,$G1731&gt;0,$F1731&lt;=$A1731,$G1731&lt;=$A1731,$A1731-$F1731&lt;=10,$A1731-$G1731&lt;=5),$D1731*$E1731/$C1731-1,NA()),NA())</ns0:f>
        <ns0:v/>
      </ns0:c>
      <ns0:c r="C1731">
        <ns0:f>IFERROR(IF(ISNUMBER($A1731),IF(AND(AH!$P$10=1,AH!$P$12=1,$A1731=TODAY()),AH!$P$19,IF(AH!$P$10=1,INDEX('Live History'!$B$5:$B$3004,AH!$P$13+1726),INDEX('AH History'!$B$1:$B$18046,AH!$P$7+1726))),NA()),NA())</ns0:f>
        <ns0:v/>
      </ns0:c>
      <ns0:c r="D1731">
        <ns0:f>IFERROR(IF(ISNUMBER($A1731),IF(AND(AH!$P$10=1,AH!$P$12=1,$A1731=TODAY()),AH!$P$18,IF(AH!$P$10=1,INDEX('Live History'!$E$5:$E$3004,MATCH($A1731,'Live History'!$D$5:$D$3004,1)),INDEX('AH History'!$C$1:$C$18046,AH!$P$7+1726))),NA()),NA())</ns0:f>
        <ns0:v/>
      </ns0:c>
      <ns0:c r="E1731">
        <ns0:f>IFERROR(IF(ISNUMBER($A1731),IF(AND(AH!$P$10=1,AH!$P$12=1,$A1731=TODAY()),AH!$P$20,IF(AH!$P$10=1,INDEX('Live History'!$H$5:$H$3004,MATCH($A1731,'Live History'!$G$5:$G$3004,1)),INDEX('AH History'!$D$1:$D$18046,AH!$P$7+1726))),NA()),NA())</ns0:f>
        <ns0:v/>
      </ns0:c>
      <ns0:c r="F1731">
        <ns0:f>IFERROR(IF(ISNUMBER($A1731),IF(AND(AH!$P$10=1,AH!$P$12=1,$A1731=TODAY()),IF(AND(AH!$P$10=1,AH!$P$12=1,$A1731=TODAY()),TODAY(),NA()),IF(AH!$P$10=1,INDEX('Live History'!$D$5:$D$3004,MATCH($A1731,'Live History'!$D$5:$D$3004,1)),INDEX('AH History'!$E$1:$E$18046,AH!$P$7+1726))),NA()),NA())</ns0:f>
        <ns0:v/>
      </ns0:c>
      <ns0:c r="G1731">
        <ns0:f>IFERROR(IF(ISNUMBER($A1731),IF(AND(AH!$P$10=1,AH!$P$12=1,$A1731=TODAY()),IF(AND(AH!$P$10=1,AH!$P$12=1,$A1731=TODAY()),TODAY(),NA()),IF(AH!$P$10=1,INDEX('Live History'!$G$5:$G$3004,MATCH($A1731,'Live History'!$G$5:$G$3004,1)),INDEX('AH History'!$F$1:$F$18046,AH!$P$7+1726))),NA()),NA())</ns0:f>
        <ns0:v/>
      </ns0:c>
      <ns0:c r="H1731">
        <ns0:f>IFERROR(IF(AND(AH!$E$4="Bloomberg",AH!$P$10=1,ISNUMBER($A1731),$A1731&lt;=AH!$P$17),AH!$P$7-1+MATCH($A1731,INDEX('AH History'!$A$1:$A$18046,AH!$P$7):INDEX('AH History'!$A$1:$A$18046,AH!$P$7+AH!$P$8-1),0),0),0)</ns0:f>
        <ns0:v/>
      </ns0:c>
      <ns0:c r="I1731">
        <ns0:f>IF($H1731=0,0,IFERROR(IF(AND(ABS($C1731-INDEX('AH History'!$B$1:$B$18046,$H1731))&lt;=MAX(0.005,ABS(INDEX('AH History'!$B$1:$B$18046,$H1731))*0.00005),ABS($D1731-INDEX('AH History'!$C$1:$C$18046,$H1731))&lt;=MAX(0.005,ABS(INDEX('AH History'!$C$1:$C$18046,$H1731))*0.00005),ABS($E1731-INDEX('AH History'!$D$1:$D$18046,$H1731))&lt;=0.00005,$F1731=INDEX('AH History'!$E$1:$E$18046,$H1731),$G1731=INDEX('AH History'!$F$1:$F$18046,$H1731)),1,-1),-1))</ns0:f>
        <ns0:v/>
      </ns0:c>
    </ns0:row>
    <ns0:row r="1732">
      <ns0:c r="A1732" s="215">
        <ns0:f>IF(OR(AH!$P$3=0,1727+1&gt;AH!$P$11,AND(AH!$E$4&lt;&gt;"Stored",AH!$P$10&lt;&gt;1)),"",IFERROR(IF(AND(AH!$P$21=1,1727+1=AH!$P$11),TODAY(),IF(AH!$P$10=1,INDEX('Live History'!$A$5:$A$3004,AH!$P$13+1727),INDEX('AH History'!$A$1:$A$18046,AH!$P$7+1727))),""))</ns0:f>
        <ns0:v/>
      </ns0:c>
      <ns0:c r="B1732" s="219">
        <ns0:f>IFERROR(IF(AND(AH!$P$9&lt;&gt;1,$C1732&gt;0,$D1732&gt;0,$E1732&gt;0,$F1732&gt;0,$G1732&gt;0,$F1732&lt;=$A1732,$G1732&lt;=$A1732,$A1732-$F1732&lt;=10,$A1732-$G1732&lt;=5),$D1732*$E1732/$C1732-1,NA()),NA())</ns0:f>
        <ns0:v/>
      </ns0:c>
      <ns0:c r="C1732">
        <ns0:f>IFERROR(IF(ISNUMBER($A1732),IF(AND(AH!$P$10=1,AH!$P$12=1,$A1732=TODAY()),AH!$P$19,IF(AH!$P$10=1,INDEX('Live History'!$B$5:$B$3004,AH!$P$13+1727),INDEX('AH History'!$B$1:$B$18046,AH!$P$7+1727))),NA()),NA())</ns0:f>
        <ns0:v/>
      </ns0:c>
      <ns0:c r="D1732">
        <ns0:f>IFERROR(IF(ISNUMBER($A1732),IF(AND(AH!$P$10=1,AH!$P$12=1,$A1732=TODAY()),AH!$P$18,IF(AH!$P$10=1,INDEX('Live History'!$E$5:$E$3004,MATCH($A1732,'Live History'!$D$5:$D$3004,1)),INDEX('AH History'!$C$1:$C$18046,AH!$P$7+1727))),NA()),NA())</ns0:f>
        <ns0:v/>
      </ns0:c>
      <ns0:c r="E1732">
        <ns0:f>IFERROR(IF(ISNUMBER($A1732),IF(AND(AH!$P$10=1,AH!$P$12=1,$A1732=TODAY()),AH!$P$20,IF(AH!$P$10=1,INDEX('Live History'!$H$5:$H$3004,MATCH($A1732,'Live History'!$G$5:$G$3004,1)),INDEX('AH History'!$D$1:$D$18046,AH!$P$7+1727))),NA()),NA())</ns0:f>
        <ns0:v/>
      </ns0:c>
      <ns0:c r="F1732">
        <ns0:f>IFERROR(IF(ISNUMBER($A1732),IF(AND(AH!$P$10=1,AH!$P$12=1,$A1732=TODAY()),IF(AND(AH!$P$10=1,AH!$P$12=1,$A1732=TODAY()),TODAY(),NA()),IF(AH!$P$10=1,INDEX('Live History'!$D$5:$D$3004,MATCH($A1732,'Live History'!$D$5:$D$3004,1)),INDEX('AH History'!$E$1:$E$18046,AH!$P$7+1727))),NA()),NA())</ns0:f>
        <ns0:v/>
      </ns0:c>
      <ns0:c r="G1732">
        <ns0:f>IFERROR(IF(ISNUMBER($A1732),IF(AND(AH!$P$10=1,AH!$P$12=1,$A1732=TODAY()),IF(AND(AH!$P$10=1,AH!$P$12=1,$A1732=TODAY()),TODAY(),NA()),IF(AH!$P$10=1,INDEX('Live History'!$G$5:$G$3004,MATCH($A1732,'Live History'!$G$5:$G$3004,1)),INDEX('AH History'!$F$1:$F$18046,AH!$P$7+1727))),NA()),NA())</ns0:f>
        <ns0:v/>
      </ns0:c>
      <ns0:c r="H1732">
        <ns0:f>IFERROR(IF(AND(AH!$E$4="Bloomberg",AH!$P$10=1,ISNUMBER($A1732),$A1732&lt;=AH!$P$17),AH!$P$7-1+MATCH($A1732,INDEX('AH History'!$A$1:$A$18046,AH!$P$7):INDEX('AH History'!$A$1:$A$18046,AH!$P$7+AH!$P$8-1),0),0),0)</ns0:f>
        <ns0:v/>
      </ns0:c>
      <ns0:c r="I1732">
        <ns0:f>IF($H1732=0,0,IFERROR(IF(AND(ABS($C1732-INDEX('AH History'!$B$1:$B$18046,$H1732))&lt;=MAX(0.005,ABS(INDEX('AH History'!$B$1:$B$18046,$H1732))*0.00005),ABS($D1732-INDEX('AH History'!$C$1:$C$18046,$H1732))&lt;=MAX(0.005,ABS(INDEX('AH History'!$C$1:$C$18046,$H1732))*0.00005),ABS($E1732-INDEX('AH History'!$D$1:$D$18046,$H1732))&lt;=0.00005,$F1732=INDEX('AH History'!$E$1:$E$18046,$H1732),$G1732=INDEX('AH History'!$F$1:$F$18046,$H1732)),1,-1),-1))</ns0:f>
        <ns0:v/>
      </ns0:c>
    </ns0:row>
    <ns0:row r="1733">
      <ns0:c r="A1733" s="215">
        <ns0:f>IF(OR(AH!$P$3=0,1728+1&gt;AH!$P$11,AND(AH!$E$4&lt;&gt;"Stored",AH!$P$10&lt;&gt;1)),"",IFERROR(IF(AND(AH!$P$21=1,1728+1=AH!$P$11),TODAY(),IF(AH!$P$10=1,INDEX('Live History'!$A$5:$A$3004,AH!$P$13+1728),INDEX('AH History'!$A$1:$A$18046,AH!$P$7+1728))),""))</ns0:f>
        <ns0:v/>
      </ns0:c>
      <ns0:c r="B1733" s="219">
        <ns0:f>IFERROR(IF(AND(AH!$P$9&lt;&gt;1,$C1733&gt;0,$D1733&gt;0,$E1733&gt;0,$F1733&gt;0,$G1733&gt;0,$F1733&lt;=$A1733,$G1733&lt;=$A1733,$A1733-$F1733&lt;=10,$A1733-$G1733&lt;=5),$D1733*$E1733/$C1733-1,NA()),NA())</ns0:f>
        <ns0:v/>
      </ns0:c>
      <ns0:c r="C1733">
        <ns0:f>IFERROR(IF(ISNUMBER($A1733),IF(AND(AH!$P$10=1,AH!$P$12=1,$A1733=TODAY()),AH!$P$19,IF(AH!$P$10=1,INDEX('Live History'!$B$5:$B$3004,AH!$P$13+1728),INDEX('AH History'!$B$1:$B$18046,AH!$P$7+1728))),NA()),NA())</ns0:f>
        <ns0:v/>
      </ns0:c>
      <ns0:c r="D1733">
        <ns0:f>IFERROR(IF(ISNUMBER($A1733),IF(AND(AH!$P$10=1,AH!$P$12=1,$A1733=TODAY()),AH!$P$18,IF(AH!$P$10=1,INDEX('Live History'!$E$5:$E$3004,MATCH($A1733,'Live History'!$D$5:$D$3004,1)),INDEX('AH History'!$C$1:$C$18046,AH!$P$7+1728))),NA()),NA())</ns0:f>
        <ns0:v/>
      </ns0:c>
      <ns0:c r="E1733">
        <ns0:f>IFERROR(IF(ISNUMBER($A1733),IF(AND(AH!$P$10=1,AH!$P$12=1,$A1733=TODAY()),AH!$P$20,IF(AH!$P$10=1,INDEX('Live History'!$H$5:$H$3004,MATCH($A1733,'Live History'!$G$5:$G$3004,1)),INDEX('AH History'!$D$1:$D$18046,AH!$P$7+1728))),NA()),NA())</ns0:f>
        <ns0:v/>
      </ns0:c>
      <ns0:c r="F1733">
        <ns0:f>IFERROR(IF(ISNUMBER($A1733),IF(AND(AH!$P$10=1,AH!$P$12=1,$A1733=TODAY()),IF(AND(AH!$P$10=1,AH!$P$12=1,$A1733=TODAY()),TODAY(),NA()),IF(AH!$P$10=1,INDEX('Live History'!$D$5:$D$3004,MATCH($A1733,'Live History'!$D$5:$D$3004,1)),INDEX('AH History'!$E$1:$E$18046,AH!$P$7+1728))),NA()),NA())</ns0:f>
        <ns0:v/>
      </ns0:c>
      <ns0:c r="G1733">
        <ns0:f>IFERROR(IF(ISNUMBER($A1733),IF(AND(AH!$P$10=1,AH!$P$12=1,$A1733=TODAY()),IF(AND(AH!$P$10=1,AH!$P$12=1,$A1733=TODAY()),TODAY(),NA()),IF(AH!$P$10=1,INDEX('Live History'!$G$5:$G$3004,MATCH($A1733,'Live History'!$G$5:$G$3004,1)),INDEX('AH History'!$F$1:$F$18046,AH!$P$7+1728))),NA()),NA())</ns0:f>
        <ns0:v/>
      </ns0:c>
      <ns0:c r="H1733">
        <ns0:f>IFERROR(IF(AND(AH!$E$4="Bloomberg",AH!$P$10=1,ISNUMBER($A1733),$A1733&lt;=AH!$P$17),AH!$P$7-1+MATCH($A1733,INDEX('AH History'!$A$1:$A$18046,AH!$P$7):INDEX('AH History'!$A$1:$A$18046,AH!$P$7+AH!$P$8-1),0),0),0)</ns0:f>
        <ns0:v/>
      </ns0:c>
      <ns0:c r="I1733">
        <ns0:f>IF($H1733=0,0,IFERROR(IF(AND(ABS($C1733-INDEX('AH History'!$B$1:$B$18046,$H1733))&lt;=MAX(0.005,ABS(INDEX('AH History'!$B$1:$B$18046,$H1733))*0.00005),ABS($D1733-INDEX('AH History'!$C$1:$C$18046,$H1733))&lt;=MAX(0.005,ABS(INDEX('AH History'!$C$1:$C$18046,$H1733))*0.00005),ABS($E1733-INDEX('AH History'!$D$1:$D$18046,$H1733))&lt;=0.00005,$F1733=INDEX('AH History'!$E$1:$E$18046,$H1733),$G1733=INDEX('AH History'!$F$1:$F$18046,$H1733)),1,-1),-1))</ns0:f>
        <ns0:v/>
      </ns0:c>
    </ns0:row>
    <ns0:row r="1734">
      <ns0:c r="A1734" s="215">
        <ns0:f>IF(OR(AH!$P$3=0,1729+1&gt;AH!$P$11,AND(AH!$E$4&lt;&gt;"Stored",AH!$P$10&lt;&gt;1)),"",IFERROR(IF(AND(AH!$P$21=1,1729+1=AH!$P$11),TODAY(),IF(AH!$P$10=1,INDEX('Live History'!$A$5:$A$3004,AH!$P$13+1729),INDEX('AH History'!$A$1:$A$18046,AH!$P$7+1729))),""))</ns0:f>
        <ns0:v/>
      </ns0:c>
      <ns0:c r="B1734" s="219">
        <ns0:f>IFERROR(IF(AND(AH!$P$9&lt;&gt;1,$C1734&gt;0,$D1734&gt;0,$E1734&gt;0,$F1734&gt;0,$G1734&gt;0,$F1734&lt;=$A1734,$G1734&lt;=$A1734,$A1734-$F1734&lt;=10,$A1734-$G1734&lt;=5),$D1734*$E1734/$C1734-1,NA()),NA())</ns0:f>
        <ns0:v/>
      </ns0:c>
      <ns0:c r="C1734">
        <ns0:f>IFERROR(IF(ISNUMBER($A1734),IF(AND(AH!$P$10=1,AH!$P$12=1,$A1734=TODAY()),AH!$P$19,IF(AH!$P$10=1,INDEX('Live History'!$B$5:$B$3004,AH!$P$13+1729),INDEX('AH History'!$B$1:$B$18046,AH!$P$7+1729))),NA()),NA())</ns0:f>
        <ns0:v/>
      </ns0:c>
      <ns0:c r="D1734">
        <ns0:f>IFERROR(IF(ISNUMBER($A1734),IF(AND(AH!$P$10=1,AH!$P$12=1,$A1734=TODAY()),AH!$P$18,IF(AH!$P$10=1,INDEX('Live History'!$E$5:$E$3004,MATCH($A1734,'Live History'!$D$5:$D$3004,1)),INDEX('AH History'!$C$1:$C$18046,AH!$P$7+1729))),NA()),NA())</ns0:f>
        <ns0:v/>
      </ns0:c>
      <ns0:c r="E1734">
        <ns0:f>IFERROR(IF(ISNUMBER($A1734),IF(AND(AH!$P$10=1,AH!$P$12=1,$A1734=TODAY()),AH!$P$20,IF(AH!$P$10=1,INDEX('Live History'!$H$5:$H$3004,MATCH($A1734,'Live History'!$G$5:$G$3004,1)),INDEX('AH History'!$D$1:$D$18046,AH!$P$7+1729))),NA()),NA())</ns0:f>
        <ns0:v/>
      </ns0:c>
      <ns0:c r="F1734">
        <ns0:f>IFERROR(IF(ISNUMBER($A1734),IF(AND(AH!$P$10=1,AH!$P$12=1,$A1734=TODAY()),IF(AND(AH!$P$10=1,AH!$P$12=1,$A1734=TODAY()),TODAY(),NA()),IF(AH!$P$10=1,INDEX('Live History'!$D$5:$D$3004,MATCH($A1734,'Live History'!$D$5:$D$3004,1)),INDEX('AH History'!$E$1:$E$18046,AH!$P$7+1729))),NA()),NA())</ns0:f>
        <ns0:v/>
      </ns0:c>
      <ns0:c r="G1734">
        <ns0:f>IFERROR(IF(ISNUMBER($A1734),IF(AND(AH!$P$10=1,AH!$P$12=1,$A1734=TODAY()),IF(AND(AH!$P$10=1,AH!$P$12=1,$A1734=TODAY()),TODAY(),NA()),IF(AH!$P$10=1,INDEX('Live History'!$G$5:$G$3004,MATCH($A1734,'Live History'!$G$5:$G$3004,1)),INDEX('AH History'!$F$1:$F$18046,AH!$P$7+1729))),NA()),NA())</ns0:f>
        <ns0:v/>
      </ns0:c>
      <ns0:c r="H1734">
        <ns0:f>IFERROR(IF(AND(AH!$E$4="Bloomberg",AH!$P$10=1,ISNUMBER($A1734),$A1734&lt;=AH!$P$17),AH!$P$7-1+MATCH($A1734,INDEX('AH History'!$A$1:$A$18046,AH!$P$7):INDEX('AH History'!$A$1:$A$18046,AH!$P$7+AH!$P$8-1),0),0),0)</ns0:f>
        <ns0:v/>
      </ns0:c>
      <ns0:c r="I1734">
        <ns0:f>IF($H1734=0,0,IFERROR(IF(AND(ABS($C1734-INDEX('AH History'!$B$1:$B$18046,$H1734))&lt;=MAX(0.005,ABS(INDEX('AH History'!$B$1:$B$18046,$H1734))*0.00005),ABS($D1734-INDEX('AH History'!$C$1:$C$18046,$H1734))&lt;=MAX(0.005,ABS(INDEX('AH History'!$C$1:$C$18046,$H1734))*0.00005),ABS($E1734-INDEX('AH History'!$D$1:$D$18046,$H1734))&lt;=0.00005,$F1734=INDEX('AH History'!$E$1:$E$18046,$H1734),$G1734=INDEX('AH History'!$F$1:$F$18046,$H1734)),1,-1),-1))</ns0:f>
        <ns0:v/>
      </ns0:c>
    </ns0:row>
    <ns0:row r="1735">
      <ns0:c r="A1735" s="215">
        <ns0:f>IF(OR(AH!$P$3=0,1730+1&gt;AH!$P$11,AND(AH!$E$4&lt;&gt;"Stored",AH!$P$10&lt;&gt;1)),"",IFERROR(IF(AND(AH!$P$21=1,1730+1=AH!$P$11),TODAY(),IF(AH!$P$10=1,INDEX('Live History'!$A$5:$A$3004,AH!$P$13+1730),INDEX('AH History'!$A$1:$A$18046,AH!$P$7+1730))),""))</ns0:f>
        <ns0:v/>
      </ns0:c>
      <ns0:c r="B1735" s="219">
        <ns0:f>IFERROR(IF(AND(AH!$P$9&lt;&gt;1,$C1735&gt;0,$D1735&gt;0,$E1735&gt;0,$F1735&gt;0,$G1735&gt;0,$F1735&lt;=$A1735,$G1735&lt;=$A1735,$A1735-$F1735&lt;=10,$A1735-$G1735&lt;=5),$D1735*$E1735/$C1735-1,NA()),NA())</ns0:f>
        <ns0:v/>
      </ns0:c>
      <ns0:c r="C1735">
        <ns0:f>IFERROR(IF(ISNUMBER($A1735),IF(AND(AH!$P$10=1,AH!$P$12=1,$A1735=TODAY()),AH!$P$19,IF(AH!$P$10=1,INDEX('Live History'!$B$5:$B$3004,AH!$P$13+1730),INDEX('AH History'!$B$1:$B$18046,AH!$P$7+1730))),NA()),NA())</ns0:f>
        <ns0:v/>
      </ns0:c>
      <ns0:c r="D1735">
        <ns0:f>IFERROR(IF(ISNUMBER($A1735),IF(AND(AH!$P$10=1,AH!$P$12=1,$A1735=TODAY()),AH!$P$18,IF(AH!$P$10=1,INDEX('Live History'!$E$5:$E$3004,MATCH($A1735,'Live History'!$D$5:$D$3004,1)),INDEX('AH History'!$C$1:$C$18046,AH!$P$7+1730))),NA()),NA())</ns0:f>
        <ns0:v/>
      </ns0:c>
      <ns0:c r="E1735">
        <ns0:f>IFERROR(IF(ISNUMBER($A1735),IF(AND(AH!$P$10=1,AH!$P$12=1,$A1735=TODAY()),AH!$P$20,IF(AH!$P$10=1,INDEX('Live History'!$H$5:$H$3004,MATCH($A1735,'Live History'!$G$5:$G$3004,1)),INDEX('AH History'!$D$1:$D$18046,AH!$P$7+1730))),NA()),NA())</ns0:f>
        <ns0:v/>
      </ns0:c>
      <ns0:c r="F1735">
        <ns0:f>IFERROR(IF(ISNUMBER($A1735),IF(AND(AH!$P$10=1,AH!$P$12=1,$A1735=TODAY()),IF(AND(AH!$P$10=1,AH!$P$12=1,$A1735=TODAY()),TODAY(),NA()),IF(AH!$P$10=1,INDEX('Live History'!$D$5:$D$3004,MATCH($A1735,'Live History'!$D$5:$D$3004,1)),INDEX('AH History'!$E$1:$E$18046,AH!$P$7+1730))),NA()),NA())</ns0:f>
        <ns0:v/>
      </ns0:c>
      <ns0:c r="G1735">
        <ns0:f>IFERROR(IF(ISNUMBER($A1735),IF(AND(AH!$P$10=1,AH!$P$12=1,$A1735=TODAY()),IF(AND(AH!$P$10=1,AH!$P$12=1,$A1735=TODAY()),TODAY(),NA()),IF(AH!$P$10=1,INDEX('Live History'!$G$5:$G$3004,MATCH($A1735,'Live History'!$G$5:$G$3004,1)),INDEX('AH History'!$F$1:$F$18046,AH!$P$7+1730))),NA()),NA())</ns0:f>
        <ns0:v/>
      </ns0:c>
      <ns0:c r="H1735">
        <ns0:f>IFERROR(IF(AND(AH!$E$4="Bloomberg",AH!$P$10=1,ISNUMBER($A1735),$A1735&lt;=AH!$P$17),AH!$P$7-1+MATCH($A1735,INDEX('AH History'!$A$1:$A$18046,AH!$P$7):INDEX('AH History'!$A$1:$A$18046,AH!$P$7+AH!$P$8-1),0),0),0)</ns0:f>
        <ns0:v/>
      </ns0:c>
      <ns0:c r="I1735">
        <ns0:f>IF($H1735=0,0,IFERROR(IF(AND(ABS($C1735-INDEX('AH History'!$B$1:$B$18046,$H1735))&lt;=MAX(0.005,ABS(INDEX('AH History'!$B$1:$B$18046,$H1735))*0.00005),ABS($D1735-INDEX('AH History'!$C$1:$C$18046,$H1735))&lt;=MAX(0.005,ABS(INDEX('AH History'!$C$1:$C$18046,$H1735))*0.00005),ABS($E1735-INDEX('AH History'!$D$1:$D$18046,$H1735))&lt;=0.00005,$F1735=INDEX('AH History'!$E$1:$E$18046,$H1735),$G1735=INDEX('AH History'!$F$1:$F$18046,$H1735)),1,-1),-1))</ns0:f>
        <ns0:v/>
      </ns0:c>
    </ns0:row>
    <ns0:row r="1736">
      <ns0:c r="A1736" s="215">
        <ns0:f>IF(OR(AH!$P$3=0,1731+1&gt;AH!$P$11,AND(AH!$E$4&lt;&gt;"Stored",AH!$P$10&lt;&gt;1)),"",IFERROR(IF(AND(AH!$P$21=1,1731+1=AH!$P$11),TODAY(),IF(AH!$P$10=1,INDEX('Live History'!$A$5:$A$3004,AH!$P$13+1731),INDEX('AH History'!$A$1:$A$18046,AH!$P$7+1731))),""))</ns0:f>
        <ns0:v/>
      </ns0:c>
      <ns0:c r="B1736" s="219">
        <ns0:f>IFERROR(IF(AND(AH!$P$9&lt;&gt;1,$C1736&gt;0,$D1736&gt;0,$E1736&gt;0,$F1736&gt;0,$G1736&gt;0,$F1736&lt;=$A1736,$G1736&lt;=$A1736,$A1736-$F1736&lt;=10,$A1736-$G1736&lt;=5),$D1736*$E1736/$C1736-1,NA()),NA())</ns0:f>
        <ns0:v/>
      </ns0:c>
      <ns0:c r="C1736">
        <ns0:f>IFERROR(IF(ISNUMBER($A1736),IF(AND(AH!$P$10=1,AH!$P$12=1,$A1736=TODAY()),AH!$P$19,IF(AH!$P$10=1,INDEX('Live History'!$B$5:$B$3004,AH!$P$13+1731),INDEX('AH History'!$B$1:$B$18046,AH!$P$7+1731))),NA()),NA())</ns0:f>
        <ns0:v/>
      </ns0:c>
      <ns0:c r="D1736">
        <ns0:f>IFERROR(IF(ISNUMBER($A1736),IF(AND(AH!$P$10=1,AH!$P$12=1,$A1736=TODAY()),AH!$P$18,IF(AH!$P$10=1,INDEX('Live History'!$E$5:$E$3004,MATCH($A1736,'Live History'!$D$5:$D$3004,1)),INDEX('AH History'!$C$1:$C$18046,AH!$P$7+1731))),NA()),NA())</ns0:f>
        <ns0:v/>
      </ns0:c>
      <ns0:c r="E1736">
        <ns0:f>IFERROR(IF(ISNUMBER($A1736),IF(AND(AH!$P$10=1,AH!$P$12=1,$A1736=TODAY()),AH!$P$20,IF(AH!$P$10=1,INDEX('Live History'!$H$5:$H$3004,MATCH($A1736,'Live History'!$G$5:$G$3004,1)),INDEX('AH History'!$D$1:$D$18046,AH!$P$7+1731))),NA()),NA())</ns0:f>
        <ns0:v/>
      </ns0:c>
      <ns0:c r="F1736">
        <ns0:f>IFERROR(IF(ISNUMBER($A1736),IF(AND(AH!$P$10=1,AH!$P$12=1,$A1736=TODAY()),IF(AND(AH!$P$10=1,AH!$P$12=1,$A1736=TODAY()),TODAY(),NA()),IF(AH!$P$10=1,INDEX('Live History'!$D$5:$D$3004,MATCH($A1736,'Live History'!$D$5:$D$3004,1)),INDEX('AH History'!$E$1:$E$18046,AH!$P$7+1731))),NA()),NA())</ns0:f>
        <ns0:v/>
      </ns0:c>
      <ns0:c r="G1736">
        <ns0:f>IFERROR(IF(ISNUMBER($A1736),IF(AND(AH!$P$10=1,AH!$P$12=1,$A1736=TODAY()),IF(AND(AH!$P$10=1,AH!$P$12=1,$A1736=TODAY()),TODAY(),NA()),IF(AH!$P$10=1,INDEX('Live History'!$G$5:$G$3004,MATCH($A1736,'Live History'!$G$5:$G$3004,1)),INDEX('AH History'!$F$1:$F$18046,AH!$P$7+1731))),NA()),NA())</ns0:f>
        <ns0:v/>
      </ns0:c>
      <ns0:c r="H1736">
        <ns0:f>IFERROR(IF(AND(AH!$E$4="Bloomberg",AH!$P$10=1,ISNUMBER($A1736),$A1736&lt;=AH!$P$17),AH!$P$7-1+MATCH($A1736,INDEX('AH History'!$A$1:$A$18046,AH!$P$7):INDEX('AH History'!$A$1:$A$18046,AH!$P$7+AH!$P$8-1),0),0),0)</ns0:f>
        <ns0:v/>
      </ns0:c>
      <ns0:c r="I1736">
        <ns0:f>IF($H1736=0,0,IFERROR(IF(AND(ABS($C1736-INDEX('AH History'!$B$1:$B$18046,$H1736))&lt;=MAX(0.005,ABS(INDEX('AH History'!$B$1:$B$18046,$H1736))*0.00005),ABS($D1736-INDEX('AH History'!$C$1:$C$18046,$H1736))&lt;=MAX(0.005,ABS(INDEX('AH History'!$C$1:$C$18046,$H1736))*0.00005),ABS($E1736-INDEX('AH History'!$D$1:$D$18046,$H1736))&lt;=0.00005,$F1736=INDEX('AH History'!$E$1:$E$18046,$H1736),$G1736=INDEX('AH History'!$F$1:$F$18046,$H1736)),1,-1),-1))</ns0:f>
        <ns0:v/>
      </ns0:c>
    </ns0:row>
    <ns0:row r="1737">
      <ns0:c r="A1737" s="215">
        <ns0:f>IF(OR(AH!$P$3=0,1732+1&gt;AH!$P$11,AND(AH!$E$4&lt;&gt;"Stored",AH!$P$10&lt;&gt;1)),"",IFERROR(IF(AND(AH!$P$21=1,1732+1=AH!$P$11),TODAY(),IF(AH!$P$10=1,INDEX('Live History'!$A$5:$A$3004,AH!$P$13+1732),INDEX('AH History'!$A$1:$A$18046,AH!$P$7+1732))),""))</ns0:f>
        <ns0:v/>
      </ns0:c>
      <ns0:c r="B1737" s="219">
        <ns0:f>IFERROR(IF(AND(AH!$P$9&lt;&gt;1,$C1737&gt;0,$D1737&gt;0,$E1737&gt;0,$F1737&gt;0,$G1737&gt;0,$F1737&lt;=$A1737,$G1737&lt;=$A1737,$A1737-$F1737&lt;=10,$A1737-$G1737&lt;=5),$D1737*$E1737/$C1737-1,NA()),NA())</ns0:f>
        <ns0:v/>
      </ns0:c>
      <ns0:c r="C1737">
        <ns0:f>IFERROR(IF(ISNUMBER($A1737),IF(AND(AH!$P$10=1,AH!$P$12=1,$A1737=TODAY()),AH!$P$19,IF(AH!$P$10=1,INDEX('Live History'!$B$5:$B$3004,AH!$P$13+1732),INDEX('AH History'!$B$1:$B$18046,AH!$P$7+1732))),NA()),NA())</ns0:f>
        <ns0:v/>
      </ns0:c>
      <ns0:c r="D1737">
        <ns0:f>IFERROR(IF(ISNUMBER($A1737),IF(AND(AH!$P$10=1,AH!$P$12=1,$A1737=TODAY()),AH!$P$18,IF(AH!$P$10=1,INDEX('Live History'!$E$5:$E$3004,MATCH($A1737,'Live History'!$D$5:$D$3004,1)),INDEX('AH History'!$C$1:$C$18046,AH!$P$7+1732))),NA()),NA())</ns0:f>
        <ns0:v/>
      </ns0:c>
      <ns0:c r="E1737">
        <ns0:f>IFERROR(IF(ISNUMBER($A1737),IF(AND(AH!$P$10=1,AH!$P$12=1,$A1737=TODAY()),AH!$P$20,IF(AH!$P$10=1,INDEX('Live History'!$H$5:$H$3004,MATCH($A1737,'Live History'!$G$5:$G$3004,1)),INDEX('AH History'!$D$1:$D$18046,AH!$P$7+1732))),NA()),NA())</ns0:f>
        <ns0:v/>
      </ns0:c>
      <ns0:c r="F1737">
        <ns0:f>IFERROR(IF(ISNUMBER($A1737),IF(AND(AH!$P$10=1,AH!$P$12=1,$A1737=TODAY()),IF(AND(AH!$P$10=1,AH!$P$12=1,$A1737=TODAY()),TODAY(),NA()),IF(AH!$P$10=1,INDEX('Live History'!$D$5:$D$3004,MATCH($A1737,'Live History'!$D$5:$D$3004,1)),INDEX('AH History'!$E$1:$E$18046,AH!$P$7+1732))),NA()),NA())</ns0:f>
        <ns0:v/>
      </ns0:c>
      <ns0:c r="G1737">
        <ns0:f>IFERROR(IF(ISNUMBER($A1737),IF(AND(AH!$P$10=1,AH!$P$12=1,$A1737=TODAY()),IF(AND(AH!$P$10=1,AH!$P$12=1,$A1737=TODAY()),TODAY(),NA()),IF(AH!$P$10=1,INDEX('Live History'!$G$5:$G$3004,MATCH($A1737,'Live History'!$G$5:$G$3004,1)),INDEX('AH History'!$F$1:$F$18046,AH!$P$7+1732))),NA()),NA())</ns0:f>
        <ns0:v/>
      </ns0:c>
      <ns0:c r="H1737">
        <ns0:f>IFERROR(IF(AND(AH!$E$4="Bloomberg",AH!$P$10=1,ISNUMBER($A1737),$A1737&lt;=AH!$P$17),AH!$P$7-1+MATCH($A1737,INDEX('AH History'!$A$1:$A$18046,AH!$P$7):INDEX('AH History'!$A$1:$A$18046,AH!$P$7+AH!$P$8-1),0),0),0)</ns0:f>
        <ns0:v/>
      </ns0:c>
      <ns0:c r="I1737">
        <ns0:f>IF($H1737=0,0,IFERROR(IF(AND(ABS($C1737-INDEX('AH History'!$B$1:$B$18046,$H1737))&lt;=MAX(0.005,ABS(INDEX('AH History'!$B$1:$B$18046,$H1737))*0.00005),ABS($D1737-INDEX('AH History'!$C$1:$C$18046,$H1737))&lt;=MAX(0.005,ABS(INDEX('AH History'!$C$1:$C$18046,$H1737))*0.00005),ABS($E1737-INDEX('AH History'!$D$1:$D$18046,$H1737))&lt;=0.00005,$F1737=INDEX('AH History'!$E$1:$E$18046,$H1737),$G1737=INDEX('AH History'!$F$1:$F$18046,$H1737)),1,-1),-1))</ns0:f>
        <ns0:v/>
      </ns0:c>
    </ns0:row>
    <ns0:row r="1738">
      <ns0:c r="A1738" s="215">
        <ns0:f>IF(OR(AH!$P$3=0,1733+1&gt;AH!$P$11,AND(AH!$E$4&lt;&gt;"Stored",AH!$P$10&lt;&gt;1)),"",IFERROR(IF(AND(AH!$P$21=1,1733+1=AH!$P$11),TODAY(),IF(AH!$P$10=1,INDEX('Live History'!$A$5:$A$3004,AH!$P$13+1733),INDEX('AH History'!$A$1:$A$18046,AH!$P$7+1733))),""))</ns0:f>
        <ns0:v/>
      </ns0:c>
      <ns0:c r="B1738" s="219">
        <ns0:f>IFERROR(IF(AND(AH!$P$9&lt;&gt;1,$C1738&gt;0,$D1738&gt;0,$E1738&gt;0,$F1738&gt;0,$G1738&gt;0,$F1738&lt;=$A1738,$G1738&lt;=$A1738,$A1738-$F1738&lt;=10,$A1738-$G1738&lt;=5),$D1738*$E1738/$C1738-1,NA()),NA())</ns0:f>
        <ns0:v/>
      </ns0:c>
      <ns0:c r="C1738">
        <ns0:f>IFERROR(IF(ISNUMBER($A1738),IF(AND(AH!$P$10=1,AH!$P$12=1,$A1738=TODAY()),AH!$P$19,IF(AH!$P$10=1,INDEX('Live History'!$B$5:$B$3004,AH!$P$13+1733),INDEX('AH History'!$B$1:$B$18046,AH!$P$7+1733))),NA()),NA())</ns0:f>
        <ns0:v/>
      </ns0:c>
      <ns0:c r="D1738">
        <ns0:f>IFERROR(IF(ISNUMBER($A1738),IF(AND(AH!$P$10=1,AH!$P$12=1,$A1738=TODAY()),AH!$P$18,IF(AH!$P$10=1,INDEX('Live History'!$E$5:$E$3004,MATCH($A1738,'Live History'!$D$5:$D$3004,1)),INDEX('AH History'!$C$1:$C$18046,AH!$P$7+1733))),NA()),NA())</ns0:f>
        <ns0:v/>
      </ns0:c>
      <ns0:c r="E1738">
        <ns0:f>IFERROR(IF(ISNUMBER($A1738),IF(AND(AH!$P$10=1,AH!$P$12=1,$A1738=TODAY()),AH!$P$20,IF(AH!$P$10=1,INDEX('Live History'!$H$5:$H$3004,MATCH($A1738,'Live History'!$G$5:$G$3004,1)),INDEX('AH History'!$D$1:$D$18046,AH!$P$7+1733))),NA()),NA())</ns0:f>
        <ns0:v/>
      </ns0:c>
      <ns0:c r="F1738">
        <ns0:f>IFERROR(IF(ISNUMBER($A1738),IF(AND(AH!$P$10=1,AH!$P$12=1,$A1738=TODAY()),IF(AND(AH!$P$10=1,AH!$P$12=1,$A1738=TODAY()),TODAY(),NA()),IF(AH!$P$10=1,INDEX('Live History'!$D$5:$D$3004,MATCH($A1738,'Live History'!$D$5:$D$3004,1)),INDEX('AH History'!$E$1:$E$18046,AH!$P$7+1733))),NA()),NA())</ns0:f>
        <ns0:v/>
      </ns0:c>
      <ns0:c r="G1738">
        <ns0:f>IFERROR(IF(ISNUMBER($A1738),IF(AND(AH!$P$10=1,AH!$P$12=1,$A1738=TODAY()),IF(AND(AH!$P$10=1,AH!$P$12=1,$A1738=TODAY()),TODAY(),NA()),IF(AH!$P$10=1,INDEX('Live History'!$G$5:$G$3004,MATCH($A1738,'Live History'!$G$5:$G$3004,1)),INDEX('AH History'!$F$1:$F$18046,AH!$P$7+1733))),NA()),NA())</ns0:f>
        <ns0:v/>
      </ns0:c>
      <ns0:c r="H1738">
        <ns0:f>IFERROR(IF(AND(AH!$E$4="Bloomberg",AH!$P$10=1,ISNUMBER($A1738),$A1738&lt;=AH!$P$17),AH!$P$7-1+MATCH($A1738,INDEX('AH History'!$A$1:$A$18046,AH!$P$7):INDEX('AH History'!$A$1:$A$18046,AH!$P$7+AH!$P$8-1),0),0),0)</ns0:f>
        <ns0:v/>
      </ns0:c>
      <ns0:c r="I1738">
        <ns0:f>IF($H1738=0,0,IFERROR(IF(AND(ABS($C1738-INDEX('AH History'!$B$1:$B$18046,$H1738))&lt;=MAX(0.005,ABS(INDEX('AH History'!$B$1:$B$18046,$H1738))*0.00005),ABS($D1738-INDEX('AH History'!$C$1:$C$18046,$H1738))&lt;=MAX(0.005,ABS(INDEX('AH History'!$C$1:$C$18046,$H1738))*0.00005),ABS($E1738-INDEX('AH History'!$D$1:$D$18046,$H1738))&lt;=0.00005,$F1738=INDEX('AH History'!$E$1:$E$18046,$H1738),$G1738=INDEX('AH History'!$F$1:$F$18046,$H1738)),1,-1),-1))</ns0:f>
        <ns0:v/>
      </ns0:c>
    </ns0:row>
    <ns0:row r="1739">
      <ns0:c r="A1739" s="215">
        <ns0:f>IF(OR(AH!$P$3=0,1734+1&gt;AH!$P$11,AND(AH!$E$4&lt;&gt;"Stored",AH!$P$10&lt;&gt;1)),"",IFERROR(IF(AND(AH!$P$21=1,1734+1=AH!$P$11),TODAY(),IF(AH!$P$10=1,INDEX('Live History'!$A$5:$A$3004,AH!$P$13+1734),INDEX('AH History'!$A$1:$A$18046,AH!$P$7+1734))),""))</ns0:f>
        <ns0:v/>
      </ns0:c>
      <ns0:c r="B1739" s="219">
        <ns0:f>IFERROR(IF(AND(AH!$P$9&lt;&gt;1,$C1739&gt;0,$D1739&gt;0,$E1739&gt;0,$F1739&gt;0,$G1739&gt;0,$F1739&lt;=$A1739,$G1739&lt;=$A1739,$A1739-$F1739&lt;=10,$A1739-$G1739&lt;=5),$D1739*$E1739/$C1739-1,NA()),NA())</ns0:f>
        <ns0:v/>
      </ns0:c>
      <ns0:c r="C1739">
        <ns0:f>IFERROR(IF(ISNUMBER($A1739),IF(AND(AH!$P$10=1,AH!$P$12=1,$A1739=TODAY()),AH!$P$19,IF(AH!$P$10=1,INDEX('Live History'!$B$5:$B$3004,AH!$P$13+1734),INDEX('AH History'!$B$1:$B$18046,AH!$P$7+1734))),NA()),NA())</ns0:f>
        <ns0:v/>
      </ns0:c>
      <ns0:c r="D1739">
        <ns0:f>IFERROR(IF(ISNUMBER($A1739),IF(AND(AH!$P$10=1,AH!$P$12=1,$A1739=TODAY()),AH!$P$18,IF(AH!$P$10=1,INDEX('Live History'!$E$5:$E$3004,MATCH($A1739,'Live History'!$D$5:$D$3004,1)),INDEX('AH History'!$C$1:$C$18046,AH!$P$7+1734))),NA()),NA())</ns0:f>
        <ns0:v/>
      </ns0:c>
      <ns0:c r="E1739">
        <ns0:f>IFERROR(IF(ISNUMBER($A1739),IF(AND(AH!$P$10=1,AH!$P$12=1,$A1739=TODAY()),AH!$P$20,IF(AH!$P$10=1,INDEX('Live History'!$H$5:$H$3004,MATCH($A1739,'Live History'!$G$5:$G$3004,1)),INDEX('AH History'!$D$1:$D$18046,AH!$P$7+1734))),NA()),NA())</ns0:f>
        <ns0:v/>
      </ns0:c>
      <ns0:c r="F1739">
        <ns0:f>IFERROR(IF(ISNUMBER($A1739),IF(AND(AH!$P$10=1,AH!$P$12=1,$A1739=TODAY()),IF(AND(AH!$P$10=1,AH!$P$12=1,$A1739=TODAY()),TODAY(),NA()),IF(AH!$P$10=1,INDEX('Live History'!$D$5:$D$3004,MATCH($A1739,'Live History'!$D$5:$D$3004,1)),INDEX('AH History'!$E$1:$E$18046,AH!$P$7+1734))),NA()),NA())</ns0:f>
        <ns0:v/>
      </ns0:c>
      <ns0:c r="G1739">
        <ns0:f>IFERROR(IF(ISNUMBER($A1739),IF(AND(AH!$P$10=1,AH!$P$12=1,$A1739=TODAY()),IF(AND(AH!$P$10=1,AH!$P$12=1,$A1739=TODAY()),TODAY(),NA()),IF(AH!$P$10=1,INDEX('Live History'!$G$5:$G$3004,MATCH($A1739,'Live History'!$G$5:$G$3004,1)),INDEX('AH History'!$F$1:$F$18046,AH!$P$7+1734))),NA()),NA())</ns0:f>
        <ns0:v/>
      </ns0:c>
      <ns0:c r="H1739">
        <ns0:f>IFERROR(IF(AND(AH!$E$4="Bloomberg",AH!$P$10=1,ISNUMBER($A1739),$A1739&lt;=AH!$P$17),AH!$P$7-1+MATCH($A1739,INDEX('AH History'!$A$1:$A$18046,AH!$P$7):INDEX('AH History'!$A$1:$A$18046,AH!$P$7+AH!$P$8-1),0),0),0)</ns0:f>
        <ns0:v/>
      </ns0:c>
      <ns0:c r="I1739">
        <ns0:f>IF($H1739=0,0,IFERROR(IF(AND(ABS($C1739-INDEX('AH History'!$B$1:$B$18046,$H1739))&lt;=MAX(0.005,ABS(INDEX('AH History'!$B$1:$B$18046,$H1739))*0.00005),ABS($D1739-INDEX('AH History'!$C$1:$C$18046,$H1739))&lt;=MAX(0.005,ABS(INDEX('AH History'!$C$1:$C$18046,$H1739))*0.00005),ABS($E1739-INDEX('AH History'!$D$1:$D$18046,$H1739))&lt;=0.00005,$F1739=INDEX('AH History'!$E$1:$E$18046,$H1739),$G1739=INDEX('AH History'!$F$1:$F$18046,$H1739)),1,-1),-1))</ns0:f>
        <ns0:v/>
      </ns0:c>
    </ns0:row>
    <ns0:row r="1740">
      <ns0:c r="A1740" s="215">
        <ns0:f>IF(OR(AH!$P$3=0,1735+1&gt;AH!$P$11,AND(AH!$E$4&lt;&gt;"Stored",AH!$P$10&lt;&gt;1)),"",IFERROR(IF(AND(AH!$P$21=1,1735+1=AH!$P$11),TODAY(),IF(AH!$P$10=1,INDEX('Live History'!$A$5:$A$3004,AH!$P$13+1735),INDEX('AH History'!$A$1:$A$18046,AH!$P$7+1735))),""))</ns0:f>
        <ns0:v/>
      </ns0:c>
      <ns0:c r="B1740" s="219">
        <ns0:f>IFERROR(IF(AND(AH!$P$9&lt;&gt;1,$C1740&gt;0,$D1740&gt;0,$E1740&gt;0,$F1740&gt;0,$G1740&gt;0,$F1740&lt;=$A1740,$G1740&lt;=$A1740,$A1740-$F1740&lt;=10,$A1740-$G1740&lt;=5),$D1740*$E1740/$C1740-1,NA()),NA())</ns0:f>
        <ns0:v/>
      </ns0:c>
      <ns0:c r="C1740">
        <ns0:f>IFERROR(IF(ISNUMBER($A1740),IF(AND(AH!$P$10=1,AH!$P$12=1,$A1740=TODAY()),AH!$P$19,IF(AH!$P$10=1,INDEX('Live History'!$B$5:$B$3004,AH!$P$13+1735),INDEX('AH History'!$B$1:$B$18046,AH!$P$7+1735))),NA()),NA())</ns0:f>
        <ns0:v/>
      </ns0:c>
      <ns0:c r="D1740">
        <ns0:f>IFERROR(IF(ISNUMBER($A1740),IF(AND(AH!$P$10=1,AH!$P$12=1,$A1740=TODAY()),AH!$P$18,IF(AH!$P$10=1,INDEX('Live History'!$E$5:$E$3004,MATCH($A1740,'Live History'!$D$5:$D$3004,1)),INDEX('AH History'!$C$1:$C$18046,AH!$P$7+1735))),NA()),NA())</ns0:f>
        <ns0:v/>
      </ns0:c>
      <ns0:c r="E1740">
        <ns0:f>IFERROR(IF(ISNUMBER($A1740),IF(AND(AH!$P$10=1,AH!$P$12=1,$A1740=TODAY()),AH!$P$20,IF(AH!$P$10=1,INDEX('Live History'!$H$5:$H$3004,MATCH($A1740,'Live History'!$G$5:$G$3004,1)),INDEX('AH History'!$D$1:$D$18046,AH!$P$7+1735))),NA()),NA())</ns0:f>
        <ns0:v/>
      </ns0:c>
      <ns0:c r="F1740">
        <ns0:f>IFERROR(IF(ISNUMBER($A1740),IF(AND(AH!$P$10=1,AH!$P$12=1,$A1740=TODAY()),IF(AND(AH!$P$10=1,AH!$P$12=1,$A1740=TODAY()),TODAY(),NA()),IF(AH!$P$10=1,INDEX('Live History'!$D$5:$D$3004,MATCH($A1740,'Live History'!$D$5:$D$3004,1)),INDEX('AH History'!$E$1:$E$18046,AH!$P$7+1735))),NA()),NA())</ns0:f>
        <ns0:v/>
      </ns0:c>
      <ns0:c r="G1740">
        <ns0:f>IFERROR(IF(ISNUMBER($A1740),IF(AND(AH!$P$10=1,AH!$P$12=1,$A1740=TODAY()),IF(AND(AH!$P$10=1,AH!$P$12=1,$A1740=TODAY()),TODAY(),NA()),IF(AH!$P$10=1,INDEX('Live History'!$G$5:$G$3004,MATCH($A1740,'Live History'!$G$5:$G$3004,1)),INDEX('AH History'!$F$1:$F$18046,AH!$P$7+1735))),NA()),NA())</ns0:f>
        <ns0:v/>
      </ns0:c>
      <ns0:c r="H1740">
        <ns0:f>IFERROR(IF(AND(AH!$E$4="Bloomberg",AH!$P$10=1,ISNUMBER($A1740),$A1740&lt;=AH!$P$17),AH!$P$7-1+MATCH($A1740,INDEX('AH History'!$A$1:$A$18046,AH!$P$7):INDEX('AH History'!$A$1:$A$18046,AH!$P$7+AH!$P$8-1),0),0),0)</ns0:f>
        <ns0:v/>
      </ns0:c>
      <ns0:c r="I1740">
        <ns0:f>IF($H1740=0,0,IFERROR(IF(AND(ABS($C1740-INDEX('AH History'!$B$1:$B$18046,$H1740))&lt;=MAX(0.005,ABS(INDEX('AH History'!$B$1:$B$18046,$H1740))*0.00005),ABS($D1740-INDEX('AH History'!$C$1:$C$18046,$H1740))&lt;=MAX(0.005,ABS(INDEX('AH History'!$C$1:$C$18046,$H1740))*0.00005),ABS($E1740-INDEX('AH History'!$D$1:$D$18046,$H1740))&lt;=0.00005,$F1740=INDEX('AH History'!$E$1:$E$18046,$H1740),$G1740=INDEX('AH History'!$F$1:$F$18046,$H1740)),1,-1),-1))</ns0:f>
        <ns0:v/>
      </ns0:c>
    </ns0:row>
    <ns0:row r="1741">
      <ns0:c r="A1741" s="215">
        <ns0:f>IF(OR(AH!$P$3=0,1736+1&gt;AH!$P$11,AND(AH!$E$4&lt;&gt;"Stored",AH!$P$10&lt;&gt;1)),"",IFERROR(IF(AND(AH!$P$21=1,1736+1=AH!$P$11),TODAY(),IF(AH!$P$10=1,INDEX('Live History'!$A$5:$A$3004,AH!$P$13+1736),INDEX('AH History'!$A$1:$A$18046,AH!$P$7+1736))),""))</ns0:f>
        <ns0:v/>
      </ns0:c>
      <ns0:c r="B1741" s="219">
        <ns0:f>IFERROR(IF(AND(AH!$P$9&lt;&gt;1,$C1741&gt;0,$D1741&gt;0,$E1741&gt;0,$F1741&gt;0,$G1741&gt;0,$F1741&lt;=$A1741,$G1741&lt;=$A1741,$A1741-$F1741&lt;=10,$A1741-$G1741&lt;=5),$D1741*$E1741/$C1741-1,NA()),NA())</ns0:f>
        <ns0:v/>
      </ns0:c>
      <ns0:c r="C1741">
        <ns0:f>IFERROR(IF(ISNUMBER($A1741),IF(AND(AH!$P$10=1,AH!$P$12=1,$A1741=TODAY()),AH!$P$19,IF(AH!$P$10=1,INDEX('Live History'!$B$5:$B$3004,AH!$P$13+1736),INDEX('AH History'!$B$1:$B$18046,AH!$P$7+1736))),NA()),NA())</ns0:f>
        <ns0:v/>
      </ns0:c>
      <ns0:c r="D1741">
        <ns0:f>IFERROR(IF(ISNUMBER($A1741),IF(AND(AH!$P$10=1,AH!$P$12=1,$A1741=TODAY()),AH!$P$18,IF(AH!$P$10=1,INDEX('Live History'!$E$5:$E$3004,MATCH($A1741,'Live History'!$D$5:$D$3004,1)),INDEX('AH History'!$C$1:$C$18046,AH!$P$7+1736))),NA()),NA())</ns0:f>
        <ns0:v/>
      </ns0:c>
      <ns0:c r="E1741">
        <ns0:f>IFERROR(IF(ISNUMBER($A1741),IF(AND(AH!$P$10=1,AH!$P$12=1,$A1741=TODAY()),AH!$P$20,IF(AH!$P$10=1,INDEX('Live History'!$H$5:$H$3004,MATCH($A1741,'Live History'!$G$5:$G$3004,1)),INDEX('AH History'!$D$1:$D$18046,AH!$P$7+1736))),NA()),NA())</ns0:f>
        <ns0:v/>
      </ns0:c>
      <ns0:c r="F1741">
        <ns0:f>IFERROR(IF(ISNUMBER($A1741),IF(AND(AH!$P$10=1,AH!$P$12=1,$A1741=TODAY()),IF(AND(AH!$P$10=1,AH!$P$12=1,$A1741=TODAY()),TODAY(),NA()),IF(AH!$P$10=1,INDEX('Live History'!$D$5:$D$3004,MATCH($A1741,'Live History'!$D$5:$D$3004,1)),INDEX('AH History'!$E$1:$E$18046,AH!$P$7+1736))),NA()),NA())</ns0:f>
        <ns0:v/>
      </ns0:c>
      <ns0:c r="G1741">
        <ns0:f>IFERROR(IF(ISNUMBER($A1741),IF(AND(AH!$P$10=1,AH!$P$12=1,$A1741=TODAY()),IF(AND(AH!$P$10=1,AH!$P$12=1,$A1741=TODAY()),TODAY(),NA()),IF(AH!$P$10=1,INDEX('Live History'!$G$5:$G$3004,MATCH($A1741,'Live History'!$G$5:$G$3004,1)),INDEX('AH History'!$F$1:$F$18046,AH!$P$7+1736))),NA()),NA())</ns0:f>
        <ns0:v/>
      </ns0:c>
      <ns0:c r="H1741">
        <ns0:f>IFERROR(IF(AND(AH!$E$4="Bloomberg",AH!$P$10=1,ISNUMBER($A1741),$A1741&lt;=AH!$P$17),AH!$P$7-1+MATCH($A1741,INDEX('AH History'!$A$1:$A$18046,AH!$P$7):INDEX('AH History'!$A$1:$A$18046,AH!$P$7+AH!$P$8-1),0),0),0)</ns0:f>
        <ns0:v/>
      </ns0:c>
      <ns0:c r="I1741">
        <ns0:f>IF($H1741=0,0,IFERROR(IF(AND(ABS($C1741-INDEX('AH History'!$B$1:$B$18046,$H1741))&lt;=MAX(0.005,ABS(INDEX('AH History'!$B$1:$B$18046,$H1741))*0.00005),ABS($D1741-INDEX('AH History'!$C$1:$C$18046,$H1741))&lt;=MAX(0.005,ABS(INDEX('AH History'!$C$1:$C$18046,$H1741))*0.00005),ABS($E1741-INDEX('AH History'!$D$1:$D$18046,$H1741))&lt;=0.00005,$F1741=INDEX('AH History'!$E$1:$E$18046,$H1741),$G1741=INDEX('AH History'!$F$1:$F$18046,$H1741)),1,-1),-1))</ns0:f>
        <ns0:v/>
      </ns0:c>
    </ns0:row>
    <ns0:row r="1742">
      <ns0:c r="A1742" s="215">
        <ns0:f>IF(OR(AH!$P$3=0,1737+1&gt;AH!$P$11,AND(AH!$E$4&lt;&gt;"Stored",AH!$P$10&lt;&gt;1)),"",IFERROR(IF(AND(AH!$P$21=1,1737+1=AH!$P$11),TODAY(),IF(AH!$P$10=1,INDEX('Live History'!$A$5:$A$3004,AH!$P$13+1737),INDEX('AH History'!$A$1:$A$18046,AH!$P$7+1737))),""))</ns0:f>
        <ns0:v/>
      </ns0:c>
      <ns0:c r="B1742" s="219">
        <ns0:f>IFERROR(IF(AND(AH!$P$9&lt;&gt;1,$C1742&gt;0,$D1742&gt;0,$E1742&gt;0,$F1742&gt;0,$G1742&gt;0,$F1742&lt;=$A1742,$G1742&lt;=$A1742,$A1742-$F1742&lt;=10,$A1742-$G1742&lt;=5),$D1742*$E1742/$C1742-1,NA()),NA())</ns0:f>
        <ns0:v/>
      </ns0:c>
      <ns0:c r="C1742">
        <ns0:f>IFERROR(IF(ISNUMBER($A1742),IF(AND(AH!$P$10=1,AH!$P$12=1,$A1742=TODAY()),AH!$P$19,IF(AH!$P$10=1,INDEX('Live History'!$B$5:$B$3004,AH!$P$13+1737),INDEX('AH History'!$B$1:$B$18046,AH!$P$7+1737))),NA()),NA())</ns0:f>
        <ns0:v/>
      </ns0:c>
      <ns0:c r="D1742">
        <ns0:f>IFERROR(IF(ISNUMBER($A1742),IF(AND(AH!$P$10=1,AH!$P$12=1,$A1742=TODAY()),AH!$P$18,IF(AH!$P$10=1,INDEX('Live History'!$E$5:$E$3004,MATCH($A1742,'Live History'!$D$5:$D$3004,1)),INDEX('AH History'!$C$1:$C$18046,AH!$P$7+1737))),NA()),NA())</ns0:f>
        <ns0:v/>
      </ns0:c>
      <ns0:c r="E1742">
        <ns0:f>IFERROR(IF(ISNUMBER($A1742),IF(AND(AH!$P$10=1,AH!$P$12=1,$A1742=TODAY()),AH!$P$20,IF(AH!$P$10=1,INDEX('Live History'!$H$5:$H$3004,MATCH($A1742,'Live History'!$G$5:$G$3004,1)),INDEX('AH History'!$D$1:$D$18046,AH!$P$7+1737))),NA()),NA())</ns0:f>
        <ns0:v/>
      </ns0:c>
      <ns0:c r="F1742">
        <ns0:f>IFERROR(IF(ISNUMBER($A1742),IF(AND(AH!$P$10=1,AH!$P$12=1,$A1742=TODAY()),IF(AND(AH!$P$10=1,AH!$P$12=1,$A1742=TODAY()),TODAY(),NA()),IF(AH!$P$10=1,INDEX('Live History'!$D$5:$D$3004,MATCH($A1742,'Live History'!$D$5:$D$3004,1)),INDEX('AH History'!$E$1:$E$18046,AH!$P$7+1737))),NA()),NA())</ns0:f>
        <ns0:v/>
      </ns0:c>
      <ns0:c r="G1742">
        <ns0:f>IFERROR(IF(ISNUMBER($A1742),IF(AND(AH!$P$10=1,AH!$P$12=1,$A1742=TODAY()),IF(AND(AH!$P$10=1,AH!$P$12=1,$A1742=TODAY()),TODAY(),NA()),IF(AH!$P$10=1,INDEX('Live History'!$G$5:$G$3004,MATCH($A1742,'Live History'!$G$5:$G$3004,1)),INDEX('AH History'!$F$1:$F$18046,AH!$P$7+1737))),NA()),NA())</ns0:f>
        <ns0:v/>
      </ns0:c>
      <ns0:c r="H1742">
        <ns0:f>IFERROR(IF(AND(AH!$E$4="Bloomberg",AH!$P$10=1,ISNUMBER($A1742),$A1742&lt;=AH!$P$17),AH!$P$7-1+MATCH($A1742,INDEX('AH History'!$A$1:$A$18046,AH!$P$7):INDEX('AH History'!$A$1:$A$18046,AH!$P$7+AH!$P$8-1),0),0),0)</ns0:f>
        <ns0:v/>
      </ns0:c>
      <ns0:c r="I1742">
        <ns0:f>IF($H1742=0,0,IFERROR(IF(AND(ABS($C1742-INDEX('AH History'!$B$1:$B$18046,$H1742))&lt;=MAX(0.005,ABS(INDEX('AH History'!$B$1:$B$18046,$H1742))*0.00005),ABS($D1742-INDEX('AH History'!$C$1:$C$18046,$H1742))&lt;=MAX(0.005,ABS(INDEX('AH History'!$C$1:$C$18046,$H1742))*0.00005),ABS($E1742-INDEX('AH History'!$D$1:$D$18046,$H1742))&lt;=0.00005,$F1742=INDEX('AH History'!$E$1:$E$18046,$H1742),$G1742=INDEX('AH History'!$F$1:$F$18046,$H1742)),1,-1),-1))</ns0:f>
        <ns0:v/>
      </ns0:c>
    </ns0:row>
    <ns0:row r="1743">
      <ns0:c r="A1743" s="215">
        <ns0:f>IF(OR(AH!$P$3=0,1738+1&gt;AH!$P$11,AND(AH!$E$4&lt;&gt;"Stored",AH!$P$10&lt;&gt;1)),"",IFERROR(IF(AND(AH!$P$21=1,1738+1=AH!$P$11),TODAY(),IF(AH!$P$10=1,INDEX('Live History'!$A$5:$A$3004,AH!$P$13+1738),INDEX('AH History'!$A$1:$A$18046,AH!$P$7+1738))),""))</ns0:f>
        <ns0:v/>
      </ns0:c>
      <ns0:c r="B1743" s="219">
        <ns0:f>IFERROR(IF(AND(AH!$P$9&lt;&gt;1,$C1743&gt;0,$D1743&gt;0,$E1743&gt;0,$F1743&gt;0,$G1743&gt;0,$F1743&lt;=$A1743,$G1743&lt;=$A1743,$A1743-$F1743&lt;=10,$A1743-$G1743&lt;=5),$D1743*$E1743/$C1743-1,NA()),NA())</ns0:f>
        <ns0:v/>
      </ns0:c>
      <ns0:c r="C1743">
        <ns0:f>IFERROR(IF(ISNUMBER($A1743),IF(AND(AH!$P$10=1,AH!$P$12=1,$A1743=TODAY()),AH!$P$19,IF(AH!$P$10=1,INDEX('Live History'!$B$5:$B$3004,AH!$P$13+1738),INDEX('AH History'!$B$1:$B$18046,AH!$P$7+1738))),NA()),NA())</ns0:f>
        <ns0:v/>
      </ns0:c>
      <ns0:c r="D1743">
        <ns0:f>IFERROR(IF(ISNUMBER($A1743),IF(AND(AH!$P$10=1,AH!$P$12=1,$A1743=TODAY()),AH!$P$18,IF(AH!$P$10=1,INDEX('Live History'!$E$5:$E$3004,MATCH($A1743,'Live History'!$D$5:$D$3004,1)),INDEX('AH History'!$C$1:$C$18046,AH!$P$7+1738))),NA()),NA())</ns0:f>
        <ns0:v/>
      </ns0:c>
      <ns0:c r="E1743">
        <ns0:f>IFERROR(IF(ISNUMBER($A1743),IF(AND(AH!$P$10=1,AH!$P$12=1,$A1743=TODAY()),AH!$P$20,IF(AH!$P$10=1,INDEX('Live History'!$H$5:$H$3004,MATCH($A1743,'Live History'!$G$5:$G$3004,1)),INDEX('AH History'!$D$1:$D$18046,AH!$P$7+1738))),NA()),NA())</ns0:f>
        <ns0:v/>
      </ns0:c>
      <ns0:c r="F1743">
        <ns0:f>IFERROR(IF(ISNUMBER($A1743),IF(AND(AH!$P$10=1,AH!$P$12=1,$A1743=TODAY()),IF(AND(AH!$P$10=1,AH!$P$12=1,$A1743=TODAY()),TODAY(),NA()),IF(AH!$P$10=1,INDEX('Live History'!$D$5:$D$3004,MATCH($A1743,'Live History'!$D$5:$D$3004,1)),INDEX('AH History'!$E$1:$E$18046,AH!$P$7+1738))),NA()),NA())</ns0:f>
        <ns0:v/>
      </ns0:c>
      <ns0:c r="G1743">
        <ns0:f>IFERROR(IF(ISNUMBER($A1743),IF(AND(AH!$P$10=1,AH!$P$12=1,$A1743=TODAY()),IF(AND(AH!$P$10=1,AH!$P$12=1,$A1743=TODAY()),TODAY(),NA()),IF(AH!$P$10=1,INDEX('Live History'!$G$5:$G$3004,MATCH($A1743,'Live History'!$G$5:$G$3004,1)),INDEX('AH History'!$F$1:$F$18046,AH!$P$7+1738))),NA()),NA())</ns0:f>
        <ns0:v/>
      </ns0:c>
      <ns0:c r="H1743">
        <ns0:f>IFERROR(IF(AND(AH!$E$4="Bloomberg",AH!$P$10=1,ISNUMBER($A1743),$A1743&lt;=AH!$P$17),AH!$P$7-1+MATCH($A1743,INDEX('AH History'!$A$1:$A$18046,AH!$P$7):INDEX('AH History'!$A$1:$A$18046,AH!$P$7+AH!$P$8-1),0),0),0)</ns0:f>
        <ns0:v/>
      </ns0:c>
      <ns0:c r="I1743">
        <ns0:f>IF($H1743=0,0,IFERROR(IF(AND(ABS($C1743-INDEX('AH History'!$B$1:$B$18046,$H1743))&lt;=MAX(0.005,ABS(INDEX('AH History'!$B$1:$B$18046,$H1743))*0.00005),ABS($D1743-INDEX('AH History'!$C$1:$C$18046,$H1743))&lt;=MAX(0.005,ABS(INDEX('AH History'!$C$1:$C$18046,$H1743))*0.00005),ABS($E1743-INDEX('AH History'!$D$1:$D$18046,$H1743))&lt;=0.00005,$F1743=INDEX('AH History'!$E$1:$E$18046,$H1743),$G1743=INDEX('AH History'!$F$1:$F$18046,$H1743)),1,-1),-1))</ns0:f>
        <ns0:v/>
      </ns0:c>
    </ns0:row>
    <ns0:row r="1744">
      <ns0:c r="A1744" s="215">
        <ns0:f>IF(OR(AH!$P$3=0,1739+1&gt;AH!$P$11,AND(AH!$E$4&lt;&gt;"Stored",AH!$P$10&lt;&gt;1)),"",IFERROR(IF(AND(AH!$P$21=1,1739+1=AH!$P$11),TODAY(),IF(AH!$P$10=1,INDEX('Live History'!$A$5:$A$3004,AH!$P$13+1739),INDEX('AH History'!$A$1:$A$18046,AH!$P$7+1739))),""))</ns0:f>
        <ns0:v/>
      </ns0:c>
      <ns0:c r="B1744" s="219">
        <ns0:f>IFERROR(IF(AND(AH!$P$9&lt;&gt;1,$C1744&gt;0,$D1744&gt;0,$E1744&gt;0,$F1744&gt;0,$G1744&gt;0,$F1744&lt;=$A1744,$G1744&lt;=$A1744,$A1744-$F1744&lt;=10,$A1744-$G1744&lt;=5),$D1744*$E1744/$C1744-1,NA()),NA())</ns0:f>
        <ns0:v/>
      </ns0:c>
      <ns0:c r="C1744">
        <ns0:f>IFERROR(IF(ISNUMBER($A1744),IF(AND(AH!$P$10=1,AH!$P$12=1,$A1744=TODAY()),AH!$P$19,IF(AH!$P$10=1,INDEX('Live History'!$B$5:$B$3004,AH!$P$13+1739),INDEX('AH History'!$B$1:$B$18046,AH!$P$7+1739))),NA()),NA())</ns0:f>
        <ns0:v/>
      </ns0:c>
      <ns0:c r="D1744">
        <ns0:f>IFERROR(IF(ISNUMBER($A1744),IF(AND(AH!$P$10=1,AH!$P$12=1,$A1744=TODAY()),AH!$P$18,IF(AH!$P$10=1,INDEX('Live History'!$E$5:$E$3004,MATCH($A1744,'Live History'!$D$5:$D$3004,1)),INDEX('AH History'!$C$1:$C$18046,AH!$P$7+1739))),NA()),NA())</ns0:f>
        <ns0:v/>
      </ns0:c>
      <ns0:c r="E1744">
        <ns0:f>IFERROR(IF(ISNUMBER($A1744),IF(AND(AH!$P$10=1,AH!$P$12=1,$A1744=TODAY()),AH!$P$20,IF(AH!$P$10=1,INDEX('Live History'!$H$5:$H$3004,MATCH($A1744,'Live History'!$G$5:$G$3004,1)),INDEX('AH History'!$D$1:$D$18046,AH!$P$7+1739))),NA()),NA())</ns0:f>
        <ns0:v/>
      </ns0:c>
      <ns0:c r="F1744">
        <ns0:f>IFERROR(IF(ISNUMBER($A1744),IF(AND(AH!$P$10=1,AH!$P$12=1,$A1744=TODAY()),IF(AND(AH!$P$10=1,AH!$P$12=1,$A1744=TODAY()),TODAY(),NA()),IF(AH!$P$10=1,INDEX('Live History'!$D$5:$D$3004,MATCH($A1744,'Live History'!$D$5:$D$3004,1)),INDEX('AH History'!$E$1:$E$18046,AH!$P$7+1739))),NA()),NA())</ns0:f>
        <ns0:v/>
      </ns0:c>
      <ns0:c r="G1744">
        <ns0:f>IFERROR(IF(ISNUMBER($A1744),IF(AND(AH!$P$10=1,AH!$P$12=1,$A1744=TODAY()),IF(AND(AH!$P$10=1,AH!$P$12=1,$A1744=TODAY()),TODAY(),NA()),IF(AH!$P$10=1,INDEX('Live History'!$G$5:$G$3004,MATCH($A1744,'Live History'!$G$5:$G$3004,1)),INDEX('AH History'!$F$1:$F$18046,AH!$P$7+1739))),NA()),NA())</ns0:f>
        <ns0:v/>
      </ns0:c>
      <ns0:c r="H1744">
        <ns0:f>IFERROR(IF(AND(AH!$E$4="Bloomberg",AH!$P$10=1,ISNUMBER($A1744),$A1744&lt;=AH!$P$17),AH!$P$7-1+MATCH($A1744,INDEX('AH History'!$A$1:$A$18046,AH!$P$7):INDEX('AH History'!$A$1:$A$18046,AH!$P$7+AH!$P$8-1),0),0),0)</ns0:f>
        <ns0:v/>
      </ns0:c>
      <ns0:c r="I1744">
        <ns0:f>IF($H1744=0,0,IFERROR(IF(AND(ABS($C1744-INDEX('AH History'!$B$1:$B$18046,$H1744))&lt;=MAX(0.005,ABS(INDEX('AH History'!$B$1:$B$18046,$H1744))*0.00005),ABS($D1744-INDEX('AH History'!$C$1:$C$18046,$H1744))&lt;=MAX(0.005,ABS(INDEX('AH History'!$C$1:$C$18046,$H1744))*0.00005),ABS($E1744-INDEX('AH History'!$D$1:$D$18046,$H1744))&lt;=0.00005,$F1744=INDEX('AH History'!$E$1:$E$18046,$H1744),$G1744=INDEX('AH History'!$F$1:$F$18046,$H1744)),1,-1),-1))</ns0:f>
        <ns0:v/>
      </ns0:c>
    </ns0:row>
    <ns0:row r="1745">
      <ns0:c r="A1745" s="215">
        <ns0:f>IF(OR(AH!$P$3=0,1740+1&gt;AH!$P$11,AND(AH!$E$4&lt;&gt;"Stored",AH!$P$10&lt;&gt;1)),"",IFERROR(IF(AND(AH!$P$21=1,1740+1=AH!$P$11),TODAY(),IF(AH!$P$10=1,INDEX('Live History'!$A$5:$A$3004,AH!$P$13+1740),INDEX('AH History'!$A$1:$A$18046,AH!$P$7+1740))),""))</ns0:f>
        <ns0:v/>
      </ns0:c>
      <ns0:c r="B1745" s="219">
        <ns0:f>IFERROR(IF(AND(AH!$P$9&lt;&gt;1,$C1745&gt;0,$D1745&gt;0,$E1745&gt;0,$F1745&gt;0,$G1745&gt;0,$F1745&lt;=$A1745,$G1745&lt;=$A1745,$A1745-$F1745&lt;=10,$A1745-$G1745&lt;=5),$D1745*$E1745/$C1745-1,NA()),NA())</ns0:f>
        <ns0:v/>
      </ns0:c>
      <ns0:c r="C1745">
        <ns0:f>IFERROR(IF(ISNUMBER($A1745),IF(AND(AH!$P$10=1,AH!$P$12=1,$A1745=TODAY()),AH!$P$19,IF(AH!$P$10=1,INDEX('Live History'!$B$5:$B$3004,AH!$P$13+1740),INDEX('AH History'!$B$1:$B$18046,AH!$P$7+1740))),NA()),NA())</ns0:f>
        <ns0:v/>
      </ns0:c>
      <ns0:c r="D1745">
        <ns0:f>IFERROR(IF(ISNUMBER($A1745),IF(AND(AH!$P$10=1,AH!$P$12=1,$A1745=TODAY()),AH!$P$18,IF(AH!$P$10=1,INDEX('Live History'!$E$5:$E$3004,MATCH($A1745,'Live History'!$D$5:$D$3004,1)),INDEX('AH History'!$C$1:$C$18046,AH!$P$7+1740))),NA()),NA())</ns0:f>
        <ns0:v/>
      </ns0:c>
      <ns0:c r="E1745">
        <ns0:f>IFERROR(IF(ISNUMBER($A1745),IF(AND(AH!$P$10=1,AH!$P$12=1,$A1745=TODAY()),AH!$P$20,IF(AH!$P$10=1,INDEX('Live History'!$H$5:$H$3004,MATCH($A1745,'Live History'!$G$5:$G$3004,1)),INDEX('AH History'!$D$1:$D$18046,AH!$P$7+1740))),NA()),NA())</ns0:f>
        <ns0:v/>
      </ns0:c>
      <ns0:c r="F1745">
        <ns0:f>IFERROR(IF(ISNUMBER($A1745),IF(AND(AH!$P$10=1,AH!$P$12=1,$A1745=TODAY()),IF(AND(AH!$P$10=1,AH!$P$12=1,$A1745=TODAY()),TODAY(),NA()),IF(AH!$P$10=1,INDEX('Live History'!$D$5:$D$3004,MATCH($A1745,'Live History'!$D$5:$D$3004,1)),INDEX('AH History'!$E$1:$E$18046,AH!$P$7+1740))),NA()),NA())</ns0:f>
        <ns0:v/>
      </ns0:c>
      <ns0:c r="G1745">
        <ns0:f>IFERROR(IF(ISNUMBER($A1745),IF(AND(AH!$P$10=1,AH!$P$12=1,$A1745=TODAY()),IF(AND(AH!$P$10=1,AH!$P$12=1,$A1745=TODAY()),TODAY(),NA()),IF(AH!$P$10=1,INDEX('Live History'!$G$5:$G$3004,MATCH($A1745,'Live History'!$G$5:$G$3004,1)),INDEX('AH History'!$F$1:$F$18046,AH!$P$7+1740))),NA()),NA())</ns0:f>
        <ns0:v/>
      </ns0:c>
      <ns0:c r="H1745">
        <ns0:f>IFERROR(IF(AND(AH!$E$4="Bloomberg",AH!$P$10=1,ISNUMBER($A1745),$A1745&lt;=AH!$P$17),AH!$P$7-1+MATCH($A1745,INDEX('AH History'!$A$1:$A$18046,AH!$P$7):INDEX('AH History'!$A$1:$A$18046,AH!$P$7+AH!$P$8-1),0),0),0)</ns0:f>
        <ns0:v/>
      </ns0:c>
      <ns0:c r="I1745">
        <ns0:f>IF($H1745=0,0,IFERROR(IF(AND(ABS($C1745-INDEX('AH History'!$B$1:$B$18046,$H1745))&lt;=MAX(0.005,ABS(INDEX('AH History'!$B$1:$B$18046,$H1745))*0.00005),ABS($D1745-INDEX('AH History'!$C$1:$C$18046,$H1745))&lt;=MAX(0.005,ABS(INDEX('AH History'!$C$1:$C$18046,$H1745))*0.00005),ABS($E1745-INDEX('AH History'!$D$1:$D$18046,$H1745))&lt;=0.00005,$F1745=INDEX('AH History'!$E$1:$E$18046,$H1745),$G1745=INDEX('AH History'!$F$1:$F$18046,$H1745)),1,-1),-1))</ns0:f>
        <ns0:v/>
      </ns0:c>
    </ns0:row>
    <ns0:row r="1746">
      <ns0:c r="A1746" s="215">
        <ns0:f>IF(OR(AH!$P$3=0,1741+1&gt;AH!$P$11,AND(AH!$E$4&lt;&gt;"Stored",AH!$P$10&lt;&gt;1)),"",IFERROR(IF(AND(AH!$P$21=1,1741+1=AH!$P$11),TODAY(),IF(AH!$P$10=1,INDEX('Live History'!$A$5:$A$3004,AH!$P$13+1741),INDEX('AH History'!$A$1:$A$18046,AH!$P$7+1741))),""))</ns0:f>
        <ns0:v/>
      </ns0:c>
      <ns0:c r="B1746" s="219">
        <ns0:f>IFERROR(IF(AND(AH!$P$9&lt;&gt;1,$C1746&gt;0,$D1746&gt;0,$E1746&gt;0,$F1746&gt;0,$G1746&gt;0,$F1746&lt;=$A1746,$G1746&lt;=$A1746,$A1746-$F1746&lt;=10,$A1746-$G1746&lt;=5),$D1746*$E1746/$C1746-1,NA()),NA())</ns0:f>
        <ns0:v/>
      </ns0:c>
      <ns0:c r="C1746">
        <ns0:f>IFERROR(IF(ISNUMBER($A1746),IF(AND(AH!$P$10=1,AH!$P$12=1,$A1746=TODAY()),AH!$P$19,IF(AH!$P$10=1,INDEX('Live History'!$B$5:$B$3004,AH!$P$13+1741),INDEX('AH History'!$B$1:$B$18046,AH!$P$7+1741))),NA()),NA())</ns0:f>
        <ns0:v/>
      </ns0:c>
      <ns0:c r="D1746">
        <ns0:f>IFERROR(IF(ISNUMBER($A1746),IF(AND(AH!$P$10=1,AH!$P$12=1,$A1746=TODAY()),AH!$P$18,IF(AH!$P$10=1,INDEX('Live History'!$E$5:$E$3004,MATCH($A1746,'Live History'!$D$5:$D$3004,1)),INDEX('AH History'!$C$1:$C$18046,AH!$P$7+1741))),NA()),NA())</ns0:f>
        <ns0:v/>
      </ns0:c>
      <ns0:c r="E1746">
        <ns0:f>IFERROR(IF(ISNUMBER($A1746),IF(AND(AH!$P$10=1,AH!$P$12=1,$A1746=TODAY()),AH!$P$20,IF(AH!$P$10=1,INDEX('Live History'!$H$5:$H$3004,MATCH($A1746,'Live History'!$G$5:$G$3004,1)),INDEX('AH History'!$D$1:$D$18046,AH!$P$7+1741))),NA()),NA())</ns0:f>
        <ns0:v/>
      </ns0:c>
      <ns0:c r="F1746">
        <ns0:f>IFERROR(IF(ISNUMBER($A1746),IF(AND(AH!$P$10=1,AH!$P$12=1,$A1746=TODAY()),IF(AND(AH!$P$10=1,AH!$P$12=1,$A1746=TODAY()),TODAY(),NA()),IF(AH!$P$10=1,INDEX('Live History'!$D$5:$D$3004,MATCH($A1746,'Live History'!$D$5:$D$3004,1)),INDEX('AH History'!$E$1:$E$18046,AH!$P$7+1741))),NA()),NA())</ns0:f>
        <ns0:v/>
      </ns0:c>
      <ns0:c r="G1746">
        <ns0:f>IFERROR(IF(ISNUMBER($A1746),IF(AND(AH!$P$10=1,AH!$P$12=1,$A1746=TODAY()),IF(AND(AH!$P$10=1,AH!$P$12=1,$A1746=TODAY()),TODAY(),NA()),IF(AH!$P$10=1,INDEX('Live History'!$G$5:$G$3004,MATCH($A1746,'Live History'!$G$5:$G$3004,1)),INDEX('AH History'!$F$1:$F$18046,AH!$P$7+1741))),NA()),NA())</ns0:f>
        <ns0:v/>
      </ns0:c>
      <ns0:c r="H1746">
        <ns0:f>IFERROR(IF(AND(AH!$E$4="Bloomberg",AH!$P$10=1,ISNUMBER($A1746),$A1746&lt;=AH!$P$17),AH!$P$7-1+MATCH($A1746,INDEX('AH History'!$A$1:$A$18046,AH!$P$7):INDEX('AH History'!$A$1:$A$18046,AH!$P$7+AH!$P$8-1),0),0),0)</ns0:f>
        <ns0:v/>
      </ns0:c>
      <ns0:c r="I1746">
        <ns0:f>IF($H1746=0,0,IFERROR(IF(AND(ABS($C1746-INDEX('AH History'!$B$1:$B$18046,$H1746))&lt;=MAX(0.005,ABS(INDEX('AH History'!$B$1:$B$18046,$H1746))*0.00005),ABS($D1746-INDEX('AH History'!$C$1:$C$18046,$H1746))&lt;=MAX(0.005,ABS(INDEX('AH History'!$C$1:$C$18046,$H1746))*0.00005),ABS($E1746-INDEX('AH History'!$D$1:$D$18046,$H1746))&lt;=0.00005,$F1746=INDEX('AH History'!$E$1:$E$18046,$H1746),$G1746=INDEX('AH History'!$F$1:$F$18046,$H1746)),1,-1),-1))</ns0:f>
        <ns0:v/>
      </ns0:c>
    </ns0:row>
    <ns0:row r="1747">
      <ns0:c r="A1747" s="215">
        <ns0:f>IF(OR(AH!$P$3=0,1742+1&gt;AH!$P$11,AND(AH!$E$4&lt;&gt;"Stored",AH!$P$10&lt;&gt;1)),"",IFERROR(IF(AND(AH!$P$21=1,1742+1=AH!$P$11),TODAY(),IF(AH!$P$10=1,INDEX('Live History'!$A$5:$A$3004,AH!$P$13+1742),INDEX('AH History'!$A$1:$A$18046,AH!$P$7+1742))),""))</ns0:f>
        <ns0:v/>
      </ns0:c>
      <ns0:c r="B1747" s="219">
        <ns0:f>IFERROR(IF(AND(AH!$P$9&lt;&gt;1,$C1747&gt;0,$D1747&gt;0,$E1747&gt;0,$F1747&gt;0,$G1747&gt;0,$F1747&lt;=$A1747,$G1747&lt;=$A1747,$A1747-$F1747&lt;=10,$A1747-$G1747&lt;=5),$D1747*$E1747/$C1747-1,NA()),NA())</ns0:f>
        <ns0:v/>
      </ns0:c>
      <ns0:c r="C1747">
        <ns0:f>IFERROR(IF(ISNUMBER($A1747),IF(AND(AH!$P$10=1,AH!$P$12=1,$A1747=TODAY()),AH!$P$19,IF(AH!$P$10=1,INDEX('Live History'!$B$5:$B$3004,AH!$P$13+1742),INDEX('AH History'!$B$1:$B$18046,AH!$P$7+1742))),NA()),NA())</ns0:f>
        <ns0:v/>
      </ns0:c>
      <ns0:c r="D1747">
        <ns0:f>IFERROR(IF(ISNUMBER($A1747),IF(AND(AH!$P$10=1,AH!$P$12=1,$A1747=TODAY()),AH!$P$18,IF(AH!$P$10=1,INDEX('Live History'!$E$5:$E$3004,MATCH($A1747,'Live History'!$D$5:$D$3004,1)),INDEX('AH History'!$C$1:$C$18046,AH!$P$7+1742))),NA()),NA())</ns0:f>
        <ns0:v/>
      </ns0:c>
      <ns0:c r="E1747">
        <ns0:f>IFERROR(IF(ISNUMBER($A1747),IF(AND(AH!$P$10=1,AH!$P$12=1,$A1747=TODAY()),AH!$P$20,IF(AH!$P$10=1,INDEX('Live History'!$H$5:$H$3004,MATCH($A1747,'Live History'!$G$5:$G$3004,1)),INDEX('AH History'!$D$1:$D$18046,AH!$P$7+1742))),NA()),NA())</ns0:f>
        <ns0:v/>
      </ns0:c>
      <ns0:c r="F1747">
        <ns0:f>IFERROR(IF(ISNUMBER($A1747),IF(AND(AH!$P$10=1,AH!$P$12=1,$A1747=TODAY()),IF(AND(AH!$P$10=1,AH!$P$12=1,$A1747=TODAY()),TODAY(),NA()),IF(AH!$P$10=1,INDEX('Live History'!$D$5:$D$3004,MATCH($A1747,'Live History'!$D$5:$D$3004,1)),INDEX('AH History'!$E$1:$E$18046,AH!$P$7+1742))),NA()),NA())</ns0:f>
        <ns0:v/>
      </ns0:c>
      <ns0:c r="G1747">
        <ns0:f>IFERROR(IF(ISNUMBER($A1747),IF(AND(AH!$P$10=1,AH!$P$12=1,$A1747=TODAY()),IF(AND(AH!$P$10=1,AH!$P$12=1,$A1747=TODAY()),TODAY(),NA()),IF(AH!$P$10=1,INDEX('Live History'!$G$5:$G$3004,MATCH($A1747,'Live History'!$G$5:$G$3004,1)),INDEX('AH History'!$F$1:$F$18046,AH!$P$7+1742))),NA()),NA())</ns0:f>
        <ns0:v/>
      </ns0:c>
      <ns0:c r="H1747">
        <ns0:f>IFERROR(IF(AND(AH!$E$4="Bloomberg",AH!$P$10=1,ISNUMBER($A1747),$A1747&lt;=AH!$P$17),AH!$P$7-1+MATCH($A1747,INDEX('AH History'!$A$1:$A$18046,AH!$P$7):INDEX('AH History'!$A$1:$A$18046,AH!$P$7+AH!$P$8-1),0),0),0)</ns0:f>
        <ns0:v/>
      </ns0:c>
      <ns0:c r="I1747">
        <ns0:f>IF($H1747=0,0,IFERROR(IF(AND(ABS($C1747-INDEX('AH History'!$B$1:$B$18046,$H1747))&lt;=MAX(0.005,ABS(INDEX('AH History'!$B$1:$B$18046,$H1747))*0.00005),ABS($D1747-INDEX('AH History'!$C$1:$C$18046,$H1747))&lt;=MAX(0.005,ABS(INDEX('AH History'!$C$1:$C$18046,$H1747))*0.00005),ABS($E1747-INDEX('AH History'!$D$1:$D$18046,$H1747))&lt;=0.00005,$F1747=INDEX('AH History'!$E$1:$E$18046,$H1747),$G1747=INDEX('AH History'!$F$1:$F$18046,$H1747)),1,-1),-1))</ns0:f>
        <ns0:v/>
      </ns0:c>
    </ns0:row>
    <ns0:row r="1748">
      <ns0:c r="A1748" s="215">
        <ns0:f>IF(OR(AH!$P$3=0,1743+1&gt;AH!$P$11,AND(AH!$E$4&lt;&gt;"Stored",AH!$P$10&lt;&gt;1)),"",IFERROR(IF(AND(AH!$P$21=1,1743+1=AH!$P$11),TODAY(),IF(AH!$P$10=1,INDEX('Live History'!$A$5:$A$3004,AH!$P$13+1743),INDEX('AH History'!$A$1:$A$18046,AH!$P$7+1743))),""))</ns0:f>
        <ns0:v/>
      </ns0:c>
      <ns0:c r="B1748" s="219">
        <ns0:f>IFERROR(IF(AND(AH!$P$9&lt;&gt;1,$C1748&gt;0,$D1748&gt;0,$E1748&gt;0,$F1748&gt;0,$G1748&gt;0,$F1748&lt;=$A1748,$G1748&lt;=$A1748,$A1748-$F1748&lt;=10,$A1748-$G1748&lt;=5),$D1748*$E1748/$C1748-1,NA()),NA())</ns0:f>
        <ns0:v/>
      </ns0:c>
      <ns0:c r="C1748">
        <ns0:f>IFERROR(IF(ISNUMBER($A1748),IF(AND(AH!$P$10=1,AH!$P$12=1,$A1748=TODAY()),AH!$P$19,IF(AH!$P$10=1,INDEX('Live History'!$B$5:$B$3004,AH!$P$13+1743),INDEX('AH History'!$B$1:$B$18046,AH!$P$7+1743))),NA()),NA())</ns0:f>
        <ns0:v/>
      </ns0:c>
      <ns0:c r="D1748">
        <ns0:f>IFERROR(IF(ISNUMBER($A1748),IF(AND(AH!$P$10=1,AH!$P$12=1,$A1748=TODAY()),AH!$P$18,IF(AH!$P$10=1,INDEX('Live History'!$E$5:$E$3004,MATCH($A1748,'Live History'!$D$5:$D$3004,1)),INDEX('AH History'!$C$1:$C$18046,AH!$P$7+1743))),NA()),NA())</ns0:f>
        <ns0:v/>
      </ns0:c>
      <ns0:c r="E1748">
        <ns0:f>IFERROR(IF(ISNUMBER($A1748),IF(AND(AH!$P$10=1,AH!$P$12=1,$A1748=TODAY()),AH!$P$20,IF(AH!$P$10=1,INDEX('Live History'!$H$5:$H$3004,MATCH($A1748,'Live History'!$G$5:$G$3004,1)),INDEX('AH History'!$D$1:$D$18046,AH!$P$7+1743))),NA()),NA())</ns0:f>
        <ns0:v/>
      </ns0:c>
      <ns0:c r="F1748">
        <ns0:f>IFERROR(IF(ISNUMBER($A1748),IF(AND(AH!$P$10=1,AH!$P$12=1,$A1748=TODAY()),IF(AND(AH!$P$10=1,AH!$P$12=1,$A1748=TODAY()),TODAY(),NA()),IF(AH!$P$10=1,INDEX('Live History'!$D$5:$D$3004,MATCH($A1748,'Live History'!$D$5:$D$3004,1)),INDEX('AH History'!$E$1:$E$18046,AH!$P$7+1743))),NA()),NA())</ns0:f>
        <ns0:v/>
      </ns0:c>
      <ns0:c r="G1748">
        <ns0:f>IFERROR(IF(ISNUMBER($A1748),IF(AND(AH!$P$10=1,AH!$P$12=1,$A1748=TODAY()),IF(AND(AH!$P$10=1,AH!$P$12=1,$A1748=TODAY()),TODAY(),NA()),IF(AH!$P$10=1,INDEX('Live History'!$G$5:$G$3004,MATCH($A1748,'Live History'!$G$5:$G$3004,1)),INDEX('AH History'!$F$1:$F$18046,AH!$P$7+1743))),NA()),NA())</ns0:f>
        <ns0:v/>
      </ns0:c>
      <ns0:c r="H1748">
        <ns0:f>IFERROR(IF(AND(AH!$E$4="Bloomberg",AH!$P$10=1,ISNUMBER($A1748),$A1748&lt;=AH!$P$17),AH!$P$7-1+MATCH($A1748,INDEX('AH History'!$A$1:$A$18046,AH!$P$7):INDEX('AH History'!$A$1:$A$18046,AH!$P$7+AH!$P$8-1),0),0),0)</ns0:f>
        <ns0:v/>
      </ns0:c>
      <ns0:c r="I1748">
        <ns0:f>IF($H1748=0,0,IFERROR(IF(AND(ABS($C1748-INDEX('AH History'!$B$1:$B$18046,$H1748))&lt;=MAX(0.005,ABS(INDEX('AH History'!$B$1:$B$18046,$H1748))*0.00005),ABS($D1748-INDEX('AH History'!$C$1:$C$18046,$H1748))&lt;=MAX(0.005,ABS(INDEX('AH History'!$C$1:$C$18046,$H1748))*0.00005),ABS($E1748-INDEX('AH History'!$D$1:$D$18046,$H1748))&lt;=0.00005,$F1748=INDEX('AH History'!$E$1:$E$18046,$H1748),$G1748=INDEX('AH History'!$F$1:$F$18046,$H1748)),1,-1),-1))</ns0:f>
        <ns0:v/>
      </ns0:c>
    </ns0:row>
    <ns0:row r="1749">
      <ns0:c r="A1749" s="215">
        <ns0:f>IF(OR(AH!$P$3=0,1744+1&gt;AH!$P$11,AND(AH!$E$4&lt;&gt;"Stored",AH!$P$10&lt;&gt;1)),"",IFERROR(IF(AND(AH!$P$21=1,1744+1=AH!$P$11),TODAY(),IF(AH!$P$10=1,INDEX('Live History'!$A$5:$A$3004,AH!$P$13+1744),INDEX('AH History'!$A$1:$A$18046,AH!$P$7+1744))),""))</ns0:f>
        <ns0:v/>
      </ns0:c>
      <ns0:c r="B1749" s="219">
        <ns0:f>IFERROR(IF(AND(AH!$P$9&lt;&gt;1,$C1749&gt;0,$D1749&gt;0,$E1749&gt;0,$F1749&gt;0,$G1749&gt;0,$F1749&lt;=$A1749,$G1749&lt;=$A1749,$A1749-$F1749&lt;=10,$A1749-$G1749&lt;=5),$D1749*$E1749/$C1749-1,NA()),NA())</ns0:f>
        <ns0:v/>
      </ns0:c>
      <ns0:c r="C1749">
        <ns0:f>IFERROR(IF(ISNUMBER($A1749),IF(AND(AH!$P$10=1,AH!$P$12=1,$A1749=TODAY()),AH!$P$19,IF(AH!$P$10=1,INDEX('Live History'!$B$5:$B$3004,AH!$P$13+1744),INDEX('AH History'!$B$1:$B$18046,AH!$P$7+1744))),NA()),NA())</ns0:f>
        <ns0:v/>
      </ns0:c>
      <ns0:c r="D1749">
        <ns0:f>IFERROR(IF(ISNUMBER($A1749),IF(AND(AH!$P$10=1,AH!$P$12=1,$A1749=TODAY()),AH!$P$18,IF(AH!$P$10=1,INDEX('Live History'!$E$5:$E$3004,MATCH($A1749,'Live History'!$D$5:$D$3004,1)),INDEX('AH History'!$C$1:$C$18046,AH!$P$7+1744))),NA()),NA())</ns0:f>
        <ns0:v/>
      </ns0:c>
      <ns0:c r="E1749">
        <ns0:f>IFERROR(IF(ISNUMBER($A1749),IF(AND(AH!$P$10=1,AH!$P$12=1,$A1749=TODAY()),AH!$P$20,IF(AH!$P$10=1,INDEX('Live History'!$H$5:$H$3004,MATCH($A1749,'Live History'!$G$5:$G$3004,1)),INDEX('AH History'!$D$1:$D$18046,AH!$P$7+1744))),NA()),NA())</ns0:f>
        <ns0:v/>
      </ns0:c>
      <ns0:c r="F1749">
        <ns0:f>IFERROR(IF(ISNUMBER($A1749),IF(AND(AH!$P$10=1,AH!$P$12=1,$A1749=TODAY()),IF(AND(AH!$P$10=1,AH!$P$12=1,$A1749=TODAY()),TODAY(),NA()),IF(AH!$P$10=1,INDEX('Live History'!$D$5:$D$3004,MATCH($A1749,'Live History'!$D$5:$D$3004,1)),INDEX('AH History'!$E$1:$E$18046,AH!$P$7+1744))),NA()),NA())</ns0:f>
        <ns0:v/>
      </ns0:c>
      <ns0:c r="G1749">
        <ns0:f>IFERROR(IF(ISNUMBER($A1749),IF(AND(AH!$P$10=1,AH!$P$12=1,$A1749=TODAY()),IF(AND(AH!$P$10=1,AH!$P$12=1,$A1749=TODAY()),TODAY(),NA()),IF(AH!$P$10=1,INDEX('Live History'!$G$5:$G$3004,MATCH($A1749,'Live History'!$G$5:$G$3004,1)),INDEX('AH History'!$F$1:$F$18046,AH!$P$7+1744))),NA()),NA())</ns0:f>
        <ns0:v/>
      </ns0:c>
      <ns0:c r="H1749">
        <ns0:f>IFERROR(IF(AND(AH!$E$4="Bloomberg",AH!$P$10=1,ISNUMBER($A1749),$A1749&lt;=AH!$P$17),AH!$P$7-1+MATCH($A1749,INDEX('AH History'!$A$1:$A$18046,AH!$P$7):INDEX('AH History'!$A$1:$A$18046,AH!$P$7+AH!$P$8-1),0),0),0)</ns0:f>
        <ns0:v/>
      </ns0:c>
      <ns0:c r="I1749">
        <ns0:f>IF($H1749=0,0,IFERROR(IF(AND(ABS($C1749-INDEX('AH History'!$B$1:$B$18046,$H1749))&lt;=MAX(0.005,ABS(INDEX('AH History'!$B$1:$B$18046,$H1749))*0.00005),ABS($D1749-INDEX('AH History'!$C$1:$C$18046,$H1749))&lt;=MAX(0.005,ABS(INDEX('AH History'!$C$1:$C$18046,$H1749))*0.00005),ABS($E1749-INDEX('AH History'!$D$1:$D$18046,$H1749))&lt;=0.00005,$F1749=INDEX('AH History'!$E$1:$E$18046,$H1749),$G1749=INDEX('AH History'!$F$1:$F$18046,$H1749)),1,-1),-1))</ns0:f>
        <ns0:v/>
      </ns0:c>
    </ns0:row>
    <ns0:row r="1750">
      <ns0:c r="A1750" s="215">
        <ns0:f>IF(OR(AH!$P$3=0,1745+1&gt;AH!$P$11,AND(AH!$E$4&lt;&gt;"Stored",AH!$P$10&lt;&gt;1)),"",IFERROR(IF(AND(AH!$P$21=1,1745+1=AH!$P$11),TODAY(),IF(AH!$P$10=1,INDEX('Live History'!$A$5:$A$3004,AH!$P$13+1745),INDEX('AH History'!$A$1:$A$18046,AH!$P$7+1745))),""))</ns0:f>
        <ns0:v/>
      </ns0:c>
      <ns0:c r="B1750" s="219">
        <ns0:f>IFERROR(IF(AND(AH!$P$9&lt;&gt;1,$C1750&gt;0,$D1750&gt;0,$E1750&gt;0,$F1750&gt;0,$G1750&gt;0,$F1750&lt;=$A1750,$G1750&lt;=$A1750,$A1750-$F1750&lt;=10,$A1750-$G1750&lt;=5),$D1750*$E1750/$C1750-1,NA()),NA())</ns0:f>
        <ns0:v/>
      </ns0:c>
      <ns0:c r="C1750">
        <ns0:f>IFERROR(IF(ISNUMBER($A1750),IF(AND(AH!$P$10=1,AH!$P$12=1,$A1750=TODAY()),AH!$P$19,IF(AH!$P$10=1,INDEX('Live History'!$B$5:$B$3004,AH!$P$13+1745),INDEX('AH History'!$B$1:$B$18046,AH!$P$7+1745))),NA()),NA())</ns0:f>
        <ns0:v/>
      </ns0:c>
      <ns0:c r="D1750">
        <ns0:f>IFERROR(IF(ISNUMBER($A1750),IF(AND(AH!$P$10=1,AH!$P$12=1,$A1750=TODAY()),AH!$P$18,IF(AH!$P$10=1,INDEX('Live History'!$E$5:$E$3004,MATCH($A1750,'Live History'!$D$5:$D$3004,1)),INDEX('AH History'!$C$1:$C$18046,AH!$P$7+1745))),NA()),NA())</ns0:f>
        <ns0:v/>
      </ns0:c>
      <ns0:c r="E1750">
        <ns0:f>IFERROR(IF(ISNUMBER($A1750),IF(AND(AH!$P$10=1,AH!$P$12=1,$A1750=TODAY()),AH!$P$20,IF(AH!$P$10=1,INDEX('Live History'!$H$5:$H$3004,MATCH($A1750,'Live History'!$G$5:$G$3004,1)),INDEX('AH History'!$D$1:$D$18046,AH!$P$7+1745))),NA()),NA())</ns0:f>
        <ns0:v/>
      </ns0:c>
      <ns0:c r="F1750">
        <ns0:f>IFERROR(IF(ISNUMBER($A1750),IF(AND(AH!$P$10=1,AH!$P$12=1,$A1750=TODAY()),IF(AND(AH!$P$10=1,AH!$P$12=1,$A1750=TODAY()),TODAY(),NA()),IF(AH!$P$10=1,INDEX('Live History'!$D$5:$D$3004,MATCH($A1750,'Live History'!$D$5:$D$3004,1)),INDEX('AH History'!$E$1:$E$18046,AH!$P$7+1745))),NA()),NA())</ns0:f>
        <ns0:v/>
      </ns0:c>
      <ns0:c r="G1750">
        <ns0:f>IFERROR(IF(ISNUMBER($A1750),IF(AND(AH!$P$10=1,AH!$P$12=1,$A1750=TODAY()),IF(AND(AH!$P$10=1,AH!$P$12=1,$A1750=TODAY()),TODAY(),NA()),IF(AH!$P$10=1,INDEX('Live History'!$G$5:$G$3004,MATCH($A1750,'Live History'!$G$5:$G$3004,1)),INDEX('AH History'!$F$1:$F$18046,AH!$P$7+1745))),NA()),NA())</ns0:f>
        <ns0:v/>
      </ns0:c>
      <ns0:c r="H1750">
        <ns0:f>IFERROR(IF(AND(AH!$E$4="Bloomberg",AH!$P$10=1,ISNUMBER($A1750),$A1750&lt;=AH!$P$17),AH!$P$7-1+MATCH($A1750,INDEX('AH History'!$A$1:$A$18046,AH!$P$7):INDEX('AH History'!$A$1:$A$18046,AH!$P$7+AH!$P$8-1),0),0),0)</ns0:f>
        <ns0:v/>
      </ns0:c>
      <ns0:c r="I1750">
        <ns0:f>IF($H1750=0,0,IFERROR(IF(AND(ABS($C1750-INDEX('AH History'!$B$1:$B$18046,$H1750))&lt;=MAX(0.005,ABS(INDEX('AH History'!$B$1:$B$18046,$H1750))*0.00005),ABS($D1750-INDEX('AH History'!$C$1:$C$18046,$H1750))&lt;=MAX(0.005,ABS(INDEX('AH History'!$C$1:$C$18046,$H1750))*0.00005),ABS($E1750-INDEX('AH History'!$D$1:$D$18046,$H1750))&lt;=0.00005,$F1750=INDEX('AH History'!$E$1:$E$18046,$H1750),$G1750=INDEX('AH History'!$F$1:$F$18046,$H1750)),1,-1),-1))</ns0:f>
        <ns0:v/>
      </ns0:c>
    </ns0:row>
    <ns0:row r="1751">
      <ns0:c r="A1751" s="215">
        <ns0:f>IF(OR(AH!$P$3=0,1746+1&gt;AH!$P$11,AND(AH!$E$4&lt;&gt;"Stored",AH!$P$10&lt;&gt;1)),"",IFERROR(IF(AND(AH!$P$21=1,1746+1=AH!$P$11),TODAY(),IF(AH!$P$10=1,INDEX('Live History'!$A$5:$A$3004,AH!$P$13+1746),INDEX('AH History'!$A$1:$A$18046,AH!$P$7+1746))),""))</ns0:f>
        <ns0:v/>
      </ns0:c>
      <ns0:c r="B1751" s="219">
        <ns0:f>IFERROR(IF(AND(AH!$P$9&lt;&gt;1,$C1751&gt;0,$D1751&gt;0,$E1751&gt;0,$F1751&gt;0,$G1751&gt;0,$F1751&lt;=$A1751,$G1751&lt;=$A1751,$A1751-$F1751&lt;=10,$A1751-$G1751&lt;=5),$D1751*$E1751/$C1751-1,NA()),NA())</ns0:f>
        <ns0:v/>
      </ns0:c>
      <ns0:c r="C1751">
        <ns0:f>IFERROR(IF(ISNUMBER($A1751),IF(AND(AH!$P$10=1,AH!$P$12=1,$A1751=TODAY()),AH!$P$19,IF(AH!$P$10=1,INDEX('Live History'!$B$5:$B$3004,AH!$P$13+1746),INDEX('AH History'!$B$1:$B$18046,AH!$P$7+1746))),NA()),NA())</ns0:f>
        <ns0:v/>
      </ns0:c>
      <ns0:c r="D1751">
        <ns0:f>IFERROR(IF(ISNUMBER($A1751),IF(AND(AH!$P$10=1,AH!$P$12=1,$A1751=TODAY()),AH!$P$18,IF(AH!$P$10=1,INDEX('Live History'!$E$5:$E$3004,MATCH($A1751,'Live History'!$D$5:$D$3004,1)),INDEX('AH History'!$C$1:$C$18046,AH!$P$7+1746))),NA()),NA())</ns0:f>
        <ns0:v/>
      </ns0:c>
      <ns0:c r="E1751">
        <ns0:f>IFERROR(IF(ISNUMBER($A1751),IF(AND(AH!$P$10=1,AH!$P$12=1,$A1751=TODAY()),AH!$P$20,IF(AH!$P$10=1,INDEX('Live History'!$H$5:$H$3004,MATCH($A1751,'Live History'!$G$5:$G$3004,1)),INDEX('AH History'!$D$1:$D$18046,AH!$P$7+1746))),NA()),NA())</ns0:f>
        <ns0:v/>
      </ns0:c>
      <ns0:c r="F1751">
        <ns0:f>IFERROR(IF(ISNUMBER($A1751),IF(AND(AH!$P$10=1,AH!$P$12=1,$A1751=TODAY()),IF(AND(AH!$P$10=1,AH!$P$12=1,$A1751=TODAY()),TODAY(),NA()),IF(AH!$P$10=1,INDEX('Live History'!$D$5:$D$3004,MATCH($A1751,'Live History'!$D$5:$D$3004,1)),INDEX('AH History'!$E$1:$E$18046,AH!$P$7+1746))),NA()),NA())</ns0:f>
        <ns0:v/>
      </ns0:c>
      <ns0:c r="G1751">
        <ns0:f>IFERROR(IF(ISNUMBER($A1751),IF(AND(AH!$P$10=1,AH!$P$12=1,$A1751=TODAY()),IF(AND(AH!$P$10=1,AH!$P$12=1,$A1751=TODAY()),TODAY(),NA()),IF(AH!$P$10=1,INDEX('Live History'!$G$5:$G$3004,MATCH($A1751,'Live History'!$G$5:$G$3004,1)),INDEX('AH History'!$F$1:$F$18046,AH!$P$7+1746))),NA()),NA())</ns0:f>
        <ns0:v/>
      </ns0:c>
      <ns0:c r="H1751">
        <ns0:f>IFERROR(IF(AND(AH!$E$4="Bloomberg",AH!$P$10=1,ISNUMBER($A1751),$A1751&lt;=AH!$P$17),AH!$P$7-1+MATCH($A1751,INDEX('AH History'!$A$1:$A$18046,AH!$P$7):INDEX('AH History'!$A$1:$A$18046,AH!$P$7+AH!$P$8-1),0),0),0)</ns0:f>
        <ns0:v/>
      </ns0:c>
      <ns0:c r="I1751">
        <ns0:f>IF($H1751=0,0,IFERROR(IF(AND(ABS($C1751-INDEX('AH History'!$B$1:$B$18046,$H1751))&lt;=MAX(0.005,ABS(INDEX('AH History'!$B$1:$B$18046,$H1751))*0.00005),ABS($D1751-INDEX('AH History'!$C$1:$C$18046,$H1751))&lt;=MAX(0.005,ABS(INDEX('AH History'!$C$1:$C$18046,$H1751))*0.00005),ABS($E1751-INDEX('AH History'!$D$1:$D$18046,$H1751))&lt;=0.00005,$F1751=INDEX('AH History'!$E$1:$E$18046,$H1751),$G1751=INDEX('AH History'!$F$1:$F$18046,$H1751)),1,-1),-1))</ns0:f>
        <ns0:v/>
      </ns0:c>
    </ns0:row>
    <ns0:row r="1752">
      <ns0:c r="A1752" s="215">
        <ns0:f>IF(OR(AH!$P$3=0,1747+1&gt;AH!$P$11,AND(AH!$E$4&lt;&gt;"Stored",AH!$P$10&lt;&gt;1)),"",IFERROR(IF(AND(AH!$P$21=1,1747+1=AH!$P$11),TODAY(),IF(AH!$P$10=1,INDEX('Live History'!$A$5:$A$3004,AH!$P$13+1747),INDEX('AH History'!$A$1:$A$18046,AH!$P$7+1747))),""))</ns0:f>
        <ns0:v/>
      </ns0:c>
      <ns0:c r="B1752" s="219">
        <ns0:f>IFERROR(IF(AND(AH!$P$9&lt;&gt;1,$C1752&gt;0,$D1752&gt;0,$E1752&gt;0,$F1752&gt;0,$G1752&gt;0,$F1752&lt;=$A1752,$G1752&lt;=$A1752,$A1752-$F1752&lt;=10,$A1752-$G1752&lt;=5),$D1752*$E1752/$C1752-1,NA()),NA())</ns0:f>
        <ns0:v/>
      </ns0:c>
      <ns0:c r="C1752">
        <ns0:f>IFERROR(IF(ISNUMBER($A1752),IF(AND(AH!$P$10=1,AH!$P$12=1,$A1752=TODAY()),AH!$P$19,IF(AH!$P$10=1,INDEX('Live History'!$B$5:$B$3004,AH!$P$13+1747),INDEX('AH History'!$B$1:$B$18046,AH!$P$7+1747))),NA()),NA())</ns0:f>
        <ns0:v/>
      </ns0:c>
      <ns0:c r="D1752">
        <ns0:f>IFERROR(IF(ISNUMBER($A1752),IF(AND(AH!$P$10=1,AH!$P$12=1,$A1752=TODAY()),AH!$P$18,IF(AH!$P$10=1,INDEX('Live History'!$E$5:$E$3004,MATCH($A1752,'Live History'!$D$5:$D$3004,1)),INDEX('AH History'!$C$1:$C$18046,AH!$P$7+1747))),NA()),NA())</ns0:f>
        <ns0:v/>
      </ns0:c>
      <ns0:c r="E1752">
        <ns0:f>IFERROR(IF(ISNUMBER($A1752),IF(AND(AH!$P$10=1,AH!$P$12=1,$A1752=TODAY()),AH!$P$20,IF(AH!$P$10=1,INDEX('Live History'!$H$5:$H$3004,MATCH($A1752,'Live History'!$G$5:$G$3004,1)),INDEX('AH History'!$D$1:$D$18046,AH!$P$7+1747))),NA()),NA())</ns0:f>
        <ns0:v/>
      </ns0:c>
      <ns0:c r="F1752">
        <ns0:f>IFERROR(IF(ISNUMBER($A1752),IF(AND(AH!$P$10=1,AH!$P$12=1,$A1752=TODAY()),IF(AND(AH!$P$10=1,AH!$P$12=1,$A1752=TODAY()),TODAY(),NA()),IF(AH!$P$10=1,INDEX('Live History'!$D$5:$D$3004,MATCH($A1752,'Live History'!$D$5:$D$3004,1)),INDEX('AH History'!$E$1:$E$18046,AH!$P$7+1747))),NA()),NA())</ns0:f>
        <ns0:v/>
      </ns0:c>
      <ns0:c r="G1752">
        <ns0:f>IFERROR(IF(ISNUMBER($A1752),IF(AND(AH!$P$10=1,AH!$P$12=1,$A1752=TODAY()),IF(AND(AH!$P$10=1,AH!$P$12=1,$A1752=TODAY()),TODAY(),NA()),IF(AH!$P$10=1,INDEX('Live History'!$G$5:$G$3004,MATCH($A1752,'Live History'!$G$5:$G$3004,1)),INDEX('AH History'!$F$1:$F$18046,AH!$P$7+1747))),NA()),NA())</ns0:f>
        <ns0:v/>
      </ns0:c>
      <ns0:c r="H1752">
        <ns0:f>IFERROR(IF(AND(AH!$E$4="Bloomberg",AH!$P$10=1,ISNUMBER($A1752),$A1752&lt;=AH!$P$17),AH!$P$7-1+MATCH($A1752,INDEX('AH History'!$A$1:$A$18046,AH!$P$7):INDEX('AH History'!$A$1:$A$18046,AH!$P$7+AH!$P$8-1),0),0),0)</ns0:f>
        <ns0:v/>
      </ns0:c>
      <ns0:c r="I1752">
        <ns0:f>IF($H1752=0,0,IFERROR(IF(AND(ABS($C1752-INDEX('AH History'!$B$1:$B$18046,$H1752))&lt;=MAX(0.005,ABS(INDEX('AH History'!$B$1:$B$18046,$H1752))*0.00005),ABS($D1752-INDEX('AH History'!$C$1:$C$18046,$H1752))&lt;=MAX(0.005,ABS(INDEX('AH History'!$C$1:$C$18046,$H1752))*0.00005),ABS($E1752-INDEX('AH History'!$D$1:$D$18046,$H1752))&lt;=0.00005,$F1752=INDEX('AH History'!$E$1:$E$18046,$H1752),$G1752=INDEX('AH History'!$F$1:$F$18046,$H1752)),1,-1),-1))</ns0:f>
        <ns0:v/>
      </ns0:c>
    </ns0:row>
    <ns0:row r="1753">
      <ns0:c r="A1753" s="215">
        <ns0:f>IF(OR(AH!$P$3=0,1748+1&gt;AH!$P$11,AND(AH!$E$4&lt;&gt;"Stored",AH!$P$10&lt;&gt;1)),"",IFERROR(IF(AND(AH!$P$21=1,1748+1=AH!$P$11),TODAY(),IF(AH!$P$10=1,INDEX('Live History'!$A$5:$A$3004,AH!$P$13+1748),INDEX('AH History'!$A$1:$A$18046,AH!$P$7+1748))),""))</ns0:f>
        <ns0:v/>
      </ns0:c>
      <ns0:c r="B1753" s="219">
        <ns0:f>IFERROR(IF(AND(AH!$P$9&lt;&gt;1,$C1753&gt;0,$D1753&gt;0,$E1753&gt;0,$F1753&gt;0,$G1753&gt;0,$F1753&lt;=$A1753,$G1753&lt;=$A1753,$A1753-$F1753&lt;=10,$A1753-$G1753&lt;=5),$D1753*$E1753/$C1753-1,NA()),NA())</ns0:f>
        <ns0:v/>
      </ns0:c>
      <ns0:c r="C1753">
        <ns0:f>IFERROR(IF(ISNUMBER($A1753),IF(AND(AH!$P$10=1,AH!$P$12=1,$A1753=TODAY()),AH!$P$19,IF(AH!$P$10=1,INDEX('Live History'!$B$5:$B$3004,AH!$P$13+1748),INDEX('AH History'!$B$1:$B$18046,AH!$P$7+1748))),NA()),NA())</ns0:f>
        <ns0:v/>
      </ns0:c>
      <ns0:c r="D1753">
        <ns0:f>IFERROR(IF(ISNUMBER($A1753),IF(AND(AH!$P$10=1,AH!$P$12=1,$A1753=TODAY()),AH!$P$18,IF(AH!$P$10=1,INDEX('Live History'!$E$5:$E$3004,MATCH($A1753,'Live History'!$D$5:$D$3004,1)),INDEX('AH History'!$C$1:$C$18046,AH!$P$7+1748))),NA()),NA())</ns0:f>
        <ns0:v/>
      </ns0:c>
      <ns0:c r="E1753">
        <ns0:f>IFERROR(IF(ISNUMBER($A1753),IF(AND(AH!$P$10=1,AH!$P$12=1,$A1753=TODAY()),AH!$P$20,IF(AH!$P$10=1,INDEX('Live History'!$H$5:$H$3004,MATCH($A1753,'Live History'!$G$5:$G$3004,1)),INDEX('AH History'!$D$1:$D$18046,AH!$P$7+1748))),NA()),NA())</ns0:f>
        <ns0:v/>
      </ns0:c>
      <ns0:c r="F1753">
        <ns0:f>IFERROR(IF(ISNUMBER($A1753),IF(AND(AH!$P$10=1,AH!$P$12=1,$A1753=TODAY()),IF(AND(AH!$P$10=1,AH!$P$12=1,$A1753=TODAY()),TODAY(),NA()),IF(AH!$P$10=1,INDEX('Live History'!$D$5:$D$3004,MATCH($A1753,'Live History'!$D$5:$D$3004,1)),INDEX('AH History'!$E$1:$E$18046,AH!$P$7+1748))),NA()),NA())</ns0:f>
        <ns0:v/>
      </ns0:c>
      <ns0:c r="G1753">
        <ns0:f>IFERROR(IF(ISNUMBER($A1753),IF(AND(AH!$P$10=1,AH!$P$12=1,$A1753=TODAY()),IF(AND(AH!$P$10=1,AH!$P$12=1,$A1753=TODAY()),TODAY(),NA()),IF(AH!$P$10=1,INDEX('Live History'!$G$5:$G$3004,MATCH($A1753,'Live History'!$G$5:$G$3004,1)),INDEX('AH History'!$F$1:$F$18046,AH!$P$7+1748))),NA()),NA())</ns0:f>
        <ns0:v/>
      </ns0:c>
      <ns0:c r="H1753">
        <ns0:f>IFERROR(IF(AND(AH!$E$4="Bloomberg",AH!$P$10=1,ISNUMBER($A1753),$A1753&lt;=AH!$P$17),AH!$P$7-1+MATCH($A1753,INDEX('AH History'!$A$1:$A$18046,AH!$P$7):INDEX('AH History'!$A$1:$A$18046,AH!$P$7+AH!$P$8-1),0),0),0)</ns0:f>
        <ns0:v/>
      </ns0:c>
      <ns0:c r="I1753">
        <ns0:f>IF($H1753=0,0,IFERROR(IF(AND(ABS($C1753-INDEX('AH History'!$B$1:$B$18046,$H1753))&lt;=MAX(0.005,ABS(INDEX('AH History'!$B$1:$B$18046,$H1753))*0.00005),ABS($D1753-INDEX('AH History'!$C$1:$C$18046,$H1753))&lt;=MAX(0.005,ABS(INDEX('AH History'!$C$1:$C$18046,$H1753))*0.00005),ABS($E1753-INDEX('AH History'!$D$1:$D$18046,$H1753))&lt;=0.00005,$F1753=INDEX('AH History'!$E$1:$E$18046,$H1753),$G1753=INDEX('AH History'!$F$1:$F$18046,$H1753)),1,-1),-1))</ns0:f>
        <ns0:v/>
      </ns0:c>
    </ns0:row>
    <ns0:row r="1754">
      <ns0:c r="A1754" s="215">
        <ns0:f>IF(OR(AH!$P$3=0,1749+1&gt;AH!$P$11,AND(AH!$E$4&lt;&gt;"Stored",AH!$P$10&lt;&gt;1)),"",IFERROR(IF(AND(AH!$P$21=1,1749+1=AH!$P$11),TODAY(),IF(AH!$P$10=1,INDEX('Live History'!$A$5:$A$3004,AH!$P$13+1749),INDEX('AH History'!$A$1:$A$18046,AH!$P$7+1749))),""))</ns0:f>
        <ns0:v/>
      </ns0:c>
      <ns0:c r="B1754" s="219">
        <ns0:f>IFERROR(IF(AND(AH!$P$9&lt;&gt;1,$C1754&gt;0,$D1754&gt;0,$E1754&gt;0,$F1754&gt;0,$G1754&gt;0,$F1754&lt;=$A1754,$G1754&lt;=$A1754,$A1754-$F1754&lt;=10,$A1754-$G1754&lt;=5),$D1754*$E1754/$C1754-1,NA()),NA())</ns0:f>
        <ns0:v/>
      </ns0:c>
      <ns0:c r="C1754">
        <ns0:f>IFERROR(IF(ISNUMBER($A1754),IF(AND(AH!$P$10=1,AH!$P$12=1,$A1754=TODAY()),AH!$P$19,IF(AH!$P$10=1,INDEX('Live History'!$B$5:$B$3004,AH!$P$13+1749),INDEX('AH History'!$B$1:$B$18046,AH!$P$7+1749))),NA()),NA())</ns0:f>
        <ns0:v/>
      </ns0:c>
      <ns0:c r="D1754">
        <ns0:f>IFERROR(IF(ISNUMBER($A1754),IF(AND(AH!$P$10=1,AH!$P$12=1,$A1754=TODAY()),AH!$P$18,IF(AH!$P$10=1,INDEX('Live History'!$E$5:$E$3004,MATCH($A1754,'Live History'!$D$5:$D$3004,1)),INDEX('AH History'!$C$1:$C$18046,AH!$P$7+1749))),NA()),NA())</ns0:f>
        <ns0:v/>
      </ns0:c>
      <ns0:c r="E1754">
        <ns0:f>IFERROR(IF(ISNUMBER($A1754),IF(AND(AH!$P$10=1,AH!$P$12=1,$A1754=TODAY()),AH!$P$20,IF(AH!$P$10=1,INDEX('Live History'!$H$5:$H$3004,MATCH($A1754,'Live History'!$G$5:$G$3004,1)),INDEX('AH History'!$D$1:$D$18046,AH!$P$7+1749))),NA()),NA())</ns0:f>
        <ns0:v/>
      </ns0:c>
      <ns0:c r="F1754">
        <ns0:f>IFERROR(IF(ISNUMBER($A1754),IF(AND(AH!$P$10=1,AH!$P$12=1,$A1754=TODAY()),IF(AND(AH!$P$10=1,AH!$P$12=1,$A1754=TODAY()),TODAY(),NA()),IF(AH!$P$10=1,INDEX('Live History'!$D$5:$D$3004,MATCH($A1754,'Live History'!$D$5:$D$3004,1)),INDEX('AH History'!$E$1:$E$18046,AH!$P$7+1749))),NA()),NA())</ns0:f>
        <ns0:v/>
      </ns0:c>
      <ns0:c r="G1754">
        <ns0:f>IFERROR(IF(ISNUMBER($A1754),IF(AND(AH!$P$10=1,AH!$P$12=1,$A1754=TODAY()),IF(AND(AH!$P$10=1,AH!$P$12=1,$A1754=TODAY()),TODAY(),NA()),IF(AH!$P$10=1,INDEX('Live History'!$G$5:$G$3004,MATCH($A1754,'Live History'!$G$5:$G$3004,1)),INDEX('AH History'!$F$1:$F$18046,AH!$P$7+1749))),NA()),NA())</ns0:f>
        <ns0:v/>
      </ns0:c>
      <ns0:c r="H1754">
        <ns0:f>IFERROR(IF(AND(AH!$E$4="Bloomberg",AH!$P$10=1,ISNUMBER($A1754),$A1754&lt;=AH!$P$17),AH!$P$7-1+MATCH($A1754,INDEX('AH History'!$A$1:$A$18046,AH!$P$7):INDEX('AH History'!$A$1:$A$18046,AH!$P$7+AH!$P$8-1),0),0),0)</ns0:f>
        <ns0:v/>
      </ns0:c>
      <ns0:c r="I1754">
        <ns0:f>IF($H1754=0,0,IFERROR(IF(AND(ABS($C1754-INDEX('AH History'!$B$1:$B$18046,$H1754))&lt;=MAX(0.005,ABS(INDEX('AH History'!$B$1:$B$18046,$H1754))*0.00005),ABS($D1754-INDEX('AH History'!$C$1:$C$18046,$H1754))&lt;=MAX(0.005,ABS(INDEX('AH History'!$C$1:$C$18046,$H1754))*0.00005),ABS($E1754-INDEX('AH History'!$D$1:$D$18046,$H1754))&lt;=0.00005,$F1754=INDEX('AH History'!$E$1:$E$18046,$H1754),$G1754=INDEX('AH History'!$F$1:$F$18046,$H1754)),1,-1),-1))</ns0:f>
        <ns0:v/>
      </ns0:c>
    </ns0:row>
    <ns0:row r="1755">
      <ns0:c r="A1755" s="215">
        <ns0:f>IF(OR(AH!$P$3=0,1750+1&gt;AH!$P$11,AND(AH!$E$4&lt;&gt;"Stored",AH!$P$10&lt;&gt;1)),"",IFERROR(IF(AND(AH!$P$21=1,1750+1=AH!$P$11),TODAY(),IF(AH!$P$10=1,INDEX('Live History'!$A$5:$A$3004,AH!$P$13+1750),INDEX('AH History'!$A$1:$A$18046,AH!$P$7+1750))),""))</ns0:f>
        <ns0:v/>
      </ns0:c>
      <ns0:c r="B1755" s="219">
        <ns0:f>IFERROR(IF(AND(AH!$P$9&lt;&gt;1,$C1755&gt;0,$D1755&gt;0,$E1755&gt;0,$F1755&gt;0,$G1755&gt;0,$F1755&lt;=$A1755,$G1755&lt;=$A1755,$A1755-$F1755&lt;=10,$A1755-$G1755&lt;=5),$D1755*$E1755/$C1755-1,NA()),NA())</ns0:f>
        <ns0:v/>
      </ns0:c>
      <ns0:c r="C1755">
        <ns0:f>IFERROR(IF(ISNUMBER($A1755),IF(AND(AH!$P$10=1,AH!$P$12=1,$A1755=TODAY()),AH!$P$19,IF(AH!$P$10=1,INDEX('Live History'!$B$5:$B$3004,AH!$P$13+1750),INDEX('AH History'!$B$1:$B$18046,AH!$P$7+1750))),NA()),NA())</ns0:f>
        <ns0:v/>
      </ns0:c>
      <ns0:c r="D1755">
        <ns0:f>IFERROR(IF(ISNUMBER($A1755),IF(AND(AH!$P$10=1,AH!$P$12=1,$A1755=TODAY()),AH!$P$18,IF(AH!$P$10=1,INDEX('Live History'!$E$5:$E$3004,MATCH($A1755,'Live History'!$D$5:$D$3004,1)),INDEX('AH History'!$C$1:$C$18046,AH!$P$7+1750))),NA()),NA())</ns0:f>
        <ns0:v/>
      </ns0:c>
      <ns0:c r="E1755">
        <ns0:f>IFERROR(IF(ISNUMBER($A1755),IF(AND(AH!$P$10=1,AH!$P$12=1,$A1755=TODAY()),AH!$P$20,IF(AH!$P$10=1,INDEX('Live History'!$H$5:$H$3004,MATCH($A1755,'Live History'!$G$5:$G$3004,1)),INDEX('AH History'!$D$1:$D$18046,AH!$P$7+1750))),NA()),NA())</ns0:f>
        <ns0:v/>
      </ns0:c>
      <ns0:c r="F1755">
        <ns0:f>IFERROR(IF(ISNUMBER($A1755),IF(AND(AH!$P$10=1,AH!$P$12=1,$A1755=TODAY()),IF(AND(AH!$P$10=1,AH!$P$12=1,$A1755=TODAY()),TODAY(),NA()),IF(AH!$P$10=1,INDEX('Live History'!$D$5:$D$3004,MATCH($A1755,'Live History'!$D$5:$D$3004,1)),INDEX('AH History'!$E$1:$E$18046,AH!$P$7+1750))),NA()),NA())</ns0:f>
        <ns0:v/>
      </ns0:c>
      <ns0:c r="G1755">
        <ns0:f>IFERROR(IF(ISNUMBER($A1755),IF(AND(AH!$P$10=1,AH!$P$12=1,$A1755=TODAY()),IF(AND(AH!$P$10=1,AH!$P$12=1,$A1755=TODAY()),TODAY(),NA()),IF(AH!$P$10=1,INDEX('Live History'!$G$5:$G$3004,MATCH($A1755,'Live History'!$G$5:$G$3004,1)),INDEX('AH History'!$F$1:$F$18046,AH!$P$7+1750))),NA()),NA())</ns0:f>
        <ns0:v/>
      </ns0:c>
      <ns0:c r="H1755">
        <ns0:f>IFERROR(IF(AND(AH!$E$4="Bloomberg",AH!$P$10=1,ISNUMBER($A1755),$A1755&lt;=AH!$P$17),AH!$P$7-1+MATCH($A1755,INDEX('AH History'!$A$1:$A$18046,AH!$P$7):INDEX('AH History'!$A$1:$A$18046,AH!$P$7+AH!$P$8-1),0),0),0)</ns0:f>
        <ns0:v/>
      </ns0:c>
      <ns0:c r="I1755">
        <ns0:f>IF($H1755=0,0,IFERROR(IF(AND(ABS($C1755-INDEX('AH History'!$B$1:$B$18046,$H1755))&lt;=MAX(0.005,ABS(INDEX('AH History'!$B$1:$B$18046,$H1755))*0.00005),ABS($D1755-INDEX('AH History'!$C$1:$C$18046,$H1755))&lt;=MAX(0.005,ABS(INDEX('AH History'!$C$1:$C$18046,$H1755))*0.00005),ABS($E1755-INDEX('AH History'!$D$1:$D$18046,$H1755))&lt;=0.00005,$F1755=INDEX('AH History'!$E$1:$E$18046,$H1755),$G1755=INDEX('AH History'!$F$1:$F$18046,$H1755)),1,-1),-1))</ns0:f>
        <ns0:v/>
      </ns0:c>
    </ns0:row>
    <ns0:row r="1756">
      <ns0:c r="A1756" s="215">
        <ns0:f>IF(OR(AH!$P$3=0,1751+1&gt;AH!$P$11,AND(AH!$E$4&lt;&gt;"Stored",AH!$P$10&lt;&gt;1)),"",IFERROR(IF(AND(AH!$P$21=1,1751+1=AH!$P$11),TODAY(),IF(AH!$P$10=1,INDEX('Live History'!$A$5:$A$3004,AH!$P$13+1751),INDEX('AH History'!$A$1:$A$18046,AH!$P$7+1751))),""))</ns0:f>
        <ns0:v/>
      </ns0:c>
      <ns0:c r="B1756" s="219">
        <ns0:f>IFERROR(IF(AND(AH!$P$9&lt;&gt;1,$C1756&gt;0,$D1756&gt;0,$E1756&gt;0,$F1756&gt;0,$G1756&gt;0,$F1756&lt;=$A1756,$G1756&lt;=$A1756,$A1756-$F1756&lt;=10,$A1756-$G1756&lt;=5),$D1756*$E1756/$C1756-1,NA()),NA())</ns0:f>
        <ns0:v/>
      </ns0:c>
      <ns0:c r="C1756">
        <ns0:f>IFERROR(IF(ISNUMBER($A1756),IF(AND(AH!$P$10=1,AH!$P$12=1,$A1756=TODAY()),AH!$P$19,IF(AH!$P$10=1,INDEX('Live History'!$B$5:$B$3004,AH!$P$13+1751),INDEX('AH History'!$B$1:$B$18046,AH!$P$7+1751))),NA()),NA())</ns0:f>
        <ns0:v/>
      </ns0:c>
      <ns0:c r="D1756">
        <ns0:f>IFERROR(IF(ISNUMBER($A1756),IF(AND(AH!$P$10=1,AH!$P$12=1,$A1756=TODAY()),AH!$P$18,IF(AH!$P$10=1,INDEX('Live History'!$E$5:$E$3004,MATCH($A1756,'Live History'!$D$5:$D$3004,1)),INDEX('AH History'!$C$1:$C$18046,AH!$P$7+1751))),NA()),NA())</ns0:f>
        <ns0:v/>
      </ns0:c>
      <ns0:c r="E1756">
        <ns0:f>IFERROR(IF(ISNUMBER($A1756),IF(AND(AH!$P$10=1,AH!$P$12=1,$A1756=TODAY()),AH!$P$20,IF(AH!$P$10=1,INDEX('Live History'!$H$5:$H$3004,MATCH($A1756,'Live History'!$G$5:$G$3004,1)),INDEX('AH History'!$D$1:$D$18046,AH!$P$7+1751))),NA()),NA())</ns0:f>
        <ns0:v/>
      </ns0:c>
      <ns0:c r="F1756">
        <ns0:f>IFERROR(IF(ISNUMBER($A1756),IF(AND(AH!$P$10=1,AH!$P$12=1,$A1756=TODAY()),IF(AND(AH!$P$10=1,AH!$P$12=1,$A1756=TODAY()),TODAY(),NA()),IF(AH!$P$10=1,INDEX('Live History'!$D$5:$D$3004,MATCH($A1756,'Live History'!$D$5:$D$3004,1)),INDEX('AH History'!$E$1:$E$18046,AH!$P$7+1751))),NA()),NA())</ns0:f>
        <ns0:v/>
      </ns0:c>
      <ns0:c r="G1756">
        <ns0:f>IFERROR(IF(ISNUMBER($A1756),IF(AND(AH!$P$10=1,AH!$P$12=1,$A1756=TODAY()),IF(AND(AH!$P$10=1,AH!$P$12=1,$A1756=TODAY()),TODAY(),NA()),IF(AH!$P$10=1,INDEX('Live History'!$G$5:$G$3004,MATCH($A1756,'Live History'!$G$5:$G$3004,1)),INDEX('AH History'!$F$1:$F$18046,AH!$P$7+1751))),NA()),NA())</ns0:f>
        <ns0:v/>
      </ns0:c>
      <ns0:c r="H1756">
        <ns0:f>IFERROR(IF(AND(AH!$E$4="Bloomberg",AH!$P$10=1,ISNUMBER($A1756),$A1756&lt;=AH!$P$17),AH!$P$7-1+MATCH($A1756,INDEX('AH History'!$A$1:$A$18046,AH!$P$7):INDEX('AH History'!$A$1:$A$18046,AH!$P$7+AH!$P$8-1),0),0),0)</ns0:f>
        <ns0:v/>
      </ns0:c>
      <ns0:c r="I1756">
        <ns0:f>IF($H1756=0,0,IFERROR(IF(AND(ABS($C1756-INDEX('AH History'!$B$1:$B$18046,$H1756))&lt;=MAX(0.005,ABS(INDEX('AH History'!$B$1:$B$18046,$H1756))*0.00005),ABS($D1756-INDEX('AH History'!$C$1:$C$18046,$H1756))&lt;=MAX(0.005,ABS(INDEX('AH History'!$C$1:$C$18046,$H1756))*0.00005),ABS($E1756-INDEX('AH History'!$D$1:$D$18046,$H1756))&lt;=0.00005,$F1756=INDEX('AH History'!$E$1:$E$18046,$H1756),$G1756=INDEX('AH History'!$F$1:$F$18046,$H1756)),1,-1),-1))</ns0:f>
        <ns0:v/>
      </ns0:c>
    </ns0:row>
    <ns0:row r="1757">
      <ns0:c r="A1757" s="215">
        <ns0:f>IF(OR(AH!$P$3=0,1752+1&gt;AH!$P$11,AND(AH!$E$4&lt;&gt;"Stored",AH!$P$10&lt;&gt;1)),"",IFERROR(IF(AND(AH!$P$21=1,1752+1=AH!$P$11),TODAY(),IF(AH!$P$10=1,INDEX('Live History'!$A$5:$A$3004,AH!$P$13+1752),INDEX('AH History'!$A$1:$A$18046,AH!$P$7+1752))),""))</ns0:f>
        <ns0:v/>
      </ns0:c>
      <ns0:c r="B1757" s="219">
        <ns0:f>IFERROR(IF(AND(AH!$P$9&lt;&gt;1,$C1757&gt;0,$D1757&gt;0,$E1757&gt;0,$F1757&gt;0,$G1757&gt;0,$F1757&lt;=$A1757,$G1757&lt;=$A1757,$A1757-$F1757&lt;=10,$A1757-$G1757&lt;=5),$D1757*$E1757/$C1757-1,NA()),NA())</ns0:f>
        <ns0:v/>
      </ns0:c>
      <ns0:c r="C1757">
        <ns0:f>IFERROR(IF(ISNUMBER($A1757),IF(AND(AH!$P$10=1,AH!$P$12=1,$A1757=TODAY()),AH!$P$19,IF(AH!$P$10=1,INDEX('Live History'!$B$5:$B$3004,AH!$P$13+1752),INDEX('AH History'!$B$1:$B$18046,AH!$P$7+1752))),NA()),NA())</ns0:f>
        <ns0:v/>
      </ns0:c>
      <ns0:c r="D1757">
        <ns0:f>IFERROR(IF(ISNUMBER($A1757),IF(AND(AH!$P$10=1,AH!$P$12=1,$A1757=TODAY()),AH!$P$18,IF(AH!$P$10=1,INDEX('Live History'!$E$5:$E$3004,MATCH($A1757,'Live History'!$D$5:$D$3004,1)),INDEX('AH History'!$C$1:$C$18046,AH!$P$7+1752))),NA()),NA())</ns0:f>
        <ns0:v/>
      </ns0:c>
      <ns0:c r="E1757">
        <ns0:f>IFERROR(IF(ISNUMBER($A1757),IF(AND(AH!$P$10=1,AH!$P$12=1,$A1757=TODAY()),AH!$P$20,IF(AH!$P$10=1,INDEX('Live History'!$H$5:$H$3004,MATCH($A1757,'Live History'!$G$5:$G$3004,1)),INDEX('AH History'!$D$1:$D$18046,AH!$P$7+1752))),NA()),NA())</ns0:f>
        <ns0:v/>
      </ns0:c>
      <ns0:c r="F1757">
        <ns0:f>IFERROR(IF(ISNUMBER($A1757),IF(AND(AH!$P$10=1,AH!$P$12=1,$A1757=TODAY()),IF(AND(AH!$P$10=1,AH!$P$12=1,$A1757=TODAY()),TODAY(),NA()),IF(AH!$P$10=1,INDEX('Live History'!$D$5:$D$3004,MATCH($A1757,'Live History'!$D$5:$D$3004,1)),INDEX('AH History'!$E$1:$E$18046,AH!$P$7+1752))),NA()),NA())</ns0:f>
        <ns0:v/>
      </ns0:c>
      <ns0:c r="G1757">
        <ns0:f>IFERROR(IF(ISNUMBER($A1757),IF(AND(AH!$P$10=1,AH!$P$12=1,$A1757=TODAY()),IF(AND(AH!$P$10=1,AH!$P$12=1,$A1757=TODAY()),TODAY(),NA()),IF(AH!$P$10=1,INDEX('Live History'!$G$5:$G$3004,MATCH($A1757,'Live History'!$G$5:$G$3004,1)),INDEX('AH History'!$F$1:$F$18046,AH!$P$7+1752))),NA()),NA())</ns0:f>
        <ns0:v/>
      </ns0:c>
      <ns0:c r="H1757">
        <ns0:f>IFERROR(IF(AND(AH!$E$4="Bloomberg",AH!$P$10=1,ISNUMBER($A1757),$A1757&lt;=AH!$P$17),AH!$P$7-1+MATCH($A1757,INDEX('AH History'!$A$1:$A$18046,AH!$P$7):INDEX('AH History'!$A$1:$A$18046,AH!$P$7+AH!$P$8-1),0),0),0)</ns0:f>
        <ns0:v/>
      </ns0:c>
      <ns0:c r="I1757">
        <ns0:f>IF($H1757=0,0,IFERROR(IF(AND(ABS($C1757-INDEX('AH History'!$B$1:$B$18046,$H1757))&lt;=MAX(0.005,ABS(INDEX('AH History'!$B$1:$B$18046,$H1757))*0.00005),ABS($D1757-INDEX('AH History'!$C$1:$C$18046,$H1757))&lt;=MAX(0.005,ABS(INDEX('AH History'!$C$1:$C$18046,$H1757))*0.00005),ABS($E1757-INDEX('AH History'!$D$1:$D$18046,$H1757))&lt;=0.00005,$F1757=INDEX('AH History'!$E$1:$E$18046,$H1757),$G1757=INDEX('AH History'!$F$1:$F$18046,$H1757)),1,-1),-1))</ns0:f>
        <ns0:v/>
      </ns0:c>
    </ns0:row>
    <ns0:row r="1758">
      <ns0:c r="A1758" s="215">
        <ns0:f>IF(OR(AH!$P$3=0,1753+1&gt;AH!$P$11,AND(AH!$E$4&lt;&gt;"Stored",AH!$P$10&lt;&gt;1)),"",IFERROR(IF(AND(AH!$P$21=1,1753+1=AH!$P$11),TODAY(),IF(AH!$P$10=1,INDEX('Live History'!$A$5:$A$3004,AH!$P$13+1753),INDEX('AH History'!$A$1:$A$18046,AH!$P$7+1753))),""))</ns0:f>
        <ns0:v/>
      </ns0:c>
      <ns0:c r="B1758" s="219">
        <ns0:f>IFERROR(IF(AND(AH!$P$9&lt;&gt;1,$C1758&gt;0,$D1758&gt;0,$E1758&gt;0,$F1758&gt;0,$G1758&gt;0,$F1758&lt;=$A1758,$G1758&lt;=$A1758,$A1758-$F1758&lt;=10,$A1758-$G1758&lt;=5),$D1758*$E1758/$C1758-1,NA()),NA())</ns0:f>
        <ns0:v/>
      </ns0:c>
      <ns0:c r="C1758">
        <ns0:f>IFERROR(IF(ISNUMBER($A1758),IF(AND(AH!$P$10=1,AH!$P$12=1,$A1758=TODAY()),AH!$P$19,IF(AH!$P$10=1,INDEX('Live History'!$B$5:$B$3004,AH!$P$13+1753),INDEX('AH History'!$B$1:$B$18046,AH!$P$7+1753))),NA()),NA())</ns0:f>
        <ns0:v/>
      </ns0:c>
      <ns0:c r="D1758">
        <ns0:f>IFERROR(IF(ISNUMBER($A1758),IF(AND(AH!$P$10=1,AH!$P$12=1,$A1758=TODAY()),AH!$P$18,IF(AH!$P$10=1,INDEX('Live History'!$E$5:$E$3004,MATCH($A1758,'Live History'!$D$5:$D$3004,1)),INDEX('AH History'!$C$1:$C$18046,AH!$P$7+1753))),NA()),NA())</ns0:f>
        <ns0:v/>
      </ns0:c>
      <ns0:c r="E1758">
        <ns0:f>IFERROR(IF(ISNUMBER($A1758),IF(AND(AH!$P$10=1,AH!$P$12=1,$A1758=TODAY()),AH!$P$20,IF(AH!$P$10=1,INDEX('Live History'!$H$5:$H$3004,MATCH($A1758,'Live History'!$G$5:$G$3004,1)),INDEX('AH History'!$D$1:$D$18046,AH!$P$7+1753))),NA()),NA())</ns0:f>
        <ns0:v/>
      </ns0:c>
      <ns0:c r="F1758">
        <ns0:f>IFERROR(IF(ISNUMBER($A1758),IF(AND(AH!$P$10=1,AH!$P$12=1,$A1758=TODAY()),IF(AND(AH!$P$10=1,AH!$P$12=1,$A1758=TODAY()),TODAY(),NA()),IF(AH!$P$10=1,INDEX('Live History'!$D$5:$D$3004,MATCH($A1758,'Live History'!$D$5:$D$3004,1)),INDEX('AH History'!$E$1:$E$18046,AH!$P$7+1753))),NA()),NA())</ns0:f>
        <ns0:v/>
      </ns0:c>
      <ns0:c r="G1758">
        <ns0:f>IFERROR(IF(ISNUMBER($A1758),IF(AND(AH!$P$10=1,AH!$P$12=1,$A1758=TODAY()),IF(AND(AH!$P$10=1,AH!$P$12=1,$A1758=TODAY()),TODAY(),NA()),IF(AH!$P$10=1,INDEX('Live History'!$G$5:$G$3004,MATCH($A1758,'Live History'!$G$5:$G$3004,1)),INDEX('AH History'!$F$1:$F$18046,AH!$P$7+1753))),NA()),NA())</ns0:f>
        <ns0:v/>
      </ns0:c>
      <ns0:c r="H1758">
        <ns0:f>IFERROR(IF(AND(AH!$E$4="Bloomberg",AH!$P$10=1,ISNUMBER($A1758),$A1758&lt;=AH!$P$17),AH!$P$7-1+MATCH($A1758,INDEX('AH History'!$A$1:$A$18046,AH!$P$7):INDEX('AH History'!$A$1:$A$18046,AH!$P$7+AH!$P$8-1),0),0),0)</ns0:f>
        <ns0:v/>
      </ns0:c>
      <ns0:c r="I1758">
        <ns0:f>IF($H1758=0,0,IFERROR(IF(AND(ABS($C1758-INDEX('AH History'!$B$1:$B$18046,$H1758))&lt;=MAX(0.005,ABS(INDEX('AH History'!$B$1:$B$18046,$H1758))*0.00005),ABS($D1758-INDEX('AH History'!$C$1:$C$18046,$H1758))&lt;=MAX(0.005,ABS(INDEX('AH History'!$C$1:$C$18046,$H1758))*0.00005),ABS($E1758-INDEX('AH History'!$D$1:$D$18046,$H1758))&lt;=0.00005,$F1758=INDEX('AH History'!$E$1:$E$18046,$H1758),$G1758=INDEX('AH History'!$F$1:$F$18046,$H1758)),1,-1),-1))</ns0:f>
        <ns0:v/>
      </ns0:c>
    </ns0:row>
    <ns0:row r="1759">
      <ns0:c r="A1759" s="215">
        <ns0:f>IF(OR(AH!$P$3=0,1754+1&gt;AH!$P$11,AND(AH!$E$4&lt;&gt;"Stored",AH!$P$10&lt;&gt;1)),"",IFERROR(IF(AND(AH!$P$21=1,1754+1=AH!$P$11),TODAY(),IF(AH!$P$10=1,INDEX('Live History'!$A$5:$A$3004,AH!$P$13+1754),INDEX('AH History'!$A$1:$A$18046,AH!$P$7+1754))),""))</ns0:f>
        <ns0:v/>
      </ns0:c>
      <ns0:c r="B1759" s="219">
        <ns0:f>IFERROR(IF(AND(AH!$P$9&lt;&gt;1,$C1759&gt;0,$D1759&gt;0,$E1759&gt;0,$F1759&gt;0,$G1759&gt;0,$F1759&lt;=$A1759,$G1759&lt;=$A1759,$A1759-$F1759&lt;=10,$A1759-$G1759&lt;=5),$D1759*$E1759/$C1759-1,NA()),NA())</ns0:f>
        <ns0:v/>
      </ns0:c>
      <ns0:c r="C1759">
        <ns0:f>IFERROR(IF(ISNUMBER($A1759),IF(AND(AH!$P$10=1,AH!$P$12=1,$A1759=TODAY()),AH!$P$19,IF(AH!$P$10=1,INDEX('Live History'!$B$5:$B$3004,AH!$P$13+1754),INDEX('AH History'!$B$1:$B$18046,AH!$P$7+1754))),NA()),NA())</ns0:f>
        <ns0:v/>
      </ns0:c>
      <ns0:c r="D1759">
        <ns0:f>IFERROR(IF(ISNUMBER($A1759),IF(AND(AH!$P$10=1,AH!$P$12=1,$A1759=TODAY()),AH!$P$18,IF(AH!$P$10=1,INDEX('Live History'!$E$5:$E$3004,MATCH($A1759,'Live History'!$D$5:$D$3004,1)),INDEX('AH History'!$C$1:$C$18046,AH!$P$7+1754))),NA()),NA())</ns0:f>
        <ns0:v/>
      </ns0:c>
      <ns0:c r="E1759">
        <ns0:f>IFERROR(IF(ISNUMBER($A1759),IF(AND(AH!$P$10=1,AH!$P$12=1,$A1759=TODAY()),AH!$P$20,IF(AH!$P$10=1,INDEX('Live History'!$H$5:$H$3004,MATCH($A1759,'Live History'!$G$5:$G$3004,1)),INDEX('AH History'!$D$1:$D$18046,AH!$P$7+1754))),NA()),NA())</ns0:f>
        <ns0:v/>
      </ns0:c>
      <ns0:c r="F1759">
        <ns0:f>IFERROR(IF(ISNUMBER($A1759),IF(AND(AH!$P$10=1,AH!$P$12=1,$A1759=TODAY()),IF(AND(AH!$P$10=1,AH!$P$12=1,$A1759=TODAY()),TODAY(),NA()),IF(AH!$P$10=1,INDEX('Live History'!$D$5:$D$3004,MATCH($A1759,'Live History'!$D$5:$D$3004,1)),INDEX('AH History'!$E$1:$E$18046,AH!$P$7+1754))),NA()),NA())</ns0:f>
        <ns0:v/>
      </ns0:c>
      <ns0:c r="G1759">
        <ns0:f>IFERROR(IF(ISNUMBER($A1759),IF(AND(AH!$P$10=1,AH!$P$12=1,$A1759=TODAY()),IF(AND(AH!$P$10=1,AH!$P$12=1,$A1759=TODAY()),TODAY(),NA()),IF(AH!$P$10=1,INDEX('Live History'!$G$5:$G$3004,MATCH($A1759,'Live History'!$G$5:$G$3004,1)),INDEX('AH History'!$F$1:$F$18046,AH!$P$7+1754))),NA()),NA())</ns0:f>
        <ns0:v/>
      </ns0:c>
      <ns0:c r="H1759">
        <ns0:f>IFERROR(IF(AND(AH!$E$4="Bloomberg",AH!$P$10=1,ISNUMBER($A1759),$A1759&lt;=AH!$P$17),AH!$P$7-1+MATCH($A1759,INDEX('AH History'!$A$1:$A$18046,AH!$P$7):INDEX('AH History'!$A$1:$A$18046,AH!$P$7+AH!$P$8-1),0),0),0)</ns0:f>
        <ns0:v/>
      </ns0:c>
      <ns0:c r="I1759">
        <ns0:f>IF($H1759=0,0,IFERROR(IF(AND(ABS($C1759-INDEX('AH History'!$B$1:$B$18046,$H1759))&lt;=MAX(0.005,ABS(INDEX('AH History'!$B$1:$B$18046,$H1759))*0.00005),ABS($D1759-INDEX('AH History'!$C$1:$C$18046,$H1759))&lt;=MAX(0.005,ABS(INDEX('AH History'!$C$1:$C$18046,$H1759))*0.00005),ABS($E1759-INDEX('AH History'!$D$1:$D$18046,$H1759))&lt;=0.00005,$F1759=INDEX('AH History'!$E$1:$E$18046,$H1759),$G1759=INDEX('AH History'!$F$1:$F$18046,$H1759)),1,-1),-1))</ns0:f>
        <ns0:v/>
      </ns0:c>
    </ns0:row>
    <ns0:row r="1760">
      <ns0:c r="A1760" s="215">
        <ns0:f>IF(OR(AH!$P$3=0,1755+1&gt;AH!$P$11,AND(AH!$E$4&lt;&gt;"Stored",AH!$P$10&lt;&gt;1)),"",IFERROR(IF(AND(AH!$P$21=1,1755+1=AH!$P$11),TODAY(),IF(AH!$P$10=1,INDEX('Live History'!$A$5:$A$3004,AH!$P$13+1755),INDEX('AH History'!$A$1:$A$18046,AH!$P$7+1755))),""))</ns0:f>
        <ns0:v/>
      </ns0:c>
      <ns0:c r="B1760" s="219">
        <ns0:f>IFERROR(IF(AND(AH!$P$9&lt;&gt;1,$C1760&gt;0,$D1760&gt;0,$E1760&gt;0,$F1760&gt;0,$G1760&gt;0,$F1760&lt;=$A1760,$G1760&lt;=$A1760,$A1760-$F1760&lt;=10,$A1760-$G1760&lt;=5),$D1760*$E1760/$C1760-1,NA()),NA())</ns0:f>
        <ns0:v/>
      </ns0:c>
      <ns0:c r="C1760">
        <ns0:f>IFERROR(IF(ISNUMBER($A1760),IF(AND(AH!$P$10=1,AH!$P$12=1,$A1760=TODAY()),AH!$P$19,IF(AH!$P$10=1,INDEX('Live History'!$B$5:$B$3004,AH!$P$13+1755),INDEX('AH History'!$B$1:$B$18046,AH!$P$7+1755))),NA()),NA())</ns0:f>
        <ns0:v/>
      </ns0:c>
      <ns0:c r="D1760">
        <ns0:f>IFERROR(IF(ISNUMBER($A1760),IF(AND(AH!$P$10=1,AH!$P$12=1,$A1760=TODAY()),AH!$P$18,IF(AH!$P$10=1,INDEX('Live History'!$E$5:$E$3004,MATCH($A1760,'Live History'!$D$5:$D$3004,1)),INDEX('AH History'!$C$1:$C$18046,AH!$P$7+1755))),NA()),NA())</ns0:f>
        <ns0:v/>
      </ns0:c>
      <ns0:c r="E1760">
        <ns0:f>IFERROR(IF(ISNUMBER($A1760),IF(AND(AH!$P$10=1,AH!$P$12=1,$A1760=TODAY()),AH!$P$20,IF(AH!$P$10=1,INDEX('Live History'!$H$5:$H$3004,MATCH($A1760,'Live History'!$G$5:$G$3004,1)),INDEX('AH History'!$D$1:$D$18046,AH!$P$7+1755))),NA()),NA())</ns0:f>
        <ns0:v/>
      </ns0:c>
      <ns0:c r="F1760">
        <ns0:f>IFERROR(IF(ISNUMBER($A1760),IF(AND(AH!$P$10=1,AH!$P$12=1,$A1760=TODAY()),IF(AND(AH!$P$10=1,AH!$P$12=1,$A1760=TODAY()),TODAY(),NA()),IF(AH!$P$10=1,INDEX('Live History'!$D$5:$D$3004,MATCH($A1760,'Live History'!$D$5:$D$3004,1)),INDEX('AH History'!$E$1:$E$18046,AH!$P$7+1755))),NA()),NA())</ns0:f>
        <ns0:v/>
      </ns0:c>
      <ns0:c r="G1760">
        <ns0:f>IFERROR(IF(ISNUMBER($A1760),IF(AND(AH!$P$10=1,AH!$P$12=1,$A1760=TODAY()),IF(AND(AH!$P$10=1,AH!$P$12=1,$A1760=TODAY()),TODAY(),NA()),IF(AH!$P$10=1,INDEX('Live History'!$G$5:$G$3004,MATCH($A1760,'Live History'!$G$5:$G$3004,1)),INDEX('AH History'!$F$1:$F$18046,AH!$P$7+1755))),NA()),NA())</ns0:f>
        <ns0:v/>
      </ns0:c>
      <ns0:c r="H1760">
        <ns0:f>IFERROR(IF(AND(AH!$E$4="Bloomberg",AH!$P$10=1,ISNUMBER($A1760),$A1760&lt;=AH!$P$17),AH!$P$7-1+MATCH($A1760,INDEX('AH History'!$A$1:$A$18046,AH!$P$7):INDEX('AH History'!$A$1:$A$18046,AH!$P$7+AH!$P$8-1),0),0),0)</ns0:f>
        <ns0:v/>
      </ns0:c>
      <ns0:c r="I1760">
        <ns0:f>IF($H1760=0,0,IFERROR(IF(AND(ABS($C1760-INDEX('AH History'!$B$1:$B$18046,$H1760))&lt;=MAX(0.005,ABS(INDEX('AH History'!$B$1:$B$18046,$H1760))*0.00005),ABS($D1760-INDEX('AH History'!$C$1:$C$18046,$H1760))&lt;=MAX(0.005,ABS(INDEX('AH History'!$C$1:$C$18046,$H1760))*0.00005),ABS($E1760-INDEX('AH History'!$D$1:$D$18046,$H1760))&lt;=0.00005,$F1760=INDEX('AH History'!$E$1:$E$18046,$H1760),$G1760=INDEX('AH History'!$F$1:$F$18046,$H1760)),1,-1),-1))</ns0:f>
        <ns0:v/>
      </ns0:c>
    </ns0:row>
    <ns0:row r="1761">
      <ns0:c r="A1761" s="215">
        <ns0:f>IF(OR(AH!$P$3=0,1756+1&gt;AH!$P$11,AND(AH!$E$4&lt;&gt;"Stored",AH!$P$10&lt;&gt;1)),"",IFERROR(IF(AND(AH!$P$21=1,1756+1=AH!$P$11),TODAY(),IF(AH!$P$10=1,INDEX('Live History'!$A$5:$A$3004,AH!$P$13+1756),INDEX('AH History'!$A$1:$A$18046,AH!$P$7+1756))),""))</ns0:f>
        <ns0:v/>
      </ns0:c>
      <ns0:c r="B1761" s="219">
        <ns0:f>IFERROR(IF(AND(AH!$P$9&lt;&gt;1,$C1761&gt;0,$D1761&gt;0,$E1761&gt;0,$F1761&gt;0,$G1761&gt;0,$F1761&lt;=$A1761,$G1761&lt;=$A1761,$A1761-$F1761&lt;=10,$A1761-$G1761&lt;=5),$D1761*$E1761/$C1761-1,NA()),NA())</ns0:f>
        <ns0:v/>
      </ns0:c>
      <ns0:c r="C1761">
        <ns0:f>IFERROR(IF(ISNUMBER($A1761),IF(AND(AH!$P$10=1,AH!$P$12=1,$A1761=TODAY()),AH!$P$19,IF(AH!$P$10=1,INDEX('Live History'!$B$5:$B$3004,AH!$P$13+1756),INDEX('AH History'!$B$1:$B$18046,AH!$P$7+1756))),NA()),NA())</ns0:f>
        <ns0:v/>
      </ns0:c>
      <ns0:c r="D1761">
        <ns0:f>IFERROR(IF(ISNUMBER($A1761),IF(AND(AH!$P$10=1,AH!$P$12=1,$A1761=TODAY()),AH!$P$18,IF(AH!$P$10=1,INDEX('Live History'!$E$5:$E$3004,MATCH($A1761,'Live History'!$D$5:$D$3004,1)),INDEX('AH History'!$C$1:$C$18046,AH!$P$7+1756))),NA()),NA())</ns0:f>
        <ns0:v/>
      </ns0:c>
      <ns0:c r="E1761">
        <ns0:f>IFERROR(IF(ISNUMBER($A1761),IF(AND(AH!$P$10=1,AH!$P$12=1,$A1761=TODAY()),AH!$P$20,IF(AH!$P$10=1,INDEX('Live History'!$H$5:$H$3004,MATCH($A1761,'Live History'!$G$5:$G$3004,1)),INDEX('AH History'!$D$1:$D$18046,AH!$P$7+1756))),NA()),NA())</ns0:f>
        <ns0:v/>
      </ns0:c>
      <ns0:c r="F1761">
        <ns0:f>IFERROR(IF(ISNUMBER($A1761),IF(AND(AH!$P$10=1,AH!$P$12=1,$A1761=TODAY()),IF(AND(AH!$P$10=1,AH!$P$12=1,$A1761=TODAY()),TODAY(),NA()),IF(AH!$P$10=1,INDEX('Live History'!$D$5:$D$3004,MATCH($A1761,'Live History'!$D$5:$D$3004,1)),INDEX('AH History'!$E$1:$E$18046,AH!$P$7+1756))),NA()),NA())</ns0:f>
        <ns0:v/>
      </ns0:c>
      <ns0:c r="G1761">
        <ns0:f>IFERROR(IF(ISNUMBER($A1761),IF(AND(AH!$P$10=1,AH!$P$12=1,$A1761=TODAY()),IF(AND(AH!$P$10=1,AH!$P$12=1,$A1761=TODAY()),TODAY(),NA()),IF(AH!$P$10=1,INDEX('Live History'!$G$5:$G$3004,MATCH($A1761,'Live History'!$G$5:$G$3004,1)),INDEX('AH History'!$F$1:$F$18046,AH!$P$7+1756))),NA()),NA())</ns0:f>
        <ns0:v/>
      </ns0:c>
      <ns0:c r="H1761">
        <ns0:f>IFERROR(IF(AND(AH!$E$4="Bloomberg",AH!$P$10=1,ISNUMBER($A1761),$A1761&lt;=AH!$P$17),AH!$P$7-1+MATCH($A1761,INDEX('AH History'!$A$1:$A$18046,AH!$P$7):INDEX('AH History'!$A$1:$A$18046,AH!$P$7+AH!$P$8-1),0),0),0)</ns0:f>
        <ns0:v/>
      </ns0:c>
      <ns0:c r="I1761">
        <ns0:f>IF($H1761=0,0,IFERROR(IF(AND(ABS($C1761-INDEX('AH History'!$B$1:$B$18046,$H1761))&lt;=MAX(0.005,ABS(INDEX('AH History'!$B$1:$B$18046,$H1761))*0.00005),ABS($D1761-INDEX('AH History'!$C$1:$C$18046,$H1761))&lt;=MAX(0.005,ABS(INDEX('AH History'!$C$1:$C$18046,$H1761))*0.00005),ABS($E1761-INDEX('AH History'!$D$1:$D$18046,$H1761))&lt;=0.00005,$F1761=INDEX('AH History'!$E$1:$E$18046,$H1761),$G1761=INDEX('AH History'!$F$1:$F$18046,$H1761)),1,-1),-1))</ns0:f>
        <ns0:v/>
      </ns0:c>
    </ns0:row>
    <ns0:row r="1762">
      <ns0:c r="A1762" s="215">
        <ns0:f>IF(OR(AH!$P$3=0,1757+1&gt;AH!$P$11,AND(AH!$E$4&lt;&gt;"Stored",AH!$P$10&lt;&gt;1)),"",IFERROR(IF(AND(AH!$P$21=1,1757+1=AH!$P$11),TODAY(),IF(AH!$P$10=1,INDEX('Live History'!$A$5:$A$3004,AH!$P$13+1757),INDEX('AH History'!$A$1:$A$18046,AH!$P$7+1757))),""))</ns0:f>
        <ns0:v/>
      </ns0:c>
      <ns0:c r="B1762" s="219">
        <ns0:f>IFERROR(IF(AND(AH!$P$9&lt;&gt;1,$C1762&gt;0,$D1762&gt;0,$E1762&gt;0,$F1762&gt;0,$G1762&gt;0,$F1762&lt;=$A1762,$G1762&lt;=$A1762,$A1762-$F1762&lt;=10,$A1762-$G1762&lt;=5),$D1762*$E1762/$C1762-1,NA()),NA())</ns0:f>
        <ns0:v/>
      </ns0:c>
      <ns0:c r="C1762">
        <ns0:f>IFERROR(IF(ISNUMBER($A1762),IF(AND(AH!$P$10=1,AH!$P$12=1,$A1762=TODAY()),AH!$P$19,IF(AH!$P$10=1,INDEX('Live History'!$B$5:$B$3004,AH!$P$13+1757),INDEX('AH History'!$B$1:$B$18046,AH!$P$7+1757))),NA()),NA())</ns0:f>
        <ns0:v/>
      </ns0:c>
      <ns0:c r="D1762">
        <ns0:f>IFERROR(IF(ISNUMBER($A1762),IF(AND(AH!$P$10=1,AH!$P$12=1,$A1762=TODAY()),AH!$P$18,IF(AH!$P$10=1,INDEX('Live History'!$E$5:$E$3004,MATCH($A1762,'Live History'!$D$5:$D$3004,1)),INDEX('AH History'!$C$1:$C$18046,AH!$P$7+1757))),NA()),NA())</ns0:f>
        <ns0:v/>
      </ns0:c>
      <ns0:c r="E1762">
        <ns0:f>IFERROR(IF(ISNUMBER($A1762),IF(AND(AH!$P$10=1,AH!$P$12=1,$A1762=TODAY()),AH!$P$20,IF(AH!$P$10=1,INDEX('Live History'!$H$5:$H$3004,MATCH($A1762,'Live History'!$G$5:$G$3004,1)),INDEX('AH History'!$D$1:$D$18046,AH!$P$7+1757))),NA()),NA())</ns0:f>
        <ns0:v/>
      </ns0:c>
      <ns0:c r="F1762">
        <ns0:f>IFERROR(IF(ISNUMBER($A1762),IF(AND(AH!$P$10=1,AH!$P$12=1,$A1762=TODAY()),IF(AND(AH!$P$10=1,AH!$P$12=1,$A1762=TODAY()),TODAY(),NA()),IF(AH!$P$10=1,INDEX('Live History'!$D$5:$D$3004,MATCH($A1762,'Live History'!$D$5:$D$3004,1)),INDEX('AH History'!$E$1:$E$18046,AH!$P$7+1757))),NA()),NA())</ns0:f>
        <ns0:v/>
      </ns0:c>
      <ns0:c r="G1762">
        <ns0:f>IFERROR(IF(ISNUMBER($A1762),IF(AND(AH!$P$10=1,AH!$P$12=1,$A1762=TODAY()),IF(AND(AH!$P$10=1,AH!$P$12=1,$A1762=TODAY()),TODAY(),NA()),IF(AH!$P$10=1,INDEX('Live History'!$G$5:$G$3004,MATCH($A1762,'Live History'!$G$5:$G$3004,1)),INDEX('AH History'!$F$1:$F$18046,AH!$P$7+1757))),NA()),NA())</ns0:f>
        <ns0:v/>
      </ns0:c>
      <ns0:c r="H1762">
        <ns0:f>IFERROR(IF(AND(AH!$E$4="Bloomberg",AH!$P$10=1,ISNUMBER($A1762),$A1762&lt;=AH!$P$17),AH!$P$7-1+MATCH($A1762,INDEX('AH History'!$A$1:$A$18046,AH!$P$7):INDEX('AH History'!$A$1:$A$18046,AH!$P$7+AH!$P$8-1),0),0),0)</ns0:f>
        <ns0:v/>
      </ns0:c>
      <ns0:c r="I1762">
        <ns0:f>IF($H1762=0,0,IFERROR(IF(AND(ABS($C1762-INDEX('AH History'!$B$1:$B$18046,$H1762))&lt;=MAX(0.005,ABS(INDEX('AH History'!$B$1:$B$18046,$H1762))*0.00005),ABS($D1762-INDEX('AH History'!$C$1:$C$18046,$H1762))&lt;=MAX(0.005,ABS(INDEX('AH History'!$C$1:$C$18046,$H1762))*0.00005),ABS($E1762-INDEX('AH History'!$D$1:$D$18046,$H1762))&lt;=0.00005,$F1762=INDEX('AH History'!$E$1:$E$18046,$H1762),$G1762=INDEX('AH History'!$F$1:$F$18046,$H1762)),1,-1),-1))</ns0:f>
        <ns0:v/>
      </ns0:c>
    </ns0:row>
    <ns0:row r="1763">
      <ns0:c r="A1763" s="215">
        <ns0:f>IF(OR(AH!$P$3=0,1758+1&gt;AH!$P$11,AND(AH!$E$4&lt;&gt;"Stored",AH!$P$10&lt;&gt;1)),"",IFERROR(IF(AND(AH!$P$21=1,1758+1=AH!$P$11),TODAY(),IF(AH!$P$10=1,INDEX('Live History'!$A$5:$A$3004,AH!$P$13+1758),INDEX('AH History'!$A$1:$A$18046,AH!$P$7+1758))),""))</ns0:f>
        <ns0:v/>
      </ns0:c>
      <ns0:c r="B1763" s="219">
        <ns0:f>IFERROR(IF(AND(AH!$P$9&lt;&gt;1,$C1763&gt;0,$D1763&gt;0,$E1763&gt;0,$F1763&gt;0,$G1763&gt;0,$F1763&lt;=$A1763,$G1763&lt;=$A1763,$A1763-$F1763&lt;=10,$A1763-$G1763&lt;=5),$D1763*$E1763/$C1763-1,NA()),NA())</ns0:f>
        <ns0:v/>
      </ns0:c>
      <ns0:c r="C1763">
        <ns0:f>IFERROR(IF(ISNUMBER($A1763),IF(AND(AH!$P$10=1,AH!$P$12=1,$A1763=TODAY()),AH!$P$19,IF(AH!$P$10=1,INDEX('Live History'!$B$5:$B$3004,AH!$P$13+1758),INDEX('AH History'!$B$1:$B$18046,AH!$P$7+1758))),NA()),NA())</ns0:f>
        <ns0:v/>
      </ns0:c>
      <ns0:c r="D1763">
        <ns0:f>IFERROR(IF(ISNUMBER($A1763),IF(AND(AH!$P$10=1,AH!$P$12=1,$A1763=TODAY()),AH!$P$18,IF(AH!$P$10=1,INDEX('Live History'!$E$5:$E$3004,MATCH($A1763,'Live History'!$D$5:$D$3004,1)),INDEX('AH History'!$C$1:$C$18046,AH!$P$7+1758))),NA()),NA())</ns0:f>
        <ns0:v/>
      </ns0:c>
      <ns0:c r="E1763">
        <ns0:f>IFERROR(IF(ISNUMBER($A1763),IF(AND(AH!$P$10=1,AH!$P$12=1,$A1763=TODAY()),AH!$P$20,IF(AH!$P$10=1,INDEX('Live History'!$H$5:$H$3004,MATCH($A1763,'Live History'!$G$5:$G$3004,1)),INDEX('AH History'!$D$1:$D$18046,AH!$P$7+1758))),NA()),NA())</ns0:f>
        <ns0:v/>
      </ns0:c>
      <ns0:c r="F1763">
        <ns0:f>IFERROR(IF(ISNUMBER($A1763),IF(AND(AH!$P$10=1,AH!$P$12=1,$A1763=TODAY()),IF(AND(AH!$P$10=1,AH!$P$12=1,$A1763=TODAY()),TODAY(),NA()),IF(AH!$P$10=1,INDEX('Live History'!$D$5:$D$3004,MATCH($A1763,'Live History'!$D$5:$D$3004,1)),INDEX('AH History'!$E$1:$E$18046,AH!$P$7+1758))),NA()),NA())</ns0:f>
        <ns0:v/>
      </ns0:c>
      <ns0:c r="G1763">
        <ns0:f>IFERROR(IF(ISNUMBER($A1763),IF(AND(AH!$P$10=1,AH!$P$12=1,$A1763=TODAY()),IF(AND(AH!$P$10=1,AH!$P$12=1,$A1763=TODAY()),TODAY(),NA()),IF(AH!$P$10=1,INDEX('Live History'!$G$5:$G$3004,MATCH($A1763,'Live History'!$G$5:$G$3004,1)),INDEX('AH History'!$F$1:$F$18046,AH!$P$7+1758))),NA()),NA())</ns0:f>
        <ns0:v/>
      </ns0:c>
      <ns0:c r="H1763">
        <ns0:f>IFERROR(IF(AND(AH!$E$4="Bloomberg",AH!$P$10=1,ISNUMBER($A1763),$A1763&lt;=AH!$P$17),AH!$P$7-1+MATCH($A1763,INDEX('AH History'!$A$1:$A$18046,AH!$P$7):INDEX('AH History'!$A$1:$A$18046,AH!$P$7+AH!$P$8-1),0),0),0)</ns0:f>
        <ns0:v/>
      </ns0:c>
      <ns0:c r="I1763">
        <ns0:f>IF($H1763=0,0,IFERROR(IF(AND(ABS($C1763-INDEX('AH History'!$B$1:$B$18046,$H1763))&lt;=MAX(0.005,ABS(INDEX('AH History'!$B$1:$B$18046,$H1763))*0.00005),ABS($D1763-INDEX('AH History'!$C$1:$C$18046,$H1763))&lt;=MAX(0.005,ABS(INDEX('AH History'!$C$1:$C$18046,$H1763))*0.00005),ABS($E1763-INDEX('AH History'!$D$1:$D$18046,$H1763))&lt;=0.00005,$F1763=INDEX('AH History'!$E$1:$E$18046,$H1763),$G1763=INDEX('AH History'!$F$1:$F$18046,$H1763)),1,-1),-1))</ns0:f>
        <ns0:v/>
      </ns0:c>
    </ns0:row>
    <ns0:row r="1764">
      <ns0:c r="A1764" s="215">
        <ns0:f>IF(OR(AH!$P$3=0,1759+1&gt;AH!$P$11,AND(AH!$E$4&lt;&gt;"Stored",AH!$P$10&lt;&gt;1)),"",IFERROR(IF(AND(AH!$P$21=1,1759+1=AH!$P$11),TODAY(),IF(AH!$P$10=1,INDEX('Live History'!$A$5:$A$3004,AH!$P$13+1759),INDEX('AH History'!$A$1:$A$18046,AH!$P$7+1759))),""))</ns0:f>
        <ns0:v/>
      </ns0:c>
      <ns0:c r="B1764" s="219">
        <ns0:f>IFERROR(IF(AND(AH!$P$9&lt;&gt;1,$C1764&gt;0,$D1764&gt;0,$E1764&gt;0,$F1764&gt;0,$G1764&gt;0,$F1764&lt;=$A1764,$G1764&lt;=$A1764,$A1764-$F1764&lt;=10,$A1764-$G1764&lt;=5),$D1764*$E1764/$C1764-1,NA()),NA())</ns0:f>
        <ns0:v/>
      </ns0:c>
      <ns0:c r="C1764">
        <ns0:f>IFERROR(IF(ISNUMBER($A1764),IF(AND(AH!$P$10=1,AH!$P$12=1,$A1764=TODAY()),AH!$P$19,IF(AH!$P$10=1,INDEX('Live History'!$B$5:$B$3004,AH!$P$13+1759),INDEX('AH History'!$B$1:$B$18046,AH!$P$7+1759))),NA()),NA())</ns0:f>
        <ns0:v/>
      </ns0:c>
      <ns0:c r="D1764">
        <ns0:f>IFERROR(IF(ISNUMBER($A1764),IF(AND(AH!$P$10=1,AH!$P$12=1,$A1764=TODAY()),AH!$P$18,IF(AH!$P$10=1,INDEX('Live History'!$E$5:$E$3004,MATCH($A1764,'Live History'!$D$5:$D$3004,1)),INDEX('AH History'!$C$1:$C$18046,AH!$P$7+1759))),NA()),NA())</ns0:f>
        <ns0:v/>
      </ns0:c>
      <ns0:c r="E1764">
        <ns0:f>IFERROR(IF(ISNUMBER($A1764),IF(AND(AH!$P$10=1,AH!$P$12=1,$A1764=TODAY()),AH!$P$20,IF(AH!$P$10=1,INDEX('Live History'!$H$5:$H$3004,MATCH($A1764,'Live History'!$G$5:$G$3004,1)),INDEX('AH History'!$D$1:$D$18046,AH!$P$7+1759))),NA()),NA())</ns0:f>
        <ns0:v/>
      </ns0:c>
      <ns0:c r="F1764">
        <ns0:f>IFERROR(IF(ISNUMBER($A1764),IF(AND(AH!$P$10=1,AH!$P$12=1,$A1764=TODAY()),IF(AND(AH!$P$10=1,AH!$P$12=1,$A1764=TODAY()),TODAY(),NA()),IF(AH!$P$10=1,INDEX('Live History'!$D$5:$D$3004,MATCH($A1764,'Live History'!$D$5:$D$3004,1)),INDEX('AH History'!$E$1:$E$18046,AH!$P$7+1759))),NA()),NA())</ns0:f>
        <ns0:v/>
      </ns0:c>
      <ns0:c r="G1764">
        <ns0:f>IFERROR(IF(ISNUMBER($A1764),IF(AND(AH!$P$10=1,AH!$P$12=1,$A1764=TODAY()),IF(AND(AH!$P$10=1,AH!$P$12=1,$A1764=TODAY()),TODAY(),NA()),IF(AH!$P$10=1,INDEX('Live History'!$G$5:$G$3004,MATCH($A1764,'Live History'!$G$5:$G$3004,1)),INDEX('AH History'!$F$1:$F$18046,AH!$P$7+1759))),NA()),NA())</ns0:f>
        <ns0:v/>
      </ns0:c>
      <ns0:c r="H1764">
        <ns0:f>IFERROR(IF(AND(AH!$E$4="Bloomberg",AH!$P$10=1,ISNUMBER($A1764),$A1764&lt;=AH!$P$17),AH!$P$7-1+MATCH($A1764,INDEX('AH History'!$A$1:$A$18046,AH!$P$7):INDEX('AH History'!$A$1:$A$18046,AH!$P$7+AH!$P$8-1),0),0),0)</ns0:f>
        <ns0:v/>
      </ns0:c>
      <ns0:c r="I1764">
        <ns0:f>IF($H1764=0,0,IFERROR(IF(AND(ABS($C1764-INDEX('AH History'!$B$1:$B$18046,$H1764))&lt;=MAX(0.005,ABS(INDEX('AH History'!$B$1:$B$18046,$H1764))*0.00005),ABS($D1764-INDEX('AH History'!$C$1:$C$18046,$H1764))&lt;=MAX(0.005,ABS(INDEX('AH History'!$C$1:$C$18046,$H1764))*0.00005),ABS($E1764-INDEX('AH History'!$D$1:$D$18046,$H1764))&lt;=0.00005,$F1764=INDEX('AH History'!$E$1:$E$18046,$H1764),$G1764=INDEX('AH History'!$F$1:$F$18046,$H1764)),1,-1),-1))</ns0:f>
        <ns0:v/>
      </ns0:c>
    </ns0:row>
    <ns0:row r="1765">
      <ns0:c r="A1765" s="215">
        <ns0:f>IF(OR(AH!$P$3=0,1760+1&gt;AH!$P$11,AND(AH!$E$4&lt;&gt;"Stored",AH!$P$10&lt;&gt;1)),"",IFERROR(IF(AND(AH!$P$21=1,1760+1=AH!$P$11),TODAY(),IF(AH!$P$10=1,INDEX('Live History'!$A$5:$A$3004,AH!$P$13+1760),INDEX('AH History'!$A$1:$A$18046,AH!$P$7+1760))),""))</ns0:f>
        <ns0:v/>
      </ns0:c>
      <ns0:c r="B1765" s="219">
        <ns0:f>IFERROR(IF(AND(AH!$P$9&lt;&gt;1,$C1765&gt;0,$D1765&gt;0,$E1765&gt;0,$F1765&gt;0,$G1765&gt;0,$F1765&lt;=$A1765,$G1765&lt;=$A1765,$A1765-$F1765&lt;=10,$A1765-$G1765&lt;=5),$D1765*$E1765/$C1765-1,NA()),NA())</ns0:f>
        <ns0:v/>
      </ns0:c>
      <ns0:c r="C1765">
        <ns0:f>IFERROR(IF(ISNUMBER($A1765),IF(AND(AH!$P$10=1,AH!$P$12=1,$A1765=TODAY()),AH!$P$19,IF(AH!$P$10=1,INDEX('Live History'!$B$5:$B$3004,AH!$P$13+1760),INDEX('AH History'!$B$1:$B$18046,AH!$P$7+1760))),NA()),NA())</ns0:f>
        <ns0:v/>
      </ns0:c>
      <ns0:c r="D1765">
        <ns0:f>IFERROR(IF(ISNUMBER($A1765),IF(AND(AH!$P$10=1,AH!$P$12=1,$A1765=TODAY()),AH!$P$18,IF(AH!$P$10=1,INDEX('Live History'!$E$5:$E$3004,MATCH($A1765,'Live History'!$D$5:$D$3004,1)),INDEX('AH History'!$C$1:$C$18046,AH!$P$7+1760))),NA()),NA())</ns0:f>
        <ns0:v/>
      </ns0:c>
      <ns0:c r="E1765">
        <ns0:f>IFERROR(IF(ISNUMBER($A1765),IF(AND(AH!$P$10=1,AH!$P$12=1,$A1765=TODAY()),AH!$P$20,IF(AH!$P$10=1,INDEX('Live History'!$H$5:$H$3004,MATCH($A1765,'Live History'!$G$5:$G$3004,1)),INDEX('AH History'!$D$1:$D$18046,AH!$P$7+1760))),NA()),NA())</ns0:f>
        <ns0:v/>
      </ns0:c>
      <ns0:c r="F1765">
        <ns0:f>IFERROR(IF(ISNUMBER($A1765),IF(AND(AH!$P$10=1,AH!$P$12=1,$A1765=TODAY()),IF(AND(AH!$P$10=1,AH!$P$12=1,$A1765=TODAY()),TODAY(),NA()),IF(AH!$P$10=1,INDEX('Live History'!$D$5:$D$3004,MATCH($A1765,'Live History'!$D$5:$D$3004,1)),INDEX('AH History'!$E$1:$E$18046,AH!$P$7+1760))),NA()),NA())</ns0:f>
        <ns0:v/>
      </ns0:c>
      <ns0:c r="G1765">
        <ns0:f>IFERROR(IF(ISNUMBER($A1765),IF(AND(AH!$P$10=1,AH!$P$12=1,$A1765=TODAY()),IF(AND(AH!$P$10=1,AH!$P$12=1,$A1765=TODAY()),TODAY(),NA()),IF(AH!$P$10=1,INDEX('Live History'!$G$5:$G$3004,MATCH($A1765,'Live History'!$G$5:$G$3004,1)),INDEX('AH History'!$F$1:$F$18046,AH!$P$7+1760))),NA()),NA())</ns0:f>
        <ns0:v/>
      </ns0:c>
      <ns0:c r="H1765">
        <ns0:f>IFERROR(IF(AND(AH!$E$4="Bloomberg",AH!$P$10=1,ISNUMBER($A1765),$A1765&lt;=AH!$P$17),AH!$P$7-1+MATCH($A1765,INDEX('AH History'!$A$1:$A$18046,AH!$P$7):INDEX('AH History'!$A$1:$A$18046,AH!$P$7+AH!$P$8-1),0),0),0)</ns0:f>
        <ns0:v/>
      </ns0:c>
      <ns0:c r="I1765">
        <ns0:f>IF($H1765=0,0,IFERROR(IF(AND(ABS($C1765-INDEX('AH History'!$B$1:$B$18046,$H1765))&lt;=MAX(0.005,ABS(INDEX('AH History'!$B$1:$B$18046,$H1765))*0.00005),ABS($D1765-INDEX('AH History'!$C$1:$C$18046,$H1765))&lt;=MAX(0.005,ABS(INDEX('AH History'!$C$1:$C$18046,$H1765))*0.00005),ABS($E1765-INDEX('AH History'!$D$1:$D$18046,$H1765))&lt;=0.00005,$F1765=INDEX('AH History'!$E$1:$E$18046,$H1765),$G1765=INDEX('AH History'!$F$1:$F$18046,$H1765)),1,-1),-1))</ns0:f>
        <ns0:v/>
      </ns0:c>
    </ns0:row>
    <ns0:row r="1766">
      <ns0:c r="A1766" s="215">
        <ns0:f>IF(OR(AH!$P$3=0,1761+1&gt;AH!$P$11,AND(AH!$E$4&lt;&gt;"Stored",AH!$P$10&lt;&gt;1)),"",IFERROR(IF(AND(AH!$P$21=1,1761+1=AH!$P$11),TODAY(),IF(AH!$P$10=1,INDEX('Live History'!$A$5:$A$3004,AH!$P$13+1761),INDEX('AH History'!$A$1:$A$18046,AH!$P$7+1761))),""))</ns0:f>
        <ns0:v/>
      </ns0:c>
      <ns0:c r="B1766" s="219">
        <ns0:f>IFERROR(IF(AND(AH!$P$9&lt;&gt;1,$C1766&gt;0,$D1766&gt;0,$E1766&gt;0,$F1766&gt;0,$G1766&gt;0,$F1766&lt;=$A1766,$G1766&lt;=$A1766,$A1766-$F1766&lt;=10,$A1766-$G1766&lt;=5),$D1766*$E1766/$C1766-1,NA()),NA())</ns0:f>
        <ns0:v/>
      </ns0:c>
      <ns0:c r="C1766">
        <ns0:f>IFERROR(IF(ISNUMBER($A1766),IF(AND(AH!$P$10=1,AH!$P$12=1,$A1766=TODAY()),AH!$P$19,IF(AH!$P$10=1,INDEX('Live History'!$B$5:$B$3004,AH!$P$13+1761),INDEX('AH History'!$B$1:$B$18046,AH!$P$7+1761))),NA()),NA())</ns0:f>
        <ns0:v/>
      </ns0:c>
      <ns0:c r="D1766">
        <ns0:f>IFERROR(IF(ISNUMBER($A1766),IF(AND(AH!$P$10=1,AH!$P$12=1,$A1766=TODAY()),AH!$P$18,IF(AH!$P$10=1,INDEX('Live History'!$E$5:$E$3004,MATCH($A1766,'Live History'!$D$5:$D$3004,1)),INDEX('AH History'!$C$1:$C$18046,AH!$P$7+1761))),NA()),NA())</ns0:f>
        <ns0:v/>
      </ns0:c>
      <ns0:c r="E1766">
        <ns0:f>IFERROR(IF(ISNUMBER($A1766),IF(AND(AH!$P$10=1,AH!$P$12=1,$A1766=TODAY()),AH!$P$20,IF(AH!$P$10=1,INDEX('Live History'!$H$5:$H$3004,MATCH($A1766,'Live History'!$G$5:$G$3004,1)),INDEX('AH History'!$D$1:$D$18046,AH!$P$7+1761))),NA()),NA())</ns0:f>
        <ns0:v/>
      </ns0:c>
      <ns0:c r="F1766">
        <ns0:f>IFERROR(IF(ISNUMBER($A1766),IF(AND(AH!$P$10=1,AH!$P$12=1,$A1766=TODAY()),IF(AND(AH!$P$10=1,AH!$P$12=1,$A1766=TODAY()),TODAY(),NA()),IF(AH!$P$10=1,INDEX('Live History'!$D$5:$D$3004,MATCH($A1766,'Live History'!$D$5:$D$3004,1)),INDEX('AH History'!$E$1:$E$18046,AH!$P$7+1761))),NA()),NA())</ns0:f>
        <ns0:v/>
      </ns0:c>
      <ns0:c r="G1766">
        <ns0:f>IFERROR(IF(ISNUMBER($A1766),IF(AND(AH!$P$10=1,AH!$P$12=1,$A1766=TODAY()),IF(AND(AH!$P$10=1,AH!$P$12=1,$A1766=TODAY()),TODAY(),NA()),IF(AH!$P$10=1,INDEX('Live History'!$G$5:$G$3004,MATCH($A1766,'Live History'!$G$5:$G$3004,1)),INDEX('AH History'!$F$1:$F$18046,AH!$P$7+1761))),NA()),NA())</ns0:f>
        <ns0:v/>
      </ns0:c>
      <ns0:c r="H1766">
        <ns0:f>IFERROR(IF(AND(AH!$E$4="Bloomberg",AH!$P$10=1,ISNUMBER($A1766),$A1766&lt;=AH!$P$17),AH!$P$7-1+MATCH($A1766,INDEX('AH History'!$A$1:$A$18046,AH!$P$7):INDEX('AH History'!$A$1:$A$18046,AH!$P$7+AH!$P$8-1),0),0),0)</ns0:f>
        <ns0:v/>
      </ns0:c>
      <ns0:c r="I1766">
        <ns0:f>IF($H1766=0,0,IFERROR(IF(AND(ABS($C1766-INDEX('AH History'!$B$1:$B$18046,$H1766))&lt;=MAX(0.005,ABS(INDEX('AH History'!$B$1:$B$18046,$H1766))*0.00005),ABS($D1766-INDEX('AH History'!$C$1:$C$18046,$H1766))&lt;=MAX(0.005,ABS(INDEX('AH History'!$C$1:$C$18046,$H1766))*0.00005),ABS($E1766-INDEX('AH History'!$D$1:$D$18046,$H1766))&lt;=0.00005,$F1766=INDEX('AH History'!$E$1:$E$18046,$H1766),$G1766=INDEX('AH History'!$F$1:$F$18046,$H1766)),1,-1),-1))</ns0:f>
        <ns0:v/>
      </ns0:c>
    </ns0:row>
    <ns0:row r="1767">
      <ns0:c r="A1767" s="215">
        <ns0:f>IF(OR(AH!$P$3=0,1762+1&gt;AH!$P$11,AND(AH!$E$4&lt;&gt;"Stored",AH!$P$10&lt;&gt;1)),"",IFERROR(IF(AND(AH!$P$21=1,1762+1=AH!$P$11),TODAY(),IF(AH!$P$10=1,INDEX('Live History'!$A$5:$A$3004,AH!$P$13+1762),INDEX('AH History'!$A$1:$A$18046,AH!$P$7+1762))),""))</ns0:f>
        <ns0:v/>
      </ns0:c>
      <ns0:c r="B1767" s="219">
        <ns0:f>IFERROR(IF(AND(AH!$P$9&lt;&gt;1,$C1767&gt;0,$D1767&gt;0,$E1767&gt;0,$F1767&gt;0,$G1767&gt;0,$F1767&lt;=$A1767,$G1767&lt;=$A1767,$A1767-$F1767&lt;=10,$A1767-$G1767&lt;=5),$D1767*$E1767/$C1767-1,NA()),NA())</ns0:f>
        <ns0:v/>
      </ns0:c>
      <ns0:c r="C1767">
        <ns0:f>IFERROR(IF(ISNUMBER($A1767),IF(AND(AH!$P$10=1,AH!$P$12=1,$A1767=TODAY()),AH!$P$19,IF(AH!$P$10=1,INDEX('Live History'!$B$5:$B$3004,AH!$P$13+1762),INDEX('AH History'!$B$1:$B$18046,AH!$P$7+1762))),NA()),NA())</ns0:f>
        <ns0:v/>
      </ns0:c>
      <ns0:c r="D1767">
        <ns0:f>IFERROR(IF(ISNUMBER($A1767),IF(AND(AH!$P$10=1,AH!$P$12=1,$A1767=TODAY()),AH!$P$18,IF(AH!$P$10=1,INDEX('Live History'!$E$5:$E$3004,MATCH($A1767,'Live History'!$D$5:$D$3004,1)),INDEX('AH History'!$C$1:$C$18046,AH!$P$7+1762))),NA()),NA())</ns0:f>
        <ns0:v/>
      </ns0:c>
      <ns0:c r="E1767">
        <ns0:f>IFERROR(IF(ISNUMBER($A1767),IF(AND(AH!$P$10=1,AH!$P$12=1,$A1767=TODAY()),AH!$P$20,IF(AH!$P$10=1,INDEX('Live History'!$H$5:$H$3004,MATCH($A1767,'Live History'!$G$5:$G$3004,1)),INDEX('AH History'!$D$1:$D$18046,AH!$P$7+1762))),NA()),NA())</ns0:f>
        <ns0:v/>
      </ns0:c>
      <ns0:c r="F1767">
        <ns0:f>IFERROR(IF(ISNUMBER($A1767),IF(AND(AH!$P$10=1,AH!$P$12=1,$A1767=TODAY()),IF(AND(AH!$P$10=1,AH!$P$12=1,$A1767=TODAY()),TODAY(),NA()),IF(AH!$P$10=1,INDEX('Live History'!$D$5:$D$3004,MATCH($A1767,'Live History'!$D$5:$D$3004,1)),INDEX('AH History'!$E$1:$E$18046,AH!$P$7+1762))),NA()),NA())</ns0:f>
        <ns0:v/>
      </ns0:c>
      <ns0:c r="G1767">
        <ns0:f>IFERROR(IF(ISNUMBER($A1767),IF(AND(AH!$P$10=1,AH!$P$12=1,$A1767=TODAY()),IF(AND(AH!$P$10=1,AH!$P$12=1,$A1767=TODAY()),TODAY(),NA()),IF(AH!$P$10=1,INDEX('Live History'!$G$5:$G$3004,MATCH($A1767,'Live History'!$G$5:$G$3004,1)),INDEX('AH History'!$F$1:$F$18046,AH!$P$7+1762))),NA()),NA())</ns0:f>
        <ns0:v/>
      </ns0:c>
      <ns0:c r="H1767">
        <ns0:f>IFERROR(IF(AND(AH!$E$4="Bloomberg",AH!$P$10=1,ISNUMBER($A1767),$A1767&lt;=AH!$P$17),AH!$P$7-1+MATCH($A1767,INDEX('AH History'!$A$1:$A$18046,AH!$P$7):INDEX('AH History'!$A$1:$A$18046,AH!$P$7+AH!$P$8-1),0),0),0)</ns0:f>
        <ns0:v/>
      </ns0:c>
      <ns0:c r="I1767">
        <ns0:f>IF($H1767=0,0,IFERROR(IF(AND(ABS($C1767-INDEX('AH History'!$B$1:$B$18046,$H1767))&lt;=MAX(0.005,ABS(INDEX('AH History'!$B$1:$B$18046,$H1767))*0.00005),ABS($D1767-INDEX('AH History'!$C$1:$C$18046,$H1767))&lt;=MAX(0.005,ABS(INDEX('AH History'!$C$1:$C$18046,$H1767))*0.00005),ABS($E1767-INDEX('AH History'!$D$1:$D$18046,$H1767))&lt;=0.00005,$F1767=INDEX('AH History'!$E$1:$E$18046,$H1767),$G1767=INDEX('AH History'!$F$1:$F$18046,$H1767)),1,-1),-1))</ns0:f>
        <ns0:v/>
      </ns0:c>
    </ns0:row>
    <ns0:row r="1768">
      <ns0:c r="A1768" s="215">
        <ns0:f>IF(OR(AH!$P$3=0,1763+1&gt;AH!$P$11,AND(AH!$E$4&lt;&gt;"Stored",AH!$P$10&lt;&gt;1)),"",IFERROR(IF(AND(AH!$P$21=1,1763+1=AH!$P$11),TODAY(),IF(AH!$P$10=1,INDEX('Live History'!$A$5:$A$3004,AH!$P$13+1763),INDEX('AH History'!$A$1:$A$18046,AH!$P$7+1763))),""))</ns0:f>
        <ns0:v/>
      </ns0:c>
      <ns0:c r="B1768" s="219">
        <ns0:f>IFERROR(IF(AND(AH!$P$9&lt;&gt;1,$C1768&gt;0,$D1768&gt;0,$E1768&gt;0,$F1768&gt;0,$G1768&gt;0,$F1768&lt;=$A1768,$G1768&lt;=$A1768,$A1768-$F1768&lt;=10,$A1768-$G1768&lt;=5),$D1768*$E1768/$C1768-1,NA()),NA())</ns0:f>
        <ns0:v/>
      </ns0:c>
      <ns0:c r="C1768">
        <ns0:f>IFERROR(IF(ISNUMBER($A1768),IF(AND(AH!$P$10=1,AH!$P$12=1,$A1768=TODAY()),AH!$P$19,IF(AH!$P$10=1,INDEX('Live History'!$B$5:$B$3004,AH!$P$13+1763),INDEX('AH History'!$B$1:$B$18046,AH!$P$7+1763))),NA()),NA())</ns0:f>
        <ns0:v/>
      </ns0:c>
      <ns0:c r="D1768">
        <ns0:f>IFERROR(IF(ISNUMBER($A1768),IF(AND(AH!$P$10=1,AH!$P$12=1,$A1768=TODAY()),AH!$P$18,IF(AH!$P$10=1,INDEX('Live History'!$E$5:$E$3004,MATCH($A1768,'Live History'!$D$5:$D$3004,1)),INDEX('AH History'!$C$1:$C$18046,AH!$P$7+1763))),NA()),NA())</ns0:f>
        <ns0:v/>
      </ns0:c>
      <ns0:c r="E1768">
        <ns0:f>IFERROR(IF(ISNUMBER($A1768),IF(AND(AH!$P$10=1,AH!$P$12=1,$A1768=TODAY()),AH!$P$20,IF(AH!$P$10=1,INDEX('Live History'!$H$5:$H$3004,MATCH($A1768,'Live History'!$G$5:$G$3004,1)),INDEX('AH History'!$D$1:$D$18046,AH!$P$7+1763))),NA()),NA())</ns0:f>
        <ns0:v/>
      </ns0:c>
      <ns0:c r="F1768">
        <ns0:f>IFERROR(IF(ISNUMBER($A1768),IF(AND(AH!$P$10=1,AH!$P$12=1,$A1768=TODAY()),IF(AND(AH!$P$10=1,AH!$P$12=1,$A1768=TODAY()),TODAY(),NA()),IF(AH!$P$10=1,INDEX('Live History'!$D$5:$D$3004,MATCH($A1768,'Live History'!$D$5:$D$3004,1)),INDEX('AH History'!$E$1:$E$18046,AH!$P$7+1763))),NA()),NA())</ns0:f>
        <ns0:v/>
      </ns0:c>
      <ns0:c r="G1768">
        <ns0:f>IFERROR(IF(ISNUMBER($A1768),IF(AND(AH!$P$10=1,AH!$P$12=1,$A1768=TODAY()),IF(AND(AH!$P$10=1,AH!$P$12=1,$A1768=TODAY()),TODAY(),NA()),IF(AH!$P$10=1,INDEX('Live History'!$G$5:$G$3004,MATCH($A1768,'Live History'!$G$5:$G$3004,1)),INDEX('AH History'!$F$1:$F$18046,AH!$P$7+1763))),NA()),NA())</ns0:f>
        <ns0:v/>
      </ns0:c>
      <ns0:c r="H1768">
        <ns0:f>IFERROR(IF(AND(AH!$E$4="Bloomberg",AH!$P$10=1,ISNUMBER($A1768),$A1768&lt;=AH!$P$17),AH!$P$7-1+MATCH($A1768,INDEX('AH History'!$A$1:$A$18046,AH!$P$7):INDEX('AH History'!$A$1:$A$18046,AH!$P$7+AH!$P$8-1),0),0),0)</ns0:f>
        <ns0:v/>
      </ns0:c>
      <ns0:c r="I1768">
        <ns0:f>IF($H1768=0,0,IFERROR(IF(AND(ABS($C1768-INDEX('AH History'!$B$1:$B$18046,$H1768))&lt;=MAX(0.005,ABS(INDEX('AH History'!$B$1:$B$18046,$H1768))*0.00005),ABS($D1768-INDEX('AH History'!$C$1:$C$18046,$H1768))&lt;=MAX(0.005,ABS(INDEX('AH History'!$C$1:$C$18046,$H1768))*0.00005),ABS($E1768-INDEX('AH History'!$D$1:$D$18046,$H1768))&lt;=0.00005,$F1768=INDEX('AH History'!$E$1:$E$18046,$H1768),$G1768=INDEX('AH History'!$F$1:$F$18046,$H1768)),1,-1),-1))</ns0:f>
        <ns0:v/>
      </ns0:c>
    </ns0:row>
    <ns0:row r="1769">
      <ns0:c r="A1769" s="215">
        <ns0:f>IF(OR(AH!$P$3=0,1764+1&gt;AH!$P$11,AND(AH!$E$4&lt;&gt;"Stored",AH!$P$10&lt;&gt;1)),"",IFERROR(IF(AND(AH!$P$21=1,1764+1=AH!$P$11),TODAY(),IF(AH!$P$10=1,INDEX('Live History'!$A$5:$A$3004,AH!$P$13+1764),INDEX('AH History'!$A$1:$A$18046,AH!$P$7+1764))),""))</ns0:f>
        <ns0:v/>
      </ns0:c>
      <ns0:c r="B1769" s="219">
        <ns0:f>IFERROR(IF(AND(AH!$P$9&lt;&gt;1,$C1769&gt;0,$D1769&gt;0,$E1769&gt;0,$F1769&gt;0,$G1769&gt;0,$F1769&lt;=$A1769,$G1769&lt;=$A1769,$A1769-$F1769&lt;=10,$A1769-$G1769&lt;=5),$D1769*$E1769/$C1769-1,NA()),NA())</ns0:f>
        <ns0:v/>
      </ns0:c>
      <ns0:c r="C1769">
        <ns0:f>IFERROR(IF(ISNUMBER($A1769),IF(AND(AH!$P$10=1,AH!$P$12=1,$A1769=TODAY()),AH!$P$19,IF(AH!$P$10=1,INDEX('Live History'!$B$5:$B$3004,AH!$P$13+1764),INDEX('AH History'!$B$1:$B$18046,AH!$P$7+1764))),NA()),NA())</ns0:f>
        <ns0:v/>
      </ns0:c>
      <ns0:c r="D1769">
        <ns0:f>IFERROR(IF(ISNUMBER($A1769),IF(AND(AH!$P$10=1,AH!$P$12=1,$A1769=TODAY()),AH!$P$18,IF(AH!$P$10=1,INDEX('Live History'!$E$5:$E$3004,MATCH($A1769,'Live History'!$D$5:$D$3004,1)),INDEX('AH History'!$C$1:$C$18046,AH!$P$7+1764))),NA()),NA())</ns0:f>
        <ns0:v/>
      </ns0:c>
      <ns0:c r="E1769">
        <ns0:f>IFERROR(IF(ISNUMBER($A1769),IF(AND(AH!$P$10=1,AH!$P$12=1,$A1769=TODAY()),AH!$P$20,IF(AH!$P$10=1,INDEX('Live History'!$H$5:$H$3004,MATCH($A1769,'Live History'!$G$5:$G$3004,1)),INDEX('AH History'!$D$1:$D$18046,AH!$P$7+1764))),NA()),NA())</ns0:f>
        <ns0:v/>
      </ns0:c>
      <ns0:c r="F1769">
        <ns0:f>IFERROR(IF(ISNUMBER($A1769),IF(AND(AH!$P$10=1,AH!$P$12=1,$A1769=TODAY()),IF(AND(AH!$P$10=1,AH!$P$12=1,$A1769=TODAY()),TODAY(),NA()),IF(AH!$P$10=1,INDEX('Live History'!$D$5:$D$3004,MATCH($A1769,'Live History'!$D$5:$D$3004,1)),INDEX('AH History'!$E$1:$E$18046,AH!$P$7+1764))),NA()),NA())</ns0:f>
        <ns0:v/>
      </ns0:c>
      <ns0:c r="G1769">
        <ns0:f>IFERROR(IF(ISNUMBER($A1769),IF(AND(AH!$P$10=1,AH!$P$12=1,$A1769=TODAY()),IF(AND(AH!$P$10=1,AH!$P$12=1,$A1769=TODAY()),TODAY(),NA()),IF(AH!$P$10=1,INDEX('Live History'!$G$5:$G$3004,MATCH($A1769,'Live History'!$G$5:$G$3004,1)),INDEX('AH History'!$F$1:$F$18046,AH!$P$7+1764))),NA()),NA())</ns0:f>
        <ns0:v/>
      </ns0:c>
      <ns0:c r="H1769">
        <ns0:f>IFERROR(IF(AND(AH!$E$4="Bloomberg",AH!$P$10=1,ISNUMBER($A1769),$A1769&lt;=AH!$P$17),AH!$P$7-1+MATCH($A1769,INDEX('AH History'!$A$1:$A$18046,AH!$P$7):INDEX('AH History'!$A$1:$A$18046,AH!$P$7+AH!$P$8-1),0),0),0)</ns0:f>
        <ns0:v/>
      </ns0:c>
      <ns0:c r="I1769">
        <ns0:f>IF($H1769=0,0,IFERROR(IF(AND(ABS($C1769-INDEX('AH History'!$B$1:$B$18046,$H1769))&lt;=MAX(0.005,ABS(INDEX('AH History'!$B$1:$B$18046,$H1769))*0.00005),ABS($D1769-INDEX('AH History'!$C$1:$C$18046,$H1769))&lt;=MAX(0.005,ABS(INDEX('AH History'!$C$1:$C$18046,$H1769))*0.00005),ABS($E1769-INDEX('AH History'!$D$1:$D$18046,$H1769))&lt;=0.00005,$F1769=INDEX('AH History'!$E$1:$E$18046,$H1769),$G1769=INDEX('AH History'!$F$1:$F$18046,$H1769)),1,-1),-1))</ns0:f>
        <ns0:v/>
      </ns0:c>
    </ns0:row>
    <ns0:row r="1770">
      <ns0:c r="A1770" s="215">
        <ns0:f>IF(OR(AH!$P$3=0,1765+1&gt;AH!$P$11,AND(AH!$E$4&lt;&gt;"Stored",AH!$P$10&lt;&gt;1)),"",IFERROR(IF(AND(AH!$P$21=1,1765+1=AH!$P$11),TODAY(),IF(AH!$P$10=1,INDEX('Live History'!$A$5:$A$3004,AH!$P$13+1765),INDEX('AH History'!$A$1:$A$18046,AH!$P$7+1765))),""))</ns0:f>
        <ns0:v/>
      </ns0:c>
      <ns0:c r="B1770" s="219">
        <ns0:f>IFERROR(IF(AND(AH!$P$9&lt;&gt;1,$C1770&gt;0,$D1770&gt;0,$E1770&gt;0,$F1770&gt;0,$G1770&gt;0,$F1770&lt;=$A1770,$G1770&lt;=$A1770,$A1770-$F1770&lt;=10,$A1770-$G1770&lt;=5),$D1770*$E1770/$C1770-1,NA()),NA())</ns0:f>
        <ns0:v/>
      </ns0:c>
      <ns0:c r="C1770">
        <ns0:f>IFERROR(IF(ISNUMBER($A1770),IF(AND(AH!$P$10=1,AH!$P$12=1,$A1770=TODAY()),AH!$P$19,IF(AH!$P$10=1,INDEX('Live History'!$B$5:$B$3004,AH!$P$13+1765),INDEX('AH History'!$B$1:$B$18046,AH!$P$7+1765))),NA()),NA())</ns0:f>
        <ns0:v/>
      </ns0:c>
      <ns0:c r="D1770">
        <ns0:f>IFERROR(IF(ISNUMBER($A1770),IF(AND(AH!$P$10=1,AH!$P$12=1,$A1770=TODAY()),AH!$P$18,IF(AH!$P$10=1,INDEX('Live History'!$E$5:$E$3004,MATCH($A1770,'Live History'!$D$5:$D$3004,1)),INDEX('AH History'!$C$1:$C$18046,AH!$P$7+1765))),NA()),NA())</ns0:f>
        <ns0:v/>
      </ns0:c>
      <ns0:c r="E1770">
        <ns0:f>IFERROR(IF(ISNUMBER($A1770),IF(AND(AH!$P$10=1,AH!$P$12=1,$A1770=TODAY()),AH!$P$20,IF(AH!$P$10=1,INDEX('Live History'!$H$5:$H$3004,MATCH($A1770,'Live History'!$G$5:$G$3004,1)),INDEX('AH History'!$D$1:$D$18046,AH!$P$7+1765))),NA()),NA())</ns0:f>
        <ns0:v/>
      </ns0:c>
      <ns0:c r="F1770">
        <ns0:f>IFERROR(IF(ISNUMBER($A1770),IF(AND(AH!$P$10=1,AH!$P$12=1,$A1770=TODAY()),IF(AND(AH!$P$10=1,AH!$P$12=1,$A1770=TODAY()),TODAY(),NA()),IF(AH!$P$10=1,INDEX('Live History'!$D$5:$D$3004,MATCH($A1770,'Live History'!$D$5:$D$3004,1)),INDEX('AH History'!$E$1:$E$18046,AH!$P$7+1765))),NA()),NA())</ns0:f>
        <ns0:v/>
      </ns0:c>
      <ns0:c r="G1770">
        <ns0:f>IFERROR(IF(ISNUMBER($A1770),IF(AND(AH!$P$10=1,AH!$P$12=1,$A1770=TODAY()),IF(AND(AH!$P$10=1,AH!$P$12=1,$A1770=TODAY()),TODAY(),NA()),IF(AH!$P$10=1,INDEX('Live History'!$G$5:$G$3004,MATCH($A1770,'Live History'!$G$5:$G$3004,1)),INDEX('AH History'!$F$1:$F$18046,AH!$P$7+1765))),NA()),NA())</ns0:f>
        <ns0:v/>
      </ns0:c>
      <ns0:c r="H1770">
        <ns0:f>IFERROR(IF(AND(AH!$E$4="Bloomberg",AH!$P$10=1,ISNUMBER($A1770),$A1770&lt;=AH!$P$17),AH!$P$7-1+MATCH($A1770,INDEX('AH History'!$A$1:$A$18046,AH!$P$7):INDEX('AH History'!$A$1:$A$18046,AH!$P$7+AH!$P$8-1),0),0),0)</ns0:f>
        <ns0:v/>
      </ns0:c>
      <ns0:c r="I1770">
        <ns0:f>IF($H1770=0,0,IFERROR(IF(AND(ABS($C1770-INDEX('AH History'!$B$1:$B$18046,$H1770))&lt;=MAX(0.005,ABS(INDEX('AH History'!$B$1:$B$18046,$H1770))*0.00005),ABS($D1770-INDEX('AH History'!$C$1:$C$18046,$H1770))&lt;=MAX(0.005,ABS(INDEX('AH History'!$C$1:$C$18046,$H1770))*0.00005),ABS($E1770-INDEX('AH History'!$D$1:$D$18046,$H1770))&lt;=0.00005,$F1770=INDEX('AH History'!$E$1:$E$18046,$H1770),$G1770=INDEX('AH History'!$F$1:$F$18046,$H1770)),1,-1),-1))</ns0:f>
        <ns0:v/>
      </ns0:c>
    </ns0:row>
    <ns0:row r="1771">
      <ns0:c r="A1771" s="215">
        <ns0:f>IF(OR(AH!$P$3=0,1766+1&gt;AH!$P$11,AND(AH!$E$4&lt;&gt;"Stored",AH!$P$10&lt;&gt;1)),"",IFERROR(IF(AND(AH!$P$21=1,1766+1=AH!$P$11),TODAY(),IF(AH!$P$10=1,INDEX('Live History'!$A$5:$A$3004,AH!$P$13+1766),INDEX('AH History'!$A$1:$A$18046,AH!$P$7+1766))),""))</ns0:f>
        <ns0:v/>
      </ns0:c>
      <ns0:c r="B1771" s="219">
        <ns0:f>IFERROR(IF(AND(AH!$P$9&lt;&gt;1,$C1771&gt;0,$D1771&gt;0,$E1771&gt;0,$F1771&gt;0,$G1771&gt;0,$F1771&lt;=$A1771,$G1771&lt;=$A1771,$A1771-$F1771&lt;=10,$A1771-$G1771&lt;=5),$D1771*$E1771/$C1771-1,NA()),NA())</ns0:f>
        <ns0:v/>
      </ns0:c>
      <ns0:c r="C1771">
        <ns0:f>IFERROR(IF(ISNUMBER($A1771),IF(AND(AH!$P$10=1,AH!$P$12=1,$A1771=TODAY()),AH!$P$19,IF(AH!$P$10=1,INDEX('Live History'!$B$5:$B$3004,AH!$P$13+1766),INDEX('AH History'!$B$1:$B$18046,AH!$P$7+1766))),NA()),NA())</ns0:f>
        <ns0:v/>
      </ns0:c>
      <ns0:c r="D1771">
        <ns0:f>IFERROR(IF(ISNUMBER($A1771),IF(AND(AH!$P$10=1,AH!$P$12=1,$A1771=TODAY()),AH!$P$18,IF(AH!$P$10=1,INDEX('Live History'!$E$5:$E$3004,MATCH($A1771,'Live History'!$D$5:$D$3004,1)),INDEX('AH History'!$C$1:$C$18046,AH!$P$7+1766))),NA()),NA())</ns0:f>
        <ns0:v/>
      </ns0:c>
      <ns0:c r="E1771">
        <ns0:f>IFERROR(IF(ISNUMBER($A1771),IF(AND(AH!$P$10=1,AH!$P$12=1,$A1771=TODAY()),AH!$P$20,IF(AH!$P$10=1,INDEX('Live History'!$H$5:$H$3004,MATCH($A1771,'Live History'!$G$5:$G$3004,1)),INDEX('AH History'!$D$1:$D$18046,AH!$P$7+1766))),NA()),NA())</ns0:f>
        <ns0:v/>
      </ns0:c>
      <ns0:c r="F1771">
        <ns0:f>IFERROR(IF(ISNUMBER($A1771),IF(AND(AH!$P$10=1,AH!$P$12=1,$A1771=TODAY()),IF(AND(AH!$P$10=1,AH!$P$12=1,$A1771=TODAY()),TODAY(),NA()),IF(AH!$P$10=1,INDEX('Live History'!$D$5:$D$3004,MATCH($A1771,'Live History'!$D$5:$D$3004,1)),INDEX('AH History'!$E$1:$E$18046,AH!$P$7+1766))),NA()),NA())</ns0:f>
        <ns0:v/>
      </ns0:c>
      <ns0:c r="G1771">
        <ns0:f>IFERROR(IF(ISNUMBER($A1771),IF(AND(AH!$P$10=1,AH!$P$12=1,$A1771=TODAY()),IF(AND(AH!$P$10=1,AH!$P$12=1,$A1771=TODAY()),TODAY(),NA()),IF(AH!$P$10=1,INDEX('Live History'!$G$5:$G$3004,MATCH($A1771,'Live History'!$G$5:$G$3004,1)),INDEX('AH History'!$F$1:$F$18046,AH!$P$7+1766))),NA()),NA())</ns0:f>
        <ns0:v/>
      </ns0:c>
      <ns0:c r="H1771">
        <ns0:f>IFERROR(IF(AND(AH!$E$4="Bloomberg",AH!$P$10=1,ISNUMBER($A1771),$A1771&lt;=AH!$P$17),AH!$P$7-1+MATCH($A1771,INDEX('AH History'!$A$1:$A$18046,AH!$P$7):INDEX('AH History'!$A$1:$A$18046,AH!$P$7+AH!$P$8-1),0),0),0)</ns0:f>
        <ns0:v/>
      </ns0:c>
      <ns0:c r="I1771">
        <ns0:f>IF($H1771=0,0,IFERROR(IF(AND(ABS($C1771-INDEX('AH History'!$B$1:$B$18046,$H1771))&lt;=MAX(0.005,ABS(INDEX('AH History'!$B$1:$B$18046,$H1771))*0.00005),ABS($D1771-INDEX('AH History'!$C$1:$C$18046,$H1771))&lt;=MAX(0.005,ABS(INDEX('AH History'!$C$1:$C$18046,$H1771))*0.00005),ABS($E1771-INDEX('AH History'!$D$1:$D$18046,$H1771))&lt;=0.00005,$F1771=INDEX('AH History'!$E$1:$E$18046,$H1771),$G1771=INDEX('AH History'!$F$1:$F$18046,$H1771)),1,-1),-1))</ns0:f>
        <ns0:v/>
      </ns0:c>
    </ns0:row>
    <ns0:row r="1772">
      <ns0:c r="A1772" s="215">
        <ns0:f>IF(OR(AH!$P$3=0,1767+1&gt;AH!$P$11,AND(AH!$E$4&lt;&gt;"Stored",AH!$P$10&lt;&gt;1)),"",IFERROR(IF(AND(AH!$P$21=1,1767+1=AH!$P$11),TODAY(),IF(AH!$P$10=1,INDEX('Live History'!$A$5:$A$3004,AH!$P$13+1767),INDEX('AH History'!$A$1:$A$18046,AH!$P$7+1767))),""))</ns0:f>
        <ns0:v/>
      </ns0:c>
      <ns0:c r="B1772" s="219">
        <ns0:f>IFERROR(IF(AND(AH!$P$9&lt;&gt;1,$C1772&gt;0,$D1772&gt;0,$E1772&gt;0,$F1772&gt;0,$G1772&gt;0,$F1772&lt;=$A1772,$G1772&lt;=$A1772,$A1772-$F1772&lt;=10,$A1772-$G1772&lt;=5),$D1772*$E1772/$C1772-1,NA()),NA())</ns0:f>
        <ns0:v/>
      </ns0:c>
      <ns0:c r="C1772">
        <ns0:f>IFERROR(IF(ISNUMBER($A1772),IF(AND(AH!$P$10=1,AH!$P$12=1,$A1772=TODAY()),AH!$P$19,IF(AH!$P$10=1,INDEX('Live History'!$B$5:$B$3004,AH!$P$13+1767),INDEX('AH History'!$B$1:$B$18046,AH!$P$7+1767))),NA()),NA())</ns0:f>
        <ns0:v/>
      </ns0:c>
      <ns0:c r="D1772">
        <ns0:f>IFERROR(IF(ISNUMBER($A1772),IF(AND(AH!$P$10=1,AH!$P$12=1,$A1772=TODAY()),AH!$P$18,IF(AH!$P$10=1,INDEX('Live History'!$E$5:$E$3004,MATCH($A1772,'Live History'!$D$5:$D$3004,1)),INDEX('AH History'!$C$1:$C$18046,AH!$P$7+1767))),NA()),NA())</ns0:f>
        <ns0:v/>
      </ns0:c>
      <ns0:c r="E1772">
        <ns0:f>IFERROR(IF(ISNUMBER($A1772),IF(AND(AH!$P$10=1,AH!$P$12=1,$A1772=TODAY()),AH!$P$20,IF(AH!$P$10=1,INDEX('Live History'!$H$5:$H$3004,MATCH($A1772,'Live History'!$G$5:$G$3004,1)),INDEX('AH History'!$D$1:$D$18046,AH!$P$7+1767))),NA()),NA())</ns0:f>
        <ns0:v/>
      </ns0:c>
      <ns0:c r="F1772">
        <ns0:f>IFERROR(IF(ISNUMBER($A1772),IF(AND(AH!$P$10=1,AH!$P$12=1,$A1772=TODAY()),IF(AND(AH!$P$10=1,AH!$P$12=1,$A1772=TODAY()),TODAY(),NA()),IF(AH!$P$10=1,INDEX('Live History'!$D$5:$D$3004,MATCH($A1772,'Live History'!$D$5:$D$3004,1)),INDEX('AH History'!$E$1:$E$18046,AH!$P$7+1767))),NA()),NA())</ns0:f>
        <ns0:v/>
      </ns0:c>
      <ns0:c r="G1772">
        <ns0:f>IFERROR(IF(ISNUMBER($A1772),IF(AND(AH!$P$10=1,AH!$P$12=1,$A1772=TODAY()),IF(AND(AH!$P$10=1,AH!$P$12=1,$A1772=TODAY()),TODAY(),NA()),IF(AH!$P$10=1,INDEX('Live History'!$G$5:$G$3004,MATCH($A1772,'Live History'!$G$5:$G$3004,1)),INDEX('AH History'!$F$1:$F$18046,AH!$P$7+1767))),NA()),NA())</ns0:f>
        <ns0:v/>
      </ns0:c>
      <ns0:c r="H1772">
        <ns0:f>IFERROR(IF(AND(AH!$E$4="Bloomberg",AH!$P$10=1,ISNUMBER($A1772),$A1772&lt;=AH!$P$17),AH!$P$7-1+MATCH($A1772,INDEX('AH History'!$A$1:$A$18046,AH!$P$7):INDEX('AH History'!$A$1:$A$18046,AH!$P$7+AH!$P$8-1),0),0),0)</ns0:f>
        <ns0:v/>
      </ns0:c>
      <ns0:c r="I1772">
        <ns0:f>IF($H1772=0,0,IFERROR(IF(AND(ABS($C1772-INDEX('AH History'!$B$1:$B$18046,$H1772))&lt;=MAX(0.005,ABS(INDEX('AH History'!$B$1:$B$18046,$H1772))*0.00005),ABS($D1772-INDEX('AH History'!$C$1:$C$18046,$H1772))&lt;=MAX(0.005,ABS(INDEX('AH History'!$C$1:$C$18046,$H1772))*0.00005),ABS($E1772-INDEX('AH History'!$D$1:$D$18046,$H1772))&lt;=0.00005,$F1772=INDEX('AH History'!$E$1:$E$18046,$H1772),$G1772=INDEX('AH History'!$F$1:$F$18046,$H1772)),1,-1),-1))</ns0:f>
        <ns0:v/>
      </ns0:c>
    </ns0:row>
    <ns0:row r="1773">
      <ns0:c r="A1773" s="215">
        <ns0:f>IF(OR(AH!$P$3=0,1768+1&gt;AH!$P$11,AND(AH!$E$4&lt;&gt;"Stored",AH!$P$10&lt;&gt;1)),"",IFERROR(IF(AND(AH!$P$21=1,1768+1=AH!$P$11),TODAY(),IF(AH!$P$10=1,INDEX('Live History'!$A$5:$A$3004,AH!$P$13+1768),INDEX('AH History'!$A$1:$A$18046,AH!$P$7+1768))),""))</ns0:f>
        <ns0:v/>
      </ns0:c>
      <ns0:c r="B1773" s="219">
        <ns0:f>IFERROR(IF(AND(AH!$P$9&lt;&gt;1,$C1773&gt;0,$D1773&gt;0,$E1773&gt;0,$F1773&gt;0,$G1773&gt;0,$F1773&lt;=$A1773,$G1773&lt;=$A1773,$A1773-$F1773&lt;=10,$A1773-$G1773&lt;=5),$D1773*$E1773/$C1773-1,NA()),NA())</ns0:f>
        <ns0:v/>
      </ns0:c>
      <ns0:c r="C1773">
        <ns0:f>IFERROR(IF(ISNUMBER($A1773),IF(AND(AH!$P$10=1,AH!$P$12=1,$A1773=TODAY()),AH!$P$19,IF(AH!$P$10=1,INDEX('Live History'!$B$5:$B$3004,AH!$P$13+1768),INDEX('AH History'!$B$1:$B$18046,AH!$P$7+1768))),NA()),NA())</ns0:f>
        <ns0:v/>
      </ns0:c>
      <ns0:c r="D1773">
        <ns0:f>IFERROR(IF(ISNUMBER($A1773),IF(AND(AH!$P$10=1,AH!$P$12=1,$A1773=TODAY()),AH!$P$18,IF(AH!$P$10=1,INDEX('Live History'!$E$5:$E$3004,MATCH($A1773,'Live History'!$D$5:$D$3004,1)),INDEX('AH History'!$C$1:$C$18046,AH!$P$7+1768))),NA()),NA())</ns0:f>
        <ns0:v/>
      </ns0:c>
      <ns0:c r="E1773">
        <ns0:f>IFERROR(IF(ISNUMBER($A1773),IF(AND(AH!$P$10=1,AH!$P$12=1,$A1773=TODAY()),AH!$P$20,IF(AH!$P$10=1,INDEX('Live History'!$H$5:$H$3004,MATCH($A1773,'Live History'!$G$5:$G$3004,1)),INDEX('AH History'!$D$1:$D$18046,AH!$P$7+1768))),NA()),NA())</ns0:f>
        <ns0:v/>
      </ns0:c>
      <ns0:c r="F1773">
        <ns0:f>IFERROR(IF(ISNUMBER($A1773),IF(AND(AH!$P$10=1,AH!$P$12=1,$A1773=TODAY()),IF(AND(AH!$P$10=1,AH!$P$12=1,$A1773=TODAY()),TODAY(),NA()),IF(AH!$P$10=1,INDEX('Live History'!$D$5:$D$3004,MATCH($A1773,'Live History'!$D$5:$D$3004,1)),INDEX('AH History'!$E$1:$E$18046,AH!$P$7+1768))),NA()),NA())</ns0:f>
        <ns0:v/>
      </ns0:c>
      <ns0:c r="G1773">
        <ns0:f>IFERROR(IF(ISNUMBER($A1773),IF(AND(AH!$P$10=1,AH!$P$12=1,$A1773=TODAY()),IF(AND(AH!$P$10=1,AH!$P$12=1,$A1773=TODAY()),TODAY(),NA()),IF(AH!$P$10=1,INDEX('Live History'!$G$5:$G$3004,MATCH($A1773,'Live History'!$G$5:$G$3004,1)),INDEX('AH History'!$F$1:$F$18046,AH!$P$7+1768))),NA()),NA())</ns0:f>
        <ns0:v/>
      </ns0:c>
      <ns0:c r="H1773">
        <ns0:f>IFERROR(IF(AND(AH!$E$4="Bloomberg",AH!$P$10=1,ISNUMBER($A1773),$A1773&lt;=AH!$P$17),AH!$P$7-1+MATCH($A1773,INDEX('AH History'!$A$1:$A$18046,AH!$P$7):INDEX('AH History'!$A$1:$A$18046,AH!$P$7+AH!$P$8-1),0),0),0)</ns0:f>
        <ns0:v/>
      </ns0:c>
      <ns0:c r="I1773">
        <ns0:f>IF($H1773=0,0,IFERROR(IF(AND(ABS($C1773-INDEX('AH History'!$B$1:$B$18046,$H1773))&lt;=MAX(0.005,ABS(INDEX('AH History'!$B$1:$B$18046,$H1773))*0.00005),ABS($D1773-INDEX('AH History'!$C$1:$C$18046,$H1773))&lt;=MAX(0.005,ABS(INDEX('AH History'!$C$1:$C$18046,$H1773))*0.00005),ABS($E1773-INDEX('AH History'!$D$1:$D$18046,$H1773))&lt;=0.00005,$F1773=INDEX('AH History'!$E$1:$E$18046,$H1773),$G1773=INDEX('AH History'!$F$1:$F$18046,$H1773)),1,-1),-1))</ns0:f>
        <ns0:v/>
      </ns0:c>
    </ns0:row>
    <ns0:row r="1774">
      <ns0:c r="A1774" s="215">
        <ns0:f>IF(OR(AH!$P$3=0,1769+1&gt;AH!$P$11,AND(AH!$E$4&lt;&gt;"Stored",AH!$P$10&lt;&gt;1)),"",IFERROR(IF(AND(AH!$P$21=1,1769+1=AH!$P$11),TODAY(),IF(AH!$P$10=1,INDEX('Live History'!$A$5:$A$3004,AH!$P$13+1769),INDEX('AH History'!$A$1:$A$18046,AH!$P$7+1769))),""))</ns0:f>
        <ns0:v/>
      </ns0:c>
      <ns0:c r="B1774" s="219">
        <ns0:f>IFERROR(IF(AND(AH!$P$9&lt;&gt;1,$C1774&gt;0,$D1774&gt;0,$E1774&gt;0,$F1774&gt;0,$G1774&gt;0,$F1774&lt;=$A1774,$G1774&lt;=$A1774,$A1774-$F1774&lt;=10,$A1774-$G1774&lt;=5),$D1774*$E1774/$C1774-1,NA()),NA())</ns0:f>
        <ns0:v/>
      </ns0:c>
      <ns0:c r="C1774">
        <ns0:f>IFERROR(IF(ISNUMBER($A1774),IF(AND(AH!$P$10=1,AH!$P$12=1,$A1774=TODAY()),AH!$P$19,IF(AH!$P$10=1,INDEX('Live History'!$B$5:$B$3004,AH!$P$13+1769),INDEX('AH History'!$B$1:$B$18046,AH!$P$7+1769))),NA()),NA())</ns0:f>
        <ns0:v/>
      </ns0:c>
      <ns0:c r="D1774">
        <ns0:f>IFERROR(IF(ISNUMBER($A1774),IF(AND(AH!$P$10=1,AH!$P$12=1,$A1774=TODAY()),AH!$P$18,IF(AH!$P$10=1,INDEX('Live History'!$E$5:$E$3004,MATCH($A1774,'Live History'!$D$5:$D$3004,1)),INDEX('AH History'!$C$1:$C$18046,AH!$P$7+1769))),NA()),NA())</ns0:f>
        <ns0:v/>
      </ns0:c>
      <ns0:c r="E1774">
        <ns0:f>IFERROR(IF(ISNUMBER($A1774),IF(AND(AH!$P$10=1,AH!$P$12=1,$A1774=TODAY()),AH!$P$20,IF(AH!$P$10=1,INDEX('Live History'!$H$5:$H$3004,MATCH($A1774,'Live History'!$G$5:$G$3004,1)),INDEX('AH History'!$D$1:$D$18046,AH!$P$7+1769))),NA()),NA())</ns0:f>
        <ns0:v/>
      </ns0:c>
      <ns0:c r="F1774">
        <ns0:f>IFERROR(IF(ISNUMBER($A1774),IF(AND(AH!$P$10=1,AH!$P$12=1,$A1774=TODAY()),IF(AND(AH!$P$10=1,AH!$P$12=1,$A1774=TODAY()),TODAY(),NA()),IF(AH!$P$10=1,INDEX('Live History'!$D$5:$D$3004,MATCH($A1774,'Live History'!$D$5:$D$3004,1)),INDEX('AH History'!$E$1:$E$18046,AH!$P$7+1769))),NA()),NA())</ns0:f>
        <ns0:v/>
      </ns0:c>
      <ns0:c r="G1774">
        <ns0:f>IFERROR(IF(ISNUMBER($A1774),IF(AND(AH!$P$10=1,AH!$P$12=1,$A1774=TODAY()),IF(AND(AH!$P$10=1,AH!$P$12=1,$A1774=TODAY()),TODAY(),NA()),IF(AH!$P$10=1,INDEX('Live History'!$G$5:$G$3004,MATCH($A1774,'Live History'!$G$5:$G$3004,1)),INDEX('AH History'!$F$1:$F$18046,AH!$P$7+1769))),NA()),NA())</ns0:f>
        <ns0:v/>
      </ns0:c>
      <ns0:c r="H1774">
        <ns0:f>IFERROR(IF(AND(AH!$E$4="Bloomberg",AH!$P$10=1,ISNUMBER($A1774),$A1774&lt;=AH!$P$17),AH!$P$7-1+MATCH($A1774,INDEX('AH History'!$A$1:$A$18046,AH!$P$7):INDEX('AH History'!$A$1:$A$18046,AH!$P$7+AH!$P$8-1),0),0),0)</ns0:f>
        <ns0:v/>
      </ns0:c>
      <ns0:c r="I1774">
        <ns0:f>IF($H1774=0,0,IFERROR(IF(AND(ABS($C1774-INDEX('AH History'!$B$1:$B$18046,$H1774))&lt;=MAX(0.005,ABS(INDEX('AH History'!$B$1:$B$18046,$H1774))*0.00005),ABS($D1774-INDEX('AH History'!$C$1:$C$18046,$H1774))&lt;=MAX(0.005,ABS(INDEX('AH History'!$C$1:$C$18046,$H1774))*0.00005),ABS($E1774-INDEX('AH History'!$D$1:$D$18046,$H1774))&lt;=0.00005,$F1774=INDEX('AH History'!$E$1:$E$18046,$H1774),$G1774=INDEX('AH History'!$F$1:$F$18046,$H1774)),1,-1),-1))</ns0:f>
        <ns0:v/>
      </ns0:c>
    </ns0:row>
    <ns0:row r="1775">
      <ns0:c r="A1775" s="215">
        <ns0:f>IF(OR(AH!$P$3=0,1770+1&gt;AH!$P$11,AND(AH!$E$4&lt;&gt;"Stored",AH!$P$10&lt;&gt;1)),"",IFERROR(IF(AND(AH!$P$21=1,1770+1=AH!$P$11),TODAY(),IF(AH!$P$10=1,INDEX('Live History'!$A$5:$A$3004,AH!$P$13+1770),INDEX('AH History'!$A$1:$A$18046,AH!$P$7+1770))),""))</ns0:f>
        <ns0:v/>
      </ns0:c>
      <ns0:c r="B1775" s="219">
        <ns0:f>IFERROR(IF(AND(AH!$P$9&lt;&gt;1,$C1775&gt;0,$D1775&gt;0,$E1775&gt;0,$F1775&gt;0,$G1775&gt;0,$F1775&lt;=$A1775,$G1775&lt;=$A1775,$A1775-$F1775&lt;=10,$A1775-$G1775&lt;=5),$D1775*$E1775/$C1775-1,NA()),NA())</ns0:f>
        <ns0:v/>
      </ns0:c>
      <ns0:c r="C1775">
        <ns0:f>IFERROR(IF(ISNUMBER($A1775),IF(AND(AH!$P$10=1,AH!$P$12=1,$A1775=TODAY()),AH!$P$19,IF(AH!$P$10=1,INDEX('Live History'!$B$5:$B$3004,AH!$P$13+1770),INDEX('AH History'!$B$1:$B$18046,AH!$P$7+1770))),NA()),NA())</ns0:f>
        <ns0:v/>
      </ns0:c>
      <ns0:c r="D1775">
        <ns0:f>IFERROR(IF(ISNUMBER($A1775),IF(AND(AH!$P$10=1,AH!$P$12=1,$A1775=TODAY()),AH!$P$18,IF(AH!$P$10=1,INDEX('Live History'!$E$5:$E$3004,MATCH($A1775,'Live History'!$D$5:$D$3004,1)),INDEX('AH History'!$C$1:$C$18046,AH!$P$7+1770))),NA()),NA())</ns0:f>
        <ns0:v/>
      </ns0:c>
      <ns0:c r="E1775">
        <ns0:f>IFERROR(IF(ISNUMBER($A1775),IF(AND(AH!$P$10=1,AH!$P$12=1,$A1775=TODAY()),AH!$P$20,IF(AH!$P$10=1,INDEX('Live History'!$H$5:$H$3004,MATCH($A1775,'Live History'!$G$5:$G$3004,1)),INDEX('AH History'!$D$1:$D$18046,AH!$P$7+1770))),NA()),NA())</ns0:f>
        <ns0:v/>
      </ns0:c>
      <ns0:c r="F1775">
        <ns0:f>IFERROR(IF(ISNUMBER($A1775),IF(AND(AH!$P$10=1,AH!$P$12=1,$A1775=TODAY()),IF(AND(AH!$P$10=1,AH!$P$12=1,$A1775=TODAY()),TODAY(),NA()),IF(AH!$P$10=1,INDEX('Live History'!$D$5:$D$3004,MATCH($A1775,'Live History'!$D$5:$D$3004,1)),INDEX('AH History'!$E$1:$E$18046,AH!$P$7+1770))),NA()),NA())</ns0:f>
        <ns0:v/>
      </ns0:c>
      <ns0:c r="G1775">
        <ns0:f>IFERROR(IF(ISNUMBER($A1775),IF(AND(AH!$P$10=1,AH!$P$12=1,$A1775=TODAY()),IF(AND(AH!$P$10=1,AH!$P$12=1,$A1775=TODAY()),TODAY(),NA()),IF(AH!$P$10=1,INDEX('Live History'!$G$5:$G$3004,MATCH($A1775,'Live History'!$G$5:$G$3004,1)),INDEX('AH History'!$F$1:$F$18046,AH!$P$7+1770))),NA()),NA())</ns0:f>
        <ns0:v/>
      </ns0:c>
      <ns0:c r="H1775">
        <ns0:f>IFERROR(IF(AND(AH!$E$4="Bloomberg",AH!$P$10=1,ISNUMBER($A1775),$A1775&lt;=AH!$P$17),AH!$P$7-1+MATCH($A1775,INDEX('AH History'!$A$1:$A$18046,AH!$P$7):INDEX('AH History'!$A$1:$A$18046,AH!$P$7+AH!$P$8-1),0),0),0)</ns0:f>
        <ns0:v/>
      </ns0:c>
      <ns0:c r="I1775">
        <ns0:f>IF($H1775=0,0,IFERROR(IF(AND(ABS($C1775-INDEX('AH History'!$B$1:$B$18046,$H1775))&lt;=MAX(0.005,ABS(INDEX('AH History'!$B$1:$B$18046,$H1775))*0.00005),ABS($D1775-INDEX('AH History'!$C$1:$C$18046,$H1775))&lt;=MAX(0.005,ABS(INDEX('AH History'!$C$1:$C$18046,$H1775))*0.00005),ABS($E1775-INDEX('AH History'!$D$1:$D$18046,$H1775))&lt;=0.00005,$F1775=INDEX('AH History'!$E$1:$E$18046,$H1775),$G1775=INDEX('AH History'!$F$1:$F$18046,$H1775)),1,-1),-1))</ns0:f>
        <ns0:v/>
      </ns0:c>
    </ns0:row>
    <ns0:row r="1776">
      <ns0:c r="A1776" s="215">
        <ns0:f>IF(OR(AH!$P$3=0,1771+1&gt;AH!$P$11,AND(AH!$E$4&lt;&gt;"Stored",AH!$P$10&lt;&gt;1)),"",IFERROR(IF(AND(AH!$P$21=1,1771+1=AH!$P$11),TODAY(),IF(AH!$P$10=1,INDEX('Live History'!$A$5:$A$3004,AH!$P$13+1771),INDEX('AH History'!$A$1:$A$18046,AH!$P$7+1771))),""))</ns0:f>
        <ns0:v/>
      </ns0:c>
      <ns0:c r="B1776" s="219">
        <ns0:f>IFERROR(IF(AND(AH!$P$9&lt;&gt;1,$C1776&gt;0,$D1776&gt;0,$E1776&gt;0,$F1776&gt;0,$G1776&gt;0,$F1776&lt;=$A1776,$G1776&lt;=$A1776,$A1776-$F1776&lt;=10,$A1776-$G1776&lt;=5),$D1776*$E1776/$C1776-1,NA()),NA())</ns0:f>
        <ns0:v/>
      </ns0:c>
      <ns0:c r="C1776">
        <ns0:f>IFERROR(IF(ISNUMBER($A1776),IF(AND(AH!$P$10=1,AH!$P$12=1,$A1776=TODAY()),AH!$P$19,IF(AH!$P$10=1,INDEX('Live History'!$B$5:$B$3004,AH!$P$13+1771),INDEX('AH History'!$B$1:$B$18046,AH!$P$7+1771))),NA()),NA())</ns0:f>
        <ns0:v/>
      </ns0:c>
      <ns0:c r="D1776">
        <ns0:f>IFERROR(IF(ISNUMBER($A1776),IF(AND(AH!$P$10=1,AH!$P$12=1,$A1776=TODAY()),AH!$P$18,IF(AH!$P$10=1,INDEX('Live History'!$E$5:$E$3004,MATCH($A1776,'Live History'!$D$5:$D$3004,1)),INDEX('AH History'!$C$1:$C$18046,AH!$P$7+1771))),NA()),NA())</ns0:f>
        <ns0:v/>
      </ns0:c>
      <ns0:c r="E1776">
        <ns0:f>IFERROR(IF(ISNUMBER($A1776),IF(AND(AH!$P$10=1,AH!$P$12=1,$A1776=TODAY()),AH!$P$20,IF(AH!$P$10=1,INDEX('Live History'!$H$5:$H$3004,MATCH($A1776,'Live History'!$G$5:$G$3004,1)),INDEX('AH History'!$D$1:$D$18046,AH!$P$7+1771))),NA()),NA())</ns0:f>
        <ns0:v/>
      </ns0:c>
      <ns0:c r="F1776">
        <ns0:f>IFERROR(IF(ISNUMBER($A1776),IF(AND(AH!$P$10=1,AH!$P$12=1,$A1776=TODAY()),IF(AND(AH!$P$10=1,AH!$P$12=1,$A1776=TODAY()),TODAY(),NA()),IF(AH!$P$10=1,INDEX('Live History'!$D$5:$D$3004,MATCH($A1776,'Live History'!$D$5:$D$3004,1)),INDEX('AH History'!$E$1:$E$18046,AH!$P$7+1771))),NA()),NA())</ns0:f>
        <ns0:v/>
      </ns0:c>
      <ns0:c r="G1776">
        <ns0:f>IFERROR(IF(ISNUMBER($A1776),IF(AND(AH!$P$10=1,AH!$P$12=1,$A1776=TODAY()),IF(AND(AH!$P$10=1,AH!$P$12=1,$A1776=TODAY()),TODAY(),NA()),IF(AH!$P$10=1,INDEX('Live History'!$G$5:$G$3004,MATCH($A1776,'Live History'!$G$5:$G$3004,1)),INDEX('AH History'!$F$1:$F$18046,AH!$P$7+1771))),NA()),NA())</ns0:f>
        <ns0:v/>
      </ns0:c>
      <ns0:c r="H1776">
        <ns0:f>IFERROR(IF(AND(AH!$E$4="Bloomberg",AH!$P$10=1,ISNUMBER($A1776),$A1776&lt;=AH!$P$17),AH!$P$7-1+MATCH($A1776,INDEX('AH History'!$A$1:$A$18046,AH!$P$7):INDEX('AH History'!$A$1:$A$18046,AH!$P$7+AH!$P$8-1),0),0),0)</ns0:f>
        <ns0:v/>
      </ns0:c>
      <ns0:c r="I1776">
        <ns0:f>IF($H1776=0,0,IFERROR(IF(AND(ABS($C1776-INDEX('AH History'!$B$1:$B$18046,$H1776))&lt;=MAX(0.005,ABS(INDEX('AH History'!$B$1:$B$18046,$H1776))*0.00005),ABS($D1776-INDEX('AH History'!$C$1:$C$18046,$H1776))&lt;=MAX(0.005,ABS(INDEX('AH History'!$C$1:$C$18046,$H1776))*0.00005),ABS($E1776-INDEX('AH History'!$D$1:$D$18046,$H1776))&lt;=0.00005,$F1776=INDEX('AH History'!$E$1:$E$18046,$H1776),$G1776=INDEX('AH History'!$F$1:$F$18046,$H1776)),1,-1),-1))</ns0:f>
        <ns0:v/>
      </ns0:c>
    </ns0:row>
    <ns0:row r="1777">
      <ns0:c r="A1777" s="215">
        <ns0:f>IF(OR(AH!$P$3=0,1772+1&gt;AH!$P$11,AND(AH!$E$4&lt;&gt;"Stored",AH!$P$10&lt;&gt;1)),"",IFERROR(IF(AND(AH!$P$21=1,1772+1=AH!$P$11),TODAY(),IF(AH!$P$10=1,INDEX('Live History'!$A$5:$A$3004,AH!$P$13+1772),INDEX('AH History'!$A$1:$A$18046,AH!$P$7+1772))),""))</ns0:f>
        <ns0:v/>
      </ns0:c>
      <ns0:c r="B1777" s="219">
        <ns0:f>IFERROR(IF(AND(AH!$P$9&lt;&gt;1,$C1777&gt;0,$D1777&gt;0,$E1777&gt;0,$F1777&gt;0,$G1777&gt;0,$F1777&lt;=$A1777,$G1777&lt;=$A1777,$A1777-$F1777&lt;=10,$A1777-$G1777&lt;=5),$D1777*$E1777/$C1777-1,NA()),NA())</ns0:f>
        <ns0:v/>
      </ns0:c>
      <ns0:c r="C1777">
        <ns0:f>IFERROR(IF(ISNUMBER($A1777),IF(AND(AH!$P$10=1,AH!$P$12=1,$A1777=TODAY()),AH!$P$19,IF(AH!$P$10=1,INDEX('Live History'!$B$5:$B$3004,AH!$P$13+1772),INDEX('AH History'!$B$1:$B$18046,AH!$P$7+1772))),NA()),NA())</ns0:f>
        <ns0:v/>
      </ns0:c>
      <ns0:c r="D1777">
        <ns0:f>IFERROR(IF(ISNUMBER($A1777),IF(AND(AH!$P$10=1,AH!$P$12=1,$A1777=TODAY()),AH!$P$18,IF(AH!$P$10=1,INDEX('Live History'!$E$5:$E$3004,MATCH($A1777,'Live History'!$D$5:$D$3004,1)),INDEX('AH History'!$C$1:$C$18046,AH!$P$7+1772))),NA()),NA())</ns0:f>
        <ns0:v/>
      </ns0:c>
      <ns0:c r="E1777">
        <ns0:f>IFERROR(IF(ISNUMBER($A1777),IF(AND(AH!$P$10=1,AH!$P$12=1,$A1777=TODAY()),AH!$P$20,IF(AH!$P$10=1,INDEX('Live History'!$H$5:$H$3004,MATCH($A1777,'Live History'!$G$5:$G$3004,1)),INDEX('AH History'!$D$1:$D$18046,AH!$P$7+1772))),NA()),NA())</ns0:f>
        <ns0:v/>
      </ns0:c>
      <ns0:c r="F1777">
        <ns0:f>IFERROR(IF(ISNUMBER($A1777),IF(AND(AH!$P$10=1,AH!$P$12=1,$A1777=TODAY()),IF(AND(AH!$P$10=1,AH!$P$12=1,$A1777=TODAY()),TODAY(),NA()),IF(AH!$P$10=1,INDEX('Live History'!$D$5:$D$3004,MATCH($A1777,'Live History'!$D$5:$D$3004,1)),INDEX('AH History'!$E$1:$E$18046,AH!$P$7+1772))),NA()),NA())</ns0:f>
        <ns0:v/>
      </ns0:c>
      <ns0:c r="G1777">
        <ns0:f>IFERROR(IF(ISNUMBER($A1777),IF(AND(AH!$P$10=1,AH!$P$12=1,$A1777=TODAY()),IF(AND(AH!$P$10=1,AH!$P$12=1,$A1777=TODAY()),TODAY(),NA()),IF(AH!$P$10=1,INDEX('Live History'!$G$5:$G$3004,MATCH($A1777,'Live History'!$G$5:$G$3004,1)),INDEX('AH History'!$F$1:$F$18046,AH!$P$7+1772))),NA()),NA())</ns0:f>
        <ns0:v/>
      </ns0:c>
      <ns0:c r="H1777">
        <ns0:f>IFERROR(IF(AND(AH!$E$4="Bloomberg",AH!$P$10=1,ISNUMBER($A1777),$A1777&lt;=AH!$P$17),AH!$P$7-1+MATCH($A1777,INDEX('AH History'!$A$1:$A$18046,AH!$P$7):INDEX('AH History'!$A$1:$A$18046,AH!$P$7+AH!$P$8-1),0),0),0)</ns0:f>
        <ns0:v/>
      </ns0:c>
      <ns0:c r="I1777">
        <ns0:f>IF($H1777=0,0,IFERROR(IF(AND(ABS($C1777-INDEX('AH History'!$B$1:$B$18046,$H1777))&lt;=MAX(0.005,ABS(INDEX('AH History'!$B$1:$B$18046,$H1777))*0.00005),ABS($D1777-INDEX('AH History'!$C$1:$C$18046,$H1777))&lt;=MAX(0.005,ABS(INDEX('AH History'!$C$1:$C$18046,$H1777))*0.00005),ABS($E1777-INDEX('AH History'!$D$1:$D$18046,$H1777))&lt;=0.00005,$F1777=INDEX('AH History'!$E$1:$E$18046,$H1777),$G1777=INDEX('AH History'!$F$1:$F$18046,$H1777)),1,-1),-1))</ns0:f>
        <ns0:v/>
      </ns0:c>
    </ns0:row>
    <ns0:row r="1778">
      <ns0:c r="A1778" s="215">
        <ns0:f>IF(OR(AH!$P$3=0,1773+1&gt;AH!$P$11,AND(AH!$E$4&lt;&gt;"Stored",AH!$P$10&lt;&gt;1)),"",IFERROR(IF(AND(AH!$P$21=1,1773+1=AH!$P$11),TODAY(),IF(AH!$P$10=1,INDEX('Live History'!$A$5:$A$3004,AH!$P$13+1773),INDEX('AH History'!$A$1:$A$18046,AH!$P$7+1773))),""))</ns0:f>
        <ns0:v/>
      </ns0:c>
      <ns0:c r="B1778" s="219">
        <ns0:f>IFERROR(IF(AND(AH!$P$9&lt;&gt;1,$C1778&gt;0,$D1778&gt;0,$E1778&gt;0,$F1778&gt;0,$G1778&gt;0,$F1778&lt;=$A1778,$G1778&lt;=$A1778,$A1778-$F1778&lt;=10,$A1778-$G1778&lt;=5),$D1778*$E1778/$C1778-1,NA()),NA())</ns0:f>
        <ns0:v/>
      </ns0:c>
      <ns0:c r="C1778">
        <ns0:f>IFERROR(IF(ISNUMBER($A1778),IF(AND(AH!$P$10=1,AH!$P$12=1,$A1778=TODAY()),AH!$P$19,IF(AH!$P$10=1,INDEX('Live History'!$B$5:$B$3004,AH!$P$13+1773),INDEX('AH History'!$B$1:$B$18046,AH!$P$7+1773))),NA()),NA())</ns0:f>
        <ns0:v/>
      </ns0:c>
      <ns0:c r="D1778">
        <ns0:f>IFERROR(IF(ISNUMBER($A1778),IF(AND(AH!$P$10=1,AH!$P$12=1,$A1778=TODAY()),AH!$P$18,IF(AH!$P$10=1,INDEX('Live History'!$E$5:$E$3004,MATCH($A1778,'Live History'!$D$5:$D$3004,1)),INDEX('AH History'!$C$1:$C$18046,AH!$P$7+1773))),NA()),NA())</ns0:f>
        <ns0:v/>
      </ns0:c>
      <ns0:c r="E1778">
        <ns0:f>IFERROR(IF(ISNUMBER($A1778),IF(AND(AH!$P$10=1,AH!$P$12=1,$A1778=TODAY()),AH!$P$20,IF(AH!$P$10=1,INDEX('Live History'!$H$5:$H$3004,MATCH($A1778,'Live History'!$G$5:$G$3004,1)),INDEX('AH History'!$D$1:$D$18046,AH!$P$7+1773))),NA()),NA())</ns0:f>
        <ns0:v/>
      </ns0:c>
      <ns0:c r="F1778">
        <ns0:f>IFERROR(IF(ISNUMBER($A1778),IF(AND(AH!$P$10=1,AH!$P$12=1,$A1778=TODAY()),IF(AND(AH!$P$10=1,AH!$P$12=1,$A1778=TODAY()),TODAY(),NA()),IF(AH!$P$10=1,INDEX('Live History'!$D$5:$D$3004,MATCH($A1778,'Live History'!$D$5:$D$3004,1)),INDEX('AH History'!$E$1:$E$18046,AH!$P$7+1773))),NA()),NA())</ns0:f>
        <ns0:v/>
      </ns0:c>
      <ns0:c r="G1778">
        <ns0:f>IFERROR(IF(ISNUMBER($A1778),IF(AND(AH!$P$10=1,AH!$P$12=1,$A1778=TODAY()),IF(AND(AH!$P$10=1,AH!$P$12=1,$A1778=TODAY()),TODAY(),NA()),IF(AH!$P$10=1,INDEX('Live History'!$G$5:$G$3004,MATCH($A1778,'Live History'!$G$5:$G$3004,1)),INDEX('AH History'!$F$1:$F$18046,AH!$P$7+1773))),NA()),NA())</ns0:f>
        <ns0:v/>
      </ns0:c>
      <ns0:c r="H1778">
        <ns0:f>IFERROR(IF(AND(AH!$E$4="Bloomberg",AH!$P$10=1,ISNUMBER($A1778),$A1778&lt;=AH!$P$17),AH!$P$7-1+MATCH($A1778,INDEX('AH History'!$A$1:$A$18046,AH!$P$7):INDEX('AH History'!$A$1:$A$18046,AH!$P$7+AH!$P$8-1),0),0),0)</ns0:f>
        <ns0:v/>
      </ns0:c>
      <ns0:c r="I1778">
        <ns0:f>IF($H1778=0,0,IFERROR(IF(AND(ABS($C1778-INDEX('AH History'!$B$1:$B$18046,$H1778))&lt;=MAX(0.005,ABS(INDEX('AH History'!$B$1:$B$18046,$H1778))*0.00005),ABS($D1778-INDEX('AH History'!$C$1:$C$18046,$H1778))&lt;=MAX(0.005,ABS(INDEX('AH History'!$C$1:$C$18046,$H1778))*0.00005),ABS($E1778-INDEX('AH History'!$D$1:$D$18046,$H1778))&lt;=0.00005,$F1778=INDEX('AH History'!$E$1:$E$18046,$H1778),$G1778=INDEX('AH History'!$F$1:$F$18046,$H1778)),1,-1),-1))</ns0:f>
        <ns0:v/>
      </ns0:c>
    </ns0:row>
    <ns0:row r="1779">
      <ns0:c r="A1779" s="215">
        <ns0:f>IF(OR(AH!$P$3=0,1774+1&gt;AH!$P$11,AND(AH!$E$4&lt;&gt;"Stored",AH!$P$10&lt;&gt;1)),"",IFERROR(IF(AND(AH!$P$21=1,1774+1=AH!$P$11),TODAY(),IF(AH!$P$10=1,INDEX('Live History'!$A$5:$A$3004,AH!$P$13+1774),INDEX('AH History'!$A$1:$A$18046,AH!$P$7+1774))),""))</ns0:f>
        <ns0:v/>
      </ns0:c>
      <ns0:c r="B1779" s="219">
        <ns0:f>IFERROR(IF(AND(AH!$P$9&lt;&gt;1,$C1779&gt;0,$D1779&gt;0,$E1779&gt;0,$F1779&gt;0,$G1779&gt;0,$F1779&lt;=$A1779,$G1779&lt;=$A1779,$A1779-$F1779&lt;=10,$A1779-$G1779&lt;=5),$D1779*$E1779/$C1779-1,NA()),NA())</ns0:f>
        <ns0:v/>
      </ns0:c>
      <ns0:c r="C1779">
        <ns0:f>IFERROR(IF(ISNUMBER($A1779),IF(AND(AH!$P$10=1,AH!$P$12=1,$A1779=TODAY()),AH!$P$19,IF(AH!$P$10=1,INDEX('Live History'!$B$5:$B$3004,AH!$P$13+1774),INDEX('AH History'!$B$1:$B$18046,AH!$P$7+1774))),NA()),NA())</ns0:f>
        <ns0:v/>
      </ns0:c>
      <ns0:c r="D1779">
        <ns0:f>IFERROR(IF(ISNUMBER($A1779),IF(AND(AH!$P$10=1,AH!$P$12=1,$A1779=TODAY()),AH!$P$18,IF(AH!$P$10=1,INDEX('Live History'!$E$5:$E$3004,MATCH($A1779,'Live History'!$D$5:$D$3004,1)),INDEX('AH History'!$C$1:$C$18046,AH!$P$7+1774))),NA()),NA())</ns0:f>
        <ns0:v/>
      </ns0:c>
      <ns0:c r="E1779">
        <ns0:f>IFERROR(IF(ISNUMBER($A1779),IF(AND(AH!$P$10=1,AH!$P$12=1,$A1779=TODAY()),AH!$P$20,IF(AH!$P$10=1,INDEX('Live History'!$H$5:$H$3004,MATCH($A1779,'Live History'!$G$5:$G$3004,1)),INDEX('AH History'!$D$1:$D$18046,AH!$P$7+1774))),NA()),NA())</ns0:f>
        <ns0:v/>
      </ns0:c>
      <ns0:c r="F1779">
        <ns0:f>IFERROR(IF(ISNUMBER($A1779),IF(AND(AH!$P$10=1,AH!$P$12=1,$A1779=TODAY()),IF(AND(AH!$P$10=1,AH!$P$12=1,$A1779=TODAY()),TODAY(),NA()),IF(AH!$P$10=1,INDEX('Live History'!$D$5:$D$3004,MATCH($A1779,'Live History'!$D$5:$D$3004,1)),INDEX('AH History'!$E$1:$E$18046,AH!$P$7+1774))),NA()),NA())</ns0:f>
        <ns0:v/>
      </ns0:c>
      <ns0:c r="G1779">
        <ns0:f>IFERROR(IF(ISNUMBER($A1779),IF(AND(AH!$P$10=1,AH!$P$12=1,$A1779=TODAY()),IF(AND(AH!$P$10=1,AH!$P$12=1,$A1779=TODAY()),TODAY(),NA()),IF(AH!$P$10=1,INDEX('Live History'!$G$5:$G$3004,MATCH($A1779,'Live History'!$G$5:$G$3004,1)),INDEX('AH History'!$F$1:$F$18046,AH!$P$7+1774))),NA()),NA())</ns0:f>
        <ns0:v/>
      </ns0:c>
      <ns0:c r="H1779">
        <ns0:f>IFERROR(IF(AND(AH!$E$4="Bloomberg",AH!$P$10=1,ISNUMBER($A1779),$A1779&lt;=AH!$P$17),AH!$P$7-1+MATCH($A1779,INDEX('AH History'!$A$1:$A$18046,AH!$P$7):INDEX('AH History'!$A$1:$A$18046,AH!$P$7+AH!$P$8-1),0),0),0)</ns0:f>
        <ns0:v/>
      </ns0:c>
      <ns0:c r="I1779">
        <ns0:f>IF($H1779=0,0,IFERROR(IF(AND(ABS($C1779-INDEX('AH History'!$B$1:$B$18046,$H1779))&lt;=MAX(0.005,ABS(INDEX('AH History'!$B$1:$B$18046,$H1779))*0.00005),ABS($D1779-INDEX('AH History'!$C$1:$C$18046,$H1779))&lt;=MAX(0.005,ABS(INDEX('AH History'!$C$1:$C$18046,$H1779))*0.00005),ABS($E1779-INDEX('AH History'!$D$1:$D$18046,$H1779))&lt;=0.00005,$F1779=INDEX('AH History'!$E$1:$E$18046,$H1779),$G1779=INDEX('AH History'!$F$1:$F$18046,$H1779)),1,-1),-1))</ns0:f>
        <ns0:v/>
      </ns0:c>
    </ns0:row>
    <ns0:row r="1780">
      <ns0:c r="A1780" s="215">
        <ns0:f>IF(OR(AH!$P$3=0,1775+1&gt;AH!$P$11,AND(AH!$E$4&lt;&gt;"Stored",AH!$P$10&lt;&gt;1)),"",IFERROR(IF(AND(AH!$P$21=1,1775+1=AH!$P$11),TODAY(),IF(AH!$P$10=1,INDEX('Live History'!$A$5:$A$3004,AH!$P$13+1775),INDEX('AH History'!$A$1:$A$18046,AH!$P$7+1775))),""))</ns0:f>
        <ns0:v/>
      </ns0:c>
      <ns0:c r="B1780" s="219">
        <ns0:f>IFERROR(IF(AND(AH!$P$9&lt;&gt;1,$C1780&gt;0,$D1780&gt;0,$E1780&gt;0,$F1780&gt;0,$G1780&gt;0,$F1780&lt;=$A1780,$G1780&lt;=$A1780,$A1780-$F1780&lt;=10,$A1780-$G1780&lt;=5),$D1780*$E1780/$C1780-1,NA()),NA())</ns0:f>
        <ns0:v/>
      </ns0:c>
      <ns0:c r="C1780">
        <ns0:f>IFERROR(IF(ISNUMBER($A1780),IF(AND(AH!$P$10=1,AH!$P$12=1,$A1780=TODAY()),AH!$P$19,IF(AH!$P$10=1,INDEX('Live History'!$B$5:$B$3004,AH!$P$13+1775),INDEX('AH History'!$B$1:$B$18046,AH!$P$7+1775))),NA()),NA())</ns0:f>
        <ns0:v/>
      </ns0:c>
      <ns0:c r="D1780">
        <ns0:f>IFERROR(IF(ISNUMBER($A1780),IF(AND(AH!$P$10=1,AH!$P$12=1,$A1780=TODAY()),AH!$P$18,IF(AH!$P$10=1,INDEX('Live History'!$E$5:$E$3004,MATCH($A1780,'Live History'!$D$5:$D$3004,1)),INDEX('AH History'!$C$1:$C$18046,AH!$P$7+1775))),NA()),NA())</ns0:f>
        <ns0:v/>
      </ns0:c>
      <ns0:c r="E1780">
        <ns0:f>IFERROR(IF(ISNUMBER($A1780),IF(AND(AH!$P$10=1,AH!$P$12=1,$A1780=TODAY()),AH!$P$20,IF(AH!$P$10=1,INDEX('Live History'!$H$5:$H$3004,MATCH($A1780,'Live History'!$G$5:$G$3004,1)),INDEX('AH History'!$D$1:$D$18046,AH!$P$7+1775))),NA()),NA())</ns0:f>
        <ns0:v/>
      </ns0:c>
      <ns0:c r="F1780">
        <ns0:f>IFERROR(IF(ISNUMBER($A1780),IF(AND(AH!$P$10=1,AH!$P$12=1,$A1780=TODAY()),IF(AND(AH!$P$10=1,AH!$P$12=1,$A1780=TODAY()),TODAY(),NA()),IF(AH!$P$10=1,INDEX('Live History'!$D$5:$D$3004,MATCH($A1780,'Live History'!$D$5:$D$3004,1)),INDEX('AH History'!$E$1:$E$18046,AH!$P$7+1775))),NA()),NA())</ns0:f>
        <ns0:v/>
      </ns0:c>
      <ns0:c r="G1780">
        <ns0:f>IFERROR(IF(ISNUMBER($A1780),IF(AND(AH!$P$10=1,AH!$P$12=1,$A1780=TODAY()),IF(AND(AH!$P$10=1,AH!$P$12=1,$A1780=TODAY()),TODAY(),NA()),IF(AH!$P$10=1,INDEX('Live History'!$G$5:$G$3004,MATCH($A1780,'Live History'!$G$5:$G$3004,1)),INDEX('AH History'!$F$1:$F$18046,AH!$P$7+1775))),NA()),NA())</ns0:f>
        <ns0:v/>
      </ns0:c>
      <ns0:c r="H1780">
        <ns0:f>IFERROR(IF(AND(AH!$E$4="Bloomberg",AH!$P$10=1,ISNUMBER($A1780),$A1780&lt;=AH!$P$17),AH!$P$7-1+MATCH($A1780,INDEX('AH History'!$A$1:$A$18046,AH!$P$7):INDEX('AH History'!$A$1:$A$18046,AH!$P$7+AH!$P$8-1),0),0),0)</ns0:f>
        <ns0:v/>
      </ns0:c>
      <ns0:c r="I1780">
        <ns0:f>IF($H1780=0,0,IFERROR(IF(AND(ABS($C1780-INDEX('AH History'!$B$1:$B$18046,$H1780))&lt;=MAX(0.005,ABS(INDEX('AH History'!$B$1:$B$18046,$H1780))*0.00005),ABS($D1780-INDEX('AH History'!$C$1:$C$18046,$H1780))&lt;=MAX(0.005,ABS(INDEX('AH History'!$C$1:$C$18046,$H1780))*0.00005),ABS($E1780-INDEX('AH History'!$D$1:$D$18046,$H1780))&lt;=0.00005,$F1780=INDEX('AH History'!$E$1:$E$18046,$H1780),$G1780=INDEX('AH History'!$F$1:$F$18046,$H1780)),1,-1),-1))</ns0:f>
        <ns0:v/>
      </ns0:c>
    </ns0:row>
    <ns0:row r="1781">
      <ns0:c r="A1781" s="215">
        <ns0:f>IF(OR(AH!$P$3=0,1776+1&gt;AH!$P$11,AND(AH!$E$4&lt;&gt;"Stored",AH!$P$10&lt;&gt;1)),"",IFERROR(IF(AND(AH!$P$21=1,1776+1=AH!$P$11),TODAY(),IF(AH!$P$10=1,INDEX('Live History'!$A$5:$A$3004,AH!$P$13+1776),INDEX('AH History'!$A$1:$A$18046,AH!$P$7+1776))),""))</ns0:f>
        <ns0:v/>
      </ns0:c>
      <ns0:c r="B1781" s="219">
        <ns0:f>IFERROR(IF(AND(AH!$P$9&lt;&gt;1,$C1781&gt;0,$D1781&gt;0,$E1781&gt;0,$F1781&gt;0,$G1781&gt;0,$F1781&lt;=$A1781,$G1781&lt;=$A1781,$A1781-$F1781&lt;=10,$A1781-$G1781&lt;=5),$D1781*$E1781/$C1781-1,NA()),NA())</ns0:f>
        <ns0:v/>
      </ns0:c>
      <ns0:c r="C1781">
        <ns0:f>IFERROR(IF(ISNUMBER($A1781),IF(AND(AH!$P$10=1,AH!$P$12=1,$A1781=TODAY()),AH!$P$19,IF(AH!$P$10=1,INDEX('Live History'!$B$5:$B$3004,AH!$P$13+1776),INDEX('AH History'!$B$1:$B$18046,AH!$P$7+1776))),NA()),NA())</ns0:f>
        <ns0:v/>
      </ns0:c>
      <ns0:c r="D1781">
        <ns0:f>IFERROR(IF(ISNUMBER($A1781),IF(AND(AH!$P$10=1,AH!$P$12=1,$A1781=TODAY()),AH!$P$18,IF(AH!$P$10=1,INDEX('Live History'!$E$5:$E$3004,MATCH($A1781,'Live History'!$D$5:$D$3004,1)),INDEX('AH History'!$C$1:$C$18046,AH!$P$7+1776))),NA()),NA())</ns0:f>
        <ns0:v/>
      </ns0:c>
      <ns0:c r="E1781">
        <ns0:f>IFERROR(IF(ISNUMBER($A1781),IF(AND(AH!$P$10=1,AH!$P$12=1,$A1781=TODAY()),AH!$P$20,IF(AH!$P$10=1,INDEX('Live History'!$H$5:$H$3004,MATCH($A1781,'Live History'!$G$5:$G$3004,1)),INDEX('AH History'!$D$1:$D$18046,AH!$P$7+1776))),NA()),NA())</ns0:f>
        <ns0:v/>
      </ns0:c>
      <ns0:c r="F1781">
        <ns0:f>IFERROR(IF(ISNUMBER($A1781),IF(AND(AH!$P$10=1,AH!$P$12=1,$A1781=TODAY()),IF(AND(AH!$P$10=1,AH!$P$12=1,$A1781=TODAY()),TODAY(),NA()),IF(AH!$P$10=1,INDEX('Live History'!$D$5:$D$3004,MATCH($A1781,'Live History'!$D$5:$D$3004,1)),INDEX('AH History'!$E$1:$E$18046,AH!$P$7+1776))),NA()),NA())</ns0:f>
        <ns0:v/>
      </ns0:c>
      <ns0:c r="G1781">
        <ns0:f>IFERROR(IF(ISNUMBER($A1781),IF(AND(AH!$P$10=1,AH!$P$12=1,$A1781=TODAY()),IF(AND(AH!$P$10=1,AH!$P$12=1,$A1781=TODAY()),TODAY(),NA()),IF(AH!$P$10=1,INDEX('Live History'!$G$5:$G$3004,MATCH($A1781,'Live History'!$G$5:$G$3004,1)),INDEX('AH History'!$F$1:$F$18046,AH!$P$7+1776))),NA()),NA())</ns0:f>
        <ns0:v/>
      </ns0:c>
      <ns0:c r="H1781">
        <ns0:f>IFERROR(IF(AND(AH!$E$4="Bloomberg",AH!$P$10=1,ISNUMBER($A1781),$A1781&lt;=AH!$P$17),AH!$P$7-1+MATCH($A1781,INDEX('AH History'!$A$1:$A$18046,AH!$P$7):INDEX('AH History'!$A$1:$A$18046,AH!$P$7+AH!$P$8-1),0),0),0)</ns0:f>
        <ns0:v/>
      </ns0:c>
      <ns0:c r="I1781">
        <ns0:f>IF($H1781=0,0,IFERROR(IF(AND(ABS($C1781-INDEX('AH History'!$B$1:$B$18046,$H1781))&lt;=MAX(0.005,ABS(INDEX('AH History'!$B$1:$B$18046,$H1781))*0.00005),ABS($D1781-INDEX('AH History'!$C$1:$C$18046,$H1781))&lt;=MAX(0.005,ABS(INDEX('AH History'!$C$1:$C$18046,$H1781))*0.00005),ABS($E1781-INDEX('AH History'!$D$1:$D$18046,$H1781))&lt;=0.00005,$F1781=INDEX('AH History'!$E$1:$E$18046,$H1781),$G1781=INDEX('AH History'!$F$1:$F$18046,$H1781)),1,-1),-1))</ns0:f>
        <ns0:v/>
      </ns0:c>
    </ns0:row>
    <ns0:row r="1782">
      <ns0:c r="A1782" s="215">
        <ns0:f>IF(OR(AH!$P$3=0,1777+1&gt;AH!$P$11,AND(AH!$E$4&lt;&gt;"Stored",AH!$P$10&lt;&gt;1)),"",IFERROR(IF(AND(AH!$P$21=1,1777+1=AH!$P$11),TODAY(),IF(AH!$P$10=1,INDEX('Live History'!$A$5:$A$3004,AH!$P$13+1777),INDEX('AH History'!$A$1:$A$18046,AH!$P$7+1777))),""))</ns0:f>
        <ns0:v/>
      </ns0:c>
      <ns0:c r="B1782" s="219">
        <ns0:f>IFERROR(IF(AND(AH!$P$9&lt;&gt;1,$C1782&gt;0,$D1782&gt;0,$E1782&gt;0,$F1782&gt;0,$G1782&gt;0,$F1782&lt;=$A1782,$G1782&lt;=$A1782,$A1782-$F1782&lt;=10,$A1782-$G1782&lt;=5),$D1782*$E1782/$C1782-1,NA()),NA())</ns0:f>
        <ns0:v/>
      </ns0:c>
      <ns0:c r="C1782">
        <ns0:f>IFERROR(IF(ISNUMBER($A1782),IF(AND(AH!$P$10=1,AH!$P$12=1,$A1782=TODAY()),AH!$P$19,IF(AH!$P$10=1,INDEX('Live History'!$B$5:$B$3004,AH!$P$13+1777),INDEX('AH History'!$B$1:$B$18046,AH!$P$7+1777))),NA()),NA())</ns0:f>
        <ns0:v/>
      </ns0:c>
      <ns0:c r="D1782">
        <ns0:f>IFERROR(IF(ISNUMBER($A1782),IF(AND(AH!$P$10=1,AH!$P$12=1,$A1782=TODAY()),AH!$P$18,IF(AH!$P$10=1,INDEX('Live History'!$E$5:$E$3004,MATCH($A1782,'Live History'!$D$5:$D$3004,1)),INDEX('AH History'!$C$1:$C$18046,AH!$P$7+1777))),NA()),NA())</ns0:f>
        <ns0:v/>
      </ns0:c>
      <ns0:c r="E1782">
        <ns0:f>IFERROR(IF(ISNUMBER($A1782),IF(AND(AH!$P$10=1,AH!$P$12=1,$A1782=TODAY()),AH!$P$20,IF(AH!$P$10=1,INDEX('Live History'!$H$5:$H$3004,MATCH($A1782,'Live History'!$G$5:$G$3004,1)),INDEX('AH History'!$D$1:$D$18046,AH!$P$7+1777))),NA()),NA())</ns0:f>
        <ns0:v/>
      </ns0:c>
      <ns0:c r="F1782">
        <ns0:f>IFERROR(IF(ISNUMBER($A1782),IF(AND(AH!$P$10=1,AH!$P$12=1,$A1782=TODAY()),IF(AND(AH!$P$10=1,AH!$P$12=1,$A1782=TODAY()),TODAY(),NA()),IF(AH!$P$10=1,INDEX('Live History'!$D$5:$D$3004,MATCH($A1782,'Live History'!$D$5:$D$3004,1)),INDEX('AH History'!$E$1:$E$18046,AH!$P$7+1777))),NA()),NA())</ns0:f>
        <ns0:v/>
      </ns0:c>
      <ns0:c r="G1782">
        <ns0:f>IFERROR(IF(ISNUMBER($A1782),IF(AND(AH!$P$10=1,AH!$P$12=1,$A1782=TODAY()),IF(AND(AH!$P$10=1,AH!$P$12=1,$A1782=TODAY()),TODAY(),NA()),IF(AH!$P$10=1,INDEX('Live History'!$G$5:$G$3004,MATCH($A1782,'Live History'!$G$5:$G$3004,1)),INDEX('AH History'!$F$1:$F$18046,AH!$P$7+1777))),NA()),NA())</ns0:f>
        <ns0:v/>
      </ns0:c>
      <ns0:c r="H1782">
        <ns0:f>IFERROR(IF(AND(AH!$E$4="Bloomberg",AH!$P$10=1,ISNUMBER($A1782),$A1782&lt;=AH!$P$17),AH!$P$7-1+MATCH($A1782,INDEX('AH History'!$A$1:$A$18046,AH!$P$7):INDEX('AH History'!$A$1:$A$18046,AH!$P$7+AH!$P$8-1),0),0),0)</ns0:f>
        <ns0:v/>
      </ns0:c>
      <ns0:c r="I1782">
        <ns0:f>IF($H1782=0,0,IFERROR(IF(AND(ABS($C1782-INDEX('AH History'!$B$1:$B$18046,$H1782))&lt;=MAX(0.005,ABS(INDEX('AH History'!$B$1:$B$18046,$H1782))*0.00005),ABS($D1782-INDEX('AH History'!$C$1:$C$18046,$H1782))&lt;=MAX(0.005,ABS(INDEX('AH History'!$C$1:$C$18046,$H1782))*0.00005),ABS($E1782-INDEX('AH History'!$D$1:$D$18046,$H1782))&lt;=0.00005,$F1782=INDEX('AH History'!$E$1:$E$18046,$H1782),$G1782=INDEX('AH History'!$F$1:$F$18046,$H1782)),1,-1),-1))</ns0:f>
        <ns0:v/>
      </ns0:c>
    </ns0:row>
    <ns0:row r="1783">
      <ns0:c r="A1783" s="215">
        <ns0:f>IF(OR(AH!$P$3=0,1778+1&gt;AH!$P$11,AND(AH!$E$4&lt;&gt;"Stored",AH!$P$10&lt;&gt;1)),"",IFERROR(IF(AND(AH!$P$21=1,1778+1=AH!$P$11),TODAY(),IF(AH!$P$10=1,INDEX('Live History'!$A$5:$A$3004,AH!$P$13+1778),INDEX('AH History'!$A$1:$A$18046,AH!$P$7+1778))),""))</ns0:f>
        <ns0:v/>
      </ns0:c>
      <ns0:c r="B1783" s="219">
        <ns0:f>IFERROR(IF(AND(AH!$P$9&lt;&gt;1,$C1783&gt;0,$D1783&gt;0,$E1783&gt;0,$F1783&gt;0,$G1783&gt;0,$F1783&lt;=$A1783,$G1783&lt;=$A1783,$A1783-$F1783&lt;=10,$A1783-$G1783&lt;=5),$D1783*$E1783/$C1783-1,NA()),NA())</ns0:f>
        <ns0:v/>
      </ns0:c>
      <ns0:c r="C1783">
        <ns0:f>IFERROR(IF(ISNUMBER($A1783),IF(AND(AH!$P$10=1,AH!$P$12=1,$A1783=TODAY()),AH!$P$19,IF(AH!$P$10=1,INDEX('Live History'!$B$5:$B$3004,AH!$P$13+1778),INDEX('AH History'!$B$1:$B$18046,AH!$P$7+1778))),NA()),NA())</ns0:f>
        <ns0:v/>
      </ns0:c>
      <ns0:c r="D1783">
        <ns0:f>IFERROR(IF(ISNUMBER($A1783),IF(AND(AH!$P$10=1,AH!$P$12=1,$A1783=TODAY()),AH!$P$18,IF(AH!$P$10=1,INDEX('Live History'!$E$5:$E$3004,MATCH($A1783,'Live History'!$D$5:$D$3004,1)),INDEX('AH History'!$C$1:$C$18046,AH!$P$7+1778))),NA()),NA())</ns0:f>
        <ns0:v/>
      </ns0:c>
      <ns0:c r="E1783">
        <ns0:f>IFERROR(IF(ISNUMBER($A1783),IF(AND(AH!$P$10=1,AH!$P$12=1,$A1783=TODAY()),AH!$P$20,IF(AH!$P$10=1,INDEX('Live History'!$H$5:$H$3004,MATCH($A1783,'Live History'!$G$5:$G$3004,1)),INDEX('AH History'!$D$1:$D$18046,AH!$P$7+1778))),NA()),NA())</ns0:f>
        <ns0:v/>
      </ns0:c>
      <ns0:c r="F1783">
        <ns0:f>IFERROR(IF(ISNUMBER($A1783),IF(AND(AH!$P$10=1,AH!$P$12=1,$A1783=TODAY()),IF(AND(AH!$P$10=1,AH!$P$12=1,$A1783=TODAY()),TODAY(),NA()),IF(AH!$P$10=1,INDEX('Live History'!$D$5:$D$3004,MATCH($A1783,'Live History'!$D$5:$D$3004,1)),INDEX('AH History'!$E$1:$E$18046,AH!$P$7+1778))),NA()),NA())</ns0:f>
        <ns0:v/>
      </ns0:c>
      <ns0:c r="G1783">
        <ns0:f>IFERROR(IF(ISNUMBER($A1783),IF(AND(AH!$P$10=1,AH!$P$12=1,$A1783=TODAY()),IF(AND(AH!$P$10=1,AH!$P$12=1,$A1783=TODAY()),TODAY(),NA()),IF(AH!$P$10=1,INDEX('Live History'!$G$5:$G$3004,MATCH($A1783,'Live History'!$G$5:$G$3004,1)),INDEX('AH History'!$F$1:$F$18046,AH!$P$7+1778))),NA()),NA())</ns0:f>
        <ns0:v/>
      </ns0:c>
      <ns0:c r="H1783">
        <ns0:f>IFERROR(IF(AND(AH!$E$4="Bloomberg",AH!$P$10=1,ISNUMBER($A1783),$A1783&lt;=AH!$P$17),AH!$P$7-1+MATCH($A1783,INDEX('AH History'!$A$1:$A$18046,AH!$P$7):INDEX('AH History'!$A$1:$A$18046,AH!$P$7+AH!$P$8-1),0),0),0)</ns0:f>
        <ns0:v/>
      </ns0:c>
      <ns0:c r="I1783">
        <ns0:f>IF($H1783=0,0,IFERROR(IF(AND(ABS($C1783-INDEX('AH History'!$B$1:$B$18046,$H1783))&lt;=MAX(0.005,ABS(INDEX('AH History'!$B$1:$B$18046,$H1783))*0.00005),ABS($D1783-INDEX('AH History'!$C$1:$C$18046,$H1783))&lt;=MAX(0.005,ABS(INDEX('AH History'!$C$1:$C$18046,$H1783))*0.00005),ABS($E1783-INDEX('AH History'!$D$1:$D$18046,$H1783))&lt;=0.00005,$F1783=INDEX('AH History'!$E$1:$E$18046,$H1783),$G1783=INDEX('AH History'!$F$1:$F$18046,$H1783)),1,-1),-1))</ns0:f>
        <ns0:v/>
      </ns0:c>
    </ns0:row>
    <ns0:row r="1784">
      <ns0:c r="A1784" s="215">
        <ns0:f>IF(OR(AH!$P$3=0,1779+1&gt;AH!$P$11,AND(AH!$E$4&lt;&gt;"Stored",AH!$P$10&lt;&gt;1)),"",IFERROR(IF(AND(AH!$P$21=1,1779+1=AH!$P$11),TODAY(),IF(AH!$P$10=1,INDEX('Live History'!$A$5:$A$3004,AH!$P$13+1779),INDEX('AH History'!$A$1:$A$18046,AH!$P$7+1779))),""))</ns0:f>
        <ns0:v/>
      </ns0:c>
      <ns0:c r="B1784" s="219">
        <ns0:f>IFERROR(IF(AND(AH!$P$9&lt;&gt;1,$C1784&gt;0,$D1784&gt;0,$E1784&gt;0,$F1784&gt;0,$G1784&gt;0,$F1784&lt;=$A1784,$G1784&lt;=$A1784,$A1784-$F1784&lt;=10,$A1784-$G1784&lt;=5),$D1784*$E1784/$C1784-1,NA()),NA())</ns0:f>
        <ns0:v/>
      </ns0:c>
      <ns0:c r="C1784">
        <ns0:f>IFERROR(IF(ISNUMBER($A1784),IF(AND(AH!$P$10=1,AH!$P$12=1,$A1784=TODAY()),AH!$P$19,IF(AH!$P$10=1,INDEX('Live History'!$B$5:$B$3004,AH!$P$13+1779),INDEX('AH History'!$B$1:$B$18046,AH!$P$7+1779))),NA()),NA())</ns0:f>
        <ns0:v/>
      </ns0:c>
      <ns0:c r="D1784">
        <ns0:f>IFERROR(IF(ISNUMBER($A1784),IF(AND(AH!$P$10=1,AH!$P$12=1,$A1784=TODAY()),AH!$P$18,IF(AH!$P$10=1,INDEX('Live History'!$E$5:$E$3004,MATCH($A1784,'Live History'!$D$5:$D$3004,1)),INDEX('AH History'!$C$1:$C$18046,AH!$P$7+1779))),NA()),NA())</ns0:f>
        <ns0:v/>
      </ns0:c>
      <ns0:c r="E1784">
        <ns0:f>IFERROR(IF(ISNUMBER($A1784),IF(AND(AH!$P$10=1,AH!$P$12=1,$A1784=TODAY()),AH!$P$20,IF(AH!$P$10=1,INDEX('Live History'!$H$5:$H$3004,MATCH($A1784,'Live History'!$G$5:$G$3004,1)),INDEX('AH History'!$D$1:$D$18046,AH!$P$7+1779))),NA()),NA())</ns0:f>
        <ns0:v/>
      </ns0:c>
      <ns0:c r="F1784">
        <ns0:f>IFERROR(IF(ISNUMBER($A1784),IF(AND(AH!$P$10=1,AH!$P$12=1,$A1784=TODAY()),IF(AND(AH!$P$10=1,AH!$P$12=1,$A1784=TODAY()),TODAY(),NA()),IF(AH!$P$10=1,INDEX('Live History'!$D$5:$D$3004,MATCH($A1784,'Live History'!$D$5:$D$3004,1)),INDEX('AH History'!$E$1:$E$18046,AH!$P$7+1779))),NA()),NA())</ns0:f>
        <ns0:v/>
      </ns0:c>
      <ns0:c r="G1784">
        <ns0:f>IFERROR(IF(ISNUMBER($A1784),IF(AND(AH!$P$10=1,AH!$P$12=1,$A1784=TODAY()),IF(AND(AH!$P$10=1,AH!$P$12=1,$A1784=TODAY()),TODAY(),NA()),IF(AH!$P$10=1,INDEX('Live History'!$G$5:$G$3004,MATCH($A1784,'Live History'!$G$5:$G$3004,1)),INDEX('AH History'!$F$1:$F$18046,AH!$P$7+1779))),NA()),NA())</ns0:f>
        <ns0:v/>
      </ns0:c>
      <ns0:c r="H1784">
        <ns0:f>IFERROR(IF(AND(AH!$E$4="Bloomberg",AH!$P$10=1,ISNUMBER($A1784),$A1784&lt;=AH!$P$17),AH!$P$7-1+MATCH($A1784,INDEX('AH History'!$A$1:$A$18046,AH!$P$7):INDEX('AH History'!$A$1:$A$18046,AH!$P$7+AH!$P$8-1),0),0),0)</ns0:f>
        <ns0:v/>
      </ns0:c>
      <ns0:c r="I1784">
        <ns0:f>IF($H1784=0,0,IFERROR(IF(AND(ABS($C1784-INDEX('AH History'!$B$1:$B$18046,$H1784))&lt;=MAX(0.005,ABS(INDEX('AH History'!$B$1:$B$18046,$H1784))*0.00005),ABS($D1784-INDEX('AH History'!$C$1:$C$18046,$H1784))&lt;=MAX(0.005,ABS(INDEX('AH History'!$C$1:$C$18046,$H1784))*0.00005),ABS($E1784-INDEX('AH History'!$D$1:$D$18046,$H1784))&lt;=0.00005,$F1784=INDEX('AH History'!$E$1:$E$18046,$H1784),$G1784=INDEX('AH History'!$F$1:$F$18046,$H1784)),1,-1),-1))</ns0:f>
        <ns0:v/>
      </ns0:c>
    </ns0:row>
    <ns0:row r="1785">
      <ns0:c r="A1785" s="215">
        <ns0:f>IF(OR(AH!$P$3=0,1780+1&gt;AH!$P$11,AND(AH!$E$4&lt;&gt;"Stored",AH!$P$10&lt;&gt;1)),"",IFERROR(IF(AND(AH!$P$21=1,1780+1=AH!$P$11),TODAY(),IF(AH!$P$10=1,INDEX('Live History'!$A$5:$A$3004,AH!$P$13+1780),INDEX('AH History'!$A$1:$A$18046,AH!$P$7+1780))),""))</ns0:f>
        <ns0:v/>
      </ns0:c>
      <ns0:c r="B1785" s="219">
        <ns0:f>IFERROR(IF(AND(AH!$P$9&lt;&gt;1,$C1785&gt;0,$D1785&gt;0,$E1785&gt;0,$F1785&gt;0,$G1785&gt;0,$F1785&lt;=$A1785,$G1785&lt;=$A1785,$A1785-$F1785&lt;=10,$A1785-$G1785&lt;=5),$D1785*$E1785/$C1785-1,NA()),NA())</ns0:f>
        <ns0:v/>
      </ns0:c>
      <ns0:c r="C1785">
        <ns0:f>IFERROR(IF(ISNUMBER($A1785),IF(AND(AH!$P$10=1,AH!$P$12=1,$A1785=TODAY()),AH!$P$19,IF(AH!$P$10=1,INDEX('Live History'!$B$5:$B$3004,AH!$P$13+1780),INDEX('AH History'!$B$1:$B$18046,AH!$P$7+1780))),NA()),NA())</ns0:f>
        <ns0:v/>
      </ns0:c>
      <ns0:c r="D1785">
        <ns0:f>IFERROR(IF(ISNUMBER($A1785),IF(AND(AH!$P$10=1,AH!$P$12=1,$A1785=TODAY()),AH!$P$18,IF(AH!$P$10=1,INDEX('Live History'!$E$5:$E$3004,MATCH($A1785,'Live History'!$D$5:$D$3004,1)),INDEX('AH History'!$C$1:$C$18046,AH!$P$7+1780))),NA()),NA())</ns0:f>
        <ns0:v/>
      </ns0:c>
      <ns0:c r="E1785">
        <ns0:f>IFERROR(IF(ISNUMBER($A1785),IF(AND(AH!$P$10=1,AH!$P$12=1,$A1785=TODAY()),AH!$P$20,IF(AH!$P$10=1,INDEX('Live History'!$H$5:$H$3004,MATCH($A1785,'Live History'!$G$5:$G$3004,1)),INDEX('AH History'!$D$1:$D$18046,AH!$P$7+1780))),NA()),NA())</ns0:f>
        <ns0:v/>
      </ns0:c>
      <ns0:c r="F1785">
        <ns0:f>IFERROR(IF(ISNUMBER($A1785),IF(AND(AH!$P$10=1,AH!$P$12=1,$A1785=TODAY()),IF(AND(AH!$P$10=1,AH!$P$12=1,$A1785=TODAY()),TODAY(),NA()),IF(AH!$P$10=1,INDEX('Live History'!$D$5:$D$3004,MATCH($A1785,'Live History'!$D$5:$D$3004,1)),INDEX('AH History'!$E$1:$E$18046,AH!$P$7+1780))),NA()),NA())</ns0:f>
        <ns0:v/>
      </ns0:c>
      <ns0:c r="G1785">
        <ns0:f>IFERROR(IF(ISNUMBER($A1785),IF(AND(AH!$P$10=1,AH!$P$12=1,$A1785=TODAY()),IF(AND(AH!$P$10=1,AH!$P$12=1,$A1785=TODAY()),TODAY(),NA()),IF(AH!$P$10=1,INDEX('Live History'!$G$5:$G$3004,MATCH($A1785,'Live History'!$G$5:$G$3004,1)),INDEX('AH History'!$F$1:$F$18046,AH!$P$7+1780))),NA()),NA())</ns0:f>
        <ns0:v/>
      </ns0:c>
      <ns0:c r="H1785">
        <ns0:f>IFERROR(IF(AND(AH!$E$4="Bloomberg",AH!$P$10=1,ISNUMBER($A1785),$A1785&lt;=AH!$P$17),AH!$P$7-1+MATCH($A1785,INDEX('AH History'!$A$1:$A$18046,AH!$P$7):INDEX('AH History'!$A$1:$A$18046,AH!$P$7+AH!$P$8-1),0),0),0)</ns0:f>
        <ns0:v/>
      </ns0:c>
      <ns0:c r="I1785">
        <ns0:f>IF($H1785=0,0,IFERROR(IF(AND(ABS($C1785-INDEX('AH History'!$B$1:$B$18046,$H1785))&lt;=MAX(0.005,ABS(INDEX('AH History'!$B$1:$B$18046,$H1785))*0.00005),ABS($D1785-INDEX('AH History'!$C$1:$C$18046,$H1785))&lt;=MAX(0.005,ABS(INDEX('AH History'!$C$1:$C$18046,$H1785))*0.00005),ABS($E1785-INDEX('AH History'!$D$1:$D$18046,$H1785))&lt;=0.00005,$F1785=INDEX('AH History'!$E$1:$E$18046,$H1785),$G1785=INDEX('AH History'!$F$1:$F$18046,$H1785)),1,-1),-1))</ns0:f>
        <ns0:v/>
      </ns0:c>
    </ns0:row>
    <ns0:row r="1786">
      <ns0:c r="A1786" s="215">
        <ns0:f>IF(OR(AH!$P$3=0,1781+1&gt;AH!$P$11,AND(AH!$E$4&lt;&gt;"Stored",AH!$P$10&lt;&gt;1)),"",IFERROR(IF(AND(AH!$P$21=1,1781+1=AH!$P$11),TODAY(),IF(AH!$P$10=1,INDEX('Live History'!$A$5:$A$3004,AH!$P$13+1781),INDEX('AH History'!$A$1:$A$18046,AH!$P$7+1781))),""))</ns0:f>
        <ns0:v/>
      </ns0:c>
      <ns0:c r="B1786" s="219">
        <ns0:f>IFERROR(IF(AND(AH!$P$9&lt;&gt;1,$C1786&gt;0,$D1786&gt;0,$E1786&gt;0,$F1786&gt;0,$G1786&gt;0,$F1786&lt;=$A1786,$G1786&lt;=$A1786,$A1786-$F1786&lt;=10,$A1786-$G1786&lt;=5),$D1786*$E1786/$C1786-1,NA()),NA())</ns0:f>
        <ns0:v/>
      </ns0:c>
      <ns0:c r="C1786">
        <ns0:f>IFERROR(IF(ISNUMBER($A1786),IF(AND(AH!$P$10=1,AH!$P$12=1,$A1786=TODAY()),AH!$P$19,IF(AH!$P$10=1,INDEX('Live History'!$B$5:$B$3004,AH!$P$13+1781),INDEX('AH History'!$B$1:$B$18046,AH!$P$7+1781))),NA()),NA())</ns0:f>
        <ns0:v/>
      </ns0:c>
      <ns0:c r="D1786">
        <ns0:f>IFERROR(IF(ISNUMBER($A1786),IF(AND(AH!$P$10=1,AH!$P$12=1,$A1786=TODAY()),AH!$P$18,IF(AH!$P$10=1,INDEX('Live History'!$E$5:$E$3004,MATCH($A1786,'Live History'!$D$5:$D$3004,1)),INDEX('AH History'!$C$1:$C$18046,AH!$P$7+1781))),NA()),NA())</ns0:f>
        <ns0:v/>
      </ns0:c>
      <ns0:c r="E1786">
        <ns0:f>IFERROR(IF(ISNUMBER($A1786),IF(AND(AH!$P$10=1,AH!$P$12=1,$A1786=TODAY()),AH!$P$20,IF(AH!$P$10=1,INDEX('Live History'!$H$5:$H$3004,MATCH($A1786,'Live History'!$G$5:$G$3004,1)),INDEX('AH History'!$D$1:$D$18046,AH!$P$7+1781))),NA()),NA())</ns0:f>
        <ns0:v/>
      </ns0:c>
      <ns0:c r="F1786">
        <ns0:f>IFERROR(IF(ISNUMBER($A1786),IF(AND(AH!$P$10=1,AH!$P$12=1,$A1786=TODAY()),IF(AND(AH!$P$10=1,AH!$P$12=1,$A1786=TODAY()),TODAY(),NA()),IF(AH!$P$10=1,INDEX('Live History'!$D$5:$D$3004,MATCH($A1786,'Live History'!$D$5:$D$3004,1)),INDEX('AH History'!$E$1:$E$18046,AH!$P$7+1781))),NA()),NA())</ns0:f>
        <ns0:v/>
      </ns0:c>
      <ns0:c r="G1786">
        <ns0:f>IFERROR(IF(ISNUMBER($A1786),IF(AND(AH!$P$10=1,AH!$P$12=1,$A1786=TODAY()),IF(AND(AH!$P$10=1,AH!$P$12=1,$A1786=TODAY()),TODAY(),NA()),IF(AH!$P$10=1,INDEX('Live History'!$G$5:$G$3004,MATCH($A1786,'Live History'!$G$5:$G$3004,1)),INDEX('AH History'!$F$1:$F$18046,AH!$P$7+1781))),NA()),NA())</ns0:f>
        <ns0:v/>
      </ns0:c>
      <ns0:c r="H1786">
        <ns0:f>IFERROR(IF(AND(AH!$E$4="Bloomberg",AH!$P$10=1,ISNUMBER($A1786),$A1786&lt;=AH!$P$17),AH!$P$7-1+MATCH($A1786,INDEX('AH History'!$A$1:$A$18046,AH!$P$7):INDEX('AH History'!$A$1:$A$18046,AH!$P$7+AH!$P$8-1),0),0),0)</ns0:f>
        <ns0:v/>
      </ns0:c>
      <ns0:c r="I1786">
        <ns0:f>IF($H1786=0,0,IFERROR(IF(AND(ABS($C1786-INDEX('AH History'!$B$1:$B$18046,$H1786))&lt;=MAX(0.005,ABS(INDEX('AH History'!$B$1:$B$18046,$H1786))*0.00005),ABS($D1786-INDEX('AH History'!$C$1:$C$18046,$H1786))&lt;=MAX(0.005,ABS(INDEX('AH History'!$C$1:$C$18046,$H1786))*0.00005),ABS($E1786-INDEX('AH History'!$D$1:$D$18046,$H1786))&lt;=0.00005,$F1786=INDEX('AH History'!$E$1:$E$18046,$H1786),$G1786=INDEX('AH History'!$F$1:$F$18046,$H1786)),1,-1),-1))</ns0:f>
        <ns0:v/>
      </ns0:c>
    </ns0:row>
    <ns0:row r="1787">
      <ns0:c r="A1787" s="215">
        <ns0:f>IF(OR(AH!$P$3=0,1782+1&gt;AH!$P$11,AND(AH!$E$4&lt;&gt;"Stored",AH!$P$10&lt;&gt;1)),"",IFERROR(IF(AND(AH!$P$21=1,1782+1=AH!$P$11),TODAY(),IF(AH!$P$10=1,INDEX('Live History'!$A$5:$A$3004,AH!$P$13+1782),INDEX('AH History'!$A$1:$A$18046,AH!$P$7+1782))),""))</ns0:f>
        <ns0:v/>
      </ns0:c>
      <ns0:c r="B1787" s="219">
        <ns0:f>IFERROR(IF(AND(AH!$P$9&lt;&gt;1,$C1787&gt;0,$D1787&gt;0,$E1787&gt;0,$F1787&gt;0,$G1787&gt;0,$F1787&lt;=$A1787,$G1787&lt;=$A1787,$A1787-$F1787&lt;=10,$A1787-$G1787&lt;=5),$D1787*$E1787/$C1787-1,NA()),NA())</ns0:f>
        <ns0:v/>
      </ns0:c>
      <ns0:c r="C1787">
        <ns0:f>IFERROR(IF(ISNUMBER($A1787),IF(AND(AH!$P$10=1,AH!$P$12=1,$A1787=TODAY()),AH!$P$19,IF(AH!$P$10=1,INDEX('Live History'!$B$5:$B$3004,AH!$P$13+1782),INDEX('AH History'!$B$1:$B$18046,AH!$P$7+1782))),NA()),NA())</ns0:f>
        <ns0:v/>
      </ns0:c>
      <ns0:c r="D1787">
        <ns0:f>IFERROR(IF(ISNUMBER($A1787),IF(AND(AH!$P$10=1,AH!$P$12=1,$A1787=TODAY()),AH!$P$18,IF(AH!$P$10=1,INDEX('Live History'!$E$5:$E$3004,MATCH($A1787,'Live History'!$D$5:$D$3004,1)),INDEX('AH History'!$C$1:$C$18046,AH!$P$7+1782))),NA()),NA())</ns0:f>
        <ns0:v/>
      </ns0:c>
      <ns0:c r="E1787">
        <ns0:f>IFERROR(IF(ISNUMBER($A1787),IF(AND(AH!$P$10=1,AH!$P$12=1,$A1787=TODAY()),AH!$P$20,IF(AH!$P$10=1,INDEX('Live History'!$H$5:$H$3004,MATCH($A1787,'Live History'!$G$5:$G$3004,1)),INDEX('AH History'!$D$1:$D$18046,AH!$P$7+1782))),NA()),NA())</ns0:f>
        <ns0:v/>
      </ns0:c>
      <ns0:c r="F1787">
        <ns0:f>IFERROR(IF(ISNUMBER($A1787),IF(AND(AH!$P$10=1,AH!$P$12=1,$A1787=TODAY()),IF(AND(AH!$P$10=1,AH!$P$12=1,$A1787=TODAY()),TODAY(),NA()),IF(AH!$P$10=1,INDEX('Live History'!$D$5:$D$3004,MATCH($A1787,'Live History'!$D$5:$D$3004,1)),INDEX('AH History'!$E$1:$E$18046,AH!$P$7+1782))),NA()),NA())</ns0:f>
        <ns0:v/>
      </ns0:c>
      <ns0:c r="G1787">
        <ns0:f>IFERROR(IF(ISNUMBER($A1787),IF(AND(AH!$P$10=1,AH!$P$12=1,$A1787=TODAY()),IF(AND(AH!$P$10=1,AH!$P$12=1,$A1787=TODAY()),TODAY(),NA()),IF(AH!$P$10=1,INDEX('Live History'!$G$5:$G$3004,MATCH($A1787,'Live History'!$G$5:$G$3004,1)),INDEX('AH History'!$F$1:$F$18046,AH!$P$7+1782))),NA()),NA())</ns0:f>
        <ns0:v/>
      </ns0:c>
      <ns0:c r="H1787">
        <ns0:f>IFERROR(IF(AND(AH!$E$4="Bloomberg",AH!$P$10=1,ISNUMBER($A1787),$A1787&lt;=AH!$P$17),AH!$P$7-1+MATCH($A1787,INDEX('AH History'!$A$1:$A$18046,AH!$P$7):INDEX('AH History'!$A$1:$A$18046,AH!$P$7+AH!$P$8-1),0),0),0)</ns0:f>
        <ns0:v/>
      </ns0:c>
      <ns0:c r="I1787">
        <ns0:f>IF($H1787=0,0,IFERROR(IF(AND(ABS($C1787-INDEX('AH History'!$B$1:$B$18046,$H1787))&lt;=MAX(0.005,ABS(INDEX('AH History'!$B$1:$B$18046,$H1787))*0.00005),ABS($D1787-INDEX('AH History'!$C$1:$C$18046,$H1787))&lt;=MAX(0.005,ABS(INDEX('AH History'!$C$1:$C$18046,$H1787))*0.00005),ABS($E1787-INDEX('AH History'!$D$1:$D$18046,$H1787))&lt;=0.00005,$F1787=INDEX('AH History'!$E$1:$E$18046,$H1787),$G1787=INDEX('AH History'!$F$1:$F$18046,$H1787)),1,-1),-1))</ns0:f>
        <ns0:v/>
      </ns0:c>
    </ns0:row>
    <ns0:row r="1788">
      <ns0:c r="A1788" s="215">
        <ns0:f>IF(OR(AH!$P$3=0,1783+1&gt;AH!$P$11,AND(AH!$E$4&lt;&gt;"Stored",AH!$P$10&lt;&gt;1)),"",IFERROR(IF(AND(AH!$P$21=1,1783+1=AH!$P$11),TODAY(),IF(AH!$P$10=1,INDEX('Live History'!$A$5:$A$3004,AH!$P$13+1783),INDEX('AH History'!$A$1:$A$18046,AH!$P$7+1783))),""))</ns0:f>
        <ns0:v/>
      </ns0:c>
      <ns0:c r="B1788" s="219">
        <ns0:f>IFERROR(IF(AND(AH!$P$9&lt;&gt;1,$C1788&gt;0,$D1788&gt;0,$E1788&gt;0,$F1788&gt;0,$G1788&gt;0,$F1788&lt;=$A1788,$G1788&lt;=$A1788,$A1788-$F1788&lt;=10,$A1788-$G1788&lt;=5),$D1788*$E1788/$C1788-1,NA()),NA())</ns0:f>
        <ns0:v/>
      </ns0:c>
      <ns0:c r="C1788">
        <ns0:f>IFERROR(IF(ISNUMBER($A1788),IF(AND(AH!$P$10=1,AH!$P$12=1,$A1788=TODAY()),AH!$P$19,IF(AH!$P$10=1,INDEX('Live History'!$B$5:$B$3004,AH!$P$13+1783),INDEX('AH History'!$B$1:$B$18046,AH!$P$7+1783))),NA()),NA())</ns0:f>
        <ns0:v/>
      </ns0:c>
      <ns0:c r="D1788">
        <ns0:f>IFERROR(IF(ISNUMBER($A1788),IF(AND(AH!$P$10=1,AH!$P$12=1,$A1788=TODAY()),AH!$P$18,IF(AH!$P$10=1,INDEX('Live History'!$E$5:$E$3004,MATCH($A1788,'Live History'!$D$5:$D$3004,1)),INDEX('AH History'!$C$1:$C$18046,AH!$P$7+1783))),NA()),NA())</ns0:f>
        <ns0:v/>
      </ns0:c>
      <ns0:c r="E1788">
        <ns0:f>IFERROR(IF(ISNUMBER($A1788),IF(AND(AH!$P$10=1,AH!$P$12=1,$A1788=TODAY()),AH!$P$20,IF(AH!$P$10=1,INDEX('Live History'!$H$5:$H$3004,MATCH($A1788,'Live History'!$G$5:$G$3004,1)),INDEX('AH History'!$D$1:$D$18046,AH!$P$7+1783))),NA()),NA())</ns0:f>
        <ns0:v/>
      </ns0:c>
      <ns0:c r="F1788">
        <ns0:f>IFERROR(IF(ISNUMBER($A1788),IF(AND(AH!$P$10=1,AH!$P$12=1,$A1788=TODAY()),IF(AND(AH!$P$10=1,AH!$P$12=1,$A1788=TODAY()),TODAY(),NA()),IF(AH!$P$10=1,INDEX('Live History'!$D$5:$D$3004,MATCH($A1788,'Live History'!$D$5:$D$3004,1)),INDEX('AH History'!$E$1:$E$18046,AH!$P$7+1783))),NA()),NA())</ns0:f>
        <ns0:v/>
      </ns0:c>
      <ns0:c r="G1788">
        <ns0:f>IFERROR(IF(ISNUMBER($A1788),IF(AND(AH!$P$10=1,AH!$P$12=1,$A1788=TODAY()),IF(AND(AH!$P$10=1,AH!$P$12=1,$A1788=TODAY()),TODAY(),NA()),IF(AH!$P$10=1,INDEX('Live History'!$G$5:$G$3004,MATCH($A1788,'Live History'!$G$5:$G$3004,1)),INDEX('AH History'!$F$1:$F$18046,AH!$P$7+1783))),NA()),NA())</ns0:f>
        <ns0:v/>
      </ns0:c>
      <ns0:c r="H1788">
        <ns0:f>IFERROR(IF(AND(AH!$E$4="Bloomberg",AH!$P$10=1,ISNUMBER($A1788),$A1788&lt;=AH!$P$17),AH!$P$7-1+MATCH($A1788,INDEX('AH History'!$A$1:$A$18046,AH!$P$7):INDEX('AH History'!$A$1:$A$18046,AH!$P$7+AH!$P$8-1),0),0),0)</ns0:f>
        <ns0:v/>
      </ns0:c>
      <ns0:c r="I1788">
        <ns0:f>IF($H1788=0,0,IFERROR(IF(AND(ABS($C1788-INDEX('AH History'!$B$1:$B$18046,$H1788))&lt;=MAX(0.005,ABS(INDEX('AH History'!$B$1:$B$18046,$H1788))*0.00005),ABS($D1788-INDEX('AH History'!$C$1:$C$18046,$H1788))&lt;=MAX(0.005,ABS(INDEX('AH History'!$C$1:$C$18046,$H1788))*0.00005),ABS($E1788-INDEX('AH History'!$D$1:$D$18046,$H1788))&lt;=0.00005,$F1788=INDEX('AH History'!$E$1:$E$18046,$H1788),$G1788=INDEX('AH History'!$F$1:$F$18046,$H1788)),1,-1),-1))</ns0:f>
        <ns0:v/>
      </ns0:c>
    </ns0:row>
    <ns0:row r="1789">
      <ns0:c r="A1789" s="215">
        <ns0:f>IF(OR(AH!$P$3=0,1784+1&gt;AH!$P$11,AND(AH!$E$4&lt;&gt;"Stored",AH!$P$10&lt;&gt;1)),"",IFERROR(IF(AND(AH!$P$21=1,1784+1=AH!$P$11),TODAY(),IF(AH!$P$10=1,INDEX('Live History'!$A$5:$A$3004,AH!$P$13+1784),INDEX('AH History'!$A$1:$A$18046,AH!$P$7+1784))),""))</ns0:f>
        <ns0:v/>
      </ns0:c>
      <ns0:c r="B1789" s="219">
        <ns0:f>IFERROR(IF(AND(AH!$P$9&lt;&gt;1,$C1789&gt;0,$D1789&gt;0,$E1789&gt;0,$F1789&gt;0,$G1789&gt;0,$F1789&lt;=$A1789,$G1789&lt;=$A1789,$A1789-$F1789&lt;=10,$A1789-$G1789&lt;=5),$D1789*$E1789/$C1789-1,NA()),NA())</ns0:f>
        <ns0:v/>
      </ns0:c>
      <ns0:c r="C1789">
        <ns0:f>IFERROR(IF(ISNUMBER($A1789),IF(AND(AH!$P$10=1,AH!$P$12=1,$A1789=TODAY()),AH!$P$19,IF(AH!$P$10=1,INDEX('Live History'!$B$5:$B$3004,AH!$P$13+1784),INDEX('AH History'!$B$1:$B$18046,AH!$P$7+1784))),NA()),NA())</ns0:f>
        <ns0:v/>
      </ns0:c>
      <ns0:c r="D1789">
        <ns0:f>IFERROR(IF(ISNUMBER($A1789),IF(AND(AH!$P$10=1,AH!$P$12=1,$A1789=TODAY()),AH!$P$18,IF(AH!$P$10=1,INDEX('Live History'!$E$5:$E$3004,MATCH($A1789,'Live History'!$D$5:$D$3004,1)),INDEX('AH History'!$C$1:$C$18046,AH!$P$7+1784))),NA()),NA())</ns0:f>
        <ns0:v/>
      </ns0:c>
      <ns0:c r="E1789">
        <ns0:f>IFERROR(IF(ISNUMBER($A1789),IF(AND(AH!$P$10=1,AH!$P$12=1,$A1789=TODAY()),AH!$P$20,IF(AH!$P$10=1,INDEX('Live History'!$H$5:$H$3004,MATCH($A1789,'Live History'!$G$5:$G$3004,1)),INDEX('AH History'!$D$1:$D$18046,AH!$P$7+1784))),NA()),NA())</ns0:f>
        <ns0:v/>
      </ns0:c>
      <ns0:c r="F1789">
        <ns0:f>IFERROR(IF(ISNUMBER($A1789),IF(AND(AH!$P$10=1,AH!$P$12=1,$A1789=TODAY()),IF(AND(AH!$P$10=1,AH!$P$12=1,$A1789=TODAY()),TODAY(),NA()),IF(AH!$P$10=1,INDEX('Live History'!$D$5:$D$3004,MATCH($A1789,'Live History'!$D$5:$D$3004,1)),INDEX('AH History'!$E$1:$E$18046,AH!$P$7+1784))),NA()),NA())</ns0:f>
        <ns0:v/>
      </ns0:c>
      <ns0:c r="G1789">
        <ns0:f>IFERROR(IF(ISNUMBER($A1789),IF(AND(AH!$P$10=1,AH!$P$12=1,$A1789=TODAY()),IF(AND(AH!$P$10=1,AH!$P$12=1,$A1789=TODAY()),TODAY(),NA()),IF(AH!$P$10=1,INDEX('Live History'!$G$5:$G$3004,MATCH($A1789,'Live History'!$G$5:$G$3004,1)),INDEX('AH History'!$F$1:$F$18046,AH!$P$7+1784))),NA()),NA())</ns0:f>
        <ns0:v/>
      </ns0:c>
      <ns0:c r="H1789">
        <ns0:f>IFERROR(IF(AND(AH!$E$4="Bloomberg",AH!$P$10=1,ISNUMBER($A1789),$A1789&lt;=AH!$P$17),AH!$P$7-1+MATCH($A1789,INDEX('AH History'!$A$1:$A$18046,AH!$P$7):INDEX('AH History'!$A$1:$A$18046,AH!$P$7+AH!$P$8-1),0),0),0)</ns0:f>
        <ns0:v/>
      </ns0:c>
      <ns0:c r="I1789">
        <ns0:f>IF($H1789=0,0,IFERROR(IF(AND(ABS($C1789-INDEX('AH History'!$B$1:$B$18046,$H1789))&lt;=MAX(0.005,ABS(INDEX('AH History'!$B$1:$B$18046,$H1789))*0.00005),ABS($D1789-INDEX('AH History'!$C$1:$C$18046,$H1789))&lt;=MAX(0.005,ABS(INDEX('AH History'!$C$1:$C$18046,$H1789))*0.00005),ABS($E1789-INDEX('AH History'!$D$1:$D$18046,$H1789))&lt;=0.00005,$F1789=INDEX('AH History'!$E$1:$E$18046,$H1789),$G1789=INDEX('AH History'!$F$1:$F$18046,$H1789)),1,-1),-1))</ns0:f>
        <ns0:v/>
      </ns0:c>
    </ns0:row>
    <ns0:row r="1790">
      <ns0:c r="A1790" s="215">
        <ns0:f>IF(OR(AH!$P$3=0,1785+1&gt;AH!$P$11,AND(AH!$E$4&lt;&gt;"Stored",AH!$P$10&lt;&gt;1)),"",IFERROR(IF(AND(AH!$P$21=1,1785+1=AH!$P$11),TODAY(),IF(AH!$P$10=1,INDEX('Live History'!$A$5:$A$3004,AH!$P$13+1785),INDEX('AH History'!$A$1:$A$18046,AH!$P$7+1785))),""))</ns0:f>
        <ns0:v/>
      </ns0:c>
      <ns0:c r="B1790" s="219">
        <ns0:f>IFERROR(IF(AND(AH!$P$9&lt;&gt;1,$C1790&gt;0,$D1790&gt;0,$E1790&gt;0,$F1790&gt;0,$G1790&gt;0,$F1790&lt;=$A1790,$G1790&lt;=$A1790,$A1790-$F1790&lt;=10,$A1790-$G1790&lt;=5),$D1790*$E1790/$C1790-1,NA()),NA())</ns0:f>
        <ns0:v/>
      </ns0:c>
      <ns0:c r="C1790">
        <ns0:f>IFERROR(IF(ISNUMBER($A1790),IF(AND(AH!$P$10=1,AH!$P$12=1,$A1790=TODAY()),AH!$P$19,IF(AH!$P$10=1,INDEX('Live History'!$B$5:$B$3004,AH!$P$13+1785),INDEX('AH History'!$B$1:$B$18046,AH!$P$7+1785))),NA()),NA())</ns0:f>
        <ns0:v/>
      </ns0:c>
      <ns0:c r="D1790">
        <ns0:f>IFERROR(IF(ISNUMBER($A1790),IF(AND(AH!$P$10=1,AH!$P$12=1,$A1790=TODAY()),AH!$P$18,IF(AH!$P$10=1,INDEX('Live History'!$E$5:$E$3004,MATCH($A1790,'Live History'!$D$5:$D$3004,1)),INDEX('AH History'!$C$1:$C$18046,AH!$P$7+1785))),NA()),NA())</ns0:f>
        <ns0:v/>
      </ns0:c>
      <ns0:c r="E1790">
        <ns0:f>IFERROR(IF(ISNUMBER($A1790),IF(AND(AH!$P$10=1,AH!$P$12=1,$A1790=TODAY()),AH!$P$20,IF(AH!$P$10=1,INDEX('Live History'!$H$5:$H$3004,MATCH($A1790,'Live History'!$G$5:$G$3004,1)),INDEX('AH History'!$D$1:$D$18046,AH!$P$7+1785))),NA()),NA())</ns0:f>
        <ns0:v/>
      </ns0:c>
      <ns0:c r="F1790">
        <ns0:f>IFERROR(IF(ISNUMBER($A1790),IF(AND(AH!$P$10=1,AH!$P$12=1,$A1790=TODAY()),IF(AND(AH!$P$10=1,AH!$P$12=1,$A1790=TODAY()),TODAY(),NA()),IF(AH!$P$10=1,INDEX('Live History'!$D$5:$D$3004,MATCH($A1790,'Live History'!$D$5:$D$3004,1)),INDEX('AH History'!$E$1:$E$18046,AH!$P$7+1785))),NA()),NA())</ns0:f>
        <ns0:v/>
      </ns0:c>
      <ns0:c r="G1790">
        <ns0:f>IFERROR(IF(ISNUMBER($A1790),IF(AND(AH!$P$10=1,AH!$P$12=1,$A1790=TODAY()),IF(AND(AH!$P$10=1,AH!$P$12=1,$A1790=TODAY()),TODAY(),NA()),IF(AH!$P$10=1,INDEX('Live History'!$G$5:$G$3004,MATCH($A1790,'Live History'!$G$5:$G$3004,1)),INDEX('AH History'!$F$1:$F$18046,AH!$P$7+1785))),NA()),NA())</ns0:f>
        <ns0:v/>
      </ns0:c>
      <ns0:c r="H1790">
        <ns0:f>IFERROR(IF(AND(AH!$E$4="Bloomberg",AH!$P$10=1,ISNUMBER($A1790),$A1790&lt;=AH!$P$17),AH!$P$7-1+MATCH($A1790,INDEX('AH History'!$A$1:$A$18046,AH!$P$7):INDEX('AH History'!$A$1:$A$18046,AH!$P$7+AH!$P$8-1),0),0),0)</ns0:f>
        <ns0:v/>
      </ns0:c>
      <ns0:c r="I1790">
        <ns0:f>IF($H1790=0,0,IFERROR(IF(AND(ABS($C1790-INDEX('AH History'!$B$1:$B$18046,$H1790))&lt;=MAX(0.005,ABS(INDEX('AH History'!$B$1:$B$18046,$H1790))*0.00005),ABS($D1790-INDEX('AH History'!$C$1:$C$18046,$H1790))&lt;=MAX(0.005,ABS(INDEX('AH History'!$C$1:$C$18046,$H1790))*0.00005),ABS($E1790-INDEX('AH History'!$D$1:$D$18046,$H1790))&lt;=0.00005,$F1790=INDEX('AH History'!$E$1:$E$18046,$H1790),$G1790=INDEX('AH History'!$F$1:$F$18046,$H1790)),1,-1),-1))</ns0:f>
        <ns0:v/>
      </ns0:c>
    </ns0:row>
    <ns0:row r="1791">
      <ns0:c r="A1791" s="215">
        <ns0:f>IF(OR(AH!$P$3=0,1786+1&gt;AH!$P$11,AND(AH!$E$4&lt;&gt;"Stored",AH!$P$10&lt;&gt;1)),"",IFERROR(IF(AND(AH!$P$21=1,1786+1=AH!$P$11),TODAY(),IF(AH!$P$10=1,INDEX('Live History'!$A$5:$A$3004,AH!$P$13+1786),INDEX('AH History'!$A$1:$A$18046,AH!$P$7+1786))),""))</ns0:f>
        <ns0:v/>
      </ns0:c>
      <ns0:c r="B1791" s="219">
        <ns0:f>IFERROR(IF(AND(AH!$P$9&lt;&gt;1,$C1791&gt;0,$D1791&gt;0,$E1791&gt;0,$F1791&gt;0,$G1791&gt;0,$F1791&lt;=$A1791,$G1791&lt;=$A1791,$A1791-$F1791&lt;=10,$A1791-$G1791&lt;=5),$D1791*$E1791/$C1791-1,NA()),NA())</ns0:f>
        <ns0:v/>
      </ns0:c>
      <ns0:c r="C1791">
        <ns0:f>IFERROR(IF(ISNUMBER($A1791),IF(AND(AH!$P$10=1,AH!$P$12=1,$A1791=TODAY()),AH!$P$19,IF(AH!$P$10=1,INDEX('Live History'!$B$5:$B$3004,AH!$P$13+1786),INDEX('AH History'!$B$1:$B$18046,AH!$P$7+1786))),NA()),NA())</ns0:f>
        <ns0:v/>
      </ns0:c>
      <ns0:c r="D1791">
        <ns0:f>IFERROR(IF(ISNUMBER($A1791),IF(AND(AH!$P$10=1,AH!$P$12=1,$A1791=TODAY()),AH!$P$18,IF(AH!$P$10=1,INDEX('Live History'!$E$5:$E$3004,MATCH($A1791,'Live History'!$D$5:$D$3004,1)),INDEX('AH History'!$C$1:$C$18046,AH!$P$7+1786))),NA()),NA())</ns0:f>
        <ns0:v/>
      </ns0:c>
      <ns0:c r="E1791">
        <ns0:f>IFERROR(IF(ISNUMBER($A1791),IF(AND(AH!$P$10=1,AH!$P$12=1,$A1791=TODAY()),AH!$P$20,IF(AH!$P$10=1,INDEX('Live History'!$H$5:$H$3004,MATCH($A1791,'Live History'!$G$5:$G$3004,1)),INDEX('AH History'!$D$1:$D$18046,AH!$P$7+1786))),NA()),NA())</ns0:f>
        <ns0:v/>
      </ns0:c>
      <ns0:c r="F1791">
        <ns0:f>IFERROR(IF(ISNUMBER($A1791),IF(AND(AH!$P$10=1,AH!$P$12=1,$A1791=TODAY()),IF(AND(AH!$P$10=1,AH!$P$12=1,$A1791=TODAY()),TODAY(),NA()),IF(AH!$P$10=1,INDEX('Live History'!$D$5:$D$3004,MATCH($A1791,'Live History'!$D$5:$D$3004,1)),INDEX('AH History'!$E$1:$E$18046,AH!$P$7+1786))),NA()),NA())</ns0:f>
        <ns0:v/>
      </ns0:c>
      <ns0:c r="G1791">
        <ns0:f>IFERROR(IF(ISNUMBER($A1791),IF(AND(AH!$P$10=1,AH!$P$12=1,$A1791=TODAY()),IF(AND(AH!$P$10=1,AH!$P$12=1,$A1791=TODAY()),TODAY(),NA()),IF(AH!$P$10=1,INDEX('Live History'!$G$5:$G$3004,MATCH($A1791,'Live History'!$G$5:$G$3004,1)),INDEX('AH History'!$F$1:$F$18046,AH!$P$7+1786))),NA()),NA())</ns0:f>
        <ns0:v/>
      </ns0:c>
      <ns0:c r="H1791">
        <ns0:f>IFERROR(IF(AND(AH!$E$4="Bloomberg",AH!$P$10=1,ISNUMBER($A1791),$A1791&lt;=AH!$P$17),AH!$P$7-1+MATCH($A1791,INDEX('AH History'!$A$1:$A$18046,AH!$P$7):INDEX('AH History'!$A$1:$A$18046,AH!$P$7+AH!$P$8-1),0),0),0)</ns0:f>
        <ns0:v/>
      </ns0:c>
      <ns0:c r="I1791">
        <ns0:f>IF($H1791=0,0,IFERROR(IF(AND(ABS($C1791-INDEX('AH History'!$B$1:$B$18046,$H1791))&lt;=MAX(0.005,ABS(INDEX('AH History'!$B$1:$B$18046,$H1791))*0.00005),ABS($D1791-INDEX('AH History'!$C$1:$C$18046,$H1791))&lt;=MAX(0.005,ABS(INDEX('AH History'!$C$1:$C$18046,$H1791))*0.00005),ABS($E1791-INDEX('AH History'!$D$1:$D$18046,$H1791))&lt;=0.00005,$F1791=INDEX('AH History'!$E$1:$E$18046,$H1791),$G1791=INDEX('AH History'!$F$1:$F$18046,$H1791)),1,-1),-1))</ns0:f>
        <ns0:v/>
      </ns0:c>
    </ns0:row>
    <ns0:row r="1792">
      <ns0:c r="A1792" s="215">
        <ns0:f>IF(OR(AH!$P$3=0,1787+1&gt;AH!$P$11,AND(AH!$E$4&lt;&gt;"Stored",AH!$P$10&lt;&gt;1)),"",IFERROR(IF(AND(AH!$P$21=1,1787+1=AH!$P$11),TODAY(),IF(AH!$P$10=1,INDEX('Live History'!$A$5:$A$3004,AH!$P$13+1787),INDEX('AH History'!$A$1:$A$18046,AH!$P$7+1787))),""))</ns0:f>
        <ns0:v/>
      </ns0:c>
      <ns0:c r="B1792" s="219">
        <ns0:f>IFERROR(IF(AND(AH!$P$9&lt;&gt;1,$C1792&gt;0,$D1792&gt;0,$E1792&gt;0,$F1792&gt;0,$G1792&gt;0,$F1792&lt;=$A1792,$G1792&lt;=$A1792,$A1792-$F1792&lt;=10,$A1792-$G1792&lt;=5),$D1792*$E1792/$C1792-1,NA()),NA())</ns0:f>
        <ns0:v/>
      </ns0:c>
      <ns0:c r="C1792">
        <ns0:f>IFERROR(IF(ISNUMBER($A1792),IF(AND(AH!$P$10=1,AH!$P$12=1,$A1792=TODAY()),AH!$P$19,IF(AH!$P$10=1,INDEX('Live History'!$B$5:$B$3004,AH!$P$13+1787),INDEX('AH History'!$B$1:$B$18046,AH!$P$7+1787))),NA()),NA())</ns0:f>
        <ns0:v/>
      </ns0:c>
      <ns0:c r="D1792">
        <ns0:f>IFERROR(IF(ISNUMBER($A1792),IF(AND(AH!$P$10=1,AH!$P$12=1,$A1792=TODAY()),AH!$P$18,IF(AH!$P$10=1,INDEX('Live History'!$E$5:$E$3004,MATCH($A1792,'Live History'!$D$5:$D$3004,1)),INDEX('AH History'!$C$1:$C$18046,AH!$P$7+1787))),NA()),NA())</ns0:f>
        <ns0:v/>
      </ns0:c>
      <ns0:c r="E1792">
        <ns0:f>IFERROR(IF(ISNUMBER($A1792),IF(AND(AH!$P$10=1,AH!$P$12=1,$A1792=TODAY()),AH!$P$20,IF(AH!$P$10=1,INDEX('Live History'!$H$5:$H$3004,MATCH($A1792,'Live History'!$G$5:$G$3004,1)),INDEX('AH History'!$D$1:$D$18046,AH!$P$7+1787))),NA()),NA())</ns0:f>
        <ns0:v/>
      </ns0:c>
      <ns0:c r="F1792">
        <ns0:f>IFERROR(IF(ISNUMBER($A1792),IF(AND(AH!$P$10=1,AH!$P$12=1,$A1792=TODAY()),IF(AND(AH!$P$10=1,AH!$P$12=1,$A1792=TODAY()),TODAY(),NA()),IF(AH!$P$10=1,INDEX('Live History'!$D$5:$D$3004,MATCH($A1792,'Live History'!$D$5:$D$3004,1)),INDEX('AH History'!$E$1:$E$18046,AH!$P$7+1787))),NA()),NA())</ns0:f>
        <ns0:v/>
      </ns0:c>
      <ns0:c r="G1792">
        <ns0:f>IFERROR(IF(ISNUMBER($A1792),IF(AND(AH!$P$10=1,AH!$P$12=1,$A1792=TODAY()),IF(AND(AH!$P$10=1,AH!$P$12=1,$A1792=TODAY()),TODAY(),NA()),IF(AH!$P$10=1,INDEX('Live History'!$G$5:$G$3004,MATCH($A1792,'Live History'!$G$5:$G$3004,1)),INDEX('AH History'!$F$1:$F$18046,AH!$P$7+1787))),NA()),NA())</ns0:f>
        <ns0:v/>
      </ns0:c>
      <ns0:c r="H1792">
        <ns0:f>IFERROR(IF(AND(AH!$E$4="Bloomberg",AH!$P$10=1,ISNUMBER($A1792),$A1792&lt;=AH!$P$17),AH!$P$7-1+MATCH($A1792,INDEX('AH History'!$A$1:$A$18046,AH!$P$7):INDEX('AH History'!$A$1:$A$18046,AH!$P$7+AH!$P$8-1),0),0),0)</ns0:f>
        <ns0:v/>
      </ns0:c>
      <ns0:c r="I1792">
        <ns0:f>IF($H1792=0,0,IFERROR(IF(AND(ABS($C1792-INDEX('AH History'!$B$1:$B$18046,$H1792))&lt;=MAX(0.005,ABS(INDEX('AH History'!$B$1:$B$18046,$H1792))*0.00005),ABS($D1792-INDEX('AH History'!$C$1:$C$18046,$H1792))&lt;=MAX(0.005,ABS(INDEX('AH History'!$C$1:$C$18046,$H1792))*0.00005),ABS($E1792-INDEX('AH History'!$D$1:$D$18046,$H1792))&lt;=0.00005,$F1792=INDEX('AH History'!$E$1:$E$18046,$H1792),$G1792=INDEX('AH History'!$F$1:$F$18046,$H1792)),1,-1),-1))</ns0:f>
        <ns0:v/>
      </ns0:c>
    </ns0:row>
    <ns0:row r="1793">
      <ns0:c r="A1793" s="215">
        <ns0:f>IF(OR(AH!$P$3=0,1788+1&gt;AH!$P$11,AND(AH!$E$4&lt;&gt;"Stored",AH!$P$10&lt;&gt;1)),"",IFERROR(IF(AND(AH!$P$21=1,1788+1=AH!$P$11),TODAY(),IF(AH!$P$10=1,INDEX('Live History'!$A$5:$A$3004,AH!$P$13+1788),INDEX('AH History'!$A$1:$A$18046,AH!$P$7+1788))),""))</ns0:f>
        <ns0:v/>
      </ns0:c>
      <ns0:c r="B1793" s="219">
        <ns0:f>IFERROR(IF(AND(AH!$P$9&lt;&gt;1,$C1793&gt;0,$D1793&gt;0,$E1793&gt;0,$F1793&gt;0,$G1793&gt;0,$F1793&lt;=$A1793,$G1793&lt;=$A1793,$A1793-$F1793&lt;=10,$A1793-$G1793&lt;=5),$D1793*$E1793/$C1793-1,NA()),NA())</ns0:f>
        <ns0:v/>
      </ns0:c>
      <ns0:c r="C1793">
        <ns0:f>IFERROR(IF(ISNUMBER($A1793),IF(AND(AH!$P$10=1,AH!$P$12=1,$A1793=TODAY()),AH!$P$19,IF(AH!$P$10=1,INDEX('Live History'!$B$5:$B$3004,AH!$P$13+1788),INDEX('AH History'!$B$1:$B$18046,AH!$P$7+1788))),NA()),NA())</ns0:f>
        <ns0:v/>
      </ns0:c>
      <ns0:c r="D1793">
        <ns0:f>IFERROR(IF(ISNUMBER($A1793),IF(AND(AH!$P$10=1,AH!$P$12=1,$A1793=TODAY()),AH!$P$18,IF(AH!$P$10=1,INDEX('Live History'!$E$5:$E$3004,MATCH($A1793,'Live History'!$D$5:$D$3004,1)),INDEX('AH History'!$C$1:$C$18046,AH!$P$7+1788))),NA()),NA())</ns0:f>
        <ns0:v/>
      </ns0:c>
      <ns0:c r="E1793">
        <ns0:f>IFERROR(IF(ISNUMBER($A1793),IF(AND(AH!$P$10=1,AH!$P$12=1,$A1793=TODAY()),AH!$P$20,IF(AH!$P$10=1,INDEX('Live History'!$H$5:$H$3004,MATCH($A1793,'Live History'!$G$5:$G$3004,1)),INDEX('AH History'!$D$1:$D$18046,AH!$P$7+1788))),NA()),NA())</ns0:f>
        <ns0:v/>
      </ns0:c>
      <ns0:c r="F1793">
        <ns0:f>IFERROR(IF(ISNUMBER($A1793),IF(AND(AH!$P$10=1,AH!$P$12=1,$A1793=TODAY()),IF(AND(AH!$P$10=1,AH!$P$12=1,$A1793=TODAY()),TODAY(),NA()),IF(AH!$P$10=1,INDEX('Live History'!$D$5:$D$3004,MATCH($A1793,'Live History'!$D$5:$D$3004,1)),INDEX('AH History'!$E$1:$E$18046,AH!$P$7+1788))),NA()),NA())</ns0:f>
        <ns0:v/>
      </ns0:c>
      <ns0:c r="G1793">
        <ns0:f>IFERROR(IF(ISNUMBER($A1793),IF(AND(AH!$P$10=1,AH!$P$12=1,$A1793=TODAY()),IF(AND(AH!$P$10=1,AH!$P$12=1,$A1793=TODAY()),TODAY(),NA()),IF(AH!$P$10=1,INDEX('Live History'!$G$5:$G$3004,MATCH($A1793,'Live History'!$G$5:$G$3004,1)),INDEX('AH History'!$F$1:$F$18046,AH!$P$7+1788))),NA()),NA())</ns0:f>
        <ns0:v/>
      </ns0:c>
      <ns0:c r="H1793">
        <ns0:f>IFERROR(IF(AND(AH!$E$4="Bloomberg",AH!$P$10=1,ISNUMBER($A1793),$A1793&lt;=AH!$P$17),AH!$P$7-1+MATCH($A1793,INDEX('AH History'!$A$1:$A$18046,AH!$P$7):INDEX('AH History'!$A$1:$A$18046,AH!$P$7+AH!$P$8-1),0),0),0)</ns0:f>
        <ns0:v/>
      </ns0:c>
      <ns0:c r="I1793">
        <ns0:f>IF($H1793=0,0,IFERROR(IF(AND(ABS($C1793-INDEX('AH History'!$B$1:$B$18046,$H1793))&lt;=MAX(0.005,ABS(INDEX('AH History'!$B$1:$B$18046,$H1793))*0.00005),ABS($D1793-INDEX('AH History'!$C$1:$C$18046,$H1793))&lt;=MAX(0.005,ABS(INDEX('AH History'!$C$1:$C$18046,$H1793))*0.00005),ABS($E1793-INDEX('AH History'!$D$1:$D$18046,$H1793))&lt;=0.00005,$F1793=INDEX('AH History'!$E$1:$E$18046,$H1793),$G1793=INDEX('AH History'!$F$1:$F$18046,$H1793)),1,-1),-1))</ns0:f>
        <ns0:v/>
      </ns0:c>
    </ns0:row>
    <ns0:row r="1794">
      <ns0:c r="A1794" s="215">
        <ns0:f>IF(OR(AH!$P$3=0,1789+1&gt;AH!$P$11,AND(AH!$E$4&lt;&gt;"Stored",AH!$P$10&lt;&gt;1)),"",IFERROR(IF(AND(AH!$P$21=1,1789+1=AH!$P$11),TODAY(),IF(AH!$P$10=1,INDEX('Live History'!$A$5:$A$3004,AH!$P$13+1789),INDEX('AH History'!$A$1:$A$18046,AH!$P$7+1789))),""))</ns0:f>
        <ns0:v/>
      </ns0:c>
      <ns0:c r="B1794" s="219">
        <ns0:f>IFERROR(IF(AND(AH!$P$9&lt;&gt;1,$C1794&gt;0,$D1794&gt;0,$E1794&gt;0,$F1794&gt;0,$G1794&gt;0,$F1794&lt;=$A1794,$G1794&lt;=$A1794,$A1794-$F1794&lt;=10,$A1794-$G1794&lt;=5),$D1794*$E1794/$C1794-1,NA()),NA())</ns0:f>
        <ns0:v/>
      </ns0:c>
      <ns0:c r="C1794">
        <ns0:f>IFERROR(IF(ISNUMBER($A1794),IF(AND(AH!$P$10=1,AH!$P$12=1,$A1794=TODAY()),AH!$P$19,IF(AH!$P$10=1,INDEX('Live History'!$B$5:$B$3004,AH!$P$13+1789),INDEX('AH History'!$B$1:$B$18046,AH!$P$7+1789))),NA()),NA())</ns0:f>
        <ns0:v/>
      </ns0:c>
      <ns0:c r="D1794">
        <ns0:f>IFERROR(IF(ISNUMBER($A1794),IF(AND(AH!$P$10=1,AH!$P$12=1,$A1794=TODAY()),AH!$P$18,IF(AH!$P$10=1,INDEX('Live History'!$E$5:$E$3004,MATCH($A1794,'Live History'!$D$5:$D$3004,1)),INDEX('AH History'!$C$1:$C$18046,AH!$P$7+1789))),NA()),NA())</ns0:f>
        <ns0:v/>
      </ns0:c>
      <ns0:c r="E1794">
        <ns0:f>IFERROR(IF(ISNUMBER($A1794),IF(AND(AH!$P$10=1,AH!$P$12=1,$A1794=TODAY()),AH!$P$20,IF(AH!$P$10=1,INDEX('Live History'!$H$5:$H$3004,MATCH($A1794,'Live History'!$G$5:$G$3004,1)),INDEX('AH History'!$D$1:$D$18046,AH!$P$7+1789))),NA()),NA())</ns0:f>
        <ns0:v/>
      </ns0:c>
      <ns0:c r="F1794">
        <ns0:f>IFERROR(IF(ISNUMBER($A1794),IF(AND(AH!$P$10=1,AH!$P$12=1,$A1794=TODAY()),IF(AND(AH!$P$10=1,AH!$P$12=1,$A1794=TODAY()),TODAY(),NA()),IF(AH!$P$10=1,INDEX('Live History'!$D$5:$D$3004,MATCH($A1794,'Live History'!$D$5:$D$3004,1)),INDEX('AH History'!$E$1:$E$18046,AH!$P$7+1789))),NA()),NA())</ns0:f>
        <ns0:v/>
      </ns0:c>
      <ns0:c r="G1794">
        <ns0:f>IFERROR(IF(ISNUMBER($A1794),IF(AND(AH!$P$10=1,AH!$P$12=1,$A1794=TODAY()),IF(AND(AH!$P$10=1,AH!$P$12=1,$A1794=TODAY()),TODAY(),NA()),IF(AH!$P$10=1,INDEX('Live History'!$G$5:$G$3004,MATCH($A1794,'Live History'!$G$5:$G$3004,1)),INDEX('AH History'!$F$1:$F$18046,AH!$P$7+1789))),NA()),NA())</ns0:f>
        <ns0:v/>
      </ns0:c>
      <ns0:c r="H1794">
        <ns0:f>IFERROR(IF(AND(AH!$E$4="Bloomberg",AH!$P$10=1,ISNUMBER($A1794),$A1794&lt;=AH!$P$17),AH!$P$7-1+MATCH($A1794,INDEX('AH History'!$A$1:$A$18046,AH!$P$7):INDEX('AH History'!$A$1:$A$18046,AH!$P$7+AH!$P$8-1),0),0),0)</ns0:f>
        <ns0:v/>
      </ns0:c>
      <ns0:c r="I1794">
        <ns0:f>IF($H1794=0,0,IFERROR(IF(AND(ABS($C1794-INDEX('AH History'!$B$1:$B$18046,$H1794))&lt;=MAX(0.005,ABS(INDEX('AH History'!$B$1:$B$18046,$H1794))*0.00005),ABS($D1794-INDEX('AH History'!$C$1:$C$18046,$H1794))&lt;=MAX(0.005,ABS(INDEX('AH History'!$C$1:$C$18046,$H1794))*0.00005),ABS($E1794-INDEX('AH History'!$D$1:$D$18046,$H1794))&lt;=0.00005,$F1794=INDEX('AH History'!$E$1:$E$18046,$H1794),$G1794=INDEX('AH History'!$F$1:$F$18046,$H1794)),1,-1),-1))</ns0:f>
        <ns0:v/>
      </ns0:c>
    </ns0:row>
    <ns0:row r="1795">
      <ns0:c r="A1795" s="215">
        <ns0:f>IF(OR(AH!$P$3=0,1790+1&gt;AH!$P$11,AND(AH!$E$4&lt;&gt;"Stored",AH!$P$10&lt;&gt;1)),"",IFERROR(IF(AND(AH!$P$21=1,1790+1=AH!$P$11),TODAY(),IF(AH!$P$10=1,INDEX('Live History'!$A$5:$A$3004,AH!$P$13+1790),INDEX('AH History'!$A$1:$A$18046,AH!$P$7+1790))),""))</ns0:f>
        <ns0:v/>
      </ns0:c>
      <ns0:c r="B1795" s="219">
        <ns0:f>IFERROR(IF(AND(AH!$P$9&lt;&gt;1,$C1795&gt;0,$D1795&gt;0,$E1795&gt;0,$F1795&gt;0,$G1795&gt;0,$F1795&lt;=$A1795,$G1795&lt;=$A1795,$A1795-$F1795&lt;=10,$A1795-$G1795&lt;=5),$D1795*$E1795/$C1795-1,NA()),NA())</ns0:f>
        <ns0:v/>
      </ns0:c>
      <ns0:c r="C1795">
        <ns0:f>IFERROR(IF(ISNUMBER($A1795),IF(AND(AH!$P$10=1,AH!$P$12=1,$A1795=TODAY()),AH!$P$19,IF(AH!$P$10=1,INDEX('Live History'!$B$5:$B$3004,AH!$P$13+1790),INDEX('AH History'!$B$1:$B$18046,AH!$P$7+1790))),NA()),NA())</ns0:f>
        <ns0:v/>
      </ns0:c>
      <ns0:c r="D1795">
        <ns0:f>IFERROR(IF(ISNUMBER($A1795),IF(AND(AH!$P$10=1,AH!$P$12=1,$A1795=TODAY()),AH!$P$18,IF(AH!$P$10=1,INDEX('Live History'!$E$5:$E$3004,MATCH($A1795,'Live History'!$D$5:$D$3004,1)),INDEX('AH History'!$C$1:$C$18046,AH!$P$7+1790))),NA()),NA())</ns0:f>
        <ns0:v/>
      </ns0:c>
      <ns0:c r="E1795">
        <ns0:f>IFERROR(IF(ISNUMBER($A1795),IF(AND(AH!$P$10=1,AH!$P$12=1,$A1795=TODAY()),AH!$P$20,IF(AH!$P$10=1,INDEX('Live History'!$H$5:$H$3004,MATCH($A1795,'Live History'!$G$5:$G$3004,1)),INDEX('AH History'!$D$1:$D$18046,AH!$P$7+1790))),NA()),NA())</ns0:f>
        <ns0:v/>
      </ns0:c>
      <ns0:c r="F1795">
        <ns0:f>IFERROR(IF(ISNUMBER($A1795),IF(AND(AH!$P$10=1,AH!$P$12=1,$A1795=TODAY()),IF(AND(AH!$P$10=1,AH!$P$12=1,$A1795=TODAY()),TODAY(),NA()),IF(AH!$P$10=1,INDEX('Live History'!$D$5:$D$3004,MATCH($A1795,'Live History'!$D$5:$D$3004,1)),INDEX('AH History'!$E$1:$E$18046,AH!$P$7+1790))),NA()),NA())</ns0:f>
        <ns0:v/>
      </ns0:c>
      <ns0:c r="G1795">
        <ns0:f>IFERROR(IF(ISNUMBER($A1795),IF(AND(AH!$P$10=1,AH!$P$12=1,$A1795=TODAY()),IF(AND(AH!$P$10=1,AH!$P$12=1,$A1795=TODAY()),TODAY(),NA()),IF(AH!$P$10=1,INDEX('Live History'!$G$5:$G$3004,MATCH($A1795,'Live History'!$G$5:$G$3004,1)),INDEX('AH History'!$F$1:$F$18046,AH!$P$7+1790))),NA()),NA())</ns0:f>
        <ns0:v/>
      </ns0:c>
      <ns0:c r="H1795">
        <ns0:f>IFERROR(IF(AND(AH!$E$4="Bloomberg",AH!$P$10=1,ISNUMBER($A1795),$A1795&lt;=AH!$P$17),AH!$P$7-1+MATCH($A1795,INDEX('AH History'!$A$1:$A$18046,AH!$P$7):INDEX('AH History'!$A$1:$A$18046,AH!$P$7+AH!$P$8-1),0),0),0)</ns0:f>
        <ns0:v/>
      </ns0:c>
      <ns0:c r="I1795">
        <ns0:f>IF($H1795=0,0,IFERROR(IF(AND(ABS($C1795-INDEX('AH History'!$B$1:$B$18046,$H1795))&lt;=MAX(0.005,ABS(INDEX('AH History'!$B$1:$B$18046,$H1795))*0.00005),ABS($D1795-INDEX('AH History'!$C$1:$C$18046,$H1795))&lt;=MAX(0.005,ABS(INDEX('AH History'!$C$1:$C$18046,$H1795))*0.00005),ABS($E1795-INDEX('AH History'!$D$1:$D$18046,$H1795))&lt;=0.00005,$F1795=INDEX('AH History'!$E$1:$E$18046,$H1795),$G1795=INDEX('AH History'!$F$1:$F$18046,$H1795)),1,-1),-1))</ns0:f>
        <ns0:v/>
      </ns0:c>
    </ns0:row>
    <ns0:row r="1796">
      <ns0:c r="A1796" s="215">
        <ns0:f>IF(OR(AH!$P$3=0,1791+1&gt;AH!$P$11,AND(AH!$E$4&lt;&gt;"Stored",AH!$P$10&lt;&gt;1)),"",IFERROR(IF(AND(AH!$P$21=1,1791+1=AH!$P$11),TODAY(),IF(AH!$P$10=1,INDEX('Live History'!$A$5:$A$3004,AH!$P$13+1791),INDEX('AH History'!$A$1:$A$18046,AH!$P$7+1791))),""))</ns0:f>
        <ns0:v/>
      </ns0:c>
      <ns0:c r="B1796" s="219">
        <ns0:f>IFERROR(IF(AND(AH!$P$9&lt;&gt;1,$C1796&gt;0,$D1796&gt;0,$E1796&gt;0,$F1796&gt;0,$G1796&gt;0,$F1796&lt;=$A1796,$G1796&lt;=$A1796,$A1796-$F1796&lt;=10,$A1796-$G1796&lt;=5),$D1796*$E1796/$C1796-1,NA()),NA())</ns0:f>
        <ns0:v/>
      </ns0:c>
      <ns0:c r="C1796">
        <ns0:f>IFERROR(IF(ISNUMBER($A1796),IF(AND(AH!$P$10=1,AH!$P$12=1,$A1796=TODAY()),AH!$P$19,IF(AH!$P$10=1,INDEX('Live History'!$B$5:$B$3004,AH!$P$13+1791),INDEX('AH History'!$B$1:$B$18046,AH!$P$7+1791))),NA()),NA())</ns0:f>
        <ns0:v/>
      </ns0:c>
      <ns0:c r="D1796">
        <ns0:f>IFERROR(IF(ISNUMBER($A1796),IF(AND(AH!$P$10=1,AH!$P$12=1,$A1796=TODAY()),AH!$P$18,IF(AH!$P$10=1,INDEX('Live History'!$E$5:$E$3004,MATCH($A1796,'Live History'!$D$5:$D$3004,1)),INDEX('AH History'!$C$1:$C$18046,AH!$P$7+1791))),NA()),NA())</ns0:f>
        <ns0:v/>
      </ns0:c>
      <ns0:c r="E1796">
        <ns0:f>IFERROR(IF(ISNUMBER($A1796),IF(AND(AH!$P$10=1,AH!$P$12=1,$A1796=TODAY()),AH!$P$20,IF(AH!$P$10=1,INDEX('Live History'!$H$5:$H$3004,MATCH($A1796,'Live History'!$G$5:$G$3004,1)),INDEX('AH History'!$D$1:$D$18046,AH!$P$7+1791))),NA()),NA())</ns0:f>
        <ns0:v/>
      </ns0:c>
      <ns0:c r="F1796">
        <ns0:f>IFERROR(IF(ISNUMBER($A1796),IF(AND(AH!$P$10=1,AH!$P$12=1,$A1796=TODAY()),IF(AND(AH!$P$10=1,AH!$P$12=1,$A1796=TODAY()),TODAY(),NA()),IF(AH!$P$10=1,INDEX('Live History'!$D$5:$D$3004,MATCH($A1796,'Live History'!$D$5:$D$3004,1)),INDEX('AH History'!$E$1:$E$18046,AH!$P$7+1791))),NA()),NA())</ns0:f>
        <ns0:v/>
      </ns0:c>
      <ns0:c r="G1796">
        <ns0:f>IFERROR(IF(ISNUMBER($A1796),IF(AND(AH!$P$10=1,AH!$P$12=1,$A1796=TODAY()),IF(AND(AH!$P$10=1,AH!$P$12=1,$A1796=TODAY()),TODAY(),NA()),IF(AH!$P$10=1,INDEX('Live History'!$G$5:$G$3004,MATCH($A1796,'Live History'!$G$5:$G$3004,1)),INDEX('AH History'!$F$1:$F$18046,AH!$P$7+1791))),NA()),NA())</ns0:f>
        <ns0:v/>
      </ns0:c>
      <ns0:c r="H1796">
        <ns0:f>IFERROR(IF(AND(AH!$E$4="Bloomberg",AH!$P$10=1,ISNUMBER($A1796),$A1796&lt;=AH!$P$17),AH!$P$7-1+MATCH($A1796,INDEX('AH History'!$A$1:$A$18046,AH!$P$7):INDEX('AH History'!$A$1:$A$18046,AH!$P$7+AH!$P$8-1),0),0),0)</ns0:f>
        <ns0:v/>
      </ns0:c>
      <ns0:c r="I1796">
        <ns0:f>IF($H1796=0,0,IFERROR(IF(AND(ABS($C1796-INDEX('AH History'!$B$1:$B$18046,$H1796))&lt;=MAX(0.005,ABS(INDEX('AH History'!$B$1:$B$18046,$H1796))*0.00005),ABS($D1796-INDEX('AH History'!$C$1:$C$18046,$H1796))&lt;=MAX(0.005,ABS(INDEX('AH History'!$C$1:$C$18046,$H1796))*0.00005),ABS($E1796-INDEX('AH History'!$D$1:$D$18046,$H1796))&lt;=0.00005,$F1796=INDEX('AH History'!$E$1:$E$18046,$H1796),$G1796=INDEX('AH History'!$F$1:$F$18046,$H1796)),1,-1),-1))</ns0:f>
        <ns0:v/>
      </ns0:c>
    </ns0:row>
    <ns0:row r="1797">
      <ns0:c r="A1797" s="215">
        <ns0:f>IF(OR(AH!$P$3=0,1792+1&gt;AH!$P$11,AND(AH!$E$4&lt;&gt;"Stored",AH!$P$10&lt;&gt;1)),"",IFERROR(IF(AND(AH!$P$21=1,1792+1=AH!$P$11),TODAY(),IF(AH!$P$10=1,INDEX('Live History'!$A$5:$A$3004,AH!$P$13+1792),INDEX('AH History'!$A$1:$A$18046,AH!$P$7+1792))),""))</ns0:f>
        <ns0:v/>
      </ns0:c>
      <ns0:c r="B1797" s="219">
        <ns0:f>IFERROR(IF(AND(AH!$P$9&lt;&gt;1,$C1797&gt;0,$D1797&gt;0,$E1797&gt;0,$F1797&gt;0,$G1797&gt;0,$F1797&lt;=$A1797,$G1797&lt;=$A1797,$A1797-$F1797&lt;=10,$A1797-$G1797&lt;=5),$D1797*$E1797/$C1797-1,NA()),NA())</ns0:f>
        <ns0:v/>
      </ns0:c>
      <ns0:c r="C1797">
        <ns0:f>IFERROR(IF(ISNUMBER($A1797),IF(AND(AH!$P$10=1,AH!$P$12=1,$A1797=TODAY()),AH!$P$19,IF(AH!$P$10=1,INDEX('Live History'!$B$5:$B$3004,AH!$P$13+1792),INDEX('AH History'!$B$1:$B$18046,AH!$P$7+1792))),NA()),NA())</ns0:f>
        <ns0:v/>
      </ns0:c>
      <ns0:c r="D1797">
        <ns0:f>IFERROR(IF(ISNUMBER($A1797),IF(AND(AH!$P$10=1,AH!$P$12=1,$A1797=TODAY()),AH!$P$18,IF(AH!$P$10=1,INDEX('Live History'!$E$5:$E$3004,MATCH($A1797,'Live History'!$D$5:$D$3004,1)),INDEX('AH History'!$C$1:$C$18046,AH!$P$7+1792))),NA()),NA())</ns0:f>
        <ns0:v/>
      </ns0:c>
      <ns0:c r="E1797">
        <ns0:f>IFERROR(IF(ISNUMBER($A1797),IF(AND(AH!$P$10=1,AH!$P$12=1,$A1797=TODAY()),AH!$P$20,IF(AH!$P$10=1,INDEX('Live History'!$H$5:$H$3004,MATCH($A1797,'Live History'!$G$5:$G$3004,1)),INDEX('AH History'!$D$1:$D$18046,AH!$P$7+1792))),NA()),NA())</ns0:f>
        <ns0:v/>
      </ns0:c>
      <ns0:c r="F1797">
        <ns0:f>IFERROR(IF(ISNUMBER($A1797),IF(AND(AH!$P$10=1,AH!$P$12=1,$A1797=TODAY()),IF(AND(AH!$P$10=1,AH!$P$12=1,$A1797=TODAY()),TODAY(),NA()),IF(AH!$P$10=1,INDEX('Live History'!$D$5:$D$3004,MATCH($A1797,'Live History'!$D$5:$D$3004,1)),INDEX('AH History'!$E$1:$E$18046,AH!$P$7+1792))),NA()),NA())</ns0:f>
        <ns0:v/>
      </ns0:c>
      <ns0:c r="G1797">
        <ns0:f>IFERROR(IF(ISNUMBER($A1797),IF(AND(AH!$P$10=1,AH!$P$12=1,$A1797=TODAY()),IF(AND(AH!$P$10=1,AH!$P$12=1,$A1797=TODAY()),TODAY(),NA()),IF(AH!$P$10=1,INDEX('Live History'!$G$5:$G$3004,MATCH($A1797,'Live History'!$G$5:$G$3004,1)),INDEX('AH History'!$F$1:$F$18046,AH!$P$7+1792))),NA()),NA())</ns0:f>
        <ns0:v/>
      </ns0:c>
      <ns0:c r="H1797">
        <ns0:f>IFERROR(IF(AND(AH!$E$4="Bloomberg",AH!$P$10=1,ISNUMBER($A1797),$A1797&lt;=AH!$P$17),AH!$P$7-1+MATCH($A1797,INDEX('AH History'!$A$1:$A$18046,AH!$P$7):INDEX('AH History'!$A$1:$A$18046,AH!$P$7+AH!$P$8-1),0),0),0)</ns0:f>
        <ns0:v/>
      </ns0:c>
      <ns0:c r="I1797">
        <ns0:f>IF($H1797=0,0,IFERROR(IF(AND(ABS($C1797-INDEX('AH History'!$B$1:$B$18046,$H1797))&lt;=MAX(0.005,ABS(INDEX('AH History'!$B$1:$B$18046,$H1797))*0.00005),ABS($D1797-INDEX('AH History'!$C$1:$C$18046,$H1797))&lt;=MAX(0.005,ABS(INDEX('AH History'!$C$1:$C$18046,$H1797))*0.00005),ABS($E1797-INDEX('AH History'!$D$1:$D$18046,$H1797))&lt;=0.00005,$F1797=INDEX('AH History'!$E$1:$E$18046,$H1797),$G1797=INDEX('AH History'!$F$1:$F$18046,$H1797)),1,-1),-1))</ns0:f>
        <ns0:v/>
      </ns0:c>
    </ns0:row>
    <ns0:row r="1798">
      <ns0:c r="A1798" s="215">
        <ns0:f>IF(OR(AH!$P$3=0,1793+1&gt;AH!$P$11,AND(AH!$E$4&lt;&gt;"Stored",AH!$P$10&lt;&gt;1)),"",IFERROR(IF(AND(AH!$P$21=1,1793+1=AH!$P$11),TODAY(),IF(AH!$P$10=1,INDEX('Live History'!$A$5:$A$3004,AH!$P$13+1793),INDEX('AH History'!$A$1:$A$18046,AH!$P$7+1793))),""))</ns0:f>
        <ns0:v/>
      </ns0:c>
      <ns0:c r="B1798" s="219">
        <ns0:f>IFERROR(IF(AND(AH!$P$9&lt;&gt;1,$C1798&gt;0,$D1798&gt;0,$E1798&gt;0,$F1798&gt;0,$G1798&gt;0,$F1798&lt;=$A1798,$G1798&lt;=$A1798,$A1798-$F1798&lt;=10,$A1798-$G1798&lt;=5),$D1798*$E1798/$C1798-1,NA()),NA())</ns0:f>
        <ns0:v/>
      </ns0:c>
      <ns0:c r="C1798">
        <ns0:f>IFERROR(IF(ISNUMBER($A1798),IF(AND(AH!$P$10=1,AH!$P$12=1,$A1798=TODAY()),AH!$P$19,IF(AH!$P$10=1,INDEX('Live History'!$B$5:$B$3004,AH!$P$13+1793),INDEX('AH History'!$B$1:$B$18046,AH!$P$7+1793))),NA()),NA())</ns0:f>
        <ns0:v/>
      </ns0:c>
      <ns0:c r="D1798">
        <ns0:f>IFERROR(IF(ISNUMBER($A1798),IF(AND(AH!$P$10=1,AH!$P$12=1,$A1798=TODAY()),AH!$P$18,IF(AH!$P$10=1,INDEX('Live History'!$E$5:$E$3004,MATCH($A1798,'Live History'!$D$5:$D$3004,1)),INDEX('AH History'!$C$1:$C$18046,AH!$P$7+1793))),NA()),NA())</ns0:f>
        <ns0:v/>
      </ns0:c>
      <ns0:c r="E1798">
        <ns0:f>IFERROR(IF(ISNUMBER($A1798),IF(AND(AH!$P$10=1,AH!$P$12=1,$A1798=TODAY()),AH!$P$20,IF(AH!$P$10=1,INDEX('Live History'!$H$5:$H$3004,MATCH($A1798,'Live History'!$G$5:$G$3004,1)),INDEX('AH History'!$D$1:$D$18046,AH!$P$7+1793))),NA()),NA())</ns0:f>
        <ns0:v/>
      </ns0:c>
      <ns0:c r="F1798">
        <ns0:f>IFERROR(IF(ISNUMBER($A1798),IF(AND(AH!$P$10=1,AH!$P$12=1,$A1798=TODAY()),IF(AND(AH!$P$10=1,AH!$P$12=1,$A1798=TODAY()),TODAY(),NA()),IF(AH!$P$10=1,INDEX('Live History'!$D$5:$D$3004,MATCH($A1798,'Live History'!$D$5:$D$3004,1)),INDEX('AH History'!$E$1:$E$18046,AH!$P$7+1793))),NA()),NA())</ns0:f>
        <ns0:v/>
      </ns0:c>
      <ns0:c r="G1798">
        <ns0:f>IFERROR(IF(ISNUMBER($A1798),IF(AND(AH!$P$10=1,AH!$P$12=1,$A1798=TODAY()),IF(AND(AH!$P$10=1,AH!$P$12=1,$A1798=TODAY()),TODAY(),NA()),IF(AH!$P$10=1,INDEX('Live History'!$G$5:$G$3004,MATCH($A1798,'Live History'!$G$5:$G$3004,1)),INDEX('AH History'!$F$1:$F$18046,AH!$P$7+1793))),NA()),NA())</ns0:f>
        <ns0:v/>
      </ns0:c>
      <ns0:c r="H1798">
        <ns0:f>IFERROR(IF(AND(AH!$E$4="Bloomberg",AH!$P$10=1,ISNUMBER($A1798),$A1798&lt;=AH!$P$17),AH!$P$7-1+MATCH($A1798,INDEX('AH History'!$A$1:$A$18046,AH!$P$7):INDEX('AH History'!$A$1:$A$18046,AH!$P$7+AH!$P$8-1),0),0),0)</ns0:f>
        <ns0:v/>
      </ns0:c>
      <ns0:c r="I1798">
        <ns0:f>IF($H1798=0,0,IFERROR(IF(AND(ABS($C1798-INDEX('AH History'!$B$1:$B$18046,$H1798))&lt;=MAX(0.005,ABS(INDEX('AH History'!$B$1:$B$18046,$H1798))*0.00005),ABS($D1798-INDEX('AH History'!$C$1:$C$18046,$H1798))&lt;=MAX(0.005,ABS(INDEX('AH History'!$C$1:$C$18046,$H1798))*0.00005),ABS($E1798-INDEX('AH History'!$D$1:$D$18046,$H1798))&lt;=0.00005,$F1798=INDEX('AH History'!$E$1:$E$18046,$H1798),$G1798=INDEX('AH History'!$F$1:$F$18046,$H1798)),1,-1),-1))</ns0:f>
        <ns0:v/>
      </ns0:c>
    </ns0:row>
    <ns0:row r="1799">
      <ns0:c r="A1799" s="215">
        <ns0:f>IF(OR(AH!$P$3=0,1794+1&gt;AH!$P$11,AND(AH!$E$4&lt;&gt;"Stored",AH!$P$10&lt;&gt;1)),"",IFERROR(IF(AND(AH!$P$21=1,1794+1=AH!$P$11),TODAY(),IF(AH!$P$10=1,INDEX('Live History'!$A$5:$A$3004,AH!$P$13+1794),INDEX('AH History'!$A$1:$A$18046,AH!$P$7+1794))),""))</ns0:f>
        <ns0:v/>
      </ns0:c>
      <ns0:c r="B1799" s="219">
        <ns0:f>IFERROR(IF(AND(AH!$P$9&lt;&gt;1,$C1799&gt;0,$D1799&gt;0,$E1799&gt;0,$F1799&gt;0,$G1799&gt;0,$F1799&lt;=$A1799,$G1799&lt;=$A1799,$A1799-$F1799&lt;=10,$A1799-$G1799&lt;=5),$D1799*$E1799/$C1799-1,NA()),NA())</ns0:f>
        <ns0:v/>
      </ns0:c>
      <ns0:c r="C1799">
        <ns0:f>IFERROR(IF(ISNUMBER($A1799),IF(AND(AH!$P$10=1,AH!$P$12=1,$A1799=TODAY()),AH!$P$19,IF(AH!$P$10=1,INDEX('Live History'!$B$5:$B$3004,AH!$P$13+1794),INDEX('AH History'!$B$1:$B$18046,AH!$P$7+1794))),NA()),NA())</ns0:f>
        <ns0:v/>
      </ns0:c>
      <ns0:c r="D1799">
        <ns0:f>IFERROR(IF(ISNUMBER($A1799),IF(AND(AH!$P$10=1,AH!$P$12=1,$A1799=TODAY()),AH!$P$18,IF(AH!$P$10=1,INDEX('Live History'!$E$5:$E$3004,MATCH($A1799,'Live History'!$D$5:$D$3004,1)),INDEX('AH History'!$C$1:$C$18046,AH!$P$7+1794))),NA()),NA())</ns0:f>
        <ns0:v/>
      </ns0:c>
      <ns0:c r="E1799">
        <ns0:f>IFERROR(IF(ISNUMBER($A1799),IF(AND(AH!$P$10=1,AH!$P$12=1,$A1799=TODAY()),AH!$P$20,IF(AH!$P$10=1,INDEX('Live History'!$H$5:$H$3004,MATCH($A1799,'Live History'!$G$5:$G$3004,1)),INDEX('AH History'!$D$1:$D$18046,AH!$P$7+1794))),NA()),NA())</ns0:f>
        <ns0:v/>
      </ns0:c>
      <ns0:c r="F1799">
        <ns0:f>IFERROR(IF(ISNUMBER($A1799),IF(AND(AH!$P$10=1,AH!$P$12=1,$A1799=TODAY()),IF(AND(AH!$P$10=1,AH!$P$12=1,$A1799=TODAY()),TODAY(),NA()),IF(AH!$P$10=1,INDEX('Live History'!$D$5:$D$3004,MATCH($A1799,'Live History'!$D$5:$D$3004,1)),INDEX('AH History'!$E$1:$E$18046,AH!$P$7+1794))),NA()),NA())</ns0:f>
        <ns0:v/>
      </ns0:c>
      <ns0:c r="G1799">
        <ns0:f>IFERROR(IF(ISNUMBER($A1799),IF(AND(AH!$P$10=1,AH!$P$12=1,$A1799=TODAY()),IF(AND(AH!$P$10=1,AH!$P$12=1,$A1799=TODAY()),TODAY(),NA()),IF(AH!$P$10=1,INDEX('Live History'!$G$5:$G$3004,MATCH($A1799,'Live History'!$G$5:$G$3004,1)),INDEX('AH History'!$F$1:$F$18046,AH!$P$7+1794))),NA()),NA())</ns0:f>
        <ns0:v/>
      </ns0:c>
      <ns0:c r="H1799">
        <ns0:f>IFERROR(IF(AND(AH!$E$4="Bloomberg",AH!$P$10=1,ISNUMBER($A1799),$A1799&lt;=AH!$P$17),AH!$P$7-1+MATCH($A1799,INDEX('AH History'!$A$1:$A$18046,AH!$P$7):INDEX('AH History'!$A$1:$A$18046,AH!$P$7+AH!$P$8-1),0),0),0)</ns0:f>
        <ns0:v/>
      </ns0:c>
      <ns0:c r="I1799">
        <ns0:f>IF($H1799=0,0,IFERROR(IF(AND(ABS($C1799-INDEX('AH History'!$B$1:$B$18046,$H1799))&lt;=MAX(0.005,ABS(INDEX('AH History'!$B$1:$B$18046,$H1799))*0.00005),ABS($D1799-INDEX('AH History'!$C$1:$C$18046,$H1799))&lt;=MAX(0.005,ABS(INDEX('AH History'!$C$1:$C$18046,$H1799))*0.00005),ABS($E1799-INDEX('AH History'!$D$1:$D$18046,$H1799))&lt;=0.00005,$F1799=INDEX('AH History'!$E$1:$E$18046,$H1799),$G1799=INDEX('AH History'!$F$1:$F$18046,$H1799)),1,-1),-1))</ns0:f>
        <ns0:v/>
      </ns0:c>
    </ns0:row>
    <ns0:row r="1800">
      <ns0:c r="A1800" s="215">
        <ns0:f>IF(OR(AH!$P$3=0,1795+1&gt;AH!$P$11,AND(AH!$E$4&lt;&gt;"Stored",AH!$P$10&lt;&gt;1)),"",IFERROR(IF(AND(AH!$P$21=1,1795+1=AH!$P$11),TODAY(),IF(AH!$P$10=1,INDEX('Live History'!$A$5:$A$3004,AH!$P$13+1795),INDEX('AH History'!$A$1:$A$18046,AH!$P$7+1795))),""))</ns0:f>
        <ns0:v/>
      </ns0:c>
      <ns0:c r="B1800" s="219">
        <ns0:f>IFERROR(IF(AND(AH!$P$9&lt;&gt;1,$C1800&gt;0,$D1800&gt;0,$E1800&gt;0,$F1800&gt;0,$G1800&gt;0,$F1800&lt;=$A1800,$G1800&lt;=$A1800,$A1800-$F1800&lt;=10,$A1800-$G1800&lt;=5),$D1800*$E1800/$C1800-1,NA()),NA())</ns0:f>
        <ns0:v/>
      </ns0:c>
      <ns0:c r="C1800">
        <ns0:f>IFERROR(IF(ISNUMBER($A1800),IF(AND(AH!$P$10=1,AH!$P$12=1,$A1800=TODAY()),AH!$P$19,IF(AH!$P$10=1,INDEX('Live History'!$B$5:$B$3004,AH!$P$13+1795),INDEX('AH History'!$B$1:$B$18046,AH!$P$7+1795))),NA()),NA())</ns0:f>
        <ns0:v/>
      </ns0:c>
      <ns0:c r="D1800">
        <ns0:f>IFERROR(IF(ISNUMBER($A1800),IF(AND(AH!$P$10=1,AH!$P$12=1,$A1800=TODAY()),AH!$P$18,IF(AH!$P$10=1,INDEX('Live History'!$E$5:$E$3004,MATCH($A1800,'Live History'!$D$5:$D$3004,1)),INDEX('AH History'!$C$1:$C$18046,AH!$P$7+1795))),NA()),NA())</ns0:f>
        <ns0:v/>
      </ns0:c>
      <ns0:c r="E1800">
        <ns0:f>IFERROR(IF(ISNUMBER($A1800),IF(AND(AH!$P$10=1,AH!$P$12=1,$A1800=TODAY()),AH!$P$20,IF(AH!$P$10=1,INDEX('Live History'!$H$5:$H$3004,MATCH($A1800,'Live History'!$G$5:$G$3004,1)),INDEX('AH History'!$D$1:$D$18046,AH!$P$7+1795))),NA()),NA())</ns0:f>
        <ns0:v/>
      </ns0:c>
      <ns0:c r="F1800">
        <ns0:f>IFERROR(IF(ISNUMBER($A1800),IF(AND(AH!$P$10=1,AH!$P$12=1,$A1800=TODAY()),IF(AND(AH!$P$10=1,AH!$P$12=1,$A1800=TODAY()),TODAY(),NA()),IF(AH!$P$10=1,INDEX('Live History'!$D$5:$D$3004,MATCH($A1800,'Live History'!$D$5:$D$3004,1)),INDEX('AH History'!$E$1:$E$18046,AH!$P$7+1795))),NA()),NA())</ns0:f>
        <ns0:v/>
      </ns0:c>
      <ns0:c r="G1800">
        <ns0:f>IFERROR(IF(ISNUMBER($A1800),IF(AND(AH!$P$10=1,AH!$P$12=1,$A1800=TODAY()),IF(AND(AH!$P$10=1,AH!$P$12=1,$A1800=TODAY()),TODAY(),NA()),IF(AH!$P$10=1,INDEX('Live History'!$G$5:$G$3004,MATCH($A1800,'Live History'!$G$5:$G$3004,1)),INDEX('AH History'!$F$1:$F$18046,AH!$P$7+1795))),NA()),NA())</ns0:f>
        <ns0:v/>
      </ns0:c>
      <ns0:c r="H1800">
        <ns0:f>IFERROR(IF(AND(AH!$E$4="Bloomberg",AH!$P$10=1,ISNUMBER($A1800),$A1800&lt;=AH!$P$17),AH!$P$7-1+MATCH($A1800,INDEX('AH History'!$A$1:$A$18046,AH!$P$7):INDEX('AH History'!$A$1:$A$18046,AH!$P$7+AH!$P$8-1),0),0),0)</ns0:f>
        <ns0:v/>
      </ns0:c>
      <ns0:c r="I1800">
        <ns0:f>IF($H1800=0,0,IFERROR(IF(AND(ABS($C1800-INDEX('AH History'!$B$1:$B$18046,$H1800))&lt;=MAX(0.005,ABS(INDEX('AH History'!$B$1:$B$18046,$H1800))*0.00005),ABS($D1800-INDEX('AH History'!$C$1:$C$18046,$H1800))&lt;=MAX(0.005,ABS(INDEX('AH History'!$C$1:$C$18046,$H1800))*0.00005),ABS($E1800-INDEX('AH History'!$D$1:$D$18046,$H1800))&lt;=0.00005,$F1800=INDEX('AH History'!$E$1:$E$18046,$H1800),$G1800=INDEX('AH History'!$F$1:$F$18046,$H1800)),1,-1),-1))</ns0:f>
        <ns0:v/>
      </ns0:c>
    </ns0:row>
    <ns0:row r="1801">
      <ns0:c r="A1801" s="215">
        <ns0:f>IF(OR(AH!$P$3=0,1796+1&gt;AH!$P$11,AND(AH!$E$4&lt;&gt;"Stored",AH!$P$10&lt;&gt;1)),"",IFERROR(IF(AND(AH!$P$21=1,1796+1=AH!$P$11),TODAY(),IF(AH!$P$10=1,INDEX('Live History'!$A$5:$A$3004,AH!$P$13+1796),INDEX('AH History'!$A$1:$A$18046,AH!$P$7+1796))),""))</ns0:f>
        <ns0:v/>
      </ns0:c>
      <ns0:c r="B1801" s="219">
        <ns0:f>IFERROR(IF(AND(AH!$P$9&lt;&gt;1,$C1801&gt;0,$D1801&gt;0,$E1801&gt;0,$F1801&gt;0,$G1801&gt;0,$F1801&lt;=$A1801,$G1801&lt;=$A1801,$A1801-$F1801&lt;=10,$A1801-$G1801&lt;=5),$D1801*$E1801/$C1801-1,NA()),NA())</ns0:f>
        <ns0:v/>
      </ns0:c>
      <ns0:c r="C1801">
        <ns0:f>IFERROR(IF(ISNUMBER($A1801),IF(AND(AH!$P$10=1,AH!$P$12=1,$A1801=TODAY()),AH!$P$19,IF(AH!$P$10=1,INDEX('Live History'!$B$5:$B$3004,AH!$P$13+1796),INDEX('AH History'!$B$1:$B$18046,AH!$P$7+1796))),NA()),NA())</ns0:f>
        <ns0:v/>
      </ns0:c>
      <ns0:c r="D1801">
        <ns0:f>IFERROR(IF(ISNUMBER($A1801),IF(AND(AH!$P$10=1,AH!$P$12=1,$A1801=TODAY()),AH!$P$18,IF(AH!$P$10=1,INDEX('Live History'!$E$5:$E$3004,MATCH($A1801,'Live History'!$D$5:$D$3004,1)),INDEX('AH History'!$C$1:$C$18046,AH!$P$7+1796))),NA()),NA())</ns0:f>
        <ns0:v/>
      </ns0:c>
      <ns0:c r="E1801">
        <ns0:f>IFERROR(IF(ISNUMBER($A1801),IF(AND(AH!$P$10=1,AH!$P$12=1,$A1801=TODAY()),AH!$P$20,IF(AH!$P$10=1,INDEX('Live History'!$H$5:$H$3004,MATCH($A1801,'Live History'!$G$5:$G$3004,1)),INDEX('AH History'!$D$1:$D$18046,AH!$P$7+1796))),NA()),NA())</ns0:f>
        <ns0:v/>
      </ns0:c>
      <ns0:c r="F1801">
        <ns0:f>IFERROR(IF(ISNUMBER($A1801),IF(AND(AH!$P$10=1,AH!$P$12=1,$A1801=TODAY()),IF(AND(AH!$P$10=1,AH!$P$12=1,$A1801=TODAY()),TODAY(),NA()),IF(AH!$P$10=1,INDEX('Live History'!$D$5:$D$3004,MATCH($A1801,'Live History'!$D$5:$D$3004,1)),INDEX('AH History'!$E$1:$E$18046,AH!$P$7+1796))),NA()),NA())</ns0:f>
        <ns0:v/>
      </ns0:c>
      <ns0:c r="G1801">
        <ns0:f>IFERROR(IF(ISNUMBER($A1801),IF(AND(AH!$P$10=1,AH!$P$12=1,$A1801=TODAY()),IF(AND(AH!$P$10=1,AH!$P$12=1,$A1801=TODAY()),TODAY(),NA()),IF(AH!$P$10=1,INDEX('Live History'!$G$5:$G$3004,MATCH($A1801,'Live History'!$G$5:$G$3004,1)),INDEX('AH History'!$F$1:$F$18046,AH!$P$7+1796))),NA()),NA())</ns0:f>
        <ns0:v/>
      </ns0:c>
      <ns0:c r="H1801">
        <ns0:f>IFERROR(IF(AND(AH!$E$4="Bloomberg",AH!$P$10=1,ISNUMBER($A1801),$A1801&lt;=AH!$P$17),AH!$P$7-1+MATCH($A1801,INDEX('AH History'!$A$1:$A$18046,AH!$P$7):INDEX('AH History'!$A$1:$A$18046,AH!$P$7+AH!$P$8-1),0),0),0)</ns0:f>
        <ns0:v/>
      </ns0:c>
      <ns0:c r="I1801">
        <ns0:f>IF($H1801=0,0,IFERROR(IF(AND(ABS($C1801-INDEX('AH History'!$B$1:$B$18046,$H1801))&lt;=MAX(0.005,ABS(INDEX('AH History'!$B$1:$B$18046,$H1801))*0.00005),ABS($D1801-INDEX('AH History'!$C$1:$C$18046,$H1801))&lt;=MAX(0.005,ABS(INDEX('AH History'!$C$1:$C$18046,$H1801))*0.00005),ABS($E1801-INDEX('AH History'!$D$1:$D$18046,$H1801))&lt;=0.00005,$F1801=INDEX('AH History'!$E$1:$E$18046,$H1801),$G1801=INDEX('AH History'!$F$1:$F$18046,$H1801)),1,-1),-1))</ns0:f>
        <ns0:v/>
      </ns0:c>
    </ns0:row>
    <ns0:row r="1802">
      <ns0:c r="A1802" s="215">
        <ns0:f>IF(OR(AH!$P$3=0,1797+1&gt;AH!$P$11,AND(AH!$E$4&lt;&gt;"Stored",AH!$P$10&lt;&gt;1)),"",IFERROR(IF(AND(AH!$P$21=1,1797+1=AH!$P$11),TODAY(),IF(AH!$P$10=1,INDEX('Live History'!$A$5:$A$3004,AH!$P$13+1797),INDEX('AH History'!$A$1:$A$18046,AH!$P$7+1797))),""))</ns0:f>
        <ns0:v/>
      </ns0:c>
      <ns0:c r="B1802" s="219">
        <ns0:f>IFERROR(IF(AND(AH!$P$9&lt;&gt;1,$C1802&gt;0,$D1802&gt;0,$E1802&gt;0,$F1802&gt;0,$G1802&gt;0,$F1802&lt;=$A1802,$G1802&lt;=$A1802,$A1802-$F1802&lt;=10,$A1802-$G1802&lt;=5),$D1802*$E1802/$C1802-1,NA()),NA())</ns0:f>
        <ns0:v/>
      </ns0:c>
      <ns0:c r="C1802">
        <ns0:f>IFERROR(IF(ISNUMBER($A1802),IF(AND(AH!$P$10=1,AH!$P$12=1,$A1802=TODAY()),AH!$P$19,IF(AH!$P$10=1,INDEX('Live History'!$B$5:$B$3004,AH!$P$13+1797),INDEX('AH History'!$B$1:$B$18046,AH!$P$7+1797))),NA()),NA())</ns0:f>
        <ns0:v/>
      </ns0:c>
      <ns0:c r="D1802">
        <ns0:f>IFERROR(IF(ISNUMBER($A1802),IF(AND(AH!$P$10=1,AH!$P$12=1,$A1802=TODAY()),AH!$P$18,IF(AH!$P$10=1,INDEX('Live History'!$E$5:$E$3004,MATCH($A1802,'Live History'!$D$5:$D$3004,1)),INDEX('AH History'!$C$1:$C$18046,AH!$P$7+1797))),NA()),NA())</ns0:f>
        <ns0:v/>
      </ns0:c>
      <ns0:c r="E1802">
        <ns0:f>IFERROR(IF(ISNUMBER($A1802),IF(AND(AH!$P$10=1,AH!$P$12=1,$A1802=TODAY()),AH!$P$20,IF(AH!$P$10=1,INDEX('Live History'!$H$5:$H$3004,MATCH($A1802,'Live History'!$G$5:$G$3004,1)),INDEX('AH History'!$D$1:$D$18046,AH!$P$7+1797))),NA()),NA())</ns0:f>
        <ns0:v/>
      </ns0:c>
      <ns0:c r="F1802">
        <ns0:f>IFERROR(IF(ISNUMBER($A1802),IF(AND(AH!$P$10=1,AH!$P$12=1,$A1802=TODAY()),IF(AND(AH!$P$10=1,AH!$P$12=1,$A1802=TODAY()),TODAY(),NA()),IF(AH!$P$10=1,INDEX('Live History'!$D$5:$D$3004,MATCH($A1802,'Live History'!$D$5:$D$3004,1)),INDEX('AH History'!$E$1:$E$18046,AH!$P$7+1797))),NA()),NA())</ns0:f>
        <ns0:v/>
      </ns0:c>
      <ns0:c r="G1802">
        <ns0:f>IFERROR(IF(ISNUMBER($A1802),IF(AND(AH!$P$10=1,AH!$P$12=1,$A1802=TODAY()),IF(AND(AH!$P$10=1,AH!$P$12=1,$A1802=TODAY()),TODAY(),NA()),IF(AH!$P$10=1,INDEX('Live History'!$G$5:$G$3004,MATCH($A1802,'Live History'!$G$5:$G$3004,1)),INDEX('AH History'!$F$1:$F$18046,AH!$P$7+1797))),NA()),NA())</ns0:f>
        <ns0:v/>
      </ns0:c>
      <ns0:c r="H1802">
        <ns0:f>IFERROR(IF(AND(AH!$E$4="Bloomberg",AH!$P$10=1,ISNUMBER($A1802),$A1802&lt;=AH!$P$17),AH!$P$7-1+MATCH($A1802,INDEX('AH History'!$A$1:$A$18046,AH!$P$7):INDEX('AH History'!$A$1:$A$18046,AH!$P$7+AH!$P$8-1),0),0),0)</ns0:f>
        <ns0:v/>
      </ns0:c>
      <ns0:c r="I1802">
        <ns0:f>IF($H1802=0,0,IFERROR(IF(AND(ABS($C1802-INDEX('AH History'!$B$1:$B$18046,$H1802))&lt;=MAX(0.005,ABS(INDEX('AH History'!$B$1:$B$18046,$H1802))*0.00005),ABS($D1802-INDEX('AH History'!$C$1:$C$18046,$H1802))&lt;=MAX(0.005,ABS(INDEX('AH History'!$C$1:$C$18046,$H1802))*0.00005),ABS($E1802-INDEX('AH History'!$D$1:$D$18046,$H1802))&lt;=0.00005,$F1802=INDEX('AH History'!$E$1:$E$18046,$H1802),$G1802=INDEX('AH History'!$F$1:$F$18046,$H1802)),1,-1),-1))</ns0:f>
        <ns0:v/>
      </ns0:c>
    </ns0:row>
    <ns0:row r="1803">
      <ns0:c r="A1803" s="215">
        <ns0:f>IF(OR(AH!$P$3=0,1798+1&gt;AH!$P$11,AND(AH!$E$4&lt;&gt;"Stored",AH!$P$10&lt;&gt;1)),"",IFERROR(IF(AND(AH!$P$21=1,1798+1=AH!$P$11),TODAY(),IF(AH!$P$10=1,INDEX('Live History'!$A$5:$A$3004,AH!$P$13+1798),INDEX('AH History'!$A$1:$A$18046,AH!$P$7+1798))),""))</ns0:f>
        <ns0:v/>
      </ns0:c>
      <ns0:c r="B1803" s="219">
        <ns0:f>IFERROR(IF(AND(AH!$P$9&lt;&gt;1,$C1803&gt;0,$D1803&gt;0,$E1803&gt;0,$F1803&gt;0,$G1803&gt;0,$F1803&lt;=$A1803,$G1803&lt;=$A1803,$A1803-$F1803&lt;=10,$A1803-$G1803&lt;=5),$D1803*$E1803/$C1803-1,NA()),NA())</ns0:f>
        <ns0:v/>
      </ns0:c>
      <ns0:c r="C1803">
        <ns0:f>IFERROR(IF(ISNUMBER($A1803),IF(AND(AH!$P$10=1,AH!$P$12=1,$A1803=TODAY()),AH!$P$19,IF(AH!$P$10=1,INDEX('Live History'!$B$5:$B$3004,AH!$P$13+1798),INDEX('AH History'!$B$1:$B$18046,AH!$P$7+1798))),NA()),NA())</ns0:f>
        <ns0:v/>
      </ns0:c>
      <ns0:c r="D1803">
        <ns0:f>IFERROR(IF(ISNUMBER($A1803),IF(AND(AH!$P$10=1,AH!$P$12=1,$A1803=TODAY()),AH!$P$18,IF(AH!$P$10=1,INDEX('Live History'!$E$5:$E$3004,MATCH($A1803,'Live History'!$D$5:$D$3004,1)),INDEX('AH History'!$C$1:$C$18046,AH!$P$7+1798))),NA()),NA())</ns0:f>
        <ns0:v/>
      </ns0:c>
      <ns0:c r="E1803">
        <ns0:f>IFERROR(IF(ISNUMBER($A1803),IF(AND(AH!$P$10=1,AH!$P$12=1,$A1803=TODAY()),AH!$P$20,IF(AH!$P$10=1,INDEX('Live History'!$H$5:$H$3004,MATCH($A1803,'Live History'!$G$5:$G$3004,1)),INDEX('AH History'!$D$1:$D$18046,AH!$P$7+1798))),NA()),NA())</ns0:f>
        <ns0:v/>
      </ns0:c>
      <ns0:c r="F1803">
        <ns0:f>IFERROR(IF(ISNUMBER($A1803),IF(AND(AH!$P$10=1,AH!$P$12=1,$A1803=TODAY()),IF(AND(AH!$P$10=1,AH!$P$12=1,$A1803=TODAY()),TODAY(),NA()),IF(AH!$P$10=1,INDEX('Live History'!$D$5:$D$3004,MATCH($A1803,'Live History'!$D$5:$D$3004,1)),INDEX('AH History'!$E$1:$E$18046,AH!$P$7+1798))),NA()),NA())</ns0:f>
        <ns0:v/>
      </ns0:c>
      <ns0:c r="G1803">
        <ns0:f>IFERROR(IF(ISNUMBER($A1803),IF(AND(AH!$P$10=1,AH!$P$12=1,$A1803=TODAY()),IF(AND(AH!$P$10=1,AH!$P$12=1,$A1803=TODAY()),TODAY(),NA()),IF(AH!$P$10=1,INDEX('Live History'!$G$5:$G$3004,MATCH($A1803,'Live History'!$G$5:$G$3004,1)),INDEX('AH History'!$F$1:$F$18046,AH!$P$7+1798))),NA()),NA())</ns0:f>
        <ns0:v/>
      </ns0:c>
      <ns0:c r="H1803">
        <ns0:f>IFERROR(IF(AND(AH!$E$4="Bloomberg",AH!$P$10=1,ISNUMBER($A1803),$A1803&lt;=AH!$P$17),AH!$P$7-1+MATCH($A1803,INDEX('AH History'!$A$1:$A$18046,AH!$P$7):INDEX('AH History'!$A$1:$A$18046,AH!$P$7+AH!$P$8-1),0),0),0)</ns0:f>
        <ns0:v/>
      </ns0:c>
      <ns0:c r="I1803">
        <ns0:f>IF($H1803=0,0,IFERROR(IF(AND(ABS($C1803-INDEX('AH History'!$B$1:$B$18046,$H1803))&lt;=MAX(0.005,ABS(INDEX('AH History'!$B$1:$B$18046,$H1803))*0.00005),ABS($D1803-INDEX('AH History'!$C$1:$C$18046,$H1803))&lt;=MAX(0.005,ABS(INDEX('AH History'!$C$1:$C$18046,$H1803))*0.00005),ABS($E1803-INDEX('AH History'!$D$1:$D$18046,$H1803))&lt;=0.00005,$F1803=INDEX('AH History'!$E$1:$E$18046,$H1803),$G1803=INDEX('AH History'!$F$1:$F$18046,$H1803)),1,-1),-1))</ns0:f>
        <ns0:v/>
      </ns0:c>
    </ns0:row>
    <ns0:row r="1804">
      <ns0:c r="A1804" s="215">
        <ns0:f>IF(OR(AH!$P$3=0,1799+1&gt;AH!$P$11,AND(AH!$E$4&lt;&gt;"Stored",AH!$P$10&lt;&gt;1)),"",IFERROR(IF(AND(AH!$P$21=1,1799+1=AH!$P$11),TODAY(),IF(AH!$P$10=1,INDEX('Live History'!$A$5:$A$3004,AH!$P$13+1799),INDEX('AH History'!$A$1:$A$18046,AH!$P$7+1799))),""))</ns0:f>
        <ns0:v/>
      </ns0:c>
      <ns0:c r="B1804" s="219">
        <ns0:f>IFERROR(IF(AND(AH!$P$9&lt;&gt;1,$C1804&gt;0,$D1804&gt;0,$E1804&gt;0,$F1804&gt;0,$G1804&gt;0,$F1804&lt;=$A1804,$G1804&lt;=$A1804,$A1804-$F1804&lt;=10,$A1804-$G1804&lt;=5),$D1804*$E1804/$C1804-1,NA()),NA())</ns0:f>
        <ns0:v/>
      </ns0:c>
      <ns0:c r="C1804">
        <ns0:f>IFERROR(IF(ISNUMBER($A1804),IF(AND(AH!$P$10=1,AH!$P$12=1,$A1804=TODAY()),AH!$P$19,IF(AH!$P$10=1,INDEX('Live History'!$B$5:$B$3004,AH!$P$13+1799),INDEX('AH History'!$B$1:$B$18046,AH!$P$7+1799))),NA()),NA())</ns0:f>
        <ns0:v/>
      </ns0:c>
      <ns0:c r="D1804">
        <ns0:f>IFERROR(IF(ISNUMBER($A1804),IF(AND(AH!$P$10=1,AH!$P$12=1,$A1804=TODAY()),AH!$P$18,IF(AH!$P$10=1,INDEX('Live History'!$E$5:$E$3004,MATCH($A1804,'Live History'!$D$5:$D$3004,1)),INDEX('AH History'!$C$1:$C$18046,AH!$P$7+1799))),NA()),NA())</ns0:f>
        <ns0:v/>
      </ns0:c>
      <ns0:c r="E1804">
        <ns0:f>IFERROR(IF(ISNUMBER($A1804),IF(AND(AH!$P$10=1,AH!$P$12=1,$A1804=TODAY()),AH!$P$20,IF(AH!$P$10=1,INDEX('Live History'!$H$5:$H$3004,MATCH($A1804,'Live History'!$G$5:$G$3004,1)),INDEX('AH History'!$D$1:$D$18046,AH!$P$7+1799))),NA()),NA())</ns0:f>
        <ns0:v/>
      </ns0:c>
      <ns0:c r="F1804">
        <ns0:f>IFERROR(IF(ISNUMBER($A1804),IF(AND(AH!$P$10=1,AH!$P$12=1,$A1804=TODAY()),IF(AND(AH!$P$10=1,AH!$P$12=1,$A1804=TODAY()),TODAY(),NA()),IF(AH!$P$10=1,INDEX('Live History'!$D$5:$D$3004,MATCH($A1804,'Live History'!$D$5:$D$3004,1)),INDEX('AH History'!$E$1:$E$18046,AH!$P$7+1799))),NA()),NA())</ns0:f>
        <ns0:v/>
      </ns0:c>
      <ns0:c r="G1804">
        <ns0:f>IFERROR(IF(ISNUMBER($A1804),IF(AND(AH!$P$10=1,AH!$P$12=1,$A1804=TODAY()),IF(AND(AH!$P$10=1,AH!$P$12=1,$A1804=TODAY()),TODAY(),NA()),IF(AH!$P$10=1,INDEX('Live History'!$G$5:$G$3004,MATCH($A1804,'Live History'!$G$5:$G$3004,1)),INDEX('AH History'!$F$1:$F$18046,AH!$P$7+1799))),NA()),NA())</ns0:f>
        <ns0:v/>
      </ns0:c>
      <ns0:c r="H1804">
        <ns0:f>IFERROR(IF(AND(AH!$E$4="Bloomberg",AH!$P$10=1,ISNUMBER($A1804),$A1804&lt;=AH!$P$17),AH!$P$7-1+MATCH($A1804,INDEX('AH History'!$A$1:$A$18046,AH!$P$7):INDEX('AH History'!$A$1:$A$18046,AH!$P$7+AH!$P$8-1),0),0),0)</ns0:f>
        <ns0:v/>
      </ns0:c>
      <ns0:c r="I1804">
        <ns0:f>IF($H1804=0,0,IFERROR(IF(AND(ABS($C1804-INDEX('AH History'!$B$1:$B$18046,$H1804))&lt;=MAX(0.005,ABS(INDEX('AH History'!$B$1:$B$18046,$H1804))*0.00005),ABS($D1804-INDEX('AH History'!$C$1:$C$18046,$H1804))&lt;=MAX(0.005,ABS(INDEX('AH History'!$C$1:$C$18046,$H1804))*0.00005),ABS($E1804-INDEX('AH History'!$D$1:$D$18046,$H1804))&lt;=0.00005,$F1804=INDEX('AH History'!$E$1:$E$18046,$H1804),$G1804=INDEX('AH History'!$F$1:$F$18046,$H1804)),1,-1),-1))</ns0:f>
        <ns0:v/>
      </ns0:c>
    </ns0:row>
    <ns0:row r="1805">
      <ns0:c r="A1805" s="215">
        <ns0:f>IF(OR(AH!$P$3=0,1800+1&gt;AH!$P$11,AND(AH!$E$4&lt;&gt;"Stored",AH!$P$10&lt;&gt;1)),"",IFERROR(IF(AND(AH!$P$21=1,1800+1=AH!$P$11),TODAY(),IF(AH!$P$10=1,INDEX('Live History'!$A$5:$A$3004,AH!$P$13+1800),INDEX('AH History'!$A$1:$A$18046,AH!$P$7+1800))),""))</ns0:f>
        <ns0:v/>
      </ns0:c>
      <ns0:c r="B1805" s="219">
        <ns0:f>IFERROR(IF(AND(AH!$P$9&lt;&gt;1,$C1805&gt;0,$D1805&gt;0,$E1805&gt;0,$F1805&gt;0,$G1805&gt;0,$F1805&lt;=$A1805,$G1805&lt;=$A1805,$A1805-$F1805&lt;=10,$A1805-$G1805&lt;=5),$D1805*$E1805/$C1805-1,NA()),NA())</ns0:f>
        <ns0:v/>
      </ns0:c>
      <ns0:c r="C1805">
        <ns0:f>IFERROR(IF(ISNUMBER($A1805),IF(AND(AH!$P$10=1,AH!$P$12=1,$A1805=TODAY()),AH!$P$19,IF(AH!$P$10=1,INDEX('Live History'!$B$5:$B$3004,AH!$P$13+1800),INDEX('AH History'!$B$1:$B$18046,AH!$P$7+1800))),NA()),NA())</ns0:f>
        <ns0:v/>
      </ns0:c>
      <ns0:c r="D1805">
        <ns0:f>IFERROR(IF(ISNUMBER($A1805),IF(AND(AH!$P$10=1,AH!$P$12=1,$A1805=TODAY()),AH!$P$18,IF(AH!$P$10=1,INDEX('Live History'!$E$5:$E$3004,MATCH($A1805,'Live History'!$D$5:$D$3004,1)),INDEX('AH History'!$C$1:$C$18046,AH!$P$7+1800))),NA()),NA())</ns0:f>
        <ns0:v/>
      </ns0:c>
      <ns0:c r="E1805">
        <ns0:f>IFERROR(IF(ISNUMBER($A1805),IF(AND(AH!$P$10=1,AH!$P$12=1,$A1805=TODAY()),AH!$P$20,IF(AH!$P$10=1,INDEX('Live History'!$H$5:$H$3004,MATCH($A1805,'Live History'!$G$5:$G$3004,1)),INDEX('AH History'!$D$1:$D$18046,AH!$P$7+1800))),NA()),NA())</ns0:f>
        <ns0:v/>
      </ns0:c>
      <ns0:c r="F1805">
        <ns0:f>IFERROR(IF(ISNUMBER($A1805),IF(AND(AH!$P$10=1,AH!$P$12=1,$A1805=TODAY()),IF(AND(AH!$P$10=1,AH!$P$12=1,$A1805=TODAY()),TODAY(),NA()),IF(AH!$P$10=1,INDEX('Live History'!$D$5:$D$3004,MATCH($A1805,'Live History'!$D$5:$D$3004,1)),INDEX('AH History'!$E$1:$E$18046,AH!$P$7+1800))),NA()),NA())</ns0:f>
        <ns0:v/>
      </ns0:c>
      <ns0:c r="G1805">
        <ns0:f>IFERROR(IF(ISNUMBER($A1805),IF(AND(AH!$P$10=1,AH!$P$12=1,$A1805=TODAY()),IF(AND(AH!$P$10=1,AH!$P$12=1,$A1805=TODAY()),TODAY(),NA()),IF(AH!$P$10=1,INDEX('Live History'!$G$5:$G$3004,MATCH($A1805,'Live History'!$G$5:$G$3004,1)),INDEX('AH History'!$F$1:$F$18046,AH!$P$7+1800))),NA()),NA())</ns0:f>
        <ns0:v/>
      </ns0:c>
      <ns0:c r="H1805">
        <ns0:f>IFERROR(IF(AND(AH!$E$4="Bloomberg",AH!$P$10=1,ISNUMBER($A1805),$A1805&lt;=AH!$P$17),AH!$P$7-1+MATCH($A1805,INDEX('AH History'!$A$1:$A$18046,AH!$P$7):INDEX('AH History'!$A$1:$A$18046,AH!$P$7+AH!$P$8-1),0),0),0)</ns0:f>
        <ns0:v/>
      </ns0:c>
      <ns0:c r="I1805">
        <ns0:f>IF($H1805=0,0,IFERROR(IF(AND(ABS($C1805-INDEX('AH History'!$B$1:$B$18046,$H1805))&lt;=MAX(0.005,ABS(INDEX('AH History'!$B$1:$B$18046,$H1805))*0.00005),ABS($D1805-INDEX('AH History'!$C$1:$C$18046,$H1805))&lt;=MAX(0.005,ABS(INDEX('AH History'!$C$1:$C$18046,$H1805))*0.00005),ABS($E1805-INDEX('AH History'!$D$1:$D$18046,$H1805))&lt;=0.00005,$F1805=INDEX('AH History'!$E$1:$E$18046,$H1805),$G1805=INDEX('AH History'!$F$1:$F$18046,$H1805)),1,-1),-1))</ns0:f>
        <ns0:v/>
      </ns0:c>
    </ns0:row>
    <ns0:row r="1806">
      <ns0:c r="A1806" s="215">
        <ns0:f>IF(OR(AH!$P$3=0,1801+1&gt;AH!$P$11,AND(AH!$E$4&lt;&gt;"Stored",AH!$P$10&lt;&gt;1)),"",IFERROR(IF(AND(AH!$P$21=1,1801+1=AH!$P$11),TODAY(),IF(AH!$P$10=1,INDEX('Live History'!$A$5:$A$3004,AH!$P$13+1801),INDEX('AH History'!$A$1:$A$18046,AH!$P$7+1801))),""))</ns0:f>
        <ns0:v/>
      </ns0:c>
      <ns0:c r="B1806" s="219">
        <ns0:f>IFERROR(IF(AND(AH!$P$9&lt;&gt;1,$C1806&gt;0,$D1806&gt;0,$E1806&gt;0,$F1806&gt;0,$G1806&gt;0,$F1806&lt;=$A1806,$G1806&lt;=$A1806,$A1806-$F1806&lt;=10,$A1806-$G1806&lt;=5),$D1806*$E1806/$C1806-1,NA()),NA())</ns0:f>
        <ns0:v/>
      </ns0:c>
      <ns0:c r="C1806">
        <ns0:f>IFERROR(IF(ISNUMBER($A1806),IF(AND(AH!$P$10=1,AH!$P$12=1,$A1806=TODAY()),AH!$P$19,IF(AH!$P$10=1,INDEX('Live History'!$B$5:$B$3004,AH!$P$13+1801),INDEX('AH History'!$B$1:$B$18046,AH!$P$7+1801))),NA()),NA())</ns0:f>
        <ns0:v/>
      </ns0:c>
      <ns0:c r="D1806">
        <ns0:f>IFERROR(IF(ISNUMBER($A1806),IF(AND(AH!$P$10=1,AH!$P$12=1,$A1806=TODAY()),AH!$P$18,IF(AH!$P$10=1,INDEX('Live History'!$E$5:$E$3004,MATCH($A1806,'Live History'!$D$5:$D$3004,1)),INDEX('AH History'!$C$1:$C$18046,AH!$P$7+1801))),NA()),NA())</ns0:f>
        <ns0:v/>
      </ns0:c>
      <ns0:c r="E1806">
        <ns0:f>IFERROR(IF(ISNUMBER($A1806),IF(AND(AH!$P$10=1,AH!$P$12=1,$A1806=TODAY()),AH!$P$20,IF(AH!$P$10=1,INDEX('Live History'!$H$5:$H$3004,MATCH($A1806,'Live History'!$G$5:$G$3004,1)),INDEX('AH History'!$D$1:$D$18046,AH!$P$7+1801))),NA()),NA())</ns0:f>
        <ns0:v/>
      </ns0:c>
      <ns0:c r="F1806">
        <ns0:f>IFERROR(IF(ISNUMBER($A1806),IF(AND(AH!$P$10=1,AH!$P$12=1,$A1806=TODAY()),IF(AND(AH!$P$10=1,AH!$P$12=1,$A1806=TODAY()),TODAY(),NA()),IF(AH!$P$10=1,INDEX('Live History'!$D$5:$D$3004,MATCH($A1806,'Live History'!$D$5:$D$3004,1)),INDEX('AH History'!$E$1:$E$18046,AH!$P$7+1801))),NA()),NA())</ns0:f>
        <ns0:v/>
      </ns0:c>
      <ns0:c r="G1806">
        <ns0:f>IFERROR(IF(ISNUMBER($A1806),IF(AND(AH!$P$10=1,AH!$P$12=1,$A1806=TODAY()),IF(AND(AH!$P$10=1,AH!$P$12=1,$A1806=TODAY()),TODAY(),NA()),IF(AH!$P$10=1,INDEX('Live History'!$G$5:$G$3004,MATCH($A1806,'Live History'!$G$5:$G$3004,1)),INDEX('AH History'!$F$1:$F$18046,AH!$P$7+1801))),NA()),NA())</ns0:f>
        <ns0:v/>
      </ns0:c>
      <ns0:c r="H1806">
        <ns0:f>IFERROR(IF(AND(AH!$E$4="Bloomberg",AH!$P$10=1,ISNUMBER($A1806),$A1806&lt;=AH!$P$17),AH!$P$7-1+MATCH($A1806,INDEX('AH History'!$A$1:$A$18046,AH!$P$7):INDEX('AH History'!$A$1:$A$18046,AH!$P$7+AH!$P$8-1),0),0),0)</ns0:f>
        <ns0:v/>
      </ns0:c>
      <ns0:c r="I1806">
        <ns0:f>IF($H1806=0,0,IFERROR(IF(AND(ABS($C1806-INDEX('AH History'!$B$1:$B$18046,$H1806))&lt;=MAX(0.005,ABS(INDEX('AH History'!$B$1:$B$18046,$H1806))*0.00005),ABS($D1806-INDEX('AH History'!$C$1:$C$18046,$H1806))&lt;=MAX(0.005,ABS(INDEX('AH History'!$C$1:$C$18046,$H1806))*0.00005),ABS($E1806-INDEX('AH History'!$D$1:$D$18046,$H1806))&lt;=0.00005,$F1806=INDEX('AH History'!$E$1:$E$18046,$H1806),$G1806=INDEX('AH History'!$F$1:$F$18046,$H1806)),1,-1),-1))</ns0:f>
        <ns0:v/>
      </ns0:c>
    </ns0:row>
    <ns0:row r="1807">
      <ns0:c r="A1807" s="215">
        <ns0:f>IF(OR(AH!$P$3=0,1802+1&gt;AH!$P$11,AND(AH!$E$4&lt;&gt;"Stored",AH!$P$10&lt;&gt;1)),"",IFERROR(IF(AND(AH!$P$21=1,1802+1=AH!$P$11),TODAY(),IF(AH!$P$10=1,INDEX('Live History'!$A$5:$A$3004,AH!$P$13+1802),INDEX('AH History'!$A$1:$A$18046,AH!$P$7+1802))),""))</ns0:f>
        <ns0:v/>
      </ns0:c>
      <ns0:c r="B1807" s="219">
        <ns0:f>IFERROR(IF(AND(AH!$P$9&lt;&gt;1,$C1807&gt;0,$D1807&gt;0,$E1807&gt;0,$F1807&gt;0,$G1807&gt;0,$F1807&lt;=$A1807,$G1807&lt;=$A1807,$A1807-$F1807&lt;=10,$A1807-$G1807&lt;=5),$D1807*$E1807/$C1807-1,NA()),NA())</ns0:f>
        <ns0:v/>
      </ns0:c>
      <ns0:c r="C1807">
        <ns0:f>IFERROR(IF(ISNUMBER($A1807),IF(AND(AH!$P$10=1,AH!$P$12=1,$A1807=TODAY()),AH!$P$19,IF(AH!$P$10=1,INDEX('Live History'!$B$5:$B$3004,AH!$P$13+1802),INDEX('AH History'!$B$1:$B$18046,AH!$P$7+1802))),NA()),NA())</ns0:f>
        <ns0:v/>
      </ns0:c>
      <ns0:c r="D1807">
        <ns0:f>IFERROR(IF(ISNUMBER($A1807),IF(AND(AH!$P$10=1,AH!$P$12=1,$A1807=TODAY()),AH!$P$18,IF(AH!$P$10=1,INDEX('Live History'!$E$5:$E$3004,MATCH($A1807,'Live History'!$D$5:$D$3004,1)),INDEX('AH History'!$C$1:$C$18046,AH!$P$7+1802))),NA()),NA())</ns0:f>
        <ns0:v/>
      </ns0:c>
      <ns0:c r="E1807">
        <ns0:f>IFERROR(IF(ISNUMBER($A1807),IF(AND(AH!$P$10=1,AH!$P$12=1,$A1807=TODAY()),AH!$P$20,IF(AH!$P$10=1,INDEX('Live History'!$H$5:$H$3004,MATCH($A1807,'Live History'!$G$5:$G$3004,1)),INDEX('AH History'!$D$1:$D$18046,AH!$P$7+1802))),NA()),NA())</ns0:f>
        <ns0:v/>
      </ns0:c>
      <ns0:c r="F1807">
        <ns0:f>IFERROR(IF(ISNUMBER($A1807),IF(AND(AH!$P$10=1,AH!$P$12=1,$A1807=TODAY()),IF(AND(AH!$P$10=1,AH!$P$12=1,$A1807=TODAY()),TODAY(),NA()),IF(AH!$P$10=1,INDEX('Live History'!$D$5:$D$3004,MATCH($A1807,'Live History'!$D$5:$D$3004,1)),INDEX('AH History'!$E$1:$E$18046,AH!$P$7+1802))),NA()),NA())</ns0:f>
        <ns0:v/>
      </ns0:c>
      <ns0:c r="G1807">
        <ns0:f>IFERROR(IF(ISNUMBER($A1807),IF(AND(AH!$P$10=1,AH!$P$12=1,$A1807=TODAY()),IF(AND(AH!$P$10=1,AH!$P$12=1,$A1807=TODAY()),TODAY(),NA()),IF(AH!$P$10=1,INDEX('Live History'!$G$5:$G$3004,MATCH($A1807,'Live History'!$G$5:$G$3004,1)),INDEX('AH History'!$F$1:$F$18046,AH!$P$7+1802))),NA()),NA())</ns0:f>
        <ns0:v/>
      </ns0:c>
      <ns0:c r="H1807">
        <ns0:f>IFERROR(IF(AND(AH!$E$4="Bloomberg",AH!$P$10=1,ISNUMBER($A1807),$A1807&lt;=AH!$P$17),AH!$P$7-1+MATCH($A1807,INDEX('AH History'!$A$1:$A$18046,AH!$P$7):INDEX('AH History'!$A$1:$A$18046,AH!$P$7+AH!$P$8-1),0),0),0)</ns0:f>
        <ns0:v/>
      </ns0:c>
      <ns0:c r="I1807">
        <ns0:f>IF($H1807=0,0,IFERROR(IF(AND(ABS($C1807-INDEX('AH History'!$B$1:$B$18046,$H1807))&lt;=MAX(0.005,ABS(INDEX('AH History'!$B$1:$B$18046,$H1807))*0.00005),ABS($D1807-INDEX('AH History'!$C$1:$C$18046,$H1807))&lt;=MAX(0.005,ABS(INDEX('AH History'!$C$1:$C$18046,$H1807))*0.00005),ABS($E1807-INDEX('AH History'!$D$1:$D$18046,$H1807))&lt;=0.00005,$F1807=INDEX('AH History'!$E$1:$E$18046,$H1807),$G1807=INDEX('AH History'!$F$1:$F$18046,$H1807)),1,-1),-1))</ns0:f>
        <ns0:v/>
      </ns0:c>
    </ns0:row>
    <ns0:row r="1808">
      <ns0:c r="A1808" s="215">
        <ns0:f>IF(OR(AH!$P$3=0,1803+1&gt;AH!$P$11,AND(AH!$E$4&lt;&gt;"Stored",AH!$P$10&lt;&gt;1)),"",IFERROR(IF(AND(AH!$P$21=1,1803+1=AH!$P$11),TODAY(),IF(AH!$P$10=1,INDEX('Live History'!$A$5:$A$3004,AH!$P$13+1803),INDEX('AH History'!$A$1:$A$18046,AH!$P$7+1803))),""))</ns0:f>
        <ns0:v/>
      </ns0:c>
      <ns0:c r="B1808" s="219">
        <ns0:f>IFERROR(IF(AND(AH!$P$9&lt;&gt;1,$C1808&gt;0,$D1808&gt;0,$E1808&gt;0,$F1808&gt;0,$G1808&gt;0,$F1808&lt;=$A1808,$G1808&lt;=$A1808,$A1808-$F1808&lt;=10,$A1808-$G1808&lt;=5),$D1808*$E1808/$C1808-1,NA()),NA())</ns0:f>
        <ns0:v/>
      </ns0:c>
      <ns0:c r="C1808">
        <ns0:f>IFERROR(IF(ISNUMBER($A1808),IF(AND(AH!$P$10=1,AH!$P$12=1,$A1808=TODAY()),AH!$P$19,IF(AH!$P$10=1,INDEX('Live History'!$B$5:$B$3004,AH!$P$13+1803),INDEX('AH History'!$B$1:$B$18046,AH!$P$7+1803))),NA()),NA())</ns0:f>
        <ns0:v/>
      </ns0:c>
      <ns0:c r="D1808">
        <ns0:f>IFERROR(IF(ISNUMBER($A1808),IF(AND(AH!$P$10=1,AH!$P$12=1,$A1808=TODAY()),AH!$P$18,IF(AH!$P$10=1,INDEX('Live History'!$E$5:$E$3004,MATCH($A1808,'Live History'!$D$5:$D$3004,1)),INDEX('AH History'!$C$1:$C$18046,AH!$P$7+1803))),NA()),NA())</ns0:f>
        <ns0:v/>
      </ns0:c>
      <ns0:c r="E1808">
        <ns0:f>IFERROR(IF(ISNUMBER($A1808),IF(AND(AH!$P$10=1,AH!$P$12=1,$A1808=TODAY()),AH!$P$20,IF(AH!$P$10=1,INDEX('Live History'!$H$5:$H$3004,MATCH($A1808,'Live History'!$G$5:$G$3004,1)),INDEX('AH History'!$D$1:$D$18046,AH!$P$7+1803))),NA()),NA())</ns0:f>
        <ns0:v/>
      </ns0:c>
      <ns0:c r="F1808">
        <ns0:f>IFERROR(IF(ISNUMBER($A1808),IF(AND(AH!$P$10=1,AH!$P$12=1,$A1808=TODAY()),IF(AND(AH!$P$10=1,AH!$P$12=1,$A1808=TODAY()),TODAY(),NA()),IF(AH!$P$10=1,INDEX('Live History'!$D$5:$D$3004,MATCH($A1808,'Live History'!$D$5:$D$3004,1)),INDEX('AH History'!$E$1:$E$18046,AH!$P$7+1803))),NA()),NA())</ns0:f>
        <ns0:v/>
      </ns0:c>
      <ns0:c r="G1808">
        <ns0:f>IFERROR(IF(ISNUMBER($A1808),IF(AND(AH!$P$10=1,AH!$P$12=1,$A1808=TODAY()),IF(AND(AH!$P$10=1,AH!$P$12=1,$A1808=TODAY()),TODAY(),NA()),IF(AH!$P$10=1,INDEX('Live History'!$G$5:$G$3004,MATCH($A1808,'Live History'!$G$5:$G$3004,1)),INDEX('AH History'!$F$1:$F$18046,AH!$P$7+1803))),NA()),NA())</ns0:f>
        <ns0:v/>
      </ns0:c>
      <ns0:c r="H1808">
        <ns0:f>IFERROR(IF(AND(AH!$E$4="Bloomberg",AH!$P$10=1,ISNUMBER($A1808),$A1808&lt;=AH!$P$17),AH!$P$7-1+MATCH($A1808,INDEX('AH History'!$A$1:$A$18046,AH!$P$7):INDEX('AH History'!$A$1:$A$18046,AH!$P$7+AH!$P$8-1),0),0),0)</ns0:f>
        <ns0:v/>
      </ns0:c>
      <ns0:c r="I1808">
        <ns0:f>IF($H1808=0,0,IFERROR(IF(AND(ABS($C1808-INDEX('AH History'!$B$1:$B$18046,$H1808))&lt;=MAX(0.005,ABS(INDEX('AH History'!$B$1:$B$18046,$H1808))*0.00005),ABS($D1808-INDEX('AH History'!$C$1:$C$18046,$H1808))&lt;=MAX(0.005,ABS(INDEX('AH History'!$C$1:$C$18046,$H1808))*0.00005),ABS($E1808-INDEX('AH History'!$D$1:$D$18046,$H1808))&lt;=0.00005,$F1808=INDEX('AH History'!$E$1:$E$18046,$H1808),$G1808=INDEX('AH History'!$F$1:$F$18046,$H1808)),1,-1),-1))</ns0:f>
        <ns0:v/>
      </ns0:c>
    </ns0:row>
    <ns0:row r="1809">
      <ns0:c r="A1809" s="215">
        <ns0:f>IF(OR(AH!$P$3=0,1804+1&gt;AH!$P$11,AND(AH!$E$4&lt;&gt;"Stored",AH!$P$10&lt;&gt;1)),"",IFERROR(IF(AND(AH!$P$21=1,1804+1=AH!$P$11),TODAY(),IF(AH!$P$10=1,INDEX('Live History'!$A$5:$A$3004,AH!$P$13+1804),INDEX('AH History'!$A$1:$A$18046,AH!$P$7+1804))),""))</ns0:f>
        <ns0:v/>
      </ns0:c>
      <ns0:c r="B1809" s="219">
        <ns0:f>IFERROR(IF(AND(AH!$P$9&lt;&gt;1,$C1809&gt;0,$D1809&gt;0,$E1809&gt;0,$F1809&gt;0,$G1809&gt;0,$F1809&lt;=$A1809,$G1809&lt;=$A1809,$A1809-$F1809&lt;=10,$A1809-$G1809&lt;=5),$D1809*$E1809/$C1809-1,NA()),NA())</ns0:f>
        <ns0:v/>
      </ns0:c>
      <ns0:c r="C1809">
        <ns0:f>IFERROR(IF(ISNUMBER($A1809),IF(AND(AH!$P$10=1,AH!$P$12=1,$A1809=TODAY()),AH!$P$19,IF(AH!$P$10=1,INDEX('Live History'!$B$5:$B$3004,AH!$P$13+1804),INDEX('AH History'!$B$1:$B$18046,AH!$P$7+1804))),NA()),NA())</ns0:f>
        <ns0:v/>
      </ns0:c>
      <ns0:c r="D1809">
        <ns0:f>IFERROR(IF(ISNUMBER($A1809),IF(AND(AH!$P$10=1,AH!$P$12=1,$A1809=TODAY()),AH!$P$18,IF(AH!$P$10=1,INDEX('Live History'!$E$5:$E$3004,MATCH($A1809,'Live History'!$D$5:$D$3004,1)),INDEX('AH History'!$C$1:$C$18046,AH!$P$7+1804))),NA()),NA())</ns0:f>
        <ns0:v/>
      </ns0:c>
      <ns0:c r="E1809">
        <ns0:f>IFERROR(IF(ISNUMBER($A1809),IF(AND(AH!$P$10=1,AH!$P$12=1,$A1809=TODAY()),AH!$P$20,IF(AH!$P$10=1,INDEX('Live History'!$H$5:$H$3004,MATCH($A1809,'Live History'!$G$5:$G$3004,1)),INDEX('AH History'!$D$1:$D$18046,AH!$P$7+1804))),NA()),NA())</ns0:f>
        <ns0:v/>
      </ns0:c>
      <ns0:c r="F1809">
        <ns0:f>IFERROR(IF(ISNUMBER($A1809),IF(AND(AH!$P$10=1,AH!$P$12=1,$A1809=TODAY()),IF(AND(AH!$P$10=1,AH!$P$12=1,$A1809=TODAY()),TODAY(),NA()),IF(AH!$P$10=1,INDEX('Live History'!$D$5:$D$3004,MATCH($A1809,'Live History'!$D$5:$D$3004,1)),INDEX('AH History'!$E$1:$E$18046,AH!$P$7+1804))),NA()),NA())</ns0:f>
        <ns0:v/>
      </ns0:c>
      <ns0:c r="G1809">
        <ns0:f>IFERROR(IF(ISNUMBER($A1809),IF(AND(AH!$P$10=1,AH!$P$12=1,$A1809=TODAY()),IF(AND(AH!$P$10=1,AH!$P$12=1,$A1809=TODAY()),TODAY(),NA()),IF(AH!$P$10=1,INDEX('Live History'!$G$5:$G$3004,MATCH($A1809,'Live History'!$G$5:$G$3004,1)),INDEX('AH History'!$F$1:$F$18046,AH!$P$7+1804))),NA()),NA())</ns0:f>
        <ns0:v/>
      </ns0:c>
      <ns0:c r="H1809">
        <ns0:f>IFERROR(IF(AND(AH!$E$4="Bloomberg",AH!$P$10=1,ISNUMBER($A1809),$A1809&lt;=AH!$P$17),AH!$P$7-1+MATCH($A1809,INDEX('AH History'!$A$1:$A$18046,AH!$P$7):INDEX('AH History'!$A$1:$A$18046,AH!$P$7+AH!$P$8-1),0),0),0)</ns0:f>
        <ns0:v/>
      </ns0:c>
      <ns0:c r="I1809">
        <ns0:f>IF($H1809=0,0,IFERROR(IF(AND(ABS($C1809-INDEX('AH History'!$B$1:$B$18046,$H1809))&lt;=MAX(0.005,ABS(INDEX('AH History'!$B$1:$B$18046,$H1809))*0.00005),ABS($D1809-INDEX('AH History'!$C$1:$C$18046,$H1809))&lt;=MAX(0.005,ABS(INDEX('AH History'!$C$1:$C$18046,$H1809))*0.00005),ABS($E1809-INDEX('AH History'!$D$1:$D$18046,$H1809))&lt;=0.00005,$F1809=INDEX('AH History'!$E$1:$E$18046,$H1809),$G1809=INDEX('AH History'!$F$1:$F$18046,$H1809)),1,-1),-1))</ns0:f>
        <ns0:v/>
      </ns0:c>
    </ns0:row>
    <ns0:row r="1810">
      <ns0:c r="A1810" s="215">
        <ns0:f>IF(OR(AH!$P$3=0,1805+1&gt;AH!$P$11,AND(AH!$E$4&lt;&gt;"Stored",AH!$P$10&lt;&gt;1)),"",IFERROR(IF(AND(AH!$P$21=1,1805+1=AH!$P$11),TODAY(),IF(AH!$P$10=1,INDEX('Live History'!$A$5:$A$3004,AH!$P$13+1805),INDEX('AH History'!$A$1:$A$18046,AH!$P$7+1805))),""))</ns0:f>
        <ns0:v/>
      </ns0:c>
      <ns0:c r="B1810" s="219">
        <ns0:f>IFERROR(IF(AND(AH!$P$9&lt;&gt;1,$C1810&gt;0,$D1810&gt;0,$E1810&gt;0,$F1810&gt;0,$G1810&gt;0,$F1810&lt;=$A1810,$G1810&lt;=$A1810,$A1810-$F1810&lt;=10,$A1810-$G1810&lt;=5),$D1810*$E1810/$C1810-1,NA()),NA())</ns0:f>
        <ns0:v/>
      </ns0:c>
      <ns0:c r="C1810">
        <ns0:f>IFERROR(IF(ISNUMBER($A1810),IF(AND(AH!$P$10=1,AH!$P$12=1,$A1810=TODAY()),AH!$P$19,IF(AH!$P$10=1,INDEX('Live History'!$B$5:$B$3004,AH!$P$13+1805),INDEX('AH History'!$B$1:$B$18046,AH!$P$7+1805))),NA()),NA())</ns0:f>
        <ns0:v/>
      </ns0:c>
      <ns0:c r="D1810">
        <ns0:f>IFERROR(IF(ISNUMBER($A1810),IF(AND(AH!$P$10=1,AH!$P$12=1,$A1810=TODAY()),AH!$P$18,IF(AH!$P$10=1,INDEX('Live History'!$E$5:$E$3004,MATCH($A1810,'Live History'!$D$5:$D$3004,1)),INDEX('AH History'!$C$1:$C$18046,AH!$P$7+1805))),NA()),NA())</ns0:f>
        <ns0:v/>
      </ns0:c>
      <ns0:c r="E1810">
        <ns0:f>IFERROR(IF(ISNUMBER($A1810),IF(AND(AH!$P$10=1,AH!$P$12=1,$A1810=TODAY()),AH!$P$20,IF(AH!$P$10=1,INDEX('Live History'!$H$5:$H$3004,MATCH($A1810,'Live History'!$G$5:$G$3004,1)),INDEX('AH History'!$D$1:$D$18046,AH!$P$7+1805))),NA()),NA())</ns0:f>
        <ns0:v/>
      </ns0:c>
      <ns0:c r="F1810">
        <ns0:f>IFERROR(IF(ISNUMBER($A1810),IF(AND(AH!$P$10=1,AH!$P$12=1,$A1810=TODAY()),IF(AND(AH!$P$10=1,AH!$P$12=1,$A1810=TODAY()),TODAY(),NA()),IF(AH!$P$10=1,INDEX('Live History'!$D$5:$D$3004,MATCH($A1810,'Live History'!$D$5:$D$3004,1)),INDEX('AH History'!$E$1:$E$18046,AH!$P$7+1805))),NA()),NA())</ns0:f>
        <ns0:v/>
      </ns0:c>
      <ns0:c r="G1810">
        <ns0:f>IFERROR(IF(ISNUMBER($A1810),IF(AND(AH!$P$10=1,AH!$P$12=1,$A1810=TODAY()),IF(AND(AH!$P$10=1,AH!$P$12=1,$A1810=TODAY()),TODAY(),NA()),IF(AH!$P$10=1,INDEX('Live History'!$G$5:$G$3004,MATCH($A1810,'Live History'!$G$5:$G$3004,1)),INDEX('AH History'!$F$1:$F$18046,AH!$P$7+1805))),NA()),NA())</ns0:f>
        <ns0:v/>
      </ns0:c>
      <ns0:c r="H1810">
        <ns0:f>IFERROR(IF(AND(AH!$E$4="Bloomberg",AH!$P$10=1,ISNUMBER($A1810),$A1810&lt;=AH!$P$17),AH!$P$7-1+MATCH($A1810,INDEX('AH History'!$A$1:$A$18046,AH!$P$7):INDEX('AH History'!$A$1:$A$18046,AH!$P$7+AH!$P$8-1),0),0),0)</ns0:f>
        <ns0:v/>
      </ns0:c>
      <ns0:c r="I1810">
        <ns0:f>IF($H1810=0,0,IFERROR(IF(AND(ABS($C1810-INDEX('AH History'!$B$1:$B$18046,$H1810))&lt;=MAX(0.005,ABS(INDEX('AH History'!$B$1:$B$18046,$H1810))*0.00005),ABS($D1810-INDEX('AH History'!$C$1:$C$18046,$H1810))&lt;=MAX(0.005,ABS(INDEX('AH History'!$C$1:$C$18046,$H1810))*0.00005),ABS($E1810-INDEX('AH History'!$D$1:$D$18046,$H1810))&lt;=0.00005,$F1810=INDEX('AH History'!$E$1:$E$18046,$H1810),$G1810=INDEX('AH History'!$F$1:$F$18046,$H1810)),1,-1),-1))</ns0:f>
        <ns0:v/>
      </ns0:c>
    </ns0:row>
    <ns0:row r="1811">
      <ns0:c r="A1811" s="215">
        <ns0:f>IF(OR(AH!$P$3=0,1806+1&gt;AH!$P$11,AND(AH!$E$4&lt;&gt;"Stored",AH!$P$10&lt;&gt;1)),"",IFERROR(IF(AND(AH!$P$21=1,1806+1=AH!$P$11),TODAY(),IF(AH!$P$10=1,INDEX('Live History'!$A$5:$A$3004,AH!$P$13+1806),INDEX('AH History'!$A$1:$A$18046,AH!$P$7+1806))),""))</ns0:f>
        <ns0:v/>
      </ns0:c>
      <ns0:c r="B1811" s="219">
        <ns0:f>IFERROR(IF(AND(AH!$P$9&lt;&gt;1,$C1811&gt;0,$D1811&gt;0,$E1811&gt;0,$F1811&gt;0,$G1811&gt;0,$F1811&lt;=$A1811,$G1811&lt;=$A1811,$A1811-$F1811&lt;=10,$A1811-$G1811&lt;=5),$D1811*$E1811/$C1811-1,NA()),NA())</ns0:f>
        <ns0:v/>
      </ns0:c>
      <ns0:c r="C1811">
        <ns0:f>IFERROR(IF(ISNUMBER($A1811),IF(AND(AH!$P$10=1,AH!$P$12=1,$A1811=TODAY()),AH!$P$19,IF(AH!$P$10=1,INDEX('Live History'!$B$5:$B$3004,AH!$P$13+1806),INDEX('AH History'!$B$1:$B$18046,AH!$P$7+1806))),NA()),NA())</ns0:f>
        <ns0:v/>
      </ns0:c>
      <ns0:c r="D1811">
        <ns0:f>IFERROR(IF(ISNUMBER($A1811),IF(AND(AH!$P$10=1,AH!$P$12=1,$A1811=TODAY()),AH!$P$18,IF(AH!$P$10=1,INDEX('Live History'!$E$5:$E$3004,MATCH($A1811,'Live History'!$D$5:$D$3004,1)),INDEX('AH History'!$C$1:$C$18046,AH!$P$7+1806))),NA()),NA())</ns0:f>
        <ns0:v/>
      </ns0:c>
      <ns0:c r="E1811">
        <ns0:f>IFERROR(IF(ISNUMBER($A1811),IF(AND(AH!$P$10=1,AH!$P$12=1,$A1811=TODAY()),AH!$P$20,IF(AH!$P$10=1,INDEX('Live History'!$H$5:$H$3004,MATCH($A1811,'Live History'!$G$5:$G$3004,1)),INDEX('AH History'!$D$1:$D$18046,AH!$P$7+1806))),NA()),NA())</ns0:f>
        <ns0:v/>
      </ns0:c>
      <ns0:c r="F1811">
        <ns0:f>IFERROR(IF(ISNUMBER($A1811),IF(AND(AH!$P$10=1,AH!$P$12=1,$A1811=TODAY()),IF(AND(AH!$P$10=1,AH!$P$12=1,$A1811=TODAY()),TODAY(),NA()),IF(AH!$P$10=1,INDEX('Live History'!$D$5:$D$3004,MATCH($A1811,'Live History'!$D$5:$D$3004,1)),INDEX('AH History'!$E$1:$E$18046,AH!$P$7+1806))),NA()),NA())</ns0:f>
        <ns0:v/>
      </ns0:c>
      <ns0:c r="G1811">
        <ns0:f>IFERROR(IF(ISNUMBER($A1811),IF(AND(AH!$P$10=1,AH!$P$12=1,$A1811=TODAY()),IF(AND(AH!$P$10=1,AH!$P$12=1,$A1811=TODAY()),TODAY(),NA()),IF(AH!$P$10=1,INDEX('Live History'!$G$5:$G$3004,MATCH($A1811,'Live History'!$G$5:$G$3004,1)),INDEX('AH History'!$F$1:$F$18046,AH!$P$7+1806))),NA()),NA())</ns0:f>
        <ns0:v/>
      </ns0:c>
      <ns0:c r="H1811">
        <ns0:f>IFERROR(IF(AND(AH!$E$4="Bloomberg",AH!$P$10=1,ISNUMBER($A1811),$A1811&lt;=AH!$P$17),AH!$P$7-1+MATCH($A1811,INDEX('AH History'!$A$1:$A$18046,AH!$P$7):INDEX('AH History'!$A$1:$A$18046,AH!$P$7+AH!$P$8-1),0),0),0)</ns0:f>
        <ns0:v/>
      </ns0:c>
      <ns0:c r="I1811">
        <ns0:f>IF($H1811=0,0,IFERROR(IF(AND(ABS($C1811-INDEX('AH History'!$B$1:$B$18046,$H1811))&lt;=MAX(0.005,ABS(INDEX('AH History'!$B$1:$B$18046,$H1811))*0.00005),ABS($D1811-INDEX('AH History'!$C$1:$C$18046,$H1811))&lt;=MAX(0.005,ABS(INDEX('AH History'!$C$1:$C$18046,$H1811))*0.00005),ABS($E1811-INDEX('AH History'!$D$1:$D$18046,$H1811))&lt;=0.00005,$F1811=INDEX('AH History'!$E$1:$E$18046,$H1811),$G1811=INDEX('AH History'!$F$1:$F$18046,$H1811)),1,-1),-1))</ns0:f>
        <ns0:v/>
      </ns0:c>
    </ns0:row>
    <ns0:row r="1812">
      <ns0:c r="A1812" s="215">
        <ns0:f>IF(OR(AH!$P$3=0,1807+1&gt;AH!$P$11,AND(AH!$E$4&lt;&gt;"Stored",AH!$P$10&lt;&gt;1)),"",IFERROR(IF(AND(AH!$P$21=1,1807+1=AH!$P$11),TODAY(),IF(AH!$P$10=1,INDEX('Live History'!$A$5:$A$3004,AH!$P$13+1807),INDEX('AH History'!$A$1:$A$18046,AH!$P$7+1807))),""))</ns0:f>
        <ns0:v/>
      </ns0:c>
      <ns0:c r="B1812" s="219">
        <ns0:f>IFERROR(IF(AND(AH!$P$9&lt;&gt;1,$C1812&gt;0,$D1812&gt;0,$E1812&gt;0,$F1812&gt;0,$G1812&gt;0,$F1812&lt;=$A1812,$G1812&lt;=$A1812,$A1812-$F1812&lt;=10,$A1812-$G1812&lt;=5),$D1812*$E1812/$C1812-1,NA()),NA())</ns0:f>
        <ns0:v/>
      </ns0:c>
      <ns0:c r="C1812">
        <ns0:f>IFERROR(IF(ISNUMBER($A1812),IF(AND(AH!$P$10=1,AH!$P$12=1,$A1812=TODAY()),AH!$P$19,IF(AH!$P$10=1,INDEX('Live History'!$B$5:$B$3004,AH!$P$13+1807),INDEX('AH History'!$B$1:$B$18046,AH!$P$7+1807))),NA()),NA())</ns0:f>
        <ns0:v/>
      </ns0:c>
      <ns0:c r="D1812">
        <ns0:f>IFERROR(IF(ISNUMBER($A1812),IF(AND(AH!$P$10=1,AH!$P$12=1,$A1812=TODAY()),AH!$P$18,IF(AH!$P$10=1,INDEX('Live History'!$E$5:$E$3004,MATCH($A1812,'Live History'!$D$5:$D$3004,1)),INDEX('AH History'!$C$1:$C$18046,AH!$P$7+1807))),NA()),NA())</ns0:f>
        <ns0:v/>
      </ns0:c>
      <ns0:c r="E1812">
        <ns0:f>IFERROR(IF(ISNUMBER($A1812),IF(AND(AH!$P$10=1,AH!$P$12=1,$A1812=TODAY()),AH!$P$20,IF(AH!$P$10=1,INDEX('Live History'!$H$5:$H$3004,MATCH($A1812,'Live History'!$G$5:$G$3004,1)),INDEX('AH History'!$D$1:$D$18046,AH!$P$7+1807))),NA()),NA())</ns0:f>
        <ns0:v/>
      </ns0:c>
      <ns0:c r="F1812">
        <ns0:f>IFERROR(IF(ISNUMBER($A1812),IF(AND(AH!$P$10=1,AH!$P$12=1,$A1812=TODAY()),IF(AND(AH!$P$10=1,AH!$P$12=1,$A1812=TODAY()),TODAY(),NA()),IF(AH!$P$10=1,INDEX('Live History'!$D$5:$D$3004,MATCH($A1812,'Live History'!$D$5:$D$3004,1)),INDEX('AH History'!$E$1:$E$18046,AH!$P$7+1807))),NA()),NA())</ns0:f>
        <ns0:v/>
      </ns0:c>
      <ns0:c r="G1812">
        <ns0:f>IFERROR(IF(ISNUMBER($A1812),IF(AND(AH!$P$10=1,AH!$P$12=1,$A1812=TODAY()),IF(AND(AH!$P$10=1,AH!$P$12=1,$A1812=TODAY()),TODAY(),NA()),IF(AH!$P$10=1,INDEX('Live History'!$G$5:$G$3004,MATCH($A1812,'Live History'!$G$5:$G$3004,1)),INDEX('AH History'!$F$1:$F$18046,AH!$P$7+1807))),NA()),NA())</ns0:f>
        <ns0:v/>
      </ns0:c>
      <ns0:c r="H1812">
        <ns0:f>IFERROR(IF(AND(AH!$E$4="Bloomberg",AH!$P$10=1,ISNUMBER($A1812),$A1812&lt;=AH!$P$17),AH!$P$7-1+MATCH($A1812,INDEX('AH History'!$A$1:$A$18046,AH!$P$7):INDEX('AH History'!$A$1:$A$18046,AH!$P$7+AH!$P$8-1),0),0),0)</ns0:f>
        <ns0:v/>
      </ns0:c>
      <ns0:c r="I1812">
        <ns0:f>IF($H1812=0,0,IFERROR(IF(AND(ABS($C1812-INDEX('AH History'!$B$1:$B$18046,$H1812))&lt;=MAX(0.005,ABS(INDEX('AH History'!$B$1:$B$18046,$H1812))*0.00005),ABS($D1812-INDEX('AH History'!$C$1:$C$18046,$H1812))&lt;=MAX(0.005,ABS(INDEX('AH History'!$C$1:$C$18046,$H1812))*0.00005),ABS($E1812-INDEX('AH History'!$D$1:$D$18046,$H1812))&lt;=0.00005,$F1812=INDEX('AH History'!$E$1:$E$18046,$H1812),$G1812=INDEX('AH History'!$F$1:$F$18046,$H1812)),1,-1),-1))</ns0:f>
        <ns0:v/>
      </ns0:c>
    </ns0:row>
    <ns0:row r="1813">
      <ns0:c r="A1813" s="215">
        <ns0:f>IF(OR(AH!$P$3=0,1808+1&gt;AH!$P$11,AND(AH!$E$4&lt;&gt;"Stored",AH!$P$10&lt;&gt;1)),"",IFERROR(IF(AND(AH!$P$21=1,1808+1=AH!$P$11),TODAY(),IF(AH!$P$10=1,INDEX('Live History'!$A$5:$A$3004,AH!$P$13+1808),INDEX('AH History'!$A$1:$A$18046,AH!$P$7+1808))),""))</ns0:f>
        <ns0:v/>
      </ns0:c>
      <ns0:c r="B1813" s="219">
        <ns0:f>IFERROR(IF(AND(AH!$P$9&lt;&gt;1,$C1813&gt;0,$D1813&gt;0,$E1813&gt;0,$F1813&gt;0,$G1813&gt;0,$F1813&lt;=$A1813,$G1813&lt;=$A1813,$A1813-$F1813&lt;=10,$A1813-$G1813&lt;=5),$D1813*$E1813/$C1813-1,NA()),NA())</ns0:f>
        <ns0:v/>
      </ns0:c>
      <ns0:c r="C1813">
        <ns0:f>IFERROR(IF(ISNUMBER($A1813),IF(AND(AH!$P$10=1,AH!$P$12=1,$A1813=TODAY()),AH!$P$19,IF(AH!$P$10=1,INDEX('Live History'!$B$5:$B$3004,AH!$P$13+1808),INDEX('AH History'!$B$1:$B$18046,AH!$P$7+1808))),NA()),NA())</ns0:f>
        <ns0:v/>
      </ns0:c>
      <ns0:c r="D1813">
        <ns0:f>IFERROR(IF(ISNUMBER($A1813),IF(AND(AH!$P$10=1,AH!$P$12=1,$A1813=TODAY()),AH!$P$18,IF(AH!$P$10=1,INDEX('Live History'!$E$5:$E$3004,MATCH($A1813,'Live History'!$D$5:$D$3004,1)),INDEX('AH History'!$C$1:$C$18046,AH!$P$7+1808))),NA()),NA())</ns0:f>
        <ns0:v/>
      </ns0:c>
      <ns0:c r="E1813">
        <ns0:f>IFERROR(IF(ISNUMBER($A1813),IF(AND(AH!$P$10=1,AH!$P$12=1,$A1813=TODAY()),AH!$P$20,IF(AH!$P$10=1,INDEX('Live History'!$H$5:$H$3004,MATCH($A1813,'Live History'!$G$5:$G$3004,1)),INDEX('AH History'!$D$1:$D$18046,AH!$P$7+1808))),NA()),NA())</ns0:f>
        <ns0:v/>
      </ns0:c>
      <ns0:c r="F1813">
        <ns0:f>IFERROR(IF(ISNUMBER($A1813),IF(AND(AH!$P$10=1,AH!$P$12=1,$A1813=TODAY()),IF(AND(AH!$P$10=1,AH!$P$12=1,$A1813=TODAY()),TODAY(),NA()),IF(AH!$P$10=1,INDEX('Live History'!$D$5:$D$3004,MATCH($A1813,'Live History'!$D$5:$D$3004,1)),INDEX('AH History'!$E$1:$E$18046,AH!$P$7+1808))),NA()),NA())</ns0:f>
        <ns0:v/>
      </ns0:c>
      <ns0:c r="G1813">
        <ns0:f>IFERROR(IF(ISNUMBER($A1813),IF(AND(AH!$P$10=1,AH!$P$12=1,$A1813=TODAY()),IF(AND(AH!$P$10=1,AH!$P$12=1,$A1813=TODAY()),TODAY(),NA()),IF(AH!$P$10=1,INDEX('Live History'!$G$5:$G$3004,MATCH($A1813,'Live History'!$G$5:$G$3004,1)),INDEX('AH History'!$F$1:$F$18046,AH!$P$7+1808))),NA()),NA())</ns0:f>
        <ns0:v/>
      </ns0:c>
      <ns0:c r="H1813">
        <ns0:f>IFERROR(IF(AND(AH!$E$4="Bloomberg",AH!$P$10=1,ISNUMBER($A1813),$A1813&lt;=AH!$P$17),AH!$P$7-1+MATCH($A1813,INDEX('AH History'!$A$1:$A$18046,AH!$P$7):INDEX('AH History'!$A$1:$A$18046,AH!$P$7+AH!$P$8-1),0),0),0)</ns0:f>
        <ns0:v/>
      </ns0:c>
      <ns0:c r="I1813">
        <ns0:f>IF($H1813=0,0,IFERROR(IF(AND(ABS($C1813-INDEX('AH History'!$B$1:$B$18046,$H1813))&lt;=MAX(0.005,ABS(INDEX('AH History'!$B$1:$B$18046,$H1813))*0.00005),ABS($D1813-INDEX('AH History'!$C$1:$C$18046,$H1813))&lt;=MAX(0.005,ABS(INDEX('AH History'!$C$1:$C$18046,$H1813))*0.00005),ABS($E1813-INDEX('AH History'!$D$1:$D$18046,$H1813))&lt;=0.00005,$F1813=INDEX('AH History'!$E$1:$E$18046,$H1813),$G1813=INDEX('AH History'!$F$1:$F$18046,$H1813)),1,-1),-1))</ns0:f>
        <ns0:v/>
      </ns0:c>
    </ns0:row>
    <ns0:row r="1814">
      <ns0:c r="A1814" s="215">
        <ns0:f>IF(OR(AH!$P$3=0,1809+1&gt;AH!$P$11,AND(AH!$E$4&lt;&gt;"Stored",AH!$P$10&lt;&gt;1)),"",IFERROR(IF(AND(AH!$P$21=1,1809+1=AH!$P$11),TODAY(),IF(AH!$P$10=1,INDEX('Live History'!$A$5:$A$3004,AH!$P$13+1809),INDEX('AH History'!$A$1:$A$18046,AH!$P$7+1809))),""))</ns0:f>
        <ns0:v/>
      </ns0:c>
      <ns0:c r="B1814" s="219">
        <ns0:f>IFERROR(IF(AND(AH!$P$9&lt;&gt;1,$C1814&gt;0,$D1814&gt;0,$E1814&gt;0,$F1814&gt;0,$G1814&gt;0,$F1814&lt;=$A1814,$G1814&lt;=$A1814,$A1814-$F1814&lt;=10,$A1814-$G1814&lt;=5),$D1814*$E1814/$C1814-1,NA()),NA())</ns0:f>
        <ns0:v/>
      </ns0:c>
      <ns0:c r="C1814">
        <ns0:f>IFERROR(IF(ISNUMBER($A1814),IF(AND(AH!$P$10=1,AH!$P$12=1,$A1814=TODAY()),AH!$P$19,IF(AH!$P$10=1,INDEX('Live History'!$B$5:$B$3004,AH!$P$13+1809),INDEX('AH History'!$B$1:$B$18046,AH!$P$7+1809))),NA()),NA())</ns0:f>
        <ns0:v/>
      </ns0:c>
      <ns0:c r="D1814">
        <ns0:f>IFERROR(IF(ISNUMBER($A1814),IF(AND(AH!$P$10=1,AH!$P$12=1,$A1814=TODAY()),AH!$P$18,IF(AH!$P$10=1,INDEX('Live History'!$E$5:$E$3004,MATCH($A1814,'Live History'!$D$5:$D$3004,1)),INDEX('AH History'!$C$1:$C$18046,AH!$P$7+1809))),NA()),NA())</ns0:f>
        <ns0:v/>
      </ns0:c>
      <ns0:c r="E1814">
        <ns0:f>IFERROR(IF(ISNUMBER($A1814),IF(AND(AH!$P$10=1,AH!$P$12=1,$A1814=TODAY()),AH!$P$20,IF(AH!$P$10=1,INDEX('Live History'!$H$5:$H$3004,MATCH($A1814,'Live History'!$G$5:$G$3004,1)),INDEX('AH History'!$D$1:$D$18046,AH!$P$7+1809))),NA()),NA())</ns0:f>
        <ns0:v/>
      </ns0:c>
      <ns0:c r="F1814">
        <ns0:f>IFERROR(IF(ISNUMBER($A1814),IF(AND(AH!$P$10=1,AH!$P$12=1,$A1814=TODAY()),IF(AND(AH!$P$10=1,AH!$P$12=1,$A1814=TODAY()),TODAY(),NA()),IF(AH!$P$10=1,INDEX('Live History'!$D$5:$D$3004,MATCH($A1814,'Live History'!$D$5:$D$3004,1)),INDEX('AH History'!$E$1:$E$18046,AH!$P$7+1809))),NA()),NA())</ns0:f>
        <ns0:v/>
      </ns0:c>
      <ns0:c r="G1814">
        <ns0:f>IFERROR(IF(ISNUMBER($A1814),IF(AND(AH!$P$10=1,AH!$P$12=1,$A1814=TODAY()),IF(AND(AH!$P$10=1,AH!$P$12=1,$A1814=TODAY()),TODAY(),NA()),IF(AH!$P$10=1,INDEX('Live History'!$G$5:$G$3004,MATCH($A1814,'Live History'!$G$5:$G$3004,1)),INDEX('AH History'!$F$1:$F$18046,AH!$P$7+1809))),NA()),NA())</ns0:f>
        <ns0:v/>
      </ns0:c>
      <ns0:c r="H1814">
        <ns0:f>IFERROR(IF(AND(AH!$E$4="Bloomberg",AH!$P$10=1,ISNUMBER($A1814),$A1814&lt;=AH!$P$17),AH!$P$7-1+MATCH($A1814,INDEX('AH History'!$A$1:$A$18046,AH!$P$7):INDEX('AH History'!$A$1:$A$18046,AH!$P$7+AH!$P$8-1),0),0),0)</ns0:f>
        <ns0:v/>
      </ns0:c>
      <ns0:c r="I1814">
        <ns0:f>IF($H1814=0,0,IFERROR(IF(AND(ABS($C1814-INDEX('AH History'!$B$1:$B$18046,$H1814))&lt;=MAX(0.005,ABS(INDEX('AH History'!$B$1:$B$18046,$H1814))*0.00005),ABS($D1814-INDEX('AH History'!$C$1:$C$18046,$H1814))&lt;=MAX(0.005,ABS(INDEX('AH History'!$C$1:$C$18046,$H1814))*0.00005),ABS($E1814-INDEX('AH History'!$D$1:$D$18046,$H1814))&lt;=0.00005,$F1814=INDEX('AH History'!$E$1:$E$18046,$H1814),$G1814=INDEX('AH History'!$F$1:$F$18046,$H1814)),1,-1),-1))</ns0:f>
        <ns0:v/>
      </ns0:c>
    </ns0:row>
    <ns0:row r="1815">
      <ns0:c r="A1815" s="215">
        <ns0:f>IF(OR(AH!$P$3=0,1810+1&gt;AH!$P$11,AND(AH!$E$4&lt;&gt;"Stored",AH!$P$10&lt;&gt;1)),"",IFERROR(IF(AND(AH!$P$21=1,1810+1=AH!$P$11),TODAY(),IF(AH!$P$10=1,INDEX('Live History'!$A$5:$A$3004,AH!$P$13+1810),INDEX('AH History'!$A$1:$A$18046,AH!$P$7+1810))),""))</ns0:f>
        <ns0:v/>
      </ns0:c>
      <ns0:c r="B1815" s="219">
        <ns0:f>IFERROR(IF(AND(AH!$P$9&lt;&gt;1,$C1815&gt;0,$D1815&gt;0,$E1815&gt;0,$F1815&gt;0,$G1815&gt;0,$F1815&lt;=$A1815,$G1815&lt;=$A1815,$A1815-$F1815&lt;=10,$A1815-$G1815&lt;=5),$D1815*$E1815/$C1815-1,NA()),NA())</ns0:f>
        <ns0:v/>
      </ns0:c>
      <ns0:c r="C1815">
        <ns0:f>IFERROR(IF(ISNUMBER($A1815),IF(AND(AH!$P$10=1,AH!$P$12=1,$A1815=TODAY()),AH!$P$19,IF(AH!$P$10=1,INDEX('Live History'!$B$5:$B$3004,AH!$P$13+1810),INDEX('AH History'!$B$1:$B$18046,AH!$P$7+1810))),NA()),NA())</ns0:f>
        <ns0:v/>
      </ns0:c>
      <ns0:c r="D1815">
        <ns0:f>IFERROR(IF(ISNUMBER($A1815),IF(AND(AH!$P$10=1,AH!$P$12=1,$A1815=TODAY()),AH!$P$18,IF(AH!$P$10=1,INDEX('Live History'!$E$5:$E$3004,MATCH($A1815,'Live History'!$D$5:$D$3004,1)),INDEX('AH History'!$C$1:$C$18046,AH!$P$7+1810))),NA()),NA())</ns0:f>
        <ns0:v/>
      </ns0:c>
      <ns0:c r="E1815">
        <ns0:f>IFERROR(IF(ISNUMBER($A1815),IF(AND(AH!$P$10=1,AH!$P$12=1,$A1815=TODAY()),AH!$P$20,IF(AH!$P$10=1,INDEX('Live History'!$H$5:$H$3004,MATCH($A1815,'Live History'!$G$5:$G$3004,1)),INDEX('AH History'!$D$1:$D$18046,AH!$P$7+1810))),NA()),NA())</ns0:f>
        <ns0:v/>
      </ns0:c>
      <ns0:c r="F1815">
        <ns0:f>IFERROR(IF(ISNUMBER($A1815),IF(AND(AH!$P$10=1,AH!$P$12=1,$A1815=TODAY()),IF(AND(AH!$P$10=1,AH!$P$12=1,$A1815=TODAY()),TODAY(),NA()),IF(AH!$P$10=1,INDEX('Live History'!$D$5:$D$3004,MATCH($A1815,'Live History'!$D$5:$D$3004,1)),INDEX('AH History'!$E$1:$E$18046,AH!$P$7+1810))),NA()),NA())</ns0:f>
        <ns0:v/>
      </ns0:c>
      <ns0:c r="G1815">
        <ns0:f>IFERROR(IF(ISNUMBER($A1815),IF(AND(AH!$P$10=1,AH!$P$12=1,$A1815=TODAY()),IF(AND(AH!$P$10=1,AH!$P$12=1,$A1815=TODAY()),TODAY(),NA()),IF(AH!$P$10=1,INDEX('Live History'!$G$5:$G$3004,MATCH($A1815,'Live History'!$G$5:$G$3004,1)),INDEX('AH History'!$F$1:$F$18046,AH!$P$7+1810))),NA()),NA())</ns0:f>
        <ns0:v/>
      </ns0:c>
      <ns0:c r="H1815">
        <ns0:f>IFERROR(IF(AND(AH!$E$4="Bloomberg",AH!$P$10=1,ISNUMBER($A1815),$A1815&lt;=AH!$P$17),AH!$P$7-1+MATCH($A1815,INDEX('AH History'!$A$1:$A$18046,AH!$P$7):INDEX('AH History'!$A$1:$A$18046,AH!$P$7+AH!$P$8-1),0),0),0)</ns0:f>
        <ns0:v/>
      </ns0:c>
      <ns0:c r="I1815">
        <ns0:f>IF($H1815=0,0,IFERROR(IF(AND(ABS($C1815-INDEX('AH History'!$B$1:$B$18046,$H1815))&lt;=MAX(0.005,ABS(INDEX('AH History'!$B$1:$B$18046,$H1815))*0.00005),ABS($D1815-INDEX('AH History'!$C$1:$C$18046,$H1815))&lt;=MAX(0.005,ABS(INDEX('AH History'!$C$1:$C$18046,$H1815))*0.00005),ABS($E1815-INDEX('AH History'!$D$1:$D$18046,$H1815))&lt;=0.00005,$F1815=INDEX('AH History'!$E$1:$E$18046,$H1815),$G1815=INDEX('AH History'!$F$1:$F$18046,$H1815)),1,-1),-1))</ns0:f>
        <ns0:v/>
      </ns0:c>
    </ns0:row>
    <ns0:row r="1816">
      <ns0:c r="A1816" s="215">
        <ns0:f>IF(OR(AH!$P$3=0,1811+1&gt;AH!$P$11,AND(AH!$E$4&lt;&gt;"Stored",AH!$P$10&lt;&gt;1)),"",IFERROR(IF(AND(AH!$P$21=1,1811+1=AH!$P$11),TODAY(),IF(AH!$P$10=1,INDEX('Live History'!$A$5:$A$3004,AH!$P$13+1811),INDEX('AH History'!$A$1:$A$18046,AH!$P$7+1811))),""))</ns0:f>
        <ns0:v/>
      </ns0:c>
      <ns0:c r="B1816" s="219">
        <ns0:f>IFERROR(IF(AND(AH!$P$9&lt;&gt;1,$C1816&gt;0,$D1816&gt;0,$E1816&gt;0,$F1816&gt;0,$G1816&gt;0,$F1816&lt;=$A1816,$G1816&lt;=$A1816,$A1816-$F1816&lt;=10,$A1816-$G1816&lt;=5),$D1816*$E1816/$C1816-1,NA()),NA())</ns0:f>
        <ns0:v/>
      </ns0:c>
      <ns0:c r="C1816">
        <ns0:f>IFERROR(IF(ISNUMBER($A1816),IF(AND(AH!$P$10=1,AH!$P$12=1,$A1816=TODAY()),AH!$P$19,IF(AH!$P$10=1,INDEX('Live History'!$B$5:$B$3004,AH!$P$13+1811),INDEX('AH History'!$B$1:$B$18046,AH!$P$7+1811))),NA()),NA())</ns0:f>
        <ns0:v/>
      </ns0:c>
      <ns0:c r="D1816">
        <ns0:f>IFERROR(IF(ISNUMBER($A1816),IF(AND(AH!$P$10=1,AH!$P$12=1,$A1816=TODAY()),AH!$P$18,IF(AH!$P$10=1,INDEX('Live History'!$E$5:$E$3004,MATCH($A1816,'Live History'!$D$5:$D$3004,1)),INDEX('AH History'!$C$1:$C$18046,AH!$P$7+1811))),NA()),NA())</ns0:f>
        <ns0:v/>
      </ns0:c>
      <ns0:c r="E1816">
        <ns0:f>IFERROR(IF(ISNUMBER($A1816),IF(AND(AH!$P$10=1,AH!$P$12=1,$A1816=TODAY()),AH!$P$20,IF(AH!$P$10=1,INDEX('Live History'!$H$5:$H$3004,MATCH($A1816,'Live History'!$G$5:$G$3004,1)),INDEX('AH History'!$D$1:$D$18046,AH!$P$7+1811))),NA()),NA())</ns0:f>
        <ns0:v/>
      </ns0:c>
      <ns0:c r="F1816">
        <ns0:f>IFERROR(IF(ISNUMBER($A1816),IF(AND(AH!$P$10=1,AH!$P$12=1,$A1816=TODAY()),IF(AND(AH!$P$10=1,AH!$P$12=1,$A1816=TODAY()),TODAY(),NA()),IF(AH!$P$10=1,INDEX('Live History'!$D$5:$D$3004,MATCH($A1816,'Live History'!$D$5:$D$3004,1)),INDEX('AH History'!$E$1:$E$18046,AH!$P$7+1811))),NA()),NA())</ns0:f>
        <ns0:v/>
      </ns0:c>
      <ns0:c r="G1816">
        <ns0:f>IFERROR(IF(ISNUMBER($A1816),IF(AND(AH!$P$10=1,AH!$P$12=1,$A1816=TODAY()),IF(AND(AH!$P$10=1,AH!$P$12=1,$A1816=TODAY()),TODAY(),NA()),IF(AH!$P$10=1,INDEX('Live History'!$G$5:$G$3004,MATCH($A1816,'Live History'!$G$5:$G$3004,1)),INDEX('AH History'!$F$1:$F$18046,AH!$P$7+1811))),NA()),NA())</ns0:f>
        <ns0:v/>
      </ns0:c>
      <ns0:c r="H1816">
        <ns0:f>IFERROR(IF(AND(AH!$E$4="Bloomberg",AH!$P$10=1,ISNUMBER($A1816),$A1816&lt;=AH!$P$17),AH!$P$7-1+MATCH($A1816,INDEX('AH History'!$A$1:$A$18046,AH!$P$7):INDEX('AH History'!$A$1:$A$18046,AH!$P$7+AH!$P$8-1),0),0),0)</ns0:f>
        <ns0:v/>
      </ns0:c>
      <ns0:c r="I1816">
        <ns0:f>IF($H1816=0,0,IFERROR(IF(AND(ABS($C1816-INDEX('AH History'!$B$1:$B$18046,$H1816))&lt;=MAX(0.005,ABS(INDEX('AH History'!$B$1:$B$18046,$H1816))*0.00005),ABS($D1816-INDEX('AH History'!$C$1:$C$18046,$H1816))&lt;=MAX(0.005,ABS(INDEX('AH History'!$C$1:$C$18046,$H1816))*0.00005),ABS($E1816-INDEX('AH History'!$D$1:$D$18046,$H1816))&lt;=0.00005,$F1816=INDEX('AH History'!$E$1:$E$18046,$H1816),$G1816=INDEX('AH History'!$F$1:$F$18046,$H1816)),1,-1),-1))</ns0:f>
        <ns0:v/>
      </ns0:c>
    </ns0:row>
    <ns0:row r="1817">
      <ns0:c r="A1817" s="215">
        <ns0:f>IF(OR(AH!$P$3=0,1812+1&gt;AH!$P$11,AND(AH!$E$4&lt;&gt;"Stored",AH!$P$10&lt;&gt;1)),"",IFERROR(IF(AND(AH!$P$21=1,1812+1=AH!$P$11),TODAY(),IF(AH!$P$10=1,INDEX('Live History'!$A$5:$A$3004,AH!$P$13+1812),INDEX('AH History'!$A$1:$A$18046,AH!$P$7+1812))),""))</ns0:f>
        <ns0:v/>
      </ns0:c>
      <ns0:c r="B1817" s="219">
        <ns0:f>IFERROR(IF(AND(AH!$P$9&lt;&gt;1,$C1817&gt;0,$D1817&gt;0,$E1817&gt;0,$F1817&gt;0,$G1817&gt;0,$F1817&lt;=$A1817,$G1817&lt;=$A1817,$A1817-$F1817&lt;=10,$A1817-$G1817&lt;=5),$D1817*$E1817/$C1817-1,NA()),NA())</ns0:f>
        <ns0:v/>
      </ns0:c>
      <ns0:c r="C1817">
        <ns0:f>IFERROR(IF(ISNUMBER($A1817),IF(AND(AH!$P$10=1,AH!$P$12=1,$A1817=TODAY()),AH!$P$19,IF(AH!$P$10=1,INDEX('Live History'!$B$5:$B$3004,AH!$P$13+1812),INDEX('AH History'!$B$1:$B$18046,AH!$P$7+1812))),NA()),NA())</ns0:f>
        <ns0:v/>
      </ns0:c>
      <ns0:c r="D1817">
        <ns0:f>IFERROR(IF(ISNUMBER($A1817),IF(AND(AH!$P$10=1,AH!$P$12=1,$A1817=TODAY()),AH!$P$18,IF(AH!$P$10=1,INDEX('Live History'!$E$5:$E$3004,MATCH($A1817,'Live History'!$D$5:$D$3004,1)),INDEX('AH History'!$C$1:$C$18046,AH!$P$7+1812))),NA()),NA())</ns0:f>
        <ns0:v/>
      </ns0:c>
      <ns0:c r="E1817">
        <ns0:f>IFERROR(IF(ISNUMBER($A1817),IF(AND(AH!$P$10=1,AH!$P$12=1,$A1817=TODAY()),AH!$P$20,IF(AH!$P$10=1,INDEX('Live History'!$H$5:$H$3004,MATCH($A1817,'Live History'!$G$5:$G$3004,1)),INDEX('AH History'!$D$1:$D$18046,AH!$P$7+1812))),NA()),NA())</ns0:f>
        <ns0:v/>
      </ns0:c>
      <ns0:c r="F1817">
        <ns0:f>IFERROR(IF(ISNUMBER($A1817),IF(AND(AH!$P$10=1,AH!$P$12=1,$A1817=TODAY()),IF(AND(AH!$P$10=1,AH!$P$12=1,$A1817=TODAY()),TODAY(),NA()),IF(AH!$P$10=1,INDEX('Live History'!$D$5:$D$3004,MATCH($A1817,'Live History'!$D$5:$D$3004,1)),INDEX('AH History'!$E$1:$E$18046,AH!$P$7+1812))),NA()),NA())</ns0:f>
        <ns0:v/>
      </ns0:c>
      <ns0:c r="G1817">
        <ns0:f>IFERROR(IF(ISNUMBER($A1817),IF(AND(AH!$P$10=1,AH!$P$12=1,$A1817=TODAY()),IF(AND(AH!$P$10=1,AH!$P$12=1,$A1817=TODAY()),TODAY(),NA()),IF(AH!$P$10=1,INDEX('Live History'!$G$5:$G$3004,MATCH($A1817,'Live History'!$G$5:$G$3004,1)),INDEX('AH History'!$F$1:$F$18046,AH!$P$7+1812))),NA()),NA())</ns0:f>
        <ns0:v/>
      </ns0:c>
      <ns0:c r="H1817">
        <ns0:f>IFERROR(IF(AND(AH!$E$4="Bloomberg",AH!$P$10=1,ISNUMBER($A1817),$A1817&lt;=AH!$P$17),AH!$P$7-1+MATCH($A1817,INDEX('AH History'!$A$1:$A$18046,AH!$P$7):INDEX('AH History'!$A$1:$A$18046,AH!$P$7+AH!$P$8-1),0),0),0)</ns0:f>
        <ns0:v/>
      </ns0:c>
      <ns0:c r="I1817">
        <ns0:f>IF($H1817=0,0,IFERROR(IF(AND(ABS($C1817-INDEX('AH History'!$B$1:$B$18046,$H1817))&lt;=MAX(0.005,ABS(INDEX('AH History'!$B$1:$B$18046,$H1817))*0.00005),ABS($D1817-INDEX('AH History'!$C$1:$C$18046,$H1817))&lt;=MAX(0.005,ABS(INDEX('AH History'!$C$1:$C$18046,$H1817))*0.00005),ABS($E1817-INDEX('AH History'!$D$1:$D$18046,$H1817))&lt;=0.00005,$F1817=INDEX('AH History'!$E$1:$E$18046,$H1817),$G1817=INDEX('AH History'!$F$1:$F$18046,$H1817)),1,-1),-1))</ns0:f>
        <ns0:v/>
      </ns0:c>
    </ns0:row>
    <ns0:row r="1818">
      <ns0:c r="A1818" s="215">
        <ns0:f>IF(OR(AH!$P$3=0,1813+1&gt;AH!$P$11,AND(AH!$E$4&lt;&gt;"Stored",AH!$P$10&lt;&gt;1)),"",IFERROR(IF(AND(AH!$P$21=1,1813+1=AH!$P$11),TODAY(),IF(AH!$P$10=1,INDEX('Live History'!$A$5:$A$3004,AH!$P$13+1813),INDEX('AH History'!$A$1:$A$18046,AH!$P$7+1813))),""))</ns0:f>
        <ns0:v/>
      </ns0:c>
      <ns0:c r="B1818" s="219">
        <ns0:f>IFERROR(IF(AND(AH!$P$9&lt;&gt;1,$C1818&gt;0,$D1818&gt;0,$E1818&gt;0,$F1818&gt;0,$G1818&gt;0,$F1818&lt;=$A1818,$G1818&lt;=$A1818,$A1818-$F1818&lt;=10,$A1818-$G1818&lt;=5),$D1818*$E1818/$C1818-1,NA()),NA())</ns0:f>
        <ns0:v/>
      </ns0:c>
      <ns0:c r="C1818">
        <ns0:f>IFERROR(IF(ISNUMBER($A1818),IF(AND(AH!$P$10=1,AH!$P$12=1,$A1818=TODAY()),AH!$P$19,IF(AH!$P$10=1,INDEX('Live History'!$B$5:$B$3004,AH!$P$13+1813),INDEX('AH History'!$B$1:$B$18046,AH!$P$7+1813))),NA()),NA())</ns0:f>
        <ns0:v/>
      </ns0:c>
      <ns0:c r="D1818">
        <ns0:f>IFERROR(IF(ISNUMBER($A1818),IF(AND(AH!$P$10=1,AH!$P$12=1,$A1818=TODAY()),AH!$P$18,IF(AH!$P$10=1,INDEX('Live History'!$E$5:$E$3004,MATCH($A1818,'Live History'!$D$5:$D$3004,1)),INDEX('AH History'!$C$1:$C$18046,AH!$P$7+1813))),NA()),NA())</ns0:f>
        <ns0:v/>
      </ns0:c>
      <ns0:c r="E1818">
        <ns0:f>IFERROR(IF(ISNUMBER($A1818),IF(AND(AH!$P$10=1,AH!$P$12=1,$A1818=TODAY()),AH!$P$20,IF(AH!$P$10=1,INDEX('Live History'!$H$5:$H$3004,MATCH($A1818,'Live History'!$G$5:$G$3004,1)),INDEX('AH History'!$D$1:$D$18046,AH!$P$7+1813))),NA()),NA())</ns0:f>
        <ns0:v/>
      </ns0:c>
      <ns0:c r="F1818">
        <ns0:f>IFERROR(IF(ISNUMBER($A1818),IF(AND(AH!$P$10=1,AH!$P$12=1,$A1818=TODAY()),IF(AND(AH!$P$10=1,AH!$P$12=1,$A1818=TODAY()),TODAY(),NA()),IF(AH!$P$10=1,INDEX('Live History'!$D$5:$D$3004,MATCH($A1818,'Live History'!$D$5:$D$3004,1)),INDEX('AH History'!$E$1:$E$18046,AH!$P$7+1813))),NA()),NA())</ns0:f>
        <ns0:v/>
      </ns0:c>
      <ns0:c r="G1818">
        <ns0:f>IFERROR(IF(ISNUMBER($A1818),IF(AND(AH!$P$10=1,AH!$P$12=1,$A1818=TODAY()),IF(AND(AH!$P$10=1,AH!$P$12=1,$A1818=TODAY()),TODAY(),NA()),IF(AH!$P$10=1,INDEX('Live History'!$G$5:$G$3004,MATCH($A1818,'Live History'!$G$5:$G$3004,1)),INDEX('AH History'!$F$1:$F$18046,AH!$P$7+1813))),NA()),NA())</ns0:f>
        <ns0:v/>
      </ns0:c>
      <ns0:c r="H1818">
        <ns0:f>IFERROR(IF(AND(AH!$E$4="Bloomberg",AH!$P$10=1,ISNUMBER($A1818),$A1818&lt;=AH!$P$17),AH!$P$7-1+MATCH($A1818,INDEX('AH History'!$A$1:$A$18046,AH!$P$7):INDEX('AH History'!$A$1:$A$18046,AH!$P$7+AH!$P$8-1),0),0),0)</ns0:f>
        <ns0:v/>
      </ns0:c>
      <ns0:c r="I1818">
        <ns0:f>IF($H1818=0,0,IFERROR(IF(AND(ABS($C1818-INDEX('AH History'!$B$1:$B$18046,$H1818))&lt;=MAX(0.005,ABS(INDEX('AH History'!$B$1:$B$18046,$H1818))*0.00005),ABS($D1818-INDEX('AH History'!$C$1:$C$18046,$H1818))&lt;=MAX(0.005,ABS(INDEX('AH History'!$C$1:$C$18046,$H1818))*0.00005),ABS($E1818-INDEX('AH History'!$D$1:$D$18046,$H1818))&lt;=0.00005,$F1818=INDEX('AH History'!$E$1:$E$18046,$H1818),$G1818=INDEX('AH History'!$F$1:$F$18046,$H1818)),1,-1),-1))</ns0:f>
        <ns0:v/>
      </ns0:c>
    </ns0:row>
    <ns0:row r="1819">
      <ns0:c r="A1819" s="215">
        <ns0:f>IF(OR(AH!$P$3=0,1814+1&gt;AH!$P$11,AND(AH!$E$4&lt;&gt;"Stored",AH!$P$10&lt;&gt;1)),"",IFERROR(IF(AND(AH!$P$21=1,1814+1=AH!$P$11),TODAY(),IF(AH!$P$10=1,INDEX('Live History'!$A$5:$A$3004,AH!$P$13+1814),INDEX('AH History'!$A$1:$A$18046,AH!$P$7+1814))),""))</ns0:f>
        <ns0:v/>
      </ns0:c>
      <ns0:c r="B1819" s="219">
        <ns0:f>IFERROR(IF(AND(AH!$P$9&lt;&gt;1,$C1819&gt;0,$D1819&gt;0,$E1819&gt;0,$F1819&gt;0,$G1819&gt;0,$F1819&lt;=$A1819,$G1819&lt;=$A1819,$A1819-$F1819&lt;=10,$A1819-$G1819&lt;=5),$D1819*$E1819/$C1819-1,NA()),NA())</ns0:f>
        <ns0:v/>
      </ns0:c>
      <ns0:c r="C1819">
        <ns0:f>IFERROR(IF(ISNUMBER($A1819),IF(AND(AH!$P$10=1,AH!$P$12=1,$A1819=TODAY()),AH!$P$19,IF(AH!$P$10=1,INDEX('Live History'!$B$5:$B$3004,AH!$P$13+1814),INDEX('AH History'!$B$1:$B$18046,AH!$P$7+1814))),NA()),NA())</ns0:f>
        <ns0:v/>
      </ns0:c>
      <ns0:c r="D1819">
        <ns0:f>IFERROR(IF(ISNUMBER($A1819),IF(AND(AH!$P$10=1,AH!$P$12=1,$A1819=TODAY()),AH!$P$18,IF(AH!$P$10=1,INDEX('Live History'!$E$5:$E$3004,MATCH($A1819,'Live History'!$D$5:$D$3004,1)),INDEX('AH History'!$C$1:$C$18046,AH!$P$7+1814))),NA()),NA())</ns0:f>
        <ns0:v/>
      </ns0:c>
      <ns0:c r="E1819">
        <ns0:f>IFERROR(IF(ISNUMBER($A1819),IF(AND(AH!$P$10=1,AH!$P$12=1,$A1819=TODAY()),AH!$P$20,IF(AH!$P$10=1,INDEX('Live History'!$H$5:$H$3004,MATCH($A1819,'Live History'!$G$5:$G$3004,1)),INDEX('AH History'!$D$1:$D$18046,AH!$P$7+1814))),NA()),NA())</ns0:f>
        <ns0:v/>
      </ns0:c>
      <ns0:c r="F1819">
        <ns0:f>IFERROR(IF(ISNUMBER($A1819),IF(AND(AH!$P$10=1,AH!$P$12=1,$A1819=TODAY()),IF(AND(AH!$P$10=1,AH!$P$12=1,$A1819=TODAY()),TODAY(),NA()),IF(AH!$P$10=1,INDEX('Live History'!$D$5:$D$3004,MATCH($A1819,'Live History'!$D$5:$D$3004,1)),INDEX('AH History'!$E$1:$E$18046,AH!$P$7+1814))),NA()),NA())</ns0:f>
        <ns0:v/>
      </ns0:c>
      <ns0:c r="G1819">
        <ns0:f>IFERROR(IF(ISNUMBER($A1819),IF(AND(AH!$P$10=1,AH!$P$12=1,$A1819=TODAY()),IF(AND(AH!$P$10=1,AH!$P$12=1,$A1819=TODAY()),TODAY(),NA()),IF(AH!$P$10=1,INDEX('Live History'!$G$5:$G$3004,MATCH($A1819,'Live History'!$G$5:$G$3004,1)),INDEX('AH History'!$F$1:$F$18046,AH!$P$7+1814))),NA()),NA())</ns0:f>
        <ns0:v/>
      </ns0:c>
      <ns0:c r="H1819">
        <ns0:f>IFERROR(IF(AND(AH!$E$4="Bloomberg",AH!$P$10=1,ISNUMBER($A1819),$A1819&lt;=AH!$P$17),AH!$P$7-1+MATCH($A1819,INDEX('AH History'!$A$1:$A$18046,AH!$P$7):INDEX('AH History'!$A$1:$A$18046,AH!$P$7+AH!$P$8-1),0),0),0)</ns0:f>
        <ns0:v/>
      </ns0:c>
      <ns0:c r="I1819">
        <ns0:f>IF($H1819=0,0,IFERROR(IF(AND(ABS($C1819-INDEX('AH History'!$B$1:$B$18046,$H1819))&lt;=MAX(0.005,ABS(INDEX('AH History'!$B$1:$B$18046,$H1819))*0.00005),ABS($D1819-INDEX('AH History'!$C$1:$C$18046,$H1819))&lt;=MAX(0.005,ABS(INDEX('AH History'!$C$1:$C$18046,$H1819))*0.00005),ABS($E1819-INDEX('AH History'!$D$1:$D$18046,$H1819))&lt;=0.00005,$F1819=INDEX('AH History'!$E$1:$E$18046,$H1819),$G1819=INDEX('AH History'!$F$1:$F$18046,$H1819)),1,-1),-1))</ns0:f>
        <ns0:v/>
      </ns0:c>
    </ns0:row>
    <ns0:row r="1820">
      <ns0:c r="A1820" s="215">
        <ns0:f>IF(OR(AH!$P$3=0,1815+1&gt;AH!$P$11,AND(AH!$E$4&lt;&gt;"Stored",AH!$P$10&lt;&gt;1)),"",IFERROR(IF(AND(AH!$P$21=1,1815+1=AH!$P$11),TODAY(),IF(AH!$P$10=1,INDEX('Live History'!$A$5:$A$3004,AH!$P$13+1815),INDEX('AH History'!$A$1:$A$18046,AH!$P$7+1815))),""))</ns0:f>
        <ns0:v/>
      </ns0:c>
      <ns0:c r="B1820" s="219">
        <ns0:f>IFERROR(IF(AND(AH!$P$9&lt;&gt;1,$C1820&gt;0,$D1820&gt;0,$E1820&gt;0,$F1820&gt;0,$G1820&gt;0,$F1820&lt;=$A1820,$G1820&lt;=$A1820,$A1820-$F1820&lt;=10,$A1820-$G1820&lt;=5),$D1820*$E1820/$C1820-1,NA()),NA())</ns0:f>
        <ns0:v/>
      </ns0:c>
      <ns0:c r="C1820">
        <ns0:f>IFERROR(IF(ISNUMBER($A1820),IF(AND(AH!$P$10=1,AH!$P$12=1,$A1820=TODAY()),AH!$P$19,IF(AH!$P$10=1,INDEX('Live History'!$B$5:$B$3004,AH!$P$13+1815),INDEX('AH History'!$B$1:$B$18046,AH!$P$7+1815))),NA()),NA())</ns0:f>
        <ns0:v/>
      </ns0:c>
      <ns0:c r="D1820">
        <ns0:f>IFERROR(IF(ISNUMBER($A1820),IF(AND(AH!$P$10=1,AH!$P$12=1,$A1820=TODAY()),AH!$P$18,IF(AH!$P$10=1,INDEX('Live History'!$E$5:$E$3004,MATCH($A1820,'Live History'!$D$5:$D$3004,1)),INDEX('AH History'!$C$1:$C$18046,AH!$P$7+1815))),NA()),NA())</ns0:f>
        <ns0:v/>
      </ns0:c>
      <ns0:c r="E1820">
        <ns0:f>IFERROR(IF(ISNUMBER($A1820),IF(AND(AH!$P$10=1,AH!$P$12=1,$A1820=TODAY()),AH!$P$20,IF(AH!$P$10=1,INDEX('Live History'!$H$5:$H$3004,MATCH($A1820,'Live History'!$G$5:$G$3004,1)),INDEX('AH History'!$D$1:$D$18046,AH!$P$7+1815))),NA()),NA())</ns0:f>
        <ns0:v/>
      </ns0:c>
      <ns0:c r="F1820">
        <ns0:f>IFERROR(IF(ISNUMBER($A1820),IF(AND(AH!$P$10=1,AH!$P$12=1,$A1820=TODAY()),IF(AND(AH!$P$10=1,AH!$P$12=1,$A1820=TODAY()),TODAY(),NA()),IF(AH!$P$10=1,INDEX('Live History'!$D$5:$D$3004,MATCH($A1820,'Live History'!$D$5:$D$3004,1)),INDEX('AH History'!$E$1:$E$18046,AH!$P$7+1815))),NA()),NA())</ns0:f>
        <ns0:v/>
      </ns0:c>
      <ns0:c r="G1820">
        <ns0:f>IFERROR(IF(ISNUMBER($A1820),IF(AND(AH!$P$10=1,AH!$P$12=1,$A1820=TODAY()),IF(AND(AH!$P$10=1,AH!$P$12=1,$A1820=TODAY()),TODAY(),NA()),IF(AH!$P$10=1,INDEX('Live History'!$G$5:$G$3004,MATCH($A1820,'Live History'!$G$5:$G$3004,1)),INDEX('AH History'!$F$1:$F$18046,AH!$P$7+1815))),NA()),NA())</ns0:f>
        <ns0:v/>
      </ns0:c>
      <ns0:c r="H1820">
        <ns0:f>IFERROR(IF(AND(AH!$E$4="Bloomberg",AH!$P$10=1,ISNUMBER($A1820),$A1820&lt;=AH!$P$17),AH!$P$7-1+MATCH($A1820,INDEX('AH History'!$A$1:$A$18046,AH!$P$7):INDEX('AH History'!$A$1:$A$18046,AH!$P$7+AH!$P$8-1),0),0),0)</ns0:f>
        <ns0:v/>
      </ns0:c>
      <ns0:c r="I1820">
        <ns0:f>IF($H1820=0,0,IFERROR(IF(AND(ABS($C1820-INDEX('AH History'!$B$1:$B$18046,$H1820))&lt;=MAX(0.005,ABS(INDEX('AH History'!$B$1:$B$18046,$H1820))*0.00005),ABS($D1820-INDEX('AH History'!$C$1:$C$18046,$H1820))&lt;=MAX(0.005,ABS(INDEX('AH History'!$C$1:$C$18046,$H1820))*0.00005),ABS($E1820-INDEX('AH History'!$D$1:$D$18046,$H1820))&lt;=0.00005,$F1820=INDEX('AH History'!$E$1:$E$18046,$H1820),$G1820=INDEX('AH History'!$F$1:$F$18046,$H1820)),1,-1),-1))</ns0:f>
        <ns0:v/>
      </ns0:c>
    </ns0:row>
    <ns0:row r="1821">
      <ns0:c r="A1821" s="215">
        <ns0:f>IF(OR(AH!$P$3=0,1816+1&gt;AH!$P$11,AND(AH!$E$4&lt;&gt;"Stored",AH!$P$10&lt;&gt;1)),"",IFERROR(IF(AND(AH!$P$21=1,1816+1=AH!$P$11),TODAY(),IF(AH!$P$10=1,INDEX('Live History'!$A$5:$A$3004,AH!$P$13+1816),INDEX('AH History'!$A$1:$A$18046,AH!$P$7+1816))),""))</ns0:f>
        <ns0:v/>
      </ns0:c>
      <ns0:c r="B1821" s="219">
        <ns0:f>IFERROR(IF(AND(AH!$P$9&lt;&gt;1,$C1821&gt;0,$D1821&gt;0,$E1821&gt;0,$F1821&gt;0,$G1821&gt;0,$F1821&lt;=$A1821,$G1821&lt;=$A1821,$A1821-$F1821&lt;=10,$A1821-$G1821&lt;=5),$D1821*$E1821/$C1821-1,NA()),NA())</ns0:f>
        <ns0:v/>
      </ns0:c>
      <ns0:c r="C1821">
        <ns0:f>IFERROR(IF(ISNUMBER($A1821),IF(AND(AH!$P$10=1,AH!$P$12=1,$A1821=TODAY()),AH!$P$19,IF(AH!$P$10=1,INDEX('Live History'!$B$5:$B$3004,AH!$P$13+1816),INDEX('AH History'!$B$1:$B$18046,AH!$P$7+1816))),NA()),NA())</ns0:f>
        <ns0:v/>
      </ns0:c>
      <ns0:c r="D1821">
        <ns0:f>IFERROR(IF(ISNUMBER($A1821),IF(AND(AH!$P$10=1,AH!$P$12=1,$A1821=TODAY()),AH!$P$18,IF(AH!$P$10=1,INDEX('Live History'!$E$5:$E$3004,MATCH($A1821,'Live History'!$D$5:$D$3004,1)),INDEX('AH History'!$C$1:$C$18046,AH!$P$7+1816))),NA()),NA())</ns0:f>
        <ns0:v/>
      </ns0:c>
      <ns0:c r="E1821">
        <ns0:f>IFERROR(IF(ISNUMBER($A1821),IF(AND(AH!$P$10=1,AH!$P$12=1,$A1821=TODAY()),AH!$P$20,IF(AH!$P$10=1,INDEX('Live History'!$H$5:$H$3004,MATCH($A1821,'Live History'!$G$5:$G$3004,1)),INDEX('AH History'!$D$1:$D$18046,AH!$P$7+1816))),NA()),NA())</ns0:f>
        <ns0:v/>
      </ns0:c>
      <ns0:c r="F1821">
        <ns0:f>IFERROR(IF(ISNUMBER($A1821),IF(AND(AH!$P$10=1,AH!$P$12=1,$A1821=TODAY()),IF(AND(AH!$P$10=1,AH!$P$12=1,$A1821=TODAY()),TODAY(),NA()),IF(AH!$P$10=1,INDEX('Live History'!$D$5:$D$3004,MATCH($A1821,'Live History'!$D$5:$D$3004,1)),INDEX('AH History'!$E$1:$E$18046,AH!$P$7+1816))),NA()),NA())</ns0:f>
        <ns0:v/>
      </ns0:c>
      <ns0:c r="G1821">
        <ns0:f>IFERROR(IF(ISNUMBER($A1821),IF(AND(AH!$P$10=1,AH!$P$12=1,$A1821=TODAY()),IF(AND(AH!$P$10=1,AH!$P$12=1,$A1821=TODAY()),TODAY(),NA()),IF(AH!$P$10=1,INDEX('Live History'!$G$5:$G$3004,MATCH($A1821,'Live History'!$G$5:$G$3004,1)),INDEX('AH History'!$F$1:$F$18046,AH!$P$7+1816))),NA()),NA())</ns0:f>
        <ns0:v/>
      </ns0:c>
      <ns0:c r="H1821">
        <ns0:f>IFERROR(IF(AND(AH!$E$4="Bloomberg",AH!$P$10=1,ISNUMBER($A1821),$A1821&lt;=AH!$P$17),AH!$P$7-1+MATCH($A1821,INDEX('AH History'!$A$1:$A$18046,AH!$P$7):INDEX('AH History'!$A$1:$A$18046,AH!$P$7+AH!$P$8-1),0),0),0)</ns0:f>
        <ns0:v/>
      </ns0:c>
      <ns0:c r="I1821">
        <ns0:f>IF($H1821=0,0,IFERROR(IF(AND(ABS($C1821-INDEX('AH History'!$B$1:$B$18046,$H1821))&lt;=MAX(0.005,ABS(INDEX('AH History'!$B$1:$B$18046,$H1821))*0.00005),ABS($D1821-INDEX('AH History'!$C$1:$C$18046,$H1821))&lt;=MAX(0.005,ABS(INDEX('AH History'!$C$1:$C$18046,$H1821))*0.00005),ABS($E1821-INDEX('AH History'!$D$1:$D$18046,$H1821))&lt;=0.00005,$F1821=INDEX('AH History'!$E$1:$E$18046,$H1821),$G1821=INDEX('AH History'!$F$1:$F$18046,$H1821)),1,-1),-1))</ns0:f>
        <ns0:v/>
      </ns0:c>
    </ns0:row>
    <ns0:row r="1822">
      <ns0:c r="A1822" s="215">
        <ns0:f>IF(OR(AH!$P$3=0,1817+1&gt;AH!$P$11,AND(AH!$E$4&lt;&gt;"Stored",AH!$P$10&lt;&gt;1)),"",IFERROR(IF(AND(AH!$P$21=1,1817+1=AH!$P$11),TODAY(),IF(AH!$P$10=1,INDEX('Live History'!$A$5:$A$3004,AH!$P$13+1817),INDEX('AH History'!$A$1:$A$18046,AH!$P$7+1817))),""))</ns0:f>
        <ns0:v/>
      </ns0:c>
      <ns0:c r="B1822" s="219">
        <ns0:f>IFERROR(IF(AND(AH!$P$9&lt;&gt;1,$C1822&gt;0,$D1822&gt;0,$E1822&gt;0,$F1822&gt;0,$G1822&gt;0,$F1822&lt;=$A1822,$G1822&lt;=$A1822,$A1822-$F1822&lt;=10,$A1822-$G1822&lt;=5),$D1822*$E1822/$C1822-1,NA()),NA())</ns0:f>
        <ns0:v/>
      </ns0:c>
      <ns0:c r="C1822">
        <ns0:f>IFERROR(IF(ISNUMBER($A1822),IF(AND(AH!$P$10=1,AH!$P$12=1,$A1822=TODAY()),AH!$P$19,IF(AH!$P$10=1,INDEX('Live History'!$B$5:$B$3004,AH!$P$13+1817),INDEX('AH History'!$B$1:$B$18046,AH!$P$7+1817))),NA()),NA())</ns0:f>
        <ns0:v/>
      </ns0:c>
      <ns0:c r="D1822">
        <ns0:f>IFERROR(IF(ISNUMBER($A1822),IF(AND(AH!$P$10=1,AH!$P$12=1,$A1822=TODAY()),AH!$P$18,IF(AH!$P$10=1,INDEX('Live History'!$E$5:$E$3004,MATCH($A1822,'Live History'!$D$5:$D$3004,1)),INDEX('AH History'!$C$1:$C$18046,AH!$P$7+1817))),NA()),NA())</ns0:f>
        <ns0:v/>
      </ns0:c>
      <ns0:c r="E1822">
        <ns0:f>IFERROR(IF(ISNUMBER($A1822),IF(AND(AH!$P$10=1,AH!$P$12=1,$A1822=TODAY()),AH!$P$20,IF(AH!$P$10=1,INDEX('Live History'!$H$5:$H$3004,MATCH($A1822,'Live History'!$G$5:$G$3004,1)),INDEX('AH History'!$D$1:$D$18046,AH!$P$7+1817))),NA()),NA())</ns0:f>
        <ns0:v/>
      </ns0:c>
      <ns0:c r="F1822">
        <ns0:f>IFERROR(IF(ISNUMBER($A1822),IF(AND(AH!$P$10=1,AH!$P$12=1,$A1822=TODAY()),IF(AND(AH!$P$10=1,AH!$P$12=1,$A1822=TODAY()),TODAY(),NA()),IF(AH!$P$10=1,INDEX('Live History'!$D$5:$D$3004,MATCH($A1822,'Live History'!$D$5:$D$3004,1)),INDEX('AH History'!$E$1:$E$18046,AH!$P$7+1817))),NA()),NA())</ns0:f>
        <ns0:v/>
      </ns0:c>
      <ns0:c r="G1822">
        <ns0:f>IFERROR(IF(ISNUMBER($A1822),IF(AND(AH!$P$10=1,AH!$P$12=1,$A1822=TODAY()),IF(AND(AH!$P$10=1,AH!$P$12=1,$A1822=TODAY()),TODAY(),NA()),IF(AH!$P$10=1,INDEX('Live History'!$G$5:$G$3004,MATCH($A1822,'Live History'!$G$5:$G$3004,1)),INDEX('AH History'!$F$1:$F$18046,AH!$P$7+1817))),NA()),NA())</ns0:f>
        <ns0:v/>
      </ns0:c>
      <ns0:c r="H1822">
        <ns0:f>IFERROR(IF(AND(AH!$E$4="Bloomberg",AH!$P$10=1,ISNUMBER($A1822),$A1822&lt;=AH!$P$17),AH!$P$7-1+MATCH($A1822,INDEX('AH History'!$A$1:$A$18046,AH!$P$7):INDEX('AH History'!$A$1:$A$18046,AH!$P$7+AH!$P$8-1),0),0),0)</ns0:f>
        <ns0:v/>
      </ns0:c>
      <ns0:c r="I1822">
        <ns0:f>IF($H1822=0,0,IFERROR(IF(AND(ABS($C1822-INDEX('AH History'!$B$1:$B$18046,$H1822))&lt;=MAX(0.005,ABS(INDEX('AH History'!$B$1:$B$18046,$H1822))*0.00005),ABS($D1822-INDEX('AH History'!$C$1:$C$18046,$H1822))&lt;=MAX(0.005,ABS(INDEX('AH History'!$C$1:$C$18046,$H1822))*0.00005),ABS($E1822-INDEX('AH History'!$D$1:$D$18046,$H1822))&lt;=0.00005,$F1822=INDEX('AH History'!$E$1:$E$18046,$H1822),$G1822=INDEX('AH History'!$F$1:$F$18046,$H1822)),1,-1),-1))</ns0:f>
        <ns0:v/>
      </ns0:c>
    </ns0:row>
    <ns0:row r="1823">
      <ns0:c r="A1823" s="215">
        <ns0:f>IF(OR(AH!$P$3=0,1818+1&gt;AH!$P$11,AND(AH!$E$4&lt;&gt;"Stored",AH!$P$10&lt;&gt;1)),"",IFERROR(IF(AND(AH!$P$21=1,1818+1=AH!$P$11),TODAY(),IF(AH!$P$10=1,INDEX('Live History'!$A$5:$A$3004,AH!$P$13+1818),INDEX('AH History'!$A$1:$A$18046,AH!$P$7+1818))),""))</ns0:f>
        <ns0:v/>
      </ns0:c>
      <ns0:c r="B1823" s="219">
        <ns0:f>IFERROR(IF(AND(AH!$P$9&lt;&gt;1,$C1823&gt;0,$D1823&gt;0,$E1823&gt;0,$F1823&gt;0,$G1823&gt;0,$F1823&lt;=$A1823,$G1823&lt;=$A1823,$A1823-$F1823&lt;=10,$A1823-$G1823&lt;=5),$D1823*$E1823/$C1823-1,NA()),NA())</ns0:f>
        <ns0:v/>
      </ns0:c>
      <ns0:c r="C1823">
        <ns0:f>IFERROR(IF(ISNUMBER($A1823),IF(AND(AH!$P$10=1,AH!$P$12=1,$A1823=TODAY()),AH!$P$19,IF(AH!$P$10=1,INDEX('Live History'!$B$5:$B$3004,AH!$P$13+1818),INDEX('AH History'!$B$1:$B$18046,AH!$P$7+1818))),NA()),NA())</ns0:f>
        <ns0:v/>
      </ns0:c>
      <ns0:c r="D1823">
        <ns0:f>IFERROR(IF(ISNUMBER($A1823),IF(AND(AH!$P$10=1,AH!$P$12=1,$A1823=TODAY()),AH!$P$18,IF(AH!$P$10=1,INDEX('Live History'!$E$5:$E$3004,MATCH($A1823,'Live History'!$D$5:$D$3004,1)),INDEX('AH History'!$C$1:$C$18046,AH!$P$7+1818))),NA()),NA())</ns0:f>
        <ns0:v/>
      </ns0:c>
      <ns0:c r="E1823">
        <ns0:f>IFERROR(IF(ISNUMBER($A1823),IF(AND(AH!$P$10=1,AH!$P$12=1,$A1823=TODAY()),AH!$P$20,IF(AH!$P$10=1,INDEX('Live History'!$H$5:$H$3004,MATCH($A1823,'Live History'!$G$5:$G$3004,1)),INDEX('AH History'!$D$1:$D$18046,AH!$P$7+1818))),NA()),NA())</ns0:f>
        <ns0:v/>
      </ns0:c>
      <ns0:c r="F1823">
        <ns0:f>IFERROR(IF(ISNUMBER($A1823),IF(AND(AH!$P$10=1,AH!$P$12=1,$A1823=TODAY()),IF(AND(AH!$P$10=1,AH!$P$12=1,$A1823=TODAY()),TODAY(),NA()),IF(AH!$P$10=1,INDEX('Live History'!$D$5:$D$3004,MATCH($A1823,'Live History'!$D$5:$D$3004,1)),INDEX('AH History'!$E$1:$E$18046,AH!$P$7+1818))),NA()),NA())</ns0:f>
        <ns0:v/>
      </ns0:c>
      <ns0:c r="G1823">
        <ns0:f>IFERROR(IF(ISNUMBER($A1823),IF(AND(AH!$P$10=1,AH!$P$12=1,$A1823=TODAY()),IF(AND(AH!$P$10=1,AH!$P$12=1,$A1823=TODAY()),TODAY(),NA()),IF(AH!$P$10=1,INDEX('Live History'!$G$5:$G$3004,MATCH($A1823,'Live History'!$G$5:$G$3004,1)),INDEX('AH History'!$F$1:$F$18046,AH!$P$7+1818))),NA()),NA())</ns0:f>
        <ns0:v/>
      </ns0:c>
      <ns0:c r="H1823">
        <ns0:f>IFERROR(IF(AND(AH!$E$4="Bloomberg",AH!$P$10=1,ISNUMBER($A1823),$A1823&lt;=AH!$P$17),AH!$P$7-1+MATCH($A1823,INDEX('AH History'!$A$1:$A$18046,AH!$P$7):INDEX('AH History'!$A$1:$A$18046,AH!$P$7+AH!$P$8-1),0),0),0)</ns0:f>
        <ns0:v/>
      </ns0:c>
      <ns0:c r="I1823">
        <ns0:f>IF($H1823=0,0,IFERROR(IF(AND(ABS($C1823-INDEX('AH History'!$B$1:$B$18046,$H1823))&lt;=MAX(0.005,ABS(INDEX('AH History'!$B$1:$B$18046,$H1823))*0.00005),ABS($D1823-INDEX('AH History'!$C$1:$C$18046,$H1823))&lt;=MAX(0.005,ABS(INDEX('AH History'!$C$1:$C$18046,$H1823))*0.00005),ABS($E1823-INDEX('AH History'!$D$1:$D$18046,$H1823))&lt;=0.00005,$F1823=INDEX('AH History'!$E$1:$E$18046,$H1823),$G1823=INDEX('AH History'!$F$1:$F$18046,$H1823)),1,-1),-1))</ns0:f>
        <ns0:v/>
      </ns0:c>
    </ns0:row>
    <ns0:row r="1824">
      <ns0:c r="A1824" s="215">
        <ns0:f>IF(OR(AH!$P$3=0,1819+1&gt;AH!$P$11,AND(AH!$E$4&lt;&gt;"Stored",AH!$P$10&lt;&gt;1)),"",IFERROR(IF(AND(AH!$P$21=1,1819+1=AH!$P$11),TODAY(),IF(AH!$P$10=1,INDEX('Live History'!$A$5:$A$3004,AH!$P$13+1819),INDEX('AH History'!$A$1:$A$18046,AH!$P$7+1819))),""))</ns0:f>
        <ns0:v/>
      </ns0:c>
      <ns0:c r="B1824" s="219">
        <ns0:f>IFERROR(IF(AND(AH!$P$9&lt;&gt;1,$C1824&gt;0,$D1824&gt;0,$E1824&gt;0,$F1824&gt;0,$G1824&gt;0,$F1824&lt;=$A1824,$G1824&lt;=$A1824,$A1824-$F1824&lt;=10,$A1824-$G1824&lt;=5),$D1824*$E1824/$C1824-1,NA()),NA())</ns0:f>
        <ns0:v/>
      </ns0:c>
      <ns0:c r="C1824">
        <ns0:f>IFERROR(IF(ISNUMBER($A1824),IF(AND(AH!$P$10=1,AH!$P$12=1,$A1824=TODAY()),AH!$P$19,IF(AH!$P$10=1,INDEX('Live History'!$B$5:$B$3004,AH!$P$13+1819),INDEX('AH History'!$B$1:$B$18046,AH!$P$7+1819))),NA()),NA())</ns0:f>
        <ns0:v/>
      </ns0:c>
      <ns0:c r="D1824">
        <ns0:f>IFERROR(IF(ISNUMBER($A1824),IF(AND(AH!$P$10=1,AH!$P$12=1,$A1824=TODAY()),AH!$P$18,IF(AH!$P$10=1,INDEX('Live History'!$E$5:$E$3004,MATCH($A1824,'Live History'!$D$5:$D$3004,1)),INDEX('AH History'!$C$1:$C$18046,AH!$P$7+1819))),NA()),NA())</ns0:f>
        <ns0:v/>
      </ns0:c>
      <ns0:c r="E1824">
        <ns0:f>IFERROR(IF(ISNUMBER($A1824),IF(AND(AH!$P$10=1,AH!$P$12=1,$A1824=TODAY()),AH!$P$20,IF(AH!$P$10=1,INDEX('Live History'!$H$5:$H$3004,MATCH($A1824,'Live History'!$G$5:$G$3004,1)),INDEX('AH History'!$D$1:$D$18046,AH!$P$7+1819))),NA()),NA())</ns0:f>
        <ns0:v/>
      </ns0:c>
      <ns0:c r="F1824">
        <ns0:f>IFERROR(IF(ISNUMBER($A1824),IF(AND(AH!$P$10=1,AH!$P$12=1,$A1824=TODAY()),IF(AND(AH!$P$10=1,AH!$P$12=1,$A1824=TODAY()),TODAY(),NA()),IF(AH!$P$10=1,INDEX('Live History'!$D$5:$D$3004,MATCH($A1824,'Live History'!$D$5:$D$3004,1)),INDEX('AH History'!$E$1:$E$18046,AH!$P$7+1819))),NA()),NA())</ns0:f>
        <ns0:v/>
      </ns0:c>
      <ns0:c r="G1824">
        <ns0:f>IFERROR(IF(ISNUMBER($A1824),IF(AND(AH!$P$10=1,AH!$P$12=1,$A1824=TODAY()),IF(AND(AH!$P$10=1,AH!$P$12=1,$A1824=TODAY()),TODAY(),NA()),IF(AH!$P$10=1,INDEX('Live History'!$G$5:$G$3004,MATCH($A1824,'Live History'!$G$5:$G$3004,1)),INDEX('AH History'!$F$1:$F$18046,AH!$P$7+1819))),NA()),NA())</ns0:f>
        <ns0:v/>
      </ns0:c>
      <ns0:c r="H1824">
        <ns0:f>IFERROR(IF(AND(AH!$E$4="Bloomberg",AH!$P$10=1,ISNUMBER($A1824),$A1824&lt;=AH!$P$17),AH!$P$7-1+MATCH($A1824,INDEX('AH History'!$A$1:$A$18046,AH!$P$7):INDEX('AH History'!$A$1:$A$18046,AH!$P$7+AH!$P$8-1),0),0),0)</ns0:f>
        <ns0:v/>
      </ns0:c>
      <ns0:c r="I1824">
        <ns0:f>IF($H1824=0,0,IFERROR(IF(AND(ABS($C1824-INDEX('AH History'!$B$1:$B$18046,$H1824))&lt;=MAX(0.005,ABS(INDEX('AH History'!$B$1:$B$18046,$H1824))*0.00005),ABS($D1824-INDEX('AH History'!$C$1:$C$18046,$H1824))&lt;=MAX(0.005,ABS(INDEX('AH History'!$C$1:$C$18046,$H1824))*0.00005),ABS($E1824-INDEX('AH History'!$D$1:$D$18046,$H1824))&lt;=0.00005,$F1824=INDEX('AH History'!$E$1:$E$18046,$H1824),$G1824=INDEX('AH History'!$F$1:$F$18046,$H1824)),1,-1),-1))</ns0:f>
        <ns0:v/>
      </ns0:c>
    </ns0:row>
    <ns0:row r="1825">
      <ns0:c r="A1825" s="215">
        <ns0:f>IF(OR(AH!$P$3=0,1820+1&gt;AH!$P$11,AND(AH!$E$4&lt;&gt;"Stored",AH!$P$10&lt;&gt;1)),"",IFERROR(IF(AND(AH!$P$21=1,1820+1=AH!$P$11),TODAY(),IF(AH!$P$10=1,INDEX('Live History'!$A$5:$A$3004,AH!$P$13+1820),INDEX('AH History'!$A$1:$A$18046,AH!$P$7+1820))),""))</ns0:f>
        <ns0:v/>
      </ns0:c>
      <ns0:c r="B1825" s="219">
        <ns0:f>IFERROR(IF(AND(AH!$P$9&lt;&gt;1,$C1825&gt;0,$D1825&gt;0,$E1825&gt;0,$F1825&gt;0,$G1825&gt;0,$F1825&lt;=$A1825,$G1825&lt;=$A1825,$A1825-$F1825&lt;=10,$A1825-$G1825&lt;=5),$D1825*$E1825/$C1825-1,NA()),NA())</ns0:f>
        <ns0:v/>
      </ns0:c>
      <ns0:c r="C1825">
        <ns0:f>IFERROR(IF(ISNUMBER($A1825),IF(AND(AH!$P$10=1,AH!$P$12=1,$A1825=TODAY()),AH!$P$19,IF(AH!$P$10=1,INDEX('Live History'!$B$5:$B$3004,AH!$P$13+1820),INDEX('AH History'!$B$1:$B$18046,AH!$P$7+1820))),NA()),NA())</ns0:f>
        <ns0:v/>
      </ns0:c>
      <ns0:c r="D1825">
        <ns0:f>IFERROR(IF(ISNUMBER($A1825),IF(AND(AH!$P$10=1,AH!$P$12=1,$A1825=TODAY()),AH!$P$18,IF(AH!$P$10=1,INDEX('Live History'!$E$5:$E$3004,MATCH($A1825,'Live History'!$D$5:$D$3004,1)),INDEX('AH History'!$C$1:$C$18046,AH!$P$7+1820))),NA()),NA())</ns0:f>
        <ns0:v/>
      </ns0:c>
      <ns0:c r="E1825">
        <ns0:f>IFERROR(IF(ISNUMBER($A1825),IF(AND(AH!$P$10=1,AH!$P$12=1,$A1825=TODAY()),AH!$P$20,IF(AH!$P$10=1,INDEX('Live History'!$H$5:$H$3004,MATCH($A1825,'Live History'!$G$5:$G$3004,1)),INDEX('AH History'!$D$1:$D$18046,AH!$P$7+1820))),NA()),NA())</ns0:f>
        <ns0:v/>
      </ns0:c>
      <ns0:c r="F1825">
        <ns0:f>IFERROR(IF(ISNUMBER($A1825),IF(AND(AH!$P$10=1,AH!$P$12=1,$A1825=TODAY()),IF(AND(AH!$P$10=1,AH!$P$12=1,$A1825=TODAY()),TODAY(),NA()),IF(AH!$P$10=1,INDEX('Live History'!$D$5:$D$3004,MATCH($A1825,'Live History'!$D$5:$D$3004,1)),INDEX('AH History'!$E$1:$E$18046,AH!$P$7+1820))),NA()),NA())</ns0:f>
        <ns0:v/>
      </ns0:c>
      <ns0:c r="G1825">
        <ns0:f>IFERROR(IF(ISNUMBER($A1825),IF(AND(AH!$P$10=1,AH!$P$12=1,$A1825=TODAY()),IF(AND(AH!$P$10=1,AH!$P$12=1,$A1825=TODAY()),TODAY(),NA()),IF(AH!$P$10=1,INDEX('Live History'!$G$5:$G$3004,MATCH($A1825,'Live History'!$G$5:$G$3004,1)),INDEX('AH History'!$F$1:$F$18046,AH!$P$7+1820))),NA()),NA())</ns0:f>
        <ns0:v/>
      </ns0:c>
      <ns0:c r="H1825">
        <ns0:f>IFERROR(IF(AND(AH!$E$4="Bloomberg",AH!$P$10=1,ISNUMBER($A1825),$A1825&lt;=AH!$P$17),AH!$P$7-1+MATCH($A1825,INDEX('AH History'!$A$1:$A$18046,AH!$P$7):INDEX('AH History'!$A$1:$A$18046,AH!$P$7+AH!$P$8-1),0),0),0)</ns0:f>
        <ns0:v/>
      </ns0:c>
      <ns0:c r="I1825">
        <ns0:f>IF($H1825=0,0,IFERROR(IF(AND(ABS($C1825-INDEX('AH History'!$B$1:$B$18046,$H1825))&lt;=MAX(0.005,ABS(INDEX('AH History'!$B$1:$B$18046,$H1825))*0.00005),ABS($D1825-INDEX('AH History'!$C$1:$C$18046,$H1825))&lt;=MAX(0.005,ABS(INDEX('AH History'!$C$1:$C$18046,$H1825))*0.00005),ABS($E1825-INDEX('AH History'!$D$1:$D$18046,$H1825))&lt;=0.00005,$F1825=INDEX('AH History'!$E$1:$E$18046,$H1825),$G1825=INDEX('AH History'!$F$1:$F$18046,$H1825)),1,-1),-1))</ns0:f>
        <ns0:v/>
      </ns0:c>
    </ns0:row>
    <ns0:row r="1826">
      <ns0:c r="A1826" s="215">
        <ns0:f>IF(OR(AH!$P$3=0,1821+1&gt;AH!$P$11,AND(AH!$E$4&lt;&gt;"Stored",AH!$P$10&lt;&gt;1)),"",IFERROR(IF(AND(AH!$P$21=1,1821+1=AH!$P$11),TODAY(),IF(AH!$P$10=1,INDEX('Live History'!$A$5:$A$3004,AH!$P$13+1821),INDEX('AH History'!$A$1:$A$18046,AH!$P$7+1821))),""))</ns0:f>
        <ns0:v/>
      </ns0:c>
      <ns0:c r="B1826" s="219">
        <ns0:f>IFERROR(IF(AND(AH!$P$9&lt;&gt;1,$C1826&gt;0,$D1826&gt;0,$E1826&gt;0,$F1826&gt;0,$G1826&gt;0,$F1826&lt;=$A1826,$G1826&lt;=$A1826,$A1826-$F1826&lt;=10,$A1826-$G1826&lt;=5),$D1826*$E1826/$C1826-1,NA()),NA())</ns0:f>
        <ns0:v/>
      </ns0:c>
      <ns0:c r="C1826">
        <ns0:f>IFERROR(IF(ISNUMBER($A1826),IF(AND(AH!$P$10=1,AH!$P$12=1,$A1826=TODAY()),AH!$P$19,IF(AH!$P$10=1,INDEX('Live History'!$B$5:$B$3004,AH!$P$13+1821),INDEX('AH History'!$B$1:$B$18046,AH!$P$7+1821))),NA()),NA())</ns0:f>
        <ns0:v/>
      </ns0:c>
      <ns0:c r="D1826">
        <ns0:f>IFERROR(IF(ISNUMBER($A1826),IF(AND(AH!$P$10=1,AH!$P$12=1,$A1826=TODAY()),AH!$P$18,IF(AH!$P$10=1,INDEX('Live History'!$E$5:$E$3004,MATCH($A1826,'Live History'!$D$5:$D$3004,1)),INDEX('AH History'!$C$1:$C$18046,AH!$P$7+1821))),NA()),NA())</ns0:f>
        <ns0:v/>
      </ns0:c>
      <ns0:c r="E1826">
        <ns0:f>IFERROR(IF(ISNUMBER($A1826),IF(AND(AH!$P$10=1,AH!$P$12=1,$A1826=TODAY()),AH!$P$20,IF(AH!$P$10=1,INDEX('Live History'!$H$5:$H$3004,MATCH($A1826,'Live History'!$G$5:$G$3004,1)),INDEX('AH History'!$D$1:$D$18046,AH!$P$7+1821))),NA()),NA())</ns0:f>
        <ns0:v/>
      </ns0:c>
      <ns0:c r="F1826">
        <ns0:f>IFERROR(IF(ISNUMBER($A1826),IF(AND(AH!$P$10=1,AH!$P$12=1,$A1826=TODAY()),IF(AND(AH!$P$10=1,AH!$P$12=1,$A1826=TODAY()),TODAY(),NA()),IF(AH!$P$10=1,INDEX('Live History'!$D$5:$D$3004,MATCH($A1826,'Live History'!$D$5:$D$3004,1)),INDEX('AH History'!$E$1:$E$18046,AH!$P$7+1821))),NA()),NA())</ns0:f>
        <ns0:v/>
      </ns0:c>
      <ns0:c r="G1826">
        <ns0:f>IFERROR(IF(ISNUMBER($A1826),IF(AND(AH!$P$10=1,AH!$P$12=1,$A1826=TODAY()),IF(AND(AH!$P$10=1,AH!$P$12=1,$A1826=TODAY()),TODAY(),NA()),IF(AH!$P$10=1,INDEX('Live History'!$G$5:$G$3004,MATCH($A1826,'Live History'!$G$5:$G$3004,1)),INDEX('AH History'!$F$1:$F$18046,AH!$P$7+1821))),NA()),NA())</ns0:f>
        <ns0:v/>
      </ns0:c>
      <ns0:c r="H1826">
        <ns0:f>IFERROR(IF(AND(AH!$E$4="Bloomberg",AH!$P$10=1,ISNUMBER($A1826),$A1826&lt;=AH!$P$17),AH!$P$7-1+MATCH($A1826,INDEX('AH History'!$A$1:$A$18046,AH!$P$7):INDEX('AH History'!$A$1:$A$18046,AH!$P$7+AH!$P$8-1),0),0),0)</ns0:f>
        <ns0:v/>
      </ns0:c>
      <ns0:c r="I1826">
        <ns0:f>IF($H1826=0,0,IFERROR(IF(AND(ABS($C1826-INDEX('AH History'!$B$1:$B$18046,$H1826))&lt;=MAX(0.005,ABS(INDEX('AH History'!$B$1:$B$18046,$H1826))*0.00005),ABS($D1826-INDEX('AH History'!$C$1:$C$18046,$H1826))&lt;=MAX(0.005,ABS(INDEX('AH History'!$C$1:$C$18046,$H1826))*0.00005),ABS($E1826-INDEX('AH History'!$D$1:$D$18046,$H1826))&lt;=0.00005,$F1826=INDEX('AH History'!$E$1:$E$18046,$H1826),$G1826=INDEX('AH History'!$F$1:$F$18046,$H1826)),1,-1),-1))</ns0:f>
        <ns0:v/>
      </ns0:c>
    </ns0:row>
    <ns0:row r="1827">
      <ns0:c r="A1827" s="215">
        <ns0:f>IF(OR(AH!$P$3=0,1822+1&gt;AH!$P$11,AND(AH!$E$4&lt;&gt;"Stored",AH!$P$10&lt;&gt;1)),"",IFERROR(IF(AND(AH!$P$21=1,1822+1=AH!$P$11),TODAY(),IF(AH!$P$10=1,INDEX('Live History'!$A$5:$A$3004,AH!$P$13+1822),INDEX('AH History'!$A$1:$A$18046,AH!$P$7+1822))),""))</ns0:f>
        <ns0:v/>
      </ns0:c>
      <ns0:c r="B1827" s="219">
        <ns0:f>IFERROR(IF(AND(AH!$P$9&lt;&gt;1,$C1827&gt;0,$D1827&gt;0,$E1827&gt;0,$F1827&gt;0,$G1827&gt;0,$F1827&lt;=$A1827,$G1827&lt;=$A1827,$A1827-$F1827&lt;=10,$A1827-$G1827&lt;=5),$D1827*$E1827/$C1827-1,NA()),NA())</ns0:f>
        <ns0:v/>
      </ns0:c>
      <ns0:c r="C1827">
        <ns0:f>IFERROR(IF(ISNUMBER($A1827),IF(AND(AH!$P$10=1,AH!$P$12=1,$A1827=TODAY()),AH!$P$19,IF(AH!$P$10=1,INDEX('Live History'!$B$5:$B$3004,AH!$P$13+1822),INDEX('AH History'!$B$1:$B$18046,AH!$P$7+1822))),NA()),NA())</ns0:f>
        <ns0:v/>
      </ns0:c>
      <ns0:c r="D1827">
        <ns0:f>IFERROR(IF(ISNUMBER($A1827),IF(AND(AH!$P$10=1,AH!$P$12=1,$A1827=TODAY()),AH!$P$18,IF(AH!$P$10=1,INDEX('Live History'!$E$5:$E$3004,MATCH($A1827,'Live History'!$D$5:$D$3004,1)),INDEX('AH History'!$C$1:$C$18046,AH!$P$7+1822))),NA()),NA())</ns0:f>
        <ns0:v/>
      </ns0:c>
      <ns0:c r="E1827">
        <ns0:f>IFERROR(IF(ISNUMBER($A1827),IF(AND(AH!$P$10=1,AH!$P$12=1,$A1827=TODAY()),AH!$P$20,IF(AH!$P$10=1,INDEX('Live History'!$H$5:$H$3004,MATCH($A1827,'Live History'!$G$5:$G$3004,1)),INDEX('AH History'!$D$1:$D$18046,AH!$P$7+1822))),NA()),NA())</ns0:f>
        <ns0:v/>
      </ns0:c>
      <ns0:c r="F1827">
        <ns0:f>IFERROR(IF(ISNUMBER($A1827),IF(AND(AH!$P$10=1,AH!$P$12=1,$A1827=TODAY()),IF(AND(AH!$P$10=1,AH!$P$12=1,$A1827=TODAY()),TODAY(),NA()),IF(AH!$P$10=1,INDEX('Live History'!$D$5:$D$3004,MATCH($A1827,'Live History'!$D$5:$D$3004,1)),INDEX('AH History'!$E$1:$E$18046,AH!$P$7+1822))),NA()),NA())</ns0:f>
        <ns0:v/>
      </ns0:c>
      <ns0:c r="G1827">
        <ns0:f>IFERROR(IF(ISNUMBER($A1827),IF(AND(AH!$P$10=1,AH!$P$12=1,$A1827=TODAY()),IF(AND(AH!$P$10=1,AH!$P$12=1,$A1827=TODAY()),TODAY(),NA()),IF(AH!$P$10=1,INDEX('Live History'!$G$5:$G$3004,MATCH($A1827,'Live History'!$G$5:$G$3004,1)),INDEX('AH History'!$F$1:$F$18046,AH!$P$7+1822))),NA()),NA())</ns0:f>
        <ns0:v/>
      </ns0:c>
      <ns0:c r="H1827">
        <ns0:f>IFERROR(IF(AND(AH!$E$4="Bloomberg",AH!$P$10=1,ISNUMBER($A1827),$A1827&lt;=AH!$P$17),AH!$P$7-1+MATCH($A1827,INDEX('AH History'!$A$1:$A$18046,AH!$P$7):INDEX('AH History'!$A$1:$A$18046,AH!$P$7+AH!$P$8-1),0),0),0)</ns0:f>
        <ns0:v/>
      </ns0:c>
      <ns0:c r="I1827">
        <ns0:f>IF($H1827=0,0,IFERROR(IF(AND(ABS($C1827-INDEX('AH History'!$B$1:$B$18046,$H1827))&lt;=MAX(0.005,ABS(INDEX('AH History'!$B$1:$B$18046,$H1827))*0.00005),ABS($D1827-INDEX('AH History'!$C$1:$C$18046,$H1827))&lt;=MAX(0.005,ABS(INDEX('AH History'!$C$1:$C$18046,$H1827))*0.00005),ABS($E1827-INDEX('AH History'!$D$1:$D$18046,$H1827))&lt;=0.00005,$F1827=INDEX('AH History'!$E$1:$E$18046,$H1827),$G1827=INDEX('AH History'!$F$1:$F$18046,$H1827)),1,-1),-1))</ns0:f>
        <ns0:v/>
      </ns0:c>
    </ns0:row>
    <ns0:row r="1828">
      <ns0:c r="A1828" s="215">
        <ns0:f>IF(OR(AH!$P$3=0,1823+1&gt;AH!$P$11,AND(AH!$E$4&lt;&gt;"Stored",AH!$P$10&lt;&gt;1)),"",IFERROR(IF(AND(AH!$P$21=1,1823+1=AH!$P$11),TODAY(),IF(AH!$P$10=1,INDEX('Live History'!$A$5:$A$3004,AH!$P$13+1823),INDEX('AH History'!$A$1:$A$18046,AH!$P$7+1823))),""))</ns0:f>
        <ns0:v/>
      </ns0:c>
      <ns0:c r="B1828" s="219">
        <ns0:f>IFERROR(IF(AND(AH!$P$9&lt;&gt;1,$C1828&gt;0,$D1828&gt;0,$E1828&gt;0,$F1828&gt;0,$G1828&gt;0,$F1828&lt;=$A1828,$G1828&lt;=$A1828,$A1828-$F1828&lt;=10,$A1828-$G1828&lt;=5),$D1828*$E1828/$C1828-1,NA()),NA())</ns0:f>
        <ns0:v/>
      </ns0:c>
      <ns0:c r="C1828">
        <ns0:f>IFERROR(IF(ISNUMBER($A1828),IF(AND(AH!$P$10=1,AH!$P$12=1,$A1828=TODAY()),AH!$P$19,IF(AH!$P$10=1,INDEX('Live History'!$B$5:$B$3004,AH!$P$13+1823),INDEX('AH History'!$B$1:$B$18046,AH!$P$7+1823))),NA()),NA())</ns0:f>
        <ns0:v/>
      </ns0:c>
      <ns0:c r="D1828">
        <ns0:f>IFERROR(IF(ISNUMBER($A1828),IF(AND(AH!$P$10=1,AH!$P$12=1,$A1828=TODAY()),AH!$P$18,IF(AH!$P$10=1,INDEX('Live History'!$E$5:$E$3004,MATCH($A1828,'Live History'!$D$5:$D$3004,1)),INDEX('AH History'!$C$1:$C$18046,AH!$P$7+1823))),NA()),NA())</ns0:f>
        <ns0:v/>
      </ns0:c>
      <ns0:c r="E1828">
        <ns0:f>IFERROR(IF(ISNUMBER($A1828),IF(AND(AH!$P$10=1,AH!$P$12=1,$A1828=TODAY()),AH!$P$20,IF(AH!$P$10=1,INDEX('Live History'!$H$5:$H$3004,MATCH($A1828,'Live History'!$G$5:$G$3004,1)),INDEX('AH History'!$D$1:$D$18046,AH!$P$7+1823))),NA()),NA())</ns0:f>
        <ns0:v/>
      </ns0:c>
      <ns0:c r="F1828">
        <ns0:f>IFERROR(IF(ISNUMBER($A1828),IF(AND(AH!$P$10=1,AH!$P$12=1,$A1828=TODAY()),IF(AND(AH!$P$10=1,AH!$P$12=1,$A1828=TODAY()),TODAY(),NA()),IF(AH!$P$10=1,INDEX('Live History'!$D$5:$D$3004,MATCH($A1828,'Live History'!$D$5:$D$3004,1)),INDEX('AH History'!$E$1:$E$18046,AH!$P$7+1823))),NA()),NA())</ns0:f>
        <ns0:v/>
      </ns0:c>
      <ns0:c r="G1828">
        <ns0:f>IFERROR(IF(ISNUMBER($A1828),IF(AND(AH!$P$10=1,AH!$P$12=1,$A1828=TODAY()),IF(AND(AH!$P$10=1,AH!$P$12=1,$A1828=TODAY()),TODAY(),NA()),IF(AH!$P$10=1,INDEX('Live History'!$G$5:$G$3004,MATCH($A1828,'Live History'!$G$5:$G$3004,1)),INDEX('AH History'!$F$1:$F$18046,AH!$P$7+1823))),NA()),NA())</ns0:f>
        <ns0:v/>
      </ns0:c>
      <ns0:c r="H1828">
        <ns0:f>IFERROR(IF(AND(AH!$E$4="Bloomberg",AH!$P$10=1,ISNUMBER($A1828),$A1828&lt;=AH!$P$17),AH!$P$7-1+MATCH($A1828,INDEX('AH History'!$A$1:$A$18046,AH!$P$7):INDEX('AH History'!$A$1:$A$18046,AH!$P$7+AH!$P$8-1),0),0),0)</ns0:f>
        <ns0:v/>
      </ns0:c>
      <ns0:c r="I1828">
        <ns0:f>IF($H1828=0,0,IFERROR(IF(AND(ABS($C1828-INDEX('AH History'!$B$1:$B$18046,$H1828))&lt;=MAX(0.005,ABS(INDEX('AH History'!$B$1:$B$18046,$H1828))*0.00005),ABS($D1828-INDEX('AH History'!$C$1:$C$18046,$H1828))&lt;=MAX(0.005,ABS(INDEX('AH History'!$C$1:$C$18046,$H1828))*0.00005),ABS($E1828-INDEX('AH History'!$D$1:$D$18046,$H1828))&lt;=0.00005,$F1828=INDEX('AH History'!$E$1:$E$18046,$H1828),$G1828=INDEX('AH History'!$F$1:$F$18046,$H1828)),1,-1),-1))</ns0:f>
        <ns0:v/>
      </ns0:c>
    </ns0:row>
    <ns0:row r="1829">
      <ns0:c r="A1829" s="215">
        <ns0:f>IF(OR(AH!$P$3=0,1824+1&gt;AH!$P$11,AND(AH!$E$4&lt;&gt;"Stored",AH!$P$10&lt;&gt;1)),"",IFERROR(IF(AND(AH!$P$21=1,1824+1=AH!$P$11),TODAY(),IF(AH!$P$10=1,INDEX('Live History'!$A$5:$A$3004,AH!$P$13+1824),INDEX('AH History'!$A$1:$A$18046,AH!$P$7+1824))),""))</ns0:f>
        <ns0:v/>
      </ns0:c>
      <ns0:c r="B1829" s="219">
        <ns0:f>IFERROR(IF(AND(AH!$P$9&lt;&gt;1,$C1829&gt;0,$D1829&gt;0,$E1829&gt;0,$F1829&gt;0,$G1829&gt;0,$F1829&lt;=$A1829,$G1829&lt;=$A1829,$A1829-$F1829&lt;=10,$A1829-$G1829&lt;=5),$D1829*$E1829/$C1829-1,NA()),NA())</ns0:f>
        <ns0:v/>
      </ns0:c>
      <ns0:c r="C1829">
        <ns0:f>IFERROR(IF(ISNUMBER($A1829),IF(AND(AH!$P$10=1,AH!$P$12=1,$A1829=TODAY()),AH!$P$19,IF(AH!$P$10=1,INDEX('Live History'!$B$5:$B$3004,AH!$P$13+1824),INDEX('AH History'!$B$1:$B$18046,AH!$P$7+1824))),NA()),NA())</ns0:f>
        <ns0:v/>
      </ns0:c>
      <ns0:c r="D1829">
        <ns0:f>IFERROR(IF(ISNUMBER($A1829),IF(AND(AH!$P$10=1,AH!$P$12=1,$A1829=TODAY()),AH!$P$18,IF(AH!$P$10=1,INDEX('Live History'!$E$5:$E$3004,MATCH($A1829,'Live History'!$D$5:$D$3004,1)),INDEX('AH History'!$C$1:$C$18046,AH!$P$7+1824))),NA()),NA())</ns0:f>
        <ns0:v/>
      </ns0:c>
      <ns0:c r="E1829">
        <ns0:f>IFERROR(IF(ISNUMBER($A1829),IF(AND(AH!$P$10=1,AH!$P$12=1,$A1829=TODAY()),AH!$P$20,IF(AH!$P$10=1,INDEX('Live History'!$H$5:$H$3004,MATCH($A1829,'Live History'!$G$5:$G$3004,1)),INDEX('AH History'!$D$1:$D$18046,AH!$P$7+1824))),NA()),NA())</ns0:f>
        <ns0:v/>
      </ns0:c>
      <ns0:c r="F1829">
        <ns0:f>IFERROR(IF(ISNUMBER($A1829),IF(AND(AH!$P$10=1,AH!$P$12=1,$A1829=TODAY()),IF(AND(AH!$P$10=1,AH!$P$12=1,$A1829=TODAY()),TODAY(),NA()),IF(AH!$P$10=1,INDEX('Live History'!$D$5:$D$3004,MATCH($A1829,'Live History'!$D$5:$D$3004,1)),INDEX('AH History'!$E$1:$E$18046,AH!$P$7+1824))),NA()),NA())</ns0:f>
        <ns0:v/>
      </ns0:c>
      <ns0:c r="G1829">
        <ns0:f>IFERROR(IF(ISNUMBER($A1829),IF(AND(AH!$P$10=1,AH!$P$12=1,$A1829=TODAY()),IF(AND(AH!$P$10=1,AH!$P$12=1,$A1829=TODAY()),TODAY(),NA()),IF(AH!$P$10=1,INDEX('Live History'!$G$5:$G$3004,MATCH($A1829,'Live History'!$G$5:$G$3004,1)),INDEX('AH History'!$F$1:$F$18046,AH!$P$7+1824))),NA()),NA())</ns0:f>
        <ns0:v/>
      </ns0:c>
      <ns0:c r="H1829">
        <ns0:f>IFERROR(IF(AND(AH!$E$4="Bloomberg",AH!$P$10=1,ISNUMBER($A1829),$A1829&lt;=AH!$P$17),AH!$P$7-1+MATCH($A1829,INDEX('AH History'!$A$1:$A$18046,AH!$P$7):INDEX('AH History'!$A$1:$A$18046,AH!$P$7+AH!$P$8-1),0),0),0)</ns0:f>
        <ns0:v/>
      </ns0:c>
      <ns0:c r="I1829">
        <ns0:f>IF($H1829=0,0,IFERROR(IF(AND(ABS($C1829-INDEX('AH History'!$B$1:$B$18046,$H1829))&lt;=MAX(0.005,ABS(INDEX('AH History'!$B$1:$B$18046,$H1829))*0.00005),ABS($D1829-INDEX('AH History'!$C$1:$C$18046,$H1829))&lt;=MAX(0.005,ABS(INDEX('AH History'!$C$1:$C$18046,$H1829))*0.00005),ABS($E1829-INDEX('AH History'!$D$1:$D$18046,$H1829))&lt;=0.00005,$F1829=INDEX('AH History'!$E$1:$E$18046,$H1829),$G1829=INDEX('AH History'!$F$1:$F$18046,$H1829)),1,-1),-1))</ns0:f>
        <ns0:v/>
      </ns0:c>
    </ns0:row>
    <ns0:row r="1830">
      <ns0:c r="A1830" s="215">
        <ns0:f>IF(OR(AH!$P$3=0,1825+1&gt;AH!$P$11,AND(AH!$E$4&lt;&gt;"Stored",AH!$P$10&lt;&gt;1)),"",IFERROR(IF(AND(AH!$P$21=1,1825+1=AH!$P$11),TODAY(),IF(AH!$P$10=1,INDEX('Live History'!$A$5:$A$3004,AH!$P$13+1825),INDEX('AH History'!$A$1:$A$18046,AH!$P$7+1825))),""))</ns0:f>
        <ns0:v/>
      </ns0:c>
      <ns0:c r="B1830" s="219">
        <ns0:f>IFERROR(IF(AND(AH!$P$9&lt;&gt;1,$C1830&gt;0,$D1830&gt;0,$E1830&gt;0,$F1830&gt;0,$G1830&gt;0,$F1830&lt;=$A1830,$G1830&lt;=$A1830,$A1830-$F1830&lt;=10,$A1830-$G1830&lt;=5),$D1830*$E1830/$C1830-1,NA()),NA())</ns0:f>
        <ns0:v/>
      </ns0:c>
      <ns0:c r="C1830">
        <ns0:f>IFERROR(IF(ISNUMBER($A1830),IF(AND(AH!$P$10=1,AH!$P$12=1,$A1830=TODAY()),AH!$P$19,IF(AH!$P$10=1,INDEX('Live History'!$B$5:$B$3004,AH!$P$13+1825),INDEX('AH History'!$B$1:$B$18046,AH!$P$7+1825))),NA()),NA())</ns0:f>
        <ns0:v/>
      </ns0:c>
      <ns0:c r="D1830">
        <ns0:f>IFERROR(IF(ISNUMBER($A1830),IF(AND(AH!$P$10=1,AH!$P$12=1,$A1830=TODAY()),AH!$P$18,IF(AH!$P$10=1,INDEX('Live History'!$E$5:$E$3004,MATCH($A1830,'Live History'!$D$5:$D$3004,1)),INDEX('AH History'!$C$1:$C$18046,AH!$P$7+1825))),NA()),NA())</ns0:f>
        <ns0:v/>
      </ns0:c>
      <ns0:c r="E1830">
        <ns0:f>IFERROR(IF(ISNUMBER($A1830),IF(AND(AH!$P$10=1,AH!$P$12=1,$A1830=TODAY()),AH!$P$20,IF(AH!$P$10=1,INDEX('Live History'!$H$5:$H$3004,MATCH($A1830,'Live History'!$G$5:$G$3004,1)),INDEX('AH History'!$D$1:$D$18046,AH!$P$7+1825))),NA()),NA())</ns0:f>
        <ns0:v/>
      </ns0:c>
      <ns0:c r="F1830">
        <ns0:f>IFERROR(IF(ISNUMBER($A1830),IF(AND(AH!$P$10=1,AH!$P$12=1,$A1830=TODAY()),IF(AND(AH!$P$10=1,AH!$P$12=1,$A1830=TODAY()),TODAY(),NA()),IF(AH!$P$10=1,INDEX('Live History'!$D$5:$D$3004,MATCH($A1830,'Live History'!$D$5:$D$3004,1)),INDEX('AH History'!$E$1:$E$18046,AH!$P$7+1825))),NA()),NA())</ns0:f>
        <ns0:v/>
      </ns0:c>
      <ns0:c r="G1830">
        <ns0:f>IFERROR(IF(ISNUMBER($A1830),IF(AND(AH!$P$10=1,AH!$P$12=1,$A1830=TODAY()),IF(AND(AH!$P$10=1,AH!$P$12=1,$A1830=TODAY()),TODAY(),NA()),IF(AH!$P$10=1,INDEX('Live History'!$G$5:$G$3004,MATCH($A1830,'Live History'!$G$5:$G$3004,1)),INDEX('AH History'!$F$1:$F$18046,AH!$P$7+1825))),NA()),NA())</ns0:f>
        <ns0:v/>
      </ns0:c>
      <ns0:c r="H1830">
        <ns0:f>IFERROR(IF(AND(AH!$E$4="Bloomberg",AH!$P$10=1,ISNUMBER($A1830),$A1830&lt;=AH!$P$17),AH!$P$7-1+MATCH($A1830,INDEX('AH History'!$A$1:$A$18046,AH!$P$7):INDEX('AH History'!$A$1:$A$18046,AH!$P$7+AH!$P$8-1),0),0),0)</ns0:f>
        <ns0:v/>
      </ns0:c>
      <ns0:c r="I1830">
        <ns0:f>IF($H1830=0,0,IFERROR(IF(AND(ABS($C1830-INDEX('AH History'!$B$1:$B$18046,$H1830))&lt;=MAX(0.005,ABS(INDEX('AH History'!$B$1:$B$18046,$H1830))*0.00005),ABS($D1830-INDEX('AH History'!$C$1:$C$18046,$H1830))&lt;=MAX(0.005,ABS(INDEX('AH History'!$C$1:$C$18046,$H1830))*0.00005),ABS($E1830-INDEX('AH History'!$D$1:$D$18046,$H1830))&lt;=0.00005,$F1830=INDEX('AH History'!$E$1:$E$18046,$H1830),$G1830=INDEX('AH History'!$F$1:$F$18046,$H1830)),1,-1),-1))</ns0:f>
        <ns0:v/>
      </ns0:c>
    </ns0:row>
    <ns0:row r="1831">
      <ns0:c r="A1831" s="215">
        <ns0:f>IF(OR(AH!$P$3=0,1826+1&gt;AH!$P$11,AND(AH!$E$4&lt;&gt;"Stored",AH!$P$10&lt;&gt;1)),"",IFERROR(IF(AND(AH!$P$21=1,1826+1=AH!$P$11),TODAY(),IF(AH!$P$10=1,INDEX('Live History'!$A$5:$A$3004,AH!$P$13+1826),INDEX('AH History'!$A$1:$A$18046,AH!$P$7+1826))),""))</ns0:f>
        <ns0:v/>
      </ns0:c>
      <ns0:c r="B1831" s="219">
        <ns0:f>IFERROR(IF(AND(AH!$P$9&lt;&gt;1,$C1831&gt;0,$D1831&gt;0,$E1831&gt;0,$F1831&gt;0,$G1831&gt;0,$F1831&lt;=$A1831,$G1831&lt;=$A1831,$A1831-$F1831&lt;=10,$A1831-$G1831&lt;=5),$D1831*$E1831/$C1831-1,NA()),NA())</ns0:f>
        <ns0:v/>
      </ns0:c>
      <ns0:c r="C1831">
        <ns0:f>IFERROR(IF(ISNUMBER($A1831),IF(AND(AH!$P$10=1,AH!$P$12=1,$A1831=TODAY()),AH!$P$19,IF(AH!$P$10=1,INDEX('Live History'!$B$5:$B$3004,AH!$P$13+1826),INDEX('AH History'!$B$1:$B$18046,AH!$P$7+1826))),NA()),NA())</ns0:f>
        <ns0:v/>
      </ns0:c>
      <ns0:c r="D1831">
        <ns0:f>IFERROR(IF(ISNUMBER($A1831),IF(AND(AH!$P$10=1,AH!$P$12=1,$A1831=TODAY()),AH!$P$18,IF(AH!$P$10=1,INDEX('Live History'!$E$5:$E$3004,MATCH($A1831,'Live History'!$D$5:$D$3004,1)),INDEX('AH History'!$C$1:$C$18046,AH!$P$7+1826))),NA()),NA())</ns0:f>
        <ns0:v/>
      </ns0:c>
      <ns0:c r="E1831">
        <ns0:f>IFERROR(IF(ISNUMBER($A1831),IF(AND(AH!$P$10=1,AH!$P$12=1,$A1831=TODAY()),AH!$P$20,IF(AH!$P$10=1,INDEX('Live History'!$H$5:$H$3004,MATCH($A1831,'Live History'!$G$5:$G$3004,1)),INDEX('AH History'!$D$1:$D$18046,AH!$P$7+1826))),NA()),NA())</ns0:f>
        <ns0:v/>
      </ns0:c>
      <ns0:c r="F1831">
        <ns0:f>IFERROR(IF(ISNUMBER($A1831),IF(AND(AH!$P$10=1,AH!$P$12=1,$A1831=TODAY()),IF(AND(AH!$P$10=1,AH!$P$12=1,$A1831=TODAY()),TODAY(),NA()),IF(AH!$P$10=1,INDEX('Live History'!$D$5:$D$3004,MATCH($A1831,'Live History'!$D$5:$D$3004,1)),INDEX('AH History'!$E$1:$E$18046,AH!$P$7+1826))),NA()),NA())</ns0:f>
        <ns0:v/>
      </ns0:c>
      <ns0:c r="G1831">
        <ns0:f>IFERROR(IF(ISNUMBER($A1831),IF(AND(AH!$P$10=1,AH!$P$12=1,$A1831=TODAY()),IF(AND(AH!$P$10=1,AH!$P$12=1,$A1831=TODAY()),TODAY(),NA()),IF(AH!$P$10=1,INDEX('Live History'!$G$5:$G$3004,MATCH($A1831,'Live History'!$G$5:$G$3004,1)),INDEX('AH History'!$F$1:$F$18046,AH!$P$7+1826))),NA()),NA())</ns0:f>
        <ns0:v/>
      </ns0:c>
      <ns0:c r="H1831">
        <ns0:f>IFERROR(IF(AND(AH!$E$4="Bloomberg",AH!$P$10=1,ISNUMBER($A1831),$A1831&lt;=AH!$P$17),AH!$P$7-1+MATCH($A1831,INDEX('AH History'!$A$1:$A$18046,AH!$P$7):INDEX('AH History'!$A$1:$A$18046,AH!$P$7+AH!$P$8-1),0),0),0)</ns0:f>
        <ns0:v/>
      </ns0:c>
      <ns0:c r="I1831">
        <ns0:f>IF($H1831=0,0,IFERROR(IF(AND(ABS($C1831-INDEX('AH History'!$B$1:$B$18046,$H1831))&lt;=MAX(0.005,ABS(INDEX('AH History'!$B$1:$B$18046,$H1831))*0.00005),ABS($D1831-INDEX('AH History'!$C$1:$C$18046,$H1831))&lt;=MAX(0.005,ABS(INDEX('AH History'!$C$1:$C$18046,$H1831))*0.00005),ABS($E1831-INDEX('AH History'!$D$1:$D$18046,$H1831))&lt;=0.00005,$F1831=INDEX('AH History'!$E$1:$E$18046,$H1831),$G1831=INDEX('AH History'!$F$1:$F$18046,$H1831)),1,-1),-1))</ns0:f>
        <ns0:v/>
      </ns0:c>
    </ns0:row>
    <ns0:row r="1832">
      <ns0:c r="A1832" s="215">
        <ns0:f>IF(OR(AH!$P$3=0,1827+1&gt;AH!$P$11,AND(AH!$E$4&lt;&gt;"Stored",AH!$P$10&lt;&gt;1)),"",IFERROR(IF(AND(AH!$P$21=1,1827+1=AH!$P$11),TODAY(),IF(AH!$P$10=1,INDEX('Live History'!$A$5:$A$3004,AH!$P$13+1827),INDEX('AH History'!$A$1:$A$18046,AH!$P$7+1827))),""))</ns0:f>
        <ns0:v/>
      </ns0:c>
      <ns0:c r="B1832" s="219">
        <ns0:f>IFERROR(IF(AND(AH!$P$9&lt;&gt;1,$C1832&gt;0,$D1832&gt;0,$E1832&gt;0,$F1832&gt;0,$G1832&gt;0,$F1832&lt;=$A1832,$G1832&lt;=$A1832,$A1832-$F1832&lt;=10,$A1832-$G1832&lt;=5),$D1832*$E1832/$C1832-1,NA()),NA())</ns0:f>
        <ns0:v/>
      </ns0:c>
      <ns0:c r="C1832">
        <ns0:f>IFERROR(IF(ISNUMBER($A1832),IF(AND(AH!$P$10=1,AH!$P$12=1,$A1832=TODAY()),AH!$P$19,IF(AH!$P$10=1,INDEX('Live History'!$B$5:$B$3004,AH!$P$13+1827),INDEX('AH History'!$B$1:$B$18046,AH!$P$7+1827))),NA()),NA())</ns0:f>
        <ns0:v/>
      </ns0:c>
      <ns0:c r="D1832">
        <ns0:f>IFERROR(IF(ISNUMBER($A1832),IF(AND(AH!$P$10=1,AH!$P$12=1,$A1832=TODAY()),AH!$P$18,IF(AH!$P$10=1,INDEX('Live History'!$E$5:$E$3004,MATCH($A1832,'Live History'!$D$5:$D$3004,1)),INDEX('AH History'!$C$1:$C$18046,AH!$P$7+1827))),NA()),NA())</ns0:f>
        <ns0:v/>
      </ns0:c>
      <ns0:c r="E1832">
        <ns0:f>IFERROR(IF(ISNUMBER($A1832),IF(AND(AH!$P$10=1,AH!$P$12=1,$A1832=TODAY()),AH!$P$20,IF(AH!$P$10=1,INDEX('Live History'!$H$5:$H$3004,MATCH($A1832,'Live History'!$G$5:$G$3004,1)),INDEX('AH History'!$D$1:$D$18046,AH!$P$7+1827))),NA()),NA())</ns0:f>
        <ns0:v/>
      </ns0:c>
      <ns0:c r="F1832">
        <ns0:f>IFERROR(IF(ISNUMBER($A1832),IF(AND(AH!$P$10=1,AH!$P$12=1,$A1832=TODAY()),IF(AND(AH!$P$10=1,AH!$P$12=1,$A1832=TODAY()),TODAY(),NA()),IF(AH!$P$10=1,INDEX('Live History'!$D$5:$D$3004,MATCH($A1832,'Live History'!$D$5:$D$3004,1)),INDEX('AH History'!$E$1:$E$18046,AH!$P$7+1827))),NA()),NA())</ns0:f>
        <ns0:v/>
      </ns0:c>
      <ns0:c r="G1832">
        <ns0:f>IFERROR(IF(ISNUMBER($A1832),IF(AND(AH!$P$10=1,AH!$P$12=1,$A1832=TODAY()),IF(AND(AH!$P$10=1,AH!$P$12=1,$A1832=TODAY()),TODAY(),NA()),IF(AH!$P$10=1,INDEX('Live History'!$G$5:$G$3004,MATCH($A1832,'Live History'!$G$5:$G$3004,1)),INDEX('AH History'!$F$1:$F$18046,AH!$P$7+1827))),NA()),NA())</ns0:f>
        <ns0:v/>
      </ns0:c>
      <ns0:c r="H1832">
        <ns0:f>IFERROR(IF(AND(AH!$E$4="Bloomberg",AH!$P$10=1,ISNUMBER($A1832),$A1832&lt;=AH!$P$17),AH!$P$7-1+MATCH($A1832,INDEX('AH History'!$A$1:$A$18046,AH!$P$7):INDEX('AH History'!$A$1:$A$18046,AH!$P$7+AH!$P$8-1),0),0),0)</ns0:f>
        <ns0:v/>
      </ns0:c>
      <ns0:c r="I1832">
        <ns0:f>IF($H1832=0,0,IFERROR(IF(AND(ABS($C1832-INDEX('AH History'!$B$1:$B$18046,$H1832))&lt;=MAX(0.005,ABS(INDEX('AH History'!$B$1:$B$18046,$H1832))*0.00005),ABS($D1832-INDEX('AH History'!$C$1:$C$18046,$H1832))&lt;=MAX(0.005,ABS(INDEX('AH History'!$C$1:$C$18046,$H1832))*0.00005),ABS($E1832-INDEX('AH History'!$D$1:$D$18046,$H1832))&lt;=0.00005,$F1832=INDEX('AH History'!$E$1:$E$18046,$H1832),$G1832=INDEX('AH History'!$F$1:$F$18046,$H1832)),1,-1),-1))</ns0:f>
        <ns0:v/>
      </ns0:c>
    </ns0:row>
    <ns0:row r="1833">
      <ns0:c r="A1833" s="215">
        <ns0:f>IF(OR(AH!$P$3=0,1828+1&gt;AH!$P$11,AND(AH!$E$4&lt;&gt;"Stored",AH!$P$10&lt;&gt;1)),"",IFERROR(IF(AND(AH!$P$21=1,1828+1=AH!$P$11),TODAY(),IF(AH!$P$10=1,INDEX('Live History'!$A$5:$A$3004,AH!$P$13+1828),INDEX('AH History'!$A$1:$A$18046,AH!$P$7+1828))),""))</ns0:f>
        <ns0:v/>
      </ns0:c>
      <ns0:c r="B1833" s="219">
        <ns0:f>IFERROR(IF(AND(AH!$P$9&lt;&gt;1,$C1833&gt;0,$D1833&gt;0,$E1833&gt;0,$F1833&gt;0,$G1833&gt;0,$F1833&lt;=$A1833,$G1833&lt;=$A1833,$A1833-$F1833&lt;=10,$A1833-$G1833&lt;=5),$D1833*$E1833/$C1833-1,NA()),NA())</ns0:f>
        <ns0:v/>
      </ns0:c>
      <ns0:c r="C1833">
        <ns0:f>IFERROR(IF(ISNUMBER($A1833),IF(AND(AH!$P$10=1,AH!$P$12=1,$A1833=TODAY()),AH!$P$19,IF(AH!$P$10=1,INDEX('Live History'!$B$5:$B$3004,AH!$P$13+1828),INDEX('AH History'!$B$1:$B$18046,AH!$P$7+1828))),NA()),NA())</ns0:f>
        <ns0:v/>
      </ns0:c>
      <ns0:c r="D1833">
        <ns0:f>IFERROR(IF(ISNUMBER($A1833),IF(AND(AH!$P$10=1,AH!$P$12=1,$A1833=TODAY()),AH!$P$18,IF(AH!$P$10=1,INDEX('Live History'!$E$5:$E$3004,MATCH($A1833,'Live History'!$D$5:$D$3004,1)),INDEX('AH History'!$C$1:$C$18046,AH!$P$7+1828))),NA()),NA())</ns0:f>
        <ns0:v/>
      </ns0:c>
      <ns0:c r="E1833">
        <ns0:f>IFERROR(IF(ISNUMBER($A1833),IF(AND(AH!$P$10=1,AH!$P$12=1,$A1833=TODAY()),AH!$P$20,IF(AH!$P$10=1,INDEX('Live History'!$H$5:$H$3004,MATCH($A1833,'Live History'!$G$5:$G$3004,1)),INDEX('AH History'!$D$1:$D$18046,AH!$P$7+1828))),NA()),NA())</ns0:f>
        <ns0:v/>
      </ns0:c>
      <ns0:c r="F1833">
        <ns0:f>IFERROR(IF(ISNUMBER($A1833),IF(AND(AH!$P$10=1,AH!$P$12=1,$A1833=TODAY()),IF(AND(AH!$P$10=1,AH!$P$12=1,$A1833=TODAY()),TODAY(),NA()),IF(AH!$P$10=1,INDEX('Live History'!$D$5:$D$3004,MATCH($A1833,'Live History'!$D$5:$D$3004,1)),INDEX('AH History'!$E$1:$E$18046,AH!$P$7+1828))),NA()),NA())</ns0:f>
        <ns0:v/>
      </ns0:c>
      <ns0:c r="G1833">
        <ns0:f>IFERROR(IF(ISNUMBER($A1833),IF(AND(AH!$P$10=1,AH!$P$12=1,$A1833=TODAY()),IF(AND(AH!$P$10=1,AH!$P$12=1,$A1833=TODAY()),TODAY(),NA()),IF(AH!$P$10=1,INDEX('Live History'!$G$5:$G$3004,MATCH($A1833,'Live History'!$G$5:$G$3004,1)),INDEX('AH History'!$F$1:$F$18046,AH!$P$7+1828))),NA()),NA())</ns0:f>
        <ns0:v/>
      </ns0:c>
      <ns0:c r="H1833">
        <ns0:f>IFERROR(IF(AND(AH!$E$4="Bloomberg",AH!$P$10=1,ISNUMBER($A1833),$A1833&lt;=AH!$P$17),AH!$P$7-1+MATCH($A1833,INDEX('AH History'!$A$1:$A$18046,AH!$P$7):INDEX('AH History'!$A$1:$A$18046,AH!$P$7+AH!$P$8-1),0),0),0)</ns0:f>
        <ns0:v/>
      </ns0:c>
      <ns0:c r="I1833">
        <ns0:f>IF($H1833=0,0,IFERROR(IF(AND(ABS($C1833-INDEX('AH History'!$B$1:$B$18046,$H1833))&lt;=MAX(0.005,ABS(INDEX('AH History'!$B$1:$B$18046,$H1833))*0.00005),ABS($D1833-INDEX('AH History'!$C$1:$C$18046,$H1833))&lt;=MAX(0.005,ABS(INDEX('AH History'!$C$1:$C$18046,$H1833))*0.00005),ABS($E1833-INDEX('AH History'!$D$1:$D$18046,$H1833))&lt;=0.00005,$F1833=INDEX('AH History'!$E$1:$E$18046,$H1833),$G1833=INDEX('AH History'!$F$1:$F$18046,$H1833)),1,-1),-1))</ns0:f>
        <ns0:v/>
      </ns0:c>
    </ns0:row>
    <ns0:row r="1834">
      <ns0:c r="A1834" s="215">
        <ns0:f>IF(OR(AH!$P$3=0,1829+1&gt;AH!$P$11,AND(AH!$E$4&lt;&gt;"Stored",AH!$P$10&lt;&gt;1)),"",IFERROR(IF(AND(AH!$P$21=1,1829+1=AH!$P$11),TODAY(),IF(AH!$P$10=1,INDEX('Live History'!$A$5:$A$3004,AH!$P$13+1829),INDEX('AH History'!$A$1:$A$18046,AH!$P$7+1829))),""))</ns0:f>
        <ns0:v/>
      </ns0:c>
      <ns0:c r="B1834" s="219">
        <ns0:f>IFERROR(IF(AND(AH!$P$9&lt;&gt;1,$C1834&gt;0,$D1834&gt;0,$E1834&gt;0,$F1834&gt;0,$G1834&gt;0,$F1834&lt;=$A1834,$G1834&lt;=$A1834,$A1834-$F1834&lt;=10,$A1834-$G1834&lt;=5),$D1834*$E1834/$C1834-1,NA()),NA())</ns0:f>
        <ns0:v/>
      </ns0:c>
      <ns0:c r="C1834">
        <ns0:f>IFERROR(IF(ISNUMBER($A1834),IF(AND(AH!$P$10=1,AH!$P$12=1,$A1834=TODAY()),AH!$P$19,IF(AH!$P$10=1,INDEX('Live History'!$B$5:$B$3004,AH!$P$13+1829),INDEX('AH History'!$B$1:$B$18046,AH!$P$7+1829))),NA()),NA())</ns0:f>
        <ns0:v/>
      </ns0:c>
      <ns0:c r="D1834">
        <ns0:f>IFERROR(IF(ISNUMBER($A1834),IF(AND(AH!$P$10=1,AH!$P$12=1,$A1834=TODAY()),AH!$P$18,IF(AH!$P$10=1,INDEX('Live History'!$E$5:$E$3004,MATCH($A1834,'Live History'!$D$5:$D$3004,1)),INDEX('AH History'!$C$1:$C$18046,AH!$P$7+1829))),NA()),NA())</ns0:f>
        <ns0:v/>
      </ns0:c>
      <ns0:c r="E1834">
        <ns0:f>IFERROR(IF(ISNUMBER($A1834),IF(AND(AH!$P$10=1,AH!$P$12=1,$A1834=TODAY()),AH!$P$20,IF(AH!$P$10=1,INDEX('Live History'!$H$5:$H$3004,MATCH($A1834,'Live History'!$G$5:$G$3004,1)),INDEX('AH History'!$D$1:$D$18046,AH!$P$7+1829))),NA()),NA())</ns0:f>
        <ns0:v/>
      </ns0:c>
      <ns0:c r="F1834">
        <ns0:f>IFERROR(IF(ISNUMBER($A1834),IF(AND(AH!$P$10=1,AH!$P$12=1,$A1834=TODAY()),IF(AND(AH!$P$10=1,AH!$P$12=1,$A1834=TODAY()),TODAY(),NA()),IF(AH!$P$10=1,INDEX('Live History'!$D$5:$D$3004,MATCH($A1834,'Live History'!$D$5:$D$3004,1)),INDEX('AH History'!$E$1:$E$18046,AH!$P$7+1829))),NA()),NA())</ns0:f>
        <ns0:v/>
      </ns0:c>
      <ns0:c r="G1834">
        <ns0:f>IFERROR(IF(ISNUMBER($A1834),IF(AND(AH!$P$10=1,AH!$P$12=1,$A1834=TODAY()),IF(AND(AH!$P$10=1,AH!$P$12=1,$A1834=TODAY()),TODAY(),NA()),IF(AH!$P$10=1,INDEX('Live History'!$G$5:$G$3004,MATCH($A1834,'Live History'!$G$5:$G$3004,1)),INDEX('AH History'!$F$1:$F$18046,AH!$P$7+1829))),NA()),NA())</ns0:f>
        <ns0:v/>
      </ns0:c>
      <ns0:c r="H1834">
        <ns0:f>IFERROR(IF(AND(AH!$E$4="Bloomberg",AH!$P$10=1,ISNUMBER($A1834),$A1834&lt;=AH!$P$17),AH!$P$7-1+MATCH($A1834,INDEX('AH History'!$A$1:$A$18046,AH!$P$7):INDEX('AH History'!$A$1:$A$18046,AH!$P$7+AH!$P$8-1),0),0),0)</ns0:f>
        <ns0:v/>
      </ns0:c>
      <ns0:c r="I1834">
        <ns0:f>IF($H1834=0,0,IFERROR(IF(AND(ABS($C1834-INDEX('AH History'!$B$1:$B$18046,$H1834))&lt;=MAX(0.005,ABS(INDEX('AH History'!$B$1:$B$18046,$H1834))*0.00005),ABS($D1834-INDEX('AH History'!$C$1:$C$18046,$H1834))&lt;=MAX(0.005,ABS(INDEX('AH History'!$C$1:$C$18046,$H1834))*0.00005),ABS($E1834-INDEX('AH History'!$D$1:$D$18046,$H1834))&lt;=0.00005,$F1834=INDEX('AH History'!$E$1:$E$18046,$H1834),$G1834=INDEX('AH History'!$F$1:$F$18046,$H1834)),1,-1),-1))</ns0:f>
        <ns0:v/>
      </ns0:c>
    </ns0:row>
    <ns0:row r="1835">
      <ns0:c r="A1835" s="215">
        <ns0:f>IF(OR(AH!$P$3=0,1830+1&gt;AH!$P$11,AND(AH!$E$4&lt;&gt;"Stored",AH!$P$10&lt;&gt;1)),"",IFERROR(IF(AND(AH!$P$21=1,1830+1=AH!$P$11),TODAY(),IF(AH!$P$10=1,INDEX('Live History'!$A$5:$A$3004,AH!$P$13+1830),INDEX('AH History'!$A$1:$A$18046,AH!$P$7+1830))),""))</ns0:f>
        <ns0:v/>
      </ns0:c>
      <ns0:c r="B1835" s="219">
        <ns0:f>IFERROR(IF(AND(AH!$P$9&lt;&gt;1,$C1835&gt;0,$D1835&gt;0,$E1835&gt;0,$F1835&gt;0,$G1835&gt;0,$F1835&lt;=$A1835,$G1835&lt;=$A1835,$A1835-$F1835&lt;=10,$A1835-$G1835&lt;=5),$D1835*$E1835/$C1835-1,NA()),NA())</ns0:f>
        <ns0:v/>
      </ns0:c>
      <ns0:c r="C1835">
        <ns0:f>IFERROR(IF(ISNUMBER($A1835),IF(AND(AH!$P$10=1,AH!$P$12=1,$A1835=TODAY()),AH!$P$19,IF(AH!$P$10=1,INDEX('Live History'!$B$5:$B$3004,AH!$P$13+1830),INDEX('AH History'!$B$1:$B$18046,AH!$P$7+1830))),NA()),NA())</ns0:f>
        <ns0:v/>
      </ns0:c>
      <ns0:c r="D1835">
        <ns0:f>IFERROR(IF(ISNUMBER($A1835),IF(AND(AH!$P$10=1,AH!$P$12=1,$A1835=TODAY()),AH!$P$18,IF(AH!$P$10=1,INDEX('Live History'!$E$5:$E$3004,MATCH($A1835,'Live History'!$D$5:$D$3004,1)),INDEX('AH History'!$C$1:$C$18046,AH!$P$7+1830))),NA()),NA())</ns0:f>
        <ns0:v/>
      </ns0:c>
      <ns0:c r="E1835">
        <ns0:f>IFERROR(IF(ISNUMBER($A1835),IF(AND(AH!$P$10=1,AH!$P$12=1,$A1835=TODAY()),AH!$P$20,IF(AH!$P$10=1,INDEX('Live History'!$H$5:$H$3004,MATCH($A1835,'Live History'!$G$5:$G$3004,1)),INDEX('AH History'!$D$1:$D$18046,AH!$P$7+1830))),NA()),NA())</ns0:f>
        <ns0:v/>
      </ns0:c>
      <ns0:c r="F1835">
        <ns0:f>IFERROR(IF(ISNUMBER($A1835),IF(AND(AH!$P$10=1,AH!$P$12=1,$A1835=TODAY()),IF(AND(AH!$P$10=1,AH!$P$12=1,$A1835=TODAY()),TODAY(),NA()),IF(AH!$P$10=1,INDEX('Live History'!$D$5:$D$3004,MATCH($A1835,'Live History'!$D$5:$D$3004,1)),INDEX('AH History'!$E$1:$E$18046,AH!$P$7+1830))),NA()),NA())</ns0:f>
        <ns0:v/>
      </ns0:c>
      <ns0:c r="G1835">
        <ns0:f>IFERROR(IF(ISNUMBER($A1835),IF(AND(AH!$P$10=1,AH!$P$12=1,$A1835=TODAY()),IF(AND(AH!$P$10=1,AH!$P$12=1,$A1835=TODAY()),TODAY(),NA()),IF(AH!$P$10=1,INDEX('Live History'!$G$5:$G$3004,MATCH($A1835,'Live History'!$G$5:$G$3004,1)),INDEX('AH History'!$F$1:$F$18046,AH!$P$7+1830))),NA()),NA())</ns0:f>
        <ns0:v/>
      </ns0:c>
      <ns0:c r="H1835">
        <ns0:f>IFERROR(IF(AND(AH!$E$4="Bloomberg",AH!$P$10=1,ISNUMBER($A1835),$A1835&lt;=AH!$P$17),AH!$P$7-1+MATCH($A1835,INDEX('AH History'!$A$1:$A$18046,AH!$P$7):INDEX('AH History'!$A$1:$A$18046,AH!$P$7+AH!$P$8-1),0),0),0)</ns0:f>
        <ns0:v/>
      </ns0:c>
      <ns0:c r="I1835">
        <ns0:f>IF($H1835=0,0,IFERROR(IF(AND(ABS($C1835-INDEX('AH History'!$B$1:$B$18046,$H1835))&lt;=MAX(0.005,ABS(INDEX('AH History'!$B$1:$B$18046,$H1835))*0.00005),ABS($D1835-INDEX('AH History'!$C$1:$C$18046,$H1835))&lt;=MAX(0.005,ABS(INDEX('AH History'!$C$1:$C$18046,$H1835))*0.00005),ABS($E1835-INDEX('AH History'!$D$1:$D$18046,$H1835))&lt;=0.00005,$F1835=INDEX('AH History'!$E$1:$E$18046,$H1835),$G1835=INDEX('AH History'!$F$1:$F$18046,$H1835)),1,-1),-1))</ns0:f>
        <ns0:v/>
      </ns0:c>
    </ns0:row>
    <ns0:row r="1836">
      <ns0:c r="A1836" s="215">
        <ns0:f>IF(OR(AH!$P$3=0,1831+1&gt;AH!$P$11,AND(AH!$E$4&lt;&gt;"Stored",AH!$P$10&lt;&gt;1)),"",IFERROR(IF(AND(AH!$P$21=1,1831+1=AH!$P$11),TODAY(),IF(AH!$P$10=1,INDEX('Live History'!$A$5:$A$3004,AH!$P$13+1831),INDEX('AH History'!$A$1:$A$18046,AH!$P$7+1831))),""))</ns0:f>
        <ns0:v/>
      </ns0:c>
      <ns0:c r="B1836" s="219">
        <ns0:f>IFERROR(IF(AND(AH!$P$9&lt;&gt;1,$C1836&gt;0,$D1836&gt;0,$E1836&gt;0,$F1836&gt;0,$G1836&gt;0,$F1836&lt;=$A1836,$G1836&lt;=$A1836,$A1836-$F1836&lt;=10,$A1836-$G1836&lt;=5),$D1836*$E1836/$C1836-1,NA()),NA())</ns0:f>
        <ns0:v/>
      </ns0:c>
      <ns0:c r="C1836">
        <ns0:f>IFERROR(IF(ISNUMBER($A1836),IF(AND(AH!$P$10=1,AH!$P$12=1,$A1836=TODAY()),AH!$P$19,IF(AH!$P$10=1,INDEX('Live History'!$B$5:$B$3004,AH!$P$13+1831),INDEX('AH History'!$B$1:$B$18046,AH!$P$7+1831))),NA()),NA())</ns0:f>
        <ns0:v/>
      </ns0:c>
      <ns0:c r="D1836">
        <ns0:f>IFERROR(IF(ISNUMBER($A1836),IF(AND(AH!$P$10=1,AH!$P$12=1,$A1836=TODAY()),AH!$P$18,IF(AH!$P$10=1,INDEX('Live History'!$E$5:$E$3004,MATCH($A1836,'Live History'!$D$5:$D$3004,1)),INDEX('AH History'!$C$1:$C$18046,AH!$P$7+1831))),NA()),NA())</ns0:f>
        <ns0:v/>
      </ns0:c>
      <ns0:c r="E1836">
        <ns0:f>IFERROR(IF(ISNUMBER($A1836),IF(AND(AH!$P$10=1,AH!$P$12=1,$A1836=TODAY()),AH!$P$20,IF(AH!$P$10=1,INDEX('Live History'!$H$5:$H$3004,MATCH($A1836,'Live History'!$G$5:$G$3004,1)),INDEX('AH History'!$D$1:$D$18046,AH!$P$7+1831))),NA()),NA())</ns0:f>
        <ns0:v/>
      </ns0:c>
      <ns0:c r="F1836">
        <ns0:f>IFERROR(IF(ISNUMBER($A1836),IF(AND(AH!$P$10=1,AH!$P$12=1,$A1836=TODAY()),IF(AND(AH!$P$10=1,AH!$P$12=1,$A1836=TODAY()),TODAY(),NA()),IF(AH!$P$10=1,INDEX('Live History'!$D$5:$D$3004,MATCH($A1836,'Live History'!$D$5:$D$3004,1)),INDEX('AH History'!$E$1:$E$18046,AH!$P$7+1831))),NA()),NA())</ns0:f>
        <ns0:v/>
      </ns0:c>
      <ns0:c r="G1836">
        <ns0:f>IFERROR(IF(ISNUMBER($A1836),IF(AND(AH!$P$10=1,AH!$P$12=1,$A1836=TODAY()),IF(AND(AH!$P$10=1,AH!$P$12=1,$A1836=TODAY()),TODAY(),NA()),IF(AH!$P$10=1,INDEX('Live History'!$G$5:$G$3004,MATCH($A1836,'Live History'!$G$5:$G$3004,1)),INDEX('AH History'!$F$1:$F$18046,AH!$P$7+1831))),NA()),NA())</ns0:f>
        <ns0:v/>
      </ns0:c>
      <ns0:c r="H1836">
        <ns0:f>IFERROR(IF(AND(AH!$E$4="Bloomberg",AH!$P$10=1,ISNUMBER($A1836),$A1836&lt;=AH!$P$17),AH!$P$7-1+MATCH($A1836,INDEX('AH History'!$A$1:$A$18046,AH!$P$7):INDEX('AH History'!$A$1:$A$18046,AH!$P$7+AH!$P$8-1),0),0),0)</ns0:f>
        <ns0:v/>
      </ns0:c>
      <ns0:c r="I1836">
        <ns0:f>IF($H1836=0,0,IFERROR(IF(AND(ABS($C1836-INDEX('AH History'!$B$1:$B$18046,$H1836))&lt;=MAX(0.005,ABS(INDEX('AH History'!$B$1:$B$18046,$H1836))*0.00005),ABS($D1836-INDEX('AH History'!$C$1:$C$18046,$H1836))&lt;=MAX(0.005,ABS(INDEX('AH History'!$C$1:$C$18046,$H1836))*0.00005),ABS($E1836-INDEX('AH History'!$D$1:$D$18046,$H1836))&lt;=0.00005,$F1836=INDEX('AH History'!$E$1:$E$18046,$H1836),$G1836=INDEX('AH History'!$F$1:$F$18046,$H1836)),1,-1),-1))</ns0:f>
        <ns0:v/>
      </ns0:c>
    </ns0:row>
    <ns0:row r="1837">
      <ns0:c r="A1837" s="215">
        <ns0:f>IF(OR(AH!$P$3=0,1832+1&gt;AH!$P$11,AND(AH!$E$4&lt;&gt;"Stored",AH!$P$10&lt;&gt;1)),"",IFERROR(IF(AND(AH!$P$21=1,1832+1=AH!$P$11),TODAY(),IF(AH!$P$10=1,INDEX('Live History'!$A$5:$A$3004,AH!$P$13+1832),INDEX('AH History'!$A$1:$A$18046,AH!$P$7+1832))),""))</ns0:f>
        <ns0:v/>
      </ns0:c>
      <ns0:c r="B1837" s="219">
        <ns0:f>IFERROR(IF(AND(AH!$P$9&lt;&gt;1,$C1837&gt;0,$D1837&gt;0,$E1837&gt;0,$F1837&gt;0,$G1837&gt;0,$F1837&lt;=$A1837,$G1837&lt;=$A1837,$A1837-$F1837&lt;=10,$A1837-$G1837&lt;=5),$D1837*$E1837/$C1837-1,NA()),NA())</ns0:f>
        <ns0:v/>
      </ns0:c>
      <ns0:c r="C1837">
        <ns0:f>IFERROR(IF(ISNUMBER($A1837),IF(AND(AH!$P$10=1,AH!$P$12=1,$A1837=TODAY()),AH!$P$19,IF(AH!$P$10=1,INDEX('Live History'!$B$5:$B$3004,AH!$P$13+1832),INDEX('AH History'!$B$1:$B$18046,AH!$P$7+1832))),NA()),NA())</ns0:f>
        <ns0:v/>
      </ns0:c>
      <ns0:c r="D1837">
        <ns0:f>IFERROR(IF(ISNUMBER($A1837),IF(AND(AH!$P$10=1,AH!$P$12=1,$A1837=TODAY()),AH!$P$18,IF(AH!$P$10=1,INDEX('Live History'!$E$5:$E$3004,MATCH($A1837,'Live History'!$D$5:$D$3004,1)),INDEX('AH History'!$C$1:$C$18046,AH!$P$7+1832))),NA()),NA())</ns0:f>
        <ns0:v/>
      </ns0:c>
      <ns0:c r="E1837">
        <ns0:f>IFERROR(IF(ISNUMBER($A1837),IF(AND(AH!$P$10=1,AH!$P$12=1,$A1837=TODAY()),AH!$P$20,IF(AH!$P$10=1,INDEX('Live History'!$H$5:$H$3004,MATCH($A1837,'Live History'!$G$5:$G$3004,1)),INDEX('AH History'!$D$1:$D$18046,AH!$P$7+1832))),NA()),NA())</ns0:f>
        <ns0:v/>
      </ns0:c>
      <ns0:c r="F1837">
        <ns0:f>IFERROR(IF(ISNUMBER($A1837),IF(AND(AH!$P$10=1,AH!$P$12=1,$A1837=TODAY()),IF(AND(AH!$P$10=1,AH!$P$12=1,$A1837=TODAY()),TODAY(),NA()),IF(AH!$P$10=1,INDEX('Live History'!$D$5:$D$3004,MATCH($A1837,'Live History'!$D$5:$D$3004,1)),INDEX('AH History'!$E$1:$E$18046,AH!$P$7+1832))),NA()),NA())</ns0:f>
        <ns0:v/>
      </ns0:c>
      <ns0:c r="G1837">
        <ns0:f>IFERROR(IF(ISNUMBER($A1837),IF(AND(AH!$P$10=1,AH!$P$12=1,$A1837=TODAY()),IF(AND(AH!$P$10=1,AH!$P$12=1,$A1837=TODAY()),TODAY(),NA()),IF(AH!$P$10=1,INDEX('Live History'!$G$5:$G$3004,MATCH($A1837,'Live History'!$G$5:$G$3004,1)),INDEX('AH History'!$F$1:$F$18046,AH!$P$7+1832))),NA()),NA())</ns0:f>
        <ns0:v/>
      </ns0:c>
      <ns0:c r="H1837">
        <ns0:f>IFERROR(IF(AND(AH!$E$4="Bloomberg",AH!$P$10=1,ISNUMBER($A1837),$A1837&lt;=AH!$P$17),AH!$P$7-1+MATCH($A1837,INDEX('AH History'!$A$1:$A$18046,AH!$P$7):INDEX('AH History'!$A$1:$A$18046,AH!$P$7+AH!$P$8-1),0),0),0)</ns0:f>
        <ns0:v/>
      </ns0:c>
      <ns0:c r="I1837">
        <ns0:f>IF($H1837=0,0,IFERROR(IF(AND(ABS($C1837-INDEX('AH History'!$B$1:$B$18046,$H1837))&lt;=MAX(0.005,ABS(INDEX('AH History'!$B$1:$B$18046,$H1837))*0.00005),ABS($D1837-INDEX('AH History'!$C$1:$C$18046,$H1837))&lt;=MAX(0.005,ABS(INDEX('AH History'!$C$1:$C$18046,$H1837))*0.00005),ABS($E1837-INDEX('AH History'!$D$1:$D$18046,$H1837))&lt;=0.00005,$F1837=INDEX('AH History'!$E$1:$E$18046,$H1837),$G1837=INDEX('AH History'!$F$1:$F$18046,$H1837)),1,-1),-1))</ns0:f>
        <ns0:v/>
      </ns0:c>
    </ns0:row>
    <ns0:row r="1838">
      <ns0:c r="A1838" s="215">
        <ns0:f>IF(OR(AH!$P$3=0,1833+1&gt;AH!$P$11,AND(AH!$E$4&lt;&gt;"Stored",AH!$P$10&lt;&gt;1)),"",IFERROR(IF(AND(AH!$P$21=1,1833+1=AH!$P$11),TODAY(),IF(AH!$P$10=1,INDEX('Live History'!$A$5:$A$3004,AH!$P$13+1833),INDEX('AH History'!$A$1:$A$18046,AH!$P$7+1833))),""))</ns0:f>
        <ns0:v/>
      </ns0:c>
      <ns0:c r="B1838" s="219">
        <ns0:f>IFERROR(IF(AND(AH!$P$9&lt;&gt;1,$C1838&gt;0,$D1838&gt;0,$E1838&gt;0,$F1838&gt;0,$G1838&gt;0,$F1838&lt;=$A1838,$G1838&lt;=$A1838,$A1838-$F1838&lt;=10,$A1838-$G1838&lt;=5),$D1838*$E1838/$C1838-1,NA()),NA())</ns0:f>
        <ns0:v/>
      </ns0:c>
      <ns0:c r="C1838">
        <ns0:f>IFERROR(IF(ISNUMBER($A1838),IF(AND(AH!$P$10=1,AH!$P$12=1,$A1838=TODAY()),AH!$P$19,IF(AH!$P$10=1,INDEX('Live History'!$B$5:$B$3004,AH!$P$13+1833),INDEX('AH History'!$B$1:$B$18046,AH!$P$7+1833))),NA()),NA())</ns0:f>
        <ns0:v/>
      </ns0:c>
      <ns0:c r="D1838">
        <ns0:f>IFERROR(IF(ISNUMBER($A1838),IF(AND(AH!$P$10=1,AH!$P$12=1,$A1838=TODAY()),AH!$P$18,IF(AH!$P$10=1,INDEX('Live History'!$E$5:$E$3004,MATCH($A1838,'Live History'!$D$5:$D$3004,1)),INDEX('AH History'!$C$1:$C$18046,AH!$P$7+1833))),NA()),NA())</ns0:f>
        <ns0:v/>
      </ns0:c>
      <ns0:c r="E1838">
        <ns0:f>IFERROR(IF(ISNUMBER($A1838),IF(AND(AH!$P$10=1,AH!$P$12=1,$A1838=TODAY()),AH!$P$20,IF(AH!$P$10=1,INDEX('Live History'!$H$5:$H$3004,MATCH($A1838,'Live History'!$G$5:$G$3004,1)),INDEX('AH History'!$D$1:$D$18046,AH!$P$7+1833))),NA()),NA())</ns0:f>
        <ns0:v/>
      </ns0:c>
      <ns0:c r="F1838">
        <ns0:f>IFERROR(IF(ISNUMBER($A1838),IF(AND(AH!$P$10=1,AH!$P$12=1,$A1838=TODAY()),IF(AND(AH!$P$10=1,AH!$P$12=1,$A1838=TODAY()),TODAY(),NA()),IF(AH!$P$10=1,INDEX('Live History'!$D$5:$D$3004,MATCH($A1838,'Live History'!$D$5:$D$3004,1)),INDEX('AH History'!$E$1:$E$18046,AH!$P$7+1833))),NA()),NA())</ns0:f>
        <ns0:v/>
      </ns0:c>
      <ns0:c r="G1838">
        <ns0:f>IFERROR(IF(ISNUMBER($A1838),IF(AND(AH!$P$10=1,AH!$P$12=1,$A1838=TODAY()),IF(AND(AH!$P$10=1,AH!$P$12=1,$A1838=TODAY()),TODAY(),NA()),IF(AH!$P$10=1,INDEX('Live History'!$G$5:$G$3004,MATCH($A1838,'Live History'!$G$5:$G$3004,1)),INDEX('AH History'!$F$1:$F$18046,AH!$P$7+1833))),NA()),NA())</ns0:f>
        <ns0:v/>
      </ns0:c>
      <ns0:c r="H1838">
        <ns0:f>IFERROR(IF(AND(AH!$E$4="Bloomberg",AH!$P$10=1,ISNUMBER($A1838),$A1838&lt;=AH!$P$17),AH!$P$7-1+MATCH($A1838,INDEX('AH History'!$A$1:$A$18046,AH!$P$7):INDEX('AH History'!$A$1:$A$18046,AH!$P$7+AH!$P$8-1),0),0),0)</ns0:f>
        <ns0:v/>
      </ns0:c>
      <ns0:c r="I1838">
        <ns0:f>IF($H1838=0,0,IFERROR(IF(AND(ABS($C1838-INDEX('AH History'!$B$1:$B$18046,$H1838))&lt;=MAX(0.005,ABS(INDEX('AH History'!$B$1:$B$18046,$H1838))*0.00005),ABS($D1838-INDEX('AH History'!$C$1:$C$18046,$H1838))&lt;=MAX(0.005,ABS(INDEX('AH History'!$C$1:$C$18046,$H1838))*0.00005),ABS($E1838-INDEX('AH History'!$D$1:$D$18046,$H1838))&lt;=0.00005,$F1838=INDEX('AH History'!$E$1:$E$18046,$H1838),$G1838=INDEX('AH History'!$F$1:$F$18046,$H1838)),1,-1),-1))</ns0:f>
        <ns0:v/>
      </ns0:c>
    </ns0:row>
    <ns0:row r="1839">
      <ns0:c r="A1839" s="215">
        <ns0:f>IF(OR(AH!$P$3=0,1834+1&gt;AH!$P$11,AND(AH!$E$4&lt;&gt;"Stored",AH!$P$10&lt;&gt;1)),"",IFERROR(IF(AND(AH!$P$21=1,1834+1=AH!$P$11),TODAY(),IF(AH!$P$10=1,INDEX('Live History'!$A$5:$A$3004,AH!$P$13+1834),INDEX('AH History'!$A$1:$A$18046,AH!$P$7+1834))),""))</ns0:f>
        <ns0:v/>
      </ns0:c>
      <ns0:c r="B1839" s="219">
        <ns0:f>IFERROR(IF(AND(AH!$P$9&lt;&gt;1,$C1839&gt;0,$D1839&gt;0,$E1839&gt;0,$F1839&gt;0,$G1839&gt;0,$F1839&lt;=$A1839,$G1839&lt;=$A1839,$A1839-$F1839&lt;=10,$A1839-$G1839&lt;=5),$D1839*$E1839/$C1839-1,NA()),NA())</ns0:f>
        <ns0:v/>
      </ns0:c>
      <ns0:c r="C1839">
        <ns0:f>IFERROR(IF(ISNUMBER($A1839),IF(AND(AH!$P$10=1,AH!$P$12=1,$A1839=TODAY()),AH!$P$19,IF(AH!$P$10=1,INDEX('Live History'!$B$5:$B$3004,AH!$P$13+1834),INDEX('AH History'!$B$1:$B$18046,AH!$P$7+1834))),NA()),NA())</ns0:f>
        <ns0:v/>
      </ns0:c>
      <ns0:c r="D1839">
        <ns0:f>IFERROR(IF(ISNUMBER($A1839),IF(AND(AH!$P$10=1,AH!$P$12=1,$A1839=TODAY()),AH!$P$18,IF(AH!$P$10=1,INDEX('Live History'!$E$5:$E$3004,MATCH($A1839,'Live History'!$D$5:$D$3004,1)),INDEX('AH History'!$C$1:$C$18046,AH!$P$7+1834))),NA()),NA())</ns0:f>
        <ns0:v/>
      </ns0:c>
      <ns0:c r="E1839">
        <ns0:f>IFERROR(IF(ISNUMBER($A1839),IF(AND(AH!$P$10=1,AH!$P$12=1,$A1839=TODAY()),AH!$P$20,IF(AH!$P$10=1,INDEX('Live History'!$H$5:$H$3004,MATCH($A1839,'Live History'!$G$5:$G$3004,1)),INDEX('AH History'!$D$1:$D$18046,AH!$P$7+1834))),NA()),NA())</ns0:f>
        <ns0:v/>
      </ns0:c>
      <ns0:c r="F1839">
        <ns0:f>IFERROR(IF(ISNUMBER($A1839),IF(AND(AH!$P$10=1,AH!$P$12=1,$A1839=TODAY()),IF(AND(AH!$P$10=1,AH!$P$12=1,$A1839=TODAY()),TODAY(),NA()),IF(AH!$P$10=1,INDEX('Live History'!$D$5:$D$3004,MATCH($A1839,'Live History'!$D$5:$D$3004,1)),INDEX('AH History'!$E$1:$E$18046,AH!$P$7+1834))),NA()),NA())</ns0:f>
        <ns0:v/>
      </ns0:c>
      <ns0:c r="G1839">
        <ns0:f>IFERROR(IF(ISNUMBER($A1839),IF(AND(AH!$P$10=1,AH!$P$12=1,$A1839=TODAY()),IF(AND(AH!$P$10=1,AH!$P$12=1,$A1839=TODAY()),TODAY(),NA()),IF(AH!$P$10=1,INDEX('Live History'!$G$5:$G$3004,MATCH($A1839,'Live History'!$G$5:$G$3004,1)),INDEX('AH History'!$F$1:$F$18046,AH!$P$7+1834))),NA()),NA())</ns0:f>
        <ns0:v/>
      </ns0:c>
      <ns0:c r="H1839">
        <ns0:f>IFERROR(IF(AND(AH!$E$4="Bloomberg",AH!$P$10=1,ISNUMBER($A1839),$A1839&lt;=AH!$P$17),AH!$P$7-1+MATCH($A1839,INDEX('AH History'!$A$1:$A$18046,AH!$P$7):INDEX('AH History'!$A$1:$A$18046,AH!$P$7+AH!$P$8-1),0),0),0)</ns0:f>
        <ns0:v/>
      </ns0:c>
      <ns0:c r="I1839">
        <ns0:f>IF($H1839=0,0,IFERROR(IF(AND(ABS($C1839-INDEX('AH History'!$B$1:$B$18046,$H1839))&lt;=MAX(0.005,ABS(INDEX('AH History'!$B$1:$B$18046,$H1839))*0.00005),ABS($D1839-INDEX('AH History'!$C$1:$C$18046,$H1839))&lt;=MAX(0.005,ABS(INDEX('AH History'!$C$1:$C$18046,$H1839))*0.00005),ABS($E1839-INDEX('AH History'!$D$1:$D$18046,$H1839))&lt;=0.00005,$F1839=INDEX('AH History'!$E$1:$E$18046,$H1839),$G1839=INDEX('AH History'!$F$1:$F$18046,$H1839)),1,-1),-1))</ns0:f>
        <ns0:v/>
      </ns0:c>
    </ns0:row>
    <ns0:row r="1840">
      <ns0:c r="A1840" s="215">
        <ns0:f>IF(OR(AH!$P$3=0,1835+1&gt;AH!$P$11,AND(AH!$E$4&lt;&gt;"Stored",AH!$P$10&lt;&gt;1)),"",IFERROR(IF(AND(AH!$P$21=1,1835+1=AH!$P$11),TODAY(),IF(AH!$P$10=1,INDEX('Live History'!$A$5:$A$3004,AH!$P$13+1835),INDEX('AH History'!$A$1:$A$18046,AH!$P$7+1835))),""))</ns0:f>
        <ns0:v/>
      </ns0:c>
      <ns0:c r="B1840" s="219">
        <ns0:f>IFERROR(IF(AND(AH!$P$9&lt;&gt;1,$C1840&gt;0,$D1840&gt;0,$E1840&gt;0,$F1840&gt;0,$G1840&gt;0,$F1840&lt;=$A1840,$G1840&lt;=$A1840,$A1840-$F1840&lt;=10,$A1840-$G1840&lt;=5),$D1840*$E1840/$C1840-1,NA()),NA())</ns0:f>
        <ns0:v/>
      </ns0:c>
      <ns0:c r="C1840">
        <ns0:f>IFERROR(IF(ISNUMBER($A1840),IF(AND(AH!$P$10=1,AH!$P$12=1,$A1840=TODAY()),AH!$P$19,IF(AH!$P$10=1,INDEX('Live History'!$B$5:$B$3004,AH!$P$13+1835),INDEX('AH History'!$B$1:$B$18046,AH!$P$7+1835))),NA()),NA())</ns0:f>
        <ns0:v/>
      </ns0:c>
      <ns0:c r="D1840">
        <ns0:f>IFERROR(IF(ISNUMBER($A1840),IF(AND(AH!$P$10=1,AH!$P$12=1,$A1840=TODAY()),AH!$P$18,IF(AH!$P$10=1,INDEX('Live History'!$E$5:$E$3004,MATCH($A1840,'Live History'!$D$5:$D$3004,1)),INDEX('AH History'!$C$1:$C$18046,AH!$P$7+1835))),NA()),NA())</ns0:f>
        <ns0:v/>
      </ns0:c>
      <ns0:c r="E1840">
        <ns0:f>IFERROR(IF(ISNUMBER($A1840),IF(AND(AH!$P$10=1,AH!$P$12=1,$A1840=TODAY()),AH!$P$20,IF(AH!$P$10=1,INDEX('Live History'!$H$5:$H$3004,MATCH($A1840,'Live History'!$G$5:$G$3004,1)),INDEX('AH History'!$D$1:$D$18046,AH!$P$7+1835))),NA()),NA())</ns0:f>
        <ns0:v/>
      </ns0:c>
      <ns0:c r="F1840">
        <ns0:f>IFERROR(IF(ISNUMBER($A1840),IF(AND(AH!$P$10=1,AH!$P$12=1,$A1840=TODAY()),IF(AND(AH!$P$10=1,AH!$P$12=1,$A1840=TODAY()),TODAY(),NA()),IF(AH!$P$10=1,INDEX('Live History'!$D$5:$D$3004,MATCH($A1840,'Live History'!$D$5:$D$3004,1)),INDEX('AH History'!$E$1:$E$18046,AH!$P$7+1835))),NA()),NA())</ns0:f>
        <ns0:v/>
      </ns0:c>
      <ns0:c r="G1840">
        <ns0:f>IFERROR(IF(ISNUMBER($A1840),IF(AND(AH!$P$10=1,AH!$P$12=1,$A1840=TODAY()),IF(AND(AH!$P$10=1,AH!$P$12=1,$A1840=TODAY()),TODAY(),NA()),IF(AH!$P$10=1,INDEX('Live History'!$G$5:$G$3004,MATCH($A1840,'Live History'!$G$5:$G$3004,1)),INDEX('AH History'!$F$1:$F$18046,AH!$P$7+1835))),NA()),NA())</ns0:f>
        <ns0:v/>
      </ns0:c>
      <ns0:c r="H1840">
        <ns0:f>IFERROR(IF(AND(AH!$E$4="Bloomberg",AH!$P$10=1,ISNUMBER($A1840),$A1840&lt;=AH!$P$17),AH!$P$7-1+MATCH($A1840,INDEX('AH History'!$A$1:$A$18046,AH!$P$7):INDEX('AH History'!$A$1:$A$18046,AH!$P$7+AH!$P$8-1),0),0),0)</ns0:f>
        <ns0:v/>
      </ns0:c>
      <ns0:c r="I1840">
        <ns0:f>IF($H1840=0,0,IFERROR(IF(AND(ABS($C1840-INDEX('AH History'!$B$1:$B$18046,$H1840))&lt;=MAX(0.005,ABS(INDEX('AH History'!$B$1:$B$18046,$H1840))*0.00005),ABS($D1840-INDEX('AH History'!$C$1:$C$18046,$H1840))&lt;=MAX(0.005,ABS(INDEX('AH History'!$C$1:$C$18046,$H1840))*0.00005),ABS($E1840-INDEX('AH History'!$D$1:$D$18046,$H1840))&lt;=0.00005,$F1840=INDEX('AH History'!$E$1:$E$18046,$H1840),$G1840=INDEX('AH History'!$F$1:$F$18046,$H1840)),1,-1),-1))</ns0:f>
        <ns0:v/>
      </ns0:c>
    </ns0:row>
    <ns0:row r="1841">
      <ns0:c r="A1841" s="215">
        <ns0:f>IF(OR(AH!$P$3=0,1836+1&gt;AH!$P$11,AND(AH!$E$4&lt;&gt;"Stored",AH!$P$10&lt;&gt;1)),"",IFERROR(IF(AND(AH!$P$21=1,1836+1=AH!$P$11),TODAY(),IF(AH!$P$10=1,INDEX('Live History'!$A$5:$A$3004,AH!$P$13+1836),INDEX('AH History'!$A$1:$A$18046,AH!$P$7+1836))),""))</ns0:f>
        <ns0:v/>
      </ns0:c>
      <ns0:c r="B1841" s="219">
        <ns0:f>IFERROR(IF(AND(AH!$P$9&lt;&gt;1,$C1841&gt;0,$D1841&gt;0,$E1841&gt;0,$F1841&gt;0,$G1841&gt;0,$F1841&lt;=$A1841,$G1841&lt;=$A1841,$A1841-$F1841&lt;=10,$A1841-$G1841&lt;=5),$D1841*$E1841/$C1841-1,NA()),NA())</ns0:f>
        <ns0:v/>
      </ns0:c>
      <ns0:c r="C1841">
        <ns0:f>IFERROR(IF(ISNUMBER($A1841),IF(AND(AH!$P$10=1,AH!$P$12=1,$A1841=TODAY()),AH!$P$19,IF(AH!$P$10=1,INDEX('Live History'!$B$5:$B$3004,AH!$P$13+1836),INDEX('AH History'!$B$1:$B$18046,AH!$P$7+1836))),NA()),NA())</ns0:f>
        <ns0:v/>
      </ns0:c>
      <ns0:c r="D1841">
        <ns0:f>IFERROR(IF(ISNUMBER($A1841),IF(AND(AH!$P$10=1,AH!$P$12=1,$A1841=TODAY()),AH!$P$18,IF(AH!$P$10=1,INDEX('Live History'!$E$5:$E$3004,MATCH($A1841,'Live History'!$D$5:$D$3004,1)),INDEX('AH History'!$C$1:$C$18046,AH!$P$7+1836))),NA()),NA())</ns0:f>
        <ns0:v/>
      </ns0:c>
      <ns0:c r="E1841">
        <ns0:f>IFERROR(IF(ISNUMBER($A1841),IF(AND(AH!$P$10=1,AH!$P$12=1,$A1841=TODAY()),AH!$P$20,IF(AH!$P$10=1,INDEX('Live History'!$H$5:$H$3004,MATCH($A1841,'Live History'!$G$5:$G$3004,1)),INDEX('AH History'!$D$1:$D$18046,AH!$P$7+1836))),NA()),NA())</ns0:f>
        <ns0:v/>
      </ns0:c>
      <ns0:c r="F1841">
        <ns0:f>IFERROR(IF(ISNUMBER($A1841),IF(AND(AH!$P$10=1,AH!$P$12=1,$A1841=TODAY()),IF(AND(AH!$P$10=1,AH!$P$12=1,$A1841=TODAY()),TODAY(),NA()),IF(AH!$P$10=1,INDEX('Live History'!$D$5:$D$3004,MATCH($A1841,'Live History'!$D$5:$D$3004,1)),INDEX('AH History'!$E$1:$E$18046,AH!$P$7+1836))),NA()),NA())</ns0:f>
        <ns0:v/>
      </ns0:c>
      <ns0:c r="G1841">
        <ns0:f>IFERROR(IF(ISNUMBER($A1841),IF(AND(AH!$P$10=1,AH!$P$12=1,$A1841=TODAY()),IF(AND(AH!$P$10=1,AH!$P$12=1,$A1841=TODAY()),TODAY(),NA()),IF(AH!$P$10=1,INDEX('Live History'!$G$5:$G$3004,MATCH($A1841,'Live History'!$G$5:$G$3004,1)),INDEX('AH History'!$F$1:$F$18046,AH!$P$7+1836))),NA()),NA())</ns0:f>
        <ns0:v/>
      </ns0:c>
      <ns0:c r="H1841">
        <ns0:f>IFERROR(IF(AND(AH!$E$4="Bloomberg",AH!$P$10=1,ISNUMBER($A1841),$A1841&lt;=AH!$P$17),AH!$P$7-1+MATCH($A1841,INDEX('AH History'!$A$1:$A$18046,AH!$P$7):INDEX('AH History'!$A$1:$A$18046,AH!$P$7+AH!$P$8-1),0),0),0)</ns0:f>
        <ns0:v/>
      </ns0:c>
      <ns0:c r="I1841">
        <ns0:f>IF($H1841=0,0,IFERROR(IF(AND(ABS($C1841-INDEX('AH History'!$B$1:$B$18046,$H1841))&lt;=MAX(0.005,ABS(INDEX('AH History'!$B$1:$B$18046,$H1841))*0.00005),ABS($D1841-INDEX('AH History'!$C$1:$C$18046,$H1841))&lt;=MAX(0.005,ABS(INDEX('AH History'!$C$1:$C$18046,$H1841))*0.00005),ABS($E1841-INDEX('AH History'!$D$1:$D$18046,$H1841))&lt;=0.00005,$F1841=INDEX('AH History'!$E$1:$E$18046,$H1841),$G1841=INDEX('AH History'!$F$1:$F$18046,$H1841)),1,-1),-1))</ns0:f>
        <ns0:v/>
      </ns0:c>
    </ns0:row>
    <ns0:row r="1842">
      <ns0:c r="A1842" s="215">
        <ns0:f>IF(OR(AH!$P$3=0,1837+1&gt;AH!$P$11,AND(AH!$E$4&lt;&gt;"Stored",AH!$P$10&lt;&gt;1)),"",IFERROR(IF(AND(AH!$P$21=1,1837+1=AH!$P$11),TODAY(),IF(AH!$P$10=1,INDEX('Live History'!$A$5:$A$3004,AH!$P$13+1837),INDEX('AH History'!$A$1:$A$18046,AH!$P$7+1837))),""))</ns0:f>
        <ns0:v/>
      </ns0:c>
      <ns0:c r="B1842" s="219">
        <ns0:f>IFERROR(IF(AND(AH!$P$9&lt;&gt;1,$C1842&gt;0,$D1842&gt;0,$E1842&gt;0,$F1842&gt;0,$G1842&gt;0,$F1842&lt;=$A1842,$G1842&lt;=$A1842,$A1842-$F1842&lt;=10,$A1842-$G1842&lt;=5),$D1842*$E1842/$C1842-1,NA()),NA())</ns0:f>
        <ns0:v/>
      </ns0:c>
      <ns0:c r="C1842">
        <ns0:f>IFERROR(IF(ISNUMBER($A1842),IF(AND(AH!$P$10=1,AH!$P$12=1,$A1842=TODAY()),AH!$P$19,IF(AH!$P$10=1,INDEX('Live History'!$B$5:$B$3004,AH!$P$13+1837),INDEX('AH History'!$B$1:$B$18046,AH!$P$7+1837))),NA()),NA())</ns0:f>
        <ns0:v/>
      </ns0:c>
      <ns0:c r="D1842">
        <ns0:f>IFERROR(IF(ISNUMBER($A1842),IF(AND(AH!$P$10=1,AH!$P$12=1,$A1842=TODAY()),AH!$P$18,IF(AH!$P$10=1,INDEX('Live History'!$E$5:$E$3004,MATCH($A1842,'Live History'!$D$5:$D$3004,1)),INDEX('AH History'!$C$1:$C$18046,AH!$P$7+1837))),NA()),NA())</ns0:f>
        <ns0:v/>
      </ns0:c>
      <ns0:c r="E1842">
        <ns0:f>IFERROR(IF(ISNUMBER($A1842),IF(AND(AH!$P$10=1,AH!$P$12=1,$A1842=TODAY()),AH!$P$20,IF(AH!$P$10=1,INDEX('Live History'!$H$5:$H$3004,MATCH($A1842,'Live History'!$G$5:$G$3004,1)),INDEX('AH History'!$D$1:$D$18046,AH!$P$7+1837))),NA()),NA())</ns0:f>
        <ns0:v/>
      </ns0:c>
      <ns0:c r="F1842">
        <ns0:f>IFERROR(IF(ISNUMBER($A1842),IF(AND(AH!$P$10=1,AH!$P$12=1,$A1842=TODAY()),IF(AND(AH!$P$10=1,AH!$P$12=1,$A1842=TODAY()),TODAY(),NA()),IF(AH!$P$10=1,INDEX('Live History'!$D$5:$D$3004,MATCH($A1842,'Live History'!$D$5:$D$3004,1)),INDEX('AH History'!$E$1:$E$18046,AH!$P$7+1837))),NA()),NA())</ns0:f>
        <ns0:v/>
      </ns0:c>
      <ns0:c r="G1842">
        <ns0:f>IFERROR(IF(ISNUMBER($A1842),IF(AND(AH!$P$10=1,AH!$P$12=1,$A1842=TODAY()),IF(AND(AH!$P$10=1,AH!$P$12=1,$A1842=TODAY()),TODAY(),NA()),IF(AH!$P$10=1,INDEX('Live History'!$G$5:$G$3004,MATCH($A1842,'Live History'!$G$5:$G$3004,1)),INDEX('AH History'!$F$1:$F$18046,AH!$P$7+1837))),NA()),NA())</ns0:f>
        <ns0:v/>
      </ns0:c>
      <ns0:c r="H1842">
        <ns0:f>IFERROR(IF(AND(AH!$E$4="Bloomberg",AH!$P$10=1,ISNUMBER($A1842),$A1842&lt;=AH!$P$17),AH!$P$7-1+MATCH($A1842,INDEX('AH History'!$A$1:$A$18046,AH!$P$7):INDEX('AH History'!$A$1:$A$18046,AH!$P$7+AH!$P$8-1),0),0),0)</ns0:f>
        <ns0:v/>
      </ns0:c>
      <ns0:c r="I1842">
        <ns0:f>IF($H1842=0,0,IFERROR(IF(AND(ABS($C1842-INDEX('AH History'!$B$1:$B$18046,$H1842))&lt;=MAX(0.005,ABS(INDEX('AH History'!$B$1:$B$18046,$H1842))*0.00005),ABS($D1842-INDEX('AH History'!$C$1:$C$18046,$H1842))&lt;=MAX(0.005,ABS(INDEX('AH History'!$C$1:$C$18046,$H1842))*0.00005),ABS($E1842-INDEX('AH History'!$D$1:$D$18046,$H1842))&lt;=0.00005,$F1842=INDEX('AH History'!$E$1:$E$18046,$H1842),$G1842=INDEX('AH History'!$F$1:$F$18046,$H1842)),1,-1),-1))</ns0:f>
        <ns0:v/>
      </ns0:c>
    </ns0:row>
    <ns0:row r="1843">
      <ns0:c r="A1843" s="215">
        <ns0:f>IF(OR(AH!$P$3=0,1838+1&gt;AH!$P$11,AND(AH!$E$4&lt;&gt;"Stored",AH!$P$10&lt;&gt;1)),"",IFERROR(IF(AND(AH!$P$21=1,1838+1=AH!$P$11),TODAY(),IF(AH!$P$10=1,INDEX('Live History'!$A$5:$A$3004,AH!$P$13+1838),INDEX('AH History'!$A$1:$A$18046,AH!$P$7+1838))),""))</ns0:f>
        <ns0:v/>
      </ns0:c>
      <ns0:c r="B1843" s="219">
        <ns0:f>IFERROR(IF(AND(AH!$P$9&lt;&gt;1,$C1843&gt;0,$D1843&gt;0,$E1843&gt;0,$F1843&gt;0,$G1843&gt;0,$F1843&lt;=$A1843,$G1843&lt;=$A1843,$A1843-$F1843&lt;=10,$A1843-$G1843&lt;=5),$D1843*$E1843/$C1843-1,NA()),NA())</ns0:f>
        <ns0:v/>
      </ns0:c>
      <ns0:c r="C1843">
        <ns0:f>IFERROR(IF(ISNUMBER($A1843),IF(AND(AH!$P$10=1,AH!$P$12=1,$A1843=TODAY()),AH!$P$19,IF(AH!$P$10=1,INDEX('Live History'!$B$5:$B$3004,AH!$P$13+1838),INDEX('AH History'!$B$1:$B$18046,AH!$P$7+1838))),NA()),NA())</ns0:f>
        <ns0:v/>
      </ns0:c>
      <ns0:c r="D1843">
        <ns0:f>IFERROR(IF(ISNUMBER($A1843),IF(AND(AH!$P$10=1,AH!$P$12=1,$A1843=TODAY()),AH!$P$18,IF(AH!$P$10=1,INDEX('Live History'!$E$5:$E$3004,MATCH($A1843,'Live History'!$D$5:$D$3004,1)),INDEX('AH History'!$C$1:$C$18046,AH!$P$7+1838))),NA()),NA())</ns0:f>
        <ns0:v/>
      </ns0:c>
      <ns0:c r="E1843">
        <ns0:f>IFERROR(IF(ISNUMBER($A1843),IF(AND(AH!$P$10=1,AH!$P$12=1,$A1843=TODAY()),AH!$P$20,IF(AH!$P$10=1,INDEX('Live History'!$H$5:$H$3004,MATCH($A1843,'Live History'!$G$5:$G$3004,1)),INDEX('AH History'!$D$1:$D$18046,AH!$P$7+1838))),NA()),NA())</ns0:f>
        <ns0:v/>
      </ns0:c>
      <ns0:c r="F1843">
        <ns0:f>IFERROR(IF(ISNUMBER($A1843),IF(AND(AH!$P$10=1,AH!$P$12=1,$A1843=TODAY()),IF(AND(AH!$P$10=1,AH!$P$12=1,$A1843=TODAY()),TODAY(),NA()),IF(AH!$P$10=1,INDEX('Live History'!$D$5:$D$3004,MATCH($A1843,'Live History'!$D$5:$D$3004,1)),INDEX('AH History'!$E$1:$E$18046,AH!$P$7+1838))),NA()),NA())</ns0:f>
        <ns0:v/>
      </ns0:c>
      <ns0:c r="G1843">
        <ns0:f>IFERROR(IF(ISNUMBER($A1843),IF(AND(AH!$P$10=1,AH!$P$12=1,$A1843=TODAY()),IF(AND(AH!$P$10=1,AH!$P$12=1,$A1843=TODAY()),TODAY(),NA()),IF(AH!$P$10=1,INDEX('Live History'!$G$5:$G$3004,MATCH($A1843,'Live History'!$G$5:$G$3004,1)),INDEX('AH History'!$F$1:$F$18046,AH!$P$7+1838))),NA()),NA())</ns0:f>
        <ns0:v/>
      </ns0:c>
      <ns0:c r="H1843">
        <ns0:f>IFERROR(IF(AND(AH!$E$4="Bloomberg",AH!$P$10=1,ISNUMBER($A1843),$A1843&lt;=AH!$P$17),AH!$P$7-1+MATCH($A1843,INDEX('AH History'!$A$1:$A$18046,AH!$P$7):INDEX('AH History'!$A$1:$A$18046,AH!$P$7+AH!$P$8-1),0),0),0)</ns0:f>
        <ns0:v/>
      </ns0:c>
      <ns0:c r="I1843">
        <ns0:f>IF($H1843=0,0,IFERROR(IF(AND(ABS($C1843-INDEX('AH History'!$B$1:$B$18046,$H1843))&lt;=MAX(0.005,ABS(INDEX('AH History'!$B$1:$B$18046,$H1843))*0.00005),ABS($D1843-INDEX('AH History'!$C$1:$C$18046,$H1843))&lt;=MAX(0.005,ABS(INDEX('AH History'!$C$1:$C$18046,$H1843))*0.00005),ABS($E1843-INDEX('AH History'!$D$1:$D$18046,$H1843))&lt;=0.00005,$F1843=INDEX('AH History'!$E$1:$E$18046,$H1843),$G1843=INDEX('AH History'!$F$1:$F$18046,$H1843)),1,-1),-1))</ns0:f>
        <ns0:v/>
      </ns0:c>
    </ns0:row>
    <ns0:row r="1844">
      <ns0:c r="A1844" s="215">
        <ns0:f>IF(OR(AH!$P$3=0,1839+1&gt;AH!$P$11,AND(AH!$E$4&lt;&gt;"Stored",AH!$P$10&lt;&gt;1)),"",IFERROR(IF(AND(AH!$P$21=1,1839+1=AH!$P$11),TODAY(),IF(AH!$P$10=1,INDEX('Live History'!$A$5:$A$3004,AH!$P$13+1839),INDEX('AH History'!$A$1:$A$18046,AH!$P$7+1839))),""))</ns0:f>
        <ns0:v/>
      </ns0:c>
      <ns0:c r="B1844" s="219">
        <ns0:f>IFERROR(IF(AND(AH!$P$9&lt;&gt;1,$C1844&gt;0,$D1844&gt;0,$E1844&gt;0,$F1844&gt;0,$G1844&gt;0,$F1844&lt;=$A1844,$G1844&lt;=$A1844,$A1844-$F1844&lt;=10,$A1844-$G1844&lt;=5),$D1844*$E1844/$C1844-1,NA()),NA())</ns0:f>
        <ns0:v/>
      </ns0:c>
      <ns0:c r="C1844">
        <ns0:f>IFERROR(IF(ISNUMBER($A1844),IF(AND(AH!$P$10=1,AH!$P$12=1,$A1844=TODAY()),AH!$P$19,IF(AH!$P$10=1,INDEX('Live History'!$B$5:$B$3004,AH!$P$13+1839),INDEX('AH History'!$B$1:$B$18046,AH!$P$7+1839))),NA()),NA())</ns0:f>
        <ns0:v/>
      </ns0:c>
      <ns0:c r="D1844">
        <ns0:f>IFERROR(IF(ISNUMBER($A1844),IF(AND(AH!$P$10=1,AH!$P$12=1,$A1844=TODAY()),AH!$P$18,IF(AH!$P$10=1,INDEX('Live History'!$E$5:$E$3004,MATCH($A1844,'Live History'!$D$5:$D$3004,1)),INDEX('AH History'!$C$1:$C$18046,AH!$P$7+1839))),NA()),NA())</ns0:f>
        <ns0:v/>
      </ns0:c>
      <ns0:c r="E1844">
        <ns0:f>IFERROR(IF(ISNUMBER($A1844),IF(AND(AH!$P$10=1,AH!$P$12=1,$A1844=TODAY()),AH!$P$20,IF(AH!$P$10=1,INDEX('Live History'!$H$5:$H$3004,MATCH($A1844,'Live History'!$G$5:$G$3004,1)),INDEX('AH History'!$D$1:$D$18046,AH!$P$7+1839))),NA()),NA())</ns0:f>
        <ns0:v/>
      </ns0:c>
      <ns0:c r="F1844">
        <ns0:f>IFERROR(IF(ISNUMBER($A1844),IF(AND(AH!$P$10=1,AH!$P$12=1,$A1844=TODAY()),IF(AND(AH!$P$10=1,AH!$P$12=1,$A1844=TODAY()),TODAY(),NA()),IF(AH!$P$10=1,INDEX('Live History'!$D$5:$D$3004,MATCH($A1844,'Live History'!$D$5:$D$3004,1)),INDEX('AH History'!$E$1:$E$18046,AH!$P$7+1839))),NA()),NA())</ns0:f>
        <ns0:v/>
      </ns0:c>
      <ns0:c r="G1844">
        <ns0:f>IFERROR(IF(ISNUMBER($A1844),IF(AND(AH!$P$10=1,AH!$P$12=1,$A1844=TODAY()),IF(AND(AH!$P$10=1,AH!$P$12=1,$A1844=TODAY()),TODAY(),NA()),IF(AH!$P$10=1,INDEX('Live History'!$G$5:$G$3004,MATCH($A1844,'Live History'!$G$5:$G$3004,1)),INDEX('AH History'!$F$1:$F$18046,AH!$P$7+1839))),NA()),NA())</ns0:f>
        <ns0:v/>
      </ns0:c>
      <ns0:c r="H1844">
        <ns0:f>IFERROR(IF(AND(AH!$E$4="Bloomberg",AH!$P$10=1,ISNUMBER($A1844),$A1844&lt;=AH!$P$17),AH!$P$7-1+MATCH($A1844,INDEX('AH History'!$A$1:$A$18046,AH!$P$7):INDEX('AH History'!$A$1:$A$18046,AH!$P$7+AH!$P$8-1),0),0),0)</ns0:f>
        <ns0:v/>
      </ns0:c>
      <ns0:c r="I1844">
        <ns0:f>IF($H1844=0,0,IFERROR(IF(AND(ABS($C1844-INDEX('AH History'!$B$1:$B$18046,$H1844))&lt;=MAX(0.005,ABS(INDEX('AH History'!$B$1:$B$18046,$H1844))*0.00005),ABS($D1844-INDEX('AH History'!$C$1:$C$18046,$H1844))&lt;=MAX(0.005,ABS(INDEX('AH History'!$C$1:$C$18046,$H1844))*0.00005),ABS($E1844-INDEX('AH History'!$D$1:$D$18046,$H1844))&lt;=0.00005,$F1844=INDEX('AH History'!$E$1:$E$18046,$H1844),$G1844=INDEX('AH History'!$F$1:$F$18046,$H1844)),1,-1),-1))</ns0:f>
        <ns0:v/>
      </ns0:c>
    </ns0:row>
    <ns0:row r="1845">
      <ns0:c r="A1845" s="215">
        <ns0:f>IF(OR(AH!$P$3=0,1840+1&gt;AH!$P$11,AND(AH!$E$4&lt;&gt;"Stored",AH!$P$10&lt;&gt;1)),"",IFERROR(IF(AND(AH!$P$21=1,1840+1=AH!$P$11),TODAY(),IF(AH!$P$10=1,INDEX('Live History'!$A$5:$A$3004,AH!$P$13+1840),INDEX('AH History'!$A$1:$A$18046,AH!$P$7+1840))),""))</ns0:f>
        <ns0:v/>
      </ns0:c>
      <ns0:c r="B1845" s="219">
        <ns0:f>IFERROR(IF(AND(AH!$P$9&lt;&gt;1,$C1845&gt;0,$D1845&gt;0,$E1845&gt;0,$F1845&gt;0,$G1845&gt;0,$F1845&lt;=$A1845,$G1845&lt;=$A1845,$A1845-$F1845&lt;=10,$A1845-$G1845&lt;=5),$D1845*$E1845/$C1845-1,NA()),NA())</ns0:f>
        <ns0:v/>
      </ns0:c>
      <ns0:c r="C1845">
        <ns0:f>IFERROR(IF(ISNUMBER($A1845),IF(AND(AH!$P$10=1,AH!$P$12=1,$A1845=TODAY()),AH!$P$19,IF(AH!$P$10=1,INDEX('Live History'!$B$5:$B$3004,AH!$P$13+1840),INDEX('AH History'!$B$1:$B$18046,AH!$P$7+1840))),NA()),NA())</ns0:f>
        <ns0:v/>
      </ns0:c>
      <ns0:c r="D1845">
        <ns0:f>IFERROR(IF(ISNUMBER($A1845),IF(AND(AH!$P$10=1,AH!$P$12=1,$A1845=TODAY()),AH!$P$18,IF(AH!$P$10=1,INDEX('Live History'!$E$5:$E$3004,MATCH($A1845,'Live History'!$D$5:$D$3004,1)),INDEX('AH History'!$C$1:$C$18046,AH!$P$7+1840))),NA()),NA())</ns0:f>
        <ns0:v/>
      </ns0:c>
      <ns0:c r="E1845">
        <ns0:f>IFERROR(IF(ISNUMBER($A1845),IF(AND(AH!$P$10=1,AH!$P$12=1,$A1845=TODAY()),AH!$P$20,IF(AH!$P$10=1,INDEX('Live History'!$H$5:$H$3004,MATCH($A1845,'Live History'!$G$5:$G$3004,1)),INDEX('AH History'!$D$1:$D$18046,AH!$P$7+1840))),NA()),NA())</ns0:f>
        <ns0:v/>
      </ns0:c>
      <ns0:c r="F1845">
        <ns0:f>IFERROR(IF(ISNUMBER($A1845),IF(AND(AH!$P$10=1,AH!$P$12=1,$A1845=TODAY()),IF(AND(AH!$P$10=1,AH!$P$12=1,$A1845=TODAY()),TODAY(),NA()),IF(AH!$P$10=1,INDEX('Live History'!$D$5:$D$3004,MATCH($A1845,'Live History'!$D$5:$D$3004,1)),INDEX('AH History'!$E$1:$E$18046,AH!$P$7+1840))),NA()),NA())</ns0:f>
        <ns0:v/>
      </ns0:c>
      <ns0:c r="G1845">
        <ns0:f>IFERROR(IF(ISNUMBER($A1845),IF(AND(AH!$P$10=1,AH!$P$12=1,$A1845=TODAY()),IF(AND(AH!$P$10=1,AH!$P$12=1,$A1845=TODAY()),TODAY(),NA()),IF(AH!$P$10=1,INDEX('Live History'!$G$5:$G$3004,MATCH($A1845,'Live History'!$G$5:$G$3004,1)),INDEX('AH History'!$F$1:$F$18046,AH!$P$7+1840))),NA()),NA())</ns0:f>
        <ns0:v/>
      </ns0:c>
      <ns0:c r="H1845">
        <ns0:f>IFERROR(IF(AND(AH!$E$4="Bloomberg",AH!$P$10=1,ISNUMBER($A1845),$A1845&lt;=AH!$P$17),AH!$P$7-1+MATCH($A1845,INDEX('AH History'!$A$1:$A$18046,AH!$P$7):INDEX('AH History'!$A$1:$A$18046,AH!$P$7+AH!$P$8-1),0),0),0)</ns0:f>
        <ns0:v/>
      </ns0:c>
      <ns0:c r="I1845">
        <ns0:f>IF($H1845=0,0,IFERROR(IF(AND(ABS($C1845-INDEX('AH History'!$B$1:$B$18046,$H1845))&lt;=MAX(0.005,ABS(INDEX('AH History'!$B$1:$B$18046,$H1845))*0.00005),ABS($D1845-INDEX('AH History'!$C$1:$C$18046,$H1845))&lt;=MAX(0.005,ABS(INDEX('AH History'!$C$1:$C$18046,$H1845))*0.00005),ABS($E1845-INDEX('AH History'!$D$1:$D$18046,$H1845))&lt;=0.00005,$F1845=INDEX('AH History'!$E$1:$E$18046,$H1845),$G1845=INDEX('AH History'!$F$1:$F$18046,$H1845)),1,-1),-1))</ns0:f>
        <ns0:v/>
      </ns0:c>
    </ns0:row>
    <ns0:row r="1846">
      <ns0:c r="A1846" s="215">
        <ns0:f>IF(OR(AH!$P$3=0,1841+1&gt;AH!$P$11,AND(AH!$E$4&lt;&gt;"Stored",AH!$P$10&lt;&gt;1)),"",IFERROR(IF(AND(AH!$P$21=1,1841+1=AH!$P$11),TODAY(),IF(AH!$P$10=1,INDEX('Live History'!$A$5:$A$3004,AH!$P$13+1841),INDEX('AH History'!$A$1:$A$18046,AH!$P$7+1841))),""))</ns0:f>
        <ns0:v/>
      </ns0:c>
      <ns0:c r="B1846" s="219">
        <ns0:f>IFERROR(IF(AND(AH!$P$9&lt;&gt;1,$C1846&gt;0,$D1846&gt;0,$E1846&gt;0,$F1846&gt;0,$G1846&gt;0,$F1846&lt;=$A1846,$G1846&lt;=$A1846,$A1846-$F1846&lt;=10,$A1846-$G1846&lt;=5),$D1846*$E1846/$C1846-1,NA()),NA())</ns0:f>
        <ns0:v/>
      </ns0:c>
      <ns0:c r="C1846">
        <ns0:f>IFERROR(IF(ISNUMBER($A1846),IF(AND(AH!$P$10=1,AH!$P$12=1,$A1846=TODAY()),AH!$P$19,IF(AH!$P$10=1,INDEX('Live History'!$B$5:$B$3004,AH!$P$13+1841),INDEX('AH History'!$B$1:$B$18046,AH!$P$7+1841))),NA()),NA())</ns0:f>
        <ns0:v/>
      </ns0:c>
      <ns0:c r="D1846">
        <ns0:f>IFERROR(IF(ISNUMBER($A1846),IF(AND(AH!$P$10=1,AH!$P$12=1,$A1846=TODAY()),AH!$P$18,IF(AH!$P$10=1,INDEX('Live History'!$E$5:$E$3004,MATCH($A1846,'Live History'!$D$5:$D$3004,1)),INDEX('AH History'!$C$1:$C$18046,AH!$P$7+1841))),NA()),NA())</ns0:f>
        <ns0:v/>
      </ns0:c>
      <ns0:c r="E1846">
        <ns0:f>IFERROR(IF(ISNUMBER($A1846),IF(AND(AH!$P$10=1,AH!$P$12=1,$A1846=TODAY()),AH!$P$20,IF(AH!$P$10=1,INDEX('Live History'!$H$5:$H$3004,MATCH($A1846,'Live History'!$G$5:$G$3004,1)),INDEX('AH History'!$D$1:$D$18046,AH!$P$7+1841))),NA()),NA())</ns0:f>
        <ns0:v/>
      </ns0:c>
      <ns0:c r="F1846">
        <ns0:f>IFERROR(IF(ISNUMBER($A1846),IF(AND(AH!$P$10=1,AH!$P$12=1,$A1846=TODAY()),IF(AND(AH!$P$10=1,AH!$P$12=1,$A1846=TODAY()),TODAY(),NA()),IF(AH!$P$10=1,INDEX('Live History'!$D$5:$D$3004,MATCH($A1846,'Live History'!$D$5:$D$3004,1)),INDEX('AH History'!$E$1:$E$18046,AH!$P$7+1841))),NA()),NA())</ns0:f>
        <ns0:v/>
      </ns0:c>
      <ns0:c r="G1846">
        <ns0:f>IFERROR(IF(ISNUMBER($A1846),IF(AND(AH!$P$10=1,AH!$P$12=1,$A1846=TODAY()),IF(AND(AH!$P$10=1,AH!$P$12=1,$A1846=TODAY()),TODAY(),NA()),IF(AH!$P$10=1,INDEX('Live History'!$G$5:$G$3004,MATCH($A1846,'Live History'!$G$5:$G$3004,1)),INDEX('AH History'!$F$1:$F$18046,AH!$P$7+1841))),NA()),NA())</ns0:f>
        <ns0:v/>
      </ns0:c>
      <ns0:c r="H1846">
        <ns0:f>IFERROR(IF(AND(AH!$E$4="Bloomberg",AH!$P$10=1,ISNUMBER($A1846),$A1846&lt;=AH!$P$17),AH!$P$7-1+MATCH($A1846,INDEX('AH History'!$A$1:$A$18046,AH!$P$7):INDEX('AH History'!$A$1:$A$18046,AH!$P$7+AH!$P$8-1),0),0),0)</ns0:f>
        <ns0:v/>
      </ns0:c>
      <ns0:c r="I1846">
        <ns0:f>IF($H1846=0,0,IFERROR(IF(AND(ABS($C1846-INDEX('AH History'!$B$1:$B$18046,$H1846))&lt;=MAX(0.005,ABS(INDEX('AH History'!$B$1:$B$18046,$H1846))*0.00005),ABS($D1846-INDEX('AH History'!$C$1:$C$18046,$H1846))&lt;=MAX(0.005,ABS(INDEX('AH History'!$C$1:$C$18046,$H1846))*0.00005),ABS($E1846-INDEX('AH History'!$D$1:$D$18046,$H1846))&lt;=0.00005,$F1846=INDEX('AH History'!$E$1:$E$18046,$H1846),$G1846=INDEX('AH History'!$F$1:$F$18046,$H1846)),1,-1),-1))</ns0:f>
        <ns0:v/>
      </ns0:c>
    </ns0:row>
    <ns0:row r="1847">
      <ns0:c r="A1847" s="215">
        <ns0:f>IF(OR(AH!$P$3=0,1842+1&gt;AH!$P$11,AND(AH!$E$4&lt;&gt;"Stored",AH!$P$10&lt;&gt;1)),"",IFERROR(IF(AND(AH!$P$21=1,1842+1=AH!$P$11),TODAY(),IF(AH!$P$10=1,INDEX('Live History'!$A$5:$A$3004,AH!$P$13+1842),INDEX('AH History'!$A$1:$A$18046,AH!$P$7+1842))),""))</ns0:f>
        <ns0:v/>
      </ns0:c>
      <ns0:c r="B1847" s="219">
        <ns0:f>IFERROR(IF(AND(AH!$P$9&lt;&gt;1,$C1847&gt;0,$D1847&gt;0,$E1847&gt;0,$F1847&gt;0,$G1847&gt;0,$F1847&lt;=$A1847,$G1847&lt;=$A1847,$A1847-$F1847&lt;=10,$A1847-$G1847&lt;=5),$D1847*$E1847/$C1847-1,NA()),NA())</ns0:f>
        <ns0:v/>
      </ns0:c>
      <ns0:c r="C1847">
        <ns0:f>IFERROR(IF(ISNUMBER($A1847),IF(AND(AH!$P$10=1,AH!$P$12=1,$A1847=TODAY()),AH!$P$19,IF(AH!$P$10=1,INDEX('Live History'!$B$5:$B$3004,AH!$P$13+1842),INDEX('AH History'!$B$1:$B$18046,AH!$P$7+1842))),NA()),NA())</ns0:f>
        <ns0:v/>
      </ns0:c>
      <ns0:c r="D1847">
        <ns0:f>IFERROR(IF(ISNUMBER($A1847),IF(AND(AH!$P$10=1,AH!$P$12=1,$A1847=TODAY()),AH!$P$18,IF(AH!$P$10=1,INDEX('Live History'!$E$5:$E$3004,MATCH($A1847,'Live History'!$D$5:$D$3004,1)),INDEX('AH History'!$C$1:$C$18046,AH!$P$7+1842))),NA()),NA())</ns0:f>
        <ns0:v/>
      </ns0:c>
      <ns0:c r="E1847">
        <ns0:f>IFERROR(IF(ISNUMBER($A1847),IF(AND(AH!$P$10=1,AH!$P$12=1,$A1847=TODAY()),AH!$P$20,IF(AH!$P$10=1,INDEX('Live History'!$H$5:$H$3004,MATCH($A1847,'Live History'!$G$5:$G$3004,1)),INDEX('AH History'!$D$1:$D$18046,AH!$P$7+1842))),NA()),NA())</ns0:f>
        <ns0:v/>
      </ns0:c>
      <ns0:c r="F1847">
        <ns0:f>IFERROR(IF(ISNUMBER($A1847),IF(AND(AH!$P$10=1,AH!$P$12=1,$A1847=TODAY()),IF(AND(AH!$P$10=1,AH!$P$12=1,$A1847=TODAY()),TODAY(),NA()),IF(AH!$P$10=1,INDEX('Live History'!$D$5:$D$3004,MATCH($A1847,'Live History'!$D$5:$D$3004,1)),INDEX('AH History'!$E$1:$E$18046,AH!$P$7+1842))),NA()),NA())</ns0:f>
        <ns0:v/>
      </ns0:c>
      <ns0:c r="G1847">
        <ns0:f>IFERROR(IF(ISNUMBER($A1847),IF(AND(AH!$P$10=1,AH!$P$12=1,$A1847=TODAY()),IF(AND(AH!$P$10=1,AH!$P$12=1,$A1847=TODAY()),TODAY(),NA()),IF(AH!$P$10=1,INDEX('Live History'!$G$5:$G$3004,MATCH($A1847,'Live History'!$G$5:$G$3004,1)),INDEX('AH History'!$F$1:$F$18046,AH!$P$7+1842))),NA()),NA())</ns0:f>
        <ns0:v/>
      </ns0:c>
      <ns0:c r="H1847">
        <ns0:f>IFERROR(IF(AND(AH!$E$4="Bloomberg",AH!$P$10=1,ISNUMBER($A1847),$A1847&lt;=AH!$P$17),AH!$P$7-1+MATCH($A1847,INDEX('AH History'!$A$1:$A$18046,AH!$P$7):INDEX('AH History'!$A$1:$A$18046,AH!$P$7+AH!$P$8-1),0),0),0)</ns0:f>
        <ns0:v/>
      </ns0:c>
      <ns0:c r="I1847">
        <ns0:f>IF($H1847=0,0,IFERROR(IF(AND(ABS($C1847-INDEX('AH History'!$B$1:$B$18046,$H1847))&lt;=MAX(0.005,ABS(INDEX('AH History'!$B$1:$B$18046,$H1847))*0.00005),ABS($D1847-INDEX('AH History'!$C$1:$C$18046,$H1847))&lt;=MAX(0.005,ABS(INDEX('AH History'!$C$1:$C$18046,$H1847))*0.00005),ABS($E1847-INDEX('AH History'!$D$1:$D$18046,$H1847))&lt;=0.00005,$F1847=INDEX('AH History'!$E$1:$E$18046,$H1847),$G1847=INDEX('AH History'!$F$1:$F$18046,$H1847)),1,-1),-1))</ns0:f>
        <ns0:v/>
      </ns0:c>
    </ns0:row>
    <ns0:row r="1848">
      <ns0:c r="A1848" s="215">
        <ns0:f>IF(OR(AH!$P$3=0,1843+1&gt;AH!$P$11,AND(AH!$E$4&lt;&gt;"Stored",AH!$P$10&lt;&gt;1)),"",IFERROR(IF(AND(AH!$P$21=1,1843+1=AH!$P$11),TODAY(),IF(AH!$P$10=1,INDEX('Live History'!$A$5:$A$3004,AH!$P$13+1843),INDEX('AH History'!$A$1:$A$18046,AH!$P$7+1843))),""))</ns0:f>
        <ns0:v/>
      </ns0:c>
      <ns0:c r="B1848" s="219">
        <ns0:f>IFERROR(IF(AND(AH!$P$9&lt;&gt;1,$C1848&gt;0,$D1848&gt;0,$E1848&gt;0,$F1848&gt;0,$G1848&gt;0,$F1848&lt;=$A1848,$G1848&lt;=$A1848,$A1848-$F1848&lt;=10,$A1848-$G1848&lt;=5),$D1848*$E1848/$C1848-1,NA()),NA())</ns0:f>
        <ns0:v/>
      </ns0:c>
      <ns0:c r="C1848">
        <ns0:f>IFERROR(IF(ISNUMBER($A1848),IF(AND(AH!$P$10=1,AH!$P$12=1,$A1848=TODAY()),AH!$P$19,IF(AH!$P$10=1,INDEX('Live History'!$B$5:$B$3004,AH!$P$13+1843),INDEX('AH History'!$B$1:$B$18046,AH!$P$7+1843))),NA()),NA())</ns0:f>
        <ns0:v/>
      </ns0:c>
      <ns0:c r="D1848">
        <ns0:f>IFERROR(IF(ISNUMBER($A1848),IF(AND(AH!$P$10=1,AH!$P$12=1,$A1848=TODAY()),AH!$P$18,IF(AH!$P$10=1,INDEX('Live History'!$E$5:$E$3004,MATCH($A1848,'Live History'!$D$5:$D$3004,1)),INDEX('AH History'!$C$1:$C$18046,AH!$P$7+1843))),NA()),NA())</ns0:f>
        <ns0:v/>
      </ns0:c>
      <ns0:c r="E1848">
        <ns0:f>IFERROR(IF(ISNUMBER($A1848),IF(AND(AH!$P$10=1,AH!$P$12=1,$A1848=TODAY()),AH!$P$20,IF(AH!$P$10=1,INDEX('Live History'!$H$5:$H$3004,MATCH($A1848,'Live History'!$G$5:$G$3004,1)),INDEX('AH History'!$D$1:$D$18046,AH!$P$7+1843))),NA()),NA())</ns0:f>
        <ns0:v/>
      </ns0:c>
      <ns0:c r="F1848">
        <ns0:f>IFERROR(IF(ISNUMBER($A1848),IF(AND(AH!$P$10=1,AH!$P$12=1,$A1848=TODAY()),IF(AND(AH!$P$10=1,AH!$P$12=1,$A1848=TODAY()),TODAY(),NA()),IF(AH!$P$10=1,INDEX('Live History'!$D$5:$D$3004,MATCH($A1848,'Live History'!$D$5:$D$3004,1)),INDEX('AH History'!$E$1:$E$18046,AH!$P$7+1843))),NA()),NA())</ns0:f>
        <ns0:v/>
      </ns0:c>
      <ns0:c r="G1848">
        <ns0:f>IFERROR(IF(ISNUMBER($A1848),IF(AND(AH!$P$10=1,AH!$P$12=1,$A1848=TODAY()),IF(AND(AH!$P$10=1,AH!$P$12=1,$A1848=TODAY()),TODAY(),NA()),IF(AH!$P$10=1,INDEX('Live History'!$G$5:$G$3004,MATCH($A1848,'Live History'!$G$5:$G$3004,1)),INDEX('AH History'!$F$1:$F$18046,AH!$P$7+1843))),NA()),NA())</ns0:f>
        <ns0:v/>
      </ns0:c>
      <ns0:c r="H1848">
        <ns0:f>IFERROR(IF(AND(AH!$E$4="Bloomberg",AH!$P$10=1,ISNUMBER($A1848),$A1848&lt;=AH!$P$17),AH!$P$7-1+MATCH($A1848,INDEX('AH History'!$A$1:$A$18046,AH!$P$7):INDEX('AH History'!$A$1:$A$18046,AH!$P$7+AH!$P$8-1),0),0),0)</ns0:f>
        <ns0:v/>
      </ns0:c>
      <ns0:c r="I1848">
        <ns0:f>IF($H1848=0,0,IFERROR(IF(AND(ABS($C1848-INDEX('AH History'!$B$1:$B$18046,$H1848))&lt;=MAX(0.005,ABS(INDEX('AH History'!$B$1:$B$18046,$H1848))*0.00005),ABS($D1848-INDEX('AH History'!$C$1:$C$18046,$H1848))&lt;=MAX(0.005,ABS(INDEX('AH History'!$C$1:$C$18046,$H1848))*0.00005),ABS($E1848-INDEX('AH History'!$D$1:$D$18046,$H1848))&lt;=0.00005,$F1848=INDEX('AH History'!$E$1:$E$18046,$H1848),$G1848=INDEX('AH History'!$F$1:$F$18046,$H1848)),1,-1),-1))</ns0:f>
        <ns0:v/>
      </ns0:c>
    </ns0:row>
    <ns0:row r="1849">
      <ns0:c r="A1849" s="215">
        <ns0:f>IF(OR(AH!$P$3=0,1844+1&gt;AH!$P$11,AND(AH!$E$4&lt;&gt;"Stored",AH!$P$10&lt;&gt;1)),"",IFERROR(IF(AND(AH!$P$21=1,1844+1=AH!$P$11),TODAY(),IF(AH!$P$10=1,INDEX('Live History'!$A$5:$A$3004,AH!$P$13+1844),INDEX('AH History'!$A$1:$A$18046,AH!$P$7+1844))),""))</ns0:f>
        <ns0:v/>
      </ns0:c>
      <ns0:c r="B1849" s="219">
        <ns0:f>IFERROR(IF(AND(AH!$P$9&lt;&gt;1,$C1849&gt;0,$D1849&gt;0,$E1849&gt;0,$F1849&gt;0,$G1849&gt;0,$F1849&lt;=$A1849,$G1849&lt;=$A1849,$A1849-$F1849&lt;=10,$A1849-$G1849&lt;=5),$D1849*$E1849/$C1849-1,NA()),NA())</ns0:f>
        <ns0:v/>
      </ns0:c>
      <ns0:c r="C1849">
        <ns0:f>IFERROR(IF(ISNUMBER($A1849),IF(AND(AH!$P$10=1,AH!$P$12=1,$A1849=TODAY()),AH!$P$19,IF(AH!$P$10=1,INDEX('Live History'!$B$5:$B$3004,AH!$P$13+1844),INDEX('AH History'!$B$1:$B$18046,AH!$P$7+1844))),NA()),NA())</ns0:f>
        <ns0:v/>
      </ns0:c>
      <ns0:c r="D1849">
        <ns0:f>IFERROR(IF(ISNUMBER($A1849),IF(AND(AH!$P$10=1,AH!$P$12=1,$A1849=TODAY()),AH!$P$18,IF(AH!$P$10=1,INDEX('Live History'!$E$5:$E$3004,MATCH($A1849,'Live History'!$D$5:$D$3004,1)),INDEX('AH History'!$C$1:$C$18046,AH!$P$7+1844))),NA()),NA())</ns0:f>
        <ns0:v/>
      </ns0:c>
      <ns0:c r="E1849">
        <ns0:f>IFERROR(IF(ISNUMBER($A1849),IF(AND(AH!$P$10=1,AH!$P$12=1,$A1849=TODAY()),AH!$P$20,IF(AH!$P$10=1,INDEX('Live History'!$H$5:$H$3004,MATCH($A1849,'Live History'!$G$5:$G$3004,1)),INDEX('AH History'!$D$1:$D$18046,AH!$P$7+1844))),NA()),NA())</ns0:f>
        <ns0:v/>
      </ns0:c>
      <ns0:c r="F1849">
        <ns0:f>IFERROR(IF(ISNUMBER($A1849),IF(AND(AH!$P$10=1,AH!$P$12=1,$A1849=TODAY()),IF(AND(AH!$P$10=1,AH!$P$12=1,$A1849=TODAY()),TODAY(),NA()),IF(AH!$P$10=1,INDEX('Live History'!$D$5:$D$3004,MATCH($A1849,'Live History'!$D$5:$D$3004,1)),INDEX('AH History'!$E$1:$E$18046,AH!$P$7+1844))),NA()),NA())</ns0:f>
        <ns0:v/>
      </ns0:c>
      <ns0:c r="G1849">
        <ns0:f>IFERROR(IF(ISNUMBER($A1849),IF(AND(AH!$P$10=1,AH!$P$12=1,$A1849=TODAY()),IF(AND(AH!$P$10=1,AH!$P$12=1,$A1849=TODAY()),TODAY(),NA()),IF(AH!$P$10=1,INDEX('Live History'!$G$5:$G$3004,MATCH($A1849,'Live History'!$G$5:$G$3004,1)),INDEX('AH History'!$F$1:$F$18046,AH!$P$7+1844))),NA()),NA())</ns0:f>
        <ns0:v/>
      </ns0:c>
      <ns0:c r="H1849">
        <ns0:f>IFERROR(IF(AND(AH!$E$4="Bloomberg",AH!$P$10=1,ISNUMBER($A1849),$A1849&lt;=AH!$P$17),AH!$P$7-1+MATCH($A1849,INDEX('AH History'!$A$1:$A$18046,AH!$P$7):INDEX('AH History'!$A$1:$A$18046,AH!$P$7+AH!$P$8-1),0),0),0)</ns0:f>
        <ns0:v/>
      </ns0:c>
      <ns0:c r="I1849">
        <ns0:f>IF($H1849=0,0,IFERROR(IF(AND(ABS($C1849-INDEX('AH History'!$B$1:$B$18046,$H1849))&lt;=MAX(0.005,ABS(INDEX('AH History'!$B$1:$B$18046,$H1849))*0.00005),ABS($D1849-INDEX('AH History'!$C$1:$C$18046,$H1849))&lt;=MAX(0.005,ABS(INDEX('AH History'!$C$1:$C$18046,$H1849))*0.00005),ABS($E1849-INDEX('AH History'!$D$1:$D$18046,$H1849))&lt;=0.00005,$F1849=INDEX('AH History'!$E$1:$E$18046,$H1849),$G1849=INDEX('AH History'!$F$1:$F$18046,$H1849)),1,-1),-1))</ns0:f>
        <ns0:v/>
      </ns0:c>
    </ns0:row>
    <ns0:row r="1850">
      <ns0:c r="A1850" s="215">
        <ns0:f>IF(OR(AH!$P$3=0,1845+1&gt;AH!$P$11,AND(AH!$E$4&lt;&gt;"Stored",AH!$P$10&lt;&gt;1)),"",IFERROR(IF(AND(AH!$P$21=1,1845+1=AH!$P$11),TODAY(),IF(AH!$P$10=1,INDEX('Live History'!$A$5:$A$3004,AH!$P$13+1845),INDEX('AH History'!$A$1:$A$18046,AH!$P$7+1845))),""))</ns0:f>
        <ns0:v/>
      </ns0:c>
      <ns0:c r="B1850" s="219">
        <ns0:f>IFERROR(IF(AND(AH!$P$9&lt;&gt;1,$C1850&gt;0,$D1850&gt;0,$E1850&gt;0,$F1850&gt;0,$G1850&gt;0,$F1850&lt;=$A1850,$G1850&lt;=$A1850,$A1850-$F1850&lt;=10,$A1850-$G1850&lt;=5),$D1850*$E1850/$C1850-1,NA()),NA())</ns0:f>
        <ns0:v/>
      </ns0:c>
      <ns0:c r="C1850">
        <ns0:f>IFERROR(IF(ISNUMBER($A1850),IF(AND(AH!$P$10=1,AH!$P$12=1,$A1850=TODAY()),AH!$P$19,IF(AH!$P$10=1,INDEX('Live History'!$B$5:$B$3004,AH!$P$13+1845),INDEX('AH History'!$B$1:$B$18046,AH!$P$7+1845))),NA()),NA())</ns0:f>
        <ns0:v/>
      </ns0:c>
      <ns0:c r="D1850">
        <ns0:f>IFERROR(IF(ISNUMBER($A1850),IF(AND(AH!$P$10=1,AH!$P$12=1,$A1850=TODAY()),AH!$P$18,IF(AH!$P$10=1,INDEX('Live History'!$E$5:$E$3004,MATCH($A1850,'Live History'!$D$5:$D$3004,1)),INDEX('AH History'!$C$1:$C$18046,AH!$P$7+1845))),NA()),NA())</ns0:f>
        <ns0:v/>
      </ns0:c>
      <ns0:c r="E1850">
        <ns0:f>IFERROR(IF(ISNUMBER($A1850),IF(AND(AH!$P$10=1,AH!$P$12=1,$A1850=TODAY()),AH!$P$20,IF(AH!$P$10=1,INDEX('Live History'!$H$5:$H$3004,MATCH($A1850,'Live History'!$G$5:$G$3004,1)),INDEX('AH History'!$D$1:$D$18046,AH!$P$7+1845))),NA()),NA())</ns0:f>
        <ns0:v/>
      </ns0:c>
      <ns0:c r="F1850">
        <ns0:f>IFERROR(IF(ISNUMBER($A1850),IF(AND(AH!$P$10=1,AH!$P$12=1,$A1850=TODAY()),IF(AND(AH!$P$10=1,AH!$P$12=1,$A1850=TODAY()),TODAY(),NA()),IF(AH!$P$10=1,INDEX('Live History'!$D$5:$D$3004,MATCH($A1850,'Live History'!$D$5:$D$3004,1)),INDEX('AH History'!$E$1:$E$18046,AH!$P$7+1845))),NA()),NA())</ns0:f>
        <ns0:v/>
      </ns0:c>
      <ns0:c r="G1850">
        <ns0:f>IFERROR(IF(ISNUMBER($A1850),IF(AND(AH!$P$10=1,AH!$P$12=1,$A1850=TODAY()),IF(AND(AH!$P$10=1,AH!$P$12=1,$A1850=TODAY()),TODAY(),NA()),IF(AH!$P$10=1,INDEX('Live History'!$G$5:$G$3004,MATCH($A1850,'Live History'!$G$5:$G$3004,1)),INDEX('AH History'!$F$1:$F$18046,AH!$P$7+1845))),NA()),NA())</ns0:f>
        <ns0:v/>
      </ns0:c>
      <ns0:c r="H1850">
        <ns0:f>IFERROR(IF(AND(AH!$E$4="Bloomberg",AH!$P$10=1,ISNUMBER($A1850),$A1850&lt;=AH!$P$17),AH!$P$7-1+MATCH($A1850,INDEX('AH History'!$A$1:$A$18046,AH!$P$7):INDEX('AH History'!$A$1:$A$18046,AH!$P$7+AH!$P$8-1),0),0),0)</ns0:f>
        <ns0:v/>
      </ns0:c>
      <ns0:c r="I1850">
        <ns0:f>IF($H1850=0,0,IFERROR(IF(AND(ABS($C1850-INDEX('AH History'!$B$1:$B$18046,$H1850))&lt;=MAX(0.005,ABS(INDEX('AH History'!$B$1:$B$18046,$H1850))*0.00005),ABS($D1850-INDEX('AH History'!$C$1:$C$18046,$H1850))&lt;=MAX(0.005,ABS(INDEX('AH History'!$C$1:$C$18046,$H1850))*0.00005),ABS($E1850-INDEX('AH History'!$D$1:$D$18046,$H1850))&lt;=0.00005,$F1850=INDEX('AH History'!$E$1:$E$18046,$H1850),$G1850=INDEX('AH History'!$F$1:$F$18046,$H1850)),1,-1),-1))</ns0:f>
        <ns0:v/>
      </ns0:c>
    </ns0:row>
    <ns0:row r="1851">
      <ns0:c r="A1851" s="215">
        <ns0:f>IF(OR(AH!$P$3=0,1846+1&gt;AH!$P$11,AND(AH!$E$4&lt;&gt;"Stored",AH!$P$10&lt;&gt;1)),"",IFERROR(IF(AND(AH!$P$21=1,1846+1=AH!$P$11),TODAY(),IF(AH!$P$10=1,INDEX('Live History'!$A$5:$A$3004,AH!$P$13+1846),INDEX('AH History'!$A$1:$A$18046,AH!$P$7+1846))),""))</ns0:f>
        <ns0:v/>
      </ns0:c>
      <ns0:c r="B1851" s="219">
        <ns0:f>IFERROR(IF(AND(AH!$P$9&lt;&gt;1,$C1851&gt;0,$D1851&gt;0,$E1851&gt;0,$F1851&gt;0,$G1851&gt;0,$F1851&lt;=$A1851,$G1851&lt;=$A1851,$A1851-$F1851&lt;=10,$A1851-$G1851&lt;=5),$D1851*$E1851/$C1851-1,NA()),NA())</ns0:f>
        <ns0:v/>
      </ns0:c>
      <ns0:c r="C1851">
        <ns0:f>IFERROR(IF(ISNUMBER($A1851),IF(AND(AH!$P$10=1,AH!$P$12=1,$A1851=TODAY()),AH!$P$19,IF(AH!$P$10=1,INDEX('Live History'!$B$5:$B$3004,AH!$P$13+1846),INDEX('AH History'!$B$1:$B$18046,AH!$P$7+1846))),NA()),NA())</ns0:f>
        <ns0:v/>
      </ns0:c>
      <ns0:c r="D1851">
        <ns0:f>IFERROR(IF(ISNUMBER($A1851),IF(AND(AH!$P$10=1,AH!$P$12=1,$A1851=TODAY()),AH!$P$18,IF(AH!$P$10=1,INDEX('Live History'!$E$5:$E$3004,MATCH($A1851,'Live History'!$D$5:$D$3004,1)),INDEX('AH History'!$C$1:$C$18046,AH!$P$7+1846))),NA()),NA())</ns0:f>
        <ns0:v/>
      </ns0:c>
      <ns0:c r="E1851">
        <ns0:f>IFERROR(IF(ISNUMBER($A1851),IF(AND(AH!$P$10=1,AH!$P$12=1,$A1851=TODAY()),AH!$P$20,IF(AH!$P$10=1,INDEX('Live History'!$H$5:$H$3004,MATCH($A1851,'Live History'!$G$5:$G$3004,1)),INDEX('AH History'!$D$1:$D$18046,AH!$P$7+1846))),NA()),NA())</ns0:f>
        <ns0:v/>
      </ns0:c>
      <ns0:c r="F1851">
        <ns0:f>IFERROR(IF(ISNUMBER($A1851),IF(AND(AH!$P$10=1,AH!$P$12=1,$A1851=TODAY()),IF(AND(AH!$P$10=1,AH!$P$12=1,$A1851=TODAY()),TODAY(),NA()),IF(AH!$P$10=1,INDEX('Live History'!$D$5:$D$3004,MATCH($A1851,'Live History'!$D$5:$D$3004,1)),INDEX('AH History'!$E$1:$E$18046,AH!$P$7+1846))),NA()),NA())</ns0:f>
        <ns0:v/>
      </ns0:c>
      <ns0:c r="G1851">
        <ns0:f>IFERROR(IF(ISNUMBER($A1851),IF(AND(AH!$P$10=1,AH!$P$12=1,$A1851=TODAY()),IF(AND(AH!$P$10=1,AH!$P$12=1,$A1851=TODAY()),TODAY(),NA()),IF(AH!$P$10=1,INDEX('Live History'!$G$5:$G$3004,MATCH($A1851,'Live History'!$G$5:$G$3004,1)),INDEX('AH History'!$F$1:$F$18046,AH!$P$7+1846))),NA()),NA())</ns0:f>
        <ns0:v/>
      </ns0:c>
      <ns0:c r="H1851">
        <ns0:f>IFERROR(IF(AND(AH!$E$4="Bloomberg",AH!$P$10=1,ISNUMBER($A1851),$A1851&lt;=AH!$P$17),AH!$P$7-1+MATCH($A1851,INDEX('AH History'!$A$1:$A$18046,AH!$P$7):INDEX('AH History'!$A$1:$A$18046,AH!$P$7+AH!$P$8-1),0),0),0)</ns0:f>
        <ns0:v/>
      </ns0:c>
      <ns0:c r="I1851">
        <ns0:f>IF($H1851=0,0,IFERROR(IF(AND(ABS($C1851-INDEX('AH History'!$B$1:$B$18046,$H1851))&lt;=MAX(0.005,ABS(INDEX('AH History'!$B$1:$B$18046,$H1851))*0.00005),ABS($D1851-INDEX('AH History'!$C$1:$C$18046,$H1851))&lt;=MAX(0.005,ABS(INDEX('AH History'!$C$1:$C$18046,$H1851))*0.00005),ABS($E1851-INDEX('AH History'!$D$1:$D$18046,$H1851))&lt;=0.00005,$F1851=INDEX('AH History'!$E$1:$E$18046,$H1851),$G1851=INDEX('AH History'!$F$1:$F$18046,$H1851)),1,-1),-1))</ns0:f>
        <ns0:v/>
      </ns0:c>
    </ns0:row>
    <ns0:row r="1852">
      <ns0:c r="A1852" s="215">
        <ns0:f>IF(OR(AH!$P$3=0,1847+1&gt;AH!$P$11,AND(AH!$E$4&lt;&gt;"Stored",AH!$P$10&lt;&gt;1)),"",IFERROR(IF(AND(AH!$P$21=1,1847+1=AH!$P$11),TODAY(),IF(AH!$P$10=1,INDEX('Live History'!$A$5:$A$3004,AH!$P$13+1847),INDEX('AH History'!$A$1:$A$18046,AH!$P$7+1847))),""))</ns0:f>
        <ns0:v/>
      </ns0:c>
      <ns0:c r="B1852" s="219">
        <ns0:f>IFERROR(IF(AND(AH!$P$9&lt;&gt;1,$C1852&gt;0,$D1852&gt;0,$E1852&gt;0,$F1852&gt;0,$G1852&gt;0,$F1852&lt;=$A1852,$G1852&lt;=$A1852,$A1852-$F1852&lt;=10,$A1852-$G1852&lt;=5),$D1852*$E1852/$C1852-1,NA()),NA())</ns0:f>
        <ns0:v/>
      </ns0:c>
      <ns0:c r="C1852">
        <ns0:f>IFERROR(IF(ISNUMBER($A1852),IF(AND(AH!$P$10=1,AH!$P$12=1,$A1852=TODAY()),AH!$P$19,IF(AH!$P$10=1,INDEX('Live History'!$B$5:$B$3004,AH!$P$13+1847),INDEX('AH History'!$B$1:$B$18046,AH!$P$7+1847))),NA()),NA())</ns0:f>
        <ns0:v/>
      </ns0:c>
      <ns0:c r="D1852">
        <ns0:f>IFERROR(IF(ISNUMBER($A1852),IF(AND(AH!$P$10=1,AH!$P$12=1,$A1852=TODAY()),AH!$P$18,IF(AH!$P$10=1,INDEX('Live History'!$E$5:$E$3004,MATCH($A1852,'Live History'!$D$5:$D$3004,1)),INDEX('AH History'!$C$1:$C$18046,AH!$P$7+1847))),NA()),NA())</ns0:f>
        <ns0:v/>
      </ns0:c>
      <ns0:c r="E1852">
        <ns0:f>IFERROR(IF(ISNUMBER($A1852),IF(AND(AH!$P$10=1,AH!$P$12=1,$A1852=TODAY()),AH!$P$20,IF(AH!$P$10=1,INDEX('Live History'!$H$5:$H$3004,MATCH($A1852,'Live History'!$G$5:$G$3004,1)),INDEX('AH History'!$D$1:$D$18046,AH!$P$7+1847))),NA()),NA())</ns0:f>
        <ns0:v/>
      </ns0:c>
      <ns0:c r="F1852">
        <ns0:f>IFERROR(IF(ISNUMBER($A1852),IF(AND(AH!$P$10=1,AH!$P$12=1,$A1852=TODAY()),IF(AND(AH!$P$10=1,AH!$P$12=1,$A1852=TODAY()),TODAY(),NA()),IF(AH!$P$10=1,INDEX('Live History'!$D$5:$D$3004,MATCH($A1852,'Live History'!$D$5:$D$3004,1)),INDEX('AH History'!$E$1:$E$18046,AH!$P$7+1847))),NA()),NA())</ns0:f>
        <ns0:v/>
      </ns0:c>
      <ns0:c r="G1852">
        <ns0:f>IFERROR(IF(ISNUMBER($A1852),IF(AND(AH!$P$10=1,AH!$P$12=1,$A1852=TODAY()),IF(AND(AH!$P$10=1,AH!$P$12=1,$A1852=TODAY()),TODAY(),NA()),IF(AH!$P$10=1,INDEX('Live History'!$G$5:$G$3004,MATCH($A1852,'Live History'!$G$5:$G$3004,1)),INDEX('AH History'!$F$1:$F$18046,AH!$P$7+1847))),NA()),NA())</ns0:f>
        <ns0:v/>
      </ns0:c>
      <ns0:c r="H1852">
        <ns0:f>IFERROR(IF(AND(AH!$E$4="Bloomberg",AH!$P$10=1,ISNUMBER($A1852),$A1852&lt;=AH!$P$17),AH!$P$7-1+MATCH($A1852,INDEX('AH History'!$A$1:$A$18046,AH!$P$7):INDEX('AH History'!$A$1:$A$18046,AH!$P$7+AH!$P$8-1),0),0),0)</ns0:f>
        <ns0:v/>
      </ns0:c>
      <ns0:c r="I1852">
        <ns0:f>IF($H1852=0,0,IFERROR(IF(AND(ABS($C1852-INDEX('AH History'!$B$1:$B$18046,$H1852))&lt;=MAX(0.005,ABS(INDEX('AH History'!$B$1:$B$18046,$H1852))*0.00005),ABS($D1852-INDEX('AH History'!$C$1:$C$18046,$H1852))&lt;=MAX(0.005,ABS(INDEX('AH History'!$C$1:$C$18046,$H1852))*0.00005),ABS($E1852-INDEX('AH History'!$D$1:$D$18046,$H1852))&lt;=0.00005,$F1852=INDEX('AH History'!$E$1:$E$18046,$H1852),$G1852=INDEX('AH History'!$F$1:$F$18046,$H1852)),1,-1),-1))</ns0:f>
        <ns0:v/>
      </ns0:c>
    </ns0:row>
    <ns0:row r="1853">
      <ns0:c r="A1853" s="215">
        <ns0:f>IF(OR(AH!$P$3=0,1848+1&gt;AH!$P$11,AND(AH!$E$4&lt;&gt;"Stored",AH!$P$10&lt;&gt;1)),"",IFERROR(IF(AND(AH!$P$21=1,1848+1=AH!$P$11),TODAY(),IF(AH!$P$10=1,INDEX('Live History'!$A$5:$A$3004,AH!$P$13+1848),INDEX('AH History'!$A$1:$A$18046,AH!$P$7+1848))),""))</ns0:f>
        <ns0:v/>
      </ns0:c>
      <ns0:c r="B1853" s="219">
        <ns0:f>IFERROR(IF(AND(AH!$P$9&lt;&gt;1,$C1853&gt;0,$D1853&gt;0,$E1853&gt;0,$F1853&gt;0,$G1853&gt;0,$F1853&lt;=$A1853,$G1853&lt;=$A1853,$A1853-$F1853&lt;=10,$A1853-$G1853&lt;=5),$D1853*$E1853/$C1853-1,NA()),NA())</ns0:f>
        <ns0:v/>
      </ns0:c>
      <ns0:c r="C1853">
        <ns0:f>IFERROR(IF(ISNUMBER($A1853),IF(AND(AH!$P$10=1,AH!$P$12=1,$A1853=TODAY()),AH!$P$19,IF(AH!$P$10=1,INDEX('Live History'!$B$5:$B$3004,AH!$P$13+1848),INDEX('AH History'!$B$1:$B$18046,AH!$P$7+1848))),NA()),NA())</ns0:f>
        <ns0:v/>
      </ns0:c>
      <ns0:c r="D1853">
        <ns0:f>IFERROR(IF(ISNUMBER($A1853),IF(AND(AH!$P$10=1,AH!$P$12=1,$A1853=TODAY()),AH!$P$18,IF(AH!$P$10=1,INDEX('Live History'!$E$5:$E$3004,MATCH($A1853,'Live History'!$D$5:$D$3004,1)),INDEX('AH History'!$C$1:$C$18046,AH!$P$7+1848))),NA()),NA())</ns0:f>
        <ns0:v/>
      </ns0:c>
      <ns0:c r="E1853">
        <ns0:f>IFERROR(IF(ISNUMBER($A1853),IF(AND(AH!$P$10=1,AH!$P$12=1,$A1853=TODAY()),AH!$P$20,IF(AH!$P$10=1,INDEX('Live History'!$H$5:$H$3004,MATCH($A1853,'Live History'!$G$5:$G$3004,1)),INDEX('AH History'!$D$1:$D$18046,AH!$P$7+1848))),NA()),NA())</ns0:f>
        <ns0:v/>
      </ns0:c>
      <ns0:c r="F1853">
        <ns0:f>IFERROR(IF(ISNUMBER($A1853),IF(AND(AH!$P$10=1,AH!$P$12=1,$A1853=TODAY()),IF(AND(AH!$P$10=1,AH!$P$12=1,$A1853=TODAY()),TODAY(),NA()),IF(AH!$P$10=1,INDEX('Live History'!$D$5:$D$3004,MATCH($A1853,'Live History'!$D$5:$D$3004,1)),INDEX('AH History'!$E$1:$E$18046,AH!$P$7+1848))),NA()),NA())</ns0:f>
        <ns0:v/>
      </ns0:c>
      <ns0:c r="G1853">
        <ns0:f>IFERROR(IF(ISNUMBER($A1853),IF(AND(AH!$P$10=1,AH!$P$12=1,$A1853=TODAY()),IF(AND(AH!$P$10=1,AH!$P$12=1,$A1853=TODAY()),TODAY(),NA()),IF(AH!$P$10=1,INDEX('Live History'!$G$5:$G$3004,MATCH($A1853,'Live History'!$G$5:$G$3004,1)),INDEX('AH History'!$F$1:$F$18046,AH!$P$7+1848))),NA()),NA())</ns0:f>
        <ns0:v/>
      </ns0:c>
      <ns0:c r="H1853">
        <ns0:f>IFERROR(IF(AND(AH!$E$4="Bloomberg",AH!$P$10=1,ISNUMBER($A1853),$A1853&lt;=AH!$P$17),AH!$P$7-1+MATCH($A1853,INDEX('AH History'!$A$1:$A$18046,AH!$P$7):INDEX('AH History'!$A$1:$A$18046,AH!$P$7+AH!$P$8-1),0),0),0)</ns0:f>
        <ns0:v/>
      </ns0:c>
      <ns0:c r="I1853">
        <ns0:f>IF($H1853=0,0,IFERROR(IF(AND(ABS($C1853-INDEX('AH History'!$B$1:$B$18046,$H1853))&lt;=MAX(0.005,ABS(INDEX('AH History'!$B$1:$B$18046,$H1853))*0.00005),ABS($D1853-INDEX('AH History'!$C$1:$C$18046,$H1853))&lt;=MAX(0.005,ABS(INDEX('AH History'!$C$1:$C$18046,$H1853))*0.00005),ABS($E1853-INDEX('AH History'!$D$1:$D$18046,$H1853))&lt;=0.00005,$F1853=INDEX('AH History'!$E$1:$E$18046,$H1853),$G1853=INDEX('AH History'!$F$1:$F$18046,$H1853)),1,-1),-1))</ns0:f>
        <ns0:v/>
      </ns0:c>
    </ns0:row>
    <ns0:row r="1854">
      <ns0:c r="A1854" s="215">
        <ns0:f>IF(OR(AH!$P$3=0,1849+1&gt;AH!$P$11,AND(AH!$E$4&lt;&gt;"Stored",AH!$P$10&lt;&gt;1)),"",IFERROR(IF(AND(AH!$P$21=1,1849+1=AH!$P$11),TODAY(),IF(AH!$P$10=1,INDEX('Live History'!$A$5:$A$3004,AH!$P$13+1849),INDEX('AH History'!$A$1:$A$18046,AH!$P$7+1849))),""))</ns0:f>
        <ns0:v/>
      </ns0:c>
      <ns0:c r="B1854" s="219">
        <ns0:f>IFERROR(IF(AND(AH!$P$9&lt;&gt;1,$C1854&gt;0,$D1854&gt;0,$E1854&gt;0,$F1854&gt;0,$G1854&gt;0,$F1854&lt;=$A1854,$G1854&lt;=$A1854,$A1854-$F1854&lt;=10,$A1854-$G1854&lt;=5),$D1854*$E1854/$C1854-1,NA()),NA())</ns0:f>
        <ns0:v/>
      </ns0:c>
      <ns0:c r="C1854">
        <ns0:f>IFERROR(IF(ISNUMBER($A1854),IF(AND(AH!$P$10=1,AH!$P$12=1,$A1854=TODAY()),AH!$P$19,IF(AH!$P$10=1,INDEX('Live History'!$B$5:$B$3004,AH!$P$13+1849),INDEX('AH History'!$B$1:$B$18046,AH!$P$7+1849))),NA()),NA())</ns0:f>
        <ns0:v/>
      </ns0:c>
      <ns0:c r="D1854">
        <ns0:f>IFERROR(IF(ISNUMBER($A1854),IF(AND(AH!$P$10=1,AH!$P$12=1,$A1854=TODAY()),AH!$P$18,IF(AH!$P$10=1,INDEX('Live History'!$E$5:$E$3004,MATCH($A1854,'Live History'!$D$5:$D$3004,1)),INDEX('AH History'!$C$1:$C$18046,AH!$P$7+1849))),NA()),NA())</ns0:f>
        <ns0:v/>
      </ns0:c>
      <ns0:c r="E1854">
        <ns0:f>IFERROR(IF(ISNUMBER($A1854),IF(AND(AH!$P$10=1,AH!$P$12=1,$A1854=TODAY()),AH!$P$20,IF(AH!$P$10=1,INDEX('Live History'!$H$5:$H$3004,MATCH($A1854,'Live History'!$G$5:$G$3004,1)),INDEX('AH History'!$D$1:$D$18046,AH!$P$7+1849))),NA()),NA())</ns0:f>
        <ns0:v/>
      </ns0:c>
      <ns0:c r="F1854">
        <ns0:f>IFERROR(IF(ISNUMBER($A1854),IF(AND(AH!$P$10=1,AH!$P$12=1,$A1854=TODAY()),IF(AND(AH!$P$10=1,AH!$P$12=1,$A1854=TODAY()),TODAY(),NA()),IF(AH!$P$10=1,INDEX('Live History'!$D$5:$D$3004,MATCH($A1854,'Live History'!$D$5:$D$3004,1)),INDEX('AH History'!$E$1:$E$18046,AH!$P$7+1849))),NA()),NA())</ns0:f>
        <ns0:v/>
      </ns0:c>
      <ns0:c r="G1854">
        <ns0:f>IFERROR(IF(ISNUMBER($A1854),IF(AND(AH!$P$10=1,AH!$P$12=1,$A1854=TODAY()),IF(AND(AH!$P$10=1,AH!$P$12=1,$A1854=TODAY()),TODAY(),NA()),IF(AH!$P$10=1,INDEX('Live History'!$G$5:$G$3004,MATCH($A1854,'Live History'!$G$5:$G$3004,1)),INDEX('AH History'!$F$1:$F$18046,AH!$P$7+1849))),NA()),NA())</ns0:f>
        <ns0:v/>
      </ns0:c>
      <ns0:c r="H1854">
        <ns0:f>IFERROR(IF(AND(AH!$E$4="Bloomberg",AH!$P$10=1,ISNUMBER($A1854),$A1854&lt;=AH!$P$17),AH!$P$7-1+MATCH($A1854,INDEX('AH History'!$A$1:$A$18046,AH!$P$7):INDEX('AH History'!$A$1:$A$18046,AH!$P$7+AH!$P$8-1),0),0),0)</ns0:f>
        <ns0:v/>
      </ns0:c>
      <ns0:c r="I1854">
        <ns0:f>IF($H1854=0,0,IFERROR(IF(AND(ABS($C1854-INDEX('AH History'!$B$1:$B$18046,$H1854))&lt;=MAX(0.005,ABS(INDEX('AH History'!$B$1:$B$18046,$H1854))*0.00005),ABS($D1854-INDEX('AH History'!$C$1:$C$18046,$H1854))&lt;=MAX(0.005,ABS(INDEX('AH History'!$C$1:$C$18046,$H1854))*0.00005),ABS($E1854-INDEX('AH History'!$D$1:$D$18046,$H1854))&lt;=0.00005,$F1854=INDEX('AH History'!$E$1:$E$18046,$H1854),$G1854=INDEX('AH History'!$F$1:$F$18046,$H1854)),1,-1),-1))</ns0:f>
        <ns0:v/>
      </ns0:c>
    </ns0:row>
    <ns0:row r="1855">
      <ns0:c r="A1855" s="215">
        <ns0:f>IF(OR(AH!$P$3=0,1850+1&gt;AH!$P$11,AND(AH!$E$4&lt;&gt;"Stored",AH!$P$10&lt;&gt;1)),"",IFERROR(IF(AND(AH!$P$21=1,1850+1=AH!$P$11),TODAY(),IF(AH!$P$10=1,INDEX('Live History'!$A$5:$A$3004,AH!$P$13+1850),INDEX('AH History'!$A$1:$A$18046,AH!$P$7+1850))),""))</ns0:f>
        <ns0:v/>
      </ns0:c>
      <ns0:c r="B1855" s="219">
        <ns0:f>IFERROR(IF(AND(AH!$P$9&lt;&gt;1,$C1855&gt;0,$D1855&gt;0,$E1855&gt;0,$F1855&gt;0,$G1855&gt;0,$F1855&lt;=$A1855,$G1855&lt;=$A1855,$A1855-$F1855&lt;=10,$A1855-$G1855&lt;=5),$D1855*$E1855/$C1855-1,NA()),NA())</ns0:f>
        <ns0:v/>
      </ns0:c>
      <ns0:c r="C1855">
        <ns0:f>IFERROR(IF(ISNUMBER($A1855),IF(AND(AH!$P$10=1,AH!$P$12=1,$A1855=TODAY()),AH!$P$19,IF(AH!$P$10=1,INDEX('Live History'!$B$5:$B$3004,AH!$P$13+1850),INDEX('AH History'!$B$1:$B$18046,AH!$P$7+1850))),NA()),NA())</ns0:f>
        <ns0:v/>
      </ns0:c>
      <ns0:c r="D1855">
        <ns0:f>IFERROR(IF(ISNUMBER($A1855),IF(AND(AH!$P$10=1,AH!$P$12=1,$A1855=TODAY()),AH!$P$18,IF(AH!$P$10=1,INDEX('Live History'!$E$5:$E$3004,MATCH($A1855,'Live History'!$D$5:$D$3004,1)),INDEX('AH History'!$C$1:$C$18046,AH!$P$7+1850))),NA()),NA())</ns0:f>
        <ns0:v/>
      </ns0:c>
      <ns0:c r="E1855">
        <ns0:f>IFERROR(IF(ISNUMBER($A1855),IF(AND(AH!$P$10=1,AH!$P$12=1,$A1855=TODAY()),AH!$P$20,IF(AH!$P$10=1,INDEX('Live History'!$H$5:$H$3004,MATCH($A1855,'Live History'!$G$5:$G$3004,1)),INDEX('AH History'!$D$1:$D$18046,AH!$P$7+1850))),NA()),NA())</ns0:f>
        <ns0:v/>
      </ns0:c>
      <ns0:c r="F1855">
        <ns0:f>IFERROR(IF(ISNUMBER($A1855),IF(AND(AH!$P$10=1,AH!$P$12=1,$A1855=TODAY()),IF(AND(AH!$P$10=1,AH!$P$12=1,$A1855=TODAY()),TODAY(),NA()),IF(AH!$P$10=1,INDEX('Live History'!$D$5:$D$3004,MATCH($A1855,'Live History'!$D$5:$D$3004,1)),INDEX('AH History'!$E$1:$E$18046,AH!$P$7+1850))),NA()),NA())</ns0:f>
        <ns0:v/>
      </ns0:c>
      <ns0:c r="G1855">
        <ns0:f>IFERROR(IF(ISNUMBER($A1855),IF(AND(AH!$P$10=1,AH!$P$12=1,$A1855=TODAY()),IF(AND(AH!$P$10=1,AH!$P$12=1,$A1855=TODAY()),TODAY(),NA()),IF(AH!$P$10=1,INDEX('Live History'!$G$5:$G$3004,MATCH($A1855,'Live History'!$G$5:$G$3004,1)),INDEX('AH History'!$F$1:$F$18046,AH!$P$7+1850))),NA()),NA())</ns0:f>
        <ns0:v/>
      </ns0:c>
      <ns0:c r="H1855">
        <ns0:f>IFERROR(IF(AND(AH!$E$4="Bloomberg",AH!$P$10=1,ISNUMBER($A1855),$A1855&lt;=AH!$P$17),AH!$P$7-1+MATCH($A1855,INDEX('AH History'!$A$1:$A$18046,AH!$P$7):INDEX('AH History'!$A$1:$A$18046,AH!$P$7+AH!$P$8-1),0),0),0)</ns0:f>
        <ns0:v/>
      </ns0:c>
      <ns0:c r="I1855">
        <ns0:f>IF($H1855=0,0,IFERROR(IF(AND(ABS($C1855-INDEX('AH History'!$B$1:$B$18046,$H1855))&lt;=MAX(0.005,ABS(INDEX('AH History'!$B$1:$B$18046,$H1855))*0.00005),ABS($D1855-INDEX('AH History'!$C$1:$C$18046,$H1855))&lt;=MAX(0.005,ABS(INDEX('AH History'!$C$1:$C$18046,$H1855))*0.00005),ABS($E1855-INDEX('AH History'!$D$1:$D$18046,$H1855))&lt;=0.00005,$F1855=INDEX('AH History'!$E$1:$E$18046,$H1855),$G1855=INDEX('AH History'!$F$1:$F$18046,$H1855)),1,-1),-1))</ns0:f>
        <ns0:v/>
      </ns0:c>
    </ns0:row>
    <ns0:row r="1856">
      <ns0:c r="A1856" s="215">
        <ns0:f>IF(OR(AH!$P$3=0,1851+1&gt;AH!$P$11,AND(AH!$E$4&lt;&gt;"Stored",AH!$P$10&lt;&gt;1)),"",IFERROR(IF(AND(AH!$P$21=1,1851+1=AH!$P$11),TODAY(),IF(AH!$P$10=1,INDEX('Live History'!$A$5:$A$3004,AH!$P$13+1851),INDEX('AH History'!$A$1:$A$18046,AH!$P$7+1851))),""))</ns0:f>
        <ns0:v/>
      </ns0:c>
      <ns0:c r="B1856" s="219">
        <ns0:f>IFERROR(IF(AND(AH!$P$9&lt;&gt;1,$C1856&gt;0,$D1856&gt;0,$E1856&gt;0,$F1856&gt;0,$G1856&gt;0,$F1856&lt;=$A1856,$G1856&lt;=$A1856,$A1856-$F1856&lt;=10,$A1856-$G1856&lt;=5),$D1856*$E1856/$C1856-1,NA()),NA())</ns0:f>
        <ns0:v/>
      </ns0:c>
      <ns0:c r="C1856">
        <ns0:f>IFERROR(IF(ISNUMBER($A1856),IF(AND(AH!$P$10=1,AH!$P$12=1,$A1856=TODAY()),AH!$P$19,IF(AH!$P$10=1,INDEX('Live History'!$B$5:$B$3004,AH!$P$13+1851),INDEX('AH History'!$B$1:$B$18046,AH!$P$7+1851))),NA()),NA())</ns0:f>
        <ns0:v/>
      </ns0:c>
      <ns0:c r="D1856">
        <ns0:f>IFERROR(IF(ISNUMBER($A1856),IF(AND(AH!$P$10=1,AH!$P$12=1,$A1856=TODAY()),AH!$P$18,IF(AH!$P$10=1,INDEX('Live History'!$E$5:$E$3004,MATCH($A1856,'Live History'!$D$5:$D$3004,1)),INDEX('AH History'!$C$1:$C$18046,AH!$P$7+1851))),NA()),NA())</ns0:f>
        <ns0:v/>
      </ns0:c>
      <ns0:c r="E1856">
        <ns0:f>IFERROR(IF(ISNUMBER($A1856),IF(AND(AH!$P$10=1,AH!$P$12=1,$A1856=TODAY()),AH!$P$20,IF(AH!$P$10=1,INDEX('Live History'!$H$5:$H$3004,MATCH($A1856,'Live History'!$G$5:$G$3004,1)),INDEX('AH History'!$D$1:$D$18046,AH!$P$7+1851))),NA()),NA())</ns0:f>
        <ns0:v/>
      </ns0:c>
      <ns0:c r="F1856">
        <ns0:f>IFERROR(IF(ISNUMBER($A1856),IF(AND(AH!$P$10=1,AH!$P$12=1,$A1856=TODAY()),IF(AND(AH!$P$10=1,AH!$P$12=1,$A1856=TODAY()),TODAY(),NA()),IF(AH!$P$10=1,INDEX('Live History'!$D$5:$D$3004,MATCH($A1856,'Live History'!$D$5:$D$3004,1)),INDEX('AH History'!$E$1:$E$18046,AH!$P$7+1851))),NA()),NA())</ns0:f>
        <ns0:v/>
      </ns0:c>
      <ns0:c r="G1856">
        <ns0:f>IFERROR(IF(ISNUMBER($A1856),IF(AND(AH!$P$10=1,AH!$P$12=1,$A1856=TODAY()),IF(AND(AH!$P$10=1,AH!$P$12=1,$A1856=TODAY()),TODAY(),NA()),IF(AH!$P$10=1,INDEX('Live History'!$G$5:$G$3004,MATCH($A1856,'Live History'!$G$5:$G$3004,1)),INDEX('AH History'!$F$1:$F$18046,AH!$P$7+1851))),NA()),NA())</ns0:f>
        <ns0:v/>
      </ns0:c>
      <ns0:c r="H1856">
        <ns0:f>IFERROR(IF(AND(AH!$E$4="Bloomberg",AH!$P$10=1,ISNUMBER($A1856),$A1856&lt;=AH!$P$17),AH!$P$7-1+MATCH($A1856,INDEX('AH History'!$A$1:$A$18046,AH!$P$7):INDEX('AH History'!$A$1:$A$18046,AH!$P$7+AH!$P$8-1),0),0),0)</ns0:f>
        <ns0:v/>
      </ns0:c>
      <ns0:c r="I1856">
        <ns0:f>IF($H1856=0,0,IFERROR(IF(AND(ABS($C1856-INDEX('AH History'!$B$1:$B$18046,$H1856))&lt;=MAX(0.005,ABS(INDEX('AH History'!$B$1:$B$18046,$H1856))*0.00005),ABS($D1856-INDEX('AH History'!$C$1:$C$18046,$H1856))&lt;=MAX(0.005,ABS(INDEX('AH History'!$C$1:$C$18046,$H1856))*0.00005),ABS($E1856-INDEX('AH History'!$D$1:$D$18046,$H1856))&lt;=0.00005,$F1856=INDEX('AH History'!$E$1:$E$18046,$H1856),$G1856=INDEX('AH History'!$F$1:$F$18046,$H1856)),1,-1),-1))</ns0:f>
        <ns0:v/>
      </ns0:c>
    </ns0:row>
    <ns0:row r="1857">
      <ns0:c r="A1857" s="215">
        <ns0:f>IF(OR(AH!$P$3=0,1852+1&gt;AH!$P$11,AND(AH!$E$4&lt;&gt;"Stored",AH!$P$10&lt;&gt;1)),"",IFERROR(IF(AND(AH!$P$21=1,1852+1=AH!$P$11),TODAY(),IF(AH!$P$10=1,INDEX('Live History'!$A$5:$A$3004,AH!$P$13+1852),INDEX('AH History'!$A$1:$A$18046,AH!$P$7+1852))),""))</ns0:f>
        <ns0:v/>
      </ns0:c>
      <ns0:c r="B1857" s="219">
        <ns0:f>IFERROR(IF(AND(AH!$P$9&lt;&gt;1,$C1857&gt;0,$D1857&gt;0,$E1857&gt;0,$F1857&gt;0,$G1857&gt;0,$F1857&lt;=$A1857,$G1857&lt;=$A1857,$A1857-$F1857&lt;=10,$A1857-$G1857&lt;=5),$D1857*$E1857/$C1857-1,NA()),NA())</ns0:f>
        <ns0:v/>
      </ns0:c>
      <ns0:c r="C1857">
        <ns0:f>IFERROR(IF(ISNUMBER($A1857),IF(AND(AH!$P$10=1,AH!$P$12=1,$A1857=TODAY()),AH!$P$19,IF(AH!$P$10=1,INDEX('Live History'!$B$5:$B$3004,AH!$P$13+1852),INDEX('AH History'!$B$1:$B$18046,AH!$P$7+1852))),NA()),NA())</ns0:f>
        <ns0:v/>
      </ns0:c>
      <ns0:c r="D1857">
        <ns0:f>IFERROR(IF(ISNUMBER($A1857),IF(AND(AH!$P$10=1,AH!$P$12=1,$A1857=TODAY()),AH!$P$18,IF(AH!$P$10=1,INDEX('Live History'!$E$5:$E$3004,MATCH($A1857,'Live History'!$D$5:$D$3004,1)),INDEX('AH History'!$C$1:$C$18046,AH!$P$7+1852))),NA()),NA())</ns0:f>
        <ns0:v/>
      </ns0:c>
      <ns0:c r="E1857">
        <ns0:f>IFERROR(IF(ISNUMBER($A1857),IF(AND(AH!$P$10=1,AH!$P$12=1,$A1857=TODAY()),AH!$P$20,IF(AH!$P$10=1,INDEX('Live History'!$H$5:$H$3004,MATCH($A1857,'Live History'!$G$5:$G$3004,1)),INDEX('AH History'!$D$1:$D$18046,AH!$P$7+1852))),NA()),NA())</ns0:f>
        <ns0:v/>
      </ns0:c>
      <ns0:c r="F1857">
        <ns0:f>IFERROR(IF(ISNUMBER($A1857),IF(AND(AH!$P$10=1,AH!$P$12=1,$A1857=TODAY()),IF(AND(AH!$P$10=1,AH!$P$12=1,$A1857=TODAY()),TODAY(),NA()),IF(AH!$P$10=1,INDEX('Live History'!$D$5:$D$3004,MATCH($A1857,'Live History'!$D$5:$D$3004,1)),INDEX('AH History'!$E$1:$E$18046,AH!$P$7+1852))),NA()),NA())</ns0:f>
        <ns0:v/>
      </ns0:c>
      <ns0:c r="G1857">
        <ns0:f>IFERROR(IF(ISNUMBER($A1857),IF(AND(AH!$P$10=1,AH!$P$12=1,$A1857=TODAY()),IF(AND(AH!$P$10=1,AH!$P$12=1,$A1857=TODAY()),TODAY(),NA()),IF(AH!$P$10=1,INDEX('Live History'!$G$5:$G$3004,MATCH($A1857,'Live History'!$G$5:$G$3004,1)),INDEX('AH History'!$F$1:$F$18046,AH!$P$7+1852))),NA()),NA())</ns0:f>
        <ns0:v/>
      </ns0:c>
      <ns0:c r="H1857">
        <ns0:f>IFERROR(IF(AND(AH!$E$4="Bloomberg",AH!$P$10=1,ISNUMBER($A1857),$A1857&lt;=AH!$P$17),AH!$P$7-1+MATCH($A1857,INDEX('AH History'!$A$1:$A$18046,AH!$P$7):INDEX('AH History'!$A$1:$A$18046,AH!$P$7+AH!$P$8-1),0),0),0)</ns0:f>
        <ns0:v/>
      </ns0:c>
      <ns0:c r="I1857">
        <ns0:f>IF($H1857=0,0,IFERROR(IF(AND(ABS($C1857-INDEX('AH History'!$B$1:$B$18046,$H1857))&lt;=MAX(0.005,ABS(INDEX('AH History'!$B$1:$B$18046,$H1857))*0.00005),ABS($D1857-INDEX('AH History'!$C$1:$C$18046,$H1857))&lt;=MAX(0.005,ABS(INDEX('AH History'!$C$1:$C$18046,$H1857))*0.00005),ABS($E1857-INDEX('AH History'!$D$1:$D$18046,$H1857))&lt;=0.00005,$F1857=INDEX('AH History'!$E$1:$E$18046,$H1857),$G1857=INDEX('AH History'!$F$1:$F$18046,$H1857)),1,-1),-1))</ns0:f>
        <ns0:v/>
      </ns0:c>
    </ns0:row>
    <ns0:row r="1858">
      <ns0:c r="A1858" s="215">
        <ns0:f>IF(OR(AH!$P$3=0,1853+1&gt;AH!$P$11,AND(AH!$E$4&lt;&gt;"Stored",AH!$P$10&lt;&gt;1)),"",IFERROR(IF(AND(AH!$P$21=1,1853+1=AH!$P$11),TODAY(),IF(AH!$P$10=1,INDEX('Live History'!$A$5:$A$3004,AH!$P$13+1853),INDEX('AH History'!$A$1:$A$18046,AH!$P$7+1853))),""))</ns0:f>
        <ns0:v/>
      </ns0:c>
      <ns0:c r="B1858" s="219">
        <ns0:f>IFERROR(IF(AND(AH!$P$9&lt;&gt;1,$C1858&gt;0,$D1858&gt;0,$E1858&gt;0,$F1858&gt;0,$G1858&gt;0,$F1858&lt;=$A1858,$G1858&lt;=$A1858,$A1858-$F1858&lt;=10,$A1858-$G1858&lt;=5),$D1858*$E1858/$C1858-1,NA()),NA())</ns0:f>
        <ns0:v/>
      </ns0:c>
      <ns0:c r="C1858">
        <ns0:f>IFERROR(IF(ISNUMBER($A1858),IF(AND(AH!$P$10=1,AH!$P$12=1,$A1858=TODAY()),AH!$P$19,IF(AH!$P$10=1,INDEX('Live History'!$B$5:$B$3004,AH!$P$13+1853),INDEX('AH History'!$B$1:$B$18046,AH!$P$7+1853))),NA()),NA())</ns0:f>
        <ns0:v/>
      </ns0:c>
      <ns0:c r="D1858">
        <ns0:f>IFERROR(IF(ISNUMBER($A1858),IF(AND(AH!$P$10=1,AH!$P$12=1,$A1858=TODAY()),AH!$P$18,IF(AH!$P$10=1,INDEX('Live History'!$E$5:$E$3004,MATCH($A1858,'Live History'!$D$5:$D$3004,1)),INDEX('AH History'!$C$1:$C$18046,AH!$P$7+1853))),NA()),NA())</ns0:f>
        <ns0:v/>
      </ns0:c>
      <ns0:c r="E1858">
        <ns0:f>IFERROR(IF(ISNUMBER($A1858),IF(AND(AH!$P$10=1,AH!$P$12=1,$A1858=TODAY()),AH!$P$20,IF(AH!$P$10=1,INDEX('Live History'!$H$5:$H$3004,MATCH($A1858,'Live History'!$G$5:$G$3004,1)),INDEX('AH History'!$D$1:$D$18046,AH!$P$7+1853))),NA()),NA())</ns0:f>
        <ns0:v/>
      </ns0:c>
      <ns0:c r="F1858">
        <ns0:f>IFERROR(IF(ISNUMBER($A1858),IF(AND(AH!$P$10=1,AH!$P$12=1,$A1858=TODAY()),IF(AND(AH!$P$10=1,AH!$P$12=1,$A1858=TODAY()),TODAY(),NA()),IF(AH!$P$10=1,INDEX('Live History'!$D$5:$D$3004,MATCH($A1858,'Live History'!$D$5:$D$3004,1)),INDEX('AH History'!$E$1:$E$18046,AH!$P$7+1853))),NA()),NA())</ns0:f>
        <ns0:v/>
      </ns0:c>
      <ns0:c r="G1858">
        <ns0:f>IFERROR(IF(ISNUMBER($A1858),IF(AND(AH!$P$10=1,AH!$P$12=1,$A1858=TODAY()),IF(AND(AH!$P$10=1,AH!$P$12=1,$A1858=TODAY()),TODAY(),NA()),IF(AH!$P$10=1,INDEX('Live History'!$G$5:$G$3004,MATCH($A1858,'Live History'!$G$5:$G$3004,1)),INDEX('AH History'!$F$1:$F$18046,AH!$P$7+1853))),NA()),NA())</ns0:f>
        <ns0:v/>
      </ns0:c>
      <ns0:c r="H1858">
        <ns0:f>IFERROR(IF(AND(AH!$E$4="Bloomberg",AH!$P$10=1,ISNUMBER($A1858),$A1858&lt;=AH!$P$17),AH!$P$7-1+MATCH($A1858,INDEX('AH History'!$A$1:$A$18046,AH!$P$7):INDEX('AH History'!$A$1:$A$18046,AH!$P$7+AH!$P$8-1),0),0),0)</ns0:f>
        <ns0:v/>
      </ns0:c>
      <ns0:c r="I1858">
        <ns0:f>IF($H1858=0,0,IFERROR(IF(AND(ABS($C1858-INDEX('AH History'!$B$1:$B$18046,$H1858))&lt;=MAX(0.005,ABS(INDEX('AH History'!$B$1:$B$18046,$H1858))*0.00005),ABS($D1858-INDEX('AH History'!$C$1:$C$18046,$H1858))&lt;=MAX(0.005,ABS(INDEX('AH History'!$C$1:$C$18046,$H1858))*0.00005),ABS($E1858-INDEX('AH History'!$D$1:$D$18046,$H1858))&lt;=0.00005,$F1858=INDEX('AH History'!$E$1:$E$18046,$H1858),$G1858=INDEX('AH History'!$F$1:$F$18046,$H1858)),1,-1),-1))</ns0:f>
        <ns0:v/>
      </ns0:c>
    </ns0:row>
    <ns0:row r="1859">
      <ns0:c r="A1859" s="215">
        <ns0:f>IF(OR(AH!$P$3=0,1854+1&gt;AH!$P$11,AND(AH!$E$4&lt;&gt;"Stored",AH!$P$10&lt;&gt;1)),"",IFERROR(IF(AND(AH!$P$21=1,1854+1=AH!$P$11),TODAY(),IF(AH!$P$10=1,INDEX('Live History'!$A$5:$A$3004,AH!$P$13+1854),INDEX('AH History'!$A$1:$A$18046,AH!$P$7+1854))),""))</ns0:f>
        <ns0:v/>
      </ns0:c>
      <ns0:c r="B1859" s="219">
        <ns0:f>IFERROR(IF(AND(AH!$P$9&lt;&gt;1,$C1859&gt;0,$D1859&gt;0,$E1859&gt;0,$F1859&gt;0,$G1859&gt;0,$F1859&lt;=$A1859,$G1859&lt;=$A1859,$A1859-$F1859&lt;=10,$A1859-$G1859&lt;=5),$D1859*$E1859/$C1859-1,NA()),NA())</ns0:f>
        <ns0:v/>
      </ns0:c>
      <ns0:c r="C1859">
        <ns0:f>IFERROR(IF(ISNUMBER($A1859),IF(AND(AH!$P$10=1,AH!$P$12=1,$A1859=TODAY()),AH!$P$19,IF(AH!$P$10=1,INDEX('Live History'!$B$5:$B$3004,AH!$P$13+1854),INDEX('AH History'!$B$1:$B$18046,AH!$P$7+1854))),NA()),NA())</ns0:f>
        <ns0:v/>
      </ns0:c>
      <ns0:c r="D1859">
        <ns0:f>IFERROR(IF(ISNUMBER($A1859),IF(AND(AH!$P$10=1,AH!$P$12=1,$A1859=TODAY()),AH!$P$18,IF(AH!$P$10=1,INDEX('Live History'!$E$5:$E$3004,MATCH($A1859,'Live History'!$D$5:$D$3004,1)),INDEX('AH History'!$C$1:$C$18046,AH!$P$7+1854))),NA()),NA())</ns0:f>
        <ns0:v/>
      </ns0:c>
      <ns0:c r="E1859">
        <ns0:f>IFERROR(IF(ISNUMBER($A1859),IF(AND(AH!$P$10=1,AH!$P$12=1,$A1859=TODAY()),AH!$P$20,IF(AH!$P$10=1,INDEX('Live History'!$H$5:$H$3004,MATCH($A1859,'Live History'!$G$5:$G$3004,1)),INDEX('AH History'!$D$1:$D$18046,AH!$P$7+1854))),NA()),NA())</ns0:f>
        <ns0:v/>
      </ns0:c>
      <ns0:c r="F1859">
        <ns0:f>IFERROR(IF(ISNUMBER($A1859),IF(AND(AH!$P$10=1,AH!$P$12=1,$A1859=TODAY()),IF(AND(AH!$P$10=1,AH!$P$12=1,$A1859=TODAY()),TODAY(),NA()),IF(AH!$P$10=1,INDEX('Live History'!$D$5:$D$3004,MATCH($A1859,'Live History'!$D$5:$D$3004,1)),INDEX('AH History'!$E$1:$E$18046,AH!$P$7+1854))),NA()),NA())</ns0:f>
        <ns0:v/>
      </ns0:c>
      <ns0:c r="G1859">
        <ns0:f>IFERROR(IF(ISNUMBER($A1859),IF(AND(AH!$P$10=1,AH!$P$12=1,$A1859=TODAY()),IF(AND(AH!$P$10=1,AH!$P$12=1,$A1859=TODAY()),TODAY(),NA()),IF(AH!$P$10=1,INDEX('Live History'!$G$5:$G$3004,MATCH($A1859,'Live History'!$G$5:$G$3004,1)),INDEX('AH History'!$F$1:$F$18046,AH!$P$7+1854))),NA()),NA())</ns0:f>
        <ns0:v/>
      </ns0:c>
      <ns0:c r="H1859">
        <ns0:f>IFERROR(IF(AND(AH!$E$4="Bloomberg",AH!$P$10=1,ISNUMBER($A1859),$A1859&lt;=AH!$P$17),AH!$P$7-1+MATCH($A1859,INDEX('AH History'!$A$1:$A$18046,AH!$P$7):INDEX('AH History'!$A$1:$A$18046,AH!$P$7+AH!$P$8-1),0),0),0)</ns0:f>
        <ns0:v/>
      </ns0:c>
      <ns0:c r="I1859">
        <ns0:f>IF($H1859=0,0,IFERROR(IF(AND(ABS($C1859-INDEX('AH History'!$B$1:$B$18046,$H1859))&lt;=MAX(0.005,ABS(INDEX('AH History'!$B$1:$B$18046,$H1859))*0.00005),ABS($D1859-INDEX('AH History'!$C$1:$C$18046,$H1859))&lt;=MAX(0.005,ABS(INDEX('AH History'!$C$1:$C$18046,$H1859))*0.00005),ABS($E1859-INDEX('AH History'!$D$1:$D$18046,$H1859))&lt;=0.00005,$F1859=INDEX('AH History'!$E$1:$E$18046,$H1859),$G1859=INDEX('AH History'!$F$1:$F$18046,$H1859)),1,-1),-1))</ns0:f>
        <ns0:v/>
      </ns0:c>
    </ns0:row>
    <ns0:row r="1860">
      <ns0:c r="A1860" s="215">
        <ns0:f>IF(OR(AH!$P$3=0,1855+1&gt;AH!$P$11,AND(AH!$E$4&lt;&gt;"Stored",AH!$P$10&lt;&gt;1)),"",IFERROR(IF(AND(AH!$P$21=1,1855+1=AH!$P$11),TODAY(),IF(AH!$P$10=1,INDEX('Live History'!$A$5:$A$3004,AH!$P$13+1855),INDEX('AH History'!$A$1:$A$18046,AH!$P$7+1855))),""))</ns0:f>
        <ns0:v/>
      </ns0:c>
      <ns0:c r="B1860" s="219">
        <ns0:f>IFERROR(IF(AND(AH!$P$9&lt;&gt;1,$C1860&gt;0,$D1860&gt;0,$E1860&gt;0,$F1860&gt;0,$G1860&gt;0,$F1860&lt;=$A1860,$G1860&lt;=$A1860,$A1860-$F1860&lt;=10,$A1860-$G1860&lt;=5),$D1860*$E1860/$C1860-1,NA()),NA())</ns0:f>
        <ns0:v/>
      </ns0:c>
      <ns0:c r="C1860">
        <ns0:f>IFERROR(IF(ISNUMBER($A1860),IF(AND(AH!$P$10=1,AH!$P$12=1,$A1860=TODAY()),AH!$P$19,IF(AH!$P$10=1,INDEX('Live History'!$B$5:$B$3004,AH!$P$13+1855),INDEX('AH History'!$B$1:$B$18046,AH!$P$7+1855))),NA()),NA())</ns0:f>
        <ns0:v/>
      </ns0:c>
      <ns0:c r="D1860">
        <ns0:f>IFERROR(IF(ISNUMBER($A1860),IF(AND(AH!$P$10=1,AH!$P$12=1,$A1860=TODAY()),AH!$P$18,IF(AH!$P$10=1,INDEX('Live History'!$E$5:$E$3004,MATCH($A1860,'Live History'!$D$5:$D$3004,1)),INDEX('AH History'!$C$1:$C$18046,AH!$P$7+1855))),NA()),NA())</ns0:f>
        <ns0:v/>
      </ns0:c>
      <ns0:c r="E1860">
        <ns0:f>IFERROR(IF(ISNUMBER($A1860),IF(AND(AH!$P$10=1,AH!$P$12=1,$A1860=TODAY()),AH!$P$20,IF(AH!$P$10=1,INDEX('Live History'!$H$5:$H$3004,MATCH($A1860,'Live History'!$G$5:$G$3004,1)),INDEX('AH History'!$D$1:$D$18046,AH!$P$7+1855))),NA()),NA())</ns0:f>
        <ns0:v/>
      </ns0:c>
      <ns0:c r="F1860">
        <ns0:f>IFERROR(IF(ISNUMBER($A1860),IF(AND(AH!$P$10=1,AH!$P$12=1,$A1860=TODAY()),IF(AND(AH!$P$10=1,AH!$P$12=1,$A1860=TODAY()),TODAY(),NA()),IF(AH!$P$10=1,INDEX('Live History'!$D$5:$D$3004,MATCH($A1860,'Live History'!$D$5:$D$3004,1)),INDEX('AH History'!$E$1:$E$18046,AH!$P$7+1855))),NA()),NA())</ns0:f>
        <ns0:v/>
      </ns0:c>
      <ns0:c r="G1860">
        <ns0:f>IFERROR(IF(ISNUMBER($A1860),IF(AND(AH!$P$10=1,AH!$P$12=1,$A1860=TODAY()),IF(AND(AH!$P$10=1,AH!$P$12=1,$A1860=TODAY()),TODAY(),NA()),IF(AH!$P$10=1,INDEX('Live History'!$G$5:$G$3004,MATCH($A1860,'Live History'!$G$5:$G$3004,1)),INDEX('AH History'!$F$1:$F$18046,AH!$P$7+1855))),NA()),NA())</ns0:f>
        <ns0:v/>
      </ns0:c>
      <ns0:c r="H1860">
        <ns0:f>IFERROR(IF(AND(AH!$E$4="Bloomberg",AH!$P$10=1,ISNUMBER($A1860),$A1860&lt;=AH!$P$17),AH!$P$7-1+MATCH($A1860,INDEX('AH History'!$A$1:$A$18046,AH!$P$7):INDEX('AH History'!$A$1:$A$18046,AH!$P$7+AH!$P$8-1),0),0),0)</ns0:f>
        <ns0:v/>
      </ns0:c>
      <ns0:c r="I1860">
        <ns0:f>IF($H1860=0,0,IFERROR(IF(AND(ABS($C1860-INDEX('AH History'!$B$1:$B$18046,$H1860))&lt;=MAX(0.005,ABS(INDEX('AH History'!$B$1:$B$18046,$H1860))*0.00005),ABS($D1860-INDEX('AH History'!$C$1:$C$18046,$H1860))&lt;=MAX(0.005,ABS(INDEX('AH History'!$C$1:$C$18046,$H1860))*0.00005),ABS($E1860-INDEX('AH History'!$D$1:$D$18046,$H1860))&lt;=0.00005,$F1860=INDEX('AH History'!$E$1:$E$18046,$H1860),$G1860=INDEX('AH History'!$F$1:$F$18046,$H1860)),1,-1),-1))</ns0:f>
        <ns0:v/>
      </ns0:c>
    </ns0:row>
    <ns0:row r="1861">
      <ns0:c r="A1861" s="215">
        <ns0:f>IF(OR(AH!$P$3=0,1856+1&gt;AH!$P$11,AND(AH!$E$4&lt;&gt;"Stored",AH!$P$10&lt;&gt;1)),"",IFERROR(IF(AND(AH!$P$21=1,1856+1=AH!$P$11),TODAY(),IF(AH!$P$10=1,INDEX('Live History'!$A$5:$A$3004,AH!$P$13+1856),INDEX('AH History'!$A$1:$A$18046,AH!$P$7+1856))),""))</ns0:f>
        <ns0:v/>
      </ns0:c>
      <ns0:c r="B1861" s="219">
        <ns0:f>IFERROR(IF(AND(AH!$P$9&lt;&gt;1,$C1861&gt;0,$D1861&gt;0,$E1861&gt;0,$F1861&gt;0,$G1861&gt;0,$F1861&lt;=$A1861,$G1861&lt;=$A1861,$A1861-$F1861&lt;=10,$A1861-$G1861&lt;=5),$D1861*$E1861/$C1861-1,NA()),NA())</ns0:f>
        <ns0:v/>
      </ns0:c>
      <ns0:c r="C1861">
        <ns0:f>IFERROR(IF(ISNUMBER($A1861),IF(AND(AH!$P$10=1,AH!$P$12=1,$A1861=TODAY()),AH!$P$19,IF(AH!$P$10=1,INDEX('Live History'!$B$5:$B$3004,AH!$P$13+1856),INDEX('AH History'!$B$1:$B$18046,AH!$P$7+1856))),NA()),NA())</ns0:f>
        <ns0:v/>
      </ns0:c>
      <ns0:c r="D1861">
        <ns0:f>IFERROR(IF(ISNUMBER($A1861),IF(AND(AH!$P$10=1,AH!$P$12=1,$A1861=TODAY()),AH!$P$18,IF(AH!$P$10=1,INDEX('Live History'!$E$5:$E$3004,MATCH($A1861,'Live History'!$D$5:$D$3004,1)),INDEX('AH History'!$C$1:$C$18046,AH!$P$7+1856))),NA()),NA())</ns0:f>
        <ns0:v/>
      </ns0:c>
      <ns0:c r="E1861">
        <ns0:f>IFERROR(IF(ISNUMBER($A1861),IF(AND(AH!$P$10=1,AH!$P$12=1,$A1861=TODAY()),AH!$P$20,IF(AH!$P$10=1,INDEX('Live History'!$H$5:$H$3004,MATCH($A1861,'Live History'!$G$5:$G$3004,1)),INDEX('AH History'!$D$1:$D$18046,AH!$P$7+1856))),NA()),NA())</ns0:f>
        <ns0:v/>
      </ns0:c>
      <ns0:c r="F1861">
        <ns0:f>IFERROR(IF(ISNUMBER($A1861),IF(AND(AH!$P$10=1,AH!$P$12=1,$A1861=TODAY()),IF(AND(AH!$P$10=1,AH!$P$12=1,$A1861=TODAY()),TODAY(),NA()),IF(AH!$P$10=1,INDEX('Live History'!$D$5:$D$3004,MATCH($A1861,'Live History'!$D$5:$D$3004,1)),INDEX('AH History'!$E$1:$E$18046,AH!$P$7+1856))),NA()),NA())</ns0:f>
        <ns0:v/>
      </ns0:c>
      <ns0:c r="G1861">
        <ns0:f>IFERROR(IF(ISNUMBER($A1861),IF(AND(AH!$P$10=1,AH!$P$12=1,$A1861=TODAY()),IF(AND(AH!$P$10=1,AH!$P$12=1,$A1861=TODAY()),TODAY(),NA()),IF(AH!$P$10=1,INDEX('Live History'!$G$5:$G$3004,MATCH($A1861,'Live History'!$G$5:$G$3004,1)),INDEX('AH History'!$F$1:$F$18046,AH!$P$7+1856))),NA()),NA())</ns0:f>
        <ns0:v/>
      </ns0:c>
      <ns0:c r="H1861">
        <ns0:f>IFERROR(IF(AND(AH!$E$4="Bloomberg",AH!$P$10=1,ISNUMBER($A1861),$A1861&lt;=AH!$P$17),AH!$P$7-1+MATCH($A1861,INDEX('AH History'!$A$1:$A$18046,AH!$P$7):INDEX('AH History'!$A$1:$A$18046,AH!$P$7+AH!$P$8-1),0),0),0)</ns0:f>
        <ns0:v/>
      </ns0:c>
      <ns0:c r="I1861">
        <ns0:f>IF($H1861=0,0,IFERROR(IF(AND(ABS($C1861-INDEX('AH History'!$B$1:$B$18046,$H1861))&lt;=MAX(0.005,ABS(INDEX('AH History'!$B$1:$B$18046,$H1861))*0.00005),ABS($D1861-INDEX('AH History'!$C$1:$C$18046,$H1861))&lt;=MAX(0.005,ABS(INDEX('AH History'!$C$1:$C$18046,$H1861))*0.00005),ABS($E1861-INDEX('AH History'!$D$1:$D$18046,$H1861))&lt;=0.00005,$F1861=INDEX('AH History'!$E$1:$E$18046,$H1861),$G1861=INDEX('AH History'!$F$1:$F$18046,$H1861)),1,-1),-1))</ns0:f>
        <ns0:v/>
      </ns0:c>
    </ns0:row>
    <ns0:row r="1862">
      <ns0:c r="A1862" s="215">
        <ns0:f>IF(OR(AH!$P$3=0,1857+1&gt;AH!$P$11,AND(AH!$E$4&lt;&gt;"Stored",AH!$P$10&lt;&gt;1)),"",IFERROR(IF(AND(AH!$P$21=1,1857+1=AH!$P$11),TODAY(),IF(AH!$P$10=1,INDEX('Live History'!$A$5:$A$3004,AH!$P$13+1857),INDEX('AH History'!$A$1:$A$18046,AH!$P$7+1857))),""))</ns0:f>
        <ns0:v/>
      </ns0:c>
      <ns0:c r="B1862" s="219">
        <ns0:f>IFERROR(IF(AND(AH!$P$9&lt;&gt;1,$C1862&gt;0,$D1862&gt;0,$E1862&gt;0,$F1862&gt;0,$G1862&gt;0,$F1862&lt;=$A1862,$G1862&lt;=$A1862,$A1862-$F1862&lt;=10,$A1862-$G1862&lt;=5),$D1862*$E1862/$C1862-1,NA()),NA())</ns0:f>
        <ns0:v/>
      </ns0:c>
      <ns0:c r="C1862">
        <ns0:f>IFERROR(IF(ISNUMBER($A1862),IF(AND(AH!$P$10=1,AH!$P$12=1,$A1862=TODAY()),AH!$P$19,IF(AH!$P$10=1,INDEX('Live History'!$B$5:$B$3004,AH!$P$13+1857),INDEX('AH History'!$B$1:$B$18046,AH!$P$7+1857))),NA()),NA())</ns0:f>
        <ns0:v/>
      </ns0:c>
      <ns0:c r="D1862">
        <ns0:f>IFERROR(IF(ISNUMBER($A1862),IF(AND(AH!$P$10=1,AH!$P$12=1,$A1862=TODAY()),AH!$P$18,IF(AH!$P$10=1,INDEX('Live History'!$E$5:$E$3004,MATCH($A1862,'Live History'!$D$5:$D$3004,1)),INDEX('AH History'!$C$1:$C$18046,AH!$P$7+1857))),NA()),NA())</ns0:f>
        <ns0:v/>
      </ns0:c>
      <ns0:c r="E1862">
        <ns0:f>IFERROR(IF(ISNUMBER($A1862),IF(AND(AH!$P$10=1,AH!$P$12=1,$A1862=TODAY()),AH!$P$20,IF(AH!$P$10=1,INDEX('Live History'!$H$5:$H$3004,MATCH($A1862,'Live History'!$G$5:$G$3004,1)),INDEX('AH History'!$D$1:$D$18046,AH!$P$7+1857))),NA()),NA())</ns0:f>
        <ns0:v/>
      </ns0:c>
      <ns0:c r="F1862">
        <ns0:f>IFERROR(IF(ISNUMBER($A1862),IF(AND(AH!$P$10=1,AH!$P$12=1,$A1862=TODAY()),IF(AND(AH!$P$10=1,AH!$P$12=1,$A1862=TODAY()),TODAY(),NA()),IF(AH!$P$10=1,INDEX('Live History'!$D$5:$D$3004,MATCH($A1862,'Live History'!$D$5:$D$3004,1)),INDEX('AH History'!$E$1:$E$18046,AH!$P$7+1857))),NA()),NA())</ns0:f>
        <ns0:v/>
      </ns0:c>
      <ns0:c r="G1862">
        <ns0:f>IFERROR(IF(ISNUMBER($A1862),IF(AND(AH!$P$10=1,AH!$P$12=1,$A1862=TODAY()),IF(AND(AH!$P$10=1,AH!$P$12=1,$A1862=TODAY()),TODAY(),NA()),IF(AH!$P$10=1,INDEX('Live History'!$G$5:$G$3004,MATCH($A1862,'Live History'!$G$5:$G$3004,1)),INDEX('AH History'!$F$1:$F$18046,AH!$P$7+1857))),NA()),NA())</ns0:f>
        <ns0:v/>
      </ns0:c>
      <ns0:c r="H1862">
        <ns0:f>IFERROR(IF(AND(AH!$E$4="Bloomberg",AH!$P$10=1,ISNUMBER($A1862),$A1862&lt;=AH!$P$17),AH!$P$7-1+MATCH($A1862,INDEX('AH History'!$A$1:$A$18046,AH!$P$7):INDEX('AH History'!$A$1:$A$18046,AH!$P$7+AH!$P$8-1),0),0),0)</ns0:f>
        <ns0:v/>
      </ns0:c>
      <ns0:c r="I1862">
        <ns0:f>IF($H1862=0,0,IFERROR(IF(AND(ABS($C1862-INDEX('AH History'!$B$1:$B$18046,$H1862))&lt;=MAX(0.005,ABS(INDEX('AH History'!$B$1:$B$18046,$H1862))*0.00005),ABS($D1862-INDEX('AH History'!$C$1:$C$18046,$H1862))&lt;=MAX(0.005,ABS(INDEX('AH History'!$C$1:$C$18046,$H1862))*0.00005),ABS($E1862-INDEX('AH History'!$D$1:$D$18046,$H1862))&lt;=0.00005,$F1862=INDEX('AH History'!$E$1:$E$18046,$H1862),$G1862=INDEX('AH History'!$F$1:$F$18046,$H1862)),1,-1),-1))</ns0:f>
        <ns0:v/>
      </ns0:c>
    </ns0:row>
    <ns0:row r="1863">
      <ns0:c r="A1863" s="215">
        <ns0:f>IF(OR(AH!$P$3=0,1858+1&gt;AH!$P$11,AND(AH!$E$4&lt;&gt;"Stored",AH!$P$10&lt;&gt;1)),"",IFERROR(IF(AND(AH!$P$21=1,1858+1=AH!$P$11),TODAY(),IF(AH!$P$10=1,INDEX('Live History'!$A$5:$A$3004,AH!$P$13+1858),INDEX('AH History'!$A$1:$A$18046,AH!$P$7+1858))),""))</ns0:f>
        <ns0:v/>
      </ns0:c>
      <ns0:c r="B1863" s="219">
        <ns0:f>IFERROR(IF(AND(AH!$P$9&lt;&gt;1,$C1863&gt;0,$D1863&gt;0,$E1863&gt;0,$F1863&gt;0,$G1863&gt;0,$F1863&lt;=$A1863,$G1863&lt;=$A1863,$A1863-$F1863&lt;=10,$A1863-$G1863&lt;=5),$D1863*$E1863/$C1863-1,NA()),NA())</ns0:f>
        <ns0:v/>
      </ns0:c>
      <ns0:c r="C1863">
        <ns0:f>IFERROR(IF(ISNUMBER($A1863),IF(AND(AH!$P$10=1,AH!$P$12=1,$A1863=TODAY()),AH!$P$19,IF(AH!$P$10=1,INDEX('Live History'!$B$5:$B$3004,AH!$P$13+1858),INDEX('AH History'!$B$1:$B$18046,AH!$P$7+1858))),NA()),NA())</ns0:f>
        <ns0:v/>
      </ns0:c>
      <ns0:c r="D1863">
        <ns0:f>IFERROR(IF(ISNUMBER($A1863),IF(AND(AH!$P$10=1,AH!$P$12=1,$A1863=TODAY()),AH!$P$18,IF(AH!$P$10=1,INDEX('Live History'!$E$5:$E$3004,MATCH($A1863,'Live History'!$D$5:$D$3004,1)),INDEX('AH History'!$C$1:$C$18046,AH!$P$7+1858))),NA()),NA())</ns0:f>
        <ns0:v/>
      </ns0:c>
      <ns0:c r="E1863">
        <ns0:f>IFERROR(IF(ISNUMBER($A1863),IF(AND(AH!$P$10=1,AH!$P$12=1,$A1863=TODAY()),AH!$P$20,IF(AH!$P$10=1,INDEX('Live History'!$H$5:$H$3004,MATCH($A1863,'Live History'!$G$5:$G$3004,1)),INDEX('AH History'!$D$1:$D$18046,AH!$P$7+1858))),NA()),NA())</ns0:f>
        <ns0:v/>
      </ns0:c>
      <ns0:c r="F1863">
        <ns0:f>IFERROR(IF(ISNUMBER($A1863),IF(AND(AH!$P$10=1,AH!$P$12=1,$A1863=TODAY()),IF(AND(AH!$P$10=1,AH!$P$12=1,$A1863=TODAY()),TODAY(),NA()),IF(AH!$P$10=1,INDEX('Live History'!$D$5:$D$3004,MATCH($A1863,'Live History'!$D$5:$D$3004,1)),INDEX('AH History'!$E$1:$E$18046,AH!$P$7+1858))),NA()),NA())</ns0:f>
        <ns0:v/>
      </ns0:c>
      <ns0:c r="G1863">
        <ns0:f>IFERROR(IF(ISNUMBER($A1863),IF(AND(AH!$P$10=1,AH!$P$12=1,$A1863=TODAY()),IF(AND(AH!$P$10=1,AH!$P$12=1,$A1863=TODAY()),TODAY(),NA()),IF(AH!$P$10=1,INDEX('Live History'!$G$5:$G$3004,MATCH($A1863,'Live History'!$G$5:$G$3004,1)),INDEX('AH History'!$F$1:$F$18046,AH!$P$7+1858))),NA()),NA())</ns0:f>
        <ns0:v/>
      </ns0:c>
      <ns0:c r="H1863">
        <ns0:f>IFERROR(IF(AND(AH!$E$4="Bloomberg",AH!$P$10=1,ISNUMBER($A1863),$A1863&lt;=AH!$P$17),AH!$P$7-1+MATCH($A1863,INDEX('AH History'!$A$1:$A$18046,AH!$P$7):INDEX('AH History'!$A$1:$A$18046,AH!$P$7+AH!$P$8-1),0),0),0)</ns0:f>
        <ns0:v/>
      </ns0:c>
      <ns0:c r="I1863">
        <ns0:f>IF($H1863=0,0,IFERROR(IF(AND(ABS($C1863-INDEX('AH History'!$B$1:$B$18046,$H1863))&lt;=MAX(0.005,ABS(INDEX('AH History'!$B$1:$B$18046,$H1863))*0.00005),ABS($D1863-INDEX('AH History'!$C$1:$C$18046,$H1863))&lt;=MAX(0.005,ABS(INDEX('AH History'!$C$1:$C$18046,$H1863))*0.00005),ABS($E1863-INDEX('AH History'!$D$1:$D$18046,$H1863))&lt;=0.00005,$F1863=INDEX('AH History'!$E$1:$E$18046,$H1863),$G1863=INDEX('AH History'!$F$1:$F$18046,$H1863)),1,-1),-1))</ns0:f>
        <ns0:v/>
      </ns0:c>
    </ns0:row>
    <ns0:row r="1864">
      <ns0:c r="A1864" s="215">
        <ns0:f>IF(OR(AH!$P$3=0,1859+1&gt;AH!$P$11,AND(AH!$E$4&lt;&gt;"Stored",AH!$P$10&lt;&gt;1)),"",IFERROR(IF(AND(AH!$P$21=1,1859+1=AH!$P$11),TODAY(),IF(AH!$P$10=1,INDEX('Live History'!$A$5:$A$3004,AH!$P$13+1859),INDEX('AH History'!$A$1:$A$18046,AH!$P$7+1859))),""))</ns0:f>
        <ns0:v/>
      </ns0:c>
      <ns0:c r="B1864" s="219">
        <ns0:f>IFERROR(IF(AND(AH!$P$9&lt;&gt;1,$C1864&gt;0,$D1864&gt;0,$E1864&gt;0,$F1864&gt;0,$G1864&gt;0,$F1864&lt;=$A1864,$G1864&lt;=$A1864,$A1864-$F1864&lt;=10,$A1864-$G1864&lt;=5),$D1864*$E1864/$C1864-1,NA()),NA())</ns0:f>
        <ns0:v/>
      </ns0:c>
      <ns0:c r="C1864">
        <ns0:f>IFERROR(IF(ISNUMBER($A1864),IF(AND(AH!$P$10=1,AH!$P$12=1,$A1864=TODAY()),AH!$P$19,IF(AH!$P$10=1,INDEX('Live History'!$B$5:$B$3004,AH!$P$13+1859),INDEX('AH History'!$B$1:$B$18046,AH!$P$7+1859))),NA()),NA())</ns0:f>
        <ns0:v/>
      </ns0:c>
      <ns0:c r="D1864">
        <ns0:f>IFERROR(IF(ISNUMBER($A1864),IF(AND(AH!$P$10=1,AH!$P$12=1,$A1864=TODAY()),AH!$P$18,IF(AH!$P$10=1,INDEX('Live History'!$E$5:$E$3004,MATCH($A1864,'Live History'!$D$5:$D$3004,1)),INDEX('AH History'!$C$1:$C$18046,AH!$P$7+1859))),NA()),NA())</ns0:f>
        <ns0:v/>
      </ns0:c>
      <ns0:c r="E1864">
        <ns0:f>IFERROR(IF(ISNUMBER($A1864),IF(AND(AH!$P$10=1,AH!$P$12=1,$A1864=TODAY()),AH!$P$20,IF(AH!$P$10=1,INDEX('Live History'!$H$5:$H$3004,MATCH($A1864,'Live History'!$G$5:$G$3004,1)),INDEX('AH History'!$D$1:$D$18046,AH!$P$7+1859))),NA()),NA())</ns0:f>
        <ns0:v/>
      </ns0:c>
      <ns0:c r="F1864">
        <ns0:f>IFERROR(IF(ISNUMBER($A1864),IF(AND(AH!$P$10=1,AH!$P$12=1,$A1864=TODAY()),IF(AND(AH!$P$10=1,AH!$P$12=1,$A1864=TODAY()),TODAY(),NA()),IF(AH!$P$10=1,INDEX('Live History'!$D$5:$D$3004,MATCH($A1864,'Live History'!$D$5:$D$3004,1)),INDEX('AH History'!$E$1:$E$18046,AH!$P$7+1859))),NA()),NA())</ns0:f>
        <ns0:v/>
      </ns0:c>
      <ns0:c r="G1864">
        <ns0:f>IFERROR(IF(ISNUMBER($A1864),IF(AND(AH!$P$10=1,AH!$P$12=1,$A1864=TODAY()),IF(AND(AH!$P$10=1,AH!$P$12=1,$A1864=TODAY()),TODAY(),NA()),IF(AH!$P$10=1,INDEX('Live History'!$G$5:$G$3004,MATCH($A1864,'Live History'!$G$5:$G$3004,1)),INDEX('AH History'!$F$1:$F$18046,AH!$P$7+1859))),NA()),NA())</ns0:f>
        <ns0:v/>
      </ns0:c>
      <ns0:c r="H1864">
        <ns0:f>IFERROR(IF(AND(AH!$E$4="Bloomberg",AH!$P$10=1,ISNUMBER($A1864),$A1864&lt;=AH!$P$17),AH!$P$7-1+MATCH($A1864,INDEX('AH History'!$A$1:$A$18046,AH!$P$7):INDEX('AH History'!$A$1:$A$18046,AH!$P$7+AH!$P$8-1),0),0),0)</ns0:f>
        <ns0:v/>
      </ns0:c>
      <ns0:c r="I1864">
        <ns0:f>IF($H1864=0,0,IFERROR(IF(AND(ABS($C1864-INDEX('AH History'!$B$1:$B$18046,$H1864))&lt;=MAX(0.005,ABS(INDEX('AH History'!$B$1:$B$18046,$H1864))*0.00005),ABS($D1864-INDEX('AH History'!$C$1:$C$18046,$H1864))&lt;=MAX(0.005,ABS(INDEX('AH History'!$C$1:$C$18046,$H1864))*0.00005),ABS($E1864-INDEX('AH History'!$D$1:$D$18046,$H1864))&lt;=0.00005,$F1864=INDEX('AH History'!$E$1:$E$18046,$H1864),$G1864=INDEX('AH History'!$F$1:$F$18046,$H1864)),1,-1),-1))</ns0:f>
        <ns0:v/>
      </ns0:c>
    </ns0:row>
    <ns0:row r="1865">
      <ns0:c r="A1865" s="215">
        <ns0:f>IF(OR(AH!$P$3=0,1860+1&gt;AH!$P$11,AND(AH!$E$4&lt;&gt;"Stored",AH!$P$10&lt;&gt;1)),"",IFERROR(IF(AND(AH!$P$21=1,1860+1=AH!$P$11),TODAY(),IF(AH!$P$10=1,INDEX('Live History'!$A$5:$A$3004,AH!$P$13+1860),INDEX('AH History'!$A$1:$A$18046,AH!$P$7+1860))),""))</ns0:f>
        <ns0:v/>
      </ns0:c>
      <ns0:c r="B1865" s="219">
        <ns0:f>IFERROR(IF(AND(AH!$P$9&lt;&gt;1,$C1865&gt;0,$D1865&gt;0,$E1865&gt;0,$F1865&gt;0,$G1865&gt;0,$F1865&lt;=$A1865,$G1865&lt;=$A1865,$A1865-$F1865&lt;=10,$A1865-$G1865&lt;=5),$D1865*$E1865/$C1865-1,NA()),NA())</ns0:f>
        <ns0:v/>
      </ns0:c>
      <ns0:c r="C1865">
        <ns0:f>IFERROR(IF(ISNUMBER($A1865),IF(AND(AH!$P$10=1,AH!$P$12=1,$A1865=TODAY()),AH!$P$19,IF(AH!$P$10=1,INDEX('Live History'!$B$5:$B$3004,AH!$P$13+1860),INDEX('AH History'!$B$1:$B$18046,AH!$P$7+1860))),NA()),NA())</ns0:f>
        <ns0:v/>
      </ns0:c>
      <ns0:c r="D1865">
        <ns0:f>IFERROR(IF(ISNUMBER($A1865),IF(AND(AH!$P$10=1,AH!$P$12=1,$A1865=TODAY()),AH!$P$18,IF(AH!$P$10=1,INDEX('Live History'!$E$5:$E$3004,MATCH($A1865,'Live History'!$D$5:$D$3004,1)),INDEX('AH History'!$C$1:$C$18046,AH!$P$7+1860))),NA()),NA())</ns0:f>
        <ns0:v/>
      </ns0:c>
      <ns0:c r="E1865">
        <ns0:f>IFERROR(IF(ISNUMBER($A1865),IF(AND(AH!$P$10=1,AH!$P$12=1,$A1865=TODAY()),AH!$P$20,IF(AH!$P$10=1,INDEX('Live History'!$H$5:$H$3004,MATCH($A1865,'Live History'!$G$5:$G$3004,1)),INDEX('AH History'!$D$1:$D$18046,AH!$P$7+1860))),NA()),NA())</ns0:f>
        <ns0:v/>
      </ns0:c>
      <ns0:c r="F1865">
        <ns0:f>IFERROR(IF(ISNUMBER($A1865),IF(AND(AH!$P$10=1,AH!$P$12=1,$A1865=TODAY()),IF(AND(AH!$P$10=1,AH!$P$12=1,$A1865=TODAY()),TODAY(),NA()),IF(AH!$P$10=1,INDEX('Live History'!$D$5:$D$3004,MATCH($A1865,'Live History'!$D$5:$D$3004,1)),INDEX('AH History'!$E$1:$E$18046,AH!$P$7+1860))),NA()),NA())</ns0:f>
        <ns0:v/>
      </ns0:c>
      <ns0:c r="G1865">
        <ns0:f>IFERROR(IF(ISNUMBER($A1865),IF(AND(AH!$P$10=1,AH!$P$12=1,$A1865=TODAY()),IF(AND(AH!$P$10=1,AH!$P$12=1,$A1865=TODAY()),TODAY(),NA()),IF(AH!$P$10=1,INDEX('Live History'!$G$5:$G$3004,MATCH($A1865,'Live History'!$G$5:$G$3004,1)),INDEX('AH History'!$F$1:$F$18046,AH!$P$7+1860))),NA()),NA())</ns0:f>
        <ns0:v/>
      </ns0:c>
      <ns0:c r="H1865">
        <ns0:f>IFERROR(IF(AND(AH!$E$4="Bloomberg",AH!$P$10=1,ISNUMBER($A1865),$A1865&lt;=AH!$P$17),AH!$P$7-1+MATCH($A1865,INDEX('AH History'!$A$1:$A$18046,AH!$P$7):INDEX('AH History'!$A$1:$A$18046,AH!$P$7+AH!$P$8-1),0),0),0)</ns0:f>
        <ns0:v/>
      </ns0:c>
      <ns0:c r="I1865">
        <ns0:f>IF($H1865=0,0,IFERROR(IF(AND(ABS($C1865-INDEX('AH History'!$B$1:$B$18046,$H1865))&lt;=MAX(0.005,ABS(INDEX('AH History'!$B$1:$B$18046,$H1865))*0.00005),ABS($D1865-INDEX('AH History'!$C$1:$C$18046,$H1865))&lt;=MAX(0.005,ABS(INDEX('AH History'!$C$1:$C$18046,$H1865))*0.00005),ABS($E1865-INDEX('AH History'!$D$1:$D$18046,$H1865))&lt;=0.00005,$F1865=INDEX('AH History'!$E$1:$E$18046,$H1865),$G1865=INDEX('AH History'!$F$1:$F$18046,$H1865)),1,-1),-1))</ns0:f>
        <ns0:v/>
      </ns0:c>
    </ns0:row>
    <ns0:row r="1866">
      <ns0:c r="A1866" s="215">
        <ns0:f>IF(OR(AH!$P$3=0,1861+1&gt;AH!$P$11,AND(AH!$E$4&lt;&gt;"Stored",AH!$P$10&lt;&gt;1)),"",IFERROR(IF(AND(AH!$P$21=1,1861+1=AH!$P$11),TODAY(),IF(AH!$P$10=1,INDEX('Live History'!$A$5:$A$3004,AH!$P$13+1861),INDEX('AH History'!$A$1:$A$18046,AH!$P$7+1861))),""))</ns0:f>
        <ns0:v/>
      </ns0:c>
      <ns0:c r="B1866" s="219">
        <ns0:f>IFERROR(IF(AND(AH!$P$9&lt;&gt;1,$C1866&gt;0,$D1866&gt;0,$E1866&gt;0,$F1866&gt;0,$G1866&gt;0,$F1866&lt;=$A1866,$G1866&lt;=$A1866,$A1866-$F1866&lt;=10,$A1866-$G1866&lt;=5),$D1866*$E1866/$C1866-1,NA()),NA())</ns0:f>
        <ns0:v/>
      </ns0:c>
      <ns0:c r="C1866">
        <ns0:f>IFERROR(IF(ISNUMBER($A1866),IF(AND(AH!$P$10=1,AH!$P$12=1,$A1866=TODAY()),AH!$P$19,IF(AH!$P$10=1,INDEX('Live History'!$B$5:$B$3004,AH!$P$13+1861),INDEX('AH History'!$B$1:$B$18046,AH!$P$7+1861))),NA()),NA())</ns0:f>
        <ns0:v/>
      </ns0:c>
      <ns0:c r="D1866">
        <ns0:f>IFERROR(IF(ISNUMBER($A1866),IF(AND(AH!$P$10=1,AH!$P$12=1,$A1866=TODAY()),AH!$P$18,IF(AH!$P$10=1,INDEX('Live History'!$E$5:$E$3004,MATCH($A1866,'Live History'!$D$5:$D$3004,1)),INDEX('AH History'!$C$1:$C$18046,AH!$P$7+1861))),NA()),NA())</ns0:f>
        <ns0:v/>
      </ns0:c>
      <ns0:c r="E1866">
        <ns0:f>IFERROR(IF(ISNUMBER($A1866),IF(AND(AH!$P$10=1,AH!$P$12=1,$A1866=TODAY()),AH!$P$20,IF(AH!$P$10=1,INDEX('Live History'!$H$5:$H$3004,MATCH($A1866,'Live History'!$G$5:$G$3004,1)),INDEX('AH History'!$D$1:$D$18046,AH!$P$7+1861))),NA()),NA())</ns0:f>
        <ns0:v/>
      </ns0:c>
      <ns0:c r="F1866">
        <ns0:f>IFERROR(IF(ISNUMBER($A1866),IF(AND(AH!$P$10=1,AH!$P$12=1,$A1866=TODAY()),IF(AND(AH!$P$10=1,AH!$P$12=1,$A1866=TODAY()),TODAY(),NA()),IF(AH!$P$10=1,INDEX('Live History'!$D$5:$D$3004,MATCH($A1866,'Live History'!$D$5:$D$3004,1)),INDEX('AH History'!$E$1:$E$18046,AH!$P$7+1861))),NA()),NA())</ns0:f>
        <ns0:v/>
      </ns0:c>
      <ns0:c r="G1866">
        <ns0:f>IFERROR(IF(ISNUMBER($A1866),IF(AND(AH!$P$10=1,AH!$P$12=1,$A1866=TODAY()),IF(AND(AH!$P$10=1,AH!$P$12=1,$A1866=TODAY()),TODAY(),NA()),IF(AH!$P$10=1,INDEX('Live History'!$G$5:$G$3004,MATCH($A1866,'Live History'!$G$5:$G$3004,1)),INDEX('AH History'!$F$1:$F$18046,AH!$P$7+1861))),NA()),NA())</ns0:f>
        <ns0:v/>
      </ns0:c>
      <ns0:c r="H1866">
        <ns0:f>IFERROR(IF(AND(AH!$E$4="Bloomberg",AH!$P$10=1,ISNUMBER($A1866),$A1866&lt;=AH!$P$17),AH!$P$7-1+MATCH($A1866,INDEX('AH History'!$A$1:$A$18046,AH!$P$7):INDEX('AH History'!$A$1:$A$18046,AH!$P$7+AH!$P$8-1),0),0),0)</ns0:f>
        <ns0:v/>
      </ns0:c>
      <ns0:c r="I1866">
        <ns0:f>IF($H1866=0,0,IFERROR(IF(AND(ABS($C1866-INDEX('AH History'!$B$1:$B$18046,$H1866))&lt;=MAX(0.005,ABS(INDEX('AH History'!$B$1:$B$18046,$H1866))*0.00005),ABS($D1866-INDEX('AH History'!$C$1:$C$18046,$H1866))&lt;=MAX(0.005,ABS(INDEX('AH History'!$C$1:$C$18046,$H1866))*0.00005),ABS($E1866-INDEX('AH History'!$D$1:$D$18046,$H1866))&lt;=0.00005,$F1866=INDEX('AH History'!$E$1:$E$18046,$H1866),$G1866=INDEX('AH History'!$F$1:$F$18046,$H1866)),1,-1),-1))</ns0:f>
        <ns0:v/>
      </ns0:c>
    </ns0:row>
    <ns0:row r="1867">
      <ns0:c r="A1867" s="215">
        <ns0:f>IF(OR(AH!$P$3=0,1862+1&gt;AH!$P$11,AND(AH!$E$4&lt;&gt;"Stored",AH!$P$10&lt;&gt;1)),"",IFERROR(IF(AND(AH!$P$21=1,1862+1=AH!$P$11),TODAY(),IF(AH!$P$10=1,INDEX('Live History'!$A$5:$A$3004,AH!$P$13+1862),INDEX('AH History'!$A$1:$A$18046,AH!$P$7+1862))),""))</ns0:f>
        <ns0:v/>
      </ns0:c>
      <ns0:c r="B1867" s="219">
        <ns0:f>IFERROR(IF(AND(AH!$P$9&lt;&gt;1,$C1867&gt;0,$D1867&gt;0,$E1867&gt;0,$F1867&gt;0,$G1867&gt;0,$F1867&lt;=$A1867,$G1867&lt;=$A1867,$A1867-$F1867&lt;=10,$A1867-$G1867&lt;=5),$D1867*$E1867/$C1867-1,NA()),NA())</ns0:f>
        <ns0:v/>
      </ns0:c>
      <ns0:c r="C1867">
        <ns0:f>IFERROR(IF(ISNUMBER($A1867),IF(AND(AH!$P$10=1,AH!$P$12=1,$A1867=TODAY()),AH!$P$19,IF(AH!$P$10=1,INDEX('Live History'!$B$5:$B$3004,AH!$P$13+1862),INDEX('AH History'!$B$1:$B$18046,AH!$P$7+1862))),NA()),NA())</ns0:f>
        <ns0:v/>
      </ns0:c>
      <ns0:c r="D1867">
        <ns0:f>IFERROR(IF(ISNUMBER($A1867),IF(AND(AH!$P$10=1,AH!$P$12=1,$A1867=TODAY()),AH!$P$18,IF(AH!$P$10=1,INDEX('Live History'!$E$5:$E$3004,MATCH($A1867,'Live History'!$D$5:$D$3004,1)),INDEX('AH History'!$C$1:$C$18046,AH!$P$7+1862))),NA()),NA())</ns0:f>
        <ns0:v/>
      </ns0:c>
      <ns0:c r="E1867">
        <ns0:f>IFERROR(IF(ISNUMBER($A1867),IF(AND(AH!$P$10=1,AH!$P$12=1,$A1867=TODAY()),AH!$P$20,IF(AH!$P$10=1,INDEX('Live History'!$H$5:$H$3004,MATCH($A1867,'Live History'!$G$5:$G$3004,1)),INDEX('AH History'!$D$1:$D$18046,AH!$P$7+1862))),NA()),NA())</ns0:f>
        <ns0:v/>
      </ns0:c>
      <ns0:c r="F1867">
        <ns0:f>IFERROR(IF(ISNUMBER($A1867),IF(AND(AH!$P$10=1,AH!$P$12=1,$A1867=TODAY()),IF(AND(AH!$P$10=1,AH!$P$12=1,$A1867=TODAY()),TODAY(),NA()),IF(AH!$P$10=1,INDEX('Live History'!$D$5:$D$3004,MATCH($A1867,'Live History'!$D$5:$D$3004,1)),INDEX('AH History'!$E$1:$E$18046,AH!$P$7+1862))),NA()),NA())</ns0:f>
        <ns0:v/>
      </ns0:c>
      <ns0:c r="G1867">
        <ns0:f>IFERROR(IF(ISNUMBER($A1867),IF(AND(AH!$P$10=1,AH!$P$12=1,$A1867=TODAY()),IF(AND(AH!$P$10=1,AH!$P$12=1,$A1867=TODAY()),TODAY(),NA()),IF(AH!$P$10=1,INDEX('Live History'!$G$5:$G$3004,MATCH($A1867,'Live History'!$G$5:$G$3004,1)),INDEX('AH History'!$F$1:$F$18046,AH!$P$7+1862))),NA()),NA())</ns0:f>
        <ns0:v/>
      </ns0:c>
      <ns0:c r="H1867">
        <ns0:f>IFERROR(IF(AND(AH!$E$4="Bloomberg",AH!$P$10=1,ISNUMBER($A1867),$A1867&lt;=AH!$P$17),AH!$P$7-1+MATCH($A1867,INDEX('AH History'!$A$1:$A$18046,AH!$P$7):INDEX('AH History'!$A$1:$A$18046,AH!$P$7+AH!$P$8-1),0),0),0)</ns0:f>
        <ns0:v/>
      </ns0:c>
      <ns0:c r="I1867">
        <ns0:f>IF($H1867=0,0,IFERROR(IF(AND(ABS($C1867-INDEX('AH History'!$B$1:$B$18046,$H1867))&lt;=MAX(0.005,ABS(INDEX('AH History'!$B$1:$B$18046,$H1867))*0.00005),ABS($D1867-INDEX('AH History'!$C$1:$C$18046,$H1867))&lt;=MAX(0.005,ABS(INDEX('AH History'!$C$1:$C$18046,$H1867))*0.00005),ABS($E1867-INDEX('AH History'!$D$1:$D$18046,$H1867))&lt;=0.00005,$F1867=INDEX('AH History'!$E$1:$E$18046,$H1867),$G1867=INDEX('AH History'!$F$1:$F$18046,$H1867)),1,-1),-1))</ns0:f>
        <ns0:v/>
      </ns0:c>
    </ns0:row>
    <ns0:row r="1868">
      <ns0:c r="A1868" s="215">
        <ns0:f>IF(OR(AH!$P$3=0,1863+1&gt;AH!$P$11,AND(AH!$E$4&lt;&gt;"Stored",AH!$P$10&lt;&gt;1)),"",IFERROR(IF(AND(AH!$P$21=1,1863+1=AH!$P$11),TODAY(),IF(AH!$P$10=1,INDEX('Live History'!$A$5:$A$3004,AH!$P$13+1863),INDEX('AH History'!$A$1:$A$18046,AH!$P$7+1863))),""))</ns0:f>
        <ns0:v/>
      </ns0:c>
      <ns0:c r="B1868" s="219">
        <ns0:f>IFERROR(IF(AND(AH!$P$9&lt;&gt;1,$C1868&gt;0,$D1868&gt;0,$E1868&gt;0,$F1868&gt;0,$G1868&gt;0,$F1868&lt;=$A1868,$G1868&lt;=$A1868,$A1868-$F1868&lt;=10,$A1868-$G1868&lt;=5),$D1868*$E1868/$C1868-1,NA()),NA())</ns0:f>
        <ns0:v/>
      </ns0:c>
      <ns0:c r="C1868">
        <ns0:f>IFERROR(IF(ISNUMBER($A1868),IF(AND(AH!$P$10=1,AH!$P$12=1,$A1868=TODAY()),AH!$P$19,IF(AH!$P$10=1,INDEX('Live History'!$B$5:$B$3004,AH!$P$13+1863),INDEX('AH History'!$B$1:$B$18046,AH!$P$7+1863))),NA()),NA())</ns0:f>
        <ns0:v/>
      </ns0:c>
      <ns0:c r="D1868">
        <ns0:f>IFERROR(IF(ISNUMBER($A1868),IF(AND(AH!$P$10=1,AH!$P$12=1,$A1868=TODAY()),AH!$P$18,IF(AH!$P$10=1,INDEX('Live History'!$E$5:$E$3004,MATCH($A1868,'Live History'!$D$5:$D$3004,1)),INDEX('AH History'!$C$1:$C$18046,AH!$P$7+1863))),NA()),NA())</ns0:f>
        <ns0:v/>
      </ns0:c>
      <ns0:c r="E1868">
        <ns0:f>IFERROR(IF(ISNUMBER($A1868),IF(AND(AH!$P$10=1,AH!$P$12=1,$A1868=TODAY()),AH!$P$20,IF(AH!$P$10=1,INDEX('Live History'!$H$5:$H$3004,MATCH($A1868,'Live History'!$G$5:$G$3004,1)),INDEX('AH History'!$D$1:$D$18046,AH!$P$7+1863))),NA()),NA())</ns0:f>
        <ns0:v/>
      </ns0:c>
      <ns0:c r="F1868">
        <ns0:f>IFERROR(IF(ISNUMBER($A1868),IF(AND(AH!$P$10=1,AH!$P$12=1,$A1868=TODAY()),IF(AND(AH!$P$10=1,AH!$P$12=1,$A1868=TODAY()),TODAY(),NA()),IF(AH!$P$10=1,INDEX('Live History'!$D$5:$D$3004,MATCH($A1868,'Live History'!$D$5:$D$3004,1)),INDEX('AH History'!$E$1:$E$18046,AH!$P$7+1863))),NA()),NA())</ns0:f>
        <ns0:v/>
      </ns0:c>
      <ns0:c r="G1868">
        <ns0:f>IFERROR(IF(ISNUMBER($A1868),IF(AND(AH!$P$10=1,AH!$P$12=1,$A1868=TODAY()),IF(AND(AH!$P$10=1,AH!$P$12=1,$A1868=TODAY()),TODAY(),NA()),IF(AH!$P$10=1,INDEX('Live History'!$G$5:$G$3004,MATCH($A1868,'Live History'!$G$5:$G$3004,1)),INDEX('AH History'!$F$1:$F$18046,AH!$P$7+1863))),NA()),NA())</ns0:f>
        <ns0:v/>
      </ns0:c>
      <ns0:c r="H1868">
        <ns0:f>IFERROR(IF(AND(AH!$E$4="Bloomberg",AH!$P$10=1,ISNUMBER($A1868),$A1868&lt;=AH!$P$17),AH!$P$7-1+MATCH($A1868,INDEX('AH History'!$A$1:$A$18046,AH!$P$7):INDEX('AH History'!$A$1:$A$18046,AH!$P$7+AH!$P$8-1),0),0),0)</ns0:f>
        <ns0:v/>
      </ns0:c>
      <ns0:c r="I1868">
        <ns0:f>IF($H1868=0,0,IFERROR(IF(AND(ABS($C1868-INDEX('AH History'!$B$1:$B$18046,$H1868))&lt;=MAX(0.005,ABS(INDEX('AH History'!$B$1:$B$18046,$H1868))*0.00005),ABS($D1868-INDEX('AH History'!$C$1:$C$18046,$H1868))&lt;=MAX(0.005,ABS(INDEX('AH History'!$C$1:$C$18046,$H1868))*0.00005),ABS($E1868-INDEX('AH History'!$D$1:$D$18046,$H1868))&lt;=0.00005,$F1868=INDEX('AH History'!$E$1:$E$18046,$H1868),$G1868=INDEX('AH History'!$F$1:$F$18046,$H1868)),1,-1),-1))</ns0:f>
        <ns0:v/>
      </ns0:c>
    </ns0:row>
    <ns0:row r="1869">
      <ns0:c r="A1869" s="215">
        <ns0:f>IF(OR(AH!$P$3=0,1864+1&gt;AH!$P$11,AND(AH!$E$4&lt;&gt;"Stored",AH!$P$10&lt;&gt;1)),"",IFERROR(IF(AND(AH!$P$21=1,1864+1=AH!$P$11),TODAY(),IF(AH!$P$10=1,INDEX('Live History'!$A$5:$A$3004,AH!$P$13+1864),INDEX('AH History'!$A$1:$A$18046,AH!$P$7+1864))),""))</ns0:f>
        <ns0:v/>
      </ns0:c>
      <ns0:c r="B1869" s="219">
        <ns0:f>IFERROR(IF(AND(AH!$P$9&lt;&gt;1,$C1869&gt;0,$D1869&gt;0,$E1869&gt;0,$F1869&gt;0,$G1869&gt;0,$F1869&lt;=$A1869,$G1869&lt;=$A1869,$A1869-$F1869&lt;=10,$A1869-$G1869&lt;=5),$D1869*$E1869/$C1869-1,NA()),NA())</ns0:f>
        <ns0:v/>
      </ns0:c>
      <ns0:c r="C1869">
        <ns0:f>IFERROR(IF(ISNUMBER($A1869),IF(AND(AH!$P$10=1,AH!$P$12=1,$A1869=TODAY()),AH!$P$19,IF(AH!$P$10=1,INDEX('Live History'!$B$5:$B$3004,AH!$P$13+1864),INDEX('AH History'!$B$1:$B$18046,AH!$P$7+1864))),NA()),NA())</ns0:f>
        <ns0:v/>
      </ns0:c>
      <ns0:c r="D1869">
        <ns0:f>IFERROR(IF(ISNUMBER($A1869),IF(AND(AH!$P$10=1,AH!$P$12=1,$A1869=TODAY()),AH!$P$18,IF(AH!$P$10=1,INDEX('Live History'!$E$5:$E$3004,MATCH($A1869,'Live History'!$D$5:$D$3004,1)),INDEX('AH History'!$C$1:$C$18046,AH!$P$7+1864))),NA()),NA())</ns0:f>
        <ns0:v/>
      </ns0:c>
      <ns0:c r="E1869">
        <ns0:f>IFERROR(IF(ISNUMBER($A1869),IF(AND(AH!$P$10=1,AH!$P$12=1,$A1869=TODAY()),AH!$P$20,IF(AH!$P$10=1,INDEX('Live History'!$H$5:$H$3004,MATCH($A1869,'Live History'!$G$5:$G$3004,1)),INDEX('AH History'!$D$1:$D$18046,AH!$P$7+1864))),NA()),NA())</ns0:f>
        <ns0:v/>
      </ns0:c>
      <ns0:c r="F1869">
        <ns0:f>IFERROR(IF(ISNUMBER($A1869),IF(AND(AH!$P$10=1,AH!$P$12=1,$A1869=TODAY()),IF(AND(AH!$P$10=1,AH!$P$12=1,$A1869=TODAY()),TODAY(),NA()),IF(AH!$P$10=1,INDEX('Live History'!$D$5:$D$3004,MATCH($A1869,'Live History'!$D$5:$D$3004,1)),INDEX('AH History'!$E$1:$E$18046,AH!$P$7+1864))),NA()),NA())</ns0:f>
        <ns0:v/>
      </ns0:c>
      <ns0:c r="G1869">
        <ns0:f>IFERROR(IF(ISNUMBER($A1869),IF(AND(AH!$P$10=1,AH!$P$12=1,$A1869=TODAY()),IF(AND(AH!$P$10=1,AH!$P$12=1,$A1869=TODAY()),TODAY(),NA()),IF(AH!$P$10=1,INDEX('Live History'!$G$5:$G$3004,MATCH($A1869,'Live History'!$G$5:$G$3004,1)),INDEX('AH History'!$F$1:$F$18046,AH!$P$7+1864))),NA()),NA())</ns0:f>
        <ns0:v/>
      </ns0:c>
      <ns0:c r="H1869">
        <ns0:f>IFERROR(IF(AND(AH!$E$4="Bloomberg",AH!$P$10=1,ISNUMBER($A1869),$A1869&lt;=AH!$P$17),AH!$P$7-1+MATCH($A1869,INDEX('AH History'!$A$1:$A$18046,AH!$P$7):INDEX('AH History'!$A$1:$A$18046,AH!$P$7+AH!$P$8-1),0),0),0)</ns0:f>
        <ns0:v/>
      </ns0:c>
      <ns0:c r="I1869">
        <ns0:f>IF($H1869=0,0,IFERROR(IF(AND(ABS($C1869-INDEX('AH History'!$B$1:$B$18046,$H1869))&lt;=MAX(0.005,ABS(INDEX('AH History'!$B$1:$B$18046,$H1869))*0.00005),ABS($D1869-INDEX('AH History'!$C$1:$C$18046,$H1869))&lt;=MAX(0.005,ABS(INDEX('AH History'!$C$1:$C$18046,$H1869))*0.00005),ABS($E1869-INDEX('AH History'!$D$1:$D$18046,$H1869))&lt;=0.00005,$F1869=INDEX('AH History'!$E$1:$E$18046,$H1869),$G1869=INDEX('AH History'!$F$1:$F$18046,$H1869)),1,-1),-1))</ns0:f>
        <ns0:v/>
      </ns0:c>
    </ns0:row>
    <ns0:row r="1870">
      <ns0:c r="A1870" s="215">
        <ns0:f>IF(OR(AH!$P$3=0,1865+1&gt;AH!$P$11,AND(AH!$E$4&lt;&gt;"Stored",AH!$P$10&lt;&gt;1)),"",IFERROR(IF(AND(AH!$P$21=1,1865+1=AH!$P$11),TODAY(),IF(AH!$P$10=1,INDEX('Live History'!$A$5:$A$3004,AH!$P$13+1865),INDEX('AH History'!$A$1:$A$18046,AH!$P$7+1865))),""))</ns0:f>
        <ns0:v/>
      </ns0:c>
      <ns0:c r="B1870" s="219">
        <ns0:f>IFERROR(IF(AND(AH!$P$9&lt;&gt;1,$C1870&gt;0,$D1870&gt;0,$E1870&gt;0,$F1870&gt;0,$G1870&gt;0,$F1870&lt;=$A1870,$G1870&lt;=$A1870,$A1870-$F1870&lt;=10,$A1870-$G1870&lt;=5),$D1870*$E1870/$C1870-1,NA()),NA())</ns0:f>
        <ns0:v/>
      </ns0:c>
      <ns0:c r="C1870">
        <ns0:f>IFERROR(IF(ISNUMBER($A1870),IF(AND(AH!$P$10=1,AH!$P$12=1,$A1870=TODAY()),AH!$P$19,IF(AH!$P$10=1,INDEX('Live History'!$B$5:$B$3004,AH!$P$13+1865),INDEX('AH History'!$B$1:$B$18046,AH!$P$7+1865))),NA()),NA())</ns0:f>
        <ns0:v/>
      </ns0:c>
      <ns0:c r="D1870">
        <ns0:f>IFERROR(IF(ISNUMBER($A1870),IF(AND(AH!$P$10=1,AH!$P$12=1,$A1870=TODAY()),AH!$P$18,IF(AH!$P$10=1,INDEX('Live History'!$E$5:$E$3004,MATCH($A1870,'Live History'!$D$5:$D$3004,1)),INDEX('AH History'!$C$1:$C$18046,AH!$P$7+1865))),NA()),NA())</ns0:f>
        <ns0:v/>
      </ns0:c>
      <ns0:c r="E1870">
        <ns0:f>IFERROR(IF(ISNUMBER($A1870),IF(AND(AH!$P$10=1,AH!$P$12=1,$A1870=TODAY()),AH!$P$20,IF(AH!$P$10=1,INDEX('Live History'!$H$5:$H$3004,MATCH($A1870,'Live History'!$G$5:$G$3004,1)),INDEX('AH History'!$D$1:$D$18046,AH!$P$7+1865))),NA()),NA())</ns0:f>
        <ns0:v/>
      </ns0:c>
      <ns0:c r="F1870">
        <ns0:f>IFERROR(IF(ISNUMBER($A1870),IF(AND(AH!$P$10=1,AH!$P$12=1,$A1870=TODAY()),IF(AND(AH!$P$10=1,AH!$P$12=1,$A1870=TODAY()),TODAY(),NA()),IF(AH!$P$10=1,INDEX('Live History'!$D$5:$D$3004,MATCH($A1870,'Live History'!$D$5:$D$3004,1)),INDEX('AH History'!$E$1:$E$18046,AH!$P$7+1865))),NA()),NA())</ns0:f>
        <ns0:v/>
      </ns0:c>
      <ns0:c r="G1870">
        <ns0:f>IFERROR(IF(ISNUMBER($A1870),IF(AND(AH!$P$10=1,AH!$P$12=1,$A1870=TODAY()),IF(AND(AH!$P$10=1,AH!$P$12=1,$A1870=TODAY()),TODAY(),NA()),IF(AH!$P$10=1,INDEX('Live History'!$G$5:$G$3004,MATCH($A1870,'Live History'!$G$5:$G$3004,1)),INDEX('AH History'!$F$1:$F$18046,AH!$P$7+1865))),NA()),NA())</ns0:f>
        <ns0:v/>
      </ns0:c>
      <ns0:c r="H1870">
        <ns0:f>IFERROR(IF(AND(AH!$E$4="Bloomberg",AH!$P$10=1,ISNUMBER($A1870),$A1870&lt;=AH!$P$17),AH!$P$7-1+MATCH($A1870,INDEX('AH History'!$A$1:$A$18046,AH!$P$7):INDEX('AH History'!$A$1:$A$18046,AH!$P$7+AH!$P$8-1),0),0),0)</ns0:f>
        <ns0:v/>
      </ns0:c>
      <ns0:c r="I1870">
        <ns0:f>IF($H1870=0,0,IFERROR(IF(AND(ABS($C1870-INDEX('AH History'!$B$1:$B$18046,$H1870))&lt;=MAX(0.005,ABS(INDEX('AH History'!$B$1:$B$18046,$H1870))*0.00005),ABS($D1870-INDEX('AH History'!$C$1:$C$18046,$H1870))&lt;=MAX(0.005,ABS(INDEX('AH History'!$C$1:$C$18046,$H1870))*0.00005),ABS($E1870-INDEX('AH History'!$D$1:$D$18046,$H1870))&lt;=0.00005,$F1870=INDEX('AH History'!$E$1:$E$18046,$H1870),$G1870=INDEX('AH History'!$F$1:$F$18046,$H1870)),1,-1),-1))</ns0:f>
        <ns0:v/>
      </ns0:c>
    </ns0:row>
    <ns0:row r="1871">
      <ns0:c r="A1871" s="215">
        <ns0:f>IF(OR(AH!$P$3=0,1866+1&gt;AH!$P$11,AND(AH!$E$4&lt;&gt;"Stored",AH!$P$10&lt;&gt;1)),"",IFERROR(IF(AND(AH!$P$21=1,1866+1=AH!$P$11),TODAY(),IF(AH!$P$10=1,INDEX('Live History'!$A$5:$A$3004,AH!$P$13+1866),INDEX('AH History'!$A$1:$A$18046,AH!$P$7+1866))),""))</ns0:f>
        <ns0:v/>
      </ns0:c>
      <ns0:c r="B1871" s="219">
        <ns0:f>IFERROR(IF(AND(AH!$P$9&lt;&gt;1,$C1871&gt;0,$D1871&gt;0,$E1871&gt;0,$F1871&gt;0,$G1871&gt;0,$F1871&lt;=$A1871,$G1871&lt;=$A1871,$A1871-$F1871&lt;=10,$A1871-$G1871&lt;=5),$D1871*$E1871/$C1871-1,NA()),NA())</ns0:f>
        <ns0:v/>
      </ns0:c>
      <ns0:c r="C1871">
        <ns0:f>IFERROR(IF(ISNUMBER($A1871),IF(AND(AH!$P$10=1,AH!$P$12=1,$A1871=TODAY()),AH!$P$19,IF(AH!$P$10=1,INDEX('Live History'!$B$5:$B$3004,AH!$P$13+1866),INDEX('AH History'!$B$1:$B$18046,AH!$P$7+1866))),NA()),NA())</ns0:f>
        <ns0:v/>
      </ns0:c>
      <ns0:c r="D1871">
        <ns0:f>IFERROR(IF(ISNUMBER($A1871),IF(AND(AH!$P$10=1,AH!$P$12=1,$A1871=TODAY()),AH!$P$18,IF(AH!$P$10=1,INDEX('Live History'!$E$5:$E$3004,MATCH($A1871,'Live History'!$D$5:$D$3004,1)),INDEX('AH History'!$C$1:$C$18046,AH!$P$7+1866))),NA()),NA())</ns0:f>
        <ns0:v/>
      </ns0:c>
      <ns0:c r="E1871">
        <ns0:f>IFERROR(IF(ISNUMBER($A1871),IF(AND(AH!$P$10=1,AH!$P$12=1,$A1871=TODAY()),AH!$P$20,IF(AH!$P$10=1,INDEX('Live History'!$H$5:$H$3004,MATCH($A1871,'Live History'!$G$5:$G$3004,1)),INDEX('AH History'!$D$1:$D$18046,AH!$P$7+1866))),NA()),NA())</ns0:f>
        <ns0:v/>
      </ns0:c>
      <ns0:c r="F1871">
        <ns0:f>IFERROR(IF(ISNUMBER($A1871),IF(AND(AH!$P$10=1,AH!$P$12=1,$A1871=TODAY()),IF(AND(AH!$P$10=1,AH!$P$12=1,$A1871=TODAY()),TODAY(),NA()),IF(AH!$P$10=1,INDEX('Live History'!$D$5:$D$3004,MATCH($A1871,'Live History'!$D$5:$D$3004,1)),INDEX('AH History'!$E$1:$E$18046,AH!$P$7+1866))),NA()),NA())</ns0:f>
        <ns0:v/>
      </ns0:c>
      <ns0:c r="G1871">
        <ns0:f>IFERROR(IF(ISNUMBER($A1871),IF(AND(AH!$P$10=1,AH!$P$12=1,$A1871=TODAY()),IF(AND(AH!$P$10=1,AH!$P$12=1,$A1871=TODAY()),TODAY(),NA()),IF(AH!$P$10=1,INDEX('Live History'!$G$5:$G$3004,MATCH($A1871,'Live History'!$G$5:$G$3004,1)),INDEX('AH History'!$F$1:$F$18046,AH!$P$7+1866))),NA()),NA())</ns0:f>
        <ns0:v/>
      </ns0:c>
      <ns0:c r="H1871">
        <ns0:f>IFERROR(IF(AND(AH!$E$4="Bloomberg",AH!$P$10=1,ISNUMBER($A1871),$A1871&lt;=AH!$P$17),AH!$P$7-1+MATCH($A1871,INDEX('AH History'!$A$1:$A$18046,AH!$P$7):INDEX('AH History'!$A$1:$A$18046,AH!$P$7+AH!$P$8-1),0),0),0)</ns0:f>
        <ns0:v/>
      </ns0:c>
      <ns0:c r="I1871">
        <ns0:f>IF($H1871=0,0,IFERROR(IF(AND(ABS($C1871-INDEX('AH History'!$B$1:$B$18046,$H1871))&lt;=MAX(0.005,ABS(INDEX('AH History'!$B$1:$B$18046,$H1871))*0.00005),ABS($D1871-INDEX('AH History'!$C$1:$C$18046,$H1871))&lt;=MAX(0.005,ABS(INDEX('AH History'!$C$1:$C$18046,$H1871))*0.00005),ABS($E1871-INDEX('AH History'!$D$1:$D$18046,$H1871))&lt;=0.00005,$F1871=INDEX('AH History'!$E$1:$E$18046,$H1871),$G1871=INDEX('AH History'!$F$1:$F$18046,$H1871)),1,-1),-1))</ns0:f>
        <ns0:v/>
      </ns0:c>
    </ns0:row>
    <ns0:row r="1872">
      <ns0:c r="A1872" s="215">
        <ns0:f>IF(OR(AH!$P$3=0,1867+1&gt;AH!$P$11,AND(AH!$E$4&lt;&gt;"Stored",AH!$P$10&lt;&gt;1)),"",IFERROR(IF(AND(AH!$P$21=1,1867+1=AH!$P$11),TODAY(),IF(AH!$P$10=1,INDEX('Live History'!$A$5:$A$3004,AH!$P$13+1867),INDEX('AH History'!$A$1:$A$18046,AH!$P$7+1867))),""))</ns0:f>
        <ns0:v/>
      </ns0:c>
      <ns0:c r="B1872" s="219">
        <ns0:f>IFERROR(IF(AND(AH!$P$9&lt;&gt;1,$C1872&gt;0,$D1872&gt;0,$E1872&gt;0,$F1872&gt;0,$G1872&gt;0,$F1872&lt;=$A1872,$G1872&lt;=$A1872,$A1872-$F1872&lt;=10,$A1872-$G1872&lt;=5),$D1872*$E1872/$C1872-1,NA()),NA())</ns0:f>
        <ns0:v/>
      </ns0:c>
      <ns0:c r="C1872">
        <ns0:f>IFERROR(IF(ISNUMBER($A1872),IF(AND(AH!$P$10=1,AH!$P$12=1,$A1872=TODAY()),AH!$P$19,IF(AH!$P$10=1,INDEX('Live History'!$B$5:$B$3004,AH!$P$13+1867),INDEX('AH History'!$B$1:$B$18046,AH!$P$7+1867))),NA()),NA())</ns0:f>
        <ns0:v/>
      </ns0:c>
      <ns0:c r="D1872">
        <ns0:f>IFERROR(IF(ISNUMBER($A1872),IF(AND(AH!$P$10=1,AH!$P$12=1,$A1872=TODAY()),AH!$P$18,IF(AH!$P$10=1,INDEX('Live History'!$E$5:$E$3004,MATCH($A1872,'Live History'!$D$5:$D$3004,1)),INDEX('AH History'!$C$1:$C$18046,AH!$P$7+1867))),NA()),NA())</ns0:f>
        <ns0:v/>
      </ns0:c>
      <ns0:c r="E1872">
        <ns0:f>IFERROR(IF(ISNUMBER($A1872),IF(AND(AH!$P$10=1,AH!$P$12=1,$A1872=TODAY()),AH!$P$20,IF(AH!$P$10=1,INDEX('Live History'!$H$5:$H$3004,MATCH($A1872,'Live History'!$G$5:$G$3004,1)),INDEX('AH History'!$D$1:$D$18046,AH!$P$7+1867))),NA()),NA())</ns0:f>
        <ns0:v/>
      </ns0:c>
      <ns0:c r="F1872">
        <ns0:f>IFERROR(IF(ISNUMBER($A1872),IF(AND(AH!$P$10=1,AH!$P$12=1,$A1872=TODAY()),IF(AND(AH!$P$10=1,AH!$P$12=1,$A1872=TODAY()),TODAY(),NA()),IF(AH!$P$10=1,INDEX('Live History'!$D$5:$D$3004,MATCH($A1872,'Live History'!$D$5:$D$3004,1)),INDEX('AH History'!$E$1:$E$18046,AH!$P$7+1867))),NA()),NA())</ns0:f>
        <ns0:v/>
      </ns0:c>
      <ns0:c r="G1872">
        <ns0:f>IFERROR(IF(ISNUMBER($A1872),IF(AND(AH!$P$10=1,AH!$P$12=1,$A1872=TODAY()),IF(AND(AH!$P$10=1,AH!$P$12=1,$A1872=TODAY()),TODAY(),NA()),IF(AH!$P$10=1,INDEX('Live History'!$G$5:$G$3004,MATCH($A1872,'Live History'!$G$5:$G$3004,1)),INDEX('AH History'!$F$1:$F$18046,AH!$P$7+1867))),NA()),NA())</ns0:f>
        <ns0:v/>
      </ns0:c>
      <ns0:c r="H1872">
        <ns0:f>IFERROR(IF(AND(AH!$E$4="Bloomberg",AH!$P$10=1,ISNUMBER($A1872),$A1872&lt;=AH!$P$17),AH!$P$7-1+MATCH($A1872,INDEX('AH History'!$A$1:$A$18046,AH!$P$7):INDEX('AH History'!$A$1:$A$18046,AH!$P$7+AH!$P$8-1),0),0),0)</ns0:f>
        <ns0:v/>
      </ns0:c>
      <ns0:c r="I1872">
        <ns0:f>IF($H1872=0,0,IFERROR(IF(AND(ABS($C1872-INDEX('AH History'!$B$1:$B$18046,$H1872))&lt;=MAX(0.005,ABS(INDEX('AH History'!$B$1:$B$18046,$H1872))*0.00005),ABS($D1872-INDEX('AH History'!$C$1:$C$18046,$H1872))&lt;=MAX(0.005,ABS(INDEX('AH History'!$C$1:$C$18046,$H1872))*0.00005),ABS($E1872-INDEX('AH History'!$D$1:$D$18046,$H1872))&lt;=0.00005,$F1872=INDEX('AH History'!$E$1:$E$18046,$H1872),$G1872=INDEX('AH History'!$F$1:$F$18046,$H1872)),1,-1),-1))</ns0:f>
        <ns0:v/>
      </ns0:c>
    </ns0:row>
    <ns0:row r="1873">
      <ns0:c r="A1873" s="215">
        <ns0:f>IF(OR(AH!$P$3=0,1868+1&gt;AH!$P$11,AND(AH!$E$4&lt;&gt;"Stored",AH!$P$10&lt;&gt;1)),"",IFERROR(IF(AND(AH!$P$21=1,1868+1=AH!$P$11),TODAY(),IF(AH!$P$10=1,INDEX('Live History'!$A$5:$A$3004,AH!$P$13+1868),INDEX('AH History'!$A$1:$A$18046,AH!$P$7+1868))),""))</ns0:f>
        <ns0:v/>
      </ns0:c>
      <ns0:c r="B1873" s="219">
        <ns0:f>IFERROR(IF(AND(AH!$P$9&lt;&gt;1,$C1873&gt;0,$D1873&gt;0,$E1873&gt;0,$F1873&gt;0,$G1873&gt;0,$F1873&lt;=$A1873,$G1873&lt;=$A1873,$A1873-$F1873&lt;=10,$A1873-$G1873&lt;=5),$D1873*$E1873/$C1873-1,NA()),NA())</ns0:f>
        <ns0:v/>
      </ns0:c>
      <ns0:c r="C1873">
        <ns0:f>IFERROR(IF(ISNUMBER($A1873),IF(AND(AH!$P$10=1,AH!$P$12=1,$A1873=TODAY()),AH!$P$19,IF(AH!$P$10=1,INDEX('Live History'!$B$5:$B$3004,AH!$P$13+1868),INDEX('AH History'!$B$1:$B$18046,AH!$P$7+1868))),NA()),NA())</ns0:f>
        <ns0:v/>
      </ns0:c>
      <ns0:c r="D1873">
        <ns0:f>IFERROR(IF(ISNUMBER($A1873),IF(AND(AH!$P$10=1,AH!$P$12=1,$A1873=TODAY()),AH!$P$18,IF(AH!$P$10=1,INDEX('Live History'!$E$5:$E$3004,MATCH($A1873,'Live History'!$D$5:$D$3004,1)),INDEX('AH History'!$C$1:$C$18046,AH!$P$7+1868))),NA()),NA())</ns0:f>
        <ns0:v/>
      </ns0:c>
      <ns0:c r="E1873">
        <ns0:f>IFERROR(IF(ISNUMBER($A1873),IF(AND(AH!$P$10=1,AH!$P$12=1,$A1873=TODAY()),AH!$P$20,IF(AH!$P$10=1,INDEX('Live History'!$H$5:$H$3004,MATCH($A1873,'Live History'!$G$5:$G$3004,1)),INDEX('AH History'!$D$1:$D$18046,AH!$P$7+1868))),NA()),NA())</ns0:f>
        <ns0:v/>
      </ns0:c>
      <ns0:c r="F1873">
        <ns0:f>IFERROR(IF(ISNUMBER($A1873),IF(AND(AH!$P$10=1,AH!$P$12=1,$A1873=TODAY()),IF(AND(AH!$P$10=1,AH!$P$12=1,$A1873=TODAY()),TODAY(),NA()),IF(AH!$P$10=1,INDEX('Live History'!$D$5:$D$3004,MATCH($A1873,'Live History'!$D$5:$D$3004,1)),INDEX('AH History'!$E$1:$E$18046,AH!$P$7+1868))),NA()),NA())</ns0:f>
        <ns0:v/>
      </ns0:c>
      <ns0:c r="G1873">
        <ns0:f>IFERROR(IF(ISNUMBER($A1873),IF(AND(AH!$P$10=1,AH!$P$12=1,$A1873=TODAY()),IF(AND(AH!$P$10=1,AH!$P$12=1,$A1873=TODAY()),TODAY(),NA()),IF(AH!$P$10=1,INDEX('Live History'!$G$5:$G$3004,MATCH($A1873,'Live History'!$G$5:$G$3004,1)),INDEX('AH History'!$F$1:$F$18046,AH!$P$7+1868))),NA()),NA())</ns0:f>
        <ns0:v/>
      </ns0:c>
      <ns0:c r="H1873">
        <ns0:f>IFERROR(IF(AND(AH!$E$4="Bloomberg",AH!$P$10=1,ISNUMBER($A1873),$A1873&lt;=AH!$P$17),AH!$P$7-1+MATCH($A1873,INDEX('AH History'!$A$1:$A$18046,AH!$P$7):INDEX('AH History'!$A$1:$A$18046,AH!$P$7+AH!$P$8-1),0),0),0)</ns0:f>
        <ns0:v/>
      </ns0:c>
      <ns0:c r="I1873">
        <ns0:f>IF($H1873=0,0,IFERROR(IF(AND(ABS($C1873-INDEX('AH History'!$B$1:$B$18046,$H1873))&lt;=MAX(0.005,ABS(INDEX('AH History'!$B$1:$B$18046,$H1873))*0.00005),ABS($D1873-INDEX('AH History'!$C$1:$C$18046,$H1873))&lt;=MAX(0.005,ABS(INDEX('AH History'!$C$1:$C$18046,$H1873))*0.00005),ABS($E1873-INDEX('AH History'!$D$1:$D$18046,$H1873))&lt;=0.00005,$F1873=INDEX('AH History'!$E$1:$E$18046,$H1873),$G1873=INDEX('AH History'!$F$1:$F$18046,$H1873)),1,-1),-1))</ns0:f>
        <ns0:v/>
      </ns0:c>
    </ns0:row>
    <ns0:row r="1874">
      <ns0:c r="A1874" s="215">
        <ns0:f>IF(OR(AH!$P$3=0,1869+1&gt;AH!$P$11,AND(AH!$E$4&lt;&gt;"Stored",AH!$P$10&lt;&gt;1)),"",IFERROR(IF(AND(AH!$P$21=1,1869+1=AH!$P$11),TODAY(),IF(AH!$P$10=1,INDEX('Live History'!$A$5:$A$3004,AH!$P$13+1869),INDEX('AH History'!$A$1:$A$18046,AH!$P$7+1869))),""))</ns0:f>
        <ns0:v/>
      </ns0:c>
      <ns0:c r="B1874" s="219">
        <ns0:f>IFERROR(IF(AND(AH!$P$9&lt;&gt;1,$C1874&gt;0,$D1874&gt;0,$E1874&gt;0,$F1874&gt;0,$G1874&gt;0,$F1874&lt;=$A1874,$G1874&lt;=$A1874,$A1874-$F1874&lt;=10,$A1874-$G1874&lt;=5),$D1874*$E1874/$C1874-1,NA()),NA())</ns0:f>
        <ns0:v/>
      </ns0:c>
      <ns0:c r="C1874">
        <ns0:f>IFERROR(IF(ISNUMBER($A1874),IF(AND(AH!$P$10=1,AH!$P$12=1,$A1874=TODAY()),AH!$P$19,IF(AH!$P$10=1,INDEX('Live History'!$B$5:$B$3004,AH!$P$13+1869),INDEX('AH History'!$B$1:$B$18046,AH!$P$7+1869))),NA()),NA())</ns0:f>
        <ns0:v/>
      </ns0:c>
      <ns0:c r="D1874">
        <ns0:f>IFERROR(IF(ISNUMBER($A1874),IF(AND(AH!$P$10=1,AH!$P$12=1,$A1874=TODAY()),AH!$P$18,IF(AH!$P$10=1,INDEX('Live History'!$E$5:$E$3004,MATCH($A1874,'Live History'!$D$5:$D$3004,1)),INDEX('AH History'!$C$1:$C$18046,AH!$P$7+1869))),NA()),NA())</ns0:f>
        <ns0:v/>
      </ns0:c>
      <ns0:c r="E1874">
        <ns0:f>IFERROR(IF(ISNUMBER($A1874),IF(AND(AH!$P$10=1,AH!$P$12=1,$A1874=TODAY()),AH!$P$20,IF(AH!$P$10=1,INDEX('Live History'!$H$5:$H$3004,MATCH($A1874,'Live History'!$G$5:$G$3004,1)),INDEX('AH History'!$D$1:$D$18046,AH!$P$7+1869))),NA()),NA())</ns0:f>
        <ns0:v/>
      </ns0:c>
      <ns0:c r="F1874">
        <ns0:f>IFERROR(IF(ISNUMBER($A1874),IF(AND(AH!$P$10=1,AH!$P$12=1,$A1874=TODAY()),IF(AND(AH!$P$10=1,AH!$P$12=1,$A1874=TODAY()),TODAY(),NA()),IF(AH!$P$10=1,INDEX('Live History'!$D$5:$D$3004,MATCH($A1874,'Live History'!$D$5:$D$3004,1)),INDEX('AH History'!$E$1:$E$18046,AH!$P$7+1869))),NA()),NA())</ns0:f>
        <ns0:v/>
      </ns0:c>
      <ns0:c r="G1874">
        <ns0:f>IFERROR(IF(ISNUMBER($A1874),IF(AND(AH!$P$10=1,AH!$P$12=1,$A1874=TODAY()),IF(AND(AH!$P$10=1,AH!$P$12=1,$A1874=TODAY()),TODAY(),NA()),IF(AH!$P$10=1,INDEX('Live History'!$G$5:$G$3004,MATCH($A1874,'Live History'!$G$5:$G$3004,1)),INDEX('AH History'!$F$1:$F$18046,AH!$P$7+1869))),NA()),NA())</ns0:f>
        <ns0:v/>
      </ns0:c>
      <ns0:c r="H1874">
        <ns0:f>IFERROR(IF(AND(AH!$E$4="Bloomberg",AH!$P$10=1,ISNUMBER($A1874),$A1874&lt;=AH!$P$17),AH!$P$7-1+MATCH($A1874,INDEX('AH History'!$A$1:$A$18046,AH!$P$7):INDEX('AH History'!$A$1:$A$18046,AH!$P$7+AH!$P$8-1),0),0),0)</ns0:f>
        <ns0:v/>
      </ns0:c>
      <ns0:c r="I1874">
        <ns0:f>IF($H1874=0,0,IFERROR(IF(AND(ABS($C1874-INDEX('AH History'!$B$1:$B$18046,$H1874))&lt;=MAX(0.005,ABS(INDEX('AH History'!$B$1:$B$18046,$H1874))*0.00005),ABS($D1874-INDEX('AH History'!$C$1:$C$18046,$H1874))&lt;=MAX(0.005,ABS(INDEX('AH History'!$C$1:$C$18046,$H1874))*0.00005),ABS($E1874-INDEX('AH History'!$D$1:$D$18046,$H1874))&lt;=0.00005,$F1874=INDEX('AH History'!$E$1:$E$18046,$H1874),$G1874=INDEX('AH History'!$F$1:$F$18046,$H1874)),1,-1),-1))</ns0:f>
        <ns0:v/>
      </ns0:c>
    </ns0:row>
    <ns0:row r="1875">
      <ns0:c r="A1875" s="215">
        <ns0:f>IF(OR(AH!$P$3=0,1870+1&gt;AH!$P$11,AND(AH!$E$4&lt;&gt;"Stored",AH!$P$10&lt;&gt;1)),"",IFERROR(IF(AND(AH!$P$21=1,1870+1=AH!$P$11),TODAY(),IF(AH!$P$10=1,INDEX('Live History'!$A$5:$A$3004,AH!$P$13+1870),INDEX('AH History'!$A$1:$A$18046,AH!$P$7+1870))),""))</ns0:f>
        <ns0:v/>
      </ns0:c>
      <ns0:c r="B1875" s="219">
        <ns0:f>IFERROR(IF(AND(AH!$P$9&lt;&gt;1,$C1875&gt;0,$D1875&gt;0,$E1875&gt;0,$F1875&gt;0,$G1875&gt;0,$F1875&lt;=$A1875,$G1875&lt;=$A1875,$A1875-$F1875&lt;=10,$A1875-$G1875&lt;=5),$D1875*$E1875/$C1875-1,NA()),NA())</ns0:f>
        <ns0:v/>
      </ns0:c>
      <ns0:c r="C1875">
        <ns0:f>IFERROR(IF(ISNUMBER($A1875),IF(AND(AH!$P$10=1,AH!$P$12=1,$A1875=TODAY()),AH!$P$19,IF(AH!$P$10=1,INDEX('Live History'!$B$5:$B$3004,AH!$P$13+1870),INDEX('AH History'!$B$1:$B$18046,AH!$P$7+1870))),NA()),NA())</ns0:f>
        <ns0:v/>
      </ns0:c>
      <ns0:c r="D1875">
        <ns0:f>IFERROR(IF(ISNUMBER($A1875),IF(AND(AH!$P$10=1,AH!$P$12=1,$A1875=TODAY()),AH!$P$18,IF(AH!$P$10=1,INDEX('Live History'!$E$5:$E$3004,MATCH($A1875,'Live History'!$D$5:$D$3004,1)),INDEX('AH History'!$C$1:$C$18046,AH!$P$7+1870))),NA()),NA())</ns0:f>
        <ns0:v/>
      </ns0:c>
      <ns0:c r="E1875">
        <ns0:f>IFERROR(IF(ISNUMBER($A1875),IF(AND(AH!$P$10=1,AH!$P$12=1,$A1875=TODAY()),AH!$P$20,IF(AH!$P$10=1,INDEX('Live History'!$H$5:$H$3004,MATCH($A1875,'Live History'!$G$5:$G$3004,1)),INDEX('AH History'!$D$1:$D$18046,AH!$P$7+1870))),NA()),NA())</ns0:f>
        <ns0:v/>
      </ns0:c>
      <ns0:c r="F1875">
        <ns0:f>IFERROR(IF(ISNUMBER($A1875),IF(AND(AH!$P$10=1,AH!$P$12=1,$A1875=TODAY()),IF(AND(AH!$P$10=1,AH!$P$12=1,$A1875=TODAY()),TODAY(),NA()),IF(AH!$P$10=1,INDEX('Live History'!$D$5:$D$3004,MATCH($A1875,'Live History'!$D$5:$D$3004,1)),INDEX('AH History'!$E$1:$E$18046,AH!$P$7+1870))),NA()),NA())</ns0:f>
        <ns0:v/>
      </ns0:c>
      <ns0:c r="G1875">
        <ns0:f>IFERROR(IF(ISNUMBER($A1875),IF(AND(AH!$P$10=1,AH!$P$12=1,$A1875=TODAY()),IF(AND(AH!$P$10=1,AH!$P$12=1,$A1875=TODAY()),TODAY(),NA()),IF(AH!$P$10=1,INDEX('Live History'!$G$5:$G$3004,MATCH($A1875,'Live History'!$G$5:$G$3004,1)),INDEX('AH History'!$F$1:$F$18046,AH!$P$7+1870))),NA()),NA())</ns0:f>
        <ns0:v/>
      </ns0:c>
      <ns0:c r="H1875">
        <ns0:f>IFERROR(IF(AND(AH!$E$4="Bloomberg",AH!$P$10=1,ISNUMBER($A1875),$A1875&lt;=AH!$P$17),AH!$P$7-1+MATCH($A1875,INDEX('AH History'!$A$1:$A$18046,AH!$P$7):INDEX('AH History'!$A$1:$A$18046,AH!$P$7+AH!$P$8-1),0),0),0)</ns0:f>
        <ns0:v/>
      </ns0:c>
      <ns0:c r="I1875">
        <ns0:f>IF($H1875=0,0,IFERROR(IF(AND(ABS($C1875-INDEX('AH History'!$B$1:$B$18046,$H1875))&lt;=MAX(0.005,ABS(INDEX('AH History'!$B$1:$B$18046,$H1875))*0.00005),ABS($D1875-INDEX('AH History'!$C$1:$C$18046,$H1875))&lt;=MAX(0.005,ABS(INDEX('AH History'!$C$1:$C$18046,$H1875))*0.00005),ABS($E1875-INDEX('AH History'!$D$1:$D$18046,$H1875))&lt;=0.00005,$F1875=INDEX('AH History'!$E$1:$E$18046,$H1875),$G1875=INDEX('AH History'!$F$1:$F$18046,$H1875)),1,-1),-1))</ns0:f>
        <ns0:v/>
      </ns0:c>
    </ns0:row>
    <ns0:row r="1876">
      <ns0:c r="A1876" s="215">
        <ns0:f>IF(OR(AH!$P$3=0,1871+1&gt;AH!$P$11,AND(AH!$E$4&lt;&gt;"Stored",AH!$P$10&lt;&gt;1)),"",IFERROR(IF(AND(AH!$P$21=1,1871+1=AH!$P$11),TODAY(),IF(AH!$P$10=1,INDEX('Live History'!$A$5:$A$3004,AH!$P$13+1871),INDEX('AH History'!$A$1:$A$18046,AH!$P$7+1871))),""))</ns0:f>
        <ns0:v/>
      </ns0:c>
      <ns0:c r="B1876" s="219">
        <ns0:f>IFERROR(IF(AND(AH!$P$9&lt;&gt;1,$C1876&gt;0,$D1876&gt;0,$E1876&gt;0,$F1876&gt;0,$G1876&gt;0,$F1876&lt;=$A1876,$G1876&lt;=$A1876,$A1876-$F1876&lt;=10,$A1876-$G1876&lt;=5),$D1876*$E1876/$C1876-1,NA()),NA())</ns0:f>
        <ns0:v/>
      </ns0:c>
      <ns0:c r="C1876">
        <ns0:f>IFERROR(IF(ISNUMBER($A1876),IF(AND(AH!$P$10=1,AH!$P$12=1,$A1876=TODAY()),AH!$P$19,IF(AH!$P$10=1,INDEX('Live History'!$B$5:$B$3004,AH!$P$13+1871),INDEX('AH History'!$B$1:$B$18046,AH!$P$7+1871))),NA()),NA())</ns0:f>
        <ns0:v/>
      </ns0:c>
      <ns0:c r="D1876">
        <ns0:f>IFERROR(IF(ISNUMBER($A1876),IF(AND(AH!$P$10=1,AH!$P$12=1,$A1876=TODAY()),AH!$P$18,IF(AH!$P$10=1,INDEX('Live History'!$E$5:$E$3004,MATCH($A1876,'Live History'!$D$5:$D$3004,1)),INDEX('AH History'!$C$1:$C$18046,AH!$P$7+1871))),NA()),NA())</ns0:f>
        <ns0:v/>
      </ns0:c>
      <ns0:c r="E1876">
        <ns0:f>IFERROR(IF(ISNUMBER($A1876),IF(AND(AH!$P$10=1,AH!$P$12=1,$A1876=TODAY()),AH!$P$20,IF(AH!$P$10=1,INDEX('Live History'!$H$5:$H$3004,MATCH($A1876,'Live History'!$G$5:$G$3004,1)),INDEX('AH History'!$D$1:$D$18046,AH!$P$7+1871))),NA()),NA())</ns0:f>
        <ns0:v/>
      </ns0:c>
      <ns0:c r="F1876">
        <ns0:f>IFERROR(IF(ISNUMBER($A1876),IF(AND(AH!$P$10=1,AH!$P$12=1,$A1876=TODAY()),IF(AND(AH!$P$10=1,AH!$P$12=1,$A1876=TODAY()),TODAY(),NA()),IF(AH!$P$10=1,INDEX('Live History'!$D$5:$D$3004,MATCH($A1876,'Live History'!$D$5:$D$3004,1)),INDEX('AH History'!$E$1:$E$18046,AH!$P$7+1871))),NA()),NA())</ns0:f>
        <ns0:v/>
      </ns0:c>
      <ns0:c r="G1876">
        <ns0:f>IFERROR(IF(ISNUMBER($A1876),IF(AND(AH!$P$10=1,AH!$P$12=1,$A1876=TODAY()),IF(AND(AH!$P$10=1,AH!$P$12=1,$A1876=TODAY()),TODAY(),NA()),IF(AH!$P$10=1,INDEX('Live History'!$G$5:$G$3004,MATCH($A1876,'Live History'!$G$5:$G$3004,1)),INDEX('AH History'!$F$1:$F$18046,AH!$P$7+1871))),NA()),NA())</ns0:f>
        <ns0:v/>
      </ns0:c>
      <ns0:c r="H1876">
        <ns0:f>IFERROR(IF(AND(AH!$E$4="Bloomberg",AH!$P$10=1,ISNUMBER($A1876),$A1876&lt;=AH!$P$17),AH!$P$7-1+MATCH($A1876,INDEX('AH History'!$A$1:$A$18046,AH!$P$7):INDEX('AH History'!$A$1:$A$18046,AH!$P$7+AH!$P$8-1),0),0),0)</ns0:f>
        <ns0:v/>
      </ns0:c>
      <ns0:c r="I1876">
        <ns0:f>IF($H1876=0,0,IFERROR(IF(AND(ABS($C1876-INDEX('AH History'!$B$1:$B$18046,$H1876))&lt;=MAX(0.005,ABS(INDEX('AH History'!$B$1:$B$18046,$H1876))*0.00005),ABS($D1876-INDEX('AH History'!$C$1:$C$18046,$H1876))&lt;=MAX(0.005,ABS(INDEX('AH History'!$C$1:$C$18046,$H1876))*0.00005),ABS($E1876-INDEX('AH History'!$D$1:$D$18046,$H1876))&lt;=0.00005,$F1876=INDEX('AH History'!$E$1:$E$18046,$H1876),$G1876=INDEX('AH History'!$F$1:$F$18046,$H1876)),1,-1),-1))</ns0:f>
        <ns0:v/>
      </ns0:c>
    </ns0:row>
    <ns0:row r="1877">
      <ns0:c r="A1877" s="215">
        <ns0:f>IF(OR(AH!$P$3=0,1872+1&gt;AH!$P$11,AND(AH!$E$4&lt;&gt;"Stored",AH!$P$10&lt;&gt;1)),"",IFERROR(IF(AND(AH!$P$21=1,1872+1=AH!$P$11),TODAY(),IF(AH!$P$10=1,INDEX('Live History'!$A$5:$A$3004,AH!$P$13+1872),INDEX('AH History'!$A$1:$A$18046,AH!$P$7+1872))),""))</ns0:f>
        <ns0:v/>
      </ns0:c>
      <ns0:c r="B1877" s="219">
        <ns0:f>IFERROR(IF(AND(AH!$P$9&lt;&gt;1,$C1877&gt;0,$D1877&gt;0,$E1877&gt;0,$F1877&gt;0,$G1877&gt;0,$F1877&lt;=$A1877,$G1877&lt;=$A1877,$A1877-$F1877&lt;=10,$A1877-$G1877&lt;=5),$D1877*$E1877/$C1877-1,NA()),NA())</ns0:f>
        <ns0:v/>
      </ns0:c>
      <ns0:c r="C1877">
        <ns0:f>IFERROR(IF(ISNUMBER($A1877),IF(AND(AH!$P$10=1,AH!$P$12=1,$A1877=TODAY()),AH!$P$19,IF(AH!$P$10=1,INDEX('Live History'!$B$5:$B$3004,AH!$P$13+1872),INDEX('AH History'!$B$1:$B$18046,AH!$P$7+1872))),NA()),NA())</ns0:f>
        <ns0:v/>
      </ns0:c>
      <ns0:c r="D1877">
        <ns0:f>IFERROR(IF(ISNUMBER($A1877),IF(AND(AH!$P$10=1,AH!$P$12=1,$A1877=TODAY()),AH!$P$18,IF(AH!$P$10=1,INDEX('Live History'!$E$5:$E$3004,MATCH($A1877,'Live History'!$D$5:$D$3004,1)),INDEX('AH History'!$C$1:$C$18046,AH!$P$7+1872))),NA()),NA())</ns0:f>
        <ns0:v/>
      </ns0:c>
      <ns0:c r="E1877">
        <ns0:f>IFERROR(IF(ISNUMBER($A1877),IF(AND(AH!$P$10=1,AH!$P$12=1,$A1877=TODAY()),AH!$P$20,IF(AH!$P$10=1,INDEX('Live History'!$H$5:$H$3004,MATCH($A1877,'Live History'!$G$5:$G$3004,1)),INDEX('AH History'!$D$1:$D$18046,AH!$P$7+1872))),NA()),NA())</ns0:f>
        <ns0:v/>
      </ns0:c>
      <ns0:c r="F1877">
        <ns0:f>IFERROR(IF(ISNUMBER($A1877),IF(AND(AH!$P$10=1,AH!$P$12=1,$A1877=TODAY()),IF(AND(AH!$P$10=1,AH!$P$12=1,$A1877=TODAY()),TODAY(),NA()),IF(AH!$P$10=1,INDEX('Live History'!$D$5:$D$3004,MATCH($A1877,'Live History'!$D$5:$D$3004,1)),INDEX('AH History'!$E$1:$E$18046,AH!$P$7+1872))),NA()),NA())</ns0:f>
        <ns0:v/>
      </ns0:c>
      <ns0:c r="G1877">
        <ns0:f>IFERROR(IF(ISNUMBER($A1877),IF(AND(AH!$P$10=1,AH!$P$12=1,$A1877=TODAY()),IF(AND(AH!$P$10=1,AH!$P$12=1,$A1877=TODAY()),TODAY(),NA()),IF(AH!$P$10=1,INDEX('Live History'!$G$5:$G$3004,MATCH($A1877,'Live History'!$G$5:$G$3004,1)),INDEX('AH History'!$F$1:$F$18046,AH!$P$7+1872))),NA()),NA())</ns0:f>
        <ns0:v/>
      </ns0:c>
      <ns0:c r="H1877">
        <ns0:f>IFERROR(IF(AND(AH!$E$4="Bloomberg",AH!$P$10=1,ISNUMBER($A1877),$A1877&lt;=AH!$P$17),AH!$P$7-1+MATCH($A1877,INDEX('AH History'!$A$1:$A$18046,AH!$P$7):INDEX('AH History'!$A$1:$A$18046,AH!$P$7+AH!$P$8-1),0),0),0)</ns0:f>
        <ns0:v/>
      </ns0:c>
      <ns0:c r="I1877">
        <ns0:f>IF($H1877=0,0,IFERROR(IF(AND(ABS($C1877-INDEX('AH History'!$B$1:$B$18046,$H1877))&lt;=MAX(0.005,ABS(INDEX('AH History'!$B$1:$B$18046,$H1877))*0.00005),ABS($D1877-INDEX('AH History'!$C$1:$C$18046,$H1877))&lt;=MAX(0.005,ABS(INDEX('AH History'!$C$1:$C$18046,$H1877))*0.00005),ABS($E1877-INDEX('AH History'!$D$1:$D$18046,$H1877))&lt;=0.00005,$F1877=INDEX('AH History'!$E$1:$E$18046,$H1877),$G1877=INDEX('AH History'!$F$1:$F$18046,$H1877)),1,-1),-1))</ns0:f>
        <ns0:v/>
      </ns0:c>
    </ns0:row>
    <ns0:row r="1878">
      <ns0:c r="A1878" s="215">
        <ns0:f>IF(OR(AH!$P$3=0,1873+1&gt;AH!$P$11,AND(AH!$E$4&lt;&gt;"Stored",AH!$P$10&lt;&gt;1)),"",IFERROR(IF(AND(AH!$P$21=1,1873+1=AH!$P$11),TODAY(),IF(AH!$P$10=1,INDEX('Live History'!$A$5:$A$3004,AH!$P$13+1873),INDEX('AH History'!$A$1:$A$18046,AH!$P$7+1873))),""))</ns0:f>
        <ns0:v/>
      </ns0:c>
      <ns0:c r="B1878" s="219">
        <ns0:f>IFERROR(IF(AND(AH!$P$9&lt;&gt;1,$C1878&gt;0,$D1878&gt;0,$E1878&gt;0,$F1878&gt;0,$G1878&gt;0,$F1878&lt;=$A1878,$G1878&lt;=$A1878,$A1878-$F1878&lt;=10,$A1878-$G1878&lt;=5),$D1878*$E1878/$C1878-1,NA()),NA())</ns0:f>
        <ns0:v/>
      </ns0:c>
      <ns0:c r="C1878">
        <ns0:f>IFERROR(IF(ISNUMBER($A1878),IF(AND(AH!$P$10=1,AH!$P$12=1,$A1878=TODAY()),AH!$P$19,IF(AH!$P$10=1,INDEX('Live History'!$B$5:$B$3004,AH!$P$13+1873),INDEX('AH History'!$B$1:$B$18046,AH!$P$7+1873))),NA()),NA())</ns0:f>
        <ns0:v/>
      </ns0:c>
      <ns0:c r="D1878">
        <ns0:f>IFERROR(IF(ISNUMBER($A1878),IF(AND(AH!$P$10=1,AH!$P$12=1,$A1878=TODAY()),AH!$P$18,IF(AH!$P$10=1,INDEX('Live History'!$E$5:$E$3004,MATCH($A1878,'Live History'!$D$5:$D$3004,1)),INDEX('AH History'!$C$1:$C$18046,AH!$P$7+1873))),NA()),NA())</ns0:f>
        <ns0:v/>
      </ns0:c>
      <ns0:c r="E1878">
        <ns0:f>IFERROR(IF(ISNUMBER($A1878),IF(AND(AH!$P$10=1,AH!$P$12=1,$A1878=TODAY()),AH!$P$20,IF(AH!$P$10=1,INDEX('Live History'!$H$5:$H$3004,MATCH($A1878,'Live History'!$G$5:$G$3004,1)),INDEX('AH History'!$D$1:$D$18046,AH!$P$7+1873))),NA()),NA())</ns0:f>
        <ns0:v/>
      </ns0:c>
      <ns0:c r="F1878">
        <ns0:f>IFERROR(IF(ISNUMBER($A1878),IF(AND(AH!$P$10=1,AH!$P$12=1,$A1878=TODAY()),IF(AND(AH!$P$10=1,AH!$P$12=1,$A1878=TODAY()),TODAY(),NA()),IF(AH!$P$10=1,INDEX('Live History'!$D$5:$D$3004,MATCH($A1878,'Live History'!$D$5:$D$3004,1)),INDEX('AH History'!$E$1:$E$18046,AH!$P$7+1873))),NA()),NA())</ns0:f>
        <ns0:v/>
      </ns0:c>
      <ns0:c r="G1878">
        <ns0:f>IFERROR(IF(ISNUMBER($A1878),IF(AND(AH!$P$10=1,AH!$P$12=1,$A1878=TODAY()),IF(AND(AH!$P$10=1,AH!$P$12=1,$A1878=TODAY()),TODAY(),NA()),IF(AH!$P$10=1,INDEX('Live History'!$G$5:$G$3004,MATCH($A1878,'Live History'!$G$5:$G$3004,1)),INDEX('AH History'!$F$1:$F$18046,AH!$P$7+1873))),NA()),NA())</ns0:f>
        <ns0:v/>
      </ns0:c>
      <ns0:c r="H1878">
        <ns0:f>IFERROR(IF(AND(AH!$E$4="Bloomberg",AH!$P$10=1,ISNUMBER($A1878),$A1878&lt;=AH!$P$17),AH!$P$7-1+MATCH($A1878,INDEX('AH History'!$A$1:$A$18046,AH!$P$7):INDEX('AH History'!$A$1:$A$18046,AH!$P$7+AH!$P$8-1),0),0),0)</ns0:f>
        <ns0:v/>
      </ns0:c>
      <ns0:c r="I1878">
        <ns0:f>IF($H1878=0,0,IFERROR(IF(AND(ABS($C1878-INDEX('AH History'!$B$1:$B$18046,$H1878))&lt;=MAX(0.005,ABS(INDEX('AH History'!$B$1:$B$18046,$H1878))*0.00005),ABS($D1878-INDEX('AH History'!$C$1:$C$18046,$H1878))&lt;=MAX(0.005,ABS(INDEX('AH History'!$C$1:$C$18046,$H1878))*0.00005),ABS($E1878-INDEX('AH History'!$D$1:$D$18046,$H1878))&lt;=0.00005,$F1878=INDEX('AH History'!$E$1:$E$18046,$H1878),$G1878=INDEX('AH History'!$F$1:$F$18046,$H1878)),1,-1),-1))</ns0:f>
        <ns0:v/>
      </ns0:c>
    </ns0:row>
    <ns0:row r="1879">
      <ns0:c r="A1879" s="215">
        <ns0:f>IF(OR(AH!$P$3=0,1874+1&gt;AH!$P$11,AND(AH!$E$4&lt;&gt;"Stored",AH!$P$10&lt;&gt;1)),"",IFERROR(IF(AND(AH!$P$21=1,1874+1=AH!$P$11),TODAY(),IF(AH!$P$10=1,INDEX('Live History'!$A$5:$A$3004,AH!$P$13+1874),INDEX('AH History'!$A$1:$A$18046,AH!$P$7+1874))),""))</ns0:f>
        <ns0:v/>
      </ns0:c>
      <ns0:c r="B1879" s="219">
        <ns0:f>IFERROR(IF(AND(AH!$P$9&lt;&gt;1,$C1879&gt;0,$D1879&gt;0,$E1879&gt;0,$F1879&gt;0,$G1879&gt;0,$F1879&lt;=$A1879,$G1879&lt;=$A1879,$A1879-$F1879&lt;=10,$A1879-$G1879&lt;=5),$D1879*$E1879/$C1879-1,NA()),NA())</ns0:f>
        <ns0:v/>
      </ns0:c>
      <ns0:c r="C1879">
        <ns0:f>IFERROR(IF(ISNUMBER($A1879),IF(AND(AH!$P$10=1,AH!$P$12=1,$A1879=TODAY()),AH!$P$19,IF(AH!$P$10=1,INDEX('Live History'!$B$5:$B$3004,AH!$P$13+1874),INDEX('AH History'!$B$1:$B$18046,AH!$P$7+1874))),NA()),NA())</ns0:f>
        <ns0:v/>
      </ns0:c>
      <ns0:c r="D1879">
        <ns0:f>IFERROR(IF(ISNUMBER($A1879),IF(AND(AH!$P$10=1,AH!$P$12=1,$A1879=TODAY()),AH!$P$18,IF(AH!$P$10=1,INDEX('Live History'!$E$5:$E$3004,MATCH($A1879,'Live History'!$D$5:$D$3004,1)),INDEX('AH History'!$C$1:$C$18046,AH!$P$7+1874))),NA()),NA())</ns0:f>
        <ns0:v/>
      </ns0:c>
      <ns0:c r="E1879">
        <ns0:f>IFERROR(IF(ISNUMBER($A1879),IF(AND(AH!$P$10=1,AH!$P$12=1,$A1879=TODAY()),AH!$P$20,IF(AH!$P$10=1,INDEX('Live History'!$H$5:$H$3004,MATCH($A1879,'Live History'!$G$5:$G$3004,1)),INDEX('AH History'!$D$1:$D$18046,AH!$P$7+1874))),NA()),NA())</ns0:f>
        <ns0:v/>
      </ns0:c>
      <ns0:c r="F1879">
        <ns0:f>IFERROR(IF(ISNUMBER($A1879),IF(AND(AH!$P$10=1,AH!$P$12=1,$A1879=TODAY()),IF(AND(AH!$P$10=1,AH!$P$12=1,$A1879=TODAY()),TODAY(),NA()),IF(AH!$P$10=1,INDEX('Live History'!$D$5:$D$3004,MATCH($A1879,'Live History'!$D$5:$D$3004,1)),INDEX('AH History'!$E$1:$E$18046,AH!$P$7+1874))),NA()),NA())</ns0:f>
        <ns0:v/>
      </ns0:c>
      <ns0:c r="G1879">
        <ns0:f>IFERROR(IF(ISNUMBER($A1879),IF(AND(AH!$P$10=1,AH!$P$12=1,$A1879=TODAY()),IF(AND(AH!$P$10=1,AH!$P$12=1,$A1879=TODAY()),TODAY(),NA()),IF(AH!$P$10=1,INDEX('Live History'!$G$5:$G$3004,MATCH($A1879,'Live History'!$G$5:$G$3004,1)),INDEX('AH History'!$F$1:$F$18046,AH!$P$7+1874))),NA()),NA())</ns0:f>
        <ns0:v/>
      </ns0:c>
      <ns0:c r="H1879">
        <ns0:f>IFERROR(IF(AND(AH!$E$4="Bloomberg",AH!$P$10=1,ISNUMBER($A1879),$A1879&lt;=AH!$P$17),AH!$P$7-1+MATCH($A1879,INDEX('AH History'!$A$1:$A$18046,AH!$P$7):INDEX('AH History'!$A$1:$A$18046,AH!$P$7+AH!$P$8-1),0),0),0)</ns0:f>
        <ns0:v/>
      </ns0:c>
      <ns0:c r="I1879">
        <ns0:f>IF($H1879=0,0,IFERROR(IF(AND(ABS($C1879-INDEX('AH History'!$B$1:$B$18046,$H1879))&lt;=MAX(0.005,ABS(INDEX('AH History'!$B$1:$B$18046,$H1879))*0.00005),ABS($D1879-INDEX('AH History'!$C$1:$C$18046,$H1879))&lt;=MAX(0.005,ABS(INDEX('AH History'!$C$1:$C$18046,$H1879))*0.00005),ABS($E1879-INDEX('AH History'!$D$1:$D$18046,$H1879))&lt;=0.00005,$F1879=INDEX('AH History'!$E$1:$E$18046,$H1879),$G1879=INDEX('AH History'!$F$1:$F$18046,$H1879)),1,-1),-1))</ns0:f>
        <ns0:v/>
      </ns0:c>
    </ns0:row>
    <ns0:row r="1880">
      <ns0:c r="A1880" s="215">
        <ns0:f>IF(OR(AH!$P$3=0,1875+1&gt;AH!$P$11,AND(AH!$E$4&lt;&gt;"Stored",AH!$P$10&lt;&gt;1)),"",IFERROR(IF(AND(AH!$P$21=1,1875+1=AH!$P$11),TODAY(),IF(AH!$P$10=1,INDEX('Live History'!$A$5:$A$3004,AH!$P$13+1875),INDEX('AH History'!$A$1:$A$18046,AH!$P$7+1875))),""))</ns0:f>
        <ns0:v/>
      </ns0:c>
      <ns0:c r="B1880" s="219">
        <ns0:f>IFERROR(IF(AND(AH!$P$9&lt;&gt;1,$C1880&gt;0,$D1880&gt;0,$E1880&gt;0,$F1880&gt;0,$G1880&gt;0,$F1880&lt;=$A1880,$G1880&lt;=$A1880,$A1880-$F1880&lt;=10,$A1880-$G1880&lt;=5),$D1880*$E1880/$C1880-1,NA()),NA())</ns0:f>
        <ns0:v/>
      </ns0:c>
      <ns0:c r="C1880">
        <ns0:f>IFERROR(IF(ISNUMBER($A1880),IF(AND(AH!$P$10=1,AH!$P$12=1,$A1880=TODAY()),AH!$P$19,IF(AH!$P$10=1,INDEX('Live History'!$B$5:$B$3004,AH!$P$13+1875),INDEX('AH History'!$B$1:$B$18046,AH!$P$7+1875))),NA()),NA())</ns0:f>
        <ns0:v/>
      </ns0:c>
      <ns0:c r="D1880">
        <ns0:f>IFERROR(IF(ISNUMBER($A1880),IF(AND(AH!$P$10=1,AH!$P$12=1,$A1880=TODAY()),AH!$P$18,IF(AH!$P$10=1,INDEX('Live History'!$E$5:$E$3004,MATCH($A1880,'Live History'!$D$5:$D$3004,1)),INDEX('AH History'!$C$1:$C$18046,AH!$P$7+1875))),NA()),NA())</ns0:f>
        <ns0:v/>
      </ns0:c>
      <ns0:c r="E1880">
        <ns0:f>IFERROR(IF(ISNUMBER($A1880),IF(AND(AH!$P$10=1,AH!$P$12=1,$A1880=TODAY()),AH!$P$20,IF(AH!$P$10=1,INDEX('Live History'!$H$5:$H$3004,MATCH($A1880,'Live History'!$G$5:$G$3004,1)),INDEX('AH History'!$D$1:$D$18046,AH!$P$7+1875))),NA()),NA())</ns0:f>
        <ns0:v/>
      </ns0:c>
      <ns0:c r="F1880">
        <ns0:f>IFERROR(IF(ISNUMBER($A1880),IF(AND(AH!$P$10=1,AH!$P$12=1,$A1880=TODAY()),IF(AND(AH!$P$10=1,AH!$P$12=1,$A1880=TODAY()),TODAY(),NA()),IF(AH!$P$10=1,INDEX('Live History'!$D$5:$D$3004,MATCH($A1880,'Live History'!$D$5:$D$3004,1)),INDEX('AH History'!$E$1:$E$18046,AH!$P$7+1875))),NA()),NA())</ns0:f>
        <ns0:v/>
      </ns0:c>
      <ns0:c r="G1880">
        <ns0:f>IFERROR(IF(ISNUMBER($A1880),IF(AND(AH!$P$10=1,AH!$P$12=1,$A1880=TODAY()),IF(AND(AH!$P$10=1,AH!$P$12=1,$A1880=TODAY()),TODAY(),NA()),IF(AH!$P$10=1,INDEX('Live History'!$G$5:$G$3004,MATCH($A1880,'Live History'!$G$5:$G$3004,1)),INDEX('AH History'!$F$1:$F$18046,AH!$P$7+1875))),NA()),NA())</ns0:f>
        <ns0:v/>
      </ns0:c>
      <ns0:c r="H1880">
        <ns0:f>IFERROR(IF(AND(AH!$E$4="Bloomberg",AH!$P$10=1,ISNUMBER($A1880),$A1880&lt;=AH!$P$17),AH!$P$7-1+MATCH($A1880,INDEX('AH History'!$A$1:$A$18046,AH!$P$7):INDEX('AH History'!$A$1:$A$18046,AH!$P$7+AH!$P$8-1),0),0),0)</ns0:f>
        <ns0:v/>
      </ns0:c>
      <ns0:c r="I1880">
        <ns0:f>IF($H1880=0,0,IFERROR(IF(AND(ABS($C1880-INDEX('AH History'!$B$1:$B$18046,$H1880))&lt;=MAX(0.005,ABS(INDEX('AH History'!$B$1:$B$18046,$H1880))*0.00005),ABS($D1880-INDEX('AH History'!$C$1:$C$18046,$H1880))&lt;=MAX(0.005,ABS(INDEX('AH History'!$C$1:$C$18046,$H1880))*0.00005),ABS($E1880-INDEX('AH History'!$D$1:$D$18046,$H1880))&lt;=0.00005,$F1880=INDEX('AH History'!$E$1:$E$18046,$H1880),$G1880=INDEX('AH History'!$F$1:$F$18046,$H1880)),1,-1),-1))</ns0:f>
        <ns0:v/>
      </ns0:c>
    </ns0:row>
    <ns0:row r="1881">
      <ns0:c r="A1881" s="215">
        <ns0:f>IF(OR(AH!$P$3=0,1876+1&gt;AH!$P$11,AND(AH!$E$4&lt;&gt;"Stored",AH!$P$10&lt;&gt;1)),"",IFERROR(IF(AND(AH!$P$21=1,1876+1=AH!$P$11),TODAY(),IF(AH!$P$10=1,INDEX('Live History'!$A$5:$A$3004,AH!$P$13+1876),INDEX('AH History'!$A$1:$A$18046,AH!$P$7+1876))),""))</ns0:f>
        <ns0:v/>
      </ns0:c>
      <ns0:c r="B1881" s="219">
        <ns0:f>IFERROR(IF(AND(AH!$P$9&lt;&gt;1,$C1881&gt;0,$D1881&gt;0,$E1881&gt;0,$F1881&gt;0,$G1881&gt;0,$F1881&lt;=$A1881,$G1881&lt;=$A1881,$A1881-$F1881&lt;=10,$A1881-$G1881&lt;=5),$D1881*$E1881/$C1881-1,NA()),NA())</ns0:f>
        <ns0:v/>
      </ns0:c>
      <ns0:c r="C1881">
        <ns0:f>IFERROR(IF(ISNUMBER($A1881),IF(AND(AH!$P$10=1,AH!$P$12=1,$A1881=TODAY()),AH!$P$19,IF(AH!$P$10=1,INDEX('Live History'!$B$5:$B$3004,AH!$P$13+1876),INDEX('AH History'!$B$1:$B$18046,AH!$P$7+1876))),NA()),NA())</ns0:f>
        <ns0:v/>
      </ns0:c>
      <ns0:c r="D1881">
        <ns0:f>IFERROR(IF(ISNUMBER($A1881),IF(AND(AH!$P$10=1,AH!$P$12=1,$A1881=TODAY()),AH!$P$18,IF(AH!$P$10=1,INDEX('Live History'!$E$5:$E$3004,MATCH($A1881,'Live History'!$D$5:$D$3004,1)),INDEX('AH History'!$C$1:$C$18046,AH!$P$7+1876))),NA()),NA())</ns0:f>
        <ns0:v/>
      </ns0:c>
      <ns0:c r="E1881">
        <ns0:f>IFERROR(IF(ISNUMBER($A1881),IF(AND(AH!$P$10=1,AH!$P$12=1,$A1881=TODAY()),AH!$P$20,IF(AH!$P$10=1,INDEX('Live History'!$H$5:$H$3004,MATCH($A1881,'Live History'!$G$5:$G$3004,1)),INDEX('AH History'!$D$1:$D$18046,AH!$P$7+1876))),NA()),NA())</ns0:f>
        <ns0:v/>
      </ns0:c>
      <ns0:c r="F1881">
        <ns0:f>IFERROR(IF(ISNUMBER($A1881),IF(AND(AH!$P$10=1,AH!$P$12=1,$A1881=TODAY()),IF(AND(AH!$P$10=1,AH!$P$12=1,$A1881=TODAY()),TODAY(),NA()),IF(AH!$P$10=1,INDEX('Live History'!$D$5:$D$3004,MATCH($A1881,'Live History'!$D$5:$D$3004,1)),INDEX('AH History'!$E$1:$E$18046,AH!$P$7+1876))),NA()),NA())</ns0:f>
        <ns0:v/>
      </ns0:c>
      <ns0:c r="G1881">
        <ns0:f>IFERROR(IF(ISNUMBER($A1881),IF(AND(AH!$P$10=1,AH!$P$12=1,$A1881=TODAY()),IF(AND(AH!$P$10=1,AH!$P$12=1,$A1881=TODAY()),TODAY(),NA()),IF(AH!$P$10=1,INDEX('Live History'!$G$5:$G$3004,MATCH($A1881,'Live History'!$G$5:$G$3004,1)),INDEX('AH History'!$F$1:$F$18046,AH!$P$7+1876))),NA()),NA())</ns0:f>
        <ns0:v/>
      </ns0:c>
      <ns0:c r="H1881">
        <ns0:f>IFERROR(IF(AND(AH!$E$4="Bloomberg",AH!$P$10=1,ISNUMBER($A1881),$A1881&lt;=AH!$P$17),AH!$P$7-1+MATCH($A1881,INDEX('AH History'!$A$1:$A$18046,AH!$P$7):INDEX('AH History'!$A$1:$A$18046,AH!$P$7+AH!$P$8-1),0),0),0)</ns0:f>
        <ns0:v/>
      </ns0:c>
      <ns0:c r="I1881">
        <ns0:f>IF($H1881=0,0,IFERROR(IF(AND(ABS($C1881-INDEX('AH History'!$B$1:$B$18046,$H1881))&lt;=MAX(0.005,ABS(INDEX('AH History'!$B$1:$B$18046,$H1881))*0.00005),ABS($D1881-INDEX('AH History'!$C$1:$C$18046,$H1881))&lt;=MAX(0.005,ABS(INDEX('AH History'!$C$1:$C$18046,$H1881))*0.00005),ABS($E1881-INDEX('AH History'!$D$1:$D$18046,$H1881))&lt;=0.00005,$F1881=INDEX('AH History'!$E$1:$E$18046,$H1881),$G1881=INDEX('AH History'!$F$1:$F$18046,$H1881)),1,-1),-1))</ns0:f>
        <ns0:v/>
      </ns0:c>
    </ns0:row>
    <ns0:row r="1882">
      <ns0:c r="A1882" s="215">
        <ns0:f>IF(OR(AH!$P$3=0,1877+1&gt;AH!$P$11,AND(AH!$E$4&lt;&gt;"Stored",AH!$P$10&lt;&gt;1)),"",IFERROR(IF(AND(AH!$P$21=1,1877+1=AH!$P$11),TODAY(),IF(AH!$P$10=1,INDEX('Live History'!$A$5:$A$3004,AH!$P$13+1877),INDEX('AH History'!$A$1:$A$18046,AH!$P$7+1877))),""))</ns0:f>
        <ns0:v/>
      </ns0:c>
      <ns0:c r="B1882" s="219">
        <ns0:f>IFERROR(IF(AND(AH!$P$9&lt;&gt;1,$C1882&gt;0,$D1882&gt;0,$E1882&gt;0,$F1882&gt;0,$G1882&gt;0,$F1882&lt;=$A1882,$G1882&lt;=$A1882,$A1882-$F1882&lt;=10,$A1882-$G1882&lt;=5),$D1882*$E1882/$C1882-1,NA()),NA())</ns0:f>
        <ns0:v/>
      </ns0:c>
      <ns0:c r="C1882">
        <ns0:f>IFERROR(IF(ISNUMBER($A1882),IF(AND(AH!$P$10=1,AH!$P$12=1,$A1882=TODAY()),AH!$P$19,IF(AH!$P$10=1,INDEX('Live History'!$B$5:$B$3004,AH!$P$13+1877),INDEX('AH History'!$B$1:$B$18046,AH!$P$7+1877))),NA()),NA())</ns0:f>
        <ns0:v/>
      </ns0:c>
      <ns0:c r="D1882">
        <ns0:f>IFERROR(IF(ISNUMBER($A1882),IF(AND(AH!$P$10=1,AH!$P$12=1,$A1882=TODAY()),AH!$P$18,IF(AH!$P$10=1,INDEX('Live History'!$E$5:$E$3004,MATCH($A1882,'Live History'!$D$5:$D$3004,1)),INDEX('AH History'!$C$1:$C$18046,AH!$P$7+1877))),NA()),NA())</ns0:f>
        <ns0:v/>
      </ns0:c>
      <ns0:c r="E1882">
        <ns0:f>IFERROR(IF(ISNUMBER($A1882),IF(AND(AH!$P$10=1,AH!$P$12=1,$A1882=TODAY()),AH!$P$20,IF(AH!$P$10=1,INDEX('Live History'!$H$5:$H$3004,MATCH($A1882,'Live History'!$G$5:$G$3004,1)),INDEX('AH History'!$D$1:$D$18046,AH!$P$7+1877))),NA()),NA())</ns0:f>
        <ns0:v/>
      </ns0:c>
      <ns0:c r="F1882">
        <ns0:f>IFERROR(IF(ISNUMBER($A1882),IF(AND(AH!$P$10=1,AH!$P$12=1,$A1882=TODAY()),IF(AND(AH!$P$10=1,AH!$P$12=1,$A1882=TODAY()),TODAY(),NA()),IF(AH!$P$10=1,INDEX('Live History'!$D$5:$D$3004,MATCH($A1882,'Live History'!$D$5:$D$3004,1)),INDEX('AH History'!$E$1:$E$18046,AH!$P$7+1877))),NA()),NA())</ns0:f>
        <ns0:v/>
      </ns0:c>
      <ns0:c r="G1882">
        <ns0:f>IFERROR(IF(ISNUMBER($A1882),IF(AND(AH!$P$10=1,AH!$P$12=1,$A1882=TODAY()),IF(AND(AH!$P$10=1,AH!$P$12=1,$A1882=TODAY()),TODAY(),NA()),IF(AH!$P$10=1,INDEX('Live History'!$G$5:$G$3004,MATCH($A1882,'Live History'!$G$5:$G$3004,1)),INDEX('AH History'!$F$1:$F$18046,AH!$P$7+1877))),NA()),NA())</ns0:f>
        <ns0:v/>
      </ns0:c>
      <ns0:c r="H1882">
        <ns0:f>IFERROR(IF(AND(AH!$E$4="Bloomberg",AH!$P$10=1,ISNUMBER($A1882),$A1882&lt;=AH!$P$17),AH!$P$7-1+MATCH($A1882,INDEX('AH History'!$A$1:$A$18046,AH!$P$7):INDEX('AH History'!$A$1:$A$18046,AH!$P$7+AH!$P$8-1),0),0),0)</ns0:f>
        <ns0:v/>
      </ns0:c>
      <ns0:c r="I1882">
        <ns0:f>IF($H1882=0,0,IFERROR(IF(AND(ABS($C1882-INDEX('AH History'!$B$1:$B$18046,$H1882))&lt;=MAX(0.005,ABS(INDEX('AH History'!$B$1:$B$18046,$H1882))*0.00005),ABS($D1882-INDEX('AH History'!$C$1:$C$18046,$H1882))&lt;=MAX(0.005,ABS(INDEX('AH History'!$C$1:$C$18046,$H1882))*0.00005),ABS($E1882-INDEX('AH History'!$D$1:$D$18046,$H1882))&lt;=0.00005,$F1882=INDEX('AH History'!$E$1:$E$18046,$H1882),$G1882=INDEX('AH History'!$F$1:$F$18046,$H1882)),1,-1),-1))</ns0:f>
        <ns0:v/>
      </ns0:c>
    </ns0:row>
    <ns0:row r="1883">
      <ns0:c r="A1883" s="215">
        <ns0:f>IF(OR(AH!$P$3=0,1878+1&gt;AH!$P$11,AND(AH!$E$4&lt;&gt;"Stored",AH!$P$10&lt;&gt;1)),"",IFERROR(IF(AND(AH!$P$21=1,1878+1=AH!$P$11),TODAY(),IF(AH!$P$10=1,INDEX('Live History'!$A$5:$A$3004,AH!$P$13+1878),INDEX('AH History'!$A$1:$A$18046,AH!$P$7+1878))),""))</ns0:f>
        <ns0:v/>
      </ns0:c>
      <ns0:c r="B1883" s="219">
        <ns0:f>IFERROR(IF(AND(AH!$P$9&lt;&gt;1,$C1883&gt;0,$D1883&gt;0,$E1883&gt;0,$F1883&gt;0,$G1883&gt;0,$F1883&lt;=$A1883,$G1883&lt;=$A1883,$A1883-$F1883&lt;=10,$A1883-$G1883&lt;=5),$D1883*$E1883/$C1883-1,NA()),NA())</ns0:f>
        <ns0:v/>
      </ns0:c>
      <ns0:c r="C1883">
        <ns0:f>IFERROR(IF(ISNUMBER($A1883),IF(AND(AH!$P$10=1,AH!$P$12=1,$A1883=TODAY()),AH!$P$19,IF(AH!$P$10=1,INDEX('Live History'!$B$5:$B$3004,AH!$P$13+1878),INDEX('AH History'!$B$1:$B$18046,AH!$P$7+1878))),NA()),NA())</ns0:f>
        <ns0:v/>
      </ns0:c>
      <ns0:c r="D1883">
        <ns0:f>IFERROR(IF(ISNUMBER($A1883),IF(AND(AH!$P$10=1,AH!$P$12=1,$A1883=TODAY()),AH!$P$18,IF(AH!$P$10=1,INDEX('Live History'!$E$5:$E$3004,MATCH($A1883,'Live History'!$D$5:$D$3004,1)),INDEX('AH History'!$C$1:$C$18046,AH!$P$7+1878))),NA()),NA())</ns0:f>
        <ns0:v/>
      </ns0:c>
      <ns0:c r="E1883">
        <ns0:f>IFERROR(IF(ISNUMBER($A1883),IF(AND(AH!$P$10=1,AH!$P$12=1,$A1883=TODAY()),AH!$P$20,IF(AH!$P$10=1,INDEX('Live History'!$H$5:$H$3004,MATCH($A1883,'Live History'!$G$5:$G$3004,1)),INDEX('AH History'!$D$1:$D$18046,AH!$P$7+1878))),NA()),NA())</ns0:f>
        <ns0:v/>
      </ns0:c>
      <ns0:c r="F1883">
        <ns0:f>IFERROR(IF(ISNUMBER($A1883),IF(AND(AH!$P$10=1,AH!$P$12=1,$A1883=TODAY()),IF(AND(AH!$P$10=1,AH!$P$12=1,$A1883=TODAY()),TODAY(),NA()),IF(AH!$P$10=1,INDEX('Live History'!$D$5:$D$3004,MATCH($A1883,'Live History'!$D$5:$D$3004,1)),INDEX('AH History'!$E$1:$E$18046,AH!$P$7+1878))),NA()),NA())</ns0:f>
        <ns0:v/>
      </ns0:c>
      <ns0:c r="G1883">
        <ns0:f>IFERROR(IF(ISNUMBER($A1883),IF(AND(AH!$P$10=1,AH!$P$12=1,$A1883=TODAY()),IF(AND(AH!$P$10=1,AH!$P$12=1,$A1883=TODAY()),TODAY(),NA()),IF(AH!$P$10=1,INDEX('Live History'!$G$5:$G$3004,MATCH($A1883,'Live History'!$G$5:$G$3004,1)),INDEX('AH History'!$F$1:$F$18046,AH!$P$7+1878))),NA()),NA())</ns0:f>
        <ns0:v/>
      </ns0:c>
      <ns0:c r="H1883">
        <ns0:f>IFERROR(IF(AND(AH!$E$4="Bloomberg",AH!$P$10=1,ISNUMBER($A1883),$A1883&lt;=AH!$P$17),AH!$P$7-1+MATCH($A1883,INDEX('AH History'!$A$1:$A$18046,AH!$P$7):INDEX('AH History'!$A$1:$A$18046,AH!$P$7+AH!$P$8-1),0),0),0)</ns0:f>
        <ns0:v/>
      </ns0:c>
      <ns0:c r="I1883">
        <ns0:f>IF($H1883=0,0,IFERROR(IF(AND(ABS($C1883-INDEX('AH History'!$B$1:$B$18046,$H1883))&lt;=MAX(0.005,ABS(INDEX('AH History'!$B$1:$B$18046,$H1883))*0.00005),ABS($D1883-INDEX('AH History'!$C$1:$C$18046,$H1883))&lt;=MAX(0.005,ABS(INDEX('AH History'!$C$1:$C$18046,$H1883))*0.00005),ABS($E1883-INDEX('AH History'!$D$1:$D$18046,$H1883))&lt;=0.00005,$F1883=INDEX('AH History'!$E$1:$E$18046,$H1883),$G1883=INDEX('AH History'!$F$1:$F$18046,$H1883)),1,-1),-1))</ns0:f>
        <ns0:v/>
      </ns0:c>
    </ns0:row>
    <ns0:row r="1884">
      <ns0:c r="A1884" s="215">
        <ns0:f>IF(OR(AH!$P$3=0,1879+1&gt;AH!$P$11,AND(AH!$E$4&lt;&gt;"Stored",AH!$P$10&lt;&gt;1)),"",IFERROR(IF(AND(AH!$P$21=1,1879+1=AH!$P$11),TODAY(),IF(AH!$P$10=1,INDEX('Live History'!$A$5:$A$3004,AH!$P$13+1879),INDEX('AH History'!$A$1:$A$18046,AH!$P$7+1879))),""))</ns0:f>
        <ns0:v/>
      </ns0:c>
      <ns0:c r="B1884" s="219">
        <ns0:f>IFERROR(IF(AND(AH!$P$9&lt;&gt;1,$C1884&gt;0,$D1884&gt;0,$E1884&gt;0,$F1884&gt;0,$G1884&gt;0,$F1884&lt;=$A1884,$G1884&lt;=$A1884,$A1884-$F1884&lt;=10,$A1884-$G1884&lt;=5),$D1884*$E1884/$C1884-1,NA()),NA())</ns0:f>
        <ns0:v/>
      </ns0:c>
      <ns0:c r="C1884">
        <ns0:f>IFERROR(IF(ISNUMBER($A1884),IF(AND(AH!$P$10=1,AH!$P$12=1,$A1884=TODAY()),AH!$P$19,IF(AH!$P$10=1,INDEX('Live History'!$B$5:$B$3004,AH!$P$13+1879),INDEX('AH History'!$B$1:$B$18046,AH!$P$7+1879))),NA()),NA())</ns0:f>
        <ns0:v/>
      </ns0:c>
      <ns0:c r="D1884">
        <ns0:f>IFERROR(IF(ISNUMBER($A1884),IF(AND(AH!$P$10=1,AH!$P$12=1,$A1884=TODAY()),AH!$P$18,IF(AH!$P$10=1,INDEX('Live History'!$E$5:$E$3004,MATCH($A1884,'Live History'!$D$5:$D$3004,1)),INDEX('AH History'!$C$1:$C$18046,AH!$P$7+1879))),NA()),NA())</ns0:f>
        <ns0:v/>
      </ns0:c>
      <ns0:c r="E1884">
        <ns0:f>IFERROR(IF(ISNUMBER($A1884),IF(AND(AH!$P$10=1,AH!$P$12=1,$A1884=TODAY()),AH!$P$20,IF(AH!$P$10=1,INDEX('Live History'!$H$5:$H$3004,MATCH($A1884,'Live History'!$G$5:$G$3004,1)),INDEX('AH History'!$D$1:$D$18046,AH!$P$7+1879))),NA()),NA())</ns0:f>
        <ns0:v/>
      </ns0:c>
      <ns0:c r="F1884">
        <ns0:f>IFERROR(IF(ISNUMBER($A1884),IF(AND(AH!$P$10=1,AH!$P$12=1,$A1884=TODAY()),IF(AND(AH!$P$10=1,AH!$P$12=1,$A1884=TODAY()),TODAY(),NA()),IF(AH!$P$10=1,INDEX('Live History'!$D$5:$D$3004,MATCH($A1884,'Live History'!$D$5:$D$3004,1)),INDEX('AH History'!$E$1:$E$18046,AH!$P$7+1879))),NA()),NA())</ns0:f>
        <ns0:v/>
      </ns0:c>
      <ns0:c r="G1884">
        <ns0:f>IFERROR(IF(ISNUMBER($A1884),IF(AND(AH!$P$10=1,AH!$P$12=1,$A1884=TODAY()),IF(AND(AH!$P$10=1,AH!$P$12=1,$A1884=TODAY()),TODAY(),NA()),IF(AH!$P$10=1,INDEX('Live History'!$G$5:$G$3004,MATCH($A1884,'Live History'!$G$5:$G$3004,1)),INDEX('AH History'!$F$1:$F$18046,AH!$P$7+1879))),NA()),NA())</ns0:f>
        <ns0:v/>
      </ns0:c>
      <ns0:c r="H1884">
        <ns0:f>IFERROR(IF(AND(AH!$E$4="Bloomberg",AH!$P$10=1,ISNUMBER($A1884),$A1884&lt;=AH!$P$17),AH!$P$7-1+MATCH($A1884,INDEX('AH History'!$A$1:$A$18046,AH!$P$7):INDEX('AH History'!$A$1:$A$18046,AH!$P$7+AH!$P$8-1),0),0),0)</ns0:f>
        <ns0:v/>
      </ns0:c>
      <ns0:c r="I1884">
        <ns0:f>IF($H1884=0,0,IFERROR(IF(AND(ABS($C1884-INDEX('AH History'!$B$1:$B$18046,$H1884))&lt;=MAX(0.005,ABS(INDEX('AH History'!$B$1:$B$18046,$H1884))*0.00005),ABS($D1884-INDEX('AH History'!$C$1:$C$18046,$H1884))&lt;=MAX(0.005,ABS(INDEX('AH History'!$C$1:$C$18046,$H1884))*0.00005),ABS($E1884-INDEX('AH History'!$D$1:$D$18046,$H1884))&lt;=0.00005,$F1884=INDEX('AH History'!$E$1:$E$18046,$H1884),$G1884=INDEX('AH History'!$F$1:$F$18046,$H1884)),1,-1),-1))</ns0:f>
        <ns0:v/>
      </ns0:c>
    </ns0:row>
    <ns0:row r="1885">
      <ns0:c r="A1885" s="215">
        <ns0:f>IF(OR(AH!$P$3=0,1880+1&gt;AH!$P$11,AND(AH!$E$4&lt;&gt;"Stored",AH!$P$10&lt;&gt;1)),"",IFERROR(IF(AND(AH!$P$21=1,1880+1=AH!$P$11),TODAY(),IF(AH!$P$10=1,INDEX('Live History'!$A$5:$A$3004,AH!$P$13+1880),INDEX('AH History'!$A$1:$A$18046,AH!$P$7+1880))),""))</ns0:f>
        <ns0:v/>
      </ns0:c>
      <ns0:c r="B1885" s="219">
        <ns0:f>IFERROR(IF(AND(AH!$P$9&lt;&gt;1,$C1885&gt;0,$D1885&gt;0,$E1885&gt;0,$F1885&gt;0,$G1885&gt;0,$F1885&lt;=$A1885,$G1885&lt;=$A1885,$A1885-$F1885&lt;=10,$A1885-$G1885&lt;=5),$D1885*$E1885/$C1885-1,NA()),NA())</ns0:f>
        <ns0:v/>
      </ns0:c>
      <ns0:c r="C1885">
        <ns0:f>IFERROR(IF(ISNUMBER($A1885),IF(AND(AH!$P$10=1,AH!$P$12=1,$A1885=TODAY()),AH!$P$19,IF(AH!$P$10=1,INDEX('Live History'!$B$5:$B$3004,AH!$P$13+1880),INDEX('AH History'!$B$1:$B$18046,AH!$P$7+1880))),NA()),NA())</ns0:f>
        <ns0:v/>
      </ns0:c>
      <ns0:c r="D1885">
        <ns0:f>IFERROR(IF(ISNUMBER($A1885),IF(AND(AH!$P$10=1,AH!$P$12=1,$A1885=TODAY()),AH!$P$18,IF(AH!$P$10=1,INDEX('Live History'!$E$5:$E$3004,MATCH($A1885,'Live History'!$D$5:$D$3004,1)),INDEX('AH History'!$C$1:$C$18046,AH!$P$7+1880))),NA()),NA())</ns0:f>
        <ns0:v/>
      </ns0:c>
      <ns0:c r="E1885">
        <ns0:f>IFERROR(IF(ISNUMBER($A1885),IF(AND(AH!$P$10=1,AH!$P$12=1,$A1885=TODAY()),AH!$P$20,IF(AH!$P$10=1,INDEX('Live History'!$H$5:$H$3004,MATCH($A1885,'Live History'!$G$5:$G$3004,1)),INDEX('AH History'!$D$1:$D$18046,AH!$P$7+1880))),NA()),NA())</ns0:f>
        <ns0:v/>
      </ns0:c>
      <ns0:c r="F1885">
        <ns0:f>IFERROR(IF(ISNUMBER($A1885),IF(AND(AH!$P$10=1,AH!$P$12=1,$A1885=TODAY()),IF(AND(AH!$P$10=1,AH!$P$12=1,$A1885=TODAY()),TODAY(),NA()),IF(AH!$P$10=1,INDEX('Live History'!$D$5:$D$3004,MATCH($A1885,'Live History'!$D$5:$D$3004,1)),INDEX('AH History'!$E$1:$E$18046,AH!$P$7+1880))),NA()),NA())</ns0:f>
        <ns0:v/>
      </ns0:c>
      <ns0:c r="G1885">
        <ns0:f>IFERROR(IF(ISNUMBER($A1885),IF(AND(AH!$P$10=1,AH!$P$12=1,$A1885=TODAY()),IF(AND(AH!$P$10=1,AH!$P$12=1,$A1885=TODAY()),TODAY(),NA()),IF(AH!$P$10=1,INDEX('Live History'!$G$5:$G$3004,MATCH($A1885,'Live History'!$G$5:$G$3004,1)),INDEX('AH History'!$F$1:$F$18046,AH!$P$7+1880))),NA()),NA())</ns0:f>
        <ns0:v/>
      </ns0:c>
      <ns0:c r="H1885">
        <ns0:f>IFERROR(IF(AND(AH!$E$4="Bloomberg",AH!$P$10=1,ISNUMBER($A1885),$A1885&lt;=AH!$P$17),AH!$P$7-1+MATCH($A1885,INDEX('AH History'!$A$1:$A$18046,AH!$P$7):INDEX('AH History'!$A$1:$A$18046,AH!$P$7+AH!$P$8-1),0),0),0)</ns0:f>
        <ns0:v/>
      </ns0:c>
      <ns0:c r="I1885">
        <ns0:f>IF($H1885=0,0,IFERROR(IF(AND(ABS($C1885-INDEX('AH History'!$B$1:$B$18046,$H1885))&lt;=MAX(0.005,ABS(INDEX('AH History'!$B$1:$B$18046,$H1885))*0.00005),ABS($D1885-INDEX('AH History'!$C$1:$C$18046,$H1885))&lt;=MAX(0.005,ABS(INDEX('AH History'!$C$1:$C$18046,$H1885))*0.00005),ABS($E1885-INDEX('AH History'!$D$1:$D$18046,$H1885))&lt;=0.00005,$F1885=INDEX('AH History'!$E$1:$E$18046,$H1885),$G1885=INDEX('AH History'!$F$1:$F$18046,$H1885)),1,-1),-1))</ns0:f>
        <ns0:v/>
      </ns0:c>
    </ns0:row>
    <ns0:row r="1886">
      <ns0:c r="A1886" s="215">
        <ns0:f>IF(OR(AH!$P$3=0,1881+1&gt;AH!$P$11,AND(AH!$E$4&lt;&gt;"Stored",AH!$P$10&lt;&gt;1)),"",IFERROR(IF(AND(AH!$P$21=1,1881+1=AH!$P$11),TODAY(),IF(AH!$P$10=1,INDEX('Live History'!$A$5:$A$3004,AH!$P$13+1881),INDEX('AH History'!$A$1:$A$18046,AH!$P$7+1881))),""))</ns0:f>
        <ns0:v/>
      </ns0:c>
      <ns0:c r="B1886" s="219">
        <ns0:f>IFERROR(IF(AND(AH!$P$9&lt;&gt;1,$C1886&gt;0,$D1886&gt;0,$E1886&gt;0,$F1886&gt;0,$G1886&gt;0,$F1886&lt;=$A1886,$G1886&lt;=$A1886,$A1886-$F1886&lt;=10,$A1886-$G1886&lt;=5),$D1886*$E1886/$C1886-1,NA()),NA())</ns0:f>
        <ns0:v/>
      </ns0:c>
      <ns0:c r="C1886">
        <ns0:f>IFERROR(IF(ISNUMBER($A1886),IF(AND(AH!$P$10=1,AH!$P$12=1,$A1886=TODAY()),AH!$P$19,IF(AH!$P$10=1,INDEX('Live History'!$B$5:$B$3004,AH!$P$13+1881),INDEX('AH History'!$B$1:$B$18046,AH!$P$7+1881))),NA()),NA())</ns0:f>
        <ns0:v/>
      </ns0:c>
      <ns0:c r="D1886">
        <ns0:f>IFERROR(IF(ISNUMBER($A1886),IF(AND(AH!$P$10=1,AH!$P$12=1,$A1886=TODAY()),AH!$P$18,IF(AH!$P$10=1,INDEX('Live History'!$E$5:$E$3004,MATCH($A1886,'Live History'!$D$5:$D$3004,1)),INDEX('AH History'!$C$1:$C$18046,AH!$P$7+1881))),NA()),NA())</ns0:f>
        <ns0:v/>
      </ns0:c>
      <ns0:c r="E1886">
        <ns0:f>IFERROR(IF(ISNUMBER($A1886),IF(AND(AH!$P$10=1,AH!$P$12=1,$A1886=TODAY()),AH!$P$20,IF(AH!$P$10=1,INDEX('Live History'!$H$5:$H$3004,MATCH($A1886,'Live History'!$G$5:$G$3004,1)),INDEX('AH History'!$D$1:$D$18046,AH!$P$7+1881))),NA()),NA())</ns0:f>
        <ns0:v/>
      </ns0:c>
      <ns0:c r="F1886">
        <ns0:f>IFERROR(IF(ISNUMBER($A1886),IF(AND(AH!$P$10=1,AH!$P$12=1,$A1886=TODAY()),IF(AND(AH!$P$10=1,AH!$P$12=1,$A1886=TODAY()),TODAY(),NA()),IF(AH!$P$10=1,INDEX('Live History'!$D$5:$D$3004,MATCH($A1886,'Live History'!$D$5:$D$3004,1)),INDEX('AH History'!$E$1:$E$18046,AH!$P$7+1881))),NA()),NA())</ns0:f>
        <ns0:v/>
      </ns0:c>
      <ns0:c r="G1886">
        <ns0:f>IFERROR(IF(ISNUMBER($A1886),IF(AND(AH!$P$10=1,AH!$P$12=1,$A1886=TODAY()),IF(AND(AH!$P$10=1,AH!$P$12=1,$A1886=TODAY()),TODAY(),NA()),IF(AH!$P$10=1,INDEX('Live History'!$G$5:$G$3004,MATCH($A1886,'Live History'!$G$5:$G$3004,1)),INDEX('AH History'!$F$1:$F$18046,AH!$P$7+1881))),NA()),NA())</ns0:f>
        <ns0:v/>
      </ns0:c>
      <ns0:c r="H1886">
        <ns0:f>IFERROR(IF(AND(AH!$E$4="Bloomberg",AH!$P$10=1,ISNUMBER($A1886),$A1886&lt;=AH!$P$17),AH!$P$7-1+MATCH($A1886,INDEX('AH History'!$A$1:$A$18046,AH!$P$7):INDEX('AH History'!$A$1:$A$18046,AH!$P$7+AH!$P$8-1),0),0),0)</ns0:f>
        <ns0:v/>
      </ns0:c>
      <ns0:c r="I1886">
        <ns0:f>IF($H1886=0,0,IFERROR(IF(AND(ABS($C1886-INDEX('AH History'!$B$1:$B$18046,$H1886))&lt;=MAX(0.005,ABS(INDEX('AH History'!$B$1:$B$18046,$H1886))*0.00005),ABS($D1886-INDEX('AH History'!$C$1:$C$18046,$H1886))&lt;=MAX(0.005,ABS(INDEX('AH History'!$C$1:$C$18046,$H1886))*0.00005),ABS($E1886-INDEX('AH History'!$D$1:$D$18046,$H1886))&lt;=0.00005,$F1886=INDEX('AH History'!$E$1:$E$18046,$H1886),$G1886=INDEX('AH History'!$F$1:$F$18046,$H1886)),1,-1),-1))</ns0:f>
        <ns0:v/>
      </ns0:c>
    </ns0:row>
    <ns0:row r="1887">
      <ns0:c r="A1887" s="215">
        <ns0:f>IF(OR(AH!$P$3=0,1882+1&gt;AH!$P$11,AND(AH!$E$4&lt;&gt;"Stored",AH!$P$10&lt;&gt;1)),"",IFERROR(IF(AND(AH!$P$21=1,1882+1=AH!$P$11),TODAY(),IF(AH!$P$10=1,INDEX('Live History'!$A$5:$A$3004,AH!$P$13+1882),INDEX('AH History'!$A$1:$A$18046,AH!$P$7+1882))),""))</ns0:f>
        <ns0:v/>
      </ns0:c>
      <ns0:c r="B1887" s="219">
        <ns0:f>IFERROR(IF(AND(AH!$P$9&lt;&gt;1,$C1887&gt;0,$D1887&gt;0,$E1887&gt;0,$F1887&gt;0,$G1887&gt;0,$F1887&lt;=$A1887,$G1887&lt;=$A1887,$A1887-$F1887&lt;=10,$A1887-$G1887&lt;=5),$D1887*$E1887/$C1887-1,NA()),NA())</ns0:f>
        <ns0:v/>
      </ns0:c>
      <ns0:c r="C1887">
        <ns0:f>IFERROR(IF(ISNUMBER($A1887),IF(AND(AH!$P$10=1,AH!$P$12=1,$A1887=TODAY()),AH!$P$19,IF(AH!$P$10=1,INDEX('Live History'!$B$5:$B$3004,AH!$P$13+1882),INDEX('AH History'!$B$1:$B$18046,AH!$P$7+1882))),NA()),NA())</ns0:f>
        <ns0:v/>
      </ns0:c>
      <ns0:c r="D1887">
        <ns0:f>IFERROR(IF(ISNUMBER($A1887),IF(AND(AH!$P$10=1,AH!$P$12=1,$A1887=TODAY()),AH!$P$18,IF(AH!$P$10=1,INDEX('Live History'!$E$5:$E$3004,MATCH($A1887,'Live History'!$D$5:$D$3004,1)),INDEX('AH History'!$C$1:$C$18046,AH!$P$7+1882))),NA()),NA())</ns0:f>
        <ns0:v/>
      </ns0:c>
      <ns0:c r="E1887">
        <ns0:f>IFERROR(IF(ISNUMBER($A1887),IF(AND(AH!$P$10=1,AH!$P$12=1,$A1887=TODAY()),AH!$P$20,IF(AH!$P$10=1,INDEX('Live History'!$H$5:$H$3004,MATCH($A1887,'Live History'!$G$5:$G$3004,1)),INDEX('AH History'!$D$1:$D$18046,AH!$P$7+1882))),NA()),NA())</ns0:f>
        <ns0:v/>
      </ns0:c>
      <ns0:c r="F1887">
        <ns0:f>IFERROR(IF(ISNUMBER($A1887),IF(AND(AH!$P$10=1,AH!$P$12=1,$A1887=TODAY()),IF(AND(AH!$P$10=1,AH!$P$12=1,$A1887=TODAY()),TODAY(),NA()),IF(AH!$P$10=1,INDEX('Live History'!$D$5:$D$3004,MATCH($A1887,'Live History'!$D$5:$D$3004,1)),INDEX('AH History'!$E$1:$E$18046,AH!$P$7+1882))),NA()),NA())</ns0:f>
        <ns0:v/>
      </ns0:c>
      <ns0:c r="G1887">
        <ns0:f>IFERROR(IF(ISNUMBER($A1887),IF(AND(AH!$P$10=1,AH!$P$12=1,$A1887=TODAY()),IF(AND(AH!$P$10=1,AH!$P$12=1,$A1887=TODAY()),TODAY(),NA()),IF(AH!$P$10=1,INDEX('Live History'!$G$5:$G$3004,MATCH($A1887,'Live History'!$G$5:$G$3004,1)),INDEX('AH History'!$F$1:$F$18046,AH!$P$7+1882))),NA()),NA())</ns0:f>
        <ns0:v/>
      </ns0:c>
      <ns0:c r="H1887">
        <ns0:f>IFERROR(IF(AND(AH!$E$4="Bloomberg",AH!$P$10=1,ISNUMBER($A1887),$A1887&lt;=AH!$P$17),AH!$P$7-1+MATCH($A1887,INDEX('AH History'!$A$1:$A$18046,AH!$P$7):INDEX('AH History'!$A$1:$A$18046,AH!$P$7+AH!$P$8-1),0),0),0)</ns0:f>
        <ns0:v/>
      </ns0:c>
      <ns0:c r="I1887">
        <ns0:f>IF($H1887=0,0,IFERROR(IF(AND(ABS($C1887-INDEX('AH History'!$B$1:$B$18046,$H1887))&lt;=MAX(0.005,ABS(INDEX('AH History'!$B$1:$B$18046,$H1887))*0.00005),ABS($D1887-INDEX('AH History'!$C$1:$C$18046,$H1887))&lt;=MAX(0.005,ABS(INDEX('AH History'!$C$1:$C$18046,$H1887))*0.00005),ABS($E1887-INDEX('AH History'!$D$1:$D$18046,$H1887))&lt;=0.00005,$F1887=INDEX('AH History'!$E$1:$E$18046,$H1887),$G1887=INDEX('AH History'!$F$1:$F$18046,$H1887)),1,-1),-1))</ns0:f>
        <ns0:v/>
      </ns0:c>
    </ns0:row>
    <ns0:row r="1888">
      <ns0:c r="A1888" s="215">
        <ns0:f>IF(OR(AH!$P$3=0,1883+1&gt;AH!$P$11,AND(AH!$E$4&lt;&gt;"Stored",AH!$P$10&lt;&gt;1)),"",IFERROR(IF(AND(AH!$P$21=1,1883+1=AH!$P$11),TODAY(),IF(AH!$P$10=1,INDEX('Live History'!$A$5:$A$3004,AH!$P$13+1883),INDEX('AH History'!$A$1:$A$18046,AH!$P$7+1883))),""))</ns0:f>
        <ns0:v/>
      </ns0:c>
      <ns0:c r="B1888" s="219">
        <ns0:f>IFERROR(IF(AND(AH!$P$9&lt;&gt;1,$C1888&gt;0,$D1888&gt;0,$E1888&gt;0,$F1888&gt;0,$G1888&gt;0,$F1888&lt;=$A1888,$G1888&lt;=$A1888,$A1888-$F1888&lt;=10,$A1888-$G1888&lt;=5),$D1888*$E1888/$C1888-1,NA()),NA())</ns0:f>
        <ns0:v/>
      </ns0:c>
      <ns0:c r="C1888">
        <ns0:f>IFERROR(IF(ISNUMBER($A1888),IF(AND(AH!$P$10=1,AH!$P$12=1,$A1888=TODAY()),AH!$P$19,IF(AH!$P$10=1,INDEX('Live History'!$B$5:$B$3004,AH!$P$13+1883),INDEX('AH History'!$B$1:$B$18046,AH!$P$7+1883))),NA()),NA())</ns0:f>
        <ns0:v/>
      </ns0:c>
      <ns0:c r="D1888">
        <ns0:f>IFERROR(IF(ISNUMBER($A1888),IF(AND(AH!$P$10=1,AH!$P$12=1,$A1888=TODAY()),AH!$P$18,IF(AH!$P$10=1,INDEX('Live History'!$E$5:$E$3004,MATCH($A1888,'Live History'!$D$5:$D$3004,1)),INDEX('AH History'!$C$1:$C$18046,AH!$P$7+1883))),NA()),NA())</ns0:f>
        <ns0:v/>
      </ns0:c>
      <ns0:c r="E1888">
        <ns0:f>IFERROR(IF(ISNUMBER($A1888),IF(AND(AH!$P$10=1,AH!$P$12=1,$A1888=TODAY()),AH!$P$20,IF(AH!$P$10=1,INDEX('Live History'!$H$5:$H$3004,MATCH($A1888,'Live History'!$G$5:$G$3004,1)),INDEX('AH History'!$D$1:$D$18046,AH!$P$7+1883))),NA()),NA())</ns0:f>
        <ns0:v/>
      </ns0:c>
      <ns0:c r="F1888">
        <ns0:f>IFERROR(IF(ISNUMBER($A1888),IF(AND(AH!$P$10=1,AH!$P$12=1,$A1888=TODAY()),IF(AND(AH!$P$10=1,AH!$P$12=1,$A1888=TODAY()),TODAY(),NA()),IF(AH!$P$10=1,INDEX('Live History'!$D$5:$D$3004,MATCH($A1888,'Live History'!$D$5:$D$3004,1)),INDEX('AH History'!$E$1:$E$18046,AH!$P$7+1883))),NA()),NA())</ns0:f>
        <ns0:v/>
      </ns0:c>
      <ns0:c r="G1888">
        <ns0:f>IFERROR(IF(ISNUMBER($A1888),IF(AND(AH!$P$10=1,AH!$P$12=1,$A1888=TODAY()),IF(AND(AH!$P$10=1,AH!$P$12=1,$A1888=TODAY()),TODAY(),NA()),IF(AH!$P$10=1,INDEX('Live History'!$G$5:$G$3004,MATCH($A1888,'Live History'!$G$5:$G$3004,1)),INDEX('AH History'!$F$1:$F$18046,AH!$P$7+1883))),NA()),NA())</ns0:f>
        <ns0:v/>
      </ns0:c>
      <ns0:c r="H1888">
        <ns0:f>IFERROR(IF(AND(AH!$E$4="Bloomberg",AH!$P$10=1,ISNUMBER($A1888),$A1888&lt;=AH!$P$17),AH!$P$7-1+MATCH($A1888,INDEX('AH History'!$A$1:$A$18046,AH!$P$7):INDEX('AH History'!$A$1:$A$18046,AH!$P$7+AH!$P$8-1),0),0),0)</ns0:f>
        <ns0:v/>
      </ns0:c>
      <ns0:c r="I1888">
        <ns0:f>IF($H1888=0,0,IFERROR(IF(AND(ABS($C1888-INDEX('AH History'!$B$1:$B$18046,$H1888))&lt;=MAX(0.005,ABS(INDEX('AH History'!$B$1:$B$18046,$H1888))*0.00005),ABS($D1888-INDEX('AH History'!$C$1:$C$18046,$H1888))&lt;=MAX(0.005,ABS(INDEX('AH History'!$C$1:$C$18046,$H1888))*0.00005),ABS($E1888-INDEX('AH History'!$D$1:$D$18046,$H1888))&lt;=0.00005,$F1888=INDEX('AH History'!$E$1:$E$18046,$H1888),$G1888=INDEX('AH History'!$F$1:$F$18046,$H1888)),1,-1),-1))</ns0:f>
        <ns0:v/>
      </ns0:c>
    </ns0:row>
    <ns0:row r="1889">
      <ns0:c r="A1889" s="215">
        <ns0:f>IF(OR(AH!$P$3=0,1884+1&gt;AH!$P$11,AND(AH!$E$4&lt;&gt;"Stored",AH!$P$10&lt;&gt;1)),"",IFERROR(IF(AND(AH!$P$21=1,1884+1=AH!$P$11),TODAY(),IF(AH!$P$10=1,INDEX('Live History'!$A$5:$A$3004,AH!$P$13+1884),INDEX('AH History'!$A$1:$A$18046,AH!$P$7+1884))),""))</ns0:f>
        <ns0:v/>
      </ns0:c>
      <ns0:c r="B1889" s="219">
        <ns0:f>IFERROR(IF(AND(AH!$P$9&lt;&gt;1,$C1889&gt;0,$D1889&gt;0,$E1889&gt;0,$F1889&gt;0,$G1889&gt;0,$F1889&lt;=$A1889,$G1889&lt;=$A1889,$A1889-$F1889&lt;=10,$A1889-$G1889&lt;=5),$D1889*$E1889/$C1889-1,NA()),NA())</ns0:f>
        <ns0:v/>
      </ns0:c>
      <ns0:c r="C1889">
        <ns0:f>IFERROR(IF(ISNUMBER($A1889),IF(AND(AH!$P$10=1,AH!$P$12=1,$A1889=TODAY()),AH!$P$19,IF(AH!$P$10=1,INDEX('Live History'!$B$5:$B$3004,AH!$P$13+1884),INDEX('AH History'!$B$1:$B$18046,AH!$P$7+1884))),NA()),NA())</ns0:f>
        <ns0:v/>
      </ns0:c>
      <ns0:c r="D1889">
        <ns0:f>IFERROR(IF(ISNUMBER($A1889),IF(AND(AH!$P$10=1,AH!$P$12=1,$A1889=TODAY()),AH!$P$18,IF(AH!$P$10=1,INDEX('Live History'!$E$5:$E$3004,MATCH($A1889,'Live History'!$D$5:$D$3004,1)),INDEX('AH History'!$C$1:$C$18046,AH!$P$7+1884))),NA()),NA())</ns0:f>
        <ns0:v/>
      </ns0:c>
      <ns0:c r="E1889">
        <ns0:f>IFERROR(IF(ISNUMBER($A1889),IF(AND(AH!$P$10=1,AH!$P$12=1,$A1889=TODAY()),AH!$P$20,IF(AH!$P$10=1,INDEX('Live History'!$H$5:$H$3004,MATCH($A1889,'Live History'!$G$5:$G$3004,1)),INDEX('AH History'!$D$1:$D$18046,AH!$P$7+1884))),NA()),NA())</ns0:f>
        <ns0:v/>
      </ns0:c>
      <ns0:c r="F1889">
        <ns0:f>IFERROR(IF(ISNUMBER($A1889),IF(AND(AH!$P$10=1,AH!$P$12=1,$A1889=TODAY()),IF(AND(AH!$P$10=1,AH!$P$12=1,$A1889=TODAY()),TODAY(),NA()),IF(AH!$P$10=1,INDEX('Live History'!$D$5:$D$3004,MATCH($A1889,'Live History'!$D$5:$D$3004,1)),INDEX('AH History'!$E$1:$E$18046,AH!$P$7+1884))),NA()),NA())</ns0:f>
        <ns0:v/>
      </ns0:c>
      <ns0:c r="G1889">
        <ns0:f>IFERROR(IF(ISNUMBER($A1889),IF(AND(AH!$P$10=1,AH!$P$12=1,$A1889=TODAY()),IF(AND(AH!$P$10=1,AH!$P$12=1,$A1889=TODAY()),TODAY(),NA()),IF(AH!$P$10=1,INDEX('Live History'!$G$5:$G$3004,MATCH($A1889,'Live History'!$G$5:$G$3004,1)),INDEX('AH History'!$F$1:$F$18046,AH!$P$7+1884))),NA()),NA())</ns0:f>
        <ns0:v/>
      </ns0:c>
      <ns0:c r="H1889">
        <ns0:f>IFERROR(IF(AND(AH!$E$4="Bloomberg",AH!$P$10=1,ISNUMBER($A1889),$A1889&lt;=AH!$P$17),AH!$P$7-1+MATCH($A1889,INDEX('AH History'!$A$1:$A$18046,AH!$P$7):INDEX('AH History'!$A$1:$A$18046,AH!$P$7+AH!$P$8-1),0),0),0)</ns0:f>
        <ns0:v/>
      </ns0:c>
      <ns0:c r="I1889">
        <ns0:f>IF($H1889=0,0,IFERROR(IF(AND(ABS($C1889-INDEX('AH History'!$B$1:$B$18046,$H1889))&lt;=MAX(0.005,ABS(INDEX('AH History'!$B$1:$B$18046,$H1889))*0.00005),ABS($D1889-INDEX('AH History'!$C$1:$C$18046,$H1889))&lt;=MAX(0.005,ABS(INDEX('AH History'!$C$1:$C$18046,$H1889))*0.00005),ABS($E1889-INDEX('AH History'!$D$1:$D$18046,$H1889))&lt;=0.00005,$F1889=INDEX('AH History'!$E$1:$E$18046,$H1889),$G1889=INDEX('AH History'!$F$1:$F$18046,$H1889)),1,-1),-1))</ns0:f>
        <ns0:v/>
      </ns0:c>
    </ns0:row>
    <ns0:row r="1890">
      <ns0:c r="A1890" s="215">
        <ns0:f>IF(OR(AH!$P$3=0,1885+1&gt;AH!$P$11,AND(AH!$E$4&lt;&gt;"Stored",AH!$P$10&lt;&gt;1)),"",IFERROR(IF(AND(AH!$P$21=1,1885+1=AH!$P$11),TODAY(),IF(AH!$P$10=1,INDEX('Live History'!$A$5:$A$3004,AH!$P$13+1885),INDEX('AH History'!$A$1:$A$18046,AH!$P$7+1885))),""))</ns0:f>
        <ns0:v/>
      </ns0:c>
      <ns0:c r="B1890" s="219">
        <ns0:f>IFERROR(IF(AND(AH!$P$9&lt;&gt;1,$C1890&gt;0,$D1890&gt;0,$E1890&gt;0,$F1890&gt;0,$G1890&gt;0,$F1890&lt;=$A1890,$G1890&lt;=$A1890,$A1890-$F1890&lt;=10,$A1890-$G1890&lt;=5),$D1890*$E1890/$C1890-1,NA()),NA())</ns0:f>
        <ns0:v/>
      </ns0:c>
      <ns0:c r="C1890">
        <ns0:f>IFERROR(IF(ISNUMBER($A1890),IF(AND(AH!$P$10=1,AH!$P$12=1,$A1890=TODAY()),AH!$P$19,IF(AH!$P$10=1,INDEX('Live History'!$B$5:$B$3004,AH!$P$13+1885),INDEX('AH History'!$B$1:$B$18046,AH!$P$7+1885))),NA()),NA())</ns0:f>
        <ns0:v/>
      </ns0:c>
      <ns0:c r="D1890">
        <ns0:f>IFERROR(IF(ISNUMBER($A1890),IF(AND(AH!$P$10=1,AH!$P$12=1,$A1890=TODAY()),AH!$P$18,IF(AH!$P$10=1,INDEX('Live History'!$E$5:$E$3004,MATCH($A1890,'Live History'!$D$5:$D$3004,1)),INDEX('AH History'!$C$1:$C$18046,AH!$P$7+1885))),NA()),NA())</ns0:f>
        <ns0:v/>
      </ns0:c>
      <ns0:c r="E1890">
        <ns0:f>IFERROR(IF(ISNUMBER($A1890),IF(AND(AH!$P$10=1,AH!$P$12=1,$A1890=TODAY()),AH!$P$20,IF(AH!$P$10=1,INDEX('Live History'!$H$5:$H$3004,MATCH($A1890,'Live History'!$G$5:$G$3004,1)),INDEX('AH History'!$D$1:$D$18046,AH!$P$7+1885))),NA()),NA())</ns0:f>
        <ns0:v/>
      </ns0:c>
      <ns0:c r="F1890">
        <ns0:f>IFERROR(IF(ISNUMBER($A1890),IF(AND(AH!$P$10=1,AH!$P$12=1,$A1890=TODAY()),IF(AND(AH!$P$10=1,AH!$P$12=1,$A1890=TODAY()),TODAY(),NA()),IF(AH!$P$10=1,INDEX('Live History'!$D$5:$D$3004,MATCH($A1890,'Live History'!$D$5:$D$3004,1)),INDEX('AH History'!$E$1:$E$18046,AH!$P$7+1885))),NA()),NA())</ns0:f>
        <ns0:v/>
      </ns0:c>
      <ns0:c r="G1890">
        <ns0:f>IFERROR(IF(ISNUMBER($A1890),IF(AND(AH!$P$10=1,AH!$P$12=1,$A1890=TODAY()),IF(AND(AH!$P$10=1,AH!$P$12=1,$A1890=TODAY()),TODAY(),NA()),IF(AH!$P$10=1,INDEX('Live History'!$G$5:$G$3004,MATCH($A1890,'Live History'!$G$5:$G$3004,1)),INDEX('AH History'!$F$1:$F$18046,AH!$P$7+1885))),NA()),NA())</ns0:f>
        <ns0:v/>
      </ns0:c>
      <ns0:c r="H1890">
        <ns0:f>IFERROR(IF(AND(AH!$E$4="Bloomberg",AH!$P$10=1,ISNUMBER($A1890),$A1890&lt;=AH!$P$17),AH!$P$7-1+MATCH($A1890,INDEX('AH History'!$A$1:$A$18046,AH!$P$7):INDEX('AH History'!$A$1:$A$18046,AH!$P$7+AH!$P$8-1),0),0),0)</ns0:f>
        <ns0:v/>
      </ns0:c>
      <ns0:c r="I1890">
        <ns0:f>IF($H1890=0,0,IFERROR(IF(AND(ABS($C1890-INDEX('AH History'!$B$1:$B$18046,$H1890))&lt;=MAX(0.005,ABS(INDEX('AH History'!$B$1:$B$18046,$H1890))*0.00005),ABS($D1890-INDEX('AH History'!$C$1:$C$18046,$H1890))&lt;=MAX(0.005,ABS(INDEX('AH History'!$C$1:$C$18046,$H1890))*0.00005),ABS($E1890-INDEX('AH History'!$D$1:$D$18046,$H1890))&lt;=0.00005,$F1890=INDEX('AH History'!$E$1:$E$18046,$H1890),$G1890=INDEX('AH History'!$F$1:$F$18046,$H1890)),1,-1),-1))</ns0:f>
        <ns0:v/>
      </ns0:c>
    </ns0:row>
    <ns0:row r="1891">
      <ns0:c r="A1891" s="215">
        <ns0:f>IF(OR(AH!$P$3=0,1886+1&gt;AH!$P$11,AND(AH!$E$4&lt;&gt;"Stored",AH!$P$10&lt;&gt;1)),"",IFERROR(IF(AND(AH!$P$21=1,1886+1=AH!$P$11),TODAY(),IF(AH!$P$10=1,INDEX('Live History'!$A$5:$A$3004,AH!$P$13+1886),INDEX('AH History'!$A$1:$A$18046,AH!$P$7+1886))),""))</ns0:f>
        <ns0:v/>
      </ns0:c>
      <ns0:c r="B1891" s="219">
        <ns0:f>IFERROR(IF(AND(AH!$P$9&lt;&gt;1,$C1891&gt;0,$D1891&gt;0,$E1891&gt;0,$F1891&gt;0,$G1891&gt;0,$F1891&lt;=$A1891,$G1891&lt;=$A1891,$A1891-$F1891&lt;=10,$A1891-$G1891&lt;=5),$D1891*$E1891/$C1891-1,NA()),NA())</ns0:f>
        <ns0:v/>
      </ns0:c>
      <ns0:c r="C1891">
        <ns0:f>IFERROR(IF(ISNUMBER($A1891),IF(AND(AH!$P$10=1,AH!$P$12=1,$A1891=TODAY()),AH!$P$19,IF(AH!$P$10=1,INDEX('Live History'!$B$5:$B$3004,AH!$P$13+1886),INDEX('AH History'!$B$1:$B$18046,AH!$P$7+1886))),NA()),NA())</ns0:f>
        <ns0:v/>
      </ns0:c>
      <ns0:c r="D1891">
        <ns0:f>IFERROR(IF(ISNUMBER($A1891),IF(AND(AH!$P$10=1,AH!$P$12=1,$A1891=TODAY()),AH!$P$18,IF(AH!$P$10=1,INDEX('Live History'!$E$5:$E$3004,MATCH($A1891,'Live History'!$D$5:$D$3004,1)),INDEX('AH History'!$C$1:$C$18046,AH!$P$7+1886))),NA()),NA())</ns0:f>
        <ns0:v/>
      </ns0:c>
      <ns0:c r="E1891">
        <ns0:f>IFERROR(IF(ISNUMBER($A1891),IF(AND(AH!$P$10=1,AH!$P$12=1,$A1891=TODAY()),AH!$P$20,IF(AH!$P$10=1,INDEX('Live History'!$H$5:$H$3004,MATCH($A1891,'Live History'!$G$5:$G$3004,1)),INDEX('AH History'!$D$1:$D$18046,AH!$P$7+1886))),NA()),NA())</ns0:f>
        <ns0:v/>
      </ns0:c>
      <ns0:c r="F1891">
        <ns0:f>IFERROR(IF(ISNUMBER($A1891),IF(AND(AH!$P$10=1,AH!$P$12=1,$A1891=TODAY()),IF(AND(AH!$P$10=1,AH!$P$12=1,$A1891=TODAY()),TODAY(),NA()),IF(AH!$P$10=1,INDEX('Live History'!$D$5:$D$3004,MATCH($A1891,'Live History'!$D$5:$D$3004,1)),INDEX('AH History'!$E$1:$E$18046,AH!$P$7+1886))),NA()),NA())</ns0:f>
        <ns0:v/>
      </ns0:c>
      <ns0:c r="G1891">
        <ns0:f>IFERROR(IF(ISNUMBER($A1891),IF(AND(AH!$P$10=1,AH!$P$12=1,$A1891=TODAY()),IF(AND(AH!$P$10=1,AH!$P$12=1,$A1891=TODAY()),TODAY(),NA()),IF(AH!$P$10=1,INDEX('Live History'!$G$5:$G$3004,MATCH($A1891,'Live History'!$G$5:$G$3004,1)),INDEX('AH History'!$F$1:$F$18046,AH!$P$7+1886))),NA()),NA())</ns0:f>
        <ns0:v/>
      </ns0:c>
      <ns0:c r="H1891">
        <ns0:f>IFERROR(IF(AND(AH!$E$4="Bloomberg",AH!$P$10=1,ISNUMBER($A1891),$A1891&lt;=AH!$P$17),AH!$P$7-1+MATCH($A1891,INDEX('AH History'!$A$1:$A$18046,AH!$P$7):INDEX('AH History'!$A$1:$A$18046,AH!$P$7+AH!$P$8-1),0),0),0)</ns0:f>
        <ns0:v/>
      </ns0:c>
      <ns0:c r="I1891">
        <ns0:f>IF($H1891=0,0,IFERROR(IF(AND(ABS($C1891-INDEX('AH History'!$B$1:$B$18046,$H1891))&lt;=MAX(0.005,ABS(INDEX('AH History'!$B$1:$B$18046,$H1891))*0.00005),ABS($D1891-INDEX('AH History'!$C$1:$C$18046,$H1891))&lt;=MAX(0.005,ABS(INDEX('AH History'!$C$1:$C$18046,$H1891))*0.00005),ABS($E1891-INDEX('AH History'!$D$1:$D$18046,$H1891))&lt;=0.00005,$F1891=INDEX('AH History'!$E$1:$E$18046,$H1891),$G1891=INDEX('AH History'!$F$1:$F$18046,$H1891)),1,-1),-1))</ns0:f>
        <ns0:v/>
      </ns0:c>
    </ns0:row>
    <ns0:row r="1892">
      <ns0:c r="A1892" s="215">
        <ns0:f>IF(OR(AH!$P$3=0,1887+1&gt;AH!$P$11,AND(AH!$E$4&lt;&gt;"Stored",AH!$P$10&lt;&gt;1)),"",IFERROR(IF(AND(AH!$P$21=1,1887+1=AH!$P$11),TODAY(),IF(AH!$P$10=1,INDEX('Live History'!$A$5:$A$3004,AH!$P$13+1887),INDEX('AH History'!$A$1:$A$18046,AH!$P$7+1887))),""))</ns0:f>
        <ns0:v/>
      </ns0:c>
      <ns0:c r="B1892" s="219">
        <ns0:f>IFERROR(IF(AND(AH!$P$9&lt;&gt;1,$C1892&gt;0,$D1892&gt;0,$E1892&gt;0,$F1892&gt;0,$G1892&gt;0,$F1892&lt;=$A1892,$G1892&lt;=$A1892,$A1892-$F1892&lt;=10,$A1892-$G1892&lt;=5),$D1892*$E1892/$C1892-1,NA()),NA())</ns0:f>
        <ns0:v/>
      </ns0:c>
      <ns0:c r="C1892">
        <ns0:f>IFERROR(IF(ISNUMBER($A1892),IF(AND(AH!$P$10=1,AH!$P$12=1,$A1892=TODAY()),AH!$P$19,IF(AH!$P$10=1,INDEX('Live History'!$B$5:$B$3004,AH!$P$13+1887),INDEX('AH History'!$B$1:$B$18046,AH!$P$7+1887))),NA()),NA())</ns0:f>
        <ns0:v/>
      </ns0:c>
      <ns0:c r="D1892">
        <ns0:f>IFERROR(IF(ISNUMBER($A1892),IF(AND(AH!$P$10=1,AH!$P$12=1,$A1892=TODAY()),AH!$P$18,IF(AH!$P$10=1,INDEX('Live History'!$E$5:$E$3004,MATCH($A1892,'Live History'!$D$5:$D$3004,1)),INDEX('AH History'!$C$1:$C$18046,AH!$P$7+1887))),NA()),NA())</ns0:f>
        <ns0:v/>
      </ns0:c>
      <ns0:c r="E1892">
        <ns0:f>IFERROR(IF(ISNUMBER($A1892),IF(AND(AH!$P$10=1,AH!$P$12=1,$A1892=TODAY()),AH!$P$20,IF(AH!$P$10=1,INDEX('Live History'!$H$5:$H$3004,MATCH($A1892,'Live History'!$G$5:$G$3004,1)),INDEX('AH History'!$D$1:$D$18046,AH!$P$7+1887))),NA()),NA())</ns0:f>
        <ns0:v/>
      </ns0:c>
      <ns0:c r="F1892">
        <ns0:f>IFERROR(IF(ISNUMBER($A1892),IF(AND(AH!$P$10=1,AH!$P$12=1,$A1892=TODAY()),IF(AND(AH!$P$10=1,AH!$P$12=1,$A1892=TODAY()),TODAY(),NA()),IF(AH!$P$10=1,INDEX('Live History'!$D$5:$D$3004,MATCH($A1892,'Live History'!$D$5:$D$3004,1)),INDEX('AH History'!$E$1:$E$18046,AH!$P$7+1887))),NA()),NA())</ns0:f>
        <ns0:v/>
      </ns0:c>
      <ns0:c r="G1892">
        <ns0:f>IFERROR(IF(ISNUMBER($A1892),IF(AND(AH!$P$10=1,AH!$P$12=1,$A1892=TODAY()),IF(AND(AH!$P$10=1,AH!$P$12=1,$A1892=TODAY()),TODAY(),NA()),IF(AH!$P$10=1,INDEX('Live History'!$G$5:$G$3004,MATCH($A1892,'Live History'!$G$5:$G$3004,1)),INDEX('AH History'!$F$1:$F$18046,AH!$P$7+1887))),NA()),NA())</ns0:f>
        <ns0:v/>
      </ns0:c>
      <ns0:c r="H1892">
        <ns0:f>IFERROR(IF(AND(AH!$E$4="Bloomberg",AH!$P$10=1,ISNUMBER($A1892),$A1892&lt;=AH!$P$17),AH!$P$7-1+MATCH($A1892,INDEX('AH History'!$A$1:$A$18046,AH!$P$7):INDEX('AH History'!$A$1:$A$18046,AH!$P$7+AH!$P$8-1),0),0),0)</ns0:f>
        <ns0:v/>
      </ns0:c>
      <ns0:c r="I1892">
        <ns0:f>IF($H1892=0,0,IFERROR(IF(AND(ABS($C1892-INDEX('AH History'!$B$1:$B$18046,$H1892))&lt;=MAX(0.005,ABS(INDEX('AH History'!$B$1:$B$18046,$H1892))*0.00005),ABS($D1892-INDEX('AH History'!$C$1:$C$18046,$H1892))&lt;=MAX(0.005,ABS(INDEX('AH History'!$C$1:$C$18046,$H1892))*0.00005),ABS($E1892-INDEX('AH History'!$D$1:$D$18046,$H1892))&lt;=0.00005,$F1892=INDEX('AH History'!$E$1:$E$18046,$H1892),$G1892=INDEX('AH History'!$F$1:$F$18046,$H1892)),1,-1),-1))</ns0:f>
        <ns0:v/>
      </ns0:c>
    </ns0:row>
    <ns0:row r="1893">
      <ns0:c r="A1893" s="215">
        <ns0:f>IF(OR(AH!$P$3=0,1888+1&gt;AH!$P$11,AND(AH!$E$4&lt;&gt;"Stored",AH!$P$10&lt;&gt;1)),"",IFERROR(IF(AND(AH!$P$21=1,1888+1=AH!$P$11),TODAY(),IF(AH!$P$10=1,INDEX('Live History'!$A$5:$A$3004,AH!$P$13+1888),INDEX('AH History'!$A$1:$A$18046,AH!$P$7+1888))),""))</ns0:f>
        <ns0:v/>
      </ns0:c>
      <ns0:c r="B1893" s="219">
        <ns0:f>IFERROR(IF(AND(AH!$P$9&lt;&gt;1,$C1893&gt;0,$D1893&gt;0,$E1893&gt;0,$F1893&gt;0,$G1893&gt;0,$F1893&lt;=$A1893,$G1893&lt;=$A1893,$A1893-$F1893&lt;=10,$A1893-$G1893&lt;=5),$D1893*$E1893/$C1893-1,NA()),NA())</ns0:f>
        <ns0:v/>
      </ns0:c>
      <ns0:c r="C1893">
        <ns0:f>IFERROR(IF(ISNUMBER($A1893),IF(AND(AH!$P$10=1,AH!$P$12=1,$A1893=TODAY()),AH!$P$19,IF(AH!$P$10=1,INDEX('Live History'!$B$5:$B$3004,AH!$P$13+1888),INDEX('AH History'!$B$1:$B$18046,AH!$P$7+1888))),NA()),NA())</ns0:f>
        <ns0:v/>
      </ns0:c>
      <ns0:c r="D1893">
        <ns0:f>IFERROR(IF(ISNUMBER($A1893),IF(AND(AH!$P$10=1,AH!$P$12=1,$A1893=TODAY()),AH!$P$18,IF(AH!$P$10=1,INDEX('Live History'!$E$5:$E$3004,MATCH($A1893,'Live History'!$D$5:$D$3004,1)),INDEX('AH History'!$C$1:$C$18046,AH!$P$7+1888))),NA()),NA())</ns0:f>
        <ns0:v/>
      </ns0:c>
      <ns0:c r="E1893">
        <ns0:f>IFERROR(IF(ISNUMBER($A1893),IF(AND(AH!$P$10=1,AH!$P$12=1,$A1893=TODAY()),AH!$P$20,IF(AH!$P$10=1,INDEX('Live History'!$H$5:$H$3004,MATCH($A1893,'Live History'!$G$5:$G$3004,1)),INDEX('AH History'!$D$1:$D$18046,AH!$P$7+1888))),NA()),NA())</ns0:f>
        <ns0:v/>
      </ns0:c>
      <ns0:c r="F1893">
        <ns0:f>IFERROR(IF(ISNUMBER($A1893),IF(AND(AH!$P$10=1,AH!$P$12=1,$A1893=TODAY()),IF(AND(AH!$P$10=1,AH!$P$12=1,$A1893=TODAY()),TODAY(),NA()),IF(AH!$P$10=1,INDEX('Live History'!$D$5:$D$3004,MATCH($A1893,'Live History'!$D$5:$D$3004,1)),INDEX('AH History'!$E$1:$E$18046,AH!$P$7+1888))),NA()),NA())</ns0:f>
        <ns0:v/>
      </ns0:c>
      <ns0:c r="G1893">
        <ns0:f>IFERROR(IF(ISNUMBER($A1893),IF(AND(AH!$P$10=1,AH!$P$12=1,$A1893=TODAY()),IF(AND(AH!$P$10=1,AH!$P$12=1,$A1893=TODAY()),TODAY(),NA()),IF(AH!$P$10=1,INDEX('Live History'!$G$5:$G$3004,MATCH($A1893,'Live History'!$G$5:$G$3004,1)),INDEX('AH History'!$F$1:$F$18046,AH!$P$7+1888))),NA()),NA())</ns0:f>
        <ns0:v/>
      </ns0:c>
      <ns0:c r="H1893">
        <ns0:f>IFERROR(IF(AND(AH!$E$4="Bloomberg",AH!$P$10=1,ISNUMBER($A1893),$A1893&lt;=AH!$P$17),AH!$P$7-1+MATCH($A1893,INDEX('AH History'!$A$1:$A$18046,AH!$P$7):INDEX('AH History'!$A$1:$A$18046,AH!$P$7+AH!$P$8-1),0),0),0)</ns0:f>
        <ns0:v/>
      </ns0:c>
      <ns0:c r="I1893">
        <ns0:f>IF($H1893=0,0,IFERROR(IF(AND(ABS($C1893-INDEX('AH History'!$B$1:$B$18046,$H1893))&lt;=MAX(0.005,ABS(INDEX('AH History'!$B$1:$B$18046,$H1893))*0.00005),ABS($D1893-INDEX('AH History'!$C$1:$C$18046,$H1893))&lt;=MAX(0.005,ABS(INDEX('AH History'!$C$1:$C$18046,$H1893))*0.00005),ABS($E1893-INDEX('AH History'!$D$1:$D$18046,$H1893))&lt;=0.00005,$F1893=INDEX('AH History'!$E$1:$E$18046,$H1893),$G1893=INDEX('AH History'!$F$1:$F$18046,$H1893)),1,-1),-1))</ns0:f>
        <ns0:v/>
      </ns0:c>
    </ns0:row>
    <ns0:row r="1894">
      <ns0:c r="A1894" s="215">
        <ns0:f>IF(OR(AH!$P$3=0,1889+1&gt;AH!$P$11,AND(AH!$E$4&lt;&gt;"Stored",AH!$P$10&lt;&gt;1)),"",IFERROR(IF(AND(AH!$P$21=1,1889+1=AH!$P$11),TODAY(),IF(AH!$P$10=1,INDEX('Live History'!$A$5:$A$3004,AH!$P$13+1889),INDEX('AH History'!$A$1:$A$18046,AH!$P$7+1889))),""))</ns0:f>
        <ns0:v/>
      </ns0:c>
      <ns0:c r="B1894" s="219">
        <ns0:f>IFERROR(IF(AND(AH!$P$9&lt;&gt;1,$C1894&gt;0,$D1894&gt;0,$E1894&gt;0,$F1894&gt;0,$G1894&gt;0,$F1894&lt;=$A1894,$G1894&lt;=$A1894,$A1894-$F1894&lt;=10,$A1894-$G1894&lt;=5),$D1894*$E1894/$C1894-1,NA()),NA())</ns0:f>
        <ns0:v/>
      </ns0:c>
      <ns0:c r="C1894">
        <ns0:f>IFERROR(IF(ISNUMBER($A1894),IF(AND(AH!$P$10=1,AH!$P$12=1,$A1894=TODAY()),AH!$P$19,IF(AH!$P$10=1,INDEX('Live History'!$B$5:$B$3004,AH!$P$13+1889),INDEX('AH History'!$B$1:$B$18046,AH!$P$7+1889))),NA()),NA())</ns0:f>
        <ns0:v/>
      </ns0:c>
      <ns0:c r="D1894">
        <ns0:f>IFERROR(IF(ISNUMBER($A1894),IF(AND(AH!$P$10=1,AH!$P$12=1,$A1894=TODAY()),AH!$P$18,IF(AH!$P$10=1,INDEX('Live History'!$E$5:$E$3004,MATCH($A1894,'Live History'!$D$5:$D$3004,1)),INDEX('AH History'!$C$1:$C$18046,AH!$P$7+1889))),NA()),NA())</ns0:f>
        <ns0:v/>
      </ns0:c>
      <ns0:c r="E1894">
        <ns0:f>IFERROR(IF(ISNUMBER($A1894),IF(AND(AH!$P$10=1,AH!$P$12=1,$A1894=TODAY()),AH!$P$20,IF(AH!$P$10=1,INDEX('Live History'!$H$5:$H$3004,MATCH($A1894,'Live History'!$G$5:$G$3004,1)),INDEX('AH History'!$D$1:$D$18046,AH!$P$7+1889))),NA()),NA())</ns0:f>
        <ns0:v/>
      </ns0:c>
      <ns0:c r="F1894">
        <ns0:f>IFERROR(IF(ISNUMBER($A1894),IF(AND(AH!$P$10=1,AH!$P$12=1,$A1894=TODAY()),IF(AND(AH!$P$10=1,AH!$P$12=1,$A1894=TODAY()),TODAY(),NA()),IF(AH!$P$10=1,INDEX('Live History'!$D$5:$D$3004,MATCH($A1894,'Live History'!$D$5:$D$3004,1)),INDEX('AH History'!$E$1:$E$18046,AH!$P$7+1889))),NA()),NA())</ns0:f>
        <ns0:v/>
      </ns0:c>
      <ns0:c r="G1894">
        <ns0:f>IFERROR(IF(ISNUMBER($A1894),IF(AND(AH!$P$10=1,AH!$P$12=1,$A1894=TODAY()),IF(AND(AH!$P$10=1,AH!$P$12=1,$A1894=TODAY()),TODAY(),NA()),IF(AH!$P$10=1,INDEX('Live History'!$G$5:$G$3004,MATCH($A1894,'Live History'!$G$5:$G$3004,1)),INDEX('AH History'!$F$1:$F$18046,AH!$P$7+1889))),NA()),NA())</ns0:f>
        <ns0:v/>
      </ns0:c>
      <ns0:c r="H1894">
        <ns0:f>IFERROR(IF(AND(AH!$E$4="Bloomberg",AH!$P$10=1,ISNUMBER($A1894),$A1894&lt;=AH!$P$17),AH!$P$7-1+MATCH($A1894,INDEX('AH History'!$A$1:$A$18046,AH!$P$7):INDEX('AH History'!$A$1:$A$18046,AH!$P$7+AH!$P$8-1),0),0),0)</ns0:f>
        <ns0:v/>
      </ns0:c>
      <ns0:c r="I1894">
        <ns0:f>IF($H1894=0,0,IFERROR(IF(AND(ABS($C1894-INDEX('AH History'!$B$1:$B$18046,$H1894))&lt;=MAX(0.005,ABS(INDEX('AH History'!$B$1:$B$18046,$H1894))*0.00005),ABS($D1894-INDEX('AH History'!$C$1:$C$18046,$H1894))&lt;=MAX(0.005,ABS(INDEX('AH History'!$C$1:$C$18046,$H1894))*0.00005),ABS($E1894-INDEX('AH History'!$D$1:$D$18046,$H1894))&lt;=0.00005,$F1894=INDEX('AH History'!$E$1:$E$18046,$H1894),$G1894=INDEX('AH History'!$F$1:$F$18046,$H1894)),1,-1),-1))</ns0:f>
        <ns0:v/>
      </ns0:c>
    </ns0:row>
    <ns0:row r="1895">
      <ns0:c r="A1895" s="215">
        <ns0:f>IF(OR(AH!$P$3=0,1890+1&gt;AH!$P$11,AND(AH!$E$4&lt;&gt;"Stored",AH!$P$10&lt;&gt;1)),"",IFERROR(IF(AND(AH!$P$21=1,1890+1=AH!$P$11),TODAY(),IF(AH!$P$10=1,INDEX('Live History'!$A$5:$A$3004,AH!$P$13+1890),INDEX('AH History'!$A$1:$A$18046,AH!$P$7+1890))),""))</ns0:f>
        <ns0:v/>
      </ns0:c>
      <ns0:c r="B1895" s="219">
        <ns0:f>IFERROR(IF(AND(AH!$P$9&lt;&gt;1,$C1895&gt;0,$D1895&gt;0,$E1895&gt;0,$F1895&gt;0,$G1895&gt;0,$F1895&lt;=$A1895,$G1895&lt;=$A1895,$A1895-$F1895&lt;=10,$A1895-$G1895&lt;=5),$D1895*$E1895/$C1895-1,NA()),NA())</ns0:f>
        <ns0:v/>
      </ns0:c>
      <ns0:c r="C1895">
        <ns0:f>IFERROR(IF(ISNUMBER($A1895),IF(AND(AH!$P$10=1,AH!$P$12=1,$A1895=TODAY()),AH!$P$19,IF(AH!$P$10=1,INDEX('Live History'!$B$5:$B$3004,AH!$P$13+1890),INDEX('AH History'!$B$1:$B$18046,AH!$P$7+1890))),NA()),NA())</ns0:f>
        <ns0:v/>
      </ns0:c>
      <ns0:c r="D1895">
        <ns0:f>IFERROR(IF(ISNUMBER($A1895),IF(AND(AH!$P$10=1,AH!$P$12=1,$A1895=TODAY()),AH!$P$18,IF(AH!$P$10=1,INDEX('Live History'!$E$5:$E$3004,MATCH($A1895,'Live History'!$D$5:$D$3004,1)),INDEX('AH History'!$C$1:$C$18046,AH!$P$7+1890))),NA()),NA())</ns0:f>
        <ns0:v/>
      </ns0:c>
      <ns0:c r="E1895">
        <ns0:f>IFERROR(IF(ISNUMBER($A1895),IF(AND(AH!$P$10=1,AH!$P$12=1,$A1895=TODAY()),AH!$P$20,IF(AH!$P$10=1,INDEX('Live History'!$H$5:$H$3004,MATCH($A1895,'Live History'!$G$5:$G$3004,1)),INDEX('AH History'!$D$1:$D$18046,AH!$P$7+1890))),NA()),NA())</ns0:f>
        <ns0:v/>
      </ns0:c>
      <ns0:c r="F1895">
        <ns0:f>IFERROR(IF(ISNUMBER($A1895),IF(AND(AH!$P$10=1,AH!$P$12=1,$A1895=TODAY()),IF(AND(AH!$P$10=1,AH!$P$12=1,$A1895=TODAY()),TODAY(),NA()),IF(AH!$P$10=1,INDEX('Live History'!$D$5:$D$3004,MATCH($A1895,'Live History'!$D$5:$D$3004,1)),INDEX('AH History'!$E$1:$E$18046,AH!$P$7+1890))),NA()),NA())</ns0:f>
        <ns0:v/>
      </ns0:c>
      <ns0:c r="G1895">
        <ns0:f>IFERROR(IF(ISNUMBER($A1895),IF(AND(AH!$P$10=1,AH!$P$12=1,$A1895=TODAY()),IF(AND(AH!$P$10=1,AH!$P$12=1,$A1895=TODAY()),TODAY(),NA()),IF(AH!$P$10=1,INDEX('Live History'!$G$5:$G$3004,MATCH($A1895,'Live History'!$G$5:$G$3004,1)),INDEX('AH History'!$F$1:$F$18046,AH!$P$7+1890))),NA()),NA())</ns0:f>
        <ns0:v/>
      </ns0:c>
      <ns0:c r="H1895">
        <ns0:f>IFERROR(IF(AND(AH!$E$4="Bloomberg",AH!$P$10=1,ISNUMBER($A1895),$A1895&lt;=AH!$P$17),AH!$P$7-1+MATCH($A1895,INDEX('AH History'!$A$1:$A$18046,AH!$P$7):INDEX('AH History'!$A$1:$A$18046,AH!$P$7+AH!$P$8-1),0),0),0)</ns0:f>
        <ns0:v/>
      </ns0:c>
      <ns0:c r="I1895">
        <ns0:f>IF($H1895=0,0,IFERROR(IF(AND(ABS($C1895-INDEX('AH History'!$B$1:$B$18046,$H1895))&lt;=MAX(0.005,ABS(INDEX('AH History'!$B$1:$B$18046,$H1895))*0.00005),ABS($D1895-INDEX('AH History'!$C$1:$C$18046,$H1895))&lt;=MAX(0.005,ABS(INDEX('AH History'!$C$1:$C$18046,$H1895))*0.00005),ABS($E1895-INDEX('AH History'!$D$1:$D$18046,$H1895))&lt;=0.00005,$F1895=INDEX('AH History'!$E$1:$E$18046,$H1895),$G1895=INDEX('AH History'!$F$1:$F$18046,$H1895)),1,-1),-1))</ns0:f>
        <ns0:v/>
      </ns0:c>
    </ns0:row>
    <ns0:row r="1896">
      <ns0:c r="A1896" s="215">
        <ns0:f>IF(OR(AH!$P$3=0,1891+1&gt;AH!$P$11,AND(AH!$E$4&lt;&gt;"Stored",AH!$P$10&lt;&gt;1)),"",IFERROR(IF(AND(AH!$P$21=1,1891+1=AH!$P$11),TODAY(),IF(AH!$P$10=1,INDEX('Live History'!$A$5:$A$3004,AH!$P$13+1891),INDEX('AH History'!$A$1:$A$18046,AH!$P$7+1891))),""))</ns0:f>
        <ns0:v/>
      </ns0:c>
      <ns0:c r="B1896" s="219">
        <ns0:f>IFERROR(IF(AND(AH!$P$9&lt;&gt;1,$C1896&gt;0,$D1896&gt;0,$E1896&gt;0,$F1896&gt;0,$G1896&gt;0,$F1896&lt;=$A1896,$G1896&lt;=$A1896,$A1896-$F1896&lt;=10,$A1896-$G1896&lt;=5),$D1896*$E1896/$C1896-1,NA()),NA())</ns0:f>
        <ns0:v/>
      </ns0:c>
      <ns0:c r="C1896">
        <ns0:f>IFERROR(IF(ISNUMBER($A1896),IF(AND(AH!$P$10=1,AH!$P$12=1,$A1896=TODAY()),AH!$P$19,IF(AH!$P$10=1,INDEX('Live History'!$B$5:$B$3004,AH!$P$13+1891),INDEX('AH History'!$B$1:$B$18046,AH!$P$7+1891))),NA()),NA())</ns0:f>
        <ns0:v/>
      </ns0:c>
      <ns0:c r="D1896">
        <ns0:f>IFERROR(IF(ISNUMBER($A1896),IF(AND(AH!$P$10=1,AH!$P$12=1,$A1896=TODAY()),AH!$P$18,IF(AH!$P$10=1,INDEX('Live History'!$E$5:$E$3004,MATCH($A1896,'Live History'!$D$5:$D$3004,1)),INDEX('AH History'!$C$1:$C$18046,AH!$P$7+1891))),NA()),NA())</ns0:f>
        <ns0:v/>
      </ns0:c>
      <ns0:c r="E1896">
        <ns0:f>IFERROR(IF(ISNUMBER($A1896),IF(AND(AH!$P$10=1,AH!$P$12=1,$A1896=TODAY()),AH!$P$20,IF(AH!$P$10=1,INDEX('Live History'!$H$5:$H$3004,MATCH($A1896,'Live History'!$G$5:$G$3004,1)),INDEX('AH History'!$D$1:$D$18046,AH!$P$7+1891))),NA()),NA())</ns0:f>
        <ns0:v/>
      </ns0:c>
      <ns0:c r="F1896">
        <ns0:f>IFERROR(IF(ISNUMBER($A1896),IF(AND(AH!$P$10=1,AH!$P$12=1,$A1896=TODAY()),IF(AND(AH!$P$10=1,AH!$P$12=1,$A1896=TODAY()),TODAY(),NA()),IF(AH!$P$10=1,INDEX('Live History'!$D$5:$D$3004,MATCH($A1896,'Live History'!$D$5:$D$3004,1)),INDEX('AH History'!$E$1:$E$18046,AH!$P$7+1891))),NA()),NA())</ns0:f>
        <ns0:v/>
      </ns0:c>
      <ns0:c r="G1896">
        <ns0:f>IFERROR(IF(ISNUMBER($A1896),IF(AND(AH!$P$10=1,AH!$P$12=1,$A1896=TODAY()),IF(AND(AH!$P$10=1,AH!$P$12=1,$A1896=TODAY()),TODAY(),NA()),IF(AH!$P$10=1,INDEX('Live History'!$G$5:$G$3004,MATCH($A1896,'Live History'!$G$5:$G$3004,1)),INDEX('AH History'!$F$1:$F$18046,AH!$P$7+1891))),NA()),NA())</ns0:f>
        <ns0:v/>
      </ns0:c>
      <ns0:c r="H1896">
        <ns0:f>IFERROR(IF(AND(AH!$E$4="Bloomberg",AH!$P$10=1,ISNUMBER($A1896),$A1896&lt;=AH!$P$17),AH!$P$7-1+MATCH($A1896,INDEX('AH History'!$A$1:$A$18046,AH!$P$7):INDEX('AH History'!$A$1:$A$18046,AH!$P$7+AH!$P$8-1),0),0),0)</ns0:f>
        <ns0:v/>
      </ns0:c>
      <ns0:c r="I1896">
        <ns0:f>IF($H1896=0,0,IFERROR(IF(AND(ABS($C1896-INDEX('AH History'!$B$1:$B$18046,$H1896))&lt;=MAX(0.005,ABS(INDEX('AH History'!$B$1:$B$18046,$H1896))*0.00005),ABS($D1896-INDEX('AH History'!$C$1:$C$18046,$H1896))&lt;=MAX(0.005,ABS(INDEX('AH History'!$C$1:$C$18046,$H1896))*0.00005),ABS($E1896-INDEX('AH History'!$D$1:$D$18046,$H1896))&lt;=0.00005,$F1896=INDEX('AH History'!$E$1:$E$18046,$H1896),$G1896=INDEX('AH History'!$F$1:$F$18046,$H1896)),1,-1),-1))</ns0:f>
        <ns0:v/>
      </ns0:c>
    </ns0:row>
    <ns0:row r="1897">
      <ns0:c r="A1897" s="215">
        <ns0:f>IF(OR(AH!$P$3=0,1892+1&gt;AH!$P$11,AND(AH!$E$4&lt;&gt;"Stored",AH!$P$10&lt;&gt;1)),"",IFERROR(IF(AND(AH!$P$21=1,1892+1=AH!$P$11),TODAY(),IF(AH!$P$10=1,INDEX('Live History'!$A$5:$A$3004,AH!$P$13+1892),INDEX('AH History'!$A$1:$A$18046,AH!$P$7+1892))),""))</ns0:f>
        <ns0:v/>
      </ns0:c>
      <ns0:c r="B1897" s="219">
        <ns0:f>IFERROR(IF(AND(AH!$P$9&lt;&gt;1,$C1897&gt;0,$D1897&gt;0,$E1897&gt;0,$F1897&gt;0,$G1897&gt;0,$F1897&lt;=$A1897,$G1897&lt;=$A1897,$A1897-$F1897&lt;=10,$A1897-$G1897&lt;=5),$D1897*$E1897/$C1897-1,NA()),NA())</ns0:f>
        <ns0:v/>
      </ns0:c>
      <ns0:c r="C1897">
        <ns0:f>IFERROR(IF(ISNUMBER($A1897),IF(AND(AH!$P$10=1,AH!$P$12=1,$A1897=TODAY()),AH!$P$19,IF(AH!$P$10=1,INDEX('Live History'!$B$5:$B$3004,AH!$P$13+1892),INDEX('AH History'!$B$1:$B$18046,AH!$P$7+1892))),NA()),NA())</ns0:f>
        <ns0:v/>
      </ns0:c>
      <ns0:c r="D1897">
        <ns0:f>IFERROR(IF(ISNUMBER($A1897),IF(AND(AH!$P$10=1,AH!$P$12=1,$A1897=TODAY()),AH!$P$18,IF(AH!$P$10=1,INDEX('Live History'!$E$5:$E$3004,MATCH($A1897,'Live History'!$D$5:$D$3004,1)),INDEX('AH History'!$C$1:$C$18046,AH!$P$7+1892))),NA()),NA())</ns0:f>
        <ns0:v/>
      </ns0:c>
      <ns0:c r="E1897">
        <ns0:f>IFERROR(IF(ISNUMBER($A1897),IF(AND(AH!$P$10=1,AH!$P$12=1,$A1897=TODAY()),AH!$P$20,IF(AH!$P$10=1,INDEX('Live History'!$H$5:$H$3004,MATCH($A1897,'Live History'!$G$5:$G$3004,1)),INDEX('AH History'!$D$1:$D$18046,AH!$P$7+1892))),NA()),NA())</ns0:f>
        <ns0:v/>
      </ns0:c>
      <ns0:c r="F1897">
        <ns0:f>IFERROR(IF(ISNUMBER($A1897),IF(AND(AH!$P$10=1,AH!$P$12=1,$A1897=TODAY()),IF(AND(AH!$P$10=1,AH!$P$12=1,$A1897=TODAY()),TODAY(),NA()),IF(AH!$P$10=1,INDEX('Live History'!$D$5:$D$3004,MATCH($A1897,'Live History'!$D$5:$D$3004,1)),INDEX('AH History'!$E$1:$E$18046,AH!$P$7+1892))),NA()),NA())</ns0:f>
        <ns0:v/>
      </ns0:c>
      <ns0:c r="G1897">
        <ns0:f>IFERROR(IF(ISNUMBER($A1897),IF(AND(AH!$P$10=1,AH!$P$12=1,$A1897=TODAY()),IF(AND(AH!$P$10=1,AH!$P$12=1,$A1897=TODAY()),TODAY(),NA()),IF(AH!$P$10=1,INDEX('Live History'!$G$5:$G$3004,MATCH($A1897,'Live History'!$G$5:$G$3004,1)),INDEX('AH History'!$F$1:$F$18046,AH!$P$7+1892))),NA()),NA())</ns0:f>
        <ns0:v/>
      </ns0:c>
      <ns0:c r="H1897">
        <ns0:f>IFERROR(IF(AND(AH!$E$4="Bloomberg",AH!$P$10=1,ISNUMBER($A1897),$A1897&lt;=AH!$P$17),AH!$P$7-1+MATCH($A1897,INDEX('AH History'!$A$1:$A$18046,AH!$P$7):INDEX('AH History'!$A$1:$A$18046,AH!$P$7+AH!$P$8-1),0),0),0)</ns0:f>
        <ns0:v/>
      </ns0:c>
      <ns0:c r="I1897">
        <ns0:f>IF($H1897=0,0,IFERROR(IF(AND(ABS($C1897-INDEX('AH History'!$B$1:$B$18046,$H1897))&lt;=MAX(0.005,ABS(INDEX('AH History'!$B$1:$B$18046,$H1897))*0.00005),ABS($D1897-INDEX('AH History'!$C$1:$C$18046,$H1897))&lt;=MAX(0.005,ABS(INDEX('AH History'!$C$1:$C$18046,$H1897))*0.00005),ABS($E1897-INDEX('AH History'!$D$1:$D$18046,$H1897))&lt;=0.00005,$F1897=INDEX('AH History'!$E$1:$E$18046,$H1897),$G1897=INDEX('AH History'!$F$1:$F$18046,$H1897)),1,-1),-1))</ns0:f>
        <ns0:v/>
      </ns0:c>
    </ns0:row>
    <ns0:row r="1898">
      <ns0:c r="A1898" s="215">
        <ns0:f>IF(OR(AH!$P$3=0,1893+1&gt;AH!$P$11,AND(AH!$E$4&lt;&gt;"Stored",AH!$P$10&lt;&gt;1)),"",IFERROR(IF(AND(AH!$P$21=1,1893+1=AH!$P$11),TODAY(),IF(AH!$P$10=1,INDEX('Live History'!$A$5:$A$3004,AH!$P$13+1893),INDEX('AH History'!$A$1:$A$18046,AH!$P$7+1893))),""))</ns0:f>
        <ns0:v/>
      </ns0:c>
      <ns0:c r="B1898" s="219">
        <ns0:f>IFERROR(IF(AND(AH!$P$9&lt;&gt;1,$C1898&gt;0,$D1898&gt;0,$E1898&gt;0,$F1898&gt;0,$G1898&gt;0,$F1898&lt;=$A1898,$G1898&lt;=$A1898,$A1898-$F1898&lt;=10,$A1898-$G1898&lt;=5),$D1898*$E1898/$C1898-1,NA()),NA())</ns0:f>
        <ns0:v/>
      </ns0:c>
      <ns0:c r="C1898">
        <ns0:f>IFERROR(IF(ISNUMBER($A1898),IF(AND(AH!$P$10=1,AH!$P$12=1,$A1898=TODAY()),AH!$P$19,IF(AH!$P$10=1,INDEX('Live History'!$B$5:$B$3004,AH!$P$13+1893),INDEX('AH History'!$B$1:$B$18046,AH!$P$7+1893))),NA()),NA())</ns0:f>
        <ns0:v/>
      </ns0:c>
      <ns0:c r="D1898">
        <ns0:f>IFERROR(IF(ISNUMBER($A1898),IF(AND(AH!$P$10=1,AH!$P$12=1,$A1898=TODAY()),AH!$P$18,IF(AH!$P$10=1,INDEX('Live History'!$E$5:$E$3004,MATCH($A1898,'Live History'!$D$5:$D$3004,1)),INDEX('AH History'!$C$1:$C$18046,AH!$P$7+1893))),NA()),NA())</ns0:f>
        <ns0:v/>
      </ns0:c>
      <ns0:c r="E1898">
        <ns0:f>IFERROR(IF(ISNUMBER($A1898),IF(AND(AH!$P$10=1,AH!$P$12=1,$A1898=TODAY()),AH!$P$20,IF(AH!$P$10=1,INDEX('Live History'!$H$5:$H$3004,MATCH($A1898,'Live History'!$G$5:$G$3004,1)),INDEX('AH History'!$D$1:$D$18046,AH!$P$7+1893))),NA()),NA())</ns0:f>
        <ns0:v/>
      </ns0:c>
      <ns0:c r="F1898">
        <ns0:f>IFERROR(IF(ISNUMBER($A1898),IF(AND(AH!$P$10=1,AH!$P$12=1,$A1898=TODAY()),IF(AND(AH!$P$10=1,AH!$P$12=1,$A1898=TODAY()),TODAY(),NA()),IF(AH!$P$10=1,INDEX('Live History'!$D$5:$D$3004,MATCH($A1898,'Live History'!$D$5:$D$3004,1)),INDEX('AH History'!$E$1:$E$18046,AH!$P$7+1893))),NA()),NA())</ns0:f>
        <ns0:v/>
      </ns0:c>
      <ns0:c r="G1898">
        <ns0:f>IFERROR(IF(ISNUMBER($A1898),IF(AND(AH!$P$10=1,AH!$P$12=1,$A1898=TODAY()),IF(AND(AH!$P$10=1,AH!$P$12=1,$A1898=TODAY()),TODAY(),NA()),IF(AH!$P$10=1,INDEX('Live History'!$G$5:$G$3004,MATCH($A1898,'Live History'!$G$5:$G$3004,1)),INDEX('AH History'!$F$1:$F$18046,AH!$P$7+1893))),NA()),NA())</ns0:f>
        <ns0:v/>
      </ns0:c>
      <ns0:c r="H1898">
        <ns0:f>IFERROR(IF(AND(AH!$E$4="Bloomberg",AH!$P$10=1,ISNUMBER($A1898),$A1898&lt;=AH!$P$17),AH!$P$7-1+MATCH($A1898,INDEX('AH History'!$A$1:$A$18046,AH!$P$7):INDEX('AH History'!$A$1:$A$18046,AH!$P$7+AH!$P$8-1),0),0),0)</ns0:f>
        <ns0:v/>
      </ns0:c>
      <ns0:c r="I1898">
        <ns0:f>IF($H1898=0,0,IFERROR(IF(AND(ABS($C1898-INDEX('AH History'!$B$1:$B$18046,$H1898))&lt;=MAX(0.005,ABS(INDEX('AH History'!$B$1:$B$18046,$H1898))*0.00005),ABS($D1898-INDEX('AH History'!$C$1:$C$18046,$H1898))&lt;=MAX(0.005,ABS(INDEX('AH History'!$C$1:$C$18046,$H1898))*0.00005),ABS($E1898-INDEX('AH History'!$D$1:$D$18046,$H1898))&lt;=0.00005,$F1898=INDEX('AH History'!$E$1:$E$18046,$H1898),$G1898=INDEX('AH History'!$F$1:$F$18046,$H1898)),1,-1),-1))</ns0:f>
        <ns0:v/>
      </ns0:c>
    </ns0:row>
    <ns0:row r="1899">
      <ns0:c r="A1899" s="215">
        <ns0:f>IF(OR(AH!$P$3=0,1894+1&gt;AH!$P$11,AND(AH!$E$4&lt;&gt;"Stored",AH!$P$10&lt;&gt;1)),"",IFERROR(IF(AND(AH!$P$21=1,1894+1=AH!$P$11),TODAY(),IF(AH!$P$10=1,INDEX('Live History'!$A$5:$A$3004,AH!$P$13+1894),INDEX('AH History'!$A$1:$A$18046,AH!$P$7+1894))),""))</ns0:f>
        <ns0:v/>
      </ns0:c>
      <ns0:c r="B1899" s="219">
        <ns0:f>IFERROR(IF(AND(AH!$P$9&lt;&gt;1,$C1899&gt;0,$D1899&gt;0,$E1899&gt;0,$F1899&gt;0,$G1899&gt;0,$F1899&lt;=$A1899,$G1899&lt;=$A1899,$A1899-$F1899&lt;=10,$A1899-$G1899&lt;=5),$D1899*$E1899/$C1899-1,NA()),NA())</ns0:f>
        <ns0:v/>
      </ns0:c>
      <ns0:c r="C1899">
        <ns0:f>IFERROR(IF(ISNUMBER($A1899),IF(AND(AH!$P$10=1,AH!$P$12=1,$A1899=TODAY()),AH!$P$19,IF(AH!$P$10=1,INDEX('Live History'!$B$5:$B$3004,AH!$P$13+1894),INDEX('AH History'!$B$1:$B$18046,AH!$P$7+1894))),NA()),NA())</ns0:f>
        <ns0:v/>
      </ns0:c>
      <ns0:c r="D1899">
        <ns0:f>IFERROR(IF(ISNUMBER($A1899),IF(AND(AH!$P$10=1,AH!$P$12=1,$A1899=TODAY()),AH!$P$18,IF(AH!$P$10=1,INDEX('Live History'!$E$5:$E$3004,MATCH($A1899,'Live History'!$D$5:$D$3004,1)),INDEX('AH History'!$C$1:$C$18046,AH!$P$7+1894))),NA()),NA())</ns0:f>
        <ns0:v/>
      </ns0:c>
      <ns0:c r="E1899">
        <ns0:f>IFERROR(IF(ISNUMBER($A1899),IF(AND(AH!$P$10=1,AH!$P$12=1,$A1899=TODAY()),AH!$P$20,IF(AH!$P$10=1,INDEX('Live History'!$H$5:$H$3004,MATCH($A1899,'Live History'!$G$5:$G$3004,1)),INDEX('AH History'!$D$1:$D$18046,AH!$P$7+1894))),NA()),NA())</ns0:f>
        <ns0:v/>
      </ns0:c>
      <ns0:c r="F1899">
        <ns0:f>IFERROR(IF(ISNUMBER($A1899),IF(AND(AH!$P$10=1,AH!$P$12=1,$A1899=TODAY()),IF(AND(AH!$P$10=1,AH!$P$12=1,$A1899=TODAY()),TODAY(),NA()),IF(AH!$P$10=1,INDEX('Live History'!$D$5:$D$3004,MATCH($A1899,'Live History'!$D$5:$D$3004,1)),INDEX('AH History'!$E$1:$E$18046,AH!$P$7+1894))),NA()),NA())</ns0:f>
        <ns0:v/>
      </ns0:c>
      <ns0:c r="G1899">
        <ns0:f>IFERROR(IF(ISNUMBER($A1899),IF(AND(AH!$P$10=1,AH!$P$12=1,$A1899=TODAY()),IF(AND(AH!$P$10=1,AH!$P$12=1,$A1899=TODAY()),TODAY(),NA()),IF(AH!$P$10=1,INDEX('Live History'!$G$5:$G$3004,MATCH($A1899,'Live History'!$G$5:$G$3004,1)),INDEX('AH History'!$F$1:$F$18046,AH!$P$7+1894))),NA()),NA())</ns0:f>
        <ns0:v/>
      </ns0:c>
      <ns0:c r="H1899">
        <ns0:f>IFERROR(IF(AND(AH!$E$4="Bloomberg",AH!$P$10=1,ISNUMBER($A1899),$A1899&lt;=AH!$P$17),AH!$P$7-1+MATCH($A1899,INDEX('AH History'!$A$1:$A$18046,AH!$P$7):INDEX('AH History'!$A$1:$A$18046,AH!$P$7+AH!$P$8-1),0),0),0)</ns0:f>
        <ns0:v/>
      </ns0:c>
      <ns0:c r="I1899">
        <ns0:f>IF($H1899=0,0,IFERROR(IF(AND(ABS($C1899-INDEX('AH History'!$B$1:$B$18046,$H1899))&lt;=MAX(0.005,ABS(INDEX('AH History'!$B$1:$B$18046,$H1899))*0.00005),ABS($D1899-INDEX('AH History'!$C$1:$C$18046,$H1899))&lt;=MAX(0.005,ABS(INDEX('AH History'!$C$1:$C$18046,$H1899))*0.00005),ABS($E1899-INDEX('AH History'!$D$1:$D$18046,$H1899))&lt;=0.00005,$F1899=INDEX('AH History'!$E$1:$E$18046,$H1899),$G1899=INDEX('AH History'!$F$1:$F$18046,$H1899)),1,-1),-1))</ns0:f>
        <ns0:v/>
      </ns0:c>
    </ns0:row>
    <ns0:row r="1900">
      <ns0:c r="A1900" s="215">
        <ns0:f>IF(OR(AH!$P$3=0,1895+1&gt;AH!$P$11,AND(AH!$E$4&lt;&gt;"Stored",AH!$P$10&lt;&gt;1)),"",IFERROR(IF(AND(AH!$P$21=1,1895+1=AH!$P$11),TODAY(),IF(AH!$P$10=1,INDEX('Live History'!$A$5:$A$3004,AH!$P$13+1895),INDEX('AH History'!$A$1:$A$18046,AH!$P$7+1895))),""))</ns0:f>
        <ns0:v/>
      </ns0:c>
      <ns0:c r="B1900" s="219">
        <ns0:f>IFERROR(IF(AND(AH!$P$9&lt;&gt;1,$C1900&gt;0,$D1900&gt;0,$E1900&gt;0,$F1900&gt;0,$G1900&gt;0,$F1900&lt;=$A1900,$G1900&lt;=$A1900,$A1900-$F1900&lt;=10,$A1900-$G1900&lt;=5),$D1900*$E1900/$C1900-1,NA()),NA())</ns0:f>
        <ns0:v/>
      </ns0:c>
      <ns0:c r="C1900">
        <ns0:f>IFERROR(IF(ISNUMBER($A1900),IF(AND(AH!$P$10=1,AH!$P$12=1,$A1900=TODAY()),AH!$P$19,IF(AH!$P$10=1,INDEX('Live History'!$B$5:$B$3004,AH!$P$13+1895),INDEX('AH History'!$B$1:$B$18046,AH!$P$7+1895))),NA()),NA())</ns0:f>
        <ns0:v/>
      </ns0:c>
      <ns0:c r="D1900">
        <ns0:f>IFERROR(IF(ISNUMBER($A1900),IF(AND(AH!$P$10=1,AH!$P$12=1,$A1900=TODAY()),AH!$P$18,IF(AH!$P$10=1,INDEX('Live History'!$E$5:$E$3004,MATCH($A1900,'Live History'!$D$5:$D$3004,1)),INDEX('AH History'!$C$1:$C$18046,AH!$P$7+1895))),NA()),NA())</ns0:f>
        <ns0:v/>
      </ns0:c>
      <ns0:c r="E1900">
        <ns0:f>IFERROR(IF(ISNUMBER($A1900),IF(AND(AH!$P$10=1,AH!$P$12=1,$A1900=TODAY()),AH!$P$20,IF(AH!$P$10=1,INDEX('Live History'!$H$5:$H$3004,MATCH($A1900,'Live History'!$G$5:$G$3004,1)),INDEX('AH History'!$D$1:$D$18046,AH!$P$7+1895))),NA()),NA())</ns0:f>
        <ns0:v/>
      </ns0:c>
      <ns0:c r="F1900">
        <ns0:f>IFERROR(IF(ISNUMBER($A1900),IF(AND(AH!$P$10=1,AH!$P$12=1,$A1900=TODAY()),IF(AND(AH!$P$10=1,AH!$P$12=1,$A1900=TODAY()),TODAY(),NA()),IF(AH!$P$10=1,INDEX('Live History'!$D$5:$D$3004,MATCH($A1900,'Live History'!$D$5:$D$3004,1)),INDEX('AH History'!$E$1:$E$18046,AH!$P$7+1895))),NA()),NA())</ns0:f>
        <ns0:v/>
      </ns0:c>
      <ns0:c r="G1900">
        <ns0:f>IFERROR(IF(ISNUMBER($A1900),IF(AND(AH!$P$10=1,AH!$P$12=1,$A1900=TODAY()),IF(AND(AH!$P$10=1,AH!$P$12=1,$A1900=TODAY()),TODAY(),NA()),IF(AH!$P$10=1,INDEX('Live History'!$G$5:$G$3004,MATCH($A1900,'Live History'!$G$5:$G$3004,1)),INDEX('AH History'!$F$1:$F$18046,AH!$P$7+1895))),NA()),NA())</ns0:f>
        <ns0:v/>
      </ns0:c>
      <ns0:c r="H1900">
        <ns0:f>IFERROR(IF(AND(AH!$E$4="Bloomberg",AH!$P$10=1,ISNUMBER($A1900),$A1900&lt;=AH!$P$17),AH!$P$7-1+MATCH($A1900,INDEX('AH History'!$A$1:$A$18046,AH!$P$7):INDEX('AH History'!$A$1:$A$18046,AH!$P$7+AH!$P$8-1),0),0),0)</ns0:f>
        <ns0:v/>
      </ns0:c>
      <ns0:c r="I1900">
        <ns0:f>IF($H1900=0,0,IFERROR(IF(AND(ABS($C1900-INDEX('AH History'!$B$1:$B$18046,$H1900))&lt;=MAX(0.005,ABS(INDEX('AH History'!$B$1:$B$18046,$H1900))*0.00005),ABS($D1900-INDEX('AH History'!$C$1:$C$18046,$H1900))&lt;=MAX(0.005,ABS(INDEX('AH History'!$C$1:$C$18046,$H1900))*0.00005),ABS($E1900-INDEX('AH History'!$D$1:$D$18046,$H1900))&lt;=0.00005,$F1900=INDEX('AH History'!$E$1:$E$18046,$H1900),$G1900=INDEX('AH History'!$F$1:$F$18046,$H1900)),1,-1),-1))</ns0:f>
        <ns0:v/>
      </ns0:c>
    </ns0:row>
    <ns0:row r="1901">
      <ns0:c r="A1901" s="215">
        <ns0:f>IF(OR(AH!$P$3=0,1896+1&gt;AH!$P$11,AND(AH!$E$4&lt;&gt;"Stored",AH!$P$10&lt;&gt;1)),"",IFERROR(IF(AND(AH!$P$21=1,1896+1=AH!$P$11),TODAY(),IF(AH!$P$10=1,INDEX('Live History'!$A$5:$A$3004,AH!$P$13+1896),INDEX('AH History'!$A$1:$A$18046,AH!$P$7+1896))),""))</ns0:f>
        <ns0:v/>
      </ns0:c>
      <ns0:c r="B1901" s="219">
        <ns0:f>IFERROR(IF(AND(AH!$P$9&lt;&gt;1,$C1901&gt;0,$D1901&gt;0,$E1901&gt;0,$F1901&gt;0,$G1901&gt;0,$F1901&lt;=$A1901,$G1901&lt;=$A1901,$A1901-$F1901&lt;=10,$A1901-$G1901&lt;=5),$D1901*$E1901/$C1901-1,NA()),NA())</ns0:f>
        <ns0:v/>
      </ns0:c>
      <ns0:c r="C1901">
        <ns0:f>IFERROR(IF(ISNUMBER($A1901),IF(AND(AH!$P$10=1,AH!$P$12=1,$A1901=TODAY()),AH!$P$19,IF(AH!$P$10=1,INDEX('Live History'!$B$5:$B$3004,AH!$P$13+1896),INDEX('AH History'!$B$1:$B$18046,AH!$P$7+1896))),NA()),NA())</ns0:f>
        <ns0:v/>
      </ns0:c>
      <ns0:c r="D1901">
        <ns0:f>IFERROR(IF(ISNUMBER($A1901),IF(AND(AH!$P$10=1,AH!$P$12=1,$A1901=TODAY()),AH!$P$18,IF(AH!$P$10=1,INDEX('Live History'!$E$5:$E$3004,MATCH($A1901,'Live History'!$D$5:$D$3004,1)),INDEX('AH History'!$C$1:$C$18046,AH!$P$7+1896))),NA()),NA())</ns0:f>
        <ns0:v/>
      </ns0:c>
      <ns0:c r="E1901">
        <ns0:f>IFERROR(IF(ISNUMBER($A1901),IF(AND(AH!$P$10=1,AH!$P$12=1,$A1901=TODAY()),AH!$P$20,IF(AH!$P$10=1,INDEX('Live History'!$H$5:$H$3004,MATCH($A1901,'Live History'!$G$5:$G$3004,1)),INDEX('AH History'!$D$1:$D$18046,AH!$P$7+1896))),NA()),NA())</ns0:f>
        <ns0:v/>
      </ns0:c>
      <ns0:c r="F1901">
        <ns0:f>IFERROR(IF(ISNUMBER($A1901),IF(AND(AH!$P$10=1,AH!$P$12=1,$A1901=TODAY()),IF(AND(AH!$P$10=1,AH!$P$12=1,$A1901=TODAY()),TODAY(),NA()),IF(AH!$P$10=1,INDEX('Live History'!$D$5:$D$3004,MATCH($A1901,'Live History'!$D$5:$D$3004,1)),INDEX('AH History'!$E$1:$E$18046,AH!$P$7+1896))),NA()),NA())</ns0:f>
        <ns0:v/>
      </ns0:c>
      <ns0:c r="G1901">
        <ns0:f>IFERROR(IF(ISNUMBER($A1901),IF(AND(AH!$P$10=1,AH!$P$12=1,$A1901=TODAY()),IF(AND(AH!$P$10=1,AH!$P$12=1,$A1901=TODAY()),TODAY(),NA()),IF(AH!$P$10=1,INDEX('Live History'!$G$5:$G$3004,MATCH($A1901,'Live History'!$G$5:$G$3004,1)),INDEX('AH History'!$F$1:$F$18046,AH!$P$7+1896))),NA()),NA())</ns0:f>
        <ns0:v/>
      </ns0:c>
      <ns0:c r="H1901">
        <ns0:f>IFERROR(IF(AND(AH!$E$4="Bloomberg",AH!$P$10=1,ISNUMBER($A1901),$A1901&lt;=AH!$P$17),AH!$P$7-1+MATCH($A1901,INDEX('AH History'!$A$1:$A$18046,AH!$P$7):INDEX('AH History'!$A$1:$A$18046,AH!$P$7+AH!$P$8-1),0),0),0)</ns0:f>
        <ns0:v/>
      </ns0:c>
      <ns0:c r="I1901">
        <ns0:f>IF($H1901=0,0,IFERROR(IF(AND(ABS($C1901-INDEX('AH History'!$B$1:$B$18046,$H1901))&lt;=MAX(0.005,ABS(INDEX('AH History'!$B$1:$B$18046,$H1901))*0.00005),ABS($D1901-INDEX('AH History'!$C$1:$C$18046,$H1901))&lt;=MAX(0.005,ABS(INDEX('AH History'!$C$1:$C$18046,$H1901))*0.00005),ABS($E1901-INDEX('AH History'!$D$1:$D$18046,$H1901))&lt;=0.00005,$F1901=INDEX('AH History'!$E$1:$E$18046,$H1901),$G1901=INDEX('AH History'!$F$1:$F$18046,$H1901)),1,-1),-1))</ns0:f>
        <ns0:v/>
      </ns0:c>
    </ns0:row>
    <ns0:row r="1902">
      <ns0:c r="A1902" s="215">
        <ns0:f>IF(OR(AH!$P$3=0,1897+1&gt;AH!$P$11,AND(AH!$E$4&lt;&gt;"Stored",AH!$P$10&lt;&gt;1)),"",IFERROR(IF(AND(AH!$P$21=1,1897+1=AH!$P$11),TODAY(),IF(AH!$P$10=1,INDEX('Live History'!$A$5:$A$3004,AH!$P$13+1897),INDEX('AH History'!$A$1:$A$18046,AH!$P$7+1897))),""))</ns0:f>
        <ns0:v/>
      </ns0:c>
      <ns0:c r="B1902" s="219">
        <ns0:f>IFERROR(IF(AND(AH!$P$9&lt;&gt;1,$C1902&gt;0,$D1902&gt;0,$E1902&gt;0,$F1902&gt;0,$G1902&gt;0,$F1902&lt;=$A1902,$G1902&lt;=$A1902,$A1902-$F1902&lt;=10,$A1902-$G1902&lt;=5),$D1902*$E1902/$C1902-1,NA()),NA())</ns0:f>
        <ns0:v/>
      </ns0:c>
      <ns0:c r="C1902">
        <ns0:f>IFERROR(IF(ISNUMBER($A1902),IF(AND(AH!$P$10=1,AH!$P$12=1,$A1902=TODAY()),AH!$P$19,IF(AH!$P$10=1,INDEX('Live History'!$B$5:$B$3004,AH!$P$13+1897),INDEX('AH History'!$B$1:$B$18046,AH!$P$7+1897))),NA()),NA())</ns0:f>
        <ns0:v/>
      </ns0:c>
      <ns0:c r="D1902">
        <ns0:f>IFERROR(IF(ISNUMBER($A1902),IF(AND(AH!$P$10=1,AH!$P$12=1,$A1902=TODAY()),AH!$P$18,IF(AH!$P$10=1,INDEX('Live History'!$E$5:$E$3004,MATCH($A1902,'Live History'!$D$5:$D$3004,1)),INDEX('AH History'!$C$1:$C$18046,AH!$P$7+1897))),NA()),NA())</ns0:f>
        <ns0:v/>
      </ns0:c>
      <ns0:c r="E1902">
        <ns0:f>IFERROR(IF(ISNUMBER($A1902),IF(AND(AH!$P$10=1,AH!$P$12=1,$A1902=TODAY()),AH!$P$20,IF(AH!$P$10=1,INDEX('Live History'!$H$5:$H$3004,MATCH($A1902,'Live History'!$G$5:$G$3004,1)),INDEX('AH History'!$D$1:$D$18046,AH!$P$7+1897))),NA()),NA())</ns0:f>
        <ns0:v/>
      </ns0:c>
      <ns0:c r="F1902">
        <ns0:f>IFERROR(IF(ISNUMBER($A1902),IF(AND(AH!$P$10=1,AH!$P$12=1,$A1902=TODAY()),IF(AND(AH!$P$10=1,AH!$P$12=1,$A1902=TODAY()),TODAY(),NA()),IF(AH!$P$10=1,INDEX('Live History'!$D$5:$D$3004,MATCH($A1902,'Live History'!$D$5:$D$3004,1)),INDEX('AH History'!$E$1:$E$18046,AH!$P$7+1897))),NA()),NA())</ns0:f>
        <ns0:v/>
      </ns0:c>
      <ns0:c r="G1902">
        <ns0:f>IFERROR(IF(ISNUMBER($A1902),IF(AND(AH!$P$10=1,AH!$P$12=1,$A1902=TODAY()),IF(AND(AH!$P$10=1,AH!$P$12=1,$A1902=TODAY()),TODAY(),NA()),IF(AH!$P$10=1,INDEX('Live History'!$G$5:$G$3004,MATCH($A1902,'Live History'!$G$5:$G$3004,1)),INDEX('AH History'!$F$1:$F$18046,AH!$P$7+1897))),NA()),NA())</ns0:f>
        <ns0:v/>
      </ns0:c>
      <ns0:c r="H1902">
        <ns0:f>IFERROR(IF(AND(AH!$E$4="Bloomberg",AH!$P$10=1,ISNUMBER($A1902),$A1902&lt;=AH!$P$17),AH!$P$7-1+MATCH($A1902,INDEX('AH History'!$A$1:$A$18046,AH!$P$7):INDEX('AH History'!$A$1:$A$18046,AH!$P$7+AH!$P$8-1),0),0),0)</ns0:f>
        <ns0:v/>
      </ns0:c>
      <ns0:c r="I1902">
        <ns0:f>IF($H1902=0,0,IFERROR(IF(AND(ABS($C1902-INDEX('AH History'!$B$1:$B$18046,$H1902))&lt;=MAX(0.005,ABS(INDEX('AH History'!$B$1:$B$18046,$H1902))*0.00005),ABS($D1902-INDEX('AH History'!$C$1:$C$18046,$H1902))&lt;=MAX(0.005,ABS(INDEX('AH History'!$C$1:$C$18046,$H1902))*0.00005),ABS($E1902-INDEX('AH History'!$D$1:$D$18046,$H1902))&lt;=0.00005,$F1902=INDEX('AH History'!$E$1:$E$18046,$H1902),$G1902=INDEX('AH History'!$F$1:$F$18046,$H1902)),1,-1),-1))</ns0:f>
        <ns0:v/>
      </ns0:c>
    </ns0:row>
    <ns0:row r="1903">
      <ns0:c r="A1903" s="215">
        <ns0:f>IF(OR(AH!$P$3=0,1898+1&gt;AH!$P$11,AND(AH!$E$4&lt;&gt;"Stored",AH!$P$10&lt;&gt;1)),"",IFERROR(IF(AND(AH!$P$21=1,1898+1=AH!$P$11),TODAY(),IF(AH!$P$10=1,INDEX('Live History'!$A$5:$A$3004,AH!$P$13+1898),INDEX('AH History'!$A$1:$A$18046,AH!$P$7+1898))),""))</ns0:f>
        <ns0:v/>
      </ns0:c>
      <ns0:c r="B1903" s="219">
        <ns0:f>IFERROR(IF(AND(AH!$P$9&lt;&gt;1,$C1903&gt;0,$D1903&gt;0,$E1903&gt;0,$F1903&gt;0,$G1903&gt;0,$F1903&lt;=$A1903,$G1903&lt;=$A1903,$A1903-$F1903&lt;=10,$A1903-$G1903&lt;=5),$D1903*$E1903/$C1903-1,NA()),NA())</ns0:f>
        <ns0:v/>
      </ns0:c>
      <ns0:c r="C1903">
        <ns0:f>IFERROR(IF(ISNUMBER($A1903),IF(AND(AH!$P$10=1,AH!$P$12=1,$A1903=TODAY()),AH!$P$19,IF(AH!$P$10=1,INDEX('Live History'!$B$5:$B$3004,AH!$P$13+1898),INDEX('AH History'!$B$1:$B$18046,AH!$P$7+1898))),NA()),NA())</ns0:f>
        <ns0:v/>
      </ns0:c>
      <ns0:c r="D1903">
        <ns0:f>IFERROR(IF(ISNUMBER($A1903),IF(AND(AH!$P$10=1,AH!$P$12=1,$A1903=TODAY()),AH!$P$18,IF(AH!$P$10=1,INDEX('Live History'!$E$5:$E$3004,MATCH($A1903,'Live History'!$D$5:$D$3004,1)),INDEX('AH History'!$C$1:$C$18046,AH!$P$7+1898))),NA()),NA())</ns0:f>
        <ns0:v/>
      </ns0:c>
      <ns0:c r="E1903">
        <ns0:f>IFERROR(IF(ISNUMBER($A1903),IF(AND(AH!$P$10=1,AH!$P$12=1,$A1903=TODAY()),AH!$P$20,IF(AH!$P$10=1,INDEX('Live History'!$H$5:$H$3004,MATCH($A1903,'Live History'!$G$5:$G$3004,1)),INDEX('AH History'!$D$1:$D$18046,AH!$P$7+1898))),NA()),NA())</ns0:f>
        <ns0:v/>
      </ns0:c>
      <ns0:c r="F1903">
        <ns0:f>IFERROR(IF(ISNUMBER($A1903),IF(AND(AH!$P$10=1,AH!$P$12=1,$A1903=TODAY()),IF(AND(AH!$P$10=1,AH!$P$12=1,$A1903=TODAY()),TODAY(),NA()),IF(AH!$P$10=1,INDEX('Live History'!$D$5:$D$3004,MATCH($A1903,'Live History'!$D$5:$D$3004,1)),INDEX('AH History'!$E$1:$E$18046,AH!$P$7+1898))),NA()),NA())</ns0:f>
        <ns0:v/>
      </ns0:c>
      <ns0:c r="G1903">
        <ns0:f>IFERROR(IF(ISNUMBER($A1903),IF(AND(AH!$P$10=1,AH!$P$12=1,$A1903=TODAY()),IF(AND(AH!$P$10=1,AH!$P$12=1,$A1903=TODAY()),TODAY(),NA()),IF(AH!$P$10=1,INDEX('Live History'!$G$5:$G$3004,MATCH($A1903,'Live History'!$G$5:$G$3004,1)),INDEX('AH History'!$F$1:$F$18046,AH!$P$7+1898))),NA()),NA())</ns0:f>
        <ns0:v/>
      </ns0:c>
      <ns0:c r="H1903">
        <ns0:f>IFERROR(IF(AND(AH!$E$4="Bloomberg",AH!$P$10=1,ISNUMBER($A1903),$A1903&lt;=AH!$P$17),AH!$P$7-1+MATCH($A1903,INDEX('AH History'!$A$1:$A$18046,AH!$P$7):INDEX('AH History'!$A$1:$A$18046,AH!$P$7+AH!$P$8-1),0),0),0)</ns0:f>
        <ns0:v/>
      </ns0:c>
      <ns0:c r="I1903">
        <ns0:f>IF($H1903=0,0,IFERROR(IF(AND(ABS($C1903-INDEX('AH History'!$B$1:$B$18046,$H1903))&lt;=MAX(0.005,ABS(INDEX('AH History'!$B$1:$B$18046,$H1903))*0.00005),ABS($D1903-INDEX('AH History'!$C$1:$C$18046,$H1903))&lt;=MAX(0.005,ABS(INDEX('AH History'!$C$1:$C$18046,$H1903))*0.00005),ABS($E1903-INDEX('AH History'!$D$1:$D$18046,$H1903))&lt;=0.00005,$F1903=INDEX('AH History'!$E$1:$E$18046,$H1903),$G1903=INDEX('AH History'!$F$1:$F$18046,$H1903)),1,-1),-1))</ns0:f>
        <ns0:v/>
      </ns0:c>
    </ns0:row>
    <ns0:row r="1904">
      <ns0:c r="A1904" s="215">
        <ns0:f>IF(OR(AH!$P$3=0,1899+1&gt;AH!$P$11,AND(AH!$E$4&lt;&gt;"Stored",AH!$P$10&lt;&gt;1)),"",IFERROR(IF(AND(AH!$P$21=1,1899+1=AH!$P$11),TODAY(),IF(AH!$P$10=1,INDEX('Live History'!$A$5:$A$3004,AH!$P$13+1899),INDEX('AH History'!$A$1:$A$18046,AH!$P$7+1899))),""))</ns0:f>
        <ns0:v/>
      </ns0:c>
      <ns0:c r="B1904" s="219">
        <ns0:f>IFERROR(IF(AND(AH!$P$9&lt;&gt;1,$C1904&gt;0,$D1904&gt;0,$E1904&gt;0,$F1904&gt;0,$G1904&gt;0,$F1904&lt;=$A1904,$G1904&lt;=$A1904,$A1904-$F1904&lt;=10,$A1904-$G1904&lt;=5),$D1904*$E1904/$C1904-1,NA()),NA())</ns0:f>
        <ns0:v/>
      </ns0:c>
      <ns0:c r="C1904">
        <ns0:f>IFERROR(IF(ISNUMBER($A1904),IF(AND(AH!$P$10=1,AH!$P$12=1,$A1904=TODAY()),AH!$P$19,IF(AH!$P$10=1,INDEX('Live History'!$B$5:$B$3004,AH!$P$13+1899),INDEX('AH History'!$B$1:$B$18046,AH!$P$7+1899))),NA()),NA())</ns0:f>
        <ns0:v/>
      </ns0:c>
      <ns0:c r="D1904">
        <ns0:f>IFERROR(IF(ISNUMBER($A1904),IF(AND(AH!$P$10=1,AH!$P$12=1,$A1904=TODAY()),AH!$P$18,IF(AH!$P$10=1,INDEX('Live History'!$E$5:$E$3004,MATCH($A1904,'Live History'!$D$5:$D$3004,1)),INDEX('AH History'!$C$1:$C$18046,AH!$P$7+1899))),NA()),NA())</ns0:f>
        <ns0:v/>
      </ns0:c>
      <ns0:c r="E1904">
        <ns0:f>IFERROR(IF(ISNUMBER($A1904),IF(AND(AH!$P$10=1,AH!$P$12=1,$A1904=TODAY()),AH!$P$20,IF(AH!$P$10=1,INDEX('Live History'!$H$5:$H$3004,MATCH($A1904,'Live History'!$G$5:$G$3004,1)),INDEX('AH History'!$D$1:$D$18046,AH!$P$7+1899))),NA()),NA())</ns0:f>
        <ns0:v/>
      </ns0:c>
      <ns0:c r="F1904">
        <ns0:f>IFERROR(IF(ISNUMBER($A1904),IF(AND(AH!$P$10=1,AH!$P$12=1,$A1904=TODAY()),IF(AND(AH!$P$10=1,AH!$P$12=1,$A1904=TODAY()),TODAY(),NA()),IF(AH!$P$10=1,INDEX('Live History'!$D$5:$D$3004,MATCH($A1904,'Live History'!$D$5:$D$3004,1)),INDEX('AH History'!$E$1:$E$18046,AH!$P$7+1899))),NA()),NA())</ns0:f>
        <ns0:v/>
      </ns0:c>
      <ns0:c r="G1904">
        <ns0:f>IFERROR(IF(ISNUMBER($A1904),IF(AND(AH!$P$10=1,AH!$P$12=1,$A1904=TODAY()),IF(AND(AH!$P$10=1,AH!$P$12=1,$A1904=TODAY()),TODAY(),NA()),IF(AH!$P$10=1,INDEX('Live History'!$G$5:$G$3004,MATCH($A1904,'Live History'!$G$5:$G$3004,1)),INDEX('AH History'!$F$1:$F$18046,AH!$P$7+1899))),NA()),NA())</ns0:f>
        <ns0:v/>
      </ns0:c>
      <ns0:c r="H1904">
        <ns0:f>IFERROR(IF(AND(AH!$E$4="Bloomberg",AH!$P$10=1,ISNUMBER($A1904),$A1904&lt;=AH!$P$17),AH!$P$7-1+MATCH($A1904,INDEX('AH History'!$A$1:$A$18046,AH!$P$7):INDEX('AH History'!$A$1:$A$18046,AH!$P$7+AH!$P$8-1),0),0),0)</ns0:f>
        <ns0:v/>
      </ns0:c>
      <ns0:c r="I1904">
        <ns0:f>IF($H1904=0,0,IFERROR(IF(AND(ABS($C1904-INDEX('AH History'!$B$1:$B$18046,$H1904))&lt;=MAX(0.005,ABS(INDEX('AH History'!$B$1:$B$18046,$H1904))*0.00005),ABS($D1904-INDEX('AH History'!$C$1:$C$18046,$H1904))&lt;=MAX(0.005,ABS(INDEX('AH History'!$C$1:$C$18046,$H1904))*0.00005),ABS($E1904-INDEX('AH History'!$D$1:$D$18046,$H1904))&lt;=0.00005,$F1904=INDEX('AH History'!$E$1:$E$18046,$H1904),$G1904=INDEX('AH History'!$F$1:$F$18046,$H1904)),1,-1),-1))</ns0:f>
        <ns0:v/>
      </ns0:c>
    </ns0:row>
    <ns0:row r="1905">
      <ns0:c r="A1905" s="215">
        <ns0:f>IF(OR(AH!$P$3=0,1900+1&gt;AH!$P$11,AND(AH!$E$4&lt;&gt;"Stored",AH!$P$10&lt;&gt;1)),"",IFERROR(IF(AND(AH!$P$21=1,1900+1=AH!$P$11),TODAY(),IF(AH!$P$10=1,INDEX('Live History'!$A$5:$A$3004,AH!$P$13+1900),INDEX('AH History'!$A$1:$A$18046,AH!$P$7+1900))),""))</ns0:f>
        <ns0:v/>
      </ns0:c>
      <ns0:c r="B1905" s="219">
        <ns0:f>IFERROR(IF(AND(AH!$P$9&lt;&gt;1,$C1905&gt;0,$D1905&gt;0,$E1905&gt;0,$F1905&gt;0,$G1905&gt;0,$F1905&lt;=$A1905,$G1905&lt;=$A1905,$A1905-$F1905&lt;=10,$A1905-$G1905&lt;=5),$D1905*$E1905/$C1905-1,NA()),NA())</ns0:f>
        <ns0:v/>
      </ns0:c>
      <ns0:c r="C1905">
        <ns0:f>IFERROR(IF(ISNUMBER($A1905),IF(AND(AH!$P$10=1,AH!$P$12=1,$A1905=TODAY()),AH!$P$19,IF(AH!$P$10=1,INDEX('Live History'!$B$5:$B$3004,AH!$P$13+1900),INDEX('AH History'!$B$1:$B$18046,AH!$P$7+1900))),NA()),NA())</ns0:f>
        <ns0:v/>
      </ns0:c>
      <ns0:c r="D1905">
        <ns0:f>IFERROR(IF(ISNUMBER($A1905),IF(AND(AH!$P$10=1,AH!$P$12=1,$A1905=TODAY()),AH!$P$18,IF(AH!$P$10=1,INDEX('Live History'!$E$5:$E$3004,MATCH($A1905,'Live History'!$D$5:$D$3004,1)),INDEX('AH History'!$C$1:$C$18046,AH!$P$7+1900))),NA()),NA())</ns0:f>
        <ns0:v/>
      </ns0:c>
      <ns0:c r="E1905">
        <ns0:f>IFERROR(IF(ISNUMBER($A1905),IF(AND(AH!$P$10=1,AH!$P$12=1,$A1905=TODAY()),AH!$P$20,IF(AH!$P$10=1,INDEX('Live History'!$H$5:$H$3004,MATCH($A1905,'Live History'!$G$5:$G$3004,1)),INDEX('AH History'!$D$1:$D$18046,AH!$P$7+1900))),NA()),NA())</ns0:f>
        <ns0:v/>
      </ns0:c>
      <ns0:c r="F1905">
        <ns0:f>IFERROR(IF(ISNUMBER($A1905),IF(AND(AH!$P$10=1,AH!$P$12=1,$A1905=TODAY()),IF(AND(AH!$P$10=1,AH!$P$12=1,$A1905=TODAY()),TODAY(),NA()),IF(AH!$P$10=1,INDEX('Live History'!$D$5:$D$3004,MATCH($A1905,'Live History'!$D$5:$D$3004,1)),INDEX('AH History'!$E$1:$E$18046,AH!$P$7+1900))),NA()),NA())</ns0:f>
        <ns0:v/>
      </ns0:c>
      <ns0:c r="G1905">
        <ns0:f>IFERROR(IF(ISNUMBER($A1905),IF(AND(AH!$P$10=1,AH!$P$12=1,$A1905=TODAY()),IF(AND(AH!$P$10=1,AH!$P$12=1,$A1905=TODAY()),TODAY(),NA()),IF(AH!$P$10=1,INDEX('Live History'!$G$5:$G$3004,MATCH($A1905,'Live History'!$G$5:$G$3004,1)),INDEX('AH History'!$F$1:$F$18046,AH!$P$7+1900))),NA()),NA())</ns0:f>
        <ns0:v/>
      </ns0:c>
      <ns0:c r="H1905">
        <ns0:f>IFERROR(IF(AND(AH!$E$4="Bloomberg",AH!$P$10=1,ISNUMBER($A1905),$A1905&lt;=AH!$P$17),AH!$P$7-1+MATCH($A1905,INDEX('AH History'!$A$1:$A$18046,AH!$P$7):INDEX('AH History'!$A$1:$A$18046,AH!$P$7+AH!$P$8-1),0),0),0)</ns0:f>
        <ns0:v/>
      </ns0:c>
      <ns0:c r="I1905">
        <ns0:f>IF($H1905=0,0,IFERROR(IF(AND(ABS($C1905-INDEX('AH History'!$B$1:$B$18046,$H1905))&lt;=MAX(0.005,ABS(INDEX('AH History'!$B$1:$B$18046,$H1905))*0.00005),ABS($D1905-INDEX('AH History'!$C$1:$C$18046,$H1905))&lt;=MAX(0.005,ABS(INDEX('AH History'!$C$1:$C$18046,$H1905))*0.00005),ABS($E1905-INDEX('AH History'!$D$1:$D$18046,$H1905))&lt;=0.00005,$F1905=INDEX('AH History'!$E$1:$E$18046,$H1905),$G1905=INDEX('AH History'!$F$1:$F$18046,$H1905)),1,-1),-1))</ns0:f>
        <ns0:v/>
      </ns0:c>
    </ns0:row>
    <ns0:row r="1906">
      <ns0:c r="A1906" s="215">
        <ns0:f>IF(OR(AH!$P$3=0,1901+1&gt;AH!$P$11,AND(AH!$E$4&lt;&gt;"Stored",AH!$P$10&lt;&gt;1)),"",IFERROR(IF(AND(AH!$P$21=1,1901+1=AH!$P$11),TODAY(),IF(AH!$P$10=1,INDEX('Live History'!$A$5:$A$3004,AH!$P$13+1901),INDEX('AH History'!$A$1:$A$18046,AH!$P$7+1901))),""))</ns0:f>
        <ns0:v/>
      </ns0:c>
      <ns0:c r="B1906" s="219">
        <ns0:f>IFERROR(IF(AND(AH!$P$9&lt;&gt;1,$C1906&gt;0,$D1906&gt;0,$E1906&gt;0,$F1906&gt;0,$G1906&gt;0,$F1906&lt;=$A1906,$G1906&lt;=$A1906,$A1906-$F1906&lt;=10,$A1906-$G1906&lt;=5),$D1906*$E1906/$C1906-1,NA()),NA())</ns0:f>
        <ns0:v/>
      </ns0:c>
      <ns0:c r="C1906">
        <ns0:f>IFERROR(IF(ISNUMBER($A1906),IF(AND(AH!$P$10=1,AH!$P$12=1,$A1906=TODAY()),AH!$P$19,IF(AH!$P$10=1,INDEX('Live History'!$B$5:$B$3004,AH!$P$13+1901),INDEX('AH History'!$B$1:$B$18046,AH!$P$7+1901))),NA()),NA())</ns0:f>
        <ns0:v/>
      </ns0:c>
      <ns0:c r="D1906">
        <ns0:f>IFERROR(IF(ISNUMBER($A1906),IF(AND(AH!$P$10=1,AH!$P$12=1,$A1906=TODAY()),AH!$P$18,IF(AH!$P$10=1,INDEX('Live History'!$E$5:$E$3004,MATCH($A1906,'Live History'!$D$5:$D$3004,1)),INDEX('AH History'!$C$1:$C$18046,AH!$P$7+1901))),NA()),NA())</ns0:f>
        <ns0:v/>
      </ns0:c>
      <ns0:c r="E1906">
        <ns0:f>IFERROR(IF(ISNUMBER($A1906),IF(AND(AH!$P$10=1,AH!$P$12=1,$A1906=TODAY()),AH!$P$20,IF(AH!$P$10=1,INDEX('Live History'!$H$5:$H$3004,MATCH($A1906,'Live History'!$G$5:$G$3004,1)),INDEX('AH History'!$D$1:$D$18046,AH!$P$7+1901))),NA()),NA())</ns0:f>
        <ns0:v/>
      </ns0:c>
      <ns0:c r="F1906">
        <ns0:f>IFERROR(IF(ISNUMBER($A1906),IF(AND(AH!$P$10=1,AH!$P$12=1,$A1906=TODAY()),IF(AND(AH!$P$10=1,AH!$P$12=1,$A1906=TODAY()),TODAY(),NA()),IF(AH!$P$10=1,INDEX('Live History'!$D$5:$D$3004,MATCH($A1906,'Live History'!$D$5:$D$3004,1)),INDEX('AH History'!$E$1:$E$18046,AH!$P$7+1901))),NA()),NA())</ns0:f>
        <ns0:v/>
      </ns0:c>
      <ns0:c r="G1906">
        <ns0:f>IFERROR(IF(ISNUMBER($A1906),IF(AND(AH!$P$10=1,AH!$P$12=1,$A1906=TODAY()),IF(AND(AH!$P$10=1,AH!$P$12=1,$A1906=TODAY()),TODAY(),NA()),IF(AH!$P$10=1,INDEX('Live History'!$G$5:$G$3004,MATCH($A1906,'Live History'!$G$5:$G$3004,1)),INDEX('AH History'!$F$1:$F$18046,AH!$P$7+1901))),NA()),NA())</ns0:f>
        <ns0:v/>
      </ns0:c>
      <ns0:c r="H1906">
        <ns0:f>IFERROR(IF(AND(AH!$E$4="Bloomberg",AH!$P$10=1,ISNUMBER($A1906),$A1906&lt;=AH!$P$17),AH!$P$7-1+MATCH($A1906,INDEX('AH History'!$A$1:$A$18046,AH!$P$7):INDEX('AH History'!$A$1:$A$18046,AH!$P$7+AH!$P$8-1),0),0),0)</ns0:f>
        <ns0:v/>
      </ns0:c>
      <ns0:c r="I1906">
        <ns0:f>IF($H1906=0,0,IFERROR(IF(AND(ABS($C1906-INDEX('AH History'!$B$1:$B$18046,$H1906))&lt;=MAX(0.005,ABS(INDEX('AH History'!$B$1:$B$18046,$H1906))*0.00005),ABS($D1906-INDEX('AH History'!$C$1:$C$18046,$H1906))&lt;=MAX(0.005,ABS(INDEX('AH History'!$C$1:$C$18046,$H1906))*0.00005),ABS($E1906-INDEX('AH History'!$D$1:$D$18046,$H1906))&lt;=0.00005,$F1906=INDEX('AH History'!$E$1:$E$18046,$H1906),$G1906=INDEX('AH History'!$F$1:$F$18046,$H1906)),1,-1),-1))</ns0:f>
        <ns0:v/>
      </ns0:c>
    </ns0:row>
    <ns0:row r="1907">
      <ns0:c r="A1907" s="215">
        <ns0:f>IF(OR(AH!$P$3=0,1902+1&gt;AH!$P$11,AND(AH!$E$4&lt;&gt;"Stored",AH!$P$10&lt;&gt;1)),"",IFERROR(IF(AND(AH!$P$21=1,1902+1=AH!$P$11),TODAY(),IF(AH!$P$10=1,INDEX('Live History'!$A$5:$A$3004,AH!$P$13+1902),INDEX('AH History'!$A$1:$A$18046,AH!$P$7+1902))),""))</ns0:f>
        <ns0:v/>
      </ns0:c>
      <ns0:c r="B1907" s="219">
        <ns0:f>IFERROR(IF(AND(AH!$P$9&lt;&gt;1,$C1907&gt;0,$D1907&gt;0,$E1907&gt;0,$F1907&gt;0,$G1907&gt;0,$F1907&lt;=$A1907,$G1907&lt;=$A1907,$A1907-$F1907&lt;=10,$A1907-$G1907&lt;=5),$D1907*$E1907/$C1907-1,NA()),NA())</ns0:f>
        <ns0:v/>
      </ns0:c>
      <ns0:c r="C1907">
        <ns0:f>IFERROR(IF(ISNUMBER($A1907),IF(AND(AH!$P$10=1,AH!$P$12=1,$A1907=TODAY()),AH!$P$19,IF(AH!$P$10=1,INDEX('Live History'!$B$5:$B$3004,AH!$P$13+1902),INDEX('AH History'!$B$1:$B$18046,AH!$P$7+1902))),NA()),NA())</ns0:f>
        <ns0:v/>
      </ns0:c>
      <ns0:c r="D1907">
        <ns0:f>IFERROR(IF(ISNUMBER($A1907),IF(AND(AH!$P$10=1,AH!$P$12=1,$A1907=TODAY()),AH!$P$18,IF(AH!$P$10=1,INDEX('Live History'!$E$5:$E$3004,MATCH($A1907,'Live History'!$D$5:$D$3004,1)),INDEX('AH History'!$C$1:$C$18046,AH!$P$7+1902))),NA()),NA())</ns0:f>
        <ns0:v/>
      </ns0:c>
      <ns0:c r="E1907">
        <ns0:f>IFERROR(IF(ISNUMBER($A1907),IF(AND(AH!$P$10=1,AH!$P$12=1,$A1907=TODAY()),AH!$P$20,IF(AH!$P$10=1,INDEX('Live History'!$H$5:$H$3004,MATCH($A1907,'Live History'!$G$5:$G$3004,1)),INDEX('AH History'!$D$1:$D$18046,AH!$P$7+1902))),NA()),NA())</ns0:f>
        <ns0:v/>
      </ns0:c>
      <ns0:c r="F1907">
        <ns0:f>IFERROR(IF(ISNUMBER($A1907),IF(AND(AH!$P$10=1,AH!$P$12=1,$A1907=TODAY()),IF(AND(AH!$P$10=1,AH!$P$12=1,$A1907=TODAY()),TODAY(),NA()),IF(AH!$P$10=1,INDEX('Live History'!$D$5:$D$3004,MATCH($A1907,'Live History'!$D$5:$D$3004,1)),INDEX('AH History'!$E$1:$E$18046,AH!$P$7+1902))),NA()),NA())</ns0:f>
        <ns0:v/>
      </ns0:c>
      <ns0:c r="G1907">
        <ns0:f>IFERROR(IF(ISNUMBER($A1907),IF(AND(AH!$P$10=1,AH!$P$12=1,$A1907=TODAY()),IF(AND(AH!$P$10=1,AH!$P$12=1,$A1907=TODAY()),TODAY(),NA()),IF(AH!$P$10=1,INDEX('Live History'!$G$5:$G$3004,MATCH($A1907,'Live History'!$G$5:$G$3004,1)),INDEX('AH History'!$F$1:$F$18046,AH!$P$7+1902))),NA()),NA())</ns0:f>
        <ns0:v/>
      </ns0:c>
      <ns0:c r="H1907">
        <ns0:f>IFERROR(IF(AND(AH!$E$4="Bloomberg",AH!$P$10=1,ISNUMBER($A1907),$A1907&lt;=AH!$P$17),AH!$P$7-1+MATCH($A1907,INDEX('AH History'!$A$1:$A$18046,AH!$P$7):INDEX('AH History'!$A$1:$A$18046,AH!$P$7+AH!$P$8-1),0),0),0)</ns0:f>
        <ns0:v/>
      </ns0:c>
      <ns0:c r="I1907">
        <ns0:f>IF($H1907=0,0,IFERROR(IF(AND(ABS($C1907-INDEX('AH History'!$B$1:$B$18046,$H1907))&lt;=MAX(0.005,ABS(INDEX('AH History'!$B$1:$B$18046,$H1907))*0.00005),ABS($D1907-INDEX('AH History'!$C$1:$C$18046,$H1907))&lt;=MAX(0.005,ABS(INDEX('AH History'!$C$1:$C$18046,$H1907))*0.00005),ABS($E1907-INDEX('AH History'!$D$1:$D$18046,$H1907))&lt;=0.00005,$F1907=INDEX('AH History'!$E$1:$E$18046,$H1907),$G1907=INDEX('AH History'!$F$1:$F$18046,$H1907)),1,-1),-1))</ns0:f>
        <ns0:v/>
      </ns0:c>
    </ns0:row>
    <ns0:row r="1908">
      <ns0:c r="A1908" s="215">
        <ns0:f>IF(OR(AH!$P$3=0,1903+1&gt;AH!$P$11,AND(AH!$E$4&lt;&gt;"Stored",AH!$P$10&lt;&gt;1)),"",IFERROR(IF(AND(AH!$P$21=1,1903+1=AH!$P$11),TODAY(),IF(AH!$P$10=1,INDEX('Live History'!$A$5:$A$3004,AH!$P$13+1903),INDEX('AH History'!$A$1:$A$18046,AH!$P$7+1903))),""))</ns0:f>
        <ns0:v/>
      </ns0:c>
      <ns0:c r="B1908" s="219">
        <ns0:f>IFERROR(IF(AND(AH!$P$9&lt;&gt;1,$C1908&gt;0,$D1908&gt;0,$E1908&gt;0,$F1908&gt;0,$G1908&gt;0,$F1908&lt;=$A1908,$G1908&lt;=$A1908,$A1908-$F1908&lt;=10,$A1908-$G1908&lt;=5),$D1908*$E1908/$C1908-1,NA()),NA())</ns0:f>
        <ns0:v/>
      </ns0:c>
      <ns0:c r="C1908">
        <ns0:f>IFERROR(IF(ISNUMBER($A1908),IF(AND(AH!$P$10=1,AH!$P$12=1,$A1908=TODAY()),AH!$P$19,IF(AH!$P$10=1,INDEX('Live History'!$B$5:$B$3004,AH!$P$13+1903),INDEX('AH History'!$B$1:$B$18046,AH!$P$7+1903))),NA()),NA())</ns0:f>
        <ns0:v/>
      </ns0:c>
      <ns0:c r="D1908">
        <ns0:f>IFERROR(IF(ISNUMBER($A1908),IF(AND(AH!$P$10=1,AH!$P$12=1,$A1908=TODAY()),AH!$P$18,IF(AH!$P$10=1,INDEX('Live History'!$E$5:$E$3004,MATCH($A1908,'Live History'!$D$5:$D$3004,1)),INDEX('AH History'!$C$1:$C$18046,AH!$P$7+1903))),NA()),NA())</ns0:f>
        <ns0:v/>
      </ns0:c>
      <ns0:c r="E1908">
        <ns0:f>IFERROR(IF(ISNUMBER($A1908),IF(AND(AH!$P$10=1,AH!$P$12=1,$A1908=TODAY()),AH!$P$20,IF(AH!$P$10=1,INDEX('Live History'!$H$5:$H$3004,MATCH($A1908,'Live History'!$G$5:$G$3004,1)),INDEX('AH History'!$D$1:$D$18046,AH!$P$7+1903))),NA()),NA())</ns0:f>
        <ns0:v/>
      </ns0:c>
      <ns0:c r="F1908">
        <ns0:f>IFERROR(IF(ISNUMBER($A1908),IF(AND(AH!$P$10=1,AH!$P$12=1,$A1908=TODAY()),IF(AND(AH!$P$10=1,AH!$P$12=1,$A1908=TODAY()),TODAY(),NA()),IF(AH!$P$10=1,INDEX('Live History'!$D$5:$D$3004,MATCH($A1908,'Live History'!$D$5:$D$3004,1)),INDEX('AH History'!$E$1:$E$18046,AH!$P$7+1903))),NA()),NA())</ns0:f>
        <ns0:v/>
      </ns0:c>
      <ns0:c r="G1908">
        <ns0:f>IFERROR(IF(ISNUMBER($A1908),IF(AND(AH!$P$10=1,AH!$P$12=1,$A1908=TODAY()),IF(AND(AH!$P$10=1,AH!$P$12=1,$A1908=TODAY()),TODAY(),NA()),IF(AH!$P$10=1,INDEX('Live History'!$G$5:$G$3004,MATCH($A1908,'Live History'!$G$5:$G$3004,1)),INDEX('AH History'!$F$1:$F$18046,AH!$P$7+1903))),NA()),NA())</ns0:f>
        <ns0:v/>
      </ns0:c>
      <ns0:c r="H1908">
        <ns0:f>IFERROR(IF(AND(AH!$E$4="Bloomberg",AH!$P$10=1,ISNUMBER($A1908),$A1908&lt;=AH!$P$17),AH!$P$7-1+MATCH($A1908,INDEX('AH History'!$A$1:$A$18046,AH!$P$7):INDEX('AH History'!$A$1:$A$18046,AH!$P$7+AH!$P$8-1),0),0),0)</ns0:f>
        <ns0:v/>
      </ns0:c>
      <ns0:c r="I1908">
        <ns0:f>IF($H1908=0,0,IFERROR(IF(AND(ABS($C1908-INDEX('AH History'!$B$1:$B$18046,$H1908))&lt;=MAX(0.005,ABS(INDEX('AH History'!$B$1:$B$18046,$H1908))*0.00005),ABS($D1908-INDEX('AH History'!$C$1:$C$18046,$H1908))&lt;=MAX(0.005,ABS(INDEX('AH History'!$C$1:$C$18046,$H1908))*0.00005),ABS($E1908-INDEX('AH History'!$D$1:$D$18046,$H1908))&lt;=0.00005,$F1908=INDEX('AH History'!$E$1:$E$18046,$H1908),$G1908=INDEX('AH History'!$F$1:$F$18046,$H1908)),1,-1),-1))</ns0:f>
        <ns0:v/>
      </ns0:c>
    </ns0:row>
    <ns0:row r="1909">
      <ns0:c r="A1909" s="215">
        <ns0:f>IF(OR(AH!$P$3=0,1904+1&gt;AH!$P$11,AND(AH!$E$4&lt;&gt;"Stored",AH!$P$10&lt;&gt;1)),"",IFERROR(IF(AND(AH!$P$21=1,1904+1=AH!$P$11),TODAY(),IF(AH!$P$10=1,INDEX('Live History'!$A$5:$A$3004,AH!$P$13+1904),INDEX('AH History'!$A$1:$A$18046,AH!$P$7+1904))),""))</ns0:f>
        <ns0:v/>
      </ns0:c>
      <ns0:c r="B1909" s="219">
        <ns0:f>IFERROR(IF(AND(AH!$P$9&lt;&gt;1,$C1909&gt;0,$D1909&gt;0,$E1909&gt;0,$F1909&gt;0,$G1909&gt;0,$F1909&lt;=$A1909,$G1909&lt;=$A1909,$A1909-$F1909&lt;=10,$A1909-$G1909&lt;=5),$D1909*$E1909/$C1909-1,NA()),NA())</ns0:f>
        <ns0:v/>
      </ns0:c>
      <ns0:c r="C1909">
        <ns0:f>IFERROR(IF(ISNUMBER($A1909),IF(AND(AH!$P$10=1,AH!$P$12=1,$A1909=TODAY()),AH!$P$19,IF(AH!$P$10=1,INDEX('Live History'!$B$5:$B$3004,AH!$P$13+1904),INDEX('AH History'!$B$1:$B$18046,AH!$P$7+1904))),NA()),NA())</ns0:f>
        <ns0:v/>
      </ns0:c>
      <ns0:c r="D1909">
        <ns0:f>IFERROR(IF(ISNUMBER($A1909),IF(AND(AH!$P$10=1,AH!$P$12=1,$A1909=TODAY()),AH!$P$18,IF(AH!$P$10=1,INDEX('Live History'!$E$5:$E$3004,MATCH($A1909,'Live History'!$D$5:$D$3004,1)),INDEX('AH History'!$C$1:$C$18046,AH!$P$7+1904))),NA()),NA())</ns0:f>
        <ns0:v/>
      </ns0:c>
      <ns0:c r="E1909">
        <ns0:f>IFERROR(IF(ISNUMBER($A1909),IF(AND(AH!$P$10=1,AH!$P$12=1,$A1909=TODAY()),AH!$P$20,IF(AH!$P$10=1,INDEX('Live History'!$H$5:$H$3004,MATCH($A1909,'Live History'!$G$5:$G$3004,1)),INDEX('AH History'!$D$1:$D$18046,AH!$P$7+1904))),NA()),NA())</ns0:f>
        <ns0:v/>
      </ns0:c>
      <ns0:c r="F1909">
        <ns0:f>IFERROR(IF(ISNUMBER($A1909),IF(AND(AH!$P$10=1,AH!$P$12=1,$A1909=TODAY()),IF(AND(AH!$P$10=1,AH!$P$12=1,$A1909=TODAY()),TODAY(),NA()),IF(AH!$P$10=1,INDEX('Live History'!$D$5:$D$3004,MATCH($A1909,'Live History'!$D$5:$D$3004,1)),INDEX('AH History'!$E$1:$E$18046,AH!$P$7+1904))),NA()),NA())</ns0:f>
        <ns0:v/>
      </ns0:c>
      <ns0:c r="G1909">
        <ns0:f>IFERROR(IF(ISNUMBER($A1909),IF(AND(AH!$P$10=1,AH!$P$12=1,$A1909=TODAY()),IF(AND(AH!$P$10=1,AH!$P$12=1,$A1909=TODAY()),TODAY(),NA()),IF(AH!$P$10=1,INDEX('Live History'!$G$5:$G$3004,MATCH($A1909,'Live History'!$G$5:$G$3004,1)),INDEX('AH History'!$F$1:$F$18046,AH!$P$7+1904))),NA()),NA())</ns0:f>
        <ns0:v/>
      </ns0:c>
      <ns0:c r="H1909">
        <ns0:f>IFERROR(IF(AND(AH!$E$4="Bloomberg",AH!$P$10=1,ISNUMBER($A1909),$A1909&lt;=AH!$P$17),AH!$P$7-1+MATCH($A1909,INDEX('AH History'!$A$1:$A$18046,AH!$P$7):INDEX('AH History'!$A$1:$A$18046,AH!$P$7+AH!$P$8-1),0),0),0)</ns0:f>
        <ns0:v/>
      </ns0:c>
      <ns0:c r="I1909">
        <ns0:f>IF($H1909=0,0,IFERROR(IF(AND(ABS($C1909-INDEX('AH History'!$B$1:$B$18046,$H1909))&lt;=MAX(0.005,ABS(INDEX('AH History'!$B$1:$B$18046,$H1909))*0.00005),ABS($D1909-INDEX('AH History'!$C$1:$C$18046,$H1909))&lt;=MAX(0.005,ABS(INDEX('AH History'!$C$1:$C$18046,$H1909))*0.00005),ABS($E1909-INDEX('AH History'!$D$1:$D$18046,$H1909))&lt;=0.00005,$F1909=INDEX('AH History'!$E$1:$E$18046,$H1909),$G1909=INDEX('AH History'!$F$1:$F$18046,$H1909)),1,-1),-1))</ns0:f>
        <ns0:v/>
      </ns0:c>
    </ns0:row>
    <ns0:row r="1910">
      <ns0:c r="A1910" s="215">
        <ns0:f>IF(OR(AH!$P$3=0,1905+1&gt;AH!$P$11,AND(AH!$E$4&lt;&gt;"Stored",AH!$P$10&lt;&gt;1)),"",IFERROR(IF(AND(AH!$P$21=1,1905+1=AH!$P$11),TODAY(),IF(AH!$P$10=1,INDEX('Live History'!$A$5:$A$3004,AH!$P$13+1905),INDEX('AH History'!$A$1:$A$18046,AH!$P$7+1905))),""))</ns0:f>
        <ns0:v/>
      </ns0:c>
      <ns0:c r="B1910" s="219">
        <ns0:f>IFERROR(IF(AND(AH!$P$9&lt;&gt;1,$C1910&gt;0,$D1910&gt;0,$E1910&gt;0,$F1910&gt;0,$G1910&gt;0,$F1910&lt;=$A1910,$G1910&lt;=$A1910,$A1910-$F1910&lt;=10,$A1910-$G1910&lt;=5),$D1910*$E1910/$C1910-1,NA()),NA())</ns0:f>
        <ns0:v/>
      </ns0:c>
      <ns0:c r="C1910">
        <ns0:f>IFERROR(IF(ISNUMBER($A1910),IF(AND(AH!$P$10=1,AH!$P$12=1,$A1910=TODAY()),AH!$P$19,IF(AH!$P$10=1,INDEX('Live History'!$B$5:$B$3004,AH!$P$13+1905),INDEX('AH History'!$B$1:$B$18046,AH!$P$7+1905))),NA()),NA())</ns0:f>
        <ns0:v/>
      </ns0:c>
      <ns0:c r="D1910">
        <ns0:f>IFERROR(IF(ISNUMBER($A1910),IF(AND(AH!$P$10=1,AH!$P$12=1,$A1910=TODAY()),AH!$P$18,IF(AH!$P$10=1,INDEX('Live History'!$E$5:$E$3004,MATCH($A1910,'Live History'!$D$5:$D$3004,1)),INDEX('AH History'!$C$1:$C$18046,AH!$P$7+1905))),NA()),NA())</ns0:f>
        <ns0:v/>
      </ns0:c>
      <ns0:c r="E1910">
        <ns0:f>IFERROR(IF(ISNUMBER($A1910),IF(AND(AH!$P$10=1,AH!$P$12=1,$A1910=TODAY()),AH!$P$20,IF(AH!$P$10=1,INDEX('Live History'!$H$5:$H$3004,MATCH($A1910,'Live History'!$G$5:$G$3004,1)),INDEX('AH History'!$D$1:$D$18046,AH!$P$7+1905))),NA()),NA())</ns0:f>
        <ns0:v/>
      </ns0:c>
      <ns0:c r="F1910">
        <ns0:f>IFERROR(IF(ISNUMBER($A1910),IF(AND(AH!$P$10=1,AH!$P$12=1,$A1910=TODAY()),IF(AND(AH!$P$10=1,AH!$P$12=1,$A1910=TODAY()),TODAY(),NA()),IF(AH!$P$10=1,INDEX('Live History'!$D$5:$D$3004,MATCH($A1910,'Live History'!$D$5:$D$3004,1)),INDEX('AH History'!$E$1:$E$18046,AH!$P$7+1905))),NA()),NA())</ns0:f>
        <ns0:v/>
      </ns0:c>
      <ns0:c r="G1910">
        <ns0:f>IFERROR(IF(ISNUMBER($A1910),IF(AND(AH!$P$10=1,AH!$P$12=1,$A1910=TODAY()),IF(AND(AH!$P$10=1,AH!$P$12=1,$A1910=TODAY()),TODAY(),NA()),IF(AH!$P$10=1,INDEX('Live History'!$G$5:$G$3004,MATCH($A1910,'Live History'!$G$5:$G$3004,1)),INDEX('AH History'!$F$1:$F$18046,AH!$P$7+1905))),NA()),NA())</ns0:f>
        <ns0:v/>
      </ns0:c>
      <ns0:c r="H1910">
        <ns0:f>IFERROR(IF(AND(AH!$E$4="Bloomberg",AH!$P$10=1,ISNUMBER($A1910),$A1910&lt;=AH!$P$17),AH!$P$7-1+MATCH($A1910,INDEX('AH History'!$A$1:$A$18046,AH!$P$7):INDEX('AH History'!$A$1:$A$18046,AH!$P$7+AH!$P$8-1),0),0),0)</ns0:f>
        <ns0:v/>
      </ns0:c>
      <ns0:c r="I1910">
        <ns0:f>IF($H1910=0,0,IFERROR(IF(AND(ABS($C1910-INDEX('AH History'!$B$1:$B$18046,$H1910))&lt;=MAX(0.005,ABS(INDEX('AH History'!$B$1:$B$18046,$H1910))*0.00005),ABS($D1910-INDEX('AH History'!$C$1:$C$18046,$H1910))&lt;=MAX(0.005,ABS(INDEX('AH History'!$C$1:$C$18046,$H1910))*0.00005),ABS($E1910-INDEX('AH History'!$D$1:$D$18046,$H1910))&lt;=0.00005,$F1910=INDEX('AH History'!$E$1:$E$18046,$H1910),$G1910=INDEX('AH History'!$F$1:$F$18046,$H1910)),1,-1),-1))</ns0:f>
        <ns0:v/>
      </ns0:c>
    </ns0:row>
    <ns0:row r="1911">
      <ns0:c r="A1911" s="215">
        <ns0:f>IF(OR(AH!$P$3=0,1906+1&gt;AH!$P$11,AND(AH!$E$4&lt;&gt;"Stored",AH!$P$10&lt;&gt;1)),"",IFERROR(IF(AND(AH!$P$21=1,1906+1=AH!$P$11),TODAY(),IF(AH!$P$10=1,INDEX('Live History'!$A$5:$A$3004,AH!$P$13+1906),INDEX('AH History'!$A$1:$A$18046,AH!$P$7+1906))),""))</ns0:f>
        <ns0:v/>
      </ns0:c>
      <ns0:c r="B1911" s="219">
        <ns0:f>IFERROR(IF(AND(AH!$P$9&lt;&gt;1,$C1911&gt;0,$D1911&gt;0,$E1911&gt;0,$F1911&gt;0,$G1911&gt;0,$F1911&lt;=$A1911,$G1911&lt;=$A1911,$A1911-$F1911&lt;=10,$A1911-$G1911&lt;=5),$D1911*$E1911/$C1911-1,NA()),NA())</ns0:f>
        <ns0:v/>
      </ns0:c>
      <ns0:c r="C1911">
        <ns0:f>IFERROR(IF(ISNUMBER($A1911),IF(AND(AH!$P$10=1,AH!$P$12=1,$A1911=TODAY()),AH!$P$19,IF(AH!$P$10=1,INDEX('Live History'!$B$5:$B$3004,AH!$P$13+1906),INDEX('AH History'!$B$1:$B$18046,AH!$P$7+1906))),NA()),NA())</ns0:f>
        <ns0:v/>
      </ns0:c>
      <ns0:c r="D1911">
        <ns0:f>IFERROR(IF(ISNUMBER($A1911),IF(AND(AH!$P$10=1,AH!$P$12=1,$A1911=TODAY()),AH!$P$18,IF(AH!$P$10=1,INDEX('Live History'!$E$5:$E$3004,MATCH($A1911,'Live History'!$D$5:$D$3004,1)),INDEX('AH History'!$C$1:$C$18046,AH!$P$7+1906))),NA()),NA())</ns0:f>
        <ns0:v/>
      </ns0:c>
      <ns0:c r="E1911">
        <ns0:f>IFERROR(IF(ISNUMBER($A1911),IF(AND(AH!$P$10=1,AH!$P$12=1,$A1911=TODAY()),AH!$P$20,IF(AH!$P$10=1,INDEX('Live History'!$H$5:$H$3004,MATCH($A1911,'Live History'!$G$5:$G$3004,1)),INDEX('AH History'!$D$1:$D$18046,AH!$P$7+1906))),NA()),NA())</ns0:f>
        <ns0:v/>
      </ns0:c>
      <ns0:c r="F1911">
        <ns0:f>IFERROR(IF(ISNUMBER($A1911),IF(AND(AH!$P$10=1,AH!$P$12=1,$A1911=TODAY()),IF(AND(AH!$P$10=1,AH!$P$12=1,$A1911=TODAY()),TODAY(),NA()),IF(AH!$P$10=1,INDEX('Live History'!$D$5:$D$3004,MATCH($A1911,'Live History'!$D$5:$D$3004,1)),INDEX('AH History'!$E$1:$E$18046,AH!$P$7+1906))),NA()),NA())</ns0:f>
        <ns0:v/>
      </ns0:c>
      <ns0:c r="G1911">
        <ns0:f>IFERROR(IF(ISNUMBER($A1911),IF(AND(AH!$P$10=1,AH!$P$12=1,$A1911=TODAY()),IF(AND(AH!$P$10=1,AH!$P$12=1,$A1911=TODAY()),TODAY(),NA()),IF(AH!$P$10=1,INDEX('Live History'!$G$5:$G$3004,MATCH($A1911,'Live History'!$G$5:$G$3004,1)),INDEX('AH History'!$F$1:$F$18046,AH!$P$7+1906))),NA()),NA())</ns0:f>
        <ns0:v/>
      </ns0:c>
      <ns0:c r="H1911">
        <ns0:f>IFERROR(IF(AND(AH!$E$4="Bloomberg",AH!$P$10=1,ISNUMBER($A1911),$A1911&lt;=AH!$P$17),AH!$P$7-1+MATCH($A1911,INDEX('AH History'!$A$1:$A$18046,AH!$P$7):INDEX('AH History'!$A$1:$A$18046,AH!$P$7+AH!$P$8-1),0),0),0)</ns0:f>
        <ns0:v/>
      </ns0:c>
      <ns0:c r="I1911">
        <ns0:f>IF($H1911=0,0,IFERROR(IF(AND(ABS($C1911-INDEX('AH History'!$B$1:$B$18046,$H1911))&lt;=MAX(0.005,ABS(INDEX('AH History'!$B$1:$B$18046,$H1911))*0.00005),ABS($D1911-INDEX('AH History'!$C$1:$C$18046,$H1911))&lt;=MAX(0.005,ABS(INDEX('AH History'!$C$1:$C$18046,$H1911))*0.00005),ABS($E1911-INDEX('AH History'!$D$1:$D$18046,$H1911))&lt;=0.00005,$F1911=INDEX('AH History'!$E$1:$E$18046,$H1911),$G1911=INDEX('AH History'!$F$1:$F$18046,$H1911)),1,-1),-1))</ns0:f>
        <ns0:v/>
      </ns0:c>
    </ns0:row>
    <ns0:row r="1912">
      <ns0:c r="A1912" s="215">
        <ns0:f>IF(OR(AH!$P$3=0,1907+1&gt;AH!$P$11,AND(AH!$E$4&lt;&gt;"Stored",AH!$P$10&lt;&gt;1)),"",IFERROR(IF(AND(AH!$P$21=1,1907+1=AH!$P$11),TODAY(),IF(AH!$P$10=1,INDEX('Live History'!$A$5:$A$3004,AH!$P$13+1907),INDEX('AH History'!$A$1:$A$18046,AH!$P$7+1907))),""))</ns0:f>
        <ns0:v/>
      </ns0:c>
      <ns0:c r="B1912" s="219">
        <ns0:f>IFERROR(IF(AND(AH!$P$9&lt;&gt;1,$C1912&gt;0,$D1912&gt;0,$E1912&gt;0,$F1912&gt;0,$G1912&gt;0,$F1912&lt;=$A1912,$G1912&lt;=$A1912,$A1912-$F1912&lt;=10,$A1912-$G1912&lt;=5),$D1912*$E1912/$C1912-1,NA()),NA())</ns0:f>
        <ns0:v/>
      </ns0:c>
      <ns0:c r="C1912">
        <ns0:f>IFERROR(IF(ISNUMBER($A1912),IF(AND(AH!$P$10=1,AH!$P$12=1,$A1912=TODAY()),AH!$P$19,IF(AH!$P$10=1,INDEX('Live History'!$B$5:$B$3004,AH!$P$13+1907),INDEX('AH History'!$B$1:$B$18046,AH!$P$7+1907))),NA()),NA())</ns0:f>
        <ns0:v/>
      </ns0:c>
      <ns0:c r="D1912">
        <ns0:f>IFERROR(IF(ISNUMBER($A1912),IF(AND(AH!$P$10=1,AH!$P$12=1,$A1912=TODAY()),AH!$P$18,IF(AH!$P$10=1,INDEX('Live History'!$E$5:$E$3004,MATCH($A1912,'Live History'!$D$5:$D$3004,1)),INDEX('AH History'!$C$1:$C$18046,AH!$P$7+1907))),NA()),NA())</ns0:f>
        <ns0:v/>
      </ns0:c>
      <ns0:c r="E1912">
        <ns0:f>IFERROR(IF(ISNUMBER($A1912),IF(AND(AH!$P$10=1,AH!$P$12=1,$A1912=TODAY()),AH!$P$20,IF(AH!$P$10=1,INDEX('Live History'!$H$5:$H$3004,MATCH($A1912,'Live History'!$G$5:$G$3004,1)),INDEX('AH History'!$D$1:$D$18046,AH!$P$7+1907))),NA()),NA())</ns0:f>
        <ns0:v/>
      </ns0:c>
      <ns0:c r="F1912">
        <ns0:f>IFERROR(IF(ISNUMBER($A1912),IF(AND(AH!$P$10=1,AH!$P$12=1,$A1912=TODAY()),IF(AND(AH!$P$10=1,AH!$P$12=1,$A1912=TODAY()),TODAY(),NA()),IF(AH!$P$10=1,INDEX('Live History'!$D$5:$D$3004,MATCH($A1912,'Live History'!$D$5:$D$3004,1)),INDEX('AH History'!$E$1:$E$18046,AH!$P$7+1907))),NA()),NA())</ns0:f>
        <ns0:v/>
      </ns0:c>
      <ns0:c r="G1912">
        <ns0:f>IFERROR(IF(ISNUMBER($A1912),IF(AND(AH!$P$10=1,AH!$P$12=1,$A1912=TODAY()),IF(AND(AH!$P$10=1,AH!$P$12=1,$A1912=TODAY()),TODAY(),NA()),IF(AH!$P$10=1,INDEX('Live History'!$G$5:$G$3004,MATCH($A1912,'Live History'!$G$5:$G$3004,1)),INDEX('AH History'!$F$1:$F$18046,AH!$P$7+1907))),NA()),NA())</ns0:f>
        <ns0:v/>
      </ns0:c>
      <ns0:c r="H1912">
        <ns0:f>IFERROR(IF(AND(AH!$E$4="Bloomberg",AH!$P$10=1,ISNUMBER($A1912),$A1912&lt;=AH!$P$17),AH!$P$7-1+MATCH($A1912,INDEX('AH History'!$A$1:$A$18046,AH!$P$7):INDEX('AH History'!$A$1:$A$18046,AH!$P$7+AH!$P$8-1),0),0),0)</ns0:f>
        <ns0:v/>
      </ns0:c>
      <ns0:c r="I1912">
        <ns0:f>IF($H1912=0,0,IFERROR(IF(AND(ABS($C1912-INDEX('AH History'!$B$1:$B$18046,$H1912))&lt;=MAX(0.005,ABS(INDEX('AH History'!$B$1:$B$18046,$H1912))*0.00005),ABS($D1912-INDEX('AH History'!$C$1:$C$18046,$H1912))&lt;=MAX(0.005,ABS(INDEX('AH History'!$C$1:$C$18046,$H1912))*0.00005),ABS($E1912-INDEX('AH History'!$D$1:$D$18046,$H1912))&lt;=0.00005,$F1912=INDEX('AH History'!$E$1:$E$18046,$H1912),$G1912=INDEX('AH History'!$F$1:$F$18046,$H1912)),1,-1),-1))</ns0:f>
        <ns0:v/>
      </ns0:c>
    </ns0:row>
    <ns0:row r="1913">
      <ns0:c r="A1913" s="215">
        <ns0:f>IF(OR(AH!$P$3=0,1908+1&gt;AH!$P$11,AND(AH!$E$4&lt;&gt;"Stored",AH!$P$10&lt;&gt;1)),"",IFERROR(IF(AND(AH!$P$21=1,1908+1=AH!$P$11),TODAY(),IF(AH!$P$10=1,INDEX('Live History'!$A$5:$A$3004,AH!$P$13+1908),INDEX('AH History'!$A$1:$A$18046,AH!$P$7+1908))),""))</ns0:f>
        <ns0:v/>
      </ns0:c>
      <ns0:c r="B1913" s="219">
        <ns0:f>IFERROR(IF(AND(AH!$P$9&lt;&gt;1,$C1913&gt;0,$D1913&gt;0,$E1913&gt;0,$F1913&gt;0,$G1913&gt;0,$F1913&lt;=$A1913,$G1913&lt;=$A1913,$A1913-$F1913&lt;=10,$A1913-$G1913&lt;=5),$D1913*$E1913/$C1913-1,NA()),NA())</ns0:f>
        <ns0:v/>
      </ns0:c>
      <ns0:c r="C1913">
        <ns0:f>IFERROR(IF(ISNUMBER($A1913),IF(AND(AH!$P$10=1,AH!$P$12=1,$A1913=TODAY()),AH!$P$19,IF(AH!$P$10=1,INDEX('Live History'!$B$5:$B$3004,AH!$P$13+1908),INDEX('AH History'!$B$1:$B$18046,AH!$P$7+1908))),NA()),NA())</ns0:f>
        <ns0:v/>
      </ns0:c>
      <ns0:c r="D1913">
        <ns0:f>IFERROR(IF(ISNUMBER($A1913),IF(AND(AH!$P$10=1,AH!$P$12=1,$A1913=TODAY()),AH!$P$18,IF(AH!$P$10=1,INDEX('Live History'!$E$5:$E$3004,MATCH($A1913,'Live History'!$D$5:$D$3004,1)),INDEX('AH History'!$C$1:$C$18046,AH!$P$7+1908))),NA()),NA())</ns0:f>
        <ns0:v/>
      </ns0:c>
      <ns0:c r="E1913">
        <ns0:f>IFERROR(IF(ISNUMBER($A1913),IF(AND(AH!$P$10=1,AH!$P$12=1,$A1913=TODAY()),AH!$P$20,IF(AH!$P$10=1,INDEX('Live History'!$H$5:$H$3004,MATCH($A1913,'Live History'!$G$5:$G$3004,1)),INDEX('AH History'!$D$1:$D$18046,AH!$P$7+1908))),NA()),NA())</ns0:f>
        <ns0:v/>
      </ns0:c>
      <ns0:c r="F1913">
        <ns0:f>IFERROR(IF(ISNUMBER($A1913),IF(AND(AH!$P$10=1,AH!$P$12=1,$A1913=TODAY()),IF(AND(AH!$P$10=1,AH!$P$12=1,$A1913=TODAY()),TODAY(),NA()),IF(AH!$P$10=1,INDEX('Live History'!$D$5:$D$3004,MATCH($A1913,'Live History'!$D$5:$D$3004,1)),INDEX('AH History'!$E$1:$E$18046,AH!$P$7+1908))),NA()),NA())</ns0:f>
        <ns0:v/>
      </ns0:c>
      <ns0:c r="G1913">
        <ns0:f>IFERROR(IF(ISNUMBER($A1913),IF(AND(AH!$P$10=1,AH!$P$12=1,$A1913=TODAY()),IF(AND(AH!$P$10=1,AH!$P$12=1,$A1913=TODAY()),TODAY(),NA()),IF(AH!$P$10=1,INDEX('Live History'!$G$5:$G$3004,MATCH($A1913,'Live History'!$G$5:$G$3004,1)),INDEX('AH History'!$F$1:$F$18046,AH!$P$7+1908))),NA()),NA())</ns0:f>
        <ns0:v/>
      </ns0:c>
      <ns0:c r="H1913">
        <ns0:f>IFERROR(IF(AND(AH!$E$4="Bloomberg",AH!$P$10=1,ISNUMBER($A1913),$A1913&lt;=AH!$P$17),AH!$P$7-1+MATCH($A1913,INDEX('AH History'!$A$1:$A$18046,AH!$P$7):INDEX('AH History'!$A$1:$A$18046,AH!$P$7+AH!$P$8-1),0),0),0)</ns0:f>
        <ns0:v/>
      </ns0:c>
      <ns0:c r="I1913">
        <ns0:f>IF($H1913=0,0,IFERROR(IF(AND(ABS($C1913-INDEX('AH History'!$B$1:$B$18046,$H1913))&lt;=MAX(0.005,ABS(INDEX('AH History'!$B$1:$B$18046,$H1913))*0.00005),ABS($D1913-INDEX('AH History'!$C$1:$C$18046,$H1913))&lt;=MAX(0.005,ABS(INDEX('AH History'!$C$1:$C$18046,$H1913))*0.00005),ABS($E1913-INDEX('AH History'!$D$1:$D$18046,$H1913))&lt;=0.00005,$F1913=INDEX('AH History'!$E$1:$E$18046,$H1913),$G1913=INDEX('AH History'!$F$1:$F$18046,$H1913)),1,-1),-1))</ns0:f>
        <ns0:v/>
      </ns0:c>
    </ns0:row>
    <ns0:row r="1914">
      <ns0:c r="A1914" s="215">
        <ns0:f>IF(OR(AH!$P$3=0,1909+1&gt;AH!$P$11,AND(AH!$E$4&lt;&gt;"Stored",AH!$P$10&lt;&gt;1)),"",IFERROR(IF(AND(AH!$P$21=1,1909+1=AH!$P$11),TODAY(),IF(AH!$P$10=1,INDEX('Live History'!$A$5:$A$3004,AH!$P$13+1909),INDEX('AH History'!$A$1:$A$18046,AH!$P$7+1909))),""))</ns0:f>
        <ns0:v/>
      </ns0:c>
      <ns0:c r="B1914" s="219">
        <ns0:f>IFERROR(IF(AND(AH!$P$9&lt;&gt;1,$C1914&gt;0,$D1914&gt;0,$E1914&gt;0,$F1914&gt;0,$G1914&gt;0,$F1914&lt;=$A1914,$G1914&lt;=$A1914,$A1914-$F1914&lt;=10,$A1914-$G1914&lt;=5),$D1914*$E1914/$C1914-1,NA()),NA())</ns0:f>
        <ns0:v/>
      </ns0:c>
      <ns0:c r="C1914">
        <ns0:f>IFERROR(IF(ISNUMBER($A1914),IF(AND(AH!$P$10=1,AH!$P$12=1,$A1914=TODAY()),AH!$P$19,IF(AH!$P$10=1,INDEX('Live History'!$B$5:$B$3004,AH!$P$13+1909),INDEX('AH History'!$B$1:$B$18046,AH!$P$7+1909))),NA()),NA())</ns0:f>
        <ns0:v/>
      </ns0:c>
      <ns0:c r="D1914">
        <ns0:f>IFERROR(IF(ISNUMBER($A1914),IF(AND(AH!$P$10=1,AH!$P$12=1,$A1914=TODAY()),AH!$P$18,IF(AH!$P$10=1,INDEX('Live History'!$E$5:$E$3004,MATCH($A1914,'Live History'!$D$5:$D$3004,1)),INDEX('AH History'!$C$1:$C$18046,AH!$P$7+1909))),NA()),NA())</ns0:f>
        <ns0:v/>
      </ns0:c>
      <ns0:c r="E1914">
        <ns0:f>IFERROR(IF(ISNUMBER($A1914),IF(AND(AH!$P$10=1,AH!$P$12=1,$A1914=TODAY()),AH!$P$20,IF(AH!$P$10=1,INDEX('Live History'!$H$5:$H$3004,MATCH($A1914,'Live History'!$G$5:$G$3004,1)),INDEX('AH History'!$D$1:$D$18046,AH!$P$7+1909))),NA()),NA())</ns0:f>
        <ns0:v/>
      </ns0:c>
      <ns0:c r="F1914">
        <ns0:f>IFERROR(IF(ISNUMBER($A1914),IF(AND(AH!$P$10=1,AH!$P$12=1,$A1914=TODAY()),IF(AND(AH!$P$10=1,AH!$P$12=1,$A1914=TODAY()),TODAY(),NA()),IF(AH!$P$10=1,INDEX('Live History'!$D$5:$D$3004,MATCH($A1914,'Live History'!$D$5:$D$3004,1)),INDEX('AH History'!$E$1:$E$18046,AH!$P$7+1909))),NA()),NA())</ns0:f>
        <ns0:v/>
      </ns0:c>
      <ns0:c r="G1914">
        <ns0:f>IFERROR(IF(ISNUMBER($A1914),IF(AND(AH!$P$10=1,AH!$P$12=1,$A1914=TODAY()),IF(AND(AH!$P$10=1,AH!$P$12=1,$A1914=TODAY()),TODAY(),NA()),IF(AH!$P$10=1,INDEX('Live History'!$G$5:$G$3004,MATCH($A1914,'Live History'!$G$5:$G$3004,1)),INDEX('AH History'!$F$1:$F$18046,AH!$P$7+1909))),NA()),NA())</ns0:f>
        <ns0:v/>
      </ns0:c>
      <ns0:c r="H1914">
        <ns0:f>IFERROR(IF(AND(AH!$E$4="Bloomberg",AH!$P$10=1,ISNUMBER($A1914),$A1914&lt;=AH!$P$17),AH!$P$7-1+MATCH($A1914,INDEX('AH History'!$A$1:$A$18046,AH!$P$7):INDEX('AH History'!$A$1:$A$18046,AH!$P$7+AH!$P$8-1),0),0),0)</ns0:f>
        <ns0:v/>
      </ns0:c>
      <ns0:c r="I1914">
        <ns0:f>IF($H1914=0,0,IFERROR(IF(AND(ABS($C1914-INDEX('AH History'!$B$1:$B$18046,$H1914))&lt;=MAX(0.005,ABS(INDEX('AH History'!$B$1:$B$18046,$H1914))*0.00005),ABS($D1914-INDEX('AH History'!$C$1:$C$18046,$H1914))&lt;=MAX(0.005,ABS(INDEX('AH History'!$C$1:$C$18046,$H1914))*0.00005),ABS($E1914-INDEX('AH History'!$D$1:$D$18046,$H1914))&lt;=0.00005,$F1914=INDEX('AH History'!$E$1:$E$18046,$H1914),$G1914=INDEX('AH History'!$F$1:$F$18046,$H1914)),1,-1),-1))</ns0:f>
        <ns0:v/>
      </ns0:c>
    </ns0:row>
    <ns0:row r="1915">
      <ns0:c r="A1915" s="215">
        <ns0:f>IF(OR(AH!$P$3=0,1910+1&gt;AH!$P$11,AND(AH!$E$4&lt;&gt;"Stored",AH!$P$10&lt;&gt;1)),"",IFERROR(IF(AND(AH!$P$21=1,1910+1=AH!$P$11),TODAY(),IF(AH!$P$10=1,INDEX('Live History'!$A$5:$A$3004,AH!$P$13+1910),INDEX('AH History'!$A$1:$A$18046,AH!$P$7+1910))),""))</ns0:f>
        <ns0:v/>
      </ns0:c>
      <ns0:c r="B1915" s="219">
        <ns0:f>IFERROR(IF(AND(AH!$P$9&lt;&gt;1,$C1915&gt;0,$D1915&gt;0,$E1915&gt;0,$F1915&gt;0,$G1915&gt;0,$F1915&lt;=$A1915,$G1915&lt;=$A1915,$A1915-$F1915&lt;=10,$A1915-$G1915&lt;=5),$D1915*$E1915/$C1915-1,NA()),NA())</ns0:f>
        <ns0:v/>
      </ns0:c>
      <ns0:c r="C1915">
        <ns0:f>IFERROR(IF(ISNUMBER($A1915),IF(AND(AH!$P$10=1,AH!$P$12=1,$A1915=TODAY()),AH!$P$19,IF(AH!$P$10=1,INDEX('Live History'!$B$5:$B$3004,AH!$P$13+1910),INDEX('AH History'!$B$1:$B$18046,AH!$P$7+1910))),NA()),NA())</ns0:f>
        <ns0:v/>
      </ns0:c>
      <ns0:c r="D1915">
        <ns0:f>IFERROR(IF(ISNUMBER($A1915),IF(AND(AH!$P$10=1,AH!$P$12=1,$A1915=TODAY()),AH!$P$18,IF(AH!$P$10=1,INDEX('Live History'!$E$5:$E$3004,MATCH($A1915,'Live History'!$D$5:$D$3004,1)),INDEX('AH History'!$C$1:$C$18046,AH!$P$7+1910))),NA()),NA())</ns0:f>
        <ns0:v/>
      </ns0:c>
      <ns0:c r="E1915">
        <ns0:f>IFERROR(IF(ISNUMBER($A1915),IF(AND(AH!$P$10=1,AH!$P$12=1,$A1915=TODAY()),AH!$P$20,IF(AH!$P$10=1,INDEX('Live History'!$H$5:$H$3004,MATCH($A1915,'Live History'!$G$5:$G$3004,1)),INDEX('AH History'!$D$1:$D$18046,AH!$P$7+1910))),NA()),NA())</ns0:f>
        <ns0:v/>
      </ns0:c>
      <ns0:c r="F1915">
        <ns0:f>IFERROR(IF(ISNUMBER($A1915),IF(AND(AH!$P$10=1,AH!$P$12=1,$A1915=TODAY()),IF(AND(AH!$P$10=1,AH!$P$12=1,$A1915=TODAY()),TODAY(),NA()),IF(AH!$P$10=1,INDEX('Live History'!$D$5:$D$3004,MATCH($A1915,'Live History'!$D$5:$D$3004,1)),INDEX('AH History'!$E$1:$E$18046,AH!$P$7+1910))),NA()),NA())</ns0:f>
        <ns0:v/>
      </ns0:c>
      <ns0:c r="G1915">
        <ns0:f>IFERROR(IF(ISNUMBER($A1915),IF(AND(AH!$P$10=1,AH!$P$12=1,$A1915=TODAY()),IF(AND(AH!$P$10=1,AH!$P$12=1,$A1915=TODAY()),TODAY(),NA()),IF(AH!$P$10=1,INDEX('Live History'!$G$5:$G$3004,MATCH($A1915,'Live History'!$G$5:$G$3004,1)),INDEX('AH History'!$F$1:$F$18046,AH!$P$7+1910))),NA()),NA())</ns0:f>
        <ns0:v/>
      </ns0:c>
      <ns0:c r="H1915">
        <ns0:f>IFERROR(IF(AND(AH!$E$4="Bloomberg",AH!$P$10=1,ISNUMBER($A1915),$A1915&lt;=AH!$P$17),AH!$P$7-1+MATCH($A1915,INDEX('AH History'!$A$1:$A$18046,AH!$P$7):INDEX('AH History'!$A$1:$A$18046,AH!$P$7+AH!$P$8-1),0),0),0)</ns0:f>
        <ns0:v/>
      </ns0:c>
      <ns0:c r="I1915">
        <ns0:f>IF($H1915=0,0,IFERROR(IF(AND(ABS($C1915-INDEX('AH History'!$B$1:$B$18046,$H1915))&lt;=MAX(0.005,ABS(INDEX('AH History'!$B$1:$B$18046,$H1915))*0.00005),ABS($D1915-INDEX('AH History'!$C$1:$C$18046,$H1915))&lt;=MAX(0.005,ABS(INDEX('AH History'!$C$1:$C$18046,$H1915))*0.00005),ABS($E1915-INDEX('AH History'!$D$1:$D$18046,$H1915))&lt;=0.00005,$F1915=INDEX('AH History'!$E$1:$E$18046,$H1915),$G1915=INDEX('AH History'!$F$1:$F$18046,$H1915)),1,-1),-1))</ns0:f>
        <ns0:v/>
      </ns0:c>
    </ns0:row>
    <ns0:row r="1916">
      <ns0:c r="A1916" s="215">
        <ns0:f>IF(OR(AH!$P$3=0,1911+1&gt;AH!$P$11,AND(AH!$E$4&lt;&gt;"Stored",AH!$P$10&lt;&gt;1)),"",IFERROR(IF(AND(AH!$P$21=1,1911+1=AH!$P$11),TODAY(),IF(AH!$P$10=1,INDEX('Live History'!$A$5:$A$3004,AH!$P$13+1911),INDEX('AH History'!$A$1:$A$18046,AH!$P$7+1911))),""))</ns0:f>
        <ns0:v/>
      </ns0:c>
      <ns0:c r="B1916" s="219">
        <ns0:f>IFERROR(IF(AND(AH!$P$9&lt;&gt;1,$C1916&gt;0,$D1916&gt;0,$E1916&gt;0,$F1916&gt;0,$G1916&gt;0,$F1916&lt;=$A1916,$G1916&lt;=$A1916,$A1916-$F1916&lt;=10,$A1916-$G1916&lt;=5),$D1916*$E1916/$C1916-1,NA()),NA())</ns0:f>
        <ns0:v/>
      </ns0:c>
      <ns0:c r="C1916">
        <ns0:f>IFERROR(IF(ISNUMBER($A1916),IF(AND(AH!$P$10=1,AH!$P$12=1,$A1916=TODAY()),AH!$P$19,IF(AH!$P$10=1,INDEX('Live History'!$B$5:$B$3004,AH!$P$13+1911),INDEX('AH History'!$B$1:$B$18046,AH!$P$7+1911))),NA()),NA())</ns0:f>
        <ns0:v/>
      </ns0:c>
      <ns0:c r="D1916">
        <ns0:f>IFERROR(IF(ISNUMBER($A1916),IF(AND(AH!$P$10=1,AH!$P$12=1,$A1916=TODAY()),AH!$P$18,IF(AH!$P$10=1,INDEX('Live History'!$E$5:$E$3004,MATCH($A1916,'Live History'!$D$5:$D$3004,1)),INDEX('AH History'!$C$1:$C$18046,AH!$P$7+1911))),NA()),NA())</ns0:f>
        <ns0:v/>
      </ns0:c>
      <ns0:c r="E1916">
        <ns0:f>IFERROR(IF(ISNUMBER($A1916),IF(AND(AH!$P$10=1,AH!$P$12=1,$A1916=TODAY()),AH!$P$20,IF(AH!$P$10=1,INDEX('Live History'!$H$5:$H$3004,MATCH($A1916,'Live History'!$G$5:$G$3004,1)),INDEX('AH History'!$D$1:$D$18046,AH!$P$7+1911))),NA()),NA())</ns0:f>
        <ns0:v/>
      </ns0:c>
      <ns0:c r="F1916">
        <ns0:f>IFERROR(IF(ISNUMBER($A1916),IF(AND(AH!$P$10=1,AH!$P$12=1,$A1916=TODAY()),IF(AND(AH!$P$10=1,AH!$P$12=1,$A1916=TODAY()),TODAY(),NA()),IF(AH!$P$10=1,INDEX('Live History'!$D$5:$D$3004,MATCH($A1916,'Live History'!$D$5:$D$3004,1)),INDEX('AH History'!$E$1:$E$18046,AH!$P$7+1911))),NA()),NA())</ns0:f>
        <ns0:v/>
      </ns0:c>
      <ns0:c r="G1916">
        <ns0:f>IFERROR(IF(ISNUMBER($A1916),IF(AND(AH!$P$10=1,AH!$P$12=1,$A1916=TODAY()),IF(AND(AH!$P$10=1,AH!$P$12=1,$A1916=TODAY()),TODAY(),NA()),IF(AH!$P$10=1,INDEX('Live History'!$G$5:$G$3004,MATCH($A1916,'Live History'!$G$5:$G$3004,1)),INDEX('AH History'!$F$1:$F$18046,AH!$P$7+1911))),NA()),NA())</ns0:f>
        <ns0:v/>
      </ns0:c>
      <ns0:c r="H1916">
        <ns0:f>IFERROR(IF(AND(AH!$E$4="Bloomberg",AH!$P$10=1,ISNUMBER($A1916),$A1916&lt;=AH!$P$17),AH!$P$7-1+MATCH($A1916,INDEX('AH History'!$A$1:$A$18046,AH!$P$7):INDEX('AH History'!$A$1:$A$18046,AH!$P$7+AH!$P$8-1),0),0),0)</ns0:f>
        <ns0:v/>
      </ns0:c>
      <ns0:c r="I1916">
        <ns0:f>IF($H1916=0,0,IFERROR(IF(AND(ABS($C1916-INDEX('AH History'!$B$1:$B$18046,$H1916))&lt;=MAX(0.005,ABS(INDEX('AH History'!$B$1:$B$18046,$H1916))*0.00005),ABS($D1916-INDEX('AH History'!$C$1:$C$18046,$H1916))&lt;=MAX(0.005,ABS(INDEX('AH History'!$C$1:$C$18046,$H1916))*0.00005),ABS($E1916-INDEX('AH History'!$D$1:$D$18046,$H1916))&lt;=0.00005,$F1916=INDEX('AH History'!$E$1:$E$18046,$H1916),$G1916=INDEX('AH History'!$F$1:$F$18046,$H1916)),1,-1),-1))</ns0:f>
        <ns0:v/>
      </ns0:c>
    </ns0:row>
    <ns0:row r="1917">
      <ns0:c r="A1917" s="215">
        <ns0:f>IF(OR(AH!$P$3=0,1912+1&gt;AH!$P$11,AND(AH!$E$4&lt;&gt;"Stored",AH!$P$10&lt;&gt;1)),"",IFERROR(IF(AND(AH!$P$21=1,1912+1=AH!$P$11),TODAY(),IF(AH!$P$10=1,INDEX('Live History'!$A$5:$A$3004,AH!$P$13+1912),INDEX('AH History'!$A$1:$A$18046,AH!$P$7+1912))),""))</ns0:f>
        <ns0:v/>
      </ns0:c>
      <ns0:c r="B1917" s="219">
        <ns0:f>IFERROR(IF(AND(AH!$P$9&lt;&gt;1,$C1917&gt;0,$D1917&gt;0,$E1917&gt;0,$F1917&gt;0,$G1917&gt;0,$F1917&lt;=$A1917,$G1917&lt;=$A1917,$A1917-$F1917&lt;=10,$A1917-$G1917&lt;=5),$D1917*$E1917/$C1917-1,NA()),NA())</ns0:f>
        <ns0:v/>
      </ns0:c>
      <ns0:c r="C1917">
        <ns0:f>IFERROR(IF(ISNUMBER($A1917),IF(AND(AH!$P$10=1,AH!$P$12=1,$A1917=TODAY()),AH!$P$19,IF(AH!$P$10=1,INDEX('Live History'!$B$5:$B$3004,AH!$P$13+1912),INDEX('AH History'!$B$1:$B$18046,AH!$P$7+1912))),NA()),NA())</ns0:f>
        <ns0:v/>
      </ns0:c>
      <ns0:c r="D1917">
        <ns0:f>IFERROR(IF(ISNUMBER($A1917),IF(AND(AH!$P$10=1,AH!$P$12=1,$A1917=TODAY()),AH!$P$18,IF(AH!$P$10=1,INDEX('Live History'!$E$5:$E$3004,MATCH($A1917,'Live History'!$D$5:$D$3004,1)),INDEX('AH History'!$C$1:$C$18046,AH!$P$7+1912))),NA()),NA())</ns0:f>
        <ns0:v/>
      </ns0:c>
      <ns0:c r="E1917">
        <ns0:f>IFERROR(IF(ISNUMBER($A1917),IF(AND(AH!$P$10=1,AH!$P$12=1,$A1917=TODAY()),AH!$P$20,IF(AH!$P$10=1,INDEX('Live History'!$H$5:$H$3004,MATCH($A1917,'Live History'!$G$5:$G$3004,1)),INDEX('AH History'!$D$1:$D$18046,AH!$P$7+1912))),NA()),NA())</ns0:f>
        <ns0:v/>
      </ns0:c>
      <ns0:c r="F1917">
        <ns0:f>IFERROR(IF(ISNUMBER($A1917),IF(AND(AH!$P$10=1,AH!$P$12=1,$A1917=TODAY()),IF(AND(AH!$P$10=1,AH!$P$12=1,$A1917=TODAY()),TODAY(),NA()),IF(AH!$P$10=1,INDEX('Live History'!$D$5:$D$3004,MATCH($A1917,'Live History'!$D$5:$D$3004,1)),INDEX('AH History'!$E$1:$E$18046,AH!$P$7+1912))),NA()),NA())</ns0:f>
        <ns0:v/>
      </ns0:c>
      <ns0:c r="G1917">
        <ns0:f>IFERROR(IF(ISNUMBER($A1917),IF(AND(AH!$P$10=1,AH!$P$12=1,$A1917=TODAY()),IF(AND(AH!$P$10=1,AH!$P$12=1,$A1917=TODAY()),TODAY(),NA()),IF(AH!$P$10=1,INDEX('Live History'!$G$5:$G$3004,MATCH($A1917,'Live History'!$G$5:$G$3004,1)),INDEX('AH History'!$F$1:$F$18046,AH!$P$7+1912))),NA()),NA())</ns0:f>
        <ns0:v/>
      </ns0:c>
      <ns0:c r="H1917">
        <ns0:f>IFERROR(IF(AND(AH!$E$4="Bloomberg",AH!$P$10=1,ISNUMBER($A1917),$A1917&lt;=AH!$P$17),AH!$P$7-1+MATCH($A1917,INDEX('AH History'!$A$1:$A$18046,AH!$P$7):INDEX('AH History'!$A$1:$A$18046,AH!$P$7+AH!$P$8-1),0),0),0)</ns0:f>
        <ns0:v/>
      </ns0:c>
      <ns0:c r="I1917">
        <ns0:f>IF($H1917=0,0,IFERROR(IF(AND(ABS($C1917-INDEX('AH History'!$B$1:$B$18046,$H1917))&lt;=MAX(0.005,ABS(INDEX('AH History'!$B$1:$B$18046,$H1917))*0.00005),ABS($D1917-INDEX('AH History'!$C$1:$C$18046,$H1917))&lt;=MAX(0.005,ABS(INDEX('AH History'!$C$1:$C$18046,$H1917))*0.00005),ABS($E1917-INDEX('AH History'!$D$1:$D$18046,$H1917))&lt;=0.00005,$F1917=INDEX('AH History'!$E$1:$E$18046,$H1917),$G1917=INDEX('AH History'!$F$1:$F$18046,$H1917)),1,-1),-1))</ns0:f>
        <ns0:v/>
      </ns0:c>
    </ns0:row>
    <ns0:row r="1918">
      <ns0:c r="A1918" s="215">
        <ns0:f>IF(OR(AH!$P$3=0,1913+1&gt;AH!$P$11,AND(AH!$E$4&lt;&gt;"Stored",AH!$P$10&lt;&gt;1)),"",IFERROR(IF(AND(AH!$P$21=1,1913+1=AH!$P$11),TODAY(),IF(AH!$P$10=1,INDEX('Live History'!$A$5:$A$3004,AH!$P$13+1913),INDEX('AH History'!$A$1:$A$18046,AH!$P$7+1913))),""))</ns0:f>
        <ns0:v/>
      </ns0:c>
      <ns0:c r="B1918" s="219">
        <ns0:f>IFERROR(IF(AND(AH!$P$9&lt;&gt;1,$C1918&gt;0,$D1918&gt;0,$E1918&gt;0,$F1918&gt;0,$G1918&gt;0,$F1918&lt;=$A1918,$G1918&lt;=$A1918,$A1918-$F1918&lt;=10,$A1918-$G1918&lt;=5),$D1918*$E1918/$C1918-1,NA()),NA())</ns0:f>
        <ns0:v/>
      </ns0:c>
      <ns0:c r="C1918">
        <ns0:f>IFERROR(IF(ISNUMBER($A1918),IF(AND(AH!$P$10=1,AH!$P$12=1,$A1918=TODAY()),AH!$P$19,IF(AH!$P$10=1,INDEX('Live History'!$B$5:$B$3004,AH!$P$13+1913),INDEX('AH History'!$B$1:$B$18046,AH!$P$7+1913))),NA()),NA())</ns0:f>
        <ns0:v/>
      </ns0:c>
      <ns0:c r="D1918">
        <ns0:f>IFERROR(IF(ISNUMBER($A1918),IF(AND(AH!$P$10=1,AH!$P$12=1,$A1918=TODAY()),AH!$P$18,IF(AH!$P$10=1,INDEX('Live History'!$E$5:$E$3004,MATCH($A1918,'Live History'!$D$5:$D$3004,1)),INDEX('AH History'!$C$1:$C$18046,AH!$P$7+1913))),NA()),NA())</ns0:f>
        <ns0:v/>
      </ns0:c>
      <ns0:c r="E1918">
        <ns0:f>IFERROR(IF(ISNUMBER($A1918),IF(AND(AH!$P$10=1,AH!$P$12=1,$A1918=TODAY()),AH!$P$20,IF(AH!$P$10=1,INDEX('Live History'!$H$5:$H$3004,MATCH($A1918,'Live History'!$G$5:$G$3004,1)),INDEX('AH History'!$D$1:$D$18046,AH!$P$7+1913))),NA()),NA())</ns0:f>
        <ns0:v/>
      </ns0:c>
      <ns0:c r="F1918">
        <ns0:f>IFERROR(IF(ISNUMBER($A1918),IF(AND(AH!$P$10=1,AH!$P$12=1,$A1918=TODAY()),IF(AND(AH!$P$10=1,AH!$P$12=1,$A1918=TODAY()),TODAY(),NA()),IF(AH!$P$10=1,INDEX('Live History'!$D$5:$D$3004,MATCH($A1918,'Live History'!$D$5:$D$3004,1)),INDEX('AH History'!$E$1:$E$18046,AH!$P$7+1913))),NA()),NA())</ns0:f>
        <ns0:v/>
      </ns0:c>
      <ns0:c r="G1918">
        <ns0:f>IFERROR(IF(ISNUMBER($A1918),IF(AND(AH!$P$10=1,AH!$P$12=1,$A1918=TODAY()),IF(AND(AH!$P$10=1,AH!$P$12=1,$A1918=TODAY()),TODAY(),NA()),IF(AH!$P$10=1,INDEX('Live History'!$G$5:$G$3004,MATCH($A1918,'Live History'!$G$5:$G$3004,1)),INDEX('AH History'!$F$1:$F$18046,AH!$P$7+1913))),NA()),NA())</ns0:f>
        <ns0:v/>
      </ns0:c>
      <ns0:c r="H1918">
        <ns0:f>IFERROR(IF(AND(AH!$E$4="Bloomberg",AH!$P$10=1,ISNUMBER($A1918),$A1918&lt;=AH!$P$17),AH!$P$7-1+MATCH($A1918,INDEX('AH History'!$A$1:$A$18046,AH!$P$7):INDEX('AH History'!$A$1:$A$18046,AH!$P$7+AH!$P$8-1),0),0),0)</ns0:f>
        <ns0:v/>
      </ns0:c>
      <ns0:c r="I1918">
        <ns0:f>IF($H1918=0,0,IFERROR(IF(AND(ABS($C1918-INDEX('AH History'!$B$1:$B$18046,$H1918))&lt;=MAX(0.005,ABS(INDEX('AH History'!$B$1:$B$18046,$H1918))*0.00005),ABS($D1918-INDEX('AH History'!$C$1:$C$18046,$H1918))&lt;=MAX(0.005,ABS(INDEX('AH History'!$C$1:$C$18046,$H1918))*0.00005),ABS($E1918-INDEX('AH History'!$D$1:$D$18046,$H1918))&lt;=0.00005,$F1918=INDEX('AH History'!$E$1:$E$18046,$H1918),$G1918=INDEX('AH History'!$F$1:$F$18046,$H1918)),1,-1),-1))</ns0:f>
        <ns0:v/>
      </ns0:c>
    </ns0:row>
    <ns0:row r="1919">
      <ns0:c r="A1919" s="215">
        <ns0:f>IF(OR(AH!$P$3=0,1914+1&gt;AH!$P$11,AND(AH!$E$4&lt;&gt;"Stored",AH!$P$10&lt;&gt;1)),"",IFERROR(IF(AND(AH!$P$21=1,1914+1=AH!$P$11),TODAY(),IF(AH!$P$10=1,INDEX('Live History'!$A$5:$A$3004,AH!$P$13+1914),INDEX('AH History'!$A$1:$A$18046,AH!$P$7+1914))),""))</ns0:f>
        <ns0:v/>
      </ns0:c>
      <ns0:c r="B1919" s="219">
        <ns0:f>IFERROR(IF(AND(AH!$P$9&lt;&gt;1,$C1919&gt;0,$D1919&gt;0,$E1919&gt;0,$F1919&gt;0,$G1919&gt;0,$F1919&lt;=$A1919,$G1919&lt;=$A1919,$A1919-$F1919&lt;=10,$A1919-$G1919&lt;=5),$D1919*$E1919/$C1919-1,NA()),NA())</ns0:f>
        <ns0:v/>
      </ns0:c>
      <ns0:c r="C1919">
        <ns0:f>IFERROR(IF(ISNUMBER($A1919),IF(AND(AH!$P$10=1,AH!$P$12=1,$A1919=TODAY()),AH!$P$19,IF(AH!$P$10=1,INDEX('Live History'!$B$5:$B$3004,AH!$P$13+1914),INDEX('AH History'!$B$1:$B$18046,AH!$P$7+1914))),NA()),NA())</ns0:f>
        <ns0:v/>
      </ns0:c>
      <ns0:c r="D1919">
        <ns0:f>IFERROR(IF(ISNUMBER($A1919),IF(AND(AH!$P$10=1,AH!$P$12=1,$A1919=TODAY()),AH!$P$18,IF(AH!$P$10=1,INDEX('Live History'!$E$5:$E$3004,MATCH($A1919,'Live History'!$D$5:$D$3004,1)),INDEX('AH History'!$C$1:$C$18046,AH!$P$7+1914))),NA()),NA())</ns0:f>
        <ns0:v/>
      </ns0:c>
      <ns0:c r="E1919">
        <ns0:f>IFERROR(IF(ISNUMBER($A1919),IF(AND(AH!$P$10=1,AH!$P$12=1,$A1919=TODAY()),AH!$P$20,IF(AH!$P$10=1,INDEX('Live History'!$H$5:$H$3004,MATCH($A1919,'Live History'!$G$5:$G$3004,1)),INDEX('AH History'!$D$1:$D$18046,AH!$P$7+1914))),NA()),NA())</ns0:f>
        <ns0:v/>
      </ns0:c>
      <ns0:c r="F1919">
        <ns0:f>IFERROR(IF(ISNUMBER($A1919),IF(AND(AH!$P$10=1,AH!$P$12=1,$A1919=TODAY()),IF(AND(AH!$P$10=1,AH!$P$12=1,$A1919=TODAY()),TODAY(),NA()),IF(AH!$P$10=1,INDEX('Live History'!$D$5:$D$3004,MATCH($A1919,'Live History'!$D$5:$D$3004,1)),INDEX('AH History'!$E$1:$E$18046,AH!$P$7+1914))),NA()),NA())</ns0:f>
        <ns0:v/>
      </ns0:c>
      <ns0:c r="G1919">
        <ns0:f>IFERROR(IF(ISNUMBER($A1919),IF(AND(AH!$P$10=1,AH!$P$12=1,$A1919=TODAY()),IF(AND(AH!$P$10=1,AH!$P$12=1,$A1919=TODAY()),TODAY(),NA()),IF(AH!$P$10=1,INDEX('Live History'!$G$5:$G$3004,MATCH($A1919,'Live History'!$G$5:$G$3004,1)),INDEX('AH History'!$F$1:$F$18046,AH!$P$7+1914))),NA()),NA())</ns0:f>
        <ns0:v/>
      </ns0:c>
      <ns0:c r="H1919">
        <ns0:f>IFERROR(IF(AND(AH!$E$4="Bloomberg",AH!$P$10=1,ISNUMBER($A1919),$A1919&lt;=AH!$P$17),AH!$P$7-1+MATCH($A1919,INDEX('AH History'!$A$1:$A$18046,AH!$P$7):INDEX('AH History'!$A$1:$A$18046,AH!$P$7+AH!$P$8-1),0),0),0)</ns0:f>
        <ns0:v/>
      </ns0:c>
      <ns0:c r="I1919">
        <ns0:f>IF($H1919=0,0,IFERROR(IF(AND(ABS($C1919-INDEX('AH History'!$B$1:$B$18046,$H1919))&lt;=MAX(0.005,ABS(INDEX('AH History'!$B$1:$B$18046,$H1919))*0.00005),ABS($D1919-INDEX('AH History'!$C$1:$C$18046,$H1919))&lt;=MAX(0.005,ABS(INDEX('AH History'!$C$1:$C$18046,$H1919))*0.00005),ABS($E1919-INDEX('AH History'!$D$1:$D$18046,$H1919))&lt;=0.00005,$F1919=INDEX('AH History'!$E$1:$E$18046,$H1919),$G1919=INDEX('AH History'!$F$1:$F$18046,$H1919)),1,-1),-1))</ns0:f>
        <ns0:v/>
      </ns0:c>
    </ns0:row>
    <ns0:row r="1920">
      <ns0:c r="A1920" s="215">
        <ns0:f>IF(OR(AH!$P$3=0,1915+1&gt;AH!$P$11,AND(AH!$E$4&lt;&gt;"Stored",AH!$P$10&lt;&gt;1)),"",IFERROR(IF(AND(AH!$P$21=1,1915+1=AH!$P$11),TODAY(),IF(AH!$P$10=1,INDEX('Live History'!$A$5:$A$3004,AH!$P$13+1915),INDEX('AH History'!$A$1:$A$18046,AH!$P$7+1915))),""))</ns0:f>
        <ns0:v/>
      </ns0:c>
      <ns0:c r="B1920" s="219">
        <ns0:f>IFERROR(IF(AND(AH!$P$9&lt;&gt;1,$C1920&gt;0,$D1920&gt;0,$E1920&gt;0,$F1920&gt;0,$G1920&gt;0,$F1920&lt;=$A1920,$G1920&lt;=$A1920,$A1920-$F1920&lt;=10,$A1920-$G1920&lt;=5),$D1920*$E1920/$C1920-1,NA()),NA())</ns0:f>
        <ns0:v/>
      </ns0:c>
      <ns0:c r="C1920">
        <ns0:f>IFERROR(IF(ISNUMBER($A1920),IF(AND(AH!$P$10=1,AH!$P$12=1,$A1920=TODAY()),AH!$P$19,IF(AH!$P$10=1,INDEX('Live History'!$B$5:$B$3004,AH!$P$13+1915),INDEX('AH History'!$B$1:$B$18046,AH!$P$7+1915))),NA()),NA())</ns0:f>
        <ns0:v/>
      </ns0:c>
      <ns0:c r="D1920">
        <ns0:f>IFERROR(IF(ISNUMBER($A1920),IF(AND(AH!$P$10=1,AH!$P$12=1,$A1920=TODAY()),AH!$P$18,IF(AH!$P$10=1,INDEX('Live History'!$E$5:$E$3004,MATCH($A1920,'Live History'!$D$5:$D$3004,1)),INDEX('AH History'!$C$1:$C$18046,AH!$P$7+1915))),NA()),NA())</ns0:f>
        <ns0:v/>
      </ns0:c>
      <ns0:c r="E1920">
        <ns0:f>IFERROR(IF(ISNUMBER($A1920),IF(AND(AH!$P$10=1,AH!$P$12=1,$A1920=TODAY()),AH!$P$20,IF(AH!$P$10=1,INDEX('Live History'!$H$5:$H$3004,MATCH($A1920,'Live History'!$G$5:$G$3004,1)),INDEX('AH History'!$D$1:$D$18046,AH!$P$7+1915))),NA()),NA())</ns0:f>
        <ns0:v/>
      </ns0:c>
      <ns0:c r="F1920">
        <ns0:f>IFERROR(IF(ISNUMBER($A1920),IF(AND(AH!$P$10=1,AH!$P$12=1,$A1920=TODAY()),IF(AND(AH!$P$10=1,AH!$P$12=1,$A1920=TODAY()),TODAY(),NA()),IF(AH!$P$10=1,INDEX('Live History'!$D$5:$D$3004,MATCH($A1920,'Live History'!$D$5:$D$3004,1)),INDEX('AH History'!$E$1:$E$18046,AH!$P$7+1915))),NA()),NA())</ns0:f>
        <ns0:v/>
      </ns0:c>
      <ns0:c r="G1920">
        <ns0:f>IFERROR(IF(ISNUMBER($A1920),IF(AND(AH!$P$10=1,AH!$P$12=1,$A1920=TODAY()),IF(AND(AH!$P$10=1,AH!$P$12=1,$A1920=TODAY()),TODAY(),NA()),IF(AH!$P$10=1,INDEX('Live History'!$G$5:$G$3004,MATCH($A1920,'Live History'!$G$5:$G$3004,1)),INDEX('AH History'!$F$1:$F$18046,AH!$P$7+1915))),NA()),NA())</ns0:f>
        <ns0:v/>
      </ns0:c>
      <ns0:c r="H1920">
        <ns0:f>IFERROR(IF(AND(AH!$E$4="Bloomberg",AH!$P$10=1,ISNUMBER($A1920),$A1920&lt;=AH!$P$17),AH!$P$7-1+MATCH($A1920,INDEX('AH History'!$A$1:$A$18046,AH!$P$7):INDEX('AH History'!$A$1:$A$18046,AH!$P$7+AH!$P$8-1),0),0),0)</ns0:f>
        <ns0:v/>
      </ns0:c>
      <ns0:c r="I1920">
        <ns0:f>IF($H1920=0,0,IFERROR(IF(AND(ABS($C1920-INDEX('AH History'!$B$1:$B$18046,$H1920))&lt;=MAX(0.005,ABS(INDEX('AH History'!$B$1:$B$18046,$H1920))*0.00005),ABS($D1920-INDEX('AH History'!$C$1:$C$18046,$H1920))&lt;=MAX(0.005,ABS(INDEX('AH History'!$C$1:$C$18046,$H1920))*0.00005),ABS($E1920-INDEX('AH History'!$D$1:$D$18046,$H1920))&lt;=0.00005,$F1920=INDEX('AH History'!$E$1:$E$18046,$H1920),$G1920=INDEX('AH History'!$F$1:$F$18046,$H1920)),1,-1),-1))</ns0:f>
        <ns0:v/>
      </ns0:c>
    </ns0:row>
    <ns0:row r="1921">
      <ns0:c r="A1921" s="215">
        <ns0:f>IF(OR(AH!$P$3=0,1916+1&gt;AH!$P$11,AND(AH!$E$4&lt;&gt;"Stored",AH!$P$10&lt;&gt;1)),"",IFERROR(IF(AND(AH!$P$21=1,1916+1=AH!$P$11),TODAY(),IF(AH!$P$10=1,INDEX('Live History'!$A$5:$A$3004,AH!$P$13+1916),INDEX('AH History'!$A$1:$A$18046,AH!$P$7+1916))),""))</ns0:f>
        <ns0:v/>
      </ns0:c>
      <ns0:c r="B1921" s="219">
        <ns0:f>IFERROR(IF(AND(AH!$P$9&lt;&gt;1,$C1921&gt;0,$D1921&gt;0,$E1921&gt;0,$F1921&gt;0,$G1921&gt;0,$F1921&lt;=$A1921,$G1921&lt;=$A1921,$A1921-$F1921&lt;=10,$A1921-$G1921&lt;=5),$D1921*$E1921/$C1921-1,NA()),NA())</ns0:f>
        <ns0:v/>
      </ns0:c>
      <ns0:c r="C1921">
        <ns0:f>IFERROR(IF(ISNUMBER($A1921),IF(AND(AH!$P$10=1,AH!$P$12=1,$A1921=TODAY()),AH!$P$19,IF(AH!$P$10=1,INDEX('Live History'!$B$5:$B$3004,AH!$P$13+1916),INDEX('AH History'!$B$1:$B$18046,AH!$P$7+1916))),NA()),NA())</ns0:f>
        <ns0:v/>
      </ns0:c>
      <ns0:c r="D1921">
        <ns0:f>IFERROR(IF(ISNUMBER($A1921),IF(AND(AH!$P$10=1,AH!$P$12=1,$A1921=TODAY()),AH!$P$18,IF(AH!$P$10=1,INDEX('Live History'!$E$5:$E$3004,MATCH($A1921,'Live History'!$D$5:$D$3004,1)),INDEX('AH History'!$C$1:$C$18046,AH!$P$7+1916))),NA()),NA())</ns0:f>
        <ns0:v/>
      </ns0:c>
      <ns0:c r="E1921">
        <ns0:f>IFERROR(IF(ISNUMBER($A1921),IF(AND(AH!$P$10=1,AH!$P$12=1,$A1921=TODAY()),AH!$P$20,IF(AH!$P$10=1,INDEX('Live History'!$H$5:$H$3004,MATCH($A1921,'Live History'!$G$5:$G$3004,1)),INDEX('AH History'!$D$1:$D$18046,AH!$P$7+1916))),NA()),NA())</ns0:f>
        <ns0:v/>
      </ns0:c>
      <ns0:c r="F1921">
        <ns0:f>IFERROR(IF(ISNUMBER($A1921),IF(AND(AH!$P$10=1,AH!$P$12=1,$A1921=TODAY()),IF(AND(AH!$P$10=1,AH!$P$12=1,$A1921=TODAY()),TODAY(),NA()),IF(AH!$P$10=1,INDEX('Live History'!$D$5:$D$3004,MATCH($A1921,'Live History'!$D$5:$D$3004,1)),INDEX('AH History'!$E$1:$E$18046,AH!$P$7+1916))),NA()),NA())</ns0:f>
        <ns0:v/>
      </ns0:c>
      <ns0:c r="G1921">
        <ns0:f>IFERROR(IF(ISNUMBER($A1921),IF(AND(AH!$P$10=1,AH!$P$12=1,$A1921=TODAY()),IF(AND(AH!$P$10=1,AH!$P$12=1,$A1921=TODAY()),TODAY(),NA()),IF(AH!$P$10=1,INDEX('Live History'!$G$5:$G$3004,MATCH($A1921,'Live History'!$G$5:$G$3004,1)),INDEX('AH History'!$F$1:$F$18046,AH!$P$7+1916))),NA()),NA())</ns0:f>
        <ns0:v/>
      </ns0:c>
      <ns0:c r="H1921">
        <ns0:f>IFERROR(IF(AND(AH!$E$4="Bloomberg",AH!$P$10=1,ISNUMBER($A1921),$A1921&lt;=AH!$P$17),AH!$P$7-1+MATCH($A1921,INDEX('AH History'!$A$1:$A$18046,AH!$P$7):INDEX('AH History'!$A$1:$A$18046,AH!$P$7+AH!$P$8-1),0),0),0)</ns0:f>
        <ns0:v/>
      </ns0:c>
      <ns0:c r="I1921">
        <ns0:f>IF($H1921=0,0,IFERROR(IF(AND(ABS($C1921-INDEX('AH History'!$B$1:$B$18046,$H1921))&lt;=MAX(0.005,ABS(INDEX('AH History'!$B$1:$B$18046,$H1921))*0.00005),ABS($D1921-INDEX('AH History'!$C$1:$C$18046,$H1921))&lt;=MAX(0.005,ABS(INDEX('AH History'!$C$1:$C$18046,$H1921))*0.00005),ABS($E1921-INDEX('AH History'!$D$1:$D$18046,$H1921))&lt;=0.00005,$F1921=INDEX('AH History'!$E$1:$E$18046,$H1921),$G1921=INDEX('AH History'!$F$1:$F$18046,$H1921)),1,-1),-1))</ns0:f>
        <ns0:v/>
      </ns0:c>
    </ns0:row>
    <ns0:row r="1922">
      <ns0:c r="A1922" s="215">
        <ns0:f>IF(OR(AH!$P$3=0,1917+1&gt;AH!$P$11,AND(AH!$E$4&lt;&gt;"Stored",AH!$P$10&lt;&gt;1)),"",IFERROR(IF(AND(AH!$P$21=1,1917+1=AH!$P$11),TODAY(),IF(AH!$P$10=1,INDEX('Live History'!$A$5:$A$3004,AH!$P$13+1917),INDEX('AH History'!$A$1:$A$18046,AH!$P$7+1917))),""))</ns0:f>
        <ns0:v/>
      </ns0:c>
      <ns0:c r="B1922" s="219">
        <ns0:f>IFERROR(IF(AND(AH!$P$9&lt;&gt;1,$C1922&gt;0,$D1922&gt;0,$E1922&gt;0,$F1922&gt;0,$G1922&gt;0,$F1922&lt;=$A1922,$G1922&lt;=$A1922,$A1922-$F1922&lt;=10,$A1922-$G1922&lt;=5),$D1922*$E1922/$C1922-1,NA()),NA())</ns0:f>
        <ns0:v/>
      </ns0:c>
      <ns0:c r="C1922">
        <ns0:f>IFERROR(IF(ISNUMBER($A1922),IF(AND(AH!$P$10=1,AH!$P$12=1,$A1922=TODAY()),AH!$P$19,IF(AH!$P$10=1,INDEX('Live History'!$B$5:$B$3004,AH!$P$13+1917),INDEX('AH History'!$B$1:$B$18046,AH!$P$7+1917))),NA()),NA())</ns0:f>
        <ns0:v/>
      </ns0:c>
      <ns0:c r="D1922">
        <ns0:f>IFERROR(IF(ISNUMBER($A1922),IF(AND(AH!$P$10=1,AH!$P$12=1,$A1922=TODAY()),AH!$P$18,IF(AH!$P$10=1,INDEX('Live History'!$E$5:$E$3004,MATCH($A1922,'Live History'!$D$5:$D$3004,1)),INDEX('AH History'!$C$1:$C$18046,AH!$P$7+1917))),NA()),NA())</ns0:f>
        <ns0:v/>
      </ns0:c>
      <ns0:c r="E1922">
        <ns0:f>IFERROR(IF(ISNUMBER($A1922),IF(AND(AH!$P$10=1,AH!$P$12=1,$A1922=TODAY()),AH!$P$20,IF(AH!$P$10=1,INDEX('Live History'!$H$5:$H$3004,MATCH($A1922,'Live History'!$G$5:$G$3004,1)),INDEX('AH History'!$D$1:$D$18046,AH!$P$7+1917))),NA()),NA())</ns0:f>
        <ns0:v/>
      </ns0:c>
      <ns0:c r="F1922">
        <ns0:f>IFERROR(IF(ISNUMBER($A1922),IF(AND(AH!$P$10=1,AH!$P$12=1,$A1922=TODAY()),IF(AND(AH!$P$10=1,AH!$P$12=1,$A1922=TODAY()),TODAY(),NA()),IF(AH!$P$10=1,INDEX('Live History'!$D$5:$D$3004,MATCH($A1922,'Live History'!$D$5:$D$3004,1)),INDEX('AH History'!$E$1:$E$18046,AH!$P$7+1917))),NA()),NA())</ns0:f>
        <ns0:v/>
      </ns0:c>
      <ns0:c r="G1922">
        <ns0:f>IFERROR(IF(ISNUMBER($A1922),IF(AND(AH!$P$10=1,AH!$P$12=1,$A1922=TODAY()),IF(AND(AH!$P$10=1,AH!$P$12=1,$A1922=TODAY()),TODAY(),NA()),IF(AH!$P$10=1,INDEX('Live History'!$G$5:$G$3004,MATCH($A1922,'Live History'!$G$5:$G$3004,1)),INDEX('AH History'!$F$1:$F$18046,AH!$P$7+1917))),NA()),NA())</ns0:f>
        <ns0:v/>
      </ns0:c>
      <ns0:c r="H1922">
        <ns0:f>IFERROR(IF(AND(AH!$E$4="Bloomberg",AH!$P$10=1,ISNUMBER($A1922),$A1922&lt;=AH!$P$17),AH!$P$7-1+MATCH($A1922,INDEX('AH History'!$A$1:$A$18046,AH!$P$7):INDEX('AH History'!$A$1:$A$18046,AH!$P$7+AH!$P$8-1),0),0),0)</ns0:f>
        <ns0:v/>
      </ns0:c>
      <ns0:c r="I1922">
        <ns0:f>IF($H1922=0,0,IFERROR(IF(AND(ABS($C1922-INDEX('AH History'!$B$1:$B$18046,$H1922))&lt;=MAX(0.005,ABS(INDEX('AH History'!$B$1:$B$18046,$H1922))*0.00005),ABS($D1922-INDEX('AH History'!$C$1:$C$18046,$H1922))&lt;=MAX(0.005,ABS(INDEX('AH History'!$C$1:$C$18046,$H1922))*0.00005),ABS($E1922-INDEX('AH History'!$D$1:$D$18046,$H1922))&lt;=0.00005,$F1922=INDEX('AH History'!$E$1:$E$18046,$H1922),$G1922=INDEX('AH History'!$F$1:$F$18046,$H1922)),1,-1),-1))</ns0:f>
        <ns0:v/>
      </ns0:c>
    </ns0:row>
    <ns0:row r="1923">
      <ns0:c r="A1923" s="215">
        <ns0:f>IF(OR(AH!$P$3=0,1918+1&gt;AH!$P$11,AND(AH!$E$4&lt;&gt;"Stored",AH!$P$10&lt;&gt;1)),"",IFERROR(IF(AND(AH!$P$21=1,1918+1=AH!$P$11),TODAY(),IF(AH!$P$10=1,INDEX('Live History'!$A$5:$A$3004,AH!$P$13+1918),INDEX('AH History'!$A$1:$A$18046,AH!$P$7+1918))),""))</ns0:f>
        <ns0:v/>
      </ns0:c>
      <ns0:c r="B1923" s="219">
        <ns0:f>IFERROR(IF(AND(AH!$P$9&lt;&gt;1,$C1923&gt;0,$D1923&gt;0,$E1923&gt;0,$F1923&gt;0,$G1923&gt;0,$F1923&lt;=$A1923,$G1923&lt;=$A1923,$A1923-$F1923&lt;=10,$A1923-$G1923&lt;=5),$D1923*$E1923/$C1923-1,NA()),NA())</ns0:f>
        <ns0:v/>
      </ns0:c>
      <ns0:c r="C1923">
        <ns0:f>IFERROR(IF(ISNUMBER($A1923),IF(AND(AH!$P$10=1,AH!$P$12=1,$A1923=TODAY()),AH!$P$19,IF(AH!$P$10=1,INDEX('Live History'!$B$5:$B$3004,AH!$P$13+1918),INDEX('AH History'!$B$1:$B$18046,AH!$P$7+1918))),NA()),NA())</ns0:f>
        <ns0:v/>
      </ns0:c>
      <ns0:c r="D1923">
        <ns0:f>IFERROR(IF(ISNUMBER($A1923),IF(AND(AH!$P$10=1,AH!$P$12=1,$A1923=TODAY()),AH!$P$18,IF(AH!$P$10=1,INDEX('Live History'!$E$5:$E$3004,MATCH($A1923,'Live History'!$D$5:$D$3004,1)),INDEX('AH History'!$C$1:$C$18046,AH!$P$7+1918))),NA()),NA())</ns0:f>
        <ns0:v/>
      </ns0:c>
      <ns0:c r="E1923">
        <ns0:f>IFERROR(IF(ISNUMBER($A1923),IF(AND(AH!$P$10=1,AH!$P$12=1,$A1923=TODAY()),AH!$P$20,IF(AH!$P$10=1,INDEX('Live History'!$H$5:$H$3004,MATCH($A1923,'Live History'!$G$5:$G$3004,1)),INDEX('AH History'!$D$1:$D$18046,AH!$P$7+1918))),NA()),NA())</ns0:f>
        <ns0:v/>
      </ns0:c>
      <ns0:c r="F1923">
        <ns0:f>IFERROR(IF(ISNUMBER($A1923),IF(AND(AH!$P$10=1,AH!$P$12=1,$A1923=TODAY()),IF(AND(AH!$P$10=1,AH!$P$12=1,$A1923=TODAY()),TODAY(),NA()),IF(AH!$P$10=1,INDEX('Live History'!$D$5:$D$3004,MATCH($A1923,'Live History'!$D$5:$D$3004,1)),INDEX('AH History'!$E$1:$E$18046,AH!$P$7+1918))),NA()),NA())</ns0:f>
        <ns0:v/>
      </ns0:c>
      <ns0:c r="G1923">
        <ns0:f>IFERROR(IF(ISNUMBER($A1923),IF(AND(AH!$P$10=1,AH!$P$12=1,$A1923=TODAY()),IF(AND(AH!$P$10=1,AH!$P$12=1,$A1923=TODAY()),TODAY(),NA()),IF(AH!$P$10=1,INDEX('Live History'!$G$5:$G$3004,MATCH($A1923,'Live History'!$G$5:$G$3004,1)),INDEX('AH History'!$F$1:$F$18046,AH!$P$7+1918))),NA()),NA())</ns0:f>
        <ns0:v/>
      </ns0:c>
      <ns0:c r="H1923">
        <ns0:f>IFERROR(IF(AND(AH!$E$4="Bloomberg",AH!$P$10=1,ISNUMBER($A1923),$A1923&lt;=AH!$P$17),AH!$P$7-1+MATCH($A1923,INDEX('AH History'!$A$1:$A$18046,AH!$P$7):INDEX('AH History'!$A$1:$A$18046,AH!$P$7+AH!$P$8-1),0),0),0)</ns0:f>
        <ns0:v/>
      </ns0:c>
      <ns0:c r="I1923">
        <ns0:f>IF($H1923=0,0,IFERROR(IF(AND(ABS($C1923-INDEX('AH History'!$B$1:$B$18046,$H1923))&lt;=MAX(0.005,ABS(INDEX('AH History'!$B$1:$B$18046,$H1923))*0.00005),ABS($D1923-INDEX('AH History'!$C$1:$C$18046,$H1923))&lt;=MAX(0.005,ABS(INDEX('AH History'!$C$1:$C$18046,$H1923))*0.00005),ABS($E1923-INDEX('AH History'!$D$1:$D$18046,$H1923))&lt;=0.00005,$F1923=INDEX('AH History'!$E$1:$E$18046,$H1923),$G1923=INDEX('AH History'!$F$1:$F$18046,$H1923)),1,-1),-1))</ns0:f>
        <ns0:v/>
      </ns0:c>
    </ns0:row>
    <ns0:row r="1924">
      <ns0:c r="A1924" s="215">
        <ns0:f>IF(OR(AH!$P$3=0,1919+1&gt;AH!$P$11,AND(AH!$E$4&lt;&gt;"Stored",AH!$P$10&lt;&gt;1)),"",IFERROR(IF(AND(AH!$P$21=1,1919+1=AH!$P$11),TODAY(),IF(AH!$P$10=1,INDEX('Live History'!$A$5:$A$3004,AH!$P$13+1919),INDEX('AH History'!$A$1:$A$18046,AH!$P$7+1919))),""))</ns0:f>
        <ns0:v/>
      </ns0:c>
      <ns0:c r="B1924" s="219">
        <ns0:f>IFERROR(IF(AND(AH!$P$9&lt;&gt;1,$C1924&gt;0,$D1924&gt;0,$E1924&gt;0,$F1924&gt;0,$G1924&gt;0,$F1924&lt;=$A1924,$G1924&lt;=$A1924,$A1924-$F1924&lt;=10,$A1924-$G1924&lt;=5),$D1924*$E1924/$C1924-1,NA()),NA())</ns0:f>
        <ns0:v/>
      </ns0:c>
      <ns0:c r="C1924">
        <ns0:f>IFERROR(IF(ISNUMBER($A1924),IF(AND(AH!$P$10=1,AH!$P$12=1,$A1924=TODAY()),AH!$P$19,IF(AH!$P$10=1,INDEX('Live History'!$B$5:$B$3004,AH!$P$13+1919),INDEX('AH History'!$B$1:$B$18046,AH!$P$7+1919))),NA()),NA())</ns0:f>
        <ns0:v/>
      </ns0:c>
      <ns0:c r="D1924">
        <ns0:f>IFERROR(IF(ISNUMBER($A1924),IF(AND(AH!$P$10=1,AH!$P$12=1,$A1924=TODAY()),AH!$P$18,IF(AH!$P$10=1,INDEX('Live History'!$E$5:$E$3004,MATCH($A1924,'Live History'!$D$5:$D$3004,1)),INDEX('AH History'!$C$1:$C$18046,AH!$P$7+1919))),NA()),NA())</ns0:f>
        <ns0:v/>
      </ns0:c>
      <ns0:c r="E1924">
        <ns0:f>IFERROR(IF(ISNUMBER($A1924),IF(AND(AH!$P$10=1,AH!$P$12=1,$A1924=TODAY()),AH!$P$20,IF(AH!$P$10=1,INDEX('Live History'!$H$5:$H$3004,MATCH($A1924,'Live History'!$G$5:$G$3004,1)),INDEX('AH History'!$D$1:$D$18046,AH!$P$7+1919))),NA()),NA())</ns0:f>
        <ns0:v/>
      </ns0:c>
      <ns0:c r="F1924">
        <ns0:f>IFERROR(IF(ISNUMBER($A1924),IF(AND(AH!$P$10=1,AH!$P$12=1,$A1924=TODAY()),IF(AND(AH!$P$10=1,AH!$P$12=1,$A1924=TODAY()),TODAY(),NA()),IF(AH!$P$10=1,INDEX('Live History'!$D$5:$D$3004,MATCH($A1924,'Live History'!$D$5:$D$3004,1)),INDEX('AH History'!$E$1:$E$18046,AH!$P$7+1919))),NA()),NA())</ns0:f>
        <ns0:v/>
      </ns0:c>
      <ns0:c r="G1924">
        <ns0:f>IFERROR(IF(ISNUMBER($A1924),IF(AND(AH!$P$10=1,AH!$P$12=1,$A1924=TODAY()),IF(AND(AH!$P$10=1,AH!$P$12=1,$A1924=TODAY()),TODAY(),NA()),IF(AH!$P$10=1,INDEX('Live History'!$G$5:$G$3004,MATCH($A1924,'Live History'!$G$5:$G$3004,1)),INDEX('AH History'!$F$1:$F$18046,AH!$P$7+1919))),NA()),NA())</ns0:f>
        <ns0:v/>
      </ns0:c>
      <ns0:c r="H1924">
        <ns0:f>IFERROR(IF(AND(AH!$E$4="Bloomberg",AH!$P$10=1,ISNUMBER($A1924),$A1924&lt;=AH!$P$17),AH!$P$7-1+MATCH($A1924,INDEX('AH History'!$A$1:$A$18046,AH!$P$7):INDEX('AH History'!$A$1:$A$18046,AH!$P$7+AH!$P$8-1),0),0),0)</ns0:f>
        <ns0:v/>
      </ns0:c>
      <ns0:c r="I1924">
        <ns0:f>IF($H1924=0,0,IFERROR(IF(AND(ABS($C1924-INDEX('AH History'!$B$1:$B$18046,$H1924))&lt;=MAX(0.005,ABS(INDEX('AH History'!$B$1:$B$18046,$H1924))*0.00005),ABS($D1924-INDEX('AH History'!$C$1:$C$18046,$H1924))&lt;=MAX(0.005,ABS(INDEX('AH History'!$C$1:$C$18046,$H1924))*0.00005),ABS($E1924-INDEX('AH History'!$D$1:$D$18046,$H1924))&lt;=0.00005,$F1924=INDEX('AH History'!$E$1:$E$18046,$H1924),$G1924=INDEX('AH History'!$F$1:$F$18046,$H1924)),1,-1),-1))</ns0:f>
        <ns0:v/>
      </ns0:c>
    </ns0:row>
    <ns0:row r="1925">
      <ns0:c r="A1925" s="215">
        <ns0:f>IF(OR(AH!$P$3=0,1920+1&gt;AH!$P$11,AND(AH!$E$4&lt;&gt;"Stored",AH!$P$10&lt;&gt;1)),"",IFERROR(IF(AND(AH!$P$21=1,1920+1=AH!$P$11),TODAY(),IF(AH!$P$10=1,INDEX('Live History'!$A$5:$A$3004,AH!$P$13+1920),INDEX('AH History'!$A$1:$A$18046,AH!$P$7+1920))),""))</ns0:f>
        <ns0:v/>
      </ns0:c>
      <ns0:c r="B1925" s="219">
        <ns0:f>IFERROR(IF(AND(AH!$P$9&lt;&gt;1,$C1925&gt;0,$D1925&gt;0,$E1925&gt;0,$F1925&gt;0,$G1925&gt;0,$F1925&lt;=$A1925,$G1925&lt;=$A1925,$A1925-$F1925&lt;=10,$A1925-$G1925&lt;=5),$D1925*$E1925/$C1925-1,NA()),NA())</ns0:f>
        <ns0:v/>
      </ns0:c>
      <ns0:c r="C1925">
        <ns0:f>IFERROR(IF(ISNUMBER($A1925),IF(AND(AH!$P$10=1,AH!$P$12=1,$A1925=TODAY()),AH!$P$19,IF(AH!$P$10=1,INDEX('Live History'!$B$5:$B$3004,AH!$P$13+1920),INDEX('AH History'!$B$1:$B$18046,AH!$P$7+1920))),NA()),NA())</ns0:f>
        <ns0:v/>
      </ns0:c>
      <ns0:c r="D1925">
        <ns0:f>IFERROR(IF(ISNUMBER($A1925),IF(AND(AH!$P$10=1,AH!$P$12=1,$A1925=TODAY()),AH!$P$18,IF(AH!$P$10=1,INDEX('Live History'!$E$5:$E$3004,MATCH($A1925,'Live History'!$D$5:$D$3004,1)),INDEX('AH History'!$C$1:$C$18046,AH!$P$7+1920))),NA()),NA())</ns0:f>
        <ns0:v/>
      </ns0:c>
      <ns0:c r="E1925">
        <ns0:f>IFERROR(IF(ISNUMBER($A1925),IF(AND(AH!$P$10=1,AH!$P$12=1,$A1925=TODAY()),AH!$P$20,IF(AH!$P$10=1,INDEX('Live History'!$H$5:$H$3004,MATCH($A1925,'Live History'!$G$5:$G$3004,1)),INDEX('AH History'!$D$1:$D$18046,AH!$P$7+1920))),NA()),NA())</ns0:f>
        <ns0:v/>
      </ns0:c>
      <ns0:c r="F1925">
        <ns0:f>IFERROR(IF(ISNUMBER($A1925),IF(AND(AH!$P$10=1,AH!$P$12=1,$A1925=TODAY()),IF(AND(AH!$P$10=1,AH!$P$12=1,$A1925=TODAY()),TODAY(),NA()),IF(AH!$P$10=1,INDEX('Live History'!$D$5:$D$3004,MATCH($A1925,'Live History'!$D$5:$D$3004,1)),INDEX('AH History'!$E$1:$E$18046,AH!$P$7+1920))),NA()),NA())</ns0:f>
        <ns0:v/>
      </ns0:c>
      <ns0:c r="G1925">
        <ns0:f>IFERROR(IF(ISNUMBER($A1925),IF(AND(AH!$P$10=1,AH!$P$12=1,$A1925=TODAY()),IF(AND(AH!$P$10=1,AH!$P$12=1,$A1925=TODAY()),TODAY(),NA()),IF(AH!$P$10=1,INDEX('Live History'!$G$5:$G$3004,MATCH($A1925,'Live History'!$G$5:$G$3004,1)),INDEX('AH History'!$F$1:$F$18046,AH!$P$7+1920))),NA()),NA())</ns0:f>
        <ns0:v/>
      </ns0:c>
      <ns0:c r="H1925">
        <ns0:f>IFERROR(IF(AND(AH!$E$4="Bloomberg",AH!$P$10=1,ISNUMBER($A1925),$A1925&lt;=AH!$P$17),AH!$P$7-1+MATCH($A1925,INDEX('AH History'!$A$1:$A$18046,AH!$P$7):INDEX('AH History'!$A$1:$A$18046,AH!$P$7+AH!$P$8-1),0),0),0)</ns0:f>
        <ns0:v/>
      </ns0:c>
      <ns0:c r="I1925">
        <ns0:f>IF($H1925=0,0,IFERROR(IF(AND(ABS($C1925-INDEX('AH History'!$B$1:$B$18046,$H1925))&lt;=MAX(0.005,ABS(INDEX('AH History'!$B$1:$B$18046,$H1925))*0.00005),ABS($D1925-INDEX('AH History'!$C$1:$C$18046,$H1925))&lt;=MAX(0.005,ABS(INDEX('AH History'!$C$1:$C$18046,$H1925))*0.00005),ABS($E1925-INDEX('AH History'!$D$1:$D$18046,$H1925))&lt;=0.00005,$F1925=INDEX('AH History'!$E$1:$E$18046,$H1925),$G1925=INDEX('AH History'!$F$1:$F$18046,$H1925)),1,-1),-1))</ns0:f>
        <ns0:v/>
      </ns0:c>
    </ns0:row>
    <ns0:row r="1926">
      <ns0:c r="A1926" s="215">
        <ns0:f>IF(OR(AH!$P$3=0,1921+1&gt;AH!$P$11,AND(AH!$E$4&lt;&gt;"Stored",AH!$P$10&lt;&gt;1)),"",IFERROR(IF(AND(AH!$P$21=1,1921+1=AH!$P$11),TODAY(),IF(AH!$P$10=1,INDEX('Live History'!$A$5:$A$3004,AH!$P$13+1921),INDEX('AH History'!$A$1:$A$18046,AH!$P$7+1921))),""))</ns0:f>
        <ns0:v/>
      </ns0:c>
      <ns0:c r="B1926" s="219">
        <ns0:f>IFERROR(IF(AND(AH!$P$9&lt;&gt;1,$C1926&gt;0,$D1926&gt;0,$E1926&gt;0,$F1926&gt;0,$G1926&gt;0,$F1926&lt;=$A1926,$G1926&lt;=$A1926,$A1926-$F1926&lt;=10,$A1926-$G1926&lt;=5),$D1926*$E1926/$C1926-1,NA()),NA())</ns0:f>
        <ns0:v/>
      </ns0:c>
      <ns0:c r="C1926">
        <ns0:f>IFERROR(IF(ISNUMBER($A1926),IF(AND(AH!$P$10=1,AH!$P$12=1,$A1926=TODAY()),AH!$P$19,IF(AH!$P$10=1,INDEX('Live History'!$B$5:$B$3004,AH!$P$13+1921),INDEX('AH History'!$B$1:$B$18046,AH!$P$7+1921))),NA()),NA())</ns0:f>
        <ns0:v/>
      </ns0:c>
      <ns0:c r="D1926">
        <ns0:f>IFERROR(IF(ISNUMBER($A1926),IF(AND(AH!$P$10=1,AH!$P$12=1,$A1926=TODAY()),AH!$P$18,IF(AH!$P$10=1,INDEX('Live History'!$E$5:$E$3004,MATCH($A1926,'Live History'!$D$5:$D$3004,1)),INDEX('AH History'!$C$1:$C$18046,AH!$P$7+1921))),NA()),NA())</ns0:f>
        <ns0:v/>
      </ns0:c>
      <ns0:c r="E1926">
        <ns0:f>IFERROR(IF(ISNUMBER($A1926),IF(AND(AH!$P$10=1,AH!$P$12=1,$A1926=TODAY()),AH!$P$20,IF(AH!$P$10=1,INDEX('Live History'!$H$5:$H$3004,MATCH($A1926,'Live History'!$G$5:$G$3004,1)),INDEX('AH History'!$D$1:$D$18046,AH!$P$7+1921))),NA()),NA())</ns0:f>
        <ns0:v/>
      </ns0:c>
      <ns0:c r="F1926">
        <ns0:f>IFERROR(IF(ISNUMBER($A1926),IF(AND(AH!$P$10=1,AH!$P$12=1,$A1926=TODAY()),IF(AND(AH!$P$10=1,AH!$P$12=1,$A1926=TODAY()),TODAY(),NA()),IF(AH!$P$10=1,INDEX('Live History'!$D$5:$D$3004,MATCH($A1926,'Live History'!$D$5:$D$3004,1)),INDEX('AH History'!$E$1:$E$18046,AH!$P$7+1921))),NA()),NA())</ns0:f>
        <ns0:v/>
      </ns0:c>
      <ns0:c r="G1926">
        <ns0:f>IFERROR(IF(ISNUMBER($A1926),IF(AND(AH!$P$10=1,AH!$P$12=1,$A1926=TODAY()),IF(AND(AH!$P$10=1,AH!$P$12=1,$A1926=TODAY()),TODAY(),NA()),IF(AH!$P$10=1,INDEX('Live History'!$G$5:$G$3004,MATCH($A1926,'Live History'!$G$5:$G$3004,1)),INDEX('AH History'!$F$1:$F$18046,AH!$P$7+1921))),NA()),NA())</ns0:f>
        <ns0:v/>
      </ns0:c>
      <ns0:c r="H1926">
        <ns0:f>IFERROR(IF(AND(AH!$E$4="Bloomberg",AH!$P$10=1,ISNUMBER($A1926),$A1926&lt;=AH!$P$17),AH!$P$7-1+MATCH($A1926,INDEX('AH History'!$A$1:$A$18046,AH!$P$7):INDEX('AH History'!$A$1:$A$18046,AH!$P$7+AH!$P$8-1),0),0),0)</ns0:f>
        <ns0:v/>
      </ns0:c>
      <ns0:c r="I1926">
        <ns0:f>IF($H1926=0,0,IFERROR(IF(AND(ABS($C1926-INDEX('AH History'!$B$1:$B$18046,$H1926))&lt;=MAX(0.005,ABS(INDEX('AH History'!$B$1:$B$18046,$H1926))*0.00005),ABS($D1926-INDEX('AH History'!$C$1:$C$18046,$H1926))&lt;=MAX(0.005,ABS(INDEX('AH History'!$C$1:$C$18046,$H1926))*0.00005),ABS($E1926-INDEX('AH History'!$D$1:$D$18046,$H1926))&lt;=0.00005,$F1926=INDEX('AH History'!$E$1:$E$18046,$H1926),$G1926=INDEX('AH History'!$F$1:$F$18046,$H1926)),1,-1),-1))</ns0:f>
        <ns0:v/>
      </ns0:c>
    </ns0:row>
    <ns0:row r="1927">
      <ns0:c r="A1927" s="215">
        <ns0:f>IF(OR(AH!$P$3=0,1922+1&gt;AH!$P$11,AND(AH!$E$4&lt;&gt;"Stored",AH!$P$10&lt;&gt;1)),"",IFERROR(IF(AND(AH!$P$21=1,1922+1=AH!$P$11),TODAY(),IF(AH!$P$10=1,INDEX('Live History'!$A$5:$A$3004,AH!$P$13+1922),INDEX('AH History'!$A$1:$A$18046,AH!$P$7+1922))),""))</ns0:f>
        <ns0:v/>
      </ns0:c>
      <ns0:c r="B1927" s="219">
        <ns0:f>IFERROR(IF(AND(AH!$P$9&lt;&gt;1,$C1927&gt;0,$D1927&gt;0,$E1927&gt;0,$F1927&gt;0,$G1927&gt;0,$F1927&lt;=$A1927,$G1927&lt;=$A1927,$A1927-$F1927&lt;=10,$A1927-$G1927&lt;=5),$D1927*$E1927/$C1927-1,NA()),NA())</ns0:f>
        <ns0:v/>
      </ns0:c>
      <ns0:c r="C1927">
        <ns0:f>IFERROR(IF(ISNUMBER($A1927),IF(AND(AH!$P$10=1,AH!$P$12=1,$A1927=TODAY()),AH!$P$19,IF(AH!$P$10=1,INDEX('Live History'!$B$5:$B$3004,AH!$P$13+1922),INDEX('AH History'!$B$1:$B$18046,AH!$P$7+1922))),NA()),NA())</ns0:f>
        <ns0:v/>
      </ns0:c>
      <ns0:c r="D1927">
        <ns0:f>IFERROR(IF(ISNUMBER($A1927),IF(AND(AH!$P$10=1,AH!$P$12=1,$A1927=TODAY()),AH!$P$18,IF(AH!$P$10=1,INDEX('Live History'!$E$5:$E$3004,MATCH($A1927,'Live History'!$D$5:$D$3004,1)),INDEX('AH History'!$C$1:$C$18046,AH!$P$7+1922))),NA()),NA())</ns0:f>
        <ns0:v/>
      </ns0:c>
      <ns0:c r="E1927">
        <ns0:f>IFERROR(IF(ISNUMBER($A1927),IF(AND(AH!$P$10=1,AH!$P$12=1,$A1927=TODAY()),AH!$P$20,IF(AH!$P$10=1,INDEX('Live History'!$H$5:$H$3004,MATCH($A1927,'Live History'!$G$5:$G$3004,1)),INDEX('AH History'!$D$1:$D$18046,AH!$P$7+1922))),NA()),NA())</ns0:f>
        <ns0:v/>
      </ns0:c>
      <ns0:c r="F1927">
        <ns0:f>IFERROR(IF(ISNUMBER($A1927),IF(AND(AH!$P$10=1,AH!$P$12=1,$A1927=TODAY()),IF(AND(AH!$P$10=1,AH!$P$12=1,$A1927=TODAY()),TODAY(),NA()),IF(AH!$P$10=1,INDEX('Live History'!$D$5:$D$3004,MATCH($A1927,'Live History'!$D$5:$D$3004,1)),INDEX('AH History'!$E$1:$E$18046,AH!$P$7+1922))),NA()),NA())</ns0:f>
        <ns0:v/>
      </ns0:c>
      <ns0:c r="G1927">
        <ns0:f>IFERROR(IF(ISNUMBER($A1927),IF(AND(AH!$P$10=1,AH!$P$12=1,$A1927=TODAY()),IF(AND(AH!$P$10=1,AH!$P$12=1,$A1927=TODAY()),TODAY(),NA()),IF(AH!$P$10=1,INDEX('Live History'!$G$5:$G$3004,MATCH($A1927,'Live History'!$G$5:$G$3004,1)),INDEX('AH History'!$F$1:$F$18046,AH!$P$7+1922))),NA()),NA())</ns0:f>
        <ns0:v/>
      </ns0:c>
      <ns0:c r="H1927">
        <ns0:f>IFERROR(IF(AND(AH!$E$4="Bloomberg",AH!$P$10=1,ISNUMBER($A1927),$A1927&lt;=AH!$P$17),AH!$P$7-1+MATCH($A1927,INDEX('AH History'!$A$1:$A$18046,AH!$P$7):INDEX('AH History'!$A$1:$A$18046,AH!$P$7+AH!$P$8-1),0),0),0)</ns0:f>
        <ns0:v/>
      </ns0:c>
      <ns0:c r="I1927">
        <ns0:f>IF($H1927=0,0,IFERROR(IF(AND(ABS($C1927-INDEX('AH History'!$B$1:$B$18046,$H1927))&lt;=MAX(0.005,ABS(INDEX('AH History'!$B$1:$B$18046,$H1927))*0.00005),ABS($D1927-INDEX('AH History'!$C$1:$C$18046,$H1927))&lt;=MAX(0.005,ABS(INDEX('AH History'!$C$1:$C$18046,$H1927))*0.00005),ABS($E1927-INDEX('AH History'!$D$1:$D$18046,$H1927))&lt;=0.00005,$F1927=INDEX('AH History'!$E$1:$E$18046,$H1927),$G1927=INDEX('AH History'!$F$1:$F$18046,$H1927)),1,-1),-1))</ns0:f>
        <ns0:v/>
      </ns0:c>
    </ns0:row>
    <ns0:row r="1928">
      <ns0:c r="A1928" s="215">
        <ns0:f>IF(OR(AH!$P$3=0,1923+1&gt;AH!$P$11,AND(AH!$E$4&lt;&gt;"Stored",AH!$P$10&lt;&gt;1)),"",IFERROR(IF(AND(AH!$P$21=1,1923+1=AH!$P$11),TODAY(),IF(AH!$P$10=1,INDEX('Live History'!$A$5:$A$3004,AH!$P$13+1923),INDEX('AH History'!$A$1:$A$18046,AH!$P$7+1923))),""))</ns0:f>
        <ns0:v/>
      </ns0:c>
      <ns0:c r="B1928" s="219">
        <ns0:f>IFERROR(IF(AND(AH!$P$9&lt;&gt;1,$C1928&gt;0,$D1928&gt;0,$E1928&gt;0,$F1928&gt;0,$G1928&gt;0,$F1928&lt;=$A1928,$G1928&lt;=$A1928,$A1928-$F1928&lt;=10,$A1928-$G1928&lt;=5),$D1928*$E1928/$C1928-1,NA()),NA())</ns0:f>
        <ns0:v/>
      </ns0:c>
      <ns0:c r="C1928">
        <ns0:f>IFERROR(IF(ISNUMBER($A1928),IF(AND(AH!$P$10=1,AH!$P$12=1,$A1928=TODAY()),AH!$P$19,IF(AH!$P$10=1,INDEX('Live History'!$B$5:$B$3004,AH!$P$13+1923),INDEX('AH History'!$B$1:$B$18046,AH!$P$7+1923))),NA()),NA())</ns0:f>
        <ns0:v/>
      </ns0:c>
      <ns0:c r="D1928">
        <ns0:f>IFERROR(IF(ISNUMBER($A1928),IF(AND(AH!$P$10=1,AH!$P$12=1,$A1928=TODAY()),AH!$P$18,IF(AH!$P$10=1,INDEX('Live History'!$E$5:$E$3004,MATCH($A1928,'Live History'!$D$5:$D$3004,1)),INDEX('AH History'!$C$1:$C$18046,AH!$P$7+1923))),NA()),NA())</ns0:f>
        <ns0:v/>
      </ns0:c>
      <ns0:c r="E1928">
        <ns0:f>IFERROR(IF(ISNUMBER($A1928),IF(AND(AH!$P$10=1,AH!$P$12=1,$A1928=TODAY()),AH!$P$20,IF(AH!$P$10=1,INDEX('Live History'!$H$5:$H$3004,MATCH($A1928,'Live History'!$G$5:$G$3004,1)),INDEX('AH History'!$D$1:$D$18046,AH!$P$7+1923))),NA()),NA())</ns0:f>
        <ns0:v/>
      </ns0:c>
      <ns0:c r="F1928">
        <ns0:f>IFERROR(IF(ISNUMBER($A1928),IF(AND(AH!$P$10=1,AH!$P$12=1,$A1928=TODAY()),IF(AND(AH!$P$10=1,AH!$P$12=1,$A1928=TODAY()),TODAY(),NA()),IF(AH!$P$10=1,INDEX('Live History'!$D$5:$D$3004,MATCH($A1928,'Live History'!$D$5:$D$3004,1)),INDEX('AH History'!$E$1:$E$18046,AH!$P$7+1923))),NA()),NA())</ns0:f>
        <ns0:v/>
      </ns0:c>
      <ns0:c r="G1928">
        <ns0:f>IFERROR(IF(ISNUMBER($A1928),IF(AND(AH!$P$10=1,AH!$P$12=1,$A1928=TODAY()),IF(AND(AH!$P$10=1,AH!$P$12=1,$A1928=TODAY()),TODAY(),NA()),IF(AH!$P$10=1,INDEX('Live History'!$G$5:$G$3004,MATCH($A1928,'Live History'!$G$5:$G$3004,1)),INDEX('AH History'!$F$1:$F$18046,AH!$P$7+1923))),NA()),NA())</ns0:f>
        <ns0:v/>
      </ns0:c>
      <ns0:c r="H1928">
        <ns0:f>IFERROR(IF(AND(AH!$E$4="Bloomberg",AH!$P$10=1,ISNUMBER($A1928),$A1928&lt;=AH!$P$17),AH!$P$7-1+MATCH($A1928,INDEX('AH History'!$A$1:$A$18046,AH!$P$7):INDEX('AH History'!$A$1:$A$18046,AH!$P$7+AH!$P$8-1),0),0),0)</ns0:f>
        <ns0:v/>
      </ns0:c>
      <ns0:c r="I1928">
        <ns0:f>IF($H1928=0,0,IFERROR(IF(AND(ABS($C1928-INDEX('AH History'!$B$1:$B$18046,$H1928))&lt;=MAX(0.005,ABS(INDEX('AH History'!$B$1:$B$18046,$H1928))*0.00005),ABS($D1928-INDEX('AH History'!$C$1:$C$18046,$H1928))&lt;=MAX(0.005,ABS(INDEX('AH History'!$C$1:$C$18046,$H1928))*0.00005),ABS($E1928-INDEX('AH History'!$D$1:$D$18046,$H1928))&lt;=0.00005,$F1928=INDEX('AH History'!$E$1:$E$18046,$H1928),$G1928=INDEX('AH History'!$F$1:$F$18046,$H1928)),1,-1),-1))</ns0:f>
        <ns0:v/>
      </ns0:c>
    </ns0:row>
    <ns0:row r="1929">
      <ns0:c r="A1929" s="215">
        <ns0:f>IF(OR(AH!$P$3=0,1924+1&gt;AH!$P$11,AND(AH!$E$4&lt;&gt;"Stored",AH!$P$10&lt;&gt;1)),"",IFERROR(IF(AND(AH!$P$21=1,1924+1=AH!$P$11),TODAY(),IF(AH!$P$10=1,INDEX('Live History'!$A$5:$A$3004,AH!$P$13+1924),INDEX('AH History'!$A$1:$A$18046,AH!$P$7+1924))),""))</ns0:f>
        <ns0:v/>
      </ns0:c>
      <ns0:c r="B1929" s="219">
        <ns0:f>IFERROR(IF(AND(AH!$P$9&lt;&gt;1,$C1929&gt;0,$D1929&gt;0,$E1929&gt;0,$F1929&gt;0,$G1929&gt;0,$F1929&lt;=$A1929,$G1929&lt;=$A1929,$A1929-$F1929&lt;=10,$A1929-$G1929&lt;=5),$D1929*$E1929/$C1929-1,NA()),NA())</ns0:f>
        <ns0:v/>
      </ns0:c>
      <ns0:c r="C1929">
        <ns0:f>IFERROR(IF(ISNUMBER($A1929),IF(AND(AH!$P$10=1,AH!$P$12=1,$A1929=TODAY()),AH!$P$19,IF(AH!$P$10=1,INDEX('Live History'!$B$5:$B$3004,AH!$P$13+1924),INDEX('AH History'!$B$1:$B$18046,AH!$P$7+1924))),NA()),NA())</ns0:f>
        <ns0:v/>
      </ns0:c>
      <ns0:c r="D1929">
        <ns0:f>IFERROR(IF(ISNUMBER($A1929),IF(AND(AH!$P$10=1,AH!$P$12=1,$A1929=TODAY()),AH!$P$18,IF(AH!$P$10=1,INDEX('Live History'!$E$5:$E$3004,MATCH($A1929,'Live History'!$D$5:$D$3004,1)),INDEX('AH History'!$C$1:$C$18046,AH!$P$7+1924))),NA()),NA())</ns0:f>
        <ns0:v/>
      </ns0:c>
      <ns0:c r="E1929">
        <ns0:f>IFERROR(IF(ISNUMBER($A1929),IF(AND(AH!$P$10=1,AH!$P$12=1,$A1929=TODAY()),AH!$P$20,IF(AH!$P$10=1,INDEX('Live History'!$H$5:$H$3004,MATCH($A1929,'Live History'!$G$5:$G$3004,1)),INDEX('AH History'!$D$1:$D$18046,AH!$P$7+1924))),NA()),NA())</ns0:f>
        <ns0:v/>
      </ns0:c>
      <ns0:c r="F1929">
        <ns0:f>IFERROR(IF(ISNUMBER($A1929),IF(AND(AH!$P$10=1,AH!$P$12=1,$A1929=TODAY()),IF(AND(AH!$P$10=1,AH!$P$12=1,$A1929=TODAY()),TODAY(),NA()),IF(AH!$P$10=1,INDEX('Live History'!$D$5:$D$3004,MATCH($A1929,'Live History'!$D$5:$D$3004,1)),INDEX('AH History'!$E$1:$E$18046,AH!$P$7+1924))),NA()),NA())</ns0:f>
        <ns0:v/>
      </ns0:c>
      <ns0:c r="G1929">
        <ns0:f>IFERROR(IF(ISNUMBER($A1929),IF(AND(AH!$P$10=1,AH!$P$12=1,$A1929=TODAY()),IF(AND(AH!$P$10=1,AH!$P$12=1,$A1929=TODAY()),TODAY(),NA()),IF(AH!$P$10=1,INDEX('Live History'!$G$5:$G$3004,MATCH($A1929,'Live History'!$G$5:$G$3004,1)),INDEX('AH History'!$F$1:$F$18046,AH!$P$7+1924))),NA()),NA())</ns0:f>
        <ns0:v/>
      </ns0:c>
      <ns0:c r="H1929">
        <ns0:f>IFERROR(IF(AND(AH!$E$4="Bloomberg",AH!$P$10=1,ISNUMBER($A1929),$A1929&lt;=AH!$P$17),AH!$P$7-1+MATCH($A1929,INDEX('AH History'!$A$1:$A$18046,AH!$P$7):INDEX('AH History'!$A$1:$A$18046,AH!$P$7+AH!$P$8-1),0),0),0)</ns0:f>
        <ns0:v/>
      </ns0:c>
      <ns0:c r="I1929">
        <ns0:f>IF($H1929=0,0,IFERROR(IF(AND(ABS($C1929-INDEX('AH History'!$B$1:$B$18046,$H1929))&lt;=MAX(0.005,ABS(INDEX('AH History'!$B$1:$B$18046,$H1929))*0.00005),ABS($D1929-INDEX('AH History'!$C$1:$C$18046,$H1929))&lt;=MAX(0.005,ABS(INDEX('AH History'!$C$1:$C$18046,$H1929))*0.00005),ABS($E1929-INDEX('AH History'!$D$1:$D$18046,$H1929))&lt;=0.00005,$F1929=INDEX('AH History'!$E$1:$E$18046,$H1929),$G1929=INDEX('AH History'!$F$1:$F$18046,$H1929)),1,-1),-1))</ns0:f>
        <ns0:v/>
      </ns0:c>
    </ns0:row>
    <ns0:row r="1930">
      <ns0:c r="A1930" s="215">
        <ns0:f>IF(OR(AH!$P$3=0,1925+1&gt;AH!$P$11,AND(AH!$E$4&lt;&gt;"Stored",AH!$P$10&lt;&gt;1)),"",IFERROR(IF(AND(AH!$P$21=1,1925+1=AH!$P$11),TODAY(),IF(AH!$P$10=1,INDEX('Live History'!$A$5:$A$3004,AH!$P$13+1925),INDEX('AH History'!$A$1:$A$18046,AH!$P$7+1925))),""))</ns0:f>
        <ns0:v/>
      </ns0:c>
      <ns0:c r="B1930" s="219">
        <ns0:f>IFERROR(IF(AND(AH!$P$9&lt;&gt;1,$C1930&gt;0,$D1930&gt;0,$E1930&gt;0,$F1930&gt;0,$G1930&gt;0,$F1930&lt;=$A1930,$G1930&lt;=$A1930,$A1930-$F1930&lt;=10,$A1930-$G1930&lt;=5),$D1930*$E1930/$C1930-1,NA()),NA())</ns0:f>
        <ns0:v/>
      </ns0:c>
      <ns0:c r="C1930">
        <ns0:f>IFERROR(IF(ISNUMBER($A1930),IF(AND(AH!$P$10=1,AH!$P$12=1,$A1930=TODAY()),AH!$P$19,IF(AH!$P$10=1,INDEX('Live History'!$B$5:$B$3004,AH!$P$13+1925),INDEX('AH History'!$B$1:$B$18046,AH!$P$7+1925))),NA()),NA())</ns0:f>
        <ns0:v/>
      </ns0:c>
      <ns0:c r="D1930">
        <ns0:f>IFERROR(IF(ISNUMBER($A1930),IF(AND(AH!$P$10=1,AH!$P$12=1,$A1930=TODAY()),AH!$P$18,IF(AH!$P$10=1,INDEX('Live History'!$E$5:$E$3004,MATCH($A1930,'Live History'!$D$5:$D$3004,1)),INDEX('AH History'!$C$1:$C$18046,AH!$P$7+1925))),NA()),NA())</ns0:f>
        <ns0:v/>
      </ns0:c>
      <ns0:c r="E1930">
        <ns0:f>IFERROR(IF(ISNUMBER($A1930),IF(AND(AH!$P$10=1,AH!$P$12=1,$A1930=TODAY()),AH!$P$20,IF(AH!$P$10=1,INDEX('Live History'!$H$5:$H$3004,MATCH($A1930,'Live History'!$G$5:$G$3004,1)),INDEX('AH History'!$D$1:$D$18046,AH!$P$7+1925))),NA()),NA())</ns0:f>
        <ns0:v/>
      </ns0:c>
      <ns0:c r="F1930">
        <ns0:f>IFERROR(IF(ISNUMBER($A1930),IF(AND(AH!$P$10=1,AH!$P$12=1,$A1930=TODAY()),IF(AND(AH!$P$10=1,AH!$P$12=1,$A1930=TODAY()),TODAY(),NA()),IF(AH!$P$10=1,INDEX('Live History'!$D$5:$D$3004,MATCH($A1930,'Live History'!$D$5:$D$3004,1)),INDEX('AH History'!$E$1:$E$18046,AH!$P$7+1925))),NA()),NA())</ns0:f>
        <ns0:v/>
      </ns0:c>
      <ns0:c r="G1930">
        <ns0:f>IFERROR(IF(ISNUMBER($A1930),IF(AND(AH!$P$10=1,AH!$P$12=1,$A1930=TODAY()),IF(AND(AH!$P$10=1,AH!$P$12=1,$A1930=TODAY()),TODAY(),NA()),IF(AH!$P$10=1,INDEX('Live History'!$G$5:$G$3004,MATCH($A1930,'Live History'!$G$5:$G$3004,1)),INDEX('AH History'!$F$1:$F$18046,AH!$P$7+1925))),NA()),NA())</ns0:f>
        <ns0:v/>
      </ns0:c>
      <ns0:c r="H1930">
        <ns0:f>IFERROR(IF(AND(AH!$E$4="Bloomberg",AH!$P$10=1,ISNUMBER($A1930),$A1930&lt;=AH!$P$17),AH!$P$7-1+MATCH($A1930,INDEX('AH History'!$A$1:$A$18046,AH!$P$7):INDEX('AH History'!$A$1:$A$18046,AH!$P$7+AH!$P$8-1),0),0),0)</ns0:f>
        <ns0:v/>
      </ns0:c>
      <ns0:c r="I1930">
        <ns0:f>IF($H1930=0,0,IFERROR(IF(AND(ABS($C1930-INDEX('AH History'!$B$1:$B$18046,$H1930))&lt;=MAX(0.005,ABS(INDEX('AH History'!$B$1:$B$18046,$H1930))*0.00005),ABS($D1930-INDEX('AH History'!$C$1:$C$18046,$H1930))&lt;=MAX(0.005,ABS(INDEX('AH History'!$C$1:$C$18046,$H1930))*0.00005),ABS($E1930-INDEX('AH History'!$D$1:$D$18046,$H1930))&lt;=0.00005,$F1930=INDEX('AH History'!$E$1:$E$18046,$H1930),$G1930=INDEX('AH History'!$F$1:$F$18046,$H1930)),1,-1),-1))</ns0:f>
        <ns0:v/>
      </ns0:c>
    </ns0:row>
    <ns0:row r="1931">
      <ns0:c r="A1931" s="215">
        <ns0:f>IF(OR(AH!$P$3=0,1926+1&gt;AH!$P$11,AND(AH!$E$4&lt;&gt;"Stored",AH!$P$10&lt;&gt;1)),"",IFERROR(IF(AND(AH!$P$21=1,1926+1=AH!$P$11),TODAY(),IF(AH!$P$10=1,INDEX('Live History'!$A$5:$A$3004,AH!$P$13+1926),INDEX('AH History'!$A$1:$A$18046,AH!$P$7+1926))),""))</ns0:f>
        <ns0:v/>
      </ns0:c>
      <ns0:c r="B1931" s="219">
        <ns0:f>IFERROR(IF(AND(AH!$P$9&lt;&gt;1,$C1931&gt;0,$D1931&gt;0,$E1931&gt;0,$F1931&gt;0,$G1931&gt;0,$F1931&lt;=$A1931,$G1931&lt;=$A1931,$A1931-$F1931&lt;=10,$A1931-$G1931&lt;=5),$D1931*$E1931/$C1931-1,NA()),NA())</ns0:f>
        <ns0:v/>
      </ns0:c>
      <ns0:c r="C1931">
        <ns0:f>IFERROR(IF(ISNUMBER($A1931),IF(AND(AH!$P$10=1,AH!$P$12=1,$A1931=TODAY()),AH!$P$19,IF(AH!$P$10=1,INDEX('Live History'!$B$5:$B$3004,AH!$P$13+1926),INDEX('AH History'!$B$1:$B$18046,AH!$P$7+1926))),NA()),NA())</ns0:f>
        <ns0:v/>
      </ns0:c>
      <ns0:c r="D1931">
        <ns0:f>IFERROR(IF(ISNUMBER($A1931),IF(AND(AH!$P$10=1,AH!$P$12=1,$A1931=TODAY()),AH!$P$18,IF(AH!$P$10=1,INDEX('Live History'!$E$5:$E$3004,MATCH($A1931,'Live History'!$D$5:$D$3004,1)),INDEX('AH History'!$C$1:$C$18046,AH!$P$7+1926))),NA()),NA())</ns0:f>
        <ns0:v/>
      </ns0:c>
      <ns0:c r="E1931">
        <ns0:f>IFERROR(IF(ISNUMBER($A1931),IF(AND(AH!$P$10=1,AH!$P$12=1,$A1931=TODAY()),AH!$P$20,IF(AH!$P$10=1,INDEX('Live History'!$H$5:$H$3004,MATCH($A1931,'Live History'!$G$5:$G$3004,1)),INDEX('AH History'!$D$1:$D$18046,AH!$P$7+1926))),NA()),NA())</ns0:f>
        <ns0:v/>
      </ns0:c>
      <ns0:c r="F1931">
        <ns0:f>IFERROR(IF(ISNUMBER($A1931),IF(AND(AH!$P$10=1,AH!$P$12=1,$A1931=TODAY()),IF(AND(AH!$P$10=1,AH!$P$12=1,$A1931=TODAY()),TODAY(),NA()),IF(AH!$P$10=1,INDEX('Live History'!$D$5:$D$3004,MATCH($A1931,'Live History'!$D$5:$D$3004,1)),INDEX('AH History'!$E$1:$E$18046,AH!$P$7+1926))),NA()),NA())</ns0:f>
        <ns0:v/>
      </ns0:c>
      <ns0:c r="G1931">
        <ns0:f>IFERROR(IF(ISNUMBER($A1931),IF(AND(AH!$P$10=1,AH!$P$12=1,$A1931=TODAY()),IF(AND(AH!$P$10=1,AH!$P$12=1,$A1931=TODAY()),TODAY(),NA()),IF(AH!$P$10=1,INDEX('Live History'!$G$5:$G$3004,MATCH($A1931,'Live History'!$G$5:$G$3004,1)),INDEX('AH History'!$F$1:$F$18046,AH!$P$7+1926))),NA()),NA())</ns0:f>
        <ns0:v/>
      </ns0:c>
      <ns0:c r="H1931">
        <ns0:f>IFERROR(IF(AND(AH!$E$4="Bloomberg",AH!$P$10=1,ISNUMBER($A1931),$A1931&lt;=AH!$P$17),AH!$P$7-1+MATCH($A1931,INDEX('AH History'!$A$1:$A$18046,AH!$P$7):INDEX('AH History'!$A$1:$A$18046,AH!$P$7+AH!$P$8-1),0),0),0)</ns0:f>
        <ns0:v/>
      </ns0:c>
      <ns0:c r="I1931">
        <ns0:f>IF($H1931=0,0,IFERROR(IF(AND(ABS($C1931-INDEX('AH History'!$B$1:$B$18046,$H1931))&lt;=MAX(0.005,ABS(INDEX('AH History'!$B$1:$B$18046,$H1931))*0.00005),ABS($D1931-INDEX('AH History'!$C$1:$C$18046,$H1931))&lt;=MAX(0.005,ABS(INDEX('AH History'!$C$1:$C$18046,$H1931))*0.00005),ABS($E1931-INDEX('AH History'!$D$1:$D$18046,$H1931))&lt;=0.00005,$F1931=INDEX('AH History'!$E$1:$E$18046,$H1931),$G1931=INDEX('AH History'!$F$1:$F$18046,$H1931)),1,-1),-1))</ns0:f>
        <ns0:v/>
      </ns0:c>
    </ns0:row>
    <ns0:row r="1932">
      <ns0:c r="A1932" s="215">
        <ns0:f>IF(OR(AH!$P$3=0,1927+1&gt;AH!$P$11,AND(AH!$E$4&lt;&gt;"Stored",AH!$P$10&lt;&gt;1)),"",IFERROR(IF(AND(AH!$P$21=1,1927+1=AH!$P$11),TODAY(),IF(AH!$P$10=1,INDEX('Live History'!$A$5:$A$3004,AH!$P$13+1927),INDEX('AH History'!$A$1:$A$18046,AH!$P$7+1927))),""))</ns0:f>
        <ns0:v/>
      </ns0:c>
      <ns0:c r="B1932" s="219">
        <ns0:f>IFERROR(IF(AND(AH!$P$9&lt;&gt;1,$C1932&gt;0,$D1932&gt;0,$E1932&gt;0,$F1932&gt;0,$G1932&gt;0,$F1932&lt;=$A1932,$G1932&lt;=$A1932,$A1932-$F1932&lt;=10,$A1932-$G1932&lt;=5),$D1932*$E1932/$C1932-1,NA()),NA())</ns0:f>
        <ns0:v/>
      </ns0:c>
      <ns0:c r="C1932">
        <ns0:f>IFERROR(IF(ISNUMBER($A1932),IF(AND(AH!$P$10=1,AH!$P$12=1,$A1932=TODAY()),AH!$P$19,IF(AH!$P$10=1,INDEX('Live History'!$B$5:$B$3004,AH!$P$13+1927),INDEX('AH History'!$B$1:$B$18046,AH!$P$7+1927))),NA()),NA())</ns0:f>
        <ns0:v/>
      </ns0:c>
      <ns0:c r="D1932">
        <ns0:f>IFERROR(IF(ISNUMBER($A1932),IF(AND(AH!$P$10=1,AH!$P$12=1,$A1932=TODAY()),AH!$P$18,IF(AH!$P$10=1,INDEX('Live History'!$E$5:$E$3004,MATCH($A1932,'Live History'!$D$5:$D$3004,1)),INDEX('AH History'!$C$1:$C$18046,AH!$P$7+1927))),NA()),NA())</ns0:f>
        <ns0:v/>
      </ns0:c>
      <ns0:c r="E1932">
        <ns0:f>IFERROR(IF(ISNUMBER($A1932),IF(AND(AH!$P$10=1,AH!$P$12=1,$A1932=TODAY()),AH!$P$20,IF(AH!$P$10=1,INDEX('Live History'!$H$5:$H$3004,MATCH($A1932,'Live History'!$G$5:$G$3004,1)),INDEX('AH History'!$D$1:$D$18046,AH!$P$7+1927))),NA()),NA())</ns0:f>
        <ns0:v/>
      </ns0:c>
      <ns0:c r="F1932">
        <ns0:f>IFERROR(IF(ISNUMBER($A1932),IF(AND(AH!$P$10=1,AH!$P$12=1,$A1932=TODAY()),IF(AND(AH!$P$10=1,AH!$P$12=1,$A1932=TODAY()),TODAY(),NA()),IF(AH!$P$10=1,INDEX('Live History'!$D$5:$D$3004,MATCH($A1932,'Live History'!$D$5:$D$3004,1)),INDEX('AH History'!$E$1:$E$18046,AH!$P$7+1927))),NA()),NA())</ns0:f>
        <ns0:v/>
      </ns0:c>
      <ns0:c r="G1932">
        <ns0:f>IFERROR(IF(ISNUMBER($A1932),IF(AND(AH!$P$10=1,AH!$P$12=1,$A1932=TODAY()),IF(AND(AH!$P$10=1,AH!$P$12=1,$A1932=TODAY()),TODAY(),NA()),IF(AH!$P$10=1,INDEX('Live History'!$G$5:$G$3004,MATCH($A1932,'Live History'!$G$5:$G$3004,1)),INDEX('AH History'!$F$1:$F$18046,AH!$P$7+1927))),NA()),NA())</ns0:f>
        <ns0:v/>
      </ns0:c>
      <ns0:c r="H1932">
        <ns0:f>IFERROR(IF(AND(AH!$E$4="Bloomberg",AH!$P$10=1,ISNUMBER($A1932),$A1932&lt;=AH!$P$17),AH!$P$7-1+MATCH($A1932,INDEX('AH History'!$A$1:$A$18046,AH!$P$7):INDEX('AH History'!$A$1:$A$18046,AH!$P$7+AH!$P$8-1),0),0),0)</ns0:f>
        <ns0:v/>
      </ns0:c>
      <ns0:c r="I1932">
        <ns0:f>IF($H1932=0,0,IFERROR(IF(AND(ABS($C1932-INDEX('AH History'!$B$1:$B$18046,$H1932))&lt;=MAX(0.005,ABS(INDEX('AH History'!$B$1:$B$18046,$H1932))*0.00005),ABS($D1932-INDEX('AH History'!$C$1:$C$18046,$H1932))&lt;=MAX(0.005,ABS(INDEX('AH History'!$C$1:$C$18046,$H1932))*0.00005),ABS($E1932-INDEX('AH History'!$D$1:$D$18046,$H1932))&lt;=0.00005,$F1932=INDEX('AH History'!$E$1:$E$18046,$H1932),$G1932=INDEX('AH History'!$F$1:$F$18046,$H1932)),1,-1),-1))</ns0:f>
        <ns0:v/>
      </ns0:c>
    </ns0:row>
    <ns0:row r="1933">
      <ns0:c r="A1933" s="215">
        <ns0:f>IF(OR(AH!$P$3=0,1928+1&gt;AH!$P$11,AND(AH!$E$4&lt;&gt;"Stored",AH!$P$10&lt;&gt;1)),"",IFERROR(IF(AND(AH!$P$21=1,1928+1=AH!$P$11),TODAY(),IF(AH!$P$10=1,INDEX('Live History'!$A$5:$A$3004,AH!$P$13+1928),INDEX('AH History'!$A$1:$A$18046,AH!$P$7+1928))),""))</ns0:f>
        <ns0:v/>
      </ns0:c>
      <ns0:c r="B1933" s="219">
        <ns0:f>IFERROR(IF(AND(AH!$P$9&lt;&gt;1,$C1933&gt;0,$D1933&gt;0,$E1933&gt;0,$F1933&gt;0,$G1933&gt;0,$F1933&lt;=$A1933,$G1933&lt;=$A1933,$A1933-$F1933&lt;=10,$A1933-$G1933&lt;=5),$D1933*$E1933/$C1933-1,NA()),NA())</ns0:f>
        <ns0:v/>
      </ns0:c>
      <ns0:c r="C1933">
        <ns0:f>IFERROR(IF(ISNUMBER($A1933),IF(AND(AH!$P$10=1,AH!$P$12=1,$A1933=TODAY()),AH!$P$19,IF(AH!$P$10=1,INDEX('Live History'!$B$5:$B$3004,AH!$P$13+1928),INDEX('AH History'!$B$1:$B$18046,AH!$P$7+1928))),NA()),NA())</ns0:f>
        <ns0:v/>
      </ns0:c>
      <ns0:c r="D1933">
        <ns0:f>IFERROR(IF(ISNUMBER($A1933),IF(AND(AH!$P$10=1,AH!$P$12=1,$A1933=TODAY()),AH!$P$18,IF(AH!$P$10=1,INDEX('Live History'!$E$5:$E$3004,MATCH($A1933,'Live History'!$D$5:$D$3004,1)),INDEX('AH History'!$C$1:$C$18046,AH!$P$7+1928))),NA()),NA())</ns0:f>
        <ns0:v/>
      </ns0:c>
      <ns0:c r="E1933">
        <ns0:f>IFERROR(IF(ISNUMBER($A1933),IF(AND(AH!$P$10=1,AH!$P$12=1,$A1933=TODAY()),AH!$P$20,IF(AH!$P$10=1,INDEX('Live History'!$H$5:$H$3004,MATCH($A1933,'Live History'!$G$5:$G$3004,1)),INDEX('AH History'!$D$1:$D$18046,AH!$P$7+1928))),NA()),NA())</ns0:f>
        <ns0:v/>
      </ns0:c>
      <ns0:c r="F1933">
        <ns0:f>IFERROR(IF(ISNUMBER($A1933),IF(AND(AH!$P$10=1,AH!$P$12=1,$A1933=TODAY()),IF(AND(AH!$P$10=1,AH!$P$12=1,$A1933=TODAY()),TODAY(),NA()),IF(AH!$P$10=1,INDEX('Live History'!$D$5:$D$3004,MATCH($A1933,'Live History'!$D$5:$D$3004,1)),INDEX('AH History'!$E$1:$E$18046,AH!$P$7+1928))),NA()),NA())</ns0:f>
        <ns0:v/>
      </ns0:c>
      <ns0:c r="G1933">
        <ns0:f>IFERROR(IF(ISNUMBER($A1933),IF(AND(AH!$P$10=1,AH!$P$12=1,$A1933=TODAY()),IF(AND(AH!$P$10=1,AH!$P$12=1,$A1933=TODAY()),TODAY(),NA()),IF(AH!$P$10=1,INDEX('Live History'!$G$5:$G$3004,MATCH($A1933,'Live History'!$G$5:$G$3004,1)),INDEX('AH History'!$F$1:$F$18046,AH!$P$7+1928))),NA()),NA())</ns0:f>
        <ns0:v/>
      </ns0:c>
      <ns0:c r="H1933">
        <ns0:f>IFERROR(IF(AND(AH!$E$4="Bloomberg",AH!$P$10=1,ISNUMBER($A1933),$A1933&lt;=AH!$P$17),AH!$P$7-1+MATCH($A1933,INDEX('AH History'!$A$1:$A$18046,AH!$P$7):INDEX('AH History'!$A$1:$A$18046,AH!$P$7+AH!$P$8-1),0),0),0)</ns0:f>
        <ns0:v/>
      </ns0:c>
      <ns0:c r="I1933">
        <ns0:f>IF($H1933=0,0,IFERROR(IF(AND(ABS($C1933-INDEX('AH History'!$B$1:$B$18046,$H1933))&lt;=MAX(0.005,ABS(INDEX('AH History'!$B$1:$B$18046,$H1933))*0.00005),ABS($D1933-INDEX('AH History'!$C$1:$C$18046,$H1933))&lt;=MAX(0.005,ABS(INDEX('AH History'!$C$1:$C$18046,$H1933))*0.00005),ABS($E1933-INDEX('AH History'!$D$1:$D$18046,$H1933))&lt;=0.00005,$F1933=INDEX('AH History'!$E$1:$E$18046,$H1933),$G1933=INDEX('AH History'!$F$1:$F$18046,$H1933)),1,-1),-1))</ns0:f>
        <ns0:v/>
      </ns0:c>
    </ns0:row>
    <ns0:row r="1934">
      <ns0:c r="A1934" s="215">
        <ns0:f>IF(OR(AH!$P$3=0,1929+1&gt;AH!$P$11,AND(AH!$E$4&lt;&gt;"Stored",AH!$P$10&lt;&gt;1)),"",IFERROR(IF(AND(AH!$P$21=1,1929+1=AH!$P$11),TODAY(),IF(AH!$P$10=1,INDEX('Live History'!$A$5:$A$3004,AH!$P$13+1929),INDEX('AH History'!$A$1:$A$18046,AH!$P$7+1929))),""))</ns0:f>
        <ns0:v/>
      </ns0:c>
      <ns0:c r="B1934" s="219">
        <ns0:f>IFERROR(IF(AND(AH!$P$9&lt;&gt;1,$C1934&gt;0,$D1934&gt;0,$E1934&gt;0,$F1934&gt;0,$G1934&gt;0,$F1934&lt;=$A1934,$G1934&lt;=$A1934,$A1934-$F1934&lt;=10,$A1934-$G1934&lt;=5),$D1934*$E1934/$C1934-1,NA()),NA())</ns0:f>
        <ns0:v/>
      </ns0:c>
      <ns0:c r="C1934">
        <ns0:f>IFERROR(IF(ISNUMBER($A1934),IF(AND(AH!$P$10=1,AH!$P$12=1,$A1934=TODAY()),AH!$P$19,IF(AH!$P$10=1,INDEX('Live History'!$B$5:$B$3004,AH!$P$13+1929),INDEX('AH History'!$B$1:$B$18046,AH!$P$7+1929))),NA()),NA())</ns0:f>
        <ns0:v/>
      </ns0:c>
      <ns0:c r="D1934">
        <ns0:f>IFERROR(IF(ISNUMBER($A1934),IF(AND(AH!$P$10=1,AH!$P$12=1,$A1934=TODAY()),AH!$P$18,IF(AH!$P$10=1,INDEX('Live History'!$E$5:$E$3004,MATCH($A1934,'Live History'!$D$5:$D$3004,1)),INDEX('AH History'!$C$1:$C$18046,AH!$P$7+1929))),NA()),NA())</ns0:f>
        <ns0:v/>
      </ns0:c>
      <ns0:c r="E1934">
        <ns0:f>IFERROR(IF(ISNUMBER($A1934),IF(AND(AH!$P$10=1,AH!$P$12=1,$A1934=TODAY()),AH!$P$20,IF(AH!$P$10=1,INDEX('Live History'!$H$5:$H$3004,MATCH($A1934,'Live History'!$G$5:$G$3004,1)),INDEX('AH History'!$D$1:$D$18046,AH!$P$7+1929))),NA()),NA())</ns0:f>
        <ns0:v/>
      </ns0:c>
      <ns0:c r="F1934">
        <ns0:f>IFERROR(IF(ISNUMBER($A1934),IF(AND(AH!$P$10=1,AH!$P$12=1,$A1934=TODAY()),IF(AND(AH!$P$10=1,AH!$P$12=1,$A1934=TODAY()),TODAY(),NA()),IF(AH!$P$10=1,INDEX('Live History'!$D$5:$D$3004,MATCH($A1934,'Live History'!$D$5:$D$3004,1)),INDEX('AH History'!$E$1:$E$18046,AH!$P$7+1929))),NA()),NA())</ns0:f>
        <ns0:v/>
      </ns0:c>
      <ns0:c r="G1934">
        <ns0:f>IFERROR(IF(ISNUMBER($A1934),IF(AND(AH!$P$10=1,AH!$P$12=1,$A1934=TODAY()),IF(AND(AH!$P$10=1,AH!$P$12=1,$A1934=TODAY()),TODAY(),NA()),IF(AH!$P$10=1,INDEX('Live History'!$G$5:$G$3004,MATCH($A1934,'Live History'!$G$5:$G$3004,1)),INDEX('AH History'!$F$1:$F$18046,AH!$P$7+1929))),NA()),NA())</ns0:f>
        <ns0:v/>
      </ns0:c>
      <ns0:c r="H1934">
        <ns0:f>IFERROR(IF(AND(AH!$E$4="Bloomberg",AH!$P$10=1,ISNUMBER($A1934),$A1934&lt;=AH!$P$17),AH!$P$7-1+MATCH($A1934,INDEX('AH History'!$A$1:$A$18046,AH!$P$7):INDEX('AH History'!$A$1:$A$18046,AH!$P$7+AH!$P$8-1),0),0),0)</ns0:f>
        <ns0:v/>
      </ns0:c>
      <ns0:c r="I1934">
        <ns0:f>IF($H1934=0,0,IFERROR(IF(AND(ABS($C1934-INDEX('AH History'!$B$1:$B$18046,$H1934))&lt;=MAX(0.005,ABS(INDEX('AH History'!$B$1:$B$18046,$H1934))*0.00005),ABS($D1934-INDEX('AH History'!$C$1:$C$18046,$H1934))&lt;=MAX(0.005,ABS(INDEX('AH History'!$C$1:$C$18046,$H1934))*0.00005),ABS($E1934-INDEX('AH History'!$D$1:$D$18046,$H1934))&lt;=0.00005,$F1934=INDEX('AH History'!$E$1:$E$18046,$H1934),$G1934=INDEX('AH History'!$F$1:$F$18046,$H1934)),1,-1),-1))</ns0:f>
        <ns0:v/>
      </ns0:c>
    </ns0:row>
    <ns0:row r="1935">
      <ns0:c r="A1935" s="215">
        <ns0:f>IF(OR(AH!$P$3=0,1930+1&gt;AH!$P$11,AND(AH!$E$4&lt;&gt;"Stored",AH!$P$10&lt;&gt;1)),"",IFERROR(IF(AND(AH!$P$21=1,1930+1=AH!$P$11),TODAY(),IF(AH!$P$10=1,INDEX('Live History'!$A$5:$A$3004,AH!$P$13+1930),INDEX('AH History'!$A$1:$A$18046,AH!$P$7+1930))),""))</ns0:f>
        <ns0:v/>
      </ns0:c>
      <ns0:c r="B1935" s="219">
        <ns0:f>IFERROR(IF(AND(AH!$P$9&lt;&gt;1,$C1935&gt;0,$D1935&gt;0,$E1935&gt;0,$F1935&gt;0,$G1935&gt;0,$F1935&lt;=$A1935,$G1935&lt;=$A1935,$A1935-$F1935&lt;=10,$A1935-$G1935&lt;=5),$D1935*$E1935/$C1935-1,NA()),NA())</ns0:f>
        <ns0:v/>
      </ns0:c>
      <ns0:c r="C1935">
        <ns0:f>IFERROR(IF(ISNUMBER($A1935),IF(AND(AH!$P$10=1,AH!$P$12=1,$A1935=TODAY()),AH!$P$19,IF(AH!$P$10=1,INDEX('Live History'!$B$5:$B$3004,AH!$P$13+1930),INDEX('AH History'!$B$1:$B$18046,AH!$P$7+1930))),NA()),NA())</ns0:f>
        <ns0:v/>
      </ns0:c>
      <ns0:c r="D1935">
        <ns0:f>IFERROR(IF(ISNUMBER($A1935),IF(AND(AH!$P$10=1,AH!$P$12=1,$A1935=TODAY()),AH!$P$18,IF(AH!$P$10=1,INDEX('Live History'!$E$5:$E$3004,MATCH($A1935,'Live History'!$D$5:$D$3004,1)),INDEX('AH History'!$C$1:$C$18046,AH!$P$7+1930))),NA()),NA())</ns0:f>
        <ns0:v/>
      </ns0:c>
      <ns0:c r="E1935">
        <ns0:f>IFERROR(IF(ISNUMBER($A1935),IF(AND(AH!$P$10=1,AH!$P$12=1,$A1935=TODAY()),AH!$P$20,IF(AH!$P$10=1,INDEX('Live History'!$H$5:$H$3004,MATCH($A1935,'Live History'!$G$5:$G$3004,1)),INDEX('AH History'!$D$1:$D$18046,AH!$P$7+1930))),NA()),NA())</ns0:f>
        <ns0:v/>
      </ns0:c>
      <ns0:c r="F1935">
        <ns0:f>IFERROR(IF(ISNUMBER($A1935),IF(AND(AH!$P$10=1,AH!$P$12=1,$A1935=TODAY()),IF(AND(AH!$P$10=1,AH!$P$12=1,$A1935=TODAY()),TODAY(),NA()),IF(AH!$P$10=1,INDEX('Live History'!$D$5:$D$3004,MATCH($A1935,'Live History'!$D$5:$D$3004,1)),INDEX('AH History'!$E$1:$E$18046,AH!$P$7+1930))),NA()),NA())</ns0:f>
        <ns0:v/>
      </ns0:c>
      <ns0:c r="G1935">
        <ns0:f>IFERROR(IF(ISNUMBER($A1935),IF(AND(AH!$P$10=1,AH!$P$12=1,$A1935=TODAY()),IF(AND(AH!$P$10=1,AH!$P$12=1,$A1935=TODAY()),TODAY(),NA()),IF(AH!$P$10=1,INDEX('Live History'!$G$5:$G$3004,MATCH($A1935,'Live History'!$G$5:$G$3004,1)),INDEX('AH History'!$F$1:$F$18046,AH!$P$7+1930))),NA()),NA())</ns0:f>
        <ns0:v/>
      </ns0:c>
      <ns0:c r="H1935">
        <ns0:f>IFERROR(IF(AND(AH!$E$4="Bloomberg",AH!$P$10=1,ISNUMBER($A1935),$A1935&lt;=AH!$P$17),AH!$P$7-1+MATCH($A1935,INDEX('AH History'!$A$1:$A$18046,AH!$P$7):INDEX('AH History'!$A$1:$A$18046,AH!$P$7+AH!$P$8-1),0),0),0)</ns0:f>
        <ns0:v/>
      </ns0:c>
      <ns0:c r="I1935">
        <ns0:f>IF($H1935=0,0,IFERROR(IF(AND(ABS($C1935-INDEX('AH History'!$B$1:$B$18046,$H1935))&lt;=MAX(0.005,ABS(INDEX('AH History'!$B$1:$B$18046,$H1935))*0.00005),ABS($D1935-INDEX('AH History'!$C$1:$C$18046,$H1935))&lt;=MAX(0.005,ABS(INDEX('AH History'!$C$1:$C$18046,$H1935))*0.00005),ABS($E1935-INDEX('AH History'!$D$1:$D$18046,$H1935))&lt;=0.00005,$F1935=INDEX('AH History'!$E$1:$E$18046,$H1935),$G1935=INDEX('AH History'!$F$1:$F$18046,$H1935)),1,-1),-1))</ns0:f>
        <ns0:v/>
      </ns0:c>
    </ns0:row>
    <ns0:row r="1936">
      <ns0:c r="A1936" s="215">
        <ns0:f>IF(OR(AH!$P$3=0,1931+1&gt;AH!$P$11,AND(AH!$E$4&lt;&gt;"Stored",AH!$P$10&lt;&gt;1)),"",IFERROR(IF(AND(AH!$P$21=1,1931+1=AH!$P$11),TODAY(),IF(AH!$P$10=1,INDEX('Live History'!$A$5:$A$3004,AH!$P$13+1931),INDEX('AH History'!$A$1:$A$18046,AH!$P$7+1931))),""))</ns0:f>
        <ns0:v/>
      </ns0:c>
      <ns0:c r="B1936" s="219">
        <ns0:f>IFERROR(IF(AND(AH!$P$9&lt;&gt;1,$C1936&gt;0,$D1936&gt;0,$E1936&gt;0,$F1936&gt;0,$G1936&gt;0,$F1936&lt;=$A1936,$G1936&lt;=$A1936,$A1936-$F1936&lt;=10,$A1936-$G1936&lt;=5),$D1936*$E1936/$C1936-1,NA()),NA())</ns0:f>
        <ns0:v/>
      </ns0:c>
      <ns0:c r="C1936">
        <ns0:f>IFERROR(IF(ISNUMBER($A1936),IF(AND(AH!$P$10=1,AH!$P$12=1,$A1936=TODAY()),AH!$P$19,IF(AH!$P$10=1,INDEX('Live History'!$B$5:$B$3004,AH!$P$13+1931),INDEX('AH History'!$B$1:$B$18046,AH!$P$7+1931))),NA()),NA())</ns0:f>
        <ns0:v/>
      </ns0:c>
      <ns0:c r="D1936">
        <ns0:f>IFERROR(IF(ISNUMBER($A1936),IF(AND(AH!$P$10=1,AH!$P$12=1,$A1936=TODAY()),AH!$P$18,IF(AH!$P$10=1,INDEX('Live History'!$E$5:$E$3004,MATCH($A1936,'Live History'!$D$5:$D$3004,1)),INDEX('AH History'!$C$1:$C$18046,AH!$P$7+1931))),NA()),NA())</ns0:f>
        <ns0:v/>
      </ns0:c>
      <ns0:c r="E1936">
        <ns0:f>IFERROR(IF(ISNUMBER($A1936),IF(AND(AH!$P$10=1,AH!$P$12=1,$A1936=TODAY()),AH!$P$20,IF(AH!$P$10=1,INDEX('Live History'!$H$5:$H$3004,MATCH($A1936,'Live History'!$G$5:$G$3004,1)),INDEX('AH History'!$D$1:$D$18046,AH!$P$7+1931))),NA()),NA())</ns0:f>
        <ns0:v/>
      </ns0:c>
      <ns0:c r="F1936">
        <ns0:f>IFERROR(IF(ISNUMBER($A1936),IF(AND(AH!$P$10=1,AH!$P$12=1,$A1936=TODAY()),IF(AND(AH!$P$10=1,AH!$P$12=1,$A1936=TODAY()),TODAY(),NA()),IF(AH!$P$10=1,INDEX('Live History'!$D$5:$D$3004,MATCH($A1936,'Live History'!$D$5:$D$3004,1)),INDEX('AH History'!$E$1:$E$18046,AH!$P$7+1931))),NA()),NA())</ns0:f>
        <ns0:v/>
      </ns0:c>
      <ns0:c r="G1936">
        <ns0:f>IFERROR(IF(ISNUMBER($A1936),IF(AND(AH!$P$10=1,AH!$P$12=1,$A1936=TODAY()),IF(AND(AH!$P$10=1,AH!$P$12=1,$A1936=TODAY()),TODAY(),NA()),IF(AH!$P$10=1,INDEX('Live History'!$G$5:$G$3004,MATCH($A1936,'Live History'!$G$5:$G$3004,1)),INDEX('AH History'!$F$1:$F$18046,AH!$P$7+1931))),NA()),NA())</ns0:f>
        <ns0:v/>
      </ns0:c>
      <ns0:c r="H1936">
        <ns0:f>IFERROR(IF(AND(AH!$E$4="Bloomberg",AH!$P$10=1,ISNUMBER($A1936),$A1936&lt;=AH!$P$17),AH!$P$7-1+MATCH($A1936,INDEX('AH History'!$A$1:$A$18046,AH!$P$7):INDEX('AH History'!$A$1:$A$18046,AH!$P$7+AH!$P$8-1),0),0),0)</ns0:f>
        <ns0:v/>
      </ns0:c>
      <ns0:c r="I1936">
        <ns0:f>IF($H1936=0,0,IFERROR(IF(AND(ABS($C1936-INDEX('AH History'!$B$1:$B$18046,$H1936))&lt;=MAX(0.005,ABS(INDEX('AH History'!$B$1:$B$18046,$H1936))*0.00005),ABS($D1936-INDEX('AH History'!$C$1:$C$18046,$H1936))&lt;=MAX(0.005,ABS(INDEX('AH History'!$C$1:$C$18046,$H1936))*0.00005),ABS($E1936-INDEX('AH History'!$D$1:$D$18046,$H1936))&lt;=0.00005,$F1936=INDEX('AH History'!$E$1:$E$18046,$H1936),$G1936=INDEX('AH History'!$F$1:$F$18046,$H1936)),1,-1),-1))</ns0:f>
        <ns0:v/>
      </ns0:c>
    </ns0:row>
    <ns0:row r="1937">
      <ns0:c r="A1937" s="215">
        <ns0:f>IF(OR(AH!$P$3=0,1932+1&gt;AH!$P$11,AND(AH!$E$4&lt;&gt;"Stored",AH!$P$10&lt;&gt;1)),"",IFERROR(IF(AND(AH!$P$21=1,1932+1=AH!$P$11),TODAY(),IF(AH!$P$10=1,INDEX('Live History'!$A$5:$A$3004,AH!$P$13+1932),INDEX('AH History'!$A$1:$A$18046,AH!$P$7+1932))),""))</ns0:f>
        <ns0:v/>
      </ns0:c>
      <ns0:c r="B1937" s="219">
        <ns0:f>IFERROR(IF(AND(AH!$P$9&lt;&gt;1,$C1937&gt;0,$D1937&gt;0,$E1937&gt;0,$F1937&gt;0,$G1937&gt;0,$F1937&lt;=$A1937,$G1937&lt;=$A1937,$A1937-$F1937&lt;=10,$A1937-$G1937&lt;=5),$D1937*$E1937/$C1937-1,NA()),NA())</ns0:f>
        <ns0:v/>
      </ns0:c>
      <ns0:c r="C1937">
        <ns0:f>IFERROR(IF(ISNUMBER($A1937),IF(AND(AH!$P$10=1,AH!$P$12=1,$A1937=TODAY()),AH!$P$19,IF(AH!$P$10=1,INDEX('Live History'!$B$5:$B$3004,AH!$P$13+1932),INDEX('AH History'!$B$1:$B$18046,AH!$P$7+1932))),NA()),NA())</ns0:f>
        <ns0:v/>
      </ns0:c>
      <ns0:c r="D1937">
        <ns0:f>IFERROR(IF(ISNUMBER($A1937),IF(AND(AH!$P$10=1,AH!$P$12=1,$A1937=TODAY()),AH!$P$18,IF(AH!$P$10=1,INDEX('Live History'!$E$5:$E$3004,MATCH($A1937,'Live History'!$D$5:$D$3004,1)),INDEX('AH History'!$C$1:$C$18046,AH!$P$7+1932))),NA()),NA())</ns0:f>
        <ns0:v/>
      </ns0:c>
      <ns0:c r="E1937">
        <ns0:f>IFERROR(IF(ISNUMBER($A1937),IF(AND(AH!$P$10=1,AH!$P$12=1,$A1937=TODAY()),AH!$P$20,IF(AH!$P$10=1,INDEX('Live History'!$H$5:$H$3004,MATCH($A1937,'Live History'!$G$5:$G$3004,1)),INDEX('AH History'!$D$1:$D$18046,AH!$P$7+1932))),NA()),NA())</ns0:f>
        <ns0:v/>
      </ns0:c>
      <ns0:c r="F1937">
        <ns0:f>IFERROR(IF(ISNUMBER($A1937),IF(AND(AH!$P$10=1,AH!$P$12=1,$A1937=TODAY()),IF(AND(AH!$P$10=1,AH!$P$12=1,$A1937=TODAY()),TODAY(),NA()),IF(AH!$P$10=1,INDEX('Live History'!$D$5:$D$3004,MATCH($A1937,'Live History'!$D$5:$D$3004,1)),INDEX('AH History'!$E$1:$E$18046,AH!$P$7+1932))),NA()),NA())</ns0:f>
        <ns0:v/>
      </ns0:c>
      <ns0:c r="G1937">
        <ns0:f>IFERROR(IF(ISNUMBER($A1937),IF(AND(AH!$P$10=1,AH!$P$12=1,$A1937=TODAY()),IF(AND(AH!$P$10=1,AH!$P$12=1,$A1937=TODAY()),TODAY(),NA()),IF(AH!$P$10=1,INDEX('Live History'!$G$5:$G$3004,MATCH($A1937,'Live History'!$G$5:$G$3004,1)),INDEX('AH History'!$F$1:$F$18046,AH!$P$7+1932))),NA()),NA())</ns0:f>
        <ns0:v/>
      </ns0:c>
      <ns0:c r="H1937">
        <ns0:f>IFERROR(IF(AND(AH!$E$4="Bloomberg",AH!$P$10=1,ISNUMBER($A1937),$A1937&lt;=AH!$P$17),AH!$P$7-1+MATCH($A1937,INDEX('AH History'!$A$1:$A$18046,AH!$P$7):INDEX('AH History'!$A$1:$A$18046,AH!$P$7+AH!$P$8-1),0),0),0)</ns0:f>
        <ns0:v/>
      </ns0:c>
      <ns0:c r="I1937">
        <ns0:f>IF($H1937=0,0,IFERROR(IF(AND(ABS($C1937-INDEX('AH History'!$B$1:$B$18046,$H1937))&lt;=MAX(0.005,ABS(INDEX('AH History'!$B$1:$B$18046,$H1937))*0.00005),ABS($D1937-INDEX('AH History'!$C$1:$C$18046,$H1937))&lt;=MAX(0.005,ABS(INDEX('AH History'!$C$1:$C$18046,$H1937))*0.00005),ABS($E1937-INDEX('AH History'!$D$1:$D$18046,$H1937))&lt;=0.00005,$F1937=INDEX('AH History'!$E$1:$E$18046,$H1937),$G1937=INDEX('AH History'!$F$1:$F$18046,$H1937)),1,-1),-1))</ns0:f>
        <ns0:v/>
      </ns0:c>
    </ns0:row>
    <ns0:row r="1938">
      <ns0:c r="A1938" s="215">
        <ns0:f>IF(OR(AH!$P$3=0,1933+1&gt;AH!$P$11,AND(AH!$E$4&lt;&gt;"Stored",AH!$P$10&lt;&gt;1)),"",IFERROR(IF(AND(AH!$P$21=1,1933+1=AH!$P$11),TODAY(),IF(AH!$P$10=1,INDEX('Live History'!$A$5:$A$3004,AH!$P$13+1933),INDEX('AH History'!$A$1:$A$18046,AH!$P$7+1933))),""))</ns0:f>
        <ns0:v/>
      </ns0:c>
      <ns0:c r="B1938" s="219">
        <ns0:f>IFERROR(IF(AND(AH!$P$9&lt;&gt;1,$C1938&gt;0,$D1938&gt;0,$E1938&gt;0,$F1938&gt;0,$G1938&gt;0,$F1938&lt;=$A1938,$G1938&lt;=$A1938,$A1938-$F1938&lt;=10,$A1938-$G1938&lt;=5),$D1938*$E1938/$C1938-1,NA()),NA())</ns0:f>
        <ns0:v/>
      </ns0:c>
      <ns0:c r="C1938">
        <ns0:f>IFERROR(IF(ISNUMBER($A1938),IF(AND(AH!$P$10=1,AH!$P$12=1,$A1938=TODAY()),AH!$P$19,IF(AH!$P$10=1,INDEX('Live History'!$B$5:$B$3004,AH!$P$13+1933),INDEX('AH History'!$B$1:$B$18046,AH!$P$7+1933))),NA()),NA())</ns0:f>
        <ns0:v/>
      </ns0:c>
      <ns0:c r="D1938">
        <ns0:f>IFERROR(IF(ISNUMBER($A1938),IF(AND(AH!$P$10=1,AH!$P$12=1,$A1938=TODAY()),AH!$P$18,IF(AH!$P$10=1,INDEX('Live History'!$E$5:$E$3004,MATCH($A1938,'Live History'!$D$5:$D$3004,1)),INDEX('AH History'!$C$1:$C$18046,AH!$P$7+1933))),NA()),NA())</ns0:f>
        <ns0:v/>
      </ns0:c>
      <ns0:c r="E1938">
        <ns0:f>IFERROR(IF(ISNUMBER($A1938),IF(AND(AH!$P$10=1,AH!$P$12=1,$A1938=TODAY()),AH!$P$20,IF(AH!$P$10=1,INDEX('Live History'!$H$5:$H$3004,MATCH($A1938,'Live History'!$G$5:$G$3004,1)),INDEX('AH History'!$D$1:$D$18046,AH!$P$7+1933))),NA()),NA())</ns0:f>
        <ns0:v/>
      </ns0:c>
      <ns0:c r="F1938">
        <ns0:f>IFERROR(IF(ISNUMBER($A1938),IF(AND(AH!$P$10=1,AH!$P$12=1,$A1938=TODAY()),IF(AND(AH!$P$10=1,AH!$P$12=1,$A1938=TODAY()),TODAY(),NA()),IF(AH!$P$10=1,INDEX('Live History'!$D$5:$D$3004,MATCH($A1938,'Live History'!$D$5:$D$3004,1)),INDEX('AH History'!$E$1:$E$18046,AH!$P$7+1933))),NA()),NA())</ns0:f>
        <ns0:v/>
      </ns0:c>
      <ns0:c r="G1938">
        <ns0:f>IFERROR(IF(ISNUMBER($A1938),IF(AND(AH!$P$10=1,AH!$P$12=1,$A1938=TODAY()),IF(AND(AH!$P$10=1,AH!$P$12=1,$A1938=TODAY()),TODAY(),NA()),IF(AH!$P$10=1,INDEX('Live History'!$G$5:$G$3004,MATCH($A1938,'Live History'!$G$5:$G$3004,1)),INDEX('AH History'!$F$1:$F$18046,AH!$P$7+1933))),NA()),NA())</ns0:f>
        <ns0:v/>
      </ns0:c>
      <ns0:c r="H1938">
        <ns0:f>IFERROR(IF(AND(AH!$E$4="Bloomberg",AH!$P$10=1,ISNUMBER($A1938),$A1938&lt;=AH!$P$17),AH!$P$7-1+MATCH($A1938,INDEX('AH History'!$A$1:$A$18046,AH!$P$7):INDEX('AH History'!$A$1:$A$18046,AH!$P$7+AH!$P$8-1),0),0),0)</ns0:f>
        <ns0:v/>
      </ns0:c>
      <ns0:c r="I1938">
        <ns0:f>IF($H1938=0,0,IFERROR(IF(AND(ABS($C1938-INDEX('AH History'!$B$1:$B$18046,$H1938))&lt;=MAX(0.005,ABS(INDEX('AH History'!$B$1:$B$18046,$H1938))*0.00005),ABS($D1938-INDEX('AH History'!$C$1:$C$18046,$H1938))&lt;=MAX(0.005,ABS(INDEX('AH History'!$C$1:$C$18046,$H1938))*0.00005),ABS($E1938-INDEX('AH History'!$D$1:$D$18046,$H1938))&lt;=0.00005,$F1938=INDEX('AH History'!$E$1:$E$18046,$H1938),$G1938=INDEX('AH History'!$F$1:$F$18046,$H1938)),1,-1),-1))</ns0:f>
        <ns0:v/>
      </ns0:c>
    </ns0:row>
    <ns0:row r="1939">
      <ns0:c r="A1939" s="215">
        <ns0:f>IF(OR(AH!$P$3=0,1934+1&gt;AH!$P$11,AND(AH!$E$4&lt;&gt;"Stored",AH!$P$10&lt;&gt;1)),"",IFERROR(IF(AND(AH!$P$21=1,1934+1=AH!$P$11),TODAY(),IF(AH!$P$10=1,INDEX('Live History'!$A$5:$A$3004,AH!$P$13+1934),INDEX('AH History'!$A$1:$A$18046,AH!$P$7+1934))),""))</ns0:f>
        <ns0:v/>
      </ns0:c>
      <ns0:c r="B1939" s="219">
        <ns0:f>IFERROR(IF(AND(AH!$P$9&lt;&gt;1,$C1939&gt;0,$D1939&gt;0,$E1939&gt;0,$F1939&gt;0,$G1939&gt;0,$F1939&lt;=$A1939,$G1939&lt;=$A1939,$A1939-$F1939&lt;=10,$A1939-$G1939&lt;=5),$D1939*$E1939/$C1939-1,NA()),NA())</ns0:f>
        <ns0:v/>
      </ns0:c>
      <ns0:c r="C1939">
        <ns0:f>IFERROR(IF(ISNUMBER($A1939),IF(AND(AH!$P$10=1,AH!$P$12=1,$A1939=TODAY()),AH!$P$19,IF(AH!$P$10=1,INDEX('Live History'!$B$5:$B$3004,AH!$P$13+1934),INDEX('AH History'!$B$1:$B$18046,AH!$P$7+1934))),NA()),NA())</ns0:f>
        <ns0:v/>
      </ns0:c>
      <ns0:c r="D1939">
        <ns0:f>IFERROR(IF(ISNUMBER($A1939),IF(AND(AH!$P$10=1,AH!$P$12=1,$A1939=TODAY()),AH!$P$18,IF(AH!$P$10=1,INDEX('Live History'!$E$5:$E$3004,MATCH($A1939,'Live History'!$D$5:$D$3004,1)),INDEX('AH History'!$C$1:$C$18046,AH!$P$7+1934))),NA()),NA())</ns0:f>
        <ns0:v/>
      </ns0:c>
      <ns0:c r="E1939">
        <ns0:f>IFERROR(IF(ISNUMBER($A1939),IF(AND(AH!$P$10=1,AH!$P$12=1,$A1939=TODAY()),AH!$P$20,IF(AH!$P$10=1,INDEX('Live History'!$H$5:$H$3004,MATCH($A1939,'Live History'!$G$5:$G$3004,1)),INDEX('AH History'!$D$1:$D$18046,AH!$P$7+1934))),NA()),NA())</ns0:f>
        <ns0:v/>
      </ns0:c>
      <ns0:c r="F1939">
        <ns0:f>IFERROR(IF(ISNUMBER($A1939),IF(AND(AH!$P$10=1,AH!$P$12=1,$A1939=TODAY()),IF(AND(AH!$P$10=1,AH!$P$12=1,$A1939=TODAY()),TODAY(),NA()),IF(AH!$P$10=1,INDEX('Live History'!$D$5:$D$3004,MATCH($A1939,'Live History'!$D$5:$D$3004,1)),INDEX('AH History'!$E$1:$E$18046,AH!$P$7+1934))),NA()),NA())</ns0:f>
        <ns0:v/>
      </ns0:c>
      <ns0:c r="G1939">
        <ns0:f>IFERROR(IF(ISNUMBER($A1939),IF(AND(AH!$P$10=1,AH!$P$12=1,$A1939=TODAY()),IF(AND(AH!$P$10=1,AH!$P$12=1,$A1939=TODAY()),TODAY(),NA()),IF(AH!$P$10=1,INDEX('Live History'!$G$5:$G$3004,MATCH($A1939,'Live History'!$G$5:$G$3004,1)),INDEX('AH History'!$F$1:$F$18046,AH!$P$7+1934))),NA()),NA())</ns0:f>
        <ns0:v/>
      </ns0:c>
      <ns0:c r="H1939">
        <ns0:f>IFERROR(IF(AND(AH!$E$4="Bloomberg",AH!$P$10=1,ISNUMBER($A1939),$A1939&lt;=AH!$P$17),AH!$P$7-1+MATCH($A1939,INDEX('AH History'!$A$1:$A$18046,AH!$P$7):INDEX('AH History'!$A$1:$A$18046,AH!$P$7+AH!$P$8-1),0),0),0)</ns0:f>
        <ns0:v/>
      </ns0:c>
      <ns0:c r="I1939">
        <ns0:f>IF($H1939=0,0,IFERROR(IF(AND(ABS($C1939-INDEX('AH History'!$B$1:$B$18046,$H1939))&lt;=MAX(0.005,ABS(INDEX('AH History'!$B$1:$B$18046,$H1939))*0.00005),ABS($D1939-INDEX('AH History'!$C$1:$C$18046,$H1939))&lt;=MAX(0.005,ABS(INDEX('AH History'!$C$1:$C$18046,$H1939))*0.00005),ABS($E1939-INDEX('AH History'!$D$1:$D$18046,$H1939))&lt;=0.00005,$F1939=INDEX('AH History'!$E$1:$E$18046,$H1939),$G1939=INDEX('AH History'!$F$1:$F$18046,$H1939)),1,-1),-1))</ns0:f>
        <ns0:v/>
      </ns0:c>
    </ns0:row>
    <ns0:row r="1940">
      <ns0:c r="A1940" s="215">
        <ns0:f>IF(OR(AH!$P$3=0,1935+1&gt;AH!$P$11,AND(AH!$E$4&lt;&gt;"Stored",AH!$P$10&lt;&gt;1)),"",IFERROR(IF(AND(AH!$P$21=1,1935+1=AH!$P$11),TODAY(),IF(AH!$P$10=1,INDEX('Live History'!$A$5:$A$3004,AH!$P$13+1935),INDEX('AH History'!$A$1:$A$18046,AH!$P$7+1935))),""))</ns0:f>
        <ns0:v/>
      </ns0:c>
      <ns0:c r="B1940" s="219">
        <ns0:f>IFERROR(IF(AND(AH!$P$9&lt;&gt;1,$C1940&gt;0,$D1940&gt;0,$E1940&gt;0,$F1940&gt;0,$G1940&gt;0,$F1940&lt;=$A1940,$G1940&lt;=$A1940,$A1940-$F1940&lt;=10,$A1940-$G1940&lt;=5),$D1940*$E1940/$C1940-1,NA()),NA())</ns0:f>
        <ns0:v/>
      </ns0:c>
      <ns0:c r="C1940">
        <ns0:f>IFERROR(IF(ISNUMBER($A1940),IF(AND(AH!$P$10=1,AH!$P$12=1,$A1940=TODAY()),AH!$P$19,IF(AH!$P$10=1,INDEX('Live History'!$B$5:$B$3004,AH!$P$13+1935),INDEX('AH History'!$B$1:$B$18046,AH!$P$7+1935))),NA()),NA())</ns0:f>
        <ns0:v/>
      </ns0:c>
      <ns0:c r="D1940">
        <ns0:f>IFERROR(IF(ISNUMBER($A1940),IF(AND(AH!$P$10=1,AH!$P$12=1,$A1940=TODAY()),AH!$P$18,IF(AH!$P$10=1,INDEX('Live History'!$E$5:$E$3004,MATCH($A1940,'Live History'!$D$5:$D$3004,1)),INDEX('AH History'!$C$1:$C$18046,AH!$P$7+1935))),NA()),NA())</ns0:f>
        <ns0:v/>
      </ns0:c>
      <ns0:c r="E1940">
        <ns0:f>IFERROR(IF(ISNUMBER($A1940),IF(AND(AH!$P$10=1,AH!$P$12=1,$A1940=TODAY()),AH!$P$20,IF(AH!$P$10=1,INDEX('Live History'!$H$5:$H$3004,MATCH($A1940,'Live History'!$G$5:$G$3004,1)),INDEX('AH History'!$D$1:$D$18046,AH!$P$7+1935))),NA()),NA())</ns0:f>
        <ns0:v/>
      </ns0:c>
      <ns0:c r="F1940">
        <ns0:f>IFERROR(IF(ISNUMBER($A1940),IF(AND(AH!$P$10=1,AH!$P$12=1,$A1940=TODAY()),IF(AND(AH!$P$10=1,AH!$P$12=1,$A1940=TODAY()),TODAY(),NA()),IF(AH!$P$10=1,INDEX('Live History'!$D$5:$D$3004,MATCH($A1940,'Live History'!$D$5:$D$3004,1)),INDEX('AH History'!$E$1:$E$18046,AH!$P$7+1935))),NA()),NA())</ns0:f>
        <ns0:v/>
      </ns0:c>
      <ns0:c r="G1940">
        <ns0:f>IFERROR(IF(ISNUMBER($A1940),IF(AND(AH!$P$10=1,AH!$P$12=1,$A1940=TODAY()),IF(AND(AH!$P$10=1,AH!$P$12=1,$A1940=TODAY()),TODAY(),NA()),IF(AH!$P$10=1,INDEX('Live History'!$G$5:$G$3004,MATCH($A1940,'Live History'!$G$5:$G$3004,1)),INDEX('AH History'!$F$1:$F$18046,AH!$P$7+1935))),NA()),NA())</ns0:f>
        <ns0:v/>
      </ns0:c>
      <ns0:c r="H1940">
        <ns0:f>IFERROR(IF(AND(AH!$E$4="Bloomberg",AH!$P$10=1,ISNUMBER($A1940),$A1940&lt;=AH!$P$17),AH!$P$7-1+MATCH($A1940,INDEX('AH History'!$A$1:$A$18046,AH!$P$7):INDEX('AH History'!$A$1:$A$18046,AH!$P$7+AH!$P$8-1),0),0),0)</ns0:f>
        <ns0:v/>
      </ns0:c>
      <ns0:c r="I1940">
        <ns0:f>IF($H1940=0,0,IFERROR(IF(AND(ABS($C1940-INDEX('AH History'!$B$1:$B$18046,$H1940))&lt;=MAX(0.005,ABS(INDEX('AH History'!$B$1:$B$18046,$H1940))*0.00005),ABS($D1940-INDEX('AH History'!$C$1:$C$18046,$H1940))&lt;=MAX(0.005,ABS(INDEX('AH History'!$C$1:$C$18046,$H1940))*0.00005),ABS($E1940-INDEX('AH History'!$D$1:$D$18046,$H1940))&lt;=0.00005,$F1940=INDEX('AH History'!$E$1:$E$18046,$H1940),$G1940=INDEX('AH History'!$F$1:$F$18046,$H1940)),1,-1),-1))</ns0:f>
        <ns0:v/>
      </ns0:c>
    </ns0:row>
    <ns0:row r="1941">
      <ns0:c r="A1941" s="215">
        <ns0:f>IF(OR(AH!$P$3=0,1936+1&gt;AH!$P$11,AND(AH!$E$4&lt;&gt;"Stored",AH!$P$10&lt;&gt;1)),"",IFERROR(IF(AND(AH!$P$21=1,1936+1=AH!$P$11),TODAY(),IF(AH!$P$10=1,INDEX('Live History'!$A$5:$A$3004,AH!$P$13+1936),INDEX('AH History'!$A$1:$A$18046,AH!$P$7+1936))),""))</ns0:f>
        <ns0:v/>
      </ns0:c>
      <ns0:c r="B1941" s="219">
        <ns0:f>IFERROR(IF(AND(AH!$P$9&lt;&gt;1,$C1941&gt;0,$D1941&gt;0,$E1941&gt;0,$F1941&gt;0,$G1941&gt;0,$F1941&lt;=$A1941,$G1941&lt;=$A1941,$A1941-$F1941&lt;=10,$A1941-$G1941&lt;=5),$D1941*$E1941/$C1941-1,NA()),NA())</ns0:f>
        <ns0:v/>
      </ns0:c>
      <ns0:c r="C1941">
        <ns0:f>IFERROR(IF(ISNUMBER($A1941),IF(AND(AH!$P$10=1,AH!$P$12=1,$A1941=TODAY()),AH!$P$19,IF(AH!$P$10=1,INDEX('Live History'!$B$5:$B$3004,AH!$P$13+1936),INDEX('AH History'!$B$1:$B$18046,AH!$P$7+1936))),NA()),NA())</ns0:f>
        <ns0:v/>
      </ns0:c>
      <ns0:c r="D1941">
        <ns0:f>IFERROR(IF(ISNUMBER($A1941),IF(AND(AH!$P$10=1,AH!$P$12=1,$A1941=TODAY()),AH!$P$18,IF(AH!$P$10=1,INDEX('Live History'!$E$5:$E$3004,MATCH($A1941,'Live History'!$D$5:$D$3004,1)),INDEX('AH History'!$C$1:$C$18046,AH!$P$7+1936))),NA()),NA())</ns0:f>
        <ns0:v/>
      </ns0:c>
      <ns0:c r="E1941">
        <ns0:f>IFERROR(IF(ISNUMBER($A1941),IF(AND(AH!$P$10=1,AH!$P$12=1,$A1941=TODAY()),AH!$P$20,IF(AH!$P$10=1,INDEX('Live History'!$H$5:$H$3004,MATCH($A1941,'Live History'!$G$5:$G$3004,1)),INDEX('AH History'!$D$1:$D$18046,AH!$P$7+1936))),NA()),NA())</ns0:f>
        <ns0:v/>
      </ns0:c>
      <ns0:c r="F1941">
        <ns0:f>IFERROR(IF(ISNUMBER($A1941),IF(AND(AH!$P$10=1,AH!$P$12=1,$A1941=TODAY()),IF(AND(AH!$P$10=1,AH!$P$12=1,$A1941=TODAY()),TODAY(),NA()),IF(AH!$P$10=1,INDEX('Live History'!$D$5:$D$3004,MATCH($A1941,'Live History'!$D$5:$D$3004,1)),INDEX('AH History'!$E$1:$E$18046,AH!$P$7+1936))),NA()),NA())</ns0:f>
        <ns0:v/>
      </ns0:c>
      <ns0:c r="G1941">
        <ns0:f>IFERROR(IF(ISNUMBER($A1941),IF(AND(AH!$P$10=1,AH!$P$12=1,$A1941=TODAY()),IF(AND(AH!$P$10=1,AH!$P$12=1,$A1941=TODAY()),TODAY(),NA()),IF(AH!$P$10=1,INDEX('Live History'!$G$5:$G$3004,MATCH($A1941,'Live History'!$G$5:$G$3004,1)),INDEX('AH History'!$F$1:$F$18046,AH!$P$7+1936))),NA()),NA())</ns0:f>
        <ns0:v/>
      </ns0:c>
      <ns0:c r="H1941">
        <ns0:f>IFERROR(IF(AND(AH!$E$4="Bloomberg",AH!$P$10=1,ISNUMBER($A1941),$A1941&lt;=AH!$P$17),AH!$P$7-1+MATCH($A1941,INDEX('AH History'!$A$1:$A$18046,AH!$P$7):INDEX('AH History'!$A$1:$A$18046,AH!$P$7+AH!$P$8-1),0),0),0)</ns0:f>
        <ns0:v/>
      </ns0:c>
      <ns0:c r="I1941">
        <ns0:f>IF($H1941=0,0,IFERROR(IF(AND(ABS($C1941-INDEX('AH History'!$B$1:$B$18046,$H1941))&lt;=MAX(0.005,ABS(INDEX('AH History'!$B$1:$B$18046,$H1941))*0.00005),ABS($D1941-INDEX('AH History'!$C$1:$C$18046,$H1941))&lt;=MAX(0.005,ABS(INDEX('AH History'!$C$1:$C$18046,$H1941))*0.00005),ABS($E1941-INDEX('AH History'!$D$1:$D$18046,$H1941))&lt;=0.00005,$F1941=INDEX('AH History'!$E$1:$E$18046,$H1941),$G1941=INDEX('AH History'!$F$1:$F$18046,$H1941)),1,-1),-1))</ns0:f>
        <ns0:v/>
      </ns0:c>
    </ns0:row>
    <ns0:row r="1942">
      <ns0:c r="A1942" s="215">
        <ns0:f>IF(OR(AH!$P$3=0,1937+1&gt;AH!$P$11,AND(AH!$E$4&lt;&gt;"Stored",AH!$P$10&lt;&gt;1)),"",IFERROR(IF(AND(AH!$P$21=1,1937+1=AH!$P$11),TODAY(),IF(AH!$P$10=1,INDEX('Live History'!$A$5:$A$3004,AH!$P$13+1937),INDEX('AH History'!$A$1:$A$18046,AH!$P$7+1937))),""))</ns0:f>
        <ns0:v/>
      </ns0:c>
      <ns0:c r="B1942" s="219">
        <ns0:f>IFERROR(IF(AND(AH!$P$9&lt;&gt;1,$C1942&gt;0,$D1942&gt;0,$E1942&gt;0,$F1942&gt;0,$G1942&gt;0,$F1942&lt;=$A1942,$G1942&lt;=$A1942,$A1942-$F1942&lt;=10,$A1942-$G1942&lt;=5),$D1942*$E1942/$C1942-1,NA()),NA())</ns0:f>
        <ns0:v/>
      </ns0:c>
      <ns0:c r="C1942">
        <ns0:f>IFERROR(IF(ISNUMBER($A1942),IF(AND(AH!$P$10=1,AH!$P$12=1,$A1942=TODAY()),AH!$P$19,IF(AH!$P$10=1,INDEX('Live History'!$B$5:$B$3004,AH!$P$13+1937),INDEX('AH History'!$B$1:$B$18046,AH!$P$7+1937))),NA()),NA())</ns0:f>
        <ns0:v/>
      </ns0:c>
      <ns0:c r="D1942">
        <ns0:f>IFERROR(IF(ISNUMBER($A1942),IF(AND(AH!$P$10=1,AH!$P$12=1,$A1942=TODAY()),AH!$P$18,IF(AH!$P$10=1,INDEX('Live History'!$E$5:$E$3004,MATCH($A1942,'Live History'!$D$5:$D$3004,1)),INDEX('AH History'!$C$1:$C$18046,AH!$P$7+1937))),NA()),NA())</ns0:f>
        <ns0:v/>
      </ns0:c>
      <ns0:c r="E1942">
        <ns0:f>IFERROR(IF(ISNUMBER($A1942),IF(AND(AH!$P$10=1,AH!$P$12=1,$A1942=TODAY()),AH!$P$20,IF(AH!$P$10=1,INDEX('Live History'!$H$5:$H$3004,MATCH($A1942,'Live History'!$G$5:$G$3004,1)),INDEX('AH History'!$D$1:$D$18046,AH!$P$7+1937))),NA()),NA())</ns0:f>
        <ns0:v/>
      </ns0:c>
      <ns0:c r="F1942">
        <ns0:f>IFERROR(IF(ISNUMBER($A1942),IF(AND(AH!$P$10=1,AH!$P$12=1,$A1942=TODAY()),IF(AND(AH!$P$10=1,AH!$P$12=1,$A1942=TODAY()),TODAY(),NA()),IF(AH!$P$10=1,INDEX('Live History'!$D$5:$D$3004,MATCH($A1942,'Live History'!$D$5:$D$3004,1)),INDEX('AH History'!$E$1:$E$18046,AH!$P$7+1937))),NA()),NA())</ns0:f>
        <ns0:v/>
      </ns0:c>
      <ns0:c r="G1942">
        <ns0:f>IFERROR(IF(ISNUMBER($A1942),IF(AND(AH!$P$10=1,AH!$P$12=1,$A1942=TODAY()),IF(AND(AH!$P$10=1,AH!$P$12=1,$A1942=TODAY()),TODAY(),NA()),IF(AH!$P$10=1,INDEX('Live History'!$G$5:$G$3004,MATCH($A1942,'Live History'!$G$5:$G$3004,1)),INDEX('AH History'!$F$1:$F$18046,AH!$P$7+1937))),NA()),NA())</ns0:f>
        <ns0:v/>
      </ns0:c>
      <ns0:c r="H1942">
        <ns0:f>IFERROR(IF(AND(AH!$E$4="Bloomberg",AH!$P$10=1,ISNUMBER($A1942),$A1942&lt;=AH!$P$17),AH!$P$7-1+MATCH($A1942,INDEX('AH History'!$A$1:$A$18046,AH!$P$7):INDEX('AH History'!$A$1:$A$18046,AH!$P$7+AH!$P$8-1),0),0),0)</ns0:f>
        <ns0:v/>
      </ns0:c>
      <ns0:c r="I1942">
        <ns0:f>IF($H1942=0,0,IFERROR(IF(AND(ABS($C1942-INDEX('AH History'!$B$1:$B$18046,$H1942))&lt;=MAX(0.005,ABS(INDEX('AH History'!$B$1:$B$18046,$H1942))*0.00005),ABS($D1942-INDEX('AH History'!$C$1:$C$18046,$H1942))&lt;=MAX(0.005,ABS(INDEX('AH History'!$C$1:$C$18046,$H1942))*0.00005),ABS($E1942-INDEX('AH History'!$D$1:$D$18046,$H1942))&lt;=0.00005,$F1942=INDEX('AH History'!$E$1:$E$18046,$H1942),$G1942=INDEX('AH History'!$F$1:$F$18046,$H1942)),1,-1),-1))</ns0:f>
        <ns0:v/>
      </ns0:c>
    </ns0:row>
    <ns0:row r="1943">
      <ns0:c r="A1943" s="215">
        <ns0:f>IF(OR(AH!$P$3=0,1938+1&gt;AH!$P$11,AND(AH!$E$4&lt;&gt;"Stored",AH!$P$10&lt;&gt;1)),"",IFERROR(IF(AND(AH!$P$21=1,1938+1=AH!$P$11),TODAY(),IF(AH!$P$10=1,INDEX('Live History'!$A$5:$A$3004,AH!$P$13+1938),INDEX('AH History'!$A$1:$A$18046,AH!$P$7+1938))),""))</ns0:f>
        <ns0:v/>
      </ns0:c>
      <ns0:c r="B1943" s="219">
        <ns0:f>IFERROR(IF(AND(AH!$P$9&lt;&gt;1,$C1943&gt;0,$D1943&gt;0,$E1943&gt;0,$F1943&gt;0,$G1943&gt;0,$F1943&lt;=$A1943,$G1943&lt;=$A1943,$A1943-$F1943&lt;=10,$A1943-$G1943&lt;=5),$D1943*$E1943/$C1943-1,NA()),NA())</ns0:f>
        <ns0:v/>
      </ns0:c>
      <ns0:c r="C1943">
        <ns0:f>IFERROR(IF(ISNUMBER($A1943),IF(AND(AH!$P$10=1,AH!$P$12=1,$A1943=TODAY()),AH!$P$19,IF(AH!$P$10=1,INDEX('Live History'!$B$5:$B$3004,AH!$P$13+1938),INDEX('AH History'!$B$1:$B$18046,AH!$P$7+1938))),NA()),NA())</ns0:f>
        <ns0:v/>
      </ns0:c>
      <ns0:c r="D1943">
        <ns0:f>IFERROR(IF(ISNUMBER($A1943),IF(AND(AH!$P$10=1,AH!$P$12=1,$A1943=TODAY()),AH!$P$18,IF(AH!$P$10=1,INDEX('Live History'!$E$5:$E$3004,MATCH($A1943,'Live History'!$D$5:$D$3004,1)),INDEX('AH History'!$C$1:$C$18046,AH!$P$7+1938))),NA()),NA())</ns0:f>
        <ns0:v/>
      </ns0:c>
      <ns0:c r="E1943">
        <ns0:f>IFERROR(IF(ISNUMBER($A1943),IF(AND(AH!$P$10=1,AH!$P$12=1,$A1943=TODAY()),AH!$P$20,IF(AH!$P$10=1,INDEX('Live History'!$H$5:$H$3004,MATCH($A1943,'Live History'!$G$5:$G$3004,1)),INDEX('AH History'!$D$1:$D$18046,AH!$P$7+1938))),NA()),NA())</ns0:f>
        <ns0:v/>
      </ns0:c>
      <ns0:c r="F1943">
        <ns0:f>IFERROR(IF(ISNUMBER($A1943),IF(AND(AH!$P$10=1,AH!$P$12=1,$A1943=TODAY()),IF(AND(AH!$P$10=1,AH!$P$12=1,$A1943=TODAY()),TODAY(),NA()),IF(AH!$P$10=1,INDEX('Live History'!$D$5:$D$3004,MATCH($A1943,'Live History'!$D$5:$D$3004,1)),INDEX('AH History'!$E$1:$E$18046,AH!$P$7+1938))),NA()),NA())</ns0:f>
        <ns0:v/>
      </ns0:c>
      <ns0:c r="G1943">
        <ns0:f>IFERROR(IF(ISNUMBER($A1943),IF(AND(AH!$P$10=1,AH!$P$12=1,$A1943=TODAY()),IF(AND(AH!$P$10=1,AH!$P$12=1,$A1943=TODAY()),TODAY(),NA()),IF(AH!$P$10=1,INDEX('Live History'!$G$5:$G$3004,MATCH($A1943,'Live History'!$G$5:$G$3004,1)),INDEX('AH History'!$F$1:$F$18046,AH!$P$7+1938))),NA()),NA())</ns0:f>
        <ns0:v/>
      </ns0:c>
      <ns0:c r="H1943">
        <ns0:f>IFERROR(IF(AND(AH!$E$4="Bloomberg",AH!$P$10=1,ISNUMBER($A1943),$A1943&lt;=AH!$P$17),AH!$P$7-1+MATCH($A1943,INDEX('AH History'!$A$1:$A$18046,AH!$P$7):INDEX('AH History'!$A$1:$A$18046,AH!$P$7+AH!$P$8-1),0),0),0)</ns0:f>
        <ns0:v/>
      </ns0:c>
      <ns0:c r="I1943">
        <ns0:f>IF($H1943=0,0,IFERROR(IF(AND(ABS($C1943-INDEX('AH History'!$B$1:$B$18046,$H1943))&lt;=MAX(0.005,ABS(INDEX('AH History'!$B$1:$B$18046,$H1943))*0.00005),ABS($D1943-INDEX('AH History'!$C$1:$C$18046,$H1943))&lt;=MAX(0.005,ABS(INDEX('AH History'!$C$1:$C$18046,$H1943))*0.00005),ABS($E1943-INDEX('AH History'!$D$1:$D$18046,$H1943))&lt;=0.00005,$F1943=INDEX('AH History'!$E$1:$E$18046,$H1943),$G1943=INDEX('AH History'!$F$1:$F$18046,$H1943)),1,-1),-1))</ns0:f>
        <ns0:v/>
      </ns0:c>
    </ns0:row>
    <ns0:row r="1944">
      <ns0:c r="A1944" s="215">
        <ns0:f>IF(OR(AH!$P$3=0,1939+1&gt;AH!$P$11,AND(AH!$E$4&lt;&gt;"Stored",AH!$P$10&lt;&gt;1)),"",IFERROR(IF(AND(AH!$P$21=1,1939+1=AH!$P$11),TODAY(),IF(AH!$P$10=1,INDEX('Live History'!$A$5:$A$3004,AH!$P$13+1939),INDEX('AH History'!$A$1:$A$18046,AH!$P$7+1939))),""))</ns0:f>
        <ns0:v/>
      </ns0:c>
      <ns0:c r="B1944" s="219">
        <ns0:f>IFERROR(IF(AND(AH!$P$9&lt;&gt;1,$C1944&gt;0,$D1944&gt;0,$E1944&gt;0,$F1944&gt;0,$G1944&gt;0,$F1944&lt;=$A1944,$G1944&lt;=$A1944,$A1944-$F1944&lt;=10,$A1944-$G1944&lt;=5),$D1944*$E1944/$C1944-1,NA()),NA())</ns0:f>
        <ns0:v/>
      </ns0:c>
      <ns0:c r="C1944">
        <ns0:f>IFERROR(IF(ISNUMBER($A1944),IF(AND(AH!$P$10=1,AH!$P$12=1,$A1944=TODAY()),AH!$P$19,IF(AH!$P$10=1,INDEX('Live History'!$B$5:$B$3004,AH!$P$13+1939),INDEX('AH History'!$B$1:$B$18046,AH!$P$7+1939))),NA()),NA())</ns0:f>
        <ns0:v/>
      </ns0:c>
      <ns0:c r="D1944">
        <ns0:f>IFERROR(IF(ISNUMBER($A1944),IF(AND(AH!$P$10=1,AH!$P$12=1,$A1944=TODAY()),AH!$P$18,IF(AH!$P$10=1,INDEX('Live History'!$E$5:$E$3004,MATCH($A1944,'Live History'!$D$5:$D$3004,1)),INDEX('AH History'!$C$1:$C$18046,AH!$P$7+1939))),NA()),NA())</ns0:f>
        <ns0:v/>
      </ns0:c>
      <ns0:c r="E1944">
        <ns0:f>IFERROR(IF(ISNUMBER($A1944),IF(AND(AH!$P$10=1,AH!$P$12=1,$A1944=TODAY()),AH!$P$20,IF(AH!$P$10=1,INDEX('Live History'!$H$5:$H$3004,MATCH($A1944,'Live History'!$G$5:$G$3004,1)),INDEX('AH History'!$D$1:$D$18046,AH!$P$7+1939))),NA()),NA())</ns0:f>
        <ns0:v/>
      </ns0:c>
      <ns0:c r="F1944">
        <ns0:f>IFERROR(IF(ISNUMBER($A1944),IF(AND(AH!$P$10=1,AH!$P$12=1,$A1944=TODAY()),IF(AND(AH!$P$10=1,AH!$P$12=1,$A1944=TODAY()),TODAY(),NA()),IF(AH!$P$10=1,INDEX('Live History'!$D$5:$D$3004,MATCH($A1944,'Live History'!$D$5:$D$3004,1)),INDEX('AH History'!$E$1:$E$18046,AH!$P$7+1939))),NA()),NA())</ns0:f>
        <ns0:v/>
      </ns0:c>
      <ns0:c r="G1944">
        <ns0:f>IFERROR(IF(ISNUMBER($A1944),IF(AND(AH!$P$10=1,AH!$P$12=1,$A1944=TODAY()),IF(AND(AH!$P$10=1,AH!$P$12=1,$A1944=TODAY()),TODAY(),NA()),IF(AH!$P$10=1,INDEX('Live History'!$G$5:$G$3004,MATCH($A1944,'Live History'!$G$5:$G$3004,1)),INDEX('AH History'!$F$1:$F$18046,AH!$P$7+1939))),NA()),NA())</ns0:f>
        <ns0:v/>
      </ns0:c>
      <ns0:c r="H1944">
        <ns0:f>IFERROR(IF(AND(AH!$E$4="Bloomberg",AH!$P$10=1,ISNUMBER($A1944),$A1944&lt;=AH!$P$17),AH!$P$7-1+MATCH($A1944,INDEX('AH History'!$A$1:$A$18046,AH!$P$7):INDEX('AH History'!$A$1:$A$18046,AH!$P$7+AH!$P$8-1),0),0),0)</ns0:f>
        <ns0:v/>
      </ns0:c>
      <ns0:c r="I1944">
        <ns0:f>IF($H1944=0,0,IFERROR(IF(AND(ABS($C1944-INDEX('AH History'!$B$1:$B$18046,$H1944))&lt;=MAX(0.005,ABS(INDEX('AH History'!$B$1:$B$18046,$H1944))*0.00005),ABS($D1944-INDEX('AH History'!$C$1:$C$18046,$H1944))&lt;=MAX(0.005,ABS(INDEX('AH History'!$C$1:$C$18046,$H1944))*0.00005),ABS($E1944-INDEX('AH History'!$D$1:$D$18046,$H1944))&lt;=0.00005,$F1944=INDEX('AH History'!$E$1:$E$18046,$H1944),$G1944=INDEX('AH History'!$F$1:$F$18046,$H1944)),1,-1),-1))</ns0:f>
        <ns0:v/>
      </ns0:c>
    </ns0:row>
    <ns0:row r="1945">
      <ns0:c r="A1945" s="215">
        <ns0:f>IF(OR(AH!$P$3=0,1940+1&gt;AH!$P$11,AND(AH!$E$4&lt;&gt;"Stored",AH!$P$10&lt;&gt;1)),"",IFERROR(IF(AND(AH!$P$21=1,1940+1=AH!$P$11),TODAY(),IF(AH!$P$10=1,INDEX('Live History'!$A$5:$A$3004,AH!$P$13+1940),INDEX('AH History'!$A$1:$A$18046,AH!$P$7+1940))),""))</ns0:f>
        <ns0:v/>
      </ns0:c>
      <ns0:c r="B1945" s="219">
        <ns0:f>IFERROR(IF(AND(AH!$P$9&lt;&gt;1,$C1945&gt;0,$D1945&gt;0,$E1945&gt;0,$F1945&gt;0,$G1945&gt;0,$F1945&lt;=$A1945,$G1945&lt;=$A1945,$A1945-$F1945&lt;=10,$A1945-$G1945&lt;=5),$D1945*$E1945/$C1945-1,NA()),NA())</ns0:f>
        <ns0:v/>
      </ns0:c>
      <ns0:c r="C1945">
        <ns0:f>IFERROR(IF(ISNUMBER($A1945),IF(AND(AH!$P$10=1,AH!$P$12=1,$A1945=TODAY()),AH!$P$19,IF(AH!$P$10=1,INDEX('Live History'!$B$5:$B$3004,AH!$P$13+1940),INDEX('AH History'!$B$1:$B$18046,AH!$P$7+1940))),NA()),NA())</ns0:f>
        <ns0:v/>
      </ns0:c>
      <ns0:c r="D1945">
        <ns0:f>IFERROR(IF(ISNUMBER($A1945),IF(AND(AH!$P$10=1,AH!$P$12=1,$A1945=TODAY()),AH!$P$18,IF(AH!$P$10=1,INDEX('Live History'!$E$5:$E$3004,MATCH($A1945,'Live History'!$D$5:$D$3004,1)),INDEX('AH History'!$C$1:$C$18046,AH!$P$7+1940))),NA()),NA())</ns0:f>
        <ns0:v/>
      </ns0:c>
      <ns0:c r="E1945">
        <ns0:f>IFERROR(IF(ISNUMBER($A1945),IF(AND(AH!$P$10=1,AH!$P$12=1,$A1945=TODAY()),AH!$P$20,IF(AH!$P$10=1,INDEX('Live History'!$H$5:$H$3004,MATCH($A1945,'Live History'!$G$5:$G$3004,1)),INDEX('AH History'!$D$1:$D$18046,AH!$P$7+1940))),NA()),NA())</ns0:f>
        <ns0:v/>
      </ns0:c>
      <ns0:c r="F1945">
        <ns0:f>IFERROR(IF(ISNUMBER($A1945),IF(AND(AH!$P$10=1,AH!$P$12=1,$A1945=TODAY()),IF(AND(AH!$P$10=1,AH!$P$12=1,$A1945=TODAY()),TODAY(),NA()),IF(AH!$P$10=1,INDEX('Live History'!$D$5:$D$3004,MATCH($A1945,'Live History'!$D$5:$D$3004,1)),INDEX('AH History'!$E$1:$E$18046,AH!$P$7+1940))),NA()),NA())</ns0:f>
        <ns0:v/>
      </ns0:c>
      <ns0:c r="G1945">
        <ns0:f>IFERROR(IF(ISNUMBER($A1945),IF(AND(AH!$P$10=1,AH!$P$12=1,$A1945=TODAY()),IF(AND(AH!$P$10=1,AH!$P$12=1,$A1945=TODAY()),TODAY(),NA()),IF(AH!$P$10=1,INDEX('Live History'!$G$5:$G$3004,MATCH($A1945,'Live History'!$G$5:$G$3004,1)),INDEX('AH History'!$F$1:$F$18046,AH!$P$7+1940))),NA()),NA())</ns0:f>
        <ns0:v/>
      </ns0:c>
      <ns0:c r="H1945">
        <ns0:f>IFERROR(IF(AND(AH!$E$4="Bloomberg",AH!$P$10=1,ISNUMBER($A1945),$A1945&lt;=AH!$P$17),AH!$P$7-1+MATCH($A1945,INDEX('AH History'!$A$1:$A$18046,AH!$P$7):INDEX('AH History'!$A$1:$A$18046,AH!$P$7+AH!$P$8-1),0),0),0)</ns0:f>
        <ns0:v/>
      </ns0:c>
      <ns0:c r="I1945">
        <ns0:f>IF($H1945=0,0,IFERROR(IF(AND(ABS($C1945-INDEX('AH History'!$B$1:$B$18046,$H1945))&lt;=MAX(0.005,ABS(INDEX('AH History'!$B$1:$B$18046,$H1945))*0.00005),ABS($D1945-INDEX('AH History'!$C$1:$C$18046,$H1945))&lt;=MAX(0.005,ABS(INDEX('AH History'!$C$1:$C$18046,$H1945))*0.00005),ABS($E1945-INDEX('AH History'!$D$1:$D$18046,$H1945))&lt;=0.00005,$F1945=INDEX('AH History'!$E$1:$E$18046,$H1945),$G1945=INDEX('AH History'!$F$1:$F$18046,$H1945)),1,-1),-1))</ns0:f>
        <ns0:v/>
      </ns0:c>
    </ns0:row>
    <ns0:row r="1946">
      <ns0:c r="A1946" s="215">
        <ns0:f>IF(OR(AH!$P$3=0,1941+1&gt;AH!$P$11,AND(AH!$E$4&lt;&gt;"Stored",AH!$P$10&lt;&gt;1)),"",IFERROR(IF(AND(AH!$P$21=1,1941+1=AH!$P$11),TODAY(),IF(AH!$P$10=1,INDEX('Live History'!$A$5:$A$3004,AH!$P$13+1941),INDEX('AH History'!$A$1:$A$18046,AH!$P$7+1941))),""))</ns0:f>
        <ns0:v/>
      </ns0:c>
      <ns0:c r="B1946" s="219">
        <ns0:f>IFERROR(IF(AND(AH!$P$9&lt;&gt;1,$C1946&gt;0,$D1946&gt;0,$E1946&gt;0,$F1946&gt;0,$G1946&gt;0,$F1946&lt;=$A1946,$G1946&lt;=$A1946,$A1946-$F1946&lt;=10,$A1946-$G1946&lt;=5),$D1946*$E1946/$C1946-1,NA()),NA())</ns0:f>
        <ns0:v/>
      </ns0:c>
      <ns0:c r="C1946">
        <ns0:f>IFERROR(IF(ISNUMBER($A1946),IF(AND(AH!$P$10=1,AH!$P$12=1,$A1946=TODAY()),AH!$P$19,IF(AH!$P$10=1,INDEX('Live History'!$B$5:$B$3004,AH!$P$13+1941),INDEX('AH History'!$B$1:$B$18046,AH!$P$7+1941))),NA()),NA())</ns0:f>
        <ns0:v/>
      </ns0:c>
      <ns0:c r="D1946">
        <ns0:f>IFERROR(IF(ISNUMBER($A1946),IF(AND(AH!$P$10=1,AH!$P$12=1,$A1946=TODAY()),AH!$P$18,IF(AH!$P$10=1,INDEX('Live History'!$E$5:$E$3004,MATCH($A1946,'Live History'!$D$5:$D$3004,1)),INDEX('AH History'!$C$1:$C$18046,AH!$P$7+1941))),NA()),NA())</ns0:f>
        <ns0:v/>
      </ns0:c>
      <ns0:c r="E1946">
        <ns0:f>IFERROR(IF(ISNUMBER($A1946),IF(AND(AH!$P$10=1,AH!$P$12=1,$A1946=TODAY()),AH!$P$20,IF(AH!$P$10=1,INDEX('Live History'!$H$5:$H$3004,MATCH($A1946,'Live History'!$G$5:$G$3004,1)),INDEX('AH History'!$D$1:$D$18046,AH!$P$7+1941))),NA()),NA())</ns0:f>
        <ns0:v/>
      </ns0:c>
      <ns0:c r="F1946">
        <ns0:f>IFERROR(IF(ISNUMBER($A1946),IF(AND(AH!$P$10=1,AH!$P$12=1,$A1946=TODAY()),IF(AND(AH!$P$10=1,AH!$P$12=1,$A1946=TODAY()),TODAY(),NA()),IF(AH!$P$10=1,INDEX('Live History'!$D$5:$D$3004,MATCH($A1946,'Live History'!$D$5:$D$3004,1)),INDEX('AH History'!$E$1:$E$18046,AH!$P$7+1941))),NA()),NA())</ns0:f>
        <ns0:v/>
      </ns0:c>
      <ns0:c r="G1946">
        <ns0:f>IFERROR(IF(ISNUMBER($A1946),IF(AND(AH!$P$10=1,AH!$P$12=1,$A1946=TODAY()),IF(AND(AH!$P$10=1,AH!$P$12=1,$A1946=TODAY()),TODAY(),NA()),IF(AH!$P$10=1,INDEX('Live History'!$G$5:$G$3004,MATCH($A1946,'Live History'!$G$5:$G$3004,1)),INDEX('AH History'!$F$1:$F$18046,AH!$P$7+1941))),NA()),NA())</ns0:f>
        <ns0:v/>
      </ns0:c>
      <ns0:c r="H1946">
        <ns0:f>IFERROR(IF(AND(AH!$E$4="Bloomberg",AH!$P$10=1,ISNUMBER($A1946),$A1946&lt;=AH!$P$17),AH!$P$7-1+MATCH($A1946,INDEX('AH History'!$A$1:$A$18046,AH!$P$7):INDEX('AH History'!$A$1:$A$18046,AH!$P$7+AH!$P$8-1),0),0),0)</ns0:f>
        <ns0:v/>
      </ns0:c>
      <ns0:c r="I1946">
        <ns0:f>IF($H1946=0,0,IFERROR(IF(AND(ABS($C1946-INDEX('AH History'!$B$1:$B$18046,$H1946))&lt;=MAX(0.005,ABS(INDEX('AH History'!$B$1:$B$18046,$H1946))*0.00005),ABS($D1946-INDEX('AH History'!$C$1:$C$18046,$H1946))&lt;=MAX(0.005,ABS(INDEX('AH History'!$C$1:$C$18046,$H1946))*0.00005),ABS($E1946-INDEX('AH History'!$D$1:$D$18046,$H1946))&lt;=0.00005,$F1946=INDEX('AH History'!$E$1:$E$18046,$H1946),$G1946=INDEX('AH History'!$F$1:$F$18046,$H1946)),1,-1),-1))</ns0:f>
        <ns0:v/>
      </ns0:c>
    </ns0:row>
    <ns0:row r="1947">
      <ns0:c r="A1947" s="215">
        <ns0:f>IF(OR(AH!$P$3=0,1942+1&gt;AH!$P$11,AND(AH!$E$4&lt;&gt;"Stored",AH!$P$10&lt;&gt;1)),"",IFERROR(IF(AND(AH!$P$21=1,1942+1=AH!$P$11),TODAY(),IF(AH!$P$10=1,INDEX('Live History'!$A$5:$A$3004,AH!$P$13+1942),INDEX('AH History'!$A$1:$A$18046,AH!$P$7+1942))),""))</ns0:f>
        <ns0:v/>
      </ns0:c>
      <ns0:c r="B1947" s="219">
        <ns0:f>IFERROR(IF(AND(AH!$P$9&lt;&gt;1,$C1947&gt;0,$D1947&gt;0,$E1947&gt;0,$F1947&gt;0,$G1947&gt;0,$F1947&lt;=$A1947,$G1947&lt;=$A1947,$A1947-$F1947&lt;=10,$A1947-$G1947&lt;=5),$D1947*$E1947/$C1947-1,NA()),NA())</ns0:f>
        <ns0:v/>
      </ns0:c>
      <ns0:c r="C1947">
        <ns0:f>IFERROR(IF(ISNUMBER($A1947),IF(AND(AH!$P$10=1,AH!$P$12=1,$A1947=TODAY()),AH!$P$19,IF(AH!$P$10=1,INDEX('Live History'!$B$5:$B$3004,AH!$P$13+1942),INDEX('AH History'!$B$1:$B$18046,AH!$P$7+1942))),NA()),NA())</ns0:f>
        <ns0:v/>
      </ns0:c>
      <ns0:c r="D1947">
        <ns0:f>IFERROR(IF(ISNUMBER($A1947),IF(AND(AH!$P$10=1,AH!$P$12=1,$A1947=TODAY()),AH!$P$18,IF(AH!$P$10=1,INDEX('Live History'!$E$5:$E$3004,MATCH($A1947,'Live History'!$D$5:$D$3004,1)),INDEX('AH History'!$C$1:$C$18046,AH!$P$7+1942))),NA()),NA())</ns0:f>
        <ns0:v/>
      </ns0:c>
      <ns0:c r="E1947">
        <ns0:f>IFERROR(IF(ISNUMBER($A1947),IF(AND(AH!$P$10=1,AH!$P$12=1,$A1947=TODAY()),AH!$P$20,IF(AH!$P$10=1,INDEX('Live History'!$H$5:$H$3004,MATCH($A1947,'Live History'!$G$5:$G$3004,1)),INDEX('AH History'!$D$1:$D$18046,AH!$P$7+1942))),NA()),NA())</ns0:f>
        <ns0:v/>
      </ns0:c>
      <ns0:c r="F1947">
        <ns0:f>IFERROR(IF(ISNUMBER($A1947),IF(AND(AH!$P$10=1,AH!$P$12=1,$A1947=TODAY()),IF(AND(AH!$P$10=1,AH!$P$12=1,$A1947=TODAY()),TODAY(),NA()),IF(AH!$P$10=1,INDEX('Live History'!$D$5:$D$3004,MATCH($A1947,'Live History'!$D$5:$D$3004,1)),INDEX('AH History'!$E$1:$E$18046,AH!$P$7+1942))),NA()),NA())</ns0:f>
        <ns0:v/>
      </ns0:c>
      <ns0:c r="G1947">
        <ns0:f>IFERROR(IF(ISNUMBER($A1947),IF(AND(AH!$P$10=1,AH!$P$12=1,$A1947=TODAY()),IF(AND(AH!$P$10=1,AH!$P$12=1,$A1947=TODAY()),TODAY(),NA()),IF(AH!$P$10=1,INDEX('Live History'!$G$5:$G$3004,MATCH($A1947,'Live History'!$G$5:$G$3004,1)),INDEX('AH History'!$F$1:$F$18046,AH!$P$7+1942))),NA()),NA())</ns0:f>
        <ns0:v/>
      </ns0:c>
      <ns0:c r="H1947">
        <ns0:f>IFERROR(IF(AND(AH!$E$4="Bloomberg",AH!$P$10=1,ISNUMBER($A1947),$A1947&lt;=AH!$P$17),AH!$P$7-1+MATCH($A1947,INDEX('AH History'!$A$1:$A$18046,AH!$P$7):INDEX('AH History'!$A$1:$A$18046,AH!$P$7+AH!$P$8-1),0),0),0)</ns0:f>
        <ns0:v/>
      </ns0:c>
      <ns0:c r="I1947">
        <ns0:f>IF($H1947=0,0,IFERROR(IF(AND(ABS($C1947-INDEX('AH History'!$B$1:$B$18046,$H1947))&lt;=MAX(0.005,ABS(INDEX('AH History'!$B$1:$B$18046,$H1947))*0.00005),ABS($D1947-INDEX('AH History'!$C$1:$C$18046,$H1947))&lt;=MAX(0.005,ABS(INDEX('AH History'!$C$1:$C$18046,$H1947))*0.00005),ABS($E1947-INDEX('AH History'!$D$1:$D$18046,$H1947))&lt;=0.00005,$F1947=INDEX('AH History'!$E$1:$E$18046,$H1947),$G1947=INDEX('AH History'!$F$1:$F$18046,$H1947)),1,-1),-1))</ns0:f>
        <ns0:v/>
      </ns0:c>
    </ns0:row>
    <ns0:row r="1948">
      <ns0:c r="A1948" s="215">
        <ns0:f>IF(OR(AH!$P$3=0,1943+1&gt;AH!$P$11,AND(AH!$E$4&lt;&gt;"Stored",AH!$P$10&lt;&gt;1)),"",IFERROR(IF(AND(AH!$P$21=1,1943+1=AH!$P$11),TODAY(),IF(AH!$P$10=1,INDEX('Live History'!$A$5:$A$3004,AH!$P$13+1943),INDEX('AH History'!$A$1:$A$18046,AH!$P$7+1943))),""))</ns0:f>
        <ns0:v/>
      </ns0:c>
      <ns0:c r="B1948" s="219">
        <ns0:f>IFERROR(IF(AND(AH!$P$9&lt;&gt;1,$C1948&gt;0,$D1948&gt;0,$E1948&gt;0,$F1948&gt;0,$G1948&gt;0,$F1948&lt;=$A1948,$G1948&lt;=$A1948,$A1948-$F1948&lt;=10,$A1948-$G1948&lt;=5),$D1948*$E1948/$C1948-1,NA()),NA())</ns0:f>
        <ns0:v/>
      </ns0:c>
      <ns0:c r="C1948">
        <ns0:f>IFERROR(IF(ISNUMBER($A1948),IF(AND(AH!$P$10=1,AH!$P$12=1,$A1948=TODAY()),AH!$P$19,IF(AH!$P$10=1,INDEX('Live History'!$B$5:$B$3004,AH!$P$13+1943),INDEX('AH History'!$B$1:$B$18046,AH!$P$7+1943))),NA()),NA())</ns0:f>
        <ns0:v/>
      </ns0:c>
      <ns0:c r="D1948">
        <ns0:f>IFERROR(IF(ISNUMBER($A1948),IF(AND(AH!$P$10=1,AH!$P$12=1,$A1948=TODAY()),AH!$P$18,IF(AH!$P$10=1,INDEX('Live History'!$E$5:$E$3004,MATCH($A1948,'Live History'!$D$5:$D$3004,1)),INDEX('AH History'!$C$1:$C$18046,AH!$P$7+1943))),NA()),NA())</ns0:f>
        <ns0:v/>
      </ns0:c>
      <ns0:c r="E1948">
        <ns0:f>IFERROR(IF(ISNUMBER($A1948),IF(AND(AH!$P$10=1,AH!$P$12=1,$A1948=TODAY()),AH!$P$20,IF(AH!$P$10=1,INDEX('Live History'!$H$5:$H$3004,MATCH($A1948,'Live History'!$G$5:$G$3004,1)),INDEX('AH History'!$D$1:$D$18046,AH!$P$7+1943))),NA()),NA())</ns0:f>
        <ns0:v/>
      </ns0:c>
      <ns0:c r="F1948">
        <ns0:f>IFERROR(IF(ISNUMBER($A1948),IF(AND(AH!$P$10=1,AH!$P$12=1,$A1948=TODAY()),IF(AND(AH!$P$10=1,AH!$P$12=1,$A1948=TODAY()),TODAY(),NA()),IF(AH!$P$10=1,INDEX('Live History'!$D$5:$D$3004,MATCH($A1948,'Live History'!$D$5:$D$3004,1)),INDEX('AH History'!$E$1:$E$18046,AH!$P$7+1943))),NA()),NA())</ns0:f>
        <ns0:v/>
      </ns0:c>
      <ns0:c r="G1948">
        <ns0:f>IFERROR(IF(ISNUMBER($A1948),IF(AND(AH!$P$10=1,AH!$P$12=1,$A1948=TODAY()),IF(AND(AH!$P$10=1,AH!$P$12=1,$A1948=TODAY()),TODAY(),NA()),IF(AH!$P$10=1,INDEX('Live History'!$G$5:$G$3004,MATCH($A1948,'Live History'!$G$5:$G$3004,1)),INDEX('AH History'!$F$1:$F$18046,AH!$P$7+1943))),NA()),NA())</ns0:f>
        <ns0:v/>
      </ns0:c>
      <ns0:c r="H1948">
        <ns0:f>IFERROR(IF(AND(AH!$E$4="Bloomberg",AH!$P$10=1,ISNUMBER($A1948),$A1948&lt;=AH!$P$17),AH!$P$7-1+MATCH($A1948,INDEX('AH History'!$A$1:$A$18046,AH!$P$7):INDEX('AH History'!$A$1:$A$18046,AH!$P$7+AH!$P$8-1),0),0),0)</ns0:f>
        <ns0:v/>
      </ns0:c>
      <ns0:c r="I1948">
        <ns0:f>IF($H1948=0,0,IFERROR(IF(AND(ABS($C1948-INDEX('AH History'!$B$1:$B$18046,$H1948))&lt;=MAX(0.005,ABS(INDEX('AH History'!$B$1:$B$18046,$H1948))*0.00005),ABS($D1948-INDEX('AH History'!$C$1:$C$18046,$H1948))&lt;=MAX(0.005,ABS(INDEX('AH History'!$C$1:$C$18046,$H1948))*0.00005),ABS($E1948-INDEX('AH History'!$D$1:$D$18046,$H1948))&lt;=0.00005,$F1948=INDEX('AH History'!$E$1:$E$18046,$H1948),$G1948=INDEX('AH History'!$F$1:$F$18046,$H1948)),1,-1),-1))</ns0:f>
        <ns0:v/>
      </ns0:c>
    </ns0:row>
    <ns0:row r="1949">
      <ns0:c r="A1949" s="215">
        <ns0:f>IF(OR(AH!$P$3=0,1944+1&gt;AH!$P$11,AND(AH!$E$4&lt;&gt;"Stored",AH!$P$10&lt;&gt;1)),"",IFERROR(IF(AND(AH!$P$21=1,1944+1=AH!$P$11),TODAY(),IF(AH!$P$10=1,INDEX('Live History'!$A$5:$A$3004,AH!$P$13+1944),INDEX('AH History'!$A$1:$A$18046,AH!$P$7+1944))),""))</ns0:f>
        <ns0:v/>
      </ns0:c>
      <ns0:c r="B1949" s="219">
        <ns0:f>IFERROR(IF(AND(AH!$P$9&lt;&gt;1,$C1949&gt;0,$D1949&gt;0,$E1949&gt;0,$F1949&gt;0,$G1949&gt;0,$F1949&lt;=$A1949,$G1949&lt;=$A1949,$A1949-$F1949&lt;=10,$A1949-$G1949&lt;=5),$D1949*$E1949/$C1949-1,NA()),NA())</ns0:f>
        <ns0:v/>
      </ns0:c>
      <ns0:c r="C1949">
        <ns0:f>IFERROR(IF(ISNUMBER($A1949),IF(AND(AH!$P$10=1,AH!$P$12=1,$A1949=TODAY()),AH!$P$19,IF(AH!$P$10=1,INDEX('Live History'!$B$5:$B$3004,AH!$P$13+1944),INDEX('AH History'!$B$1:$B$18046,AH!$P$7+1944))),NA()),NA())</ns0:f>
        <ns0:v/>
      </ns0:c>
      <ns0:c r="D1949">
        <ns0:f>IFERROR(IF(ISNUMBER($A1949),IF(AND(AH!$P$10=1,AH!$P$12=1,$A1949=TODAY()),AH!$P$18,IF(AH!$P$10=1,INDEX('Live History'!$E$5:$E$3004,MATCH($A1949,'Live History'!$D$5:$D$3004,1)),INDEX('AH History'!$C$1:$C$18046,AH!$P$7+1944))),NA()),NA())</ns0:f>
        <ns0:v/>
      </ns0:c>
      <ns0:c r="E1949">
        <ns0:f>IFERROR(IF(ISNUMBER($A1949),IF(AND(AH!$P$10=1,AH!$P$12=1,$A1949=TODAY()),AH!$P$20,IF(AH!$P$10=1,INDEX('Live History'!$H$5:$H$3004,MATCH($A1949,'Live History'!$G$5:$G$3004,1)),INDEX('AH History'!$D$1:$D$18046,AH!$P$7+1944))),NA()),NA())</ns0:f>
        <ns0:v/>
      </ns0:c>
      <ns0:c r="F1949">
        <ns0:f>IFERROR(IF(ISNUMBER($A1949),IF(AND(AH!$P$10=1,AH!$P$12=1,$A1949=TODAY()),IF(AND(AH!$P$10=1,AH!$P$12=1,$A1949=TODAY()),TODAY(),NA()),IF(AH!$P$10=1,INDEX('Live History'!$D$5:$D$3004,MATCH($A1949,'Live History'!$D$5:$D$3004,1)),INDEX('AH History'!$E$1:$E$18046,AH!$P$7+1944))),NA()),NA())</ns0:f>
        <ns0:v/>
      </ns0:c>
      <ns0:c r="G1949">
        <ns0:f>IFERROR(IF(ISNUMBER($A1949),IF(AND(AH!$P$10=1,AH!$P$12=1,$A1949=TODAY()),IF(AND(AH!$P$10=1,AH!$P$12=1,$A1949=TODAY()),TODAY(),NA()),IF(AH!$P$10=1,INDEX('Live History'!$G$5:$G$3004,MATCH($A1949,'Live History'!$G$5:$G$3004,1)),INDEX('AH History'!$F$1:$F$18046,AH!$P$7+1944))),NA()),NA())</ns0:f>
        <ns0:v/>
      </ns0:c>
      <ns0:c r="H1949">
        <ns0:f>IFERROR(IF(AND(AH!$E$4="Bloomberg",AH!$P$10=1,ISNUMBER($A1949),$A1949&lt;=AH!$P$17),AH!$P$7-1+MATCH($A1949,INDEX('AH History'!$A$1:$A$18046,AH!$P$7):INDEX('AH History'!$A$1:$A$18046,AH!$P$7+AH!$P$8-1),0),0),0)</ns0:f>
        <ns0:v/>
      </ns0:c>
      <ns0:c r="I1949">
        <ns0:f>IF($H1949=0,0,IFERROR(IF(AND(ABS($C1949-INDEX('AH History'!$B$1:$B$18046,$H1949))&lt;=MAX(0.005,ABS(INDEX('AH History'!$B$1:$B$18046,$H1949))*0.00005),ABS($D1949-INDEX('AH History'!$C$1:$C$18046,$H1949))&lt;=MAX(0.005,ABS(INDEX('AH History'!$C$1:$C$18046,$H1949))*0.00005),ABS($E1949-INDEX('AH History'!$D$1:$D$18046,$H1949))&lt;=0.00005,$F1949=INDEX('AH History'!$E$1:$E$18046,$H1949),$G1949=INDEX('AH History'!$F$1:$F$18046,$H1949)),1,-1),-1))</ns0:f>
        <ns0:v/>
      </ns0:c>
    </ns0:row>
    <ns0:row r="1950">
      <ns0:c r="A1950" s="215">
        <ns0:f>IF(OR(AH!$P$3=0,1945+1&gt;AH!$P$11,AND(AH!$E$4&lt;&gt;"Stored",AH!$P$10&lt;&gt;1)),"",IFERROR(IF(AND(AH!$P$21=1,1945+1=AH!$P$11),TODAY(),IF(AH!$P$10=1,INDEX('Live History'!$A$5:$A$3004,AH!$P$13+1945),INDEX('AH History'!$A$1:$A$18046,AH!$P$7+1945))),""))</ns0:f>
        <ns0:v/>
      </ns0:c>
      <ns0:c r="B1950" s="219">
        <ns0:f>IFERROR(IF(AND(AH!$P$9&lt;&gt;1,$C1950&gt;0,$D1950&gt;0,$E1950&gt;0,$F1950&gt;0,$G1950&gt;0,$F1950&lt;=$A1950,$G1950&lt;=$A1950,$A1950-$F1950&lt;=10,$A1950-$G1950&lt;=5),$D1950*$E1950/$C1950-1,NA()),NA())</ns0:f>
        <ns0:v/>
      </ns0:c>
      <ns0:c r="C1950">
        <ns0:f>IFERROR(IF(ISNUMBER($A1950),IF(AND(AH!$P$10=1,AH!$P$12=1,$A1950=TODAY()),AH!$P$19,IF(AH!$P$10=1,INDEX('Live History'!$B$5:$B$3004,AH!$P$13+1945),INDEX('AH History'!$B$1:$B$18046,AH!$P$7+1945))),NA()),NA())</ns0:f>
        <ns0:v/>
      </ns0:c>
      <ns0:c r="D1950">
        <ns0:f>IFERROR(IF(ISNUMBER($A1950),IF(AND(AH!$P$10=1,AH!$P$12=1,$A1950=TODAY()),AH!$P$18,IF(AH!$P$10=1,INDEX('Live History'!$E$5:$E$3004,MATCH($A1950,'Live History'!$D$5:$D$3004,1)),INDEX('AH History'!$C$1:$C$18046,AH!$P$7+1945))),NA()),NA())</ns0:f>
        <ns0:v/>
      </ns0:c>
      <ns0:c r="E1950">
        <ns0:f>IFERROR(IF(ISNUMBER($A1950),IF(AND(AH!$P$10=1,AH!$P$12=1,$A1950=TODAY()),AH!$P$20,IF(AH!$P$10=1,INDEX('Live History'!$H$5:$H$3004,MATCH($A1950,'Live History'!$G$5:$G$3004,1)),INDEX('AH History'!$D$1:$D$18046,AH!$P$7+1945))),NA()),NA())</ns0:f>
        <ns0:v/>
      </ns0:c>
      <ns0:c r="F1950">
        <ns0:f>IFERROR(IF(ISNUMBER($A1950),IF(AND(AH!$P$10=1,AH!$P$12=1,$A1950=TODAY()),IF(AND(AH!$P$10=1,AH!$P$12=1,$A1950=TODAY()),TODAY(),NA()),IF(AH!$P$10=1,INDEX('Live History'!$D$5:$D$3004,MATCH($A1950,'Live History'!$D$5:$D$3004,1)),INDEX('AH History'!$E$1:$E$18046,AH!$P$7+1945))),NA()),NA())</ns0:f>
        <ns0:v/>
      </ns0:c>
      <ns0:c r="G1950">
        <ns0:f>IFERROR(IF(ISNUMBER($A1950),IF(AND(AH!$P$10=1,AH!$P$12=1,$A1950=TODAY()),IF(AND(AH!$P$10=1,AH!$P$12=1,$A1950=TODAY()),TODAY(),NA()),IF(AH!$P$10=1,INDEX('Live History'!$G$5:$G$3004,MATCH($A1950,'Live History'!$G$5:$G$3004,1)),INDEX('AH History'!$F$1:$F$18046,AH!$P$7+1945))),NA()),NA())</ns0:f>
        <ns0:v/>
      </ns0:c>
      <ns0:c r="H1950">
        <ns0:f>IFERROR(IF(AND(AH!$E$4="Bloomberg",AH!$P$10=1,ISNUMBER($A1950),$A1950&lt;=AH!$P$17),AH!$P$7-1+MATCH($A1950,INDEX('AH History'!$A$1:$A$18046,AH!$P$7):INDEX('AH History'!$A$1:$A$18046,AH!$P$7+AH!$P$8-1),0),0),0)</ns0:f>
        <ns0:v/>
      </ns0:c>
      <ns0:c r="I1950">
        <ns0:f>IF($H1950=0,0,IFERROR(IF(AND(ABS($C1950-INDEX('AH History'!$B$1:$B$18046,$H1950))&lt;=MAX(0.005,ABS(INDEX('AH History'!$B$1:$B$18046,$H1950))*0.00005),ABS($D1950-INDEX('AH History'!$C$1:$C$18046,$H1950))&lt;=MAX(0.005,ABS(INDEX('AH History'!$C$1:$C$18046,$H1950))*0.00005),ABS($E1950-INDEX('AH History'!$D$1:$D$18046,$H1950))&lt;=0.00005,$F1950=INDEX('AH History'!$E$1:$E$18046,$H1950),$G1950=INDEX('AH History'!$F$1:$F$18046,$H1950)),1,-1),-1))</ns0:f>
        <ns0:v/>
      </ns0:c>
    </ns0:row>
    <ns0:row r="1951">
      <ns0:c r="A1951" s="215">
        <ns0:f>IF(OR(AH!$P$3=0,1946+1&gt;AH!$P$11,AND(AH!$E$4&lt;&gt;"Stored",AH!$P$10&lt;&gt;1)),"",IFERROR(IF(AND(AH!$P$21=1,1946+1=AH!$P$11),TODAY(),IF(AH!$P$10=1,INDEX('Live History'!$A$5:$A$3004,AH!$P$13+1946),INDEX('AH History'!$A$1:$A$18046,AH!$P$7+1946))),""))</ns0:f>
        <ns0:v/>
      </ns0:c>
      <ns0:c r="B1951" s="219">
        <ns0:f>IFERROR(IF(AND(AH!$P$9&lt;&gt;1,$C1951&gt;0,$D1951&gt;0,$E1951&gt;0,$F1951&gt;0,$G1951&gt;0,$F1951&lt;=$A1951,$G1951&lt;=$A1951,$A1951-$F1951&lt;=10,$A1951-$G1951&lt;=5),$D1951*$E1951/$C1951-1,NA()),NA())</ns0:f>
        <ns0:v/>
      </ns0:c>
      <ns0:c r="C1951">
        <ns0:f>IFERROR(IF(ISNUMBER($A1951),IF(AND(AH!$P$10=1,AH!$P$12=1,$A1951=TODAY()),AH!$P$19,IF(AH!$P$10=1,INDEX('Live History'!$B$5:$B$3004,AH!$P$13+1946),INDEX('AH History'!$B$1:$B$18046,AH!$P$7+1946))),NA()),NA())</ns0:f>
        <ns0:v/>
      </ns0:c>
      <ns0:c r="D1951">
        <ns0:f>IFERROR(IF(ISNUMBER($A1951),IF(AND(AH!$P$10=1,AH!$P$12=1,$A1951=TODAY()),AH!$P$18,IF(AH!$P$10=1,INDEX('Live History'!$E$5:$E$3004,MATCH($A1951,'Live History'!$D$5:$D$3004,1)),INDEX('AH History'!$C$1:$C$18046,AH!$P$7+1946))),NA()),NA())</ns0:f>
        <ns0:v/>
      </ns0:c>
      <ns0:c r="E1951">
        <ns0:f>IFERROR(IF(ISNUMBER($A1951),IF(AND(AH!$P$10=1,AH!$P$12=1,$A1951=TODAY()),AH!$P$20,IF(AH!$P$10=1,INDEX('Live History'!$H$5:$H$3004,MATCH($A1951,'Live History'!$G$5:$G$3004,1)),INDEX('AH History'!$D$1:$D$18046,AH!$P$7+1946))),NA()),NA())</ns0:f>
        <ns0:v/>
      </ns0:c>
      <ns0:c r="F1951">
        <ns0:f>IFERROR(IF(ISNUMBER($A1951),IF(AND(AH!$P$10=1,AH!$P$12=1,$A1951=TODAY()),IF(AND(AH!$P$10=1,AH!$P$12=1,$A1951=TODAY()),TODAY(),NA()),IF(AH!$P$10=1,INDEX('Live History'!$D$5:$D$3004,MATCH($A1951,'Live History'!$D$5:$D$3004,1)),INDEX('AH History'!$E$1:$E$18046,AH!$P$7+1946))),NA()),NA())</ns0:f>
        <ns0:v/>
      </ns0:c>
      <ns0:c r="G1951">
        <ns0:f>IFERROR(IF(ISNUMBER($A1951),IF(AND(AH!$P$10=1,AH!$P$12=1,$A1951=TODAY()),IF(AND(AH!$P$10=1,AH!$P$12=1,$A1951=TODAY()),TODAY(),NA()),IF(AH!$P$10=1,INDEX('Live History'!$G$5:$G$3004,MATCH($A1951,'Live History'!$G$5:$G$3004,1)),INDEX('AH History'!$F$1:$F$18046,AH!$P$7+1946))),NA()),NA())</ns0:f>
        <ns0:v/>
      </ns0:c>
      <ns0:c r="H1951">
        <ns0:f>IFERROR(IF(AND(AH!$E$4="Bloomberg",AH!$P$10=1,ISNUMBER($A1951),$A1951&lt;=AH!$P$17),AH!$P$7-1+MATCH($A1951,INDEX('AH History'!$A$1:$A$18046,AH!$P$7):INDEX('AH History'!$A$1:$A$18046,AH!$P$7+AH!$P$8-1),0),0),0)</ns0:f>
        <ns0:v/>
      </ns0:c>
      <ns0:c r="I1951">
        <ns0:f>IF($H1951=0,0,IFERROR(IF(AND(ABS($C1951-INDEX('AH History'!$B$1:$B$18046,$H1951))&lt;=MAX(0.005,ABS(INDEX('AH History'!$B$1:$B$18046,$H1951))*0.00005),ABS($D1951-INDEX('AH History'!$C$1:$C$18046,$H1951))&lt;=MAX(0.005,ABS(INDEX('AH History'!$C$1:$C$18046,$H1951))*0.00005),ABS($E1951-INDEX('AH History'!$D$1:$D$18046,$H1951))&lt;=0.00005,$F1951=INDEX('AH History'!$E$1:$E$18046,$H1951),$G1951=INDEX('AH History'!$F$1:$F$18046,$H1951)),1,-1),-1))</ns0:f>
        <ns0:v/>
      </ns0:c>
    </ns0:row>
    <ns0:row r="1952">
      <ns0:c r="A1952" s="215">
        <ns0:f>IF(OR(AH!$P$3=0,1947+1&gt;AH!$P$11,AND(AH!$E$4&lt;&gt;"Stored",AH!$P$10&lt;&gt;1)),"",IFERROR(IF(AND(AH!$P$21=1,1947+1=AH!$P$11),TODAY(),IF(AH!$P$10=1,INDEX('Live History'!$A$5:$A$3004,AH!$P$13+1947),INDEX('AH History'!$A$1:$A$18046,AH!$P$7+1947))),""))</ns0:f>
        <ns0:v/>
      </ns0:c>
      <ns0:c r="B1952" s="219">
        <ns0:f>IFERROR(IF(AND(AH!$P$9&lt;&gt;1,$C1952&gt;0,$D1952&gt;0,$E1952&gt;0,$F1952&gt;0,$G1952&gt;0,$F1952&lt;=$A1952,$G1952&lt;=$A1952,$A1952-$F1952&lt;=10,$A1952-$G1952&lt;=5),$D1952*$E1952/$C1952-1,NA()),NA())</ns0:f>
        <ns0:v/>
      </ns0:c>
      <ns0:c r="C1952">
        <ns0:f>IFERROR(IF(ISNUMBER($A1952),IF(AND(AH!$P$10=1,AH!$P$12=1,$A1952=TODAY()),AH!$P$19,IF(AH!$P$10=1,INDEX('Live History'!$B$5:$B$3004,AH!$P$13+1947),INDEX('AH History'!$B$1:$B$18046,AH!$P$7+1947))),NA()),NA())</ns0:f>
        <ns0:v/>
      </ns0:c>
      <ns0:c r="D1952">
        <ns0:f>IFERROR(IF(ISNUMBER($A1952),IF(AND(AH!$P$10=1,AH!$P$12=1,$A1952=TODAY()),AH!$P$18,IF(AH!$P$10=1,INDEX('Live History'!$E$5:$E$3004,MATCH($A1952,'Live History'!$D$5:$D$3004,1)),INDEX('AH History'!$C$1:$C$18046,AH!$P$7+1947))),NA()),NA())</ns0:f>
        <ns0:v/>
      </ns0:c>
      <ns0:c r="E1952">
        <ns0:f>IFERROR(IF(ISNUMBER($A1952),IF(AND(AH!$P$10=1,AH!$P$12=1,$A1952=TODAY()),AH!$P$20,IF(AH!$P$10=1,INDEX('Live History'!$H$5:$H$3004,MATCH($A1952,'Live History'!$G$5:$G$3004,1)),INDEX('AH History'!$D$1:$D$18046,AH!$P$7+1947))),NA()),NA())</ns0:f>
        <ns0:v/>
      </ns0:c>
      <ns0:c r="F1952">
        <ns0:f>IFERROR(IF(ISNUMBER($A1952),IF(AND(AH!$P$10=1,AH!$P$12=1,$A1952=TODAY()),IF(AND(AH!$P$10=1,AH!$P$12=1,$A1952=TODAY()),TODAY(),NA()),IF(AH!$P$10=1,INDEX('Live History'!$D$5:$D$3004,MATCH($A1952,'Live History'!$D$5:$D$3004,1)),INDEX('AH History'!$E$1:$E$18046,AH!$P$7+1947))),NA()),NA())</ns0:f>
        <ns0:v/>
      </ns0:c>
      <ns0:c r="G1952">
        <ns0:f>IFERROR(IF(ISNUMBER($A1952),IF(AND(AH!$P$10=1,AH!$P$12=1,$A1952=TODAY()),IF(AND(AH!$P$10=1,AH!$P$12=1,$A1952=TODAY()),TODAY(),NA()),IF(AH!$P$10=1,INDEX('Live History'!$G$5:$G$3004,MATCH($A1952,'Live History'!$G$5:$G$3004,1)),INDEX('AH History'!$F$1:$F$18046,AH!$P$7+1947))),NA()),NA())</ns0:f>
        <ns0:v/>
      </ns0:c>
      <ns0:c r="H1952">
        <ns0:f>IFERROR(IF(AND(AH!$E$4="Bloomberg",AH!$P$10=1,ISNUMBER($A1952),$A1952&lt;=AH!$P$17),AH!$P$7-1+MATCH($A1952,INDEX('AH History'!$A$1:$A$18046,AH!$P$7):INDEX('AH History'!$A$1:$A$18046,AH!$P$7+AH!$P$8-1),0),0),0)</ns0:f>
        <ns0:v/>
      </ns0:c>
      <ns0:c r="I1952">
        <ns0:f>IF($H1952=0,0,IFERROR(IF(AND(ABS($C1952-INDEX('AH History'!$B$1:$B$18046,$H1952))&lt;=MAX(0.005,ABS(INDEX('AH History'!$B$1:$B$18046,$H1952))*0.00005),ABS($D1952-INDEX('AH History'!$C$1:$C$18046,$H1952))&lt;=MAX(0.005,ABS(INDEX('AH History'!$C$1:$C$18046,$H1952))*0.00005),ABS($E1952-INDEX('AH History'!$D$1:$D$18046,$H1952))&lt;=0.00005,$F1952=INDEX('AH History'!$E$1:$E$18046,$H1952),$G1952=INDEX('AH History'!$F$1:$F$18046,$H1952)),1,-1),-1))</ns0:f>
        <ns0:v/>
      </ns0:c>
    </ns0:row>
    <ns0:row r="1953">
      <ns0:c r="A1953" s="215">
        <ns0:f>IF(OR(AH!$P$3=0,1948+1&gt;AH!$P$11,AND(AH!$E$4&lt;&gt;"Stored",AH!$P$10&lt;&gt;1)),"",IFERROR(IF(AND(AH!$P$21=1,1948+1=AH!$P$11),TODAY(),IF(AH!$P$10=1,INDEX('Live History'!$A$5:$A$3004,AH!$P$13+1948),INDEX('AH History'!$A$1:$A$18046,AH!$P$7+1948))),""))</ns0:f>
        <ns0:v/>
      </ns0:c>
      <ns0:c r="B1953" s="219">
        <ns0:f>IFERROR(IF(AND(AH!$P$9&lt;&gt;1,$C1953&gt;0,$D1953&gt;0,$E1953&gt;0,$F1953&gt;0,$G1953&gt;0,$F1953&lt;=$A1953,$G1953&lt;=$A1953,$A1953-$F1953&lt;=10,$A1953-$G1953&lt;=5),$D1953*$E1953/$C1953-1,NA()),NA())</ns0:f>
        <ns0:v/>
      </ns0:c>
      <ns0:c r="C1953">
        <ns0:f>IFERROR(IF(ISNUMBER($A1953),IF(AND(AH!$P$10=1,AH!$P$12=1,$A1953=TODAY()),AH!$P$19,IF(AH!$P$10=1,INDEX('Live History'!$B$5:$B$3004,AH!$P$13+1948),INDEX('AH History'!$B$1:$B$18046,AH!$P$7+1948))),NA()),NA())</ns0:f>
        <ns0:v/>
      </ns0:c>
      <ns0:c r="D1953">
        <ns0:f>IFERROR(IF(ISNUMBER($A1953),IF(AND(AH!$P$10=1,AH!$P$12=1,$A1953=TODAY()),AH!$P$18,IF(AH!$P$10=1,INDEX('Live History'!$E$5:$E$3004,MATCH($A1953,'Live History'!$D$5:$D$3004,1)),INDEX('AH History'!$C$1:$C$18046,AH!$P$7+1948))),NA()),NA())</ns0:f>
        <ns0:v/>
      </ns0:c>
      <ns0:c r="E1953">
        <ns0:f>IFERROR(IF(ISNUMBER($A1953),IF(AND(AH!$P$10=1,AH!$P$12=1,$A1953=TODAY()),AH!$P$20,IF(AH!$P$10=1,INDEX('Live History'!$H$5:$H$3004,MATCH($A1953,'Live History'!$G$5:$G$3004,1)),INDEX('AH History'!$D$1:$D$18046,AH!$P$7+1948))),NA()),NA())</ns0:f>
        <ns0:v/>
      </ns0:c>
      <ns0:c r="F1953">
        <ns0:f>IFERROR(IF(ISNUMBER($A1953),IF(AND(AH!$P$10=1,AH!$P$12=1,$A1953=TODAY()),IF(AND(AH!$P$10=1,AH!$P$12=1,$A1953=TODAY()),TODAY(),NA()),IF(AH!$P$10=1,INDEX('Live History'!$D$5:$D$3004,MATCH($A1953,'Live History'!$D$5:$D$3004,1)),INDEX('AH History'!$E$1:$E$18046,AH!$P$7+1948))),NA()),NA())</ns0:f>
        <ns0:v/>
      </ns0:c>
      <ns0:c r="G1953">
        <ns0:f>IFERROR(IF(ISNUMBER($A1953),IF(AND(AH!$P$10=1,AH!$P$12=1,$A1953=TODAY()),IF(AND(AH!$P$10=1,AH!$P$12=1,$A1953=TODAY()),TODAY(),NA()),IF(AH!$P$10=1,INDEX('Live History'!$G$5:$G$3004,MATCH($A1953,'Live History'!$G$5:$G$3004,1)),INDEX('AH History'!$F$1:$F$18046,AH!$P$7+1948))),NA()),NA())</ns0:f>
        <ns0:v/>
      </ns0:c>
      <ns0:c r="H1953">
        <ns0:f>IFERROR(IF(AND(AH!$E$4="Bloomberg",AH!$P$10=1,ISNUMBER($A1953),$A1953&lt;=AH!$P$17),AH!$P$7-1+MATCH($A1953,INDEX('AH History'!$A$1:$A$18046,AH!$P$7):INDEX('AH History'!$A$1:$A$18046,AH!$P$7+AH!$P$8-1),0),0),0)</ns0:f>
        <ns0:v/>
      </ns0:c>
      <ns0:c r="I1953">
        <ns0:f>IF($H1953=0,0,IFERROR(IF(AND(ABS($C1953-INDEX('AH History'!$B$1:$B$18046,$H1953))&lt;=MAX(0.005,ABS(INDEX('AH History'!$B$1:$B$18046,$H1953))*0.00005),ABS($D1953-INDEX('AH History'!$C$1:$C$18046,$H1953))&lt;=MAX(0.005,ABS(INDEX('AH History'!$C$1:$C$18046,$H1953))*0.00005),ABS($E1953-INDEX('AH History'!$D$1:$D$18046,$H1953))&lt;=0.00005,$F1953=INDEX('AH History'!$E$1:$E$18046,$H1953),$G1953=INDEX('AH History'!$F$1:$F$18046,$H1953)),1,-1),-1))</ns0:f>
        <ns0:v/>
      </ns0:c>
    </ns0:row>
    <ns0:row r="1954">
      <ns0:c r="A1954" s="215">
        <ns0:f>IF(OR(AH!$P$3=0,1949+1&gt;AH!$P$11,AND(AH!$E$4&lt;&gt;"Stored",AH!$P$10&lt;&gt;1)),"",IFERROR(IF(AND(AH!$P$21=1,1949+1=AH!$P$11),TODAY(),IF(AH!$P$10=1,INDEX('Live History'!$A$5:$A$3004,AH!$P$13+1949),INDEX('AH History'!$A$1:$A$18046,AH!$P$7+1949))),""))</ns0:f>
        <ns0:v/>
      </ns0:c>
      <ns0:c r="B1954" s="219">
        <ns0:f>IFERROR(IF(AND(AH!$P$9&lt;&gt;1,$C1954&gt;0,$D1954&gt;0,$E1954&gt;0,$F1954&gt;0,$G1954&gt;0,$F1954&lt;=$A1954,$G1954&lt;=$A1954,$A1954-$F1954&lt;=10,$A1954-$G1954&lt;=5),$D1954*$E1954/$C1954-1,NA()),NA())</ns0:f>
        <ns0:v/>
      </ns0:c>
      <ns0:c r="C1954">
        <ns0:f>IFERROR(IF(ISNUMBER($A1954),IF(AND(AH!$P$10=1,AH!$P$12=1,$A1954=TODAY()),AH!$P$19,IF(AH!$P$10=1,INDEX('Live History'!$B$5:$B$3004,AH!$P$13+1949),INDEX('AH History'!$B$1:$B$18046,AH!$P$7+1949))),NA()),NA())</ns0:f>
        <ns0:v/>
      </ns0:c>
      <ns0:c r="D1954">
        <ns0:f>IFERROR(IF(ISNUMBER($A1954),IF(AND(AH!$P$10=1,AH!$P$12=1,$A1954=TODAY()),AH!$P$18,IF(AH!$P$10=1,INDEX('Live History'!$E$5:$E$3004,MATCH($A1954,'Live History'!$D$5:$D$3004,1)),INDEX('AH History'!$C$1:$C$18046,AH!$P$7+1949))),NA()),NA())</ns0:f>
        <ns0:v/>
      </ns0:c>
      <ns0:c r="E1954">
        <ns0:f>IFERROR(IF(ISNUMBER($A1954),IF(AND(AH!$P$10=1,AH!$P$12=1,$A1954=TODAY()),AH!$P$20,IF(AH!$P$10=1,INDEX('Live History'!$H$5:$H$3004,MATCH($A1954,'Live History'!$G$5:$G$3004,1)),INDEX('AH History'!$D$1:$D$18046,AH!$P$7+1949))),NA()),NA())</ns0:f>
        <ns0:v/>
      </ns0:c>
      <ns0:c r="F1954">
        <ns0:f>IFERROR(IF(ISNUMBER($A1954),IF(AND(AH!$P$10=1,AH!$P$12=1,$A1954=TODAY()),IF(AND(AH!$P$10=1,AH!$P$12=1,$A1954=TODAY()),TODAY(),NA()),IF(AH!$P$10=1,INDEX('Live History'!$D$5:$D$3004,MATCH($A1954,'Live History'!$D$5:$D$3004,1)),INDEX('AH History'!$E$1:$E$18046,AH!$P$7+1949))),NA()),NA())</ns0:f>
        <ns0:v/>
      </ns0:c>
      <ns0:c r="G1954">
        <ns0:f>IFERROR(IF(ISNUMBER($A1954),IF(AND(AH!$P$10=1,AH!$P$12=1,$A1954=TODAY()),IF(AND(AH!$P$10=1,AH!$P$12=1,$A1954=TODAY()),TODAY(),NA()),IF(AH!$P$10=1,INDEX('Live History'!$G$5:$G$3004,MATCH($A1954,'Live History'!$G$5:$G$3004,1)),INDEX('AH History'!$F$1:$F$18046,AH!$P$7+1949))),NA()),NA())</ns0:f>
        <ns0:v/>
      </ns0:c>
      <ns0:c r="H1954">
        <ns0:f>IFERROR(IF(AND(AH!$E$4="Bloomberg",AH!$P$10=1,ISNUMBER($A1954),$A1954&lt;=AH!$P$17),AH!$P$7-1+MATCH($A1954,INDEX('AH History'!$A$1:$A$18046,AH!$P$7):INDEX('AH History'!$A$1:$A$18046,AH!$P$7+AH!$P$8-1),0),0),0)</ns0:f>
        <ns0:v/>
      </ns0:c>
      <ns0:c r="I1954">
        <ns0:f>IF($H1954=0,0,IFERROR(IF(AND(ABS($C1954-INDEX('AH History'!$B$1:$B$18046,$H1954))&lt;=MAX(0.005,ABS(INDEX('AH History'!$B$1:$B$18046,$H1954))*0.00005),ABS($D1954-INDEX('AH History'!$C$1:$C$18046,$H1954))&lt;=MAX(0.005,ABS(INDEX('AH History'!$C$1:$C$18046,$H1954))*0.00005),ABS($E1954-INDEX('AH History'!$D$1:$D$18046,$H1954))&lt;=0.00005,$F1954=INDEX('AH History'!$E$1:$E$18046,$H1954),$G1954=INDEX('AH History'!$F$1:$F$18046,$H1954)),1,-1),-1))</ns0:f>
        <ns0:v/>
      </ns0:c>
    </ns0:row>
    <ns0:row r="1955">
      <ns0:c r="A1955" s="215">
        <ns0:f>IF(OR(AH!$P$3=0,1950+1&gt;AH!$P$11,AND(AH!$E$4&lt;&gt;"Stored",AH!$P$10&lt;&gt;1)),"",IFERROR(IF(AND(AH!$P$21=1,1950+1=AH!$P$11),TODAY(),IF(AH!$P$10=1,INDEX('Live History'!$A$5:$A$3004,AH!$P$13+1950),INDEX('AH History'!$A$1:$A$18046,AH!$P$7+1950))),""))</ns0:f>
        <ns0:v/>
      </ns0:c>
      <ns0:c r="B1955" s="219">
        <ns0:f>IFERROR(IF(AND(AH!$P$9&lt;&gt;1,$C1955&gt;0,$D1955&gt;0,$E1955&gt;0,$F1955&gt;0,$G1955&gt;0,$F1955&lt;=$A1955,$G1955&lt;=$A1955,$A1955-$F1955&lt;=10,$A1955-$G1955&lt;=5),$D1955*$E1955/$C1955-1,NA()),NA())</ns0:f>
        <ns0:v/>
      </ns0:c>
      <ns0:c r="C1955">
        <ns0:f>IFERROR(IF(ISNUMBER($A1955),IF(AND(AH!$P$10=1,AH!$P$12=1,$A1955=TODAY()),AH!$P$19,IF(AH!$P$10=1,INDEX('Live History'!$B$5:$B$3004,AH!$P$13+1950),INDEX('AH History'!$B$1:$B$18046,AH!$P$7+1950))),NA()),NA())</ns0:f>
        <ns0:v/>
      </ns0:c>
      <ns0:c r="D1955">
        <ns0:f>IFERROR(IF(ISNUMBER($A1955),IF(AND(AH!$P$10=1,AH!$P$12=1,$A1955=TODAY()),AH!$P$18,IF(AH!$P$10=1,INDEX('Live History'!$E$5:$E$3004,MATCH($A1955,'Live History'!$D$5:$D$3004,1)),INDEX('AH History'!$C$1:$C$18046,AH!$P$7+1950))),NA()),NA())</ns0:f>
        <ns0:v/>
      </ns0:c>
      <ns0:c r="E1955">
        <ns0:f>IFERROR(IF(ISNUMBER($A1955),IF(AND(AH!$P$10=1,AH!$P$12=1,$A1955=TODAY()),AH!$P$20,IF(AH!$P$10=1,INDEX('Live History'!$H$5:$H$3004,MATCH($A1955,'Live History'!$G$5:$G$3004,1)),INDEX('AH History'!$D$1:$D$18046,AH!$P$7+1950))),NA()),NA())</ns0:f>
        <ns0:v/>
      </ns0:c>
      <ns0:c r="F1955">
        <ns0:f>IFERROR(IF(ISNUMBER($A1955),IF(AND(AH!$P$10=1,AH!$P$12=1,$A1955=TODAY()),IF(AND(AH!$P$10=1,AH!$P$12=1,$A1955=TODAY()),TODAY(),NA()),IF(AH!$P$10=1,INDEX('Live History'!$D$5:$D$3004,MATCH($A1955,'Live History'!$D$5:$D$3004,1)),INDEX('AH History'!$E$1:$E$18046,AH!$P$7+1950))),NA()),NA())</ns0:f>
        <ns0:v/>
      </ns0:c>
      <ns0:c r="G1955">
        <ns0:f>IFERROR(IF(ISNUMBER($A1955),IF(AND(AH!$P$10=1,AH!$P$12=1,$A1955=TODAY()),IF(AND(AH!$P$10=1,AH!$P$12=1,$A1955=TODAY()),TODAY(),NA()),IF(AH!$P$10=1,INDEX('Live History'!$G$5:$G$3004,MATCH($A1955,'Live History'!$G$5:$G$3004,1)),INDEX('AH History'!$F$1:$F$18046,AH!$P$7+1950))),NA()),NA())</ns0:f>
        <ns0:v/>
      </ns0:c>
      <ns0:c r="H1955">
        <ns0:f>IFERROR(IF(AND(AH!$E$4="Bloomberg",AH!$P$10=1,ISNUMBER($A1955),$A1955&lt;=AH!$P$17),AH!$P$7-1+MATCH($A1955,INDEX('AH History'!$A$1:$A$18046,AH!$P$7):INDEX('AH History'!$A$1:$A$18046,AH!$P$7+AH!$P$8-1),0),0),0)</ns0:f>
        <ns0:v/>
      </ns0:c>
      <ns0:c r="I1955">
        <ns0:f>IF($H1955=0,0,IFERROR(IF(AND(ABS($C1955-INDEX('AH History'!$B$1:$B$18046,$H1955))&lt;=MAX(0.005,ABS(INDEX('AH History'!$B$1:$B$18046,$H1955))*0.00005),ABS($D1955-INDEX('AH History'!$C$1:$C$18046,$H1955))&lt;=MAX(0.005,ABS(INDEX('AH History'!$C$1:$C$18046,$H1955))*0.00005),ABS($E1955-INDEX('AH History'!$D$1:$D$18046,$H1955))&lt;=0.00005,$F1955=INDEX('AH History'!$E$1:$E$18046,$H1955),$G1955=INDEX('AH History'!$F$1:$F$18046,$H1955)),1,-1),-1))</ns0:f>
        <ns0:v/>
      </ns0:c>
    </ns0:row>
    <ns0:row r="1956">
      <ns0:c r="A1956" s="215">
        <ns0:f>IF(OR(AH!$P$3=0,1951+1&gt;AH!$P$11,AND(AH!$E$4&lt;&gt;"Stored",AH!$P$10&lt;&gt;1)),"",IFERROR(IF(AND(AH!$P$21=1,1951+1=AH!$P$11),TODAY(),IF(AH!$P$10=1,INDEX('Live History'!$A$5:$A$3004,AH!$P$13+1951),INDEX('AH History'!$A$1:$A$18046,AH!$P$7+1951))),""))</ns0:f>
        <ns0:v/>
      </ns0:c>
      <ns0:c r="B1956" s="219">
        <ns0:f>IFERROR(IF(AND(AH!$P$9&lt;&gt;1,$C1956&gt;0,$D1956&gt;0,$E1956&gt;0,$F1956&gt;0,$G1956&gt;0,$F1956&lt;=$A1956,$G1956&lt;=$A1956,$A1956-$F1956&lt;=10,$A1956-$G1956&lt;=5),$D1956*$E1956/$C1956-1,NA()),NA())</ns0:f>
        <ns0:v/>
      </ns0:c>
      <ns0:c r="C1956">
        <ns0:f>IFERROR(IF(ISNUMBER($A1956),IF(AND(AH!$P$10=1,AH!$P$12=1,$A1956=TODAY()),AH!$P$19,IF(AH!$P$10=1,INDEX('Live History'!$B$5:$B$3004,AH!$P$13+1951),INDEX('AH History'!$B$1:$B$18046,AH!$P$7+1951))),NA()),NA())</ns0:f>
        <ns0:v/>
      </ns0:c>
      <ns0:c r="D1956">
        <ns0:f>IFERROR(IF(ISNUMBER($A1956),IF(AND(AH!$P$10=1,AH!$P$12=1,$A1956=TODAY()),AH!$P$18,IF(AH!$P$10=1,INDEX('Live History'!$E$5:$E$3004,MATCH($A1956,'Live History'!$D$5:$D$3004,1)),INDEX('AH History'!$C$1:$C$18046,AH!$P$7+1951))),NA()),NA())</ns0:f>
        <ns0:v/>
      </ns0:c>
      <ns0:c r="E1956">
        <ns0:f>IFERROR(IF(ISNUMBER($A1956),IF(AND(AH!$P$10=1,AH!$P$12=1,$A1956=TODAY()),AH!$P$20,IF(AH!$P$10=1,INDEX('Live History'!$H$5:$H$3004,MATCH($A1956,'Live History'!$G$5:$G$3004,1)),INDEX('AH History'!$D$1:$D$18046,AH!$P$7+1951))),NA()),NA())</ns0:f>
        <ns0:v/>
      </ns0:c>
      <ns0:c r="F1956">
        <ns0:f>IFERROR(IF(ISNUMBER($A1956),IF(AND(AH!$P$10=1,AH!$P$12=1,$A1956=TODAY()),IF(AND(AH!$P$10=1,AH!$P$12=1,$A1956=TODAY()),TODAY(),NA()),IF(AH!$P$10=1,INDEX('Live History'!$D$5:$D$3004,MATCH($A1956,'Live History'!$D$5:$D$3004,1)),INDEX('AH History'!$E$1:$E$18046,AH!$P$7+1951))),NA()),NA())</ns0:f>
        <ns0:v/>
      </ns0:c>
      <ns0:c r="G1956">
        <ns0:f>IFERROR(IF(ISNUMBER($A1956),IF(AND(AH!$P$10=1,AH!$P$12=1,$A1956=TODAY()),IF(AND(AH!$P$10=1,AH!$P$12=1,$A1956=TODAY()),TODAY(),NA()),IF(AH!$P$10=1,INDEX('Live History'!$G$5:$G$3004,MATCH($A1956,'Live History'!$G$5:$G$3004,1)),INDEX('AH History'!$F$1:$F$18046,AH!$P$7+1951))),NA()),NA())</ns0:f>
        <ns0:v/>
      </ns0:c>
      <ns0:c r="H1956">
        <ns0:f>IFERROR(IF(AND(AH!$E$4="Bloomberg",AH!$P$10=1,ISNUMBER($A1956),$A1956&lt;=AH!$P$17),AH!$P$7-1+MATCH($A1956,INDEX('AH History'!$A$1:$A$18046,AH!$P$7):INDEX('AH History'!$A$1:$A$18046,AH!$P$7+AH!$P$8-1),0),0),0)</ns0:f>
        <ns0:v/>
      </ns0:c>
      <ns0:c r="I1956">
        <ns0:f>IF($H1956=0,0,IFERROR(IF(AND(ABS($C1956-INDEX('AH History'!$B$1:$B$18046,$H1956))&lt;=MAX(0.005,ABS(INDEX('AH History'!$B$1:$B$18046,$H1956))*0.00005),ABS($D1956-INDEX('AH History'!$C$1:$C$18046,$H1956))&lt;=MAX(0.005,ABS(INDEX('AH History'!$C$1:$C$18046,$H1956))*0.00005),ABS($E1956-INDEX('AH History'!$D$1:$D$18046,$H1956))&lt;=0.00005,$F1956=INDEX('AH History'!$E$1:$E$18046,$H1956),$G1956=INDEX('AH History'!$F$1:$F$18046,$H1956)),1,-1),-1))</ns0:f>
        <ns0:v/>
      </ns0:c>
    </ns0:row>
    <ns0:row r="1957">
      <ns0:c r="A1957" s="215">
        <ns0:f>IF(OR(AH!$P$3=0,1952+1&gt;AH!$P$11,AND(AH!$E$4&lt;&gt;"Stored",AH!$P$10&lt;&gt;1)),"",IFERROR(IF(AND(AH!$P$21=1,1952+1=AH!$P$11),TODAY(),IF(AH!$P$10=1,INDEX('Live History'!$A$5:$A$3004,AH!$P$13+1952),INDEX('AH History'!$A$1:$A$18046,AH!$P$7+1952))),""))</ns0:f>
        <ns0:v/>
      </ns0:c>
      <ns0:c r="B1957" s="219">
        <ns0:f>IFERROR(IF(AND(AH!$P$9&lt;&gt;1,$C1957&gt;0,$D1957&gt;0,$E1957&gt;0,$F1957&gt;0,$G1957&gt;0,$F1957&lt;=$A1957,$G1957&lt;=$A1957,$A1957-$F1957&lt;=10,$A1957-$G1957&lt;=5),$D1957*$E1957/$C1957-1,NA()),NA())</ns0:f>
        <ns0:v/>
      </ns0:c>
      <ns0:c r="C1957">
        <ns0:f>IFERROR(IF(ISNUMBER($A1957),IF(AND(AH!$P$10=1,AH!$P$12=1,$A1957=TODAY()),AH!$P$19,IF(AH!$P$10=1,INDEX('Live History'!$B$5:$B$3004,AH!$P$13+1952),INDEX('AH History'!$B$1:$B$18046,AH!$P$7+1952))),NA()),NA())</ns0:f>
        <ns0:v/>
      </ns0:c>
      <ns0:c r="D1957">
        <ns0:f>IFERROR(IF(ISNUMBER($A1957),IF(AND(AH!$P$10=1,AH!$P$12=1,$A1957=TODAY()),AH!$P$18,IF(AH!$P$10=1,INDEX('Live History'!$E$5:$E$3004,MATCH($A1957,'Live History'!$D$5:$D$3004,1)),INDEX('AH History'!$C$1:$C$18046,AH!$P$7+1952))),NA()),NA())</ns0:f>
        <ns0:v/>
      </ns0:c>
      <ns0:c r="E1957">
        <ns0:f>IFERROR(IF(ISNUMBER($A1957),IF(AND(AH!$P$10=1,AH!$P$12=1,$A1957=TODAY()),AH!$P$20,IF(AH!$P$10=1,INDEX('Live History'!$H$5:$H$3004,MATCH($A1957,'Live History'!$G$5:$G$3004,1)),INDEX('AH History'!$D$1:$D$18046,AH!$P$7+1952))),NA()),NA())</ns0:f>
        <ns0:v/>
      </ns0:c>
      <ns0:c r="F1957">
        <ns0:f>IFERROR(IF(ISNUMBER($A1957),IF(AND(AH!$P$10=1,AH!$P$12=1,$A1957=TODAY()),IF(AND(AH!$P$10=1,AH!$P$12=1,$A1957=TODAY()),TODAY(),NA()),IF(AH!$P$10=1,INDEX('Live History'!$D$5:$D$3004,MATCH($A1957,'Live History'!$D$5:$D$3004,1)),INDEX('AH History'!$E$1:$E$18046,AH!$P$7+1952))),NA()),NA())</ns0:f>
        <ns0:v/>
      </ns0:c>
      <ns0:c r="G1957">
        <ns0:f>IFERROR(IF(ISNUMBER($A1957),IF(AND(AH!$P$10=1,AH!$P$12=1,$A1957=TODAY()),IF(AND(AH!$P$10=1,AH!$P$12=1,$A1957=TODAY()),TODAY(),NA()),IF(AH!$P$10=1,INDEX('Live History'!$G$5:$G$3004,MATCH($A1957,'Live History'!$G$5:$G$3004,1)),INDEX('AH History'!$F$1:$F$18046,AH!$P$7+1952))),NA()),NA())</ns0:f>
        <ns0:v/>
      </ns0:c>
      <ns0:c r="H1957">
        <ns0:f>IFERROR(IF(AND(AH!$E$4="Bloomberg",AH!$P$10=1,ISNUMBER($A1957),$A1957&lt;=AH!$P$17),AH!$P$7-1+MATCH($A1957,INDEX('AH History'!$A$1:$A$18046,AH!$P$7):INDEX('AH History'!$A$1:$A$18046,AH!$P$7+AH!$P$8-1),0),0),0)</ns0:f>
        <ns0:v/>
      </ns0:c>
      <ns0:c r="I1957">
        <ns0:f>IF($H1957=0,0,IFERROR(IF(AND(ABS($C1957-INDEX('AH History'!$B$1:$B$18046,$H1957))&lt;=MAX(0.005,ABS(INDEX('AH History'!$B$1:$B$18046,$H1957))*0.00005),ABS($D1957-INDEX('AH History'!$C$1:$C$18046,$H1957))&lt;=MAX(0.005,ABS(INDEX('AH History'!$C$1:$C$18046,$H1957))*0.00005),ABS($E1957-INDEX('AH History'!$D$1:$D$18046,$H1957))&lt;=0.00005,$F1957=INDEX('AH History'!$E$1:$E$18046,$H1957),$G1957=INDEX('AH History'!$F$1:$F$18046,$H1957)),1,-1),-1))</ns0:f>
        <ns0:v/>
      </ns0:c>
    </ns0:row>
    <ns0:row r="1958">
      <ns0:c r="A1958" s="215">
        <ns0:f>IF(OR(AH!$P$3=0,1953+1&gt;AH!$P$11,AND(AH!$E$4&lt;&gt;"Stored",AH!$P$10&lt;&gt;1)),"",IFERROR(IF(AND(AH!$P$21=1,1953+1=AH!$P$11),TODAY(),IF(AH!$P$10=1,INDEX('Live History'!$A$5:$A$3004,AH!$P$13+1953),INDEX('AH History'!$A$1:$A$18046,AH!$P$7+1953))),""))</ns0:f>
        <ns0:v/>
      </ns0:c>
      <ns0:c r="B1958" s="219">
        <ns0:f>IFERROR(IF(AND(AH!$P$9&lt;&gt;1,$C1958&gt;0,$D1958&gt;0,$E1958&gt;0,$F1958&gt;0,$G1958&gt;0,$F1958&lt;=$A1958,$G1958&lt;=$A1958,$A1958-$F1958&lt;=10,$A1958-$G1958&lt;=5),$D1958*$E1958/$C1958-1,NA()),NA())</ns0:f>
        <ns0:v/>
      </ns0:c>
      <ns0:c r="C1958">
        <ns0:f>IFERROR(IF(ISNUMBER($A1958),IF(AND(AH!$P$10=1,AH!$P$12=1,$A1958=TODAY()),AH!$P$19,IF(AH!$P$10=1,INDEX('Live History'!$B$5:$B$3004,AH!$P$13+1953),INDEX('AH History'!$B$1:$B$18046,AH!$P$7+1953))),NA()),NA())</ns0:f>
        <ns0:v/>
      </ns0:c>
      <ns0:c r="D1958">
        <ns0:f>IFERROR(IF(ISNUMBER($A1958),IF(AND(AH!$P$10=1,AH!$P$12=1,$A1958=TODAY()),AH!$P$18,IF(AH!$P$10=1,INDEX('Live History'!$E$5:$E$3004,MATCH($A1958,'Live History'!$D$5:$D$3004,1)),INDEX('AH History'!$C$1:$C$18046,AH!$P$7+1953))),NA()),NA())</ns0:f>
        <ns0:v/>
      </ns0:c>
      <ns0:c r="E1958">
        <ns0:f>IFERROR(IF(ISNUMBER($A1958),IF(AND(AH!$P$10=1,AH!$P$12=1,$A1958=TODAY()),AH!$P$20,IF(AH!$P$10=1,INDEX('Live History'!$H$5:$H$3004,MATCH($A1958,'Live History'!$G$5:$G$3004,1)),INDEX('AH History'!$D$1:$D$18046,AH!$P$7+1953))),NA()),NA())</ns0:f>
        <ns0:v/>
      </ns0:c>
      <ns0:c r="F1958">
        <ns0:f>IFERROR(IF(ISNUMBER($A1958),IF(AND(AH!$P$10=1,AH!$P$12=1,$A1958=TODAY()),IF(AND(AH!$P$10=1,AH!$P$12=1,$A1958=TODAY()),TODAY(),NA()),IF(AH!$P$10=1,INDEX('Live History'!$D$5:$D$3004,MATCH($A1958,'Live History'!$D$5:$D$3004,1)),INDEX('AH History'!$E$1:$E$18046,AH!$P$7+1953))),NA()),NA())</ns0:f>
        <ns0:v/>
      </ns0:c>
      <ns0:c r="G1958">
        <ns0:f>IFERROR(IF(ISNUMBER($A1958),IF(AND(AH!$P$10=1,AH!$P$12=1,$A1958=TODAY()),IF(AND(AH!$P$10=1,AH!$P$12=1,$A1958=TODAY()),TODAY(),NA()),IF(AH!$P$10=1,INDEX('Live History'!$G$5:$G$3004,MATCH($A1958,'Live History'!$G$5:$G$3004,1)),INDEX('AH History'!$F$1:$F$18046,AH!$P$7+1953))),NA()),NA())</ns0:f>
        <ns0:v/>
      </ns0:c>
      <ns0:c r="H1958">
        <ns0:f>IFERROR(IF(AND(AH!$E$4="Bloomberg",AH!$P$10=1,ISNUMBER($A1958),$A1958&lt;=AH!$P$17),AH!$P$7-1+MATCH($A1958,INDEX('AH History'!$A$1:$A$18046,AH!$P$7):INDEX('AH History'!$A$1:$A$18046,AH!$P$7+AH!$P$8-1),0),0),0)</ns0:f>
        <ns0:v/>
      </ns0:c>
      <ns0:c r="I1958">
        <ns0:f>IF($H1958=0,0,IFERROR(IF(AND(ABS($C1958-INDEX('AH History'!$B$1:$B$18046,$H1958))&lt;=MAX(0.005,ABS(INDEX('AH History'!$B$1:$B$18046,$H1958))*0.00005),ABS($D1958-INDEX('AH History'!$C$1:$C$18046,$H1958))&lt;=MAX(0.005,ABS(INDEX('AH History'!$C$1:$C$18046,$H1958))*0.00005),ABS($E1958-INDEX('AH History'!$D$1:$D$18046,$H1958))&lt;=0.00005,$F1958=INDEX('AH History'!$E$1:$E$18046,$H1958),$G1958=INDEX('AH History'!$F$1:$F$18046,$H1958)),1,-1),-1))</ns0:f>
        <ns0:v/>
      </ns0:c>
    </ns0:row>
    <ns0:row r="1959">
      <ns0:c r="A1959" s="215">
        <ns0:f>IF(OR(AH!$P$3=0,1954+1&gt;AH!$P$11,AND(AH!$E$4&lt;&gt;"Stored",AH!$P$10&lt;&gt;1)),"",IFERROR(IF(AND(AH!$P$21=1,1954+1=AH!$P$11),TODAY(),IF(AH!$P$10=1,INDEX('Live History'!$A$5:$A$3004,AH!$P$13+1954),INDEX('AH History'!$A$1:$A$18046,AH!$P$7+1954))),""))</ns0:f>
        <ns0:v/>
      </ns0:c>
      <ns0:c r="B1959" s="219">
        <ns0:f>IFERROR(IF(AND(AH!$P$9&lt;&gt;1,$C1959&gt;0,$D1959&gt;0,$E1959&gt;0,$F1959&gt;0,$G1959&gt;0,$F1959&lt;=$A1959,$G1959&lt;=$A1959,$A1959-$F1959&lt;=10,$A1959-$G1959&lt;=5),$D1959*$E1959/$C1959-1,NA()),NA())</ns0:f>
        <ns0:v/>
      </ns0:c>
      <ns0:c r="C1959">
        <ns0:f>IFERROR(IF(ISNUMBER($A1959),IF(AND(AH!$P$10=1,AH!$P$12=1,$A1959=TODAY()),AH!$P$19,IF(AH!$P$10=1,INDEX('Live History'!$B$5:$B$3004,AH!$P$13+1954),INDEX('AH History'!$B$1:$B$18046,AH!$P$7+1954))),NA()),NA())</ns0:f>
        <ns0:v/>
      </ns0:c>
      <ns0:c r="D1959">
        <ns0:f>IFERROR(IF(ISNUMBER($A1959),IF(AND(AH!$P$10=1,AH!$P$12=1,$A1959=TODAY()),AH!$P$18,IF(AH!$P$10=1,INDEX('Live History'!$E$5:$E$3004,MATCH($A1959,'Live History'!$D$5:$D$3004,1)),INDEX('AH History'!$C$1:$C$18046,AH!$P$7+1954))),NA()),NA())</ns0:f>
        <ns0:v/>
      </ns0:c>
      <ns0:c r="E1959">
        <ns0:f>IFERROR(IF(ISNUMBER($A1959),IF(AND(AH!$P$10=1,AH!$P$12=1,$A1959=TODAY()),AH!$P$20,IF(AH!$P$10=1,INDEX('Live History'!$H$5:$H$3004,MATCH($A1959,'Live History'!$G$5:$G$3004,1)),INDEX('AH History'!$D$1:$D$18046,AH!$P$7+1954))),NA()),NA())</ns0:f>
        <ns0:v/>
      </ns0:c>
      <ns0:c r="F1959">
        <ns0:f>IFERROR(IF(ISNUMBER($A1959),IF(AND(AH!$P$10=1,AH!$P$12=1,$A1959=TODAY()),IF(AND(AH!$P$10=1,AH!$P$12=1,$A1959=TODAY()),TODAY(),NA()),IF(AH!$P$10=1,INDEX('Live History'!$D$5:$D$3004,MATCH($A1959,'Live History'!$D$5:$D$3004,1)),INDEX('AH History'!$E$1:$E$18046,AH!$P$7+1954))),NA()),NA())</ns0:f>
        <ns0:v/>
      </ns0:c>
      <ns0:c r="G1959">
        <ns0:f>IFERROR(IF(ISNUMBER($A1959),IF(AND(AH!$P$10=1,AH!$P$12=1,$A1959=TODAY()),IF(AND(AH!$P$10=1,AH!$P$12=1,$A1959=TODAY()),TODAY(),NA()),IF(AH!$P$10=1,INDEX('Live History'!$G$5:$G$3004,MATCH($A1959,'Live History'!$G$5:$G$3004,1)),INDEX('AH History'!$F$1:$F$18046,AH!$P$7+1954))),NA()),NA())</ns0:f>
        <ns0:v/>
      </ns0:c>
      <ns0:c r="H1959">
        <ns0:f>IFERROR(IF(AND(AH!$E$4="Bloomberg",AH!$P$10=1,ISNUMBER($A1959),$A1959&lt;=AH!$P$17),AH!$P$7-1+MATCH($A1959,INDEX('AH History'!$A$1:$A$18046,AH!$P$7):INDEX('AH History'!$A$1:$A$18046,AH!$P$7+AH!$P$8-1),0),0),0)</ns0:f>
        <ns0:v/>
      </ns0:c>
      <ns0:c r="I1959">
        <ns0:f>IF($H1959=0,0,IFERROR(IF(AND(ABS($C1959-INDEX('AH History'!$B$1:$B$18046,$H1959))&lt;=MAX(0.005,ABS(INDEX('AH History'!$B$1:$B$18046,$H1959))*0.00005),ABS($D1959-INDEX('AH History'!$C$1:$C$18046,$H1959))&lt;=MAX(0.005,ABS(INDEX('AH History'!$C$1:$C$18046,$H1959))*0.00005),ABS($E1959-INDEX('AH History'!$D$1:$D$18046,$H1959))&lt;=0.00005,$F1959=INDEX('AH History'!$E$1:$E$18046,$H1959),$G1959=INDEX('AH History'!$F$1:$F$18046,$H1959)),1,-1),-1))</ns0:f>
        <ns0:v/>
      </ns0:c>
    </ns0:row>
    <ns0:row r="1960">
      <ns0:c r="A1960" s="215">
        <ns0:f>IF(OR(AH!$P$3=0,1955+1&gt;AH!$P$11,AND(AH!$E$4&lt;&gt;"Stored",AH!$P$10&lt;&gt;1)),"",IFERROR(IF(AND(AH!$P$21=1,1955+1=AH!$P$11),TODAY(),IF(AH!$P$10=1,INDEX('Live History'!$A$5:$A$3004,AH!$P$13+1955),INDEX('AH History'!$A$1:$A$18046,AH!$P$7+1955))),""))</ns0:f>
        <ns0:v/>
      </ns0:c>
      <ns0:c r="B1960" s="219">
        <ns0:f>IFERROR(IF(AND(AH!$P$9&lt;&gt;1,$C1960&gt;0,$D1960&gt;0,$E1960&gt;0,$F1960&gt;0,$G1960&gt;0,$F1960&lt;=$A1960,$G1960&lt;=$A1960,$A1960-$F1960&lt;=10,$A1960-$G1960&lt;=5),$D1960*$E1960/$C1960-1,NA()),NA())</ns0:f>
        <ns0:v/>
      </ns0:c>
      <ns0:c r="C1960">
        <ns0:f>IFERROR(IF(ISNUMBER($A1960),IF(AND(AH!$P$10=1,AH!$P$12=1,$A1960=TODAY()),AH!$P$19,IF(AH!$P$10=1,INDEX('Live History'!$B$5:$B$3004,AH!$P$13+1955),INDEX('AH History'!$B$1:$B$18046,AH!$P$7+1955))),NA()),NA())</ns0:f>
        <ns0:v/>
      </ns0:c>
      <ns0:c r="D1960">
        <ns0:f>IFERROR(IF(ISNUMBER($A1960),IF(AND(AH!$P$10=1,AH!$P$12=1,$A1960=TODAY()),AH!$P$18,IF(AH!$P$10=1,INDEX('Live History'!$E$5:$E$3004,MATCH($A1960,'Live History'!$D$5:$D$3004,1)),INDEX('AH History'!$C$1:$C$18046,AH!$P$7+1955))),NA()),NA())</ns0:f>
        <ns0:v/>
      </ns0:c>
      <ns0:c r="E1960">
        <ns0:f>IFERROR(IF(ISNUMBER($A1960),IF(AND(AH!$P$10=1,AH!$P$12=1,$A1960=TODAY()),AH!$P$20,IF(AH!$P$10=1,INDEX('Live History'!$H$5:$H$3004,MATCH($A1960,'Live History'!$G$5:$G$3004,1)),INDEX('AH History'!$D$1:$D$18046,AH!$P$7+1955))),NA()),NA())</ns0:f>
        <ns0:v/>
      </ns0:c>
      <ns0:c r="F1960">
        <ns0:f>IFERROR(IF(ISNUMBER($A1960),IF(AND(AH!$P$10=1,AH!$P$12=1,$A1960=TODAY()),IF(AND(AH!$P$10=1,AH!$P$12=1,$A1960=TODAY()),TODAY(),NA()),IF(AH!$P$10=1,INDEX('Live History'!$D$5:$D$3004,MATCH($A1960,'Live History'!$D$5:$D$3004,1)),INDEX('AH History'!$E$1:$E$18046,AH!$P$7+1955))),NA()),NA())</ns0:f>
        <ns0:v/>
      </ns0:c>
      <ns0:c r="G1960">
        <ns0:f>IFERROR(IF(ISNUMBER($A1960),IF(AND(AH!$P$10=1,AH!$P$12=1,$A1960=TODAY()),IF(AND(AH!$P$10=1,AH!$P$12=1,$A1960=TODAY()),TODAY(),NA()),IF(AH!$P$10=1,INDEX('Live History'!$G$5:$G$3004,MATCH($A1960,'Live History'!$G$5:$G$3004,1)),INDEX('AH History'!$F$1:$F$18046,AH!$P$7+1955))),NA()),NA())</ns0:f>
        <ns0:v/>
      </ns0:c>
      <ns0:c r="H1960">
        <ns0:f>IFERROR(IF(AND(AH!$E$4="Bloomberg",AH!$P$10=1,ISNUMBER($A1960),$A1960&lt;=AH!$P$17),AH!$P$7-1+MATCH($A1960,INDEX('AH History'!$A$1:$A$18046,AH!$P$7):INDEX('AH History'!$A$1:$A$18046,AH!$P$7+AH!$P$8-1),0),0),0)</ns0:f>
        <ns0:v/>
      </ns0:c>
      <ns0:c r="I1960">
        <ns0:f>IF($H1960=0,0,IFERROR(IF(AND(ABS($C1960-INDEX('AH History'!$B$1:$B$18046,$H1960))&lt;=MAX(0.005,ABS(INDEX('AH History'!$B$1:$B$18046,$H1960))*0.00005),ABS($D1960-INDEX('AH History'!$C$1:$C$18046,$H1960))&lt;=MAX(0.005,ABS(INDEX('AH History'!$C$1:$C$18046,$H1960))*0.00005),ABS($E1960-INDEX('AH History'!$D$1:$D$18046,$H1960))&lt;=0.00005,$F1960=INDEX('AH History'!$E$1:$E$18046,$H1960),$G1960=INDEX('AH History'!$F$1:$F$18046,$H1960)),1,-1),-1))</ns0:f>
        <ns0:v/>
      </ns0:c>
    </ns0:row>
    <ns0:row r="1961">
      <ns0:c r="A1961" s="215">
        <ns0:f>IF(OR(AH!$P$3=0,1956+1&gt;AH!$P$11,AND(AH!$E$4&lt;&gt;"Stored",AH!$P$10&lt;&gt;1)),"",IFERROR(IF(AND(AH!$P$21=1,1956+1=AH!$P$11),TODAY(),IF(AH!$P$10=1,INDEX('Live History'!$A$5:$A$3004,AH!$P$13+1956),INDEX('AH History'!$A$1:$A$18046,AH!$P$7+1956))),""))</ns0:f>
        <ns0:v/>
      </ns0:c>
      <ns0:c r="B1961" s="219">
        <ns0:f>IFERROR(IF(AND(AH!$P$9&lt;&gt;1,$C1961&gt;0,$D1961&gt;0,$E1961&gt;0,$F1961&gt;0,$G1961&gt;0,$F1961&lt;=$A1961,$G1961&lt;=$A1961,$A1961-$F1961&lt;=10,$A1961-$G1961&lt;=5),$D1961*$E1961/$C1961-1,NA()),NA())</ns0:f>
        <ns0:v/>
      </ns0:c>
      <ns0:c r="C1961">
        <ns0:f>IFERROR(IF(ISNUMBER($A1961),IF(AND(AH!$P$10=1,AH!$P$12=1,$A1961=TODAY()),AH!$P$19,IF(AH!$P$10=1,INDEX('Live History'!$B$5:$B$3004,AH!$P$13+1956),INDEX('AH History'!$B$1:$B$18046,AH!$P$7+1956))),NA()),NA())</ns0:f>
        <ns0:v/>
      </ns0:c>
      <ns0:c r="D1961">
        <ns0:f>IFERROR(IF(ISNUMBER($A1961),IF(AND(AH!$P$10=1,AH!$P$12=1,$A1961=TODAY()),AH!$P$18,IF(AH!$P$10=1,INDEX('Live History'!$E$5:$E$3004,MATCH($A1961,'Live History'!$D$5:$D$3004,1)),INDEX('AH History'!$C$1:$C$18046,AH!$P$7+1956))),NA()),NA())</ns0:f>
        <ns0:v/>
      </ns0:c>
      <ns0:c r="E1961">
        <ns0:f>IFERROR(IF(ISNUMBER($A1961),IF(AND(AH!$P$10=1,AH!$P$12=1,$A1961=TODAY()),AH!$P$20,IF(AH!$P$10=1,INDEX('Live History'!$H$5:$H$3004,MATCH($A1961,'Live History'!$G$5:$G$3004,1)),INDEX('AH History'!$D$1:$D$18046,AH!$P$7+1956))),NA()),NA())</ns0:f>
        <ns0:v/>
      </ns0:c>
      <ns0:c r="F1961">
        <ns0:f>IFERROR(IF(ISNUMBER($A1961),IF(AND(AH!$P$10=1,AH!$P$12=1,$A1961=TODAY()),IF(AND(AH!$P$10=1,AH!$P$12=1,$A1961=TODAY()),TODAY(),NA()),IF(AH!$P$10=1,INDEX('Live History'!$D$5:$D$3004,MATCH($A1961,'Live History'!$D$5:$D$3004,1)),INDEX('AH History'!$E$1:$E$18046,AH!$P$7+1956))),NA()),NA())</ns0:f>
        <ns0:v/>
      </ns0:c>
      <ns0:c r="G1961">
        <ns0:f>IFERROR(IF(ISNUMBER($A1961),IF(AND(AH!$P$10=1,AH!$P$12=1,$A1961=TODAY()),IF(AND(AH!$P$10=1,AH!$P$12=1,$A1961=TODAY()),TODAY(),NA()),IF(AH!$P$10=1,INDEX('Live History'!$G$5:$G$3004,MATCH($A1961,'Live History'!$G$5:$G$3004,1)),INDEX('AH History'!$F$1:$F$18046,AH!$P$7+1956))),NA()),NA())</ns0:f>
        <ns0:v/>
      </ns0:c>
      <ns0:c r="H1961">
        <ns0:f>IFERROR(IF(AND(AH!$E$4="Bloomberg",AH!$P$10=1,ISNUMBER($A1961),$A1961&lt;=AH!$P$17),AH!$P$7-1+MATCH($A1961,INDEX('AH History'!$A$1:$A$18046,AH!$P$7):INDEX('AH History'!$A$1:$A$18046,AH!$P$7+AH!$P$8-1),0),0),0)</ns0:f>
        <ns0:v/>
      </ns0:c>
      <ns0:c r="I1961">
        <ns0:f>IF($H1961=0,0,IFERROR(IF(AND(ABS($C1961-INDEX('AH History'!$B$1:$B$18046,$H1961))&lt;=MAX(0.005,ABS(INDEX('AH History'!$B$1:$B$18046,$H1961))*0.00005),ABS($D1961-INDEX('AH History'!$C$1:$C$18046,$H1961))&lt;=MAX(0.005,ABS(INDEX('AH History'!$C$1:$C$18046,$H1961))*0.00005),ABS($E1961-INDEX('AH History'!$D$1:$D$18046,$H1961))&lt;=0.00005,$F1961=INDEX('AH History'!$E$1:$E$18046,$H1961),$G1961=INDEX('AH History'!$F$1:$F$18046,$H1961)),1,-1),-1))</ns0:f>
        <ns0:v/>
      </ns0:c>
    </ns0:row>
    <ns0:row r="1962">
      <ns0:c r="A1962" s="215">
        <ns0:f>IF(OR(AH!$P$3=0,1957+1&gt;AH!$P$11,AND(AH!$E$4&lt;&gt;"Stored",AH!$P$10&lt;&gt;1)),"",IFERROR(IF(AND(AH!$P$21=1,1957+1=AH!$P$11),TODAY(),IF(AH!$P$10=1,INDEX('Live History'!$A$5:$A$3004,AH!$P$13+1957),INDEX('AH History'!$A$1:$A$18046,AH!$P$7+1957))),""))</ns0:f>
        <ns0:v/>
      </ns0:c>
      <ns0:c r="B1962" s="219">
        <ns0:f>IFERROR(IF(AND(AH!$P$9&lt;&gt;1,$C1962&gt;0,$D1962&gt;0,$E1962&gt;0,$F1962&gt;0,$G1962&gt;0,$F1962&lt;=$A1962,$G1962&lt;=$A1962,$A1962-$F1962&lt;=10,$A1962-$G1962&lt;=5),$D1962*$E1962/$C1962-1,NA()),NA())</ns0:f>
        <ns0:v/>
      </ns0:c>
      <ns0:c r="C1962">
        <ns0:f>IFERROR(IF(ISNUMBER($A1962),IF(AND(AH!$P$10=1,AH!$P$12=1,$A1962=TODAY()),AH!$P$19,IF(AH!$P$10=1,INDEX('Live History'!$B$5:$B$3004,AH!$P$13+1957),INDEX('AH History'!$B$1:$B$18046,AH!$P$7+1957))),NA()),NA())</ns0:f>
        <ns0:v/>
      </ns0:c>
      <ns0:c r="D1962">
        <ns0:f>IFERROR(IF(ISNUMBER($A1962),IF(AND(AH!$P$10=1,AH!$P$12=1,$A1962=TODAY()),AH!$P$18,IF(AH!$P$10=1,INDEX('Live History'!$E$5:$E$3004,MATCH($A1962,'Live History'!$D$5:$D$3004,1)),INDEX('AH History'!$C$1:$C$18046,AH!$P$7+1957))),NA()),NA())</ns0:f>
        <ns0:v/>
      </ns0:c>
      <ns0:c r="E1962">
        <ns0:f>IFERROR(IF(ISNUMBER($A1962),IF(AND(AH!$P$10=1,AH!$P$12=1,$A1962=TODAY()),AH!$P$20,IF(AH!$P$10=1,INDEX('Live History'!$H$5:$H$3004,MATCH($A1962,'Live History'!$G$5:$G$3004,1)),INDEX('AH History'!$D$1:$D$18046,AH!$P$7+1957))),NA()),NA())</ns0:f>
        <ns0:v/>
      </ns0:c>
      <ns0:c r="F1962">
        <ns0:f>IFERROR(IF(ISNUMBER($A1962),IF(AND(AH!$P$10=1,AH!$P$12=1,$A1962=TODAY()),IF(AND(AH!$P$10=1,AH!$P$12=1,$A1962=TODAY()),TODAY(),NA()),IF(AH!$P$10=1,INDEX('Live History'!$D$5:$D$3004,MATCH($A1962,'Live History'!$D$5:$D$3004,1)),INDEX('AH History'!$E$1:$E$18046,AH!$P$7+1957))),NA()),NA())</ns0:f>
        <ns0:v/>
      </ns0:c>
      <ns0:c r="G1962">
        <ns0:f>IFERROR(IF(ISNUMBER($A1962),IF(AND(AH!$P$10=1,AH!$P$12=1,$A1962=TODAY()),IF(AND(AH!$P$10=1,AH!$P$12=1,$A1962=TODAY()),TODAY(),NA()),IF(AH!$P$10=1,INDEX('Live History'!$G$5:$G$3004,MATCH($A1962,'Live History'!$G$5:$G$3004,1)),INDEX('AH History'!$F$1:$F$18046,AH!$P$7+1957))),NA()),NA())</ns0:f>
        <ns0:v/>
      </ns0:c>
      <ns0:c r="H1962">
        <ns0:f>IFERROR(IF(AND(AH!$E$4="Bloomberg",AH!$P$10=1,ISNUMBER($A1962),$A1962&lt;=AH!$P$17),AH!$P$7-1+MATCH($A1962,INDEX('AH History'!$A$1:$A$18046,AH!$P$7):INDEX('AH History'!$A$1:$A$18046,AH!$P$7+AH!$P$8-1),0),0),0)</ns0:f>
        <ns0:v/>
      </ns0:c>
      <ns0:c r="I1962">
        <ns0:f>IF($H1962=0,0,IFERROR(IF(AND(ABS($C1962-INDEX('AH History'!$B$1:$B$18046,$H1962))&lt;=MAX(0.005,ABS(INDEX('AH History'!$B$1:$B$18046,$H1962))*0.00005),ABS($D1962-INDEX('AH History'!$C$1:$C$18046,$H1962))&lt;=MAX(0.005,ABS(INDEX('AH History'!$C$1:$C$18046,$H1962))*0.00005),ABS($E1962-INDEX('AH History'!$D$1:$D$18046,$H1962))&lt;=0.00005,$F1962=INDEX('AH History'!$E$1:$E$18046,$H1962),$G1962=INDEX('AH History'!$F$1:$F$18046,$H1962)),1,-1),-1))</ns0:f>
        <ns0:v/>
      </ns0:c>
    </ns0:row>
    <ns0:row r="1963">
      <ns0:c r="A1963" s="215">
        <ns0:f>IF(OR(AH!$P$3=0,1958+1&gt;AH!$P$11,AND(AH!$E$4&lt;&gt;"Stored",AH!$P$10&lt;&gt;1)),"",IFERROR(IF(AND(AH!$P$21=1,1958+1=AH!$P$11),TODAY(),IF(AH!$P$10=1,INDEX('Live History'!$A$5:$A$3004,AH!$P$13+1958),INDEX('AH History'!$A$1:$A$18046,AH!$P$7+1958))),""))</ns0:f>
        <ns0:v/>
      </ns0:c>
      <ns0:c r="B1963" s="219">
        <ns0:f>IFERROR(IF(AND(AH!$P$9&lt;&gt;1,$C1963&gt;0,$D1963&gt;0,$E1963&gt;0,$F1963&gt;0,$G1963&gt;0,$F1963&lt;=$A1963,$G1963&lt;=$A1963,$A1963-$F1963&lt;=10,$A1963-$G1963&lt;=5),$D1963*$E1963/$C1963-1,NA()),NA())</ns0:f>
        <ns0:v/>
      </ns0:c>
      <ns0:c r="C1963">
        <ns0:f>IFERROR(IF(ISNUMBER($A1963),IF(AND(AH!$P$10=1,AH!$P$12=1,$A1963=TODAY()),AH!$P$19,IF(AH!$P$10=1,INDEX('Live History'!$B$5:$B$3004,AH!$P$13+1958),INDEX('AH History'!$B$1:$B$18046,AH!$P$7+1958))),NA()),NA())</ns0:f>
        <ns0:v/>
      </ns0:c>
      <ns0:c r="D1963">
        <ns0:f>IFERROR(IF(ISNUMBER($A1963),IF(AND(AH!$P$10=1,AH!$P$12=1,$A1963=TODAY()),AH!$P$18,IF(AH!$P$10=1,INDEX('Live History'!$E$5:$E$3004,MATCH($A1963,'Live History'!$D$5:$D$3004,1)),INDEX('AH History'!$C$1:$C$18046,AH!$P$7+1958))),NA()),NA())</ns0:f>
        <ns0:v/>
      </ns0:c>
      <ns0:c r="E1963">
        <ns0:f>IFERROR(IF(ISNUMBER($A1963),IF(AND(AH!$P$10=1,AH!$P$12=1,$A1963=TODAY()),AH!$P$20,IF(AH!$P$10=1,INDEX('Live History'!$H$5:$H$3004,MATCH($A1963,'Live History'!$G$5:$G$3004,1)),INDEX('AH History'!$D$1:$D$18046,AH!$P$7+1958))),NA()),NA())</ns0:f>
        <ns0:v/>
      </ns0:c>
      <ns0:c r="F1963">
        <ns0:f>IFERROR(IF(ISNUMBER($A1963),IF(AND(AH!$P$10=1,AH!$P$12=1,$A1963=TODAY()),IF(AND(AH!$P$10=1,AH!$P$12=1,$A1963=TODAY()),TODAY(),NA()),IF(AH!$P$10=1,INDEX('Live History'!$D$5:$D$3004,MATCH($A1963,'Live History'!$D$5:$D$3004,1)),INDEX('AH History'!$E$1:$E$18046,AH!$P$7+1958))),NA()),NA())</ns0:f>
        <ns0:v/>
      </ns0:c>
      <ns0:c r="G1963">
        <ns0:f>IFERROR(IF(ISNUMBER($A1963),IF(AND(AH!$P$10=1,AH!$P$12=1,$A1963=TODAY()),IF(AND(AH!$P$10=1,AH!$P$12=1,$A1963=TODAY()),TODAY(),NA()),IF(AH!$P$10=1,INDEX('Live History'!$G$5:$G$3004,MATCH($A1963,'Live History'!$G$5:$G$3004,1)),INDEX('AH History'!$F$1:$F$18046,AH!$P$7+1958))),NA()),NA())</ns0:f>
        <ns0:v/>
      </ns0:c>
      <ns0:c r="H1963">
        <ns0:f>IFERROR(IF(AND(AH!$E$4="Bloomberg",AH!$P$10=1,ISNUMBER($A1963),$A1963&lt;=AH!$P$17),AH!$P$7-1+MATCH($A1963,INDEX('AH History'!$A$1:$A$18046,AH!$P$7):INDEX('AH History'!$A$1:$A$18046,AH!$P$7+AH!$P$8-1),0),0),0)</ns0:f>
        <ns0:v/>
      </ns0:c>
      <ns0:c r="I1963">
        <ns0:f>IF($H1963=0,0,IFERROR(IF(AND(ABS($C1963-INDEX('AH History'!$B$1:$B$18046,$H1963))&lt;=MAX(0.005,ABS(INDEX('AH History'!$B$1:$B$18046,$H1963))*0.00005),ABS($D1963-INDEX('AH History'!$C$1:$C$18046,$H1963))&lt;=MAX(0.005,ABS(INDEX('AH History'!$C$1:$C$18046,$H1963))*0.00005),ABS($E1963-INDEX('AH History'!$D$1:$D$18046,$H1963))&lt;=0.00005,$F1963=INDEX('AH History'!$E$1:$E$18046,$H1963),$G1963=INDEX('AH History'!$F$1:$F$18046,$H1963)),1,-1),-1))</ns0:f>
        <ns0:v/>
      </ns0:c>
    </ns0:row>
    <ns0:row r="1964">
      <ns0:c r="A1964" s="215">
        <ns0:f>IF(OR(AH!$P$3=0,1959+1&gt;AH!$P$11,AND(AH!$E$4&lt;&gt;"Stored",AH!$P$10&lt;&gt;1)),"",IFERROR(IF(AND(AH!$P$21=1,1959+1=AH!$P$11),TODAY(),IF(AH!$P$10=1,INDEX('Live History'!$A$5:$A$3004,AH!$P$13+1959),INDEX('AH History'!$A$1:$A$18046,AH!$P$7+1959))),""))</ns0:f>
        <ns0:v/>
      </ns0:c>
      <ns0:c r="B1964" s="219">
        <ns0:f>IFERROR(IF(AND(AH!$P$9&lt;&gt;1,$C1964&gt;0,$D1964&gt;0,$E1964&gt;0,$F1964&gt;0,$G1964&gt;0,$F1964&lt;=$A1964,$G1964&lt;=$A1964,$A1964-$F1964&lt;=10,$A1964-$G1964&lt;=5),$D1964*$E1964/$C1964-1,NA()),NA())</ns0:f>
        <ns0:v/>
      </ns0:c>
      <ns0:c r="C1964">
        <ns0:f>IFERROR(IF(ISNUMBER($A1964),IF(AND(AH!$P$10=1,AH!$P$12=1,$A1964=TODAY()),AH!$P$19,IF(AH!$P$10=1,INDEX('Live History'!$B$5:$B$3004,AH!$P$13+1959),INDEX('AH History'!$B$1:$B$18046,AH!$P$7+1959))),NA()),NA())</ns0:f>
        <ns0:v/>
      </ns0:c>
      <ns0:c r="D1964">
        <ns0:f>IFERROR(IF(ISNUMBER($A1964),IF(AND(AH!$P$10=1,AH!$P$12=1,$A1964=TODAY()),AH!$P$18,IF(AH!$P$10=1,INDEX('Live History'!$E$5:$E$3004,MATCH($A1964,'Live History'!$D$5:$D$3004,1)),INDEX('AH History'!$C$1:$C$18046,AH!$P$7+1959))),NA()),NA())</ns0:f>
        <ns0:v/>
      </ns0:c>
      <ns0:c r="E1964">
        <ns0:f>IFERROR(IF(ISNUMBER($A1964),IF(AND(AH!$P$10=1,AH!$P$12=1,$A1964=TODAY()),AH!$P$20,IF(AH!$P$10=1,INDEX('Live History'!$H$5:$H$3004,MATCH($A1964,'Live History'!$G$5:$G$3004,1)),INDEX('AH History'!$D$1:$D$18046,AH!$P$7+1959))),NA()),NA())</ns0:f>
        <ns0:v/>
      </ns0:c>
      <ns0:c r="F1964">
        <ns0:f>IFERROR(IF(ISNUMBER($A1964),IF(AND(AH!$P$10=1,AH!$P$12=1,$A1964=TODAY()),IF(AND(AH!$P$10=1,AH!$P$12=1,$A1964=TODAY()),TODAY(),NA()),IF(AH!$P$10=1,INDEX('Live History'!$D$5:$D$3004,MATCH($A1964,'Live History'!$D$5:$D$3004,1)),INDEX('AH History'!$E$1:$E$18046,AH!$P$7+1959))),NA()),NA())</ns0:f>
        <ns0:v/>
      </ns0:c>
      <ns0:c r="G1964">
        <ns0:f>IFERROR(IF(ISNUMBER($A1964),IF(AND(AH!$P$10=1,AH!$P$12=1,$A1964=TODAY()),IF(AND(AH!$P$10=1,AH!$P$12=1,$A1964=TODAY()),TODAY(),NA()),IF(AH!$P$10=1,INDEX('Live History'!$G$5:$G$3004,MATCH($A1964,'Live History'!$G$5:$G$3004,1)),INDEX('AH History'!$F$1:$F$18046,AH!$P$7+1959))),NA()),NA())</ns0:f>
        <ns0:v/>
      </ns0:c>
      <ns0:c r="H1964">
        <ns0:f>IFERROR(IF(AND(AH!$E$4="Bloomberg",AH!$P$10=1,ISNUMBER($A1964),$A1964&lt;=AH!$P$17),AH!$P$7-1+MATCH($A1964,INDEX('AH History'!$A$1:$A$18046,AH!$P$7):INDEX('AH History'!$A$1:$A$18046,AH!$P$7+AH!$P$8-1),0),0),0)</ns0:f>
        <ns0:v/>
      </ns0:c>
      <ns0:c r="I1964">
        <ns0:f>IF($H1964=0,0,IFERROR(IF(AND(ABS($C1964-INDEX('AH History'!$B$1:$B$18046,$H1964))&lt;=MAX(0.005,ABS(INDEX('AH History'!$B$1:$B$18046,$H1964))*0.00005),ABS($D1964-INDEX('AH History'!$C$1:$C$18046,$H1964))&lt;=MAX(0.005,ABS(INDEX('AH History'!$C$1:$C$18046,$H1964))*0.00005),ABS($E1964-INDEX('AH History'!$D$1:$D$18046,$H1964))&lt;=0.00005,$F1964=INDEX('AH History'!$E$1:$E$18046,$H1964),$G1964=INDEX('AH History'!$F$1:$F$18046,$H1964)),1,-1),-1))</ns0:f>
        <ns0:v/>
      </ns0:c>
    </ns0:row>
    <ns0:row r="1965">
      <ns0:c r="A1965" s="215">
        <ns0:f>IF(OR(AH!$P$3=0,1960+1&gt;AH!$P$11,AND(AH!$E$4&lt;&gt;"Stored",AH!$P$10&lt;&gt;1)),"",IFERROR(IF(AND(AH!$P$21=1,1960+1=AH!$P$11),TODAY(),IF(AH!$P$10=1,INDEX('Live History'!$A$5:$A$3004,AH!$P$13+1960),INDEX('AH History'!$A$1:$A$18046,AH!$P$7+1960))),""))</ns0:f>
        <ns0:v/>
      </ns0:c>
      <ns0:c r="B1965" s="219">
        <ns0:f>IFERROR(IF(AND(AH!$P$9&lt;&gt;1,$C1965&gt;0,$D1965&gt;0,$E1965&gt;0,$F1965&gt;0,$G1965&gt;0,$F1965&lt;=$A1965,$G1965&lt;=$A1965,$A1965-$F1965&lt;=10,$A1965-$G1965&lt;=5),$D1965*$E1965/$C1965-1,NA()),NA())</ns0:f>
        <ns0:v/>
      </ns0:c>
      <ns0:c r="C1965">
        <ns0:f>IFERROR(IF(ISNUMBER($A1965),IF(AND(AH!$P$10=1,AH!$P$12=1,$A1965=TODAY()),AH!$P$19,IF(AH!$P$10=1,INDEX('Live History'!$B$5:$B$3004,AH!$P$13+1960),INDEX('AH History'!$B$1:$B$18046,AH!$P$7+1960))),NA()),NA())</ns0:f>
        <ns0:v/>
      </ns0:c>
      <ns0:c r="D1965">
        <ns0:f>IFERROR(IF(ISNUMBER($A1965),IF(AND(AH!$P$10=1,AH!$P$12=1,$A1965=TODAY()),AH!$P$18,IF(AH!$P$10=1,INDEX('Live History'!$E$5:$E$3004,MATCH($A1965,'Live History'!$D$5:$D$3004,1)),INDEX('AH History'!$C$1:$C$18046,AH!$P$7+1960))),NA()),NA())</ns0:f>
        <ns0:v/>
      </ns0:c>
      <ns0:c r="E1965">
        <ns0:f>IFERROR(IF(ISNUMBER($A1965),IF(AND(AH!$P$10=1,AH!$P$12=1,$A1965=TODAY()),AH!$P$20,IF(AH!$P$10=1,INDEX('Live History'!$H$5:$H$3004,MATCH($A1965,'Live History'!$G$5:$G$3004,1)),INDEX('AH History'!$D$1:$D$18046,AH!$P$7+1960))),NA()),NA())</ns0:f>
        <ns0:v/>
      </ns0:c>
      <ns0:c r="F1965">
        <ns0:f>IFERROR(IF(ISNUMBER($A1965),IF(AND(AH!$P$10=1,AH!$P$12=1,$A1965=TODAY()),IF(AND(AH!$P$10=1,AH!$P$12=1,$A1965=TODAY()),TODAY(),NA()),IF(AH!$P$10=1,INDEX('Live History'!$D$5:$D$3004,MATCH($A1965,'Live History'!$D$5:$D$3004,1)),INDEX('AH History'!$E$1:$E$18046,AH!$P$7+1960))),NA()),NA())</ns0:f>
        <ns0:v/>
      </ns0:c>
      <ns0:c r="G1965">
        <ns0:f>IFERROR(IF(ISNUMBER($A1965),IF(AND(AH!$P$10=1,AH!$P$12=1,$A1965=TODAY()),IF(AND(AH!$P$10=1,AH!$P$12=1,$A1965=TODAY()),TODAY(),NA()),IF(AH!$P$10=1,INDEX('Live History'!$G$5:$G$3004,MATCH($A1965,'Live History'!$G$5:$G$3004,1)),INDEX('AH History'!$F$1:$F$18046,AH!$P$7+1960))),NA()),NA())</ns0:f>
        <ns0:v/>
      </ns0:c>
      <ns0:c r="H1965">
        <ns0:f>IFERROR(IF(AND(AH!$E$4="Bloomberg",AH!$P$10=1,ISNUMBER($A1965),$A1965&lt;=AH!$P$17),AH!$P$7-1+MATCH($A1965,INDEX('AH History'!$A$1:$A$18046,AH!$P$7):INDEX('AH History'!$A$1:$A$18046,AH!$P$7+AH!$P$8-1),0),0),0)</ns0:f>
        <ns0:v/>
      </ns0:c>
      <ns0:c r="I1965">
        <ns0:f>IF($H1965=0,0,IFERROR(IF(AND(ABS($C1965-INDEX('AH History'!$B$1:$B$18046,$H1965))&lt;=MAX(0.005,ABS(INDEX('AH History'!$B$1:$B$18046,$H1965))*0.00005),ABS($D1965-INDEX('AH History'!$C$1:$C$18046,$H1965))&lt;=MAX(0.005,ABS(INDEX('AH History'!$C$1:$C$18046,$H1965))*0.00005),ABS($E1965-INDEX('AH History'!$D$1:$D$18046,$H1965))&lt;=0.00005,$F1965=INDEX('AH History'!$E$1:$E$18046,$H1965),$G1965=INDEX('AH History'!$F$1:$F$18046,$H1965)),1,-1),-1))</ns0:f>
        <ns0:v/>
      </ns0:c>
    </ns0:row>
    <ns0:row r="1966">
      <ns0:c r="A1966" s="215">
        <ns0:f>IF(OR(AH!$P$3=0,1961+1&gt;AH!$P$11,AND(AH!$E$4&lt;&gt;"Stored",AH!$P$10&lt;&gt;1)),"",IFERROR(IF(AND(AH!$P$21=1,1961+1=AH!$P$11),TODAY(),IF(AH!$P$10=1,INDEX('Live History'!$A$5:$A$3004,AH!$P$13+1961),INDEX('AH History'!$A$1:$A$18046,AH!$P$7+1961))),""))</ns0:f>
        <ns0:v/>
      </ns0:c>
      <ns0:c r="B1966" s="219">
        <ns0:f>IFERROR(IF(AND(AH!$P$9&lt;&gt;1,$C1966&gt;0,$D1966&gt;0,$E1966&gt;0,$F1966&gt;0,$G1966&gt;0,$F1966&lt;=$A1966,$G1966&lt;=$A1966,$A1966-$F1966&lt;=10,$A1966-$G1966&lt;=5),$D1966*$E1966/$C1966-1,NA()),NA())</ns0:f>
        <ns0:v/>
      </ns0:c>
      <ns0:c r="C1966">
        <ns0:f>IFERROR(IF(ISNUMBER($A1966),IF(AND(AH!$P$10=1,AH!$P$12=1,$A1966=TODAY()),AH!$P$19,IF(AH!$P$10=1,INDEX('Live History'!$B$5:$B$3004,AH!$P$13+1961),INDEX('AH History'!$B$1:$B$18046,AH!$P$7+1961))),NA()),NA())</ns0:f>
        <ns0:v/>
      </ns0:c>
      <ns0:c r="D1966">
        <ns0:f>IFERROR(IF(ISNUMBER($A1966),IF(AND(AH!$P$10=1,AH!$P$12=1,$A1966=TODAY()),AH!$P$18,IF(AH!$P$10=1,INDEX('Live History'!$E$5:$E$3004,MATCH($A1966,'Live History'!$D$5:$D$3004,1)),INDEX('AH History'!$C$1:$C$18046,AH!$P$7+1961))),NA()),NA())</ns0:f>
        <ns0:v/>
      </ns0:c>
      <ns0:c r="E1966">
        <ns0:f>IFERROR(IF(ISNUMBER($A1966),IF(AND(AH!$P$10=1,AH!$P$12=1,$A1966=TODAY()),AH!$P$20,IF(AH!$P$10=1,INDEX('Live History'!$H$5:$H$3004,MATCH($A1966,'Live History'!$G$5:$G$3004,1)),INDEX('AH History'!$D$1:$D$18046,AH!$P$7+1961))),NA()),NA())</ns0:f>
        <ns0:v/>
      </ns0:c>
      <ns0:c r="F1966">
        <ns0:f>IFERROR(IF(ISNUMBER($A1966),IF(AND(AH!$P$10=1,AH!$P$12=1,$A1966=TODAY()),IF(AND(AH!$P$10=1,AH!$P$12=1,$A1966=TODAY()),TODAY(),NA()),IF(AH!$P$10=1,INDEX('Live History'!$D$5:$D$3004,MATCH($A1966,'Live History'!$D$5:$D$3004,1)),INDEX('AH History'!$E$1:$E$18046,AH!$P$7+1961))),NA()),NA())</ns0:f>
        <ns0:v/>
      </ns0:c>
      <ns0:c r="G1966">
        <ns0:f>IFERROR(IF(ISNUMBER($A1966),IF(AND(AH!$P$10=1,AH!$P$12=1,$A1966=TODAY()),IF(AND(AH!$P$10=1,AH!$P$12=1,$A1966=TODAY()),TODAY(),NA()),IF(AH!$P$10=1,INDEX('Live History'!$G$5:$G$3004,MATCH($A1966,'Live History'!$G$5:$G$3004,1)),INDEX('AH History'!$F$1:$F$18046,AH!$P$7+1961))),NA()),NA())</ns0:f>
        <ns0:v/>
      </ns0:c>
      <ns0:c r="H1966">
        <ns0:f>IFERROR(IF(AND(AH!$E$4="Bloomberg",AH!$P$10=1,ISNUMBER($A1966),$A1966&lt;=AH!$P$17),AH!$P$7-1+MATCH($A1966,INDEX('AH History'!$A$1:$A$18046,AH!$P$7):INDEX('AH History'!$A$1:$A$18046,AH!$P$7+AH!$P$8-1),0),0),0)</ns0:f>
        <ns0:v/>
      </ns0:c>
      <ns0:c r="I1966">
        <ns0:f>IF($H1966=0,0,IFERROR(IF(AND(ABS($C1966-INDEX('AH History'!$B$1:$B$18046,$H1966))&lt;=MAX(0.005,ABS(INDEX('AH History'!$B$1:$B$18046,$H1966))*0.00005),ABS($D1966-INDEX('AH History'!$C$1:$C$18046,$H1966))&lt;=MAX(0.005,ABS(INDEX('AH History'!$C$1:$C$18046,$H1966))*0.00005),ABS($E1966-INDEX('AH History'!$D$1:$D$18046,$H1966))&lt;=0.00005,$F1966=INDEX('AH History'!$E$1:$E$18046,$H1966),$G1966=INDEX('AH History'!$F$1:$F$18046,$H1966)),1,-1),-1))</ns0:f>
        <ns0:v/>
      </ns0:c>
    </ns0:row>
    <ns0:row r="1967">
      <ns0:c r="A1967" s="215">
        <ns0:f>IF(OR(AH!$P$3=0,1962+1&gt;AH!$P$11,AND(AH!$E$4&lt;&gt;"Stored",AH!$P$10&lt;&gt;1)),"",IFERROR(IF(AND(AH!$P$21=1,1962+1=AH!$P$11),TODAY(),IF(AH!$P$10=1,INDEX('Live History'!$A$5:$A$3004,AH!$P$13+1962),INDEX('AH History'!$A$1:$A$18046,AH!$P$7+1962))),""))</ns0:f>
        <ns0:v/>
      </ns0:c>
      <ns0:c r="B1967" s="219">
        <ns0:f>IFERROR(IF(AND(AH!$P$9&lt;&gt;1,$C1967&gt;0,$D1967&gt;0,$E1967&gt;0,$F1967&gt;0,$G1967&gt;0,$F1967&lt;=$A1967,$G1967&lt;=$A1967,$A1967-$F1967&lt;=10,$A1967-$G1967&lt;=5),$D1967*$E1967/$C1967-1,NA()),NA())</ns0:f>
        <ns0:v/>
      </ns0:c>
      <ns0:c r="C1967">
        <ns0:f>IFERROR(IF(ISNUMBER($A1967),IF(AND(AH!$P$10=1,AH!$P$12=1,$A1967=TODAY()),AH!$P$19,IF(AH!$P$10=1,INDEX('Live History'!$B$5:$B$3004,AH!$P$13+1962),INDEX('AH History'!$B$1:$B$18046,AH!$P$7+1962))),NA()),NA())</ns0:f>
        <ns0:v/>
      </ns0:c>
      <ns0:c r="D1967">
        <ns0:f>IFERROR(IF(ISNUMBER($A1967),IF(AND(AH!$P$10=1,AH!$P$12=1,$A1967=TODAY()),AH!$P$18,IF(AH!$P$10=1,INDEX('Live History'!$E$5:$E$3004,MATCH($A1967,'Live History'!$D$5:$D$3004,1)),INDEX('AH History'!$C$1:$C$18046,AH!$P$7+1962))),NA()),NA())</ns0:f>
        <ns0:v/>
      </ns0:c>
      <ns0:c r="E1967">
        <ns0:f>IFERROR(IF(ISNUMBER($A1967),IF(AND(AH!$P$10=1,AH!$P$12=1,$A1967=TODAY()),AH!$P$20,IF(AH!$P$10=1,INDEX('Live History'!$H$5:$H$3004,MATCH($A1967,'Live History'!$G$5:$G$3004,1)),INDEX('AH History'!$D$1:$D$18046,AH!$P$7+1962))),NA()),NA())</ns0:f>
        <ns0:v/>
      </ns0:c>
      <ns0:c r="F1967">
        <ns0:f>IFERROR(IF(ISNUMBER($A1967),IF(AND(AH!$P$10=1,AH!$P$12=1,$A1967=TODAY()),IF(AND(AH!$P$10=1,AH!$P$12=1,$A1967=TODAY()),TODAY(),NA()),IF(AH!$P$10=1,INDEX('Live History'!$D$5:$D$3004,MATCH($A1967,'Live History'!$D$5:$D$3004,1)),INDEX('AH History'!$E$1:$E$18046,AH!$P$7+1962))),NA()),NA())</ns0:f>
        <ns0:v/>
      </ns0:c>
      <ns0:c r="G1967">
        <ns0:f>IFERROR(IF(ISNUMBER($A1967),IF(AND(AH!$P$10=1,AH!$P$12=1,$A1967=TODAY()),IF(AND(AH!$P$10=1,AH!$P$12=1,$A1967=TODAY()),TODAY(),NA()),IF(AH!$P$10=1,INDEX('Live History'!$G$5:$G$3004,MATCH($A1967,'Live History'!$G$5:$G$3004,1)),INDEX('AH History'!$F$1:$F$18046,AH!$P$7+1962))),NA()),NA())</ns0:f>
        <ns0:v/>
      </ns0:c>
      <ns0:c r="H1967">
        <ns0:f>IFERROR(IF(AND(AH!$E$4="Bloomberg",AH!$P$10=1,ISNUMBER($A1967),$A1967&lt;=AH!$P$17),AH!$P$7-1+MATCH($A1967,INDEX('AH History'!$A$1:$A$18046,AH!$P$7):INDEX('AH History'!$A$1:$A$18046,AH!$P$7+AH!$P$8-1),0),0),0)</ns0:f>
        <ns0:v/>
      </ns0:c>
      <ns0:c r="I1967">
        <ns0:f>IF($H1967=0,0,IFERROR(IF(AND(ABS($C1967-INDEX('AH History'!$B$1:$B$18046,$H1967))&lt;=MAX(0.005,ABS(INDEX('AH History'!$B$1:$B$18046,$H1967))*0.00005),ABS($D1967-INDEX('AH History'!$C$1:$C$18046,$H1967))&lt;=MAX(0.005,ABS(INDEX('AH History'!$C$1:$C$18046,$H1967))*0.00005),ABS($E1967-INDEX('AH History'!$D$1:$D$18046,$H1967))&lt;=0.00005,$F1967=INDEX('AH History'!$E$1:$E$18046,$H1967),$G1967=INDEX('AH History'!$F$1:$F$18046,$H1967)),1,-1),-1))</ns0:f>
        <ns0:v/>
      </ns0:c>
    </ns0:row>
    <ns0:row r="1968">
      <ns0:c r="A1968" s="215">
        <ns0:f>IF(OR(AH!$P$3=0,1963+1&gt;AH!$P$11,AND(AH!$E$4&lt;&gt;"Stored",AH!$P$10&lt;&gt;1)),"",IFERROR(IF(AND(AH!$P$21=1,1963+1=AH!$P$11),TODAY(),IF(AH!$P$10=1,INDEX('Live History'!$A$5:$A$3004,AH!$P$13+1963),INDEX('AH History'!$A$1:$A$18046,AH!$P$7+1963))),""))</ns0:f>
        <ns0:v/>
      </ns0:c>
      <ns0:c r="B1968" s="219">
        <ns0:f>IFERROR(IF(AND(AH!$P$9&lt;&gt;1,$C1968&gt;0,$D1968&gt;0,$E1968&gt;0,$F1968&gt;0,$G1968&gt;0,$F1968&lt;=$A1968,$G1968&lt;=$A1968,$A1968-$F1968&lt;=10,$A1968-$G1968&lt;=5),$D1968*$E1968/$C1968-1,NA()),NA())</ns0:f>
        <ns0:v/>
      </ns0:c>
      <ns0:c r="C1968">
        <ns0:f>IFERROR(IF(ISNUMBER($A1968),IF(AND(AH!$P$10=1,AH!$P$12=1,$A1968=TODAY()),AH!$P$19,IF(AH!$P$10=1,INDEX('Live History'!$B$5:$B$3004,AH!$P$13+1963),INDEX('AH History'!$B$1:$B$18046,AH!$P$7+1963))),NA()),NA())</ns0:f>
        <ns0:v/>
      </ns0:c>
      <ns0:c r="D1968">
        <ns0:f>IFERROR(IF(ISNUMBER($A1968),IF(AND(AH!$P$10=1,AH!$P$12=1,$A1968=TODAY()),AH!$P$18,IF(AH!$P$10=1,INDEX('Live History'!$E$5:$E$3004,MATCH($A1968,'Live History'!$D$5:$D$3004,1)),INDEX('AH History'!$C$1:$C$18046,AH!$P$7+1963))),NA()),NA())</ns0:f>
        <ns0:v/>
      </ns0:c>
      <ns0:c r="E1968">
        <ns0:f>IFERROR(IF(ISNUMBER($A1968),IF(AND(AH!$P$10=1,AH!$P$12=1,$A1968=TODAY()),AH!$P$20,IF(AH!$P$10=1,INDEX('Live History'!$H$5:$H$3004,MATCH($A1968,'Live History'!$G$5:$G$3004,1)),INDEX('AH History'!$D$1:$D$18046,AH!$P$7+1963))),NA()),NA())</ns0:f>
        <ns0:v/>
      </ns0:c>
      <ns0:c r="F1968">
        <ns0:f>IFERROR(IF(ISNUMBER($A1968),IF(AND(AH!$P$10=1,AH!$P$12=1,$A1968=TODAY()),IF(AND(AH!$P$10=1,AH!$P$12=1,$A1968=TODAY()),TODAY(),NA()),IF(AH!$P$10=1,INDEX('Live History'!$D$5:$D$3004,MATCH($A1968,'Live History'!$D$5:$D$3004,1)),INDEX('AH History'!$E$1:$E$18046,AH!$P$7+1963))),NA()),NA())</ns0:f>
        <ns0:v/>
      </ns0:c>
      <ns0:c r="G1968">
        <ns0:f>IFERROR(IF(ISNUMBER($A1968),IF(AND(AH!$P$10=1,AH!$P$12=1,$A1968=TODAY()),IF(AND(AH!$P$10=1,AH!$P$12=1,$A1968=TODAY()),TODAY(),NA()),IF(AH!$P$10=1,INDEX('Live History'!$G$5:$G$3004,MATCH($A1968,'Live History'!$G$5:$G$3004,1)),INDEX('AH History'!$F$1:$F$18046,AH!$P$7+1963))),NA()),NA())</ns0:f>
        <ns0:v/>
      </ns0:c>
      <ns0:c r="H1968">
        <ns0:f>IFERROR(IF(AND(AH!$E$4="Bloomberg",AH!$P$10=1,ISNUMBER($A1968),$A1968&lt;=AH!$P$17),AH!$P$7-1+MATCH($A1968,INDEX('AH History'!$A$1:$A$18046,AH!$P$7):INDEX('AH History'!$A$1:$A$18046,AH!$P$7+AH!$P$8-1),0),0),0)</ns0:f>
        <ns0:v/>
      </ns0:c>
      <ns0:c r="I1968">
        <ns0:f>IF($H1968=0,0,IFERROR(IF(AND(ABS($C1968-INDEX('AH History'!$B$1:$B$18046,$H1968))&lt;=MAX(0.005,ABS(INDEX('AH History'!$B$1:$B$18046,$H1968))*0.00005),ABS($D1968-INDEX('AH History'!$C$1:$C$18046,$H1968))&lt;=MAX(0.005,ABS(INDEX('AH History'!$C$1:$C$18046,$H1968))*0.00005),ABS($E1968-INDEX('AH History'!$D$1:$D$18046,$H1968))&lt;=0.00005,$F1968=INDEX('AH History'!$E$1:$E$18046,$H1968),$G1968=INDEX('AH History'!$F$1:$F$18046,$H1968)),1,-1),-1))</ns0:f>
        <ns0:v/>
      </ns0:c>
    </ns0:row>
    <ns0:row r="1969">
      <ns0:c r="A1969" s="215">
        <ns0:f>IF(OR(AH!$P$3=0,1964+1&gt;AH!$P$11,AND(AH!$E$4&lt;&gt;"Stored",AH!$P$10&lt;&gt;1)),"",IFERROR(IF(AND(AH!$P$21=1,1964+1=AH!$P$11),TODAY(),IF(AH!$P$10=1,INDEX('Live History'!$A$5:$A$3004,AH!$P$13+1964),INDEX('AH History'!$A$1:$A$18046,AH!$P$7+1964))),""))</ns0:f>
        <ns0:v/>
      </ns0:c>
      <ns0:c r="B1969" s="219">
        <ns0:f>IFERROR(IF(AND(AH!$P$9&lt;&gt;1,$C1969&gt;0,$D1969&gt;0,$E1969&gt;0,$F1969&gt;0,$G1969&gt;0,$F1969&lt;=$A1969,$G1969&lt;=$A1969,$A1969-$F1969&lt;=10,$A1969-$G1969&lt;=5),$D1969*$E1969/$C1969-1,NA()),NA())</ns0:f>
        <ns0:v/>
      </ns0:c>
      <ns0:c r="C1969">
        <ns0:f>IFERROR(IF(ISNUMBER($A1969),IF(AND(AH!$P$10=1,AH!$P$12=1,$A1969=TODAY()),AH!$P$19,IF(AH!$P$10=1,INDEX('Live History'!$B$5:$B$3004,AH!$P$13+1964),INDEX('AH History'!$B$1:$B$18046,AH!$P$7+1964))),NA()),NA())</ns0:f>
        <ns0:v/>
      </ns0:c>
      <ns0:c r="D1969">
        <ns0:f>IFERROR(IF(ISNUMBER($A1969),IF(AND(AH!$P$10=1,AH!$P$12=1,$A1969=TODAY()),AH!$P$18,IF(AH!$P$10=1,INDEX('Live History'!$E$5:$E$3004,MATCH($A1969,'Live History'!$D$5:$D$3004,1)),INDEX('AH History'!$C$1:$C$18046,AH!$P$7+1964))),NA()),NA())</ns0:f>
        <ns0:v/>
      </ns0:c>
      <ns0:c r="E1969">
        <ns0:f>IFERROR(IF(ISNUMBER($A1969),IF(AND(AH!$P$10=1,AH!$P$12=1,$A1969=TODAY()),AH!$P$20,IF(AH!$P$10=1,INDEX('Live History'!$H$5:$H$3004,MATCH($A1969,'Live History'!$G$5:$G$3004,1)),INDEX('AH History'!$D$1:$D$18046,AH!$P$7+1964))),NA()),NA())</ns0:f>
        <ns0:v/>
      </ns0:c>
      <ns0:c r="F1969">
        <ns0:f>IFERROR(IF(ISNUMBER($A1969),IF(AND(AH!$P$10=1,AH!$P$12=1,$A1969=TODAY()),IF(AND(AH!$P$10=1,AH!$P$12=1,$A1969=TODAY()),TODAY(),NA()),IF(AH!$P$10=1,INDEX('Live History'!$D$5:$D$3004,MATCH($A1969,'Live History'!$D$5:$D$3004,1)),INDEX('AH History'!$E$1:$E$18046,AH!$P$7+1964))),NA()),NA())</ns0:f>
        <ns0:v/>
      </ns0:c>
      <ns0:c r="G1969">
        <ns0:f>IFERROR(IF(ISNUMBER($A1969),IF(AND(AH!$P$10=1,AH!$P$12=1,$A1969=TODAY()),IF(AND(AH!$P$10=1,AH!$P$12=1,$A1969=TODAY()),TODAY(),NA()),IF(AH!$P$10=1,INDEX('Live History'!$G$5:$G$3004,MATCH($A1969,'Live History'!$G$5:$G$3004,1)),INDEX('AH History'!$F$1:$F$18046,AH!$P$7+1964))),NA()),NA())</ns0:f>
        <ns0:v/>
      </ns0:c>
      <ns0:c r="H1969">
        <ns0:f>IFERROR(IF(AND(AH!$E$4="Bloomberg",AH!$P$10=1,ISNUMBER($A1969),$A1969&lt;=AH!$P$17),AH!$P$7-1+MATCH($A1969,INDEX('AH History'!$A$1:$A$18046,AH!$P$7):INDEX('AH History'!$A$1:$A$18046,AH!$P$7+AH!$P$8-1),0),0),0)</ns0:f>
        <ns0:v/>
      </ns0:c>
      <ns0:c r="I1969">
        <ns0:f>IF($H1969=0,0,IFERROR(IF(AND(ABS($C1969-INDEX('AH History'!$B$1:$B$18046,$H1969))&lt;=MAX(0.005,ABS(INDEX('AH History'!$B$1:$B$18046,$H1969))*0.00005),ABS($D1969-INDEX('AH History'!$C$1:$C$18046,$H1969))&lt;=MAX(0.005,ABS(INDEX('AH History'!$C$1:$C$18046,$H1969))*0.00005),ABS($E1969-INDEX('AH History'!$D$1:$D$18046,$H1969))&lt;=0.00005,$F1969=INDEX('AH History'!$E$1:$E$18046,$H1969),$G1969=INDEX('AH History'!$F$1:$F$18046,$H1969)),1,-1),-1))</ns0:f>
        <ns0:v/>
      </ns0:c>
    </ns0:row>
    <ns0:row r="1970">
      <ns0:c r="A1970" s="215">
        <ns0:f>IF(OR(AH!$P$3=0,1965+1&gt;AH!$P$11,AND(AH!$E$4&lt;&gt;"Stored",AH!$P$10&lt;&gt;1)),"",IFERROR(IF(AND(AH!$P$21=1,1965+1=AH!$P$11),TODAY(),IF(AH!$P$10=1,INDEX('Live History'!$A$5:$A$3004,AH!$P$13+1965),INDEX('AH History'!$A$1:$A$18046,AH!$P$7+1965))),""))</ns0:f>
        <ns0:v/>
      </ns0:c>
      <ns0:c r="B1970" s="219">
        <ns0:f>IFERROR(IF(AND(AH!$P$9&lt;&gt;1,$C1970&gt;0,$D1970&gt;0,$E1970&gt;0,$F1970&gt;0,$G1970&gt;0,$F1970&lt;=$A1970,$G1970&lt;=$A1970,$A1970-$F1970&lt;=10,$A1970-$G1970&lt;=5),$D1970*$E1970/$C1970-1,NA()),NA())</ns0:f>
        <ns0:v/>
      </ns0:c>
      <ns0:c r="C1970">
        <ns0:f>IFERROR(IF(ISNUMBER($A1970),IF(AND(AH!$P$10=1,AH!$P$12=1,$A1970=TODAY()),AH!$P$19,IF(AH!$P$10=1,INDEX('Live History'!$B$5:$B$3004,AH!$P$13+1965),INDEX('AH History'!$B$1:$B$18046,AH!$P$7+1965))),NA()),NA())</ns0:f>
        <ns0:v/>
      </ns0:c>
      <ns0:c r="D1970">
        <ns0:f>IFERROR(IF(ISNUMBER($A1970),IF(AND(AH!$P$10=1,AH!$P$12=1,$A1970=TODAY()),AH!$P$18,IF(AH!$P$10=1,INDEX('Live History'!$E$5:$E$3004,MATCH($A1970,'Live History'!$D$5:$D$3004,1)),INDEX('AH History'!$C$1:$C$18046,AH!$P$7+1965))),NA()),NA())</ns0:f>
        <ns0:v/>
      </ns0:c>
      <ns0:c r="E1970">
        <ns0:f>IFERROR(IF(ISNUMBER($A1970),IF(AND(AH!$P$10=1,AH!$P$12=1,$A1970=TODAY()),AH!$P$20,IF(AH!$P$10=1,INDEX('Live History'!$H$5:$H$3004,MATCH($A1970,'Live History'!$G$5:$G$3004,1)),INDEX('AH History'!$D$1:$D$18046,AH!$P$7+1965))),NA()),NA())</ns0:f>
        <ns0:v/>
      </ns0:c>
      <ns0:c r="F1970">
        <ns0:f>IFERROR(IF(ISNUMBER($A1970),IF(AND(AH!$P$10=1,AH!$P$12=1,$A1970=TODAY()),IF(AND(AH!$P$10=1,AH!$P$12=1,$A1970=TODAY()),TODAY(),NA()),IF(AH!$P$10=1,INDEX('Live History'!$D$5:$D$3004,MATCH($A1970,'Live History'!$D$5:$D$3004,1)),INDEX('AH History'!$E$1:$E$18046,AH!$P$7+1965))),NA()),NA())</ns0:f>
        <ns0:v/>
      </ns0:c>
      <ns0:c r="G1970">
        <ns0:f>IFERROR(IF(ISNUMBER($A1970),IF(AND(AH!$P$10=1,AH!$P$12=1,$A1970=TODAY()),IF(AND(AH!$P$10=1,AH!$P$12=1,$A1970=TODAY()),TODAY(),NA()),IF(AH!$P$10=1,INDEX('Live History'!$G$5:$G$3004,MATCH($A1970,'Live History'!$G$5:$G$3004,1)),INDEX('AH History'!$F$1:$F$18046,AH!$P$7+1965))),NA()),NA())</ns0:f>
        <ns0:v/>
      </ns0:c>
      <ns0:c r="H1970">
        <ns0:f>IFERROR(IF(AND(AH!$E$4="Bloomberg",AH!$P$10=1,ISNUMBER($A1970),$A1970&lt;=AH!$P$17),AH!$P$7-1+MATCH($A1970,INDEX('AH History'!$A$1:$A$18046,AH!$P$7):INDEX('AH History'!$A$1:$A$18046,AH!$P$7+AH!$P$8-1),0),0),0)</ns0:f>
        <ns0:v/>
      </ns0:c>
      <ns0:c r="I1970">
        <ns0:f>IF($H1970=0,0,IFERROR(IF(AND(ABS($C1970-INDEX('AH History'!$B$1:$B$18046,$H1970))&lt;=MAX(0.005,ABS(INDEX('AH History'!$B$1:$B$18046,$H1970))*0.00005),ABS($D1970-INDEX('AH History'!$C$1:$C$18046,$H1970))&lt;=MAX(0.005,ABS(INDEX('AH History'!$C$1:$C$18046,$H1970))*0.00005),ABS($E1970-INDEX('AH History'!$D$1:$D$18046,$H1970))&lt;=0.00005,$F1970=INDEX('AH History'!$E$1:$E$18046,$H1970),$G1970=INDEX('AH History'!$F$1:$F$18046,$H1970)),1,-1),-1))</ns0:f>
        <ns0:v/>
      </ns0:c>
    </ns0:row>
    <ns0:row r="1971">
      <ns0:c r="A1971" s="215">
        <ns0:f>IF(OR(AH!$P$3=0,1966+1&gt;AH!$P$11,AND(AH!$E$4&lt;&gt;"Stored",AH!$P$10&lt;&gt;1)),"",IFERROR(IF(AND(AH!$P$21=1,1966+1=AH!$P$11),TODAY(),IF(AH!$P$10=1,INDEX('Live History'!$A$5:$A$3004,AH!$P$13+1966),INDEX('AH History'!$A$1:$A$18046,AH!$P$7+1966))),""))</ns0:f>
        <ns0:v/>
      </ns0:c>
      <ns0:c r="B1971" s="219">
        <ns0:f>IFERROR(IF(AND(AH!$P$9&lt;&gt;1,$C1971&gt;0,$D1971&gt;0,$E1971&gt;0,$F1971&gt;0,$G1971&gt;0,$F1971&lt;=$A1971,$G1971&lt;=$A1971,$A1971-$F1971&lt;=10,$A1971-$G1971&lt;=5),$D1971*$E1971/$C1971-1,NA()),NA())</ns0:f>
        <ns0:v/>
      </ns0:c>
      <ns0:c r="C1971">
        <ns0:f>IFERROR(IF(ISNUMBER($A1971),IF(AND(AH!$P$10=1,AH!$P$12=1,$A1971=TODAY()),AH!$P$19,IF(AH!$P$10=1,INDEX('Live History'!$B$5:$B$3004,AH!$P$13+1966),INDEX('AH History'!$B$1:$B$18046,AH!$P$7+1966))),NA()),NA())</ns0:f>
        <ns0:v/>
      </ns0:c>
      <ns0:c r="D1971">
        <ns0:f>IFERROR(IF(ISNUMBER($A1971),IF(AND(AH!$P$10=1,AH!$P$12=1,$A1971=TODAY()),AH!$P$18,IF(AH!$P$10=1,INDEX('Live History'!$E$5:$E$3004,MATCH($A1971,'Live History'!$D$5:$D$3004,1)),INDEX('AH History'!$C$1:$C$18046,AH!$P$7+1966))),NA()),NA())</ns0:f>
        <ns0:v/>
      </ns0:c>
      <ns0:c r="E1971">
        <ns0:f>IFERROR(IF(ISNUMBER($A1971),IF(AND(AH!$P$10=1,AH!$P$12=1,$A1971=TODAY()),AH!$P$20,IF(AH!$P$10=1,INDEX('Live History'!$H$5:$H$3004,MATCH($A1971,'Live History'!$G$5:$G$3004,1)),INDEX('AH History'!$D$1:$D$18046,AH!$P$7+1966))),NA()),NA())</ns0:f>
        <ns0:v/>
      </ns0:c>
      <ns0:c r="F1971">
        <ns0:f>IFERROR(IF(ISNUMBER($A1971),IF(AND(AH!$P$10=1,AH!$P$12=1,$A1971=TODAY()),IF(AND(AH!$P$10=1,AH!$P$12=1,$A1971=TODAY()),TODAY(),NA()),IF(AH!$P$10=1,INDEX('Live History'!$D$5:$D$3004,MATCH($A1971,'Live History'!$D$5:$D$3004,1)),INDEX('AH History'!$E$1:$E$18046,AH!$P$7+1966))),NA()),NA())</ns0:f>
        <ns0:v/>
      </ns0:c>
      <ns0:c r="G1971">
        <ns0:f>IFERROR(IF(ISNUMBER($A1971),IF(AND(AH!$P$10=1,AH!$P$12=1,$A1971=TODAY()),IF(AND(AH!$P$10=1,AH!$P$12=1,$A1971=TODAY()),TODAY(),NA()),IF(AH!$P$10=1,INDEX('Live History'!$G$5:$G$3004,MATCH($A1971,'Live History'!$G$5:$G$3004,1)),INDEX('AH History'!$F$1:$F$18046,AH!$P$7+1966))),NA()),NA())</ns0:f>
        <ns0:v/>
      </ns0:c>
      <ns0:c r="H1971">
        <ns0:f>IFERROR(IF(AND(AH!$E$4="Bloomberg",AH!$P$10=1,ISNUMBER($A1971),$A1971&lt;=AH!$P$17),AH!$P$7-1+MATCH($A1971,INDEX('AH History'!$A$1:$A$18046,AH!$P$7):INDEX('AH History'!$A$1:$A$18046,AH!$P$7+AH!$P$8-1),0),0),0)</ns0:f>
        <ns0:v/>
      </ns0:c>
      <ns0:c r="I1971">
        <ns0:f>IF($H1971=0,0,IFERROR(IF(AND(ABS($C1971-INDEX('AH History'!$B$1:$B$18046,$H1971))&lt;=MAX(0.005,ABS(INDEX('AH History'!$B$1:$B$18046,$H1971))*0.00005),ABS($D1971-INDEX('AH History'!$C$1:$C$18046,$H1971))&lt;=MAX(0.005,ABS(INDEX('AH History'!$C$1:$C$18046,$H1971))*0.00005),ABS($E1971-INDEX('AH History'!$D$1:$D$18046,$H1971))&lt;=0.00005,$F1971=INDEX('AH History'!$E$1:$E$18046,$H1971),$G1971=INDEX('AH History'!$F$1:$F$18046,$H1971)),1,-1),-1))</ns0:f>
        <ns0:v/>
      </ns0:c>
    </ns0:row>
    <ns0:row r="1972">
      <ns0:c r="A1972" s="215">
        <ns0:f>IF(OR(AH!$P$3=0,1967+1&gt;AH!$P$11,AND(AH!$E$4&lt;&gt;"Stored",AH!$P$10&lt;&gt;1)),"",IFERROR(IF(AND(AH!$P$21=1,1967+1=AH!$P$11),TODAY(),IF(AH!$P$10=1,INDEX('Live History'!$A$5:$A$3004,AH!$P$13+1967),INDEX('AH History'!$A$1:$A$18046,AH!$P$7+1967))),""))</ns0:f>
        <ns0:v/>
      </ns0:c>
      <ns0:c r="B1972" s="219">
        <ns0:f>IFERROR(IF(AND(AH!$P$9&lt;&gt;1,$C1972&gt;0,$D1972&gt;0,$E1972&gt;0,$F1972&gt;0,$G1972&gt;0,$F1972&lt;=$A1972,$G1972&lt;=$A1972,$A1972-$F1972&lt;=10,$A1972-$G1972&lt;=5),$D1972*$E1972/$C1972-1,NA()),NA())</ns0:f>
        <ns0:v/>
      </ns0:c>
      <ns0:c r="C1972">
        <ns0:f>IFERROR(IF(ISNUMBER($A1972),IF(AND(AH!$P$10=1,AH!$P$12=1,$A1972=TODAY()),AH!$P$19,IF(AH!$P$10=1,INDEX('Live History'!$B$5:$B$3004,AH!$P$13+1967),INDEX('AH History'!$B$1:$B$18046,AH!$P$7+1967))),NA()),NA())</ns0:f>
        <ns0:v/>
      </ns0:c>
      <ns0:c r="D1972">
        <ns0:f>IFERROR(IF(ISNUMBER($A1972),IF(AND(AH!$P$10=1,AH!$P$12=1,$A1972=TODAY()),AH!$P$18,IF(AH!$P$10=1,INDEX('Live History'!$E$5:$E$3004,MATCH($A1972,'Live History'!$D$5:$D$3004,1)),INDEX('AH History'!$C$1:$C$18046,AH!$P$7+1967))),NA()),NA())</ns0:f>
        <ns0:v/>
      </ns0:c>
      <ns0:c r="E1972">
        <ns0:f>IFERROR(IF(ISNUMBER($A1972),IF(AND(AH!$P$10=1,AH!$P$12=1,$A1972=TODAY()),AH!$P$20,IF(AH!$P$10=1,INDEX('Live History'!$H$5:$H$3004,MATCH($A1972,'Live History'!$G$5:$G$3004,1)),INDEX('AH History'!$D$1:$D$18046,AH!$P$7+1967))),NA()),NA())</ns0:f>
        <ns0:v/>
      </ns0:c>
      <ns0:c r="F1972">
        <ns0:f>IFERROR(IF(ISNUMBER($A1972),IF(AND(AH!$P$10=1,AH!$P$12=1,$A1972=TODAY()),IF(AND(AH!$P$10=1,AH!$P$12=1,$A1972=TODAY()),TODAY(),NA()),IF(AH!$P$10=1,INDEX('Live History'!$D$5:$D$3004,MATCH($A1972,'Live History'!$D$5:$D$3004,1)),INDEX('AH History'!$E$1:$E$18046,AH!$P$7+1967))),NA()),NA())</ns0:f>
        <ns0:v/>
      </ns0:c>
      <ns0:c r="G1972">
        <ns0:f>IFERROR(IF(ISNUMBER($A1972),IF(AND(AH!$P$10=1,AH!$P$12=1,$A1972=TODAY()),IF(AND(AH!$P$10=1,AH!$P$12=1,$A1972=TODAY()),TODAY(),NA()),IF(AH!$P$10=1,INDEX('Live History'!$G$5:$G$3004,MATCH($A1972,'Live History'!$G$5:$G$3004,1)),INDEX('AH History'!$F$1:$F$18046,AH!$P$7+1967))),NA()),NA())</ns0:f>
        <ns0:v/>
      </ns0:c>
      <ns0:c r="H1972">
        <ns0:f>IFERROR(IF(AND(AH!$E$4="Bloomberg",AH!$P$10=1,ISNUMBER($A1972),$A1972&lt;=AH!$P$17),AH!$P$7-1+MATCH($A1972,INDEX('AH History'!$A$1:$A$18046,AH!$P$7):INDEX('AH History'!$A$1:$A$18046,AH!$P$7+AH!$P$8-1),0),0),0)</ns0:f>
        <ns0:v/>
      </ns0:c>
      <ns0:c r="I1972">
        <ns0:f>IF($H1972=0,0,IFERROR(IF(AND(ABS($C1972-INDEX('AH History'!$B$1:$B$18046,$H1972))&lt;=MAX(0.005,ABS(INDEX('AH History'!$B$1:$B$18046,$H1972))*0.00005),ABS($D1972-INDEX('AH History'!$C$1:$C$18046,$H1972))&lt;=MAX(0.005,ABS(INDEX('AH History'!$C$1:$C$18046,$H1972))*0.00005),ABS($E1972-INDEX('AH History'!$D$1:$D$18046,$H1972))&lt;=0.00005,$F1972=INDEX('AH History'!$E$1:$E$18046,$H1972),$G1972=INDEX('AH History'!$F$1:$F$18046,$H1972)),1,-1),-1))</ns0:f>
        <ns0:v/>
      </ns0:c>
    </ns0:row>
    <ns0:row r="1973">
      <ns0:c r="A1973" s="215">
        <ns0:f>IF(OR(AH!$P$3=0,1968+1&gt;AH!$P$11,AND(AH!$E$4&lt;&gt;"Stored",AH!$P$10&lt;&gt;1)),"",IFERROR(IF(AND(AH!$P$21=1,1968+1=AH!$P$11),TODAY(),IF(AH!$P$10=1,INDEX('Live History'!$A$5:$A$3004,AH!$P$13+1968),INDEX('AH History'!$A$1:$A$18046,AH!$P$7+1968))),""))</ns0:f>
        <ns0:v/>
      </ns0:c>
      <ns0:c r="B1973" s="219">
        <ns0:f>IFERROR(IF(AND(AH!$P$9&lt;&gt;1,$C1973&gt;0,$D1973&gt;0,$E1973&gt;0,$F1973&gt;0,$G1973&gt;0,$F1973&lt;=$A1973,$G1973&lt;=$A1973,$A1973-$F1973&lt;=10,$A1973-$G1973&lt;=5),$D1973*$E1973/$C1973-1,NA()),NA())</ns0:f>
        <ns0:v/>
      </ns0:c>
      <ns0:c r="C1973">
        <ns0:f>IFERROR(IF(ISNUMBER($A1973),IF(AND(AH!$P$10=1,AH!$P$12=1,$A1973=TODAY()),AH!$P$19,IF(AH!$P$10=1,INDEX('Live History'!$B$5:$B$3004,AH!$P$13+1968),INDEX('AH History'!$B$1:$B$18046,AH!$P$7+1968))),NA()),NA())</ns0:f>
        <ns0:v/>
      </ns0:c>
      <ns0:c r="D1973">
        <ns0:f>IFERROR(IF(ISNUMBER($A1973),IF(AND(AH!$P$10=1,AH!$P$12=1,$A1973=TODAY()),AH!$P$18,IF(AH!$P$10=1,INDEX('Live History'!$E$5:$E$3004,MATCH($A1973,'Live History'!$D$5:$D$3004,1)),INDEX('AH History'!$C$1:$C$18046,AH!$P$7+1968))),NA()),NA())</ns0:f>
        <ns0:v/>
      </ns0:c>
      <ns0:c r="E1973">
        <ns0:f>IFERROR(IF(ISNUMBER($A1973),IF(AND(AH!$P$10=1,AH!$P$12=1,$A1973=TODAY()),AH!$P$20,IF(AH!$P$10=1,INDEX('Live History'!$H$5:$H$3004,MATCH($A1973,'Live History'!$G$5:$G$3004,1)),INDEX('AH History'!$D$1:$D$18046,AH!$P$7+1968))),NA()),NA())</ns0:f>
        <ns0:v/>
      </ns0:c>
      <ns0:c r="F1973">
        <ns0:f>IFERROR(IF(ISNUMBER($A1973),IF(AND(AH!$P$10=1,AH!$P$12=1,$A1973=TODAY()),IF(AND(AH!$P$10=1,AH!$P$12=1,$A1973=TODAY()),TODAY(),NA()),IF(AH!$P$10=1,INDEX('Live History'!$D$5:$D$3004,MATCH($A1973,'Live History'!$D$5:$D$3004,1)),INDEX('AH History'!$E$1:$E$18046,AH!$P$7+1968))),NA()),NA())</ns0:f>
        <ns0:v/>
      </ns0:c>
      <ns0:c r="G1973">
        <ns0:f>IFERROR(IF(ISNUMBER($A1973),IF(AND(AH!$P$10=1,AH!$P$12=1,$A1973=TODAY()),IF(AND(AH!$P$10=1,AH!$P$12=1,$A1973=TODAY()),TODAY(),NA()),IF(AH!$P$10=1,INDEX('Live History'!$G$5:$G$3004,MATCH($A1973,'Live History'!$G$5:$G$3004,1)),INDEX('AH History'!$F$1:$F$18046,AH!$P$7+1968))),NA()),NA())</ns0:f>
        <ns0:v/>
      </ns0:c>
      <ns0:c r="H1973">
        <ns0:f>IFERROR(IF(AND(AH!$E$4="Bloomberg",AH!$P$10=1,ISNUMBER($A1973),$A1973&lt;=AH!$P$17),AH!$P$7-1+MATCH($A1973,INDEX('AH History'!$A$1:$A$18046,AH!$P$7):INDEX('AH History'!$A$1:$A$18046,AH!$P$7+AH!$P$8-1),0),0),0)</ns0:f>
        <ns0:v/>
      </ns0:c>
      <ns0:c r="I1973">
        <ns0:f>IF($H1973=0,0,IFERROR(IF(AND(ABS($C1973-INDEX('AH History'!$B$1:$B$18046,$H1973))&lt;=MAX(0.005,ABS(INDEX('AH History'!$B$1:$B$18046,$H1973))*0.00005),ABS($D1973-INDEX('AH History'!$C$1:$C$18046,$H1973))&lt;=MAX(0.005,ABS(INDEX('AH History'!$C$1:$C$18046,$H1973))*0.00005),ABS($E1973-INDEX('AH History'!$D$1:$D$18046,$H1973))&lt;=0.00005,$F1973=INDEX('AH History'!$E$1:$E$18046,$H1973),$G1973=INDEX('AH History'!$F$1:$F$18046,$H1973)),1,-1),-1))</ns0:f>
        <ns0:v/>
      </ns0:c>
    </ns0:row>
    <ns0:row r="1974">
      <ns0:c r="A1974" s="215">
        <ns0:f>IF(OR(AH!$P$3=0,1969+1&gt;AH!$P$11,AND(AH!$E$4&lt;&gt;"Stored",AH!$P$10&lt;&gt;1)),"",IFERROR(IF(AND(AH!$P$21=1,1969+1=AH!$P$11),TODAY(),IF(AH!$P$10=1,INDEX('Live History'!$A$5:$A$3004,AH!$P$13+1969),INDEX('AH History'!$A$1:$A$18046,AH!$P$7+1969))),""))</ns0:f>
        <ns0:v/>
      </ns0:c>
      <ns0:c r="B1974" s="219">
        <ns0:f>IFERROR(IF(AND(AH!$P$9&lt;&gt;1,$C1974&gt;0,$D1974&gt;0,$E1974&gt;0,$F1974&gt;0,$G1974&gt;0,$F1974&lt;=$A1974,$G1974&lt;=$A1974,$A1974-$F1974&lt;=10,$A1974-$G1974&lt;=5),$D1974*$E1974/$C1974-1,NA()),NA())</ns0:f>
        <ns0:v/>
      </ns0:c>
      <ns0:c r="C1974">
        <ns0:f>IFERROR(IF(ISNUMBER($A1974),IF(AND(AH!$P$10=1,AH!$P$12=1,$A1974=TODAY()),AH!$P$19,IF(AH!$P$10=1,INDEX('Live History'!$B$5:$B$3004,AH!$P$13+1969),INDEX('AH History'!$B$1:$B$18046,AH!$P$7+1969))),NA()),NA())</ns0:f>
        <ns0:v/>
      </ns0:c>
      <ns0:c r="D1974">
        <ns0:f>IFERROR(IF(ISNUMBER($A1974),IF(AND(AH!$P$10=1,AH!$P$12=1,$A1974=TODAY()),AH!$P$18,IF(AH!$P$10=1,INDEX('Live History'!$E$5:$E$3004,MATCH($A1974,'Live History'!$D$5:$D$3004,1)),INDEX('AH History'!$C$1:$C$18046,AH!$P$7+1969))),NA()),NA())</ns0:f>
        <ns0:v/>
      </ns0:c>
      <ns0:c r="E1974">
        <ns0:f>IFERROR(IF(ISNUMBER($A1974),IF(AND(AH!$P$10=1,AH!$P$12=1,$A1974=TODAY()),AH!$P$20,IF(AH!$P$10=1,INDEX('Live History'!$H$5:$H$3004,MATCH($A1974,'Live History'!$G$5:$G$3004,1)),INDEX('AH History'!$D$1:$D$18046,AH!$P$7+1969))),NA()),NA())</ns0:f>
        <ns0:v/>
      </ns0:c>
      <ns0:c r="F1974">
        <ns0:f>IFERROR(IF(ISNUMBER($A1974),IF(AND(AH!$P$10=1,AH!$P$12=1,$A1974=TODAY()),IF(AND(AH!$P$10=1,AH!$P$12=1,$A1974=TODAY()),TODAY(),NA()),IF(AH!$P$10=1,INDEX('Live History'!$D$5:$D$3004,MATCH($A1974,'Live History'!$D$5:$D$3004,1)),INDEX('AH History'!$E$1:$E$18046,AH!$P$7+1969))),NA()),NA())</ns0:f>
        <ns0:v/>
      </ns0:c>
      <ns0:c r="G1974">
        <ns0:f>IFERROR(IF(ISNUMBER($A1974),IF(AND(AH!$P$10=1,AH!$P$12=1,$A1974=TODAY()),IF(AND(AH!$P$10=1,AH!$P$12=1,$A1974=TODAY()),TODAY(),NA()),IF(AH!$P$10=1,INDEX('Live History'!$G$5:$G$3004,MATCH($A1974,'Live History'!$G$5:$G$3004,1)),INDEX('AH History'!$F$1:$F$18046,AH!$P$7+1969))),NA()),NA())</ns0:f>
        <ns0:v/>
      </ns0:c>
      <ns0:c r="H1974">
        <ns0:f>IFERROR(IF(AND(AH!$E$4="Bloomberg",AH!$P$10=1,ISNUMBER($A1974),$A1974&lt;=AH!$P$17),AH!$P$7-1+MATCH($A1974,INDEX('AH History'!$A$1:$A$18046,AH!$P$7):INDEX('AH History'!$A$1:$A$18046,AH!$P$7+AH!$P$8-1),0),0),0)</ns0:f>
        <ns0:v/>
      </ns0:c>
      <ns0:c r="I1974">
        <ns0:f>IF($H1974=0,0,IFERROR(IF(AND(ABS($C1974-INDEX('AH History'!$B$1:$B$18046,$H1974))&lt;=MAX(0.005,ABS(INDEX('AH History'!$B$1:$B$18046,$H1974))*0.00005),ABS($D1974-INDEX('AH History'!$C$1:$C$18046,$H1974))&lt;=MAX(0.005,ABS(INDEX('AH History'!$C$1:$C$18046,$H1974))*0.00005),ABS($E1974-INDEX('AH History'!$D$1:$D$18046,$H1974))&lt;=0.00005,$F1974=INDEX('AH History'!$E$1:$E$18046,$H1974),$G1974=INDEX('AH History'!$F$1:$F$18046,$H1974)),1,-1),-1))</ns0:f>
        <ns0:v/>
      </ns0:c>
    </ns0:row>
    <ns0:row r="1975">
      <ns0:c r="A1975" s="215">
        <ns0:f>IF(OR(AH!$P$3=0,1970+1&gt;AH!$P$11,AND(AH!$E$4&lt;&gt;"Stored",AH!$P$10&lt;&gt;1)),"",IFERROR(IF(AND(AH!$P$21=1,1970+1=AH!$P$11),TODAY(),IF(AH!$P$10=1,INDEX('Live History'!$A$5:$A$3004,AH!$P$13+1970),INDEX('AH History'!$A$1:$A$18046,AH!$P$7+1970))),""))</ns0:f>
        <ns0:v/>
      </ns0:c>
      <ns0:c r="B1975" s="219">
        <ns0:f>IFERROR(IF(AND(AH!$P$9&lt;&gt;1,$C1975&gt;0,$D1975&gt;0,$E1975&gt;0,$F1975&gt;0,$G1975&gt;0,$F1975&lt;=$A1975,$G1975&lt;=$A1975,$A1975-$F1975&lt;=10,$A1975-$G1975&lt;=5),$D1975*$E1975/$C1975-1,NA()),NA())</ns0:f>
        <ns0:v/>
      </ns0:c>
      <ns0:c r="C1975">
        <ns0:f>IFERROR(IF(ISNUMBER($A1975),IF(AND(AH!$P$10=1,AH!$P$12=1,$A1975=TODAY()),AH!$P$19,IF(AH!$P$10=1,INDEX('Live History'!$B$5:$B$3004,AH!$P$13+1970),INDEX('AH History'!$B$1:$B$18046,AH!$P$7+1970))),NA()),NA())</ns0:f>
        <ns0:v/>
      </ns0:c>
      <ns0:c r="D1975">
        <ns0:f>IFERROR(IF(ISNUMBER($A1975),IF(AND(AH!$P$10=1,AH!$P$12=1,$A1975=TODAY()),AH!$P$18,IF(AH!$P$10=1,INDEX('Live History'!$E$5:$E$3004,MATCH($A1975,'Live History'!$D$5:$D$3004,1)),INDEX('AH History'!$C$1:$C$18046,AH!$P$7+1970))),NA()),NA())</ns0:f>
        <ns0:v/>
      </ns0:c>
      <ns0:c r="E1975">
        <ns0:f>IFERROR(IF(ISNUMBER($A1975),IF(AND(AH!$P$10=1,AH!$P$12=1,$A1975=TODAY()),AH!$P$20,IF(AH!$P$10=1,INDEX('Live History'!$H$5:$H$3004,MATCH($A1975,'Live History'!$G$5:$G$3004,1)),INDEX('AH History'!$D$1:$D$18046,AH!$P$7+1970))),NA()),NA())</ns0:f>
        <ns0:v/>
      </ns0:c>
      <ns0:c r="F1975">
        <ns0:f>IFERROR(IF(ISNUMBER($A1975),IF(AND(AH!$P$10=1,AH!$P$12=1,$A1975=TODAY()),IF(AND(AH!$P$10=1,AH!$P$12=1,$A1975=TODAY()),TODAY(),NA()),IF(AH!$P$10=1,INDEX('Live History'!$D$5:$D$3004,MATCH($A1975,'Live History'!$D$5:$D$3004,1)),INDEX('AH History'!$E$1:$E$18046,AH!$P$7+1970))),NA()),NA())</ns0:f>
        <ns0:v/>
      </ns0:c>
      <ns0:c r="G1975">
        <ns0:f>IFERROR(IF(ISNUMBER($A1975),IF(AND(AH!$P$10=1,AH!$P$12=1,$A1975=TODAY()),IF(AND(AH!$P$10=1,AH!$P$12=1,$A1975=TODAY()),TODAY(),NA()),IF(AH!$P$10=1,INDEX('Live History'!$G$5:$G$3004,MATCH($A1975,'Live History'!$G$5:$G$3004,1)),INDEX('AH History'!$F$1:$F$18046,AH!$P$7+1970))),NA()),NA())</ns0:f>
        <ns0:v/>
      </ns0:c>
      <ns0:c r="H1975">
        <ns0:f>IFERROR(IF(AND(AH!$E$4="Bloomberg",AH!$P$10=1,ISNUMBER($A1975),$A1975&lt;=AH!$P$17),AH!$P$7-1+MATCH($A1975,INDEX('AH History'!$A$1:$A$18046,AH!$P$7):INDEX('AH History'!$A$1:$A$18046,AH!$P$7+AH!$P$8-1),0),0),0)</ns0:f>
        <ns0:v/>
      </ns0:c>
      <ns0:c r="I1975">
        <ns0:f>IF($H1975=0,0,IFERROR(IF(AND(ABS($C1975-INDEX('AH History'!$B$1:$B$18046,$H1975))&lt;=MAX(0.005,ABS(INDEX('AH History'!$B$1:$B$18046,$H1975))*0.00005),ABS($D1975-INDEX('AH History'!$C$1:$C$18046,$H1975))&lt;=MAX(0.005,ABS(INDEX('AH History'!$C$1:$C$18046,$H1975))*0.00005),ABS($E1975-INDEX('AH History'!$D$1:$D$18046,$H1975))&lt;=0.00005,$F1975=INDEX('AH History'!$E$1:$E$18046,$H1975),$G1975=INDEX('AH History'!$F$1:$F$18046,$H1975)),1,-1),-1))</ns0:f>
        <ns0:v/>
      </ns0:c>
    </ns0:row>
    <ns0:row r="1976">
      <ns0:c r="A1976" s="215">
        <ns0:f>IF(OR(AH!$P$3=0,1971+1&gt;AH!$P$11,AND(AH!$E$4&lt;&gt;"Stored",AH!$P$10&lt;&gt;1)),"",IFERROR(IF(AND(AH!$P$21=1,1971+1=AH!$P$11),TODAY(),IF(AH!$P$10=1,INDEX('Live History'!$A$5:$A$3004,AH!$P$13+1971),INDEX('AH History'!$A$1:$A$18046,AH!$P$7+1971))),""))</ns0:f>
        <ns0:v/>
      </ns0:c>
      <ns0:c r="B1976" s="219">
        <ns0:f>IFERROR(IF(AND(AH!$P$9&lt;&gt;1,$C1976&gt;0,$D1976&gt;0,$E1976&gt;0,$F1976&gt;0,$G1976&gt;0,$F1976&lt;=$A1976,$G1976&lt;=$A1976,$A1976-$F1976&lt;=10,$A1976-$G1976&lt;=5),$D1976*$E1976/$C1976-1,NA()),NA())</ns0:f>
        <ns0:v/>
      </ns0:c>
      <ns0:c r="C1976">
        <ns0:f>IFERROR(IF(ISNUMBER($A1976),IF(AND(AH!$P$10=1,AH!$P$12=1,$A1976=TODAY()),AH!$P$19,IF(AH!$P$10=1,INDEX('Live History'!$B$5:$B$3004,AH!$P$13+1971),INDEX('AH History'!$B$1:$B$18046,AH!$P$7+1971))),NA()),NA())</ns0:f>
        <ns0:v/>
      </ns0:c>
      <ns0:c r="D1976">
        <ns0:f>IFERROR(IF(ISNUMBER($A1976),IF(AND(AH!$P$10=1,AH!$P$12=1,$A1976=TODAY()),AH!$P$18,IF(AH!$P$10=1,INDEX('Live History'!$E$5:$E$3004,MATCH($A1976,'Live History'!$D$5:$D$3004,1)),INDEX('AH History'!$C$1:$C$18046,AH!$P$7+1971))),NA()),NA())</ns0:f>
        <ns0:v/>
      </ns0:c>
      <ns0:c r="E1976">
        <ns0:f>IFERROR(IF(ISNUMBER($A1976),IF(AND(AH!$P$10=1,AH!$P$12=1,$A1976=TODAY()),AH!$P$20,IF(AH!$P$10=1,INDEX('Live History'!$H$5:$H$3004,MATCH($A1976,'Live History'!$G$5:$G$3004,1)),INDEX('AH History'!$D$1:$D$18046,AH!$P$7+1971))),NA()),NA())</ns0:f>
        <ns0:v/>
      </ns0:c>
      <ns0:c r="F1976">
        <ns0:f>IFERROR(IF(ISNUMBER($A1976),IF(AND(AH!$P$10=1,AH!$P$12=1,$A1976=TODAY()),IF(AND(AH!$P$10=1,AH!$P$12=1,$A1976=TODAY()),TODAY(),NA()),IF(AH!$P$10=1,INDEX('Live History'!$D$5:$D$3004,MATCH($A1976,'Live History'!$D$5:$D$3004,1)),INDEX('AH History'!$E$1:$E$18046,AH!$P$7+1971))),NA()),NA())</ns0:f>
        <ns0:v/>
      </ns0:c>
      <ns0:c r="G1976">
        <ns0:f>IFERROR(IF(ISNUMBER($A1976),IF(AND(AH!$P$10=1,AH!$P$12=1,$A1976=TODAY()),IF(AND(AH!$P$10=1,AH!$P$12=1,$A1976=TODAY()),TODAY(),NA()),IF(AH!$P$10=1,INDEX('Live History'!$G$5:$G$3004,MATCH($A1976,'Live History'!$G$5:$G$3004,1)),INDEX('AH History'!$F$1:$F$18046,AH!$P$7+1971))),NA()),NA())</ns0:f>
        <ns0:v/>
      </ns0:c>
      <ns0:c r="H1976">
        <ns0:f>IFERROR(IF(AND(AH!$E$4="Bloomberg",AH!$P$10=1,ISNUMBER($A1976),$A1976&lt;=AH!$P$17),AH!$P$7-1+MATCH($A1976,INDEX('AH History'!$A$1:$A$18046,AH!$P$7):INDEX('AH History'!$A$1:$A$18046,AH!$P$7+AH!$P$8-1),0),0),0)</ns0:f>
        <ns0:v/>
      </ns0:c>
      <ns0:c r="I1976">
        <ns0:f>IF($H1976=0,0,IFERROR(IF(AND(ABS($C1976-INDEX('AH History'!$B$1:$B$18046,$H1976))&lt;=MAX(0.005,ABS(INDEX('AH History'!$B$1:$B$18046,$H1976))*0.00005),ABS($D1976-INDEX('AH History'!$C$1:$C$18046,$H1976))&lt;=MAX(0.005,ABS(INDEX('AH History'!$C$1:$C$18046,$H1976))*0.00005),ABS($E1976-INDEX('AH History'!$D$1:$D$18046,$H1976))&lt;=0.00005,$F1976=INDEX('AH History'!$E$1:$E$18046,$H1976),$G1976=INDEX('AH History'!$F$1:$F$18046,$H1976)),1,-1),-1))</ns0:f>
        <ns0:v/>
      </ns0:c>
    </ns0:row>
    <ns0:row r="1977">
      <ns0:c r="A1977" s="215">
        <ns0:f>IF(OR(AH!$P$3=0,1972+1&gt;AH!$P$11,AND(AH!$E$4&lt;&gt;"Stored",AH!$P$10&lt;&gt;1)),"",IFERROR(IF(AND(AH!$P$21=1,1972+1=AH!$P$11),TODAY(),IF(AH!$P$10=1,INDEX('Live History'!$A$5:$A$3004,AH!$P$13+1972),INDEX('AH History'!$A$1:$A$18046,AH!$P$7+1972))),""))</ns0:f>
        <ns0:v/>
      </ns0:c>
      <ns0:c r="B1977" s="219">
        <ns0:f>IFERROR(IF(AND(AH!$P$9&lt;&gt;1,$C1977&gt;0,$D1977&gt;0,$E1977&gt;0,$F1977&gt;0,$G1977&gt;0,$F1977&lt;=$A1977,$G1977&lt;=$A1977,$A1977-$F1977&lt;=10,$A1977-$G1977&lt;=5),$D1977*$E1977/$C1977-1,NA()),NA())</ns0:f>
        <ns0:v/>
      </ns0:c>
      <ns0:c r="C1977">
        <ns0:f>IFERROR(IF(ISNUMBER($A1977),IF(AND(AH!$P$10=1,AH!$P$12=1,$A1977=TODAY()),AH!$P$19,IF(AH!$P$10=1,INDEX('Live History'!$B$5:$B$3004,AH!$P$13+1972),INDEX('AH History'!$B$1:$B$18046,AH!$P$7+1972))),NA()),NA())</ns0:f>
        <ns0:v/>
      </ns0:c>
      <ns0:c r="D1977">
        <ns0:f>IFERROR(IF(ISNUMBER($A1977),IF(AND(AH!$P$10=1,AH!$P$12=1,$A1977=TODAY()),AH!$P$18,IF(AH!$P$10=1,INDEX('Live History'!$E$5:$E$3004,MATCH($A1977,'Live History'!$D$5:$D$3004,1)),INDEX('AH History'!$C$1:$C$18046,AH!$P$7+1972))),NA()),NA())</ns0:f>
        <ns0:v/>
      </ns0:c>
      <ns0:c r="E1977">
        <ns0:f>IFERROR(IF(ISNUMBER($A1977),IF(AND(AH!$P$10=1,AH!$P$12=1,$A1977=TODAY()),AH!$P$20,IF(AH!$P$10=1,INDEX('Live History'!$H$5:$H$3004,MATCH($A1977,'Live History'!$G$5:$G$3004,1)),INDEX('AH History'!$D$1:$D$18046,AH!$P$7+1972))),NA()),NA())</ns0:f>
        <ns0:v/>
      </ns0:c>
      <ns0:c r="F1977">
        <ns0:f>IFERROR(IF(ISNUMBER($A1977),IF(AND(AH!$P$10=1,AH!$P$12=1,$A1977=TODAY()),IF(AND(AH!$P$10=1,AH!$P$12=1,$A1977=TODAY()),TODAY(),NA()),IF(AH!$P$10=1,INDEX('Live History'!$D$5:$D$3004,MATCH($A1977,'Live History'!$D$5:$D$3004,1)),INDEX('AH History'!$E$1:$E$18046,AH!$P$7+1972))),NA()),NA())</ns0:f>
        <ns0:v/>
      </ns0:c>
      <ns0:c r="G1977">
        <ns0:f>IFERROR(IF(ISNUMBER($A1977),IF(AND(AH!$P$10=1,AH!$P$12=1,$A1977=TODAY()),IF(AND(AH!$P$10=1,AH!$P$12=1,$A1977=TODAY()),TODAY(),NA()),IF(AH!$P$10=1,INDEX('Live History'!$G$5:$G$3004,MATCH($A1977,'Live History'!$G$5:$G$3004,1)),INDEX('AH History'!$F$1:$F$18046,AH!$P$7+1972))),NA()),NA())</ns0:f>
        <ns0:v/>
      </ns0:c>
      <ns0:c r="H1977">
        <ns0:f>IFERROR(IF(AND(AH!$E$4="Bloomberg",AH!$P$10=1,ISNUMBER($A1977),$A1977&lt;=AH!$P$17),AH!$P$7-1+MATCH($A1977,INDEX('AH History'!$A$1:$A$18046,AH!$P$7):INDEX('AH History'!$A$1:$A$18046,AH!$P$7+AH!$P$8-1),0),0),0)</ns0:f>
        <ns0:v/>
      </ns0:c>
      <ns0:c r="I1977">
        <ns0:f>IF($H1977=0,0,IFERROR(IF(AND(ABS($C1977-INDEX('AH History'!$B$1:$B$18046,$H1977))&lt;=MAX(0.005,ABS(INDEX('AH History'!$B$1:$B$18046,$H1977))*0.00005),ABS($D1977-INDEX('AH History'!$C$1:$C$18046,$H1977))&lt;=MAX(0.005,ABS(INDEX('AH History'!$C$1:$C$18046,$H1977))*0.00005),ABS($E1977-INDEX('AH History'!$D$1:$D$18046,$H1977))&lt;=0.00005,$F1977=INDEX('AH History'!$E$1:$E$18046,$H1977),$G1977=INDEX('AH History'!$F$1:$F$18046,$H1977)),1,-1),-1))</ns0:f>
        <ns0:v/>
      </ns0:c>
    </ns0:row>
    <ns0:row r="1978">
      <ns0:c r="A1978" s="215">
        <ns0:f>IF(OR(AH!$P$3=0,1973+1&gt;AH!$P$11,AND(AH!$E$4&lt;&gt;"Stored",AH!$P$10&lt;&gt;1)),"",IFERROR(IF(AND(AH!$P$21=1,1973+1=AH!$P$11),TODAY(),IF(AH!$P$10=1,INDEX('Live History'!$A$5:$A$3004,AH!$P$13+1973),INDEX('AH History'!$A$1:$A$18046,AH!$P$7+1973))),""))</ns0:f>
        <ns0:v/>
      </ns0:c>
      <ns0:c r="B1978" s="219">
        <ns0:f>IFERROR(IF(AND(AH!$P$9&lt;&gt;1,$C1978&gt;0,$D1978&gt;0,$E1978&gt;0,$F1978&gt;0,$G1978&gt;0,$F1978&lt;=$A1978,$G1978&lt;=$A1978,$A1978-$F1978&lt;=10,$A1978-$G1978&lt;=5),$D1978*$E1978/$C1978-1,NA()),NA())</ns0:f>
        <ns0:v/>
      </ns0:c>
      <ns0:c r="C1978">
        <ns0:f>IFERROR(IF(ISNUMBER($A1978),IF(AND(AH!$P$10=1,AH!$P$12=1,$A1978=TODAY()),AH!$P$19,IF(AH!$P$10=1,INDEX('Live History'!$B$5:$B$3004,AH!$P$13+1973),INDEX('AH History'!$B$1:$B$18046,AH!$P$7+1973))),NA()),NA())</ns0:f>
        <ns0:v/>
      </ns0:c>
      <ns0:c r="D1978">
        <ns0:f>IFERROR(IF(ISNUMBER($A1978),IF(AND(AH!$P$10=1,AH!$P$12=1,$A1978=TODAY()),AH!$P$18,IF(AH!$P$10=1,INDEX('Live History'!$E$5:$E$3004,MATCH($A1978,'Live History'!$D$5:$D$3004,1)),INDEX('AH History'!$C$1:$C$18046,AH!$P$7+1973))),NA()),NA())</ns0:f>
        <ns0:v/>
      </ns0:c>
      <ns0:c r="E1978">
        <ns0:f>IFERROR(IF(ISNUMBER($A1978),IF(AND(AH!$P$10=1,AH!$P$12=1,$A1978=TODAY()),AH!$P$20,IF(AH!$P$10=1,INDEX('Live History'!$H$5:$H$3004,MATCH($A1978,'Live History'!$G$5:$G$3004,1)),INDEX('AH History'!$D$1:$D$18046,AH!$P$7+1973))),NA()),NA())</ns0:f>
        <ns0:v/>
      </ns0:c>
      <ns0:c r="F1978">
        <ns0:f>IFERROR(IF(ISNUMBER($A1978),IF(AND(AH!$P$10=1,AH!$P$12=1,$A1978=TODAY()),IF(AND(AH!$P$10=1,AH!$P$12=1,$A1978=TODAY()),TODAY(),NA()),IF(AH!$P$10=1,INDEX('Live History'!$D$5:$D$3004,MATCH($A1978,'Live History'!$D$5:$D$3004,1)),INDEX('AH History'!$E$1:$E$18046,AH!$P$7+1973))),NA()),NA())</ns0:f>
        <ns0:v/>
      </ns0:c>
      <ns0:c r="G1978">
        <ns0:f>IFERROR(IF(ISNUMBER($A1978),IF(AND(AH!$P$10=1,AH!$P$12=1,$A1978=TODAY()),IF(AND(AH!$P$10=1,AH!$P$12=1,$A1978=TODAY()),TODAY(),NA()),IF(AH!$P$10=1,INDEX('Live History'!$G$5:$G$3004,MATCH($A1978,'Live History'!$G$5:$G$3004,1)),INDEX('AH History'!$F$1:$F$18046,AH!$P$7+1973))),NA()),NA())</ns0:f>
        <ns0:v/>
      </ns0:c>
      <ns0:c r="H1978">
        <ns0:f>IFERROR(IF(AND(AH!$E$4="Bloomberg",AH!$P$10=1,ISNUMBER($A1978),$A1978&lt;=AH!$P$17),AH!$P$7-1+MATCH($A1978,INDEX('AH History'!$A$1:$A$18046,AH!$P$7):INDEX('AH History'!$A$1:$A$18046,AH!$P$7+AH!$P$8-1),0),0),0)</ns0:f>
        <ns0:v/>
      </ns0:c>
      <ns0:c r="I1978">
        <ns0:f>IF($H1978=0,0,IFERROR(IF(AND(ABS($C1978-INDEX('AH History'!$B$1:$B$18046,$H1978))&lt;=MAX(0.005,ABS(INDEX('AH History'!$B$1:$B$18046,$H1978))*0.00005),ABS($D1978-INDEX('AH History'!$C$1:$C$18046,$H1978))&lt;=MAX(0.005,ABS(INDEX('AH History'!$C$1:$C$18046,$H1978))*0.00005),ABS($E1978-INDEX('AH History'!$D$1:$D$18046,$H1978))&lt;=0.00005,$F1978=INDEX('AH History'!$E$1:$E$18046,$H1978),$G1978=INDEX('AH History'!$F$1:$F$18046,$H1978)),1,-1),-1))</ns0:f>
        <ns0:v/>
      </ns0:c>
    </ns0:row>
    <ns0:row r="1979">
      <ns0:c r="A1979" s="215">
        <ns0:f>IF(OR(AH!$P$3=0,1974+1&gt;AH!$P$11,AND(AH!$E$4&lt;&gt;"Stored",AH!$P$10&lt;&gt;1)),"",IFERROR(IF(AND(AH!$P$21=1,1974+1=AH!$P$11),TODAY(),IF(AH!$P$10=1,INDEX('Live History'!$A$5:$A$3004,AH!$P$13+1974),INDEX('AH History'!$A$1:$A$18046,AH!$P$7+1974))),""))</ns0:f>
        <ns0:v/>
      </ns0:c>
      <ns0:c r="B1979" s="219">
        <ns0:f>IFERROR(IF(AND(AH!$P$9&lt;&gt;1,$C1979&gt;0,$D1979&gt;0,$E1979&gt;0,$F1979&gt;0,$G1979&gt;0,$F1979&lt;=$A1979,$G1979&lt;=$A1979,$A1979-$F1979&lt;=10,$A1979-$G1979&lt;=5),$D1979*$E1979/$C1979-1,NA()),NA())</ns0:f>
        <ns0:v/>
      </ns0:c>
      <ns0:c r="C1979">
        <ns0:f>IFERROR(IF(ISNUMBER($A1979),IF(AND(AH!$P$10=1,AH!$P$12=1,$A1979=TODAY()),AH!$P$19,IF(AH!$P$10=1,INDEX('Live History'!$B$5:$B$3004,AH!$P$13+1974),INDEX('AH History'!$B$1:$B$18046,AH!$P$7+1974))),NA()),NA())</ns0:f>
        <ns0:v/>
      </ns0:c>
      <ns0:c r="D1979">
        <ns0:f>IFERROR(IF(ISNUMBER($A1979),IF(AND(AH!$P$10=1,AH!$P$12=1,$A1979=TODAY()),AH!$P$18,IF(AH!$P$10=1,INDEX('Live History'!$E$5:$E$3004,MATCH($A1979,'Live History'!$D$5:$D$3004,1)),INDEX('AH History'!$C$1:$C$18046,AH!$P$7+1974))),NA()),NA())</ns0:f>
        <ns0:v/>
      </ns0:c>
      <ns0:c r="E1979">
        <ns0:f>IFERROR(IF(ISNUMBER($A1979),IF(AND(AH!$P$10=1,AH!$P$12=1,$A1979=TODAY()),AH!$P$20,IF(AH!$P$10=1,INDEX('Live History'!$H$5:$H$3004,MATCH($A1979,'Live History'!$G$5:$G$3004,1)),INDEX('AH History'!$D$1:$D$18046,AH!$P$7+1974))),NA()),NA())</ns0:f>
        <ns0:v/>
      </ns0:c>
      <ns0:c r="F1979">
        <ns0:f>IFERROR(IF(ISNUMBER($A1979),IF(AND(AH!$P$10=1,AH!$P$12=1,$A1979=TODAY()),IF(AND(AH!$P$10=1,AH!$P$12=1,$A1979=TODAY()),TODAY(),NA()),IF(AH!$P$10=1,INDEX('Live History'!$D$5:$D$3004,MATCH($A1979,'Live History'!$D$5:$D$3004,1)),INDEX('AH History'!$E$1:$E$18046,AH!$P$7+1974))),NA()),NA())</ns0:f>
        <ns0:v/>
      </ns0:c>
      <ns0:c r="G1979">
        <ns0:f>IFERROR(IF(ISNUMBER($A1979),IF(AND(AH!$P$10=1,AH!$P$12=1,$A1979=TODAY()),IF(AND(AH!$P$10=1,AH!$P$12=1,$A1979=TODAY()),TODAY(),NA()),IF(AH!$P$10=1,INDEX('Live History'!$G$5:$G$3004,MATCH($A1979,'Live History'!$G$5:$G$3004,1)),INDEX('AH History'!$F$1:$F$18046,AH!$P$7+1974))),NA()),NA())</ns0:f>
        <ns0:v/>
      </ns0:c>
      <ns0:c r="H1979">
        <ns0:f>IFERROR(IF(AND(AH!$E$4="Bloomberg",AH!$P$10=1,ISNUMBER($A1979),$A1979&lt;=AH!$P$17),AH!$P$7-1+MATCH($A1979,INDEX('AH History'!$A$1:$A$18046,AH!$P$7):INDEX('AH History'!$A$1:$A$18046,AH!$P$7+AH!$P$8-1),0),0),0)</ns0:f>
        <ns0:v/>
      </ns0:c>
      <ns0:c r="I1979">
        <ns0:f>IF($H1979=0,0,IFERROR(IF(AND(ABS($C1979-INDEX('AH History'!$B$1:$B$18046,$H1979))&lt;=MAX(0.005,ABS(INDEX('AH History'!$B$1:$B$18046,$H1979))*0.00005),ABS($D1979-INDEX('AH History'!$C$1:$C$18046,$H1979))&lt;=MAX(0.005,ABS(INDEX('AH History'!$C$1:$C$18046,$H1979))*0.00005),ABS($E1979-INDEX('AH History'!$D$1:$D$18046,$H1979))&lt;=0.00005,$F1979=INDEX('AH History'!$E$1:$E$18046,$H1979),$G1979=INDEX('AH History'!$F$1:$F$18046,$H1979)),1,-1),-1))</ns0:f>
        <ns0:v/>
      </ns0:c>
    </ns0:row>
    <ns0:row r="1980">
      <ns0:c r="A1980" s="215">
        <ns0:f>IF(OR(AH!$P$3=0,1975+1&gt;AH!$P$11,AND(AH!$E$4&lt;&gt;"Stored",AH!$P$10&lt;&gt;1)),"",IFERROR(IF(AND(AH!$P$21=1,1975+1=AH!$P$11),TODAY(),IF(AH!$P$10=1,INDEX('Live History'!$A$5:$A$3004,AH!$P$13+1975),INDEX('AH History'!$A$1:$A$18046,AH!$P$7+1975))),""))</ns0:f>
        <ns0:v/>
      </ns0:c>
      <ns0:c r="B1980" s="219">
        <ns0:f>IFERROR(IF(AND(AH!$P$9&lt;&gt;1,$C1980&gt;0,$D1980&gt;0,$E1980&gt;0,$F1980&gt;0,$G1980&gt;0,$F1980&lt;=$A1980,$G1980&lt;=$A1980,$A1980-$F1980&lt;=10,$A1980-$G1980&lt;=5),$D1980*$E1980/$C1980-1,NA()),NA())</ns0:f>
        <ns0:v/>
      </ns0:c>
      <ns0:c r="C1980">
        <ns0:f>IFERROR(IF(ISNUMBER($A1980),IF(AND(AH!$P$10=1,AH!$P$12=1,$A1980=TODAY()),AH!$P$19,IF(AH!$P$10=1,INDEX('Live History'!$B$5:$B$3004,AH!$P$13+1975),INDEX('AH History'!$B$1:$B$18046,AH!$P$7+1975))),NA()),NA())</ns0:f>
        <ns0:v/>
      </ns0:c>
      <ns0:c r="D1980">
        <ns0:f>IFERROR(IF(ISNUMBER($A1980),IF(AND(AH!$P$10=1,AH!$P$12=1,$A1980=TODAY()),AH!$P$18,IF(AH!$P$10=1,INDEX('Live History'!$E$5:$E$3004,MATCH($A1980,'Live History'!$D$5:$D$3004,1)),INDEX('AH History'!$C$1:$C$18046,AH!$P$7+1975))),NA()),NA())</ns0:f>
        <ns0:v/>
      </ns0:c>
      <ns0:c r="E1980">
        <ns0:f>IFERROR(IF(ISNUMBER($A1980),IF(AND(AH!$P$10=1,AH!$P$12=1,$A1980=TODAY()),AH!$P$20,IF(AH!$P$10=1,INDEX('Live History'!$H$5:$H$3004,MATCH($A1980,'Live History'!$G$5:$G$3004,1)),INDEX('AH History'!$D$1:$D$18046,AH!$P$7+1975))),NA()),NA())</ns0:f>
        <ns0:v/>
      </ns0:c>
      <ns0:c r="F1980">
        <ns0:f>IFERROR(IF(ISNUMBER($A1980),IF(AND(AH!$P$10=1,AH!$P$12=1,$A1980=TODAY()),IF(AND(AH!$P$10=1,AH!$P$12=1,$A1980=TODAY()),TODAY(),NA()),IF(AH!$P$10=1,INDEX('Live History'!$D$5:$D$3004,MATCH($A1980,'Live History'!$D$5:$D$3004,1)),INDEX('AH History'!$E$1:$E$18046,AH!$P$7+1975))),NA()),NA())</ns0:f>
        <ns0:v/>
      </ns0:c>
      <ns0:c r="G1980">
        <ns0:f>IFERROR(IF(ISNUMBER($A1980),IF(AND(AH!$P$10=1,AH!$P$12=1,$A1980=TODAY()),IF(AND(AH!$P$10=1,AH!$P$12=1,$A1980=TODAY()),TODAY(),NA()),IF(AH!$P$10=1,INDEX('Live History'!$G$5:$G$3004,MATCH($A1980,'Live History'!$G$5:$G$3004,1)),INDEX('AH History'!$F$1:$F$18046,AH!$P$7+1975))),NA()),NA())</ns0:f>
        <ns0:v/>
      </ns0:c>
      <ns0:c r="H1980">
        <ns0:f>IFERROR(IF(AND(AH!$E$4="Bloomberg",AH!$P$10=1,ISNUMBER($A1980),$A1980&lt;=AH!$P$17),AH!$P$7-1+MATCH($A1980,INDEX('AH History'!$A$1:$A$18046,AH!$P$7):INDEX('AH History'!$A$1:$A$18046,AH!$P$7+AH!$P$8-1),0),0),0)</ns0:f>
        <ns0:v/>
      </ns0:c>
      <ns0:c r="I1980">
        <ns0:f>IF($H1980=0,0,IFERROR(IF(AND(ABS($C1980-INDEX('AH History'!$B$1:$B$18046,$H1980))&lt;=MAX(0.005,ABS(INDEX('AH History'!$B$1:$B$18046,$H1980))*0.00005),ABS($D1980-INDEX('AH History'!$C$1:$C$18046,$H1980))&lt;=MAX(0.005,ABS(INDEX('AH History'!$C$1:$C$18046,$H1980))*0.00005),ABS($E1980-INDEX('AH History'!$D$1:$D$18046,$H1980))&lt;=0.00005,$F1980=INDEX('AH History'!$E$1:$E$18046,$H1980),$G1980=INDEX('AH History'!$F$1:$F$18046,$H1980)),1,-1),-1))</ns0:f>
        <ns0:v/>
      </ns0:c>
    </ns0:row>
    <ns0:row r="1981">
      <ns0:c r="A1981" s="215">
        <ns0:f>IF(OR(AH!$P$3=0,1976+1&gt;AH!$P$11,AND(AH!$E$4&lt;&gt;"Stored",AH!$P$10&lt;&gt;1)),"",IFERROR(IF(AND(AH!$P$21=1,1976+1=AH!$P$11),TODAY(),IF(AH!$P$10=1,INDEX('Live History'!$A$5:$A$3004,AH!$P$13+1976),INDEX('AH History'!$A$1:$A$18046,AH!$P$7+1976))),""))</ns0:f>
        <ns0:v/>
      </ns0:c>
      <ns0:c r="B1981" s="219">
        <ns0:f>IFERROR(IF(AND(AH!$P$9&lt;&gt;1,$C1981&gt;0,$D1981&gt;0,$E1981&gt;0,$F1981&gt;0,$G1981&gt;0,$F1981&lt;=$A1981,$G1981&lt;=$A1981,$A1981-$F1981&lt;=10,$A1981-$G1981&lt;=5),$D1981*$E1981/$C1981-1,NA()),NA())</ns0:f>
        <ns0:v/>
      </ns0:c>
      <ns0:c r="C1981">
        <ns0:f>IFERROR(IF(ISNUMBER($A1981),IF(AND(AH!$P$10=1,AH!$P$12=1,$A1981=TODAY()),AH!$P$19,IF(AH!$P$10=1,INDEX('Live History'!$B$5:$B$3004,AH!$P$13+1976),INDEX('AH History'!$B$1:$B$18046,AH!$P$7+1976))),NA()),NA())</ns0:f>
        <ns0:v/>
      </ns0:c>
      <ns0:c r="D1981">
        <ns0:f>IFERROR(IF(ISNUMBER($A1981),IF(AND(AH!$P$10=1,AH!$P$12=1,$A1981=TODAY()),AH!$P$18,IF(AH!$P$10=1,INDEX('Live History'!$E$5:$E$3004,MATCH($A1981,'Live History'!$D$5:$D$3004,1)),INDEX('AH History'!$C$1:$C$18046,AH!$P$7+1976))),NA()),NA())</ns0:f>
        <ns0:v/>
      </ns0:c>
      <ns0:c r="E1981">
        <ns0:f>IFERROR(IF(ISNUMBER($A1981),IF(AND(AH!$P$10=1,AH!$P$12=1,$A1981=TODAY()),AH!$P$20,IF(AH!$P$10=1,INDEX('Live History'!$H$5:$H$3004,MATCH($A1981,'Live History'!$G$5:$G$3004,1)),INDEX('AH History'!$D$1:$D$18046,AH!$P$7+1976))),NA()),NA())</ns0:f>
        <ns0:v/>
      </ns0:c>
      <ns0:c r="F1981">
        <ns0:f>IFERROR(IF(ISNUMBER($A1981),IF(AND(AH!$P$10=1,AH!$P$12=1,$A1981=TODAY()),IF(AND(AH!$P$10=1,AH!$P$12=1,$A1981=TODAY()),TODAY(),NA()),IF(AH!$P$10=1,INDEX('Live History'!$D$5:$D$3004,MATCH($A1981,'Live History'!$D$5:$D$3004,1)),INDEX('AH History'!$E$1:$E$18046,AH!$P$7+1976))),NA()),NA())</ns0:f>
        <ns0:v/>
      </ns0:c>
      <ns0:c r="G1981">
        <ns0:f>IFERROR(IF(ISNUMBER($A1981),IF(AND(AH!$P$10=1,AH!$P$12=1,$A1981=TODAY()),IF(AND(AH!$P$10=1,AH!$P$12=1,$A1981=TODAY()),TODAY(),NA()),IF(AH!$P$10=1,INDEX('Live History'!$G$5:$G$3004,MATCH($A1981,'Live History'!$G$5:$G$3004,1)),INDEX('AH History'!$F$1:$F$18046,AH!$P$7+1976))),NA()),NA())</ns0:f>
        <ns0:v/>
      </ns0:c>
      <ns0:c r="H1981">
        <ns0:f>IFERROR(IF(AND(AH!$E$4="Bloomberg",AH!$P$10=1,ISNUMBER($A1981),$A1981&lt;=AH!$P$17),AH!$P$7-1+MATCH($A1981,INDEX('AH History'!$A$1:$A$18046,AH!$P$7):INDEX('AH History'!$A$1:$A$18046,AH!$P$7+AH!$P$8-1),0),0),0)</ns0:f>
        <ns0:v/>
      </ns0:c>
      <ns0:c r="I1981">
        <ns0:f>IF($H1981=0,0,IFERROR(IF(AND(ABS($C1981-INDEX('AH History'!$B$1:$B$18046,$H1981))&lt;=MAX(0.005,ABS(INDEX('AH History'!$B$1:$B$18046,$H1981))*0.00005),ABS($D1981-INDEX('AH History'!$C$1:$C$18046,$H1981))&lt;=MAX(0.005,ABS(INDEX('AH History'!$C$1:$C$18046,$H1981))*0.00005),ABS($E1981-INDEX('AH History'!$D$1:$D$18046,$H1981))&lt;=0.00005,$F1981=INDEX('AH History'!$E$1:$E$18046,$H1981),$G1981=INDEX('AH History'!$F$1:$F$18046,$H1981)),1,-1),-1))</ns0:f>
        <ns0:v/>
      </ns0:c>
    </ns0:row>
    <ns0:row r="1982">
      <ns0:c r="A1982" s="215">
        <ns0:f>IF(OR(AH!$P$3=0,1977+1&gt;AH!$P$11,AND(AH!$E$4&lt;&gt;"Stored",AH!$P$10&lt;&gt;1)),"",IFERROR(IF(AND(AH!$P$21=1,1977+1=AH!$P$11),TODAY(),IF(AH!$P$10=1,INDEX('Live History'!$A$5:$A$3004,AH!$P$13+1977),INDEX('AH History'!$A$1:$A$18046,AH!$P$7+1977))),""))</ns0:f>
        <ns0:v/>
      </ns0:c>
      <ns0:c r="B1982" s="219">
        <ns0:f>IFERROR(IF(AND(AH!$P$9&lt;&gt;1,$C1982&gt;0,$D1982&gt;0,$E1982&gt;0,$F1982&gt;0,$G1982&gt;0,$F1982&lt;=$A1982,$G1982&lt;=$A1982,$A1982-$F1982&lt;=10,$A1982-$G1982&lt;=5),$D1982*$E1982/$C1982-1,NA()),NA())</ns0:f>
        <ns0:v/>
      </ns0:c>
      <ns0:c r="C1982">
        <ns0:f>IFERROR(IF(ISNUMBER($A1982),IF(AND(AH!$P$10=1,AH!$P$12=1,$A1982=TODAY()),AH!$P$19,IF(AH!$P$10=1,INDEX('Live History'!$B$5:$B$3004,AH!$P$13+1977),INDEX('AH History'!$B$1:$B$18046,AH!$P$7+1977))),NA()),NA())</ns0:f>
        <ns0:v/>
      </ns0:c>
      <ns0:c r="D1982">
        <ns0:f>IFERROR(IF(ISNUMBER($A1982),IF(AND(AH!$P$10=1,AH!$P$12=1,$A1982=TODAY()),AH!$P$18,IF(AH!$P$10=1,INDEX('Live History'!$E$5:$E$3004,MATCH($A1982,'Live History'!$D$5:$D$3004,1)),INDEX('AH History'!$C$1:$C$18046,AH!$P$7+1977))),NA()),NA())</ns0:f>
        <ns0:v/>
      </ns0:c>
      <ns0:c r="E1982">
        <ns0:f>IFERROR(IF(ISNUMBER($A1982),IF(AND(AH!$P$10=1,AH!$P$12=1,$A1982=TODAY()),AH!$P$20,IF(AH!$P$10=1,INDEX('Live History'!$H$5:$H$3004,MATCH($A1982,'Live History'!$G$5:$G$3004,1)),INDEX('AH History'!$D$1:$D$18046,AH!$P$7+1977))),NA()),NA())</ns0:f>
        <ns0:v/>
      </ns0:c>
      <ns0:c r="F1982">
        <ns0:f>IFERROR(IF(ISNUMBER($A1982),IF(AND(AH!$P$10=1,AH!$P$12=1,$A1982=TODAY()),IF(AND(AH!$P$10=1,AH!$P$12=1,$A1982=TODAY()),TODAY(),NA()),IF(AH!$P$10=1,INDEX('Live History'!$D$5:$D$3004,MATCH($A1982,'Live History'!$D$5:$D$3004,1)),INDEX('AH History'!$E$1:$E$18046,AH!$P$7+1977))),NA()),NA())</ns0:f>
        <ns0:v/>
      </ns0:c>
      <ns0:c r="G1982">
        <ns0:f>IFERROR(IF(ISNUMBER($A1982),IF(AND(AH!$P$10=1,AH!$P$12=1,$A1982=TODAY()),IF(AND(AH!$P$10=1,AH!$P$12=1,$A1982=TODAY()),TODAY(),NA()),IF(AH!$P$10=1,INDEX('Live History'!$G$5:$G$3004,MATCH($A1982,'Live History'!$G$5:$G$3004,1)),INDEX('AH History'!$F$1:$F$18046,AH!$P$7+1977))),NA()),NA())</ns0:f>
        <ns0:v/>
      </ns0:c>
      <ns0:c r="H1982">
        <ns0:f>IFERROR(IF(AND(AH!$E$4="Bloomberg",AH!$P$10=1,ISNUMBER($A1982),$A1982&lt;=AH!$P$17),AH!$P$7-1+MATCH($A1982,INDEX('AH History'!$A$1:$A$18046,AH!$P$7):INDEX('AH History'!$A$1:$A$18046,AH!$P$7+AH!$P$8-1),0),0),0)</ns0:f>
        <ns0:v/>
      </ns0:c>
      <ns0:c r="I1982">
        <ns0:f>IF($H1982=0,0,IFERROR(IF(AND(ABS($C1982-INDEX('AH History'!$B$1:$B$18046,$H1982))&lt;=MAX(0.005,ABS(INDEX('AH History'!$B$1:$B$18046,$H1982))*0.00005),ABS($D1982-INDEX('AH History'!$C$1:$C$18046,$H1982))&lt;=MAX(0.005,ABS(INDEX('AH History'!$C$1:$C$18046,$H1982))*0.00005),ABS($E1982-INDEX('AH History'!$D$1:$D$18046,$H1982))&lt;=0.00005,$F1982=INDEX('AH History'!$E$1:$E$18046,$H1982),$G1982=INDEX('AH History'!$F$1:$F$18046,$H1982)),1,-1),-1))</ns0:f>
        <ns0:v/>
      </ns0:c>
    </ns0:row>
    <ns0:row r="1983">
      <ns0:c r="A1983" s="215">
        <ns0:f>IF(OR(AH!$P$3=0,1978+1&gt;AH!$P$11,AND(AH!$E$4&lt;&gt;"Stored",AH!$P$10&lt;&gt;1)),"",IFERROR(IF(AND(AH!$P$21=1,1978+1=AH!$P$11),TODAY(),IF(AH!$P$10=1,INDEX('Live History'!$A$5:$A$3004,AH!$P$13+1978),INDEX('AH History'!$A$1:$A$18046,AH!$P$7+1978))),""))</ns0:f>
        <ns0:v/>
      </ns0:c>
      <ns0:c r="B1983" s="219">
        <ns0:f>IFERROR(IF(AND(AH!$P$9&lt;&gt;1,$C1983&gt;0,$D1983&gt;0,$E1983&gt;0,$F1983&gt;0,$G1983&gt;0,$F1983&lt;=$A1983,$G1983&lt;=$A1983,$A1983-$F1983&lt;=10,$A1983-$G1983&lt;=5),$D1983*$E1983/$C1983-1,NA()),NA())</ns0:f>
        <ns0:v/>
      </ns0:c>
      <ns0:c r="C1983">
        <ns0:f>IFERROR(IF(ISNUMBER($A1983),IF(AND(AH!$P$10=1,AH!$P$12=1,$A1983=TODAY()),AH!$P$19,IF(AH!$P$10=1,INDEX('Live History'!$B$5:$B$3004,AH!$P$13+1978),INDEX('AH History'!$B$1:$B$18046,AH!$P$7+1978))),NA()),NA())</ns0:f>
        <ns0:v/>
      </ns0:c>
      <ns0:c r="D1983">
        <ns0:f>IFERROR(IF(ISNUMBER($A1983),IF(AND(AH!$P$10=1,AH!$P$12=1,$A1983=TODAY()),AH!$P$18,IF(AH!$P$10=1,INDEX('Live History'!$E$5:$E$3004,MATCH($A1983,'Live History'!$D$5:$D$3004,1)),INDEX('AH History'!$C$1:$C$18046,AH!$P$7+1978))),NA()),NA())</ns0:f>
        <ns0:v/>
      </ns0:c>
      <ns0:c r="E1983">
        <ns0:f>IFERROR(IF(ISNUMBER($A1983),IF(AND(AH!$P$10=1,AH!$P$12=1,$A1983=TODAY()),AH!$P$20,IF(AH!$P$10=1,INDEX('Live History'!$H$5:$H$3004,MATCH($A1983,'Live History'!$G$5:$G$3004,1)),INDEX('AH History'!$D$1:$D$18046,AH!$P$7+1978))),NA()),NA())</ns0:f>
        <ns0:v/>
      </ns0:c>
      <ns0:c r="F1983">
        <ns0:f>IFERROR(IF(ISNUMBER($A1983),IF(AND(AH!$P$10=1,AH!$P$12=1,$A1983=TODAY()),IF(AND(AH!$P$10=1,AH!$P$12=1,$A1983=TODAY()),TODAY(),NA()),IF(AH!$P$10=1,INDEX('Live History'!$D$5:$D$3004,MATCH($A1983,'Live History'!$D$5:$D$3004,1)),INDEX('AH History'!$E$1:$E$18046,AH!$P$7+1978))),NA()),NA())</ns0:f>
        <ns0:v/>
      </ns0:c>
      <ns0:c r="G1983">
        <ns0:f>IFERROR(IF(ISNUMBER($A1983),IF(AND(AH!$P$10=1,AH!$P$12=1,$A1983=TODAY()),IF(AND(AH!$P$10=1,AH!$P$12=1,$A1983=TODAY()),TODAY(),NA()),IF(AH!$P$10=1,INDEX('Live History'!$G$5:$G$3004,MATCH($A1983,'Live History'!$G$5:$G$3004,1)),INDEX('AH History'!$F$1:$F$18046,AH!$P$7+1978))),NA()),NA())</ns0:f>
        <ns0:v/>
      </ns0:c>
      <ns0:c r="H1983">
        <ns0:f>IFERROR(IF(AND(AH!$E$4="Bloomberg",AH!$P$10=1,ISNUMBER($A1983),$A1983&lt;=AH!$P$17),AH!$P$7-1+MATCH($A1983,INDEX('AH History'!$A$1:$A$18046,AH!$P$7):INDEX('AH History'!$A$1:$A$18046,AH!$P$7+AH!$P$8-1),0),0),0)</ns0:f>
        <ns0:v/>
      </ns0:c>
      <ns0:c r="I1983">
        <ns0:f>IF($H1983=0,0,IFERROR(IF(AND(ABS($C1983-INDEX('AH History'!$B$1:$B$18046,$H1983))&lt;=MAX(0.005,ABS(INDEX('AH History'!$B$1:$B$18046,$H1983))*0.00005),ABS($D1983-INDEX('AH History'!$C$1:$C$18046,$H1983))&lt;=MAX(0.005,ABS(INDEX('AH History'!$C$1:$C$18046,$H1983))*0.00005),ABS($E1983-INDEX('AH History'!$D$1:$D$18046,$H1983))&lt;=0.00005,$F1983=INDEX('AH History'!$E$1:$E$18046,$H1983),$G1983=INDEX('AH History'!$F$1:$F$18046,$H1983)),1,-1),-1))</ns0:f>
        <ns0:v/>
      </ns0:c>
    </ns0:row>
    <ns0:row r="1984">
      <ns0:c r="A1984" s="215">
        <ns0:f>IF(OR(AH!$P$3=0,1979+1&gt;AH!$P$11,AND(AH!$E$4&lt;&gt;"Stored",AH!$P$10&lt;&gt;1)),"",IFERROR(IF(AND(AH!$P$21=1,1979+1=AH!$P$11),TODAY(),IF(AH!$P$10=1,INDEX('Live History'!$A$5:$A$3004,AH!$P$13+1979),INDEX('AH History'!$A$1:$A$18046,AH!$P$7+1979))),""))</ns0:f>
        <ns0:v/>
      </ns0:c>
      <ns0:c r="B1984" s="219">
        <ns0:f>IFERROR(IF(AND(AH!$P$9&lt;&gt;1,$C1984&gt;0,$D1984&gt;0,$E1984&gt;0,$F1984&gt;0,$G1984&gt;0,$F1984&lt;=$A1984,$G1984&lt;=$A1984,$A1984-$F1984&lt;=10,$A1984-$G1984&lt;=5),$D1984*$E1984/$C1984-1,NA()),NA())</ns0:f>
        <ns0:v/>
      </ns0:c>
      <ns0:c r="C1984">
        <ns0:f>IFERROR(IF(ISNUMBER($A1984),IF(AND(AH!$P$10=1,AH!$P$12=1,$A1984=TODAY()),AH!$P$19,IF(AH!$P$10=1,INDEX('Live History'!$B$5:$B$3004,AH!$P$13+1979),INDEX('AH History'!$B$1:$B$18046,AH!$P$7+1979))),NA()),NA())</ns0:f>
        <ns0:v/>
      </ns0:c>
      <ns0:c r="D1984">
        <ns0:f>IFERROR(IF(ISNUMBER($A1984),IF(AND(AH!$P$10=1,AH!$P$12=1,$A1984=TODAY()),AH!$P$18,IF(AH!$P$10=1,INDEX('Live History'!$E$5:$E$3004,MATCH($A1984,'Live History'!$D$5:$D$3004,1)),INDEX('AH History'!$C$1:$C$18046,AH!$P$7+1979))),NA()),NA())</ns0:f>
        <ns0:v/>
      </ns0:c>
      <ns0:c r="E1984">
        <ns0:f>IFERROR(IF(ISNUMBER($A1984),IF(AND(AH!$P$10=1,AH!$P$12=1,$A1984=TODAY()),AH!$P$20,IF(AH!$P$10=1,INDEX('Live History'!$H$5:$H$3004,MATCH($A1984,'Live History'!$G$5:$G$3004,1)),INDEX('AH History'!$D$1:$D$18046,AH!$P$7+1979))),NA()),NA())</ns0:f>
        <ns0:v/>
      </ns0:c>
      <ns0:c r="F1984">
        <ns0:f>IFERROR(IF(ISNUMBER($A1984),IF(AND(AH!$P$10=1,AH!$P$12=1,$A1984=TODAY()),IF(AND(AH!$P$10=1,AH!$P$12=1,$A1984=TODAY()),TODAY(),NA()),IF(AH!$P$10=1,INDEX('Live History'!$D$5:$D$3004,MATCH($A1984,'Live History'!$D$5:$D$3004,1)),INDEX('AH History'!$E$1:$E$18046,AH!$P$7+1979))),NA()),NA())</ns0:f>
        <ns0:v/>
      </ns0:c>
      <ns0:c r="G1984">
        <ns0:f>IFERROR(IF(ISNUMBER($A1984),IF(AND(AH!$P$10=1,AH!$P$12=1,$A1984=TODAY()),IF(AND(AH!$P$10=1,AH!$P$12=1,$A1984=TODAY()),TODAY(),NA()),IF(AH!$P$10=1,INDEX('Live History'!$G$5:$G$3004,MATCH($A1984,'Live History'!$G$5:$G$3004,1)),INDEX('AH History'!$F$1:$F$18046,AH!$P$7+1979))),NA()),NA())</ns0:f>
        <ns0:v/>
      </ns0:c>
      <ns0:c r="H1984">
        <ns0:f>IFERROR(IF(AND(AH!$E$4="Bloomberg",AH!$P$10=1,ISNUMBER($A1984),$A1984&lt;=AH!$P$17),AH!$P$7-1+MATCH($A1984,INDEX('AH History'!$A$1:$A$18046,AH!$P$7):INDEX('AH History'!$A$1:$A$18046,AH!$P$7+AH!$P$8-1),0),0),0)</ns0:f>
        <ns0:v/>
      </ns0:c>
      <ns0:c r="I1984">
        <ns0:f>IF($H1984=0,0,IFERROR(IF(AND(ABS($C1984-INDEX('AH History'!$B$1:$B$18046,$H1984))&lt;=MAX(0.005,ABS(INDEX('AH History'!$B$1:$B$18046,$H1984))*0.00005),ABS($D1984-INDEX('AH History'!$C$1:$C$18046,$H1984))&lt;=MAX(0.005,ABS(INDEX('AH History'!$C$1:$C$18046,$H1984))*0.00005),ABS($E1984-INDEX('AH History'!$D$1:$D$18046,$H1984))&lt;=0.00005,$F1984=INDEX('AH History'!$E$1:$E$18046,$H1984),$G1984=INDEX('AH History'!$F$1:$F$18046,$H1984)),1,-1),-1))</ns0:f>
        <ns0:v/>
      </ns0:c>
    </ns0:row>
    <ns0:row r="1985">
      <ns0:c r="A1985" s="215">
        <ns0:f>IF(OR(AH!$P$3=0,1980+1&gt;AH!$P$11,AND(AH!$E$4&lt;&gt;"Stored",AH!$P$10&lt;&gt;1)),"",IFERROR(IF(AND(AH!$P$21=1,1980+1=AH!$P$11),TODAY(),IF(AH!$P$10=1,INDEX('Live History'!$A$5:$A$3004,AH!$P$13+1980),INDEX('AH History'!$A$1:$A$18046,AH!$P$7+1980))),""))</ns0:f>
        <ns0:v/>
      </ns0:c>
      <ns0:c r="B1985" s="219">
        <ns0:f>IFERROR(IF(AND(AH!$P$9&lt;&gt;1,$C1985&gt;0,$D1985&gt;0,$E1985&gt;0,$F1985&gt;0,$G1985&gt;0,$F1985&lt;=$A1985,$G1985&lt;=$A1985,$A1985-$F1985&lt;=10,$A1985-$G1985&lt;=5),$D1985*$E1985/$C1985-1,NA()),NA())</ns0:f>
        <ns0:v/>
      </ns0:c>
      <ns0:c r="C1985">
        <ns0:f>IFERROR(IF(ISNUMBER($A1985),IF(AND(AH!$P$10=1,AH!$P$12=1,$A1985=TODAY()),AH!$P$19,IF(AH!$P$10=1,INDEX('Live History'!$B$5:$B$3004,AH!$P$13+1980),INDEX('AH History'!$B$1:$B$18046,AH!$P$7+1980))),NA()),NA())</ns0:f>
        <ns0:v/>
      </ns0:c>
      <ns0:c r="D1985">
        <ns0:f>IFERROR(IF(ISNUMBER($A1985),IF(AND(AH!$P$10=1,AH!$P$12=1,$A1985=TODAY()),AH!$P$18,IF(AH!$P$10=1,INDEX('Live History'!$E$5:$E$3004,MATCH($A1985,'Live History'!$D$5:$D$3004,1)),INDEX('AH History'!$C$1:$C$18046,AH!$P$7+1980))),NA()),NA())</ns0:f>
        <ns0:v/>
      </ns0:c>
      <ns0:c r="E1985">
        <ns0:f>IFERROR(IF(ISNUMBER($A1985),IF(AND(AH!$P$10=1,AH!$P$12=1,$A1985=TODAY()),AH!$P$20,IF(AH!$P$10=1,INDEX('Live History'!$H$5:$H$3004,MATCH($A1985,'Live History'!$G$5:$G$3004,1)),INDEX('AH History'!$D$1:$D$18046,AH!$P$7+1980))),NA()),NA())</ns0:f>
        <ns0:v/>
      </ns0:c>
      <ns0:c r="F1985">
        <ns0:f>IFERROR(IF(ISNUMBER($A1985),IF(AND(AH!$P$10=1,AH!$P$12=1,$A1985=TODAY()),IF(AND(AH!$P$10=1,AH!$P$12=1,$A1985=TODAY()),TODAY(),NA()),IF(AH!$P$10=1,INDEX('Live History'!$D$5:$D$3004,MATCH($A1985,'Live History'!$D$5:$D$3004,1)),INDEX('AH History'!$E$1:$E$18046,AH!$P$7+1980))),NA()),NA())</ns0:f>
        <ns0:v/>
      </ns0:c>
      <ns0:c r="G1985">
        <ns0:f>IFERROR(IF(ISNUMBER($A1985),IF(AND(AH!$P$10=1,AH!$P$12=1,$A1985=TODAY()),IF(AND(AH!$P$10=1,AH!$P$12=1,$A1985=TODAY()),TODAY(),NA()),IF(AH!$P$10=1,INDEX('Live History'!$G$5:$G$3004,MATCH($A1985,'Live History'!$G$5:$G$3004,1)),INDEX('AH History'!$F$1:$F$18046,AH!$P$7+1980))),NA()),NA())</ns0:f>
        <ns0:v/>
      </ns0:c>
      <ns0:c r="H1985">
        <ns0:f>IFERROR(IF(AND(AH!$E$4="Bloomberg",AH!$P$10=1,ISNUMBER($A1985),$A1985&lt;=AH!$P$17),AH!$P$7-1+MATCH($A1985,INDEX('AH History'!$A$1:$A$18046,AH!$P$7):INDEX('AH History'!$A$1:$A$18046,AH!$P$7+AH!$P$8-1),0),0),0)</ns0:f>
        <ns0:v/>
      </ns0:c>
      <ns0:c r="I1985">
        <ns0:f>IF($H1985=0,0,IFERROR(IF(AND(ABS($C1985-INDEX('AH History'!$B$1:$B$18046,$H1985))&lt;=MAX(0.005,ABS(INDEX('AH History'!$B$1:$B$18046,$H1985))*0.00005),ABS($D1985-INDEX('AH History'!$C$1:$C$18046,$H1985))&lt;=MAX(0.005,ABS(INDEX('AH History'!$C$1:$C$18046,$H1985))*0.00005),ABS($E1985-INDEX('AH History'!$D$1:$D$18046,$H1985))&lt;=0.00005,$F1985=INDEX('AH History'!$E$1:$E$18046,$H1985),$G1985=INDEX('AH History'!$F$1:$F$18046,$H1985)),1,-1),-1))</ns0:f>
        <ns0:v/>
      </ns0:c>
    </ns0:row>
    <ns0:row r="1986">
      <ns0:c r="A1986" s="215">
        <ns0:f>IF(OR(AH!$P$3=0,1981+1&gt;AH!$P$11,AND(AH!$E$4&lt;&gt;"Stored",AH!$P$10&lt;&gt;1)),"",IFERROR(IF(AND(AH!$P$21=1,1981+1=AH!$P$11),TODAY(),IF(AH!$P$10=1,INDEX('Live History'!$A$5:$A$3004,AH!$P$13+1981),INDEX('AH History'!$A$1:$A$18046,AH!$P$7+1981))),""))</ns0:f>
        <ns0:v/>
      </ns0:c>
      <ns0:c r="B1986" s="219">
        <ns0:f>IFERROR(IF(AND(AH!$P$9&lt;&gt;1,$C1986&gt;0,$D1986&gt;0,$E1986&gt;0,$F1986&gt;0,$G1986&gt;0,$F1986&lt;=$A1986,$G1986&lt;=$A1986,$A1986-$F1986&lt;=10,$A1986-$G1986&lt;=5),$D1986*$E1986/$C1986-1,NA()),NA())</ns0:f>
        <ns0:v/>
      </ns0:c>
      <ns0:c r="C1986">
        <ns0:f>IFERROR(IF(ISNUMBER($A1986),IF(AND(AH!$P$10=1,AH!$P$12=1,$A1986=TODAY()),AH!$P$19,IF(AH!$P$10=1,INDEX('Live History'!$B$5:$B$3004,AH!$P$13+1981),INDEX('AH History'!$B$1:$B$18046,AH!$P$7+1981))),NA()),NA())</ns0:f>
        <ns0:v/>
      </ns0:c>
      <ns0:c r="D1986">
        <ns0:f>IFERROR(IF(ISNUMBER($A1986),IF(AND(AH!$P$10=1,AH!$P$12=1,$A1986=TODAY()),AH!$P$18,IF(AH!$P$10=1,INDEX('Live History'!$E$5:$E$3004,MATCH($A1986,'Live History'!$D$5:$D$3004,1)),INDEX('AH History'!$C$1:$C$18046,AH!$P$7+1981))),NA()),NA())</ns0:f>
        <ns0:v/>
      </ns0:c>
      <ns0:c r="E1986">
        <ns0:f>IFERROR(IF(ISNUMBER($A1986),IF(AND(AH!$P$10=1,AH!$P$12=1,$A1986=TODAY()),AH!$P$20,IF(AH!$P$10=1,INDEX('Live History'!$H$5:$H$3004,MATCH($A1986,'Live History'!$G$5:$G$3004,1)),INDEX('AH History'!$D$1:$D$18046,AH!$P$7+1981))),NA()),NA())</ns0:f>
        <ns0:v/>
      </ns0:c>
      <ns0:c r="F1986">
        <ns0:f>IFERROR(IF(ISNUMBER($A1986),IF(AND(AH!$P$10=1,AH!$P$12=1,$A1986=TODAY()),IF(AND(AH!$P$10=1,AH!$P$12=1,$A1986=TODAY()),TODAY(),NA()),IF(AH!$P$10=1,INDEX('Live History'!$D$5:$D$3004,MATCH($A1986,'Live History'!$D$5:$D$3004,1)),INDEX('AH History'!$E$1:$E$18046,AH!$P$7+1981))),NA()),NA())</ns0:f>
        <ns0:v/>
      </ns0:c>
      <ns0:c r="G1986">
        <ns0:f>IFERROR(IF(ISNUMBER($A1986),IF(AND(AH!$P$10=1,AH!$P$12=1,$A1986=TODAY()),IF(AND(AH!$P$10=1,AH!$P$12=1,$A1986=TODAY()),TODAY(),NA()),IF(AH!$P$10=1,INDEX('Live History'!$G$5:$G$3004,MATCH($A1986,'Live History'!$G$5:$G$3004,1)),INDEX('AH History'!$F$1:$F$18046,AH!$P$7+1981))),NA()),NA())</ns0:f>
        <ns0:v/>
      </ns0:c>
      <ns0:c r="H1986">
        <ns0:f>IFERROR(IF(AND(AH!$E$4="Bloomberg",AH!$P$10=1,ISNUMBER($A1986),$A1986&lt;=AH!$P$17),AH!$P$7-1+MATCH($A1986,INDEX('AH History'!$A$1:$A$18046,AH!$P$7):INDEX('AH History'!$A$1:$A$18046,AH!$P$7+AH!$P$8-1),0),0),0)</ns0:f>
        <ns0:v/>
      </ns0:c>
      <ns0:c r="I1986">
        <ns0:f>IF($H1986=0,0,IFERROR(IF(AND(ABS($C1986-INDEX('AH History'!$B$1:$B$18046,$H1986))&lt;=MAX(0.005,ABS(INDEX('AH History'!$B$1:$B$18046,$H1986))*0.00005),ABS($D1986-INDEX('AH History'!$C$1:$C$18046,$H1986))&lt;=MAX(0.005,ABS(INDEX('AH History'!$C$1:$C$18046,$H1986))*0.00005),ABS($E1986-INDEX('AH History'!$D$1:$D$18046,$H1986))&lt;=0.00005,$F1986=INDEX('AH History'!$E$1:$E$18046,$H1986),$G1986=INDEX('AH History'!$F$1:$F$18046,$H1986)),1,-1),-1))</ns0:f>
        <ns0:v/>
      </ns0:c>
    </ns0:row>
    <ns0:row r="1987">
      <ns0:c r="A1987" s="215">
        <ns0:f>IF(OR(AH!$P$3=0,1982+1&gt;AH!$P$11,AND(AH!$E$4&lt;&gt;"Stored",AH!$P$10&lt;&gt;1)),"",IFERROR(IF(AND(AH!$P$21=1,1982+1=AH!$P$11),TODAY(),IF(AH!$P$10=1,INDEX('Live History'!$A$5:$A$3004,AH!$P$13+1982),INDEX('AH History'!$A$1:$A$18046,AH!$P$7+1982))),""))</ns0:f>
        <ns0:v/>
      </ns0:c>
      <ns0:c r="B1987" s="219">
        <ns0:f>IFERROR(IF(AND(AH!$P$9&lt;&gt;1,$C1987&gt;0,$D1987&gt;0,$E1987&gt;0,$F1987&gt;0,$G1987&gt;0,$F1987&lt;=$A1987,$G1987&lt;=$A1987,$A1987-$F1987&lt;=10,$A1987-$G1987&lt;=5),$D1987*$E1987/$C1987-1,NA()),NA())</ns0:f>
        <ns0:v/>
      </ns0:c>
      <ns0:c r="C1987">
        <ns0:f>IFERROR(IF(ISNUMBER($A1987),IF(AND(AH!$P$10=1,AH!$P$12=1,$A1987=TODAY()),AH!$P$19,IF(AH!$P$10=1,INDEX('Live History'!$B$5:$B$3004,AH!$P$13+1982),INDEX('AH History'!$B$1:$B$18046,AH!$P$7+1982))),NA()),NA())</ns0:f>
        <ns0:v/>
      </ns0:c>
      <ns0:c r="D1987">
        <ns0:f>IFERROR(IF(ISNUMBER($A1987),IF(AND(AH!$P$10=1,AH!$P$12=1,$A1987=TODAY()),AH!$P$18,IF(AH!$P$10=1,INDEX('Live History'!$E$5:$E$3004,MATCH($A1987,'Live History'!$D$5:$D$3004,1)),INDEX('AH History'!$C$1:$C$18046,AH!$P$7+1982))),NA()),NA())</ns0:f>
        <ns0:v/>
      </ns0:c>
      <ns0:c r="E1987">
        <ns0:f>IFERROR(IF(ISNUMBER($A1987),IF(AND(AH!$P$10=1,AH!$P$12=1,$A1987=TODAY()),AH!$P$20,IF(AH!$P$10=1,INDEX('Live History'!$H$5:$H$3004,MATCH($A1987,'Live History'!$G$5:$G$3004,1)),INDEX('AH History'!$D$1:$D$18046,AH!$P$7+1982))),NA()),NA())</ns0:f>
        <ns0:v/>
      </ns0:c>
      <ns0:c r="F1987">
        <ns0:f>IFERROR(IF(ISNUMBER($A1987),IF(AND(AH!$P$10=1,AH!$P$12=1,$A1987=TODAY()),IF(AND(AH!$P$10=1,AH!$P$12=1,$A1987=TODAY()),TODAY(),NA()),IF(AH!$P$10=1,INDEX('Live History'!$D$5:$D$3004,MATCH($A1987,'Live History'!$D$5:$D$3004,1)),INDEX('AH History'!$E$1:$E$18046,AH!$P$7+1982))),NA()),NA())</ns0:f>
        <ns0:v/>
      </ns0:c>
      <ns0:c r="G1987">
        <ns0:f>IFERROR(IF(ISNUMBER($A1987),IF(AND(AH!$P$10=1,AH!$P$12=1,$A1987=TODAY()),IF(AND(AH!$P$10=1,AH!$P$12=1,$A1987=TODAY()),TODAY(),NA()),IF(AH!$P$10=1,INDEX('Live History'!$G$5:$G$3004,MATCH($A1987,'Live History'!$G$5:$G$3004,1)),INDEX('AH History'!$F$1:$F$18046,AH!$P$7+1982))),NA()),NA())</ns0:f>
        <ns0:v/>
      </ns0:c>
      <ns0:c r="H1987">
        <ns0:f>IFERROR(IF(AND(AH!$E$4="Bloomberg",AH!$P$10=1,ISNUMBER($A1987),$A1987&lt;=AH!$P$17),AH!$P$7-1+MATCH($A1987,INDEX('AH History'!$A$1:$A$18046,AH!$P$7):INDEX('AH History'!$A$1:$A$18046,AH!$P$7+AH!$P$8-1),0),0),0)</ns0:f>
        <ns0:v/>
      </ns0:c>
      <ns0:c r="I1987">
        <ns0:f>IF($H1987=0,0,IFERROR(IF(AND(ABS($C1987-INDEX('AH History'!$B$1:$B$18046,$H1987))&lt;=MAX(0.005,ABS(INDEX('AH History'!$B$1:$B$18046,$H1987))*0.00005),ABS($D1987-INDEX('AH History'!$C$1:$C$18046,$H1987))&lt;=MAX(0.005,ABS(INDEX('AH History'!$C$1:$C$18046,$H1987))*0.00005),ABS($E1987-INDEX('AH History'!$D$1:$D$18046,$H1987))&lt;=0.00005,$F1987=INDEX('AH History'!$E$1:$E$18046,$H1987),$G1987=INDEX('AH History'!$F$1:$F$18046,$H1987)),1,-1),-1))</ns0:f>
        <ns0:v/>
      </ns0:c>
    </ns0:row>
    <ns0:row r="1988">
      <ns0:c r="A1988" s="215">
        <ns0:f>IF(OR(AH!$P$3=0,1983+1&gt;AH!$P$11,AND(AH!$E$4&lt;&gt;"Stored",AH!$P$10&lt;&gt;1)),"",IFERROR(IF(AND(AH!$P$21=1,1983+1=AH!$P$11),TODAY(),IF(AH!$P$10=1,INDEX('Live History'!$A$5:$A$3004,AH!$P$13+1983),INDEX('AH History'!$A$1:$A$18046,AH!$P$7+1983))),""))</ns0:f>
        <ns0:v/>
      </ns0:c>
      <ns0:c r="B1988" s="219">
        <ns0:f>IFERROR(IF(AND(AH!$P$9&lt;&gt;1,$C1988&gt;0,$D1988&gt;0,$E1988&gt;0,$F1988&gt;0,$G1988&gt;0,$F1988&lt;=$A1988,$G1988&lt;=$A1988,$A1988-$F1988&lt;=10,$A1988-$G1988&lt;=5),$D1988*$E1988/$C1988-1,NA()),NA())</ns0:f>
        <ns0:v/>
      </ns0:c>
      <ns0:c r="C1988">
        <ns0:f>IFERROR(IF(ISNUMBER($A1988),IF(AND(AH!$P$10=1,AH!$P$12=1,$A1988=TODAY()),AH!$P$19,IF(AH!$P$10=1,INDEX('Live History'!$B$5:$B$3004,AH!$P$13+1983),INDEX('AH History'!$B$1:$B$18046,AH!$P$7+1983))),NA()),NA())</ns0:f>
        <ns0:v/>
      </ns0:c>
      <ns0:c r="D1988">
        <ns0:f>IFERROR(IF(ISNUMBER($A1988),IF(AND(AH!$P$10=1,AH!$P$12=1,$A1988=TODAY()),AH!$P$18,IF(AH!$P$10=1,INDEX('Live History'!$E$5:$E$3004,MATCH($A1988,'Live History'!$D$5:$D$3004,1)),INDEX('AH History'!$C$1:$C$18046,AH!$P$7+1983))),NA()),NA())</ns0:f>
        <ns0:v/>
      </ns0:c>
      <ns0:c r="E1988">
        <ns0:f>IFERROR(IF(ISNUMBER($A1988),IF(AND(AH!$P$10=1,AH!$P$12=1,$A1988=TODAY()),AH!$P$20,IF(AH!$P$10=1,INDEX('Live History'!$H$5:$H$3004,MATCH($A1988,'Live History'!$G$5:$G$3004,1)),INDEX('AH History'!$D$1:$D$18046,AH!$P$7+1983))),NA()),NA())</ns0:f>
        <ns0:v/>
      </ns0:c>
      <ns0:c r="F1988">
        <ns0:f>IFERROR(IF(ISNUMBER($A1988),IF(AND(AH!$P$10=1,AH!$P$12=1,$A1988=TODAY()),IF(AND(AH!$P$10=1,AH!$P$12=1,$A1988=TODAY()),TODAY(),NA()),IF(AH!$P$10=1,INDEX('Live History'!$D$5:$D$3004,MATCH($A1988,'Live History'!$D$5:$D$3004,1)),INDEX('AH History'!$E$1:$E$18046,AH!$P$7+1983))),NA()),NA())</ns0:f>
        <ns0:v/>
      </ns0:c>
      <ns0:c r="G1988">
        <ns0:f>IFERROR(IF(ISNUMBER($A1988),IF(AND(AH!$P$10=1,AH!$P$12=1,$A1988=TODAY()),IF(AND(AH!$P$10=1,AH!$P$12=1,$A1988=TODAY()),TODAY(),NA()),IF(AH!$P$10=1,INDEX('Live History'!$G$5:$G$3004,MATCH($A1988,'Live History'!$G$5:$G$3004,1)),INDEX('AH History'!$F$1:$F$18046,AH!$P$7+1983))),NA()),NA())</ns0:f>
        <ns0:v/>
      </ns0:c>
      <ns0:c r="H1988">
        <ns0:f>IFERROR(IF(AND(AH!$E$4="Bloomberg",AH!$P$10=1,ISNUMBER($A1988),$A1988&lt;=AH!$P$17),AH!$P$7-1+MATCH($A1988,INDEX('AH History'!$A$1:$A$18046,AH!$P$7):INDEX('AH History'!$A$1:$A$18046,AH!$P$7+AH!$P$8-1),0),0),0)</ns0:f>
        <ns0:v/>
      </ns0:c>
      <ns0:c r="I1988">
        <ns0:f>IF($H1988=0,0,IFERROR(IF(AND(ABS($C1988-INDEX('AH History'!$B$1:$B$18046,$H1988))&lt;=MAX(0.005,ABS(INDEX('AH History'!$B$1:$B$18046,$H1988))*0.00005),ABS($D1988-INDEX('AH History'!$C$1:$C$18046,$H1988))&lt;=MAX(0.005,ABS(INDEX('AH History'!$C$1:$C$18046,$H1988))*0.00005),ABS($E1988-INDEX('AH History'!$D$1:$D$18046,$H1988))&lt;=0.00005,$F1988=INDEX('AH History'!$E$1:$E$18046,$H1988),$G1988=INDEX('AH History'!$F$1:$F$18046,$H1988)),1,-1),-1))</ns0:f>
        <ns0:v/>
      </ns0:c>
    </ns0:row>
    <ns0:row r="1989">
      <ns0:c r="A1989" s="215">
        <ns0:f>IF(OR(AH!$P$3=0,1984+1&gt;AH!$P$11,AND(AH!$E$4&lt;&gt;"Stored",AH!$P$10&lt;&gt;1)),"",IFERROR(IF(AND(AH!$P$21=1,1984+1=AH!$P$11),TODAY(),IF(AH!$P$10=1,INDEX('Live History'!$A$5:$A$3004,AH!$P$13+1984),INDEX('AH History'!$A$1:$A$18046,AH!$P$7+1984))),""))</ns0:f>
        <ns0:v/>
      </ns0:c>
      <ns0:c r="B1989" s="219">
        <ns0:f>IFERROR(IF(AND(AH!$P$9&lt;&gt;1,$C1989&gt;0,$D1989&gt;0,$E1989&gt;0,$F1989&gt;0,$G1989&gt;0,$F1989&lt;=$A1989,$G1989&lt;=$A1989,$A1989-$F1989&lt;=10,$A1989-$G1989&lt;=5),$D1989*$E1989/$C1989-1,NA()),NA())</ns0:f>
        <ns0:v/>
      </ns0:c>
      <ns0:c r="C1989">
        <ns0:f>IFERROR(IF(ISNUMBER($A1989),IF(AND(AH!$P$10=1,AH!$P$12=1,$A1989=TODAY()),AH!$P$19,IF(AH!$P$10=1,INDEX('Live History'!$B$5:$B$3004,AH!$P$13+1984),INDEX('AH History'!$B$1:$B$18046,AH!$P$7+1984))),NA()),NA())</ns0:f>
        <ns0:v/>
      </ns0:c>
      <ns0:c r="D1989">
        <ns0:f>IFERROR(IF(ISNUMBER($A1989),IF(AND(AH!$P$10=1,AH!$P$12=1,$A1989=TODAY()),AH!$P$18,IF(AH!$P$10=1,INDEX('Live History'!$E$5:$E$3004,MATCH($A1989,'Live History'!$D$5:$D$3004,1)),INDEX('AH History'!$C$1:$C$18046,AH!$P$7+1984))),NA()),NA())</ns0:f>
        <ns0:v/>
      </ns0:c>
      <ns0:c r="E1989">
        <ns0:f>IFERROR(IF(ISNUMBER($A1989),IF(AND(AH!$P$10=1,AH!$P$12=1,$A1989=TODAY()),AH!$P$20,IF(AH!$P$10=1,INDEX('Live History'!$H$5:$H$3004,MATCH($A1989,'Live History'!$G$5:$G$3004,1)),INDEX('AH History'!$D$1:$D$18046,AH!$P$7+1984))),NA()),NA())</ns0:f>
        <ns0:v/>
      </ns0:c>
      <ns0:c r="F1989">
        <ns0:f>IFERROR(IF(ISNUMBER($A1989),IF(AND(AH!$P$10=1,AH!$P$12=1,$A1989=TODAY()),IF(AND(AH!$P$10=1,AH!$P$12=1,$A1989=TODAY()),TODAY(),NA()),IF(AH!$P$10=1,INDEX('Live History'!$D$5:$D$3004,MATCH($A1989,'Live History'!$D$5:$D$3004,1)),INDEX('AH History'!$E$1:$E$18046,AH!$P$7+1984))),NA()),NA())</ns0:f>
        <ns0:v/>
      </ns0:c>
      <ns0:c r="G1989">
        <ns0:f>IFERROR(IF(ISNUMBER($A1989),IF(AND(AH!$P$10=1,AH!$P$12=1,$A1989=TODAY()),IF(AND(AH!$P$10=1,AH!$P$12=1,$A1989=TODAY()),TODAY(),NA()),IF(AH!$P$10=1,INDEX('Live History'!$G$5:$G$3004,MATCH($A1989,'Live History'!$G$5:$G$3004,1)),INDEX('AH History'!$F$1:$F$18046,AH!$P$7+1984))),NA()),NA())</ns0:f>
        <ns0:v/>
      </ns0:c>
      <ns0:c r="H1989">
        <ns0:f>IFERROR(IF(AND(AH!$E$4="Bloomberg",AH!$P$10=1,ISNUMBER($A1989),$A1989&lt;=AH!$P$17),AH!$P$7-1+MATCH($A1989,INDEX('AH History'!$A$1:$A$18046,AH!$P$7):INDEX('AH History'!$A$1:$A$18046,AH!$P$7+AH!$P$8-1),0),0),0)</ns0:f>
        <ns0:v/>
      </ns0:c>
      <ns0:c r="I1989">
        <ns0:f>IF($H1989=0,0,IFERROR(IF(AND(ABS($C1989-INDEX('AH History'!$B$1:$B$18046,$H1989))&lt;=MAX(0.005,ABS(INDEX('AH History'!$B$1:$B$18046,$H1989))*0.00005),ABS($D1989-INDEX('AH History'!$C$1:$C$18046,$H1989))&lt;=MAX(0.005,ABS(INDEX('AH History'!$C$1:$C$18046,$H1989))*0.00005),ABS($E1989-INDEX('AH History'!$D$1:$D$18046,$H1989))&lt;=0.00005,$F1989=INDEX('AH History'!$E$1:$E$18046,$H1989),$G1989=INDEX('AH History'!$F$1:$F$18046,$H1989)),1,-1),-1))</ns0:f>
        <ns0:v/>
      </ns0:c>
    </ns0:row>
    <ns0:row r="1990">
      <ns0:c r="A1990" s="215">
        <ns0:f>IF(OR(AH!$P$3=0,1985+1&gt;AH!$P$11,AND(AH!$E$4&lt;&gt;"Stored",AH!$P$10&lt;&gt;1)),"",IFERROR(IF(AND(AH!$P$21=1,1985+1=AH!$P$11),TODAY(),IF(AH!$P$10=1,INDEX('Live History'!$A$5:$A$3004,AH!$P$13+1985),INDEX('AH History'!$A$1:$A$18046,AH!$P$7+1985))),""))</ns0:f>
        <ns0:v/>
      </ns0:c>
      <ns0:c r="B1990" s="219">
        <ns0:f>IFERROR(IF(AND(AH!$P$9&lt;&gt;1,$C1990&gt;0,$D1990&gt;0,$E1990&gt;0,$F1990&gt;0,$G1990&gt;0,$F1990&lt;=$A1990,$G1990&lt;=$A1990,$A1990-$F1990&lt;=10,$A1990-$G1990&lt;=5),$D1990*$E1990/$C1990-1,NA()),NA())</ns0:f>
        <ns0:v/>
      </ns0:c>
      <ns0:c r="C1990">
        <ns0:f>IFERROR(IF(ISNUMBER($A1990),IF(AND(AH!$P$10=1,AH!$P$12=1,$A1990=TODAY()),AH!$P$19,IF(AH!$P$10=1,INDEX('Live History'!$B$5:$B$3004,AH!$P$13+1985),INDEX('AH History'!$B$1:$B$18046,AH!$P$7+1985))),NA()),NA())</ns0:f>
        <ns0:v/>
      </ns0:c>
      <ns0:c r="D1990">
        <ns0:f>IFERROR(IF(ISNUMBER($A1990),IF(AND(AH!$P$10=1,AH!$P$12=1,$A1990=TODAY()),AH!$P$18,IF(AH!$P$10=1,INDEX('Live History'!$E$5:$E$3004,MATCH($A1990,'Live History'!$D$5:$D$3004,1)),INDEX('AH History'!$C$1:$C$18046,AH!$P$7+1985))),NA()),NA())</ns0:f>
        <ns0:v/>
      </ns0:c>
      <ns0:c r="E1990">
        <ns0:f>IFERROR(IF(ISNUMBER($A1990),IF(AND(AH!$P$10=1,AH!$P$12=1,$A1990=TODAY()),AH!$P$20,IF(AH!$P$10=1,INDEX('Live History'!$H$5:$H$3004,MATCH($A1990,'Live History'!$G$5:$G$3004,1)),INDEX('AH History'!$D$1:$D$18046,AH!$P$7+1985))),NA()),NA())</ns0:f>
        <ns0:v/>
      </ns0:c>
      <ns0:c r="F1990">
        <ns0:f>IFERROR(IF(ISNUMBER($A1990),IF(AND(AH!$P$10=1,AH!$P$12=1,$A1990=TODAY()),IF(AND(AH!$P$10=1,AH!$P$12=1,$A1990=TODAY()),TODAY(),NA()),IF(AH!$P$10=1,INDEX('Live History'!$D$5:$D$3004,MATCH($A1990,'Live History'!$D$5:$D$3004,1)),INDEX('AH History'!$E$1:$E$18046,AH!$P$7+1985))),NA()),NA())</ns0:f>
        <ns0:v/>
      </ns0:c>
      <ns0:c r="G1990">
        <ns0:f>IFERROR(IF(ISNUMBER($A1990),IF(AND(AH!$P$10=1,AH!$P$12=1,$A1990=TODAY()),IF(AND(AH!$P$10=1,AH!$P$12=1,$A1990=TODAY()),TODAY(),NA()),IF(AH!$P$10=1,INDEX('Live History'!$G$5:$G$3004,MATCH($A1990,'Live History'!$G$5:$G$3004,1)),INDEX('AH History'!$F$1:$F$18046,AH!$P$7+1985))),NA()),NA())</ns0:f>
        <ns0:v/>
      </ns0:c>
      <ns0:c r="H1990">
        <ns0:f>IFERROR(IF(AND(AH!$E$4="Bloomberg",AH!$P$10=1,ISNUMBER($A1990),$A1990&lt;=AH!$P$17),AH!$P$7-1+MATCH($A1990,INDEX('AH History'!$A$1:$A$18046,AH!$P$7):INDEX('AH History'!$A$1:$A$18046,AH!$P$7+AH!$P$8-1),0),0),0)</ns0:f>
        <ns0:v/>
      </ns0:c>
      <ns0:c r="I1990">
        <ns0:f>IF($H1990=0,0,IFERROR(IF(AND(ABS($C1990-INDEX('AH History'!$B$1:$B$18046,$H1990))&lt;=MAX(0.005,ABS(INDEX('AH History'!$B$1:$B$18046,$H1990))*0.00005),ABS($D1990-INDEX('AH History'!$C$1:$C$18046,$H1990))&lt;=MAX(0.005,ABS(INDEX('AH History'!$C$1:$C$18046,$H1990))*0.00005),ABS($E1990-INDEX('AH History'!$D$1:$D$18046,$H1990))&lt;=0.00005,$F1990=INDEX('AH History'!$E$1:$E$18046,$H1990),$G1990=INDEX('AH History'!$F$1:$F$18046,$H1990)),1,-1),-1))</ns0:f>
        <ns0:v/>
      </ns0:c>
    </ns0:row>
    <ns0:row r="1991">
      <ns0:c r="A1991" s="215">
        <ns0:f>IF(OR(AH!$P$3=0,1986+1&gt;AH!$P$11,AND(AH!$E$4&lt;&gt;"Stored",AH!$P$10&lt;&gt;1)),"",IFERROR(IF(AND(AH!$P$21=1,1986+1=AH!$P$11),TODAY(),IF(AH!$P$10=1,INDEX('Live History'!$A$5:$A$3004,AH!$P$13+1986),INDEX('AH History'!$A$1:$A$18046,AH!$P$7+1986))),""))</ns0:f>
        <ns0:v/>
      </ns0:c>
      <ns0:c r="B1991" s="219">
        <ns0:f>IFERROR(IF(AND(AH!$P$9&lt;&gt;1,$C1991&gt;0,$D1991&gt;0,$E1991&gt;0,$F1991&gt;0,$G1991&gt;0,$F1991&lt;=$A1991,$G1991&lt;=$A1991,$A1991-$F1991&lt;=10,$A1991-$G1991&lt;=5),$D1991*$E1991/$C1991-1,NA()),NA())</ns0:f>
        <ns0:v/>
      </ns0:c>
      <ns0:c r="C1991">
        <ns0:f>IFERROR(IF(ISNUMBER($A1991),IF(AND(AH!$P$10=1,AH!$P$12=1,$A1991=TODAY()),AH!$P$19,IF(AH!$P$10=1,INDEX('Live History'!$B$5:$B$3004,AH!$P$13+1986),INDEX('AH History'!$B$1:$B$18046,AH!$P$7+1986))),NA()),NA())</ns0:f>
        <ns0:v/>
      </ns0:c>
      <ns0:c r="D1991">
        <ns0:f>IFERROR(IF(ISNUMBER($A1991),IF(AND(AH!$P$10=1,AH!$P$12=1,$A1991=TODAY()),AH!$P$18,IF(AH!$P$10=1,INDEX('Live History'!$E$5:$E$3004,MATCH($A1991,'Live History'!$D$5:$D$3004,1)),INDEX('AH History'!$C$1:$C$18046,AH!$P$7+1986))),NA()),NA())</ns0:f>
        <ns0:v/>
      </ns0:c>
      <ns0:c r="E1991">
        <ns0:f>IFERROR(IF(ISNUMBER($A1991),IF(AND(AH!$P$10=1,AH!$P$12=1,$A1991=TODAY()),AH!$P$20,IF(AH!$P$10=1,INDEX('Live History'!$H$5:$H$3004,MATCH($A1991,'Live History'!$G$5:$G$3004,1)),INDEX('AH History'!$D$1:$D$18046,AH!$P$7+1986))),NA()),NA())</ns0:f>
        <ns0:v/>
      </ns0:c>
      <ns0:c r="F1991">
        <ns0:f>IFERROR(IF(ISNUMBER($A1991),IF(AND(AH!$P$10=1,AH!$P$12=1,$A1991=TODAY()),IF(AND(AH!$P$10=1,AH!$P$12=1,$A1991=TODAY()),TODAY(),NA()),IF(AH!$P$10=1,INDEX('Live History'!$D$5:$D$3004,MATCH($A1991,'Live History'!$D$5:$D$3004,1)),INDEX('AH History'!$E$1:$E$18046,AH!$P$7+1986))),NA()),NA())</ns0:f>
        <ns0:v/>
      </ns0:c>
      <ns0:c r="G1991">
        <ns0:f>IFERROR(IF(ISNUMBER($A1991),IF(AND(AH!$P$10=1,AH!$P$12=1,$A1991=TODAY()),IF(AND(AH!$P$10=1,AH!$P$12=1,$A1991=TODAY()),TODAY(),NA()),IF(AH!$P$10=1,INDEX('Live History'!$G$5:$G$3004,MATCH($A1991,'Live History'!$G$5:$G$3004,1)),INDEX('AH History'!$F$1:$F$18046,AH!$P$7+1986))),NA()),NA())</ns0:f>
        <ns0:v/>
      </ns0:c>
      <ns0:c r="H1991">
        <ns0:f>IFERROR(IF(AND(AH!$E$4="Bloomberg",AH!$P$10=1,ISNUMBER($A1991),$A1991&lt;=AH!$P$17),AH!$P$7-1+MATCH($A1991,INDEX('AH History'!$A$1:$A$18046,AH!$P$7):INDEX('AH History'!$A$1:$A$18046,AH!$P$7+AH!$P$8-1),0),0),0)</ns0:f>
        <ns0:v/>
      </ns0:c>
      <ns0:c r="I1991">
        <ns0:f>IF($H1991=0,0,IFERROR(IF(AND(ABS($C1991-INDEX('AH History'!$B$1:$B$18046,$H1991))&lt;=MAX(0.005,ABS(INDEX('AH History'!$B$1:$B$18046,$H1991))*0.00005),ABS($D1991-INDEX('AH History'!$C$1:$C$18046,$H1991))&lt;=MAX(0.005,ABS(INDEX('AH History'!$C$1:$C$18046,$H1991))*0.00005),ABS($E1991-INDEX('AH History'!$D$1:$D$18046,$H1991))&lt;=0.00005,$F1991=INDEX('AH History'!$E$1:$E$18046,$H1991),$G1991=INDEX('AH History'!$F$1:$F$18046,$H1991)),1,-1),-1))</ns0:f>
        <ns0:v/>
      </ns0:c>
    </ns0:row>
    <ns0:row r="1992">
      <ns0:c r="A1992" s="215">
        <ns0:f>IF(OR(AH!$P$3=0,1987+1&gt;AH!$P$11,AND(AH!$E$4&lt;&gt;"Stored",AH!$P$10&lt;&gt;1)),"",IFERROR(IF(AND(AH!$P$21=1,1987+1=AH!$P$11),TODAY(),IF(AH!$P$10=1,INDEX('Live History'!$A$5:$A$3004,AH!$P$13+1987),INDEX('AH History'!$A$1:$A$18046,AH!$P$7+1987))),""))</ns0:f>
        <ns0:v/>
      </ns0:c>
      <ns0:c r="B1992" s="219">
        <ns0:f>IFERROR(IF(AND(AH!$P$9&lt;&gt;1,$C1992&gt;0,$D1992&gt;0,$E1992&gt;0,$F1992&gt;0,$G1992&gt;0,$F1992&lt;=$A1992,$G1992&lt;=$A1992,$A1992-$F1992&lt;=10,$A1992-$G1992&lt;=5),$D1992*$E1992/$C1992-1,NA()),NA())</ns0:f>
        <ns0:v/>
      </ns0:c>
      <ns0:c r="C1992">
        <ns0:f>IFERROR(IF(ISNUMBER($A1992),IF(AND(AH!$P$10=1,AH!$P$12=1,$A1992=TODAY()),AH!$P$19,IF(AH!$P$10=1,INDEX('Live History'!$B$5:$B$3004,AH!$P$13+1987),INDEX('AH History'!$B$1:$B$18046,AH!$P$7+1987))),NA()),NA())</ns0:f>
        <ns0:v/>
      </ns0:c>
      <ns0:c r="D1992">
        <ns0:f>IFERROR(IF(ISNUMBER($A1992),IF(AND(AH!$P$10=1,AH!$P$12=1,$A1992=TODAY()),AH!$P$18,IF(AH!$P$10=1,INDEX('Live History'!$E$5:$E$3004,MATCH($A1992,'Live History'!$D$5:$D$3004,1)),INDEX('AH History'!$C$1:$C$18046,AH!$P$7+1987))),NA()),NA())</ns0:f>
        <ns0:v/>
      </ns0:c>
      <ns0:c r="E1992">
        <ns0:f>IFERROR(IF(ISNUMBER($A1992),IF(AND(AH!$P$10=1,AH!$P$12=1,$A1992=TODAY()),AH!$P$20,IF(AH!$P$10=1,INDEX('Live History'!$H$5:$H$3004,MATCH($A1992,'Live History'!$G$5:$G$3004,1)),INDEX('AH History'!$D$1:$D$18046,AH!$P$7+1987))),NA()),NA())</ns0:f>
        <ns0:v/>
      </ns0:c>
      <ns0:c r="F1992">
        <ns0:f>IFERROR(IF(ISNUMBER($A1992),IF(AND(AH!$P$10=1,AH!$P$12=1,$A1992=TODAY()),IF(AND(AH!$P$10=1,AH!$P$12=1,$A1992=TODAY()),TODAY(),NA()),IF(AH!$P$10=1,INDEX('Live History'!$D$5:$D$3004,MATCH($A1992,'Live History'!$D$5:$D$3004,1)),INDEX('AH History'!$E$1:$E$18046,AH!$P$7+1987))),NA()),NA())</ns0:f>
        <ns0:v/>
      </ns0:c>
      <ns0:c r="G1992">
        <ns0:f>IFERROR(IF(ISNUMBER($A1992),IF(AND(AH!$P$10=1,AH!$P$12=1,$A1992=TODAY()),IF(AND(AH!$P$10=1,AH!$P$12=1,$A1992=TODAY()),TODAY(),NA()),IF(AH!$P$10=1,INDEX('Live History'!$G$5:$G$3004,MATCH($A1992,'Live History'!$G$5:$G$3004,1)),INDEX('AH History'!$F$1:$F$18046,AH!$P$7+1987))),NA()),NA())</ns0:f>
        <ns0:v/>
      </ns0:c>
      <ns0:c r="H1992">
        <ns0:f>IFERROR(IF(AND(AH!$E$4="Bloomberg",AH!$P$10=1,ISNUMBER($A1992),$A1992&lt;=AH!$P$17),AH!$P$7-1+MATCH($A1992,INDEX('AH History'!$A$1:$A$18046,AH!$P$7):INDEX('AH History'!$A$1:$A$18046,AH!$P$7+AH!$P$8-1),0),0),0)</ns0:f>
        <ns0:v/>
      </ns0:c>
      <ns0:c r="I1992">
        <ns0:f>IF($H1992=0,0,IFERROR(IF(AND(ABS($C1992-INDEX('AH History'!$B$1:$B$18046,$H1992))&lt;=MAX(0.005,ABS(INDEX('AH History'!$B$1:$B$18046,$H1992))*0.00005),ABS($D1992-INDEX('AH History'!$C$1:$C$18046,$H1992))&lt;=MAX(0.005,ABS(INDEX('AH History'!$C$1:$C$18046,$H1992))*0.00005),ABS($E1992-INDEX('AH History'!$D$1:$D$18046,$H1992))&lt;=0.00005,$F1992=INDEX('AH History'!$E$1:$E$18046,$H1992),$G1992=INDEX('AH History'!$F$1:$F$18046,$H1992)),1,-1),-1))</ns0:f>
        <ns0:v/>
      </ns0:c>
    </ns0:row>
    <ns0:row r="1993">
      <ns0:c r="A1993" s="215">
        <ns0:f>IF(OR(AH!$P$3=0,1988+1&gt;AH!$P$11,AND(AH!$E$4&lt;&gt;"Stored",AH!$P$10&lt;&gt;1)),"",IFERROR(IF(AND(AH!$P$21=1,1988+1=AH!$P$11),TODAY(),IF(AH!$P$10=1,INDEX('Live History'!$A$5:$A$3004,AH!$P$13+1988),INDEX('AH History'!$A$1:$A$18046,AH!$P$7+1988))),""))</ns0:f>
        <ns0:v/>
      </ns0:c>
      <ns0:c r="B1993" s="219">
        <ns0:f>IFERROR(IF(AND(AH!$P$9&lt;&gt;1,$C1993&gt;0,$D1993&gt;0,$E1993&gt;0,$F1993&gt;0,$G1993&gt;0,$F1993&lt;=$A1993,$G1993&lt;=$A1993,$A1993-$F1993&lt;=10,$A1993-$G1993&lt;=5),$D1993*$E1993/$C1993-1,NA()),NA())</ns0:f>
        <ns0:v/>
      </ns0:c>
      <ns0:c r="C1993">
        <ns0:f>IFERROR(IF(ISNUMBER($A1993),IF(AND(AH!$P$10=1,AH!$P$12=1,$A1993=TODAY()),AH!$P$19,IF(AH!$P$10=1,INDEX('Live History'!$B$5:$B$3004,AH!$P$13+1988),INDEX('AH History'!$B$1:$B$18046,AH!$P$7+1988))),NA()),NA())</ns0:f>
        <ns0:v/>
      </ns0:c>
      <ns0:c r="D1993">
        <ns0:f>IFERROR(IF(ISNUMBER($A1993),IF(AND(AH!$P$10=1,AH!$P$12=1,$A1993=TODAY()),AH!$P$18,IF(AH!$P$10=1,INDEX('Live History'!$E$5:$E$3004,MATCH($A1993,'Live History'!$D$5:$D$3004,1)),INDEX('AH History'!$C$1:$C$18046,AH!$P$7+1988))),NA()),NA())</ns0:f>
        <ns0:v/>
      </ns0:c>
      <ns0:c r="E1993">
        <ns0:f>IFERROR(IF(ISNUMBER($A1993),IF(AND(AH!$P$10=1,AH!$P$12=1,$A1993=TODAY()),AH!$P$20,IF(AH!$P$10=1,INDEX('Live History'!$H$5:$H$3004,MATCH($A1993,'Live History'!$G$5:$G$3004,1)),INDEX('AH History'!$D$1:$D$18046,AH!$P$7+1988))),NA()),NA())</ns0:f>
        <ns0:v/>
      </ns0:c>
      <ns0:c r="F1993">
        <ns0:f>IFERROR(IF(ISNUMBER($A1993),IF(AND(AH!$P$10=1,AH!$P$12=1,$A1993=TODAY()),IF(AND(AH!$P$10=1,AH!$P$12=1,$A1993=TODAY()),TODAY(),NA()),IF(AH!$P$10=1,INDEX('Live History'!$D$5:$D$3004,MATCH($A1993,'Live History'!$D$5:$D$3004,1)),INDEX('AH History'!$E$1:$E$18046,AH!$P$7+1988))),NA()),NA())</ns0:f>
        <ns0:v/>
      </ns0:c>
      <ns0:c r="G1993">
        <ns0:f>IFERROR(IF(ISNUMBER($A1993),IF(AND(AH!$P$10=1,AH!$P$12=1,$A1993=TODAY()),IF(AND(AH!$P$10=1,AH!$P$12=1,$A1993=TODAY()),TODAY(),NA()),IF(AH!$P$10=1,INDEX('Live History'!$G$5:$G$3004,MATCH($A1993,'Live History'!$G$5:$G$3004,1)),INDEX('AH History'!$F$1:$F$18046,AH!$P$7+1988))),NA()),NA())</ns0:f>
        <ns0:v/>
      </ns0:c>
      <ns0:c r="H1993">
        <ns0:f>IFERROR(IF(AND(AH!$E$4="Bloomberg",AH!$P$10=1,ISNUMBER($A1993),$A1993&lt;=AH!$P$17),AH!$P$7-1+MATCH($A1993,INDEX('AH History'!$A$1:$A$18046,AH!$P$7):INDEX('AH History'!$A$1:$A$18046,AH!$P$7+AH!$P$8-1),0),0),0)</ns0:f>
        <ns0:v/>
      </ns0:c>
      <ns0:c r="I1993">
        <ns0:f>IF($H1993=0,0,IFERROR(IF(AND(ABS($C1993-INDEX('AH History'!$B$1:$B$18046,$H1993))&lt;=MAX(0.005,ABS(INDEX('AH History'!$B$1:$B$18046,$H1993))*0.00005),ABS($D1993-INDEX('AH History'!$C$1:$C$18046,$H1993))&lt;=MAX(0.005,ABS(INDEX('AH History'!$C$1:$C$18046,$H1993))*0.00005),ABS($E1993-INDEX('AH History'!$D$1:$D$18046,$H1993))&lt;=0.00005,$F1993=INDEX('AH History'!$E$1:$E$18046,$H1993),$G1993=INDEX('AH History'!$F$1:$F$18046,$H1993)),1,-1),-1))</ns0:f>
        <ns0:v/>
      </ns0:c>
    </ns0:row>
    <ns0:row r="1994">
      <ns0:c r="A1994" s="215">
        <ns0:f>IF(OR(AH!$P$3=0,1989+1&gt;AH!$P$11,AND(AH!$E$4&lt;&gt;"Stored",AH!$P$10&lt;&gt;1)),"",IFERROR(IF(AND(AH!$P$21=1,1989+1=AH!$P$11),TODAY(),IF(AH!$P$10=1,INDEX('Live History'!$A$5:$A$3004,AH!$P$13+1989),INDEX('AH History'!$A$1:$A$18046,AH!$P$7+1989))),""))</ns0:f>
        <ns0:v/>
      </ns0:c>
      <ns0:c r="B1994" s="219">
        <ns0:f>IFERROR(IF(AND(AH!$P$9&lt;&gt;1,$C1994&gt;0,$D1994&gt;0,$E1994&gt;0,$F1994&gt;0,$G1994&gt;0,$F1994&lt;=$A1994,$G1994&lt;=$A1994,$A1994-$F1994&lt;=10,$A1994-$G1994&lt;=5),$D1994*$E1994/$C1994-1,NA()),NA())</ns0:f>
        <ns0:v/>
      </ns0:c>
      <ns0:c r="C1994">
        <ns0:f>IFERROR(IF(ISNUMBER($A1994),IF(AND(AH!$P$10=1,AH!$P$12=1,$A1994=TODAY()),AH!$P$19,IF(AH!$P$10=1,INDEX('Live History'!$B$5:$B$3004,AH!$P$13+1989),INDEX('AH History'!$B$1:$B$18046,AH!$P$7+1989))),NA()),NA())</ns0:f>
        <ns0:v/>
      </ns0:c>
      <ns0:c r="D1994">
        <ns0:f>IFERROR(IF(ISNUMBER($A1994),IF(AND(AH!$P$10=1,AH!$P$12=1,$A1994=TODAY()),AH!$P$18,IF(AH!$P$10=1,INDEX('Live History'!$E$5:$E$3004,MATCH($A1994,'Live History'!$D$5:$D$3004,1)),INDEX('AH History'!$C$1:$C$18046,AH!$P$7+1989))),NA()),NA())</ns0:f>
        <ns0:v/>
      </ns0:c>
      <ns0:c r="E1994">
        <ns0:f>IFERROR(IF(ISNUMBER($A1994),IF(AND(AH!$P$10=1,AH!$P$12=1,$A1994=TODAY()),AH!$P$20,IF(AH!$P$10=1,INDEX('Live History'!$H$5:$H$3004,MATCH($A1994,'Live History'!$G$5:$G$3004,1)),INDEX('AH History'!$D$1:$D$18046,AH!$P$7+1989))),NA()),NA())</ns0:f>
        <ns0:v/>
      </ns0:c>
      <ns0:c r="F1994">
        <ns0:f>IFERROR(IF(ISNUMBER($A1994),IF(AND(AH!$P$10=1,AH!$P$12=1,$A1994=TODAY()),IF(AND(AH!$P$10=1,AH!$P$12=1,$A1994=TODAY()),TODAY(),NA()),IF(AH!$P$10=1,INDEX('Live History'!$D$5:$D$3004,MATCH($A1994,'Live History'!$D$5:$D$3004,1)),INDEX('AH History'!$E$1:$E$18046,AH!$P$7+1989))),NA()),NA())</ns0:f>
        <ns0:v/>
      </ns0:c>
      <ns0:c r="G1994">
        <ns0:f>IFERROR(IF(ISNUMBER($A1994),IF(AND(AH!$P$10=1,AH!$P$12=1,$A1994=TODAY()),IF(AND(AH!$P$10=1,AH!$P$12=1,$A1994=TODAY()),TODAY(),NA()),IF(AH!$P$10=1,INDEX('Live History'!$G$5:$G$3004,MATCH($A1994,'Live History'!$G$5:$G$3004,1)),INDEX('AH History'!$F$1:$F$18046,AH!$P$7+1989))),NA()),NA())</ns0:f>
        <ns0:v/>
      </ns0:c>
      <ns0:c r="H1994">
        <ns0:f>IFERROR(IF(AND(AH!$E$4="Bloomberg",AH!$P$10=1,ISNUMBER($A1994),$A1994&lt;=AH!$P$17),AH!$P$7-1+MATCH($A1994,INDEX('AH History'!$A$1:$A$18046,AH!$P$7):INDEX('AH History'!$A$1:$A$18046,AH!$P$7+AH!$P$8-1),0),0),0)</ns0:f>
        <ns0:v/>
      </ns0:c>
      <ns0:c r="I1994">
        <ns0:f>IF($H1994=0,0,IFERROR(IF(AND(ABS($C1994-INDEX('AH History'!$B$1:$B$18046,$H1994))&lt;=MAX(0.005,ABS(INDEX('AH History'!$B$1:$B$18046,$H1994))*0.00005),ABS($D1994-INDEX('AH History'!$C$1:$C$18046,$H1994))&lt;=MAX(0.005,ABS(INDEX('AH History'!$C$1:$C$18046,$H1994))*0.00005),ABS($E1994-INDEX('AH History'!$D$1:$D$18046,$H1994))&lt;=0.00005,$F1994=INDEX('AH History'!$E$1:$E$18046,$H1994),$G1994=INDEX('AH History'!$F$1:$F$18046,$H1994)),1,-1),-1))</ns0:f>
        <ns0:v/>
      </ns0:c>
    </ns0:row>
    <ns0:row r="1995">
      <ns0:c r="A1995" s="215">
        <ns0:f>IF(OR(AH!$P$3=0,1990+1&gt;AH!$P$11,AND(AH!$E$4&lt;&gt;"Stored",AH!$P$10&lt;&gt;1)),"",IFERROR(IF(AND(AH!$P$21=1,1990+1=AH!$P$11),TODAY(),IF(AH!$P$10=1,INDEX('Live History'!$A$5:$A$3004,AH!$P$13+1990),INDEX('AH History'!$A$1:$A$18046,AH!$P$7+1990))),""))</ns0:f>
        <ns0:v/>
      </ns0:c>
      <ns0:c r="B1995" s="219">
        <ns0:f>IFERROR(IF(AND(AH!$P$9&lt;&gt;1,$C1995&gt;0,$D1995&gt;0,$E1995&gt;0,$F1995&gt;0,$G1995&gt;0,$F1995&lt;=$A1995,$G1995&lt;=$A1995,$A1995-$F1995&lt;=10,$A1995-$G1995&lt;=5),$D1995*$E1995/$C1995-1,NA()),NA())</ns0:f>
        <ns0:v/>
      </ns0:c>
      <ns0:c r="C1995">
        <ns0:f>IFERROR(IF(ISNUMBER($A1995),IF(AND(AH!$P$10=1,AH!$P$12=1,$A1995=TODAY()),AH!$P$19,IF(AH!$P$10=1,INDEX('Live History'!$B$5:$B$3004,AH!$P$13+1990),INDEX('AH History'!$B$1:$B$18046,AH!$P$7+1990))),NA()),NA())</ns0:f>
        <ns0:v/>
      </ns0:c>
      <ns0:c r="D1995">
        <ns0:f>IFERROR(IF(ISNUMBER($A1995),IF(AND(AH!$P$10=1,AH!$P$12=1,$A1995=TODAY()),AH!$P$18,IF(AH!$P$10=1,INDEX('Live History'!$E$5:$E$3004,MATCH($A1995,'Live History'!$D$5:$D$3004,1)),INDEX('AH History'!$C$1:$C$18046,AH!$P$7+1990))),NA()),NA())</ns0:f>
        <ns0:v/>
      </ns0:c>
      <ns0:c r="E1995">
        <ns0:f>IFERROR(IF(ISNUMBER($A1995),IF(AND(AH!$P$10=1,AH!$P$12=1,$A1995=TODAY()),AH!$P$20,IF(AH!$P$10=1,INDEX('Live History'!$H$5:$H$3004,MATCH($A1995,'Live History'!$G$5:$G$3004,1)),INDEX('AH History'!$D$1:$D$18046,AH!$P$7+1990))),NA()),NA())</ns0:f>
        <ns0:v/>
      </ns0:c>
      <ns0:c r="F1995">
        <ns0:f>IFERROR(IF(ISNUMBER($A1995),IF(AND(AH!$P$10=1,AH!$P$12=1,$A1995=TODAY()),IF(AND(AH!$P$10=1,AH!$P$12=1,$A1995=TODAY()),TODAY(),NA()),IF(AH!$P$10=1,INDEX('Live History'!$D$5:$D$3004,MATCH($A1995,'Live History'!$D$5:$D$3004,1)),INDEX('AH History'!$E$1:$E$18046,AH!$P$7+1990))),NA()),NA())</ns0:f>
        <ns0:v/>
      </ns0:c>
      <ns0:c r="G1995">
        <ns0:f>IFERROR(IF(ISNUMBER($A1995),IF(AND(AH!$P$10=1,AH!$P$12=1,$A1995=TODAY()),IF(AND(AH!$P$10=1,AH!$P$12=1,$A1995=TODAY()),TODAY(),NA()),IF(AH!$P$10=1,INDEX('Live History'!$G$5:$G$3004,MATCH($A1995,'Live History'!$G$5:$G$3004,1)),INDEX('AH History'!$F$1:$F$18046,AH!$P$7+1990))),NA()),NA())</ns0:f>
        <ns0:v/>
      </ns0:c>
      <ns0:c r="H1995">
        <ns0:f>IFERROR(IF(AND(AH!$E$4="Bloomberg",AH!$P$10=1,ISNUMBER($A1995),$A1995&lt;=AH!$P$17),AH!$P$7-1+MATCH($A1995,INDEX('AH History'!$A$1:$A$18046,AH!$P$7):INDEX('AH History'!$A$1:$A$18046,AH!$P$7+AH!$P$8-1),0),0),0)</ns0:f>
        <ns0:v/>
      </ns0:c>
      <ns0:c r="I1995">
        <ns0:f>IF($H1995=0,0,IFERROR(IF(AND(ABS($C1995-INDEX('AH History'!$B$1:$B$18046,$H1995))&lt;=MAX(0.005,ABS(INDEX('AH History'!$B$1:$B$18046,$H1995))*0.00005),ABS($D1995-INDEX('AH History'!$C$1:$C$18046,$H1995))&lt;=MAX(0.005,ABS(INDEX('AH History'!$C$1:$C$18046,$H1995))*0.00005),ABS($E1995-INDEX('AH History'!$D$1:$D$18046,$H1995))&lt;=0.00005,$F1995=INDEX('AH History'!$E$1:$E$18046,$H1995),$G1995=INDEX('AH History'!$F$1:$F$18046,$H1995)),1,-1),-1))</ns0:f>
        <ns0:v/>
      </ns0:c>
    </ns0:row>
    <ns0:row r="1996">
      <ns0:c r="A1996" s="215">
        <ns0:f>IF(OR(AH!$P$3=0,1991+1&gt;AH!$P$11,AND(AH!$E$4&lt;&gt;"Stored",AH!$P$10&lt;&gt;1)),"",IFERROR(IF(AND(AH!$P$21=1,1991+1=AH!$P$11),TODAY(),IF(AH!$P$10=1,INDEX('Live History'!$A$5:$A$3004,AH!$P$13+1991),INDEX('AH History'!$A$1:$A$18046,AH!$P$7+1991))),""))</ns0:f>
        <ns0:v/>
      </ns0:c>
      <ns0:c r="B1996" s="219">
        <ns0:f>IFERROR(IF(AND(AH!$P$9&lt;&gt;1,$C1996&gt;0,$D1996&gt;0,$E1996&gt;0,$F1996&gt;0,$G1996&gt;0,$F1996&lt;=$A1996,$G1996&lt;=$A1996,$A1996-$F1996&lt;=10,$A1996-$G1996&lt;=5),$D1996*$E1996/$C1996-1,NA()),NA())</ns0:f>
        <ns0:v/>
      </ns0:c>
      <ns0:c r="C1996">
        <ns0:f>IFERROR(IF(ISNUMBER($A1996),IF(AND(AH!$P$10=1,AH!$P$12=1,$A1996=TODAY()),AH!$P$19,IF(AH!$P$10=1,INDEX('Live History'!$B$5:$B$3004,AH!$P$13+1991),INDEX('AH History'!$B$1:$B$18046,AH!$P$7+1991))),NA()),NA())</ns0:f>
        <ns0:v/>
      </ns0:c>
      <ns0:c r="D1996">
        <ns0:f>IFERROR(IF(ISNUMBER($A1996),IF(AND(AH!$P$10=1,AH!$P$12=1,$A1996=TODAY()),AH!$P$18,IF(AH!$P$10=1,INDEX('Live History'!$E$5:$E$3004,MATCH($A1996,'Live History'!$D$5:$D$3004,1)),INDEX('AH History'!$C$1:$C$18046,AH!$P$7+1991))),NA()),NA())</ns0:f>
        <ns0:v/>
      </ns0:c>
      <ns0:c r="E1996">
        <ns0:f>IFERROR(IF(ISNUMBER($A1996),IF(AND(AH!$P$10=1,AH!$P$12=1,$A1996=TODAY()),AH!$P$20,IF(AH!$P$10=1,INDEX('Live History'!$H$5:$H$3004,MATCH($A1996,'Live History'!$G$5:$G$3004,1)),INDEX('AH History'!$D$1:$D$18046,AH!$P$7+1991))),NA()),NA())</ns0:f>
        <ns0:v/>
      </ns0:c>
      <ns0:c r="F1996">
        <ns0:f>IFERROR(IF(ISNUMBER($A1996),IF(AND(AH!$P$10=1,AH!$P$12=1,$A1996=TODAY()),IF(AND(AH!$P$10=1,AH!$P$12=1,$A1996=TODAY()),TODAY(),NA()),IF(AH!$P$10=1,INDEX('Live History'!$D$5:$D$3004,MATCH($A1996,'Live History'!$D$5:$D$3004,1)),INDEX('AH History'!$E$1:$E$18046,AH!$P$7+1991))),NA()),NA())</ns0:f>
        <ns0:v/>
      </ns0:c>
      <ns0:c r="G1996">
        <ns0:f>IFERROR(IF(ISNUMBER($A1996),IF(AND(AH!$P$10=1,AH!$P$12=1,$A1996=TODAY()),IF(AND(AH!$P$10=1,AH!$P$12=1,$A1996=TODAY()),TODAY(),NA()),IF(AH!$P$10=1,INDEX('Live History'!$G$5:$G$3004,MATCH($A1996,'Live History'!$G$5:$G$3004,1)),INDEX('AH History'!$F$1:$F$18046,AH!$P$7+1991))),NA()),NA())</ns0:f>
        <ns0:v/>
      </ns0:c>
      <ns0:c r="H1996">
        <ns0:f>IFERROR(IF(AND(AH!$E$4="Bloomberg",AH!$P$10=1,ISNUMBER($A1996),$A1996&lt;=AH!$P$17),AH!$P$7-1+MATCH($A1996,INDEX('AH History'!$A$1:$A$18046,AH!$P$7):INDEX('AH History'!$A$1:$A$18046,AH!$P$7+AH!$P$8-1),0),0),0)</ns0:f>
        <ns0:v/>
      </ns0:c>
      <ns0:c r="I1996">
        <ns0:f>IF($H1996=0,0,IFERROR(IF(AND(ABS($C1996-INDEX('AH History'!$B$1:$B$18046,$H1996))&lt;=MAX(0.005,ABS(INDEX('AH History'!$B$1:$B$18046,$H1996))*0.00005),ABS($D1996-INDEX('AH History'!$C$1:$C$18046,$H1996))&lt;=MAX(0.005,ABS(INDEX('AH History'!$C$1:$C$18046,$H1996))*0.00005),ABS($E1996-INDEX('AH History'!$D$1:$D$18046,$H1996))&lt;=0.00005,$F1996=INDEX('AH History'!$E$1:$E$18046,$H1996),$G1996=INDEX('AH History'!$F$1:$F$18046,$H1996)),1,-1),-1))</ns0:f>
        <ns0:v/>
      </ns0:c>
    </ns0:row>
    <ns0:row r="1997">
      <ns0:c r="A1997" s="215">
        <ns0:f>IF(OR(AH!$P$3=0,1992+1&gt;AH!$P$11,AND(AH!$E$4&lt;&gt;"Stored",AH!$P$10&lt;&gt;1)),"",IFERROR(IF(AND(AH!$P$21=1,1992+1=AH!$P$11),TODAY(),IF(AH!$P$10=1,INDEX('Live History'!$A$5:$A$3004,AH!$P$13+1992),INDEX('AH History'!$A$1:$A$18046,AH!$P$7+1992))),""))</ns0:f>
        <ns0:v/>
      </ns0:c>
      <ns0:c r="B1997" s="219">
        <ns0:f>IFERROR(IF(AND(AH!$P$9&lt;&gt;1,$C1997&gt;0,$D1997&gt;0,$E1997&gt;0,$F1997&gt;0,$G1997&gt;0,$F1997&lt;=$A1997,$G1997&lt;=$A1997,$A1997-$F1997&lt;=10,$A1997-$G1997&lt;=5),$D1997*$E1997/$C1997-1,NA()),NA())</ns0:f>
        <ns0:v/>
      </ns0:c>
      <ns0:c r="C1997">
        <ns0:f>IFERROR(IF(ISNUMBER($A1997),IF(AND(AH!$P$10=1,AH!$P$12=1,$A1997=TODAY()),AH!$P$19,IF(AH!$P$10=1,INDEX('Live History'!$B$5:$B$3004,AH!$P$13+1992),INDEX('AH History'!$B$1:$B$18046,AH!$P$7+1992))),NA()),NA())</ns0:f>
        <ns0:v/>
      </ns0:c>
      <ns0:c r="D1997">
        <ns0:f>IFERROR(IF(ISNUMBER($A1997),IF(AND(AH!$P$10=1,AH!$P$12=1,$A1997=TODAY()),AH!$P$18,IF(AH!$P$10=1,INDEX('Live History'!$E$5:$E$3004,MATCH($A1997,'Live History'!$D$5:$D$3004,1)),INDEX('AH History'!$C$1:$C$18046,AH!$P$7+1992))),NA()),NA())</ns0:f>
        <ns0:v/>
      </ns0:c>
      <ns0:c r="E1997">
        <ns0:f>IFERROR(IF(ISNUMBER($A1997),IF(AND(AH!$P$10=1,AH!$P$12=1,$A1997=TODAY()),AH!$P$20,IF(AH!$P$10=1,INDEX('Live History'!$H$5:$H$3004,MATCH($A1997,'Live History'!$G$5:$G$3004,1)),INDEX('AH History'!$D$1:$D$18046,AH!$P$7+1992))),NA()),NA())</ns0:f>
        <ns0:v/>
      </ns0:c>
      <ns0:c r="F1997">
        <ns0:f>IFERROR(IF(ISNUMBER($A1997),IF(AND(AH!$P$10=1,AH!$P$12=1,$A1997=TODAY()),IF(AND(AH!$P$10=1,AH!$P$12=1,$A1997=TODAY()),TODAY(),NA()),IF(AH!$P$10=1,INDEX('Live History'!$D$5:$D$3004,MATCH($A1997,'Live History'!$D$5:$D$3004,1)),INDEX('AH History'!$E$1:$E$18046,AH!$P$7+1992))),NA()),NA())</ns0:f>
        <ns0:v/>
      </ns0:c>
      <ns0:c r="G1997">
        <ns0:f>IFERROR(IF(ISNUMBER($A1997),IF(AND(AH!$P$10=1,AH!$P$12=1,$A1997=TODAY()),IF(AND(AH!$P$10=1,AH!$P$12=1,$A1997=TODAY()),TODAY(),NA()),IF(AH!$P$10=1,INDEX('Live History'!$G$5:$G$3004,MATCH($A1997,'Live History'!$G$5:$G$3004,1)),INDEX('AH History'!$F$1:$F$18046,AH!$P$7+1992))),NA()),NA())</ns0:f>
        <ns0:v/>
      </ns0:c>
      <ns0:c r="H1997">
        <ns0:f>IFERROR(IF(AND(AH!$E$4="Bloomberg",AH!$P$10=1,ISNUMBER($A1997),$A1997&lt;=AH!$P$17),AH!$P$7-1+MATCH($A1997,INDEX('AH History'!$A$1:$A$18046,AH!$P$7):INDEX('AH History'!$A$1:$A$18046,AH!$P$7+AH!$P$8-1),0),0),0)</ns0:f>
        <ns0:v/>
      </ns0:c>
      <ns0:c r="I1997">
        <ns0:f>IF($H1997=0,0,IFERROR(IF(AND(ABS($C1997-INDEX('AH History'!$B$1:$B$18046,$H1997))&lt;=MAX(0.005,ABS(INDEX('AH History'!$B$1:$B$18046,$H1997))*0.00005),ABS($D1997-INDEX('AH History'!$C$1:$C$18046,$H1997))&lt;=MAX(0.005,ABS(INDEX('AH History'!$C$1:$C$18046,$H1997))*0.00005),ABS($E1997-INDEX('AH History'!$D$1:$D$18046,$H1997))&lt;=0.00005,$F1997=INDEX('AH History'!$E$1:$E$18046,$H1997),$G1997=INDEX('AH History'!$F$1:$F$18046,$H1997)),1,-1),-1))</ns0:f>
        <ns0:v/>
      </ns0:c>
    </ns0:row>
    <ns0:row r="1998">
      <ns0:c r="A1998" s="215">
        <ns0:f>IF(OR(AH!$P$3=0,1993+1&gt;AH!$P$11,AND(AH!$E$4&lt;&gt;"Stored",AH!$P$10&lt;&gt;1)),"",IFERROR(IF(AND(AH!$P$21=1,1993+1=AH!$P$11),TODAY(),IF(AH!$P$10=1,INDEX('Live History'!$A$5:$A$3004,AH!$P$13+1993),INDEX('AH History'!$A$1:$A$18046,AH!$P$7+1993))),""))</ns0:f>
        <ns0:v/>
      </ns0:c>
      <ns0:c r="B1998" s="219">
        <ns0:f>IFERROR(IF(AND(AH!$P$9&lt;&gt;1,$C1998&gt;0,$D1998&gt;0,$E1998&gt;0,$F1998&gt;0,$G1998&gt;0,$F1998&lt;=$A1998,$G1998&lt;=$A1998,$A1998-$F1998&lt;=10,$A1998-$G1998&lt;=5),$D1998*$E1998/$C1998-1,NA()),NA())</ns0:f>
        <ns0:v/>
      </ns0:c>
      <ns0:c r="C1998">
        <ns0:f>IFERROR(IF(ISNUMBER($A1998),IF(AND(AH!$P$10=1,AH!$P$12=1,$A1998=TODAY()),AH!$P$19,IF(AH!$P$10=1,INDEX('Live History'!$B$5:$B$3004,AH!$P$13+1993),INDEX('AH History'!$B$1:$B$18046,AH!$P$7+1993))),NA()),NA())</ns0:f>
        <ns0:v/>
      </ns0:c>
      <ns0:c r="D1998">
        <ns0:f>IFERROR(IF(ISNUMBER($A1998),IF(AND(AH!$P$10=1,AH!$P$12=1,$A1998=TODAY()),AH!$P$18,IF(AH!$P$10=1,INDEX('Live History'!$E$5:$E$3004,MATCH($A1998,'Live History'!$D$5:$D$3004,1)),INDEX('AH History'!$C$1:$C$18046,AH!$P$7+1993))),NA()),NA())</ns0:f>
        <ns0:v/>
      </ns0:c>
      <ns0:c r="E1998">
        <ns0:f>IFERROR(IF(ISNUMBER($A1998),IF(AND(AH!$P$10=1,AH!$P$12=1,$A1998=TODAY()),AH!$P$20,IF(AH!$P$10=1,INDEX('Live History'!$H$5:$H$3004,MATCH($A1998,'Live History'!$G$5:$G$3004,1)),INDEX('AH History'!$D$1:$D$18046,AH!$P$7+1993))),NA()),NA())</ns0:f>
        <ns0:v/>
      </ns0:c>
      <ns0:c r="F1998">
        <ns0:f>IFERROR(IF(ISNUMBER($A1998),IF(AND(AH!$P$10=1,AH!$P$12=1,$A1998=TODAY()),IF(AND(AH!$P$10=1,AH!$P$12=1,$A1998=TODAY()),TODAY(),NA()),IF(AH!$P$10=1,INDEX('Live History'!$D$5:$D$3004,MATCH($A1998,'Live History'!$D$5:$D$3004,1)),INDEX('AH History'!$E$1:$E$18046,AH!$P$7+1993))),NA()),NA())</ns0:f>
        <ns0:v/>
      </ns0:c>
      <ns0:c r="G1998">
        <ns0:f>IFERROR(IF(ISNUMBER($A1998),IF(AND(AH!$P$10=1,AH!$P$12=1,$A1998=TODAY()),IF(AND(AH!$P$10=1,AH!$P$12=1,$A1998=TODAY()),TODAY(),NA()),IF(AH!$P$10=1,INDEX('Live History'!$G$5:$G$3004,MATCH($A1998,'Live History'!$G$5:$G$3004,1)),INDEX('AH History'!$F$1:$F$18046,AH!$P$7+1993))),NA()),NA())</ns0:f>
        <ns0:v/>
      </ns0:c>
      <ns0:c r="H1998">
        <ns0:f>IFERROR(IF(AND(AH!$E$4="Bloomberg",AH!$P$10=1,ISNUMBER($A1998),$A1998&lt;=AH!$P$17),AH!$P$7-1+MATCH($A1998,INDEX('AH History'!$A$1:$A$18046,AH!$P$7):INDEX('AH History'!$A$1:$A$18046,AH!$P$7+AH!$P$8-1),0),0),0)</ns0:f>
        <ns0:v/>
      </ns0:c>
      <ns0:c r="I1998">
        <ns0:f>IF($H1998=0,0,IFERROR(IF(AND(ABS($C1998-INDEX('AH History'!$B$1:$B$18046,$H1998))&lt;=MAX(0.005,ABS(INDEX('AH History'!$B$1:$B$18046,$H1998))*0.00005),ABS($D1998-INDEX('AH History'!$C$1:$C$18046,$H1998))&lt;=MAX(0.005,ABS(INDEX('AH History'!$C$1:$C$18046,$H1998))*0.00005),ABS($E1998-INDEX('AH History'!$D$1:$D$18046,$H1998))&lt;=0.00005,$F1998=INDEX('AH History'!$E$1:$E$18046,$H1998),$G1998=INDEX('AH History'!$F$1:$F$18046,$H1998)),1,-1),-1))</ns0:f>
        <ns0:v/>
      </ns0:c>
    </ns0:row>
    <ns0:row r="1999">
      <ns0:c r="A1999" s="215">
        <ns0:f>IF(OR(AH!$P$3=0,1994+1&gt;AH!$P$11,AND(AH!$E$4&lt;&gt;"Stored",AH!$P$10&lt;&gt;1)),"",IFERROR(IF(AND(AH!$P$21=1,1994+1=AH!$P$11),TODAY(),IF(AH!$P$10=1,INDEX('Live History'!$A$5:$A$3004,AH!$P$13+1994),INDEX('AH History'!$A$1:$A$18046,AH!$P$7+1994))),""))</ns0:f>
        <ns0:v/>
      </ns0:c>
      <ns0:c r="B1999" s="219">
        <ns0:f>IFERROR(IF(AND(AH!$P$9&lt;&gt;1,$C1999&gt;0,$D1999&gt;0,$E1999&gt;0,$F1999&gt;0,$G1999&gt;0,$F1999&lt;=$A1999,$G1999&lt;=$A1999,$A1999-$F1999&lt;=10,$A1999-$G1999&lt;=5),$D1999*$E1999/$C1999-1,NA()),NA())</ns0:f>
        <ns0:v/>
      </ns0:c>
      <ns0:c r="C1999">
        <ns0:f>IFERROR(IF(ISNUMBER($A1999),IF(AND(AH!$P$10=1,AH!$P$12=1,$A1999=TODAY()),AH!$P$19,IF(AH!$P$10=1,INDEX('Live History'!$B$5:$B$3004,AH!$P$13+1994),INDEX('AH History'!$B$1:$B$18046,AH!$P$7+1994))),NA()),NA())</ns0:f>
        <ns0:v/>
      </ns0:c>
      <ns0:c r="D1999">
        <ns0:f>IFERROR(IF(ISNUMBER($A1999),IF(AND(AH!$P$10=1,AH!$P$12=1,$A1999=TODAY()),AH!$P$18,IF(AH!$P$10=1,INDEX('Live History'!$E$5:$E$3004,MATCH($A1999,'Live History'!$D$5:$D$3004,1)),INDEX('AH History'!$C$1:$C$18046,AH!$P$7+1994))),NA()),NA())</ns0:f>
        <ns0:v/>
      </ns0:c>
      <ns0:c r="E1999">
        <ns0:f>IFERROR(IF(ISNUMBER($A1999),IF(AND(AH!$P$10=1,AH!$P$12=1,$A1999=TODAY()),AH!$P$20,IF(AH!$P$10=1,INDEX('Live History'!$H$5:$H$3004,MATCH($A1999,'Live History'!$G$5:$G$3004,1)),INDEX('AH History'!$D$1:$D$18046,AH!$P$7+1994))),NA()),NA())</ns0:f>
        <ns0:v/>
      </ns0:c>
      <ns0:c r="F1999">
        <ns0:f>IFERROR(IF(ISNUMBER($A1999),IF(AND(AH!$P$10=1,AH!$P$12=1,$A1999=TODAY()),IF(AND(AH!$P$10=1,AH!$P$12=1,$A1999=TODAY()),TODAY(),NA()),IF(AH!$P$10=1,INDEX('Live History'!$D$5:$D$3004,MATCH($A1999,'Live History'!$D$5:$D$3004,1)),INDEX('AH History'!$E$1:$E$18046,AH!$P$7+1994))),NA()),NA())</ns0:f>
        <ns0:v/>
      </ns0:c>
      <ns0:c r="G1999">
        <ns0:f>IFERROR(IF(ISNUMBER($A1999),IF(AND(AH!$P$10=1,AH!$P$12=1,$A1999=TODAY()),IF(AND(AH!$P$10=1,AH!$P$12=1,$A1999=TODAY()),TODAY(),NA()),IF(AH!$P$10=1,INDEX('Live History'!$G$5:$G$3004,MATCH($A1999,'Live History'!$G$5:$G$3004,1)),INDEX('AH History'!$F$1:$F$18046,AH!$P$7+1994))),NA()),NA())</ns0:f>
        <ns0:v/>
      </ns0:c>
      <ns0:c r="H1999">
        <ns0:f>IFERROR(IF(AND(AH!$E$4="Bloomberg",AH!$P$10=1,ISNUMBER($A1999),$A1999&lt;=AH!$P$17),AH!$P$7-1+MATCH($A1999,INDEX('AH History'!$A$1:$A$18046,AH!$P$7):INDEX('AH History'!$A$1:$A$18046,AH!$P$7+AH!$P$8-1),0),0),0)</ns0:f>
        <ns0:v/>
      </ns0:c>
      <ns0:c r="I1999">
        <ns0:f>IF($H1999=0,0,IFERROR(IF(AND(ABS($C1999-INDEX('AH History'!$B$1:$B$18046,$H1999))&lt;=MAX(0.005,ABS(INDEX('AH History'!$B$1:$B$18046,$H1999))*0.00005),ABS($D1999-INDEX('AH History'!$C$1:$C$18046,$H1999))&lt;=MAX(0.005,ABS(INDEX('AH History'!$C$1:$C$18046,$H1999))*0.00005),ABS($E1999-INDEX('AH History'!$D$1:$D$18046,$H1999))&lt;=0.00005,$F1999=INDEX('AH History'!$E$1:$E$18046,$H1999),$G1999=INDEX('AH History'!$F$1:$F$18046,$H1999)),1,-1),-1))</ns0:f>
        <ns0:v/>
      </ns0:c>
    </ns0:row>
    <ns0:row r="2000">
      <ns0:c r="A2000" s="215">
        <ns0:f>IF(OR(AH!$P$3=0,1995+1&gt;AH!$P$11,AND(AH!$E$4&lt;&gt;"Stored",AH!$P$10&lt;&gt;1)),"",IFERROR(IF(AND(AH!$P$21=1,1995+1=AH!$P$11),TODAY(),IF(AH!$P$10=1,INDEX('Live History'!$A$5:$A$3004,AH!$P$13+1995),INDEX('AH History'!$A$1:$A$18046,AH!$P$7+1995))),""))</ns0:f>
        <ns0:v/>
      </ns0:c>
      <ns0:c r="B2000" s="219">
        <ns0:f>IFERROR(IF(AND(AH!$P$9&lt;&gt;1,$C2000&gt;0,$D2000&gt;0,$E2000&gt;0,$F2000&gt;0,$G2000&gt;0,$F2000&lt;=$A2000,$G2000&lt;=$A2000,$A2000-$F2000&lt;=10,$A2000-$G2000&lt;=5),$D2000*$E2000/$C2000-1,NA()),NA())</ns0:f>
        <ns0:v/>
      </ns0:c>
      <ns0:c r="C2000">
        <ns0:f>IFERROR(IF(ISNUMBER($A2000),IF(AND(AH!$P$10=1,AH!$P$12=1,$A2000=TODAY()),AH!$P$19,IF(AH!$P$10=1,INDEX('Live History'!$B$5:$B$3004,AH!$P$13+1995),INDEX('AH History'!$B$1:$B$18046,AH!$P$7+1995))),NA()),NA())</ns0:f>
        <ns0:v/>
      </ns0:c>
      <ns0:c r="D2000">
        <ns0:f>IFERROR(IF(ISNUMBER($A2000),IF(AND(AH!$P$10=1,AH!$P$12=1,$A2000=TODAY()),AH!$P$18,IF(AH!$P$10=1,INDEX('Live History'!$E$5:$E$3004,MATCH($A2000,'Live History'!$D$5:$D$3004,1)),INDEX('AH History'!$C$1:$C$18046,AH!$P$7+1995))),NA()),NA())</ns0:f>
        <ns0:v/>
      </ns0:c>
      <ns0:c r="E2000">
        <ns0:f>IFERROR(IF(ISNUMBER($A2000),IF(AND(AH!$P$10=1,AH!$P$12=1,$A2000=TODAY()),AH!$P$20,IF(AH!$P$10=1,INDEX('Live History'!$H$5:$H$3004,MATCH($A2000,'Live History'!$G$5:$G$3004,1)),INDEX('AH History'!$D$1:$D$18046,AH!$P$7+1995))),NA()),NA())</ns0:f>
        <ns0:v/>
      </ns0:c>
      <ns0:c r="F2000">
        <ns0:f>IFERROR(IF(ISNUMBER($A2000),IF(AND(AH!$P$10=1,AH!$P$12=1,$A2000=TODAY()),IF(AND(AH!$P$10=1,AH!$P$12=1,$A2000=TODAY()),TODAY(),NA()),IF(AH!$P$10=1,INDEX('Live History'!$D$5:$D$3004,MATCH($A2000,'Live History'!$D$5:$D$3004,1)),INDEX('AH History'!$E$1:$E$18046,AH!$P$7+1995))),NA()),NA())</ns0:f>
        <ns0:v/>
      </ns0:c>
      <ns0:c r="G2000">
        <ns0:f>IFERROR(IF(ISNUMBER($A2000),IF(AND(AH!$P$10=1,AH!$P$12=1,$A2000=TODAY()),IF(AND(AH!$P$10=1,AH!$P$12=1,$A2000=TODAY()),TODAY(),NA()),IF(AH!$P$10=1,INDEX('Live History'!$G$5:$G$3004,MATCH($A2000,'Live History'!$G$5:$G$3004,1)),INDEX('AH History'!$F$1:$F$18046,AH!$P$7+1995))),NA()),NA())</ns0:f>
        <ns0:v/>
      </ns0:c>
      <ns0:c r="H2000">
        <ns0:f>IFERROR(IF(AND(AH!$E$4="Bloomberg",AH!$P$10=1,ISNUMBER($A2000),$A2000&lt;=AH!$P$17),AH!$P$7-1+MATCH($A2000,INDEX('AH History'!$A$1:$A$18046,AH!$P$7):INDEX('AH History'!$A$1:$A$18046,AH!$P$7+AH!$P$8-1),0),0),0)</ns0:f>
        <ns0:v/>
      </ns0:c>
      <ns0:c r="I2000">
        <ns0:f>IF($H2000=0,0,IFERROR(IF(AND(ABS($C2000-INDEX('AH History'!$B$1:$B$18046,$H2000))&lt;=MAX(0.005,ABS(INDEX('AH History'!$B$1:$B$18046,$H2000))*0.00005),ABS($D2000-INDEX('AH History'!$C$1:$C$18046,$H2000))&lt;=MAX(0.005,ABS(INDEX('AH History'!$C$1:$C$18046,$H2000))*0.00005),ABS($E2000-INDEX('AH History'!$D$1:$D$18046,$H2000))&lt;=0.00005,$F2000=INDEX('AH History'!$E$1:$E$18046,$H2000),$G2000=INDEX('AH History'!$F$1:$F$18046,$H2000)),1,-1),-1))</ns0:f>
        <ns0:v/>
      </ns0:c>
    </ns0:row>
    <ns0:row r="2001">
      <ns0:c r="A2001" s="215">
        <ns0:f>IF(OR(AH!$P$3=0,1996+1&gt;AH!$P$11,AND(AH!$E$4&lt;&gt;"Stored",AH!$P$10&lt;&gt;1)),"",IFERROR(IF(AND(AH!$P$21=1,1996+1=AH!$P$11),TODAY(),IF(AH!$P$10=1,INDEX('Live History'!$A$5:$A$3004,AH!$P$13+1996),INDEX('AH History'!$A$1:$A$18046,AH!$P$7+1996))),""))</ns0:f>
        <ns0:v/>
      </ns0:c>
      <ns0:c r="B2001" s="219">
        <ns0:f>IFERROR(IF(AND(AH!$P$9&lt;&gt;1,$C2001&gt;0,$D2001&gt;0,$E2001&gt;0,$F2001&gt;0,$G2001&gt;0,$F2001&lt;=$A2001,$G2001&lt;=$A2001,$A2001-$F2001&lt;=10,$A2001-$G2001&lt;=5),$D2001*$E2001/$C2001-1,NA()),NA())</ns0:f>
        <ns0:v/>
      </ns0:c>
      <ns0:c r="C2001">
        <ns0:f>IFERROR(IF(ISNUMBER($A2001),IF(AND(AH!$P$10=1,AH!$P$12=1,$A2001=TODAY()),AH!$P$19,IF(AH!$P$10=1,INDEX('Live History'!$B$5:$B$3004,AH!$P$13+1996),INDEX('AH History'!$B$1:$B$18046,AH!$P$7+1996))),NA()),NA())</ns0:f>
        <ns0:v/>
      </ns0:c>
      <ns0:c r="D2001">
        <ns0:f>IFERROR(IF(ISNUMBER($A2001),IF(AND(AH!$P$10=1,AH!$P$12=1,$A2001=TODAY()),AH!$P$18,IF(AH!$P$10=1,INDEX('Live History'!$E$5:$E$3004,MATCH($A2001,'Live History'!$D$5:$D$3004,1)),INDEX('AH History'!$C$1:$C$18046,AH!$P$7+1996))),NA()),NA())</ns0:f>
        <ns0:v/>
      </ns0:c>
      <ns0:c r="E2001">
        <ns0:f>IFERROR(IF(ISNUMBER($A2001),IF(AND(AH!$P$10=1,AH!$P$12=1,$A2001=TODAY()),AH!$P$20,IF(AH!$P$10=1,INDEX('Live History'!$H$5:$H$3004,MATCH($A2001,'Live History'!$G$5:$G$3004,1)),INDEX('AH History'!$D$1:$D$18046,AH!$P$7+1996))),NA()),NA())</ns0:f>
        <ns0:v/>
      </ns0:c>
      <ns0:c r="F2001">
        <ns0:f>IFERROR(IF(ISNUMBER($A2001),IF(AND(AH!$P$10=1,AH!$P$12=1,$A2001=TODAY()),IF(AND(AH!$P$10=1,AH!$P$12=1,$A2001=TODAY()),TODAY(),NA()),IF(AH!$P$10=1,INDEX('Live History'!$D$5:$D$3004,MATCH($A2001,'Live History'!$D$5:$D$3004,1)),INDEX('AH History'!$E$1:$E$18046,AH!$P$7+1996))),NA()),NA())</ns0:f>
        <ns0:v/>
      </ns0:c>
      <ns0:c r="G2001">
        <ns0:f>IFERROR(IF(ISNUMBER($A2001),IF(AND(AH!$P$10=1,AH!$P$12=1,$A2001=TODAY()),IF(AND(AH!$P$10=1,AH!$P$12=1,$A2001=TODAY()),TODAY(),NA()),IF(AH!$P$10=1,INDEX('Live History'!$G$5:$G$3004,MATCH($A2001,'Live History'!$G$5:$G$3004,1)),INDEX('AH History'!$F$1:$F$18046,AH!$P$7+1996))),NA()),NA())</ns0:f>
        <ns0:v/>
      </ns0:c>
      <ns0:c r="H2001">
        <ns0:f>IFERROR(IF(AND(AH!$E$4="Bloomberg",AH!$P$10=1,ISNUMBER($A2001),$A2001&lt;=AH!$P$17),AH!$P$7-1+MATCH($A2001,INDEX('AH History'!$A$1:$A$18046,AH!$P$7):INDEX('AH History'!$A$1:$A$18046,AH!$P$7+AH!$P$8-1),0),0),0)</ns0:f>
        <ns0:v/>
      </ns0:c>
      <ns0:c r="I2001">
        <ns0:f>IF($H2001=0,0,IFERROR(IF(AND(ABS($C2001-INDEX('AH History'!$B$1:$B$18046,$H2001))&lt;=MAX(0.005,ABS(INDEX('AH History'!$B$1:$B$18046,$H2001))*0.00005),ABS($D2001-INDEX('AH History'!$C$1:$C$18046,$H2001))&lt;=MAX(0.005,ABS(INDEX('AH History'!$C$1:$C$18046,$H2001))*0.00005),ABS($E2001-INDEX('AH History'!$D$1:$D$18046,$H2001))&lt;=0.00005,$F2001=INDEX('AH History'!$E$1:$E$18046,$H2001),$G2001=INDEX('AH History'!$F$1:$F$18046,$H2001)),1,-1),-1))</ns0:f>
        <ns0:v/>
      </ns0:c>
    </ns0:row>
    <ns0:row r="2002">
      <ns0:c r="A2002" s="215">
        <ns0:f>IF(OR(AH!$P$3=0,1997+1&gt;AH!$P$11,AND(AH!$E$4&lt;&gt;"Stored",AH!$P$10&lt;&gt;1)),"",IFERROR(IF(AND(AH!$P$21=1,1997+1=AH!$P$11),TODAY(),IF(AH!$P$10=1,INDEX('Live History'!$A$5:$A$3004,AH!$P$13+1997),INDEX('AH History'!$A$1:$A$18046,AH!$P$7+1997))),""))</ns0:f>
        <ns0:v/>
      </ns0:c>
      <ns0:c r="B2002" s="219">
        <ns0:f>IFERROR(IF(AND(AH!$P$9&lt;&gt;1,$C2002&gt;0,$D2002&gt;0,$E2002&gt;0,$F2002&gt;0,$G2002&gt;0,$F2002&lt;=$A2002,$G2002&lt;=$A2002,$A2002-$F2002&lt;=10,$A2002-$G2002&lt;=5),$D2002*$E2002/$C2002-1,NA()),NA())</ns0:f>
        <ns0:v/>
      </ns0:c>
      <ns0:c r="C2002">
        <ns0:f>IFERROR(IF(ISNUMBER($A2002),IF(AND(AH!$P$10=1,AH!$P$12=1,$A2002=TODAY()),AH!$P$19,IF(AH!$P$10=1,INDEX('Live History'!$B$5:$B$3004,AH!$P$13+1997),INDEX('AH History'!$B$1:$B$18046,AH!$P$7+1997))),NA()),NA())</ns0:f>
        <ns0:v/>
      </ns0:c>
      <ns0:c r="D2002">
        <ns0:f>IFERROR(IF(ISNUMBER($A2002),IF(AND(AH!$P$10=1,AH!$P$12=1,$A2002=TODAY()),AH!$P$18,IF(AH!$P$10=1,INDEX('Live History'!$E$5:$E$3004,MATCH($A2002,'Live History'!$D$5:$D$3004,1)),INDEX('AH History'!$C$1:$C$18046,AH!$P$7+1997))),NA()),NA())</ns0:f>
        <ns0:v/>
      </ns0:c>
      <ns0:c r="E2002">
        <ns0:f>IFERROR(IF(ISNUMBER($A2002),IF(AND(AH!$P$10=1,AH!$P$12=1,$A2002=TODAY()),AH!$P$20,IF(AH!$P$10=1,INDEX('Live History'!$H$5:$H$3004,MATCH($A2002,'Live History'!$G$5:$G$3004,1)),INDEX('AH History'!$D$1:$D$18046,AH!$P$7+1997))),NA()),NA())</ns0:f>
        <ns0:v/>
      </ns0:c>
      <ns0:c r="F2002">
        <ns0:f>IFERROR(IF(ISNUMBER($A2002),IF(AND(AH!$P$10=1,AH!$P$12=1,$A2002=TODAY()),IF(AND(AH!$P$10=1,AH!$P$12=1,$A2002=TODAY()),TODAY(),NA()),IF(AH!$P$10=1,INDEX('Live History'!$D$5:$D$3004,MATCH($A2002,'Live History'!$D$5:$D$3004,1)),INDEX('AH History'!$E$1:$E$18046,AH!$P$7+1997))),NA()),NA())</ns0:f>
        <ns0:v/>
      </ns0:c>
      <ns0:c r="G2002">
        <ns0:f>IFERROR(IF(ISNUMBER($A2002),IF(AND(AH!$P$10=1,AH!$P$12=1,$A2002=TODAY()),IF(AND(AH!$P$10=1,AH!$P$12=1,$A2002=TODAY()),TODAY(),NA()),IF(AH!$P$10=1,INDEX('Live History'!$G$5:$G$3004,MATCH($A2002,'Live History'!$G$5:$G$3004,1)),INDEX('AH History'!$F$1:$F$18046,AH!$P$7+1997))),NA()),NA())</ns0:f>
        <ns0:v/>
      </ns0:c>
      <ns0:c r="H2002">
        <ns0:f>IFERROR(IF(AND(AH!$E$4="Bloomberg",AH!$P$10=1,ISNUMBER($A2002),$A2002&lt;=AH!$P$17),AH!$P$7-1+MATCH($A2002,INDEX('AH History'!$A$1:$A$18046,AH!$P$7):INDEX('AH History'!$A$1:$A$18046,AH!$P$7+AH!$P$8-1),0),0),0)</ns0:f>
        <ns0:v/>
      </ns0:c>
      <ns0:c r="I2002">
        <ns0:f>IF($H2002=0,0,IFERROR(IF(AND(ABS($C2002-INDEX('AH History'!$B$1:$B$18046,$H2002))&lt;=MAX(0.005,ABS(INDEX('AH History'!$B$1:$B$18046,$H2002))*0.00005),ABS($D2002-INDEX('AH History'!$C$1:$C$18046,$H2002))&lt;=MAX(0.005,ABS(INDEX('AH History'!$C$1:$C$18046,$H2002))*0.00005),ABS($E2002-INDEX('AH History'!$D$1:$D$18046,$H2002))&lt;=0.00005,$F2002=INDEX('AH History'!$E$1:$E$18046,$H2002),$G2002=INDEX('AH History'!$F$1:$F$18046,$H2002)),1,-1),-1))</ns0:f>
        <ns0:v/>
      </ns0:c>
    </ns0:row>
    <ns0:row r="2003">
      <ns0:c r="A2003" s="215">
        <ns0:f>IF(OR(AH!$P$3=0,1998+1&gt;AH!$P$11,AND(AH!$E$4&lt;&gt;"Stored",AH!$P$10&lt;&gt;1)),"",IFERROR(IF(AND(AH!$P$21=1,1998+1=AH!$P$11),TODAY(),IF(AH!$P$10=1,INDEX('Live History'!$A$5:$A$3004,AH!$P$13+1998),INDEX('AH History'!$A$1:$A$18046,AH!$P$7+1998))),""))</ns0:f>
        <ns0:v/>
      </ns0:c>
      <ns0:c r="B2003" s="219">
        <ns0:f>IFERROR(IF(AND(AH!$P$9&lt;&gt;1,$C2003&gt;0,$D2003&gt;0,$E2003&gt;0,$F2003&gt;0,$G2003&gt;0,$F2003&lt;=$A2003,$G2003&lt;=$A2003,$A2003-$F2003&lt;=10,$A2003-$G2003&lt;=5),$D2003*$E2003/$C2003-1,NA()),NA())</ns0:f>
        <ns0:v/>
      </ns0:c>
      <ns0:c r="C2003">
        <ns0:f>IFERROR(IF(ISNUMBER($A2003),IF(AND(AH!$P$10=1,AH!$P$12=1,$A2003=TODAY()),AH!$P$19,IF(AH!$P$10=1,INDEX('Live History'!$B$5:$B$3004,AH!$P$13+1998),INDEX('AH History'!$B$1:$B$18046,AH!$P$7+1998))),NA()),NA())</ns0:f>
        <ns0:v/>
      </ns0:c>
      <ns0:c r="D2003">
        <ns0:f>IFERROR(IF(ISNUMBER($A2003),IF(AND(AH!$P$10=1,AH!$P$12=1,$A2003=TODAY()),AH!$P$18,IF(AH!$P$10=1,INDEX('Live History'!$E$5:$E$3004,MATCH($A2003,'Live History'!$D$5:$D$3004,1)),INDEX('AH History'!$C$1:$C$18046,AH!$P$7+1998))),NA()),NA())</ns0:f>
        <ns0:v/>
      </ns0:c>
      <ns0:c r="E2003">
        <ns0:f>IFERROR(IF(ISNUMBER($A2003),IF(AND(AH!$P$10=1,AH!$P$12=1,$A2003=TODAY()),AH!$P$20,IF(AH!$P$10=1,INDEX('Live History'!$H$5:$H$3004,MATCH($A2003,'Live History'!$G$5:$G$3004,1)),INDEX('AH History'!$D$1:$D$18046,AH!$P$7+1998))),NA()),NA())</ns0:f>
        <ns0:v/>
      </ns0:c>
      <ns0:c r="F2003">
        <ns0:f>IFERROR(IF(ISNUMBER($A2003),IF(AND(AH!$P$10=1,AH!$P$12=1,$A2003=TODAY()),IF(AND(AH!$P$10=1,AH!$P$12=1,$A2003=TODAY()),TODAY(),NA()),IF(AH!$P$10=1,INDEX('Live History'!$D$5:$D$3004,MATCH($A2003,'Live History'!$D$5:$D$3004,1)),INDEX('AH History'!$E$1:$E$18046,AH!$P$7+1998))),NA()),NA())</ns0:f>
        <ns0:v/>
      </ns0:c>
      <ns0:c r="G2003">
        <ns0:f>IFERROR(IF(ISNUMBER($A2003),IF(AND(AH!$P$10=1,AH!$P$12=1,$A2003=TODAY()),IF(AND(AH!$P$10=1,AH!$P$12=1,$A2003=TODAY()),TODAY(),NA()),IF(AH!$P$10=1,INDEX('Live History'!$G$5:$G$3004,MATCH($A2003,'Live History'!$G$5:$G$3004,1)),INDEX('AH History'!$F$1:$F$18046,AH!$P$7+1998))),NA()),NA())</ns0:f>
        <ns0:v/>
      </ns0:c>
      <ns0:c r="H2003">
        <ns0:f>IFERROR(IF(AND(AH!$E$4="Bloomberg",AH!$P$10=1,ISNUMBER($A2003),$A2003&lt;=AH!$P$17),AH!$P$7-1+MATCH($A2003,INDEX('AH History'!$A$1:$A$18046,AH!$P$7):INDEX('AH History'!$A$1:$A$18046,AH!$P$7+AH!$P$8-1),0),0),0)</ns0:f>
        <ns0:v/>
      </ns0:c>
      <ns0:c r="I2003">
        <ns0:f>IF($H2003=0,0,IFERROR(IF(AND(ABS($C2003-INDEX('AH History'!$B$1:$B$18046,$H2003))&lt;=MAX(0.005,ABS(INDEX('AH History'!$B$1:$B$18046,$H2003))*0.00005),ABS($D2003-INDEX('AH History'!$C$1:$C$18046,$H2003))&lt;=MAX(0.005,ABS(INDEX('AH History'!$C$1:$C$18046,$H2003))*0.00005),ABS($E2003-INDEX('AH History'!$D$1:$D$18046,$H2003))&lt;=0.00005,$F2003=INDEX('AH History'!$E$1:$E$18046,$H2003),$G2003=INDEX('AH History'!$F$1:$F$18046,$H2003)),1,-1),-1))</ns0:f>
        <ns0:v/>
      </ns0:c>
    </ns0:row>
    <ns0:row r="2004">
      <ns0:c r="A2004" s="215">
        <ns0:f>IF(OR(AH!$P$3=0,1999+1&gt;AH!$P$11,AND(AH!$E$4&lt;&gt;"Stored",AH!$P$10&lt;&gt;1)),"",IFERROR(IF(AND(AH!$P$21=1,1999+1=AH!$P$11),TODAY(),IF(AH!$P$10=1,INDEX('Live History'!$A$5:$A$3004,AH!$P$13+1999),INDEX('AH History'!$A$1:$A$18046,AH!$P$7+1999))),""))</ns0:f>
        <ns0:v/>
      </ns0:c>
      <ns0:c r="B2004" s="219">
        <ns0:f>IFERROR(IF(AND(AH!$P$9&lt;&gt;1,$C2004&gt;0,$D2004&gt;0,$E2004&gt;0,$F2004&gt;0,$G2004&gt;0,$F2004&lt;=$A2004,$G2004&lt;=$A2004,$A2004-$F2004&lt;=10,$A2004-$G2004&lt;=5),$D2004*$E2004/$C2004-1,NA()),NA())</ns0:f>
        <ns0:v/>
      </ns0:c>
      <ns0:c r="C2004">
        <ns0:f>IFERROR(IF(ISNUMBER($A2004),IF(AND(AH!$P$10=1,AH!$P$12=1,$A2004=TODAY()),AH!$P$19,IF(AH!$P$10=1,INDEX('Live History'!$B$5:$B$3004,AH!$P$13+1999),INDEX('AH History'!$B$1:$B$18046,AH!$P$7+1999))),NA()),NA())</ns0:f>
        <ns0:v/>
      </ns0:c>
      <ns0:c r="D2004">
        <ns0:f>IFERROR(IF(ISNUMBER($A2004),IF(AND(AH!$P$10=1,AH!$P$12=1,$A2004=TODAY()),AH!$P$18,IF(AH!$P$10=1,INDEX('Live History'!$E$5:$E$3004,MATCH($A2004,'Live History'!$D$5:$D$3004,1)),INDEX('AH History'!$C$1:$C$18046,AH!$P$7+1999))),NA()),NA())</ns0:f>
        <ns0:v/>
      </ns0:c>
      <ns0:c r="E2004">
        <ns0:f>IFERROR(IF(ISNUMBER($A2004),IF(AND(AH!$P$10=1,AH!$P$12=1,$A2004=TODAY()),AH!$P$20,IF(AH!$P$10=1,INDEX('Live History'!$H$5:$H$3004,MATCH($A2004,'Live History'!$G$5:$G$3004,1)),INDEX('AH History'!$D$1:$D$18046,AH!$P$7+1999))),NA()),NA())</ns0:f>
        <ns0:v/>
      </ns0:c>
      <ns0:c r="F2004">
        <ns0:f>IFERROR(IF(ISNUMBER($A2004),IF(AND(AH!$P$10=1,AH!$P$12=1,$A2004=TODAY()),IF(AND(AH!$P$10=1,AH!$P$12=1,$A2004=TODAY()),TODAY(),NA()),IF(AH!$P$10=1,INDEX('Live History'!$D$5:$D$3004,MATCH($A2004,'Live History'!$D$5:$D$3004,1)),INDEX('AH History'!$E$1:$E$18046,AH!$P$7+1999))),NA()),NA())</ns0:f>
        <ns0:v/>
      </ns0:c>
      <ns0:c r="G2004">
        <ns0:f>IFERROR(IF(ISNUMBER($A2004),IF(AND(AH!$P$10=1,AH!$P$12=1,$A2004=TODAY()),IF(AND(AH!$P$10=1,AH!$P$12=1,$A2004=TODAY()),TODAY(),NA()),IF(AH!$P$10=1,INDEX('Live History'!$G$5:$G$3004,MATCH($A2004,'Live History'!$G$5:$G$3004,1)),INDEX('AH History'!$F$1:$F$18046,AH!$P$7+1999))),NA()),NA())</ns0:f>
        <ns0:v/>
      </ns0:c>
      <ns0:c r="H2004">
        <ns0:f>IFERROR(IF(AND(AH!$E$4="Bloomberg",AH!$P$10=1,ISNUMBER($A2004),$A2004&lt;=AH!$P$17),AH!$P$7-1+MATCH($A2004,INDEX('AH History'!$A$1:$A$18046,AH!$P$7):INDEX('AH History'!$A$1:$A$18046,AH!$P$7+AH!$P$8-1),0),0),0)</ns0:f>
        <ns0:v/>
      </ns0:c>
      <ns0:c r="I2004">
        <ns0:f>IF($H2004=0,0,IFERROR(IF(AND(ABS($C2004-INDEX('AH History'!$B$1:$B$18046,$H2004))&lt;=MAX(0.005,ABS(INDEX('AH History'!$B$1:$B$18046,$H2004))*0.00005),ABS($D2004-INDEX('AH History'!$C$1:$C$18046,$H2004))&lt;=MAX(0.005,ABS(INDEX('AH History'!$C$1:$C$18046,$H2004))*0.00005),ABS($E2004-INDEX('AH History'!$D$1:$D$18046,$H2004))&lt;=0.00005,$F2004=INDEX('AH History'!$E$1:$E$18046,$H2004),$G2004=INDEX('AH History'!$F$1:$F$18046,$H2004)),1,-1),-1))</ns0:f>
        <ns0:v/>
      </ns0:c>
    </ns0:row>
    <ns0:row r="2005">
      <ns0:c r="A2005" s="215">
        <ns0:f>IF(OR(AH!$P$3=0,2000+1&gt;AH!$P$11,AND(AH!$E$4&lt;&gt;"Stored",AH!$P$10&lt;&gt;1)),"",IFERROR(IF(AND(AH!$P$21=1,2000+1=AH!$P$11),TODAY(),IF(AH!$P$10=1,INDEX('Live History'!$A$5:$A$3004,AH!$P$13+2000),INDEX('AH History'!$A$1:$A$18046,AH!$P$7+2000))),""))</ns0:f>
        <ns0:v/>
      </ns0:c>
      <ns0:c r="B2005" s="219">
        <ns0:f>IFERROR(IF(AND(AH!$P$9&lt;&gt;1,$C2005&gt;0,$D2005&gt;0,$E2005&gt;0,$F2005&gt;0,$G2005&gt;0,$F2005&lt;=$A2005,$G2005&lt;=$A2005,$A2005-$F2005&lt;=10,$A2005-$G2005&lt;=5),$D2005*$E2005/$C2005-1,NA()),NA())</ns0:f>
        <ns0:v/>
      </ns0:c>
      <ns0:c r="C2005">
        <ns0:f>IFERROR(IF(ISNUMBER($A2005),IF(AND(AH!$P$10=1,AH!$P$12=1,$A2005=TODAY()),AH!$P$19,IF(AH!$P$10=1,INDEX('Live History'!$B$5:$B$3004,AH!$P$13+2000),INDEX('AH History'!$B$1:$B$18046,AH!$P$7+2000))),NA()),NA())</ns0:f>
        <ns0:v/>
      </ns0:c>
      <ns0:c r="D2005">
        <ns0:f>IFERROR(IF(ISNUMBER($A2005),IF(AND(AH!$P$10=1,AH!$P$12=1,$A2005=TODAY()),AH!$P$18,IF(AH!$P$10=1,INDEX('Live History'!$E$5:$E$3004,MATCH($A2005,'Live History'!$D$5:$D$3004,1)),INDEX('AH History'!$C$1:$C$18046,AH!$P$7+2000))),NA()),NA())</ns0:f>
        <ns0:v/>
      </ns0:c>
      <ns0:c r="E2005">
        <ns0:f>IFERROR(IF(ISNUMBER($A2005),IF(AND(AH!$P$10=1,AH!$P$12=1,$A2005=TODAY()),AH!$P$20,IF(AH!$P$10=1,INDEX('Live History'!$H$5:$H$3004,MATCH($A2005,'Live History'!$G$5:$G$3004,1)),INDEX('AH History'!$D$1:$D$18046,AH!$P$7+2000))),NA()),NA())</ns0:f>
        <ns0:v/>
      </ns0:c>
      <ns0:c r="F2005">
        <ns0:f>IFERROR(IF(ISNUMBER($A2005),IF(AND(AH!$P$10=1,AH!$P$12=1,$A2005=TODAY()),IF(AND(AH!$P$10=1,AH!$P$12=1,$A2005=TODAY()),TODAY(),NA()),IF(AH!$P$10=1,INDEX('Live History'!$D$5:$D$3004,MATCH($A2005,'Live History'!$D$5:$D$3004,1)),INDEX('AH History'!$E$1:$E$18046,AH!$P$7+2000))),NA()),NA())</ns0:f>
        <ns0:v/>
      </ns0:c>
      <ns0:c r="G2005">
        <ns0:f>IFERROR(IF(ISNUMBER($A2005),IF(AND(AH!$P$10=1,AH!$P$12=1,$A2005=TODAY()),IF(AND(AH!$P$10=1,AH!$P$12=1,$A2005=TODAY()),TODAY(),NA()),IF(AH!$P$10=1,INDEX('Live History'!$G$5:$G$3004,MATCH($A2005,'Live History'!$G$5:$G$3004,1)),INDEX('AH History'!$F$1:$F$18046,AH!$P$7+2000))),NA()),NA())</ns0:f>
        <ns0:v/>
      </ns0:c>
      <ns0:c r="H2005">
        <ns0:f>IFERROR(IF(AND(AH!$E$4="Bloomberg",AH!$P$10=1,ISNUMBER($A2005),$A2005&lt;=AH!$P$17),AH!$P$7-1+MATCH($A2005,INDEX('AH History'!$A$1:$A$18046,AH!$P$7):INDEX('AH History'!$A$1:$A$18046,AH!$P$7+AH!$P$8-1),0),0),0)</ns0:f>
        <ns0:v/>
      </ns0:c>
      <ns0:c r="I2005">
        <ns0:f>IF($H2005=0,0,IFERROR(IF(AND(ABS($C2005-INDEX('AH History'!$B$1:$B$18046,$H2005))&lt;=MAX(0.005,ABS(INDEX('AH History'!$B$1:$B$18046,$H2005))*0.00005),ABS($D2005-INDEX('AH History'!$C$1:$C$18046,$H2005))&lt;=MAX(0.005,ABS(INDEX('AH History'!$C$1:$C$18046,$H2005))*0.00005),ABS($E2005-INDEX('AH History'!$D$1:$D$18046,$H2005))&lt;=0.00005,$F2005=INDEX('AH History'!$E$1:$E$18046,$H2005),$G2005=INDEX('AH History'!$F$1:$F$18046,$H2005)),1,-1),-1))</ns0:f>
        <ns0:v/>
      </ns0:c>
    </ns0:row>
    <ns0:row r="2006">
      <ns0:c r="A2006" s="215">
        <ns0:f>IF(OR(AH!$P$3=0,2001+1&gt;AH!$P$11,AND(AH!$E$4&lt;&gt;"Stored",AH!$P$10&lt;&gt;1)),"",IFERROR(IF(AND(AH!$P$21=1,2001+1=AH!$P$11),TODAY(),IF(AH!$P$10=1,INDEX('Live History'!$A$5:$A$3004,AH!$P$13+2001),INDEX('AH History'!$A$1:$A$18046,AH!$P$7+2001))),""))</ns0:f>
        <ns0:v/>
      </ns0:c>
      <ns0:c r="B2006" s="219">
        <ns0:f>IFERROR(IF(AND(AH!$P$9&lt;&gt;1,$C2006&gt;0,$D2006&gt;0,$E2006&gt;0,$F2006&gt;0,$G2006&gt;0,$F2006&lt;=$A2006,$G2006&lt;=$A2006,$A2006-$F2006&lt;=10,$A2006-$G2006&lt;=5),$D2006*$E2006/$C2006-1,NA()),NA())</ns0:f>
        <ns0:v/>
      </ns0:c>
      <ns0:c r="C2006">
        <ns0:f>IFERROR(IF(ISNUMBER($A2006),IF(AND(AH!$P$10=1,AH!$P$12=1,$A2006=TODAY()),AH!$P$19,IF(AH!$P$10=1,INDEX('Live History'!$B$5:$B$3004,AH!$P$13+2001),INDEX('AH History'!$B$1:$B$18046,AH!$P$7+2001))),NA()),NA())</ns0:f>
        <ns0:v/>
      </ns0:c>
      <ns0:c r="D2006">
        <ns0:f>IFERROR(IF(ISNUMBER($A2006),IF(AND(AH!$P$10=1,AH!$P$12=1,$A2006=TODAY()),AH!$P$18,IF(AH!$P$10=1,INDEX('Live History'!$E$5:$E$3004,MATCH($A2006,'Live History'!$D$5:$D$3004,1)),INDEX('AH History'!$C$1:$C$18046,AH!$P$7+2001))),NA()),NA())</ns0:f>
        <ns0:v/>
      </ns0:c>
      <ns0:c r="E2006">
        <ns0:f>IFERROR(IF(ISNUMBER($A2006),IF(AND(AH!$P$10=1,AH!$P$12=1,$A2006=TODAY()),AH!$P$20,IF(AH!$P$10=1,INDEX('Live History'!$H$5:$H$3004,MATCH($A2006,'Live History'!$G$5:$G$3004,1)),INDEX('AH History'!$D$1:$D$18046,AH!$P$7+2001))),NA()),NA())</ns0:f>
        <ns0:v/>
      </ns0:c>
      <ns0:c r="F2006">
        <ns0:f>IFERROR(IF(ISNUMBER($A2006),IF(AND(AH!$P$10=1,AH!$P$12=1,$A2006=TODAY()),IF(AND(AH!$P$10=1,AH!$P$12=1,$A2006=TODAY()),TODAY(),NA()),IF(AH!$P$10=1,INDEX('Live History'!$D$5:$D$3004,MATCH($A2006,'Live History'!$D$5:$D$3004,1)),INDEX('AH History'!$E$1:$E$18046,AH!$P$7+2001))),NA()),NA())</ns0:f>
        <ns0:v/>
      </ns0:c>
      <ns0:c r="G2006">
        <ns0:f>IFERROR(IF(ISNUMBER($A2006),IF(AND(AH!$P$10=1,AH!$P$12=1,$A2006=TODAY()),IF(AND(AH!$P$10=1,AH!$P$12=1,$A2006=TODAY()),TODAY(),NA()),IF(AH!$P$10=1,INDEX('Live History'!$G$5:$G$3004,MATCH($A2006,'Live History'!$G$5:$G$3004,1)),INDEX('AH History'!$F$1:$F$18046,AH!$P$7+2001))),NA()),NA())</ns0:f>
        <ns0:v/>
      </ns0:c>
      <ns0:c r="H2006">
        <ns0:f>IFERROR(IF(AND(AH!$E$4="Bloomberg",AH!$P$10=1,ISNUMBER($A2006),$A2006&lt;=AH!$P$17),AH!$P$7-1+MATCH($A2006,INDEX('AH History'!$A$1:$A$18046,AH!$P$7):INDEX('AH History'!$A$1:$A$18046,AH!$P$7+AH!$P$8-1),0),0),0)</ns0:f>
        <ns0:v/>
      </ns0:c>
      <ns0:c r="I2006">
        <ns0:f>IF($H2006=0,0,IFERROR(IF(AND(ABS($C2006-INDEX('AH History'!$B$1:$B$18046,$H2006))&lt;=MAX(0.005,ABS(INDEX('AH History'!$B$1:$B$18046,$H2006))*0.00005),ABS($D2006-INDEX('AH History'!$C$1:$C$18046,$H2006))&lt;=MAX(0.005,ABS(INDEX('AH History'!$C$1:$C$18046,$H2006))*0.00005),ABS($E2006-INDEX('AH History'!$D$1:$D$18046,$H2006))&lt;=0.00005,$F2006=INDEX('AH History'!$E$1:$E$18046,$H2006),$G2006=INDEX('AH History'!$F$1:$F$18046,$H2006)),1,-1),-1))</ns0:f>
        <ns0:v/>
      </ns0:c>
    </ns0:row>
    <ns0:row r="2007">
      <ns0:c r="A2007" s="215">
        <ns0:f>IF(OR(AH!$P$3=0,2002+1&gt;AH!$P$11,AND(AH!$E$4&lt;&gt;"Stored",AH!$P$10&lt;&gt;1)),"",IFERROR(IF(AND(AH!$P$21=1,2002+1=AH!$P$11),TODAY(),IF(AH!$P$10=1,INDEX('Live History'!$A$5:$A$3004,AH!$P$13+2002),INDEX('AH History'!$A$1:$A$18046,AH!$P$7+2002))),""))</ns0:f>
        <ns0:v/>
      </ns0:c>
      <ns0:c r="B2007" s="219">
        <ns0:f>IFERROR(IF(AND(AH!$P$9&lt;&gt;1,$C2007&gt;0,$D2007&gt;0,$E2007&gt;0,$F2007&gt;0,$G2007&gt;0,$F2007&lt;=$A2007,$G2007&lt;=$A2007,$A2007-$F2007&lt;=10,$A2007-$G2007&lt;=5),$D2007*$E2007/$C2007-1,NA()),NA())</ns0:f>
        <ns0:v/>
      </ns0:c>
      <ns0:c r="C2007">
        <ns0:f>IFERROR(IF(ISNUMBER($A2007),IF(AND(AH!$P$10=1,AH!$P$12=1,$A2007=TODAY()),AH!$P$19,IF(AH!$P$10=1,INDEX('Live History'!$B$5:$B$3004,AH!$P$13+2002),INDEX('AH History'!$B$1:$B$18046,AH!$P$7+2002))),NA()),NA())</ns0:f>
        <ns0:v/>
      </ns0:c>
      <ns0:c r="D2007">
        <ns0:f>IFERROR(IF(ISNUMBER($A2007),IF(AND(AH!$P$10=1,AH!$P$12=1,$A2007=TODAY()),AH!$P$18,IF(AH!$P$10=1,INDEX('Live History'!$E$5:$E$3004,MATCH($A2007,'Live History'!$D$5:$D$3004,1)),INDEX('AH History'!$C$1:$C$18046,AH!$P$7+2002))),NA()),NA())</ns0:f>
        <ns0:v/>
      </ns0:c>
      <ns0:c r="E2007">
        <ns0:f>IFERROR(IF(ISNUMBER($A2007),IF(AND(AH!$P$10=1,AH!$P$12=1,$A2007=TODAY()),AH!$P$20,IF(AH!$P$10=1,INDEX('Live History'!$H$5:$H$3004,MATCH($A2007,'Live History'!$G$5:$G$3004,1)),INDEX('AH History'!$D$1:$D$18046,AH!$P$7+2002))),NA()),NA())</ns0:f>
        <ns0:v/>
      </ns0:c>
      <ns0:c r="F2007">
        <ns0:f>IFERROR(IF(ISNUMBER($A2007),IF(AND(AH!$P$10=1,AH!$P$12=1,$A2007=TODAY()),IF(AND(AH!$P$10=1,AH!$P$12=1,$A2007=TODAY()),TODAY(),NA()),IF(AH!$P$10=1,INDEX('Live History'!$D$5:$D$3004,MATCH($A2007,'Live History'!$D$5:$D$3004,1)),INDEX('AH History'!$E$1:$E$18046,AH!$P$7+2002))),NA()),NA())</ns0:f>
        <ns0:v/>
      </ns0:c>
      <ns0:c r="G2007">
        <ns0:f>IFERROR(IF(ISNUMBER($A2007),IF(AND(AH!$P$10=1,AH!$P$12=1,$A2007=TODAY()),IF(AND(AH!$P$10=1,AH!$P$12=1,$A2007=TODAY()),TODAY(),NA()),IF(AH!$P$10=1,INDEX('Live History'!$G$5:$G$3004,MATCH($A2007,'Live History'!$G$5:$G$3004,1)),INDEX('AH History'!$F$1:$F$18046,AH!$P$7+2002))),NA()),NA())</ns0:f>
        <ns0:v/>
      </ns0:c>
      <ns0:c r="H2007">
        <ns0:f>IFERROR(IF(AND(AH!$E$4="Bloomberg",AH!$P$10=1,ISNUMBER($A2007),$A2007&lt;=AH!$P$17),AH!$P$7-1+MATCH($A2007,INDEX('AH History'!$A$1:$A$18046,AH!$P$7):INDEX('AH History'!$A$1:$A$18046,AH!$P$7+AH!$P$8-1),0),0),0)</ns0:f>
        <ns0:v/>
      </ns0:c>
      <ns0:c r="I2007">
        <ns0:f>IF($H2007=0,0,IFERROR(IF(AND(ABS($C2007-INDEX('AH History'!$B$1:$B$18046,$H2007))&lt;=MAX(0.005,ABS(INDEX('AH History'!$B$1:$B$18046,$H2007))*0.00005),ABS($D2007-INDEX('AH History'!$C$1:$C$18046,$H2007))&lt;=MAX(0.005,ABS(INDEX('AH History'!$C$1:$C$18046,$H2007))*0.00005),ABS($E2007-INDEX('AH History'!$D$1:$D$18046,$H2007))&lt;=0.00005,$F2007=INDEX('AH History'!$E$1:$E$18046,$H2007),$G2007=INDEX('AH History'!$F$1:$F$18046,$H2007)),1,-1),-1))</ns0:f>
        <ns0:v/>
      </ns0:c>
    </ns0:row>
    <ns0:row r="2008">
      <ns0:c r="A2008" s="215">
        <ns0:f>IF(OR(AH!$P$3=0,2003+1&gt;AH!$P$11,AND(AH!$E$4&lt;&gt;"Stored",AH!$P$10&lt;&gt;1)),"",IFERROR(IF(AND(AH!$P$21=1,2003+1=AH!$P$11),TODAY(),IF(AH!$P$10=1,INDEX('Live History'!$A$5:$A$3004,AH!$P$13+2003),INDEX('AH History'!$A$1:$A$18046,AH!$P$7+2003))),""))</ns0:f>
        <ns0:v/>
      </ns0:c>
      <ns0:c r="B2008" s="219">
        <ns0:f>IFERROR(IF(AND(AH!$P$9&lt;&gt;1,$C2008&gt;0,$D2008&gt;0,$E2008&gt;0,$F2008&gt;0,$G2008&gt;0,$F2008&lt;=$A2008,$G2008&lt;=$A2008,$A2008-$F2008&lt;=10,$A2008-$G2008&lt;=5),$D2008*$E2008/$C2008-1,NA()),NA())</ns0:f>
        <ns0:v/>
      </ns0:c>
      <ns0:c r="C2008">
        <ns0:f>IFERROR(IF(ISNUMBER($A2008),IF(AND(AH!$P$10=1,AH!$P$12=1,$A2008=TODAY()),AH!$P$19,IF(AH!$P$10=1,INDEX('Live History'!$B$5:$B$3004,AH!$P$13+2003),INDEX('AH History'!$B$1:$B$18046,AH!$P$7+2003))),NA()),NA())</ns0:f>
        <ns0:v/>
      </ns0:c>
      <ns0:c r="D2008">
        <ns0:f>IFERROR(IF(ISNUMBER($A2008),IF(AND(AH!$P$10=1,AH!$P$12=1,$A2008=TODAY()),AH!$P$18,IF(AH!$P$10=1,INDEX('Live History'!$E$5:$E$3004,MATCH($A2008,'Live History'!$D$5:$D$3004,1)),INDEX('AH History'!$C$1:$C$18046,AH!$P$7+2003))),NA()),NA())</ns0:f>
        <ns0:v/>
      </ns0:c>
      <ns0:c r="E2008">
        <ns0:f>IFERROR(IF(ISNUMBER($A2008),IF(AND(AH!$P$10=1,AH!$P$12=1,$A2008=TODAY()),AH!$P$20,IF(AH!$P$10=1,INDEX('Live History'!$H$5:$H$3004,MATCH($A2008,'Live History'!$G$5:$G$3004,1)),INDEX('AH History'!$D$1:$D$18046,AH!$P$7+2003))),NA()),NA())</ns0:f>
        <ns0:v/>
      </ns0:c>
      <ns0:c r="F2008">
        <ns0:f>IFERROR(IF(ISNUMBER($A2008),IF(AND(AH!$P$10=1,AH!$P$12=1,$A2008=TODAY()),IF(AND(AH!$P$10=1,AH!$P$12=1,$A2008=TODAY()),TODAY(),NA()),IF(AH!$P$10=1,INDEX('Live History'!$D$5:$D$3004,MATCH($A2008,'Live History'!$D$5:$D$3004,1)),INDEX('AH History'!$E$1:$E$18046,AH!$P$7+2003))),NA()),NA())</ns0:f>
        <ns0:v/>
      </ns0:c>
      <ns0:c r="G2008">
        <ns0:f>IFERROR(IF(ISNUMBER($A2008),IF(AND(AH!$P$10=1,AH!$P$12=1,$A2008=TODAY()),IF(AND(AH!$P$10=1,AH!$P$12=1,$A2008=TODAY()),TODAY(),NA()),IF(AH!$P$10=1,INDEX('Live History'!$G$5:$G$3004,MATCH($A2008,'Live History'!$G$5:$G$3004,1)),INDEX('AH History'!$F$1:$F$18046,AH!$P$7+2003))),NA()),NA())</ns0:f>
        <ns0:v/>
      </ns0:c>
      <ns0:c r="H2008">
        <ns0:f>IFERROR(IF(AND(AH!$E$4="Bloomberg",AH!$P$10=1,ISNUMBER($A2008),$A2008&lt;=AH!$P$17),AH!$P$7-1+MATCH($A2008,INDEX('AH History'!$A$1:$A$18046,AH!$P$7):INDEX('AH History'!$A$1:$A$18046,AH!$P$7+AH!$P$8-1),0),0),0)</ns0:f>
        <ns0:v/>
      </ns0:c>
      <ns0:c r="I2008">
        <ns0:f>IF($H2008=0,0,IFERROR(IF(AND(ABS($C2008-INDEX('AH History'!$B$1:$B$18046,$H2008))&lt;=MAX(0.005,ABS(INDEX('AH History'!$B$1:$B$18046,$H2008))*0.00005),ABS($D2008-INDEX('AH History'!$C$1:$C$18046,$H2008))&lt;=MAX(0.005,ABS(INDEX('AH History'!$C$1:$C$18046,$H2008))*0.00005),ABS($E2008-INDEX('AH History'!$D$1:$D$18046,$H2008))&lt;=0.00005,$F2008=INDEX('AH History'!$E$1:$E$18046,$H2008),$G2008=INDEX('AH History'!$F$1:$F$18046,$H2008)),1,-1),-1))</ns0:f>
        <ns0:v/>
      </ns0:c>
    </ns0:row>
    <ns0:row r="2009">
      <ns0:c r="A2009" s="215">
        <ns0:f>IF(OR(AH!$P$3=0,2004+1&gt;AH!$P$11,AND(AH!$E$4&lt;&gt;"Stored",AH!$P$10&lt;&gt;1)),"",IFERROR(IF(AND(AH!$P$21=1,2004+1=AH!$P$11),TODAY(),IF(AH!$P$10=1,INDEX('Live History'!$A$5:$A$3004,AH!$P$13+2004),INDEX('AH History'!$A$1:$A$18046,AH!$P$7+2004))),""))</ns0:f>
        <ns0:v/>
      </ns0:c>
      <ns0:c r="B2009" s="219">
        <ns0:f>IFERROR(IF(AND(AH!$P$9&lt;&gt;1,$C2009&gt;0,$D2009&gt;0,$E2009&gt;0,$F2009&gt;0,$G2009&gt;0,$F2009&lt;=$A2009,$G2009&lt;=$A2009,$A2009-$F2009&lt;=10,$A2009-$G2009&lt;=5),$D2009*$E2009/$C2009-1,NA()),NA())</ns0:f>
        <ns0:v/>
      </ns0:c>
      <ns0:c r="C2009">
        <ns0:f>IFERROR(IF(ISNUMBER($A2009),IF(AND(AH!$P$10=1,AH!$P$12=1,$A2009=TODAY()),AH!$P$19,IF(AH!$P$10=1,INDEX('Live History'!$B$5:$B$3004,AH!$P$13+2004),INDEX('AH History'!$B$1:$B$18046,AH!$P$7+2004))),NA()),NA())</ns0:f>
        <ns0:v/>
      </ns0:c>
      <ns0:c r="D2009">
        <ns0:f>IFERROR(IF(ISNUMBER($A2009),IF(AND(AH!$P$10=1,AH!$P$12=1,$A2009=TODAY()),AH!$P$18,IF(AH!$P$10=1,INDEX('Live History'!$E$5:$E$3004,MATCH($A2009,'Live History'!$D$5:$D$3004,1)),INDEX('AH History'!$C$1:$C$18046,AH!$P$7+2004))),NA()),NA())</ns0:f>
        <ns0:v/>
      </ns0:c>
      <ns0:c r="E2009">
        <ns0:f>IFERROR(IF(ISNUMBER($A2009),IF(AND(AH!$P$10=1,AH!$P$12=1,$A2009=TODAY()),AH!$P$20,IF(AH!$P$10=1,INDEX('Live History'!$H$5:$H$3004,MATCH($A2009,'Live History'!$G$5:$G$3004,1)),INDEX('AH History'!$D$1:$D$18046,AH!$P$7+2004))),NA()),NA())</ns0:f>
        <ns0:v/>
      </ns0:c>
      <ns0:c r="F2009">
        <ns0:f>IFERROR(IF(ISNUMBER($A2009),IF(AND(AH!$P$10=1,AH!$P$12=1,$A2009=TODAY()),IF(AND(AH!$P$10=1,AH!$P$12=1,$A2009=TODAY()),TODAY(),NA()),IF(AH!$P$10=1,INDEX('Live History'!$D$5:$D$3004,MATCH($A2009,'Live History'!$D$5:$D$3004,1)),INDEX('AH History'!$E$1:$E$18046,AH!$P$7+2004))),NA()),NA())</ns0:f>
        <ns0:v/>
      </ns0:c>
      <ns0:c r="G2009">
        <ns0:f>IFERROR(IF(ISNUMBER($A2009),IF(AND(AH!$P$10=1,AH!$P$12=1,$A2009=TODAY()),IF(AND(AH!$P$10=1,AH!$P$12=1,$A2009=TODAY()),TODAY(),NA()),IF(AH!$P$10=1,INDEX('Live History'!$G$5:$G$3004,MATCH($A2009,'Live History'!$G$5:$G$3004,1)),INDEX('AH History'!$F$1:$F$18046,AH!$P$7+2004))),NA()),NA())</ns0:f>
        <ns0:v/>
      </ns0:c>
      <ns0:c r="H2009">
        <ns0:f>IFERROR(IF(AND(AH!$E$4="Bloomberg",AH!$P$10=1,ISNUMBER($A2009),$A2009&lt;=AH!$P$17),AH!$P$7-1+MATCH($A2009,INDEX('AH History'!$A$1:$A$18046,AH!$P$7):INDEX('AH History'!$A$1:$A$18046,AH!$P$7+AH!$P$8-1),0),0),0)</ns0:f>
        <ns0:v/>
      </ns0:c>
      <ns0:c r="I2009">
        <ns0:f>IF($H2009=0,0,IFERROR(IF(AND(ABS($C2009-INDEX('AH History'!$B$1:$B$18046,$H2009))&lt;=MAX(0.005,ABS(INDEX('AH History'!$B$1:$B$18046,$H2009))*0.00005),ABS($D2009-INDEX('AH History'!$C$1:$C$18046,$H2009))&lt;=MAX(0.005,ABS(INDEX('AH History'!$C$1:$C$18046,$H2009))*0.00005),ABS($E2009-INDEX('AH History'!$D$1:$D$18046,$H2009))&lt;=0.00005,$F2009=INDEX('AH History'!$E$1:$E$18046,$H2009),$G2009=INDEX('AH History'!$F$1:$F$18046,$H2009)),1,-1),-1))</ns0:f>
        <ns0:v/>
      </ns0:c>
    </ns0:row>
    <ns0:row r="2010">
      <ns0:c r="A2010" s="215">
        <ns0:f>IF(OR(AH!$P$3=0,2005+1&gt;AH!$P$11,AND(AH!$E$4&lt;&gt;"Stored",AH!$P$10&lt;&gt;1)),"",IFERROR(IF(AND(AH!$P$21=1,2005+1=AH!$P$11),TODAY(),IF(AH!$P$10=1,INDEX('Live History'!$A$5:$A$3004,AH!$P$13+2005),INDEX('AH History'!$A$1:$A$18046,AH!$P$7+2005))),""))</ns0:f>
        <ns0:v/>
      </ns0:c>
      <ns0:c r="B2010" s="219">
        <ns0:f>IFERROR(IF(AND(AH!$P$9&lt;&gt;1,$C2010&gt;0,$D2010&gt;0,$E2010&gt;0,$F2010&gt;0,$G2010&gt;0,$F2010&lt;=$A2010,$G2010&lt;=$A2010,$A2010-$F2010&lt;=10,$A2010-$G2010&lt;=5),$D2010*$E2010/$C2010-1,NA()),NA())</ns0:f>
        <ns0:v/>
      </ns0:c>
      <ns0:c r="C2010">
        <ns0:f>IFERROR(IF(ISNUMBER($A2010),IF(AND(AH!$P$10=1,AH!$P$12=1,$A2010=TODAY()),AH!$P$19,IF(AH!$P$10=1,INDEX('Live History'!$B$5:$B$3004,AH!$P$13+2005),INDEX('AH History'!$B$1:$B$18046,AH!$P$7+2005))),NA()),NA())</ns0:f>
        <ns0:v/>
      </ns0:c>
      <ns0:c r="D2010">
        <ns0:f>IFERROR(IF(ISNUMBER($A2010),IF(AND(AH!$P$10=1,AH!$P$12=1,$A2010=TODAY()),AH!$P$18,IF(AH!$P$10=1,INDEX('Live History'!$E$5:$E$3004,MATCH($A2010,'Live History'!$D$5:$D$3004,1)),INDEX('AH History'!$C$1:$C$18046,AH!$P$7+2005))),NA()),NA())</ns0:f>
        <ns0:v/>
      </ns0:c>
      <ns0:c r="E2010">
        <ns0:f>IFERROR(IF(ISNUMBER($A2010),IF(AND(AH!$P$10=1,AH!$P$12=1,$A2010=TODAY()),AH!$P$20,IF(AH!$P$10=1,INDEX('Live History'!$H$5:$H$3004,MATCH($A2010,'Live History'!$G$5:$G$3004,1)),INDEX('AH History'!$D$1:$D$18046,AH!$P$7+2005))),NA()),NA())</ns0:f>
        <ns0:v/>
      </ns0:c>
      <ns0:c r="F2010">
        <ns0:f>IFERROR(IF(ISNUMBER($A2010),IF(AND(AH!$P$10=1,AH!$P$12=1,$A2010=TODAY()),IF(AND(AH!$P$10=1,AH!$P$12=1,$A2010=TODAY()),TODAY(),NA()),IF(AH!$P$10=1,INDEX('Live History'!$D$5:$D$3004,MATCH($A2010,'Live History'!$D$5:$D$3004,1)),INDEX('AH History'!$E$1:$E$18046,AH!$P$7+2005))),NA()),NA())</ns0:f>
        <ns0:v/>
      </ns0:c>
      <ns0:c r="G2010">
        <ns0:f>IFERROR(IF(ISNUMBER($A2010),IF(AND(AH!$P$10=1,AH!$P$12=1,$A2010=TODAY()),IF(AND(AH!$P$10=1,AH!$P$12=1,$A2010=TODAY()),TODAY(),NA()),IF(AH!$P$10=1,INDEX('Live History'!$G$5:$G$3004,MATCH($A2010,'Live History'!$G$5:$G$3004,1)),INDEX('AH History'!$F$1:$F$18046,AH!$P$7+2005))),NA()),NA())</ns0:f>
        <ns0:v/>
      </ns0:c>
      <ns0:c r="H2010">
        <ns0:f>IFERROR(IF(AND(AH!$E$4="Bloomberg",AH!$P$10=1,ISNUMBER($A2010),$A2010&lt;=AH!$P$17),AH!$P$7-1+MATCH($A2010,INDEX('AH History'!$A$1:$A$18046,AH!$P$7):INDEX('AH History'!$A$1:$A$18046,AH!$P$7+AH!$P$8-1),0),0),0)</ns0:f>
        <ns0:v/>
      </ns0:c>
      <ns0:c r="I2010">
        <ns0:f>IF($H2010=0,0,IFERROR(IF(AND(ABS($C2010-INDEX('AH History'!$B$1:$B$18046,$H2010))&lt;=MAX(0.005,ABS(INDEX('AH History'!$B$1:$B$18046,$H2010))*0.00005),ABS($D2010-INDEX('AH History'!$C$1:$C$18046,$H2010))&lt;=MAX(0.005,ABS(INDEX('AH History'!$C$1:$C$18046,$H2010))*0.00005),ABS($E2010-INDEX('AH History'!$D$1:$D$18046,$H2010))&lt;=0.00005,$F2010=INDEX('AH History'!$E$1:$E$18046,$H2010),$G2010=INDEX('AH History'!$F$1:$F$18046,$H2010)),1,-1),-1))</ns0:f>
        <ns0:v/>
      </ns0:c>
    </ns0:row>
    <ns0:row r="2011">
      <ns0:c r="A2011" s="215">
        <ns0:f>IF(OR(AH!$P$3=0,2006+1&gt;AH!$P$11,AND(AH!$E$4&lt;&gt;"Stored",AH!$P$10&lt;&gt;1)),"",IFERROR(IF(AND(AH!$P$21=1,2006+1=AH!$P$11),TODAY(),IF(AH!$P$10=1,INDEX('Live History'!$A$5:$A$3004,AH!$P$13+2006),INDEX('AH History'!$A$1:$A$18046,AH!$P$7+2006))),""))</ns0:f>
        <ns0:v/>
      </ns0:c>
      <ns0:c r="B2011" s="219">
        <ns0:f>IFERROR(IF(AND(AH!$P$9&lt;&gt;1,$C2011&gt;0,$D2011&gt;0,$E2011&gt;0,$F2011&gt;0,$G2011&gt;0,$F2011&lt;=$A2011,$G2011&lt;=$A2011,$A2011-$F2011&lt;=10,$A2011-$G2011&lt;=5),$D2011*$E2011/$C2011-1,NA()),NA())</ns0:f>
        <ns0:v/>
      </ns0:c>
      <ns0:c r="C2011">
        <ns0:f>IFERROR(IF(ISNUMBER($A2011),IF(AND(AH!$P$10=1,AH!$P$12=1,$A2011=TODAY()),AH!$P$19,IF(AH!$P$10=1,INDEX('Live History'!$B$5:$B$3004,AH!$P$13+2006),INDEX('AH History'!$B$1:$B$18046,AH!$P$7+2006))),NA()),NA())</ns0:f>
        <ns0:v/>
      </ns0:c>
      <ns0:c r="D2011">
        <ns0:f>IFERROR(IF(ISNUMBER($A2011),IF(AND(AH!$P$10=1,AH!$P$12=1,$A2011=TODAY()),AH!$P$18,IF(AH!$P$10=1,INDEX('Live History'!$E$5:$E$3004,MATCH($A2011,'Live History'!$D$5:$D$3004,1)),INDEX('AH History'!$C$1:$C$18046,AH!$P$7+2006))),NA()),NA())</ns0:f>
        <ns0:v/>
      </ns0:c>
      <ns0:c r="E2011">
        <ns0:f>IFERROR(IF(ISNUMBER($A2011),IF(AND(AH!$P$10=1,AH!$P$12=1,$A2011=TODAY()),AH!$P$20,IF(AH!$P$10=1,INDEX('Live History'!$H$5:$H$3004,MATCH($A2011,'Live History'!$G$5:$G$3004,1)),INDEX('AH History'!$D$1:$D$18046,AH!$P$7+2006))),NA()),NA())</ns0:f>
        <ns0:v/>
      </ns0:c>
      <ns0:c r="F2011">
        <ns0:f>IFERROR(IF(ISNUMBER($A2011),IF(AND(AH!$P$10=1,AH!$P$12=1,$A2011=TODAY()),IF(AND(AH!$P$10=1,AH!$P$12=1,$A2011=TODAY()),TODAY(),NA()),IF(AH!$P$10=1,INDEX('Live History'!$D$5:$D$3004,MATCH($A2011,'Live History'!$D$5:$D$3004,1)),INDEX('AH History'!$E$1:$E$18046,AH!$P$7+2006))),NA()),NA())</ns0:f>
        <ns0:v/>
      </ns0:c>
      <ns0:c r="G2011">
        <ns0:f>IFERROR(IF(ISNUMBER($A2011),IF(AND(AH!$P$10=1,AH!$P$12=1,$A2011=TODAY()),IF(AND(AH!$P$10=1,AH!$P$12=1,$A2011=TODAY()),TODAY(),NA()),IF(AH!$P$10=1,INDEX('Live History'!$G$5:$G$3004,MATCH($A2011,'Live History'!$G$5:$G$3004,1)),INDEX('AH History'!$F$1:$F$18046,AH!$P$7+2006))),NA()),NA())</ns0:f>
        <ns0:v/>
      </ns0:c>
      <ns0:c r="H2011">
        <ns0:f>IFERROR(IF(AND(AH!$E$4="Bloomberg",AH!$P$10=1,ISNUMBER($A2011),$A2011&lt;=AH!$P$17),AH!$P$7-1+MATCH($A2011,INDEX('AH History'!$A$1:$A$18046,AH!$P$7):INDEX('AH History'!$A$1:$A$18046,AH!$P$7+AH!$P$8-1),0),0),0)</ns0:f>
        <ns0:v/>
      </ns0:c>
      <ns0:c r="I2011">
        <ns0:f>IF($H2011=0,0,IFERROR(IF(AND(ABS($C2011-INDEX('AH History'!$B$1:$B$18046,$H2011))&lt;=MAX(0.005,ABS(INDEX('AH History'!$B$1:$B$18046,$H2011))*0.00005),ABS($D2011-INDEX('AH History'!$C$1:$C$18046,$H2011))&lt;=MAX(0.005,ABS(INDEX('AH History'!$C$1:$C$18046,$H2011))*0.00005),ABS($E2011-INDEX('AH History'!$D$1:$D$18046,$H2011))&lt;=0.00005,$F2011=INDEX('AH History'!$E$1:$E$18046,$H2011),$G2011=INDEX('AH History'!$F$1:$F$18046,$H2011)),1,-1),-1))</ns0:f>
        <ns0:v/>
      </ns0:c>
    </ns0:row>
    <ns0:row r="2012">
      <ns0:c r="A2012" s="215">
        <ns0:f>IF(OR(AH!$P$3=0,2007+1&gt;AH!$P$11,AND(AH!$E$4&lt;&gt;"Stored",AH!$P$10&lt;&gt;1)),"",IFERROR(IF(AND(AH!$P$21=1,2007+1=AH!$P$11),TODAY(),IF(AH!$P$10=1,INDEX('Live History'!$A$5:$A$3004,AH!$P$13+2007),INDEX('AH History'!$A$1:$A$18046,AH!$P$7+2007))),""))</ns0:f>
        <ns0:v/>
      </ns0:c>
      <ns0:c r="B2012" s="219">
        <ns0:f>IFERROR(IF(AND(AH!$P$9&lt;&gt;1,$C2012&gt;0,$D2012&gt;0,$E2012&gt;0,$F2012&gt;0,$G2012&gt;0,$F2012&lt;=$A2012,$G2012&lt;=$A2012,$A2012-$F2012&lt;=10,$A2012-$G2012&lt;=5),$D2012*$E2012/$C2012-1,NA()),NA())</ns0:f>
        <ns0:v/>
      </ns0:c>
      <ns0:c r="C2012">
        <ns0:f>IFERROR(IF(ISNUMBER($A2012),IF(AND(AH!$P$10=1,AH!$P$12=1,$A2012=TODAY()),AH!$P$19,IF(AH!$P$10=1,INDEX('Live History'!$B$5:$B$3004,AH!$P$13+2007),INDEX('AH History'!$B$1:$B$18046,AH!$P$7+2007))),NA()),NA())</ns0:f>
        <ns0:v/>
      </ns0:c>
      <ns0:c r="D2012">
        <ns0:f>IFERROR(IF(ISNUMBER($A2012),IF(AND(AH!$P$10=1,AH!$P$12=1,$A2012=TODAY()),AH!$P$18,IF(AH!$P$10=1,INDEX('Live History'!$E$5:$E$3004,MATCH($A2012,'Live History'!$D$5:$D$3004,1)),INDEX('AH History'!$C$1:$C$18046,AH!$P$7+2007))),NA()),NA())</ns0:f>
        <ns0:v/>
      </ns0:c>
      <ns0:c r="E2012">
        <ns0:f>IFERROR(IF(ISNUMBER($A2012),IF(AND(AH!$P$10=1,AH!$P$12=1,$A2012=TODAY()),AH!$P$20,IF(AH!$P$10=1,INDEX('Live History'!$H$5:$H$3004,MATCH($A2012,'Live History'!$G$5:$G$3004,1)),INDEX('AH History'!$D$1:$D$18046,AH!$P$7+2007))),NA()),NA())</ns0:f>
        <ns0:v/>
      </ns0:c>
      <ns0:c r="F2012">
        <ns0:f>IFERROR(IF(ISNUMBER($A2012),IF(AND(AH!$P$10=1,AH!$P$12=1,$A2012=TODAY()),IF(AND(AH!$P$10=1,AH!$P$12=1,$A2012=TODAY()),TODAY(),NA()),IF(AH!$P$10=1,INDEX('Live History'!$D$5:$D$3004,MATCH($A2012,'Live History'!$D$5:$D$3004,1)),INDEX('AH History'!$E$1:$E$18046,AH!$P$7+2007))),NA()),NA())</ns0:f>
        <ns0:v/>
      </ns0:c>
      <ns0:c r="G2012">
        <ns0:f>IFERROR(IF(ISNUMBER($A2012),IF(AND(AH!$P$10=1,AH!$P$12=1,$A2012=TODAY()),IF(AND(AH!$P$10=1,AH!$P$12=1,$A2012=TODAY()),TODAY(),NA()),IF(AH!$P$10=1,INDEX('Live History'!$G$5:$G$3004,MATCH($A2012,'Live History'!$G$5:$G$3004,1)),INDEX('AH History'!$F$1:$F$18046,AH!$P$7+2007))),NA()),NA())</ns0:f>
        <ns0:v/>
      </ns0:c>
      <ns0:c r="H2012">
        <ns0:f>IFERROR(IF(AND(AH!$E$4="Bloomberg",AH!$P$10=1,ISNUMBER($A2012),$A2012&lt;=AH!$P$17),AH!$P$7-1+MATCH($A2012,INDEX('AH History'!$A$1:$A$18046,AH!$P$7):INDEX('AH History'!$A$1:$A$18046,AH!$P$7+AH!$P$8-1),0),0),0)</ns0:f>
        <ns0:v/>
      </ns0:c>
      <ns0:c r="I2012">
        <ns0:f>IF($H2012=0,0,IFERROR(IF(AND(ABS($C2012-INDEX('AH History'!$B$1:$B$18046,$H2012))&lt;=MAX(0.005,ABS(INDEX('AH History'!$B$1:$B$18046,$H2012))*0.00005),ABS($D2012-INDEX('AH History'!$C$1:$C$18046,$H2012))&lt;=MAX(0.005,ABS(INDEX('AH History'!$C$1:$C$18046,$H2012))*0.00005),ABS($E2012-INDEX('AH History'!$D$1:$D$18046,$H2012))&lt;=0.00005,$F2012=INDEX('AH History'!$E$1:$E$18046,$H2012),$G2012=INDEX('AH History'!$F$1:$F$18046,$H2012)),1,-1),-1))</ns0:f>
        <ns0:v/>
      </ns0:c>
    </ns0:row>
    <ns0:row r="2013">
      <ns0:c r="A2013" s="215">
        <ns0:f>IF(OR(AH!$P$3=0,2008+1&gt;AH!$P$11,AND(AH!$E$4&lt;&gt;"Stored",AH!$P$10&lt;&gt;1)),"",IFERROR(IF(AND(AH!$P$21=1,2008+1=AH!$P$11),TODAY(),IF(AH!$P$10=1,INDEX('Live History'!$A$5:$A$3004,AH!$P$13+2008),INDEX('AH History'!$A$1:$A$18046,AH!$P$7+2008))),""))</ns0:f>
        <ns0:v/>
      </ns0:c>
      <ns0:c r="B2013" s="219">
        <ns0:f>IFERROR(IF(AND(AH!$P$9&lt;&gt;1,$C2013&gt;0,$D2013&gt;0,$E2013&gt;0,$F2013&gt;0,$G2013&gt;0,$F2013&lt;=$A2013,$G2013&lt;=$A2013,$A2013-$F2013&lt;=10,$A2013-$G2013&lt;=5),$D2013*$E2013/$C2013-1,NA()),NA())</ns0:f>
        <ns0:v/>
      </ns0:c>
      <ns0:c r="C2013">
        <ns0:f>IFERROR(IF(ISNUMBER($A2013),IF(AND(AH!$P$10=1,AH!$P$12=1,$A2013=TODAY()),AH!$P$19,IF(AH!$P$10=1,INDEX('Live History'!$B$5:$B$3004,AH!$P$13+2008),INDEX('AH History'!$B$1:$B$18046,AH!$P$7+2008))),NA()),NA())</ns0:f>
        <ns0:v/>
      </ns0:c>
      <ns0:c r="D2013">
        <ns0:f>IFERROR(IF(ISNUMBER($A2013),IF(AND(AH!$P$10=1,AH!$P$12=1,$A2013=TODAY()),AH!$P$18,IF(AH!$P$10=1,INDEX('Live History'!$E$5:$E$3004,MATCH($A2013,'Live History'!$D$5:$D$3004,1)),INDEX('AH History'!$C$1:$C$18046,AH!$P$7+2008))),NA()),NA())</ns0:f>
        <ns0:v/>
      </ns0:c>
      <ns0:c r="E2013">
        <ns0:f>IFERROR(IF(ISNUMBER($A2013),IF(AND(AH!$P$10=1,AH!$P$12=1,$A2013=TODAY()),AH!$P$20,IF(AH!$P$10=1,INDEX('Live History'!$H$5:$H$3004,MATCH($A2013,'Live History'!$G$5:$G$3004,1)),INDEX('AH History'!$D$1:$D$18046,AH!$P$7+2008))),NA()),NA())</ns0:f>
        <ns0:v/>
      </ns0:c>
      <ns0:c r="F2013">
        <ns0:f>IFERROR(IF(ISNUMBER($A2013),IF(AND(AH!$P$10=1,AH!$P$12=1,$A2013=TODAY()),IF(AND(AH!$P$10=1,AH!$P$12=1,$A2013=TODAY()),TODAY(),NA()),IF(AH!$P$10=1,INDEX('Live History'!$D$5:$D$3004,MATCH($A2013,'Live History'!$D$5:$D$3004,1)),INDEX('AH History'!$E$1:$E$18046,AH!$P$7+2008))),NA()),NA())</ns0:f>
        <ns0:v/>
      </ns0:c>
      <ns0:c r="G2013">
        <ns0:f>IFERROR(IF(ISNUMBER($A2013),IF(AND(AH!$P$10=1,AH!$P$12=1,$A2013=TODAY()),IF(AND(AH!$P$10=1,AH!$P$12=1,$A2013=TODAY()),TODAY(),NA()),IF(AH!$P$10=1,INDEX('Live History'!$G$5:$G$3004,MATCH($A2013,'Live History'!$G$5:$G$3004,1)),INDEX('AH History'!$F$1:$F$18046,AH!$P$7+2008))),NA()),NA())</ns0:f>
        <ns0:v/>
      </ns0:c>
      <ns0:c r="H2013">
        <ns0:f>IFERROR(IF(AND(AH!$E$4="Bloomberg",AH!$P$10=1,ISNUMBER($A2013),$A2013&lt;=AH!$P$17),AH!$P$7-1+MATCH($A2013,INDEX('AH History'!$A$1:$A$18046,AH!$P$7):INDEX('AH History'!$A$1:$A$18046,AH!$P$7+AH!$P$8-1),0),0),0)</ns0:f>
        <ns0:v/>
      </ns0:c>
      <ns0:c r="I2013">
        <ns0:f>IF($H2013=0,0,IFERROR(IF(AND(ABS($C2013-INDEX('AH History'!$B$1:$B$18046,$H2013))&lt;=MAX(0.005,ABS(INDEX('AH History'!$B$1:$B$18046,$H2013))*0.00005),ABS($D2013-INDEX('AH History'!$C$1:$C$18046,$H2013))&lt;=MAX(0.005,ABS(INDEX('AH History'!$C$1:$C$18046,$H2013))*0.00005),ABS($E2013-INDEX('AH History'!$D$1:$D$18046,$H2013))&lt;=0.00005,$F2013=INDEX('AH History'!$E$1:$E$18046,$H2013),$G2013=INDEX('AH History'!$F$1:$F$18046,$H2013)),1,-1),-1))</ns0:f>
        <ns0:v/>
      </ns0:c>
    </ns0:row>
    <ns0:row r="2014">
      <ns0:c r="A2014" s="215">
        <ns0:f>IF(OR(AH!$P$3=0,2009+1&gt;AH!$P$11,AND(AH!$E$4&lt;&gt;"Stored",AH!$P$10&lt;&gt;1)),"",IFERROR(IF(AND(AH!$P$21=1,2009+1=AH!$P$11),TODAY(),IF(AH!$P$10=1,INDEX('Live History'!$A$5:$A$3004,AH!$P$13+2009),INDEX('AH History'!$A$1:$A$18046,AH!$P$7+2009))),""))</ns0:f>
        <ns0:v/>
      </ns0:c>
      <ns0:c r="B2014" s="219">
        <ns0:f>IFERROR(IF(AND(AH!$P$9&lt;&gt;1,$C2014&gt;0,$D2014&gt;0,$E2014&gt;0,$F2014&gt;0,$G2014&gt;0,$F2014&lt;=$A2014,$G2014&lt;=$A2014,$A2014-$F2014&lt;=10,$A2014-$G2014&lt;=5),$D2014*$E2014/$C2014-1,NA()),NA())</ns0:f>
        <ns0:v/>
      </ns0:c>
      <ns0:c r="C2014">
        <ns0:f>IFERROR(IF(ISNUMBER($A2014),IF(AND(AH!$P$10=1,AH!$P$12=1,$A2014=TODAY()),AH!$P$19,IF(AH!$P$10=1,INDEX('Live History'!$B$5:$B$3004,AH!$P$13+2009),INDEX('AH History'!$B$1:$B$18046,AH!$P$7+2009))),NA()),NA())</ns0:f>
        <ns0:v/>
      </ns0:c>
      <ns0:c r="D2014">
        <ns0:f>IFERROR(IF(ISNUMBER($A2014),IF(AND(AH!$P$10=1,AH!$P$12=1,$A2014=TODAY()),AH!$P$18,IF(AH!$P$10=1,INDEX('Live History'!$E$5:$E$3004,MATCH($A2014,'Live History'!$D$5:$D$3004,1)),INDEX('AH History'!$C$1:$C$18046,AH!$P$7+2009))),NA()),NA())</ns0:f>
        <ns0:v/>
      </ns0:c>
      <ns0:c r="E2014">
        <ns0:f>IFERROR(IF(ISNUMBER($A2014),IF(AND(AH!$P$10=1,AH!$P$12=1,$A2014=TODAY()),AH!$P$20,IF(AH!$P$10=1,INDEX('Live History'!$H$5:$H$3004,MATCH($A2014,'Live History'!$G$5:$G$3004,1)),INDEX('AH History'!$D$1:$D$18046,AH!$P$7+2009))),NA()),NA())</ns0:f>
        <ns0:v/>
      </ns0:c>
      <ns0:c r="F2014">
        <ns0:f>IFERROR(IF(ISNUMBER($A2014),IF(AND(AH!$P$10=1,AH!$P$12=1,$A2014=TODAY()),IF(AND(AH!$P$10=1,AH!$P$12=1,$A2014=TODAY()),TODAY(),NA()),IF(AH!$P$10=1,INDEX('Live History'!$D$5:$D$3004,MATCH($A2014,'Live History'!$D$5:$D$3004,1)),INDEX('AH History'!$E$1:$E$18046,AH!$P$7+2009))),NA()),NA())</ns0:f>
        <ns0:v/>
      </ns0:c>
      <ns0:c r="G2014">
        <ns0:f>IFERROR(IF(ISNUMBER($A2014),IF(AND(AH!$P$10=1,AH!$P$12=1,$A2014=TODAY()),IF(AND(AH!$P$10=1,AH!$P$12=1,$A2014=TODAY()),TODAY(),NA()),IF(AH!$P$10=1,INDEX('Live History'!$G$5:$G$3004,MATCH($A2014,'Live History'!$G$5:$G$3004,1)),INDEX('AH History'!$F$1:$F$18046,AH!$P$7+2009))),NA()),NA())</ns0:f>
        <ns0:v/>
      </ns0:c>
      <ns0:c r="H2014">
        <ns0:f>IFERROR(IF(AND(AH!$E$4="Bloomberg",AH!$P$10=1,ISNUMBER($A2014),$A2014&lt;=AH!$P$17),AH!$P$7-1+MATCH($A2014,INDEX('AH History'!$A$1:$A$18046,AH!$P$7):INDEX('AH History'!$A$1:$A$18046,AH!$P$7+AH!$P$8-1),0),0),0)</ns0:f>
        <ns0:v/>
      </ns0:c>
      <ns0:c r="I2014">
        <ns0:f>IF($H2014=0,0,IFERROR(IF(AND(ABS($C2014-INDEX('AH History'!$B$1:$B$18046,$H2014))&lt;=MAX(0.005,ABS(INDEX('AH History'!$B$1:$B$18046,$H2014))*0.00005),ABS($D2014-INDEX('AH History'!$C$1:$C$18046,$H2014))&lt;=MAX(0.005,ABS(INDEX('AH History'!$C$1:$C$18046,$H2014))*0.00005),ABS($E2014-INDEX('AH History'!$D$1:$D$18046,$H2014))&lt;=0.00005,$F2014=INDEX('AH History'!$E$1:$E$18046,$H2014),$G2014=INDEX('AH History'!$F$1:$F$18046,$H2014)),1,-1),-1))</ns0:f>
        <ns0:v/>
      </ns0:c>
    </ns0:row>
    <ns0:row r="2015">
      <ns0:c r="A2015" s="215">
        <ns0:f>IF(OR(AH!$P$3=0,2010+1&gt;AH!$P$11,AND(AH!$E$4&lt;&gt;"Stored",AH!$P$10&lt;&gt;1)),"",IFERROR(IF(AND(AH!$P$21=1,2010+1=AH!$P$11),TODAY(),IF(AH!$P$10=1,INDEX('Live History'!$A$5:$A$3004,AH!$P$13+2010),INDEX('AH History'!$A$1:$A$18046,AH!$P$7+2010))),""))</ns0:f>
        <ns0:v/>
      </ns0:c>
      <ns0:c r="B2015" s="219">
        <ns0:f>IFERROR(IF(AND(AH!$P$9&lt;&gt;1,$C2015&gt;0,$D2015&gt;0,$E2015&gt;0,$F2015&gt;0,$G2015&gt;0,$F2015&lt;=$A2015,$G2015&lt;=$A2015,$A2015-$F2015&lt;=10,$A2015-$G2015&lt;=5),$D2015*$E2015/$C2015-1,NA()),NA())</ns0:f>
        <ns0:v/>
      </ns0:c>
      <ns0:c r="C2015">
        <ns0:f>IFERROR(IF(ISNUMBER($A2015),IF(AND(AH!$P$10=1,AH!$P$12=1,$A2015=TODAY()),AH!$P$19,IF(AH!$P$10=1,INDEX('Live History'!$B$5:$B$3004,AH!$P$13+2010),INDEX('AH History'!$B$1:$B$18046,AH!$P$7+2010))),NA()),NA())</ns0:f>
        <ns0:v/>
      </ns0:c>
      <ns0:c r="D2015">
        <ns0:f>IFERROR(IF(ISNUMBER($A2015),IF(AND(AH!$P$10=1,AH!$P$12=1,$A2015=TODAY()),AH!$P$18,IF(AH!$P$10=1,INDEX('Live History'!$E$5:$E$3004,MATCH($A2015,'Live History'!$D$5:$D$3004,1)),INDEX('AH History'!$C$1:$C$18046,AH!$P$7+2010))),NA()),NA())</ns0:f>
        <ns0:v/>
      </ns0:c>
      <ns0:c r="E2015">
        <ns0:f>IFERROR(IF(ISNUMBER($A2015),IF(AND(AH!$P$10=1,AH!$P$12=1,$A2015=TODAY()),AH!$P$20,IF(AH!$P$10=1,INDEX('Live History'!$H$5:$H$3004,MATCH($A2015,'Live History'!$G$5:$G$3004,1)),INDEX('AH History'!$D$1:$D$18046,AH!$P$7+2010))),NA()),NA())</ns0:f>
        <ns0:v/>
      </ns0:c>
      <ns0:c r="F2015">
        <ns0:f>IFERROR(IF(ISNUMBER($A2015),IF(AND(AH!$P$10=1,AH!$P$12=1,$A2015=TODAY()),IF(AND(AH!$P$10=1,AH!$P$12=1,$A2015=TODAY()),TODAY(),NA()),IF(AH!$P$10=1,INDEX('Live History'!$D$5:$D$3004,MATCH($A2015,'Live History'!$D$5:$D$3004,1)),INDEX('AH History'!$E$1:$E$18046,AH!$P$7+2010))),NA()),NA())</ns0:f>
        <ns0:v/>
      </ns0:c>
      <ns0:c r="G2015">
        <ns0:f>IFERROR(IF(ISNUMBER($A2015),IF(AND(AH!$P$10=1,AH!$P$12=1,$A2015=TODAY()),IF(AND(AH!$P$10=1,AH!$P$12=1,$A2015=TODAY()),TODAY(),NA()),IF(AH!$P$10=1,INDEX('Live History'!$G$5:$G$3004,MATCH($A2015,'Live History'!$G$5:$G$3004,1)),INDEX('AH History'!$F$1:$F$18046,AH!$P$7+2010))),NA()),NA())</ns0:f>
        <ns0:v/>
      </ns0:c>
      <ns0:c r="H2015">
        <ns0:f>IFERROR(IF(AND(AH!$E$4="Bloomberg",AH!$P$10=1,ISNUMBER($A2015),$A2015&lt;=AH!$P$17),AH!$P$7-1+MATCH($A2015,INDEX('AH History'!$A$1:$A$18046,AH!$P$7):INDEX('AH History'!$A$1:$A$18046,AH!$P$7+AH!$P$8-1),0),0),0)</ns0:f>
        <ns0:v/>
      </ns0:c>
      <ns0:c r="I2015">
        <ns0:f>IF($H2015=0,0,IFERROR(IF(AND(ABS($C2015-INDEX('AH History'!$B$1:$B$18046,$H2015))&lt;=MAX(0.005,ABS(INDEX('AH History'!$B$1:$B$18046,$H2015))*0.00005),ABS($D2015-INDEX('AH History'!$C$1:$C$18046,$H2015))&lt;=MAX(0.005,ABS(INDEX('AH History'!$C$1:$C$18046,$H2015))*0.00005),ABS($E2015-INDEX('AH History'!$D$1:$D$18046,$H2015))&lt;=0.00005,$F2015=INDEX('AH History'!$E$1:$E$18046,$H2015),$G2015=INDEX('AH History'!$F$1:$F$18046,$H2015)),1,-1),-1))</ns0:f>
        <ns0:v/>
      </ns0:c>
    </ns0:row>
    <ns0:row r="2016">
      <ns0:c r="A2016" s="215">
        <ns0:f>IF(OR(AH!$P$3=0,2011+1&gt;AH!$P$11,AND(AH!$E$4&lt;&gt;"Stored",AH!$P$10&lt;&gt;1)),"",IFERROR(IF(AND(AH!$P$21=1,2011+1=AH!$P$11),TODAY(),IF(AH!$P$10=1,INDEX('Live History'!$A$5:$A$3004,AH!$P$13+2011),INDEX('AH History'!$A$1:$A$18046,AH!$P$7+2011))),""))</ns0:f>
        <ns0:v/>
      </ns0:c>
      <ns0:c r="B2016" s="219">
        <ns0:f>IFERROR(IF(AND(AH!$P$9&lt;&gt;1,$C2016&gt;0,$D2016&gt;0,$E2016&gt;0,$F2016&gt;0,$G2016&gt;0,$F2016&lt;=$A2016,$G2016&lt;=$A2016,$A2016-$F2016&lt;=10,$A2016-$G2016&lt;=5),$D2016*$E2016/$C2016-1,NA()),NA())</ns0:f>
        <ns0:v/>
      </ns0:c>
      <ns0:c r="C2016">
        <ns0:f>IFERROR(IF(ISNUMBER($A2016),IF(AND(AH!$P$10=1,AH!$P$12=1,$A2016=TODAY()),AH!$P$19,IF(AH!$P$10=1,INDEX('Live History'!$B$5:$B$3004,AH!$P$13+2011),INDEX('AH History'!$B$1:$B$18046,AH!$P$7+2011))),NA()),NA())</ns0:f>
        <ns0:v/>
      </ns0:c>
      <ns0:c r="D2016">
        <ns0:f>IFERROR(IF(ISNUMBER($A2016),IF(AND(AH!$P$10=1,AH!$P$12=1,$A2016=TODAY()),AH!$P$18,IF(AH!$P$10=1,INDEX('Live History'!$E$5:$E$3004,MATCH($A2016,'Live History'!$D$5:$D$3004,1)),INDEX('AH History'!$C$1:$C$18046,AH!$P$7+2011))),NA()),NA())</ns0:f>
        <ns0:v/>
      </ns0:c>
      <ns0:c r="E2016">
        <ns0:f>IFERROR(IF(ISNUMBER($A2016),IF(AND(AH!$P$10=1,AH!$P$12=1,$A2016=TODAY()),AH!$P$20,IF(AH!$P$10=1,INDEX('Live History'!$H$5:$H$3004,MATCH($A2016,'Live History'!$G$5:$G$3004,1)),INDEX('AH History'!$D$1:$D$18046,AH!$P$7+2011))),NA()),NA())</ns0:f>
        <ns0:v/>
      </ns0:c>
      <ns0:c r="F2016">
        <ns0:f>IFERROR(IF(ISNUMBER($A2016),IF(AND(AH!$P$10=1,AH!$P$12=1,$A2016=TODAY()),IF(AND(AH!$P$10=1,AH!$P$12=1,$A2016=TODAY()),TODAY(),NA()),IF(AH!$P$10=1,INDEX('Live History'!$D$5:$D$3004,MATCH($A2016,'Live History'!$D$5:$D$3004,1)),INDEX('AH History'!$E$1:$E$18046,AH!$P$7+2011))),NA()),NA())</ns0:f>
        <ns0:v/>
      </ns0:c>
      <ns0:c r="G2016">
        <ns0:f>IFERROR(IF(ISNUMBER($A2016),IF(AND(AH!$P$10=1,AH!$P$12=1,$A2016=TODAY()),IF(AND(AH!$P$10=1,AH!$P$12=1,$A2016=TODAY()),TODAY(),NA()),IF(AH!$P$10=1,INDEX('Live History'!$G$5:$G$3004,MATCH($A2016,'Live History'!$G$5:$G$3004,1)),INDEX('AH History'!$F$1:$F$18046,AH!$P$7+2011))),NA()),NA())</ns0:f>
        <ns0:v/>
      </ns0:c>
      <ns0:c r="H2016">
        <ns0:f>IFERROR(IF(AND(AH!$E$4="Bloomberg",AH!$P$10=1,ISNUMBER($A2016),$A2016&lt;=AH!$P$17),AH!$P$7-1+MATCH($A2016,INDEX('AH History'!$A$1:$A$18046,AH!$P$7):INDEX('AH History'!$A$1:$A$18046,AH!$P$7+AH!$P$8-1),0),0),0)</ns0:f>
        <ns0:v/>
      </ns0:c>
      <ns0:c r="I2016">
        <ns0:f>IF($H2016=0,0,IFERROR(IF(AND(ABS($C2016-INDEX('AH History'!$B$1:$B$18046,$H2016))&lt;=MAX(0.005,ABS(INDEX('AH History'!$B$1:$B$18046,$H2016))*0.00005),ABS($D2016-INDEX('AH History'!$C$1:$C$18046,$H2016))&lt;=MAX(0.005,ABS(INDEX('AH History'!$C$1:$C$18046,$H2016))*0.00005),ABS($E2016-INDEX('AH History'!$D$1:$D$18046,$H2016))&lt;=0.00005,$F2016=INDEX('AH History'!$E$1:$E$18046,$H2016),$G2016=INDEX('AH History'!$F$1:$F$18046,$H2016)),1,-1),-1))</ns0:f>
        <ns0:v/>
      </ns0:c>
    </ns0:row>
    <ns0:row r="2017">
      <ns0:c r="A2017" s="215">
        <ns0:f>IF(OR(AH!$P$3=0,2012+1&gt;AH!$P$11,AND(AH!$E$4&lt;&gt;"Stored",AH!$P$10&lt;&gt;1)),"",IFERROR(IF(AND(AH!$P$21=1,2012+1=AH!$P$11),TODAY(),IF(AH!$P$10=1,INDEX('Live History'!$A$5:$A$3004,AH!$P$13+2012),INDEX('AH History'!$A$1:$A$18046,AH!$P$7+2012))),""))</ns0:f>
        <ns0:v/>
      </ns0:c>
      <ns0:c r="B2017" s="219">
        <ns0:f>IFERROR(IF(AND(AH!$P$9&lt;&gt;1,$C2017&gt;0,$D2017&gt;0,$E2017&gt;0,$F2017&gt;0,$G2017&gt;0,$F2017&lt;=$A2017,$G2017&lt;=$A2017,$A2017-$F2017&lt;=10,$A2017-$G2017&lt;=5),$D2017*$E2017/$C2017-1,NA()),NA())</ns0:f>
        <ns0:v/>
      </ns0:c>
      <ns0:c r="C2017">
        <ns0:f>IFERROR(IF(ISNUMBER($A2017),IF(AND(AH!$P$10=1,AH!$P$12=1,$A2017=TODAY()),AH!$P$19,IF(AH!$P$10=1,INDEX('Live History'!$B$5:$B$3004,AH!$P$13+2012),INDEX('AH History'!$B$1:$B$18046,AH!$P$7+2012))),NA()),NA())</ns0:f>
        <ns0:v/>
      </ns0:c>
      <ns0:c r="D2017">
        <ns0:f>IFERROR(IF(ISNUMBER($A2017),IF(AND(AH!$P$10=1,AH!$P$12=1,$A2017=TODAY()),AH!$P$18,IF(AH!$P$10=1,INDEX('Live History'!$E$5:$E$3004,MATCH($A2017,'Live History'!$D$5:$D$3004,1)),INDEX('AH History'!$C$1:$C$18046,AH!$P$7+2012))),NA()),NA())</ns0:f>
        <ns0:v/>
      </ns0:c>
      <ns0:c r="E2017">
        <ns0:f>IFERROR(IF(ISNUMBER($A2017),IF(AND(AH!$P$10=1,AH!$P$12=1,$A2017=TODAY()),AH!$P$20,IF(AH!$P$10=1,INDEX('Live History'!$H$5:$H$3004,MATCH($A2017,'Live History'!$G$5:$G$3004,1)),INDEX('AH History'!$D$1:$D$18046,AH!$P$7+2012))),NA()),NA())</ns0:f>
        <ns0:v/>
      </ns0:c>
      <ns0:c r="F2017">
        <ns0:f>IFERROR(IF(ISNUMBER($A2017),IF(AND(AH!$P$10=1,AH!$P$12=1,$A2017=TODAY()),IF(AND(AH!$P$10=1,AH!$P$12=1,$A2017=TODAY()),TODAY(),NA()),IF(AH!$P$10=1,INDEX('Live History'!$D$5:$D$3004,MATCH($A2017,'Live History'!$D$5:$D$3004,1)),INDEX('AH History'!$E$1:$E$18046,AH!$P$7+2012))),NA()),NA())</ns0:f>
        <ns0:v/>
      </ns0:c>
      <ns0:c r="G2017">
        <ns0:f>IFERROR(IF(ISNUMBER($A2017),IF(AND(AH!$P$10=1,AH!$P$12=1,$A2017=TODAY()),IF(AND(AH!$P$10=1,AH!$P$12=1,$A2017=TODAY()),TODAY(),NA()),IF(AH!$P$10=1,INDEX('Live History'!$G$5:$G$3004,MATCH($A2017,'Live History'!$G$5:$G$3004,1)),INDEX('AH History'!$F$1:$F$18046,AH!$P$7+2012))),NA()),NA())</ns0:f>
        <ns0:v/>
      </ns0:c>
      <ns0:c r="H2017">
        <ns0:f>IFERROR(IF(AND(AH!$E$4="Bloomberg",AH!$P$10=1,ISNUMBER($A2017),$A2017&lt;=AH!$P$17),AH!$P$7-1+MATCH($A2017,INDEX('AH History'!$A$1:$A$18046,AH!$P$7):INDEX('AH History'!$A$1:$A$18046,AH!$P$7+AH!$P$8-1),0),0),0)</ns0:f>
        <ns0:v/>
      </ns0:c>
      <ns0:c r="I2017">
        <ns0:f>IF($H2017=0,0,IFERROR(IF(AND(ABS($C2017-INDEX('AH History'!$B$1:$B$18046,$H2017))&lt;=MAX(0.005,ABS(INDEX('AH History'!$B$1:$B$18046,$H2017))*0.00005),ABS($D2017-INDEX('AH History'!$C$1:$C$18046,$H2017))&lt;=MAX(0.005,ABS(INDEX('AH History'!$C$1:$C$18046,$H2017))*0.00005),ABS($E2017-INDEX('AH History'!$D$1:$D$18046,$H2017))&lt;=0.00005,$F2017=INDEX('AH History'!$E$1:$E$18046,$H2017),$G2017=INDEX('AH History'!$F$1:$F$18046,$H2017)),1,-1),-1))</ns0:f>
        <ns0:v/>
      </ns0:c>
    </ns0:row>
    <ns0:row r="2018">
      <ns0:c r="A2018" s="215">
        <ns0:f>IF(OR(AH!$P$3=0,2013+1&gt;AH!$P$11,AND(AH!$E$4&lt;&gt;"Stored",AH!$P$10&lt;&gt;1)),"",IFERROR(IF(AND(AH!$P$21=1,2013+1=AH!$P$11),TODAY(),IF(AH!$P$10=1,INDEX('Live History'!$A$5:$A$3004,AH!$P$13+2013),INDEX('AH History'!$A$1:$A$18046,AH!$P$7+2013))),""))</ns0:f>
        <ns0:v/>
      </ns0:c>
      <ns0:c r="B2018" s="219">
        <ns0:f>IFERROR(IF(AND(AH!$P$9&lt;&gt;1,$C2018&gt;0,$D2018&gt;0,$E2018&gt;0,$F2018&gt;0,$G2018&gt;0,$F2018&lt;=$A2018,$G2018&lt;=$A2018,$A2018-$F2018&lt;=10,$A2018-$G2018&lt;=5),$D2018*$E2018/$C2018-1,NA()),NA())</ns0:f>
        <ns0:v/>
      </ns0:c>
      <ns0:c r="C2018">
        <ns0:f>IFERROR(IF(ISNUMBER($A2018),IF(AND(AH!$P$10=1,AH!$P$12=1,$A2018=TODAY()),AH!$P$19,IF(AH!$P$10=1,INDEX('Live History'!$B$5:$B$3004,AH!$P$13+2013),INDEX('AH History'!$B$1:$B$18046,AH!$P$7+2013))),NA()),NA())</ns0:f>
        <ns0:v/>
      </ns0:c>
      <ns0:c r="D2018">
        <ns0:f>IFERROR(IF(ISNUMBER($A2018),IF(AND(AH!$P$10=1,AH!$P$12=1,$A2018=TODAY()),AH!$P$18,IF(AH!$P$10=1,INDEX('Live History'!$E$5:$E$3004,MATCH($A2018,'Live History'!$D$5:$D$3004,1)),INDEX('AH History'!$C$1:$C$18046,AH!$P$7+2013))),NA()),NA())</ns0:f>
        <ns0:v/>
      </ns0:c>
      <ns0:c r="E2018">
        <ns0:f>IFERROR(IF(ISNUMBER($A2018),IF(AND(AH!$P$10=1,AH!$P$12=1,$A2018=TODAY()),AH!$P$20,IF(AH!$P$10=1,INDEX('Live History'!$H$5:$H$3004,MATCH($A2018,'Live History'!$G$5:$G$3004,1)),INDEX('AH History'!$D$1:$D$18046,AH!$P$7+2013))),NA()),NA())</ns0:f>
        <ns0:v/>
      </ns0:c>
      <ns0:c r="F2018">
        <ns0:f>IFERROR(IF(ISNUMBER($A2018),IF(AND(AH!$P$10=1,AH!$P$12=1,$A2018=TODAY()),IF(AND(AH!$P$10=1,AH!$P$12=1,$A2018=TODAY()),TODAY(),NA()),IF(AH!$P$10=1,INDEX('Live History'!$D$5:$D$3004,MATCH($A2018,'Live History'!$D$5:$D$3004,1)),INDEX('AH History'!$E$1:$E$18046,AH!$P$7+2013))),NA()),NA())</ns0:f>
        <ns0:v/>
      </ns0:c>
      <ns0:c r="G2018">
        <ns0:f>IFERROR(IF(ISNUMBER($A2018),IF(AND(AH!$P$10=1,AH!$P$12=1,$A2018=TODAY()),IF(AND(AH!$P$10=1,AH!$P$12=1,$A2018=TODAY()),TODAY(),NA()),IF(AH!$P$10=1,INDEX('Live History'!$G$5:$G$3004,MATCH($A2018,'Live History'!$G$5:$G$3004,1)),INDEX('AH History'!$F$1:$F$18046,AH!$P$7+2013))),NA()),NA())</ns0:f>
        <ns0:v/>
      </ns0:c>
      <ns0:c r="H2018">
        <ns0:f>IFERROR(IF(AND(AH!$E$4="Bloomberg",AH!$P$10=1,ISNUMBER($A2018),$A2018&lt;=AH!$P$17),AH!$P$7-1+MATCH($A2018,INDEX('AH History'!$A$1:$A$18046,AH!$P$7):INDEX('AH History'!$A$1:$A$18046,AH!$P$7+AH!$P$8-1),0),0),0)</ns0:f>
        <ns0:v/>
      </ns0:c>
      <ns0:c r="I2018">
        <ns0:f>IF($H2018=0,0,IFERROR(IF(AND(ABS($C2018-INDEX('AH History'!$B$1:$B$18046,$H2018))&lt;=MAX(0.005,ABS(INDEX('AH History'!$B$1:$B$18046,$H2018))*0.00005),ABS($D2018-INDEX('AH History'!$C$1:$C$18046,$H2018))&lt;=MAX(0.005,ABS(INDEX('AH History'!$C$1:$C$18046,$H2018))*0.00005),ABS($E2018-INDEX('AH History'!$D$1:$D$18046,$H2018))&lt;=0.00005,$F2018=INDEX('AH History'!$E$1:$E$18046,$H2018),$G2018=INDEX('AH History'!$F$1:$F$18046,$H2018)),1,-1),-1))</ns0:f>
        <ns0:v/>
      </ns0:c>
    </ns0:row>
    <ns0:row r="2019">
      <ns0:c r="A2019" s="215">
        <ns0:f>IF(OR(AH!$P$3=0,2014+1&gt;AH!$P$11,AND(AH!$E$4&lt;&gt;"Stored",AH!$P$10&lt;&gt;1)),"",IFERROR(IF(AND(AH!$P$21=1,2014+1=AH!$P$11),TODAY(),IF(AH!$P$10=1,INDEX('Live History'!$A$5:$A$3004,AH!$P$13+2014),INDEX('AH History'!$A$1:$A$18046,AH!$P$7+2014))),""))</ns0:f>
        <ns0:v/>
      </ns0:c>
      <ns0:c r="B2019" s="219">
        <ns0:f>IFERROR(IF(AND(AH!$P$9&lt;&gt;1,$C2019&gt;0,$D2019&gt;0,$E2019&gt;0,$F2019&gt;0,$G2019&gt;0,$F2019&lt;=$A2019,$G2019&lt;=$A2019,$A2019-$F2019&lt;=10,$A2019-$G2019&lt;=5),$D2019*$E2019/$C2019-1,NA()),NA())</ns0:f>
        <ns0:v/>
      </ns0:c>
      <ns0:c r="C2019">
        <ns0:f>IFERROR(IF(ISNUMBER($A2019),IF(AND(AH!$P$10=1,AH!$P$12=1,$A2019=TODAY()),AH!$P$19,IF(AH!$P$10=1,INDEX('Live History'!$B$5:$B$3004,AH!$P$13+2014),INDEX('AH History'!$B$1:$B$18046,AH!$P$7+2014))),NA()),NA())</ns0:f>
        <ns0:v/>
      </ns0:c>
      <ns0:c r="D2019">
        <ns0:f>IFERROR(IF(ISNUMBER($A2019),IF(AND(AH!$P$10=1,AH!$P$12=1,$A2019=TODAY()),AH!$P$18,IF(AH!$P$10=1,INDEX('Live History'!$E$5:$E$3004,MATCH($A2019,'Live History'!$D$5:$D$3004,1)),INDEX('AH History'!$C$1:$C$18046,AH!$P$7+2014))),NA()),NA())</ns0:f>
        <ns0:v/>
      </ns0:c>
      <ns0:c r="E2019">
        <ns0:f>IFERROR(IF(ISNUMBER($A2019),IF(AND(AH!$P$10=1,AH!$P$12=1,$A2019=TODAY()),AH!$P$20,IF(AH!$P$10=1,INDEX('Live History'!$H$5:$H$3004,MATCH($A2019,'Live History'!$G$5:$G$3004,1)),INDEX('AH History'!$D$1:$D$18046,AH!$P$7+2014))),NA()),NA())</ns0:f>
        <ns0:v/>
      </ns0:c>
      <ns0:c r="F2019">
        <ns0:f>IFERROR(IF(ISNUMBER($A2019),IF(AND(AH!$P$10=1,AH!$P$12=1,$A2019=TODAY()),IF(AND(AH!$P$10=1,AH!$P$12=1,$A2019=TODAY()),TODAY(),NA()),IF(AH!$P$10=1,INDEX('Live History'!$D$5:$D$3004,MATCH($A2019,'Live History'!$D$5:$D$3004,1)),INDEX('AH History'!$E$1:$E$18046,AH!$P$7+2014))),NA()),NA())</ns0:f>
        <ns0:v/>
      </ns0:c>
      <ns0:c r="G2019">
        <ns0:f>IFERROR(IF(ISNUMBER($A2019),IF(AND(AH!$P$10=1,AH!$P$12=1,$A2019=TODAY()),IF(AND(AH!$P$10=1,AH!$P$12=1,$A2019=TODAY()),TODAY(),NA()),IF(AH!$P$10=1,INDEX('Live History'!$G$5:$G$3004,MATCH($A2019,'Live History'!$G$5:$G$3004,1)),INDEX('AH History'!$F$1:$F$18046,AH!$P$7+2014))),NA()),NA())</ns0:f>
        <ns0:v/>
      </ns0:c>
      <ns0:c r="H2019">
        <ns0:f>IFERROR(IF(AND(AH!$E$4="Bloomberg",AH!$P$10=1,ISNUMBER($A2019),$A2019&lt;=AH!$P$17),AH!$P$7-1+MATCH($A2019,INDEX('AH History'!$A$1:$A$18046,AH!$P$7):INDEX('AH History'!$A$1:$A$18046,AH!$P$7+AH!$P$8-1),0),0),0)</ns0:f>
        <ns0:v/>
      </ns0:c>
      <ns0:c r="I2019">
        <ns0:f>IF($H2019=0,0,IFERROR(IF(AND(ABS($C2019-INDEX('AH History'!$B$1:$B$18046,$H2019))&lt;=MAX(0.005,ABS(INDEX('AH History'!$B$1:$B$18046,$H2019))*0.00005),ABS($D2019-INDEX('AH History'!$C$1:$C$18046,$H2019))&lt;=MAX(0.005,ABS(INDEX('AH History'!$C$1:$C$18046,$H2019))*0.00005),ABS($E2019-INDEX('AH History'!$D$1:$D$18046,$H2019))&lt;=0.00005,$F2019=INDEX('AH History'!$E$1:$E$18046,$H2019),$G2019=INDEX('AH History'!$F$1:$F$18046,$H2019)),1,-1),-1))</ns0:f>
        <ns0:v/>
      </ns0:c>
    </ns0:row>
    <ns0:row r="2020">
      <ns0:c r="A2020" s="215">
        <ns0:f>IF(OR(AH!$P$3=0,2015+1&gt;AH!$P$11,AND(AH!$E$4&lt;&gt;"Stored",AH!$P$10&lt;&gt;1)),"",IFERROR(IF(AND(AH!$P$21=1,2015+1=AH!$P$11),TODAY(),IF(AH!$P$10=1,INDEX('Live History'!$A$5:$A$3004,AH!$P$13+2015),INDEX('AH History'!$A$1:$A$18046,AH!$P$7+2015))),""))</ns0:f>
        <ns0:v/>
      </ns0:c>
      <ns0:c r="B2020" s="219">
        <ns0:f>IFERROR(IF(AND(AH!$P$9&lt;&gt;1,$C2020&gt;0,$D2020&gt;0,$E2020&gt;0,$F2020&gt;0,$G2020&gt;0,$F2020&lt;=$A2020,$G2020&lt;=$A2020,$A2020-$F2020&lt;=10,$A2020-$G2020&lt;=5),$D2020*$E2020/$C2020-1,NA()),NA())</ns0:f>
        <ns0:v/>
      </ns0:c>
      <ns0:c r="C2020">
        <ns0:f>IFERROR(IF(ISNUMBER($A2020),IF(AND(AH!$P$10=1,AH!$P$12=1,$A2020=TODAY()),AH!$P$19,IF(AH!$P$10=1,INDEX('Live History'!$B$5:$B$3004,AH!$P$13+2015),INDEX('AH History'!$B$1:$B$18046,AH!$P$7+2015))),NA()),NA())</ns0:f>
        <ns0:v/>
      </ns0:c>
      <ns0:c r="D2020">
        <ns0:f>IFERROR(IF(ISNUMBER($A2020),IF(AND(AH!$P$10=1,AH!$P$12=1,$A2020=TODAY()),AH!$P$18,IF(AH!$P$10=1,INDEX('Live History'!$E$5:$E$3004,MATCH($A2020,'Live History'!$D$5:$D$3004,1)),INDEX('AH History'!$C$1:$C$18046,AH!$P$7+2015))),NA()),NA())</ns0:f>
        <ns0:v/>
      </ns0:c>
      <ns0:c r="E2020">
        <ns0:f>IFERROR(IF(ISNUMBER($A2020),IF(AND(AH!$P$10=1,AH!$P$12=1,$A2020=TODAY()),AH!$P$20,IF(AH!$P$10=1,INDEX('Live History'!$H$5:$H$3004,MATCH($A2020,'Live History'!$G$5:$G$3004,1)),INDEX('AH History'!$D$1:$D$18046,AH!$P$7+2015))),NA()),NA())</ns0:f>
        <ns0:v/>
      </ns0:c>
      <ns0:c r="F2020">
        <ns0:f>IFERROR(IF(ISNUMBER($A2020),IF(AND(AH!$P$10=1,AH!$P$12=1,$A2020=TODAY()),IF(AND(AH!$P$10=1,AH!$P$12=1,$A2020=TODAY()),TODAY(),NA()),IF(AH!$P$10=1,INDEX('Live History'!$D$5:$D$3004,MATCH($A2020,'Live History'!$D$5:$D$3004,1)),INDEX('AH History'!$E$1:$E$18046,AH!$P$7+2015))),NA()),NA())</ns0:f>
        <ns0:v/>
      </ns0:c>
      <ns0:c r="G2020">
        <ns0:f>IFERROR(IF(ISNUMBER($A2020),IF(AND(AH!$P$10=1,AH!$P$12=1,$A2020=TODAY()),IF(AND(AH!$P$10=1,AH!$P$12=1,$A2020=TODAY()),TODAY(),NA()),IF(AH!$P$10=1,INDEX('Live History'!$G$5:$G$3004,MATCH($A2020,'Live History'!$G$5:$G$3004,1)),INDEX('AH History'!$F$1:$F$18046,AH!$P$7+2015))),NA()),NA())</ns0:f>
        <ns0:v/>
      </ns0:c>
      <ns0:c r="H2020">
        <ns0:f>IFERROR(IF(AND(AH!$E$4="Bloomberg",AH!$P$10=1,ISNUMBER($A2020),$A2020&lt;=AH!$P$17),AH!$P$7-1+MATCH($A2020,INDEX('AH History'!$A$1:$A$18046,AH!$P$7):INDEX('AH History'!$A$1:$A$18046,AH!$P$7+AH!$P$8-1),0),0),0)</ns0:f>
        <ns0:v/>
      </ns0:c>
      <ns0:c r="I2020">
        <ns0:f>IF($H2020=0,0,IFERROR(IF(AND(ABS($C2020-INDEX('AH History'!$B$1:$B$18046,$H2020))&lt;=MAX(0.005,ABS(INDEX('AH History'!$B$1:$B$18046,$H2020))*0.00005),ABS($D2020-INDEX('AH History'!$C$1:$C$18046,$H2020))&lt;=MAX(0.005,ABS(INDEX('AH History'!$C$1:$C$18046,$H2020))*0.00005),ABS($E2020-INDEX('AH History'!$D$1:$D$18046,$H2020))&lt;=0.00005,$F2020=INDEX('AH History'!$E$1:$E$18046,$H2020),$G2020=INDEX('AH History'!$F$1:$F$18046,$H2020)),1,-1),-1))</ns0:f>
        <ns0:v/>
      </ns0:c>
    </ns0:row>
    <ns0:row r="2021">
      <ns0:c r="A2021" s="215">
        <ns0:f>IF(OR(AH!$P$3=0,2016+1&gt;AH!$P$11,AND(AH!$E$4&lt;&gt;"Stored",AH!$P$10&lt;&gt;1)),"",IFERROR(IF(AND(AH!$P$21=1,2016+1=AH!$P$11),TODAY(),IF(AH!$P$10=1,INDEX('Live History'!$A$5:$A$3004,AH!$P$13+2016),INDEX('AH History'!$A$1:$A$18046,AH!$P$7+2016))),""))</ns0:f>
        <ns0:v/>
      </ns0:c>
      <ns0:c r="B2021" s="219">
        <ns0:f>IFERROR(IF(AND(AH!$P$9&lt;&gt;1,$C2021&gt;0,$D2021&gt;0,$E2021&gt;0,$F2021&gt;0,$G2021&gt;0,$F2021&lt;=$A2021,$G2021&lt;=$A2021,$A2021-$F2021&lt;=10,$A2021-$G2021&lt;=5),$D2021*$E2021/$C2021-1,NA()),NA())</ns0:f>
        <ns0:v/>
      </ns0:c>
      <ns0:c r="C2021">
        <ns0:f>IFERROR(IF(ISNUMBER($A2021),IF(AND(AH!$P$10=1,AH!$P$12=1,$A2021=TODAY()),AH!$P$19,IF(AH!$P$10=1,INDEX('Live History'!$B$5:$B$3004,AH!$P$13+2016),INDEX('AH History'!$B$1:$B$18046,AH!$P$7+2016))),NA()),NA())</ns0:f>
        <ns0:v/>
      </ns0:c>
      <ns0:c r="D2021">
        <ns0:f>IFERROR(IF(ISNUMBER($A2021),IF(AND(AH!$P$10=1,AH!$P$12=1,$A2021=TODAY()),AH!$P$18,IF(AH!$P$10=1,INDEX('Live History'!$E$5:$E$3004,MATCH($A2021,'Live History'!$D$5:$D$3004,1)),INDEX('AH History'!$C$1:$C$18046,AH!$P$7+2016))),NA()),NA())</ns0:f>
        <ns0:v/>
      </ns0:c>
      <ns0:c r="E2021">
        <ns0:f>IFERROR(IF(ISNUMBER($A2021),IF(AND(AH!$P$10=1,AH!$P$12=1,$A2021=TODAY()),AH!$P$20,IF(AH!$P$10=1,INDEX('Live History'!$H$5:$H$3004,MATCH($A2021,'Live History'!$G$5:$G$3004,1)),INDEX('AH History'!$D$1:$D$18046,AH!$P$7+2016))),NA()),NA())</ns0:f>
        <ns0:v/>
      </ns0:c>
      <ns0:c r="F2021">
        <ns0:f>IFERROR(IF(ISNUMBER($A2021),IF(AND(AH!$P$10=1,AH!$P$12=1,$A2021=TODAY()),IF(AND(AH!$P$10=1,AH!$P$12=1,$A2021=TODAY()),TODAY(),NA()),IF(AH!$P$10=1,INDEX('Live History'!$D$5:$D$3004,MATCH($A2021,'Live History'!$D$5:$D$3004,1)),INDEX('AH History'!$E$1:$E$18046,AH!$P$7+2016))),NA()),NA())</ns0:f>
        <ns0:v/>
      </ns0:c>
      <ns0:c r="G2021">
        <ns0:f>IFERROR(IF(ISNUMBER($A2021),IF(AND(AH!$P$10=1,AH!$P$12=1,$A2021=TODAY()),IF(AND(AH!$P$10=1,AH!$P$12=1,$A2021=TODAY()),TODAY(),NA()),IF(AH!$P$10=1,INDEX('Live History'!$G$5:$G$3004,MATCH($A2021,'Live History'!$G$5:$G$3004,1)),INDEX('AH History'!$F$1:$F$18046,AH!$P$7+2016))),NA()),NA())</ns0:f>
        <ns0:v/>
      </ns0:c>
      <ns0:c r="H2021">
        <ns0:f>IFERROR(IF(AND(AH!$E$4="Bloomberg",AH!$P$10=1,ISNUMBER($A2021),$A2021&lt;=AH!$P$17),AH!$P$7-1+MATCH($A2021,INDEX('AH History'!$A$1:$A$18046,AH!$P$7):INDEX('AH History'!$A$1:$A$18046,AH!$P$7+AH!$P$8-1),0),0),0)</ns0:f>
        <ns0:v/>
      </ns0:c>
      <ns0:c r="I2021">
        <ns0:f>IF($H2021=0,0,IFERROR(IF(AND(ABS($C2021-INDEX('AH History'!$B$1:$B$18046,$H2021))&lt;=MAX(0.005,ABS(INDEX('AH History'!$B$1:$B$18046,$H2021))*0.00005),ABS($D2021-INDEX('AH History'!$C$1:$C$18046,$H2021))&lt;=MAX(0.005,ABS(INDEX('AH History'!$C$1:$C$18046,$H2021))*0.00005),ABS($E2021-INDEX('AH History'!$D$1:$D$18046,$H2021))&lt;=0.00005,$F2021=INDEX('AH History'!$E$1:$E$18046,$H2021),$G2021=INDEX('AH History'!$F$1:$F$18046,$H2021)),1,-1),-1))</ns0:f>
        <ns0:v/>
      </ns0:c>
    </ns0:row>
    <ns0:row r="2022">
      <ns0:c r="A2022" s="215">
        <ns0:f>IF(OR(AH!$P$3=0,2017+1&gt;AH!$P$11,AND(AH!$E$4&lt;&gt;"Stored",AH!$P$10&lt;&gt;1)),"",IFERROR(IF(AND(AH!$P$21=1,2017+1=AH!$P$11),TODAY(),IF(AH!$P$10=1,INDEX('Live History'!$A$5:$A$3004,AH!$P$13+2017),INDEX('AH History'!$A$1:$A$18046,AH!$P$7+2017))),""))</ns0:f>
        <ns0:v/>
      </ns0:c>
      <ns0:c r="B2022" s="219">
        <ns0:f>IFERROR(IF(AND(AH!$P$9&lt;&gt;1,$C2022&gt;0,$D2022&gt;0,$E2022&gt;0,$F2022&gt;0,$G2022&gt;0,$F2022&lt;=$A2022,$G2022&lt;=$A2022,$A2022-$F2022&lt;=10,$A2022-$G2022&lt;=5),$D2022*$E2022/$C2022-1,NA()),NA())</ns0:f>
        <ns0:v/>
      </ns0:c>
      <ns0:c r="C2022">
        <ns0:f>IFERROR(IF(ISNUMBER($A2022),IF(AND(AH!$P$10=1,AH!$P$12=1,$A2022=TODAY()),AH!$P$19,IF(AH!$P$10=1,INDEX('Live History'!$B$5:$B$3004,AH!$P$13+2017),INDEX('AH History'!$B$1:$B$18046,AH!$P$7+2017))),NA()),NA())</ns0:f>
        <ns0:v/>
      </ns0:c>
      <ns0:c r="D2022">
        <ns0:f>IFERROR(IF(ISNUMBER($A2022),IF(AND(AH!$P$10=1,AH!$P$12=1,$A2022=TODAY()),AH!$P$18,IF(AH!$P$10=1,INDEX('Live History'!$E$5:$E$3004,MATCH($A2022,'Live History'!$D$5:$D$3004,1)),INDEX('AH History'!$C$1:$C$18046,AH!$P$7+2017))),NA()),NA())</ns0:f>
        <ns0:v/>
      </ns0:c>
      <ns0:c r="E2022">
        <ns0:f>IFERROR(IF(ISNUMBER($A2022),IF(AND(AH!$P$10=1,AH!$P$12=1,$A2022=TODAY()),AH!$P$20,IF(AH!$P$10=1,INDEX('Live History'!$H$5:$H$3004,MATCH($A2022,'Live History'!$G$5:$G$3004,1)),INDEX('AH History'!$D$1:$D$18046,AH!$P$7+2017))),NA()),NA())</ns0:f>
        <ns0:v/>
      </ns0:c>
      <ns0:c r="F2022">
        <ns0:f>IFERROR(IF(ISNUMBER($A2022),IF(AND(AH!$P$10=1,AH!$P$12=1,$A2022=TODAY()),IF(AND(AH!$P$10=1,AH!$P$12=1,$A2022=TODAY()),TODAY(),NA()),IF(AH!$P$10=1,INDEX('Live History'!$D$5:$D$3004,MATCH($A2022,'Live History'!$D$5:$D$3004,1)),INDEX('AH History'!$E$1:$E$18046,AH!$P$7+2017))),NA()),NA())</ns0:f>
        <ns0:v/>
      </ns0:c>
      <ns0:c r="G2022">
        <ns0:f>IFERROR(IF(ISNUMBER($A2022),IF(AND(AH!$P$10=1,AH!$P$12=1,$A2022=TODAY()),IF(AND(AH!$P$10=1,AH!$P$12=1,$A2022=TODAY()),TODAY(),NA()),IF(AH!$P$10=1,INDEX('Live History'!$G$5:$G$3004,MATCH($A2022,'Live History'!$G$5:$G$3004,1)),INDEX('AH History'!$F$1:$F$18046,AH!$P$7+2017))),NA()),NA())</ns0:f>
        <ns0:v/>
      </ns0:c>
      <ns0:c r="H2022">
        <ns0:f>IFERROR(IF(AND(AH!$E$4="Bloomberg",AH!$P$10=1,ISNUMBER($A2022),$A2022&lt;=AH!$P$17),AH!$P$7-1+MATCH($A2022,INDEX('AH History'!$A$1:$A$18046,AH!$P$7):INDEX('AH History'!$A$1:$A$18046,AH!$P$7+AH!$P$8-1),0),0),0)</ns0:f>
        <ns0:v/>
      </ns0:c>
      <ns0:c r="I2022">
        <ns0:f>IF($H2022=0,0,IFERROR(IF(AND(ABS($C2022-INDEX('AH History'!$B$1:$B$18046,$H2022))&lt;=MAX(0.005,ABS(INDEX('AH History'!$B$1:$B$18046,$H2022))*0.00005),ABS($D2022-INDEX('AH History'!$C$1:$C$18046,$H2022))&lt;=MAX(0.005,ABS(INDEX('AH History'!$C$1:$C$18046,$H2022))*0.00005),ABS($E2022-INDEX('AH History'!$D$1:$D$18046,$H2022))&lt;=0.00005,$F2022=INDEX('AH History'!$E$1:$E$18046,$H2022),$G2022=INDEX('AH History'!$F$1:$F$18046,$H2022)),1,-1),-1))</ns0:f>
        <ns0:v/>
      </ns0:c>
    </ns0:row>
    <ns0:row r="2023">
      <ns0:c r="A2023" s="215">
        <ns0:f>IF(OR(AH!$P$3=0,2018+1&gt;AH!$P$11,AND(AH!$E$4&lt;&gt;"Stored",AH!$P$10&lt;&gt;1)),"",IFERROR(IF(AND(AH!$P$21=1,2018+1=AH!$P$11),TODAY(),IF(AH!$P$10=1,INDEX('Live History'!$A$5:$A$3004,AH!$P$13+2018),INDEX('AH History'!$A$1:$A$18046,AH!$P$7+2018))),""))</ns0:f>
        <ns0:v/>
      </ns0:c>
      <ns0:c r="B2023" s="219">
        <ns0:f>IFERROR(IF(AND(AH!$P$9&lt;&gt;1,$C2023&gt;0,$D2023&gt;0,$E2023&gt;0,$F2023&gt;0,$G2023&gt;0,$F2023&lt;=$A2023,$G2023&lt;=$A2023,$A2023-$F2023&lt;=10,$A2023-$G2023&lt;=5),$D2023*$E2023/$C2023-1,NA()),NA())</ns0:f>
        <ns0:v/>
      </ns0:c>
      <ns0:c r="C2023">
        <ns0:f>IFERROR(IF(ISNUMBER($A2023),IF(AND(AH!$P$10=1,AH!$P$12=1,$A2023=TODAY()),AH!$P$19,IF(AH!$P$10=1,INDEX('Live History'!$B$5:$B$3004,AH!$P$13+2018),INDEX('AH History'!$B$1:$B$18046,AH!$P$7+2018))),NA()),NA())</ns0:f>
        <ns0:v/>
      </ns0:c>
      <ns0:c r="D2023">
        <ns0:f>IFERROR(IF(ISNUMBER($A2023),IF(AND(AH!$P$10=1,AH!$P$12=1,$A2023=TODAY()),AH!$P$18,IF(AH!$P$10=1,INDEX('Live History'!$E$5:$E$3004,MATCH($A2023,'Live History'!$D$5:$D$3004,1)),INDEX('AH History'!$C$1:$C$18046,AH!$P$7+2018))),NA()),NA())</ns0:f>
        <ns0:v/>
      </ns0:c>
      <ns0:c r="E2023">
        <ns0:f>IFERROR(IF(ISNUMBER($A2023),IF(AND(AH!$P$10=1,AH!$P$12=1,$A2023=TODAY()),AH!$P$20,IF(AH!$P$10=1,INDEX('Live History'!$H$5:$H$3004,MATCH($A2023,'Live History'!$G$5:$G$3004,1)),INDEX('AH History'!$D$1:$D$18046,AH!$P$7+2018))),NA()),NA())</ns0:f>
        <ns0:v/>
      </ns0:c>
      <ns0:c r="F2023">
        <ns0:f>IFERROR(IF(ISNUMBER($A2023),IF(AND(AH!$P$10=1,AH!$P$12=1,$A2023=TODAY()),IF(AND(AH!$P$10=1,AH!$P$12=1,$A2023=TODAY()),TODAY(),NA()),IF(AH!$P$10=1,INDEX('Live History'!$D$5:$D$3004,MATCH($A2023,'Live History'!$D$5:$D$3004,1)),INDEX('AH History'!$E$1:$E$18046,AH!$P$7+2018))),NA()),NA())</ns0:f>
        <ns0:v/>
      </ns0:c>
      <ns0:c r="G2023">
        <ns0:f>IFERROR(IF(ISNUMBER($A2023),IF(AND(AH!$P$10=1,AH!$P$12=1,$A2023=TODAY()),IF(AND(AH!$P$10=1,AH!$P$12=1,$A2023=TODAY()),TODAY(),NA()),IF(AH!$P$10=1,INDEX('Live History'!$G$5:$G$3004,MATCH($A2023,'Live History'!$G$5:$G$3004,1)),INDEX('AH History'!$F$1:$F$18046,AH!$P$7+2018))),NA()),NA())</ns0:f>
        <ns0:v/>
      </ns0:c>
      <ns0:c r="H2023">
        <ns0:f>IFERROR(IF(AND(AH!$E$4="Bloomberg",AH!$P$10=1,ISNUMBER($A2023),$A2023&lt;=AH!$P$17),AH!$P$7-1+MATCH($A2023,INDEX('AH History'!$A$1:$A$18046,AH!$P$7):INDEX('AH History'!$A$1:$A$18046,AH!$P$7+AH!$P$8-1),0),0),0)</ns0:f>
        <ns0:v/>
      </ns0:c>
      <ns0:c r="I2023">
        <ns0:f>IF($H2023=0,0,IFERROR(IF(AND(ABS($C2023-INDEX('AH History'!$B$1:$B$18046,$H2023))&lt;=MAX(0.005,ABS(INDEX('AH History'!$B$1:$B$18046,$H2023))*0.00005),ABS($D2023-INDEX('AH History'!$C$1:$C$18046,$H2023))&lt;=MAX(0.005,ABS(INDEX('AH History'!$C$1:$C$18046,$H2023))*0.00005),ABS($E2023-INDEX('AH History'!$D$1:$D$18046,$H2023))&lt;=0.00005,$F2023=INDEX('AH History'!$E$1:$E$18046,$H2023),$G2023=INDEX('AH History'!$F$1:$F$18046,$H2023)),1,-1),-1))</ns0:f>
        <ns0:v/>
      </ns0:c>
    </ns0:row>
    <ns0:row r="2024">
      <ns0:c r="A2024" s="215">
        <ns0:f>IF(OR(AH!$P$3=0,2019+1&gt;AH!$P$11,AND(AH!$E$4&lt;&gt;"Stored",AH!$P$10&lt;&gt;1)),"",IFERROR(IF(AND(AH!$P$21=1,2019+1=AH!$P$11),TODAY(),IF(AH!$P$10=1,INDEX('Live History'!$A$5:$A$3004,AH!$P$13+2019),INDEX('AH History'!$A$1:$A$18046,AH!$P$7+2019))),""))</ns0:f>
        <ns0:v/>
      </ns0:c>
      <ns0:c r="B2024" s="219">
        <ns0:f>IFERROR(IF(AND(AH!$P$9&lt;&gt;1,$C2024&gt;0,$D2024&gt;0,$E2024&gt;0,$F2024&gt;0,$G2024&gt;0,$F2024&lt;=$A2024,$G2024&lt;=$A2024,$A2024-$F2024&lt;=10,$A2024-$G2024&lt;=5),$D2024*$E2024/$C2024-1,NA()),NA())</ns0:f>
        <ns0:v/>
      </ns0:c>
      <ns0:c r="C2024">
        <ns0:f>IFERROR(IF(ISNUMBER($A2024),IF(AND(AH!$P$10=1,AH!$P$12=1,$A2024=TODAY()),AH!$P$19,IF(AH!$P$10=1,INDEX('Live History'!$B$5:$B$3004,AH!$P$13+2019),INDEX('AH History'!$B$1:$B$18046,AH!$P$7+2019))),NA()),NA())</ns0:f>
        <ns0:v/>
      </ns0:c>
      <ns0:c r="D2024">
        <ns0:f>IFERROR(IF(ISNUMBER($A2024),IF(AND(AH!$P$10=1,AH!$P$12=1,$A2024=TODAY()),AH!$P$18,IF(AH!$P$10=1,INDEX('Live History'!$E$5:$E$3004,MATCH($A2024,'Live History'!$D$5:$D$3004,1)),INDEX('AH History'!$C$1:$C$18046,AH!$P$7+2019))),NA()),NA())</ns0:f>
        <ns0:v/>
      </ns0:c>
      <ns0:c r="E2024">
        <ns0:f>IFERROR(IF(ISNUMBER($A2024),IF(AND(AH!$P$10=1,AH!$P$12=1,$A2024=TODAY()),AH!$P$20,IF(AH!$P$10=1,INDEX('Live History'!$H$5:$H$3004,MATCH($A2024,'Live History'!$G$5:$G$3004,1)),INDEX('AH History'!$D$1:$D$18046,AH!$P$7+2019))),NA()),NA())</ns0:f>
        <ns0:v/>
      </ns0:c>
      <ns0:c r="F2024">
        <ns0:f>IFERROR(IF(ISNUMBER($A2024),IF(AND(AH!$P$10=1,AH!$P$12=1,$A2024=TODAY()),IF(AND(AH!$P$10=1,AH!$P$12=1,$A2024=TODAY()),TODAY(),NA()),IF(AH!$P$10=1,INDEX('Live History'!$D$5:$D$3004,MATCH($A2024,'Live History'!$D$5:$D$3004,1)),INDEX('AH History'!$E$1:$E$18046,AH!$P$7+2019))),NA()),NA())</ns0:f>
        <ns0:v/>
      </ns0:c>
      <ns0:c r="G2024">
        <ns0:f>IFERROR(IF(ISNUMBER($A2024),IF(AND(AH!$P$10=1,AH!$P$12=1,$A2024=TODAY()),IF(AND(AH!$P$10=1,AH!$P$12=1,$A2024=TODAY()),TODAY(),NA()),IF(AH!$P$10=1,INDEX('Live History'!$G$5:$G$3004,MATCH($A2024,'Live History'!$G$5:$G$3004,1)),INDEX('AH History'!$F$1:$F$18046,AH!$P$7+2019))),NA()),NA())</ns0:f>
        <ns0:v/>
      </ns0:c>
      <ns0:c r="H2024">
        <ns0:f>IFERROR(IF(AND(AH!$E$4="Bloomberg",AH!$P$10=1,ISNUMBER($A2024),$A2024&lt;=AH!$P$17),AH!$P$7-1+MATCH($A2024,INDEX('AH History'!$A$1:$A$18046,AH!$P$7):INDEX('AH History'!$A$1:$A$18046,AH!$P$7+AH!$P$8-1),0),0),0)</ns0:f>
        <ns0:v/>
      </ns0:c>
      <ns0:c r="I2024">
        <ns0:f>IF($H2024=0,0,IFERROR(IF(AND(ABS($C2024-INDEX('AH History'!$B$1:$B$18046,$H2024))&lt;=MAX(0.005,ABS(INDEX('AH History'!$B$1:$B$18046,$H2024))*0.00005),ABS($D2024-INDEX('AH History'!$C$1:$C$18046,$H2024))&lt;=MAX(0.005,ABS(INDEX('AH History'!$C$1:$C$18046,$H2024))*0.00005),ABS($E2024-INDEX('AH History'!$D$1:$D$18046,$H2024))&lt;=0.00005,$F2024=INDEX('AH History'!$E$1:$E$18046,$H2024),$G2024=INDEX('AH History'!$F$1:$F$18046,$H2024)),1,-1),-1))</ns0:f>
        <ns0:v/>
      </ns0:c>
    </ns0:row>
    <ns0:row r="2025">
      <ns0:c r="A2025" s="215">
        <ns0:f>IF(OR(AH!$P$3=0,2020+1&gt;AH!$P$11,AND(AH!$E$4&lt;&gt;"Stored",AH!$P$10&lt;&gt;1)),"",IFERROR(IF(AND(AH!$P$21=1,2020+1=AH!$P$11),TODAY(),IF(AH!$P$10=1,INDEX('Live History'!$A$5:$A$3004,AH!$P$13+2020),INDEX('AH History'!$A$1:$A$18046,AH!$P$7+2020))),""))</ns0:f>
        <ns0:v/>
      </ns0:c>
      <ns0:c r="B2025" s="219">
        <ns0:f>IFERROR(IF(AND(AH!$P$9&lt;&gt;1,$C2025&gt;0,$D2025&gt;0,$E2025&gt;0,$F2025&gt;0,$G2025&gt;0,$F2025&lt;=$A2025,$G2025&lt;=$A2025,$A2025-$F2025&lt;=10,$A2025-$G2025&lt;=5),$D2025*$E2025/$C2025-1,NA()),NA())</ns0:f>
        <ns0:v/>
      </ns0:c>
      <ns0:c r="C2025">
        <ns0:f>IFERROR(IF(ISNUMBER($A2025),IF(AND(AH!$P$10=1,AH!$P$12=1,$A2025=TODAY()),AH!$P$19,IF(AH!$P$10=1,INDEX('Live History'!$B$5:$B$3004,AH!$P$13+2020),INDEX('AH History'!$B$1:$B$18046,AH!$P$7+2020))),NA()),NA())</ns0:f>
        <ns0:v/>
      </ns0:c>
      <ns0:c r="D2025">
        <ns0:f>IFERROR(IF(ISNUMBER($A2025),IF(AND(AH!$P$10=1,AH!$P$12=1,$A2025=TODAY()),AH!$P$18,IF(AH!$P$10=1,INDEX('Live History'!$E$5:$E$3004,MATCH($A2025,'Live History'!$D$5:$D$3004,1)),INDEX('AH History'!$C$1:$C$18046,AH!$P$7+2020))),NA()),NA())</ns0:f>
        <ns0:v/>
      </ns0:c>
      <ns0:c r="E2025">
        <ns0:f>IFERROR(IF(ISNUMBER($A2025),IF(AND(AH!$P$10=1,AH!$P$12=1,$A2025=TODAY()),AH!$P$20,IF(AH!$P$10=1,INDEX('Live History'!$H$5:$H$3004,MATCH($A2025,'Live History'!$G$5:$G$3004,1)),INDEX('AH History'!$D$1:$D$18046,AH!$P$7+2020))),NA()),NA())</ns0:f>
        <ns0:v/>
      </ns0:c>
      <ns0:c r="F2025">
        <ns0:f>IFERROR(IF(ISNUMBER($A2025),IF(AND(AH!$P$10=1,AH!$P$12=1,$A2025=TODAY()),IF(AND(AH!$P$10=1,AH!$P$12=1,$A2025=TODAY()),TODAY(),NA()),IF(AH!$P$10=1,INDEX('Live History'!$D$5:$D$3004,MATCH($A2025,'Live History'!$D$5:$D$3004,1)),INDEX('AH History'!$E$1:$E$18046,AH!$P$7+2020))),NA()),NA())</ns0:f>
        <ns0:v/>
      </ns0:c>
      <ns0:c r="G2025">
        <ns0:f>IFERROR(IF(ISNUMBER($A2025),IF(AND(AH!$P$10=1,AH!$P$12=1,$A2025=TODAY()),IF(AND(AH!$P$10=1,AH!$P$12=1,$A2025=TODAY()),TODAY(),NA()),IF(AH!$P$10=1,INDEX('Live History'!$G$5:$G$3004,MATCH($A2025,'Live History'!$G$5:$G$3004,1)),INDEX('AH History'!$F$1:$F$18046,AH!$P$7+2020))),NA()),NA())</ns0:f>
        <ns0:v/>
      </ns0:c>
      <ns0:c r="H2025">
        <ns0:f>IFERROR(IF(AND(AH!$E$4="Bloomberg",AH!$P$10=1,ISNUMBER($A2025),$A2025&lt;=AH!$P$17),AH!$P$7-1+MATCH($A2025,INDEX('AH History'!$A$1:$A$18046,AH!$P$7):INDEX('AH History'!$A$1:$A$18046,AH!$P$7+AH!$P$8-1),0),0),0)</ns0:f>
        <ns0:v/>
      </ns0:c>
      <ns0:c r="I2025">
        <ns0:f>IF($H2025=0,0,IFERROR(IF(AND(ABS($C2025-INDEX('AH History'!$B$1:$B$18046,$H2025))&lt;=MAX(0.005,ABS(INDEX('AH History'!$B$1:$B$18046,$H2025))*0.00005),ABS($D2025-INDEX('AH History'!$C$1:$C$18046,$H2025))&lt;=MAX(0.005,ABS(INDEX('AH History'!$C$1:$C$18046,$H2025))*0.00005),ABS($E2025-INDEX('AH History'!$D$1:$D$18046,$H2025))&lt;=0.00005,$F2025=INDEX('AH History'!$E$1:$E$18046,$H2025),$G2025=INDEX('AH History'!$F$1:$F$18046,$H2025)),1,-1),-1))</ns0:f>
        <ns0:v/>
      </ns0:c>
    </ns0:row>
    <ns0:row r="2026">
      <ns0:c r="A2026" s="215">
        <ns0:f>IF(OR(AH!$P$3=0,2021+1&gt;AH!$P$11,AND(AH!$E$4&lt;&gt;"Stored",AH!$P$10&lt;&gt;1)),"",IFERROR(IF(AND(AH!$P$21=1,2021+1=AH!$P$11),TODAY(),IF(AH!$P$10=1,INDEX('Live History'!$A$5:$A$3004,AH!$P$13+2021),INDEX('AH History'!$A$1:$A$18046,AH!$P$7+2021))),""))</ns0:f>
        <ns0:v/>
      </ns0:c>
      <ns0:c r="B2026" s="219">
        <ns0:f>IFERROR(IF(AND(AH!$P$9&lt;&gt;1,$C2026&gt;0,$D2026&gt;0,$E2026&gt;0,$F2026&gt;0,$G2026&gt;0,$F2026&lt;=$A2026,$G2026&lt;=$A2026,$A2026-$F2026&lt;=10,$A2026-$G2026&lt;=5),$D2026*$E2026/$C2026-1,NA()),NA())</ns0:f>
        <ns0:v/>
      </ns0:c>
      <ns0:c r="C2026">
        <ns0:f>IFERROR(IF(ISNUMBER($A2026),IF(AND(AH!$P$10=1,AH!$P$12=1,$A2026=TODAY()),AH!$P$19,IF(AH!$P$10=1,INDEX('Live History'!$B$5:$B$3004,AH!$P$13+2021),INDEX('AH History'!$B$1:$B$18046,AH!$P$7+2021))),NA()),NA())</ns0:f>
        <ns0:v/>
      </ns0:c>
      <ns0:c r="D2026">
        <ns0:f>IFERROR(IF(ISNUMBER($A2026),IF(AND(AH!$P$10=1,AH!$P$12=1,$A2026=TODAY()),AH!$P$18,IF(AH!$P$10=1,INDEX('Live History'!$E$5:$E$3004,MATCH($A2026,'Live History'!$D$5:$D$3004,1)),INDEX('AH History'!$C$1:$C$18046,AH!$P$7+2021))),NA()),NA())</ns0:f>
        <ns0:v/>
      </ns0:c>
      <ns0:c r="E2026">
        <ns0:f>IFERROR(IF(ISNUMBER($A2026),IF(AND(AH!$P$10=1,AH!$P$12=1,$A2026=TODAY()),AH!$P$20,IF(AH!$P$10=1,INDEX('Live History'!$H$5:$H$3004,MATCH($A2026,'Live History'!$G$5:$G$3004,1)),INDEX('AH History'!$D$1:$D$18046,AH!$P$7+2021))),NA()),NA())</ns0:f>
        <ns0:v/>
      </ns0:c>
      <ns0:c r="F2026">
        <ns0:f>IFERROR(IF(ISNUMBER($A2026),IF(AND(AH!$P$10=1,AH!$P$12=1,$A2026=TODAY()),IF(AND(AH!$P$10=1,AH!$P$12=1,$A2026=TODAY()),TODAY(),NA()),IF(AH!$P$10=1,INDEX('Live History'!$D$5:$D$3004,MATCH($A2026,'Live History'!$D$5:$D$3004,1)),INDEX('AH History'!$E$1:$E$18046,AH!$P$7+2021))),NA()),NA())</ns0:f>
        <ns0:v/>
      </ns0:c>
      <ns0:c r="G2026">
        <ns0:f>IFERROR(IF(ISNUMBER($A2026),IF(AND(AH!$P$10=1,AH!$P$12=1,$A2026=TODAY()),IF(AND(AH!$P$10=1,AH!$P$12=1,$A2026=TODAY()),TODAY(),NA()),IF(AH!$P$10=1,INDEX('Live History'!$G$5:$G$3004,MATCH($A2026,'Live History'!$G$5:$G$3004,1)),INDEX('AH History'!$F$1:$F$18046,AH!$P$7+2021))),NA()),NA())</ns0:f>
        <ns0:v/>
      </ns0:c>
      <ns0:c r="H2026">
        <ns0:f>IFERROR(IF(AND(AH!$E$4="Bloomberg",AH!$P$10=1,ISNUMBER($A2026),$A2026&lt;=AH!$P$17),AH!$P$7-1+MATCH($A2026,INDEX('AH History'!$A$1:$A$18046,AH!$P$7):INDEX('AH History'!$A$1:$A$18046,AH!$P$7+AH!$P$8-1),0),0),0)</ns0:f>
        <ns0:v/>
      </ns0:c>
      <ns0:c r="I2026">
        <ns0:f>IF($H2026=0,0,IFERROR(IF(AND(ABS($C2026-INDEX('AH History'!$B$1:$B$18046,$H2026))&lt;=MAX(0.005,ABS(INDEX('AH History'!$B$1:$B$18046,$H2026))*0.00005),ABS($D2026-INDEX('AH History'!$C$1:$C$18046,$H2026))&lt;=MAX(0.005,ABS(INDEX('AH History'!$C$1:$C$18046,$H2026))*0.00005),ABS($E2026-INDEX('AH History'!$D$1:$D$18046,$H2026))&lt;=0.00005,$F2026=INDEX('AH History'!$E$1:$E$18046,$H2026),$G2026=INDEX('AH History'!$F$1:$F$18046,$H2026)),1,-1),-1))</ns0:f>
        <ns0:v/>
      </ns0:c>
    </ns0:row>
    <ns0:row r="2027">
      <ns0:c r="A2027" s="215">
        <ns0:f>IF(OR(AH!$P$3=0,2022+1&gt;AH!$P$11,AND(AH!$E$4&lt;&gt;"Stored",AH!$P$10&lt;&gt;1)),"",IFERROR(IF(AND(AH!$P$21=1,2022+1=AH!$P$11),TODAY(),IF(AH!$P$10=1,INDEX('Live History'!$A$5:$A$3004,AH!$P$13+2022),INDEX('AH History'!$A$1:$A$18046,AH!$P$7+2022))),""))</ns0:f>
        <ns0:v/>
      </ns0:c>
      <ns0:c r="B2027" s="219">
        <ns0:f>IFERROR(IF(AND(AH!$P$9&lt;&gt;1,$C2027&gt;0,$D2027&gt;0,$E2027&gt;0,$F2027&gt;0,$G2027&gt;0,$F2027&lt;=$A2027,$G2027&lt;=$A2027,$A2027-$F2027&lt;=10,$A2027-$G2027&lt;=5),$D2027*$E2027/$C2027-1,NA()),NA())</ns0:f>
        <ns0:v/>
      </ns0:c>
      <ns0:c r="C2027">
        <ns0:f>IFERROR(IF(ISNUMBER($A2027),IF(AND(AH!$P$10=1,AH!$P$12=1,$A2027=TODAY()),AH!$P$19,IF(AH!$P$10=1,INDEX('Live History'!$B$5:$B$3004,AH!$P$13+2022),INDEX('AH History'!$B$1:$B$18046,AH!$P$7+2022))),NA()),NA())</ns0:f>
        <ns0:v/>
      </ns0:c>
      <ns0:c r="D2027">
        <ns0:f>IFERROR(IF(ISNUMBER($A2027),IF(AND(AH!$P$10=1,AH!$P$12=1,$A2027=TODAY()),AH!$P$18,IF(AH!$P$10=1,INDEX('Live History'!$E$5:$E$3004,MATCH($A2027,'Live History'!$D$5:$D$3004,1)),INDEX('AH History'!$C$1:$C$18046,AH!$P$7+2022))),NA()),NA())</ns0:f>
        <ns0:v/>
      </ns0:c>
      <ns0:c r="E2027">
        <ns0:f>IFERROR(IF(ISNUMBER($A2027),IF(AND(AH!$P$10=1,AH!$P$12=1,$A2027=TODAY()),AH!$P$20,IF(AH!$P$10=1,INDEX('Live History'!$H$5:$H$3004,MATCH($A2027,'Live History'!$G$5:$G$3004,1)),INDEX('AH History'!$D$1:$D$18046,AH!$P$7+2022))),NA()),NA())</ns0:f>
        <ns0:v/>
      </ns0:c>
      <ns0:c r="F2027">
        <ns0:f>IFERROR(IF(ISNUMBER($A2027),IF(AND(AH!$P$10=1,AH!$P$12=1,$A2027=TODAY()),IF(AND(AH!$P$10=1,AH!$P$12=1,$A2027=TODAY()),TODAY(),NA()),IF(AH!$P$10=1,INDEX('Live History'!$D$5:$D$3004,MATCH($A2027,'Live History'!$D$5:$D$3004,1)),INDEX('AH History'!$E$1:$E$18046,AH!$P$7+2022))),NA()),NA())</ns0:f>
        <ns0:v/>
      </ns0:c>
      <ns0:c r="G2027">
        <ns0:f>IFERROR(IF(ISNUMBER($A2027),IF(AND(AH!$P$10=1,AH!$P$12=1,$A2027=TODAY()),IF(AND(AH!$P$10=1,AH!$P$12=1,$A2027=TODAY()),TODAY(),NA()),IF(AH!$P$10=1,INDEX('Live History'!$G$5:$G$3004,MATCH($A2027,'Live History'!$G$5:$G$3004,1)),INDEX('AH History'!$F$1:$F$18046,AH!$P$7+2022))),NA()),NA())</ns0:f>
        <ns0:v/>
      </ns0:c>
      <ns0:c r="H2027">
        <ns0:f>IFERROR(IF(AND(AH!$E$4="Bloomberg",AH!$P$10=1,ISNUMBER($A2027),$A2027&lt;=AH!$P$17),AH!$P$7-1+MATCH($A2027,INDEX('AH History'!$A$1:$A$18046,AH!$P$7):INDEX('AH History'!$A$1:$A$18046,AH!$P$7+AH!$P$8-1),0),0),0)</ns0:f>
        <ns0:v/>
      </ns0:c>
      <ns0:c r="I2027">
        <ns0:f>IF($H2027=0,0,IFERROR(IF(AND(ABS($C2027-INDEX('AH History'!$B$1:$B$18046,$H2027))&lt;=MAX(0.005,ABS(INDEX('AH History'!$B$1:$B$18046,$H2027))*0.00005),ABS($D2027-INDEX('AH History'!$C$1:$C$18046,$H2027))&lt;=MAX(0.005,ABS(INDEX('AH History'!$C$1:$C$18046,$H2027))*0.00005),ABS($E2027-INDEX('AH History'!$D$1:$D$18046,$H2027))&lt;=0.00005,$F2027=INDEX('AH History'!$E$1:$E$18046,$H2027),$G2027=INDEX('AH History'!$F$1:$F$18046,$H2027)),1,-1),-1))</ns0:f>
        <ns0:v/>
      </ns0:c>
    </ns0:row>
    <ns0:row r="2028">
      <ns0:c r="A2028" s="215">
        <ns0:f>IF(OR(AH!$P$3=0,2023+1&gt;AH!$P$11,AND(AH!$E$4&lt;&gt;"Stored",AH!$P$10&lt;&gt;1)),"",IFERROR(IF(AND(AH!$P$21=1,2023+1=AH!$P$11),TODAY(),IF(AH!$P$10=1,INDEX('Live History'!$A$5:$A$3004,AH!$P$13+2023),INDEX('AH History'!$A$1:$A$18046,AH!$P$7+2023))),""))</ns0:f>
        <ns0:v/>
      </ns0:c>
      <ns0:c r="B2028" s="219">
        <ns0:f>IFERROR(IF(AND(AH!$P$9&lt;&gt;1,$C2028&gt;0,$D2028&gt;0,$E2028&gt;0,$F2028&gt;0,$G2028&gt;0,$F2028&lt;=$A2028,$G2028&lt;=$A2028,$A2028-$F2028&lt;=10,$A2028-$G2028&lt;=5),$D2028*$E2028/$C2028-1,NA()),NA())</ns0:f>
        <ns0:v/>
      </ns0:c>
      <ns0:c r="C2028">
        <ns0:f>IFERROR(IF(ISNUMBER($A2028),IF(AND(AH!$P$10=1,AH!$P$12=1,$A2028=TODAY()),AH!$P$19,IF(AH!$P$10=1,INDEX('Live History'!$B$5:$B$3004,AH!$P$13+2023),INDEX('AH History'!$B$1:$B$18046,AH!$P$7+2023))),NA()),NA())</ns0:f>
        <ns0:v/>
      </ns0:c>
      <ns0:c r="D2028">
        <ns0:f>IFERROR(IF(ISNUMBER($A2028),IF(AND(AH!$P$10=1,AH!$P$12=1,$A2028=TODAY()),AH!$P$18,IF(AH!$P$10=1,INDEX('Live History'!$E$5:$E$3004,MATCH($A2028,'Live History'!$D$5:$D$3004,1)),INDEX('AH History'!$C$1:$C$18046,AH!$P$7+2023))),NA()),NA())</ns0:f>
        <ns0:v/>
      </ns0:c>
      <ns0:c r="E2028">
        <ns0:f>IFERROR(IF(ISNUMBER($A2028),IF(AND(AH!$P$10=1,AH!$P$12=1,$A2028=TODAY()),AH!$P$20,IF(AH!$P$10=1,INDEX('Live History'!$H$5:$H$3004,MATCH($A2028,'Live History'!$G$5:$G$3004,1)),INDEX('AH History'!$D$1:$D$18046,AH!$P$7+2023))),NA()),NA())</ns0:f>
        <ns0:v/>
      </ns0:c>
      <ns0:c r="F2028">
        <ns0:f>IFERROR(IF(ISNUMBER($A2028),IF(AND(AH!$P$10=1,AH!$P$12=1,$A2028=TODAY()),IF(AND(AH!$P$10=1,AH!$P$12=1,$A2028=TODAY()),TODAY(),NA()),IF(AH!$P$10=1,INDEX('Live History'!$D$5:$D$3004,MATCH($A2028,'Live History'!$D$5:$D$3004,1)),INDEX('AH History'!$E$1:$E$18046,AH!$P$7+2023))),NA()),NA())</ns0:f>
        <ns0:v/>
      </ns0:c>
      <ns0:c r="G2028">
        <ns0:f>IFERROR(IF(ISNUMBER($A2028),IF(AND(AH!$P$10=1,AH!$P$12=1,$A2028=TODAY()),IF(AND(AH!$P$10=1,AH!$P$12=1,$A2028=TODAY()),TODAY(),NA()),IF(AH!$P$10=1,INDEX('Live History'!$G$5:$G$3004,MATCH($A2028,'Live History'!$G$5:$G$3004,1)),INDEX('AH History'!$F$1:$F$18046,AH!$P$7+2023))),NA()),NA())</ns0:f>
        <ns0:v/>
      </ns0:c>
      <ns0:c r="H2028">
        <ns0:f>IFERROR(IF(AND(AH!$E$4="Bloomberg",AH!$P$10=1,ISNUMBER($A2028),$A2028&lt;=AH!$P$17),AH!$P$7-1+MATCH($A2028,INDEX('AH History'!$A$1:$A$18046,AH!$P$7):INDEX('AH History'!$A$1:$A$18046,AH!$P$7+AH!$P$8-1),0),0),0)</ns0:f>
        <ns0:v/>
      </ns0:c>
      <ns0:c r="I2028">
        <ns0:f>IF($H2028=0,0,IFERROR(IF(AND(ABS($C2028-INDEX('AH History'!$B$1:$B$18046,$H2028))&lt;=MAX(0.005,ABS(INDEX('AH History'!$B$1:$B$18046,$H2028))*0.00005),ABS($D2028-INDEX('AH History'!$C$1:$C$18046,$H2028))&lt;=MAX(0.005,ABS(INDEX('AH History'!$C$1:$C$18046,$H2028))*0.00005),ABS($E2028-INDEX('AH History'!$D$1:$D$18046,$H2028))&lt;=0.00005,$F2028=INDEX('AH History'!$E$1:$E$18046,$H2028),$G2028=INDEX('AH History'!$F$1:$F$18046,$H2028)),1,-1),-1))</ns0:f>
        <ns0:v/>
      </ns0:c>
    </ns0:row>
    <ns0:row r="2029">
      <ns0:c r="A2029" s="215">
        <ns0:f>IF(OR(AH!$P$3=0,2024+1&gt;AH!$P$11,AND(AH!$E$4&lt;&gt;"Stored",AH!$P$10&lt;&gt;1)),"",IFERROR(IF(AND(AH!$P$21=1,2024+1=AH!$P$11),TODAY(),IF(AH!$P$10=1,INDEX('Live History'!$A$5:$A$3004,AH!$P$13+2024),INDEX('AH History'!$A$1:$A$18046,AH!$P$7+2024))),""))</ns0:f>
        <ns0:v/>
      </ns0:c>
      <ns0:c r="B2029" s="219">
        <ns0:f>IFERROR(IF(AND(AH!$P$9&lt;&gt;1,$C2029&gt;0,$D2029&gt;0,$E2029&gt;0,$F2029&gt;0,$G2029&gt;0,$F2029&lt;=$A2029,$G2029&lt;=$A2029,$A2029-$F2029&lt;=10,$A2029-$G2029&lt;=5),$D2029*$E2029/$C2029-1,NA()),NA())</ns0:f>
        <ns0:v/>
      </ns0:c>
      <ns0:c r="C2029">
        <ns0:f>IFERROR(IF(ISNUMBER($A2029),IF(AND(AH!$P$10=1,AH!$P$12=1,$A2029=TODAY()),AH!$P$19,IF(AH!$P$10=1,INDEX('Live History'!$B$5:$B$3004,AH!$P$13+2024),INDEX('AH History'!$B$1:$B$18046,AH!$P$7+2024))),NA()),NA())</ns0:f>
        <ns0:v/>
      </ns0:c>
      <ns0:c r="D2029">
        <ns0:f>IFERROR(IF(ISNUMBER($A2029),IF(AND(AH!$P$10=1,AH!$P$12=1,$A2029=TODAY()),AH!$P$18,IF(AH!$P$10=1,INDEX('Live History'!$E$5:$E$3004,MATCH($A2029,'Live History'!$D$5:$D$3004,1)),INDEX('AH History'!$C$1:$C$18046,AH!$P$7+2024))),NA()),NA())</ns0:f>
        <ns0:v/>
      </ns0:c>
      <ns0:c r="E2029">
        <ns0:f>IFERROR(IF(ISNUMBER($A2029),IF(AND(AH!$P$10=1,AH!$P$12=1,$A2029=TODAY()),AH!$P$20,IF(AH!$P$10=1,INDEX('Live History'!$H$5:$H$3004,MATCH($A2029,'Live History'!$G$5:$G$3004,1)),INDEX('AH History'!$D$1:$D$18046,AH!$P$7+2024))),NA()),NA())</ns0:f>
        <ns0:v/>
      </ns0:c>
      <ns0:c r="F2029">
        <ns0:f>IFERROR(IF(ISNUMBER($A2029),IF(AND(AH!$P$10=1,AH!$P$12=1,$A2029=TODAY()),IF(AND(AH!$P$10=1,AH!$P$12=1,$A2029=TODAY()),TODAY(),NA()),IF(AH!$P$10=1,INDEX('Live History'!$D$5:$D$3004,MATCH($A2029,'Live History'!$D$5:$D$3004,1)),INDEX('AH History'!$E$1:$E$18046,AH!$P$7+2024))),NA()),NA())</ns0:f>
        <ns0:v/>
      </ns0:c>
      <ns0:c r="G2029">
        <ns0:f>IFERROR(IF(ISNUMBER($A2029),IF(AND(AH!$P$10=1,AH!$P$12=1,$A2029=TODAY()),IF(AND(AH!$P$10=1,AH!$P$12=1,$A2029=TODAY()),TODAY(),NA()),IF(AH!$P$10=1,INDEX('Live History'!$G$5:$G$3004,MATCH($A2029,'Live History'!$G$5:$G$3004,1)),INDEX('AH History'!$F$1:$F$18046,AH!$P$7+2024))),NA()),NA())</ns0:f>
        <ns0:v/>
      </ns0:c>
      <ns0:c r="H2029">
        <ns0:f>IFERROR(IF(AND(AH!$E$4="Bloomberg",AH!$P$10=1,ISNUMBER($A2029),$A2029&lt;=AH!$P$17),AH!$P$7-1+MATCH($A2029,INDEX('AH History'!$A$1:$A$18046,AH!$P$7):INDEX('AH History'!$A$1:$A$18046,AH!$P$7+AH!$P$8-1),0),0),0)</ns0:f>
        <ns0:v/>
      </ns0:c>
      <ns0:c r="I2029">
        <ns0:f>IF($H2029=0,0,IFERROR(IF(AND(ABS($C2029-INDEX('AH History'!$B$1:$B$18046,$H2029))&lt;=MAX(0.005,ABS(INDEX('AH History'!$B$1:$B$18046,$H2029))*0.00005),ABS($D2029-INDEX('AH History'!$C$1:$C$18046,$H2029))&lt;=MAX(0.005,ABS(INDEX('AH History'!$C$1:$C$18046,$H2029))*0.00005),ABS($E2029-INDEX('AH History'!$D$1:$D$18046,$H2029))&lt;=0.00005,$F2029=INDEX('AH History'!$E$1:$E$18046,$H2029),$G2029=INDEX('AH History'!$F$1:$F$18046,$H2029)),1,-1),-1))</ns0:f>
        <ns0:v/>
      </ns0:c>
    </ns0:row>
    <ns0:row r="2030">
      <ns0:c r="A2030" s="215">
        <ns0:f>IF(OR(AH!$P$3=0,2025+1&gt;AH!$P$11,AND(AH!$E$4&lt;&gt;"Stored",AH!$P$10&lt;&gt;1)),"",IFERROR(IF(AND(AH!$P$21=1,2025+1=AH!$P$11),TODAY(),IF(AH!$P$10=1,INDEX('Live History'!$A$5:$A$3004,AH!$P$13+2025),INDEX('AH History'!$A$1:$A$18046,AH!$P$7+2025))),""))</ns0:f>
        <ns0:v/>
      </ns0:c>
      <ns0:c r="B2030" s="219">
        <ns0:f>IFERROR(IF(AND(AH!$P$9&lt;&gt;1,$C2030&gt;0,$D2030&gt;0,$E2030&gt;0,$F2030&gt;0,$G2030&gt;0,$F2030&lt;=$A2030,$G2030&lt;=$A2030,$A2030-$F2030&lt;=10,$A2030-$G2030&lt;=5),$D2030*$E2030/$C2030-1,NA()),NA())</ns0:f>
        <ns0:v/>
      </ns0:c>
      <ns0:c r="C2030">
        <ns0:f>IFERROR(IF(ISNUMBER($A2030),IF(AND(AH!$P$10=1,AH!$P$12=1,$A2030=TODAY()),AH!$P$19,IF(AH!$P$10=1,INDEX('Live History'!$B$5:$B$3004,AH!$P$13+2025),INDEX('AH History'!$B$1:$B$18046,AH!$P$7+2025))),NA()),NA())</ns0:f>
        <ns0:v/>
      </ns0:c>
      <ns0:c r="D2030">
        <ns0:f>IFERROR(IF(ISNUMBER($A2030),IF(AND(AH!$P$10=1,AH!$P$12=1,$A2030=TODAY()),AH!$P$18,IF(AH!$P$10=1,INDEX('Live History'!$E$5:$E$3004,MATCH($A2030,'Live History'!$D$5:$D$3004,1)),INDEX('AH History'!$C$1:$C$18046,AH!$P$7+2025))),NA()),NA())</ns0:f>
        <ns0:v/>
      </ns0:c>
      <ns0:c r="E2030">
        <ns0:f>IFERROR(IF(ISNUMBER($A2030),IF(AND(AH!$P$10=1,AH!$P$12=1,$A2030=TODAY()),AH!$P$20,IF(AH!$P$10=1,INDEX('Live History'!$H$5:$H$3004,MATCH($A2030,'Live History'!$G$5:$G$3004,1)),INDEX('AH History'!$D$1:$D$18046,AH!$P$7+2025))),NA()),NA())</ns0:f>
        <ns0:v/>
      </ns0:c>
      <ns0:c r="F2030">
        <ns0:f>IFERROR(IF(ISNUMBER($A2030),IF(AND(AH!$P$10=1,AH!$P$12=1,$A2030=TODAY()),IF(AND(AH!$P$10=1,AH!$P$12=1,$A2030=TODAY()),TODAY(),NA()),IF(AH!$P$10=1,INDEX('Live History'!$D$5:$D$3004,MATCH($A2030,'Live History'!$D$5:$D$3004,1)),INDEX('AH History'!$E$1:$E$18046,AH!$P$7+2025))),NA()),NA())</ns0:f>
        <ns0:v/>
      </ns0:c>
      <ns0:c r="G2030">
        <ns0:f>IFERROR(IF(ISNUMBER($A2030),IF(AND(AH!$P$10=1,AH!$P$12=1,$A2030=TODAY()),IF(AND(AH!$P$10=1,AH!$P$12=1,$A2030=TODAY()),TODAY(),NA()),IF(AH!$P$10=1,INDEX('Live History'!$G$5:$G$3004,MATCH($A2030,'Live History'!$G$5:$G$3004,1)),INDEX('AH History'!$F$1:$F$18046,AH!$P$7+2025))),NA()),NA())</ns0:f>
        <ns0:v/>
      </ns0:c>
      <ns0:c r="H2030">
        <ns0:f>IFERROR(IF(AND(AH!$E$4="Bloomberg",AH!$P$10=1,ISNUMBER($A2030),$A2030&lt;=AH!$P$17),AH!$P$7-1+MATCH($A2030,INDEX('AH History'!$A$1:$A$18046,AH!$P$7):INDEX('AH History'!$A$1:$A$18046,AH!$P$7+AH!$P$8-1),0),0),0)</ns0:f>
        <ns0:v/>
      </ns0:c>
      <ns0:c r="I2030">
        <ns0:f>IF($H2030=0,0,IFERROR(IF(AND(ABS($C2030-INDEX('AH History'!$B$1:$B$18046,$H2030))&lt;=MAX(0.005,ABS(INDEX('AH History'!$B$1:$B$18046,$H2030))*0.00005),ABS($D2030-INDEX('AH History'!$C$1:$C$18046,$H2030))&lt;=MAX(0.005,ABS(INDEX('AH History'!$C$1:$C$18046,$H2030))*0.00005),ABS($E2030-INDEX('AH History'!$D$1:$D$18046,$H2030))&lt;=0.00005,$F2030=INDEX('AH History'!$E$1:$E$18046,$H2030),$G2030=INDEX('AH History'!$F$1:$F$18046,$H2030)),1,-1),-1))</ns0:f>
        <ns0:v/>
      </ns0:c>
    </ns0:row>
    <ns0:row r="2031">
      <ns0:c r="A2031" s="215">
        <ns0:f>IF(OR(AH!$P$3=0,2026+1&gt;AH!$P$11,AND(AH!$E$4&lt;&gt;"Stored",AH!$P$10&lt;&gt;1)),"",IFERROR(IF(AND(AH!$P$21=1,2026+1=AH!$P$11),TODAY(),IF(AH!$P$10=1,INDEX('Live History'!$A$5:$A$3004,AH!$P$13+2026),INDEX('AH History'!$A$1:$A$18046,AH!$P$7+2026))),""))</ns0:f>
        <ns0:v/>
      </ns0:c>
      <ns0:c r="B2031" s="219">
        <ns0:f>IFERROR(IF(AND(AH!$P$9&lt;&gt;1,$C2031&gt;0,$D2031&gt;0,$E2031&gt;0,$F2031&gt;0,$G2031&gt;0,$F2031&lt;=$A2031,$G2031&lt;=$A2031,$A2031-$F2031&lt;=10,$A2031-$G2031&lt;=5),$D2031*$E2031/$C2031-1,NA()),NA())</ns0:f>
        <ns0:v/>
      </ns0:c>
      <ns0:c r="C2031">
        <ns0:f>IFERROR(IF(ISNUMBER($A2031),IF(AND(AH!$P$10=1,AH!$P$12=1,$A2031=TODAY()),AH!$P$19,IF(AH!$P$10=1,INDEX('Live History'!$B$5:$B$3004,AH!$P$13+2026),INDEX('AH History'!$B$1:$B$18046,AH!$P$7+2026))),NA()),NA())</ns0:f>
        <ns0:v/>
      </ns0:c>
      <ns0:c r="D2031">
        <ns0:f>IFERROR(IF(ISNUMBER($A2031),IF(AND(AH!$P$10=1,AH!$P$12=1,$A2031=TODAY()),AH!$P$18,IF(AH!$P$10=1,INDEX('Live History'!$E$5:$E$3004,MATCH($A2031,'Live History'!$D$5:$D$3004,1)),INDEX('AH History'!$C$1:$C$18046,AH!$P$7+2026))),NA()),NA())</ns0:f>
        <ns0:v/>
      </ns0:c>
      <ns0:c r="E2031">
        <ns0:f>IFERROR(IF(ISNUMBER($A2031),IF(AND(AH!$P$10=1,AH!$P$12=1,$A2031=TODAY()),AH!$P$20,IF(AH!$P$10=1,INDEX('Live History'!$H$5:$H$3004,MATCH($A2031,'Live History'!$G$5:$G$3004,1)),INDEX('AH History'!$D$1:$D$18046,AH!$P$7+2026))),NA()),NA())</ns0:f>
        <ns0:v/>
      </ns0:c>
      <ns0:c r="F2031">
        <ns0:f>IFERROR(IF(ISNUMBER($A2031),IF(AND(AH!$P$10=1,AH!$P$12=1,$A2031=TODAY()),IF(AND(AH!$P$10=1,AH!$P$12=1,$A2031=TODAY()),TODAY(),NA()),IF(AH!$P$10=1,INDEX('Live History'!$D$5:$D$3004,MATCH($A2031,'Live History'!$D$5:$D$3004,1)),INDEX('AH History'!$E$1:$E$18046,AH!$P$7+2026))),NA()),NA())</ns0:f>
        <ns0:v/>
      </ns0:c>
      <ns0:c r="G2031">
        <ns0:f>IFERROR(IF(ISNUMBER($A2031),IF(AND(AH!$P$10=1,AH!$P$12=1,$A2031=TODAY()),IF(AND(AH!$P$10=1,AH!$P$12=1,$A2031=TODAY()),TODAY(),NA()),IF(AH!$P$10=1,INDEX('Live History'!$G$5:$G$3004,MATCH($A2031,'Live History'!$G$5:$G$3004,1)),INDEX('AH History'!$F$1:$F$18046,AH!$P$7+2026))),NA()),NA())</ns0:f>
        <ns0:v/>
      </ns0:c>
      <ns0:c r="H2031">
        <ns0:f>IFERROR(IF(AND(AH!$E$4="Bloomberg",AH!$P$10=1,ISNUMBER($A2031),$A2031&lt;=AH!$P$17),AH!$P$7-1+MATCH($A2031,INDEX('AH History'!$A$1:$A$18046,AH!$P$7):INDEX('AH History'!$A$1:$A$18046,AH!$P$7+AH!$P$8-1),0),0),0)</ns0:f>
        <ns0:v/>
      </ns0:c>
      <ns0:c r="I2031">
        <ns0:f>IF($H2031=0,0,IFERROR(IF(AND(ABS($C2031-INDEX('AH History'!$B$1:$B$18046,$H2031))&lt;=MAX(0.005,ABS(INDEX('AH History'!$B$1:$B$18046,$H2031))*0.00005),ABS($D2031-INDEX('AH History'!$C$1:$C$18046,$H2031))&lt;=MAX(0.005,ABS(INDEX('AH History'!$C$1:$C$18046,$H2031))*0.00005),ABS($E2031-INDEX('AH History'!$D$1:$D$18046,$H2031))&lt;=0.00005,$F2031=INDEX('AH History'!$E$1:$E$18046,$H2031),$G2031=INDEX('AH History'!$F$1:$F$18046,$H2031)),1,-1),-1))</ns0:f>
        <ns0:v/>
      </ns0:c>
    </ns0:row>
    <ns0:row r="2032">
      <ns0:c r="A2032" s="215">
        <ns0:f>IF(OR(AH!$P$3=0,2027+1&gt;AH!$P$11,AND(AH!$E$4&lt;&gt;"Stored",AH!$P$10&lt;&gt;1)),"",IFERROR(IF(AND(AH!$P$21=1,2027+1=AH!$P$11),TODAY(),IF(AH!$P$10=1,INDEX('Live History'!$A$5:$A$3004,AH!$P$13+2027),INDEX('AH History'!$A$1:$A$18046,AH!$P$7+2027))),""))</ns0:f>
        <ns0:v/>
      </ns0:c>
      <ns0:c r="B2032" s="219">
        <ns0:f>IFERROR(IF(AND(AH!$P$9&lt;&gt;1,$C2032&gt;0,$D2032&gt;0,$E2032&gt;0,$F2032&gt;0,$G2032&gt;0,$F2032&lt;=$A2032,$G2032&lt;=$A2032,$A2032-$F2032&lt;=10,$A2032-$G2032&lt;=5),$D2032*$E2032/$C2032-1,NA()),NA())</ns0:f>
        <ns0:v/>
      </ns0:c>
      <ns0:c r="C2032">
        <ns0:f>IFERROR(IF(ISNUMBER($A2032),IF(AND(AH!$P$10=1,AH!$P$12=1,$A2032=TODAY()),AH!$P$19,IF(AH!$P$10=1,INDEX('Live History'!$B$5:$B$3004,AH!$P$13+2027),INDEX('AH History'!$B$1:$B$18046,AH!$P$7+2027))),NA()),NA())</ns0:f>
        <ns0:v/>
      </ns0:c>
      <ns0:c r="D2032">
        <ns0:f>IFERROR(IF(ISNUMBER($A2032),IF(AND(AH!$P$10=1,AH!$P$12=1,$A2032=TODAY()),AH!$P$18,IF(AH!$P$10=1,INDEX('Live History'!$E$5:$E$3004,MATCH($A2032,'Live History'!$D$5:$D$3004,1)),INDEX('AH History'!$C$1:$C$18046,AH!$P$7+2027))),NA()),NA())</ns0:f>
        <ns0:v/>
      </ns0:c>
      <ns0:c r="E2032">
        <ns0:f>IFERROR(IF(ISNUMBER($A2032),IF(AND(AH!$P$10=1,AH!$P$12=1,$A2032=TODAY()),AH!$P$20,IF(AH!$P$10=1,INDEX('Live History'!$H$5:$H$3004,MATCH($A2032,'Live History'!$G$5:$G$3004,1)),INDEX('AH History'!$D$1:$D$18046,AH!$P$7+2027))),NA()),NA())</ns0:f>
        <ns0:v/>
      </ns0:c>
      <ns0:c r="F2032">
        <ns0:f>IFERROR(IF(ISNUMBER($A2032),IF(AND(AH!$P$10=1,AH!$P$12=1,$A2032=TODAY()),IF(AND(AH!$P$10=1,AH!$P$12=1,$A2032=TODAY()),TODAY(),NA()),IF(AH!$P$10=1,INDEX('Live History'!$D$5:$D$3004,MATCH($A2032,'Live History'!$D$5:$D$3004,1)),INDEX('AH History'!$E$1:$E$18046,AH!$P$7+2027))),NA()),NA())</ns0:f>
        <ns0:v/>
      </ns0:c>
      <ns0:c r="G2032">
        <ns0:f>IFERROR(IF(ISNUMBER($A2032),IF(AND(AH!$P$10=1,AH!$P$12=1,$A2032=TODAY()),IF(AND(AH!$P$10=1,AH!$P$12=1,$A2032=TODAY()),TODAY(),NA()),IF(AH!$P$10=1,INDEX('Live History'!$G$5:$G$3004,MATCH($A2032,'Live History'!$G$5:$G$3004,1)),INDEX('AH History'!$F$1:$F$18046,AH!$P$7+2027))),NA()),NA())</ns0:f>
        <ns0:v/>
      </ns0:c>
      <ns0:c r="H2032">
        <ns0:f>IFERROR(IF(AND(AH!$E$4="Bloomberg",AH!$P$10=1,ISNUMBER($A2032),$A2032&lt;=AH!$P$17),AH!$P$7-1+MATCH($A2032,INDEX('AH History'!$A$1:$A$18046,AH!$P$7):INDEX('AH History'!$A$1:$A$18046,AH!$P$7+AH!$P$8-1),0),0),0)</ns0:f>
        <ns0:v/>
      </ns0:c>
      <ns0:c r="I2032">
        <ns0:f>IF($H2032=0,0,IFERROR(IF(AND(ABS($C2032-INDEX('AH History'!$B$1:$B$18046,$H2032))&lt;=MAX(0.005,ABS(INDEX('AH History'!$B$1:$B$18046,$H2032))*0.00005),ABS($D2032-INDEX('AH History'!$C$1:$C$18046,$H2032))&lt;=MAX(0.005,ABS(INDEX('AH History'!$C$1:$C$18046,$H2032))*0.00005),ABS($E2032-INDEX('AH History'!$D$1:$D$18046,$H2032))&lt;=0.00005,$F2032=INDEX('AH History'!$E$1:$E$18046,$H2032),$G2032=INDEX('AH History'!$F$1:$F$18046,$H2032)),1,-1),-1))</ns0:f>
        <ns0:v/>
      </ns0:c>
    </ns0:row>
    <ns0:row r="2033">
      <ns0:c r="A2033" s="215">
        <ns0:f>IF(OR(AH!$P$3=0,2028+1&gt;AH!$P$11,AND(AH!$E$4&lt;&gt;"Stored",AH!$P$10&lt;&gt;1)),"",IFERROR(IF(AND(AH!$P$21=1,2028+1=AH!$P$11),TODAY(),IF(AH!$P$10=1,INDEX('Live History'!$A$5:$A$3004,AH!$P$13+2028),INDEX('AH History'!$A$1:$A$18046,AH!$P$7+2028))),""))</ns0:f>
        <ns0:v/>
      </ns0:c>
      <ns0:c r="B2033" s="219">
        <ns0:f>IFERROR(IF(AND(AH!$P$9&lt;&gt;1,$C2033&gt;0,$D2033&gt;0,$E2033&gt;0,$F2033&gt;0,$G2033&gt;0,$F2033&lt;=$A2033,$G2033&lt;=$A2033,$A2033-$F2033&lt;=10,$A2033-$G2033&lt;=5),$D2033*$E2033/$C2033-1,NA()),NA())</ns0:f>
        <ns0:v/>
      </ns0:c>
      <ns0:c r="C2033">
        <ns0:f>IFERROR(IF(ISNUMBER($A2033),IF(AND(AH!$P$10=1,AH!$P$12=1,$A2033=TODAY()),AH!$P$19,IF(AH!$P$10=1,INDEX('Live History'!$B$5:$B$3004,AH!$P$13+2028),INDEX('AH History'!$B$1:$B$18046,AH!$P$7+2028))),NA()),NA())</ns0:f>
        <ns0:v/>
      </ns0:c>
      <ns0:c r="D2033">
        <ns0:f>IFERROR(IF(ISNUMBER($A2033),IF(AND(AH!$P$10=1,AH!$P$12=1,$A2033=TODAY()),AH!$P$18,IF(AH!$P$10=1,INDEX('Live History'!$E$5:$E$3004,MATCH($A2033,'Live History'!$D$5:$D$3004,1)),INDEX('AH History'!$C$1:$C$18046,AH!$P$7+2028))),NA()),NA())</ns0:f>
        <ns0:v/>
      </ns0:c>
      <ns0:c r="E2033">
        <ns0:f>IFERROR(IF(ISNUMBER($A2033),IF(AND(AH!$P$10=1,AH!$P$12=1,$A2033=TODAY()),AH!$P$20,IF(AH!$P$10=1,INDEX('Live History'!$H$5:$H$3004,MATCH($A2033,'Live History'!$G$5:$G$3004,1)),INDEX('AH History'!$D$1:$D$18046,AH!$P$7+2028))),NA()),NA())</ns0:f>
        <ns0:v/>
      </ns0:c>
      <ns0:c r="F2033">
        <ns0:f>IFERROR(IF(ISNUMBER($A2033),IF(AND(AH!$P$10=1,AH!$P$12=1,$A2033=TODAY()),IF(AND(AH!$P$10=1,AH!$P$12=1,$A2033=TODAY()),TODAY(),NA()),IF(AH!$P$10=1,INDEX('Live History'!$D$5:$D$3004,MATCH($A2033,'Live History'!$D$5:$D$3004,1)),INDEX('AH History'!$E$1:$E$18046,AH!$P$7+2028))),NA()),NA())</ns0:f>
        <ns0:v/>
      </ns0:c>
      <ns0:c r="G2033">
        <ns0:f>IFERROR(IF(ISNUMBER($A2033),IF(AND(AH!$P$10=1,AH!$P$12=1,$A2033=TODAY()),IF(AND(AH!$P$10=1,AH!$P$12=1,$A2033=TODAY()),TODAY(),NA()),IF(AH!$P$10=1,INDEX('Live History'!$G$5:$G$3004,MATCH($A2033,'Live History'!$G$5:$G$3004,1)),INDEX('AH History'!$F$1:$F$18046,AH!$P$7+2028))),NA()),NA())</ns0:f>
        <ns0:v/>
      </ns0:c>
      <ns0:c r="H2033">
        <ns0:f>IFERROR(IF(AND(AH!$E$4="Bloomberg",AH!$P$10=1,ISNUMBER($A2033),$A2033&lt;=AH!$P$17),AH!$P$7-1+MATCH($A2033,INDEX('AH History'!$A$1:$A$18046,AH!$P$7):INDEX('AH History'!$A$1:$A$18046,AH!$P$7+AH!$P$8-1),0),0),0)</ns0:f>
        <ns0:v/>
      </ns0:c>
      <ns0:c r="I2033">
        <ns0:f>IF($H2033=0,0,IFERROR(IF(AND(ABS($C2033-INDEX('AH History'!$B$1:$B$18046,$H2033))&lt;=MAX(0.005,ABS(INDEX('AH History'!$B$1:$B$18046,$H2033))*0.00005),ABS($D2033-INDEX('AH History'!$C$1:$C$18046,$H2033))&lt;=MAX(0.005,ABS(INDEX('AH History'!$C$1:$C$18046,$H2033))*0.00005),ABS($E2033-INDEX('AH History'!$D$1:$D$18046,$H2033))&lt;=0.00005,$F2033=INDEX('AH History'!$E$1:$E$18046,$H2033),$G2033=INDEX('AH History'!$F$1:$F$18046,$H2033)),1,-1),-1))</ns0:f>
        <ns0:v/>
      </ns0:c>
    </ns0:row>
    <ns0:row r="2034">
      <ns0:c r="A2034" s="215">
        <ns0:f>IF(OR(AH!$P$3=0,2029+1&gt;AH!$P$11,AND(AH!$E$4&lt;&gt;"Stored",AH!$P$10&lt;&gt;1)),"",IFERROR(IF(AND(AH!$P$21=1,2029+1=AH!$P$11),TODAY(),IF(AH!$P$10=1,INDEX('Live History'!$A$5:$A$3004,AH!$P$13+2029),INDEX('AH History'!$A$1:$A$18046,AH!$P$7+2029))),""))</ns0:f>
        <ns0:v/>
      </ns0:c>
      <ns0:c r="B2034" s="219">
        <ns0:f>IFERROR(IF(AND(AH!$P$9&lt;&gt;1,$C2034&gt;0,$D2034&gt;0,$E2034&gt;0,$F2034&gt;0,$G2034&gt;0,$F2034&lt;=$A2034,$G2034&lt;=$A2034,$A2034-$F2034&lt;=10,$A2034-$G2034&lt;=5),$D2034*$E2034/$C2034-1,NA()),NA())</ns0:f>
        <ns0:v/>
      </ns0:c>
      <ns0:c r="C2034">
        <ns0:f>IFERROR(IF(ISNUMBER($A2034),IF(AND(AH!$P$10=1,AH!$P$12=1,$A2034=TODAY()),AH!$P$19,IF(AH!$P$10=1,INDEX('Live History'!$B$5:$B$3004,AH!$P$13+2029),INDEX('AH History'!$B$1:$B$18046,AH!$P$7+2029))),NA()),NA())</ns0:f>
        <ns0:v/>
      </ns0:c>
      <ns0:c r="D2034">
        <ns0:f>IFERROR(IF(ISNUMBER($A2034),IF(AND(AH!$P$10=1,AH!$P$12=1,$A2034=TODAY()),AH!$P$18,IF(AH!$P$10=1,INDEX('Live History'!$E$5:$E$3004,MATCH($A2034,'Live History'!$D$5:$D$3004,1)),INDEX('AH History'!$C$1:$C$18046,AH!$P$7+2029))),NA()),NA())</ns0:f>
        <ns0:v/>
      </ns0:c>
      <ns0:c r="E2034">
        <ns0:f>IFERROR(IF(ISNUMBER($A2034),IF(AND(AH!$P$10=1,AH!$P$12=1,$A2034=TODAY()),AH!$P$20,IF(AH!$P$10=1,INDEX('Live History'!$H$5:$H$3004,MATCH($A2034,'Live History'!$G$5:$G$3004,1)),INDEX('AH History'!$D$1:$D$18046,AH!$P$7+2029))),NA()),NA())</ns0:f>
        <ns0:v/>
      </ns0:c>
      <ns0:c r="F2034">
        <ns0:f>IFERROR(IF(ISNUMBER($A2034),IF(AND(AH!$P$10=1,AH!$P$12=1,$A2034=TODAY()),IF(AND(AH!$P$10=1,AH!$P$12=1,$A2034=TODAY()),TODAY(),NA()),IF(AH!$P$10=1,INDEX('Live History'!$D$5:$D$3004,MATCH($A2034,'Live History'!$D$5:$D$3004,1)),INDEX('AH History'!$E$1:$E$18046,AH!$P$7+2029))),NA()),NA())</ns0:f>
        <ns0:v/>
      </ns0:c>
      <ns0:c r="G2034">
        <ns0:f>IFERROR(IF(ISNUMBER($A2034),IF(AND(AH!$P$10=1,AH!$P$12=1,$A2034=TODAY()),IF(AND(AH!$P$10=1,AH!$P$12=1,$A2034=TODAY()),TODAY(),NA()),IF(AH!$P$10=1,INDEX('Live History'!$G$5:$G$3004,MATCH($A2034,'Live History'!$G$5:$G$3004,1)),INDEX('AH History'!$F$1:$F$18046,AH!$P$7+2029))),NA()),NA())</ns0:f>
        <ns0:v/>
      </ns0:c>
      <ns0:c r="H2034">
        <ns0:f>IFERROR(IF(AND(AH!$E$4="Bloomberg",AH!$P$10=1,ISNUMBER($A2034),$A2034&lt;=AH!$P$17),AH!$P$7-1+MATCH($A2034,INDEX('AH History'!$A$1:$A$18046,AH!$P$7):INDEX('AH History'!$A$1:$A$18046,AH!$P$7+AH!$P$8-1),0),0),0)</ns0:f>
        <ns0:v/>
      </ns0:c>
      <ns0:c r="I2034">
        <ns0:f>IF($H2034=0,0,IFERROR(IF(AND(ABS($C2034-INDEX('AH History'!$B$1:$B$18046,$H2034))&lt;=MAX(0.005,ABS(INDEX('AH History'!$B$1:$B$18046,$H2034))*0.00005),ABS($D2034-INDEX('AH History'!$C$1:$C$18046,$H2034))&lt;=MAX(0.005,ABS(INDEX('AH History'!$C$1:$C$18046,$H2034))*0.00005),ABS($E2034-INDEX('AH History'!$D$1:$D$18046,$H2034))&lt;=0.00005,$F2034=INDEX('AH History'!$E$1:$E$18046,$H2034),$G2034=INDEX('AH History'!$F$1:$F$18046,$H2034)),1,-1),-1))</ns0:f>
        <ns0:v/>
      </ns0:c>
    </ns0:row>
    <ns0:row r="2035">
      <ns0:c r="A2035" s="215">
        <ns0:f>IF(OR(AH!$P$3=0,2030+1&gt;AH!$P$11,AND(AH!$E$4&lt;&gt;"Stored",AH!$P$10&lt;&gt;1)),"",IFERROR(IF(AND(AH!$P$21=1,2030+1=AH!$P$11),TODAY(),IF(AH!$P$10=1,INDEX('Live History'!$A$5:$A$3004,AH!$P$13+2030),INDEX('AH History'!$A$1:$A$18046,AH!$P$7+2030))),""))</ns0:f>
        <ns0:v/>
      </ns0:c>
      <ns0:c r="B2035" s="219">
        <ns0:f>IFERROR(IF(AND(AH!$P$9&lt;&gt;1,$C2035&gt;0,$D2035&gt;0,$E2035&gt;0,$F2035&gt;0,$G2035&gt;0,$F2035&lt;=$A2035,$G2035&lt;=$A2035,$A2035-$F2035&lt;=10,$A2035-$G2035&lt;=5),$D2035*$E2035/$C2035-1,NA()),NA())</ns0:f>
        <ns0:v/>
      </ns0:c>
      <ns0:c r="C2035">
        <ns0:f>IFERROR(IF(ISNUMBER($A2035),IF(AND(AH!$P$10=1,AH!$P$12=1,$A2035=TODAY()),AH!$P$19,IF(AH!$P$10=1,INDEX('Live History'!$B$5:$B$3004,AH!$P$13+2030),INDEX('AH History'!$B$1:$B$18046,AH!$P$7+2030))),NA()),NA())</ns0:f>
        <ns0:v/>
      </ns0:c>
      <ns0:c r="D2035">
        <ns0:f>IFERROR(IF(ISNUMBER($A2035),IF(AND(AH!$P$10=1,AH!$P$12=1,$A2035=TODAY()),AH!$P$18,IF(AH!$P$10=1,INDEX('Live History'!$E$5:$E$3004,MATCH($A2035,'Live History'!$D$5:$D$3004,1)),INDEX('AH History'!$C$1:$C$18046,AH!$P$7+2030))),NA()),NA())</ns0:f>
        <ns0:v/>
      </ns0:c>
      <ns0:c r="E2035">
        <ns0:f>IFERROR(IF(ISNUMBER($A2035),IF(AND(AH!$P$10=1,AH!$P$12=1,$A2035=TODAY()),AH!$P$20,IF(AH!$P$10=1,INDEX('Live History'!$H$5:$H$3004,MATCH($A2035,'Live History'!$G$5:$G$3004,1)),INDEX('AH History'!$D$1:$D$18046,AH!$P$7+2030))),NA()),NA())</ns0:f>
        <ns0:v/>
      </ns0:c>
      <ns0:c r="F2035">
        <ns0:f>IFERROR(IF(ISNUMBER($A2035),IF(AND(AH!$P$10=1,AH!$P$12=1,$A2035=TODAY()),IF(AND(AH!$P$10=1,AH!$P$12=1,$A2035=TODAY()),TODAY(),NA()),IF(AH!$P$10=1,INDEX('Live History'!$D$5:$D$3004,MATCH($A2035,'Live History'!$D$5:$D$3004,1)),INDEX('AH History'!$E$1:$E$18046,AH!$P$7+2030))),NA()),NA())</ns0:f>
        <ns0:v/>
      </ns0:c>
      <ns0:c r="G2035">
        <ns0:f>IFERROR(IF(ISNUMBER($A2035),IF(AND(AH!$P$10=1,AH!$P$12=1,$A2035=TODAY()),IF(AND(AH!$P$10=1,AH!$P$12=1,$A2035=TODAY()),TODAY(),NA()),IF(AH!$P$10=1,INDEX('Live History'!$G$5:$G$3004,MATCH($A2035,'Live History'!$G$5:$G$3004,1)),INDEX('AH History'!$F$1:$F$18046,AH!$P$7+2030))),NA()),NA())</ns0:f>
        <ns0:v/>
      </ns0:c>
      <ns0:c r="H2035">
        <ns0:f>IFERROR(IF(AND(AH!$E$4="Bloomberg",AH!$P$10=1,ISNUMBER($A2035),$A2035&lt;=AH!$P$17),AH!$P$7-1+MATCH($A2035,INDEX('AH History'!$A$1:$A$18046,AH!$P$7):INDEX('AH History'!$A$1:$A$18046,AH!$P$7+AH!$P$8-1),0),0),0)</ns0:f>
        <ns0:v/>
      </ns0:c>
      <ns0:c r="I2035">
        <ns0:f>IF($H2035=0,0,IFERROR(IF(AND(ABS($C2035-INDEX('AH History'!$B$1:$B$18046,$H2035))&lt;=MAX(0.005,ABS(INDEX('AH History'!$B$1:$B$18046,$H2035))*0.00005),ABS($D2035-INDEX('AH History'!$C$1:$C$18046,$H2035))&lt;=MAX(0.005,ABS(INDEX('AH History'!$C$1:$C$18046,$H2035))*0.00005),ABS($E2035-INDEX('AH History'!$D$1:$D$18046,$H2035))&lt;=0.00005,$F2035=INDEX('AH History'!$E$1:$E$18046,$H2035),$G2035=INDEX('AH History'!$F$1:$F$18046,$H2035)),1,-1),-1))</ns0:f>
        <ns0:v/>
      </ns0:c>
    </ns0:row>
    <ns0:row r="2036">
      <ns0:c r="A2036" s="215">
        <ns0:f>IF(OR(AH!$P$3=0,2031+1&gt;AH!$P$11,AND(AH!$E$4&lt;&gt;"Stored",AH!$P$10&lt;&gt;1)),"",IFERROR(IF(AND(AH!$P$21=1,2031+1=AH!$P$11),TODAY(),IF(AH!$P$10=1,INDEX('Live History'!$A$5:$A$3004,AH!$P$13+2031),INDEX('AH History'!$A$1:$A$18046,AH!$P$7+2031))),""))</ns0:f>
        <ns0:v/>
      </ns0:c>
      <ns0:c r="B2036" s="219">
        <ns0:f>IFERROR(IF(AND(AH!$P$9&lt;&gt;1,$C2036&gt;0,$D2036&gt;0,$E2036&gt;0,$F2036&gt;0,$G2036&gt;0,$F2036&lt;=$A2036,$G2036&lt;=$A2036,$A2036-$F2036&lt;=10,$A2036-$G2036&lt;=5),$D2036*$E2036/$C2036-1,NA()),NA())</ns0:f>
        <ns0:v/>
      </ns0:c>
      <ns0:c r="C2036">
        <ns0:f>IFERROR(IF(ISNUMBER($A2036),IF(AND(AH!$P$10=1,AH!$P$12=1,$A2036=TODAY()),AH!$P$19,IF(AH!$P$10=1,INDEX('Live History'!$B$5:$B$3004,AH!$P$13+2031),INDEX('AH History'!$B$1:$B$18046,AH!$P$7+2031))),NA()),NA())</ns0:f>
        <ns0:v/>
      </ns0:c>
      <ns0:c r="D2036">
        <ns0:f>IFERROR(IF(ISNUMBER($A2036),IF(AND(AH!$P$10=1,AH!$P$12=1,$A2036=TODAY()),AH!$P$18,IF(AH!$P$10=1,INDEX('Live History'!$E$5:$E$3004,MATCH($A2036,'Live History'!$D$5:$D$3004,1)),INDEX('AH History'!$C$1:$C$18046,AH!$P$7+2031))),NA()),NA())</ns0:f>
        <ns0:v/>
      </ns0:c>
      <ns0:c r="E2036">
        <ns0:f>IFERROR(IF(ISNUMBER($A2036),IF(AND(AH!$P$10=1,AH!$P$12=1,$A2036=TODAY()),AH!$P$20,IF(AH!$P$10=1,INDEX('Live History'!$H$5:$H$3004,MATCH($A2036,'Live History'!$G$5:$G$3004,1)),INDEX('AH History'!$D$1:$D$18046,AH!$P$7+2031))),NA()),NA())</ns0:f>
        <ns0:v/>
      </ns0:c>
      <ns0:c r="F2036">
        <ns0:f>IFERROR(IF(ISNUMBER($A2036),IF(AND(AH!$P$10=1,AH!$P$12=1,$A2036=TODAY()),IF(AND(AH!$P$10=1,AH!$P$12=1,$A2036=TODAY()),TODAY(),NA()),IF(AH!$P$10=1,INDEX('Live History'!$D$5:$D$3004,MATCH($A2036,'Live History'!$D$5:$D$3004,1)),INDEX('AH History'!$E$1:$E$18046,AH!$P$7+2031))),NA()),NA())</ns0:f>
        <ns0:v/>
      </ns0:c>
      <ns0:c r="G2036">
        <ns0:f>IFERROR(IF(ISNUMBER($A2036),IF(AND(AH!$P$10=1,AH!$P$12=1,$A2036=TODAY()),IF(AND(AH!$P$10=1,AH!$P$12=1,$A2036=TODAY()),TODAY(),NA()),IF(AH!$P$10=1,INDEX('Live History'!$G$5:$G$3004,MATCH($A2036,'Live History'!$G$5:$G$3004,1)),INDEX('AH History'!$F$1:$F$18046,AH!$P$7+2031))),NA()),NA())</ns0:f>
        <ns0:v/>
      </ns0:c>
      <ns0:c r="H2036">
        <ns0:f>IFERROR(IF(AND(AH!$E$4="Bloomberg",AH!$P$10=1,ISNUMBER($A2036),$A2036&lt;=AH!$P$17),AH!$P$7-1+MATCH($A2036,INDEX('AH History'!$A$1:$A$18046,AH!$P$7):INDEX('AH History'!$A$1:$A$18046,AH!$P$7+AH!$P$8-1),0),0),0)</ns0:f>
        <ns0:v/>
      </ns0:c>
      <ns0:c r="I2036">
        <ns0:f>IF($H2036=0,0,IFERROR(IF(AND(ABS($C2036-INDEX('AH History'!$B$1:$B$18046,$H2036))&lt;=MAX(0.005,ABS(INDEX('AH History'!$B$1:$B$18046,$H2036))*0.00005),ABS($D2036-INDEX('AH History'!$C$1:$C$18046,$H2036))&lt;=MAX(0.005,ABS(INDEX('AH History'!$C$1:$C$18046,$H2036))*0.00005),ABS($E2036-INDEX('AH History'!$D$1:$D$18046,$H2036))&lt;=0.00005,$F2036=INDEX('AH History'!$E$1:$E$18046,$H2036),$G2036=INDEX('AH History'!$F$1:$F$18046,$H2036)),1,-1),-1))</ns0:f>
        <ns0:v/>
      </ns0:c>
    </ns0:row>
    <ns0:row r="2037">
      <ns0:c r="A2037" s="215">
        <ns0:f>IF(OR(AH!$P$3=0,2032+1&gt;AH!$P$11,AND(AH!$E$4&lt;&gt;"Stored",AH!$P$10&lt;&gt;1)),"",IFERROR(IF(AND(AH!$P$21=1,2032+1=AH!$P$11),TODAY(),IF(AH!$P$10=1,INDEX('Live History'!$A$5:$A$3004,AH!$P$13+2032),INDEX('AH History'!$A$1:$A$18046,AH!$P$7+2032))),""))</ns0:f>
        <ns0:v/>
      </ns0:c>
      <ns0:c r="B2037" s="219">
        <ns0:f>IFERROR(IF(AND(AH!$P$9&lt;&gt;1,$C2037&gt;0,$D2037&gt;0,$E2037&gt;0,$F2037&gt;0,$G2037&gt;0,$F2037&lt;=$A2037,$G2037&lt;=$A2037,$A2037-$F2037&lt;=10,$A2037-$G2037&lt;=5),$D2037*$E2037/$C2037-1,NA()),NA())</ns0:f>
        <ns0:v/>
      </ns0:c>
      <ns0:c r="C2037">
        <ns0:f>IFERROR(IF(ISNUMBER($A2037),IF(AND(AH!$P$10=1,AH!$P$12=1,$A2037=TODAY()),AH!$P$19,IF(AH!$P$10=1,INDEX('Live History'!$B$5:$B$3004,AH!$P$13+2032),INDEX('AH History'!$B$1:$B$18046,AH!$P$7+2032))),NA()),NA())</ns0:f>
        <ns0:v/>
      </ns0:c>
      <ns0:c r="D2037">
        <ns0:f>IFERROR(IF(ISNUMBER($A2037),IF(AND(AH!$P$10=1,AH!$P$12=1,$A2037=TODAY()),AH!$P$18,IF(AH!$P$10=1,INDEX('Live History'!$E$5:$E$3004,MATCH($A2037,'Live History'!$D$5:$D$3004,1)),INDEX('AH History'!$C$1:$C$18046,AH!$P$7+2032))),NA()),NA())</ns0:f>
        <ns0:v/>
      </ns0:c>
      <ns0:c r="E2037">
        <ns0:f>IFERROR(IF(ISNUMBER($A2037),IF(AND(AH!$P$10=1,AH!$P$12=1,$A2037=TODAY()),AH!$P$20,IF(AH!$P$10=1,INDEX('Live History'!$H$5:$H$3004,MATCH($A2037,'Live History'!$G$5:$G$3004,1)),INDEX('AH History'!$D$1:$D$18046,AH!$P$7+2032))),NA()),NA())</ns0:f>
        <ns0:v/>
      </ns0:c>
      <ns0:c r="F2037">
        <ns0:f>IFERROR(IF(ISNUMBER($A2037),IF(AND(AH!$P$10=1,AH!$P$12=1,$A2037=TODAY()),IF(AND(AH!$P$10=1,AH!$P$12=1,$A2037=TODAY()),TODAY(),NA()),IF(AH!$P$10=1,INDEX('Live History'!$D$5:$D$3004,MATCH($A2037,'Live History'!$D$5:$D$3004,1)),INDEX('AH History'!$E$1:$E$18046,AH!$P$7+2032))),NA()),NA())</ns0:f>
        <ns0:v/>
      </ns0:c>
      <ns0:c r="G2037">
        <ns0:f>IFERROR(IF(ISNUMBER($A2037),IF(AND(AH!$P$10=1,AH!$P$12=1,$A2037=TODAY()),IF(AND(AH!$P$10=1,AH!$P$12=1,$A2037=TODAY()),TODAY(),NA()),IF(AH!$P$10=1,INDEX('Live History'!$G$5:$G$3004,MATCH($A2037,'Live History'!$G$5:$G$3004,1)),INDEX('AH History'!$F$1:$F$18046,AH!$P$7+2032))),NA()),NA())</ns0:f>
        <ns0:v/>
      </ns0:c>
      <ns0:c r="H2037">
        <ns0:f>IFERROR(IF(AND(AH!$E$4="Bloomberg",AH!$P$10=1,ISNUMBER($A2037),$A2037&lt;=AH!$P$17),AH!$P$7-1+MATCH($A2037,INDEX('AH History'!$A$1:$A$18046,AH!$P$7):INDEX('AH History'!$A$1:$A$18046,AH!$P$7+AH!$P$8-1),0),0),0)</ns0:f>
        <ns0:v/>
      </ns0:c>
      <ns0:c r="I2037">
        <ns0:f>IF($H2037=0,0,IFERROR(IF(AND(ABS($C2037-INDEX('AH History'!$B$1:$B$18046,$H2037))&lt;=MAX(0.005,ABS(INDEX('AH History'!$B$1:$B$18046,$H2037))*0.00005),ABS($D2037-INDEX('AH History'!$C$1:$C$18046,$H2037))&lt;=MAX(0.005,ABS(INDEX('AH History'!$C$1:$C$18046,$H2037))*0.00005),ABS($E2037-INDEX('AH History'!$D$1:$D$18046,$H2037))&lt;=0.00005,$F2037=INDEX('AH History'!$E$1:$E$18046,$H2037),$G2037=INDEX('AH History'!$F$1:$F$18046,$H2037)),1,-1),-1))</ns0:f>
        <ns0:v/>
      </ns0:c>
    </ns0:row>
    <ns0:row r="2038">
      <ns0:c r="A2038" s="215">
        <ns0:f>IF(OR(AH!$P$3=0,2033+1&gt;AH!$P$11,AND(AH!$E$4&lt;&gt;"Stored",AH!$P$10&lt;&gt;1)),"",IFERROR(IF(AND(AH!$P$21=1,2033+1=AH!$P$11),TODAY(),IF(AH!$P$10=1,INDEX('Live History'!$A$5:$A$3004,AH!$P$13+2033),INDEX('AH History'!$A$1:$A$18046,AH!$P$7+2033))),""))</ns0:f>
        <ns0:v/>
      </ns0:c>
      <ns0:c r="B2038" s="219">
        <ns0:f>IFERROR(IF(AND(AH!$P$9&lt;&gt;1,$C2038&gt;0,$D2038&gt;0,$E2038&gt;0,$F2038&gt;0,$G2038&gt;0,$F2038&lt;=$A2038,$G2038&lt;=$A2038,$A2038-$F2038&lt;=10,$A2038-$G2038&lt;=5),$D2038*$E2038/$C2038-1,NA()),NA())</ns0:f>
        <ns0:v/>
      </ns0:c>
      <ns0:c r="C2038">
        <ns0:f>IFERROR(IF(ISNUMBER($A2038),IF(AND(AH!$P$10=1,AH!$P$12=1,$A2038=TODAY()),AH!$P$19,IF(AH!$P$10=1,INDEX('Live History'!$B$5:$B$3004,AH!$P$13+2033),INDEX('AH History'!$B$1:$B$18046,AH!$P$7+2033))),NA()),NA())</ns0:f>
        <ns0:v/>
      </ns0:c>
      <ns0:c r="D2038">
        <ns0:f>IFERROR(IF(ISNUMBER($A2038),IF(AND(AH!$P$10=1,AH!$P$12=1,$A2038=TODAY()),AH!$P$18,IF(AH!$P$10=1,INDEX('Live History'!$E$5:$E$3004,MATCH($A2038,'Live History'!$D$5:$D$3004,1)),INDEX('AH History'!$C$1:$C$18046,AH!$P$7+2033))),NA()),NA())</ns0:f>
        <ns0:v/>
      </ns0:c>
      <ns0:c r="E2038">
        <ns0:f>IFERROR(IF(ISNUMBER($A2038),IF(AND(AH!$P$10=1,AH!$P$12=1,$A2038=TODAY()),AH!$P$20,IF(AH!$P$10=1,INDEX('Live History'!$H$5:$H$3004,MATCH($A2038,'Live History'!$G$5:$G$3004,1)),INDEX('AH History'!$D$1:$D$18046,AH!$P$7+2033))),NA()),NA())</ns0:f>
        <ns0:v/>
      </ns0:c>
      <ns0:c r="F2038">
        <ns0:f>IFERROR(IF(ISNUMBER($A2038),IF(AND(AH!$P$10=1,AH!$P$12=1,$A2038=TODAY()),IF(AND(AH!$P$10=1,AH!$P$12=1,$A2038=TODAY()),TODAY(),NA()),IF(AH!$P$10=1,INDEX('Live History'!$D$5:$D$3004,MATCH($A2038,'Live History'!$D$5:$D$3004,1)),INDEX('AH History'!$E$1:$E$18046,AH!$P$7+2033))),NA()),NA())</ns0:f>
        <ns0:v/>
      </ns0:c>
      <ns0:c r="G2038">
        <ns0:f>IFERROR(IF(ISNUMBER($A2038),IF(AND(AH!$P$10=1,AH!$P$12=1,$A2038=TODAY()),IF(AND(AH!$P$10=1,AH!$P$12=1,$A2038=TODAY()),TODAY(),NA()),IF(AH!$P$10=1,INDEX('Live History'!$G$5:$G$3004,MATCH($A2038,'Live History'!$G$5:$G$3004,1)),INDEX('AH History'!$F$1:$F$18046,AH!$P$7+2033))),NA()),NA())</ns0:f>
        <ns0:v/>
      </ns0:c>
      <ns0:c r="H2038">
        <ns0:f>IFERROR(IF(AND(AH!$E$4="Bloomberg",AH!$P$10=1,ISNUMBER($A2038),$A2038&lt;=AH!$P$17),AH!$P$7-1+MATCH($A2038,INDEX('AH History'!$A$1:$A$18046,AH!$P$7):INDEX('AH History'!$A$1:$A$18046,AH!$P$7+AH!$P$8-1),0),0),0)</ns0:f>
        <ns0:v/>
      </ns0:c>
      <ns0:c r="I2038">
        <ns0:f>IF($H2038=0,0,IFERROR(IF(AND(ABS($C2038-INDEX('AH History'!$B$1:$B$18046,$H2038))&lt;=MAX(0.005,ABS(INDEX('AH History'!$B$1:$B$18046,$H2038))*0.00005),ABS($D2038-INDEX('AH History'!$C$1:$C$18046,$H2038))&lt;=MAX(0.005,ABS(INDEX('AH History'!$C$1:$C$18046,$H2038))*0.00005),ABS($E2038-INDEX('AH History'!$D$1:$D$18046,$H2038))&lt;=0.00005,$F2038=INDEX('AH History'!$E$1:$E$18046,$H2038),$G2038=INDEX('AH History'!$F$1:$F$18046,$H2038)),1,-1),-1))</ns0:f>
        <ns0:v/>
      </ns0:c>
    </ns0:row>
    <ns0:row r="2039">
      <ns0:c r="A2039" s="215">
        <ns0:f>IF(OR(AH!$P$3=0,2034+1&gt;AH!$P$11,AND(AH!$E$4&lt;&gt;"Stored",AH!$P$10&lt;&gt;1)),"",IFERROR(IF(AND(AH!$P$21=1,2034+1=AH!$P$11),TODAY(),IF(AH!$P$10=1,INDEX('Live History'!$A$5:$A$3004,AH!$P$13+2034),INDEX('AH History'!$A$1:$A$18046,AH!$P$7+2034))),""))</ns0:f>
        <ns0:v/>
      </ns0:c>
      <ns0:c r="B2039" s="219">
        <ns0:f>IFERROR(IF(AND(AH!$P$9&lt;&gt;1,$C2039&gt;0,$D2039&gt;0,$E2039&gt;0,$F2039&gt;0,$G2039&gt;0,$F2039&lt;=$A2039,$G2039&lt;=$A2039,$A2039-$F2039&lt;=10,$A2039-$G2039&lt;=5),$D2039*$E2039/$C2039-1,NA()),NA())</ns0:f>
        <ns0:v/>
      </ns0:c>
      <ns0:c r="C2039">
        <ns0:f>IFERROR(IF(ISNUMBER($A2039),IF(AND(AH!$P$10=1,AH!$P$12=1,$A2039=TODAY()),AH!$P$19,IF(AH!$P$10=1,INDEX('Live History'!$B$5:$B$3004,AH!$P$13+2034),INDEX('AH History'!$B$1:$B$18046,AH!$P$7+2034))),NA()),NA())</ns0:f>
        <ns0:v/>
      </ns0:c>
      <ns0:c r="D2039">
        <ns0:f>IFERROR(IF(ISNUMBER($A2039),IF(AND(AH!$P$10=1,AH!$P$12=1,$A2039=TODAY()),AH!$P$18,IF(AH!$P$10=1,INDEX('Live History'!$E$5:$E$3004,MATCH($A2039,'Live History'!$D$5:$D$3004,1)),INDEX('AH History'!$C$1:$C$18046,AH!$P$7+2034))),NA()),NA())</ns0:f>
        <ns0:v/>
      </ns0:c>
      <ns0:c r="E2039">
        <ns0:f>IFERROR(IF(ISNUMBER($A2039),IF(AND(AH!$P$10=1,AH!$P$12=1,$A2039=TODAY()),AH!$P$20,IF(AH!$P$10=1,INDEX('Live History'!$H$5:$H$3004,MATCH($A2039,'Live History'!$G$5:$G$3004,1)),INDEX('AH History'!$D$1:$D$18046,AH!$P$7+2034))),NA()),NA())</ns0:f>
        <ns0:v/>
      </ns0:c>
      <ns0:c r="F2039">
        <ns0:f>IFERROR(IF(ISNUMBER($A2039),IF(AND(AH!$P$10=1,AH!$P$12=1,$A2039=TODAY()),IF(AND(AH!$P$10=1,AH!$P$12=1,$A2039=TODAY()),TODAY(),NA()),IF(AH!$P$10=1,INDEX('Live History'!$D$5:$D$3004,MATCH($A2039,'Live History'!$D$5:$D$3004,1)),INDEX('AH History'!$E$1:$E$18046,AH!$P$7+2034))),NA()),NA())</ns0:f>
        <ns0:v/>
      </ns0:c>
      <ns0:c r="G2039">
        <ns0:f>IFERROR(IF(ISNUMBER($A2039),IF(AND(AH!$P$10=1,AH!$P$12=1,$A2039=TODAY()),IF(AND(AH!$P$10=1,AH!$P$12=1,$A2039=TODAY()),TODAY(),NA()),IF(AH!$P$10=1,INDEX('Live History'!$G$5:$G$3004,MATCH($A2039,'Live History'!$G$5:$G$3004,1)),INDEX('AH History'!$F$1:$F$18046,AH!$P$7+2034))),NA()),NA())</ns0:f>
        <ns0:v/>
      </ns0:c>
      <ns0:c r="H2039">
        <ns0:f>IFERROR(IF(AND(AH!$E$4="Bloomberg",AH!$P$10=1,ISNUMBER($A2039),$A2039&lt;=AH!$P$17),AH!$P$7-1+MATCH($A2039,INDEX('AH History'!$A$1:$A$18046,AH!$P$7):INDEX('AH History'!$A$1:$A$18046,AH!$P$7+AH!$P$8-1),0),0),0)</ns0:f>
        <ns0:v/>
      </ns0:c>
      <ns0:c r="I2039">
        <ns0:f>IF($H2039=0,0,IFERROR(IF(AND(ABS($C2039-INDEX('AH History'!$B$1:$B$18046,$H2039))&lt;=MAX(0.005,ABS(INDEX('AH History'!$B$1:$B$18046,$H2039))*0.00005),ABS($D2039-INDEX('AH History'!$C$1:$C$18046,$H2039))&lt;=MAX(0.005,ABS(INDEX('AH History'!$C$1:$C$18046,$H2039))*0.00005),ABS($E2039-INDEX('AH History'!$D$1:$D$18046,$H2039))&lt;=0.00005,$F2039=INDEX('AH History'!$E$1:$E$18046,$H2039),$G2039=INDEX('AH History'!$F$1:$F$18046,$H2039)),1,-1),-1))</ns0:f>
        <ns0:v/>
      </ns0:c>
    </ns0:row>
    <ns0:row r="2040">
      <ns0:c r="A2040" s="215">
        <ns0:f>IF(OR(AH!$P$3=0,2035+1&gt;AH!$P$11,AND(AH!$E$4&lt;&gt;"Stored",AH!$P$10&lt;&gt;1)),"",IFERROR(IF(AND(AH!$P$21=1,2035+1=AH!$P$11),TODAY(),IF(AH!$P$10=1,INDEX('Live History'!$A$5:$A$3004,AH!$P$13+2035),INDEX('AH History'!$A$1:$A$18046,AH!$P$7+2035))),""))</ns0:f>
        <ns0:v/>
      </ns0:c>
      <ns0:c r="B2040" s="219">
        <ns0:f>IFERROR(IF(AND(AH!$P$9&lt;&gt;1,$C2040&gt;0,$D2040&gt;0,$E2040&gt;0,$F2040&gt;0,$G2040&gt;0,$F2040&lt;=$A2040,$G2040&lt;=$A2040,$A2040-$F2040&lt;=10,$A2040-$G2040&lt;=5),$D2040*$E2040/$C2040-1,NA()),NA())</ns0:f>
        <ns0:v/>
      </ns0:c>
      <ns0:c r="C2040">
        <ns0:f>IFERROR(IF(ISNUMBER($A2040),IF(AND(AH!$P$10=1,AH!$P$12=1,$A2040=TODAY()),AH!$P$19,IF(AH!$P$10=1,INDEX('Live History'!$B$5:$B$3004,AH!$P$13+2035),INDEX('AH History'!$B$1:$B$18046,AH!$P$7+2035))),NA()),NA())</ns0:f>
        <ns0:v/>
      </ns0:c>
      <ns0:c r="D2040">
        <ns0:f>IFERROR(IF(ISNUMBER($A2040),IF(AND(AH!$P$10=1,AH!$P$12=1,$A2040=TODAY()),AH!$P$18,IF(AH!$P$10=1,INDEX('Live History'!$E$5:$E$3004,MATCH($A2040,'Live History'!$D$5:$D$3004,1)),INDEX('AH History'!$C$1:$C$18046,AH!$P$7+2035))),NA()),NA())</ns0:f>
        <ns0:v/>
      </ns0:c>
      <ns0:c r="E2040">
        <ns0:f>IFERROR(IF(ISNUMBER($A2040),IF(AND(AH!$P$10=1,AH!$P$12=1,$A2040=TODAY()),AH!$P$20,IF(AH!$P$10=1,INDEX('Live History'!$H$5:$H$3004,MATCH($A2040,'Live History'!$G$5:$G$3004,1)),INDEX('AH History'!$D$1:$D$18046,AH!$P$7+2035))),NA()),NA())</ns0:f>
        <ns0:v/>
      </ns0:c>
      <ns0:c r="F2040">
        <ns0:f>IFERROR(IF(ISNUMBER($A2040),IF(AND(AH!$P$10=1,AH!$P$12=1,$A2040=TODAY()),IF(AND(AH!$P$10=1,AH!$P$12=1,$A2040=TODAY()),TODAY(),NA()),IF(AH!$P$10=1,INDEX('Live History'!$D$5:$D$3004,MATCH($A2040,'Live History'!$D$5:$D$3004,1)),INDEX('AH History'!$E$1:$E$18046,AH!$P$7+2035))),NA()),NA())</ns0:f>
        <ns0:v/>
      </ns0:c>
      <ns0:c r="G2040">
        <ns0:f>IFERROR(IF(ISNUMBER($A2040),IF(AND(AH!$P$10=1,AH!$P$12=1,$A2040=TODAY()),IF(AND(AH!$P$10=1,AH!$P$12=1,$A2040=TODAY()),TODAY(),NA()),IF(AH!$P$10=1,INDEX('Live History'!$G$5:$G$3004,MATCH($A2040,'Live History'!$G$5:$G$3004,1)),INDEX('AH History'!$F$1:$F$18046,AH!$P$7+2035))),NA()),NA())</ns0:f>
        <ns0:v/>
      </ns0:c>
      <ns0:c r="H2040">
        <ns0:f>IFERROR(IF(AND(AH!$E$4="Bloomberg",AH!$P$10=1,ISNUMBER($A2040),$A2040&lt;=AH!$P$17),AH!$P$7-1+MATCH($A2040,INDEX('AH History'!$A$1:$A$18046,AH!$P$7):INDEX('AH History'!$A$1:$A$18046,AH!$P$7+AH!$P$8-1),0),0),0)</ns0:f>
        <ns0:v/>
      </ns0:c>
      <ns0:c r="I2040">
        <ns0:f>IF($H2040=0,0,IFERROR(IF(AND(ABS($C2040-INDEX('AH History'!$B$1:$B$18046,$H2040))&lt;=MAX(0.005,ABS(INDEX('AH History'!$B$1:$B$18046,$H2040))*0.00005),ABS($D2040-INDEX('AH History'!$C$1:$C$18046,$H2040))&lt;=MAX(0.005,ABS(INDEX('AH History'!$C$1:$C$18046,$H2040))*0.00005),ABS($E2040-INDEX('AH History'!$D$1:$D$18046,$H2040))&lt;=0.00005,$F2040=INDEX('AH History'!$E$1:$E$18046,$H2040),$G2040=INDEX('AH History'!$F$1:$F$18046,$H2040)),1,-1),-1))</ns0:f>
        <ns0:v/>
      </ns0:c>
    </ns0:row>
    <ns0:row r="2041">
      <ns0:c r="A2041" s="215">
        <ns0:f>IF(OR(AH!$P$3=0,2036+1&gt;AH!$P$11,AND(AH!$E$4&lt;&gt;"Stored",AH!$P$10&lt;&gt;1)),"",IFERROR(IF(AND(AH!$P$21=1,2036+1=AH!$P$11),TODAY(),IF(AH!$P$10=1,INDEX('Live History'!$A$5:$A$3004,AH!$P$13+2036),INDEX('AH History'!$A$1:$A$18046,AH!$P$7+2036))),""))</ns0:f>
        <ns0:v/>
      </ns0:c>
      <ns0:c r="B2041" s="219">
        <ns0:f>IFERROR(IF(AND(AH!$P$9&lt;&gt;1,$C2041&gt;0,$D2041&gt;0,$E2041&gt;0,$F2041&gt;0,$G2041&gt;0,$F2041&lt;=$A2041,$G2041&lt;=$A2041,$A2041-$F2041&lt;=10,$A2041-$G2041&lt;=5),$D2041*$E2041/$C2041-1,NA()),NA())</ns0:f>
        <ns0:v/>
      </ns0:c>
      <ns0:c r="C2041">
        <ns0:f>IFERROR(IF(ISNUMBER($A2041),IF(AND(AH!$P$10=1,AH!$P$12=1,$A2041=TODAY()),AH!$P$19,IF(AH!$P$10=1,INDEX('Live History'!$B$5:$B$3004,AH!$P$13+2036),INDEX('AH History'!$B$1:$B$18046,AH!$P$7+2036))),NA()),NA())</ns0:f>
        <ns0:v/>
      </ns0:c>
      <ns0:c r="D2041">
        <ns0:f>IFERROR(IF(ISNUMBER($A2041),IF(AND(AH!$P$10=1,AH!$P$12=1,$A2041=TODAY()),AH!$P$18,IF(AH!$P$10=1,INDEX('Live History'!$E$5:$E$3004,MATCH($A2041,'Live History'!$D$5:$D$3004,1)),INDEX('AH History'!$C$1:$C$18046,AH!$P$7+2036))),NA()),NA())</ns0:f>
        <ns0:v/>
      </ns0:c>
      <ns0:c r="E2041">
        <ns0:f>IFERROR(IF(ISNUMBER($A2041),IF(AND(AH!$P$10=1,AH!$P$12=1,$A2041=TODAY()),AH!$P$20,IF(AH!$P$10=1,INDEX('Live History'!$H$5:$H$3004,MATCH($A2041,'Live History'!$G$5:$G$3004,1)),INDEX('AH History'!$D$1:$D$18046,AH!$P$7+2036))),NA()),NA())</ns0:f>
        <ns0:v/>
      </ns0:c>
      <ns0:c r="F2041">
        <ns0:f>IFERROR(IF(ISNUMBER($A2041),IF(AND(AH!$P$10=1,AH!$P$12=1,$A2041=TODAY()),IF(AND(AH!$P$10=1,AH!$P$12=1,$A2041=TODAY()),TODAY(),NA()),IF(AH!$P$10=1,INDEX('Live History'!$D$5:$D$3004,MATCH($A2041,'Live History'!$D$5:$D$3004,1)),INDEX('AH History'!$E$1:$E$18046,AH!$P$7+2036))),NA()),NA())</ns0:f>
        <ns0:v/>
      </ns0:c>
      <ns0:c r="G2041">
        <ns0:f>IFERROR(IF(ISNUMBER($A2041),IF(AND(AH!$P$10=1,AH!$P$12=1,$A2041=TODAY()),IF(AND(AH!$P$10=1,AH!$P$12=1,$A2041=TODAY()),TODAY(),NA()),IF(AH!$P$10=1,INDEX('Live History'!$G$5:$G$3004,MATCH($A2041,'Live History'!$G$5:$G$3004,1)),INDEX('AH History'!$F$1:$F$18046,AH!$P$7+2036))),NA()),NA())</ns0:f>
        <ns0:v/>
      </ns0:c>
      <ns0:c r="H2041">
        <ns0:f>IFERROR(IF(AND(AH!$E$4="Bloomberg",AH!$P$10=1,ISNUMBER($A2041),$A2041&lt;=AH!$P$17),AH!$P$7-1+MATCH($A2041,INDEX('AH History'!$A$1:$A$18046,AH!$P$7):INDEX('AH History'!$A$1:$A$18046,AH!$P$7+AH!$P$8-1),0),0),0)</ns0:f>
        <ns0:v/>
      </ns0:c>
      <ns0:c r="I2041">
        <ns0:f>IF($H2041=0,0,IFERROR(IF(AND(ABS($C2041-INDEX('AH History'!$B$1:$B$18046,$H2041))&lt;=MAX(0.005,ABS(INDEX('AH History'!$B$1:$B$18046,$H2041))*0.00005),ABS($D2041-INDEX('AH History'!$C$1:$C$18046,$H2041))&lt;=MAX(0.005,ABS(INDEX('AH History'!$C$1:$C$18046,$H2041))*0.00005),ABS($E2041-INDEX('AH History'!$D$1:$D$18046,$H2041))&lt;=0.00005,$F2041=INDEX('AH History'!$E$1:$E$18046,$H2041),$G2041=INDEX('AH History'!$F$1:$F$18046,$H2041)),1,-1),-1))</ns0:f>
        <ns0:v/>
      </ns0:c>
    </ns0:row>
    <ns0:row r="2042">
      <ns0:c r="A2042" s="215">
        <ns0:f>IF(OR(AH!$P$3=0,2037+1&gt;AH!$P$11,AND(AH!$E$4&lt;&gt;"Stored",AH!$P$10&lt;&gt;1)),"",IFERROR(IF(AND(AH!$P$21=1,2037+1=AH!$P$11),TODAY(),IF(AH!$P$10=1,INDEX('Live History'!$A$5:$A$3004,AH!$P$13+2037),INDEX('AH History'!$A$1:$A$18046,AH!$P$7+2037))),""))</ns0:f>
        <ns0:v/>
      </ns0:c>
      <ns0:c r="B2042" s="219">
        <ns0:f>IFERROR(IF(AND(AH!$P$9&lt;&gt;1,$C2042&gt;0,$D2042&gt;0,$E2042&gt;0,$F2042&gt;0,$G2042&gt;0,$F2042&lt;=$A2042,$G2042&lt;=$A2042,$A2042-$F2042&lt;=10,$A2042-$G2042&lt;=5),$D2042*$E2042/$C2042-1,NA()),NA())</ns0:f>
        <ns0:v/>
      </ns0:c>
      <ns0:c r="C2042">
        <ns0:f>IFERROR(IF(ISNUMBER($A2042),IF(AND(AH!$P$10=1,AH!$P$12=1,$A2042=TODAY()),AH!$P$19,IF(AH!$P$10=1,INDEX('Live History'!$B$5:$B$3004,AH!$P$13+2037),INDEX('AH History'!$B$1:$B$18046,AH!$P$7+2037))),NA()),NA())</ns0:f>
        <ns0:v/>
      </ns0:c>
      <ns0:c r="D2042">
        <ns0:f>IFERROR(IF(ISNUMBER($A2042),IF(AND(AH!$P$10=1,AH!$P$12=1,$A2042=TODAY()),AH!$P$18,IF(AH!$P$10=1,INDEX('Live History'!$E$5:$E$3004,MATCH($A2042,'Live History'!$D$5:$D$3004,1)),INDEX('AH History'!$C$1:$C$18046,AH!$P$7+2037))),NA()),NA())</ns0:f>
        <ns0:v/>
      </ns0:c>
      <ns0:c r="E2042">
        <ns0:f>IFERROR(IF(ISNUMBER($A2042),IF(AND(AH!$P$10=1,AH!$P$12=1,$A2042=TODAY()),AH!$P$20,IF(AH!$P$10=1,INDEX('Live History'!$H$5:$H$3004,MATCH($A2042,'Live History'!$G$5:$G$3004,1)),INDEX('AH History'!$D$1:$D$18046,AH!$P$7+2037))),NA()),NA())</ns0:f>
        <ns0:v/>
      </ns0:c>
      <ns0:c r="F2042">
        <ns0:f>IFERROR(IF(ISNUMBER($A2042),IF(AND(AH!$P$10=1,AH!$P$12=1,$A2042=TODAY()),IF(AND(AH!$P$10=1,AH!$P$12=1,$A2042=TODAY()),TODAY(),NA()),IF(AH!$P$10=1,INDEX('Live History'!$D$5:$D$3004,MATCH($A2042,'Live History'!$D$5:$D$3004,1)),INDEX('AH History'!$E$1:$E$18046,AH!$P$7+2037))),NA()),NA())</ns0:f>
        <ns0:v/>
      </ns0:c>
      <ns0:c r="G2042">
        <ns0:f>IFERROR(IF(ISNUMBER($A2042),IF(AND(AH!$P$10=1,AH!$P$12=1,$A2042=TODAY()),IF(AND(AH!$P$10=1,AH!$P$12=1,$A2042=TODAY()),TODAY(),NA()),IF(AH!$P$10=1,INDEX('Live History'!$G$5:$G$3004,MATCH($A2042,'Live History'!$G$5:$G$3004,1)),INDEX('AH History'!$F$1:$F$18046,AH!$P$7+2037))),NA()),NA())</ns0:f>
        <ns0:v/>
      </ns0:c>
      <ns0:c r="H2042">
        <ns0:f>IFERROR(IF(AND(AH!$E$4="Bloomberg",AH!$P$10=1,ISNUMBER($A2042),$A2042&lt;=AH!$P$17),AH!$P$7-1+MATCH($A2042,INDEX('AH History'!$A$1:$A$18046,AH!$P$7):INDEX('AH History'!$A$1:$A$18046,AH!$P$7+AH!$P$8-1),0),0),0)</ns0:f>
        <ns0:v/>
      </ns0:c>
      <ns0:c r="I2042">
        <ns0:f>IF($H2042=0,0,IFERROR(IF(AND(ABS($C2042-INDEX('AH History'!$B$1:$B$18046,$H2042))&lt;=MAX(0.005,ABS(INDEX('AH History'!$B$1:$B$18046,$H2042))*0.00005),ABS($D2042-INDEX('AH History'!$C$1:$C$18046,$H2042))&lt;=MAX(0.005,ABS(INDEX('AH History'!$C$1:$C$18046,$H2042))*0.00005),ABS($E2042-INDEX('AH History'!$D$1:$D$18046,$H2042))&lt;=0.00005,$F2042=INDEX('AH History'!$E$1:$E$18046,$H2042),$G2042=INDEX('AH History'!$F$1:$F$18046,$H2042)),1,-1),-1))</ns0:f>
        <ns0:v/>
      </ns0:c>
    </ns0:row>
    <ns0:row r="2043">
      <ns0:c r="A2043" s="215">
        <ns0:f>IF(OR(AH!$P$3=0,2038+1&gt;AH!$P$11,AND(AH!$E$4&lt;&gt;"Stored",AH!$P$10&lt;&gt;1)),"",IFERROR(IF(AND(AH!$P$21=1,2038+1=AH!$P$11),TODAY(),IF(AH!$P$10=1,INDEX('Live History'!$A$5:$A$3004,AH!$P$13+2038),INDEX('AH History'!$A$1:$A$18046,AH!$P$7+2038))),""))</ns0:f>
        <ns0:v/>
      </ns0:c>
      <ns0:c r="B2043" s="219">
        <ns0:f>IFERROR(IF(AND(AH!$P$9&lt;&gt;1,$C2043&gt;0,$D2043&gt;0,$E2043&gt;0,$F2043&gt;0,$G2043&gt;0,$F2043&lt;=$A2043,$G2043&lt;=$A2043,$A2043-$F2043&lt;=10,$A2043-$G2043&lt;=5),$D2043*$E2043/$C2043-1,NA()),NA())</ns0:f>
        <ns0:v/>
      </ns0:c>
      <ns0:c r="C2043">
        <ns0:f>IFERROR(IF(ISNUMBER($A2043),IF(AND(AH!$P$10=1,AH!$P$12=1,$A2043=TODAY()),AH!$P$19,IF(AH!$P$10=1,INDEX('Live History'!$B$5:$B$3004,AH!$P$13+2038),INDEX('AH History'!$B$1:$B$18046,AH!$P$7+2038))),NA()),NA())</ns0:f>
        <ns0:v/>
      </ns0:c>
      <ns0:c r="D2043">
        <ns0:f>IFERROR(IF(ISNUMBER($A2043),IF(AND(AH!$P$10=1,AH!$P$12=1,$A2043=TODAY()),AH!$P$18,IF(AH!$P$10=1,INDEX('Live History'!$E$5:$E$3004,MATCH($A2043,'Live History'!$D$5:$D$3004,1)),INDEX('AH History'!$C$1:$C$18046,AH!$P$7+2038))),NA()),NA())</ns0:f>
        <ns0:v/>
      </ns0:c>
      <ns0:c r="E2043">
        <ns0:f>IFERROR(IF(ISNUMBER($A2043),IF(AND(AH!$P$10=1,AH!$P$12=1,$A2043=TODAY()),AH!$P$20,IF(AH!$P$10=1,INDEX('Live History'!$H$5:$H$3004,MATCH($A2043,'Live History'!$G$5:$G$3004,1)),INDEX('AH History'!$D$1:$D$18046,AH!$P$7+2038))),NA()),NA())</ns0:f>
        <ns0:v/>
      </ns0:c>
      <ns0:c r="F2043">
        <ns0:f>IFERROR(IF(ISNUMBER($A2043),IF(AND(AH!$P$10=1,AH!$P$12=1,$A2043=TODAY()),IF(AND(AH!$P$10=1,AH!$P$12=1,$A2043=TODAY()),TODAY(),NA()),IF(AH!$P$10=1,INDEX('Live History'!$D$5:$D$3004,MATCH($A2043,'Live History'!$D$5:$D$3004,1)),INDEX('AH History'!$E$1:$E$18046,AH!$P$7+2038))),NA()),NA())</ns0:f>
        <ns0:v/>
      </ns0:c>
      <ns0:c r="G2043">
        <ns0:f>IFERROR(IF(ISNUMBER($A2043),IF(AND(AH!$P$10=1,AH!$P$12=1,$A2043=TODAY()),IF(AND(AH!$P$10=1,AH!$P$12=1,$A2043=TODAY()),TODAY(),NA()),IF(AH!$P$10=1,INDEX('Live History'!$G$5:$G$3004,MATCH($A2043,'Live History'!$G$5:$G$3004,1)),INDEX('AH History'!$F$1:$F$18046,AH!$P$7+2038))),NA()),NA())</ns0:f>
        <ns0:v/>
      </ns0:c>
      <ns0:c r="H2043">
        <ns0:f>IFERROR(IF(AND(AH!$E$4="Bloomberg",AH!$P$10=1,ISNUMBER($A2043),$A2043&lt;=AH!$P$17),AH!$P$7-1+MATCH($A2043,INDEX('AH History'!$A$1:$A$18046,AH!$P$7):INDEX('AH History'!$A$1:$A$18046,AH!$P$7+AH!$P$8-1),0),0),0)</ns0:f>
        <ns0:v/>
      </ns0:c>
      <ns0:c r="I2043">
        <ns0:f>IF($H2043=0,0,IFERROR(IF(AND(ABS($C2043-INDEX('AH History'!$B$1:$B$18046,$H2043))&lt;=MAX(0.005,ABS(INDEX('AH History'!$B$1:$B$18046,$H2043))*0.00005),ABS($D2043-INDEX('AH History'!$C$1:$C$18046,$H2043))&lt;=MAX(0.005,ABS(INDEX('AH History'!$C$1:$C$18046,$H2043))*0.00005),ABS($E2043-INDEX('AH History'!$D$1:$D$18046,$H2043))&lt;=0.00005,$F2043=INDEX('AH History'!$E$1:$E$18046,$H2043),$G2043=INDEX('AH History'!$F$1:$F$18046,$H2043)),1,-1),-1))</ns0:f>
        <ns0:v/>
      </ns0:c>
    </ns0:row>
    <ns0:row r="2044">
      <ns0:c r="A2044" s="215">
        <ns0:f>IF(OR(AH!$P$3=0,2039+1&gt;AH!$P$11,AND(AH!$E$4&lt;&gt;"Stored",AH!$P$10&lt;&gt;1)),"",IFERROR(IF(AND(AH!$P$21=1,2039+1=AH!$P$11),TODAY(),IF(AH!$P$10=1,INDEX('Live History'!$A$5:$A$3004,AH!$P$13+2039),INDEX('AH History'!$A$1:$A$18046,AH!$P$7+2039))),""))</ns0:f>
        <ns0:v/>
      </ns0:c>
      <ns0:c r="B2044" s="219">
        <ns0:f>IFERROR(IF(AND(AH!$P$9&lt;&gt;1,$C2044&gt;0,$D2044&gt;0,$E2044&gt;0,$F2044&gt;0,$G2044&gt;0,$F2044&lt;=$A2044,$G2044&lt;=$A2044,$A2044-$F2044&lt;=10,$A2044-$G2044&lt;=5),$D2044*$E2044/$C2044-1,NA()),NA())</ns0:f>
        <ns0:v/>
      </ns0:c>
      <ns0:c r="C2044">
        <ns0:f>IFERROR(IF(ISNUMBER($A2044),IF(AND(AH!$P$10=1,AH!$P$12=1,$A2044=TODAY()),AH!$P$19,IF(AH!$P$10=1,INDEX('Live History'!$B$5:$B$3004,AH!$P$13+2039),INDEX('AH History'!$B$1:$B$18046,AH!$P$7+2039))),NA()),NA())</ns0:f>
        <ns0:v/>
      </ns0:c>
      <ns0:c r="D2044">
        <ns0:f>IFERROR(IF(ISNUMBER($A2044),IF(AND(AH!$P$10=1,AH!$P$12=1,$A2044=TODAY()),AH!$P$18,IF(AH!$P$10=1,INDEX('Live History'!$E$5:$E$3004,MATCH($A2044,'Live History'!$D$5:$D$3004,1)),INDEX('AH History'!$C$1:$C$18046,AH!$P$7+2039))),NA()),NA())</ns0:f>
        <ns0:v/>
      </ns0:c>
      <ns0:c r="E2044">
        <ns0:f>IFERROR(IF(ISNUMBER($A2044),IF(AND(AH!$P$10=1,AH!$P$12=1,$A2044=TODAY()),AH!$P$20,IF(AH!$P$10=1,INDEX('Live History'!$H$5:$H$3004,MATCH($A2044,'Live History'!$G$5:$G$3004,1)),INDEX('AH History'!$D$1:$D$18046,AH!$P$7+2039))),NA()),NA())</ns0:f>
        <ns0:v/>
      </ns0:c>
      <ns0:c r="F2044">
        <ns0:f>IFERROR(IF(ISNUMBER($A2044),IF(AND(AH!$P$10=1,AH!$P$12=1,$A2044=TODAY()),IF(AND(AH!$P$10=1,AH!$P$12=1,$A2044=TODAY()),TODAY(),NA()),IF(AH!$P$10=1,INDEX('Live History'!$D$5:$D$3004,MATCH($A2044,'Live History'!$D$5:$D$3004,1)),INDEX('AH History'!$E$1:$E$18046,AH!$P$7+2039))),NA()),NA())</ns0:f>
        <ns0:v/>
      </ns0:c>
      <ns0:c r="G2044">
        <ns0:f>IFERROR(IF(ISNUMBER($A2044),IF(AND(AH!$P$10=1,AH!$P$12=1,$A2044=TODAY()),IF(AND(AH!$P$10=1,AH!$P$12=1,$A2044=TODAY()),TODAY(),NA()),IF(AH!$P$10=1,INDEX('Live History'!$G$5:$G$3004,MATCH($A2044,'Live History'!$G$5:$G$3004,1)),INDEX('AH History'!$F$1:$F$18046,AH!$P$7+2039))),NA()),NA())</ns0:f>
        <ns0:v/>
      </ns0:c>
      <ns0:c r="H2044">
        <ns0:f>IFERROR(IF(AND(AH!$E$4="Bloomberg",AH!$P$10=1,ISNUMBER($A2044),$A2044&lt;=AH!$P$17),AH!$P$7-1+MATCH($A2044,INDEX('AH History'!$A$1:$A$18046,AH!$P$7):INDEX('AH History'!$A$1:$A$18046,AH!$P$7+AH!$P$8-1),0),0),0)</ns0:f>
        <ns0:v/>
      </ns0:c>
      <ns0:c r="I2044">
        <ns0:f>IF($H2044=0,0,IFERROR(IF(AND(ABS($C2044-INDEX('AH History'!$B$1:$B$18046,$H2044))&lt;=MAX(0.005,ABS(INDEX('AH History'!$B$1:$B$18046,$H2044))*0.00005),ABS($D2044-INDEX('AH History'!$C$1:$C$18046,$H2044))&lt;=MAX(0.005,ABS(INDEX('AH History'!$C$1:$C$18046,$H2044))*0.00005),ABS($E2044-INDEX('AH History'!$D$1:$D$18046,$H2044))&lt;=0.00005,$F2044=INDEX('AH History'!$E$1:$E$18046,$H2044),$G2044=INDEX('AH History'!$F$1:$F$18046,$H2044)),1,-1),-1))</ns0:f>
        <ns0:v/>
      </ns0:c>
    </ns0:row>
    <ns0:row r="2045">
      <ns0:c r="A2045" s="215">
        <ns0:f>IF(OR(AH!$P$3=0,2040+1&gt;AH!$P$11,AND(AH!$E$4&lt;&gt;"Stored",AH!$P$10&lt;&gt;1)),"",IFERROR(IF(AND(AH!$P$21=1,2040+1=AH!$P$11),TODAY(),IF(AH!$P$10=1,INDEX('Live History'!$A$5:$A$3004,AH!$P$13+2040),INDEX('AH History'!$A$1:$A$18046,AH!$P$7+2040))),""))</ns0:f>
        <ns0:v/>
      </ns0:c>
      <ns0:c r="B2045" s="219">
        <ns0:f>IFERROR(IF(AND(AH!$P$9&lt;&gt;1,$C2045&gt;0,$D2045&gt;0,$E2045&gt;0,$F2045&gt;0,$G2045&gt;0,$F2045&lt;=$A2045,$G2045&lt;=$A2045,$A2045-$F2045&lt;=10,$A2045-$G2045&lt;=5),$D2045*$E2045/$C2045-1,NA()),NA())</ns0:f>
        <ns0:v/>
      </ns0:c>
      <ns0:c r="C2045">
        <ns0:f>IFERROR(IF(ISNUMBER($A2045),IF(AND(AH!$P$10=1,AH!$P$12=1,$A2045=TODAY()),AH!$P$19,IF(AH!$P$10=1,INDEX('Live History'!$B$5:$B$3004,AH!$P$13+2040),INDEX('AH History'!$B$1:$B$18046,AH!$P$7+2040))),NA()),NA())</ns0:f>
        <ns0:v/>
      </ns0:c>
      <ns0:c r="D2045">
        <ns0:f>IFERROR(IF(ISNUMBER($A2045),IF(AND(AH!$P$10=1,AH!$P$12=1,$A2045=TODAY()),AH!$P$18,IF(AH!$P$10=1,INDEX('Live History'!$E$5:$E$3004,MATCH($A2045,'Live History'!$D$5:$D$3004,1)),INDEX('AH History'!$C$1:$C$18046,AH!$P$7+2040))),NA()),NA())</ns0:f>
        <ns0:v/>
      </ns0:c>
      <ns0:c r="E2045">
        <ns0:f>IFERROR(IF(ISNUMBER($A2045),IF(AND(AH!$P$10=1,AH!$P$12=1,$A2045=TODAY()),AH!$P$20,IF(AH!$P$10=1,INDEX('Live History'!$H$5:$H$3004,MATCH($A2045,'Live History'!$G$5:$G$3004,1)),INDEX('AH History'!$D$1:$D$18046,AH!$P$7+2040))),NA()),NA())</ns0:f>
        <ns0:v/>
      </ns0:c>
      <ns0:c r="F2045">
        <ns0:f>IFERROR(IF(ISNUMBER($A2045),IF(AND(AH!$P$10=1,AH!$P$12=1,$A2045=TODAY()),IF(AND(AH!$P$10=1,AH!$P$12=1,$A2045=TODAY()),TODAY(),NA()),IF(AH!$P$10=1,INDEX('Live History'!$D$5:$D$3004,MATCH($A2045,'Live History'!$D$5:$D$3004,1)),INDEX('AH History'!$E$1:$E$18046,AH!$P$7+2040))),NA()),NA())</ns0:f>
        <ns0:v/>
      </ns0:c>
      <ns0:c r="G2045">
        <ns0:f>IFERROR(IF(ISNUMBER($A2045),IF(AND(AH!$P$10=1,AH!$P$12=1,$A2045=TODAY()),IF(AND(AH!$P$10=1,AH!$P$12=1,$A2045=TODAY()),TODAY(),NA()),IF(AH!$P$10=1,INDEX('Live History'!$G$5:$G$3004,MATCH($A2045,'Live History'!$G$5:$G$3004,1)),INDEX('AH History'!$F$1:$F$18046,AH!$P$7+2040))),NA()),NA())</ns0:f>
        <ns0:v/>
      </ns0:c>
      <ns0:c r="H2045">
        <ns0:f>IFERROR(IF(AND(AH!$E$4="Bloomberg",AH!$P$10=1,ISNUMBER($A2045),$A2045&lt;=AH!$P$17),AH!$P$7-1+MATCH($A2045,INDEX('AH History'!$A$1:$A$18046,AH!$P$7):INDEX('AH History'!$A$1:$A$18046,AH!$P$7+AH!$P$8-1),0),0),0)</ns0:f>
        <ns0:v/>
      </ns0:c>
      <ns0:c r="I2045">
        <ns0:f>IF($H2045=0,0,IFERROR(IF(AND(ABS($C2045-INDEX('AH History'!$B$1:$B$18046,$H2045))&lt;=MAX(0.005,ABS(INDEX('AH History'!$B$1:$B$18046,$H2045))*0.00005),ABS($D2045-INDEX('AH History'!$C$1:$C$18046,$H2045))&lt;=MAX(0.005,ABS(INDEX('AH History'!$C$1:$C$18046,$H2045))*0.00005),ABS($E2045-INDEX('AH History'!$D$1:$D$18046,$H2045))&lt;=0.00005,$F2045=INDEX('AH History'!$E$1:$E$18046,$H2045),$G2045=INDEX('AH History'!$F$1:$F$18046,$H2045)),1,-1),-1))</ns0:f>
        <ns0:v/>
      </ns0:c>
    </ns0:row>
    <ns0:row r="2046">
      <ns0:c r="A2046" s="215">
        <ns0:f>IF(OR(AH!$P$3=0,2041+1&gt;AH!$P$11,AND(AH!$E$4&lt;&gt;"Stored",AH!$P$10&lt;&gt;1)),"",IFERROR(IF(AND(AH!$P$21=1,2041+1=AH!$P$11),TODAY(),IF(AH!$P$10=1,INDEX('Live History'!$A$5:$A$3004,AH!$P$13+2041),INDEX('AH History'!$A$1:$A$18046,AH!$P$7+2041))),""))</ns0:f>
        <ns0:v/>
      </ns0:c>
      <ns0:c r="B2046" s="219">
        <ns0:f>IFERROR(IF(AND(AH!$P$9&lt;&gt;1,$C2046&gt;0,$D2046&gt;0,$E2046&gt;0,$F2046&gt;0,$G2046&gt;0,$F2046&lt;=$A2046,$G2046&lt;=$A2046,$A2046-$F2046&lt;=10,$A2046-$G2046&lt;=5),$D2046*$E2046/$C2046-1,NA()),NA())</ns0:f>
        <ns0:v/>
      </ns0:c>
      <ns0:c r="C2046">
        <ns0:f>IFERROR(IF(ISNUMBER($A2046),IF(AND(AH!$P$10=1,AH!$P$12=1,$A2046=TODAY()),AH!$P$19,IF(AH!$P$10=1,INDEX('Live History'!$B$5:$B$3004,AH!$P$13+2041),INDEX('AH History'!$B$1:$B$18046,AH!$P$7+2041))),NA()),NA())</ns0:f>
        <ns0:v/>
      </ns0:c>
      <ns0:c r="D2046">
        <ns0:f>IFERROR(IF(ISNUMBER($A2046),IF(AND(AH!$P$10=1,AH!$P$12=1,$A2046=TODAY()),AH!$P$18,IF(AH!$P$10=1,INDEX('Live History'!$E$5:$E$3004,MATCH($A2046,'Live History'!$D$5:$D$3004,1)),INDEX('AH History'!$C$1:$C$18046,AH!$P$7+2041))),NA()),NA())</ns0:f>
        <ns0:v/>
      </ns0:c>
      <ns0:c r="E2046">
        <ns0:f>IFERROR(IF(ISNUMBER($A2046),IF(AND(AH!$P$10=1,AH!$P$12=1,$A2046=TODAY()),AH!$P$20,IF(AH!$P$10=1,INDEX('Live History'!$H$5:$H$3004,MATCH($A2046,'Live History'!$G$5:$G$3004,1)),INDEX('AH History'!$D$1:$D$18046,AH!$P$7+2041))),NA()),NA())</ns0:f>
        <ns0:v/>
      </ns0:c>
      <ns0:c r="F2046">
        <ns0:f>IFERROR(IF(ISNUMBER($A2046),IF(AND(AH!$P$10=1,AH!$P$12=1,$A2046=TODAY()),IF(AND(AH!$P$10=1,AH!$P$12=1,$A2046=TODAY()),TODAY(),NA()),IF(AH!$P$10=1,INDEX('Live History'!$D$5:$D$3004,MATCH($A2046,'Live History'!$D$5:$D$3004,1)),INDEX('AH History'!$E$1:$E$18046,AH!$P$7+2041))),NA()),NA())</ns0:f>
        <ns0:v/>
      </ns0:c>
      <ns0:c r="G2046">
        <ns0:f>IFERROR(IF(ISNUMBER($A2046),IF(AND(AH!$P$10=1,AH!$P$12=1,$A2046=TODAY()),IF(AND(AH!$P$10=1,AH!$P$12=1,$A2046=TODAY()),TODAY(),NA()),IF(AH!$P$10=1,INDEX('Live History'!$G$5:$G$3004,MATCH($A2046,'Live History'!$G$5:$G$3004,1)),INDEX('AH History'!$F$1:$F$18046,AH!$P$7+2041))),NA()),NA())</ns0:f>
        <ns0:v/>
      </ns0:c>
      <ns0:c r="H2046">
        <ns0:f>IFERROR(IF(AND(AH!$E$4="Bloomberg",AH!$P$10=1,ISNUMBER($A2046),$A2046&lt;=AH!$P$17),AH!$P$7-1+MATCH($A2046,INDEX('AH History'!$A$1:$A$18046,AH!$P$7):INDEX('AH History'!$A$1:$A$18046,AH!$P$7+AH!$P$8-1),0),0),0)</ns0:f>
        <ns0:v/>
      </ns0:c>
      <ns0:c r="I2046">
        <ns0:f>IF($H2046=0,0,IFERROR(IF(AND(ABS($C2046-INDEX('AH History'!$B$1:$B$18046,$H2046))&lt;=MAX(0.005,ABS(INDEX('AH History'!$B$1:$B$18046,$H2046))*0.00005),ABS($D2046-INDEX('AH History'!$C$1:$C$18046,$H2046))&lt;=MAX(0.005,ABS(INDEX('AH History'!$C$1:$C$18046,$H2046))*0.00005),ABS($E2046-INDEX('AH History'!$D$1:$D$18046,$H2046))&lt;=0.00005,$F2046=INDEX('AH History'!$E$1:$E$18046,$H2046),$G2046=INDEX('AH History'!$F$1:$F$18046,$H2046)),1,-1),-1))</ns0:f>
        <ns0:v/>
      </ns0:c>
    </ns0:row>
    <ns0:row r="2047">
      <ns0:c r="A2047" s="215">
        <ns0:f>IF(OR(AH!$P$3=0,2042+1&gt;AH!$P$11,AND(AH!$E$4&lt;&gt;"Stored",AH!$P$10&lt;&gt;1)),"",IFERROR(IF(AND(AH!$P$21=1,2042+1=AH!$P$11),TODAY(),IF(AH!$P$10=1,INDEX('Live History'!$A$5:$A$3004,AH!$P$13+2042),INDEX('AH History'!$A$1:$A$18046,AH!$P$7+2042))),""))</ns0:f>
        <ns0:v/>
      </ns0:c>
      <ns0:c r="B2047" s="219">
        <ns0:f>IFERROR(IF(AND(AH!$P$9&lt;&gt;1,$C2047&gt;0,$D2047&gt;0,$E2047&gt;0,$F2047&gt;0,$G2047&gt;0,$F2047&lt;=$A2047,$G2047&lt;=$A2047,$A2047-$F2047&lt;=10,$A2047-$G2047&lt;=5),$D2047*$E2047/$C2047-1,NA()),NA())</ns0:f>
        <ns0:v/>
      </ns0:c>
      <ns0:c r="C2047">
        <ns0:f>IFERROR(IF(ISNUMBER($A2047),IF(AND(AH!$P$10=1,AH!$P$12=1,$A2047=TODAY()),AH!$P$19,IF(AH!$P$10=1,INDEX('Live History'!$B$5:$B$3004,AH!$P$13+2042),INDEX('AH History'!$B$1:$B$18046,AH!$P$7+2042))),NA()),NA())</ns0:f>
        <ns0:v/>
      </ns0:c>
      <ns0:c r="D2047">
        <ns0:f>IFERROR(IF(ISNUMBER($A2047),IF(AND(AH!$P$10=1,AH!$P$12=1,$A2047=TODAY()),AH!$P$18,IF(AH!$P$10=1,INDEX('Live History'!$E$5:$E$3004,MATCH($A2047,'Live History'!$D$5:$D$3004,1)),INDEX('AH History'!$C$1:$C$18046,AH!$P$7+2042))),NA()),NA())</ns0:f>
        <ns0:v/>
      </ns0:c>
      <ns0:c r="E2047">
        <ns0:f>IFERROR(IF(ISNUMBER($A2047),IF(AND(AH!$P$10=1,AH!$P$12=1,$A2047=TODAY()),AH!$P$20,IF(AH!$P$10=1,INDEX('Live History'!$H$5:$H$3004,MATCH($A2047,'Live History'!$G$5:$G$3004,1)),INDEX('AH History'!$D$1:$D$18046,AH!$P$7+2042))),NA()),NA())</ns0:f>
        <ns0:v/>
      </ns0:c>
      <ns0:c r="F2047">
        <ns0:f>IFERROR(IF(ISNUMBER($A2047),IF(AND(AH!$P$10=1,AH!$P$12=1,$A2047=TODAY()),IF(AND(AH!$P$10=1,AH!$P$12=1,$A2047=TODAY()),TODAY(),NA()),IF(AH!$P$10=1,INDEX('Live History'!$D$5:$D$3004,MATCH($A2047,'Live History'!$D$5:$D$3004,1)),INDEX('AH History'!$E$1:$E$18046,AH!$P$7+2042))),NA()),NA())</ns0:f>
        <ns0:v/>
      </ns0:c>
      <ns0:c r="G2047">
        <ns0:f>IFERROR(IF(ISNUMBER($A2047),IF(AND(AH!$P$10=1,AH!$P$12=1,$A2047=TODAY()),IF(AND(AH!$P$10=1,AH!$P$12=1,$A2047=TODAY()),TODAY(),NA()),IF(AH!$P$10=1,INDEX('Live History'!$G$5:$G$3004,MATCH($A2047,'Live History'!$G$5:$G$3004,1)),INDEX('AH History'!$F$1:$F$18046,AH!$P$7+2042))),NA()),NA())</ns0:f>
        <ns0:v/>
      </ns0:c>
      <ns0:c r="H2047">
        <ns0:f>IFERROR(IF(AND(AH!$E$4="Bloomberg",AH!$P$10=1,ISNUMBER($A2047),$A2047&lt;=AH!$P$17),AH!$P$7-1+MATCH($A2047,INDEX('AH History'!$A$1:$A$18046,AH!$P$7):INDEX('AH History'!$A$1:$A$18046,AH!$P$7+AH!$P$8-1),0),0),0)</ns0:f>
        <ns0:v/>
      </ns0:c>
      <ns0:c r="I2047">
        <ns0:f>IF($H2047=0,0,IFERROR(IF(AND(ABS($C2047-INDEX('AH History'!$B$1:$B$18046,$H2047))&lt;=MAX(0.005,ABS(INDEX('AH History'!$B$1:$B$18046,$H2047))*0.00005),ABS($D2047-INDEX('AH History'!$C$1:$C$18046,$H2047))&lt;=MAX(0.005,ABS(INDEX('AH History'!$C$1:$C$18046,$H2047))*0.00005),ABS($E2047-INDEX('AH History'!$D$1:$D$18046,$H2047))&lt;=0.00005,$F2047=INDEX('AH History'!$E$1:$E$18046,$H2047),$G2047=INDEX('AH History'!$F$1:$F$18046,$H2047)),1,-1),-1))</ns0:f>
        <ns0:v/>
      </ns0:c>
    </ns0:row>
    <ns0:row r="2048">
      <ns0:c r="A2048" s="215">
        <ns0:f>IF(OR(AH!$P$3=0,2043+1&gt;AH!$P$11,AND(AH!$E$4&lt;&gt;"Stored",AH!$P$10&lt;&gt;1)),"",IFERROR(IF(AND(AH!$P$21=1,2043+1=AH!$P$11),TODAY(),IF(AH!$P$10=1,INDEX('Live History'!$A$5:$A$3004,AH!$P$13+2043),INDEX('AH History'!$A$1:$A$18046,AH!$P$7+2043))),""))</ns0:f>
        <ns0:v/>
      </ns0:c>
      <ns0:c r="B2048" s="219">
        <ns0:f>IFERROR(IF(AND(AH!$P$9&lt;&gt;1,$C2048&gt;0,$D2048&gt;0,$E2048&gt;0,$F2048&gt;0,$G2048&gt;0,$F2048&lt;=$A2048,$G2048&lt;=$A2048,$A2048-$F2048&lt;=10,$A2048-$G2048&lt;=5),$D2048*$E2048/$C2048-1,NA()),NA())</ns0:f>
        <ns0:v/>
      </ns0:c>
      <ns0:c r="C2048">
        <ns0:f>IFERROR(IF(ISNUMBER($A2048),IF(AND(AH!$P$10=1,AH!$P$12=1,$A2048=TODAY()),AH!$P$19,IF(AH!$P$10=1,INDEX('Live History'!$B$5:$B$3004,AH!$P$13+2043),INDEX('AH History'!$B$1:$B$18046,AH!$P$7+2043))),NA()),NA())</ns0:f>
        <ns0:v/>
      </ns0:c>
      <ns0:c r="D2048">
        <ns0:f>IFERROR(IF(ISNUMBER($A2048),IF(AND(AH!$P$10=1,AH!$P$12=1,$A2048=TODAY()),AH!$P$18,IF(AH!$P$10=1,INDEX('Live History'!$E$5:$E$3004,MATCH($A2048,'Live History'!$D$5:$D$3004,1)),INDEX('AH History'!$C$1:$C$18046,AH!$P$7+2043))),NA()),NA())</ns0:f>
        <ns0:v/>
      </ns0:c>
      <ns0:c r="E2048">
        <ns0:f>IFERROR(IF(ISNUMBER($A2048),IF(AND(AH!$P$10=1,AH!$P$12=1,$A2048=TODAY()),AH!$P$20,IF(AH!$P$10=1,INDEX('Live History'!$H$5:$H$3004,MATCH($A2048,'Live History'!$G$5:$G$3004,1)),INDEX('AH History'!$D$1:$D$18046,AH!$P$7+2043))),NA()),NA())</ns0:f>
        <ns0:v/>
      </ns0:c>
      <ns0:c r="F2048">
        <ns0:f>IFERROR(IF(ISNUMBER($A2048),IF(AND(AH!$P$10=1,AH!$P$12=1,$A2048=TODAY()),IF(AND(AH!$P$10=1,AH!$P$12=1,$A2048=TODAY()),TODAY(),NA()),IF(AH!$P$10=1,INDEX('Live History'!$D$5:$D$3004,MATCH($A2048,'Live History'!$D$5:$D$3004,1)),INDEX('AH History'!$E$1:$E$18046,AH!$P$7+2043))),NA()),NA())</ns0:f>
        <ns0:v/>
      </ns0:c>
      <ns0:c r="G2048">
        <ns0:f>IFERROR(IF(ISNUMBER($A2048),IF(AND(AH!$P$10=1,AH!$P$12=1,$A2048=TODAY()),IF(AND(AH!$P$10=1,AH!$P$12=1,$A2048=TODAY()),TODAY(),NA()),IF(AH!$P$10=1,INDEX('Live History'!$G$5:$G$3004,MATCH($A2048,'Live History'!$G$5:$G$3004,1)),INDEX('AH History'!$F$1:$F$18046,AH!$P$7+2043))),NA()),NA())</ns0:f>
        <ns0:v/>
      </ns0:c>
      <ns0:c r="H2048">
        <ns0:f>IFERROR(IF(AND(AH!$E$4="Bloomberg",AH!$P$10=1,ISNUMBER($A2048),$A2048&lt;=AH!$P$17),AH!$P$7-1+MATCH($A2048,INDEX('AH History'!$A$1:$A$18046,AH!$P$7):INDEX('AH History'!$A$1:$A$18046,AH!$P$7+AH!$P$8-1),0),0),0)</ns0:f>
        <ns0:v/>
      </ns0:c>
      <ns0:c r="I2048">
        <ns0:f>IF($H2048=0,0,IFERROR(IF(AND(ABS($C2048-INDEX('AH History'!$B$1:$B$18046,$H2048))&lt;=MAX(0.005,ABS(INDEX('AH History'!$B$1:$B$18046,$H2048))*0.00005),ABS($D2048-INDEX('AH History'!$C$1:$C$18046,$H2048))&lt;=MAX(0.005,ABS(INDEX('AH History'!$C$1:$C$18046,$H2048))*0.00005),ABS($E2048-INDEX('AH History'!$D$1:$D$18046,$H2048))&lt;=0.00005,$F2048=INDEX('AH History'!$E$1:$E$18046,$H2048),$G2048=INDEX('AH History'!$F$1:$F$18046,$H2048)),1,-1),-1))</ns0:f>
        <ns0:v/>
      </ns0:c>
    </ns0:row>
    <ns0:row r="2049">
      <ns0:c r="A2049" s="215">
        <ns0:f>IF(OR(AH!$P$3=0,2044+1&gt;AH!$P$11,AND(AH!$E$4&lt;&gt;"Stored",AH!$P$10&lt;&gt;1)),"",IFERROR(IF(AND(AH!$P$21=1,2044+1=AH!$P$11),TODAY(),IF(AH!$P$10=1,INDEX('Live History'!$A$5:$A$3004,AH!$P$13+2044),INDEX('AH History'!$A$1:$A$18046,AH!$P$7+2044))),""))</ns0:f>
        <ns0:v/>
      </ns0:c>
      <ns0:c r="B2049" s="219">
        <ns0:f>IFERROR(IF(AND(AH!$P$9&lt;&gt;1,$C2049&gt;0,$D2049&gt;0,$E2049&gt;0,$F2049&gt;0,$G2049&gt;0,$F2049&lt;=$A2049,$G2049&lt;=$A2049,$A2049-$F2049&lt;=10,$A2049-$G2049&lt;=5),$D2049*$E2049/$C2049-1,NA()),NA())</ns0:f>
        <ns0:v/>
      </ns0:c>
      <ns0:c r="C2049">
        <ns0:f>IFERROR(IF(ISNUMBER($A2049),IF(AND(AH!$P$10=1,AH!$P$12=1,$A2049=TODAY()),AH!$P$19,IF(AH!$P$10=1,INDEX('Live History'!$B$5:$B$3004,AH!$P$13+2044),INDEX('AH History'!$B$1:$B$18046,AH!$P$7+2044))),NA()),NA())</ns0:f>
        <ns0:v/>
      </ns0:c>
      <ns0:c r="D2049">
        <ns0:f>IFERROR(IF(ISNUMBER($A2049),IF(AND(AH!$P$10=1,AH!$P$12=1,$A2049=TODAY()),AH!$P$18,IF(AH!$P$10=1,INDEX('Live History'!$E$5:$E$3004,MATCH($A2049,'Live History'!$D$5:$D$3004,1)),INDEX('AH History'!$C$1:$C$18046,AH!$P$7+2044))),NA()),NA())</ns0:f>
        <ns0:v/>
      </ns0:c>
      <ns0:c r="E2049">
        <ns0:f>IFERROR(IF(ISNUMBER($A2049),IF(AND(AH!$P$10=1,AH!$P$12=1,$A2049=TODAY()),AH!$P$20,IF(AH!$P$10=1,INDEX('Live History'!$H$5:$H$3004,MATCH($A2049,'Live History'!$G$5:$G$3004,1)),INDEX('AH History'!$D$1:$D$18046,AH!$P$7+2044))),NA()),NA())</ns0:f>
        <ns0:v/>
      </ns0:c>
      <ns0:c r="F2049">
        <ns0:f>IFERROR(IF(ISNUMBER($A2049),IF(AND(AH!$P$10=1,AH!$P$12=1,$A2049=TODAY()),IF(AND(AH!$P$10=1,AH!$P$12=1,$A2049=TODAY()),TODAY(),NA()),IF(AH!$P$10=1,INDEX('Live History'!$D$5:$D$3004,MATCH($A2049,'Live History'!$D$5:$D$3004,1)),INDEX('AH History'!$E$1:$E$18046,AH!$P$7+2044))),NA()),NA())</ns0:f>
        <ns0:v/>
      </ns0:c>
      <ns0:c r="G2049">
        <ns0:f>IFERROR(IF(ISNUMBER($A2049),IF(AND(AH!$P$10=1,AH!$P$12=1,$A2049=TODAY()),IF(AND(AH!$P$10=1,AH!$P$12=1,$A2049=TODAY()),TODAY(),NA()),IF(AH!$P$10=1,INDEX('Live History'!$G$5:$G$3004,MATCH($A2049,'Live History'!$G$5:$G$3004,1)),INDEX('AH History'!$F$1:$F$18046,AH!$P$7+2044))),NA()),NA())</ns0:f>
        <ns0:v/>
      </ns0:c>
      <ns0:c r="H2049">
        <ns0:f>IFERROR(IF(AND(AH!$E$4="Bloomberg",AH!$P$10=1,ISNUMBER($A2049),$A2049&lt;=AH!$P$17),AH!$P$7-1+MATCH($A2049,INDEX('AH History'!$A$1:$A$18046,AH!$P$7):INDEX('AH History'!$A$1:$A$18046,AH!$P$7+AH!$P$8-1),0),0),0)</ns0:f>
        <ns0:v/>
      </ns0:c>
      <ns0:c r="I2049">
        <ns0:f>IF($H2049=0,0,IFERROR(IF(AND(ABS($C2049-INDEX('AH History'!$B$1:$B$18046,$H2049))&lt;=MAX(0.005,ABS(INDEX('AH History'!$B$1:$B$18046,$H2049))*0.00005),ABS($D2049-INDEX('AH History'!$C$1:$C$18046,$H2049))&lt;=MAX(0.005,ABS(INDEX('AH History'!$C$1:$C$18046,$H2049))*0.00005),ABS($E2049-INDEX('AH History'!$D$1:$D$18046,$H2049))&lt;=0.00005,$F2049=INDEX('AH History'!$E$1:$E$18046,$H2049),$G2049=INDEX('AH History'!$F$1:$F$18046,$H2049)),1,-1),-1))</ns0:f>
        <ns0:v/>
      </ns0:c>
    </ns0:row>
    <ns0:row r="2050">
      <ns0:c r="A2050" s="215">
        <ns0:f>IF(OR(AH!$P$3=0,2045+1&gt;AH!$P$11,AND(AH!$E$4&lt;&gt;"Stored",AH!$P$10&lt;&gt;1)),"",IFERROR(IF(AND(AH!$P$21=1,2045+1=AH!$P$11),TODAY(),IF(AH!$P$10=1,INDEX('Live History'!$A$5:$A$3004,AH!$P$13+2045),INDEX('AH History'!$A$1:$A$18046,AH!$P$7+2045))),""))</ns0:f>
        <ns0:v/>
      </ns0:c>
      <ns0:c r="B2050" s="219">
        <ns0:f>IFERROR(IF(AND(AH!$P$9&lt;&gt;1,$C2050&gt;0,$D2050&gt;0,$E2050&gt;0,$F2050&gt;0,$G2050&gt;0,$F2050&lt;=$A2050,$G2050&lt;=$A2050,$A2050-$F2050&lt;=10,$A2050-$G2050&lt;=5),$D2050*$E2050/$C2050-1,NA()),NA())</ns0:f>
        <ns0:v/>
      </ns0:c>
      <ns0:c r="C2050">
        <ns0:f>IFERROR(IF(ISNUMBER($A2050),IF(AND(AH!$P$10=1,AH!$P$12=1,$A2050=TODAY()),AH!$P$19,IF(AH!$P$10=1,INDEX('Live History'!$B$5:$B$3004,AH!$P$13+2045),INDEX('AH History'!$B$1:$B$18046,AH!$P$7+2045))),NA()),NA())</ns0:f>
        <ns0:v/>
      </ns0:c>
      <ns0:c r="D2050">
        <ns0:f>IFERROR(IF(ISNUMBER($A2050),IF(AND(AH!$P$10=1,AH!$P$12=1,$A2050=TODAY()),AH!$P$18,IF(AH!$P$10=1,INDEX('Live History'!$E$5:$E$3004,MATCH($A2050,'Live History'!$D$5:$D$3004,1)),INDEX('AH History'!$C$1:$C$18046,AH!$P$7+2045))),NA()),NA())</ns0:f>
        <ns0:v/>
      </ns0:c>
      <ns0:c r="E2050">
        <ns0:f>IFERROR(IF(ISNUMBER($A2050),IF(AND(AH!$P$10=1,AH!$P$12=1,$A2050=TODAY()),AH!$P$20,IF(AH!$P$10=1,INDEX('Live History'!$H$5:$H$3004,MATCH($A2050,'Live History'!$G$5:$G$3004,1)),INDEX('AH History'!$D$1:$D$18046,AH!$P$7+2045))),NA()),NA())</ns0:f>
        <ns0:v/>
      </ns0:c>
      <ns0:c r="F2050">
        <ns0:f>IFERROR(IF(ISNUMBER($A2050),IF(AND(AH!$P$10=1,AH!$P$12=1,$A2050=TODAY()),IF(AND(AH!$P$10=1,AH!$P$12=1,$A2050=TODAY()),TODAY(),NA()),IF(AH!$P$10=1,INDEX('Live History'!$D$5:$D$3004,MATCH($A2050,'Live History'!$D$5:$D$3004,1)),INDEX('AH History'!$E$1:$E$18046,AH!$P$7+2045))),NA()),NA())</ns0:f>
        <ns0:v/>
      </ns0:c>
      <ns0:c r="G2050">
        <ns0:f>IFERROR(IF(ISNUMBER($A2050),IF(AND(AH!$P$10=1,AH!$P$12=1,$A2050=TODAY()),IF(AND(AH!$P$10=1,AH!$P$12=1,$A2050=TODAY()),TODAY(),NA()),IF(AH!$P$10=1,INDEX('Live History'!$G$5:$G$3004,MATCH($A2050,'Live History'!$G$5:$G$3004,1)),INDEX('AH History'!$F$1:$F$18046,AH!$P$7+2045))),NA()),NA())</ns0:f>
        <ns0:v/>
      </ns0:c>
      <ns0:c r="H2050">
        <ns0:f>IFERROR(IF(AND(AH!$E$4="Bloomberg",AH!$P$10=1,ISNUMBER($A2050),$A2050&lt;=AH!$P$17),AH!$P$7-1+MATCH($A2050,INDEX('AH History'!$A$1:$A$18046,AH!$P$7):INDEX('AH History'!$A$1:$A$18046,AH!$P$7+AH!$P$8-1),0),0),0)</ns0:f>
        <ns0:v/>
      </ns0:c>
      <ns0:c r="I2050">
        <ns0:f>IF($H2050=0,0,IFERROR(IF(AND(ABS($C2050-INDEX('AH History'!$B$1:$B$18046,$H2050))&lt;=MAX(0.005,ABS(INDEX('AH History'!$B$1:$B$18046,$H2050))*0.00005),ABS($D2050-INDEX('AH History'!$C$1:$C$18046,$H2050))&lt;=MAX(0.005,ABS(INDEX('AH History'!$C$1:$C$18046,$H2050))*0.00005),ABS($E2050-INDEX('AH History'!$D$1:$D$18046,$H2050))&lt;=0.00005,$F2050=INDEX('AH History'!$E$1:$E$18046,$H2050),$G2050=INDEX('AH History'!$F$1:$F$18046,$H2050)),1,-1),-1))</ns0:f>
        <ns0:v/>
      </ns0:c>
    </ns0:row>
    <ns0:row r="2051">
      <ns0:c r="A2051" s="215">
        <ns0:f>IF(OR(AH!$P$3=0,2046+1&gt;AH!$P$11,AND(AH!$E$4&lt;&gt;"Stored",AH!$P$10&lt;&gt;1)),"",IFERROR(IF(AND(AH!$P$21=1,2046+1=AH!$P$11),TODAY(),IF(AH!$P$10=1,INDEX('Live History'!$A$5:$A$3004,AH!$P$13+2046),INDEX('AH History'!$A$1:$A$18046,AH!$P$7+2046))),""))</ns0:f>
        <ns0:v/>
      </ns0:c>
      <ns0:c r="B2051" s="219">
        <ns0:f>IFERROR(IF(AND(AH!$P$9&lt;&gt;1,$C2051&gt;0,$D2051&gt;0,$E2051&gt;0,$F2051&gt;0,$G2051&gt;0,$F2051&lt;=$A2051,$G2051&lt;=$A2051,$A2051-$F2051&lt;=10,$A2051-$G2051&lt;=5),$D2051*$E2051/$C2051-1,NA()),NA())</ns0:f>
        <ns0:v/>
      </ns0:c>
      <ns0:c r="C2051">
        <ns0:f>IFERROR(IF(ISNUMBER($A2051),IF(AND(AH!$P$10=1,AH!$P$12=1,$A2051=TODAY()),AH!$P$19,IF(AH!$P$10=1,INDEX('Live History'!$B$5:$B$3004,AH!$P$13+2046),INDEX('AH History'!$B$1:$B$18046,AH!$P$7+2046))),NA()),NA())</ns0:f>
        <ns0:v/>
      </ns0:c>
      <ns0:c r="D2051">
        <ns0:f>IFERROR(IF(ISNUMBER($A2051),IF(AND(AH!$P$10=1,AH!$P$12=1,$A2051=TODAY()),AH!$P$18,IF(AH!$P$10=1,INDEX('Live History'!$E$5:$E$3004,MATCH($A2051,'Live History'!$D$5:$D$3004,1)),INDEX('AH History'!$C$1:$C$18046,AH!$P$7+2046))),NA()),NA())</ns0:f>
        <ns0:v/>
      </ns0:c>
      <ns0:c r="E2051">
        <ns0:f>IFERROR(IF(ISNUMBER($A2051),IF(AND(AH!$P$10=1,AH!$P$12=1,$A2051=TODAY()),AH!$P$20,IF(AH!$P$10=1,INDEX('Live History'!$H$5:$H$3004,MATCH($A2051,'Live History'!$G$5:$G$3004,1)),INDEX('AH History'!$D$1:$D$18046,AH!$P$7+2046))),NA()),NA())</ns0:f>
        <ns0:v/>
      </ns0:c>
      <ns0:c r="F2051">
        <ns0:f>IFERROR(IF(ISNUMBER($A2051),IF(AND(AH!$P$10=1,AH!$P$12=1,$A2051=TODAY()),IF(AND(AH!$P$10=1,AH!$P$12=1,$A2051=TODAY()),TODAY(),NA()),IF(AH!$P$10=1,INDEX('Live History'!$D$5:$D$3004,MATCH($A2051,'Live History'!$D$5:$D$3004,1)),INDEX('AH History'!$E$1:$E$18046,AH!$P$7+2046))),NA()),NA())</ns0:f>
        <ns0:v/>
      </ns0:c>
      <ns0:c r="G2051">
        <ns0:f>IFERROR(IF(ISNUMBER($A2051),IF(AND(AH!$P$10=1,AH!$P$12=1,$A2051=TODAY()),IF(AND(AH!$P$10=1,AH!$P$12=1,$A2051=TODAY()),TODAY(),NA()),IF(AH!$P$10=1,INDEX('Live History'!$G$5:$G$3004,MATCH($A2051,'Live History'!$G$5:$G$3004,1)),INDEX('AH History'!$F$1:$F$18046,AH!$P$7+2046))),NA()),NA())</ns0:f>
        <ns0:v/>
      </ns0:c>
      <ns0:c r="H2051">
        <ns0:f>IFERROR(IF(AND(AH!$E$4="Bloomberg",AH!$P$10=1,ISNUMBER($A2051),$A2051&lt;=AH!$P$17),AH!$P$7-1+MATCH($A2051,INDEX('AH History'!$A$1:$A$18046,AH!$P$7):INDEX('AH History'!$A$1:$A$18046,AH!$P$7+AH!$P$8-1),0),0),0)</ns0:f>
        <ns0:v/>
      </ns0:c>
      <ns0:c r="I2051">
        <ns0:f>IF($H2051=0,0,IFERROR(IF(AND(ABS($C2051-INDEX('AH History'!$B$1:$B$18046,$H2051))&lt;=MAX(0.005,ABS(INDEX('AH History'!$B$1:$B$18046,$H2051))*0.00005),ABS($D2051-INDEX('AH History'!$C$1:$C$18046,$H2051))&lt;=MAX(0.005,ABS(INDEX('AH History'!$C$1:$C$18046,$H2051))*0.00005),ABS($E2051-INDEX('AH History'!$D$1:$D$18046,$H2051))&lt;=0.00005,$F2051=INDEX('AH History'!$E$1:$E$18046,$H2051),$G2051=INDEX('AH History'!$F$1:$F$18046,$H2051)),1,-1),-1))</ns0:f>
        <ns0:v/>
      </ns0:c>
    </ns0:row>
    <ns0:row r="2052">
      <ns0:c r="A2052" s="215">
        <ns0:f>IF(OR(AH!$P$3=0,2047+1&gt;AH!$P$11,AND(AH!$E$4&lt;&gt;"Stored",AH!$P$10&lt;&gt;1)),"",IFERROR(IF(AND(AH!$P$21=1,2047+1=AH!$P$11),TODAY(),IF(AH!$P$10=1,INDEX('Live History'!$A$5:$A$3004,AH!$P$13+2047),INDEX('AH History'!$A$1:$A$18046,AH!$P$7+2047))),""))</ns0:f>
        <ns0:v/>
      </ns0:c>
      <ns0:c r="B2052" s="219">
        <ns0:f>IFERROR(IF(AND(AH!$P$9&lt;&gt;1,$C2052&gt;0,$D2052&gt;0,$E2052&gt;0,$F2052&gt;0,$G2052&gt;0,$F2052&lt;=$A2052,$G2052&lt;=$A2052,$A2052-$F2052&lt;=10,$A2052-$G2052&lt;=5),$D2052*$E2052/$C2052-1,NA()),NA())</ns0:f>
        <ns0:v/>
      </ns0:c>
      <ns0:c r="C2052">
        <ns0:f>IFERROR(IF(ISNUMBER($A2052),IF(AND(AH!$P$10=1,AH!$P$12=1,$A2052=TODAY()),AH!$P$19,IF(AH!$P$10=1,INDEX('Live History'!$B$5:$B$3004,AH!$P$13+2047),INDEX('AH History'!$B$1:$B$18046,AH!$P$7+2047))),NA()),NA())</ns0:f>
        <ns0:v/>
      </ns0:c>
      <ns0:c r="D2052">
        <ns0:f>IFERROR(IF(ISNUMBER($A2052),IF(AND(AH!$P$10=1,AH!$P$12=1,$A2052=TODAY()),AH!$P$18,IF(AH!$P$10=1,INDEX('Live History'!$E$5:$E$3004,MATCH($A2052,'Live History'!$D$5:$D$3004,1)),INDEX('AH History'!$C$1:$C$18046,AH!$P$7+2047))),NA()),NA())</ns0:f>
        <ns0:v/>
      </ns0:c>
      <ns0:c r="E2052">
        <ns0:f>IFERROR(IF(ISNUMBER($A2052),IF(AND(AH!$P$10=1,AH!$P$12=1,$A2052=TODAY()),AH!$P$20,IF(AH!$P$10=1,INDEX('Live History'!$H$5:$H$3004,MATCH($A2052,'Live History'!$G$5:$G$3004,1)),INDEX('AH History'!$D$1:$D$18046,AH!$P$7+2047))),NA()),NA())</ns0:f>
        <ns0:v/>
      </ns0:c>
      <ns0:c r="F2052">
        <ns0:f>IFERROR(IF(ISNUMBER($A2052),IF(AND(AH!$P$10=1,AH!$P$12=1,$A2052=TODAY()),IF(AND(AH!$P$10=1,AH!$P$12=1,$A2052=TODAY()),TODAY(),NA()),IF(AH!$P$10=1,INDEX('Live History'!$D$5:$D$3004,MATCH($A2052,'Live History'!$D$5:$D$3004,1)),INDEX('AH History'!$E$1:$E$18046,AH!$P$7+2047))),NA()),NA())</ns0:f>
        <ns0:v/>
      </ns0:c>
      <ns0:c r="G2052">
        <ns0:f>IFERROR(IF(ISNUMBER($A2052),IF(AND(AH!$P$10=1,AH!$P$12=1,$A2052=TODAY()),IF(AND(AH!$P$10=1,AH!$P$12=1,$A2052=TODAY()),TODAY(),NA()),IF(AH!$P$10=1,INDEX('Live History'!$G$5:$G$3004,MATCH($A2052,'Live History'!$G$5:$G$3004,1)),INDEX('AH History'!$F$1:$F$18046,AH!$P$7+2047))),NA()),NA())</ns0:f>
        <ns0:v/>
      </ns0:c>
      <ns0:c r="H2052">
        <ns0:f>IFERROR(IF(AND(AH!$E$4="Bloomberg",AH!$P$10=1,ISNUMBER($A2052),$A2052&lt;=AH!$P$17),AH!$P$7-1+MATCH($A2052,INDEX('AH History'!$A$1:$A$18046,AH!$P$7):INDEX('AH History'!$A$1:$A$18046,AH!$P$7+AH!$P$8-1),0),0),0)</ns0:f>
        <ns0:v/>
      </ns0:c>
      <ns0:c r="I2052">
        <ns0:f>IF($H2052=0,0,IFERROR(IF(AND(ABS($C2052-INDEX('AH History'!$B$1:$B$18046,$H2052))&lt;=MAX(0.005,ABS(INDEX('AH History'!$B$1:$B$18046,$H2052))*0.00005),ABS($D2052-INDEX('AH History'!$C$1:$C$18046,$H2052))&lt;=MAX(0.005,ABS(INDEX('AH History'!$C$1:$C$18046,$H2052))*0.00005),ABS($E2052-INDEX('AH History'!$D$1:$D$18046,$H2052))&lt;=0.00005,$F2052=INDEX('AH History'!$E$1:$E$18046,$H2052),$G2052=INDEX('AH History'!$F$1:$F$18046,$H2052)),1,-1),-1))</ns0:f>
        <ns0:v/>
      </ns0:c>
    </ns0:row>
    <ns0:row r="2053">
      <ns0:c r="A2053" s="215">
        <ns0:f>IF(OR(AH!$P$3=0,2048+1&gt;AH!$P$11,AND(AH!$E$4&lt;&gt;"Stored",AH!$P$10&lt;&gt;1)),"",IFERROR(IF(AND(AH!$P$21=1,2048+1=AH!$P$11),TODAY(),IF(AH!$P$10=1,INDEX('Live History'!$A$5:$A$3004,AH!$P$13+2048),INDEX('AH History'!$A$1:$A$18046,AH!$P$7+2048))),""))</ns0:f>
        <ns0:v/>
      </ns0:c>
      <ns0:c r="B2053" s="219">
        <ns0:f>IFERROR(IF(AND(AH!$P$9&lt;&gt;1,$C2053&gt;0,$D2053&gt;0,$E2053&gt;0,$F2053&gt;0,$G2053&gt;0,$F2053&lt;=$A2053,$G2053&lt;=$A2053,$A2053-$F2053&lt;=10,$A2053-$G2053&lt;=5),$D2053*$E2053/$C2053-1,NA()),NA())</ns0:f>
        <ns0:v/>
      </ns0:c>
      <ns0:c r="C2053">
        <ns0:f>IFERROR(IF(ISNUMBER($A2053),IF(AND(AH!$P$10=1,AH!$P$12=1,$A2053=TODAY()),AH!$P$19,IF(AH!$P$10=1,INDEX('Live History'!$B$5:$B$3004,AH!$P$13+2048),INDEX('AH History'!$B$1:$B$18046,AH!$P$7+2048))),NA()),NA())</ns0:f>
        <ns0:v/>
      </ns0:c>
      <ns0:c r="D2053">
        <ns0:f>IFERROR(IF(ISNUMBER($A2053),IF(AND(AH!$P$10=1,AH!$P$12=1,$A2053=TODAY()),AH!$P$18,IF(AH!$P$10=1,INDEX('Live History'!$E$5:$E$3004,MATCH($A2053,'Live History'!$D$5:$D$3004,1)),INDEX('AH History'!$C$1:$C$18046,AH!$P$7+2048))),NA()),NA())</ns0:f>
        <ns0:v/>
      </ns0:c>
      <ns0:c r="E2053">
        <ns0:f>IFERROR(IF(ISNUMBER($A2053),IF(AND(AH!$P$10=1,AH!$P$12=1,$A2053=TODAY()),AH!$P$20,IF(AH!$P$10=1,INDEX('Live History'!$H$5:$H$3004,MATCH($A2053,'Live History'!$G$5:$G$3004,1)),INDEX('AH History'!$D$1:$D$18046,AH!$P$7+2048))),NA()),NA())</ns0:f>
        <ns0:v/>
      </ns0:c>
      <ns0:c r="F2053">
        <ns0:f>IFERROR(IF(ISNUMBER($A2053),IF(AND(AH!$P$10=1,AH!$P$12=1,$A2053=TODAY()),IF(AND(AH!$P$10=1,AH!$P$12=1,$A2053=TODAY()),TODAY(),NA()),IF(AH!$P$10=1,INDEX('Live History'!$D$5:$D$3004,MATCH($A2053,'Live History'!$D$5:$D$3004,1)),INDEX('AH History'!$E$1:$E$18046,AH!$P$7+2048))),NA()),NA())</ns0:f>
        <ns0:v/>
      </ns0:c>
      <ns0:c r="G2053">
        <ns0:f>IFERROR(IF(ISNUMBER($A2053),IF(AND(AH!$P$10=1,AH!$P$12=1,$A2053=TODAY()),IF(AND(AH!$P$10=1,AH!$P$12=1,$A2053=TODAY()),TODAY(),NA()),IF(AH!$P$10=1,INDEX('Live History'!$G$5:$G$3004,MATCH($A2053,'Live History'!$G$5:$G$3004,1)),INDEX('AH History'!$F$1:$F$18046,AH!$P$7+2048))),NA()),NA())</ns0:f>
        <ns0:v/>
      </ns0:c>
      <ns0:c r="H2053">
        <ns0:f>IFERROR(IF(AND(AH!$E$4="Bloomberg",AH!$P$10=1,ISNUMBER($A2053),$A2053&lt;=AH!$P$17),AH!$P$7-1+MATCH($A2053,INDEX('AH History'!$A$1:$A$18046,AH!$P$7):INDEX('AH History'!$A$1:$A$18046,AH!$P$7+AH!$P$8-1),0),0),0)</ns0:f>
        <ns0:v/>
      </ns0:c>
      <ns0:c r="I2053">
        <ns0:f>IF($H2053=0,0,IFERROR(IF(AND(ABS($C2053-INDEX('AH History'!$B$1:$B$18046,$H2053))&lt;=MAX(0.005,ABS(INDEX('AH History'!$B$1:$B$18046,$H2053))*0.00005),ABS($D2053-INDEX('AH History'!$C$1:$C$18046,$H2053))&lt;=MAX(0.005,ABS(INDEX('AH History'!$C$1:$C$18046,$H2053))*0.00005),ABS($E2053-INDEX('AH History'!$D$1:$D$18046,$H2053))&lt;=0.00005,$F2053=INDEX('AH History'!$E$1:$E$18046,$H2053),$G2053=INDEX('AH History'!$F$1:$F$18046,$H2053)),1,-1),-1))</ns0:f>
        <ns0:v/>
      </ns0:c>
    </ns0:row>
    <ns0:row r="2054">
      <ns0:c r="A2054" s="215">
        <ns0:f>IF(OR(AH!$P$3=0,2049+1&gt;AH!$P$11,AND(AH!$E$4&lt;&gt;"Stored",AH!$P$10&lt;&gt;1)),"",IFERROR(IF(AND(AH!$P$21=1,2049+1=AH!$P$11),TODAY(),IF(AH!$P$10=1,INDEX('Live History'!$A$5:$A$3004,AH!$P$13+2049),INDEX('AH History'!$A$1:$A$18046,AH!$P$7+2049))),""))</ns0:f>
        <ns0:v/>
      </ns0:c>
      <ns0:c r="B2054" s="219">
        <ns0:f>IFERROR(IF(AND(AH!$P$9&lt;&gt;1,$C2054&gt;0,$D2054&gt;0,$E2054&gt;0,$F2054&gt;0,$G2054&gt;0,$F2054&lt;=$A2054,$G2054&lt;=$A2054,$A2054-$F2054&lt;=10,$A2054-$G2054&lt;=5),$D2054*$E2054/$C2054-1,NA()),NA())</ns0:f>
        <ns0:v/>
      </ns0:c>
      <ns0:c r="C2054">
        <ns0:f>IFERROR(IF(ISNUMBER($A2054),IF(AND(AH!$P$10=1,AH!$P$12=1,$A2054=TODAY()),AH!$P$19,IF(AH!$P$10=1,INDEX('Live History'!$B$5:$B$3004,AH!$P$13+2049),INDEX('AH History'!$B$1:$B$18046,AH!$P$7+2049))),NA()),NA())</ns0:f>
        <ns0:v/>
      </ns0:c>
      <ns0:c r="D2054">
        <ns0:f>IFERROR(IF(ISNUMBER($A2054),IF(AND(AH!$P$10=1,AH!$P$12=1,$A2054=TODAY()),AH!$P$18,IF(AH!$P$10=1,INDEX('Live History'!$E$5:$E$3004,MATCH($A2054,'Live History'!$D$5:$D$3004,1)),INDEX('AH History'!$C$1:$C$18046,AH!$P$7+2049))),NA()),NA())</ns0:f>
        <ns0:v/>
      </ns0:c>
      <ns0:c r="E2054">
        <ns0:f>IFERROR(IF(ISNUMBER($A2054),IF(AND(AH!$P$10=1,AH!$P$12=1,$A2054=TODAY()),AH!$P$20,IF(AH!$P$10=1,INDEX('Live History'!$H$5:$H$3004,MATCH($A2054,'Live History'!$G$5:$G$3004,1)),INDEX('AH History'!$D$1:$D$18046,AH!$P$7+2049))),NA()),NA())</ns0:f>
        <ns0:v/>
      </ns0:c>
      <ns0:c r="F2054">
        <ns0:f>IFERROR(IF(ISNUMBER($A2054),IF(AND(AH!$P$10=1,AH!$P$12=1,$A2054=TODAY()),IF(AND(AH!$P$10=1,AH!$P$12=1,$A2054=TODAY()),TODAY(),NA()),IF(AH!$P$10=1,INDEX('Live History'!$D$5:$D$3004,MATCH($A2054,'Live History'!$D$5:$D$3004,1)),INDEX('AH History'!$E$1:$E$18046,AH!$P$7+2049))),NA()),NA())</ns0:f>
        <ns0:v/>
      </ns0:c>
      <ns0:c r="G2054">
        <ns0:f>IFERROR(IF(ISNUMBER($A2054),IF(AND(AH!$P$10=1,AH!$P$12=1,$A2054=TODAY()),IF(AND(AH!$P$10=1,AH!$P$12=1,$A2054=TODAY()),TODAY(),NA()),IF(AH!$P$10=1,INDEX('Live History'!$G$5:$G$3004,MATCH($A2054,'Live History'!$G$5:$G$3004,1)),INDEX('AH History'!$F$1:$F$18046,AH!$P$7+2049))),NA()),NA())</ns0:f>
        <ns0:v/>
      </ns0:c>
      <ns0:c r="H2054">
        <ns0:f>IFERROR(IF(AND(AH!$E$4="Bloomberg",AH!$P$10=1,ISNUMBER($A2054),$A2054&lt;=AH!$P$17),AH!$P$7-1+MATCH($A2054,INDEX('AH History'!$A$1:$A$18046,AH!$P$7):INDEX('AH History'!$A$1:$A$18046,AH!$P$7+AH!$P$8-1),0),0),0)</ns0:f>
        <ns0:v/>
      </ns0:c>
      <ns0:c r="I2054">
        <ns0:f>IF($H2054=0,0,IFERROR(IF(AND(ABS($C2054-INDEX('AH History'!$B$1:$B$18046,$H2054))&lt;=MAX(0.005,ABS(INDEX('AH History'!$B$1:$B$18046,$H2054))*0.00005),ABS($D2054-INDEX('AH History'!$C$1:$C$18046,$H2054))&lt;=MAX(0.005,ABS(INDEX('AH History'!$C$1:$C$18046,$H2054))*0.00005),ABS($E2054-INDEX('AH History'!$D$1:$D$18046,$H2054))&lt;=0.00005,$F2054=INDEX('AH History'!$E$1:$E$18046,$H2054),$G2054=INDEX('AH History'!$F$1:$F$18046,$H2054)),1,-1),-1))</ns0:f>
        <ns0:v/>
      </ns0:c>
    </ns0:row>
    <ns0:row r="2055">
      <ns0:c r="A2055" s="215">
        <ns0:f>IF(OR(AH!$P$3=0,2050+1&gt;AH!$P$11,AND(AH!$E$4&lt;&gt;"Stored",AH!$P$10&lt;&gt;1)),"",IFERROR(IF(AND(AH!$P$21=1,2050+1=AH!$P$11),TODAY(),IF(AH!$P$10=1,INDEX('Live History'!$A$5:$A$3004,AH!$P$13+2050),INDEX('AH History'!$A$1:$A$18046,AH!$P$7+2050))),""))</ns0:f>
        <ns0:v/>
      </ns0:c>
      <ns0:c r="B2055" s="219">
        <ns0:f>IFERROR(IF(AND(AH!$P$9&lt;&gt;1,$C2055&gt;0,$D2055&gt;0,$E2055&gt;0,$F2055&gt;0,$G2055&gt;0,$F2055&lt;=$A2055,$G2055&lt;=$A2055,$A2055-$F2055&lt;=10,$A2055-$G2055&lt;=5),$D2055*$E2055/$C2055-1,NA()),NA())</ns0:f>
        <ns0:v/>
      </ns0:c>
      <ns0:c r="C2055">
        <ns0:f>IFERROR(IF(ISNUMBER($A2055),IF(AND(AH!$P$10=1,AH!$P$12=1,$A2055=TODAY()),AH!$P$19,IF(AH!$P$10=1,INDEX('Live History'!$B$5:$B$3004,AH!$P$13+2050),INDEX('AH History'!$B$1:$B$18046,AH!$P$7+2050))),NA()),NA())</ns0:f>
        <ns0:v/>
      </ns0:c>
      <ns0:c r="D2055">
        <ns0:f>IFERROR(IF(ISNUMBER($A2055),IF(AND(AH!$P$10=1,AH!$P$12=1,$A2055=TODAY()),AH!$P$18,IF(AH!$P$10=1,INDEX('Live History'!$E$5:$E$3004,MATCH($A2055,'Live History'!$D$5:$D$3004,1)),INDEX('AH History'!$C$1:$C$18046,AH!$P$7+2050))),NA()),NA())</ns0:f>
        <ns0:v/>
      </ns0:c>
      <ns0:c r="E2055">
        <ns0:f>IFERROR(IF(ISNUMBER($A2055),IF(AND(AH!$P$10=1,AH!$P$12=1,$A2055=TODAY()),AH!$P$20,IF(AH!$P$10=1,INDEX('Live History'!$H$5:$H$3004,MATCH($A2055,'Live History'!$G$5:$G$3004,1)),INDEX('AH History'!$D$1:$D$18046,AH!$P$7+2050))),NA()),NA())</ns0:f>
        <ns0:v/>
      </ns0:c>
      <ns0:c r="F2055">
        <ns0:f>IFERROR(IF(ISNUMBER($A2055),IF(AND(AH!$P$10=1,AH!$P$12=1,$A2055=TODAY()),IF(AND(AH!$P$10=1,AH!$P$12=1,$A2055=TODAY()),TODAY(),NA()),IF(AH!$P$10=1,INDEX('Live History'!$D$5:$D$3004,MATCH($A2055,'Live History'!$D$5:$D$3004,1)),INDEX('AH History'!$E$1:$E$18046,AH!$P$7+2050))),NA()),NA())</ns0:f>
        <ns0:v/>
      </ns0:c>
      <ns0:c r="G2055">
        <ns0:f>IFERROR(IF(ISNUMBER($A2055),IF(AND(AH!$P$10=1,AH!$P$12=1,$A2055=TODAY()),IF(AND(AH!$P$10=1,AH!$P$12=1,$A2055=TODAY()),TODAY(),NA()),IF(AH!$P$10=1,INDEX('Live History'!$G$5:$G$3004,MATCH($A2055,'Live History'!$G$5:$G$3004,1)),INDEX('AH History'!$F$1:$F$18046,AH!$P$7+2050))),NA()),NA())</ns0:f>
        <ns0:v/>
      </ns0:c>
      <ns0:c r="H2055">
        <ns0:f>IFERROR(IF(AND(AH!$E$4="Bloomberg",AH!$P$10=1,ISNUMBER($A2055),$A2055&lt;=AH!$P$17),AH!$P$7-1+MATCH($A2055,INDEX('AH History'!$A$1:$A$18046,AH!$P$7):INDEX('AH History'!$A$1:$A$18046,AH!$P$7+AH!$P$8-1),0),0),0)</ns0:f>
        <ns0:v/>
      </ns0:c>
      <ns0:c r="I2055">
        <ns0:f>IF($H2055=0,0,IFERROR(IF(AND(ABS($C2055-INDEX('AH History'!$B$1:$B$18046,$H2055))&lt;=MAX(0.005,ABS(INDEX('AH History'!$B$1:$B$18046,$H2055))*0.00005),ABS($D2055-INDEX('AH History'!$C$1:$C$18046,$H2055))&lt;=MAX(0.005,ABS(INDEX('AH History'!$C$1:$C$18046,$H2055))*0.00005),ABS($E2055-INDEX('AH History'!$D$1:$D$18046,$H2055))&lt;=0.00005,$F2055=INDEX('AH History'!$E$1:$E$18046,$H2055),$G2055=INDEX('AH History'!$F$1:$F$18046,$H2055)),1,-1),-1))</ns0:f>
        <ns0:v/>
      </ns0:c>
    </ns0:row>
    <ns0:row r="2056">
      <ns0:c r="A2056" s="215">
        <ns0:f>IF(OR(AH!$P$3=0,2051+1&gt;AH!$P$11,AND(AH!$E$4&lt;&gt;"Stored",AH!$P$10&lt;&gt;1)),"",IFERROR(IF(AND(AH!$P$21=1,2051+1=AH!$P$11),TODAY(),IF(AH!$P$10=1,INDEX('Live History'!$A$5:$A$3004,AH!$P$13+2051),INDEX('AH History'!$A$1:$A$18046,AH!$P$7+2051))),""))</ns0:f>
        <ns0:v/>
      </ns0:c>
      <ns0:c r="B2056" s="219">
        <ns0:f>IFERROR(IF(AND(AH!$P$9&lt;&gt;1,$C2056&gt;0,$D2056&gt;0,$E2056&gt;0,$F2056&gt;0,$G2056&gt;0,$F2056&lt;=$A2056,$G2056&lt;=$A2056,$A2056-$F2056&lt;=10,$A2056-$G2056&lt;=5),$D2056*$E2056/$C2056-1,NA()),NA())</ns0:f>
        <ns0:v/>
      </ns0:c>
      <ns0:c r="C2056">
        <ns0:f>IFERROR(IF(ISNUMBER($A2056),IF(AND(AH!$P$10=1,AH!$P$12=1,$A2056=TODAY()),AH!$P$19,IF(AH!$P$10=1,INDEX('Live History'!$B$5:$B$3004,AH!$P$13+2051),INDEX('AH History'!$B$1:$B$18046,AH!$P$7+2051))),NA()),NA())</ns0:f>
        <ns0:v/>
      </ns0:c>
      <ns0:c r="D2056">
        <ns0:f>IFERROR(IF(ISNUMBER($A2056),IF(AND(AH!$P$10=1,AH!$P$12=1,$A2056=TODAY()),AH!$P$18,IF(AH!$P$10=1,INDEX('Live History'!$E$5:$E$3004,MATCH($A2056,'Live History'!$D$5:$D$3004,1)),INDEX('AH History'!$C$1:$C$18046,AH!$P$7+2051))),NA()),NA())</ns0:f>
        <ns0:v/>
      </ns0:c>
      <ns0:c r="E2056">
        <ns0:f>IFERROR(IF(ISNUMBER($A2056),IF(AND(AH!$P$10=1,AH!$P$12=1,$A2056=TODAY()),AH!$P$20,IF(AH!$P$10=1,INDEX('Live History'!$H$5:$H$3004,MATCH($A2056,'Live History'!$G$5:$G$3004,1)),INDEX('AH History'!$D$1:$D$18046,AH!$P$7+2051))),NA()),NA())</ns0:f>
        <ns0:v/>
      </ns0:c>
      <ns0:c r="F2056">
        <ns0:f>IFERROR(IF(ISNUMBER($A2056),IF(AND(AH!$P$10=1,AH!$P$12=1,$A2056=TODAY()),IF(AND(AH!$P$10=1,AH!$P$12=1,$A2056=TODAY()),TODAY(),NA()),IF(AH!$P$10=1,INDEX('Live History'!$D$5:$D$3004,MATCH($A2056,'Live History'!$D$5:$D$3004,1)),INDEX('AH History'!$E$1:$E$18046,AH!$P$7+2051))),NA()),NA())</ns0:f>
        <ns0:v/>
      </ns0:c>
      <ns0:c r="G2056">
        <ns0:f>IFERROR(IF(ISNUMBER($A2056),IF(AND(AH!$P$10=1,AH!$P$12=1,$A2056=TODAY()),IF(AND(AH!$P$10=1,AH!$P$12=1,$A2056=TODAY()),TODAY(),NA()),IF(AH!$P$10=1,INDEX('Live History'!$G$5:$G$3004,MATCH($A2056,'Live History'!$G$5:$G$3004,1)),INDEX('AH History'!$F$1:$F$18046,AH!$P$7+2051))),NA()),NA())</ns0:f>
        <ns0:v/>
      </ns0:c>
      <ns0:c r="H2056">
        <ns0:f>IFERROR(IF(AND(AH!$E$4="Bloomberg",AH!$P$10=1,ISNUMBER($A2056),$A2056&lt;=AH!$P$17),AH!$P$7-1+MATCH($A2056,INDEX('AH History'!$A$1:$A$18046,AH!$P$7):INDEX('AH History'!$A$1:$A$18046,AH!$P$7+AH!$P$8-1),0),0),0)</ns0:f>
        <ns0:v/>
      </ns0:c>
      <ns0:c r="I2056">
        <ns0:f>IF($H2056=0,0,IFERROR(IF(AND(ABS($C2056-INDEX('AH History'!$B$1:$B$18046,$H2056))&lt;=MAX(0.005,ABS(INDEX('AH History'!$B$1:$B$18046,$H2056))*0.00005),ABS($D2056-INDEX('AH History'!$C$1:$C$18046,$H2056))&lt;=MAX(0.005,ABS(INDEX('AH History'!$C$1:$C$18046,$H2056))*0.00005),ABS($E2056-INDEX('AH History'!$D$1:$D$18046,$H2056))&lt;=0.00005,$F2056=INDEX('AH History'!$E$1:$E$18046,$H2056),$G2056=INDEX('AH History'!$F$1:$F$18046,$H2056)),1,-1),-1))</ns0:f>
        <ns0:v/>
      </ns0:c>
    </ns0:row>
    <ns0:row r="2057">
      <ns0:c r="A2057" s="215">
        <ns0:f>IF(OR(AH!$P$3=0,2052+1&gt;AH!$P$11,AND(AH!$E$4&lt;&gt;"Stored",AH!$P$10&lt;&gt;1)),"",IFERROR(IF(AND(AH!$P$21=1,2052+1=AH!$P$11),TODAY(),IF(AH!$P$10=1,INDEX('Live History'!$A$5:$A$3004,AH!$P$13+2052),INDEX('AH History'!$A$1:$A$18046,AH!$P$7+2052))),""))</ns0:f>
        <ns0:v/>
      </ns0:c>
      <ns0:c r="B2057" s="219">
        <ns0:f>IFERROR(IF(AND(AH!$P$9&lt;&gt;1,$C2057&gt;0,$D2057&gt;0,$E2057&gt;0,$F2057&gt;0,$G2057&gt;0,$F2057&lt;=$A2057,$G2057&lt;=$A2057,$A2057-$F2057&lt;=10,$A2057-$G2057&lt;=5),$D2057*$E2057/$C2057-1,NA()),NA())</ns0:f>
        <ns0:v/>
      </ns0:c>
      <ns0:c r="C2057">
        <ns0:f>IFERROR(IF(ISNUMBER($A2057),IF(AND(AH!$P$10=1,AH!$P$12=1,$A2057=TODAY()),AH!$P$19,IF(AH!$P$10=1,INDEX('Live History'!$B$5:$B$3004,AH!$P$13+2052),INDEX('AH History'!$B$1:$B$18046,AH!$P$7+2052))),NA()),NA())</ns0:f>
        <ns0:v/>
      </ns0:c>
      <ns0:c r="D2057">
        <ns0:f>IFERROR(IF(ISNUMBER($A2057),IF(AND(AH!$P$10=1,AH!$P$12=1,$A2057=TODAY()),AH!$P$18,IF(AH!$P$10=1,INDEX('Live History'!$E$5:$E$3004,MATCH($A2057,'Live History'!$D$5:$D$3004,1)),INDEX('AH History'!$C$1:$C$18046,AH!$P$7+2052))),NA()),NA())</ns0:f>
        <ns0:v/>
      </ns0:c>
      <ns0:c r="E2057">
        <ns0:f>IFERROR(IF(ISNUMBER($A2057),IF(AND(AH!$P$10=1,AH!$P$12=1,$A2057=TODAY()),AH!$P$20,IF(AH!$P$10=1,INDEX('Live History'!$H$5:$H$3004,MATCH($A2057,'Live History'!$G$5:$G$3004,1)),INDEX('AH History'!$D$1:$D$18046,AH!$P$7+2052))),NA()),NA())</ns0:f>
        <ns0:v/>
      </ns0:c>
      <ns0:c r="F2057">
        <ns0:f>IFERROR(IF(ISNUMBER($A2057),IF(AND(AH!$P$10=1,AH!$P$12=1,$A2057=TODAY()),IF(AND(AH!$P$10=1,AH!$P$12=1,$A2057=TODAY()),TODAY(),NA()),IF(AH!$P$10=1,INDEX('Live History'!$D$5:$D$3004,MATCH($A2057,'Live History'!$D$5:$D$3004,1)),INDEX('AH History'!$E$1:$E$18046,AH!$P$7+2052))),NA()),NA())</ns0:f>
        <ns0:v/>
      </ns0:c>
      <ns0:c r="G2057">
        <ns0:f>IFERROR(IF(ISNUMBER($A2057),IF(AND(AH!$P$10=1,AH!$P$12=1,$A2057=TODAY()),IF(AND(AH!$P$10=1,AH!$P$12=1,$A2057=TODAY()),TODAY(),NA()),IF(AH!$P$10=1,INDEX('Live History'!$G$5:$G$3004,MATCH($A2057,'Live History'!$G$5:$G$3004,1)),INDEX('AH History'!$F$1:$F$18046,AH!$P$7+2052))),NA()),NA())</ns0:f>
        <ns0:v/>
      </ns0:c>
      <ns0:c r="H2057">
        <ns0:f>IFERROR(IF(AND(AH!$E$4="Bloomberg",AH!$P$10=1,ISNUMBER($A2057),$A2057&lt;=AH!$P$17),AH!$P$7-1+MATCH($A2057,INDEX('AH History'!$A$1:$A$18046,AH!$P$7):INDEX('AH History'!$A$1:$A$18046,AH!$P$7+AH!$P$8-1),0),0),0)</ns0:f>
        <ns0:v/>
      </ns0:c>
      <ns0:c r="I2057">
        <ns0:f>IF($H2057=0,0,IFERROR(IF(AND(ABS($C2057-INDEX('AH History'!$B$1:$B$18046,$H2057))&lt;=MAX(0.005,ABS(INDEX('AH History'!$B$1:$B$18046,$H2057))*0.00005),ABS($D2057-INDEX('AH History'!$C$1:$C$18046,$H2057))&lt;=MAX(0.005,ABS(INDEX('AH History'!$C$1:$C$18046,$H2057))*0.00005),ABS($E2057-INDEX('AH History'!$D$1:$D$18046,$H2057))&lt;=0.00005,$F2057=INDEX('AH History'!$E$1:$E$18046,$H2057),$G2057=INDEX('AH History'!$F$1:$F$18046,$H2057)),1,-1),-1))</ns0:f>
        <ns0:v/>
      </ns0:c>
    </ns0:row>
    <ns0:row r="2058">
      <ns0:c r="A2058" s="215">
        <ns0:f>IF(OR(AH!$P$3=0,2053+1&gt;AH!$P$11,AND(AH!$E$4&lt;&gt;"Stored",AH!$P$10&lt;&gt;1)),"",IFERROR(IF(AND(AH!$P$21=1,2053+1=AH!$P$11),TODAY(),IF(AH!$P$10=1,INDEX('Live History'!$A$5:$A$3004,AH!$P$13+2053),INDEX('AH History'!$A$1:$A$18046,AH!$P$7+2053))),""))</ns0:f>
        <ns0:v/>
      </ns0:c>
      <ns0:c r="B2058" s="219">
        <ns0:f>IFERROR(IF(AND(AH!$P$9&lt;&gt;1,$C2058&gt;0,$D2058&gt;0,$E2058&gt;0,$F2058&gt;0,$G2058&gt;0,$F2058&lt;=$A2058,$G2058&lt;=$A2058,$A2058-$F2058&lt;=10,$A2058-$G2058&lt;=5),$D2058*$E2058/$C2058-1,NA()),NA())</ns0:f>
        <ns0:v/>
      </ns0:c>
      <ns0:c r="C2058">
        <ns0:f>IFERROR(IF(ISNUMBER($A2058),IF(AND(AH!$P$10=1,AH!$P$12=1,$A2058=TODAY()),AH!$P$19,IF(AH!$P$10=1,INDEX('Live History'!$B$5:$B$3004,AH!$P$13+2053),INDEX('AH History'!$B$1:$B$18046,AH!$P$7+2053))),NA()),NA())</ns0:f>
        <ns0:v/>
      </ns0:c>
      <ns0:c r="D2058">
        <ns0:f>IFERROR(IF(ISNUMBER($A2058),IF(AND(AH!$P$10=1,AH!$P$12=1,$A2058=TODAY()),AH!$P$18,IF(AH!$P$10=1,INDEX('Live History'!$E$5:$E$3004,MATCH($A2058,'Live History'!$D$5:$D$3004,1)),INDEX('AH History'!$C$1:$C$18046,AH!$P$7+2053))),NA()),NA())</ns0:f>
        <ns0:v/>
      </ns0:c>
      <ns0:c r="E2058">
        <ns0:f>IFERROR(IF(ISNUMBER($A2058),IF(AND(AH!$P$10=1,AH!$P$12=1,$A2058=TODAY()),AH!$P$20,IF(AH!$P$10=1,INDEX('Live History'!$H$5:$H$3004,MATCH($A2058,'Live History'!$G$5:$G$3004,1)),INDEX('AH History'!$D$1:$D$18046,AH!$P$7+2053))),NA()),NA())</ns0:f>
        <ns0:v/>
      </ns0:c>
      <ns0:c r="F2058">
        <ns0:f>IFERROR(IF(ISNUMBER($A2058),IF(AND(AH!$P$10=1,AH!$P$12=1,$A2058=TODAY()),IF(AND(AH!$P$10=1,AH!$P$12=1,$A2058=TODAY()),TODAY(),NA()),IF(AH!$P$10=1,INDEX('Live History'!$D$5:$D$3004,MATCH($A2058,'Live History'!$D$5:$D$3004,1)),INDEX('AH History'!$E$1:$E$18046,AH!$P$7+2053))),NA()),NA())</ns0:f>
        <ns0:v/>
      </ns0:c>
      <ns0:c r="G2058">
        <ns0:f>IFERROR(IF(ISNUMBER($A2058),IF(AND(AH!$P$10=1,AH!$P$12=1,$A2058=TODAY()),IF(AND(AH!$P$10=1,AH!$P$12=1,$A2058=TODAY()),TODAY(),NA()),IF(AH!$P$10=1,INDEX('Live History'!$G$5:$G$3004,MATCH($A2058,'Live History'!$G$5:$G$3004,1)),INDEX('AH History'!$F$1:$F$18046,AH!$P$7+2053))),NA()),NA())</ns0:f>
        <ns0:v/>
      </ns0:c>
      <ns0:c r="H2058">
        <ns0:f>IFERROR(IF(AND(AH!$E$4="Bloomberg",AH!$P$10=1,ISNUMBER($A2058),$A2058&lt;=AH!$P$17),AH!$P$7-1+MATCH($A2058,INDEX('AH History'!$A$1:$A$18046,AH!$P$7):INDEX('AH History'!$A$1:$A$18046,AH!$P$7+AH!$P$8-1),0),0),0)</ns0:f>
        <ns0:v/>
      </ns0:c>
      <ns0:c r="I2058">
        <ns0:f>IF($H2058=0,0,IFERROR(IF(AND(ABS($C2058-INDEX('AH History'!$B$1:$B$18046,$H2058))&lt;=MAX(0.005,ABS(INDEX('AH History'!$B$1:$B$18046,$H2058))*0.00005),ABS($D2058-INDEX('AH History'!$C$1:$C$18046,$H2058))&lt;=MAX(0.005,ABS(INDEX('AH History'!$C$1:$C$18046,$H2058))*0.00005),ABS($E2058-INDEX('AH History'!$D$1:$D$18046,$H2058))&lt;=0.00005,$F2058=INDEX('AH History'!$E$1:$E$18046,$H2058),$G2058=INDEX('AH History'!$F$1:$F$18046,$H2058)),1,-1),-1))</ns0:f>
        <ns0:v/>
      </ns0:c>
    </ns0:row>
    <ns0:row r="2059">
      <ns0:c r="A2059" s="215">
        <ns0:f>IF(OR(AH!$P$3=0,2054+1&gt;AH!$P$11,AND(AH!$E$4&lt;&gt;"Stored",AH!$P$10&lt;&gt;1)),"",IFERROR(IF(AND(AH!$P$21=1,2054+1=AH!$P$11),TODAY(),IF(AH!$P$10=1,INDEX('Live History'!$A$5:$A$3004,AH!$P$13+2054),INDEX('AH History'!$A$1:$A$18046,AH!$P$7+2054))),""))</ns0:f>
        <ns0:v/>
      </ns0:c>
      <ns0:c r="B2059" s="219">
        <ns0:f>IFERROR(IF(AND(AH!$P$9&lt;&gt;1,$C2059&gt;0,$D2059&gt;0,$E2059&gt;0,$F2059&gt;0,$G2059&gt;0,$F2059&lt;=$A2059,$G2059&lt;=$A2059,$A2059-$F2059&lt;=10,$A2059-$G2059&lt;=5),$D2059*$E2059/$C2059-1,NA()),NA())</ns0:f>
        <ns0:v/>
      </ns0:c>
      <ns0:c r="C2059">
        <ns0:f>IFERROR(IF(ISNUMBER($A2059),IF(AND(AH!$P$10=1,AH!$P$12=1,$A2059=TODAY()),AH!$P$19,IF(AH!$P$10=1,INDEX('Live History'!$B$5:$B$3004,AH!$P$13+2054),INDEX('AH History'!$B$1:$B$18046,AH!$P$7+2054))),NA()),NA())</ns0:f>
        <ns0:v/>
      </ns0:c>
      <ns0:c r="D2059">
        <ns0:f>IFERROR(IF(ISNUMBER($A2059),IF(AND(AH!$P$10=1,AH!$P$12=1,$A2059=TODAY()),AH!$P$18,IF(AH!$P$10=1,INDEX('Live History'!$E$5:$E$3004,MATCH($A2059,'Live History'!$D$5:$D$3004,1)),INDEX('AH History'!$C$1:$C$18046,AH!$P$7+2054))),NA()),NA())</ns0:f>
        <ns0:v/>
      </ns0:c>
      <ns0:c r="E2059">
        <ns0:f>IFERROR(IF(ISNUMBER($A2059),IF(AND(AH!$P$10=1,AH!$P$12=1,$A2059=TODAY()),AH!$P$20,IF(AH!$P$10=1,INDEX('Live History'!$H$5:$H$3004,MATCH($A2059,'Live History'!$G$5:$G$3004,1)),INDEX('AH History'!$D$1:$D$18046,AH!$P$7+2054))),NA()),NA())</ns0:f>
        <ns0:v/>
      </ns0:c>
      <ns0:c r="F2059">
        <ns0:f>IFERROR(IF(ISNUMBER($A2059),IF(AND(AH!$P$10=1,AH!$P$12=1,$A2059=TODAY()),IF(AND(AH!$P$10=1,AH!$P$12=1,$A2059=TODAY()),TODAY(),NA()),IF(AH!$P$10=1,INDEX('Live History'!$D$5:$D$3004,MATCH($A2059,'Live History'!$D$5:$D$3004,1)),INDEX('AH History'!$E$1:$E$18046,AH!$P$7+2054))),NA()),NA())</ns0:f>
        <ns0:v/>
      </ns0:c>
      <ns0:c r="G2059">
        <ns0:f>IFERROR(IF(ISNUMBER($A2059),IF(AND(AH!$P$10=1,AH!$P$12=1,$A2059=TODAY()),IF(AND(AH!$P$10=1,AH!$P$12=1,$A2059=TODAY()),TODAY(),NA()),IF(AH!$P$10=1,INDEX('Live History'!$G$5:$G$3004,MATCH($A2059,'Live History'!$G$5:$G$3004,1)),INDEX('AH History'!$F$1:$F$18046,AH!$P$7+2054))),NA()),NA())</ns0:f>
        <ns0:v/>
      </ns0:c>
      <ns0:c r="H2059">
        <ns0:f>IFERROR(IF(AND(AH!$E$4="Bloomberg",AH!$P$10=1,ISNUMBER($A2059),$A2059&lt;=AH!$P$17),AH!$P$7-1+MATCH($A2059,INDEX('AH History'!$A$1:$A$18046,AH!$P$7):INDEX('AH History'!$A$1:$A$18046,AH!$P$7+AH!$P$8-1),0),0),0)</ns0:f>
        <ns0:v/>
      </ns0:c>
      <ns0:c r="I2059">
        <ns0:f>IF($H2059=0,0,IFERROR(IF(AND(ABS($C2059-INDEX('AH History'!$B$1:$B$18046,$H2059))&lt;=MAX(0.005,ABS(INDEX('AH History'!$B$1:$B$18046,$H2059))*0.00005),ABS($D2059-INDEX('AH History'!$C$1:$C$18046,$H2059))&lt;=MAX(0.005,ABS(INDEX('AH History'!$C$1:$C$18046,$H2059))*0.00005),ABS($E2059-INDEX('AH History'!$D$1:$D$18046,$H2059))&lt;=0.00005,$F2059=INDEX('AH History'!$E$1:$E$18046,$H2059),$G2059=INDEX('AH History'!$F$1:$F$18046,$H2059)),1,-1),-1))</ns0:f>
        <ns0:v/>
      </ns0:c>
    </ns0:row>
    <ns0:row r="2060">
      <ns0:c r="A2060" s="215">
        <ns0:f>IF(OR(AH!$P$3=0,2055+1&gt;AH!$P$11,AND(AH!$E$4&lt;&gt;"Stored",AH!$P$10&lt;&gt;1)),"",IFERROR(IF(AND(AH!$P$21=1,2055+1=AH!$P$11),TODAY(),IF(AH!$P$10=1,INDEX('Live History'!$A$5:$A$3004,AH!$P$13+2055),INDEX('AH History'!$A$1:$A$18046,AH!$P$7+2055))),""))</ns0:f>
        <ns0:v/>
      </ns0:c>
      <ns0:c r="B2060" s="219">
        <ns0:f>IFERROR(IF(AND(AH!$P$9&lt;&gt;1,$C2060&gt;0,$D2060&gt;0,$E2060&gt;0,$F2060&gt;0,$G2060&gt;0,$F2060&lt;=$A2060,$G2060&lt;=$A2060,$A2060-$F2060&lt;=10,$A2060-$G2060&lt;=5),$D2060*$E2060/$C2060-1,NA()),NA())</ns0:f>
        <ns0:v/>
      </ns0:c>
      <ns0:c r="C2060">
        <ns0:f>IFERROR(IF(ISNUMBER($A2060),IF(AND(AH!$P$10=1,AH!$P$12=1,$A2060=TODAY()),AH!$P$19,IF(AH!$P$10=1,INDEX('Live History'!$B$5:$B$3004,AH!$P$13+2055),INDEX('AH History'!$B$1:$B$18046,AH!$P$7+2055))),NA()),NA())</ns0:f>
        <ns0:v/>
      </ns0:c>
      <ns0:c r="D2060">
        <ns0:f>IFERROR(IF(ISNUMBER($A2060),IF(AND(AH!$P$10=1,AH!$P$12=1,$A2060=TODAY()),AH!$P$18,IF(AH!$P$10=1,INDEX('Live History'!$E$5:$E$3004,MATCH($A2060,'Live History'!$D$5:$D$3004,1)),INDEX('AH History'!$C$1:$C$18046,AH!$P$7+2055))),NA()),NA())</ns0:f>
        <ns0:v/>
      </ns0:c>
      <ns0:c r="E2060">
        <ns0:f>IFERROR(IF(ISNUMBER($A2060),IF(AND(AH!$P$10=1,AH!$P$12=1,$A2060=TODAY()),AH!$P$20,IF(AH!$P$10=1,INDEX('Live History'!$H$5:$H$3004,MATCH($A2060,'Live History'!$G$5:$G$3004,1)),INDEX('AH History'!$D$1:$D$18046,AH!$P$7+2055))),NA()),NA())</ns0:f>
        <ns0:v/>
      </ns0:c>
      <ns0:c r="F2060">
        <ns0:f>IFERROR(IF(ISNUMBER($A2060),IF(AND(AH!$P$10=1,AH!$P$12=1,$A2060=TODAY()),IF(AND(AH!$P$10=1,AH!$P$12=1,$A2060=TODAY()),TODAY(),NA()),IF(AH!$P$10=1,INDEX('Live History'!$D$5:$D$3004,MATCH($A2060,'Live History'!$D$5:$D$3004,1)),INDEX('AH History'!$E$1:$E$18046,AH!$P$7+2055))),NA()),NA())</ns0:f>
        <ns0:v/>
      </ns0:c>
      <ns0:c r="G2060">
        <ns0:f>IFERROR(IF(ISNUMBER($A2060),IF(AND(AH!$P$10=1,AH!$P$12=1,$A2060=TODAY()),IF(AND(AH!$P$10=1,AH!$P$12=1,$A2060=TODAY()),TODAY(),NA()),IF(AH!$P$10=1,INDEX('Live History'!$G$5:$G$3004,MATCH($A2060,'Live History'!$G$5:$G$3004,1)),INDEX('AH History'!$F$1:$F$18046,AH!$P$7+2055))),NA()),NA())</ns0:f>
        <ns0:v/>
      </ns0:c>
      <ns0:c r="H2060">
        <ns0:f>IFERROR(IF(AND(AH!$E$4="Bloomberg",AH!$P$10=1,ISNUMBER($A2060),$A2060&lt;=AH!$P$17),AH!$P$7-1+MATCH($A2060,INDEX('AH History'!$A$1:$A$18046,AH!$P$7):INDEX('AH History'!$A$1:$A$18046,AH!$P$7+AH!$P$8-1),0),0),0)</ns0:f>
        <ns0:v/>
      </ns0:c>
      <ns0:c r="I2060">
        <ns0:f>IF($H2060=0,0,IFERROR(IF(AND(ABS($C2060-INDEX('AH History'!$B$1:$B$18046,$H2060))&lt;=MAX(0.005,ABS(INDEX('AH History'!$B$1:$B$18046,$H2060))*0.00005),ABS($D2060-INDEX('AH History'!$C$1:$C$18046,$H2060))&lt;=MAX(0.005,ABS(INDEX('AH History'!$C$1:$C$18046,$H2060))*0.00005),ABS($E2060-INDEX('AH History'!$D$1:$D$18046,$H2060))&lt;=0.00005,$F2060=INDEX('AH History'!$E$1:$E$18046,$H2060),$G2060=INDEX('AH History'!$F$1:$F$18046,$H2060)),1,-1),-1))</ns0:f>
        <ns0:v/>
      </ns0:c>
    </ns0:row>
    <ns0:row r="2061">
      <ns0:c r="A2061" s="215">
        <ns0:f>IF(OR(AH!$P$3=0,2056+1&gt;AH!$P$11,AND(AH!$E$4&lt;&gt;"Stored",AH!$P$10&lt;&gt;1)),"",IFERROR(IF(AND(AH!$P$21=1,2056+1=AH!$P$11),TODAY(),IF(AH!$P$10=1,INDEX('Live History'!$A$5:$A$3004,AH!$P$13+2056),INDEX('AH History'!$A$1:$A$18046,AH!$P$7+2056))),""))</ns0:f>
        <ns0:v/>
      </ns0:c>
      <ns0:c r="B2061" s="219">
        <ns0:f>IFERROR(IF(AND(AH!$P$9&lt;&gt;1,$C2061&gt;0,$D2061&gt;0,$E2061&gt;0,$F2061&gt;0,$G2061&gt;0,$F2061&lt;=$A2061,$G2061&lt;=$A2061,$A2061-$F2061&lt;=10,$A2061-$G2061&lt;=5),$D2061*$E2061/$C2061-1,NA()),NA())</ns0:f>
        <ns0:v/>
      </ns0:c>
      <ns0:c r="C2061">
        <ns0:f>IFERROR(IF(ISNUMBER($A2061),IF(AND(AH!$P$10=1,AH!$P$12=1,$A2061=TODAY()),AH!$P$19,IF(AH!$P$10=1,INDEX('Live History'!$B$5:$B$3004,AH!$P$13+2056),INDEX('AH History'!$B$1:$B$18046,AH!$P$7+2056))),NA()),NA())</ns0:f>
        <ns0:v/>
      </ns0:c>
      <ns0:c r="D2061">
        <ns0:f>IFERROR(IF(ISNUMBER($A2061),IF(AND(AH!$P$10=1,AH!$P$12=1,$A2061=TODAY()),AH!$P$18,IF(AH!$P$10=1,INDEX('Live History'!$E$5:$E$3004,MATCH($A2061,'Live History'!$D$5:$D$3004,1)),INDEX('AH History'!$C$1:$C$18046,AH!$P$7+2056))),NA()),NA())</ns0:f>
        <ns0:v/>
      </ns0:c>
      <ns0:c r="E2061">
        <ns0:f>IFERROR(IF(ISNUMBER($A2061),IF(AND(AH!$P$10=1,AH!$P$12=1,$A2061=TODAY()),AH!$P$20,IF(AH!$P$10=1,INDEX('Live History'!$H$5:$H$3004,MATCH($A2061,'Live History'!$G$5:$G$3004,1)),INDEX('AH History'!$D$1:$D$18046,AH!$P$7+2056))),NA()),NA())</ns0:f>
        <ns0:v/>
      </ns0:c>
      <ns0:c r="F2061">
        <ns0:f>IFERROR(IF(ISNUMBER($A2061),IF(AND(AH!$P$10=1,AH!$P$12=1,$A2061=TODAY()),IF(AND(AH!$P$10=1,AH!$P$12=1,$A2061=TODAY()),TODAY(),NA()),IF(AH!$P$10=1,INDEX('Live History'!$D$5:$D$3004,MATCH($A2061,'Live History'!$D$5:$D$3004,1)),INDEX('AH History'!$E$1:$E$18046,AH!$P$7+2056))),NA()),NA())</ns0:f>
        <ns0:v/>
      </ns0:c>
      <ns0:c r="G2061">
        <ns0:f>IFERROR(IF(ISNUMBER($A2061),IF(AND(AH!$P$10=1,AH!$P$12=1,$A2061=TODAY()),IF(AND(AH!$P$10=1,AH!$P$12=1,$A2061=TODAY()),TODAY(),NA()),IF(AH!$P$10=1,INDEX('Live History'!$G$5:$G$3004,MATCH($A2061,'Live History'!$G$5:$G$3004,1)),INDEX('AH History'!$F$1:$F$18046,AH!$P$7+2056))),NA()),NA())</ns0:f>
        <ns0:v/>
      </ns0:c>
      <ns0:c r="H2061">
        <ns0:f>IFERROR(IF(AND(AH!$E$4="Bloomberg",AH!$P$10=1,ISNUMBER($A2061),$A2061&lt;=AH!$P$17),AH!$P$7-1+MATCH($A2061,INDEX('AH History'!$A$1:$A$18046,AH!$P$7):INDEX('AH History'!$A$1:$A$18046,AH!$P$7+AH!$P$8-1),0),0),0)</ns0:f>
        <ns0:v/>
      </ns0:c>
      <ns0:c r="I2061">
        <ns0:f>IF($H2061=0,0,IFERROR(IF(AND(ABS($C2061-INDEX('AH History'!$B$1:$B$18046,$H2061))&lt;=MAX(0.005,ABS(INDEX('AH History'!$B$1:$B$18046,$H2061))*0.00005),ABS($D2061-INDEX('AH History'!$C$1:$C$18046,$H2061))&lt;=MAX(0.005,ABS(INDEX('AH History'!$C$1:$C$18046,$H2061))*0.00005),ABS($E2061-INDEX('AH History'!$D$1:$D$18046,$H2061))&lt;=0.00005,$F2061=INDEX('AH History'!$E$1:$E$18046,$H2061),$G2061=INDEX('AH History'!$F$1:$F$18046,$H2061)),1,-1),-1))</ns0:f>
        <ns0:v/>
      </ns0:c>
    </ns0:row>
    <ns0:row r="2062">
      <ns0:c r="A2062" s="215">
        <ns0:f>IF(OR(AH!$P$3=0,2057+1&gt;AH!$P$11,AND(AH!$E$4&lt;&gt;"Stored",AH!$P$10&lt;&gt;1)),"",IFERROR(IF(AND(AH!$P$21=1,2057+1=AH!$P$11),TODAY(),IF(AH!$P$10=1,INDEX('Live History'!$A$5:$A$3004,AH!$P$13+2057),INDEX('AH History'!$A$1:$A$18046,AH!$P$7+2057))),""))</ns0:f>
        <ns0:v/>
      </ns0:c>
      <ns0:c r="B2062" s="219">
        <ns0:f>IFERROR(IF(AND(AH!$P$9&lt;&gt;1,$C2062&gt;0,$D2062&gt;0,$E2062&gt;0,$F2062&gt;0,$G2062&gt;0,$F2062&lt;=$A2062,$G2062&lt;=$A2062,$A2062-$F2062&lt;=10,$A2062-$G2062&lt;=5),$D2062*$E2062/$C2062-1,NA()),NA())</ns0:f>
        <ns0:v/>
      </ns0:c>
      <ns0:c r="C2062">
        <ns0:f>IFERROR(IF(ISNUMBER($A2062),IF(AND(AH!$P$10=1,AH!$P$12=1,$A2062=TODAY()),AH!$P$19,IF(AH!$P$10=1,INDEX('Live History'!$B$5:$B$3004,AH!$P$13+2057),INDEX('AH History'!$B$1:$B$18046,AH!$P$7+2057))),NA()),NA())</ns0:f>
        <ns0:v/>
      </ns0:c>
      <ns0:c r="D2062">
        <ns0:f>IFERROR(IF(ISNUMBER($A2062),IF(AND(AH!$P$10=1,AH!$P$12=1,$A2062=TODAY()),AH!$P$18,IF(AH!$P$10=1,INDEX('Live History'!$E$5:$E$3004,MATCH($A2062,'Live History'!$D$5:$D$3004,1)),INDEX('AH History'!$C$1:$C$18046,AH!$P$7+2057))),NA()),NA())</ns0:f>
        <ns0:v/>
      </ns0:c>
      <ns0:c r="E2062">
        <ns0:f>IFERROR(IF(ISNUMBER($A2062),IF(AND(AH!$P$10=1,AH!$P$12=1,$A2062=TODAY()),AH!$P$20,IF(AH!$P$10=1,INDEX('Live History'!$H$5:$H$3004,MATCH($A2062,'Live History'!$G$5:$G$3004,1)),INDEX('AH History'!$D$1:$D$18046,AH!$P$7+2057))),NA()),NA())</ns0:f>
        <ns0:v/>
      </ns0:c>
      <ns0:c r="F2062">
        <ns0:f>IFERROR(IF(ISNUMBER($A2062),IF(AND(AH!$P$10=1,AH!$P$12=1,$A2062=TODAY()),IF(AND(AH!$P$10=1,AH!$P$12=1,$A2062=TODAY()),TODAY(),NA()),IF(AH!$P$10=1,INDEX('Live History'!$D$5:$D$3004,MATCH($A2062,'Live History'!$D$5:$D$3004,1)),INDEX('AH History'!$E$1:$E$18046,AH!$P$7+2057))),NA()),NA())</ns0:f>
        <ns0:v/>
      </ns0:c>
      <ns0:c r="G2062">
        <ns0:f>IFERROR(IF(ISNUMBER($A2062),IF(AND(AH!$P$10=1,AH!$P$12=1,$A2062=TODAY()),IF(AND(AH!$P$10=1,AH!$P$12=1,$A2062=TODAY()),TODAY(),NA()),IF(AH!$P$10=1,INDEX('Live History'!$G$5:$G$3004,MATCH($A2062,'Live History'!$G$5:$G$3004,1)),INDEX('AH History'!$F$1:$F$18046,AH!$P$7+2057))),NA()),NA())</ns0:f>
        <ns0:v/>
      </ns0:c>
      <ns0:c r="H2062">
        <ns0:f>IFERROR(IF(AND(AH!$E$4="Bloomberg",AH!$P$10=1,ISNUMBER($A2062),$A2062&lt;=AH!$P$17),AH!$P$7-1+MATCH($A2062,INDEX('AH History'!$A$1:$A$18046,AH!$P$7):INDEX('AH History'!$A$1:$A$18046,AH!$P$7+AH!$P$8-1),0),0),0)</ns0:f>
        <ns0:v/>
      </ns0:c>
      <ns0:c r="I2062">
        <ns0:f>IF($H2062=0,0,IFERROR(IF(AND(ABS($C2062-INDEX('AH History'!$B$1:$B$18046,$H2062))&lt;=MAX(0.005,ABS(INDEX('AH History'!$B$1:$B$18046,$H2062))*0.00005),ABS($D2062-INDEX('AH History'!$C$1:$C$18046,$H2062))&lt;=MAX(0.005,ABS(INDEX('AH History'!$C$1:$C$18046,$H2062))*0.00005),ABS($E2062-INDEX('AH History'!$D$1:$D$18046,$H2062))&lt;=0.00005,$F2062=INDEX('AH History'!$E$1:$E$18046,$H2062),$G2062=INDEX('AH History'!$F$1:$F$18046,$H2062)),1,-1),-1))</ns0:f>
        <ns0:v/>
      </ns0:c>
    </ns0:row>
    <ns0:row r="2063">
      <ns0:c r="A2063" s="215">
        <ns0:f>IF(OR(AH!$P$3=0,2058+1&gt;AH!$P$11,AND(AH!$E$4&lt;&gt;"Stored",AH!$P$10&lt;&gt;1)),"",IFERROR(IF(AND(AH!$P$21=1,2058+1=AH!$P$11),TODAY(),IF(AH!$P$10=1,INDEX('Live History'!$A$5:$A$3004,AH!$P$13+2058),INDEX('AH History'!$A$1:$A$18046,AH!$P$7+2058))),""))</ns0:f>
        <ns0:v/>
      </ns0:c>
      <ns0:c r="B2063" s="219">
        <ns0:f>IFERROR(IF(AND(AH!$P$9&lt;&gt;1,$C2063&gt;0,$D2063&gt;0,$E2063&gt;0,$F2063&gt;0,$G2063&gt;0,$F2063&lt;=$A2063,$G2063&lt;=$A2063,$A2063-$F2063&lt;=10,$A2063-$G2063&lt;=5),$D2063*$E2063/$C2063-1,NA()),NA())</ns0:f>
        <ns0:v/>
      </ns0:c>
      <ns0:c r="C2063">
        <ns0:f>IFERROR(IF(ISNUMBER($A2063),IF(AND(AH!$P$10=1,AH!$P$12=1,$A2063=TODAY()),AH!$P$19,IF(AH!$P$10=1,INDEX('Live History'!$B$5:$B$3004,AH!$P$13+2058),INDEX('AH History'!$B$1:$B$18046,AH!$P$7+2058))),NA()),NA())</ns0:f>
        <ns0:v/>
      </ns0:c>
      <ns0:c r="D2063">
        <ns0:f>IFERROR(IF(ISNUMBER($A2063),IF(AND(AH!$P$10=1,AH!$P$12=1,$A2063=TODAY()),AH!$P$18,IF(AH!$P$10=1,INDEX('Live History'!$E$5:$E$3004,MATCH($A2063,'Live History'!$D$5:$D$3004,1)),INDEX('AH History'!$C$1:$C$18046,AH!$P$7+2058))),NA()),NA())</ns0:f>
        <ns0:v/>
      </ns0:c>
      <ns0:c r="E2063">
        <ns0:f>IFERROR(IF(ISNUMBER($A2063),IF(AND(AH!$P$10=1,AH!$P$12=1,$A2063=TODAY()),AH!$P$20,IF(AH!$P$10=1,INDEX('Live History'!$H$5:$H$3004,MATCH($A2063,'Live History'!$G$5:$G$3004,1)),INDEX('AH History'!$D$1:$D$18046,AH!$P$7+2058))),NA()),NA())</ns0:f>
        <ns0:v/>
      </ns0:c>
      <ns0:c r="F2063">
        <ns0:f>IFERROR(IF(ISNUMBER($A2063),IF(AND(AH!$P$10=1,AH!$P$12=1,$A2063=TODAY()),IF(AND(AH!$P$10=1,AH!$P$12=1,$A2063=TODAY()),TODAY(),NA()),IF(AH!$P$10=1,INDEX('Live History'!$D$5:$D$3004,MATCH($A2063,'Live History'!$D$5:$D$3004,1)),INDEX('AH History'!$E$1:$E$18046,AH!$P$7+2058))),NA()),NA())</ns0:f>
        <ns0:v/>
      </ns0:c>
      <ns0:c r="G2063">
        <ns0:f>IFERROR(IF(ISNUMBER($A2063),IF(AND(AH!$P$10=1,AH!$P$12=1,$A2063=TODAY()),IF(AND(AH!$P$10=1,AH!$P$12=1,$A2063=TODAY()),TODAY(),NA()),IF(AH!$P$10=1,INDEX('Live History'!$G$5:$G$3004,MATCH($A2063,'Live History'!$G$5:$G$3004,1)),INDEX('AH History'!$F$1:$F$18046,AH!$P$7+2058))),NA()),NA())</ns0:f>
        <ns0:v/>
      </ns0:c>
      <ns0:c r="H2063">
        <ns0:f>IFERROR(IF(AND(AH!$E$4="Bloomberg",AH!$P$10=1,ISNUMBER($A2063),$A2063&lt;=AH!$P$17),AH!$P$7-1+MATCH($A2063,INDEX('AH History'!$A$1:$A$18046,AH!$P$7):INDEX('AH History'!$A$1:$A$18046,AH!$P$7+AH!$P$8-1),0),0),0)</ns0:f>
        <ns0:v/>
      </ns0:c>
      <ns0:c r="I2063">
        <ns0:f>IF($H2063=0,0,IFERROR(IF(AND(ABS($C2063-INDEX('AH History'!$B$1:$B$18046,$H2063))&lt;=MAX(0.005,ABS(INDEX('AH History'!$B$1:$B$18046,$H2063))*0.00005),ABS($D2063-INDEX('AH History'!$C$1:$C$18046,$H2063))&lt;=MAX(0.005,ABS(INDEX('AH History'!$C$1:$C$18046,$H2063))*0.00005),ABS($E2063-INDEX('AH History'!$D$1:$D$18046,$H2063))&lt;=0.00005,$F2063=INDEX('AH History'!$E$1:$E$18046,$H2063),$G2063=INDEX('AH History'!$F$1:$F$18046,$H2063)),1,-1),-1))</ns0:f>
        <ns0:v/>
      </ns0:c>
    </ns0:row>
    <ns0:row r="2064">
      <ns0:c r="A2064" s="215">
        <ns0:f>IF(OR(AH!$P$3=0,2059+1&gt;AH!$P$11,AND(AH!$E$4&lt;&gt;"Stored",AH!$P$10&lt;&gt;1)),"",IFERROR(IF(AND(AH!$P$21=1,2059+1=AH!$P$11),TODAY(),IF(AH!$P$10=1,INDEX('Live History'!$A$5:$A$3004,AH!$P$13+2059),INDEX('AH History'!$A$1:$A$18046,AH!$P$7+2059))),""))</ns0:f>
        <ns0:v/>
      </ns0:c>
      <ns0:c r="B2064" s="219">
        <ns0:f>IFERROR(IF(AND(AH!$P$9&lt;&gt;1,$C2064&gt;0,$D2064&gt;0,$E2064&gt;0,$F2064&gt;0,$G2064&gt;0,$F2064&lt;=$A2064,$G2064&lt;=$A2064,$A2064-$F2064&lt;=10,$A2064-$G2064&lt;=5),$D2064*$E2064/$C2064-1,NA()),NA())</ns0:f>
        <ns0:v/>
      </ns0:c>
      <ns0:c r="C2064">
        <ns0:f>IFERROR(IF(ISNUMBER($A2064),IF(AND(AH!$P$10=1,AH!$P$12=1,$A2064=TODAY()),AH!$P$19,IF(AH!$P$10=1,INDEX('Live History'!$B$5:$B$3004,AH!$P$13+2059),INDEX('AH History'!$B$1:$B$18046,AH!$P$7+2059))),NA()),NA())</ns0:f>
        <ns0:v/>
      </ns0:c>
      <ns0:c r="D2064">
        <ns0:f>IFERROR(IF(ISNUMBER($A2064),IF(AND(AH!$P$10=1,AH!$P$12=1,$A2064=TODAY()),AH!$P$18,IF(AH!$P$10=1,INDEX('Live History'!$E$5:$E$3004,MATCH($A2064,'Live History'!$D$5:$D$3004,1)),INDEX('AH History'!$C$1:$C$18046,AH!$P$7+2059))),NA()),NA())</ns0:f>
        <ns0:v/>
      </ns0:c>
      <ns0:c r="E2064">
        <ns0:f>IFERROR(IF(ISNUMBER($A2064),IF(AND(AH!$P$10=1,AH!$P$12=1,$A2064=TODAY()),AH!$P$20,IF(AH!$P$10=1,INDEX('Live History'!$H$5:$H$3004,MATCH($A2064,'Live History'!$G$5:$G$3004,1)),INDEX('AH History'!$D$1:$D$18046,AH!$P$7+2059))),NA()),NA())</ns0:f>
        <ns0:v/>
      </ns0:c>
      <ns0:c r="F2064">
        <ns0:f>IFERROR(IF(ISNUMBER($A2064),IF(AND(AH!$P$10=1,AH!$P$12=1,$A2064=TODAY()),IF(AND(AH!$P$10=1,AH!$P$12=1,$A2064=TODAY()),TODAY(),NA()),IF(AH!$P$10=1,INDEX('Live History'!$D$5:$D$3004,MATCH($A2064,'Live History'!$D$5:$D$3004,1)),INDEX('AH History'!$E$1:$E$18046,AH!$P$7+2059))),NA()),NA())</ns0:f>
        <ns0:v/>
      </ns0:c>
      <ns0:c r="G2064">
        <ns0:f>IFERROR(IF(ISNUMBER($A2064),IF(AND(AH!$P$10=1,AH!$P$12=1,$A2064=TODAY()),IF(AND(AH!$P$10=1,AH!$P$12=1,$A2064=TODAY()),TODAY(),NA()),IF(AH!$P$10=1,INDEX('Live History'!$G$5:$G$3004,MATCH($A2064,'Live History'!$G$5:$G$3004,1)),INDEX('AH History'!$F$1:$F$18046,AH!$P$7+2059))),NA()),NA())</ns0:f>
        <ns0:v/>
      </ns0:c>
      <ns0:c r="H2064">
        <ns0:f>IFERROR(IF(AND(AH!$E$4="Bloomberg",AH!$P$10=1,ISNUMBER($A2064),$A2064&lt;=AH!$P$17),AH!$P$7-1+MATCH($A2064,INDEX('AH History'!$A$1:$A$18046,AH!$P$7):INDEX('AH History'!$A$1:$A$18046,AH!$P$7+AH!$P$8-1),0),0),0)</ns0:f>
        <ns0:v/>
      </ns0:c>
      <ns0:c r="I2064">
        <ns0:f>IF($H2064=0,0,IFERROR(IF(AND(ABS($C2064-INDEX('AH History'!$B$1:$B$18046,$H2064))&lt;=MAX(0.005,ABS(INDEX('AH History'!$B$1:$B$18046,$H2064))*0.00005),ABS($D2064-INDEX('AH History'!$C$1:$C$18046,$H2064))&lt;=MAX(0.005,ABS(INDEX('AH History'!$C$1:$C$18046,$H2064))*0.00005),ABS($E2064-INDEX('AH History'!$D$1:$D$18046,$H2064))&lt;=0.00005,$F2064=INDEX('AH History'!$E$1:$E$18046,$H2064),$G2064=INDEX('AH History'!$F$1:$F$18046,$H2064)),1,-1),-1))</ns0:f>
        <ns0:v/>
      </ns0:c>
    </ns0:row>
    <ns0:row r="2065">
      <ns0:c r="A2065" s="215">
        <ns0:f>IF(OR(AH!$P$3=0,2060+1&gt;AH!$P$11,AND(AH!$E$4&lt;&gt;"Stored",AH!$P$10&lt;&gt;1)),"",IFERROR(IF(AND(AH!$P$21=1,2060+1=AH!$P$11),TODAY(),IF(AH!$P$10=1,INDEX('Live History'!$A$5:$A$3004,AH!$P$13+2060),INDEX('AH History'!$A$1:$A$18046,AH!$P$7+2060))),""))</ns0:f>
        <ns0:v/>
      </ns0:c>
      <ns0:c r="B2065" s="219">
        <ns0:f>IFERROR(IF(AND(AH!$P$9&lt;&gt;1,$C2065&gt;0,$D2065&gt;0,$E2065&gt;0,$F2065&gt;0,$G2065&gt;0,$F2065&lt;=$A2065,$G2065&lt;=$A2065,$A2065-$F2065&lt;=10,$A2065-$G2065&lt;=5),$D2065*$E2065/$C2065-1,NA()),NA())</ns0:f>
        <ns0:v/>
      </ns0:c>
      <ns0:c r="C2065">
        <ns0:f>IFERROR(IF(ISNUMBER($A2065),IF(AND(AH!$P$10=1,AH!$P$12=1,$A2065=TODAY()),AH!$P$19,IF(AH!$P$10=1,INDEX('Live History'!$B$5:$B$3004,AH!$P$13+2060),INDEX('AH History'!$B$1:$B$18046,AH!$P$7+2060))),NA()),NA())</ns0:f>
        <ns0:v/>
      </ns0:c>
      <ns0:c r="D2065">
        <ns0:f>IFERROR(IF(ISNUMBER($A2065),IF(AND(AH!$P$10=1,AH!$P$12=1,$A2065=TODAY()),AH!$P$18,IF(AH!$P$10=1,INDEX('Live History'!$E$5:$E$3004,MATCH($A2065,'Live History'!$D$5:$D$3004,1)),INDEX('AH History'!$C$1:$C$18046,AH!$P$7+2060))),NA()),NA())</ns0:f>
        <ns0:v/>
      </ns0:c>
      <ns0:c r="E2065">
        <ns0:f>IFERROR(IF(ISNUMBER($A2065),IF(AND(AH!$P$10=1,AH!$P$12=1,$A2065=TODAY()),AH!$P$20,IF(AH!$P$10=1,INDEX('Live History'!$H$5:$H$3004,MATCH($A2065,'Live History'!$G$5:$G$3004,1)),INDEX('AH History'!$D$1:$D$18046,AH!$P$7+2060))),NA()),NA())</ns0:f>
        <ns0:v/>
      </ns0:c>
      <ns0:c r="F2065">
        <ns0:f>IFERROR(IF(ISNUMBER($A2065),IF(AND(AH!$P$10=1,AH!$P$12=1,$A2065=TODAY()),IF(AND(AH!$P$10=1,AH!$P$12=1,$A2065=TODAY()),TODAY(),NA()),IF(AH!$P$10=1,INDEX('Live History'!$D$5:$D$3004,MATCH($A2065,'Live History'!$D$5:$D$3004,1)),INDEX('AH History'!$E$1:$E$18046,AH!$P$7+2060))),NA()),NA())</ns0:f>
        <ns0:v/>
      </ns0:c>
      <ns0:c r="G2065">
        <ns0:f>IFERROR(IF(ISNUMBER($A2065),IF(AND(AH!$P$10=1,AH!$P$12=1,$A2065=TODAY()),IF(AND(AH!$P$10=1,AH!$P$12=1,$A2065=TODAY()),TODAY(),NA()),IF(AH!$P$10=1,INDEX('Live History'!$G$5:$G$3004,MATCH($A2065,'Live History'!$G$5:$G$3004,1)),INDEX('AH History'!$F$1:$F$18046,AH!$P$7+2060))),NA()),NA())</ns0:f>
        <ns0:v/>
      </ns0:c>
      <ns0:c r="H2065">
        <ns0:f>IFERROR(IF(AND(AH!$E$4="Bloomberg",AH!$P$10=1,ISNUMBER($A2065),$A2065&lt;=AH!$P$17),AH!$P$7-1+MATCH($A2065,INDEX('AH History'!$A$1:$A$18046,AH!$P$7):INDEX('AH History'!$A$1:$A$18046,AH!$P$7+AH!$P$8-1),0),0),0)</ns0:f>
        <ns0:v/>
      </ns0:c>
      <ns0:c r="I2065">
        <ns0:f>IF($H2065=0,0,IFERROR(IF(AND(ABS($C2065-INDEX('AH History'!$B$1:$B$18046,$H2065))&lt;=MAX(0.005,ABS(INDEX('AH History'!$B$1:$B$18046,$H2065))*0.00005),ABS($D2065-INDEX('AH History'!$C$1:$C$18046,$H2065))&lt;=MAX(0.005,ABS(INDEX('AH History'!$C$1:$C$18046,$H2065))*0.00005),ABS($E2065-INDEX('AH History'!$D$1:$D$18046,$H2065))&lt;=0.00005,$F2065=INDEX('AH History'!$E$1:$E$18046,$H2065),$G2065=INDEX('AH History'!$F$1:$F$18046,$H2065)),1,-1),-1))</ns0:f>
        <ns0:v/>
      </ns0:c>
    </ns0:row>
    <ns0:row r="2066">
      <ns0:c r="A2066" s="215">
        <ns0:f>IF(OR(AH!$P$3=0,2061+1&gt;AH!$P$11,AND(AH!$E$4&lt;&gt;"Stored",AH!$P$10&lt;&gt;1)),"",IFERROR(IF(AND(AH!$P$21=1,2061+1=AH!$P$11),TODAY(),IF(AH!$P$10=1,INDEX('Live History'!$A$5:$A$3004,AH!$P$13+2061),INDEX('AH History'!$A$1:$A$18046,AH!$P$7+2061))),""))</ns0:f>
        <ns0:v/>
      </ns0:c>
      <ns0:c r="B2066" s="219">
        <ns0:f>IFERROR(IF(AND(AH!$P$9&lt;&gt;1,$C2066&gt;0,$D2066&gt;0,$E2066&gt;0,$F2066&gt;0,$G2066&gt;0,$F2066&lt;=$A2066,$G2066&lt;=$A2066,$A2066-$F2066&lt;=10,$A2066-$G2066&lt;=5),$D2066*$E2066/$C2066-1,NA()),NA())</ns0:f>
        <ns0:v/>
      </ns0:c>
      <ns0:c r="C2066">
        <ns0:f>IFERROR(IF(ISNUMBER($A2066),IF(AND(AH!$P$10=1,AH!$P$12=1,$A2066=TODAY()),AH!$P$19,IF(AH!$P$10=1,INDEX('Live History'!$B$5:$B$3004,AH!$P$13+2061),INDEX('AH History'!$B$1:$B$18046,AH!$P$7+2061))),NA()),NA())</ns0:f>
        <ns0:v/>
      </ns0:c>
      <ns0:c r="D2066">
        <ns0:f>IFERROR(IF(ISNUMBER($A2066),IF(AND(AH!$P$10=1,AH!$P$12=1,$A2066=TODAY()),AH!$P$18,IF(AH!$P$10=1,INDEX('Live History'!$E$5:$E$3004,MATCH($A2066,'Live History'!$D$5:$D$3004,1)),INDEX('AH History'!$C$1:$C$18046,AH!$P$7+2061))),NA()),NA())</ns0:f>
        <ns0:v/>
      </ns0:c>
      <ns0:c r="E2066">
        <ns0:f>IFERROR(IF(ISNUMBER($A2066),IF(AND(AH!$P$10=1,AH!$P$12=1,$A2066=TODAY()),AH!$P$20,IF(AH!$P$10=1,INDEX('Live History'!$H$5:$H$3004,MATCH($A2066,'Live History'!$G$5:$G$3004,1)),INDEX('AH History'!$D$1:$D$18046,AH!$P$7+2061))),NA()),NA())</ns0:f>
        <ns0:v/>
      </ns0:c>
      <ns0:c r="F2066">
        <ns0:f>IFERROR(IF(ISNUMBER($A2066),IF(AND(AH!$P$10=1,AH!$P$12=1,$A2066=TODAY()),IF(AND(AH!$P$10=1,AH!$P$12=1,$A2066=TODAY()),TODAY(),NA()),IF(AH!$P$10=1,INDEX('Live History'!$D$5:$D$3004,MATCH($A2066,'Live History'!$D$5:$D$3004,1)),INDEX('AH History'!$E$1:$E$18046,AH!$P$7+2061))),NA()),NA())</ns0:f>
        <ns0:v/>
      </ns0:c>
      <ns0:c r="G2066">
        <ns0:f>IFERROR(IF(ISNUMBER($A2066),IF(AND(AH!$P$10=1,AH!$P$12=1,$A2066=TODAY()),IF(AND(AH!$P$10=1,AH!$P$12=1,$A2066=TODAY()),TODAY(),NA()),IF(AH!$P$10=1,INDEX('Live History'!$G$5:$G$3004,MATCH($A2066,'Live History'!$G$5:$G$3004,1)),INDEX('AH History'!$F$1:$F$18046,AH!$P$7+2061))),NA()),NA())</ns0:f>
        <ns0:v/>
      </ns0:c>
      <ns0:c r="H2066">
        <ns0:f>IFERROR(IF(AND(AH!$E$4="Bloomberg",AH!$P$10=1,ISNUMBER($A2066),$A2066&lt;=AH!$P$17),AH!$P$7-1+MATCH($A2066,INDEX('AH History'!$A$1:$A$18046,AH!$P$7):INDEX('AH History'!$A$1:$A$18046,AH!$P$7+AH!$P$8-1),0),0),0)</ns0:f>
        <ns0:v/>
      </ns0:c>
      <ns0:c r="I2066">
        <ns0:f>IF($H2066=0,0,IFERROR(IF(AND(ABS($C2066-INDEX('AH History'!$B$1:$B$18046,$H2066))&lt;=MAX(0.005,ABS(INDEX('AH History'!$B$1:$B$18046,$H2066))*0.00005),ABS($D2066-INDEX('AH History'!$C$1:$C$18046,$H2066))&lt;=MAX(0.005,ABS(INDEX('AH History'!$C$1:$C$18046,$H2066))*0.00005),ABS($E2066-INDEX('AH History'!$D$1:$D$18046,$H2066))&lt;=0.00005,$F2066=INDEX('AH History'!$E$1:$E$18046,$H2066),$G2066=INDEX('AH History'!$F$1:$F$18046,$H2066)),1,-1),-1))</ns0:f>
        <ns0:v/>
      </ns0:c>
    </ns0:row>
    <ns0:row r="2067">
      <ns0:c r="A2067" s="215">
        <ns0:f>IF(OR(AH!$P$3=0,2062+1&gt;AH!$P$11,AND(AH!$E$4&lt;&gt;"Stored",AH!$P$10&lt;&gt;1)),"",IFERROR(IF(AND(AH!$P$21=1,2062+1=AH!$P$11),TODAY(),IF(AH!$P$10=1,INDEX('Live History'!$A$5:$A$3004,AH!$P$13+2062),INDEX('AH History'!$A$1:$A$18046,AH!$P$7+2062))),""))</ns0:f>
        <ns0:v/>
      </ns0:c>
      <ns0:c r="B2067" s="219">
        <ns0:f>IFERROR(IF(AND(AH!$P$9&lt;&gt;1,$C2067&gt;0,$D2067&gt;0,$E2067&gt;0,$F2067&gt;0,$G2067&gt;0,$F2067&lt;=$A2067,$G2067&lt;=$A2067,$A2067-$F2067&lt;=10,$A2067-$G2067&lt;=5),$D2067*$E2067/$C2067-1,NA()),NA())</ns0:f>
        <ns0:v/>
      </ns0:c>
      <ns0:c r="C2067">
        <ns0:f>IFERROR(IF(ISNUMBER($A2067),IF(AND(AH!$P$10=1,AH!$P$12=1,$A2067=TODAY()),AH!$P$19,IF(AH!$P$10=1,INDEX('Live History'!$B$5:$B$3004,AH!$P$13+2062),INDEX('AH History'!$B$1:$B$18046,AH!$P$7+2062))),NA()),NA())</ns0:f>
        <ns0:v/>
      </ns0:c>
      <ns0:c r="D2067">
        <ns0:f>IFERROR(IF(ISNUMBER($A2067),IF(AND(AH!$P$10=1,AH!$P$12=1,$A2067=TODAY()),AH!$P$18,IF(AH!$P$10=1,INDEX('Live History'!$E$5:$E$3004,MATCH($A2067,'Live History'!$D$5:$D$3004,1)),INDEX('AH History'!$C$1:$C$18046,AH!$P$7+2062))),NA()),NA())</ns0:f>
        <ns0:v/>
      </ns0:c>
      <ns0:c r="E2067">
        <ns0:f>IFERROR(IF(ISNUMBER($A2067),IF(AND(AH!$P$10=1,AH!$P$12=1,$A2067=TODAY()),AH!$P$20,IF(AH!$P$10=1,INDEX('Live History'!$H$5:$H$3004,MATCH($A2067,'Live History'!$G$5:$G$3004,1)),INDEX('AH History'!$D$1:$D$18046,AH!$P$7+2062))),NA()),NA())</ns0:f>
        <ns0:v/>
      </ns0:c>
      <ns0:c r="F2067">
        <ns0:f>IFERROR(IF(ISNUMBER($A2067),IF(AND(AH!$P$10=1,AH!$P$12=1,$A2067=TODAY()),IF(AND(AH!$P$10=1,AH!$P$12=1,$A2067=TODAY()),TODAY(),NA()),IF(AH!$P$10=1,INDEX('Live History'!$D$5:$D$3004,MATCH($A2067,'Live History'!$D$5:$D$3004,1)),INDEX('AH History'!$E$1:$E$18046,AH!$P$7+2062))),NA()),NA())</ns0:f>
        <ns0:v/>
      </ns0:c>
      <ns0:c r="G2067">
        <ns0:f>IFERROR(IF(ISNUMBER($A2067),IF(AND(AH!$P$10=1,AH!$P$12=1,$A2067=TODAY()),IF(AND(AH!$P$10=1,AH!$P$12=1,$A2067=TODAY()),TODAY(),NA()),IF(AH!$P$10=1,INDEX('Live History'!$G$5:$G$3004,MATCH($A2067,'Live History'!$G$5:$G$3004,1)),INDEX('AH History'!$F$1:$F$18046,AH!$P$7+2062))),NA()),NA())</ns0:f>
        <ns0:v/>
      </ns0:c>
      <ns0:c r="H2067">
        <ns0:f>IFERROR(IF(AND(AH!$E$4="Bloomberg",AH!$P$10=1,ISNUMBER($A2067),$A2067&lt;=AH!$P$17),AH!$P$7-1+MATCH($A2067,INDEX('AH History'!$A$1:$A$18046,AH!$P$7):INDEX('AH History'!$A$1:$A$18046,AH!$P$7+AH!$P$8-1),0),0),0)</ns0:f>
        <ns0:v/>
      </ns0:c>
      <ns0:c r="I2067">
        <ns0:f>IF($H2067=0,0,IFERROR(IF(AND(ABS($C2067-INDEX('AH History'!$B$1:$B$18046,$H2067))&lt;=MAX(0.005,ABS(INDEX('AH History'!$B$1:$B$18046,$H2067))*0.00005),ABS($D2067-INDEX('AH History'!$C$1:$C$18046,$H2067))&lt;=MAX(0.005,ABS(INDEX('AH History'!$C$1:$C$18046,$H2067))*0.00005),ABS($E2067-INDEX('AH History'!$D$1:$D$18046,$H2067))&lt;=0.00005,$F2067=INDEX('AH History'!$E$1:$E$18046,$H2067),$G2067=INDEX('AH History'!$F$1:$F$18046,$H2067)),1,-1),-1))</ns0:f>
        <ns0:v/>
      </ns0:c>
    </ns0:row>
    <ns0:row r="2068">
      <ns0:c r="A2068" s="215">
        <ns0:f>IF(OR(AH!$P$3=0,2063+1&gt;AH!$P$11,AND(AH!$E$4&lt;&gt;"Stored",AH!$P$10&lt;&gt;1)),"",IFERROR(IF(AND(AH!$P$21=1,2063+1=AH!$P$11),TODAY(),IF(AH!$P$10=1,INDEX('Live History'!$A$5:$A$3004,AH!$P$13+2063),INDEX('AH History'!$A$1:$A$18046,AH!$P$7+2063))),""))</ns0:f>
        <ns0:v/>
      </ns0:c>
      <ns0:c r="B2068" s="219">
        <ns0:f>IFERROR(IF(AND(AH!$P$9&lt;&gt;1,$C2068&gt;0,$D2068&gt;0,$E2068&gt;0,$F2068&gt;0,$G2068&gt;0,$F2068&lt;=$A2068,$G2068&lt;=$A2068,$A2068-$F2068&lt;=10,$A2068-$G2068&lt;=5),$D2068*$E2068/$C2068-1,NA()),NA())</ns0:f>
        <ns0:v/>
      </ns0:c>
      <ns0:c r="C2068">
        <ns0:f>IFERROR(IF(ISNUMBER($A2068),IF(AND(AH!$P$10=1,AH!$P$12=1,$A2068=TODAY()),AH!$P$19,IF(AH!$P$10=1,INDEX('Live History'!$B$5:$B$3004,AH!$P$13+2063),INDEX('AH History'!$B$1:$B$18046,AH!$P$7+2063))),NA()),NA())</ns0:f>
        <ns0:v/>
      </ns0:c>
      <ns0:c r="D2068">
        <ns0:f>IFERROR(IF(ISNUMBER($A2068),IF(AND(AH!$P$10=1,AH!$P$12=1,$A2068=TODAY()),AH!$P$18,IF(AH!$P$10=1,INDEX('Live History'!$E$5:$E$3004,MATCH($A2068,'Live History'!$D$5:$D$3004,1)),INDEX('AH History'!$C$1:$C$18046,AH!$P$7+2063))),NA()),NA())</ns0:f>
        <ns0:v/>
      </ns0:c>
      <ns0:c r="E2068">
        <ns0:f>IFERROR(IF(ISNUMBER($A2068),IF(AND(AH!$P$10=1,AH!$P$12=1,$A2068=TODAY()),AH!$P$20,IF(AH!$P$10=1,INDEX('Live History'!$H$5:$H$3004,MATCH($A2068,'Live History'!$G$5:$G$3004,1)),INDEX('AH History'!$D$1:$D$18046,AH!$P$7+2063))),NA()),NA())</ns0:f>
        <ns0:v/>
      </ns0:c>
      <ns0:c r="F2068">
        <ns0:f>IFERROR(IF(ISNUMBER($A2068),IF(AND(AH!$P$10=1,AH!$P$12=1,$A2068=TODAY()),IF(AND(AH!$P$10=1,AH!$P$12=1,$A2068=TODAY()),TODAY(),NA()),IF(AH!$P$10=1,INDEX('Live History'!$D$5:$D$3004,MATCH($A2068,'Live History'!$D$5:$D$3004,1)),INDEX('AH History'!$E$1:$E$18046,AH!$P$7+2063))),NA()),NA())</ns0:f>
        <ns0:v/>
      </ns0:c>
      <ns0:c r="G2068">
        <ns0:f>IFERROR(IF(ISNUMBER($A2068),IF(AND(AH!$P$10=1,AH!$P$12=1,$A2068=TODAY()),IF(AND(AH!$P$10=1,AH!$P$12=1,$A2068=TODAY()),TODAY(),NA()),IF(AH!$P$10=1,INDEX('Live History'!$G$5:$G$3004,MATCH($A2068,'Live History'!$G$5:$G$3004,1)),INDEX('AH History'!$F$1:$F$18046,AH!$P$7+2063))),NA()),NA())</ns0:f>
        <ns0:v/>
      </ns0:c>
      <ns0:c r="H2068">
        <ns0:f>IFERROR(IF(AND(AH!$E$4="Bloomberg",AH!$P$10=1,ISNUMBER($A2068),$A2068&lt;=AH!$P$17),AH!$P$7-1+MATCH($A2068,INDEX('AH History'!$A$1:$A$18046,AH!$P$7):INDEX('AH History'!$A$1:$A$18046,AH!$P$7+AH!$P$8-1),0),0),0)</ns0:f>
        <ns0:v/>
      </ns0:c>
      <ns0:c r="I2068">
        <ns0:f>IF($H2068=0,0,IFERROR(IF(AND(ABS($C2068-INDEX('AH History'!$B$1:$B$18046,$H2068))&lt;=MAX(0.005,ABS(INDEX('AH History'!$B$1:$B$18046,$H2068))*0.00005),ABS($D2068-INDEX('AH History'!$C$1:$C$18046,$H2068))&lt;=MAX(0.005,ABS(INDEX('AH History'!$C$1:$C$18046,$H2068))*0.00005),ABS($E2068-INDEX('AH History'!$D$1:$D$18046,$H2068))&lt;=0.00005,$F2068=INDEX('AH History'!$E$1:$E$18046,$H2068),$G2068=INDEX('AH History'!$F$1:$F$18046,$H2068)),1,-1),-1))</ns0:f>
        <ns0:v/>
      </ns0:c>
    </ns0:row>
    <ns0:row r="2069">
      <ns0:c r="A2069" s="215">
        <ns0:f>IF(OR(AH!$P$3=0,2064+1&gt;AH!$P$11,AND(AH!$E$4&lt;&gt;"Stored",AH!$P$10&lt;&gt;1)),"",IFERROR(IF(AND(AH!$P$21=1,2064+1=AH!$P$11),TODAY(),IF(AH!$P$10=1,INDEX('Live History'!$A$5:$A$3004,AH!$P$13+2064),INDEX('AH History'!$A$1:$A$18046,AH!$P$7+2064))),""))</ns0:f>
        <ns0:v/>
      </ns0:c>
      <ns0:c r="B2069" s="219">
        <ns0:f>IFERROR(IF(AND(AH!$P$9&lt;&gt;1,$C2069&gt;0,$D2069&gt;0,$E2069&gt;0,$F2069&gt;0,$G2069&gt;0,$F2069&lt;=$A2069,$G2069&lt;=$A2069,$A2069-$F2069&lt;=10,$A2069-$G2069&lt;=5),$D2069*$E2069/$C2069-1,NA()),NA())</ns0:f>
        <ns0:v/>
      </ns0:c>
      <ns0:c r="C2069">
        <ns0:f>IFERROR(IF(ISNUMBER($A2069),IF(AND(AH!$P$10=1,AH!$P$12=1,$A2069=TODAY()),AH!$P$19,IF(AH!$P$10=1,INDEX('Live History'!$B$5:$B$3004,AH!$P$13+2064),INDEX('AH History'!$B$1:$B$18046,AH!$P$7+2064))),NA()),NA())</ns0:f>
        <ns0:v/>
      </ns0:c>
      <ns0:c r="D2069">
        <ns0:f>IFERROR(IF(ISNUMBER($A2069),IF(AND(AH!$P$10=1,AH!$P$12=1,$A2069=TODAY()),AH!$P$18,IF(AH!$P$10=1,INDEX('Live History'!$E$5:$E$3004,MATCH($A2069,'Live History'!$D$5:$D$3004,1)),INDEX('AH History'!$C$1:$C$18046,AH!$P$7+2064))),NA()),NA())</ns0:f>
        <ns0:v/>
      </ns0:c>
      <ns0:c r="E2069">
        <ns0:f>IFERROR(IF(ISNUMBER($A2069),IF(AND(AH!$P$10=1,AH!$P$12=1,$A2069=TODAY()),AH!$P$20,IF(AH!$P$10=1,INDEX('Live History'!$H$5:$H$3004,MATCH($A2069,'Live History'!$G$5:$G$3004,1)),INDEX('AH History'!$D$1:$D$18046,AH!$P$7+2064))),NA()),NA())</ns0:f>
        <ns0:v/>
      </ns0:c>
      <ns0:c r="F2069">
        <ns0:f>IFERROR(IF(ISNUMBER($A2069),IF(AND(AH!$P$10=1,AH!$P$12=1,$A2069=TODAY()),IF(AND(AH!$P$10=1,AH!$P$12=1,$A2069=TODAY()),TODAY(),NA()),IF(AH!$P$10=1,INDEX('Live History'!$D$5:$D$3004,MATCH($A2069,'Live History'!$D$5:$D$3004,1)),INDEX('AH History'!$E$1:$E$18046,AH!$P$7+2064))),NA()),NA())</ns0:f>
        <ns0:v/>
      </ns0:c>
      <ns0:c r="G2069">
        <ns0:f>IFERROR(IF(ISNUMBER($A2069),IF(AND(AH!$P$10=1,AH!$P$12=1,$A2069=TODAY()),IF(AND(AH!$P$10=1,AH!$P$12=1,$A2069=TODAY()),TODAY(),NA()),IF(AH!$P$10=1,INDEX('Live History'!$G$5:$G$3004,MATCH($A2069,'Live History'!$G$5:$G$3004,1)),INDEX('AH History'!$F$1:$F$18046,AH!$P$7+2064))),NA()),NA())</ns0:f>
        <ns0:v/>
      </ns0:c>
      <ns0:c r="H2069">
        <ns0:f>IFERROR(IF(AND(AH!$E$4="Bloomberg",AH!$P$10=1,ISNUMBER($A2069),$A2069&lt;=AH!$P$17),AH!$P$7-1+MATCH($A2069,INDEX('AH History'!$A$1:$A$18046,AH!$P$7):INDEX('AH History'!$A$1:$A$18046,AH!$P$7+AH!$P$8-1),0),0),0)</ns0:f>
        <ns0:v/>
      </ns0:c>
      <ns0:c r="I2069">
        <ns0:f>IF($H2069=0,0,IFERROR(IF(AND(ABS($C2069-INDEX('AH History'!$B$1:$B$18046,$H2069))&lt;=MAX(0.005,ABS(INDEX('AH History'!$B$1:$B$18046,$H2069))*0.00005),ABS($D2069-INDEX('AH History'!$C$1:$C$18046,$H2069))&lt;=MAX(0.005,ABS(INDEX('AH History'!$C$1:$C$18046,$H2069))*0.00005),ABS($E2069-INDEX('AH History'!$D$1:$D$18046,$H2069))&lt;=0.00005,$F2069=INDEX('AH History'!$E$1:$E$18046,$H2069),$G2069=INDEX('AH History'!$F$1:$F$18046,$H2069)),1,-1),-1))</ns0:f>
        <ns0:v/>
      </ns0:c>
    </ns0:row>
    <ns0:row r="2070">
      <ns0:c r="A2070" s="215">
        <ns0:f>IF(OR(AH!$P$3=0,2065+1&gt;AH!$P$11,AND(AH!$E$4&lt;&gt;"Stored",AH!$P$10&lt;&gt;1)),"",IFERROR(IF(AND(AH!$P$21=1,2065+1=AH!$P$11),TODAY(),IF(AH!$P$10=1,INDEX('Live History'!$A$5:$A$3004,AH!$P$13+2065),INDEX('AH History'!$A$1:$A$18046,AH!$P$7+2065))),""))</ns0:f>
        <ns0:v/>
      </ns0:c>
      <ns0:c r="B2070" s="219">
        <ns0:f>IFERROR(IF(AND(AH!$P$9&lt;&gt;1,$C2070&gt;0,$D2070&gt;0,$E2070&gt;0,$F2070&gt;0,$G2070&gt;0,$F2070&lt;=$A2070,$G2070&lt;=$A2070,$A2070-$F2070&lt;=10,$A2070-$G2070&lt;=5),$D2070*$E2070/$C2070-1,NA()),NA())</ns0:f>
        <ns0:v/>
      </ns0:c>
      <ns0:c r="C2070">
        <ns0:f>IFERROR(IF(ISNUMBER($A2070),IF(AND(AH!$P$10=1,AH!$P$12=1,$A2070=TODAY()),AH!$P$19,IF(AH!$P$10=1,INDEX('Live History'!$B$5:$B$3004,AH!$P$13+2065),INDEX('AH History'!$B$1:$B$18046,AH!$P$7+2065))),NA()),NA())</ns0:f>
        <ns0:v/>
      </ns0:c>
      <ns0:c r="D2070">
        <ns0:f>IFERROR(IF(ISNUMBER($A2070),IF(AND(AH!$P$10=1,AH!$P$12=1,$A2070=TODAY()),AH!$P$18,IF(AH!$P$10=1,INDEX('Live History'!$E$5:$E$3004,MATCH($A2070,'Live History'!$D$5:$D$3004,1)),INDEX('AH History'!$C$1:$C$18046,AH!$P$7+2065))),NA()),NA())</ns0:f>
        <ns0:v/>
      </ns0:c>
      <ns0:c r="E2070">
        <ns0:f>IFERROR(IF(ISNUMBER($A2070),IF(AND(AH!$P$10=1,AH!$P$12=1,$A2070=TODAY()),AH!$P$20,IF(AH!$P$10=1,INDEX('Live History'!$H$5:$H$3004,MATCH($A2070,'Live History'!$G$5:$G$3004,1)),INDEX('AH History'!$D$1:$D$18046,AH!$P$7+2065))),NA()),NA())</ns0:f>
        <ns0:v/>
      </ns0:c>
      <ns0:c r="F2070">
        <ns0:f>IFERROR(IF(ISNUMBER($A2070),IF(AND(AH!$P$10=1,AH!$P$12=1,$A2070=TODAY()),IF(AND(AH!$P$10=1,AH!$P$12=1,$A2070=TODAY()),TODAY(),NA()),IF(AH!$P$10=1,INDEX('Live History'!$D$5:$D$3004,MATCH($A2070,'Live History'!$D$5:$D$3004,1)),INDEX('AH History'!$E$1:$E$18046,AH!$P$7+2065))),NA()),NA())</ns0:f>
        <ns0:v/>
      </ns0:c>
      <ns0:c r="G2070">
        <ns0:f>IFERROR(IF(ISNUMBER($A2070),IF(AND(AH!$P$10=1,AH!$P$12=1,$A2070=TODAY()),IF(AND(AH!$P$10=1,AH!$P$12=1,$A2070=TODAY()),TODAY(),NA()),IF(AH!$P$10=1,INDEX('Live History'!$G$5:$G$3004,MATCH($A2070,'Live History'!$G$5:$G$3004,1)),INDEX('AH History'!$F$1:$F$18046,AH!$P$7+2065))),NA()),NA())</ns0:f>
        <ns0:v/>
      </ns0:c>
      <ns0:c r="H2070">
        <ns0:f>IFERROR(IF(AND(AH!$E$4="Bloomberg",AH!$P$10=1,ISNUMBER($A2070),$A2070&lt;=AH!$P$17),AH!$P$7-1+MATCH($A2070,INDEX('AH History'!$A$1:$A$18046,AH!$P$7):INDEX('AH History'!$A$1:$A$18046,AH!$P$7+AH!$P$8-1),0),0),0)</ns0:f>
        <ns0:v/>
      </ns0:c>
      <ns0:c r="I2070">
        <ns0:f>IF($H2070=0,0,IFERROR(IF(AND(ABS($C2070-INDEX('AH History'!$B$1:$B$18046,$H2070))&lt;=MAX(0.005,ABS(INDEX('AH History'!$B$1:$B$18046,$H2070))*0.00005),ABS($D2070-INDEX('AH History'!$C$1:$C$18046,$H2070))&lt;=MAX(0.005,ABS(INDEX('AH History'!$C$1:$C$18046,$H2070))*0.00005),ABS($E2070-INDEX('AH History'!$D$1:$D$18046,$H2070))&lt;=0.00005,$F2070=INDEX('AH History'!$E$1:$E$18046,$H2070),$G2070=INDEX('AH History'!$F$1:$F$18046,$H2070)),1,-1),-1))</ns0:f>
        <ns0:v/>
      </ns0:c>
    </ns0:row>
    <ns0:row r="2071">
      <ns0:c r="A2071" s="215">
        <ns0:f>IF(OR(AH!$P$3=0,2066+1&gt;AH!$P$11,AND(AH!$E$4&lt;&gt;"Stored",AH!$P$10&lt;&gt;1)),"",IFERROR(IF(AND(AH!$P$21=1,2066+1=AH!$P$11),TODAY(),IF(AH!$P$10=1,INDEX('Live History'!$A$5:$A$3004,AH!$P$13+2066),INDEX('AH History'!$A$1:$A$18046,AH!$P$7+2066))),""))</ns0:f>
        <ns0:v/>
      </ns0:c>
      <ns0:c r="B2071" s="219">
        <ns0:f>IFERROR(IF(AND(AH!$P$9&lt;&gt;1,$C2071&gt;0,$D2071&gt;0,$E2071&gt;0,$F2071&gt;0,$G2071&gt;0,$F2071&lt;=$A2071,$G2071&lt;=$A2071,$A2071-$F2071&lt;=10,$A2071-$G2071&lt;=5),$D2071*$E2071/$C2071-1,NA()),NA())</ns0:f>
        <ns0:v/>
      </ns0:c>
      <ns0:c r="C2071">
        <ns0:f>IFERROR(IF(ISNUMBER($A2071),IF(AND(AH!$P$10=1,AH!$P$12=1,$A2071=TODAY()),AH!$P$19,IF(AH!$P$10=1,INDEX('Live History'!$B$5:$B$3004,AH!$P$13+2066),INDEX('AH History'!$B$1:$B$18046,AH!$P$7+2066))),NA()),NA())</ns0:f>
        <ns0:v/>
      </ns0:c>
      <ns0:c r="D2071">
        <ns0:f>IFERROR(IF(ISNUMBER($A2071),IF(AND(AH!$P$10=1,AH!$P$12=1,$A2071=TODAY()),AH!$P$18,IF(AH!$P$10=1,INDEX('Live History'!$E$5:$E$3004,MATCH($A2071,'Live History'!$D$5:$D$3004,1)),INDEX('AH History'!$C$1:$C$18046,AH!$P$7+2066))),NA()),NA())</ns0:f>
        <ns0:v/>
      </ns0:c>
      <ns0:c r="E2071">
        <ns0:f>IFERROR(IF(ISNUMBER($A2071),IF(AND(AH!$P$10=1,AH!$P$12=1,$A2071=TODAY()),AH!$P$20,IF(AH!$P$10=1,INDEX('Live History'!$H$5:$H$3004,MATCH($A2071,'Live History'!$G$5:$G$3004,1)),INDEX('AH History'!$D$1:$D$18046,AH!$P$7+2066))),NA()),NA())</ns0:f>
        <ns0:v/>
      </ns0:c>
      <ns0:c r="F2071">
        <ns0:f>IFERROR(IF(ISNUMBER($A2071),IF(AND(AH!$P$10=1,AH!$P$12=1,$A2071=TODAY()),IF(AND(AH!$P$10=1,AH!$P$12=1,$A2071=TODAY()),TODAY(),NA()),IF(AH!$P$10=1,INDEX('Live History'!$D$5:$D$3004,MATCH($A2071,'Live History'!$D$5:$D$3004,1)),INDEX('AH History'!$E$1:$E$18046,AH!$P$7+2066))),NA()),NA())</ns0:f>
        <ns0:v/>
      </ns0:c>
      <ns0:c r="G2071">
        <ns0:f>IFERROR(IF(ISNUMBER($A2071),IF(AND(AH!$P$10=1,AH!$P$12=1,$A2071=TODAY()),IF(AND(AH!$P$10=1,AH!$P$12=1,$A2071=TODAY()),TODAY(),NA()),IF(AH!$P$10=1,INDEX('Live History'!$G$5:$G$3004,MATCH($A2071,'Live History'!$G$5:$G$3004,1)),INDEX('AH History'!$F$1:$F$18046,AH!$P$7+2066))),NA()),NA())</ns0:f>
        <ns0:v/>
      </ns0:c>
      <ns0:c r="H2071">
        <ns0:f>IFERROR(IF(AND(AH!$E$4="Bloomberg",AH!$P$10=1,ISNUMBER($A2071),$A2071&lt;=AH!$P$17),AH!$P$7-1+MATCH($A2071,INDEX('AH History'!$A$1:$A$18046,AH!$P$7):INDEX('AH History'!$A$1:$A$18046,AH!$P$7+AH!$P$8-1),0),0),0)</ns0:f>
        <ns0:v/>
      </ns0:c>
      <ns0:c r="I2071">
        <ns0:f>IF($H2071=0,0,IFERROR(IF(AND(ABS($C2071-INDEX('AH History'!$B$1:$B$18046,$H2071))&lt;=MAX(0.005,ABS(INDEX('AH History'!$B$1:$B$18046,$H2071))*0.00005),ABS($D2071-INDEX('AH History'!$C$1:$C$18046,$H2071))&lt;=MAX(0.005,ABS(INDEX('AH History'!$C$1:$C$18046,$H2071))*0.00005),ABS($E2071-INDEX('AH History'!$D$1:$D$18046,$H2071))&lt;=0.00005,$F2071=INDEX('AH History'!$E$1:$E$18046,$H2071),$G2071=INDEX('AH History'!$F$1:$F$18046,$H2071)),1,-1),-1))</ns0:f>
        <ns0:v/>
      </ns0:c>
    </ns0:row>
    <ns0:row r="2072">
      <ns0:c r="A2072" s="215">
        <ns0:f>IF(OR(AH!$P$3=0,2067+1&gt;AH!$P$11,AND(AH!$E$4&lt;&gt;"Stored",AH!$P$10&lt;&gt;1)),"",IFERROR(IF(AND(AH!$P$21=1,2067+1=AH!$P$11),TODAY(),IF(AH!$P$10=1,INDEX('Live History'!$A$5:$A$3004,AH!$P$13+2067),INDEX('AH History'!$A$1:$A$18046,AH!$P$7+2067))),""))</ns0:f>
        <ns0:v/>
      </ns0:c>
      <ns0:c r="B2072" s="219">
        <ns0:f>IFERROR(IF(AND(AH!$P$9&lt;&gt;1,$C2072&gt;0,$D2072&gt;0,$E2072&gt;0,$F2072&gt;0,$G2072&gt;0,$F2072&lt;=$A2072,$G2072&lt;=$A2072,$A2072-$F2072&lt;=10,$A2072-$G2072&lt;=5),$D2072*$E2072/$C2072-1,NA()),NA())</ns0:f>
        <ns0:v/>
      </ns0:c>
      <ns0:c r="C2072">
        <ns0:f>IFERROR(IF(ISNUMBER($A2072),IF(AND(AH!$P$10=1,AH!$P$12=1,$A2072=TODAY()),AH!$P$19,IF(AH!$P$10=1,INDEX('Live History'!$B$5:$B$3004,AH!$P$13+2067),INDEX('AH History'!$B$1:$B$18046,AH!$P$7+2067))),NA()),NA())</ns0:f>
        <ns0:v/>
      </ns0:c>
      <ns0:c r="D2072">
        <ns0:f>IFERROR(IF(ISNUMBER($A2072),IF(AND(AH!$P$10=1,AH!$P$12=1,$A2072=TODAY()),AH!$P$18,IF(AH!$P$10=1,INDEX('Live History'!$E$5:$E$3004,MATCH($A2072,'Live History'!$D$5:$D$3004,1)),INDEX('AH History'!$C$1:$C$18046,AH!$P$7+2067))),NA()),NA())</ns0:f>
        <ns0:v/>
      </ns0:c>
      <ns0:c r="E2072">
        <ns0:f>IFERROR(IF(ISNUMBER($A2072),IF(AND(AH!$P$10=1,AH!$P$12=1,$A2072=TODAY()),AH!$P$20,IF(AH!$P$10=1,INDEX('Live History'!$H$5:$H$3004,MATCH($A2072,'Live History'!$G$5:$G$3004,1)),INDEX('AH History'!$D$1:$D$18046,AH!$P$7+2067))),NA()),NA())</ns0:f>
        <ns0:v/>
      </ns0:c>
      <ns0:c r="F2072">
        <ns0:f>IFERROR(IF(ISNUMBER($A2072),IF(AND(AH!$P$10=1,AH!$P$12=1,$A2072=TODAY()),IF(AND(AH!$P$10=1,AH!$P$12=1,$A2072=TODAY()),TODAY(),NA()),IF(AH!$P$10=1,INDEX('Live History'!$D$5:$D$3004,MATCH($A2072,'Live History'!$D$5:$D$3004,1)),INDEX('AH History'!$E$1:$E$18046,AH!$P$7+2067))),NA()),NA())</ns0:f>
        <ns0:v/>
      </ns0:c>
      <ns0:c r="G2072">
        <ns0:f>IFERROR(IF(ISNUMBER($A2072),IF(AND(AH!$P$10=1,AH!$P$12=1,$A2072=TODAY()),IF(AND(AH!$P$10=1,AH!$P$12=1,$A2072=TODAY()),TODAY(),NA()),IF(AH!$P$10=1,INDEX('Live History'!$G$5:$G$3004,MATCH($A2072,'Live History'!$G$5:$G$3004,1)),INDEX('AH History'!$F$1:$F$18046,AH!$P$7+2067))),NA()),NA())</ns0:f>
        <ns0:v/>
      </ns0:c>
      <ns0:c r="H2072">
        <ns0:f>IFERROR(IF(AND(AH!$E$4="Bloomberg",AH!$P$10=1,ISNUMBER($A2072),$A2072&lt;=AH!$P$17),AH!$P$7-1+MATCH($A2072,INDEX('AH History'!$A$1:$A$18046,AH!$P$7):INDEX('AH History'!$A$1:$A$18046,AH!$P$7+AH!$P$8-1),0),0),0)</ns0:f>
        <ns0:v/>
      </ns0:c>
      <ns0:c r="I2072">
        <ns0:f>IF($H2072=0,0,IFERROR(IF(AND(ABS($C2072-INDEX('AH History'!$B$1:$B$18046,$H2072))&lt;=MAX(0.005,ABS(INDEX('AH History'!$B$1:$B$18046,$H2072))*0.00005),ABS($D2072-INDEX('AH History'!$C$1:$C$18046,$H2072))&lt;=MAX(0.005,ABS(INDEX('AH History'!$C$1:$C$18046,$H2072))*0.00005),ABS($E2072-INDEX('AH History'!$D$1:$D$18046,$H2072))&lt;=0.00005,$F2072=INDEX('AH History'!$E$1:$E$18046,$H2072),$G2072=INDEX('AH History'!$F$1:$F$18046,$H2072)),1,-1),-1))</ns0:f>
        <ns0:v/>
      </ns0:c>
    </ns0:row>
    <ns0:row r="2073">
      <ns0:c r="A2073" s="215">
        <ns0:f>IF(OR(AH!$P$3=0,2068+1&gt;AH!$P$11,AND(AH!$E$4&lt;&gt;"Stored",AH!$P$10&lt;&gt;1)),"",IFERROR(IF(AND(AH!$P$21=1,2068+1=AH!$P$11),TODAY(),IF(AH!$P$10=1,INDEX('Live History'!$A$5:$A$3004,AH!$P$13+2068),INDEX('AH History'!$A$1:$A$18046,AH!$P$7+2068))),""))</ns0:f>
        <ns0:v/>
      </ns0:c>
      <ns0:c r="B2073" s="219">
        <ns0:f>IFERROR(IF(AND(AH!$P$9&lt;&gt;1,$C2073&gt;0,$D2073&gt;0,$E2073&gt;0,$F2073&gt;0,$G2073&gt;0,$F2073&lt;=$A2073,$G2073&lt;=$A2073,$A2073-$F2073&lt;=10,$A2073-$G2073&lt;=5),$D2073*$E2073/$C2073-1,NA()),NA())</ns0:f>
        <ns0:v/>
      </ns0:c>
      <ns0:c r="C2073">
        <ns0:f>IFERROR(IF(ISNUMBER($A2073),IF(AND(AH!$P$10=1,AH!$P$12=1,$A2073=TODAY()),AH!$P$19,IF(AH!$P$10=1,INDEX('Live History'!$B$5:$B$3004,AH!$P$13+2068),INDEX('AH History'!$B$1:$B$18046,AH!$P$7+2068))),NA()),NA())</ns0:f>
        <ns0:v/>
      </ns0:c>
      <ns0:c r="D2073">
        <ns0:f>IFERROR(IF(ISNUMBER($A2073),IF(AND(AH!$P$10=1,AH!$P$12=1,$A2073=TODAY()),AH!$P$18,IF(AH!$P$10=1,INDEX('Live History'!$E$5:$E$3004,MATCH($A2073,'Live History'!$D$5:$D$3004,1)),INDEX('AH History'!$C$1:$C$18046,AH!$P$7+2068))),NA()),NA())</ns0:f>
        <ns0:v/>
      </ns0:c>
      <ns0:c r="E2073">
        <ns0:f>IFERROR(IF(ISNUMBER($A2073),IF(AND(AH!$P$10=1,AH!$P$12=1,$A2073=TODAY()),AH!$P$20,IF(AH!$P$10=1,INDEX('Live History'!$H$5:$H$3004,MATCH($A2073,'Live History'!$G$5:$G$3004,1)),INDEX('AH History'!$D$1:$D$18046,AH!$P$7+2068))),NA()),NA())</ns0:f>
        <ns0:v/>
      </ns0:c>
      <ns0:c r="F2073">
        <ns0:f>IFERROR(IF(ISNUMBER($A2073),IF(AND(AH!$P$10=1,AH!$P$12=1,$A2073=TODAY()),IF(AND(AH!$P$10=1,AH!$P$12=1,$A2073=TODAY()),TODAY(),NA()),IF(AH!$P$10=1,INDEX('Live History'!$D$5:$D$3004,MATCH($A2073,'Live History'!$D$5:$D$3004,1)),INDEX('AH History'!$E$1:$E$18046,AH!$P$7+2068))),NA()),NA())</ns0:f>
        <ns0:v/>
      </ns0:c>
      <ns0:c r="G2073">
        <ns0:f>IFERROR(IF(ISNUMBER($A2073),IF(AND(AH!$P$10=1,AH!$P$12=1,$A2073=TODAY()),IF(AND(AH!$P$10=1,AH!$P$12=1,$A2073=TODAY()),TODAY(),NA()),IF(AH!$P$10=1,INDEX('Live History'!$G$5:$G$3004,MATCH($A2073,'Live History'!$G$5:$G$3004,1)),INDEX('AH History'!$F$1:$F$18046,AH!$P$7+2068))),NA()),NA())</ns0:f>
        <ns0:v/>
      </ns0:c>
      <ns0:c r="H2073">
        <ns0:f>IFERROR(IF(AND(AH!$E$4="Bloomberg",AH!$P$10=1,ISNUMBER($A2073),$A2073&lt;=AH!$P$17),AH!$P$7-1+MATCH($A2073,INDEX('AH History'!$A$1:$A$18046,AH!$P$7):INDEX('AH History'!$A$1:$A$18046,AH!$P$7+AH!$P$8-1),0),0),0)</ns0:f>
        <ns0:v/>
      </ns0:c>
      <ns0:c r="I2073">
        <ns0:f>IF($H2073=0,0,IFERROR(IF(AND(ABS($C2073-INDEX('AH History'!$B$1:$B$18046,$H2073))&lt;=MAX(0.005,ABS(INDEX('AH History'!$B$1:$B$18046,$H2073))*0.00005),ABS($D2073-INDEX('AH History'!$C$1:$C$18046,$H2073))&lt;=MAX(0.005,ABS(INDEX('AH History'!$C$1:$C$18046,$H2073))*0.00005),ABS($E2073-INDEX('AH History'!$D$1:$D$18046,$H2073))&lt;=0.00005,$F2073=INDEX('AH History'!$E$1:$E$18046,$H2073),$G2073=INDEX('AH History'!$F$1:$F$18046,$H2073)),1,-1),-1))</ns0:f>
        <ns0:v/>
      </ns0:c>
    </ns0:row>
    <ns0:row r="2074">
      <ns0:c r="A2074" s="215">
        <ns0:f>IF(OR(AH!$P$3=0,2069+1&gt;AH!$P$11,AND(AH!$E$4&lt;&gt;"Stored",AH!$P$10&lt;&gt;1)),"",IFERROR(IF(AND(AH!$P$21=1,2069+1=AH!$P$11),TODAY(),IF(AH!$P$10=1,INDEX('Live History'!$A$5:$A$3004,AH!$P$13+2069),INDEX('AH History'!$A$1:$A$18046,AH!$P$7+2069))),""))</ns0:f>
        <ns0:v/>
      </ns0:c>
      <ns0:c r="B2074" s="219">
        <ns0:f>IFERROR(IF(AND(AH!$P$9&lt;&gt;1,$C2074&gt;0,$D2074&gt;0,$E2074&gt;0,$F2074&gt;0,$G2074&gt;0,$F2074&lt;=$A2074,$G2074&lt;=$A2074,$A2074-$F2074&lt;=10,$A2074-$G2074&lt;=5),$D2074*$E2074/$C2074-1,NA()),NA())</ns0:f>
        <ns0:v/>
      </ns0:c>
      <ns0:c r="C2074">
        <ns0:f>IFERROR(IF(ISNUMBER($A2074),IF(AND(AH!$P$10=1,AH!$P$12=1,$A2074=TODAY()),AH!$P$19,IF(AH!$P$10=1,INDEX('Live History'!$B$5:$B$3004,AH!$P$13+2069),INDEX('AH History'!$B$1:$B$18046,AH!$P$7+2069))),NA()),NA())</ns0:f>
        <ns0:v/>
      </ns0:c>
      <ns0:c r="D2074">
        <ns0:f>IFERROR(IF(ISNUMBER($A2074),IF(AND(AH!$P$10=1,AH!$P$12=1,$A2074=TODAY()),AH!$P$18,IF(AH!$P$10=1,INDEX('Live History'!$E$5:$E$3004,MATCH($A2074,'Live History'!$D$5:$D$3004,1)),INDEX('AH History'!$C$1:$C$18046,AH!$P$7+2069))),NA()),NA())</ns0:f>
        <ns0:v/>
      </ns0:c>
      <ns0:c r="E2074">
        <ns0:f>IFERROR(IF(ISNUMBER($A2074),IF(AND(AH!$P$10=1,AH!$P$12=1,$A2074=TODAY()),AH!$P$20,IF(AH!$P$10=1,INDEX('Live History'!$H$5:$H$3004,MATCH($A2074,'Live History'!$G$5:$G$3004,1)),INDEX('AH History'!$D$1:$D$18046,AH!$P$7+2069))),NA()),NA())</ns0:f>
        <ns0:v/>
      </ns0:c>
      <ns0:c r="F2074">
        <ns0:f>IFERROR(IF(ISNUMBER($A2074),IF(AND(AH!$P$10=1,AH!$P$12=1,$A2074=TODAY()),IF(AND(AH!$P$10=1,AH!$P$12=1,$A2074=TODAY()),TODAY(),NA()),IF(AH!$P$10=1,INDEX('Live History'!$D$5:$D$3004,MATCH($A2074,'Live History'!$D$5:$D$3004,1)),INDEX('AH History'!$E$1:$E$18046,AH!$P$7+2069))),NA()),NA())</ns0:f>
        <ns0:v/>
      </ns0:c>
      <ns0:c r="G2074">
        <ns0:f>IFERROR(IF(ISNUMBER($A2074),IF(AND(AH!$P$10=1,AH!$P$12=1,$A2074=TODAY()),IF(AND(AH!$P$10=1,AH!$P$12=1,$A2074=TODAY()),TODAY(),NA()),IF(AH!$P$10=1,INDEX('Live History'!$G$5:$G$3004,MATCH($A2074,'Live History'!$G$5:$G$3004,1)),INDEX('AH History'!$F$1:$F$18046,AH!$P$7+2069))),NA()),NA())</ns0:f>
        <ns0:v/>
      </ns0:c>
      <ns0:c r="H2074">
        <ns0:f>IFERROR(IF(AND(AH!$E$4="Bloomberg",AH!$P$10=1,ISNUMBER($A2074),$A2074&lt;=AH!$P$17),AH!$P$7-1+MATCH($A2074,INDEX('AH History'!$A$1:$A$18046,AH!$P$7):INDEX('AH History'!$A$1:$A$18046,AH!$P$7+AH!$P$8-1),0),0),0)</ns0:f>
        <ns0:v/>
      </ns0:c>
      <ns0:c r="I2074">
        <ns0:f>IF($H2074=0,0,IFERROR(IF(AND(ABS($C2074-INDEX('AH History'!$B$1:$B$18046,$H2074))&lt;=MAX(0.005,ABS(INDEX('AH History'!$B$1:$B$18046,$H2074))*0.00005),ABS($D2074-INDEX('AH History'!$C$1:$C$18046,$H2074))&lt;=MAX(0.005,ABS(INDEX('AH History'!$C$1:$C$18046,$H2074))*0.00005),ABS($E2074-INDEX('AH History'!$D$1:$D$18046,$H2074))&lt;=0.00005,$F2074=INDEX('AH History'!$E$1:$E$18046,$H2074),$G2074=INDEX('AH History'!$F$1:$F$18046,$H2074)),1,-1),-1))</ns0:f>
        <ns0:v/>
      </ns0:c>
    </ns0:row>
    <ns0:row r="2075">
      <ns0:c r="A2075" s="215">
        <ns0:f>IF(OR(AH!$P$3=0,2070+1&gt;AH!$P$11,AND(AH!$E$4&lt;&gt;"Stored",AH!$P$10&lt;&gt;1)),"",IFERROR(IF(AND(AH!$P$21=1,2070+1=AH!$P$11),TODAY(),IF(AH!$P$10=1,INDEX('Live History'!$A$5:$A$3004,AH!$P$13+2070),INDEX('AH History'!$A$1:$A$18046,AH!$P$7+2070))),""))</ns0:f>
        <ns0:v/>
      </ns0:c>
      <ns0:c r="B2075" s="219">
        <ns0:f>IFERROR(IF(AND(AH!$P$9&lt;&gt;1,$C2075&gt;0,$D2075&gt;0,$E2075&gt;0,$F2075&gt;0,$G2075&gt;0,$F2075&lt;=$A2075,$G2075&lt;=$A2075,$A2075-$F2075&lt;=10,$A2075-$G2075&lt;=5),$D2075*$E2075/$C2075-1,NA()),NA())</ns0:f>
        <ns0:v/>
      </ns0:c>
      <ns0:c r="C2075">
        <ns0:f>IFERROR(IF(ISNUMBER($A2075),IF(AND(AH!$P$10=1,AH!$P$12=1,$A2075=TODAY()),AH!$P$19,IF(AH!$P$10=1,INDEX('Live History'!$B$5:$B$3004,AH!$P$13+2070),INDEX('AH History'!$B$1:$B$18046,AH!$P$7+2070))),NA()),NA())</ns0:f>
        <ns0:v/>
      </ns0:c>
      <ns0:c r="D2075">
        <ns0:f>IFERROR(IF(ISNUMBER($A2075),IF(AND(AH!$P$10=1,AH!$P$12=1,$A2075=TODAY()),AH!$P$18,IF(AH!$P$10=1,INDEX('Live History'!$E$5:$E$3004,MATCH($A2075,'Live History'!$D$5:$D$3004,1)),INDEX('AH History'!$C$1:$C$18046,AH!$P$7+2070))),NA()),NA())</ns0:f>
        <ns0:v/>
      </ns0:c>
      <ns0:c r="E2075">
        <ns0:f>IFERROR(IF(ISNUMBER($A2075),IF(AND(AH!$P$10=1,AH!$P$12=1,$A2075=TODAY()),AH!$P$20,IF(AH!$P$10=1,INDEX('Live History'!$H$5:$H$3004,MATCH($A2075,'Live History'!$G$5:$G$3004,1)),INDEX('AH History'!$D$1:$D$18046,AH!$P$7+2070))),NA()),NA())</ns0:f>
        <ns0:v/>
      </ns0:c>
      <ns0:c r="F2075">
        <ns0:f>IFERROR(IF(ISNUMBER($A2075),IF(AND(AH!$P$10=1,AH!$P$12=1,$A2075=TODAY()),IF(AND(AH!$P$10=1,AH!$P$12=1,$A2075=TODAY()),TODAY(),NA()),IF(AH!$P$10=1,INDEX('Live History'!$D$5:$D$3004,MATCH($A2075,'Live History'!$D$5:$D$3004,1)),INDEX('AH History'!$E$1:$E$18046,AH!$P$7+2070))),NA()),NA())</ns0:f>
        <ns0:v/>
      </ns0:c>
      <ns0:c r="G2075">
        <ns0:f>IFERROR(IF(ISNUMBER($A2075),IF(AND(AH!$P$10=1,AH!$P$12=1,$A2075=TODAY()),IF(AND(AH!$P$10=1,AH!$P$12=1,$A2075=TODAY()),TODAY(),NA()),IF(AH!$P$10=1,INDEX('Live History'!$G$5:$G$3004,MATCH($A2075,'Live History'!$G$5:$G$3004,1)),INDEX('AH History'!$F$1:$F$18046,AH!$P$7+2070))),NA()),NA())</ns0:f>
        <ns0:v/>
      </ns0:c>
      <ns0:c r="H2075">
        <ns0:f>IFERROR(IF(AND(AH!$E$4="Bloomberg",AH!$P$10=1,ISNUMBER($A2075),$A2075&lt;=AH!$P$17),AH!$P$7-1+MATCH($A2075,INDEX('AH History'!$A$1:$A$18046,AH!$P$7):INDEX('AH History'!$A$1:$A$18046,AH!$P$7+AH!$P$8-1),0),0),0)</ns0:f>
        <ns0:v/>
      </ns0:c>
      <ns0:c r="I2075">
        <ns0:f>IF($H2075=0,0,IFERROR(IF(AND(ABS($C2075-INDEX('AH History'!$B$1:$B$18046,$H2075))&lt;=MAX(0.005,ABS(INDEX('AH History'!$B$1:$B$18046,$H2075))*0.00005),ABS($D2075-INDEX('AH History'!$C$1:$C$18046,$H2075))&lt;=MAX(0.005,ABS(INDEX('AH History'!$C$1:$C$18046,$H2075))*0.00005),ABS($E2075-INDEX('AH History'!$D$1:$D$18046,$H2075))&lt;=0.00005,$F2075=INDEX('AH History'!$E$1:$E$18046,$H2075),$G2075=INDEX('AH History'!$F$1:$F$18046,$H2075)),1,-1),-1))</ns0:f>
        <ns0:v/>
      </ns0:c>
    </ns0:row>
    <ns0:row r="2076">
      <ns0:c r="A2076" s="215">
        <ns0:f>IF(OR(AH!$P$3=0,2071+1&gt;AH!$P$11,AND(AH!$E$4&lt;&gt;"Stored",AH!$P$10&lt;&gt;1)),"",IFERROR(IF(AND(AH!$P$21=1,2071+1=AH!$P$11),TODAY(),IF(AH!$P$10=1,INDEX('Live History'!$A$5:$A$3004,AH!$P$13+2071),INDEX('AH History'!$A$1:$A$18046,AH!$P$7+2071))),""))</ns0:f>
        <ns0:v/>
      </ns0:c>
      <ns0:c r="B2076" s="219">
        <ns0:f>IFERROR(IF(AND(AH!$P$9&lt;&gt;1,$C2076&gt;0,$D2076&gt;0,$E2076&gt;0,$F2076&gt;0,$G2076&gt;0,$F2076&lt;=$A2076,$G2076&lt;=$A2076,$A2076-$F2076&lt;=10,$A2076-$G2076&lt;=5),$D2076*$E2076/$C2076-1,NA()),NA())</ns0:f>
        <ns0:v/>
      </ns0:c>
      <ns0:c r="C2076">
        <ns0:f>IFERROR(IF(ISNUMBER($A2076),IF(AND(AH!$P$10=1,AH!$P$12=1,$A2076=TODAY()),AH!$P$19,IF(AH!$P$10=1,INDEX('Live History'!$B$5:$B$3004,AH!$P$13+2071),INDEX('AH History'!$B$1:$B$18046,AH!$P$7+2071))),NA()),NA())</ns0:f>
        <ns0:v/>
      </ns0:c>
      <ns0:c r="D2076">
        <ns0:f>IFERROR(IF(ISNUMBER($A2076),IF(AND(AH!$P$10=1,AH!$P$12=1,$A2076=TODAY()),AH!$P$18,IF(AH!$P$10=1,INDEX('Live History'!$E$5:$E$3004,MATCH($A2076,'Live History'!$D$5:$D$3004,1)),INDEX('AH History'!$C$1:$C$18046,AH!$P$7+2071))),NA()),NA())</ns0:f>
        <ns0:v/>
      </ns0:c>
      <ns0:c r="E2076">
        <ns0:f>IFERROR(IF(ISNUMBER($A2076),IF(AND(AH!$P$10=1,AH!$P$12=1,$A2076=TODAY()),AH!$P$20,IF(AH!$P$10=1,INDEX('Live History'!$H$5:$H$3004,MATCH($A2076,'Live History'!$G$5:$G$3004,1)),INDEX('AH History'!$D$1:$D$18046,AH!$P$7+2071))),NA()),NA())</ns0:f>
        <ns0:v/>
      </ns0:c>
      <ns0:c r="F2076">
        <ns0:f>IFERROR(IF(ISNUMBER($A2076),IF(AND(AH!$P$10=1,AH!$P$12=1,$A2076=TODAY()),IF(AND(AH!$P$10=1,AH!$P$12=1,$A2076=TODAY()),TODAY(),NA()),IF(AH!$P$10=1,INDEX('Live History'!$D$5:$D$3004,MATCH($A2076,'Live History'!$D$5:$D$3004,1)),INDEX('AH History'!$E$1:$E$18046,AH!$P$7+2071))),NA()),NA())</ns0:f>
        <ns0:v/>
      </ns0:c>
      <ns0:c r="G2076">
        <ns0:f>IFERROR(IF(ISNUMBER($A2076),IF(AND(AH!$P$10=1,AH!$P$12=1,$A2076=TODAY()),IF(AND(AH!$P$10=1,AH!$P$12=1,$A2076=TODAY()),TODAY(),NA()),IF(AH!$P$10=1,INDEX('Live History'!$G$5:$G$3004,MATCH($A2076,'Live History'!$G$5:$G$3004,1)),INDEX('AH History'!$F$1:$F$18046,AH!$P$7+2071))),NA()),NA())</ns0:f>
        <ns0:v/>
      </ns0:c>
      <ns0:c r="H2076">
        <ns0:f>IFERROR(IF(AND(AH!$E$4="Bloomberg",AH!$P$10=1,ISNUMBER($A2076),$A2076&lt;=AH!$P$17),AH!$P$7-1+MATCH($A2076,INDEX('AH History'!$A$1:$A$18046,AH!$P$7):INDEX('AH History'!$A$1:$A$18046,AH!$P$7+AH!$P$8-1),0),0),0)</ns0:f>
        <ns0:v/>
      </ns0:c>
      <ns0:c r="I2076">
        <ns0:f>IF($H2076=0,0,IFERROR(IF(AND(ABS($C2076-INDEX('AH History'!$B$1:$B$18046,$H2076))&lt;=MAX(0.005,ABS(INDEX('AH History'!$B$1:$B$18046,$H2076))*0.00005),ABS($D2076-INDEX('AH History'!$C$1:$C$18046,$H2076))&lt;=MAX(0.005,ABS(INDEX('AH History'!$C$1:$C$18046,$H2076))*0.00005),ABS($E2076-INDEX('AH History'!$D$1:$D$18046,$H2076))&lt;=0.00005,$F2076=INDEX('AH History'!$E$1:$E$18046,$H2076),$G2076=INDEX('AH History'!$F$1:$F$18046,$H2076)),1,-1),-1))</ns0:f>
        <ns0:v/>
      </ns0:c>
    </ns0:row>
    <ns0:row r="2077">
      <ns0:c r="A2077" s="215">
        <ns0:f>IF(OR(AH!$P$3=0,2072+1&gt;AH!$P$11,AND(AH!$E$4&lt;&gt;"Stored",AH!$P$10&lt;&gt;1)),"",IFERROR(IF(AND(AH!$P$21=1,2072+1=AH!$P$11),TODAY(),IF(AH!$P$10=1,INDEX('Live History'!$A$5:$A$3004,AH!$P$13+2072),INDEX('AH History'!$A$1:$A$18046,AH!$P$7+2072))),""))</ns0:f>
        <ns0:v/>
      </ns0:c>
      <ns0:c r="B2077" s="219">
        <ns0:f>IFERROR(IF(AND(AH!$P$9&lt;&gt;1,$C2077&gt;0,$D2077&gt;0,$E2077&gt;0,$F2077&gt;0,$G2077&gt;0,$F2077&lt;=$A2077,$G2077&lt;=$A2077,$A2077-$F2077&lt;=10,$A2077-$G2077&lt;=5),$D2077*$E2077/$C2077-1,NA()),NA())</ns0:f>
        <ns0:v/>
      </ns0:c>
      <ns0:c r="C2077">
        <ns0:f>IFERROR(IF(ISNUMBER($A2077),IF(AND(AH!$P$10=1,AH!$P$12=1,$A2077=TODAY()),AH!$P$19,IF(AH!$P$10=1,INDEX('Live History'!$B$5:$B$3004,AH!$P$13+2072),INDEX('AH History'!$B$1:$B$18046,AH!$P$7+2072))),NA()),NA())</ns0:f>
        <ns0:v/>
      </ns0:c>
      <ns0:c r="D2077">
        <ns0:f>IFERROR(IF(ISNUMBER($A2077),IF(AND(AH!$P$10=1,AH!$P$12=1,$A2077=TODAY()),AH!$P$18,IF(AH!$P$10=1,INDEX('Live History'!$E$5:$E$3004,MATCH($A2077,'Live History'!$D$5:$D$3004,1)),INDEX('AH History'!$C$1:$C$18046,AH!$P$7+2072))),NA()),NA())</ns0:f>
        <ns0:v/>
      </ns0:c>
      <ns0:c r="E2077">
        <ns0:f>IFERROR(IF(ISNUMBER($A2077),IF(AND(AH!$P$10=1,AH!$P$12=1,$A2077=TODAY()),AH!$P$20,IF(AH!$P$10=1,INDEX('Live History'!$H$5:$H$3004,MATCH($A2077,'Live History'!$G$5:$G$3004,1)),INDEX('AH History'!$D$1:$D$18046,AH!$P$7+2072))),NA()),NA())</ns0:f>
        <ns0:v/>
      </ns0:c>
      <ns0:c r="F2077">
        <ns0:f>IFERROR(IF(ISNUMBER($A2077),IF(AND(AH!$P$10=1,AH!$P$12=1,$A2077=TODAY()),IF(AND(AH!$P$10=1,AH!$P$12=1,$A2077=TODAY()),TODAY(),NA()),IF(AH!$P$10=1,INDEX('Live History'!$D$5:$D$3004,MATCH($A2077,'Live History'!$D$5:$D$3004,1)),INDEX('AH History'!$E$1:$E$18046,AH!$P$7+2072))),NA()),NA())</ns0:f>
        <ns0:v/>
      </ns0:c>
      <ns0:c r="G2077">
        <ns0:f>IFERROR(IF(ISNUMBER($A2077),IF(AND(AH!$P$10=1,AH!$P$12=1,$A2077=TODAY()),IF(AND(AH!$P$10=1,AH!$P$12=1,$A2077=TODAY()),TODAY(),NA()),IF(AH!$P$10=1,INDEX('Live History'!$G$5:$G$3004,MATCH($A2077,'Live History'!$G$5:$G$3004,1)),INDEX('AH History'!$F$1:$F$18046,AH!$P$7+2072))),NA()),NA())</ns0:f>
        <ns0:v/>
      </ns0:c>
      <ns0:c r="H2077">
        <ns0:f>IFERROR(IF(AND(AH!$E$4="Bloomberg",AH!$P$10=1,ISNUMBER($A2077),$A2077&lt;=AH!$P$17),AH!$P$7-1+MATCH($A2077,INDEX('AH History'!$A$1:$A$18046,AH!$P$7):INDEX('AH History'!$A$1:$A$18046,AH!$P$7+AH!$P$8-1),0),0),0)</ns0:f>
        <ns0:v/>
      </ns0:c>
      <ns0:c r="I2077">
        <ns0:f>IF($H2077=0,0,IFERROR(IF(AND(ABS($C2077-INDEX('AH History'!$B$1:$B$18046,$H2077))&lt;=MAX(0.005,ABS(INDEX('AH History'!$B$1:$B$18046,$H2077))*0.00005),ABS($D2077-INDEX('AH History'!$C$1:$C$18046,$H2077))&lt;=MAX(0.005,ABS(INDEX('AH History'!$C$1:$C$18046,$H2077))*0.00005),ABS($E2077-INDEX('AH History'!$D$1:$D$18046,$H2077))&lt;=0.00005,$F2077=INDEX('AH History'!$E$1:$E$18046,$H2077),$G2077=INDEX('AH History'!$F$1:$F$18046,$H2077)),1,-1),-1))</ns0:f>
        <ns0:v/>
      </ns0:c>
    </ns0:row>
    <ns0:row r="2078">
      <ns0:c r="A2078" s="215">
        <ns0:f>IF(OR(AH!$P$3=0,2073+1&gt;AH!$P$11,AND(AH!$E$4&lt;&gt;"Stored",AH!$P$10&lt;&gt;1)),"",IFERROR(IF(AND(AH!$P$21=1,2073+1=AH!$P$11),TODAY(),IF(AH!$P$10=1,INDEX('Live History'!$A$5:$A$3004,AH!$P$13+2073),INDEX('AH History'!$A$1:$A$18046,AH!$P$7+2073))),""))</ns0:f>
        <ns0:v/>
      </ns0:c>
      <ns0:c r="B2078" s="219">
        <ns0:f>IFERROR(IF(AND(AH!$P$9&lt;&gt;1,$C2078&gt;0,$D2078&gt;0,$E2078&gt;0,$F2078&gt;0,$G2078&gt;0,$F2078&lt;=$A2078,$G2078&lt;=$A2078,$A2078-$F2078&lt;=10,$A2078-$G2078&lt;=5),$D2078*$E2078/$C2078-1,NA()),NA())</ns0:f>
        <ns0:v/>
      </ns0:c>
      <ns0:c r="C2078">
        <ns0:f>IFERROR(IF(ISNUMBER($A2078),IF(AND(AH!$P$10=1,AH!$P$12=1,$A2078=TODAY()),AH!$P$19,IF(AH!$P$10=1,INDEX('Live History'!$B$5:$B$3004,AH!$P$13+2073),INDEX('AH History'!$B$1:$B$18046,AH!$P$7+2073))),NA()),NA())</ns0:f>
        <ns0:v/>
      </ns0:c>
      <ns0:c r="D2078">
        <ns0:f>IFERROR(IF(ISNUMBER($A2078),IF(AND(AH!$P$10=1,AH!$P$12=1,$A2078=TODAY()),AH!$P$18,IF(AH!$P$10=1,INDEX('Live History'!$E$5:$E$3004,MATCH($A2078,'Live History'!$D$5:$D$3004,1)),INDEX('AH History'!$C$1:$C$18046,AH!$P$7+2073))),NA()),NA())</ns0:f>
        <ns0:v/>
      </ns0:c>
      <ns0:c r="E2078">
        <ns0:f>IFERROR(IF(ISNUMBER($A2078),IF(AND(AH!$P$10=1,AH!$P$12=1,$A2078=TODAY()),AH!$P$20,IF(AH!$P$10=1,INDEX('Live History'!$H$5:$H$3004,MATCH($A2078,'Live History'!$G$5:$G$3004,1)),INDEX('AH History'!$D$1:$D$18046,AH!$P$7+2073))),NA()),NA())</ns0:f>
        <ns0:v/>
      </ns0:c>
      <ns0:c r="F2078">
        <ns0:f>IFERROR(IF(ISNUMBER($A2078),IF(AND(AH!$P$10=1,AH!$P$12=1,$A2078=TODAY()),IF(AND(AH!$P$10=1,AH!$P$12=1,$A2078=TODAY()),TODAY(),NA()),IF(AH!$P$10=1,INDEX('Live History'!$D$5:$D$3004,MATCH($A2078,'Live History'!$D$5:$D$3004,1)),INDEX('AH History'!$E$1:$E$18046,AH!$P$7+2073))),NA()),NA())</ns0:f>
        <ns0:v/>
      </ns0:c>
      <ns0:c r="G2078">
        <ns0:f>IFERROR(IF(ISNUMBER($A2078),IF(AND(AH!$P$10=1,AH!$P$12=1,$A2078=TODAY()),IF(AND(AH!$P$10=1,AH!$P$12=1,$A2078=TODAY()),TODAY(),NA()),IF(AH!$P$10=1,INDEX('Live History'!$G$5:$G$3004,MATCH($A2078,'Live History'!$G$5:$G$3004,1)),INDEX('AH History'!$F$1:$F$18046,AH!$P$7+2073))),NA()),NA())</ns0:f>
        <ns0:v/>
      </ns0:c>
      <ns0:c r="H2078">
        <ns0:f>IFERROR(IF(AND(AH!$E$4="Bloomberg",AH!$P$10=1,ISNUMBER($A2078),$A2078&lt;=AH!$P$17),AH!$P$7-1+MATCH($A2078,INDEX('AH History'!$A$1:$A$18046,AH!$P$7):INDEX('AH History'!$A$1:$A$18046,AH!$P$7+AH!$P$8-1),0),0),0)</ns0:f>
        <ns0:v/>
      </ns0:c>
      <ns0:c r="I2078">
        <ns0:f>IF($H2078=0,0,IFERROR(IF(AND(ABS($C2078-INDEX('AH History'!$B$1:$B$18046,$H2078))&lt;=MAX(0.005,ABS(INDEX('AH History'!$B$1:$B$18046,$H2078))*0.00005),ABS($D2078-INDEX('AH History'!$C$1:$C$18046,$H2078))&lt;=MAX(0.005,ABS(INDEX('AH History'!$C$1:$C$18046,$H2078))*0.00005),ABS($E2078-INDEX('AH History'!$D$1:$D$18046,$H2078))&lt;=0.00005,$F2078=INDEX('AH History'!$E$1:$E$18046,$H2078),$G2078=INDEX('AH History'!$F$1:$F$18046,$H2078)),1,-1),-1))</ns0:f>
        <ns0:v/>
      </ns0:c>
    </ns0:row>
    <ns0:row r="2079">
      <ns0:c r="A2079" s="215">
        <ns0:f>IF(OR(AH!$P$3=0,2074+1&gt;AH!$P$11,AND(AH!$E$4&lt;&gt;"Stored",AH!$P$10&lt;&gt;1)),"",IFERROR(IF(AND(AH!$P$21=1,2074+1=AH!$P$11),TODAY(),IF(AH!$P$10=1,INDEX('Live History'!$A$5:$A$3004,AH!$P$13+2074),INDEX('AH History'!$A$1:$A$18046,AH!$P$7+2074))),""))</ns0:f>
        <ns0:v/>
      </ns0:c>
      <ns0:c r="B2079" s="219">
        <ns0:f>IFERROR(IF(AND(AH!$P$9&lt;&gt;1,$C2079&gt;0,$D2079&gt;0,$E2079&gt;0,$F2079&gt;0,$G2079&gt;0,$F2079&lt;=$A2079,$G2079&lt;=$A2079,$A2079-$F2079&lt;=10,$A2079-$G2079&lt;=5),$D2079*$E2079/$C2079-1,NA()),NA())</ns0:f>
        <ns0:v/>
      </ns0:c>
      <ns0:c r="C2079">
        <ns0:f>IFERROR(IF(ISNUMBER($A2079),IF(AND(AH!$P$10=1,AH!$P$12=1,$A2079=TODAY()),AH!$P$19,IF(AH!$P$10=1,INDEX('Live History'!$B$5:$B$3004,AH!$P$13+2074),INDEX('AH History'!$B$1:$B$18046,AH!$P$7+2074))),NA()),NA())</ns0:f>
        <ns0:v/>
      </ns0:c>
      <ns0:c r="D2079">
        <ns0:f>IFERROR(IF(ISNUMBER($A2079),IF(AND(AH!$P$10=1,AH!$P$12=1,$A2079=TODAY()),AH!$P$18,IF(AH!$P$10=1,INDEX('Live History'!$E$5:$E$3004,MATCH($A2079,'Live History'!$D$5:$D$3004,1)),INDEX('AH History'!$C$1:$C$18046,AH!$P$7+2074))),NA()),NA())</ns0:f>
        <ns0:v/>
      </ns0:c>
      <ns0:c r="E2079">
        <ns0:f>IFERROR(IF(ISNUMBER($A2079),IF(AND(AH!$P$10=1,AH!$P$12=1,$A2079=TODAY()),AH!$P$20,IF(AH!$P$10=1,INDEX('Live History'!$H$5:$H$3004,MATCH($A2079,'Live History'!$G$5:$G$3004,1)),INDEX('AH History'!$D$1:$D$18046,AH!$P$7+2074))),NA()),NA())</ns0:f>
        <ns0:v/>
      </ns0:c>
      <ns0:c r="F2079">
        <ns0:f>IFERROR(IF(ISNUMBER($A2079),IF(AND(AH!$P$10=1,AH!$P$12=1,$A2079=TODAY()),IF(AND(AH!$P$10=1,AH!$P$12=1,$A2079=TODAY()),TODAY(),NA()),IF(AH!$P$10=1,INDEX('Live History'!$D$5:$D$3004,MATCH($A2079,'Live History'!$D$5:$D$3004,1)),INDEX('AH History'!$E$1:$E$18046,AH!$P$7+2074))),NA()),NA())</ns0:f>
        <ns0:v/>
      </ns0:c>
      <ns0:c r="G2079">
        <ns0:f>IFERROR(IF(ISNUMBER($A2079),IF(AND(AH!$P$10=1,AH!$P$12=1,$A2079=TODAY()),IF(AND(AH!$P$10=1,AH!$P$12=1,$A2079=TODAY()),TODAY(),NA()),IF(AH!$P$10=1,INDEX('Live History'!$G$5:$G$3004,MATCH($A2079,'Live History'!$G$5:$G$3004,1)),INDEX('AH History'!$F$1:$F$18046,AH!$P$7+2074))),NA()),NA())</ns0:f>
        <ns0:v/>
      </ns0:c>
      <ns0:c r="H2079">
        <ns0:f>IFERROR(IF(AND(AH!$E$4="Bloomberg",AH!$P$10=1,ISNUMBER($A2079),$A2079&lt;=AH!$P$17),AH!$P$7-1+MATCH($A2079,INDEX('AH History'!$A$1:$A$18046,AH!$P$7):INDEX('AH History'!$A$1:$A$18046,AH!$P$7+AH!$P$8-1),0),0),0)</ns0:f>
        <ns0:v/>
      </ns0:c>
      <ns0:c r="I2079">
        <ns0:f>IF($H2079=0,0,IFERROR(IF(AND(ABS($C2079-INDEX('AH History'!$B$1:$B$18046,$H2079))&lt;=MAX(0.005,ABS(INDEX('AH History'!$B$1:$B$18046,$H2079))*0.00005),ABS($D2079-INDEX('AH History'!$C$1:$C$18046,$H2079))&lt;=MAX(0.005,ABS(INDEX('AH History'!$C$1:$C$18046,$H2079))*0.00005),ABS($E2079-INDEX('AH History'!$D$1:$D$18046,$H2079))&lt;=0.00005,$F2079=INDEX('AH History'!$E$1:$E$18046,$H2079),$G2079=INDEX('AH History'!$F$1:$F$18046,$H2079)),1,-1),-1))</ns0:f>
        <ns0:v/>
      </ns0:c>
    </ns0:row>
    <ns0:row r="2080">
      <ns0:c r="A2080" s="215">
        <ns0:f>IF(OR(AH!$P$3=0,2075+1&gt;AH!$P$11,AND(AH!$E$4&lt;&gt;"Stored",AH!$P$10&lt;&gt;1)),"",IFERROR(IF(AND(AH!$P$21=1,2075+1=AH!$P$11),TODAY(),IF(AH!$P$10=1,INDEX('Live History'!$A$5:$A$3004,AH!$P$13+2075),INDEX('AH History'!$A$1:$A$18046,AH!$P$7+2075))),""))</ns0:f>
        <ns0:v/>
      </ns0:c>
      <ns0:c r="B2080" s="219">
        <ns0:f>IFERROR(IF(AND(AH!$P$9&lt;&gt;1,$C2080&gt;0,$D2080&gt;0,$E2080&gt;0,$F2080&gt;0,$G2080&gt;0,$F2080&lt;=$A2080,$G2080&lt;=$A2080,$A2080-$F2080&lt;=10,$A2080-$G2080&lt;=5),$D2080*$E2080/$C2080-1,NA()),NA())</ns0:f>
        <ns0:v/>
      </ns0:c>
      <ns0:c r="C2080">
        <ns0:f>IFERROR(IF(ISNUMBER($A2080),IF(AND(AH!$P$10=1,AH!$P$12=1,$A2080=TODAY()),AH!$P$19,IF(AH!$P$10=1,INDEX('Live History'!$B$5:$B$3004,AH!$P$13+2075),INDEX('AH History'!$B$1:$B$18046,AH!$P$7+2075))),NA()),NA())</ns0:f>
        <ns0:v/>
      </ns0:c>
      <ns0:c r="D2080">
        <ns0:f>IFERROR(IF(ISNUMBER($A2080),IF(AND(AH!$P$10=1,AH!$P$12=1,$A2080=TODAY()),AH!$P$18,IF(AH!$P$10=1,INDEX('Live History'!$E$5:$E$3004,MATCH($A2080,'Live History'!$D$5:$D$3004,1)),INDEX('AH History'!$C$1:$C$18046,AH!$P$7+2075))),NA()),NA())</ns0:f>
        <ns0:v/>
      </ns0:c>
      <ns0:c r="E2080">
        <ns0:f>IFERROR(IF(ISNUMBER($A2080),IF(AND(AH!$P$10=1,AH!$P$12=1,$A2080=TODAY()),AH!$P$20,IF(AH!$P$10=1,INDEX('Live History'!$H$5:$H$3004,MATCH($A2080,'Live History'!$G$5:$G$3004,1)),INDEX('AH History'!$D$1:$D$18046,AH!$P$7+2075))),NA()),NA())</ns0:f>
        <ns0:v/>
      </ns0:c>
      <ns0:c r="F2080">
        <ns0:f>IFERROR(IF(ISNUMBER($A2080),IF(AND(AH!$P$10=1,AH!$P$12=1,$A2080=TODAY()),IF(AND(AH!$P$10=1,AH!$P$12=1,$A2080=TODAY()),TODAY(),NA()),IF(AH!$P$10=1,INDEX('Live History'!$D$5:$D$3004,MATCH($A2080,'Live History'!$D$5:$D$3004,1)),INDEX('AH History'!$E$1:$E$18046,AH!$P$7+2075))),NA()),NA())</ns0:f>
        <ns0:v/>
      </ns0:c>
      <ns0:c r="G2080">
        <ns0:f>IFERROR(IF(ISNUMBER($A2080),IF(AND(AH!$P$10=1,AH!$P$12=1,$A2080=TODAY()),IF(AND(AH!$P$10=1,AH!$P$12=1,$A2080=TODAY()),TODAY(),NA()),IF(AH!$P$10=1,INDEX('Live History'!$G$5:$G$3004,MATCH($A2080,'Live History'!$G$5:$G$3004,1)),INDEX('AH History'!$F$1:$F$18046,AH!$P$7+2075))),NA()),NA())</ns0:f>
        <ns0:v/>
      </ns0:c>
      <ns0:c r="H2080">
        <ns0:f>IFERROR(IF(AND(AH!$E$4="Bloomberg",AH!$P$10=1,ISNUMBER($A2080),$A2080&lt;=AH!$P$17),AH!$P$7-1+MATCH($A2080,INDEX('AH History'!$A$1:$A$18046,AH!$P$7):INDEX('AH History'!$A$1:$A$18046,AH!$P$7+AH!$P$8-1),0),0),0)</ns0:f>
        <ns0:v/>
      </ns0:c>
      <ns0:c r="I2080">
        <ns0:f>IF($H2080=0,0,IFERROR(IF(AND(ABS($C2080-INDEX('AH History'!$B$1:$B$18046,$H2080))&lt;=MAX(0.005,ABS(INDEX('AH History'!$B$1:$B$18046,$H2080))*0.00005),ABS($D2080-INDEX('AH History'!$C$1:$C$18046,$H2080))&lt;=MAX(0.005,ABS(INDEX('AH History'!$C$1:$C$18046,$H2080))*0.00005),ABS($E2080-INDEX('AH History'!$D$1:$D$18046,$H2080))&lt;=0.00005,$F2080=INDEX('AH History'!$E$1:$E$18046,$H2080),$G2080=INDEX('AH History'!$F$1:$F$18046,$H2080)),1,-1),-1))</ns0:f>
        <ns0:v/>
      </ns0:c>
    </ns0:row>
    <ns0:row r="2081">
      <ns0:c r="A2081" s="215">
        <ns0:f>IF(OR(AH!$P$3=0,2076+1&gt;AH!$P$11,AND(AH!$E$4&lt;&gt;"Stored",AH!$P$10&lt;&gt;1)),"",IFERROR(IF(AND(AH!$P$21=1,2076+1=AH!$P$11),TODAY(),IF(AH!$P$10=1,INDEX('Live History'!$A$5:$A$3004,AH!$P$13+2076),INDEX('AH History'!$A$1:$A$18046,AH!$P$7+2076))),""))</ns0:f>
        <ns0:v/>
      </ns0:c>
      <ns0:c r="B2081" s="219">
        <ns0:f>IFERROR(IF(AND(AH!$P$9&lt;&gt;1,$C2081&gt;0,$D2081&gt;0,$E2081&gt;0,$F2081&gt;0,$G2081&gt;0,$F2081&lt;=$A2081,$G2081&lt;=$A2081,$A2081-$F2081&lt;=10,$A2081-$G2081&lt;=5),$D2081*$E2081/$C2081-1,NA()),NA())</ns0:f>
        <ns0:v/>
      </ns0:c>
      <ns0:c r="C2081">
        <ns0:f>IFERROR(IF(ISNUMBER($A2081),IF(AND(AH!$P$10=1,AH!$P$12=1,$A2081=TODAY()),AH!$P$19,IF(AH!$P$10=1,INDEX('Live History'!$B$5:$B$3004,AH!$P$13+2076),INDEX('AH History'!$B$1:$B$18046,AH!$P$7+2076))),NA()),NA())</ns0:f>
        <ns0:v/>
      </ns0:c>
      <ns0:c r="D2081">
        <ns0:f>IFERROR(IF(ISNUMBER($A2081),IF(AND(AH!$P$10=1,AH!$P$12=1,$A2081=TODAY()),AH!$P$18,IF(AH!$P$10=1,INDEX('Live History'!$E$5:$E$3004,MATCH($A2081,'Live History'!$D$5:$D$3004,1)),INDEX('AH History'!$C$1:$C$18046,AH!$P$7+2076))),NA()),NA())</ns0:f>
        <ns0:v/>
      </ns0:c>
      <ns0:c r="E2081">
        <ns0:f>IFERROR(IF(ISNUMBER($A2081),IF(AND(AH!$P$10=1,AH!$P$12=1,$A2081=TODAY()),AH!$P$20,IF(AH!$P$10=1,INDEX('Live History'!$H$5:$H$3004,MATCH($A2081,'Live History'!$G$5:$G$3004,1)),INDEX('AH History'!$D$1:$D$18046,AH!$P$7+2076))),NA()),NA())</ns0:f>
        <ns0:v/>
      </ns0:c>
      <ns0:c r="F2081">
        <ns0:f>IFERROR(IF(ISNUMBER($A2081),IF(AND(AH!$P$10=1,AH!$P$12=1,$A2081=TODAY()),IF(AND(AH!$P$10=1,AH!$P$12=1,$A2081=TODAY()),TODAY(),NA()),IF(AH!$P$10=1,INDEX('Live History'!$D$5:$D$3004,MATCH($A2081,'Live History'!$D$5:$D$3004,1)),INDEX('AH History'!$E$1:$E$18046,AH!$P$7+2076))),NA()),NA())</ns0:f>
        <ns0:v/>
      </ns0:c>
      <ns0:c r="G2081">
        <ns0:f>IFERROR(IF(ISNUMBER($A2081),IF(AND(AH!$P$10=1,AH!$P$12=1,$A2081=TODAY()),IF(AND(AH!$P$10=1,AH!$P$12=1,$A2081=TODAY()),TODAY(),NA()),IF(AH!$P$10=1,INDEX('Live History'!$G$5:$G$3004,MATCH($A2081,'Live History'!$G$5:$G$3004,1)),INDEX('AH History'!$F$1:$F$18046,AH!$P$7+2076))),NA()),NA())</ns0:f>
        <ns0:v/>
      </ns0:c>
      <ns0:c r="H2081">
        <ns0:f>IFERROR(IF(AND(AH!$E$4="Bloomberg",AH!$P$10=1,ISNUMBER($A2081),$A2081&lt;=AH!$P$17),AH!$P$7-1+MATCH($A2081,INDEX('AH History'!$A$1:$A$18046,AH!$P$7):INDEX('AH History'!$A$1:$A$18046,AH!$P$7+AH!$P$8-1),0),0),0)</ns0:f>
        <ns0:v/>
      </ns0:c>
      <ns0:c r="I2081">
        <ns0:f>IF($H2081=0,0,IFERROR(IF(AND(ABS($C2081-INDEX('AH History'!$B$1:$B$18046,$H2081))&lt;=MAX(0.005,ABS(INDEX('AH History'!$B$1:$B$18046,$H2081))*0.00005),ABS($D2081-INDEX('AH History'!$C$1:$C$18046,$H2081))&lt;=MAX(0.005,ABS(INDEX('AH History'!$C$1:$C$18046,$H2081))*0.00005),ABS($E2081-INDEX('AH History'!$D$1:$D$18046,$H2081))&lt;=0.00005,$F2081=INDEX('AH History'!$E$1:$E$18046,$H2081),$G2081=INDEX('AH History'!$F$1:$F$18046,$H2081)),1,-1),-1))</ns0:f>
        <ns0:v/>
      </ns0:c>
    </ns0:row>
    <ns0:row r="2082">
      <ns0:c r="A2082" s="215">
        <ns0:f>IF(OR(AH!$P$3=0,2077+1&gt;AH!$P$11,AND(AH!$E$4&lt;&gt;"Stored",AH!$P$10&lt;&gt;1)),"",IFERROR(IF(AND(AH!$P$21=1,2077+1=AH!$P$11),TODAY(),IF(AH!$P$10=1,INDEX('Live History'!$A$5:$A$3004,AH!$P$13+2077),INDEX('AH History'!$A$1:$A$18046,AH!$P$7+2077))),""))</ns0:f>
        <ns0:v/>
      </ns0:c>
      <ns0:c r="B2082" s="219">
        <ns0:f>IFERROR(IF(AND(AH!$P$9&lt;&gt;1,$C2082&gt;0,$D2082&gt;0,$E2082&gt;0,$F2082&gt;0,$G2082&gt;0,$F2082&lt;=$A2082,$G2082&lt;=$A2082,$A2082-$F2082&lt;=10,$A2082-$G2082&lt;=5),$D2082*$E2082/$C2082-1,NA()),NA())</ns0:f>
        <ns0:v/>
      </ns0:c>
      <ns0:c r="C2082">
        <ns0:f>IFERROR(IF(ISNUMBER($A2082),IF(AND(AH!$P$10=1,AH!$P$12=1,$A2082=TODAY()),AH!$P$19,IF(AH!$P$10=1,INDEX('Live History'!$B$5:$B$3004,AH!$P$13+2077),INDEX('AH History'!$B$1:$B$18046,AH!$P$7+2077))),NA()),NA())</ns0:f>
        <ns0:v/>
      </ns0:c>
      <ns0:c r="D2082">
        <ns0:f>IFERROR(IF(ISNUMBER($A2082),IF(AND(AH!$P$10=1,AH!$P$12=1,$A2082=TODAY()),AH!$P$18,IF(AH!$P$10=1,INDEX('Live History'!$E$5:$E$3004,MATCH($A2082,'Live History'!$D$5:$D$3004,1)),INDEX('AH History'!$C$1:$C$18046,AH!$P$7+2077))),NA()),NA())</ns0:f>
        <ns0:v/>
      </ns0:c>
      <ns0:c r="E2082">
        <ns0:f>IFERROR(IF(ISNUMBER($A2082),IF(AND(AH!$P$10=1,AH!$P$12=1,$A2082=TODAY()),AH!$P$20,IF(AH!$P$10=1,INDEX('Live History'!$H$5:$H$3004,MATCH($A2082,'Live History'!$G$5:$G$3004,1)),INDEX('AH History'!$D$1:$D$18046,AH!$P$7+2077))),NA()),NA())</ns0:f>
        <ns0:v/>
      </ns0:c>
      <ns0:c r="F2082">
        <ns0:f>IFERROR(IF(ISNUMBER($A2082),IF(AND(AH!$P$10=1,AH!$P$12=1,$A2082=TODAY()),IF(AND(AH!$P$10=1,AH!$P$12=1,$A2082=TODAY()),TODAY(),NA()),IF(AH!$P$10=1,INDEX('Live History'!$D$5:$D$3004,MATCH($A2082,'Live History'!$D$5:$D$3004,1)),INDEX('AH History'!$E$1:$E$18046,AH!$P$7+2077))),NA()),NA())</ns0:f>
        <ns0:v/>
      </ns0:c>
      <ns0:c r="G2082">
        <ns0:f>IFERROR(IF(ISNUMBER($A2082),IF(AND(AH!$P$10=1,AH!$P$12=1,$A2082=TODAY()),IF(AND(AH!$P$10=1,AH!$P$12=1,$A2082=TODAY()),TODAY(),NA()),IF(AH!$P$10=1,INDEX('Live History'!$G$5:$G$3004,MATCH($A2082,'Live History'!$G$5:$G$3004,1)),INDEX('AH History'!$F$1:$F$18046,AH!$P$7+2077))),NA()),NA())</ns0:f>
        <ns0:v/>
      </ns0:c>
      <ns0:c r="H2082">
        <ns0:f>IFERROR(IF(AND(AH!$E$4="Bloomberg",AH!$P$10=1,ISNUMBER($A2082),$A2082&lt;=AH!$P$17),AH!$P$7-1+MATCH($A2082,INDEX('AH History'!$A$1:$A$18046,AH!$P$7):INDEX('AH History'!$A$1:$A$18046,AH!$P$7+AH!$P$8-1),0),0),0)</ns0:f>
        <ns0:v/>
      </ns0:c>
      <ns0:c r="I2082">
        <ns0:f>IF($H2082=0,0,IFERROR(IF(AND(ABS($C2082-INDEX('AH History'!$B$1:$B$18046,$H2082))&lt;=MAX(0.005,ABS(INDEX('AH History'!$B$1:$B$18046,$H2082))*0.00005),ABS($D2082-INDEX('AH History'!$C$1:$C$18046,$H2082))&lt;=MAX(0.005,ABS(INDEX('AH History'!$C$1:$C$18046,$H2082))*0.00005),ABS($E2082-INDEX('AH History'!$D$1:$D$18046,$H2082))&lt;=0.00005,$F2082=INDEX('AH History'!$E$1:$E$18046,$H2082),$G2082=INDEX('AH History'!$F$1:$F$18046,$H2082)),1,-1),-1))</ns0:f>
        <ns0:v/>
      </ns0:c>
    </ns0:row>
    <ns0:row r="2083">
      <ns0:c r="A2083" s="215">
        <ns0:f>IF(OR(AH!$P$3=0,2078+1&gt;AH!$P$11,AND(AH!$E$4&lt;&gt;"Stored",AH!$P$10&lt;&gt;1)),"",IFERROR(IF(AND(AH!$P$21=1,2078+1=AH!$P$11),TODAY(),IF(AH!$P$10=1,INDEX('Live History'!$A$5:$A$3004,AH!$P$13+2078),INDEX('AH History'!$A$1:$A$18046,AH!$P$7+2078))),""))</ns0:f>
        <ns0:v/>
      </ns0:c>
      <ns0:c r="B2083" s="219">
        <ns0:f>IFERROR(IF(AND(AH!$P$9&lt;&gt;1,$C2083&gt;0,$D2083&gt;0,$E2083&gt;0,$F2083&gt;0,$G2083&gt;0,$F2083&lt;=$A2083,$G2083&lt;=$A2083,$A2083-$F2083&lt;=10,$A2083-$G2083&lt;=5),$D2083*$E2083/$C2083-1,NA()),NA())</ns0:f>
        <ns0:v/>
      </ns0:c>
      <ns0:c r="C2083">
        <ns0:f>IFERROR(IF(ISNUMBER($A2083),IF(AND(AH!$P$10=1,AH!$P$12=1,$A2083=TODAY()),AH!$P$19,IF(AH!$P$10=1,INDEX('Live History'!$B$5:$B$3004,AH!$P$13+2078),INDEX('AH History'!$B$1:$B$18046,AH!$P$7+2078))),NA()),NA())</ns0:f>
        <ns0:v/>
      </ns0:c>
      <ns0:c r="D2083">
        <ns0:f>IFERROR(IF(ISNUMBER($A2083),IF(AND(AH!$P$10=1,AH!$P$12=1,$A2083=TODAY()),AH!$P$18,IF(AH!$P$10=1,INDEX('Live History'!$E$5:$E$3004,MATCH($A2083,'Live History'!$D$5:$D$3004,1)),INDEX('AH History'!$C$1:$C$18046,AH!$P$7+2078))),NA()),NA())</ns0:f>
        <ns0:v/>
      </ns0:c>
      <ns0:c r="E2083">
        <ns0:f>IFERROR(IF(ISNUMBER($A2083),IF(AND(AH!$P$10=1,AH!$P$12=1,$A2083=TODAY()),AH!$P$20,IF(AH!$P$10=1,INDEX('Live History'!$H$5:$H$3004,MATCH($A2083,'Live History'!$G$5:$G$3004,1)),INDEX('AH History'!$D$1:$D$18046,AH!$P$7+2078))),NA()),NA())</ns0:f>
        <ns0:v/>
      </ns0:c>
      <ns0:c r="F2083">
        <ns0:f>IFERROR(IF(ISNUMBER($A2083),IF(AND(AH!$P$10=1,AH!$P$12=1,$A2083=TODAY()),IF(AND(AH!$P$10=1,AH!$P$12=1,$A2083=TODAY()),TODAY(),NA()),IF(AH!$P$10=1,INDEX('Live History'!$D$5:$D$3004,MATCH($A2083,'Live History'!$D$5:$D$3004,1)),INDEX('AH History'!$E$1:$E$18046,AH!$P$7+2078))),NA()),NA())</ns0:f>
        <ns0:v/>
      </ns0:c>
      <ns0:c r="G2083">
        <ns0:f>IFERROR(IF(ISNUMBER($A2083),IF(AND(AH!$P$10=1,AH!$P$12=1,$A2083=TODAY()),IF(AND(AH!$P$10=1,AH!$P$12=1,$A2083=TODAY()),TODAY(),NA()),IF(AH!$P$10=1,INDEX('Live History'!$G$5:$G$3004,MATCH($A2083,'Live History'!$G$5:$G$3004,1)),INDEX('AH History'!$F$1:$F$18046,AH!$P$7+2078))),NA()),NA())</ns0:f>
        <ns0:v/>
      </ns0:c>
      <ns0:c r="H2083">
        <ns0:f>IFERROR(IF(AND(AH!$E$4="Bloomberg",AH!$P$10=1,ISNUMBER($A2083),$A2083&lt;=AH!$P$17),AH!$P$7-1+MATCH($A2083,INDEX('AH History'!$A$1:$A$18046,AH!$P$7):INDEX('AH History'!$A$1:$A$18046,AH!$P$7+AH!$P$8-1),0),0),0)</ns0:f>
        <ns0:v/>
      </ns0:c>
      <ns0:c r="I2083">
        <ns0:f>IF($H2083=0,0,IFERROR(IF(AND(ABS($C2083-INDEX('AH History'!$B$1:$B$18046,$H2083))&lt;=MAX(0.005,ABS(INDEX('AH History'!$B$1:$B$18046,$H2083))*0.00005),ABS($D2083-INDEX('AH History'!$C$1:$C$18046,$H2083))&lt;=MAX(0.005,ABS(INDEX('AH History'!$C$1:$C$18046,$H2083))*0.00005),ABS($E2083-INDEX('AH History'!$D$1:$D$18046,$H2083))&lt;=0.00005,$F2083=INDEX('AH History'!$E$1:$E$18046,$H2083),$G2083=INDEX('AH History'!$F$1:$F$18046,$H2083)),1,-1),-1))</ns0:f>
        <ns0:v/>
      </ns0:c>
    </ns0:row>
    <ns0:row r="2084">
      <ns0:c r="A2084" s="215">
        <ns0:f>IF(OR(AH!$P$3=0,2079+1&gt;AH!$P$11,AND(AH!$E$4&lt;&gt;"Stored",AH!$P$10&lt;&gt;1)),"",IFERROR(IF(AND(AH!$P$21=1,2079+1=AH!$P$11),TODAY(),IF(AH!$P$10=1,INDEX('Live History'!$A$5:$A$3004,AH!$P$13+2079),INDEX('AH History'!$A$1:$A$18046,AH!$P$7+2079))),""))</ns0:f>
        <ns0:v/>
      </ns0:c>
      <ns0:c r="B2084" s="219">
        <ns0:f>IFERROR(IF(AND(AH!$P$9&lt;&gt;1,$C2084&gt;0,$D2084&gt;0,$E2084&gt;0,$F2084&gt;0,$G2084&gt;0,$F2084&lt;=$A2084,$G2084&lt;=$A2084,$A2084-$F2084&lt;=10,$A2084-$G2084&lt;=5),$D2084*$E2084/$C2084-1,NA()),NA())</ns0:f>
        <ns0:v/>
      </ns0:c>
      <ns0:c r="C2084">
        <ns0:f>IFERROR(IF(ISNUMBER($A2084),IF(AND(AH!$P$10=1,AH!$P$12=1,$A2084=TODAY()),AH!$P$19,IF(AH!$P$10=1,INDEX('Live History'!$B$5:$B$3004,AH!$P$13+2079),INDEX('AH History'!$B$1:$B$18046,AH!$P$7+2079))),NA()),NA())</ns0:f>
        <ns0:v/>
      </ns0:c>
      <ns0:c r="D2084">
        <ns0:f>IFERROR(IF(ISNUMBER($A2084),IF(AND(AH!$P$10=1,AH!$P$12=1,$A2084=TODAY()),AH!$P$18,IF(AH!$P$10=1,INDEX('Live History'!$E$5:$E$3004,MATCH($A2084,'Live History'!$D$5:$D$3004,1)),INDEX('AH History'!$C$1:$C$18046,AH!$P$7+2079))),NA()),NA())</ns0:f>
        <ns0:v/>
      </ns0:c>
      <ns0:c r="E2084">
        <ns0:f>IFERROR(IF(ISNUMBER($A2084),IF(AND(AH!$P$10=1,AH!$P$12=1,$A2084=TODAY()),AH!$P$20,IF(AH!$P$10=1,INDEX('Live History'!$H$5:$H$3004,MATCH($A2084,'Live History'!$G$5:$G$3004,1)),INDEX('AH History'!$D$1:$D$18046,AH!$P$7+2079))),NA()),NA())</ns0:f>
        <ns0:v/>
      </ns0:c>
      <ns0:c r="F2084">
        <ns0:f>IFERROR(IF(ISNUMBER($A2084),IF(AND(AH!$P$10=1,AH!$P$12=1,$A2084=TODAY()),IF(AND(AH!$P$10=1,AH!$P$12=1,$A2084=TODAY()),TODAY(),NA()),IF(AH!$P$10=1,INDEX('Live History'!$D$5:$D$3004,MATCH($A2084,'Live History'!$D$5:$D$3004,1)),INDEX('AH History'!$E$1:$E$18046,AH!$P$7+2079))),NA()),NA())</ns0:f>
        <ns0:v/>
      </ns0:c>
      <ns0:c r="G2084">
        <ns0:f>IFERROR(IF(ISNUMBER($A2084),IF(AND(AH!$P$10=1,AH!$P$12=1,$A2084=TODAY()),IF(AND(AH!$P$10=1,AH!$P$12=1,$A2084=TODAY()),TODAY(),NA()),IF(AH!$P$10=1,INDEX('Live History'!$G$5:$G$3004,MATCH($A2084,'Live History'!$G$5:$G$3004,1)),INDEX('AH History'!$F$1:$F$18046,AH!$P$7+2079))),NA()),NA())</ns0:f>
        <ns0:v/>
      </ns0:c>
      <ns0:c r="H2084">
        <ns0:f>IFERROR(IF(AND(AH!$E$4="Bloomberg",AH!$P$10=1,ISNUMBER($A2084),$A2084&lt;=AH!$P$17),AH!$P$7-1+MATCH($A2084,INDEX('AH History'!$A$1:$A$18046,AH!$P$7):INDEX('AH History'!$A$1:$A$18046,AH!$P$7+AH!$P$8-1),0),0),0)</ns0:f>
        <ns0:v/>
      </ns0:c>
      <ns0:c r="I2084">
        <ns0:f>IF($H2084=0,0,IFERROR(IF(AND(ABS($C2084-INDEX('AH History'!$B$1:$B$18046,$H2084))&lt;=MAX(0.005,ABS(INDEX('AH History'!$B$1:$B$18046,$H2084))*0.00005),ABS($D2084-INDEX('AH History'!$C$1:$C$18046,$H2084))&lt;=MAX(0.005,ABS(INDEX('AH History'!$C$1:$C$18046,$H2084))*0.00005),ABS($E2084-INDEX('AH History'!$D$1:$D$18046,$H2084))&lt;=0.00005,$F2084=INDEX('AH History'!$E$1:$E$18046,$H2084),$G2084=INDEX('AH History'!$F$1:$F$18046,$H2084)),1,-1),-1))</ns0:f>
        <ns0:v/>
      </ns0:c>
    </ns0:row>
    <ns0:row r="2085">
      <ns0:c r="A2085" s="215">
        <ns0:f>IF(OR(AH!$P$3=0,2080+1&gt;AH!$P$11,AND(AH!$E$4&lt;&gt;"Stored",AH!$P$10&lt;&gt;1)),"",IFERROR(IF(AND(AH!$P$21=1,2080+1=AH!$P$11),TODAY(),IF(AH!$P$10=1,INDEX('Live History'!$A$5:$A$3004,AH!$P$13+2080),INDEX('AH History'!$A$1:$A$18046,AH!$P$7+2080))),""))</ns0:f>
        <ns0:v/>
      </ns0:c>
      <ns0:c r="B2085" s="219">
        <ns0:f>IFERROR(IF(AND(AH!$P$9&lt;&gt;1,$C2085&gt;0,$D2085&gt;0,$E2085&gt;0,$F2085&gt;0,$G2085&gt;0,$F2085&lt;=$A2085,$G2085&lt;=$A2085,$A2085-$F2085&lt;=10,$A2085-$G2085&lt;=5),$D2085*$E2085/$C2085-1,NA()),NA())</ns0:f>
        <ns0:v/>
      </ns0:c>
      <ns0:c r="C2085">
        <ns0:f>IFERROR(IF(ISNUMBER($A2085),IF(AND(AH!$P$10=1,AH!$P$12=1,$A2085=TODAY()),AH!$P$19,IF(AH!$P$10=1,INDEX('Live History'!$B$5:$B$3004,AH!$P$13+2080),INDEX('AH History'!$B$1:$B$18046,AH!$P$7+2080))),NA()),NA())</ns0:f>
        <ns0:v/>
      </ns0:c>
      <ns0:c r="D2085">
        <ns0:f>IFERROR(IF(ISNUMBER($A2085),IF(AND(AH!$P$10=1,AH!$P$12=1,$A2085=TODAY()),AH!$P$18,IF(AH!$P$10=1,INDEX('Live History'!$E$5:$E$3004,MATCH($A2085,'Live History'!$D$5:$D$3004,1)),INDEX('AH History'!$C$1:$C$18046,AH!$P$7+2080))),NA()),NA())</ns0:f>
        <ns0:v/>
      </ns0:c>
      <ns0:c r="E2085">
        <ns0:f>IFERROR(IF(ISNUMBER($A2085),IF(AND(AH!$P$10=1,AH!$P$12=1,$A2085=TODAY()),AH!$P$20,IF(AH!$P$10=1,INDEX('Live History'!$H$5:$H$3004,MATCH($A2085,'Live History'!$G$5:$G$3004,1)),INDEX('AH History'!$D$1:$D$18046,AH!$P$7+2080))),NA()),NA())</ns0:f>
        <ns0:v/>
      </ns0:c>
      <ns0:c r="F2085">
        <ns0:f>IFERROR(IF(ISNUMBER($A2085),IF(AND(AH!$P$10=1,AH!$P$12=1,$A2085=TODAY()),IF(AND(AH!$P$10=1,AH!$P$12=1,$A2085=TODAY()),TODAY(),NA()),IF(AH!$P$10=1,INDEX('Live History'!$D$5:$D$3004,MATCH($A2085,'Live History'!$D$5:$D$3004,1)),INDEX('AH History'!$E$1:$E$18046,AH!$P$7+2080))),NA()),NA())</ns0:f>
        <ns0:v/>
      </ns0:c>
      <ns0:c r="G2085">
        <ns0:f>IFERROR(IF(ISNUMBER($A2085),IF(AND(AH!$P$10=1,AH!$P$12=1,$A2085=TODAY()),IF(AND(AH!$P$10=1,AH!$P$12=1,$A2085=TODAY()),TODAY(),NA()),IF(AH!$P$10=1,INDEX('Live History'!$G$5:$G$3004,MATCH($A2085,'Live History'!$G$5:$G$3004,1)),INDEX('AH History'!$F$1:$F$18046,AH!$P$7+2080))),NA()),NA())</ns0:f>
        <ns0:v/>
      </ns0:c>
      <ns0:c r="H2085">
        <ns0:f>IFERROR(IF(AND(AH!$E$4="Bloomberg",AH!$P$10=1,ISNUMBER($A2085),$A2085&lt;=AH!$P$17),AH!$P$7-1+MATCH($A2085,INDEX('AH History'!$A$1:$A$18046,AH!$P$7):INDEX('AH History'!$A$1:$A$18046,AH!$P$7+AH!$P$8-1),0),0),0)</ns0:f>
        <ns0:v/>
      </ns0:c>
      <ns0:c r="I2085">
        <ns0:f>IF($H2085=0,0,IFERROR(IF(AND(ABS($C2085-INDEX('AH History'!$B$1:$B$18046,$H2085))&lt;=MAX(0.005,ABS(INDEX('AH History'!$B$1:$B$18046,$H2085))*0.00005),ABS($D2085-INDEX('AH History'!$C$1:$C$18046,$H2085))&lt;=MAX(0.005,ABS(INDEX('AH History'!$C$1:$C$18046,$H2085))*0.00005),ABS($E2085-INDEX('AH History'!$D$1:$D$18046,$H2085))&lt;=0.00005,$F2085=INDEX('AH History'!$E$1:$E$18046,$H2085),$G2085=INDEX('AH History'!$F$1:$F$18046,$H2085)),1,-1),-1))</ns0:f>
        <ns0:v/>
      </ns0:c>
    </ns0:row>
    <ns0:row r="2086">
      <ns0:c r="A2086" s="215">
        <ns0:f>IF(OR(AH!$P$3=0,2081+1&gt;AH!$P$11,AND(AH!$E$4&lt;&gt;"Stored",AH!$P$10&lt;&gt;1)),"",IFERROR(IF(AND(AH!$P$21=1,2081+1=AH!$P$11),TODAY(),IF(AH!$P$10=1,INDEX('Live History'!$A$5:$A$3004,AH!$P$13+2081),INDEX('AH History'!$A$1:$A$18046,AH!$P$7+2081))),""))</ns0:f>
        <ns0:v/>
      </ns0:c>
      <ns0:c r="B2086" s="219">
        <ns0:f>IFERROR(IF(AND(AH!$P$9&lt;&gt;1,$C2086&gt;0,$D2086&gt;0,$E2086&gt;0,$F2086&gt;0,$G2086&gt;0,$F2086&lt;=$A2086,$G2086&lt;=$A2086,$A2086-$F2086&lt;=10,$A2086-$G2086&lt;=5),$D2086*$E2086/$C2086-1,NA()),NA())</ns0:f>
        <ns0:v/>
      </ns0:c>
      <ns0:c r="C2086">
        <ns0:f>IFERROR(IF(ISNUMBER($A2086),IF(AND(AH!$P$10=1,AH!$P$12=1,$A2086=TODAY()),AH!$P$19,IF(AH!$P$10=1,INDEX('Live History'!$B$5:$B$3004,AH!$P$13+2081),INDEX('AH History'!$B$1:$B$18046,AH!$P$7+2081))),NA()),NA())</ns0:f>
        <ns0:v/>
      </ns0:c>
      <ns0:c r="D2086">
        <ns0:f>IFERROR(IF(ISNUMBER($A2086),IF(AND(AH!$P$10=1,AH!$P$12=1,$A2086=TODAY()),AH!$P$18,IF(AH!$P$10=1,INDEX('Live History'!$E$5:$E$3004,MATCH($A2086,'Live History'!$D$5:$D$3004,1)),INDEX('AH History'!$C$1:$C$18046,AH!$P$7+2081))),NA()),NA())</ns0:f>
        <ns0:v/>
      </ns0:c>
      <ns0:c r="E2086">
        <ns0:f>IFERROR(IF(ISNUMBER($A2086),IF(AND(AH!$P$10=1,AH!$P$12=1,$A2086=TODAY()),AH!$P$20,IF(AH!$P$10=1,INDEX('Live History'!$H$5:$H$3004,MATCH($A2086,'Live History'!$G$5:$G$3004,1)),INDEX('AH History'!$D$1:$D$18046,AH!$P$7+2081))),NA()),NA())</ns0:f>
        <ns0:v/>
      </ns0:c>
      <ns0:c r="F2086">
        <ns0:f>IFERROR(IF(ISNUMBER($A2086),IF(AND(AH!$P$10=1,AH!$P$12=1,$A2086=TODAY()),IF(AND(AH!$P$10=1,AH!$P$12=1,$A2086=TODAY()),TODAY(),NA()),IF(AH!$P$10=1,INDEX('Live History'!$D$5:$D$3004,MATCH($A2086,'Live History'!$D$5:$D$3004,1)),INDEX('AH History'!$E$1:$E$18046,AH!$P$7+2081))),NA()),NA())</ns0:f>
        <ns0:v/>
      </ns0:c>
      <ns0:c r="G2086">
        <ns0:f>IFERROR(IF(ISNUMBER($A2086),IF(AND(AH!$P$10=1,AH!$P$12=1,$A2086=TODAY()),IF(AND(AH!$P$10=1,AH!$P$12=1,$A2086=TODAY()),TODAY(),NA()),IF(AH!$P$10=1,INDEX('Live History'!$G$5:$G$3004,MATCH($A2086,'Live History'!$G$5:$G$3004,1)),INDEX('AH History'!$F$1:$F$18046,AH!$P$7+2081))),NA()),NA())</ns0:f>
        <ns0:v/>
      </ns0:c>
      <ns0:c r="H2086">
        <ns0:f>IFERROR(IF(AND(AH!$E$4="Bloomberg",AH!$P$10=1,ISNUMBER($A2086),$A2086&lt;=AH!$P$17),AH!$P$7-1+MATCH($A2086,INDEX('AH History'!$A$1:$A$18046,AH!$P$7):INDEX('AH History'!$A$1:$A$18046,AH!$P$7+AH!$P$8-1),0),0),0)</ns0:f>
        <ns0:v/>
      </ns0:c>
      <ns0:c r="I2086">
        <ns0:f>IF($H2086=0,0,IFERROR(IF(AND(ABS($C2086-INDEX('AH History'!$B$1:$B$18046,$H2086))&lt;=MAX(0.005,ABS(INDEX('AH History'!$B$1:$B$18046,$H2086))*0.00005),ABS($D2086-INDEX('AH History'!$C$1:$C$18046,$H2086))&lt;=MAX(0.005,ABS(INDEX('AH History'!$C$1:$C$18046,$H2086))*0.00005),ABS($E2086-INDEX('AH History'!$D$1:$D$18046,$H2086))&lt;=0.00005,$F2086=INDEX('AH History'!$E$1:$E$18046,$H2086),$G2086=INDEX('AH History'!$F$1:$F$18046,$H2086)),1,-1),-1))</ns0:f>
        <ns0:v/>
      </ns0:c>
    </ns0:row>
    <ns0:row r="2087">
      <ns0:c r="A2087" s="215">
        <ns0:f>IF(OR(AH!$P$3=0,2082+1&gt;AH!$P$11,AND(AH!$E$4&lt;&gt;"Stored",AH!$P$10&lt;&gt;1)),"",IFERROR(IF(AND(AH!$P$21=1,2082+1=AH!$P$11),TODAY(),IF(AH!$P$10=1,INDEX('Live History'!$A$5:$A$3004,AH!$P$13+2082),INDEX('AH History'!$A$1:$A$18046,AH!$P$7+2082))),""))</ns0:f>
        <ns0:v/>
      </ns0:c>
      <ns0:c r="B2087" s="219">
        <ns0:f>IFERROR(IF(AND(AH!$P$9&lt;&gt;1,$C2087&gt;0,$D2087&gt;0,$E2087&gt;0,$F2087&gt;0,$G2087&gt;0,$F2087&lt;=$A2087,$G2087&lt;=$A2087,$A2087-$F2087&lt;=10,$A2087-$G2087&lt;=5),$D2087*$E2087/$C2087-1,NA()),NA())</ns0:f>
        <ns0:v/>
      </ns0:c>
      <ns0:c r="C2087">
        <ns0:f>IFERROR(IF(ISNUMBER($A2087),IF(AND(AH!$P$10=1,AH!$P$12=1,$A2087=TODAY()),AH!$P$19,IF(AH!$P$10=1,INDEX('Live History'!$B$5:$B$3004,AH!$P$13+2082),INDEX('AH History'!$B$1:$B$18046,AH!$P$7+2082))),NA()),NA())</ns0:f>
        <ns0:v/>
      </ns0:c>
      <ns0:c r="D2087">
        <ns0:f>IFERROR(IF(ISNUMBER($A2087),IF(AND(AH!$P$10=1,AH!$P$12=1,$A2087=TODAY()),AH!$P$18,IF(AH!$P$10=1,INDEX('Live History'!$E$5:$E$3004,MATCH($A2087,'Live History'!$D$5:$D$3004,1)),INDEX('AH History'!$C$1:$C$18046,AH!$P$7+2082))),NA()),NA())</ns0:f>
        <ns0:v/>
      </ns0:c>
      <ns0:c r="E2087">
        <ns0:f>IFERROR(IF(ISNUMBER($A2087),IF(AND(AH!$P$10=1,AH!$P$12=1,$A2087=TODAY()),AH!$P$20,IF(AH!$P$10=1,INDEX('Live History'!$H$5:$H$3004,MATCH($A2087,'Live History'!$G$5:$G$3004,1)),INDEX('AH History'!$D$1:$D$18046,AH!$P$7+2082))),NA()),NA())</ns0:f>
        <ns0:v/>
      </ns0:c>
      <ns0:c r="F2087">
        <ns0:f>IFERROR(IF(ISNUMBER($A2087),IF(AND(AH!$P$10=1,AH!$P$12=1,$A2087=TODAY()),IF(AND(AH!$P$10=1,AH!$P$12=1,$A2087=TODAY()),TODAY(),NA()),IF(AH!$P$10=1,INDEX('Live History'!$D$5:$D$3004,MATCH($A2087,'Live History'!$D$5:$D$3004,1)),INDEX('AH History'!$E$1:$E$18046,AH!$P$7+2082))),NA()),NA())</ns0:f>
        <ns0:v/>
      </ns0:c>
      <ns0:c r="G2087">
        <ns0:f>IFERROR(IF(ISNUMBER($A2087),IF(AND(AH!$P$10=1,AH!$P$12=1,$A2087=TODAY()),IF(AND(AH!$P$10=1,AH!$P$12=1,$A2087=TODAY()),TODAY(),NA()),IF(AH!$P$10=1,INDEX('Live History'!$G$5:$G$3004,MATCH($A2087,'Live History'!$G$5:$G$3004,1)),INDEX('AH History'!$F$1:$F$18046,AH!$P$7+2082))),NA()),NA())</ns0:f>
        <ns0:v/>
      </ns0:c>
      <ns0:c r="H2087">
        <ns0:f>IFERROR(IF(AND(AH!$E$4="Bloomberg",AH!$P$10=1,ISNUMBER($A2087),$A2087&lt;=AH!$P$17),AH!$P$7-1+MATCH($A2087,INDEX('AH History'!$A$1:$A$18046,AH!$P$7):INDEX('AH History'!$A$1:$A$18046,AH!$P$7+AH!$P$8-1),0),0),0)</ns0:f>
        <ns0:v/>
      </ns0:c>
      <ns0:c r="I2087">
        <ns0:f>IF($H2087=0,0,IFERROR(IF(AND(ABS($C2087-INDEX('AH History'!$B$1:$B$18046,$H2087))&lt;=MAX(0.005,ABS(INDEX('AH History'!$B$1:$B$18046,$H2087))*0.00005),ABS($D2087-INDEX('AH History'!$C$1:$C$18046,$H2087))&lt;=MAX(0.005,ABS(INDEX('AH History'!$C$1:$C$18046,$H2087))*0.00005),ABS($E2087-INDEX('AH History'!$D$1:$D$18046,$H2087))&lt;=0.00005,$F2087=INDEX('AH History'!$E$1:$E$18046,$H2087),$G2087=INDEX('AH History'!$F$1:$F$18046,$H2087)),1,-1),-1))</ns0:f>
        <ns0:v/>
      </ns0:c>
    </ns0:row>
    <ns0:row r="2088">
      <ns0:c r="A2088" s="215">
        <ns0:f>IF(OR(AH!$P$3=0,2083+1&gt;AH!$P$11,AND(AH!$E$4&lt;&gt;"Stored",AH!$P$10&lt;&gt;1)),"",IFERROR(IF(AND(AH!$P$21=1,2083+1=AH!$P$11),TODAY(),IF(AH!$P$10=1,INDEX('Live History'!$A$5:$A$3004,AH!$P$13+2083),INDEX('AH History'!$A$1:$A$18046,AH!$P$7+2083))),""))</ns0:f>
        <ns0:v/>
      </ns0:c>
      <ns0:c r="B2088" s="219">
        <ns0:f>IFERROR(IF(AND(AH!$P$9&lt;&gt;1,$C2088&gt;0,$D2088&gt;0,$E2088&gt;0,$F2088&gt;0,$G2088&gt;0,$F2088&lt;=$A2088,$G2088&lt;=$A2088,$A2088-$F2088&lt;=10,$A2088-$G2088&lt;=5),$D2088*$E2088/$C2088-1,NA()),NA())</ns0:f>
        <ns0:v/>
      </ns0:c>
      <ns0:c r="C2088">
        <ns0:f>IFERROR(IF(ISNUMBER($A2088),IF(AND(AH!$P$10=1,AH!$P$12=1,$A2088=TODAY()),AH!$P$19,IF(AH!$P$10=1,INDEX('Live History'!$B$5:$B$3004,AH!$P$13+2083),INDEX('AH History'!$B$1:$B$18046,AH!$P$7+2083))),NA()),NA())</ns0:f>
        <ns0:v/>
      </ns0:c>
      <ns0:c r="D2088">
        <ns0:f>IFERROR(IF(ISNUMBER($A2088),IF(AND(AH!$P$10=1,AH!$P$12=1,$A2088=TODAY()),AH!$P$18,IF(AH!$P$10=1,INDEX('Live History'!$E$5:$E$3004,MATCH($A2088,'Live History'!$D$5:$D$3004,1)),INDEX('AH History'!$C$1:$C$18046,AH!$P$7+2083))),NA()),NA())</ns0:f>
        <ns0:v/>
      </ns0:c>
      <ns0:c r="E2088">
        <ns0:f>IFERROR(IF(ISNUMBER($A2088),IF(AND(AH!$P$10=1,AH!$P$12=1,$A2088=TODAY()),AH!$P$20,IF(AH!$P$10=1,INDEX('Live History'!$H$5:$H$3004,MATCH($A2088,'Live History'!$G$5:$G$3004,1)),INDEX('AH History'!$D$1:$D$18046,AH!$P$7+2083))),NA()),NA())</ns0:f>
        <ns0:v/>
      </ns0:c>
      <ns0:c r="F2088">
        <ns0:f>IFERROR(IF(ISNUMBER($A2088),IF(AND(AH!$P$10=1,AH!$P$12=1,$A2088=TODAY()),IF(AND(AH!$P$10=1,AH!$P$12=1,$A2088=TODAY()),TODAY(),NA()),IF(AH!$P$10=1,INDEX('Live History'!$D$5:$D$3004,MATCH($A2088,'Live History'!$D$5:$D$3004,1)),INDEX('AH History'!$E$1:$E$18046,AH!$P$7+2083))),NA()),NA())</ns0:f>
        <ns0:v/>
      </ns0:c>
      <ns0:c r="G2088">
        <ns0:f>IFERROR(IF(ISNUMBER($A2088),IF(AND(AH!$P$10=1,AH!$P$12=1,$A2088=TODAY()),IF(AND(AH!$P$10=1,AH!$P$12=1,$A2088=TODAY()),TODAY(),NA()),IF(AH!$P$10=1,INDEX('Live History'!$G$5:$G$3004,MATCH($A2088,'Live History'!$G$5:$G$3004,1)),INDEX('AH History'!$F$1:$F$18046,AH!$P$7+2083))),NA()),NA())</ns0:f>
        <ns0:v/>
      </ns0:c>
      <ns0:c r="H2088">
        <ns0:f>IFERROR(IF(AND(AH!$E$4="Bloomberg",AH!$P$10=1,ISNUMBER($A2088),$A2088&lt;=AH!$P$17),AH!$P$7-1+MATCH($A2088,INDEX('AH History'!$A$1:$A$18046,AH!$P$7):INDEX('AH History'!$A$1:$A$18046,AH!$P$7+AH!$P$8-1),0),0),0)</ns0:f>
        <ns0:v/>
      </ns0:c>
      <ns0:c r="I2088">
        <ns0:f>IF($H2088=0,0,IFERROR(IF(AND(ABS($C2088-INDEX('AH History'!$B$1:$B$18046,$H2088))&lt;=MAX(0.005,ABS(INDEX('AH History'!$B$1:$B$18046,$H2088))*0.00005),ABS($D2088-INDEX('AH History'!$C$1:$C$18046,$H2088))&lt;=MAX(0.005,ABS(INDEX('AH History'!$C$1:$C$18046,$H2088))*0.00005),ABS($E2088-INDEX('AH History'!$D$1:$D$18046,$H2088))&lt;=0.00005,$F2088=INDEX('AH History'!$E$1:$E$18046,$H2088),$G2088=INDEX('AH History'!$F$1:$F$18046,$H2088)),1,-1),-1))</ns0:f>
        <ns0:v/>
      </ns0:c>
    </ns0:row>
    <ns0:row r="2089">
      <ns0:c r="A2089" s="215">
        <ns0:f>IF(OR(AH!$P$3=0,2084+1&gt;AH!$P$11,AND(AH!$E$4&lt;&gt;"Stored",AH!$P$10&lt;&gt;1)),"",IFERROR(IF(AND(AH!$P$21=1,2084+1=AH!$P$11),TODAY(),IF(AH!$P$10=1,INDEX('Live History'!$A$5:$A$3004,AH!$P$13+2084),INDEX('AH History'!$A$1:$A$18046,AH!$P$7+2084))),""))</ns0:f>
        <ns0:v/>
      </ns0:c>
      <ns0:c r="B2089" s="219">
        <ns0:f>IFERROR(IF(AND(AH!$P$9&lt;&gt;1,$C2089&gt;0,$D2089&gt;0,$E2089&gt;0,$F2089&gt;0,$G2089&gt;0,$F2089&lt;=$A2089,$G2089&lt;=$A2089,$A2089-$F2089&lt;=10,$A2089-$G2089&lt;=5),$D2089*$E2089/$C2089-1,NA()),NA())</ns0:f>
        <ns0:v/>
      </ns0:c>
      <ns0:c r="C2089">
        <ns0:f>IFERROR(IF(ISNUMBER($A2089),IF(AND(AH!$P$10=1,AH!$P$12=1,$A2089=TODAY()),AH!$P$19,IF(AH!$P$10=1,INDEX('Live History'!$B$5:$B$3004,AH!$P$13+2084),INDEX('AH History'!$B$1:$B$18046,AH!$P$7+2084))),NA()),NA())</ns0:f>
        <ns0:v/>
      </ns0:c>
      <ns0:c r="D2089">
        <ns0:f>IFERROR(IF(ISNUMBER($A2089),IF(AND(AH!$P$10=1,AH!$P$12=1,$A2089=TODAY()),AH!$P$18,IF(AH!$P$10=1,INDEX('Live History'!$E$5:$E$3004,MATCH($A2089,'Live History'!$D$5:$D$3004,1)),INDEX('AH History'!$C$1:$C$18046,AH!$P$7+2084))),NA()),NA())</ns0:f>
        <ns0:v/>
      </ns0:c>
      <ns0:c r="E2089">
        <ns0:f>IFERROR(IF(ISNUMBER($A2089),IF(AND(AH!$P$10=1,AH!$P$12=1,$A2089=TODAY()),AH!$P$20,IF(AH!$P$10=1,INDEX('Live History'!$H$5:$H$3004,MATCH($A2089,'Live History'!$G$5:$G$3004,1)),INDEX('AH History'!$D$1:$D$18046,AH!$P$7+2084))),NA()),NA())</ns0:f>
        <ns0:v/>
      </ns0:c>
      <ns0:c r="F2089">
        <ns0:f>IFERROR(IF(ISNUMBER($A2089),IF(AND(AH!$P$10=1,AH!$P$12=1,$A2089=TODAY()),IF(AND(AH!$P$10=1,AH!$P$12=1,$A2089=TODAY()),TODAY(),NA()),IF(AH!$P$10=1,INDEX('Live History'!$D$5:$D$3004,MATCH($A2089,'Live History'!$D$5:$D$3004,1)),INDEX('AH History'!$E$1:$E$18046,AH!$P$7+2084))),NA()),NA())</ns0:f>
        <ns0:v/>
      </ns0:c>
      <ns0:c r="G2089">
        <ns0:f>IFERROR(IF(ISNUMBER($A2089),IF(AND(AH!$P$10=1,AH!$P$12=1,$A2089=TODAY()),IF(AND(AH!$P$10=1,AH!$P$12=1,$A2089=TODAY()),TODAY(),NA()),IF(AH!$P$10=1,INDEX('Live History'!$G$5:$G$3004,MATCH($A2089,'Live History'!$G$5:$G$3004,1)),INDEX('AH History'!$F$1:$F$18046,AH!$P$7+2084))),NA()),NA())</ns0:f>
        <ns0:v/>
      </ns0:c>
      <ns0:c r="H2089">
        <ns0:f>IFERROR(IF(AND(AH!$E$4="Bloomberg",AH!$P$10=1,ISNUMBER($A2089),$A2089&lt;=AH!$P$17),AH!$P$7-1+MATCH($A2089,INDEX('AH History'!$A$1:$A$18046,AH!$P$7):INDEX('AH History'!$A$1:$A$18046,AH!$P$7+AH!$P$8-1),0),0),0)</ns0:f>
        <ns0:v/>
      </ns0:c>
      <ns0:c r="I2089">
        <ns0:f>IF($H2089=0,0,IFERROR(IF(AND(ABS($C2089-INDEX('AH History'!$B$1:$B$18046,$H2089))&lt;=MAX(0.005,ABS(INDEX('AH History'!$B$1:$B$18046,$H2089))*0.00005),ABS($D2089-INDEX('AH History'!$C$1:$C$18046,$H2089))&lt;=MAX(0.005,ABS(INDEX('AH History'!$C$1:$C$18046,$H2089))*0.00005),ABS($E2089-INDEX('AH History'!$D$1:$D$18046,$H2089))&lt;=0.00005,$F2089=INDEX('AH History'!$E$1:$E$18046,$H2089),$G2089=INDEX('AH History'!$F$1:$F$18046,$H2089)),1,-1),-1))</ns0:f>
        <ns0:v/>
      </ns0:c>
    </ns0:row>
    <ns0:row r="2090">
      <ns0:c r="A2090" s="215">
        <ns0:f>IF(OR(AH!$P$3=0,2085+1&gt;AH!$P$11,AND(AH!$E$4&lt;&gt;"Stored",AH!$P$10&lt;&gt;1)),"",IFERROR(IF(AND(AH!$P$21=1,2085+1=AH!$P$11),TODAY(),IF(AH!$P$10=1,INDEX('Live History'!$A$5:$A$3004,AH!$P$13+2085),INDEX('AH History'!$A$1:$A$18046,AH!$P$7+2085))),""))</ns0:f>
        <ns0:v/>
      </ns0:c>
      <ns0:c r="B2090" s="219">
        <ns0:f>IFERROR(IF(AND(AH!$P$9&lt;&gt;1,$C2090&gt;0,$D2090&gt;0,$E2090&gt;0,$F2090&gt;0,$G2090&gt;0,$F2090&lt;=$A2090,$G2090&lt;=$A2090,$A2090-$F2090&lt;=10,$A2090-$G2090&lt;=5),$D2090*$E2090/$C2090-1,NA()),NA())</ns0:f>
        <ns0:v/>
      </ns0:c>
      <ns0:c r="C2090">
        <ns0:f>IFERROR(IF(ISNUMBER($A2090),IF(AND(AH!$P$10=1,AH!$P$12=1,$A2090=TODAY()),AH!$P$19,IF(AH!$P$10=1,INDEX('Live History'!$B$5:$B$3004,AH!$P$13+2085),INDEX('AH History'!$B$1:$B$18046,AH!$P$7+2085))),NA()),NA())</ns0:f>
        <ns0:v/>
      </ns0:c>
      <ns0:c r="D2090">
        <ns0:f>IFERROR(IF(ISNUMBER($A2090),IF(AND(AH!$P$10=1,AH!$P$12=1,$A2090=TODAY()),AH!$P$18,IF(AH!$P$10=1,INDEX('Live History'!$E$5:$E$3004,MATCH($A2090,'Live History'!$D$5:$D$3004,1)),INDEX('AH History'!$C$1:$C$18046,AH!$P$7+2085))),NA()),NA())</ns0:f>
        <ns0:v/>
      </ns0:c>
      <ns0:c r="E2090">
        <ns0:f>IFERROR(IF(ISNUMBER($A2090),IF(AND(AH!$P$10=1,AH!$P$12=1,$A2090=TODAY()),AH!$P$20,IF(AH!$P$10=1,INDEX('Live History'!$H$5:$H$3004,MATCH($A2090,'Live History'!$G$5:$G$3004,1)),INDEX('AH History'!$D$1:$D$18046,AH!$P$7+2085))),NA()),NA())</ns0:f>
        <ns0:v/>
      </ns0:c>
      <ns0:c r="F2090">
        <ns0:f>IFERROR(IF(ISNUMBER($A2090),IF(AND(AH!$P$10=1,AH!$P$12=1,$A2090=TODAY()),IF(AND(AH!$P$10=1,AH!$P$12=1,$A2090=TODAY()),TODAY(),NA()),IF(AH!$P$10=1,INDEX('Live History'!$D$5:$D$3004,MATCH($A2090,'Live History'!$D$5:$D$3004,1)),INDEX('AH History'!$E$1:$E$18046,AH!$P$7+2085))),NA()),NA())</ns0:f>
        <ns0:v/>
      </ns0:c>
      <ns0:c r="G2090">
        <ns0:f>IFERROR(IF(ISNUMBER($A2090),IF(AND(AH!$P$10=1,AH!$P$12=1,$A2090=TODAY()),IF(AND(AH!$P$10=1,AH!$P$12=1,$A2090=TODAY()),TODAY(),NA()),IF(AH!$P$10=1,INDEX('Live History'!$G$5:$G$3004,MATCH($A2090,'Live History'!$G$5:$G$3004,1)),INDEX('AH History'!$F$1:$F$18046,AH!$P$7+2085))),NA()),NA())</ns0:f>
        <ns0:v/>
      </ns0:c>
      <ns0:c r="H2090">
        <ns0:f>IFERROR(IF(AND(AH!$E$4="Bloomberg",AH!$P$10=1,ISNUMBER($A2090),$A2090&lt;=AH!$P$17),AH!$P$7-1+MATCH($A2090,INDEX('AH History'!$A$1:$A$18046,AH!$P$7):INDEX('AH History'!$A$1:$A$18046,AH!$P$7+AH!$P$8-1),0),0),0)</ns0:f>
        <ns0:v/>
      </ns0:c>
      <ns0:c r="I2090">
        <ns0:f>IF($H2090=0,0,IFERROR(IF(AND(ABS($C2090-INDEX('AH History'!$B$1:$B$18046,$H2090))&lt;=MAX(0.005,ABS(INDEX('AH History'!$B$1:$B$18046,$H2090))*0.00005),ABS($D2090-INDEX('AH History'!$C$1:$C$18046,$H2090))&lt;=MAX(0.005,ABS(INDEX('AH History'!$C$1:$C$18046,$H2090))*0.00005),ABS($E2090-INDEX('AH History'!$D$1:$D$18046,$H2090))&lt;=0.00005,$F2090=INDEX('AH History'!$E$1:$E$18046,$H2090),$G2090=INDEX('AH History'!$F$1:$F$18046,$H2090)),1,-1),-1))</ns0:f>
        <ns0:v/>
      </ns0:c>
    </ns0:row>
    <ns0:row r="2091">
      <ns0:c r="A2091" s="215">
        <ns0:f>IF(OR(AH!$P$3=0,2086+1&gt;AH!$P$11,AND(AH!$E$4&lt;&gt;"Stored",AH!$P$10&lt;&gt;1)),"",IFERROR(IF(AND(AH!$P$21=1,2086+1=AH!$P$11),TODAY(),IF(AH!$P$10=1,INDEX('Live History'!$A$5:$A$3004,AH!$P$13+2086),INDEX('AH History'!$A$1:$A$18046,AH!$P$7+2086))),""))</ns0:f>
        <ns0:v/>
      </ns0:c>
      <ns0:c r="B2091" s="219">
        <ns0:f>IFERROR(IF(AND(AH!$P$9&lt;&gt;1,$C2091&gt;0,$D2091&gt;0,$E2091&gt;0,$F2091&gt;0,$G2091&gt;0,$F2091&lt;=$A2091,$G2091&lt;=$A2091,$A2091-$F2091&lt;=10,$A2091-$G2091&lt;=5),$D2091*$E2091/$C2091-1,NA()),NA())</ns0:f>
        <ns0:v/>
      </ns0:c>
      <ns0:c r="C2091">
        <ns0:f>IFERROR(IF(ISNUMBER($A2091),IF(AND(AH!$P$10=1,AH!$P$12=1,$A2091=TODAY()),AH!$P$19,IF(AH!$P$10=1,INDEX('Live History'!$B$5:$B$3004,AH!$P$13+2086),INDEX('AH History'!$B$1:$B$18046,AH!$P$7+2086))),NA()),NA())</ns0:f>
        <ns0:v/>
      </ns0:c>
      <ns0:c r="D2091">
        <ns0:f>IFERROR(IF(ISNUMBER($A2091),IF(AND(AH!$P$10=1,AH!$P$12=1,$A2091=TODAY()),AH!$P$18,IF(AH!$P$10=1,INDEX('Live History'!$E$5:$E$3004,MATCH($A2091,'Live History'!$D$5:$D$3004,1)),INDEX('AH History'!$C$1:$C$18046,AH!$P$7+2086))),NA()),NA())</ns0:f>
        <ns0:v/>
      </ns0:c>
      <ns0:c r="E2091">
        <ns0:f>IFERROR(IF(ISNUMBER($A2091),IF(AND(AH!$P$10=1,AH!$P$12=1,$A2091=TODAY()),AH!$P$20,IF(AH!$P$10=1,INDEX('Live History'!$H$5:$H$3004,MATCH($A2091,'Live History'!$G$5:$G$3004,1)),INDEX('AH History'!$D$1:$D$18046,AH!$P$7+2086))),NA()),NA())</ns0:f>
        <ns0:v/>
      </ns0:c>
      <ns0:c r="F2091">
        <ns0:f>IFERROR(IF(ISNUMBER($A2091),IF(AND(AH!$P$10=1,AH!$P$12=1,$A2091=TODAY()),IF(AND(AH!$P$10=1,AH!$P$12=1,$A2091=TODAY()),TODAY(),NA()),IF(AH!$P$10=1,INDEX('Live History'!$D$5:$D$3004,MATCH($A2091,'Live History'!$D$5:$D$3004,1)),INDEX('AH History'!$E$1:$E$18046,AH!$P$7+2086))),NA()),NA())</ns0:f>
        <ns0:v/>
      </ns0:c>
      <ns0:c r="G2091">
        <ns0:f>IFERROR(IF(ISNUMBER($A2091),IF(AND(AH!$P$10=1,AH!$P$12=1,$A2091=TODAY()),IF(AND(AH!$P$10=1,AH!$P$12=1,$A2091=TODAY()),TODAY(),NA()),IF(AH!$P$10=1,INDEX('Live History'!$G$5:$G$3004,MATCH($A2091,'Live History'!$G$5:$G$3004,1)),INDEX('AH History'!$F$1:$F$18046,AH!$P$7+2086))),NA()),NA())</ns0:f>
        <ns0:v/>
      </ns0:c>
      <ns0:c r="H2091">
        <ns0:f>IFERROR(IF(AND(AH!$E$4="Bloomberg",AH!$P$10=1,ISNUMBER($A2091),$A2091&lt;=AH!$P$17),AH!$P$7-1+MATCH($A2091,INDEX('AH History'!$A$1:$A$18046,AH!$P$7):INDEX('AH History'!$A$1:$A$18046,AH!$P$7+AH!$P$8-1),0),0),0)</ns0:f>
        <ns0:v/>
      </ns0:c>
      <ns0:c r="I2091">
        <ns0:f>IF($H2091=0,0,IFERROR(IF(AND(ABS($C2091-INDEX('AH History'!$B$1:$B$18046,$H2091))&lt;=MAX(0.005,ABS(INDEX('AH History'!$B$1:$B$18046,$H2091))*0.00005),ABS($D2091-INDEX('AH History'!$C$1:$C$18046,$H2091))&lt;=MAX(0.005,ABS(INDEX('AH History'!$C$1:$C$18046,$H2091))*0.00005),ABS($E2091-INDEX('AH History'!$D$1:$D$18046,$H2091))&lt;=0.00005,$F2091=INDEX('AH History'!$E$1:$E$18046,$H2091),$G2091=INDEX('AH History'!$F$1:$F$18046,$H2091)),1,-1),-1))</ns0:f>
        <ns0:v/>
      </ns0:c>
    </ns0:row>
    <ns0:row r="2092">
      <ns0:c r="A2092" s="215">
        <ns0:f>IF(OR(AH!$P$3=0,2087+1&gt;AH!$P$11,AND(AH!$E$4&lt;&gt;"Stored",AH!$P$10&lt;&gt;1)),"",IFERROR(IF(AND(AH!$P$21=1,2087+1=AH!$P$11),TODAY(),IF(AH!$P$10=1,INDEX('Live History'!$A$5:$A$3004,AH!$P$13+2087),INDEX('AH History'!$A$1:$A$18046,AH!$P$7+2087))),""))</ns0:f>
        <ns0:v/>
      </ns0:c>
      <ns0:c r="B2092" s="219">
        <ns0:f>IFERROR(IF(AND(AH!$P$9&lt;&gt;1,$C2092&gt;0,$D2092&gt;0,$E2092&gt;0,$F2092&gt;0,$G2092&gt;0,$F2092&lt;=$A2092,$G2092&lt;=$A2092,$A2092-$F2092&lt;=10,$A2092-$G2092&lt;=5),$D2092*$E2092/$C2092-1,NA()),NA())</ns0:f>
        <ns0:v/>
      </ns0:c>
      <ns0:c r="C2092">
        <ns0:f>IFERROR(IF(ISNUMBER($A2092),IF(AND(AH!$P$10=1,AH!$P$12=1,$A2092=TODAY()),AH!$P$19,IF(AH!$P$10=1,INDEX('Live History'!$B$5:$B$3004,AH!$P$13+2087),INDEX('AH History'!$B$1:$B$18046,AH!$P$7+2087))),NA()),NA())</ns0:f>
        <ns0:v/>
      </ns0:c>
      <ns0:c r="D2092">
        <ns0:f>IFERROR(IF(ISNUMBER($A2092),IF(AND(AH!$P$10=1,AH!$P$12=1,$A2092=TODAY()),AH!$P$18,IF(AH!$P$10=1,INDEX('Live History'!$E$5:$E$3004,MATCH($A2092,'Live History'!$D$5:$D$3004,1)),INDEX('AH History'!$C$1:$C$18046,AH!$P$7+2087))),NA()),NA())</ns0:f>
        <ns0:v/>
      </ns0:c>
      <ns0:c r="E2092">
        <ns0:f>IFERROR(IF(ISNUMBER($A2092),IF(AND(AH!$P$10=1,AH!$P$12=1,$A2092=TODAY()),AH!$P$20,IF(AH!$P$10=1,INDEX('Live History'!$H$5:$H$3004,MATCH($A2092,'Live History'!$G$5:$G$3004,1)),INDEX('AH History'!$D$1:$D$18046,AH!$P$7+2087))),NA()),NA())</ns0:f>
        <ns0:v/>
      </ns0:c>
      <ns0:c r="F2092">
        <ns0:f>IFERROR(IF(ISNUMBER($A2092),IF(AND(AH!$P$10=1,AH!$P$12=1,$A2092=TODAY()),IF(AND(AH!$P$10=1,AH!$P$12=1,$A2092=TODAY()),TODAY(),NA()),IF(AH!$P$10=1,INDEX('Live History'!$D$5:$D$3004,MATCH($A2092,'Live History'!$D$5:$D$3004,1)),INDEX('AH History'!$E$1:$E$18046,AH!$P$7+2087))),NA()),NA())</ns0:f>
        <ns0:v/>
      </ns0:c>
      <ns0:c r="G2092">
        <ns0:f>IFERROR(IF(ISNUMBER($A2092),IF(AND(AH!$P$10=1,AH!$P$12=1,$A2092=TODAY()),IF(AND(AH!$P$10=1,AH!$P$12=1,$A2092=TODAY()),TODAY(),NA()),IF(AH!$P$10=1,INDEX('Live History'!$G$5:$G$3004,MATCH($A2092,'Live History'!$G$5:$G$3004,1)),INDEX('AH History'!$F$1:$F$18046,AH!$P$7+2087))),NA()),NA())</ns0:f>
        <ns0:v/>
      </ns0:c>
      <ns0:c r="H2092">
        <ns0:f>IFERROR(IF(AND(AH!$E$4="Bloomberg",AH!$P$10=1,ISNUMBER($A2092),$A2092&lt;=AH!$P$17),AH!$P$7-1+MATCH($A2092,INDEX('AH History'!$A$1:$A$18046,AH!$P$7):INDEX('AH History'!$A$1:$A$18046,AH!$P$7+AH!$P$8-1),0),0),0)</ns0:f>
        <ns0:v/>
      </ns0:c>
      <ns0:c r="I2092">
        <ns0:f>IF($H2092=0,0,IFERROR(IF(AND(ABS($C2092-INDEX('AH History'!$B$1:$B$18046,$H2092))&lt;=MAX(0.005,ABS(INDEX('AH History'!$B$1:$B$18046,$H2092))*0.00005),ABS($D2092-INDEX('AH History'!$C$1:$C$18046,$H2092))&lt;=MAX(0.005,ABS(INDEX('AH History'!$C$1:$C$18046,$H2092))*0.00005),ABS($E2092-INDEX('AH History'!$D$1:$D$18046,$H2092))&lt;=0.00005,$F2092=INDEX('AH History'!$E$1:$E$18046,$H2092),$G2092=INDEX('AH History'!$F$1:$F$18046,$H2092)),1,-1),-1))</ns0:f>
        <ns0:v/>
      </ns0:c>
    </ns0:row>
    <ns0:row r="2093">
      <ns0:c r="A2093" s="215">
        <ns0:f>IF(OR(AH!$P$3=0,2088+1&gt;AH!$P$11,AND(AH!$E$4&lt;&gt;"Stored",AH!$P$10&lt;&gt;1)),"",IFERROR(IF(AND(AH!$P$21=1,2088+1=AH!$P$11),TODAY(),IF(AH!$P$10=1,INDEX('Live History'!$A$5:$A$3004,AH!$P$13+2088),INDEX('AH History'!$A$1:$A$18046,AH!$P$7+2088))),""))</ns0:f>
        <ns0:v/>
      </ns0:c>
      <ns0:c r="B2093" s="219">
        <ns0:f>IFERROR(IF(AND(AH!$P$9&lt;&gt;1,$C2093&gt;0,$D2093&gt;0,$E2093&gt;0,$F2093&gt;0,$G2093&gt;0,$F2093&lt;=$A2093,$G2093&lt;=$A2093,$A2093-$F2093&lt;=10,$A2093-$G2093&lt;=5),$D2093*$E2093/$C2093-1,NA()),NA())</ns0:f>
        <ns0:v/>
      </ns0:c>
      <ns0:c r="C2093">
        <ns0:f>IFERROR(IF(ISNUMBER($A2093),IF(AND(AH!$P$10=1,AH!$P$12=1,$A2093=TODAY()),AH!$P$19,IF(AH!$P$10=1,INDEX('Live History'!$B$5:$B$3004,AH!$P$13+2088),INDEX('AH History'!$B$1:$B$18046,AH!$P$7+2088))),NA()),NA())</ns0:f>
        <ns0:v/>
      </ns0:c>
      <ns0:c r="D2093">
        <ns0:f>IFERROR(IF(ISNUMBER($A2093),IF(AND(AH!$P$10=1,AH!$P$12=1,$A2093=TODAY()),AH!$P$18,IF(AH!$P$10=1,INDEX('Live History'!$E$5:$E$3004,MATCH($A2093,'Live History'!$D$5:$D$3004,1)),INDEX('AH History'!$C$1:$C$18046,AH!$P$7+2088))),NA()),NA())</ns0:f>
        <ns0:v/>
      </ns0:c>
      <ns0:c r="E2093">
        <ns0:f>IFERROR(IF(ISNUMBER($A2093),IF(AND(AH!$P$10=1,AH!$P$12=1,$A2093=TODAY()),AH!$P$20,IF(AH!$P$10=1,INDEX('Live History'!$H$5:$H$3004,MATCH($A2093,'Live History'!$G$5:$G$3004,1)),INDEX('AH History'!$D$1:$D$18046,AH!$P$7+2088))),NA()),NA())</ns0:f>
        <ns0:v/>
      </ns0:c>
      <ns0:c r="F2093">
        <ns0:f>IFERROR(IF(ISNUMBER($A2093),IF(AND(AH!$P$10=1,AH!$P$12=1,$A2093=TODAY()),IF(AND(AH!$P$10=1,AH!$P$12=1,$A2093=TODAY()),TODAY(),NA()),IF(AH!$P$10=1,INDEX('Live History'!$D$5:$D$3004,MATCH($A2093,'Live History'!$D$5:$D$3004,1)),INDEX('AH History'!$E$1:$E$18046,AH!$P$7+2088))),NA()),NA())</ns0:f>
        <ns0:v/>
      </ns0:c>
      <ns0:c r="G2093">
        <ns0:f>IFERROR(IF(ISNUMBER($A2093),IF(AND(AH!$P$10=1,AH!$P$12=1,$A2093=TODAY()),IF(AND(AH!$P$10=1,AH!$P$12=1,$A2093=TODAY()),TODAY(),NA()),IF(AH!$P$10=1,INDEX('Live History'!$G$5:$G$3004,MATCH($A2093,'Live History'!$G$5:$G$3004,1)),INDEX('AH History'!$F$1:$F$18046,AH!$P$7+2088))),NA()),NA())</ns0:f>
        <ns0:v/>
      </ns0:c>
      <ns0:c r="H2093">
        <ns0:f>IFERROR(IF(AND(AH!$E$4="Bloomberg",AH!$P$10=1,ISNUMBER($A2093),$A2093&lt;=AH!$P$17),AH!$P$7-1+MATCH($A2093,INDEX('AH History'!$A$1:$A$18046,AH!$P$7):INDEX('AH History'!$A$1:$A$18046,AH!$P$7+AH!$P$8-1),0),0),0)</ns0:f>
        <ns0:v/>
      </ns0:c>
      <ns0:c r="I2093">
        <ns0:f>IF($H2093=0,0,IFERROR(IF(AND(ABS($C2093-INDEX('AH History'!$B$1:$B$18046,$H2093))&lt;=MAX(0.005,ABS(INDEX('AH History'!$B$1:$B$18046,$H2093))*0.00005),ABS($D2093-INDEX('AH History'!$C$1:$C$18046,$H2093))&lt;=MAX(0.005,ABS(INDEX('AH History'!$C$1:$C$18046,$H2093))*0.00005),ABS($E2093-INDEX('AH History'!$D$1:$D$18046,$H2093))&lt;=0.00005,$F2093=INDEX('AH History'!$E$1:$E$18046,$H2093),$G2093=INDEX('AH History'!$F$1:$F$18046,$H2093)),1,-1),-1))</ns0:f>
        <ns0:v/>
      </ns0:c>
    </ns0:row>
    <ns0:row r="2094">
      <ns0:c r="A2094" s="215">
        <ns0:f>IF(OR(AH!$P$3=0,2089+1&gt;AH!$P$11,AND(AH!$E$4&lt;&gt;"Stored",AH!$P$10&lt;&gt;1)),"",IFERROR(IF(AND(AH!$P$21=1,2089+1=AH!$P$11),TODAY(),IF(AH!$P$10=1,INDEX('Live History'!$A$5:$A$3004,AH!$P$13+2089),INDEX('AH History'!$A$1:$A$18046,AH!$P$7+2089))),""))</ns0:f>
        <ns0:v/>
      </ns0:c>
      <ns0:c r="B2094" s="219">
        <ns0:f>IFERROR(IF(AND(AH!$P$9&lt;&gt;1,$C2094&gt;0,$D2094&gt;0,$E2094&gt;0,$F2094&gt;0,$G2094&gt;0,$F2094&lt;=$A2094,$G2094&lt;=$A2094,$A2094-$F2094&lt;=10,$A2094-$G2094&lt;=5),$D2094*$E2094/$C2094-1,NA()),NA())</ns0:f>
        <ns0:v/>
      </ns0:c>
      <ns0:c r="C2094">
        <ns0:f>IFERROR(IF(ISNUMBER($A2094),IF(AND(AH!$P$10=1,AH!$P$12=1,$A2094=TODAY()),AH!$P$19,IF(AH!$P$10=1,INDEX('Live History'!$B$5:$B$3004,AH!$P$13+2089),INDEX('AH History'!$B$1:$B$18046,AH!$P$7+2089))),NA()),NA())</ns0:f>
        <ns0:v/>
      </ns0:c>
      <ns0:c r="D2094">
        <ns0:f>IFERROR(IF(ISNUMBER($A2094),IF(AND(AH!$P$10=1,AH!$P$12=1,$A2094=TODAY()),AH!$P$18,IF(AH!$P$10=1,INDEX('Live History'!$E$5:$E$3004,MATCH($A2094,'Live History'!$D$5:$D$3004,1)),INDEX('AH History'!$C$1:$C$18046,AH!$P$7+2089))),NA()),NA())</ns0:f>
        <ns0:v/>
      </ns0:c>
      <ns0:c r="E2094">
        <ns0:f>IFERROR(IF(ISNUMBER($A2094),IF(AND(AH!$P$10=1,AH!$P$12=1,$A2094=TODAY()),AH!$P$20,IF(AH!$P$10=1,INDEX('Live History'!$H$5:$H$3004,MATCH($A2094,'Live History'!$G$5:$G$3004,1)),INDEX('AH History'!$D$1:$D$18046,AH!$P$7+2089))),NA()),NA())</ns0:f>
        <ns0:v/>
      </ns0:c>
      <ns0:c r="F2094">
        <ns0:f>IFERROR(IF(ISNUMBER($A2094),IF(AND(AH!$P$10=1,AH!$P$12=1,$A2094=TODAY()),IF(AND(AH!$P$10=1,AH!$P$12=1,$A2094=TODAY()),TODAY(),NA()),IF(AH!$P$10=1,INDEX('Live History'!$D$5:$D$3004,MATCH($A2094,'Live History'!$D$5:$D$3004,1)),INDEX('AH History'!$E$1:$E$18046,AH!$P$7+2089))),NA()),NA())</ns0:f>
        <ns0:v/>
      </ns0:c>
      <ns0:c r="G2094">
        <ns0:f>IFERROR(IF(ISNUMBER($A2094),IF(AND(AH!$P$10=1,AH!$P$12=1,$A2094=TODAY()),IF(AND(AH!$P$10=1,AH!$P$12=1,$A2094=TODAY()),TODAY(),NA()),IF(AH!$P$10=1,INDEX('Live History'!$G$5:$G$3004,MATCH($A2094,'Live History'!$G$5:$G$3004,1)),INDEX('AH History'!$F$1:$F$18046,AH!$P$7+2089))),NA()),NA())</ns0:f>
        <ns0:v/>
      </ns0:c>
      <ns0:c r="H2094">
        <ns0:f>IFERROR(IF(AND(AH!$E$4="Bloomberg",AH!$P$10=1,ISNUMBER($A2094),$A2094&lt;=AH!$P$17),AH!$P$7-1+MATCH($A2094,INDEX('AH History'!$A$1:$A$18046,AH!$P$7):INDEX('AH History'!$A$1:$A$18046,AH!$P$7+AH!$P$8-1),0),0),0)</ns0:f>
        <ns0:v/>
      </ns0:c>
      <ns0:c r="I2094">
        <ns0:f>IF($H2094=0,0,IFERROR(IF(AND(ABS($C2094-INDEX('AH History'!$B$1:$B$18046,$H2094))&lt;=MAX(0.005,ABS(INDEX('AH History'!$B$1:$B$18046,$H2094))*0.00005),ABS($D2094-INDEX('AH History'!$C$1:$C$18046,$H2094))&lt;=MAX(0.005,ABS(INDEX('AH History'!$C$1:$C$18046,$H2094))*0.00005),ABS($E2094-INDEX('AH History'!$D$1:$D$18046,$H2094))&lt;=0.00005,$F2094=INDEX('AH History'!$E$1:$E$18046,$H2094),$G2094=INDEX('AH History'!$F$1:$F$18046,$H2094)),1,-1),-1))</ns0:f>
        <ns0:v/>
      </ns0:c>
    </ns0:row>
    <ns0:row r="2095">
      <ns0:c r="A2095" s="215">
        <ns0:f>IF(OR(AH!$P$3=0,2090+1&gt;AH!$P$11,AND(AH!$E$4&lt;&gt;"Stored",AH!$P$10&lt;&gt;1)),"",IFERROR(IF(AND(AH!$P$21=1,2090+1=AH!$P$11),TODAY(),IF(AH!$P$10=1,INDEX('Live History'!$A$5:$A$3004,AH!$P$13+2090),INDEX('AH History'!$A$1:$A$18046,AH!$P$7+2090))),""))</ns0:f>
        <ns0:v/>
      </ns0:c>
      <ns0:c r="B2095" s="219">
        <ns0:f>IFERROR(IF(AND(AH!$P$9&lt;&gt;1,$C2095&gt;0,$D2095&gt;0,$E2095&gt;0,$F2095&gt;0,$G2095&gt;0,$F2095&lt;=$A2095,$G2095&lt;=$A2095,$A2095-$F2095&lt;=10,$A2095-$G2095&lt;=5),$D2095*$E2095/$C2095-1,NA()),NA())</ns0:f>
        <ns0:v/>
      </ns0:c>
      <ns0:c r="C2095">
        <ns0:f>IFERROR(IF(ISNUMBER($A2095),IF(AND(AH!$P$10=1,AH!$P$12=1,$A2095=TODAY()),AH!$P$19,IF(AH!$P$10=1,INDEX('Live History'!$B$5:$B$3004,AH!$P$13+2090),INDEX('AH History'!$B$1:$B$18046,AH!$P$7+2090))),NA()),NA())</ns0:f>
        <ns0:v/>
      </ns0:c>
      <ns0:c r="D2095">
        <ns0:f>IFERROR(IF(ISNUMBER($A2095),IF(AND(AH!$P$10=1,AH!$P$12=1,$A2095=TODAY()),AH!$P$18,IF(AH!$P$10=1,INDEX('Live History'!$E$5:$E$3004,MATCH($A2095,'Live History'!$D$5:$D$3004,1)),INDEX('AH History'!$C$1:$C$18046,AH!$P$7+2090))),NA()),NA())</ns0:f>
        <ns0:v/>
      </ns0:c>
      <ns0:c r="E2095">
        <ns0:f>IFERROR(IF(ISNUMBER($A2095),IF(AND(AH!$P$10=1,AH!$P$12=1,$A2095=TODAY()),AH!$P$20,IF(AH!$P$10=1,INDEX('Live History'!$H$5:$H$3004,MATCH($A2095,'Live History'!$G$5:$G$3004,1)),INDEX('AH History'!$D$1:$D$18046,AH!$P$7+2090))),NA()),NA())</ns0:f>
        <ns0:v/>
      </ns0:c>
      <ns0:c r="F2095">
        <ns0:f>IFERROR(IF(ISNUMBER($A2095),IF(AND(AH!$P$10=1,AH!$P$12=1,$A2095=TODAY()),IF(AND(AH!$P$10=1,AH!$P$12=1,$A2095=TODAY()),TODAY(),NA()),IF(AH!$P$10=1,INDEX('Live History'!$D$5:$D$3004,MATCH($A2095,'Live History'!$D$5:$D$3004,1)),INDEX('AH History'!$E$1:$E$18046,AH!$P$7+2090))),NA()),NA())</ns0:f>
        <ns0:v/>
      </ns0:c>
      <ns0:c r="G2095">
        <ns0:f>IFERROR(IF(ISNUMBER($A2095),IF(AND(AH!$P$10=1,AH!$P$12=1,$A2095=TODAY()),IF(AND(AH!$P$10=1,AH!$P$12=1,$A2095=TODAY()),TODAY(),NA()),IF(AH!$P$10=1,INDEX('Live History'!$G$5:$G$3004,MATCH($A2095,'Live History'!$G$5:$G$3004,1)),INDEX('AH History'!$F$1:$F$18046,AH!$P$7+2090))),NA()),NA())</ns0:f>
        <ns0:v/>
      </ns0:c>
      <ns0:c r="H2095">
        <ns0:f>IFERROR(IF(AND(AH!$E$4="Bloomberg",AH!$P$10=1,ISNUMBER($A2095),$A2095&lt;=AH!$P$17),AH!$P$7-1+MATCH($A2095,INDEX('AH History'!$A$1:$A$18046,AH!$P$7):INDEX('AH History'!$A$1:$A$18046,AH!$P$7+AH!$P$8-1),0),0),0)</ns0:f>
        <ns0:v/>
      </ns0:c>
      <ns0:c r="I2095">
        <ns0:f>IF($H2095=0,0,IFERROR(IF(AND(ABS($C2095-INDEX('AH History'!$B$1:$B$18046,$H2095))&lt;=MAX(0.005,ABS(INDEX('AH History'!$B$1:$B$18046,$H2095))*0.00005),ABS($D2095-INDEX('AH History'!$C$1:$C$18046,$H2095))&lt;=MAX(0.005,ABS(INDEX('AH History'!$C$1:$C$18046,$H2095))*0.00005),ABS($E2095-INDEX('AH History'!$D$1:$D$18046,$H2095))&lt;=0.00005,$F2095=INDEX('AH History'!$E$1:$E$18046,$H2095),$G2095=INDEX('AH History'!$F$1:$F$18046,$H2095)),1,-1),-1))</ns0:f>
        <ns0:v/>
      </ns0:c>
    </ns0:row>
    <ns0:row r="2096">
      <ns0:c r="A2096" s="215">
        <ns0:f>IF(OR(AH!$P$3=0,2091+1&gt;AH!$P$11,AND(AH!$E$4&lt;&gt;"Stored",AH!$P$10&lt;&gt;1)),"",IFERROR(IF(AND(AH!$P$21=1,2091+1=AH!$P$11),TODAY(),IF(AH!$P$10=1,INDEX('Live History'!$A$5:$A$3004,AH!$P$13+2091),INDEX('AH History'!$A$1:$A$18046,AH!$P$7+2091))),""))</ns0:f>
        <ns0:v/>
      </ns0:c>
      <ns0:c r="B2096" s="219">
        <ns0:f>IFERROR(IF(AND(AH!$P$9&lt;&gt;1,$C2096&gt;0,$D2096&gt;0,$E2096&gt;0,$F2096&gt;0,$G2096&gt;0,$F2096&lt;=$A2096,$G2096&lt;=$A2096,$A2096-$F2096&lt;=10,$A2096-$G2096&lt;=5),$D2096*$E2096/$C2096-1,NA()),NA())</ns0:f>
        <ns0:v/>
      </ns0:c>
      <ns0:c r="C2096">
        <ns0:f>IFERROR(IF(ISNUMBER($A2096),IF(AND(AH!$P$10=1,AH!$P$12=1,$A2096=TODAY()),AH!$P$19,IF(AH!$P$10=1,INDEX('Live History'!$B$5:$B$3004,AH!$P$13+2091),INDEX('AH History'!$B$1:$B$18046,AH!$P$7+2091))),NA()),NA())</ns0:f>
        <ns0:v/>
      </ns0:c>
      <ns0:c r="D2096">
        <ns0:f>IFERROR(IF(ISNUMBER($A2096),IF(AND(AH!$P$10=1,AH!$P$12=1,$A2096=TODAY()),AH!$P$18,IF(AH!$P$10=1,INDEX('Live History'!$E$5:$E$3004,MATCH($A2096,'Live History'!$D$5:$D$3004,1)),INDEX('AH History'!$C$1:$C$18046,AH!$P$7+2091))),NA()),NA())</ns0:f>
        <ns0:v/>
      </ns0:c>
      <ns0:c r="E2096">
        <ns0:f>IFERROR(IF(ISNUMBER($A2096),IF(AND(AH!$P$10=1,AH!$P$12=1,$A2096=TODAY()),AH!$P$20,IF(AH!$P$10=1,INDEX('Live History'!$H$5:$H$3004,MATCH($A2096,'Live History'!$G$5:$G$3004,1)),INDEX('AH History'!$D$1:$D$18046,AH!$P$7+2091))),NA()),NA())</ns0:f>
        <ns0:v/>
      </ns0:c>
      <ns0:c r="F2096">
        <ns0:f>IFERROR(IF(ISNUMBER($A2096),IF(AND(AH!$P$10=1,AH!$P$12=1,$A2096=TODAY()),IF(AND(AH!$P$10=1,AH!$P$12=1,$A2096=TODAY()),TODAY(),NA()),IF(AH!$P$10=1,INDEX('Live History'!$D$5:$D$3004,MATCH($A2096,'Live History'!$D$5:$D$3004,1)),INDEX('AH History'!$E$1:$E$18046,AH!$P$7+2091))),NA()),NA())</ns0:f>
        <ns0:v/>
      </ns0:c>
      <ns0:c r="G2096">
        <ns0:f>IFERROR(IF(ISNUMBER($A2096),IF(AND(AH!$P$10=1,AH!$P$12=1,$A2096=TODAY()),IF(AND(AH!$P$10=1,AH!$P$12=1,$A2096=TODAY()),TODAY(),NA()),IF(AH!$P$10=1,INDEX('Live History'!$G$5:$G$3004,MATCH($A2096,'Live History'!$G$5:$G$3004,1)),INDEX('AH History'!$F$1:$F$18046,AH!$P$7+2091))),NA()),NA())</ns0:f>
        <ns0:v/>
      </ns0:c>
      <ns0:c r="H2096">
        <ns0:f>IFERROR(IF(AND(AH!$E$4="Bloomberg",AH!$P$10=1,ISNUMBER($A2096),$A2096&lt;=AH!$P$17),AH!$P$7-1+MATCH($A2096,INDEX('AH History'!$A$1:$A$18046,AH!$P$7):INDEX('AH History'!$A$1:$A$18046,AH!$P$7+AH!$P$8-1),0),0),0)</ns0:f>
        <ns0:v/>
      </ns0:c>
      <ns0:c r="I2096">
        <ns0:f>IF($H2096=0,0,IFERROR(IF(AND(ABS($C2096-INDEX('AH History'!$B$1:$B$18046,$H2096))&lt;=MAX(0.005,ABS(INDEX('AH History'!$B$1:$B$18046,$H2096))*0.00005),ABS($D2096-INDEX('AH History'!$C$1:$C$18046,$H2096))&lt;=MAX(0.005,ABS(INDEX('AH History'!$C$1:$C$18046,$H2096))*0.00005),ABS($E2096-INDEX('AH History'!$D$1:$D$18046,$H2096))&lt;=0.00005,$F2096=INDEX('AH History'!$E$1:$E$18046,$H2096),$G2096=INDEX('AH History'!$F$1:$F$18046,$H2096)),1,-1),-1))</ns0:f>
        <ns0:v/>
      </ns0:c>
    </ns0:row>
    <ns0:row r="2097">
      <ns0:c r="A2097" s="215">
        <ns0:f>IF(OR(AH!$P$3=0,2092+1&gt;AH!$P$11,AND(AH!$E$4&lt;&gt;"Stored",AH!$P$10&lt;&gt;1)),"",IFERROR(IF(AND(AH!$P$21=1,2092+1=AH!$P$11),TODAY(),IF(AH!$P$10=1,INDEX('Live History'!$A$5:$A$3004,AH!$P$13+2092),INDEX('AH History'!$A$1:$A$18046,AH!$P$7+2092))),""))</ns0:f>
        <ns0:v/>
      </ns0:c>
      <ns0:c r="B2097" s="219">
        <ns0:f>IFERROR(IF(AND(AH!$P$9&lt;&gt;1,$C2097&gt;0,$D2097&gt;0,$E2097&gt;0,$F2097&gt;0,$G2097&gt;0,$F2097&lt;=$A2097,$G2097&lt;=$A2097,$A2097-$F2097&lt;=10,$A2097-$G2097&lt;=5),$D2097*$E2097/$C2097-1,NA()),NA())</ns0:f>
        <ns0:v/>
      </ns0:c>
      <ns0:c r="C2097">
        <ns0:f>IFERROR(IF(ISNUMBER($A2097),IF(AND(AH!$P$10=1,AH!$P$12=1,$A2097=TODAY()),AH!$P$19,IF(AH!$P$10=1,INDEX('Live History'!$B$5:$B$3004,AH!$P$13+2092),INDEX('AH History'!$B$1:$B$18046,AH!$P$7+2092))),NA()),NA())</ns0:f>
        <ns0:v/>
      </ns0:c>
      <ns0:c r="D2097">
        <ns0:f>IFERROR(IF(ISNUMBER($A2097),IF(AND(AH!$P$10=1,AH!$P$12=1,$A2097=TODAY()),AH!$P$18,IF(AH!$P$10=1,INDEX('Live History'!$E$5:$E$3004,MATCH($A2097,'Live History'!$D$5:$D$3004,1)),INDEX('AH History'!$C$1:$C$18046,AH!$P$7+2092))),NA()),NA())</ns0:f>
        <ns0:v/>
      </ns0:c>
      <ns0:c r="E2097">
        <ns0:f>IFERROR(IF(ISNUMBER($A2097),IF(AND(AH!$P$10=1,AH!$P$12=1,$A2097=TODAY()),AH!$P$20,IF(AH!$P$10=1,INDEX('Live History'!$H$5:$H$3004,MATCH($A2097,'Live History'!$G$5:$G$3004,1)),INDEX('AH History'!$D$1:$D$18046,AH!$P$7+2092))),NA()),NA())</ns0:f>
        <ns0:v/>
      </ns0:c>
      <ns0:c r="F2097">
        <ns0:f>IFERROR(IF(ISNUMBER($A2097),IF(AND(AH!$P$10=1,AH!$P$12=1,$A2097=TODAY()),IF(AND(AH!$P$10=1,AH!$P$12=1,$A2097=TODAY()),TODAY(),NA()),IF(AH!$P$10=1,INDEX('Live History'!$D$5:$D$3004,MATCH($A2097,'Live History'!$D$5:$D$3004,1)),INDEX('AH History'!$E$1:$E$18046,AH!$P$7+2092))),NA()),NA())</ns0:f>
        <ns0:v/>
      </ns0:c>
      <ns0:c r="G2097">
        <ns0:f>IFERROR(IF(ISNUMBER($A2097),IF(AND(AH!$P$10=1,AH!$P$12=1,$A2097=TODAY()),IF(AND(AH!$P$10=1,AH!$P$12=1,$A2097=TODAY()),TODAY(),NA()),IF(AH!$P$10=1,INDEX('Live History'!$G$5:$G$3004,MATCH($A2097,'Live History'!$G$5:$G$3004,1)),INDEX('AH History'!$F$1:$F$18046,AH!$P$7+2092))),NA()),NA())</ns0:f>
        <ns0:v/>
      </ns0:c>
      <ns0:c r="H2097">
        <ns0:f>IFERROR(IF(AND(AH!$E$4="Bloomberg",AH!$P$10=1,ISNUMBER($A2097),$A2097&lt;=AH!$P$17),AH!$P$7-1+MATCH($A2097,INDEX('AH History'!$A$1:$A$18046,AH!$P$7):INDEX('AH History'!$A$1:$A$18046,AH!$P$7+AH!$P$8-1),0),0),0)</ns0:f>
        <ns0:v/>
      </ns0:c>
      <ns0:c r="I2097">
        <ns0:f>IF($H2097=0,0,IFERROR(IF(AND(ABS($C2097-INDEX('AH History'!$B$1:$B$18046,$H2097))&lt;=MAX(0.005,ABS(INDEX('AH History'!$B$1:$B$18046,$H2097))*0.00005),ABS($D2097-INDEX('AH History'!$C$1:$C$18046,$H2097))&lt;=MAX(0.005,ABS(INDEX('AH History'!$C$1:$C$18046,$H2097))*0.00005),ABS($E2097-INDEX('AH History'!$D$1:$D$18046,$H2097))&lt;=0.00005,$F2097=INDEX('AH History'!$E$1:$E$18046,$H2097),$G2097=INDEX('AH History'!$F$1:$F$18046,$H2097)),1,-1),-1))</ns0:f>
        <ns0:v/>
      </ns0:c>
    </ns0:row>
    <ns0:row r="2098">
      <ns0:c r="A2098" s="215">
        <ns0:f>IF(OR(AH!$P$3=0,2093+1&gt;AH!$P$11,AND(AH!$E$4&lt;&gt;"Stored",AH!$P$10&lt;&gt;1)),"",IFERROR(IF(AND(AH!$P$21=1,2093+1=AH!$P$11),TODAY(),IF(AH!$P$10=1,INDEX('Live History'!$A$5:$A$3004,AH!$P$13+2093),INDEX('AH History'!$A$1:$A$18046,AH!$P$7+2093))),""))</ns0:f>
        <ns0:v/>
      </ns0:c>
      <ns0:c r="B2098" s="219">
        <ns0:f>IFERROR(IF(AND(AH!$P$9&lt;&gt;1,$C2098&gt;0,$D2098&gt;0,$E2098&gt;0,$F2098&gt;0,$G2098&gt;0,$F2098&lt;=$A2098,$G2098&lt;=$A2098,$A2098-$F2098&lt;=10,$A2098-$G2098&lt;=5),$D2098*$E2098/$C2098-1,NA()),NA())</ns0:f>
        <ns0:v/>
      </ns0:c>
      <ns0:c r="C2098">
        <ns0:f>IFERROR(IF(ISNUMBER($A2098),IF(AND(AH!$P$10=1,AH!$P$12=1,$A2098=TODAY()),AH!$P$19,IF(AH!$P$10=1,INDEX('Live History'!$B$5:$B$3004,AH!$P$13+2093),INDEX('AH History'!$B$1:$B$18046,AH!$P$7+2093))),NA()),NA())</ns0:f>
        <ns0:v/>
      </ns0:c>
      <ns0:c r="D2098">
        <ns0:f>IFERROR(IF(ISNUMBER($A2098),IF(AND(AH!$P$10=1,AH!$P$12=1,$A2098=TODAY()),AH!$P$18,IF(AH!$P$10=1,INDEX('Live History'!$E$5:$E$3004,MATCH($A2098,'Live History'!$D$5:$D$3004,1)),INDEX('AH History'!$C$1:$C$18046,AH!$P$7+2093))),NA()),NA())</ns0:f>
        <ns0:v/>
      </ns0:c>
      <ns0:c r="E2098">
        <ns0:f>IFERROR(IF(ISNUMBER($A2098),IF(AND(AH!$P$10=1,AH!$P$12=1,$A2098=TODAY()),AH!$P$20,IF(AH!$P$10=1,INDEX('Live History'!$H$5:$H$3004,MATCH($A2098,'Live History'!$G$5:$G$3004,1)),INDEX('AH History'!$D$1:$D$18046,AH!$P$7+2093))),NA()),NA())</ns0:f>
        <ns0:v/>
      </ns0:c>
      <ns0:c r="F2098">
        <ns0:f>IFERROR(IF(ISNUMBER($A2098),IF(AND(AH!$P$10=1,AH!$P$12=1,$A2098=TODAY()),IF(AND(AH!$P$10=1,AH!$P$12=1,$A2098=TODAY()),TODAY(),NA()),IF(AH!$P$10=1,INDEX('Live History'!$D$5:$D$3004,MATCH($A2098,'Live History'!$D$5:$D$3004,1)),INDEX('AH History'!$E$1:$E$18046,AH!$P$7+2093))),NA()),NA())</ns0:f>
        <ns0:v/>
      </ns0:c>
      <ns0:c r="G2098">
        <ns0:f>IFERROR(IF(ISNUMBER($A2098),IF(AND(AH!$P$10=1,AH!$P$12=1,$A2098=TODAY()),IF(AND(AH!$P$10=1,AH!$P$12=1,$A2098=TODAY()),TODAY(),NA()),IF(AH!$P$10=1,INDEX('Live History'!$G$5:$G$3004,MATCH($A2098,'Live History'!$G$5:$G$3004,1)),INDEX('AH History'!$F$1:$F$18046,AH!$P$7+2093))),NA()),NA())</ns0:f>
        <ns0:v/>
      </ns0:c>
      <ns0:c r="H2098">
        <ns0:f>IFERROR(IF(AND(AH!$E$4="Bloomberg",AH!$P$10=1,ISNUMBER($A2098),$A2098&lt;=AH!$P$17),AH!$P$7-1+MATCH($A2098,INDEX('AH History'!$A$1:$A$18046,AH!$P$7):INDEX('AH History'!$A$1:$A$18046,AH!$P$7+AH!$P$8-1),0),0),0)</ns0:f>
        <ns0:v/>
      </ns0:c>
      <ns0:c r="I2098">
        <ns0:f>IF($H2098=0,0,IFERROR(IF(AND(ABS($C2098-INDEX('AH History'!$B$1:$B$18046,$H2098))&lt;=MAX(0.005,ABS(INDEX('AH History'!$B$1:$B$18046,$H2098))*0.00005),ABS($D2098-INDEX('AH History'!$C$1:$C$18046,$H2098))&lt;=MAX(0.005,ABS(INDEX('AH History'!$C$1:$C$18046,$H2098))*0.00005),ABS($E2098-INDEX('AH History'!$D$1:$D$18046,$H2098))&lt;=0.00005,$F2098=INDEX('AH History'!$E$1:$E$18046,$H2098),$G2098=INDEX('AH History'!$F$1:$F$18046,$H2098)),1,-1),-1))</ns0:f>
        <ns0:v/>
      </ns0:c>
    </ns0:row>
    <ns0:row r="2099">
      <ns0:c r="A2099" s="215">
        <ns0:f>IF(OR(AH!$P$3=0,2094+1&gt;AH!$P$11,AND(AH!$E$4&lt;&gt;"Stored",AH!$P$10&lt;&gt;1)),"",IFERROR(IF(AND(AH!$P$21=1,2094+1=AH!$P$11),TODAY(),IF(AH!$P$10=1,INDEX('Live History'!$A$5:$A$3004,AH!$P$13+2094),INDEX('AH History'!$A$1:$A$18046,AH!$P$7+2094))),""))</ns0:f>
        <ns0:v/>
      </ns0:c>
      <ns0:c r="B2099" s="219">
        <ns0:f>IFERROR(IF(AND(AH!$P$9&lt;&gt;1,$C2099&gt;0,$D2099&gt;0,$E2099&gt;0,$F2099&gt;0,$G2099&gt;0,$F2099&lt;=$A2099,$G2099&lt;=$A2099,$A2099-$F2099&lt;=10,$A2099-$G2099&lt;=5),$D2099*$E2099/$C2099-1,NA()),NA())</ns0:f>
        <ns0:v/>
      </ns0:c>
      <ns0:c r="C2099">
        <ns0:f>IFERROR(IF(ISNUMBER($A2099),IF(AND(AH!$P$10=1,AH!$P$12=1,$A2099=TODAY()),AH!$P$19,IF(AH!$P$10=1,INDEX('Live History'!$B$5:$B$3004,AH!$P$13+2094),INDEX('AH History'!$B$1:$B$18046,AH!$P$7+2094))),NA()),NA())</ns0:f>
        <ns0:v/>
      </ns0:c>
      <ns0:c r="D2099">
        <ns0:f>IFERROR(IF(ISNUMBER($A2099),IF(AND(AH!$P$10=1,AH!$P$12=1,$A2099=TODAY()),AH!$P$18,IF(AH!$P$10=1,INDEX('Live History'!$E$5:$E$3004,MATCH($A2099,'Live History'!$D$5:$D$3004,1)),INDEX('AH History'!$C$1:$C$18046,AH!$P$7+2094))),NA()),NA())</ns0:f>
        <ns0:v/>
      </ns0:c>
      <ns0:c r="E2099">
        <ns0:f>IFERROR(IF(ISNUMBER($A2099),IF(AND(AH!$P$10=1,AH!$P$12=1,$A2099=TODAY()),AH!$P$20,IF(AH!$P$10=1,INDEX('Live History'!$H$5:$H$3004,MATCH($A2099,'Live History'!$G$5:$G$3004,1)),INDEX('AH History'!$D$1:$D$18046,AH!$P$7+2094))),NA()),NA())</ns0:f>
        <ns0:v/>
      </ns0:c>
      <ns0:c r="F2099">
        <ns0:f>IFERROR(IF(ISNUMBER($A2099),IF(AND(AH!$P$10=1,AH!$P$12=1,$A2099=TODAY()),IF(AND(AH!$P$10=1,AH!$P$12=1,$A2099=TODAY()),TODAY(),NA()),IF(AH!$P$10=1,INDEX('Live History'!$D$5:$D$3004,MATCH($A2099,'Live History'!$D$5:$D$3004,1)),INDEX('AH History'!$E$1:$E$18046,AH!$P$7+2094))),NA()),NA())</ns0:f>
        <ns0:v/>
      </ns0:c>
      <ns0:c r="G2099">
        <ns0:f>IFERROR(IF(ISNUMBER($A2099),IF(AND(AH!$P$10=1,AH!$P$12=1,$A2099=TODAY()),IF(AND(AH!$P$10=1,AH!$P$12=1,$A2099=TODAY()),TODAY(),NA()),IF(AH!$P$10=1,INDEX('Live History'!$G$5:$G$3004,MATCH($A2099,'Live History'!$G$5:$G$3004,1)),INDEX('AH History'!$F$1:$F$18046,AH!$P$7+2094))),NA()),NA())</ns0:f>
        <ns0:v/>
      </ns0:c>
      <ns0:c r="H2099">
        <ns0:f>IFERROR(IF(AND(AH!$E$4="Bloomberg",AH!$P$10=1,ISNUMBER($A2099),$A2099&lt;=AH!$P$17),AH!$P$7-1+MATCH($A2099,INDEX('AH History'!$A$1:$A$18046,AH!$P$7):INDEX('AH History'!$A$1:$A$18046,AH!$P$7+AH!$P$8-1),0),0),0)</ns0:f>
        <ns0:v/>
      </ns0:c>
      <ns0:c r="I2099">
        <ns0:f>IF($H2099=0,0,IFERROR(IF(AND(ABS($C2099-INDEX('AH History'!$B$1:$B$18046,$H2099))&lt;=MAX(0.005,ABS(INDEX('AH History'!$B$1:$B$18046,$H2099))*0.00005),ABS($D2099-INDEX('AH History'!$C$1:$C$18046,$H2099))&lt;=MAX(0.005,ABS(INDEX('AH History'!$C$1:$C$18046,$H2099))*0.00005),ABS($E2099-INDEX('AH History'!$D$1:$D$18046,$H2099))&lt;=0.00005,$F2099=INDEX('AH History'!$E$1:$E$18046,$H2099),$G2099=INDEX('AH History'!$F$1:$F$18046,$H2099)),1,-1),-1))</ns0:f>
        <ns0:v/>
      </ns0:c>
    </ns0:row>
    <ns0:row r="2100">
      <ns0:c r="A2100" s="215">
        <ns0:f>IF(OR(AH!$P$3=0,2095+1&gt;AH!$P$11,AND(AH!$E$4&lt;&gt;"Stored",AH!$P$10&lt;&gt;1)),"",IFERROR(IF(AND(AH!$P$21=1,2095+1=AH!$P$11),TODAY(),IF(AH!$P$10=1,INDEX('Live History'!$A$5:$A$3004,AH!$P$13+2095),INDEX('AH History'!$A$1:$A$18046,AH!$P$7+2095))),""))</ns0:f>
        <ns0:v/>
      </ns0:c>
      <ns0:c r="B2100" s="219">
        <ns0:f>IFERROR(IF(AND(AH!$P$9&lt;&gt;1,$C2100&gt;0,$D2100&gt;0,$E2100&gt;0,$F2100&gt;0,$G2100&gt;0,$F2100&lt;=$A2100,$G2100&lt;=$A2100,$A2100-$F2100&lt;=10,$A2100-$G2100&lt;=5),$D2100*$E2100/$C2100-1,NA()),NA())</ns0:f>
        <ns0:v/>
      </ns0:c>
      <ns0:c r="C2100">
        <ns0:f>IFERROR(IF(ISNUMBER($A2100),IF(AND(AH!$P$10=1,AH!$P$12=1,$A2100=TODAY()),AH!$P$19,IF(AH!$P$10=1,INDEX('Live History'!$B$5:$B$3004,AH!$P$13+2095),INDEX('AH History'!$B$1:$B$18046,AH!$P$7+2095))),NA()),NA())</ns0:f>
        <ns0:v/>
      </ns0:c>
      <ns0:c r="D2100">
        <ns0:f>IFERROR(IF(ISNUMBER($A2100),IF(AND(AH!$P$10=1,AH!$P$12=1,$A2100=TODAY()),AH!$P$18,IF(AH!$P$10=1,INDEX('Live History'!$E$5:$E$3004,MATCH($A2100,'Live History'!$D$5:$D$3004,1)),INDEX('AH History'!$C$1:$C$18046,AH!$P$7+2095))),NA()),NA())</ns0:f>
        <ns0:v/>
      </ns0:c>
      <ns0:c r="E2100">
        <ns0:f>IFERROR(IF(ISNUMBER($A2100),IF(AND(AH!$P$10=1,AH!$P$12=1,$A2100=TODAY()),AH!$P$20,IF(AH!$P$10=1,INDEX('Live History'!$H$5:$H$3004,MATCH($A2100,'Live History'!$G$5:$G$3004,1)),INDEX('AH History'!$D$1:$D$18046,AH!$P$7+2095))),NA()),NA())</ns0:f>
        <ns0:v/>
      </ns0:c>
      <ns0:c r="F2100">
        <ns0:f>IFERROR(IF(ISNUMBER($A2100),IF(AND(AH!$P$10=1,AH!$P$12=1,$A2100=TODAY()),IF(AND(AH!$P$10=1,AH!$P$12=1,$A2100=TODAY()),TODAY(),NA()),IF(AH!$P$10=1,INDEX('Live History'!$D$5:$D$3004,MATCH($A2100,'Live History'!$D$5:$D$3004,1)),INDEX('AH History'!$E$1:$E$18046,AH!$P$7+2095))),NA()),NA())</ns0:f>
        <ns0:v/>
      </ns0:c>
      <ns0:c r="G2100">
        <ns0:f>IFERROR(IF(ISNUMBER($A2100),IF(AND(AH!$P$10=1,AH!$P$12=1,$A2100=TODAY()),IF(AND(AH!$P$10=1,AH!$P$12=1,$A2100=TODAY()),TODAY(),NA()),IF(AH!$P$10=1,INDEX('Live History'!$G$5:$G$3004,MATCH($A2100,'Live History'!$G$5:$G$3004,1)),INDEX('AH History'!$F$1:$F$18046,AH!$P$7+2095))),NA()),NA())</ns0:f>
        <ns0:v/>
      </ns0:c>
      <ns0:c r="H2100">
        <ns0:f>IFERROR(IF(AND(AH!$E$4="Bloomberg",AH!$P$10=1,ISNUMBER($A2100),$A2100&lt;=AH!$P$17),AH!$P$7-1+MATCH($A2100,INDEX('AH History'!$A$1:$A$18046,AH!$P$7):INDEX('AH History'!$A$1:$A$18046,AH!$P$7+AH!$P$8-1),0),0),0)</ns0:f>
        <ns0:v/>
      </ns0:c>
      <ns0:c r="I2100">
        <ns0:f>IF($H2100=0,0,IFERROR(IF(AND(ABS($C2100-INDEX('AH History'!$B$1:$B$18046,$H2100))&lt;=MAX(0.005,ABS(INDEX('AH History'!$B$1:$B$18046,$H2100))*0.00005),ABS($D2100-INDEX('AH History'!$C$1:$C$18046,$H2100))&lt;=MAX(0.005,ABS(INDEX('AH History'!$C$1:$C$18046,$H2100))*0.00005),ABS($E2100-INDEX('AH History'!$D$1:$D$18046,$H2100))&lt;=0.00005,$F2100=INDEX('AH History'!$E$1:$E$18046,$H2100),$G2100=INDEX('AH History'!$F$1:$F$18046,$H2100)),1,-1),-1))</ns0:f>
        <ns0:v/>
      </ns0:c>
    </ns0:row>
    <ns0:row r="2101">
      <ns0:c r="A2101" s="215">
        <ns0:f>IF(OR(AH!$P$3=0,2096+1&gt;AH!$P$11,AND(AH!$E$4&lt;&gt;"Stored",AH!$P$10&lt;&gt;1)),"",IFERROR(IF(AND(AH!$P$21=1,2096+1=AH!$P$11),TODAY(),IF(AH!$P$10=1,INDEX('Live History'!$A$5:$A$3004,AH!$P$13+2096),INDEX('AH History'!$A$1:$A$18046,AH!$P$7+2096))),""))</ns0:f>
        <ns0:v/>
      </ns0:c>
      <ns0:c r="B2101" s="219">
        <ns0:f>IFERROR(IF(AND(AH!$P$9&lt;&gt;1,$C2101&gt;0,$D2101&gt;0,$E2101&gt;0,$F2101&gt;0,$G2101&gt;0,$F2101&lt;=$A2101,$G2101&lt;=$A2101,$A2101-$F2101&lt;=10,$A2101-$G2101&lt;=5),$D2101*$E2101/$C2101-1,NA()),NA())</ns0:f>
        <ns0:v/>
      </ns0:c>
      <ns0:c r="C2101">
        <ns0:f>IFERROR(IF(ISNUMBER($A2101),IF(AND(AH!$P$10=1,AH!$P$12=1,$A2101=TODAY()),AH!$P$19,IF(AH!$P$10=1,INDEX('Live History'!$B$5:$B$3004,AH!$P$13+2096),INDEX('AH History'!$B$1:$B$18046,AH!$P$7+2096))),NA()),NA())</ns0:f>
        <ns0:v/>
      </ns0:c>
      <ns0:c r="D2101">
        <ns0:f>IFERROR(IF(ISNUMBER($A2101),IF(AND(AH!$P$10=1,AH!$P$12=1,$A2101=TODAY()),AH!$P$18,IF(AH!$P$10=1,INDEX('Live History'!$E$5:$E$3004,MATCH($A2101,'Live History'!$D$5:$D$3004,1)),INDEX('AH History'!$C$1:$C$18046,AH!$P$7+2096))),NA()),NA())</ns0:f>
        <ns0:v/>
      </ns0:c>
      <ns0:c r="E2101">
        <ns0:f>IFERROR(IF(ISNUMBER($A2101),IF(AND(AH!$P$10=1,AH!$P$12=1,$A2101=TODAY()),AH!$P$20,IF(AH!$P$10=1,INDEX('Live History'!$H$5:$H$3004,MATCH($A2101,'Live History'!$G$5:$G$3004,1)),INDEX('AH History'!$D$1:$D$18046,AH!$P$7+2096))),NA()),NA())</ns0:f>
        <ns0:v/>
      </ns0:c>
      <ns0:c r="F2101">
        <ns0:f>IFERROR(IF(ISNUMBER($A2101),IF(AND(AH!$P$10=1,AH!$P$12=1,$A2101=TODAY()),IF(AND(AH!$P$10=1,AH!$P$12=1,$A2101=TODAY()),TODAY(),NA()),IF(AH!$P$10=1,INDEX('Live History'!$D$5:$D$3004,MATCH($A2101,'Live History'!$D$5:$D$3004,1)),INDEX('AH History'!$E$1:$E$18046,AH!$P$7+2096))),NA()),NA())</ns0:f>
        <ns0:v/>
      </ns0:c>
      <ns0:c r="G2101">
        <ns0:f>IFERROR(IF(ISNUMBER($A2101),IF(AND(AH!$P$10=1,AH!$P$12=1,$A2101=TODAY()),IF(AND(AH!$P$10=1,AH!$P$12=1,$A2101=TODAY()),TODAY(),NA()),IF(AH!$P$10=1,INDEX('Live History'!$G$5:$G$3004,MATCH($A2101,'Live History'!$G$5:$G$3004,1)),INDEX('AH History'!$F$1:$F$18046,AH!$P$7+2096))),NA()),NA())</ns0:f>
        <ns0:v/>
      </ns0:c>
      <ns0:c r="H2101">
        <ns0:f>IFERROR(IF(AND(AH!$E$4="Bloomberg",AH!$P$10=1,ISNUMBER($A2101),$A2101&lt;=AH!$P$17),AH!$P$7-1+MATCH($A2101,INDEX('AH History'!$A$1:$A$18046,AH!$P$7):INDEX('AH History'!$A$1:$A$18046,AH!$P$7+AH!$P$8-1),0),0),0)</ns0:f>
        <ns0:v/>
      </ns0:c>
      <ns0:c r="I2101">
        <ns0:f>IF($H2101=0,0,IFERROR(IF(AND(ABS($C2101-INDEX('AH History'!$B$1:$B$18046,$H2101))&lt;=MAX(0.005,ABS(INDEX('AH History'!$B$1:$B$18046,$H2101))*0.00005),ABS($D2101-INDEX('AH History'!$C$1:$C$18046,$H2101))&lt;=MAX(0.005,ABS(INDEX('AH History'!$C$1:$C$18046,$H2101))*0.00005),ABS($E2101-INDEX('AH History'!$D$1:$D$18046,$H2101))&lt;=0.00005,$F2101=INDEX('AH History'!$E$1:$E$18046,$H2101),$G2101=INDEX('AH History'!$F$1:$F$18046,$H2101)),1,-1),-1))</ns0:f>
        <ns0:v/>
      </ns0:c>
    </ns0:row>
    <ns0:row r="2102">
      <ns0:c r="A2102" s="215">
        <ns0:f>IF(OR(AH!$P$3=0,2097+1&gt;AH!$P$11,AND(AH!$E$4&lt;&gt;"Stored",AH!$P$10&lt;&gt;1)),"",IFERROR(IF(AND(AH!$P$21=1,2097+1=AH!$P$11),TODAY(),IF(AH!$P$10=1,INDEX('Live History'!$A$5:$A$3004,AH!$P$13+2097),INDEX('AH History'!$A$1:$A$18046,AH!$P$7+2097))),""))</ns0:f>
        <ns0:v/>
      </ns0:c>
      <ns0:c r="B2102" s="219">
        <ns0:f>IFERROR(IF(AND(AH!$P$9&lt;&gt;1,$C2102&gt;0,$D2102&gt;0,$E2102&gt;0,$F2102&gt;0,$G2102&gt;0,$F2102&lt;=$A2102,$G2102&lt;=$A2102,$A2102-$F2102&lt;=10,$A2102-$G2102&lt;=5),$D2102*$E2102/$C2102-1,NA()),NA())</ns0:f>
        <ns0:v/>
      </ns0:c>
      <ns0:c r="C2102">
        <ns0:f>IFERROR(IF(ISNUMBER($A2102),IF(AND(AH!$P$10=1,AH!$P$12=1,$A2102=TODAY()),AH!$P$19,IF(AH!$P$10=1,INDEX('Live History'!$B$5:$B$3004,AH!$P$13+2097),INDEX('AH History'!$B$1:$B$18046,AH!$P$7+2097))),NA()),NA())</ns0:f>
        <ns0:v/>
      </ns0:c>
      <ns0:c r="D2102">
        <ns0:f>IFERROR(IF(ISNUMBER($A2102),IF(AND(AH!$P$10=1,AH!$P$12=1,$A2102=TODAY()),AH!$P$18,IF(AH!$P$10=1,INDEX('Live History'!$E$5:$E$3004,MATCH($A2102,'Live History'!$D$5:$D$3004,1)),INDEX('AH History'!$C$1:$C$18046,AH!$P$7+2097))),NA()),NA())</ns0:f>
        <ns0:v/>
      </ns0:c>
      <ns0:c r="E2102">
        <ns0:f>IFERROR(IF(ISNUMBER($A2102),IF(AND(AH!$P$10=1,AH!$P$12=1,$A2102=TODAY()),AH!$P$20,IF(AH!$P$10=1,INDEX('Live History'!$H$5:$H$3004,MATCH($A2102,'Live History'!$G$5:$G$3004,1)),INDEX('AH History'!$D$1:$D$18046,AH!$P$7+2097))),NA()),NA())</ns0:f>
        <ns0:v/>
      </ns0:c>
      <ns0:c r="F2102">
        <ns0:f>IFERROR(IF(ISNUMBER($A2102),IF(AND(AH!$P$10=1,AH!$P$12=1,$A2102=TODAY()),IF(AND(AH!$P$10=1,AH!$P$12=1,$A2102=TODAY()),TODAY(),NA()),IF(AH!$P$10=1,INDEX('Live History'!$D$5:$D$3004,MATCH($A2102,'Live History'!$D$5:$D$3004,1)),INDEX('AH History'!$E$1:$E$18046,AH!$P$7+2097))),NA()),NA())</ns0:f>
        <ns0:v/>
      </ns0:c>
      <ns0:c r="G2102">
        <ns0:f>IFERROR(IF(ISNUMBER($A2102),IF(AND(AH!$P$10=1,AH!$P$12=1,$A2102=TODAY()),IF(AND(AH!$P$10=1,AH!$P$12=1,$A2102=TODAY()),TODAY(),NA()),IF(AH!$P$10=1,INDEX('Live History'!$G$5:$G$3004,MATCH($A2102,'Live History'!$G$5:$G$3004,1)),INDEX('AH History'!$F$1:$F$18046,AH!$P$7+2097))),NA()),NA())</ns0:f>
        <ns0:v/>
      </ns0:c>
      <ns0:c r="H2102">
        <ns0:f>IFERROR(IF(AND(AH!$E$4="Bloomberg",AH!$P$10=1,ISNUMBER($A2102),$A2102&lt;=AH!$P$17),AH!$P$7-1+MATCH($A2102,INDEX('AH History'!$A$1:$A$18046,AH!$P$7):INDEX('AH History'!$A$1:$A$18046,AH!$P$7+AH!$P$8-1),0),0),0)</ns0:f>
        <ns0:v/>
      </ns0:c>
      <ns0:c r="I2102">
        <ns0:f>IF($H2102=0,0,IFERROR(IF(AND(ABS($C2102-INDEX('AH History'!$B$1:$B$18046,$H2102))&lt;=MAX(0.005,ABS(INDEX('AH History'!$B$1:$B$18046,$H2102))*0.00005),ABS($D2102-INDEX('AH History'!$C$1:$C$18046,$H2102))&lt;=MAX(0.005,ABS(INDEX('AH History'!$C$1:$C$18046,$H2102))*0.00005),ABS($E2102-INDEX('AH History'!$D$1:$D$18046,$H2102))&lt;=0.00005,$F2102=INDEX('AH History'!$E$1:$E$18046,$H2102),$G2102=INDEX('AH History'!$F$1:$F$18046,$H2102)),1,-1),-1))</ns0:f>
        <ns0:v/>
      </ns0:c>
    </ns0:row>
    <ns0:row r="2103">
      <ns0:c r="A2103" s="215">
        <ns0:f>IF(OR(AH!$P$3=0,2098+1&gt;AH!$P$11,AND(AH!$E$4&lt;&gt;"Stored",AH!$P$10&lt;&gt;1)),"",IFERROR(IF(AND(AH!$P$21=1,2098+1=AH!$P$11),TODAY(),IF(AH!$P$10=1,INDEX('Live History'!$A$5:$A$3004,AH!$P$13+2098),INDEX('AH History'!$A$1:$A$18046,AH!$P$7+2098))),""))</ns0:f>
        <ns0:v/>
      </ns0:c>
      <ns0:c r="B2103" s="219">
        <ns0:f>IFERROR(IF(AND(AH!$P$9&lt;&gt;1,$C2103&gt;0,$D2103&gt;0,$E2103&gt;0,$F2103&gt;0,$G2103&gt;0,$F2103&lt;=$A2103,$G2103&lt;=$A2103,$A2103-$F2103&lt;=10,$A2103-$G2103&lt;=5),$D2103*$E2103/$C2103-1,NA()),NA())</ns0:f>
        <ns0:v/>
      </ns0:c>
      <ns0:c r="C2103">
        <ns0:f>IFERROR(IF(ISNUMBER($A2103),IF(AND(AH!$P$10=1,AH!$P$12=1,$A2103=TODAY()),AH!$P$19,IF(AH!$P$10=1,INDEX('Live History'!$B$5:$B$3004,AH!$P$13+2098),INDEX('AH History'!$B$1:$B$18046,AH!$P$7+2098))),NA()),NA())</ns0:f>
        <ns0:v/>
      </ns0:c>
      <ns0:c r="D2103">
        <ns0:f>IFERROR(IF(ISNUMBER($A2103),IF(AND(AH!$P$10=1,AH!$P$12=1,$A2103=TODAY()),AH!$P$18,IF(AH!$P$10=1,INDEX('Live History'!$E$5:$E$3004,MATCH($A2103,'Live History'!$D$5:$D$3004,1)),INDEX('AH History'!$C$1:$C$18046,AH!$P$7+2098))),NA()),NA())</ns0:f>
        <ns0:v/>
      </ns0:c>
      <ns0:c r="E2103">
        <ns0:f>IFERROR(IF(ISNUMBER($A2103),IF(AND(AH!$P$10=1,AH!$P$12=1,$A2103=TODAY()),AH!$P$20,IF(AH!$P$10=1,INDEX('Live History'!$H$5:$H$3004,MATCH($A2103,'Live History'!$G$5:$G$3004,1)),INDEX('AH History'!$D$1:$D$18046,AH!$P$7+2098))),NA()),NA())</ns0:f>
        <ns0:v/>
      </ns0:c>
      <ns0:c r="F2103">
        <ns0:f>IFERROR(IF(ISNUMBER($A2103),IF(AND(AH!$P$10=1,AH!$P$12=1,$A2103=TODAY()),IF(AND(AH!$P$10=1,AH!$P$12=1,$A2103=TODAY()),TODAY(),NA()),IF(AH!$P$10=1,INDEX('Live History'!$D$5:$D$3004,MATCH($A2103,'Live History'!$D$5:$D$3004,1)),INDEX('AH History'!$E$1:$E$18046,AH!$P$7+2098))),NA()),NA())</ns0:f>
        <ns0:v/>
      </ns0:c>
      <ns0:c r="G2103">
        <ns0:f>IFERROR(IF(ISNUMBER($A2103),IF(AND(AH!$P$10=1,AH!$P$12=1,$A2103=TODAY()),IF(AND(AH!$P$10=1,AH!$P$12=1,$A2103=TODAY()),TODAY(),NA()),IF(AH!$P$10=1,INDEX('Live History'!$G$5:$G$3004,MATCH($A2103,'Live History'!$G$5:$G$3004,1)),INDEX('AH History'!$F$1:$F$18046,AH!$P$7+2098))),NA()),NA())</ns0:f>
        <ns0:v/>
      </ns0:c>
      <ns0:c r="H2103">
        <ns0:f>IFERROR(IF(AND(AH!$E$4="Bloomberg",AH!$P$10=1,ISNUMBER($A2103),$A2103&lt;=AH!$P$17),AH!$P$7-1+MATCH($A2103,INDEX('AH History'!$A$1:$A$18046,AH!$P$7):INDEX('AH History'!$A$1:$A$18046,AH!$P$7+AH!$P$8-1),0),0),0)</ns0:f>
        <ns0:v/>
      </ns0:c>
      <ns0:c r="I2103">
        <ns0:f>IF($H2103=0,0,IFERROR(IF(AND(ABS($C2103-INDEX('AH History'!$B$1:$B$18046,$H2103))&lt;=MAX(0.005,ABS(INDEX('AH History'!$B$1:$B$18046,$H2103))*0.00005),ABS($D2103-INDEX('AH History'!$C$1:$C$18046,$H2103))&lt;=MAX(0.005,ABS(INDEX('AH History'!$C$1:$C$18046,$H2103))*0.00005),ABS($E2103-INDEX('AH History'!$D$1:$D$18046,$H2103))&lt;=0.00005,$F2103=INDEX('AH History'!$E$1:$E$18046,$H2103),$G2103=INDEX('AH History'!$F$1:$F$18046,$H2103)),1,-1),-1))</ns0:f>
        <ns0:v/>
      </ns0:c>
    </ns0:row>
    <ns0:row r="2104">
      <ns0:c r="A2104" s="215">
        <ns0:f>IF(OR(AH!$P$3=0,2099+1&gt;AH!$P$11,AND(AH!$E$4&lt;&gt;"Stored",AH!$P$10&lt;&gt;1)),"",IFERROR(IF(AND(AH!$P$21=1,2099+1=AH!$P$11),TODAY(),IF(AH!$P$10=1,INDEX('Live History'!$A$5:$A$3004,AH!$P$13+2099),INDEX('AH History'!$A$1:$A$18046,AH!$P$7+2099))),""))</ns0:f>
        <ns0:v/>
      </ns0:c>
      <ns0:c r="B2104" s="219">
        <ns0:f>IFERROR(IF(AND(AH!$P$9&lt;&gt;1,$C2104&gt;0,$D2104&gt;0,$E2104&gt;0,$F2104&gt;0,$G2104&gt;0,$F2104&lt;=$A2104,$G2104&lt;=$A2104,$A2104-$F2104&lt;=10,$A2104-$G2104&lt;=5),$D2104*$E2104/$C2104-1,NA()),NA())</ns0:f>
        <ns0:v/>
      </ns0:c>
      <ns0:c r="C2104">
        <ns0:f>IFERROR(IF(ISNUMBER($A2104),IF(AND(AH!$P$10=1,AH!$P$12=1,$A2104=TODAY()),AH!$P$19,IF(AH!$P$10=1,INDEX('Live History'!$B$5:$B$3004,AH!$P$13+2099),INDEX('AH History'!$B$1:$B$18046,AH!$P$7+2099))),NA()),NA())</ns0:f>
        <ns0:v/>
      </ns0:c>
      <ns0:c r="D2104">
        <ns0:f>IFERROR(IF(ISNUMBER($A2104),IF(AND(AH!$P$10=1,AH!$P$12=1,$A2104=TODAY()),AH!$P$18,IF(AH!$P$10=1,INDEX('Live History'!$E$5:$E$3004,MATCH($A2104,'Live History'!$D$5:$D$3004,1)),INDEX('AH History'!$C$1:$C$18046,AH!$P$7+2099))),NA()),NA())</ns0:f>
        <ns0:v/>
      </ns0:c>
      <ns0:c r="E2104">
        <ns0:f>IFERROR(IF(ISNUMBER($A2104),IF(AND(AH!$P$10=1,AH!$P$12=1,$A2104=TODAY()),AH!$P$20,IF(AH!$P$10=1,INDEX('Live History'!$H$5:$H$3004,MATCH($A2104,'Live History'!$G$5:$G$3004,1)),INDEX('AH History'!$D$1:$D$18046,AH!$P$7+2099))),NA()),NA())</ns0:f>
        <ns0:v/>
      </ns0:c>
      <ns0:c r="F2104">
        <ns0:f>IFERROR(IF(ISNUMBER($A2104),IF(AND(AH!$P$10=1,AH!$P$12=1,$A2104=TODAY()),IF(AND(AH!$P$10=1,AH!$P$12=1,$A2104=TODAY()),TODAY(),NA()),IF(AH!$P$10=1,INDEX('Live History'!$D$5:$D$3004,MATCH($A2104,'Live History'!$D$5:$D$3004,1)),INDEX('AH History'!$E$1:$E$18046,AH!$P$7+2099))),NA()),NA())</ns0:f>
        <ns0:v/>
      </ns0:c>
      <ns0:c r="G2104">
        <ns0:f>IFERROR(IF(ISNUMBER($A2104),IF(AND(AH!$P$10=1,AH!$P$12=1,$A2104=TODAY()),IF(AND(AH!$P$10=1,AH!$P$12=1,$A2104=TODAY()),TODAY(),NA()),IF(AH!$P$10=1,INDEX('Live History'!$G$5:$G$3004,MATCH($A2104,'Live History'!$G$5:$G$3004,1)),INDEX('AH History'!$F$1:$F$18046,AH!$P$7+2099))),NA()),NA())</ns0:f>
        <ns0:v/>
      </ns0:c>
      <ns0:c r="H2104">
        <ns0:f>IFERROR(IF(AND(AH!$E$4="Bloomberg",AH!$P$10=1,ISNUMBER($A2104),$A2104&lt;=AH!$P$17),AH!$P$7-1+MATCH($A2104,INDEX('AH History'!$A$1:$A$18046,AH!$P$7):INDEX('AH History'!$A$1:$A$18046,AH!$P$7+AH!$P$8-1),0),0),0)</ns0:f>
        <ns0:v/>
      </ns0:c>
      <ns0:c r="I2104">
        <ns0:f>IF($H2104=0,0,IFERROR(IF(AND(ABS($C2104-INDEX('AH History'!$B$1:$B$18046,$H2104))&lt;=MAX(0.005,ABS(INDEX('AH History'!$B$1:$B$18046,$H2104))*0.00005),ABS($D2104-INDEX('AH History'!$C$1:$C$18046,$H2104))&lt;=MAX(0.005,ABS(INDEX('AH History'!$C$1:$C$18046,$H2104))*0.00005),ABS($E2104-INDEX('AH History'!$D$1:$D$18046,$H2104))&lt;=0.00005,$F2104=INDEX('AH History'!$E$1:$E$18046,$H2104),$G2104=INDEX('AH History'!$F$1:$F$18046,$H2104)),1,-1),-1))</ns0:f>
        <ns0:v/>
      </ns0:c>
    </ns0:row>
    <ns0:row r="2105">
      <ns0:c r="A2105" s="215">
        <ns0:f>IF(OR(AH!$P$3=0,2100+1&gt;AH!$P$11,AND(AH!$E$4&lt;&gt;"Stored",AH!$P$10&lt;&gt;1)),"",IFERROR(IF(AND(AH!$P$21=1,2100+1=AH!$P$11),TODAY(),IF(AH!$P$10=1,INDEX('Live History'!$A$5:$A$3004,AH!$P$13+2100),INDEX('AH History'!$A$1:$A$18046,AH!$P$7+2100))),""))</ns0:f>
        <ns0:v/>
      </ns0:c>
      <ns0:c r="B2105" s="219">
        <ns0:f>IFERROR(IF(AND(AH!$P$9&lt;&gt;1,$C2105&gt;0,$D2105&gt;0,$E2105&gt;0,$F2105&gt;0,$G2105&gt;0,$F2105&lt;=$A2105,$G2105&lt;=$A2105,$A2105-$F2105&lt;=10,$A2105-$G2105&lt;=5),$D2105*$E2105/$C2105-1,NA()),NA())</ns0:f>
        <ns0:v/>
      </ns0:c>
      <ns0:c r="C2105">
        <ns0:f>IFERROR(IF(ISNUMBER($A2105),IF(AND(AH!$P$10=1,AH!$P$12=1,$A2105=TODAY()),AH!$P$19,IF(AH!$P$10=1,INDEX('Live History'!$B$5:$B$3004,AH!$P$13+2100),INDEX('AH History'!$B$1:$B$18046,AH!$P$7+2100))),NA()),NA())</ns0:f>
        <ns0:v/>
      </ns0:c>
      <ns0:c r="D2105">
        <ns0:f>IFERROR(IF(ISNUMBER($A2105),IF(AND(AH!$P$10=1,AH!$P$12=1,$A2105=TODAY()),AH!$P$18,IF(AH!$P$10=1,INDEX('Live History'!$E$5:$E$3004,MATCH($A2105,'Live History'!$D$5:$D$3004,1)),INDEX('AH History'!$C$1:$C$18046,AH!$P$7+2100))),NA()),NA())</ns0:f>
        <ns0:v/>
      </ns0:c>
      <ns0:c r="E2105">
        <ns0:f>IFERROR(IF(ISNUMBER($A2105),IF(AND(AH!$P$10=1,AH!$P$12=1,$A2105=TODAY()),AH!$P$20,IF(AH!$P$10=1,INDEX('Live History'!$H$5:$H$3004,MATCH($A2105,'Live History'!$G$5:$G$3004,1)),INDEX('AH History'!$D$1:$D$18046,AH!$P$7+2100))),NA()),NA())</ns0:f>
        <ns0:v/>
      </ns0:c>
      <ns0:c r="F2105">
        <ns0:f>IFERROR(IF(ISNUMBER($A2105),IF(AND(AH!$P$10=1,AH!$P$12=1,$A2105=TODAY()),IF(AND(AH!$P$10=1,AH!$P$12=1,$A2105=TODAY()),TODAY(),NA()),IF(AH!$P$10=1,INDEX('Live History'!$D$5:$D$3004,MATCH($A2105,'Live History'!$D$5:$D$3004,1)),INDEX('AH History'!$E$1:$E$18046,AH!$P$7+2100))),NA()),NA())</ns0:f>
        <ns0:v/>
      </ns0:c>
      <ns0:c r="G2105">
        <ns0:f>IFERROR(IF(ISNUMBER($A2105),IF(AND(AH!$P$10=1,AH!$P$12=1,$A2105=TODAY()),IF(AND(AH!$P$10=1,AH!$P$12=1,$A2105=TODAY()),TODAY(),NA()),IF(AH!$P$10=1,INDEX('Live History'!$G$5:$G$3004,MATCH($A2105,'Live History'!$G$5:$G$3004,1)),INDEX('AH History'!$F$1:$F$18046,AH!$P$7+2100))),NA()),NA())</ns0:f>
        <ns0:v/>
      </ns0:c>
      <ns0:c r="H2105">
        <ns0:f>IFERROR(IF(AND(AH!$E$4="Bloomberg",AH!$P$10=1,ISNUMBER($A2105),$A2105&lt;=AH!$P$17),AH!$P$7-1+MATCH($A2105,INDEX('AH History'!$A$1:$A$18046,AH!$P$7):INDEX('AH History'!$A$1:$A$18046,AH!$P$7+AH!$P$8-1),0),0),0)</ns0:f>
        <ns0:v/>
      </ns0:c>
      <ns0:c r="I2105">
        <ns0:f>IF($H2105=0,0,IFERROR(IF(AND(ABS($C2105-INDEX('AH History'!$B$1:$B$18046,$H2105))&lt;=MAX(0.005,ABS(INDEX('AH History'!$B$1:$B$18046,$H2105))*0.00005),ABS($D2105-INDEX('AH History'!$C$1:$C$18046,$H2105))&lt;=MAX(0.005,ABS(INDEX('AH History'!$C$1:$C$18046,$H2105))*0.00005),ABS($E2105-INDEX('AH History'!$D$1:$D$18046,$H2105))&lt;=0.00005,$F2105=INDEX('AH History'!$E$1:$E$18046,$H2105),$G2105=INDEX('AH History'!$F$1:$F$18046,$H2105)),1,-1),-1))</ns0:f>
        <ns0:v/>
      </ns0:c>
    </ns0:row>
    <ns0:row r="2106">
      <ns0:c r="A2106" s="215">
        <ns0:f>IF(OR(AH!$P$3=0,2101+1&gt;AH!$P$11,AND(AH!$E$4&lt;&gt;"Stored",AH!$P$10&lt;&gt;1)),"",IFERROR(IF(AND(AH!$P$21=1,2101+1=AH!$P$11),TODAY(),IF(AH!$P$10=1,INDEX('Live History'!$A$5:$A$3004,AH!$P$13+2101),INDEX('AH History'!$A$1:$A$18046,AH!$P$7+2101))),""))</ns0:f>
        <ns0:v/>
      </ns0:c>
      <ns0:c r="B2106" s="219">
        <ns0:f>IFERROR(IF(AND(AH!$P$9&lt;&gt;1,$C2106&gt;0,$D2106&gt;0,$E2106&gt;0,$F2106&gt;0,$G2106&gt;0,$F2106&lt;=$A2106,$G2106&lt;=$A2106,$A2106-$F2106&lt;=10,$A2106-$G2106&lt;=5),$D2106*$E2106/$C2106-1,NA()),NA())</ns0:f>
        <ns0:v/>
      </ns0:c>
      <ns0:c r="C2106">
        <ns0:f>IFERROR(IF(ISNUMBER($A2106),IF(AND(AH!$P$10=1,AH!$P$12=1,$A2106=TODAY()),AH!$P$19,IF(AH!$P$10=1,INDEX('Live History'!$B$5:$B$3004,AH!$P$13+2101),INDEX('AH History'!$B$1:$B$18046,AH!$P$7+2101))),NA()),NA())</ns0:f>
        <ns0:v/>
      </ns0:c>
      <ns0:c r="D2106">
        <ns0:f>IFERROR(IF(ISNUMBER($A2106),IF(AND(AH!$P$10=1,AH!$P$12=1,$A2106=TODAY()),AH!$P$18,IF(AH!$P$10=1,INDEX('Live History'!$E$5:$E$3004,MATCH($A2106,'Live History'!$D$5:$D$3004,1)),INDEX('AH History'!$C$1:$C$18046,AH!$P$7+2101))),NA()),NA())</ns0:f>
        <ns0:v/>
      </ns0:c>
      <ns0:c r="E2106">
        <ns0:f>IFERROR(IF(ISNUMBER($A2106),IF(AND(AH!$P$10=1,AH!$P$12=1,$A2106=TODAY()),AH!$P$20,IF(AH!$P$10=1,INDEX('Live History'!$H$5:$H$3004,MATCH($A2106,'Live History'!$G$5:$G$3004,1)),INDEX('AH History'!$D$1:$D$18046,AH!$P$7+2101))),NA()),NA())</ns0:f>
        <ns0:v/>
      </ns0:c>
      <ns0:c r="F2106">
        <ns0:f>IFERROR(IF(ISNUMBER($A2106),IF(AND(AH!$P$10=1,AH!$P$12=1,$A2106=TODAY()),IF(AND(AH!$P$10=1,AH!$P$12=1,$A2106=TODAY()),TODAY(),NA()),IF(AH!$P$10=1,INDEX('Live History'!$D$5:$D$3004,MATCH($A2106,'Live History'!$D$5:$D$3004,1)),INDEX('AH History'!$E$1:$E$18046,AH!$P$7+2101))),NA()),NA())</ns0:f>
        <ns0:v/>
      </ns0:c>
      <ns0:c r="G2106">
        <ns0:f>IFERROR(IF(ISNUMBER($A2106),IF(AND(AH!$P$10=1,AH!$P$12=1,$A2106=TODAY()),IF(AND(AH!$P$10=1,AH!$P$12=1,$A2106=TODAY()),TODAY(),NA()),IF(AH!$P$10=1,INDEX('Live History'!$G$5:$G$3004,MATCH($A2106,'Live History'!$G$5:$G$3004,1)),INDEX('AH History'!$F$1:$F$18046,AH!$P$7+2101))),NA()),NA())</ns0:f>
        <ns0:v/>
      </ns0:c>
      <ns0:c r="H2106">
        <ns0:f>IFERROR(IF(AND(AH!$E$4="Bloomberg",AH!$P$10=1,ISNUMBER($A2106),$A2106&lt;=AH!$P$17),AH!$P$7-1+MATCH($A2106,INDEX('AH History'!$A$1:$A$18046,AH!$P$7):INDEX('AH History'!$A$1:$A$18046,AH!$P$7+AH!$P$8-1),0),0),0)</ns0:f>
        <ns0:v/>
      </ns0:c>
      <ns0:c r="I2106">
        <ns0:f>IF($H2106=0,0,IFERROR(IF(AND(ABS($C2106-INDEX('AH History'!$B$1:$B$18046,$H2106))&lt;=MAX(0.005,ABS(INDEX('AH History'!$B$1:$B$18046,$H2106))*0.00005),ABS($D2106-INDEX('AH History'!$C$1:$C$18046,$H2106))&lt;=MAX(0.005,ABS(INDEX('AH History'!$C$1:$C$18046,$H2106))*0.00005),ABS($E2106-INDEX('AH History'!$D$1:$D$18046,$H2106))&lt;=0.00005,$F2106=INDEX('AH History'!$E$1:$E$18046,$H2106),$G2106=INDEX('AH History'!$F$1:$F$18046,$H2106)),1,-1),-1))</ns0:f>
        <ns0:v/>
      </ns0:c>
    </ns0:row>
    <ns0:row r="2107">
      <ns0:c r="A2107" s="215">
        <ns0:f>IF(OR(AH!$P$3=0,2102+1&gt;AH!$P$11,AND(AH!$E$4&lt;&gt;"Stored",AH!$P$10&lt;&gt;1)),"",IFERROR(IF(AND(AH!$P$21=1,2102+1=AH!$P$11),TODAY(),IF(AH!$P$10=1,INDEX('Live History'!$A$5:$A$3004,AH!$P$13+2102),INDEX('AH History'!$A$1:$A$18046,AH!$P$7+2102))),""))</ns0:f>
        <ns0:v/>
      </ns0:c>
      <ns0:c r="B2107" s="219">
        <ns0:f>IFERROR(IF(AND(AH!$P$9&lt;&gt;1,$C2107&gt;0,$D2107&gt;0,$E2107&gt;0,$F2107&gt;0,$G2107&gt;0,$F2107&lt;=$A2107,$G2107&lt;=$A2107,$A2107-$F2107&lt;=10,$A2107-$G2107&lt;=5),$D2107*$E2107/$C2107-1,NA()),NA())</ns0:f>
        <ns0:v/>
      </ns0:c>
      <ns0:c r="C2107">
        <ns0:f>IFERROR(IF(ISNUMBER($A2107),IF(AND(AH!$P$10=1,AH!$P$12=1,$A2107=TODAY()),AH!$P$19,IF(AH!$P$10=1,INDEX('Live History'!$B$5:$B$3004,AH!$P$13+2102),INDEX('AH History'!$B$1:$B$18046,AH!$P$7+2102))),NA()),NA())</ns0:f>
        <ns0:v/>
      </ns0:c>
      <ns0:c r="D2107">
        <ns0:f>IFERROR(IF(ISNUMBER($A2107),IF(AND(AH!$P$10=1,AH!$P$12=1,$A2107=TODAY()),AH!$P$18,IF(AH!$P$10=1,INDEX('Live History'!$E$5:$E$3004,MATCH($A2107,'Live History'!$D$5:$D$3004,1)),INDEX('AH History'!$C$1:$C$18046,AH!$P$7+2102))),NA()),NA())</ns0:f>
        <ns0:v/>
      </ns0:c>
      <ns0:c r="E2107">
        <ns0:f>IFERROR(IF(ISNUMBER($A2107),IF(AND(AH!$P$10=1,AH!$P$12=1,$A2107=TODAY()),AH!$P$20,IF(AH!$P$10=1,INDEX('Live History'!$H$5:$H$3004,MATCH($A2107,'Live History'!$G$5:$G$3004,1)),INDEX('AH History'!$D$1:$D$18046,AH!$P$7+2102))),NA()),NA())</ns0:f>
        <ns0:v/>
      </ns0:c>
      <ns0:c r="F2107">
        <ns0:f>IFERROR(IF(ISNUMBER($A2107),IF(AND(AH!$P$10=1,AH!$P$12=1,$A2107=TODAY()),IF(AND(AH!$P$10=1,AH!$P$12=1,$A2107=TODAY()),TODAY(),NA()),IF(AH!$P$10=1,INDEX('Live History'!$D$5:$D$3004,MATCH($A2107,'Live History'!$D$5:$D$3004,1)),INDEX('AH History'!$E$1:$E$18046,AH!$P$7+2102))),NA()),NA())</ns0:f>
        <ns0:v/>
      </ns0:c>
      <ns0:c r="G2107">
        <ns0:f>IFERROR(IF(ISNUMBER($A2107),IF(AND(AH!$P$10=1,AH!$P$12=1,$A2107=TODAY()),IF(AND(AH!$P$10=1,AH!$P$12=1,$A2107=TODAY()),TODAY(),NA()),IF(AH!$P$10=1,INDEX('Live History'!$G$5:$G$3004,MATCH($A2107,'Live History'!$G$5:$G$3004,1)),INDEX('AH History'!$F$1:$F$18046,AH!$P$7+2102))),NA()),NA())</ns0:f>
        <ns0:v/>
      </ns0:c>
      <ns0:c r="H2107">
        <ns0:f>IFERROR(IF(AND(AH!$E$4="Bloomberg",AH!$P$10=1,ISNUMBER($A2107),$A2107&lt;=AH!$P$17),AH!$P$7-1+MATCH($A2107,INDEX('AH History'!$A$1:$A$18046,AH!$P$7):INDEX('AH History'!$A$1:$A$18046,AH!$P$7+AH!$P$8-1),0),0),0)</ns0:f>
        <ns0:v/>
      </ns0:c>
      <ns0:c r="I2107">
        <ns0:f>IF($H2107=0,0,IFERROR(IF(AND(ABS($C2107-INDEX('AH History'!$B$1:$B$18046,$H2107))&lt;=MAX(0.005,ABS(INDEX('AH History'!$B$1:$B$18046,$H2107))*0.00005),ABS($D2107-INDEX('AH History'!$C$1:$C$18046,$H2107))&lt;=MAX(0.005,ABS(INDEX('AH History'!$C$1:$C$18046,$H2107))*0.00005),ABS($E2107-INDEX('AH History'!$D$1:$D$18046,$H2107))&lt;=0.00005,$F2107=INDEX('AH History'!$E$1:$E$18046,$H2107),$G2107=INDEX('AH History'!$F$1:$F$18046,$H2107)),1,-1),-1))</ns0:f>
        <ns0:v/>
      </ns0:c>
    </ns0:row>
    <ns0:row r="2108">
      <ns0:c r="A2108" s="215">
        <ns0:f>IF(OR(AH!$P$3=0,2103+1&gt;AH!$P$11,AND(AH!$E$4&lt;&gt;"Stored",AH!$P$10&lt;&gt;1)),"",IFERROR(IF(AND(AH!$P$21=1,2103+1=AH!$P$11),TODAY(),IF(AH!$P$10=1,INDEX('Live History'!$A$5:$A$3004,AH!$P$13+2103),INDEX('AH History'!$A$1:$A$18046,AH!$P$7+2103))),""))</ns0:f>
        <ns0:v/>
      </ns0:c>
      <ns0:c r="B2108" s="219">
        <ns0:f>IFERROR(IF(AND(AH!$P$9&lt;&gt;1,$C2108&gt;0,$D2108&gt;0,$E2108&gt;0,$F2108&gt;0,$G2108&gt;0,$F2108&lt;=$A2108,$G2108&lt;=$A2108,$A2108-$F2108&lt;=10,$A2108-$G2108&lt;=5),$D2108*$E2108/$C2108-1,NA()),NA())</ns0:f>
        <ns0:v/>
      </ns0:c>
      <ns0:c r="C2108">
        <ns0:f>IFERROR(IF(ISNUMBER($A2108),IF(AND(AH!$P$10=1,AH!$P$12=1,$A2108=TODAY()),AH!$P$19,IF(AH!$P$10=1,INDEX('Live History'!$B$5:$B$3004,AH!$P$13+2103),INDEX('AH History'!$B$1:$B$18046,AH!$P$7+2103))),NA()),NA())</ns0:f>
        <ns0:v/>
      </ns0:c>
      <ns0:c r="D2108">
        <ns0:f>IFERROR(IF(ISNUMBER($A2108),IF(AND(AH!$P$10=1,AH!$P$12=1,$A2108=TODAY()),AH!$P$18,IF(AH!$P$10=1,INDEX('Live History'!$E$5:$E$3004,MATCH($A2108,'Live History'!$D$5:$D$3004,1)),INDEX('AH History'!$C$1:$C$18046,AH!$P$7+2103))),NA()),NA())</ns0:f>
        <ns0:v/>
      </ns0:c>
      <ns0:c r="E2108">
        <ns0:f>IFERROR(IF(ISNUMBER($A2108),IF(AND(AH!$P$10=1,AH!$P$12=1,$A2108=TODAY()),AH!$P$20,IF(AH!$P$10=1,INDEX('Live History'!$H$5:$H$3004,MATCH($A2108,'Live History'!$G$5:$G$3004,1)),INDEX('AH History'!$D$1:$D$18046,AH!$P$7+2103))),NA()),NA())</ns0:f>
        <ns0:v/>
      </ns0:c>
      <ns0:c r="F2108">
        <ns0:f>IFERROR(IF(ISNUMBER($A2108),IF(AND(AH!$P$10=1,AH!$P$12=1,$A2108=TODAY()),IF(AND(AH!$P$10=1,AH!$P$12=1,$A2108=TODAY()),TODAY(),NA()),IF(AH!$P$10=1,INDEX('Live History'!$D$5:$D$3004,MATCH($A2108,'Live History'!$D$5:$D$3004,1)),INDEX('AH History'!$E$1:$E$18046,AH!$P$7+2103))),NA()),NA())</ns0:f>
        <ns0:v/>
      </ns0:c>
      <ns0:c r="G2108">
        <ns0:f>IFERROR(IF(ISNUMBER($A2108),IF(AND(AH!$P$10=1,AH!$P$12=1,$A2108=TODAY()),IF(AND(AH!$P$10=1,AH!$P$12=1,$A2108=TODAY()),TODAY(),NA()),IF(AH!$P$10=1,INDEX('Live History'!$G$5:$G$3004,MATCH($A2108,'Live History'!$G$5:$G$3004,1)),INDEX('AH History'!$F$1:$F$18046,AH!$P$7+2103))),NA()),NA())</ns0:f>
        <ns0:v/>
      </ns0:c>
      <ns0:c r="H2108">
        <ns0:f>IFERROR(IF(AND(AH!$E$4="Bloomberg",AH!$P$10=1,ISNUMBER($A2108),$A2108&lt;=AH!$P$17),AH!$P$7-1+MATCH($A2108,INDEX('AH History'!$A$1:$A$18046,AH!$P$7):INDEX('AH History'!$A$1:$A$18046,AH!$P$7+AH!$P$8-1),0),0),0)</ns0:f>
        <ns0:v/>
      </ns0:c>
      <ns0:c r="I2108">
        <ns0:f>IF($H2108=0,0,IFERROR(IF(AND(ABS($C2108-INDEX('AH History'!$B$1:$B$18046,$H2108))&lt;=MAX(0.005,ABS(INDEX('AH History'!$B$1:$B$18046,$H2108))*0.00005),ABS($D2108-INDEX('AH History'!$C$1:$C$18046,$H2108))&lt;=MAX(0.005,ABS(INDEX('AH History'!$C$1:$C$18046,$H2108))*0.00005),ABS($E2108-INDEX('AH History'!$D$1:$D$18046,$H2108))&lt;=0.00005,$F2108=INDEX('AH History'!$E$1:$E$18046,$H2108),$G2108=INDEX('AH History'!$F$1:$F$18046,$H2108)),1,-1),-1))</ns0:f>
        <ns0:v/>
      </ns0:c>
    </ns0:row>
    <ns0:row r="2109">
      <ns0:c r="A2109" s="215">
        <ns0:f>IF(OR(AH!$P$3=0,2104+1&gt;AH!$P$11,AND(AH!$E$4&lt;&gt;"Stored",AH!$P$10&lt;&gt;1)),"",IFERROR(IF(AND(AH!$P$21=1,2104+1=AH!$P$11),TODAY(),IF(AH!$P$10=1,INDEX('Live History'!$A$5:$A$3004,AH!$P$13+2104),INDEX('AH History'!$A$1:$A$18046,AH!$P$7+2104))),""))</ns0:f>
        <ns0:v/>
      </ns0:c>
      <ns0:c r="B2109" s="219">
        <ns0:f>IFERROR(IF(AND(AH!$P$9&lt;&gt;1,$C2109&gt;0,$D2109&gt;0,$E2109&gt;0,$F2109&gt;0,$G2109&gt;0,$F2109&lt;=$A2109,$G2109&lt;=$A2109,$A2109-$F2109&lt;=10,$A2109-$G2109&lt;=5),$D2109*$E2109/$C2109-1,NA()),NA())</ns0:f>
        <ns0:v/>
      </ns0:c>
      <ns0:c r="C2109">
        <ns0:f>IFERROR(IF(ISNUMBER($A2109),IF(AND(AH!$P$10=1,AH!$P$12=1,$A2109=TODAY()),AH!$P$19,IF(AH!$P$10=1,INDEX('Live History'!$B$5:$B$3004,AH!$P$13+2104),INDEX('AH History'!$B$1:$B$18046,AH!$P$7+2104))),NA()),NA())</ns0:f>
        <ns0:v/>
      </ns0:c>
      <ns0:c r="D2109">
        <ns0:f>IFERROR(IF(ISNUMBER($A2109),IF(AND(AH!$P$10=1,AH!$P$12=1,$A2109=TODAY()),AH!$P$18,IF(AH!$P$10=1,INDEX('Live History'!$E$5:$E$3004,MATCH($A2109,'Live History'!$D$5:$D$3004,1)),INDEX('AH History'!$C$1:$C$18046,AH!$P$7+2104))),NA()),NA())</ns0:f>
        <ns0:v/>
      </ns0:c>
      <ns0:c r="E2109">
        <ns0:f>IFERROR(IF(ISNUMBER($A2109),IF(AND(AH!$P$10=1,AH!$P$12=1,$A2109=TODAY()),AH!$P$20,IF(AH!$P$10=1,INDEX('Live History'!$H$5:$H$3004,MATCH($A2109,'Live History'!$G$5:$G$3004,1)),INDEX('AH History'!$D$1:$D$18046,AH!$P$7+2104))),NA()),NA())</ns0:f>
        <ns0:v/>
      </ns0:c>
      <ns0:c r="F2109">
        <ns0:f>IFERROR(IF(ISNUMBER($A2109),IF(AND(AH!$P$10=1,AH!$P$12=1,$A2109=TODAY()),IF(AND(AH!$P$10=1,AH!$P$12=1,$A2109=TODAY()),TODAY(),NA()),IF(AH!$P$10=1,INDEX('Live History'!$D$5:$D$3004,MATCH($A2109,'Live History'!$D$5:$D$3004,1)),INDEX('AH History'!$E$1:$E$18046,AH!$P$7+2104))),NA()),NA())</ns0:f>
        <ns0:v/>
      </ns0:c>
      <ns0:c r="G2109">
        <ns0:f>IFERROR(IF(ISNUMBER($A2109),IF(AND(AH!$P$10=1,AH!$P$12=1,$A2109=TODAY()),IF(AND(AH!$P$10=1,AH!$P$12=1,$A2109=TODAY()),TODAY(),NA()),IF(AH!$P$10=1,INDEX('Live History'!$G$5:$G$3004,MATCH($A2109,'Live History'!$G$5:$G$3004,1)),INDEX('AH History'!$F$1:$F$18046,AH!$P$7+2104))),NA()),NA())</ns0:f>
        <ns0:v/>
      </ns0:c>
      <ns0:c r="H2109">
        <ns0:f>IFERROR(IF(AND(AH!$E$4="Bloomberg",AH!$P$10=1,ISNUMBER($A2109),$A2109&lt;=AH!$P$17),AH!$P$7-1+MATCH($A2109,INDEX('AH History'!$A$1:$A$18046,AH!$P$7):INDEX('AH History'!$A$1:$A$18046,AH!$P$7+AH!$P$8-1),0),0),0)</ns0:f>
        <ns0:v/>
      </ns0:c>
      <ns0:c r="I2109">
        <ns0:f>IF($H2109=0,0,IFERROR(IF(AND(ABS($C2109-INDEX('AH History'!$B$1:$B$18046,$H2109))&lt;=MAX(0.005,ABS(INDEX('AH History'!$B$1:$B$18046,$H2109))*0.00005),ABS($D2109-INDEX('AH History'!$C$1:$C$18046,$H2109))&lt;=MAX(0.005,ABS(INDEX('AH History'!$C$1:$C$18046,$H2109))*0.00005),ABS($E2109-INDEX('AH History'!$D$1:$D$18046,$H2109))&lt;=0.00005,$F2109=INDEX('AH History'!$E$1:$E$18046,$H2109),$G2109=INDEX('AH History'!$F$1:$F$18046,$H2109)),1,-1),-1))</ns0:f>
        <ns0:v/>
      </ns0:c>
    </ns0:row>
    <ns0:row r="2110">
      <ns0:c r="A2110" s="215">
        <ns0:f>IF(OR(AH!$P$3=0,2105+1&gt;AH!$P$11,AND(AH!$E$4&lt;&gt;"Stored",AH!$P$10&lt;&gt;1)),"",IFERROR(IF(AND(AH!$P$21=1,2105+1=AH!$P$11),TODAY(),IF(AH!$P$10=1,INDEX('Live History'!$A$5:$A$3004,AH!$P$13+2105),INDEX('AH History'!$A$1:$A$18046,AH!$P$7+2105))),""))</ns0:f>
        <ns0:v/>
      </ns0:c>
      <ns0:c r="B2110" s="219">
        <ns0:f>IFERROR(IF(AND(AH!$P$9&lt;&gt;1,$C2110&gt;0,$D2110&gt;0,$E2110&gt;0,$F2110&gt;0,$G2110&gt;0,$F2110&lt;=$A2110,$G2110&lt;=$A2110,$A2110-$F2110&lt;=10,$A2110-$G2110&lt;=5),$D2110*$E2110/$C2110-1,NA()),NA())</ns0:f>
        <ns0:v/>
      </ns0:c>
      <ns0:c r="C2110">
        <ns0:f>IFERROR(IF(ISNUMBER($A2110),IF(AND(AH!$P$10=1,AH!$P$12=1,$A2110=TODAY()),AH!$P$19,IF(AH!$P$10=1,INDEX('Live History'!$B$5:$B$3004,AH!$P$13+2105),INDEX('AH History'!$B$1:$B$18046,AH!$P$7+2105))),NA()),NA())</ns0:f>
        <ns0:v/>
      </ns0:c>
      <ns0:c r="D2110">
        <ns0:f>IFERROR(IF(ISNUMBER($A2110),IF(AND(AH!$P$10=1,AH!$P$12=1,$A2110=TODAY()),AH!$P$18,IF(AH!$P$10=1,INDEX('Live History'!$E$5:$E$3004,MATCH($A2110,'Live History'!$D$5:$D$3004,1)),INDEX('AH History'!$C$1:$C$18046,AH!$P$7+2105))),NA()),NA())</ns0:f>
        <ns0:v/>
      </ns0:c>
      <ns0:c r="E2110">
        <ns0:f>IFERROR(IF(ISNUMBER($A2110),IF(AND(AH!$P$10=1,AH!$P$12=1,$A2110=TODAY()),AH!$P$20,IF(AH!$P$10=1,INDEX('Live History'!$H$5:$H$3004,MATCH($A2110,'Live History'!$G$5:$G$3004,1)),INDEX('AH History'!$D$1:$D$18046,AH!$P$7+2105))),NA()),NA())</ns0:f>
        <ns0:v/>
      </ns0:c>
      <ns0:c r="F2110">
        <ns0:f>IFERROR(IF(ISNUMBER($A2110),IF(AND(AH!$P$10=1,AH!$P$12=1,$A2110=TODAY()),IF(AND(AH!$P$10=1,AH!$P$12=1,$A2110=TODAY()),TODAY(),NA()),IF(AH!$P$10=1,INDEX('Live History'!$D$5:$D$3004,MATCH($A2110,'Live History'!$D$5:$D$3004,1)),INDEX('AH History'!$E$1:$E$18046,AH!$P$7+2105))),NA()),NA())</ns0:f>
        <ns0:v/>
      </ns0:c>
      <ns0:c r="G2110">
        <ns0:f>IFERROR(IF(ISNUMBER($A2110),IF(AND(AH!$P$10=1,AH!$P$12=1,$A2110=TODAY()),IF(AND(AH!$P$10=1,AH!$P$12=1,$A2110=TODAY()),TODAY(),NA()),IF(AH!$P$10=1,INDEX('Live History'!$G$5:$G$3004,MATCH($A2110,'Live History'!$G$5:$G$3004,1)),INDEX('AH History'!$F$1:$F$18046,AH!$P$7+2105))),NA()),NA())</ns0:f>
        <ns0:v/>
      </ns0:c>
      <ns0:c r="H2110">
        <ns0:f>IFERROR(IF(AND(AH!$E$4="Bloomberg",AH!$P$10=1,ISNUMBER($A2110),$A2110&lt;=AH!$P$17),AH!$P$7-1+MATCH($A2110,INDEX('AH History'!$A$1:$A$18046,AH!$P$7):INDEX('AH History'!$A$1:$A$18046,AH!$P$7+AH!$P$8-1),0),0),0)</ns0:f>
        <ns0:v/>
      </ns0:c>
      <ns0:c r="I2110">
        <ns0:f>IF($H2110=0,0,IFERROR(IF(AND(ABS($C2110-INDEX('AH History'!$B$1:$B$18046,$H2110))&lt;=MAX(0.005,ABS(INDEX('AH History'!$B$1:$B$18046,$H2110))*0.00005),ABS($D2110-INDEX('AH History'!$C$1:$C$18046,$H2110))&lt;=MAX(0.005,ABS(INDEX('AH History'!$C$1:$C$18046,$H2110))*0.00005),ABS($E2110-INDEX('AH History'!$D$1:$D$18046,$H2110))&lt;=0.00005,$F2110=INDEX('AH History'!$E$1:$E$18046,$H2110),$G2110=INDEX('AH History'!$F$1:$F$18046,$H2110)),1,-1),-1))</ns0:f>
        <ns0:v/>
      </ns0:c>
    </ns0:row>
    <ns0:row r="2111">
      <ns0:c r="A2111" s="215">
        <ns0:f>IF(OR(AH!$P$3=0,2106+1&gt;AH!$P$11,AND(AH!$E$4&lt;&gt;"Stored",AH!$P$10&lt;&gt;1)),"",IFERROR(IF(AND(AH!$P$21=1,2106+1=AH!$P$11),TODAY(),IF(AH!$P$10=1,INDEX('Live History'!$A$5:$A$3004,AH!$P$13+2106),INDEX('AH History'!$A$1:$A$18046,AH!$P$7+2106))),""))</ns0:f>
        <ns0:v/>
      </ns0:c>
      <ns0:c r="B2111" s="219">
        <ns0:f>IFERROR(IF(AND(AH!$P$9&lt;&gt;1,$C2111&gt;0,$D2111&gt;0,$E2111&gt;0,$F2111&gt;0,$G2111&gt;0,$F2111&lt;=$A2111,$G2111&lt;=$A2111,$A2111-$F2111&lt;=10,$A2111-$G2111&lt;=5),$D2111*$E2111/$C2111-1,NA()),NA())</ns0:f>
        <ns0:v/>
      </ns0:c>
      <ns0:c r="C2111">
        <ns0:f>IFERROR(IF(ISNUMBER($A2111),IF(AND(AH!$P$10=1,AH!$P$12=1,$A2111=TODAY()),AH!$P$19,IF(AH!$P$10=1,INDEX('Live History'!$B$5:$B$3004,AH!$P$13+2106),INDEX('AH History'!$B$1:$B$18046,AH!$P$7+2106))),NA()),NA())</ns0:f>
        <ns0:v/>
      </ns0:c>
      <ns0:c r="D2111">
        <ns0:f>IFERROR(IF(ISNUMBER($A2111),IF(AND(AH!$P$10=1,AH!$P$12=1,$A2111=TODAY()),AH!$P$18,IF(AH!$P$10=1,INDEX('Live History'!$E$5:$E$3004,MATCH($A2111,'Live History'!$D$5:$D$3004,1)),INDEX('AH History'!$C$1:$C$18046,AH!$P$7+2106))),NA()),NA())</ns0:f>
        <ns0:v/>
      </ns0:c>
      <ns0:c r="E2111">
        <ns0:f>IFERROR(IF(ISNUMBER($A2111),IF(AND(AH!$P$10=1,AH!$P$12=1,$A2111=TODAY()),AH!$P$20,IF(AH!$P$10=1,INDEX('Live History'!$H$5:$H$3004,MATCH($A2111,'Live History'!$G$5:$G$3004,1)),INDEX('AH History'!$D$1:$D$18046,AH!$P$7+2106))),NA()),NA())</ns0:f>
        <ns0:v/>
      </ns0:c>
      <ns0:c r="F2111">
        <ns0:f>IFERROR(IF(ISNUMBER($A2111),IF(AND(AH!$P$10=1,AH!$P$12=1,$A2111=TODAY()),IF(AND(AH!$P$10=1,AH!$P$12=1,$A2111=TODAY()),TODAY(),NA()),IF(AH!$P$10=1,INDEX('Live History'!$D$5:$D$3004,MATCH($A2111,'Live History'!$D$5:$D$3004,1)),INDEX('AH History'!$E$1:$E$18046,AH!$P$7+2106))),NA()),NA())</ns0:f>
        <ns0:v/>
      </ns0:c>
      <ns0:c r="G2111">
        <ns0:f>IFERROR(IF(ISNUMBER($A2111),IF(AND(AH!$P$10=1,AH!$P$12=1,$A2111=TODAY()),IF(AND(AH!$P$10=1,AH!$P$12=1,$A2111=TODAY()),TODAY(),NA()),IF(AH!$P$10=1,INDEX('Live History'!$G$5:$G$3004,MATCH($A2111,'Live History'!$G$5:$G$3004,1)),INDEX('AH History'!$F$1:$F$18046,AH!$P$7+2106))),NA()),NA())</ns0:f>
        <ns0:v/>
      </ns0:c>
      <ns0:c r="H2111">
        <ns0:f>IFERROR(IF(AND(AH!$E$4="Bloomberg",AH!$P$10=1,ISNUMBER($A2111),$A2111&lt;=AH!$P$17),AH!$P$7-1+MATCH($A2111,INDEX('AH History'!$A$1:$A$18046,AH!$P$7):INDEX('AH History'!$A$1:$A$18046,AH!$P$7+AH!$P$8-1),0),0),0)</ns0:f>
        <ns0:v/>
      </ns0:c>
      <ns0:c r="I2111">
        <ns0:f>IF($H2111=0,0,IFERROR(IF(AND(ABS($C2111-INDEX('AH History'!$B$1:$B$18046,$H2111))&lt;=MAX(0.005,ABS(INDEX('AH History'!$B$1:$B$18046,$H2111))*0.00005),ABS($D2111-INDEX('AH History'!$C$1:$C$18046,$H2111))&lt;=MAX(0.005,ABS(INDEX('AH History'!$C$1:$C$18046,$H2111))*0.00005),ABS($E2111-INDEX('AH History'!$D$1:$D$18046,$H2111))&lt;=0.00005,$F2111=INDEX('AH History'!$E$1:$E$18046,$H2111),$G2111=INDEX('AH History'!$F$1:$F$18046,$H2111)),1,-1),-1))</ns0:f>
        <ns0:v/>
      </ns0:c>
    </ns0:row>
    <ns0:row r="2112">
      <ns0:c r="A2112" s="215">
        <ns0:f>IF(OR(AH!$P$3=0,2107+1&gt;AH!$P$11,AND(AH!$E$4&lt;&gt;"Stored",AH!$P$10&lt;&gt;1)),"",IFERROR(IF(AND(AH!$P$21=1,2107+1=AH!$P$11),TODAY(),IF(AH!$P$10=1,INDEX('Live History'!$A$5:$A$3004,AH!$P$13+2107),INDEX('AH History'!$A$1:$A$18046,AH!$P$7+2107))),""))</ns0:f>
        <ns0:v/>
      </ns0:c>
      <ns0:c r="B2112" s="219">
        <ns0:f>IFERROR(IF(AND(AH!$P$9&lt;&gt;1,$C2112&gt;0,$D2112&gt;0,$E2112&gt;0,$F2112&gt;0,$G2112&gt;0,$F2112&lt;=$A2112,$G2112&lt;=$A2112,$A2112-$F2112&lt;=10,$A2112-$G2112&lt;=5),$D2112*$E2112/$C2112-1,NA()),NA())</ns0:f>
        <ns0:v/>
      </ns0:c>
      <ns0:c r="C2112">
        <ns0:f>IFERROR(IF(ISNUMBER($A2112),IF(AND(AH!$P$10=1,AH!$P$12=1,$A2112=TODAY()),AH!$P$19,IF(AH!$P$10=1,INDEX('Live History'!$B$5:$B$3004,AH!$P$13+2107),INDEX('AH History'!$B$1:$B$18046,AH!$P$7+2107))),NA()),NA())</ns0:f>
        <ns0:v/>
      </ns0:c>
      <ns0:c r="D2112">
        <ns0:f>IFERROR(IF(ISNUMBER($A2112),IF(AND(AH!$P$10=1,AH!$P$12=1,$A2112=TODAY()),AH!$P$18,IF(AH!$P$10=1,INDEX('Live History'!$E$5:$E$3004,MATCH($A2112,'Live History'!$D$5:$D$3004,1)),INDEX('AH History'!$C$1:$C$18046,AH!$P$7+2107))),NA()),NA())</ns0:f>
        <ns0:v/>
      </ns0:c>
      <ns0:c r="E2112">
        <ns0:f>IFERROR(IF(ISNUMBER($A2112),IF(AND(AH!$P$10=1,AH!$P$12=1,$A2112=TODAY()),AH!$P$20,IF(AH!$P$10=1,INDEX('Live History'!$H$5:$H$3004,MATCH($A2112,'Live History'!$G$5:$G$3004,1)),INDEX('AH History'!$D$1:$D$18046,AH!$P$7+2107))),NA()),NA())</ns0:f>
        <ns0:v/>
      </ns0:c>
      <ns0:c r="F2112">
        <ns0:f>IFERROR(IF(ISNUMBER($A2112),IF(AND(AH!$P$10=1,AH!$P$12=1,$A2112=TODAY()),IF(AND(AH!$P$10=1,AH!$P$12=1,$A2112=TODAY()),TODAY(),NA()),IF(AH!$P$10=1,INDEX('Live History'!$D$5:$D$3004,MATCH($A2112,'Live History'!$D$5:$D$3004,1)),INDEX('AH History'!$E$1:$E$18046,AH!$P$7+2107))),NA()),NA())</ns0:f>
        <ns0:v/>
      </ns0:c>
      <ns0:c r="G2112">
        <ns0:f>IFERROR(IF(ISNUMBER($A2112),IF(AND(AH!$P$10=1,AH!$P$12=1,$A2112=TODAY()),IF(AND(AH!$P$10=1,AH!$P$12=1,$A2112=TODAY()),TODAY(),NA()),IF(AH!$P$10=1,INDEX('Live History'!$G$5:$G$3004,MATCH($A2112,'Live History'!$G$5:$G$3004,1)),INDEX('AH History'!$F$1:$F$18046,AH!$P$7+2107))),NA()),NA())</ns0:f>
        <ns0:v/>
      </ns0:c>
      <ns0:c r="H2112">
        <ns0:f>IFERROR(IF(AND(AH!$E$4="Bloomberg",AH!$P$10=1,ISNUMBER($A2112),$A2112&lt;=AH!$P$17),AH!$P$7-1+MATCH($A2112,INDEX('AH History'!$A$1:$A$18046,AH!$P$7):INDEX('AH History'!$A$1:$A$18046,AH!$P$7+AH!$P$8-1),0),0),0)</ns0:f>
        <ns0:v/>
      </ns0:c>
      <ns0:c r="I2112">
        <ns0:f>IF($H2112=0,0,IFERROR(IF(AND(ABS($C2112-INDEX('AH History'!$B$1:$B$18046,$H2112))&lt;=MAX(0.005,ABS(INDEX('AH History'!$B$1:$B$18046,$H2112))*0.00005),ABS($D2112-INDEX('AH History'!$C$1:$C$18046,$H2112))&lt;=MAX(0.005,ABS(INDEX('AH History'!$C$1:$C$18046,$H2112))*0.00005),ABS($E2112-INDEX('AH History'!$D$1:$D$18046,$H2112))&lt;=0.00005,$F2112=INDEX('AH History'!$E$1:$E$18046,$H2112),$G2112=INDEX('AH History'!$F$1:$F$18046,$H2112)),1,-1),-1))</ns0:f>
        <ns0:v/>
      </ns0:c>
    </ns0:row>
    <ns0:row r="2113">
      <ns0:c r="A2113" s="215">
        <ns0:f>IF(OR(AH!$P$3=0,2108+1&gt;AH!$P$11,AND(AH!$E$4&lt;&gt;"Stored",AH!$P$10&lt;&gt;1)),"",IFERROR(IF(AND(AH!$P$21=1,2108+1=AH!$P$11),TODAY(),IF(AH!$P$10=1,INDEX('Live History'!$A$5:$A$3004,AH!$P$13+2108),INDEX('AH History'!$A$1:$A$18046,AH!$P$7+2108))),""))</ns0:f>
        <ns0:v/>
      </ns0:c>
      <ns0:c r="B2113" s="219">
        <ns0:f>IFERROR(IF(AND(AH!$P$9&lt;&gt;1,$C2113&gt;0,$D2113&gt;0,$E2113&gt;0,$F2113&gt;0,$G2113&gt;0,$F2113&lt;=$A2113,$G2113&lt;=$A2113,$A2113-$F2113&lt;=10,$A2113-$G2113&lt;=5),$D2113*$E2113/$C2113-1,NA()),NA())</ns0:f>
        <ns0:v/>
      </ns0:c>
      <ns0:c r="C2113">
        <ns0:f>IFERROR(IF(ISNUMBER($A2113),IF(AND(AH!$P$10=1,AH!$P$12=1,$A2113=TODAY()),AH!$P$19,IF(AH!$P$10=1,INDEX('Live History'!$B$5:$B$3004,AH!$P$13+2108),INDEX('AH History'!$B$1:$B$18046,AH!$P$7+2108))),NA()),NA())</ns0:f>
        <ns0:v/>
      </ns0:c>
      <ns0:c r="D2113">
        <ns0:f>IFERROR(IF(ISNUMBER($A2113),IF(AND(AH!$P$10=1,AH!$P$12=1,$A2113=TODAY()),AH!$P$18,IF(AH!$P$10=1,INDEX('Live History'!$E$5:$E$3004,MATCH($A2113,'Live History'!$D$5:$D$3004,1)),INDEX('AH History'!$C$1:$C$18046,AH!$P$7+2108))),NA()),NA())</ns0:f>
        <ns0:v/>
      </ns0:c>
      <ns0:c r="E2113">
        <ns0:f>IFERROR(IF(ISNUMBER($A2113),IF(AND(AH!$P$10=1,AH!$P$12=1,$A2113=TODAY()),AH!$P$20,IF(AH!$P$10=1,INDEX('Live History'!$H$5:$H$3004,MATCH($A2113,'Live History'!$G$5:$G$3004,1)),INDEX('AH History'!$D$1:$D$18046,AH!$P$7+2108))),NA()),NA())</ns0:f>
        <ns0:v/>
      </ns0:c>
      <ns0:c r="F2113">
        <ns0:f>IFERROR(IF(ISNUMBER($A2113),IF(AND(AH!$P$10=1,AH!$P$12=1,$A2113=TODAY()),IF(AND(AH!$P$10=1,AH!$P$12=1,$A2113=TODAY()),TODAY(),NA()),IF(AH!$P$10=1,INDEX('Live History'!$D$5:$D$3004,MATCH($A2113,'Live History'!$D$5:$D$3004,1)),INDEX('AH History'!$E$1:$E$18046,AH!$P$7+2108))),NA()),NA())</ns0:f>
        <ns0:v/>
      </ns0:c>
      <ns0:c r="G2113">
        <ns0:f>IFERROR(IF(ISNUMBER($A2113),IF(AND(AH!$P$10=1,AH!$P$12=1,$A2113=TODAY()),IF(AND(AH!$P$10=1,AH!$P$12=1,$A2113=TODAY()),TODAY(),NA()),IF(AH!$P$10=1,INDEX('Live History'!$G$5:$G$3004,MATCH($A2113,'Live History'!$G$5:$G$3004,1)),INDEX('AH History'!$F$1:$F$18046,AH!$P$7+2108))),NA()),NA())</ns0:f>
        <ns0:v/>
      </ns0:c>
      <ns0:c r="H2113">
        <ns0:f>IFERROR(IF(AND(AH!$E$4="Bloomberg",AH!$P$10=1,ISNUMBER($A2113),$A2113&lt;=AH!$P$17),AH!$P$7-1+MATCH($A2113,INDEX('AH History'!$A$1:$A$18046,AH!$P$7):INDEX('AH History'!$A$1:$A$18046,AH!$P$7+AH!$P$8-1),0),0),0)</ns0:f>
        <ns0:v/>
      </ns0:c>
      <ns0:c r="I2113">
        <ns0:f>IF($H2113=0,0,IFERROR(IF(AND(ABS($C2113-INDEX('AH History'!$B$1:$B$18046,$H2113))&lt;=MAX(0.005,ABS(INDEX('AH History'!$B$1:$B$18046,$H2113))*0.00005),ABS($D2113-INDEX('AH History'!$C$1:$C$18046,$H2113))&lt;=MAX(0.005,ABS(INDEX('AH History'!$C$1:$C$18046,$H2113))*0.00005),ABS($E2113-INDEX('AH History'!$D$1:$D$18046,$H2113))&lt;=0.00005,$F2113=INDEX('AH History'!$E$1:$E$18046,$H2113),$G2113=INDEX('AH History'!$F$1:$F$18046,$H2113)),1,-1),-1))</ns0:f>
        <ns0:v/>
      </ns0:c>
    </ns0:row>
    <ns0:row r="2114">
      <ns0:c r="A2114" s="215">
        <ns0:f>IF(OR(AH!$P$3=0,2109+1&gt;AH!$P$11,AND(AH!$E$4&lt;&gt;"Stored",AH!$P$10&lt;&gt;1)),"",IFERROR(IF(AND(AH!$P$21=1,2109+1=AH!$P$11),TODAY(),IF(AH!$P$10=1,INDEX('Live History'!$A$5:$A$3004,AH!$P$13+2109),INDEX('AH History'!$A$1:$A$18046,AH!$P$7+2109))),""))</ns0:f>
        <ns0:v/>
      </ns0:c>
      <ns0:c r="B2114" s="219">
        <ns0:f>IFERROR(IF(AND(AH!$P$9&lt;&gt;1,$C2114&gt;0,$D2114&gt;0,$E2114&gt;0,$F2114&gt;0,$G2114&gt;0,$F2114&lt;=$A2114,$G2114&lt;=$A2114,$A2114-$F2114&lt;=10,$A2114-$G2114&lt;=5),$D2114*$E2114/$C2114-1,NA()),NA())</ns0:f>
        <ns0:v/>
      </ns0:c>
      <ns0:c r="C2114">
        <ns0:f>IFERROR(IF(ISNUMBER($A2114),IF(AND(AH!$P$10=1,AH!$P$12=1,$A2114=TODAY()),AH!$P$19,IF(AH!$P$10=1,INDEX('Live History'!$B$5:$B$3004,AH!$P$13+2109),INDEX('AH History'!$B$1:$B$18046,AH!$P$7+2109))),NA()),NA())</ns0:f>
        <ns0:v/>
      </ns0:c>
      <ns0:c r="D2114">
        <ns0:f>IFERROR(IF(ISNUMBER($A2114),IF(AND(AH!$P$10=1,AH!$P$12=1,$A2114=TODAY()),AH!$P$18,IF(AH!$P$10=1,INDEX('Live History'!$E$5:$E$3004,MATCH($A2114,'Live History'!$D$5:$D$3004,1)),INDEX('AH History'!$C$1:$C$18046,AH!$P$7+2109))),NA()),NA())</ns0:f>
        <ns0:v/>
      </ns0:c>
      <ns0:c r="E2114">
        <ns0:f>IFERROR(IF(ISNUMBER($A2114),IF(AND(AH!$P$10=1,AH!$P$12=1,$A2114=TODAY()),AH!$P$20,IF(AH!$P$10=1,INDEX('Live History'!$H$5:$H$3004,MATCH($A2114,'Live History'!$G$5:$G$3004,1)),INDEX('AH History'!$D$1:$D$18046,AH!$P$7+2109))),NA()),NA())</ns0:f>
        <ns0:v/>
      </ns0:c>
      <ns0:c r="F2114">
        <ns0:f>IFERROR(IF(ISNUMBER($A2114),IF(AND(AH!$P$10=1,AH!$P$12=1,$A2114=TODAY()),IF(AND(AH!$P$10=1,AH!$P$12=1,$A2114=TODAY()),TODAY(),NA()),IF(AH!$P$10=1,INDEX('Live History'!$D$5:$D$3004,MATCH($A2114,'Live History'!$D$5:$D$3004,1)),INDEX('AH History'!$E$1:$E$18046,AH!$P$7+2109))),NA()),NA())</ns0:f>
        <ns0:v/>
      </ns0:c>
      <ns0:c r="G2114">
        <ns0:f>IFERROR(IF(ISNUMBER($A2114),IF(AND(AH!$P$10=1,AH!$P$12=1,$A2114=TODAY()),IF(AND(AH!$P$10=1,AH!$P$12=1,$A2114=TODAY()),TODAY(),NA()),IF(AH!$P$10=1,INDEX('Live History'!$G$5:$G$3004,MATCH($A2114,'Live History'!$G$5:$G$3004,1)),INDEX('AH History'!$F$1:$F$18046,AH!$P$7+2109))),NA()),NA())</ns0:f>
        <ns0:v/>
      </ns0:c>
      <ns0:c r="H2114">
        <ns0:f>IFERROR(IF(AND(AH!$E$4="Bloomberg",AH!$P$10=1,ISNUMBER($A2114),$A2114&lt;=AH!$P$17),AH!$P$7-1+MATCH($A2114,INDEX('AH History'!$A$1:$A$18046,AH!$P$7):INDEX('AH History'!$A$1:$A$18046,AH!$P$7+AH!$P$8-1),0),0),0)</ns0:f>
        <ns0:v/>
      </ns0:c>
      <ns0:c r="I2114">
        <ns0:f>IF($H2114=0,0,IFERROR(IF(AND(ABS($C2114-INDEX('AH History'!$B$1:$B$18046,$H2114))&lt;=MAX(0.005,ABS(INDEX('AH History'!$B$1:$B$18046,$H2114))*0.00005),ABS($D2114-INDEX('AH History'!$C$1:$C$18046,$H2114))&lt;=MAX(0.005,ABS(INDEX('AH History'!$C$1:$C$18046,$H2114))*0.00005),ABS($E2114-INDEX('AH History'!$D$1:$D$18046,$H2114))&lt;=0.00005,$F2114=INDEX('AH History'!$E$1:$E$18046,$H2114),$G2114=INDEX('AH History'!$F$1:$F$18046,$H2114)),1,-1),-1))</ns0:f>
        <ns0:v/>
      </ns0:c>
    </ns0:row>
    <ns0:row r="2115">
      <ns0:c r="A2115" s="215">
        <ns0:f>IF(OR(AH!$P$3=0,2110+1&gt;AH!$P$11,AND(AH!$E$4&lt;&gt;"Stored",AH!$P$10&lt;&gt;1)),"",IFERROR(IF(AND(AH!$P$21=1,2110+1=AH!$P$11),TODAY(),IF(AH!$P$10=1,INDEX('Live History'!$A$5:$A$3004,AH!$P$13+2110),INDEX('AH History'!$A$1:$A$18046,AH!$P$7+2110))),""))</ns0:f>
        <ns0:v/>
      </ns0:c>
      <ns0:c r="B2115" s="219">
        <ns0:f>IFERROR(IF(AND(AH!$P$9&lt;&gt;1,$C2115&gt;0,$D2115&gt;0,$E2115&gt;0,$F2115&gt;0,$G2115&gt;0,$F2115&lt;=$A2115,$G2115&lt;=$A2115,$A2115-$F2115&lt;=10,$A2115-$G2115&lt;=5),$D2115*$E2115/$C2115-1,NA()),NA())</ns0:f>
        <ns0:v/>
      </ns0:c>
      <ns0:c r="C2115">
        <ns0:f>IFERROR(IF(ISNUMBER($A2115),IF(AND(AH!$P$10=1,AH!$P$12=1,$A2115=TODAY()),AH!$P$19,IF(AH!$P$10=1,INDEX('Live History'!$B$5:$B$3004,AH!$P$13+2110),INDEX('AH History'!$B$1:$B$18046,AH!$P$7+2110))),NA()),NA())</ns0:f>
        <ns0:v/>
      </ns0:c>
      <ns0:c r="D2115">
        <ns0:f>IFERROR(IF(ISNUMBER($A2115),IF(AND(AH!$P$10=1,AH!$P$12=1,$A2115=TODAY()),AH!$P$18,IF(AH!$P$10=1,INDEX('Live History'!$E$5:$E$3004,MATCH($A2115,'Live History'!$D$5:$D$3004,1)),INDEX('AH History'!$C$1:$C$18046,AH!$P$7+2110))),NA()),NA())</ns0:f>
        <ns0:v/>
      </ns0:c>
      <ns0:c r="E2115">
        <ns0:f>IFERROR(IF(ISNUMBER($A2115),IF(AND(AH!$P$10=1,AH!$P$12=1,$A2115=TODAY()),AH!$P$20,IF(AH!$P$10=1,INDEX('Live History'!$H$5:$H$3004,MATCH($A2115,'Live History'!$G$5:$G$3004,1)),INDEX('AH History'!$D$1:$D$18046,AH!$P$7+2110))),NA()),NA())</ns0:f>
        <ns0:v/>
      </ns0:c>
      <ns0:c r="F2115">
        <ns0:f>IFERROR(IF(ISNUMBER($A2115),IF(AND(AH!$P$10=1,AH!$P$12=1,$A2115=TODAY()),IF(AND(AH!$P$10=1,AH!$P$12=1,$A2115=TODAY()),TODAY(),NA()),IF(AH!$P$10=1,INDEX('Live History'!$D$5:$D$3004,MATCH($A2115,'Live History'!$D$5:$D$3004,1)),INDEX('AH History'!$E$1:$E$18046,AH!$P$7+2110))),NA()),NA())</ns0:f>
        <ns0:v/>
      </ns0:c>
      <ns0:c r="G2115">
        <ns0:f>IFERROR(IF(ISNUMBER($A2115),IF(AND(AH!$P$10=1,AH!$P$12=1,$A2115=TODAY()),IF(AND(AH!$P$10=1,AH!$P$12=1,$A2115=TODAY()),TODAY(),NA()),IF(AH!$P$10=1,INDEX('Live History'!$G$5:$G$3004,MATCH($A2115,'Live History'!$G$5:$G$3004,1)),INDEX('AH History'!$F$1:$F$18046,AH!$P$7+2110))),NA()),NA())</ns0:f>
        <ns0:v/>
      </ns0:c>
      <ns0:c r="H2115">
        <ns0:f>IFERROR(IF(AND(AH!$E$4="Bloomberg",AH!$P$10=1,ISNUMBER($A2115),$A2115&lt;=AH!$P$17),AH!$P$7-1+MATCH($A2115,INDEX('AH History'!$A$1:$A$18046,AH!$P$7):INDEX('AH History'!$A$1:$A$18046,AH!$P$7+AH!$P$8-1),0),0),0)</ns0:f>
        <ns0:v/>
      </ns0:c>
      <ns0:c r="I2115">
        <ns0:f>IF($H2115=0,0,IFERROR(IF(AND(ABS($C2115-INDEX('AH History'!$B$1:$B$18046,$H2115))&lt;=MAX(0.005,ABS(INDEX('AH History'!$B$1:$B$18046,$H2115))*0.00005),ABS($D2115-INDEX('AH History'!$C$1:$C$18046,$H2115))&lt;=MAX(0.005,ABS(INDEX('AH History'!$C$1:$C$18046,$H2115))*0.00005),ABS($E2115-INDEX('AH History'!$D$1:$D$18046,$H2115))&lt;=0.00005,$F2115=INDEX('AH History'!$E$1:$E$18046,$H2115),$G2115=INDEX('AH History'!$F$1:$F$18046,$H2115)),1,-1),-1))</ns0:f>
        <ns0:v/>
      </ns0:c>
    </ns0:row>
    <ns0:row r="2116">
      <ns0:c r="A2116" s="215">
        <ns0:f>IF(OR(AH!$P$3=0,2111+1&gt;AH!$P$11,AND(AH!$E$4&lt;&gt;"Stored",AH!$P$10&lt;&gt;1)),"",IFERROR(IF(AND(AH!$P$21=1,2111+1=AH!$P$11),TODAY(),IF(AH!$P$10=1,INDEX('Live History'!$A$5:$A$3004,AH!$P$13+2111),INDEX('AH History'!$A$1:$A$18046,AH!$P$7+2111))),""))</ns0:f>
        <ns0:v/>
      </ns0:c>
      <ns0:c r="B2116" s="219">
        <ns0:f>IFERROR(IF(AND(AH!$P$9&lt;&gt;1,$C2116&gt;0,$D2116&gt;0,$E2116&gt;0,$F2116&gt;0,$G2116&gt;0,$F2116&lt;=$A2116,$G2116&lt;=$A2116,$A2116-$F2116&lt;=10,$A2116-$G2116&lt;=5),$D2116*$E2116/$C2116-1,NA()),NA())</ns0:f>
        <ns0:v/>
      </ns0:c>
      <ns0:c r="C2116">
        <ns0:f>IFERROR(IF(ISNUMBER($A2116),IF(AND(AH!$P$10=1,AH!$P$12=1,$A2116=TODAY()),AH!$P$19,IF(AH!$P$10=1,INDEX('Live History'!$B$5:$B$3004,AH!$P$13+2111),INDEX('AH History'!$B$1:$B$18046,AH!$P$7+2111))),NA()),NA())</ns0:f>
        <ns0:v/>
      </ns0:c>
      <ns0:c r="D2116">
        <ns0:f>IFERROR(IF(ISNUMBER($A2116),IF(AND(AH!$P$10=1,AH!$P$12=1,$A2116=TODAY()),AH!$P$18,IF(AH!$P$10=1,INDEX('Live History'!$E$5:$E$3004,MATCH($A2116,'Live History'!$D$5:$D$3004,1)),INDEX('AH History'!$C$1:$C$18046,AH!$P$7+2111))),NA()),NA())</ns0:f>
        <ns0:v/>
      </ns0:c>
      <ns0:c r="E2116">
        <ns0:f>IFERROR(IF(ISNUMBER($A2116),IF(AND(AH!$P$10=1,AH!$P$12=1,$A2116=TODAY()),AH!$P$20,IF(AH!$P$10=1,INDEX('Live History'!$H$5:$H$3004,MATCH($A2116,'Live History'!$G$5:$G$3004,1)),INDEX('AH History'!$D$1:$D$18046,AH!$P$7+2111))),NA()),NA())</ns0:f>
        <ns0:v/>
      </ns0:c>
      <ns0:c r="F2116">
        <ns0:f>IFERROR(IF(ISNUMBER($A2116),IF(AND(AH!$P$10=1,AH!$P$12=1,$A2116=TODAY()),IF(AND(AH!$P$10=1,AH!$P$12=1,$A2116=TODAY()),TODAY(),NA()),IF(AH!$P$10=1,INDEX('Live History'!$D$5:$D$3004,MATCH($A2116,'Live History'!$D$5:$D$3004,1)),INDEX('AH History'!$E$1:$E$18046,AH!$P$7+2111))),NA()),NA())</ns0:f>
        <ns0:v/>
      </ns0:c>
      <ns0:c r="G2116">
        <ns0:f>IFERROR(IF(ISNUMBER($A2116),IF(AND(AH!$P$10=1,AH!$P$12=1,$A2116=TODAY()),IF(AND(AH!$P$10=1,AH!$P$12=1,$A2116=TODAY()),TODAY(),NA()),IF(AH!$P$10=1,INDEX('Live History'!$G$5:$G$3004,MATCH($A2116,'Live History'!$G$5:$G$3004,1)),INDEX('AH History'!$F$1:$F$18046,AH!$P$7+2111))),NA()),NA())</ns0:f>
        <ns0:v/>
      </ns0:c>
      <ns0:c r="H2116">
        <ns0:f>IFERROR(IF(AND(AH!$E$4="Bloomberg",AH!$P$10=1,ISNUMBER($A2116),$A2116&lt;=AH!$P$17),AH!$P$7-1+MATCH($A2116,INDEX('AH History'!$A$1:$A$18046,AH!$P$7):INDEX('AH History'!$A$1:$A$18046,AH!$P$7+AH!$P$8-1),0),0),0)</ns0:f>
        <ns0:v/>
      </ns0:c>
      <ns0:c r="I2116">
        <ns0:f>IF($H2116=0,0,IFERROR(IF(AND(ABS($C2116-INDEX('AH History'!$B$1:$B$18046,$H2116))&lt;=MAX(0.005,ABS(INDEX('AH History'!$B$1:$B$18046,$H2116))*0.00005),ABS($D2116-INDEX('AH History'!$C$1:$C$18046,$H2116))&lt;=MAX(0.005,ABS(INDEX('AH History'!$C$1:$C$18046,$H2116))*0.00005),ABS($E2116-INDEX('AH History'!$D$1:$D$18046,$H2116))&lt;=0.00005,$F2116=INDEX('AH History'!$E$1:$E$18046,$H2116),$G2116=INDEX('AH History'!$F$1:$F$18046,$H2116)),1,-1),-1))</ns0:f>
        <ns0:v/>
      </ns0:c>
    </ns0:row>
    <ns0:row r="2117">
      <ns0:c r="A2117" s="215">
        <ns0:f>IF(OR(AH!$P$3=0,2112+1&gt;AH!$P$11,AND(AH!$E$4&lt;&gt;"Stored",AH!$P$10&lt;&gt;1)),"",IFERROR(IF(AND(AH!$P$21=1,2112+1=AH!$P$11),TODAY(),IF(AH!$P$10=1,INDEX('Live History'!$A$5:$A$3004,AH!$P$13+2112),INDEX('AH History'!$A$1:$A$18046,AH!$P$7+2112))),""))</ns0:f>
        <ns0:v/>
      </ns0:c>
      <ns0:c r="B2117" s="219">
        <ns0:f>IFERROR(IF(AND(AH!$P$9&lt;&gt;1,$C2117&gt;0,$D2117&gt;0,$E2117&gt;0,$F2117&gt;0,$G2117&gt;0,$F2117&lt;=$A2117,$G2117&lt;=$A2117,$A2117-$F2117&lt;=10,$A2117-$G2117&lt;=5),$D2117*$E2117/$C2117-1,NA()),NA())</ns0:f>
        <ns0:v/>
      </ns0:c>
      <ns0:c r="C2117">
        <ns0:f>IFERROR(IF(ISNUMBER($A2117),IF(AND(AH!$P$10=1,AH!$P$12=1,$A2117=TODAY()),AH!$P$19,IF(AH!$P$10=1,INDEX('Live History'!$B$5:$B$3004,AH!$P$13+2112),INDEX('AH History'!$B$1:$B$18046,AH!$P$7+2112))),NA()),NA())</ns0:f>
        <ns0:v/>
      </ns0:c>
      <ns0:c r="D2117">
        <ns0:f>IFERROR(IF(ISNUMBER($A2117),IF(AND(AH!$P$10=1,AH!$P$12=1,$A2117=TODAY()),AH!$P$18,IF(AH!$P$10=1,INDEX('Live History'!$E$5:$E$3004,MATCH($A2117,'Live History'!$D$5:$D$3004,1)),INDEX('AH History'!$C$1:$C$18046,AH!$P$7+2112))),NA()),NA())</ns0:f>
        <ns0:v/>
      </ns0:c>
      <ns0:c r="E2117">
        <ns0:f>IFERROR(IF(ISNUMBER($A2117),IF(AND(AH!$P$10=1,AH!$P$12=1,$A2117=TODAY()),AH!$P$20,IF(AH!$P$10=1,INDEX('Live History'!$H$5:$H$3004,MATCH($A2117,'Live History'!$G$5:$G$3004,1)),INDEX('AH History'!$D$1:$D$18046,AH!$P$7+2112))),NA()),NA())</ns0:f>
        <ns0:v/>
      </ns0:c>
      <ns0:c r="F2117">
        <ns0:f>IFERROR(IF(ISNUMBER($A2117),IF(AND(AH!$P$10=1,AH!$P$12=1,$A2117=TODAY()),IF(AND(AH!$P$10=1,AH!$P$12=1,$A2117=TODAY()),TODAY(),NA()),IF(AH!$P$10=1,INDEX('Live History'!$D$5:$D$3004,MATCH($A2117,'Live History'!$D$5:$D$3004,1)),INDEX('AH History'!$E$1:$E$18046,AH!$P$7+2112))),NA()),NA())</ns0:f>
        <ns0:v/>
      </ns0:c>
      <ns0:c r="G2117">
        <ns0:f>IFERROR(IF(ISNUMBER($A2117),IF(AND(AH!$P$10=1,AH!$P$12=1,$A2117=TODAY()),IF(AND(AH!$P$10=1,AH!$P$12=1,$A2117=TODAY()),TODAY(),NA()),IF(AH!$P$10=1,INDEX('Live History'!$G$5:$G$3004,MATCH($A2117,'Live History'!$G$5:$G$3004,1)),INDEX('AH History'!$F$1:$F$18046,AH!$P$7+2112))),NA()),NA())</ns0:f>
        <ns0:v/>
      </ns0:c>
      <ns0:c r="H2117">
        <ns0:f>IFERROR(IF(AND(AH!$E$4="Bloomberg",AH!$P$10=1,ISNUMBER($A2117),$A2117&lt;=AH!$P$17),AH!$P$7-1+MATCH($A2117,INDEX('AH History'!$A$1:$A$18046,AH!$P$7):INDEX('AH History'!$A$1:$A$18046,AH!$P$7+AH!$P$8-1),0),0),0)</ns0:f>
        <ns0:v/>
      </ns0:c>
      <ns0:c r="I2117">
        <ns0:f>IF($H2117=0,0,IFERROR(IF(AND(ABS($C2117-INDEX('AH History'!$B$1:$B$18046,$H2117))&lt;=MAX(0.005,ABS(INDEX('AH History'!$B$1:$B$18046,$H2117))*0.00005),ABS($D2117-INDEX('AH History'!$C$1:$C$18046,$H2117))&lt;=MAX(0.005,ABS(INDEX('AH History'!$C$1:$C$18046,$H2117))*0.00005),ABS($E2117-INDEX('AH History'!$D$1:$D$18046,$H2117))&lt;=0.00005,$F2117=INDEX('AH History'!$E$1:$E$18046,$H2117),$G2117=INDEX('AH History'!$F$1:$F$18046,$H2117)),1,-1),-1))</ns0:f>
        <ns0:v/>
      </ns0:c>
    </ns0:row>
    <ns0:row r="2118">
      <ns0:c r="A2118" s="215">
        <ns0:f>IF(OR(AH!$P$3=0,2113+1&gt;AH!$P$11,AND(AH!$E$4&lt;&gt;"Stored",AH!$P$10&lt;&gt;1)),"",IFERROR(IF(AND(AH!$P$21=1,2113+1=AH!$P$11),TODAY(),IF(AH!$P$10=1,INDEX('Live History'!$A$5:$A$3004,AH!$P$13+2113),INDEX('AH History'!$A$1:$A$18046,AH!$P$7+2113))),""))</ns0:f>
        <ns0:v/>
      </ns0:c>
      <ns0:c r="B2118" s="219">
        <ns0:f>IFERROR(IF(AND(AH!$P$9&lt;&gt;1,$C2118&gt;0,$D2118&gt;0,$E2118&gt;0,$F2118&gt;0,$G2118&gt;0,$F2118&lt;=$A2118,$G2118&lt;=$A2118,$A2118-$F2118&lt;=10,$A2118-$G2118&lt;=5),$D2118*$E2118/$C2118-1,NA()),NA())</ns0:f>
        <ns0:v/>
      </ns0:c>
      <ns0:c r="C2118">
        <ns0:f>IFERROR(IF(ISNUMBER($A2118),IF(AND(AH!$P$10=1,AH!$P$12=1,$A2118=TODAY()),AH!$P$19,IF(AH!$P$10=1,INDEX('Live History'!$B$5:$B$3004,AH!$P$13+2113),INDEX('AH History'!$B$1:$B$18046,AH!$P$7+2113))),NA()),NA())</ns0:f>
        <ns0:v/>
      </ns0:c>
      <ns0:c r="D2118">
        <ns0:f>IFERROR(IF(ISNUMBER($A2118),IF(AND(AH!$P$10=1,AH!$P$12=1,$A2118=TODAY()),AH!$P$18,IF(AH!$P$10=1,INDEX('Live History'!$E$5:$E$3004,MATCH($A2118,'Live History'!$D$5:$D$3004,1)),INDEX('AH History'!$C$1:$C$18046,AH!$P$7+2113))),NA()),NA())</ns0:f>
        <ns0:v/>
      </ns0:c>
      <ns0:c r="E2118">
        <ns0:f>IFERROR(IF(ISNUMBER($A2118),IF(AND(AH!$P$10=1,AH!$P$12=1,$A2118=TODAY()),AH!$P$20,IF(AH!$P$10=1,INDEX('Live History'!$H$5:$H$3004,MATCH($A2118,'Live History'!$G$5:$G$3004,1)),INDEX('AH History'!$D$1:$D$18046,AH!$P$7+2113))),NA()),NA())</ns0:f>
        <ns0:v/>
      </ns0:c>
      <ns0:c r="F2118">
        <ns0:f>IFERROR(IF(ISNUMBER($A2118),IF(AND(AH!$P$10=1,AH!$P$12=1,$A2118=TODAY()),IF(AND(AH!$P$10=1,AH!$P$12=1,$A2118=TODAY()),TODAY(),NA()),IF(AH!$P$10=1,INDEX('Live History'!$D$5:$D$3004,MATCH($A2118,'Live History'!$D$5:$D$3004,1)),INDEX('AH History'!$E$1:$E$18046,AH!$P$7+2113))),NA()),NA())</ns0:f>
        <ns0:v/>
      </ns0:c>
      <ns0:c r="G2118">
        <ns0:f>IFERROR(IF(ISNUMBER($A2118),IF(AND(AH!$P$10=1,AH!$P$12=1,$A2118=TODAY()),IF(AND(AH!$P$10=1,AH!$P$12=1,$A2118=TODAY()),TODAY(),NA()),IF(AH!$P$10=1,INDEX('Live History'!$G$5:$G$3004,MATCH($A2118,'Live History'!$G$5:$G$3004,1)),INDEX('AH History'!$F$1:$F$18046,AH!$P$7+2113))),NA()),NA())</ns0:f>
        <ns0:v/>
      </ns0:c>
      <ns0:c r="H2118">
        <ns0:f>IFERROR(IF(AND(AH!$E$4="Bloomberg",AH!$P$10=1,ISNUMBER($A2118),$A2118&lt;=AH!$P$17),AH!$P$7-1+MATCH($A2118,INDEX('AH History'!$A$1:$A$18046,AH!$P$7):INDEX('AH History'!$A$1:$A$18046,AH!$P$7+AH!$P$8-1),0),0),0)</ns0:f>
        <ns0:v/>
      </ns0:c>
      <ns0:c r="I2118">
        <ns0:f>IF($H2118=0,0,IFERROR(IF(AND(ABS($C2118-INDEX('AH History'!$B$1:$B$18046,$H2118))&lt;=MAX(0.005,ABS(INDEX('AH History'!$B$1:$B$18046,$H2118))*0.00005),ABS($D2118-INDEX('AH History'!$C$1:$C$18046,$H2118))&lt;=MAX(0.005,ABS(INDEX('AH History'!$C$1:$C$18046,$H2118))*0.00005),ABS($E2118-INDEX('AH History'!$D$1:$D$18046,$H2118))&lt;=0.00005,$F2118=INDEX('AH History'!$E$1:$E$18046,$H2118),$G2118=INDEX('AH History'!$F$1:$F$18046,$H2118)),1,-1),-1))</ns0:f>
        <ns0:v/>
      </ns0:c>
    </ns0:row>
    <ns0:row r="2119">
      <ns0:c r="A2119" s="215">
        <ns0:f>IF(OR(AH!$P$3=0,2114+1&gt;AH!$P$11,AND(AH!$E$4&lt;&gt;"Stored",AH!$P$10&lt;&gt;1)),"",IFERROR(IF(AND(AH!$P$21=1,2114+1=AH!$P$11),TODAY(),IF(AH!$P$10=1,INDEX('Live History'!$A$5:$A$3004,AH!$P$13+2114),INDEX('AH History'!$A$1:$A$18046,AH!$P$7+2114))),""))</ns0:f>
        <ns0:v/>
      </ns0:c>
      <ns0:c r="B2119" s="219">
        <ns0:f>IFERROR(IF(AND(AH!$P$9&lt;&gt;1,$C2119&gt;0,$D2119&gt;0,$E2119&gt;0,$F2119&gt;0,$G2119&gt;0,$F2119&lt;=$A2119,$G2119&lt;=$A2119,$A2119-$F2119&lt;=10,$A2119-$G2119&lt;=5),$D2119*$E2119/$C2119-1,NA()),NA())</ns0:f>
        <ns0:v/>
      </ns0:c>
      <ns0:c r="C2119">
        <ns0:f>IFERROR(IF(ISNUMBER($A2119),IF(AND(AH!$P$10=1,AH!$P$12=1,$A2119=TODAY()),AH!$P$19,IF(AH!$P$10=1,INDEX('Live History'!$B$5:$B$3004,AH!$P$13+2114),INDEX('AH History'!$B$1:$B$18046,AH!$P$7+2114))),NA()),NA())</ns0:f>
        <ns0:v/>
      </ns0:c>
      <ns0:c r="D2119">
        <ns0:f>IFERROR(IF(ISNUMBER($A2119),IF(AND(AH!$P$10=1,AH!$P$12=1,$A2119=TODAY()),AH!$P$18,IF(AH!$P$10=1,INDEX('Live History'!$E$5:$E$3004,MATCH($A2119,'Live History'!$D$5:$D$3004,1)),INDEX('AH History'!$C$1:$C$18046,AH!$P$7+2114))),NA()),NA())</ns0:f>
        <ns0:v/>
      </ns0:c>
      <ns0:c r="E2119">
        <ns0:f>IFERROR(IF(ISNUMBER($A2119),IF(AND(AH!$P$10=1,AH!$P$12=1,$A2119=TODAY()),AH!$P$20,IF(AH!$P$10=1,INDEX('Live History'!$H$5:$H$3004,MATCH($A2119,'Live History'!$G$5:$G$3004,1)),INDEX('AH History'!$D$1:$D$18046,AH!$P$7+2114))),NA()),NA())</ns0:f>
        <ns0:v/>
      </ns0:c>
      <ns0:c r="F2119">
        <ns0:f>IFERROR(IF(ISNUMBER($A2119),IF(AND(AH!$P$10=1,AH!$P$12=1,$A2119=TODAY()),IF(AND(AH!$P$10=1,AH!$P$12=1,$A2119=TODAY()),TODAY(),NA()),IF(AH!$P$10=1,INDEX('Live History'!$D$5:$D$3004,MATCH($A2119,'Live History'!$D$5:$D$3004,1)),INDEX('AH History'!$E$1:$E$18046,AH!$P$7+2114))),NA()),NA())</ns0:f>
        <ns0:v/>
      </ns0:c>
      <ns0:c r="G2119">
        <ns0:f>IFERROR(IF(ISNUMBER($A2119),IF(AND(AH!$P$10=1,AH!$P$12=1,$A2119=TODAY()),IF(AND(AH!$P$10=1,AH!$P$12=1,$A2119=TODAY()),TODAY(),NA()),IF(AH!$P$10=1,INDEX('Live History'!$G$5:$G$3004,MATCH($A2119,'Live History'!$G$5:$G$3004,1)),INDEX('AH History'!$F$1:$F$18046,AH!$P$7+2114))),NA()),NA())</ns0:f>
        <ns0:v/>
      </ns0:c>
      <ns0:c r="H2119">
        <ns0:f>IFERROR(IF(AND(AH!$E$4="Bloomberg",AH!$P$10=1,ISNUMBER($A2119),$A2119&lt;=AH!$P$17),AH!$P$7-1+MATCH($A2119,INDEX('AH History'!$A$1:$A$18046,AH!$P$7):INDEX('AH History'!$A$1:$A$18046,AH!$P$7+AH!$P$8-1),0),0),0)</ns0:f>
        <ns0:v/>
      </ns0:c>
      <ns0:c r="I2119">
        <ns0:f>IF($H2119=0,0,IFERROR(IF(AND(ABS($C2119-INDEX('AH History'!$B$1:$B$18046,$H2119))&lt;=MAX(0.005,ABS(INDEX('AH History'!$B$1:$B$18046,$H2119))*0.00005),ABS($D2119-INDEX('AH History'!$C$1:$C$18046,$H2119))&lt;=MAX(0.005,ABS(INDEX('AH History'!$C$1:$C$18046,$H2119))*0.00005),ABS($E2119-INDEX('AH History'!$D$1:$D$18046,$H2119))&lt;=0.00005,$F2119=INDEX('AH History'!$E$1:$E$18046,$H2119),$G2119=INDEX('AH History'!$F$1:$F$18046,$H2119)),1,-1),-1))</ns0:f>
        <ns0:v/>
      </ns0:c>
    </ns0:row>
    <ns0:row r="2120">
      <ns0:c r="A2120" s="215">
        <ns0:f>IF(OR(AH!$P$3=0,2115+1&gt;AH!$P$11,AND(AH!$E$4&lt;&gt;"Stored",AH!$P$10&lt;&gt;1)),"",IFERROR(IF(AND(AH!$P$21=1,2115+1=AH!$P$11),TODAY(),IF(AH!$P$10=1,INDEX('Live History'!$A$5:$A$3004,AH!$P$13+2115),INDEX('AH History'!$A$1:$A$18046,AH!$P$7+2115))),""))</ns0:f>
        <ns0:v/>
      </ns0:c>
      <ns0:c r="B2120" s="219">
        <ns0:f>IFERROR(IF(AND(AH!$P$9&lt;&gt;1,$C2120&gt;0,$D2120&gt;0,$E2120&gt;0,$F2120&gt;0,$G2120&gt;0,$F2120&lt;=$A2120,$G2120&lt;=$A2120,$A2120-$F2120&lt;=10,$A2120-$G2120&lt;=5),$D2120*$E2120/$C2120-1,NA()),NA())</ns0:f>
        <ns0:v/>
      </ns0:c>
      <ns0:c r="C2120">
        <ns0:f>IFERROR(IF(ISNUMBER($A2120),IF(AND(AH!$P$10=1,AH!$P$12=1,$A2120=TODAY()),AH!$P$19,IF(AH!$P$10=1,INDEX('Live History'!$B$5:$B$3004,AH!$P$13+2115),INDEX('AH History'!$B$1:$B$18046,AH!$P$7+2115))),NA()),NA())</ns0:f>
        <ns0:v/>
      </ns0:c>
      <ns0:c r="D2120">
        <ns0:f>IFERROR(IF(ISNUMBER($A2120),IF(AND(AH!$P$10=1,AH!$P$12=1,$A2120=TODAY()),AH!$P$18,IF(AH!$P$10=1,INDEX('Live History'!$E$5:$E$3004,MATCH($A2120,'Live History'!$D$5:$D$3004,1)),INDEX('AH History'!$C$1:$C$18046,AH!$P$7+2115))),NA()),NA())</ns0:f>
        <ns0:v/>
      </ns0:c>
      <ns0:c r="E2120">
        <ns0:f>IFERROR(IF(ISNUMBER($A2120),IF(AND(AH!$P$10=1,AH!$P$12=1,$A2120=TODAY()),AH!$P$20,IF(AH!$P$10=1,INDEX('Live History'!$H$5:$H$3004,MATCH($A2120,'Live History'!$G$5:$G$3004,1)),INDEX('AH History'!$D$1:$D$18046,AH!$P$7+2115))),NA()),NA())</ns0:f>
        <ns0:v/>
      </ns0:c>
      <ns0:c r="F2120">
        <ns0:f>IFERROR(IF(ISNUMBER($A2120),IF(AND(AH!$P$10=1,AH!$P$12=1,$A2120=TODAY()),IF(AND(AH!$P$10=1,AH!$P$12=1,$A2120=TODAY()),TODAY(),NA()),IF(AH!$P$10=1,INDEX('Live History'!$D$5:$D$3004,MATCH($A2120,'Live History'!$D$5:$D$3004,1)),INDEX('AH History'!$E$1:$E$18046,AH!$P$7+2115))),NA()),NA())</ns0:f>
        <ns0:v/>
      </ns0:c>
      <ns0:c r="G2120">
        <ns0:f>IFERROR(IF(ISNUMBER($A2120),IF(AND(AH!$P$10=1,AH!$P$12=1,$A2120=TODAY()),IF(AND(AH!$P$10=1,AH!$P$12=1,$A2120=TODAY()),TODAY(),NA()),IF(AH!$P$10=1,INDEX('Live History'!$G$5:$G$3004,MATCH($A2120,'Live History'!$G$5:$G$3004,1)),INDEX('AH History'!$F$1:$F$18046,AH!$P$7+2115))),NA()),NA())</ns0:f>
        <ns0:v/>
      </ns0:c>
      <ns0:c r="H2120">
        <ns0:f>IFERROR(IF(AND(AH!$E$4="Bloomberg",AH!$P$10=1,ISNUMBER($A2120),$A2120&lt;=AH!$P$17),AH!$P$7-1+MATCH($A2120,INDEX('AH History'!$A$1:$A$18046,AH!$P$7):INDEX('AH History'!$A$1:$A$18046,AH!$P$7+AH!$P$8-1),0),0),0)</ns0:f>
        <ns0:v/>
      </ns0:c>
      <ns0:c r="I2120">
        <ns0:f>IF($H2120=0,0,IFERROR(IF(AND(ABS($C2120-INDEX('AH History'!$B$1:$B$18046,$H2120))&lt;=MAX(0.005,ABS(INDEX('AH History'!$B$1:$B$18046,$H2120))*0.00005),ABS($D2120-INDEX('AH History'!$C$1:$C$18046,$H2120))&lt;=MAX(0.005,ABS(INDEX('AH History'!$C$1:$C$18046,$H2120))*0.00005),ABS($E2120-INDEX('AH History'!$D$1:$D$18046,$H2120))&lt;=0.00005,$F2120=INDEX('AH History'!$E$1:$E$18046,$H2120),$G2120=INDEX('AH History'!$F$1:$F$18046,$H2120)),1,-1),-1))</ns0:f>
        <ns0:v/>
      </ns0:c>
    </ns0:row>
    <ns0:row r="2121">
      <ns0:c r="A2121" s="215">
        <ns0:f>IF(OR(AH!$P$3=0,2116+1&gt;AH!$P$11,AND(AH!$E$4&lt;&gt;"Stored",AH!$P$10&lt;&gt;1)),"",IFERROR(IF(AND(AH!$P$21=1,2116+1=AH!$P$11),TODAY(),IF(AH!$P$10=1,INDEX('Live History'!$A$5:$A$3004,AH!$P$13+2116),INDEX('AH History'!$A$1:$A$18046,AH!$P$7+2116))),""))</ns0:f>
        <ns0:v/>
      </ns0:c>
      <ns0:c r="B2121" s="219">
        <ns0:f>IFERROR(IF(AND(AH!$P$9&lt;&gt;1,$C2121&gt;0,$D2121&gt;0,$E2121&gt;0,$F2121&gt;0,$G2121&gt;0,$F2121&lt;=$A2121,$G2121&lt;=$A2121,$A2121-$F2121&lt;=10,$A2121-$G2121&lt;=5),$D2121*$E2121/$C2121-1,NA()),NA())</ns0:f>
        <ns0:v/>
      </ns0:c>
      <ns0:c r="C2121">
        <ns0:f>IFERROR(IF(ISNUMBER($A2121),IF(AND(AH!$P$10=1,AH!$P$12=1,$A2121=TODAY()),AH!$P$19,IF(AH!$P$10=1,INDEX('Live History'!$B$5:$B$3004,AH!$P$13+2116),INDEX('AH History'!$B$1:$B$18046,AH!$P$7+2116))),NA()),NA())</ns0:f>
        <ns0:v/>
      </ns0:c>
      <ns0:c r="D2121">
        <ns0:f>IFERROR(IF(ISNUMBER($A2121),IF(AND(AH!$P$10=1,AH!$P$12=1,$A2121=TODAY()),AH!$P$18,IF(AH!$P$10=1,INDEX('Live History'!$E$5:$E$3004,MATCH($A2121,'Live History'!$D$5:$D$3004,1)),INDEX('AH History'!$C$1:$C$18046,AH!$P$7+2116))),NA()),NA())</ns0:f>
        <ns0:v/>
      </ns0:c>
      <ns0:c r="E2121">
        <ns0:f>IFERROR(IF(ISNUMBER($A2121),IF(AND(AH!$P$10=1,AH!$P$12=1,$A2121=TODAY()),AH!$P$20,IF(AH!$P$10=1,INDEX('Live History'!$H$5:$H$3004,MATCH($A2121,'Live History'!$G$5:$G$3004,1)),INDEX('AH History'!$D$1:$D$18046,AH!$P$7+2116))),NA()),NA())</ns0:f>
        <ns0:v/>
      </ns0:c>
      <ns0:c r="F2121">
        <ns0:f>IFERROR(IF(ISNUMBER($A2121),IF(AND(AH!$P$10=1,AH!$P$12=1,$A2121=TODAY()),IF(AND(AH!$P$10=1,AH!$P$12=1,$A2121=TODAY()),TODAY(),NA()),IF(AH!$P$10=1,INDEX('Live History'!$D$5:$D$3004,MATCH($A2121,'Live History'!$D$5:$D$3004,1)),INDEX('AH History'!$E$1:$E$18046,AH!$P$7+2116))),NA()),NA())</ns0:f>
        <ns0:v/>
      </ns0:c>
      <ns0:c r="G2121">
        <ns0:f>IFERROR(IF(ISNUMBER($A2121),IF(AND(AH!$P$10=1,AH!$P$12=1,$A2121=TODAY()),IF(AND(AH!$P$10=1,AH!$P$12=1,$A2121=TODAY()),TODAY(),NA()),IF(AH!$P$10=1,INDEX('Live History'!$G$5:$G$3004,MATCH($A2121,'Live History'!$G$5:$G$3004,1)),INDEX('AH History'!$F$1:$F$18046,AH!$P$7+2116))),NA()),NA())</ns0:f>
        <ns0:v/>
      </ns0:c>
      <ns0:c r="H2121">
        <ns0:f>IFERROR(IF(AND(AH!$E$4="Bloomberg",AH!$P$10=1,ISNUMBER($A2121),$A2121&lt;=AH!$P$17),AH!$P$7-1+MATCH($A2121,INDEX('AH History'!$A$1:$A$18046,AH!$P$7):INDEX('AH History'!$A$1:$A$18046,AH!$P$7+AH!$P$8-1),0),0),0)</ns0:f>
        <ns0:v/>
      </ns0:c>
      <ns0:c r="I2121">
        <ns0:f>IF($H2121=0,0,IFERROR(IF(AND(ABS($C2121-INDEX('AH History'!$B$1:$B$18046,$H2121))&lt;=MAX(0.005,ABS(INDEX('AH History'!$B$1:$B$18046,$H2121))*0.00005),ABS($D2121-INDEX('AH History'!$C$1:$C$18046,$H2121))&lt;=MAX(0.005,ABS(INDEX('AH History'!$C$1:$C$18046,$H2121))*0.00005),ABS($E2121-INDEX('AH History'!$D$1:$D$18046,$H2121))&lt;=0.00005,$F2121=INDEX('AH History'!$E$1:$E$18046,$H2121),$G2121=INDEX('AH History'!$F$1:$F$18046,$H2121)),1,-1),-1))</ns0:f>
        <ns0:v/>
      </ns0:c>
    </ns0:row>
    <ns0:row r="2122">
      <ns0:c r="A2122" s="215">
        <ns0:f>IF(OR(AH!$P$3=0,2117+1&gt;AH!$P$11,AND(AH!$E$4&lt;&gt;"Stored",AH!$P$10&lt;&gt;1)),"",IFERROR(IF(AND(AH!$P$21=1,2117+1=AH!$P$11),TODAY(),IF(AH!$P$10=1,INDEX('Live History'!$A$5:$A$3004,AH!$P$13+2117),INDEX('AH History'!$A$1:$A$18046,AH!$P$7+2117))),""))</ns0:f>
        <ns0:v/>
      </ns0:c>
      <ns0:c r="B2122" s="219">
        <ns0:f>IFERROR(IF(AND(AH!$P$9&lt;&gt;1,$C2122&gt;0,$D2122&gt;0,$E2122&gt;0,$F2122&gt;0,$G2122&gt;0,$F2122&lt;=$A2122,$G2122&lt;=$A2122,$A2122-$F2122&lt;=10,$A2122-$G2122&lt;=5),$D2122*$E2122/$C2122-1,NA()),NA())</ns0:f>
        <ns0:v/>
      </ns0:c>
      <ns0:c r="C2122">
        <ns0:f>IFERROR(IF(ISNUMBER($A2122),IF(AND(AH!$P$10=1,AH!$P$12=1,$A2122=TODAY()),AH!$P$19,IF(AH!$P$10=1,INDEX('Live History'!$B$5:$B$3004,AH!$P$13+2117),INDEX('AH History'!$B$1:$B$18046,AH!$P$7+2117))),NA()),NA())</ns0:f>
        <ns0:v/>
      </ns0:c>
      <ns0:c r="D2122">
        <ns0:f>IFERROR(IF(ISNUMBER($A2122),IF(AND(AH!$P$10=1,AH!$P$12=1,$A2122=TODAY()),AH!$P$18,IF(AH!$P$10=1,INDEX('Live History'!$E$5:$E$3004,MATCH($A2122,'Live History'!$D$5:$D$3004,1)),INDEX('AH History'!$C$1:$C$18046,AH!$P$7+2117))),NA()),NA())</ns0:f>
        <ns0:v/>
      </ns0:c>
      <ns0:c r="E2122">
        <ns0:f>IFERROR(IF(ISNUMBER($A2122),IF(AND(AH!$P$10=1,AH!$P$12=1,$A2122=TODAY()),AH!$P$20,IF(AH!$P$10=1,INDEX('Live History'!$H$5:$H$3004,MATCH($A2122,'Live History'!$G$5:$G$3004,1)),INDEX('AH History'!$D$1:$D$18046,AH!$P$7+2117))),NA()),NA())</ns0:f>
        <ns0:v/>
      </ns0:c>
      <ns0:c r="F2122">
        <ns0:f>IFERROR(IF(ISNUMBER($A2122),IF(AND(AH!$P$10=1,AH!$P$12=1,$A2122=TODAY()),IF(AND(AH!$P$10=1,AH!$P$12=1,$A2122=TODAY()),TODAY(),NA()),IF(AH!$P$10=1,INDEX('Live History'!$D$5:$D$3004,MATCH($A2122,'Live History'!$D$5:$D$3004,1)),INDEX('AH History'!$E$1:$E$18046,AH!$P$7+2117))),NA()),NA())</ns0:f>
        <ns0:v/>
      </ns0:c>
      <ns0:c r="G2122">
        <ns0:f>IFERROR(IF(ISNUMBER($A2122),IF(AND(AH!$P$10=1,AH!$P$12=1,$A2122=TODAY()),IF(AND(AH!$P$10=1,AH!$P$12=1,$A2122=TODAY()),TODAY(),NA()),IF(AH!$P$10=1,INDEX('Live History'!$G$5:$G$3004,MATCH($A2122,'Live History'!$G$5:$G$3004,1)),INDEX('AH History'!$F$1:$F$18046,AH!$P$7+2117))),NA()),NA())</ns0:f>
        <ns0:v/>
      </ns0:c>
      <ns0:c r="H2122">
        <ns0:f>IFERROR(IF(AND(AH!$E$4="Bloomberg",AH!$P$10=1,ISNUMBER($A2122),$A2122&lt;=AH!$P$17),AH!$P$7-1+MATCH($A2122,INDEX('AH History'!$A$1:$A$18046,AH!$P$7):INDEX('AH History'!$A$1:$A$18046,AH!$P$7+AH!$P$8-1),0),0),0)</ns0:f>
        <ns0:v/>
      </ns0:c>
      <ns0:c r="I2122">
        <ns0:f>IF($H2122=0,0,IFERROR(IF(AND(ABS($C2122-INDEX('AH History'!$B$1:$B$18046,$H2122))&lt;=MAX(0.005,ABS(INDEX('AH History'!$B$1:$B$18046,$H2122))*0.00005),ABS($D2122-INDEX('AH History'!$C$1:$C$18046,$H2122))&lt;=MAX(0.005,ABS(INDEX('AH History'!$C$1:$C$18046,$H2122))*0.00005),ABS($E2122-INDEX('AH History'!$D$1:$D$18046,$H2122))&lt;=0.00005,$F2122=INDEX('AH History'!$E$1:$E$18046,$H2122),$G2122=INDEX('AH History'!$F$1:$F$18046,$H2122)),1,-1),-1))</ns0:f>
        <ns0:v/>
      </ns0:c>
    </ns0:row>
    <ns0:row r="2123">
      <ns0:c r="A2123" s="215">
        <ns0:f>IF(OR(AH!$P$3=0,2118+1&gt;AH!$P$11,AND(AH!$E$4&lt;&gt;"Stored",AH!$P$10&lt;&gt;1)),"",IFERROR(IF(AND(AH!$P$21=1,2118+1=AH!$P$11),TODAY(),IF(AH!$P$10=1,INDEX('Live History'!$A$5:$A$3004,AH!$P$13+2118),INDEX('AH History'!$A$1:$A$18046,AH!$P$7+2118))),""))</ns0:f>
        <ns0:v/>
      </ns0:c>
      <ns0:c r="B2123" s="219">
        <ns0:f>IFERROR(IF(AND(AH!$P$9&lt;&gt;1,$C2123&gt;0,$D2123&gt;0,$E2123&gt;0,$F2123&gt;0,$G2123&gt;0,$F2123&lt;=$A2123,$G2123&lt;=$A2123,$A2123-$F2123&lt;=10,$A2123-$G2123&lt;=5),$D2123*$E2123/$C2123-1,NA()),NA())</ns0:f>
        <ns0:v/>
      </ns0:c>
      <ns0:c r="C2123">
        <ns0:f>IFERROR(IF(ISNUMBER($A2123),IF(AND(AH!$P$10=1,AH!$P$12=1,$A2123=TODAY()),AH!$P$19,IF(AH!$P$10=1,INDEX('Live History'!$B$5:$B$3004,AH!$P$13+2118),INDEX('AH History'!$B$1:$B$18046,AH!$P$7+2118))),NA()),NA())</ns0:f>
        <ns0:v/>
      </ns0:c>
      <ns0:c r="D2123">
        <ns0:f>IFERROR(IF(ISNUMBER($A2123),IF(AND(AH!$P$10=1,AH!$P$12=1,$A2123=TODAY()),AH!$P$18,IF(AH!$P$10=1,INDEX('Live History'!$E$5:$E$3004,MATCH($A2123,'Live History'!$D$5:$D$3004,1)),INDEX('AH History'!$C$1:$C$18046,AH!$P$7+2118))),NA()),NA())</ns0:f>
        <ns0:v/>
      </ns0:c>
      <ns0:c r="E2123">
        <ns0:f>IFERROR(IF(ISNUMBER($A2123),IF(AND(AH!$P$10=1,AH!$P$12=1,$A2123=TODAY()),AH!$P$20,IF(AH!$P$10=1,INDEX('Live History'!$H$5:$H$3004,MATCH($A2123,'Live History'!$G$5:$G$3004,1)),INDEX('AH History'!$D$1:$D$18046,AH!$P$7+2118))),NA()),NA())</ns0:f>
        <ns0:v/>
      </ns0:c>
      <ns0:c r="F2123">
        <ns0:f>IFERROR(IF(ISNUMBER($A2123),IF(AND(AH!$P$10=1,AH!$P$12=1,$A2123=TODAY()),IF(AND(AH!$P$10=1,AH!$P$12=1,$A2123=TODAY()),TODAY(),NA()),IF(AH!$P$10=1,INDEX('Live History'!$D$5:$D$3004,MATCH($A2123,'Live History'!$D$5:$D$3004,1)),INDEX('AH History'!$E$1:$E$18046,AH!$P$7+2118))),NA()),NA())</ns0:f>
        <ns0:v/>
      </ns0:c>
      <ns0:c r="G2123">
        <ns0:f>IFERROR(IF(ISNUMBER($A2123),IF(AND(AH!$P$10=1,AH!$P$12=1,$A2123=TODAY()),IF(AND(AH!$P$10=1,AH!$P$12=1,$A2123=TODAY()),TODAY(),NA()),IF(AH!$P$10=1,INDEX('Live History'!$G$5:$G$3004,MATCH($A2123,'Live History'!$G$5:$G$3004,1)),INDEX('AH History'!$F$1:$F$18046,AH!$P$7+2118))),NA()),NA())</ns0:f>
        <ns0:v/>
      </ns0:c>
      <ns0:c r="H2123">
        <ns0:f>IFERROR(IF(AND(AH!$E$4="Bloomberg",AH!$P$10=1,ISNUMBER($A2123),$A2123&lt;=AH!$P$17),AH!$P$7-1+MATCH($A2123,INDEX('AH History'!$A$1:$A$18046,AH!$P$7):INDEX('AH History'!$A$1:$A$18046,AH!$P$7+AH!$P$8-1),0),0),0)</ns0:f>
        <ns0:v/>
      </ns0:c>
      <ns0:c r="I2123">
        <ns0:f>IF($H2123=0,0,IFERROR(IF(AND(ABS($C2123-INDEX('AH History'!$B$1:$B$18046,$H2123))&lt;=MAX(0.005,ABS(INDEX('AH History'!$B$1:$B$18046,$H2123))*0.00005),ABS($D2123-INDEX('AH History'!$C$1:$C$18046,$H2123))&lt;=MAX(0.005,ABS(INDEX('AH History'!$C$1:$C$18046,$H2123))*0.00005),ABS($E2123-INDEX('AH History'!$D$1:$D$18046,$H2123))&lt;=0.00005,$F2123=INDEX('AH History'!$E$1:$E$18046,$H2123),$G2123=INDEX('AH History'!$F$1:$F$18046,$H2123)),1,-1),-1))</ns0:f>
        <ns0:v/>
      </ns0:c>
    </ns0:row>
    <ns0:row r="2124">
      <ns0:c r="A2124" s="215">
        <ns0:f>IF(OR(AH!$P$3=0,2119+1&gt;AH!$P$11,AND(AH!$E$4&lt;&gt;"Stored",AH!$P$10&lt;&gt;1)),"",IFERROR(IF(AND(AH!$P$21=1,2119+1=AH!$P$11),TODAY(),IF(AH!$P$10=1,INDEX('Live History'!$A$5:$A$3004,AH!$P$13+2119),INDEX('AH History'!$A$1:$A$18046,AH!$P$7+2119))),""))</ns0:f>
        <ns0:v/>
      </ns0:c>
      <ns0:c r="B2124" s="219">
        <ns0:f>IFERROR(IF(AND(AH!$P$9&lt;&gt;1,$C2124&gt;0,$D2124&gt;0,$E2124&gt;0,$F2124&gt;0,$G2124&gt;0,$F2124&lt;=$A2124,$G2124&lt;=$A2124,$A2124-$F2124&lt;=10,$A2124-$G2124&lt;=5),$D2124*$E2124/$C2124-1,NA()),NA())</ns0:f>
        <ns0:v/>
      </ns0:c>
      <ns0:c r="C2124">
        <ns0:f>IFERROR(IF(ISNUMBER($A2124),IF(AND(AH!$P$10=1,AH!$P$12=1,$A2124=TODAY()),AH!$P$19,IF(AH!$P$10=1,INDEX('Live History'!$B$5:$B$3004,AH!$P$13+2119),INDEX('AH History'!$B$1:$B$18046,AH!$P$7+2119))),NA()),NA())</ns0:f>
        <ns0:v/>
      </ns0:c>
      <ns0:c r="D2124">
        <ns0:f>IFERROR(IF(ISNUMBER($A2124),IF(AND(AH!$P$10=1,AH!$P$12=1,$A2124=TODAY()),AH!$P$18,IF(AH!$P$10=1,INDEX('Live History'!$E$5:$E$3004,MATCH($A2124,'Live History'!$D$5:$D$3004,1)),INDEX('AH History'!$C$1:$C$18046,AH!$P$7+2119))),NA()),NA())</ns0:f>
        <ns0:v/>
      </ns0:c>
      <ns0:c r="E2124">
        <ns0:f>IFERROR(IF(ISNUMBER($A2124),IF(AND(AH!$P$10=1,AH!$P$12=1,$A2124=TODAY()),AH!$P$20,IF(AH!$P$10=1,INDEX('Live History'!$H$5:$H$3004,MATCH($A2124,'Live History'!$G$5:$G$3004,1)),INDEX('AH History'!$D$1:$D$18046,AH!$P$7+2119))),NA()),NA())</ns0:f>
        <ns0:v/>
      </ns0:c>
      <ns0:c r="F2124">
        <ns0:f>IFERROR(IF(ISNUMBER($A2124),IF(AND(AH!$P$10=1,AH!$P$12=1,$A2124=TODAY()),IF(AND(AH!$P$10=1,AH!$P$12=1,$A2124=TODAY()),TODAY(),NA()),IF(AH!$P$10=1,INDEX('Live History'!$D$5:$D$3004,MATCH($A2124,'Live History'!$D$5:$D$3004,1)),INDEX('AH History'!$E$1:$E$18046,AH!$P$7+2119))),NA()),NA())</ns0:f>
        <ns0:v/>
      </ns0:c>
      <ns0:c r="G2124">
        <ns0:f>IFERROR(IF(ISNUMBER($A2124),IF(AND(AH!$P$10=1,AH!$P$12=1,$A2124=TODAY()),IF(AND(AH!$P$10=1,AH!$P$12=1,$A2124=TODAY()),TODAY(),NA()),IF(AH!$P$10=1,INDEX('Live History'!$G$5:$G$3004,MATCH($A2124,'Live History'!$G$5:$G$3004,1)),INDEX('AH History'!$F$1:$F$18046,AH!$P$7+2119))),NA()),NA())</ns0:f>
        <ns0:v/>
      </ns0:c>
      <ns0:c r="H2124">
        <ns0:f>IFERROR(IF(AND(AH!$E$4="Bloomberg",AH!$P$10=1,ISNUMBER($A2124),$A2124&lt;=AH!$P$17),AH!$P$7-1+MATCH($A2124,INDEX('AH History'!$A$1:$A$18046,AH!$P$7):INDEX('AH History'!$A$1:$A$18046,AH!$P$7+AH!$P$8-1),0),0),0)</ns0:f>
        <ns0:v/>
      </ns0:c>
      <ns0:c r="I2124">
        <ns0:f>IF($H2124=0,0,IFERROR(IF(AND(ABS($C2124-INDEX('AH History'!$B$1:$B$18046,$H2124))&lt;=MAX(0.005,ABS(INDEX('AH History'!$B$1:$B$18046,$H2124))*0.00005),ABS($D2124-INDEX('AH History'!$C$1:$C$18046,$H2124))&lt;=MAX(0.005,ABS(INDEX('AH History'!$C$1:$C$18046,$H2124))*0.00005),ABS($E2124-INDEX('AH History'!$D$1:$D$18046,$H2124))&lt;=0.00005,$F2124=INDEX('AH History'!$E$1:$E$18046,$H2124),$G2124=INDEX('AH History'!$F$1:$F$18046,$H2124)),1,-1),-1))</ns0:f>
        <ns0:v/>
      </ns0:c>
    </ns0:row>
    <ns0:row r="2125">
      <ns0:c r="A2125" s="215">
        <ns0:f>IF(OR(AH!$P$3=0,2120+1&gt;AH!$P$11,AND(AH!$E$4&lt;&gt;"Stored",AH!$P$10&lt;&gt;1)),"",IFERROR(IF(AND(AH!$P$21=1,2120+1=AH!$P$11),TODAY(),IF(AH!$P$10=1,INDEX('Live History'!$A$5:$A$3004,AH!$P$13+2120),INDEX('AH History'!$A$1:$A$18046,AH!$P$7+2120))),""))</ns0:f>
        <ns0:v/>
      </ns0:c>
      <ns0:c r="B2125" s="219">
        <ns0:f>IFERROR(IF(AND(AH!$P$9&lt;&gt;1,$C2125&gt;0,$D2125&gt;0,$E2125&gt;0,$F2125&gt;0,$G2125&gt;0,$F2125&lt;=$A2125,$G2125&lt;=$A2125,$A2125-$F2125&lt;=10,$A2125-$G2125&lt;=5),$D2125*$E2125/$C2125-1,NA()),NA())</ns0:f>
        <ns0:v/>
      </ns0:c>
      <ns0:c r="C2125">
        <ns0:f>IFERROR(IF(ISNUMBER($A2125),IF(AND(AH!$P$10=1,AH!$P$12=1,$A2125=TODAY()),AH!$P$19,IF(AH!$P$10=1,INDEX('Live History'!$B$5:$B$3004,AH!$P$13+2120),INDEX('AH History'!$B$1:$B$18046,AH!$P$7+2120))),NA()),NA())</ns0:f>
        <ns0:v/>
      </ns0:c>
      <ns0:c r="D2125">
        <ns0:f>IFERROR(IF(ISNUMBER($A2125),IF(AND(AH!$P$10=1,AH!$P$12=1,$A2125=TODAY()),AH!$P$18,IF(AH!$P$10=1,INDEX('Live History'!$E$5:$E$3004,MATCH($A2125,'Live History'!$D$5:$D$3004,1)),INDEX('AH History'!$C$1:$C$18046,AH!$P$7+2120))),NA()),NA())</ns0:f>
        <ns0:v/>
      </ns0:c>
      <ns0:c r="E2125">
        <ns0:f>IFERROR(IF(ISNUMBER($A2125),IF(AND(AH!$P$10=1,AH!$P$12=1,$A2125=TODAY()),AH!$P$20,IF(AH!$P$10=1,INDEX('Live History'!$H$5:$H$3004,MATCH($A2125,'Live History'!$G$5:$G$3004,1)),INDEX('AH History'!$D$1:$D$18046,AH!$P$7+2120))),NA()),NA())</ns0:f>
        <ns0:v/>
      </ns0:c>
      <ns0:c r="F2125">
        <ns0:f>IFERROR(IF(ISNUMBER($A2125),IF(AND(AH!$P$10=1,AH!$P$12=1,$A2125=TODAY()),IF(AND(AH!$P$10=1,AH!$P$12=1,$A2125=TODAY()),TODAY(),NA()),IF(AH!$P$10=1,INDEX('Live History'!$D$5:$D$3004,MATCH($A2125,'Live History'!$D$5:$D$3004,1)),INDEX('AH History'!$E$1:$E$18046,AH!$P$7+2120))),NA()),NA())</ns0:f>
        <ns0:v/>
      </ns0:c>
      <ns0:c r="G2125">
        <ns0:f>IFERROR(IF(ISNUMBER($A2125),IF(AND(AH!$P$10=1,AH!$P$12=1,$A2125=TODAY()),IF(AND(AH!$P$10=1,AH!$P$12=1,$A2125=TODAY()),TODAY(),NA()),IF(AH!$P$10=1,INDEX('Live History'!$G$5:$G$3004,MATCH($A2125,'Live History'!$G$5:$G$3004,1)),INDEX('AH History'!$F$1:$F$18046,AH!$P$7+2120))),NA()),NA())</ns0:f>
        <ns0:v/>
      </ns0:c>
      <ns0:c r="H2125">
        <ns0:f>IFERROR(IF(AND(AH!$E$4="Bloomberg",AH!$P$10=1,ISNUMBER($A2125),$A2125&lt;=AH!$P$17),AH!$P$7-1+MATCH($A2125,INDEX('AH History'!$A$1:$A$18046,AH!$P$7):INDEX('AH History'!$A$1:$A$18046,AH!$P$7+AH!$P$8-1),0),0),0)</ns0:f>
        <ns0:v/>
      </ns0:c>
      <ns0:c r="I2125">
        <ns0:f>IF($H2125=0,0,IFERROR(IF(AND(ABS($C2125-INDEX('AH History'!$B$1:$B$18046,$H2125))&lt;=MAX(0.005,ABS(INDEX('AH History'!$B$1:$B$18046,$H2125))*0.00005),ABS($D2125-INDEX('AH History'!$C$1:$C$18046,$H2125))&lt;=MAX(0.005,ABS(INDEX('AH History'!$C$1:$C$18046,$H2125))*0.00005),ABS($E2125-INDEX('AH History'!$D$1:$D$18046,$H2125))&lt;=0.00005,$F2125=INDEX('AH History'!$E$1:$E$18046,$H2125),$G2125=INDEX('AH History'!$F$1:$F$18046,$H2125)),1,-1),-1))</ns0:f>
        <ns0:v/>
      </ns0:c>
    </ns0:row>
    <ns0:row r="2126">
      <ns0:c r="A2126" s="215">
        <ns0:f>IF(OR(AH!$P$3=0,2121+1&gt;AH!$P$11,AND(AH!$E$4&lt;&gt;"Stored",AH!$P$10&lt;&gt;1)),"",IFERROR(IF(AND(AH!$P$21=1,2121+1=AH!$P$11),TODAY(),IF(AH!$P$10=1,INDEX('Live History'!$A$5:$A$3004,AH!$P$13+2121),INDEX('AH History'!$A$1:$A$18046,AH!$P$7+2121))),""))</ns0:f>
        <ns0:v/>
      </ns0:c>
      <ns0:c r="B2126" s="219">
        <ns0:f>IFERROR(IF(AND(AH!$P$9&lt;&gt;1,$C2126&gt;0,$D2126&gt;0,$E2126&gt;0,$F2126&gt;0,$G2126&gt;0,$F2126&lt;=$A2126,$G2126&lt;=$A2126,$A2126-$F2126&lt;=10,$A2126-$G2126&lt;=5),$D2126*$E2126/$C2126-1,NA()),NA())</ns0:f>
        <ns0:v/>
      </ns0:c>
      <ns0:c r="C2126">
        <ns0:f>IFERROR(IF(ISNUMBER($A2126),IF(AND(AH!$P$10=1,AH!$P$12=1,$A2126=TODAY()),AH!$P$19,IF(AH!$P$10=1,INDEX('Live History'!$B$5:$B$3004,AH!$P$13+2121),INDEX('AH History'!$B$1:$B$18046,AH!$P$7+2121))),NA()),NA())</ns0:f>
        <ns0:v/>
      </ns0:c>
      <ns0:c r="D2126">
        <ns0:f>IFERROR(IF(ISNUMBER($A2126),IF(AND(AH!$P$10=1,AH!$P$12=1,$A2126=TODAY()),AH!$P$18,IF(AH!$P$10=1,INDEX('Live History'!$E$5:$E$3004,MATCH($A2126,'Live History'!$D$5:$D$3004,1)),INDEX('AH History'!$C$1:$C$18046,AH!$P$7+2121))),NA()),NA())</ns0:f>
        <ns0:v/>
      </ns0:c>
      <ns0:c r="E2126">
        <ns0:f>IFERROR(IF(ISNUMBER($A2126),IF(AND(AH!$P$10=1,AH!$P$12=1,$A2126=TODAY()),AH!$P$20,IF(AH!$P$10=1,INDEX('Live History'!$H$5:$H$3004,MATCH($A2126,'Live History'!$G$5:$G$3004,1)),INDEX('AH History'!$D$1:$D$18046,AH!$P$7+2121))),NA()),NA())</ns0:f>
        <ns0:v/>
      </ns0:c>
      <ns0:c r="F2126">
        <ns0:f>IFERROR(IF(ISNUMBER($A2126),IF(AND(AH!$P$10=1,AH!$P$12=1,$A2126=TODAY()),IF(AND(AH!$P$10=1,AH!$P$12=1,$A2126=TODAY()),TODAY(),NA()),IF(AH!$P$10=1,INDEX('Live History'!$D$5:$D$3004,MATCH($A2126,'Live History'!$D$5:$D$3004,1)),INDEX('AH History'!$E$1:$E$18046,AH!$P$7+2121))),NA()),NA())</ns0:f>
        <ns0:v/>
      </ns0:c>
      <ns0:c r="G2126">
        <ns0:f>IFERROR(IF(ISNUMBER($A2126),IF(AND(AH!$P$10=1,AH!$P$12=1,$A2126=TODAY()),IF(AND(AH!$P$10=1,AH!$P$12=1,$A2126=TODAY()),TODAY(),NA()),IF(AH!$P$10=1,INDEX('Live History'!$G$5:$G$3004,MATCH($A2126,'Live History'!$G$5:$G$3004,1)),INDEX('AH History'!$F$1:$F$18046,AH!$P$7+2121))),NA()),NA())</ns0:f>
        <ns0:v/>
      </ns0:c>
      <ns0:c r="H2126">
        <ns0:f>IFERROR(IF(AND(AH!$E$4="Bloomberg",AH!$P$10=1,ISNUMBER($A2126),$A2126&lt;=AH!$P$17),AH!$P$7-1+MATCH($A2126,INDEX('AH History'!$A$1:$A$18046,AH!$P$7):INDEX('AH History'!$A$1:$A$18046,AH!$P$7+AH!$P$8-1),0),0),0)</ns0:f>
        <ns0:v/>
      </ns0:c>
      <ns0:c r="I2126">
        <ns0:f>IF($H2126=0,0,IFERROR(IF(AND(ABS($C2126-INDEX('AH History'!$B$1:$B$18046,$H2126))&lt;=MAX(0.005,ABS(INDEX('AH History'!$B$1:$B$18046,$H2126))*0.00005),ABS($D2126-INDEX('AH History'!$C$1:$C$18046,$H2126))&lt;=MAX(0.005,ABS(INDEX('AH History'!$C$1:$C$18046,$H2126))*0.00005),ABS($E2126-INDEX('AH History'!$D$1:$D$18046,$H2126))&lt;=0.00005,$F2126=INDEX('AH History'!$E$1:$E$18046,$H2126),$G2126=INDEX('AH History'!$F$1:$F$18046,$H2126)),1,-1),-1))</ns0:f>
        <ns0:v/>
      </ns0:c>
    </ns0:row>
    <ns0:row r="2127">
      <ns0:c r="A2127" s="215">
        <ns0:f>IF(OR(AH!$P$3=0,2122+1&gt;AH!$P$11,AND(AH!$E$4&lt;&gt;"Stored",AH!$P$10&lt;&gt;1)),"",IFERROR(IF(AND(AH!$P$21=1,2122+1=AH!$P$11),TODAY(),IF(AH!$P$10=1,INDEX('Live History'!$A$5:$A$3004,AH!$P$13+2122),INDEX('AH History'!$A$1:$A$18046,AH!$P$7+2122))),""))</ns0:f>
        <ns0:v/>
      </ns0:c>
      <ns0:c r="B2127" s="219">
        <ns0:f>IFERROR(IF(AND(AH!$P$9&lt;&gt;1,$C2127&gt;0,$D2127&gt;0,$E2127&gt;0,$F2127&gt;0,$G2127&gt;0,$F2127&lt;=$A2127,$G2127&lt;=$A2127,$A2127-$F2127&lt;=10,$A2127-$G2127&lt;=5),$D2127*$E2127/$C2127-1,NA()),NA())</ns0:f>
        <ns0:v/>
      </ns0:c>
      <ns0:c r="C2127">
        <ns0:f>IFERROR(IF(ISNUMBER($A2127),IF(AND(AH!$P$10=1,AH!$P$12=1,$A2127=TODAY()),AH!$P$19,IF(AH!$P$10=1,INDEX('Live History'!$B$5:$B$3004,AH!$P$13+2122),INDEX('AH History'!$B$1:$B$18046,AH!$P$7+2122))),NA()),NA())</ns0:f>
        <ns0:v/>
      </ns0:c>
      <ns0:c r="D2127">
        <ns0:f>IFERROR(IF(ISNUMBER($A2127),IF(AND(AH!$P$10=1,AH!$P$12=1,$A2127=TODAY()),AH!$P$18,IF(AH!$P$10=1,INDEX('Live History'!$E$5:$E$3004,MATCH($A2127,'Live History'!$D$5:$D$3004,1)),INDEX('AH History'!$C$1:$C$18046,AH!$P$7+2122))),NA()),NA())</ns0:f>
        <ns0:v/>
      </ns0:c>
      <ns0:c r="E2127">
        <ns0:f>IFERROR(IF(ISNUMBER($A2127),IF(AND(AH!$P$10=1,AH!$P$12=1,$A2127=TODAY()),AH!$P$20,IF(AH!$P$10=1,INDEX('Live History'!$H$5:$H$3004,MATCH($A2127,'Live History'!$G$5:$G$3004,1)),INDEX('AH History'!$D$1:$D$18046,AH!$P$7+2122))),NA()),NA())</ns0:f>
        <ns0:v/>
      </ns0:c>
      <ns0:c r="F2127">
        <ns0:f>IFERROR(IF(ISNUMBER($A2127),IF(AND(AH!$P$10=1,AH!$P$12=1,$A2127=TODAY()),IF(AND(AH!$P$10=1,AH!$P$12=1,$A2127=TODAY()),TODAY(),NA()),IF(AH!$P$10=1,INDEX('Live History'!$D$5:$D$3004,MATCH($A2127,'Live History'!$D$5:$D$3004,1)),INDEX('AH History'!$E$1:$E$18046,AH!$P$7+2122))),NA()),NA())</ns0:f>
        <ns0:v/>
      </ns0:c>
      <ns0:c r="G2127">
        <ns0:f>IFERROR(IF(ISNUMBER($A2127),IF(AND(AH!$P$10=1,AH!$P$12=1,$A2127=TODAY()),IF(AND(AH!$P$10=1,AH!$P$12=1,$A2127=TODAY()),TODAY(),NA()),IF(AH!$P$10=1,INDEX('Live History'!$G$5:$G$3004,MATCH($A2127,'Live History'!$G$5:$G$3004,1)),INDEX('AH History'!$F$1:$F$18046,AH!$P$7+2122))),NA()),NA())</ns0:f>
        <ns0:v/>
      </ns0:c>
      <ns0:c r="H2127">
        <ns0:f>IFERROR(IF(AND(AH!$E$4="Bloomberg",AH!$P$10=1,ISNUMBER($A2127),$A2127&lt;=AH!$P$17),AH!$P$7-1+MATCH($A2127,INDEX('AH History'!$A$1:$A$18046,AH!$P$7):INDEX('AH History'!$A$1:$A$18046,AH!$P$7+AH!$P$8-1),0),0),0)</ns0:f>
        <ns0:v/>
      </ns0:c>
      <ns0:c r="I2127">
        <ns0:f>IF($H2127=0,0,IFERROR(IF(AND(ABS($C2127-INDEX('AH History'!$B$1:$B$18046,$H2127))&lt;=MAX(0.005,ABS(INDEX('AH History'!$B$1:$B$18046,$H2127))*0.00005),ABS($D2127-INDEX('AH History'!$C$1:$C$18046,$H2127))&lt;=MAX(0.005,ABS(INDEX('AH History'!$C$1:$C$18046,$H2127))*0.00005),ABS($E2127-INDEX('AH History'!$D$1:$D$18046,$H2127))&lt;=0.00005,$F2127=INDEX('AH History'!$E$1:$E$18046,$H2127),$G2127=INDEX('AH History'!$F$1:$F$18046,$H2127)),1,-1),-1))</ns0:f>
        <ns0:v/>
      </ns0:c>
    </ns0:row>
    <ns0:row r="2128">
      <ns0:c r="A2128" s="215">
        <ns0:f>IF(OR(AH!$P$3=0,2123+1&gt;AH!$P$11,AND(AH!$E$4&lt;&gt;"Stored",AH!$P$10&lt;&gt;1)),"",IFERROR(IF(AND(AH!$P$21=1,2123+1=AH!$P$11),TODAY(),IF(AH!$P$10=1,INDEX('Live History'!$A$5:$A$3004,AH!$P$13+2123),INDEX('AH History'!$A$1:$A$18046,AH!$P$7+2123))),""))</ns0:f>
        <ns0:v/>
      </ns0:c>
      <ns0:c r="B2128" s="219">
        <ns0:f>IFERROR(IF(AND(AH!$P$9&lt;&gt;1,$C2128&gt;0,$D2128&gt;0,$E2128&gt;0,$F2128&gt;0,$G2128&gt;0,$F2128&lt;=$A2128,$G2128&lt;=$A2128,$A2128-$F2128&lt;=10,$A2128-$G2128&lt;=5),$D2128*$E2128/$C2128-1,NA()),NA())</ns0:f>
        <ns0:v/>
      </ns0:c>
      <ns0:c r="C2128">
        <ns0:f>IFERROR(IF(ISNUMBER($A2128),IF(AND(AH!$P$10=1,AH!$P$12=1,$A2128=TODAY()),AH!$P$19,IF(AH!$P$10=1,INDEX('Live History'!$B$5:$B$3004,AH!$P$13+2123),INDEX('AH History'!$B$1:$B$18046,AH!$P$7+2123))),NA()),NA())</ns0:f>
        <ns0:v/>
      </ns0:c>
      <ns0:c r="D2128">
        <ns0:f>IFERROR(IF(ISNUMBER($A2128),IF(AND(AH!$P$10=1,AH!$P$12=1,$A2128=TODAY()),AH!$P$18,IF(AH!$P$10=1,INDEX('Live History'!$E$5:$E$3004,MATCH($A2128,'Live History'!$D$5:$D$3004,1)),INDEX('AH History'!$C$1:$C$18046,AH!$P$7+2123))),NA()),NA())</ns0:f>
        <ns0:v/>
      </ns0:c>
      <ns0:c r="E2128">
        <ns0:f>IFERROR(IF(ISNUMBER($A2128),IF(AND(AH!$P$10=1,AH!$P$12=1,$A2128=TODAY()),AH!$P$20,IF(AH!$P$10=1,INDEX('Live History'!$H$5:$H$3004,MATCH($A2128,'Live History'!$G$5:$G$3004,1)),INDEX('AH History'!$D$1:$D$18046,AH!$P$7+2123))),NA()),NA())</ns0:f>
        <ns0:v/>
      </ns0:c>
      <ns0:c r="F2128">
        <ns0:f>IFERROR(IF(ISNUMBER($A2128),IF(AND(AH!$P$10=1,AH!$P$12=1,$A2128=TODAY()),IF(AND(AH!$P$10=1,AH!$P$12=1,$A2128=TODAY()),TODAY(),NA()),IF(AH!$P$10=1,INDEX('Live History'!$D$5:$D$3004,MATCH($A2128,'Live History'!$D$5:$D$3004,1)),INDEX('AH History'!$E$1:$E$18046,AH!$P$7+2123))),NA()),NA())</ns0:f>
        <ns0:v/>
      </ns0:c>
      <ns0:c r="G2128">
        <ns0:f>IFERROR(IF(ISNUMBER($A2128),IF(AND(AH!$P$10=1,AH!$P$12=1,$A2128=TODAY()),IF(AND(AH!$P$10=1,AH!$P$12=1,$A2128=TODAY()),TODAY(),NA()),IF(AH!$P$10=1,INDEX('Live History'!$G$5:$G$3004,MATCH($A2128,'Live History'!$G$5:$G$3004,1)),INDEX('AH History'!$F$1:$F$18046,AH!$P$7+2123))),NA()),NA())</ns0:f>
        <ns0:v/>
      </ns0:c>
      <ns0:c r="H2128">
        <ns0:f>IFERROR(IF(AND(AH!$E$4="Bloomberg",AH!$P$10=1,ISNUMBER($A2128),$A2128&lt;=AH!$P$17),AH!$P$7-1+MATCH($A2128,INDEX('AH History'!$A$1:$A$18046,AH!$P$7):INDEX('AH History'!$A$1:$A$18046,AH!$P$7+AH!$P$8-1),0),0),0)</ns0:f>
        <ns0:v/>
      </ns0:c>
      <ns0:c r="I2128">
        <ns0:f>IF($H2128=0,0,IFERROR(IF(AND(ABS($C2128-INDEX('AH History'!$B$1:$B$18046,$H2128))&lt;=MAX(0.005,ABS(INDEX('AH History'!$B$1:$B$18046,$H2128))*0.00005),ABS($D2128-INDEX('AH History'!$C$1:$C$18046,$H2128))&lt;=MAX(0.005,ABS(INDEX('AH History'!$C$1:$C$18046,$H2128))*0.00005),ABS($E2128-INDEX('AH History'!$D$1:$D$18046,$H2128))&lt;=0.00005,$F2128=INDEX('AH History'!$E$1:$E$18046,$H2128),$G2128=INDEX('AH History'!$F$1:$F$18046,$H2128)),1,-1),-1))</ns0:f>
        <ns0:v/>
      </ns0:c>
    </ns0:row>
    <ns0:row r="2129">
      <ns0:c r="A2129" s="215">
        <ns0:f>IF(OR(AH!$P$3=0,2124+1&gt;AH!$P$11,AND(AH!$E$4&lt;&gt;"Stored",AH!$P$10&lt;&gt;1)),"",IFERROR(IF(AND(AH!$P$21=1,2124+1=AH!$P$11),TODAY(),IF(AH!$P$10=1,INDEX('Live History'!$A$5:$A$3004,AH!$P$13+2124),INDEX('AH History'!$A$1:$A$18046,AH!$P$7+2124))),""))</ns0:f>
        <ns0:v/>
      </ns0:c>
      <ns0:c r="B2129" s="219">
        <ns0:f>IFERROR(IF(AND(AH!$P$9&lt;&gt;1,$C2129&gt;0,$D2129&gt;0,$E2129&gt;0,$F2129&gt;0,$G2129&gt;0,$F2129&lt;=$A2129,$G2129&lt;=$A2129,$A2129-$F2129&lt;=10,$A2129-$G2129&lt;=5),$D2129*$E2129/$C2129-1,NA()),NA())</ns0:f>
        <ns0:v/>
      </ns0:c>
      <ns0:c r="C2129">
        <ns0:f>IFERROR(IF(ISNUMBER($A2129),IF(AND(AH!$P$10=1,AH!$P$12=1,$A2129=TODAY()),AH!$P$19,IF(AH!$P$10=1,INDEX('Live History'!$B$5:$B$3004,AH!$P$13+2124),INDEX('AH History'!$B$1:$B$18046,AH!$P$7+2124))),NA()),NA())</ns0:f>
        <ns0:v/>
      </ns0:c>
      <ns0:c r="D2129">
        <ns0:f>IFERROR(IF(ISNUMBER($A2129),IF(AND(AH!$P$10=1,AH!$P$12=1,$A2129=TODAY()),AH!$P$18,IF(AH!$P$10=1,INDEX('Live History'!$E$5:$E$3004,MATCH($A2129,'Live History'!$D$5:$D$3004,1)),INDEX('AH History'!$C$1:$C$18046,AH!$P$7+2124))),NA()),NA())</ns0:f>
        <ns0:v/>
      </ns0:c>
      <ns0:c r="E2129">
        <ns0:f>IFERROR(IF(ISNUMBER($A2129),IF(AND(AH!$P$10=1,AH!$P$12=1,$A2129=TODAY()),AH!$P$20,IF(AH!$P$10=1,INDEX('Live History'!$H$5:$H$3004,MATCH($A2129,'Live History'!$G$5:$G$3004,1)),INDEX('AH History'!$D$1:$D$18046,AH!$P$7+2124))),NA()),NA())</ns0:f>
        <ns0:v/>
      </ns0:c>
      <ns0:c r="F2129">
        <ns0:f>IFERROR(IF(ISNUMBER($A2129),IF(AND(AH!$P$10=1,AH!$P$12=1,$A2129=TODAY()),IF(AND(AH!$P$10=1,AH!$P$12=1,$A2129=TODAY()),TODAY(),NA()),IF(AH!$P$10=1,INDEX('Live History'!$D$5:$D$3004,MATCH($A2129,'Live History'!$D$5:$D$3004,1)),INDEX('AH History'!$E$1:$E$18046,AH!$P$7+2124))),NA()),NA())</ns0:f>
        <ns0:v/>
      </ns0:c>
      <ns0:c r="G2129">
        <ns0:f>IFERROR(IF(ISNUMBER($A2129),IF(AND(AH!$P$10=1,AH!$P$12=1,$A2129=TODAY()),IF(AND(AH!$P$10=1,AH!$P$12=1,$A2129=TODAY()),TODAY(),NA()),IF(AH!$P$10=1,INDEX('Live History'!$G$5:$G$3004,MATCH($A2129,'Live History'!$G$5:$G$3004,1)),INDEX('AH History'!$F$1:$F$18046,AH!$P$7+2124))),NA()),NA())</ns0:f>
        <ns0:v/>
      </ns0:c>
      <ns0:c r="H2129">
        <ns0:f>IFERROR(IF(AND(AH!$E$4="Bloomberg",AH!$P$10=1,ISNUMBER($A2129),$A2129&lt;=AH!$P$17),AH!$P$7-1+MATCH($A2129,INDEX('AH History'!$A$1:$A$18046,AH!$P$7):INDEX('AH History'!$A$1:$A$18046,AH!$P$7+AH!$P$8-1),0),0),0)</ns0:f>
        <ns0:v/>
      </ns0:c>
      <ns0:c r="I2129">
        <ns0:f>IF($H2129=0,0,IFERROR(IF(AND(ABS($C2129-INDEX('AH History'!$B$1:$B$18046,$H2129))&lt;=MAX(0.005,ABS(INDEX('AH History'!$B$1:$B$18046,$H2129))*0.00005),ABS($D2129-INDEX('AH History'!$C$1:$C$18046,$H2129))&lt;=MAX(0.005,ABS(INDEX('AH History'!$C$1:$C$18046,$H2129))*0.00005),ABS($E2129-INDEX('AH History'!$D$1:$D$18046,$H2129))&lt;=0.00005,$F2129=INDEX('AH History'!$E$1:$E$18046,$H2129),$G2129=INDEX('AH History'!$F$1:$F$18046,$H2129)),1,-1),-1))</ns0:f>
        <ns0:v/>
      </ns0:c>
    </ns0:row>
    <ns0:row r="2130">
      <ns0:c r="A2130" s="215">
        <ns0:f>IF(OR(AH!$P$3=0,2125+1&gt;AH!$P$11,AND(AH!$E$4&lt;&gt;"Stored",AH!$P$10&lt;&gt;1)),"",IFERROR(IF(AND(AH!$P$21=1,2125+1=AH!$P$11),TODAY(),IF(AH!$P$10=1,INDEX('Live History'!$A$5:$A$3004,AH!$P$13+2125),INDEX('AH History'!$A$1:$A$18046,AH!$P$7+2125))),""))</ns0:f>
        <ns0:v/>
      </ns0:c>
      <ns0:c r="B2130" s="219">
        <ns0:f>IFERROR(IF(AND(AH!$P$9&lt;&gt;1,$C2130&gt;0,$D2130&gt;0,$E2130&gt;0,$F2130&gt;0,$G2130&gt;0,$F2130&lt;=$A2130,$G2130&lt;=$A2130,$A2130-$F2130&lt;=10,$A2130-$G2130&lt;=5),$D2130*$E2130/$C2130-1,NA()),NA())</ns0:f>
        <ns0:v/>
      </ns0:c>
      <ns0:c r="C2130">
        <ns0:f>IFERROR(IF(ISNUMBER($A2130),IF(AND(AH!$P$10=1,AH!$P$12=1,$A2130=TODAY()),AH!$P$19,IF(AH!$P$10=1,INDEX('Live History'!$B$5:$B$3004,AH!$P$13+2125),INDEX('AH History'!$B$1:$B$18046,AH!$P$7+2125))),NA()),NA())</ns0:f>
        <ns0:v/>
      </ns0:c>
      <ns0:c r="D2130">
        <ns0:f>IFERROR(IF(ISNUMBER($A2130),IF(AND(AH!$P$10=1,AH!$P$12=1,$A2130=TODAY()),AH!$P$18,IF(AH!$P$10=1,INDEX('Live History'!$E$5:$E$3004,MATCH($A2130,'Live History'!$D$5:$D$3004,1)),INDEX('AH History'!$C$1:$C$18046,AH!$P$7+2125))),NA()),NA())</ns0:f>
        <ns0:v/>
      </ns0:c>
      <ns0:c r="E2130">
        <ns0:f>IFERROR(IF(ISNUMBER($A2130),IF(AND(AH!$P$10=1,AH!$P$12=1,$A2130=TODAY()),AH!$P$20,IF(AH!$P$10=1,INDEX('Live History'!$H$5:$H$3004,MATCH($A2130,'Live History'!$G$5:$G$3004,1)),INDEX('AH History'!$D$1:$D$18046,AH!$P$7+2125))),NA()),NA())</ns0:f>
        <ns0:v/>
      </ns0:c>
      <ns0:c r="F2130">
        <ns0:f>IFERROR(IF(ISNUMBER($A2130),IF(AND(AH!$P$10=1,AH!$P$12=1,$A2130=TODAY()),IF(AND(AH!$P$10=1,AH!$P$12=1,$A2130=TODAY()),TODAY(),NA()),IF(AH!$P$10=1,INDEX('Live History'!$D$5:$D$3004,MATCH($A2130,'Live History'!$D$5:$D$3004,1)),INDEX('AH History'!$E$1:$E$18046,AH!$P$7+2125))),NA()),NA())</ns0:f>
        <ns0:v/>
      </ns0:c>
      <ns0:c r="G2130">
        <ns0:f>IFERROR(IF(ISNUMBER($A2130),IF(AND(AH!$P$10=1,AH!$P$12=1,$A2130=TODAY()),IF(AND(AH!$P$10=1,AH!$P$12=1,$A2130=TODAY()),TODAY(),NA()),IF(AH!$P$10=1,INDEX('Live History'!$G$5:$G$3004,MATCH($A2130,'Live History'!$G$5:$G$3004,1)),INDEX('AH History'!$F$1:$F$18046,AH!$P$7+2125))),NA()),NA())</ns0:f>
        <ns0:v/>
      </ns0:c>
      <ns0:c r="H2130">
        <ns0:f>IFERROR(IF(AND(AH!$E$4="Bloomberg",AH!$P$10=1,ISNUMBER($A2130),$A2130&lt;=AH!$P$17),AH!$P$7-1+MATCH($A2130,INDEX('AH History'!$A$1:$A$18046,AH!$P$7):INDEX('AH History'!$A$1:$A$18046,AH!$P$7+AH!$P$8-1),0),0),0)</ns0:f>
        <ns0:v/>
      </ns0:c>
      <ns0:c r="I2130">
        <ns0:f>IF($H2130=0,0,IFERROR(IF(AND(ABS($C2130-INDEX('AH History'!$B$1:$B$18046,$H2130))&lt;=MAX(0.005,ABS(INDEX('AH History'!$B$1:$B$18046,$H2130))*0.00005),ABS($D2130-INDEX('AH History'!$C$1:$C$18046,$H2130))&lt;=MAX(0.005,ABS(INDEX('AH History'!$C$1:$C$18046,$H2130))*0.00005),ABS($E2130-INDEX('AH History'!$D$1:$D$18046,$H2130))&lt;=0.00005,$F2130=INDEX('AH History'!$E$1:$E$18046,$H2130),$G2130=INDEX('AH History'!$F$1:$F$18046,$H2130)),1,-1),-1))</ns0:f>
        <ns0:v/>
      </ns0:c>
    </ns0:row>
    <ns0:row r="2131">
      <ns0:c r="A2131" s="215">
        <ns0:f>IF(OR(AH!$P$3=0,2126+1&gt;AH!$P$11,AND(AH!$E$4&lt;&gt;"Stored",AH!$P$10&lt;&gt;1)),"",IFERROR(IF(AND(AH!$P$21=1,2126+1=AH!$P$11),TODAY(),IF(AH!$P$10=1,INDEX('Live History'!$A$5:$A$3004,AH!$P$13+2126),INDEX('AH History'!$A$1:$A$18046,AH!$P$7+2126))),""))</ns0:f>
        <ns0:v/>
      </ns0:c>
      <ns0:c r="B2131" s="219">
        <ns0:f>IFERROR(IF(AND(AH!$P$9&lt;&gt;1,$C2131&gt;0,$D2131&gt;0,$E2131&gt;0,$F2131&gt;0,$G2131&gt;0,$F2131&lt;=$A2131,$G2131&lt;=$A2131,$A2131-$F2131&lt;=10,$A2131-$G2131&lt;=5),$D2131*$E2131/$C2131-1,NA()),NA())</ns0:f>
        <ns0:v/>
      </ns0:c>
      <ns0:c r="C2131">
        <ns0:f>IFERROR(IF(ISNUMBER($A2131),IF(AND(AH!$P$10=1,AH!$P$12=1,$A2131=TODAY()),AH!$P$19,IF(AH!$P$10=1,INDEX('Live History'!$B$5:$B$3004,AH!$P$13+2126),INDEX('AH History'!$B$1:$B$18046,AH!$P$7+2126))),NA()),NA())</ns0:f>
        <ns0:v/>
      </ns0:c>
      <ns0:c r="D2131">
        <ns0:f>IFERROR(IF(ISNUMBER($A2131),IF(AND(AH!$P$10=1,AH!$P$12=1,$A2131=TODAY()),AH!$P$18,IF(AH!$P$10=1,INDEX('Live History'!$E$5:$E$3004,MATCH($A2131,'Live History'!$D$5:$D$3004,1)),INDEX('AH History'!$C$1:$C$18046,AH!$P$7+2126))),NA()),NA())</ns0:f>
        <ns0:v/>
      </ns0:c>
      <ns0:c r="E2131">
        <ns0:f>IFERROR(IF(ISNUMBER($A2131),IF(AND(AH!$P$10=1,AH!$P$12=1,$A2131=TODAY()),AH!$P$20,IF(AH!$P$10=1,INDEX('Live History'!$H$5:$H$3004,MATCH($A2131,'Live History'!$G$5:$G$3004,1)),INDEX('AH History'!$D$1:$D$18046,AH!$P$7+2126))),NA()),NA())</ns0:f>
        <ns0:v/>
      </ns0:c>
      <ns0:c r="F2131">
        <ns0:f>IFERROR(IF(ISNUMBER($A2131),IF(AND(AH!$P$10=1,AH!$P$12=1,$A2131=TODAY()),IF(AND(AH!$P$10=1,AH!$P$12=1,$A2131=TODAY()),TODAY(),NA()),IF(AH!$P$10=1,INDEX('Live History'!$D$5:$D$3004,MATCH($A2131,'Live History'!$D$5:$D$3004,1)),INDEX('AH History'!$E$1:$E$18046,AH!$P$7+2126))),NA()),NA())</ns0:f>
        <ns0:v/>
      </ns0:c>
      <ns0:c r="G2131">
        <ns0:f>IFERROR(IF(ISNUMBER($A2131),IF(AND(AH!$P$10=1,AH!$P$12=1,$A2131=TODAY()),IF(AND(AH!$P$10=1,AH!$P$12=1,$A2131=TODAY()),TODAY(),NA()),IF(AH!$P$10=1,INDEX('Live History'!$G$5:$G$3004,MATCH($A2131,'Live History'!$G$5:$G$3004,1)),INDEX('AH History'!$F$1:$F$18046,AH!$P$7+2126))),NA()),NA())</ns0:f>
        <ns0:v/>
      </ns0:c>
      <ns0:c r="H2131">
        <ns0:f>IFERROR(IF(AND(AH!$E$4="Bloomberg",AH!$P$10=1,ISNUMBER($A2131),$A2131&lt;=AH!$P$17),AH!$P$7-1+MATCH($A2131,INDEX('AH History'!$A$1:$A$18046,AH!$P$7):INDEX('AH History'!$A$1:$A$18046,AH!$P$7+AH!$P$8-1),0),0),0)</ns0:f>
        <ns0:v/>
      </ns0:c>
      <ns0:c r="I2131">
        <ns0:f>IF($H2131=0,0,IFERROR(IF(AND(ABS($C2131-INDEX('AH History'!$B$1:$B$18046,$H2131))&lt;=MAX(0.005,ABS(INDEX('AH History'!$B$1:$B$18046,$H2131))*0.00005),ABS($D2131-INDEX('AH History'!$C$1:$C$18046,$H2131))&lt;=MAX(0.005,ABS(INDEX('AH History'!$C$1:$C$18046,$H2131))*0.00005),ABS($E2131-INDEX('AH History'!$D$1:$D$18046,$H2131))&lt;=0.00005,$F2131=INDEX('AH History'!$E$1:$E$18046,$H2131),$G2131=INDEX('AH History'!$F$1:$F$18046,$H2131)),1,-1),-1))</ns0:f>
        <ns0:v/>
      </ns0:c>
    </ns0:row>
    <ns0:row r="2132">
      <ns0:c r="A2132" s="215">
        <ns0:f>IF(OR(AH!$P$3=0,2127+1&gt;AH!$P$11,AND(AH!$E$4&lt;&gt;"Stored",AH!$P$10&lt;&gt;1)),"",IFERROR(IF(AND(AH!$P$21=1,2127+1=AH!$P$11),TODAY(),IF(AH!$P$10=1,INDEX('Live History'!$A$5:$A$3004,AH!$P$13+2127),INDEX('AH History'!$A$1:$A$18046,AH!$P$7+2127))),""))</ns0:f>
        <ns0:v/>
      </ns0:c>
      <ns0:c r="B2132" s="219">
        <ns0:f>IFERROR(IF(AND(AH!$P$9&lt;&gt;1,$C2132&gt;0,$D2132&gt;0,$E2132&gt;0,$F2132&gt;0,$G2132&gt;0,$F2132&lt;=$A2132,$G2132&lt;=$A2132,$A2132-$F2132&lt;=10,$A2132-$G2132&lt;=5),$D2132*$E2132/$C2132-1,NA()),NA())</ns0:f>
        <ns0:v/>
      </ns0:c>
      <ns0:c r="C2132">
        <ns0:f>IFERROR(IF(ISNUMBER($A2132),IF(AND(AH!$P$10=1,AH!$P$12=1,$A2132=TODAY()),AH!$P$19,IF(AH!$P$10=1,INDEX('Live History'!$B$5:$B$3004,AH!$P$13+2127),INDEX('AH History'!$B$1:$B$18046,AH!$P$7+2127))),NA()),NA())</ns0:f>
        <ns0:v/>
      </ns0:c>
      <ns0:c r="D2132">
        <ns0:f>IFERROR(IF(ISNUMBER($A2132),IF(AND(AH!$P$10=1,AH!$P$12=1,$A2132=TODAY()),AH!$P$18,IF(AH!$P$10=1,INDEX('Live History'!$E$5:$E$3004,MATCH($A2132,'Live History'!$D$5:$D$3004,1)),INDEX('AH History'!$C$1:$C$18046,AH!$P$7+2127))),NA()),NA())</ns0:f>
        <ns0:v/>
      </ns0:c>
      <ns0:c r="E2132">
        <ns0:f>IFERROR(IF(ISNUMBER($A2132),IF(AND(AH!$P$10=1,AH!$P$12=1,$A2132=TODAY()),AH!$P$20,IF(AH!$P$10=1,INDEX('Live History'!$H$5:$H$3004,MATCH($A2132,'Live History'!$G$5:$G$3004,1)),INDEX('AH History'!$D$1:$D$18046,AH!$P$7+2127))),NA()),NA())</ns0:f>
        <ns0:v/>
      </ns0:c>
      <ns0:c r="F2132">
        <ns0:f>IFERROR(IF(ISNUMBER($A2132),IF(AND(AH!$P$10=1,AH!$P$12=1,$A2132=TODAY()),IF(AND(AH!$P$10=1,AH!$P$12=1,$A2132=TODAY()),TODAY(),NA()),IF(AH!$P$10=1,INDEX('Live History'!$D$5:$D$3004,MATCH($A2132,'Live History'!$D$5:$D$3004,1)),INDEX('AH History'!$E$1:$E$18046,AH!$P$7+2127))),NA()),NA())</ns0:f>
        <ns0:v/>
      </ns0:c>
      <ns0:c r="G2132">
        <ns0:f>IFERROR(IF(ISNUMBER($A2132),IF(AND(AH!$P$10=1,AH!$P$12=1,$A2132=TODAY()),IF(AND(AH!$P$10=1,AH!$P$12=1,$A2132=TODAY()),TODAY(),NA()),IF(AH!$P$10=1,INDEX('Live History'!$G$5:$G$3004,MATCH($A2132,'Live History'!$G$5:$G$3004,1)),INDEX('AH History'!$F$1:$F$18046,AH!$P$7+2127))),NA()),NA())</ns0:f>
        <ns0:v/>
      </ns0:c>
      <ns0:c r="H2132">
        <ns0:f>IFERROR(IF(AND(AH!$E$4="Bloomberg",AH!$P$10=1,ISNUMBER($A2132),$A2132&lt;=AH!$P$17),AH!$P$7-1+MATCH($A2132,INDEX('AH History'!$A$1:$A$18046,AH!$P$7):INDEX('AH History'!$A$1:$A$18046,AH!$P$7+AH!$P$8-1),0),0),0)</ns0:f>
        <ns0:v/>
      </ns0:c>
      <ns0:c r="I2132">
        <ns0:f>IF($H2132=0,0,IFERROR(IF(AND(ABS($C2132-INDEX('AH History'!$B$1:$B$18046,$H2132))&lt;=MAX(0.005,ABS(INDEX('AH History'!$B$1:$B$18046,$H2132))*0.00005),ABS($D2132-INDEX('AH History'!$C$1:$C$18046,$H2132))&lt;=MAX(0.005,ABS(INDEX('AH History'!$C$1:$C$18046,$H2132))*0.00005),ABS($E2132-INDEX('AH History'!$D$1:$D$18046,$H2132))&lt;=0.00005,$F2132=INDEX('AH History'!$E$1:$E$18046,$H2132),$G2132=INDEX('AH History'!$F$1:$F$18046,$H2132)),1,-1),-1))</ns0:f>
        <ns0:v/>
      </ns0:c>
    </ns0:row>
    <ns0:row r="2133">
      <ns0:c r="A2133" s="215">
        <ns0:f>IF(OR(AH!$P$3=0,2128+1&gt;AH!$P$11,AND(AH!$E$4&lt;&gt;"Stored",AH!$P$10&lt;&gt;1)),"",IFERROR(IF(AND(AH!$P$21=1,2128+1=AH!$P$11),TODAY(),IF(AH!$P$10=1,INDEX('Live History'!$A$5:$A$3004,AH!$P$13+2128),INDEX('AH History'!$A$1:$A$18046,AH!$P$7+2128))),""))</ns0:f>
        <ns0:v/>
      </ns0:c>
      <ns0:c r="B2133" s="219">
        <ns0:f>IFERROR(IF(AND(AH!$P$9&lt;&gt;1,$C2133&gt;0,$D2133&gt;0,$E2133&gt;0,$F2133&gt;0,$G2133&gt;0,$F2133&lt;=$A2133,$G2133&lt;=$A2133,$A2133-$F2133&lt;=10,$A2133-$G2133&lt;=5),$D2133*$E2133/$C2133-1,NA()),NA())</ns0:f>
        <ns0:v/>
      </ns0:c>
      <ns0:c r="C2133">
        <ns0:f>IFERROR(IF(ISNUMBER($A2133),IF(AND(AH!$P$10=1,AH!$P$12=1,$A2133=TODAY()),AH!$P$19,IF(AH!$P$10=1,INDEX('Live History'!$B$5:$B$3004,AH!$P$13+2128),INDEX('AH History'!$B$1:$B$18046,AH!$P$7+2128))),NA()),NA())</ns0:f>
        <ns0:v/>
      </ns0:c>
      <ns0:c r="D2133">
        <ns0:f>IFERROR(IF(ISNUMBER($A2133),IF(AND(AH!$P$10=1,AH!$P$12=1,$A2133=TODAY()),AH!$P$18,IF(AH!$P$10=1,INDEX('Live History'!$E$5:$E$3004,MATCH($A2133,'Live History'!$D$5:$D$3004,1)),INDEX('AH History'!$C$1:$C$18046,AH!$P$7+2128))),NA()),NA())</ns0:f>
        <ns0:v/>
      </ns0:c>
      <ns0:c r="E2133">
        <ns0:f>IFERROR(IF(ISNUMBER($A2133),IF(AND(AH!$P$10=1,AH!$P$12=1,$A2133=TODAY()),AH!$P$20,IF(AH!$P$10=1,INDEX('Live History'!$H$5:$H$3004,MATCH($A2133,'Live History'!$G$5:$G$3004,1)),INDEX('AH History'!$D$1:$D$18046,AH!$P$7+2128))),NA()),NA())</ns0:f>
        <ns0:v/>
      </ns0:c>
      <ns0:c r="F2133">
        <ns0:f>IFERROR(IF(ISNUMBER($A2133),IF(AND(AH!$P$10=1,AH!$P$12=1,$A2133=TODAY()),IF(AND(AH!$P$10=1,AH!$P$12=1,$A2133=TODAY()),TODAY(),NA()),IF(AH!$P$10=1,INDEX('Live History'!$D$5:$D$3004,MATCH($A2133,'Live History'!$D$5:$D$3004,1)),INDEX('AH History'!$E$1:$E$18046,AH!$P$7+2128))),NA()),NA())</ns0:f>
        <ns0:v/>
      </ns0:c>
      <ns0:c r="G2133">
        <ns0:f>IFERROR(IF(ISNUMBER($A2133),IF(AND(AH!$P$10=1,AH!$P$12=1,$A2133=TODAY()),IF(AND(AH!$P$10=1,AH!$P$12=1,$A2133=TODAY()),TODAY(),NA()),IF(AH!$P$10=1,INDEX('Live History'!$G$5:$G$3004,MATCH($A2133,'Live History'!$G$5:$G$3004,1)),INDEX('AH History'!$F$1:$F$18046,AH!$P$7+2128))),NA()),NA())</ns0:f>
        <ns0:v/>
      </ns0:c>
      <ns0:c r="H2133">
        <ns0:f>IFERROR(IF(AND(AH!$E$4="Bloomberg",AH!$P$10=1,ISNUMBER($A2133),$A2133&lt;=AH!$P$17),AH!$P$7-1+MATCH($A2133,INDEX('AH History'!$A$1:$A$18046,AH!$P$7):INDEX('AH History'!$A$1:$A$18046,AH!$P$7+AH!$P$8-1),0),0),0)</ns0:f>
        <ns0:v/>
      </ns0:c>
      <ns0:c r="I2133">
        <ns0:f>IF($H2133=0,0,IFERROR(IF(AND(ABS($C2133-INDEX('AH History'!$B$1:$B$18046,$H2133))&lt;=MAX(0.005,ABS(INDEX('AH History'!$B$1:$B$18046,$H2133))*0.00005),ABS($D2133-INDEX('AH History'!$C$1:$C$18046,$H2133))&lt;=MAX(0.005,ABS(INDEX('AH History'!$C$1:$C$18046,$H2133))*0.00005),ABS($E2133-INDEX('AH History'!$D$1:$D$18046,$H2133))&lt;=0.00005,$F2133=INDEX('AH History'!$E$1:$E$18046,$H2133),$G2133=INDEX('AH History'!$F$1:$F$18046,$H2133)),1,-1),-1))</ns0:f>
        <ns0:v/>
      </ns0:c>
    </ns0:row>
    <ns0:row r="2134">
      <ns0:c r="A2134" s="215">
        <ns0:f>IF(OR(AH!$P$3=0,2129+1&gt;AH!$P$11,AND(AH!$E$4&lt;&gt;"Stored",AH!$P$10&lt;&gt;1)),"",IFERROR(IF(AND(AH!$P$21=1,2129+1=AH!$P$11),TODAY(),IF(AH!$P$10=1,INDEX('Live History'!$A$5:$A$3004,AH!$P$13+2129),INDEX('AH History'!$A$1:$A$18046,AH!$P$7+2129))),""))</ns0:f>
        <ns0:v/>
      </ns0:c>
      <ns0:c r="B2134" s="219">
        <ns0:f>IFERROR(IF(AND(AH!$P$9&lt;&gt;1,$C2134&gt;0,$D2134&gt;0,$E2134&gt;0,$F2134&gt;0,$G2134&gt;0,$F2134&lt;=$A2134,$G2134&lt;=$A2134,$A2134-$F2134&lt;=10,$A2134-$G2134&lt;=5),$D2134*$E2134/$C2134-1,NA()),NA())</ns0:f>
        <ns0:v/>
      </ns0:c>
      <ns0:c r="C2134">
        <ns0:f>IFERROR(IF(ISNUMBER($A2134),IF(AND(AH!$P$10=1,AH!$P$12=1,$A2134=TODAY()),AH!$P$19,IF(AH!$P$10=1,INDEX('Live History'!$B$5:$B$3004,AH!$P$13+2129),INDEX('AH History'!$B$1:$B$18046,AH!$P$7+2129))),NA()),NA())</ns0:f>
        <ns0:v/>
      </ns0:c>
      <ns0:c r="D2134">
        <ns0:f>IFERROR(IF(ISNUMBER($A2134),IF(AND(AH!$P$10=1,AH!$P$12=1,$A2134=TODAY()),AH!$P$18,IF(AH!$P$10=1,INDEX('Live History'!$E$5:$E$3004,MATCH($A2134,'Live History'!$D$5:$D$3004,1)),INDEX('AH History'!$C$1:$C$18046,AH!$P$7+2129))),NA()),NA())</ns0:f>
        <ns0:v/>
      </ns0:c>
      <ns0:c r="E2134">
        <ns0:f>IFERROR(IF(ISNUMBER($A2134),IF(AND(AH!$P$10=1,AH!$P$12=1,$A2134=TODAY()),AH!$P$20,IF(AH!$P$10=1,INDEX('Live History'!$H$5:$H$3004,MATCH($A2134,'Live History'!$G$5:$G$3004,1)),INDEX('AH History'!$D$1:$D$18046,AH!$P$7+2129))),NA()),NA())</ns0:f>
        <ns0:v/>
      </ns0:c>
      <ns0:c r="F2134">
        <ns0:f>IFERROR(IF(ISNUMBER($A2134),IF(AND(AH!$P$10=1,AH!$P$12=1,$A2134=TODAY()),IF(AND(AH!$P$10=1,AH!$P$12=1,$A2134=TODAY()),TODAY(),NA()),IF(AH!$P$10=1,INDEX('Live History'!$D$5:$D$3004,MATCH($A2134,'Live History'!$D$5:$D$3004,1)),INDEX('AH History'!$E$1:$E$18046,AH!$P$7+2129))),NA()),NA())</ns0:f>
        <ns0:v/>
      </ns0:c>
      <ns0:c r="G2134">
        <ns0:f>IFERROR(IF(ISNUMBER($A2134),IF(AND(AH!$P$10=1,AH!$P$12=1,$A2134=TODAY()),IF(AND(AH!$P$10=1,AH!$P$12=1,$A2134=TODAY()),TODAY(),NA()),IF(AH!$P$10=1,INDEX('Live History'!$G$5:$G$3004,MATCH($A2134,'Live History'!$G$5:$G$3004,1)),INDEX('AH History'!$F$1:$F$18046,AH!$P$7+2129))),NA()),NA())</ns0:f>
        <ns0:v/>
      </ns0:c>
      <ns0:c r="H2134">
        <ns0:f>IFERROR(IF(AND(AH!$E$4="Bloomberg",AH!$P$10=1,ISNUMBER($A2134),$A2134&lt;=AH!$P$17),AH!$P$7-1+MATCH($A2134,INDEX('AH History'!$A$1:$A$18046,AH!$P$7):INDEX('AH History'!$A$1:$A$18046,AH!$P$7+AH!$P$8-1),0),0),0)</ns0:f>
        <ns0:v/>
      </ns0:c>
      <ns0:c r="I2134">
        <ns0:f>IF($H2134=0,0,IFERROR(IF(AND(ABS($C2134-INDEX('AH History'!$B$1:$B$18046,$H2134))&lt;=MAX(0.005,ABS(INDEX('AH History'!$B$1:$B$18046,$H2134))*0.00005),ABS($D2134-INDEX('AH History'!$C$1:$C$18046,$H2134))&lt;=MAX(0.005,ABS(INDEX('AH History'!$C$1:$C$18046,$H2134))*0.00005),ABS($E2134-INDEX('AH History'!$D$1:$D$18046,$H2134))&lt;=0.00005,$F2134=INDEX('AH History'!$E$1:$E$18046,$H2134),$G2134=INDEX('AH History'!$F$1:$F$18046,$H2134)),1,-1),-1))</ns0:f>
        <ns0:v/>
      </ns0:c>
    </ns0:row>
    <ns0:row r="2135">
      <ns0:c r="A2135" s="215">
        <ns0:f>IF(OR(AH!$P$3=0,2130+1&gt;AH!$P$11,AND(AH!$E$4&lt;&gt;"Stored",AH!$P$10&lt;&gt;1)),"",IFERROR(IF(AND(AH!$P$21=1,2130+1=AH!$P$11),TODAY(),IF(AH!$P$10=1,INDEX('Live History'!$A$5:$A$3004,AH!$P$13+2130),INDEX('AH History'!$A$1:$A$18046,AH!$P$7+2130))),""))</ns0:f>
        <ns0:v/>
      </ns0:c>
      <ns0:c r="B2135" s="219">
        <ns0:f>IFERROR(IF(AND(AH!$P$9&lt;&gt;1,$C2135&gt;0,$D2135&gt;0,$E2135&gt;0,$F2135&gt;0,$G2135&gt;0,$F2135&lt;=$A2135,$G2135&lt;=$A2135,$A2135-$F2135&lt;=10,$A2135-$G2135&lt;=5),$D2135*$E2135/$C2135-1,NA()),NA())</ns0:f>
        <ns0:v/>
      </ns0:c>
      <ns0:c r="C2135">
        <ns0:f>IFERROR(IF(ISNUMBER($A2135),IF(AND(AH!$P$10=1,AH!$P$12=1,$A2135=TODAY()),AH!$P$19,IF(AH!$P$10=1,INDEX('Live History'!$B$5:$B$3004,AH!$P$13+2130),INDEX('AH History'!$B$1:$B$18046,AH!$P$7+2130))),NA()),NA())</ns0:f>
        <ns0:v/>
      </ns0:c>
      <ns0:c r="D2135">
        <ns0:f>IFERROR(IF(ISNUMBER($A2135),IF(AND(AH!$P$10=1,AH!$P$12=1,$A2135=TODAY()),AH!$P$18,IF(AH!$P$10=1,INDEX('Live History'!$E$5:$E$3004,MATCH($A2135,'Live History'!$D$5:$D$3004,1)),INDEX('AH History'!$C$1:$C$18046,AH!$P$7+2130))),NA()),NA())</ns0:f>
        <ns0:v/>
      </ns0:c>
      <ns0:c r="E2135">
        <ns0:f>IFERROR(IF(ISNUMBER($A2135),IF(AND(AH!$P$10=1,AH!$P$12=1,$A2135=TODAY()),AH!$P$20,IF(AH!$P$10=1,INDEX('Live History'!$H$5:$H$3004,MATCH($A2135,'Live History'!$G$5:$G$3004,1)),INDEX('AH History'!$D$1:$D$18046,AH!$P$7+2130))),NA()),NA())</ns0:f>
        <ns0:v/>
      </ns0:c>
      <ns0:c r="F2135">
        <ns0:f>IFERROR(IF(ISNUMBER($A2135),IF(AND(AH!$P$10=1,AH!$P$12=1,$A2135=TODAY()),IF(AND(AH!$P$10=1,AH!$P$12=1,$A2135=TODAY()),TODAY(),NA()),IF(AH!$P$10=1,INDEX('Live History'!$D$5:$D$3004,MATCH($A2135,'Live History'!$D$5:$D$3004,1)),INDEX('AH History'!$E$1:$E$18046,AH!$P$7+2130))),NA()),NA())</ns0:f>
        <ns0:v/>
      </ns0:c>
      <ns0:c r="G2135">
        <ns0:f>IFERROR(IF(ISNUMBER($A2135),IF(AND(AH!$P$10=1,AH!$P$12=1,$A2135=TODAY()),IF(AND(AH!$P$10=1,AH!$P$12=1,$A2135=TODAY()),TODAY(),NA()),IF(AH!$P$10=1,INDEX('Live History'!$G$5:$G$3004,MATCH($A2135,'Live History'!$G$5:$G$3004,1)),INDEX('AH History'!$F$1:$F$18046,AH!$P$7+2130))),NA()),NA())</ns0:f>
        <ns0:v/>
      </ns0:c>
      <ns0:c r="H2135">
        <ns0:f>IFERROR(IF(AND(AH!$E$4="Bloomberg",AH!$P$10=1,ISNUMBER($A2135),$A2135&lt;=AH!$P$17),AH!$P$7-1+MATCH($A2135,INDEX('AH History'!$A$1:$A$18046,AH!$P$7):INDEX('AH History'!$A$1:$A$18046,AH!$P$7+AH!$P$8-1),0),0),0)</ns0:f>
        <ns0:v/>
      </ns0:c>
      <ns0:c r="I2135">
        <ns0:f>IF($H2135=0,0,IFERROR(IF(AND(ABS($C2135-INDEX('AH History'!$B$1:$B$18046,$H2135))&lt;=MAX(0.005,ABS(INDEX('AH History'!$B$1:$B$18046,$H2135))*0.00005),ABS($D2135-INDEX('AH History'!$C$1:$C$18046,$H2135))&lt;=MAX(0.005,ABS(INDEX('AH History'!$C$1:$C$18046,$H2135))*0.00005),ABS($E2135-INDEX('AH History'!$D$1:$D$18046,$H2135))&lt;=0.00005,$F2135=INDEX('AH History'!$E$1:$E$18046,$H2135),$G2135=INDEX('AH History'!$F$1:$F$18046,$H2135)),1,-1),-1))</ns0:f>
        <ns0:v/>
      </ns0:c>
    </ns0:row>
    <ns0:row r="2136">
      <ns0:c r="A2136" s="215">
        <ns0:f>IF(OR(AH!$P$3=0,2131+1&gt;AH!$P$11,AND(AH!$E$4&lt;&gt;"Stored",AH!$P$10&lt;&gt;1)),"",IFERROR(IF(AND(AH!$P$21=1,2131+1=AH!$P$11),TODAY(),IF(AH!$P$10=1,INDEX('Live History'!$A$5:$A$3004,AH!$P$13+2131),INDEX('AH History'!$A$1:$A$18046,AH!$P$7+2131))),""))</ns0:f>
        <ns0:v/>
      </ns0:c>
      <ns0:c r="B2136" s="219">
        <ns0:f>IFERROR(IF(AND(AH!$P$9&lt;&gt;1,$C2136&gt;0,$D2136&gt;0,$E2136&gt;0,$F2136&gt;0,$G2136&gt;0,$F2136&lt;=$A2136,$G2136&lt;=$A2136,$A2136-$F2136&lt;=10,$A2136-$G2136&lt;=5),$D2136*$E2136/$C2136-1,NA()),NA())</ns0:f>
        <ns0:v/>
      </ns0:c>
      <ns0:c r="C2136">
        <ns0:f>IFERROR(IF(ISNUMBER($A2136),IF(AND(AH!$P$10=1,AH!$P$12=1,$A2136=TODAY()),AH!$P$19,IF(AH!$P$10=1,INDEX('Live History'!$B$5:$B$3004,AH!$P$13+2131),INDEX('AH History'!$B$1:$B$18046,AH!$P$7+2131))),NA()),NA())</ns0:f>
        <ns0:v/>
      </ns0:c>
      <ns0:c r="D2136">
        <ns0:f>IFERROR(IF(ISNUMBER($A2136),IF(AND(AH!$P$10=1,AH!$P$12=1,$A2136=TODAY()),AH!$P$18,IF(AH!$P$10=1,INDEX('Live History'!$E$5:$E$3004,MATCH($A2136,'Live History'!$D$5:$D$3004,1)),INDEX('AH History'!$C$1:$C$18046,AH!$P$7+2131))),NA()),NA())</ns0:f>
        <ns0:v/>
      </ns0:c>
      <ns0:c r="E2136">
        <ns0:f>IFERROR(IF(ISNUMBER($A2136),IF(AND(AH!$P$10=1,AH!$P$12=1,$A2136=TODAY()),AH!$P$20,IF(AH!$P$10=1,INDEX('Live History'!$H$5:$H$3004,MATCH($A2136,'Live History'!$G$5:$G$3004,1)),INDEX('AH History'!$D$1:$D$18046,AH!$P$7+2131))),NA()),NA())</ns0:f>
        <ns0:v/>
      </ns0:c>
      <ns0:c r="F2136">
        <ns0:f>IFERROR(IF(ISNUMBER($A2136),IF(AND(AH!$P$10=1,AH!$P$12=1,$A2136=TODAY()),IF(AND(AH!$P$10=1,AH!$P$12=1,$A2136=TODAY()),TODAY(),NA()),IF(AH!$P$10=1,INDEX('Live History'!$D$5:$D$3004,MATCH($A2136,'Live History'!$D$5:$D$3004,1)),INDEX('AH History'!$E$1:$E$18046,AH!$P$7+2131))),NA()),NA())</ns0:f>
        <ns0:v/>
      </ns0:c>
      <ns0:c r="G2136">
        <ns0:f>IFERROR(IF(ISNUMBER($A2136),IF(AND(AH!$P$10=1,AH!$P$12=1,$A2136=TODAY()),IF(AND(AH!$P$10=1,AH!$P$12=1,$A2136=TODAY()),TODAY(),NA()),IF(AH!$P$10=1,INDEX('Live History'!$G$5:$G$3004,MATCH($A2136,'Live History'!$G$5:$G$3004,1)),INDEX('AH History'!$F$1:$F$18046,AH!$P$7+2131))),NA()),NA())</ns0:f>
        <ns0:v/>
      </ns0:c>
      <ns0:c r="H2136">
        <ns0:f>IFERROR(IF(AND(AH!$E$4="Bloomberg",AH!$P$10=1,ISNUMBER($A2136),$A2136&lt;=AH!$P$17),AH!$P$7-1+MATCH($A2136,INDEX('AH History'!$A$1:$A$18046,AH!$P$7):INDEX('AH History'!$A$1:$A$18046,AH!$P$7+AH!$P$8-1),0),0),0)</ns0:f>
        <ns0:v/>
      </ns0:c>
      <ns0:c r="I2136">
        <ns0:f>IF($H2136=0,0,IFERROR(IF(AND(ABS($C2136-INDEX('AH History'!$B$1:$B$18046,$H2136))&lt;=MAX(0.005,ABS(INDEX('AH History'!$B$1:$B$18046,$H2136))*0.00005),ABS($D2136-INDEX('AH History'!$C$1:$C$18046,$H2136))&lt;=MAX(0.005,ABS(INDEX('AH History'!$C$1:$C$18046,$H2136))*0.00005),ABS($E2136-INDEX('AH History'!$D$1:$D$18046,$H2136))&lt;=0.00005,$F2136=INDEX('AH History'!$E$1:$E$18046,$H2136),$G2136=INDEX('AH History'!$F$1:$F$18046,$H2136)),1,-1),-1))</ns0:f>
        <ns0:v/>
      </ns0:c>
    </ns0:row>
    <ns0:row r="2137">
      <ns0:c r="A2137" s="215">
        <ns0:f>IF(OR(AH!$P$3=0,2132+1&gt;AH!$P$11,AND(AH!$E$4&lt;&gt;"Stored",AH!$P$10&lt;&gt;1)),"",IFERROR(IF(AND(AH!$P$21=1,2132+1=AH!$P$11),TODAY(),IF(AH!$P$10=1,INDEX('Live History'!$A$5:$A$3004,AH!$P$13+2132),INDEX('AH History'!$A$1:$A$18046,AH!$P$7+2132))),""))</ns0:f>
        <ns0:v/>
      </ns0:c>
      <ns0:c r="B2137" s="219">
        <ns0:f>IFERROR(IF(AND(AH!$P$9&lt;&gt;1,$C2137&gt;0,$D2137&gt;0,$E2137&gt;0,$F2137&gt;0,$G2137&gt;0,$F2137&lt;=$A2137,$G2137&lt;=$A2137,$A2137-$F2137&lt;=10,$A2137-$G2137&lt;=5),$D2137*$E2137/$C2137-1,NA()),NA())</ns0:f>
        <ns0:v/>
      </ns0:c>
      <ns0:c r="C2137">
        <ns0:f>IFERROR(IF(ISNUMBER($A2137),IF(AND(AH!$P$10=1,AH!$P$12=1,$A2137=TODAY()),AH!$P$19,IF(AH!$P$10=1,INDEX('Live History'!$B$5:$B$3004,AH!$P$13+2132),INDEX('AH History'!$B$1:$B$18046,AH!$P$7+2132))),NA()),NA())</ns0:f>
        <ns0:v/>
      </ns0:c>
      <ns0:c r="D2137">
        <ns0:f>IFERROR(IF(ISNUMBER($A2137),IF(AND(AH!$P$10=1,AH!$P$12=1,$A2137=TODAY()),AH!$P$18,IF(AH!$P$10=1,INDEX('Live History'!$E$5:$E$3004,MATCH($A2137,'Live History'!$D$5:$D$3004,1)),INDEX('AH History'!$C$1:$C$18046,AH!$P$7+2132))),NA()),NA())</ns0:f>
        <ns0:v/>
      </ns0:c>
      <ns0:c r="E2137">
        <ns0:f>IFERROR(IF(ISNUMBER($A2137),IF(AND(AH!$P$10=1,AH!$P$12=1,$A2137=TODAY()),AH!$P$20,IF(AH!$P$10=1,INDEX('Live History'!$H$5:$H$3004,MATCH($A2137,'Live History'!$G$5:$G$3004,1)),INDEX('AH History'!$D$1:$D$18046,AH!$P$7+2132))),NA()),NA())</ns0:f>
        <ns0:v/>
      </ns0:c>
      <ns0:c r="F2137">
        <ns0:f>IFERROR(IF(ISNUMBER($A2137),IF(AND(AH!$P$10=1,AH!$P$12=1,$A2137=TODAY()),IF(AND(AH!$P$10=1,AH!$P$12=1,$A2137=TODAY()),TODAY(),NA()),IF(AH!$P$10=1,INDEX('Live History'!$D$5:$D$3004,MATCH($A2137,'Live History'!$D$5:$D$3004,1)),INDEX('AH History'!$E$1:$E$18046,AH!$P$7+2132))),NA()),NA())</ns0:f>
        <ns0:v/>
      </ns0:c>
      <ns0:c r="G2137">
        <ns0:f>IFERROR(IF(ISNUMBER($A2137),IF(AND(AH!$P$10=1,AH!$P$12=1,$A2137=TODAY()),IF(AND(AH!$P$10=1,AH!$P$12=1,$A2137=TODAY()),TODAY(),NA()),IF(AH!$P$10=1,INDEX('Live History'!$G$5:$G$3004,MATCH($A2137,'Live History'!$G$5:$G$3004,1)),INDEX('AH History'!$F$1:$F$18046,AH!$P$7+2132))),NA()),NA())</ns0:f>
        <ns0:v/>
      </ns0:c>
      <ns0:c r="H2137">
        <ns0:f>IFERROR(IF(AND(AH!$E$4="Bloomberg",AH!$P$10=1,ISNUMBER($A2137),$A2137&lt;=AH!$P$17),AH!$P$7-1+MATCH($A2137,INDEX('AH History'!$A$1:$A$18046,AH!$P$7):INDEX('AH History'!$A$1:$A$18046,AH!$P$7+AH!$P$8-1),0),0),0)</ns0:f>
        <ns0:v/>
      </ns0:c>
      <ns0:c r="I2137">
        <ns0:f>IF($H2137=0,0,IFERROR(IF(AND(ABS($C2137-INDEX('AH History'!$B$1:$B$18046,$H2137))&lt;=MAX(0.005,ABS(INDEX('AH History'!$B$1:$B$18046,$H2137))*0.00005),ABS($D2137-INDEX('AH History'!$C$1:$C$18046,$H2137))&lt;=MAX(0.005,ABS(INDEX('AH History'!$C$1:$C$18046,$H2137))*0.00005),ABS($E2137-INDEX('AH History'!$D$1:$D$18046,$H2137))&lt;=0.00005,$F2137=INDEX('AH History'!$E$1:$E$18046,$H2137),$G2137=INDEX('AH History'!$F$1:$F$18046,$H2137)),1,-1),-1))</ns0:f>
        <ns0:v/>
      </ns0:c>
    </ns0:row>
    <ns0:row r="2138">
      <ns0:c r="A2138" s="215">
        <ns0:f>IF(OR(AH!$P$3=0,2133+1&gt;AH!$P$11,AND(AH!$E$4&lt;&gt;"Stored",AH!$P$10&lt;&gt;1)),"",IFERROR(IF(AND(AH!$P$21=1,2133+1=AH!$P$11),TODAY(),IF(AH!$P$10=1,INDEX('Live History'!$A$5:$A$3004,AH!$P$13+2133),INDEX('AH History'!$A$1:$A$18046,AH!$P$7+2133))),""))</ns0:f>
        <ns0:v/>
      </ns0:c>
      <ns0:c r="B2138" s="219">
        <ns0:f>IFERROR(IF(AND(AH!$P$9&lt;&gt;1,$C2138&gt;0,$D2138&gt;0,$E2138&gt;0,$F2138&gt;0,$G2138&gt;0,$F2138&lt;=$A2138,$G2138&lt;=$A2138,$A2138-$F2138&lt;=10,$A2138-$G2138&lt;=5),$D2138*$E2138/$C2138-1,NA()),NA())</ns0:f>
        <ns0:v/>
      </ns0:c>
      <ns0:c r="C2138">
        <ns0:f>IFERROR(IF(ISNUMBER($A2138),IF(AND(AH!$P$10=1,AH!$P$12=1,$A2138=TODAY()),AH!$P$19,IF(AH!$P$10=1,INDEX('Live History'!$B$5:$B$3004,AH!$P$13+2133),INDEX('AH History'!$B$1:$B$18046,AH!$P$7+2133))),NA()),NA())</ns0:f>
        <ns0:v/>
      </ns0:c>
      <ns0:c r="D2138">
        <ns0:f>IFERROR(IF(ISNUMBER($A2138),IF(AND(AH!$P$10=1,AH!$P$12=1,$A2138=TODAY()),AH!$P$18,IF(AH!$P$10=1,INDEX('Live History'!$E$5:$E$3004,MATCH($A2138,'Live History'!$D$5:$D$3004,1)),INDEX('AH History'!$C$1:$C$18046,AH!$P$7+2133))),NA()),NA())</ns0:f>
        <ns0:v/>
      </ns0:c>
      <ns0:c r="E2138">
        <ns0:f>IFERROR(IF(ISNUMBER($A2138),IF(AND(AH!$P$10=1,AH!$P$12=1,$A2138=TODAY()),AH!$P$20,IF(AH!$P$10=1,INDEX('Live History'!$H$5:$H$3004,MATCH($A2138,'Live History'!$G$5:$G$3004,1)),INDEX('AH History'!$D$1:$D$18046,AH!$P$7+2133))),NA()),NA())</ns0:f>
        <ns0:v/>
      </ns0:c>
      <ns0:c r="F2138">
        <ns0:f>IFERROR(IF(ISNUMBER($A2138),IF(AND(AH!$P$10=1,AH!$P$12=1,$A2138=TODAY()),IF(AND(AH!$P$10=1,AH!$P$12=1,$A2138=TODAY()),TODAY(),NA()),IF(AH!$P$10=1,INDEX('Live History'!$D$5:$D$3004,MATCH($A2138,'Live History'!$D$5:$D$3004,1)),INDEX('AH History'!$E$1:$E$18046,AH!$P$7+2133))),NA()),NA())</ns0:f>
        <ns0:v/>
      </ns0:c>
      <ns0:c r="G2138">
        <ns0:f>IFERROR(IF(ISNUMBER($A2138),IF(AND(AH!$P$10=1,AH!$P$12=1,$A2138=TODAY()),IF(AND(AH!$P$10=1,AH!$P$12=1,$A2138=TODAY()),TODAY(),NA()),IF(AH!$P$10=1,INDEX('Live History'!$G$5:$G$3004,MATCH($A2138,'Live History'!$G$5:$G$3004,1)),INDEX('AH History'!$F$1:$F$18046,AH!$P$7+2133))),NA()),NA())</ns0:f>
        <ns0:v/>
      </ns0:c>
      <ns0:c r="H2138">
        <ns0:f>IFERROR(IF(AND(AH!$E$4="Bloomberg",AH!$P$10=1,ISNUMBER($A2138),$A2138&lt;=AH!$P$17),AH!$P$7-1+MATCH($A2138,INDEX('AH History'!$A$1:$A$18046,AH!$P$7):INDEX('AH History'!$A$1:$A$18046,AH!$P$7+AH!$P$8-1),0),0),0)</ns0:f>
        <ns0:v/>
      </ns0:c>
      <ns0:c r="I2138">
        <ns0:f>IF($H2138=0,0,IFERROR(IF(AND(ABS($C2138-INDEX('AH History'!$B$1:$B$18046,$H2138))&lt;=MAX(0.005,ABS(INDEX('AH History'!$B$1:$B$18046,$H2138))*0.00005),ABS($D2138-INDEX('AH History'!$C$1:$C$18046,$H2138))&lt;=MAX(0.005,ABS(INDEX('AH History'!$C$1:$C$18046,$H2138))*0.00005),ABS($E2138-INDEX('AH History'!$D$1:$D$18046,$H2138))&lt;=0.00005,$F2138=INDEX('AH History'!$E$1:$E$18046,$H2138),$G2138=INDEX('AH History'!$F$1:$F$18046,$H2138)),1,-1),-1))</ns0:f>
        <ns0:v/>
      </ns0:c>
    </ns0:row>
    <ns0:row r="2139">
      <ns0:c r="A2139" s="215">
        <ns0:f>IF(OR(AH!$P$3=0,2134+1&gt;AH!$P$11,AND(AH!$E$4&lt;&gt;"Stored",AH!$P$10&lt;&gt;1)),"",IFERROR(IF(AND(AH!$P$21=1,2134+1=AH!$P$11),TODAY(),IF(AH!$P$10=1,INDEX('Live History'!$A$5:$A$3004,AH!$P$13+2134),INDEX('AH History'!$A$1:$A$18046,AH!$P$7+2134))),""))</ns0:f>
        <ns0:v/>
      </ns0:c>
      <ns0:c r="B2139" s="219">
        <ns0:f>IFERROR(IF(AND(AH!$P$9&lt;&gt;1,$C2139&gt;0,$D2139&gt;0,$E2139&gt;0,$F2139&gt;0,$G2139&gt;0,$F2139&lt;=$A2139,$G2139&lt;=$A2139,$A2139-$F2139&lt;=10,$A2139-$G2139&lt;=5),$D2139*$E2139/$C2139-1,NA()),NA())</ns0:f>
        <ns0:v/>
      </ns0:c>
      <ns0:c r="C2139">
        <ns0:f>IFERROR(IF(ISNUMBER($A2139),IF(AND(AH!$P$10=1,AH!$P$12=1,$A2139=TODAY()),AH!$P$19,IF(AH!$P$10=1,INDEX('Live History'!$B$5:$B$3004,AH!$P$13+2134),INDEX('AH History'!$B$1:$B$18046,AH!$P$7+2134))),NA()),NA())</ns0:f>
        <ns0:v/>
      </ns0:c>
      <ns0:c r="D2139">
        <ns0:f>IFERROR(IF(ISNUMBER($A2139),IF(AND(AH!$P$10=1,AH!$P$12=1,$A2139=TODAY()),AH!$P$18,IF(AH!$P$10=1,INDEX('Live History'!$E$5:$E$3004,MATCH($A2139,'Live History'!$D$5:$D$3004,1)),INDEX('AH History'!$C$1:$C$18046,AH!$P$7+2134))),NA()),NA())</ns0:f>
        <ns0:v/>
      </ns0:c>
      <ns0:c r="E2139">
        <ns0:f>IFERROR(IF(ISNUMBER($A2139),IF(AND(AH!$P$10=1,AH!$P$12=1,$A2139=TODAY()),AH!$P$20,IF(AH!$P$10=1,INDEX('Live History'!$H$5:$H$3004,MATCH($A2139,'Live History'!$G$5:$G$3004,1)),INDEX('AH History'!$D$1:$D$18046,AH!$P$7+2134))),NA()),NA())</ns0:f>
        <ns0:v/>
      </ns0:c>
      <ns0:c r="F2139">
        <ns0:f>IFERROR(IF(ISNUMBER($A2139),IF(AND(AH!$P$10=1,AH!$P$12=1,$A2139=TODAY()),IF(AND(AH!$P$10=1,AH!$P$12=1,$A2139=TODAY()),TODAY(),NA()),IF(AH!$P$10=1,INDEX('Live History'!$D$5:$D$3004,MATCH($A2139,'Live History'!$D$5:$D$3004,1)),INDEX('AH History'!$E$1:$E$18046,AH!$P$7+2134))),NA()),NA())</ns0:f>
        <ns0:v/>
      </ns0:c>
      <ns0:c r="G2139">
        <ns0:f>IFERROR(IF(ISNUMBER($A2139),IF(AND(AH!$P$10=1,AH!$P$12=1,$A2139=TODAY()),IF(AND(AH!$P$10=1,AH!$P$12=1,$A2139=TODAY()),TODAY(),NA()),IF(AH!$P$10=1,INDEX('Live History'!$G$5:$G$3004,MATCH($A2139,'Live History'!$G$5:$G$3004,1)),INDEX('AH History'!$F$1:$F$18046,AH!$P$7+2134))),NA()),NA())</ns0:f>
        <ns0:v/>
      </ns0:c>
      <ns0:c r="H2139">
        <ns0:f>IFERROR(IF(AND(AH!$E$4="Bloomberg",AH!$P$10=1,ISNUMBER($A2139),$A2139&lt;=AH!$P$17),AH!$P$7-1+MATCH($A2139,INDEX('AH History'!$A$1:$A$18046,AH!$P$7):INDEX('AH History'!$A$1:$A$18046,AH!$P$7+AH!$P$8-1),0),0),0)</ns0:f>
        <ns0:v/>
      </ns0:c>
      <ns0:c r="I2139">
        <ns0:f>IF($H2139=0,0,IFERROR(IF(AND(ABS($C2139-INDEX('AH History'!$B$1:$B$18046,$H2139))&lt;=MAX(0.005,ABS(INDEX('AH History'!$B$1:$B$18046,$H2139))*0.00005),ABS($D2139-INDEX('AH History'!$C$1:$C$18046,$H2139))&lt;=MAX(0.005,ABS(INDEX('AH History'!$C$1:$C$18046,$H2139))*0.00005),ABS($E2139-INDEX('AH History'!$D$1:$D$18046,$H2139))&lt;=0.00005,$F2139=INDEX('AH History'!$E$1:$E$18046,$H2139),$G2139=INDEX('AH History'!$F$1:$F$18046,$H2139)),1,-1),-1))</ns0:f>
        <ns0:v/>
      </ns0:c>
    </ns0:row>
    <ns0:row r="2140">
      <ns0:c r="A2140" s="215">
        <ns0:f>IF(OR(AH!$P$3=0,2135+1&gt;AH!$P$11,AND(AH!$E$4&lt;&gt;"Stored",AH!$P$10&lt;&gt;1)),"",IFERROR(IF(AND(AH!$P$21=1,2135+1=AH!$P$11),TODAY(),IF(AH!$P$10=1,INDEX('Live History'!$A$5:$A$3004,AH!$P$13+2135),INDEX('AH History'!$A$1:$A$18046,AH!$P$7+2135))),""))</ns0:f>
        <ns0:v/>
      </ns0:c>
      <ns0:c r="B2140" s="219">
        <ns0:f>IFERROR(IF(AND(AH!$P$9&lt;&gt;1,$C2140&gt;0,$D2140&gt;0,$E2140&gt;0,$F2140&gt;0,$G2140&gt;0,$F2140&lt;=$A2140,$G2140&lt;=$A2140,$A2140-$F2140&lt;=10,$A2140-$G2140&lt;=5),$D2140*$E2140/$C2140-1,NA()),NA())</ns0:f>
        <ns0:v/>
      </ns0:c>
      <ns0:c r="C2140">
        <ns0:f>IFERROR(IF(ISNUMBER($A2140),IF(AND(AH!$P$10=1,AH!$P$12=1,$A2140=TODAY()),AH!$P$19,IF(AH!$P$10=1,INDEX('Live History'!$B$5:$B$3004,AH!$P$13+2135),INDEX('AH History'!$B$1:$B$18046,AH!$P$7+2135))),NA()),NA())</ns0:f>
        <ns0:v/>
      </ns0:c>
      <ns0:c r="D2140">
        <ns0:f>IFERROR(IF(ISNUMBER($A2140),IF(AND(AH!$P$10=1,AH!$P$12=1,$A2140=TODAY()),AH!$P$18,IF(AH!$P$10=1,INDEX('Live History'!$E$5:$E$3004,MATCH($A2140,'Live History'!$D$5:$D$3004,1)),INDEX('AH History'!$C$1:$C$18046,AH!$P$7+2135))),NA()),NA())</ns0:f>
        <ns0:v/>
      </ns0:c>
      <ns0:c r="E2140">
        <ns0:f>IFERROR(IF(ISNUMBER($A2140),IF(AND(AH!$P$10=1,AH!$P$12=1,$A2140=TODAY()),AH!$P$20,IF(AH!$P$10=1,INDEX('Live History'!$H$5:$H$3004,MATCH($A2140,'Live History'!$G$5:$G$3004,1)),INDEX('AH History'!$D$1:$D$18046,AH!$P$7+2135))),NA()),NA())</ns0:f>
        <ns0:v/>
      </ns0:c>
      <ns0:c r="F2140">
        <ns0:f>IFERROR(IF(ISNUMBER($A2140),IF(AND(AH!$P$10=1,AH!$P$12=1,$A2140=TODAY()),IF(AND(AH!$P$10=1,AH!$P$12=1,$A2140=TODAY()),TODAY(),NA()),IF(AH!$P$10=1,INDEX('Live History'!$D$5:$D$3004,MATCH($A2140,'Live History'!$D$5:$D$3004,1)),INDEX('AH History'!$E$1:$E$18046,AH!$P$7+2135))),NA()),NA())</ns0:f>
        <ns0:v/>
      </ns0:c>
      <ns0:c r="G2140">
        <ns0:f>IFERROR(IF(ISNUMBER($A2140),IF(AND(AH!$P$10=1,AH!$P$12=1,$A2140=TODAY()),IF(AND(AH!$P$10=1,AH!$P$12=1,$A2140=TODAY()),TODAY(),NA()),IF(AH!$P$10=1,INDEX('Live History'!$G$5:$G$3004,MATCH($A2140,'Live History'!$G$5:$G$3004,1)),INDEX('AH History'!$F$1:$F$18046,AH!$P$7+2135))),NA()),NA())</ns0:f>
        <ns0:v/>
      </ns0:c>
      <ns0:c r="H2140">
        <ns0:f>IFERROR(IF(AND(AH!$E$4="Bloomberg",AH!$P$10=1,ISNUMBER($A2140),$A2140&lt;=AH!$P$17),AH!$P$7-1+MATCH($A2140,INDEX('AH History'!$A$1:$A$18046,AH!$P$7):INDEX('AH History'!$A$1:$A$18046,AH!$P$7+AH!$P$8-1),0),0),0)</ns0:f>
        <ns0:v/>
      </ns0:c>
      <ns0:c r="I2140">
        <ns0:f>IF($H2140=0,0,IFERROR(IF(AND(ABS($C2140-INDEX('AH History'!$B$1:$B$18046,$H2140))&lt;=MAX(0.005,ABS(INDEX('AH History'!$B$1:$B$18046,$H2140))*0.00005),ABS($D2140-INDEX('AH History'!$C$1:$C$18046,$H2140))&lt;=MAX(0.005,ABS(INDEX('AH History'!$C$1:$C$18046,$H2140))*0.00005),ABS($E2140-INDEX('AH History'!$D$1:$D$18046,$H2140))&lt;=0.00005,$F2140=INDEX('AH History'!$E$1:$E$18046,$H2140),$G2140=INDEX('AH History'!$F$1:$F$18046,$H2140)),1,-1),-1))</ns0:f>
        <ns0:v/>
      </ns0:c>
    </ns0:row>
    <ns0:row r="2141">
      <ns0:c r="A2141" s="215">
        <ns0:f>IF(OR(AH!$P$3=0,2136+1&gt;AH!$P$11,AND(AH!$E$4&lt;&gt;"Stored",AH!$P$10&lt;&gt;1)),"",IFERROR(IF(AND(AH!$P$21=1,2136+1=AH!$P$11),TODAY(),IF(AH!$P$10=1,INDEX('Live History'!$A$5:$A$3004,AH!$P$13+2136),INDEX('AH History'!$A$1:$A$18046,AH!$P$7+2136))),""))</ns0:f>
        <ns0:v/>
      </ns0:c>
      <ns0:c r="B2141" s="219">
        <ns0:f>IFERROR(IF(AND(AH!$P$9&lt;&gt;1,$C2141&gt;0,$D2141&gt;0,$E2141&gt;0,$F2141&gt;0,$G2141&gt;0,$F2141&lt;=$A2141,$G2141&lt;=$A2141,$A2141-$F2141&lt;=10,$A2141-$G2141&lt;=5),$D2141*$E2141/$C2141-1,NA()),NA())</ns0:f>
        <ns0:v/>
      </ns0:c>
      <ns0:c r="C2141">
        <ns0:f>IFERROR(IF(ISNUMBER($A2141),IF(AND(AH!$P$10=1,AH!$P$12=1,$A2141=TODAY()),AH!$P$19,IF(AH!$P$10=1,INDEX('Live History'!$B$5:$B$3004,AH!$P$13+2136),INDEX('AH History'!$B$1:$B$18046,AH!$P$7+2136))),NA()),NA())</ns0:f>
        <ns0:v/>
      </ns0:c>
      <ns0:c r="D2141">
        <ns0:f>IFERROR(IF(ISNUMBER($A2141),IF(AND(AH!$P$10=1,AH!$P$12=1,$A2141=TODAY()),AH!$P$18,IF(AH!$P$10=1,INDEX('Live History'!$E$5:$E$3004,MATCH($A2141,'Live History'!$D$5:$D$3004,1)),INDEX('AH History'!$C$1:$C$18046,AH!$P$7+2136))),NA()),NA())</ns0:f>
        <ns0:v/>
      </ns0:c>
      <ns0:c r="E2141">
        <ns0:f>IFERROR(IF(ISNUMBER($A2141),IF(AND(AH!$P$10=1,AH!$P$12=1,$A2141=TODAY()),AH!$P$20,IF(AH!$P$10=1,INDEX('Live History'!$H$5:$H$3004,MATCH($A2141,'Live History'!$G$5:$G$3004,1)),INDEX('AH History'!$D$1:$D$18046,AH!$P$7+2136))),NA()),NA())</ns0:f>
        <ns0:v/>
      </ns0:c>
      <ns0:c r="F2141">
        <ns0:f>IFERROR(IF(ISNUMBER($A2141),IF(AND(AH!$P$10=1,AH!$P$12=1,$A2141=TODAY()),IF(AND(AH!$P$10=1,AH!$P$12=1,$A2141=TODAY()),TODAY(),NA()),IF(AH!$P$10=1,INDEX('Live History'!$D$5:$D$3004,MATCH($A2141,'Live History'!$D$5:$D$3004,1)),INDEX('AH History'!$E$1:$E$18046,AH!$P$7+2136))),NA()),NA())</ns0:f>
        <ns0:v/>
      </ns0:c>
      <ns0:c r="G2141">
        <ns0:f>IFERROR(IF(ISNUMBER($A2141),IF(AND(AH!$P$10=1,AH!$P$12=1,$A2141=TODAY()),IF(AND(AH!$P$10=1,AH!$P$12=1,$A2141=TODAY()),TODAY(),NA()),IF(AH!$P$10=1,INDEX('Live History'!$G$5:$G$3004,MATCH($A2141,'Live History'!$G$5:$G$3004,1)),INDEX('AH History'!$F$1:$F$18046,AH!$P$7+2136))),NA()),NA())</ns0:f>
        <ns0:v/>
      </ns0:c>
      <ns0:c r="H2141">
        <ns0:f>IFERROR(IF(AND(AH!$E$4="Bloomberg",AH!$P$10=1,ISNUMBER($A2141),$A2141&lt;=AH!$P$17),AH!$P$7-1+MATCH($A2141,INDEX('AH History'!$A$1:$A$18046,AH!$P$7):INDEX('AH History'!$A$1:$A$18046,AH!$P$7+AH!$P$8-1),0),0),0)</ns0:f>
        <ns0:v/>
      </ns0:c>
      <ns0:c r="I2141">
        <ns0:f>IF($H2141=0,0,IFERROR(IF(AND(ABS($C2141-INDEX('AH History'!$B$1:$B$18046,$H2141))&lt;=MAX(0.005,ABS(INDEX('AH History'!$B$1:$B$18046,$H2141))*0.00005),ABS($D2141-INDEX('AH History'!$C$1:$C$18046,$H2141))&lt;=MAX(0.005,ABS(INDEX('AH History'!$C$1:$C$18046,$H2141))*0.00005),ABS($E2141-INDEX('AH History'!$D$1:$D$18046,$H2141))&lt;=0.00005,$F2141=INDEX('AH History'!$E$1:$E$18046,$H2141),$G2141=INDEX('AH History'!$F$1:$F$18046,$H2141)),1,-1),-1))</ns0:f>
        <ns0:v/>
      </ns0:c>
    </ns0:row>
    <ns0:row r="2142">
      <ns0:c r="A2142" s="215">
        <ns0:f>IF(OR(AH!$P$3=0,2137+1&gt;AH!$P$11,AND(AH!$E$4&lt;&gt;"Stored",AH!$P$10&lt;&gt;1)),"",IFERROR(IF(AND(AH!$P$21=1,2137+1=AH!$P$11),TODAY(),IF(AH!$P$10=1,INDEX('Live History'!$A$5:$A$3004,AH!$P$13+2137),INDEX('AH History'!$A$1:$A$18046,AH!$P$7+2137))),""))</ns0:f>
        <ns0:v/>
      </ns0:c>
      <ns0:c r="B2142" s="219">
        <ns0:f>IFERROR(IF(AND(AH!$P$9&lt;&gt;1,$C2142&gt;0,$D2142&gt;0,$E2142&gt;0,$F2142&gt;0,$G2142&gt;0,$F2142&lt;=$A2142,$G2142&lt;=$A2142,$A2142-$F2142&lt;=10,$A2142-$G2142&lt;=5),$D2142*$E2142/$C2142-1,NA()),NA())</ns0:f>
        <ns0:v/>
      </ns0:c>
      <ns0:c r="C2142">
        <ns0:f>IFERROR(IF(ISNUMBER($A2142),IF(AND(AH!$P$10=1,AH!$P$12=1,$A2142=TODAY()),AH!$P$19,IF(AH!$P$10=1,INDEX('Live History'!$B$5:$B$3004,AH!$P$13+2137),INDEX('AH History'!$B$1:$B$18046,AH!$P$7+2137))),NA()),NA())</ns0:f>
        <ns0:v/>
      </ns0:c>
      <ns0:c r="D2142">
        <ns0:f>IFERROR(IF(ISNUMBER($A2142),IF(AND(AH!$P$10=1,AH!$P$12=1,$A2142=TODAY()),AH!$P$18,IF(AH!$P$10=1,INDEX('Live History'!$E$5:$E$3004,MATCH($A2142,'Live History'!$D$5:$D$3004,1)),INDEX('AH History'!$C$1:$C$18046,AH!$P$7+2137))),NA()),NA())</ns0:f>
        <ns0:v/>
      </ns0:c>
      <ns0:c r="E2142">
        <ns0:f>IFERROR(IF(ISNUMBER($A2142),IF(AND(AH!$P$10=1,AH!$P$12=1,$A2142=TODAY()),AH!$P$20,IF(AH!$P$10=1,INDEX('Live History'!$H$5:$H$3004,MATCH($A2142,'Live History'!$G$5:$G$3004,1)),INDEX('AH History'!$D$1:$D$18046,AH!$P$7+2137))),NA()),NA())</ns0:f>
        <ns0:v/>
      </ns0:c>
      <ns0:c r="F2142">
        <ns0:f>IFERROR(IF(ISNUMBER($A2142),IF(AND(AH!$P$10=1,AH!$P$12=1,$A2142=TODAY()),IF(AND(AH!$P$10=1,AH!$P$12=1,$A2142=TODAY()),TODAY(),NA()),IF(AH!$P$10=1,INDEX('Live History'!$D$5:$D$3004,MATCH($A2142,'Live History'!$D$5:$D$3004,1)),INDEX('AH History'!$E$1:$E$18046,AH!$P$7+2137))),NA()),NA())</ns0:f>
        <ns0:v/>
      </ns0:c>
      <ns0:c r="G2142">
        <ns0:f>IFERROR(IF(ISNUMBER($A2142),IF(AND(AH!$P$10=1,AH!$P$12=1,$A2142=TODAY()),IF(AND(AH!$P$10=1,AH!$P$12=1,$A2142=TODAY()),TODAY(),NA()),IF(AH!$P$10=1,INDEX('Live History'!$G$5:$G$3004,MATCH($A2142,'Live History'!$G$5:$G$3004,1)),INDEX('AH History'!$F$1:$F$18046,AH!$P$7+2137))),NA()),NA())</ns0:f>
        <ns0:v/>
      </ns0:c>
      <ns0:c r="H2142">
        <ns0:f>IFERROR(IF(AND(AH!$E$4="Bloomberg",AH!$P$10=1,ISNUMBER($A2142),$A2142&lt;=AH!$P$17),AH!$P$7-1+MATCH($A2142,INDEX('AH History'!$A$1:$A$18046,AH!$P$7):INDEX('AH History'!$A$1:$A$18046,AH!$P$7+AH!$P$8-1),0),0),0)</ns0:f>
        <ns0:v/>
      </ns0:c>
      <ns0:c r="I2142">
        <ns0:f>IF($H2142=0,0,IFERROR(IF(AND(ABS($C2142-INDEX('AH History'!$B$1:$B$18046,$H2142))&lt;=MAX(0.005,ABS(INDEX('AH History'!$B$1:$B$18046,$H2142))*0.00005),ABS($D2142-INDEX('AH History'!$C$1:$C$18046,$H2142))&lt;=MAX(0.005,ABS(INDEX('AH History'!$C$1:$C$18046,$H2142))*0.00005),ABS($E2142-INDEX('AH History'!$D$1:$D$18046,$H2142))&lt;=0.00005,$F2142=INDEX('AH History'!$E$1:$E$18046,$H2142),$G2142=INDEX('AH History'!$F$1:$F$18046,$H2142)),1,-1),-1))</ns0:f>
        <ns0:v/>
      </ns0:c>
    </ns0:row>
    <ns0:row r="2143">
      <ns0:c r="A2143" s="215">
        <ns0:f>IF(OR(AH!$P$3=0,2138+1&gt;AH!$P$11,AND(AH!$E$4&lt;&gt;"Stored",AH!$P$10&lt;&gt;1)),"",IFERROR(IF(AND(AH!$P$21=1,2138+1=AH!$P$11),TODAY(),IF(AH!$P$10=1,INDEX('Live History'!$A$5:$A$3004,AH!$P$13+2138),INDEX('AH History'!$A$1:$A$18046,AH!$P$7+2138))),""))</ns0:f>
        <ns0:v/>
      </ns0:c>
      <ns0:c r="B2143" s="219">
        <ns0:f>IFERROR(IF(AND(AH!$P$9&lt;&gt;1,$C2143&gt;0,$D2143&gt;0,$E2143&gt;0,$F2143&gt;0,$G2143&gt;0,$F2143&lt;=$A2143,$G2143&lt;=$A2143,$A2143-$F2143&lt;=10,$A2143-$G2143&lt;=5),$D2143*$E2143/$C2143-1,NA()),NA())</ns0:f>
        <ns0:v/>
      </ns0:c>
      <ns0:c r="C2143">
        <ns0:f>IFERROR(IF(ISNUMBER($A2143),IF(AND(AH!$P$10=1,AH!$P$12=1,$A2143=TODAY()),AH!$P$19,IF(AH!$P$10=1,INDEX('Live History'!$B$5:$B$3004,AH!$P$13+2138),INDEX('AH History'!$B$1:$B$18046,AH!$P$7+2138))),NA()),NA())</ns0:f>
        <ns0:v/>
      </ns0:c>
      <ns0:c r="D2143">
        <ns0:f>IFERROR(IF(ISNUMBER($A2143),IF(AND(AH!$P$10=1,AH!$P$12=1,$A2143=TODAY()),AH!$P$18,IF(AH!$P$10=1,INDEX('Live History'!$E$5:$E$3004,MATCH($A2143,'Live History'!$D$5:$D$3004,1)),INDEX('AH History'!$C$1:$C$18046,AH!$P$7+2138))),NA()),NA())</ns0:f>
        <ns0:v/>
      </ns0:c>
      <ns0:c r="E2143">
        <ns0:f>IFERROR(IF(ISNUMBER($A2143),IF(AND(AH!$P$10=1,AH!$P$12=1,$A2143=TODAY()),AH!$P$20,IF(AH!$P$10=1,INDEX('Live History'!$H$5:$H$3004,MATCH($A2143,'Live History'!$G$5:$G$3004,1)),INDEX('AH History'!$D$1:$D$18046,AH!$P$7+2138))),NA()),NA())</ns0:f>
        <ns0:v/>
      </ns0:c>
      <ns0:c r="F2143">
        <ns0:f>IFERROR(IF(ISNUMBER($A2143),IF(AND(AH!$P$10=1,AH!$P$12=1,$A2143=TODAY()),IF(AND(AH!$P$10=1,AH!$P$12=1,$A2143=TODAY()),TODAY(),NA()),IF(AH!$P$10=1,INDEX('Live History'!$D$5:$D$3004,MATCH($A2143,'Live History'!$D$5:$D$3004,1)),INDEX('AH History'!$E$1:$E$18046,AH!$P$7+2138))),NA()),NA())</ns0:f>
        <ns0:v/>
      </ns0:c>
      <ns0:c r="G2143">
        <ns0:f>IFERROR(IF(ISNUMBER($A2143),IF(AND(AH!$P$10=1,AH!$P$12=1,$A2143=TODAY()),IF(AND(AH!$P$10=1,AH!$P$12=1,$A2143=TODAY()),TODAY(),NA()),IF(AH!$P$10=1,INDEX('Live History'!$G$5:$G$3004,MATCH($A2143,'Live History'!$G$5:$G$3004,1)),INDEX('AH History'!$F$1:$F$18046,AH!$P$7+2138))),NA()),NA())</ns0:f>
        <ns0:v/>
      </ns0:c>
      <ns0:c r="H2143">
        <ns0:f>IFERROR(IF(AND(AH!$E$4="Bloomberg",AH!$P$10=1,ISNUMBER($A2143),$A2143&lt;=AH!$P$17),AH!$P$7-1+MATCH($A2143,INDEX('AH History'!$A$1:$A$18046,AH!$P$7):INDEX('AH History'!$A$1:$A$18046,AH!$P$7+AH!$P$8-1),0),0),0)</ns0:f>
        <ns0:v/>
      </ns0:c>
      <ns0:c r="I2143">
        <ns0:f>IF($H2143=0,0,IFERROR(IF(AND(ABS($C2143-INDEX('AH History'!$B$1:$B$18046,$H2143))&lt;=MAX(0.005,ABS(INDEX('AH History'!$B$1:$B$18046,$H2143))*0.00005),ABS($D2143-INDEX('AH History'!$C$1:$C$18046,$H2143))&lt;=MAX(0.005,ABS(INDEX('AH History'!$C$1:$C$18046,$H2143))*0.00005),ABS($E2143-INDEX('AH History'!$D$1:$D$18046,$H2143))&lt;=0.00005,$F2143=INDEX('AH History'!$E$1:$E$18046,$H2143),$G2143=INDEX('AH History'!$F$1:$F$18046,$H2143)),1,-1),-1))</ns0:f>
        <ns0:v/>
      </ns0:c>
    </ns0:row>
    <ns0:row r="2144">
      <ns0:c r="A2144" s="215">
        <ns0:f>IF(OR(AH!$P$3=0,2139+1&gt;AH!$P$11,AND(AH!$E$4&lt;&gt;"Stored",AH!$P$10&lt;&gt;1)),"",IFERROR(IF(AND(AH!$P$21=1,2139+1=AH!$P$11),TODAY(),IF(AH!$P$10=1,INDEX('Live History'!$A$5:$A$3004,AH!$P$13+2139),INDEX('AH History'!$A$1:$A$18046,AH!$P$7+2139))),""))</ns0:f>
        <ns0:v/>
      </ns0:c>
      <ns0:c r="B2144" s="219">
        <ns0:f>IFERROR(IF(AND(AH!$P$9&lt;&gt;1,$C2144&gt;0,$D2144&gt;0,$E2144&gt;0,$F2144&gt;0,$G2144&gt;0,$F2144&lt;=$A2144,$G2144&lt;=$A2144,$A2144-$F2144&lt;=10,$A2144-$G2144&lt;=5),$D2144*$E2144/$C2144-1,NA()),NA())</ns0:f>
        <ns0:v/>
      </ns0:c>
      <ns0:c r="C2144">
        <ns0:f>IFERROR(IF(ISNUMBER($A2144),IF(AND(AH!$P$10=1,AH!$P$12=1,$A2144=TODAY()),AH!$P$19,IF(AH!$P$10=1,INDEX('Live History'!$B$5:$B$3004,AH!$P$13+2139),INDEX('AH History'!$B$1:$B$18046,AH!$P$7+2139))),NA()),NA())</ns0:f>
        <ns0:v/>
      </ns0:c>
      <ns0:c r="D2144">
        <ns0:f>IFERROR(IF(ISNUMBER($A2144),IF(AND(AH!$P$10=1,AH!$P$12=1,$A2144=TODAY()),AH!$P$18,IF(AH!$P$10=1,INDEX('Live History'!$E$5:$E$3004,MATCH($A2144,'Live History'!$D$5:$D$3004,1)),INDEX('AH History'!$C$1:$C$18046,AH!$P$7+2139))),NA()),NA())</ns0:f>
        <ns0:v/>
      </ns0:c>
      <ns0:c r="E2144">
        <ns0:f>IFERROR(IF(ISNUMBER($A2144),IF(AND(AH!$P$10=1,AH!$P$12=1,$A2144=TODAY()),AH!$P$20,IF(AH!$P$10=1,INDEX('Live History'!$H$5:$H$3004,MATCH($A2144,'Live History'!$G$5:$G$3004,1)),INDEX('AH History'!$D$1:$D$18046,AH!$P$7+2139))),NA()),NA())</ns0:f>
        <ns0:v/>
      </ns0:c>
      <ns0:c r="F2144">
        <ns0:f>IFERROR(IF(ISNUMBER($A2144),IF(AND(AH!$P$10=1,AH!$P$12=1,$A2144=TODAY()),IF(AND(AH!$P$10=1,AH!$P$12=1,$A2144=TODAY()),TODAY(),NA()),IF(AH!$P$10=1,INDEX('Live History'!$D$5:$D$3004,MATCH($A2144,'Live History'!$D$5:$D$3004,1)),INDEX('AH History'!$E$1:$E$18046,AH!$P$7+2139))),NA()),NA())</ns0:f>
        <ns0:v/>
      </ns0:c>
      <ns0:c r="G2144">
        <ns0:f>IFERROR(IF(ISNUMBER($A2144),IF(AND(AH!$P$10=1,AH!$P$12=1,$A2144=TODAY()),IF(AND(AH!$P$10=1,AH!$P$12=1,$A2144=TODAY()),TODAY(),NA()),IF(AH!$P$10=1,INDEX('Live History'!$G$5:$G$3004,MATCH($A2144,'Live History'!$G$5:$G$3004,1)),INDEX('AH History'!$F$1:$F$18046,AH!$P$7+2139))),NA()),NA())</ns0:f>
        <ns0:v/>
      </ns0:c>
      <ns0:c r="H2144">
        <ns0:f>IFERROR(IF(AND(AH!$E$4="Bloomberg",AH!$P$10=1,ISNUMBER($A2144),$A2144&lt;=AH!$P$17),AH!$P$7-1+MATCH($A2144,INDEX('AH History'!$A$1:$A$18046,AH!$P$7):INDEX('AH History'!$A$1:$A$18046,AH!$P$7+AH!$P$8-1),0),0),0)</ns0:f>
        <ns0:v/>
      </ns0:c>
      <ns0:c r="I2144">
        <ns0:f>IF($H2144=0,0,IFERROR(IF(AND(ABS($C2144-INDEX('AH History'!$B$1:$B$18046,$H2144))&lt;=MAX(0.005,ABS(INDEX('AH History'!$B$1:$B$18046,$H2144))*0.00005),ABS($D2144-INDEX('AH History'!$C$1:$C$18046,$H2144))&lt;=MAX(0.005,ABS(INDEX('AH History'!$C$1:$C$18046,$H2144))*0.00005),ABS($E2144-INDEX('AH History'!$D$1:$D$18046,$H2144))&lt;=0.00005,$F2144=INDEX('AH History'!$E$1:$E$18046,$H2144),$G2144=INDEX('AH History'!$F$1:$F$18046,$H2144)),1,-1),-1))</ns0:f>
        <ns0:v/>
      </ns0:c>
    </ns0:row>
    <ns0:row r="2145">
      <ns0:c r="A2145" s="215">
        <ns0:f>IF(OR(AH!$P$3=0,2140+1&gt;AH!$P$11,AND(AH!$E$4&lt;&gt;"Stored",AH!$P$10&lt;&gt;1)),"",IFERROR(IF(AND(AH!$P$21=1,2140+1=AH!$P$11),TODAY(),IF(AH!$P$10=1,INDEX('Live History'!$A$5:$A$3004,AH!$P$13+2140),INDEX('AH History'!$A$1:$A$18046,AH!$P$7+2140))),""))</ns0:f>
        <ns0:v/>
      </ns0:c>
      <ns0:c r="B2145" s="219">
        <ns0:f>IFERROR(IF(AND(AH!$P$9&lt;&gt;1,$C2145&gt;0,$D2145&gt;0,$E2145&gt;0,$F2145&gt;0,$G2145&gt;0,$F2145&lt;=$A2145,$G2145&lt;=$A2145,$A2145-$F2145&lt;=10,$A2145-$G2145&lt;=5),$D2145*$E2145/$C2145-1,NA()),NA())</ns0:f>
        <ns0:v/>
      </ns0:c>
      <ns0:c r="C2145">
        <ns0:f>IFERROR(IF(ISNUMBER($A2145),IF(AND(AH!$P$10=1,AH!$P$12=1,$A2145=TODAY()),AH!$P$19,IF(AH!$P$10=1,INDEX('Live History'!$B$5:$B$3004,AH!$P$13+2140),INDEX('AH History'!$B$1:$B$18046,AH!$P$7+2140))),NA()),NA())</ns0:f>
        <ns0:v/>
      </ns0:c>
      <ns0:c r="D2145">
        <ns0:f>IFERROR(IF(ISNUMBER($A2145),IF(AND(AH!$P$10=1,AH!$P$12=1,$A2145=TODAY()),AH!$P$18,IF(AH!$P$10=1,INDEX('Live History'!$E$5:$E$3004,MATCH($A2145,'Live History'!$D$5:$D$3004,1)),INDEX('AH History'!$C$1:$C$18046,AH!$P$7+2140))),NA()),NA())</ns0:f>
        <ns0:v/>
      </ns0:c>
      <ns0:c r="E2145">
        <ns0:f>IFERROR(IF(ISNUMBER($A2145),IF(AND(AH!$P$10=1,AH!$P$12=1,$A2145=TODAY()),AH!$P$20,IF(AH!$P$10=1,INDEX('Live History'!$H$5:$H$3004,MATCH($A2145,'Live History'!$G$5:$G$3004,1)),INDEX('AH History'!$D$1:$D$18046,AH!$P$7+2140))),NA()),NA())</ns0:f>
        <ns0:v/>
      </ns0:c>
      <ns0:c r="F2145">
        <ns0:f>IFERROR(IF(ISNUMBER($A2145),IF(AND(AH!$P$10=1,AH!$P$12=1,$A2145=TODAY()),IF(AND(AH!$P$10=1,AH!$P$12=1,$A2145=TODAY()),TODAY(),NA()),IF(AH!$P$10=1,INDEX('Live History'!$D$5:$D$3004,MATCH($A2145,'Live History'!$D$5:$D$3004,1)),INDEX('AH History'!$E$1:$E$18046,AH!$P$7+2140))),NA()),NA())</ns0:f>
        <ns0:v/>
      </ns0:c>
      <ns0:c r="G2145">
        <ns0:f>IFERROR(IF(ISNUMBER($A2145),IF(AND(AH!$P$10=1,AH!$P$12=1,$A2145=TODAY()),IF(AND(AH!$P$10=1,AH!$P$12=1,$A2145=TODAY()),TODAY(),NA()),IF(AH!$P$10=1,INDEX('Live History'!$G$5:$G$3004,MATCH($A2145,'Live History'!$G$5:$G$3004,1)),INDEX('AH History'!$F$1:$F$18046,AH!$P$7+2140))),NA()),NA())</ns0:f>
        <ns0:v/>
      </ns0:c>
      <ns0:c r="H2145">
        <ns0:f>IFERROR(IF(AND(AH!$E$4="Bloomberg",AH!$P$10=1,ISNUMBER($A2145),$A2145&lt;=AH!$P$17),AH!$P$7-1+MATCH($A2145,INDEX('AH History'!$A$1:$A$18046,AH!$P$7):INDEX('AH History'!$A$1:$A$18046,AH!$P$7+AH!$P$8-1),0),0),0)</ns0:f>
        <ns0:v/>
      </ns0:c>
      <ns0:c r="I2145">
        <ns0:f>IF($H2145=0,0,IFERROR(IF(AND(ABS($C2145-INDEX('AH History'!$B$1:$B$18046,$H2145))&lt;=MAX(0.005,ABS(INDEX('AH History'!$B$1:$B$18046,$H2145))*0.00005),ABS($D2145-INDEX('AH History'!$C$1:$C$18046,$H2145))&lt;=MAX(0.005,ABS(INDEX('AH History'!$C$1:$C$18046,$H2145))*0.00005),ABS($E2145-INDEX('AH History'!$D$1:$D$18046,$H2145))&lt;=0.00005,$F2145=INDEX('AH History'!$E$1:$E$18046,$H2145),$G2145=INDEX('AH History'!$F$1:$F$18046,$H2145)),1,-1),-1))</ns0:f>
        <ns0:v/>
      </ns0:c>
    </ns0:row>
    <ns0:row r="2146">
      <ns0:c r="A2146" s="215">
        <ns0:f>IF(OR(AH!$P$3=0,2141+1&gt;AH!$P$11,AND(AH!$E$4&lt;&gt;"Stored",AH!$P$10&lt;&gt;1)),"",IFERROR(IF(AND(AH!$P$21=1,2141+1=AH!$P$11),TODAY(),IF(AH!$P$10=1,INDEX('Live History'!$A$5:$A$3004,AH!$P$13+2141),INDEX('AH History'!$A$1:$A$18046,AH!$P$7+2141))),""))</ns0:f>
        <ns0:v/>
      </ns0:c>
      <ns0:c r="B2146" s="219">
        <ns0:f>IFERROR(IF(AND(AH!$P$9&lt;&gt;1,$C2146&gt;0,$D2146&gt;0,$E2146&gt;0,$F2146&gt;0,$G2146&gt;0,$F2146&lt;=$A2146,$G2146&lt;=$A2146,$A2146-$F2146&lt;=10,$A2146-$G2146&lt;=5),$D2146*$E2146/$C2146-1,NA()),NA())</ns0:f>
        <ns0:v/>
      </ns0:c>
      <ns0:c r="C2146">
        <ns0:f>IFERROR(IF(ISNUMBER($A2146),IF(AND(AH!$P$10=1,AH!$P$12=1,$A2146=TODAY()),AH!$P$19,IF(AH!$P$10=1,INDEX('Live History'!$B$5:$B$3004,AH!$P$13+2141),INDEX('AH History'!$B$1:$B$18046,AH!$P$7+2141))),NA()),NA())</ns0:f>
        <ns0:v/>
      </ns0:c>
      <ns0:c r="D2146">
        <ns0:f>IFERROR(IF(ISNUMBER($A2146),IF(AND(AH!$P$10=1,AH!$P$12=1,$A2146=TODAY()),AH!$P$18,IF(AH!$P$10=1,INDEX('Live History'!$E$5:$E$3004,MATCH($A2146,'Live History'!$D$5:$D$3004,1)),INDEX('AH History'!$C$1:$C$18046,AH!$P$7+2141))),NA()),NA())</ns0:f>
        <ns0:v/>
      </ns0:c>
      <ns0:c r="E2146">
        <ns0:f>IFERROR(IF(ISNUMBER($A2146),IF(AND(AH!$P$10=1,AH!$P$12=1,$A2146=TODAY()),AH!$P$20,IF(AH!$P$10=1,INDEX('Live History'!$H$5:$H$3004,MATCH($A2146,'Live History'!$G$5:$G$3004,1)),INDEX('AH History'!$D$1:$D$18046,AH!$P$7+2141))),NA()),NA())</ns0:f>
        <ns0:v/>
      </ns0:c>
      <ns0:c r="F2146">
        <ns0:f>IFERROR(IF(ISNUMBER($A2146),IF(AND(AH!$P$10=1,AH!$P$12=1,$A2146=TODAY()),IF(AND(AH!$P$10=1,AH!$P$12=1,$A2146=TODAY()),TODAY(),NA()),IF(AH!$P$10=1,INDEX('Live History'!$D$5:$D$3004,MATCH($A2146,'Live History'!$D$5:$D$3004,1)),INDEX('AH History'!$E$1:$E$18046,AH!$P$7+2141))),NA()),NA())</ns0:f>
        <ns0:v/>
      </ns0:c>
      <ns0:c r="G2146">
        <ns0:f>IFERROR(IF(ISNUMBER($A2146),IF(AND(AH!$P$10=1,AH!$P$12=1,$A2146=TODAY()),IF(AND(AH!$P$10=1,AH!$P$12=1,$A2146=TODAY()),TODAY(),NA()),IF(AH!$P$10=1,INDEX('Live History'!$G$5:$G$3004,MATCH($A2146,'Live History'!$G$5:$G$3004,1)),INDEX('AH History'!$F$1:$F$18046,AH!$P$7+2141))),NA()),NA())</ns0:f>
        <ns0:v/>
      </ns0:c>
      <ns0:c r="H2146">
        <ns0:f>IFERROR(IF(AND(AH!$E$4="Bloomberg",AH!$P$10=1,ISNUMBER($A2146),$A2146&lt;=AH!$P$17),AH!$P$7-1+MATCH($A2146,INDEX('AH History'!$A$1:$A$18046,AH!$P$7):INDEX('AH History'!$A$1:$A$18046,AH!$P$7+AH!$P$8-1),0),0),0)</ns0:f>
        <ns0:v/>
      </ns0:c>
      <ns0:c r="I2146">
        <ns0:f>IF($H2146=0,0,IFERROR(IF(AND(ABS($C2146-INDEX('AH History'!$B$1:$B$18046,$H2146))&lt;=MAX(0.005,ABS(INDEX('AH History'!$B$1:$B$18046,$H2146))*0.00005),ABS($D2146-INDEX('AH History'!$C$1:$C$18046,$H2146))&lt;=MAX(0.005,ABS(INDEX('AH History'!$C$1:$C$18046,$H2146))*0.00005),ABS($E2146-INDEX('AH History'!$D$1:$D$18046,$H2146))&lt;=0.00005,$F2146=INDEX('AH History'!$E$1:$E$18046,$H2146),$G2146=INDEX('AH History'!$F$1:$F$18046,$H2146)),1,-1),-1))</ns0:f>
        <ns0:v/>
      </ns0:c>
    </ns0:row>
    <ns0:row r="2147">
      <ns0:c r="A2147" s="215">
        <ns0:f>IF(OR(AH!$P$3=0,2142+1&gt;AH!$P$11,AND(AH!$E$4&lt;&gt;"Stored",AH!$P$10&lt;&gt;1)),"",IFERROR(IF(AND(AH!$P$21=1,2142+1=AH!$P$11),TODAY(),IF(AH!$P$10=1,INDEX('Live History'!$A$5:$A$3004,AH!$P$13+2142),INDEX('AH History'!$A$1:$A$18046,AH!$P$7+2142))),""))</ns0:f>
        <ns0:v/>
      </ns0:c>
      <ns0:c r="B2147" s="219">
        <ns0:f>IFERROR(IF(AND(AH!$P$9&lt;&gt;1,$C2147&gt;0,$D2147&gt;0,$E2147&gt;0,$F2147&gt;0,$G2147&gt;0,$F2147&lt;=$A2147,$G2147&lt;=$A2147,$A2147-$F2147&lt;=10,$A2147-$G2147&lt;=5),$D2147*$E2147/$C2147-1,NA()),NA())</ns0:f>
        <ns0:v/>
      </ns0:c>
      <ns0:c r="C2147">
        <ns0:f>IFERROR(IF(ISNUMBER($A2147),IF(AND(AH!$P$10=1,AH!$P$12=1,$A2147=TODAY()),AH!$P$19,IF(AH!$P$10=1,INDEX('Live History'!$B$5:$B$3004,AH!$P$13+2142),INDEX('AH History'!$B$1:$B$18046,AH!$P$7+2142))),NA()),NA())</ns0:f>
        <ns0:v/>
      </ns0:c>
      <ns0:c r="D2147">
        <ns0:f>IFERROR(IF(ISNUMBER($A2147),IF(AND(AH!$P$10=1,AH!$P$12=1,$A2147=TODAY()),AH!$P$18,IF(AH!$P$10=1,INDEX('Live History'!$E$5:$E$3004,MATCH($A2147,'Live History'!$D$5:$D$3004,1)),INDEX('AH History'!$C$1:$C$18046,AH!$P$7+2142))),NA()),NA())</ns0:f>
        <ns0:v/>
      </ns0:c>
      <ns0:c r="E2147">
        <ns0:f>IFERROR(IF(ISNUMBER($A2147),IF(AND(AH!$P$10=1,AH!$P$12=1,$A2147=TODAY()),AH!$P$20,IF(AH!$P$10=1,INDEX('Live History'!$H$5:$H$3004,MATCH($A2147,'Live History'!$G$5:$G$3004,1)),INDEX('AH History'!$D$1:$D$18046,AH!$P$7+2142))),NA()),NA())</ns0:f>
        <ns0:v/>
      </ns0:c>
      <ns0:c r="F2147">
        <ns0:f>IFERROR(IF(ISNUMBER($A2147),IF(AND(AH!$P$10=1,AH!$P$12=1,$A2147=TODAY()),IF(AND(AH!$P$10=1,AH!$P$12=1,$A2147=TODAY()),TODAY(),NA()),IF(AH!$P$10=1,INDEX('Live History'!$D$5:$D$3004,MATCH($A2147,'Live History'!$D$5:$D$3004,1)),INDEX('AH History'!$E$1:$E$18046,AH!$P$7+2142))),NA()),NA())</ns0:f>
        <ns0:v/>
      </ns0:c>
      <ns0:c r="G2147">
        <ns0:f>IFERROR(IF(ISNUMBER($A2147),IF(AND(AH!$P$10=1,AH!$P$12=1,$A2147=TODAY()),IF(AND(AH!$P$10=1,AH!$P$12=1,$A2147=TODAY()),TODAY(),NA()),IF(AH!$P$10=1,INDEX('Live History'!$G$5:$G$3004,MATCH($A2147,'Live History'!$G$5:$G$3004,1)),INDEX('AH History'!$F$1:$F$18046,AH!$P$7+2142))),NA()),NA())</ns0:f>
        <ns0:v/>
      </ns0:c>
      <ns0:c r="H2147">
        <ns0:f>IFERROR(IF(AND(AH!$E$4="Bloomberg",AH!$P$10=1,ISNUMBER($A2147),$A2147&lt;=AH!$P$17),AH!$P$7-1+MATCH($A2147,INDEX('AH History'!$A$1:$A$18046,AH!$P$7):INDEX('AH History'!$A$1:$A$18046,AH!$P$7+AH!$P$8-1),0),0),0)</ns0:f>
        <ns0:v/>
      </ns0:c>
      <ns0:c r="I2147">
        <ns0:f>IF($H2147=0,0,IFERROR(IF(AND(ABS($C2147-INDEX('AH History'!$B$1:$B$18046,$H2147))&lt;=MAX(0.005,ABS(INDEX('AH History'!$B$1:$B$18046,$H2147))*0.00005),ABS($D2147-INDEX('AH History'!$C$1:$C$18046,$H2147))&lt;=MAX(0.005,ABS(INDEX('AH History'!$C$1:$C$18046,$H2147))*0.00005),ABS($E2147-INDEX('AH History'!$D$1:$D$18046,$H2147))&lt;=0.00005,$F2147=INDEX('AH History'!$E$1:$E$18046,$H2147),$G2147=INDEX('AH History'!$F$1:$F$18046,$H2147)),1,-1),-1))</ns0:f>
        <ns0:v/>
      </ns0:c>
    </ns0:row>
    <ns0:row r="2148">
      <ns0:c r="A2148" s="215">
        <ns0:f>IF(OR(AH!$P$3=0,2143+1&gt;AH!$P$11,AND(AH!$E$4&lt;&gt;"Stored",AH!$P$10&lt;&gt;1)),"",IFERROR(IF(AND(AH!$P$21=1,2143+1=AH!$P$11),TODAY(),IF(AH!$P$10=1,INDEX('Live History'!$A$5:$A$3004,AH!$P$13+2143),INDEX('AH History'!$A$1:$A$18046,AH!$P$7+2143))),""))</ns0:f>
        <ns0:v/>
      </ns0:c>
      <ns0:c r="B2148" s="219">
        <ns0:f>IFERROR(IF(AND(AH!$P$9&lt;&gt;1,$C2148&gt;0,$D2148&gt;0,$E2148&gt;0,$F2148&gt;0,$G2148&gt;0,$F2148&lt;=$A2148,$G2148&lt;=$A2148,$A2148-$F2148&lt;=10,$A2148-$G2148&lt;=5),$D2148*$E2148/$C2148-1,NA()),NA())</ns0:f>
        <ns0:v/>
      </ns0:c>
      <ns0:c r="C2148">
        <ns0:f>IFERROR(IF(ISNUMBER($A2148),IF(AND(AH!$P$10=1,AH!$P$12=1,$A2148=TODAY()),AH!$P$19,IF(AH!$P$10=1,INDEX('Live History'!$B$5:$B$3004,AH!$P$13+2143),INDEX('AH History'!$B$1:$B$18046,AH!$P$7+2143))),NA()),NA())</ns0:f>
        <ns0:v/>
      </ns0:c>
      <ns0:c r="D2148">
        <ns0:f>IFERROR(IF(ISNUMBER($A2148),IF(AND(AH!$P$10=1,AH!$P$12=1,$A2148=TODAY()),AH!$P$18,IF(AH!$P$10=1,INDEX('Live History'!$E$5:$E$3004,MATCH($A2148,'Live History'!$D$5:$D$3004,1)),INDEX('AH History'!$C$1:$C$18046,AH!$P$7+2143))),NA()),NA())</ns0:f>
        <ns0:v/>
      </ns0:c>
      <ns0:c r="E2148">
        <ns0:f>IFERROR(IF(ISNUMBER($A2148),IF(AND(AH!$P$10=1,AH!$P$12=1,$A2148=TODAY()),AH!$P$20,IF(AH!$P$10=1,INDEX('Live History'!$H$5:$H$3004,MATCH($A2148,'Live History'!$G$5:$G$3004,1)),INDEX('AH History'!$D$1:$D$18046,AH!$P$7+2143))),NA()),NA())</ns0:f>
        <ns0:v/>
      </ns0:c>
      <ns0:c r="F2148">
        <ns0:f>IFERROR(IF(ISNUMBER($A2148),IF(AND(AH!$P$10=1,AH!$P$12=1,$A2148=TODAY()),IF(AND(AH!$P$10=1,AH!$P$12=1,$A2148=TODAY()),TODAY(),NA()),IF(AH!$P$10=1,INDEX('Live History'!$D$5:$D$3004,MATCH($A2148,'Live History'!$D$5:$D$3004,1)),INDEX('AH History'!$E$1:$E$18046,AH!$P$7+2143))),NA()),NA())</ns0:f>
        <ns0:v/>
      </ns0:c>
      <ns0:c r="G2148">
        <ns0:f>IFERROR(IF(ISNUMBER($A2148),IF(AND(AH!$P$10=1,AH!$P$12=1,$A2148=TODAY()),IF(AND(AH!$P$10=1,AH!$P$12=1,$A2148=TODAY()),TODAY(),NA()),IF(AH!$P$10=1,INDEX('Live History'!$G$5:$G$3004,MATCH($A2148,'Live History'!$G$5:$G$3004,1)),INDEX('AH History'!$F$1:$F$18046,AH!$P$7+2143))),NA()),NA())</ns0:f>
        <ns0:v/>
      </ns0:c>
      <ns0:c r="H2148">
        <ns0:f>IFERROR(IF(AND(AH!$E$4="Bloomberg",AH!$P$10=1,ISNUMBER($A2148),$A2148&lt;=AH!$P$17),AH!$P$7-1+MATCH($A2148,INDEX('AH History'!$A$1:$A$18046,AH!$P$7):INDEX('AH History'!$A$1:$A$18046,AH!$P$7+AH!$P$8-1),0),0),0)</ns0:f>
        <ns0:v/>
      </ns0:c>
      <ns0:c r="I2148">
        <ns0:f>IF($H2148=0,0,IFERROR(IF(AND(ABS($C2148-INDEX('AH History'!$B$1:$B$18046,$H2148))&lt;=MAX(0.005,ABS(INDEX('AH History'!$B$1:$B$18046,$H2148))*0.00005),ABS($D2148-INDEX('AH History'!$C$1:$C$18046,$H2148))&lt;=MAX(0.005,ABS(INDEX('AH History'!$C$1:$C$18046,$H2148))*0.00005),ABS($E2148-INDEX('AH History'!$D$1:$D$18046,$H2148))&lt;=0.00005,$F2148=INDEX('AH History'!$E$1:$E$18046,$H2148),$G2148=INDEX('AH History'!$F$1:$F$18046,$H2148)),1,-1),-1))</ns0:f>
        <ns0:v/>
      </ns0:c>
    </ns0:row>
    <ns0:row r="2149">
      <ns0:c r="A2149" s="215">
        <ns0:f>IF(OR(AH!$P$3=0,2144+1&gt;AH!$P$11,AND(AH!$E$4&lt;&gt;"Stored",AH!$P$10&lt;&gt;1)),"",IFERROR(IF(AND(AH!$P$21=1,2144+1=AH!$P$11),TODAY(),IF(AH!$P$10=1,INDEX('Live History'!$A$5:$A$3004,AH!$P$13+2144),INDEX('AH History'!$A$1:$A$18046,AH!$P$7+2144))),""))</ns0:f>
        <ns0:v/>
      </ns0:c>
      <ns0:c r="B2149" s="219">
        <ns0:f>IFERROR(IF(AND(AH!$P$9&lt;&gt;1,$C2149&gt;0,$D2149&gt;0,$E2149&gt;0,$F2149&gt;0,$G2149&gt;0,$F2149&lt;=$A2149,$G2149&lt;=$A2149,$A2149-$F2149&lt;=10,$A2149-$G2149&lt;=5),$D2149*$E2149/$C2149-1,NA()),NA())</ns0:f>
        <ns0:v/>
      </ns0:c>
      <ns0:c r="C2149">
        <ns0:f>IFERROR(IF(ISNUMBER($A2149),IF(AND(AH!$P$10=1,AH!$P$12=1,$A2149=TODAY()),AH!$P$19,IF(AH!$P$10=1,INDEX('Live History'!$B$5:$B$3004,AH!$P$13+2144),INDEX('AH History'!$B$1:$B$18046,AH!$P$7+2144))),NA()),NA())</ns0:f>
        <ns0:v/>
      </ns0:c>
      <ns0:c r="D2149">
        <ns0:f>IFERROR(IF(ISNUMBER($A2149),IF(AND(AH!$P$10=1,AH!$P$12=1,$A2149=TODAY()),AH!$P$18,IF(AH!$P$10=1,INDEX('Live History'!$E$5:$E$3004,MATCH($A2149,'Live History'!$D$5:$D$3004,1)),INDEX('AH History'!$C$1:$C$18046,AH!$P$7+2144))),NA()),NA())</ns0:f>
        <ns0:v/>
      </ns0:c>
      <ns0:c r="E2149">
        <ns0:f>IFERROR(IF(ISNUMBER($A2149),IF(AND(AH!$P$10=1,AH!$P$12=1,$A2149=TODAY()),AH!$P$20,IF(AH!$P$10=1,INDEX('Live History'!$H$5:$H$3004,MATCH($A2149,'Live History'!$G$5:$G$3004,1)),INDEX('AH History'!$D$1:$D$18046,AH!$P$7+2144))),NA()),NA())</ns0:f>
        <ns0:v/>
      </ns0:c>
      <ns0:c r="F2149">
        <ns0:f>IFERROR(IF(ISNUMBER($A2149),IF(AND(AH!$P$10=1,AH!$P$12=1,$A2149=TODAY()),IF(AND(AH!$P$10=1,AH!$P$12=1,$A2149=TODAY()),TODAY(),NA()),IF(AH!$P$10=1,INDEX('Live History'!$D$5:$D$3004,MATCH($A2149,'Live History'!$D$5:$D$3004,1)),INDEX('AH History'!$E$1:$E$18046,AH!$P$7+2144))),NA()),NA())</ns0:f>
        <ns0:v/>
      </ns0:c>
      <ns0:c r="G2149">
        <ns0:f>IFERROR(IF(ISNUMBER($A2149),IF(AND(AH!$P$10=1,AH!$P$12=1,$A2149=TODAY()),IF(AND(AH!$P$10=1,AH!$P$12=1,$A2149=TODAY()),TODAY(),NA()),IF(AH!$P$10=1,INDEX('Live History'!$G$5:$G$3004,MATCH($A2149,'Live History'!$G$5:$G$3004,1)),INDEX('AH History'!$F$1:$F$18046,AH!$P$7+2144))),NA()),NA())</ns0:f>
        <ns0:v/>
      </ns0:c>
      <ns0:c r="H2149">
        <ns0:f>IFERROR(IF(AND(AH!$E$4="Bloomberg",AH!$P$10=1,ISNUMBER($A2149),$A2149&lt;=AH!$P$17),AH!$P$7-1+MATCH($A2149,INDEX('AH History'!$A$1:$A$18046,AH!$P$7):INDEX('AH History'!$A$1:$A$18046,AH!$P$7+AH!$P$8-1),0),0),0)</ns0:f>
        <ns0:v/>
      </ns0:c>
      <ns0:c r="I2149">
        <ns0:f>IF($H2149=0,0,IFERROR(IF(AND(ABS($C2149-INDEX('AH History'!$B$1:$B$18046,$H2149))&lt;=MAX(0.005,ABS(INDEX('AH History'!$B$1:$B$18046,$H2149))*0.00005),ABS($D2149-INDEX('AH History'!$C$1:$C$18046,$H2149))&lt;=MAX(0.005,ABS(INDEX('AH History'!$C$1:$C$18046,$H2149))*0.00005),ABS($E2149-INDEX('AH History'!$D$1:$D$18046,$H2149))&lt;=0.00005,$F2149=INDEX('AH History'!$E$1:$E$18046,$H2149),$G2149=INDEX('AH History'!$F$1:$F$18046,$H2149)),1,-1),-1))</ns0:f>
        <ns0:v/>
      </ns0:c>
    </ns0:row>
    <ns0:row r="2150">
      <ns0:c r="A2150" s="215">
        <ns0:f>IF(OR(AH!$P$3=0,2145+1&gt;AH!$P$11,AND(AH!$E$4&lt;&gt;"Stored",AH!$P$10&lt;&gt;1)),"",IFERROR(IF(AND(AH!$P$21=1,2145+1=AH!$P$11),TODAY(),IF(AH!$P$10=1,INDEX('Live History'!$A$5:$A$3004,AH!$P$13+2145),INDEX('AH History'!$A$1:$A$18046,AH!$P$7+2145))),""))</ns0:f>
        <ns0:v/>
      </ns0:c>
      <ns0:c r="B2150" s="219">
        <ns0:f>IFERROR(IF(AND(AH!$P$9&lt;&gt;1,$C2150&gt;0,$D2150&gt;0,$E2150&gt;0,$F2150&gt;0,$G2150&gt;0,$F2150&lt;=$A2150,$G2150&lt;=$A2150,$A2150-$F2150&lt;=10,$A2150-$G2150&lt;=5),$D2150*$E2150/$C2150-1,NA()),NA())</ns0:f>
        <ns0:v/>
      </ns0:c>
      <ns0:c r="C2150">
        <ns0:f>IFERROR(IF(ISNUMBER($A2150),IF(AND(AH!$P$10=1,AH!$P$12=1,$A2150=TODAY()),AH!$P$19,IF(AH!$P$10=1,INDEX('Live History'!$B$5:$B$3004,AH!$P$13+2145),INDEX('AH History'!$B$1:$B$18046,AH!$P$7+2145))),NA()),NA())</ns0:f>
        <ns0:v/>
      </ns0:c>
      <ns0:c r="D2150">
        <ns0:f>IFERROR(IF(ISNUMBER($A2150),IF(AND(AH!$P$10=1,AH!$P$12=1,$A2150=TODAY()),AH!$P$18,IF(AH!$P$10=1,INDEX('Live History'!$E$5:$E$3004,MATCH($A2150,'Live History'!$D$5:$D$3004,1)),INDEX('AH History'!$C$1:$C$18046,AH!$P$7+2145))),NA()),NA())</ns0:f>
        <ns0:v/>
      </ns0:c>
      <ns0:c r="E2150">
        <ns0:f>IFERROR(IF(ISNUMBER($A2150),IF(AND(AH!$P$10=1,AH!$P$12=1,$A2150=TODAY()),AH!$P$20,IF(AH!$P$10=1,INDEX('Live History'!$H$5:$H$3004,MATCH($A2150,'Live History'!$G$5:$G$3004,1)),INDEX('AH History'!$D$1:$D$18046,AH!$P$7+2145))),NA()),NA())</ns0:f>
        <ns0:v/>
      </ns0:c>
      <ns0:c r="F2150">
        <ns0:f>IFERROR(IF(ISNUMBER($A2150),IF(AND(AH!$P$10=1,AH!$P$12=1,$A2150=TODAY()),IF(AND(AH!$P$10=1,AH!$P$12=1,$A2150=TODAY()),TODAY(),NA()),IF(AH!$P$10=1,INDEX('Live History'!$D$5:$D$3004,MATCH($A2150,'Live History'!$D$5:$D$3004,1)),INDEX('AH History'!$E$1:$E$18046,AH!$P$7+2145))),NA()),NA())</ns0:f>
        <ns0:v/>
      </ns0:c>
      <ns0:c r="G2150">
        <ns0:f>IFERROR(IF(ISNUMBER($A2150),IF(AND(AH!$P$10=1,AH!$P$12=1,$A2150=TODAY()),IF(AND(AH!$P$10=1,AH!$P$12=1,$A2150=TODAY()),TODAY(),NA()),IF(AH!$P$10=1,INDEX('Live History'!$G$5:$G$3004,MATCH($A2150,'Live History'!$G$5:$G$3004,1)),INDEX('AH History'!$F$1:$F$18046,AH!$P$7+2145))),NA()),NA())</ns0:f>
        <ns0:v/>
      </ns0:c>
      <ns0:c r="H2150">
        <ns0:f>IFERROR(IF(AND(AH!$E$4="Bloomberg",AH!$P$10=1,ISNUMBER($A2150),$A2150&lt;=AH!$P$17),AH!$P$7-1+MATCH($A2150,INDEX('AH History'!$A$1:$A$18046,AH!$P$7):INDEX('AH History'!$A$1:$A$18046,AH!$P$7+AH!$P$8-1),0),0),0)</ns0:f>
        <ns0:v/>
      </ns0:c>
      <ns0:c r="I2150">
        <ns0:f>IF($H2150=0,0,IFERROR(IF(AND(ABS($C2150-INDEX('AH History'!$B$1:$B$18046,$H2150))&lt;=MAX(0.005,ABS(INDEX('AH History'!$B$1:$B$18046,$H2150))*0.00005),ABS($D2150-INDEX('AH History'!$C$1:$C$18046,$H2150))&lt;=MAX(0.005,ABS(INDEX('AH History'!$C$1:$C$18046,$H2150))*0.00005),ABS($E2150-INDEX('AH History'!$D$1:$D$18046,$H2150))&lt;=0.00005,$F2150=INDEX('AH History'!$E$1:$E$18046,$H2150),$G2150=INDEX('AH History'!$F$1:$F$18046,$H2150)),1,-1),-1))</ns0:f>
        <ns0:v/>
      </ns0:c>
    </ns0:row>
    <ns0:row r="2151">
      <ns0:c r="A2151" s="215">
        <ns0:f>IF(OR(AH!$P$3=0,2146+1&gt;AH!$P$11,AND(AH!$E$4&lt;&gt;"Stored",AH!$P$10&lt;&gt;1)),"",IFERROR(IF(AND(AH!$P$21=1,2146+1=AH!$P$11),TODAY(),IF(AH!$P$10=1,INDEX('Live History'!$A$5:$A$3004,AH!$P$13+2146),INDEX('AH History'!$A$1:$A$18046,AH!$P$7+2146))),""))</ns0:f>
        <ns0:v/>
      </ns0:c>
      <ns0:c r="B2151" s="219">
        <ns0:f>IFERROR(IF(AND(AH!$P$9&lt;&gt;1,$C2151&gt;0,$D2151&gt;0,$E2151&gt;0,$F2151&gt;0,$G2151&gt;0,$F2151&lt;=$A2151,$G2151&lt;=$A2151,$A2151-$F2151&lt;=10,$A2151-$G2151&lt;=5),$D2151*$E2151/$C2151-1,NA()),NA())</ns0:f>
        <ns0:v/>
      </ns0:c>
      <ns0:c r="C2151">
        <ns0:f>IFERROR(IF(ISNUMBER($A2151),IF(AND(AH!$P$10=1,AH!$P$12=1,$A2151=TODAY()),AH!$P$19,IF(AH!$P$10=1,INDEX('Live History'!$B$5:$B$3004,AH!$P$13+2146),INDEX('AH History'!$B$1:$B$18046,AH!$P$7+2146))),NA()),NA())</ns0:f>
        <ns0:v/>
      </ns0:c>
      <ns0:c r="D2151">
        <ns0:f>IFERROR(IF(ISNUMBER($A2151),IF(AND(AH!$P$10=1,AH!$P$12=1,$A2151=TODAY()),AH!$P$18,IF(AH!$P$10=1,INDEX('Live History'!$E$5:$E$3004,MATCH($A2151,'Live History'!$D$5:$D$3004,1)),INDEX('AH History'!$C$1:$C$18046,AH!$P$7+2146))),NA()),NA())</ns0:f>
        <ns0:v/>
      </ns0:c>
      <ns0:c r="E2151">
        <ns0:f>IFERROR(IF(ISNUMBER($A2151),IF(AND(AH!$P$10=1,AH!$P$12=1,$A2151=TODAY()),AH!$P$20,IF(AH!$P$10=1,INDEX('Live History'!$H$5:$H$3004,MATCH($A2151,'Live History'!$G$5:$G$3004,1)),INDEX('AH History'!$D$1:$D$18046,AH!$P$7+2146))),NA()),NA())</ns0:f>
        <ns0:v/>
      </ns0:c>
      <ns0:c r="F2151">
        <ns0:f>IFERROR(IF(ISNUMBER($A2151),IF(AND(AH!$P$10=1,AH!$P$12=1,$A2151=TODAY()),IF(AND(AH!$P$10=1,AH!$P$12=1,$A2151=TODAY()),TODAY(),NA()),IF(AH!$P$10=1,INDEX('Live History'!$D$5:$D$3004,MATCH($A2151,'Live History'!$D$5:$D$3004,1)),INDEX('AH History'!$E$1:$E$18046,AH!$P$7+2146))),NA()),NA())</ns0:f>
        <ns0:v/>
      </ns0:c>
      <ns0:c r="G2151">
        <ns0:f>IFERROR(IF(ISNUMBER($A2151),IF(AND(AH!$P$10=1,AH!$P$12=1,$A2151=TODAY()),IF(AND(AH!$P$10=1,AH!$P$12=1,$A2151=TODAY()),TODAY(),NA()),IF(AH!$P$10=1,INDEX('Live History'!$G$5:$G$3004,MATCH($A2151,'Live History'!$G$5:$G$3004,1)),INDEX('AH History'!$F$1:$F$18046,AH!$P$7+2146))),NA()),NA())</ns0:f>
        <ns0:v/>
      </ns0:c>
      <ns0:c r="H2151">
        <ns0:f>IFERROR(IF(AND(AH!$E$4="Bloomberg",AH!$P$10=1,ISNUMBER($A2151),$A2151&lt;=AH!$P$17),AH!$P$7-1+MATCH($A2151,INDEX('AH History'!$A$1:$A$18046,AH!$P$7):INDEX('AH History'!$A$1:$A$18046,AH!$P$7+AH!$P$8-1),0),0),0)</ns0:f>
        <ns0:v/>
      </ns0:c>
      <ns0:c r="I2151">
        <ns0:f>IF($H2151=0,0,IFERROR(IF(AND(ABS($C2151-INDEX('AH History'!$B$1:$B$18046,$H2151))&lt;=MAX(0.005,ABS(INDEX('AH History'!$B$1:$B$18046,$H2151))*0.00005),ABS($D2151-INDEX('AH History'!$C$1:$C$18046,$H2151))&lt;=MAX(0.005,ABS(INDEX('AH History'!$C$1:$C$18046,$H2151))*0.00005),ABS($E2151-INDEX('AH History'!$D$1:$D$18046,$H2151))&lt;=0.00005,$F2151=INDEX('AH History'!$E$1:$E$18046,$H2151),$G2151=INDEX('AH History'!$F$1:$F$18046,$H2151)),1,-1),-1))</ns0:f>
        <ns0:v/>
      </ns0:c>
    </ns0:row>
    <ns0:row r="2152">
      <ns0:c r="A2152" s="215">
        <ns0:f>IF(OR(AH!$P$3=0,2147+1&gt;AH!$P$11,AND(AH!$E$4&lt;&gt;"Stored",AH!$P$10&lt;&gt;1)),"",IFERROR(IF(AND(AH!$P$21=1,2147+1=AH!$P$11),TODAY(),IF(AH!$P$10=1,INDEX('Live History'!$A$5:$A$3004,AH!$P$13+2147),INDEX('AH History'!$A$1:$A$18046,AH!$P$7+2147))),""))</ns0:f>
        <ns0:v/>
      </ns0:c>
      <ns0:c r="B2152" s="219">
        <ns0:f>IFERROR(IF(AND(AH!$P$9&lt;&gt;1,$C2152&gt;0,$D2152&gt;0,$E2152&gt;0,$F2152&gt;0,$G2152&gt;0,$F2152&lt;=$A2152,$G2152&lt;=$A2152,$A2152-$F2152&lt;=10,$A2152-$G2152&lt;=5),$D2152*$E2152/$C2152-1,NA()),NA())</ns0:f>
        <ns0:v/>
      </ns0:c>
      <ns0:c r="C2152">
        <ns0:f>IFERROR(IF(ISNUMBER($A2152),IF(AND(AH!$P$10=1,AH!$P$12=1,$A2152=TODAY()),AH!$P$19,IF(AH!$P$10=1,INDEX('Live History'!$B$5:$B$3004,AH!$P$13+2147),INDEX('AH History'!$B$1:$B$18046,AH!$P$7+2147))),NA()),NA())</ns0:f>
        <ns0:v/>
      </ns0:c>
      <ns0:c r="D2152">
        <ns0:f>IFERROR(IF(ISNUMBER($A2152),IF(AND(AH!$P$10=1,AH!$P$12=1,$A2152=TODAY()),AH!$P$18,IF(AH!$P$10=1,INDEX('Live History'!$E$5:$E$3004,MATCH($A2152,'Live History'!$D$5:$D$3004,1)),INDEX('AH History'!$C$1:$C$18046,AH!$P$7+2147))),NA()),NA())</ns0:f>
        <ns0:v/>
      </ns0:c>
      <ns0:c r="E2152">
        <ns0:f>IFERROR(IF(ISNUMBER($A2152),IF(AND(AH!$P$10=1,AH!$P$12=1,$A2152=TODAY()),AH!$P$20,IF(AH!$P$10=1,INDEX('Live History'!$H$5:$H$3004,MATCH($A2152,'Live History'!$G$5:$G$3004,1)),INDEX('AH History'!$D$1:$D$18046,AH!$P$7+2147))),NA()),NA())</ns0:f>
        <ns0:v/>
      </ns0:c>
      <ns0:c r="F2152">
        <ns0:f>IFERROR(IF(ISNUMBER($A2152),IF(AND(AH!$P$10=1,AH!$P$12=1,$A2152=TODAY()),IF(AND(AH!$P$10=1,AH!$P$12=1,$A2152=TODAY()),TODAY(),NA()),IF(AH!$P$10=1,INDEX('Live History'!$D$5:$D$3004,MATCH($A2152,'Live History'!$D$5:$D$3004,1)),INDEX('AH History'!$E$1:$E$18046,AH!$P$7+2147))),NA()),NA())</ns0:f>
        <ns0:v/>
      </ns0:c>
      <ns0:c r="G2152">
        <ns0:f>IFERROR(IF(ISNUMBER($A2152),IF(AND(AH!$P$10=1,AH!$P$12=1,$A2152=TODAY()),IF(AND(AH!$P$10=1,AH!$P$12=1,$A2152=TODAY()),TODAY(),NA()),IF(AH!$P$10=1,INDEX('Live History'!$G$5:$G$3004,MATCH($A2152,'Live History'!$G$5:$G$3004,1)),INDEX('AH History'!$F$1:$F$18046,AH!$P$7+2147))),NA()),NA())</ns0:f>
        <ns0:v/>
      </ns0:c>
      <ns0:c r="H2152">
        <ns0:f>IFERROR(IF(AND(AH!$E$4="Bloomberg",AH!$P$10=1,ISNUMBER($A2152),$A2152&lt;=AH!$P$17),AH!$P$7-1+MATCH($A2152,INDEX('AH History'!$A$1:$A$18046,AH!$P$7):INDEX('AH History'!$A$1:$A$18046,AH!$P$7+AH!$P$8-1),0),0),0)</ns0:f>
        <ns0:v/>
      </ns0:c>
      <ns0:c r="I2152">
        <ns0:f>IF($H2152=0,0,IFERROR(IF(AND(ABS($C2152-INDEX('AH History'!$B$1:$B$18046,$H2152))&lt;=MAX(0.005,ABS(INDEX('AH History'!$B$1:$B$18046,$H2152))*0.00005),ABS($D2152-INDEX('AH History'!$C$1:$C$18046,$H2152))&lt;=MAX(0.005,ABS(INDEX('AH History'!$C$1:$C$18046,$H2152))*0.00005),ABS($E2152-INDEX('AH History'!$D$1:$D$18046,$H2152))&lt;=0.00005,$F2152=INDEX('AH History'!$E$1:$E$18046,$H2152),$G2152=INDEX('AH History'!$F$1:$F$18046,$H2152)),1,-1),-1))</ns0:f>
        <ns0:v/>
      </ns0:c>
    </ns0:row>
    <ns0:row r="2153">
      <ns0:c r="A2153" s="215">
        <ns0:f>IF(OR(AH!$P$3=0,2148+1&gt;AH!$P$11,AND(AH!$E$4&lt;&gt;"Stored",AH!$P$10&lt;&gt;1)),"",IFERROR(IF(AND(AH!$P$21=1,2148+1=AH!$P$11),TODAY(),IF(AH!$P$10=1,INDEX('Live History'!$A$5:$A$3004,AH!$P$13+2148),INDEX('AH History'!$A$1:$A$18046,AH!$P$7+2148))),""))</ns0:f>
        <ns0:v/>
      </ns0:c>
      <ns0:c r="B2153" s="219">
        <ns0:f>IFERROR(IF(AND(AH!$P$9&lt;&gt;1,$C2153&gt;0,$D2153&gt;0,$E2153&gt;0,$F2153&gt;0,$G2153&gt;0,$F2153&lt;=$A2153,$G2153&lt;=$A2153,$A2153-$F2153&lt;=10,$A2153-$G2153&lt;=5),$D2153*$E2153/$C2153-1,NA()),NA())</ns0:f>
        <ns0:v/>
      </ns0:c>
      <ns0:c r="C2153">
        <ns0:f>IFERROR(IF(ISNUMBER($A2153),IF(AND(AH!$P$10=1,AH!$P$12=1,$A2153=TODAY()),AH!$P$19,IF(AH!$P$10=1,INDEX('Live History'!$B$5:$B$3004,AH!$P$13+2148),INDEX('AH History'!$B$1:$B$18046,AH!$P$7+2148))),NA()),NA())</ns0:f>
        <ns0:v/>
      </ns0:c>
      <ns0:c r="D2153">
        <ns0:f>IFERROR(IF(ISNUMBER($A2153),IF(AND(AH!$P$10=1,AH!$P$12=1,$A2153=TODAY()),AH!$P$18,IF(AH!$P$10=1,INDEX('Live History'!$E$5:$E$3004,MATCH($A2153,'Live History'!$D$5:$D$3004,1)),INDEX('AH History'!$C$1:$C$18046,AH!$P$7+2148))),NA()),NA())</ns0:f>
        <ns0:v/>
      </ns0:c>
      <ns0:c r="E2153">
        <ns0:f>IFERROR(IF(ISNUMBER($A2153),IF(AND(AH!$P$10=1,AH!$P$12=1,$A2153=TODAY()),AH!$P$20,IF(AH!$P$10=1,INDEX('Live History'!$H$5:$H$3004,MATCH($A2153,'Live History'!$G$5:$G$3004,1)),INDEX('AH History'!$D$1:$D$18046,AH!$P$7+2148))),NA()),NA())</ns0:f>
        <ns0:v/>
      </ns0:c>
      <ns0:c r="F2153">
        <ns0:f>IFERROR(IF(ISNUMBER($A2153),IF(AND(AH!$P$10=1,AH!$P$12=1,$A2153=TODAY()),IF(AND(AH!$P$10=1,AH!$P$12=1,$A2153=TODAY()),TODAY(),NA()),IF(AH!$P$10=1,INDEX('Live History'!$D$5:$D$3004,MATCH($A2153,'Live History'!$D$5:$D$3004,1)),INDEX('AH History'!$E$1:$E$18046,AH!$P$7+2148))),NA()),NA())</ns0:f>
        <ns0:v/>
      </ns0:c>
      <ns0:c r="G2153">
        <ns0:f>IFERROR(IF(ISNUMBER($A2153),IF(AND(AH!$P$10=1,AH!$P$12=1,$A2153=TODAY()),IF(AND(AH!$P$10=1,AH!$P$12=1,$A2153=TODAY()),TODAY(),NA()),IF(AH!$P$10=1,INDEX('Live History'!$G$5:$G$3004,MATCH($A2153,'Live History'!$G$5:$G$3004,1)),INDEX('AH History'!$F$1:$F$18046,AH!$P$7+2148))),NA()),NA())</ns0:f>
        <ns0:v/>
      </ns0:c>
      <ns0:c r="H2153">
        <ns0:f>IFERROR(IF(AND(AH!$E$4="Bloomberg",AH!$P$10=1,ISNUMBER($A2153),$A2153&lt;=AH!$P$17),AH!$P$7-1+MATCH($A2153,INDEX('AH History'!$A$1:$A$18046,AH!$P$7):INDEX('AH History'!$A$1:$A$18046,AH!$P$7+AH!$P$8-1),0),0),0)</ns0:f>
        <ns0:v/>
      </ns0:c>
      <ns0:c r="I2153">
        <ns0:f>IF($H2153=0,0,IFERROR(IF(AND(ABS($C2153-INDEX('AH History'!$B$1:$B$18046,$H2153))&lt;=MAX(0.005,ABS(INDEX('AH History'!$B$1:$B$18046,$H2153))*0.00005),ABS($D2153-INDEX('AH History'!$C$1:$C$18046,$H2153))&lt;=MAX(0.005,ABS(INDEX('AH History'!$C$1:$C$18046,$H2153))*0.00005),ABS($E2153-INDEX('AH History'!$D$1:$D$18046,$H2153))&lt;=0.00005,$F2153=INDEX('AH History'!$E$1:$E$18046,$H2153),$G2153=INDEX('AH History'!$F$1:$F$18046,$H2153)),1,-1),-1))</ns0:f>
        <ns0:v/>
      </ns0:c>
    </ns0:row>
    <ns0:row r="2154">
      <ns0:c r="A2154" s="215">
        <ns0:f>IF(OR(AH!$P$3=0,2149+1&gt;AH!$P$11,AND(AH!$E$4&lt;&gt;"Stored",AH!$P$10&lt;&gt;1)),"",IFERROR(IF(AND(AH!$P$21=1,2149+1=AH!$P$11),TODAY(),IF(AH!$P$10=1,INDEX('Live History'!$A$5:$A$3004,AH!$P$13+2149),INDEX('AH History'!$A$1:$A$18046,AH!$P$7+2149))),""))</ns0:f>
        <ns0:v/>
      </ns0:c>
      <ns0:c r="B2154" s="219">
        <ns0:f>IFERROR(IF(AND(AH!$P$9&lt;&gt;1,$C2154&gt;0,$D2154&gt;0,$E2154&gt;0,$F2154&gt;0,$G2154&gt;0,$F2154&lt;=$A2154,$G2154&lt;=$A2154,$A2154-$F2154&lt;=10,$A2154-$G2154&lt;=5),$D2154*$E2154/$C2154-1,NA()),NA())</ns0:f>
        <ns0:v/>
      </ns0:c>
      <ns0:c r="C2154">
        <ns0:f>IFERROR(IF(ISNUMBER($A2154),IF(AND(AH!$P$10=1,AH!$P$12=1,$A2154=TODAY()),AH!$P$19,IF(AH!$P$10=1,INDEX('Live History'!$B$5:$B$3004,AH!$P$13+2149),INDEX('AH History'!$B$1:$B$18046,AH!$P$7+2149))),NA()),NA())</ns0:f>
        <ns0:v/>
      </ns0:c>
      <ns0:c r="D2154">
        <ns0:f>IFERROR(IF(ISNUMBER($A2154),IF(AND(AH!$P$10=1,AH!$P$12=1,$A2154=TODAY()),AH!$P$18,IF(AH!$P$10=1,INDEX('Live History'!$E$5:$E$3004,MATCH($A2154,'Live History'!$D$5:$D$3004,1)),INDEX('AH History'!$C$1:$C$18046,AH!$P$7+2149))),NA()),NA())</ns0:f>
        <ns0:v/>
      </ns0:c>
      <ns0:c r="E2154">
        <ns0:f>IFERROR(IF(ISNUMBER($A2154),IF(AND(AH!$P$10=1,AH!$P$12=1,$A2154=TODAY()),AH!$P$20,IF(AH!$P$10=1,INDEX('Live History'!$H$5:$H$3004,MATCH($A2154,'Live History'!$G$5:$G$3004,1)),INDEX('AH History'!$D$1:$D$18046,AH!$P$7+2149))),NA()),NA())</ns0:f>
        <ns0:v/>
      </ns0:c>
      <ns0:c r="F2154">
        <ns0:f>IFERROR(IF(ISNUMBER($A2154),IF(AND(AH!$P$10=1,AH!$P$12=1,$A2154=TODAY()),IF(AND(AH!$P$10=1,AH!$P$12=1,$A2154=TODAY()),TODAY(),NA()),IF(AH!$P$10=1,INDEX('Live History'!$D$5:$D$3004,MATCH($A2154,'Live History'!$D$5:$D$3004,1)),INDEX('AH History'!$E$1:$E$18046,AH!$P$7+2149))),NA()),NA())</ns0:f>
        <ns0:v/>
      </ns0:c>
      <ns0:c r="G2154">
        <ns0:f>IFERROR(IF(ISNUMBER($A2154),IF(AND(AH!$P$10=1,AH!$P$12=1,$A2154=TODAY()),IF(AND(AH!$P$10=1,AH!$P$12=1,$A2154=TODAY()),TODAY(),NA()),IF(AH!$P$10=1,INDEX('Live History'!$G$5:$G$3004,MATCH($A2154,'Live History'!$G$5:$G$3004,1)),INDEX('AH History'!$F$1:$F$18046,AH!$P$7+2149))),NA()),NA())</ns0:f>
        <ns0:v/>
      </ns0:c>
      <ns0:c r="H2154">
        <ns0:f>IFERROR(IF(AND(AH!$E$4="Bloomberg",AH!$P$10=1,ISNUMBER($A2154),$A2154&lt;=AH!$P$17),AH!$P$7-1+MATCH($A2154,INDEX('AH History'!$A$1:$A$18046,AH!$P$7):INDEX('AH History'!$A$1:$A$18046,AH!$P$7+AH!$P$8-1),0),0),0)</ns0:f>
        <ns0:v/>
      </ns0:c>
      <ns0:c r="I2154">
        <ns0:f>IF($H2154=0,0,IFERROR(IF(AND(ABS($C2154-INDEX('AH History'!$B$1:$B$18046,$H2154))&lt;=MAX(0.005,ABS(INDEX('AH History'!$B$1:$B$18046,$H2154))*0.00005),ABS($D2154-INDEX('AH History'!$C$1:$C$18046,$H2154))&lt;=MAX(0.005,ABS(INDEX('AH History'!$C$1:$C$18046,$H2154))*0.00005),ABS($E2154-INDEX('AH History'!$D$1:$D$18046,$H2154))&lt;=0.00005,$F2154=INDEX('AH History'!$E$1:$E$18046,$H2154),$G2154=INDEX('AH History'!$F$1:$F$18046,$H2154)),1,-1),-1))</ns0:f>
        <ns0:v/>
      </ns0:c>
    </ns0:row>
    <ns0:row r="2155">
      <ns0:c r="A2155" s="215">
        <ns0:f>IF(OR(AH!$P$3=0,2150+1&gt;AH!$P$11,AND(AH!$E$4&lt;&gt;"Stored",AH!$P$10&lt;&gt;1)),"",IFERROR(IF(AND(AH!$P$21=1,2150+1=AH!$P$11),TODAY(),IF(AH!$P$10=1,INDEX('Live History'!$A$5:$A$3004,AH!$P$13+2150),INDEX('AH History'!$A$1:$A$18046,AH!$P$7+2150))),""))</ns0:f>
        <ns0:v/>
      </ns0:c>
      <ns0:c r="B2155" s="219">
        <ns0:f>IFERROR(IF(AND(AH!$P$9&lt;&gt;1,$C2155&gt;0,$D2155&gt;0,$E2155&gt;0,$F2155&gt;0,$G2155&gt;0,$F2155&lt;=$A2155,$G2155&lt;=$A2155,$A2155-$F2155&lt;=10,$A2155-$G2155&lt;=5),$D2155*$E2155/$C2155-1,NA()),NA())</ns0:f>
        <ns0:v/>
      </ns0:c>
      <ns0:c r="C2155">
        <ns0:f>IFERROR(IF(ISNUMBER($A2155),IF(AND(AH!$P$10=1,AH!$P$12=1,$A2155=TODAY()),AH!$P$19,IF(AH!$P$10=1,INDEX('Live History'!$B$5:$B$3004,AH!$P$13+2150),INDEX('AH History'!$B$1:$B$18046,AH!$P$7+2150))),NA()),NA())</ns0:f>
        <ns0:v/>
      </ns0:c>
      <ns0:c r="D2155">
        <ns0:f>IFERROR(IF(ISNUMBER($A2155),IF(AND(AH!$P$10=1,AH!$P$12=1,$A2155=TODAY()),AH!$P$18,IF(AH!$P$10=1,INDEX('Live History'!$E$5:$E$3004,MATCH($A2155,'Live History'!$D$5:$D$3004,1)),INDEX('AH History'!$C$1:$C$18046,AH!$P$7+2150))),NA()),NA())</ns0:f>
        <ns0:v/>
      </ns0:c>
      <ns0:c r="E2155">
        <ns0:f>IFERROR(IF(ISNUMBER($A2155),IF(AND(AH!$P$10=1,AH!$P$12=1,$A2155=TODAY()),AH!$P$20,IF(AH!$P$10=1,INDEX('Live History'!$H$5:$H$3004,MATCH($A2155,'Live History'!$G$5:$G$3004,1)),INDEX('AH History'!$D$1:$D$18046,AH!$P$7+2150))),NA()),NA())</ns0:f>
        <ns0:v/>
      </ns0:c>
      <ns0:c r="F2155">
        <ns0:f>IFERROR(IF(ISNUMBER($A2155),IF(AND(AH!$P$10=1,AH!$P$12=1,$A2155=TODAY()),IF(AND(AH!$P$10=1,AH!$P$12=1,$A2155=TODAY()),TODAY(),NA()),IF(AH!$P$10=1,INDEX('Live History'!$D$5:$D$3004,MATCH($A2155,'Live History'!$D$5:$D$3004,1)),INDEX('AH History'!$E$1:$E$18046,AH!$P$7+2150))),NA()),NA())</ns0:f>
        <ns0:v/>
      </ns0:c>
      <ns0:c r="G2155">
        <ns0:f>IFERROR(IF(ISNUMBER($A2155),IF(AND(AH!$P$10=1,AH!$P$12=1,$A2155=TODAY()),IF(AND(AH!$P$10=1,AH!$P$12=1,$A2155=TODAY()),TODAY(),NA()),IF(AH!$P$10=1,INDEX('Live History'!$G$5:$G$3004,MATCH($A2155,'Live History'!$G$5:$G$3004,1)),INDEX('AH History'!$F$1:$F$18046,AH!$P$7+2150))),NA()),NA())</ns0:f>
        <ns0:v/>
      </ns0:c>
      <ns0:c r="H2155">
        <ns0:f>IFERROR(IF(AND(AH!$E$4="Bloomberg",AH!$P$10=1,ISNUMBER($A2155),$A2155&lt;=AH!$P$17),AH!$P$7-1+MATCH($A2155,INDEX('AH History'!$A$1:$A$18046,AH!$P$7):INDEX('AH History'!$A$1:$A$18046,AH!$P$7+AH!$P$8-1),0),0),0)</ns0:f>
        <ns0:v/>
      </ns0:c>
      <ns0:c r="I2155">
        <ns0:f>IF($H2155=0,0,IFERROR(IF(AND(ABS($C2155-INDEX('AH History'!$B$1:$B$18046,$H2155))&lt;=MAX(0.005,ABS(INDEX('AH History'!$B$1:$B$18046,$H2155))*0.00005),ABS($D2155-INDEX('AH History'!$C$1:$C$18046,$H2155))&lt;=MAX(0.005,ABS(INDEX('AH History'!$C$1:$C$18046,$H2155))*0.00005),ABS($E2155-INDEX('AH History'!$D$1:$D$18046,$H2155))&lt;=0.00005,$F2155=INDEX('AH History'!$E$1:$E$18046,$H2155),$G2155=INDEX('AH History'!$F$1:$F$18046,$H2155)),1,-1),-1))</ns0:f>
        <ns0:v/>
      </ns0:c>
    </ns0:row>
    <ns0:row r="2156">
      <ns0:c r="A2156" s="215">
        <ns0:f>IF(OR(AH!$P$3=0,2151+1&gt;AH!$P$11,AND(AH!$E$4&lt;&gt;"Stored",AH!$P$10&lt;&gt;1)),"",IFERROR(IF(AND(AH!$P$21=1,2151+1=AH!$P$11),TODAY(),IF(AH!$P$10=1,INDEX('Live History'!$A$5:$A$3004,AH!$P$13+2151),INDEX('AH History'!$A$1:$A$18046,AH!$P$7+2151))),""))</ns0:f>
        <ns0:v/>
      </ns0:c>
      <ns0:c r="B2156" s="219">
        <ns0:f>IFERROR(IF(AND(AH!$P$9&lt;&gt;1,$C2156&gt;0,$D2156&gt;0,$E2156&gt;0,$F2156&gt;0,$G2156&gt;0,$F2156&lt;=$A2156,$G2156&lt;=$A2156,$A2156-$F2156&lt;=10,$A2156-$G2156&lt;=5),$D2156*$E2156/$C2156-1,NA()),NA())</ns0:f>
        <ns0:v/>
      </ns0:c>
      <ns0:c r="C2156">
        <ns0:f>IFERROR(IF(ISNUMBER($A2156),IF(AND(AH!$P$10=1,AH!$P$12=1,$A2156=TODAY()),AH!$P$19,IF(AH!$P$10=1,INDEX('Live History'!$B$5:$B$3004,AH!$P$13+2151),INDEX('AH History'!$B$1:$B$18046,AH!$P$7+2151))),NA()),NA())</ns0:f>
        <ns0:v/>
      </ns0:c>
      <ns0:c r="D2156">
        <ns0:f>IFERROR(IF(ISNUMBER($A2156),IF(AND(AH!$P$10=1,AH!$P$12=1,$A2156=TODAY()),AH!$P$18,IF(AH!$P$10=1,INDEX('Live History'!$E$5:$E$3004,MATCH($A2156,'Live History'!$D$5:$D$3004,1)),INDEX('AH History'!$C$1:$C$18046,AH!$P$7+2151))),NA()),NA())</ns0:f>
        <ns0:v/>
      </ns0:c>
      <ns0:c r="E2156">
        <ns0:f>IFERROR(IF(ISNUMBER($A2156),IF(AND(AH!$P$10=1,AH!$P$12=1,$A2156=TODAY()),AH!$P$20,IF(AH!$P$10=1,INDEX('Live History'!$H$5:$H$3004,MATCH($A2156,'Live History'!$G$5:$G$3004,1)),INDEX('AH History'!$D$1:$D$18046,AH!$P$7+2151))),NA()),NA())</ns0:f>
        <ns0:v/>
      </ns0:c>
      <ns0:c r="F2156">
        <ns0:f>IFERROR(IF(ISNUMBER($A2156),IF(AND(AH!$P$10=1,AH!$P$12=1,$A2156=TODAY()),IF(AND(AH!$P$10=1,AH!$P$12=1,$A2156=TODAY()),TODAY(),NA()),IF(AH!$P$10=1,INDEX('Live History'!$D$5:$D$3004,MATCH($A2156,'Live History'!$D$5:$D$3004,1)),INDEX('AH History'!$E$1:$E$18046,AH!$P$7+2151))),NA()),NA())</ns0:f>
        <ns0:v/>
      </ns0:c>
      <ns0:c r="G2156">
        <ns0:f>IFERROR(IF(ISNUMBER($A2156),IF(AND(AH!$P$10=1,AH!$P$12=1,$A2156=TODAY()),IF(AND(AH!$P$10=1,AH!$P$12=1,$A2156=TODAY()),TODAY(),NA()),IF(AH!$P$10=1,INDEX('Live History'!$G$5:$G$3004,MATCH($A2156,'Live History'!$G$5:$G$3004,1)),INDEX('AH History'!$F$1:$F$18046,AH!$P$7+2151))),NA()),NA())</ns0:f>
        <ns0:v/>
      </ns0:c>
      <ns0:c r="H2156">
        <ns0:f>IFERROR(IF(AND(AH!$E$4="Bloomberg",AH!$P$10=1,ISNUMBER($A2156),$A2156&lt;=AH!$P$17),AH!$P$7-1+MATCH($A2156,INDEX('AH History'!$A$1:$A$18046,AH!$P$7):INDEX('AH History'!$A$1:$A$18046,AH!$P$7+AH!$P$8-1),0),0),0)</ns0:f>
        <ns0:v/>
      </ns0:c>
      <ns0:c r="I2156">
        <ns0:f>IF($H2156=0,0,IFERROR(IF(AND(ABS($C2156-INDEX('AH History'!$B$1:$B$18046,$H2156))&lt;=MAX(0.005,ABS(INDEX('AH History'!$B$1:$B$18046,$H2156))*0.00005),ABS($D2156-INDEX('AH History'!$C$1:$C$18046,$H2156))&lt;=MAX(0.005,ABS(INDEX('AH History'!$C$1:$C$18046,$H2156))*0.00005),ABS($E2156-INDEX('AH History'!$D$1:$D$18046,$H2156))&lt;=0.00005,$F2156=INDEX('AH History'!$E$1:$E$18046,$H2156),$G2156=INDEX('AH History'!$F$1:$F$18046,$H2156)),1,-1),-1))</ns0:f>
        <ns0:v/>
      </ns0:c>
    </ns0:row>
    <ns0:row r="2157">
      <ns0:c r="A2157" s="215">
        <ns0:f>IF(OR(AH!$P$3=0,2152+1&gt;AH!$P$11,AND(AH!$E$4&lt;&gt;"Stored",AH!$P$10&lt;&gt;1)),"",IFERROR(IF(AND(AH!$P$21=1,2152+1=AH!$P$11),TODAY(),IF(AH!$P$10=1,INDEX('Live History'!$A$5:$A$3004,AH!$P$13+2152),INDEX('AH History'!$A$1:$A$18046,AH!$P$7+2152))),""))</ns0:f>
        <ns0:v/>
      </ns0:c>
      <ns0:c r="B2157" s="219">
        <ns0:f>IFERROR(IF(AND(AH!$P$9&lt;&gt;1,$C2157&gt;0,$D2157&gt;0,$E2157&gt;0,$F2157&gt;0,$G2157&gt;0,$F2157&lt;=$A2157,$G2157&lt;=$A2157,$A2157-$F2157&lt;=10,$A2157-$G2157&lt;=5),$D2157*$E2157/$C2157-1,NA()),NA())</ns0:f>
        <ns0:v/>
      </ns0:c>
      <ns0:c r="C2157">
        <ns0:f>IFERROR(IF(ISNUMBER($A2157),IF(AND(AH!$P$10=1,AH!$P$12=1,$A2157=TODAY()),AH!$P$19,IF(AH!$P$10=1,INDEX('Live History'!$B$5:$B$3004,AH!$P$13+2152),INDEX('AH History'!$B$1:$B$18046,AH!$P$7+2152))),NA()),NA())</ns0:f>
        <ns0:v/>
      </ns0:c>
      <ns0:c r="D2157">
        <ns0:f>IFERROR(IF(ISNUMBER($A2157),IF(AND(AH!$P$10=1,AH!$P$12=1,$A2157=TODAY()),AH!$P$18,IF(AH!$P$10=1,INDEX('Live History'!$E$5:$E$3004,MATCH($A2157,'Live History'!$D$5:$D$3004,1)),INDEX('AH History'!$C$1:$C$18046,AH!$P$7+2152))),NA()),NA())</ns0:f>
        <ns0:v/>
      </ns0:c>
      <ns0:c r="E2157">
        <ns0:f>IFERROR(IF(ISNUMBER($A2157),IF(AND(AH!$P$10=1,AH!$P$12=1,$A2157=TODAY()),AH!$P$20,IF(AH!$P$10=1,INDEX('Live History'!$H$5:$H$3004,MATCH($A2157,'Live History'!$G$5:$G$3004,1)),INDEX('AH History'!$D$1:$D$18046,AH!$P$7+2152))),NA()),NA())</ns0:f>
        <ns0:v/>
      </ns0:c>
      <ns0:c r="F2157">
        <ns0:f>IFERROR(IF(ISNUMBER($A2157),IF(AND(AH!$P$10=1,AH!$P$12=1,$A2157=TODAY()),IF(AND(AH!$P$10=1,AH!$P$12=1,$A2157=TODAY()),TODAY(),NA()),IF(AH!$P$10=1,INDEX('Live History'!$D$5:$D$3004,MATCH($A2157,'Live History'!$D$5:$D$3004,1)),INDEX('AH History'!$E$1:$E$18046,AH!$P$7+2152))),NA()),NA())</ns0:f>
        <ns0:v/>
      </ns0:c>
      <ns0:c r="G2157">
        <ns0:f>IFERROR(IF(ISNUMBER($A2157),IF(AND(AH!$P$10=1,AH!$P$12=1,$A2157=TODAY()),IF(AND(AH!$P$10=1,AH!$P$12=1,$A2157=TODAY()),TODAY(),NA()),IF(AH!$P$10=1,INDEX('Live History'!$G$5:$G$3004,MATCH($A2157,'Live History'!$G$5:$G$3004,1)),INDEX('AH History'!$F$1:$F$18046,AH!$P$7+2152))),NA()),NA())</ns0:f>
        <ns0:v/>
      </ns0:c>
      <ns0:c r="H2157">
        <ns0:f>IFERROR(IF(AND(AH!$E$4="Bloomberg",AH!$P$10=1,ISNUMBER($A2157),$A2157&lt;=AH!$P$17),AH!$P$7-1+MATCH($A2157,INDEX('AH History'!$A$1:$A$18046,AH!$P$7):INDEX('AH History'!$A$1:$A$18046,AH!$P$7+AH!$P$8-1),0),0),0)</ns0:f>
        <ns0:v/>
      </ns0:c>
      <ns0:c r="I2157">
        <ns0:f>IF($H2157=0,0,IFERROR(IF(AND(ABS($C2157-INDEX('AH History'!$B$1:$B$18046,$H2157))&lt;=MAX(0.005,ABS(INDEX('AH History'!$B$1:$B$18046,$H2157))*0.00005),ABS($D2157-INDEX('AH History'!$C$1:$C$18046,$H2157))&lt;=MAX(0.005,ABS(INDEX('AH History'!$C$1:$C$18046,$H2157))*0.00005),ABS($E2157-INDEX('AH History'!$D$1:$D$18046,$H2157))&lt;=0.00005,$F2157=INDEX('AH History'!$E$1:$E$18046,$H2157),$G2157=INDEX('AH History'!$F$1:$F$18046,$H2157)),1,-1),-1))</ns0:f>
        <ns0:v/>
      </ns0:c>
    </ns0:row>
    <ns0:row r="2158">
      <ns0:c r="A2158" s="215">
        <ns0:f>IF(OR(AH!$P$3=0,2153+1&gt;AH!$P$11,AND(AH!$E$4&lt;&gt;"Stored",AH!$P$10&lt;&gt;1)),"",IFERROR(IF(AND(AH!$P$21=1,2153+1=AH!$P$11),TODAY(),IF(AH!$P$10=1,INDEX('Live History'!$A$5:$A$3004,AH!$P$13+2153),INDEX('AH History'!$A$1:$A$18046,AH!$P$7+2153))),""))</ns0:f>
        <ns0:v/>
      </ns0:c>
      <ns0:c r="B2158" s="219">
        <ns0:f>IFERROR(IF(AND(AH!$P$9&lt;&gt;1,$C2158&gt;0,$D2158&gt;0,$E2158&gt;0,$F2158&gt;0,$G2158&gt;0,$F2158&lt;=$A2158,$G2158&lt;=$A2158,$A2158-$F2158&lt;=10,$A2158-$G2158&lt;=5),$D2158*$E2158/$C2158-1,NA()),NA())</ns0:f>
        <ns0:v/>
      </ns0:c>
      <ns0:c r="C2158">
        <ns0:f>IFERROR(IF(ISNUMBER($A2158),IF(AND(AH!$P$10=1,AH!$P$12=1,$A2158=TODAY()),AH!$P$19,IF(AH!$P$10=1,INDEX('Live History'!$B$5:$B$3004,AH!$P$13+2153),INDEX('AH History'!$B$1:$B$18046,AH!$P$7+2153))),NA()),NA())</ns0:f>
        <ns0:v/>
      </ns0:c>
      <ns0:c r="D2158">
        <ns0:f>IFERROR(IF(ISNUMBER($A2158),IF(AND(AH!$P$10=1,AH!$P$12=1,$A2158=TODAY()),AH!$P$18,IF(AH!$P$10=1,INDEX('Live History'!$E$5:$E$3004,MATCH($A2158,'Live History'!$D$5:$D$3004,1)),INDEX('AH History'!$C$1:$C$18046,AH!$P$7+2153))),NA()),NA())</ns0:f>
        <ns0:v/>
      </ns0:c>
      <ns0:c r="E2158">
        <ns0:f>IFERROR(IF(ISNUMBER($A2158),IF(AND(AH!$P$10=1,AH!$P$12=1,$A2158=TODAY()),AH!$P$20,IF(AH!$P$10=1,INDEX('Live History'!$H$5:$H$3004,MATCH($A2158,'Live History'!$G$5:$G$3004,1)),INDEX('AH History'!$D$1:$D$18046,AH!$P$7+2153))),NA()),NA())</ns0:f>
        <ns0:v/>
      </ns0:c>
      <ns0:c r="F2158">
        <ns0:f>IFERROR(IF(ISNUMBER($A2158),IF(AND(AH!$P$10=1,AH!$P$12=1,$A2158=TODAY()),IF(AND(AH!$P$10=1,AH!$P$12=1,$A2158=TODAY()),TODAY(),NA()),IF(AH!$P$10=1,INDEX('Live History'!$D$5:$D$3004,MATCH($A2158,'Live History'!$D$5:$D$3004,1)),INDEX('AH History'!$E$1:$E$18046,AH!$P$7+2153))),NA()),NA())</ns0:f>
        <ns0:v/>
      </ns0:c>
      <ns0:c r="G2158">
        <ns0:f>IFERROR(IF(ISNUMBER($A2158),IF(AND(AH!$P$10=1,AH!$P$12=1,$A2158=TODAY()),IF(AND(AH!$P$10=1,AH!$P$12=1,$A2158=TODAY()),TODAY(),NA()),IF(AH!$P$10=1,INDEX('Live History'!$G$5:$G$3004,MATCH($A2158,'Live History'!$G$5:$G$3004,1)),INDEX('AH History'!$F$1:$F$18046,AH!$P$7+2153))),NA()),NA())</ns0:f>
        <ns0:v/>
      </ns0:c>
      <ns0:c r="H2158">
        <ns0:f>IFERROR(IF(AND(AH!$E$4="Bloomberg",AH!$P$10=1,ISNUMBER($A2158),$A2158&lt;=AH!$P$17),AH!$P$7-1+MATCH($A2158,INDEX('AH History'!$A$1:$A$18046,AH!$P$7):INDEX('AH History'!$A$1:$A$18046,AH!$P$7+AH!$P$8-1),0),0),0)</ns0:f>
        <ns0:v/>
      </ns0:c>
      <ns0:c r="I2158">
        <ns0:f>IF($H2158=0,0,IFERROR(IF(AND(ABS($C2158-INDEX('AH History'!$B$1:$B$18046,$H2158))&lt;=MAX(0.005,ABS(INDEX('AH History'!$B$1:$B$18046,$H2158))*0.00005),ABS($D2158-INDEX('AH History'!$C$1:$C$18046,$H2158))&lt;=MAX(0.005,ABS(INDEX('AH History'!$C$1:$C$18046,$H2158))*0.00005),ABS($E2158-INDEX('AH History'!$D$1:$D$18046,$H2158))&lt;=0.00005,$F2158=INDEX('AH History'!$E$1:$E$18046,$H2158),$G2158=INDEX('AH History'!$F$1:$F$18046,$H2158)),1,-1),-1))</ns0:f>
        <ns0:v/>
      </ns0:c>
    </ns0:row>
    <ns0:row r="2159">
      <ns0:c r="A2159" s="215">
        <ns0:f>IF(OR(AH!$P$3=0,2154+1&gt;AH!$P$11,AND(AH!$E$4&lt;&gt;"Stored",AH!$P$10&lt;&gt;1)),"",IFERROR(IF(AND(AH!$P$21=1,2154+1=AH!$P$11),TODAY(),IF(AH!$P$10=1,INDEX('Live History'!$A$5:$A$3004,AH!$P$13+2154),INDEX('AH History'!$A$1:$A$18046,AH!$P$7+2154))),""))</ns0:f>
        <ns0:v/>
      </ns0:c>
      <ns0:c r="B2159" s="219">
        <ns0:f>IFERROR(IF(AND(AH!$P$9&lt;&gt;1,$C2159&gt;0,$D2159&gt;0,$E2159&gt;0,$F2159&gt;0,$G2159&gt;0,$F2159&lt;=$A2159,$G2159&lt;=$A2159,$A2159-$F2159&lt;=10,$A2159-$G2159&lt;=5),$D2159*$E2159/$C2159-1,NA()),NA())</ns0:f>
        <ns0:v/>
      </ns0:c>
      <ns0:c r="C2159">
        <ns0:f>IFERROR(IF(ISNUMBER($A2159),IF(AND(AH!$P$10=1,AH!$P$12=1,$A2159=TODAY()),AH!$P$19,IF(AH!$P$10=1,INDEX('Live History'!$B$5:$B$3004,AH!$P$13+2154),INDEX('AH History'!$B$1:$B$18046,AH!$P$7+2154))),NA()),NA())</ns0:f>
        <ns0:v/>
      </ns0:c>
      <ns0:c r="D2159">
        <ns0:f>IFERROR(IF(ISNUMBER($A2159),IF(AND(AH!$P$10=1,AH!$P$12=1,$A2159=TODAY()),AH!$P$18,IF(AH!$P$10=1,INDEX('Live History'!$E$5:$E$3004,MATCH($A2159,'Live History'!$D$5:$D$3004,1)),INDEX('AH History'!$C$1:$C$18046,AH!$P$7+2154))),NA()),NA())</ns0:f>
        <ns0:v/>
      </ns0:c>
      <ns0:c r="E2159">
        <ns0:f>IFERROR(IF(ISNUMBER($A2159),IF(AND(AH!$P$10=1,AH!$P$12=1,$A2159=TODAY()),AH!$P$20,IF(AH!$P$10=1,INDEX('Live History'!$H$5:$H$3004,MATCH($A2159,'Live History'!$G$5:$G$3004,1)),INDEX('AH History'!$D$1:$D$18046,AH!$P$7+2154))),NA()),NA())</ns0:f>
        <ns0:v/>
      </ns0:c>
      <ns0:c r="F2159">
        <ns0:f>IFERROR(IF(ISNUMBER($A2159),IF(AND(AH!$P$10=1,AH!$P$12=1,$A2159=TODAY()),IF(AND(AH!$P$10=1,AH!$P$12=1,$A2159=TODAY()),TODAY(),NA()),IF(AH!$P$10=1,INDEX('Live History'!$D$5:$D$3004,MATCH($A2159,'Live History'!$D$5:$D$3004,1)),INDEX('AH History'!$E$1:$E$18046,AH!$P$7+2154))),NA()),NA())</ns0:f>
        <ns0:v/>
      </ns0:c>
      <ns0:c r="G2159">
        <ns0:f>IFERROR(IF(ISNUMBER($A2159),IF(AND(AH!$P$10=1,AH!$P$12=1,$A2159=TODAY()),IF(AND(AH!$P$10=1,AH!$P$12=1,$A2159=TODAY()),TODAY(),NA()),IF(AH!$P$10=1,INDEX('Live History'!$G$5:$G$3004,MATCH($A2159,'Live History'!$G$5:$G$3004,1)),INDEX('AH History'!$F$1:$F$18046,AH!$P$7+2154))),NA()),NA())</ns0:f>
        <ns0:v/>
      </ns0:c>
      <ns0:c r="H2159">
        <ns0:f>IFERROR(IF(AND(AH!$E$4="Bloomberg",AH!$P$10=1,ISNUMBER($A2159),$A2159&lt;=AH!$P$17),AH!$P$7-1+MATCH($A2159,INDEX('AH History'!$A$1:$A$18046,AH!$P$7):INDEX('AH History'!$A$1:$A$18046,AH!$P$7+AH!$P$8-1),0),0),0)</ns0:f>
        <ns0:v/>
      </ns0:c>
      <ns0:c r="I2159">
        <ns0:f>IF($H2159=0,0,IFERROR(IF(AND(ABS($C2159-INDEX('AH History'!$B$1:$B$18046,$H2159))&lt;=MAX(0.005,ABS(INDEX('AH History'!$B$1:$B$18046,$H2159))*0.00005),ABS($D2159-INDEX('AH History'!$C$1:$C$18046,$H2159))&lt;=MAX(0.005,ABS(INDEX('AH History'!$C$1:$C$18046,$H2159))*0.00005),ABS($E2159-INDEX('AH History'!$D$1:$D$18046,$H2159))&lt;=0.00005,$F2159=INDEX('AH History'!$E$1:$E$18046,$H2159),$G2159=INDEX('AH History'!$F$1:$F$18046,$H2159)),1,-1),-1))</ns0:f>
        <ns0:v/>
      </ns0:c>
    </ns0:row>
    <ns0:row r="2160">
      <ns0:c r="A2160" s="215">
        <ns0:f>IF(OR(AH!$P$3=0,2155+1&gt;AH!$P$11,AND(AH!$E$4&lt;&gt;"Stored",AH!$P$10&lt;&gt;1)),"",IFERROR(IF(AND(AH!$P$21=1,2155+1=AH!$P$11),TODAY(),IF(AH!$P$10=1,INDEX('Live History'!$A$5:$A$3004,AH!$P$13+2155),INDEX('AH History'!$A$1:$A$18046,AH!$P$7+2155))),""))</ns0:f>
        <ns0:v/>
      </ns0:c>
      <ns0:c r="B2160" s="219">
        <ns0:f>IFERROR(IF(AND(AH!$P$9&lt;&gt;1,$C2160&gt;0,$D2160&gt;0,$E2160&gt;0,$F2160&gt;0,$G2160&gt;0,$F2160&lt;=$A2160,$G2160&lt;=$A2160,$A2160-$F2160&lt;=10,$A2160-$G2160&lt;=5),$D2160*$E2160/$C2160-1,NA()),NA())</ns0:f>
        <ns0:v/>
      </ns0:c>
      <ns0:c r="C2160">
        <ns0:f>IFERROR(IF(ISNUMBER($A2160),IF(AND(AH!$P$10=1,AH!$P$12=1,$A2160=TODAY()),AH!$P$19,IF(AH!$P$10=1,INDEX('Live History'!$B$5:$B$3004,AH!$P$13+2155),INDEX('AH History'!$B$1:$B$18046,AH!$P$7+2155))),NA()),NA())</ns0:f>
        <ns0:v/>
      </ns0:c>
      <ns0:c r="D2160">
        <ns0:f>IFERROR(IF(ISNUMBER($A2160),IF(AND(AH!$P$10=1,AH!$P$12=1,$A2160=TODAY()),AH!$P$18,IF(AH!$P$10=1,INDEX('Live History'!$E$5:$E$3004,MATCH($A2160,'Live History'!$D$5:$D$3004,1)),INDEX('AH History'!$C$1:$C$18046,AH!$P$7+2155))),NA()),NA())</ns0:f>
        <ns0:v/>
      </ns0:c>
      <ns0:c r="E2160">
        <ns0:f>IFERROR(IF(ISNUMBER($A2160),IF(AND(AH!$P$10=1,AH!$P$12=1,$A2160=TODAY()),AH!$P$20,IF(AH!$P$10=1,INDEX('Live History'!$H$5:$H$3004,MATCH($A2160,'Live History'!$G$5:$G$3004,1)),INDEX('AH History'!$D$1:$D$18046,AH!$P$7+2155))),NA()),NA())</ns0:f>
        <ns0:v/>
      </ns0:c>
      <ns0:c r="F2160">
        <ns0:f>IFERROR(IF(ISNUMBER($A2160),IF(AND(AH!$P$10=1,AH!$P$12=1,$A2160=TODAY()),IF(AND(AH!$P$10=1,AH!$P$12=1,$A2160=TODAY()),TODAY(),NA()),IF(AH!$P$10=1,INDEX('Live History'!$D$5:$D$3004,MATCH($A2160,'Live History'!$D$5:$D$3004,1)),INDEX('AH History'!$E$1:$E$18046,AH!$P$7+2155))),NA()),NA())</ns0:f>
        <ns0:v/>
      </ns0:c>
      <ns0:c r="G2160">
        <ns0:f>IFERROR(IF(ISNUMBER($A2160),IF(AND(AH!$P$10=1,AH!$P$12=1,$A2160=TODAY()),IF(AND(AH!$P$10=1,AH!$P$12=1,$A2160=TODAY()),TODAY(),NA()),IF(AH!$P$10=1,INDEX('Live History'!$G$5:$G$3004,MATCH($A2160,'Live History'!$G$5:$G$3004,1)),INDEX('AH History'!$F$1:$F$18046,AH!$P$7+2155))),NA()),NA())</ns0:f>
        <ns0:v/>
      </ns0:c>
      <ns0:c r="H2160">
        <ns0:f>IFERROR(IF(AND(AH!$E$4="Bloomberg",AH!$P$10=1,ISNUMBER($A2160),$A2160&lt;=AH!$P$17),AH!$P$7-1+MATCH($A2160,INDEX('AH History'!$A$1:$A$18046,AH!$P$7):INDEX('AH History'!$A$1:$A$18046,AH!$P$7+AH!$P$8-1),0),0),0)</ns0:f>
        <ns0:v/>
      </ns0:c>
      <ns0:c r="I2160">
        <ns0:f>IF($H2160=0,0,IFERROR(IF(AND(ABS($C2160-INDEX('AH History'!$B$1:$B$18046,$H2160))&lt;=MAX(0.005,ABS(INDEX('AH History'!$B$1:$B$18046,$H2160))*0.00005),ABS($D2160-INDEX('AH History'!$C$1:$C$18046,$H2160))&lt;=MAX(0.005,ABS(INDEX('AH History'!$C$1:$C$18046,$H2160))*0.00005),ABS($E2160-INDEX('AH History'!$D$1:$D$18046,$H2160))&lt;=0.00005,$F2160=INDEX('AH History'!$E$1:$E$18046,$H2160),$G2160=INDEX('AH History'!$F$1:$F$18046,$H2160)),1,-1),-1))</ns0:f>
        <ns0:v/>
      </ns0:c>
    </ns0:row>
    <ns0:row r="2161">
      <ns0:c r="A2161" s="215">
        <ns0:f>IF(OR(AH!$P$3=0,2156+1&gt;AH!$P$11,AND(AH!$E$4&lt;&gt;"Stored",AH!$P$10&lt;&gt;1)),"",IFERROR(IF(AND(AH!$P$21=1,2156+1=AH!$P$11),TODAY(),IF(AH!$P$10=1,INDEX('Live History'!$A$5:$A$3004,AH!$P$13+2156),INDEX('AH History'!$A$1:$A$18046,AH!$P$7+2156))),""))</ns0:f>
        <ns0:v/>
      </ns0:c>
      <ns0:c r="B2161" s="219">
        <ns0:f>IFERROR(IF(AND(AH!$P$9&lt;&gt;1,$C2161&gt;0,$D2161&gt;0,$E2161&gt;0,$F2161&gt;0,$G2161&gt;0,$F2161&lt;=$A2161,$G2161&lt;=$A2161,$A2161-$F2161&lt;=10,$A2161-$G2161&lt;=5),$D2161*$E2161/$C2161-1,NA()),NA())</ns0:f>
        <ns0:v/>
      </ns0:c>
      <ns0:c r="C2161">
        <ns0:f>IFERROR(IF(ISNUMBER($A2161),IF(AND(AH!$P$10=1,AH!$P$12=1,$A2161=TODAY()),AH!$P$19,IF(AH!$P$10=1,INDEX('Live History'!$B$5:$B$3004,AH!$P$13+2156),INDEX('AH History'!$B$1:$B$18046,AH!$P$7+2156))),NA()),NA())</ns0:f>
        <ns0:v/>
      </ns0:c>
      <ns0:c r="D2161">
        <ns0:f>IFERROR(IF(ISNUMBER($A2161),IF(AND(AH!$P$10=1,AH!$P$12=1,$A2161=TODAY()),AH!$P$18,IF(AH!$P$10=1,INDEX('Live History'!$E$5:$E$3004,MATCH($A2161,'Live History'!$D$5:$D$3004,1)),INDEX('AH History'!$C$1:$C$18046,AH!$P$7+2156))),NA()),NA())</ns0:f>
        <ns0:v/>
      </ns0:c>
      <ns0:c r="E2161">
        <ns0:f>IFERROR(IF(ISNUMBER($A2161),IF(AND(AH!$P$10=1,AH!$P$12=1,$A2161=TODAY()),AH!$P$20,IF(AH!$P$10=1,INDEX('Live History'!$H$5:$H$3004,MATCH($A2161,'Live History'!$G$5:$G$3004,1)),INDEX('AH History'!$D$1:$D$18046,AH!$P$7+2156))),NA()),NA())</ns0:f>
        <ns0:v/>
      </ns0:c>
      <ns0:c r="F2161">
        <ns0:f>IFERROR(IF(ISNUMBER($A2161),IF(AND(AH!$P$10=1,AH!$P$12=1,$A2161=TODAY()),IF(AND(AH!$P$10=1,AH!$P$12=1,$A2161=TODAY()),TODAY(),NA()),IF(AH!$P$10=1,INDEX('Live History'!$D$5:$D$3004,MATCH($A2161,'Live History'!$D$5:$D$3004,1)),INDEX('AH History'!$E$1:$E$18046,AH!$P$7+2156))),NA()),NA())</ns0:f>
        <ns0:v/>
      </ns0:c>
      <ns0:c r="G2161">
        <ns0:f>IFERROR(IF(ISNUMBER($A2161),IF(AND(AH!$P$10=1,AH!$P$12=1,$A2161=TODAY()),IF(AND(AH!$P$10=1,AH!$P$12=1,$A2161=TODAY()),TODAY(),NA()),IF(AH!$P$10=1,INDEX('Live History'!$G$5:$G$3004,MATCH($A2161,'Live History'!$G$5:$G$3004,1)),INDEX('AH History'!$F$1:$F$18046,AH!$P$7+2156))),NA()),NA())</ns0:f>
        <ns0:v/>
      </ns0:c>
      <ns0:c r="H2161">
        <ns0:f>IFERROR(IF(AND(AH!$E$4="Bloomberg",AH!$P$10=1,ISNUMBER($A2161),$A2161&lt;=AH!$P$17),AH!$P$7-1+MATCH($A2161,INDEX('AH History'!$A$1:$A$18046,AH!$P$7):INDEX('AH History'!$A$1:$A$18046,AH!$P$7+AH!$P$8-1),0),0),0)</ns0:f>
        <ns0:v/>
      </ns0:c>
      <ns0:c r="I2161">
        <ns0:f>IF($H2161=0,0,IFERROR(IF(AND(ABS($C2161-INDEX('AH History'!$B$1:$B$18046,$H2161))&lt;=MAX(0.005,ABS(INDEX('AH History'!$B$1:$B$18046,$H2161))*0.00005),ABS($D2161-INDEX('AH History'!$C$1:$C$18046,$H2161))&lt;=MAX(0.005,ABS(INDEX('AH History'!$C$1:$C$18046,$H2161))*0.00005),ABS($E2161-INDEX('AH History'!$D$1:$D$18046,$H2161))&lt;=0.00005,$F2161=INDEX('AH History'!$E$1:$E$18046,$H2161),$G2161=INDEX('AH History'!$F$1:$F$18046,$H2161)),1,-1),-1))</ns0:f>
        <ns0:v/>
      </ns0:c>
    </ns0:row>
    <ns0:row r="2162">
      <ns0:c r="A2162" s="215">
        <ns0:f>IF(OR(AH!$P$3=0,2157+1&gt;AH!$P$11,AND(AH!$E$4&lt;&gt;"Stored",AH!$P$10&lt;&gt;1)),"",IFERROR(IF(AND(AH!$P$21=1,2157+1=AH!$P$11),TODAY(),IF(AH!$P$10=1,INDEX('Live History'!$A$5:$A$3004,AH!$P$13+2157),INDEX('AH History'!$A$1:$A$18046,AH!$P$7+2157))),""))</ns0:f>
        <ns0:v/>
      </ns0:c>
      <ns0:c r="B2162" s="219">
        <ns0:f>IFERROR(IF(AND(AH!$P$9&lt;&gt;1,$C2162&gt;0,$D2162&gt;0,$E2162&gt;0,$F2162&gt;0,$G2162&gt;0,$F2162&lt;=$A2162,$G2162&lt;=$A2162,$A2162-$F2162&lt;=10,$A2162-$G2162&lt;=5),$D2162*$E2162/$C2162-1,NA()),NA())</ns0:f>
        <ns0:v/>
      </ns0:c>
      <ns0:c r="C2162">
        <ns0:f>IFERROR(IF(ISNUMBER($A2162),IF(AND(AH!$P$10=1,AH!$P$12=1,$A2162=TODAY()),AH!$P$19,IF(AH!$P$10=1,INDEX('Live History'!$B$5:$B$3004,AH!$P$13+2157),INDEX('AH History'!$B$1:$B$18046,AH!$P$7+2157))),NA()),NA())</ns0:f>
        <ns0:v/>
      </ns0:c>
      <ns0:c r="D2162">
        <ns0:f>IFERROR(IF(ISNUMBER($A2162),IF(AND(AH!$P$10=1,AH!$P$12=1,$A2162=TODAY()),AH!$P$18,IF(AH!$P$10=1,INDEX('Live History'!$E$5:$E$3004,MATCH($A2162,'Live History'!$D$5:$D$3004,1)),INDEX('AH History'!$C$1:$C$18046,AH!$P$7+2157))),NA()),NA())</ns0:f>
        <ns0:v/>
      </ns0:c>
      <ns0:c r="E2162">
        <ns0:f>IFERROR(IF(ISNUMBER($A2162),IF(AND(AH!$P$10=1,AH!$P$12=1,$A2162=TODAY()),AH!$P$20,IF(AH!$P$10=1,INDEX('Live History'!$H$5:$H$3004,MATCH($A2162,'Live History'!$G$5:$G$3004,1)),INDEX('AH History'!$D$1:$D$18046,AH!$P$7+2157))),NA()),NA())</ns0:f>
        <ns0:v/>
      </ns0:c>
      <ns0:c r="F2162">
        <ns0:f>IFERROR(IF(ISNUMBER($A2162),IF(AND(AH!$P$10=1,AH!$P$12=1,$A2162=TODAY()),IF(AND(AH!$P$10=1,AH!$P$12=1,$A2162=TODAY()),TODAY(),NA()),IF(AH!$P$10=1,INDEX('Live History'!$D$5:$D$3004,MATCH($A2162,'Live History'!$D$5:$D$3004,1)),INDEX('AH History'!$E$1:$E$18046,AH!$P$7+2157))),NA()),NA())</ns0:f>
        <ns0:v/>
      </ns0:c>
      <ns0:c r="G2162">
        <ns0:f>IFERROR(IF(ISNUMBER($A2162),IF(AND(AH!$P$10=1,AH!$P$12=1,$A2162=TODAY()),IF(AND(AH!$P$10=1,AH!$P$12=1,$A2162=TODAY()),TODAY(),NA()),IF(AH!$P$10=1,INDEX('Live History'!$G$5:$G$3004,MATCH($A2162,'Live History'!$G$5:$G$3004,1)),INDEX('AH History'!$F$1:$F$18046,AH!$P$7+2157))),NA()),NA())</ns0:f>
        <ns0:v/>
      </ns0:c>
      <ns0:c r="H2162">
        <ns0:f>IFERROR(IF(AND(AH!$E$4="Bloomberg",AH!$P$10=1,ISNUMBER($A2162),$A2162&lt;=AH!$P$17),AH!$P$7-1+MATCH($A2162,INDEX('AH History'!$A$1:$A$18046,AH!$P$7):INDEX('AH History'!$A$1:$A$18046,AH!$P$7+AH!$P$8-1),0),0),0)</ns0:f>
        <ns0:v/>
      </ns0:c>
      <ns0:c r="I2162">
        <ns0:f>IF($H2162=0,0,IFERROR(IF(AND(ABS($C2162-INDEX('AH History'!$B$1:$B$18046,$H2162))&lt;=MAX(0.005,ABS(INDEX('AH History'!$B$1:$B$18046,$H2162))*0.00005),ABS($D2162-INDEX('AH History'!$C$1:$C$18046,$H2162))&lt;=MAX(0.005,ABS(INDEX('AH History'!$C$1:$C$18046,$H2162))*0.00005),ABS($E2162-INDEX('AH History'!$D$1:$D$18046,$H2162))&lt;=0.00005,$F2162=INDEX('AH History'!$E$1:$E$18046,$H2162),$G2162=INDEX('AH History'!$F$1:$F$18046,$H2162)),1,-1),-1))</ns0:f>
        <ns0:v/>
      </ns0:c>
    </ns0:row>
    <ns0:row r="2163">
      <ns0:c r="A2163" s="215">
        <ns0:f>IF(OR(AH!$P$3=0,2158+1&gt;AH!$P$11,AND(AH!$E$4&lt;&gt;"Stored",AH!$P$10&lt;&gt;1)),"",IFERROR(IF(AND(AH!$P$21=1,2158+1=AH!$P$11),TODAY(),IF(AH!$P$10=1,INDEX('Live History'!$A$5:$A$3004,AH!$P$13+2158),INDEX('AH History'!$A$1:$A$18046,AH!$P$7+2158))),""))</ns0:f>
        <ns0:v/>
      </ns0:c>
      <ns0:c r="B2163" s="219">
        <ns0:f>IFERROR(IF(AND(AH!$P$9&lt;&gt;1,$C2163&gt;0,$D2163&gt;0,$E2163&gt;0,$F2163&gt;0,$G2163&gt;0,$F2163&lt;=$A2163,$G2163&lt;=$A2163,$A2163-$F2163&lt;=10,$A2163-$G2163&lt;=5),$D2163*$E2163/$C2163-1,NA()),NA())</ns0:f>
        <ns0:v/>
      </ns0:c>
      <ns0:c r="C2163">
        <ns0:f>IFERROR(IF(ISNUMBER($A2163),IF(AND(AH!$P$10=1,AH!$P$12=1,$A2163=TODAY()),AH!$P$19,IF(AH!$P$10=1,INDEX('Live History'!$B$5:$B$3004,AH!$P$13+2158),INDEX('AH History'!$B$1:$B$18046,AH!$P$7+2158))),NA()),NA())</ns0:f>
        <ns0:v/>
      </ns0:c>
      <ns0:c r="D2163">
        <ns0:f>IFERROR(IF(ISNUMBER($A2163),IF(AND(AH!$P$10=1,AH!$P$12=1,$A2163=TODAY()),AH!$P$18,IF(AH!$P$10=1,INDEX('Live History'!$E$5:$E$3004,MATCH($A2163,'Live History'!$D$5:$D$3004,1)),INDEX('AH History'!$C$1:$C$18046,AH!$P$7+2158))),NA()),NA())</ns0:f>
        <ns0:v/>
      </ns0:c>
      <ns0:c r="E2163">
        <ns0:f>IFERROR(IF(ISNUMBER($A2163),IF(AND(AH!$P$10=1,AH!$P$12=1,$A2163=TODAY()),AH!$P$20,IF(AH!$P$10=1,INDEX('Live History'!$H$5:$H$3004,MATCH($A2163,'Live History'!$G$5:$G$3004,1)),INDEX('AH History'!$D$1:$D$18046,AH!$P$7+2158))),NA()),NA())</ns0:f>
        <ns0:v/>
      </ns0:c>
      <ns0:c r="F2163">
        <ns0:f>IFERROR(IF(ISNUMBER($A2163),IF(AND(AH!$P$10=1,AH!$P$12=1,$A2163=TODAY()),IF(AND(AH!$P$10=1,AH!$P$12=1,$A2163=TODAY()),TODAY(),NA()),IF(AH!$P$10=1,INDEX('Live History'!$D$5:$D$3004,MATCH($A2163,'Live History'!$D$5:$D$3004,1)),INDEX('AH History'!$E$1:$E$18046,AH!$P$7+2158))),NA()),NA())</ns0:f>
        <ns0:v/>
      </ns0:c>
      <ns0:c r="G2163">
        <ns0:f>IFERROR(IF(ISNUMBER($A2163),IF(AND(AH!$P$10=1,AH!$P$12=1,$A2163=TODAY()),IF(AND(AH!$P$10=1,AH!$P$12=1,$A2163=TODAY()),TODAY(),NA()),IF(AH!$P$10=1,INDEX('Live History'!$G$5:$G$3004,MATCH($A2163,'Live History'!$G$5:$G$3004,1)),INDEX('AH History'!$F$1:$F$18046,AH!$P$7+2158))),NA()),NA())</ns0:f>
        <ns0:v/>
      </ns0:c>
      <ns0:c r="H2163">
        <ns0:f>IFERROR(IF(AND(AH!$E$4="Bloomberg",AH!$P$10=1,ISNUMBER($A2163),$A2163&lt;=AH!$P$17),AH!$P$7-1+MATCH($A2163,INDEX('AH History'!$A$1:$A$18046,AH!$P$7):INDEX('AH History'!$A$1:$A$18046,AH!$P$7+AH!$P$8-1),0),0),0)</ns0:f>
        <ns0:v/>
      </ns0:c>
      <ns0:c r="I2163">
        <ns0:f>IF($H2163=0,0,IFERROR(IF(AND(ABS($C2163-INDEX('AH History'!$B$1:$B$18046,$H2163))&lt;=MAX(0.005,ABS(INDEX('AH History'!$B$1:$B$18046,$H2163))*0.00005),ABS($D2163-INDEX('AH History'!$C$1:$C$18046,$H2163))&lt;=MAX(0.005,ABS(INDEX('AH History'!$C$1:$C$18046,$H2163))*0.00005),ABS($E2163-INDEX('AH History'!$D$1:$D$18046,$H2163))&lt;=0.00005,$F2163=INDEX('AH History'!$E$1:$E$18046,$H2163),$G2163=INDEX('AH History'!$F$1:$F$18046,$H2163)),1,-1),-1))</ns0:f>
        <ns0:v/>
      </ns0:c>
    </ns0:row>
    <ns0:row r="2164">
      <ns0:c r="A2164" s="215">
        <ns0:f>IF(OR(AH!$P$3=0,2159+1&gt;AH!$P$11,AND(AH!$E$4&lt;&gt;"Stored",AH!$P$10&lt;&gt;1)),"",IFERROR(IF(AND(AH!$P$21=1,2159+1=AH!$P$11),TODAY(),IF(AH!$P$10=1,INDEX('Live History'!$A$5:$A$3004,AH!$P$13+2159),INDEX('AH History'!$A$1:$A$18046,AH!$P$7+2159))),""))</ns0:f>
        <ns0:v/>
      </ns0:c>
      <ns0:c r="B2164" s="219">
        <ns0:f>IFERROR(IF(AND(AH!$P$9&lt;&gt;1,$C2164&gt;0,$D2164&gt;0,$E2164&gt;0,$F2164&gt;0,$G2164&gt;0,$F2164&lt;=$A2164,$G2164&lt;=$A2164,$A2164-$F2164&lt;=10,$A2164-$G2164&lt;=5),$D2164*$E2164/$C2164-1,NA()),NA())</ns0:f>
        <ns0:v/>
      </ns0:c>
      <ns0:c r="C2164">
        <ns0:f>IFERROR(IF(ISNUMBER($A2164),IF(AND(AH!$P$10=1,AH!$P$12=1,$A2164=TODAY()),AH!$P$19,IF(AH!$P$10=1,INDEX('Live History'!$B$5:$B$3004,AH!$P$13+2159),INDEX('AH History'!$B$1:$B$18046,AH!$P$7+2159))),NA()),NA())</ns0:f>
        <ns0:v/>
      </ns0:c>
      <ns0:c r="D2164">
        <ns0:f>IFERROR(IF(ISNUMBER($A2164),IF(AND(AH!$P$10=1,AH!$P$12=1,$A2164=TODAY()),AH!$P$18,IF(AH!$P$10=1,INDEX('Live History'!$E$5:$E$3004,MATCH($A2164,'Live History'!$D$5:$D$3004,1)),INDEX('AH History'!$C$1:$C$18046,AH!$P$7+2159))),NA()),NA())</ns0:f>
        <ns0:v/>
      </ns0:c>
      <ns0:c r="E2164">
        <ns0:f>IFERROR(IF(ISNUMBER($A2164),IF(AND(AH!$P$10=1,AH!$P$12=1,$A2164=TODAY()),AH!$P$20,IF(AH!$P$10=1,INDEX('Live History'!$H$5:$H$3004,MATCH($A2164,'Live History'!$G$5:$G$3004,1)),INDEX('AH History'!$D$1:$D$18046,AH!$P$7+2159))),NA()),NA())</ns0:f>
        <ns0:v/>
      </ns0:c>
      <ns0:c r="F2164">
        <ns0:f>IFERROR(IF(ISNUMBER($A2164),IF(AND(AH!$P$10=1,AH!$P$12=1,$A2164=TODAY()),IF(AND(AH!$P$10=1,AH!$P$12=1,$A2164=TODAY()),TODAY(),NA()),IF(AH!$P$10=1,INDEX('Live History'!$D$5:$D$3004,MATCH($A2164,'Live History'!$D$5:$D$3004,1)),INDEX('AH History'!$E$1:$E$18046,AH!$P$7+2159))),NA()),NA())</ns0:f>
        <ns0:v/>
      </ns0:c>
      <ns0:c r="G2164">
        <ns0:f>IFERROR(IF(ISNUMBER($A2164),IF(AND(AH!$P$10=1,AH!$P$12=1,$A2164=TODAY()),IF(AND(AH!$P$10=1,AH!$P$12=1,$A2164=TODAY()),TODAY(),NA()),IF(AH!$P$10=1,INDEX('Live History'!$G$5:$G$3004,MATCH($A2164,'Live History'!$G$5:$G$3004,1)),INDEX('AH History'!$F$1:$F$18046,AH!$P$7+2159))),NA()),NA())</ns0:f>
        <ns0:v/>
      </ns0:c>
      <ns0:c r="H2164">
        <ns0:f>IFERROR(IF(AND(AH!$E$4="Bloomberg",AH!$P$10=1,ISNUMBER($A2164),$A2164&lt;=AH!$P$17),AH!$P$7-1+MATCH($A2164,INDEX('AH History'!$A$1:$A$18046,AH!$P$7):INDEX('AH History'!$A$1:$A$18046,AH!$P$7+AH!$P$8-1),0),0),0)</ns0:f>
        <ns0:v/>
      </ns0:c>
      <ns0:c r="I2164">
        <ns0:f>IF($H2164=0,0,IFERROR(IF(AND(ABS($C2164-INDEX('AH History'!$B$1:$B$18046,$H2164))&lt;=MAX(0.005,ABS(INDEX('AH History'!$B$1:$B$18046,$H2164))*0.00005),ABS($D2164-INDEX('AH History'!$C$1:$C$18046,$H2164))&lt;=MAX(0.005,ABS(INDEX('AH History'!$C$1:$C$18046,$H2164))*0.00005),ABS($E2164-INDEX('AH History'!$D$1:$D$18046,$H2164))&lt;=0.00005,$F2164=INDEX('AH History'!$E$1:$E$18046,$H2164),$G2164=INDEX('AH History'!$F$1:$F$18046,$H2164)),1,-1),-1))</ns0:f>
        <ns0:v/>
      </ns0:c>
    </ns0:row>
    <ns0:row r="2165">
      <ns0:c r="A2165" s="215">
        <ns0:f>IF(OR(AH!$P$3=0,2160+1&gt;AH!$P$11,AND(AH!$E$4&lt;&gt;"Stored",AH!$P$10&lt;&gt;1)),"",IFERROR(IF(AND(AH!$P$21=1,2160+1=AH!$P$11),TODAY(),IF(AH!$P$10=1,INDEX('Live History'!$A$5:$A$3004,AH!$P$13+2160),INDEX('AH History'!$A$1:$A$18046,AH!$P$7+2160))),""))</ns0:f>
        <ns0:v/>
      </ns0:c>
      <ns0:c r="B2165" s="219">
        <ns0:f>IFERROR(IF(AND(AH!$P$9&lt;&gt;1,$C2165&gt;0,$D2165&gt;0,$E2165&gt;0,$F2165&gt;0,$G2165&gt;0,$F2165&lt;=$A2165,$G2165&lt;=$A2165,$A2165-$F2165&lt;=10,$A2165-$G2165&lt;=5),$D2165*$E2165/$C2165-1,NA()),NA())</ns0:f>
        <ns0:v/>
      </ns0:c>
      <ns0:c r="C2165">
        <ns0:f>IFERROR(IF(ISNUMBER($A2165),IF(AND(AH!$P$10=1,AH!$P$12=1,$A2165=TODAY()),AH!$P$19,IF(AH!$P$10=1,INDEX('Live History'!$B$5:$B$3004,AH!$P$13+2160),INDEX('AH History'!$B$1:$B$18046,AH!$P$7+2160))),NA()),NA())</ns0:f>
        <ns0:v/>
      </ns0:c>
      <ns0:c r="D2165">
        <ns0:f>IFERROR(IF(ISNUMBER($A2165),IF(AND(AH!$P$10=1,AH!$P$12=1,$A2165=TODAY()),AH!$P$18,IF(AH!$P$10=1,INDEX('Live History'!$E$5:$E$3004,MATCH($A2165,'Live History'!$D$5:$D$3004,1)),INDEX('AH History'!$C$1:$C$18046,AH!$P$7+2160))),NA()),NA())</ns0:f>
        <ns0:v/>
      </ns0:c>
      <ns0:c r="E2165">
        <ns0:f>IFERROR(IF(ISNUMBER($A2165),IF(AND(AH!$P$10=1,AH!$P$12=1,$A2165=TODAY()),AH!$P$20,IF(AH!$P$10=1,INDEX('Live History'!$H$5:$H$3004,MATCH($A2165,'Live History'!$G$5:$G$3004,1)),INDEX('AH History'!$D$1:$D$18046,AH!$P$7+2160))),NA()),NA())</ns0:f>
        <ns0:v/>
      </ns0:c>
      <ns0:c r="F2165">
        <ns0:f>IFERROR(IF(ISNUMBER($A2165),IF(AND(AH!$P$10=1,AH!$P$12=1,$A2165=TODAY()),IF(AND(AH!$P$10=1,AH!$P$12=1,$A2165=TODAY()),TODAY(),NA()),IF(AH!$P$10=1,INDEX('Live History'!$D$5:$D$3004,MATCH($A2165,'Live History'!$D$5:$D$3004,1)),INDEX('AH History'!$E$1:$E$18046,AH!$P$7+2160))),NA()),NA())</ns0:f>
        <ns0:v/>
      </ns0:c>
      <ns0:c r="G2165">
        <ns0:f>IFERROR(IF(ISNUMBER($A2165),IF(AND(AH!$P$10=1,AH!$P$12=1,$A2165=TODAY()),IF(AND(AH!$P$10=1,AH!$P$12=1,$A2165=TODAY()),TODAY(),NA()),IF(AH!$P$10=1,INDEX('Live History'!$G$5:$G$3004,MATCH($A2165,'Live History'!$G$5:$G$3004,1)),INDEX('AH History'!$F$1:$F$18046,AH!$P$7+2160))),NA()),NA())</ns0:f>
        <ns0:v/>
      </ns0:c>
      <ns0:c r="H2165">
        <ns0:f>IFERROR(IF(AND(AH!$E$4="Bloomberg",AH!$P$10=1,ISNUMBER($A2165),$A2165&lt;=AH!$P$17),AH!$P$7-1+MATCH($A2165,INDEX('AH History'!$A$1:$A$18046,AH!$P$7):INDEX('AH History'!$A$1:$A$18046,AH!$P$7+AH!$P$8-1),0),0),0)</ns0:f>
        <ns0:v/>
      </ns0:c>
      <ns0:c r="I2165">
        <ns0:f>IF($H2165=0,0,IFERROR(IF(AND(ABS($C2165-INDEX('AH History'!$B$1:$B$18046,$H2165))&lt;=MAX(0.005,ABS(INDEX('AH History'!$B$1:$B$18046,$H2165))*0.00005),ABS($D2165-INDEX('AH History'!$C$1:$C$18046,$H2165))&lt;=MAX(0.005,ABS(INDEX('AH History'!$C$1:$C$18046,$H2165))*0.00005),ABS($E2165-INDEX('AH History'!$D$1:$D$18046,$H2165))&lt;=0.00005,$F2165=INDEX('AH History'!$E$1:$E$18046,$H2165),$G2165=INDEX('AH History'!$F$1:$F$18046,$H2165)),1,-1),-1))</ns0:f>
        <ns0:v/>
      </ns0:c>
    </ns0:row>
    <ns0:row r="2166">
      <ns0:c r="A2166" s="215">
        <ns0:f>IF(OR(AH!$P$3=0,2161+1&gt;AH!$P$11,AND(AH!$E$4&lt;&gt;"Stored",AH!$P$10&lt;&gt;1)),"",IFERROR(IF(AND(AH!$P$21=1,2161+1=AH!$P$11),TODAY(),IF(AH!$P$10=1,INDEX('Live History'!$A$5:$A$3004,AH!$P$13+2161),INDEX('AH History'!$A$1:$A$18046,AH!$P$7+2161))),""))</ns0:f>
        <ns0:v/>
      </ns0:c>
      <ns0:c r="B2166" s="219">
        <ns0:f>IFERROR(IF(AND(AH!$P$9&lt;&gt;1,$C2166&gt;0,$D2166&gt;0,$E2166&gt;0,$F2166&gt;0,$G2166&gt;0,$F2166&lt;=$A2166,$G2166&lt;=$A2166,$A2166-$F2166&lt;=10,$A2166-$G2166&lt;=5),$D2166*$E2166/$C2166-1,NA()),NA())</ns0:f>
        <ns0:v/>
      </ns0:c>
      <ns0:c r="C2166">
        <ns0:f>IFERROR(IF(ISNUMBER($A2166),IF(AND(AH!$P$10=1,AH!$P$12=1,$A2166=TODAY()),AH!$P$19,IF(AH!$P$10=1,INDEX('Live History'!$B$5:$B$3004,AH!$P$13+2161),INDEX('AH History'!$B$1:$B$18046,AH!$P$7+2161))),NA()),NA())</ns0:f>
        <ns0:v/>
      </ns0:c>
      <ns0:c r="D2166">
        <ns0:f>IFERROR(IF(ISNUMBER($A2166),IF(AND(AH!$P$10=1,AH!$P$12=1,$A2166=TODAY()),AH!$P$18,IF(AH!$P$10=1,INDEX('Live History'!$E$5:$E$3004,MATCH($A2166,'Live History'!$D$5:$D$3004,1)),INDEX('AH History'!$C$1:$C$18046,AH!$P$7+2161))),NA()),NA())</ns0:f>
        <ns0:v/>
      </ns0:c>
      <ns0:c r="E2166">
        <ns0:f>IFERROR(IF(ISNUMBER($A2166),IF(AND(AH!$P$10=1,AH!$P$12=1,$A2166=TODAY()),AH!$P$20,IF(AH!$P$10=1,INDEX('Live History'!$H$5:$H$3004,MATCH($A2166,'Live History'!$G$5:$G$3004,1)),INDEX('AH History'!$D$1:$D$18046,AH!$P$7+2161))),NA()),NA())</ns0:f>
        <ns0:v/>
      </ns0:c>
      <ns0:c r="F2166">
        <ns0:f>IFERROR(IF(ISNUMBER($A2166),IF(AND(AH!$P$10=1,AH!$P$12=1,$A2166=TODAY()),IF(AND(AH!$P$10=1,AH!$P$12=1,$A2166=TODAY()),TODAY(),NA()),IF(AH!$P$10=1,INDEX('Live History'!$D$5:$D$3004,MATCH($A2166,'Live History'!$D$5:$D$3004,1)),INDEX('AH History'!$E$1:$E$18046,AH!$P$7+2161))),NA()),NA())</ns0:f>
        <ns0:v/>
      </ns0:c>
      <ns0:c r="G2166">
        <ns0:f>IFERROR(IF(ISNUMBER($A2166),IF(AND(AH!$P$10=1,AH!$P$12=1,$A2166=TODAY()),IF(AND(AH!$P$10=1,AH!$P$12=1,$A2166=TODAY()),TODAY(),NA()),IF(AH!$P$10=1,INDEX('Live History'!$G$5:$G$3004,MATCH($A2166,'Live History'!$G$5:$G$3004,1)),INDEX('AH History'!$F$1:$F$18046,AH!$P$7+2161))),NA()),NA())</ns0:f>
        <ns0:v/>
      </ns0:c>
      <ns0:c r="H2166">
        <ns0:f>IFERROR(IF(AND(AH!$E$4="Bloomberg",AH!$P$10=1,ISNUMBER($A2166),$A2166&lt;=AH!$P$17),AH!$P$7-1+MATCH($A2166,INDEX('AH History'!$A$1:$A$18046,AH!$P$7):INDEX('AH History'!$A$1:$A$18046,AH!$P$7+AH!$P$8-1),0),0),0)</ns0:f>
        <ns0:v/>
      </ns0:c>
      <ns0:c r="I2166">
        <ns0:f>IF($H2166=0,0,IFERROR(IF(AND(ABS($C2166-INDEX('AH History'!$B$1:$B$18046,$H2166))&lt;=MAX(0.005,ABS(INDEX('AH History'!$B$1:$B$18046,$H2166))*0.00005),ABS($D2166-INDEX('AH History'!$C$1:$C$18046,$H2166))&lt;=MAX(0.005,ABS(INDEX('AH History'!$C$1:$C$18046,$H2166))*0.00005),ABS($E2166-INDEX('AH History'!$D$1:$D$18046,$H2166))&lt;=0.00005,$F2166=INDEX('AH History'!$E$1:$E$18046,$H2166),$G2166=INDEX('AH History'!$F$1:$F$18046,$H2166)),1,-1),-1))</ns0:f>
        <ns0:v/>
      </ns0:c>
    </ns0:row>
    <ns0:row r="2167">
      <ns0:c r="A2167" s="215">
        <ns0:f>IF(OR(AH!$P$3=0,2162+1&gt;AH!$P$11,AND(AH!$E$4&lt;&gt;"Stored",AH!$P$10&lt;&gt;1)),"",IFERROR(IF(AND(AH!$P$21=1,2162+1=AH!$P$11),TODAY(),IF(AH!$P$10=1,INDEX('Live History'!$A$5:$A$3004,AH!$P$13+2162),INDEX('AH History'!$A$1:$A$18046,AH!$P$7+2162))),""))</ns0:f>
        <ns0:v/>
      </ns0:c>
      <ns0:c r="B2167" s="219">
        <ns0:f>IFERROR(IF(AND(AH!$P$9&lt;&gt;1,$C2167&gt;0,$D2167&gt;0,$E2167&gt;0,$F2167&gt;0,$G2167&gt;0,$F2167&lt;=$A2167,$G2167&lt;=$A2167,$A2167-$F2167&lt;=10,$A2167-$G2167&lt;=5),$D2167*$E2167/$C2167-1,NA()),NA())</ns0:f>
        <ns0:v/>
      </ns0:c>
      <ns0:c r="C2167">
        <ns0:f>IFERROR(IF(ISNUMBER($A2167),IF(AND(AH!$P$10=1,AH!$P$12=1,$A2167=TODAY()),AH!$P$19,IF(AH!$P$10=1,INDEX('Live History'!$B$5:$B$3004,AH!$P$13+2162),INDEX('AH History'!$B$1:$B$18046,AH!$P$7+2162))),NA()),NA())</ns0:f>
        <ns0:v/>
      </ns0:c>
      <ns0:c r="D2167">
        <ns0:f>IFERROR(IF(ISNUMBER($A2167),IF(AND(AH!$P$10=1,AH!$P$12=1,$A2167=TODAY()),AH!$P$18,IF(AH!$P$10=1,INDEX('Live History'!$E$5:$E$3004,MATCH($A2167,'Live History'!$D$5:$D$3004,1)),INDEX('AH History'!$C$1:$C$18046,AH!$P$7+2162))),NA()),NA())</ns0:f>
        <ns0:v/>
      </ns0:c>
      <ns0:c r="E2167">
        <ns0:f>IFERROR(IF(ISNUMBER($A2167),IF(AND(AH!$P$10=1,AH!$P$12=1,$A2167=TODAY()),AH!$P$20,IF(AH!$P$10=1,INDEX('Live History'!$H$5:$H$3004,MATCH($A2167,'Live History'!$G$5:$G$3004,1)),INDEX('AH History'!$D$1:$D$18046,AH!$P$7+2162))),NA()),NA())</ns0:f>
        <ns0:v/>
      </ns0:c>
      <ns0:c r="F2167">
        <ns0:f>IFERROR(IF(ISNUMBER($A2167),IF(AND(AH!$P$10=1,AH!$P$12=1,$A2167=TODAY()),IF(AND(AH!$P$10=1,AH!$P$12=1,$A2167=TODAY()),TODAY(),NA()),IF(AH!$P$10=1,INDEX('Live History'!$D$5:$D$3004,MATCH($A2167,'Live History'!$D$5:$D$3004,1)),INDEX('AH History'!$E$1:$E$18046,AH!$P$7+2162))),NA()),NA())</ns0:f>
        <ns0:v/>
      </ns0:c>
      <ns0:c r="G2167">
        <ns0:f>IFERROR(IF(ISNUMBER($A2167),IF(AND(AH!$P$10=1,AH!$P$12=1,$A2167=TODAY()),IF(AND(AH!$P$10=1,AH!$P$12=1,$A2167=TODAY()),TODAY(),NA()),IF(AH!$P$10=1,INDEX('Live History'!$G$5:$G$3004,MATCH($A2167,'Live History'!$G$5:$G$3004,1)),INDEX('AH History'!$F$1:$F$18046,AH!$P$7+2162))),NA()),NA())</ns0:f>
        <ns0:v/>
      </ns0:c>
      <ns0:c r="H2167">
        <ns0:f>IFERROR(IF(AND(AH!$E$4="Bloomberg",AH!$P$10=1,ISNUMBER($A2167),$A2167&lt;=AH!$P$17),AH!$P$7-1+MATCH($A2167,INDEX('AH History'!$A$1:$A$18046,AH!$P$7):INDEX('AH History'!$A$1:$A$18046,AH!$P$7+AH!$P$8-1),0),0),0)</ns0:f>
        <ns0:v/>
      </ns0:c>
      <ns0:c r="I2167">
        <ns0:f>IF($H2167=0,0,IFERROR(IF(AND(ABS($C2167-INDEX('AH History'!$B$1:$B$18046,$H2167))&lt;=MAX(0.005,ABS(INDEX('AH History'!$B$1:$B$18046,$H2167))*0.00005),ABS($D2167-INDEX('AH History'!$C$1:$C$18046,$H2167))&lt;=MAX(0.005,ABS(INDEX('AH History'!$C$1:$C$18046,$H2167))*0.00005),ABS($E2167-INDEX('AH History'!$D$1:$D$18046,$H2167))&lt;=0.00005,$F2167=INDEX('AH History'!$E$1:$E$18046,$H2167),$G2167=INDEX('AH History'!$F$1:$F$18046,$H2167)),1,-1),-1))</ns0:f>
        <ns0:v/>
      </ns0:c>
    </ns0:row>
    <ns0:row r="2168">
      <ns0:c r="A2168" s="215">
        <ns0:f>IF(OR(AH!$P$3=0,2163+1&gt;AH!$P$11,AND(AH!$E$4&lt;&gt;"Stored",AH!$P$10&lt;&gt;1)),"",IFERROR(IF(AND(AH!$P$21=1,2163+1=AH!$P$11),TODAY(),IF(AH!$P$10=1,INDEX('Live History'!$A$5:$A$3004,AH!$P$13+2163),INDEX('AH History'!$A$1:$A$18046,AH!$P$7+2163))),""))</ns0:f>
        <ns0:v/>
      </ns0:c>
      <ns0:c r="B2168" s="219">
        <ns0:f>IFERROR(IF(AND(AH!$P$9&lt;&gt;1,$C2168&gt;0,$D2168&gt;0,$E2168&gt;0,$F2168&gt;0,$G2168&gt;0,$F2168&lt;=$A2168,$G2168&lt;=$A2168,$A2168-$F2168&lt;=10,$A2168-$G2168&lt;=5),$D2168*$E2168/$C2168-1,NA()),NA())</ns0:f>
        <ns0:v/>
      </ns0:c>
      <ns0:c r="C2168">
        <ns0:f>IFERROR(IF(ISNUMBER($A2168),IF(AND(AH!$P$10=1,AH!$P$12=1,$A2168=TODAY()),AH!$P$19,IF(AH!$P$10=1,INDEX('Live History'!$B$5:$B$3004,AH!$P$13+2163),INDEX('AH History'!$B$1:$B$18046,AH!$P$7+2163))),NA()),NA())</ns0:f>
        <ns0:v/>
      </ns0:c>
      <ns0:c r="D2168">
        <ns0:f>IFERROR(IF(ISNUMBER($A2168),IF(AND(AH!$P$10=1,AH!$P$12=1,$A2168=TODAY()),AH!$P$18,IF(AH!$P$10=1,INDEX('Live History'!$E$5:$E$3004,MATCH($A2168,'Live History'!$D$5:$D$3004,1)),INDEX('AH History'!$C$1:$C$18046,AH!$P$7+2163))),NA()),NA())</ns0:f>
        <ns0:v/>
      </ns0:c>
      <ns0:c r="E2168">
        <ns0:f>IFERROR(IF(ISNUMBER($A2168),IF(AND(AH!$P$10=1,AH!$P$12=1,$A2168=TODAY()),AH!$P$20,IF(AH!$P$10=1,INDEX('Live History'!$H$5:$H$3004,MATCH($A2168,'Live History'!$G$5:$G$3004,1)),INDEX('AH History'!$D$1:$D$18046,AH!$P$7+2163))),NA()),NA())</ns0:f>
        <ns0:v/>
      </ns0:c>
      <ns0:c r="F2168">
        <ns0:f>IFERROR(IF(ISNUMBER($A2168),IF(AND(AH!$P$10=1,AH!$P$12=1,$A2168=TODAY()),IF(AND(AH!$P$10=1,AH!$P$12=1,$A2168=TODAY()),TODAY(),NA()),IF(AH!$P$10=1,INDEX('Live History'!$D$5:$D$3004,MATCH($A2168,'Live History'!$D$5:$D$3004,1)),INDEX('AH History'!$E$1:$E$18046,AH!$P$7+2163))),NA()),NA())</ns0:f>
        <ns0:v/>
      </ns0:c>
      <ns0:c r="G2168">
        <ns0:f>IFERROR(IF(ISNUMBER($A2168),IF(AND(AH!$P$10=1,AH!$P$12=1,$A2168=TODAY()),IF(AND(AH!$P$10=1,AH!$P$12=1,$A2168=TODAY()),TODAY(),NA()),IF(AH!$P$10=1,INDEX('Live History'!$G$5:$G$3004,MATCH($A2168,'Live History'!$G$5:$G$3004,1)),INDEX('AH History'!$F$1:$F$18046,AH!$P$7+2163))),NA()),NA())</ns0:f>
        <ns0:v/>
      </ns0:c>
      <ns0:c r="H2168">
        <ns0:f>IFERROR(IF(AND(AH!$E$4="Bloomberg",AH!$P$10=1,ISNUMBER($A2168),$A2168&lt;=AH!$P$17),AH!$P$7-1+MATCH($A2168,INDEX('AH History'!$A$1:$A$18046,AH!$P$7):INDEX('AH History'!$A$1:$A$18046,AH!$P$7+AH!$P$8-1),0),0),0)</ns0:f>
        <ns0:v/>
      </ns0:c>
      <ns0:c r="I2168">
        <ns0:f>IF($H2168=0,0,IFERROR(IF(AND(ABS($C2168-INDEX('AH History'!$B$1:$B$18046,$H2168))&lt;=MAX(0.005,ABS(INDEX('AH History'!$B$1:$B$18046,$H2168))*0.00005),ABS($D2168-INDEX('AH History'!$C$1:$C$18046,$H2168))&lt;=MAX(0.005,ABS(INDEX('AH History'!$C$1:$C$18046,$H2168))*0.00005),ABS($E2168-INDEX('AH History'!$D$1:$D$18046,$H2168))&lt;=0.00005,$F2168=INDEX('AH History'!$E$1:$E$18046,$H2168),$G2168=INDEX('AH History'!$F$1:$F$18046,$H2168)),1,-1),-1))</ns0:f>
        <ns0:v/>
      </ns0:c>
    </ns0:row>
    <ns0:row r="2169">
      <ns0:c r="A2169" s="215">
        <ns0:f>IF(OR(AH!$P$3=0,2164+1&gt;AH!$P$11,AND(AH!$E$4&lt;&gt;"Stored",AH!$P$10&lt;&gt;1)),"",IFERROR(IF(AND(AH!$P$21=1,2164+1=AH!$P$11),TODAY(),IF(AH!$P$10=1,INDEX('Live History'!$A$5:$A$3004,AH!$P$13+2164),INDEX('AH History'!$A$1:$A$18046,AH!$P$7+2164))),""))</ns0:f>
        <ns0:v/>
      </ns0:c>
      <ns0:c r="B2169" s="219">
        <ns0:f>IFERROR(IF(AND(AH!$P$9&lt;&gt;1,$C2169&gt;0,$D2169&gt;0,$E2169&gt;0,$F2169&gt;0,$G2169&gt;0,$F2169&lt;=$A2169,$G2169&lt;=$A2169,$A2169-$F2169&lt;=10,$A2169-$G2169&lt;=5),$D2169*$E2169/$C2169-1,NA()),NA())</ns0:f>
        <ns0:v/>
      </ns0:c>
      <ns0:c r="C2169">
        <ns0:f>IFERROR(IF(ISNUMBER($A2169),IF(AND(AH!$P$10=1,AH!$P$12=1,$A2169=TODAY()),AH!$P$19,IF(AH!$P$10=1,INDEX('Live History'!$B$5:$B$3004,AH!$P$13+2164),INDEX('AH History'!$B$1:$B$18046,AH!$P$7+2164))),NA()),NA())</ns0:f>
        <ns0:v/>
      </ns0:c>
      <ns0:c r="D2169">
        <ns0:f>IFERROR(IF(ISNUMBER($A2169),IF(AND(AH!$P$10=1,AH!$P$12=1,$A2169=TODAY()),AH!$P$18,IF(AH!$P$10=1,INDEX('Live History'!$E$5:$E$3004,MATCH($A2169,'Live History'!$D$5:$D$3004,1)),INDEX('AH History'!$C$1:$C$18046,AH!$P$7+2164))),NA()),NA())</ns0:f>
        <ns0:v/>
      </ns0:c>
      <ns0:c r="E2169">
        <ns0:f>IFERROR(IF(ISNUMBER($A2169),IF(AND(AH!$P$10=1,AH!$P$12=1,$A2169=TODAY()),AH!$P$20,IF(AH!$P$10=1,INDEX('Live History'!$H$5:$H$3004,MATCH($A2169,'Live History'!$G$5:$G$3004,1)),INDEX('AH History'!$D$1:$D$18046,AH!$P$7+2164))),NA()),NA())</ns0:f>
        <ns0:v/>
      </ns0:c>
      <ns0:c r="F2169">
        <ns0:f>IFERROR(IF(ISNUMBER($A2169),IF(AND(AH!$P$10=1,AH!$P$12=1,$A2169=TODAY()),IF(AND(AH!$P$10=1,AH!$P$12=1,$A2169=TODAY()),TODAY(),NA()),IF(AH!$P$10=1,INDEX('Live History'!$D$5:$D$3004,MATCH($A2169,'Live History'!$D$5:$D$3004,1)),INDEX('AH History'!$E$1:$E$18046,AH!$P$7+2164))),NA()),NA())</ns0:f>
        <ns0:v/>
      </ns0:c>
      <ns0:c r="G2169">
        <ns0:f>IFERROR(IF(ISNUMBER($A2169),IF(AND(AH!$P$10=1,AH!$P$12=1,$A2169=TODAY()),IF(AND(AH!$P$10=1,AH!$P$12=1,$A2169=TODAY()),TODAY(),NA()),IF(AH!$P$10=1,INDEX('Live History'!$G$5:$G$3004,MATCH($A2169,'Live History'!$G$5:$G$3004,1)),INDEX('AH History'!$F$1:$F$18046,AH!$P$7+2164))),NA()),NA())</ns0:f>
        <ns0:v/>
      </ns0:c>
      <ns0:c r="H2169">
        <ns0:f>IFERROR(IF(AND(AH!$E$4="Bloomberg",AH!$P$10=1,ISNUMBER($A2169),$A2169&lt;=AH!$P$17),AH!$P$7-1+MATCH($A2169,INDEX('AH History'!$A$1:$A$18046,AH!$P$7):INDEX('AH History'!$A$1:$A$18046,AH!$P$7+AH!$P$8-1),0),0),0)</ns0:f>
        <ns0:v/>
      </ns0:c>
      <ns0:c r="I2169">
        <ns0:f>IF($H2169=0,0,IFERROR(IF(AND(ABS($C2169-INDEX('AH History'!$B$1:$B$18046,$H2169))&lt;=MAX(0.005,ABS(INDEX('AH History'!$B$1:$B$18046,$H2169))*0.00005),ABS($D2169-INDEX('AH History'!$C$1:$C$18046,$H2169))&lt;=MAX(0.005,ABS(INDEX('AH History'!$C$1:$C$18046,$H2169))*0.00005),ABS($E2169-INDEX('AH History'!$D$1:$D$18046,$H2169))&lt;=0.00005,$F2169=INDEX('AH History'!$E$1:$E$18046,$H2169),$G2169=INDEX('AH History'!$F$1:$F$18046,$H2169)),1,-1),-1))</ns0:f>
        <ns0:v/>
      </ns0:c>
    </ns0:row>
    <ns0:row r="2170">
      <ns0:c r="A2170" s="215">
        <ns0:f>IF(OR(AH!$P$3=0,2165+1&gt;AH!$P$11,AND(AH!$E$4&lt;&gt;"Stored",AH!$P$10&lt;&gt;1)),"",IFERROR(IF(AND(AH!$P$21=1,2165+1=AH!$P$11),TODAY(),IF(AH!$P$10=1,INDEX('Live History'!$A$5:$A$3004,AH!$P$13+2165),INDEX('AH History'!$A$1:$A$18046,AH!$P$7+2165))),""))</ns0:f>
        <ns0:v/>
      </ns0:c>
      <ns0:c r="B2170" s="219">
        <ns0:f>IFERROR(IF(AND(AH!$P$9&lt;&gt;1,$C2170&gt;0,$D2170&gt;0,$E2170&gt;0,$F2170&gt;0,$G2170&gt;0,$F2170&lt;=$A2170,$G2170&lt;=$A2170,$A2170-$F2170&lt;=10,$A2170-$G2170&lt;=5),$D2170*$E2170/$C2170-1,NA()),NA())</ns0:f>
        <ns0:v/>
      </ns0:c>
      <ns0:c r="C2170">
        <ns0:f>IFERROR(IF(ISNUMBER($A2170),IF(AND(AH!$P$10=1,AH!$P$12=1,$A2170=TODAY()),AH!$P$19,IF(AH!$P$10=1,INDEX('Live History'!$B$5:$B$3004,AH!$P$13+2165),INDEX('AH History'!$B$1:$B$18046,AH!$P$7+2165))),NA()),NA())</ns0:f>
        <ns0:v/>
      </ns0:c>
      <ns0:c r="D2170">
        <ns0:f>IFERROR(IF(ISNUMBER($A2170),IF(AND(AH!$P$10=1,AH!$P$12=1,$A2170=TODAY()),AH!$P$18,IF(AH!$P$10=1,INDEX('Live History'!$E$5:$E$3004,MATCH($A2170,'Live History'!$D$5:$D$3004,1)),INDEX('AH History'!$C$1:$C$18046,AH!$P$7+2165))),NA()),NA())</ns0:f>
        <ns0:v/>
      </ns0:c>
      <ns0:c r="E2170">
        <ns0:f>IFERROR(IF(ISNUMBER($A2170),IF(AND(AH!$P$10=1,AH!$P$12=1,$A2170=TODAY()),AH!$P$20,IF(AH!$P$10=1,INDEX('Live History'!$H$5:$H$3004,MATCH($A2170,'Live History'!$G$5:$G$3004,1)),INDEX('AH History'!$D$1:$D$18046,AH!$P$7+2165))),NA()),NA())</ns0:f>
        <ns0:v/>
      </ns0:c>
      <ns0:c r="F2170">
        <ns0:f>IFERROR(IF(ISNUMBER($A2170),IF(AND(AH!$P$10=1,AH!$P$12=1,$A2170=TODAY()),IF(AND(AH!$P$10=1,AH!$P$12=1,$A2170=TODAY()),TODAY(),NA()),IF(AH!$P$10=1,INDEX('Live History'!$D$5:$D$3004,MATCH($A2170,'Live History'!$D$5:$D$3004,1)),INDEX('AH History'!$E$1:$E$18046,AH!$P$7+2165))),NA()),NA())</ns0:f>
        <ns0:v/>
      </ns0:c>
      <ns0:c r="G2170">
        <ns0:f>IFERROR(IF(ISNUMBER($A2170),IF(AND(AH!$P$10=1,AH!$P$12=1,$A2170=TODAY()),IF(AND(AH!$P$10=1,AH!$P$12=1,$A2170=TODAY()),TODAY(),NA()),IF(AH!$P$10=1,INDEX('Live History'!$G$5:$G$3004,MATCH($A2170,'Live History'!$G$5:$G$3004,1)),INDEX('AH History'!$F$1:$F$18046,AH!$P$7+2165))),NA()),NA())</ns0:f>
        <ns0:v/>
      </ns0:c>
      <ns0:c r="H2170">
        <ns0:f>IFERROR(IF(AND(AH!$E$4="Bloomberg",AH!$P$10=1,ISNUMBER($A2170),$A2170&lt;=AH!$P$17),AH!$P$7-1+MATCH($A2170,INDEX('AH History'!$A$1:$A$18046,AH!$P$7):INDEX('AH History'!$A$1:$A$18046,AH!$P$7+AH!$P$8-1),0),0),0)</ns0:f>
        <ns0:v/>
      </ns0:c>
      <ns0:c r="I2170">
        <ns0:f>IF($H2170=0,0,IFERROR(IF(AND(ABS($C2170-INDEX('AH History'!$B$1:$B$18046,$H2170))&lt;=MAX(0.005,ABS(INDEX('AH History'!$B$1:$B$18046,$H2170))*0.00005),ABS($D2170-INDEX('AH History'!$C$1:$C$18046,$H2170))&lt;=MAX(0.005,ABS(INDEX('AH History'!$C$1:$C$18046,$H2170))*0.00005),ABS($E2170-INDEX('AH History'!$D$1:$D$18046,$H2170))&lt;=0.00005,$F2170=INDEX('AH History'!$E$1:$E$18046,$H2170),$G2170=INDEX('AH History'!$F$1:$F$18046,$H2170)),1,-1),-1))</ns0:f>
        <ns0:v/>
      </ns0:c>
    </ns0:row>
    <ns0:row r="2171">
      <ns0:c r="A2171" s="215">
        <ns0:f>IF(OR(AH!$P$3=0,2166+1&gt;AH!$P$11,AND(AH!$E$4&lt;&gt;"Stored",AH!$P$10&lt;&gt;1)),"",IFERROR(IF(AND(AH!$P$21=1,2166+1=AH!$P$11),TODAY(),IF(AH!$P$10=1,INDEX('Live History'!$A$5:$A$3004,AH!$P$13+2166),INDEX('AH History'!$A$1:$A$18046,AH!$P$7+2166))),""))</ns0:f>
        <ns0:v/>
      </ns0:c>
      <ns0:c r="B2171" s="219">
        <ns0:f>IFERROR(IF(AND(AH!$P$9&lt;&gt;1,$C2171&gt;0,$D2171&gt;0,$E2171&gt;0,$F2171&gt;0,$G2171&gt;0,$F2171&lt;=$A2171,$G2171&lt;=$A2171,$A2171-$F2171&lt;=10,$A2171-$G2171&lt;=5),$D2171*$E2171/$C2171-1,NA()),NA())</ns0:f>
        <ns0:v/>
      </ns0:c>
      <ns0:c r="C2171">
        <ns0:f>IFERROR(IF(ISNUMBER($A2171),IF(AND(AH!$P$10=1,AH!$P$12=1,$A2171=TODAY()),AH!$P$19,IF(AH!$P$10=1,INDEX('Live History'!$B$5:$B$3004,AH!$P$13+2166),INDEX('AH History'!$B$1:$B$18046,AH!$P$7+2166))),NA()),NA())</ns0:f>
        <ns0:v/>
      </ns0:c>
      <ns0:c r="D2171">
        <ns0:f>IFERROR(IF(ISNUMBER($A2171),IF(AND(AH!$P$10=1,AH!$P$12=1,$A2171=TODAY()),AH!$P$18,IF(AH!$P$10=1,INDEX('Live History'!$E$5:$E$3004,MATCH($A2171,'Live History'!$D$5:$D$3004,1)),INDEX('AH History'!$C$1:$C$18046,AH!$P$7+2166))),NA()),NA())</ns0:f>
        <ns0:v/>
      </ns0:c>
      <ns0:c r="E2171">
        <ns0:f>IFERROR(IF(ISNUMBER($A2171),IF(AND(AH!$P$10=1,AH!$P$12=1,$A2171=TODAY()),AH!$P$20,IF(AH!$P$10=1,INDEX('Live History'!$H$5:$H$3004,MATCH($A2171,'Live History'!$G$5:$G$3004,1)),INDEX('AH History'!$D$1:$D$18046,AH!$P$7+2166))),NA()),NA())</ns0:f>
        <ns0:v/>
      </ns0:c>
      <ns0:c r="F2171">
        <ns0:f>IFERROR(IF(ISNUMBER($A2171),IF(AND(AH!$P$10=1,AH!$P$12=1,$A2171=TODAY()),IF(AND(AH!$P$10=1,AH!$P$12=1,$A2171=TODAY()),TODAY(),NA()),IF(AH!$P$10=1,INDEX('Live History'!$D$5:$D$3004,MATCH($A2171,'Live History'!$D$5:$D$3004,1)),INDEX('AH History'!$E$1:$E$18046,AH!$P$7+2166))),NA()),NA())</ns0:f>
        <ns0:v/>
      </ns0:c>
      <ns0:c r="G2171">
        <ns0:f>IFERROR(IF(ISNUMBER($A2171),IF(AND(AH!$P$10=1,AH!$P$12=1,$A2171=TODAY()),IF(AND(AH!$P$10=1,AH!$P$12=1,$A2171=TODAY()),TODAY(),NA()),IF(AH!$P$10=1,INDEX('Live History'!$G$5:$G$3004,MATCH($A2171,'Live History'!$G$5:$G$3004,1)),INDEX('AH History'!$F$1:$F$18046,AH!$P$7+2166))),NA()),NA())</ns0:f>
        <ns0:v/>
      </ns0:c>
      <ns0:c r="H2171">
        <ns0:f>IFERROR(IF(AND(AH!$E$4="Bloomberg",AH!$P$10=1,ISNUMBER($A2171),$A2171&lt;=AH!$P$17),AH!$P$7-1+MATCH($A2171,INDEX('AH History'!$A$1:$A$18046,AH!$P$7):INDEX('AH History'!$A$1:$A$18046,AH!$P$7+AH!$P$8-1),0),0),0)</ns0:f>
        <ns0:v/>
      </ns0:c>
      <ns0:c r="I2171">
        <ns0:f>IF($H2171=0,0,IFERROR(IF(AND(ABS($C2171-INDEX('AH History'!$B$1:$B$18046,$H2171))&lt;=MAX(0.005,ABS(INDEX('AH History'!$B$1:$B$18046,$H2171))*0.00005),ABS($D2171-INDEX('AH History'!$C$1:$C$18046,$H2171))&lt;=MAX(0.005,ABS(INDEX('AH History'!$C$1:$C$18046,$H2171))*0.00005),ABS($E2171-INDEX('AH History'!$D$1:$D$18046,$H2171))&lt;=0.00005,$F2171=INDEX('AH History'!$E$1:$E$18046,$H2171),$G2171=INDEX('AH History'!$F$1:$F$18046,$H2171)),1,-1),-1))</ns0:f>
        <ns0:v/>
      </ns0:c>
    </ns0:row>
    <ns0:row r="2172">
      <ns0:c r="A2172" s="215">
        <ns0:f>IF(OR(AH!$P$3=0,2167+1&gt;AH!$P$11,AND(AH!$E$4&lt;&gt;"Stored",AH!$P$10&lt;&gt;1)),"",IFERROR(IF(AND(AH!$P$21=1,2167+1=AH!$P$11),TODAY(),IF(AH!$P$10=1,INDEX('Live History'!$A$5:$A$3004,AH!$P$13+2167),INDEX('AH History'!$A$1:$A$18046,AH!$P$7+2167))),""))</ns0:f>
        <ns0:v/>
      </ns0:c>
      <ns0:c r="B2172" s="219">
        <ns0:f>IFERROR(IF(AND(AH!$P$9&lt;&gt;1,$C2172&gt;0,$D2172&gt;0,$E2172&gt;0,$F2172&gt;0,$G2172&gt;0,$F2172&lt;=$A2172,$G2172&lt;=$A2172,$A2172-$F2172&lt;=10,$A2172-$G2172&lt;=5),$D2172*$E2172/$C2172-1,NA()),NA())</ns0:f>
        <ns0:v/>
      </ns0:c>
      <ns0:c r="C2172">
        <ns0:f>IFERROR(IF(ISNUMBER($A2172),IF(AND(AH!$P$10=1,AH!$P$12=1,$A2172=TODAY()),AH!$P$19,IF(AH!$P$10=1,INDEX('Live History'!$B$5:$B$3004,AH!$P$13+2167),INDEX('AH History'!$B$1:$B$18046,AH!$P$7+2167))),NA()),NA())</ns0:f>
        <ns0:v/>
      </ns0:c>
      <ns0:c r="D2172">
        <ns0:f>IFERROR(IF(ISNUMBER($A2172),IF(AND(AH!$P$10=1,AH!$P$12=1,$A2172=TODAY()),AH!$P$18,IF(AH!$P$10=1,INDEX('Live History'!$E$5:$E$3004,MATCH($A2172,'Live History'!$D$5:$D$3004,1)),INDEX('AH History'!$C$1:$C$18046,AH!$P$7+2167))),NA()),NA())</ns0:f>
        <ns0:v/>
      </ns0:c>
      <ns0:c r="E2172">
        <ns0:f>IFERROR(IF(ISNUMBER($A2172),IF(AND(AH!$P$10=1,AH!$P$12=1,$A2172=TODAY()),AH!$P$20,IF(AH!$P$10=1,INDEX('Live History'!$H$5:$H$3004,MATCH($A2172,'Live History'!$G$5:$G$3004,1)),INDEX('AH History'!$D$1:$D$18046,AH!$P$7+2167))),NA()),NA())</ns0:f>
        <ns0:v/>
      </ns0:c>
      <ns0:c r="F2172">
        <ns0:f>IFERROR(IF(ISNUMBER($A2172),IF(AND(AH!$P$10=1,AH!$P$12=1,$A2172=TODAY()),IF(AND(AH!$P$10=1,AH!$P$12=1,$A2172=TODAY()),TODAY(),NA()),IF(AH!$P$10=1,INDEX('Live History'!$D$5:$D$3004,MATCH($A2172,'Live History'!$D$5:$D$3004,1)),INDEX('AH History'!$E$1:$E$18046,AH!$P$7+2167))),NA()),NA())</ns0:f>
        <ns0:v/>
      </ns0:c>
      <ns0:c r="G2172">
        <ns0:f>IFERROR(IF(ISNUMBER($A2172),IF(AND(AH!$P$10=1,AH!$P$12=1,$A2172=TODAY()),IF(AND(AH!$P$10=1,AH!$P$12=1,$A2172=TODAY()),TODAY(),NA()),IF(AH!$P$10=1,INDEX('Live History'!$G$5:$G$3004,MATCH($A2172,'Live History'!$G$5:$G$3004,1)),INDEX('AH History'!$F$1:$F$18046,AH!$P$7+2167))),NA()),NA())</ns0:f>
        <ns0:v/>
      </ns0:c>
      <ns0:c r="H2172">
        <ns0:f>IFERROR(IF(AND(AH!$E$4="Bloomberg",AH!$P$10=1,ISNUMBER($A2172),$A2172&lt;=AH!$P$17),AH!$P$7-1+MATCH($A2172,INDEX('AH History'!$A$1:$A$18046,AH!$P$7):INDEX('AH History'!$A$1:$A$18046,AH!$P$7+AH!$P$8-1),0),0),0)</ns0:f>
        <ns0:v/>
      </ns0:c>
      <ns0:c r="I2172">
        <ns0:f>IF($H2172=0,0,IFERROR(IF(AND(ABS($C2172-INDEX('AH History'!$B$1:$B$18046,$H2172))&lt;=MAX(0.005,ABS(INDEX('AH History'!$B$1:$B$18046,$H2172))*0.00005),ABS($D2172-INDEX('AH History'!$C$1:$C$18046,$H2172))&lt;=MAX(0.005,ABS(INDEX('AH History'!$C$1:$C$18046,$H2172))*0.00005),ABS($E2172-INDEX('AH History'!$D$1:$D$18046,$H2172))&lt;=0.00005,$F2172=INDEX('AH History'!$E$1:$E$18046,$H2172),$G2172=INDEX('AH History'!$F$1:$F$18046,$H2172)),1,-1),-1))</ns0:f>
        <ns0:v/>
      </ns0:c>
    </ns0:row>
    <ns0:row r="2173">
      <ns0:c r="A2173" s="215">
        <ns0:f>IF(OR(AH!$P$3=0,2168+1&gt;AH!$P$11,AND(AH!$E$4&lt;&gt;"Stored",AH!$P$10&lt;&gt;1)),"",IFERROR(IF(AND(AH!$P$21=1,2168+1=AH!$P$11),TODAY(),IF(AH!$P$10=1,INDEX('Live History'!$A$5:$A$3004,AH!$P$13+2168),INDEX('AH History'!$A$1:$A$18046,AH!$P$7+2168))),""))</ns0:f>
        <ns0:v/>
      </ns0:c>
      <ns0:c r="B2173" s="219">
        <ns0:f>IFERROR(IF(AND(AH!$P$9&lt;&gt;1,$C2173&gt;0,$D2173&gt;0,$E2173&gt;0,$F2173&gt;0,$G2173&gt;0,$F2173&lt;=$A2173,$G2173&lt;=$A2173,$A2173-$F2173&lt;=10,$A2173-$G2173&lt;=5),$D2173*$E2173/$C2173-1,NA()),NA())</ns0:f>
        <ns0:v/>
      </ns0:c>
      <ns0:c r="C2173">
        <ns0:f>IFERROR(IF(ISNUMBER($A2173),IF(AND(AH!$P$10=1,AH!$P$12=1,$A2173=TODAY()),AH!$P$19,IF(AH!$P$10=1,INDEX('Live History'!$B$5:$B$3004,AH!$P$13+2168),INDEX('AH History'!$B$1:$B$18046,AH!$P$7+2168))),NA()),NA())</ns0:f>
        <ns0:v/>
      </ns0:c>
      <ns0:c r="D2173">
        <ns0:f>IFERROR(IF(ISNUMBER($A2173),IF(AND(AH!$P$10=1,AH!$P$12=1,$A2173=TODAY()),AH!$P$18,IF(AH!$P$10=1,INDEX('Live History'!$E$5:$E$3004,MATCH($A2173,'Live History'!$D$5:$D$3004,1)),INDEX('AH History'!$C$1:$C$18046,AH!$P$7+2168))),NA()),NA())</ns0:f>
        <ns0:v/>
      </ns0:c>
      <ns0:c r="E2173">
        <ns0:f>IFERROR(IF(ISNUMBER($A2173),IF(AND(AH!$P$10=1,AH!$P$12=1,$A2173=TODAY()),AH!$P$20,IF(AH!$P$10=1,INDEX('Live History'!$H$5:$H$3004,MATCH($A2173,'Live History'!$G$5:$G$3004,1)),INDEX('AH History'!$D$1:$D$18046,AH!$P$7+2168))),NA()),NA())</ns0:f>
        <ns0:v/>
      </ns0:c>
      <ns0:c r="F2173">
        <ns0:f>IFERROR(IF(ISNUMBER($A2173),IF(AND(AH!$P$10=1,AH!$P$12=1,$A2173=TODAY()),IF(AND(AH!$P$10=1,AH!$P$12=1,$A2173=TODAY()),TODAY(),NA()),IF(AH!$P$10=1,INDEX('Live History'!$D$5:$D$3004,MATCH($A2173,'Live History'!$D$5:$D$3004,1)),INDEX('AH History'!$E$1:$E$18046,AH!$P$7+2168))),NA()),NA())</ns0:f>
        <ns0:v/>
      </ns0:c>
      <ns0:c r="G2173">
        <ns0:f>IFERROR(IF(ISNUMBER($A2173),IF(AND(AH!$P$10=1,AH!$P$12=1,$A2173=TODAY()),IF(AND(AH!$P$10=1,AH!$P$12=1,$A2173=TODAY()),TODAY(),NA()),IF(AH!$P$10=1,INDEX('Live History'!$G$5:$G$3004,MATCH($A2173,'Live History'!$G$5:$G$3004,1)),INDEX('AH History'!$F$1:$F$18046,AH!$P$7+2168))),NA()),NA())</ns0:f>
        <ns0:v/>
      </ns0:c>
      <ns0:c r="H2173">
        <ns0:f>IFERROR(IF(AND(AH!$E$4="Bloomberg",AH!$P$10=1,ISNUMBER($A2173),$A2173&lt;=AH!$P$17),AH!$P$7-1+MATCH($A2173,INDEX('AH History'!$A$1:$A$18046,AH!$P$7):INDEX('AH History'!$A$1:$A$18046,AH!$P$7+AH!$P$8-1),0),0),0)</ns0:f>
        <ns0:v/>
      </ns0:c>
      <ns0:c r="I2173">
        <ns0:f>IF($H2173=0,0,IFERROR(IF(AND(ABS($C2173-INDEX('AH History'!$B$1:$B$18046,$H2173))&lt;=MAX(0.005,ABS(INDEX('AH History'!$B$1:$B$18046,$H2173))*0.00005),ABS($D2173-INDEX('AH History'!$C$1:$C$18046,$H2173))&lt;=MAX(0.005,ABS(INDEX('AH History'!$C$1:$C$18046,$H2173))*0.00005),ABS($E2173-INDEX('AH History'!$D$1:$D$18046,$H2173))&lt;=0.00005,$F2173=INDEX('AH History'!$E$1:$E$18046,$H2173),$G2173=INDEX('AH History'!$F$1:$F$18046,$H2173)),1,-1),-1))</ns0:f>
        <ns0:v/>
      </ns0:c>
    </ns0:row>
    <ns0:row r="2174">
      <ns0:c r="A2174" s="215">
        <ns0:f>IF(OR(AH!$P$3=0,2169+1&gt;AH!$P$11,AND(AH!$E$4&lt;&gt;"Stored",AH!$P$10&lt;&gt;1)),"",IFERROR(IF(AND(AH!$P$21=1,2169+1=AH!$P$11),TODAY(),IF(AH!$P$10=1,INDEX('Live History'!$A$5:$A$3004,AH!$P$13+2169),INDEX('AH History'!$A$1:$A$18046,AH!$P$7+2169))),""))</ns0:f>
        <ns0:v/>
      </ns0:c>
      <ns0:c r="B2174" s="219">
        <ns0:f>IFERROR(IF(AND(AH!$P$9&lt;&gt;1,$C2174&gt;0,$D2174&gt;0,$E2174&gt;0,$F2174&gt;0,$G2174&gt;0,$F2174&lt;=$A2174,$G2174&lt;=$A2174,$A2174-$F2174&lt;=10,$A2174-$G2174&lt;=5),$D2174*$E2174/$C2174-1,NA()),NA())</ns0:f>
        <ns0:v/>
      </ns0:c>
      <ns0:c r="C2174">
        <ns0:f>IFERROR(IF(ISNUMBER($A2174),IF(AND(AH!$P$10=1,AH!$P$12=1,$A2174=TODAY()),AH!$P$19,IF(AH!$P$10=1,INDEX('Live History'!$B$5:$B$3004,AH!$P$13+2169),INDEX('AH History'!$B$1:$B$18046,AH!$P$7+2169))),NA()),NA())</ns0:f>
        <ns0:v/>
      </ns0:c>
      <ns0:c r="D2174">
        <ns0:f>IFERROR(IF(ISNUMBER($A2174),IF(AND(AH!$P$10=1,AH!$P$12=1,$A2174=TODAY()),AH!$P$18,IF(AH!$P$10=1,INDEX('Live History'!$E$5:$E$3004,MATCH($A2174,'Live History'!$D$5:$D$3004,1)),INDEX('AH History'!$C$1:$C$18046,AH!$P$7+2169))),NA()),NA())</ns0:f>
        <ns0:v/>
      </ns0:c>
      <ns0:c r="E2174">
        <ns0:f>IFERROR(IF(ISNUMBER($A2174),IF(AND(AH!$P$10=1,AH!$P$12=1,$A2174=TODAY()),AH!$P$20,IF(AH!$P$10=1,INDEX('Live History'!$H$5:$H$3004,MATCH($A2174,'Live History'!$G$5:$G$3004,1)),INDEX('AH History'!$D$1:$D$18046,AH!$P$7+2169))),NA()),NA())</ns0:f>
        <ns0:v/>
      </ns0:c>
      <ns0:c r="F2174">
        <ns0:f>IFERROR(IF(ISNUMBER($A2174),IF(AND(AH!$P$10=1,AH!$P$12=1,$A2174=TODAY()),IF(AND(AH!$P$10=1,AH!$P$12=1,$A2174=TODAY()),TODAY(),NA()),IF(AH!$P$10=1,INDEX('Live History'!$D$5:$D$3004,MATCH($A2174,'Live History'!$D$5:$D$3004,1)),INDEX('AH History'!$E$1:$E$18046,AH!$P$7+2169))),NA()),NA())</ns0:f>
        <ns0:v/>
      </ns0:c>
      <ns0:c r="G2174">
        <ns0:f>IFERROR(IF(ISNUMBER($A2174),IF(AND(AH!$P$10=1,AH!$P$12=1,$A2174=TODAY()),IF(AND(AH!$P$10=1,AH!$P$12=1,$A2174=TODAY()),TODAY(),NA()),IF(AH!$P$10=1,INDEX('Live History'!$G$5:$G$3004,MATCH($A2174,'Live History'!$G$5:$G$3004,1)),INDEX('AH History'!$F$1:$F$18046,AH!$P$7+2169))),NA()),NA())</ns0:f>
        <ns0:v/>
      </ns0:c>
      <ns0:c r="H2174">
        <ns0:f>IFERROR(IF(AND(AH!$E$4="Bloomberg",AH!$P$10=1,ISNUMBER($A2174),$A2174&lt;=AH!$P$17),AH!$P$7-1+MATCH($A2174,INDEX('AH History'!$A$1:$A$18046,AH!$P$7):INDEX('AH History'!$A$1:$A$18046,AH!$P$7+AH!$P$8-1),0),0),0)</ns0:f>
        <ns0:v/>
      </ns0:c>
      <ns0:c r="I2174">
        <ns0:f>IF($H2174=0,0,IFERROR(IF(AND(ABS($C2174-INDEX('AH History'!$B$1:$B$18046,$H2174))&lt;=MAX(0.005,ABS(INDEX('AH History'!$B$1:$B$18046,$H2174))*0.00005),ABS($D2174-INDEX('AH History'!$C$1:$C$18046,$H2174))&lt;=MAX(0.005,ABS(INDEX('AH History'!$C$1:$C$18046,$H2174))*0.00005),ABS($E2174-INDEX('AH History'!$D$1:$D$18046,$H2174))&lt;=0.00005,$F2174=INDEX('AH History'!$E$1:$E$18046,$H2174),$G2174=INDEX('AH History'!$F$1:$F$18046,$H2174)),1,-1),-1))</ns0:f>
        <ns0:v/>
      </ns0:c>
    </ns0:row>
    <ns0:row r="2175">
      <ns0:c r="A2175" s="215">
        <ns0:f>IF(OR(AH!$P$3=0,2170+1&gt;AH!$P$11,AND(AH!$E$4&lt;&gt;"Stored",AH!$P$10&lt;&gt;1)),"",IFERROR(IF(AND(AH!$P$21=1,2170+1=AH!$P$11),TODAY(),IF(AH!$P$10=1,INDEX('Live History'!$A$5:$A$3004,AH!$P$13+2170),INDEX('AH History'!$A$1:$A$18046,AH!$P$7+2170))),""))</ns0:f>
        <ns0:v/>
      </ns0:c>
      <ns0:c r="B2175" s="219">
        <ns0:f>IFERROR(IF(AND(AH!$P$9&lt;&gt;1,$C2175&gt;0,$D2175&gt;0,$E2175&gt;0,$F2175&gt;0,$G2175&gt;0,$F2175&lt;=$A2175,$G2175&lt;=$A2175,$A2175-$F2175&lt;=10,$A2175-$G2175&lt;=5),$D2175*$E2175/$C2175-1,NA()),NA())</ns0:f>
        <ns0:v/>
      </ns0:c>
      <ns0:c r="C2175">
        <ns0:f>IFERROR(IF(ISNUMBER($A2175),IF(AND(AH!$P$10=1,AH!$P$12=1,$A2175=TODAY()),AH!$P$19,IF(AH!$P$10=1,INDEX('Live History'!$B$5:$B$3004,AH!$P$13+2170),INDEX('AH History'!$B$1:$B$18046,AH!$P$7+2170))),NA()),NA())</ns0:f>
        <ns0:v/>
      </ns0:c>
      <ns0:c r="D2175">
        <ns0:f>IFERROR(IF(ISNUMBER($A2175),IF(AND(AH!$P$10=1,AH!$P$12=1,$A2175=TODAY()),AH!$P$18,IF(AH!$P$10=1,INDEX('Live History'!$E$5:$E$3004,MATCH($A2175,'Live History'!$D$5:$D$3004,1)),INDEX('AH History'!$C$1:$C$18046,AH!$P$7+2170))),NA()),NA())</ns0:f>
        <ns0:v/>
      </ns0:c>
      <ns0:c r="E2175">
        <ns0:f>IFERROR(IF(ISNUMBER($A2175),IF(AND(AH!$P$10=1,AH!$P$12=1,$A2175=TODAY()),AH!$P$20,IF(AH!$P$10=1,INDEX('Live History'!$H$5:$H$3004,MATCH($A2175,'Live History'!$G$5:$G$3004,1)),INDEX('AH History'!$D$1:$D$18046,AH!$P$7+2170))),NA()),NA())</ns0:f>
        <ns0:v/>
      </ns0:c>
      <ns0:c r="F2175">
        <ns0:f>IFERROR(IF(ISNUMBER($A2175),IF(AND(AH!$P$10=1,AH!$P$12=1,$A2175=TODAY()),IF(AND(AH!$P$10=1,AH!$P$12=1,$A2175=TODAY()),TODAY(),NA()),IF(AH!$P$10=1,INDEX('Live History'!$D$5:$D$3004,MATCH($A2175,'Live History'!$D$5:$D$3004,1)),INDEX('AH History'!$E$1:$E$18046,AH!$P$7+2170))),NA()),NA())</ns0:f>
        <ns0:v/>
      </ns0:c>
      <ns0:c r="G2175">
        <ns0:f>IFERROR(IF(ISNUMBER($A2175),IF(AND(AH!$P$10=1,AH!$P$12=1,$A2175=TODAY()),IF(AND(AH!$P$10=1,AH!$P$12=1,$A2175=TODAY()),TODAY(),NA()),IF(AH!$P$10=1,INDEX('Live History'!$G$5:$G$3004,MATCH($A2175,'Live History'!$G$5:$G$3004,1)),INDEX('AH History'!$F$1:$F$18046,AH!$P$7+2170))),NA()),NA())</ns0:f>
        <ns0:v/>
      </ns0:c>
      <ns0:c r="H2175">
        <ns0:f>IFERROR(IF(AND(AH!$E$4="Bloomberg",AH!$P$10=1,ISNUMBER($A2175),$A2175&lt;=AH!$P$17),AH!$P$7-1+MATCH($A2175,INDEX('AH History'!$A$1:$A$18046,AH!$P$7):INDEX('AH History'!$A$1:$A$18046,AH!$P$7+AH!$P$8-1),0),0),0)</ns0:f>
        <ns0:v/>
      </ns0:c>
      <ns0:c r="I2175">
        <ns0:f>IF($H2175=0,0,IFERROR(IF(AND(ABS($C2175-INDEX('AH History'!$B$1:$B$18046,$H2175))&lt;=MAX(0.005,ABS(INDEX('AH History'!$B$1:$B$18046,$H2175))*0.00005),ABS($D2175-INDEX('AH History'!$C$1:$C$18046,$H2175))&lt;=MAX(0.005,ABS(INDEX('AH History'!$C$1:$C$18046,$H2175))*0.00005),ABS($E2175-INDEX('AH History'!$D$1:$D$18046,$H2175))&lt;=0.00005,$F2175=INDEX('AH History'!$E$1:$E$18046,$H2175),$G2175=INDEX('AH History'!$F$1:$F$18046,$H2175)),1,-1),-1))</ns0:f>
        <ns0:v/>
      </ns0:c>
    </ns0:row>
    <ns0:row r="2176">
      <ns0:c r="A2176" s="215">
        <ns0:f>IF(OR(AH!$P$3=0,2171+1&gt;AH!$P$11,AND(AH!$E$4&lt;&gt;"Stored",AH!$P$10&lt;&gt;1)),"",IFERROR(IF(AND(AH!$P$21=1,2171+1=AH!$P$11),TODAY(),IF(AH!$P$10=1,INDEX('Live History'!$A$5:$A$3004,AH!$P$13+2171),INDEX('AH History'!$A$1:$A$18046,AH!$P$7+2171))),""))</ns0:f>
        <ns0:v/>
      </ns0:c>
      <ns0:c r="B2176" s="219">
        <ns0:f>IFERROR(IF(AND(AH!$P$9&lt;&gt;1,$C2176&gt;0,$D2176&gt;0,$E2176&gt;0,$F2176&gt;0,$G2176&gt;0,$F2176&lt;=$A2176,$G2176&lt;=$A2176,$A2176-$F2176&lt;=10,$A2176-$G2176&lt;=5),$D2176*$E2176/$C2176-1,NA()),NA())</ns0:f>
        <ns0:v/>
      </ns0:c>
      <ns0:c r="C2176">
        <ns0:f>IFERROR(IF(ISNUMBER($A2176),IF(AND(AH!$P$10=1,AH!$P$12=1,$A2176=TODAY()),AH!$P$19,IF(AH!$P$10=1,INDEX('Live History'!$B$5:$B$3004,AH!$P$13+2171),INDEX('AH History'!$B$1:$B$18046,AH!$P$7+2171))),NA()),NA())</ns0:f>
        <ns0:v/>
      </ns0:c>
      <ns0:c r="D2176">
        <ns0:f>IFERROR(IF(ISNUMBER($A2176),IF(AND(AH!$P$10=1,AH!$P$12=1,$A2176=TODAY()),AH!$P$18,IF(AH!$P$10=1,INDEX('Live History'!$E$5:$E$3004,MATCH($A2176,'Live History'!$D$5:$D$3004,1)),INDEX('AH History'!$C$1:$C$18046,AH!$P$7+2171))),NA()),NA())</ns0:f>
        <ns0:v/>
      </ns0:c>
      <ns0:c r="E2176">
        <ns0:f>IFERROR(IF(ISNUMBER($A2176),IF(AND(AH!$P$10=1,AH!$P$12=1,$A2176=TODAY()),AH!$P$20,IF(AH!$P$10=1,INDEX('Live History'!$H$5:$H$3004,MATCH($A2176,'Live History'!$G$5:$G$3004,1)),INDEX('AH History'!$D$1:$D$18046,AH!$P$7+2171))),NA()),NA())</ns0:f>
        <ns0:v/>
      </ns0:c>
      <ns0:c r="F2176">
        <ns0:f>IFERROR(IF(ISNUMBER($A2176),IF(AND(AH!$P$10=1,AH!$P$12=1,$A2176=TODAY()),IF(AND(AH!$P$10=1,AH!$P$12=1,$A2176=TODAY()),TODAY(),NA()),IF(AH!$P$10=1,INDEX('Live History'!$D$5:$D$3004,MATCH($A2176,'Live History'!$D$5:$D$3004,1)),INDEX('AH History'!$E$1:$E$18046,AH!$P$7+2171))),NA()),NA())</ns0:f>
        <ns0:v/>
      </ns0:c>
      <ns0:c r="G2176">
        <ns0:f>IFERROR(IF(ISNUMBER($A2176),IF(AND(AH!$P$10=1,AH!$P$12=1,$A2176=TODAY()),IF(AND(AH!$P$10=1,AH!$P$12=1,$A2176=TODAY()),TODAY(),NA()),IF(AH!$P$10=1,INDEX('Live History'!$G$5:$G$3004,MATCH($A2176,'Live History'!$G$5:$G$3004,1)),INDEX('AH History'!$F$1:$F$18046,AH!$P$7+2171))),NA()),NA())</ns0:f>
        <ns0:v/>
      </ns0:c>
      <ns0:c r="H2176">
        <ns0:f>IFERROR(IF(AND(AH!$E$4="Bloomberg",AH!$P$10=1,ISNUMBER($A2176),$A2176&lt;=AH!$P$17),AH!$P$7-1+MATCH($A2176,INDEX('AH History'!$A$1:$A$18046,AH!$P$7):INDEX('AH History'!$A$1:$A$18046,AH!$P$7+AH!$P$8-1),0),0),0)</ns0:f>
        <ns0:v/>
      </ns0:c>
      <ns0:c r="I2176">
        <ns0:f>IF($H2176=0,0,IFERROR(IF(AND(ABS($C2176-INDEX('AH History'!$B$1:$B$18046,$H2176))&lt;=MAX(0.005,ABS(INDEX('AH History'!$B$1:$B$18046,$H2176))*0.00005),ABS($D2176-INDEX('AH History'!$C$1:$C$18046,$H2176))&lt;=MAX(0.005,ABS(INDEX('AH History'!$C$1:$C$18046,$H2176))*0.00005),ABS($E2176-INDEX('AH History'!$D$1:$D$18046,$H2176))&lt;=0.00005,$F2176=INDEX('AH History'!$E$1:$E$18046,$H2176),$G2176=INDEX('AH History'!$F$1:$F$18046,$H2176)),1,-1),-1))</ns0:f>
        <ns0:v/>
      </ns0:c>
    </ns0:row>
    <ns0:row r="2177">
      <ns0:c r="A2177" s="215">
        <ns0:f>IF(OR(AH!$P$3=0,2172+1&gt;AH!$P$11,AND(AH!$E$4&lt;&gt;"Stored",AH!$P$10&lt;&gt;1)),"",IFERROR(IF(AND(AH!$P$21=1,2172+1=AH!$P$11),TODAY(),IF(AH!$P$10=1,INDEX('Live History'!$A$5:$A$3004,AH!$P$13+2172),INDEX('AH History'!$A$1:$A$18046,AH!$P$7+2172))),""))</ns0:f>
        <ns0:v/>
      </ns0:c>
      <ns0:c r="B2177" s="219">
        <ns0:f>IFERROR(IF(AND(AH!$P$9&lt;&gt;1,$C2177&gt;0,$D2177&gt;0,$E2177&gt;0,$F2177&gt;0,$G2177&gt;0,$F2177&lt;=$A2177,$G2177&lt;=$A2177,$A2177-$F2177&lt;=10,$A2177-$G2177&lt;=5),$D2177*$E2177/$C2177-1,NA()),NA())</ns0:f>
        <ns0:v/>
      </ns0:c>
      <ns0:c r="C2177">
        <ns0:f>IFERROR(IF(ISNUMBER($A2177),IF(AND(AH!$P$10=1,AH!$P$12=1,$A2177=TODAY()),AH!$P$19,IF(AH!$P$10=1,INDEX('Live History'!$B$5:$B$3004,AH!$P$13+2172),INDEX('AH History'!$B$1:$B$18046,AH!$P$7+2172))),NA()),NA())</ns0:f>
        <ns0:v/>
      </ns0:c>
      <ns0:c r="D2177">
        <ns0:f>IFERROR(IF(ISNUMBER($A2177),IF(AND(AH!$P$10=1,AH!$P$12=1,$A2177=TODAY()),AH!$P$18,IF(AH!$P$10=1,INDEX('Live History'!$E$5:$E$3004,MATCH($A2177,'Live History'!$D$5:$D$3004,1)),INDEX('AH History'!$C$1:$C$18046,AH!$P$7+2172))),NA()),NA())</ns0:f>
        <ns0:v/>
      </ns0:c>
      <ns0:c r="E2177">
        <ns0:f>IFERROR(IF(ISNUMBER($A2177),IF(AND(AH!$P$10=1,AH!$P$12=1,$A2177=TODAY()),AH!$P$20,IF(AH!$P$10=1,INDEX('Live History'!$H$5:$H$3004,MATCH($A2177,'Live History'!$G$5:$G$3004,1)),INDEX('AH History'!$D$1:$D$18046,AH!$P$7+2172))),NA()),NA())</ns0:f>
        <ns0:v/>
      </ns0:c>
      <ns0:c r="F2177">
        <ns0:f>IFERROR(IF(ISNUMBER($A2177),IF(AND(AH!$P$10=1,AH!$P$12=1,$A2177=TODAY()),IF(AND(AH!$P$10=1,AH!$P$12=1,$A2177=TODAY()),TODAY(),NA()),IF(AH!$P$10=1,INDEX('Live History'!$D$5:$D$3004,MATCH($A2177,'Live History'!$D$5:$D$3004,1)),INDEX('AH History'!$E$1:$E$18046,AH!$P$7+2172))),NA()),NA())</ns0:f>
        <ns0:v/>
      </ns0:c>
      <ns0:c r="G2177">
        <ns0:f>IFERROR(IF(ISNUMBER($A2177),IF(AND(AH!$P$10=1,AH!$P$12=1,$A2177=TODAY()),IF(AND(AH!$P$10=1,AH!$P$12=1,$A2177=TODAY()),TODAY(),NA()),IF(AH!$P$10=1,INDEX('Live History'!$G$5:$G$3004,MATCH($A2177,'Live History'!$G$5:$G$3004,1)),INDEX('AH History'!$F$1:$F$18046,AH!$P$7+2172))),NA()),NA())</ns0:f>
        <ns0:v/>
      </ns0:c>
      <ns0:c r="H2177">
        <ns0:f>IFERROR(IF(AND(AH!$E$4="Bloomberg",AH!$P$10=1,ISNUMBER($A2177),$A2177&lt;=AH!$P$17),AH!$P$7-1+MATCH($A2177,INDEX('AH History'!$A$1:$A$18046,AH!$P$7):INDEX('AH History'!$A$1:$A$18046,AH!$P$7+AH!$P$8-1),0),0),0)</ns0:f>
        <ns0:v/>
      </ns0:c>
      <ns0:c r="I2177">
        <ns0:f>IF($H2177=0,0,IFERROR(IF(AND(ABS($C2177-INDEX('AH History'!$B$1:$B$18046,$H2177))&lt;=MAX(0.005,ABS(INDEX('AH History'!$B$1:$B$18046,$H2177))*0.00005),ABS($D2177-INDEX('AH History'!$C$1:$C$18046,$H2177))&lt;=MAX(0.005,ABS(INDEX('AH History'!$C$1:$C$18046,$H2177))*0.00005),ABS($E2177-INDEX('AH History'!$D$1:$D$18046,$H2177))&lt;=0.00005,$F2177=INDEX('AH History'!$E$1:$E$18046,$H2177),$G2177=INDEX('AH History'!$F$1:$F$18046,$H2177)),1,-1),-1))</ns0:f>
        <ns0:v/>
      </ns0:c>
    </ns0:row>
    <ns0:row r="2178">
      <ns0:c r="A2178" s="215">
        <ns0:f>IF(OR(AH!$P$3=0,2173+1&gt;AH!$P$11,AND(AH!$E$4&lt;&gt;"Stored",AH!$P$10&lt;&gt;1)),"",IFERROR(IF(AND(AH!$P$21=1,2173+1=AH!$P$11),TODAY(),IF(AH!$P$10=1,INDEX('Live History'!$A$5:$A$3004,AH!$P$13+2173),INDEX('AH History'!$A$1:$A$18046,AH!$P$7+2173))),""))</ns0:f>
        <ns0:v/>
      </ns0:c>
      <ns0:c r="B2178" s="219">
        <ns0:f>IFERROR(IF(AND(AH!$P$9&lt;&gt;1,$C2178&gt;0,$D2178&gt;0,$E2178&gt;0,$F2178&gt;0,$G2178&gt;0,$F2178&lt;=$A2178,$G2178&lt;=$A2178,$A2178-$F2178&lt;=10,$A2178-$G2178&lt;=5),$D2178*$E2178/$C2178-1,NA()),NA())</ns0:f>
        <ns0:v/>
      </ns0:c>
      <ns0:c r="C2178">
        <ns0:f>IFERROR(IF(ISNUMBER($A2178),IF(AND(AH!$P$10=1,AH!$P$12=1,$A2178=TODAY()),AH!$P$19,IF(AH!$P$10=1,INDEX('Live History'!$B$5:$B$3004,AH!$P$13+2173),INDEX('AH History'!$B$1:$B$18046,AH!$P$7+2173))),NA()),NA())</ns0:f>
        <ns0:v/>
      </ns0:c>
      <ns0:c r="D2178">
        <ns0:f>IFERROR(IF(ISNUMBER($A2178),IF(AND(AH!$P$10=1,AH!$P$12=1,$A2178=TODAY()),AH!$P$18,IF(AH!$P$10=1,INDEX('Live History'!$E$5:$E$3004,MATCH($A2178,'Live History'!$D$5:$D$3004,1)),INDEX('AH History'!$C$1:$C$18046,AH!$P$7+2173))),NA()),NA())</ns0:f>
        <ns0:v/>
      </ns0:c>
      <ns0:c r="E2178">
        <ns0:f>IFERROR(IF(ISNUMBER($A2178),IF(AND(AH!$P$10=1,AH!$P$12=1,$A2178=TODAY()),AH!$P$20,IF(AH!$P$10=1,INDEX('Live History'!$H$5:$H$3004,MATCH($A2178,'Live History'!$G$5:$G$3004,1)),INDEX('AH History'!$D$1:$D$18046,AH!$P$7+2173))),NA()),NA())</ns0:f>
        <ns0:v/>
      </ns0:c>
      <ns0:c r="F2178">
        <ns0:f>IFERROR(IF(ISNUMBER($A2178),IF(AND(AH!$P$10=1,AH!$P$12=1,$A2178=TODAY()),IF(AND(AH!$P$10=1,AH!$P$12=1,$A2178=TODAY()),TODAY(),NA()),IF(AH!$P$10=1,INDEX('Live History'!$D$5:$D$3004,MATCH($A2178,'Live History'!$D$5:$D$3004,1)),INDEX('AH History'!$E$1:$E$18046,AH!$P$7+2173))),NA()),NA())</ns0:f>
        <ns0:v/>
      </ns0:c>
      <ns0:c r="G2178">
        <ns0:f>IFERROR(IF(ISNUMBER($A2178),IF(AND(AH!$P$10=1,AH!$P$12=1,$A2178=TODAY()),IF(AND(AH!$P$10=1,AH!$P$12=1,$A2178=TODAY()),TODAY(),NA()),IF(AH!$P$10=1,INDEX('Live History'!$G$5:$G$3004,MATCH($A2178,'Live History'!$G$5:$G$3004,1)),INDEX('AH History'!$F$1:$F$18046,AH!$P$7+2173))),NA()),NA())</ns0:f>
        <ns0:v/>
      </ns0:c>
      <ns0:c r="H2178">
        <ns0:f>IFERROR(IF(AND(AH!$E$4="Bloomberg",AH!$P$10=1,ISNUMBER($A2178),$A2178&lt;=AH!$P$17),AH!$P$7-1+MATCH($A2178,INDEX('AH History'!$A$1:$A$18046,AH!$P$7):INDEX('AH History'!$A$1:$A$18046,AH!$P$7+AH!$P$8-1),0),0),0)</ns0:f>
        <ns0:v/>
      </ns0:c>
      <ns0:c r="I2178">
        <ns0:f>IF($H2178=0,0,IFERROR(IF(AND(ABS($C2178-INDEX('AH History'!$B$1:$B$18046,$H2178))&lt;=MAX(0.005,ABS(INDEX('AH History'!$B$1:$B$18046,$H2178))*0.00005),ABS($D2178-INDEX('AH History'!$C$1:$C$18046,$H2178))&lt;=MAX(0.005,ABS(INDEX('AH History'!$C$1:$C$18046,$H2178))*0.00005),ABS($E2178-INDEX('AH History'!$D$1:$D$18046,$H2178))&lt;=0.00005,$F2178=INDEX('AH History'!$E$1:$E$18046,$H2178),$G2178=INDEX('AH History'!$F$1:$F$18046,$H2178)),1,-1),-1))</ns0:f>
        <ns0:v/>
      </ns0:c>
    </ns0:row>
    <ns0:row r="2179">
      <ns0:c r="A2179" s="215">
        <ns0:f>IF(OR(AH!$P$3=0,2174+1&gt;AH!$P$11,AND(AH!$E$4&lt;&gt;"Stored",AH!$P$10&lt;&gt;1)),"",IFERROR(IF(AND(AH!$P$21=1,2174+1=AH!$P$11),TODAY(),IF(AH!$P$10=1,INDEX('Live History'!$A$5:$A$3004,AH!$P$13+2174),INDEX('AH History'!$A$1:$A$18046,AH!$P$7+2174))),""))</ns0:f>
        <ns0:v/>
      </ns0:c>
      <ns0:c r="B2179" s="219">
        <ns0:f>IFERROR(IF(AND(AH!$P$9&lt;&gt;1,$C2179&gt;0,$D2179&gt;0,$E2179&gt;0,$F2179&gt;0,$G2179&gt;0,$F2179&lt;=$A2179,$G2179&lt;=$A2179,$A2179-$F2179&lt;=10,$A2179-$G2179&lt;=5),$D2179*$E2179/$C2179-1,NA()),NA())</ns0:f>
        <ns0:v/>
      </ns0:c>
      <ns0:c r="C2179">
        <ns0:f>IFERROR(IF(ISNUMBER($A2179),IF(AND(AH!$P$10=1,AH!$P$12=1,$A2179=TODAY()),AH!$P$19,IF(AH!$P$10=1,INDEX('Live History'!$B$5:$B$3004,AH!$P$13+2174),INDEX('AH History'!$B$1:$B$18046,AH!$P$7+2174))),NA()),NA())</ns0:f>
        <ns0:v/>
      </ns0:c>
      <ns0:c r="D2179">
        <ns0:f>IFERROR(IF(ISNUMBER($A2179),IF(AND(AH!$P$10=1,AH!$P$12=1,$A2179=TODAY()),AH!$P$18,IF(AH!$P$10=1,INDEX('Live History'!$E$5:$E$3004,MATCH($A2179,'Live History'!$D$5:$D$3004,1)),INDEX('AH History'!$C$1:$C$18046,AH!$P$7+2174))),NA()),NA())</ns0:f>
        <ns0:v/>
      </ns0:c>
      <ns0:c r="E2179">
        <ns0:f>IFERROR(IF(ISNUMBER($A2179),IF(AND(AH!$P$10=1,AH!$P$12=1,$A2179=TODAY()),AH!$P$20,IF(AH!$P$10=1,INDEX('Live History'!$H$5:$H$3004,MATCH($A2179,'Live History'!$G$5:$G$3004,1)),INDEX('AH History'!$D$1:$D$18046,AH!$P$7+2174))),NA()),NA())</ns0:f>
        <ns0:v/>
      </ns0:c>
      <ns0:c r="F2179">
        <ns0:f>IFERROR(IF(ISNUMBER($A2179),IF(AND(AH!$P$10=1,AH!$P$12=1,$A2179=TODAY()),IF(AND(AH!$P$10=1,AH!$P$12=1,$A2179=TODAY()),TODAY(),NA()),IF(AH!$P$10=1,INDEX('Live History'!$D$5:$D$3004,MATCH($A2179,'Live History'!$D$5:$D$3004,1)),INDEX('AH History'!$E$1:$E$18046,AH!$P$7+2174))),NA()),NA())</ns0:f>
        <ns0:v/>
      </ns0:c>
      <ns0:c r="G2179">
        <ns0:f>IFERROR(IF(ISNUMBER($A2179),IF(AND(AH!$P$10=1,AH!$P$12=1,$A2179=TODAY()),IF(AND(AH!$P$10=1,AH!$P$12=1,$A2179=TODAY()),TODAY(),NA()),IF(AH!$P$10=1,INDEX('Live History'!$G$5:$G$3004,MATCH($A2179,'Live History'!$G$5:$G$3004,1)),INDEX('AH History'!$F$1:$F$18046,AH!$P$7+2174))),NA()),NA())</ns0:f>
        <ns0:v/>
      </ns0:c>
      <ns0:c r="H2179">
        <ns0:f>IFERROR(IF(AND(AH!$E$4="Bloomberg",AH!$P$10=1,ISNUMBER($A2179),$A2179&lt;=AH!$P$17),AH!$P$7-1+MATCH($A2179,INDEX('AH History'!$A$1:$A$18046,AH!$P$7):INDEX('AH History'!$A$1:$A$18046,AH!$P$7+AH!$P$8-1),0),0),0)</ns0:f>
        <ns0:v/>
      </ns0:c>
      <ns0:c r="I2179">
        <ns0:f>IF($H2179=0,0,IFERROR(IF(AND(ABS($C2179-INDEX('AH History'!$B$1:$B$18046,$H2179))&lt;=MAX(0.005,ABS(INDEX('AH History'!$B$1:$B$18046,$H2179))*0.00005),ABS($D2179-INDEX('AH History'!$C$1:$C$18046,$H2179))&lt;=MAX(0.005,ABS(INDEX('AH History'!$C$1:$C$18046,$H2179))*0.00005),ABS($E2179-INDEX('AH History'!$D$1:$D$18046,$H2179))&lt;=0.00005,$F2179=INDEX('AH History'!$E$1:$E$18046,$H2179),$G2179=INDEX('AH History'!$F$1:$F$18046,$H2179)),1,-1),-1))</ns0:f>
        <ns0:v/>
      </ns0:c>
    </ns0:row>
    <ns0:row r="2180">
      <ns0:c r="A2180" s="215">
        <ns0:f>IF(OR(AH!$P$3=0,2175+1&gt;AH!$P$11,AND(AH!$E$4&lt;&gt;"Stored",AH!$P$10&lt;&gt;1)),"",IFERROR(IF(AND(AH!$P$21=1,2175+1=AH!$P$11),TODAY(),IF(AH!$P$10=1,INDEX('Live History'!$A$5:$A$3004,AH!$P$13+2175),INDEX('AH History'!$A$1:$A$18046,AH!$P$7+2175))),""))</ns0:f>
        <ns0:v/>
      </ns0:c>
      <ns0:c r="B2180" s="219">
        <ns0:f>IFERROR(IF(AND(AH!$P$9&lt;&gt;1,$C2180&gt;0,$D2180&gt;0,$E2180&gt;0,$F2180&gt;0,$G2180&gt;0,$F2180&lt;=$A2180,$G2180&lt;=$A2180,$A2180-$F2180&lt;=10,$A2180-$G2180&lt;=5),$D2180*$E2180/$C2180-1,NA()),NA())</ns0:f>
        <ns0:v/>
      </ns0:c>
      <ns0:c r="C2180">
        <ns0:f>IFERROR(IF(ISNUMBER($A2180),IF(AND(AH!$P$10=1,AH!$P$12=1,$A2180=TODAY()),AH!$P$19,IF(AH!$P$10=1,INDEX('Live History'!$B$5:$B$3004,AH!$P$13+2175),INDEX('AH History'!$B$1:$B$18046,AH!$P$7+2175))),NA()),NA())</ns0:f>
        <ns0:v/>
      </ns0:c>
      <ns0:c r="D2180">
        <ns0:f>IFERROR(IF(ISNUMBER($A2180),IF(AND(AH!$P$10=1,AH!$P$12=1,$A2180=TODAY()),AH!$P$18,IF(AH!$P$10=1,INDEX('Live History'!$E$5:$E$3004,MATCH($A2180,'Live History'!$D$5:$D$3004,1)),INDEX('AH History'!$C$1:$C$18046,AH!$P$7+2175))),NA()),NA())</ns0:f>
        <ns0:v/>
      </ns0:c>
      <ns0:c r="E2180">
        <ns0:f>IFERROR(IF(ISNUMBER($A2180),IF(AND(AH!$P$10=1,AH!$P$12=1,$A2180=TODAY()),AH!$P$20,IF(AH!$P$10=1,INDEX('Live History'!$H$5:$H$3004,MATCH($A2180,'Live History'!$G$5:$G$3004,1)),INDEX('AH History'!$D$1:$D$18046,AH!$P$7+2175))),NA()),NA())</ns0:f>
        <ns0:v/>
      </ns0:c>
      <ns0:c r="F2180">
        <ns0:f>IFERROR(IF(ISNUMBER($A2180),IF(AND(AH!$P$10=1,AH!$P$12=1,$A2180=TODAY()),IF(AND(AH!$P$10=1,AH!$P$12=1,$A2180=TODAY()),TODAY(),NA()),IF(AH!$P$10=1,INDEX('Live History'!$D$5:$D$3004,MATCH($A2180,'Live History'!$D$5:$D$3004,1)),INDEX('AH History'!$E$1:$E$18046,AH!$P$7+2175))),NA()),NA())</ns0:f>
        <ns0:v/>
      </ns0:c>
      <ns0:c r="G2180">
        <ns0:f>IFERROR(IF(ISNUMBER($A2180),IF(AND(AH!$P$10=1,AH!$P$12=1,$A2180=TODAY()),IF(AND(AH!$P$10=1,AH!$P$12=1,$A2180=TODAY()),TODAY(),NA()),IF(AH!$P$10=1,INDEX('Live History'!$G$5:$G$3004,MATCH($A2180,'Live History'!$G$5:$G$3004,1)),INDEX('AH History'!$F$1:$F$18046,AH!$P$7+2175))),NA()),NA())</ns0:f>
        <ns0:v/>
      </ns0:c>
      <ns0:c r="H2180">
        <ns0:f>IFERROR(IF(AND(AH!$E$4="Bloomberg",AH!$P$10=1,ISNUMBER($A2180),$A2180&lt;=AH!$P$17),AH!$P$7-1+MATCH($A2180,INDEX('AH History'!$A$1:$A$18046,AH!$P$7):INDEX('AH History'!$A$1:$A$18046,AH!$P$7+AH!$P$8-1),0),0),0)</ns0:f>
        <ns0:v/>
      </ns0:c>
      <ns0:c r="I2180">
        <ns0:f>IF($H2180=0,0,IFERROR(IF(AND(ABS($C2180-INDEX('AH History'!$B$1:$B$18046,$H2180))&lt;=MAX(0.005,ABS(INDEX('AH History'!$B$1:$B$18046,$H2180))*0.00005),ABS($D2180-INDEX('AH History'!$C$1:$C$18046,$H2180))&lt;=MAX(0.005,ABS(INDEX('AH History'!$C$1:$C$18046,$H2180))*0.00005),ABS($E2180-INDEX('AH History'!$D$1:$D$18046,$H2180))&lt;=0.00005,$F2180=INDEX('AH History'!$E$1:$E$18046,$H2180),$G2180=INDEX('AH History'!$F$1:$F$18046,$H2180)),1,-1),-1))</ns0:f>
        <ns0:v/>
      </ns0:c>
    </ns0:row>
    <ns0:row r="2181">
      <ns0:c r="A2181" s="215">
        <ns0:f>IF(OR(AH!$P$3=0,2176+1&gt;AH!$P$11,AND(AH!$E$4&lt;&gt;"Stored",AH!$P$10&lt;&gt;1)),"",IFERROR(IF(AND(AH!$P$21=1,2176+1=AH!$P$11),TODAY(),IF(AH!$P$10=1,INDEX('Live History'!$A$5:$A$3004,AH!$P$13+2176),INDEX('AH History'!$A$1:$A$18046,AH!$P$7+2176))),""))</ns0:f>
        <ns0:v/>
      </ns0:c>
      <ns0:c r="B2181" s="219">
        <ns0:f>IFERROR(IF(AND(AH!$P$9&lt;&gt;1,$C2181&gt;0,$D2181&gt;0,$E2181&gt;0,$F2181&gt;0,$G2181&gt;0,$F2181&lt;=$A2181,$G2181&lt;=$A2181,$A2181-$F2181&lt;=10,$A2181-$G2181&lt;=5),$D2181*$E2181/$C2181-1,NA()),NA())</ns0:f>
        <ns0:v/>
      </ns0:c>
      <ns0:c r="C2181">
        <ns0:f>IFERROR(IF(ISNUMBER($A2181),IF(AND(AH!$P$10=1,AH!$P$12=1,$A2181=TODAY()),AH!$P$19,IF(AH!$P$10=1,INDEX('Live History'!$B$5:$B$3004,AH!$P$13+2176),INDEX('AH History'!$B$1:$B$18046,AH!$P$7+2176))),NA()),NA())</ns0:f>
        <ns0:v/>
      </ns0:c>
      <ns0:c r="D2181">
        <ns0:f>IFERROR(IF(ISNUMBER($A2181),IF(AND(AH!$P$10=1,AH!$P$12=1,$A2181=TODAY()),AH!$P$18,IF(AH!$P$10=1,INDEX('Live History'!$E$5:$E$3004,MATCH($A2181,'Live History'!$D$5:$D$3004,1)),INDEX('AH History'!$C$1:$C$18046,AH!$P$7+2176))),NA()),NA())</ns0:f>
        <ns0:v/>
      </ns0:c>
      <ns0:c r="E2181">
        <ns0:f>IFERROR(IF(ISNUMBER($A2181),IF(AND(AH!$P$10=1,AH!$P$12=1,$A2181=TODAY()),AH!$P$20,IF(AH!$P$10=1,INDEX('Live History'!$H$5:$H$3004,MATCH($A2181,'Live History'!$G$5:$G$3004,1)),INDEX('AH History'!$D$1:$D$18046,AH!$P$7+2176))),NA()),NA())</ns0:f>
        <ns0:v/>
      </ns0:c>
      <ns0:c r="F2181">
        <ns0:f>IFERROR(IF(ISNUMBER($A2181),IF(AND(AH!$P$10=1,AH!$P$12=1,$A2181=TODAY()),IF(AND(AH!$P$10=1,AH!$P$12=1,$A2181=TODAY()),TODAY(),NA()),IF(AH!$P$10=1,INDEX('Live History'!$D$5:$D$3004,MATCH($A2181,'Live History'!$D$5:$D$3004,1)),INDEX('AH History'!$E$1:$E$18046,AH!$P$7+2176))),NA()),NA())</ns0:f>
        <ns0:v/>
      </ns0:c>
      <ns0:c r="G2181">
        <ns0:f>IFERROR(IF(ISNUMBER($A2181),IF(AND(AH!$P$10=1,AH!$P$12=1,$A2181=TODAY()),IF(AND(AH!$P$10=1,AH!$P$12=1,$A2181=TODAY()),TODAY(),NA()),IF(AH!$P$10=1,INDEX('Live History'!$G$5:$G$3004,MATCH($A2181,'Live History'!$G$5:$G$3004,1)),INDEX('AH History'!$F$1:$F$18046,AH!$P$7+2176))),NA()),NA())</ns0:f>
        <ns0:v/>
      </ns0:c>
      <ns0:c r="H2181">
        <ns0:f>IFERROR(IF(AND(AH!$E$4="Bloomberg",AH!$P$10=1,ISNUMBER($A2181),$A2181&lt;=AH!$P$17),AH!$P$7-1+MATCH($A2181,INDEX('AH History'!$A$1:$A$18046,AH!$P$7):INDEX('AH History'!$A$1:$A$18046,AH!$P$7+AH!$P$8-1),0),0),0)</ns0:f>
        <ns0:v/>
      </ns0:c>
      <ns0:c r="I2181">
        <ns0:f>IF($H2181=0,0,IFERROR(IF(AND(ABS($C2181-INDEX('AH History'!$B$1:$B$18046,$H2181))&lt;=MAX(0.005,ABS(INDEX('AH History'!$B$1:$B$18046,$H2181))*0.00005),ABS($D2181-INDEX('AH History'!$C$1:$C$18046,$H2181))&lt;=MAX(0.005,ABS(INDEX('AH History'!$C$1:$C$18046,$H2181))*0.00005),ABS($E2181-INDEX('AH History'!$D$1:$D$18046,$H2181))&lt;=0.00005,$F2181=INDEX('AH History'!$E$1:$E$18046,$H2181),$G2181=INDEX('AH History'!$F$1:$F$18046,$H2181)),1,-1),-1))</ns0:f>
        <ns0:v/>
      </ns0:c>
    </ns0:row>
    <ns0:row r="2182">
      <ns0:c r="A2182" s="215">
        <ns0:f>IF(OR(AH!$P$3=0,2177+1&gt;AH!$P$11,AND(AH!$E$4&lt;&gt;"Stored",AH!$P$10&lt;&gt;1)),"",IFERROR(IF(AND(AH!$P$21=1,2177+1=AH!$P$11),TODAY(),IF(AH!$P$10=1,INDEX('Live History'!$A$5:$A$3004,AH!$P$13+2177),INDEX('AH History'!$A$1:$A$18046,AH!$P$7+2177))),""))</ns0:f>
        <ns0:v/>
      </ns0:c>
      <ns0:c r="B2182" s="219">
        <ns0:f>IFERROR(IF(AND(AH!$P$9&lt;&gt;1,$C2182&gt;0,$D2182&gt;0,$E2182&gt;0,$F2182&gt;0,$G2182&gt;0,$F2182&lt;=$A2182,$G2182&lt;=$A2182,$A2182-$F2182&lt;=10,$A2182-$G2182&lt;=5),$D2182*$E2182/$C2182-1,NA()),NA())</ns0:f>
        <ns0:v/>
      </ns0:c>
      <ns0:c r="C2182">
        <ns0:f>IFERROR(IF(ISNUMBER($A2182),IF(AND(AH!$P$10=1,AH!$P$12=1,$A2182=TODAY()),AH!$P$19,IF(AH!$P$10=1,INDEX('Live History'!$B$5:$B$3004,AH!$P$13+2177),INDEX('AH History'!$B$1:$B$18046,AH!$P$7+2177))),NA()),NA())</ns0:f>
        <ns0:v/>
      </ns0:c>
      <ns0:c r="D2182">
        <ns0:f>IFERROR(IF(ISNUMBER($A2182),IF(AND(AH!$P$10=1,AH!$P$12=1,$A2182=TODAY()),AH!$P$18,IF(AH!$P$10=1,INDEX('Live History'!$E$5:$E$3004,MATCH($A2182,'Live History'!$D$5:$D$3004,1)),INDEX('AH History'!$C$1:$C$18046,AH!$P$7+2177))),NA()),NA())</ns0:f>
        <ns0:v/>
      </ns0:c>
      <ns0:c r="E2182">
        <ns0:f>IFERROR(IF(ISNUMBER($A2182),IF(AND(AH!$P$10=1,AH!$P$12=1,$A2182=TODAY()),AH!$P$20,IF(AH!$P$10=1,INDEX('Live History'!$H$5:$H$3004,MATCH($A2182,'Live History'!$G$5:$G$3004,1)),INDEX('AH History'!$D$1:$D$18046,AH!$P$7+2177))),NA()),NA())</ns0:f>
        <ns0:v/>
      </ns0:c>
      <ns0:c r="F2182">
        <ns0:f>IFERROR(IF(ISNUMBER($A2182),IF(AND(AH!$P$10=1,AH!$P$12=1,$A2182=TODAY()),IF(AND(AH!$P$10=1,AH!$P$12=1,$A2182=TODAY()),TODAY(),NA()),IF(AH!$P$10=1,INDEX('Live History'!$D$5:$D$3004,MATCH($A2182,'Live History'!$D$5:$D$3004,1)),INDEX('AH History'!$E$1:$E$18046,AH!$P$7+2177))),NA()),NA())</ns0:f>
        <ns0:v/>
      </ns0:c>
      <ns0:c r="G2182">
        <ns0:f>IFERROR(IF(ISNUMBER($A2182),IF(AND(AH!$P$10=1,AH!$P$12=1,$A2182=TODAY()),IF(AND(AH!$P$10=1,AH!$P$12=1,$A2182=TODAY()),TODAY(),NA()),IF(AH!$P$10=1,INDEX('Live History'!$G$5:$G$3004,MATCH($A2182,'Live History'!$G$5:$G$3004,1)),INDEX('AH History'!$F$1:$F$18046,AH!$P$7+2177))),NA()),NA())</ns0:f>
        <ns0:v/>
      </ns0:c>
      <ns0:c r="H2182">
        <ns0:f>IFERROR(IF(AND(AH!$E$4="Bloomberg",AH!$P$10=1,ISNUMBER($A2182),$A2182&lt;=AH!$P$17),AH!$P$7-1+MATCH($A2182,INDEX('AH History'!$A$1:$A$18046,AH!$P$7):INDEX('AH History'!$A$1:$A$18046,AH!$P$7+AH!$P$8-1),0),0),0)</ns0:f>
        <ns0:v/>
      </ns0:c>
      <ns0:c r="I2182">
        <ns0:f>IF($H2182=0,0,IFERROR(IF(AND(ABS($C2182-INDEX('AH History'!$B$1:$B$18046,$H2182))&lt;=MAX(0.005,ABS(INDEX('AH History'!$B$1:$B$18046,$H2182))*0.00005),ABS($D2182-INDEX('AH History'!$C$1:$C$18046,$H2182))&lt;=MAX(0.005,ABS(INDEX('AH History'!$C$1:$C$18046,$H2182))*0.00005),ABS($E2182-INDEX('AH History'!$D$1:$D$18046,$H2182))&lt;=0.00005,$F2182=INDEX('AH History'!$E$1:$E$18046,$H2182),$G2182=INDEX('AH History'!$F$1:$F$18046,$H2182)),1,-1),-1))</ns0:f>
        <ns0:v/>
      </ns0:c>
    </ns0:row>
    <ns0:row r="2183">
      <ns0:c r="A2183" s="215">
        <ns0:f>IF(OR(AH!$P$3=0,2178+1&gt;AH!$P$11,AND(AH!$E$4&lt;&gt;"Stored",AH!$P$10&lt;&gt;1)),"",IFERROR(IF(AND(AH!$P$21=1,2178+1=AH!$P$11),TODAY(),IF(AH!$P$10=1,INDEX('Live History'!$A$5:$A$3004,AH!$P$13+2178),INDEX('AH History'!$A$1:$A$18046,AH!$P$7+2178))),""))</ns0:f>
        <ns0:v/>
      </ns0:c>
      <ns0:c r="B2183" s="219">
        <ns0:f>IFERROR(IF(AND(AH!$P$9&lt;&gt;1,$C2183&gt;0,$D2183&gt;0,$E2183&gt;0,$F2183&gt;0,$G2183&gt;0,$F2183&lt;=$A2183,$G2183&lt;=$A2183,$A2183-$F2183&lt;=10,$A2183-$G2183&lt;=5),$D2183*$E2183/$C2183-1,NA()),NA())</ns0:f>
        <ns0:v/>
      </ns0:c>
      <ns0:c r="C2183">
        <ns0:f>IFERROR(IF(ISNUMBER($A2183),IF(AND(AH!$P$10=1,AH!$P$12=1,$A2183=TODAY()),AH!$P$19,IF(AH!$P$10=1,INDEX('Live History'!$B$5:$B$3004,AH!$P$13+2178),INDEX('AH History'!$B$1:$B$18046,AH!$P$7+2178))),NA()),NA())</ns0:f>
        <ns0:v/>
      </ns0:c>
      <ns0:c r="D2183">
        <ns0:f>IFERROR(IF(ISNUMBER($A2183),IF(AND(AH!$P$10=1,AH!$P$12=1,$A2183=TODAY()),AH!$P$18,IF(AH!$P$10=1,INDEX('Live History'!$E$5:$E$3004,MATCH($A2183,'Live History'!$D$5:$D$3004,1)),INDEX('AH History'!$C$1:$C$18046,AH!$P$7+2178))),NA()),NA())</ns0:f>
        <ns0:v/>
      </ns0:c>
      <ns0:c r="E2183">
        <ns0:f>IFERROR(IF(ISNUMBER($A2183),IF(AND(AH!$P$10=1,AH!$P$12=1,$A2183=TODAY()),AH!$P$20,IF(AH!$P$10=1,INDEX('Live History'!$H$5:$H$3004,MATCH($A2183,'Live History'!$G$5:$G$3004,1)),INDEX('AH History'!$D$1:$D$18046,AH!$P$7+2178))),NA()),NA())</ns0:f>
        <ns0:v/>
      </ns0:c>
      <ns0:c r="F2183">
        <ns0:f>IFERROR(IF(ISNUMBER($A2183),IF(AND(AH!$P$10=1,AH!$P$12=1,$A2183=TODAY()),IF(AND(AH!$P$10=1,AH!$P$12=1,$A2183=TODAY()),TODAY(),NA()),IF(AH!$P$10=1,INDEX('Live History'!$D$5:$D$3004,MATCH($A2183,'Live History'!$D$5:$D$3004,1)),INDEX('AH History'!$E$1:$E$18046,AH!$P$7+2178))),NA()),NA())</ns0:f>
        <ns0:v/>
      </ns0:c>
      <ns0:c r="G2183">
        <ns0:f>IFERROR(IF(ISNUMBER($A2183),IF(AND(AH!$P$10=1,AH!$P$12=1,$A2183=TODAY()),IF(AND(AH!$P$10=1,AH!$P$12=1,$A2183=TODAY()),TODAY(),NA()),IF(AH!$P$10=1,INDEX('Live History'!$G$5:$G$3004,MATCH($A2183,'Live History'!$G$5:$G$3004,1)),INDEX('AH History'!$F$1:$F$18046,AH!$P$7+2178))),NA()),NA())</ns0:f>
        <ns0:v/>
      </ns0:c>
      <ns0:c r="H2183">
        <ns0:f>IFERROR(IF(AND(AH!$E$4="Bloomberg",AH!$P$10=1,ISNUMBER($A2183),$A2183&lt;=AH!$P$17),AH!$P$7-1+MATCH($A2183,INDEX('AH History'!$A$1:$A$18046,AH!$P$7):INDEX('AH History'!$A$1:$A$18046,AH!$P$7+AH!$P$8-1),0),0),0)</ns0:f>
        <ns0:v/>
      </ns0:c>
      <ns0:c r="I2183">
        <ns0:f>IF($H2183=0,0,IFERROR(IF(AND(ABS($C2183-INDEX('AH History'!$B$1:$B$18046,$H2183))&lt;=MAX(0.005,ABS(INDEX('AH History'!$B$1:$B$18046,$H2183))*0.00005),ABS($D2183-INDEX('AH History'!$C$1:$C$18046,$H2183))&lt;=MAX(0.005,ABS(INDEX('AH History'!$C$1:$C$18046,$H2183))*0.00005),ABS($E2183-INDEX('AH History'!$D$1:$D$18046,$H2183))&lt;=0.00005,$F2183=INDEX('AH History'!$E$1:$E$18046,$H2183),$G2183=INDEX('AH History'!$F$1:$F$18046,$H2183)),1,-1),-1))</ns0:f>
        <ns0:v/>
      </ns0:c>
    </ns0:row>
    <ns0:row r="2184">
      <ns0:c r="A2184" s="215">
        <ns0:f>IF(OR(AH!$P$3=0,2179+1&gt;AH!$P$11,AND(AH!$E$4&lt;&gt;"Stored",AH!$P$10&lt;&gt;1)),"",IFERROR(IF(AND(AH!$P$21=1,2179+1=AH!$P$11),TODAY(),IF(AH!$P$10=1,INDEX('Live History'!$A$5:$A$3004,AH!$P$13+2179),INDEX('AH History'!$A$1:$A$18046,AH!$P$7+2179))),""))</ns0:f>
        <ns0:v/>
      </ns0:c>
      <ns0:c r="B2184" s="219">
        <ns0:f>IFERROR(IF(AND(AH!$P$9&lt;&gt;1,$C2184&gt;0,$D2184&gt;0,$E2184&gt;0,$F2184&gt;0,$G2184&gt;0,$F2184&lt;=$A2184,$G2184&lt;=$A2184,$A2184-$F2184&lt;=10,$A2184-$G2184&lt;=5),$D2184*$E2184/$C2184-1,NA()),NA())</ns0:f>
        <ns0:v/>
      </ns0:c>
      <ns0:c r="C2184">
        <ns0:f>IFERROR(IF(ISNUMBER($A2184),IF(AND(AH!$P$10=1,AH!$P$12=1,$A2184=TODAY()),AH!$P$19,IF(AH!$P$10=1,INDEX('Live History'!$B$5:$B$3004,AH!$P$13+2179),INDEX('AH History'!$B$1:$B$18046,AH!$P$7+2179))),NA()),NA())</ns0:f>
        <ns0:v/>
      </ns0:c>
      <ns0:c r="D2184">
        <ns0:f>IFERROR(IF(ISNUMBER($A2184),IF(AND(AH!$P$10=1,AH!$P$12=1,$A2184=TODAY()),AH!$P$18,IF(AH!$P$10=1,INDEX('Live History'!$E$5:$E$3004,MATCH($A2184,'Live History'!$D$5:$D$3004,1)),INDEX('AH History'!$C$1:$C$18046,AH!$P$7+2179))),NA()),NA())</ns0:f>
        <ns0:v/>
      </ns0:c>
      <ns0:c r="E2184">
        <ns0:f>IFERROR(IF(ISNUMBER($A2184),IF(AND(AH!$P$10=1,AH!$P$12=1,$A2184=TODAY()),AH!$P$20,IF(AH!$P$10=1,INDEX('Live History'!$H$5:$H$3004,MATCH($A2184,'Live History'!$G$5:$G$3004,1)),INDEX('AH History'!$D$1:$D$18046,AH!$P$7+2179))),NA()),NA())</ns0:f>
        <ns0:v/>
      </ns0:c>
      <ns0:c r="F2184">
        <ns0:f>IFERROR(IF(ISNUMBER($A2184),IF(AND(AH!$P$10=1,AH!$P$12=1,$A2184=TODAY()),IF(AND(AH!$P$10=1,AH!$P$12=1,$A2184=TODAY()),TODAY(),NA()),IF(AH!$P$10=1,INDEX('Live History'!$D$5:$D$3004,MATCH($A2184,'Live History'!$D$5:$D$3004,1)),INDEX('AH History'!$E$1:$E$18046,AH!$P$7+2179))),NA()),NA())</ns0:f>
        <ns0:v/>
      </ns0:c>
      <ns0:c r="G2184">
        <ns0:f>IFERROR(IF(ISNUMBER($A2184),IF(AND(AH!$P$10=1,AH!$P$12=1,$A2184=TODAY()),IF(AND(AH!$P$10=1,AH!$P$12=1,$A2184=TODAY()),TODAY(),NA()),IF(AH!$P$10=1,INDEX('Live History'!$G$5:$G$3004,MATCH($A2184,'Live History'!$G$5:$G$3004,1)),INDEX('AH History'!$F$1:$F$18046,AH!$P$7+2179))),NA()),NA())</ns0:f>
        <ns0:v/>
      </ns0:c>
      <ns0:c r="H2184">
        <ns0:f>IFERROR(IF(AND(AH!$E$4="Bloomberg",AH!$P$10=1,ISNUMBER($A2184),$A2184&lt;=AH!$P$17),AH!$P$7-1+MATCH($A2184,INDEX('AH History'!$A$1:$A$18046,AH!$P$7):INDEX('AH History'!$A$1:$A$18046,AH!$P$7+AH!$P$8-1),0),0),0)</ns0:f>
        <ns0:v/>
      </ns0:c>
      <ns0:c r="I2184">
        <ns0:f>IF($H2184=0,0,IFERROR(IF(AND(ABS($C2184-INDEX('AH History'!$B$1:$B$18046,$H2184))&lt;=MAX(0.005,ABS(INDEX('AH History'!$B$1:$B$18046,$H2184))*0.00005),ABS($D2184-INDEX('AH History'!$C$1:$C$18046,$H2184))&lt;=MAX(0.005,ABS(INDEX('AH History'!$C$1:$C$18046,$H2184))*0.00005),ABS($E2184-INDEX('AH History'!$D$1:$D$18046,$H2184))&lt;=0.00005,$F2184=INDEX('AH History'!$E$1:$E$18046,$H2184),$G2184=INDEX('AH History'!$F$1:$F$18046,$H2184)),1,-1),-1))</ns0:f>
        <ns0:v/>
      </ns0:c>
    </ns0:row>
    <ns0:row r="2185">
      <ns0:c r="A2185" s="215">
        <ns0:f>IF(OR(AH!$P$3=0,2180+1&gt;AH!$P$11,AND(AH!$E$4&lt;&gt;"Stored",AH!$P$10&lt;&gt;1)),"",IFERROR(IF(AND(AH!$P$21=1,2180+1=AH!$P$11),TODAY(),IF(AH!$P$10=1,INDEX('Live History'!$A$5:$A$3004,AH!$P$13+2180),INDEX('AH History'!$A$1:$A$18046,AH!$P$7+2180))),""))</ns0:f>
        <ns0:v/>
      </ns0:c>
      <ns0:c r="B2185" s="219">
        <ns0:f>IFERROR(IF(AND(AH!$P$9&lt;&gt;1,$C2185&gt;0,$D2185&gt;0,$E2185&gt;0,$F2185&gt;0,$G2185&gt;0,$F2185&lt;=$A2185,$G2185&lt;=$A2185,$A2185-$F2185&lt;=10,$A2185-$G2185&lt;=5),$D2185*$E2185/$C2185-1,NA()),NA())</ns0:f>
        <ns0:v/>
      </ns0:c>
      <ns0:c r="C2185">
        <ns0:f>IFERROR(IF(ISNUMBER($A2185),IF(AND(AH!$P$10=1,AH!$P$12=1,$A2185=TODAY()),AH!$P$19,IF(AH!$P$10=1,INDEX('Live History'!$B$5:$B$3004,AH!$P$13+2180),INDEX('AH History'!$B$1:$B$18046,AH!$P$7+2180))),NA()),NA())</ns0:f>
        <ns0:v/>
      </ns0:c>
      <ns0:c r="D2185">
        <ns0:f>IFERROR(IF(ISNUMBER($A2185),IF(AND(AH!$P$10=1,AH!$P$12=1,$A2185=TODAY()),AH!$P$18,IF(AH!$P$10=1,INDEX('Live History'!$E$5:$E$3004,MATCH($A2185,'Live History'!$D$5:$D$3004,1)),INDEX('AH History'!$C$1:$C$18046,AH!$P$7+2180))),NA()),NA())</ns0:f>
        <ns0:v/>
      </ns0:c>
      <ns0:c r="E2185">
        <ns0:f>IFERROR(IF(ISNUMBER($A2185),IF(AND(AH!$P$10=1,AH!$P$12=1,$A2185=TODAY()),AH!$P$20,IF(AH!$P$10=1,INDEX('Live History'!$H$5:$H$3004,MATCH($A2185,'Live History'!$G$5:$G$3004,1)),INDEX('AH History'!$D$1:$D$18046,AH!$P$7+2180))),NA()),NA())</ns0:f>
        <ns0:v/>
      </ns0:c>
      <ns0:c r="F2185">
        <ns0:f>IFERROR(IF(ISNUMBER($A2185),IF(AND(AH!$P$10=1,AH!$P$12=1,$A2185=TODAY()),IF(AND(AH!$P$10=1,AH!$P$12=1,$A2185=TODAY()),TODAY(),NA()),IF(AH!$P$10=1,INDEX('Live History'!$D$5:$D$3004,MATCH($A2185,'Live History'!$D$5:$D$3004,1)),INDEX('AH History'!$E$1:$E$18046,AH!$P$7+2180))),NA()),NA())</ns0:f>
        <ns0:v/>
      </ns0:c>
      <ns0:c r="G2185">
        <ns0:f>IFERROR(IF(ISNUMBER($A2185),IF(AND(AH!$P$10=1,AH!$P$12=1,$A2185=TODAY()),IF(AND(AH!$P$10=1,AH!$P$12=1,$A2185=TODAY()),TODAY(),NA()),IF(AH!$P$10=1,INDEX('Live History'!$G$5:$G$3004,MATCH($A2185,'Live History'!$G$5:$G$3004,1)),INDEX('AH History'!$F$1:$F$18046,AH!$P$7+2180))),NA()),NA())</ns0:f>
        <ns0:v/>
      </ns0:c>
      <ns0:c r="H2185">
        <ns0:f>IFERROR(IF(AND(AH!$E$4="Bloomberg",AH!$P$10=1,ISNUMBER($A2185),$A2185&lt;=AH!$P$17),AH!$P$7-1+MATCH($A2185,INDEX('AH History'!$A$1:$A$18046,AH!$P$7):INDEX('AH History'!$A$1:$A$18046,AH!$P$7+AH!$P$8-1),0),0),0)</ns0:f>
        <ns0:v/>
      </ns0:c>
      <ns0:c r="I2185">
        <ns0:f>IF($H2185=0,0,IFERROR(IF(AND(ABS($C2185-INDEX('AH History'!$B$1:$B$18046,$H2185))&lt;=MAX(0.005,ABS(INDEX('AH History'!$B$1:$B$18046,$H2185))*0.00005),ABS($D2185-INDEX('AH History'!$C$1:$C$18046,$H2185))&lt;=MAX(0.005,ABS(INDEX('AH History'!$C$1:$C$18046,$H2185))*0.00005),ABS($E2185-INDEX('AH History'!$D$1:$D$18046,$H2185))&lt;=0.00005,$F2185=INDEX('AH History'!$E$1:$E$18046,$H2185),$G2185=INDEX('AH History'!$F$1:$F$18046,$H2185)),1,-1),-1))</ns0:f>
        <ns0:v/>
      </ns0:c>
    </ns0:row>
    <ns0:row r="2186">
      <ns0:c r="A2186" s="215">
        <ns0:f>IF(OR(AH!$P$3=0,2181+1&gt;AH!$P$11,AND(AH!$E$4&lt;&gt;"Stored",AH!$P$10&lt;&gt;1)),"",IFERROR(IF(AND(AH!$P$21=1,2181+1=AH!$P$11),TODAY(),IF(AH!$P$10=1,INDEX('Live History'!$A$5:$A$3004,AH!$P$13+2181),INDEX('AH History'!$A$1:$A$18046,AH!$P$7+2181))),""))</ns0:f>
        <ns0:v/>
      </ns0:c>
      <ns0:c r="B2186" s="219">
        <ns0:f>IFERROR(IF(AND(AH!$P$9&lt;&gt;1,$C2186&gt;0,$D2186&gt;0,$E2186&gt;0,$F2186&gt;0,$G2186&gt;0,$F2186&lt;=$A2186,$G2186&lt;=$A2186,$A2186-$F2186&lt;=10,$A2186-$G2186&lt;=5),$D2186*$E2186/$C2186-1,NA()),NA())</ns0:f>
        <ns0:v/>
      </ns0:c>
      <ns0:c r="C2186">
        <ns0:f>IFERROR(IF(ISNUMBER($A2186),IF(AND(AH!$P$10=1,AH!$P$12=1,$A2186=TODAY()),AH!$P$19,IF(AH!$P$10=1,INDEX('Live History'!$B$5:$B$3004,AH!$P$13+2181),INDEX('AH History'!$B$1:$B$18046,AH!$P$7+2181))),NA()),NA())</ns0:f>
        <ns0:v/>
      </ns0:c>
      <ns0:c r="D2186">
        <ns0:f>IFERROR(IF(ISNUMBER($A2186),IF(AND(AH!$P$10=1,AH!$P$12=1,$A2186=TODAY()),AH!$P$18,IF(AH!$P$10=1,INDEX('Live History'!$E$5:$E$3004,MATCH($A2186,'Live History'!$D$5:$D$3004,1)),INDEX('AH History'!$C$1:$C$18046,AH!$P$7+2181))),NA()),NA())</ns0:f>
        <ns0:v/>
      </ns0:c>
      <ns0:c r="E2186">
        <ns0:f>IFERROR(IF(ISNUMBER($A2186),IF(AND(AH!$P$10=1,AH!$P$12=1,$A2186=TODAY()),AH!$P$20,IF(AH!$P$10=1,INDEX('Live History'!$H$5:$H$3004,MATCH($A2186,'Live History'!$G$5:$G$3004,1)),INDEX('AH History'!$D$1:$D$18046,AH!$P$7+2181))),NA()),NA())</ns0:f>
        <ns0:v/>
      </ns0:c>
      <ns0:c r="F2186">
        <ns0:f>IFERROR(IF(ISNUMBER($A2186),IF(AND(AH!$P$10=1,AH!$P$12=1,$A2186=TODAY()),IF(AND(AH!$P$10=1,AH!$P$12=1,$A2186=TODAY()),TODAY(),NA()),IF(AH!$P$10=1,INDEX('Live History'!$D$5:$D$3004,MATCH($A2186,'Live History'!$D$5:$D$3004,1)),INDEX('AH History'!$E$1:$E$18046,AH!$P$7+2181))),NA()),NA())</ns0:f>
        <ns0:v/>
      </ns0:c>
      <ns0:c r="G2186">
        <ns0:f>IFERROR(IF(ISNUMBER($A2186),IF(AND(AH!$P$10=1,AH!$P$12=1,$A2186=TODAY()),IF(AND(AH!$P$10=1,AH!$P$12=1,$A2186=TODAY()),TODAY(),NA()),IF(AH!$P$10=1,INDEX('Live History'!$G$5:$G$3004,MATCH($A2186,'Live History'!$G$5:$G$3004,1)),INDEX('AH History'!$F$1:$F$18046,AH!$P$7+2181))),NA()),NA())</ns0:f>
        <ns0:v/>
      </ns0:c>
      <ns0:c r="H2186">
        <ns0:f>IFERROR(IF(AND(AH!$E$4="Bloomberg",AH!$P$10=1,ISNUMBER($A2186),$A2186&lt;=AH!$P$17),AH!$P$7-1+MATCH($A2186,INDEX('AH History'!$A$1:$A$18046,AH!$P$7):INDEX('AH History'!$A$1:$A$18046,AH!$P$7+AH!$P$8-1),0),0),0)</ns0:f>
        <ns0:v/>
      </ns0:c>
      <ns0:c r="I2186">
        <ns0:f>IF($H2186=0,0,IFERROR(IF(AND(ABS($C2186-INDEX('AH History'!$B$1:$B$18046,$H2186))&lt;=MAX(0.005,ABS(INDEX('AH History'!$B$1:$B$18046,$H2186))*0.00005),ABS($D2186-INDEX('AH History'!$C$1:$C$18046,$H2186))&lt;=MAX(0.005,ABS(INDEX('AH History'!$C$1:$C$18046,$H2186))*0.00005),ABS($E2186-INDEX('AH History'!$D$1:$D$18046,$H2186))&lt;=0.00005,$F2186=INDEX('AH History'!$E$1:$E$18046,$H2186),$G2186=INDEX('AH History'!$F$1:$F$18046,$H2186)),1,-1),-1))</ns0:f>
        <ns0:v/>
      </ns0:c>
    </ns0:row>
    <ns0:row r="2187">
      <ns0:c r="A2187" s="215">
        <ns0:f>IF(OR(AH!$P$3=0,2182+1&gt;AH!$P$11,AND(AH!$E$4&lt;&gt;"Stored",AH!$P$10&lt;&gt;1)),"",IFERROR(IF(AND(AH!$P$21=1,2182+1=AH!$P$11),TODAY(),IF(AH!$P$10=1,INDEX('Live History'!$A$5:$A$3004,AH!$P$13+2182),INDEX('AH History'!$A$1:$A$18046,AH!$P$7+2182))),""))</ns0:f>
        <ns0:v/>
      </ns0:c>
      <ns0:c r="B2187" s="219">
        <ns0:f>IFERROR(IF(AND(AH!$P$9&lt;&gt;1,$C2187&gt;0,$D2187&gt;0,$E2187&gt;0,$F2187&gt;0,$G2187&gt;0,$F2187&lt;=$A2187,$G2187&lt;=$A2187,$A2187-$F2187&lt;=10,$A2187-$G2187&lt;=5),$D2187*$E2187/$C2187-1,NA()),NA())</ns0:f>
        <ns0:v/>
      </ns0:c>
      <ns0:c r="C2187">
        <ns0:f>IFERROR(IF(ISNUMBER($A2187),IF(AND(AH!$P$10=1,AH!$P$12=1,$A2187=TODAY()),AH!$P$19,IF(AH!$P$10=1,INDEX('Live History'!$B$5:$B$3004,AH!$P$13+2182),INDEX('AH History'!$B$1:$B$18046,AH!$P$7+2182))),NA()),NA())</ns0:f>
        <ns0:v/>
      </ns0:c>
      <ns0:c r="D2187">
        <ns0:f>IFERROR(IF(ISNUMBER($A2187),IF(AND(AH!$P$10=1,AH!$P$12=1,$A2187=TODAY()),AH!$P$18,IF(AH!$P$10=1,INDEX('Live History'!$E$5:$E$3004,MATCH($A2187,'Live History'!$D$5:$D$3004,1)),INDEX('AH History'!$C$1:$C$18046,AH!$P$7+2182))),NA()),NA())</ns0:f>
        <ns0:v/>
      </ns0:c>
      <ns0:c r="E2187">
        <ns0:f>IFERROR(IF(ISNUMBER($A2187),IF(AND(AH!$P$10=1,AH!$P$12=1,$A2187=TODAY()),AH!$P$20,IF(AH!$P$10=1,INDEX('Live History'!$H$5:$H$3004,MATCH($A2187,'Live History'!$G$5:$G$3004,1)),INDEX('AH History'!$D$1:$D$18046,AH!$P$7+2182))),NA()),NA())</ns0:f>
        <ns0:v/>
      </ns0:c>
      <ns0:c r="F2187">
        <ns0:f>IFERROR(IF(ISNUMBER($A2187),IF(AND(AH!$P$10=1,AH!$P$12=1,$A2187=TODAY()),IF(AND(AH!$P$10=1,AH!$P$12=1,$A2187=TODAY()),TODAY(),NA()),IF(AH!$P$10=1,INDEX('Live History'!$D$5:$D$3004,MATCH($A2187,'Live History'!$D$5:$D$3004,1)),INDEX('AH History'!$E$1:$E$18046,AH!$P$7+2182))),NA()),NA())</ns0:f>
        <ns0:v/>
      </ns0:c>
      <ns0:c r="G2187">
        <ns0:f>IFERROR(IF(ISNUMBER($A2187),IF(AND(AH!$P$10=1,AH!$P$12=1,$A2187=TODAY()),IF(AND(AH!$P$10=1,AH!$P$12=1,$A2187=TODAY()),TODAY(),NA()),IF(AH!$P$10=1,INDEX('Live History'!$G$5:$G$3004,MATCH($A2187,'Live History'!$G$5:$G$3004,1)),INDEX('AH History'!$F$1:$F$18046,AH!$P$7+2182))),NA()),NA())</ns0:f>
        <ns0:v/>
      </ns0:c>
      <ns0:c r="H2187">
        <ns0:f>IFERROR(IF(AND(AH!$E$4="Bloomberg",AH!$P$10=1,ISNUMBER($A2187),$A2187&lt;=AH!$P$17),AH!$P$7-1+MATCH($A2187,INDEX('AH History'!$A$1:$A$18046,AH!$P$7):INDEX('AH History'!$A$1:$A$18046,AH!$P$7+AH!$P$8-1),0),0),0)</ns0:f>
        <ns0:v/>
      </ns0:c>
      <ns0:c r="I2187">
        <ns0:f>IF($H2187=0,0,IFERROR(IF(AND(ABS($C2187-INDEX('AH History'!$B$1:$B$18046,$H2187))&lt;=MAX(0.005,ABS(INDEX('AH History'!$B$1:$B$18046,$H2187))*0.00005),ABS($D2187-INDEX('AH History'!$C$1:$C$18046,$H2187))&lt;=MAX(0.005,ABS(INDEX('AH History'!$C$1:$C$18046,$H2187))*0.00005),ABS($E2187-INDEX('AH History'!$D$1:$D$18046,$H2187))&lt;=0.00005,$F2187=INDEX('AH History'!$E$1:$E$18046,$H2187),$G2187=INDEX('AH History'!$F$1:$F$18046,$H2187)),1,-1),-1))</ns0:f>
        <ns0:v/>
      </ns0:c>
    </ns0:row>
    <ns0:row r="2188">
      <ns0:c r="A2188" s="215">
        <ns0:f>IF(OR(AH!$P$3=0,2183+1&gt;AH!$P$11,AND(AH!$E$4&lt;&gt;"Stored",AH!$P$10&lt;&gt;1)),"",IFERROR(IF(AND(AH!$P$21=1,2183+1=AH!$P$11),TODAY(),IF(AH!$P$10=1,INDEX('Live History'!$A$5:$A$3004,AH!$P$13+2183),INDEX('AH History'!$A$1:$A$18046,AH!$P$7+2183))),""))</ns0:f>
        <ns0:v/>
      </ns0:c>
      <ns0:c r="B2188" s="219">
        <ns0:f>IFERROR(IF(AND(AH!$P$9&lt;&gt;1,$C2188&gt;0,$D2188&gt;0,$E2188&gt;0,$F2188&gt;0,$G2188&gt;0,$F2188&lt;=$A2188,$G2188&lt;=$A2188,$A2188-$F2188&lt;=10,$A2188-$G2188&lt;=5),$D2188*$E2188/$C2188-1,NA()),NA())</ns0:f>
        <ns0:v/>
      </ns0:c>
      <ns0:c r="C2188">
        <ns0:f>IFERROR(IF(ISNUMBER($A2188),IF(AND(AH!$P$10=1,AH!$P$12=1,$A2188=TODAY()),AH!$P$19,IF(AH!$P$10=1,INDEX('Live History'!$B$5:$B$3004,AH!$P$13+2183),INDEX('AH History'!$B$1:$B$18046,AH!$P$7+2183))),NA()),NA())</ns0:f>
        <ns0:v/>
      </ns0:c>
      <ns0:c r="D2188">
        <ns0:f>IFERROR(IF(ISNUMBER($A2188),IF(AND(AH!$P$10=1,AH!$P$12=1,$A2188=TODAY()),AH!$P$18,IF(AH!$P$10=1,INDEX('Live History'!$E$5:$E$3004,MATCH($A2188,'Live History'!$D$5:$D$3004,1)),INDEX('AH History'!$C$1:$C$18046,AH!$P$7+2183))),NA()),NA())</ns0:f>
        <ns0:v/>
      </ns0:c>
      <ns0:c r="E2188">
        <ns0:f>IFERROR(IF(ISNUMBER($A2188),IF(AND(AH!$P$10=1,AH!$P$12=1,$A2188=TODAY()),AH!$P$20,IF(AH!$P$10=1,INDEX('Live History'!$H$5:$H$3004,MATCH($A2188,'Live History'!$G$5:$G$3004,1)),INDEX('AH History'!$D$1:$D$18046,AH!$P$7+2183))),NA()),NA())</ns0:f>
        <ns0:v/>
      </ns0:c>
      <ns0:c r="F2188">
        <ns0:f>IFERROR(IF(ISNUMBER($A2188),IF(AND(AH!$P$10=1,AH!$P$12=1,$A2188=TODAY()),IF(AND(AH!$P$10=1,AH!$P$12=1,$A2188=TODAY()),TODAY(),NA()),IF(AH!$P$10=1,INDEX('Live History'!$D$5:$D$3004,MATCH($A2188,'Live History'!$D$5:$D$3004,1)),INDEX('AH History'!$E$1:$E$18046,AH!$P$7+2183))),NA()),NA())</ns0:f>
        <ns0:v/>
      </ns0:c>
      <ns0:c r="G2188">
        <ns0:f>IFERROR(IF(ISNUMBER($A2188),IF(AND(AH!$P$10=1,AH!$P$12=1,$A2188=TODAY()),IF(AND(AH!$P$10=1,AH!$P$12=1,$A2188=TODAY()),TODAY(),NA()),IF(AH!$P$10=1,INDEX('Live History'!$G$5:$G$3004,MATCH($A2188,'Live History'!$G$5:$G$3004,1)),INDEX('AH History'!$F$1:$F$18046,AH!$P$7+2183))),NA()),NA())</ns0:f>
        <ns0:v/>
      </ns0:c>
      <ns0:c r="H2188">
        <ns0:f>IFERROR(IF(AND(AH!$E$4="Bloomberg",AH!$P$10=1,ISNUMBER($A2188),$A2188&lt;=AH!$P$17),AH!$P$7-1+MATCH($A2188,INDEX('AH History'!$A$1:$A$18046,AH!$P$7):INDEX('AH History'!$A$1:$A$18046,AH!$P$7+AH!$P$8-1),0),0),0)</ns0:f>
        <ns0:v/>
      </ns0:c>
      <ns0:c r="I2188">
        <ns0:f>IF($H2188=0,0,IFERROR(IF(AND(ABS($C2188-INDEX('AH History'!$B$1:$B$18046,$H2188))&lt;=MAX(0.005,ABS(INDEX('AH History'!$B$1:$B$18046,$H2188))*0.00005),ABS($D2188-INDEX('AH History'!$C$1:$C$18046,$H2188))&lt;=MAX(0.005,ABS(INDEX('AH History'!$C$1:$C$18046,$H2188))*0.00005),ABS($E2188-INDEX('AH History'!$D$1:$D$18046,$H2188))&lt;=0.00005,$F2188=INDEX('AH History'!$E$1:$E$18046,$H2188),$G2188=INDEX('AH History'!$F$1:$F$18046,$H2188)),1,-1),-1))</ns0:f>
        <ns0:v/>
      </ns0:c>
    </ns0:row>
    <ns0:row r="2189">
      <ns0:c r="A2189" s="215">
        <ns0:f>IF(OR(AH!$P$3=0,2184+1&gt;AH!$P$11,AND(AH!$E$4&lt;&gt;"Stored",AH!$P$10&lt;&gt;1)),"",IFERROR(IF(AND(AH!$P$21=1,2184+1=AH!$P$11),TODAY(),IF(AH!$P$10=1,INDEX('Live History'!$A$5:$A$3004,AH!$P$13+2184),INDEX('AH History'!$A$1:$A$18046,AH!$P$7+2184))),""))</ns0:f>
        <ns0:v/>
      </ns0:c>
      <ns0:c r="B2189" s="219">
        <ns0:f>IFERROR(IF(AND(AH!$P$9&lt;&gt;1,$C2189&gt;0,$D2189&gt;0,$E2189&gt;0,$F2189&gt;0,$G2189&gt;0,$F2189&lt;=$A2189,$G2189&lt;=$A2189,$A2189-$F2189&lt;=10,$A2189-$G2189&lt;=5),$D2189*$E2189/$C2189-1,NA()),NA())</ns0:f>
        <ns0:v/>
      </ns0:c>
      <ns0:c r="C2189">
        <ns0:f>IFERROR(IF(ISNUMBER($A2189),IF(AND(AH!$P$10=1,AH!$P$12=1,$A2189=TODAY()),AH!$P$19,IF(AH!$P$10=1,INDEX('Live History'!$B$5:$B$3004,AH!$P$13+2184),INDEX('AH History'!$B$1:$B$18046,AH!$P$7+2184))),NA()),NA())</ns0:f>
        <ns0:v/>
      </ns0:c>
      <ns0:c r="D2189">
        <ns0:f>IFERROR(IF(ISNUMBER($A2189),IF(AND(AH!$P$10=1,AH!$P$12=1,$A2189=TODAY()),AH!$P$18,IF(AH!$P$10=1,INDEX('Live History'!$E$5:$E$3004,MATCH($A2189,'Live History'!$D$5:$D$3004,1)),INDEX('AH History'!$C$1:$C$18046,AH!$P$7+2184))),NA()),NA())</ns0:f>
        <ns0:v/>
      </ns0:c>
      <ns0:c r="E2189">
        <ns0:f>IFERROR(IF(ISNUMBER($A2189),IF(AND(AH!$P$10=1,AH!$P$12=1,$A2189=TODAY()),AH!$P$20,IF(AH!$P$10=1,INDEX('Live History'!$H$5:$H$3004,MATCH($A2189,'Live History'!$G$5:$G$3004,1)),INDEX('AH History'!$D$1:$D$18046,AH!$P$7+2184))),NA()),NA())</ns0:f>
        <ns0:v/>
      </ns0:c>
      <ns0:c r="F2189">
        <ns0:f>IFERROR(IF(ISNUMBER($A2189),IF(AND(AH!$P$10=1,AH!$P$12=1,$A2189=TODAY()),IF(AND(AH!$P$10=1,AH!$P$12=1,$A2189=TODAY()),TODAY(),NA()),IF(AH!$P$10=1,INDEX('Live History'!$D$5:$D$3004,MATCH($A2189,'Live History'!$D$5:$D$3004,1)),INDEX('AH History'!$E$1:$E$18046,AH!$P$7+2184))),NA()),NA())</ns0:f>
        <ns0:v/>
      </ns0:c>
      <ns0:c r="G2189">
        <ns0:f>IFERROR(IF(ISNUMBER($A2189),IF(AND(AH!$P$10=1,AH!$P$12=1,$A2189=TODAY()),IF(AND(AH!$P$10=1,AH!$P$12=1,$A2189=TODAY()),TODAY(),NA()),IF(AH!$P$10=1,INDEX('Live History'!$G$5:$G$3004,MATCH($A2189,'Live History'!$G$5:$G$3004,1)),INDEX('AH History'!$F$1:$F$18046,AH!$P$7+2184))),NA()),NA())</ns0:f>
        <ns0:v/>
      </ns0:c>
      <ns0:c r="H2189">
        <ns0:f>IFERROR(IF(AND(AH!$E$4="Bloomberg",AH!$P$10=1,ISNUMBER($A2189),$A2189&lt;=AH!$P$17),AH!$P$7-1+MATCH($A2189,INDEX('AH History'!$A$1:$A$18046,AH!$P$7):INDEX('AH History'!$A$1:$A$18046,AH!$P$7+AH!$P$8-1),0),0),0)</ns0:f>
        <ns0:v/>
      </ns0:c>
      <ns0:c r="I2189">
        <ns0:f>IF($H2189=0,0,IFERROR(IF(AND(ABS($C2189-INDEX('AH History'!$B$1:$B$18046,$H2189))&lt;=MAX(0.005,ABS(INDEX('AH History'!$B$1:$B$18046,$H2189))*0.00005),ABS($D2189-INDEX('AH History'!$C$1:$C$18046,$H2189))&lt;=MAX(0.005,ABS(INDEX('AH History'!$C$1:$C$18046,$H2189))*0.00005),ABS($E2189-INDEX('AH History'!$D$1:$D$18046,$H2189))&lt;=0.00005,$F2189=INDEX('AH History'!$E$1:$E$18046,$H2189),$G2189=INDEX('AH History'!$F$1:$F$18046,$H2189)),1,-1),-1))</ns0:f>
        <ns0:v/>
      </ns0:c>
    </ns0:row>
    <ns0:row r="2190">
      <ns0:c r="A2190" s="215">
        <ns0:f>IF(OR(AH!$P$3=0,2185+1&gt;AH!$P$11,AND(AH!$E$4&lt;&gt;"Stored",AH!$P$10&lt;&gt;1)),"",IFERROR(IF(AND(AH!$P$21=1,2185+1=AH!$P$11),TODAY(),IF(AH!$P$10=1,INDEX('Live History'!$A$5:$A$3004,AH!$P$13+2185),INDEX('AH History'!$A$1:$A$18046,AH!$P$7+2185))),""))</ns0:f>
        <ns0:v/>
      </ns0:c>
      <ns0:c r="B2190" s="219">
        <ns0:f>IFERROR(IF(AND(AH!$P$9&lt;&gt;1,$C2190&gt;0,$D2190&gt;0,$E2190&gt;0,$F2190&gt;0,$G2190&gt;0,$F2190&lt;=$A2190,$G2190&lt;=$A2190,$A2190-$F2190&lt;=10,$A2190-$G2190&lt;=5),$D2190*$E2190/$C2190-1,NA()),NA())</ns0:f>
        <ns0:v/>
      </ns0:c>
      <ns0:c r="C2190">
        <ns0:f>IFERROR(IF(ISNUMBER($A2190),IF(AND(AH!$P$10=1,AH!$P$12=1,$A2190=TODAY()),AH!$P$19,IF(AH!$P$10=1,INDEX('Live History'!$B$5:$B$3004,AH!$P$13+2185),INDEX('AH History'!$B$1:$B$18046,AH!$P$7+2185))),NA()),NA())</ns0:f>
        <ns0:v/>
      </ns0:c>
      <ns0:c r="D2190">
        <ns0:f>IFERROR(IF(ISNUMBER($A2190),IF(AND(AH!$P$10=1,AH!$P$12=1,$A2190=TODAY()),AH!$P$18,IF(AH!$P$10=1,INDEX('Live History'!$E$5:$E$3004,MATCH($A2190,'Live History'!$D$5:$D$3004,1)),INDEX('AH History'!$C$1:$C$18046,AH!$P$7+2185))),NA()),NA())</ns0:f>
        <ns0:v/>
      </ns0:c>
      <ns0:c r="E2190">
        <ns0:f>IFERROR(IF(ISNUMBER($A2190),IF(AND(AH!$P$10=1,AH!$P$12=1,$A2190=TODAY()),AH!$P$20,IF(AH!$P$10=1,INDEX('Live History'!$H$5:$H$3004,MATCH($A2190,'Live History'!$G$5:$G$3004,1)),INDEX('AH History'!$D$1:$D$18046,AH!$P$7+2185))),NA()),NA())</ns0:f>
        <ns0:v/>
      </ns0:c>
      <ns0:c r="F2190">
        <ns0:f>IFERROR(IF(ISNUMBER($A2190),IF(AND(AH!$P$10=1,AH!$P$12=1,$A2190=TODAY()),IF(AND(AH!$P$10=1,AH!$P$12=1,$A2190=TODAY()),TODAY(),NA()),IF(AH!$P$10=1,INDEX('Live History'!$D$5:$D$3004,MATCH($A2190,'Live History'!$D$5:$D$3004,1)),INDEX('AH History'!$E$1:$E$18046,AH!$P$7+2185))),NA()),NA())</ns0:f>
        <ns0:v/>
      </ns0:c>
      <ns0:c r="G2190">
        <ns0:f>IFERROR(IF(ISNUMBER($A2190),IF(AND(AH!$P$10=1,AH!$P$12=1,$A2190=TODAY()),IF(AND(AH!$P$10=1,AH!$P$12=1,$A2190=TODAY()),TODAY(),NA()),IF(AH!$P$10=1,INDEX('Live History'!$G$5:$G$3004,MATCH($A2190,'Live History'!$G$5:$G$3004,1)),INDEX('AH History'!$F$1:$F$18046,AH!$P$7+2185))),NA()),NA())</ns0:f>
        <ns0:v/>
      </ns0:c>
      <ns0:c r="H2190">
        <ns0:f>IFERROR(IF(AND(AH!$E$4="Bloomberg",AH!$P$10=1,ISNUMBER($A2190),$A2190&lt;=AH!$P$17),AH!$P$7-1+MATCH($A2190,INDEX('AH History'!$A$1:$A$18046,AH!$P$7):INDEX('AH History'!$A$1:$A$18046,AH!$P$7+AH!$P$8-1),0),0),0)</ns0:f>
        <ns0:v/>
      </ns0:c>
      <ns0:c r="I2190">
        <ns0:f>IF($H2190=0,0,IFERROR(IF(AND(ABS($C2190-INDEX('AH History'!$B$1:$B$18046,$H2190))&lt;=MAX(0.005,ABS(INDEX('AH History'!$B$1:$B$18046,$H2190))*0.00005),ABS($D2190-INDEX('AH History'!$C$1:$C$18046,$H2190))&lt;=MAX(0.005,ABS(INDEX('AH History'!$C$1:$C$18046,$H2190))*0.00005),ABS($E2190-INDEX('AH History'!$D$1:$D$18046,$H2190))&lt;=0.00005,$F2190=INDEX('AH History'!$E$1:$E$18046,$H2190),$G2190=INDEX('AH History'!$F$1:$F$18046,$H2190)),1,-1),-1))</ns0:f>
        <ns0:v/>
      </ns0:c>
    </ns0:row>
    <ns0:row r="2191">
      <ns0:c r="A2191" s="215">
        <ns0:f>IF(OR(AH!$P$3=0,2186+1&gt;AH!$P$11,AND(AH!$E$4&lt;&gt;"Stored",AH!$P$10&lt;&gt;1)),"",IFERROR(IF(AND(AH!$P$21=1,2186+1=AH!$P$11),TODAY(),IF(AH!$P$10=1,INDEX('Live History'!$A$5:$A$3004,AH!$P$13+2186),INDEX('AH History'!$A$1:$A$18046,AH!$P$7+2186))),""))</ns0:f>
        <ns0:v/>
      </ns0:c>
      <ns0:c r="B2191" s="219">
        <ns0:f>IFERROR(IF(AND(AH!$P$9&lt;&gt;1,$C2191&gt;0,$D2191&gt;0,$E2191&gt;0,$F2191&gt;0,$G2191&gt;0,$F2191&lt;=$A2191,$G2191&lt;=$A2191,$A2191-$F2191&lt;=10,$A2191-$G2191&lt;=5),$D2191*$E2191/$C2191-1,NA()),NA())</ns0:f>
        <ns0:v/>
      </ns0:c>
      <ns0:c r="C2191">
        <ns0:f>IFERROR(IF(ISNUMBER($A2191),IF(AND(AH!$P$10=1,AH!$P$12=1,$A2191=TODAY()),AH!$P$19,IF(AH!$P$10=1,INDEX('Live History'!$B$5:$B$3004,AH!$P$13+2186),INDEX('AH History'!$B$1:$B$18046,AH!$P$7+2186))),NA()),NA())</ns0:f>
        <ns0:v/>
      </ns0:c>
      <ns0:c r="D2191">
        <ns0:f>IFERROR(IF(ISNUMBER($A2191),IF(AND(AH!$P$10=1,AH!$P$12=1,$A2191=TODAY()),AH!$P$18,IF(AH!$P$10=1,INDEX('Live History'!$E$5:$E$3004,MATCH($A2191,'Live History'!$D$5:$D$3004,1)),INDEX('AH History'!$C$1:$C$18046,AH!$P$7+2186))),NA()),NA())</ns0:f>
        <ns0:v/>
      </ns0:c>
      <ns0:c r="E2191">
        <ns0:f>IFERROR(IF(ISNUMBER($A2191),IF(AND(AH!$P$10=1,AH!$P$12=1,$A2191=TODAY()),AH!$P$20,IF(AH!$P$10=1,INDEX('Live History'!$H$5:$H$3004,MATCH($A2191,'Live History'!$G$5:$G$3004,1)),INDEX('AH History'!$D$1:$D$18046,AH!$P$7+2186))),NA()),NA())</ns0:f>
        <ns0:v/>
      </ns0:c>
      <ns0:c r="F2191">
        <ns0:f>IFERROR(IF(ISNUMBER($A2191),IF(AND(AH!$P$10=1,AH!$P$12=1,$A2191=TODAY()),IF(AND(AH!$P$10=1,AH!$P$12=1,$A2191=TODAY()),TODAY(),NA()),IF(AH!$P$10=1,INDEX('Live History'!$D$5:$D$3004,MATCH($A2191,'Live History'!$D$5:$D$3004,1)),INDEX('AH History'!$E$1:$E$18046,AH!$P$7+2186))),NA()),NA())</ns0:f>
        <ns0:v/>
      </ns0:c>
      <ns0:c r="G2191">
        <ns0:f>IFERROR(IF(ISNUMBER($A2191),IF(AND(AH!$P$10=1,AH!$P$12=1,$A2191=TODAY()),IF(AND(AH!$P$10=1,AH!$P$12=1,$A2191=TODAY()),TODAY(),NA()),IF(AH!$P$10=1,INDEX('Live History'!$G$5:$G$3004,MATCH($A2191,'Live History'!$G$5:$G$3004,1)),INDEX('AH History'!$F$1:$F$18046,AH!$P$7+2186))),NA()),NA())</ns0:f>
        <ns0:v/>
      </ns0:c>
      <ns0:c r="H2191">
        <ns0:f>IFERROR(IF(AND(AH!$E$4="Bloomberg",AH!$P$10=1,ISNUMBER($A2191),$A2191&lt;=AH!$P$17),AH!$P$7-1+MATCH($A2191,INDEX('AH History'!$A$1:$A$18046,AH!$P$7):INDEX('AH History'!$A$1:$A$18046,AH!$P$7+AH!$P$8-1),0),0),0)</ns0:f>
        <ns0:v/>
      </ns0:c>
      <ns0:c r="I2191">
        <ns0:f>IF($H2191=0,0,IFERROR(IF(AND(ABS($C2191-INDEX('AH History'!$B$1:$B$18046,$H2191))&lt;=MAX(0.005,ABS(INDEX('AH History'!$B$1:$B$18046,$H2191))*0.00005),ABS($D2191-INDEX('AH History'!$C$1:$C$18046,$H2191))&lt;=MAX(0.005,ABS(INDEX('AH History'!$C$1:$C$18046,$H2191))*0.00005),ABS($E2191-INDEX('AH History'!$D$1:$D$18046,$H2191))&lt;=0.00005,$F2191=INDEX('AH History'!$E$1:$E$18046,$H2191),$G2191=INDEX('AH History'!$F$1:$F$18046,$H2191)),1,-1),-1))</ns0:f>
        <ns0:v/>
      </ns0:c>
    </ns0:row>
    <ns0:row r="2192">
      <ns0:c r="A2192" s="215">
        <ns0:f>IF(OR(AH!$P$3=0,2187+1&gt;AH!$P$11,AND(AH!$E$4&lt;&gt;"Stored",AH!$P$10&lt;&gt;1)),"",IFERROR(IF(AND(AH!$P$21=1,2187+1=AH!$P$11),TODAY(),IF(AH!$P$10=1,INDEX('Live History'!$A$5:$A$3004,AH!$P$13+2187),INDEX('AH History'!$A$1:$A$18046,AH!$P$7+2187))),""))</ns0:f>
        <ns0:v/>
      </ns0:c>
      <ns0:c r="B2192" s="219">
        <ns0:f>IFERROR(IF(AND(AH!$P$9&lt;&gt;1,$C2192&gt;0,$D2192&gt;0,$E2192&gt;0,$F2192&gt;0,$G2192&gt;0,$F2192&lt;=$A2192,$G2192&lt;=$A2192,$A2192-$F2192&lt;=10,$A2192-$G2192&lt;=5),$D2192*$E2192/$C2192-1,NA()),NA())</ns0:f>
        <ns0:v/>
      </ns0:c>
      <ns0:c r="C2192">
        <ns0:f>IFERROR(IF(ISNUMBER($A2192),IF(AND(AH!$P$10=1,AH!$P$12=1,$A2192=TODAY()),AH!$P$19,IF(AH!$P$10=1,INDEX('Live History'!$B$5:$B$3004,AH!$P$13+2187),INDEX('AH History'!$B$1:$B$18046,AH!$P$7+2187))),NA()),NA())</ns0:f>
        <ns0:v/>
      </ns0:c>
      <ns0:c r="D2192">
        <ns0:f>IFERROR(IF(ISNUMBER($A2192),IF(AND(AH!$P$10=1,AH!$P$12=1,$A2192=TODAY()),AH!$P$18,IF(AH!$P$10=1,INDEX('Live History'!$E$5:$E$3004,MATCH($A2192,'Live History'!$D$5:$D$3004,1)),INDEX('AH History'!$C$1:$C$18046,AH!$P$7+2187))),NA()),NA())</ns0:f>
        <ns0:v/>
      </ns0:c>
      <ns0:c r="E2192">
        <ns0:f>IFERROR(IF(ISNUMBER($A2192),IF(AND(AH!$P$10=1,AH!$P$12=1,$A2192=TODAY()),AH!$P$20,IF(AH!$P$10=1,INDEX('Live History'!$H$5:$H$3004,MATCH($A2192,'Live History'!$G$5:$G$3004,1)),INDEX('AH History'!$D$1:$D$18046,AH!$P$7+2187))),NA()),NA())</ns0:f>
        <ns0:v/>
      </ns0:c>
      <ns0:c r="F2192">
        <ns0:f>IFERROR(IF(ISNUMBER($A2192),IF(AND(AH!$P$10=1,AH!$P$12=1,$A2192=TODAY()),IF(AND(AH!$P$10=1,AH!$P$12=1,$A2192=TODAY()),TODAY(),NA()),IF(AH!$P$10=1,INDEX('Live History'!$D$5:$D$3004,MATCH($A2192,'Live History'!$D$5:$D$3004,1)),INDEX('AH History'!$E$1:$E$18046,AH!$P$7+2187))),NA()),NA())</ns0:f>
        <ns0:v/>
      </ns0:c>
      <ns0:c r="G2192">
        <ns0:f>IFERROR(IF(ISNUMBER($A2192),IF(AND(AH!$P$10=1,AH!$P$12=1,$A2192=TODAY()),IF(AND(AH!$P$10=1,AH!$P$12=1,$A2192=TODAY()),TODAY(),NA()),IF(AH!$P$10=1,INDEX('Live History'!$G$5:$G$3004,MATCH($A2192,'Live History'!$G$5:$G$3004,1)),INDEX('AH History'!$F$1:$F$18046,AH!$P$7+2187))),NA()),NA())</ns0:f>
        <ns0:v/>
      </ns0:c>
      <ns0:c r="H2192">
        <ns0:f>IFERROR(IF(AND(AH!$E$4="Bloomberg",AH!$P$10=1,ISNUMBER($A2192),$A2192&lt;=AH!$P$17),AH!$P$7-1+MATCH($A2192,INDEX('AH History'!$A$1:$A$18046,AH!$P$7):INDEX('AH History'!$A$1:$A$18046,AH!$P$7+AH!$P$8-1),0),0),0)</ns0:f>
        <ns0:v/>
      </ns0:c>
      <ns0:c r="I2192">
        <ns0:f>IF($H2192=0,0,IFERROR(IF(AND(ABS($C2192-INDEX('AH History'!$B$1:$B$18046,$H2192))&lt;=MAX(0.005,ABS(INDEX('AH History'!$B$1:$B$18046,$H2192))*0.00005),ABS($D2192-INDEX('AH History'!$C$1:$C$18046,$H2192))&lt;=MAX(0.005,ABS(INDEX('AH History'!$C$1:$C$18046,$H2192))*0.00005),ABS($E2192-INDEX('AH History'!$D$1:$D$18046,$H2192))&lt;=0.00005,$F2192=INDEX('AH History'!$E$1:$E$18046,$H2192),$G2192=INDEX('AH History'!$F$1:$F$18046,$H2192)),1,-1),-1))</ns0:f>
        <ns0:v/>
      </ns0:c>
    </ns0:row>
    <ns0:row r="2193">
      <ns0:c r="A2193" s="215">
        <ns0:f>IF(OR(AH!$P$3=0,2188+1&gt;AH!$P$11,AND(AH!$E$4&lt;&gt;"Stored",AH!$P$10&lt;&gt;1)),"",IFERROR(IF(AND(AH!$P$21=1,2188+1=AH!$P$11),TODAY(),IF(AH!$P$10=1,INDEX('Live History'!$A$5:$A$3004,AH!$P$13+2188),INDEX('AH History'!$A$1:$A$18046,AH!$P$7+2188))),""))</ns0:f>
        <ns0:v/>
      </ns0:c>
      <ns0:c r="B2193" s="219">
        <ns0:f>IFERROR(IF(AND(AH!$P$9&lt;&gt;1,$C2193&gt;0,$D2193&gt;0,$E2193&gt;0,$F2193&gt;0,$G2193&gt;0,$F2193&lt;=$A2193,$G2193&lt;=$A2193,$A2193-$F2193&lt;=10,$A2193-$G2193&lt;=5),$D2193*$E2193/$C2193-1,NA()),NA())</ns0:f>
        <ns0:v/>
      </ns0:c>
      <ns0:c r="C2193">
        <ns0:f>IFERROR(IF(ISNUMBER($A2193),IF(AND(AH!$P$10=1,AH!$P$12=1,$A2193=TODAY()),AH!$P$19,IF(AH!$P$10=1,INDEX('Live History'!$B$5:$B$3004,AH!$P$13+2188),INDEX('AH History'!$B$1:$B$18046,AH!$P$7+2188))),NA()),NA())</ns0:f>
        <ns0:v/>
      </ns0:c>
      <ns0:c r="D2193">
        <ns0:f>IFERROR(IF(ISNUMBER($A2193),IF(AND(AH!$P$10=1,AH!$P$12=1,$A2193=TODAY()),AH!$P$18,IF(AH!$P$10=1,INDEX('Live History'!$E$5:$E$3004,MATCH($A2193,'Live History'!$D$5:$D$3004,1)),INDEX('AH History'!$C$1:$C$18046,AH!$P$7+2188))),NA()),NA())</ns0:f>
        <ns0:v/>
      </ns0:c>
      <ns0:c r="E2193">
        <ns0:f>IFERROR(IF(ISNUMBER($A2193),IF(AND(AH!$P$10=1,AH!$P$12=1,$A2193=TODAY()),AH!$P$20,IF(AH!$P$10=1,INDEX('Live History'!$H$5:$H$3004,MATCH($A2193,'Live History'!$G$5:$G$3004,1)),INDEX('AH History'!$D$1:$D$18046,AH!$P$7+2188))),NA()),NA())</ns0:f>
        <ns0:v/>
      </ns0:c>
      <ns0:c r="F2193">
        <ns0:f>IFERROR(IF(ISNUMBER($A2193),IF(AND(AH!$P$10=1,AH!$P$12=1,$A2193=TODAY()),IF(AND(AH!$P$10=1,AH!$P$12=1,$A2193=TODAY()),TODAY(),NA()),IF(AH!$P$10=1,INDEX('Live History'!$D$5:$D$3004,MATCH($A2193,'Live History'!$D$5:$D$3004,1)),INDEX('AH History'!$E$1:$E$18046,AH!$P$7+2188))),NA()),NA())</ns0:f>
        <ns0:v/>
      </ns0:c>
      <ns0:c r="G2193">
        <ns0:f>IFERROR(IF(ISNUMBER($A2193),IF(AND(AH!$P$10=1,AH!$P$12=1,$A2193=TODAY()),IF(AND(AH!$P$10=1,AH!$P$12=1,$A2193=TODAY()),TODAY(),NA()),IF(AH!$P$10=1,INDEX('Live History'!$G$5:$G$3004,MATCH($A2193,'Live History'!$G$5:$G$3004,1)),INDEX('AH History'!$F$1:$F$18046,AH!$P$7+2188))),NA()),NA())</ns0:f>
        <ns0:v/>
      </ns0:c>
      <ns0:c r="H2193">
        <ns0:f>IFERROR(IF(AND(AH!$E$4="Bloomberg",AH!$P$10=1,ISNUMBER($A2193),$A2193&lt;=AH!$P$17),AH!$P$7-1+MATCH($A2193,INDEX('AH History'!$A$1:$A$18046,AH!$P$7):INDEX('AH History'!$A$1:$A$18046,AH!$P$7+AH!$P$8-1),0),0),0)</ns0:f>
        <ns0:v/>
      </ns0:c>
      <ns0:c r="I2193">
        <ns0:f>IF($H2193=0,0,IFERROR(IF(AND(ABS($C2193-INDEX('AH History'!$B$1:$B$18046,$H2193))&lt;=MAX(0.005,ABS(INDEX('AH History'!$B$1:$B$18046,$H2193))*0.00005),ABS($D2193-INDEX('AH History'!$C$1:$C$18046,$H2193))&lt;=MAX(0.005,ABS(INDEX('AH History'!$C$1:$C$18046,$H2193))*0.00005),ABS($E2193-INDEX('AH History'!$D$1:$D$18046,$H2193))&lt;=0.00005,$F2193=INDEX('AH History'!$E$1:$E$18046,$H2193),$G2193=INDEX('AH History'!$F$1:$F$18046,$H2193)),1,-1),-1))</ns0:f>
        <ns0:v/>
      </ns0:c>
    </ns0:row>
    <ns0:row r="2194">
      <ns0:c r="A2194" s="215">
        <ns0:f>IF(OR(AH!$P$3=0,2189+1&gt;AH!$P$11,AND(AH!$E$4&lt;&gt;"Stored",AH!$P$10&lt;&gt;1)),"",IFERROR(IF(AND(AH!$P$21=1,2189+1=AH!$P$11),TODAY(),IF(AH!$P$10=1,INDEX('Live History'!$A$5:$A$3004,AH!$P$13+2189),INDEX('AH History'!$A$1:$A$18046,AH!$P$7+2189))),""))</ns0:f>
        <ns0:v/>
      </ns0:c>
      <ns0:c r="B2194" s="219">
        <ns0:f>IFERROR(IF(AND(AH!$P$9&lt;&gt;1,$C2194&gt;0,$D2194&gt;0,$E2194&gt;0,$F2194&gt;0,$G2194&gt;0,$F2194&lt;=$A2194,$G2194&lt;=$A2194,$A2194-$F2194&lt;=10,$A2194-$G2194&lt;=5),$D2194*$E2194/$C2194-1,NA()),NA())</ns0:f>
        <ns0:v/>
      </ns0:c>
      <ns0:c r="C2194">
        <ns0:f>IFERROR(IF(ISNUMBER($A2194),IF(AND(AH!$P$10=1,AH!$P$12=1,$A2194=TODAY()),AH!$P$19,IF(AH!$P$10=1,INDEX('Live History'!$B$5:$B$3004,AH!$P$13+2189),INDEX('AH History'!$B$1:$B$18046,AH!$P$7+2189))),NA()),NA())</ns0:f>
        <ns0:v/>
      </ns0:c>
      <ns0:c r="D2194">
        <ns0:f>IFERROR(IF(ISNUMBER($A2194),IF(AND(AH!$P$10=1,AH!$P$12=1,$A2194=TODAY()),AH!$P$18,IF(AH!$P$10=1,INDEX('Live History'!$E$5:$E$3004,MATCH($A2194,'Live History'!$D$5:$D$3004,1)),INDEX('AH History'!$C$1:$C$18046,AH!$P$7+2189))),NA()),NA())</ns0:f>
        <ns0:v/>
      </ns0:c>
      <ns0:c r="E2194">
        <ns0:f>IFERROR(IF(ISNUMBER($A2194),IF(AND(AH!$P$10=1,AH!$P$12=1,$A2194=TODAY()),AH!$P$20,IF(AH!$P$10=1,INDEX('Live History'!$H$5:$H$3004,MATCH($A2194,'Live History'!$G$5:$G$3004,1)),INDEX('AH History'!$D$1:$D$18046,AH!$P$7+2189))),NA()),NA())</ns0:f>
        <ns0:v/>
      </ns0:c>
      <ns0:c r="F2194">
        <ns0:f>IFERROR(IF(ISNUMBER($A2194),IF(AND(AH!$P$10=1,AH!$P$12=1,$A2194=TODAY()),IF(AND(AH!$P$10=1,AH!$P$12=1,$A2194=TODAY()),TODAY(),NA()),IF(AH!$P$10=1,INDEX('Live History'!$D$5:$D$3004,MATCH($A2194,'Live History'!$D$5:$D$3004,1)),INDEX('AH History'!$E$1:$E$18046,AH!$P$7+2189))),NA()),NA())</ns0:f>
        <ns0:v/>
      </ns0:c>
      <ns0:c r="G2194">
        <ns0:f>IFERROR(IF(ISNUMBER($A2194),IF(AND(AH!$P$10=1,AH!$P$12=1,$A2194=TODAY()),IF(AND(AH!$P$10=1,AH!$P$12=1,$A2194=TODAY()),TODAY(),NA()),IF(AH!$P$10=1,INDEX('Live History'!$G$5:$G$3004,MATCH($A2194,'Live History'!$G$5:$G$3004,1)),INDEX('AH History'!$F$1:$F$18046,AH!$P$7+2189))),NA()),NA())</ns0:f>
        <ns0:v/>
      </ns0:c>
      <ns0:c r="H2194">
        <ns0:f>IFERROR(IF(AND(AH!$E$4="Bloomberg",AH!$P$10=1,ISNUMBER($A2194),$A2194&lt;=AH!$P$17),AH!$P$7-1+MATCH($A2194,INDEX('AH History'!$A$1:$A$18046,AH!$P$7):INDEX('AH History'!$A$1:$A$18046,AH!$P$7+AH!$P$8-1),0),0),0)</ns0:f>
        <ns0:v/>
      </ns0:c>
      <ns0:c r="I2194">
        <ns0:f>IF($H2194=0,0,IFERROR(IF(AND(ABS($C2194-INDEX('AH History'!$B$1:$B$18046,$H2194))&lt;=MAX(0.005,ABS(INDEX('AH History'!$B$1:$B$18046,$H2194))*0.00005),ABS($D2194-INDEX('AH History'!$C$1:$C$18046,$H2194))&lt;=MAX(0.005,ABS(INDEX('AH History'!$C$1:$C$18046,$H2194))*0.00005),ABS($E2194-INDEX('AH History'!$D$1:$D$18046,$H2194))&lt;=0.00005,$F2194=INDEX('AH History'!$E$1:$E$18046,$H2194),$G2194=INDEX('AH History'!$F$1:$F$18046,$H2194)),1,-1),-1))</ns0:f>
        <ns0:v/>
      </ns0:c>
    </ns0:row>
    <ns0:row r="2195">
      <ns0:c r="A2195" s="215">
        <ns0:f>IF(OR(AH!$P$3=0,2190+1&gt;AH!$P$11,AND(AH!$E$4&lt;&gt;"Stored",AH!$P$10&lt;&gt;1)),"",IFERROR(IF(AND(AH!$P$21=1,2190+1=AH!$P$11),TODAY(),IF(AH!$P$10=1,INDEX('Live History'!$A$5:$A$3004,AH!$P$13+2190),INDEX('AH History'!$A$1:$A$18046,AH!$P$7+2190))),""))</ns0:f>
        <ns0:v/>
      </ns0:c>
      <ns0:c r="B2195" s="219">
        <ns0:f>IFERROR(IF(AND(AH!$P$9&lt;&gt;1,$C2195&gt;0,$D2195&gt;0,$E2195&gt;0,$F2195&gt;0,$G2195&gt;0,$F2195&lt;=$A2195,$G2195&lt;=$A2195,$A2195-$F2195&lt;=10,$A2195-$G2195&lt;=5),$D2195*$E2195/$C2195-1,NA()),NA())</ns0:f>
        <ns0:v/>
      </ns0:c>
      <ns0:c r="C2195">
        <ns0:f>IFERROR(IF(ISNUMBER($A2195),IF(AND(AH!$P$10=1,AH!$P$12=1,$A2195=TODAY()),AH!$P$19,IF(AH!$P$10=1,INDEX('Live History'!$B$5:$B$3004,AH!$P$13+2190),INDEX('AH History'!$B$1:$B$18046,AH!$P$7+2190))),NA()),NA())</ns0:f>
        <ns0:v/>
      </ns0:c>
      <ns0:c r="D2195">
        <ns0:f>IFERROR(IF(ISNUMBER($A2195),IF(AND(AH!$P$10=1,AH!$P$12=1,$A2195=TODAY()),AH!$P$18,IF(AH!$P$10=1,INDEX('Live History'!$E$5:$E$3004,MATCH($A2195,'Live History'!$D$5:$D$3004,1)),INDEX('AH History'!$C$1:$C$18046,AH!$P$7+2190))),NA()),NA())</ns0:f>
        <ns0:v/>
      </ns0:c>
      <ns0:c r="E2195">
        <ns0:f>IFERROR(IF(ISNUMBER($A2195),IF(AND(AH!$P$10=1,AH!$P$12=1,$A2195=TODAY()),AH!$P$20,IF(AH!$P$10=1,INDEX('Live History'!$H$5:$H$3004,MATCH($A2195,'Live History'!$G$5:$G$3004,1)),INDEX('AH History'!$D$1:$D$18046,AH!$P$7+2190))),NA()),NA())</ns0:f>
        <ns0:v/>
      </ns0:c>
      <ns0:c r="F2195">
        <ns0:f>IFERROR(IF(ISNUMBER($A2195),IF(AND(AH!$P$10=1,AH!$P$12=1,$A2195=TODAY()),IF(AND(AH!$P$10=1,AH!$P$12=1,$A2195=TODAY()),TODAY(),NA()),IF(AH!$P$10=1,INDEX('Live History'!$D$5:$D$3004,MATCH($A2195,'Live History'!$D$5:$D$3004,1)),INDEX('AH History'!$E$1:$E$18046,AH!$P$7+2190))),NA()),NA())</ns0:f>
        <ns0:v/>
      </ns0:c>
      <ns0:c r="G2195">
        <ns0:f>IFERROR(IF(ISNUMBER($A2195),IF(AND(AH!$P$10=1,AH!$P$12=1,$A2195=TODAY()),IF(AND(AH!$P$10=1,AH!$P$12=1,$A2195=TODAY()),TODAY(),NA()),IF(AH!$P$10=1,INDEX('Live History'!$G$5:$G$3004,MATCH($A2195,'Live History'!$G$5:$G$3004,1)),INDEX('AH History'!$F$1:$F$18046,AH!$P$7+2190))),NA()),NA())</ns0:f>
        <ns0:v/>
      </ns0:c>
      <ns0:c r="H2195">
        <ns0:f>IFERROR(IF(AND(AH!$E$4="Bloomberg",AH!$P$10=1,ISNUMBER($A2195),$A2195&lt;=AH!$P$17),AH!$P$7-1+MATCH($A2195,INDEX('AH History'!$A$1:$A$18046,AH!$P$7):INDEX('AH History'!$A$1:$A$18046,AH!$P$7+AH!$P$8-1),0),0),0)</ns0:f>
        <ns0:v/>
      </ns0:c>
      <ns0:c r="I2195">
        <ns0:f>IF($H2195=0,0,IFERROR(IF(AND(ABS($C2195-INDEX('AH History'!$B$1:$B$18046,$H2195))&lt;=MAX(0.005,ABS(INDEX('AH History'!$B$1:$B$18046,$H2195))*0.00005),ABS($D2195-INDEX('AH History'!$C$1:$C$18046,$H2195))&lt;=MAX(0.005,ABS(INDEX('AH History'!$C$1:$C$18046,$H2195))*0.00005),ABS($E2195-INDEX('AH History'!$D$1:$D$18046,$H2195))&lt;=0.00005,$F2195=INDEX('AH History'!$E$1:$E$18046,$H2195),$G2195=INDEX('AH History'!$F$1:$F$18046,$H2195)),1,-1),-1))</ns0:f>
        <ns0:v/>
      </ns0:c>
    </ns0:row>
    <ns0:row r="2196">
      <ns0:c r="A2196" s="215">
        <ns0:f>IF(OR(AH!$P$3=0,2191+1&gt;AH!$P$11,AND(AH!$E$4&lt;&gt;"Stored",AH!$P$10&lt;&gt;1)),"",IFERROR(IF(AND(AH!$P$21=1,2191+1=AH!$P$11),TODAY(),IF(AH!$P$10=1,INDEX('Live History'!$A$5:$A$3004,AH!$P$13+2191),INDEX('AH History'!$A$1:$A$18046,AH!$P$7+2191))),""))</ns0:f>
        <ns0:v/>
      </ns0:c>
      <ns0:c r="B2196" s="219">
        <ns0:f>IFERROR(IF(AND(AH!$P$9&lt;&gt;1,$C2196&gt;0,$D2196&gt;0,$E2196&gt;0,$F2196&gt;0,$G2196&gt;0,$F2196&lt;=$A2196,$G2196&lt;=$A2196,$A2196-$F2196&lt;=10,$A2196-$G2196&lt;=5),$D2196*$E2196/$C2196-1,NA()),NA())</ns0:f>
        <ns0:v/>
      </ns0:c>
      <ns0:c r="C2196">
        <ns0:f>IFERROR(IF(ISNUMBER($A2196),IF(AND(AH!$P$10=1,AH!$P$12=1,$A2196=TODAY()),AH!$P$19,IF(AH!$P$10=1,INDEX('Live History'!$B$5:$B$3004,AH!$P$13+2191),INDEX('AH History'!$B$1:$B$18046,AH!$P$7+2191))),NA()),NA())</ns0:f>
        <ns0:v/>
      </ns0:c>
      <ns0:c r="D2196">
        <ns0:f>IFERROR(IF(ISNUMBER($A2196),IF(AND(AH!$P$10=1,AH!$P$12=1,$A2196=TODAY()),AH!$P$18,IF(AH!$P$10=1,INDEX('Live History'!$E$5:$E$3004,MATCH($A2196,'Live History'!$D$5:$D$3004,1)),INDEX('AH History'!$C$1:$C$18046,AH!$P$7+2191))),NA()),NA())</ns0:f>
        <ns0:v/>
      </ns0:c>
      <ns0:c r="E2196">
        <ns0:f>IFERROR(IF(ISNUMBER($A2196),IF(AND(AH!$P$10=1,AH!$P$12=1,$A2196=TODAY()),AH!$P$20,IF(AH!$P$10=1,INDEX('Live History'!$H$5:$H$3004,MATCH($A2196,'Live History'!$G$5:$G$3004,1)),INDEX('AH History'!$D$1:$D$18046,AH!$P$7+2191))),NA()),NA())</ns0:f>
        <ns0:v/>
      </ns0:c>
      <ns0:c r="F2196">
        <ns0:f>IFERROR(IF(ISNUMBER($A2196),IF(AND(AH!$P$10=1,AH!$P$12=1,$A2196=TODAY()),IF(AND(AH!$P$10=1,AH!$P$12=1,$A2196=TODAY()),TODAY(),NA()),IF(AH!$P$10=1,INDEX('Live History'!$D$5:$D$3004,MATCH($A2196,'Live History'!$D$5:$D$3004,1)),INDEX('AH History'!$E$1:$E$18046,AH!$P$7+2191))),NA()),NA())</ns0:f>
        <ns0:v/>
      </ns0:c>
      <ns0:c r="G2196">
        <ns0:f>IFERROR(IF(ISNUMBER($A2196),IF(AND(AH!$P$10=1,AH!$P$12=1,$A2196=TODAY()),IF(AND(AH!$P$10=1,AH!$P$12=1,$A2196=TODAY()),TODAY(),NA()),IF(AH!$P$10=1,INDEX('Live History'!$G$5:$G$3004,MATCH($A2196,'Live History'!$G$5:$G$3004,1)),INDEX('AH History'!$F$1:$F$18046,AH!$P$7+2191))),NA()),NA())</ns0:f>
        <ns0:v/>
      </ns0:c>
      <ns0:c r="H2196">
        <ns0:f>IFERROR(IF(AND(AH!$E$4="Bloomberg",AH!$P$10=1,ISNUMBER($A2196),$A2196&lt;=AH!$P$17),AH!$P$7-1+MATCH($A2196,INDEX('AH History'!$A$1:$A$18046,AH!$P$7):INDEX('AH History'!$A$1:$A$18046,AH!$P$7+AH!$P$8-1),0),0),0)</ns0:f>
        <ns0:v/>
      </ns0:c>
      <ns0:c r="I2196">
        <ns0:f>IF($H2196=0,0,IFERROR(IF(AND(ABS($C2196-INDEX('AH History'!$B$1:$B$18046,$H2196))&lt;=MAX(0.005,ABS(INDEX('AH History'!$B$1:$B$18046,$H2196))*0.00005),ABS($D2196-INDEX('AH History'!$C$1:$C$18046,$H2196))&lt;=MAX(0.005,ABS(INDEX('AH History'!$C$1:$C$18046,$H2196))*0.00005),ABS($E2196-INDEX('AH History'!$D$1:$D$18046,$H2196))&lt;=0.00005,$F2196=INDEX('AH History'!$E$1:$E$18046,$H2196),$G2196=INDEX('AH History'!$F$1:$F$18046,$H2196)),1,-1),-1))</ns0:f>
        <ns0:v/>
      </ns0:c>
    </ns0:row>
    <ns0:row r="2197">
      <ns0:c r="A2197" s="215">
        <ns0:f>IF(OR(AH!$P$3=0,2192+1&gt;AH!$P$11,AND(AH!$E$4&lt;&gt;"Stored",AH!$P$10&lt;&gt;1)),"",IFERROR(IF(AND(AH!$P$21=1,2192+1=AH!$P$11),TODAY(),IF(AH!$P$10=1,INDEX('Live History'!$A$5:$A$3004,AH!$P$13+2192),INDEX('AH History'!$A$1:$A$18046,AH!$P$7+2192))),""))</ns0:f>
        <ns0:v/>
      </ns0:c>
      <ns0:c r="B2197" s="219">
        <ns0:f>IFERROR(IF(AND(AH!$P$9&lt;&gt;1,$C2197&gt;0,$D2197&gt;0,$E2197&gt;0,$F2197&gt;0,$G2197&gt;0,$F2197&lt;=$A2197,$G2197&lt;=$A2197,$A2197-$F2197&lt;=10,$A2197-$G2197&lt;=5),$D2197*$E2197/$C2197-1,NA()),NA())</ns0:f>
        <ns0:v/>
      </ns0:c>
      <ns0:c r="C2197">
        <ns0:f>IFERROR(IF(ISNUMBER($A2197),IF(AND(AH!$P$10=1,AH!$P$12=1,$A2197=TODAY()),AH!$P$19,IF(AH!$P$10=1,INDEX('Live History'!$B$5:$B$3004,AH!$P$13+2192),INDEX('AH History'!$B$1:$B$18046,AH!$P$7+2192))),NA()),NA())</ns0:f>
        <ns0:v/>
      </ns0:c>
      <ns0:c r="D2197">
        <ns0:f>IFERROR(IF(ISNUMBER($A2197),IF(AND(AH!$P$10=1,AH!$P$12=1,$A2197=TODAY()),AH!$P$18,IF(AH!$P$10=1,INDEX('Live History'!$E$5:$E$3004,MATCH($A2197,'Live History'!$D$5:$D$3004,1)),INDEX('AH History'!$C$1:$C$18046,AH!$P$7+2192))),NA()),NA())</ns0:f>
        <ns0:v/>
      </ns0:c>
      <ns0:c r="E2197">
        <ns0:f>IFERROR(IF(ISNUMBER($A2197),IF(AND(AH!$P$10=1,AH!$P$12=1,$A2197=TODAY()),AH!$P$20,IF(AH!$P$10=1,INDEX('Live History'!$H$5:$H$3004,MATCH($A2197,'Live History'!$G$5:$G$3004,1)),INDEX('AH History'!$D$1:$D$18046,AH!$P$7+2192))),NA()),NA())</ns0:f>
        <ns0:v/>
      </ns0:c>
      <ns0:c r="F2197">
        <ns0:f>IFERROR(IF(ISNUMBER($A2197),IF(AND(AH!$P$10=1,AH!$P$12=1,$A2197=TODAY()),IF(AND(AH!$P$10=1,AH!$P$12=1,$A2197=TODAY()),TODAY(),NA()),IF(AH!$P$10=1,INDEX('Live History'!$D$5:$D$3004,MATCH($A2197,'Live History'!$D$5:$D$3004,1)),INDEX('AH History'!$E$1:$E$18046,AH!$P$7+2192))),NA()),NA())</ns0:f>
        <ns0:v/>
      </ns0:c>
      <ns0:c r="G2197">
        <ns0:f>IFERROR(IF(ISNUMBER($A2197),IF(AND(AH!$P$10=1,AH!$P$12=1,$A2197=TODAY()),IF(AND(AH!$P$10=1,AH!$P$12=1,$A2197=TODAY()),TODAY(),NA()),IF(AH!$P$10=1,INDEX('Live History'!$G$5:$G$3004,MATCH($A2197,'Live History'!$G$5:$G$3004,1)),INDEX('AH History'!$F$1:$F$18046,AH!$P$7+2192))),NA()),NA())</ns0:f>
        <ns0:v/>
      </ns0:c>
      <ns0:c r="H2197">
        <ns0:f>IFERROR(IF(AND(AH!$E$4="Bloomberg",AH!$P$10=1,ISNUMBER($A2197),$A2197&lt;=AH!$P$17),AH!$P$7-1+MATCH($A2197,INDEX('AH History'!$A$1:$A$18046,AH!$P$7):INDEX('AH History'!$A$1:$A$18046,AH!$P$7+AH!$P$8-1),0),0),0)</ns0:f>
        <ns0:v/>
      </ns0:c>
      <ns0:c r="I2197">
        <ns0:f>IF($H2197=0,0,IFERROR(IF(AND(ABS($C2197-INDEX('AH History'!$B$1:$B$18046,$H2197))&lt;=MAX(0.005,ABS(INDEX('AH History'!$B$1:$B$18046,$H2197))*0.00005),ABS($D2197-INDEX('AH History'!$C$1:$C$18046,$H2197))&lt;=MAX(0.005,ABS(INDEX('AH History'!$C$1:$C$18046,$H2197))*0.00005),ABS($E2197-INDEX('AH History'!$D$1:$D$18046,$H2197))&lt;=0.00005,$F2197=INDEX('AH History'!$E$1:$E$18046,$H2197),$G2197=INDEX('AH History'!$F$1:$F$18046,$H2197)),1,-1),-1))</ns0:f>
        <ns0:v/>
      </ns0:c>
    </ns0:row>
    <ns0:row r="2198">
      <ns0:c r="A2198" s="215">
        <ns0:f>IF(OR(AH!$P$3=0,2193+1&gt;AH!$P$11,AND(AH!$E$4&lt;&gt;"Stored",AH!$P$10&lt;&gt;1)),"",IFERROR(IF(AND(AH!$P$21=1,2193+1=AH!$P$11),TODAY(),IF(AH!$P$10=1,INDEX('Live History'!$A$5:$A$3004,AH!$P$13+2193),INDEX('AH History'!$A$1:$A$18046,AH!$P$7+2193))),""))</ns0:f>
        <ns0:v/>
      </ns0:c>
      <ns0:c r="B2198" s="219">
        <ns0:f>IFERROR(IF(AND(AH!$P$9&lt;&gt;1,$C2198&gt;0,$D2198&gt;0,$E2198&gt;0,$F2198&gt;0,$G2198&gt;0,$F2198&lt;=$A2198,$G2198&lt;=$A2198,$A2198-$F2198&lt;=10,$A2198-$G2198&lt;=5),$D2198*$E2198/$C2198-1,NA()),NA())</ns0:f>
        <ns0:v/>
      </ns0:c>
      <ns0:c r="C2198">
        <ns0:f>IFERROR(IF(ISNUMBER($A2198),IF(AND(AH!$P$10=1,AH!$P$12=1,$A2198=TODAY()),AH!$P$19,IF(AH!$P$10=1,INDEX('Live History'!$B$5:$B$3004,AH!$P$13+2193),INDEX('AH History'!$B$1:$B$18046,AH!$P$7+2193))),NA()),NA())</ns0:f>
        <ns0:v/>
      </ns0:c>
      <ns0:c r="D2198">
        <ns0:f>IFERROR(IF(ISNUMBER($A2198),IF(AND(AH!$P$10=1,AH!$P$12=1,$A2198=TODAY()),AH!$P$18,IF(AH!$P$10=1,INDEX('Live History'!$E$5:$E$3004,MATCH($A2198,'Live History'!$D$5:$D$3004,1)),INDEX('AH History'!$C$1:$C$18046,AH!$P$7+2193))),NA()),NA())</ns0:f>
        <ns0:v/>
      </ns0:c>
      <ns0:c r="E2198">
        <ns0:f>IFERROR(IF(ISNUMBER($A2198),IF(AND(AH!$P$10=1,AH!$P$12=1,$A2198=TODAY()),AH!$P$20,IF(AH!$P$10=1,INDEX('Live History'!$H$5:$H$3004,MATCH($A2198,'Live History'!$G$5:$G$3004,1)),INDEX('AH History'!$D$1:$D$18046,AH!$P$7+2193))),NA()),NA())</ns0:f>
        <ns0:v/>
      </ns0:c>
      <ns0:c r="F2198">
        <ns0:f>IFERROR(IF(ISNUMBER($A2198),IF(AND(AH!$P$10=1,AH!$P$12=1,$A2198=TODAY()),IF(AND(AH!$P$10=1,AH!$P$12=1,$A2198=TODAY()),TODAY(),NA()),IF(AH!$P$10=1,INDEX('Live History'!$D$5:$D$3004,MATCH($A2198,'Live History'!$D$5:$D$3004,1)),INDEX('AH History'!$E$1:$E$18046,AH!$P$7+2193))),NA()),NA())</ns0:f>
        <ns0:v/>
      </ns0:c>
      <ns0:c r="G2198">
        <ns0:f>IFERROR(IF(ISNUMBER($A2198),IF(AND(AH!$P$10=1,AH!$P$12=1,$A2198=TODAY()),IF(AND(AH!$P$10=1,AH!$P$12=1,$A2198=TODAY()),TODAY(),NA()),IF(AH!$P$10=1,INDEX('Live History'!$G$5:$G$3004,MATCH($A2198,'Live History'!$G$5:$G$3004,1)),INDEX('AH History'!$F$1:$F$18046,AH!$P$7+2193))),NA()),NA())</ns0:f>
        <ns0:v/>
      </ns0:c>
      <ns0:c r="H2198">
        <ns0:f>IFERROR(IF(AND(AH!$E$4="Bloomberg",AH!$P$10=1,ISNUMBER($A2198),$A2198&lt;=AH!$P$17),AH!$P$7-1+MATCH($A2198,INDEX('AH History'!$A$1:$A$18046,AH!$P$7):INDEX('AH History'!$A$1:$A$18046,AH!$P$7+AH!$P$8-1),0),0),0)</ns0:f>
        <ns0:v/>
      </ns0:c>
      <ns0:c r="I2198">
        <ns0:f>IF($H2198=0,0,IFERROR(IF(AND(ABS($C2198-INDEX('AH History'!$B$1:$B$18046,$H2198))&lt;=MAX(0.005,ABS(INDEX('AH History'!$B$1:$B$18046,$H2198))*0.00005),ABS($D2198-INDEX('AH History'!$C$1:$C$18046,$H2198))&lt;=MAX(0.005,ABS(INDEX('AH History'!$C$1:$C$18046,$H2198))*0.00005),ABS($E2198-INDEX('AH History'!$D$1:$D$18046,$H2198))&lt;=0.00005,$F2198=INDEX('AH History'!$E$1:$E$18046,$H2198),$G2198=INDEX('AH History'!$F$1:$F$18046,$H2198)),1,-1),-1))</ns0:f>
        <ns0:v/>
      </ns0:c>
    </ns0:row>
    <ns0:row r="2199">
      <ns0:c r="A2199" s="215">
        <ns0:f>IF(OR(AH!$P$3=0,2194+1&gt;AH!$P$11,AND(AH!$E$4&lt;&gt;"Stored",AH!$P$10&lt;&gt;1)),"",IFERROR(IF(AND(AH!$P$21=1,2194+1=AH!$P$11),TODAY(),IF(AH!$P$10=1,INDEX('Live History'!$A$5:$A$3004,AH!$P$13+2194),INDEX('AH History'!$A$1:$A$18046,AH!$P$7+2194))),""))</ns0:f>
        <ns0:v/>
      </ns0:c>
      <ns0:c r="B2199" s="219">
        <ns0:f>IFERROR(IF(AND(AH!$P$9&lt;&gt;1,$C2199&gt;0,$D2199&gt;0,$E2199&gt;0,$F2199&gt;0,$G2199&gt;0,$F2199&lt;=$A2199,$G2199&lt;=$A2199,$A2199-$F2199&lt;=10,$A2199-$G2199&lt;=5),$D2199*$E2199/$C2199-1,NA()),NA())</ns0:f>
        <ns0:v/>
      </ns0:c>
      <ns0:c r="C2199">
        <ns0:f>IFERROR(IF(ISNUMBER($A2199),IF(AND(AH!$P$10=1,AH!$P$12=1,$A2199=TODAY()),AH!$P$19,IF(AH!$P$10=1,INDEX('Live History'!$B$5:$B$3004,AH!$P$13+2194),INDEX('AH History'!$B$1:$B$18046,AH!$P$7+2194))),NA()),NA())</ns0:f>
        <ns0:v/>
      </ns0:c>
      <ns0:c r="D2199">
        <ns0:f>IFERROR(IF(ISNUMBER($A2199),IF(AND(AH!$P$10=1,AH!$P$12=1,$A2199=TODAY()),AH!$P$18,IF(AH!$P$10=1,INDEX('Live History'!$E$5:$E$3004,MATCH($A2199,'Live History'!$D$5:$D$3004,1)),INDEX('AH History'!$C$1:$C$18046,AH!$P$7+2194))),NA()),NA())</ns0:f>
        <ns0:v/>
      </ns0:c>
      <ns0:c r="E2199">
        <ns0:f>IFERROR(IF(ISNUMBER($A2199),IF(AND(AH!$P$10=1,AH!$P$12=1,$A2199=TODAY()),AH!$P$20,IF(AH!$P$10=1,INDEX('Live History'!$H$5:$H$3004,MATCH($A2199,'Live History'!$G$5:$G$3004,1)),INDEX('AH History'!$D$1:$D$18046,AH!$P$7+2194))),NA()),NA())</ns0:f>
        <ns0:v/>
      </ns0:c>
      <ns0:c r="F2199">
        <ns0:f>IFERROR(IF(ISNUMBER($A2199),IF(AND(AH!$P$10=1,AH!$P$12=1,$A2199=TODAY()),IF(AND(AH!$P$10=1,AH!$P$12=1,$A2199=TODAY()),TODAY(),NA()),IF(AH!$P$10=1,INDEX('Live History'!$D$5:$D$3004,MATCH($A2199,'Live History'!$D$5:$D$3004,1)),INDEX('AH History'!$E$1:$E$18046,AH!$P$7+2194))),NA()),NA())</ns0:f>
        <ns0:v/>
      </ns0:c>
      <ns0:c r="G2199">
        <ns0:f>IFERROR(IF(ISNUMBER($A2199),IF(AND(AH!$P$10=1,AH!$P$12=1,$A2199=TODAY()),IF(AND(AH!$P$10=1,AH!$P$12=1,$A2199=TODAY()),TODAY(),NA()),IF(AH!$P$10=1,INDEX('Live History'!$G$5:$G$3004,MATCH($A2199,'Live History'!$G$5:$G$3004,1)),INDEX('AH History'!$F$1:$F$18046,AH!$P$7+2194))),NA()),NA())</ns0:f>
        <ns0:v/>
      </ns0:c>
      <ns0:c r="H2199">
        <ns0:f>IFERROR(IF(AND(AH!$E$4="Bloomberg",AH!$P$10=1,ISNUMBER($A2199),$A2199&lt;=AH!$P$17),AH!$P$7-1+MATCH($A2199,INDEX('AH History'!$A$1:$A$18046,AH!$P$7):INDEX('AH History'!$A$1:$A$18046,AH!$P$7+AH!$P$8-1),0),0),0)</ns0:f>
        <ns0:v/>
      </ns0:c>
      <ns0:c r="I2199">
        <ns0:f>IF($H2199=0,0,IFERROR(IF(AND(ABS($C2199-INDEX('AH History'!$B$1:$B$18046,$H2199))&lt;=MAX(0.005,ABS(INDEX('AH History'!$B$1:$B$18046,$H2199))*0.00005),ABS($D2199-INDEX('AH History'!$C$1:$C$18046,$H2199))&lt;=MAX(0.005,ABS(INDEX('AH History'!$C$1:$C$18046,$H2199))*0.00005),ABS($E2199-INDEX('AH History'!$D$1:$D$18046,$H2199))&lt;=0.00005,$F2199=INDEX('AH History'!$E$1:$E$18046,$H2199),$G2199=INDEX('AH History'!$F$1:$F$18046,$H2199)),1,-1),-1))</ns0:f>
        <ns0:v/>
      </ns0:c>
    </ns0:row>
    <ns0:row r="2200">
      <ns0:c r="A2200" s="215">
        <ns0:f>IF(OR(AH!$P$3=0,2195+1&gt;AH!$P$11,AND(AH!$E$4&lt;&gt;"Stored",AH!$P$10&lt;&gt;1)),"",IFERROR(IF(AND(AH!$P$21=1,2195+1=AH!$P$11),TODAY(),IF(AH!$P$10=1,INDEX('Live History'!$A$5:$A$3004,AH!$P$13+2195),INDEX('AH History'!$A$1:$A$18046,AH!$P$7+2195))),""))</ns0:f>
        <ns0:v/>
      </ns0:c>
      <ns0:c r="B2200" s="219">
        <ns0:f>IFERROR(IF(AND(AH!$P$9&lt;&gt;1,$C2200&gt;0,$D2200&gt;0,$E2200&gt;0,$F2200&gt;0,$G2200&gt;0,$F2200&lt;=$A2200,$G2200&lt;=$A2200,$A2200-$F2200&lt;=10,$A2200-$G2200&lt;=5),$D2200*$E2200/$C2200-1,NA()),NA())</ns0:f>
        <ns0:v/>
      </ns0:c>
      <ns0:c r="C2200">
        <ns0:f>IFERROR(IF(ISNUMBER($A2200),IF(AND(AH!$P$10=1,AH!$P$12=1,$A2200=TODAY()),AH!$P$19,IF(AH!$P$10=1,INDEX('Live History'!$B$5:$B$3004,AH!$P$13+2195),INDEX('AH History'!$B$1:$B$18046,AH!$P$7+2195))),NA()),NA())</ns0:f>
        <ns0:v/>
      </ns0:c>
      <ns0:c r="D2200">
        <ns0:f>IFERROR(IF(ISNUMBER($A2200),IF(AND(AH!$P$10=1,AH!$P$12=1,$A2200=TODAY()),AH!$P$18,IF(AH!$P$10=1,INDEX('Live History'!$E$5:$E$3004,MATCH($A2200,'Live History'!$D$5:$D$3004,1)),INDEX('AH History'!$C$1:$C$18046,AH!$P$7+2195))),NA()),NA())</ns0:f>
        <ns0:v/>
      </ns0:c>
      <ns0:c r="E2200">
        <ns0:f>IFERROR(IF(ISNUMBER($A2200),IF(AND(AH!$P$10=1,AH!$P$12=1,$A2200=TODAY()),AH!$P$20,IF(AH!$P$10=1,INDEX('Live History'!$H$5:$H$3004,MATCH($A2200,'Live History'!$G$5:$G$3004,1)),INDEX('AH History'!$D$1:$D$18046,AH!$P$7+2195))),NA()),NA())</ns0:f>
        <ns0:v/>
      </ns0:c>
      <ns0:c r="F2200">
        <ns0:f>IFERROR(IF(ISNUMBER($A2200),IF(AND(AH!$P$10=1,AH!$P$12=1,$A2200=TODAY()),IF(AND(AH!$P$10=1,AH!$P$12=1,$A2200=TODAY()),TODAY(),NA()),IF(AH!$P$10=1,INDEX('Live History'!$D$5:$D$3004,MATCH($A2200,'Live History'!$D$5:$D$3004,1)),INDEX('AH History'!$E$1:$E$18046,AH!$P$7+2195))),NA()),NA())</ns0:f>
        <ns0:v/>
      </ns0:c>
      <ns0:c r="G2200">
        <ns0:f>IFERROR(IF(ISNUMBER($A2200),IF(AND(AH!$P$10=1,AH!$P$12=1,$A2200=TODAY()),IF(AND(AH!$P$10=1,AH!$P$12=1,$A2200=TODAY()),TODAY(),NA()),IF(AH!$P$10=1,INDEX('Live History'!$G$5:$G$3004,MATCH($A2200,'Live History'!$G$5:$G$3004,1)),INDEX('AH History'!$F$1:$F$18046,AH!$P$7+2195))),NA()),NA())</ns0:f>
        <ns0:v/>
      </ns0:c>
      <ns0:c r="H2200">
        <ns0:f>IFERROR(IF(AND(AH!$E$4="Bloomberg",AH!$P$10=1,ISNUMBER($A2200),$A2200&lt;=AH!$P$17),AH!$P$7-1+MATCH($A2200,INDEX('AH History'!$A$1:$A$18046,AH!$P$7):INDEX('AH History'!$A$1:$A$18046,AH!$P$7+AH!$P$8-1),0),0),0)</ns0:f>
        <ns0:v/>
      </ns0:c>
      <ns0:c r="I2200">
        <ns0:f>IF($H2200=0,0,IFERROR(IF(AND(ABS($C2200-INDEX('AH History'!$B$1:$B$18046,$H2200))&lt;=MAX(0.005,ABS(INDEX('AH History'!$B$1:$B$18046,$H2200))*0.00005),ABS($D2200-INDEX('AH History'!$C$1:$C$18046,$H2200))&lt;=MAX(0.005,ABS(INDEX('AH History'!$C$1:$C$18046,$H2200))*0.00005),ABS($E2200-INDEX('AH History'!$D$1:$D$18046,$H2200))&lt;=0.00005,$F2200=INDEX('AH History'!$E$1:$E$18046,$H2200),$G2200=INDEX('AH History'!$F$1:$F$18046,$H2200)),1,-1),-1))</ns0:f>
        <ns0:v/>
      </ns0:c>
    </ns0:row>
    <ns0:row r="2201">
      <ns0:c r="A2201" s="215">
        <ns0:f>IF(OR(AH!$P$3=0,2196+1&gt;AH!$P$11,AND(AH!$E$4&lt;&gt;"Stored",AH!$P$10&lt;&gt;1)),"",IFERROR(IF(AND(AH!$P$21=1,2196+1=AH!$P$11),TODAY(),IF(AH!$P$10=1,INDEX('Live History'!$A$5:$A$3004,AH!$P$13+2196),INDEX('AH History'!$A$1:$A$18046,AH!$P$7+2196))),""))</ns0:f>
        <ns0:v/>
      </ns0:c>
      <ns0:c r="B2201" s="219">
        <ns0:f>IFERROR(IF(AND(AH!$P$9&lt;&gt;1,$C2201&gt;0,$D2201&gt;0,$E2201&gt;0,$F2201&gt;0,$G2201&gt;0,$F2201&lt;=$A2201,$G2201&lt;=$A2201,$A2201-$F2201&lt;=10,$A2201-$G2201&lt;=5),$D2201*$E2201/$C2201-1,NA()),NA())</ns0:f>
        <ns0:v/>
      </ns0:c>
      <ns0:c r="C2201">
        <ns0:f>IFERROR(IF(ISNUMBER($A2201),IF(AND(AH!$P$10=1,AH!$P$12=1,$A2201=TODAY()),AH!$P$19,IF(AH!$P$10=1,INDEX('Live History'!$B$5:$B$3004,AH!$P$13+2196),INDEX('AH History'!$B$1:$B$18046,AH!$P$7+2196))),NA()),NA())</ns0:f>
        <ns0:v/>
      </ns0:c>
      <ns0:c r="D2201">
        <ns0:f>IFERROR(IF(ISNUMBER($A2201),IF(AND(AH!$P$10=1,AH!$P$12=1,$A2201=TODAY()),AH!$P$18,IF(AH!$P$10=1,INDEX('Live History'!$E$5:$E$3004,MATCH($A2201,'Live History'!$D$5:$D$3004,1)),INDEX('AH History'!$C$1:$C$18046,AH!$P$7+2196))),NA()),NA())</ns0:f>
        <ns0:v/>
      </ns0:c>
      <ns0:c r="E2201">
        <ns0:f>IFERROR(IF(ISNUMBER($A2201),IF(AND(AH!$P$10=1,AH!$P$12=1,$A2201=TODAY()),AH!$P$20,IF(AH!$P$10=1,INDEX('Live History'!$H$5:$H$3004,MATCH($A2201,'Live History'!$G$5:$G$3004,1)),INDEX('AH History'!$D$1:$D$18046,AH!$P$7+2196))),NA()),NA())</ns0:f>
        <ns0:v/>
      </ns0:c>
      <ns0:c r="F2201">
        <ns0:f>IFERROR(IF(ISNUMBER($A2201),IF(AND(AH!$P$10=1,AH!$P$12=1,$A2201=TODAY()),IF(AND(AH!$P$10=1,AH!$P$12=1,$A2201=TODAY()),TODAY(),NA()),IF(AH!$P$10=1,INDEX('Live History'!$D$5:$D$3004,MATCH($A2201,'Live History'!$D$5:$D$3004,1)),INDEX('AH History'!$E$1:$E$18046,AH!$P$7+2196))),NA()),NA())</ns0:f>
        <ns0:v/>
      </ns0:c>
      <ns0:c r="G2201">
        <ns0:f>IFERROR(IF(ISNUMBER($A2201),IF(AND(AH!$P$10=1,AH!$P$12=1,$A2201=TODAY()),IF(AND(AH!$P$10=1,AH!$P$12=1,$A2201=TODAY()),TODAY(),NA()),IF(AH!$P$10=1,INDEX('Live History'!$G$5:$G$3004,MATCH($A2201,'Live History'!$G$5:$G$3004,1)),INDEX('AH History'!$F$1:$F$18046,AH!$P$7+2196))),NA()),NA())</ns0:f>
        <ns0:v/>
      </ns0:c>
      <ns0:c r="H2201">
        <ns0:f>IFERROR(IF(AND(AH!$E$4="Bloomberg",AH!$P$10=1,ISNUMBER($A2201),$A2201&lt;=AH!$P$17),AH!$P$7-1+MATCH($A2201,INDEX('AH History'!$A$1:$A$18046,AH!$P$7):INDEX('AH History'!$A$1:$A$18046,AH!$P$7+AH!$P$8-1),0),0),0)</ns0:f>
        <ns0:v/>
      </ns0:c>
      <ns0:c r="I2201">
        <ns0:f>IF($H2201=0,0,IFERROR(IF(AND(ABS($C2201-INDEX('AH History'!$B$1:$B$18046,$H2201))&lt;=MAX(0.005,ABS(INDEX('AH History'!$B$1:$B$18046,$H2201))*0.00005),ABS($D2201-INDEX('AH History'!$C$1:$C$18046,$H2201))&lt;=MAX(0.005,ABS(INDEX('AH History'!$C$1:$C$18046,$H2201))*0.00005),ABS($E2201-INDEX('AH History'!$D$1:$D$18046,$H2201))&lt;=0.00005,$F2201=INDEX('AH History'!$E$1:$E$18046,$H2201),$G2201=INDEX('AH History'!$F$1:$F$18046,$H2201)),1,-1),-1))</ns0:f>
        <ns0:v/>
      </ns0:c>
    </ns0:row>
    <ns0:row r="2202">
      <ns0:c r="A2202" s="215">
        <ns0:f>IF(OR(AH!$P$3=0,2197+1&gt;AH!$P$11,AND(AH!$E$4&lt;&gt;"Stored",AH!$P$10&lt;&gt;1)),"",IFERROR(IF(AND(AH!$P$21=1,2197+1=AH!$P$11),TODAY(),IF(AH!$P$10=1,INDEX('Live History'!$A$5:$A$3004,AH!$P$13+2197),INDEX('AH History'!$A$1:$A$18046,AH!$P$7+2197))),""))</ns0:f>
        <ns0:v/>
      </ns0:c>
      <ns0:c r="B2202" s="219">
        <ns0:f>IFERROR(IF(AND(AH!$P$9&lt;&gt;1,$C2202&gt;0,$D2202&gt;0,$E2202&gt;0,$F2202&gt;0,$G2202&gt;0,$F2202&lt;=$A2202,$G2202&lt;=$A2202,$A2202-$F2202&lt;=10,$A2202-$G2202&lt;=5),$D2202*$E2202/$C2202-1,NA()),NA())</ns0:f>
        <ns0:v/>
      </ns0:c>
      <ns0:c r="C2202">
        <ns0:f>IFERROR(IF(ISNUMBER($A2202),IF(AND(AH!$P$10=1,AH!$P$12=1,$A2202=TODAY()),AH!$P$19,IF(AH!$P$10=1,INDEX('Live History'!$B$5:$B$3004,AH!$P$13+2197),INDEX('AH History'!$B$1:$B$18046,AH!$P$7+2197))),NA()),NA())</ns0:f>
        <ns0:v/>
      </ns0:c>
      <ns0:c r="D2202">
        <ns0:f>IFERROR(IF(ISNUMBER($A2202),IF(AND(AH!$P$10=1,AH!$P$12=1,$A2202=TODAY()),AH!$P$18,IF(AH!$P$10=1,INDEX('Live History'!$E$5:$E$3004,MATCH($A2202,'Live History'!$D$5:$D$3004,1)),INDEX('AH History'!$C$1:$C$18046,AH!$P$7+2197))),NA()),NA())</ns0:f>
        <ns0:v/>
      </ns0:c>
      <ns0:c r="E2202">
        <ns0:f>IFERROR(IF(ISNUMBER($A2202),IF(AND(AH!$P$10=1,AH!$P$12=1,$A2202=TODAY()),AH!$P$20,IF(AH!$P$10=1,INDEX('Live History'!$H$5:$H$3004,MATCH($A2202,'Live History'!$G$5:$G$3004,1)),INDEX('AH History'!$D$1:$D$18046,AH!$P$7+2197))),NA()),NA())</ns0:f>
        <ns0:v/>
      </ns0:c>
      <ns0:c r="F2202">
        <ns0:f>IFERROR(IF(ISNUMBER($A2202),IF(AND(AH!$P$10=1,AH!$P$12=1,$A2202=TODAY()),IF(AND(AH!$P$10=1,AH!$P$12=1,$A2202=TODAY()),TODAY(),NA()),IF(AH!$P$10=1,INDEX('Live History'!$D$5:$D$3004,MATCH($A2202,'Live History'!$D$5:$D$3004,1)),INDEX('AH History'!$E$1:$E$18046,AH!$P$7+2197))),NA()),NA())</ns0:f>
        <ns0:v/>
      </ns0:c>
      <ns0:c r="G2202">
        <ns0:f>IFERROR(IF(ISNUMBER($A2202),IF(AND(AH!$P$10=1,AH!$P$12=1,$A2202=TODAY()),IF(AND(AH!$P$10=1,AH!$P$12=1,$A2202=TODAY()),TODAY(),NA()),IF(AH!$P$10=1,INDEX('Live History'!$G$5:$G$3004,MATCH($A2202,'Live History'!$G$5:$G$3004,1)),INDEX('AH History'!$F$1:$F$18046,AH!$P$7+2197))),NA()),NA())</ns0:f>
        <ns0:v/>
      </ns0:c>
      <ns0:c r="H2202">
        <ns0:f>IFERROR(IF(AND(AH!$E$4="Bloomberg",AH!$P$10=1,ISNUMBER($A2202),$A2202&lt;=AH!$P$17),AH!$P$7-1+MATCH($A2202,INDEX('AH History'!$A$1:$A$18046,AH!$P$7):INDEX('AH History'!$A$1:$A$18046,AH!$P$7+AH!$P$8-1),0),0),0)</ns0:f>
        <ns0:v/>
      </ns0:c>
      <ns0:c r="I2202">
        <ns0:f>IF($H2202=0,0,IFERROR(IF(AND(ABS($C2202-INDEX('AH History'!$B$1:$B$18046,$H2202))&lt;=MAX(0.005,ABS(INDEX('AH History'!$B$1:$B$18046,$H2202))*0.00005),ABS($D2202-INDEX('AH History'!$C$1:$C$18046,$H2202))&lt;=MAX(0.005,ABS(INDEX('AH History'!$C$1:$C$18046,$H2202))*0.00005),ABS($E2202-INDEX('AH History'!$D$1:$D$18046,$H2202))&lt;=0.00005,$F2202=INDEX('AH History'!$E$1:$E$18046,$H2202),$G2202=INDEX('AH History'!$F$1:$F$18046,$H2202)),1,-1),-1))</ns0:f>
        <ns0:v/>
      </ns0:c>
    </ns0:row>
    <ns0:row r="2203">
      <ns0:c r="A2203" s="215">
        <ns0:f>IF(OR(AH!$P$3=0,2198+1&gt;AH!$P$11,AND(AH!$E$4&lt;&gt;"Stored",AH!$P$10&lt;&gt;1)),"",IFERROR(IF(AND(AH!$P$21=1,2198+1=AH!$P$11),TODAY(),IF(AH!$P$10=1,INDEX('Live History'!$A$5:$A$3004,AH!$P$13+2198),INDEX('AH History'!$A$1:$A$18046,AH!$P$7+2198))),""))</ns0:f>
        <ns0:v/>
      </ns0:c>
      <ns0:c r="B2203" s="219">
        <ns0:f>IFERROR(IF(AND(AH!$P$9&lt;&gt;1,$C2203&gt;0,$D2203&gt;0,$E2203&gt;0,$F2203&gt;0,$G2203&gt;0,$F2203&lt;=$A2203,$G2203&lt;=$A2203,$A2203-$F2203&lt;=10,$A2203-$G2203&lt;=5),$D2203*$E2203/$C2203-1,NA()),NA())</ns0:f>
        <ns0:v/>
      </ns0:c>
      <ns0:c r="C2203">
        <ns0:f>IFERROR(IF(ISNUMBER($A2203),IF(AND(AH!$P$10=1,AH!$P$12=1,$A2203=TODAY()),AH!$P$19,IF(AH!$P$10=1,INDEX('Live History'!$B$5:$B$3004,AH!$P$13+2198),INDEX('AH History'!$B$1:$B$18046,AH!$P$7+2198))),NA()),NA())</ns0:f>
        <ns0:v/>
      </ns0:c>
      <ns0:c r="D2203">
        <ns0:f>IFERROR(IF(ISNUMBER($A2203),IF(AND(AH!$P$10=1,AH!$P$12=1,$A2203=TODAY()),AH!$P$18,IF(AH!$P$10=1,INDEX('Live History'!$E$5:$E$3004,MATCH($A2203,'Live History'!$D$5:$D$3004,1)),INDEX('AH History'!$C$1:$C$18046,AH!$P$7+2198))),NA()),NA())</ns0:f>
        <ns0:v/>
      </ns0:c>
      <ns0:c r="E2203">
        <ns0:f>IFERROR(IF(ISNUMBER($A2203),IF(AND(AH!$P$10=1,AH!$P$12=1,$A2203=TODAY()),AH!$P$20,IF(AH!$P$10=1,INDEX('Live History'!$H$5:$H$3004,MATCH($A2203,'Live History'!$G$5:$G$3004,1)),INDEX('AH History'!$D$1:$D$18046,AH!$P$7+2198))),NA()),NA())</ns0:f>
        <ns0:v/>
      </ns0:c>
      <ns0:c r="F2203">
        <ns0:f>IFERROR(IF(ISNUMBER($A2203),IF(AND(AH!$P$10=1,AH!$P$12=1,$A2203=TODAY()),IF(AND(AH!$P$10=1,AH!$P$12=1,$A2203=TODAY()),TODAY(),NA()),IF(AH!$P$10=1,INDEX('Live History'!$D$5:$D$3004,MATCH($A2203,'Live History'!$D$5:$D$3004,1)),INDEX('AH History'!$E$1:$E$18046,AH!$P$7+2198))),NA()),NA())</ns0:f>
        <ns0:v/>
      </ns0:c>
      <ns0:c r="G2203">
        <ns0:f>IFERROR(IF(ISNUMBER($A2203),IF(AND(AH!$P$10=1,AH!$P$12=1,$A2203=TODAY()),IF(AND(AH!$P$10=1,AH!$P$12=1,$A2203=TODAY()),TODAY(),NA()),IF(AH!$P$10=1,INDEX('Live History'!$G$5:$G$3004,MATCH($A2203,'Live History'!$G$5:$G$3004,1)),INDEX('AH History'!$F$1:$F$18046,AH!$P$7+2198))),NA()),NA())</ns0:f>
        <ns0:v/>
      </ns0:c>
      <ns0:c r="H2203">
        <ns0:f>IFERROR(IF(AND(AH!$E$4="Bloomberg",AH!$P$10=1,ISNUMBER($A2203),$A2203&lt;=AH!$P$17),AH!$P$7-1+MATCH($A2203,INDEX('AH History'!$A$1:$A$18046,AH!$P$7):INDEX('AH History'!$A$1:$A$18046,AH!$P$7+AH!$P$8-1),0),0),0)</ns0:f>
        <ns0:v/>
      </ns0:c>
      <ns0:c r="I2203">
        <ns0:f>IF($H2203=0,0,IFERROR(IF(AND(ABS($C2203-INDEX('AH History'!$B$1:$B$18046,$H2203))&lt;=MAX(0.005,ABS(INDEX('AH History'!$B$1:$B$18046,$H2203))*0.00005),ABS($D2203-INDEX('AH History'!$C$1:$C$18046,$H2203))&lt;=MAX(0.005,ABS(INDEX('AH History'!$C$1:$C$18046,$H2203))*0.00005),ABS($E2203-INDEX('AH History'!$D$1:$D$18046,$H2203))&lt;=0.00005,$F2203=INDEX('AH History'!$E$1:$E$18046,$H2203),$G2203=INDEX('AH History'!$F$1:$F$18046,$H2203)),1,-1),-1))</ns0:f>
        <ns0:v/>
      </ns0:c>
    </ns0:row>
    <ns0:row r="2204">
      <ns0:c r="A2204" s="215">
        <ns0:f>IF(OR(AH!$P$3=0,2199+1&gt;AH!$P$11,AND(AH!$E$4&lt;&gt;"Stored",AH!$P$10&lt;&gt;1)),"",IFERROR(IF(AND(AH!$P$21=1,2199+1=AH!$P$11),TODAY(),IF(AH!$P$10=1,INDEX('Live History'!$A$5:$A$3004,AH!$P$13+2199),INDEX('AH History'!$A$1:$A$18046,AH!$P$7+2199))),""))</ns0:f>
        <ns0:v/>
      </ns0:c>
      <ns0:c r="B2204" s="219">
        <ns0:f>IFERROR(IF(AND(AH!$P$9&lt;&gt;1,$C2204&gt;0,$D2204&gt;0,$E2204&gt;0,$F2204&gt;0,$G2204&gt;0,$F2204&lt;=$A2204,$G2204&lt;=$A2204,$A2204-$F2204&lt;=10,$A2204-$G2204&lt;=5),$D2204*$E2204/$C2204-1,NA()),NA())</ns0:f>
        <ns0:v/>
      </ns0:c>
      <ns0:c r="C2204">
        <ns0:f>IFERROR(IF(ISNUMBER($A2204),IF(AND(AH!$P$10=1,AH!$P$12=1,$A2204=TODAY()),AH!$P$19,IF(AH!$P$10=1,INDEX('Live History'!$B$5:$B$3004,AH!$P$13+2199),INDEX('AH History'!$B$1:$B$18046,AH!$P$7+2199))),NA()),NA())</ns0:f>
        <ns0:v/>
      </ns0:c>
      <ns0:c r="D2204">
        <ns0:f>IFERROR(IF(ISNUMBER($A2204),IF(AND(AH!$P$10=1,AH!$P$12=1,$A2204=TODAY()),AH!$P$18,IF(AH!$P$10=1,INDEX('Live History'!$E$5:$E$3004,MATCH($A2204,'Live History'!$D$5:$D$3004,1)),INDEX('AH History'!$C$1:$C$18046,AH!$P$7+2199))),NA()),NA())</ns0:f>
        <ns0:v/>
      </ns0:c>
      <ns0:c r="E2204">
        <ns0:f>IFERROR(IF(ISNUMBER($A2204),IF(AND(AH!$P$10=1,AH!$P$12=1,$A2204=TODAY()),AH!$P$20,IF(AH!$P$10=1,INDEX('Live History'!$H$5:$H$3004,MATCH($A2204,'Live History'!$G$5:$G$3004,1)),INDEX('AH History'!$D$1:$D$18046,AH!$P$7+2199))),NA()),NA())</ns0:f>
        <ns0:v/>
      </ns0:c>
      <ns0:c r="F2204">
        <ns0:f>IFERROR(IF(ISNUMBER($A2204),IF(AND(AH!$P$10=1,AH!$P$12=1,$A2204=TODAY()),IF(AND(AH!$P$10=1,AH!$P$12=1,$A2204=TODAY()),TODAY(),NA()),IF(AH!$P$10=1,INDEX('Live History'!$D$5:$D$3004,MATCH($A2204,'Live History'!$D$5:$D$3004,1)),INDEX('AH History'!$E$1:$E$18046,AH!$P$7+2199))),NA()),NA())</ns0:f>
        <ns0:v/>
      </ns0:c>
      <ns0:c r="G2204">
        <ns0:f>IFERROR(IF(ISNUMBER($A2204),IF(AND(AH!$P$10=1,AH!$P$12=1,$A2204=TODAY()),IF(AND(AH!$P$10=1,AH!$P$12=1,$A2204=TODAY()),TODAY(),NA()),IF(AH!$P$10=1,INDEX('Live History'!$G$5:$G$3004,MATCH($A2204,'Live History'!$G$5:$G$3004,1)),INDEX('AH History'!$F$1:$F$18046,AH!$P$7+2199))),NA()),NA())</ns0:f>
        <ns0:v/>
      </ns0:c>
      <ns0:c r="H2204">
        <ns0:f>IFERROR(IF(AND(AH!$E$4="Bloomberg",AH!$P$10=1,ISNUMBER($A2204),$A2204&lt;=AH!$P$17),AH!$P$7-1+MATCH($A2204,INDEX('AH History'!$A$1:$A$18046,AH!$P$7):INDEX('AH History'!$A$1:$A$18046,AH!$P$7+AH!$P$8-1),0),0),0)</ns0:f>
        <ns0:v/>
      </ns0:c>
      <ns0:c r="I2204">
        <ns0:f>IF($H2204=0,0,IFERROR(IF(AND(ABS($C2204-INDEX('AH History'!$B$1:$B$18046,$H2204))&lt;=MAX(0.005,ABS(INDEX('AH History'!$B$1:$B$18046,$H2204))*0.00005),ABS($D2204-INDEX('AH History'!$C$1:$C$18046,$H2204))&lt;=MAX(0.005,ABS(INDEX('AH History'!$C$1:$C$18046,$H2204))*0.00005),ABS($E2204-INDEX('AH History'!$D$1:$D$18046,$H2204))&lt;=0.00005,$F2204=INDEX('AH History'!$E$1:$E$18046,$H2204),$G2204=INDEX('AH History'!$F$1:$F$18046,$H2204)),1,-1),-1))</ns0:f>
        <ns0:v/>
      </ns0:c>
    </ns0:row>
    <ns0:row r="2205">
      <ns0:c r="A2205" s="215">
        <ns0:f>IF(OR(AH!$P$3=0,2200+1&gt;AH!$P$11,AND(AH!$E$4&lt;&gt;"Stored",AH!$P$10&lt;&gt;1)),"",IFERROR(IF(AND(AH!$P$21=1,2200+1=AH!$P$11),TODAY(),IF(AH!$P$10=1,INDEX('Live History'!$A$5:$A$3004,AH!$P$13+2200),INDEX('AH History'!$A$1:$A$18046,AH!$P$7+2200))),""))</ns0:f>
        <ns0:v/>
      </ns0:c>
      <ns0:c r="B2205" s="219">
        <ns0:f>IFERROR(IF(AND(AH!$P$9&lt;&gt;1,$C2205&gt;0,$D2205&gt;0,$E2205&gt;0,$F2205&gt;0,$G2205&gt;0,$F2205&lt;=$A2205,$G2205&lt;=$A2205,$A2205-$F2205&lt;=10,$A2205-$G2205&lt;=5),$D2205*$E2205/$C2205-1,NA()),NA())</ns0:f>
        <ns0:v/>
      </ns0:c>
      <ns0:c r="C2205">
        <ns0:f>IFERROR(IF(ISNUMBER($A2205),IF(AND(AH!$P$10=1,AH!$P$12=1,$A2205=TODAY()),AH!$P$19,IF(AH!$P$10=1,INDEX('Live History'!$B$5:$B$3004,AH!$P$13+2200),INDEX('AH History'!$B$1:$B$18046,AH!$P$7+2200))),NA()),NA())</ns0:f>
        <ns0:v/>
      </ns0:c>
      <ns0:c r="D2205">
        <ns0:f>IFERROR(IF(ISNUMBER($A2205),IF(AND(AH!$P$10=1,AH!$P$12=1,$A2205=TODAY()),AH!$P$18,IF(AH!$P$10=1,INDEX('Live History'!$E$5:$E$3004,MATCH($A2205,'Live History'!$D$5:$D$3004,1)),INDEX('AH History'!$C$1:$C$18046,AH!$P$7+2200))),NA()),NA())</ns0:f>
        <ns0:v/>
      </ns0:c>
      <ns0:c r="E2205">
        <ns0:f>IFERROR(IF(ISNUMBER($A2205),IF(AND(AH!$P$10=1,AH!$P$12=1,$A2205=TODAY()),AH!$P$20,IF(AH!$P$10=1,INDEX('Live History'!$H$5:$H$3004,MATCH($A2205,'Live History'!$G$5:$G$3004,1)),INDEX('AH History'!$D$1:$D$18046,AH!$P$7+2200))),NA()),NA())</ns0:f>
        <ns0:v/>
      </ns0:c>
      <ns0:c r="F2205">
        <ns0:f>IFERROR(IF(ISNUMBER($A2205),IF(AND(AH!$P$10=1,AH!$P$12=1,$A2205=TODAY()),IF(AND(AH!$P$10=1,AH!$P$12=1,$A2205=TODAY()),TODAY(),NA()),IF(AH!$P$10=1,INDEX('Live History'!$D$5:$D$3004,MATCH($A2205,'Live History'!$D$5:$D$3004,1)),INDEX('AH History'!$E$1:$E$18046,AH!$P$7+2200))),NA()),NA())</ns0:f>
        <ns0:v/>
      </ns0:c>
      <ns0:c r="G2205">
        <ns0:f>IFERROR(IF(ISNUMBER($A2205),IF(AND(AH!$P$10=1,AH!$P$12=1,$A2205=TODAY()),IF(AND(AH!$P$10=1,AH!$P$12=1,$A2205=TODAY()),TODAY(),NA()),IF(AH!$P$10=1,INDEX('Live History'!$G$5:$G$3004,MATCH($A2205,'Live History'!$G$5:$G$3004,1)),INDEX('AH History'!$F$1:$F$18046,AH!$P$7+2200))),NA()),NA())</ns0:f>
        <ns0:v/>
      </ns0:c>
      <ns0:c r="H2205">
        <ns0:f>IFERROR(IF(AND(AH!$E$4="Bloomberg",AH!$P$10=1,ISNUMBER($A2205),$A2205&lt;=AH!$P$17),AH!$P$7-1+MATCH($A2205,INDEX('AH History'!$A$1:$A$18046,AH!$P$7):INDEX('AH History'!$A$1:$A$18046,AH!$P$7+AH!$P$8-1),0),0),0)</ns0:f>
        <ns0:v/>
      </ns0:c>
      <ns0:c r="I2205">
        <ns0:f>IF($H2205=0,0,IFERROR(IF(AND(ABS($C2205-INDEX('AH History'!$B$1:$B$18046,$H2205))&lt;=MAX(0.005,ABS(INDEX('AH History'!$B$1:$B$18046,$H2205))*0.00005),ABS($D2205-INDEX('AH History'!$C$1:$C$18046,$H2205))&lt;=MAX(0.005,ABS(INDEX('AH History'!$C$1:$C$18046,$H2205))*0.00005),ABS($E2205-INDEX('AH History'!$D$1:$D$18046,$H2205))&lt;=0.00005,$F2205=INDEX('AH History'!$E$1:$E$18046,$H2205),$G2205=INDEX('AH History'!$F$1:$F$18046,$H2205)),1,-1),-1))</ns0:f>
        <ns0:v/>
      </ns0:c>
    </ns0:row>
    <ns0:row r="2206">
      <ns0:c r="A2206" s="215">
        <ns0:f>IF(OR(AH!$P$3=0,2201+1&gt;AH!$P$11,AND(AH!$E$4&lt;&gt;"Stored",AH!$P$10&lt;&gt;1)),"",IFERROR(IF(AND(AH!$P$21=1,2201+1=AH!$P$11),TODAY(),IF(AH!$P$10=1,INDEX('Live History'!$A$5:$A$3004,AH!$P$13+2201),INDEX('AH History'!$A$1:$A$18046,AH!$P$7+2201))),""))</ns0:f>
        <ns0:v/>
      </ns0:c>
      <ns0:c r="B2206" s="219">
        <ns0:f>IFERROR(IF(AND(AH!$P$9&lt;&gt;1,$C2206&gt;0,$D2206&gt;0,$E2206&gt;0,$F2206&gt;0,$G2206&gt;0,$F2206&lt;=$A2206,$G2206&lt;=$A2206,$A2206-$F2206&lt;=10,$A2206-$G2206&lt;=5),$D2206*$E2206/$C2206-1,NA()),NA())</ns0:f>
        <ns0:v/>
      </ns0:c>
      <ns0:c r="C2206">
        <ns0:f>IFERROR(IF(ISNUMBER($A2206),IF(AND(AH!$P$10=1,AH!$P$12=1,$A2206=TODAY()),AH!$P$19,IF(AH!$P$10=1,INDEX('Live History'!$B$5:$B$3004,AH!$P$13+2201),INDEX('AH History'!$B$1:$B$18046,AH!$P$7+2201))),NA()),NA())</ns0:f>
        <ns0:v/>
      </ns0:c>
      <ns0:c r="D2206">
        <ns0:f>IFERROR(IF(ISNUMBER($A2206),IF(AND(AH!$P$10=1,AH!$P$12=1,$A2206=TODAY()),AH!$P$18,IF(AH!$P$10=1,INDEX('Live History'!$E$5:$E$3004,MATCH($A2206,'Live History'!$D$5:$D$3004,1)),INDEX('AH History'!$C$1:$C$18046,AH!$P$7+2201))),NA()),NA())</ns0:f>
        <ns0:v/>
      </ns0:c>
      <ns0:c r="E2206">
        <ns0:f>IFERROR(IF(ISNUMBER($A2206),IF(AND(AH!$P$10=1,AH!$P$12=1,$A2206=TODAY()),AH!$P$20,IF(AH!$P$10=1,INDEX('Live History'!$H$5:$H$3004,MATCH($A2206,'Live History'!$G$5:$G$3004,1)),INDEX('AH History'!$D$1:$D$18046,AH!$P$7+2201))),NA()),NA())</ns0:f>
        <ns0:v/>
      </ns0:c>
      <ns0:c r="F2206">
        <ns0:f>IFERROR(IF(ISNUMBER($A2206),IF(AND(AH!$P$10=1,AH!$P$12=1,$A2206=TODAY()),IF(AND(AH!$P$10=1,AH!$P$12=1,$A2206=TODAY()),TODAY(),NA()),IF(AH!$P$10=1,INDEX('Live History'!$D$5:$D$3004,MATCH($A2206,'Live History'!$D$5:$D$3004,1)),INDEX('AH History'!$E$1:$E$18046,AH!$P$7+2201))),NA()),NA())</ns0:f>
        <ns0:v/>
      </ns0:c>
      <ns0:c r="G2206">
        <ns0:f>IFERROR(IF(ISNUMBER($A2206),IF(AND(AH!$P$10=1,AH!$P$12=1,$A2206=TODAY()),IF(AND(AH!$P$10=1,AH!$P$12=1,$A2206=TODAY()),TODAY(),NA()),IF(AH!$P$10=1,INDEX('Live History'!$G$5:$G$3004,MATCH($A2206,'Live History'!$G$5:$G$3004,1)),INDEX('AH History'!$F$1:$F$18046,AH!$P$7+2201))),NA()),NA())</ns0:f>
        <ns0:v/>
      </ns0:c>
      <ns0:c r="H2206">
        <ns0:f>IFERROR(IF(AND(AH!$E$4="Bloomberg",AH!$P$10=1,ISNUMBER($A2206),$A2206&lt;=AH!$P$17),AH!$P$7-1+MATCH($A2206,INDEX('AH History'!$A$1:$A$18046,AH!$P$7):INDEX('AH History'!$A$1:$A$18046,AH!$P$7+AH!$P$8-1),0),0),0)</ns0:f>
        <ns0:v/>
      </ns0:c>
      <ns0:c r="I2206">
        <ns0:f>IF($H2206=0,0,IFERROR(IF(AND(ABS($C2206-INDEX('AH History'!$B$1:$B$18046,$H2206))&lt;=MAX(0.005,ABS(INDEX('AH History'!$B$1:$B$18046,$H2206))*0.00005),ABS($D2206-INDEX('AH History'!$C$1:$C$18046,$H2206))&lt;=MAX(0.005,ABS(INDEX('AH History'!$C$1:$C$18046,$H2206))*0.00005),ABS($E2206-INDEX('AH History'!$D$1:$D$18046,$H2206))&lt;=0.00005,$F2206=INDEX('AH History'!$E$1:$E$18046,$H2206),$G2206=INDEX('AH History'!$F$1:$F$18046,$H2206)),1,-1),-1))</ns0:f>
        <ns0:v/>
      </ns0:c>
    </ns0:row>
    <ns0:row r="2207">
      <ns0:c r="A2207" s="215">
        <ns0:f>IF(OR(AH!$P$3=0,2202+1&gt;AH!$P$11,AND(AH!$E$4&lt;&gt;"Stored",AH!$P$10&lt;&gt;1)),"",IFERROR(IF(AND(AH!$P$21=1,2202+1=AH!$P$11),TODAY(),IF(AH!$P$10=1,INDEX('Live History'!$A$5:$A$3004,AH!$P$13+2202),INDEX('AH History'!$A$1:$A$18046,AH!$P$7+2202))),""))</ns0:f>
        <ns0:v/>
      </ns0:c>
      <ns0:c r="B2207" s="219">
        <ns0:f>IFERROR(IF(AND(AH!$P$9&lt;&gt;1,$C2207&gt;0,$D2207&gt;0,$E2207&gt;0,$F2207&gt;0,$G2207&gt;0,$F2207&lt;=$A2207,$G2207&lt;=$A2207,$A2207-$F2207&lt;=10,$A2207-$G2207&lt;=5),$D2207*$E2207/$C2207-1,NA()),NA())</ns0:f>
        <ns0:v/>
      </ns0:c>
      <ns0:c r="C2207">
        <ns0:f>IFERROR(IF(ISNUMBER($A2207),IF(AND(AH!$P$10=1,AH!$P$12=1,$A2207=TODAY()),AH!$P$19,IF(AH!$P$10=1,INDEX('Live History'!$B$5:$B$3004,AH!$P$13+2202),INDEX('AH History'!$B$1:$B$18046,AH!$P$7+2202))),NA()),NA())</ns0:f>
        <ns0:v/>
      </ns0:c>
      <ns0:c r="D2207">
        <ns0:f>IFERROR(IF(ISNUMBER($A2207),IF(AND(AH!$P$10=1,AH!$P$12=1,$A2207=TODAY()),AH!$P$18,IF(AH!$P$10=1,INDEX('Live History'!$E$5:$E$3004,MATCH($A2207,'Live History'!$D$5:$D$3004,1)),INDEX('AH History'!$C$1:$C$18046,AH!$P$7+2202))),NA()),NA())</ns0:f>
        <ns0:v/>
      </ns0:c>
      <ns0:c r="E2207">
        <ns0:f>IFERROR(IF(ISNUMBER($A2207),IF(AND(AH!$P$10=1,AH!$P$12=1,$A2207=TODAY()),AH!$P$20,IF(AH!$P$10=1,INDEX('Live History'!$H$5:$H$3004,MATCH($A2207,'Live History'!$G$5:$G$3004,1)),INDEX('AH History'!$D$1:$D$18046,AH!$P$7+2202))),NA()),NA())</ns0:f>
        <ns0:v/>
      </ns0:c>
      <ns0:c r="F2207">
        <ns0:f>IFERROR(IF(ISNUMBER($A2207),IF(AND(AH!$P$10=1,AH!$P$12=1,$A2207=TODAY()),IF(AND(AH!$P$10=1,AH!$P$12=1,$A2207=TODAY()),TODAY(),NA()),IF(AH!$P$10=1,INDEX('Live History'!$D$5:$D$3004,MATCH($A2207,'Live History'!$D$5:$D$3004,1)),INDEX('AH History'!$E$1:$E$18046,AH!$P$7+2202))),NA()),NA())</ns0:f>
        <ns0:v/>
      </ns0:c>
      <ns0:c r="G2207">
        <ns0:f>IFERROR(IF(ISNUMBER($A2207),IF(AND(AH!$P$10=1,AH!$P$12=1,$A2207=TODAY()),IF(AND(AH!$P$10=1,AH!$P$12=1,$A2207=TODAY()),TODAY(),NA()),IF(AH!$P$10=1,INDEX('Live History'!$G$5:$G$3004,MATCH($A2207,'Live History'!$G$5:$G$3004,1)),INDEX('AH History'!$F$1:$F$18046,AH!$P$7+2202))),NA()),NA())</ns0:f>
        <ns0:v/>
      </ns0:c>
      <ns0:c r="H2207">
        <ns0:f>IFERROR(IF(AND(AH!$E$4="Bloomberg",AH!$P$10=1,ISNUMBER($A2207),$A2207&lt;=AH!$P$17),AH!$P$7-1+MATCH($A2207,INDEX('AH History'!$A$1:$A$18046,AH!$P$7):INDEX('AH History'!$A$1:$A$18046,AH!$P$7+AH!$P$8-1),0),0),0)</ns0:f>
        <ns0:v/>
      </ns0:c>
      <ns0:c r="I2207">
        <ns0:f>IF($H2207=0,0,IFERROR(IF(AND(ABS($C2207-INDEX('AH History'!$B$1:$B$18046,$H2207))&lt;=MAX(0.005,ABS(INDEX('AH History'!$B$1:$B$18046,$H2207))*0.00005),ABS($D2207-INDEX('AH History'!$C$1:$C$18046,$H2207))&lt;=MAX(0.005,ABS(INDEX('AH History'!$C$1:$C$18046,$H2207))*0.00005),ABS($E2207-INDEX('AH History'!$D$1:$D$18046,$H2207))&lt;=0.00005,$F2207=INDEX('AH History'!$E$1:$E$18046,$H2207),$G2207=INDEX('AH History'!$F$1:$F$18046,$H2207)),1,-1),-1))</ns0:f>
        <ns0:v/>
      </ns0:c>
    </ns0:row>
    <ns0:row r="2208">
      <ns0:c r="A2208" s="215">
        <ns0:f>IF(OR(AH!$P$3=0,2203+1&gt;AH!$P$11,AND(AH!$E$4&lt;&gt;"Stored",AH!$P$10&lt;&gt;1)),"",IFERROR(IF(AND(AH!$P$21=1,2203+1=AH!$P$11),TODAY(),IF(AH!$P$10=1,INDEX('Live History'!$A$5:$A$3004,AH!$P$13+2203),INDEX('AH History'!$A$1:$A$18046,AH!$P$7+2203))),""))</ns0:f>
        <ns0:v/>
      </ns0:c>
      <ns0:c r="B2208" s="219">
        <ns0:f>IFERROR(IF(AND(AH!$P$9&lt;&gt;1,$C2208&gt;0,$D2208&gt;0,$E2208&gt;0,$F2208&gt;0,$G2208&gt;0,$F2208&lt;=$A2208,$G2208&lt;=$A2208,$A2208-$F2208&lt;=10,$A2208-$G2208&lt;=5),$D2208*$E2208/$C2208-1,NA()),NA())</ns0:f>
        <ns0:v/>
      </ns0:c>
      <ns0:c r="C2208">
        <ns0:f>IFERROR(IF(ISNUMBER($A2208),IF(AND(AH!$P$10=1,AH!$P$12=1,$A2208=TODAY()),AH!$P$19,IF(AH!$P$10=1,INDEX('Live History'!$B$5:$B$3004,AH!$P$13+2203),INDEX('AH History'!$B$1:$B$18046,AH!$P$7+2203))),NA()),NA())</ns0:f>
        <ns0:v/>
      </ns0:c>
      <ns0:c r="D2208">
        <ns0:f>IFERROR(IF(ISNUMBER($A2208),IF(AND(AH!$P$10=1,AH!$P$12=1,$A2208=TODAY()),AH!$P$18,IF(AH!$P$10=1,INDEX('Live History'!$E$5:$E$3004,MATCH($A2208,'Live History'!$D$5:$D$3004,1)),INDEX('AH History'!$C$1:$C$18046,AH!$P$7+2203))),NA()),NA())</ns0:f>
        <ns0:v/>
      </ns0:c>
      <ns0:c r="E2208">
        <ns0:f>IFERROR(IF(ISNUMBER($A2208),IF(AND(AH!$P$10=1,AH!$P$12=1,$A2208=TODAY()),AH!$P$20,IF(AH!$P$10=1,INDEX('Live History'!$H$5:$H$3004,MATCH($A2208,'Live History'!$G$5:$G$3004,1)),INDEX('AH History'!$D$1:$D$18046,AH!$P$7+2203))),NA()),NA())</ns0:f>
        <ns0:v/>
      </ns0:c>
      <ns0:c r="F2208">
        <ns0:f>IFERROR(IF(ISNUMBER($A2208),IF(AND(AH!$P$10=1,AH!$P$12=1,$A2208=TODAY()),IF(AND(AH!$P$10=1,AH!$P$12=1,$A2208=TODAY()),TODAY(),NA()),IF(AH!$P$10=1,INDEX('Live History'!$D$5:$D$3004,MATCH($A2208,'Live History'!$D$5:$D$3004,1)),INDEX('AH History'!$E$1:$E$18046,AH!$P$7+2203))),NA()),NA())</ns0:f>
        <ns0:v/>
      </ns0:c>
      <ns0:c r="G2208">
        <ns0:f>IFERROR(IF(ISNUMBER($A2208),IF(AND(AH!$P$10=1,AH!$P$12=1,$A2208=TODAY()),IF(AND(AH!$P$10=1,AH!$P$12=1,$A2208=TODAY()),TODAY(),NA()),IF(AH!$P$10=1,INDEX('Live History'!$G$5:$G$3004,MATCH($A2208,'Live History'!$G$5:$G$3004,1)),INDEX('AH History'!$F$1:$F$18046,AH!$P$7+2203))),NA()),NA())</ns0:f>
        <ns0:v/>
      </ns0:c>
      <ns0:c r="H2208">
        <ns0:f>IFERROR(IF(AND(AH!$E$4="Bloomberg",AH!$P$10=1,ISNUMBER($A2208),$A2208&lt;=AH!$P$17),AH!$P$7-1+MATCH($A2208,INDEX('AH History'!$A$1:$A$18046,AH!$P$7):INDEX('AH History'!$A$1:$A$18046,AH!$P$7+AH!$P$8-1),0),0),0)</ns0:f>
        <ns0:v/>
      </ns0:c>
      <ns0:c r="I2208">
        <ns0:f>IF($H2208=0,0,IFERROR(IF(AND(ABS($C2208-INDEX('AH History'!$B$1:$B$18046,$H2208))&lt;=MAX(0.005,ABS(INDEX('AH History'!$B$1:$B$18046,$H2208))*0.00005),ABS($D2208-INDEX('AH History'!$C$1:$C$18046,$H2208))&lt;=MAX(0.005,ABS(INDEX('AH History'!$C$1:$C$18046,$H2208))*0.00005),ABS($E2208-INDEX('AH History'!$D$1:$D$18046,$H2208))&lt;=0.00005,$F2208=INDEX('AH History'!$E$1:$E$18046,$H2208),$G2208=INDEX('AH History'!$F$1:$F$18046,$H2208)),1,-1),-1))</ns0:f>
        <ns0:v/>
      </ns0:c>
    </ns0:row>
    <ns0:row r="2209">
      <ns0:c r="A2209" s="215">
        <ns0:f>IF(OR(AH!$P$3=0,2204+1&gt;AH!$P$11,AND(AH!$E$4&lt;&gt;"Stored",AH!$P$10&lt;&gt;1)),"",IFERROR(IF(AND(AH!$P$21=1,2204+1=AH!$P$11),TODAY(),IF(AH!$P$10=1,INDEX('Live History'!$A$5:$A$3004,AH!$P$13+2204),INDEX('AH History'!$A$1:$A$18046,AH!$P$7+2204))),""))</ns0:f>
        <ns0:v/>
      </ns0:c>
      <ns0:c r="B2209" s="219">
        <ns0:f>IFERROR(IF(AND(AH!$P$9&lt;&gt;1,$C2209&gt;0,$D2209&gt;0,$E2209&gt;0,$F2209&gt;0,$G2209&gt;0,$F2209&lt;=$A2209,$G2209&lt;=$A2209,$A2209-$F2209&lt;=10,$A2209-$G2209&lt;=5),$D2209*$E2209/$C2209-1,NA()),NA())</ns0:f>
        <ns0:v/>
      </ns0:c>
      <ns0:c r="C2209">
        <ns0:f>IFERROR(IF(ISNUMBER($A2209),IF(AND(AH!$P$10=1,AH!$P$12=1,$A2209=TODAY()),AH!$P$19,IF(AH!$P$10=1,INDEX('Live History'!$B$5:$B$3004,AH!$P$13+2204),INDEX('AH History'!$B$1:$B$18046,AH!$P$7+2204))),NA()),NA())</ns0:f>
        <ns0:v/>
      </ns0:c>
      <ns0:c r="D2209">
        <ns0:f>IFERROR(IF(ISNUMBER($A2209),IF(AND(AH!$P$10=1,AH!$P$12=1,$A2209=TODAY()),AH!$P$18,IF(AH!$P$10=1,INDEX('Live History'!$E$5:$E$3004,MATCH($A2209,'Live History'!$D$5:$D$3004,1)),INDEX('AH History'!$C$1:$C$18046,AH!$P$7+2204))),NA()),NA())</ns0:f>
        <ns0:v/>
      </ns0:c>
      <ns0:c r="E2209">
        <ns0:f>IFERROR(IF(ISNUMBER($A2209),IF(AND(AH!$P$10=1,AH!$P$12=1,$A2209=TODAY()),AH!$P$20,IF(AH!$P$10=1,INDEX('Live History'!$H$5:$H$3004,MATCH($A2209,'Live History'!$G$5:$G$3004,1)),INDEX('AH History'!$D$1:$D$18046,AH!$P$7+2204))),NA()),NA())</ns0:f>
        <ns0:v/>
      </ns0:c>
      <ns0:c r="F2209">
        <ns0:f>IFERROR(IF(ISNUMBER($A2209),IF(AND(AH!$P$10=1,AH!$P$12=1,$A2209=TODAY()),IF(AND(AH!$P$10=1,AH!$P$12=1,$A2209=TODAY()),TODAY(),NA()),IF(AH!$P$10=1,INDEX('Live History'!$D$5:$D$3004,MATCH($A2209,'Live History'!$D$5:$D$3004,1)),INDEX('AH History'!$E$1:$E$18046,AH!$P$7+2204))),NA()),NA())</ns0:f>
        <ns0:v/>
      </ns0:c>
      <ns0:c r="G2209">
        <ns0:f>IFERROR(IF(ISNUMBER($A2209),IF(AND(AH!$P$10=1,AH!$P$12=1,$A2209=TODAY()),IF(AND(AH!$P$10=1,AH!$P$12=1,$A2209=TODAY()),TODAY(),NA()),IF(AH!$P$10=1,INDEX('Live History'!$G$5:$G$3004,MATCH($A2209,'Live History'!$G$5:$G$3004,1)),INDEX('AH History'!$F$1:$F$18046,AH!$P$7+2204))),NA()),NA())</ns0:f>
        <ns0:v/>
      </ns0:c>
      <ns0:c r="H2209">
        <ns0:f>IFERROR(IF(AND(AH!$E$4="Bloomberg",AH!$P$10=1,ISNUMBER($A2209),$A2209&lt;=AH!$P$17),AH!$P$7-1+MATCH($A2209,INDEX('AH History'!$A$1:$A$18046,AH!$P$7):INDEX('AH History'!$A$1:$A$18046,AH!$P$7+AH!$P$8-1),0),0),0)</ns0:f>
        <ns0:v/>
      </ns0:c>
      <ns0:c r="I2209">
        <ns0:f>IF($H2209=0,0,IFERROR(IF(AND(ABS($C2209-INDEX('AH History'!$B$1:$B$18046,$H2209))&lt;=MAX(0.005,ABS(INDEX('AH History'!$B$1:$B$18046,$H2209))*0.00005),ABS($D2209-INDEX('AH History'!$C$1:$C$18046,$H2209))&lt;=MAX(0.005,ABS(INDEX('AH History'!$C$1:$C$18046,$H2209))*0.00005),ABS($E2209-INDEX('AH History'!$D$1:$D$18046,$H2209))&lt;=0.00005,$F2209=INDEX('AH History'!$E$1:$E$18046,$H2209),$G2209=INDEX('AH History'!$F$1:$F$18046,$H2209)),1,-1),-1))</ns0:f>
        <ns0:v/>
      </ns0:c>
    </ns0:row>
    <ns0:row r="2210">
      <ns0:c r="A2210" s="215">
        <ns0:f>IF(OR(AH!$P$3=0,2205+1&gt;AH!$P$11,AND(AH!$E$4&lt;&gt;"Stored",AH!$P$10&lt;&gt;1)),"",IFERROR(IF(AND(AH!$P$21=1,2205+1=AH!$P$11),TODAY(),IF(AH!$P$10=1,INDEX('Live History'!$A$5:$A$3004,AH!$P$13+2205),INDEX('AH History'!$A$1:$A$18046,AH!$P$7+2205))),""))</ns0:f>
        <ns0:v/>
      </ns0:c>
      <ns0:c r="B2210" s="219">
        <ns0:f>IFERROR(IF(AND(AH!$P$9&lt;&gt;1,$C2210&gt;0,$D2210&gt;0,$E2210&gt;0,$F2210&gt;0,$G2210&gt;0,$F2210&lt;=$A2210,$G2210&lt;=$A2210,$A2210-$F2210&lt;=10,$A2210-$G2210&lt;=5),$D2210*$E2210/$C2210-1,NA()),NA())</ns0:f>
        <ns0:v/>
      </ns0:c>
      <ns0:c r="C2210">
        <ns0:f>IFERROR(IF(ISNUMBER($A2210),IF(AND(AH!$P$10=1,AH!$P$12=1,$A2210=TODAY()),AH!$P$19,IF(AH!$P$10=1,INDEX('Live History'!$B$5:$B$3004,AH!$P$13+2205),INDEX('AH History'!$B$1:$B$18046,AH!$P$7+2205))),NA()),NA())</ns0:f>
        <ns0:v/>
      </ns0:c>
      <ns0:c r="D2210">
        <ns0:f>IFERROR(IF(ISNUMBER($A2210),IF(AND(AH!$P$10=1,AH!$P$12=1,$A2210=TODAY()),AH!$P$18,IF(AH!$P$10=1,INDEX('Live History'!$E$5:$E$3004,MATCH($A2210,'Live History'!$D$5:$D$3004,1)),INDEX('AH History'!$C$1:$C$18046,AH!$P$7+2205))),NA()),NA())</ns0:f>
        <ns0:v/>
      </ns0:c>
      <ns0:c r="E2210">
        <ns0:f>IFERROR(IF(ISNUMBER($A2210),IF(AND(AH!$P$10=1,AH!$P$12=1,$A2210=TODAY()),AH!$P$20,IF(AH!$P$10=1,INDEX('Live History'!$H$5:$H$3004,MATCH($A2210,'Live History'!$G$5:$G$3004,1)),INDEX('AH History'!$D$1:$D$18046,AH!$P$7+2205))),NA()),NA())</ns0:f>
        <ns0:v/>
      </ns0:c>
      <ns0:c r="F2210">
        <ns0:f>IFERROR(IF(ISNUMBER($A2210),IF(AND(AH!$P$10=1,AH!$P$12=1,$A2210=TODAY()),IF(AND(AH!$P$10=1,AH!$P$12=1,$A2210=TODAY()),TODAY(),NA()),IF(AH!$P$10=1,INDEX('Live History'!$D$5:$D$3004,MATCH($A2210,'Live History'!$D$5:$D$3004,1)),INDEX('AH History'!$E$1:$E$18046,AH!$P$7+2205))),NA()),NA())</ns0:f>
        <ns0:v/>
      </ns0:c>
      <ns0:c r="G2210">
        <ns0:f>IFERROR(IF(ISNUMBER($A2210),IF(AND(AH!$P$10=1,AH!$P$12=1,$A2210=TODAY()),IF(AND(AH!$P$10=1,AH!$P$12=1,$A2210=TODAY()),TODAY(),NA()),IF(AH!$P$10=1,INDEX('Live History'!$G$5:$G$3004,MATCH($A2210,'Live History'!$G$5:$G$3004,1)),INDEX('AH History'!$F$1:$F$18046,AH!$P$7+2205))),NA()),NA())</ns0:f>
        <ns0:v/>
      </ns0:c>
      <ns0:c r="H2210">
        <ns0:f>IFERROR(IF(AND(AH!$E$4="Bloomberg",AH!$P$10=1,ISNUMBER($A2210),$A2210&lt;=AH!$P$17),AH!$P$7-1+MATCH($A2210,INDEX('AH History'!$A$1:$A$18046,AH!$P$7):INDEX('AH History'!$A$1:$A$18046,AH!$P$7+AH!$P$8-1),0),0),0)</ns0:f>
        <ns0:v/>
      </ns0:c>
      <ns0:c r="I2210">
        <ns0:f>IF($H2210=0,0,IFERROR(IF(AND(ABS($C2210-INDEX('AH History'!$B$1:$B$18046,$H2210))&lt;=MAX(0.005,ABS(INDEX('AH History'!$B$1:$B$18046,$H2210))*0.00005),ABS($D2210-INDEX('AH History'!$C$1:$C$18046,$H2210))&lt;=MAX(0.005,ABS(INDEX('AH History'!$C$1:$C$18046,$H2210))*0.00005),ABS($E2210-INDEX('AH History'!$D$1:$D$18046,$H2210))&lt;=0.00005,$F2210=INDEX('AH History'!$E$1:$E$18046,$H2210),$G2210=INDEX('AH History'!$F$1:$F$18046,$H2210)),1,-1),-1))</ns0:f>
        <ns0:v/>
      </ns0:c>
    </ns0:row>
    <ns0:row r="2211">
      <ns0:c r="A2211" s="215">
        <ns0:f>IF(OR(AH!$P$3=0,2206+1&gt;AH!$P$11,AND(AH!$E$4&lt;&gt;"Stored",AH!$P$10&lt;&gt;1)),"",IFERROR(IF(AND(AH!$P$21=1,2206+1=AH!$P$11),TODAY(),IF(AH!$P$10=1,INDEX('Live History'!$A$5:$A$3004,AH!$P$13+2206),INDEX('AH History'!$A$1:$A$18046,AH!$P$7+2206))),""))</ns0:f>
        <ns0:v/>
      </ns0:c>
      <ns0:c r="B2211" s="219">
        <ns0:f>IFERROR(IF(AND(AH!$P$9&lt;&gt;1,$C2211&gt;0,$D2211&gt;0,$E2211&gt;0,$F2211&gt;0,$G2211&gt;0,$F2211&lt;=$A2211,$G2211&lt;=$A2211,$A2211-$F2211&lt;=10,$A2211-$G2211&lt;=5),$D2211*$E2211/$C2211-1,NA()),NA())</ns0:f>
        <ns0:v/>
      </ns0:c>
      <ns0:c r="C2211">
        <ns0:f>IFERROR(IF(ISNUMBER($A2211),IF(AND(AH!$P$10=1,AH!$P$12=1,$A2211=TODAY()),AH!$P$19,IF(AH!$P$10=1,INDEX('Live History'!$B$5:$B$3004,AH!$P$13+2206),INDEX('AH History'!$B$1:$B$18046,AH!$P$7+2206))),NA()),NA())</ns0:f>
        <ns0:v/>
      </ns0:c>
      <ns0:c r="D2211">
        <ns0:f>IFERROR(IF(ISNUMBER($A2211),IF(AND(AH!$P$10=1,AH!$P$12=1,$A2211=TODAY()),AH!$P$18,IF(AH!$P$10=1,INDEX('Live History'!$E$5:$E$3004,MATCH($A2211,'Live History'!$D$5:$D$3004,1)),INDEX('AH History'!$C$1:$C$18046,AH!$P$7+2206))),NA()),NA())</ns0:f>
        <ns0:v/>
      </ns0:c>
      <ns0:c r="E2211">
        <ns0:f>IFERROR(IF(ISNUMBER($A2211),IF(AND(AH!$P$10=1,AH!$P$12=1,$A2211=TODAY()),AH!$P$20,IF(AH!$P$10=1,INDEX('Live History'!$H$5:$H$3004,MATCH($A2211,'Live History'!$G$5:$G$3004,1)),INDEX('AH History'!$D$1:$D$18046,AH!$P$7+2206))),NA()),NA())</ns0:f>
        <ns0:v/>
      </ns0:c>
      <ns0:c r="F2211">
        <ns0:f>IFERROR(IF(ISNUMBER($A2211),IF(AND(AH!$P$10=1,AH!$P$12=1,$A2211=TODAY()),IF(AND(AH!$P$10=1,AH!$P$12=1,$A2211=TODAY()),TODAY(),NA()),IF(AH!$P$10=1,INDEX('Live History'!$D$5:$D$3004,MATCH($A2211,'Live History'!$D$5:$D$3004,1)),INDEX('AH History'!$E$1:$E$18046,AH!$P$7+2206))),NA()),NA())</ns0:f>
        <ns0:v/>
      </ns0:c>
      <ns0:c r="G2211">
        <ns0:f>IFERROR(IF(ISNUMBER($A2211),IF(AND(AH!$P$10=1,AH!$P$12=1,$A2211=TODAY()),IF(AND(AH!$P$10=1,AH!$P$12=1,$A2211=TODAY()),TODAY(),NA()),IF(AH!$P$10=1,INDEX('Live History'!$G$5:$G$3004,MATCH($A2211,'Live History'!$G$5:$G$3004,1)),INDEX('AH History'!$F$1:$F$18046,AH!$P$7+2206))),NA()),NA())</ns0:f>
        <ns0:v/>
      </ns0:c>
      <ns0:c r="H2211">
        <ns0:f>IFERROR(IF(AND(AH!$E$4="Bloomberg",AH!$P$10=1,ISNUMBER($A2211),$A2211&lt;=AH!$P$17),AH!$P$7-1+MATCH($A2211,INDEX('AH History'!$A$1:$A$18046,AH!$P$7):INDEX('AH History'!$A$1:$A$18046,AH!$P$7+AH!$P$8-1),0),0),0)</ns0:f>
        <ns0:v/>
      </ns0:c>
      <ns0:c r="I2211">
        <ns0:f>IF($H2211=0,0,IFERROR(IF(AND(ABS($C2211-INDEX('AH History'!$B$1:$B$18046,$H2211))&lt;=MAX(0.005,ABS(INDEX('AH History'!$B$1:$B$18046,$H2211))*0.00005),ABS($D2211-INDEX('AH History'!$C$1:$C$18046,$H2211))&lt;=MAX(0.005,ABS(INDEX('AH History'!$C$1:$C$18046,$H2211))*0.00005),ABS($E2211-INDEX('AH History'!$D$1:$D$18046,$H2211))&lt;=0.00005,$F2211=INDEX('AH History'!$E$1:$E$18046,$H2211),$G2211=INDEX('AH History'!$F$1:$F$18046,$H2211)),1,-1),-1))</ns0:f>
        <ns0:v/>
      </ns0:c>
    </ns0:row>
    <ns0:row r="2212">
      <ns0:c r="A2212" s="215">
        <ns0:f>IF(OR(AH!$P$3=0,2207+1&gt;AH!$P$11,AND(AH!$E$4&lt;&gt;"Stored",AH!$P$10&lt;&gt;1)),"",IFERROR(IF(AND(AH!$P$21=1,2207+1=AH!$P$11),TODAY(),IF(AH!$P$10=1,INDEX('Live History'!$A$5:$A$3004,AH!$P$13+2207),INDEX('AH History'!$A$1:$A$18046,AH!$P$7+2207))),""))</ns0:f>
        <ns0:v/>
      </ns0:c>
      <ns0:c r="B2212" s="219">
        <ns0:f>IFERROR(IF(AND(AH!$P$9&lt;&gt;1,$C2212&gt;0,$D2212&gt;0,$E2212&gt;0,$F2212&gt;0,$G2212&gt;0,$F2212&lt;=$A2212,$G2212&lt;=$A2212,$A2212-$F2212&lt;=10,$A2212-$G2212&lt;=5),$D2212*$E2212/$C2212-1,NA()),NA())</ns0:f>
        <ns0:v/>
      </ns0:c>
      <ns0:c r="C2212">
        <ns0:f>IFERROR(IF(ISNUMBER($A2212),IF(AND(AH!$P$10=1,AH!$P$12=1,$A2212=TODAY()),AH!$P$19,IF(AH!$P$10=1,INDEX('Live History'!$B$5:$B$3004,AH!$P$13+2207),INDEX('AH History'!$B$1:$B$18046,AH!$P$7+2207))),NA()),NA())</ns0:f>
        <ns0:v/>
      </ns0:c>
      <ns0:c r="D2212">
        <ns0:f>IFERROR(IF(ISNUMBER($A2212),IF(AND(AH!$P$10=1,AH!$P$12=1,$A2212=TODAY()),AH!$P$18,IF(AH!$P$10=1,INDEX('Live History'!$E$5:$E$3004,MATCH($A2212,'Live History'!$D$5:$D$3004,1)),INDEX('AH History'!$C$1:$C$18046,AH!$P$7+2207))),NA()),NA())</ns0:f>
        <ns0:v/>
      </ns0:c>
      <ns0:c r="E2212">
        <ns0:f>IFERROR(IF(ISNUMBER($A2212),IF(AND(AH!$P$10=1,AH!$P$12=1,$A2212=TODAY()),AH!$P$20,IF(AH!$P$10=1,INDEX('Live History'!$H$5:$H$3004,MATCH($A2212,'Live History'!$G$5:$G$3004,1)),INDEX('AH History'!$D$1:$D$18046,AH!$P$7+2207))),NA()),NA())</ns0:f>
        <ns0:v/>
      </ns0:c>
      <ns0:c r="F2212">
        <ns0:f>IFERROR(IF(ISNUMBER($A2212),IF(AND(AH!$P$10=1,AH!$P$12=1,$A2212=TODAY()),IF(AND(AH!$P$10=1,AH!$P$12=1,$A2212=TODAY()),TODAY(),NA()),IF(AH!$P$10=1,INDEX('Live History'!$D$5:$D$3004,MATCH($A2212,'Live History'!$D$5:$D$3004,1)),INDEX('AH History'!$E$1:$E$18046,AH!$P$7+2207))),NA()),NA())</ns0:f>
        <ns0:v/>
      </ns0:c>
      <ns0:c r="G2212">
        <ns0:f>IFERROR(IF(ISNUMBER($A2212),IF(AND(AH!$P$10=1,AH!$P$12=1,$A2212=TODAY()),IF(AND(AH!$P$10=1,AH!$P$12=1,$A2212=TODAY()),TODAY(),NA()),IF(AH!$P$10=1,INDEX('Live History'!$G$5:$G$3004,MATCH($A2212,'Live History'!$G$5:$G$3004,1)),INDEX('AH History'!$F$1:$F$18046,AH!$P$7+2207))),NA()),NA())</ns0:f>
        <ns0:v/>
      </ns0:c>
      <ns0:c r="H2212">
        <ns0:f>IFERROR(IF(AND(AH!$E$4="Bloomberg",AH!$P$10=1,ISNUMBER($A2212),$A2212&lt;=AH!$P$17),AH!$P$7-1+MATCH($A2212,INDEX('AH History'!$A$1:$A$18046,AH!$P$7):INDEX('AH History'!$A$1:$A$18046,AH!$P$7+AH!$P$8-1),0),0),0)</ns0:f>
        <ns0:v/>
      </ns0:c>
      <ns0:c r="I2212">
        <ns0:f>IF($H2212=0,0,IFERROR(IF(AND(ABS($C2212-INDEX('AH History'!$B$1:$B$18046,$H2212))&lt;=MAX(0.005,ABS(INDEX('AH History'!$B$1:$B$18046,$H2212))*0.00005),ABS($D2212-INDEX('AH History'!$C$1:$C$18046,$H2212))&lt;=MAX(0.005,ABS(INDEX('AH History'!$C$1:$C$18046,$H2212))*0.00005),ABS($E2212-INDEX('AH History'!$D$1:$D$18046,$H2212))&lt;=0.00005,$F2212=INDEX('AH History'!$E$1:$E$18046,$H2212),$G2212=INDEX('AH History'!$F$1:$F$18046,$H2212)),1,-1),-1))</ns0:f>
        <ns0:v/>
      </ns0:c>
    </ns0:row>
    <ns0:row r="2213">
      <ns0:c r="A2213" s="215">
        <ns0:f>IF(OR(AH!$P$3=0,2208+1&gt;AH!$P$11,AND(AH!$E$4&lt;&gt;"Stored",AH!$P$10&lt;&gt;1)),"",IFERROR(IF(AND(AH!$P$21=1,2208+1=AH!$P$11),TODAY(),IF(AH!$P$10=1,INDEX('Live History'!$A$5:$A$3004,AH!$P$13+2208),INDEX('AH History'!$A$1:$A$18046,AH!$P$7+2208))),""))</ns0:f>
        <ns0:v/>
      </ns0:c>
      <ns0:c r="B2213" s="219">
        <ns0:f>IFERROR(IF(AND(AH!$P$9&lt;&gt;1,$C2213&gt;0,$D2213&gt;0,$E2213&gt;0,$F2213&gt;0,$G2213&gt;0,$F2213&lt;=$A2213,$G2213&lt;=$A2213,$A2213-$F2213&lt;=10,$A2213-$G2213&lt;=5),$D2213*$E2213/$C2213-1,NA()),NA())</ns0:f>
        <ns0:v/>
      </ns0:c>
      <ns0:c r="C2213">
        <ns0:f>IFERROR(IF(ISNUMBER($A2213),IF(AND(AH!$P$10=1,AH!$P$12=1,$A2213=TODAY()),AH!$P$19,IF(AH!$P$10=1,INDEX('Live History'!$B$5:$B$3004,AH!$P$13+2208),INDEX('AH History'!$B$1:$B$18046,AH!$P$7+2208))),NA()),NA())</ns0:f>
        <ns0:v/>
      </ns0:c>
      <ns0:c r="D2213">
        <ns0:f>IFERROR(IF(ISNUMBER($A2213),IF(AND(AH!$P$10=1,AH!$P$12=1,$A2213=TODAY()),AH!$P$18,IF(AH!$P$10=1,INDEX('Live History'!$E$5:$E$3004,MATCH($A2213,'Live History'!$D$5:$D$3004,1)),INDEX('AH History'!$C$1:$C$18046,AH!$P$7+2208))),NA()),NA())</ns0:f>
        <ns0:v/>
      </ns0:c>
      <ns0:c r="E2213">
        <ns0:f>IFERROR(IF(ISNUMBER($A2213),IF(AND(AH!$P$10=1,AH!$P$12=1,$A2213=TODAY()),AH!$P$20,IF(AH!$P$10=1,INDEX('Live History'!$H$5:$H$3004,MATCH($A2213,'Live History'!$G$5:$G$3004,1)),INDEX('AH History'!$D$1:$D$18046,AH!$P$7+2208))),NA()),NA())</ns0:f>
        <ns0:v/>
      </ns0:c>
      <ns0:c r="F2213">
        <ns0:f>IFERROR(IF(ISNUMBER($A2213),IF(AND(AH!$P$10=1,AH!$P$12=1,$A2213=TODAY()),IF(AND(AH!$P$10=1,AH!$P$12=1,$A2213=TODAY()),TODAY(),NA()),IF(AH!$P$10=1,INDEX('Live History'!$D$5:$D$3004,MATCH($A2213,'Live History'!$D$5:$D$3004,1)),INDEX('AH History'!$E$1:$E$18046,AH!$P$7+2208))),NA()),NA())</ns0:f>
        <ns0:v/>
      </ns0:c>
      <ns0:c r="G2213">
        <ns0:f>IFERROR(IF(ISNUMBER($A2213),IF(AND(AH!$P$10=1,AH!$P$12=1,$A2213=TODAY()),IF(AND(AH!$P$10=1,AH!$P$12=1,$A2213=TODAY()),TODAY(),NA()),IF(AH!$P$10=1,INDEX('Live History'!$G$5:$G$3004,MATCH($A2213,'Live History'!$G$5:$G$3004,1)),INDEX('AH History'!$F$1:$F$18046,AH!$P$7+2208))),NA()),NA())</ns0:f>
        <ns0:v/>
      </ns0:c>
      <ns0:c r="H2213">
        <ns0:f>IFERROR(IF(AND(AH!$E$4="Bloomberg",AH!$P$10=1,ISNUMBER($A2213),$A2213&lt;=AH!$P$17),AH!$P$7-1+MATCH($A2213,INDEX('AH History'!$A$1:$A$18046,AH!$P$7):INDEX('AH History'!$A$1:$A$18046,AH!$P$7+AH!$P$8-1),0),0),0)</ns0:f>
        <ns0:v/>
      </ns0:c>
      <ns0:c r="I2213">
        <ns0:f>IF($H2213=0,0,IFERROR(IF(AND(ABS($C2213-INDEX('AH History'!$B$1:$B$18046,$H2213))&lt;=MAX(0.005,ABS(INDEX('AH History'!$B$1:$B$18046,$H2213))*0.00005),ABS($D2213-INDEX('AH History'!$C$1:$C$18046,$H2213))&lt;=MAX(0.005,ABS(INDEX('AH History'!$C$1:$C$18046,$H2213))*0.00005),ABS($E2213-INDEX('AH History'!$D$1:$D$18046,$H2213))&lt;=0.00005,$F2213=INDEX('AH History'!$E$1:$E$18046,$H2213),$G2213=INDEX('AH History'!$F$1:$F$18046,$H2213)),1,-1),-1))</ns0:f>
        <ns0:v/>
      </ns0:c>
    </ns0:row>
    <ns0:row r="2214">
      <ns0:c r="A2214" s="215">
        <ns0:f>IF(OR(AH!$P$3=0,2209+1&gt;AH!$P$11,AND(AH!$E$4&lt;&gt;"Stored",AH!$P$10&lt;&gt;1)),"",IFERROR(IF(AND(AH!$P$21=1,2209+1=AH!$P$11),TODAY(),IF(AH!$P$10=1,INDEX('Live History'!$A$5:$A$3004,AH!$P$13+2209),INDEX('AH History'!$A$1:$A$18046,AH!$P$7+2209))),""))</ns0:f>
        <ns0:v/>
      </ns0:c>
      <ns0:c r="B2214" s="219">
        <ns0:f>IFERROR(IF(AND(AH!$P$9&lt;&gt;1,$C2214&gt;0,$D2214&gt;0,$E2214&gt;0,$F2214&gt;0,$G2214&gt;0,$F2214&lt;=$A2214,$G2214&lt;=$A2214,$A2214-$F2214&lt;=10,$A2214-$G2214&lt;=5),$D2214*$E2214/$C2214-1,NA()),NA())</ns0:f>
        <ns0:v/>
      </ns0:c>
      <ns0:c r="C2214">
        <ns0:f>IFERROR(IF(ISNUMBER($A2214),IF(AND(AH!$P$10=1,AH!$P$12=1,$A2214=TODAY()),AH!$P$19,IF(AH!$P$10=1,INDEX('Live History'!$B$5:$B$3004,AH!$P$13+2209),INDEX('AH History'!$B$1:$B$18046,AH!$P$7+2209))),NA()),NA())</ns0:f>
        <ns0:v/>
      </ns0:c>
      <ns0:c r="D2214">
        <ns0:f>IFERROR(IF(ISNUMBER($A2214),IF(AND(AH!$P$10=1,AH!$P$12=1,$A2214=TODAY()),AH!$P$18,IF(AH!$P$10=1,INDEX('Live History'!$E$5:$E$3004,MATCH($A2214,'Live History'!$D$5:$D$3004,1)),INDEX('AH History'!$C$1:$C$18046,AH!$P$7+2209))),NA()),NA())</ns0:f>
        <ns0:v/>
      </ns0:c>
      <ns0:c r="E2214">
        <ns0:f>IFERROR(IF(ISNUMBER($A2214),IF(AND(AH!$P$10=1,AH!$P$12=1,$A2214=TODAY()),AH!$P$20,IF(AH!$P$10=1,INDEX('Live History'!$H$5:$H$3004,MATCH($A2214,'Live History'!$G$5:$G$3004,1)),INDEX('AH History'!$D$1:$D$18046,AH!$P$7+2209))),NA()),NA())</ns0:f>
        <ns0:v/>
      </ns0:c>
      <ns0:c r="F2214">
        <ns0:f>IFERROR(IF(ISNUMBER($A2214),IF(AND(AH!$P$10=1,AH!$P$12=1,$A2214=TODAY()),IF(AND(AH!$P$10=1,AH!$P$12=1,$A2214=TODAY()),TODAY(),NA()),IF(AH!$P$10=1,INDEX('Live History'!$D$5:$D$3004,MATCH($A2214,'Live History'!$D$5:$D$3004,1)),INDEX('AH History'!$E$1:$E$18046,AH!$P$7+2209))),NA()),NA())</ns0:f>
        <ns0:v/>
      </ns0:c>
      <ns0:c r="G2214">
        <ns0:f>IFERROR(IF(ISNUMBER($A2214),IF(AND(AH!$P$10=1,AH!$P$12=1,$A2214=TODAY()),IF(AND(AH!$P$10=1,AH!$P$12=1,$A2214=TODAY()),TODAY(),NA()),IF(AH!$P$10=1,INDEX('Live History'!$G$5:$G$3004,MATCH($A2214,'Live History'!$G$5:$G$3004,1)),INDEX('AH History'!$F$1:$F$18046,AH!$P$7+2209))),NA()),NA())</ns0:f>
        <ns0:v/>
      </ns0:c>
      <ns0:c r="H2214">
        <ns0:f>IFERROR(IF(AND(AH!$E$4="Bloomberg",AH!$P$10=1,ISNUMBER($A2214),$A2214&lt;=AH!$P$17),AH!$P$7-1+MATCH($A2214,INDEX('AH History'!$A$1:$A$18046,AH!$P$7):INDEX('AH History'!$A$1:$A$18046,AH!$P$7+AH!$P$8-1),0),0),0)</ns0:f>
        <ns0:v/>
      </ns0:c>
      <ns0:c r="I2214">
        <ns0:f>IF($H2214=0,0,IFERROR(IF(AND(ABS($C2214-INDEX('AH History'!$B$1:$B$18046,$H2214))&lt;=MAX(0.005,ABS(INDEX('AH History'!$B$1:$B$18046,$H2214))*0.00005),ABS($D2214-INDEX('AH History'!$C$1:$C$18046,$H2214))&lt;=MAX(0.005,ABS(INDEX('AH History'!$C$1:$C$18046,$H2214))*0.00005),ABS($E2214-INDEX('AH History'!$D$1:$D$18046,$H2214))&lt;=0.00005,$F2214=INDEX('AH History'!$E$1:$E$18046,$H2214),$G2214=INDEX('AH History'!$F$1:$F$18046,$H2214)),1,-1),-1))</ns0:f>
        <ns0:v/>
      </ns0:c>
    </ns0:row>
    <ns0:row r="2215">
      <ns0:c r="A2215" s="215">
        <ns0:f>IF(OR(AH!$P$3=0,2210+1&gt;AH!$P$11,AND(AH!$E$4&lt;&gt;"Stored",AH!$P$10&lt;&gt;1)),"",IFERROR(IF(AND(AH!$P$21=1,2210+1=AH!$P$11),TODAY(),IF(AH!$P$10=1,INDEX('Live History'!$A$5:$A$3004,AH!$P$13+2210),INDEX('AH History'!$A$1:$A$18046,AH!$P$7+2210))),""))</ns0:f>
        <ns0:v/>
      </ns0:c>
      <ns0:c r="B2215" s="219">
        <ns0:f>IFERROR(IF(AND(AH!$P$9&lt;&gt;1,$C2215&gt;0,$D2215&gt;0,$E2215&gt;0,$F2215&gt;0,$G2215&gt;0,$F2215&lt;=$A2215,$G2215&lt;=$A2215,$A2215-$F2215&lt;=10,$A2215-$G2215&lt;=5),$D2215*$E2215/$C2215-1,NA()),NA())</ns0:f>
        <ns0:v/>
      </ns0:c>
      <ns0:c r="C2215">
        <ns0:f>IFERROR(IF(ISNUMBER($A2215),IF(AND(AH!$P$10=1,AH!$P$12=1,$A2215=TODAY()),AH!$P$19,IF(AH!$P$10=1,INDEX('Live History'!$B$5:$B$3004,AH!$P$13+2210),INDEX('AH History'!$B$1:$B$18046,AH!$P$7+2210))),NA()),NA())</ns0:f>
        <ns0:v/>
      </ns0:c>
      <ns0:c r="D2215">
        <ns0:f>IFERROR(IF(ISNUMBER($A2215),IF(AND(AH!$P$10=1,AH!$P$12=1,$A2215=TODAY()),AH!$P$18,IF(AH!$P$10=1,INDEX('Live History'!$E$5:$E$3004,MATCH($A2215,'Live History'!$D$5:$D$3004,1)),INDEX('AH History'!$C$1:$C$18046,AH!$P$7+2210))),NA()),NA())</ns0:f>
        <ns0:v/>
      </ns0:c>
      <ns0:c r="E2215">
        <ns0:f>IFERROR(IF(ISNUMBER($A2215),IF(AND(AH!$P$10=1,AH!$P$12=1,$A2215=TODAY()),AH!$P$20,IF(AH!$P$10=1,INDEX('Live History'!$H$5:$H$3004,MATCH($A2215,'Live History'!$G$5:$G$3004,1)),INDEX('AH History'!$D$1:$D$18046,AH!$P$7+2210))),NA()),NA())</ns0:f>
        <ns0:v/>
      </ns0:c>
      <ns0:c r="F2215">
        <ns0:f>IFERROR(IF(ISNUMBER($A2215),IF(AND(AH!$P$10=1,AH!$P$12=1,$A2215=TODAY()),IF(AND(AH!$P$10=1,AH!$P$12=1,$A2215=TODAY()),TODAY(),NA()),IF(AH!$P$10=1,INDEX('Live History'!$D$5:$D$3004,MATCH($A2215,'Live History'!$D$5:$D$3004,1)),INDEX('AH History'!$E$1:$E$18046,AH!$P$7+2210))),NA()),NA())</ns0:f>
        <ns0:v/>
      </ns0:c>
      <ns0:c r="G2215">
        <ns0:f>IFERROR(IF(ISNUMBER($A2215),IF(AND(AH!$P$10=1,AH!$P$12=1,$A2215=TODAY()),IF(AND(AH!$P$10=1,AH!$P$12=1,$A2215=TODAY()),TODAY(),NA()),IF(AH!$P$10=1,INDEX('Live History'!$G$5:$G$3004,MATCH($A2215,'Live History'!$G$5:$G$3004,1)),INDEX('AH History'!$F$1:$F$18046,AH!$P$7+2210))),NA()),NA())</ns0:f>
        <ns0:v/>
      </ns0:c>
      <ns0:c r="H2215">
        <ns0:f>IFERROR(IF(AND(AH!$E$4="Bloomberg",AH!$P$10=1,ISNUMBER($A2215),$A2215&lt;=AH!$P$17),AH!$P$7-1+MATCH($A2215,INDEX('AH History'!$A$1:$A$18046,AH!$P$7):INDEX('AH History'!$A$1:$A$18046,AH!$P$7+AH!$P$8-1),0),0),0)</ns0:f>
        <ns0:v/>
      </ns0:c>
      <ns0:c r="I2215">
        <ns0:f>IF($H2215=0,0,IFERROR(IF(AND(ABS($C2215-INDEX('AH History'!$B$1:$B$18046,$H2215))&lt;=MAX(0.005,ABS(INDEX('AH History'!$B$1:$B$18046,$H2215))*0.00005),ABS($D2215-INDEX('AH History'!$C$1:$C$18046,$H2215))&lt;=MAX(0.005,ABS(INDEX('AH History'!$C$1:$C$18046,$H2215))*0.00005),ABS($E2215-INDEX('AH History'!$D$1:$D$18046,$H2215))&lt;=0.00005,$F2215=INDEX('AH History'!$E$1:$E$18046,$H2215),$G2215=INDEX('AH History'!$F$1:$F$18046,$H2215)),1,-1),-1))</ns0:f>
        <ns0:v/>
      </ns0:c>
    </ns0:row>
    <ns0:row r="2216">
      <ns0:c r="A2216" s="215">
        <ns0:f>IF(OR(AH!$P$3=0,2211+1&gt;AH!$P$11,AND(AH!$E$4&lt;&gt;"Stored",AH!$P$10&lt;&gt;1)),"",IFERROR(IF(AND(AH!$P$21=1,2211+1=AH!$P$11),TODAY(),IF(AH!$P$10=1,INDEX('Live History'!$A$5:$A$3004,AH!$P$13+2211),INDEX('AH History'!$A$1:$A$18046,AH!$P$7+2211))),""))</ns0:f>
        <ns0:v/>
      </ns0:c>
      <ns0:c r="B2216" s="219">
        <ns0:f>IFERROR(IF(AND(AH!$P$9&lt;&gt;1,$C2216&gt;0,$D2216&gt;0,$E2216&gt;0,$F2216&gt;0,$G2216&gt;0,$F2216&lt;=$A2216,$G2216&lt;=$A2216,$A2216-$F2216&lt;=10,$A2216-$G2216&lt;=5),$D2216*$E2216/$C2216-1,NA()),NA())</ns0:f>
        <ns0:v/>
      </ns0:c>
      <ns0:c r="C2216">
        <ns0:f>IFERROR(IF(ISNUMBER($A2216),IF(AND(AH!$P$10=1,AH!$P$12=1,$A2216=TODAY()),AH!$P$19,IF(AH!$P$10=1,INDEX('Live History'!$B$5:$B$3004,AH!$P$13+2211),INDEX('AH History'!$B$1:$B$18046,AH!$P$7+2211))),NA()),NA())</ns0:f>
        <ns0:v/>
      </ns0:c>
      <ns0:c r="D2216">
        <ns0:f>IFERROR(IF(ISNUMBER($A2216),IF(AND(AH!$P$10=1,AH!$P$12=1,$A2216=TODAY()),AH!$P$18,IF(AH!$P$10=1,INDEX('Live History'!$E$5:$E$3004,MATCH($A2216,'Live History'!$D$5:$D$3004,1)),INDEX('AH History'!$C$1:$C$18046,AH!$P$7+2211))),NA()),NA())</ns0:f>
        <ns0:v/>
      </ns0:c>
      <ns0:c r="E2216">
        <ns0:f>IFERROR(IF(ISNUMBER($A2216),IF(AND(AH!$P$10=1,AH!$P$12=1,$A2216=TODAY()),AH!$P$20,IF(AH!$P$10=1,INDEX('Live History'!$H$5:$H$3004,MATCH($A2216,'Live History'!$G$5:$G$3004,1)),INDEX('AH History'!$D$1:$D$18046,AH!$P$7+2211))),NA()),NA())</ns0:f>
        <ns0:v/>
      </ns0:c>
      <ns0:c r="F2216">
        <ns0:f>IFERROR(IF(ISNUMBER($A2216),IF(AND(AH!$P$10=1,AH!$P$12=1,$A2216=TODAY()),IF(AND(AH!$P$10=1,AH!$P$12=1,$A2216=TODAY()),TODAY(),NA()),IF(AH!$P$10=1,INDEX('Live History'!$D$5:$D$3004,MATCH($A2216,'Live History'!$D$5:$D$3004,1)),INDEX('AH History'!$E$1:$E$18046,AH!$P$7+2211))),NA()),NA())</ns0:f>
        <ns0:v/>
      </ns0:c>
      <ns0:c r="G2216">
        <ns0:f>IFERROR(IF(ISNUMBER($A2216),IF(AND(AH!$P$10=1,AH!$P$12=1,$A2216=TODAY()),IF(AND(AH!$P$10=1,AH!$P$12=1,$A2216=TODAY()),TODAY(),NA()),IF(AH!$P$10=1,INDEX('Live History'!$G$5:$G$3004,MATCH($A2216,'Live History'!$G$5:$G$3004,1)),INDEX('AH History'!$F$1:$F$18046,AH!$P$7+2211))),NA()),NA())</ns0:f>
        <ns0:v/>
      </ns0:c>
      <ns0:c r="H2216">
        <ns0:f>IFERROR(IF(AND(AH!$E$4="Bloomberg",AH!$P$10=1,ISNUMBER($A2216),$A2216&lt;=AH!$P$17),AH!$P$7-1+MATCH($A2216,INDEX('AH History'!$A$1:$A$18046,AH!$P$7):INDEX('AH History'!$A$1:$A$18046,AH!$P$7+AH!$P$8-1),0),0),0)</ns0:f>
        <ns0:v/>
      </ns0:c>
      <ns0:c r="I2216">
        <ns0:f>IF($H2216=0,0,IFERROR(IF(AND(ABS($C2216-INDEX('AH History'!$B$1:$B$18046,$H2216))&lt;=MAX(0.005,ABS(INDEX('AH History'!$B$1:$B$18046,$H2216))*0.00005),ABS($D2216-INDEX('AH History'!$C$1:$C$18046,$H2216))&lt;=MAX(0.005,ABS(INDEX('AH History'!$C$1:$C$18046,$H2216))*0.00005),ABS($E2216-INDEX('AH History'!$D$1:$D$18046,$H2216))&lt;=0.00005,$F2216=INDEX('AH History'!$E$1:$E$18046,$H2216),$G2216=INDEX('AH History'!$F$1:$F$18046,$H2216)),1,-1),-1))</ns0:f>
        <ns0:v/>
      </ns0:c>
    </ns0:row>
    <ns0:row r="2217">
      <ns0:c r="A2217" s="215">
        <ns0:f>IF(OR(AH!$P$3=0,2212+1&gt;AH!$P$11,AND(AH!$E$4&lt;&gt;"Stored",AH!$P$10&lt;&gt;1)),"",IFERROR(IF(AND(AH!$P$21=1,2212+1=AH!$P$11),TODAY(),IF(AH!$P$10=1,INDEX('Live History'!$A$5:$A$3004,AH!$P$13+2212),INDEX('AH History'!$A$1:$A$18046,AH!$P$7+2212))),""))</ns0:f>
        <ns0:v/>
      </ns0:c>
      <ns0:c r="B2217" s="219">
        <ns0:f>IFERROR(IF(AND(AH!$P$9&lt;&gt;1,$C2217&gt;0,$D2217&gt;0,$E2217&gt;0,$F2217&gt;0,$G2217&gt;0,$F2217&lt;=$A2217,$G2217&lt;=$A2217,$A2217-$F2217&lt;=10,$A2217-$G2217&lt;=5),$D2217*$E2217/$C2217-1,NA()),NA())</ns0:f>
        <ns0:v/>
      </ns0:c>
      <ns0:c r="C2217">
        <ns0:f>IFERROR(IF(ISNUMBER($A2217),IF(AND(AH!$P$10=1,AH!$P$12=1,$A2217=TODAY()),AH!$P$19,IF(AH!$P$10=1,INDEX('Live History'!$B$5:$B$3004,AH!$P$13+2212),INDEX('AH History'!$B$1:$B$18046,AH!$P$7+2212))),NA()),NA())</ns0:f>
        <ns0:v/>
      </ns0:c>
      <ns0:c r="D2217">
        <ns0:f>IFERROR(IF(ISNUMBER($A2217),IF(AND(AH!$P$10=1,AH!$P$12=1,$A2217=TODAY()),AH!$P$18,IF(AH!$P$10=1,INDEX('Live History'!$E$5:$E$3004,MATCH($A2217,'Live History'!$D$5:$D$3004,1)),INDEX('AH History'!$C$1:$C$18046,AH!$P$7+2212))),NA()),NA())</ns0:f>
        <ns0:v/>
      </ns0:c>
      <ns0:c r="E2217">
        <ns0:f>IFERROR(IF(ISNUMBER($A2217),IF(AND(AH!$P$10=1,AH!$P$12=1,$A2217=TODAY()),AH!$P$20,IF(AH!$P$10=1,INDEX('Live History'!$H$5:$H$3004,MATCH($A2217,'Live History'!$G$5:$G$3004,1)),INDEX('AH History'!$D$1:$D$18046,AH!$P$7+2212))),NA()),NA())</ns0:f>
        <ns0:v/>
      </ns0:c>
      <ns0:c r="F2217">
        <ns0:f>IFERROR(IF(ISNUMBER($A2217),IF(AND(AH!$P$10=1,AH!$P$12=1,$A2217=TODAY()),IF(AND(AH!$P$10=1,AH!$P$12=1,$A2217=TODAY()),TODAY(),NA()),IF(AH!$P$10=1,INDEX('Live History'!$D$5:$D$3004,MATCH($A2217,'Live History'!$D$5:$D$3004,1)),INDEX('AH History'!$E$1:$E$18046,AH!$P$7+2212))),NA()),NA())</ns0:f>
        <ns0:v/>
      </ns0:c>
      <ns0:c r="G2217">
        <ns0:f>IFERROR(IF(ISNUMBER($A2217),IF(AND(AH!$P$10=1,AH!$P$12=1,$A2217=TODAY()),IF(AND(AH!$P$10=1,AH!$P$12=1,$A2217=TODAY()),TODAY(),NA()),IF(AH!$P$10=1,INDEX('Live History'!$G$5:$G$3004,MATCH($A2217,'Live History'!$G$5:$G$3004,1)),INDEX('AH History'!$F$1:$F$18046,AH!$P$7+2212))),NA()),NA())</ns0:f>
        <ns0:v/>
      </ns0:c>
      <ns0:c r="H2217">
        <ns0:f>IFERROR(IF(AND(AH!$E$4="Bloomberg",AH!$P$10=1,ISNUMBER($A2217),$A2217&lt;=AH!$P$17),AH!$P$7-1+MATCH($A2217,INDEX('AH History'!$A$1:$A$18046,AH!$P$7):INDEX('AH History'!$A$1:$A$18046,AH!$P$7+AH!$P$8-1),0),0),0)</ns0:f>
        <ns0:v/>
      </ns0:c>
      <ns0:c r="I2217">
        <ns0:f>IF($H2217=0,0,IFERROR(IF(AND(ABS($C2217-INDEX('AH History'!$B$1:$B$18046,$H2217))&lt;=MAX(0.005,ABS(INDEX('AH History'!$B$1:$B$18046,$H2217))*0.00005),ABS($D2217-INDEX('AH History'!$C$1:$C$18046,$H2217))&lt;=MAX(0.005,ABS(INDEX('AH History'!$C$1:$C$18046,$H2217))*0.00005),ABS($E2217-INDEX('AH History'!$D$1:$D$18046,$H2217))&lt;=0.00005,$F2217=INDEX('AH History'!$E$1:$E$18046,$H2217),$G2217=INDEX('AH History'!$F$1:$F$18046,$H2217)),1,-1),-1))</ns0:f>
        <ns0:v/>
      </ns0:c>
    </ns0:row>
    <ns0:row r="2218">
      <ns0:c r="A2218" s="215">
        <ns0:f>IF(OR(AH!$P$3=0,2213+1&gt;AH!$P$11,AND(AH!$E$4&lt;&gt;"Stored",AH!$P$10&lt;&gt;1)),"",IFERROR(IF(AND(AH!$P$21=1,2213+1=AH!$P$11),TODAY(),IF(AH!$P$10=1,INDEX('Live History'!$A$5:$A$3004,AH!$P$13+2213),INDEX('AH History'!$A$1:$A$18046,AH!$P$7+2213))),""))</ns0:f>
        <ns0:v/>
      </ns0:c>
      <ns0:c r="B2218" s="219">
        <ns0:f>IFERROR(IF(AND(AH!$P$9&lt;&gt;1,$C2218&gt;0,$D2218&gt;0,$E2218&gt;0,$F2218&gt;0,$G2218&gt;0,$F2218&lt;=$A2218,$G2218&lt;=$A2218,$A2218-$F2218&lt;=10,$A2218-$G2218&lt;=5),$D2218*$E2218/$C2218-1,NA()),NA())</ns0:f>
        <ns0:v/>
      </ns0:c>
      <ns0:c r="C2218">
        <ns0:f>IFERROR(IF(ISNUMBER($A2218),IF(AND(AH!$P$10=1,AH!$P$12=1,$A2218=TODAY()),AH!$P$19,IF(AH!$P$10=1,INDEX('Live History'!$B$5:$B$3004,AH!$P$13+2213),INDEX('AH History'!$B$1:$B$18046,AH!$P$7+2213))),NA()),NA())</ns0:f>
        <ns0:v/>
      </ns0:c>
      <ns0:c r="D2218">
        <ns0:f>IFERROR(IF(ISNUMBER($A2218),IF(AND(AH!$P$10=1,AH!$P$12=1,$A2218=TODAY()),AH!$P$18,IF(AH!$P$10=1,INDEX('Live History'!$E$5:$E$3004,MATCH($A2218,'Live History'!$D$5:$D$3004,1)),INDEX('AH History'!$C$1:$C$18046,AH!$P$7+2213))),NA()),NA())</ns0:f>
        <ns0:v/>
      </ns0:c>
      <ns0:c r="E2218">
        <ns0:f>IFERROR(IF(ISNUMBER($A2218),IF(AND(AH!$P$10=1,AH!$P$12=1,$A2218=TODAY()),AH!$P$20,IF(AH!$P$10=1,INDEX('Live History'!$H$5:$H$3004,MATCH($A2218,'Live History'!$G$5:$G$3004,1)),INDEX('AH History'!$D$1:$D$18046,AH!$P$7+2213))),NA()),NA())</ns0:f>
        <ns0:v/>
      </ns0:c>
      <ns0:c r="F2218">
        <ns0:f>IFERROR(IF(ISNUMBER($A2218),IF(AND(AH!$P$10=1,AH!$P$12=1,$A2218=TODAY()),IF(AND(AH!$P$10=1,AH!$P$12=1,$A2218=TODAY()),TODAY(),NA()),IF(AH!$P$10=1,INDEX('Live History'!$D$5:$D$3004,MATCH($A2218,'Live History'!$D$5:$D$3004,1)),INDEX('AH History'!$E$1:$E$18046,AH!$P$7+2213))),NA()),NA())</ns0:f>
        <ns0:v/>
      </ns0:c>
      <ns0:c r="G2218">
        <ns0:f>IFERROR(IF(ISNUMBER($A2218),IF(AND(AH!$P$10=1,AH!$P$12=1,$A2218=TODAY()),IF(AND(AH!$P$10=1,AH!$P$12=1,$A2218=TODAY()),TODAY(),NA()),IF(AH!$P$10=1,INDEX('Live History'!$G$5:$G$3004,MATCH($A2218,'Live History'!$G$5:$G$3004,1)),INDEX('AH History'!$F$1:$F$18046,AH!$P$7+2213))),NA()),NA())</ns0:f>
        <ns0:v/>
      </ns0:c>
      <ns0:c r="H2218">
        <ns0:f>IFERROR(IF(AND(AH!$E$4="Bloomberg",AH!$P$10=1,ISNUMBER($A2218),$A2218&lt;=AH!$P$17),AH!$P$7-1+MATCH($A2218,INDEX('AH History'!$A$1:$A$18046,AH!$P$7):INDEX('AH History'!$A$1:$A$18046,AH!$P$7+AH!$P$8-1),0),0),0)</ns0:f>
        <ns0:v/>
      </ns0:c>
      <ns0:c r="I2218">
        <ns0:f>IF($H2218=0,0,IFERROR(IF(AND(ABS($C2218-INDEX('AH History'!$B$1:$B$18046,$H2218))&lt;=MAX(0.005,ABS(INDEX('AH History'!$B$1:$B$18046,$H2218))*0.00005),ABS($D2218-INDEX('AH History'!$C$1:$C$18046,$H2218))&lt;=MAX(0.005,ABS(INDEX('AH History'!$C$1:$C$18046,$H2218))*0.00005),ABS($E2218-INDEX('AH History'!$D$1:$D$18046,$H2218))&lt;=0.00005,$F2218=INDEX('AH History'!$E$1:$E$18046,$H2218),$G2218=INDEX('AH History'!$F$1:$F$18046,$H2218)),1,-1),-1))</ns0:f>
        <ns0:v/>
      </ns0:c>
    </ns0:row>
    <ns0:row r="2219">
      <ns0:c r="A2219" s="215">
        <ns0:f>IF(OR(AH!$P$3=0,2214+1&gt;AH!$P$11,AND(AH!$E$4&lt;&gt;"Stored",AH!$P$10&lt;&gt;1)),"",IFERROR(IF(AND(AH!$P$21=1,2214+1=AH!$P$11),TODAY(),IF(AH!$P$10=1,INDEX('Live History'!$A$5:$A$3004,AH!$P$13+2214),INDEX('AH History'!$A$1:$A$18046,AH!$P$7+2214))),""))</ns0:f>
        <ns0:v/>
      </ns0:c>
      <ns0:c r="B2219" s="219">
        <ns0:f>IFERROR(IF(AND(AH!$P$9&lt;&gt;1,$C2219&gt;0,$D2219&gt;0,$E2219&gt;0,$F2219&gt;0,$G2219&gt;0,$F2219&lt;=$A2219,$G2219&lt;=$A2219,$A2219-$F2219&lt;=10,$A2219-$G2219&lt;=5),$D2219*$E2219/$C2219-1,NA()),NA())</ns0:f>
        <ns0:v/>
      </ns0:c>
      <ns0:c r="C2219">
        <ns0:f>IFERROR(IF(ISNUMBER($A2219),IF(AND(AH!$P$10=1,AH!$P$12=1,$A2219=TODAY()),AH!$P$19,IF(AH!$P$10=1,INDEX('Live History'!$B$5:$B$3004,AH!$P$13+2214),INDEX('AH History'!$B$1:$B$18046,AH!$P$7+2214))),NA()),NA())</ns0:f>
        <ns0:v/>
      </ns0:c>
      <ns0:c r="D2219">
        <ns0:f>IFERROR(IF(ISNUMBER($A2219),IF(AND(AH!$P$10=1,AH!$P$12=1,$A2219=TODAY()),AH!$P$18,IF(AH!$P$10=1,INDEX('Live History'!$E$5:$E$3004,MATCH($A2219,'Live History'!$D$5:$D$3004,1)),INDEX('AH History'!$C$1:$C$18046,AH!$P$7+2214))),NA()),NA())</ns0:f>
        <ns0:v/>
      </ns0:c>
      <ns0:c r="E2219">
        <ns0:f>IFERROR(IF(ISNUMBER($A2219),IF(AND(AH!$P$10=1,AH!$P$12=1,$A2219=TODAY()),AH!$P$20,IF(AH!$P$10=1,INDEX('Live History'!$H$5:$H$3004,MATCH($A2219,'Live History'!$G$5:$G$3004,1)),INDEX('AH History'!$D$1:$D$18046,AH!$P$7+2214))),NA()),NA())</ns0:f>
        <ns0:v/>
      </ns0:c>
      <ns0:c r="F2219">
        <ns0:f>IFERROR(IF(ISNUMBER($A2219),IF(AND(AH!$P$10=1,AH!$P$12=1,$A2219=TODAY()),IF(AND(AH!$P$10=1,AH!$P$12=1,$A2219=TODAY()),TODAY(),NA()),IF(AH!$P$10=1,INDEX('Live History'!$D$5:$D$3004,MATCH($A2219,'Live History'!$D$5:$D$3004,1)),INDEX('AH History'!$E$1:$E$18046,AH!$P$7+2214))),NA()),NA())</ns0:f>
        <ns0:v/>
      </ns0:c>
      <ns0:c r="G2219">
        <ns0:f>IFERROR(IF(ISNUMBER($A2219),IF(AND(AH!$P$10=1,AH!$P$12=1,$A2219=TODAY()),IF(AND(AH!$P$10=1,AH!$P$12=1,$A2219=TODAY()),TODAY(),NA()),IF(AH!$P$10=1,INDEX('Live History'!$G$5:$G$3004,MATCH($A2219,'Live History'!$G$5:$G$3004,1)),INDEX('AH History'!$F$1:$F$18046,AH!$P$7+2214))),NA()),NA())</ns0:f>
        <ns0:v/>
      </ns0:c>
      <ns0:c r="H2219">
        <ns0:f>IFERROR(IF(AND(AH!$E$4="Bloomberg",AH!$P$10=1,ISNUMBER($A2219),$A2219&lt;=AH!$P$17),AH!$P$7-1+MATCH($A2219,INDEX('AH History'!$A$1:$A$18046,AH!$P$7):INDEX('AH History'!$A$1:$A$18046,AH!$P$7+AH!$P$8-1),0),0),0)</ns0:f>
        <ns0:v/>
      </ns0:c>
      <ns0:c r="I2219">
        <ns0:f>IF($H2219=0,0,IFERROR(IF(AND(ABS($C2219-INDEX('AH History'!$B$1:$B$18046,$H2219))&lt;=MAX(0.005,ABS(INDEX('AH History'!$B$1:$B$18046,$H2219))*0.00005),ABS($D2219-INDEX('AH History'!$C$1:$C$18046,$H2219))&lt;=MAX(0.005,ABS(INDEX('AH History'!$C$1:$C$18046,$H2219))*0.00005),ABS($E2219-INDEX('AH History'!$D$1:$D$18046,$H2219))&lt;=0.00005,$F2219=INDEX('AH History'!$E$1:$E$18046,$H2219),$G2219=INDEX('AH History'!$F$1:$F$18046,$H2219)),1,-1),-1))</ns0:f>
        <ns0:v/>
      </ns0:c>
    </ns0:row>
    <ns0:row r="2220">
      <ns0:c r="A2220" s="215">
        <ns0:f>IF(OR(AH!$P$3=0,2215+1&gt;AH!$P$11,AND(AH!$E$4&lt;&gt;"Stored",AH!$P$10&lt;&gt;1)),"",IFERROR(IF(AND(AH!$P$21=1,2215+1=AH!$P$11),TODAY(),IF(AH!$P$10=1,INDEX('Live History'!$A$5:$A$3004,AH!$P$13+2215),INDEX('AH History'!$A$1:$A$18046,AH!$P$7+2215))),""))</ns0:f>
        <ns0:v/>
      </ns0:c>
      <ns0:c r="B2220" s="219">
        <ns0:f>IFERROR(IF(AND(AH!$P$9&lt;&gt;1,$C2220&gt;0,$D2220&gt;0,$E2220&gt;0,$F2220&gt;0,$G2220&gt;0,$F2220&lt;=$A2220,$G2220&lt;=$A2220,$A2220-$F2220&lt;=10,$A2220-$G2220&lt;=5),$D2220*$E2220/$C2220-1,NA()),NA())</ns0:f>
        <ns0:v/>
      </ns0:c>
      <ns0:c r="C2220">
        <ns0:f>IFERROR(IF(ISNUMBER($A2220),IF(AND(AH!$P$10=1,AH!$P$12=1,$A2220=TODAY()),AH!$P$19,IF(AH!$P$10=1,INDEX('Live History'!$B$5:$B$3004,AH!$P$13+2215),INDEX('AH History'!$B$1:$B$18046,AH!$P$7+2215))),NA()),NA())</ns0:f>
        <ns0:v/>
      </ns0:c>
      <ns0:c r="D2220">
        <ns0:f>IFERROR(IF(ISNUMBER($A2220),IF(AND(AH!$P$10=1,AH!$P$12=1,$A2220=TODAY()),AH!$P$18,IF(AH!$P$10=1,INDEX('Live History'!$E$5:$E$3004,MATCH($A2220,'Live History'!$D$5:$D$3004,1)),INDEX('AH History'!$C$1:$C$18046,AH!$P$7+2215))),NA()),NA())</ns0:f>
        <ns0:v/>
      </ns0:c>
      <ns0:c r="E2220">
        <ns0:f>IFERROR(IF(ISNUMBER($A2220),IF(AND(AH!$P$10=1,AH!$P$12=1,$A2220=TODAY()),AH!$P$20,IF(AH!$P$10=1,INDEX('Live History'!$H$5:$H$3004,MATCH($A2220,'Live History'!$G$5:$G$3004,1)),INDEX('AH History'!$D$1:$D$18046,AH!$P$7+2215))),NA()),NA())</ns0:f>
        <ns0:v/>
      </ns0:c>
      <ns0:c r="F2220">
        <ns0:f>IFERROR(IF(ISNUMBER($A2220),IF(AND(AH!$P$10=1,AH!$P$12=1,$A2220=TODAY()),IF(AND(AH!$P$10=1,AH!$P$12=1,$A2220=TODAY()),TODAY(),NA()),IF(AH!$P$10=1,INDEX('Live History'!$D$5:$D$3004,MATCH($A2220,'Live History'!$D$5:$D$3004,1)),INDEX('AH History'!$E$1:$E$18046,AH!$P$7+2215))),NA()),NA())</ns0:f>
        <ns0:v/>
      </ns0:c>
      <ns0:c r="G2220">
        <ns0:f>IFERROR(IF(ISNUMBER($A2220),IF(AND(AH!$P$10=1,AH!$P$12=1,$A2220=TODAY()),IF(AND(AH!$P$10=1,AH!$P$12=1,$A2220=TODAY()),TODAY(),NA()),IF(AH!$P$10=1,INDEX('Live History'!$G$5:$G$3004,MATCH($A2220,'Live History'!$G$5:$G$3004,1)),INDEX('AH History'!$F$1:$F$18046,AH!$P$7+2215))),NA()),NA())</ns0:f>
        <ns0:v/>
      </ns0:c>
      <ns0:c r="H2220">
        <ns0:f>IFERROR(IF(AND(AH!$E$4="Bloomberg",AH!$P$10=1,ISNUMBER($A2220),$A2220&lt;=AH!$P$17),AH!$P$7-1+MATCH($A2220,INDEX('AH History'!$A$1:$A$18046,AH!$P$7):INDEX('AH History'!$A$1:$A$18046,AH!$P$7+AH!$P$8-1),0),0),0)</ns0:f>
        <ns0:v/>
      </ns0:c>
      <ns0:c r="I2220">
        <ns0:f>IF($H2220=0,0,IFERROR(IF(AND(ABS($C2220-INDEX('AH History'!$B$1:$B$18046,$H2220))&lt;=MAX(0.005,ABS(INDEX('AH History'!$B$1:$B$18046,$H2220))*0.00005),ABS($D2220-INDEX('AH History'!$C$1:$C$18046,$H2220))&lt;=MAX(0.005,ABS(INDEX('AH History'!$C$1:$C$18046,$H2220))*0.00005),ABS($E2220-INDEX('AH History'!$D$1:$D$18046,$H2220))&lt;=0.00005,$F2220=INDEX('AH History'!$E$1:$E$18046,$H2220),$G2220=INDEX('AH History'!$F$1:$F$18046,$H2220)),1,-1),-1))</ns0:f>
        <ns0:v/>
      </ns0:c>
    </ns0:row>
    <ns0:row r="2221">
      <ns0:c r="A2221" s="215">
        <ns0:f>IF(OR(AH!$P$3=0,2216+1&gt;AH!$P$11,AND(AH!$E$4&lt;&gt;"Stored",AH!$P$10&lt;&gt;1)),"",IFERROR(IF(AND(AH!$P$21=1,2216+1=AH!$P$11),TODAY(),IF(AH!$P$10=1,INDEX('Live History'!$A$5:$A$3004,AH!$P$13+2216),INDEX('AH History'!$A$1:$A$18046,AH!$P$7+2216))),""))</ns0:f>
        <ns0:v/>
      </ns0:c>
      <ns0:c r="B2221" s="219">
        <ns0:f>IFERROR(IF(AND(AH!$P$9&lt;&gt;1,$C2221&gt;0,$D2221&gt;0,$E2221&gt;0,$F2221&gt;0,$G2221&gt;0,$F2221&lt;=$A2221,$G2221&lt;=$A2221,$A2221-$F2221&lt;=10,$A2221-$G2221&lt;=5),$D2221*$E2221/$C2221-1,NA()),NA())</ns0:f>
        <ns0:v/>
      </ns0:c>
      <ns0:c r="C2221">
        <ns0:f>IFERROR(IF(ISNUMBER($A2221),IF(AND(AH!$P$10=1,AH!$P$12=1,$A2221=TODAY()),AH!$P$19,IF(AH!$P$10=1,INDEX('Live History'!$B$5:$B$3004,AH!$P$13+2216),INDEX('AH History'!$B$1:$B$18046,AH!$P$7+2216))),NA()),NA())</ns0:f>
        <ns0:v/>
      </ns0:c>
      <ns0:c r="D2221">
        <ns0:f>IFERROR(IF(ISNUMBER($A2221),IF(AND(AH!$P$10=1,AH!$P$12=1,$A2221=TODAY()),AH!$P$18,IF(AH!$P$10=1,INDEX('Live History'!$E$5:$E$3004,MATCH($A2221,'Live History'!$D$5:$D$3004,1)),INDEX('AH History'!$C$1:$C$18046,AH!$P$7+2216))),NA()),NA())</ns0:f>
        <ns0:v/>
      </ns0:c>
      <ns0:c r="E2221">
        <ns0:f>IFERROR(IF(ISNUMBER($A2221),IF(AND(AH!$P$10=1,AH!$P$12=1,$A2221=TODAY()),AH!$P$20,IF(AH!$P$10=1,INDEX('Live History'!$H$5:$H$3004,MATCH($A2221,'Live History'!$G$5:$G$3004,1)),INDEX('AH History'!$D$1:$D$18046,AH!$P$7+2216))),NA()),NA())</ns0:f>
        <ns0:v/>
      </ns0:c>
      <ns0:c r="F2221">
        <ns0:f>IFERROR(IF(ISNUMBER($A2221),IF(AND(AH!$P$10=1,AH!$P$12=1,$A2221=TODAY()),IF(AND(AH!$P$10=1,AH!$P$12=1,$A2221=TODAY()),TODAY(),NA()),IF(AH!$P$10=1,INDEX('Live History'!$D$5:$D$3004,MATCH($A2221,'Live History'!$D$5:$D$3004,1)),INDEX('AH History'!$E$1:$E$18046,AH!$P$7+2216))),NA()),NA())</ns0:f>
        <ns0:v/>
      </ns0:c>
      <ns0:c r="G2221">
        <ns0:f>IFERROR(IF(ISNUMBER($A2221),IF(AND(AH!$P$10=1,AH!$P$12=1,$A2221=TODAY()),IF(AND(AH!$P$10=1,AH!$P$12=1,$A2221=TODAY()),TODAY(),NA()),IF(AH!$P$10=1,INDEX('Live History'!$G$5:$G$3004,MATCH($A2221,'Live History'!$G$5:$G$3004,1)),INDEX('AH History'!$F$1:$F$18046,AH!$P$7+2216))),NA()),NA())</ns0:f>
        <ns0:v/>
      </ns0:c>
      <ns0:c r="H2221">
        <ns0:f>IFERROR(IF(AND(AH!$E$4="Bloomberg",AH!$P$10=1,ISNUMBER($A2221),$A2221&lt;=AH!$P$17),AH!$P$7-1+MATCH($A2221,INDEX('AH History'!$A$1:$A$18046,AH!$P$7):INDEX('AH History'!$A$1:$A$18046,AH!$P$7+AH!$P$8-1),0),0),0)</ns0:f>
        <ns0:v/>
      </ns0:c>
      <ns0:c r="I2221">
        <ns0:f>IF($H2221=0,0,IFERROR(IF(AND(ABS($C2221-INDEX('AH History'!$B$1:$B$18046,$H2221))&lt;=MAX(0.005,ABS(INDEX('AH History'!$B$1:$B$18046,$H2221))*0.00005),ABS($D2221-INDEX('AH History'!$C$1:$C$18046,$H2221))&lt;=MAX(0.005,ABS(INDEX('AH History'!$C$1:$C$18046,$H2221))*0.00005),ABS($E2221-INDEX('AH History'!$D$1:$D$18046,$H2221))&lt;=0.00005,$F2221=INDEX('AH History'!$E$1:$E$18046,$H2221),$G2221=INDEX('AH History'!$F$1:$F$18046,$H2221)),1,-1),-1))</ns0:f>
        <ns0:v/>
      </ns0:c>
    </ns0:row>
    <ns0:row r="2222">
      <ns0:c r="A2222" s="215">
        <ns0:f>IF(OR(AH!$P$3=0,2217+1&gt;AH!$P$11,AND(AH!$E$4&lt;&gt;"Stored",AH!$P$10&lt;&gt;1)),"",IFERROR(IF(AND(AH!$P$21=1,2217+1=AH!$P$11),TODAY(),IF(AH!$P$10=1,INDEX('Live History'!$A$5:$A$3004,AH!$P$13+2217),INDEX('AH History'!$A$1:$A$18046,AH!$P$7+2217))),""))</ns0:f>
        <ns0:v/>
      </ns0:c>
      <ns0:c r="B2222" s="219">
        <ns0:f>IFERROR(IF(AND(AH!$P$9&lt;&gt;1,$C2222&gt;0,$D2222&gt;0,$E2222&gt;0,$F2222&gt;0,$G2222&gt;0,$F2222&lt;=$A2222,$G2222&lt;=$A2222,$A2222-$F2222&lt;=10,$A2222-$G2222&lt;=5),$D2222*$E2222/$C2222-1,NA()),NA())</ns0:f>
        <ns0:v/>
      </ns0:c>
      <ns0:c r="C2222">
        <ns0:f>IFERROR(IF(ISNUMBER($A2222),IF(AND(AH!$P$10=1,AH!$P$12=1,$A2222=TODAY()),AH!$P$19,IF(AH!$P$10=1,INDEX('Live History'!$B$5:$B$3004,AH!$P$13+2217),INDEX('AH History'!$B$1:$B$18046,AH!$P$7+2217))),NA()),NA())</ns0:f>
        <ns0:v/>
      </ns0:c>
      <ns0:c r="D2222">
        <ns0:f>IFERROR(IF(ISNUMBER($A2222),IF(AND(AH!$P$10=1,AH!$P$12=1,$A2222=TODAY()),AH!$P$18,IF(AH!$P$10=1,INDEX('Live History'!$E$5:$E$3004,MATCH($A2222,'Live History'!$D$5:$D$3004,1)),INDEX('AH History'!$C$1:$C$18046,AH!$P$7+2217))),NA()),NA())</ns0:f>
        <ns0:v/>
      </ns0:c>
      <ns0:c r="E2222">
        <ns0:f>IFERROR(IF(ISNUMBER($A2222),IF(AND(AH!$P$10=1,AH!$P$12=1,$A2222=TODAY()),AH!$P$20,IF(AH!$P$10=1,INDEX('Live History'!$H$5:$H$3004,MATCH($A2222,'Live History'!$G$5:$G$3004,1)),INDEX('AH History'!$D$1:$D$18046,AH!$P$7+2217))),NA()),NA())</ns0:f>
        <ns0:v/>
      </ns0:c>
      <ns0:c r="F2222">
        <ns0:f>IFERROR(IF(ISNUMBER($A2222),IF(AND(AH!$P$10=1,AH!$P$12=1,$A2222=TODAY()),IF(AND(AH!$P$10=1,AH!$P$12=1,$A2222=TODAY()),TODAY(),NA()),IF(AH!$P$10=1,INDEX('Live History'!$D$5:$D$3004,MATCH($A2222,'Live History'!$D$5:$D$3004,1)),INDEX('AH History'!$E$1:$E$18046,AH!$P$7+2217))),NA()),NA())</ns0:f>
        <ns0:v/>
      </ns0:c>
      <ns0:c r="G2222">
        <ns0:f>IFERROR(IF(ISNUMBER($A2222),IF(AND(AH!$P$10=1,AH!$P$12=1,$A2222=TODAY()),IF(AND(AH!$P$10=1,AH!$P$12=1,$A2222=TODAY()),TODAY(),NA()),IF(AH!$P$10=1,INDEX('Live History'!$G$5:$G$3004,MATCH($A2222,'Live History'!$G$5:$G$3004,1)),INDEX('AH History'!$F$1:$F$18046,AH!$P$7+2217))),NA()),NA())</ns0:f>
        <ns0:v/>
      </ns0:c>
      <ns0:c r="H2222">
        <ns0:f>IFERROR(IF(AND(AH!$E$4="Bloomberg",AH!$P$10=1,ISNUMBER($A2222),$A2222&lt;=AH!$P$17),AH!$P$7-1+MATCH($A2222,INDEX('AH History'!$A$1:$A$18046,AH!$P$7):INDEX('AH History'!$A$1:$A$18046,AH!$P$7+AH!$P$8-1),0),0),0)</ns0:f>
        <ns0:v/>
      </ns0:c>
      <ns0:c r="I2222">
        <ns0:f>IF($H2222=0,0,IFERROR(IF(AND(ABS($C2222-INDEX('AH History'!$B$1:$B$18046,$H2222))&lt;=MAX(0.005,ABS(INDEX('AH History'!$B$1:$B$18046,$H2222))*0.00005),ABS($D2222-INDEX('AH History'!$C$1:$C$18046,$H2222))&lt;=MAX(0.005,ABS(INDEX('AH History'!$C$1:$C$18046,$H2222))*0.00005),ABS($E2222-INDEX('AH History'!$D$1:$D$18046,$H2222))&lt;=0.00005,$F2222=INDEX('AH History'!$E$1:$E$18046,$H2222),$G2222=INDEX('AH History'!$F$1:$F$18046,$H2222)),1,-1),-1))</ns0:f>
        <ns0:v/>
      </ns0:c>
    </ns0:row>
    <ns0:row r="2223">
      <ns0:c r="A2223" s="215">
        <ns0:f>IF(OR(AH!$P$3=0,2218+1&gt;AH!$P$11,AND(AH!$E$4&lt;&gt;"Stored",AH!$P$10&lt;&gt;1)),"",IFERROR(IF(AND(AH!$P$21=1,2218+1=AH!$P$11),TODAY(),IF(AH!$P$10=1,INDEX('Live History'!$A$5:$A$3004,AH!$P$13+2218),INDEX('AH History'!$A$1:$A$18046,AH!$P$7+2218))),""))</ns0:f>
        <ns0:v/>
      </ns0:c>
      <ns0:c r="B2223" s="219">
        <ns0:f>IFERROR(IF(AND(AH!$P$9&lt;&gt;1,$C2223&gt;0,$D2223&gt;0,$E2223&gt;0,$F2223&gt;0,$G2223&gt;0,$F2223&lt;=$A2223,$G2223&lt;=$A2223,$A2223-$F2223&lt;=10,$A2223-$G2223&lt;=5),$D2223*$E2223/$C2223-1,NA()),NA())</ns0:f>
        <ns0:v/>
      </ns0:c>
      <ns0:c r="C2223">
        <ns0:f>IFERROR(IF(ISNUMBER($A2223),IF(AND(AH!$P$10=1,AH!$P$12=1,$A2223=TODAY()),AH!$P$19,IF(AH!$P$10=1,INDEX('Live History'!$B$5:$B$3004,AH!$P$13+2218),INDEX('AH History'!$B$1:$B$18046,AH!$P$7+2218))),NA()),NA())</ns0:f>
        <ns0:v/>
      </ns0:c>
      <ns0:c r="D2223">
        <ns0:f>IFERROR(IF(ISNUMBER($A2223),IF(AND(AH!$P$10=1,AH!$P$12=1,$A2223=TODAY()),AH!$P$18,IF(AH!$P$10=1,INDEX('Live History'!$E$5:$E$3004,MATCH($A2223,'Live History'!$D$5:$D$3004,1)),INDEX('AH History'!$C$1:$C$18046,AH!$P$7+2218))),NA()),NA())</ns0:f>
        <ns0:v/>
      </ns0:c>
      <ns0:c r="E2223">
        <ns0:f>IFERROR(IF(ISNUMBER($A2223),IF(AND(AH!$P$10=1,AH!$P$12=1,$A2223=TODAY()),AH!$P$20,IF(AH!$P$10=1,INDEX('Live History'!$H$5:$H$3004,MATCH($A2223,'Live History'!$G$5:$G$3004,1)),INDEX('AH History'!$D$1:$D$18046,AH!$P$7+2218))),NA()),NA())</ns0:f>
        <ns0:v/>
      </ns0:c>
      <ns0:c r="F2223">
        <ns0:f>IFERROR(IF(ISNUMBER($A2223),IF(AND(AH!$P$10=1,AH!$P$12=1,$A2223=TODAY()),IF(AND(AH!$P$10=1,AH!$P$12=1,$A2223=TODAY()),TODAY(),NA()),IF(AH!$P$10=1,INDEX('Live History'!$D$5:$D$3004,MATCH($A2223,'Live History'!$D$5:$D$3004,1)),INDEX('AH History'!$E$1:$E$18046,AH!$P$7+2218))),NA()),NA())</ns0:f>
        <ns0:v/>
      </ns0:c>
      <ns0:c r="G2223">
        <ns0:f>IFERROR(IF(ISNUMBER($A2223),IF(AND(AH!$P$10=1,AH!$P$12=1,$A2223=TODAY()),IF(AND(AH!$P$10=1,AH!$P$12=1,$A2223=TODAY()),TODAY(),NA()),IF(AH!$P$10=1,INDEX('Live History'!$G$5:$G$3004,MATCH($A2223,'Live History'!$G$5:$G$3004,1)),INDEX('AH History'!$F$1:$F$18046,AH!$P$7+2218))),NA()),NA())</ns0:f>
        <ns0:v/>
      </ns0:c>
      <ns0:c r="H2223">
        <ns0:f>IFERROR(IF(AND(AH!$E$4="Bloomberg",AH!$P$10=1,ISNUMBER($A2223),$A2223&lt;=AH!$P$17),AH!$P$7-1+MATCH($A2223,INDEX('AH History'!$A$1:$A$18046,AH!$P$7):INDEX('AH History'!$A$1:$A$18046,AH!$P$7+AH!$P$8-1),0),0),0)</ns0:f>
        <ns0:v/>
      </ns0:c>
      <ns0:c r="I2223">
        <ns0:f>IF($H2223=0,0,IFERROR(IF(AND(ABS($C2223-INDEX('AH History'!$B$1:$B$18046,$H2223))&lt;=MAX(0.005,ABS(INDEX('AH History'!$B$1:$B$18046,$H2223))*0.00005),ABS($D2223-INDEX('AH History'!$C$1:$C$18046,$H2223))&lt;=MAX(0.005,ABS(INDEX('AH History'!$C$1:$C$18046,$H2223))*0.00005),ABS($E2223-INDEX('AH History'!$D$1:$D$18046,$H2223))&lt;=0.00005,$F2223=INDEX('AH History'!$E$1:$E$18046,$H2223),$G2223=INDEX('AH History'!$F$1:$F$18046,$H2223)),1,-1),-1))</ns0:f>
        <ns0:v/>
      </ns0:c>
    </ns0:row>
    <ns0:row r="2224">
      <ns0:c r="A2224" s="215">
        <ns0:f>IF(OR(AH!$P$3=0,2219+1&gt;AH!$P$11,AND(AH!$E$4&lt;&gt;"Stored",AH!$P$10&lt;&gt;1)),"",IFERROR(IF(AND(AH!$P$21=1,2219+1=AH!$P$11),TODAY(),IF(AH!$P$10=1,INDEX('Live History'!$A$5:$A$3004,AH!$P$13+2219),INDEX('AH History'!$A$1:$A$18046,AH!$P$7+2219))),""))</ns0:f>
        <ns0:v/>
      </ns0:c>
      <ns0:c r="B2224" s="219">
        <ns0:f>IFERROR(IF(AND(AH!$P$9&lt;&gt;1,$C2224&gt;0,$D2224&gt;0,$E2224&gt;0,$F2224&gt;0,$G2224&gt;0,$F2224&lt;=$A2224,$G2224&lt;=$A2224,$A2224-$F2224&lt;=10,$A2224-$G2224&lt;=5),$D2224*$E2224/$C2224-1,NA()),NA())</ns0:f>
        <ns0:v/>
      </ns0:c>
      <ns0:c r="C2224">
        <ns0:f>IFERROR(IF(ISNUMBER($A2224),IF(AND(AH!$P$10=1,AH!$P$12=1,$A2224=TODAY()),AH!$P$19,IF(AH!$P$10=1,INDEX('Live History'!$B$5:$B$3004,AH!$P$13+2219),INDEX('AH History'!$B$1:$B$18046,AH!$P$7+2219))),NA()),NA())</ns0:f>
        <ns0:v/>
      </ns0:c>
      <ns0:c r="D2224">
        <ns0:f>IFERROR(IF(ISNUMBER($A2224),IF(AND(AH!$P$10=1,AH!$P$12=1,$A2224=TODAY()),AH!$P$18,IF(AH!$P$10=1,INDEX('Live History'!$E$5:$E$3004,MATCH($A2224,'Live History'!$D$5:$D$3004,1)),INDEX('AH History'!$C$1:$C$18046,AH!$P$7+2219))),NA()),NA())</ns0:f>
        <ns0:v/>
      </ns0:c>
      <ns0:c r="E2224">
        <ns0:f>IFERROR(IF(ISNUMBER($A2224),IF(AND(AH!$P$10=1,AH!$P$12=1,$A2224=TODAY()),AH!$P$20,IF(AH!$P$10=1,INDEX('Live History'!$H$5:$H$3004,MATCH($A2224,'Live History'!$G$5:$G$3004,1)),INDEX('AH History'!$D$1:$D$18046,AH!$P$7+2219))),NA()),NA())</ns0:f>
        <ns0:v/>
      </ns0:c>
      <ns0:c r="F2224">
        <ns0:f>IFERROR(IF(ISNUMBER($A2224),IF(AND(AH!$P$10=1,AH!$P$12=1,$A2224=TODAY()),IF(AND(AH!$P$10=1,AH!$P$12=1,$A2224=TODAY()),TODAY(),NA()),IF(AH!$P$10=1,INDEX('Live History'!$D$5:$D$3004,MATCH($A2224,'Live History'!$D$5:$D$3004,1)),INDEX('AH History'!$E$1:$E$18046,AH!$P$7+2219))),NA()),NA())</ns0:f>
        <ns0:v/>
      </ns0:c>
      <ns0:c r="G2224">
        <ns0:f>IFERROR(IF(ISNUMBER($A2224),IF(AND(AH!$P$10=1,AH!$P$12=1,$A2224=TODAY()),IF(AND(AH!$P$10=1,AH!$P$12=1,$A2224=TODAY()),TODAY(),NA()),IF(AH!$P$10=1,INDEX('Live History'!$G$5:$G$3004,MATCH($A2224,'Live History'!$G$5:$G$3004,1)),INDEX('AH History'!$F$1:$F$18046,AH!$P$7+2219))),NA()),NA())</ns0:f>
        <ns0:v/>
      </ns0:c>
      <ns0:c r="H2224">
        <ns0:f>IFERROR(IF(AND(AH!$E$4="Bloomberg",AH!$P$10=1,ISNUMBER($A2224),$A2224&lt;=AH!$P$17),AH!$P$7-1+MATCH($A2224,INDEX('AH History'!$A$1:$A$18046,AH!$P$7):INDEX('AH History'!$A$1:$A$18046,AH!$P$7+AH!$P$8-1),0),0),0)</ns0:f>
        <ns0:v/>
      </ns0:c>
      <ns0:c r="I2224">
        <ns0:f>IF($H2224=0,0,IFERROR(IF(AND(ABS($C2224-INDEX('AH History'!$B$1:$B$18046,$H2224))&lt;=MAX(0.005,ABS(INDEX('AH History'!$B$1:$B$18046,$H2224))*0.00005),ABS($D2224-INDEX('AH History'!$C$1:$C$18046,$H2224))&lt;=MAX(0.005,ABS(INDEX('AH History'!$C$1:$C$18046,$H2224))*0.00005),ABS($E2224-INDEX('AH History'!$D$1:$D$18046,$H2224))&lt;=0.00005,$F2224=INDEX('AH History'!$E$1:$E$18046,$H2224),$G2224=INDEX('AH History'!$F$1:$F$18046,$H2224)),1,-1),-1))</ns0:f>
        <ns0:v/>
      </ns0:c>
    </ns0:row>
    <ns0:row r="2225">
      <ns0:c r="A2225" s="215">
        <ns0:f>IF(OR(AH!$P$3=0,2220+1&gt;AH!$P$11,AND(AH!$E$4&lt;&gt;"Stored",AH!$P$10&lt;&gt;1)),"",IFERROR(IF(AND(AH!$P$21=1,2220+1=AH!$P$11),TODAY(),IF(AH!$P$10=1,INDEX('Live History'!$A$5:$A$3004,AH!$P$13+2220),INDEX('AH History'!$A$1:$A$18046,AH!$P$7+2220))),""))</ns0:f>
        <ns0:v/>
      </ns0:c>
      <ns0:c r="B2225" s="219">
        <ns0:f>IFERROR(IF(AND(AH!$P$9&lt;&gt;1,$C2225&gt;0,$D2225&gt;0,$E2225&gt;0,$F2225&gt;0,$G2225&gt;0,$F2225&lt;=$A2225,$G2225&lt;=$A2225,$A2225-$F2225&lt;=10,$A2225-$G2225&lt;=5),$D2225*$E2225/$C2225-1,NA()),NA())</ns0:f>
        <ns0:v/>
      </ns0:c>
      <ns0:c r="C2225">
        <ns0:f>IFERROR(IF(ISNUMBER($A2225),IF(AND(AH!$P$10=1,AH!$P$12=1,$A2225=TODAY()),AH!$P$19,IF(AH!$P$10=1,INDEX('Live History'!$B$5:$B$3004,AH!$P$13+2220),INDEX('AH History'!$B$1:$B$18046,AH!$P$7+2220))),NA()),NA())</ns0:f>
        <ns0:v/>
      </ns0:c>
      <ns0:c r="D2225">
        <ns0:f>IFERROR(IF(ISNUMBER($A2225),IF(AND(AH!$P$10=1,AH!$P$12=1,$A2225=TODAY()),AH!$P$18,IF(AH!$P$10=1,INDEX('Live History'!$E$5:$E$3004,MATCH($A2225,'Live History'!$D$5:$D$3004,1)),INDEX('AH History'!$C$1:$C$18046,AH!$P$7+2220))),NA()),NA())</ns0:f>
        <ns0:v/>
      </ns0:c>
      <ns0:c r="E2225">
        <ns0:f>IFERROR(IF(ISNUMBER($A2225),IF(AND(AH!$P$10=1,AH!$P$12=1,$A2225=TODAY()),AH!$P$20,IF(AH!$P$10=1,INDEX('Live History'!$H$5:$H$3004,MATCH($A2225,'Live History'!$G$5:$G$3004,1)),INDEX('AH History'!$D$1:$D$18046,AH!$P$7+2220))),NA()),NA())</ns0:f>
        <ns0:v/>
      </ns0:c>
      <ns0:c r="F2225">
        <ns0:f>IFERROR(IF(ISNUMBER($A2225),IF(AND(AH!$P$10=1,AH!$P$12=1,$A2225=TODAY()),IF(AND(AH!$P$10=1,AH!$P$12=1,$A2225=TODAY()),TODAY(),NA()),IF(AH!$P$10=1,INDEX('Live History'!$D$5:$D$3004,MATCH($A2225,'Live History'!$D$5:$D$3004,1)),INDEX('AH History'!$E$1:$E$18046,AH!$P$7+2220))),NA()),NA())</ns0:f>
        <ns0:v/>
      </ns0:c>
      <ns0:c r="G2225">
        <ns0:f>IFERROR(IF(ISNUMBER($A2225),IF(AND(AH!$P$10=1,AH!$P$12=1,$A2225=TODAY()),IF(AND(AH!$P$10=1,AH!$P$12=1,$A2225=TODAY()),TODAY(),NA()),IF(AH!$P$10=1,INDEX('Live History'!$G$5:$G$3004,MATCH($A2225,'Live History'!$G$5:$G$3004,1)),INDEX('AH History'!$F$1:$F$18046,AH!$P$7+2220))),NA()),NA())</ns0:f>
        <ns0:v/>
      </ns0:c>
      <ns0:c r="H2225">
        <ns0:f>IFERROR(IF(AND(AH!$E$4="Bloomberg",AH!$P$10=1,ISNUMBER($A2225),$A2225&lt;=AH!$P$17),AH!$P$7-1+MATCH($A2225,INDEX('AH History'!$A$1:$A$18046,AH!$P$7):INDEX('AH History'!$A$1:$A$18046,AH!$P$7+AH!$P$8-1),0),0),0)</ns0:f>
        <ns0:v/>
      </ns0:c>
      <ns0:c r="I2225">
        <ns0:f>IF($H2225=0,0,IFERROR(IF(AND(ABS($C2225-INDEX('AH History'!$B$1:$B$18046,$H2225))&lt;=MAX(0.005,ABS(INDEX('AH History'!$B$1:$B$18046,$H2225))*0.00005),ABS($D2225-INDEX('AH History'!$C$1:$C$18046,$H2225))&lt;=MAX(0.005,ABS(INDEX('AH History'!$C$1:$C$18046,$H2225))*0.00005),ABS($E2225-INDEX('AH History'!$D$1:$D$18046,$H2225))&lt;=0.00005,$F2225=INDEX('AH History'!$E$1:$E$18046,$H2225),$G2225=INDEX('AH History'!$F$1:$F$18046,$H2225)),1,-1),-1))</ns0:f>
        <ns0:v/>
      </ns0:c>
    </ns0:row>
    <ns0:row r="2226">
      <ns0:c r="A2226" s="215">
        <ns0:f>IF(OR(AH!$P$3=0,2221+1&gt;AH!$P$11,AND(AH!$E$4&lt;&gt;"Stored",AH!$P$10&lt;&gt;1)),"",IFERROR(IF(AND(AH!$P$21=1,2221+1=AH!$P$11),TODAY(),IF(AH!$P$10=1,INDEX('Live History'!$A$5:$A$3004,AH!$P$13+2221),INDEX('AH History'!$A$1:$A$18046,AH!$P$7+2221))),""))</ns0:f>
        <ns0:v/>
      </ns0:c>
      <ns0:c r="B2226" s="219">
        <ns0:f>IFERROR(IF(AND(AH!$P$9&lt;&gt;1,$C2226&gt;0,$D2226&gt;0,$E2226&gt;0,$F2226&gt;0,$G2226&gt;0,$F2226&lt;=$A2226,$G2226&lt;=$A2226,$A2226-$F2226&lt;=10,$A2226-$G2226&lt;=5),$D2226*$E2226/$C2226-1,NA()),NA())</ns0:f>
        <ns0:v/>
      </ns0:c>
      <ns0:c r="C2226">
        <ns0:f>IFERROR(IF(ISNUMBER($A2226),IF(AND(AH!$P$10=1,AH!$P$12=1,$A2226=TODAY()),AH!$P$19,IF(AH!$P$10=1,INDEX('Live History'!$B$5:$B$3004,AH!$P$13+2221),INDEX('AH History'!$B$1:$B$18046,AH!$P$7+2221))),NA()),NA())</ns0:f>
        <ns0:v/>
      </ns0:c>
      <ns0:c r="D2226">
        <ns0:f>IFERROR(IF(ISNUMBER($A2226),IF(AND(AH!$P$10=1,AH!$P$12=1,$A2226=TODAY()),AH!$P$18,IF(AH!$P$10=1,INDEX('Live History'!$E$5:$E$3004,MATCH($A2226,'Live History'!$D$5:$D$3004,1)),INDEX('AH History'!$C$1:$C$18046,AH!$P$7+2221))),NA()),NA())</ns0:f>
        <ns0:v/>
      </ns0:c>
      <ns0:c r="E2226">
        <ns0:f>IFERROR(IF(ISNUMBER($A2226),IF(AND(AH!$P$10=1,AH!$P$12=1,$A2226=TODAY()),AH!$P$20,IF(AH!$P$10=1,INDEX('Live History'!$H$5:$H$3004,MATCH($A2226,'Live History'!$G$5:$G$3004,1)),INDEX('AH History'!$D$1:$D$18046,AH!$P$7+2221))),NA()),NA())</ns0:f>
        <ns0:v/>
      </ns0:c>
      <ns0:c r="F2226">
        <ns0:f>IFERROR(IF(ISNUMBER($A2226),IF(AND(AH!$P$10=1,AH!$P$12=1,$A2226=TODAY()),IF(AND(AH!$P$10=1,AH!$P$12=1,$A2226=TODAY()),TODAY(),NA()),IF(AH!$P$10=1,INDEX('Live History'!$D$5:$D$3004,MATCH($A2226,'Live History'!$D$5:$D$3004,1)),INDEX('AH History'!$E$1:$E$18046,AH!$P$7+2221))),NA()),NA())</ns0:f>
        <ns0:v/>
      </ns0:c>
      <ns0:c r="G2226">
        <ns0:f>IFERROR(IF(ISNUMBER($A2226),IF(AND(AH!$P$10=1,AH!$P$12=1,$A2226=TODAY()),IF(AND(AH!$P$10=1,AH!$P$12=1,$A2226=TODAY()),TODAY(),NA()),IF(AH!$P$10=1,INDEX('Live History'!$G$5:$G$3004,MATCH($A2226,'Live History'!$G$5:$G$3004,1)),INDEX('AH History'!$F$1:$F$18046,AH!$P$7+2221))),NA()),NA())</ns0:f>
        <ns0:v/>
      </ns0:c>
      <ns0:c r="H2226">
        <ns0:f>IFERROR(IF(AND(AH!$E$4="Bloomberg",AH!$P$10=1,ISNUMBER($A2226),$A2226&lt;=AH!$P$17),AH!$P$7-1+MATCH($A2226,INDEX('AH History'!$A$1:$A$18046,AH!$P$7):INDEX('AH History'!$A$1:$A$18046,AH!$P$7+AH!$P$8-1),0),0),0)</ns0:f>
        <ns0:v/>
      </ns0:c>
      <ns0:c r="I2226">
        <ns0:f>IF($H2226=0,0,IFERROR(IF(AND(ABS($C2226-INDEX('AH History'!$B$1:$B$18046,$H2226))&lt;=MAX(0.005,ABS(INDEX('AH History'!$B$1:$B$18046,$H2226))*0.00005),ABS($D2226-INDEX('AH History'!$C$1:$C$18046,$H2226))&lt;=MAX(0.005,ABS(INDEX('AH History'!$C$1:$C$18046,$H2226))*0.00005),ABS($E2226-INDEX('AH History'!$D$1:$D$18046,$H2226))&lt;=0.00005,$F2226=INDEX('AH History'!$E$1:$E$18046,$H2226),$G2226=INDEX('AH History'!$F$1:$F$18046,$H2226)),1,-1),-1))</ns0:f>
        <ns0:v/>
      </ns0:c>
    </ns0:row>
    <ns0:row r="2227">
      <ns0:c r="A2227" s="215">
        <ns0:f>IF(OR(AH!$P$3=0,2222+1&gt;AH!$P$11,AND(AH!$E$4&lt;&gt;"Stored",AH!$P$10&lt;&gt;1)),"",IFERROR(IF(AND(AH!$P$21=1,2222+1=AH!$P$11),TODAY(),IF(AH!$P$10=1,INDEX('Live History'!$A$5:$A$3004,AH!$P$13+2222),INDEX('AH History'!$A$1:$A$18046,AH!$P$7+2222))),""))</ns0:f>
        <ns0:v/>
      </ns0:c>
      <ns0:c r="B2227" s="219">
        <ns0:f>IFERROR(IF(AND(AH!$P$9&lt;&gt;1,$C2227&gt;0,$D2227&gt;0,$E2227&gt;0,$F2227&gt;0,$G2227&gt;0,$F2227&lt;=$A2227,$G2227&lt;=$A2227,$A2227-$F2227&lt;=10,$A2227-$G2227&lt;=5),$D2227*$E2227/$C2227-1,NA()),NA())</ns0:f>
        <ns0:v/>
      </ns0:c>
      <ns0:c r="C2227">
        <ns0:f>IFERROR(IF(ISNUMBER($A2227),IF(AND(AH!$P$10=1,AH!$P$12=1,$A2227=TODAY()),AH!$P$19,IF(AH!$P$10=1,INDEX('Live History'!$B$5:$B$3004,AH!$P$13+2222),INDEX('AH History'!$B$1:$B$18046,AH!$P$7+2222))),NA()),NA())</ns0:f>
        <ns0:v/>
      </ns0:c>
      <ns0:c r="D2227">
        <ns0:f>IFERROR(IF(ISNUMBER($A2227),IF(AND(AH!$P$10=1,AH!$P$12=1,$A2227=TODAY()),AH!$P$18,IF(AH!$P$10=1,INDEX('Live History'!$E$5:$E$3004,MATCH($A2227,'Live History'!$D$5:$D$3004,1)),INDEX('AH History'!$C$1:$C$18046,AH!$P$7+2222))),NA()),NA())</ns0:f>
        <ns0:v/>
      </ns0:c>
      <ns0:c r="E2227">
        <ns0:f>IFERROR(IF(ISNUMBER($A2227),IF(AND(AH!$P$10=1,AH!$P$12=1,$A2227=TODAY()),AH!$P$20,IF(AH!$P$10=1,INDEX('Live History'!$H$5:$H$3004,MATCH($A2227,'Live History'!$G$5:$G$3004,1)),INDEX('AH History'!$D$1:$D$18046,AH!$P$7+2222))),NA()),NA())</ns0:f>
        <ns0:v/>
      </ns0:c>
      <ns0:c r="F2227">
        <ns0:f>IFERROR(IF(ISNUMBER($A2227),IF(AND(AH!$P$10=1,AH!$P$12=1,$A2227=TODAY()),IF(AND(AH!$P$10=1,AH!$P$12=1,$A2227=TODAY()),TODAY(),NA()),IF(AH!$P$10=1,INDEX('Live History'!$D$5:$D$3004,MATCH($A2227,'Live History'!$D$5:$D$3004,1)),INDEX('AH History'!$E$1:$E$18046,AH!$P$7+2222))),NA()),NA())</ns0:f>
        <ns0:v/>
      </ns0:c>
      <ns0:c r="G2227">
        <ns0:f>IFERROR(IF(ISNUMBER($A2227),IF(AND(AH!$P$10=1,AH!$P$12=1,$A2227=TODAY()),IF(AND(AH!$P$10=1,AH!$P$12=1,$A2227=TODAY()),TODAY(),NA()),IF(AH!$P$10=1,INDEX('Live History'!$G$5:$G$3004,MATCH($A2227,'Live History'!$G$5:$G$3004,1)),INDEX('AH History'!$F$1:$F$18046,AH!$P$7+2222))),NA()),NA())</ns0:f>
        <ns0:v/>
      </ns0:c>
      <ns0:c r="H2227">
        <ns0:f>IFERROR(IF(AND(AH!$E$4="Bloomberg",AH!$P$10=1,ISNUMBER($A2227),$A2227&lt;=AH!$P$17),AH!$P$7-1+MATCH($A2227,INDEX('AH History'!$A$1:$A$18046,AH!$P$7):INDEX('AH History'!$A$1:$A$18046,AH!$P$7+AH!$P$8-1),0),0),0)</ns0:f>
        <ns0:v/>
      </ns0:c>
      <ns0:c r="I2227">
        <ns0:f>IF($H2227=0,0,IFERROR(IF(AND(ABS($C2227-INDEX('AH History'!$B$1:$B$18046,$H2227))&lt;=MAX(0.005,ABS(INDEX('AH History'!$B$1:$B$18046,$H2227))*0.00005),ABS($D2227-INDEX('AH History'!$C$1:$C$18046,$H2227))&lt;=MAX(0.005,ABS(INDEX('AH History'!$C$1:$C$18046,$H2227))*0.00005),ABS($E2227-INDEX('AH History'!$D$1:$D$18046,$H2227))&lt;=0.00005,$F2227=INDEX('AH History'!$E$1:$E$18046,$H2227),$G2227=INDEX('AH History'!$F$1:$F$18046,$H2227)),1,-1),-1))</ns0:f>
        <ns0:v/>
      </ns0:c>
    </ns0:row>
    <ns0:row r="2228">
      <ns0:c r="A2228" s="215">
        <ns0:f>IF(OR(AH!$P$3=0,2223+1&gt;AH!$P$11,AND(AH!$E$4&lt;&gt;"Stored",AH!$P$10&lt;&gt;1)),"",IFERROR(IF(AND(AH!$P$21=1,2223+1=AH!$P$11),TODAY(),IF(AH!$P$10=1,INDEX('Live History'!$A$5:$A$3004,AH!$P$13+2223),INDEX('AH History'!$A$1:$A$18046,AH!$P$7+2223))),""))</ns0:f>
        <ns0:v/>
      </ns0:c>
      <ns0:c r="B2228" s="219">
        <ns0:f>IFERROR(IF(AND(AH!$P$9&lt;&gt;1,$C2228&gt;0,$D2228&gt;0,$E2228&gt;0,$F2228&gt;0,$G2228&gt;0,$F2228&lt;=$A2228,$G2228&lt;=$A2228,$A2228-$F2228&lt;=10,$A2228-$G2228&lt;=5),$D2228*$E2228/$C2228-1,NA()),NA())</ns0:f>
        <ns0:v/>
      </ns0:c>
      <ns0:c r="C2228">
        <ns0:f>IFERROR(IF(ISNUMBER($A2228),IF(AND(AH!$P$10=1,AH!$P$12=1,$A2228=TODAY()),AH!$P$19,IF(AH!$P$10=1,INDEX('Live History'!$B$5:$B$3004,AH!$P$13+2223),INDEX('AH History'!$B$1:$B$18046,AH!$P$7+2223))),NA()),NA())</ns0:f>
        <ns0:v/>
      </ns0:c>
      <ns0:c r="D2228">
        <ns0:f>IFERROR(IF(ISNUMBER($A2228),IF(AND(AH!$P$10=1,AH!$P$12=1,$A2228=TODAY()),AH!$P$18,IF(AH!$P$10=1,INDEX('Live History'!$E$5:$E$3004,MATCH($A2228,'Live History'!$D$5:$D$3004,1)),INDEX('AH History'!$C$1:$C$18046,AH!$P$7+2223))),NA()),NA())</ns0:f>
        <ns0:v/>
      </ns0:c>
      <ns0:c r="E2228">
        <ns0:f>IFERROR(IF(ISNUMBER($A2228),IF(AND(AH!$P$10=1,AH!$P$12=1,$A2228=TODAY()),AH!$P$20,IF(AH!$P$10=1,INDEX('Live History'!$H$5:$H$3004,MATCH($A2228,'Live History'!$G$5:$G$3004,1)),INDEX('AH History'!$D$1:$D$18046,AH!$P$7+2223))),NA()),NA())</ns0:f>
        <ns0:v/>
      </ns0:c>
      <ns0:c r="F2228">
        <ns0:f>IFERROR(IF(ISNUMBER($A2228),IF(AND(AH!$P$10=1,AH!$P$12=1,$A2228=TODAY()),IF(AND(AH!$P$10=1,AH!$P$12=1,$A2228=TODAY()),TODAY(),NA()),IF(AH!$P$10=1,INDEX('Live History'!$D$5:$D$3004,MATCH($A2228,'Live History'!$D$5:$D$3004,1)),INDEX('AH History'!$E$1:$E$18046,AH!$P$7+2223))),NA()),NA())</ns0:f>
        <ns0:v/>
      </ns0:c>
      <ns0:c r="G2228">
        <ns0:f>IFERROR(IF(ISNUMBER($A2228),IF(AND(AH!$P$10=1,AH!$P$12=1,$A2228=TODAY()),IF(AND(AH!$P$10=1,AH!$P$12=1,$A2228=TODAY()),TODAY(),NA()),IF(AH!$P$10=1,INDEX('Live History'!$G$5:$G$3004,MATCH($A2228,'Live History'!$G$5:$G$3004,1)),INDEX('AH History'!$F$1:$F$18046,AH!$P$7+2223))),NA()),NA())</ns0:f>
        <ns0:v/>
      </ns0:c>
      <ns0:c r="H2228">
        <ns0:f>IFERROR(IF(AND(AH!$E$4="Bloomberg",AH!$P$10=1,ISNUMBER($A2228),$A2228&lt;=AH!$P$17),AH!$P$7-1+MATCH($A2228,INDEX('AH History'!$A$1:$A$18046,AH!$P$7):INDEX('AH History'!$A$1:$A$18046,AH!$P$7+AH!$P$8-1),0),0),0)</ns0:f>
        <ns0:v/>
      </ns0:c>
      <ns0:c r="I2228">
        <ns0:f>IF($H2228=0,0,IFERROR(IF(AND(ABS($C2228-INDEX('AH History'!$B$1:$B$18046,$H2228))&lt;=MAX(0.005,ABS(INDEX('AH History'!$B$1:$B$18046,$H2228))*0.00005),ABS($D2228-INDEX('AH History'!$C$1:$C$18046,$H2228))&lt;=MAX(0.005,ABS(INDEX('AH History'!$C$1:$C$18046,$H2228))*0.00005),ABS($E2228-INDEX('AH History'!$D$1:$D$18046,$H2228))&lt;=0.00005,$F2228=INDEX('AH History'!$E$1:$E$18046,$H2228),$G2228=INDEX('AH History'!$F$1:$F$18046,$H2228)),1,-1),-1))</ns0:f>
        <ns0:v/>
      </ns0:c>
    </ns0:row>
    <ns0:row r="2229">
      <ns0:c r="A2229" s="215">
        <ns0:f>IF(OR(AH!$P$3=0,2224+1&gt;AH!$P$11,AND(AH!$E$4&lt;&gt;"Stored",AH!$P$10&lt;&gt;1)),"",IFERROR(IF(AND(AH!$P$21=1,2224+1=AH!$P$11),TODAY(),IF(AH!$P$10=1,INDEX('Live History'!$A$5:$A$3004,AH!$P$13+2224),INDEX('AH History'!$A$1:$A$18046,AH!$P$7+2224))),""))</ns0:f>
        <ns0:v/>
      </ns0:c>
      <ns0:c r="B2229" s="219">
        <ns0:f>IFERROR(IF(AND(AH!$P$9&lt;&gt;1,$C2229&gt;0,$D2229&gt;0,$E2229&gt;0,$F2229&gt;0,$G2229&gt;0,$F2229&lt;=$A2229,$G2229&lt;=$A2229,$A2229-$F2229&lt;=10,$A2229-$G2229&lt;=5),$D2229*$E2229/$C2229-1,NA()),NA())</ns0:f>
        <ns0:v/>
      </ns0:c>
      <ns0:c r="C2229">
        <ns0:f>IFERROR(IF(ISNUMBER($A2229),IF(AND(AH!$P$10=1,AH!$P$12=1,$A2229=TODAY()),AH!$P$19,IF(AH!$P$10=1,INDEX('Live History'!$B$5:$B$3004,AH!$P$13+2224),INDEX('AH History'!$B$1:$B$18046,AH!$P$7+2224))),NA()),NA())</ns0:f>
        <ns0:v/>
      </ns0:c>
      <ns0:c r="D2229">
        <ns0:f>IFERROR(IF(ISNUMBER($A2229),IF(AND(AH!$P$10=1,AH!$P$12=1,$A2229=TODAY()),AH!$P$18,IF(AH!$P$10=1,INDEX('Live History'!$E$5:$E$3004,MATCH($A2229,'Live History'!$D$5:$D$3004,1)),INDEX('AH History'!$C$1:$C$18046,AH!$P$7+2224))),NA()),NA())</ns0:f>
        <ns0:v/>
      </ns0:c>
      <ns0:c r="E2229">
        <ns0:f>IFERROR(IF(ISNUMBER($A2229),IF(AND(AH!$P$10=1,AH!$P$12=1,$A2229=TODAY()),AH!$P$20,IF(AH!$P$10=1,INDEX('Live History'!$H$5:$H$3004,MATCH($A2229,'Live History'!$G$5:$G$3004,1)),INDEX('AH History'!$D$1:$D$18046,AH!$P$7+2224))),NA()),NA())</ns0:f>
        <ns0:v/>
      </ns0:c>
      <ns0:c r="F2229">
        <ns0:f>IFERROR(IF(ISNUMBER($A2229),IF(AND(AH!$P$10=1,AH!$P$12=1,$A2229=TODAY()),IF(AND(AH!$P$10=1,AH!$P$12=1,$A2229=TODAY()),TODAY(),NA()),IF(AH!$P$10=1,INDEX('Live History'!$D$5:$D$3004,MATCH($A2229,'Live History'!$D$5:$D$3004,1)),INDEX('AH History'!$E$1:$E$18046,AH!$P$7+2224))),NA()),NA())</ns0:f>
        <ns0:v/>
      </ns0:c>
      <ns0:c r="G2229">
        <ns0:f>IFERROR(IF(ISNUMBER($A2229),IF(AND(AH!$P$10=1,AH!$P$12=1,$A2229=TODAY()),IF(AND(AH!$P$10=1,AH!$P$12=1,$A2229=TODAY()),TODAY(),NA()),IF(AH!$P$10=1,INDEX('Live History'!$G$5:$G$3004,MATCH($A2229,'Live History'!$G$5:$G$3004,1)),INDEX('AH History'!$F$1:$F$18046,AH!$P$7+2224))),NA()),NA())</ns0:f>
        <ns0:v/>
      </ns0:c>
      <ns0:c r="H2229">
        <ns0:f>IFERROR(IF(AND(AH!$E$4="Bloomberg",AH!$P$10=1,ISNUMBER($A2229),$A2229&lt;=AH!$P$17),AH!$P$7-1+MATCH($A2229,INDEX('AH History'!$A$1:$A$18046,AH!$P$7):INDEX('AH History'!$A$1:$A$18046,AH!$P$7+AH!$P$8-1),0),0),0)</ns0:f>
        <ns0:v/>
      </ns0:c>
      <ns0:c r="I2229">
        <ns0:f>IF($H2229=0,0,IFERROR(IF(AND(ABS($C2229-INDEX('AH History'!$B$1:$B$18046,$H2229))&lt;=MAX(0.005,ABS(INDEX('AH History'!$B$1:$B$18046,$H2229))*0.00005),ABS($D2229-INDEX('AH History'!$C$1:$C$18046,$H2229))&lt;=MAX(0.005,ABS(INDEX('AH History'!$C$1:$C$18046,$H2229))*0.00005),ABS($E2229-INDEX('AH History'!$D$1:$D$18046,$H2229))&lt;=0.00005,$F2229=INDEX('AH History'!$E$1:$E$18046,$H2229),$G2229=INDEX('AH History'!$F$1:$F$18046,$H2229)),1,-1),-1))</ns0:f>
        <ns0:v/>
      </ns0:c>
    </ns0:row>
    <ns0:row r="2230">
      <ns0:c r="A2230" s="215">
        <ns0:f>IF(OR(AH!$P$3=0,2225+1&gt;AH!$P$11,AND(AH!$E$4&lt;&gt;"Stored",AH!$P$10&lt;&gt;1)),"",IFERROR(IF(AND(AH!$P$21=1,2225+1=AH!$P$11),TODAY(),IF(AH!$P$10=1,INDEX('Live History'!$A$5:$A$3004,AH!$P$13+2225),INDEX('AH History'!$A$1:$A$18046,AH!$P$7+2225))),""))</ns0:f>
        <ns0:v/>
      </ns0:c>
      <ns0:c r="B2230" s="219">
        <ns0:f>IFERROR(IF(AND(AH!$P$9&lt;&gt;1,$C2230&gt;0,$D2230&gt;0,$E2230&gt;0,$F2230&gt;0,$G2230&gt;0,$F2230&lt;=$A2230,$G2230&lt;=$A2230,$A2230-$F2230&lt;=10,$A2230-$G2230&lt;=5),$D2230*$E2230/$C2230-1,NA()),NA())</ns0:f>
        <ns0:v/>
      </ns0:c>
      <ns0:c r="C2230">
        <ns0:f>IFERROR(IF(ISNUMBER($A2230),IF(AND(AH!$P$10=1,AH!$P$12=1,$A2230=TODAY()),AH!$P$19,IF(AH!$P$10=1,INDEX('Live History'!$B$5:$B$3004,AH!$P$13+2225),INDEX('AH History'!$B$1:$B$18046,AH!$P$7+2225))),NA()),NA())</ns0:f>
        <ns0:v/>
      </ns0:c>
      <ns0:c r="D2230">
        <ns0:f>IFERROR(IF(ISNUMBER($A2230),IF(AND(AH!$P$10=1,AH!$P$12=1,$A2230=TODAY()),AH!$P$18,IF(AH!$P$10=1,INDEX('Live History'!$E$5:$E$3004,MATCH($A2230,'Live History'!$D$5:$D$3004,1)),INDEX('AH History'!$C$1:$C$18046,AH!$P$7+2225))),NA()),NA())</ns0:f>
        <ns0:v/>
      </ns0:c>
      <ns0:c r="E2230">
        <ns0:f>IFERROR(IF(ISNUMBER($A2230),IF(AND(AH!$P$10=1,AH!$P$12=1,$A2230=TODAY()),AH!$P$20,IF(AH!$P$10=1,INDEX('Live History'!$H$5:$H$3004,MATCH($A2230,'Live History'!$G$5:$G$3004,1)),INDEX('AH History'!$D$1:$D$18046,AH!$P$7+2225))),NA()),NA())</ns0:f>
        <ns0:v/>
      </ns0:c>
      <ns0:c r="F2230">
        <ns0:f>IFERROR(IF(ISNUMBER($A2230),IF(AND(AH!$P$10=1,AH!$P$12=1,$A2230=TODAY()),IF(AND(AH!$P$10=1,AH!$P$12=1,$A2230=TODAY()),TODAY(),NA()),IF(AH!$P$10=1,INDEX('Live History'!$D$5:$D$3004,MATCH($A2230,'Live History'!$D$5:$D$3004,1)),INDEX('AH History'!$E$1:$E$18046,AH!$P$7+2225))),NA()),NA())</ns0:f>
        <ns0:v/>
      </ns0:c>
      <ns0:c r="G2230">
        <ns0:f>IFERROR(IF(ISNUMBER($A2230),IF(AND(AH!$P$10=1,AH!$P$12=1,$A2230=TODAY()),IF(AND(AH!$P$10=1,AH!$P$12=1,$A2230=TODAY()),TODAY(),NA()),IF(AH!$P$10=1,INDEX('Live History'!$G$5:$G$3004,MATCH($A2230,'Live History'!$G$5:$G$3004,1)),INDEX('AH History'!$F$1:$F$18046,AH!$P$7+2225))),NA()),NA())</ns0:f>
        <ns0:v/>
      </ns0:c>
      <ns0:c r="H2230">
        <ns0:f>IFERROR(IF(AND(AH!$E$4="Bloomberg",AH!$P$10=1,ISNUMBER($A2230),$A2230&lt;=AH!$P$17),AH!$P$7-1+MATCH($A2230,INDEX('AH History'!$A$1:$A$18046,AH!$P$7):INDEX('AH History'!$A$1:$A$18046,AH!$P$7+AH!$P$8-1),0),0),0)</ns0:f>
        <ns0:v/>
      </ns0:c>
      <ns0:c r="I2230">
        <ns0:f>IF($H2230=0,0,IFERROR(IF(AND(ABS($C2230-INDEX('AH History'!$B$1:$B$18046,$H2230))&lt;=MAX(0.005,ABS(INDEX('AH History'!$B$1:$B$18046,$H2230))*0.00005),ABS($D2230-INDEX('AH History'!$C$1:$C$18046,$H2230))&lt;=MAX(0.005,ABS(INDEX('AH History'!$C$1:$C$18046,$H2230))*0.00005),ABS($E2230-INDEX('AH History'!$D$1:$D$18046,$H2230))&lt;=0.00005,$F2230=INDEX('AH History'!$E$1:$E$18046,$H2230),$G2230=INDEX('AH History'!$F$1:$F$18046,$H2230)),1,-1),-1))</ns0:f>
        <ns0:v/>
      </ns0:c>
    </ns0:row>
    <ns0:row r="2231">
      <ns0:c r="A2231" s="215">
        <ns0:f>IF(OR(AH!$P$3=0,2226+1&gt;AH!$P$11,AND(AH!$E$4&lt;&gt;"Stored",AH!$P$10&lt;&gt;1)),"",IFERROR(IF(AND(AH!$P$21=1,2226+1=AH!$P$11),TODAY(),IF(AH!$P$10=1,INDEX('Live History'!$A$5:$A$3004,AH!$P$13+2226),INDEX('AH History'!$A$1:$A$18046,AH!$P$7+2226))),""))</ns0:f>
        <ns0:v/>
      </ns0:c>
      <ns0:c r="B2231" s="219">
        <ns0:f>IFERROR(IF(AND(AH!$P$9&lt;&gt;1,$C2231&gt;0,$D2231&gt;0,$E2231&gt;0,$F2231&gt;0,$G2231&gt;0,$F2231&lt;=$A2231,$G2231&lt;=$A2231,$A2231-$F2231&lt;=10,$A2231-$G2231&lt;=5),$D2231*$E2231/$C2231-1,NA()),NA())</ns0:f>
        <ns0:v/>
      </ns0:c>
      <ns0:c r="C2231">
        <ns0:f>IFERROR(IF(ISNUMBER($A2231),IF(AND(AH!$P$10=1,AH!$P$12=1,$A2231=TODAY()),AH!$P$19,IF(AH!$P$10=1,INDEX('Live History'!$B$5:$B$3004,AH!$P$13+2226),INDEX('AH History'!$B$1:$B$18046,AH!$P$7+2226))),NA()),NA())</ns0:f>
        <ns0:v/>
      </ns0:c>
      <ns0:c r="D2231">
        <ns0:f>IFERROR(IF(ISNUMBER($A2231),IF(AND(AH!$P$10=1,AH!$P$12=1,$A2231=TODAY()),AH!$P$18,IF(AH!$P$10=1,INDEX('Live History'!$E$5:$E$3004,MATCH($A2231,'Live History'!$D$5:$D$3004,1)),INDEX('AH History'!$C$1:$C$18046,AH!$P$7+2226))),NA()),NA())</ns0:f>
        <ns0:v/>
      </ns0:c>
      <ns0:c r="E2231">
        <ns0:f>IFERROR(IF(ISNUMBER($A2231),IF(AND(AH!$P$10=1,AH!$P$12=1,$A2231=TODAY()),AH!$P$20,IF(AH!$P$10=1,INDEX('Live History'!$H$5:$H$3004,MATCH($A2231,'Live History'!$G$5:$G$3004,1)),INDEX('AH History'!$D$1:$D$18046,AH!$P$7+2226))),NA()),NA())</ns0:f>
        <ns0:v/>
      </ns0:c>
      <ns0:c r="F2231">
        <ns0:f>IFERROR(IF(ISNUMBER($A2231),IF(AND(AH!$P$10=1,AH!$P$12=1,$A2231=TODAY()),IF(AND(AH!$P$10=1,AH!$P$12=1,$A2231=TODAY()),TODAY(),NA()),IF(AH!$P$10=1,INDEX('Live History'!$D$5:$D$3004,MATCH($A2231,'Live History'!$D$5:$D$3004,1)),INDEX('AH History'!$E$1:$E$18046,AH!$P$7+2226))),NA()),NA())</ns0:f>
        <ns0:v/>
      </ns0:c>
      <ns0:c r="G2231">
        <ns0:f>IFERROR(IF(ISNUMBER($A2231),IF(AND(AH!$P$10=1,AH!$P$12=1,$A2231=TODAY()),IF(AND(AH!$P$10=1,AH!$P$12=1,$A2231=TODAY()),TODAY(),NA()),IF(AH!$P$10=1,INDEX('Live History'!$G$5:$G$3004,MATCH($A2231,'Live History'!$G$5:$G$3004,1)),INDEX('AH History'!$F$1:$F$18046,AH!$P$7+2226))),NA()),NA())</ns0:f>
        <ns0:v/>
      </ns0:c>
      <ns0:c r="H2231">
        <ns0:f>IFERROR(IF(AND(AH!$E$4="Bloomberg",AH!$P$10=1,ISNUMBER($A2231),$A2231&lt;=AH!$P$17),AH!$P$7-1+MATCH($A2231,INDEX('AH History'!$A$1:$A$18046,AH!$P$7):INDEX('AH History'!$A$1:$A$18046,AH!$P$7+AH!$P$8-1),0),0),0)</ns0:f>
        <ns0:v/>
      </ns0:c>
      <ns0:c r="I2231">
        <ns0:f>IF($H2231=0,0,IFERROR(IF(AND(ABS($C2231-INDEX('AH History'!$B$1:$B$18046,$H2231))&lt;=MAX(0.005,ABS(INDEX('AH History'!$B$1:$B$18046,$H2231))*0.00005),ABS($D2231-INDEX('AH History'!$C$1:$C$18046,$H2231))&lt;=MAX(0.005,ABS(INDEX('AH History'!$C$1:$C$18046,$H2231))*0.00005),ABS($E2231-INDEX('AH History'!$D$1:$D$18046,$H2231))&lt;=0.00005,$F2231=INDEX('AH History'!$E$1:$E$18046,$H2231),$G2231=INDEX('AH History'!$F$1:$F$18046,$H2231)),1,-1),-1))</ns0:f>
        <ns0:v/>
      </ns0:c>
    </ns0:row>
    <ns0:row r="2232">
      <ns0:c r="A2232" s="215">
        <ns0:f>IF(OR(AH!$P$3=0,2227+1&gt;AH!$P$11,AND(AH!$E$4&lt;&gt;"Stored",AH!$P$10&lt;&gt;1)),"",IFERROR(IF(AND(AH!$P$21=1,2227+1=AH!$P$11),TODAY(),IF(AH!$P$10=1,INDEX('Live History'!$A$5:$A$3004,AH!$P$13+2227),INDEX('AH History'!$A$1:$A$18046,AH!$P$7+2227))),""))</ns0:f>
        <ns0:v/>
      </ns0:c>
      <ns0:c r="B2232" s="219">
        <ns0:f>IFERROR(IF(AND(AH!$P$9&lt;&gt;1,$C2232&gt;0,$D2232&gt;0,$E2232&gt;0,$F2232&gt;0,$G2232&gt;0,$F2232&lt;=$A2232,$G2232&lt;=$A2232,$A2232-$F2232&lt;=10,$A2232-$G2232&lt;=5),$D2232*$E2232/$C2232-1,NA()),NA())</ns0:f>
        <ns0:v/>
      </ns0:c>
      <ns0:c r="C2232">
        <ns0:f>IFERROR(IF(ISNUMBER($A2232),IF(AND(AH!$P$10=1,AH!$P$12=1,$A2232=TODAY()),AH!$P$19,IF(AH!$P$10=1,INDEX('Live History'!$B$5:$B$3004,AH!$P$13+2227),INDEX('AH History'!$B$1:$B$18046,AH!$P$7+2227))),NA()),NA())</ns0:f>
        <ns0:v/>
      </ns0:c>
      <ns0:c r="D2232">
        <ns0:f>IFERROR(IF(ISNUMBER($A2232),IF(AND(AH!$P$10=1,AH!$P$12=1,$A2232=TODAY()),AH!$P$18,IF(AH!$P$10=1,INDEX('Live History'!$E$5:$E$3004,MATCH($A2232,'Live History'!$D$5:$D$3004,1)),INDEX('AH History'!$C$1:$C$18046,AH!$P$7+2227))),NA()),NA())</ns0:f>
        <ns0:v/>
      </ns0:c>
      <ns0:c r="E2232">
        <ns0:f>IFERROR(IF(ISNUMBER($A2232),IF(AND(AH!$P$10=1,AH!$P$12=1,$A2232=TODAY()),AH!$P$20,IF(AH!$P$10=1,INDEX('Live History'!$H$5:$H$3004,MATCH($A2232,'Live History'!$G$5:$G$3004,1)),INDEX('AH History'!$D$1:$D$18046,AH!$P$7+2227))),NA()),NA())</ns0:f>
        <ns0:v/>
      </ns0:c>
      <ns0:c r="F2232">
        <ns0:f>IFERROR(IF(ISNUMBER($A2232),IF(AND(AH!$P$10=1,AH!$P$12=1,$A2232=TODAY()),IF(AND(AH!$P$10=1,AH!$P$12=1,$A2232=TODAY()),TODAY(),NA()),IF(AH!$P$10=1,INDEX('Live History'!$D$5:$D$3004,MATCH($A2232,'Live History'!$D$5:$D$3004,1)),INDEX('AH History'!$E$1:$E$18046,AH!$P$7+2227))),NA()),NA())</ns0:f>
        <ns0:v/>
      </ns0:c>
      <ns0:c r="G2232">
        <ns0:f>IFERROR(IF(ISNUMBER($A2232),IF(AND(AH!$P$10=1,AH!$P$12=1,$A2232=TODAY()),IF(AND(AH!$P$10=1,AH!$P$12=1,$A2232=TODAY()),TODAY(),NA()),IF(AH!$P$10=1,INDEX('Live History'!$G$5:$G$3004,MATCH($A2232,'Live History'!$G$5:$G$3004,1)),INDEX('AH History'!$F$1:$F$18046,AH!$P$7+2227))),NA()),NA())</ns0:f>
        <ns0:v/>
      </ns0:c>
      <ns0:c r="H2232">
        <ns0:f>IFERROR(IF(AND(AH!$E$4="Bloomberg",AH!$P$10=1,ISNUMBER($A2232),$A2232&lt;=AH!$P$17),AH!$P$7-1+MATCH($A2232,INDEX('AH History'!$A$1:$A$18046,AH!$P$7):INDEX('AH History'!$A$1:$A$18046,AH!$P$7+AH!$P$8-1),0),0),0)</ns0:f>
        <ns0:v/>
      </ns0:c>
      <ns0:c r="I2232">
        <ns0:f>IF($H2232=0,0,IFERROR(IF(AND(ABS($C2232-INDEX('AH History'!$B$1:$B$18046,$H2232))&lt;=MAX(0.005,ABS(INDEX('AH History'!$B$1:$B$18046,$H2232))*0.00005),ABS($D2232-INDEX('AH History'!$C$1:$C$18046,$H2232))&lt;=MAX(0.005,ABS(INDEX('AH History'!$C$1:$C$18046,$H2232))*0.00005),ABS($E2232-INDEX('AH History'!$D$1:$D$18046,$H2232))&lt;=0.00005,$F2232=INDEX('AH History'!$E$1:$E$18046,$H2232),$G2232=INDEX('AH History'!$F$1:$F$18046,$H2232)),1,-1),-1))</ns0:f>
        <ns0:v/>
      </ns0:c>
    </ns0:row>
    <ns0:row r="2233">
      <ns0:c r="A2233" s="215">
        <ns0:f>IF(OR(AH!$P$3=0,2228+1&gt;AH!$P$11,AND(AH!$E$4&lt;&gt;"Stored",AH!$P$10&lt;&gt;1)),"",IFERROR(IF(AND(AH!$P$21=1,2228+1=AH!$P$11),TODAY(),IF(AH!$P$10=1,INDEX('Live History'!$A$5:$A$3004,AH!$P$13+2228),INDEX('AH History'!$A$1:$A$18046,AH!$P$7+2228))),""))</ns0:f>
        <ns0:v/>
      </ns0:c>
      <ns0:c r="B2233" s="219">
        <ns0:f>IFERROR(IF(AND(AH!$P$9&lt;&gt;1,$C2233&gt;0,$D2233&gt;0,$E2233&gt;0,$F2233&gt;0,$G2233&gt;0,$F2233&lt;=$A2233,$G2233&lt;=$A2233,$A2233-$F2233&lt;=10,$A2233-$G2233&lt;=5),$D2233*$E2233/$C2233-1,NA()),NA())</ns0:f>
        <ns0:v/>
      </ns0:c>
      <ns0:c r="C2233">
        <ns0:f>IFERROR(IF(ISNUMBER($A2233),IF(AND(AH!$P$10=1,AH!$P$12=1,$A2233=TODAY()),AH!$P$19,IF(AH!$P$10=1,INDEX('Live History'!$B$5:$B$3004,AH!$P$13+2228),INDEX('AH History'!$B$1:$B$18046,AH!$P$7+2228))),NA()),NA())</ns0:f>
        <ns0:v/>
      </ns0:c>
      <ns0:c r="D2233">
        <ns0:f>IFERROR(IF(ISNUMBER($A2233),IF(AND(AH!$P$10=1,AH!$P$12=1,$A2233=TODAY()),AH!$P$18,IF(AH!$P$10=1,INDEX('Live History'!$E$5:$E$3004,MATCH($A2233,'Live History'!$D$5:$D$3004,1)),INDEX('AH History'!$C$1:$C$18046,AH!$P$7+2228))),NA()),NA())</ns0:f>
        <ns0:v/>
      </ns0:c>
      <ns0:c r="E2233">
        <ns0:f>IFERROR(IF(ISNUMBER($A2233),IF(AND(AH!$P$10=1,AH!$P$12=1,$A2233=TODAY()),AH!$P$20,IF(AH!$P$10=1,INDEX('Live History'!$H$5:$H$3004,MATCH($A2233,'Live History'!$G$5:$G$3004,1)),INDEX('AH History'!$D$1:$D$18046,AH!$P$7+2228))),NA()),NA())</ns0:f>
        <ns0:v/>
      </ns0:c>
      <ns0:c r="F2233">
        <ns0:f>IFERROR(IF(ISNUMBER($A2233),IF(AND(AH!$P$10=1,AH!$P$12=1,$A2233=TODAY()),IF(AND(AH!$P$10=1,AH!$P$12=1,$A2233=TODAY()),TODAY(),NA()),IF(AH!$P$10=1,INDEX('Live History'!$D$5:$D$3004,MATCH($A2233,'Live History'!$D$5:$D$3004,1)),INDEX('AH History'!$E$1:$E$18046,AH!$P$7+2228))),NA()),NA())</ns0:f>
        <ns0:v/>
      </ns0:c>
      <ns0:c r="G2233">
        <ns0:f>IFERROR(IF(ISNUMBER($A2233),IF(AND(AH!$P$10=1,AH!$P$12=1,$A2233=TODAY()),IF(AND(AH!$P$10=1,AH!$P$12=1,$A2233=TODAY()),TODAY(),NA()),IF(AH!$P$10=1,INDEX('Live History'!$G$5:$G$3004,MATCH($A2233,'Live History'!$G$5:$G$3004,1)),INDEX('AH History'!$F$1:$F$18046,AH!$P$7+2228))),NA()),NA())</ns0:f>
        <ns0:v/>
      </ns0:c>
      <ns0:c r="H2233">
        <ns0:f>IFERROR(IF(AND(AH!$E$4="Bloomberg",AH!$P$10=1,ISNUMBER($A2233),$A2233&lt;=AH!$P$17),AH!$P$7-1+MATCH($A2233,INDEX('AH History'!$A$1:$A$18046,AH!$P$7):INDEX('AH History'!$A$1:$A$18046,AH!$P$7+AH!$P$8-1),0),0),0)</ns0:f>
        <ns0:v/>
      </ns0:c>
      <ns0:c r="I2233">
        <ns0:f>IF($H2233=0,0,IFERROR(IF(AND(ABS($C2233-INDEX('AH History'!$B$1:$B$18046,$H2233))&lt;=MAX(0.005,ABS(INDEX('AH History'!$B$1:$B$18046,$H2233))*0.00005),ABS($D2233-INDEX('AH History'!$C$1:$C$18046,$H2233))&lt;=MAX(0.005,ABS(INDEX('AH History'!$C$1:$C$18046,$H2233))*0.00005),ABS($E2233-INDEX('AH History'!$D$1:$D$18046,$H2233))&lt;=0.00005,$F2233=INDEX('AH History'!$E$1:$E$18046,$H2233),$G2233=INDEX('AH History'!$F$1:$F$18046,$H2233)),1,-1),-1))</ns0:f>
        <ns0:v/>
      </ns0:c>
    </ns0:row>
    <ns0:row r="2234">
      <ns0:c r="A2234" s="215">
        <ns0:f>IF(OR(AH!$P$3=0,2229+1&gt;AH!$P$11,AND(AH!$E$4&lt;&gt;"Stored",AH!$P$10&lt;&gt;1)),"",IFERROR(IF(AND(AH!$P$21=1,2229+1=AH!$P$11),TODAY(),IF(AH!$P$10=1,INDEX('Live History'!$A$5:$A$3004,AH!$P$13+2229),INDEX('AH History'!$A$1:$A$18046,AH!$P$7+2229))),""))</ns0:f>
        <ns0:v/>
      </ns0:c>
      <ns0:c r="B2234" s="219">
        <ns0:f>IFERROR(IF(AND(AH!$P$9&lt;&gt;1,$C2234&gt;0,$D2234&gt;0,$E2234&gt;0,$F2234&gt;0,$G2234&gt;0,$F2234&lt;=$A2234,$G2234&lt;=$A2234,$A2234-$F2234&lt;=10,$A2234-$G2234&lt;=5),$D2234*$E2234/$C2234-1,NA()),NA())</ns0:f>
        <ns0:v/>
      </ns0:c>
      <ns0:c r="C2234">
        <ns0:f>IFERROR(IF(ISNUMBER($A2234),IF(AND(AH!$P$10=1,AH!$P$12=1,$A2234=TODAY()),AH!$P$19,IF(AH!$P$10=1,INDEX('Live History'!$B$5:$B$3004,AH!$P$13+2229),INDEX('AH History'!$B$1:$B$18046,AH!$P$7+2229))),NA()),NA())</ns0:f>
        <ns0:v/>
      </ns0:c>
      <ns0:c r="D2234">
        <ns0:f>IFERROR(IF(ISNUMBER($A2234),IF(AND(AH!$P$10=1,AH!$P$12=1,$A2234=TODAY()),AH!$P$18,IF(AH!$P$10=1,INDEX('Live History'!$E$5:$E$3004,MATCH($A2234,'Live History'!$D$5:$D$3004,1)),INDEX('AH History'!$C$1:$C$18046,AH!$P$7+2229))),NA()),NA())</ns0:f>
        <ns0:v/>
      </ns0:c>
      <ns0:c r="E2234">
        <ns0:f>IFERROR(IF(ISNUMBER($A2234),IF(AND(AH!$P$10=1,AH!$P$12=1,$A2234=TODAY()),AH!$P$20,IF(AH!$P$10=1,INDEX('Live History'!$H$5:$H$3004,MATCH($A2234,'Live History'!$G$5:$G$3004,1)),INDEX('AH History'!$D$1:$D$18046,AH!$P$7+2229))),NA()),NA())</ns0:f>
        <ns0:v/>
      </ns0:c>
      <ns0:c r="F2234">
        <ns0:f>IFERROR(IF(ISNUMBER($A2234),IF(AND(AH!$P$10=1,AH!$P$12=1,$A2234=TODAY()),IF(AND(AH!$P$10=1,AH!$P$12=1,$A2234=TODAY()),TODAY(),NA()),IF(AH!$P$10=1,INDEX('Live History'!$D$5:$D$3004,MATCH($A2234,'Live History'!$D$5:$D$3004,1)),INDEX('AH History'!$E$1:$E$18046,AH!$P$7+2229))),NA()),NA())</ns0:f>
        <ns0:v/>
      </ns0:c>
      <ns0:c r="G2234">
        <ns0:f>IFERROR(IF(ISNUMBER($A2234),IF(AND(AH!$P$10=1,AH!$P$12=1,$A2234=TODAY()),IF(AND(AH!$P$10=1,AH!$P$12=1,$A2234=TODAY()),TODAY(),NA()),IF(AH!$P$10=1,INDEX('Live History'!$G$5:$G$3004,MATCH($A2234,'Live History'!$G$5:$G$3004,1)),INDEX('AH History'!$F$1:$F$18046,AH!$P$7+2229))),NA()),NA())</ns0:f>
        <ns0:v/>
      </ns0:c>
      <ns0:c r="H2234">
        <ns0:f>IFERROR(IF(AND(AH!$E$4="Bloomberg",AH!$P$10=1,ISNUMBER($A2234),$A2234&lt;=AH!$P$17),AH!$P$7-1+MATCH($A2234,INDEX('AH History'!$A$1:$A$18046,AH!$P$7):INDEX('AH History'!$A$1:$A$18046,AH!$P$7+AH!$P$8-1),0),0),0)</ns0:f>
        <ns0:v/>
      </ns0:c>
      <ns0:c r="I2234">
        <ns0:f>IF($H2234=0,0,IFERROR(IF(AND(ABS($C2234-INDEX('AH History'!$B$1:$B$18046,$H2234))&lt;=MAX(0.005,ABS(INDEX('AH History'!$B$1:$B$18046,$H2234))*0.00005),ABS($D2234-INDEX('AH History'!$C$1:$C$18046,$H2234))&lt;=MAX(0.005,ABS(INDEX('AH History'!$C$1:$C$18046,$H2234))*0.00005),ABS($E2234-INDEX('AH History'!$D$1:$D$18046,$H2234))&lt;=0.00005,$F2234=INDEX('AH History'!$E$1:$E$18046,$H2234),$G2234=INDEX('AH History'!$F$1:$F$18046,$H2234)),1,-1),-1))</ns0:f>
        <ns0:v/>
      </ns0:c>
    </ns0:row>
    <ns0:row r="2235">
      <ns0:c r="A2235" s="215">
        <ns0:f>IF(OR(AH!$P$3=0,2230+1&gt;AH!$P$11,AND(AH!$E$4&lt;&gt;"Stored",AH!$P$10&lt;&gt;1)),"",IFERROR(IF(AND(AH!$P$21=1,2230+1=AH!$P$11),TODAY(),IF(AH!$P$10=1,INDEX('Live History'!$A$5:$A$3004,AH!$P$13+2230),INDEX('AH History'!$A$1:$A$18046,AH!$P$7+2230))),""))</ns0:f>
        <ns0:v/>
      </ns0:c>
      <ns0:c r="B2235" s="219">
        <ns0:f>IFERROR(IF(AND(AH!$P$9&lt;&gt;1,$C2235&gt;0,$D2235&gt;0,$E2235&gt;0,$F2235&gt;0,$G2235&gt;0,$F2235&lt;=$A2235,$G2235&lt;=$A2235,$A2235-$F2235&lt;=10,$A2235-$G2235&lt;=5),$D2235*$E2235/$C2235-1,NA()),NA())</ns0:f>
        <ns0:v/>
      </ns0:c>
      <ns0:c r="C2235">
        <ns0:f>IFERROR(IF(ISNUMBER($A2235),IF(AND(AH!$P$10=1,AH!$P$12=1,$A2235=TODAY()),AH!$P$19,IF(AH!$P$10=1,INDEX('Live History'!$B$5:$B$3004,AH!$P$13+2230),INDEX('AH History'!$B$1:$B$18046,AH!$P$7+2230))),NA()),NA())</ns0:f>
        <ns0:v/>
      </ns0:c>
      <ns0:c r="D2235">
        <ns0:f>IFERROR(IF(ISNUMBER($A2235),IF(AND(AH!$P$10=1,AH!$P$12=1,$A2235=TODAY()),AH!$P$18,IF(AH!$P$10=1,INDEX('Live History'!$E$5:$E$3004,MATCH($A2235,'Live History'!$D$5:$D$3004,1)),INDEX('AH History'!$C$1:$C$18046,AH!$P$7+2230))),NA()),NA())</ns0:f>
        <ns0:v/>
      </ns0:c>
      <ns0:c r="E2235">
        <ns0:f>IFERROR(IF(ISNUMBER($A2235),IF(AND(AH!$P$10=1,AH!$P$12=1,$A2235=TODAY()),AH!$P$20,IF(AH!$P$10=1,INDEX('Live History'!$H$5:$H$3004,MATCH($A2235,'Live History'!$G$5:$G$3004,1)),INDEX('AH History'!$D$1:$D$18046,AH!$P$7+2230))),NA()),NA())</ns0:f>
        <ns0:v/>
      </ns0:c>
      <ns0:c r="F2235">
        <ns0:f>IFERROR(IF(ISNUMBER($A2235),IF(AND(AH!$P$10=1,AH!$P$12=1,$A2235=TODAY()),IF(AND(AH!$P$10=1,AH!$P$12=1,$A2235=TODAY()),TODAY(),NA()),IF(AH!$P$10=1,INDEX('Live History'!$D$5:$D$3004,MATCH($A2235,'Live History'!$D$5:$D$3004,1)),INDEX('AH History'!$E$1:$E$18046,AH!$P$7+2230))),NA()),NA())</ns0:f>
        <ns0:v/>
      </ns0:c>
      <ns0:c r="G2235">
        <ns0:f>IFERROR(IF(ISNUMBER($A2235),IF(AND(AH!$P$10=1,AH!$P$12=1,$A2235=TODAY()),IF(AND(AH!$P$10=1,AH!$P$12=1,$A2235=TODAY()),TODAY(),NA()),IF(AH!$P$10=1,INDEX('Live History'!$G$5:$G$3004,MATCH($A2235,'Live History'!$G$5:$G$3004,1)),INDEX('AH History'!$F$1:$F$18046,AH!$P$7+2230))),NA()),NA())</ns0:f>
        <ns0:v/>
      </ns0:c>
      <ns0:c r="H2235">
        <ns0:f>IFERROR(IF(AND(AH!$E$4="Bloomberg",AH!$P$10=1,ISNUMBER($A2235),$A2235&lt;=AH!$P$17),AH!$P$7-1+MATCH($A2235,INDEX('AH History'!$A$1:$A$18046,AH!$P$7):INDEX('AH History'!$A$1:$A$18046,AH!$P$7+AH!$P$8-1),0),0),0)</ns0:f>
        <ns0:v/>
      </ns0:c>
      <ns0:c r="I2235">
        <ns0:f>IF($H2235=0,0,IFERROR(IF(AND(ABS($C2235-INDEX('AH History'!$B$1:$B$18046,$H2235))&lt;=MAX(0.005,ABS(INDEX('AH History'!$B$1:$B$18046,$H2235))*0.00005),ABS($D2235-INDEX('AH History'!$C$1:$C$18046,$H2235))&lt;=MAX(0.005,ABS(INDEX('AH History'!$C$1:$C$18046,$H2235))*0.00005),ABS($E2235-INDEX('AH History'!$D$1:$D$18046,$H2235))&lt;=0.00005,$F2235=INDEX('AH History'!$E$1:$E$18046,$H2235),$G2235=INDEX('AH History'!$F$1:$F$18046,$H2235)),1,-1),-1))</ns0:f>
        <ns0:v/>
      </ns0:c>
    </ns0:row>
    <ns0:row r="2236">
      <ns0:c r="A2236" s="215">
        <ns0:f>IF(OR(AH!$P$3=0,2231+1&gt;AH!$P$11,AND(AH!$E$4&lt;&gt;"Stored",AH!$P$10&lt;&gt;1)),"",IFERROR(IF(AND(AH!$P$21=1,2231+1=AH!$P$11),TODAY(),IF(AH!$P$10=1,INDEX('Live History'!$A$5:$A$3004,AH!$P$13+2231),INDEX('AH History'!$A$1:$A$18046,AH!$P$7+2231))),""))</ns0:f>
        <ns0:v/>
      </ns0:c>
      <ns0:c r="B2236" s="219">
        <ns0:f>IFERROR(IF(AND(AH!$P$9&lt;&gt;1,$C2236&gt;0,$D2236&gt;0,$E2236&gt;0,$F2236&gt;0,$G2236&gt;0,$F2236&lt;=$A2236,$G2236&lt;=$A2236,$A2236-$F2236&lt;=10,$A2236-$G2236&lt;=5),$D2236*$E2236/$C2236-1,NA()),NA())</ns0:f>
        <ns0:v/>
      </ns0:c>
      <ns0:c r="C2236">
        <ns0:f>IFERROR(IF(ISNUMBER($A2236),IF(AND(AH!$P$10=1,AH!$P$12=1,$A2236=TODAY()),AH!$P$19,IF(AH!$P$10=1,INDEX('Live History'!$B$5:$B$3004,AH!$P$13+2231),INDEX('AH History'!$B$1:$B$18046,AH!$P$7+2231))),NA()),NA())</ns0:f>
        <ns0:v/>
      </ns0:c>
      <ns0:c r="D2236">
        <ns0:f>IFERROR(IF(ISNUMBER($A2236),IF(AND(AH!$P$10=1,AH!$P$12=1,$A2236=TODAY()),AH!$P$18,IF(AH!$P$10=1,INDEX('Live History'!$E$5:$E$3004,MATCH($A2236,'Live History'!$D$5:$D$3004,1)),INDEX('AH History'!$C$1:$C$18046,AH!$P$7+2231))),NA()),NA())</ns0:f>
        <ns0:v/>
      </ns0:c>
      <ns0:c r="E2236">
        <ns0:f>IFERROR(IF(ISNUMBER($A2236),IF(AND(AH!$P$10=1,AH!$P$12=1,$A2236=TODAY()),AH!$P$20,IF(AH!$P$10=1,INDEX('Live History'!$H$5:$H$3004,MATCH($A2236,'Live History'!$G$5:$G$3004,1)),INDEX('AH History'!$D$1:$D$18046,AH!$P$7+2231))),NA()),NA())</ns0:f>
        <ns0:v/>
      </ns0:c>
      <ns0:c r="F2236">
        <ns0:f>IFERROR(IF(ISNUMBER($A2236),IF(AND(AH!$P$10=1,AH!$P$12=1,$A2236=TODAY()),IF(AND(AH!$P$10=1,AH!$P$12=1,$A2236=TODAY()),TODAY(),NA()),IF(AH!$P$10=1,INDEX('Live History'!$D$5:$D$3004,MATCH($A2236,'Live History'!$D$5:$D$3004,1)),INDEX('AH History'!$E$1:$E$18046,AH!$P$7+2231))),NA()),NA())</ns0:f>
        <ns0:v/>
      </ns0:c>
      <ns0:c r="G2236">
        <ns0:f>IFERROR(IF(ISNUMBER($A2236),IF(AND(AH!$P$10=1,AH!$P$12=1,$A2236=TODAY()),IF(AND(AH!$P$10=1,AH!$P$12=1,$A2236=TODAY()),TODAY(),NA()),IF(AH!$P$10=1,INDEX('Live History'!$G$5:$G$3004,MATCH($A2236,'Live History'!$G$5:$G$3004,1)),INDEX('AH History'!$F$1:$F$18046,AH!$P$7+2231))),NA()),NA())</ns0:f>
        <ns0:v/>
      </ns0:c>
      <ns0:c r="H2236">
        <ns0:f>IFERROR(IF(AND(AH!$E$4="Bloomberg",AH!$P$10=1,ISNUMBER($A2236),$A2236&lt;=AH!$P$17),AH!$P$7-1+MATCH($A2236,INDEX('AH History'!$A$1:$A$18046,AH!$P$7):INDEX('AH History'!$A$1:$A$18046,AH!$P$7+AH!$P$8-1),0),0),0)</ns0:f>
        <ns0:v/>
      </ns0:c>
      <ns0:c r="I2236">
        <ns0:f>IF($H2236=0,0,IFERROR(IF(AND(ABS($C2236-INDEX('AH History'!$B$1:$B$18046,$H2236))&lt;=MAX(0.005,ABS(INDEX('AH History'!$B$1:$B$18046,$H2236))*0.00005),ABS($D2236-INDEX('AH History'!$C$1:$C$18046,$H2236))&lt;=MAX(0.005,ABS(INDEX('AH History'!$C$1:$C$18046,$H2236))*0.00005),ABS($E2236-INDEX('AH History'!$D$1:$D$18046,$H2236))&lt;=0.00005,$F2236=INDEX('AH History'!$E$1:$E$18046,$H2236),$G2236=INDEX('AH History'!$F$1:$F$18046,$H2236)),1,-1),-1))</ns0:f>
        <ns0:v/>
      </ns0:c>
    </ns0:row>
    <ns0:row r="2237">
      <ns0:c r="A2237" s="215">
        <ns0:f>IF(OR(AH!$P$3=0,2232+1&gt;AH!$P$11,AND(AH!$E$4&lt;&gt;"Stored",AH!$P$10&lt;&gt;1)),"",IFERROR(IF(AND(AH!$P$21=1,2232+1=AH!$P$11),TODAY(),IF(AH!$P$10=1,INDEX('Live History'!$A$5:$A$3004,AH!$P$13+2232),INDEX('AH History'!$A$1:$A$18046,AH!$P$7+2232))),""))</ns0:f>
        <ns0:v/>
      </ns0:c>
      <ns0:c r="B2237" s="219">
        <ns0:f>IFERROR(IF(AND(AH!$P$9&lt;&gt;1,$C2237&gt;0,$D2237&gt;0,$E2237&gt;0,$F2237&gt;0,$G2237&gt;0,$F2237&lt;=$A2237,$G2237&lt;=$A2237,$A2237-$F2237&lt;=10,$A2237-$G2237&lt;=5),$D2237*$E2237/$C2237-1,NA()),NA())</ns0:f>
        <ns0:v/>
      </ns0:c>
      <ns0:c r="C2237">
        <ns0:f>IFERROR(IF(ISNUMBER($A2237),IF(AND(AH!$P$10=1,AH!$P$12=1,$A2237=TODAY()),AH!$P$19,IF(AH!$P$10=1,INDEX('Live History'!$B$5:$B$3004,AH!$P$13+2232),INDEX('AH History'!$B$1:$B$18046,AH!$P$7+2232))),NA()),NA())</ns0:f>
        <ns0:v/>
      </ns0:c>
      <ns0:c r="D2237">
        <ns0:f>IFERROR(IF(ISNUMBER($A2237),IF(AND(AH!$P$10=1,AH!$P$12=1,$A2237=TODAY()),AH!$P$18,IF(AH!$P$10=1,INDEX('Live History'!$E$5:$E$3004,MATCH($A2237,'Live History'!$D$5:$D$3004,1)),INDEX('AH History'!$C$1:$C$18046,AH!$P$7+2232))),NA()),NA())</ns0:f>
        <ns0:v/>
      </ns0:c>
      <ns0:c r="E2237">
        <ns0:f>IFERROR(IF(ISNUMBER($A2237),IF(AND(AH!$P$10=1,AH!$P$12=1,$A2237=TODAY()),AH!$P$20,IF(AH!$P$10=1,INDEX('Live History'!$H$5:$H$3004,MATCH($A2237,'Live History'!$G$5:$G$3004,1)),INDEX('AH History'!$D$1:$D$18046,AH!$P$7+2232))),NA()),NA())</ns0:f>
        <ns0:v/>
      </ns0:c>
      <ns0:c r="F2237">
        <ns0:f>IFERROR(IF(ISNUMBER($A2237),IF(AND(AH!$P$10=1,AH!$P$12=1,$A2237=TODAY()),IF(AND(AH!$P$10=1,AH!$P$12=1,$A2237=TODAY()),TODAY(),NA()),IF(AH!$P$10=1,INDEX('Live History'!$D$5:$D$3004,MATCH($A2237,'Live History'!$D$5:$D$3004,1)),INDEX('AH History'!$E$1:$E$18046,AH!$P$7+2232))),NA()),NA())</ns0:f>
        <ns0:v/>
      </ns0:c>
      <ns0:c r="G2237">
        <ns0:f>IFERROR(IF(ISNUMBER($A2237),IF(AND(AH!$P$10=1,AH!$P$12=1,$A2237=TODAY()),IF(AND(AH!$P$10=1,AH!$P$12=1,$A2237=TODAY()),TODAY(),NA()),IF(AH!$P$10=1,INDEX('Live History'!$G$5:$G$3004,MATCH($A2237,'Live History'!$G$5:$G$3004,1)),INDEX('AH History'!$F$1:$F$18046,AH!$P$7+2232))),NA()),NA())</ns0:f>
        <ns0:v/>
      </ns0:c>
      <ns0:c r="H2237">
        <ns0:f>IFERROR(IF(AND(AH!$E$4="Bloomberg",AH!$P$10=1,ISNUMBER($A2237),$A2237&lt;=AH!$P$17),AH!$P$7-1+MATCH($A2237,INDEX('AH History'!$A$1:$A$18046,AH!$P$7):INDEX('AH History'!$A$1:$A$18046,AH!$P$7+AH!$P$8-1),0),0),0)</ns0:f>
        <ns0:v/>
      </ns0:c>
      <ns0:c r="I2237">
        <ns0:f>IF($H2237=0,0,IFERROR(IF(AND(ABS($C2237-INDEX('AH History'!$B$1:$B$18046,$H2237))&lt;=MAX(0.005,ABS(INDEX('AH History'!$B$1:$B$18046,$H2237))*0.00005),ABS($D2237-INDEX('AH History'!$C$1:$C$18046,$H2237))&lt;=MAX(0.005,ABS(INDEX('AH History'!$C$1:$C$18046,$H2237))*0.00005),ABS($E2237-INDEX('AH History'!$D$1:$D$18046,$H2237))&lt;=0.00005,$F2237=INDEX('AH History'!$E$1:$E$18046,$H2237),$G2237=INDEX('AH History'!$F$1:$F$18046,$H2237)),1,-1),-1))</ns0:f>
        <ns0:v/>
      </ns0:c>
    </ns0:row>
    <ns0:row r="2238">
      <ns0:c r="A2238" s="215">
        <ns0:f>IF(OR(AH!$P$3=0,2233+1&gt;AH!$P$11,AND(AH!$E$4&lt;&gt;"Stored",AH!$P$10&lt;&gt;1)),"",IFERROR(IF(AND(AH!$P$21=1,2233+1=AH!$P$11),TODAY(),IF(AH!$P$10=1,INDEX('Live History'!$A$5:$A$3004,AH!$P$13+2233),INDEX('AH History'!$A$1:$A$18046,AH!$P$7+2233))),""))</ns0:f>
        <ns0:v/>
      </ns0:c>
      <ns0:c r="B2238" s="219">
        <ns0:f>IFERROR(IF(AND(AH!$P$9&lt;&gt;1,$C2238&gt;0,$D2238&gt;0,$E2238&gt;0,$F2238&gt;0,$G2238&gt;0,$F2238&lt;=$A2238,$G2238&lt;=$A2238,$A2238-$F2238&lt;=10,$A2238-$G2238&lt;=5),$D2238*$E2238/$C2238-1,NA()),NA())</ns0:f>
        <ns0:v/>
      </ns0:c>
      <ns0:c r="C2238">
        <ns0:f>IFERROR(IF(ISNUMBER($A2238),IF(AND(AH!$P$10=1,AH!$P$12=1,$A2238=TODAY()),AH!$P$19,IF(AH!$P$10=1,INDEX('Live History'!$B$5:$B$3004,AH!$P$13+2233),INDEX('AH History'!$B$1:$B$18046,AH!$P$7+2233))),NA()),NA())</ns0:f>
        <ns0:v/>
      </ns0:c>
      <ns0:c r="D2238">
        <ns0:f>IFERROR(IF(ISNUMBER($A2238),IF(AND(AH!$P$10=1,AH!$P$12=1,$A2238=TODAY()),AH!$P$18,IF(AH!$P$10=1,INDEX('Live History'!$E$5:$E$3004,MATCH($A2238,'Live History'!$D$5:$D$3004,1)),INDEX('AH History'!$C$1:$C$18046,AH!$P$7+2233))),NA()),NA())</ns0:f>
        <ns0:v/>
      </ns0:c>
      <ns0:c r="E2238">
        <ns0:f>IFERROR(IF(ISNUMBER($A2238),IF(AND(AH!$P$10=1,AH!$P$12=1,$A2238=TODAY()),AH!$P$20,IF(AH!$P$10=1,INDEX('Live History'!$H$5:$H$3004,MATCH($A2238,'Live History'!$G$5:$G$3004,1)),INDEX('AH History'!$D$1:$D$18046,AH!$P$7+2233))),NA()),NA())</ns0:f>
        <ns0:v/>
      </ns0:c>
      <ns0:c r="F2238">
        <ns0:f>IFERROR(IF(ISNUMBER($A2238),IF(AND(AH!$P$10=1,AH!$P$12=1,$A2238=TODAY()),IF(AND(AH!$P$10=1,AH!$P$12=1,$A2238=TODAY()),TODAY(),NA()),IF(AH!$P$10=1,INDEX('Live History'!$D$5:$D$3004,MATCH($A2238,'Live History'!$D$5:$D$3004,1)),INDEX('AH History'!$E$1:$E$18046,AH!$P$7+2233))),NA()),NA())</ns0:f>
        <ns0:v/>
      </ns0:c>
      <ns0:c r="G2238">
        <ns0:f>IFERROR(IF(ISNUMBER($A2238),IF(AND(AH!$P$10=1,AH!$P$12=1,$A2238=TODAY()),IF(AND(AH!$P$10=1,AH!$P$12=1,$A2238=TODAY()),TODAY(),NA()),IF(AH!$P$10=1,INDEX('Live History'!$G$5:$G$3004,MATCH($A2238,'Live History'!$G$5:$G$3004,1)),INDEX('AH History'!$F$1:$F$18046,AH!$P$7+2233))),NA()),NA())</ns0:f>
        <ns0:v/>
      </ns0:c>
      <ns0:c r="H2238">
        <ns0:f>IFERROR(IF(AND(AH!$E$4="Bloomberg",AH!$P$10=1,ISNUMBER($A2238),$A2238&lt;=AH!$P$17),AH!$P$7-1+MATCH($A2238,INDEX('AH History'!$A$1:$A$18046,AH!$P$7):INDEX('AH History'!$A$1:$A$18046,AH!$P$7+AH!$P$8-1),0),0),0)</ns0:f>
        <ns0:v/>
      </ns0:c>
      <ns0:c r="I2238">
        <ns0:f>IF($H2238=0,0,IFERROR(IF(AND(ABS($C2238-INDEX('AH History'!$B$1:$B$18046,$H2238))&lt;=MAX(0.005,ABS(INDEX('AH History'!$B$1:$B$18046,$H2238))*0.00005),ABS($D2238-INDEX('AH History'!$C$1:$C$18046,$H2238))&lt;=MAX(0.005,ABS(INDEX('AH History'!$C$1:$C$18046,$H2238))*0.00005),ABS($E2238-INDEX('AH History'!$D$1:$D$18046,$H2238))&lt;=0.00005,$F2238=INDEX('AH History'!$E$1:$E$18046,$H2238),$G2238=INDEX('AH History'!$F$1:$F$18046,$H2238)),1,-1),-1))</ns0:f>
        <ns0:v/>
      </ns0:c>
    </ns0:row>
    <ns0:row r="2239">
      <ns0:c r="A2239" s="215">
        <ns0:f>IF(OR(AH!$P$3=0,2234+1&gt;AH!$P$11,AND(AH!$E$4&lt;&gt;"Stored",AH!$P$10&lt;&gt;1)),"",IFERROR(IF(AND(AH!$P$21=1,2234+1=AH!$P$11),TODAY(),IF(AH!$P$10=1,INDEX('Live History'!$A$5:$A$3004,AH!$P$13+2234),INDEX('AH History'!$A$1:$A$18046,AH!$P$7+2234))),""))</ns0:f>
        <ns0:v/>
      </ns0:c>
      <ns0:c r="B2239" s="219">
        <ns0:f>IFERROR(IF(AND(AH!$P$9&lt;&gt;1,$C2239&gt;0,$D2239&gt;0,$E2239&gt;0,$F2239&gt;0,$G2239&gt;0,$F2239&lt;=$A2239,$G2239&lt;=$A2239,$A2239-$F2239&lt;=10,$A2239-$G2239&lt;=5),$D2239*$E2239/$C2239-1,NA()),NA())</ns0:f>
        <ns0:v/>
      </ns0:c>
      <ns0:c r="C2239">
        <ns0:f>IFERROR(IF(ISNUMBER($A2239),IF(AND(AH!$P$10=1,AH!$P$12=1,$A2239=TODAY()),AH!$P$19,IF(AH!$P$10=1,INDEX('Live History'!$B$5:$B$3004,AH!$P$13+2234),INDEX('AH History'!$B$1:$B$18046,AH!$P$7+2234))),NA()),NA())</ns0:f>
        <ns0:v/>
      </ns0:c>
      <ns0:c r="D2239">
        <ns0:f>IFERROR(IF(ISNUMBER($A2239),IF(AND(AH!$P$10=1,AH!$P$12=1,$A2239=TODAY()),AH!$P$18,IF(AH!$P$10=1,INDEX('Live History'!$E$5:$E$3004,MATCH($A2239,'Live History'!$D$5:$D$3004,1)),INDEX('AH History'!$C$1:$C$18046,AH!$P$7+2234))),NA()),NA())</ns0:f>
        <ns0:v/>
      </ns0:c>
      <ns0:c r="E2239">
        <ns0:f>IFERROR(IF(ISNUMBER($A2239),IF(AND(AH!$P$10=1,AH!$P$12=1,$A2239=TODAY()),AH!$P$20,IF(AH!$P$10=1,INDEX('Live History'!$H$5:$H$3004,MATCH($A2239,'Live History'!$G$5:$G$3004,1)),INDEX('AH History'!$D$1:$D$18046,AH!$P$7+2234))),NA()),NA())</ns0:f>
        <ns0:v/>
      </ns0:c>
      <ns0:c r="F2239">
        <ns0:f>IFERROR(IF(ISNUMBER($A2239),IF(AND(AH!$P$10=1,AH!$P$12=1,$A2239=TODAY()),IF(AND(AH!$P$10=1,AH!$P$12=1,$A2239=TODAY()),TODAY(),NA()),IF(AH!$P$10=1,INDEX('Live History'!$D$5:$D$3004,MATCH($A2239,'Live History'!$D$5:$D$3004,1)),INDEX('AH History'!$E$1:$E$18046,AH!$P$7+2234))),NA()),NA())</ns0:f>
        <ns0:v/>
      </ns0:c>
      <ns0:c r="G2239">
        <ns0:f>IFERROR(IF(ISNUMBER($A2239),IF(AND(AH!$P$10=1,AH!$P$12=1,$A2239=TODAY()),IF(AND(AH!$P$10=1,AH!$P$12=1,$A2239=TODAY()),TODAY(),NA()),IF(AH!$P$10=1,INDEX('Live History'!$G$5:$G$3004,MATCH($A2239,'Live History'!$G$5:$G$3004,1)),INDEX('AH History'!$F$1:$F$18046,AH!$P$7+2234))),NA()),NA())</ns0:f>
        <ns0:v/>
      </ns0:c>
      <ns0:c r="H2239">
        <ns0:f>IFERROR(IF(AND(AH!$E$4="Bloomberg",AH!$P$10=1,ISNUMBER($A2239),$A2239&lt;=AH!$P$17),AH!$P$7-1+MATCH($A2239,INDEX('AH History'!$A$1:$A$18046,AH!$P$7):INDEX('AH History'!$A$1:$A$18046,AH!$P$7+AH!$P$8-1),0),0),0)</ns0:f>
        <ns0:v/>
      </ns0:c>
      <ns0:c r="I2239">
        <ns0:f>IF($H2239=0,0,IFERROR(IF(AND(ABS($C2239-INDEX('AH History'!$B$1:$B$18046,$H2239))&lt;=MAX(0.005,ABS(INDEX('AH History'!$B$1:$B$18046,$H2239))*0.00005),ABS($D2239-INDEX('AH History'!$C$1:$C$18046,$H2239))&lt;=MAX(0.005,ABS(INDEX('AH History'!$C$1:$C$18046,$H2239))*0.00005),ABS($E2239-INDEX('AH History'!$D$1:$D$18046,$H2239))&lt;=0.00005,$F2239=INDEX('AH History'!$E$1:$E$18046,$H2239),$G2239=INDEX('AH History'!$F$1:$F$18046,$H2239)),1,-1),-1))</ns0:f>
        <ns0:v/>
      </ns0:c>
    </ns0:row>
    <ns0:row r="2240">
      <ns0:c r="A2240" s="215">
        <ns0:f>IF(OR(AH!$P$3=0,2235+1&gt;AH!$P$11,AND(AH!$E$4&lt;&gt;"Stored",AH!$P$10&lt;&gt;1)),"",IFERROR(IF(AND(AH!$P$21=1,2235+1=AH!$P$11),TODAY(),IF(AH!$P$10=1,INDEX('Live History'!$A$5:$A$3004,AH!$P$13+2235),INDEX('AH History'!$A$1:$A$18046,AH!$P$7+2235))),""))</ns0:f>
        <ns0:v/>
      </ns0:c>
      <ns0:c r="B2240" s="219">
        <ns0:f>IFERROR(IF(AND(AH!$P$9&lt;&gt;1,$C2240&gt;0,$D2240&gt;0,$E2240&gt;0,$F2240&gt;0,$G2240&gt;0,$F2240&lt;=$A2240,$G2240&lt;=$A2240,$A2240-$F2240&lt;=10,$A2240-$G2240&lt;=5),$D2240*$E2240/$C2240-1,NA()),NA())</ns0:f>
        <ns0:v/>
      </ns0:c>
      <ns0:c r="C2240">
        <ns0:f>IFERROR(IF(ISNUMBER($A2240),IF(AND(AH!$P$10=1,AH!$P$12=1,$A2240=TODAY()),AH!$P$19,IF(AH!$P$10=1,INDEX('Live History'!$B$5:$B$3004,AH!$P$13+2235),INDEX('AH History'!$B$1:$B$18046,AH!$P$7+2235))),NA()),NA())</ns0:f>
        <ns0:v/>
      </ns0:c>
      <ns0:c r="D2240">
        <ns0:f>IFERROR(IF(ISNUMBER($A2240),IF(AND(AH!$P$10=1,AH!$P$12=1,$A2240=TODAY()),AH!$P$18,IF(AH!$P$10=1,INDEX('Live History'!$E$5:$E$3004,MATCH($A2240,'Live History'!$D$5:$D$3004,1)),INDEX('AH History'!$C$1:$C$18046,AH!$P$7+2235))),NA()),NA())</ns0:f>
        <ns0:v/>
      </ns0:c>
      <ns0:c r="E2240">
        <ns0:f>IFERROR(IF(ISNUMBER($A2240),IF(AND(AH!$P$10=1,AH!$P$12=1,$A2240=TODAY()),AH!$P$20,IF(AH!$P$10=1,INDEX('Live History'!$H$5:$H$3004,MATCH($A2240,'Live History'!$G$5:$G$3004,1)),INDEX('AH History'!$D$1:$D$18046,AH!$P$7+2235))),NA()),NA())</ns0:f>
        <ns0:v/>
      </ns0:c>
      <ns0:c r="F2240">
        <ns0:f>IFERROR(IF(ISNUMBER($A2240),IF(AND(AH!$P$10=1,AH!$P$12=1,$A2240=TODAY()),IF(AND(AH!$P$10=1,AH!$P$12=1,$A2240=TODAY()),TODAY(),NA()),IF(AH!$P$10=1,INDEX('Live History'!$D$5:$D$3004,MATCH($A2240,'Live History'!$D$5:$D$3004,1)),INDEX('AH History'!$E$1:$E$18046,AH!$P$7+2235))),NA()),NA())</ns0:f>
        <ns0:v/>
      </ns0:c>
      <ns0:c r="G2240">
        <ns0:f>IFERROR(IF(ISNUMBER($A2240),IF(AND(AH!$P$10=1,AH!$P$12=1,$A2240=TODAY()),IF(AND(AH!$P$10=1,AH!$P$12=1,$A2240=TODAY()),TODAY(),NA()),IF(AH!$P$10=1,INDEX('Live History'!$G$5:$G$3004,MATCH($A2240,'Live History'!$G$5:$G$3004,1)),INDEX('AH History'!$F$1:$F$18046,AH!$P$7+2235))),NA()),NA())</ns0:f>
        <ns0:v/>
      </ns0:c>
      <ns0:c r="H2240">
        <ns0:f>IFERROR(IF(AND(AH!$E$4="Bloomberg",AH!$P$10=1,ISNUMBER($A2240),$A2240&lt;=AH!$P$17),AH!$P$7-1+MATCH($A2240,INDEX('AH History'!$A$1:$A$18046,AH!$P$7):INDEX('AH History'!$A$1:$A$18046,AH!$P$7+AH!$P$8-1),0),0),0)</ns0:f>
        <ns0:v/>
      </ns0:c>
      <ns0:c r="I2240">
        <ns0:f>IF($H2240=0,0,IFERROR(IF(AND(ABS($C2240-INDEX('AH History'!$B$1:$B$18046,$H2240))&lt;=MAX(0.005,ABS(INDEX('AH History'!$B$1:$B$18046,$H2240))*0.00005),ABS($D2240-INDEX('AH History'!$C$1:$C$18046,$H2240))&lt;=MAX(0.005,ABS(INDEX('AH History'!$C$1:$C$18046,$H2240))*0.00005),ABS($E2240-INDEX('AH History'!$D$1:$D$18046,$H2240))&lt;=0.00005,$F2240=INDEX('AH History'!$E$1:$E$18046,$H2240),$G2240=INDEX('AH History'!$F$1:$F$18046,$H2240)),1,-1),-1))</ns0:f>
        <ns0:v/>
      </ns0:c>
    </ns0:row>
    <ns0:row r="2241">
      <ns0:c r="A2241" s="215">
        <ns0:f>IF(OR(AH!$P$3=0,2236+1&gt;AH!$P$11,AND(AH!$E$4&lt;&gt;"Stored",AH!$P$10&lt;&gt;1)),"",IFERROR(IF(AND(AH!$P$21=1,2236+1=AH!$P$11),TODAY(),IF(AH!$P$10=1,INDEX('Live History'!$A$5:$A$3004,AH!$P$13+2236),INDEX('AH History'!$A$1:$A$18046,AH!$P$7+2236))),""))</ns0:f>
        <ns0:v/>
      </ns0:c>
      <ns0:c r="B2241" s="219">
        <ns0:f>IFERROR(IF(AND(AH!$P$9&lt;&gt;1,$C2241&gt;0,$D2241&gt;0,$E2241&gt;0,$F2241&gt;0,$G2241&gt;0,$F2241&lt;=$A2241,$G2241&lt;=$A2241,$A2241-$F2241&lt;=10,$A2241-$G2241&lt;=5),$D2241*$E2241/$C2241-1,NA()),NA())</ns0:f>
        <ns0:v/>
      </ns0:c>
      <ns0:c r="C2241">
        <ns0:f>IFERROR(IF(ISNUMBER($A2241),IF(AND(AH!$P$10=1,AH!$P$12=1,$A2241=TODAY()),AH!$P$19,IF(AH!$P$10=1,INDEX('Live History'!$B$5:$B$3004,AH!$P$13+2236),INDEX('AH History'!$B$1:$B$18046,AH!$P$7+2236))),NA()),NA())</ns0:f>
        <ns0:v/>
      </ns0:c>
      <ns0:c r="D2241">
        <ns0:f>IFERROR(IF(ISNUMBER($A2241),IF(AND(AH!$P$10=1,AH!$P$12=1,$A2241=TODAY()),AH!$P$18,IF(AH!$P$10=1,INDEX('Live History'!$E$5:$E$3004,MATCH($A2241,'Live History'!$D$5:$D$3004,1)),INDEX('AH History'!$C$1:$C$18046,AH!$P$7+2236))),NA()),NA())</ns0:f>
        <ns0:v/>
      </ns0:c>
      <ns0:c r="E2241">
        <ns0:f>IFERROR(IF(ISNUMBER($A2241),IF(AND(AH!$P$10=1,AH!$P$12=1,$A2241=TODAY()),AH!$P$20,IF(AH!$P$10=1,INDEX('Live History'!$H$5:$H$3004,MATCH($A2241,'Live History'!$G$5:$G$3004,1)),INDEX('AH History'!$D$1:$D$18046,AH!$P$7+2236))),NA()),NA())</ns0:f>
        <ns0:v/>
      </ns0:c>
      <ns0:c r="F2241">
        <ns0:f>IFERROR(IF(ISNUMBER($A2241),IF(AND(AH!$P$10=1,AH!$P$12=1,$A2241=TODAY()),IF(AND(AH!$P$10=1,AH!$P$12=1,$A2241=TODAY()),TODAY(),NA()),IF(AH!$P$10=1,INDEX('Live History'!$D$5:$D$3004,MATCH($A2241,'Live History'!$D$5:$D$3004,1)),INDEX('AH History'!$E$1:$E$18046,AH!$P$7+2236))),NA()),NA())</ns0:f>
        <ns0:v/>
      </ns0:c>
      <ns0:c r="G2241">
        <ns0:f>IFERROR(IF(ISNUMBER($A2241),IF(AND(AH!$P$10=1,AH!$P$12=1,$A2241=TODAY()),IF(AND(AH!$P$10=1,AH!$P$12=1,$A2241=TODAY()),TODAY(),NA()),IF(AH!$P$10=1,INDEX('Live History'!$G$5:$G$3004,MATCH($A2241,'Live History'!$G$5:$G$3004,1)),INDEX('AH History'!$F$1:$F$18046,AH!$P$7+2236))),NA()),NA())</ns0:f>
        <ns0:v/>
      </ns0:c>
      <ns0:c r="H2241">
        <ns0:f>IFERROR(IF(AND(AH!$E$4="Bloomberg",AH!$P$10=1,ISNUMBER($A2241),$A2241&lt;=AH!$P$17),AH!$P$7-1+MATCH($A2241,INDEX('AH History'!$A$1:$A$18046,AH!$P$7):INDEX('AH History'!$A$1:$A$18046,AH!$P$7+AH!$P$8-1),0),0),0)</ns0:f>
        <ns0:v/>
      </ns0:c>
      <ns0:c r="I2241">
        <ns0:f>IF($H2241=0,0,IFERROR(IF(AND(ABS($C2241-INDEX('AH History'!$B$1:$B$18046,$H2241))&lt;=MAX(0.005,ABS(INDEX('AH History'!$B$1:$B$18046,$H2241))*0.00005),ABS($D2241-INDEX('AH History'!$C$1:$C$18046,$H2241))&lt;=MAX(0.005,ABS(INDEX('AH History'!$C$1:$C$18046,$H2241))*0.00005),ABS($E2241-INDEX('AH History'!$D$1:$D$18046,$H2241))&lt;=0.00005,$F2241=INDEX('AH History'!$E$1:$E$18046,$H2241),$G2241=INDEX('AH History'!$F$1:$F$18046,$H2241)),1,-1),-1))</ns0:f>
        <ns0:v/>
      </ns0:c>
    </ns0:row>
    <ns0:row r="2242">
      <ns0:c r="A2242" s="215">
        <ns0:f>IF(OR(AH!$P$3=0,2237+1&gt;AH!$P$11,AND(AH!$E$4&lt;&gt;"Stored",AH!$P$10&lt;&gt;1)),"",IFERROR(IF(AND(AH!$P$21=1,2237+1=AH!$P$11),TODAY(),IF(AH!$P$10=1,INDEX('Live History'!$A$5:$A$3004,AH!$P$13+2237),INDEX('AH History'!$A$1:$A$18046,AH!$P$7+2237))),""))</ns0:f>
        <ns0:v/>
      </ns0:c>
      <ns0:c r="B2242" s="219">
        <ns0:f>IFERROR(IF(AND(AH!$P$9&lt;&gt;1,$C2242&gt;0,$D2242&gt;0,$E2242&gt;0,$F2242&gt;0,$G2242&gt;0,$F2242&lt;=$A2242,$G2242&lt;=$A2242,$A2242-$F2242&lt;=10,$A2242-$G2242&lt;=5),$D2242*$E2242/$C2242-1,NA()),NA())</ns0:f>
        <ns0:v/>
      </ns0:c>
      <ns0:c r="C2242">
        <ns0:f>IFERROR(IF(ISNUMBER($A2242),IF(AND(AH!$P$10=1,AH!$P$12=1,$A2242=TODAY()),AH!$P$19,IF(AH!$P$10=1,INDEX('Live History'!$B$5:$B$3004,AH!$P$13+2237),INDEX('AH History'!$B$1:$B$18046,AH!$P$7+2237))),NA()),NA())</ns0:f>
        <ns0:v/>
      </ns0:c>
      <ns0:c r="D2242">
        <ns0:f>IFERROR(IF(ISNUMBER($A2242),IF(AND(AH!$P$10=1,AH!$P$12=1,$A2242=TODAY()),AH!$P$18,IF(AH!$P$10=1,INDEX('Live History'!$E$5:$E$3004,MATCH($A2242,'Live History'!$D$5:$D$3004,1)),INDEX('AH History'!$C$1:$C$18046,AH!$P$7+2237))),NA()),NA())</ns0:f>
        <ns0:v/>
      </ns0:c>
      <ns0:c r="E2242">
        <ns0:f>IFERROR(IF(ISNUMBER($A2242),IF(AND(AH!$P$10=1,AH!$P$12=1,$A2242=TODAY()),AH!$P$20,IF(AH!$P$10=1,INDEX('Live History'!$H$5:$H$3004,MATCH($A2242,'Live History'!$G$5:$G$3004,1)),INDEX('AH History'!$D$1:$D$18046,AH!$P$7+2237))),NA()),NA())</ns0:f>
        <ns0:v/>
      </ns0:c>
      <ns0:c r="F2242">
        <ns0:f>IFERROR(IF(ISNUMBER($A2242),IF(AND(AH!$P$10=1,AH!$P$12=1,$A2242=TODAY()),IF(AND(AH!$P$10=1,AH!$P$12=1,$A2242=TODAY()),TODAY(),NA()),IF(AH!$P$10=1,INDEX('Live History'!$D$5:$D$3004,MATCH($A2242,'Live History'!$D$5:$D$3004,1)),INDEX('AH History'!$E$1:$E$18046,AH!$P$7+2237))),NA()),NA())</ns0:f>
        <ns0:v/>
      </ns0:c>
      <ns0:c r="G2242">
        <ns0:f>IFERROR(IF(ISNUMBER($A2242),IF(AND(AH!$P$10=1,AH!$P$12=1,$A2242=TODAY()),IF(AND(AH!$P$10=1,AH!$P$12=1,$A2242=TODAY()),TODAY(),NA()),IF(AH!$P$10=1,INDEX('Live History'!$G$5:$G$3004,MATCH($A2242,'Live History'!$G$5:$G$3004,1)),INDEX('AH History'!$F$1:$F$18046,AH!$P$7+2237))),NA()),NA())</ns0:f>
        <ns0:v/>
      </ns0:c>
      <ns0:c r="H2242">
        <ns0:f>IFERROR(IF(AND(AH!$E$4="Bloomberg",AH!$P$10=1,ISNUMBER($A2242),$A2242&lt;=AH!$P$17),AH!$P$7-1+MATCH($A2242,INDEX('AH History'!$A$1:$A$18046,AH!$P$7):INDEX('AH History'!$A$1:$A$18046,AH!$P$7+AH!$P$8-1),0),0),0)</ns0:f>
        <ns0:v/>
      </ns0:c>
      <ns0:c r="I2242">
        <ns0:f>IF($H2242=0,0,IFERROR(IF(AND(ABS($C2242-INDEX('AH History'!$B$1:$B$18046,$H2242))&lt;=MAX(0.005,ABS(INDEX('AH History'!$B$1:$B$18046,$H2242))*0.00005),ABS($D2242-INDEX('AH History'!$C$1:$C$18046,$H2242))&lt;=MAX(0.005,ABS(INDEX('AH History'!$C$1:$C$18046,$H2242))*0.00005),ABS($E2242-INDEX('AH History'!$D$1:$D$18046,$H2242))&lt;=0.00005,$F2242=INDEX('AH History'!$E$1:$E$18046,$H2242),$G2242=INDEX('AH History'!$F$1:$F$18046,$H2242)),1,-1),-1))</ns0:f>
        <ns0:v/>
      </ns0:c>
    </ns0:row>
    <ns0:row r="2243">
      <ns0:c r="A2243" s="215">
        <ns0:f>IF(OR(AH!$P$3=0,2238+1&gt;AH!$P$11,AND(AH!$E$4&lt;&gt;"Stored",AH!$P$10&lt;&gt;1)),"",IFERROR(IF(AND(AH!$P$21=1,2238+1=AH!$P$11),TODAY(),IF(AH!$P$10=1,INDEX('Live History'!$A$5:$A$3004,AH!$P$13+2238),INDEX('AH History'!$A$1:$A$18046,AH!$P$7+2238))),""))</ns0:f>
        <ns0:v/>
      </ns0:c>
      <ns0:c r="B2243" s="219">
        <ns0:f>IFERROR(IF(AND(AH!$P$9&lt;&gt;1,$C2243&gt;0,$D2243&gt;0,$E2243&gt;0,$F2243&gt;0,$G2243&gt;0,$F2243&lt;=$A2243,$G2243&lt;=$A2243,$A2243-$F2243&lt;=10,$A2243-$G2243&lt;=5),$D2243*$E2243/$C2243-1,NA()),NA())</ns0:f>
        <ns0:v/>
      </ns0:c>
      <ns0:c r="C2243">
        <ns0:f>IFERROR(IF(ISNUMBER($A2243),IF(AND(AH!$P$10=1,AH!$P$12=1,$A2243=TODAY()),AH!$P$19,IF(AH!$P$10=1,INDEX('Live History'!$B$5:$B$3004,AH!$P$13+2238),INDEX('AH History'!$B$1:$B$18046,AH!$P$7+2238))),NA()),NA())</ns0:f>
        <ns0:v/>
      </ns0:c>
      <ns0:c r="D2243">
        <ns0:f>IFERROR(IF(ISNUMBER($A2243),IF(AND(AH!$P$10=1,AH!$P$12=1,$A2243=TODAY()),AH!$P$18,IF(AH!$P$10=1,INDEX('Live History'!$E$5:$E$3004,MATCH($A2243,'Live History'!$D$5:$D$3004,1)),INDEX('AH History'!$C$1:$C$18046,AH!$P$7+2238))),NA()),NA())</ns0:f>
        <ns0:v/>
      </ns0:c>
      <ns0:c r="E2243">
        <ns0:f>IFERROR(IF(ISNUMBER($A2243),IF(AND(AH!$P$10=1,AH!$P$12=1,$A2243=TODAY()),AH!$P$20,IF(AH!$P$10=1,INDEX('Live History'!$H$5:$H$3004,MATCH($A2243,'Live History'!$G$5:$G$3004,1)),INDEX('AH History'!$D$1:$D$18046,AH!$P$7+2238))),NA()),NA())</ns0:f>
        <ns0:v/>
      </ns0:c>
      <ns0:c r="F2243">
        <ns0:f>IFERROR(IF(ISNUMBER($A2243),IF(AND(AH!$P$10=1,AH!$P$12=1,$A2243=TODAY()),IF(AND(AH!$P$10=1,AH!$P$12=1,$A2243=TODAY()),TODAY(),NA()),IF(AH!$P$10=1,INDEX('Live History'!$D$5:$D$3004,MATCH($A2243,'Live History'!$D$5:$D$3004,1)),INDEX('AH History'!$E$1:$E$18046,AH!$P$7+2238))),NA()),NA())</ns0:f>
        <ns0:v/>
      </ns0:c>
      <ns0:c r="G2243">
        <ns0:f>IFERROR(IF(ISNUMBER($A2243),IF(AND(AH!$P$10=1,AH!$P$12=1,$A2243=TODAY()),IF(AND(AH!$P$10=1,AH!$P$12=1,$A2243=TODAY()),TODAY(),NA()),IF(AH!$P$10=1,INDEX('Live History'!$G$5:$G$3004,MATCH($A2243,'Live History'!$G$5:$G$3004,1)),INDEX('AH History'!$F$1:$F$18046,AH!$P$7+2238))),NA()),NA())</ns0:f>
        <ns0:v/>
      </ns0:c>
      <ns0:c r="H2243">
        <ns0:f>IFERROR(IF(AND(AH!$E$4="Bloomberg",AH!$P$10=1,ISNUMBER($A2243),$A2243&lt;=AH!$P$17),AH!$P$7-1+MATCH($A2243,INDEX('AH History'!$A$1:$A$18046,AH!$P$7):INDEX('AH History'!$A$1:$A$18046,AH!$P$7+AH!$P$8-1),0),0),0)</ns0:f>
        <ns0:v/>
      </ns0:c>
      <ns0:c r="I2243">
        <ns0:f>IF($H2243=0,0,IFERROR(IF(AND(ABS($C2243-INDEX('AH History'!$B$1:$B$18046,$H2243))&lt;=MAX(0.005,ABS(INDEX('AH History'!$B$1:$B$18046,$H2243))*0.00005),ABS($D2243-INDEX('AH History'!$C$1:$C$18046,$H2243))&lt;=MAX(0.005,ABS(INDEX('AH History'!$C$1:$C$18046,$H2243))*0.00005),ABS($E2243-INDEX('AH History'!$D$1:$D$18046,$H2243))&lt;=0.00005,$F2243=INDEX('AH History'!$E$1:$E$18046,$H2243),$G2243=INDEX('AH History'!$F$1:$F$18046,$H2243)),1,-1),-1))</ns0:f>
        <ns0:v/>
      </ns0:c>
    </ns0:row>
    <ns0:row r="2244">
      <ns0:c r="A2244" s="215">
        <ns0:f>IF(OR(AH!$P$3=0,2239+1&gt;AH!$P$11,AND(AH!$E$4&lt;&gt;"Stored",AH!$P$10&lt;&gt;1)),"",IFERROR(IF(AND(AH!$P$21=1,2239+1=AH!$P$11),TODAY(),IF(AH!$P$10=1,INDEX('Live History'!$A$5:$A$3004,AH!$P$13+2239),INDEX('AH History'!$A$1:$A$18046,AH!$P$7+2239))),""))</ns0:f>
        <ns0:v/>
      </ns0:c>
      <ns0:c r="B2244" s="219">
        <ns0:f>IFERROR(IF(AND(AH!$P$9&lt;&gt;1,$C2244&gt;0,$D2244&gt;0,$E2244&gt;0,$F2244&gt;0,$G2244&gt;0,$F2244&lt;=$A2244,$G2244&lt;=$A2244,$A2244-$F2244&lt;=10,$A2244-$G2244&lt;=5),$D2244*$E2244/$C2244-1,NA()),NA())</ns0:f>
        <ns0:v/>
      </ns0:c>
      <ns0:c r="C2244">
        <ns0:f>IFERROR(IF(ISNUMBER($A2244),IF(AND(AH!$P$10=1,AH!$P$12=1,$A2244=TODAY()),AH!$P$19,IF(AH!$P$10=1,INDEX('Live History'!$B$5:$B$3004,AH!$P$13+2239),INDEX('AH History'!$B$1:$B$18046,AH!$P$7+2239))),NA()),NA())</ns0:f>
        <ns0:v/>
      </ns0:c>
      <ns0:c r="D2244">
        <ns0:f>IFERROR(IF(ISNUMBER($A2244),IF(AND(AH!$P$10=1,AH!$P$12=1,$A2244=TODAY()),AH!$P$18,IF(AH!$P$10=1,INDEX('Live History'!$E$5:$E$3004,MATCH($A2244,'Live History'!$D$5:$D$3004,1)),INDEX('AH History'!$C$1:$C$18046,AH!$P$7+2239))),NA()),NA())</ns0:f>
        <ns0:v/>
      </ns0:c>
      <ns0:c r="E2244">
        <ns0:f>IFERROR(IF(ISNUMBER($A2244),IF(AND(AH!$P$10=1,AH!$P$12=1,$A2244=TODAY()),AH!$P$20,IF(AH!$P$10=1,INDEX('Live History'!$H$5:$H$3004,MATCH($A2244,'Live History'!$G$5:$G$3004,1)),INDEX('AH History'!$D$1:$D$18046,AH!$P$7+2239))),NA()),NA())</ns0:f>
        <ns0:v/>
      </ns0:c>
      <ns0:c r="F2244">
        <ns0:f>IFERROR(IF(ISNUMBER($A2244),IF(AND(AH!$P$10=1,AH!$P$12=1,$A2244=TODAY()),IF(AND(AH!$P$10=1,AH!$P$12=1,$A2244=TODAY()),TODAY(),NA()),IF(AH!$P$10=1,INDEX('Live History'!$D$5:$D$3004,MATCH($A2244,'Live History'!$D$5:$D$3004,1)),INDEX('AH History'!$E$1:$E$18046,AH!$P$7+2239))),NA()),NA())</ns0:f>
        <ns0:v/>
      </ns0:c>
      <ns0:c r="G2244">
        <ns0:f>IFERROR(IF(ISNUMBER($A2244),IF(AND(AH!$P$10=1,AH!$P$12=1,$A2244=TODAY()),IF(AND(AH!$P$10=1,AH!$P$12=1,$A2244=TODAY()),TODAY(),NA()),IF(AH!$P$10=1,INDEX('Live History'!$G$5:$G$3004,MATCH($A2244,'Live History'!$G$5:$G$3004,1)),INDEX('AH History'!$F$1:$F$18046,AH!$P$7+2239))),NA()),NA())</ns0:f>
        <ns0:v/>
      </ns0:c>
      <ns0:c r="H2244">
        <ns0:f>IFERROR(IF(AND(AH!$E$4="Bloomberg",AH!$P$10=1,ISNUMBER($A2244),$A2244&lt;=AH!$P$17),AH!$P$7-1+MATCH($A2244,INDEX('AH History'!$A$1:$A$18046,AH!$P$7):INDEX('AH History'!$A$1:$A$18046,AH!$P$7+AH!$P$8-1),0),0),0)</ns0:f>
        <ns0:v/>
      </ns0:c>
      <ns0:c r="I2244">
        <ns0:f>IF($H2244=0,0,IFERROR(IF(AND(ABS($C2244-INDEX('AH History'!$B$1:$B$18046,$H2244))&lt;=MAX(0.005,ABS(INDEX('AH History'!$B$1:$B$18046,$H2244))*0.00005),ABS($D2244-INDEX('AH History'!$C$1:$C$18046,$H2244))&lt;=MAX(0.005,ABS(INDEX('AH History'!$C$1:$C$18046,$H2244))*0.00005),ABS($E2244-INDEX('AH History'!$D$1:$D$18046,$H2244))&lt;=0.00005,$F2244=INDEX('AH History'!$E$1:$E$18046,$H2244),$G2244=INDEX('AH History'!$F$1:$F$18046,$H2244)),1,-1),-1))</ns0:f>
        <ns0:v/>
      </ns0:c>
    </ns0:row>
    <ns0:row r="2245">
      <ns0:c r="A2245" s="215">
        <ns0:f>IF(OR(AH!$P$3=0,2240+1&gt;AH!$P$11,AND(AH!$E$4&lt;&gt;"Stored",AH!$P$10&lt;&gt;1)),"",IFERROR(IF(AND(AH!$P$21=1,2240+1=AH!$P$11),TODAY(),IF(AH!$P$10=1,INDEX('Live History'!$A$5:$A$3004,AH!$P$13+2240),INDEX('AH History'!$A$1:$A$18046,AH!$P$7+2240))),""))</ns0:f>
        <ns0:v/>
      </ns0:c>
      <ns0:c r="B2245" s="219">
        <ns0:f>IFERROR(IF(AND(AH!$P$9&lt;&gt;1,$C2245&gt;0,$D2245&gt;0,$E2245&gt;0,$F2245&gt;0,$G2245&gt;0,$F2245&lt;=$A2245,$G2245&lt;=$A2245,$A2245-$F2245&lt;=10,$A2245-$G2245&lt;=5),$D2245*$E2245/$C2245-1,NA()),NA())</ns0:f>
        <ns0:v/>
      </ns0:c>
      <ns0:c r="C2245">
        <ns0:f>IFERROR(IF(ISNUMBER($A2245),IF(AND(AH!$P$10=1,AH!$P$12=1,$A2245=TODAY()),AH!$P$19,IF(AH!$P$10=1,INDEX('Live History'!$B$5:$B$3004,AH!$P$13+2240),INDEX('AH History'!$B$1:$B$18046,AH!$P$7+2240))),NA()),NA())</ns0:f>
        <ns0:v/>
      </ns0:c>
      <ns0:c r="D2245">
        <ns0:f>IFERROR(IF(ISNUMBER($A2245),IF(AND(AH!$P$10=1,AH!$P$12=1,$A2245=TODAY()),AH!$P$18,IF(AH!$P$10=1,INDEX('Live History'!$E$5:$E$3004,MATCH($A2245,'Live History'!$D$5:$D$3004,1)),INDEX('AH History'!$C$1:$C$18046,AH!$P$7+2240))),NA()),NA())</ns0:f>
        <ns0:v/>
      </ns0:c>
      <ns0:c r="E2245">
        <ns0:f>IFERROR(IF(ISNUMBER($A2245),IF(AND(AH!$P$10=1,AH!$P$12=1,$A2245=TODAY()),AH!$P$20,IF(AH!$P$10=1,INDEX('Live History'!$H$5:$H$3004,MATCH($A2245,'Live History'!$G$5:$G$3004,1)),INDEX('AH History'!$D$1:$D$18046,AH!$P$7+2240))),NA()),NA())</ns0:f>
        <ns0:v/>
      </ns0:c>
      <ns0:c r="F2245">
        <ns0:f>IFERROR(IF(ISNUMBER($A2245),IF(AND(AH!$P$10=1,AH!$P$12=1,$A2245=TODAY()),IF(AND(AH!$P$10=1,AH!$P$12=1,$A2245=TODAY()),TODAY(),NA()),IF(AH!$P$10=1,INDEX('Live History'!$D$5:$D$3004,MATCH($A2245,'Live History'!$D$5:$D$3004,1)),INDEX('AH History'!$E$1:$E$18046,AH!$P$7+2240))),NA()),NA())</ns0:f>
        <ns0:v/>
      </ns0:c>
      <ns0:c r="G2245">
        <ns0:f>IFERROR(IF(ISNUMBER($A2245),IF(AND(AH!$P$10=1,AH!$P$12=1,$A2245=TODAY()),IF(AND(AH!$P$10=1,AH!$P$12=1,$A2245=TODAY()),TODAY(),NA()),IF(AH!$P$10=1,INDEX('Live History'!$G$5:$G$3004,MATCH($A2245,'Live History'!$G$5:$G$3004,1)),INDEX('AH History'!$F$1:$F$18046,AH!$P$7+2240))),NA()),NA())</ns0:f>
        <ns0:v/>
      </ns0:c>
      <ns0:c r="H2245">
        <ns0:f>IFERROR(IF(AND(AH!$E$4="Bloomberg",AH!$P$10=1,ISNUMBER($A2245),$A2245&lt;=AH!$P$17),AH!$P$7-1+MATCH($A2245,INDEX('AH History'!$A$1:$A$18046,AH!$P$7):INDEX('AH History'!$A$1:$A$18046,AH!$P$7+AH!$P$8-1),0),0),0)</ns0:f>
        <ns0:v/>
      </ns0:c>
      <ns0:c r="I2245">
        <ns0:f>IF($H2245=0,0,IFERROR(IF(AND(ABS($C2245-INDEX('AH History'!$B$1:$B$18046,$H2245))&lt;=MAX(0.005,ABS(INDEX('AH History'!$B$1:$B$18046,$H2245))*0.00005),ABS($D2245-INDEX('AH History'!$C$1:$C$18046,$H2245))&lt;=MAX(0.005,ABS(INDEX('AH History'!$C$1:$C$18046,$H2245))*0.00005),ABS($E2245-INDEX('AH History'!$D$1:$D$18046,$H2245))&lt;=0.00005,$F2245=INDEX('AH History'!$E$1:$E$18046,$H2245),$G2245=INDEX('AH History'!$F$1:$F$18046,$H2245)),1,-1),-1))</ns0:f>
        <ns0:v/>
      </ns0:c>
    </ns0:row>
    <ns0:row r="2246">
      <ns0:c r="A2246" s="215">
        <ns0:f>IF(OR(AH!$P$3=0,2241+1&gt;AH!$P$11,AND(AH!$E$4&lt;&gt;"Stored",AH!$P$10&lt;&gt;1)),"",IFERROR(IF(AND(AH!$P$21=1,2241+1=AH!$P$11),TODAY(),IF(AH!$P$10=1,INDEX('Live History'!$A$5:$A$3004,AH!$P$13+2241),INDEX('AH History'!$A$1:$A$18046,AH!$P$7+2241))),""))</ns0:f>
        <ns0:v/>
      </ns0:c>
      <ns0:c r="B2246" s="219">
        <ns0:f>IFERROR(IF(AND(AH!$P$9&lt;&gt;1,$C2246&gt;0,$D2246&gt;0,$E2246&gt;0,$F2246&gt;0,$G2246&gt;0,$F2246&lt;=$A2246,$G2246&lt;=$A2246,$A2246-$F2246&lt;=10,$A2246-$G2246&lt;=5),$D2246*$E2246/$C2246-1,NA()),NA())</ns0:f>
        <ns0:v/>
      </ns0:c>
      <ns0:c r="C2246">
        <ns0:f>IFERROR(IF(ISNUMBER($A2246),IF(AND(AH!$P$10=1,AH!$P$12=1,$A2246=TODAY()),AH!$P$19,IF(AH!$P$10=1,INDEX('Live History'!$B$5:$B$3004,AH!$P$13+2241),INDEX('AH History'!$B$1:$B$18046,AH!$P$7+2241))),NA()),NA())</ns0:f>
        <ns0:v/>
      </ns0:c>
      <ns0:c r="D2246">
        <ns0:f>IFERROR(IF(ISNUMBER($A2246),IF(AND(AH!$P$10=1,AH!$P$12=1,$A2246=TODAY()),AH!$P$18,IF(AH!$P$10=1,INDEX('Live History'!$E$5:$E$3004,MATCH($A2246,'Live History'!$D$5:$D$3004,1)),INDEX('AH History'!$C$1:$C$18046,AH!$P$7+2241))),NA()),NA())</ns0:f>
        <ns0:v/>
      </ns0:c>
      <ns0:c r="E2246">
        <ns0:f>IFERROR(IF(ISNUMBER($A2246),IF(AND(AH!$P$10=1,AH!$P$12=1,$A2246=TODAY()),AH!$P$20,IF(AH!$P$10=1,INDEX('Live History'!$H$5:$H$3004,MATCH($A2246,'Live History'!$G$5:$G$3004,1)),INDEX('AH History'!$D$1:$D$18046,AH!$P$7+2241))),NA()),NA())</ns0:f>
        <ns0:v/>
      </ns0:c>
      <ns0:c r="F2246">
        <ns0:f>IFERROR(IF(ISNUMBER($A2246),IF(AND(AH!$P$10=1,AH!$P$12=1,$A2246=TODAY()),IF(AND(AH!$P$10=1,AH!$P$12=1,$A2246=TODAY()),TODAY(),NA()),IF(AH!$P$10=1,INDEX('Live History'!$D$5:$D$3004,MATCH($A2246,'Live History'!$D$5:$D$3004,1)),INDEX('AH History'!$E$1:$E$18046,AH!$P$7+2241))),NA()),NA())</ns0:f>
        <ns0:v/>
      </ns0:c>
      <ns0:c r="G2246">
        <ns0:f>IFERROR(IF(ISNUMBER($A2246),IF(AND(AH!$P$10=1,AH!$P$12=1,$A2246=TODAY()),IF(AND(AH!$P$10=1,AH!$P$12=1,$A2246=TODAY()),TODAY(),NA()),IF(AH!$P$10=1,INDEX('Live History'!$G$5:$G$3004,MATCH($A2246,'Live History'!$G$5:$G$3004,1)),INDEX('AH History'!$F$1:$F$18046,AH!$P$7+2241))),NA()),NA())</ns0:f>
        <ns0:v/>
      </ns0:c>
      <ns0:c r="H2246">
        <ns0:f>IFERROR(IF(AND(AH!$E$4="Bloomberg",AH!$P$10=1,ISNUMBER($A2246),$A2246&lt;=AH!$P$17),AH!$P$7-1+MATCH($A2246,INDEX('AH History'!$A$1:$A$18046,AH!$P$7):INDEX('AH History'!$A$1:$A$18046,AH!$P$7+AH!$P$8-1),0),0),0)</ns0:f>
        <ns0:v/>
      </ns0:c>
      <ns0:c r="I2246">
        <ns0:f>IF($H2246=0,0,IFERROR(IF(AND(ABS($C2246-INDEX('AH History'!$B$1:$B$18046,$H2246))&lt;=MAX(0.005,ABS(INDEX('AH History'!$B$1:$B$18046,$H2246))*0.00005),ABS($D2246-INDEX('AH History'!$C$1:$C$18046,$H2246))&lt;=MAX(0.005,ABS(INDEX('AH History'!$C$1:$C$18046,$H2246))*0.00005),ABS($E2246-INDEX('AH History'!$D$1:$D$18046,$H2246))&lt;=0.00005,$F2246=INDEX('AH History'!$E$1:$E$18046,$H2246),$G2246=INDEX('AH History'!$F$1:$F$18046,$H2246)),1,-1),-1))</ns0:f>
        <ns0:v/>
      </ns0:c>
    </ns0:row>
    <ns0:row r="2247">
      <ns0:c r="A2247" s="215">
        <ns0:f>IF(OR(AH!$P$3=0,2242+1&gt;AH!$P$11,AND(AH!$E$4&lt;&gt;"Stored",AH!$P$10&lt;&gt;1)),"",IFERROR(IF(AND(AH!$P$21=1,2242+1=AH!$P$11),TODAY(),IF(AH!$P$10=1,INDEX('Live History'!$A$5:$A$3004,AH!$P$13+2242),INDEX('AH History'!$A$1:$A$18046,AH!$P$7+2242))),""))</ns0:f>
        <ns0:v/>
      </ns0:c>
      <ns0:c r="B2247" s="219">
        <ns0:f>IFERROR(IF(AND(AH!$P$9&lt;&gt;1,$C2247&gt;0,$D2247&gt;0,$E2247&gt;0,$F2247&gt;0,$G2247&gt;0,$F2247&lt;=$A2247,$G2247&lt;=$A2247,$A2247-$F2247&lt;=10,$A2247-$G2247&lt;=5),$D2247*$E2247/$C2247-1,NA()),NA())</ns0:f>
        <ns0:v/>
      </ns0:c>
      <ns0:c r="C2247">
        <ns0:f>IFERROR(IF(ISNUMBER($A2247),IF(AND(AH!$P$10=1,AH!$P$12=1,$A2247=TODAY()),AH!$P$19,IF(AH!$P$10=1,INDEX('Live History'!$B$5:$B$3004,AH!$P$13+2242),INDEX('AH History'!$B$1:$B$18046,AH!$P$7+2242))),NA()),NA())</ns0:f>
        <ns0:v/>
      </ns0:c>
      <ns0:c r="D2247">
        <ns0:f>IFERROR(IF(ISNUMBER($A2247),IF(AND(AH!$P$10=1,AH!$P$12=1,$A2247=TODAY()),AH!$P$18,IF(AH!$P$10=1,INDEX('Live History'!$E$5:$E$3004,MATCH($A2247,'Live History'!$D$5:$D$3004,1)),INDEX('AH History'!$C$1:$C$18046,AH!$P$7+2242))),NA()),NA())</ns0:f>
        <ns0:v/>
      </ns0:c>
      <ns0:c r="E2247">
        <ns0:f>IFERROR(IF(ISNUMBER($A2247),IF(AND(AH!$P$10=1,AH!$P$12=1,$A2247=TODAY()),AH!$P$20,IF(AH!$P$10=1,INDEX('Live History'!$H$5:$H$3004,MATCH($A2247,'Live History'!$G$5:$G$3004,1)),INDEX('AH History'!$D$1:$D$18046,AH!$P$7+2242))),NA()),NA())</ns0:f>
        <ns0:v/>
      </ns0:c>
      <ns0:c r="F2247">
        <ns0:f>IFERROR(IF(ISNUMBER($A2247),IF(AND(AH!$P$10=1,AH!$P$12=1,$A2247=TODAY()),IF(AND(AH!$P$10=1,AH!$P$12=1,$A2247=TODAY()),TODAY(),NA()),IF(AH!$P$10=1,INDEX('Live History'!$D$5:$D$3004,MATCH($A2247,'Live History'!$D$5:$D$3004,1)),INDEX('AH History'!$E$1:$E$18046,AH!$P$7+2242))),NA()),NA())</ns0:f>
        <ns0:v/>
      </ns0:c>
      <ns0:c r="G2247">
        <ns0:f>IFERROR(IF(ISNUMBER($A2247),IF(AND(AH!$P$10=1,AH!$P$12=1,$A2247=TODAY()),IF(AND(AH!$P$10=1,AH!$P$12=1,$A2247=TODAY()),TODAY(),NA()),IF(AH!$P$10=1,INDEX('Live History'!$G$5:$G$3004,MATCH($A2247,'Live History'!$G$5:$G$3004,1)),INDEX('AH History'!$F$1:$F$18046,AH!$P$7+2242))),NA()),NA())</ns0:f>
        <ns0:v/>
      </ns0:c>
      <ns0:c r="H2247">
        <ns0:f>IFERROR(IF(AND(AH!$E$4="Bloomberg",AH!$P$10=1,ISNUMBER($A2247),$A2247&lt;=AH!$P$17),AH!$P$7-1+MATCH($A2247,INDEX('AH History'!$A$1:$A$18046,AH!$P$7):INDEX('AH History'!$A$1:$A$18046,AH!$P$7+AH!$P$8-1),0),0),0)</ns0:f>
        <ns0:v/>
      </ns0:c>
      <ns0:c r="I2247">
        <ns0:f>IF($H2247=0,0,IFERROR(IF(AND(ABS($C2247-INDEX('AH History'!$B$1:$B$18046,$H2247))&lt;=MAX(0.005,ABS(INDEX('AH History'!$B$1:$B$18046,$H2247))*0.00005),ABS($D2247-INDEX('AH History'!$C$1:$C$18046,$H2247))&lt;=MAX(0.005,ABS(INDEX('AH History'!$C$1:$C$18046,$H2247))*0.00005),ABS($E2247-INDEX('AH History'!$D$1:$D$18046,$H2247))&lt;=0.00005,$F2247=INDEX('AH History'!$E$1:$E$18046,$H2247),$G2247=INDEX('AH History'!$F$1:$F$18046,$H2247)),1,-1),-1))</ns0:f>
        <ns0:v/>
      </ns0:c>
    </ns0:row>
    <ns0:row r="2248">
      <ns0:c r="A2248" s="215">
        <ns0:f>IF(OR(AH!$P$3=0,2243+1&gt;AH!$P$11,AND(AH!$E$4&lt;&gt;"Stored",AH!$P$10&lt;&gt;1)),"",IFERROR(IF(AND(AH!$P$21=1,2243+1=AH!$P$11),TODAY(),IF(AH!$P$10=1,INDEX('Live History'!$A$5:$A$3004,AH!$P$13+2243),INDEX('AH History'!$A$1:$A$18046,AH!$P$7+2243))),""))</ns0:f>
        <ns0:v/>
      </ns0:c>
      <ns0:c r="B2248" s="219">
        <ns0:f>IFERROR(IF(AND(AH!$P$9&lt;&gt;1,$C2248&gt;0,$D2248&gt;0,$E2248&gt;0,$F2248&gt;0,$G2248&gt;0,$F2248&lt;=$A2248,$G2248&lt;=$A2248,$A2248-$F2248&lt;=10,$A2248-$G2248&lt;=5),$D2248*$E2248/$C2248-1,NA()),NA())</ns0:f>
        <ns0:v/>
      </ns0:c>
      <ns0:c r="C2248">
        <ns0:f>IFERROR(IF(ISNUMBER($A2248),IF(AND(AH!$P$10=1,AH!$P$12=1,$A2248=TODAY()),AH!$P$19,IF(AH!$P$10=1,INDEX('Live History'!$B$5:$B$3004,AH!$P$13+2243),INDEX('AH History'!$B$1:$B$18046,AH!$P$7+2243))),NA()),NA())</ns0:f>
        <ns0:v/>
      </ns0:c>
      <ns0:c r="D2248">
        <ns0:f>IFERROR(IF(ISNUMBER($A2248),IF(AND(AH!$P$10=1,AH!$P$12=1,$A2248=TODAY()),AH!$P$18,IF(AH!$P$10=1,INDEX('Live History'!$E$5:$E$3004,MATCH($A2248,'Live History'!$D$5:$D$3004,1)),INDEX('AH History'!$C$1:$C$18046,AH!$P$7+2243))),NA()),NA())</ns0:f>
        <ns0:v/>
      </ns0:c>
      <ns0:c r="E2248">
        <ns0:f>IFERROR(IF(ISNUMBER($A2248),IF(AND(AH!$P$10=1,AH!$P$12=1,$A2248=TODAY()),AH!$P$20,IF(AH!$P$10=1,INDEX('Live History'!$H$5:$H$3004,MATCH($A2248,'Live History'!$G$5:$G$3004,1)),INDEX('AH History'!$D$1:$D$18046,AH!$P$7+2243))),NA()),NA())</ns0:f>
        <ns0:v/>
      </ns0:c>
      <ns0:c r="F2248">
        <ns0:f>IFERROR(IF(ISNUMBER($A2248),IF(AND(AH!$P$10=1,AH!$P$12=1,$A2248=TODAY()),IF(AND(AH!$P$10=1,AH!$P$12=1,$A2248=TODAY()),TODAY(),NA()),IF(AH!$P$10=1,INDEX('Live History'!$D$5:$D$3004,MATCH($A2248,'Live History'!$D$5:$D$3004,1)),INDEX('AH History'!$E$1:$E$18046,AH!$P$7+2243))),NA()),NA())</ns0:f>
        <ns0:v/>
      </ns0:c>
      <ns0:c r="G2248">
        <ns0:f>IFERROR(IF(ISNUMBER($A2248),IF(AND(AH!$P$10=1,AH!$P$12=1,$A2248=TODAY()),IF(AND(AH!$P$10=1,AH!$P$12=1,$A2248=TODAY()),TODAY(),NA()),IF(AH!$P$10=1,INDEX('Live History'!$G$5:$G$3004,MATCH($A2248,'Live History'!$G$5:$G$3004,1)),INDEX('AH History'!$F$1:$F$18046,AH!$P$7+2243))),NA()),NA())</ns0:f>
        <ns0:v/>
      </ns0:c>
      <ns0:c r="H2248">
        <ns0:f>IFERROR(IF(AND(AH!$E$4="Bloomberg",AH!$P$10=1,ISNUMBER($A2248),$A2248&lt;=AH!$P$17),AH!$P$7-1+MATCH($A2248,INDEX('AH History'!$A$1:$A$18046,AH!$P$7):INDEX('AH History'!$A$1:$A$18046,AH!$P$7+AH!$P$8-1),0),0),0)</ns0:f>
        <ns0:v/>
      </ns0:c>
      <ns0:c r="I2248">
        <ns0:f>IF($H2248=0,0,IFERROR(IF(AND(ABS($C2248-INDEX('AH History'!$B$1:$B$18046,$H2248))&lt;=MAX(0.005,ABS(INDEX('AH History'!$B$1:$B$18046,$H2248))*0.00005),ABS($D2248-INDEX('AH History'!$C$1:$C$18046,$H2248))&lt;=MAX(0.005,ABS(INDEX('AH History'!$C$1:$C$18046,$H2248))*0.00005),ABS($E2248-INDEX('AH History'!$D$1:$D$18046,$H2248))&lt;=0.00005,$F2248=INDEX('AH History'!$E$1:$E$18046,$H2248),$G2248=INDEX('AH History'!$F$1:$F$18046,$H2248)),1,-1),-1))</ns0:f>
        <ns0:v/>
      </ns0:c>
    </ns0:row>
    <ns0:row r="2249">
      <ns0:c r="A2249" s="215">
        <ns0:f>IF(OR(AH!$P$3=0,2244+1&gt;AH!$P$11,AND(AH!$E$4&lt;&gt;"Stored",AH!$P$10&lt;&gt;1)),"",IFERROR(IF(AND(AH!$P$21=1,2244+1=AH!$P$11),TODAY(),IF(AH!$P$10=1,INDEX('Live History'!$A$5:$A$3004,AH!$P$13+2244),INDEX('AH History'!$A$1:$A$18046,AH!$P$7+2244))),""))</ns0:f>
        <ns0:v/>
      </ns0:c>
      <ns0:c r="B2249" s="219">
        <ns0:f>IFERROR(IF(AND(AH!$P$9&lt;&gt;1,$C2249&gt;0,$D2249&gt;0,$E2249&gt;0,$F2249&gt;0,$G2249&gt;0,$F2249&lt;=$A2249,$G2249&lt;=$A2249,$A2249-$F2249&lt;=10,$A2249-$G2249&lt;=5),$D2249*$E2249/$C2249-1,NA()),NA())</ns0:f>
        <ns0:v/>
      </ns0:c>
      <ns0:c r="C2249">
        <ns0:f>IFERROR(IF(ISNUMBER($A2249),IF(AND(AH!$P$10=1,AH!$P$12=1,$A2249=TODAY()),AH!$P$19,IF(AH!$P$10=1,INDEX('Live History'!$B$5:$B$3004,AH!$P$13+2244),INDEX('AH History'!$B$1:$B$18046,AH!$P$7+2244))),NA()),NA())</ns0:f>
        <ns0:v/>
      </ns0:c>
      <ns0:c r="D2249">
        <ns0:f>IFERROR(IF(ISNUMBER($A2249),IF(AND(AH!$P$10=1,AH!$P$12=1,$A2249=TODAY()),AH!$P$18,IF(AH!$P$10=1,INDEX('Live History'!$E$5:$E$3004,MATCH($A2249,'Live History'!$D$5:$D$3004,1)),INDEX('AH History'!$C$1:$C$18046,AH!$P$7+2244))),NA()),NA())</ns0:f>
        <ns0:v/>
      </ns0:c>
      <ns0:c r="E2249">
        <ns0:f>IFERROR(IF(ISNUMBER($A2249),IF(AND(AH!$P$10=1,AH!$P$12=1,$A2249=TODAY()),AH!$P$20,IF(AH!$P$10=1,INDEX('Live History'!$H$5:$H$3004,MATCH($A2249,'Live History'!$G$5:$G$3004,1)),INDEX('AH History'!$D$1:$D$18046,AH!$P$7+2244))),NA()),NA())</ns0:f>
        <ns0:v/>
      </ns0:c>
      <ns0:c r="F2249">
        <ns0:f>IFERROR(IF(ISNUMBER($A2249),IF(AND(AH!$P$10=1,AH!$P$12=1,$A2249=TODAY()),IF(AND(AH!$P$10=1,AH!$P$12=1,$A2249=TODAY()),TODAY(),NA()),IF(AH!$P$10=1,INDEX('Live History'!$D$5:$D$3004,MATCH($A2249,'Live History'!$D$5:$D$3004,1)),INDEX('AH History'!$E$1:$E$18046,AH!$P$7+2244))),NA()),NA())</ns0:f>
        <ns0:v/>
      </ns0:c>
      <ns0:c r="G2249">
        <ns0:f>IFERROR(IF(ISNUMBER($A2249),IF(AND(AH!$P$10=1,AH!$P$12=1,$A2249=TODAY()),IF(AND(AH!$P$10=1,AH!$P$12=1,$A2249=TODAY()),TODAY(),NA()),IF(AH!$P$10=1,INDEX('Live History'!$G$5:$G$3004,MATCH($A2249,'Live History'!$G$5:$G$3004,1)),INDEX('AH History'!$F$1:$F$18046,AH!$P$7+2244))),NA()),NA())</ns0:f>
        <ns0:v/>
      </ns0:c>
      <ns0:c r="H2249">
        <ns0:f>IFERROR(IF(AND(AH!$E$4="Bloomberg",AH!$P$10=1,ISNUMBER($A2249),$A2249&lt;=AH!$P$17),AH!$P$7-1+MATCH($A2249,INDEX('AH History'!$A$1:$A$18046,AH!$P$7):INDEX('AH History'!$A$1:$A$18046,AH!$P$7+AH!$P$8-1),0),0),0)</ns0:f>
        <ns0:v/>
      </ns0:c>
      <ns0:c r="I2249">
        <ns0:f>IF($H2249=0,0,IFERROR(IF(AND(ABS($C2249-INDEX('AH History'!$B$1:$B$18046,$H2249))&lt;=MAX(0.005,ABS(INDEX('AH History'!$B$1:$B$18046,$H2249))*0.00005),ABS($D2249-INDEX('AH History'!$C$1:$C$18046,$H2249))&lt;=MAX(0.005,ABS(INDEX('AH History'!$C$1:$C$18046,$H2249))*0.00005),ABS($E2249-INDEX('AH History'!$D$1:$D$18046,$H2249))&lt;=0.00005,$F2249=INDEX('AH History'!$E$1:$E$18046,$H2249),$G2249=INDEX('AH History'!$F$1:$F$18046,$H2249)),1,-1),-1))</ns0:f>
        <ns0:v/>
      </ns0:c>
    </ns0:row>
    <ns0:row r="2250">
      <ns0:c r="A2250" s="215">
        <ns0:f>IF(OR(AH!$P$3=0,2245+1&gt;AH!$P$11,AND(AH!$E$4&lt;&gt;"Stored",AH!$P$10&lt;&gt;1)),"",IFERROR(IF(AND(AH!$P$21=1,2245+1=AH!$P$11),TODAY(),IF(AH!$P$10=1,INDEX('Live History'!$A$5:$A$3004,AH!$P$13+2245),INDEX('AH History'!$A$1:$A$18046,AH!$P$7+2245))),""))</ns0:f>
        <ns0:v/>
      </ns0:c>
      <ns0:c r="B2250" s="219">
        <ns0:f>IFERROR(IF(AND(AH!$P$9&lt;&gt;1,$C2250&gt;0,$D2250&gt;0,$E2250&gt;0,$F2250&gt;0,$G2250&gt;0,$F2250&lt;=$A2250,$G2250&lt;=$A2250,$A2250-$F2250&lt;=10,$A2250-$G2250&lt;=5),$D2250*$E2250/$C2250-1,NA()),NA())</ns0:f>
        <ns0:v/>
      </ns0:c>
      <ns0:c r="C2250">
        <ns0:f>IFERROR(IF(ISNUMBER($A2250),IF(AND(AH!$P$10=1,AH!$P$12=1,$A2250=TODAY()),AH!$P$19,IF(AH!$P$10=1,INDEX('Live History'!$B$5:$B$3004,AH!$P$13+2245),INDEX('AH History'!$B$1:$B$18046,AH!$P$7+2245))),NA()),NA())</ns0:f>
        <ns0:v/>
      </ns0:c>
      <ns0:c r="D2250">
        <ns0:f>IFERROR(IF(ISNUMBER($A2250),IF(AND(AH!$P$10=1,AH!$P$12=1,$A2250=TODAY()),AH!$P$18,IF(AH!$P$10=1,INDEX('Live History'!$E$5:$E$3004,MATCH($A2250,'Live History'!$D$5:$D$3004,1)),INDEX('AH History'!$C$1:$C$18046,AH!$P$7+2245))),NA()),NA())</ns0:f>
        <ns0:v/>
      </ns0:c>
      <ns0:c r="E2250">
        <ns0:f>IFERROR(IF(ISNUMBER($A2250),IF(AND(AH!$P$10=1,AH!$P$12=1,$A2250=TODAY()),AH!$P$20,IF(AH!$P$10=1,INDEX('Live History'!$H$5:$H$3004,MATCH($A2250,'Live History'!$G$5:$G$3004,1)),INDEX('AH History'!$D$1:$D$18046,AH!$P$7+2245))),NA()),NA())</ns0:f>
        <ns0:v/>
      </ns0:c>
      <ns0:c r="F2250">
        <ns0:f>IFERROR(IF(ISNUMBER($A2250),IF(AND(AH!$P$10=1,AH!$P$12=1,$A2250=TODAY()),IF(AND(AH!$P$10=1,AH!$P$12=1,$A2250=TODAY()),TODAY(),NA()),IF(AH!$P$10=1,INDEX('Live History'!$D$5:$D$3004,MATCH($A2250,'Live History'!$D$5:$D$3004,1)),INDEX('AH History'!$E$1:$E$18046,AH!$P$7+2245))),NA()),NA())</ns0:f>
        <ns0:v/>
      </ns0:c>
      <ns0:c r="G2250">
        <ns0:f>IFERROR(IF(ISNUMBER($A2250),IF(AND(AH!$P$10=1,AH!$P$12=1,$A2250=TODAY()),IF(AND(AH!$P$10=1,AH!$P$12=1,$A2250=TODAY()),TODAY(),NA()),IF(AH!$P$10=1,INDEX('Live History'!$G$5:$G$3004,MATCH($A2250,'Live History'!$G$5:$G$3004,1)),INDEX('AH History'!$F$1:$F$18046,AH!$P$7+2245))),NA()),NA())</ns0:f>
        <ns0:v/>
      </ns0:c>
      <ns0:c r="H2250">
        <ns0:f>IFERROR(IF(AND(AH!$E$4="Bloomberg",AH!$P$10=1,ISNUMBER($A2250),$A2250&lt;=AH!$P$17),AH!$P$7-1+MATCH($A2250,INDEX('AH History'!$A$1:$A$18046,AH!$P$7):INDEX('AH History'!$A$1:$A$18046,AH!$P$7+AH!$P$8-1),0),0),0)</ns0:f>
        <ns0:v/>
      </ns0:c>
      <ns0:c r="I2250">
        <ns0:f>IF($H2250=0,0,IFERROR(IF(AND(ABS($C2250-INDEX('AH History'!$B$1:$B$18046,$H2250))&lt;=MAX(0.005,ABS(INDEX('AH History'!$B$1:$B$18046,$H2250))*0.00005),ABS($D2250-INDEX('AH History'!$C$1:$C$18046,$H2250))&lt;=MAX(0.005,ABS(INDEX('AH History'!$C$1:$C$18046,$H2250))*0.00005),ABS($E2250-INDEX('AH History'!$D$1:$D$18046,$H2250))&lt;=0.00005,$F2250=INDEX('AH History'!$E$1:$E$18046,$H2250),$G2250=INDEX('AH History'!$F$1:$F$18046,$H2250)),1,-1),-1))</ns0:f>
        <ns0:v/>
      </ns0:c>
    </ns0:row>
    <ns0:row r="2251">
      <ns0:c r="A2251" s="215">
        <ns0:f>IF(OR(AH!$P$3=0,2246+1&gt;AH!$P$11,AND(AH!$E$4&lt;&gt;"Stored",AH!$P$10&lt;&gt;1)),"",IFERROR(IF(AND(AH!$P$21=1,2246+1=AH!$P$11),TODAY(),IF(AH!$P$10=1,INDEX('Live History'!$A$5:$A$3004,AH!$P$13+2246),INDEX('AH History'!$A$1:$A$18046,AH!$P$7+2246))),""))</ns0:f>
        <ns0:v/>
      </ns0:c>
      <ns0:c r="B2251" s="219">
        <ns0:f>IFERROR(IF(AND(AH!$P$9&lt;&gt;1,$C2251&gt;0,$D2251&gt;0,$E2251&gt;0,$F2251&gt;0,$G2251&gt;0,$F2251&lt;=$A2251,$G2251&lt;=$A2251,$A2251-$F2251&lt;=10,$A2251-$G2251&lt;=5),$D2251*$E2251/$C2251-1,NA()),NA())</ns0:f>
        <ns0:v/>
      </ns0:c>
      <ns0:c r="C2251">
        <ns0:f>IFERROR(IF(ISNUMBER($A2251),IF(AND(AH!$P$10=1,AH!$P$12=1,$A2251=TODAY()),AH!$P$19,IF(AH!$P$10=1,INDEX('Live History'!$B$5:$B$3004,AH!$P$13+2246),INDEX('AH History'!$B$1:$B$18046,AH!$P$7+2246))),NA()),NA())</ns0:f>
        <ns0:v/>
      </ns0:c>
      <ns0:c r="D2251">
        <ns0:f>IFERROR(IF(ISNUMBER($A2251),IF(AND(AH!$P$10=1,AH!$P$12=1,$A2251=TODAY()),AH!$P$18,IF(AH!$P$10=1,INDEX('Live History'!$E$5:$E$3004,MATCH($A2251,'Live History'!$D$5:$D$3004,1)),INDEX('AH History'!$C$1:$C$18046,AH!$P$7+2246))),NA()),NA())</ns0:f>
        <ns0:v/>
      </ns0:c>
      <ns0:c r="E2251">
        <ns0:f>IFERROR(IF(ISNUMBER($A2251),IF(AND(AH!$P$10=1,AH!$P$12=1,$A2251=TODAY()),AH!$P$20,IF(AH!$P$10=1,INDEX('Live History'!$H$5:$H$3004,MATCH($A2251,'Live History'!$G$5:$G$3004,1)),INDEX('AH History'!$D$1:$D$18046,AH!$P$7+2246))),NA()),NA())</ns0:f>
        <ns0:v/>
      </ns0:c>
      <ns0:c r="F2251">
        <ns0:f>IFERROR(IF(ISNUMBER($A2251),IF(AND(AH!$P$10=1,AH!$P$12=1,$A2251=TODAY()),IF(AND(AH!$P$10=1,AH!$P$12=1,$A2251=TODAY()),TODAY(),NA()),IF(AH!$P$10=1,INDEX('Live History'!$D$5:$D$3004,MATCH($A2251,'Live History'!$D$5:$D$3004,1)),INDEX('AH History'!$E$1:$E$18046,AH!$P$7+2246))),NA()),NA())</ns0:f>
        <ns0:v/>
      </ns0:c>
      <ns0:c r="G2251">
        <ns0:f>IFERROR(IF(ISNUMBER($A2251),IF(AND(AH!$P$10=1,AH!$P$12=1,$A2251=TODAY()),IF(AND(AH!$P$10=1,AH!$P$12=1,$A2251=TODAY()),TODAY(),NA()),IF(AH!$P$10=1,INDEX('Live History'!$G$5:$G$3004,MATCH($A2251,'Live History'!$G$5:$G$3004,1)),INDEX('AH History'!$F$1:$F$18046,AH!$P$7+2246))),NA()),NA())</ns0:f>
        <ns0:v/>
      </ns0:c>
      <ns0:c r="H2251">
        <ns0:f>IFERROR(IF(AND(AH!$E$4="Bloomberg",AH!$P$10=1,ISNUMBER($A2251),$A2251&lt;=AH!$P$17),AH!$P$7-1+MATCH($A2251,INDEX('AH History'!$A$1:$A$18046,AH!$P$7):INDEX('AH History'!$A$1:$A$18046,AH!$P$7+AH!$P$8-1),0),0),0)</ns0:f>
        <ns0:v/>
      </ns0:c>
      <ns0:c r="I2251">
        <ns0:f>IF($H2251=0,0,IFERROR(IF(AND(ABS($C2251-INDEX('AH History'!$B$1:$B$18046,$H2251))&lt;=MAX(0.005,ABS(INDEX('AH History'!$B$1:$B$18046,$H2251))*0.00005),ABS($D2251-INDEX('AH History'!$C$1:$C$18046,$H2251))&lt;=MAX(0.005,ABS(INDEX('AH History'!$C$1:$C$18046,$H2251))*0.00005),ABS($E2251-INDEX('AH History'!$D$1:$D$18046,$H2251))&lt;=0.00005,$F2251=INDEX('AH History'!$E$1:$E$18046,$H2251),$G2251=INDEX('AH History'!$F$1:$F$18046,$H2251)),1,-1),-1))</ns0:f>
        <ns0:v/>
      </ns0:c>
    </ns0:row>
    <ns0:row r="2252">
      <ns0:c r="A2252" s="215">
        <ns0:f>IF(OR(AH!$P$3=0,2247+1&gt;AH!$P$11,AND(AH!$E$4&lt;&gt;"Stored",AH!$P$10&lt;&gt;1)),"",IFERROR(IF(AND(AH!$P$21=1,2247+1=AH!$P$11),TODAY(),IF(AH!$P$10=1,INDEX('Live History'!$A$5:$A$3004,AH!$P$13+2247),INDEX('AH History'!$A$1:$A$18046,AH!$P$7+2247))),""))</ns0:f>
        <ns0:v/>
      </ns0:c>
      <ns0:c r="B2252" s="219">
        <ns0:f>IFERROR(IF(AND(AH!$P$9&lt;&gt;1,$C2252&gt;0,$D2252&gt;0,$E2252&gt;0,$F2252&gt;0,$G2252&gt;0,$F2252&lt;=$A2252,$G2252&lt;=$A2252,$A2252-$F2252&lt;=10,$A2252-$G2252&lt;=5),$D2252*$E2252/$C2252-1,NA()),NA())</ns0:f>
        <ns0:v/>
      </ns0:c>
      <ns0:c r="C2252">
        <ns0:f>IFERROR(IF(ISNUMBER($A2252),IF(AND(AH!$P$10=1,AH!$P$12=1,$A2252=TODAY()),AH!$P$19,IF(AH!$P$10=1,INDEX('Live History'!$B$5:$B$3004,AH!$P$13+2247),INDEX('AH History'!$B$1:$B$18046,AH!$P$7+2247))),NA()),NA())</ns0:f>
        <ns0:v/>
      </ns0:c>
      <ns0:c r="D2252">
        <ns0:f>IFERROR(IF(ISNUMBER($A2252),IF(AND(AH!$P$10=1,AH!$P$12=1,$A2252=TODAY()),AH!$P$18,IF(AH!$P$10=1,INDEX('Live History'!$E$5:$E$3004,MATCH($A2252,'Live History'!$D$5:$D$3004,1)),INDEX('AH History'!$C$1:$C$18046,AH!$P$7+2247))),NA()),NA())</ns0:f>
        <ns0:v/>
      </ns0:c>
      <ns0:c r="E2252">
        <ns0:f>IFERROR(IF(ISNUMBER($A2252),IF(AND(AH!$P$10=1,AH!$P$12=1,$A2252=TODAY()),AH!$P$20,IF(AH!$P$10=1,INDEX('Live History'!$H$5:$H$3004,MATCH($A2252,'Live History'!$G$5:$G$3004,1)),INDEX('AH History'!$D$1:$D$18046,AH!$P$7+2247))),NA()),NA())</ns0:f>
        <ns0:v/>
      </ns0:c>
      <ns0:c r="F2252">
        <ns0:f>IFERROR(IF(ISNUMBER($A2252),IF(AND(AH!$P$10=1,AH!$P$12=1,$A2252=TODAY()),IF(AND(AH!$P$10=1,AH!$P$12=1,$A2252=TODAY()),TODAY(),NA()),IF(AH!$P$10=1,INDEX('Live History'!$D$5:$D$3004,MATCH($A2252,'Live History'!$D$5:$D$3004,1)),INDEX('AH History'!$E$1:$E$18046,AH!$P$7+2247))),NA()),NA())</ns0:f>
        <ns0:v/>
      </ns0:c>
      <ns0:c r="G2252">
        <ns0:f>IFERROR(IF(ISNUMBER($A2252),IF(AND(AH!$P$10=1,AH!$P$12=1,$A2252=TODAY()),IF(AND(AH!$P$10=1,AH!$P$12=1,$A2252=TODAY()),TODAY(),NA()),IF(AH!$P$10=1,INDEX('Live History'!$G$5:$G$3004,MATCH($A2252,'Live History'!$G$5:$G$3004,1)),INDEX('AH History'!$F$1:$F$18046,AH!$P$7+2247))),NA()),NA())</ns0:f>
        <ns0:v/>
      </ns0:c>
      <ns0:c r="H2252">
        <ns0:f>IFERROR(IF(AND(AH!$E$4="Bloomberg",AH!$P$10=1,ISNUMBER($A2252),$A2252&lt;=AH!$P$17),AH!$P$7-1+MATCH($A2252,INDEX('AH History'!$A$1:$A$18046,AH!$P$7):INDEX('AH History'!$A$1:$A$18046,AH!$P$7+AH!$P$8-1),0),0),0)</ns0:f>
        <ns0:v/>
      </ns0:c>
      <ns0:c r="I2252">
        <ns0:f>IF($H2252=0,0,IFERROR(IF(AND(ABS($C2252-INDEX('AH History'!$B$1:$B$18046,$H2252))&lt;=MAX(0.005,ABS(INDEX('AH History'!$B$1:$B$18046,$H2252))*0.00005),ABS($D2252-INDEX('AH History'!$C$1:$C$18046,$H2252))&lt;=MAX(0.005,ABS(INDEX('AH History'!$C$1:$C$18046,$H2252))*0.00005),ABS($E2252-INDEX('AH History'!$D$1:$D$18046,$H2252))&lt;=0.00005,$F2252=INDEX('AH History'!$E$1:$E$18046,$H2252),$G2252=INDEX('AH History'!$F$1:$F$18046,$H2252)),1,-1),-1))</ns0:f>
        <ns0:v/>
      </ns0:c>
    </ns0:row>
    <ns0:row r="2253">
      <ns0:c r="A2253" s="215">
        <ns0:f>IF(OR(AH!$P$3=0,2248+1&gt;AH!$P$11,AND(AH!$E$4&lt;&gt;"Stored",AH!$P$10&lt;&gt;1)),"",IFERROR(IF(AND(AH!$P$21=1,2248+1=AH!$P$11),TODAY(),IF(AH!$P$10=1,INDEX('Live History'!$A$5:$A$3004,AH!$P$13+2248),INDEX('AH History'!$A$1:$A$18046,AH!$P$7+2248))),""))</ns0:f>
        <ns0:v/>
      </ns0:c>
      <ns0:c r="B2253" s="219">
        <ns0:f>IFERROR(IF(AND(AH!$P$9&lt;&gt;1,$C2253&gt;0,$D2253&gt;0,$E2253&gt;0,$F2253&gt;0,$G2253&gt;0,$F2253&lt;=$A2253,$G2253&lt;=$A2253,$A2253-$F2253&lt;=10,$A2253-$G2253&lt;=5),$D2253*$E2253/$C2253-1,NA()),NA())</ns0:f>
        <ns0:v/>
      </ns0:c>
      <ns0:c r="C2253">
        <ns0:f>IFERROR(IF(ISNUMBER($A2253),IF(AND(AH!$P$10=1,AH!$P$12=1,$A2253=TODAY()),AH!$P$19,IF(AH!$P$10=1,INDEX('Live History'!$B$5:$B$3004,AH!$P$13+2248),INDEX('AH History'!$B$1:$B$18046,AH!$P$7+2248))),NA()),NA())</ns0:f>
        <ns0:v/>
      </ns0:c>
      <ns0:c r="D2253">
        <ns0:f>IFERROR(IF(ISNUMBER($A2253),IF(AND(AH!$P$10=1,AH!$P$12=1,$A2253=TODAY()),AH!$P$18,IF(AH!$P$10=1,INDEX('Live History'!$E$5:$E$3004,MATCH($A2253,'Live History'!$D$5:$D$3004,1)),INDEX('AH History'!$C$1:$C$18046,AH!$P$7+2248))),NA()),NA())</ns0:f>
        <ns0:v/>
      </ns0:c>
      <ns0:c r="E2253">
        <ns0:f>IFERROR(IF(ISNUMBER($A2253),IF(AND(AH!$P$10=1,AH!$P$12=1,$A2253=TODAY()),AH!$P$20,IF(AH!$P$10=1,INDEX('Live History'!$H$5:$H$3004,MATCH($A2253,'Live History'!$G$5:$G$3004,1)),INDEX('AH History'!$D$1:$D$18046,AH!$P$7+2248))),NA()),NA())</ns0:f>
        <ns0:v/>
      </ns0:c>
      <ns0:c r="F2253">
        <ns0:f>IFERROR(IF(ISNUMBER($A2253),IF(AND(AH!$P$10=1,AH!$P$12=1,$A2253=TODAY()),IF(AND(AH!$P$10=1,AH!$P$12=1,$A2253=TODAY()),TODAY(),NA()),IF(AH!$P$10=1,INDEX('Live History'!$D$5:$D$3004,MATCH($A2253,'Live History'!$D$5:$D$3004,1)),INDEX('AH History'!$E$1:$E$18046,AH!$P$7+2248))),NA()),NA())</ns0:f>
        <ns0:v/>
      </ns0:c>
      <ns0:c r="G2253">
        <ns0:f>IFERROR(IF(ISNUMBER($A2253),IF(AND(AH!$P$10=1,AH!$P$12=1,$A2253=TODAY()),IF(AND(AH!$P$10=1,AH!$P$12=1,$A2253=TODAY()),TODAY(),NA()),IF(AH!$P$10=1,INDEX('Live History'!$G$5:$G$3004,MATCH($A2253,'Live History'!$G$5:$G$3004,1)),INDEX('AH History'!$F$1:$F$18046,AH!$P$7+2248))),NA()),NA())</ns0:f>
        <ns0:v/>
      </ns0:c>
      <ns0:c r="H2253">
        <ns0:f>IFERROR(IF(AND(AH!$E$4="Bloomberg",AH!$P$10=1,ISNUMBER($A2253),$A2253&lt;=AH!$P$17),AH!$P$7-1+MATCH($A2253,INDEX('AH History'!$A$1:$A$18046,AH!$P$7):INDEX('AH History'!$A$1:$A$18046,AH!$P$7+AH!$P$8-1),0),0),0)</ns0:f>
        <ns0:v/>
      </ns0:c>
      <ns0:c r="I2253">
        <ns0:f>IF($H2253=0,0,IFERROR(IF(AND(ABS($C2253-INDEX('AH History'!$B$1:$B$18046,$H2253))&lt;=MAX(0.005,ABS(INDEX('AH History'!$B$1:$B$18046,$H2253))*0.00005),ABS($D2253-INDEX('AH History'!$C$1:$C$18046,$H2253))&lt;=MAX(0.005,ABS(INDEX('AH History'!$C$1:$C$18046,$H2253))*0.00005),ABS($E2253-INDEX('AH History'!$D$1:$D$18046,$H2253))&lt;=0.00005,$F2253=INDEX('AH History'!$E$1:$E$18046,$H2253),$G2253=INDEX('AH History'!$F$1:$F$18046,$H2253)),1,-1),-1))</ns0:f>
        <ns0:v/>
      </ns0:c>
    </ns0:row>
    <ns0:row r="2254">
      <ns0:c r="A2254" s="215">
        <ns0:f>IF(OR(AH!$P$3=0,2249+1&gt;AH!$P$11,AND(AH!$E$4&lt;&gt;"Stored",AH!$P$10&lt;&gt;1)),"",IFERROR(IF(AND(AH!$P$21=1,2249+1=AH!$P$11),TODAY(),IF(AH!$P$10=1,INDEX('Live History'!$A$5:$A$3004,AH!$P$13+2249),INDEX('AH History'!$A$1:$A$18046,AH!$P$7+2249))),""))</ns0:f>
        <ns0:v/>
      </ns0:c>
      <ns0:c r="B2254" s="219">
        <ns0:f>IFERROR(IF(AND(AH!$P$9&lt;&gt;1,$C2254&gt;0,$D2254&gt;0,$E2254&gt;0,$F2254&gt;0,$G2254&gt;0,$F2254&lt;=$A2254,$G2254&lt;=$A2254,$A2254-$F2254&lt;=10,$A2254-$G2254&lt;=5),$D2254*$E2254/$C2254-1,NA()),NA())</ns0:f>
        <ns0:v/>
      </ns0:c>
      <ns0:c r="C2254">
        <ns0:f>IFERROR(IF(ISNUMBER($A2254),IF(AND(AH!$P$10=1,AH!$P$12=1,$A2254=TODAY()),AH!$P$19,IF(AH!$P$10=1,INDEX('Live History'!$B$5:$B$3004,AH!$P$13+2249),INDEX('AH History'!$B$1:$B$18046,AH!$P$7+2249))),NA()),NA())</ns0:f>
        <ns0:v/>
      </ns0:c>
      <ns0:c r="D2254">
        <ns0:f>IFERROR(IF(ISNUMBER($A2254),IF(AND(AH!$P$10=1,AH!$P$12=1,$A2254=TODAY()),AH!$P$18,IF(AH!$P$10=1,INDEX('Live History'!$E$5:$E$3004,MATCH($A2254,'Live History'!$D$5:$D$3004,1)),INDEX('AH History'!$C$1:$C$18046,AH!$P$7+2249))),NA()),NA())</ns0:f>
        <ns0:v/>
      </ns0:c>
      <ns0:c r="E2254">
        <ns0:f>IFERROR(IF(ISNUMBER($A2254),IF(AND(AH!$P$10=1,AH!$P$12=1,$A2254=TODAY()),AH!$P$20,IF(AH!$P$10=1,INDEX('Live History'!$H$5:$H$3004,MATCH($A2254,'Live History'!$G$5:$G$3004,1)),INDEX('AH History'!$D$1:$D$18046,AH!$P$7+2249))),NA()),NA())</ns0:f>
        <ns0:v/>
      </ns0:c>
      <ns0:c r="F2254">
        <ns0:f>IFERROR(IF(ISNUMBER($A2254),IF(AND(AH!$P$10=1,AH!$P$12=1,$A2254=TODAY()),IF(AND(AH!$P$10=1,AH!$P$12=1,$A2254=TODAY()),TODAY(),NA()),IF(AH!$P$10=1,INDEX('Live History'!$D$5:$D$3004,MATCH($A2254,'Live History'!$D$5:$D$3004,1)),INDEX('AH History'!$E$1:$E$18046,AH!$P$7+2249))),NA()),NA())</ns0:f>
        <ns0:v/>
      </ns0:c>
      <ns0:c r="G2254">
        <ns0:f>IFERROR(IF(ISNUMBER($A2254),IF(AND(AH!$P$10=1,AH!$P$12=1,$A2254=TODAY()),IF(AND(AH!$P$10=1,AH!$P$12=1,$A2254=TODAY()),TODAY(),NA()),IF(AH!$P$10=1,INDEX('Live History'!$G$5:$G$3004,MATCH($A2254,'Live History'!$G$5:$G$3004,1)),INDEX('AH History'!$F$1:$F$18046,AH!$P$7+2249))),NA()),NA())</ns0:f>
        <ns0:v/>
      </ns0:c>
      <ns0:c r="H2254">
        <ns0:f>IFERROR(IF(AND(AH!$E$4="Bloomberg",AH!$P$10=1,ISNUMBER($A2254),$A2254&lt;=AH!$P$17),AH!$P$7-1+MATCH($A2254,INDEX('AH History'!$A$1:$A$18046,AH!$P$7):INDEX('AH History'!$A$1:$A$18046,AH!$P$7+AH!$P$8-1),0),0),0)</ns0:f>
        <ns0:v/>
      </ns0:c>
      <ns0:c r="I2254">
        <ns0:f>IF($H2254=0,0,IFERROR(IF(AND(ABS($C2254-INDEX('AH History'!$B$1:$B$18046,$H2254))&lt;=MAX(0.005,ABS(INDEX('AH History'!$B$1:$B$18046,$H2254))*0.00005),ABS($D2254-INDEX('AH History'!$C$1:$C$18046,$H2254))&lt;=MAX(0.005,ABS(INDEX('AH History'!$C$1:$C$18046,$H2254))*0.00005),ABS($E2254-INDEX('AH History'!$D$1:$D$18046,$H2254))&lt;=0.00005,$F2254=INDEX('AH History'!$E$1:$E$18046,$H2254),$G2254=INDEX('AH History'!$F$1:$F$18046,$H2254)),1,-1),-1))</ns0:f>
        <ns0:v/>
      </ns0:c>
    </ns0:row>
    <ns0:row r="2255">
      <ns0:c r="A2255" s="215">
        <ns0:f>IF(OR(AH!$P$3=0,2250+1&gt;AH!$P$11,AND(AH!$E$4&lt;&gt;"Stored",AH!$P$10&lt;&gt;1)),"",IFERROR(IF(AND(AH!$P$21=1,2250+1=AH!$P$11),TODAY(),IF(AH!$P$10=1,INDEX('Live History'!$A$5:$A$3004,AH!$P$13+2250),INDEX('AH History'!$A$1:$A$18046,AH!$P$7+2250))),""))</ns0:f>
        <ns0:v/>
      </ns0:c>
      <ns0:c r="B2255" s="219">
        <ns0:f>IFERROR(IF(AND(AH!$P$9&lt;&gt;1,$C2255&gt;0,$D2255&gt;0,$E2255&gt;0,$F2255&gt;0,$G2255&gt;0,$F2255&lt;=$A2255,$G2255&lt;=$A2255,$A2255-$F2255&lt;=10,$A2255-$G2255&lt;=5),$D2255*$E2255/$C2255-1,NA()),NA())</ns0:f>
        <ns0:v/>
      </ns0:c>
      <ns0:c r="C2255">
        <ns0:f>IFERROR(IF(ISNUMBER($A2255),IF(AND(AH!$P$10=1,AH!$P$12=1,$A2255=TODAY()),AH!$P$19,IF(AH!$P$10=1,INDEX('Live History'!$B$5:$B$3004,AH!$P$13+2250),INDEX('AH History'!$B$1:$B$18046,AH!$P$7+2250))),NA()),NA())</ns0:f>
        <ns0:v/>
      </ns0:c>
      <ns0:c r="D2255">
        <ns0:f>IFERROR(IF(ISNUMBER($A2255),IF(AND(AH!$P$10=1,AH!$P$12=1,$A2255=TODAY()),AH!$P$18,IF(AH!$P$10=1,INDEX('Live History'!$E$5:$E$3004,MATCH($A2255,'Live History'!$D$5:$D$3004,1)),INDEX('AH History'!$C$1:$C$18046,AH!$P$7+2250))),NA()),NA())</ns0:f>
        <ns0:v/>
      </ns0:c>
      <ns0:c r="E2255">
        <ns0:f>IFERROR(IF(ISNUMBER($A2255),IF(AND(AH!$P$10=1,AH!$P$12=1,$A2255=TODAY()),AH!$P$20,IF(AH!$P$10=1,INDEX('Live History'!$H$5:$H$3004,MATCH($A2255,'Live History'!$G$5:$G$3004,1)),INDEX('AH History'!$D$1:$D$18046,AH!$P$7+2250))),NA()),NA())</ns0:f>
        <ns0:v/>
      </ns0:c>
      <ns0:c r="F2255">
        <ns0:f>IFERROR(IF(ISNUMBER($A2255),IF(AND(AH!$P$10=1,AH!$P$12=1,$A2255=TODAY()),IF(AND(AH!$P$10=1,AH!$P$12=1,$A2255=TODAY()),TODAY(),NA()),IF(AH!$P$10=1,INDEX('Live History'!$D$5:$D$3004,MATCH($A2255,'Live History'!$D$5:$D$3004,1)),INDEX('AH History'!$E$1:$E$18046,AH!$P$7+2250))),NA()),NA())</ns0:f>
        <ns0:v/>
      </ns0:c>
      <ns0:c r="G2255">
        <ns0:f>IFERROR(IF(ISNUMBER($A2255),IF(AND(AH!$P$10=1,AH!$P$12=1,$A2255=TODAY()),IF(AND(AH!$P$10=1,AH!$P$12=1,$A2255=TODAY()),TODAY(),NA()),IF(AH!$P$10=1,INDEX('Live History'!$G$5:$G$3004,MATCH($A2255,'Live History'!$G$5:$G$3004,1)),INDEX('AH History'!$F$1:$F$18046,AH!$P$7+2250))),NA()),NA())</ns0:f>
        <ns0:v/>
      </ns0:c>
      <ns0:c r="H2255">
        <ns0:f>IFERROR(IF(AND(AH!$E$4="Bloomberg",AH!$P$10=1,ISNUMBER($A2255),$A2255&lt;=AH!$P$17),AH!$P$7-1+MATCH($A2255,INDEX('AH History'!$A$1:$A$18046,AH!$P$7):INDEX('AH History'!$A$1:$A$18046,AH!$P$7+AH!$P$8-1),0),0),0)</ns0:f>
        <ns0:v/>
      </ns0:c>
      <ns0:c r="I2255">
        <ns0:f>IF($H2255=0,0,IFERROR(IF(AND(ABS($C2255-INDEX('AH History'!$B$1:$B$18046,$H2255))&lt;=MAX(0.005,ABS(INDEX('AH History'!$B$1:$B$18046,$H2255))*0.00005),ABS($D2255-INDEX('AH History'!$C$1:$C$18046,$H2255))&lt;=MAX(0.005,ABS(INDEX('AH History'!$C$1:$C$18046,$H2255))*0.00005),ABS($E2255-INDEX('AH History'!$D$1:$D$18046,$H2255))&lt;=0.00005,$F2255=INDEX('AH History'!$E$1:$E$18046,$H2255),$G2255=INDEX('AH History'!$F$1:$F$18046,$H2255)),1,-1),-1))</ns0:f>
        <ns0:v/>
      </ns0:c>
    </ns0:row>
    <ns0:row r="2256">
      <ns0:c r="A2256" s="215">
        <ns0:f>IF(OR(AH!$P$3=0,2251+1&gt;AH!$P$11,AND(AH!$E$4&lt;&gt;"Stored",AH!$P$10&lt;&gt;1)),"",IFERROR(IF(AND(AH!$P$21=1,2251+1=AH!$P$11),TODAY(),IF(AH!$P$10=1,INDEX('Live History'!$A$5:$A$3004,AH!$P$13+2251),INDEX('AH History'!$A$1:$A$18046,AH!$P$7+2251))),""))</ns0:f>
        <ns0:v/>
      </ns0:c>
      <ns0:c r="B2256" s="219">
        <ns0:f>IFERROR(IF(AND(AH!$P$9&lt;&gt;1,$C2256&gt;0,$D2256&gt;0,$E2256&gt;0,$F2256&gt;0,$G2256&gt;0,$F2256&lt;=$A2256,$G2256&lt;=$A2256,$A2256-$F2256&lt;=10,$A2256-$G2256&lt;=5),$D2256*$E2256/$C2256-1,NA()),NA())</ns0:f>
        <ns0:v/>
      </ns0:c>
      <ns0:c r="C2256">
        <ns0:f>IFERROR(IF(ISNUMBER($A2256),IF(AND(AH!$P$10=1,AH!$P$12=1,$A2256=TODAY()),AH!$P$19,IF(AH!$P$10=1,INDEX('Live History'!$B$5:$B$3004,AH!$P$13+2251),INDEX('AH History'!$B$1:$B$18046,AH!$P$7+2251))),NA()),NA())</ns0:f>
        <ns0:v/>
      </ns0:c>
      <ns0:c r="D2256">
        <ns0:f>IFERROR(IF(ISNUMBER($A2256),IF(AND(AH!$P$10=1,AH!$P$12=1,$A2256=TODAY()),AH!$P$18,IF(AH!$P$10=1,INDEX('Live History'!$E$5:$E$3004,MATCH($A2256,'Live History'!$D$5:$D$3004,1)),INDEX('AH History'!$C$1:$C$18046,AH!$P$7+2251))),NA()),NA())</ns0:f>
        <ns0:v/>
      </ns0:c>
      <ns0:c r="E2256">
        <ns0:f>IFERROR(IF(ISNUMBER($A2256),IF(AND(AH!$P$10=1,AH!$P$12=1,$A2256=TODAY()),AH!$P$20,IF(AH!$P$10=1,INDEX('Live History'!$H$5:$H$3004,MATCH($A2256,'Live History'!$G$5:$G$3004,1)),INDEX('AH History'!$D$1:$D$18046,AH!$P$7+2251))),NA()),NA())</ns0:f>
        <ns0:v/>
      </ns0:c>
      <ns0:c r="F2256">
        <ns0:f>IFERROR(IF(ISNUMBER($A2256),IF(AND(AH!$P$10=1,AH!$P$12=1,$A2256=TODAY()),IF(AND(AH!$P$10=1,AH!$P$12=1,$A2256=TODAY()),TODAY(),NA()),IF(AH!$P$10=1,INDEX('Live History'!$D$5:$D$3004,MATCH($A2256,'Live History'!$D$5:$D$3004,1)),INDEX('AH History'!$E$1:$E$18046,AH!$P$7+2251))),NA()),NA())</ns0:f>
        <ns0:v/>
      </ns0:c>
      <ns0:c r="G2256">
        <ns0:f>IFERROR(IF(ISNUMBER($A2256),IF(AND(AH!$P$10=1,AH!$P$12=1,$A2256=TODAY()),IF(AND(AH!$P$10=1,AH!$P$12=1,$A2256=TODAY()),TODAY(),NA()),IF(AH!$P$10=1,INDEX('Live History'!$G$5:$G$3004,MATCH($A2256,'Live History'!$G$5:$G$3004,1)),INDEX('AH History'!$F$1:$F$18046,AH!$P$7+2251))),NA()),NA())</ns0:f>
        <ns0:v/>
      </ns0:c>
      <ns0:c r="H2256">
        <ns0:f>IFERROR(IF(AND(AH!$E$4="Bloomberg",AH!$P$10=1,ISNUMBER($A2256),$A2256&lt;=AH!$P$17),AH!$P$7-1+MATCH($A2256,INDEX('AH History'!$A$1:$A$18046,AH!$P$7):INDEX('AH History'!$A$1:$A$18046,AH!$P$7+AH!$P$8-1),0),0),0)</ns0:f>
        <ns0:v/>
      </ns0:c>
      <ns0:c r="I2256">
        <ns0:f>IF($H2256=0,0,IFERROR(IF(AND(ABS($C2256-INDEX('AH History'!$B$1:$B$18046,$H2256))&lt;=MAX(0.005,ABS(INDEX('AH History'!$B$1:$B$18046,$H2256))*0.00005),ABS($D2256-INDEX('AH History'!$C$1:$C$18046,$H2256))&lt;=MAX(0.005,ABS(INDEX('AH History'!$C$1:$C$18046,$H2256))*0.00005),ABS($E2256-INDEX('AH History'!$D$1:$D$18046,$H2256))&lt;=0.00005,$F2256=INDEX('AH History'!$E$1:$E$18046,$H2256),$G2256=INDEX('AH History'!$F$1:$F$18046,$H2256)),1,-1),-1))</ns0:f>
        <ns0:v/>
      </ns0:c>
    </ns0:row>
    <ns0:row r="2257">
      <ns0:c r="A2257" s="215">
        <ns0:f>IF(OR(AH!$P$3=0,2252+1&gt;AH!$P$11,AND(AH!$E$4&lt;&gt;"Stored",AH!$P$10&lt;&gt;1)),"",IFERROR(IF(AND(AH!$P$21=1,2252+1=AH!$P$11),TODAY(),IF(AH!$P$10=1,INDEX('Live History'!$A$5:$A$3004,AH!$P$13+2252),INDEX('AH History'!$A$1:$A$18046,AH!$P$7+2252))),""))</ns0:f>
        <ns0:v/>
      </ns0:c>
      <ns0:c r="B2257" s="219">
        <ns0:f>IFERROR(IF(AND(AH!$P$9&lt;&gt;1,$C2257&gt;0,$D2257&gt;0,$E2257&gt;0,$F2257&gt;0,$G2257&gt;0,$F2257&lt;=$A2257,$G2257&lt;=$A2257,$A2257-$F2257&lt;=10,$A2257-$G2257&lt;=5),$D2257*$E2257/$C2257-1,NA()),NA())</ns0:f>
        <ns0:v/>
      </ns0:c>
      <ns0:c r="C2257">
        <ns0:f>IFERROR(IF(ISNUMBER($A2257),IF(AND(AH!$P$10=1,AH!$P$12=1,$A2257=TODAY()),AH!$P$19,IF(AH!$P$10=1,INDEX('Live History'!$B$5:$B$3004,AH!$P$13+2252),INDEX('AH History'!$B$1:$B$18046,AH!$P$7+2252))),NA()),NA())</ns0:f>
        <ns0:v/>
      </ns0:c>
      <ns0:c r="D2257">
        <ns0:f>IFERROR(IF(ISNUMBER($A2257),IF(AND(AH!$P$10=1,AH!$P$12=1,$A2257=TODAY()),AH!$P$18,IF(AH!$P$10=1,INDEX('Live History'!$E$5:$E$3004,MATCH($A2257,'Live History'!$D$5:$D$3004,1)),INDEX('AH History'!$C$1:$C$18046,AH!$P$7+2252))),NA()),NA())</ns0:f>
        <ns0:v/>
      </ns0:c>
      <ns0:c r="E2257">
        <ns0:f>IFERROR(IF(ISNUMBER($A2257),IF(AND(AH!$P$10=1,AH!$P$12=1,$A2257=TODAY()),AH!$P$20,IF(AH!$P$10=1,INDEX('Live History'!$H$5:$H$3004,MATCH($A2257,'Live History'!$G$5:$G$3004,1)),INDEX('AH History'!$D$1:$D$18046,AH!$P$7+2252))),NA()),NA())</ns0:f>
        <ns0:v/>
      </ns0:c>
      <ns0:c r="F2257">
        <ns0:f>IFERROR(IF(ISNUMBER($A2257),IF(AND(AH!$P$10=1,AH!$P$12=1,$A2257=TODAY()),IF(AND(AH!$P$10=1,AH!$P$12=1,$A2257=TODAY()),TODAY(),NA()),IF(AH!$P$10=1,INDEX('Live History'!$D$5:$D$3004,MATCH($A2257,'Live History'!$D$5:$D$3004,1)),INDEX('AH History'!$E$1:$E$18046,AH!$P$7+2252))),NA()),NA())</ns0:f>
        <ns0:v/>
      </ns0:c>
      <ns0:c r="G2257">
        <ns0:f>IFERROR(IF(ISNUMBER($A2257),IF(AND(AH!$P$10=1,AH!$P$12=1,$A2257=TODAY()),IF(AND(AH!$P$10=1,AH!$P$12=1,$A2257=TODAY()),TODAY(),NA()),IF(AH!$P$10=1,INDEX('Live History'!$G$5:$G$3004,MATCH($A2257,'Live History'!$G$5:$G$3004,1)),INDEX('AH History'!$F$1:$F$18046,AH!$P$7+2252))),NA()),NA())</ns0:f>
        <ns0:v/>
      </ns0:c>
      <ns0:c r="H2257">
        <ns0:f>IFERROR(IF(AND(AH!$E$4="Bloomberg",AH!$P$10=1,ISNUMBER($A2257),$A2257&lt;=AH!$P$17),AH!$P$7-1+MATCH($A2257,INDEX('AH History'!$A$1:$A$18046,AH!$P$7):INDEX('AH History'!$A$1:$A$18046,AH!$P$7+AH!$P$8-1),0),0),0)</ns0:f>
        <ns0:v/>
      </ns0:c>
      <ns0:c r="I2257">
        <ns0:f>IF($H2257=0,0,IFERROR(IF(AND(ABS($C2257-INDEX('AH History'!$B$1:$B$18046,$H2257))&lt;=MAX(0.005,ABS(INDEX('AH History'!$B$1:$B$18046,$H2257))*0.00005),ABS($D2257-INDEX('AH History'!$C$1:$C$18046,$H2257))&lt;=MAX(0.005,ABS(INDEX('AH History'!$C$1:$C$18046,$H2257))*0.00005),ABS($E2257-INDEX('AH History'!$D$1:$D$18046,$H2257))&lt;=0.00005,$F2257=INDEX('AH History'!$E$1:$E$18046,$H2257),$G2257=INDEX('AH History'!$F$1:$F$18046,$H2257)),1,-1),-1))</ns0:f>
        <ns0:v/>
      </ns0:c>
    </ns0:row>
    <ns0:row r="2258">
      <ns0:c r="A2258" s="215">
        <ns0:f>IF(OR(AH!$P$3=0,2253+1&gt;AH!$P$11,AND(AH!$E$4&lt;&gt;"Stored",AH!$P$10&lt;&gt;1)),"",IFERROR(IF(AND(AH!$P$21=1,2253+1=AH!$P$11),TODAY(),IF(AH!$P$10=1,INDEX('Live History'!$A$5:$A$3004,AH!$P$13+2253),INDEX('AH History'!$A$1:$A$18046,AH!$P$7+2253))),""))</ns0:f>
        <ns0:v/>
      </ns0:c>
      <ns0:c r="B2258" s="219">
        <ns0:f>IFERROR(IF(AND(AH!$P$9&lt;&gt;1,$C2258&gt;0,$D2258&gt;0,$E2258&gt;0,$F2258&gt;0,$G2258&gt;0,$F2258&lt;=$A2258,$G2258&lt;=$A2258,$A2258-$F2258&lt;=10,$A2258-$G2258&lt;=5),$D2258*$E2258/$C2258-1,NA()),NA())</ns0:f>
        <ns0:v/>
      </ns0:c>
      <ns0:c r="C2258">
        <ns0:f>IFERROR(IF(ISNUMBER($A2258),IF(AND(AH!$P$10=1,AH!$P$12=1,$A2258=TODAY()),AH!$P$19,IF(AH!$P$10=1,INDEX('Live History'!$B$5:$B$3004,AH!$P$13+2253),INDEX('AH History'!$B$1:$B$18046,AH!$P$7+2253))),NA()),NA())</ns0:f>
        <ns0:v/>
      </ns0:c>
      <ns0:c r="D2258">
        <ns0:f>IFERROR(IF(ISNUMBER($A2258),IF(AND(AH!$P$10=1,AH!$P$12=1,$A2258=TODAY()),AH!$P$18,IF(AH!$P$10=1,INDEX('Live History'!$E$5:$E$3004,MATCH($A2258,'Live History'!$D$5:$D$3004,1)),INDEX('AH History'!$C$1:$C$18046,AH!$P$7+2253))),NA()),NA())</ns0:f>
        <ns0:v/>
      </ns0:c>
      <ns0:c r="E2258">
        <ns0:f>IFERROR(IF(ISNUMBER($A2258),IF(AND(AH!$P$10=1,AH!$P$12=1,$A2258=TODAY()),AH!$P$20,IF(AH!$P$10=1,INDEX('Live History'!$H$5:$H$3004,MATCH($A2258,'Live History'!$G$5:$G$3004,1)),INDEX('AH History'!$D$1:$D$18046,AH!$P$7+2253))),NA()),NA())</ns0:f>
        <ns0:v/>
      </ns0:c>
      <ns0:c r="F2258">
        <ns0:f>IFERROR(IF(ISNUMBER($A2258),IF(AND(AH!$P$10=1,AH!$P$12=1,$A2258=TODAY()),IF(AND(AH!$P$10=1,AH!$P$12=1,$A2258=TODAY()),TODAY(),NA()),IF(AH!$P$10=1,INDEX('Live History'!$D$5:$D$3004,MATCH($A2258,'Live History'!$D$5:$D$3004,1)),INDEX('AH History'!$E$1:$E$18046,AH!$P$7+2253))),NA()),NA())</ns0:f>
        <ns0:v/>
      </ns0:c>
      <ns0:c r="G2258">
        <ns0:f>IFERROR(IF(ISNUMBER($A2258),IF(AND(AH!$P$10=1,AH!$P$12=1,$A2258=TODAY()),IF(AND(AH!$P$10=1,AH!$P$12=1,$A2258=TODAY()),TODAY(),NA()),IF(AH!$P$10=1,INDEX('Live History'!$G$5:$G$3004,MATCH($A2258,'Live History'!$G$5:$G$3004,1)),INDEX('AH History'!$F$1:$F$18046,AH!$P$7+2253))),NA()),NA())</ns0:f>
        <ns0:v/>
      </ns0:c>
      <ns0:c r="H2258">
        <ns0:f>IFERROR(IF(AND(AH!$E$4="Bloomberg",AH!$P$10=1,ISNUMBER($A2258),$A2258&lt;=AH!$P$17),AH!$P$7-1+MATCH($A2258,INDEX('AH History'!$A$1:$A$18046,AH!$P$7):INDEX('AH History'!$A$1:$A$18046,AH!$P$7+AH!$P$8-1),0),0),0)</ns0:f>
        <ns0:v/>
      </ns0:c>
      <ns0:c r="I2258">
        <ns0:f>IF($H2258=0,0,IFERROR(IF(AND(ABS($C2258-INDEX('AH History'!$B$1:$B$18046,$H2258))&lt;=MAX(0.005,ABS(INDEX('AH History'!$B$1:$B$18046,$H2258))*0.00005),ABS($D2258-INDEX('AH History'!$C$1:$C$18046,$H2258))&lt;=MAX(0.005,ABS(INDEX('AH History'!$C$1:$C$18046,$H2258))*0.00005),ABS($E2258-INDEX('AH History'!$D$1:$D$18046,$H2258))&lt;=0.00005,$F2258=INDEX('AH History'!$E$1:$E$18046,$H2258),$G2258=INDEX('AH History'!$F$1:$F$18046,$H2258)),1,-1),-1))</ns0:f>
        <ns0:v/>
      </ns0:c>
    </ns0:row>
    <ns0:row r="2259">
      <ns0:c r="A2259" s="215">
        <ns0:f>IF(OR(AH!$P$3=0,2254+1&gt;AH!$P$11,AND(AH!$E$4&lt;&gt;"Stored",AH!$P$10&lt;&gt;1)),"",IFERROR(IF(AND(AH!$P$21=1,2254+1=AH!$P$11),TODAY(),IF(AH!$P$10=1,INDEX('Live History'!$A$5:$A$3004,AH!$P$13+2254),INDEX('AH History'!$A$1:$A$18046,AH!$P$7+2254))),""))</ns0:f>
        <ns0:v/>
      </ns0:c>
      <ns0:c r="B2259" s="219">
        <ns0:f>IFERROR(IF(AND(AH!$P$9&lt;&gt;1,$C2259&gt;0,$D2259&gt;0,$E2259&gt;0,$F2259&gt;0,$G2259&gt;0,$F2259&lt;=$A2259,$G2259&lt;=$A2259,$A2259-$F2259&lt;=10,$A2259-$G2259&lt;=5),$D2259*$E2259/$C2259-1,NA()),NA())</ns0:f>
        <ns0:v/>
      </ns0:c>
      <ns0:c r="C2259">
        <ns0:f>IFERROR(IF(ISNUMBER($A2259),IF(AND(AH!$P$10=1,AH!$P$12=1,$A2259=TODAY()),AH!$P$19,IF(AH!$P$10=1,INDEX('Live History'!$B$5:$B$3004,AH!$P$13+2254),INDEX('AH History'!$B$1:$B$18046,AH!$P$7+2254))),NA()),NA())</ns0:f>
        <ns0:v/>
      </ns0:c>
      <ns0:c r="D2259">
        <ns0:f>IFERROR(IF(ISNUMBER($A2259),IF(AND(AH!$P$10=1,AH!$P$12=1,$A2259=TODAY()),AH!$P$18,IF(AH!$P$10=1,INDEX('Live History'!$E$5:$E$3004,MATCH($A2259,'Live History'!$D$5:$D$3004,1)),INDEX('AH History'!$C$1:$C$18046,AH!$P$7+2254))),NA()),NA())</ns0:f>
        <ns0:v/>
      </ns0:c>
      <ns0:c r="E2259">
        <ns0:f>IFERROR(IF(ISNUMBER($A2259),IF(AND(AH!$P$10=1,AH!$P$12=1,$A2259=TODAY()),AH!$P$20,IF(AH!$P$10=1,INDEX('Live History'!$H$5:$H$3004,MATCH($A2259,'Live History'!$G$5:$G$3004,1)),INDEX('AH History'!$D$1:$D$18046,AH!$P$7+2254))),NA()),NA())</ns0:f>
        <ns0:v/>
      </ns0:c>
      <ns0:c r="F2259">
        <ns0:f>IFERROR(IF(ISNUMBER($A2259),IF(AND(AH!$P$10=1,AH!$P$12=1,$A2259=TODAY()),IF(AND(AH!$P$10=1,AH!$P$12=1,$A2259=TODAY()),TODAY(),NA()),IF(AH!$P$10=1,INDEX('Live History'!$D$5:$D$3004,MATCH($A2259,'Live History'!$D$5:$D$3004,1)),INDEX('AH History'!$E$1:$E$18046,AH!$P$7+2254))),NA()),NA())</ns0:f>
        <ns0:v/>
      </ns0:c>
      <ns0:c r="G2259">
        <ns0:f>IFERROR(IF(ISNUMBER($A2259),IF(AND(AH!$P$10=1,AH!$P$12=1,$A2259=TODAY()),IF(AND(AH!$P$10=1,AH!$P$12=1,$A2259=TODAY()),TODAY(),NA()),IF(AH!$P$10=1,INDEX('Live History'!$G$5:$G$3004,MATCH($A2259,'Live History'!$G$5:$G$3004,1)),INDEX('AH History'!$F$1:$F$18046,AH!$P$7+2254))),NA()),NA())</ns0:f>
        <ns0:v/>
      </ns0:c>
      <ns0:c r="H2259">
        <ns0:f>IFERROR(IF(AND(AH!$E$4="Bloomberg",AH!$P$10=1,ISNUMBER($A2259),$A2259&lt;=AH!$P$17),AH!$P$7-1+MATCH($A2259,INDEX('AH History'!$A$1:$A$18046,AH!$P$7):INDEX('AH History'!$A$1:$A$18046,AH!$P$7+AH!$P$8-1),0),0),0)</ns0:f>
        <ns0:v/>
      </ns0:c>
      <ns0:c r="I2259">
        <ns0:f>IF($H2259=0,0,IFERROR(IF(AND(ABS($C2259-INDEX('AH History'!$B$1:$B$18046,$H2259))&lt;=MAX(0.005,ABS(INDEX('AH History'!$B$1:$B$18046,$H2259))*0.00005),ABS($D2259-INDEX('AH History'!$C$1:$C$18046,$H2259))&lt;=MAX(0.005,ABS(INDEX('AH History'!$C$1:$C$18046,$H2259))*0.00005),ABS($E2259-INDEX('AH History'!$D$1:$D$18046,$H2259))&lt;=0.00005,$F2259=INDEX('AH History'!$E$1:$E$18046,$H2259),$G2259=INDEX('AH History'!$F$1:$F$18046,$H2259)),1,-1),-1))</ns0:f>
        <ns0:v/>
      </ns0:c>
    </ns0:row>
    <ns0:row r="2260">
      <ns0:c r="A2260" s="215">
        <ns0:f>IF(OR(AH!$P$3=0,2255+1&gt;AH!$P$11,AND(AH!$E$4&lt;&gt;"Stored",AH!$P$10&lt;&gt;1)),"",IFERROR(IF(AND(AH!$P$21=1,2255+1=AH!$P$11),TODAY(),IF(AH!$P$10=1,INDEX('Live History'!$A$5:$A$3004,AH!$P$13+2255),INDEX('AH History'!$A$1:$A$18046,AH!$P$7+2255))),""))</ns0:f>
        <ns0:v/>
      </ns0:c>
      <ns0:c r="B2260" s="219">
        <ns0:f>IFERROR(IF(AND(AH!$P$9&lt;&gt;1,$C2260&gt;0,$D2260&gt;0,$E2260&gt;0,$F2260&gt;0,$G2260&gt;0,$F2260&lt;=$A2260,$G2260&lt;=$A2260,$A2260-$F2260&lt;=10,$A2260-$G2260&lt;=5),$D2260*$E2260/$C2260-1,NA()),NA())</ns0:f>
        <ns0:v/>
      </ns0:c>
      <ns0:c r="C2260">
        <ns0:f>IFERROR(IF(ISNUMBER($A2260),IF(AND(AH!$P$10=1,AH!$P$12=1,$A2260=TODAY()),AH!$P$19,IF(AH!$P$10=1,INDEX('Live History'!$B$5:$B$3004,AH!$P$13+2255),INDEX('AH History'!$B$1:$B$18046,AH!$P$7+2255))),NA()),NA())</ns0:f>
        <ns0:v/>
      </ns0:c>
      <ns0:c r="D2260">
        <ns0:f>IFERROR(IF(ISNUMBER($A2260),IF(AND(AH!$P$10=1,AH!$P$12=1,$A2260=TODAY()),AH!$P$18,IF(AH!$P$10=1,INDEX('Live History'!$E$5:$E$3004,MATCH($A2260,'Live History'!$D$5:$D$3004,1)),INDEX('AH History'!$C$1:$C$18046,AH!$P$7+2255))),NA()),NA())</ns0:f>
        <ns0:v/>
      </ns0:c>
      <ns0:c r="E2260">
        <ns0:f>IFERROR(IF(ISNUMBER($A2260),IF(AND(AH!$P$10=1,AH!$P$12=1,$A2260=TODAY()),AH!$P$20,IF(AH!$P$10=1,INDEX('Live History'!$H$5:$H$3004,MATCH($A2260,'Live History'!$G$5:$G$3004,1)),INDEX('AH History'!$D$1:$D$18046,AH!$P$7+2255))),NA()),NA())</ns0:f>
        <ns0:v/>
      </ns0:c>
      <ns0:c r="F2260">
        <ns0:f>IFERROR(IF(ISNUMBER($A2260),IF(AND(AH!$P$10=1,AH!$P$12=1,$A2260=TODAY()),IF(AND(AH!$P$10=1,AH!$P$12=1,$A2260=TODAY()),TODAY(),NA()),IF(AH!$P$10=1,INDEX('Live History'!$D$5:$D$3004,MATCH($A2260,'Live History'!$D$5:$D$3004,1)),INDEX('AH History'!$E$1:$E$18046,AH!$P$7+2255))),NA()),NA())</ns0:f>
        <ns0:v/>
      </ns0:c>
      <ns0:c r="G2260">
        <ns0:f>IFERROR(IF(ISNUMBER($A2260),IF(AND(AH!$P$10=1,AH!$P$12=1,$A2260=TODAY()),IF(AND(AH!$P$10=1,AH!$P$12=1,$A2260=TODAY()),TODAY(),NA()),IF(AH!$P$10=1,INDEX('Live History'!$G$5:$G$3004,MATCH($A2260,'Live History'!$G$5:$G$3004,1)),INDEX('AH History'!$F$1:$F$18046,AH!$P$7+2255))),NA()),NA())</ns0:f>
        <ns0:v/>
      </ns0:c>
      <ns0:c r="H2260">
        <ns0:f>IFERROR(IF(AND(AH!$E$4="Bloomberg",AH!$P$10=1,ISNUMBER($A2260),$A2260&lt;=AH!$P$17),AH!$P$7-1+MATCH($A2260,INDEX('AH History'!$A$1:$A$18046,AH!$P$7):INDEX('AH History'!$A$1:$A$18046,AH!$P$7+AH!$P$8-1),0),0),0)</ns0:f>
        <ns0:v/>
      </ns0:c>
      <ns0:c r="I2260">
        <ns0:f>IF($H2260=0,0,IFERROR(IF(AND(ABS($C2260-INDEX('AH History'!$B$1:$B$18046,$H2260))&lt;=MAX(0.005,ABS(INDEX('AH History'!$B$1:$B$18046,$H2260))*0.00005),ABS($D2260-INDEX('AH History'!$C$1:$C$18046,$H2260))&lt;=MAX(0.005,ABS(INDEX('AH History'!$C$1:$C$18046,$H2260))*0.00005),ABS($E2260-INDEX('AH History'!$D$1:$D$18046,$H2260))&lt;=0.00005,$F2260=INDEX('AH History'!$E$1:$E$18046,$H2260),$G2260=INDEX('AH History'!$F$1:$F$18046,$H2260)),1,-1),-1))</ns0:f>
        <ns0:v/>
      </ns0:c>
    </ns0:row>
    <ns0:row r="2261">
      <ns0:c r="A2261" s="215">
        <ns0:f>IF(OR(AH!$P$3=0,2256+1&gt;AH!$P$11,AND(AH!$E$4&lt;&gt;"Stored",AH!$P$10&lt;&gt;1)),"",IFERROR(IF(AND(AH!$P$21=1,2256+1=AH!$P$11),TODAY(),IF(AH!$P$10=1,INDEX('Live History'!$A$5:$A$3004,AH!$P$13+2256),INDEX('AH History'!$A$1:$A$18046,AH!$P$7+2256))),""))</ns0:f>
        <ns0:v/>
      </ns0:c>
      <ns0:c r="B2261" s="219">
        <ns0:f>IFERROR(IF(AND(AH!$P$9&lt;&gt;1,$C2261&gt;0,$D2261&gt;0,$E2261&gt;0,$F2261&gt;0,$G2261&gt;0,$F2261&lt;=$A2261,$G2261&lt;=$A2261,$A2261-$F2261&lt;=10,$A2261-$G2261&lt;=5),$D2261*$E2261/$C2261-1,NA()),NA())</ns0:f>
        <ns0:v/>
      </ns0:c>
      <ns0:c r="C2261">
        <ns0:f>IFERROR(IF(ISNUMBER($A2261),IF(AND(AH!$P$10=1,AH!$P$12=1,$A2261=TODAY()),AH!$P$19,IF(AH!$P$10=1,INDEX('Live History'!$B$5:$B$3004,AH!$P$13+2256),INDEX('AH History'!$B$1:$B$18046,AH!$P$7+2256))),NA()),NA())</ns0:f>
        <ns0:v/>
      </ns0:c>
      <ns0:c r="D2261">
        <ns0:f>IFERROR(IF(ISNUMBER($A2261),IF(AND(AH!$P$10=1,AH!$P$12=1,$A2261=TODAY()),AH!$P$18,IF(AH!$P$10=1,INDEX('Live History'!$E$5:$E$3004,MATCH($A2261,'Live History'!$D$5:$D$3004,1)),INDEX('AH History'!$C$1:$C$18046,AH!$P$7+2256))),NA()),NA())</ns0:f>
        <ns0:v/>
      </ns0:c>
      <ns0:c r="E2261">
        <ns0:f>IFERROR(IF(ISNUMBER($A2261),IF(AND(AH!$P$10=1,AH!$P$12=1,$A2261=TODAY()),AH!$P$20,IF(AH!$P$10=1,INDEX('Live History'!$H$5:$H$3004,MATCH($A2261,'Live History'!$G$5:$G$3004,1)),INDEX('AH History'!$D$1:$D$18046,AH!$P$7+2256))),NA()),NA())</ns0:f>
        <ns0:v/>
      </ns0:c>
      <ns0:c r="F2261">
        <ns0:f>IFERROR(IF(ISNUMBER($A2261),IF(AND(AH!$P$10=1,AH!$P$12=1,$A2261=TODAY()),IF(AND(AH!$P$10=1,AH!$P$12=1,$A2261=TODAY()),TODAY(),NA()),IF(AH!$P$10=1,INDEX('Live History'!$D$5:$D$3004,MATCH($A2261,'Live History'!$D$5:$D$3004,1)),INDEX('AH History'!$E$1:$E$18046,AH!$P$7+2256))),NA()),NA())</ns0:f>
        <ns0:v/>
      </ns0:c>
      <ns0:c r="G2261">
        <ns0:f>IFERROR(IF(ISNUMBER($A2261),IF(AND(AH!$P$10=1,AH!$P$12=1,$A2261=TODAY()),IF(AND(AH!$P$10=1,AH!$P$12=1,$A2261=TODAY()),TODAY(),NA()),IF(AH!$P$10=1,INDEX('Live History'!$G$5:$G$3004,MATCH($A2261,'Live History'!$G$5:$G$3004,1)),INDEX('AH History'!$F$1:$F$18046,AH!$P$7+2256))),NA()),NA())</ns0:f>
        <ns0:v/>
      </ns0:c>
      <ns0:c r="H2261">
        <ns0:f>IFERROR(IF(AND(AH!$E$4="Bloomberg",AH!$P$10=1,ISNUMBER($A2261),$A2261&lt;=AH!$P$17),AH!$P$7-1+MATCH($A2261,INDEX('AH History'!$A$1:$A$18046,AH!$P$7):INDEX('AH History'!$A$1:$A$18046,AH!$P$7+AH!$P$8-1),0),0),0)</ns0:f>
        <ns0:v/>
      </ns0:c>
      <ns0:c r="I2261">
        <ns0:f>IF($H2261=0,0,IFERROR(IF(AND(ABS($C2261-INDEX('AH History'!$B$1:$B$18046,$H2261))&lt;=MAX(0.005,ABS(INDEX('AH History'!$B$1:$B$18046,$H2261))*0.00005),ABS($D2261-INDEX('AH History'!$C$1:$C$18046,$H2261))&lt;=MAX(0.005,ABS(INDEX('AH History'!$C$1:$C$18046,$H2261))*0.00005),ABS($E2261-INDEX('AH History'!$D$1:$D$18046,$H2261))&lt;=0.00005,$F2261=INDEX('AH History'!$E$1:$E$18046,$H2261),$G2261=INDEX('AH History'!$F$1:$F$18046,$H2261)),1,-1),-1))</ns0:f>
        <ns0:v/>
      </ns0:c>
    </ns0:row>
    <ns0:row r="2262">
      <ns0:c r="A2262" s="215">
        <ns0:f>IF(OR(AH!$P$3=0,2257+1&gt;AH!$P$11,AND(AH!$E$4&lt;&gt;"Stored",AH!$P$10&lt;&gt;1)),"",IFERROR(IF(AND(AH!$P$21=1,2257+1=AH!$P$11),TODAY(),IF(AH!$P$10=1,INDEX('Live History'!$A$5:$A$3004,AH!$P$13+2257),INDEX('AH History'!$A$1:$A$18046,AH!$P$7+2257))),""))</ns0:f>
        <ns0:v/>
      </ns0:c>
      <ns0:c r="B2262" s="219">
        <ns0:f>IFERROR(IF(AND(AH!$P$9&lt;&gt;1,$C2262&gt;0,$D2262&gt;0,$E2262&gt;0,$F2262&gt;0,$G2262&gt;0,$F2262&lt;=$A2262,$G2262&lt;=$A2262,$A2262-$F2262&lt;=10,$A2262-$G2262&lt;=5),$D2262*$E2262/$C2262-1,NA()),NA())</ns0:f>
        <ns0:v/>
      </ns0:c>
      <ns0:c r="C2262">
        <ns0:f>IFERROR(IF(ISNUMBER($A2262),IF(AND(AH!$P$10=1,AH!$P$12=1,$A2262=TODAY()),AH!$P$19,IF(AH!$P$10=1,INDEX('Live History'!$B$5:$B$3004,AH!$P$13+2257),INDEX('AH History'!$B$1:$B$18046,AH!$P$7+2257))),NA()),NA())</ns0:f>
        <ns0:v/>
      </ns0:c>
      <ns0:c r="D2262">
        <ns0:f>IFERROR(IF(ISNUMBER($A2262),IF(AND(AH!$P$10=1,AH!$P$12=1,$A2262=TODAY()),AH!$P$18,IF(AH!$P$10=1,INDEX('Live History'!$E$5:$E$3004,MATCH($A2262,'Live History'!$D$5:$D$3004,1)),INDEX('AH History'!$C$1:$C$18046,AH!$P$7+2257))),NA()),NA())</ns0:f>
        <ns0:v/>
      </ns0:c>
      <ns0:c r="E2262">
        <ns0:f>IFERROR(IF(ISNUMBER($A2262),IF(AND(AH!$P$10=1,AH!$P$12=1,$A2262=TODAY()),AH!$P$20,IF(AH!$P$10=1,INDEX('Live History'!$H$5:$H$3004,MATCH($A2262,'Live History'!$G$5:$G$3004,1)),INDEX('AH History'!$D$1:$D$18046,AH!$P$7+2257))),NA()),NA())</ns0:f>
        <ns0:v/>
      </ns0:c>
      <ns0:c r="F2262">
        <ns0:f>IFERROR(IF(ISNUMBER($A2262),IF(AND(AH!$P$10=1,AH!$P$12=1,$A2262=TODAY()),IF(AND(AH!$P$10=1,AH!$P$12=1,$A2262=TODAY()),TODAY(),NA()),IF(AH!$P$10=1,INDEX('Live History'!$D$5:$D$3004,MATCH($A2262,'Live History'!$D$5:$D$3004,1)),INDEX('AH History'!$E$1:$E$18046,AH!$P$7+2257))),NA()),NA())</ns0:f>
        <ns0:v/>
      </ns0:c>
      <ns0:c r="G2262">
        <ns0:f>IFERROR(IF(ISNUMBER($A2262),IF(AND(AH!$P$10=1,AH!$P$12=1,$A2262=TODAY()),IF(AND(AH!$P$10=1,AH!$P$12=1,$A2262=TODAY()),TODAY(),NA()),IF(AH!$P$10=1,INDEX('Live History'!$G$5:$G$3004,MATCH($A2262,'Live History'!$G$5:$G$3004,1)),INDEX('AH History'!$F$1:$F$18046,AH!$P$7+2257))),NA()),NA())</ns0:f>
        <ns0:v/>
      </ns0:c>
      <ns0:c r="H2262">
        <ns0:f>IFERROR(IF(AND(AH!$E$4="Bloomberg",AH!$P$10=1,ISNUMBER($A2262),$A2262&lt;=AH!$P$17),AH!$P$7-1+MATCH($A2262,INDEX('AH History'!$A$1:$A$18046,AH!$P$7):INDEX('AH History'!$A$1:$A$18046,AH!$P$7+AH!$P$8-1),0),0),0)</ns0:f>
        <ns0:v/>
      </ns0:c>
      <ns0:c r="I2262">
        <ns0:f>IF($H2262=0,0,IFERROR(IF(AND(ABS($C2262-INDEX('AH History'!$B$1:$B$18046,$H2262))&lt;=MAX(0.005,ABS(INDEX('AH History'!$B$1:$B$18046,$H2262))*0.00005),ABS($D2262-INDEX('AH History'!$C$1:$C$18046,$H2262))&lt;=MAX(0.005,ABS(INDEX('AH History'!$C$1:$C$18046,$H2262))*0.00005),ABS($E2262-INDEX('AH History'!$D$1:$D$18046,$H2262))&lt;=0.00005,$F2262=INDEX('AH History'!$E$1:$E$18046,$H2262),$G2262=INDEX('AH History'!$F$1:$F$18046,$H2262)),1,-1),-1))</ns0:f>
        <ns0:v/>
      </ns0:c>
    </ns0:row>
    <ns0:row r="2263">
      <ns0:c r="A2263" s="215">
        <ns0:f>IF(OR(AH!$P$3=0,2258+1&gt;AH!$P$11,AND(AH!$E$4&lt;&gt;"Stored",AH!$P$10&lt;&gt;1)),"",IFERROR(IF(AND(AH!$P$21=1,2258+1=AH!$P$11),TODAY(),IF(AH!$P$10=1,INDEX('Live History'!$A$5:$A$3004,AH!$P$13+2258),INDEX('AH History'!$A$1:$A$18046,AH!$P$7+2258))),""))</ns0:f>
        <ns0:v/>
      </ns0:c>
      <ns0:c r="B2263" s="219">
        <ns0:f>IFERROR(IF(AND(AH!$P$9&lt;&gt;1,$C2263&gt;0,$D2263&gt;0,$E2263&gt;0,$F2263&gt;0,$G2263&gt;0,$F2263&lt;=$A2263,$G2263&lt;=$A2263,$A2263-$F2263&lt;=10,$A2263-$G2263&lt;=5),$D2263*$E2263/$C2263-1,NA()),NA())</ns0:f>
        <ns0:v/>
      </ns0:c>
      <ns0:c r="C2263">
        <ns0:f>IFERROR(IF(ISNUMBER($A2263),IF(AND(AH!$P$10=1,AH!$P$12=1,$A2263=TODAY()),AH!$P$19,IF(AH!$P$10=1,INDEX('Live History'!$B$5:$B$3004,AH!$P$13+2258),INDEX('AH History'!$B$1:$B$18046,AH!$P$7+2258))),NA()),NA())</ns0:f>
        <ns0:v/>
      </ns0:c>
      <ns0:c r="D2263">
        <ns0:f>IFERROR(IF(ISNUMBER($A2263),IF(AND(AH!$P$10=1,AH!$P$12=1,$A2263=TODAY()),AH!$P$18,IF(AH!$P$10=1,INDEX('Live History'!$E$5:$E$3004,MATCH($A2263,'Live History'!$D$5:$D$3004,1)),INDEX('AH History'!$C$1:$C$18046,AH!$P$7+2258))),NA()),NA())</ns0:f>
        <ns0:v/>
      </ns0:c>
      <ns0:c r="E2263">
        <ns0:f>IFERROR(IF(ISNUMBER($A2263),IF(AND(AH!$P$10=1,AH!$P$12=1,$A2263=TODAY()),AH!$P$20,IF(AH!$P$10=1,INDEX('Live History'!$H$5:$H$3004,MATCH($A2263,'Live History'!$G$5:$G$3004,1)),INDEX('AH History'!$D$1:$D$18046,AH!$P$7+2258))),NA()),NA())</ns0:f>
        <ns0:v/>
      </ns0:c>
      <ns0:c r="F2263">
        <ns0:f>IFERROR(IF(ISNUMBER($A2263),IF(AND(AH!$P$10=1,AH!$P$12=1,$A2263=TODAY()),IF(AND(AH!$P$10=1,AH!$P$12=1,$A2263=TODAY()),TODAY(),NA()),IF(AH!$P$10=1,INDEX('Live History'!$D$5:$D$3004,MATCH($A2263,'Live History'!$D$5:$D$3004,1)),INDEX('AH History'!$E$1:$E$18046,AH!$P$7+2258))),NA()),NA())</ns0:f>
        <ns0:v/>
      </ns0:c>
      <ns0:c r="G2263">
        <ns0:f>IFERROR(IF(ISNUMBER($A2263),IF(AND(AH!$P$10=1,AH!$P$12=1,$A2263=TODAY()),IF(AND(AH!$P$10=1,AH!$P$12=1,$A2263=TODAY()),TODAY(),NA()),IF(AH!$P$10=1,INDEX('Live History'!$G$5:$G$3004,MATCH($A2263,'Live History'!$G$5:$G$3004,1)),INDEX('AH History'!$F$1:$F$18046,AH!$P$7+2258))),NA()),NA())</ns0:f>
        <ns0:v/>
      </ns0:c>
      <ns0:c r="H2263">
        <ns0:f>IFERROR(IF(AND(AH!$E$4="Bloomberg",AH!$P$10=1,ISNUMBER($A2263),$A2263&lt;=AH!$P$17),AH!$P$7-1+MATCH($A2263,INDEX('AH History'!$A$1:$A$18046,AH!$P$7):INDEX('AH History'!$A$1:$A$18046,AH!$P$7+AH!$P$8-1),0),0),0)</ns0:f>
        <ns0:v/>
      </ns0:c>
      <ns0:c r="I2263">
        <ns0:f>IF($H2263=0,0,IFERROR(IF(AND(ABS($C2263-INDEX('AH History'!$B$1:$B$18046,$H2263))&lt;=MAX(0.005,ABS(INDEX('AH History'!$B$1:$B$18046,$H2263))*0.00005),ABS($D2263-INDEX('AH History'!$C$1:$C$18046,$H2263))&lt;=MAX(0.005,ABS(INDEX('AH History'!$C$1:$C$18046,$H2263))*0.00005),ABS($E2263-INDEX('AH History'!$D$1:$D$18046,$H2263))&lt;=0.00005,$F2263=INDEX('AH History'!$E$1:$E$18046,$H2263),$G2263=INDEX('AH History'!$F$1:$F$18046,$H2263)),1,-1),-1))</ns0:f>
        <ns0:v/>
      </ns0:c>
    </ns0:row>
    <ns0:row r="2264">
      <ns0:c r="A2264" s="215">
        <ns0:f>IF(OR(AH!$P$3=0,2259+1&gt;AH!$P$11,AND(AH!$E$4&lt;&gt;"Stored",AH!$P$10&lt;&gt;1)),"",IFERROR(IF(AND(AH!$P$21=1,2259+1=AH!$P$11),TODAY(),IF(AH!$P$10=1,INDEX('Live History'!$A$5:$A$3004,AH!$P$13+2259),INDEX('AH History'!$A$1:$A$18046,AH!$P$7+2259))),""))</ns0:f>
        <ns0:v/>
      </ns0:c>
      <ns0:c r="B2264" s="219">
        <ns0:f>IFERROR(IF(AND(AH!$P$9&lt;&gt;1,$C2264&gt;0,$D2264&gt;0,$E2264&gt;0,$F2264&gt;0,$G2264&gt;0,$F2264&lt;=$A2264,$G2264&lt;=$A2264,$A2264-$F2264&lt;=10,$A2264-$G2264&lt;=5),$D2264*$E2264/$C2264-1,NA()),NA())</ns0:f>
        <ns0:v/>
      </ns0:c>
      <ns0:c r="C2264">
        <ns0:f>IFERROR(IF(ISNUMBER($A2264),IF(AND(AH!$P$10=1,AH!$P$12=1,$A2264=TODAY()),AH!$P$19,IF(AH!$P$10=1,INDEX('Live History'!$B$5:$B$3004,AH!$P$13+2259),INDEX('AH History'!$B$1:$B$18046,AH!$P$7+2259))),NA()),NA())</ns0:f>
        <ns0:v/>
      </ns0:c>
      <ns0:c r="D2264">
        <ns0:f>IFERROR(IF(ISNUMBER($A2264),IF(AND(AH!$P$10=1,AH!$P$12=1,$A2264=TODAY()),AH!$P$18,IF(AH!$P$10=1,INDEX('Live History'!$E$5:$E$3004,MATCH($A2264,'Live History'!$D$5:$D$3004,1)),INDEX('AH History'!$C$1:$C$18046,AH!$P$7+2259))),NA()),NA())</ns0:f>
        <ns0:v/>
      </ns0:c>
      <ns0:c r="E2264">
        <ns0:f>IFERROR(IF(ISNUMBER($A2264),IF(AND(AH!$P$10=1,AH!$P$12=1,$A2264=TODAY()),AH!$P$20,IF(AH!$P$10=1,INDEX('Live History'!$H$5:$H$3004,MATCH($A2264,'Live History'!$G$5:$G$3004,1)),INDEX('AH History'!$D$1:$D$18046,AH!$P$7+2259))),NA()),NA())</ns0:f>
        <ns0:v/>
      </ns0:c>
      <ns0:c r="F2264">
        <ns0:f>IFERROR(IF(ISNUMBER($A2264),IF(AND(AH!$P$10=1,AH!$P$12=1,$A2264=TODAY()),IF(AND(AH!$P$10=1,AH!$P$12=1,$A2264=TODAY()),TODAY(),NA()),IF(AH!$P$10=1,INDEX('Live History'!$D$5:$D$3004,MATCH($A2264,'Live History'!$D$5:$D$3004,1)),INDEX('AH History'!$E$1:$E$18046,AH!$P$7+2259))),NA()),NA())</ns0:f>
        <ns0:v/>
      </ns0:c>
      <ns0:c r="G2264">
        <ns0:f>IFERROR(IF(ISNUMBER($A2264),IF(AND(AH!$P$10=1,AH!$P$12=1,$A2264=TODAY()),IF(AND(AH!$P$10=1,AH!$P$12=1,$A2264=TODAY()),TODAY(),NA()),IF(AH!$P$10=1,INDEX('Live History'!$G$5:$G$3004,MATCH($A2264,'Live History'!$G$5:$G$3004,1)),INDEX('AH History'!$F$1:$F$18046,AH!$P$7+2259))),NA()),NA())</ns0:f>
        <ns0:v/>
      </ns0:c>
      <ns0:c r="H2264">
        <ns0:f>IFERROR(IF(AND(AH!$E$4="Bloomberg",AH!$P$10=1,ISNUMBER($A2264),$A2264&lt;=AH!$P$17),AH!$P$7-1+MATCH($A2264,INDEX('AH History'!$A$1:$A$18046,AH!$P$7):INDEX('AH History'!$A$1:$A$18046,AH!$P$7+AH!$P$8-1),0),0),0)</ns0:f>
        <ns0:v/>
      </ns0:c>
      <ns0:c r="I2264">
        <ns0:f>IF($H2264=0,0,IFERROR(IF(AND(ABS($C2264-INDEX('AH History'!$B$1:$B$18046,$H2264))&lt;=MAX(0.005,ABS(INDEX('AH History'!$B$1:$B$18046,$H2264))*0.00005),ABS($D2264-INDEX('AH History'!$C$1:$C$18046,$H2264))&lt;=MAX(0.005,ABS(INDEX('AH History'!$C$1:$C$18046,$H2264))*0.00005),ABS($E2264-INDEX('AH History'!$D$1:$D$18046,$H2264))&lt;=0.00005,$F2264=INDEX('AH History'!$E$1:$E$18046,$H2264),$G2264=INDEX('AH History'!$F$1:$F$18046,$H2264)),1,-1),-1))</ns0:f>
        <ns0:v/>
      </ns0:c>
    </ns0:row>
    <ns0:row r="2265">
      <ns0:c r="A2265" s="215">
        <ns0:f>IF(OR(AH!$P$3=0,2260+1&gt;AH!$P$11,AND(AH!$E$4&lt;&gt;"Stored",AH!$P$10&lt;&gt;1)),"",IFERROR(IF(AND(AH!$P$21=1,2260+1=AH!$P$11),TODAY(),IF(AH!$P$10=1,INDEX('Live History'!$A$5:$A$3004,AH!$P$13+2260),INDEX('AH History'!$A$1:$A$18046,AH!$P$7+2260))),""))</ns0:f>
        <ns0:v/>
      </ns0:c>
      <ns0:c r="B2265" s="219">
        <ns0:f>IFERROR(IF(AND(AH!$P$9&lt;&gt;1,$C2265&gt;0,$D2265&gt;0,$E2265&gt;0,$F2265&gt;0,$G2265&gt;0,$F2265&lt;=$A2265,$G2265&lt;=$A2265,$A2265-$F2265&lt;=10,$A2265-$G2265&lt;=5),$D2265*$E2265/$C2265-1,NA()),NA())</ns0:f>
        <ns0:v/>
      </ns0:c>
      <ns0:c r="C2265">
        <ns0:f>IFERROR(IF(ISNUMBER($A2265),IF(AND(AH!$P$10=1,AH!$P$12=1,$A2265=TODAY()),AH!$P$19,IF(AH!$P$10=1,INDEX('Live History'!$B$5:$B$3004,AH!$P$13+2260),INDEX('AH History'!$B$1:$B$18046,AH!$P$7+2260))),NA()),NA())</ns0:f>
        <ns0:v/>
      </ns0:c>
      <ns0:c r="D2265">
        <ns0:f>IFERROR(IF(ISNUMBER($A2265),IF(AND(AH!$P$10=1,AH!$P$12=1,$A2265=TODAY()),AH!$P$18,IF(AH!$P$10=1,INDEX('Live History'!$E$5:$E$3004,MATCH($A2265,'Live History'!$D$5:$D$3004,1)),INDEX('AH History'!$C$1:$C$18046,AH!$P$7+2260))),NA()),NA())</ns0:f>
        <ns0:v/>
      </ns0:c>
      <ns0:c r="E2265">
        <ns0:f>IFERROR(IF(ISNUMBER($A2265),IF(AND(AH!$P$10=1,AH!$P$12=1,$A2265=TODAY()),AH!$P$20,IF(AH!$P$10=1,INDEX('Live History'!$H$5:$H$3004,MATCH($A2265,'Live History'!$G$5:$G$3004,1)),INDEX('AH History'!$D$1:$D$18046,AH!$P$7+2260))),NA()),NA())</ns0:f>
        <ns0:v/>
      </ns0:c>
      <ns0:c r="F2265">
        <ns0:f>IFERROR(IF(ISNUMBER($A2265),IF(AND(AH!$P$10=1,AH!$P$12=1,$A2265=TODAY()),IF(AND(AH!$P$10=1,AH!$P$12=1,$A2265=TODAY()),TODAY(),NA()),IF(AH!$P$10=1,INDEX('Live History'!$D$5:$D$3004,MATCH($A2265,'Live History'!$D$5:$D$3004,1)),INDEX('AH History'!$E$1:$E$18046,AH!$P$7+2260))),NA()),NA())</ns0:f>
        <ns0:v/>
      </ns0:c>
      <ns0:c r="G2265">
        <ns0:f>IFERROR(IF(ISNUMBER($A2265),IF(AND(AH!$P$10=1,AH!$P$12=1,$A2265=TODAY()),IF(AND(AH!$P$10=1,AH!$P$12=1,$A2265=TODAY()),TODAY(),NA()),IF(AH!$P$10=1,INDEX('Live History'!$G$5:$G$3004,MATCH($A2265,'Live History'!$G$5:$G$3004,1)),INDEX('AH History'!$F$1:$F$18046,AH!$P$7+2260))),NA()),NA())</ns0:f>
        <ns0:v/>
      </ns0:c>
      <ns0:c r="H2265">
        <ns0:f>IFERROR(IF(AND(AH!$E$4="Bloomberg",AH!$P$10=1,ISNUMBER($A2265),$A2265&lt;=AH!$P$17),AH!$P$7-1+MATCH($A2265,INDEX('AH History'!$A$1:$A$18046,AH!$P$7):INDEX('AH History'!$A$1:$A$18046,AH!$P$7+AH!$P$8-1),0),0),0)</ns0:f>
        <ns0:v/>
      </ns0:c>
      <ns0:c r="I2265">
        <ns0:f>IF($H2265=0,0,IFERROR(IF(AND(ABS($C2265-INDEX('AH History'!$B$1:$B$18046,$H2265))&lt;=MAX(0.005,ABS(INDEX('AH History'!$B$1:$B$18046,$H2265))*0.00005),ABS($D2265-INDEX('AH History'!$C$1:$C$18046,$H2265))&lt;=MAX(0.005,ABS(INDEX('AH History'!$C$1:$C$18046,$H2265))*0.00005),ABS($E2265-INDEX('AH History'!$D$1:$D$18046,$H2265))&lt;=0.00005,$F2265=INDEX('AH History'!$E$1:$E$18046,$H2265),$G2265=INDEX('AH History'!$F$1:$F$18046,$H2265)),1,-1),-1))</ns0:f>
        <ns0:v/>
      </ns0:c>
    </ns0:row>
    <ns0:row r="2266">
      <ns0:c r="A2266" s="215">
        <ns0:f>IF(OR(AH!$P$3=0,2261+1&gt;AH!$P$11,AND(AH!$E$4&lt;&gt;"Stored",AH!$P$10&lt;&gt;1)),"",IFERROR(IF(AND(AH!$P$21=1,2261+1=AH!$P$11),TODAY(),IF(AH!$P$10=1,INDEX('Live History'!$A$5:$A$3004,AH!$P$13+2261),INDEX('AH History'!$A$1:$A$18046,AH!$P$7+2261))),""))</ns0:f>
        <ns0:v/>
      </ns0:c>
      <ns0:c r="B2266" s="219">
        <ns0:f>IFERROR(IF(AND(AH!$P$9&lt;&gt;1,$C2266&gt;0,$D2266&gt;0,$E2266&gt;0,$F2266&gt;0,$G2266&gt;0,$F2266&lt;=$A2266,$G2266&lt;=$A2266,$A2266-$F2266&lt;=10,$A2266-$G2266&lt;=5),$D2266*$E2266/$C2266-1,NA()),NA())</ns0:f>
        <ns0:v/>
      </ns0:c>
      <ns0:c r="C2266">
        <ns0:f>IFERROR(IF(ISNUMBER($A2266),IF(AND(AH!$P$10=1,AH!$P$12=1,$A2266=TODAY()),AH!$P$19,IF(AH!$P$10=1,INDEX('Live History'!$B$5:$B$3004,AH!$P$13+2261),INDEX('AH History'!$B$1:$B$18046,AH!$P$7+2261))),NA()),NA())</ns0:f>
        <ns0:v/>
      </ns0:c>
      <ns0:c r="D2266">
        <ns0:f>IFERROR(IF(ISNUMBER($A2266),IF(AND(AH!$P$10=1,AH!$P$12=1,$A2266=TODAY()),AH!$P$18,IF(AH!$P$10=1,INDEX('Live History'!$E$5:$E$3004,MATCH($A2266,'Live History'!$D$5:$D$3004,1)),INDEX('AH History'!$C$1:$C$18046,AH!$P$7+2261))),NA()),NA())</ns0:f>
        <ns0:v/>
      </ns0:c>
      <ns0:c r="E2266">
        <ns0:f>IFERROR(IF(ISNUMBER($A2266),IF(AND(AH!$P$10=1,AH!$P$12=1,$A2266=TODAY()),AH!$P$20,IF(AH!$P$10=1,INDEX('Live History'!$H$5:$H$3004,MATCH($A2266,'Live History'!$G$5:$G$3004,1)),INDEX('AH History'!$D$1:$D$18046,AH!$P$7+2261))),NA()),NA())</ns0:f>
        <ns0:v/>
      </ns0:c>
      <ns0:c r="F2266">
        <ns0:f>IFERROR(IF(ISNUMBER($A2266),IF(AND(AH!$P$10=1,AH!$P$12=1,$A2266=TODAY()),IF(AND(AH!$P$10=1,AH!$P$12=1,$A2266=TODAY()),TODAY(),NA()),IF(AH!$P$10=1,INDEX('Live History'!$D$5:$D$3004,MATCH($A2266,'Live History'!$D$5:$D$3004,1)),INDEX('AH History'!$E$1:$E$18046,AH!$P$7+2261))),NA()),NA())</ns0:f>
        <ns0:v/>
      </ns0:c>
      <ns0:c r="G2266">
        <ns0:f>IFERROR(IF(ISNUMBER($A2266),IF(AND(AH!$P$10=1,AH!$P$12=1,$A2266=TODAY()),IF(AND(AH!$P$10=1,AH!$P$12=1,$A2266=TODAY()),TODAY(),NA()),IF(AH!$P$10=1,INDEX('Live History'!$G$5:$G$3004,MATCH($A2266,'Live History'!$G$5:$G$3004,1)),INDEX('AH History'!$F$1:$F$18046,AH!$P$7+2261))),NA()),NA())</ns0:f>
        <ns0:v/>
      </ns0:c>
      <ns0:c r="H2266">
        <ns0:f>IFERROR(IF(AND(AH!$E$4="Bloomberg",AH!$P$10=1,ISNUMBER($A2266),$A2266&lt;=AH!$P$17),AH!$P$7-1+MATCH($A2266,INDEX('AH History'!$A$1:$A$18046,AH!$P$7):INDEX('AH History'!$A$1:$A$18046,AH!$P$7+AH!$P$8-1),0),0),0)</ns0:f>
        <ns0:v/>
      </ns0:c>
      <ns0:c r="I2266">
        <ns0:f>IF($H2266=0,0,IFERROR(IF(AND(ABS($C2266-INDEX('AH History'!$B$1:$B$18046,$H2266))&lt;=MAX(0.005,ABS(INDEX('AH History'!$B$1:$B$18046,$H2266))*0.00005),ABS($D2266-INDEX('AH History'!$C$1:$C$18046,$H2266))&lt;=MAX(0.005,ABS(INDEX('AH History'!$C$1:$C$18046,$H2266))*0.00005),ABS($E2266-INDEX('AH History'!$D$1:$D$18046,$H2266))&lt;=0.00005,$F2266=INDEX('AH History'!$E$1:$E$18046,$H2266),$G2266=INDEX('AH History'!$F$1:$F$18046,$H2266)),1,-1),-1))</ns0:f>
        <ns0:v/>
      </ns0:c>
    </ns0:row>
    <ns0:row r="2267">
      <ns0:c r="A2267" s="215">
        <ns0:f>IF(OR(AH!$P$3=0,2262+1&gt;AH!$P$11,AND(AH!$E$4&lt;&gt;"Stored",AH!$P$10&lt;&gt;1)),"",IFERROR(IF(AND(AH!$P$21=1,2262+1=AH!$P$11),TODAY(),IF(AH!$P$10=1,INDEX('Live History'!$A$5:$A$3004,AH!$P$13+2262),INDEX('AH History'!$A$1:$A$18046,AH!$P$7+2262))),""))</ns0:f>
        <ns0:v/>
      </ns0:c>
      <ns0:c r="B2267" s="219">
        <ns0:f>IFERROR(IF(AND(AH!$P$9&lt;&gt;1,$C2267&gt;0,$D2267&gt;0,$E2267&gt;0,$F2267&gt;0,$G2267&gt;0,$F2267&lt;=$A2267,$G2267&lt;=$A2267,$A2267-$F2267&lt;=10,$A2267-$G2267&lt;=5),$D2267*$E2267/$C2267-1,NA()),NA())</ns0:f>
        <ns0:v/>
      </ns0:c>
      <ns0:c r="C2267">
        <ns0:f>IFERROR(IF(ISNUMBER($A2267),IF(AND(AH!$P$10=1,AH!$P$12=1,$A2267=TODAY()),AH!$P$19,IF(AH!$P$10=1,INDEX('Live History'!$B$5:$B$3004,AH!$P$13+2262),INDEX('AH History'!$B$1:$B$18046,AH!$P$7+2262))),NA()),NA())</ns0:f>
        <ns0:v/>
      </ns0:c>
      <ns0:c r="D2267">
        <ns0:f>IFERROR(IF(ISNUMBER($A2267),IF(AND(AH!$P$10=1,AH!$P$12=1,$A2267=TODAY()),AH!$P$18,IF(AH!$P$10=1,INDEX('Live History'!$E$5:$E$3004,MATCH($A2267,'Live History'!$D$5:$D$3004,1)),INDEX('AH History'!$C$1:$C$18046,AH!$P$7+2262))),NA()),NA())</ns0:f>
        <ns0:v/>
      </ns0:c>
      <ns0:c r="E2267">
        <ns0:f>IFERROR(IF(ISNUMBER($A2267),IF(AND(AH!$P$10=1,AH!$P$12=1,$A2267=TODAY()),AH!$P$20,IF(AH!$P$10=1,INDEX('Live History'!$H$5:$H$3004,MATCH($A2267,'Live History'!$G$5:$G$3004,1)),INDEX('AH History'!$D$1:$D$18046,AH!$P$7+2262))),NA()),NA())</ns0:f>
        <ns0:v/>
      </ns0:c>
      <ns0:c r="F2267">
        <ns0:f>IFERROR(IF(ISNUMBER($A2267),IF(AND(AH!$P$10=1,AH!$P$12=1,$A2267=TODAY()),IF(AND(AH!$P$10=1,AH!$P$12=1,$A2267=TODAY()),TODAY(),NA()),IF(AH!$P$10=1,INDEX('Live History'!$D$5:$D$3004,MATCH($A2267,'Live History'!$D$5:$D$3004,1)),INDEX('AH History'!$E$1:$E$18046,AH!$P$7+2262))),NA()),NA())</ns0:f>
        <ns0:v/>
      </ns0:c>
      <ns0:c r="G2267">
        <ns0:f>IFERROR(IF(ISNUMBER($A2267),IF(AND(AH!$P$10=1,AH!$P$12=1,$A2267=TODAY()),IF(AND(AH!$P$10=1,AH!$P$12=1,$A2267=TODAY()),TODAY(),NA()),IF(AH!$P$10=1,INDEX('Live History'!$G$5:$G$3004,MATCH($A2267,'Live History'!$G$5:$G$3004,1)),INDEX('AH History'!$F$1:$F$18046,AH!$P$7+2262))),NA()),NA())</ns0:f>
        <ns0:v/>
      </ns0:c>
      <ns0:c r="H2267">
        <ns0:f>IFERROR(IF(AND(AH!$E$4="Bloomberg",AH!$P$10=1,ISNUMBER($A2267),$A2267&lt;=AH!$P$17),AH!$P$7-1+MATCH($A2267,INDEX('AH History'!$A$1:$A$18046,AH!$P$7):INDEX('AH History'!$A$1:$A$18046,AH!$P$7+AH!$P$8-1),0),0),0)</ns0:f>
        <ns0:v/>
      </ns0:c>
      <ns0:c r="I2267">
        <ns0:f>IF($H2267=0,0,IFERROR(IF(AND(ABS($C2267-INDEX('AH History'!$B$1:$B$18046,$H2267))&lt;=MAX(0.005,ABS(INDEX('AH History'!$B$1:$B$18046,$H2267))*0.00005),ABS($D2267-INDEX('AH History'!$C$1:$C$18046,$H2267))&lt;=MAX(0.005,ABS(INDEX('AH History'!$C$1:$C$18046,$H2267))*0.00005),ABS($E2267-INDEX('AH History'!$D$1:$D$18046,$H2267))&lt;=0.00005,$F2267=INDEX('AH History'!$E$1:$E$18046,$H2267),$G2267=INDEX('AH History'!$F$1:$F$18046,$H2267)),1,-1),-1))</ns0:f>
        <ns0:v/>
      </ns0:c>
    </ns0:row>
    <ns0:row r="2268">
      <ns0:c r="A2268" s="215">
        <ns0:f>IF(OR(AH!$P$3=0,2263+1&gt;AH!$P$11,AND(AH!$E$4&lt;&gt;"Stored",AH!$P$10&lt;&gt;1)),"",IFERROR(IF(AND(AH!$P$21=1,2263+1=AH!$P$11),TODAY(),IF(AH!$P$10=1,INDEX('Live History'!$A$5:$A$3004,AH!$P$13+2263),INDEX('AH History'!$A$1:$A$18046,AH!$P$7+2263))),""))</ns0:f>
        <ns0:v/>
      </ns0:c>
      <ns0:c r="B2268" s="219">
        <ns0:f>IFERROR(IF(AND(AH!$P$9&lt;&gt;1,$C2268&gt;0,$D2268&gt;0,$E2268&gt;0,$F2268&gt;0,$G2268&gt;0,$F2268&lt;=$A2268,$G2268&lt;=$A2268,$A2268-$F2268&lt;=10,$A2268-$G2268&lt;=5),$D2268*$E2268/$C2268-1,NA()),NA())</ns0:f>
        <ns0:v/>
      </ns0:c>
      <ns0:c r="C2268">
        <ns0:f>IFERROR(IF(ISNUMBER($A2268),IF(AND(AH!$P$10=1,AH!$P$12=1,$A2268=TODAY()),AH!$P$19,IF(AH!$P$10=1,INDEX('Live History'!$B$5:$B$3004,AH!$P$13+2263),INDEX('AH History'!$B$1:$B$18046,AH!$P$7+2263))),NA()),NA())</ns0:f>
        <ns0:v/>
      </ns0:c>
      <ns0:c r="D2268">
        <ns0:f>IFERROR(IF(ISNUMBER($A2268),IF(AND(AH!$P$10=1,AH!$P$12=1,$A2268=TODAY()),AH!$P$18,IF(AH!$P$10=1,INDEX('Live History'!$E$5:$E$3004,MATCH($A2268,'Live History'!$D$5:$D$3004,1)),INDEX('AH History'!$C$1:$C$18046,AH!$P$7+2263))),NA()),NA())</ns0:f>
        <ns0:v/>
      </ns0:c>
      <ns0:c r="E2268">
        <ns0:f>IFERROR(IF(ISNUMBER($A2268),IF(AND(AH!$P$10=1,AH!$P$12=1,$A2268=TODAY()),AH!$P$20,IF(AH!$P$10=1,INDEX('Live History'!$H$5:$H$3004,MATCH($A2268,'Live History'!$G$5:$G$3004,1)),INDEX('AH History'!$D$1:$D$18046,AH!$P$7+2263))),NA()),NA())</ns0:f>
        <ns0:v/>
      </ns0:c>
      <ns0:c r="F2268">
        <ns0:f>IFERROR(IF(ISNUMBER($A2268),IF(AND(AH!$P$10=1,AH!$P$12=1,$A2268=TODAY()),IF(AND(AH!$P$10=1,AH!$P$12=1,$A2268=TODAY()),TODAY(),NA()),IF(AH!$P$10=1,INDEX('Live History'!$D$5:$D$3004,MATCH($A2268,'Live History'!$D$5:$D$3004,1)),INDEX('AH History'!$E$1:$E$18046,AH!$P$7+2263))),NA()),NA())</ns0:f>
        <ns0:v/>
      </ns0:c>
      <ns0:c r="G2268">
        <ns0:f>IFERROR(IF(ISNUMBER($A2268),IF(AND(AH!$P$10=1,AH!$P$12=1,$A2268=TODAY()),IF(AND(AH!$P$10=1,AH!$P$12=1,$A2268=TODAY()),TODAY(),NA()),IF(AH!$P$10=1,INDEX('Live History'!$G$5:$G$3004,MATCH($A2268,'Live History'!$G$5:$G$3004,1)),INDEX('AH History'!$F$1:$F$18046,AH!$P$7+2263))),NA()),NA())</ns0:f>
        <ns0:v/>
      </ns0:c>
      <ns0:c r="H2268">
        <ns0:f>IFERROR(IF(AND(AH!$E$4="Bloomberg",AH!$P$10=1,ISNUMBER($A2268),$A2268&lt;=AH!$P$17),AH!$P$7-1+MATCH($A2268,INDEX('AH History'!$A$1:$A$18046,AH!$P$7):INDEX('AH History'!$A$1:$A$18046,AH!$P$7+AH!$P$8-1),0),0),0)</ns0:f>
        <ns0:v/>
      </ns0:c>
      <ns0:c r="I2268">
        <ns0:f>IF($H2268=0,0,IFERROR(IF(AND(ABS($C2268-INDEX('AH History'!$B$1:$B$18046,$H2268))&lt;=MAX(0.005,ABS(INDEX('AH History'!$B$1:$B$18046,$H2268))*0.00005),ABS($D2268-INDEX('AH History'!$C$1:$C$18046,$H2268))&lt;=MAX(0.005,ABS(INDEX('AH History'!$C$1:$C$18046,$H2268))*0.00005),ABS($E2268-INDEX('AH History'!$D$1:$D$18046,$H2268))&lt;=0.00005,$F2268=INDEX('AH History'!$E$1:$E$18046,$H2268),$G2268=INDEX('AH History'!$F$1:$F$18046,$H2268)),1,-1),-1))</ns0:f>
        <ns0:v/>
      </ns0:c>
    </ns0:row>
    <ns0:row r="2269">
      <ns0:c r="A2269" s="215">
        <ns0:f>IF(OR(AH!$P$3=0,2264+1&gt;AH!$P$11,AND(AH!$E$4&lt;&gt;"Stored",AH!$P$10&lt;&gt;1)),"",IFERROR(IF(AND(AH!$P$21=1,2264+1=AH!$P$11),TODAY(),IF(AH!$P$10=1,INDEX('Live History'!$A$5:$A$3004,AH!$P$13+2264),INDEX('AH History'!$A$1:$A$18046,AH!$P$7+2264))),""))</ns0:f>
        <ns0:v/>
      </ns0:c>
      <ns0:c r="B2269" s="219">
        <ns0:f>IFERROR(IF(AND(AH!$P$9&lt;&gt;1,$C2269&gt;0,$D2269&gt;0,$E2269&gt;0,$F2269&gt;0,$G2269&gt;0,$F2269&lt;=$A2269,$G2269&lt;=$A2269,$A2269-$F2269&lt;=10,$A2269-$G2269&lt;=5),$D2269*$E2269/$C2269-1,NA()),NA())</ns0:f>
        <ns0:v/>
      </ns0:c>
      <ns0:c r="C2269">
        <ns0:f>IFERROR(IF(ISNUMBER($A2269),IF(AND(AH!$P$10=1,AH!$P$12=1,$A2269=TODAY()),AH!$P$19,IF(AH!$P$10=1,INDEX('Live History'!$B$5:$B$3004,AH!$P$13+2264),INDEX('AH History'!$B$1:$B$18046,AH!$P$7+2264))),NA()),NA())</ns0:f>
        <ns0:v/>
      </ns0:c>
      <ns0:c r="D2269">
        <ns0:f>IFERROR(IF(ISNUMBER($A2269),IF(AND(AH!$P$10=1,AH!$P$12=1,$A2269=TODAY()),AH!$P$18,IF(AH!$P$10=1,INDEX('Live History'!$E$5:$E$3004,MATCH($A2269,'Live History'!$D$5:$D$3004,1)),INDEX('AH History'!$C$1:$C$18046,AH!$P$7+2264))),NA()),NA())</ns0:f>
        <ns0:v/>
      </ns0:c>
      <ns0:c r="E2269">
        <ns0:f>IFERROR(IF(ISNUMBER($A2269),IF(AND(AH!$P$10=1,AH!$P$12=1,$A2269=TODAY()),AH!$P$20,IF(AH!$P$10=1,INDEX('Live History'!$H$5:$H$3004,MATCH($A2269,'Live History'!$G$5:$G$3004,1)),INDEX('AH History'!$D$1:$D$18046,AH!$P$7+2264))),NA()),NA())</ns0:f>
        <ns0:v/>
      </ns0:c>
      <ns0:c r="F2269">
        <ns0:f>IFERROR(IF(ISNUMBER($A2269),IF(AND(AH!$P$10=1,AH!$P$12=1,$A2269=TODAY()),IF(AND(AH!$P$10=1,AH!$P$12=1,$A2269=TODAY()),TODAY(),NA()),IF(AH!$P$10=1,INDEX('Live History'!$D$5:$D$3004,MATCH($A2269,'Live History'!$D$5:$D$3004,1)),INDEX('AH History'!$E$1:$E$18046,AH!$P$7+2264))),NA()),NA())</ns0:f>
        <ns0:v/>
      </ns0:c>
      <ns0:c r="G2269">
        <ns0:f>IFERROR(IF(ISNUMBER($A2269),IF(AND(AH!$P$10=1,AH!$P$12=1,$A2269=TODAY()),IF(AND(AH!$P$10=1,AH!$P$12=1,$A2269=TODAY()),TODAY(),NA()),IF(AH!$P$10=1,INDEX('Live History'!$G$5:$G$3004,MATCH($A2269,'Live History'!$G$5:$G$3004,1)),INDEX('AH History'!$F$1:$F$18046,AH!$P$7+2264))),NA()),NA())</ns0:f>
        <ns0:v/>
      </ns0:c>
      <ns0:c r="H2269">
        <ns0:f>IFERROR(IF(AND(AH!$E$4="Bloomberg",AH!$P$10=1,ISNUMBER($A2269),$A2269&lt;=AH!$P$17),AH!$P$7-1+MATCH($A2269,INDEX('AH History'!$A$1:$A$18046,AH!$P$7):INDEX('AH History'!$A$1:$A$18046,AH!$P$7+AH!$P$8-1),0),0),0)</ns0:f>
        <ns0:v/>
      </ns0:c>
      <ns0:c r="I2269">
        <ns0:f>IF($H2269=0,0,IFERROR(IF(AND(ABS($C2269-INDEX('AH History'!$B$1:$B$18046,$H2269))&lt;=MAX(0.005,ABS(INDEX('AH History'!$B$1:$B$18046,$H2269))*0.00005),ABS($D2269-INDEX('AH History'!$C$1:$C$18046,$H2269))&lt;=MAX(0.005,ABS(INDEX('AH History'!$C$1:$C$18046,$H2269))*0.00005),ABS($E2269-INDEX('AH History'!$D$1:$D$18046,$H2269))&lt;=0.00005,$F2269=INDEX('AH History'!$E$1:$E$18046,$H2269),$G2269=INDEX('AH History'!$F$1:$F$18046,$H2269)),1,-1),-1))</ns0:f>
        <ns0:v/>
      </ns0:c>
    </ns0:row>
    <ns0:row r="2270">
      <ns0:c r="A2270" s="215">
        <ns0:f>IF(OR(AH!$P$3=0,2265+1&gt;AH!$P$11,AND(AH!$E$4&lt;&gt;"Stored",AH!$P$10&lt;&gt;1)),"",IFERROR(IF(AND(AH!$P$21=1,2265+1=AH!$P$11),TODAY(),IF(AH!$P$10=1,INDEX('Live History'!$A$5:$A$3004,AH!$P$13+2265),INDEX('AH History'!$A$1:$A$18046,AH!$P$7+2265))),""))</ns0:f>
        <ns0:v/>
      </ns0:c>
      <ns0:c r="B2270" s="219">
        <ns0:f>IFERROR(IF(AND(AH!$P$9&lt;&gt;1,$C2270&gt;0,$D2270&gt;0,$E2270&gt;0,$F2270&gt;0,$G2270&gt;0,$F2270&lt;=$A2270,$G2270&lt;=$A2270,$A2270-$F2270&lt;=10,$A2270-$G2270&lt;=5),$D2270*$E2270/$C2270-1,NA()),NA())</ns0:f>
        <ns0:v/>
      </ns0:c>
      <ns0:c r="C2270">
        <ns0:f>IFERROR(IF(ISNUMBER($A2270),IF(AND(AH!$P$10=1,AH!$P$12=1,$A2270=TODAY()),AH!$P$19,IF(AH!$P$10=1,INDEX('Live History'!$B$5:$B$3004,AH!$P$13+2265),INDEX('AH History'!$B$1:$B$18046,AH!$P$7+2265))),NA()),NA())</ns0:f>
        <ns0:v/>
      </ns0:c>
      <ns0:c r="D2270">
        <ns0:f>IFERROR(IF(ISNUMBER($A2270),IF(AND(AH!$P$10=1,AH!$P$12=1,$A2270=TODAY()),AH!$P$18,IF(AH!$P$10=1,INDEX('Live History'!$E$5:$E$3004,MATCH($A2270,'Live History'!$D$5:$D$3004,1)),INDEX('AH History'!$C$1:$C$18046,AH!$P$7+2265))),NA()),NA())</ns0:f>
        <ns0:v/>
      </ns0:c>
      <ns0:c r="E2270">
        <ns0:f>IFERROR(IF(ISNUMBER($A2270),IF(AND(AH!$P$10=1,AH!$P$12=1,$A2270=TODAY()),AH!$P$20,IF(AH!$P$10=1,INDEX('Live History'!$H$5:$H$3004,MATCH($A2270,'Live History'!$G$5:$G$3004,1)),INDEX('AH History'!$D$1:$D$18046,AH!$P$7+2265))),NA()),NA())</ns0:f>
        <ns0:v/>
      </ns0:c>
      <ns0:c r="F2270">
        <ns0:f>IFERROR(IF(ISNUMBER($A2270),IF(AND(AH!$P$10=1,AH!$P$12=1,$A2270=TODAY()),IF(AND(AH!$P$10=1,AH!$P$12=1,$A2270=TODAY()),TODAY(),NA()),IF(AH!$P$10=1,INDEX('Live History'!$D$5:$D$3004,MATCH($A2270,'Live History'!$D$5:$D$3004,1)),INDEX('AH History'!$E$1:$E$18046,AH!$P$7+2265))),NA()),NA())</ns0:f>
        <ns0:v/>
      </ns0:c>
      <ns0:c r="G2270">
        <ns0:f>IFERROR(IF(ISNUMBER($A2270),IF(AND(AH!$P$10=1,AH!$P$12=1,$A2270=TODAY()),IF(AND(AH!$P$10=1,AH!$P$12=1,$A2270=TODAY()),TODAY(),NA()),IF(AH!$P$10=1,INDEX('Live History'!$G$5:$G$3004,MATCH($A2270,'Live History'!$G$5:$G$3004,1)),INDEX('AH History'!$F$1:$F$18046,AH!$P$7+2265))),NA()),NA())</ns0:f>
        <ns0:v/>
      </ns0:c>
      <ns0:c r="H2270">
        <ns0:f>IFERROR(IF(AND(AH!$E$4="Bloomberg",AH!$P$10=1,ISNUMBER($A2270),$A2270&lt;=AH!$P$17),AH!$P$7-1+MATCH($A2270,INDEX('AH History'!$A$1:$A$18046,AH!$P$7):INDEX('AH History'!$A$1:$A$18046,AH!$P$7+AH!$P$8-1),0),0),0)</ns0:f>
        <ns0:v/>
      </ns0:c>
      <ns0:c r="I2270">
        <ns0:f>IF($H2270=0,0,IFERROR(IF(AND(ABS($C2270-INDEX('AH History'!$B$1:$B$18046,$H2270))&lt;=MAX(0.005,ABS(INDEX('AH History'!$B$1:$B$18046,$H2270))*0.00005),ABS($D2270-INDEX('AH History'!$C$1:$C$18046,$H2270))&lt;=MAX(0.005,ABS(INDEX('AH History'!$C$1:$C$18046,$H2270))*0.00005),ABS($E2270-INDEX('AH History'!$D$1:$D$18046,$H2270))&lt;=0.00005,$F2270=INDEX('AH History'!$E$1:$E$18046,$H2270),$G2270=INDEX('AH History'!$F$1:$F$18046,$H2270)),1,-1),-1))</ns0:f>
        <ns0:v/>
      </ns0:c>
    </ns0:row>
    <ns0:row r="2271">
      <ns0:c r="A2271" s="215">
        <ns0:f>IF(OR(AH!$P$3=0,2266+1&gt;AH!$P$11,AND(AH!$E$4&lt;&gt;"Stored",AH!$P$10&lt;&gt;1)),"",IFERROR(IF(AND(AH!$P$21=1,2266+1=AH!$P$11),TODAY(),IF(AH!$P$10=1,INDEX('Live History'!$A$5:$A$3004,AH!$P$13+2266),INDEX('AH History'!$A$1:$A$18046,AH!$P$7+2266))),""))</ns0:f>
        <ns0:v/>
      </ns0:c>
      <ns0:c r="B2271" s="219">
        <ns0:f>IFERROR(IF(AND(AH!$P$9&lt;&gt;1,$C2271&gt;0,$D2271&gt;0,$E2271&gt;0,$F2271&gt;0,$G2271&gt;0,$F2271&lt;=$A2271,$G2271&lt;=$A2271,$A2271-$F2271&lt;=10,$A2271-$G2271&lt;=5),$D2271*$E2271/$C2271-1,NA()),NA())</ns0:f>
        <ns0:v/>
      </ns0:c>
      <ns0:c r="C2271">
        <ns0:f>IFERROR(IF(ISNUMBER($A2271),IF(AND(AH!$P$10=1,AH!$P$12=1,$A2271=TODAY()),AH!$P$19,IF(AH!$P$10=1,INDEX('Live History'!$B$5:$B$3004,AH!$P$13+2266),INDEX('AH History'!$B$1:$B$18046,AH!$P$7+2266))),NA()),NA())</ns0:f>
        <ns0:v/>
      </ns0:c>
      <ns0:c r="D2271">
        <ns0:f>IFERROR(IF(ISNUMBER($A2271),IF(AND(AH!$P$10=1,AH!$P$12=1,$A2271=TODAY()),AH!$P$18,IF(AH!$P$10=1,INDEX('Live History'!$E$5:$E$3004,MATCH($A2271,'Live History'!$D$5:$D$3004,1)),INDEX('AH History'!$C$1:$C$18046,AH!$P$7+2266))),NA()),NA())</ns0:f>
        <ns0:v/>
      </ns0:c>
      <ns0:c r="E2271">
        <ns0:f>IFERROR(IF(ISNUMBER($A2271),IF(AND(AH!$P$10=1,AH!$P$12=1,$A2271=TODAY()),AH!$P$20,IF(AH!$P$10=1,INDEX('Live History'!$H$5:$H$3004,MATCH($A2271,'Live History'!$G$5:$G$3004,1)),INDEX('AH History'!$D$1:$D$18046,AH!$P$7+2266))),NA()),NA())</ns0:f>
        <ns0:v/>
      </ns0:c>
      <ns0:c r="F2271">
        <ns0:f>IFERROR(IF(ISNUMBER($A2271),IF(AND(AH!$P$10=1,AH!$P$12=1,$A2271=TODAY()),IF(AND(AH!$P$10=1,AH!$P$12=1,$A2271=TODAY()),TODAY(),NA()),IF(AH!$P$10=1,INDEX('Live History'!$D$5:$D$3004,MATCH($A2271,'Live History'!$D$5:$D$3004,1)),INDEX('AH History'!$E$1:$E$18046,AH!$P$7+2266))),NA()),NA())</ns0:f>
        <ns0:v/>
      </ns0:c>
      <ns0:c r="G2271">
        <ns0:f>IFERROR(IF(ISNUMBER($A2271),IF(AND(AH!$P$10=1,AH!$P$12=1,$A2271=TODAY()),IF(AND(AH!$P$10=1,AH!$P$12=1,$A2271=TODAY()),TODAY(),NA()),IF(AH!$P$10=1,INDEX('Live History'!$G$5:$G$3004,MATCH($A2271,'Live History'!$G$5:$G$3004,1)),INDEX('AH History'!$F$1:$F$18046,AH!$P$7+2266))),NA()),NA())</ns0:f>
        <ns0:v/>
      </ns0:c>
      <ns0:c r="H2271">
        <ns0:f>IFERROR(IF(AND(AH!$E$4="Bloomberg",AH!$P$10=1,ISNUMBER($A2271),$A2271&lt;=AH!$P$17),AH!$P$7-1+MATCH($A2271,INDEX('AH History'!$A$1:$A$18046,AH!$P$7):INDEX('AH History'!$A$1:$A$18046,AH!$P$7+AH!$P$8-1),0),0),0)</ns0:f>
        <ns0:v/>
      </ns0:c>
      <ns0:c r="I2271">
        <ns0:f>IF($H2271=0,0,IFERROR(IF(AND(ABS($C2271-INDEX('AH History'!$B$1:$B$18046,$H2271))&lt;=MAX(0.005,ABS(INDEX('AH History'!$B$1:$B$18046,$H2271))*0.00005),ABS($D2271-INDEX('AH History'!$C$1:$C$18046,$H2271))&lt;=MAX(0.005,ABS(INDEX('AH History'!$C$1:$C$18046,$H2271))*0.00005),ABS($E2271-INDEX('AH History'!$D$1:$D$18046,$H2271))&lt;=0.00005,$F2271=INDEX('AH History'!$E$1:$E$18046,$H2271),$G2271=INDEX('AH History'!$F$1:$F$18046,$H2271)),1,-1),-1))</ns0:f>
        <ns0:v/>
      </ns0:c>
    </ns0:row>
    <ns0:row r="2272">
      <ns0:c r="A2272" s="215">
        <ns0:f>IF(OR(AH!$P$3=0,2267+1&gt;AH!$P$11,AND(AH!$E$4&lt;&gt;"Stored",AH!$P$10&lt;&gt;1)),"",IFERROR(IF(AND(AH!$P$21=1,2267+1=AH!$P$11),TODAY(),IF(AH!$P$10=1,INDEX('Live History'!$A$5:$A$3004,AH!$P$13+2267),INDEX('AH History'!$A$1:$A$18046,AH!$P$7+2267))),""))</ns0:f>
        <ns0:v/>
      </ns0:c>
      <ns0:c r="B2272" s="219">
        <ns0:f>IFERROR(IF(AND(AH!$P$9&lt;&gt;1,$C2272&gt;0,$D2272&gt;0,$E2272&gt;0,$F2272&gt;0,$G2272&gt;0,$F2272&lt;=$A2272,$G2272&lt;=$A2272,$A2272-$F2272&lt;=10,$A2272-$G2272&lt;=5),$D2272*$E2272/$C2272-1,NA()),NA())</ns0:f>
        <ns0:v/>
      </ns0:c>
      <ns0:c r="C2272">
        <ns0:f>IFERROR(IF(ISNUMBER($A2272),IF(AND(AH!$P$10=1,AH!$P$12=1,$A2272=TODAY()),AH!$P$19,IF(AH!$P$10=1,INDEX('Live History'!$B$5:$B$3004,AH!$P$13+2267),INDEX('AH History'!$B$1:$B$18046,AH!$P$7+2267))),NA()),NA())</ns0:f>
        <ns0:v/>
      </ns0:c>
      <ns0:c r="D2272">
        <ns0:f>IFERROR(IF(ISNUMBER($A2272),IF(AND(AH!$P$10=1,AH!$P$12=1,$A2272=TODAY()),AH!$P$18,IF(AH!$P$10=1,INDEX('Live History'!$E$5:$E$3004,MATCH($A2272,'Live History'!$D$5:$D$3004,1)),INDEX('AH History'!$C$1:$C$18046,AH!$P$7+2267))),NA()),NA())</ns0:f>
        <ns0:v/>
      </ns0:c>
      <ns0:c r="E2272">
        <ns0:f>IFERROR(IF(ISNUMBER($A2272),IF(AND(AH!$P$10=1,AH!$P$12=1,$A2272=TODAY()),AH!$P$20,IF(AH!$P$10=1,INDEX('Live History'!$H$5:$H$3004,MATCH($A2272,'Live History'!$G$5:$G$3004,1)),INDEX('AH History'!$D$1:$D$18046,AH!$P$7+2267))),NA()),NA())</ns0:f>
        <ns0:v/>
      </ns0:c>
      <ns0:c r="F2272">
        <ns0:f>IFERROR(IF(ISNUMBER($A2272),IF(AND(AH!$P$10=1,AH!$P$12=1,$A2272=TODAY()),IF(AND(AH!$P$10=1,AH!$P$12=1,$A2272=TODAY()),TODAY(),NA()),IF(AH!$P$10=1,INDEX('Live History'!$D$5:$D$3004,MATCH($A2272,'Live History'!$D$5:$D$3004,1)),INDEX('AH History'!$E$1:$E$18046,AH!$P$7+2267))),NA()),NA())</ns0:f>
        <ns0:v/>
      </ns0:c>
      <ns0:c r="G2272">
        <ns0:f>IFERROR(IF(ISNUMBER($A2272),IF(AND(AH!$P$10=1,AH!$P$12=1,$A2272=TODAY()),IF(AND(AH!$P$10=1,AH!$P$12=1,$A2272=TODAY()),TODAY(),NA()),IF(AH!$P$10=1,INDEX('Live History'!$G$5:$G$3004,MATCH($A2272,'Live History'!$G$5:$G$3004,1)),INDEX('AH History'!$F$1:$F$18046,AH!$P$7+2267))),NA()),NA())</ns0:f>
        <ns0:v/>
      </ns0:c>
      <ns0:c r="H2272">
        <ns0:f>IFERROR(IF(AND(AH!$E$4="Bloomberg",AH!$P$10=1,ISNUMBER($A2272),$A2272&lt;=AH!$P$17),AH!$P$7-1+MATCH($A2272,INDEX('AH History'!$A$1:$A$18046,AH!$P$7):INDEX('AH History'!$A$1:$A$18046,AH!$P$7+AH!$P$8-1),0),0),0)</ns0:f>
        <ns0:v/>
      </ns0:c>
      <ns0:c r="I2272">
        <ns0:f>IF($H2272=0,0,IFERROR(IF(AND(ABS($C2272-INDEX('AH History'!$B$1:$B$18046,$H2272))&lt;=MAX(0.005,ABS(INDEX('AH History'!$B$1:$B$18046,$H2272))*0.00005),ABS($D2272-INDEX('AH History'!$C$1:$C$18046,$H2272))&lt;=MAX(0.005,ABS(INDEX('AH History'!$C$1:$C$18046,$H2272))*0.00005),ABS($E2272-INDEX('AH History'!$D$1:$D$18046,$H2272))&lt;=0.00005,$F2272=INDEX('AH History'!$E$1:$E$18046,$H2272),$G2272=INDEX('AH History'!$F$1:$F$18046,$H2272)),1,-1),-1))</ns0:f>
        <ns0:v/>
      </ns0:c>
    </ns0:row>
    <ns0:row r="2273">
      <ns0:c r="A2273" s="215">
        <ns0:f>IF(OR(AH!$P$3=0,2268+1&gt;AH!$P$11,AND(AH!$E$4&lt;&gt;"Stored",AH!$P$10&lt;&gt;1)),"",IFERROR(IF(AND(AH!$P$21=1,2268+1=AH!$P$11),TODAY(),IF(AH!$P$10=1,INDEX('Live History'!$A$5:$A$3004,AH!$P$13+2268),INDEX('AH History'!$A$1:$A$18046,AH!$P$7+2268))),""))</ns0:f>
        <ns0:v/>
      </ns0:c>
      <ns0:c r="B2273" s="219">
        <ns0:f>IFERROR(IF(AND(AH!$P$9&lt;&gt;1,$C2273&gt;0,$D2273&gt;0,$E2273&gt;0,$F2273&gt;0,$G2273&gt;0,$F2273&lt;=$A2273,$G2273&lt;=$A2273,$A2273-$F2273&lt;=10,$A2273-$G2273&lt;=5),$D2273*$E2273/$C2273-1,NA()),NA())</ns0:f>
        <ns0:v/>
      </ns0:c>
      <ns0:c r="C2273">
        <ns0:f>IFERROR(IF(ISNUMBER($A2273),IF(AND(AH!$P$10=1,AH!$P$12=1,$A2273=TODAY()),AH!$P$19,IF(AH!$P$10=1,INDEX('Live History'!$B$5:$B$3004,AH!$P$13+2268),INDEX('AH History'!$B$1:$B$18046,AH!$P$7+2268))),NA()),NA())</ns0:f>
        <ns0:v/>
      </ns0:c>
      <ns0:c r="D2273">
        <ns0:f>IFERROR(IF(ISNUMBER($A2273),IF(AND(AH!$P$10=1,AH!$P$12=1,$A2273=TODAY()),AH!$P$18,IF(AH!$P$10=1,INDEX('Live History'!$E$5:$E$3004,MATCH($A2273,'Live History'!$D$5:$D$3004,1)),INDEX('AH History'!$C$1:$C$18046,AH!$P$7+2268))),NA()),NA())</ns0:f>
        <ns0:v/>
      </ns0:c>
      <ns0:c r="E2273">
        <ns0:f>IFERROR(IF(ISNUMBER($A2273),IF(AND(AH!$P$10=1,AH!$P$12=1,$A2273=TODAY()),AH!$P$20,IF(AH!$P$10=1,INDEX('Live History'!$H$5:$H$3004,MATCH($A2273,'Live History'!$G$5:$G$3004,1)),INDEX('AH History'!$D$1:$D$18046,AH!$P$7+2268))),NA()),NA())</ns0:f>
        <ns0:v/>
      </ns0:c>
      <ns0:c r="F2273">
        <ns0:f>IFERROR(IF(ISNUMBER($A2273),IF(AND(AH!$P$10=1,AH!$P$12=1,$A2273=TODAY()),IF(AND(AH!$P$10=1,AH!$P$12=1,$A2273=TODAY()),TODAY(),NA()),IF(AH!$P$10=1,INDEX('Live History'!$D$5:$D$3004,MATCH($A2273,'Live History'!$D$5:$D$3004,1)),INDEX('AH History'!$E$1:$E$18046,AH!$P$7+2268))),NA()),NA())</ns0:f>
        <ns0:v/>
      </ns0:c>
      <ns0:c r="G2273">
        <ns0:f>IFERROR(IF(ISNUMBER($A2273),IF(AND(AH!$P$10=1,AH!$P$12=1,$A2273=TODAY()),IF(AND(AH!$P$10=1,AH!$P$12=1,$A2273=TODAY()),TODAY(),NA()),IF(AH!$P$10=1,INDEX('Live History'!$G$5:$G$3004,MATCH($A2273,'Live History'!$G$5:$G$3004,1)),INDEX('AH History'!$F$1:$F$18046,AH!$P$7+2268))),NA()),NA())</ns0:f>
        <ns0:v/>
      </ns0:c>
      <ns0:c r="H2273">
        <ns0:f>IFERROR(IF(AND(AH!$E$4="Bloomberg",AH!$P$10=1,ISNUMBER($A2273),$A2273&lt;=AH!$P$17),AH!$P$7-1+MATCH($A2273,INDEX('AH History'!$A$1:$A$18046,AH!$P$7):INDEX('AH History'!$A$1:$A$18046,AH!$P$7+AH!$P$8-1),0),0),0)</ns0:f>
        <ns0:v/>
      </ns0:c>
      <ns0:c r="I2273">
        <ns0:f>IF($H2273=0,0,IFERROR(IF(AND(ABS($C2273-INDEX('AH History'!$B$1:$B$18046,$H2273))&lt;=MAX(0.005,ABS(INDEX('AH History'!$B$1:$B$18046,$H2273))*0.00005),ABS($D2273-INDEX('AH History'!$C$1:$C$18046,$H2273))&lt;=MAX(0.005,ABS(INDEX('AH History'!$C$1:$C$18046,$H2273))*0.00005),ABS($E2273-INDEX('AH History'!$D$1:$D$18046,$H2273))&lt;=0.00005,$F2273=INDEX('AH History'!$E$1:$E$18046,$H2273),$G2273=INDEX('AH History'!$F$1:$F$18046,$H2273)),1,-1),-1))</ns0:f>
        <ns0:v/>
      </ns0:c>
    </ns0:row>
    <ns0:row r="2274">
      <ns0:c r="A2274" s="215">
        <ns0:f>IF(OR(AH!$P$3=0,2269+1&gt;AH!$P$11,AND(AH!$E$4&lt;&gt;"Stored",AH!$P$10&lt;&gt;1)),"",IFERROR(IF(AND(AH!$P$21=1,2269+1=AH!$P$11),TODAY(),IF(AH!$P$10=1,INDEX('Live History'!$A$5:$A$3004,AH!$P$13+2269),INDEX('AH History'!$A$1:$A$18046,AH!$P$7+2269))),""))</ns0:f>
        <ns0:v/>
      </ns0:c>
      <ns0:c r="B2274" s="219">
        <ns0:f>IFERROR(IF(AND(AH!$P$9&lt;&gt;1,$C2274&gt;0,$D2274&gt;0,$E2274&gt;0,$F2274&gt;0,$G2274&gt;0,$F2274&lt;=$A2274,$G2274&lt;=$A2274,$A2274-$F2274&lt;=10,$A2274-$G2274&lt;=5),$D2274*$E2274/$C2274-1,NA()),NA())</ns0:f>
        <ns0:v/>
      </ns0:c>
      <ns0:c r="C2274">
        <ns0:f>IFERROR(IF(ISNUMBER($A2274),IF(AND(AH!$P$10=1,AH!$P$12=1,$A2274=TODAY()),AH!$P$19,IF(AH!$P$10=1,INDEX('Live History'!$B$5:$B$3004,AH!$P$13+2269),INDEX('AH History'!$B$1:$B$18046,AH!$P$7+2269))),NA()),NA())</ns0:f>
        <ns0:v/>
      </ns0:c>
      <ns0:c r="D2274">
        <ns0:f>IFERROR(IF(ISNUMBER($A2274),IF(AND(AH!$P$10=1,AH!$P$12=1,$A2274=TODAY()),AH!$P$18,IF(AH!$P$10=1,INDEX('Live History'!$E$5:$E$3004,MATCH($A2274,'Live History'!$D$5:$D$3004,1)),INDEX('AH History'!$C$1:$C$18046,AH!$P$7+2269))),NA()),NA())</ns0:f>
        <ns0:v/>
      </ns0:c>
      <ns0:c r="E2274">
        <ns0:f>IFERROR(IF(ISNUMBER($A2274),IF(AND(AH!$P$10=1,AH!$P$12=1,$A2274=TODAY()),AH!$P$20,IF(AH!$P$10=1,INDEX('Live History'!$H$5:$H$3004,MATCH($A2274,'Live History'!$G$5:$G$3004,1)),INDEX('AH History'!$D$1:$D$18046,AH!$P$7+2269))),NA()),NA())</ns0:f>
        <ns0:v/>
      </ns0:c>
      <ns0:c r="F2274">
        <ns0:f>IFERROR(IF(ISNUMBER($A2274),IF(AND(AH!$P$10=1,AH!$P$12=1,$A2274=TODAY()),IF(AND(AH!$P$10=1,AH!$P$12=1,$A2274=TODAY()),TODAY(),NA()),IF(AH!$P$10=1,INDEX('Live History'!$D$5:$D$3004,MATCH($A2274,'Live History'!$D$5:$D$3004,1)),INDEX('AH History'!$E$1:$E$18046,AH!$P$7+2269))),NA()),NA())</ns0:f>
        <ns0:v/>
      </ns0:c>
      <ns0:c r="G2274">
        <ns0:f>IFERROR(IF(ISNUMBER($A2274),IF(AND(AH!$P$10=1,AH!$P$12=1,$A2274=TODAY()),IF(AND(AH!$P$10=1,AH!$P$12=1,$A2274=TODAY()),TODAY(),NA()),IF(AH!$P$10=1,INDEX('Live History'!$G$5:$G$3004,MATCH($A2274,'Live History'!$G$5:$G$3004,1)),INDEX('AH History'!$F$1:$F$18046,AH!$P$7+2269))),NA()),NA())</ns0:f>
        <ns0:v/>
      </ns0:c>
      <ns0:c r="H2274">
        <ns0:f>IFERROR(IF(AND(AH!$E$4="Bloomberg",AH!$P$10=1,ISNUMBER($A2274),$A2274&lt;=AH!$P$17),AH!$P$7-1+MATCH($A2274,INDEX('AH History'!$A$1:$A$18046,AH!$P$7):INDEX('AH History'!$A$1:$A$18046,AH!$P$7+AH!$P$8-1),0),0),0)</ns0:f>
        <ns0:v/>
      </ns0:c>
      <ns0:c r="I2274">
        <ns0:f>IF($H2274=0,0,IFERROR(IF(AND(ABS($C2274-INDEX('AH History'!$B$1:$B$18046,$H2274))&lt;=MAX(0.005,ABS(INDEX('AH History'!$B$1:$B$18046,$H2274))*0.00005),ABS($D2274-INDEX('AH History'!$C$1:$C$18046,$H2274))&lt;=MAX(0.005,ABS(INDEX('AH History'!$C$1:$C$18046,$H2274))*0.00005),ABS($E2274-INDEX('AH History'!$D$1:$D$18046,$H2274))&lt;=0.00005,$F2274=INDEX('AH History'!$E$1:$E$18046,$H2274),$G2274=INDEX('AH History'!$F$1:$F$18046,$H2274)),1,-1),-1))</ns0:f>
        <ns0:v/>
      </ns0:c>
    </ns0:row>
    <ns0:row r="2275">
      <ns0:c r="A2275" s="215">
        <ns0:f>IF(OR(AH!$P$3=0,2270+1&gt;AH!$P$11,AND(AH!$E$4&lt;&gt;"Stored",AH!$P$10&lt;&gt;1)),"",IFERROR(IF(AND(AH!$P$21=1,2270+1=AH!$P$11),TODAY(),IF(AH!$P$10=1,INDEX('Live History'!$A$5:$A$3004,AH!$P$13+2270),INDEX('AH History'!$A$1:$A$18046,AH!$P$7+2270))),""))</ns0:f>
        <ns0:v/>
      </ns0:c>
      <ns0:c r="B2275" s="219">
        <ns0:f>IFERROR(IF(AND(AH!$P$9&lt;&gt;1,$C2275&gt;0,$D2275&gt;0,$E2275&gt;0,$F2275&gt;0,$G2275&gt;0,$F2275&lt;=$A2275,$G2275&lt;=$A2275,$A2275-$F2275&lt;=10,$A2275-$G2275&lt;=5),$D2275*$E2275/$C2275-1,NA()),NA())</ns0:f>
        <ns0:v/>
      </ns0:c>
      <ns0:c r="C2275">
        <ns0:f>IFERROR(IF(ISNUMBER($A2275),IF(AND(AH!$P$10=1,AH!$P$12=1,$A2275=TODAY()),AH!$P$19,IF(AH!$P$10=1,INDEX('Live History'!$B$5:$B$3004,AH!$P$13+2270),INDEX('AH History'!$B$1:$B$18046,AH!$P$7+2270))),NA()),NA())</ns0:f>
        <ns0:v/>
      </ns0:c>
      <ns0:c r="D2275">
        <ns0:f>IFERROR(IF(ISNUMBER($A2275),IF(AND(AH!$P$10=1,AH!$P$12=1,$A2275=TODAY()),AH!$P$18,IF(AH!$P$10=1,INDEX('Live History'!$E$5:$E$3004,MATCH($A2275,'Live History'!$D$5:$D$3004,1)),INDEX('AH History'!$C$1:$C$18046,AH!$P$7+2270))),NA()),NA())</ns0:f>
        <ns0:v/>
      </ns0:c>
      <ns0:c r="E2275">
        <ns0:f>IFERROR(IF(ISNUMBER($A2275),IF(AND(AH!$P$10=1,AH!$P$12=1,$A2275=TODAY()),AH!$P$20,IF(AH!$P$10=1,INDEX('Live History'!$H$5:$H$3004,MATCH($A2275,'Live History'!$G$5:$G$3004,1)),INDEX('AH History'!$D$1:$D$18046,AH!$P$7+2270))),NA()),NA())</ns0:f>
        <ns0:v/>
      </ns0:c>
      <ns0:c r="F2275">
        <ns0:f>IFERROR(IF(ISNUMBER($A2275),IF(AND(AH!$P$10=1,AH!$P$12=1,$A2275=TODAY()),IF(AND(AH!$P$10=1,AH!$P$12=1,$A2275=TODAY()),TODAY(),NA()),IF(AH!$P$10=1,INDEX('Live History'!$D$5:$D$3004,MATCH($A2275,'Live History'!$D$5:$D$3004,1)),INDEX('AH History'!$E$1:$E$18046,AH!$P$7+2270))),NA()),NA())</ns0:f>
        <ns0:v/>
      </ns0:c>
      <ns0:c r="G2275">
        <ns0:f>IFERROR(IF(ISNUMBER($A2275),IF(AND(AH!$P$10=1,AH!$P$12=1,$A2275=TODAY()),IF(AND(AH!$P$10=1,AH!$P$12=1,$A2275=TODAY()),TODAY(),NA()),IF(AH!$P$10=1,INDEX('Live History'!$G$5:$G$3004,MATCH($A2275,'Live History'!$G$5:$G$3004,1)),INDEX('AH History'!$F$1:$F$18046,AH!$P$7+2270))),NA()),NA())</ns0:f>
        <ns0:v/>
      </ns0:c>
      <ns0:c r="H2275">
        <ns0:f>IFERROR(IF(AND(AH!$E$4="Bloomberg",AH!$P$10=1,ISNUMBER($A2275),$A2275&lt;=AH!$P$17),AH!$P$7-1+MATCH($A2275,INDEX('AH History'!$A$1:$A$18046,AH!$P$7):INDEX('AH History'!$A$1:$A$18046,AH!$P$7+AH!$P$8-1),0),0),0)</ns0:f>
        <ns0:v/>
      </ns0:c>
      <ns0:c r="I2275">
        <ns0:f>IF($H2275=0,0,IFERROR(IF(AND(ABS($C2275-INDEX('AH History'!$B$1:$B$18046,$H2275))&lt;=MAX(0.005,ABS(INDEX('AH History'!$B$1:$B$18046,$H2275))*0.00005),ABS($D2275-INDEX('AH History'!$C$1:$C$18046,$H2275))&lt;=MAX(0.005,ABS(INDEX('AH History'!$C$1:$C$18046,$H2275))*0.00005),ABS($E2275-INDEX('AH History'!$D$1:$D$18046,$H2275))&lt;=0.00005,$F2275=INDEX('AH History'!$E$1:$E$18046,$H2275),$G2275=INDEX('AH History'!$F$1:$F$18046,$H2275)),1,-1),-1))</ns0:f>
        <ns0:v/>
      </ns0:c>
    </ns0:row>
    <ns0:row r="2276">
      <ns0:c r="A2276" s="215">
        <ns0:f>IF(OR(AH!$P$3=0,2271+1&gt;AH!$P$11,AND(AH!$E$4&lt;&gt;"Stored",AH!$P$10&lt;&gt;1)),"",IFERROR(IF(AND(AH!$P$21=1,2271+1=AH!$P$11),TODAY(),IF(AH!$P$10=1,INDEX('Live History'!$A$5:$A$3004,AH!$P$13+2271),INDEX('AH History'!$A$1:$A$18046,AH!$P$7+2271))),""))</ns0:f>
        <ns0:v/>
      </ns0:c>
      <ns0:c r="B2276" s="219">
        <ns0:f>IFERROR(IF(AND(AH!$P$9&lt;&gt;1,$C2276&gt;0,$D2276&gt;0,$E2276&gt;0,$F2276&gt;0,$G2276&gt;0,$F2276&lt;=$A2276,$G2276&lt;=$A2276,$A2276-$F2276&lt;=10,$A2276-$G2276&lt;=5),$D2276*$E2276/$C2276-1,NA()),NA())</ns0:f>
        <ns0:v/>
      </ns0:c>
      <ns0:c r="C2276">
        <ns0:f>IFERROR(IF(ISNUMBER($A2276),IF(AND(AH!$P$10=1,AH!$P$12=1,$A2276=TODAY()),AH!$P$19,IF(AH!$P$10=1,INDEX('Live History'!$B$5:$B$3004,AH!$P$13+2271),INDEX('AH History'!$B$1:$B$18046,AH!$P$7+2271))),NA()),NA())</ns0:f>
        <ns0:v/>
      </ns0:c>
      <ns0:c r="D2276">
        <ns0:f>IFERROR(IF(ISNUMBER($A2276),IF(AND(AH!$P$10=1,AH!$P$12=1,$A2276=TODAY()),AH!$P$18,IF(AH!$P$10=1,INDEX('Live History'!$E$5:$E$3004,MATCH($A2276,'Live History'!$D$5:$D$3004,1)),INDEX('AH History'!$C$1:$C$18046,AH!$P$7+2271))),NA()),NA())</ns0:f>
        <ns0:v/>
      </ns0:c>
      <ns0:c r="E2276">
        <ns0:f>IFERROR(IF(ISNUMBER($A2276),IF(AND(AH!$P$10=1,AH!$P$12=1,$A2276=TODAY()),AH!$P$20,IF(AH!$P$10=1,INDEX('Live History'!$H$5:$H$3004,MATCH($A2276,'Live History'!$G$5:$G$3004,1)),INDEX('AH History'!$D$1:$D$18046,AH!$P$7+2271))),NA()),NA())</ns0:f>
        <ns0:v/>
      </ns0:c>
      <ns0:c r="F2276">
        <ns0:f>IFERROR(IF(ISNUMBER($A2276),IF(AND(AH!$P$10=1,AH!$P$12=1,$A2276=TODAY()),IF(AND(AH!$P$10=1,AH!$P$12=1,$A2276=TODAY()),TODAY(),NA()),IF(AH!$P$10=1,INDEX('Live History'!$D$5:$D$3004,MATCH($A2276,'Live History'!$D$5:$D$3004,1)),INDEX('AH History'!$E$1:$E$18046,AH!$P$7+2271))),NA()),NA())</ns0:f>
        <ns0:v/>
      </ns0:c>
      <ns0:c r="G2276">
        <ns0:f>IFERROR(IF(ISNUMBER($A2276),IF(AND(AH!$P$10=1,AH!$P$12=1,$A2276=TODAY()),IF(AND(AH!$P$10=1,AH!$P$12=1,$A2276=TODAY()),TODAY(),NA()),IF(AH!$P$10=1,INDEX('Live History'!$G$5:$G$3004,MATCH($A2276,'Live History'!$G$5:$G$3004,1)),INDEX('AH History'!$F$1:$F$18046,AH!$P$7+2271))),NA()),NA())</ns0:f>
        <ns0:v/>
      </ns0:c>
      <ns0:c r="H2276">
        <ns0:f>IFERROR(IF(AND(AH!$E$4="Bloomberg",AH!$P$10=1,ISNUMBER($A2276),$A2276&lt;=AH!$P$17),AH!$P$7-1+MATCH($A2276,INDEX('AH History'!$A$1:$A$18046,AH!$P$7):INDEX('AH History'!$A$1:$A$18046,AH!$P$7+AH!$P$8-1),0),0),0)</ns0:f>
        <ns0:v/>
      </ns0:c>
      <ns0:c r="I2276">
        <ns0:f>IF($H2276=0,0,IFERROR(IF(AND(ABS($C2276-INDEX('AH History'!$B$1:$B$18046,$H2276))&lt;=MAX(0.005,ABS(INDEX('AH History'!$B$1:$B$18046,$H2276))*0.00005),ABS($D2276-INDEX('AH History'!$C$1:$C$18046,$H2276))&lt;=MAX(0.005,ABS(INDEX('AH History'!$C$1:$C$18046,$H2276))*0.00005),ABS($E2276-INDEX('AH History'!$D$1:$D$18046,$H2276))&lt;=0.00005,$F2276=INDEX('AH History'!$E$1:$E$18046,$H2276),$G2276=INDEX('AH History'!$F$1:$F$18046,$H2276)),1,-1),-1))</ns0:f>
        <ns0:v/>
      </ns0:c>
    </ns0:row>
    <ns0:row r="2277">
      <ns0:c r="A2277" s="215">
        <ns0:f>IF(OR(AH!$P$3=0,2272+1&gt;AH!$P$11,AND(AH!$E$4&lt;&gt;"Stored",AH!$P$10&lt;&gt;1)),"",IFERROR(IF(AND(AH!$P$21=1,2272+1=AH!$P$11),TODAY(),IF(AH!$P$10=1,INDEX('Live History'!$A$5:$A$3004,AH!$P$13+2272),INDEX('AH History'!$A$1:$A$18046,AH!$P$7+2272))),""))</ns0:f>
        <ns0:v/>
      </ns0:c>
      <ns0:c r="B2277" s="219">
        <ns0:f>IFERROR(IF(AND(AH!$P$9&lt;&gt;1,$C2277&gt;0,$D2277&gt;0,$E2277&gt;0,$F2277&gt;0,$G2277&gt;0,$F2277&lt;=$A2277,$G2277&lt;=$A2277,$A2277-$F2277&lt;=10,$A2277-$G2277&lt;=5),$D2277*$E2277/$C2277-1,NA()),NA())</ns0:f>
        <ns0:v/>
      </ns0:c>
      <ns0:c r="C2277">
        <ns0:f>IFERROR(IF(ISNUMBER($A2277),IF(AND(AH!$P$10=1,AH!$P$12=1,$A2277=TODAY()),AH!$P$19,IF(AH!$P$10=1,INDEX('Live History'!$B$5:$B$3004,AH!$P$13+2272),INDEX('AH History'!$B$1:$B$18046,AH!$P$7+2272))),NA()),NA())</ns0:f>
        <ns0:v/>
      </ns0:c>
      <ns0:c r="D2277">
        <ns0:f>IFERROR(IF(ISNUMBER($A2277),IF(AND(AH!$P$10=1,AH!$P$12=1,$A2277=TODAY()),AH!$P$18,IF(AH!$P$10=1,INDEX('Live History'!$E$5:$E$3004,MATCH($A2277,'Live History'!$D$5:$D$3004,1)),INDEX('AH History'!$C$1:$C$18046,AH!$P$7+2272))),NA()),NA())</ns0:f>
        <ns0:v/>
      </ns0:c>
      <ns0:c r="E2277">
        <ns0:f>IFERROR(IF(ISNUMBER($A2277),IF(AND(AH!$P$10=1,AH!$P$12=1,$A2277=TODAY()),AH!$P$20,IF(AH!$P$10=1,INDEX('Live History'!$H$5:$H$3004,MATCH($A2277,'Live History'!$G$5:$G$3004,1)),INDEX('AH History'!$D$1:$D$18046,AH!$P$7+2272))),NA()),NA())</ns0:f>
        <ns0:v/>
      </ns0:c>
      <ns0:c r="F2277">
        <ns0:f>IFERROR(IF(ISNUMBER($A2277),IF(AND(AH!$P$10=1,AH!$P$12=1,$A2277=TODAY()),IF(AND(AH!$P$10=1,AH!$P$12=1,$A2277=TODAY()),TODAY(),NA()),IF(AH!$P$10=1,INDEX('Live History'!$D$5:$D$3004,MATCH($A2277,'Live History'!$D$5:$D$3004,1)),INDEX('AH History'!$E$1:$E$18046,AH!$P$7+2272))),NA()),NA())</ns0:f>
        <ns0:v/>
      </ns0:c>
      <ns0:c r="G2277">
        <ns0:f>IFERROR(IF(ISNUMBER($A2277),IF(AND(AH!$P$10=1,AH!$P$12=1,$A2277=TODAY()),IF(AND(AH!$P$10=1,AH!$P$12=1,$A2277=TODAY()),TODAY(),NA()),IF(AH!$P$10=1,INDEX('Live History'!$G$5:$G$3004,MATCH($A2277,'Live History'!$G$5:$G$3004,1)),INDEX('AH History'!$F$1:$F$18046,AH!$P$7+2272))),NA()),NA())</ns0:f>
        <ns0:v/>
      </ns0:c>
      <ns0:c r="H2277">
        <ns0:f>IFERROR(IF(AND(AH!$E$4="Bloomberg",AH!$P$10=1,ISNUMBER($A2277),$A2277&lt;=AH!$P$17),AH!$P$7-1+MATCH($A2277,INDEX('AH History'!$A$1:$A$18046,AH!$P$7):INDEX('AH History'!$A$1:$A$18046,AH!$P$7+AH!$P$8-1),0),0),0)</ns0:f>
        <ns0:v/>
      </ns0:c>
      <ns0:c r="I2277">
        <ns0:f>IF($H2277=0,0,IFERROR(IF(AND(ABS($C2277-INDEX('AH History'!$B$1:$B$18046,$H2277))&lt;=MAX(0.005,ABS(INDEX('AH History'!$B$1:$B$18046,$H2277))*0.00005),ABS($D2277-INDEX('AH History'!$C$1:$C$18046,$H2277))&lt;=MAX(0.005,ABS(INDEX('AH History'!$C$1:$C$18046,$H2277))*0.00005),ABS($E2277-INDEX('AH History'!$D$1:$D$18046,$H2277))&lt;=0.00005,$F2277=INDEX('AH History'!$E$1:$E$18046,$H2277),$G2277=INDEX('AH History'!$F$1:$F$18046,$H2277)),1,-1),-1))</ns0:f>
        <ns0:v/>
      </ns0:c>
    </ns0:row>
    <ns0:row r="2278">
      <ns0:c r="A2278" s="215">
        <ns0:f>IF(OR(AH!$P$3=0,2273+1&gt;AH!$P$11,AND(AH!$E$4&lt;&gt;"Stored",AH!$P$10&lt;&gt;1)),"",IFERROR(IF(AND(AH!$P$21=1,2273+1=AH!$P$11),TODAY(),IF(AH!$P$10=1,INDEX('Live History'!$A$5:$A$3004,AH!$P$13+2273),INDEX('AH History'!$A$1:$A$18046,AH!$P$7+2273))),""))</ns0:f>
        <ns0:v/>
      </ns0:c>
      <ns0:c r="B2278" s="219">
        <ns0:f>IFERROR(IF(AND(AH!$P$9&lt;&gt;1,$C2278&gt;0,$D2278&gt;0,$E2278&gt;0,$F2278&gt;0,$G2278&gt;0,$F2278&lt;=$A2278,$G2278&lt;=$A2278,$A2278-$F2278&lt;=10,$A2278-$G2278&lt;=5),$D2278*$E2278/$C2278-1,NA()),NA())</ns0:f>
        <ns0:v/>
      </ns0:c>
      <ns0:c r="C2278">
        <ns0:f>IFERROR(IF(ISNUMBER($A2278),IF(AND(AH!$P$10=1,AH!$P$12=1,$A2278=TODAY()),AH!$P$19,IF(AH!$P$10=1,INDEX('Live History'!$B$5:$B$3004,AH!$P$13+2273),INDEX('AH History'!$B$1:$B$18046,AH!$P$7+2273))),NA()),NA())</ns0:f>
        <ns0:v/>
      </ns0:c>
      <ns0:c r="D2278">
        <ns0:f>IFERROR(IF(ISNUMBER($A2278),IF(AND(AH!$P$10=1,AH!$P$12=1,$A2278=TODAY()),AH!$P$18,IF(AH!$P$10=1,INDEX('Live History'!$E$5:$E$3004,MATCH($A2278,'Live History'!$D$5:$D$3004,1)),INDEX('AH History'!$C$1:$C$18046,AH!$P$7+2273))),NA()),NA())</ns0:f>
        <ns0:v/>
      </ns0:c>
      <ns0:c r="E2278">
        <ns0:f>IFERROR(IF(ISNUMBER($A2278),IF(AND(AH!$P$10=1,AH!$P$12=1,$A2278=TODAY()),AH!$P$20,IF(AH!$P$10=1,INDEX('Live History'!$H$5:$H$3004,MATCH($A2278,'Live History'!$G$5:$G$3004,1)),INDEX('AH History'!$D$1:$D$18046,AH!$P$7+2273))),NA()),NA())</ns0:f>
        <ns0:v/>
      </ns0:c>
      <ns0:c r="F2278">
        <ns0:f>IFERROR(IF(ISNUMBER($A2278),IF(AND(AH!$P$10=1,AH!$P$12=1,$A2278=TODAY()),IF(AND(AH!$P$10=1,AH!$P$12=1,$A2278=TODAY()),TODAY(),NA()),IF(AH!$P$10=1,INDEX('Live History'!$D$5:$D$3004,MATCH($A2278,'Live History'!$D$5:$D$3004,1)),INDEX('AH History'!$E$1:$E$18046,AH!$P$7+2273))),NA()),NA())</ns0:f>
        <ns0:v/>
      </ns0:c>
      <ns0:c r="G2278">
        <ns0:f>IFERROR(IF(ISNUMBER($A2278),IF(AND(AH!$P$10=1,AH!$P$12=1,$A2278=TODAY()),IF(AND(AH!$P$10=1,AH!$P$12=1,$A2278=TODAY()),TODAY(),NA()),IF(AH!$P$10=1,INDEX('Live History'!$G$5:$G$3004,MATCH($A2278,'Live History'!$G$5:$G$3004,1)),INDEX('AH History'!$F$1:$F$18046,AH!$P$7+2273))),NA()),NA())</ns0:f>
        <ns0:v/>
      </ns0:c>
      <ns0:c r="H2278">
        <ns0:f>IFERROR(IF(AND(AH!$E$4="Bloomberg",AH!$P$10=1,ISNUMBER($A2278),$A2278&lt;=AH!$P$17),AH!$P$7-1+MATCH($A2278,INDEX('AH History'!$A$1:$A$18046,AH!$P$7):INDEX('AH History'!$A$1:$A$18046,AH!$P$7+AH!$P$8-1),0),0),0)</ns0:f>
        <ns0:v/>
      </ns0:c>
      <ns0:c r="I2278">
        <ns0:f>IF($H2278=0,0,IFERROR(IF(AND(ABS($C2278-INDEX('AH History'!$B$1:$B$18046,$H2278))&lt;=MAX(0.005,ABS(INDEX('AH History'!$B$1:$B$18046,$H2278))*0.00005),ABS($D2278-INDEX('AH History'!$C$1:$C$18046,$H2278))&lt;=MAX(0.005,ABS(INDEX('AH History'!$C$1:$C$18046,$H2278))*0.00005),ABS($E2278-INDEX('AH History'!$D$1:$D$18046,$H2278))&lt;=0.00005,$F2278=INDEX('AH History'!$E$1:$E$18046,$H2278),$G2278=INDEX('AH History'!$F$1:$F$18046,$H2278)),1,-1),-1))</ns0:f>
        <ns0:v/>
      </ns0:c>
    </ns0:row>
    <ns0:row r="2279">
      <ns0:c r="A2279" s="215">
        <ns0:f>IF(OR(AH!$P$3=0,2274+1&gt;AH!$P$11,AND(AH!$E$4&lt;&gt;"Stored",AH!$P$10&lt;&gt;1)),"",IFERROR(IF(AND(AH!$P$21=1,2274+1=AH!$P$11),TODAY(),IF(AH!$P$10=1,INDEX('Live History'!$A$5:$A$3004,AH!$P$13+2274),INDEX('AH History'!$A$1:$A$18046,AH!$P$7+2274))),""))</ns0:f>
        <ns0:v/>
      </ns0:c>
      <ns0:c r="B2279" s="219">
        <ns0:f>IFERROR(IF(AND(AH!$P$9&lt;&gt;1,$C2279&gt;0,$D2279&gt;0,$E2279&gt;0,$F2279&gt;0,$G2279&gt;0,$F2279&lt;=$A2279,$G2279&lt;=$A2279,$A2279-$F2279&lt;=10,$A2279-$G2279&lt;=5),$D2279*$E2279/$C2279-1,NA()),NA())</ns0:f>
        <ns0:v/>
      </ns0:c>
      <ns0:c r="C2279">
        <ns0:f>IFERROR(IF(ISNUMBER($A2279),IF(AND(AH!$P$10=1,AH!$P$12=1,$A2279=TODAY()),AH!$P$19,IF(AH!$P$10=1,INDEX('Live History'!$B$5:$B$3004,AH!$P$13+2274),INDEX('AH History'!$B$1:$B$18046,AH!$P$7+2274))),NA()),NA())</ns0:f>
        <ns0:v/>
      </ns0:c>
      <ns0:c r="D2279">
        <ns0:f>IFERROR(IF(ISNUMBER($A2279),IF(AND(AH!$P$10=1,AH!$P$12=1,$A2279=TODAY()),AH!$P$18,IF(AH!$P$10=1,INDEX('Live History'!$E$5:$E$3004,MATCH($A2279,'Live History'!$D$5:$D$3004,1)),INDEX('AH History'!$C$1:$C$18046,AH!$P$7+2274))),NA()),NA())</ns0:f>
        <ns0:v/>
      </ns0:c>
      <ns0:c r="E2279">
        <ns0:f>IFERROR(IF(ISNUMBER($A2279),IF(AND(AH!$P$10=1,AH!$P$12=1,$A2279=TODAY()),AH!$P$20,IF(AH!$P$10=1,INDEX('Live History'!$H$5:$H$3004,MATCH($A2279,'Live History'!$G$5:$G$3004,1)),INDEX('AH History'!$D$1:$D$18046,AH!$P$7+2274))),NA()),NA())</ns0:f>
        <ns0:v/>
      </ns0:c>
      <ns0:c r="F2279">
        <ns0:f>IFERROR(IF(ISNUMBER($A2279),IF(AND(AH!$P$10=1,AH!$P$12=1,$A2279=TODAY()),IF(AND(AH!$P$10=1,AH!$P$12=1,$A2279=TODAY()),TODAY(),NA()),IF(AH!$P$10=1,INDEX('Live History'!$D$5:$D$3004,MATCH($A2279,'Live History'!$D$5:$D$3004,1)),INDEX('AH History'!$E$1:$E$18046,AH!$P$7+2274))),NA()),NA())</ns0:f>
        <ns0:v/>
      </ns0:c>
      <ns0:c r="G2279">
        <ns0:f>IFERROR(IF(ISNUMBER($A2279),IF(AND(AH!$P$10=1,AH!$P$12=1,$A2279=TODAY()),IF(AND(AH!$P$10=1,AH!$P$12=1,$A2279=TODAY()),TODAY(),NA()),IF(AH!$P$10=1,INDEX('Live History'!$G$5:$G$3004,MATCH($A2279,'Live History'!$G$5:$G$3004,1)),INDEX('AH History'!$F$1:$F$18046,AH!$P$7+2274))),NA()),NA())</ns0:f>
        <ns0:v/>
      </ns0:c>
      <ns0:c r="H2279">
        <ns0:f>IFERROR(IF(AND(AH!$E$4="Bloomberg",AH!$P$10=1,ISNUMBER($A2279),$A2279&lt;=AH!$P$17),AH!$P$7-1+MATCH($A2279,INDEX('AH History'!$A$1:$A$18046,AH!$P$7):INDEX('AH History'!$A$1:$A$18046,AH!$P$7+AH!$P$8-1),0),0),0)</ns0:f>
        <ns0:v/>
      </ns0:c>
      <ns0:c r="I2279">
        <ns0:f>IF($H2279=0,0,IFERROR(IF(AND(ABS($C2279-INDEX('AH History'!$B$1:$B$18046,$H2279))&lt;=MAX(0.005,ABS(INDEX('AH History'!$B$1:$B$18046,$H2279))*0.00005),ABS($D2279-INDEX('AH History'!$C$1:$C$18046,$H2279))&lt;=MAX(0.005,ABS(INDEX('AH History'!$C$1:$C$18046,$H2279))*0.00005),ABS($E2279-INDEX('AH History'!$D$1:$D$18046,$H2279))&lt;=0.00005,$F2279=INDEX('AH History'!$E$1:$E$18046,$H2279),$G2279=INDEX('AH History'!$F$1:$F$18046,$H2279)),1,-1),-1))</ns0:f>
        <ns0:v/>
      </ns0:c>
    </ns0:row>
    <ns0:row r="2280">
      <ns0:c r="A2280" s="215">
        <ns0:f>IF(OR(AH!$P$3=0,2275+1&gt;AH!$P$11,AND(AH!$E$4&lt;&gt;"Stored",AH!$P$10&lt;&gt;1)),"",IFERROR(IF(AND(AH!$P$21=1,2275+1=AH!$P$11),TODAY(),IF(AH!$P$10=1,INDEX('Live History'!$A$5:$A$3004,AH!$P$13+2275),INDEX('AH History'!$A$1:$A$18046,AH!$P$7+2275))),""))</ns0:f>
        <ns0:v/>
      </ns0:c>
      <ns0:c r="B2280" s="219">
        <ns0:f>IFERROR(IF(AND(AH!$P$9&lt;&gt;1,$C2280&gt;0,$D2280&gt;0,$E2280&gt;0,$F2280&gt;0,$G2280&gt;0,$F2280&lt;=$A2280,$G2280&lt;=$A2280,$A2280-$F2280&lt;=10,$A2280-$G2280&lt;=5),$D2280*$E2280/$C2280-1,NA()),NA())</ns0:f>
        <ns0:v/>
      </ns0:c>
      <ns0:c r="C2280">
        <ns0:f>IFERROR(IF(ISNUMBER($A2280),IF(AND(AH!$P$10=1,AH!$P$12=1,$A2280=TODAY()),AH!$P$19,IF(AH!$P$10=1,INDEX('Live History'!$B$5:$B$3004,AH!$P$13+2275),INDEX('AH History'!$B$1:$B$18046,AH!$P$7+2275))),NA()),NA())</ns0:f>
        <ns0:v/>
      </ns0:c>
      <ns0:c r="D2280">
        <ns0:f>IFERROR(IF(ISNUMBER($A2280),IF(AND(AH!$P$10=1,AH!$P$12=1,$A2280=TODAY()),AH!$P$18,IF(AH!$P$10=1,INDEX('Live History'!$E$5:$E$3004,MATCH($A2280,'Live History'!$D$5:$D$3004,1)),INDEX('AH History'!$C$1:$C$18046,AH!$P$7+2275))),NA()),NA())</ns0:f>
        <ns0:v/>
      </ns0:c>
      <ns0:c r="E2280">
        <ns0:f>IFERROR(IF(ISNUMBER($A2280),IF(AND(AH!$P$10=1,AH!$P$12=1,$A2280=TODAY()),AH!$P$20,IF(AH!$P$10=1,INDEX('Live History'!$H$5:$H$3004,MATCH($A2280,'Live History'!$G$5:$G$3004,1)),INDEX('AH History'!$D$1:$D$18046,AH!$P$7+2275))),NA()),NA())</ns0:f>
        <ns0:v/>
      </ns0:c>
      <ns0:c r="F2280">
        <ns0:f>IFERROR(IF(ISNUMBER($A2280),IF(AND(AH!$P$10=1,AH!$P$12=1,$A2280=TODAY()),IF(AND(AH!$P$10=1,AH!$P$12=1,$A2280=TODAY()),TODAY(),NA()),IF(AH!$P$10=1,INDEX('Live History'!$D$5:$D$3004,MATCH($A2280,'Live History'!$D$5:$D$3004,1)),INDEX('AH History'!$E$1:$E$18046,AH!$P$7+2275))),NA()),NA())</ns0:f>
        <ns0:v/>
      </ns0:c>
      <ns0:c r="G2280">
        <ns0:f>IFERROR(IF(ISNUMBER($A2280),IF(AND(AH!$P$10=1,AH!$P$12=1,$A2280=TODAY()),IF(AND(AH!$P$10=1,AH!$P$12=1,$A2280=TODAY()),TODAY(),NA()),IF(AH!$P$10=1,INDEX('Live History'!$G$5:$G$3004,MATCH($A2280,'Live History'!$G$5:$G$3004,1)),INDEX('AH History'!$F$1:$F$18046,AH!$P$7+2275))),NA()),NA())</ns0:f>
        <ns0:v/>
      </ns0:c>
      <ns0:c r="H2280">
        <ns0:f>IFERROR(IF(AND(AH!$E$4="Bloomberg",AH!$P$10=1,ISNUMBER($A2280),$A2280&lt;=AH!$P$17),AH!$P$7-1+MATCH($A2280,INDEX('AH History'!$A$1:$A$18046,AH!$P$7):INDEX('AH History'!$A$1:$A$18046,AH!$P$7+AH!$P$8-1),0),0),0)</ns0:f>
        <ns0:v/>
      </ns0:c>
      <ns0:c r="I2280">
        <ns0:f>IF($H2280=0,0,IFERROR(IF(AND(ABS($C2280-INDEX('AH History'!$B$1:$B$18046,$H2280))&lt;=MAX(0.005,ABS(INDEX('AH History'!$B$1:$B$18046,$H2280))*0.00005),ABS($D2280-INDEX('AH History'!$C$1:$C$18046,$H2280))&lt;=MAX(0.005,ABS(INDEX('AH History'!$C$1:$C$18046,$H2280))*0.00005),ABS($E2280-INDEX('AH History'!$D$1:$D$18046,$H2280))&lt;=0.00005,$F2280=INDEX('AH History'!$E$1:$E$18046,$H2280),$G2280=INDEX('AH History'!$F$1:$F$18046,$H2280)),1,-1),-1))</ns0:f>
        <ns0:v/>
      </ns0:c>
    </ns0:row>
    <ns0:row r="2281">
      <ns0:c r="A2281" s="215">
        <ns0:f>IF(OR(AH!$P$3=0,2276+1&gt;AH!$P$11,AND(AH!$E$4&lt;&gt;"Stored",AH!$P$10&lt;&gt;1)),"",IFERROR(IF(AND(AH!$P$21=1,2276+1=AH!$P$11),TODAY(),IF(AH!$P$10=1,INDEX('Live History'!$A$5:$A$3004,AH!$P$13+2276),INDEX('AH History'!$A$1:$A$18046,AH!$P$7+2276))),""))</ns0:f>
        <ns0:v/>
      </ns0:c>
      <ns0:c r="B2281" s="219">
        <ns0:f>IFERROR(IF(AND(AH!$P$9&lt;&gt;1,$C2281&gt;0,$D2281&gt;0,$E2281&gt;0,$F2281&gt;0,$G2281&gt;0,$F2281&lt;=$A2281,$G2281&lt;=$A2281,$A2281-$F2281&lt;=10,$A2281-$G2281&lt;=5),$D2281*$E2281/$C2281-1,NA()),NA())</ns0:f>
        <ns0:v/>
      </ns0:c>
      <ns0:c r="C2281">
        <ns0:f>IFERROR(IF(ISNUMBER($A2281),IF(AND(AH!$P$10=1,AH!$P$12=1,$A2281=TODAY()),AH!$P$19,IF(AH!$P$10=1,INDEX('Live History'!$B$5:$B$3004,AH!$P$13+2276),INDEX('AH History'!$B$1:$B$18046,AH!$P$7+2276))),NA()),NA())</ns0:f>
        <ns0:v/>
      </ns0:c>
      <ns0:c r="D2281">
        <ns0:f>IFERROR(IF(ISNUMBER($A2281),IF(AND(AH!$P$10=1,AH!$P$12=1,$A2281=TODAY()),AH!$P$18,IF(AH!$P$10=1,INDEX('Live History'!$E$5:$E$3004,MATCH($A2281,'Live History'!$D$5:$D$3004,1)),INDEX('AH History'!$C$1:$C$18046,AH!$P$7+2276))),NA()),NA())</ns0:f>
        <ns0:v/>
      </ns0:c>
      <ns0:c r="E2281">
        <ns0:f>IFERROR(IF(ISNUMBER($A2281),IF(AND(AH!$P$10=1,AH!$P$12=1,$A2281=TODAY()),AH!$P$20,IF(AH!$P$10=1,INDEX('Live History'!$H$5:$H$3004,MATCH($A2281,'Live History'!$G$5:$G$3004,1)),INDEX('AH History'!$D$1:$D$18046,AH!$P$7+2276))),NA()),NA())</ns0:f>
        <ns0:v/>
      </ns0:c>
      <ns0:c r="F2281">
        <ns0:f>IFERROR(IF(ISNUMBER($A2281),IF(AND(AH!$P$10=1,AH!$P$12=1,$A2281=TODAY()),IF(AND(AH!$P$10=1,AH!$P$12=1,$A2281=TODAY()),TODAY(),NA()),IF(AH!$P$10=1,INDEX('Live History'!$D$5:$D$3004,MATCH($A2281,'Live History'!$D$5:$D$3004,1)),INDEX('AH History'!$E$1:$E$18046,AH!$P$7+2276))),NA()),NA())</ns0:f>
        <ns0:v/>
      </ns0:c>
      <ns0:c r="G2281">
        <ns0:f>IFERROR(IF(ISNUMBER($A2281),IF(AND(AH!$P$10=1,AH!$P$12=1,$A2281=TODAY()),IF(AND(AH!$P$10=1,AH!$P$12=1,$A2281=TODAY()),TODAY(),NA()),IF(AH!$P$10=1,INDEX('Live History'!$G$5:$G$3004,MATCH($A2281,'Live History'!$G$5:$G$3004,1)),INDEX('AH History'!$F$1:$F$18046,AH!$P$7+2276))),NA()),NA())</ns0:f>
        <ns0:v/>
      </ns0:c>
      <ns0:c r="H2281">
        <ns0:f>IFERROR(IF(AND(AH!$E$4="Bloomberg",AH!$P$10=1,ISNUMBER($A2281),$A2281&lt;=AH!$P$17),AH!$P$7-1+MATCH($A2281,INDEX('AH History'!$A$1:$A$18046,AH!$P$7):INDEX('AH History'!$A$1:$A$18046,AH!$P$7+AH!$P$8-1),0),0),0)</ns0:f>
        <ns0:v/>
      </ns0:c>
      <ns0:c r="I2281">
        <ns0:f>IF($H2281=0,0,IFERROR(IF(AND(ABS($C2281-INDEX('AH History'!$B$1:$B$18046,$H2281))&lt;=MAX(0.005,ABS(INDEX('AH History'!$B$1:$B$18046,$H2281))*0.00005),ABS($D2281-INDEX('AH History'!$C$1:$C$18046,$H2281))&lt;=MAX(0.005,ABS(INDEX('AH History'!$C$1:$C$18046,$H2281))*0.00005),ABS($E2281-INDEX('AH History'!$D$1:$D$18046,$H2281))&lt;=0.00005,$F2281=INDEX('AH History'!$E$1:$E$18046,$H2281),$G2281=INDEX('AH History'!$F$1:$F$18046,$H2281)),1,-1),-1))</ns0:f>
        <ns0:v/>
      </ns0:c>
    </ns0:row>
    <ns0:row r="2282">
      <ns0:c r="A2282" s="215">
        <ns0:f>IF(OR(AH!$P$3=0,2277+1&gt;AH!$P$11,AND(AH!$E$4&lt;&gt;"Stored",AH!$P$10&lt;&gt;1)),"",IFERROR(IF(AND(AH!$P$21=1,2277+1=AH!$P$11),TODAY(),IF(AH!$P$10=1,INDEX('Live History'!$A$5:$A$3004,AH!$P$13+2277),INDEX('AH History'!$A$1:$A$18046,AH!$P$7+2277))),""))</ns0:f>
        <ns0:v/>
      </ns0:c>
      <ns0:c r="B2282" s="219">
        <ns0:f>IFERROR(IF(AND(AH!$P$9&lt;&gt;1,$C2282&gt;0,$D2282&gt;0,$E2282&gt;0,$F2282&gt;0,$G2282&gt;0,$F2282&lt;=$A2282,$G2282&lt;=$A2282,$A2282-$F2282&lt;=10,$A2282-$G2282&lt;=5),$D2282*$E2282/$C2282-1,NA()),NA())</ns0:f>
        <ns0:v/>
      </ns0:c>
      <ns0:c r="C2282">
        <ns0:f>IFERROR(IF(ISNUMBER($A2282),IF(AND(AH!$P$10=1,AH!$P$12=1,$A2282=TODAY()),AH!$P$19,IF(AH!$P$10=1,INDEX('Live History'!$B$5:$B$3004,AH!$P$13+2277),INDEX('AH History'!$B$1:$B$18046,AH!$P$7+2277))),NA()),NA())</ns0:f>
        <ns0:v/>
      </ns0:c>
      <ns0:c r="D2282">
        <ns0:f>IFERROR(IF(ISNUMBER($A2282),IF(AND(AH!$P$10=1,AH!$P$12=1,$A2282=TODAY()),AH!$P$18,IF(AH!$P$10=1,INDEX('Live History'!$E$5:$E$3004,MATCH($A2282,'Live History'!$D$5:$D$3004,1)),INDEX('AH History'!$C$1:$C$18046,AH!$P$7+2277))),NA()),NA())</ns0:f>
        <ns0:v/>
      </ns0:c>
      <ns0:c r="E2282">
        <ns0:f>IFERROR(IF(ISNUMBER($A2282),IF(AND(AH!$P$10=1,AH!$P$12=1,$A2282=TODAY()),AH!$P$20,IF(AH!$P$10=1,INDEX('Live History'!$H$5:$H$3004,MATCH($A2282,'Live History'!$G$5:$G$3004,1)),INDEX('AH History'!$D$1:$D$18046,AH!$P$7+2277))),NA()),NA())</ns0:f>
        <ns0:v/>
      </ns0:c>
      <ns0:c r="F2282">
        <ns0:f>IFERROR(IF(ISNUMBER($A2282),IF(AND(AH!$P$10=1,AH!$P$12=1,$A2282=TODAY()),IF(AND(AH!$P$10=1,AH!$P$12=1,$A2282=TODAY()),TODAY(),NA()),IF(AH!$P$10=1,INDEX('Live History'!$D$5:$D$3004,MATCH($A2282,'Live History'!$D$5:$D$3004,1)),INDEX('AH History'!$E$1:$E$18046,AH!$P$7+2277))),NA()),NA())</ns0:f>
        <ns0:v/>
      </ns0:c>
      <ns0:c r="G2282">
        <ns0:f>IFERROR(IF(ISNUMBER($A2282),IF(AND(AH!$P$10=1,AH!$P$12=1,$A2282=TODAY()),IF(AND(AH!$P$10=1,AH!$P$12=1,$A2282=TODAY()),TODAY(),NA()),IF(AH!$P$10=1,INDEX('Live History'!$G$5:$G$3004,MATCH($A2282,'Live History'!$G$5:$G$3004,1)),INDEX('AH History'!$F$1:$F$18046,AH!$P$7+2277))),NA()),NA())</ns0:f>
        <ns0:v/>
      </ns0:c>
      <ns0:c r="H2282">
        <ns0:f>IFERROR(IF(AND(AH!$E$4="Bloomberg",AH!$P$10=1,ISNUMBER($A2282),$A2282&lt;=AH!$P$17),AH!$P$7-1+MATCH($A2282,INDEX('AH History'!$A$1:$A$18046,AH!$P$7):INDEX('AH History'!$A$1:$A$18046,AH!$P$7+AH!$P$8-1),0),0),0)</ns0:f>
        <ns0:v/>
      </ns0:c>
      <ns0:c r="I2282">
        <ns0:f>IF($H2282=0,0,IFERROR(IF(AND(ABS($C2282-INDEX('AH History'!$B$1:$B$18046,$H2282))&lt;=MAX(0.005,ABS(INDEX('AH History'!$B$1:$B$18046,$H2282))*0.00005),ABS($D2282-INDEX('AH History'!$C$1:$C$18046,$H2282))&lt;=MAX(0.005,ABS(INDEX('AH History'!$C$1:$C$18046,$H2282))*0.00005),ABS($E2282-INDEX('AH History'!$D$1:$D$18046,$H2282))&lt;=0.00005,$F2282=INDEX('AH History'!$E$1:$E$18046,$H2282),$G2282=INDEX('AH History'!$F$1:$F$18046,$H2282)),1,-1),-1))</ns0:f>
        <ns0:v/>
      </ns0:c>
    </ns0:row>
    <ns0:row r="2283">
      <ns0:c r="A2283" s="215">
        <ns0:f>IF(OR(AH!$P$3=0,2278+1&gt;AH!$P$11,AND(AH!$E$4&lt;&gt;"Stored",AH!$P$10&lt;&gt;1)),"",IFERROR(IF(AND(AH!$P$21=1,2278+1=AH!$P$11),TODAY(),IF(AH!$P$10=1,INDEX('Live History'!$A$5:$A$3004,AH!$P$13+2278),INDEX('AH History'!$A$1:$A$18046,AH!$P$7+2278))),""))</ns0:f>
        <ns0:v/>
      </ns0:c>
      <ns0:c r="B2283" s="219">
        <ns0:f>IFERROR(IF(AND(AH!$P$9&lt;&gt;1,$C2283&gt;0,$D2283&gt;0,$E2283&gt;0,$F2283&gt;0,$G2283&gt;0,$F2283&lt;=$A2283,$G2283&lt;=$A2283,$A2283-$F2283&lt;=10,$A2283-$G2283&lt;=5),$D2283*$E2283/$C2283-1,NA()),NA())</ns0:f>
        <ns0:v/>
      </ns0:c>
      <ns0:c r="C2283">
        <ns0:f>IFERROR(IF(ISNUMBER($A2283),IF(AND(AH!$P$10=1,AH!$P$12=1,$A2283=TODAY()),AH!$P$19,IF(AH!$P$10=1,INDEX('Live History'!$B$5:$B$3004,AH!$P$13+2278),INDEX('AH History'!$B$1:$B$18046,AH!$P$7+2278))),NA()),NA())</ns0:f>
        <ns0:v/>
      </ns0:c>
      <ns0:c r="D2283">
        <ns0:f>IFERROR(IF(ISNUMBER($A2283),IF(AND(AH!$P$10=1,AH!$P$12=1,$A2283=TODAY()),AH!$P$18,IF(AH!$P$10=1,INDEX('Live History'!$E$5:$E$3004,MATCH($A2283,'Live History'!$D$5:$D$3004,1)),INDEX('AH History'!$C$1:$C$18046,AH!$P$7+2278))),NA()),NA())</ns0:f>
        <ns0:v/>
      </ns0:c>
      <ns0:c r="E2283">
        <ns0:f>IFERROR(IF(ISNUMBER($A2283),IF(AND(AH!$P$10=1,AH!$P$12=1,$A2283=TODAY()),AH!$P$20,IF(AH!$P$10=1,INDEX('Live History'!$H$5:$H$3004,MATCH($A2283,'Live History'!$G$5:$G$3004,1)),INDEX('AH History'!$D$1:$D$18046,AH!$P$7+2278))),NA()),NA())</ns0:f>
        <ns0:v/>
      </ns0:c>
      <ns0:c r="F2283">
        <ns0:f>IFERROR(IF(ISNUMBER($A2283),IF(AND(AH!$P$10=1,AH!$P$12=1,$A2283=TODAY()),IF(AND(AH!$P$10=1,AH!$P$12=1,$A2283=TODAY()),TODAY(),NA()),IF(AH!$P$10=1,INDEX('Live History'!$D$5:$D$3004,MATCH($A2283,'Live History'!$D$5:$D$3004,1)),INDEX('AH History'!$E$1:$E$18046,AH!$P$7+2278))),NA()),NA())</ns0:f>
        <ns0:v/>
      </ns0:c>
      <ns0:c r="G2283">
        <ns0:f>IFERROR(IF(ISNUMBER($A2283),IF(AND(AH!$P$10=1,AH!$P$12=1,$A2283=TODAY()),IF(AND(AH!$P$10=1,AH!$P$12=1,$A2283=TODAY()),TODAY(),NA()),IF(AH!$P$10=1,INDEX('Live History'!$G$5:$G$3004,MATCH($A2283,'Live History'!$G$5:$G$3004,1)),INDEX('AH History'!$F$1:$F$18046,AH!$P$7+2278))),NA()),NA())</ns0:f>
        <ns0:v/>
      </ns0:c>
      <ns0:c r="H2283">
        <ns0:f>IFERROR(IF(AND(AH!$E$4="Bloomberg",AH!$P$10=1,ISNUMBER($A2283),$A2283&lt;=AH!$P$17),AH!$P$7-1+MATCH($A2283,INDEX('AH History'!$A$1:$A$18046,AH!$P$7):INDEX('AH History'!$A$1:$A$18046,AH!$P$7+AH!$P$8-1),0),0),0)</ns0:f>
        <ns0:v/>
      </ns0:c>
      <ns0:c r="I2283">
        <ns0:f>IF($H2283=0,0,IFERROR(IF(AND(ABS($C2283-INDEX('AH History'!$B$1:$B$18046,$H2283))&lt;=MAX(0.005,ABS(INDEX('AH History'!$B$1:$B$18046,$H2283))*0.00005),ABS($D2283-INDEX('AH History'!$C$1:$C$18046,$H2283))&lt;=MAX(0.005,ABS(INDEX('AH History'!$C$1:$C$18046,$H2283))*0.00005),ABS($E2283-INDEX('AH History'!$D$1:$D$18046,$H2283))&lt;=0.00005,$F2283=INDEX('AH History'!$E$1:$E$18046,$H2283),$G2283=INDEX('AH History'!$F$1:$F$18046,$H2283)),1,-1),-1))</ns0:f>
        <ns0:v/>
      </ns0:c>
    </ns0:row>
    <ns0:row r="2284">
      <ns0:c r="A2284" s="215">
        <ns0:f>IF(OR(AH!$P$3=0,2279+1&gt;AH!$P$11,AND(AH!$E$4&lt;&gt;"Stored",AH!$P$10&lt;&gt;1)),"",IFERROR(IF(AND(AH!$P$21=1,2279+1=AH!$P$11),TODAY(),IF(AH!$P$10=1,INDEX('Live History'!$A$5:$A$3004,AH!$P$13+2279),INDEX('AH History'!$A$1:$A$18046,AH!$P$7+2279))),""))</ns0:f>
        <ns0:v/>
      </ns0:c>
      <ns0:c r="B2284" s="219">
        <ns0:f>IFERROR(IF(AND(AH!$P$9&lt;&gt;1,$C2284&gt;0,$D2284&gt;0,$E2284&gt;0,$F2284&gt;0,$G2284&gt;0,$F2284&lt;=$A2284,$G2284&lt;=$A2284,$A2284-$F2284&lt;=10,$A2284-$G2284&lt;=5),$D2284*$E2284/$C2284-1,NA()),NA())</ns0:f>
        <ns0:v/>
      </ns0:c>
      <ns0:c r="C2284">
        <ns0:f>IFERROR(IF(ISNUMBER($A2284),IF(AND(AH!$P$10=1,AH!$P$12=1,$A2284=TODAY()),AH!$P$19,IF(AH!$P$10=1,INDEX('Live History'!$B$5:$B$3004,AH!$P$13+2279),INDEX('AH History'!$B$1:$B$18046,AH!$P$7+2279))),NA()),NA())</ns0:f>
        <ns0:v/>
      </ns0:c>
      <ns0:c r="D2284">
        <ns0:f>IFERROR(IF(ISNUMBER($A2284),IF(AND(AH!$P$10=1,AH!$P$12=1,$A2284=TODAY()),AH!$P$18,IF(AH!$P$10=1,INDEX('Live History'!$E$5:$E$3004,MATCH($A2284,'Live History'!$D$5:$D$3004,1)),INDEX('AH History'!$C$1:$C$18046,AH!$P$7+2279))),NA()),NA())</ns0:f>
        <ns0:v/>
      </ns0:c>
      <ns0:c r="E2284">
        <ns0:f>IFERROR(IF(ISNUMBER($A2284),IF(AND(AH!$P$10=1,AH!$P$12=1,$A2284=TODAY()),AH!$P$20,IF(AH!$P$10=1,INDEX('Live History'!$H$5:$H$3004,MATCH($A2284,'Live History'!$G$5:$G$3004,1)),INDEX('AH History'!$D$1:$D$18046,AH!$P$7+2279))),NA()),NA())</ns0:f>
        <ns0:v/>
      </ns0:c>
      <ns0:c r="F2284">
        <ns0:f>IFERROR(IF(ISNUMBER($A2284),IF(AND(AH!$P$10=1,AH!$P$12=1,$A2284=TODAY()),IF(AND(AH!$P$10=1,AH!$P$12=1,$A2284=TODAY()),TODAY(),NA()),IF(AH!$P$10=1,INDEX('Live History'!$D$5:$D$3004,MATCH($A2284,'Live History'!$D$5:$D$3004,1)),INDEX('AH History'!$E$1:$E$18046,AH!$P$7+2279))),NA()),NA())</ns0:f>
        <ns0:v/>
      </ns0:c>
      <ns0:c r="G2284">
        <ns0:f>IFERROR(IF(ISNUMBER($A2284),IF(AND(AH!$P$10=1,AH!$P$12=1,$A2284=TODAY()),IF(AND(AH!$P$10=1,AH!$P$12=1,$A2284=TODAY()),TODAY(),NA()),IF(AH!$P$10=1,INDEX('Live History'!$G$5:$G$3004,MATCH($A2284,'Live History'!$G$5:$G$3004,1)),INDEX('AH History'!$F$1:$F$18046,AH!$P$7+2279))),NA()),NA())</ns0:f>
        <ns0:v/>
      </ns0:c>
      <ns0:c r="H2284">
        <ns0:f>IFERROR(IF(AND(AH!$E$4="Bloomberg",AH!$P$10=1,ISNUMBER($A2284),$A2284&lt;=AH!$P$17),AH!$P$7-1+MATCH($A2284,INDEX('AH History'!$A$1:$A$18046,AH!$P$7):INDEX('AH History'!$A$1:$A$18046,AH!$P$7+AH!$P$8-1),0),0),0)</ns0:f>
        <ns0:v/>
      </ns0:c>
      <ns0:c r="I2284">
        <ns0:f>IF($H2284=0,0,IFERROR(IF(AND(ABS($C2284-INDEX('AH History'!$B$1:$B$18046,$H2284))&lt;=MAX(0.005,ABS(INDEX('AH History'!$B$1:$B$18046,$H2284))*0.00005),ABS($D2284-INDEX('AH History'!$C$1:$C$18046,$H2284))&lt;=MAX(0.005,ABS(INDEX('AH History'!$C$1:$C$18046,$H2284))*0.00005),ABS($E2284-INDEX('AH History'!$D$1:$D$18046,$H2284))&lt;=0.00005,$F2284=INDEX('AH History'!$E$1:$E$18046,$H2284),$G2284=INDEX('AH History'!$F$1:$F$18046,$H2284)),1,-1),-1))</ns0:f>
        <ns0:v/>
      </ns0:c>
    </ns0:row>
    <ns0:row r="2285">
      <ns0:c r="A2285" s="215">
        <ns0:f>IF(OR(AH!$P$3=0,2280+1&gt;AH!$P$11,AND(AH!$E$4&lt;&gt;"Stored",AH!$P$10&lt;&gt;1)),"",IFERROR(IF(AND(AH!$P$21=1,2280+1=AH!$P$11),TODAY(),IF(AH!$P$10=1,INDEX('Live History'!$A$5:$A$3004,AH!$P$13+2280),INDEX('AH History'!$A$1:$A$18046,AH!$P$7+2280))),""))</ns0:f>
        <ns0:v/>
      </ns0:c>
      <ns0:c r="B2285" s="219">
        <ns0:f>IFERROR(IF(AND(AH!$P$9&lt;&gt;1,$C2285&gt;0,$D2285&gt;0,$E2285&gt;0,$F2285&gt;0,$G2285&gt;0,$F2285&lt;=$A2285,$G2285&lt;=$A2285,$A2285-$F2285&lt;=10,$A2285-$G2285&lt;=5),$D2285*$E2285/$C2285-1,NA()),NA())</ns0:f>
        <ns0:v/>
      </ns0:c>
      <ns0:c r="C2285">
        <ns0:f>IFERROR(IF(ISNUMBER($A2285),IF(AND(AH!$P$10=1,AH!$P$12=1,$A2285=TODAY()),AH!$P$19,IF(AH!$P$10=1,INDEX('Live History'!$B$5:$B$3004,AH!$P$13+2280),INDEX('AH History'!$B$1:$B$18046,AH!$P$7+2280))),NA()),NA())</ns0:f>
        <ns0:v/>
      </ns0:c>
      <ns0:c r="D2285">
        <ns0:f>IFERROR(IF(ISNUMBER($A2285),IF(AND(AH!$P$10=1,AH!$P$12=1,$A2285=TODAY()),AH!$P$18,IF(AH!$P$10=1,INDEX('Live History'!$E$5:$E$3004,MATCH($A2285,'Live History'!$D$5:$D$3004,1)),INDEX('AH History'!$C$1:$C$18046,AH!$P$7+2280))),NA()),NA())</ns0:f>
        <ns0:v/>
      </ns0:c>
      <ns0:c r="E2285">
        <ns0:f>IFERROR(IF(ISNUMBER($A2285),IF(AND(AH!$P$10=1,AH!$P$12=1,$A2285=TODAY()),AH!$P$20,IF(AH!$P$10=1,INDEX('Live History'!$H$5:$H$3004,MATCH($A2285,'Live History'!$G$5:$G$3004,1)),INDEX('AH History'!$D$1:$D$18046,AH!$P$7+2280))),NA()),NA())</ns0:f>
        <ns0:v/>
      </ns0:c>
      <ns0:c r="F2285">
        <ns0:f>IFERROR(IF(ISNUMBER($A2285),IF(AND(AH!$P$10=1,AH!$P$12=1,$A2285=TODAY()),IF(AND(AH!$P$10=1,AH!$P$12=1,$A2285=TODAY()),TODAY(),NA()),IF(AH!$P$10=1,INDEX('Live History'!$D$5:$D$3004,MATCH($A2285,'Live History'!$D$5:$D$3004,1)),INDEX('AH History'!$E$1:$E$18046,AH!$P$7+2280))),NA()),NA())</ns0:f>
        <ns0:v/>
      </ns0:c>
      <ns0:c r="G2285">
        <ns0:f>IFERROR(IF(ISNUMBER($A2285),IF(AND(AH!$P$10=1,AH!$P$12=1,$A2285=TODAY()),IF(AND(AH!$P$10=1,AH!$P$12=1,$A2285=TODAY()),TODAY(),NA()),IF(AH!$P$10=1,INDEX('Live History'!$G$5:$G$3004,MATCH($A2285,'Live History'!$G$5:$G$3004,1)),INDEX('AH History'!$F$1:$F$18046,AH!$P$7+2280))),NA()),NA())</ns0:f>
        <ns0:v/>
      </ns0:c>
      <ns0:c r="H2285">
        <ns0:f>IFERROR(IF(AND(AH!$E$4="Bloomberg",AH!$P$10=1,ISNUMBER($A2285),$A2285&lt;=AH!$P$17),AH!$P$7-1+MATCH($A2285,INDEX('AH History'!$A$1:$A$18046,AH!$P$7):INDEX('AH History'!$A$1:$A$18046,AH!$P$7+AH!$P$8-1),0),0),0)</ns0:f>
        <ns0:v/>
      </ns0:c>
      <ns0:c r="I2285">
        <ns0:f>IF($H2285=0,0,IFERROR(IF(AND(ABS($C2285-INDEX('AH History'!$B$1:$B$18046,$H2285))&lt;=MAX(0.005,ABS(INDEX('AH History'!$B$1:$B$18046,$H2285))*0.00005),ABS($D2285-INDEX('AH History'!$C$1:$C$18046,$H2285))&lt;=MAX(0.005,ABS(INDEX('AH History'!$C$1:$C$18046,$H2285))*0.00005),ABS($E2285-INDEX('AH History'!$D$1:$D$18046,$H2285))&lt;=0.00005,$F2285=INDEX('AH History'!$E$1:$E$18046,$H2285),$G2285=INDEX('AH History'!$F$1:$F$18046,$H2285)),1,-1),-1))</ns0:f>
        <ns0:v/>
      </ns0:c>
    </ns0:row>
    <ns0:row r="2286">
      <ns0:c r="A2286" s="215">
        <ns0:f>IF(OR(AH!$P$3=0,2281+1&gt;AH!$P$11,AND(AH!$E$4&lt;&gt;"Stored",AH!$P$10&lt;&gt;1)),"",IFERROR(IF(AND(AH!$P$21=1,2281+1=AH!$P$11),TODAY(),IF(AH!$P$10=1,INDEX('Live History'!$A$5:$A$3004,AH!$P$13+2281),INDEX('AH History'!$A$1:$A$18046,AH!$P$7+2281))),""))</ns0:f>
        <ns0:v/>
      </ns0:c>
      <ns0:c r="B2286" s="219">
        <ns0:f>IFERROR(IF(AND(AH!$P$9&lt;&gt;1,$C2286&gt;0,$D2286&gt;0,$E2286&gt;0,$F2286&gt;0,$G2286&gt;0,$F2286&lt;=$A2286,$G2286&lt;=$A2286,$A2286-$F2286&lt;=10,$A2286-$G2286&lt;=5),$D2286*$E2286/$C2286-1,NA()),NA())</ns0:f>
        <ns0:v/>
      </ns0:c>
      <ns0:c r="C2286">
        <ns0:f>IFERROR(IF(ISNUMBER($A2286),IF(AND(AH!$P$10=1,AH!$P$12=1,$A2286=TODAY()),AH!$P$19,IF(AH!$P$10=1,INDEX('Live History'!$B$5:$B$3004,AH!$P$13+2281),INDEX('AH History'!$B$1:$B$18046,AH!$P$7+2281))),NA()),NA())</ns0:f>
        <ns0:v/>
      </ns0:c>
      <ns0:c r="D2286">
        <ns0:f>IFERROR(IF(ISNUMBER($A2286),IF(AND(AH!$P$10=1,AH!$P$12=1,$A2286=TODAY()),AH!$P$18,IF(AH!$P$10=1,INDEX('Live History'!$E$5:$E$3004,MATCH($A2286,'Live History'!$D$5:$D$3004,1)),INDEX('AH History'!$C$1:$C$18046,AH!$P$7+2281))),NA()),NA())</ns0:f>
        <ns0:v/>
      </ns0:c>
      <ns0:c r="E2286">
        <ns0:f>IFERROR(IF(ISNUMBER($A2286),IF(AND(AH!$P$10=1,AH!$P$12=1,$A2286=TODAY()),AH!$P$20,IF(AH!$P$10=1,INDEX('Live History'!$H$5:$H$3004,MATCH($A2286,'Live History'!$G$5:$G$3004,1)),INDEX('AH History'!$D$1:$D$18046,AH!$P$7+2281))),NA()),NA())</ns0:f>
        <ns0:v/>
      </ns0:c>
      <ns0:c r="F2286">
        <ns0:f>IFERROR(IF(ISNUMBER($A2286),IF(AND(AH!$P$10=1,AH!$P$12=1,$A2286=TODAY()),IF(AND(AH!$P$10=1,AH!$P$12=1,$A2286=TODAY()),TODAY(),NA()),IF(AH!$P$10=1,INDEX('Live History'!$D$5:$D$3004,MATCH($A2286,'Live History'!$D$5:$D$3004,1)),INDEX('AH History'!$E$1:$E$18046,AH!$P$7+2281))),NA()),NA())</ns0:f>
        <ns0:v/>
      </ns0:c>
      <ns0:c r="G2286">
        <ns0:f>IFERROR(IF(ISNUMBER($A2286),IF(AND(AH!$P$10=1,AH!$P$12=1,$A2286=TODAY()),IF(AND(AH!$P$10=1,AH!$P$12=1,$A2286=TODAY()),TODAY(),NA()),IF(AH!$P$10=1,INDEX('Live History'!$G$5:$G$3004,MATCH($A2286,'Live History'!$G$5:$G$3004,1)),INDEX('AH History'!$F$1:$F$18046,AH!$P$7+2281))),NA()),NA())</ns0:f>
        <ns0:v/>
      </ns0:c>
      <ns0:c r="H2286">
        <ns0:f>IFERROR(IF(AND(AH!$E$4="Bloomberg",AH!$P$10=1,ISNUMBER($A2286),$A2286&lt;=AH!$P$17),AH!$P$7-1+MATCH($A2286,INDEX('AH History'!$A$1:$A$18046,AH!$P$7):INDEX('AH History'!$A$1:$A$18046,AH!$P$7+AH!$P$8-1),0),0),0)</ns0:f>
        <ns0:v/>
      </ns0:c>
      <ns0:c r="I2286">
        <ns0:f>IF($H2286=0,0,IFERROR(IF(AND(ABS($C2286-INDEX('AH History'!$B$1:$B$18046,$H2286))&lt;=MAX(0.005,ABS(INDEX('AH History'!$B$1:$B$18046,$H2286))*0.00005),ABS($D2286-INDEX('AH History'!$C$1:$C$18046,$H2286))&lt;=MAX(0.005,ABS(INDEX('AH History'!$C$1:$C$18046,$H2286))*0.00005),ABS($E2286-INDEX('AH History'!$D$1:$D$18046,$H2286))&lt;=0.00005,$F2286=INDEX('AH History'!$E$1:$E$18046,$H2286),$G2286=INDEX('AH History'!$F$1:$F$18046,$H2286)),1,-1),-1))</ns0:f>
        <ns0:v/>
      </ns0:c>
    </ns0:row>
    <ns0:row r="2287">
      <ns0:c r="A2287" s="215">
        <ns0:f>IF(OR(AH!$P$3=0,2282+1&gt;AH!$P$11,AND(AH!$E$4&lt;&gt;"Stored",AH!$P$10&lt;&gt;1)),"",IFERROR(IF(AND(AH!$P$21=1,2282+1=AH!$P$11),TODAY(),IF(AH!$P$10=1,INDEX('Live History'!$A$5:$A$3004,AH!$P$13+2282),INDEX('AH History'!$A$1:$A$18046,AH!$P$7+2282))),""))</ns0:f>
        <ns0:v/>
      </ns0:c>
      <ns0:c r="B2287" s="219">
        <ns0:f>IFERROR(IF(AND(AH!$P$9&lt;&gt;1,$C2287&gt;0,$D2287&gt;0,$E2287&gt;0,$F2287&gt;0,$G2287&gt;0,$F2287&lt;=$A2287,$G2287&lt;=$A2287,$A2287-$F2287&lt;=10,$A2287-$G2287&lt;=5),$D2287*$E2287/$C2287-1,NA()),NA())</ns0:f>
        <ns0:v/>
      </ns0:c>
      <ns0:c r="C2287">
        <ns0:f>IFERROR(IF(ISNUMBER($A2287),IF(AND(AH!$P$10=1,AH!$P$12=1,$A2287=TODAY()),AH!$P$19,IF(AH!$P$10=1,INDEX('Live History'!$B$5:$B$3004,AH!$P$13+2282),INDEX('AH History'!$B$1:$B$18046,AH!$P$7+2282))),NA()),NA())</ns0:f>
        <ns0:v/>
      </ns0:c>
      <ns0:c r="D2287">
        <ns0:f>IFERROR(IF(ISNUMBER($A2287),IF(AND(AH!$P$10=1,AH!$P$12=1,$A2287=TODAY()),AH!$P$18,IF(AH!$P$10=1,INDEX('Live History'!$E$5:$E$3004,MATCH($A2287,'Live History'!$D$5:$D$3004,1)),INDEX('AH History'!$C$1:$C$18046,AH!$P$7+2282))),NA()),NA())</ns0:f>
        <ns0:v/>
      </ns0:c>
      <ns0:c r="E2287">
        <ns0:f>IFERROR(IF(ISNUMBER($A2287),IF(AND(AH!$P$10=1,AH!$P$12=1,$A2287=TODAY()),AH!$P$20,IF(AH!$P$10=1,INDEX('Live History'!$H$5:$H$3004,MATCH($A2287,'Live History'!$G$5:$G$3004,1)),INDEX('AH History'!$D$1:$D$18046,AH!$P$7+2282))),NA()),NA())</ns0:f>
        <ns0:v/>
      </ns0:c>
      <ns0:c r="F2287">
        <ns0:f>IFERROR(IF(ISNUMBER($A2287),IF(AND(AH!$P$10=1,AH!$P$12=1,$A2287=TODAY()),IF(AND(AH!$P$10=1,AH!$P$12=1,$A2287=TODAY()),TODAY(),NA()),IF(AH!$P$10=1,INDEX('Live History'!$D$5:$D$3004,MATCH($A2287,'Live History'!$D$5:$D$3004,1)),INDEX('AH History'!$E$1:$E$18046,AH!$P$7+2282))),NA()),NA())</ns0:f>
        <ns0:v/>
      </ns0:c>
      <ns0:c r="G2287">
        <ns0:f>IFERROR(IF(ISNUMBER($A2287),IF(AND(AH!$P$10=1,AH!$P$12=1,$A2287=TODAY()),IF(AND(AH!$P$10=1,AH!$P$12=1,$A2287=TODAY()),TODAY(),NA()),IF(AH!$P$10=1,INDEX('Live History'!$G$5:$G$3004,MATCH($A2287,'Live History'!$G$5:$G$3004,1)),INDEX('AH History'!$F$1:$F$18046,AH!$P$7+2282))),NA()),NA())</ns0:f>
        <ns0:v/>
      </ns0:c>
      <ns0:c r="H2287">
        <ns0:f>IFERROR(IF(AND(AH!$E$4="Bloomberg",AH!$P$10=1,ISNUMBER($A2287),$A2287&lt;=AH!$P$17),AH!$P$7-1+MATCH($A2287,INDEX('AH History'!$A$1:$A$18046,AH!$P$7):INDEX('AH History'!$A$1:$A$18046,AH!$P$7+AH!$P$8-1),0),0),0)</ns0:f>
        <ns0:v/>
      </ns0:c>
      <ns0:c r="I2287">
        <ns0:f>IF($H2287=0,0,IFERROR(IF(AND(ABS($C2287-INDEX('AH History'!$B$1:$B$18046,$H2287))&lt;=MAX(0.005,ABS(INDEX('AH History'!$B$1:$B$18046,$H2287))*0.00005),ABS($D2287-INDEX('AH History'!$C$1:$C$18046,$H2287))&lt;=MAX(0.005,ABS(INDEX('AH History'!$C$1:$C$18046,$H2287))*0.00005),ABS($E2287-INDEX('AH History'!$D$1:$D$18046,$H2287))&lt;=0.00005,$F2287=INDEX('AH History'!$E$1:$E$18046,$H2287),$G2287=INDEX('AH History'!$F$1:$F$18046,$H2287)),1,-1),-1))</ns0:f>
        <ns0:v/>
      </ns0:c>
    </ns0:row>
    <ns0:row r="2288">
      <ns0:c r="A2288" s="215">
        <ns0:f>IF(OR(AH!$P$3=0,2283+1&gt;AH!$P$11,AND(AH!$E$4&lt;&gt;"Stored",AH!$P$10&lt;&gt;1)),"",IFERROR(IF(AND(AH!$P$21=1,2283+1=AH!$P$11),TODAY(),IF(AH!$P$10=1,INDEX('Live History'!$A$5:$A$3004,AH!$P$13+2283),INDEX('AH History'!$A$1:$A$18046,AH!$P$7+2283))),""))</ns0:f>
        <ns0:v/>
      </ns0:c>
      <ns0:c r="B2288" s="219">
        <ns0:f>IFERROR(IF(AND(AH!$P$9&lt;&gt;1,$C2288&gt;0,$D2288&gt;0,$E2288&gt;0,$F2288&gt;0,$G2288&gt;0,$F2288&lt;=$A2288,$G2288&lt;=$A2288,$A2288-$F2288&lt;=10,$A2288-$G2288&lt;=5),$D2288*$E2288/$C2288-1,NA()),NA())</ns0:f>
        <ns0:v/>
      </ns0:c>
      <ns0:c r="C2288">
        <ns0:f>IFERROR(IF(ISNUMBER($A2288),IF(AND(AH!$P$10=1,AH!$P$12=1,$A2288=TODAY()),AH!$P$19,IF(AH!$P$10=1,INDEX('Live History'!$B$5:$B$3004,AH!$P$13+2283),INDEX('AH History'!$B$1:$B$18046,AH!$P$7+2283))),NA()),NA())</ns0:f>
        <ns0:v/>
      </ns0:c>
      <ns0:c r="D2288">
        <ns0:f>IFERROR(IF(ISNUMBER($A2288),IF(AND(AH!$P$10=1,AH!$P$12=1,$A2288=TODAY()),AH!$P$18,IF(AH!$P$10=1,INDEX('Live History'!$E$5:$E$3004,MATCH($A2288,'Live History'!$D$5:$D$3004,1)),INDEX('AH History'!$C$1:$C$18046,AH!$P$7+2283))),NA()),NA())</ns0:f>
        <ns0:v/>
      </ns0:c>
      <ns0:c r="E2288">
        <ns0:f>IFERROR(IF(ISNUMBER($A2288),IF(AND(AH!$P$10=1,AH!$P$12=1,$A2288=TODAY()),AH!$P$20,IF(AH!$P$10=1,INDEX('Live History'!$H$5:$H$3004,MATCH($A2288,'Live History'!$G$5:$G$3004,1)),INDEX('AH History'!$D$1:$D$18046,AH!$P$7+2283))),NA()),NA())</ns0:f>
        <ns0:v/>
      </ns0:c>
      <ns0:c r="F2288">
        <ns0:f>IFERROR(IF(ISNUMBER($A2288),IF(AND(AH!$P$10=1,AH!$P$12=1,$A2288=TODAY()),IF(AND(AH!$P$10=1,AH!$P$12=1,$A2288=TODAY()),TODAY(),NA()),IF(AH!$P$10=1,INDEX('Live History'!$D$5:$D$3004,MATCH($A2288,'Live History'!$D$5:$D$3004,1)),INDEX('AH History'!$E$1:$E$18046,AH!$P$7+2283))),NA()),NA())</ns0:f>
        <ns0:v/>
      </ns0:c>
      <ns0:c r="G2288">
        <ns0:f>IFERROR(IF(ISNUMBER($A2288),IF(AND(AH!$P$10=1,AH!$P$12=1,$A2288=TODAY()),IF(AND(AH!$P$10=1,AH!$P$12=1,$A2288=TODAY()),TODAY(),NA()),IF(AH!$P$10=1,INDEX('Live History'!$G$5:$G$3004,MATCH($A2288,'Live History'!$G$5:$G$3004,1)),INDEX('AH History'!$F$1:$F$18046,AH!$P$7+2283))),NA()),NA())</ns0:f>
        <ns0:v/>
      </ns0:c>
      <ns0:c r="H2288">
        <ns0:f>IFERROR(IF(AND(AH!$E$4="Bloomberg",AH!$P$10=1,ISNUMBER($A2288),$A2288&lt;=AH!$P$17),AH!$P$7-1+MATCH($A2288,INDEX('AH History'!$A$1:$A$18046,AH!$P$7):INDEX('AH History'!$A$1:$A$18046,AH!$P$7+AH!$P$8-1),0),0),0)</ns0:f>
        <ns0:v/>
      </ns0:c>
      <ns0:c r="I2288">
        <ns0:f>IF($H2288=0,0,IFERROR(IF(AND(ABS($C2288-INDEX('AH History'!$B$1:$B$18046,$H2288))&lt;=MAX(0.005,ABS(INDEX('AH History'!$B$1:$B$18046,$H2288))*0.00005),ABS($D2288-INDEX('AH History'!$C$1:$C$18046,$H2288))&lt;=MAX(0.005,ABS(INDEX('AH History'!$C$1:$C$18046,$H2288))*0.00005),ABS($E2288-INDEX('AH History'!$D$1:$D$18046,$H2288))&lt;=0.00005,$F2288=INDEX('AH History'!$E$1:$E$18046,$H2288),$G2288=INDEX('AH History'!$F$1:$F$18046,$H2288)),1,-1),-1))</ns0:f>
        <ns0:v/>
      </ns0:c>
    </ns0:row>
    <ns0:row r="2289">
      <ns0:c r="A2289" s="215">
        <ns0:f>IF(OR(AH!$P$3=0,2284+1&gt;AH!$P$11,AND(AH!$E$4&lt;&gt;"Stored",AH!$P$10&lt;&gt;1)),"",IFERROR(IF(AND(AH!$P$21=1,2284+1=AH!$P$11),TODAY(),IF(AH!$P$10=1,INDEX('Live History'!$A$5:$A$3004,AH!$P$13+2284),INDEX('AH History'!$A$1:$A$18046,AH!$P$7+2284))),""))</ns0:f>
        <ns0:v/>
      </ns0:c>
      <ns0:c r="B2289" s="219">
        <ns0:f>IFERROR(IF(AND(AH!$P$9&lt;&gt;1,$C2289&gt;0,$D2289&gt;0,$E2289&gt;0,$F2289&gt;0,$G2289&gt;0,$F2289&lt;=$A2289,$G2289&lt;=$A2289,$A2289-$F2289&lt;=10,$A2289-$G2289&lt;=5),$D2289*$E2289/$C2289-1,NA()),NA())</ns0:f>
        <ns0:v/>
      </ns0:c>
      <ns0:c r="C2289">
        <ns0:f>IFERROR(IF(ISNUMBER($A2289),IF(AND(AH!$P$10=1,AH!$P$12=1,$A2289=TODAY()),AH!$P$19,IF(AH!$P$10=1,INDEX('Live History'!$B$5:$B$3004,AH!$P$13+2284),INDEX('AH History'!$B$1:$B$18046,AH!$P$7+2284))),NA()),NA())</ns0:f>
        <ns0:v/>
      </ns0:c>
      <ns0:c r="D2289">
        <ns0:f>IFERROR(IF(ISNUMBER($A2289),IF(AND(AH!$P$10=1,AH!$P$12=1,$A2289=TODAY()),AH!$P$18,IF(AH!$P$10=1,INDEX('Live History'!$E$5:$E$3004,MATCH($A2289,'Live History'!$D$5:$D$3004,1)),INDEX('AH History'!$C$1:$C$18046,AH!$P$7+2284))),NA()),NA())</ns0:f>
        <ns0:v/>
      </ns0:c>
      <ns0:c r="E2289">
        <ns0:f>IFERROR(IF(ISNUMBER($A2289),IF(AND(AH!$P$10=1,AH!$P$12=1,$A2289=TODAY()),AH!$P$20,IF(AH!$P$10=1,INDEX('Live History'!$H$5:$H$3004,MATCH($A2289,'Live History'!$G$5:$G$3004,1)),INDEX('AH History'!$D$1:$D$18046,AH!$P$7+2284))),NA()),NA())</ns0:f>
        <ns0:v/>
      </ns0:c>
      <ns0:c r="F2289">
        <ns0:f>IFERROR(IF(ISNUMBER($A2289),IF(AND(AH!$P$10=1,AH!$P$12=1,$A2289=TODAY()),IF(AND(AH!$P$10=1,AH!$P$12=1,$A2289=TODAY()),TODAY(),NA()),IF(AH!$P$10=1,INDEX('Live History'!$D$5:$D$3004,MATCH($A2289,'Live History'!$D$5:$D$3004,1)),INDEX('AH History'!$E$1:$E$18046,AH!$P$7+2284))),NA()),NA())</ns0:f>
        <ns0:v/>
      </ns0:c>
      <ns0:c r="G2289">
        <ns0:f>IFERROR(IF(ISNUMBER($A2289),IF(AND(AH!$P$10=1,AH!$P$12=1,$A2289=TODAY()),IF(AND(AH!$P$10=1,AH!$P$12=1,$A2289=TODAY()),TODAY(),NA()),IF(AH!$P$10=1,INDEX('Live History'!$G$5:$G$3004,MATCH($A2289,'Live History'!$G$5:$G$3004,1)),INDEX('AH History'!$F$1:$F$18046,AH!$P$7+2284))),NA()),NA())</ns0:f>
        <ns0:v/>
      </ns0:c>
      <ns0:c r="H2289">
        <ns0:f>IFERROR(IF(AND(AH!$E$4="Bloomberg",AH!$P$10=1,ISNUMBER($A2289),$A2289&lt;=AH!$P$17),AH!$P$7-1+MATCH($A2289,INDEX('AH History'!$A$1:$A$18046,AH!$P$7):INDEX('AH History'!$A$1:$A$18046,AH!$P$7+AH!$P$8-1),0),0),0)</ns0:f>
        <ns0:v/>
      </ns0:c>
      <ns0:c r="I2289">
        <ns0:f>IF($H2289=0,0,IFERROR(IF(AND(ABS($C2289-INDEX('AH History'!$B$1:$B$18046,$H2289))&lt;=MAX(0.005,ABS(INDEX('AH History'!$B$1:$B$18046,$H2289))*0.00005),ABS($D2289-INDEX('AH History'!$C$1:$C$18046,$H2289))&lt;=MAX(0.005,ABS(INDEX('AH History'!$C$1:$C$18046,$H2289))*0.00005),ABS($E2289-INDEX('AH History'!$D$1:$D$18046,$H2289))&lt;=0.00005,$F2289=INDEX('AH History'!$E$1:$E$18046,$H2289),$G2289=INDEX('AH History'!$F$1:$F$18046,$H2289)),1,-1),-1))</ns0:f>
        <ns0:v/>
      </ns0:c>
    </ns0:row>
    <ns0:row r="2290">
      <ns0:c r="A2290" s="215">
        <ns0:f>IF(OR(AH!$P$3=0,2285+1&gt;AH!$P$11,AND(AH!$E$4&lt;&gt;"Stored",AH!$P$10&lt;&gt;1)),"",IFERROR(IF(AND(AH!$P$21=1,2285+1=AH!$P$11),TODAY(),IF(AH!$P$10=1,INDEX('Live History'!$A$5:$A$3004,AH!$P$13+2285),INDEX('AH History'!$A$1:$A$18046,AH!$P$7+2285))),""))</ns0:f>
        <ns0:v/>
      </ns0:c>
      <ns0:c r="B2290" s="219">
        <ns0:f>IFERROR(IF(AND(AH!$P$9&lt;&gt;1,$C2290&gt;0,$D2290&gt;0,$E2290&gt;0,$F2290&gt;0,$G2290&gt;0,$F2290&lt;=$A2290,$G2290&lt;=$A2290,$A2290-$F2290&lt;=10,$A2290-$G2290&lt;=5),$D2290*$E2290/$C2290-1,NA()),NA())</ns0:f>
        <ns0:v/>
      </ns0:c>
      <ns0:c r="C2290">
        <ns0:f>IFERROR(IF(ISNUMBER($A2290),IF(AND(AH!$P$10=1,AH!$P$12=1,$A2290=TODAY()),AH!$P$19,IF(AH!$P$10=1,INDEX('Live History'!$B$5:$B$3004,AH!$P$13+2285),INDEX('AH History'!$B$1:$B$18046,AH!$P$7+2285))),NA()),NA())</ns0:f>
        <ns0:v/>
      </ns0:c>
      <ns0:c r="D2290">
        <ns0:f>IFERROR(IF(ISNUMBER($A2290),IF(AND(AH!$P$10=1,AH!$P$12=1,$A2290=TODAY()),AH!$P$18,IF(AH!$P$10=1,INDEX('Live History'!$E$5:$E$3004,MATCH($A2290,'Live History'!$D$5:$D$3004,1)),INDEX('AH History'!$C$1:$C$18046,AH!$P$7+2285))),NA()),NA())</ns0:f>
        <ns0:v/>
      </ns0:c>
      <ns0:c r="E2290">
        <ns0:f>IFERROR(IF(ISNUMBER($A2290),IF(AND(AH!$P$10=1,AH!$P$12=1,$A2290=TODAY()),AH!$P$20,IF(AH!$P$10=1,INDEX('Live History'!$H$5:$H$3004,MATCH($A2290,'Live History'!$G$5:$G$3004,1)),INDEX('AH History'!$D$1:$D$18046,AH!$P$7+2285))),NA()),NA())</ns0:f>
        <ns0:v/>
      </ns0:c>
      <ns0:c r="F2290">
        <ns0:f>IFERROR(IF(ISNUMBER($A2290),IF(AND(AH!$P$10=1,AH!$P$12=1,$A2290=TODAY()),IF(AND(AH!$P$10=1,AH!$P$12=1,$A2290=TODAY()),TODAY(),NA()),IF(AH!$P$10=1,INDEX('Live History'!$D$5:$D$3004,MATCH($A2290,'Live History'!$D$5:$D$3004,1)),INDEX('AH History'!$E$1:$E$18046,AH!$P$7+2285))),NA()),NA())</ns0:f>
        <ns0:v/>
      </ns0:c>
      <ns0:c r="G2290">
        <ns0:f>IFERROR(IF(ISNUMBER($A2290),IF(AND(AH!$P$10=1,AH!$P$12=1,$A2290=TODAY()),IF(AND(AH!$P$10=1,AH!$P$12=1,$A2290=TODAY()),TODAY(),NA()),IF(AH!$P$10=1,INDEX('Live History'!$G$5:$G$3004,MATCH($A2290,'Live History'!$G$5:$G$3004,1)),INDEX('AH History'!$F$1:$F$18046,AH!$P$7+2285))),NA()),NA())</ns0:f>
        <ns0:v/>
      </ns0:c>
      <ns0:c r="H2290">
        <ns0:f>IFERROR(IF(AND(AH!$E$4="Bloomberg",AH!$P$10=1,ISNUMBER($A2290),$A2290&lt;=AH!$P$17),AH!$P$7-1+MATCH($A2290,INDEX('AH History'!$A$1:$A$18046,AH!$P$7):INDEX('AH History'!$A$1:$A$18046,AH!$P$7+AH!$P$8-1),0),0),0)</ns0:f>
        <ns0:v/>
      </ns0:c>
      <ns0:c r="I2290">
        <ns0:f>IF($H2290=0,0,IFERROR(IF(AND(ABS($C2290-INDEX('AH History'!$B$1:$B$18046,$H2290))&lt;=MAX(0.005,ABS(INDEX('AH History'!$B$1:$B$18046,$H2290))*0.00005),ABS($D2290-INDEX('AH History'!$C$1:$C$18046,$H2290))&lt;=MAX(0.005,ABS(INDEX('AH History'!$C$1:$C$18046,$H2290))*0.00005),ABS($E2290-INDEX('AH History'!$D$1:$D$18046,$H2290))&lt;=0.00005,$F2290=INDEX('AH History'!$E$1:$E$18046,$H2290),$G2290=INDEX('AH History'!$F$1:$F$18046,$H2290)),1,-1),-1))</ns0:f>
        <ns0:v/>
      </ns0:c>
    </ns0:row>
    <ns0:row r="2291">
      <ns0:c r="A2291" s="215">
        <ns0:f>IF(OR(AH!$P$3=0,2286+1&gt;AH!$P$11,AND(AH!$E$4&lt;&gt;"Stored",AH!$P$10&lt;&gt;1)),"",IFERROR(IF(AND(AH!$P$21=1,2286+1=AH!$P$11),TODAY(),IF(AH!$P$10=1,INDEX('Live History'!$A$5:$A$3004,AH!$P$13+2286),INDEX('AH History'!$A$1:$A$18046,AH!$P$7+2286))),""))</ns0:f>
        <ns0:v/>
      </ns0:c>
      <ns0:c r="B2291" s="219">
        <ns0:f>IFERROR(IF(AND(AH!$P$9&lt;&gt;1,$C2291&gt;0,$D2291&gt;0,$E2291&gt;0,$F2291&gt;0,$G2291&gt;0,$F2291&lt;=$A2291,$G2291&lt;=$A2291,$A2291-$F2291&lt;=10,$A2291-$G2291&lt;=5),$D2291*$E2291/$C2291-1,NA()),NA())</ns0:f>
        <ns0:v/>
      </ns0:c>
      <ns0:c r="C2291">
        <ns0:f>IFERROR(IF(ISNUMBER($A2291),IF(AND(AH!$P$10=1,AH!$P$12=1,$A2291=TODAY()),AH!$P$19,IF(AH!$P$10=1,INDEX('Live History'!$B$5:$B$3004,AH!$P$13+2286),INDEX('AH History'!$B$1:$B$18046,AH!$P$7+2286))),NA()),NA())</ns0:f>
        <ns0:v/>
      </ns0:c>
      <ns0:c r="D2291">
        <ns0:f>IFERROR(IF(ISNUMBER($A2291),IF(AND(AH!$P$10=1,AH!$P$12=1,$A2291=TODAY()),AH!$P$18,IF(AH!$P$10=1,INDEX('Live History'!$E$5:$E$3004,MATCH($A2291,'Live History'!$D$5:$D$3004,1)),INDEX('AH History'!$C$1:$C$18046,AH!$P$7+2286))),NA()),NA())</ns0:f>
        <ns0:v/>
      </ns0:c>
      <ns0:c r="E2291">
        <ns0:f>IFERROR(IF(ISNUMBER($A2291),IF(AND(AH!$P$10=1,AH!$P$12=1,$A2291=TODAY()),AH!$P$20,IF(AH!$P$10=1,INDEX('Live History'!$H$5:$H$3004,MATCH($A2291,'Live History'!$G$5:$G$3004,1)),INDEX('AH History'!$D$1:$D$18046,AH!$P$7+2286))),NA()),NA())</ns0:f>
        <ns0:v/>
      </ns0:c>
      <ns0:c r="F2291">
        <ns0:f>IFERROR(IF(ISNUMBER($A2291),IF(AND(AH!$P$10=1,AH!$P$12=1,$A2291=TODAY()),IF(AND(AH!$P$10=1,AH!$P$12=1,$A2291=TODAY()),TODAY(),NA()),IF(AH!$P$10=1,INDEX('Live History'!$D$5:$D$3004,MATCH($A2291,'Live History'!$D$5:$D$3004,1)),INDEX('AH History'!$E$1:$E$18046,AH!$P$7+2286))),NA()),NA())</ns0:f>
        <ns0:v/>
      </ns0:c>
      <ns0:c r="G2291">
        <ns0:f>IFERROR(IF(ISNUMBER($A2291),IF(AND(AH!$P$10=1,AH!$P$12=1,$A2291=TODAY()),IF(AND(AH!$P$10=1,AH!$P$12=1,$A2291=TODAY()),TODAY(),NA()),IF(AH!$P$10=1,INDEX('Live History'!$G$5:$G$3004,MATCH($A2291,'Live History'!$G$5:$G$3004,1)),INDEX('AH History'!$F$1:$F$18046,AH!$P$7+2286))),NA()),NA())</ns0:f>
        <ns0:v/>
      </ns0:c>
      <ns0:c r="H2291">
        <ns0:f>IFERROR(IF(AND(AH!$E$4="Bloomberg",AH!$P$10=1,ISNUMBER($A2291),$A2291&lt;=AH!$P$17),AH!$P$7-1+MATCH($A2291,INDEX('AH History'!$A$1:$A$18046,AH!$P$7):INDEX('AH History'!$A$1:$A$18046,AH!$P$7+AH!$P$8-1),0),0),0)</ns0:f>
        <ns0:v/>
      </ns0:c>
      <ns0:c r="I2291">
        <ns0:f>IF($H2291=0,0,IFERROR(IF(AND(ABS($C2291-INDEX('AH History'!$B$1:$B$18046,$H2291))&lt;=MAX(0.005,ABS(INDEX('AH History'!$B$1:$B$18046,$H2291))*0.00005),ABS($D2291-INDEX('AH History'!$C$1:$C$18046,$H2291))&lt;=MAX(0.005,ABS(INDEX('AH History'!$C$1:$C$18046,$H2291))*0.00005),ABS($E2291-INDEX('AH History'!$D$1:$D$18046,$H2291))&lt;=0.00005,$F2291=INDEX('AH History'!$E$1:$E$18046,$H2291),$G2291=INDEX('AH History'!$F$1:$F$18046,$H2291)),1,-1),-1))</ns0:f>
        <ns0:v/>
      </ns0:c>
    </ns0:row>
    <ns0:row r="2292">
      <ns0:c r="A2292" s="215">
        <ns0:f>IF(OR(AH!$P$3=0,2287+1&gt;AH!$P$11,AND(AH!$E$4&lt;&gt;"Stored",AH!$P$10&lt;&gt;1)),"",IFERROR(IF(AND(AH!$P$21=1,2287+1=AH!$P$11),TODAY(),IF(AH!$P$10=1,INDEX('Live History'!$A$5:$A$3004,AH!$P$13+2287),INDEX('AH History'!$A$1:$A$18046,AH!$P$7+2287))),""))</ns0:f>
        <ns0:v/>
      </ns0:c>
      <ns0:c r="B2292" s="219">
        <ns0:f>IFERROR(IF(AND(AH!$P$9&lt;&gt;1,$C2292&gt;0,$D2292&gt;0,$E2292&gt;0,$F2292&gt;0,$G2292&gt;0,$F2292&lt;=$A2292,$G2292&lt;=$A2292,$A2292-$F2292&lt;=10,$A2292-$G2292&lt;=5),$D2292*$E2292/$C2292-1,NA()),NA())</ns0:f>
        <ns0:v/>
      </ns0:c>
      <ns0:c r="C2292">
        <ns0:f>IFERROR(IF(ISNUMBER($A2292),IF(AND(AH!$P$10=1,AH!$P$12=1,$A2292=TODAY()),AH!$P$19,IF(AH!$P$10=1,INDEX('Live History'!$B$5:$B$3004,AH!$P$13+2287),INDEX('AH History'!$B$1:$B$18046,AH!$P$7+2287))),NA()),NA())</ns0:f>
        <ns0:v/>
      </ns0:c>
      <ns0:c r="D2292">
        <ns0:f>IFERROR(IF(ISNUMBER($A2292),IF(AND(AH!$P$10=1,AH!$P$12=1,$A2292=TODAY()),AH!$P$18,IF(AH!$P$10=1,INDEX('Live History'!$E$5:$E$3004,MATCH($A2292,'Live History'!$D$5:$D$3004,1)),INDEX('AH History'!$C$1:$C$18046,AH!$P$7+2287))),NA()),NA())</ns0:f>
        <ns0:v/>
      </ns0:c>
      <ns0:c r="E2292">
        <ns0:f>IFERROR(IF(ISNUMBER($A2292),IF(AND(AH!$P$10=1,AH!$P$12=1,$A2292=TODAY()),AH!$P$20,IF(AH!$P$10=1,INDEX('Live History'!$H$5:$H$3004,MATCH($A2292,'Live History'!$G$5:$G$3004,1)),INDEX('AH History'!$D$1:$D$18046,AH!$P$7+2287))),NA()),NA())</ns0:f>
        <ns0:v/>
      </ns0:c>
      <ns0:c r="F2292">
        <ns0:f>IFERROR(IF(ISNUMBER($A2292),IF(AND(AH!$P$10=1,AH!$P$12=1,$A2292=TODAY()),IF(AND(AH!$P$10=1,AH!$P$12=1,$A2292=TODAY()),TODAY(),NA()),IF(AH!$P$10=1,INDEX('Live History'!$D$5:$D$3004,MATCH($A2292,'Live History'!$D$5:$D$3004,1)),INDEX('AH History'!$E$1:$E$18046,AH!$P$7+2287))),NA()),NA())</ns0:f>
        <ns0:v/>
      </ns0:c>
      <ns0:c r="G2292">
        <ns0:f>IFERROR(IF(ISNUMBER($A2292),IF(AND(AH!$P$10=1,AH!$P$12=1,$A2292=TODAY()),IF(AND(AH!$P$10=1,AH!$P$12=1,$A2292=TODAY()),TODAY(),NA()),IF(AH!$P$10=1,INDEX('Live History'!$G$5:$G$3004,MATCH($A2292,'Live History'!$G$5:$G$3004,1)),INDEX('AH History'!$F$1:$F$18046,AH!$P$7+2287))),NA()),NA())</ns0:f>
        <ns0:v/>
      </ns0:c>
      <ns0:c r="H2292">
        <ns0:f>IFERROR(IF(AND(AH!$E$4="Bloomberg",AH!$P$10=1,ISNUMBER($A2292),$A2292&lt;=AH!$P$17),AH!$P$7-1+MATCH($A2292,INDEX('AH History'!$A$1:$A$18046,AH!$P$7):INDEX('AH History'!$A$1:$A$18046,AH!$P$7+AH!$P$8-1),0),0),0)</ns0:f>
        <ns0:v/>
      </ns0:c>
      <ns0:c r="I2292">
        <ns0:f>IF($H2292=0,0,IFERROR(IF(AND(ABS($C2292-INDEX('AH History'!$B$1:$B$18046,$H2292))&lt;=MAX(0.005,ABS(INDEX('AH History'!$B$1:$B$18046,$H2292))*0.00005),ABS($D2292-INDEX('AH History'!$C$1:$C$18046,$H2292))&lt;=MAX(0.005,ABS(INDEX('AH History'!$C$1:$C$18046,$H2292))*0.00005),ABS($E2292-INDEX('AH History'!$D$1:$D$18046,$H2292))&lt;=0.00005,$F2292=INDEX('AH History'!$E$1:$E$18046,$H2292),$G2292=INDEX('AH History'!$F$1:$F$18046,$H2292)),1,-1),-1))</ns0:f>
        <ns0:v/>
      </ns0:c>
    </ns0:row>
    <ns0:row r="2293">
      <ns0:c r="A2293" s="215">
        <ns0:f>IF(OR(AH!$P$3=0,2288+1&gt;AH!$P$11,AND(AH!$E$4&lt;&gt;"Stored",AH!$P$10&lt;&gt;1)),"",IFERROR(IF(AND(AH!$P$21=1,2288+1=AH!$P$11),TODAY(),IF(AH!$P$10=1,INDEX('Live History'!$A$5:$A$3004,AH!$P$13+2288),INDEX('AH History'!$A$1:$A$18046,AH!$P$7+2288))),""))</ns0:f>
        <ns0:v/>
      </ns0:c>
      <ns0:c r="B2293" s="219">
        <ns0:f>IFERROR(IF(AND(AH!$P$9&lt;&gt;1,$C2293&gt;0,$D2293&gt;0,$E2293&gt;0,$F2293&gt;0,$G2293&gt;0,$F2293&lt;=$A2293,$G2293&lt;=$A2293,$A2293-$F2293&lt;=10,$A2293-$G2293&lt;=5),$D2293*$E2293/$C2293-1,NA()),NA())</ns0:f>
        <ns0:v/>
      </ns0:c>
      <ns0:c r="C2293">
        <ns0:f>IFERROR(IF(ISNUMBER($A2293),IF(AND(AH!$P$10=1,AH!$P$12=1,$A2293=TODAY()),AH!$P$19,IF(AH!$P$10=1,INDEX('Live History'!$B$5:$B$3004,AH!$P$13+2288),INDEX('AH History'!$B$1:$B$18046,AH!$P$7+2288))),NA()),NA())</ns0:f>
        <ns0:v/>
      </ns0:c>
      <ns0:c r="D2293">
        <ns0:f>IFERROR(IF(ISNUMBER($A2293),IF(AND(AH!$P$10=1,AH!$P$12=1,$A2293=TODAY()),AH!$P$18,IF(AH!$P$10=1,INDEX('Live History'!$E$5:$E$3004,MATCH($A2293,'Live History'!$D$5:$D$3004,1)),INDEX('AH History'!$C$1:$C$18046,AH!$P$7+2288))),NA()),NA())</ns0:f>
        <ns0:v/>
      </ns0:c>
      <ns0:c r="E2293">
        <ns0:f>IFERROR(IF(ISNUMBER($A2293),IF(AND(AH!$P$10=1,AH!$P$12=1,$A2293=TODAY()),AH!$P$20,IF(AH!$P$10=1,INDEX('Live History'!$H$5:$H$3004,MATCH($A2293,'Live History'!$G$5:$G$3004,1)),INDEX('AH History'!$D$1:$D$18046,AH!$P$7+2288))),NA()),NA())</ns0:f>
        <ns0:v/>
      </ns0:c>
      <ns0:c r="F2293">
        <ns0:f>IFERROR(IF(ISNUMBER($A2293),IF(AND(AH!$P$10=1,AH!$P$12=1,$A2293=TODAY()),IF(AND(AH!$P$10=1,AH!$P$12=1,$A2293=TODAY()),TODAY(),NA()),IF(AH!$P$10=1,INDEX('Live History'!$D$5:$D$3004,MATCH($A2293,'Live History'!$D$5:$D$3004,1)),INDEX('AH History'!$E$1:$E$18046,AH!$P$7+2288))),NA()),NA())</ns0:f>
        <ns0:v/>
      </ns0:c>
      <ns0:c r="G2293">
        <ns0:f>IFERROR(IF(ISNUMBER($A2293),IF(AND(AH!$P$10=1,AH!$P$12=1,$A2293=TODAY()),IF(AND(AH!$P$10=1,AH!$P$12=1,$A2293=TODAY()),TODAY(),NA()),IF(AH!$P$10=1,INDEX('Live History'!$G$5:$G$3004,MATCH($A2293,'Live History'!$G$5:$G$3004,1)),INDEX('AH History'!$F$1:$F$18046,AH!$P$7+2288))),NA()),NA())</ns0:f>
        <ns0:v/>
      </ns0:c>
      <ns0:c r="H2293">
        <ns0:f>IFERROR(IF(AND(AH!$E$4="Bloomberg",AH!$P$10=1,ISNUMBER($A2293),$A2293&lt;=AH!$P$17),AH!$P$7-1+MATCH($A2293,INDEX('AH History'!$A$1:$A$18046,AH!$P$7):INDEX('AH History'!$A$1:$A$18046,AH!$P$7+AH!$P$8-1),0),0),0)</ns0:f>
        <ns0:v/>
      </ns0:c>
      <ns0:c r="I2293">
        <ns0:f>IF($H2293=0,0,IFERROR(IF(AND(ABS($C2293-INDEX('AH History'!$B$1:$B$18046,$H2293))&lt;=MAX(0.005,ABS(INDEX('AH History'!$B$1:$B$18046,$H2293))*0.00005),ABS($D2293-INDEX('AH History'!$C$1:$C$18046,$H2293))&lt;=MAX(0.005,ABS(INDEX('AH History'!$C$1:$C$18046,$H2293))*0.00005),ABS($E2293-INDEX('AH History'!$D$1:$D$18046,$H2293))&lt;=0.00005,$F2293=INDEX('AH History'!$E$1:$E$18046,$H2293),$G2293=INDEX('AH History'!$F$1:$F$18046,$H2293)),1,-1),-1))</ns0:f>
        <ns0:v/>
      </ns0:c>
    </ns0:row>
    <ns0:row r="2294">
      <ns0:c r="A2294" s="215">
        <ns0:f>IF(OR(AH!$P$3=0,2289+1&gt;AH!$P$11,AND(AH!$E$4&lt;&gt;"Stored",AH!$P$10&lt;&gt;1)),"",IFERROR(IF(AND(AH!$P$21=1,2289+1=AH!$P$11),TODAY(),IF(AH!$P$10=1,INDEX('Live History'!$A$5:$A$3004,AH!$P$13+2289),INDEX('AH History'!$A$1:$A$18046,AH!$P$7+2289))),""))</ns0:f>
        <ns0:v/>
      </ns0:c>
      <ns0:c r="B2294" s="219">
        <ns0:f>IFERROR(IF(AND(AH!$P$9&lt;&gt;1,$C2294&gt;0,$D2294&gt;0,$E2294&gt;0,$F2294&gt;0,$G2294&gt;0,$F2294&lt;=$A2294,$G2294&lt;=$A2294,$A2294-$F2294&lt;=10,$A2294-$G2294&lt;=5),$D2294*$E2294/$C2294-1,NA()),NA())</ns0:f>
        <ns0:v/>
      </ns0:c>
      <ns0:c r="C2294">
        <ns0:f>IFERROR(IF(ISNUMBER($A2294),IF(AND(AH!$P$10=1,AH!$P$12=1,$A2294=TODAY()),AH!$P$19,IF(AH!$P$10=1,INDEX('Live History'!$B$5:$B$3004,AH!$P$13+2289),INDEX('AH History'!$B$1:$B$18046,AH!$P$7+2289))),NA()),NA())</ns0:f>
        <ns0:v/>
      </ns0:c>
      <ns0:c r="D2294">
        <ns0:f>IFERROR(IF(ISNUMBER($A2294),IF(AND(AH!$P$10=1,AH!$P$12=1,$A2294=TODAY()),AH!$P$18,IF(AH!$P$10=1,INDEX('Live History'!$E$5:$E$3004,MATCH($A2294,'Live History'!$D$5:$D$3004,1)),INDEX('AH History'!$C$1:$C$18046,AH!$P$7+2289))),NA()),NA())</ns0:f>
        <ns0:v/>
      </ns0:c>
      <ns0:c r="E2294">
        <ns0:f>IFERROR(IF(ISNUMBER($A2294),IF(AND(AH!$P$10=1,AH!$P$12=1,$A2294=TODAY()),AH!$P$20,IF(AH!$P$10=1,INDEX('Live History'!$H$5:$H$3004,MATCH($A2294,'Live History'!$G$5:$G$3004,1)),INDEX('AH History'!$D$1:$D$18046,AH!$P$7+2289))),NA()),NA())</ns0:f>
        <ns0:v/>
      </ns0:c>
      <ns0:c r="F2294">
        <ns0:f>IFERROR(IF(ISNUMBER($A2294),IF(AND(AH!$P$10=1,AH!$P$12=1,$A2294=TODAY()),IF(AND(AH!$P$10=1,AH!$P$12=1,$A2294=TODAY()),TODAY(),NA()),IF(AH!$P$10=1,INDEX('Live History'!$D$5:$D$3004,MATCH($A2294,'Live History'!$D$5:$D$3004,1)),INDEX('AH History'!$E$1:$E$18046,AH!$P$7+2289))),NA()),NA())</ns0:f>
        <ns0:v/>
      </ns0:c>
      <ns0:c r="G2294">
        <ns0:f>IFERROR(IF(ISNUMBER($A2294),IF(AND(AH!$P$10=1,AH!$P$12=1,$A2294=TODAY()),IF(AND(AH!$P$10=1,AH!$P$12=1,$A2294=TODAY()),TODAY(),NA()),IF(AH!$P$10=1,INDEX('Live History'!$G$5:$G$3004,MATCH($A2294,'Live History'!$G$5:$G$3004,1)),INDEX('AH History'!$F$1:$F$18046,AH!$P$7+2289))),NA()),NA())</ns0:f>
        <ns0:v/>
      </ns0:c>
      <ns0:c r="H2294">
        <ns0:f>IFERROR(IF(AND(AH!$E$4="Bloomberg",AH!$P$10=1,ISNUMBER($A2294),$A2294&lt;=AH!$P$17),AH!$P$7-1+MATCH($A2294,INDEX('AH History'!$A$1:$A$18046,AH!$P$7):INDEX('AH History'!$A$1:$A$18046,AH!$P$7+AH!$P$8-1),0),0),0)</ns0:f>
        <ns0:v/>
      </ns0:c>
      <ns0:c r="I2294">
        <ns0:f>IF($H2294=0,0,IFERROR(IF(AND(ABS($C2294-INDEX('AH History'!$B$1:$B$18046,$H2294))&lt;=MAX(0.005,ABS(INDEX('AH History'!$B$1:$B$18046,$H2294))*0.00005),ABS($D2294-INDEX('AH History'!$C$1:$C$18046,$H2294))&lt;=MAX(0.005,ABS(INDEX('AH History'!$C$1:$C$18046,$H2294))*0.00005),ABS($E2294-INDEX('AH History'!$D$1:$D$18046,$H2294))&lt;=0.00005,$F2294=INDEX('AH History'!$E$1:$E$18046,$H2294),$G2294=INDEX('AH History'!$F$1:$F$18046,$H2294)),1,-1),-1))</ns0:f>
        <ns0:v/>
      </ns0:c>
    </ns0:row>
    <ns0:row r="2295">
      <ns0:c r="A2295" s="215">
        <ns0:f>IF(OR(AH!$P$3=0,2290+1&gt;AH!$P$11,AND(AH!$E$4&lt;&gt;"Stored",AH!$P$10&lt;&gt;1)),"",IFERROR(IF(AND(AH!$P$21=1,2290+1=AH!$P$11),TODAY(),IF(AH!$P$10=1,INDEX('Live History'!$A$5:$A$3004,AH!$P$13+2290),INDEX('AH History'!$A$1:$A$18046,AH!$P$7+2290))),""))</ns0:f>
        <ns0:v/>
      </ns0:c>
      <ns0:c r="B2295" s="219">
        <ns0:f>IFERROR(IF(AND(AH!$P$9&lt;&gt;1,$C2295&gt;0,$D2295&gt;0,$E2295&gt;0,$F2295&gt;0,$G2295&gt;0,$F2295&lt;=$A2295,$G2295&lt;=$A2295,$A2295-$F2295&lt;=10,$A2295-$G2295&lt;=5),$D2295*$E2295/$C2295-1,NA()),NA())</ns0:f>
        <ns0:v/>
      </ns0:c>
      <ns0:c r="C2295">
        <ns0:f>IFERROR(IF(ISNUMBER($A2295),IF(AND(AH!$P$10=1,AH!$P$12=1,$A2295=TODAY()),AH!$P$19,IF(AH!$P$10=1,INDEX('Live History'!$B$5:$B$3004,AH!$P$13+2290),INDEX('AH History'!$B$1:$B$18046,AH!$P$7+2290))),NA()),NA())</ns0:f>
        <ns0:v/>
      </ns0:c>
      <ns0:c r="D2295">
        <ns0:f>IFERROR(IF(ISNUMBER($A2295),IF(AND(AH!$P$10=1,AH!$P$12=1,$A2295=TODAY()),AH!$P$18,IF(AH!$P$10=1,INDEX('Live History'!$E$5:$E$3004,MATCH($A2295,'Live History'!$D$5:$D$3004,1)),INDEX('AH History'!$C$1:$C$18046,AH!$P$7+2290))),NA()),NA())</ns0:f>
        <ns0:v/>
      </ns0:c>
      <ns0:c r="E2295">
        <ns0:f>IFERROR(IF(ISNUMBER($A2295),IF(AND(AH!$P$10=1,AH!$P$12=1,$A2295=TODAY()),AH!$P$20,IF(AH!$P$10=1,INDEX('Live History'!$H$5:$H$3004,MATCH($A2295,'Live History'!$G$5:$G$3004,1)),INDEX('AH History'!$D$1:$D$18046,AH!$P$7+2290))),NA()),NA())</ns0:f>
        <ns0:v/>
      </ns0:c>
      <ns0:c r="F2295">
        <ns0:f>IFERROR(IF(ISNUMBER($A2295),IF(AND(AH!$P$10=1,AH!$P$12=1,$A2295=TODAY()),IF(AND(AH!$P$10=1,AH!$P$12=1,$A2295=TODAY()),TODAY(),NA()),IF(AH!$P$10=1,INDEX('Live History'!$D$5:$D$3004,MATCH($A2295,'Live History'!$D$5:$D$3004,1)),INDEX('AH History'!$E$1:$E$18046,AH!$P$7+2290))),NA()),NA())</ns0:f>
        <ns0:v/>
      </ns0:c>
      <ns0:c r="G2295">
        <ns0:f>IFERROR(IF(ISNUMBER($A2295),IF(AND(AH!$P$10=1,AH!$P$12=1,$A2295=TODAY()),IF(AND(AH!$P$10=1,AH!$P$12=1,$A2295=TODAY()),TODAY(),NA()),IF(AH!$P$10=1,INDEX('Live History'!$G$5:$G$3004,MATCH($A2295,'Live History'!$G$5:$G$3004,1)),INDEX('AH History'!$F$1:$F$18046,AH!$P$7+2290))),NA()),NA())</ns0:f>
        <ns0:v/>
      </ns0:c>
      <ns0:c r="H2295">
        <ns0:f>IFERROR(IF(AND(AH!$E$4="Bloomberg",AH!$P$10=1,ISNUMBER($A2295),$A2295&lt;=AH!$P$17),AH!$P$7-1+MATCH($A2295,INDEX('AH History'!$A$1:$A$18046,AH!$P$7):INDEX('AH History'!$A$1:$A$18046,AH!$P$7+AH!$P$8-1),0),0),0)</ns0:f>
        <ns0:v/>
      </ns0:c>
      <ns0:c r="I2295">
        <ns0:f>IF($H2295=0,0,IFERROR(IF(AND(ABS($C2295-INDEX('AH History'!$B$1:$B$18046,$H2295))&lt;=MAX(0.005,ABS(INDEX('AH History'!$B$1:$B$18046,$H2295))*0.00005),ABS($D2295-INDEX('AH History'!$C$1:$C$18046,$H2295))&lt;=MAX(0.005,ABS(INDEX('AH History'!$C$1:$C$18046,$H2295))*0.00005),ABS($E2295-INDEX('AH History'!$D$1:$D$18046,$H2295))&lt;=0.00005,$F2295=INDEX('AH History'!$E$1:$E$18046,$H2295),$G2295=INDEX('AH History'!$F$1:$F$18046,$H2295)),1,-1),-1))</ns0:f>
        <ns0:v/>
      </ns0:c>
    </ns0:row>
    <ns0:row r="2296">
      <ns0:c r="A2296" s="215">
        <ns0:f>IF(OR(AH!$P$3=0,2291+1&gt;AH!$P$11,AND(AH!$E$4&lt;&gt;"Stored",AH!$P$10&lt;&gt;1)),"",IFERROR(IF(AND(AH!$P$21=1,2291+1=AH!$P$11),TODAY(),IF(AH!$P$10=1,INDEX('Live History'!$A$5:$A$3004,AH!$P$13+2291),INDEX('AH History'!$A$1:$A$18046,AH!$P$7+2291))),""))</ns0:f>
        <ns0:v/>
      </ns0:c>
      <ns0:c r="B2296" s="219">
        <ns0:f>IFERROR(IF(AND(AH!$P$9&lt;&gt;1,$C2296&gt;0,$D2296&gt;0,$E2296&gt;0,$F2296&gt;0,$G2296&gt;0,$F2296&lt;=$A2296,$G2296&lt;=$A2296,$A2296-$F2296&lt;=10,$A2296-$G2296&lt;=5),$D2296*$E2296/$C2296-1,NA()),NA())</ns0:f>
        <ns0:v/>
      </ns0:c>
      <ns0:c r="C2296">
        <ns0:f>IFERROR(IF(ISNUMBER($A2296),IF(AND(AH!$P$10=1,AH!$P$12=1,$A2296=TODAY()),AH!$P$19,IF(AH!$P$10=1,INDEX('Live History'!$B$5:$B$3004,AH!$P$13+2291),INDEX('AH History'!$B$1:$B$18046,AH!$P$7+2291))),NA()),NA())</ns0:f>
        <ns0:v/>
      </ns0:c>
      <ns0:c r="D2296">
        <ns0:f>IFERROR(IF(ISNUMBER($A2296),IF(AND(AH!$P$10=1,AH!$P$12=1,$A2296=TODAY()),AH!$P$18,IF(AH!$P$10=1,INDEX('Live History'!$E$5:$E$3004,MATCH($A2296,'Live History'!$D$5:$D$3004,1)),INDEX('AH History'!$C$1:$C$18046,AH!$P$7+2291))),NA()),NA())</ns0:f>
        <ns0:v/>
      </ns0:c>
      <ns0:c r="E2296">
        <ns0:f>IFERROR(IF(ISNUMBER($A2296),IF(AND(AH!$P$10=1,AH!$P$12=1,$A2296=TODAY()),AH!$P$20,IF(AH!$P$10=1,INDEX('Live History'!$H$5:$H$3004,MATCH($A2296,'Live History'!$G$5:$G$3004,1)),INDEX('AH History'!$D$1:$D$18046,AH!$P$7+2291))),NA()),NA())</ns0:f>
        <ns0:v/>
      </ns0:c>
      <ns0:c r="F2296">
        <ns0:f>IFERROR(IF(ISNUMBER($A2296),IF(AND(AH!$P$10=1,AH!$P$12=1,$A2296=TODAY()),IF(AND(AH!$P$10=1,AH!$P$12=1,$A2296=TODAY()),TODAY(),NA()),IF(AH!$P$10=1,INDEX('Live History'!$D$5:$D$3004,MATCH($A2296,'Live History'!$D$5:$D$3004,1)),INDEX('AH History'!$E$1:$E$18046,AH!$P$7+2291))),NA()),NA())</ns0:f>
        <ns0:v/>
      </ns0:c>
      <ns0:c r="G2296">
        <ns0:f>IFERROR(IF(ISNUMBER($A2296),IF(AND(AH!$P$10=1,AH!$P$12=1,$A2296=TODAY()),IF(AND(AH!$P$10=1,AH!$P$12=1,$A2296=TODAY()),TODAY(),NA()),IF(AH!$P$10=1,INDEX('Live History'!$G$5:$G$3004,MATCH($A2296,'Live History'!$G$5:$G$3004,1)),INDEX('AH History'!$F$1:$F$18046,AH!$P$7+2291))),NA()),NA())</ns0:f>
        <ns0:v/>
      </ns0:c>
      <ns0:c r="H2296">
        <ns0:f>IFERROR(IF(AND(AH!$E$4="Bloomberg",AH!$P$10=1,ISNUMBER($A2296),$A2296&lt;=AH!$P$17),AH!$P$7-1+MATCH($A2296,INDEX('AH History'!$A$1:$A$18046,AH!$P$7):INDEX('AH History'!$A$1:$A$18046,AH!$P$7+AH!$P$8-1),0),0),0)</ns0:f>
        <ns0:v/>
      </ns0:c>
      <ns0:c r="I2296">
        <ns0:f>IF($H2296=0,0,IFERROR(IF(AND(ABS($C2296-INDEX('AH History'!$B$1:$B$18046,$H2296))&lt;=MAX(0.005,ABS(INDEX('AH History'!$B$1:$B$18046,$H2296))*0.00005),ABS($D2296-INDEX('AH History'!$C$1:$C$18046,$H2296))&lt;=MAX(0.005,ABS(INDEX('AH History'!$C$1:$C$18046,$H2296))*0.00005),ABS($E2296-INDEX('AH History'!$D$1:$D$18046,$H2296))&lt;=0.00005,$F2296=INDEX('AH History'!$E$1:$E$18046,$H2296),$G2296=INDEX('AH History'!$F$1:$F$18046,$H2296)),1,-1),-1))</ns0:f>
        <ns0:v/>
      </ns0:c>
    </ns0:row>
    <ns0:row r="2297">
      <ns0:c r="A2297" s="215">
        <ns0:f>IF(OR(AH!$P$3=0,2292+1&gt;AH!$P$11,AND(AH!$E$4&lt;&gt;"Stored",AH!$P$10&lt;&gt;1)),"",IFERROR(IF(AND(AH!$P$21=1,2292+1=AH!$P$11),TODAY(),IF(AH!$P$10=1,INDEX('Live History'!$A$5:$A$3004,AH!$P$13+2292),INDEX('AH History'!$A$1:$A$18046,AH!$P$7+2292))),""))</ns0:f>
        <ns0:v/>
      </ns0:c>
      <ns0:c r="B2297" s="219">
        <ns0:f>IFERROR(IF(AND(AH!$P$9&lt;&gt;1,$C2297&gt;0,$D2297&gt;0,$E2297&gt;0,$F2297&gt;0,$G2297&gt;0,$F2297&lt;=$A2297,$G2297&lt;=$A2297,$A2297-$F2297&lt;=10,$A2297-$G2297&lt;=5),$D2297*$E2297/$C2297-1,NA()),NA())</ns0:f>
        <ns0:v/>
      </ns0:c>
      <ns0:c r="C2297">
        <ns0:f>IFERROR(IF(ISNUMBER($A2297),IF(AND(AH!$P$10=1,AH!$P$12=1,$A2297=TODAY()),AH!$P$19,IF(AH!$P$10=1,INDEX('Live History'!$B$5:$B$3004,AH!$P$13+2292),INDEX('AH History'!$B$1:$B$18046,AH!$P$7+2292))),NA()),NA())</ns0:f>
        <ns0:v/>
      </ns0:c>
      <ns0:c r="D2297">
        <ns0:f>IFERROR(IF(ISNUMBER($A2297),IF(AND(AH!$P$10=1,AH!$P$12=1,$A2297=TODAY()),AH!$P$18,IF(AH!$P$10=1,INDEX('Live History'!$E$5:$E$3004,MATCH($A2297,'Live History'!$D$5:$D$3004,1)),INDEX('AH History'!$C$1:$C$18046,AH!$P$7+2292))),NA()),NA())</ns0:f>
        <ns0:v/>
      </ns0:c>
      <ns0:c r="E2297">
        <ns0:f>IFERROR(IF(ISNUMBER($A2297),IF(AND(AH!$P$10=1,AH!$P$12=1,$A2297=TODAY()),AH!$P$20,IF(AH!$P$10=1,INDEX('Live History'!$H$5:$H$3004,MATCH($A2297,'Live History'!$G$5:$G$3004,1)),INDEX('AH History'!$D$1:$D$18046,AH!$P$7+2292))),NA()),NA())</ns0:f>
        <ns0:v/>
      </ns0:c>
      <ns0:c r="F2297">
        <ns0:f>IFERROR(IF(ISNUMBER($A2297),IF(AND(AH!$P$10=1,AH!$P$12=1,$A2297=TODAY()),IF(AND(AH!$P$10=1,AH!$P$12=1,$A2297=TODAY()),TODAY(),NA()),IF(AH!$P$10=1,INDEX('Live History'!$D$5:$D$3004,MATCH($A2297,'Live History'!$D$5:$D$3004,1)),INDEX('AH History'!$E$1:$E$18046,AH!$P$7+2292))),NA()),NA())</ns0:f>
        <ns0:v/>
      </ns0:c>
      <ns0:c r="G2297">
        <ns0:f>IFERROR(IF(ISNUMBER($A2297),IF(AND(AH!$P$10=1,AH!$P$12=1,$A2297=TODAY()),IF(AND(AH!$P$10=1,AH!$P$12=1,$A2297=TODAY()),TODAY(),NA()),IF(AH!$P$10=1,INDEX('Live History'!$G$5:$G$3004,MATCH($A2297,'Live History'!$G$5:$G$3004,1)),INDEX('AH History'!$F$1:$F$18046,AH!$P$7+2292))),NA()),NA())</ns0:f>
        <ns0:v/>
      </ns0:c>
      <ns0:c r="H2297">
        <ns0:f>IFERROR(IF(AND(AH!$E$4="Bloomberg",AH!$P$10=1,ISNUMBER($A2297),$A2297&lt;=AH!$P$17),AH!$P$7-1+MATCH($A2297,INDEX('AH History'!$A$1:$A$18046,AH!$P$7):INDEX('AH History'!$A$1:$A$18046,AH!$P$7+AH!$P$8-1),0),0),0)</ns0:f>
        <ns0:v/>
      </ns0:c>
      <ns0:c r="I2297">
        <ns0:f>IF($H2297=0,0,IFERROR(IF(AND(ABS($C2297-INDEX('AH History'!$B$1:$B$18046,$H2297))&lt;=MAX(0.005,ABS(INDEX('AH History'!$B$1:$B$18046,$H2297))*0.00005),ABS($D2297-INDEX('AH History'!$C$1:$C$18046,$H2297))&lt;=MAX(0.005,ABS(INDEX('AH History'!$C$1:$C$18046,$H2297))*0.00005),ABS($E2297-INDEX('AH History'!$D$1:$D$18046,$H2297))&lt;=0.00005,$F2297=INDEX('AH History'!$E$1:$E$18046,$H2297),$G2297=INDEX('AH History'!$F$1:$F$18046,$H2297)),1,-1),-1))</ns0:f>
        <ns0:v/>
      </ns0:c>
    </ns0:row>
    <ns0:row r="2298">
      <ns0:c r="A2298" s="215">
        <ns0:f>IF(OR(AH!$P$3=0,2293+1&gt;AH!$P$11,AND(AH!$E$4&lt;&gt;"Stored",AH!$P$10&lt;&gt;1)),"",IFERROR(IF(AND(AH!$P$21=1,2293+1=AH!$P$11),TODAY(),IF(AH!$P$10=1,INDEX('Live History'!$A$5:$A$3004,AH!$P$13+2293),INDEX('AH History'!$A$1:$A$18046,AH!$P$7+2293))),""))</ns0:f>
        <ns0:v/>
      </ns0:c>
      <ns0:c r="B2298" s="219">
        <ns0:f>IFERROR(IF(AND(AH!$P$9&lt;&gt;1,$C2298&gt;0,$D2298&gt;0,$E2298&gt;0,$F2298&gt;0,$G2298&gt;0,$F2298&lt;=$A2298,$G2298&lt;=$A2298,$A2298-$F2298&lt;=10,$A2298-$G2298&lt;=5),$D2298*$E2298/$C2298-1,NA()),NA())</ns0:f>
        <ns0:v/>
      </ns0:c>
      <ns0:c r="C2298">
        <ns0:f>IFERROR(IF(ISNUMBER($A2298),IF(AND(AH!$P$10=1,AH!$P$12=1,$A2298=TODAY()),AH!$P$19,IF(AH!$P$10=1,INDEX('Live History'!$B$5:$B$3004,AH!$P$13+2293),INDEX('AH History'!$B$1:$B$18046,AH!$P$7+2293))),NA()),NA())</ns0:f>
        <ns0:v/>
      </ns0:c>
      <ns0:c r="D2298">
        <ns0:f>IFERROR(IF(ISNUMBER($A2298),IF(AND(AH!$P$10=1,AH!$P$12=1,$A2298=TODAY()),AH!$P$18,IF(AH!$P$10=1,INDEX('Live History'!$E$5:$E$3004,MATCH($A2298,'Live History'!$D$5:$D$3004,1)),INDEX('AH History'!$C$1:$C$18046,AH!$P$7+2293))),NA()),NA())</ns0:f>
        <ns0:v/>
      </ns0:c>
      <ns0:c r="E2298">
        <ns0:f>IFERROR(IF(ISNUMBER($A2298),IF(AND(AH!$P$10=1,AH!$P$12=1,$A2298=TODAY()),AH!$P$20,IF(AH!$P$10=1,INDEX('Live History'!$H$5:$H$3004,MATCH($A2298,'Live History'!$G$5:$G$3004,1)),INDEX('AH History'!$D$1:$D$18046,AH!$P$7+2293))),NA()),NA())</ns0:f>
        <ns0:v/>
      </ns0:c>
      <ns0:c r="F2298">
        <ns0:f>IFERROR(IF(ISNUMBER($A2298),IF(AND(AH!$P$10=1,AH!$P$12=1,$A2298=TODAY()),IF(AND(AH!$P$10=1,AH!$P$12=1,$A2298=TODAY()),TODAY(),NA()),IF(AH!$P$10=1,INDEX('Live History'!$D$5:$D$3004,MATCH($A2298,'Live History'!$D$5:$D$3004,1)),INDEX('AH History'!$E$1:$E$18046,AH!$P$7+2293))),NA()),NA())</ns0:f>
        <ns0:v/>
      </ns0:c>
      <ns0:c r="G2298">
        <ns0:f>IFERROR(IF(ISNUMBER($A2298),IF(AND(AH!$P$10=1,AH!$P$12=1,$A2298=TODAY()),IF(AND(AH!$P$10=1,AH!$P$12=1,$A2298=TODAY()),TODAY(),NA()),IF(AH!$P$10=1,INDEX('Live History'!$G$5:$G$3004,MATCH($A2298,'Live History'!$G$5:$G$3004,1)),INDEX('AH History'!$F$1:$F$18046,AH!$P$7+2293))),NA()),NA())</ns0:f>
        <ns0:v/>
      </ns0:c>
      <ns0:c r="H2298">
        <ns0:f>IFERROR(IF(AND(AH!$E$4="Bloomberg",AH!$P$10=1,ISNUMBER($A2298),$A2298&lt;=AH!$P$17),AH!$P$7-1+MATCH($A2298,INDEX('AH History'!$A$1:$A$18046,AH!$P$7):INDEX('AH History'!$A$1:$A$18046,AH!$P$7+AH!$P$8-1),0),0),0)</ns0:f>
        <ns0:v/>
      </ns0:c>
      <ns0:c r="I2298">
        <ns0:f>IF($H2298=0,0,IFERROR(IF(AND(ABS($C2298-INDEX('AH History'!$B$1:$B$18046,$H2298))&lt;=MAX(0.005,ABS(INDEX('AH History'!$B$1:$B$18046,$H2298))*0.00005),ABS($D2298-INDEX('AH History'!$C$1:$C$18046,$H2298))&lt;=MAX(0.005,ABS(INDEX('AH History'!$C$1:$C$18046,$H2298))*0.00005),ABS($E2298-INDEX('AH History'!$D$1:$D$18046,$H2298))&lt;=0.00005,$F2298=INDEX('AH History'!$E$1:$E$18046,$H2298),$G2298=INDEX('AH History'!$F$1:$F$18046,$H2298)),1,-1),-1))</ns0:f>
        <ns0:v/>
      </ns0:c>
    </ns0:row>
    <ns0:row r="2299">
      <ns0:c r="A2299" s="215">
        <ns0:f>IF(OR(AH!$P$3=0,2294+1&gt;AH!$P$11,AND(AH!$E$4&lt;&gt;"Stored",AH!$P$10&lt;&gt;1)),"",IFERROR(IF(AND(AH!$P$21=1,2294+1=AH!$P$11),TODAY(),IF(AH!$P$10=1,INDEX('Live History'!$A$5:$A$3004,AH!$P$13+2294),INDEX('AH History'!$A$1:$A$18046,AH!$P$7+2294))),""))</ns0:f>
        <ns0:v/>
      </ns0:c>
      <ns0:c r="B2299" s="219">
        <ns0:f>IFERROR(IF(AND(AH!$P$9&lt;&gt;1,$C2299&gt;0,$D2299&gt;0,$E2299&gt;0,$F2299&gt;0,$G2299&gt;0,$F2299&lt;=$A2299,$G2299&lt;=$A2299,$A2299-$F2299&lt;=10,$A2299-$G2299&lt;=5),$D2299*$E2299/$C2299-1,NA()),NA())</ns0:f>
        <ns0:v/>
      </ns0:c>
      <ns0:c r="C2299">
        <ns0:f>IFERROR(IF(ISNUMBER($A2299),IF(AND(AH!$P$10=1,AH!$P$12=1,$A2299=TODAY()),AH!$P$19,IF(AH!$P$10=1,INDEX('Live History'!$B$5:$B$3004,AH!$P$13+2294),INDEX('AH History'!$B$1:$B$18046,AH!$P$7+2294))),NA()),NA())</ns0:f>
        <ns0:v/>
      </ns0:c>
      <ns0:c r="D2299">
        <ns0:f>IFERROR(IF(ISNUMBER($A2299),IF(AND(AH!$P$10=1,AH!$P$12=1,$A2299=TODAY()),AH!$P$18,IF(AH!$P$10=1,INDEX('Live History'!$E$5:$E$3004,MATCH($A2299,'Live History'!$D$5:$D$3004,1)),INDEX('AH History'!$C$1:$C$18046,AH!$P$7+2294))),NA()),NA())</ns0:f>
        <ns0:v/>
      </ns0:c>
      <ns0:c r="E2299">
        <ns0:f>IFERROR(IF(ISNUMBER($A2299),IF(AND(AH!$P$10=1,AH!$P$12=1,$A2299=TODAY()),AH!$P$20,IF(AH!$P$10=1,INDEX('Live History'!$H$5:$H$3004,MATCH($A2299,'Live History'!$G$5:$G$3004,1)),INDEX('AH History'!$D$1:$D$18046,AH!$P$7+2294))),NA()),NA())</ns0:f>
        <ns0:v/>
      </ns0:c>
      <ns0:c r="F2299">
        <ns0:f>IFERROR(IF(ISNUMBER($A2299),IF(AND(AH!$P$10=1,AH!$P$12=1,$A2299=TODAY()),IF(AND(AH!$P$10=1,AH!$P$12=1,$A2299=TODAY()),TODAY(),NA()),IF(AH!$P$10=1,INDEX('Live History'!$D$5:$D$3004,MATCH($A2299,'Live History'!$D$5:$D$3004,1)),INDEX('AH History'!$E$1:$E$18046,AH!$P$7+2294))),NA()),NA())</ns0:f>
        <ns0:v/>
      </ns0:c>
      <ns0:c r="G2299">
        <ns0:f>IFERROR(IF(ISNUMBER($A2299),IF(AND(AH!$P$10=1,AH!$P$12=1,$A2299=TODAY()),IF(AND(AH!$P$10=1,AH!$P$12=1,$A2299=TODAY()),TODAY(),NA()),IF(AH!$P$10=1,INDEX('Live History'!$G$5:$G$3004,MATCH($A2299,'Live History'!$G$5:$G$3004,1)),INDEX('AH History'!$F$1:$F$18046,AH!$P$7+2294))),NA()),NA())</ns0:f>
        <ns0:v/>
      </ns0:c>
      <ns0:c r="H2299">
        <ns0:f>IFERROR(IF(AND(AH!$E$4="Bloomberg",AH!$P$10=1,ISNUMBER($A2299),$A2299&lt;=AH!$P$17),AH!$P$7-1+MATCH($A2299,INDEX('AH History'!$A$1:$A$18046,AH!$P$7):INDEX('AH History'!$A$1:$A$18046,AH!$P$7+AH!$P$8-1),0),0),0)</ns0:f>
        <ns0:v/>
      </ns0:c>
      <ns0:c r="I2299">
        <ns0:f>IF($H2299=0,0,IFERROR(IF(AND(ABS($C2299-INDEX('AH History'!$B$1:$B$18046,$H2299))&lt;=MAX(0.005,ABS(INDEX('AH History'!$B$1:$B$18046,$H2299))*0.00005),ABS($D2299-INDEX('AH History'!$C$1:$C$18046,$H2299))&lt;=MAX(0.005,ABS(INDEX('AH History'!$C$1:$C$18046,$H2299))*0.00005),ABS($E2299-INDEX('AH History'!$D$1:$D$18046,$H2299))&lt;=0.00005,$F2299=INDEX('AH History'!$E$1:$E$18046,$H2299),$G2299=INDEX('AH History'!$F$1:$F$18046,$H2299)),1,-1),-1))</ns0:f>
        <ns0:v/>
      </ns0:c>
    </ns0:row>
    <ns0:row r="2300">
      <ns0:c r="A2300" s="215">
        <ns0:f>IF(OR(AH!$P$3=0,2295+1&gt;AH!$P$11,AND(AH!$E$4&lt;&gt;"Stored",AH!$P$10&lt;&gt;1)),"",IFERROR(IF(AND(AH!$P$21=1,2295+1=AH!$P$11),TODAY(),IF(AH!$P$10=1,INDEX('Live History'!$A$5:$A$3004,AH!$P$13+2295),INDEX('AH History'!$A$1:$A$18046,AH!$P$7+2295))),""))</ns0:f>
        <ns0:v/>
      </ns0:c>
      <ns0:c r="B2300" s="219">
        <ns0:f>IFERROR(IF(AND(AH!$P$9&lt;&gt;1,$C2300&gt;0,$D2300&gt;0,$E2300&gt;0,$F2300&gt;0,$G2300&gt;0,$F2300&lt;=$A2300,$G2300&lt;=$A2300,$A2300-$F2300&lt;=10,$A2300-$G2300&lt;=5),$D2300*$E2300/$C2300-1,NA()),NA())</ns0:f>
        <ns0:v/>
      </ns0:c>
      <ns0:c r="C2300">
        <ns0:f>IFERROR(IF(ISNUMBER($A2300),IF(AND(AH!$P$10=1,AH!$P$12=1,$A2300=TODAY()),AH!$P$19,IF(AH!$P$10=1,INDEX('Live History'!$B$5:$B$3004,AH!$P$13+2295),INDEX('AH History'!$B$1:$B$18046,AH!$P$7+2295))),NA()),NA())</ns0:f>
        <ns0:v/>
      </ns0:c>
      <ns0:c r="D2300">
        <ns0:f>IFERROR(IF(ISNUMBER($A2300),IF(AND(AH!$P$10=1,AH!$P$12=1,$A2300=TODAY()),AH!$P$18,IF(AH!$P$10=1,INDEX('Live History'!$E$5:$E$3004,MATCH($A2300,'Live History'!$D$5:$D$3004,1)),INDEX('AH History'!$C$1:$C$18046,AH!$P$7+2295))),NA()),NA())</ns0:f>
        <ns0:v/>
      </ns0:c>
      <ns0:c r="E2300">
        <ns0:f>IFERROR(IF(ISNUMBER($A2300),IF(AND(AH!$P$10=1,AH!$P$12=1,$A2300=TODAY()),AH!$P$20,IF(AH!$P$10=1,INDEX('Live History'!$H$5:$H$3004,MATCH($A2300,'Live History'!$G$5:$G$3004,1)),INDEX('AH History'!$D$1:$D$18046,AH!$P$7+2295))),NA()),NA())</ns0:f>
        <ns0:v/>
      </ns0:c>
      <ns0:c r="F2300">
        <ns0:f>IFERROR(IF(ISNUMBER($A2300),IF(AND(AH!$P$10=1,AH!$P$12=1,$A2300=TODAY()),IF(AND(AH!$P$10=1,AH!$P$12=1,$A2300=TODAY()),TODAY(),NA()),IF(AH!$P$10=1,INDEX('Live History'!$D$5:$D$3004,MATCH($A2300,'Live History'!$D$5:$D$3004,1)),INDEX('AH History'!$E$1:$E$18046,AH!$P$7+2295))),NA()),NA())</ns0:f>
        <ns0:v/>
      </ns0:c>
      <ns0:c r="G2300">
        <ns0:f>IFERROR(IF(ISNUMBER($A2300),IF(AND(AH!$P$10=1,AH!$P$12=1,$A2300=TODAY()),IF(AND(AH!$P$10=1,AH!$P$12=1,$A2300=TODAY()),TODAY(),NA()),IF(AH!$P$10=1,INDEX('Live History'!$G$5:$G$3004,MATCH($A2300,'Live History'!$G$5:$G$3004,1)),INDEX('AH History'!$F$1:$F$18046,AH!$P$7+2295))),NA()),NA())</ns0:f>
        <ns0:v/>
      </ns0:c>
      <ns0:c r="H2300">
        <ns0:f>IFERROR(IF(AND(AH!$E$4="Bloomberg",AH!$P$10=1,ISNUMBER($A2300),$A2300&lt;=AH!$P$17),AH!$P$7-1+MATCH($A2300,INDEX('AH History'!$A$1:$A$18046,AH!$P$7):INDEX('AH History'!$A$1:$A$18046,AH!$P$7+AH!$P$8-1),0),0),0)</ns0:f>
        <ns0:v/>
      </ns0:c>
      <ns0:c r="I2300">
        <ns0:f>IF($H2300=0,0,IFERROR(IF(AND(ABS($C2300-INDEX('AH History'!$B$1:$B$18046,$H2300))&lt;=MAX(0.005,ABS(INDEX('AH History'!$B$1:$B$18046,$H2300))*0.00005),ABS($D2300-INDEX('AH History'!$C$1:$C$18046,$H2300))&lt;=MAX(0.005,ABS(INDEX('AH History'!$C$1:$C$18046,$H2300))*0.00005),ABS($E2300-INDEX('AH History'!$D$1:$D$18046,$H2300))&lt;=0.00005,$F2300=INDEX('AH History'!$E$1:$E$18046,$H2300),$G2300=INDEX('AH History'!$F$1:$F$18046,$H2300)),1,-1),-1))</ns0:f>
        <ns0:v/>
      </ns0:c>
    </ns0:row>
    <ns0:row r="2301">
      <ns0:c r="A2301" s="215">
        <ns0:f>IF(OR(AH!$P$3=0,2296+1&gt;AH!$P$11,AND(AH!$E$4&lt;&gt;"Stored",AH!$P$10&lt;&gt;1)),"",IFERROR(IF(AND(AH!$P$21=1,2296+1=AH!$P$11),TODAY(),IF(AH!$P$10=1,INDEX('Live History'!$A$5:$A$3004,AH!$P$13+2296),INDEX('AH History'!$A$1:$A$18046,AH!$P$7+2296))),""))</ns0:f>
        <ns0:v/>
      </ns0:c>
      <ns0:c r="B2301" s="219">
        <ns0:f>IFERROR(IF(AND(AH!$P$9&lt;&gt;1,$C2301&gt;0,$D2301&gt;0,$E2301&gt;0,$F2301&gt;0,$G2301&gt;0,$F2301&lt;=$A2301,$G2301&lt;=$A2301,$A2301-$F2301&lt;=10,$A2301-$G2301&lt;=5),$D2301*$E2301/$C2301-1,NA()),NA())</ns0:f>
        <ns0:v/>
      </ns0:c>
      <ns0:c r="C2301">
        <ns0:f>IFERROR(IF(ISNUMBER($A2301),IF(AND(AH!$P$10=1,AH!$P$12=1,$A2301=TODAY()),AH!$P$19,IF(AH!$P$10=1,INDEX('Live History'!$B$5:$B$3004,AH!$P$13+2296),INDEX('AH History'!$B$1:$B$18046,AH!$P$7+2296))),NA()),NA())</ns0:f>
        <ns0:v/>
      </ns0:c>
      <ns0:c r="D2301">
        <ns0:f>IFERROR(IF(ISNUMBER($A2301),IF(AND(AH!$P$10=1,AH!$P$12=1,$A2301=TODAY()),AH!$P$18,IF(AH!$P$10=1,INDEX('Live History'!$E$5:$E$3004,MATCH($A2301,'Live History'!$D$5:$D$3004,1)),INDEX('AH History'!$C$1:$C$18046,AH!$P$7+2296))),NA()),NA())</ns0:f>
        <ns0:v/>
      </ns0:c>
      <ns0:c r="E2301">
        <ns0:f>IFERROR(IF(ISNUMBER($A2301),IF(AND(AH!$P$10=1,AH!$P$12=1,$A2301=TODAY()),AH!$P$20,IF(AH!$P$10=1,INDEX('Live History'!$H$5:$H$3004,MATCH($A2301,'Live History'!$G$5:$G$3004,1)),INDEX('AH History'!$D$1:$D$18046,AH!$P$7+2296))),NA()),NA())</ns0:f>
        <ns0:v/>
      </ns0:c>
      <ns0:c r="F2301">
        <ns0:f>IFERROR(IF(ISNUMBER($A2301),IF(AND(AH!$P$10=1,AH!$P$12=1,$A2301=TODAY()),IF(AND(AH!$P$10=1,AH!$P$12=1,$A2301=TODAY()),TODAY(),NA()),IF(AH!$P$10=1,INDEX('Live History'!$D$5:$D$3004,MATCH($A2301,'Live History'!$D$5:$D$3004,1)),INDEX('AH History'!$E$1:$E$18046,AH!$P$7+2296))),NA()),NA())</ns0:f>
        <ns0:v/>
      </ns0:c>
      <ns0:c r="G2301">
        <ns0:f>IFERROR(IF(ISNUMBER($A2301),IF(AND(AH!$P$10=1,AH!$P$12=1,$A2301=TODAY()),IF(AND(AH!$P$10=1,AH!$P$12=1,$A2301=TODAY()),TODAY(),NA()),IF(AH!$P$10=1,INDEX('Live History'!$G$5:$G$3004,MATCH($A2301,'Live History'!$G$5:$G$3004,1)),INDEX('AH History'!$F$1:$F$18046,AH!$P$7+2296))),NA()),NA())</ns0:f>
        <ns0:v/>
      </ns0:c>
      <ns0:c r="H2301">
        <ns0:f>IFERROR(IF(AND(AH!$E$4="Bloomberg",AH!$P$10=1,ISNUMBER($A2301),$A2301&lt;=AH!$P$17),AH!$P$7-1+MATCH($A2301,INDEX('AH History'!$A$1:$A$18046,AH!$P$7):INDEX('AH History'!$A$1:$A$18046,AH!$P$7+AH!$P$8-1),0),0),0)</ns0:f>
        <ns0:v/>
      </ns0:c>
      <ns0:c r="I2301">
        <ns0:f>IF($H2301=0,0,IFERROR(IF(AND(ABS($C2301-INDEX('AH History'!$B$1:$B$18046,$H2301))&lt;=MAX(0.005,ABS(INDEX('AH History'!$B$1:$B$18046,$H2301))*0.00005),ABS($D2301-INDEX('AH History'!$C$1:$C$18046,$H2301))&lt;=MAX(0.005,ABS(INDEX('AH History'!$C$1:$C$18046,$H2301))*0.00005),ABS($E2301-INDEX('AH History'!$D$1:$D$18046,$H2301))&lt;=0.00005,$F2301=INDEX('AH History'!$E$1:$E$18046,$H2301),$G2301=INDEX('AH History'!$F$1:$F$18046,$H2301)),1,-1),-1))</ns0:f>
        <ns0:v/>
      </ns0:c>
    </ns0:row>
    <ns0:row r="2302">
      <ns0:c r="A2302" s="215">
        <ns0:f>IF(OR(AH!$P$3=0,2297+1&gt;AH!$P$11,AND(AH!$E$4&lt;&gt;"Stored",AH!$P$10&lt;&gt;1)),"",IFERROR(IF(AND(AH!$P$21=1,2297+1=AH!$P$11),TODAY(),IF(AH!$P$10=1,INDEX('Live History'!$A$5:$A$3004,AH!$P$13+2297),INDEX('AH History'!$A$1:$A$18046,AH!$P$7+2297))),""))</ns0:f>
        <ns0:v/>
      </ns0:c>
      <ns0:c r="B2302" s="219">
        <ns0:f>IFERROR(IF(AND(AH!$P$9&lt;&gt;1,$C2302&gt;0,$D2302&gt;0,$E2302&gt;0,$F2302&gt;0,$G2302&gt;0,$F2302&lt;=$A2302,$G2302&lt;=$A2302,$A2302-$F2302&lt;=10,$A2302-$G2302&lt;=5),$D2302*$E2302/$C2302-1,NA()),NA())</ns0:f>
        <ns0:v/>
      </ns0:c>
      <ns0:c r="C2302">
        <ns0:f>IFERROR(IF(ISNUMBER($A2302),IF(AND(AH!$P$10=1,AH!$P$12=1,$A2302=TODAY()),AH!$P$19,IF(AH!$P$10=1,INDEX('Live History'!$B$5:$B$3004,AH!$P$13+2297),INDEX('AH History'!$B$1:$B$18046,AH!$P$7+2297))),NA()),NA())</ns0:f>
        <ns0:v/>
      </ns0:c>
      <ns0:c r="D2302">
        <ns0:f>IFERROR(IF(ISNUMBER($A2302),IF(AND(AH!$P$10=1,AH!$P$12=1,$A2302=TODAY()),AH!$P$18,IF(AH!$P$10=1,INDEX('Live History'!$E$5:$E$3004,MATCH($A2302,'Live History'!$D$5:$D$3004,1)),INDEX('AH History'!$C$1:$C$18046,AH!$P$7+2297))),NA()),NA())</ns0:f>
        <ns0:v/>
      </ns0:c>
      <ns0:c r="E2302">
        <ns0:f>IFERROR(IF(ISNUMBER($A2302),IF(AND(AH!$P$10=1,AH!$P$12=1,$A2302=TODAY()),AH!$P$20,IF(AH!$P$10=1,INDEX('Live History'!$H$5:$H$3004,MATCH($A2302,'Live History'!$G$5:$G$3004,1)),INDEX('AH History'!$D$1:$D$18046,AH!$P$7+2297))),NA()),NA())</ns0:f>
        <ns0:v/>
      </ns0:c>
      <ns0:c r="F2302">
        <ns0:f>IFERROR(IF(ISNUMBER($A2302),IF(AND(AH!$P$10=1,AH!$P$12=1,$A2302=TODAY()),IF(AND(AH!$P$10=1,AH!$P$12=1,$A2302=TODAY()),TODAY(),NA()),IF(AH!$P$10=1,INDEX('Live History'!$D$5:$D$3004,MATCH($A2302,'Live History'!$D$5:$D$3004,1)),INDEX('AH History'!$E$1:$E$18046,AH!$P$7+2297))),NA()),NA())</ns0:f>
        <ns0:v/>
      </ns0:c>
      <ns0:c r="G2302">
        <ns0:f>IFERROR(IF(ISNUMBER($A2302),IF(AND(AH!$P$10=1,AH!$P$12=1,$A2302=TODAY()),IF(AND(AH!$P$10=1,AH!$P$12=1,$A2302=TODAY()),TODAY(),NA()),IF(AH!$P$10=1,INDEX('Live History'!$G$5:$G$3004,MATCH($A2302,'Live History'!$G$5:$G$3004,1)),INDEX('AH History'!$F$1:$F$18046,AH!$P$7+2297))),NA()),NA())</ns0:f>
        <ns0:v/>
      </ns0:c>
      <ns0:c r="H2302">
        <ns0:f>IFERROR(IF(AND(AH!$E$4="Bloomberg",AH!$P$10=1,ISNUMBER($A2302),$A2302&lt;=AH!$P$17),AH!$P$7-1+MATCH($A2302,INDEX('AH History'!$A$1:$A$18046,AH!$P$7):INDEX('AH History'!$A$1:$A$18046,AH!$P$7+AH!$P$8-1),0),0),0)</ns0:f>
        <ns0:v/>
      </ns0:c>
      <ns0:c r="I2302">
        <ns0:f>IF($H2302=0,0,IFERROR(IF(AND(ABS($C2302-INDEX('AH History'!$B$1:$B$18046,$H2302))&lt;=MAX(0.005,ABS(INDEX('AH History'!$B$1:$B$18046,$H2302))*0.00005),ABS($D2302-INDEX('AH History'!$C$1:$C$18046,$H2302))&lt;=MAX(0.005,ABS(INDEX('AH History'!$C$1:$C$18046,$H2302))*0.00005),ABS($E2302-INDEX('AH History'!$D$1:$D$18046,$H2302))&lt;=0.00005,$F2302=INDEX('AH History'!$E$1:$E$18046,$H2302),$G2302=INDEX('AH History'!$F$1:$F$18046,$H2302)),1,-1),-1))</ns0:f>
        <ns0:v/>
      </ns0:c>
    </ns0:row>
    <ns0:row r="2303">
      <ns0:c r="A2303" s="215">
        <ns0:f>IF(OR(AH!$P$3=0,2298+1&gt;AH!$P$11,AND(AH!$E$4&lt;&gt;"Stored",AH!$P$10&lt;&gt;1)),"",IFERROR(IF(AND(AH!$P$21=1,2298+1=AH!$P$11),TODAY(),IF(AH!$P$10=1,INDEX('Live History'!$A$5:$A$3004,AH!$P$13+2298),INDEX('AH History'!$A$1:$A$18046,AH!$P$7+2298))),""))</ns0:f>
        <ns0:v/>
      </ns0:c>
      <ns0:c r="B2303" s="219">
        <ns0:f>IFERROR(IF(AND(AH!$P$9&lt;&gt;1,$C2303&gt;0,$D2303&gt;0,$E2303&gt;0,$F2303&gt;0,$G2303&gt;0,$F2303&lt;=$A2303,$G2303&lt;=$A2303,$A2303-$F2303&lt;=10,$A2303-$G2303&lt;=5),$D2303*$E2303/$C2303-1,NA()),NA())</ns0:f>
        <ns0:v/>
      </ns0:c>
      <ns0:c r="C2303">
        <ns0:f>IFERROR(IF(ISNUMBER($A2303),IF(AND(AH!$P$10=1,AH!$P$12=1,$A2303=TODAY()),AH!$P$19,IF(AH!$P$10=1,INDEX('Live History'!$B$5:$B$3004,AH!$P$13+2298),INDEX('AH History'!$B$1:$B$18046,AH!$P$7+2298))),NA()),NA())</ns0:f>
        <ns0:v/>
      </ns0:c>
      <ns0:c r="D2303">
        <ns0:f>IFERROR(IF(ISNUMBER($A2303),IF(AND(AH!$P$10=1,AH!$P$12=1,$A2303=TODAY()),AH!$P$18,IF(AH!$P$10=1,INDEX('Live History'!$E$5:$E$3004,MATCH($A2303,'Live History'!$D$5:$D$3004,1)),INDEX('AH History'!$C$1:$C$18046,AH!$P$7+2298))),NA()),NA())</ns0:f>
        <ns0:v/>
      </ns0:c>
      <ns0:c r="E2303">
        <ns0:f>IFERROR(IF(ISNUMBER($A2303),IF(AND(AH!$P$10=1,AH!$P$12=1,$A2303=TODAY()),AH!$P$20,IF(AH!$P$10=1,INDEX('Live History'!$H$5:$H$3004,MATCH($A2303,'Live History'!$G$5:$G$3004,1)),INDEX('AH History'!$D$1:$D$18046,AH!$P$7+2298))),NA()),NA())</ns0:f>
        <ns0:v/>
      </ns0:c>
      <ns0:c r="F2303">
        <ns0:f>IFERROR(IF(ISNUMBER($A2303),IF(AND(AH!$P$10=1,AH!$P$12=1,$A2303=TODAY()),IF(AND(AH!$P$10=1,AH!$P$12=1,$A2303=TODAY()),TODAY(),NA()),IF(AH!$P$10=1,INDEX('Live History'!$D$5:$D$3004,MATCH($A2303,'Live History'!$D$5:$D$3004,1)),INDEX('AH History'!$E$1:$E$18046,AH!$P$7+2298))),NA()),NA())</ns0:f>
        <ns0:v/>
      </ns0:c>
      <ns0:c r="G2303">
        <ns0:f>IFERROR(IF(ISNUMBER($A2303),IF(AND(AH!$P$10=1,AH!$P$12=1,$A2303=TODAY()),IF(AND(AH!$P$10=1,AH!$P$12=1,$A2303=TODAY()),TODAY(),NA()),IF(AH!$P$10=1,INDEX('Live History'!$G$5:$G$3004,MATCH($A2303,'Live History'!$G$5:$G$3004,1)),INDEX('AH History'!$F$1:$F$18046,AH!$P$7+2298))),NA()),NA())</ns0:f>
        <ns0:v/>
      </ns0:c>
      <ns0:c r="H2303">
        <ns0:f>IFERROR(IF(AND(AH!$E$4="Bloomberg",AH!$P$10=1,ISNUMBER($A2303),$A2303&lt;=AH!$P$17),AH!$P$7-1+MATCH($A2303,INDEX('AH History'!$A$1:$A$18046,AH!$P$7):INDEX('AH History'!$A$1:$A$18046,AH!$P$7+AH!$P$8-1),0),0),0)</ns0:f>
        <ns0:v/>
      </ns0:c>
      <ns0:c r="I2303">
        <ns0:f>IF($H2303=0,0,IFERROR(IF(AND(ABS($C2303-INDEX('AH History'!$B$1:$B$18046,$H2303))&lt;=MAX(0.005,ABS(INDEX('AH History'!$B$1:$B$18046,$H2303))*0.00005),ABS($D2303-INDEX('AH History'!$C$1:$C$18046,$H2303))&lt;=MAX(0.005,ABS(INDEX('AH History'!$C$1:$C$18046,$H2303))*0.00005),ABS($E2303-INDEX('AH History'!$D$1:$D$18046,$H2303))&lt;=0.00005,$F2303=INDEX('AH History'!$E$1:$E$18046,$H2303),$G2303=INDEX('AH History'!$F$1:$F$18046,$H2303)),1,-1),-1))</ns0:f>
        <ns0:v/>
      </ns0:c>
    </ns0:row>
    <ns0:row r="2304">
      <ns0:c r="A2304" s="215">
        <ns0:f>IF(OR(AH!$P$3=0,2299+1&gt;AH!$P$11,AND(AH!$E$4&lt;&gt;"Stored",AH!$P$10&lt;&gt;1)),"",IFERROR(IF(AND(AH!$P$21=1,2299+1=AH!$P$11),TODAY(),IF(AH!$P$10=1,INDEX('Live History'!$A$5:$A$3004,AH!$P$13+2299),INDEX('AH History'!$A$1:$A$18046,AH!$P$7+2299))),""))</ns0:f>
        <ns0:v/>
      </ns0:c>
      <ns0:c r="B2304" s="219">
        <ns0:f>IFERROR(IF(AND(AH!$P$9&lt;&gt;1,$C2304&gt;0,$D2304&gt;0,$E2304&gt;0,$F2304&gt;0,$G2304&gt;0,$F2304&lt;=$A2304,$G2304&lt;=$A2304,$A2304-$F2304&lt;=10,$A2304-$G2304&lt;=5),$D2304*$E2304/$C2304-1,NA()),NA())</ns0:f>
        <ns0:v/>
      </ns0:c>
      <ns0:c r="C2304">
        <ns0:f>IFERROR(IF(ISNUMBER($A2304),IF(AND(AH!$P$10=1,AH!$P$12=1,$A2304=TODAY()),AH!$P$19,IF(AH!$P$10=1,INDEX('Live History'!$B$5:$B$3004,AH!$P$13+2299),INDEX('AH History'!$B$1:$B$18046,AH!$P$7+2299))),NA()),NA())</ns0:f>
        <ns0:v/>
      </ns0:c>
      <ns0:c r="D2304">
        <ns0:f>IFERROR(IF(ISNUMBER($A2304),IF(AND(AH!$P$10=1,AH!$P$12=1,$A2304=TODAY()),AH!$P$18,IF(AH!$P$10=1,INDEX('Live History'!$E$5:$E$3004,MATCH($A2304,'Live History'!$D$5:$D$3004,1)),INDEX('AH History'!$C$1:$C$18046,AH!$P$7+2299))),NA()),NA())</ns0:f>
        <ns0:v/>
      </ns0:c>
      <ns0:c r="E2304">
        <ns0:f>IFERROR(IF(ISNUMBER($A2304),IF(AND(AH!$P$10=1,AH!$P$12=1,$A2304=TODAY()),AH!$P$20,IF(AH!$P$10=1,INDEX('Live History'!$H$5:$H$3004,MATCH($A2304,'Live History'!$G$5:$G$3004,1)),INDEX('AH History'!$D$1:$D$18046,AH!$P$7+2299))),NA()),NA())</ns0:f>
        <ns0:v/>
      </ns0:c>
      <ns0:c r="F2304">
        <ns0:f>IFERROR(IF(ISNUMBER($A2304),IF(AND(AH!$P$10=1,AH!$P$12=1,$A2304=TODAY()),IF(AND(AH!$P$10=1,AH!$P$12=1,$A2304=TODAY()),TODAY(),NA()),IF(AH!$P$10=1,INDEX('Live History'!$D$5:$D$3004,MATCH($A2304,'Live History'!$D$5:$D$3004,1)),INDEX('AH History'!$E$1:$E$18046,AH!$P$7+2299))),NA()),NA())</ns0:f>
        <ns0:v/>
      </ns0:c>
      <ns0:c r="G2304">
        <ns0:f>IFERROR(IF(ISNUMBER($A2304),IF(AND(AH!$P$10=1,AH!$P$12=1,$A2304=TODAY()),IF(AND(AH!$P$10=1,AH!$P$12=1,$A2304=TODAY()),TODAY(),NA()),IF(AH!$P$10=1,INDEX('Live History'!$G$5:$G$3004,MATCH($A2304,'Live History'!$G$5:$G$3004,1)),INDEX('AH History'!$F$1:$F$18046,AH!$P$7+2299))),NA()),NA())</ns0:f>
        <ns0:v/>
      </ns0:c>
      <ns0:c r="H2304">
        <ns0:f>IFERROR(IF(AND(AH!$E$4="Bloomberg",AH!$P$10=1,ISNUMBER($A2304),$A2304&lt;=AH!$P$17),AH!$P$7-1+MATCH($A2304,INDEX('AH History'!$A$1:$A$18046,AH!$P$7):INDEX('AH History'!$A$1:$A$18046,AH!$P$7+AH!$P$8-1),0),0),0)</ns0:f>
        <ns0:v/>
      </ns0:c>
      <ns0:c r="I2304">
        <ns0:f>IF($H2304=0,0,IFERROR(IF(AND(ABS($C2304-INDEX('AH History'!$B$1:$B$18046,$H2304))&lt;=MAX(0.005,ABS(INDEX('AH History'!$B$1:$B$18046,$H2304))*0.00005),ABS($D2304-INDEX('AH History'!$C$1:$C$18046,$H2304))&lt;=MAX(0.005,ABS(INDEX('AH History'!$C$1:$C$18046,$H2304))*0.00005),ABS($E2304-INDEX('AH History'!$D$1:$D$18046,$H2304))&lt;=0.00005,$F2304=INDEX('AH History'!$E$1:$E$18046,$H2304),$G2304=INDEX('AH History'!$F$1:$F$18046,$H2304)),1,-1),-1))</ns0:f>
        <ns0:v/>
      </ns0:c>
    </ns0:row>
    <ns0:row r="2305">
      <ns0:c r="A2305" s="215">
        <ns0:f>IF(OR(AH!$P$3=0,2300+1&gt;AH!$P$11,AND(AH!$E$4&lt;&gt;"Stored",AH!$P$10&lt;&gt;1)),"",IFERROR(IF(AND(AH!$P$21=1,2300+1=AH!$P$11),TODAY(),IF(AH!$P$10=1,INDEX('Live History'!$A$5:$A$3004,AH!$P$13+2300),INDEX('AH History'!$A$1:$A$18046,AH!$P$7+2300))),""))</ns0:f>
        <ns0:v/>
      </ns0:c>
      <ns0:c r="B2305" s="219">
        <ns0:f>IFERROR(IF(AND(AH!$P$9&lt;&gt;1,$C2305&gt;0,$D2305&gt;0,$E2305&gt;0,$F2305&gt;0,$G2305&gt;0,$F2305&lt;=$A2305,$G2305&lt;=$A2305,$A2305-$F2305&lt;=10,$A2305-$G2305&lt;=5),$D2305*$E2305/$C2305-1,NA()),NA())</ns0:f>
        <ns0:v/>
      </ns0:c>
      <ns0:c r="C2305">
        <ns0:f>IFERROR(IF(ISNUMBER($A2305),IF(AND(AH!$P$10=1,AH!$P$12=1,$A2305=TODAY()),AH!$P$19,IF(AH!$P$10=1,INDEX('Live History'!$B$5:$B$3004,AH!$P$13+2300),INDEX('AH History'!$B$1:$B$18046,AH!$P$7+2300))),NA()),NA())</ns0:f>
        <ns0:v/>
      </ns0:c>
      <ns0:c r="D2305">
        <ns0:f>IFERROR(IF(ISNUMBER($A2305),IF(AND(AH!$P$10=1,AH!$P$12=1,$A2305=TODAY()),AH!$P$18,IF(AH!$P$10=1,INDEX('Live History'!$E$5:$E$3004,MATCH($A2305,'Live History'!$D$5:$D$3004,1)),INDEX('AH History'!$C$1:$C$18046,AH!$P$7+2300))),NA()),NA())</ns0:f>
        <ns0:v/>
      </ns0:c>
      <ns0:c r="E2305">
        <ns0:f>IFERROR(IF(ISNUMBER($A2305),IF(AND(AH!$P$10=1,AH!$P$12=1,$A2305=TODAY()),AH!$P$20,IF(AH!$P$10=1,INDEX('Live History'!$H$5:$H$3004,MATCH($A2305,'Live History'!$G$5:$G$3004,1)),INDEX('AH History'!$D$1:$D$18046,AH!$P$7+2300))),NA()),NA())</ns0:f>
        <ns0:v/>
      </ns0:c>
      <ns0:c r="F2305">
        <ns0:f>IFERROR(IF(ISNUMBER($A2305),IF(AND(AH!$P$10=1,AH!$P$12=1,$A2305=TODAY()),IF(AND(AH!$P$10=1,AH!$P$12=1,$A2305=TODAY()),TODAY(),NA()),IF(AH!$P$10=1,INDEX('Live History'!$D$5:$D$3004,MATCH($A2305,'Live History'!$D$5:$D$3004,1)),INDEX('AH History'!$E$1:$E$18046,AH!$P$7+2300))),NA()),NA())</ns0:f>
        <ns0:v/>
      </ns0:c>
      <ns0:c r="G2305">
        <ns0:f>IFERROR(IF(ISNUMBER($A2305),IF(AND(AH!$P$10=1,AH!$P$12=1,$A2305=TODAY()),IF(AND(AH!$P$10=1,AH!$P$12=1,$A2305=TODAY()),TODAY(),NA()),IF(AH!$P$10=1,INDEX('Live History'!$G$5:$G$3004,MATCH($A2305,'Live History'!$G$5:$G$3004,1)),INDEX('AH History'!$F$1:$F$18046,AH!$P$7+2300))),NA()),NA())</ns0:f>
        <ns0:v/>
      </ns0:c>
      <ns0:c r="H2305">
        <ns0:f>IFERROR(IF(AND(AH!$E$4="Bloomberg",AH!$P$10=1,ISNUMBER($A2305),$A2305&lt;=AH!$P$17),AH!$P$7-1+MATCH($A2305,INDEX('AH History'!$A$1:$A$18046,AH!$P$7):INDEX('AH History'!$A$1:$A$18046,AH!$P$7+AH!$P$8-1),0),0),0)</ns0:f>
        <ns0:v/>
      </ns0:c>
      <ns0:c r="I2305">
        <ns0:f>IF($H2305=0,0,IFERROR(IF(AND(ABS($C2305-INDEX('AH History'!$B$1:$B$18046,$H2305))&lt;=MAX(0.005,ABS(INDEX('AH History'!$B$1:$B$18046,$H2305))*0.00005),ABS($D2305-INDEX('AH History'!$C$1:$C$18046,$H2305))&lt;=MAX(0.005,ABS(INDEX('AH History'!$C$1:$C$18046,$H2305))*0.00005),ABS($E2305-INDEX('AH History'!$D$1:$D$18046,$H2305))&lt;=0.00005,$F2305=INDEX('AH History'!$E$1:$E$18046,$H2305),$G2305=INDEX('AH History'!$F$1:$F$18046,$H2305)),1,-1),-1))</ns0:f>
        <ns0:v/>
      </ns0:c>
    </ns0:row>
    <ns0:row r="2306">
      <ns0:c r="A2306" s="215">
        <ns0:f>IF(OR(AH!$P$3=0,2301+1&gt;AH!$P$11,AND(AH!$E$4&lt;&gt;"Stored",AH!$P$10&lt;&gt;1)),"",IFERROR(IF(AND(AH!$P$21=1,2301+1=AH!$P$11),TODAY(),IF(AH!$P$10=1,INDEX('Live History'!$A$5:$A$3004,AH!$P$13+2301),INDEX('AH History'!$A$1:$A$18046,AH!$P$7+2301))),""))</ns0:f>
        <ns0:v/>
      </ns0:c>
      <ns0:c r="B2306" s="219">
        <ns0:f>IFERROR(IF(AND(AH!$P$9&lt;&gt;1,$C2306&gt;0,$D2306&gt;0,$E2306&gt;0,$F2306&gt;0,$G2306&gt;0,$F2306&lt;=$A2306,$G2306&lt;=$A2306,$A2306-$F2306&lt;=10,$A2306-$G2306&lt;=5),$D2306*$E2306/$C2306-1,NA()),NA())</ns0:f>
        <ns0:v/>
      </ns0:c>
      <ns0:c r="C2306">
        <ns0:f>IFERROR(IF(ISNUMBER($A2306),IF(AND(AH!$P$10=1,AH!$P$12=1,$A2306=TODAY()),AH!$P$19,IF(AH!$P$10=1,INDEX('Live History'!$B$5:$B$3004,AH!$P$13+2301),INDEX('AH History'!$B$1:$B$18046,AH!$P$7+2301))),NA()),NA())</ns0:f>
        <ns0:v/>
      </ns0:c>
      <ns0:c r="D2306">
        <ns0:f>IFERROR(IF(ISNUMBER($A2306),IF(AND(AH!$P$10=1,AH!$P$12=1,$A2306=TODAY()),AH!$P$18,IF(AH!$P$10=1,INDEX('Live History'!$E$5:$E$3004,MATCH($A2306,'Live History'!$D$5:$D$3004,1)),INDEX('AH History'!$C$1:$C$18046,AH!$P$7+2301))),NA()),NA())</ns0:f>
        <ns0:v/>
      </ns0:c>
      <ns0:c r="E2306">
        <ns0:f>IFERROR(IF(ISNUMBER($A2306),IF(AND(AH!$P$10=1,AH!$P$12=1,$A2306=TODAY()),AH!$P$20,IF(AH!$P$10=1,INDEX('Live History'!$H$5:$H$3004,MATCH($A2306,'Live History'!$G$5:$G$3004,1)),INDEX('AH History'!$D$1:$D$18046,AH!$P$7+2301))),NA()),NA())</ns0:f>
        <ns0:v/>
      </ns0:c>
      <ns0:c r="F2306">
        <ns0:f>IFERROR(IF(ISNUMBER($A2306),IF(AND(AH!$P$10=1,AH!$P$12=1,$A2306=TODAY()),IF(AND(AH!$P$10=1,AH!$P$12=1,$A2306=TODAY()),TODAY(),NA()),IF(AH!$P$10=1,INDEX('Live History'!$D$5:$D$3004,MATCH($A2306,'Live History'!$D$5:$D$3004,1)),INDEX('AH History'!$E$1:$E$18046,AH!$P$7+2301))),NA()),NA())</ns0:f>
        <ns0:v/>
      </ns0:c>
      <ns0:c r="G2306">
        <ns0:f>IFERROR(IF(ISNUMBER($A2306),IF(AND(AH!$P$10=1,AH!$P$12=1,$A2306=TODAY()),IF(AND(AH!$P$10=1,AH!$P$12=1,$A2306=TODAY()),TODAY(),NA()),IF(AH!$P$10=1,INDEX('Live History'!$G$5:$G$3004,MATCH($A2306,'Live History'!$G$5:$G$3004,1)),INDEX('AH History'!$F$1:$F$18046,AH!$P$7+2301))),NA()),NA())</ns0:f>
        <ns0:v/>
      </ns0:c>
      <ns0:c r="H2306">
        <ns0:f>IFERROR(IF(AND(AH!$E$4="Bloomberg",AH!$P$10=1,ISNUMBER($A2306),$A2306&lt;=AH!$P$17),AH!$P$7-1+MATCH($A2306,INDEX('AH History'!$A$1:$A$18046,AH!$P$7):INDEX('AH History'!$A$1:$A$18046,AH!$P$7+AH!$P$8-1),0),0),0)</ns0:f>
        <ns0:v/>
      </ns0:c>
      <ns0:c r="I2306">
        <ns0:f>IF($H2306=0,0,IFERROR(IF(AND(ABS($C2306-INDEX('AH History'!$B$1:$B$18046,$H2306))&lt;=MAX(0.005,ABS(INDEX('AH History'!$B$1:$B$18046,$H2306))*0.00005),ABS($D2306-INDEX('AH History'!$C$1:$C$18046,$H2306))&lt;=MAX(0.005,ABS(INDEX('AH History'!$C$1:$C$18046,$H2306))*0.00005),ABS($E2306-INDEX('AH History'!$D$1:$D$18046,$H2306))&lt;=0.00005,$F2306=INDEX('AH History'!$E$1:$E$18046,$H2306),$G2306=INDEX('AH History'!$F$1:$F$18046,$H2306)),1,-1),-1))</ns0:f>
        <ns0:v/>
      </ns0:c>
    </ns0:row>
    <ns0:row r="2307">
      <ns0:c r="A2307" s="215">
        <ns0:f>IF(OR(AH!$P$3=0,2302+1&gt;AH!$P$11,AND(AH!$E$4&lt;&gt;"Stored",AH!$P$10&lt;&gt;1)),"",IFERROR(IF(AND(AH!$P$21=1,2302+1=AH!$P$11),TODAY(),IF(AH!$P$10=1,INDEX('Live History'!$A$5:$A$3004,AH!$P$13+2302),INDEX('AH History'!$A$1:$A$18046,AH!$P$7+2302))),""))</ns0:f>
        <ns0:v/>
      </ns0:c>
      <ns0:c r="B2307" s="219">
        <ns0:f>IFERROR(IF(AND(AH!$P$9&lt;&gt;1,$C2307&gt;0,$D2307&gt;0,$E2307&gt;0,$F2307&gt;0,$G2307&gt;0,$F2307&lt;=$A2307,$G2307&lt;=$A2307,$A2307-$F2307&lt;=10,$A2307-$G2307&lt;=5),$D2307*$E2307/$C2307-1,NA()),NA())</ns0:f>
        <ns0:v/>
      </ns0:c>
      <ns0:c r="C2307">
        <ns0:f>IFERROR(IF(ISNUMBER($A2307),IF(AND(AH!$P$10=1,AH!$P$12=1,$A2307=TODAY()),AH!$P$19,IF(AH!$P$10=1,INDEX('Live History'!$B$5:$B$3004,AH!$P$13+2302),INDEX('AH History'!$B$1:$B$18046,AH!$P$7+2302))),NA()),NA())</ns0:f>
        <ns0:v/>
      </ns0:c>
      <ns0:c r="D2307">
        <ns0:f>IFERROR(IF(ISNUMBER($A2307),IF(AND(AH!$P$10=1,AH!$P$12=1,$A2307=TODAY()),AH!$P$18,IF(AH!$P$10=1,INDEX('Live History'!$E$5:$E$3004,MATCH($A2307,'Live History'!$D$5:$D$3004,1)),INDEX('AH History'!$C$1:$C$18046,AH!$P$7+2302))),NA()),NA())</ns0:f>
        <ns0:v/>
      </ns0:c>
      <ns0:c r="E2307">
        <ns0:f>IFERROR(IF(ISNUMBER($A2307),IF(AND(AH!$P$10=1,AH!$P$12=1,$A2307=TODAY()),AH!$P$20,IF(AH!$P$10=1,INDEX('Live History'!$H$5:$H$3004,MATCH($A2307,'Live History'!$G$5:$G$3004,1)),INDEX('AH History'!$D$1:$D$18046,AH!$P$7+2302))),NA()),NA())</ns0:f>
        <ns0:v/>
      </ns0:c>
      <ns0:c r="F2307">
        <ns0:f>IFERROR(IF(ISNUMBER($A2307),IF(AND(AH!$P$10=1,AH!$P$12=1,$A2307=TODAY()),IF(AND(AH!$P$10=1,AH!$P$12=1,$A2307=TODAY()),TODAY(),NA()),IF(AH!$P$10=1,INDEX('Live History'!$D$5:$D$3004,MATCH($A2307,'Live History'!$D$5:$D$3004,1)),INDEX('AH History'!$E$1:$E$18046,AH!$P$7+2302))),NA()),NA())</ns0:f>
        <ns0:v/>
      </ns0:c>
      <ns0:c r="G2307">
        <ns0:f>IFERROR(IF(ISNUMBER($A2307),IF(AND(AH!$P$10=1,AH!$P$12=1,$A2307=TODAY()),IF(AND(AH!$P$10=1,AH!$P$12=1,$A2307=TODAY()),TODAY(),NA()),IF(AH!$P$10=1,INDEX('Live History'!$G$5:$G$3004,MATCH($A2307,'Live History'!$G$5:$G$3004,1)),INDEX('AH History'!$F$1:$F$18046,AH!$P$7+2302))),NA()),NA())</ns0:f>
        <ns0:v/>
      </ns0:c>
      <ns0:c r="H2307">
        <ns0:f>IFERROR(IF(AND(AH!$E$4="Bloomberg",AH!$P$10=1,ISNUMBER($A2307),$A2307&lt;=AH!$P$17),AH!$P$7-1+MATCH($A2307,INDEX('AH History'!$A$1:$A$18046,AH!$P$7):INDEX('AH History'!$A$1:$A$18046,AH!$P$7+AH!$P$8-1),0),0),0)</ns0:f>
        <ns0:v/>
      </ns0:c>
      <ns0:c r="I2307">
        <ns0:f>IF($H2307=0,0,IFERROR(IF(AND(ABS($C2307-INDEX('AH History'!$B$1:$B$18046,$H2307))&lt;=MAX(0.005,ABS(INDEX('AH History'!$B$1:$B$18046,$H2307))*0.00005),ABS($D2307-INDEX('AH History'!$C$1:$C$18046,$H2307))&lt;=MAX(0.005,ABS(INDEX('AH History'!$C$1:$C$18046,$H2307))*0.00005),ABS($E2307-INDEX('AH History'!$D$1:$D$18046,$H2307))&lt;=0.00005,$F2307=INDEX('AH History'!$E$1:$E$18046,$H2307),$G2307=INDEX('AH History'!$F$1:$F$18046,$H2307)),1,-1),-1))</ns0:f>
        <ns0:v/>
      </ns0:c>
    </ns0:row>
    <ns0:row r="2308">
      <ns0:c r="A2308" s="215">
        <ns0:f>IF(OR(AH!$P$3=0,2303+1&gt;AH!$P$11,AND(AH!$E$4&lt;&gt;"Stored",AH!$P$10&lt;&gt;1)),"",IFERROR(IF(AND(AH!$P$21=1,2303+1=AH!$P$11),TODAY(),IF(AH!$P$10=1,INDEX('Live History'!$A$5:$A$3004,AH!$P$13+2303),INDEX('AH History'!$A$1:$A$18046,AH!$P$7+2303))),""))</ns0:f>
        <ns0:v/>
      </ns0:c>
      <ns0:c r="B2308" s="219">
        <ns0:f>IFERROR(IF(AND(AH!$P$9&lt;&gt;1,$C2308&gt;0,$D2308&gt;0,$E2308&gt;0,$F2308&gt;0,$G2308&gt;0,$F2308&lt;=$A2308,$G2308&lt;=$A2308,$A2308-$F2308&lt;=10,$A2308-$G2308&lt;=5),$D2308*$E2308/$C2308-1,NA()),NA())</ns0:f>
        <ns0:v/>
      </ns0:c>
      <ns0:c r="C2308">
        <ns0:f>IFERROR(IF(ISNUMBER($A2308),IF(AND(AH!$P$10=1,AH!$P$12=1,$A2308=TODAY()),AH!$P$19,IF(AH!$P$10=1,INDEX('Live History'!$B$5:$B$3004,AH!$P$13+2303),INDEX('AH History'!$B$1:$B$18046,AH!$P$7+2303))),NA()),NA())</ns0:f>
        <ns0:v/>
      </ns0:c>
      <ns0:c r="D2308">
        <ns0:f>IFERROR(IF(ISNUMBER($A2308),IF(AND(AH!$P$10=1,AH!$P$12=1,$A2308=TODAY()),AH!$P$18,IF(AH!$P$10=1,INDEX('Live History'!$E$5:$E$3004,MATCH($A2308,'Live History'!$D$5:$D$3004,1)),INDEX('AH History'!$C$1:$C$18046,AH!$P$7+2303))),NA()),NA())</ns0:f>
        <ns0:v/>
      </ns0:c>
      <ns0:c r="E2308">
        <ns0:f>IFERROR(IF(ISNUMBER($A2308),IF(AND(AH!$P$10=1,AH!$P$12=1,$A2308=TODAY()),AH!$P$20,IF(AH!$P$10=1,INDEX('Live History'!$H$5:$H$3004,MATCH($A2308,'Live History'!$G$5:$G$3004,1)),INDEX('AH History'!$D$1:$D$18046,AH!$P$7+2303))),NA()),NA())</ns0:f>
        <ns0:v/>
      </ns0:c>
      <ns0:c r="F2308">
        <ns0:f>IFERROR(IF(ISNUMBER($A2308),IF(AND(AH!$P$10=1,AH!$P$12=1,$A2308=TODAY()),IF(AND(AH!$P$10=1,AH!$P$12=1,$A2308=TODAY()),TODAY(),NA()),IF(AH!$P$10=1,INDEX('Live History'!$D$5:$D$3004,MATCH($A2308,'Live History'!$D$5:$D$3004,1)),INDEX('AH History'!$E$1:$E$18046,AH!$P$7+2303))),NA()),NA())</ns0:f>
        <ns0:v/>
      </ns0:c>
      <ns0:c r="G2308">
        <ns0:f>IFERROR(IF(ISNUMBER($A2308),IF(AND(AH!$P$10=1,AH!$P$12=1,$A2308=TODAY()),IF(AND(AH!$P$10=1,AH!$P$12=1,$A2308=TODAY()),TODAY(),NA()),IF(AH!$P$10=1,INDEX('Live History'!$G$5:$G$3004,MATCH($A2308,'Live History'!$G$5:$G$3004,1)),INDEX('AH History'!$F$1:$F$18046,AH!$P$7+2303))),NA()),NA())</ns0:f>
        <ns0:v/>
      </ns0:c>
      <ns0:c r="H2308">
        <ns0:f>IFERROR(IF(AND(AH!$E$4="Bloomberg",AH!$P$10=1,ISNUMBER($A2308),$A2308&lt;=AH!$P$17),AH!$P$7-1+MATCH($A2308,INDEX('AH History'!$A$1:$A$18046,AH!$P$7):INDEX('AH History'!$A$1:$A$18046,AH!$P$7+AH!$P$8-1),0),0),0)</ns0:f>
        <ns0:v/>
      </ns0:c>
      <ns0:c r="I2308">
        <ns0:f>IF($H2308=0,0,IFERROR(IF(AND(ABS($C2308-INDEX('AH History'!$B$1:$B$18046,$H2308))&lt;=MAX(0.005,ABS(INDEX('AH History'!$B$1:$B$18046,$H2308))*0.00005),ABS($D2308-INDEX('AH History'!$C$1:$C$18046,$H2308))&lt;=MAX(0.005,ABS(INDEX('AH History'!$C$1:$C$18046,$H2308))*0.00005),ABS($E2308-INDEX('AH History'!$D$1:$D$18046,$H2308))&lt;=0.00005,$F2308=INDEX('AH History'!$E$1:$E$18046,$H2308),$G2308=INDEX('AH History'!$F$1:$F$18046,$H2308)),1,-1),-1))</ns0:f>
        <ns0:v/>
      </ns0:c>
    </ns0:row>
    <ns0:row r="2309">
      <ns0:c r="A2309" s="215">
        <ns0:f>IF(OR(AH!$P$3=0,2304+1&gt;AH!$P$11,AND(AH!$E$4&lt;&gt;"Stored",AH!$P$10&lt;&gt;1)),"",IFERROR(IF(AND(AH!$P$21=1,2304+1=AH!$P$11),TODAY(),IF(AH!$P$10=1,INDEX('Live History'!$A$5:$A$3004,AH!$P$13+2304),INDEX('AH History'!$A$1:$A$18046,AH!$P$7+2304))),""))</ns0:f>
        <ns0:v/>
      </ns0:c>
      <ns0:c r="B2309" s="219">
        <ns0:f>IFERROR(IF(AND(AH!$P$9&lt;&gt;1,$C2309&gt;0,$D2309&gt;0,$E2309&gt;0,$F2309&gt;0,$G2309&gt;0,$F2309&lt;=$A2309,$G2309&lt;=$A2309,$A2309-$F2309&lt;=10,$A2309-$G2309&lt;=5),$D2309*$E2309/$C2309-1,NA()),NA())</ns0:f>
        <ns0:v/>
      </ns0:c>
      <ns0:c r="C2309">
        <ns0:f>IFERROR(IF(ISNUMBER($A2309),IF(AND(AH!$P$10=1,AH!$P$12=1,$A2309=TODAY()),AH!$P$19,IF(AH!$P$10=1,INDEX('Live History'!$B$5:$B$3004,AH!$P$13+2304),INDEX('AH History'!$B$1:$B$18046,AH!$P$7+2304))),NA()),NA())</ns0:f>
        <ns0:v/>
      </ns0:c>
      <ns0:c r="D2309">
        <ns0:f>IFERROR(IF(ISNUMBER($A2309),IF(AND(AH!$P$10=1,AH!$P$12=1,$A2309=TODAY()),AH!$P$18,IF(AH!$P$10=1,INDEX('Live History'!$E$5:$E$3004,MATCH($A2309,'Live History'!$D$5:$D$3004,1)),INDEX('AH History'!$C$1:$C$18046,AH!$P$7+2304))),NA()),NA())</ns0:f>
        <ns0:v/>
      </ns0:c>
      <ns0:c r="E2309">
        <ns0:f>IFERROR(IF(ISNUMBER($A2309),IF(AND(AH!$P$10=1,AH!$P$12=1,$A2309=TODAY()),AH!$P$20,IF(AH!$P$10=1,INDEX('Live History'!$H$5:$H$3004,MATCH($A2309,'Live History'!$G$5:$G$3004,1)),INDEX('AH History'!$D$1:$D$18046,AH!$P$7+2304))),NA()),NA())</ns0:f>
        <ns0:v/>
      </ns0:c>
      <ns0:c r="F2309">
        <ns0:f>IFERROR(IF(ISNUMBER($A2309),IF(AND(AH!$P$10=1,AH!$P$12=1,$A2309=TODAY()),IF(AND(AH!$P$10=1,AH!$P$12=1,$A2309=TODAY()),TODAY(),NA()),IF(AH!$P$10=1,INDEX('Live History'!$D$5:$D$3004,MATCH($A2309,'Live History'!$D$5:$D$3004,1)),INDEX('AH History'!$E$1:$E$18046,AH!$P$7+2304))),NA()),NA())</ns0:f>
        <ns0:v/>
      </ns0:c>
      <ns0:c r="G2309">
        <ns0:f>IFERROR(IF(ISNUMBER($A2309),IF(AND(AH!$P$10=1,AH!$P$12=1,$A2309=TODAY()),IF(AND(AH!$P$10=1,AH!$P$12=1,$A2309=TODAY()),TODAY(),NA()),IF(AH!$P$10=1,INDEX('Live History'!$G$5:$G$3004,MATCH($A2309,'Live History'!$G$5:$G$3004,1)),INDEX('AH History'!$F$1:$F$18046,AH!$P$7+2304))),NA()),NA())</ns0:f>
        <ns0:v/>
      </ns0:c>
      <ns0:c r="H2309">
        <ns0:f>IFERROR(IF(AND(AH!$E$4="Bloomberg",AH!$P$10=1,ISNUMBER($A2309),$A2309&lt;=AH!$P$17),AH!$P$7-1+MATCH($A2309,INDEX('AH History'!$A$1:$A$18046,AH!$P$7):INDEX('AH History'!$A$1:$A$18046,AH!$P$7+AH!$P$8-1),0),0),0)</ns0:f>
        <ns0:v/>
      </ns0:c>
      <ns0:c r="I2309">
        <ns0:f>IF($H2309=0,0,IFERROR(IF(AND(ABS($C2309-INDEX('AH History'!$B$1:$B$18046,$H2309))&lt;=MAX(0.005,ABS(INDEX('AH History'!$B$1:$B$18046,$H2309))*0.00005),ABS($D2309-INDEX('AH History'!$C$1:$C$18046,$H2309))&lt;=MAX(0.005,ABS(INDEX('AH History'!$C$1:$C$18046,$H2309))*0.00005),ABS($E2309-INDEX('AH History'!$D$1:$D$18046,$H2309))&lt;=0.00005,$F2309=INDEX('AH History'!$E$1:$E$18046,$H2309),$G2309=INDEX('AH History'!$F$1:$F$18046,$H2309)),1,-1),-1))</ns0:f>
        <ns0:v/>
      </ns0:c>
    </ns0:row>
    <ns0:row r="2310">
      <ns0:c r="A2310" s="215">
        <ns0:f>IF(OR(AH!$P$3=0,2305+1&gt;AH!$P$11,AND(AH!$E$4&lt;&gt;"Stored",AH!$P$10&lt;&gt;1)),"",IFERROR(IF(AND(AH!$P$21=1,2305+1=AH!$P$11),TODAY(),IF(AH!$P$10=1,INDEX('Live History'!$A$5:$A$3004,AH!$P$13+2305),INDEX('AH History'!$A$1:$A$18046,AH!$P$7+2305))),""))</ns0:f>
        <ns0:v/>
      </ns0:c>
      <ns0:c r="B2310" s="219">
        <ns0:f>IFERROR(IF(AND(AH!$P$9&lt;&gt;1,$C2310&gt;0,$D2310&gt;0,$E2310&gt;0,$F2310&gt;0,$G2310&gt;0,$F2310&lt;=$A2310,$G2310&lt;=$A2310,$A2310-$F2310&lt;=10,$A2310-$G2310&lt;=5),$D2310*$E2310/$C2310-1,NA()),NA())</ns0:f>
        <ns0:v/>
      </ns0:c>
      <ns0:c r="C2310">
        <ns0:f>IFERROR(IF(ISNUMBER($A2310),IF(AND(AH!$P$10=1,AH!$P$12=1,$A2310=TODAY()),AH!$P$19,IF(AH!$P$10=1,INDEX('Live History'!$B$5:$B$3004,AH!$P$13+2305),INDEX('AH History'!$B$1:$B$18046,AH!$P$7+2305))),NA()),NA())</ns0:f>
        <ns0:v/>
      </ns0:c>
      <ns0:c r="D2310">
        <ns0:f>IFERROR(IF(ISNUMBER($A2310),IF(AND(AH!$P$10=1,AH!$P$12=1,$A2310=TODAY()),AH!$P$18,IF(AH!$P$10=1,INDEX('Live History'!$E$5:$E$3004,MATCH($A2310,'Live History'!$D$5:$D$3004,1)),INDEX('AH History'!$C$1:$C$18046,AH!$P$7+2305))),NA()),NA())</ns0:f>
        <ns0:v/>
      </ns0:c>
      <ns0:c r="E2310">
        <ns0:f>IFERROR(IF(ISNUMBER($A2310),IF(AND(AH!$P$10=1,AH!$P$12=1,$A2310=TODAY()),AH!$P$20,IF(AH!$P$10=1,INDEX('Live History'!$H$5:$H$3004,MATCH($A2310,'Live History'!$G$5:$G$3004,1)),INDEX('AH History'!$D$1:$D$18046,AH!$P$7+2305))),NA()),NA())</ns0:f>
        <ns0:v/>
      </ns0:c>
      <ns0:c r="F2310">
        <ns0:f>IFERROR(IF(ISNUMBER($A2310),IF(AND(AH!$P$10=1,AH!$P$12=1,$A2310=TODAY()),IF(AND(AH!$P$10=1,AH!$P$12=1,$A2310=TODAY()),TODAY(),NA()),IF(AH!$P$10=1,INDEX('Live History'!$D$5:$D$3004,MATCH($A2310,'Live History'!$D$5:$D$3004,1)),INDEX('AH History'!$E$1:$E$18046,AH!$P$7+2305))),NA()),NA())</ns0:f>
        <ns0:v/>
      </ns0:c>
      <ns0:c r="G2310">
        <ns0:f>IFERROR(IF(ISNUMBER($A2310),IF(AND(AH!$P$10=1,AH!$P$12=1,$A2310=TODAY()),IF(AND(AH!$P$10=1,AH!$P$12=1,$A2310=TODAY()),TODAY(),NA()),IF(AH!$P$10=1,INDEX('Live History'!$G$5:$G$3004,MATCH($A2310,'Live History'!$G$5:$G$3004,1)),INDEX('AH History'!$F$1:$F$18046,AH!$P$7+2305))),NA()),NA())</ns0:f>
        <ns0:v/>
      </ns0:c>
      <ns0:c r="H2310">
        <ns0:f>IFERROR(IF(AND(AH!$E$4="Bloomberg",AH!$P$10=1,ISNUMBER($A2310),$A2310&lt;=AH!$P$17),AH!$P$7-1+MATCH($A2310,INDEX('AH History'!$A$1:$A$18046,AH!$P$7):INDEX('AH History'!$A$1:$A$18046,AH!$P$7+AH!$P$8-1),0),0),0)</ns0:f>
        <ns0:v/>
      </ns0:c>
      <ns0:c r="I2310">
        <ns0:f>IF($H2310=0,0,IFERROR(IF(AND(ABS($C2310-INDEX('AH History'!$B$1:$B$18046,$H2310))&lt;=MAX(0.005,ABS(INDEX('AH History'!$B$1:$B$18046,$H2310))*0.00005),ABS($D2310-INDEX('AH History'!$C$1:$C$18046,$H2310))&lt;=MAX(0.005,ABS(INDEX('AH History'!$C$1:$C$18046,$H2310))*0.00005),ABS($E2310-INDEX('AH History'!$D$1:$D$18046,$H2310))&lt;=0.00005,$F2310=INDEX('AH History'!$E$1:$E$18046,$H2310),$G2310=INDEX('AH History'!$F$1:$F$18046,$H2310)),1,-1),-1))</ns0:f>
        <ns0:v/>
      </ns0:c>
    </ns0:row>
    <ns0:row r="2311">
      <ns0:c r="A2311" s="215">
        <ns0:f>IF(OR(AH!$P$3=0,2306+1&gt;AH!$P$11,AND(AH!$E$4&lt;&gt;"Stored",AH!$P$10&lt;&gt;1)),"",IFERROR(IF(AND(AH!$P$21=1,2306+1=AH!$P$11),TODAY(),IF(AH!$P$10=1,INDEX('Live History'!$A$5:$A$3004,AH!$P$13+2306),INDEX('AH History'!$A$1:$A$18046,AH!$P$7+2306))),""))</ns0:f>
        <ns0:v/>
      </ns0:c>
      <ns0:c r="B2311" s="219">
        <ns0:f>IFERROR(IF(AND(AH!$P$9&lt;&gt;1,$C2311&gt;0,$D2311&gt;0,$E2311&gt;0,$F2311&gt;0,$G2311&gt;0,$F2311&lt;=$A2311,$G2311&lt;=$A2311,$A2311-$F2311&lt;=10,$A2311-$G2311&lt;=5),$D2311*$E2311/$C2311-1,NA()),NA())</ns0:f>
        <ns0:v/>
      </ns0:c>
      <ns0:c r="C2311">
        <ns0:f>IFERROR(IF(ISNUMBER($A2311),IF(AND(AH!$P$10=1,AH!$P$12=1,$A2311=TODAY()),AH!$P$19,IF(AH!$P$10=1,INDEX('Live History'!$B$5:$B$3004,AH!$P$13+2306),INDEX('AH History'!$B$1:$B$18046,AH!$P$7+2306))),NA()),NA())</ns0:f>
        <ns0:v/>
      </ns0:c>
      <ns0:c r="D2311">
        <ns0:f>IFERROR(IF(ISNUMBER($A2311),IF(AND(AH!$P$10=1,AH!$P$12=1,$A2311=TODAY()),AH!$P$18,IF(AH!$P$10=1,INDEX('Live History'!$E$5:$E$3004,MATCH($A2311,'Live History'!$D$5:$D$3004,1)),INDEX('AH History'!$C$1:$C$18046,AH!$P$7+2306))),NA()),NA())</ns0:f>
        <ns0:v/>
      </ns0:c>
      <ns0:c r="E2311">
        <ns0:f>IFERROR(IF(ISNUMBER($A2311),IF(AND(AH!$P$10=1,AH!$P$12=1,$A2311=TODAY()),AH!$P$20,IF(AH!$P$10=1,INDEX('Live History'!$H$5:$H$3004,MATCH($A2311,'Live History'!$G$5:$G$3004,1)),INDEX('AH History'!$D$1:$D$18046,AH!$P$7+2306))),NA()),NA())</ns0:f>
        <ns0:v/>
      </ns0:c>
      <ns0:c r="F2311">
        <ns0:f>IFERROR(IF(ISNUMBER($A2311),IF(AND(AH!$P$10=1,AH!$P$12=1,$A2311=TODAY()),IF(AND(AH!$P$10=1,AH!$P$12=1,$A2311=TODAY()),TODAY(),NA()),IF(AH!$P$10=1,INDEX('Live History'!$D$5:$D$3004,MATCH($A2311,'Live History'!$D$5:$D$3004,1)),INDEX('AH History'!$E$1:$E$18046,AH!$P$7+2306))),NA()),NA())</ns0:f>
        <ns0:v/>
      </ns0:c>
      <ns0:c r="G2311">
        <ns0:f>IFERROR(IF(ISNUMBER($A2311),IF(AND(AH!$P$10=1,AH!$P$12=1,$A2311=TODAY()),IF(AND(AH!$P$10=1,AH!$P$12=1,$A2311=TODAY()),TODAY(),NA()),IF(AH!$P$10=1,INDEX('Live History'!$G$5:$G$3004,MATCH($A2311,'Live History'!$G$5:$G$3004,1)),INDEX('AH History'!$F$1:$F$18046,AH!$P$7+2306))),NA()),NA())</ns0:f>
        <ns0:v/>
      </ns0:c>
      <ns0:c r="H2311">
        <ns0:f>IFERROR(IF(AND(AH!$E$4="Bloomberg",AH!$P$10=1,ISNUMBER($A2311),$A2311&lt;=AH!$P$17),AH!$P$7-1+MATCH($A2311,INDEX('AH History'!$A$1:$A$18046,AH!$P$7):INDEX('AH History'!$A$1:$A$18046,AH!$P$7+AH!$P$8-1),0),0),0)</ns0:f>
        <ns0:v/>
      </ns0:c>
      <ns0:c r="I2311">
        <ns0:f>IF($H2311=0,0,IFERROR(IF(AND(ABS($C2311-INDEX('AH History'!$B$1:$B$18046,$H2311))&lt;=MAX(0.005,ABS(INDEX('AH History'!$B$1:$B$18046,$H2311))*0.00005),ABS($D2311-INDEX('AH History'!$C$1:$C$18046,$H2311))&lt;=MAX(0.005,ABS(INDEX('AH History'!$C$1:$C$18046,$H2311))*0.00005),ABS($E2311-INDEX('AH History'!$D$1:$D$18046,$H2311))&lt;=0.00005,$F2311=INDEX('AH History'!$E$1:$E$18046,$H2311),$G2311=INDEX('AH History'!$F$1:$F$18046,$H2311)),1,-1),-1))</ns0:f>
        <ns0:v/>
      </ns0:c>
    </ns0:row>
    <ns0:row r="2312">
      <ns0:c r="A2312" s="215">
        <ns0:f>IF(OR(AH!$P$3=0,2307+1&gt;AH!$P$11,AND(AH!$E$4&lt;&gt;"Stored",AH!$P$10&lt;&gt;1)),"",IFERROR(IF(AND(AH!$P$21=1,2307+1=AH!$P$11),TODAY(),IF(AH!$P$10=1,INDEX('Live History'!$A$5:$A$3004,AH!$P$13+2307),INDEX('AH History'!$A$1:$A$18046,AH!$P$7+2307))),""))</ns0:f>
        <ns0:v/>
      </ns0:c>
      <ns0:c r="B2312" s="219">
        <ns0:f>IFERROR(IF(AND(AH!$P$9&lt;&gt;1,$C2312&gt;0,$D2312&gt;0,$E2312&gt;0,$F2312&gt;0,$G2312&gt;0,$F2312&lt;=$A2312,$G2312&lt;=$A2312,$A2312-$F2312&lt;=10,$A2312-$G2312&lt;=5),$D2312*$E2312/$C2312-1,NA()),NA())</ns0:f>
        <ns0:v/>
      </ns0:c>
      <ns0:c r="C2312">
        <ns0:f>IFERROR(IF(ISNUMBER($A2312),IF(AND(AH!$P$10=1,AH!$P$12=1,$A2312=TODAY()),AH!$P$19,IF(AH!$P$10=1,INDEX('Live History'!$B$5:$B$3004,AH!$P$13+2307),INDEX('AH History'!$B$1:$B$18046,AH!$P$7+2307))),NA()),NA())</ns0:f>
        <ns0:v/>
      </ns0:c>
      <ns0:c r="D2312">
        <ns0:f>IFERROR(IF(ISNUMBER($A2312),IF(AND(AH!$P$10=1,AH!$P$12=1,$A2312=TODAY()),AH!$P$18,IF(AH!$P$10=1,INDEX('Live History'!$E$5:$E$3004,MATCH($A2312,'Live History'!$D$5:$D$3004,1)),INDEX('AH History'!$C$1:$C$18046,AH!$P$7+2307))),NA()),NA())</ns0:f>
        <ns0:v/>
      </ns0:c>
      <ns0:c r="E2312">
        <ns0:f>IFERROR(IF(ISNUMBER($A2312),IF(AND(AH!$P$10=1,AH!$P$12=1,$A2312=TODAY()),AH!$P$20,IF(AH!$P$10=1,INDEX('Live History'!$H$5:$H$3004,MATCH($A2312,'Live History'!$G$5:$G$3004,1)),INDEX('AH History'!$D$1:$D$18046,AH!$P$7+2307))),NA()),NA())</ns0:f>
        <ns0:v/>
      </ns0:c>
      <ns0:c r="F2312">
        <ns0:f>IFERROR(IF(ISNUMBER($A2312),IF(AND(AH!$P$10=1,AH!$P$12=1,$A2312=TODAY()),IF(AND(AH!$P$10=1,AH!$P$12=1,$A2312=TODAY()),TODAY(),NA()),IF(AH!$P$10=1,INDEX('Live History'!$D$5:$D$3004,MATCH($A2312,'Live History'!$D$5:$D$3004,1)),INDEX('AH History'!$E$1:$E$18046,AH!$P$7+2307))),NA()),NA())</ns0:f>
        <ns0:v/>
      </ns0:c>
      <ns0:c r="G2312">
        <ns0:f>IFERROR(IF(ISNUMBER($A2312),IF(AND(AH!$P$10=1,AH!$P$12=1,$A2312=TODAY()),IF(AND(AH!$P$10=1,AH!$P$12=1,$A2312=TODAY()),TODAY(),NA()),IF(AH!$P$10=1,INDEX('Live History'!$G$5:$G$3004,MATCH($A2312,'Live History'!$G$5:$G$3004,1)),INDEX('AH History'!$F$1:$F$18046,AH!$P$7+2307))),NA()),NA())</ns0:f>
        <ns0:v/>
      </ns0:c>
      <ns0:c r="H2312">
        <ns0:f>IFERROR(IF(AND(AH!$E$4="Bloomberg",AH!$P$10=1,ISNUMBER($A2312),$A2312&lt;=AH!$P$17),AH!$P$7-1+MATCH($A2312,INDEX('AH History'!$A$1:$A$18046,AH!$P$7):INDEX('AH History'!$A$1:$A$18046,AH!$P$7+AH!$P$8-1),0),0),0)</ns0:f>
        <ns0:v/>
      </ns0:c>
      <ns0:c r="I2312">
        <ns0:f>IF($H2312=0,0,IFERROR(IF(AND(ABS($C2312-INDEX('AH History'!$B$1:$B$18046,$H2312))&lt;=MAX(0.005,ABS(INDEX('AH History'!$B$1:$B$18046,$H2312))*0.00005),ABS($D2312-INDEX('AH History'!$C$1:$C$18046,$H2312))&lt;=MAX(0.005,ABS(INDEX('AH History'!$C$1:$C$18046,$H2312))*0.00005),ABS($E2312-INDEX('AH History'!$D$1:$D$18046,$H2312))&lt;=0.00005,$F2312=INDEX('AH History'!$E$1:$E$18046,$H2312),$G2312=INDEX('AH History'!$F$1:$F$18046,$H2312)),1,-1),-1))</ns0:f>
        <ns0:v/>
      </ns0:c>
    </ns0:row>
    <ns0:row r="2313">
      <ns0:c r="A2313" s="215">
        <ns0:f>IF(OR(AH!$P$3=0,2308+1&gt;AH!$P$11,AND(AH!$E$4&lt;&gt;"Stored",AH!$P$10&lt;&gt;1)),"",IFERROR(IF(AND(AH!$P$21=1,2308+1=AH!$P$11),TODAY(),IF(AH!$P$10=1,INDEX('Live History'!$A$5:$A$3004,AH!$P$13+2308),INDEX('AH History'!$A$1:$A$18046,AH!$P$7+2308))),""))</ns0:f>
        <ns0:v/>
      </ns0:c>
      <ns0:c r="B2313" s="219">
        <ns0:f>IFERROR(IF(AND(AH!$P$9&lt;&gt;1,$C2313&gt;0,$D2313&gt;0,$E2313&gt;0,$F2313&gt;0,$G2313&gt;0,$F2313&lt;=$A2313,$G2313&lt;=$A2313,$A2313-$F2313&lt;=10,$A2313-$G2313&lt;=5),$D2313*$E2313/$C2313-1,NA()),NA())</ns0:f>
        <ns0:v/>
      </ns0:c>
      <ns0:c r="C2313">
        <ns0:f>IFERROR(IF(ISNUMBER($A2313),IF(AND(AH!$P$10=1,AH!$P$12=1,$A2313=TODAY()),AH!$P$19,IF(AH!$P$10=1,INDEX('Live History'!$B$5:$B$3004,AH!$P$13+2308),INDEX('AH History'!$B$1:$B$18046,AH!$P$7+2308))),NA()),NA())</ns0:f>
        <ns0:v/>
      </ns0:c>
      <ns0:c r="D2313">
        <ns0:f>IFERROR(IF(ISNUMBER($A2313),IF(AND(AH!$P$10=1,AH!$P$12=1,$A2313=TODAY()),AH!$P$18,IF(AH!$P$10=1,INDEX('Live History'!$E$5:$E$3004,MATCH($A2313,'Live History'!$D$5:$D$3004,1)),INDEX('AH History'!$C$1:$C$18046,AH!$P$7+2308))),NA()),NA())</ns0:f>
        <ns0:v/>
      </ns0:c>
      <ns0:c r="E2313">
        <ns0:f>IFERROR(IF(ISNUMBER($A2313),IF(AND(AH!$P$10=1,AH!$P$12=1,$A2313=TODAY()),AH!$P$20,IF(AH!$P$10=1,INDEX('Live History'!$H$5:$H$3004,MATCH($A2313,'Live History'!$G$5:$G$3004,1)),INDEX('AH History'!$D$1:$D$18046,AH!$P$7+2308))),NA()),NA())</ns0:f>
        <ns0:v/>
      </ns0:c>
      <ns0:c r="F2313">
        <ns0:f>IFERROR(IF(ISNUMBER($A2313),IF(AND(AH!$P$10=1,AH!$P$12=1,$A2313=TODAY()),IF(AND(AH!$P$10=1,AH!$P$12=1,$A2313=TODAY()),TODAY(),NA()),IF(AH!$P$10=1,INDEX('Live History'!$D$5:$D$3004,MATCH($A2313,'Live History'!$D$5:$D$3004,1)),INDEX('AH History'!$E$1:$E$18046,AH!$P$7+2308))),NA()),NA())</ns0:f>
        <ns0:v/>
      </ns0:c>
      <ns0:c r="G2313">
        <ns0:f>IFERROR(IF(ISNUMBER($A2313),IF(AND(AH!$P$10=1,AH!$P$12=1,$A2313=TODAY()),IF(AND(AH!$P$10=1,AH!$P$12=1,$A2313=TODAY()),TODAY(),NA()),IF(AH!$P$10=1,INDEX('Live History'!$G$5:$G$3004,MATCH($A2313,'Live History'!$G$5:$G$3004,1)),INDEX('AH History'!$F$1:$F$18046,AH!$P$7+2308))),NA()),NA())</ns0:f>
        <ns0:v/>
      </ns0:c>
      <ns0:c r="H2313">
        <ns0:f>IFERROR(IF(AND(AH!$E$4="Bloomberg",AH!$P$10=1,ISNUMBER($A2313),$A2313&lt;=AH!$P$17),AH!$P$7-1+MATCH($A2313,INDEX('AH History'!$A$1:$A$18046,AH!$P$7):INDEX('AH History'!$A$1:$A$18046,AH!$P$7+AH!$P$8-1),0),0),0)</ns0:f>
        <ns0:v/>
      </ns0:c>
      <ns0:c r="I2313">
        <ns0:f>IF($H2313=0,0,IFERROR(IF(AND(ABS($C2313-INDEX('AH History'!$B$1:$B$18046,$H2313))&lt;=MAX(0.005,ABS(INDEX('AH History'!$B$1:$B$18046,$H2313))*0.00005),ABS($D2313-INDEX('AH History'!$C$1:$C$18046,$H2313))&lt;=MAX(0.005,ABS(INDEX('AH History'!$C$1:$C$18046,$H2313))*0.00005),ABS($E2313-INDEX('AH History'!$D$1:$D$18046,$H2313))&lt;=0.00005,$F2313=INDEX('AH History'!$E$1:$E$18046,$H2313),$G2313=INDEX('AH History'!$F$1:$F$18046,$H2313)),1,-1),-1))</ns0:f>
        <ns0:v/>
      </ns0:c>
    </ns0:row>
    <ns0:row r="2314">
      <ns0:c r="A2314" s="215">
        <ns0:f>IF(OR(AH!$P$3=0,2309+1&gt;AH!$P$11,AND(AH!$E$4&lt;&gt;"Stored",AH!$P$10&lt;&gt;1)),"",IFERROR(IF(AND(AH!$P$21=1,2309+1=AH!$P$11),TODAY(),IF(AH!$P$10=1,INDEX('Live History'!$A$5:$A$3004,AH!$P$13+2309),INDEX('AH History'!$A$1:$A$18046,AH!$P$7+2309))),""))</ns0:f>
        <ns0:v/>
      </ns0:c>
      <ns0:c r="B2314" s="219">
        <ns0:f>IFERROR(IF(AND(AH!$P$9&lt;&gt;1,$C2314&gt;0,$D2314&gt;0,$E2314&gt;0,$F2314&gt;0,$G2314&gt;0,$F2314&lt;=$A2314,$G2314&lt;=$A2314,$A2314-$F2314&lt;=10,$A2314-$G2314&lt;=5),$D2314*$E2314/$C2314-1,NA()),NA())</ns0:f>
        <ns0:v/>
      </ns0:c>
      <ns0:c r="C2314">
        <ns0:f>IFERROR(IF(ISNUMBER($A2314),IF(AND(AH!$P$10=1,AH!$P$12=1,$A2314=TODAY()),AH!$P$19,IF(AH!$P$10=1,INDEX('Live History'!$B$5:$B$3004,AH!$P$13+2309),INDEX('AH History'!$B$1:$B$18046,AH!$P$7+2309))),NA()),NA())</ns0:f>
        <ns0:v/>
      </ns0:c>
      <ns0:c r="D2314">
        <ns0:f>IFERROR(IF(ISNUMBER($A2314),IF(AND(AH!$P$10=1,AH!$P$12=1,$A2314=TODAY()),AH!$P$18,IF(AH!$P$10=1,INDEX('Live History'!$E$5:$E$3004,MATCH($A2314,'Live History'!$D$5:$D$3004,1)),INDEX('AH History'!$C$1:$C$18046,AH!$P$7+2309))),NA()),NA())</ns0:f>
        <ns0:v/>
      </ns0:c>
      <ns0:c r="E2314">
        <ns0:f>IFERROR(IF(ISNUMBER($A2314),IF(AND(AH!$P$10=1,AH!$P$12=1,$A2314=TODAY()),AH!$P$20,IF(AH!$P$10=1,INDEX('Live History'!$H$5:$H$3004,MATCH($A2314,'Live History'!$G$5:$G$3004,1)),INDEX('AH History'!$D$1:$D$18046,AH!$P$7+2309))),NA()),NA())</ns0:f>
        <ns0:v/>
      </ns0:c>
      <ns0:c r="F2314">
        <ns0:f>IFERROR(IF(ISNUMBER($A2314),IF(AND(AH!$P$10=1,AH!$P$12=1,$A2314=TODAY()),IF(AND(AH!$P$10=1,AH!$P$12=1,$A2314=TODAY()),TODAY(),NA()),IF(AH!$P$10=1,INDEX('Live History'!$D$5:$D$3004,MATCH($A2314,'Live History'!$D$5:$D$3004,1)),INDEX('AH History'!$E$1:$E$18046,AH!$P$7+2309))),NA()),NA())</ns0:f>
        <ns0:v/>
      </ns0:c>
      <ns0:c r="G2314">
        <ns0:f>IFERROR(IF(ISNUMBER($A2314),IF(AND(AH!$P$10=1,AH!$P$12=1,$A2314=TODAY()),IF(AND(AH!$P$10=1,AH!$P$12=1,$A2314=TODAY()),TODAY(),NA()),IF(AH!$P$10=1,INDEX('Live History'!$G$5:$G$3004,MATCH($A2314,'Live History'!$G$5:$G$3004,1)),INDEX('AH History'!$F$1:$F$18046,AH!$P$7+2309))),NA()),NA())</ns0:f>
        <ns0:v/>
      </ns0:c>
      <ns0:c r="H2314">
        <ns0:f>IFERROR(IF(AND(AH!$E$4="Bloomberg",AH!$P$10=1,ISNUMBER($A2314),$A2314&lt;=AH!$P$17),AH!$P$7-1+MATCH($A2314,INDEX('AH History'!$A$1:$A$18046,AH!$P$7):INDEX('AH History'!$A$1:$A$18046,AH!$P$7+AH!$P$8-1),0),0),0)</ns0:f>
        <ns0:v/>
      </ns0:c>
      <ns0:c r="I2314">
        <ns0:f>IF($H2314=0,0,IFERROR(IF(AND(ABS($C2314-INDEX('AH History'!$B$1:$B$18046,$H2314))&lt;=MAX(0.005,ABS(INDEX('AH History'!$B$1:$B$18046,$H2314))*0.00005),ABS($D2314-INDEX('AH History'!$C$1:$C$18046,$H2314))&lt;=MAX(0.005,ABS(INDEX('AH History'!$C$1:$C$18046,$H2314))*0.00005),ABS($E2314-INDEX('AH History'!$D$1:$D$18046,$H2314))&lt;=0.00005,$F2314=INDEX('AH History'!$E$1:$E$18046,$H2314),$G2314=INDEX('AH History'!$F$1:$F$18046,$H2314)),1,-1),-1))</ns0:f>
        <ns0:v/>
      </ns0:c>
    </ns0:row>
    <ns0:row r="2315">
      <ns0:c r="A2315" s="215">
        <ns0:f>IF(OR(AH!$P$3=0,2310+1&gt;AH!$P$11,AND(AH!$E$4&lt;&gt;"Stored",AH!$P$10&lt;&gt;1)),"",IFERROR(IF(AND(AH!$P$21=1,2310+1=AH!$P$11),TODAY(),IF(AH!$P$10=1,INDEX('Live History'!$A$5:$A$3004,AH!$P$13+2310),INDEX('AH History'!$A$1:$A$18046,AH!$P$7+2310))),""))</ns0:f>
        <ns0:v/>
      </ns0:c>
      <ns0:c r="B2315" s="219">
        <ns0:f>IFERROR(IF(AND(AH!$P$9&lt;&gt;1,$C2315&gt;0,$D2315&gt;0,$E2315&gt;0,$F2315&gt;0,$G2315&gt;0,$F2315&lt;=$A2315,$G2315&lt;=$A2315,$A2315-$F2315&lt;=10,$A2315-$G2315&lt;=5),$D2315*$E2315/$C2315-1,NA()),NA())</ns0:f>
        <ns0:v/>
      </ns0:c>
      <ns0:c r="C2315">
        <ns0:f>IFERROR(IF(ISNUMBER($A2315),IF(AND(AH!$P$10=1,AH!$P$12=1,$A2315=TODAY()),AH!$P$19,IF(AH!$P$10=1,INDEX('Live History'!$B$5:$B$3004,AH!$P$13+2310),INDEX('AH History'!$B$1:$B$18046,AH!$P$7+2310))),NA()),NA())</ns0:f>
        <ns0:v/>
      </ns0:c>
      <ns0:c r="D2315">
        <ns0:f>IFERROR(IF(ISNUMBER($A2315),IF(AND(AH!$P$10=1,AH!$P$12=1,$A2315=TODAY()),AH!$P$18,IF(AH!$P$10=1,INDEX('Live History'!$E$5:$E$3004,MATCH($A2315,'Live History'!$D$5:$D$3004,1)),INDEX('AH History'!$C$1:$C$18046,AH!$P$7+2310))),NA()),NA())</ns0:f>
        <ns0:v/>
      </ns0:c>
      <ns0:c r="E2315">
        <ns0:f>IFERROR(IF(ISNUMBER($A2315),IF(AND(AH!$P$10=1,AH!$P$12=1,$A2315=TODAY()),AH!$P$20,IF(AH!$P$10=1,INDEX('Live History'!$H$5:$H$3004,MATCH($A2315,'Live History'!$G$5:$G$3004,1)),INDEX('AH History'!$D$1:$D$18046,AH!$P$7+2310))),NA()),NA())</ns0:f>
        <ns0:v/>
      </ns0:c>
      <ns0:c r="F2315">
        <ns0:f>IFERROR(IF(ISNUMBER($A2315),IF(AND(AH!$P$10=1,AH!$P$12=1,$A2315=TODAY()),IF(AND(AH!$P$10=1,AH!$P$12=1,$A2315=TODAY()),TODAY(),NA()),IF(AH!$P$10=1,INDEX('Live History'!$D$5:$D$3004,MATCH($A2315,'Live History'!$D$5:$D$3004,1)),INDEX('AH History'!$E$1:$E$18046,AH!$P$7+2310))),NA()),NA())</ns0:f>
        <ns0:v/>
      </ns0:c>
      <ns0:c r="G2315">
        <ns0:f>IFERROR(IF(ISNUMBER($A2315),IF(AND(AH!$P$10=1,AH!$P$12=1,$A2315=TODAY()),IF(AND(AH!$P$10=1,AH!$P$12=1,$A2315=TODAY()),TODAY(),NA()),IF(AH!$P$10=1,INDEX('Live History'!$G$5:$G$3004,MATCH($A2315,'Live History'!$G$5:$G$3004,1)),INDEX('AH History'!$F$1:$F$18046,AH!$P$7+2310))),NA()),NA())</ns0:f>
        <ns0:v/>
      </ns0:c>
      <ns0:c r="H2315">
        <ns0:f>IFERROR(IF(AND(AH!$E$4="Bloomberg",AH!$P$10=1,ISNUMBER($A2315),$A2315&lt;=AH!$P$17),AH!$P$7-1+MATCH($A2315,INDEX('AH History'!$A$1:$A$18046,AH!$P$7):INDEX('AH History'!$A$1:$A$18046,AH!$P$7+AH!$P$8-1),0),0),0)</ns0:f>
        <ns0:v/>
      </ns0:c>
      <ns0:c r="I2315">
        <ns0:f>IF($H2315=0,0,IFERROR(IF(AND(ABS($C2315-INDEX('AH History'!$B$1:$B$18046,$H2315))&lt;=MAX(0.005,ABS(INDEX('AH History'!$B$1:$B$18046,$H2315))*0.00005),ABS($D2315-INDEX('AH History'!$C$1:$C$18046,$H2315))&lt;=MAX(0.005,ABS(INDEX('AH History'!$C$1:$C$18046,$H2315))*0.00005),ABS($E2315-INDEX('AH History'!$D$1:$D$18046,$H2315))&lt;=0.00005,$F2315=INDEX('AH History'!$E$1:$E$18046,$H2315),$G2315=INDEX('AH History'!$F$1:$F$18046,$H2315)),1,-1),-1))</ns0:f>
        <ns0:v/>
      </ns0:c>
    </ns0:row>
    <ns0:row r="2316">
      <ns0:c r="A2316" s="215">
        <ns0:f>IF(OR(AH!$P$3=0,2311+1&gt;AH!$P$11,AND(AH!$E$4&lt;&gt;"Stored",AH!$P$10&lt;&gt;1)),"",IFERROR(IF(AND(AH!$P$21=1,2311+1=AH!$P$11),TODAY(),IF(AH!$P$10=1,INDEX('Live History'!$A$5:$A$3004,AH!$P$13+2311),INDEX('AH History'!$A$1:$A$18046,AH!$P$7+2311))),""))</ns0:f>
        <ns0:v/>
      </ns0:c>
      <ns0:c r="B2316" s="219">
        <ns0:f>IFERROR(IF(AND(AH!$P$9&lt;&gt;1,$C2316&gt;0,$D2316&gt;0,$E2316&gt;0,$F2316&gt;0,$G2316&gt;0,$F2316&lt;=$A2316,$G2316&lt;=$A2316,$A2316-$F2316&lt;=10,$A2316-$G2316&lt;=5),$D2316*$E2316/$C2316-1,NA()),NA())</ns0:f>
        <ns0:v/>
      </ns0:c>
      <ns0:c r="C2316">
        <ns0:f>IFERROR(IF(ISNUMBER($A2316),IF(AND(AH!$P$10=1,AH!$P$12=1,$A2316=TODAY()),AH!$P$19,IF(AH!$P$10=1,INDEX('Live History'!$B$5:$B$3004,AH!$P$13+2311),INDEX('AH History'!$B$1:$B$18046,AH!$P$7+2311))),NA()),NA())</ns0:f>
        <ns0:v/>
      </ns0:c>
      <ns0:c r="D2316">
        <ns0:f>IFERROR(IF(ISNUMBER($A2316),IF(AND(AH!$P$10=1,AH!$P$12=1,$A2316=TODAY()),AH!$P$18,IF(AH!$P$10=1,INDEX('Live History'!$E$5:$E$3004,MATCH($A2316,'Live History'!$D$5:$D$3004,1)),INDEX('AH History'!$C$1:$C$18046,AH!$P$7+2311))),NA()),NA())</ns0:f>
        <ns0:v/>
      </ns0:c>
      <ns0:c r="E2316">
        <ns0:f>IFERROR(IF(ISNUMBER($A2316),IF(AND(AH!$P$10=1,AH!$P$12=1,$A2316=TODAY()),AH!$P$20,IF(AH!$P$10=1,INDEX('Live History'!$H$5:$H$3004,MATCH($A2316,'Live History'!$G$5:$G$3004,1)),INDEX('AH History'!$D$1:$D$18046,AH!$P$7+2311))),NA()),NA())</ns0:f>
        <ns0:v/>
      </ns0:c>
      <ns0:c r="F2316">
        <ns0:f>IFERROR(IF(ISNUMBER($A2316),IF(AND(AH!$P$10=1,AH!$P$12=1,$A2316=TODAY()),IF(AND(AH!$P$10=1,AH!$P$12=1,$A2316=TODAY()),TODAY(),NA()),IF(AH!$P$10=1,INDEX('Live History'!$D$5:$D$3004,MATCH($A2316,'Live History'!$D$5:$D$3004,1)),INDEX('AH History'!$E$1:$E$18046,AH!$P$7+2311))),NA()),NA())</ns0:f>
        <ns0:v/>
      </ns0:c>
      <ns0:c r="G2316">
        <ns0:f>IFERROR(IF(ISNUMBER($A2316),IF(AND(AH!$P$10=1,AH!$P$12=1,$A2316=TODAY()),IF(AND(AH!$P$10=1,AH!$P$12=1,$A2316=TODAY()),TODAY(),NA()),IF(AH!$P$10=1,INDEX('Live History'!$G$5:$G$3004,MATCH($A2316,'Live History'!$G$5:$G$3004,1)),INDEX('AH History'!$F$1:$F$18046,AH!$P$7+2311))),NA()),NA())</ns0:f>
        <ns0:v/>
      </ns0:c>
      <ns0:c r="H2316">
        <ns0:f>IFERROR(IF(AND(AH!$E$4="Bloomberg",AH!$P$10=1,ISNUMBER($A2316),$A2316&lt;=AH!$P$17),AH!$P$7-1+MATCH($A2316,INDEX('AH History'!$A$1:$A$18046,AH!$P$7):INDEX('AH History'!$A$1:$A$18046,AH!$P$7+AH!$P$8-1),0),0),0)</ns0:f>
        <ns0:v/>
      </ns0:c>
      <ns0:c r="I2316">
        <ns0:f>IF($H2316=0,0,IFERROR(IF(AND(ABS($C2316-INDEX('AH History'!$B$1:$B$18046,$H2316))&lt;=MAX(0.005,ABS(INDEX('AH History'!$B$1:$B$18046,$H2316))*0.00005),ABS($D2316-INDEX('AH History'!$C$1:$C$18046,$H2316))&lt;=MAX(0.005,ABS(INDEX('AH History'!$C$1:$C$18046,$H2316))*0.00005),ABS($E2316-INDEX('AH History'!$D$1:$D$18046,$H2316))&lt;=0.00005,$F2316=INDEX('AH History'!$E$1:$E$18046,$H2316),$G2316=INDEX('AH History'!$F$1:$F$18046,$H2316)),1,-1),-1))</ns0:f>
        <ns0:v/>
      </ns0:c>
    </ns0:row>
    <ns0:row r="2317">
      <ns0:c r="A2317" s="215">
        <ns0:f>IF(OR(AH!$P$3=0,2312+1&gt;AH!$P$11,AND(AH!$E$4&lt;&gt;"Stored",AH!$P$10&lt;&gt;1)),"",IFERROR(IF(AND(AH!$P$21=1,2312+1=AH!$P$11),TODAY(),IF(AH!$P$10=1,INDEX('Live History'!$A$5:$A$3004,AH!$P$13+2312),INDEX('AH History'!$A$1:$A$18046,AH!$P$7+2312))),""))</ns0:f>
        <ns0:v/>
      </ns0:c>
      <ns0:c r="B2317" s="219">
        <ns0:f>IFERROR(IF(AND(AH!$P$9&lt;&gt;1,$C2317&gt;0,$D2317&gt;0,$E2317&gt;0,$F2317&gt;0,$G2317&gt;0,$F2317&lt;=$A2317,$G2317&lt;=$A2317,$A2317-$F2317&lt;=10,$A2317-$G2317&lt;=5),$D2317*$E2317/$C2317-1,NA()),NA())</ns0:f>
        <ns0:v/>
      </ns0:c>
      <ns0:c r="C2317">
        <ns0:f>IFERROR(IF(ISNUMBER($A2317),IF(AND(AH!$P$10=1,AH!$P$12=1,$A2317=TODAY()),AH!$P$19,IF(AH!$P$10=1,INDEX('Live History'!$B$5:$B$3004,AH!$P$13+2312),INDEX('AH History'!$B$1:$B$18046,AH!$P$7+2312))),NA()),NA())</ns0:f>
        <ns0:v/>
      </ns0:c>
      <ns0:c r="D2317">
        <ns0:f>IFERROR(IF(ISNUMBER($A2317),IF(AND(AH!$P$10=1,AH!$P$12=1,$A2317=TODAY()),AH!$P$18,IF(AH!$P$10=1,INDEX('Live History'!$E$5:$E$3004,MATCH($A2317,'Live History'!$D$5:$D$3004,1)),INDEX('AH History'!$C$1:$C$18046,AH!$P$7+2312))),NA()),NA())</ns0:f>
        <ns0:v/>
      </ns0:c>
      <ns0:c r="E2317">
        <ns0:f>IFERROR(IF(ISNUMBER($A2317),IF(AND(AH!$P$10=1,AH!$P$12=1,$A2317=TODAY()),AH!$P$20,IF(AH!$P$10=1,INDEX('Live History'!$H$5:$H$3004,MATCH($A2317,'Live History'!$G$5:$G$3004,1)),INDEX('AH History'!$D$1:$D$18046,AH!$P$7+2312))),NA()),NA())</ns0:f>
        <ns0:v/>
      </ns0:c>
      <ns0:c r="F2317">
        <ns0:f>IFERROR(IF(ISNUMBER($A2317),IF(AND(AH!$P$10=1,AH!$P$12=1,$A2317=TODAY()),IF(AND(AH!$P$10=1,AH!$P$12=1,$A2317=TODAY()),TODAY(),NA()),IF(AH!$P$10=1,INDEX('Live History'!$D$5:$D$3004,MATCH($A2317,'Live History'!$D$5:$D$3004,1)),INDEX('AH History'!$E$1:$E$18046,AH!$P$7+2312))),NA()),NA())</ns0:f>
        <ns0:v/>
      </ns0:c>
      <ns0:c r="G2317">
        <ns0:f>IFERROR(IF(ISNUMBER($A2317),IF(AND(AH!$P$10=1,AH!$P$12=1,$A2317=TODAY()),IF(AND(AH!$P$10=1,AH!$P$12=1,$A2317=TODAY()),TODAY(),NA()),IF(AH!$P$10=1,INDEX('Live History'!$G$5:$G$3004,MATCH($A2317,'Live History'!$G$5:$G$3004,1)),INDEX('AH History'!$F$1:$F$18046,AH!$P$7+2312))),NA()),NA())</ns0:f>
        <ns0:v/>
      </ns0:c>
      <ns0:c r="H2317">
        <ns0:f>IFERROR(IF(AND(AH!$E$4="Bloomberg",AH!$P$10=1,ISNUMBER($A2317),$A2317&lt;=AH!$P$17),AH!$P$7-1+MATCH($A2317,INDEX('AH History'!$A$1:$A$18046,AH!$P$7):INDEX('AH History'!$A$1:$A$18046,AH!$P$7+AH!$P$8-1),0),0),0)</ns0:f>
        <ns0:v/>
      </ns0:c>
      <ns0:c r="I2317">
        <ns0:f>IF($H2317=0,0,IFERROR(IF(AND(ABS($C2317-INDEX('AH History'!$B$1:$B$18046,$H2317))&lt;=MAX(0.005,ABS(INDEX('AH History'!$B$1:$B$18046,$H2317))*0.00005),ABS($D2317-INDEX('AH History'!$C$1:$C$18046,$H2317))&lt;=MAX(0.005,ABS(INDEX('AH History'!$C$1:$C$18046,$H2317))*0.00005),ABS($E2317-INDEX('AH History'!$D$1:$D$18046,$H2317))&lt;=0.00005,$F2317=INDEX('AH History'!$E$1:$E$18046,$H2317),$G2317=INDEX('AH History'!$F$1:$F$18046,$H2317)),1,-1),-1))</ns0:f>
        <ns0:v/>
      </ns0:c>
    </ns0:row>
    <ns0:row r="2318">
      <ns0:c r="A2318" s="215">
        <ns0:f>IF(OR(AH!$P$3=0,2313+1&gt;AH!$P$11,AND(AH!$E$4&lt;&gt;"Stored",AH!$P$10&lt;&gt;1)),"",IFERROR(IF(AND(AH!$P$21=1,2313+1=AH!$P$11),TODAY(),IF(AH!$P$10=1,INDEX('Live History'!$A$5:$A$3004,AH!$P$13+2313),INDEX('AH History'!$A$1:$A$18046,AH!$P$7+2313))),""))</ns0:f>
        <ns0:v/>
      </ns0:c>
      <ns0:c r="B2318" s="219">
        <ns0:f>IFERROR(IF(AND(AH!$P$9&lt;&gt;1,$C2318&gt;0,$D2318&gt;0,$E2318&gt;0,$F2318&gt;0,$G2318&gt;0,$F2318&lt;=$A2318,$G2318&lt;=$A2318,$A2318-$F2318&lt;=10,$A2318-$G2318&lt;=5),$D2318*$E2318/$C2318-1,NA()),NA())</ns0:f>
        <ns0:v/>
      </ns0:c>
      <ns0:c r="C2318">
        <ns0:f>IFERROR(IF(ISNUMBER($A2318),IF(AND(AH!$P$10=1,AH!$P$12=1,$A2318=TODAY()),AH!$P$19,IF(AH!$P$10=1,INDEX('Live History'!$B$5:$B$3004,AH!$P$13+2313),INDEX('AH History'!$B$1:$B$18046,AH!$P$7+2313))),NA()),NA())</ns0:f>
        <ns0:v/>
      </ns0:c>
      <ns0:c r="D2318">
        <ns0:f>IFERROR(IF(ISNUMBER($A2318),IF(AND(AH!$P$10=1,AH!$P$12=1,$A2318=TODAY()),AH!$P$18,IF(AH!$P$10=1,INDEX('Live History'!$E$5:$E$3004,MATCH($A2318,'Live History'!$D$5:$D$3004,1)),INDEX('AH History'!$C$1:$C$18046,AH!$P$7+2313))),NA()),NA())</ns0:f>
        <ns0:v/>
      </ns0:c>
      <ns0:c r="E2318">
        <ns0:f>IFERROR(IF(ISNUMBER($A2318),IF(AND(AH!$P$10=1,AH!$P$12=1,$A2318=TODAY()),AH!$P$20,IF(AH!$P$10=1,INDEX('Live History'!$H$5:$H$3004,MATCH($A2318,'Live History'!$G$5:$G$3004,1)),INDEX('AH History'!$D$1:$D$18046,AH!$P$7+2313))),NA()),NA())</ns0:f>
        <ns0:v/>
      </ns0:c>
      <ns0:c r="F2318">
        <ns0:f>IFERROR(IF(ISNUMBER($A2318),IF(AND(AH!$P$10=1,AH!$P$12=1,$A2318=TODAY()),IF(AND(AH!$P$10=1,AH!$P$12=1,$A2318=TODAY()),TODAY(),NA()),IF(AH!$P$10=1,INDEX('Live History'!$D$5:$D$3004,MATCH($A2318,'Live History'!$D$5:$D$3004,1)),INDEX('AH History'!$E$1:$E$18046,AH!$P$7+2313))),NA()),NA())</ns0:f>
        <ns0:v/>
      </ns0:c>
      <ns0:c r="G2318">
        <ns0:f>IFERROR(IF(ISNUMBER($A2318),IF(AND(AH!$P$10=1,AH!$P$12=1,$A2318=TODAY()),IF(AND(AH!$P$10=1,AH!$P$12=1,$A2318=TODAY()),TODAY(),NA()),IF(AH!$P$10=1,INDEX('Live History'!$G$5:$G$3004,MATCH($A2318,'Live History'!$G$5:$G$3004,1)),INDEX('AH History'!$F$1:$F$18046,AH!$P$7+2313))),NA()),NA())</ns0:f>
        <ns0:v/>
      </ns0:c>
      <ns0:c r="H2318">
        <ns0:f>IFERROR(IF(AND(AH!$E$4="Bloomberg",AH!$P$10=1,ISNUMBER($A2318),$A2318&lt;=AH!$P$17),AH!$P$7-1+MATCH($A2318,INDEX('AH History'!$A$1:$A$18046,AH!$P$7):INDEX('AH History'!$A$1:$A$18046,AH!$P$7+AH!$P$8-1),0),0),0)</ns0:f>
        <ns0:v/>
      </ns0:c>
      <ns0:c r="I2318">
        <ns0:f>IF($H2318=0,0,IFERROR(IF(AND(ABS($C2318-INDEX('AH History'!$B$1:$B$18046,$H2318))&lt;=MAX(0.005,ABS(INDEX('AH History'!$B$1:$B$18046,$H2318))*0.00005),ABS($D2318-INDEX('AH History'!$C$1:$C$18046,$H2318))&lt;=MAX(0.005,ABS(INDEX('AH History'!$C$1:$C$18046,$H2318))*0.00005),ABS($E2318-INDEX('AH History'!$D$1:$D$18046,$H2318))&lt;=0.00005,$F2318=INDEX('AH History'!$E$1:$E$18046,$H2318),$G2318=INDEX('AH History'!$F$1:$F$18046,$H2318)),1,-1),-1))</ns0:f>
        <ns0:v/>
      </ns0:c>
    </ns0:row>
    <ns0:row r="2319">
      <ns0:c r="A2319" s="215">
        <ns0:f>IF(OR(AH!$P$3=0,2314+1&gt;AH!$P$11,AND(AH!$E$4&lt;&gt;"Stored",AH!$P$10&lt;&gt;1)),"",IFERROR(IF(AND(AH!$P$21=1,2314+1=AH!$P$11),TODAY(),IF(AH!$P$10=1,INDEX('Live History'!$A$5:$A$3004,AH!$P$13+2314),INDEX('AH History'!$A$1:$A$18046,AH!$P$7+2314))),""))</ns0:f>
        <ns0:v/>
      </ns0:c>
      <ns0:c r="B2319" s="219">
        <ns0:f>IFERROR(IF(AND(AH!$P$9&lt;&gt;1,$C2319&gt;0,$D2319&gt;0,$E2319&gt;0,$F2319&gt;0,$G2319&gt;0,$F2319&lt;=$A2319,$G2319&lt;=$A2319,$A2319-$F2319&lt;=10,$A2319-$G2319&lt;=5),$D2319*$E2319/$C2319-1,NA()),NA())</ns0:f>
        <ns0:v/>
      </ns0:c>
      <ns0:c r="C2319">
        <ns0:f>IFERROR(IF(ISNUMBER($A2319),IF(AND(AH!$P$10=1,AH!$P$12=1,$A2319=TODAY()),AH!$P$19,IF(AH!$P$10=1,INDEX('Live History'!$B$5:$B$3004,AH!$P$13+2314),INDEX('AH History'!$B$1:$B$18046,AH!$P$7+2314))),NA()),NA())</ns0:f>
        <ns0:v/>
      </ns0:c>
      <ns0:c r="D2319">
        <ns0:f>IFERROR(IF(ISNUMBER($A2319),IF(AND(AH!$P$10=1,AH!$P$12=1,$A2319=TODAY()),AH!$P$18,IF(AH!$P$10=1,INDEX('Live History'!$E$5:$E$3004,MATCH($A2319,'Live History'!$D$5:$D$3004,1)),INDEX('AH History'!$C$1:$C$18046,AH!$P$7+2314))),NA()),NA())</ns0:f>
        <ns0:v/>
      </ns0:c>
      <ns0:c r="E2319">
        <ns0:f>IFERROR(IF(ISNUMBER($A2319),IF(AND(AH!$P$10=1,AH!$P$12=1,$A2319=TODAY()),AH!$P$20,IF(AH!$P$10=1,INDEX('Live History'!$H$5:$H$3004,MATCH($A2319,'Live History'!$G$5:$G$3004,1)),INDEX('AH History'!$D$1:$D$18046,AH!$P$7+2314))),NA()),NA())</ns0:f>
        <ns0:v/>
      </ns0:c>
      <ns0:c r="F2319">
        <ns0:f>IFERROR(IF(ISNUMBER($A2319),IF(AND(AH!$P$10=1,AH!$P$12=1,$A2319=TODAY()),IF(AND(AH!$P$10=1,AH!$P$12=1,$A2319=TODAY()),TODAY(),NA()),IF(AH!$P$10=1,INDEX('Live History'!$D$5:$D$3004,MATCH($A2319,'Live History'!$D$5:$D$3004,1)),INDEX('AH History'!$E$1:$E$18046,AH!$P$7+2314))),NA()),NA())</ns0:f>
        <ns0:v/>
      </ns0:c>
      <ns0:c r="G2319">
        <ns0:f>IFERROR(IF(ISNUMBER($A2319),IF(AND(AH!$P$10=1,AH!$P$12=1,$A2319=TODAY()),IF(AND(AH!$P$10=1,AH!$P$12=1,$A2319=TODAY()),TODAY(),NA()),IF(AH!$P$10=1,INDEX('Live History'!$G$5:$G$3004,MATCH($A2319,'Live History'!$G$5:$G$3004,1)),INDEX('AH History'!$F$1:$F$18046,AH!$P$7+2314))),NA()),NA())</ns0:f>
        <ns0:v/>
      </ns0:c>
      <ns0:c r="H2319">
        <ns0:f>IFERROR(IF(AND(AH!$E$4="Bloomberg",AH!$P$10=1,ISNUMBER($A2319),$A2319&lt;=AH!$P$17),AH!$P$7-1+MATCH($A2319,INDEX('AH History'!$A$1:$A$18046,AH!$P$7):INDEX('AH History'!$A$1:$A$18046,AH!$P$7+AH!$P$8-1),0),0),0)</ns0:f>
        <ns0:v/>
      </ns0:c>
      <ns0:c r="I2319">
        <ns0:f>IF($H2319=0,0,IFERROR(IF(AND(ABS($C2319-INDEX('AH History'!$B$1:$B$18046,$H2319))&lt;=MAX(0.005,ABS(INDEX('AH History'!$B$1:$B$18046,$H2319))*0.00005),ABS($D2319-INDEX('AH History'!$C$1:$C$18046,$H2319))&lt;=MAX(0.005,ABS(INDEX('AH History'!$C$1:$C$18046,$H2319))*0.00005),ABS($E2319-INDEX('AH History'!$D$1:$D$18046,$H2319))&lt;=0.00005,$F2319=INDEX('AH History'!$E$1:$E$18046,$H2319),$G2319=INDEX('AH History'!$F$1:$F$18046,$H2319)),1,-1),-1))</ns0:f>
        <ns0:v/>
      </ns0:c>
    </ns0:row>
    <ns0:row r="2320">
      <ns0:c r="A2320" s="215">
        <ns0:f>IF(OR(AH!$P$3=0,2315+1&gt;AH!$P$11,AND(AH!$E$4&lt;&gt;"Stored",AH!$P$10&lt;&gt;1)),"",IFERROR(IF(AND(AH!$P$21=1,2315+1=AH!$P$11),TODAY(),IF(AH!$P$10=1,INDEX('Live History'!$A$5:$A$3004,AH!$P$13+2315),INDEX('AH History'!$A$1:$A$18046,AH!$P$7+2315))),""))</ns0:f>
        <ns0:v/>
      </ns0:c>
      <ns0:c r="B2320" s="219">
        <ns0:f>IFERROR(IF(AND(AH!$P$9&lt;&gt;1,$C2320&gt;0,$D2320&gt;0,$E2320&gt;0,$F2320&gt;0,$G2320&gt;0,$F2320&lt;=$A2320,$G2320&lt;=$A2320,$A2320-$F2320&lt;=10,$A2320-$G2320&lt;=5),$D2320*$E2320/$C2320-1,NA()),NA())</ns0:f>
        <ns0:v/>
      </ns0:c>
      <ns0:c r="C2320">
        <ns0:f>IFERROR(IF(ISNUMBER($A2320),IF(AND(AH!$P$10=1,AH!$P$12=1,$A2320=TODAY()),AH!$P$19,IF(AH!$P$10=1,INDEX('Live History'!$B$5:$B$3004,AH!$P$13+2315),INDEX('AH History'!$B$1:$B$18046,AH!$P$7+2315))),NA()),NA())</ns0:f>
        <ns0:v/>
      </ns0:c>
      <ns0:c r="D2320">
        <ns0:f>IFERROR(IF(ISNUMBER($A2320),IF(AND(AH!$P$10=1,AH!$P$12=1,$A2320=TODAY()),AH!$P$18,IF(AH!$P$10=1,INDEX('Live History'!$E$5:$E$3004,MATCH($A2320,'Live History'!$D$5:$D$3004,1)),INDEX('AH History'!$C$1:$C$18046,AH!$P$7+2315))),NA()),NA())</ns0:f>
        <ns0:v/>
      </ns0:c>
      <ns0:c r="E2320">
        <ns0:f>IFERROR(IF(ISNUMBER($A2320),IF(AND(AH!$P$10=1,AH!$P$12=1,$A2320=TODAY()),AH!$P$20,IF(AH!$P$10=1,INDEX('Live History'!$H$5:$H$3004,MATCH($A2320,'Live History'!$G$5:$G$3004,1)),INDEX('AH History'!$D$1:$D$18046,AH!$P$7+2315))),NA()),NA())</ns0:f>
        <ns0:v/>
      </ns0:c>
      <ns0:c r="F2320">
        <ns0:f>IFERROR(IF(ISNUMBER($A2320),IF(AND(AH!$P$10=1,AH!$P$12=1,$A2320=TODAY()),IF(AND(AH!$P$10=1,AH!$P$12=1,$A2320=TODAY()),TODAY(),NA()),IF(AH!$P$10=1,INDEX('Live History'!$D$5:$D$3004,MATCH($A2320,'Live History'!$D$5:$D$3004,1)),INDEX('AH History'!$E$1:$E$18046,AH!$P$7+2315))),NA()),NA())</ns0:f>
        <ns0:v/>
      </ns0:c>
      <ns0:c r="G2320">
        <ns0:f>IFERROR(IF(ISNUMBER($A2320),IF(AND(AH!$P$10=1,AH!$P$12=1,$A2320=TODAY()),IF(AND(AH!$P$10=1,AH!$P$12=1,$A2320=TODAY()),TODAY(),NA()),IF(AH!$P$10=1,INDEX('Live History'!$G$5:$G$3004,MATCH($A2320,'Live History'!$G$5:$G$3004,1)),INDEX('AH History'!$F$1:$F$18046,AH!$P$7+2315))),NA()),NA())</ns0:f>
        <ns0:v/>
      </ns0:c>
      <ns0:c r="H2320">
        <ns0:f>IFERROR(IF(AND(AH!$E$4="Bloomberg",AH!$P$10=1,ISNUMBER($A2320),$A2320&lt;=AH!$P$17),AH!$P$7-1+MATCH($A2320,INDEX('AH History'!$A$1:$A$18046,AH!$P$7):INDEX('AH History'!$A$1:$A$18046,AH!$P$7+AH!$P$8-1),0),0),0)</ns0:f>
        <ns0:v/>
      </ns0:c>
      <ns0:c r="I2320">
        <ns0:f>IF($H2320=0,0,IFERROR(IF(AND(ABS($C2320-INDEX('AH History'!$B$1:$B$18046,$H2320))&lt;=MAX(0.005,ABS(INDEX('AH History'!$B$1:$B$18046,$H2320))*0.00005),ABS($D2320-INDEX('AH History'!$C$1:$C$18046,$H2320))&lt;=MAX(0.005,ABS(INDEX('AH History'!$C$1:$C$18046,$H2320))*0.00005),ABS($E2320-INDEX('AH History'!$D$1:$D$18046,$H2320))&lt;=0.00005,$F2320=INDEX('AH History'!$E$1:$E$18046,$H2320),$G2320=INDEX('AH History'!$F$1:$F$18046,$H2320)),1,-1),-1))</ns0:f>
        <ns0:v/>
      </ns0:c>
    </ns0:row>
    <ns0:row r="2321">
      <ns0:c r="A2321" s="215">
        <ns0:f>IF(OR(AH!$P$3=0,2316+1&gt;AH!$P$11,AND(AH!$E$4&lt;&gt;"Stored",AH!$P$10&lt;&gt;1)),"",IFERROR(IF(AND(AH!$P$21=1,2316+1=AH!$P$11),TODAY(),IF(AH!$P$10=1,INDEX('Live History'!$A$5:$A$3004,AH!$P$13+2316),INDEX('AH History'!$A$1:$A$18046,AH!$P$7+2316))),""))</ns0:f>
        <ns0:v/>
      </ns0:c>
      <ns0:c r="B2321" s="219">
        <ns0:f>IFERROR(IF(AND(AH!$P$9&lt;&gt;1,$C2321&gt;0,$D2321&gt;0,$E2321&gt;0,$F2321&gt;0,$G2321&gt;0,$F2321&lt;=$A2321,$G2321&lt;=$A2321,$A2321-$F2321&lt;=10,$A2321-$G2321&lt;=5),$D2321*$E2321/$C2321-1,NA()),NA())</ns0:f>
        <ns0:v/>
      </ns0:c>
      <ns0:c r="C2321">
        <ns0:f>IFERROR(IF(ISNUMBER($A2321),IF(AND(AH!$P$10=1,AH!$P$12=1,$A2321=TODAY()),AH!$P$19,IF(AH!$P$10=1,INDEX('Live History'!$B$5:$B$3004,AH!$P$13+2316),INDEX('AH History'!$B$1:$B$18046,AH!$P$7+2316))),NA()),NA())</ns0:f>
        <ns0:v/>
      </ns0:c>
      <ns0:c r="D2321">
        <ns0:f>IFERROR(IF(ISNUMBER($A2321),IF(AND(AH!$P$10=1,AH!$P$12=1,$A2321=TODAY()),AH!$P$18,IF(AH!$P$10=1,INDEX('Live History'!$E$5:$E$3004,MATCH($A2321,'Live History'!$D$5:$D$3004,1)),INDEX('AH History'!$C$1:$C$18046,AH!$P$7+2316))),NA()),NA())</ns0:f>
        <ns0:v/>
      </ns0:c>
      <ns0:c r="E2321">
        <ns0:f>IFERROR(IF(ISNUMBER($A2321),IF(AND(AH!$P$10=1,AH!$P$12=1,$A2321=TODAY()),AH!$P$20,IF(AH!$P$10=1,INDEX('Live History'!$H$5:$H$3004,MATCH($A2321,'Live History'!$G$5:$G$3004,1)),INDEX('AH History'!$D$1:$D$18046,AH!$P$7+2316))),NA()),NA())</ns0:f>
        <ns0:v/>
      </ns0:c>
      <ns0:c r="F2321">
        <ns0:f>IFERROR(IF(ISNUMBER($A2321),IF(AND(AH!$P$10=1,AH!$P$12=1,$A2321=TODAY()),IF(AND(AH!$P$10=1,AH!$P$12=1,$A2321=TODAY()),TODAY(),NA()),IF(AH!$P$10=1,INDEX('Live History'!$D$5:$D$3004,MATCH($A2321,'Live History'!$D$5:$D$3004,1)),INDEX('AH History'!$E$1:$E$18046,AH!$P$7+2316))),NA()),NA())</ns0:f>
        <ns0:v/>
      </ns0:c>
      <ns0:c r="G2321">
        <ns0:f>IFERROR(IF(ISNUMBER($A2321),IF(AND(AH!$P$10=1,AH!$P$12=1,$A2321=TODAY()),IF(AND(AH!$P$10=1,AH!$P$12=1,$A2321=TODAY()),TODAY(),NA()),IF(AH!$P$10=1,INDEX('Live History'!$G$5:$G$3004,MATCH($A2321,'Live History'!$G$5:$G$3004,1)),INDEX('AH History'!$F$1:$F$18046,AH!$P$7+2316))),NA()),NA())</ns0:f>
        <ns0:v/>
      </ns0:c>
      <ns0:c r="H2321">
        <ns0:f>IFERROR(IF(AND(AH!$E$4="Bloomberg",AH!$P$10=1,ISNUMBER($A2321),$A2321&lt;=AH!$P$17),AH!$P$7-1+MATCH($A2321,INDEX('AH History'!$A$1:$A$18046,AH!$P$7):INDEX('AH History'!$A$1:$A$18046,AH!$P$7+AH!$P$8-1),0),0),0)</ns0:f>
        <ns0:v/>
      </ns0:c>
      <ns0:c r="I2321">
        <ns0:f>IF($H2321=0,0,IFERROR(IF(AND(ABS($C2321-INDEX('AH History'!$B$1:$B$18046,$H2321))&lt;=MAX(0.005,ABS(INDEX('AH History'!$B$1:$B$18046,$H2321))*0.00005),ABS($D2321-INDEX('AH History'!$C$1:$C$18046,$H2321))&lt;=MAX(0.005,ABS(INDEX('AH History'!$C$1:$C$18046,$H2321))*0.00005),ABS($E2321-INDEX('AH History'!$D$1:$D$18046,$H2321))&lt;=0.00005,$F2321=INDEX('AH History'!$E$1:$E$18046,$H2321),$G2321=INDEX('AH History'!$F$1:$F$18046,$H2321)),1,-1),-1))</ns0:f>
        <ns0:v/>
      </ns0:c>
    </ns0:row>
    <ns0:row r="2322">
      <ns0:c r="A2322" s="215">
        <ns0:f>IF(OR(AH!$P$3=0,2317+1&gt;AH!$P$11,AND(AH!$E$4&lt;&gt;"Stored",AH!$P$10&lt;&gt;1)),"",IFERROR(IF(AND(AH!$P$21=1,2317+1=AH!$P$11),TODAY(),IF(AH!$P$10=1,INDEX('Live History'!$A$5:$A$3004,AH!$P$13+2317),INDEX('AH History'!$A$1:$A$18046,AH!$P$7+2317))),""))</ns0:f>
        <ns0:v/>
      </ns0:c>
      <ns0:c r="B2322" s="219">
        <ns0:f>IFERROR(IF(AND(AH!$P$9&lt;&gt;1,$C2322&gt;0,$D2322&gt;0,$E2322&gt;0,$F2322&gt;0,$G2322&gt;0,$F2322&lt;=$A2322,$G2322&lt;=$A2322,$A2322-$F2322&lt;=10,$A2322-$G2322&lt;=5),$D2322*$E2322/$C2322-1,NA()),NA())</ns0:f>
        <ns0:v/>
      </ns0:c>
      <ns0:c r="C2322">
        <ns0:f>IFERROR(IF(ISNUMBER($A2322),IF(AND(AH!$P$10=1,AH!$P$12=1,$A2322=TODAY()),AH!$P$19,IF(AH!$P$10=1,INDEX('Live History'!$B$5:$B$3004,AH!$P$13+2317),INDEX('AH History'!$B$1:$B$18046,AH!$P$7+2317))),NA()),NA())</ns0:f>
        <ns0:v/>
      </ns0:c>
      <ns0:c r="D2322">
        <ns0:f>IFERROR(IF(ISNUMBER($A2322),IF(AND(AH!$P$10=1,AH!$P$12=1,$A2322=TODAY()),AH!$P$18,IF(AH!$P$10=1,INDEX('Live History'!$E$5:$E$3004,MATCH($A2322,'Live History'!$D$5:$D$3004,1)),INDEX('AH History'!$C$1:$C$18046,AH!$P$7+2317))),NA()),NA())</ns0:f>
        <ns0:v/>
      </ns0:c>
      <ns0:c r="E2322">
        <ns0:f>IFERROR(IF(ISNUMBER($A2322),IF(AND(AH!$P$10=1,AH!$P$12=1,$A2322=TODAY()),AH!$P$20,IF(AH!$P$10=1,INDEX('Live History'!$H$5:$H$3004,MATCH($A2322,'Live History'!$G$5:$G$3004,1)),INDEX('AH History'!$D$1:$D$18046,AH!$P$7+2317))),NA()),NA())</ns0:f>
        <ns0:v/>
      </ns0:c>
      <ns0:c r="F2322">
        <ns0:f>IFERROR(IF(ISNUMBER($A2322),IF(AND(AH!$P$10=1,AH!$P$12=1,$A2322=TODAY()),IF(AND(AH!$P$10=1,AH!$P$12=1,$A2322=TODAY()),TODAY(),NA()),IF(AH!$P$10=1,INDEX('Live History'!$D$5:$D$3004,MATCH($A2322,'Live History'!$D$5:$D$3004,1)),INDEX('AH History'!$E$1:$E$18046,AH!$P$7+2317))),NA()),NA())</ns0:f>
        <ns0:v/>
      </ns0:c>
      <ns0:c r="G2322">
        <ns0:f>IFERROR(IF(ISNUMBER($A2322),IF(AND(AH!$P$10=1,AH!$P$12=1,$A2322=TODAY()),IF(AND(AH!$P$10=1,AH!$P$12=1,$A2322=TODAY()),TODAY(),NA()),IF(AH!$P$10=1,INDEX('Live History'!$G$5:$G$3004,MATCH($A2322,'Live History'!$G$5:$G$3004,1)),INDEX('AH History'!$F$1:$F$18046,AH!$P$7+2317))),NA()),NA())</ns0:f>
        <ns0:v/>
      </ns0:c>
      <ns0:c r="H2322">
        <ns0:f>IFERROR(IF(AND(AH!$E$4="Bloomberg",AH!$P$10=1,ISNUMBER($A2322),$A2322&lt;=AH!$P$17),AH!$P$7-1+MATCH($A2322,INDEX('AH History'!$A$1:$A$18046,AH!$P$7):INDEX('AH History'!$A$1:$A$18046,AH!$P$7+AH!$P$8-1),0),0),0)</ns0:f>
        <ns0:v/>
      </ns0:c>
      <ns0:c r="I2322">
        <ns0:f>IF($H2322=0,0,IFERROR(IF(AND(ABS($C2322-INDEX('AH History'!$B$1:$B$18046,$H2322))&lt;=MAX(0.005,ABS(INDEX('AH History'!$B$1:$B$18046,$H2322))*0.00005),ABS($D2322-INDEX('AH History'!$C$1:$C$18046,$H2322))&lt;=MAX(0.005,ABS(INDEX('AH History'!$C$1:$C$18046,$H2322))*0.00005),ABS($E2322-INDEX('AH History'!$D$1:$D$18046,$H2322))&lt;=0.00005,$F2322=INDEX('AH History'!$E$1:$E$18046,$H2322),$G2322=INDEX('AH History'!$F$1:$F$18046,$H2322)),1,-1),-1))</ns0:f>
        <ns0:v/>
      </ns0:c>
    </ns0:row>
    <ns0:row r="2323">
      <ns0:c r="A2323" s="215">
        <ns0:f>IF(OR(AH!$P$3=0,2318+1&gt;AH!$P$11,AND(AH!$E$4&lt;&gt;"Stored",AH!$P$10&lt;&gt;1)),"",IFERROR(IF(AND(AH!$P$21=1,2318+1=AH!$P$11),TODAY(),IF(AH!$P$10=1,INDEX('Live History'!$A$5:$A$3004,AH!$P$13+2318),INDEX('AH History'!$A$1:$A$18046,AH!$P$7+2318))),""))</ns0:f>
        <ns0:v/>
      </ns0:c>
      <ns0:c r="B2323" s="219">
        <ns0:f>IFERROR(IF(AND(AH!$P$9&lt;&gt;1,$C2323&gt;0,$D2323&gt;0,$E2323&gt;0,$F2323&gt;0,$G2323&gt;0,$F2323&lt;=$A2323,$G2323&lt;=$A2323,$A2323-$F2323&lt;=10,$A2323-$G2323&lt;=5),$D2323*$E2323/$C2323-1,NA()),NA())</ns0:f>
        <ns0:v/>
      </ns0:c>
      <ns0:c r="C2323">
        <ns0:f>IFERROR(IF(ISNUMBER($A2323),IF(AND(AH!$P$10=1,AH!$P$12=1,$A2323=TODAY()),AH!$P$19,IF(AH!$P$10=1,INDEX('Live History'!$B$5:$B$3004,AH!$P$13+2318),INDEX('AH History'!$B$1:$B$18046,AH!$P$7+2318))),NA()),NA())</ns0:f>
        <ns0:v/>
      </ns0:c>
      <ns0:c r="D2323">
        <ns0:f>IFERROR(IF(ISNUMBER($A2323),IF(AND(AH!$P$10=1,AH!$P$12=1,$A2323=TODAY()),AH!$P$18,IF(AH!$P$10=1,INDEX('Live History'!$E$5:$E$3004,MATCH($A2323,'Live History'!$D$5:$D$3004,1)),INDEX('AH History'!$C$1:$C$18046,AH!$P$7+2318))),NA()),NA())</ns0:f>
        <ns0:v/>
      </ns0:c>
      <ns0:c r="E2323">
        <ns0:f>IFERROR(IF(ISNUMBER($A2323),IF(AND(AH!$P$10=1,AH!$P$12=1,$A2323=TODAY()),AH!$P$20,IF(AH!$P$10=1,INDEX('Live History'!$H$5:$H$3004,MATCH($A2323,'Live History'!$G$5:$G$3004,1)),INDEX('AH History'!$D$1:$D$18046,AH!$P$7+2318))),NA()),NA())</ns0:f>
        <ns0:v/>
      </ns0:c>
      <ns0:c r="F2323">
        <ns0:f>IFERROR(IF(ISNUMBER($A2323),IF(AND(AH!$P$10=1,AH!$P$12=1,$A2323=TODAY()),IF(AND(AH!$P$10=1,AH!$P$12=1,$A2323=TODAY()),TODAY(),NA()),IF(AH!$P$10=1,INDEX('Live History'!$D$5:$D$3004,MATCH($A2323,'Live History'!$D$5:$D$3004,1)),INDEX('AH History'!$E$1:$E$18046,AH!$P$7+2318))),NA()),NA())</ns0:f>
        <ns0:v/>
      </ns0:c>
      <ns0:c r="G2323">
        <ns0:f>IFERROR(IF(ISNUMBER($A2323),IF(AND(AH!$P$10=1,AH!$P$12=1,$A2323=TODAY()),IF(AND(AH!$P$10=1,AH!$P$12=1,$A2323=TODAY()),TODAY(),NA()),IF(AH!$P$10=1,INDEX('Live History'!$G$5:$G$3004,MATCH($A2323,'Live History'!$G$5:$G$3004,1)),INDEX('AH History'!$F$1:$F$18046,AH!$P$7+2318))),NA()),NA())</ns0:f>
        <ns0:v/>
      </ns0:c>
      <ns0:c r="H2323">
        <ns0:f>IFERROR(IF(AND(AH!$E$4="Bloomberg",AH!$P$10=1,ISNUMBER($A2323),$A2323&lt;=AH!$P$17),AH!$P$7-1+MATCH($A2323,INDEX('AH History'!$A$1:$A$18046,AH!$P$7):INDEX('AH History'!$A$1:$A$18046,AH!$P$7+AH!$P$8-1),0),0),0)</ns0:f>
        <ns0:v/>
      </ns0:c>
      <ns0:c r="I2323">
        <ns0:f>IF($H2323=0,0,IFERROR(IF(AND(ABS($C2323-INDEX('AH History'!$B$1:$B$18046,$H2323))&lt;=MAX(0.005,ABS(INDEX('AH History'!$B$1:$B$18046,$H2323))*0.00005),ABS($D2323-INDEX('AH History'!$C$1:$C$18046,$H2323))&lt;=MAX(0.005,ABS(INDEX('AH History'!$C$1:$C$18046,$H2323))*0.00005),ABS($E2323-INDEX('AH History'!$D$1:$D$18046,$H2323))&lt;=0.00005,$F2323=INDEX('AH History'!$E$1:$E$18046,$H2323),$G2323=INDEX('AH History'!$F$1:$F$18046,$H2323)),1,-1),-1))</ns0:f>
        <ns0:v/>
      </ns0:c>
    </ns0:row>
    <ns0:row r="2324">
      <ns0:c r="A2324" s="215">
        <ns0:f>IF(OR(AH!$P$3=0,2319+1&gt;AH!$P$11,AND(AH!$E$4&lt;&gt;"Stored",AH!$P$10&lt;&gt;1)),"",IFERROR(IF(AND(AH!$P$21=1,2319+1=AH!$P$11),TODAY(),IF(AH!$P$10=1,INDEX('Live History'!$A$5:$A$3004,AH!$P$13+2319),INDEX('AH History'!$A$1:$A$18046,AH!$P$7+2319))),""))</ns0:f>
        <ns0:v/>
      </ns0:c>
      <ns0:c r="B2324" s="219">
        <ns0:f>IFERROR(IF(AND(AH!$P$9&lt;&gt;1,$C2324&gt;0,$D2324&gt;0,$E2324&gt;0,$F2324&gt;0,$G2324&gt;0,$F2324&lt;=$A2324,$G2324&lt;=$A2324,$A2324-$F2324&lt;=10,$A2324-$G2324&lt;=5),$D2324*$E2324/$C2324-1,NA()),NA())</ns0:f>
        <ns0:v/>
      </ns0:c>
      <ns0:c r="C2324">
        <ns0:f>IFERROR(IF(ISNUMBER($A2324),IF(AND(AH!$P$10=1,AH!$P$12=1,$A2324=TODAY()),AH!$P$19,IF(AH!$P$10=1,INDEX('Live History'!$B$5:$B$3004,AH!$P$13+2319),INDEX('AH History'!$B$1:$B$18046,AH!$P$7+2319))),NA()),NA())</ns0:f>
        <ns0:v/>
      </ns0:c>
      <ns0:c r="D2324">
        <ns0:f>IFERROR(IF(ISNUMBER($A2324),IF(AND(AH!$P$10=1,AH!$P$12=1,$A2324=TODAY()),AH!$P$18,IF(AH!$P$10=1,INDEX('Live History'!$E$5:$E$3004,MATCH($A2324,'Live History'!$D$5:$D$3004,1)),INDEX('AH History'!$C$1:$C$18046,AH!$P$7+2319))),NA()),NA())</ns0:f>
        <ns0:v/>
      </ns0:c>
      <ns0:c r="E2324">
        <ns0:f>IFERROR(IF(ISNUMBER($A2324),IF(AND(AH!$P$10=1,AH!$P$12=1,$A2324=TODAY()),AH!$P$20,IF(AH!$P$10=1,INDEX('Live History'!$H$5:$H$3004,MATCH($A2324,'Live History'!$G$5:$G$3004,1)),INDEX('AH History'!$D$1:$D$18046,AH!$P$7+2319))),NA()),NA())</ns0:f>
        <ns0:v/>
      </ns0:c>
      <ns0:c r="F2324">
        <ns0:f>IFERROR(IF(ISNUMBER($A2324),IF(AND(AH!$P$10=1,AH!$P$12=1,$A2324=TODAY()),IF(AND(AH!$P$10=1,AH!$P$12=1,$A2324=TODAY()),TODAY(),NA()),IF(AH!$P$10=1,INDEX('Live History'!$D$5:$D$3004,MATCH($A2324,'Live History'!$D$5:$D$3004,1)),INDEX('AH History'!$E$1:$E$18046,AH!$P$7+2319))),NA()),NA())</ns0:f>
        <ns0:v/>
      </ns0:c>
      <ns0:c r="G2324">
        <ns0:f>IFERROR(IF(ISNUMBER($A2324),IF(AND(AH!$P$10=1,AH!$P$12=1,$A2324=TODAY()),IF(AND(AH!$P$10=1,AH!$P$12=1,$A2324=TODAY()),TODAY(),NA()),IF(AH!$P$10=1,INDEX('Live History'!$G$5:$G$3004,MATCH($A2324,'Live History'!$G$5:$G$3004,1)),INDEX('AH History'!$F$1:$F$18046,AH!$P$7+2319))),NA()),NA())</ns0:f>
        <ns0:v/>
      </ns0:c>
      <ns0:c r="H2324">
        <ns0:f>IFERROR(IF(AND(AH!$E$4="Bloomberg",AH!$P$10=1,ISNUMBER($A2324),$A2324&lt;=AH!$P$17),AH!$P$7-1+MATCH($A2324,INDEX('AH History'!$A$1:$A$18046,AH!$P$7):INDEX('AH History'!$A$1:$A$18046,AH!$P$7+AH!$P$8-1),0),0),0)</ns0:f>
        <ns0:v/>
      </ns0:c>
      <ns0:c r="I2324">
        <ns0:f>IF($H2324=0,0,IFERROR(IF(AND(ABS($C2324-INDEX('AH History'!$B$1:$B$18046,$H2324))&lt;=MAX(0.005,ABS(INDEX('AH History'!$B$1:$B$18046,$H2324))*0.00005),ABS($D2324-INDEX('AH History'!$C$1:$C$18046,$H2324))&lt;=MAX(0.005,ABS(INDEX('AH History'!$C$1:$C$18046,$H2324))*0.00005),ABS($E2324-INDEX('AH History'!$D$1:$D$18046,$H2324))&lt;=0.00005,$F2324=INDEX('AH History'!$E$1:$E$18046,$H2324),$G2324=INDEX('AH History'!$F$1:$F$18046,$H2324)),1,-1),-1))</ns0:f>
        <ns0:v/>
      </ns0:c>
    </ns0:row>
    <ns0:row r="2325">
      <ns0:c r="A2325" s="215">
        <ns0:f>IF(OR(AH!$P$3=0,2320+1&gt;AH!$P$11,AND(AH!$E$4&lt;&gt;"Stored",AH!$P$10&lt;&gt;1)),"",IFERROR(IF(AND(AH!$P$21=1,2320+1=AH!$P$11),TODAY(),IF(AH!$P$10=1,INDEX('Live History'!$A$5:$A$3004,AH!$P$13+2320),INDEX('AH History'!$A$1:$A$18046,AH!$P$7+2320))),""))</ns0:f>
        <ns0:v/>
      </ns0:c>
      <ns0:c r="B2325" s="219">
        <ns0:f>IFERROR(IF(AND(AH!$P$9&lt;&gt;1,$C2325&gt;0,$D2325&gt;0,$E2325&gt;0,$F2325&gt;0,$G2325&gt;0,$F2325&lt;=$A2325,$G2325&lt;=$A2325,$A2325-$F2325&lt;=10,$A2325-$G2325&lt;=5),$D2325*$E2325/$C2325-1,NA()),NA())</ns0:f>
        <ns0:v/>
      </ns0:c>
      <ns0:c r="C2325">
        <ns0:f>IFERROR(IF(ISNUMBER($A2325),IF(AND(AH!$P$10=1,AH!$P$12=1,$A2325=TODAY()),AH!$P$19,IF(AH!$P$10=1,INDEX('Live History'!$B$5:$B$3004,AH!$P$13+2320),INDEX('AH History'!$B$1:$B$18046,AH!$P$7+2320))),NA()),NA())</ns0:f>
        <ns0:v/>
      </ns0:c>
      <ns0:c r="D2325">
        <ns0:f>IFERROR(IF(ISNUMBER($A2325),IF(AND(AH!$P$10=1,AH!$P$12=1,$A2325=TODAY()),AH!$P$18,IF(AH!$P$10=1,INDEX('Live History'!$E$5:$E$3004,MATCH($A2325,'Live History'!$D$5:$D$3004,1)),INDEX('AH History'!$C$1:$C$18046,AH!$P$7+2320))),NA()),NA())</ns0:f>
        <ns0:v/>
      </ns0:c>
      <ns0:c r="E2325">
        <ns0:f>IFERROR(IF(ISNUMBER($A2325),IF(AND(AH!$P$10=1,AH!$P$12=1,$A2325=TODAY()),AH!$P$20,IF(AH!$P$10=1,INDEX('Live History'!$H$5:$H$3004,MATCH($A2325,'Live History'!$G$5:$G$3004,1)),INDEX('AH History'!$D$1:$D$18046,AH!$P$7+2320))),NA()),NA())</ns0:f>
        <ns0:v/>
      </ns0:c>
      <ns0:c r="F2325">
        <ns0:f>IFERROR(IF(ISNUMBER($A2325),IF(AND(AH!$P$10=1,AH!$P$12=1,$A2325=TODAY()),IF(AND(AH!$P$10=1,AH!$P$12=1,$A2325=TODAY()),TODAY(),NA()),IF(AH!$P$10=1,INDEX('Live History'!$D$5:$D$3004,MATCH($A2325,'Live History'!$D$5:$D$3004,1)),INDEX('AH History'!$E$1:$E$18046,AH!$P$7+2320))),NA()),NA())</ns0:f>
        <ns0:v/>
      </ns0:c>
      <ns0:c r="G2325">
        <ns0:f>IFERROR(IF(ISNUMBER($A2325),IF(AND(AH!$P$10=1,AH!$P$12=1,$A2325=TODAY()),IF(AND(AH!$P$10=1,AH!$P$12=1,$A2325=TODAY()),TODAY(),NA()),IF(AH!$P$10=1,INDEX('Live History'!$G$5:$G$3004,MATCH($A2325,'Live History'!$G$5:$G$3004,1)),INDEX('AH History'!$F$1:$F$18046,AH!$P$7+2320))),NA()),NA())</ns0:f>
        <ns0:v/>
      </ns0:c>
      <ns0:c r="H2325">
        <ns0:f>IFERROR(IF(AND(AH!$E$4="Bloomberg",AH!$P$10=1,ISNUMBER($A2325),$A2325&lt;=AH!$P$17),AH!$P$7-1+MATCH($A2325,INDEX('AH History'!$A$1:$A$18046,AH!$P$7):INDEX('AH History'!$A$1:$A$18046,AH!$P$7+AH!$P$8-1),0),0),0)</ns0:f>
        <ns0:v/>
      </ns0:c>
      <ns0:c r="I2325">
        <ns0:f>IF($H2325=0,0,IFERROR(IF(AND(ABS($C2325-INDEX('AH History'!$B$1:$B$18046,$H2325))&lt;=MAX(0.005,ABS(INDEX('AH History'!$B$1:$B$18046,$H2325))*0.00005),ABS($D2325-INDEX('AH History'!$C$1:$C$18046,$H2325))&lt;=MAX(0.005,ABS(INDEX('AH History'!$C$1:$C$18046,$H2325))*0.00005),ABS($E2325-INDEX('AH History'!$D$1:$D$18046,$H2325))&lt;=0.00005,$F2325=INDEX('AH History'!$E$1:$E$18046,$H2325),$G2325=INDEX('AH History'!$F$1:$F$18046,$H2325)),1,-1),-1))</ns0:f>
        <ns0:v/>
      </ns0:c>
    </ns0:row>
    <ns0:row r="2326">
      <ns0:c r="A2326" s="215">
        <ns0:f>IF(OR(AH!$P$3=0,2321+1&gt;AH!$P$11,AND(AH!$E$4&lt;&gt;"Stored",AH!$P$10&lt;&gt;1)),"",IFERROR(IF(AND(AH!$P$21=1,2321+1=AH!$P$11),TODAY(),IF(AH!$P$10=1,INDEX('Live History'!$A$5:$A$3004,AH!$P$13+2321),INDEX('AH History'!$A$1:$A$18046,AH!$P$7+2321))),""))</ns0:f>
        <ns0:v/>
      </ns0:c>
      <ns0:c r="B2326" s="219">
        <ns0:f>IFERROR(IF(AND(AH!$P$9&lt;&gt;1,$C2326&gt;0,$D2326&gt;0,$E2326&gt;0,$F2326&gt;0,$G2326&gt;0,$F2326&lt;=$A2326,$G2326&lt;=$A2326,$A2326-$F2326&lt;=10,$A2326-$G2326&lt;=5),$D2326*$E2326/$C2326-1,NA()),NA())</ns0:f>
        <ns0:v/>
      </ns0:c>
      <ns0:c r="C2326">
        <ns0:f>IFERROR(IF(ISNUMBER($A2326),IF(AND(AH!$P$10=1,AH!$P$12=1,$A2326=TODAY()),AH!$P$19,IF(AH!$P$10=1,INDEX('Live History'!$B$5:$B$3004,AH!$P$13+2321),INDEX('AH History'!$B$1:$B$18046,AH!$P$7+2321))),NA()),NA())</ns0:f>
        <ns0:v/>
      </ns0:c>
      <ns0:c r="D2326">
        <ns0:f>IFERROR(IF(ISNUMBER($A2326),IF(AND(AH!$P$10=1,AH!$P$12=1,$A2326=TODAY()),AH!$P$18,IF(AH!$P$10=1,INDEX('Live History'!$E$5:$E$3004,MATCH($A2326,'Live History'!$D$5:$D$3004,1)),INDEX('AH History'!$C$1:$C$18046,AH!$P$7+2321))),NA()),NA())</ns0:f>
        <ns0:v/>
      </ns0:c>
      <ns0:c r="E2326">
        <ns0:f>IFERROR(IF(ISNUMBER($A2326),IF(AND(AH!$P$10=1,AH!$P$12=1,$A2326=TODAY()),AH!$P$20,IF(AH!$P$10=1,INDEX('Live History'!$H$5:$H$3004,MATCH($A2326,'Live History'!$G$5:$G$3004,1)),INDEX('AH History'!$D$1:$D$18046,AH!$P$7+2321))),NA()),NA())</ns0:f>
        <ns0:v/>
      </ns0:c>
      <ns0:c r="F2326">
        <ns0:f>IFERROR(IF(ISNUMBER($A2326),IF(AND(AH!$P$10=1,AH!$P$12=1,$A2326=TODAY()),IF(AND(AH!$P$10=1,AH!$P$12=1,$A2326=TODAY()),TODAY(),NA()),IF(AH!$P$10=1,INDEX('Live History'!$D$5:$D$3004,MATCH($A2326,'Live History'!$D$5:$D$3004,1)),INDEX('AH History'!$E$1:$E$18046,AH!$P$7+2321))),NA()),NA())</ns0:f>
        <ns0:v/>
      </ns0:c>
      <ns0:c r="G2326">
        <ns0:f>IFERROR(IF(ISNUMBER($A2326),IF(AND(AH!$P$10=1,AH!$P$12=1,$A2326=TODAY()),IF(AND(AH!$P$10=1,AH!$P$12=1,$A2326=TODAY()),TODAY(),NA()),IF(AH!$P$10=1,INDEX('Live History'!$G$5:$G$3004,MATCH($A2326,'Live History'!$G$5:$G$3004,1)),INDEX('AH History'!$F$1:$F$18046,AH!$P$7+2321))),NA()),NA())</ns0:f>
        <ns0:v/>
      </ns0:c>
      <ns0:c r="H2326">
        <ns0:f>IFERROR(IF(AND(AH!$E$4="Bloomberg",AH!$P$10=1,ISNUMBER($A2326),$A2326&lt;=AH!$P$17),AH!$P$7-1+MATCH($A2326,INDEX('AH History'!$A$1:$A$18046,AH!$P$7):INDEX('AH History'!$A$1:$A$18046,AH!$P$7+AH!$P$8-1),0),0),0)</ns0:f>
        <ns0:v/>
      </ns0:c>
      <ns0:c r="I2326">
        <ns0:f>IF($H2326=0,0,IFERROR(IF(AND(ABS($C2326-INDEX('AH History'!$B$1:$B$18046,$H2326))&lt;=MAX(0.005,ABS(INDEX('AH History'!$B$1:$B$18046,$H2326))*0.00005),ABS($D2326-INDEX('AH History'!$C$1:$C$18046,$H2326))&lt;=MAX(0.005,ABS(INDEX('AH History'!$C$1:$C$18046,$H2326))*0.00005),ABS($E2326-INDEX('AH History'!$D$1:$D$18046,$H2326))&lt;=0.00005,$F2326=INDEX('AH History'!$E$1:$E$18046,$H2326),$G2326=INDEX('AH History'!$F$1:$F$18046,$H2326)),1,-1),-1))</ns0:f>
        <ns0:v/>
      </ns0:c>
    </ns0:row>
    <ns0:row r="2327">
      <ns0:c r="A2327" s="215">
        <ns0:f>IF(OR(AH!$P$3=0,2322+1&gt;AH!$P$11,AND(AH!$E$4&lt;&gt;"Stored",AH!$P$10&lt;&gt;1)),"",IFERROR(IF(AND(AH!$P$21=1,2322+1=AH!$P$11),TODAY(),IF(AH!$P$10=1,INDEX('Live History'!$A$5:$A$3004,AH!$P$13+2322),INDEX('AH History'!$A$1:$A$18046,AH!$P$7+2322))),""))</ns0:f>
        <ns0:v/>
      </ns0:c>
      <ns0:c r="B2327" s="219">
        <ns0:f>IFERROR(IF(AND(AH!$P$9&lt;&gt;1,$C2327&gt;0,$D2327&gt;0,$E2327&gt;0,$F2327&gt;0,$G2327&gt;0,$F2327&lt;=$A2327,$G2327&lt;=$A2327,$A2327-$F2327&lt;=10,$A2327-$G2327&lt;=5),$D2327*$E2327/$C2327-1,NA()),NA())</ns0:f>
        <ns0:v/>
      </ns0:c>
      <ns0:c r="C2327">
        <ns0:f>IFERROR(IF(ISNUMBER($A2327),IF(AND(AH!$P$10=1,AH!$P$12=1,$A2327=TODAY()),AH!$P$19,IF(AH!$P$10=1,INDEX('Live History'!$B$5:$B$3004,AH!$P$13+2322),INDEX('AH History'!$B$1:$B$18046,AH!$P$7+2322))),NA()),NA())</ns0:f>
        <ns0:v/>
      </ns0:c>
      <ns0:c r="D2327">
        <ns0:f>IFERROR(IF(ISNUMBER($A2327),IF(AND(AH!$P$10=1,AH!$P$12=1,$A2327=TODAY()),AH!$P$18,IF(AH!$P$10=1,INDEX('Live History'!$E$5:$E$3004,MATCH($A2327,'Live History'!$D$5:$D$3004,1)),INDEX('AH History'!$C$1:$C$18046,AH!$P$7+2322))),NA()),NA())</ns0:f>
        <ns0:v/>
      </ns0:c>
      <ns0:c r="E2327">
        <ns0:f>IFERROR(IF(ISNUMBER($A2327),IF(AND(AH!$P$10=1,AH!$P$12=1,$A2327=TODAY()),AH!$P$20,IF(AH!$P$10=1,INDEX('Live History'!$H$5:$H$3004,MATCH($A2327,'Live History'!$G$5:$G$3004,1)),INDEX('AH History'!$D$1:$D$18046,AH!$P$7+2322))),NA()),NA())</ns0:f>
        <ns0:v/>
      </ns0:c>
      <ns0:c r="F2327">
        <ns0:f>IFERROR(IF(ISNUMBER($A2327),IF(AND(AH!$P$10=1,AH!$P$12=1,$A2327=TODAY()),IF(AND(AH!$P$10=1,AH!$P$12=1,$A2327=TODAY()),TODAY(),NA()),IF(AH!$P$10=1,INDEX('Live History'!$D$5:$D$3004,MATCH($A2327,'Live History'!$D$5:$D$3004,1)),INDEX('AH History'!$E$1:$E$18046,AH!$P$7+2322))),NA()),NA())</ns0:f>
        <ns0:v/>
      </ns0:c>
      <ns0:c r="G2327">
        <ns0:f>IFERROR(IF(ISNUMBER($A2327),IF(AND(AH!$P$10=1,AH!$P$12=1,$A2327=TODAY()),IF(AND(AH!$P$10=1,AH!$P$12=1,$A2327=TODAY()),TODAY(),NA()),IF(AH!$P$10=1,INDEX('Live History'!$G$5:$G$3004,MATCH($A2327,'Live History'!$G$5:$G$3004,1)),INDEX('AH History'!$F$1:$F$18046,AH!$P$7+2322))),NA()),NA())</ns0:f>
        <ns0:v/>
      </ns0:c>
      <ns0:c r="H2327">
        <ns0:f>IFERROR(IF(AND(AH!$E$4="Bloomberg",AH!$P$10=1,ISNUMBER($A2327),$A2327&lt;=AH!$P$17),AH!$P$7-1+MATCH($A2327,INDEX('AH History'!$A$1:$A$18046,AH!$P$7):INDEX('AH History'!$A$1:$A$18046,AH!$P$7+AH!$P$8-1),0),0),0)</ns0:f>
        <ns0:v/>
      </ns0:c>
      <ns0:c r="I2327">
        <ns0:f>IF($H2327=0,0,IFERROR(IF(AND(ABS($C2327-INDEX('AH History'!$B$1:$B$18046,$H2327))&lt;=MAX(0.005,ABS(INDEX('AH History'!$B$1:$B$18046,$H2327))*0.00005),ABS($D2327-INDEX('AH History'!$C$1:$C$18046,$H2327))&lt;=MAX(0.005,ABS(INDEX('AH History'!$C$1:$C$18046,$H2327))*0.00005),ABS($E2327-INDEX('AH History'!$D$1:$D$18046,$H2327))&lt;=0.00005,$F2327=INDEX('AH History'!$E$1:$E$18046,$H2327),$G2327=INDEX('AH History'!$F$1:$F$18046,$H2327)),1,-1),-1))</ns0:f>
        <ns0:v/>
      </ns0:c>
    </ns0:row>
    <ns0:row r="2328">
      <ns0:c r="A2328" s="215">
        <ns0:f>IF(OR(AH!$P$3=0,2323+1&gt;AH!$P$11,AND(AH!$E$4&lt;&gt;"Stored",AH!$P$10&lt;&gt;1)),"",IFERROR(IF(AND(AH!$P$21=1,2323+1=AH!$P$11),TODAY(),IF(AH!$P$10=1,INDEX('Live History'!$A$5:$A$3004,AH!$P$13+2323),INDEX('AH History'!$A$1:$A$18046,AH!$P$7+2323))),""))</ns0:f>
        <ns0:v/>
      </ns0:c>
      <ns0:c r="B2328" s="219">
        <ns0:f>IFERROR(IF(AND(AH!$P$9&lt;&gt;1,$C2328&gt;0,$D2328&gt;0,$E2328&gt;0,$F2328&gt;0,$G2328&gt;0,$F2328&lt;=$A2328,$G2328&lt;=$A2328,$A2328-$F2328&lt;=10,$A2328-$G2328&lt;=5),$D2328*$E2328/$C2328-1,NA()),NA())</ns0:f>
        <ns0:v/>
      </ns0:c>
      <ns0:c r="C2328">
        <ns0:f>IFERROR(IF(ISNUMBER($A2328),IF(AND(AH!$P$10=1,AH!$P$12=1,$A2328=TODAY()),AH!$P$19,IF(AH!$P$10=1,INDEX('Live History'!$B$5:$B$3004,AH!$P$13+2323),INDEX('AH History'!$B$1:$B$18046,AH!$P$7+2323))),NA()),NA())</ns0:f>
        <ns0:v/>
      </ns0:c>
      <ns0:c r="D2328">
        <ns0:f>IFERROR(IF(ISNUMBER($A2328),IF(AND(AH!$P$10=1,AH!$P$12=1,$A2328=TODAY()),AH!$P$18,IF(AH!$P$10=1,INDEX('Live History'!$E$5:$E$3004,MATCH($A2328,'Live History'!$D$5:$D$3004,1)),INDEX('AH History'!$C$1:$C$18046,AH!$P$7+2323))),NA()),NA())</ns0:f>
        <ns0:v/>
      </ns0:c>
      <ns0:c r="E2328">
        <ns0:f>IFERROR(IF(ISNUMBER($A2328),IF(AND(AH!$P$10=1,AH!$P$12=1,$A2328=TODAY()),AH!$P$20,IF(AH!$P$10=1,INDEX('Live History'!$H$5:$H$3004,MATCH($A2328,'Live History'!$G$5:$G$3004,1)),INDEX('AH History'!$D$1:$D$18046,AH!$P$7+2323))),NA()),NA())</ns0:f>
        <ns0:v/>
      </ns0:c>
      <ns0:c r="F2328">
        <ns0:f>IFERROR(IF(ISNUMBER($A2328),IF(AND(AH!$P$10=1,AH!$P$12=1,$A2328=TODAY()),IF(AND(AH!$P$10=1,AH!$P$12=1,$A2328=TODAY()),TODAY(),NA()),IF(AH!$P$10=1,INDEX('Live History'!$D$5:$D$3004,MATCH($A2328,'Live History'!$D$5:$D$3004,1)),INDEX('AH History'!$E$1:$E$18046,AH!$P$7+2323))),NA()),NA())</ns0:f>
        <ns0:v/>
      </ns0:c>
      <ns0:c r="G2328">
        <ns0:f>IFERROR(IF(ISNUMBER($A2328),IF(AND(AH!$P$10=1,AH!$P$12=1,$A2328=TODAY()),IF(AND(AH!$P$10=1,AH!$P$12=1,$A2328=TODAY()),TODAY(),NA()),IF(AH!$P$10=1,INDEX('Live History'!$G$5:$G$3004,MATCH($A2328,'Live History'!$G$5:$G$3004,1)),INDEX('AH History'!$F$1:$F$18046,AH!$P$7+2323))),NA()),NA())</ns0:f>
        <ns0:v/>
      </ns0:c>
      <ns0:c r="H2328">
        <ns0:f>IFERROR(IF(AND(AH!$E$4="Bloomberg",AH!$P$10=1,ISNUMBER($A2328),$A2328&lt;=AH!$P$17),AH!$P$7-1+MATCH($A2328,INDEX('AH History'!$A$1:$A$18046,AH!$P$7):INDEX('AH History'!$A$1:$A$18046,AH!$P$7+AH!$P$8-1),0),0),0)</ns0:f>
        <ns0:v/>
      </ns0:c>
      <ns0:c r="I2328">
        <ns0:f>IF($H2328=0,0,IFERROR(IF(AND(ABS($C2328-INDEX('AH History'!$B$1:$B$18046,$H2328))&lt;=MAX(0.005,ABS(INDEX('AH History'!$B$1:$B$18046,$H2328))*0.00005),ABS($D2328-INDEX('AH History'!$C$1:$C$18046,$H2328))&lt;=MAX(0.005,ABS(INDEX('AH History'!$C$1:$C$18046,$H2328))*0.00005),ABS($E2328-INDEX('AH History'!$D$1:$D$18046,$H2328))&lt;=0.00005,$F2328=INDEX('AH History'!$E$1:$E$18046,$H2328),$G2328=INDEX('AH History'!$F$1:$F$18046,$H2328)),1,-1),-1))</ns0:f>
        <ns0:v/>
      </ns0:c>
    </ns0:row>
    <ns0:row r="2329">
      <ns0:c r="A2329" s="215">
        <ns0:f>IF(OR(AH!$P$3=0,2324+1&gt;AH!$P$11,AND(AH!$E$4&lt;&gt;"Stored",AH!$P$10&lt;&gt;1)),"",IFERROR(IF(AND(AH!$P$21=1,2324+1=AH!$P$11),TODAY(),IF(AH!$P$10=1,INDEX('Live History'!$A$5:$A$3004,AH!$P$13+2324),INDEX('AH History'!$A$1:$A$18046,AH!$P$7+2324))),""))</ns0:f>
        <ns0:v/>
      </ns0:c>
      <ns0:c r="B2329" s="219">
        <ns0:f>IFERROR(IF(AND(AH!$P$9&lt;&gt;1,$C2329&gt;0,$D2329&gt;0,$E2329&gt;0,$F2329&gt;0,$G2329&gt;0,$F2329&lt;=$A2329,$G2329&lt;=$A2329,$A2329-$F2329&lt;=10,$A2329-$G2329&lt;=5),$D2329*$E2329/$C2329-1,NA()),NA())</ns0:f>
        <ns0:v/>
      </ns0:c>
      <ns0:c r="C2329">
        <ns0:f>IFERROR(IF(ISNUMBER($A2329),IF(AND(AH!$P$10=1,AH!$P$12=1,$A2329=TODAY()),AH!$P$19,IF(AH!$P$10=1,INDEX('Live History'!$B$5:$B$3004,AH!$P$13+2324),INDEX('AH History'!$B$1:$B$18046,AH!$P$7+2324))),NA()),NA())</ns0:f>
        <ns0:v/>
      </ns0:c>
      <ns0:c r="D2329">
        <ns0:f>IFERROR(IF(ISNUMBER($A2329),IF(AND(AH!$P$10=1,AH!$P$12=1,$A2329=TODAY()),AH!$P$18,IF(AH!$P$10=1,INDEX('Live History'!$E$5:$E$3004,MATCH($A2329,'Live History'!$D$5:$D$3004,1)),INDEX('AH History'!$C$1:$C$18046,AH!$P$7+2324))),NA()),NA())</ns0:f>
        <ns0:v/>
      </ns0:c>
      <ns0:c r="E2329">
        <ns0:f>IFERROR(IF(ISNUMBER($A2329),IF(AND(AH!$P$10=1,AH!$P$12=1,$A2329=TODAY()),AH!$P$20,IF(AH!$P$10=1,INDEX('Live History'!$H$5:$H$3004,MATCH($A2329,'Live History'!$G$5:$G$3004,1)),INDEX('AH History'!$D$1:$D$18046,AH!$P$7+2324))),NA()),NA())</ns0:f>
        <ns0:v/>
      </ns0:c>
      <ns0:c r="F2329">
        <ns0:f>IFERROR(IF(ISNUMBER($A2329),IF(AND(AH!$P$10=1,AH!$P$12=1,$A2329=TODAY()),IF(AND(AH!$P$10=1,AH!$P$12=1,$A2329=TODAY()),TODAY(),NA()),IF(AH!$P$10=1,INDEX('Live History'!$D$5:$D$3004,MATCH($A2329,'Live History'!$D$5:$D$3004,1)),INDEX('AH History'!$E$1:$E$18046,AH!$P$7+2324))),NA()),NA())</ns0:f>
        <ns0:v/>
      </ns0:c>
      <ns0:c r="G2329">
        <ns0:f>IFERROR(IF(ISNUMBER($A2329),IF(AND(AH!$P$10=1,AH!$P$12=1,$A2329=TODAY()),IF(AND(AH!$P$10=1,AH!$P$12=1,$A2329=TODAY()),TODAY(),NA()),IF(AH!$P$10=1,INDEX('Live History'!$G$5:$G$3004,MATCH($A2329,'Live History'!$G$5:$G$3004,1)),INDEX('AH History'!$F$1:$F$18046,AH!$P$7+2324))),NA()),NA())</ns0:f>
        <ns0:v/>
      </ns0:c>
      <ns0:c r="H2329">
        <ns0:f>IFERROR(IF(AND(AH!$E$4="Bloomberg",AH!$P$10=1,ISNUMBER($A2329),$A2329&lt;=AH!$P$17),AH!$P$7-1+MATCH($A2329,INDEX('AH History'!$A$1:$A$18046,AH!$P$7):INDEX('AH History'!$A$1:$A$18046,AH!$P$7+AH!$P$8-1),0),0),0)</ns0:f>
        <ns0:v/>
      </ns0:c>
      <ns0:c r="I2329">
        <ns0:f>IF($H2329=0,0,IFERROR(IF(AND(ABS($C2329-INDEX('AH History'!$B$1:$B$18046,$H2329))&lt;=MAX(0.005,ABS(INDEX('AH History'!$B$1:$B$18046,$H2329))*0.00005),ABS($D2329-INDEX('AH History'!$C$1:$C$18046,$H2329))&lt;=MAX(0.005,ABS(INDEX('AH History'!$C$1:$C$18046,$H2329))*0.00005),ABS($E2329-INDEX('AH History'!$D$1:$D$18046,$H2329))&lt;=0.00005,$F2329=INDEX('AH History'!$E$1:$E$18046,$H2329),$G2329=INDEX('AH History'!$F$1:$F$18046,$H2329)),1,-1),-1))</ns0:f>
        <ns0:v/>
      </ns0:c>
    </ns0:row>
    <ns0:row r="2330">
      <ns0:c r="A2330" s="215">
        <ns0:f>IF(OR(AH!$P$3=0,2325+1&gt;AH!$P$11,AND(AH!$E$4&lt;&gt;"Stored",AH!$P$10&lt;&gt;1)),"",IFERROR(IF(AND(AH!$P$21=1,2325+1=AH!$P$11),TODAY(),IF(AH!$P$10=1,INDEX('Live History'!$A$5:$A$3004,AH!$P$13+2325),INDEX('AH History'!$A$1:$A$18046,AH!$P$7+2325))),""))</ns0:f>
        <ns0:v/>
      </ns0:c>
      <ns0:c r="B2330" s="219">
        <ns0:f>IFERROR(IF(AND(AH!$P$9&lt;&gt;1,$C2330&gt;0,$D2330&gt;0,$E2330&gt;0,$F2330&gt;0,$G2330&gt;0,$F2330&lt;=$A2330,$G2330&lt;=$A2330,$A2330-$F2330&lt;=10,$A2330-$G2330&lt;=5),$D2330*$E2330/$C2330-1,NA()),NA())</ns0:f>
        <ns0:v/>
      </ns0:c>
      <ns0:c r="C2330">
        <ns0:f>IFERROR(IF(ISNUMBER($A2330),IF(AND(AH!$P$10=1,AH!$P$12=1,$A2330=TODAY()),AH!$P$19,IF(AH!$P$10=1,INDEX('Live History'!$B$5:$B$3004,AH!$P$13+2325),INDEX('AH History'!$B$1:$B$18046,AH!$P$7+2325))),NA()),NA())</ns0:f>
        <ns0:v/>
      </ns0:c>
      <ns0:c r="D2330">
        <ns0:f>IFERROR(IF(ISNUMBER($A2330),IF(AND(AH!$P$10=1,AH!$P$12=1,$A2330=TODAY()),AH!$P$18,IF(AH!$P$10=1,INDEX('Live History'!$E$5:$E$3004,MATCH($A2330,'Live History'!$D$5:$D$3004,1)),INDEX('AH History'!$C$1:$C$18046,AH!$P$7+2325))),NA()),NA())</ns0:f>
        <ns0:v/>
      </ns0:c>
      <ns0:c r="E2330">
        <ns0:f>IFERROR(IF(ISNUMBER($A2330),IF(AND(AH!$P$10=1,AH!$P$12=1,$A2330=TODAY()),AH!$P$20,IF(AH!$P$10=1,INDEX('Live History'!$H$5:$H$3004,MATCH($A2330,'Live History'!$G$5:$G$3004,1)),INDEX('AH History'!$D$1:$D$18046,AH!$P$7+2325))),NA()),NA())</ns0:f>
        <ns0:v/>
      </ns0:c>
      <ns0:c r="F2330">
        <ns0:f>IFERROR(IF(ISNUMBER($A2330),IF(AND(AH!$P$10=1,AH!$P$12=1,$A2330=TODAY()),IF(AND(AH!$P$10=1,AH!$P$12=1,$A2330=TODAY()),TODAY(),NA()),IF(AH!$P$10=1,INDEX('Live History'!$D$5:$D$3004,MATCH($A2330,'Live History'!$D$5:$D$3004,1)),INDEX('AH History'!$E$1:$E$18046,AH!$P$7+2325))),NA()),NA())</ns0:f>
        <ns0:v/>
      </ns0:c>
      <ns0:c r="G2330">
        <ns0:f>IFERROR(IF(ISNUMBER($A2330),IF(AND(AH!$P$10=1,AH!$P$12=1,$A2330=TODAY()),IF(AND(AH!$P$10=1,AH!$P$12=1,$A2330=TODAY()),TODAY(),NA()),IF(AH!$P$10=1,INDEX('Live History'!$G$5:$G$3004,MATCH($A2330,'Live History'!$G$5:$G$3004,1)),INDEX('AH History'!$F$1:$F$18046,AH!$P$7+2325))),NA()),NA())</ns0:f>
        <ns0:v/>
      </ns0:c>
      <ns0:c r="H2330">
        <ns0:f>IFERROR(IF(AND(AH!$E$4="Bloomberg",AH!$P$10=1,ISNUMBER($A2330),$A2330&lt;=AH!$P$17),AH!$P$7-1+MATCH($A2330,INDEX('AH History'!$A$1:$A$18046,AH!$P$7):INDEX('AH History'!$A$1:$A$18046,AH!$P$7+AH!$P$8-1),0),0),0)</ns0:f>
        <ns0:v/>
      </ns0:c>
      <ns0:c r="I2330">
        <ns0:f>IF($H2330=0,0,IFERROR(IF(AND(ABS($C2330-INDEX('AH History'!$B$1:$B$18046,$H2330))&lt;=MAX(0.005,ABS(INDEX('AH History'!$B$1:$B$18046,$H2330))*0.00005),ABS($D2330-INDEX('AH History'!$C$1:$C$18046,$H2330))&lt;=MAX(0.005,ABS(INDEX('AH History'!$C$1:$C$18046,$H2330))*0.00005),ABS($E2330-INDEX('AH History'!$D$1:$D$18046,$H2330))&lt;=0.00005,$F2330=INDEX('AH History'!$E$1:$E$18046,$H2330),$G2330=INDEX('AH History'!$F$1:$F$18046,$H2330)),1,-1),-1))</ns0:f>
        <ns0:v/>
      </ns0:c>
    </ns0:row>
    <ns0:row r="2331">
      <ns0:c r="A2331" s="215">
        <ns0:f>IF(OR(AH!$P$3=0,2326+1&gt;AH!$P$11,AND(AH!$E$4&lt;&gt;"Stored",AH!$P$10&lt;&gt;1)),"",IFERROR(IF(AND(AH!$P$21=1,2326+1=AH!$P$11),TODAY(),IF(AH!$P$10=1,INDEX('Live History'!$A$5:$A$3004,AH!$P$13+2326),INDEX('AH History'!$A$1:$A$18046,AH!$P$7+2326))),""))</ns0:f>
        <ns0:v/>
      </ns0:c>
      <ns0:c r="B2331" s="219">
        <ns0:f>IFERROR(IF(AND(AH!$P$9&lt;&gt;1,$C2331&gt;0,$D2331&gt;0,$E2331&gt;0,$F2331&gt;0,$G2331&gt;0,$F2331&lt;=$A2331,$G2331&lt;=$A2331,$A2331-$F2331&lt;=10,$A2331-$G2331&lt;=5),$D2331*$E2331/$C2331-1,NA()),NA())</ns0:f>
        <ns0:v/>
      </ns0:c>
      <ns0:c r="C2331">
        <ns0:f>IFERROR(IF(ISNUMBER($A2331),IF(AND(AH!$P$10=1,AH!$P$12=1,$A2331=TODAY()),AH!$P$19,IF(AH!$P$10=1,INDEX('Live History'!$B$5:$B$3004,AH!$P$13+2326),INDEX('AH History'!$B$1:$B$18046,AH!$P$7+2326))),NA()),NA())</ns0:f>
        <ns0:v/>
      </ns0:c>
      <ns0:c r="D2331">
        <ns0:f>IFERROR(IF(ISNUMBER($A2331),IF(AND(AH!$P$10=1,AH!$P$12=1,$A2331=TODAY()),AH!$P$18,IF(AH!$P$10=1,INDEX('Live History'!$E$5:$E$3004,MATCH($A2331,'Live History'!$D$5:$D$3004,1)),INDEX('AH History'!$C$1:$C$18046,AH!$P$7+2326))),NA()),NA())</ns0:f>
        <ns0:v/>
      </ns0:c>
      <ns0:c r="E2331">
        <ns0:f>IFERROR(IF(ISNUMBER($A2331),IF(AND(AH!$P$10=1,AH!$P$12=1,$A2331=TODAY()),AH!$P$20,IF(AH!$P$10=1,INDEX('Live History'!$H$5:$H$3004,MATCH($A2331,'Live History'!$G$5:$G$3004,1)),INDEX('AH History'!$D$1:$D$18046,AH!$P$7+2326))),NA()),NA())</ns0:f>
        <ns0:v/>
      </ns0:c>
      <ns0:c r="F2331">
        <ns0:f>IFERROR(IF(ISNUMBER($A2331),IF(AND(AH!$P$10=1,AH!$P$12=1,$A2331=TODAY()),IF(AND(AH!$P$10=1,AH!$P$12=1,$A2331=TODAY()),TODAY(),NA()),IF(AH!$P$10=1,INDEX('Live History'!$D$5:$D$3004,MATCH($A2331,'Live History'!$D$5:$D$3004,1)),INDEX('AH History'!$E$1:$E$18046,AH!$P$7+2326))),NA()),NA())</ns0:f>
        <ns0:v/>
      </ns0:c>
      <ns0:c r="G2331">
        <ns0:f>IFERROR(IF(ISNUMBER($A2331),IF(AND(AH!$P$10=1,AH!$P$12=1,$A2331=TODAY()),IF(AND(AH!$P$10=1,AH!$P$12=1,$A2331=TODAY()),TODAY(),NA()),IF(AH!$P$10=1,INDEX('Live History'!$G$5:$G$3004,MATCH($A2331,'Live History'!$G$5:$G$3004,1)),INDEX('AH History'!$F$1:$F$18046,AH!$P$7+2326))),NA()),NA())</ns0:f>
        <ns0:v/>
      </ns0:c>
      <ns0:c r="H2331">
        <ns0:f>IFERROR(IF(AND(AH!$E$4="Bloomberg",AH!$P$10=1,ISNUMBER($A2331),$A2331&lt;=AH!$P$17),AH!$P$7-1+MATCH($A2331,INDEX('AH History'!$A$1:$A$18046,AH!$P$7):INDEX('AH History'!$A$1:$A$18046,AH!$P$7+AH!$P$8-1),0),0),0)</ns0:f>
        <ns0:v/>
      </ns0:c>
      <ns0:c r="I2331">
        <ns0:f>IF($H2331=0,0,IFERROR(IF(AND(ABS($C2331-INDEX('AH History'!$B$1:$B$18046,$H2331))&lt;=MAX(0.005,ABS(INDEX('AH History'!$B$1:$B$18046,$H2331))*0.00005),ABS($D2331-INDEX('AH History'!$C$1:$C$18046,$H2331))&lt;=MAX(0.005,ABS(INDEX('AH History'!$C$1:$C$18046,$H2331))*0.00005),ABS($E2331-INDEX('AH History'!$D$1:$D$18046,$H2331))&lt;=0.00005,$F2331=INDEX('AH History'!$E$1:$E$18046,$H2331),$G2331=INDEX('AH History'!$F$1:$F$18046,$H2331)),1,-1),-1))</ns0:f>
        <ns0:v/>
      </ns0:c>
    </ns0:row>
    <ns0:row r="2332">
      <ns0:c r="A2332" s="215">
        <ns0:f>IF(OR(AH!$P$3=0,2327+1&gt;AH!$P$11,AND(AH!$E$4&lt;&gt;"Stored",AH!$P$10&lt;&gt;1)),"",IFERROR(IF(AND(AH!$P$21=1,2327+1=AH!$P$11),TODAY(),IF(AH!$P$10=1,INDEX('Live History'!$A$5:$A$3004,AH!$P$13+2327),INDEX('AH History'!$A$1:$A$18046,AH!$P$7+2327))),""))</ns0:f>
        <ns0:v/>
      </ns0:c>
      <ns0:c r="B2332" s="219">
        <ns0:f>IFERROR(IF(AND(AH!$P$9&lt;&gt;1,$C2332&gt;0,$D2332&gt;0,$E2332&gt;0,$F2332&gt;0,$G2332&gt;0,$F2332&lt;=$A2332,$G2332&lt;=$A2332,$A2332-$F2332&lt;=10,$A2332-$G2332&lt;=5),$D2332*$E2332/$C2332-1,NA()),NA())</ns0:f>
        <ns0:v/>
      </ns0:c>
      <ns0:c r="C2332">
        <ns0:f>IFERROR(IF(ISNUMBER($A2332),IF(AND(AH!$P$10=1,AH!$P$12=1,$A2332=TODAY()),AH!$P$19,IF(AH!$P$10=1,INDEX('Live History'!$B$5:$B$3004,AH!$P$13+2327),INDEX('AH History'!$B$1:$B$18046,AH!$P$7+2327))),NA()),NA())</ns0:f>
        <ns0:v/>
      </ns0:c>
      <ns0:c r="D2332">
        <ns0:f>IFERROR(IF(ISNUMBER($A2332),IF(AND(AH!$P$10=1,AH!$P$12=1,$A2332=TODAY()),AH!$P$18,IF(AH!$P$10=1,INDEX('Live History'!$E$5:$E$3004,MATCH($A2332,'Live History'!$D$5:$D$3004,1)),INDEX('AH History'!$C$1:$C$18046,AH!$P$7+2327))),NA()),NA())</ns0:f>
        <ns0:v/>
      </ns0:c>
      <ns0:c r="E2332">
        <ns0:f>IFERROR(IF(ISNUMBER($A2332),IF(AND(AH!$P$10=1,AH!$P$12=1,$A2332=TODAY()),AH!$P$20,IF(AH!$P$10=1,INDEX('Live History'!$H$5:$H$3004,MATCH($A2332,'Live History'!$G$5:$G$3004,1)),INDEX('AH History'!$D$1:$D$18046,AH!$P$7+2327))),NA()),NA())</ns0:f>
        <ns0:v/>
      </ns0:c>
      <ns0:c r="F2332">
        <ns0:f>IFERROR(IF(ISNUMBER($A2332),IF(AND(AH!$P$10=1,AH!$P$12=1,$A2332=TODAY()),IF(AND(AH!$P$10=1,AH!$P$12=1,$A2332=TODAY()),TODAY(),NA()),IF(AH!$P$10=1,INDEX('Live History'!$D$5:$D$3004,MATCH($A2332,'Live History'!$D$5:$D$3004,1)),INDEX('AH History'!$E$1:$E$18046,AH!$P$7+2327))),NA()),NA())</ns0:f>
        <ns0:v/>
      </ns0:c>
      <ns0:c r="G2332">
        <ns0:f>IFERROR(IF(ISNUMBER($A2332),IF(AND(AH!$P$10=1,AH!$P$12=1,$A2332=TODAY()),IF(AND(AH!$P$10=1,AH!$P$12=1,$A2332=TODAY()),TODAY(),NA()),IF(AH!$P$10=1,INDEX('Live History'!$G$5:$G$3004,MATCH($A2332,'Live History'!$G$5:$G$3004,1)),INDEX('AH History'!$F$1:$F$18046,AH!$P$7+2327))),NA()),NA())</ns0:f>
        <ns0:v/>
      </ns0:c>
      <ns0:c r="H2332">
        <ns0:f>IFERROR(IF(AND(AH!$E$4="Bloomberg",AH!$P$10=1,ISNUMBER($A2332),$A2332&lt;=AH!$P$17),AH!$P$7-1+MATCH($A2332,INDEX('AH History'!$A$1:$A$18046,AH!$P$7):INDEX('AH History'!$A$1:$A$18046,AH!$P$7+AH!$P$8-1),0),0),0)</ns0:f>
        <ns0:v/>
      </ns0:c>
      <ns0:c r="I2332">
        <ns0:f>IF($H2332=0,0,IFERROR(IF(AND(ABS($C2332-INDEX('AH History'!$B$1:$B$18046,$H2332))&lt;=MAX(0.005,ABS(INDEX('AH History'!$B$1:$B$18046,$H2332))*0.00005),ABS($D2332-INDEX('AH History'!$C$1:$C$18046,$H2332))&lt;=MAX(0.005,ABS(INDEX('AH History'!$C$1:$C$18046,$H2332))*0.00005),ABS($E2332-INDEX('AH History'!$D$1:$D$18046,$H2332))&lt;=0.00005,$F2332=INDEX('AH History'!$E$1:$E$18046,$H2332),$G2332=INDEX('AH History'!$F$1:$F$18046,$H2332)),1,-1),-1))</ns0:f>
        <ns0:v/>
      </ns0:c>
    </ns0:row>
    <ns0:row r="2333">
      <ns0:c r="A2333" s="215">
        <ns0:f>IF(OR(AH!$P$3=0,2328+1&gt;AH!$P$11,AND(AH!$E$4&lt;&gt;"Stored",AH!$P$10&lt;&gt;1)),"",IFERROR(IF(AND(AH!$P$21=1,2328+1=AH!$P$11),TODAY(),IF(AH!$P$10=1,INDEX('Live History'!$A$5:$A$3004,AH!$P$13+2328),INDEX('AH History'!$A$1:$A$18046,AH!$P$7+2328))),""))</ns0:f>
        <ns0:v/>
      </ns0:c>
      <ns0:c r="B2333" s="219">
        <ns0:f>IFERROR(IF(AND(AH!$P$9&lt;&gt;1,$C2333&gt;0,$D2333&gt;0,$E2333&gt;0,$F2333&gt;0,$G2333&gt;0,$F2333&lt;=$A2333,$G2333&lt;=$A2333,$A2333-$F2333&lt;=10,$A2333-$G2333&lt;=5),$D2333*$E2333/$C2333-1,NA()),NA())</ns0:f>
        <ns0:v/>
      </ns0:c>
      <ns0:c r="C2333">
        <ns0:f>IFERROR(IF(ISNUMBER($A2333),IF(AND(AH!$P$10=1,AH!$P$12=1,$A2333=TODAY()),AH!$P$19,IF(AH!$P$10=1,INDEX('Live History'!$B$5:$B$3004,AH!$P$13+2328),INDEX('AH History'!$B$1:$B$18046,AH!$P$7+2328))),NA()),NA())</ns0:f>
        <ns0:v/>
      </ns0:c>
      <ns0:c r="D2333">
        <ns0:f>IFERROR(IF(ISNUMBER($A2333),IF(AND(AH!$P$10=1,AH!$P$12=1,$A2333=TODAY()),AH!$P$18,IF(AH!$P$10=1,INDEX('Live History'!$E$5:$E$3004,MATCH($A2333,'Live History'!$D$5:$D$3004,1)),INDEX('AH History'!$C$1:$C$18046,AH!$P$7+2328))),NA()),NA())</ns0:f>
        <ns0:v/>
      </ns0:c>
      <ns0:c r="E2333">
        <ns0:f>IFERROR(IF(ISNUMBER($A2333),IF(AND(AH!$P$10=1,AH!$P$12=1,$A2333=TODAY()),AH!$P$20,IF(AH!$P$10=1,INDEX('Live History'!$H$5:$H$3004,MATCH($A2333,'Live History'!$G$5:$G$3004,1)),INDEX('AH History'!$D$1:$D$18046,AH!$P$7+2328))),NA()),NA())</ns0:f>
        <ns0:v/>
      </ns0:c>
      <ns0:c r="F2333">
        <ns0:f>IFERROR(IF(ISNUMBER($A2333),IF(AND(AH!$P$10=1,AH!$P$12=1,$A2333=TODAY()),IF(AND(AH!$P$10=1,AH!$P$12=1,$A2333=TODAY()),TODAY(),NA()),IF(AH!$P$10=1,INDEX('Live History'!$D$5:$D$3004,MATCH($A2333,'Live History'!$D$5:$D$3004,1)),INDEX('AH History'!$E$1:$E$18046,AH!$P$7+2328))),NA()),NA())</ns0:f>
        <ns0:v/>
      </ns0:c>
      <ns0:c r="G2333">
        <ns0:f>IFERROR(IF(ISNUMBER($A2333),IF(AND(AH!$P$10=1,AH!$P$12=1,$A2333=TODAY()),IF(AND(AH!$P$10=1,AH!$P$12=1,$A2333=TODAY()),TODAY(),NA()),IF(AH!$P$10=1,INDEX('Live History'!$G$5:$G$3004,MATCH($A2333,'Live History'!$G$5:$G$3004,1)),INDEX('AH History'!$F$1:$F$18046,AH!$P$7+2328))),NA()),NA())</ns0:f>
        <ns0:v/>
      </ns0:c>
      <ns0:c r="H2333">
        <ns0:f>IFERROR(IF(AND(AH!$E$4="Bloomberg",AH!$P$10=1,ISNUMBER($A2333),$A2333&lt;=AH!$P$17),AH!$P$7-1+MATCH($A2333,INDEX('AH History'!$A$1:$A$18046,AH!$P$7):INDEX('AH History'!$A$1:$A$18046,AH!$P$7+AH!$P$8-1),0),0),0)</ns0:f>
        <ns0:v/>
      </ns0:c>
      <ns0:c r="I2333">
        <ns0:f>IF($H2333=0,0,IFERROR(IF(AND(ABS($C2333-INDEX('AH History'!$B$1:$B$18046,$H2333))&lt;=MAX(0.005,ABS(INDEX('AH History'!$B$1:$B$18046,$H2333))*0.00005),ABS($D2333-INDEX('AH History'!$C$1:$C$18046,$H2333))&lt;=MAX(0.005,ABS(INDEX('AH History'!$C$1:$C$18046,$H2333))*0.00005),ABS($E2333-INDEX('AH History'!$D$1:$D$18046,$H2333))&lt;=0.00005,$F2333=INDEX('AH History'!$E$1:$E$18046,$H2333),$G2333=INDEX('AH History'!$F$1:$F$18046,$H2333)),1,-1),-1))</ns0:f>
        <ns0:v/>
      </ns0:c>
    </ns0:row>
    <ns0:row r="2334">
      <ns0:c r="A2334" s="215">
        <ns0:f>IF(OR(AH!$P$3=0,2329+1&gt;AH!$P$11,AND(AH!$E$4&lt;&gt;"Stored",AH!$P$10&lt;&gt;1)),"",IFERROR(IF(AND(AH!$P$21=1,2329+1=AH!$P$11),TODAY(),IF(AH!$P$10=1,INDEX('Live History'!$A$5:$A$3004,AH!$P$13+2329),INDEX('AH History'!$A$1:$A$18046,AH!$P$7+2329))),""))</ns0:f>
        <ns0:v/>
      </ns0:c>
      <ns0:c r="B2334" s="219">
        <ns0:f>IFERROR(IF(AND(AH!$P$9&lt;&gt;1,$C2334&gt;0,$D2334&gt;0,$E2334&gt;0,$F2334&gt;0,$G2334&gt;0,$F2334&lt;=$A2334,$G2334&lt;=$A2334,$A2334-$F2334&lt;=10,$A2334-$G2334&lt;=5),$D2334*$E2334/$C2334-1,NA()),NA())</ns0:f>
        <ns0:v/>
      </ns0:c>
      <ns0:c r="C2334">
        <ns0:f>IFERROR(IF(ISNUMBER($A2334),IF(AND(AH!$P$10=1,AH!$P$12=1,$A2334=TODAY()),AH!$P$19,IF(AH!$P$10=1,INDEX('Live History'!$B$5:$B$3004,AH!$P$13+2329),INDEX('AH History'!$B$1:$B$18046,AH!$P$7+2329))),NA()),NA())</ns0:f>
        <ns0:v/>
      </ns0:c>
      <ns0:c r="D2334">
        <ns0:f>IFERROR(IF(ISNUMBER($A2334),IF(AND(AH!$P$10=1,AH!$P$12=1,$A2334=TODAY()),AH!$P$18,IF(AH!$P$10=1,INDEX('Live History'!$E$5:$E$3004,MATCH($A2334,'Live History'!$D$5:$D$3004,1)),INDEX('AH History'!$C$1:$C$18046,AH!$P$7+2329))),NA()),NA())</ns0:f>
        <ns0:v/>
      </ns0:c>
      <ns0:c r="E2334">
        <ns0:f>IFERROR(IF(ISNUMBER($A2334),IF(AND(AH!$P$10=1,AH!$P$12=1,$A2334=TODAY()),AH!$P$20,IF(AH!$P$10=1,INDEX('Live History'!$H$5:$H$3004,MATCH($A2334,'Live History'!$G$5:$G$3004,1)),INDEX('AH History'!$D$1:$D$18046,AH!$P$7+2329))),NA()),NA())</ns0:f>
        <ns0:v/>
      </ns0:c>
      <ns0:c r="F2334">
        <ns0:f>IFERROR(IF(ISNUMBER($A2334),IF(AND(AH!$P$10=1,AH!$P$12=1,$A2334=TODAY()),IF(AND(AH!$P$10=1,AH!$P$12=1,$A2334=TODAY()),TODAY(),NA()),IF(AH!$P$10=1,INDEX('Live History'!$D$5:$D$3004,MATCH($A2334,'Live History'!$D$5:$D$3004,1)),INDEX('AH History'!$E$1:$E$18046,AH!$P$7+2329))),NA()),NA())</ns0:f>
        <ns0:v/>
      </ns0:c>
      <ns0:c r="G2334">
        <ns0:f>IFERROR(IF(ISNUMBER($A2334),IF(AND(AH!$P$10=1,AH!$P$12=1,$A2334=TODAY()),IF(AND(AH!$P$10=1,AH!$P$12=1,$A2334=TODAY()),TODAY(),NA()),IF(AH!$P$10=1,INDEX('Live History'!$G$5:$G$3004,MATCH($A2334,'Live History'!$G$5:$G$3004,1)),INDEX('AH History'!$F$1:$F$18046,AH!$P$7+2329))),NA()),NA())</ns0:f>
        <ns0:v/>
      </ns0:c>
      <ns0:c r="H2334">
        <ns0:f>IFERROR(IF(AND(AH!$E$4="Bloomberg",AH!$P$10=1,ISNUMBER($A2334),$A2334&lt;=AH!$P$17),AH!$P$7-1+MATCH($A2334,INDEX('AH History'!$A$1:$A$18046,AH!$P$7):INDEX('AH History'!$A$1:$A$18046,AH!$P$7+AH!$P$8-1),0),0),0)</ns0:f>
        <ns0:v/>
      </ns0:c>
      <ns0:c r="I2334">
        <ns0:f>IF($H2334=0,0,IFERROR(IF(AND(ABS($C2334-INDEX('AH History'!$B$1:$B$18046,$H2334))&lt;=MAX(0.005,ABS(INDEX('AH History'!$B$1:$B$18046,$H2334))*0.00005),ABS($D2334-INDEX('AH History'!$C$1:$C$18046,$H2334))&lt;=MAX(0.005,ABS(INDEX('AH History'!$C$1:$C$18046,$H2334))*0.00005),ABS($E2334-INDEX('AH History'!$D$1:$D$18046,$H2334))&lt;=0.00005,$F2334=INDEX('AH History'!$E$1:$E$18046,$H2334),$G2334=INDEX('AH History'!$F$1:$F$18046,$H2334)),1,-1),-1))</ns0:f>
        <ns0:v/>
      </ns0:c>
    </ns0:row>
    <ns0:row r="2335">
      <ns0:c r="A2335" s="215">
        <ns0:f>IF(OR(AH!$P$3=0,2330+1&gt;AH!$P$11,AND(AH!$E$4&lt;&gt;"Stored",AH!$P$10&lt;&gt;1)),"",IFERROR(IF(AND(AH!$P$21=1,2330+1=AH!$P$11),TODAY(),IF(AH!$P$10=1,INDEX('Live History'!$A$5:$A$3004,AH!$P$13+2330),INDEX('AH History'!$A$1:$A$18046,AH!$P$7+2330))),""))</ns0:f>
        <ns0:v/>
      </ns0:c>
      <ns0:c r="B2335" s="219">
        <ns0:f>IFERROR(IF(AND(AH!$P$9&lt;&gt;1,$C2335&gt;0,$D2335&gt;0,$E2335&gt;0,$F2335&gt;0,$G2335&gt;0,$F2335&lt;=$A2335,$G2335&lt;=$A2335,$A2335-$F2335&lt;=10,$A2335-$G2335&lt;=5),$D2335*$E2335/$C2335-1,NA()),NA())</ns0:f>
        <ns0:v/>
      </ns0:c>
      <ns0:c r="C2335">
        <ns0:f>IFERROR(IF(ISNUMBER($A2335),IF(AND(AH!$P$10=1,AH!$P$12=1,$A2335=TODAY()),AH!$P$19,IF(AH!$P$10=1,INDEX('Live History'!$B$5:$B$3004,AH!$P$13+2330),INDEX('AH History'!$B$1:$B$18046,AH!$P$7+2330))),NA()),NA())</ns0:f>
        <ns0:v/>
      </ns0:c>
      <ns0:c r="D2335">
        <ns0:f>IFERROR(IF(ISNUMBER($A2335),IF(AND(AH!$P$10=1,AH!$P$12=1,$A2335=TODAY()),AH!$P$18,IF(AH!$P$10=1,INDEX('Live History'!$E$5:$E$3004,MATCH($A2335,'Live History'!$D$5:$D$3004,1)),INDEX('AH History'!$C$1:$C$18046,AH!$P$7+2330))),NA()),NA())</ns0:f>
        <ns0:v/>
      </ns0:c>
      <ns0:c r="E2335">
        <ns0:f>IFERROR(IF(ISNUMBER($A2335),IF(AND(AH!$P$10=1,AH!$P$12=1,$A2335=TODAY()),AH!$P$20,IF(AH!$P$10=1,INDEX('Live History'!$H$5:$H$3004,MATCH($A2335,'Live History'!$G$5:$G$3004,1)),INDEX('AH History'!$D$1:$D$18046,AH!$P$7+2330))),NA()),NA())</ns0:f>
        <ns0:v/>
      </ns0:c>
      <ns0:c r="F2335">
        <ns0:f>IFERROR(IF(ISNUMBER($A2335),IF(AND(AH!$P$10=1,AH!$P$12=1,$A2335=TODAY()),IF(AND(AH!$P$10=1,AH!$P$12=1,$A2335=TODAY()),TODAY(),NA()),IF(AH!$P$10=1,INDEX('Live History'!$D$5:$D$3004,MATCH($A2335,'Live History'!$D$5:$D$3004,1)),INDEX('AH History'!$E$1:$E$18046,AH!$P$7+2330))),NA()),NA())</ns0:f>
        <ns0:v/>
      </ns0:c>
      <ns0:c r="G2335">
        <ns0:f>IFERROR(IF(ISNUMBER($A2335),IF(AND(AH!$P$10=1,AH!$P$12=1,$A2335=TODAY()),IF(AND(AH!$P$10=1,AH!$P$12=1,$A2335=TODAY()),TODAY(),NA()),IF(AH!$P$10=1,INDEX('Live History'!$G$5:$G$3004,MATCH($A2335,'Live History'!$G$5:$G$3004,1)),INDEX('AH History'!$F$1:$F$18046,AH!$P$7+2330))),NA()),NA())</ns0:f>
        <ns0:v/>
      </ns0:c>
      <ns0:c r="H2335">
        <ns0:f>IFERROR(IF(AND(AH!$E$4="Bloomberg",AH!$P$10=1,ISNUMBER($A2335),$A2335&lt;=AH!$P$17),AH!$P$7-1+MATCH($A2335,INDEX('AH History'!$A$1:$A$18046,AH!$P$7):INDEX('AH History'!$A$1:$A$18046,AH!$P$7+AH!$P$8-1),0),0),0)</ns0:f>
        <ns0:v/>
      </ns0:c>
      <ns0:c r="I2335">
        <ns0:f>IF($H2335=0,0,IFERROR(IF(AND(ABS($C2335-INDEX('AH History'!$B$1:$B$18046,$H2335))&lt;=MAX(0.005,ABS(INDEX('AH History'!$B$1:$B$18046,$H2335))*0.00005),ABS($D2335-INDEX('AH History'!$C$1:$C$18046,$H2335))&lt;=MAX(0.005,ABS(INDEX('AH History'!$C$1:$C$18046,$H2335))*0.00005),ABS($E2335-INDEX('AH History'!$D$1:$D$18046,$H2335))&lt;=0.00005,$F2335=INDEX('AH History'!$E$1:$E$18046,$H2335),$G2335=INDEX('AH History'!$F$1:$F$18046,$H2335)),1,-1),-1))</ns0:f>
        <ns0:v/>
      </ns0:c>
    </ns0:row>
    <ns0:row r="2336">
      <ns0:c r="A2336" s="215">
        <ns0:f>IF(OR(AH!$P$3=0,2331+1&gt;AH!$P$11,AND(AH!$E$4&lt;&gt;"Stored",AH!$P$10&lt;&gt;1)),"",IFERROR(IF(AND(AH!$P$21=1,2331+1=AH!$P$11),TODAY(),IF(AH!$P$10=1,INDEX('Live History'!$A$5:$A$3004,AH!$P$13+2331),INDEX('AH History'!$A$1:$A$18046,AH!$P$7+2331))),""))</ns0:f>
        <ns0:v/>
      </ns0:c>
      <ns0:c r="B2336" s="219">
        <ns0:f>IFERROR(IF(AND(AH!$P$9&lt;&gt;1,$C2336&gt;0,$D2336&gt;0,$E2336&gt;0,$F2336&gt;0,$G2336&gt;0,$F2336&lt;=$A2336,$G2336&lt;=$A2336,$A2336-$F2336&lt;=10,$A2336-$G2336&lt;=5),$D2336*$E2336/$C2336-1,NA()),NA())</ns0:f>
        <ns0:v/>
      </ns0:c>
      <ns0:c r="C2336">
        <ns0:f>IFERROR(IF(ISNUMBER($A2336),IF(AND(AH!$P$10=1,AH!$P$12=1,$A2336=TODAY()),AH!$P$19,IF(AH!$P$10=1,INDEX('Live History'!$B$5:$B$3004,AH!$P$13+2331),INDEX('AH History'!$B$1:$B$18046,AH!$P$7+2331))),NA()),NA())</ns0:f>
        <ns0:v/>
      </ns0:c>
      <ns0:c r="D2336">
        <ns0:f>IFERROR(IF(ISNUMBER($A2336),IF(AND(AH!$P$10=1,AH!$P$12=1,$A2336=TODAY()),AH!$P$18,IF(AH!$P$10=1,INDEX('Live History'!$E$5:$E$3004,MATCH($A2336,'Live History'!$D$5:$D$3004,1)),INDEX('AH History'!$C$1:$C$18046,AH!$P$7+2331))),NA()),NA())</ns0:f>
        <ns0:v/>
      </ns0:c>
      <ns0:c r="E2336">
        <ns0:f>IFERROR(IF(ISNUMBER($A2336),IF(AND(AH!$P$10=1,AH!$P$12=1,$A2336=TODAY()),AH!$P$20,IF(AH!$P$10=1,INDEX('Live History'!$H$5:$H$3004,MATCH($A2336,'Live History'!$G$5:$G$3004,1)),INDEX('AH History'!$D$1:$D$18046,AH!$P$7+2331))),NA()),NA())</ns0:f>
        <ns0:v/>
      </ns0:c>
      <ns0:c r="F2336">
        <ns0:f>IFERROR(IF(ISNUMBER($A2336),IF(AND(AH!$P$10=1,AH!$P$12=1,$A2336=TODAY()),IF(AND(AH!$P$10=1,AH!$P$12=1,$A2336=TODAY()),TODAY(),NA()),IF(AH!$P$10=1,INDEX('Live History'!$D$5:$D$3004,MATCH($A2336,'Live History'!$D$5:$D$3004,1)),INDEX('AH History'!$E$1:$E$18046,AH!$P$7+2331))),NA()),NA())</ns0:f>
        <ns0:v/>
      </ns0:c>
      <ns0:c r="G2336">
        <ns0:f>IFERROR(IF(ISNUMBER($A2336),IF(AND(AH!$P$10=1,AH!$P$12=1,$A2336=TODAY()),IF(AND(AH!$P$10=1,AH!$P$12=1,$A2336=TODAY()),TODAY(),NA()),IF(AH!$P$10=1,INDEX('Live History'!$G$5:$G$3004,MATCH($A2336,'Live History'!$G$5:$G$3004,1)),INDEX('AH History'!$F$1:$F$18046,AH!$P$7+2331))),NA()),NA())</ns0:f>
        <ns0:v/>
      </ns0:c>
      <ns0:c r="H2336">
        <ns0:f>IFERROR(IF(AND(AH!$E$4="Bloomberg",AH!$P$10=1,ISNUMBER($A2336),$A2336&lt;=AH!$P$17),AH!$P$7-1+MATCH($A2336,INDEX('AH History'!$A$1:$A$18046,AH!$P$7):INDEX('AH History'!$A$1:$A$18046,AH!$P$7+AH!$P$8-1),0),0),0)</ns0:f>
        <ns0:v/>
      </ns0:c>
      <ns0:c r="I2336">
        <ns0:f>IF($H2336=0,0,IFERROR(IF(AND(ABS($C2336-INDEX('AH History'!$B$1:$B$18046,$H2336))&lt;=MAX(0.005,ABS(INDEX('AH History'!$B$1:$B$18046,$H2336))*0.00005),ABS($D2336-INDEX('AH History'!$C$1:$C$18046,$H2336))&lt;=MAX(0.005,ABS(INDEX('AH History'!$C$1:$C$18046,$H2336))*0.00005),ABS($E2336-INDEX('AH History'!$D$1:$D$18046,$H2336))&lt;=0.00005,$F2336=INDEX('AH History'!$E$1:$E$18046,$H2336),$G2336=INDEX('AH History'!$F$1:$F$18046,$H2336)),1,-1),-1))</ns0:f>
        <ns0:v/>
      </ns0:c>
    </ns0:row>
    <ns0:row r="2337">
      <ns0:c r="A2337" s="215">
        <ns0:f>IF(OR(AH!$P$3=0,2332+1&gt;AH!$P$11,AND(AH!$E$4&lt;&gt;"Stored",AH!$P$10&lt;&gt;1)),"",IFERROR(IF(AND(AH!$P$21=1,2332+1=AH!$P$11),TODAY(),IF(AH!$P$10=1,INDEX('Live History'!$A$5:$A$3004,AH!$P$13+2332),INDEX('AH History'!$A$1:$A$18046,AH!$P$7+2332))),""))</ns0:f>
        <ns0:v/>
      </ns0:c>
      <ns0:c r="B2337" s="219">
        <ns0:f>IFERROR(IF(AND(AH!$P$9&lt;&gt;1,$C2337&gt;0,$D2337&gt;0,$E2337&gt;0,$F2337&gt;0,$G2337&gt;0,$F2337&lt;=$A2337,$G2337&lt;=$A2337,$A2337-$F2337&lt;=10,$A2337-$G2337&lt;=5),$D2337*$E2337/$C2337-1,NA()),NA())</ns0:f>
        <ns0:v/>
      </ns0:c>
      <ns0:c r="C2337">
        <ns0:f>IFERROR(IF(ISNUMBER($A2337),IF(AND(AH!$P$10=1,AH!$P$12=1,$A2337=TODAY()),AH!$P$19,IF(AH!$P$10=1,INDEX('Live History'!$B$5:$B$3004,AH!$P$13+2332),INDEX('AH History'!$B$1:$B$18046,AH!$P$7+2332))),NA()),NA())</ns0:f>
        <ns0:v/>
      </ns0:c>
      <ns0:c r="D2337">
        <ns0:f>IFERROR(IF(ISNUMBER($A2337),IF(AND(AH!$P$10=1,AH!$P$12=1,$A2337=TODAY()),AH!$P$18,IF(AH!$P$10=1,INDEX('Live History'!$E$5:$E$3004,MATCH($A2337,'Live History'!$D$5:$D$3004,1)),INDEX('AH History'!$C$1:$C$18046,AH!$P$7+2332))),NA()),NA())</ns0:f>
        <ns0:v/>
      </ns0:c>
      <ns0:c r="E2337">
        <ns0:f>IFERROR(IF(ISNUMBER($A2337),IF(AND(AH!$P$10=1,AH!$P$12=1,$A2337=TODAY()),AH!$P$20,IF(AH!$P$10=1,INDEX('Live History'!$H$5:$H$3004,MATCH($A2337,'Live History'!$G$5:$G$3004,1)),INDEX('AH History'!$D$1:$D$18046,AH!$P$7+2332))),NA()),NA())</ns0:f>
        <ns0:v/>
      </ns0:c>
      <ns0:c r="F2337">
        <ns0:f>IFERROR(IF(ISNUMBER($A2337),IF(AND(AH!$P$10=1,AH!$P$12=1,$A2337=TODAY()),IF(AND(AH!$P$10=1,AH!$P$12=1,$A2337=TODAY()),TODAY(),NA()),IF(AH!$P$10=1,INDEX('Live History'!$D$5:$D$3004,MATCH($A2337,'Live History'!$D$5:$D$3004,1)),INDEX('AH History'!$E$1:$E$18046,AH!$P$7+2332))),NA()),NA())</ns0:f>
        <ns0:v/>
      </ns0:c>
      <ns0:c r="G2337">
        <ns0:f>IFERROR(IF(ISNUMBER($A2337),IF(AND(AH!$P$10=1,AH!$P$12=1,$A2337=TODAY()),IF(AND(AH!$P$10=1,AH!$P$12=1,$A2337=TODAY()),TODAY(),NA()),IF(AH!$P$10=1,INDEX('Live History'!$G$5:$G$3004,MATCH($A2337,'Live History'!$G$5:$G$3004,1)),INDEX('AH History'!$F$1:$F$18046,AH!$P$7+2332))),NA()),NA())</ns0:f>
        <ns0:v/>
      </ns0:c>
      <ns0:c r="H2337">
        <ns0:f>IFERROR(IF(AND(AH!$E$4="Bloomberg",AH!$P$10=1,ISNUMBER($A2337),$A2337&lt;=AH!$P$17),AH!$P$7-1+MATCH($A2337,INDEX('AH History'!$A$1:$A$18046,AH!$P$7):INDEX('AH History'!$A$1:$A$18046,AH!$P$7+AH!$P$8-1),0),0),0)</ns0:f>
        <ns0:v/>
      </ns0:c>
      <ns0:c r="I2337">
        <ns0:f>IF($H2337=0,0,IFERROR(IF(AND(ABS($C2337-INDEX('AH History'!$B$1:$B$18046,$H2337))&lt;=MAX(0.005,ABS(INDEX('AH History'!$B$1:$B$18046,$H2337))*0.00005),ABS($D2337-INDEX('AH History'!$C$1:$C$18046,$H2337))&lt;=MAX(0.005,ABS(INDEX('AH History'!$C$1:$C$18046,$H2337))*0.00005),ABS($E2337-INDEX('AH History'!$D$1:$D$18046,$H2337))&lt;=0.00005,$F2337=INDEX('AH History'!$E$1:$E$18046,$H2337),$G2337=INDEX('AH History'!$F$1:$F$18046,$H2337)),1,-1),-1))</ns0:f>
        <ns0:v/>
      </ns0:c>
    </ns0:row>
    <ns0:row r="2338">
      <ns0:c r="A2338" s="215">
        <ns0:f>IF(OR(AH!$P$3=0,2333+1&gt;AH!$P$11,AND(AH!$E$4&lt;&gt;"Stored",AH!$P$10&lt;&gt;1)),"",IFERROR(IF(AND(AH!$P$21=1,2333+1=AH!$P$11),TODAY(),IF(AH!$P$10=1,INDEX('Live History'!$A$5:$A$3004,AH!$P$13+2333),INDEX('AH History'!$A$1:$A$18046,AH!$P$7+2333))),""))</ns0:f>
        <ns0:v/>
      </ns0:c>
      <ns0:c r="B2338" s="219">
        <ns0:f>IFERROR(IF(AND(AH!$P$9&lt;&gt;1,$C2338&gt;0,$D2338&gt;0,$E2338&gt;0,$F2338&gt;0,$G2338&gt;0,$F2338&lt;=$A2338,$G2338&lt;=$A2338,$A2338-$F2338&lt;=10,$A2338-$G2338&lt;=5),$D2338*$E2338/$C2338-1,NA()),NA())</ns0:f>
        <ns0:v/>
      </ns0:c>
      <ns0:c r="C2338">
        <ns0:f>IFERROR(IF(ISNUMBER($A2338),IF(AND(AH!$P$10=1,AH!$P$12=1,$A2338=TODAY()),AH!$P$19,IF(AH!$P$10=1,INDEX('Live History'!$B$5:$B$3004,AH!$P$13+2333),INDEX('AH History'!$B$1:$B$18046,AH!$P$7+2333))),NA()),NA())</ns0:f>
        <ns0:v/>
      </ns0:c>
      <ns0:c r="D2338">
        <ns0:f>IFERROR(IF(ISNUMBER($A2338),IF(AND(AH!$P$10=1,AH!$P$12=1,$A2338=TODAY()),AH!$P$18,IF(AH!$P$10=1,INDEX('Live History'!$E$5:$E$3004,MATCH($A2338,'Live History'!$D$5:$D$3004,1)),INDEX('AH History'!$C$1:$C$18046,AH!$P$7+2333))),NA()),NA())</ns0:f>
        <ns0:v/>
      </ns0:c>
      <ns0:c r="E2338">
        <ns0:f>IFERROR(IF(ISNUMBER($A2338),IF(AND(AH!$P$10=1,AH!$P$12=1,$A2338=TODAY()),AH!$P$20,IF(AH!$P$10=1,INDEX('Live History'!$H$5:$H$3004,MATCH($A2338,'Live History'!$G$5:$G$3004,1)),INDEX('AH History'!$D$1:$D$18046,AH!$P$7+2333))),NA()),NA())</ns0:f>
        <ns0:v/>
      </ns0:c>
      <ns0:c r="F2338">
        <ns0:f>IFERROR(IF(ISNUMBER($A2338),IF(AND(AH!$P$10=1,AH!$P$12=1,$A2338=TODAY()),IF(AND(AH!$P$10=1,AH!$P$12=1,$A2338=TODAY()),TODAY(),NA()),IF(AH!$P$10=1,INDEX('Live History'!$D$5:$D$3004,MATCH($A2338,'Live History'!$D$5:$D$3004,1)),INDEX('AH History'!$E$1:$E$18046,AH!$P$7+2333))),NA()),NA())</ns0:f>
        <ns0:v/>
      </ns0:c>
      <ns0:c r="G2338">
        <ns0:f>IFERROR(IF(ISNUMBER($A2338),IF(AND(AH!$P$10=1,AH!$P$12=1,$A2338=TODAY()),IF(AND(AH!$P$10=1,AH!$P$12=1,$A2338=TODAY()),TODAY(),NA()),IF(AH!$P$10=1,INDEX('Live History'!$G$5:$G$3004,MATCH($A2338,'Live History'!$G$5:$G$3004,1)),INDEX('AH History'!$F$1:$F$18046,AH!$P$7+2333))),NA()),NA())</ns0:f>
        <ns0:v/>
      </ns0:c>
      <ns0:c r="H2338">
        <ns0:f>IFERROR(IF(AND(AH!$E$4="Bloomberg",AH!$P$10=1,ISNUMBER($A2338),$A2338&lt;=AH!$P$17),AH!$P$7-1+MATCH($A2338,INDEX('AH History'!$A$1:$A$18046,AH!$P$7):INDEX('AH History'!$A$1:$A$18046,AH!$P$7+AH!$P$8-1),0),0),0)</ns0:f>
        <ns0:v/>
      </ns0:c>
      <ns0:c r="I2338">
        <ns0:f>IF($H2338=0,0,IFERROR(IF(AND(ABS($C2338-INDEX('AH History'!$B$1:$B$18046,$H2338))&lt;=MAX(0.005,ABS(INDEX('AH History'!$B$1:$B$18046,$H2338))*0.00005),ABS($D2338-INDEX('AH History'!$C$1:$C$18046,$H2338))&lt;=MAX(0.005,ABS(INDEX('AH History'!$C$1:$C$18046,$H2338))*0.00005),ABS($E2338-INDEX('AH History'!$D$1:$D$18046,$H2338))&lt;=0.00005,$F2338=INDEX('AH History'!$E$1:$E$18046,$H2338),$G2338=INDEX('AH History'!$F$1:$F$18046,$H2338)),1,-1),-1))</ns0:f>
        <ns0:v/>
      </ns0:c>
    </ns0:row>
    <ns0:row r="2339">
      <ns0:c r="A2339" s="215">
        <ns0:f>IF(OR(AH!$P$3=0,2334+1&gt;AH!$P$11,AND(AH!$E$4&lt;&gt;"Stored",AH!$P$10&lt;&gt;1)),"",IFERROR(IF(AND(AH!$P$21=1,2334+1=AH!$P$11),TODAY(),IF(AH!$P$10=1,INDEX('Live History'!$A$5:$A$3004,AH!$P$13+2334),INDEX('AH History'!$A$1:$A$18046,AH!$P$7+2334))),""))</ns0:f>
        <ns0:v/>
      </ns0:c>
      <ns0:c r="B2339" s="219">
        <ns0:f>IFERROR(IF(AND(AH!$P$9&lt;&gt;1,$C2339&gt;0,$D2339&gt;0,$E2339&gt;0,$F2339&gt;0,$G2339&gt;0,$F2339&lt;=$A2339,$G2339&lt;=$A2339,$A2339-$F2339&lt;=10,$A2339-$G2339&lt;=5),$D2339*$E2339/$C2339-1,NA()),NA())</ns0:f>
        <ns0:v/>
      </ns0:c>
      <ns0:c r="C2339">
        <ns0:f>IFERROR(IF(ISNUMBER($A2339),IF(AND(AH!$P$10=1,AH!$P$12=1,$A2339=TODAY()),AH!$P$19,IF(AH!$P$10=1,INDEX('Live History'!$B$5:$B$3004,AH!$P$13+2334),INDEX('AH History'!$B$1:$B$18046,AH!$P$7+2334))),NA()),NA())</ns0:f>
        <ns0:v/>
      </ns0:c>
      <ns0:c r="D2339">
        <ns0:f>IFERROR(IF(ISNUMBER($A2339),IF(AND(AH!$P$10=1,AH!$P$12=1,$A2339=TODAY()),AH!$P$18,IF(AH!$P$10=1,INDEX('Live History'!$E$5:$E$3004,MATCH($A2339,'Live History'!$D$5:$D$3004,1)),INDEX('AH History'!$C$1:$C$18046,AH!$P$7+2334))),NA()),NA())</ns0:f>
        <ns0:v/>
      </ns0:c>
      <ns0:c r="E2339">
        <ns0:f>IFERROR(IF(ISNUMBER($A2339),IF(AND(AH!$P$10=1,AH!$P$12=1,$A2339=TODAY()),AH!$P$20,IF(AH!$P$10=1,INDEX('Live History'!$H$5:$H$3004,MATCH($A2339,'Live History'!$G$5:$G$3004,1)),INDEX('AH History'!$D$1:$D$18046,AH!$P$7+2334))),NA()),NA())</ns0:f>
        <ns0:v/>
      </ns0:c>
      <ns0:c r="F2339">
        <ns0:f>IFERROR(IF(ISNUMBER($A2339),IF(AND(AH!$P$10=1,AH!$P$12=1,$A2339=TODAY()),IF(AND(AH!$P$10=1,AH!$P$12=1,$A2339=TODAY()),TODAY(),NA()),IF(AH!$P$10=1,INDEX('Live History'!$D$5:$D$3004,MATCH($A2339,'Live History'!$D$5:$D$3004,1)),INDEX('AH History'!$E$1:$E$18046,AH!$P$7+2334))),NA()),NA())</ns0:f>
        <ns0:v/>
      </ns0:c>
      <ns0:c r="G2339">
        <ns0:f>IFERROR(IF(ISNUMBER($A2339),IF(AND(AH!$P$10=1,AH!$P$12=1,$A2339=TODAY()),IF(AND(AH!$P$10=1,AH!$P$12=1,$A2339=TODAY()),TODAY(),NA()),IF(AH!$P$10=1,INDEX('Live History'!$G$5:$G$3004,MATCH($A2339,'Live History'!$G$5:$G$3004,1)),INDEX('AH History'!$F$1:$F$18046,AH!$P$7+2334))),NA()),NA())</ns0:f>
        <ns0:v/>
      </ns0:c>
      <ns0:c r="H2339">
        <ns0:f>IFERROR(IF(AND(AH!$E$4="Bloomberg",AH!$P$10=1,ISNUMBER($A2339),$A2339&lt;=AH!$P$17),AH!$P$7-1+MATCH($A2339,INDEX('AH History'!$A$1:$A$18046,AH!$P$7):INDEX('AH History'!$A$1:$A$18046,AH!$P$7+AH!$P$8-1),0),0),0)</ns0:f>
        <ns0:v/>
      </ns0:c>
      <ns0:c r="I2339">
        <ns0:f>IF($H2339=0,0,IFERROR(IF(AND(ABS($C2339-INDEX('AH History'!$B$1:$B$18046,$H2339))&lt;=MAX(0.005,ABS(INDEX('AH History'!$B$1:$B$18046,$H2339))*0.00005),ABS($D2339-INDEX('AH History'!$C$1:$C$18046,$H2339))&lt;=MAX(0.005,ABS(INDEX('AH History'!$C$1:$C$18046,$H2339))*0.00005),ABS($E2339-INDEX('AH History'!$D$1:$D$18046,$H2339))&lt;=0.00005,$F2339=INDEX('AH History'!$E$1:$E$18046,$H2339),$G2339=INDEX('AH History'!$F$1:$F$18046,$H2339)),1,-1),-1))</ns0:f>
        <ns0:v/>
      </ns0:c>
    </ns0:row>
    <ns0:row r="2340">
      <ns0:c r="A2340" s="215">
        <ns0:f>IF(OR(AH!$P$3=0,2335+1&gt;AH!$P$11,AND(AH!$E$4&lt;&gt;"Stored",AH!$P$10&lt;&gt;1)),"",IFERROR(IF(AND(AH!$P$21=1,2335+1=AH!$P$11),TODAY(),IF(AH!$P$10=1,INDEX('Live History'!$A$5:$A$3004,AH!$P$13+2335),INDEX('AH History'!$A$1:$A$18046,AH!$P$7+2335))),""))</ns0:f>
        <ns0:v/>
      </ns0:c>
      <ns0:c r="B2340" s="219">
        <ns0:f>IFERROR(IF(AND(AH!$P$9&lt;&gt;1,$C2340&gt;0,$D2340&gt;0,$E2340&gt;0,$F2340&gt;0,$G2340&gt;0,$F2340&lt;=$A2340,$G2340&lt;=$A2340,$A2340-$F2340&lt;=10,$A2340-$G2340&lt;=5),$D2340*$E2340/$C2340-1,NA()),NA())</ns0:f>
        <ns0:v/>
      </ns0:c>
      <ns0:c r="C2340">
        <ns0:f>IFERROR(IF(ISNUMBER($A2340),IF(AND(AH!$P$10=1,AH!$P$12=1,$A2340=TODAY()),AH!$P$19,IF(AH!$P$10=1,INDEX('Live History'!$B$5:$B$3004,AH!$P$13+2335),INDEX('AH History'!$B$1:$B$18046,AH!$P$7+2335))),NA()),NA())</ns0:f>
        <ns0:v/>
      </ns0:c>
      <ns0:c r="D2340">
        <ns0:f>IFERROR(IF(ISNUMBER($A2340),IF(AND(AH!$P$10=1,AH!$P$12=1,$A2340=TODAY()),AH!$P$18,IF(AH!$P$10=1,INDEX('Live History'!$E$5:$E$3004,MATCH($A2340,'Live History'!$D$5:$D$3004,1)),INDEX('AH History'!$C$1:$C$18046,AH!$P$7+2335))),NA()),NA())</ns0:f>
        <ns0:v/>
      </ns0:c>
      <ns0:c r="E2340">
        <ns0:f>IFERROR(IF(ISNUMBER($A2340),IF(AND(AH!$P$10=1,AH!$P$12=1,$A2340=TODAY()),AH!$P$20,IF(AH!$P$10=1,INDEX('Live History'!$H$5:$H$3004,MATCH($A2340,'Live History'!$G$5:$G$3004,1)),INDEX('AH History'!$D$1:$D$18046,AH!$P$7+2335))),NA()),NA())</ns0:f>
        <ns0:v/>
      </ns0:c>
      <ns0:c r="F2340">
        <ns0:f>IFERROR(IF(ISNUMBER($A2340),IF(AND(AH!$P$10=1,AH!$P$12=1,$A2340=TODAY()),IF(AND(AH!$P$10=1,AH!$P$12=1,$A2340=TODAY()),TODAY(),NA()),IF(AH!$P$10=1,INDEX('Live History'!$D$5:$D$3004,MATCH($A2340,'Live History'!$D$5:$D$3004,1)),INDEX('AH History'!$E$1:$E$18046,AH!$P$7+2335))),NA()),NA())</ns0:f>
        <ns0:v/>
      </ns0:c>
      <ns0:c r="G2340">
        <ns0:f>IFERROR(IF(ISNUMBER($A2340),IF(AND(AH!$P$10=1,AH!$P$12=1,$A2340=TODAY()),IF(AND(AH!$P$10=1,AH!$P$12=1,$A2340=TODAY()),TODAY(),NA()),IF(AH!$P$10=1,INDEX('Live History'!$G$5:$G$3004,MATCH($A2340,'Live History'!$G$5:$G$3004,1)),INDEX('AH History'!$F$1:$F$18046,AH!$P$7+2335))),NA()),NA())</ns0:f>
        <ns0:v/>
      </ns0:c>
      <ns0:c r="H2340">
        <ns0:f>IFERROR(IF(AND(AH!$E$4="Bloomberg",AH!$P$10=1,ISNUMBER($A2340),$A2340&lt;=AH!$P$17),AH!$P$7-1+MATCH($A2340,INDEX('AH History'!$A$1:$A$18046,AH!$P$7):INDEX('AH History'!$A$1:$A$18046,AH!$P$7+AH!$P$8-1),0),0),0)</ns0:f>
        <ns0:v/>
      </ns0:c>
      <ns0:c r="I2340">
        <ns0:f>IF($H2340=0,0,IFERROR(IF(AND(ABS($C2340-INDEX('AH History'!$B$1:$B$18046,$H2340))&lt;=MAX(0.005,ABS(INDEX('AH History'!$B$1:$B$18046,$H2340))*0.00005),ABS($D2340-INDEX('AH History'!$C$1:$C$18046,$H2340))&lt;=MAX(0.005,ABS(INDEX('AH History'!$C$1:$C$18046,$H2340))*0.00005),ABS($E2340-INDEX('AH History'!$D$1:$D$18046,$H2340))&lt;=0.00005,$F2340=INDEX('AH History'!$E$1:$E$18046,$H2340),$G2340=INDEX('AH History'!$F$1:$F$18046,$H2340)),1,-1),-1))</ns0:f>
        <ns0:v/>
      </ns0:c>
    </ns0:row>
    <ns0:row r="2341">
      <ns0:c r="A2341" s="215">
        <ns0:f>IF(OR(AH!$P$3=0,2336+1&gt;AH!$P$11,AND(AH!$E$4&lt;&gt;"Stored",AH!$P$10&lt;&gt;1)),"",IFERROR(IF(AND(AH!$P$21=1,2336+1=AH!$P$11),TODAY(),IF(AH!$P$10=1,INDEX('Live History'!$A$5:$A$3004,AH!$P$13+2336),INDEX('AH History'!$A$1:$A$18046,AH!$P$7+2336))),""))</ns0:f>
        <ns0:v/>
      </ns0:c>
      <ns0:c r="B2341" s="219">
        <ns0:f>IFERROR(IF(AND(AH!$P$9&lt;&gt;1,$C2341&gt;0,$D2341&gt;0,$E2341&gt;0,$F2341&gt;0,$G2341&gt;0,$F2341&lt;=$A2341,$G2341&lt;=$A2341,$A2341-$F2341&lt;=10,$A2341-$G2341&lt;=5),$D2341*$E2341/$C2341-1,NA()),NA())</ns0:f>
        <ns0:v/>
      </ns0:c>
      <ns0:c r="C2341">
        <ns0:f>IFERROR(IF(ISNUMBER($A2341),IF(AND(AH!$P$10=1,AH!$P$12=1,$A2341=TODAY()),AH!$P$19,IF(AH!$P$10=1,INDEX('Live History'!$B$5:$B$3004,AH!$P$13+2336),INDEX('AH History'!$B$1:$B$18046,AH!$P$7+2336))),NA()),NA())</ns0:f>
        <ns0:v/>
      </ns0:c>
      <ns0:c r="D2341">
        <ns0:f>IFERROR(IF(ISNUMBER($A2341),IF(AND(AH!$P$10=1,AH!$P$12=1,$A2341=TODAY()),AH!$P$18,IF(AH!$P$10=1,INDEX('Live History'!$E$5:$E$3004,MATCH($A2341,'Live History'!$D$5:$D$3004,1)),INDEX('AH History'!$C$1:$C$18046,AH!$P$7+2336))),NA()),NA())</ns0:f>
        <ns0:v/>
      </ns0:c>
      <ns0:c r="E2341">
        <ns0:f>IFERROR(IF(ISNUMBER($A2341),IF(AND(AH!$P$10=1,AH!$P$12=1,$A2341=TODAY()),AH!$P$20,IF(AH!$P$10=1,INDEX('Live History'!$H$5:$H$3004,MATCH($A2341,'Live History'!$G$5:$G$3004,1)),INDEX('AH History'!$D$1:$D$18046,AH!$P$7+2336))),NA()),NA())</ns0:f>
        <ns0:v/>
      </ns0:c>
      <ns0:c r="F2341">
        <ns0:f>IFERROR(IF(ISNUMBER($A2341),IF(AND(AH!$P$10=1,AH!$P$12=1,$A2341=TODAY()),IF(AND(AH!$P$10=1,AH!$P$12=1,$A2341=TODAY()),TODAY(),NA()),IF(AH!$P$10=1,INDEX('Live History'!$D$5:$D$3004,MATCH($A2341,'Live History'!$D$5:$D$3004,1)),INDEX('AH History'!$E$1:$E$18046,AH!$P$7+2336))),NA()),NA())</ns0:f>
        <ns0:v/>
      </ns0:c>
      <ns0:c r="G2341">
        <ns0:f>IFERROR(IF(ISNUMBER($A2341),IF(AND(AH!$P$10=1,AH!$P$12=1,$A2341=TODAY()),IF(AND(AH!$P$10=1,AH!$P$12=1,$A2341=TODAY()),TODAY(),NA()),IF(AH!$P$10=1,INDEX('Live History'!$G$5:$G$3004,MATCH($A2341,'Live History'!$G$5:$G$3004,1)),INDEX('AH History'!$F$1:$F$18046,AH!$P$7+2336))),NA()),NA())</ns0:f>
        <ns0:v/>
      </ns0:c>
      <ns0:c r="H2341">
        <ns0:f>IFERROR(IF(AND(AH!$E$4="Bloomberg",AH!$P$10=1,ISNUMBER($A2341),$A2341&lt;=AH!$P$17),AH!$P$7-1+MATCH($A2341,INDEX('AH History'!$A$1:$A$18046,AH!$P$7):INDEX('AH History'!$A$1:$A$18046,AH!$P$7+AH!$P$8-1),0),0),0)</ns0:f>
        <ns0:v/>
      </ns0:c>
      <ns0:c r="I2341">
        <ns0:f>IF($H2341=0,0,IFERROR(IF(AND(ABS($C2341-INDEX('AH History'!$B$1:$B$18046,$H2341))&lt;=MAX(0.005,ABS(INDEX('AH History'!$B$1:$B$18046,$H2341))*0.00005),ABS($D2341-INDEX('AH History'!$C$1:$C$18046,$H2341))&lt;=MAX(0.005,ABS(INDEX('AH History'!$C$1:$C$18046,$H2341))*0.00005),ABS($E2341-INDEX('AH History'!$D$1:$D$18046,$H2341))&lt;=0.00005,$F2341=INDEX('AH History'!$E$1:$E$18046,$H2341),$G2341=INDEX('AH History'!$F$1:$F$18046,$H2341)),1,-1),-1))</ns0:f>
        <ns0:v/>
      </ns0:c>
    </ns0:row>
    <ns0:row r="2342">
      <ns0:c r="A2342" s="215">
        <ns0:f>IF(OR(AH!$P$3=0,2337+1&gt;AH!$P$11,AND(AH!$E$4&lt;&gt;"Stored",AH!$P$10&lt;&gt;1)),"",IFERROR(IF(AND(AH!$P$21=1,2337+1=AH!$P$11),TODAY(),IF(AH!$P$10=1,INDEX('Live History'!$A$5:$A$3004,AH!$P$13+2337),INDEX('AH History'!$A$1:$A$18046,AH!$P$7+2337))),""))</ns0:f>
        <ns0:v/>
      </ns0:c>
      <ns0:c r="B2342" s="219">
        <ns0:f>IFERROR(IF(AND(AH!$P$9&lt;&gt;1,$C2342&gt;0,$D2342&gt;0,$E2342&gt;0,$F2342&gt;0,$G2342&gt;0,$F2342&lt;=$A2342,$G2342&lt;=$A2342,$A2342-$F2342&lt;=10,$A2342-$G2342&lt;=5),$D2342*$E2342/$C2342-1,NA()),NA())</ns0:f>
        <ns0:v/>
      </ns0:c>
      <ns0:c r="C2342">
        <ns0:f>IFERROR(IF(ISNUMBER($A2342),IF(AND(AH!$P$10=1,AH!$P$12=1,$A2342=TODAY()),AH!$P$19,IF(AH!$P$10=1,INDEX('Live History'!$B$5:$B$3004,AH!$P$13+2337),INDEX('AH History'!$B$1:$B$18046,AH!$P$7+2337))),NA()),NA())</ns0:f>
        <ns0:v/>
      </ns0:c>
      <ns0:c r="D2342">
        <ns0:f>IFERROR(IF(ISNUMBER($A2342),IF(AND(AH!$P$10=1,AH!$P$12=1,$A2342=TODAY()),AH!$P$18,IF(AH!$P$10=1,INDEX('Live History'!$E$5:$E$3004,MATCH($A2342,'Live History'!$D$5:$D$3004,1)),INDEX('AH History'!$C$1:$C$18046,AH!$P$7+2337))),NA()),NA())</ns0:f>
        <ns0:v/>
      </ns0:c>
      <ns0:c r="E2342">
        <ns0:f>IFERROR(IF(ISNUMBER($A2342),IF(AND(AH!$P$10=1,AH!$P$12=1,$A2342=TODAY()),AH!$P$20,IF(AH!$P$10=1,INDEX('Live History'!$H$5:$H$3004,MATCH($A2342,'Live History'!$G$5:$G$3004,1)),INDEX('AH History'!$D$1:$D$18046,AH!$P$7+2337))),NA()),NA())</ns0:f>
        <ns0:v/>
      </ns0:c>
      <ns0:c r="F2342">
        <ns0:f>IFERROR(IF(ISNUMBER($A2342),IF(AND(AH!$P$10=1,AH!$P$12=1,$A2342=TODAY()),IF(AND(AH!$P$10=1,AH!$P$12=1,$A2342=TODAY()),TODAY(),NA()),IF(AH!$P$10=1,INDEX('Live History'!$D$5:$D$3004,MATCH($A2342,'Live History'!$D$5:$D$3004,1)),INDEX('AH History'!$E$1:$E$18046,AH!$P$7+2337))),NA()),NA())</ns0:f>
        <ns0:v/>
      </ns0:c>
      <ns0:c r="G2342">
        <ns0:f>IFERROR(IF(ISNUMBER($A2342),IF(AND(AH!$P$10=1,AH!$P$12=1,$A2342=TODAY()),IF(AND(AH!$P$10=1,AH!$P$12=1,$A2342=TODAY()),TODAY(),NA()),IF(AH!$P$10=1,INDEX('Live History'!$G$5:$G$3004,MATCH($A2342,'Live History'!$G$5:$G$3004,1)),INDEX('AH History'!$F$1:$F$18046,AH!$P$7+2337))),NA()),NA())</ns0:f>
        <ns0:v/>
      </ns0:c>
      <ns0:c r="H2342">
        <ns0:f>IFERROR(IF(AND(AH!$E$4="Bloomberg",AH!$P$10=1,ISNUMBER($A2342),$A2342&lt;=AH!$P$17),AH!$P$7-1+MATCH($A2342,INDEX('AH History'!$A$1:$A$18046,AH!$P$7):INDEX('AH History'!$A$1:$A$18046,AH!$P$7+AH!$P$8-1),0),0),0)</ns0:f>
        <ns0:v/>
      </ns0:c>
      <ns0:c r="I2342">
        <ns0:f>IF($H2342=0,0,IFERROR(IF(AND(ABS($C2342-INDEX('AH History'!$B$1:$B$18046,$H2342))&lt;=MAX(0.005,ABS(INDEX('AH History'!$B$1:$B$18046,$H2342))*0.00005),ABS($D2342-INDEX('AH History'!$C$1:$C$18046,$H2342))&lt;=MAX(0.005,ABS(INDEX('AH History'!$C$1:$C$18046,$H2342))*0.00005),ABS($E2342-INDEX('AH History'!$D$1:$D$18046,$H2342))&lt;=0.00005,$F2342=INDEX('AH History'!$E$1:$E$18046,$H2342),$G2342=INDEX('AH History'!$F$1:$F$18046,$H2342)),1,-1),-1))</ns0:f>
        <ns0:v/>
      </ns0:c>
    </ns0:row>
    <ns0:row r="2343">
      <ns0:c r="A2343" s="215">
        <ns0:f>IF(OR(AH!$P$3=0,2338+1&gt;AH!$P$11,AND(AH!$E$4&lt;&gt;"Stored",AH!$P$10&lt;&gt;1)),"",IFERROR(IF(AND(AH!$P$21=1,2338+1=AH!$P$11),TODAY(),IF(AH!$P$10=1,INDEX('Live History'!$A$5:$A$3004,AH!$P$13+2338),INDEX('AH History'!$A$1:$A$18046,AH!$P$7+2338))),""))</ns0:f>
        <ns0:v/>
      </ns0:c>
      <ns0:c r="B2343" s="219">
        <ns0:f>IFERROR(IF(AND(AH!$P$9&lt;&gt;1,$C2343&gt;0,$D2343&gt;0,$E2343&gt;0,$F2343&gt;0,$G2343&gt;0,$F2343&lt;=$A2343,$G2343&lt;=$A2343,$A2343-$F2343&lt;=10,$A2343-$G2343&lt;=5),$D2343*$E2343/$C2343-1,NA()),NA())</ns0:f>
        <ns0:v/>
      </ns0:c>
      <ns0:c r="C2343">
        <ns0:f>IFERROR(IF(ISNUMBER($A2343),IF(AND(AH!$P$10=1,AH!$P$12=1,$A2343=TODAY()),AH!$P$19,IF(AH!$P$10=1,INDEX('Live History'!$B$5:$B$3004,AH!$P$13+2338),INDEX('AH History'!$B$1:$B$18046,AH!$P$7+2338))),NA()),NA())</ns0:f>
        <ns0:v/>
      </ns0:c>
      <ns0:c r="D2343">
        <ns0:f>IFERROR(IF(ISNUMBER($A2343),IF(AND(AH!$P$10=1,AH!$P$12=1,$A2343=TODAY()),AH!$P$18,IF(AH!$P$10=1,INDEX('Live History'!$E$5:$E$3004,MATCH($A2343,'Live History'!$D$5:$D$3004,1)),INDEX('AH History'!$C$1:$C$18046,AH!$P$7+2338))),NA()),NA())</ns0:f>
        <ns0:v/>
      </ns0:c>
      <ns0:c r="E2343">
        <ns0:f>IFERROR(IF(ISNUMBER($A2343),IF(AND(AH!$P$10=1,AH!$P$12=1,$A2343=TODAY()),AH!$P$20,IF(AH!$P$10=1,INDEX('Live History'!$H$5:$H$3004,MATCH($A2343,'Live History'!$G$5:$G$3004,1)),INDEX('AH History'!$D$1:$D$18046,AH!$P$7+2338))),NA()),NA())</ns0:f>
        <ns0:v/>
      </ns0:c>
      <ns0:c r="F2343">
        <ns0:f>IFERROR(IF(ISNUMBER($A2343),IF(AND(AH!$P$10=1,AH!$P$12=1,$A2343=TODAY()),IF(AND(AH!$P$10=1,AH!$P$12=1,$A2343=TODAY()),TODAY(),NA()),IF(AH!$P$10=1,INDEX('Live History'!$D$5:$D$3004,MATCH($A2343,'Live History'!$D$5:$D$3004,1)),INDEX('AH History'!$E$1:$E$18046,AH!$P$7+2338))),NA()),NA())</ns0:f>
        <ns0:v/>
      </ns0:c>
      <ns0:c r="G2343">
        <ns0:f>IFERROR(IF(ISNUMBER($A2343),IF(AND(AH!$P$10=1,AH!$P$12=1,$A2343=TODAY()),IF(AND(AH!$P$10=1,AH!$P$12=1,$A2343=TODAY()),TODAY(),NA()),IF(AH!$P$10=1,INDEX('Live History'!$G$5:$G$3004,MATCH($A2343,'Live History'!$G$5:$G$3004,1)),INDEX('AH History'!$F$1:$F$18046,AH!$P$7+2338))),NA()),NA())</ns0:f>
        <ns0:v/>
      </ns0:c>
      <ns0:c r="H2343">
        <ns0:f>IFERROR(IF(AND(AH!$E$4="Bloomberg",AH!$P$10=1,ISNUMBER($A2343),$A2343&lt;=AH!$P$17),AH!$P$7-1+MATCH($A2343,INDEX('AH History'!$A$1:$A$18046,AH!$P$7):INDEX('AH History'!$A$1:$A$18046,AH!$P$7+AH!$P$8-1),0),0),0)</ns0:f>
        <ns0:v/>
      </ns0:c>
      <ns0:c r="I2343">
        <ns0:f>IF($H2343=0,0,IFERROR(IF(AND(ABS($C2343-INDEX('AH History'!$B$1:$B$18046,$H2343))&lt;=MAX(0.005,ABS(INDEX('AH History'!$B$1:$B$18046,$H2343))*0.00005),ABS($D2343-INDEX('AH History'!$C$1:$C$18046,$H2343))&lt;=MAX(0.005,ABS(INDEX('AH History'!$C$1:$C$18046,$H2343))*0.00005),ABS($E2343-INDEX('AH History'!$D$1:$D$18046,$H2343))&lt;=0.00005,$F2343=INDEX('AH History'!$E$1:$E$18046,$H2343),$G2343=INDEX('AH History'!$F$1:$F$18046,$H2343)),1,-1),-1))</ns0:f>
        <ns0:v/>
      </ns0:c>
    </ns0:row>
    <ns0:row r="2344">
      <ns0:c r="A2344" s="215">
        <ns0:f>IF(OR(AH!$P$3=0,2339+1&gt;AH!$P$11,AND(AH!$E$4&lt;&gt;"Stored",AH!$P$10&lt;&gt;1)),"",IFERROR(IF(AND(AH!$P$21=1,2339+1=AH!$P$11),TODAY(),IF(AH!$P$10=1,INDEX('Live History'!$A$5:$A$3004,AH!$P$13+2339),INDEX('AH History'!$A$1:$A$18046,AH!$P$7+2339))),""))</ns0:f>
        <ns0:v/>
      </ns0:c>
      <ns0:c r="B2344" s="219">
        <ns0:f>IFERROR(IF(AND(AH!$P$9&lt;&gt;1,$C2344&gt;0,$D2344&gt;0,$E2344&gt;0,$F2344&gt;0,$G2344&gt;0,$F2344&lt;=$A2344,$G2344&lt;=$A2344,$A2344-$F2344&lt;=10,$A2344-$G2344&lt;=5),$D2344*$E2344/$C2344-1,NA()),NA())</ns0:f>
        <ns0:v/>
      </ns0:c>
      <ns0:c r="C2344">
        <ns0:f>IFERROR(IF(ISNUMBER($A2344),IF(AND(AH!$P$10=1,AH!$P$12=1,$A2344=TODAY()),AH!$P$19,IF(AH!$P$10=1,INDEX('Live History'!$B$5:$B$3004,AH!$P$13+2339),INDEX('AH History'!$B$1:$B$18046,AH!$P$7+2339))),NA()),NA())</ns0:f>
        <ns0:v/>
      </ns0:c>
      <ns0:c r="D2344">
        <ns0:f>IFERROR(IF(ISNUMBER($A2344),IF(AND(AH!$P$10=1,AH!$P$12=1,$A2344=TODAY()),AH!$P$18,IF(AH!$P$10=1,INDEX('Live History'!$E$5:$E$3004,MATCH($A2344,'Live History'!$D$5:$D$3004,1)),INDEX('AH History'!$C$1:$C$18046,AH!$P$7+2339))),NA()),NA())</ns0:f>
        <ns0:v/>
      </ns0:c>
      <ns0:c r="E2344">
        <ns0:f>IFERROR(IF(ISNUMBER($A2344),IF(AND(AH!$P$10=1,AH!$P$12=1,$A2344=TODAY()),AH!$P$20,IF(AH!$P$10=1,INDEX('Live History'!$H$5:$H$3004,MATCH($A2344,'Live History'!$G$5:$G$3004,1)),INDEX('AH History'!$D$1:$D$18046,AH!$P$7+2339))),NA()),NA())</ns0:f>
        <ns0:v/>
      </ns0:c>
      <ns0:c r="F2344">
        <ns0:f>IFERROR(IF(ISNUMBER($A2344),IF(AND(AH!$P$10=1,AH!$P$12=1,$A2344=TODAY()),IF(AND(AH!$P$10=1,AH!$P$12=1,$A2344=TODAY()),TODAY(),NA()),IF(AH!$P$10=1,INDEX('Live History'!$D$5:$D$3004,MATCH($A2344,'Live History'!$D$5:$D$3004,1)),INDEX('AH History'!$E$1:$E$18046,AH!$P$7+2339))),NA()),NA())</ns0:f>
        <ns0:v/>
      </ns0:c>
      <ns0:c r="G2344">
        <ns0:f>IFERROR(IF(ISNUMBER($A2344),IF(AND(AH!$P$10=1,AH!$P$12=1,$A2344=TODAY()),IF(AND(AH!$P$10=1,AH!$P$12=1,$A2344=TODAY()),TODAY(),NA()),IF(AH!$P$10=1,INDEX('Live History'!$G$5:$G$3004,MATCH($A2344,'Live History'!$G$5:$G$3004,1)),INDEX('AH History'!$F$1:$F$18046,AH!$P$7+2339))),NA()),NA())</ns0:f>
        <ns0:v/>
      </ns0:c>
      <ns0:c r="H2344">
        <ns0:f>IFERROR(IF(AND(AH!$E$4="Bloomberg",AH!$P$10=1,ISNUMBER($A2344),$A2344&lt;=AH!$P$17),AH!$P$7-1+MATCH($A2344,INDEX('AH History'!$A$1:$A$18046,AH!$P$7):INDEX('AH History'!$A$1:$A$18046,AH!$P$7+AH!$P$8-1),0),0),0)</ns0:f>
        <ns0:v/>
      </ns0:c>
      <ns0:c r="I2344">
        <ns0:f>IF($H2344=0,0,IFERROR(IF(AND(ABS($C2344-INDEX('AH History'!$B$1:$B$18046,$H2344))&lt;=MAX(0.005,ABS(INDEX('AH History'!$B$1:$B$18046,$H2344))*0.00005),ABS($D2344-INDEX('AH History'!$C$1:$C$18046,$H2344))&lt;=MAX(0.005,ABS(INDEX('AH History'!$C$1:$C$18046,$H2344))*0.00005),ABS($E2344-INDEX('AH History'!$D$1:$D$18046,$H2344))&lt;=0.00005,$F2344=INDEX('AH History'!$E$1:$E$18046,$H2344),$G2344=INDEX('AH History'!$F$1:$F$18046,$H2344)),1,-1),-1))</ns0:f>
        <ns0:v/>
      </ns0:c>
    </ns0:row>
    <ns0:row r="2345">
      <ns0:c r="A2345" s="215">
        <ns0:f>IF(OR(AH!$P$3=0,2340+1&gt;AH!$P$11,AND(AH!$E$4&lt;&gt;"Stored",AH!$P$10&lt;&gt;1)),"",IFERROR(IF(AND(AH!$P$21=1,2340+1=AH!$P$11),TODAY(),IF(AH!$P$10=1,INDEX('Live History'!$A$5:$A$3004,AH!$P$13+2340),INDEX('AH History'!$A$1:$A$18046,AH!$P$7+2340))),""))</ns0:f>
        <ns0:v/>
      </ns0:c>
      <ns0:c r="B2345" s="219">
        <ns0:f>IFERROR(IF(AND(AH!$P$9&lt;&gt;1,$C2345&gt;0,$D2345&gt;0,$E2345&gt;0,$F2345&gt;0,$G2345&gt;0,$F2345&lt;=$A2345,$G2345&lt;=$A2345,$A2345-$F2345&lt;=10,$A2345-$G2345&lt;=5),$D2345*$E2345/$C2345-1,NA()),NA())</ns0:f>
        <ns0:v/>
      </ns0:c>
      <ns0:c r="C2345">
        <ns0:f>IFERROR(IF(ISNUMBER($A2345),IF(AND(AH!$P$10=1,AH!$P$12=1,$A2345=TODAY()),AH!$P$19,IF(AH!$P$10=1,INDEX('Live History'!$B$5:$B$3004,AH!$P$13+2340),INDEX('AH History'!$B$1:$B$18046,AH!$P$7+2340))),NA()),NA())</ns0:f>
        <ns0:v/>
      </ns0:c>
      <ns0:c r="D2345">
        <ns0:f>IFERROR(IF(ISNUMBER($A2345),IF(AND(AH!$P$10=1,AH!$P$12=1,$A2345=TODAY()),AH!$P$18,IF(AH!$P$10=1,INDEX('Live History'!$E$5:$E$3004,MATCH($A2345,'Live History'!$D$5:$D$3004,1)),INDEX('AH History'!$C$1:$C$18046,AH!$P$7+2340))),NA()),NA())</ns0:f>
        <ns0:v/>
      </ns0:c>
      <ns0:c r="E2345">
        <ns0:f>IFERROR(IF(ISNUMBER($A2345),IF(AND(AH!$P$10=1,AH!$P$12=1,$A2345=TODAY()),AH!$P$20,IF(AH!$P$10=1,INDEX('Live History'!$H$5:$H$3004,MATCH($A2345,'Live History'!$G$5:$G$3004,1)),INDEX('AH History'!$D$1:$D$18046,AH!$P$7+2340))),NA()),NA())</ns0:f>
        <ns0:v/>
      </ns0:c>
      <ns0:c r="F2345">
        <ns0:f>IFERROR(IF(ISNUMBER($A2345),IF(AND(AH!$P$10=1,AH!$P$12=1,$A2345=TODAY()),IF(AND(AH!$P$10=1,AH!$P$12=1,$A2345=TODAY()),TODAY(),NA()),IF(AH!$P$10=1,INDEX('Live History'!$D$5:$D$3004,MATCH($A2345,'Live History'!$D$5:$D$3004,1)),INDEX('AH History'!$E$1:$E$18046,AH!$P$7+2340))),NA()),NA())</ns0:f>
        <ns0:v/>
      </ns0:c>
      <ns0:c r="G2345">
        <ns0:f>IFERROR(IF(ISNUMBER($A2345),IF(AND(AH!$P$10=1,AH!$P$12=1,$A2345=TODAY()),IF(AND(AH!$P$10=1,AH!$P$12=1,$A2345=TODAY()),TODAY(),NA()),IF(AH!$P$10=1,INDEX('Live History'!$G$5:$G$3004,MATCH($A2345,'Live History'!$G$5:$G$3004,1)),INDEX('AH History'!$F$1:$F$18046,AH!$P$7+2340))),NA()),NA())</ns0:f>
        <ns0:v/>
      </ns0:c>
      <ns0:c r="H2345">
        <ns0:f>IFERROR(IF(AND(AH!$E$4="Bloomberg",AH!$P$10=1,ISNUMBER($A2345),$A2345&lt;=AH!$P$17),AH!$P$7-1+MATCH($A2345,INDEX('AH History'!$A$1:$A$18046,AH!$P$7):INDEX('AH History'!$A$1:$A$18046,AH!$P$7+AH!$P$8-1),0),0),0)</ns0:f>
        <ns0:v/>
      </ns0:c>
      <ns0:c r="I2345">
        <ns0:f>IF($H2345=0,0,IFERROR(IF(AND(ABS($C2345-INDEX('AH History'!$B$1:$B$18046,$H2345))&lt;=MAX(0.005,ABS(INDEX('AH History'!$B$1:$B$18046,$H2345))*0.00005),ABS($D2345-INDEX('AH History'!$C$1:$C$18046,$H2345))&lt;=MAX(0.005,ABS(INDEX('AH History'!$C$1:$C$18046,$H2345))*0.00005),ABS($E2345-INDEX('AH History'!$D$1:$D$18046,$H2345))&lt;=0.00005,$F2345=INDEX('AH History'!$E$1:$E$18046,$H2345),$G2345=INDEX('AH History'!$F$1:$F$18046,$H2345)),1,-1),-1))</ns0:f>
        <ns0:v/>
      </ns0:c>
    </ns0:row>
    <ns0:row r="2346">
      <ns0:c r="A2346" s="215">
        <ns0:f>IF(OR(AH!$P$3=0,2341+1&gt;AH!$P$11,AND(AH!$E$4&lt;&gt;"Stored",AH!$P$10&lt;&gt;1)),"",IFERROR(IF(AND(AH!$P$21=1,2341+1=AH!$P$11),TODAY(),IF(AH!$P$10=1,INDEX('Live History'!$A$5:$A$3004,AH!$P$13+2341),INDEX('AH History'!$A$1:$A$18046,AH!$P$7+2341))),""))</ns0:f>
        <ns0:v/>
      </ns0:c>
      <ns0:c r="B2346" s="219">
        <ns0:f>IFERROR(IF(AND(AH!$P$9&lt;&gt;1,$C2346&gt;0,$D2346&gt;0,$E2346&gt;0,$F2346&gt;0,$G2346&gt;0,$F2346&lt;=$A2346,$G2346&lt;=$A2346,$A2346-$F2346&lt;=10,$A2346-$G2346&lt;=5),$D2346*$E2346/$C2346-1,NA()),NA())</ns0:f>
        <ns0:v/>
      </ns0:c>
      <ns0:c r="C2346">
        <ns0:f>IFERROR(IF(ISNUMBER($A2346),IF(AND(AH!$P$10=1,AH!$P$12=1,$A2346=TODAY()),AH!$P$19,IF(AH!$P$10=1,INDEX('Live History'!$B$5:$B$3004,AH!$P$13+2341),INDEX('AH History'!$B$1:$B$18046,AH!$P$7+2341))),NA()),NA())</ns0:f>
        <ns0:v/>
      </ns0:c>
      <ns0:c r="D2346">
        <ns0:f>IFERROR(IF(ISNUMBER($A2346),IF(AND(AH!$P$10=1,AH!$P$12=1,$A2346=TODAY()),AH!$P$18,IF(AH!$P$10=1,INDEX('Live History'!$E$5:$E$3004,MATCH($A2346,'Live History'!$D$5:$D$3004,1)),INDEX('AH History'!$C$1:$C$18046,AH!$P$7+2341))),NA()),NA())</ns0:f>
        <ns0:v/>
      </ns0:c>
      <ns0:c r="E2346">
        <ns0:f>IFERROR(IF(ISNUMBER($A2346),IF(AND(AH!$P$10=1,AH!$P$12=1,$A2346=TODAY()),AH!$P$20,IF(AH!$P$10=1,INDEX('Live History'!$H$5:$H$3004,MATCH($A2346,'Live History'!$G$5:$G$3004,1)),INDEX('AH History'!$D$1:$D$18046,AH!$P$7+2341))),NA()),NA())</ns0:f>
        <ns0:v/>
      </ns0:c>
      <ns0:c r="F2346">
        <ns0:f>IFERROR(IF(ISNUMBER($A2346),IF(AND(AH!$P$10=1,AH!$P$12=1,$A2346=TODAY()),IF(AND(AH!$P$10=1,AH!$P$12=1,$A2346=TODAY()),TODAY(),NA()),IF(AH!$P$10=1,INDEX('Live History'!$D$5:$D$3004,MATCH($A2346,'Live History'!$D$5:$D$3004,1)),INDEX('AH History'!$E$1:$E$18046,AH!$P$7+2341))),NA()),NA())</ns0:f>
        <ns0:v/>
      </ns0:c>
      <ns0:c r="G2346">
        <ns0:f>IFERROR(IF(ISNUMBER($A2346),IF(AND(AH!$P$10=1,AH!$P$12=1,$A2346=TODAY()),IF(AND(AH!$P$10=1,AH!$P$12=1,$A2346=TODAY()),TODAY(),NA()),IF(AH!$P$10=1,INDEX('Live History'!$G$5:$G$3004,MATCH($A2346,'Live History'!$G$5:$G$3004,1)),INDEX('AH History'!$F$1:$F$18046,AH!$P$7+2341))),NA()),NA())</ns0:f>
        <ns0:v/>
      </ns0:c>
      <ns0:c r="H2346">
        <ns0:f>IFERROR(IF(AND(AH!$E$4="Bloomberg",AH!$P$10=1,ISNUMBER($A2346),$A2346&lt;=AH!$P$17),AH!$P$7-1+MATCH($A2346,INDEX('AH History'!$A$1:$A$18046,AH!$P$7):INDEX('AH History'!$A$1:$A$18046,AH!$P$7+AH!$P$8-1),0),0),0)</ns0:f>
        <ns0:v/>
      </ns0:c>
      <ns0:c r="I2346">
        <ns0:f>IF($H2346=0,0,IFERROR(IF(AND(ABS($C2346-INDEX('AH History'!$B$1:$B$18046,$H2346))&lt;=MAX(0.005,ABS(INDEX('AH History'!$B$1:$B$18046,$H2346))*0.00005),ABS($D2346-INDEX('AH History'!$C$1:$C$18046,$H2346))&lt;=MAX(0.005,ABS(INDEX('AH History'!$C$1:$C$18046,$H2346))*0.00005),ABS($E2346-INDEX('AH History'!$D$1:$D$18046,$H2346))&lt;=0.00005,$F2346=INDEX('AH History'!$E$1:$E$18046,$H2346),$G2346=INDEX('AH History'!$F$1:$F$18046,$H2346)),1,-1),-1))</ns0:f>
        <ns0:v/>
      </ns0:c>
    </ns0:row>
    <ns0:row r="2347">
      <ns0:c r="A2347" s="215">
        <ns0:f>IF(OR(AH!$P$3=0,2342+1&gt;AH!$P$11,AND(AH!$E$4&lt;&gt;"Stored",AH!$P$10&lt;&gt;1)),"",IFERROR(IF(AND(AH!$P$21=1,2342+1=AH!$P$11),TODAY(),IF(AH!$P$10=1,INDEX('Live History'!$A$5:$A$3004,AH!$P$13+2342),INDEX('AH History'!$A$1:$A$18046,AH!$P$7+2342))),""))</ns0:f>
        <ns0:v/>
      </ns0:c>
      <ns0:c r="B2347" s="219">
        <ns0:f>IFERROR(IF(AND(AH!$P$9&lt;&gt;1,$C2347&gt;0,$D2347&gt;0,$E2347&gt;0,$F2347&gt;0,$G2347&gt;0,$F2347&lt;=$A2347,$G2347&lt;=$A2347,$A2347-$F2347&lt;=10,$A2347-$G2347&lt;=5),$D2347*$E2347/$C2347-1,NA()),NA())</ns0:f>
        <ns0:v/>
      </ns0:c>
      <ns0:c r="C2347">
        <ns0:f>IFERROR(IF(ISNUMBER($A2347),IF(AND(AH!$P$10=1,AH!$P$12=1,$A2347=TODAY()),AH!$P$19,IF(AH!$P$10=1,INDEX('Live History'!$B$5:$B$3004,AH!$P$13+2342),INDEX('AH History'!$B$1:$B$18046,AH!$P$7+2342))),NA()),NA())</ns0:f>
        <ns0:v/>
      </ns0:c>
      <ns0:c r="D2347">
        <ns0:f>IFERROR(IF(ISNUMBER($A2347),IF(AND(AH!$P$10=1,AH!$P$12=1,$A2347=TODAY()),AH!$P$18,IF(AH!$P$10=1,INDEX('Live History'!$E$5:$E$3004,MATCH($A2347,'Live History'!$D$5:$D$3004,1)),INDEX('AH History'!$C$1:$C$18046,AH!$P$7+2342))),NA()),NA())</ns0:f>
        <ns0:v/>
      </ns0:c>
      <ns0:c r="E2347">
        <ns0:f>IFERROR(IF(ISNUMBER($A2347),IF(AND(AH!$P$10=1,AH!$P$12=1,$A2347=TODAY()),AH!$P$20,IF(AH!$P$10=1,INDEX('Live History'!$H$5:$H$3004,MATCH($A2347,'Live History'!$G$5:$G$3004,1)),INDEX('AH History'!$D$1:$D$18046,AH!$P$7+2342))),NA()),NA())</ns0:f>
        <ns0:v/>
      </ns0:c>
      <ns0:c r="F2347">
        <ns0:f>IFERROR(IF(ISNUMBER($A2347),IF(AND(AH!$P$10=1,AH!$P$12=1,$A2347=TODAY()),IF(AND(AH!$P$10=1,AH!$P$12=1,$A2347=TODAY()),TODAY(),NA()),IF(AH!$P$10=1,INDEX('Live History'!$D$5:$D$3004,MATCH($A2347,'Live History'!$D$5:$D$3004,1)),INDEX('AH History'!$E$1:$E$18046,AH!$P$7+2342))),NA()),NA())</ns0:f>
        <ns0:v/>
      </ns0:c>
      <ns0:c r="G2347">
        <ns0:f>IFERROR(IF(ISNUMBER($A2347),IF(AND(AH!$P$10=1,AH!$P$12=1,$A2347=TODAY()),IF(AND(AH!$P$10=1,AH!$P$12=1,$A2347=TODAY()),TODAY(),NA()),IF(AH!$P$10=1,INDEX('Live History'!$G$5:$G$3004,MATCH($A2347,'Live History'!$G$5:$G$3004,1)),INDEX('AH History'!$F$1:$F$18046,AH!$P$7+2342))),NA()),NA())</ns0:f>
        <ns0:v/>
      </ns0:c>
      <ns0:c r="H2347">
        <ns0:f>IFERROR(IF(AND(AH!$E$4="Bloomberg",AH!$P$10=1,ISNUMBER($A2347),$A2347&lt;=AH!$P$17),AH!$P$7-1+MATCH($A2347,INDEX('AH History'!$A$1:$A$18046,AH!$P$7):INDEX('AH History'!$A$1:$A$18046,AH!$P$7+AH!$P$8-1),0),0),0)</ns0:f>
        <ns0:v/>
      </ns0:c>
      <ns0:c r="I2347">
        <ns0:f>IF($H2347=0,0,IFERROR(IF(AND(ABS($C2347-INDEX('AH History'!$B$1:$B$18046,$H2347))&lt;=MAX(0.005,ABS(INDEX('AH History'!$B$1:$B$18046,$H2347))*0.00005),ABS($D2347-INDEX('AH History'!$C$1:$C$18046,$H2347))&lt;=MAX(0.005,ABS(INDEX('AH History'!$C$1:$C$18046,$H2347))*0.00005),ABS($E2347-INDEX('AH History'!$D$1:$D$18046,$H2347))&lt;=0.00005,$F2347=INDEX('AH History'!$E$1:$E$18046,$H2347),$G2347=INDEX('AH History'!$F$1:$F$18046,$H2347)),1,-1),-1))</ns0:f>
        <ns0:v/>
      </ns0:c>
    </ns0:row>
    <ns0:row r="2348">
      <ns0:c r="A2348" s="215">
        <ns0:f>IF(OR(AH!$P$3=0,2343+1&gt;AH!$P$11,AND(AH!$E$4&lt;&gt;"Stored",AH!$P$10&lt;&gt;1)),"",IFERROR(IF(AND(AH!$P$21=1,2343+1=AH!$P$11),TODAY(),IF(AH!$P$10=1,INDEX('Live History'!$A$5:$A$3004,AH!$P$13+2343),INDEX('AH History'!$A$1:$A$18046,AH!$P$7+2343))),""))</ns0:f>
        <ns0:v/>
      </ns0:c>
      <ns0:c r="B2348" s="219">
        <ns0:f>IFERROR(IF(AND(AH!$P$9&lt;&gt;1,$C2348&gt;0,$D2348&gt;0,$E2348&gt;0,$F2348&gt;0,$G2348&gt;0,$F2348&lt;=$A2348,$G2348&lt;=$A2348,$A2348-$F2348&lt;=10,$A2348-$G2348&lt;=5),$D2348*$E2348/$C2348-1,NA()),NA())</ns0:f>
        <ns0:v/>
      </ns0:c>
      <ns0:c r="C2348">
        <ns0:f>IFERROR(IF(ISNUMBER($A2348),IF(AND(AH!$P$10=1,AH!$P$12=1,$A2348=TODAY()),AH!$P$19,IF(AH!$P$10=1,INDEX('Live History'!$B$5:$B$3004,AH!$P$13+2343),INDEX('AH History'!$B$1:$B$18046,AH!$P$7+2343))),NA()),NA())</ns0:f>
        <ns0:v/>
      </ns0:c>
      <ns0:c r="D2348">
        <ns0:f>IFERROR(IF(ISNUMBER($A2348),IF(AND(AH!$P$10=1,AH!$P$12=1,$A2348=TODAY()),AH!$P$18,IF(AH!$P$10=1,INDEX('Live History'!$E$5:$E$3004,MATCH($A2348,'Live History'!$D$5:$D$3004,1)),INDEX('AH History'!$C$1:$C$18046,AH!$P$7+2343))),NA()),NA())</ns0:f>
        <ns0:v/>
      </ns0:c>
      <ns0:c r="E2348">
        <ns0:f>IFERROR(IF(ISNUMBER($A2348),IF(AND(AH!$P$10=1,AH!$P$12=1,$A2348=TODAY()),AH!$P$20,IF(AH!$P$10=1,INDEX('Live History'!$H$5:$H$3004,MATCH($A2348,'Live History'!$G$5:$G$3004,1)),INDEX('AH History'!$D$1:$D$18046,AH!$P$7+2343))),NA()),NA())</ns0:f>
        <ns0:v/>
      </ns0:c>
      <ns0:c r="F2348">
        <ns0:f>IFERROR(IF(ISNUMBER($A2348),IF(AND(AH!$P$10=1,AH!$P$12=1,$A2348=TODAY()),IF(AND(AH!$P$10=1,AH!$P$12=1,$A2348=TODAY()),TODAY(),NA()),IF(AH!$P$10=1,INDEX('Live History'!$D$5:$D$3004,MATCH($A2348,'Live History'!$D$5:$D$3004,1)),INDEX('AH History'!$E$1:$E$18046,AH!$P$7+2343))),NA()),NA())</ns0:f>
        <ns0:v/>
      </ns0:c>
      <ns0:c r="G2348">
        <ns0:f>IFERROR(IF(ISNUMBER($A2348),IF(AND(AH!$P$10=1,AH!$P$12=1,$A2348=TODAY()),IF(AND(AH!$P$10=1,AH!$P$12=1,$A2348=TODAY()),TODAY(),NA()),IF(AH!$P$10=1,INDEX('Live History'!$G$5:$G$3004,MATCH($A2348,'Live History'!$G$5:$G$3004,1)),INDEX('AH History'!$F$1:$F$18046,AH!$P$7+2343))),NA()),NA())</ns0:f>
        <ns0:v/>
      </ns0:c>
      <ns0:c r="H2348">
        <ns0:f>IFERROR(IF(AND(AH!$E$4="Bloomberg",AH!$P$10=1,ISNUMBER($A2348),$A2348&lt;=AH!$P$17),AH!$P$7-1+MATCH($A2348,INDEX('AH History'!$A$1:$A$18046,AH!$P$7):INDEX('AH History'!$A$1:$A$18046,AH!$P$7+AH!$P$8-1),0),0),0)</ns0:f>
        <ns0:v/>
      </ns0:c>
      <ns0:c r="I2348">
        <ns0:f>IF($H2348=0,0,IFERROR(IF(AND(ABS($C2348-INDEX('AH History'!$B$1:$B$18046,$H2348))&lt;=MAX(0.005,ABS(INDEX('AH History'!$B$1:$B$18046,$H2348))*0.00005),ABS($D2348-INDEX('AH History'!$C$1:$C$18046,$H2348))&lt;=MAX(0.005,ABS(INDEX('AH History'!$C$1:$C$18046,$H2348))*0.00005),ABS($E2348-INDEX('AH History'!$D$1:$D$18046,$H2348))&lt;=0.00005,$F2348=INDEX('AH History'!$E$1:$E$18046,$H2348),$G2348=INDEX('AH History'!$F$1:$F$18046,$H2348)),1,-1),-1))</ns0:f>
        <ns0:v/>
      </ns0:c>
    </ns0:row>
    <ns0:row r="2349">
      <ns0:c r="A2349" s="215">
        <ns0:f>IF(OR(AH!$P$3=0,2344+1&gt;AH!$P$11,AND(AH!$E$4&lt;&gt;"Stored",AH!$P$10&lt;&gt;1)),"",IFERROR(IF(AND(AH!$P$21=1,2344+1=AH!$P$11),TODAY(),IF(AH!$P$10=1,INDEX('Live History'!$A$5:$A$3004,AH!$P$13+2344),INDEX('AH History'!$A$1:$A$18046,AH!$P$7+2344))),""))</ns0:f>
        <ns0:v/>
      </ns0:c>
      <ns0:c r="B2349" s="219">
        <ns0:f>IFERROR(IF(AND(AH!$P$9&lt;&gt;1,$C2349&gt;0,$D2349&gt;0,$E2349&gt;0,$F2349&gt;0,$G2349&gt;0,$F2349&lt;=$A2349,$G2349&lt;=$A2349,$A2349-$F2349&lt;=10,$A2349-$G2349&lt;=5),$D2349*$E2349/$C2349-1,NA()),NA())</ns0:f>
        <ns0:v/>
      </ns0:c>
      <ns0:c r="C2349">
        <ns0:f>IFERROR(IF(ISNUMBER($A2349),IF(AND(AH!$P$10=1,AH!$P$12=1,$A2349=TODAY()),AH!$P$19,IF(AH!$P$10=1,INDEX('Live History'!$B$5:$B$3004,AH!$P$13+2344),INDEX('AH History'!$B$1:$B$18046,AH!$P$7+2344))),NA()),NA())</ns0:f>
        <ns0:v/>
      </ns0:c>
      <ns0:c r="D2349">
        <ns0:f>IFERROR(IF(ISNUMBER($A2349),IF(AND(AH!$P$10=1,AH!$P$12=1,$A2349=TODAY()),AH!$P$18,IF(AH!$P$10=1,INDEX('Live History'!$E$5:$E$3004,MATCH($A2349,'Live History'!$D$5:$D$3004,1)),INDEX('AH History'!$C$1:$C$18046,AH!$P$7+2344))),NA()),NA())</ns0:f>
        <ns0:v/>
      </ns0:c>
      <ns0:c r="E2349">
        <ns0:f>IFERROR(IF(ISNUMBER($A2349),IF(AND(AH!$P$10=1,AH!$P$12=1,$A2349=TODAY()),AH!$P$20,IF(AH!$P$10=1,INDEX('Live History'!$H$5:$H$3004,MATCH($A2349,'Live History'!$G$5:$G$3004,1)),INDEX('AH History'!$D$1:$D$18046,AH!$P$7+2344))),NA()),NA())</ns0:f>
        <ns0:v/>
      </ns0:c>
      <ns0:c r="F2349">
        <ns0:f>IFERROR(IF(ISNUMBER($A2349),IF(AND(AH!$P$10=1,AH!$P$12=1,$A2349=TODAY()),IF(AND(AH!$P$10=1,AH!$P$12=1,$A2349=TODAY()),TODAY(),NA()),IF(AH!$P$10=1,INDEX('Live History'!$D$5:$D$3004,MATCH($A2349,'Live History'!$D$5:$D$3004,1)),INDEX('AH History'!$E$1:$E$18046,AH!$P$7+2344))),NA()),NA())</ns0:f>
        <ns0:v/>
      </ns0:c>
      <ns0:c r="G2349">
        <ns0:f>IFERROR(IF(ISNUMBER($A2349),IF(AND(AH!$P$10=1,AH!$P$12=1,$A2349=TODAY()),IF(AND(AH!$P$10=1,AH!$P$12=1,$A2349=TODAY()),TODAY(),NA()),IF(AH!$P$10=1,INDEX('Live History'!$G$5:$G$3004,MATCH($A2349,'Live History'!$G$5:$G$3004,1)),INDEX('AH History'!$F$1:$F$18046,AH!$P$7+2344))),NA()),NA())</ns0:f>
        <ns0:v/>
      </ns0:c>
      <ns0:c r="H2349">
        <ns0:f>IFERROR(IF(AND(AH!$E$4="Bloomberg",AH!$P$10=1,ISNUMBER($A2349),$A2349&lt;=AH!$P$17),AH!$P$7-1+MATCH($A2349,INDEX('AH History'!$A$1:$A$18046,AH!$P$7):INDEX('AH History'!$A$1:$A$18046,AH!$P$7+AH!$P$8-1),0),0),0)</ns0:f>
        <ns0:v/>
      </ns0:c>
      <ns0:c r="I2349">
        <ns0:f>IF($H2349=0,0,IFERROR(IF(AND(ABS($C2349-INDEX('AH History'!$B$1:$B$18046,$H2349))&lt;=MAX(0.005,ABS(INDEX('AH History'!$B$1:$B$18046,$H2349))*0.00005),ABS($D2349-INDEX('AH History'!$C$1:$C$18046,$H2349))&lt;=MAX(0.005,ABS(INDEX('AH History'!$C$1:$C$18046,$H2349))*0.00005),ABS($E2349-INDEX('AH History'!$D$1:$D$18046,$H2349))&lt;=0.00005,$F2349=INDEX('AH History'!$E$1:$E$18046,$H2349),$G2349=INDEX('AH History'!$F$1:$F$18046,$H2349)),1,-1),-1))</ns0:f>
        <ns0:v/>
      </ns0:c>
    </ns0:row>
    <ns0:row r="2350">
      <ns0:c r="A2350" s="215">
        <ns0:f>IF(OR(AH!$P$3=0,2345+1&gt;AH!$P$11,AND(AH!$E$4&lt;&gt;"Stored",AH!$P$10&lt;&gt;1)),"",IFERROR(IF(AND(AH!$P$21=1,2345+1=AH!$P$11),TODAY(),IF(AH!$P$10=1,INDEX('Live History'!$A$5:$A$3004,AH!$P$13+2345),INDEX('AH History'!$A$1:$A$18046,AH!$P$7+2345))),""))</ns0:f>
        <ns0:v/>
      </ns0:c>
      <ns0:c r="B2350" s="219">
        <ns0:f>IFERROR(IF(AND(AH!$P$9&lt;&gt;1,$C2350&gt;0,$D2350&gt;0,$E2350&gt;0,$F2350&gt;0,$G2350&gt;0,$F2350&lt;=$A2350,$G2350&lt;=$A2350,$A2350-$F2350&lt;=10,$A2350-$G2350&lt;=5),$D2350*$E2350/$C2350-1,NA()),NA())</ns0:f>
        <ns0:v/>
      </ns0:c>
      <ns0:c r="C2350">
        <ns0:f>IFERROR(IF(ISNUMBER($A2350),IF(AND(AH!$P$10=1,AH!$P$12=1,$A2350=TODAY()),AH!$P$19,IF(AH!$P$10=1,INDEX('Live History'!$B$5:$B$3004,AH!$P$13+2345),INDEX('AH History'!$B$1:$B$18046,AH!$P$7+2345))),NA()),NA())</ns0:f>
        <ns0:v/>
      </ns0:c>
      <ns0:c r="D2350">
        <ns0:f>IFERROR(IF(ISNUMBER($A2350),IF(AND(AH!$P$10=1,AH!$P$12=1,$A2350=TODAY()),AH!$P$18,IF(AH!$P$10=1,INDEX('Live History'!$E$5:$E$3004,MATCH($A2350,'Live History'!$D$5:$D$3004,1)),INDEX('AH History'!$C$1:$C$18046,AH!$P$7+2345))),NA()),NA())</ns0:f>
        <ns0:v/>
      </ns0:c>
      <ns0:c r="E2350">
        <ns0:f>IFERROR(IF(ISNUMBER($A2350),IF(AND(AH!$P$10=1,AH!$P$12=1,$A2350=TODAY()),AH!$P$20,IF(AH!$P$10=1,INDEX('Live History'!$H$5:$H$3004,MATCH($A2350,'Live History'!$G$5:$G$3004,1)),INDEX('AH History'!$D$1:$D$18046,AH!$P$7+2345))),NA()),NA())</ns0:f>
        <ns0:v/>
      </ns0:c>
      <ns0:c r="F2350">
        <ns0:f>IFERROR(IF(ISNUMBER($A2350),IF(AND(AH!$P$10=1,AH!$P$12=1,$A2350=TODAY()),IF(AND(AH!$P$10=1,AH!$P$12=1,$A2350=TODAY()),TODAY(),NA()),IF(AH!$P$10=1,INDEX('Live History'!$D$5:$D$3004,MATCH($A2350,'Live History'!$D$5:$D$3004,1)),INDEX('AH History'!$E$1:$E$18046,AH!$P$7+2345))),NA()),NA())</ns0:f>
        <ns0:v/>
      </ns0:c>
      <ns0:c r="G2350">
        <ns0:f>IFERROR(IF(ISNUMBER($A2350),IF(AND(AH!$P$10=1,AH!$P$12=1,$A2350=TODAY()),IF(AND(AH!$P$10=1,AH!$P$12=1,$A2350=TODAY()),TODAY(),NA()),IF(AH!$P$10=1,INDEX('Live History'!$G$5:$G$3004,MATCH($A2350,'Live History'!$G$5:$G$3004,1)),INDEX('AH History'!$F$1:$F$18046,AH!$P$7+2345))),NA()),NA())</ns0:f>
        <ns0:v/>
      </ns0:c>
      <ns0:c r="H2350">
        <ns0:f>IFERROR(IF(AND(AH!$E$4="Bloomberg",AH!$P$10=1,ISNUMBER($A2350),$A2350&lt;=AH!$P$17),AH!$P$7-1+MATCH($A2350,INDEX('AH History'!$A$1:$A$18046,AH!$P$7):INDEX('AH History'!$A$1:$A$18046,AH!$P$7+AH!$P$8-1),0),0),0)</ns0:f>
        <ns0:v/>
      </ns0:c>
      <ns0:c r="I2350">
        <ns0:f>IF($H2350=0,0,IFERROR(IF(AND(ABS($C2350-INDEX('AH History'!$B$1:$B$18046,$H2350))&lt;=MAX(0.005,ABS(INDEX('AH History'!$B$1:$B$18046,$H2350))*0.00005),ABS($D2350-INDEX('AH History'!$C$1:$C$18046,$H2350))&lt;=MAX(0.005,ABS(INDEX('AH History'!$C$1:$C$18046,$H2350))*0.00005),ABS($E2350-INDEX('AH History'!$D$1:$D$18046,$H2350))&lt;=0.00005,$F2350=INDEX('AH History'!$E$1:$E$18046,$H2350),$G2350=INDEX('AH History'!$F$1:$F$18046,$H2350)),1,-1),-1))</ns0:f>
        <ns0:v/>
      </ns0:c>
    </ns0:row>
    <ns0:row r="2351">
      <ns0:c r="A2351" s="215">
        <ns0:f>IF(OR(AH!$P$3=0,2346+1&gt;AH!$P$11,AND(AH!$E$4&lt;&gt;"Stored",AH!$P$10&lt;&gt;1)),"",IFERROR(IF(AND(AH!$P$21=1,2346+1=AH!$P$11),TODAY(),IF(AH!$P$10=1,INDEX('Live History'!$A$5:$A$3004,AH!$P$13+2346),INDEX('AH History'!$A$1:$A$18046,AH!$P$7+2346))),""))</ns0:f>
        <ns0:v/>
      </ns0:c>
      <ns0:c r="B2351" s="219">
        <ns0:f>IFERROR(IF(AND(AH!$P$9&lt;&gt;1,$C2351&gt;0,$D2351&gt;0,$E2351&gt;0,$F2351&gt;0,$G2351&gt;0,$F2351&lt;=$A2351,$G2351&lt;=$A2351,$A2351-$F2351&lt;=10,$A2351-$G2351&lt;=5),$D2351*$E2351/$C2351-1,NA()),NA())</ns0:f>
        <ns0:v/>
      </ns0:c>
      <ns0:c r="C2351">
        <ns0:f>IFERROR(IF(ISNUMBER($A2351),IF(AND(AH!$P$10=1,AH!$P$12=1,$A2351=TODAY()),AH!$P$19,IF(AH!$P$10=1,INDEX('Live History'!$B$5:$B$3004,AH!$P$13+2346),INDEX('AH History'!$B$1:$B$18046,AH!$P$7+2346))),NA()),NA())</ns0:f>
        <ns0:v/>
      </ns0:c>
      <ns0:c r="D2351">
        <ns0:f>IFERROR(IF(ISNUMBER($A2351),IF(AND(AH!$P$10=1,AH!$P$12=1,$A2351=TODAY()),AH!$P$18,IF(AH!$P$10=1,INDEX('Live History'!$E$5:$E$3004,MATCH($A2351,'Live History'!$D$5:$D$3004,1)),INDEX('AH History'!$C$1:$C$18046,AH!$P$7+2346))),NA()),NA())</ns0:f>
        <ns0:v/>
      </ns0:c>
      <ns0:c r="E2351">
        <ns0:f>IFERROR(IF(ISNUMBER($A2351),IF(AND(AH!$P$10=1,AH!$P$12=1,$A2351=TODAY()),AH!$P$20,IF(AH!$P$10=1,INDEX('Live History'!$H$5:$H$3004,MATCH($A2351,'Live History'!$G$5:$G$3004,1)),INDEX('AH History'!$D$1:$D$18046,AH!$P$7+2346))),NA()),NA())</ns0:f>
        <ns0:v/>
      </ns0:c>
      <ns0:c r="F2351">
        <ns0:f>IFERROR(IF(ISNUMBER($A2351),IF(AND(AH!$P$10=1,AH!$P$12=1,$A2351=TODAY()),IF(AND(AH!$P$10=1,AH!$P$12=1,$A2351=TODAY()),TODAY(),NA()),IF(AH!$P$10=1,INDEX('Live History'!$D$5:$D$3004,MATCH($A2351,'Live History'!$D$5:$D$3004,1)),INDEX('AH History'!$E$1:$E$18046,AH!$P$7+2346))),NA()),NA())</ns0:f>
        <ns0:v/>
      </ns0:c>
      <ns0:c r="G2351">
        <ns0:f>IFERROR(IF(ISNUMBER($A2351),IF(AND(AH!$P$10=1,AH!$P$12=1,$A2351=TODAY()),IF(AND(AH!$P$10=1,AH!$P$12=1,$A2351=TODAY()),TODAY(),NA()),IF(AH!$P$10=1,INDEX('Live History'!$G$5:$G$3004,MATCH($A2351,'Live History'!$G$5:$G$3004,1)),INDEX('AH History'!$F$1:$F$18046,AH!$P$7+2346))),NA()),NA())</ns0:f>
        <ns0:v/>
      </ns0:c>
      <ns0:c r="H2351">
        <ns0:f>IFERROR(IF(AND(AH!$E$4="Bloomberg",AH!$P$10=1,ISNUMBER($A2351),$A2351&lt;=AH!$P$17),AH!$P$7-1+MATCH($A2351,INDEX('AH History'!$A$1:$A$18046,AH!$P$7):INDEX('AH History'!$A$1:$A$18046,AH!$P$7+AH!$P$8-1),0),0),0)</ns0:f>
        <ns0:v/>
      </ns0:c>
      <ns0:c r="I2351">
        <ns0:f>IF($H2351=0,0,IFERROR(IF(AND(ABS($C2351-INDEX('AH History'!$B$1:$B$18046,$H2351))&lt;=MAX(0.005,ABS(INDEX('AH History'!$B$1:$B$18046,$H2351))*0.00005),ABS($D2351-INDEX('AH History'!$C$1:$C$18046,$H2351))&lt;=MAX(0.005,ABS(INDEX('AH History'!$C$1:$C$18046,$H2351))*0.00005),ABS($E2351-INDEX('AH History'!$D$1:$D$18046,$H2351))&lt;=0.00005,$F2351=INDEX('AH History'!$E$1:$E$18046,$H2351),$G2351=INDEX('AH History'!$F$1:$F$18046,$H2351)),1,-1),-1))</ns0:f>
        <ns0:v/>
      </ns0:c>
    </ns0:row>
    <ns0:row r="2352">
      <ns0:c r="A2352" s="215">
        <ns0:f>IF(OR(AH!$P$3=0,2347+1&gt;AH!$P$11,AND(AH!$E$4&lt;&gt;"Stored",AH!$P$10&lt;&gt;1)),"",IFERROR(IF(AND(AH!$P$21=1,2347+1=AH!$P$11),TODAY(),IF(AH!$P$10=1,INDEX('Live History'!$A$5:$A$3004,AH!$P$13+2347),INDEX('AH History'!$A$1:$A$18046,AH!$P$7+2347))),""))</ns0:f>
        <ns0:v/>
      </ns0:c>
      <ns0:c r="B2352" s="219">
        <ns0:f>IFERROR(IF(AND(AH!$P$9&lt;&gt;1,$C2352&gt;0,$D2352&gt;0,$E2352&gt;0,$F2352&gt;0,$G2352&gt;0,$F2352&lt;=$A2352,$G2352&lt;=$A2352,$A2352-$F2352&lt;=10,$A2352-$G2352&lt;=5),$D2352*$E2352/$C2352-1,NA()),NA())</ns0:f>
        <ns0:v/>
      </ns0:c>
      <ns0:c r="C2352">
        <ns0:f>IFERROR(IF(ISNUMBER($A2352),IF(AND(AH!$P$10=1,AH!$P$12=1,$A2352=TODAY()),AH!$P$19,IF(AH!$P$10=1,INDEX('Live History'!$B$5:$B$3004,AH!$P$13+2347),INDEX('AH History'!$B$1:$B$18046,AH!$P$7+2347))),NA()),NA())</ns0:f>
        <ns0:v/>
      </ns0:c>
      <ns0:c r="D2352">
        <ns0:f>IFERROR(IF(ISNUMBER($A2352),IF(AND(AH!$P$10=1,AH!$P$12=1,$A2352=TODAY()),AH!$P$18,IF(AH!$P$10=1,INDEX('Live History'!$E$5:$E$3004,MATCH($A2352,'Live History'!$D$5:$D$3004,1)),INDEX('AH History'!$C$1:$C$18046,AH!$P$7+2347))),NA()),NA())</ns0:f>
        <ns0:v/>
      </ns0:c>
      <ns0:c r="E2352">
        <ns0:f>IFERROR(IF(ISNUMBER($A2352),IF(AND(AH!$P$10=1,AH!$P$12=1,$A2352=TODAY()),AH!$P$20,IF(AH!$P$10=1,INDEX('Live History'!$H$5:$H$3004,MATCH($A2352,'Live History'!$G$5:$G$3004,1)),INDEX('AH History'!$D$1:$D$18046,AH!$P$7+2347))),NA()),NA())</ns0:f>
        <ns0:v/>
      </ns0:c>
      <ns0:c r="F2352">
        <ns0:f>IFERROR(IF(ISNUMBER($A2352),IF(AND(AH!$P$10=1,AH!$P$12=1,$A2352=TODAY()),IF(AND(AH!$P$10=1,AH!$P$12=1,$A2352=TODAY()),TODAY(),NA()),IF(AH!$P$10=1,INDEX('Live History'!$D$5:$D$3004,MATCH($A2352,'Live History'!$D$5:$D$3004,1)),INDEX('AH History'!$E$1:$E$18046,AH!$P$7+2347))),NA()),NA())</ns0:f>
        <ns0:v/>
      </ns0:c>
      <ns0:c r="G2352">
        <ns0:f>IFERROR(IF(ISNUMBER($A2352),IF(AND(AH!$P$10=1,AH!$P$12=1,$A2352=TODAY()),IF(AND(AH!$P$10=1,AH!$P$12=1,$A2352=TODAY()),TODAY(),NA()),IF(AH!$P$10=1,INDEX('Live History'!$G$5:$G$3004,MATCH($A2352,'Live History'!$G$5:$G$3004,1)),INDEX('AH History'!$F$1:$F$18046,AH!$P$7+2347))),NA()),NA())</ns0:f>
        <ns0:v/>
      </ns0:c>
      <ns0:c r="H2352">
        <ns0:f>IFERROR(IF(AND(AH!$E$4="Bloomberg",AH!$P$10=1,ISNUMBER($A2352),$A2352&lt;=AH!$P$17),AH!$P$7-1+MATCH($A2352,INDEX('AH History'!$A$1:$A$18046,AH!$P$7):INDEX('AH History'!$A$1:$A$18046,AH!$P$7+AH!$P$8-1),0),0),0)</ns0:f>
        <ns0:v/>
      </ns0:c>
      <ns0:c r="I2352">
        <ns0:f>IF($H2352=0,0,IFERROR(IF(AND(ABS($C2352-INDEX('AH History'!$B$1:$B$18046,$H2352))&lt;=MAX(0.005,ABS(INDEX('AH History'!$B$1:$B$18046,$H2352))*0.00005),ABS($D2352-INDEX('AH History'!$C$1:$C$18046,$H2352))&lt;=MAX(0.005,ABS(INDEX('AH History'!$C$1:$C$18046,$H2352))*0.00005),ABS($E2352-INDEX('AH History'!$D$1:$D$18046,$H2352))&lt;=0.00005,$F2352=INDEX('AH History'!$E$1:$E$18046,$H2352),$G2352=INDEX('AH History'!$F$1:$F$18046,$H2352)),1,-1),-1))</ns0:f>
        <ns0:v/>
      </ns0:c>
    </ns0:row>
    <ns0:row r="2353">
      <ns0:c r="A2353" s="215">
        <ns0:f>IF(OR(AH!$P$3=0,2348+1&gt;AH!$P$11,AND(AH!$E$4&lt;&gt;"Stored",AH!$P$10&lt;&gt;1)),"",IFERROR(IF(AND(AH!$P$21=1,2348+1=AH!$P$11),TODAY(),IF(AH!$P$10=1,INDEX('Live History'!$A$5:$A$3004,AH!$P$13+2348),INDEX('AH History'!$A$1:$A$18046,AH!$P$7+2348))),""))</ns0:f>
        <ns0:v/>
      </ns0:c>
      <ns0:c r="B2353" s="219">
        <ns0:f>IFERROR(IF(AND(AH!$P$9&lt;&gt;1,$C2353&gt;0,$D2353&gt;0,$E2353&gt;0,$F2353&gt;0,$G2353&gt;0,$F2353&lt;=$A2353,$G2353&lt;=$A2353,$A2353-$F2353&lt;=10,$A2353-$G2353&lt;=5),$D2353*$E2353/$C2353-1,NA()),NA())</ns0:f>
        <ns0:v/>
      </ns0:c>
      <ns0:c r="C2353">
        <ns0:f>IFERROR(IF(ISNUMBER($A2353),IF(AND(AH!$P$10=1,AH!$P$12=1,$A2353=TODAY()),AH!$P$19,IF(AH!$P$10=1,INDEX('Live History'!$B$5:$B$3004,AH!$P$13+2348),INDEX('AH History'!$B$1:$B$18046,AH!$P$7+2348))),NA()),NA())</ns0:f>
        <ns0:v/>
      </ns0:c>
      <ns0:c r="D2353">
        <ns0:f>IFERROR(IF(ISNUMBER($A2353),IF(AND(AH!$P$10=1,AH!$P$12=1,$A2353=TODAY()),AH!$P$18,IF(AH!$P$10=1,INDEX('Live History'!$E$5:$E$3004,MATCH($A2353,'Live History'!$D$5:$D$3004,1)),INDEX('AH History'!$C$1:$C$18046,AH!$P$7+2348))),NA()),NA())</ns0:f>
        <ns0:v/>
      </ns0:c>
      <ns0:c r="E2353">
        <ns0:f>IFERROR(IF(ISNUMBER($A2353),IF(AND(AH!$P$10=1,AH!$P$12=1,$A2353=TODAY()),AH!$P$20,IF(AH!$P$10=1,INDEX('Live History'!$H$5:$H$3004,MATCH($A2353,'Live History'!$G$5:$G$3004,1)),INDEX('AH History'!$D$1:$D$18046,AH!$P$7+2348))),NA()),NA())</ns0:f>
        <ns0:v/>
      </ns0:c>
      <ns0:c r="F2353">
        <ns0:f>IFERROR(IF(ISNUMBER($A2353),IF(AND(AH!$P$10=1,AH!$P$12=1,$A2353=TODAY()),IF(AND(AH!$P$10=1,AH!$P$12=1,$A2353=TODAY()),TODAY(),NA()),IF(AH!$P$10=1,INDEX('Live History'!$D$5:$D$3004,MATCH($A2353,'Live History'!$D$5:$D$3004,1)),INDEX('AH History'!$E$1:$E$18046,AH!$P$7+2348))),NA()),NA())</ns0:f>
        <ns0:v/>
      </ns0:c>
      <ns0:c r="G2353">
        <ns0:f>IFERROR(IF(ISNUMBER($A2353),IF(AND(AH!$P$10=1,AH!$P$12=1,$A2353=TODAY()),IF(AND(AH!$P$10=1,AH!$P$12=1,$A2353=TODAY()),TODAY(),NA()),IF(AH!$P$10=1,INDEX('Live History'!$G$5:$G$3004,MATCH($A2353,'Live History'!$G$5:$G$3004,1)),INDEX('AH History'!$F$1:$F$18046,AH!$P$7+2348))),NA()),NA())</ns0:f>
        <ns0:v/>
      </ns0:c>
      <ns0:c r="H2353">
        <ns0:f>IFERROR(IF(AND(AH!$E$4="Bloomberg",AH!$P$10=1,ISNUMBER($A2353),$A2353&lt;=AH!$P$17),AH!$P$7-1+MATCH($A2353,INDEX('AH History'!$A$1:$A$18046,AH!$P$7):INDEX('AH History'!$A$1:$A$18046,AH!$P$7+AH!$P$8-1),0),0),0)</ns0:f>
        <ns0:v/>
      </ns0:c>
      <ns0:c r="I2353">
        <ns0:f>IF($H2353=0,0,IFERROR(IF(AND(ABS($C2353-INDEX('AH History'!$B$1:$B$18046,$H2353))&lt;=MAX(0.005,ABS(INDEX('AH History'!$B$1:$B$18046,$H2353))*0.00005),ABS($D2353-INDEX('AH History'!$C$1:$C$18046,$H2353))&lt;=MAX(0.005,ABS(INDEX('AH History'!$C$1:$C$18046,$H2353))*0.00005),ABS($E2353-INDEX('AH History'!$D$1:$D$18046,$H2353))&lt;=0.00005,$F2353=INDEX('AH History'!$E$1:$E$18046,$H2353),$G2353=INDEX('AH History'!$F$1:$F$18046,$H2353)),1,-1),-1))</ns0:f>
        <ns0:v/>
      </ns0:c>
    </ns0:row>
    <ns0:row r="2354">
      <ns0:c r="A2354" s="215">
        <ns0:f>IF(OR(AH!$P$3=0,2349+1&gt;AH!$P$11,AND(AH!$E$4&lt;&gt;"Stored",AH!$P$10&lt;&gt;1)),"",IFERROR(IF(AND(AH!$P$21=1,2349+1=AH!$P$11),TODAY(),IF(AH!$P$10=1,INDEX('Live History'!$A$5:$A$3004,AH!$P$13+2349),INDEX('AH History'!$A$1:$A$18046,AH!$P$7+2349))),""))</ns0:f>
        <ns0:v/>
      </ns0:c>
      <ns0:c r="B2354" s="219">
        <ns0:f>IFERROR(IF(AND(AH!$P$9&lt;&gt;1,$C2354&gt;0,$D2354&gt;0,$E2354&gt;0,$F2354&gt;0,$G2354&gt;0,$F2354&lt;=$A2354,$G2354&lt;=$A2354,$A2354-$F2354&lt;=10,$A2354-$G2354&lt;=5),$D2354*$E2354/$C2354-1,NA()),NA())</ns0:f>
        <ns0:v/>
      </ns0:c>
      <ns0:c r="C2354">
        <ns0:f>IFERROR(IF(ISNUMBER($A2354),IF(AND(AH!$P$10=1,AH!$P$12=1,$A2354=TODAY()),AH!$P$19,IF(AH!$P$10=1,INDEX('Live History'!$B$5:$B$3004,AH!$P$13+2349),INDEX('AH History'!$B$1:$B$18046,AH!$P$7+2349))),NA()),NA())</ns0:f>
        <ns0:v/>
      </ns0:c>
      <ns0:c r="D2354">
        <ns0:f>IFERROR(IF(ISNUMBER($A2354),IF(AND(AH!$P$10=1,AH!$P$12=1,$A2354=TODAY()),AH!$P$18,IF(AH!$P$10=1,INDEX('Live History'!$E$5:$E$3004,MATCH($A2354,'Live History'!$D$5:$D$3004,1)),INDEX('AH History'!$C$1:$C$18046,AH!$P$7+2349))),NA()),NA())</ns0:f>
        <ns0:v/>
      </ns0:c>
      <ns0:c r="E2354">
        <ns0:f>IFERROR(IF(ISNUMBER($A2354),IF(AND(AH!$P$10=1,AH!$P$12=1,$A2354=TODAY()),AH!$P$20,IF(AH!$P$10=1,INDEX('Live History'!$H$5:$H$3004,MATCH($A2354,'Live History'!$G$5:$G$3004,1)),INDEX('AH History'!$D$1:$D$18046,AH!$P$7+2349))),NA()),NA())</ns0:f>
        <ns0:v/>
      </ns0:c>
      <ns0:c r="F2354">
        <ns0:f>IFERROR(IF(ISNUMBER($A2354),IF(AND(AH!$P$10=1,AH!$P$12=1,$A2354=TODAY()),IF(AND(AH!$P$10=1,AH!$P$12=1,$A2354=TODAY()),TODAY(),NA()),IF(AH!$P$10=1,INDEX('Live History'!$D$5:$D$3004,MATCH($A2354,'Live History'!$D$5:$D$3004,1)),INDEX('AH History'!$E$1:$E$18046,AH!$P$7+2349))),NA()),NA())</ns0:f>
        <ns0:v/>
      </ns0:c>
      <ns0:c r="G2354">
        <ns0:f>IFERROR(IF(ISNUMBER($A2354),IF(AND(AH!$P$10=1,AH!$P$12=1,$A2354=TODAY()),IF(AND(AH!$P$10=1,AH!$P$12=1,$A2354=TODAY()),TODAY(),NA()),IF(AH!$P$10=1,INDEX('Live History'!$G$5:$G$3004,MATCH($A2354,'Live History'!$G$5:$G$3004,1)),INDEX('AH History'!$F$1:$F$18046,AH!$P$7+2349))),NA()),NA())</ns0:f>
        <ns0:v/>
      </ns0:c>
      <ns0:c r="H2354">
        <ns0:f>IFERROR(IF(AND(AH!$E$4="Bloomberg",AH!$P$10=1,ISNUMBER($A2354),$A2354&lt;=AH!$P$17),AH!$P$7-1+MATCH($A2354,INDEX('AH History'!$A$1:$A$18046,AH!$P$7):INDEX('AH History'!$A$1:$A$18046,AH!$P$7+AH!$P$8-1),0),0),0)</ns0:f>
        <ns0:v/>
      </ns0:c>
      <ns0:c r="I2354">
        <ns0:f>IF($H2354=0,0,IFERROR(IF(AND(ABS($C2354-INDEX('AH History'!$B$1:$B$18046,$H2354))&lt;=MAX(0.005,ABS(INDEX('AH History'!$B$1:$B$18046,$H2354))*0.00005),ABS($D2354-INDEX('AH History'!$C$1:$C$18046,$H2354))&lt;=MAX(0.005,ABS(INDEX('AH History'!$C$1:$C$18046,$H2354))*0.00005),ABS($E2354-INDEX('AH History'!$D$1:$D$18046,$H2354))&lt;=0.00005,$F2354=INDEX('AH History'!$E$1:$E$18046,$H2354),$G2354=INDEX('AH History'!$F$1:$F$18046,$H2354)),1,-1),-1))</ns0:f>
        <ns0:v/>
      </ns0:c>
    </ns0:row>
    <ns0:row r="2355">
      <ns0:c r="A2355" s="215">
        <ns0:f>IF(OR(AH!$P$3=0,2350+1&gt;AH!$P$11,AND(AH!$E$4&lt;&gt;"Stored",AH!$P$10&lt;&gt;1)),"",IFERROR(IF(AND(AH!$P$21=1,2350+1=AH!$P$11),TODAY(),IF(AH!$P$10=1,INDEX('Live History'!$A$5:$A$3004,AH!$P$13+2350),INDEX('AH History'!$A$1:$A$18046,AH!$P$7+2350))),""))</ns0:f>
        <ns0:v/>
      </ns0:c>
      <ns0:c r="B2355" s="219">
        <ns0:f>IFERROR(IF(AND(AH!$P$9&lt;&gt;1,$C2355&gt;0,$D2355&gt;0,$E2355&gt;0,$F2355&gt;0,$G2355&gt;0,$F2355&lt;=$A2355,$G2355&lt;=$A2355,$A2355-$F2355&lt;=10,$A2355-$G2355&lt;=5),$D2355*$E2355/$C2355-1,NA()),NA())</ns0:f>
        <ns0:v/>
      </ns0:c>
      <ns0:c r="C2355">
        <ns0:f>IFERROR(IF(ISNUMBER($A2355),IF(AND(AH!$P$10=1,AH!$P$12=1,$A2355=TODAY()),AH!$P$19,IF(AH!$P$10=1,INDEX('Live History'!$B$5:$B$3004,AH!$P$13+2350),INDEX('AH History'!$B$1:$B$18046,AH!$P$7+2350))),NA()),NA())</ns0:f>
        <ns0:v/>
      </ns0:c>
      <ns0:c r="D2355">
        <ns0:f>IFERROR(IF(ISNUMBER($A2355),IF(AND(AH!$P$10=1,AH!$P$12=1,$A2355=TODAY()),AH!$P$18,IF(AH!$P$10=1,INDEX('Live History'!$E$5:$E$3004,MATCH($A2355,'Live History'!$D$5:$D$3004,1)),INDEX('AH History'!$C$1:$C$18046,AH!$P$7+2350))),NA()),NA())</ns0:f>
        <ns0:v/>
      </ns0:c>
      <ns0:c r="E2355">
        <ns0:f>IFERROR(IF(ISNUMBER($A2355),IF(AND(AH!$P$10=1,AH!$P$12=1,$A2355=TODAY()),AH!$P$20,IF(AH!$P$10=1,INDEX('Live History'!$H$5:$H$3004,MATCH($A2355,'Live History'!$G$5:$G$3004,1)),INDEX('AH History'!$D$1:$D$18046,AH!$P$7+2350))),NA()),NA())</ns0:f>
        <ns0:v/>
      </ns0:c>
      <ns0:c r="F2355">
        <ns0:f>IFERROR(IF(ISNUMBER($A2355),IF(AND(AH!$P$10=1,AH!$P$12=1,$A2355=TODAY()),IF(AND(AH!$P$10=1,AH!$P$12=1,$A2355=TODAY()),TODAY(),NA()),IF(AH!$P$10=1,INDEX('Live History'!$D$5:$D$3004,MATCH($A2355,'Live History'!$D$5:$D$3004,1)),INDEX('AH History'!$E$1:$E$18046,AH!$P$7+2350))),NA()),NA())</ns0:f>
        <ns0:v/>
      </ns0:c>
      <ns0:c r="G2355">
        <ns0:f>IFERROR(IF(ISNUMBER($A2355),IF(AND(AH!$P$10=1,AH!$P$12=1,$A2355=TODAY()),IF(AND(AH!$P$10=1,AH!$P$12=1,$A2355=TODAY()),TODAY(),NA()),IF(AH!$P$10=1,INDEX('Live History'!$G$5:$G$3004,MATCH($A2355,'Live History'!$G$5:$G$3004,1)),INDEX('AH History'!$F$1:$F$18046,AH!$P$7+2350))),NA()),NA())</ns0:f>
        <ns0:v/>
      </ns0:c>
      <ns0:c r="H2355">
        <ns0:f>IFERROR(IF(AND(AH!$E$4="Bloomberg",AH!$P$10=1,ISNUMBER($A2355),$A2355&lt;=AH!$P$17),AH!$P$7-1+MATCH($A2355,INDEX('AH History'!$A$1:$A$18046,AH!$P$7):INDEX('AH History'!$A$1:$A$18046,AH!$P$7+AH!$P$8-1),0),0),0)</ns0:f>
        <ns0:v/>
      </ns0:c>
      <ns0:c r="I2355">
        <ns0:f>IF($H2355=0,0,IFERROR(IF(AND(ABS($C2355-INDEX('AH History'!$B$1:$B$18046,$H2355))&lt;=MAX(0.005,ABS(INDEX('AH History'!$B$1:$B$18046,$H2355))*0.00005),ABS($D2355-INDEX('AH History'!$C$1:$C$18046,$H2355))&lt;=MAX(0.005,ABS(INDEX('AH History'!$C$1:$C$18046,$H2355))*0.00005),ABS($E2355-INDEX('AH History'!$D$1:$D$18046,$H2355))&lt;=0.00005,$F2355=INDEX('AH History'!$E$1:$E$18046,$H2355),$G2355=INDEX('AH History'!$F$1:$F$18046,$H2355)),1,-1),-1))</ns0:f>
        <ns0:v/>
      </ns0:c>
    </ns0:row>
    <ns0:row r="2356">
      <ns0:c r="A2356" s="215">
        <ns0:f>IF(OR(AH!$P$3=0,2351+1&gt;AH!$P$11,AND(AH!$E$4&lt;&gt;"Stored",AH!$P$10&lt;&gt;1)),"",IFERROR(IF(AND(AH!$P$21=1,2351+1=AH!$P$11),TODAY(),IF(AH!$P$10=1,INDEX('Live History'!$A$5:$A$3004,AH!$P$13+2351),INDEX('AH History'!$A$1:$A$18046,AH!$P$7+2351))),""))</ns0:f>
        <ns0:v/>
      </ns0:c>
      <ns0:c r="B2356" s="219">
        <ns0:f>IFERROR(IF(AND(AH!$P$9&lt;&gt;1,$C2356&gt;0,$D2356&gt;0,$E2356&gt;0,$F2356&gt;0,$G2356&gt;0,$F2356&lt;=$A2356,$G2356&lt;=$A2356,$A2356-$F2356&lt;=10,$A2356-$G2356&lt;=5),$D2356*$E2356/$C2356-1,NA()),NA())</ns0:f>
        <ns0:v/>
      </ns0:c>
      <ns0:c r="C2356">
        <ns0:f>IFERROR(IF(ISNUMBER($A2356),IF(AND(AH!$P$10=1,AH!$P$12=1,$A2356=TODAY()),AH!$P$19,IF(AH!$P$10=1,INDEX('Live History'!$B$5:$B$3004,AH!$P$13+2351),INDEX('AH History'!$B$1:$B$18046,AH!$P$7+2351))),NA()),NA())</ns0:f>
        <ns0:v/>
      </ns0:c>
      <ns0:c r="D2356">
        <ns0:f>IFERROR(IF(ISNUMBER($A2356),IF(AND(AH!$P$10=1,AH!$P$12=1,$A2356=TODAY()),AH!$P$18,IF(AH!$P$10=1,INDEX('Live History'!$E$5:$E$3004,MATCH($A2356,'Live History'!$D$5:$D$3004,1)),INDEX('AH History'!$C$1:$C$18046,AH!$P$7+2351))),NA()),NA())</ns0:f>
        <ns0:v/>
      </ns0:c>
      <ns0:c r="E2356">
        <ns0:f>IFERROR(IF(ISNUMBER($A2356),IF(AND(AH!$P$10=1,AH!$P$12=1,$A2356=TODAY()),AH!$P$20,IF(AH!$P$10=1,INDEX('Live History'!$H$5:$H$3004,MATCH($A2356,'Live History'!$G$5:$G$3004,1)),INDEX('AH History'!$D$1:$D$18046,AH!$P$7+2351))),NA()),NA())</ns0:f>
        <ns0:v/>
      </ns0:c>
      <ns0:c r="F2356">
        <ns0:f>IFERROR(IF(ISNUMBER($A2356),IF(AND(AH!$P$10=1,AH!$P$12=1,$A2356=TODAY()),IF(AND(AH!$P$10=1,AH!$P$12=1,$A2356=TODAY()),TODAY(),NA()),IF(AH!$P$10=1,INDEX('Live History'!$D$5:$D$3004,MATCH($A2356,'Live History'!$D$5:$D$3004,1)),INDEX('AH History'!$E$1:$E$18046,AH!$P$7+2351))),NA()),NA())</ns0:f>
        <ns0:v/>
      </ns0:c>
      <ns0:c r="G2356">
        <ns0:f>IFERROR(IF(ISNUMBER($A2356),IF(AND(AH!$P$10=1,AH!$P$12=1,$A2356=TODAY()),IF(AND(AH!$P$10=1,AH!$P$12=1,$A2356=TODAY()),TODAY(),NA()),IF(AH!$P$10=1,INDEX('Live History'!$G$5:$G$3004,MATCH($A2356,'Live History'!$G$5:$G$3004,1)),INDEX('AH History'!$F$1:$F$18046,AH!$P$7+2351))),NA()),NA())</ns0:f>
        <ns0:v/>
      </ns0:c>
      <ns0:c r="H2356">
        <ns0:f>IFERROR(IF(AND(AH!$E$4="Bloomberg",AH!$P$10=1,ISNUMBER($A2356),$A2356&lt;=AH!$P$17),AH!$P$7-1+MATCH($A2356,INDEX('AH History'!$A$1:$A$18046,AH!$P$7):INDEX('AH History'!$A$1:$A$18046,AH!$P$7+AH!$P$8-1),0),0),0)</ns0:f>
        <ns0:v/>
      </ns0:c>
      <ns0:c r="I2356">
        <ns0:f>IF($H2356=0,0,IFERROR(IF(AND(ABS($C2356-INDEX('AH History'!$B$1:$B$18046,$H2356))&lt;=MAX(0.005,ABS(INDEX('AH History'!$B$1:$B$18046,$H2356))*0.00005),ABS($D2356-INDEX('AH History'!$C$1:$C$18046,$H2356))&lt;=MAX(0.005,ABS(INDEX('AH History'!$C$1:$C$18046,$H2356))*0.00005),ABS($E2356-INDEX('AH History'!$D$1:$D$18046,$H2356))&lt;=0.00005,$F2356=INDEX('AH History'!$E$1:$E$18046,$H2356),$G2356=INDEX('AH History'!$F$1:$F$18046,$H2356)),1,-1),-1))</ns0:f>
        <ns0:v/>
      </ns0:c>
    </ns0:row>
    <ns0:row r="2357">
      <ns0:c r="A2357" s="215">
        <ns0:f>IF(OR(AH!$P$3=0,2352+1&gt;AH!$P$11,AND(AH!$E$4&lt;&gt;"Stored",AH!$P$10&lt;&gt;1)),"",IFERROR(IF(AND(AH!$P$21=1,2352+1=AH!$P$11),TODAY(),IF(AH!$P$10=1,INDEX('Live History'!$A$5:$A$3004,AH!$P$13+2352),INDEX('AH History'!$A$1:$A$18046,AH!$P$7+2352))),""))</ns0:f>
        <ns0:v/>
      </ns0:c>
      <ns0:c r="B2357" s="219">
        <ns0:f>IFERROR(IF(AND(AH!$P$9&lt;&gt;1,$C2357&gt;0,$D2357&gt;0,$E2357&gt;0,$F2357&gt;0,$G2357&gt;0,$F2357&lt;=$A2357,$G2357&lt;=$A2357,$A2357-$F2357&lt;=10,$A2357-$G2357&lt;=5),$D2357*$E2357/$C2357-1,NA()),NA())</ns0:f>
        <ns0:v/>
      </ns0:c>
      <ns0:c r="C2357">
        <ns0:f>IFERROR(IF(ISNUMBER($A2357),IF(AND(AH!$P$10=1,AH!$P$12=1,$A2357=TODAY()),AH!$P$19,IF(AH!$P$10=1,INDEX('Live History'!$B$5:$B$3004,AH!$P$13+2352),INDEX('AH History'!$B$1:$B$18046,AH!$P$7+2352))),NA()),NA())</ns0:f>
        <ns0:v/>
      </ns0:c>
      <ns0:c r="D2357">
        <ns0:f>IFERROR(IF(ISNUMBER($A2357),IF(AND(AH!$P$10=1,AH!$P$12=1,$A2357=TODAY()),AH!$P$18,IF(AH!$P$10=1,INDEX('Live History'!$E$5:$E$3004,MATCH($A2357,'Live History'!$D$5:$D$3004,1)),INDEX('AH History'!$C$1:$C$18046,AH!$P$7+2352))),NA()),NA())</ns0:f>
        <ns0:v/>
      </ns0:c>
      <ns0:c r="E2357">
        <ns0:f>IFERROR(IF(ISNUMBER($A2357),IF(AND(AH!$P$10=1,AH!$P$12=1,$A2357=TODAY()),AH!$P$20,IF(AH!$P$10=1,INDEX('Live History'!$H$5:$H$3004,MATCH($A2357,'Live History'!$G$5:$G$3004,1)),INDEX('AH History'!$D$1:$D$18046,AH!$P$7+2352))),NA()),NA())</ns0:f>
        <ns0:v/>
      </ns0:c>
      <ns0:c r="F2357">
        <ns0:f>IFERROR(IF(ISNUMBER($A2357),IF(AND(AH!$P$10=1,AH!$P$12=1,$A2357=TODAY()),IF(AND(AH!$P$10=1,AH!$P$12=1,$A2357=TODAY()),TODAY(),NA()),IF(AH!$P$10=1,INDEX('Live History'!$D$5:$D$3004,MATCH($A2357,'Live History'!$D$5:$D$3004,1)),INDEX('AH History'!$E$1:$E$18046,AH!$P$7+2352))),NA()),NA())</ns0:f>
        <ns0:v/>
      </ns0:c>
      <ns0:c r="G2357">
        <ns0:f>IFERROR(IF(ISNUMBER($A2357),IF(AND(AH!$P$10=1,AH!$P$12=1,$A2357=TODAY()),IF(AND(AH!$P$10=1,AH!$P$12=1,$A2357=TODAY()),TODAY(),NA()),IF(AH!$P$10=1,INDEX('Live History'!$G$5:$G$3004,MATCH($A2357,'Live History'!$G$5:$G$3004,1)),INDEX('AH History'!$F$1:$F$18046,AH!$P$7+2352))),NA()),NA())</ns0:f>
        <ns0:v/>
      </ns0:c>
      <ns0:c r="H2357">
        <ns0:f>IFERROR(IF(AND(AH!$E$4="Bloomberg",AH!$P$10=1,ISNUMBER($A2357),$A2357&lt;=AH!$P$17),AH!$P$7-1+MATCH($A2357,INDEX('AH History'!$A$1:$A$18046,AH!$P$7):INDEX('AH History'!$A$1:$A$18046,AH!$P$7+AH!$P$8-1),0),0),0)</ns0:f>
        <ns0:v/>
      </ns0:c>
      <ns0:c r="I2357">
        <ns0:f>IF($H2357=0,0,IFERROR(IF(AND(ABS($C2357-INDEX('AH History'!$B$1:$B$18046,$H2357))&lt;=MAX(0.005,ABS(INDEX('AH History'!$B$1:$B$18046,$H2357))*0.00005),ABS($D2357-INDEX('AH History'!$C$1:$C$18046,$H2357))&lt;=MAX(0.005,ABS(INDEX('AH History'!$C$1:$C$18046,$H2357))*0.00005),ABS($E2357-INDEX('AH History'!$D$1:$D$18046,$H2357))&lt;=0.00005,$F2357=INDEX('AH History'!$E$1:$E$18046,$H2357),$G2357=INDEX('AH History'!$F$1:$F$18046,$H2357)),1,-1),-1))</ns0:f>
        <ns0:v/>
      </ns0:c>
    </ns0:row>
    <ns0:row r="2358">
      <ns0:c r="A2358" s="215">
        <ns0:f>IF(OR(AH!$P$3=0,2353+1&gt;AH!$P$11,AND(AH!$E$4&lt;&gt;"Stored",AH!$P$10&lt;&gt;1)),"",IFERROR(IF(AND(AH!$P$21=1,2353+1=AH!$P$11),TODAY(),IF(AH!$P$10=1,INDEX('Live History'!$A$5:$A$3004,AH!$P$13+2353),INDEX('AH History'!$A$1:$A$18046,AH!$P$7+2353))),""))</ns0:f>
        <ns0:v/>
      </ns0:c>
      <ns0:c r="B2358" s="219">
        <ns0:f>IFERROR(IF(AND(AH!$P$9&lt;&gt;1,$C2358&gt;0,$D2358&gt;0,$E2358&gt;0,$F2358&gt;0,$G2358&gt;0,$F2358&lt;=$A2358,$G2358&lt;=$A2358,$A2358-$F2358&lt;=10,$A2358-$G2358&lt;=5),$D2358*$E2358/$C2358-1,NA()),NA())</ns0:f>
        <ns0:v/>
      </ns0:c>
      <ns0:c r="C2358">
        <ns0:f>IFERROR(IF(ISNUMBER($A2358),IF(AND(AH!$P$10=1,AH!$P$12=1,$A2358=TODAY()),AH!$P$19,IF(AH!$P$10=1,INDEX('Live History'!$B$5:$B$3004,AH!$P$13+2353),INDEX('AH History'!$B$1:$B$18046,AH!$P$7+2353))),NA()),NA())</ns0:f>
        <ns0:v/>
      </ns0:c>
      <ns0:c r="D2358">
        <ns0:f>IFERROR(IF(ISNUMBER($A2358),IF(AND(AH!$P$10=1,AH!$P$12=1,$A2358=TODAY()),AH!$P$18,IF(AH!$P$10=1,INDEX('Live History'!$E$5:$E$3004,MATCH($A2358,'Live History'!$D$5:$D$3004,1)),INDEX('AH History'!$C$1:$C$18046,AH!$P$7+2353))),NA()),NA())</ns0:f>
        <ns0:v/>
      </ns0:c>
      <ns0:c r="E2358">
        <ns0:f>IFERROR(IF(ISNUMBER($A2358),IF(AND(AH!$P$10=1,AH!$P$12=1,$A2358=TODAY()),AH!$P$20,IF(AH!$P$10=1,INDEX('Live History'!$H$5:$H$3004,MATCH($A2358,'Live History'!$G$5:$G$3004,1)),INDEX('AH History'!$D$1:$D$18046,AH!$P$7+2353))),NA()),NA())</ns0:f>
        <ns0:v/>
      </ns0:c>
      <ns0:c r="F2358">
        <ns0:f>IFERROR(IF(ISNUMBER($A2358),IF(AND(AH!$P$10=1,AH!$P$12=1,$A2358=TODAY()),IF(AND(AH!$P$10=1,AH!$P$12=1,$A2358=TODAY()),TODAY(),NA()),IF(AH!$P$10=1,INDEX('Live History'!$D$5:$D$3004,MATCH($A2358,'Live History'!$D$5:$D$3004,1)),INDEX('AH History'!$E$1:$E$18046,AH!$P$7+2353))),NA()),NA())</ns0:f>
        <ns0:v/>
      </ns0:c>
      <ns0:c r="G2358">
        <ns0:f>IFERROR(IF(ISNUMBER($A2358),IF(AND(AH!$P$10=1,AH!$P$12=1,$A2358=TODAY()),IF(AND(AH!$P$10=1,AH!$P$12=1,$A2358=TODAY()),TODAY(),NA()),IF(AH!$P$10=1,INDEX('Live History'!$G$5:$G$3004,MATCH($A2358,'Live History'!$G$5:$G$3004,1)),INDEX('AH History'!$F$1:$F$18046,AH!$P$7+2353))),NA()),NA())</ns0:f>
        <ns0:v/>
      </ns0:c>
      <ns0:c r="H2358">
        <ns0:f>IFERROR(IF(AND(AH!$E$4="Bloomberg",AH!$P$10=1,ISNUMBER($A2358),$A2358&lt;=AH!$P$17),AH!$P$7-1+MATCH($A2358,INDEX('AH History'!$A$1:$A$18046,AH!$P$7):INDEX('AH History'!$A$1:$A$18046,AH!$P$7+AH!$P$8-1),0),0),0)</ns0:f>
        <ns0:v/>
      </ns0:c>
      <ns0:c r="I2358">
        <ns0:f>IF($H2358=0,0,IFERROR(IF(AND(ABS($C2358-INDEX('AH History'!$B$1:$B$18046,$H2358))&lt;=MAX(0.005,ABS(INDEX('AH History'!$B$1:$B$18046,$H2358))*0.00005),ABS($D2358-INDEX('AH History'!$C$1:$C$18046,$H2358))&lt;=MAX(0.005,ABS(INDEX('AH History'!$C$1:$C$18046,$H2358))*0.00005),ABS($E2358-INDEX('AH History'!$D$1:$D$18046,$H2358))&lt;=0.00005,$F2358=INDEX('AH History'!$E$1:$E$18046,$H2358),$G2358=INDEX('AH History'!$F$1:$F$18046,$H2358)),1,-1),-1))</ns0:f>
        <ns0:v/>
      </ns0:c>
    </ns0:row>
    <ns0:row r="2359">
      <ns0:c r="A2359" s="215">
        <ns0:f>IF(OR(AH!$P$3=0,2354+1&gt;AH!$P$11,AND(AH!$E$4&lt;&gt;"Stored",AH!$P$10&lt;&gt;1)),"",IFERROR(IF(AND(AH!$P$21=1,2354+1=AH!$P$11),TODAY(),IF(AH!$P$10=1,INDEX('Live History'!$A$5:$A$3004,AH!$P$13+2354),INDEX('AH History'!$A$1:$A$18046,AH!$P$7+2354))),""))</ns0:f>
        <ns0:v/>
      </ns0:c>
      <ns0:c r="B2359" s="219">
        <ns0:f>IFERROR(IF(AND(AH!$P$9&lt;&gt;1,$C2359&gt;0,$D2359&gt;0,$E2359&gt;0,$F2359&gt;0,$G2359&gt;0,$F2359&lt;=$A2359,$G2359&lt;=$A2359,$A2359-$F2359&lt;=10,$A2359-$G2359&lt;=5),$D2359*$E2359/$C2359-1,NA()),NA())</ns0:f>
        <ns0:v/>
      </ns0:c>
      <ns0:c r="C2359">
        <ns0:f>IFERROR(IF(ISNUMBER($A2359),IF(AND(AH!$P$10=1,AH!$P$12=1,$A2359=TODAY()),AH!$P$19,IF(AH!$P$10=1,INDEX('Live History'!$B$5:$B$3004,AH!$P$13+2354),INDEX('AH History'!$B$1:$B$18046,AH!$P$7+2354))),NA()),NA())</ns0:f>
        <ns0:v/>
      </ns0:c>
      <ns0:c r="D2359">
        <ns0:f>IFERROR(IF(ISNUMBER($A2359),IF(AND(AH!$P$10=1,AH!$P$12=1,$A2359=TODAY()),AH!$P$18,IF(AH!$P$10=1,INDEX('Live History'!$E$5:$E$3004,MATCH($A2359,'Live History'!$D$5:$D$3004,1)),INDEX('AH History'!$C$1:$C$18046,AH!$P$7+2354))),NA()),NA())</ns0:f>
        <ns0:v/>
      </ns0:c>
      <ns0:c r="E2359">
        <ns0:f>IFERROR(IF(ISNUMBER($A2359),IF(AND(AH!$P$10=1,AH!$P$12=1,$A2359=TODAY()),AH!$P$20,IF(AH!$P$10=1,INDEX('Live History'!$H$5:$H$3004,MATCH($A2359,'Live History'!$G$5:$G$3004,1)),INDEX('AH History'!$D$1:$D$18046,AH!$P$7+2354))),NA()),NA())</ns0:f>
        <ns0:v/>
      </ns0:c>
      <ns0:c r="F2359">
        <ns0:f>IFERROR(IF(ISNUMBER($A2359),IF(AND(AH!$P$10=1,AH!$P$12=1,$A2359=TODAY()),IF(AND(AH!$P$10=1,AH!$P$12=1,$A2359=TODAY()),TODAY(),NA()),IF(AH!$P$10=1,INDEX('Live History'!$D$5:$D$3004,MATCH($A2359,'Live History'!$D$5:$D$3004,1)),INDEX('AH History'!$E$1:$E$18046,AH!$P$7+2354))),NA()),NA())</ns0:f>
        <ns0:v/>
      </ns0:c>
      <ns0:c r="G2359">
        <ns0:f>IFERROR(IF(ISNUMBER($A2359),IF(AND(AH!$P$10=1,AH!$P$12=1,$A2359=TODAY()),IF(AND(AH!$P$10=1,AH!$P$12=1,$A2359=TODAY()),TODAY(),NA()),IF(AH!$P$10=1,INDEX('Live History'!$G$5:$G$3004,MATCH($A2359,'Live History'!$G$5:$G$3004,1)),INDEX('AH History'!$F$1:$F$18046,AH!$P$7+2354))),NA()),NA())</ns0:f>
        <ns0:v/>
      </ns0:c>
      <ns0:c r="H2359">
        <ns0:f>IFERROR(IF(AND(AH!$E$4="Bloomberg",AH!$P$10=1,ISNUMBER($A2359),$A2359&lt;=AH!$P$17),AH!$P$7-1+MATCH($A2359,INDEX('AH History'!$A$1:$A$18046,AH!$P$7):INDEX('AH History'!$A$1:$A$18046,AH!$P$7+AH!$P$8-1),0),0),0)</ns0:f>
        <ns0:v/>
      </ns0:c>
      <ns0:c r="I2359">
        <ns0:f>IF($H2359=0,0,IFERROR(IF(AND(ABS($C2359-INDEX('AH History'!$B$1:$B$18046,$H2359))&lt;=MAX(0.005,ABS(INDEX('AH History'!$B$1:$B$18046,$H2359))*0.00005),ABS($D2359-INDEX('AH History'!$C$1:$C$18046,$H2359))&lt;=MAX(0.005,ABS(INDEX('AH History'!$C$1:$C$18046,$H2359))*0.00005),ABS($E2359-INDEX('AH History'!$D$1:$D$18046,$H2359))&lt;=0.00005,$F2359=INDEX('AH History'!$E$1:$E$18046,$H2359),$G2359=INDEX('AH History'!$F$1:$F$18046,$H2359)),1,-1),-1))</ns0:f>
        <ns0:v/>
      </ns0:c>
    </ns0:row>
    <ns0:row r="2360">
      <ns0:c r="A2360" s="215">
        <ns0:f>IF(OR(AH!$P$3=0,2355+1&gt;AH!$P$11,AND(AH!$E$4&lt;&gt;"Stored",AH!$P$10&lt;&gt;1)),"",IFERROR(IF(AND(AH!$P$21=1,2355+1=AH!$P$11),TODAY(),IF(AH!$P$10=1,INDEX('Live History'!$A$5:$A$3004,AH!$P$13+2355),INDEX('AH History'!$A$1:$A$18046,AH!$P$7+2355))),""))</ns0:f>
        <ns0:v/>
      </ns0:c>
      <ns0:c r="B2360" s="219">
        <ns0:f>IFERROR(IF(AND(AH!$P$9&lt;&gt;1,$C2360&gt;0,$D2360&gt;0,$E2360&gt;0,$F2360&gt;0,$G2360&gt;0,$F2360&lt;=$A2360,$G2360&lt;=$A2360,$A2360-$F2360&lt;=10,$A2360-$G2360&lt;=5),$D2360*$E2360/$C2360-1,NA()),NA())</ns0:f>
        <ns0:v/>
      </ns0:c>
      <ns0:c r="C2360">
        <ns0:f>IFERROR(IF(ISNUMBER($A2360),IF(AND(AH!$P$10=1,AH!$P$12=1,$A2360=TODAY()),AH!$P$19,IF(AH!$P$10=1,INDEX('Live History'!$B$5:$B$3004,AH!$P$13+2355),INDEX('AH History'!$B$1:$B$18046,AH!$P$7+2355))),NA()),NA())</ns0:f>
        <ns0:v/>
      </ns0:c>
      <ns0:c r="D2360">
        <ns0:f>IFERROR(IF(ISNUMBER($A2360),IF(AND(AH!$P$10=1,AH!$P$12=1,$A2360=TODAY()),AH!$P$18,IF(AH!$P$10=1,INDEX('Live History'!$E$5:$E$3004,MATCH($A2360,'Live History'!$D$5:$D$3004,1)),INDEX('AH History'!$C$1:$C$18046,AH!$P$7+2355))),NA()),NA())</ns0:f>
        <ns0:v/>
      </ns0:c>
      <ns0:c r="E2360">
        <ns0:f>IFERROR(IF(ISNUMBER($A2360),IF(AND(AH!$P$10=1,AH!$P$12=1,$A2360=TODAY()),AH!$P$20,IF(AH!$P$10=1,INDEX('Live History'!$H$5:$H$3004,MATCH($A2360,'Live History'!$G$5:$G$3004,1)),INDEX('AH History'!$D$1:$D$18046,AH!$P$7+2355))),NA()),NA())</ns0:f>
        <ns0:v/>
      </ns0:c>
      <ns0:c r="F2360">
        <ns0:f>IFERROR(IF(ISNUMBER($A2360),IF(AND(AH!$P$10=1,AH!$P$12=1,$A2360=TODAY()),IF(AND(AH!$P$10=1,AH!$P$12=1,$A2360=TODAY()),TODAY(),NA()),IF(AH!$P$10=1,INDEX('Live History'!$D$5:$D$3004,MATCH($A2360,'Live History'!$D$5:$D$3004,1)),INDEX('AH History'!$E$1:$E$18046,AH!$P$7+2355))),NA()),NA())</ns0:f>
        <ns0:v/>
      </ns0:c>
      <ns0:c r="G2360">
        <ns0:f>IFERROR(IF(ISNUMBER($A2360),IF(AND(AH!$P$10=1,AH!$P$12=1,$A2360=TODAY()),IF(AND(AH!$P$10=1,AH!$P$12=1,$A2360=TODAY()),TODAY(),NA()),IF(AH!$P$10=1,INDEX('Live History'!$G$5:$G$3004,MATCH($A2360,'Live History'!$G$5:$G$3004,1)),INDEX('AH History'!$F$1:$F$18046,AH!$P$7+2355))),NA()),NA())</ns0:f>
        <ns0:v/>
      </ns0:c>
      <ns0:c r="H2360">
        <ns0:f>IFERROR(IF(AND(AH!$E$4="Bloomberg",AH!$P$10=1,ISNUMBER($A2360),$A2360&lt;=AH!$P$17),AH!$P$7-1+MATCH($A2360,INDEX('AH History'!$A$1:$A$18046,AH!$P$7):INDEX('AH History'!$A$1:$A$18046,AH!$P$7+AH!$P$8-1),0),0),0)</ns0:f>
        <ns0:v/>
      </ns0:c>
      <ns0:c r="I2360">
        <ns0:f>IF($H2360=0,0,IFERROR(IF(AND(ABS($C2360-INDEX('AH History'!$B$1:$B$18046,$H2360))&lt;=MAX(0.005,ABS(INDEX('AH History'!$B$1:$B$18046,$H2360))*0.00005),ABS($D2360-INDEX('AH History'!$C$1:$C$18046,$H2360))&lt;=MAX(0.005,ABS(INDEX('AH History'!$C$1:$C$18046,$H2360))*0.00005),ABS($E2360-INDEX('AH History'!$D$1:$D$18046,$H2360))&lt;=0.00005,$F2360=INDEX('AH History'!$E$1:$E$18046,$H2360),$G2360=INDEX('AH History'!$F$1:$F$18046,$H2360)),1,-1),-1))</ns0:f>
        <ns0:v/>
      </ns0:c>
    </ns0:row>
    <ns0:row r="2361">
      <ns0:c r="A2361" s="215">
        <ns0:f>IF(OR(AH!$P$3=0,2356+1&gt;AH!$P$11,AND(AH!$E$4&lt;&gt;"Stored",AH!$P$10&lt;&gt;1)),"",IFERROR(IF(AND(AH!$P$21=1,2356+1=AH!$P$11),TODAY(),IF(AH!$P$10=1,INDEX('Live History'!$A$5:$A$3004,AH!$P$13+2356),INDEX('AH History'!$A$1:$A$18046,AH!$P$7+2356))),""))</ns0:f>
        <ns0:v/>
      </ns0:c>
      <ns0:c r="B2361" s="219">
        <ns0:f>IFERROR(IF(AND(AH!$P$9&lt;&gt;1,$C2361&gt;0,$D2361&gt;0,$E2361&gt;0,$F2361&gt;0,$G2361&gt;0,$F2361&lt;=$A2361,$G2361&lt;=$A2361,$A2361-$F2361&lt;=10,$A2361-$G2361&lt;=5),$D2361*$E2361/$C2361-1,NA()),NA())</ns0:f>
        <ns0:v/>
      </ns0:c>
      <ns0:c r="C2361">
        <ns0:f>IFERROR(IF(ISNUMBER($A2361),IF(AND(AH!$P$10=1,AH!$P$12=1,$A2361=TODAY()),AH!$P$19,IF(AH!$P$10=1,INDEX('Live History'!$B$5:$B$3004,AH!$P$13+2356),INDEX('AH History'!$B$1:$B$18046,AH!$P$7+2356))),NA()),NA())</ns0:f>
        <ns0:v/>
      </ns0:c>
      <ns0:c r="D2361">
        <ns0:f>IFERROR(IF(ISNUMBER($A2361),IF(AND(AH!$P$10=1,AH!$P$12=1,$A2361=TODAY()),AH!$P$18,IF(AH!$P$10=1,INDEX('Live History'!$E$5:$E$3004,MATCH($A2361,'Live History'!$D$5:$D$3004,1)),INDEX('AH History'!$C$1:$C$18046,AH!$P$7+2356))),NA()),NA())</ns0:f>
        <ns0:v/>
      </ns0:c>
      <ns0:c r="E2361">
        <ns0:f>IFERROR(IF(ISNUMBER($A2361),IF(AND(AH!$P$10=1,AH!$P$12=1,$A2361=TODAY()),AH!$P$20,IF(AH!$P$10=1,INDEX('Live History'!$H$5:$H$3004,MATCH($A2361,'Live History'!$G$5:$G$3004,1)),INDEX('AH History'!$D$1:$D$18046,AH!$P$7+2356))),NA()),NA())</ns0:f>
        <ns0:v/>
      </ns0:c>
      <ns0:c r="F2361">
        <ns0:f>IFERROR(IF(ISNUMBER($A2361),IF(AND(AH!$P$10=1,AH!$P$12=1,$A2361=TODAY()),IF(AND(AH!$P$10=1,AH!$P$12=1,$A2361=TODAY()),TODAY(),NA()),IF(AH!$P$10=1,INDEX('Live History'!$D$5:$D$3004,MATCH($A2361,'Live History'!$D$5:$D$3004,1)),INDEX('AH History'!$E$1:$E$18046,AH!$P$7+2356))),NA()),NA())</ns0:f>
        <ns0:v/>
      </ns0:c>
      <ns0:c r="G2361">
        <ns0:f>IFERROR(IF(ISNUMBER($A2361),IF(AND(AH!$P$10=1,AH!$P$12=1,$A2361=TODAY()),IF(AND(AH!$P$10=1,AH!$P$12=1,$A2361=TODAY()),TODAY(),NA()),IF(AH!$P$10=1,INDEX('Live History'!$G$5:$G$3004,MATCH($A2361,'Live History'!$G$5:$G$3004,1)),INDEX('AH History'!$F$1:$F$18046,AH!$P$7+2356))),NA()),NA())</ns0:f>
        <ns0:v/>
      </ns0:c>
      <ns0:c r="H2361">
        <ns0:f>IFERROR(IF(AND(AH!$E$4="Bloomberg",AH!$P$10=1,ISNUMBER($A2361),$A2361&lt;=AH!$P$17),AH!$P$7-1+MATCH($A2361,INDEX('AH History'!$A$1:$A$18046,AH!$P$7):INDEX('AH History'!$A$1:$A$18046,AH!$P$7+AH!$P$8-1),0),0),0)</ns0:f>
        <ns0:v/>
      </ns0:c>
      <ns0:c r="I2361">
        <ns0:f>IF($H2361=0,0,IFERROR(IF(AND(ABS($C2361-INDEX('AH History'!$B$1:$B$18046,$H2361))&lt;=MAX(0.005,ABS(INDEX('AH History'!$B$1:$B$18046,$H2361))*0.00005),ABS($D2361-INDEX('AH History'!$C$1:$C$18046,$H2361))&lt;=MAX(0.005,ABS(INDEX('AH History'!$C$1:$C$18046,$H2361))*0.00005),ABS($E2361-INDEX('AH History'!$D$1:$D$18046,$H2361))&lt;=0.00005,$F2361=INDEX('AH History'!$E$1:$E$18046,$H2361),$G2361=INDEX('AH History'!$F$1:$F$18046,$H2361)),1,-1),-1))</ns0:f>
        <ns0:v/>
      </ns0:c>
    </ns0:row>
    <ns0:row r="2362">
      <ns0:c r="A2362" s="215">
        <ns0:f>IF(OR(AH!$P$3=0,2357+1&gt;AH!$P$11,AND(AH!$E$4&lt;&gt;"Stored",AH!$P$10&lt;&gt;1)),"",IFERROR(IF(AND(AH!$P$21=1,2357+1=AH!$P$11),TODAY(),IF(AH!$P$10=1,INDEX('Live History'!$A$5:$A$3004,AH!$P$13+2357),INDEX('AH History'!$A$1:$A$18046,AH!$P$7+2357))),""))</ns0:f>
        <ns0:v/>
      </ns0:c>
      <ns0:c r="B2362" s="219">
        <ns0:f>IFERROR(IF(AND(AH!$P$9&lt;&gt;1,$C2362&gt;0,$D2362&gt;0,$E2362&gt;0,$F2362&gt;0,$G2362&gt;0,$F2362&lt;=$A2362,$G2362&lt;=$A2362,$A2362-$F2362&lt;=10,$A2362-$G2362&lt;=5),$D2362*$E2362/$C2362-1,NA()),NA())</ns0:f>
        <ns0:v/>
      </ns0:c>
      <ns0:c r="C2362">
        <ns0:f>IFERROR(IF(ISNUMBER($A2362),IF(AND(AH!$P$10=1,AH!$P$12=1,$A2362=TODAY()),AH!$P$19,IF(AH!$P$10=1,INDEX('Live History'!$B$5:$B$3004,AH!$P$13+2357),INDEX('AH History'!$B$1:$B$18046,AH!$P$7+2357))),NA()),NA())</ns0:f>
        <ns0:v/>
      </ns0:c>
      <ns0:c r="D2362">
        <ns0:f>IFERROR(IF(ISNUMBER($A2362),IF(AND(AH!$P$10=1,AH!$P$12=1,$A2362=TODAY()),AH!$P$18,IF(AH!$P$10=1,INDEX('Live History'!$E$5:$E$3004,MATCH($A2362,'Live History'!$D$5:$D$3004,1)),INDEX('AH History'!$C$1:$C$18046,AH!$P$7+2357))),NA()),NA())</ns0:f>
        <ns0:v/>
      </ns0:c>
      <ns0:c r="E2362">
        <ns0:f>IFERROR(IF(ISNUMBER($A2362),IF(AND(AH!$P$10=1,AH!$P$12=1,$A2362=TODAY()),AH!$P$20,IF(AH!$P$10=1,INDEX('Live History'!$H$5:$H$3004,MATCH($A2362,'Live History'!$G$5:$G$3004,1)),INDEX('AH History'!$D$1:$D$18046,AH!$P$7+2357))),NA()),NA())</ns0:f>
        <ns0:v/>
      </ns0:c>
      <ns0:c r="F2362">
        <ns0:f>IFERROR(IF(ISNUMBER($A2362),IF(AND(AH!$P$10=1,AH!$P$12=1,$A2362=TODAY()),IF(AND(AH!$P$10=1,AH!$P$12=1,$A2362=TODAY()),TODAY(),NA()),IF(AH!$P$10=1,INDEX('Live History'!$D$5:$D$3004,MATCH($A2362,'Live History'!$D$5:$D$3004,1)),INDEX('AH History'!$E$1:$E$18046,AH!$P$7+2357))),NA()),NA())</ns0:f>
        <ns0:v/>
      </ns0:c>
      <ns0:c r="G2362">
        <ns0:f>IFERROR(IF(ISNUMBER($A2362),IF(AND(AH!$P$10=1,AH!$P$12=1,$A2362=TODAY()),IF(AND(AH!$P$10=1,AH!$P$12=1,$A2362=TODAY()),TODAY(),NA()),IF(AH!$P$10=1,INDEX('Live History'!$G$5:$G$3004,MATCH($A2362,'Live History'!$G$5:$G$3004,1)),INDEX('AH History'!$F$1:$F$18046,AH!$P$7+2357))),NA()),NA())</ns0:f>
        <ns0:v/>
      </ns0:c>
      <ns0:c r="H2362">
        <ns0:f>IFERROR(IF(AND(AH!$E$4="Bloomberg",AH!$P$10=1,ISNUMBER($A2362),$A2362&lt;=AH!$P$17),AH!$P$7-1+MATCH($A2362,INDEX('AH History'!$A$1:$A$18046,AH!$P$7):INDEX('AH History'!$A$1:$A$18046,AH!$P$7+AH!$P$8-1),0),0),0)</ns0:f>
        <ns0:v/>
      </ns0:c>
      <ns0:c r="I2362">
        <ns0:f>IF($H2362=0,0,IFERROR(IF(AND(ABS($C2362-INDEX('AH History'!$B$1:$B$18046,$H2362))&lt;=MAX(0.005,ABS(INDEX('AH History'!$B$1:$B$18046,$H2362))*0.00005),ABS($D2362-INDEX('AH History'!$C$1:$C$18046,$H2362))&lt;=MAX(0.005,ABS(INDEX('AH History'!$C$1:$C$18046,$H2362))*0.00005),ABS($E2362-INDEX('AH History'!$D$1:$D$18046,$H2362))&lt;=0.00005,$F2362=INDEX('AH History'!$E$1:$E$18046,$H2362),$G2362=INDEX('AH History'!$F$1:$F$18046,$H2362)),1,-1),-1))</ns0:f>
        <ns0:v/>
      </ns0:c>
    </ns0:row>
    <ns0:row r="2363">
      <ns0:c r="A2363" s="215">
        <ns0:f>IF(OR(AH!$P$3=0,2358+1&gt;AH!$P$11,AND(AH!$E$4&lt;&gt;"Stored",AH!$P$10&lt;&gt;1)),"",IFERROR(IF(AND(AH!$P$21=1,2358+1=AH!$P$11),TODAY(),IF(AH!$P$10=1,INDEX('Live History'!$A$5:$A$3004,AH!$P$13+2358),INDEX('AH History'!$A$1:$A$18046,AH!$P$7+2358))),""))</ns0:f>
        <ns0:v/>
      </ns0:c>
      <ns0:c r="B2363" s="219">
        <ns0:f>IFERROR(IF(AND(AH!$P$9&lt;&gt;1,$C2363&gt;0,$D2363&gt;0,$E2363&gt;0,$F2363&gt;0,$G2363&gt;0,$F2363&lt;=$A2363,$G2363&lt;=$A2363,$A2363-$F2363&lt;=10,$A2363-$G2363&lt;=5),$D2363*$E2363/$C2363-1,NA()),NA())</ns0:f>
        <ns0:v/>
      </ns0:c>
      <ns0:c r="C2363">
        <ns0:f>IFERROR(IF(ISNUMBER($A2363),IF(AND(AH!$P$10=1,AH!$P$12=1,$A2363=TODAY()),AH!$P$19,IF(AH!$P$10=1,INDEX('Live History'!$B$5:$B$3004,AH!$P$13+2358),INDEX('AH History'!$B$1:$B$18046,AH!$P$7+2358))),NA()),NA())</ns0:f>
        <ns0:v/>
      </ns0:c>
      <ns0:c r="D2363">
        <ns0:f>IFERROR(IF(ISNUMBER($A2363),IF(AND(AH!$P$10=1,AH!$P$12=1,$A2363=TODAY()),AH!$P$18,IF(AH!$P$10=1,INDEX('Live History'!$E$5:$E$3004,MATCH($A2363,'Live History'!$D$5:$D$3004,1)),INDEX('AH History'!$C$1:$C$18046,AH!$P$7+2358))),NA()),NA())</ns0:f>
        <ns0:v/>
      </ns0:c>
      <ns0:c r="E2363">
        <ns0:f>IFERROR(IF(ISNUMBER($A2363),IF(AND(AH!$P$10=1,AH!$P$12=1,$A2363=TODAY()),AH!$P$20,IF(AH!$P$10=1,INDEX('Live History'!$H$5:$H$3004,MATCH($A2363,'Live History'!$G$5:$G$3004,1)),INDEX('AH History'!$D$1:$D$18046,AH!$P$7+2358))),NA()),NA())</ns0:f>
        <ns0:v/>
      </ns0:c>
      <ns0:c r="F2363">
        <ns0:f>IFERROR(IF(ISNUMBER($A2363),IF(AND(AH!$P$10=1,AH!$P$12=1,$A2363=TODAY()),IF(AND(AH!$P$10=1,AH!$P$12=1,$A2363=TODAY()),TODAY(),NA()),IF(AH!$P$10=1,INDEX('Live History'!$D$5:$D$3004,MATCH($A2363,'Live History'!$D$5:$D$3004,1)),INDEX('AH History'!$E$1:$E$18046,AH!$P$7+2358))),NA()),NA())</ns0:f>
        <ns0:v/>
      </ns0:c>
      <ns0:c r="G2363">
        <ns0:f>IFERROR(IF(ISNUMBER($A2363),IF(AND(AH!$P$10=1,AH!$P$12=1,$A2363=TODAY()),IF(AND(AH!$P$10=1,AH!$P$12=1,$A2363=TODAY()),TODAY(),NA()),IF(AH!$P$10=1,INDEX('Live History'!$G$5:$G$3004,MATCH($A2363,'Live History'!$G$5:$G$3004,1)),INDEX('AH History'!$F$1:$F$18046,AH!$P$7+2358))),NA()),NA())</ns0:f>
        <ns0:v/>
      </ns0:c>
      <ns0:c r="H2363">
        <ns0:f>IFERROR(IF(AND(AH!$E$4="Bloomberg",AH!$P$10=1,ISNUMBER($A2363),$A2363&lt;=AH!$P$17),AH!$P$7-1+MATCH($A2363,INDEX('AH History'!$A$1:$A$18046,AH!$P$7):INDEX('AH History'!$A$1:$A$18046,AH!$P$7+AH!$P$8-1),0),0),0)</ns0:f>
        <ns0:v/>
      </ns0:c>
      <ns0:c r="I2363">
        <ns0:f>IF($H2363=0,0,IFERROR(IF(AND(ABS($C2363-INDEX('AH History'!$B$1:$B$18046,$H2363))&lt;=MAX(0.005,ABS(INDEX('AH History'!$B$1:$B$18046,$H2363))*0.00005),ABS($D2363-INDEX('AH History'!$C$1:$C$18046,$H2363))&lt;=MAX(0.005,ABS(INDEX('AH History'!$C$1:$C$18046,$H2363))*0.00005),ABS($E2363-INDEX('AH History'!$D$1:$D$18046,$H2363))&lt;=0.00005,$F2363=INDEX('AH History'!$E$1:$E$18046,$H2363),$G2363=INDEX('AH History'!$F$1:$F$18046,$H2363)),1,-1),-1))</ns0:f>
        <ns0:v/>
      </ns0:c>
    </ns0:row>
    <ns0:row r="2364">
      <ns0:c r="A2364" s="215">
        <ns0:f>IF(OR(AH!$P$3=0,2359+1&gt;AH!$P$11,AND(AH!$E$4&lt;&gt;"Stored",AH!$P$10&lt;&gt;1)),"",IFERROR(IF(AND(AH!$P$21=1,2359+1=AH!$P$11),TODAY(),IF(AH!$P$10=1,INDEX('Live History'!$A$5:$A$3004,AH!$P$13+2359),INDEX('AH History'!$A$1:$A$18046,AH!$P$7+2359))),""))</ns0:f>
        <ns0:v/>
      </ns0:c>
      <ns0:c r="B2364" s="219">
        <ns0:f>IFERROR(IF(AND(AH!$P$9&lt;&gt;1,$C2364&gt;0,$D2364&gt;0,$E2364&gt;0,$F2364&gt;0,$G2364&gt;0,$F2364&lt;=$A2364,$G2364&lt;=$A2364,$A2364-$F2364&lt;=10,$A2364-$G2364&lt;=5),$D2364*$E2364/$C2364-1,NA()),NA())</ns0:f>
        <ns0:v/>
      </ns0:c>
      <ns0:c r="C2364">
        <ns0:f>IFERROR(IF(ISNUMBER($A2364),IF(AND(AH!$P$10=1,AH!$P$12=1,$A2364=TODAY()),AH!$P$19,IF(AH!$P$10=1,INDEX('Live History'!$B$5:$B$3004,AH!$P$13+2359),INDEX('AH History'!$B$1:$B$18046,AH!$P$7+2359))),NA()),NA())</ns0:f>
        <ns0:v/>
      </ns0:c>
      <ns0:c r="D2364">
        <ns0:f>IFERROR(IF(ISNUMBER($A2364),IF(AND(AH!$P$10=1,AH!$P$12=1,$A2364=TODAY()),AH!$P$18,IF(AH!$P$10=1,INDEX('Live History'!$E$5:$E$3004,MATCH($A2364,'Live History'!$D$5:$D$3004,1)),INDEX('AH History'!$C$1:$C$18046,AH!$P$7+2359))),NA()),NA())</ns0:f>
        <ns0:v/>
      </ns0:c>
      <ns0:c r="E2364">
        <ns0:f>IFERROR(IF(ISNUMBER($A2364),IF(AND(AH!$P$10=1,AH!$P$12=1,$A2364=TODAY()),AH!$P$20,IF(AH!$P$10=1,INDEX('Live History'!$H$5:$H$3004,MATCH($A2364,'Live History'!$G$5:$G$3004,1)),INDEX('AH History'!$D$1:$D$18046,AH!$P$7+2359))),NA()),NA())</ns0:f>
        <ns0:v/>
      </ns0:c>
      <ns0:c r="F2364">
        <ns0:f>IFERROR(IF(ISNUMBER($A2364),IF(AND(AH!$P$10=1,AH!$P$12=1,$A2364=TODAY()),IF(AND(AH!$P$10=1,AH!$P$12=1,$A2364=TODAY()),TODAY(),NA()),IF(AH!$P$10=1,INDEX('Live History'!$D$5:$D$3004,MATCH($A2364,'Live History'!$D$5:$D$3004,1)),INDEX('AH History'!$E$1:$E$18046,AH!$P$7+2359))),NA()),NA())</ns0:f>
        <ns0:v/>
      </ns0:c>
      <ns0:c r="G2364">
        <ns0:f>IFERROR(IF(ISNUMBER($A2364),IF(AND(AH!$P$10=1,AH!$P$12=1,$A2364=TODAY()),IF(AND(AH!$P$10=1,AH!$P$12=1,$A2364=TODAY()),TODAY(),NA()),IF(AH!$P$10=1,INDEX('Live History'!$G$5:$G$3004,MATCH($A2364,'Live History'!$G$5:$G$3004,1)),INDEX('AH History'!$F$1:$F$18046,AH!$P$7+2359))),NA()),NA())</ns0:f>
        <ns0:v/>
      </ns0:c>
      <ns0:c r="H2364">
        <ns0:f>IFERROR(IF(AND(AH!$E$4="Bloomberg",AH!$P$10=1,ISNUMBER($A2364),$A2364&lt;=AH!$P$17),AH!$P$7-1+MATCH($A2364,INDEX('AH History'!$A$1:$A$18046,AH!$P$7):INDEX('AH History'!$A$1:$A$18046,AH!$P$7+AH!$P$8-1),0),0),0)</ns0:f>
        <ns0:v/>
      </ns0:c>
      <ns0:c r="I2364">
        <ns0:f>IF($H2364=0,0,IFERROR(IF(AND(ABS($C2364-INDEX('AH History'!$B$1:$B$18046,$H2364))&lt;=MAX(0.005,ABS(INDEX('AH History'!$B$1:$B$18046,$H2364))*0.00005),ABS($D2364-INDEX('AH History'!$C$1:$C$18046,$H2364))&lt;=MAX(0.005,ABS(INDEX('AH History'!$C$1:$C$18046,$H2364))*0.00005),ABS($E2364-INDEX('AH History'!$D$1:$D$18046,$H2364))&lt;=0.00005,$F2364=INDEX('AH History'!$E$1:$E$18046,$H2364),$G2364=INDEX('AH History'!$F$1:$F$18046,$H2364)),1,-1),-1))</ns0:f>
        <ns0:v/>
      </ns0:c>
    </ns0:row>
    <ns0:row r="2365">
      <ns0:c r="A2365" s="215">
        <ns0:f>IF(OR(AH!$P$3=0,2360+1&gt;AH!$P$11,AND(AH!$E$4&lt;&gt;"Stored",AH!$P$10&lt;&gt;1)),"",IFERROR(IF(AND(AH!$P$21=1,2360+1=AH!$P$11),TODAY(),IF(AH!$P$10=1,INDEX('Live History'!$A$5:$A$3004,AH!$P$13+2360),INDEX('AH History'!$A$1:$A$18046,AH!$P$7+2360))),""))</ns0:f>
        <ns0:v/>
      </ns0:c>
      <ns0:c r="B2365" s="219">
        <ns0:f>IFERROR(IF(AND(AH!$P$9&lt;&gt;1,$C2365&gt;0,$D2365&gt;0,$E2365&gt;0,$F2365&gt;0,$G2365&gt;0,$F2365&lt;=$A2365,$G2365&lt;=$A2365,$A2365-$F2365&lt;=10,$A2365-$G2365&lt;=5),$D2365*$E2365/$C2365-1,NA()),NA())</ns0:f>
        <ns0:v/>
      </ns0:c>
      <ns0:c r="C2365">
        <ns0:f>IFERROR(IF(ISNUMBER($A2365),IF(AND(AH!$P$10=1,AH!$P$12=1,$A2365=TODAY()),AH!$P$19,IF(AH!$P$10=1,INDEX('Live History'!$B$5:$B$3004,AH!$P$13+2360),INDEX('AH History'!$B$1:$B$18046,AH!$P$7+2360))),NA()),NA())</ns0:f>
        <ns0:v/>
      </ns0:c>
      <ns0:c r="D2365">
        <ns0:f>IFERROR(IF(ISNUMBER($A2365),IF(AND(AH!$P$10=1,AH!$P$12=1,$A2365=TODAY()),AH!$P$18,IF(AH!$P$10=1,INDEX('Live History'!$E$5:$E$3004,MATCH($A2365,'Live History'!$D$5:$D$3004,1)),INDEX('AH History'!$C$1:$C$18046,AH!$P$7+2360))),NA()),NA())</ns0:f>
        <ns0:v/>
      </ns0:c>
      <ns0:c r="E2365">
        <ns0:f>IFERROR(IF(ISNUMBER($A2365),IF(AND(AH!$P$10=1,AH!$P$12=1,$A2365=TODAY()),AH!$P$20,IF(AH!$P$10=1,INDEX('Live History'!$H$5:$H$3004,MATCH($A2365,'Live History'!$G$5:$G$3004,1)),INDEX('AH History'!$D$1:$D$18046,AH!$P$7+2360))),NA()),NA())</ns0:f>
        <ns0:v/>
      </ns0:c>
      <ns0:c r="F2365">
        <ns0:f>IFERROR(IF(ISNUMBER($A2365),IF(AND(AH!$P$10=1,AH!$P$12=1,$A2365=TODAY()),IF(AND(AH!$P$10=1,AH!$P$12=1,$A2365=TODAY()),TODAY(),NA()),IF(AH!$P$10=1,INDEX('Live History'!$D$5:$D$3004,MATCH($A2365,'Live History'!$D$5:$D$3004,1)),INDEX('AH History'!$E$1:$E$18046,AH!$P$7+2360))),NA()),NA())</ns0:f>
        <ns0:v/>
      </ns0:c>
      <ns0:c r="G2365">
        <ns0:f>IFERROR(IF(ISNUMBER($A2365),IF(AND(AH!$P$10=1,AH!$P$12=1,$A2365=TODAY()),IF(AND(AH!$P$10=1,AH!$P$12=1,$A2365=TODAY()),TODAY(),NA()),IF(AH!$P$10=1,INDEX('Live History'!$G$5:$G$3004,MATCH($A2365,'Live History'!$G$5:$G$3004,1)),INDEX('AH History'!$F$1:$F$18046,AH!$P$7+2360))),NA()),NA())</ns0:f>
        <ns0:v/>
      </ns0:c>
      <ns0:c r="H2365">
        <ns0:f>IFERROR(IF(AND(AH!$E$4="Bloomberg",AH!$P$10=1,ISNUMBER($A2365),$A2365&lt;=AH!$P$17),AH!$P$7-1+MATCH($A2365,INDEX('AH History'!$A$1:$A$18046,AH!$P$7):INDEX('AH History'!$A$1:$A$18046,AH!$P$7+AH!$P$8-1),0),0),0)</ns0:f>
        <ns0:v/>
      </ns0:c>
      <ns0:c r="I2365">
        <ns0:f>IF($H2365=0,0,IFERROR(IF(AND(ABS($C2365-INDEX('AH History'!$B$1:$B$18046,$H2365))&lt;=MAX(0.005,ABS(INDEX('AH History'!$B$1:$B$18046,$H2365))*0.00005),ABS($D2365-INDEX('AH History'!$C$1:$C$18046,$H2365))&lt;=MAX(0.005,ABS(INDEX('AH History'!$C$1:$C$18046,$H2365))*0.00005),ABS($E2365-INDEX('AH History'!$D$1:$D$18046,$H2365))&lt;=0.00005,$F2365=INDEX('AH History'!$E$1:$E$18046,$H2365),$G2365=INDEX('AH History'!$F$1:$F$18046,$H2365)),1,-1),-1))</ns0:f>
        <ns0:v/>
      </ns0:c>
    </ns0:row>
    <ns0:row r="2366">
      <ns0:c r="A2366" s="215">
        <ns0:f>IF(OR(AH!$P$3=0,2361+1&gt;AH!$P$11,AND(AH!$E$4&lt;&gt;"Stored",AH!$P$10&lt;&gt;1)),"",IFERROR(IF(AND(AH!$P$21=1,2361+1=AH!$P$11),TODAY(),IF(AH!$P$10=1,INDEX('Live History'!$A$5:$A$3004,AH!$P$13+2361),INDEX('AH History'!$A$1:$A$18046,AH!$P$7+2361))),""))</ns0:f>
        <ns0:v/>
      </ns0:c>
      <ns0:c r="B2366" s="219">
        <ns0:f>IFERROR(IF(AND(AH!$P$9&lt;&gt;1,$C2366&gt;0,$D2366&gt;0,$E2366&gt;0,$F2366&gt;0,$G2366&gt;0,$F2366&lt;=$A2366,$G2366&lt;=$A2366,$A2366-$F2366&lt;=10,$A2366-$G2366&lt;=5),$D2366*$E2366/$C2366-1,NA()),NA())</ns0:f>
        <ns0:v/>
      </ns0:c>
      <ns0:c r="C2366">
        <ns0:f>IFERROR(IF(ISNUMBER($A2366),IF(AND(AH!$P$10=1,AH!$P$12=1,$A2366=TODAY()),AH!$P$19,IF(AH!$P$10=1,INDEX('Live History'!$B$5:$B$3004,AH!$P$13+2361),INDEX('AH History'!$B$1:$B$18046,AH!$P$7+2361))),NA()),NA())</ns0:f>
        <ns0:v/>
      </ns0:c>
      <ns0:c r="D2366">
        <ns0:f>IFERROR(IF(ISNUMBER($A2366),IF(AND(AH!$P$10=1,AH!$P$12=1,$A2366=TODAY()),AH!$P$18,IF(AH!$P$10=1,INDEX('Live History'!$E$5:$E$3004,MATCH($A2366,'Live History'!$D$5:$D$3004,1)),INDEX('AH History'!$C$1:$C$18046,AH!$P$7+2361))),NA()),NA())</ns0:f>
        <ns0:v/>
      </ns0:c>
      <ns0:c r="E2366">
        <ns0:f>IFERROR(IF(ISNUMBER($A2366),IF(AND(AH!$P$10=1,AH!$P$12=1,$A2366=TODAY()),AH!$P$20,IF(AH!$P$10=1,INDEX('Live History'!$H$5:$H$3004,MATCH($A2366,'Live History'!$G$5:$G$3004,1)),INDEX('AH History'!$D$1:$D$18046,AH!$P$7+2361))),NA()),NA())</ns0:f>
        <ns0:v/>
      </ns0:c>
      <ns0:c r="F2366">
        <ns0:f>IFERROR(IF(ISNUMBER($A2366),IF(AND(AH!$P$10=1,AH!$P$12=1,$A2366=TODAY()),IF(AND(AH!$P$10=1,AH!$P$12=1,$A2366=TODAY()),TODAY(),NA()),IF(AH!$P$10=1,INDEX('Live History'!$D$5:$D$3004,MATCH($A2366,'Live History'!$D$5:$D$3004,1)),INDEX('AH History'!$E$1:$E$18046,AH!$P$7+2361))),NA()),NA())</ns0:f>
        <ns0:v/>
      </ns0:c>
      <ns0:c r="G2366">
        <ns0:f>IFERROR(IF(ISNUMBER($A2366),IF(AND(AH!$P$10=1,AH!$P$12=1,$A2366=TODAY()),IF(AND(AH!$P$10=1,AH!$P$12=1,$A2366=TODAY()),TODAY(),NA()),IF(AH!$P$10=1,INDEX('Live History'!$G$5:$G$3004,MATCH($A2366,'Live History'!$G$5:$G$3004,1)),INDEX('AH History'!$F$1:$F$18046,AH!$P$7+2361))),NA()),NA())</ns0:f>
        <ns0:v/>
      </ns0:c>
      <ns0:c r="H2366">
        <ns0:f>IFERROR(IF(AND(AH!$E$4="Bloomberg",AH!$P$10=1,ISNUMBER($A2366),$A2366&lt;=AH!$P$17),AH!$P$7-1+MATCH($A2366,INDEX('AH History'!$A$1:$A$18046,AH!$P$7):INDEX('AH History'!$A$1:$A$18046,AH!$P$7+AH!$P$8-1),0),0),0)</ns0:f>
        <ns0:v/>
      </ns0:c>
      <ns0:c r="I2366">
        <ns0:f>IF($H2366=0,0,IFERROR(IF(AND(ABS($C2366-INDEX('AH History'!$B$1:$B$18046,$H2366))&lt;=MAX(0.005,ABS(INDEX('AH History'!$B$1:$B$18046,$H2366))*0.00005),ABS($D2366-INDEX('AH History'!$C$1:$C$18046,$H2366))&lt;=MAX(0.005,ABS(INDEX('AH History'!$C$1:$C$18046,$H2366))*0.00005),ABS($E2366-INDEX('AH History'!$D$1:$D$18046,$H2366))&lt;=0.00005,$F2366=INDEX('AH History'!$E$1:$E$18046,$H2366),$G2366=INDEX('AH History'!$F$1:$F$18046,$H2366)),1,-1),-1))</ns0:f>
        <ns0:v/>
      </ns0:c>
    </ns0:row>
    <ns0:row r="2367">
      <ns0:c r="A2367" s="215">
        <ns0:f>IF(OR(AH!$P$3=0,2362+1&gt;AH!$P$11,AND(AH!$E$4&lt;&gt;"Stored",AH!$P$10&lt;&gt;1)),"",IFERROR(IF(AND(AH!$P$21=1,2362+1=AH!$P$11),TODAY(),IF(AH!$P$10=1,INDEX('Live History'!$A$5:$A$3004,AH!$P$13+2362),INDEX('AH History'!$A$1:$A$18046,AH!$P$7+2362))),""))</ns0:f>
        <ns0:v/>
      </ns0:c>
      <ns0:c r="B2367" s="219">
        <ns0:f>IFERROR(IF(AND(AH!$P$9&lt;&gt;1,$C2367&gt;0,$D2367&gt;0,$E2367&gt;0,$F2367&gt;0,$G2367&gt;0,$F2367&lt;=$A2367,$G2367&lt;=$A2367,$A2367-$F2367&lt;=10,$A2367-$G2367&lt;=5),$D2367*$E2367/$C2367-1,NA()),NA())</ns0:f>
        <ns0:v/>
      </ns0:c>
      <ns0:c r="C2367">
        <ns0:f>IFERROR(IF(ISNUMBER($A2367),IF(AND(AH!$P$10=1,AH!$P$12=1,$A2367=TODAY()),AH!$P$19,IF(AH!$P$10=1,INDEX('Live History'!$B$5:$B$3004,AH!$P$13+2362),INDEX('AH History'!$B$1:$B$18046,AH!$P$7+2362))),NA()),NA())</ns0:f>
        <ns0:v/>
      </ns0:c>
      <ns0:c r="D2367">
        <ns0:f>IFERROR(IF(ISNUMBER($A2367),IF(AND(AH!$P$10=1,AH!$P$12=1,$A2367=TODAY()),AH!$P$18,IF(AH!$P$10=1,INDEX('Live History'!$E$5:$E$3004,MATCH($A2367,'Live History'!$D$5:$D$3004,1)),INDEX('AH History'!$C$1:$C$18046,AH!$P$7+2362))),NA()),NA())</ns0:f>
        <ns0:v/>
      </ns0:c>
      <ns0:c r="E2367">
        <ns0:f>IFERROR(IF(ISNUMBER($A2367),IF(AND(AH!$P$10=1,AH!$P$12=1,$A2367=TODAY()),AH!$P$20,IF(AH!$P$10=1,INDEX('Live History'!$H$5:$H$3004,MATCH($A2367,'Live History'!$G$5:$G$3004,1)),INDEX('AH History'!$D$1:$D$18046,AH!$P$7+2362))),NA()),NA())</ns0:f>
        <ns0:v/>
      </ns0:c>
      <ns0:c r="F2367">
        <ns0:f>IFERROR(IF(ISNUMBER($A2367),IF(AND(AH!$P$10=1,AH!$P$12=1,$A2367=TODAY()),IF(AND(AH!$P$10=1,AH!$P$12=1,$A2367=TODAY()),TODAY(),NA()),IF(AH!$P$10=1,INDEX('Live History'!$D$5:$D$3004,MATCH($A2367,'Live History'!$D$5:$D$3004,1)),INDEX('AH History'!$E$1:$E$18046,AH!$P$7+2362))),NA()),NA())</ns0:f>
        <ns0:v/>
      </ns0:c>
      <ns0:c r="G2367">
        <ns0:f>IFERROR(IF(ISNUMBER($A2367),IF(AND(AH!$P$10=1,AH!$P$12=1,$A2367=TODAY()),IF(AND(AH!$P$10=1,AH!$P$12=1,$A2367=TODAY()),TODAY(),NA()),IF(AH!$P$10=1,INDEX('Live History'!$G$5:$G$3004,MATCH($A2367,'Live History'!$G$5:$G$3004,1)),INDEX('AH History'!$F$1:$F$18046,AH!$P$7+2362))),NA()),NA())</ns0:f>
        <ns0:v/>
      </ns0:c>
      <ns0:c r="H2367">
        <ns0:f>IFERROR(IF(AND(AH!$E$4="Bloomberg",AH!$P$10=1,ISNUMBER($A2367),$A2367&lt;=AH!$P$17),AH!$P$7-1+MATCH($A2367,INDEX('AH History'!$A$1:$A$18046,AH!$P$7):INDEX('AH History'!$A$1:$A$18046,AH!$P$7+AH!$P$8-1),0),0),0)</ns0:f>
        <ns0:v/>
      </ns0:c>
      <ns0:c r="I2367">
        <ns0:f>IF($H2367=0,0,IFERROR(IF(AND(ABS($C2367-INDEX('AH History'!$B$1:$B$18046,$H2367))&lt;=MAX(0.005,ABS(INDEX('AH History'!$B$1:$B$18046,$H2367))*0.00005),ABS($D2367-INDEX('AH History'!$C$1:$C$18046,$H2367))&lt;=MAX(0.005,ABS(INDEX('AH History'!$C$1:$C$18046,$H2367))*0.00005),ABS($E2367-INDEX('AH History'!$D$1:$D$18046,$H2367))&lt;=0.00005,$F2367=INDEX('AH History'!$E$1:$E$18046,$H2367),$G2367=INDEX('AH History'!$F$1:$F$18046,$H2367)),1,-1),-1))</ns0:f>
        <ns0:v/>
      </ns0:c>
    </ns0:row>
    <ns0:row r="2368">
      <ns0:c r="A2368" s="215">
        <ns0:f>IF(OR(AH!$P$3=0,2363+1&gt;AH!$P$11,AND(AH!$E$4&lt;&gt;"Stored",AH!$P$10&lt;&gt;1)),"",IFERROR(IF(AND(AH!$P$21=1,2363+1=AH!$P$11),TODAY(),IF(AH!$P$10=1,INDEX('Live History'!$A$5:$A$3004,AH!$P$13+2363),INDEX('AH History'!$A$1:$A$18046,AH!$P$7+2363))),""))</ns0:f>
        <ns0:v/>
      </ns0:c>
      <ns0:c r="B2368" s="219">
        <ns0:f>IFERROR(IF(AND(AH!$P$9&lt;&gt;1,$C2368&gt;0,$D2368&gt;0,$E2368&gt;0,$F2368&gt;0,$G2368&gt;0,$F2368&lt;=$A2368,$G2368&lt;=$A2368,$A2368-$F2368&lt;=10,$A2368-$G2368&lt;=5),$D2368*$E2368/$C2368-1,NA()),NA())</ns0:f>
        <ns0:v/>
      </ns0:c>
      <ns0:c r="C2368">
        <ns0:f>IFERROR(IF(ISNUMBER($A2368),IF(AND(AH!$P$10=1,AH!$P$12=1,$A2368=TODAY()),AH!$P$19,IF(AH!$P$10=1,INDEX('Live History'!$B$5:$B$3004,AH!$P$13+2363),INDEX('AH History'!$B$1:$B$18046,AH!$P$7+2363))),NA()),NA())</ns0:f>
        <ns0:v/>
      </ns0:c>
      <ns0:c r="D2368">
        <ns0:f>IFERROR(IF(ISNUMBER($A2368),IF(AND(AH!$P$10=1,AH!$P$12=1,$A2368=TODAY()),AH!$P$18,IF(AH!$P$10=1,INDEX('Live History'!$E$5:$E$3004,MATCH($A2368,'Live History'!$D$5:$D$3004,1)),INDEX('AH History'!$C$1:$C$18046,AH!$P$7+2363))),NA()),NA())</ns0:f>
        <ns0:v/>
      </ns0:c>
      <ns0:c r="E2368">
        <ns0:f>IFERROR(IF(ISNUMBER($A2368),IF(AND(AH!$P$10=1,AH!$P$12=1,$A2368=TODAY()),AH!$P$20,IF(AH!$P$10=1,INDEX('Live History'!$H$5:$H$3004,MATCH($A2368,'Live History'!$G$5:$G$3004,1)),INDEX('AH History'!$D$1:$D$18046,AH!$P$7+2363))),NA()),NA())</ns0:f>
        <ns0:v/>
      </ns0:c>
      <ns0:c r="F2368">
        <ns0:f>IFERROR(IF(ISNUMBER($A2368),IF(AND(AH!$P$10=1,AH!$P$12=1,$A2368=TODAY()),IF(AND(AH!$P$10=1,AH!$P$12=1,$A2368=TODAY()),TODAY(),NA()),IF(AH!$P$10=1,INDEX('Live History'!$D$5:$D$3004,MATCH($A2368,'Live History'!$D$5:$D$3004,1)),INDEX('AH History'!$E$1:$E$18046,AH!$P$7+2363))),NA()),NA())</ns0:f>
        <ns0:v/>
      </ns0:c>
      <ns0:c r="G2368">
        <ns0:f>IFERROR(IF(ISNUMBER($A2368),IF(AND(AH!$P$10=1,AH!$P$12=1,$A2368=TODAY()),IF(AND(AH!$P$10=1,AH!$P$12=1,$A2368=TODAY()),TODAY(),NA()),IF(AH!$P$10=1,INDEX('Live History'!$G$5:$G$3004,MATCH($A2368,'Live History'!$G$5:$G$3004,1)),INDEX('AH History'!$F$1:$F$18046,AH!$P$7+2363))),NA()),NA())</ns0:f>
        <ns0:v/>
      </ns0:c>
      <ns0:c r="H2368">
        <ns0:f>IFERROR(IF(AND(AH!$E$4="Bloomberg",AH!$P$10=1,ISNUMBER($A2368),$A2368&lt;=AH!$P$17),AH!$P$7-1+MATCH($A2368,INDEX('AH History'!$A$1:$A$18046,AH!$P$7):INDEX('AH History'!$A$1:$A$18046,AH!$P$7+AH!$P$8-1),0),0),0)</ns0:f>
        <ns0:v/>
      </ns0:c>
      <ns0:c r="I2368">
        <ns0:f>IF($H2368=0,0,IFERROR(IF(AND(ABS($C2368-INDEX('AH History'!$B$1:$B$18046,$H2368))&lt;=MAX(0.005,ABS(INDEX('AH History'!$B$1:$B$18046,$H2368))*0.00005),ABS($D2368-INDEX('AH History'!$C$1:$C$18046,$H2368))&lt;=MAX(0.005,ABS(INDEX('AH History'!$C$1:$C$18046,$H2368))*0.00005),ABS($E2368-INDEX('AH History'!$D$1:$D$18046,$H2368))&lt;=0.00005,$F2368=INDEX('AH History'!$E$1:$E$18046,$H2368),$G2368=INDEX('AH History'!$F$1:$F$18046,$H2368)),1,-1),-1))</ns0:f>
        <ns0:v/>
      </ns0:c>
    </ns0:row>
    <ns0:row r="2369">
      <ns0:c r="A2369" s="215">
        <ns0:f>IF(OR(AH!$P$3=0,2364+1&gt;AH!$P$11,AND(AH!$E$4&lt;&gt;"Stored",AH!$P$10&lt;&gt;1)),"",IFERROR(IF(AND(AH!$P$21=1,2364+1=AH!$P$11),TODAY(),IF(AH!$P$10=1,INDEX('Live History'!$A$5:$A$3004,AH!$P$13+2364),INDEX('AH History'!$A$1:$A$18046,AH!$P$7+2364))),""))</ns0:f>
        <ns0:v/>
      </ns0:c>
      <ns0:c r="B2369" s="219">
        <ns0:f>IFERROR(IF(AND(AH!$P$9&lt;&gt;1,$C2369&gt;0,$D2369&gt;0,$E2369&gt;0,$F2369&gt;0,$G2369&gt;0,$F2369&lt;=$A2369,$G2369&lt;=$A2369,$A2369-$F2369&lt;=10,$A2369-$G2369&lt;=5),$D2369*$E2369/$C2369-1,NA()),NA())</ns0:f>
        <ns0:v/>
      </ns0:c>
      <ns0:c r="C2369">
        <ns0:f>IFERROR(IF(ISNUMBER($A2369),IF(AND(AH!$P$10=1,AH!$P$12=1,$A2369=TODAY()),AH!$P$19,IF(AH!$P$10=1,INDEX('Live History'!$B$5:$B$3004,AH!$P$13+2364),INDEX('AH History'!$B$1:$B$18046,AH!$P$7+2364))),NA()),NA())</ns0:f>
        <ns0:v/>
      </ns0:c>
      <ns0:c r="D2369">
        <ns0:f>IFERROR(IF(ISNUMBER($A2369),IF(AND(AH!$P$10=1,AH!$P$12=1,$A2369=TODAY()),AH!$P$18,IF(AH!$P$10=1,INDEX('Live History'!$E$5:$E$3004,MATCH($A2369,'Live History'!$D$5:$D$3004,1)),INDEX('AH History'!$C$1:$C$18046,AH!$P$7+2364))),NA()),NA())</ns0:f>
        <ns0:v/>
      </ns0:c>
      <ns0:c r="E2369">
        <ns0:f>IFERROR(IF(ISNUMBER($A2369),IF(AND(AH!$P$10=1,AH!$P$12=1,$A2369=TODAY()),AH!$P$20,IF(AH!$P$10=1,INDEX('Live History'!$H$5:$H$3004,MATCH($A2369,'Live History'!$G$5:$G$3004,1)),INDEX('AH History'!$D$1:$D$18046,AH!$P$7+2364))),NA()),NA())</ns0:f>
        <ns0:v/>
      </ns0:c>
      <ns0:c r="F2369">
        <ns0:f>IFERROR(IF(ISNUMBER($A2369),IF(AND(AH!$P$10=1,AH!$P$12=1,$A2369=TODAY()),IF(AND(AH!$P$10=1,AH!$P$12=1,$A2369=TODAY()),TODAY(),NA()),IF(AH!$P$10=1,INDEX('Live History'!$D$5:$D$3004,MATCH($A2369,'Live History'!$D$5:$D$3004,1)),INDEX('AH History'!$E$1:$E$18046,AH!$P$7+2364))),NA()),NA())</ns0:f>
        <ns0:v/>
      </ns0:c>
      <ns0:c r="G2369">
        <ns0:f>IFERROR(IF(ISNUMBER($A2369),IF(AND(AH!$P$10=1,AH!$P$12=1,$A2369=TODAY()),IF(AND(AH!$P$10=1,AH!$P$12=1,$A2369=TODAY()),TODAY(),NA()),IF(AH!$P$10=1,INDEX('Live History'!$G$5:$G$3004,MATCH($A2369,'Live History'!$G$5:$G$3004,1)),INDEX('AH History'!$F$1:$F$18046,AH!$P$7+2364))),NA()),NA())</ns0:f>
        <ns0:v/>
      </ns0:c>
      <ns0:c r="H2369">
        <ns0:f>IFERROR(IF(AND(AH!$E$4="Bloomberg",AH!$P$10=1,ISNUMBER($A2369),$A2369&lt;=AH!$P$17),AH!$P$7-1+MATCH($A2369,INDEX('AH History'!$A$1:$A$18046,AH!$P$7):INDEX('AH History'!$A$1:$A$18046,AH!$P$7+AH!$P$8-1),0),0),0)</ns0:f>
        <ns0:v/>
      </ns0:c>
      <ns0:c r="I2369">
        <ns0:f>IF($H2369=0,0,IFERROR(IF(AND(ABS($C2369-INDEX('AH History'!$B$1:$B$18046,$H2369))&lt;=MAX(0.005,ABS(INDEX('AH History'!$B$1:$B$18046,$H2369))*0.00005),ABS($D2369-INDEX('AH History'!$C$1:$C$18046,$H2369))&lt;=MAX(0.005,ABS(INDEX('AH History'!$C$1:$C$18046,$H2369))*0.00005),ABS($E2369-INDEX('AH History'!$D$1:$D$18046,$H2369))&lt;=0.00005,$F2369=INDEX('AH History'!$E$1:$E$18046,$H2369),$G2369=INDEX('AH History'!$F$1:$F$18046,$H2369)),1,-1),-1))</ns0:f>
        <ns0:v/>
      </ns0:c>
    </ns0:row>
    <ns0:row r="2370">
      <ns0:c r="A2370" s="215">
        <ns0:f>IF(OR(AH!$P$3=0,2365+1&gt;AH!$P$11,AND(AH!$E$4&lt;&gt;"Stored",AH!$P$10&lt;&gt;1)),"",IFERROR(IF(AND(AH!$P$21=1,2365+1=AH!$P$11),TODAY(),IF(AH!$P$10=1,INDEX('Live History'!$A$5:$A$3004,AH!$P$13+2365),INDEX('AH History'!$A$1:$A$18046,AH!$P$7+2365))),""))</ns0:f>
        <ns0:v/>
      </ns0:c>
      <ns0:c r="B2370" s="219">
        <ns0:f>IFERROR(IF(AND(AH!$P$9&lt;&gt;1,$C2370&gt;0,$D2370&gt;0,$E2370&gt;0,$F2370&gt;0,$G2370&gt;0,$F2370&lt;=$A2370,$G2370&lt;=$A2370,$A2370-$F2370&lt;=10,$A2370-$G2370&lt;=5),$D2370*$E2370/$C2370-1,NA()),NA())</ns0:f>
        <ns0:v/>
      </ns0:c>
      <ns0:c r="C2370">
        <ns0:f>IFERROR(IF(ISNUMBER($A2370),IF(AND(AH!$P$10=1,AH!$P$12=1,$A2370=TODAY()),AH!$P$19,IF(AH!$P$10=1,INDEX('Live History'!$B$5:$B$3004,AH!$P$13+2365),INDEX('AH History'!$B$1:$B$18046,AH!$P$7+2365))),NA()),NA())</ns0:f>
        <ns0:v/>
      </ns0:c>
      <ns0:c r="D2370">
        <ns0:f>IFERROR(IF(ISNUMBER($A2370),IF(AND(AH!$P$10=1,AH!$P$12=1,$A2370=TODAY()),AH!$P$18,IF(AH!$P$10=1,INDEX('Live History'!$E$5:$E$3004,MATCH($A2370,'Live History'!$D$5:$D$3004,1)),INDEX('AH History'!$C$1:$C$18046,AH!$P$7+2365))),NA()),NA())</ns0:f>
        <ns0:v/>
      </ns0:c>
      <ns0:c r="E2370">
        <ns0:f>IFERROR(IF(ISNUMBER($A2370),IF(AND(AH!$P$10=1,AH!$P$12=1,$A2370=TODAY()),AH!$P$20,IF(AH!$P$10=1,INDEX('Live History'!$H$5:$H$3004,MATCH($A2370,'Live History'!$G$5:$G$3004,1)),INDEX('AH History'!$D$1:$D$18046,AH!$P$7+2365))),NA()),NA())</ns0:f>
        <ns0:v/>
      </ns0:c>
      <ns0:c r="F2370">
        <ns0:f>IFERROR(IF(ISNUMBER($A2370),IF(AND(AH!$P$10=1,AH!$P$12=1,$A2370=TODAY()),IF(AND(AH!$P$10=1,AH!$P$12=1,$A2370=TODAY()),TODAY(),NA()),IF(AH!$P$10=1,INDEX('Live History'!$D$5:$D$3004,MATCH($A2370,'Live History'!$D$5:$D$3004,1)),INDEX('AH History'!$E$1:$E$18046,AH!$P$7+2365))),NA()),NA())</ns0:f>
        <ns0:v/>
      </ns0:c>
      <ns0:c r="G2370">
        <ns0:f>IFERROR(IF(ISNUMBER($A2370),IF(AND(AH!$P$10=1,AH!$P$12=1,$A2370=TODAY()),IF(AND(AH!$P$10=1,AH!$P$12=1,$A2370=TODAY()),TODAY(),NA()),IF(AH!$P$10=1,INDEX('Live History'!$G$5:$G$3004,MATCH($A2370,'Live History'!$G$5:$G$3004,1)),INDEX('AH History'!$F$1:$F$18046,AH!$P$7+2365))),NA()),NA())</ns0:f>
        <ns0:v/>
      </ns0:c>
      <ns0:c r="H2370">
        <ns0:f>IFERROR(IF(AND(AH!$E$4="Bloomberg",AH!$P$10=1,ISNUMBER($A2370),$A2370&lt;=AH!$P$17),AH!$P$7-1+MATCH($A2370,INDEX('AH History'!$A$1:$A$18046,AH!$P$7):INDEX('AH History'!$A$1:$A$18046,AH!$P$7+AH!$P$8-1),0),0),0)</ns0:f>
        <ns0:v/>
      </ns0:c>
      <ns0:c r="I2370">
        <ns0:f>IF($H2370=0,0,IFERROR(IF(AND(ABS($C2370-INDEX('AH History'!$B$1:$B$18046,$H2370))&lt;=MAX(0.005,ABS(INDEX('AH History'!$B$1:$B$18046,$H2370))*0.00005),ABS($D2370-INDEX('AH History'!$C$1:$C$18046,$H2370))&lt;=MAX(0.005,ABS(INDEX('AH History'!$C$1:$C$18046,$H2370))*0.00005),ABS($E2370-INDEX('AH History'!$D$1:$D$18046,$H2370))&lt;=0.00005,$F2370=INDEX('AH History'!$E$1:$E$18046,$H2370),$G2370=INDEX('AH History'!$F$1:$F$18046,$H2370)),1,-1),-1))</ns0:f>
        <ns0:v/>
      </ns0:c>
    </ns0:row>
    <ns0:row r="2371">
      <ns0:c r="A2371" s="215">
        <ns0:f>IF(OR(AH!$P$3=0,2366+1&gt;AH!$P$11,AND(AH!$E$4&lt;&gt;"Stored",AH!$P$10&lt;&gt;1)),"",IFERROR(IF(AND(AH!$P$21=1,2366+1=AH!$P$11),TODAY(),IF(AH!$P$10=1,INDEX('Live History'!$A$5:$A$3004,AH!$P$13+2366),INDEX('AH History'!$A$1:$A$18046,AH!$P$7+2366))),""))</ns0:f>
        <ns0:v/>
      </ns0:c>
      <ns0:c r="B2371" s="219">
        <ns0:f>IFERROR(IF(AND(AH!$P$9&lt;&gt;1,$C2371&gt;0,$D2371&gt;0,$E2371&gt;0,$F2371&gt;0,$G2371&gt;0,$F2371&lt;=$A2371,$G2371&lt;=$A2371,$A2371-$F2371&lt;=10,$A2371-$G2371&lt;=5),$D2371*$E2371/$C2371-1,NA()),NA())</ns0:f>
        <ns0:v/>
      </ns0:c>
      <ns0:c r="C2371">
        <ns0:f>IFERROR(IF(ISNUMBER($A2371),IF(AND(AH!$P$10=1,AH!$P$12=1,$A2371=TODAY()),AH!$P$19,IF(AH!$P$10=1,INDEX('Live History'!$B$5:$B$3004,AH!$P$13+2366),INDEX('AH History'!$B$1:$B$18046,AH!$P$7+2366))),NA()),NA())</ns0:f>
        <ns0:v/>
      </ns0:c>
      <ns0:c r="D2371">
        <ns0:f>IFERROR(IF(ISNUMBER($A2371),IF(AND(AH!$P$10=1,AH!$P$12=1,$A2371=TODAY()),AH!$P$18,IF(AH!$P$10=1,INDEX('Live History'!$E$5:$E$3004,MATCH($A2371,'Live History'!$D$5:$D$3004,1)),INDEX('AH History'!$C$1:$C$18046,AH!$P$7+2366))),NA()),NA())</ns0:f>
        <ns0:v/>
      </ns0:c>
      <ns0:c r="E2371">
        <ns0:f>IFERROR(IF(ISNUMBER($A2371),IF(AND(AH!$P$10=1,AH!$P$12=1,$A2371=TODAY()),AH!$P$20,IF(AH!$P$10=1,INDEX('Live History'!$H$5:$H$3004,MATCH($A2371,'Live History'!$G$5:$G$3004,1)),INDEX('AH History'!$D$1:$D$18046,AH!$P$7+2366))),NA()),NA())</ns0:f>
        <ns0:v/>
      </ns0:c>
      <ns0:c r="F2371">
        <ns0:f>IFERROR(IF(ISNUMBER($A2371),IF(AND(AH!$P$10=1,AH!$P$12=1,$A2371=TODAY()),IF(AND(AH!$P$10=1,AH!$P$12=1,$A2371=TODAY()),TODAY(),NA()),IF(AH!$P$10=1,INDEX('Live History'!$D$5:$D$3004,MATCH($A2371,'Live History'!$D$5:$D$3004,1)),INDEX('AH History'!$E$1:$E$18046,AH!$P$7+2366))),NA()),NA())</ns0:f>
        <ns0:v/>
      </ns0:c>
      <ns0:c r="G2371">
        <ns0:f>IFERROR(IF(ISNUMBER($A2371),IF(AND(AH!$P$10=1,AH!$P$12=1,$A2371=TODAY()),IF(AND(AH!$P$10=1,AH!$P$12=1,$A2371=TODAY()),TODAY(),NA()),IF(AH!$P$10=1,INDEX('Live History'!$G$5:$G$3004,MATCH($A2371,'Live History'!$G$5:$G$3004,1)),INDEX('AH History'!$F$1:$F$18046,AH!$P$7+2366))),NA()),NA())</ns0:f>
        <ns0:v/>
      </ns0:c>
      <ns0:c r="H2371">
        <ns0:f>IFERROR(IF(AND(AH!$E$4="Bloomberg",AH!$P$10=1,ISNUMBER($A2371),$A2371&lt;=AH!$P$17),AH!$P$7-1+MATCH($A2371,INDEX('AH History'!$A$1:$A$18046,AH!$P$7):INDEX('AH History'!$A$1:$A$18046,AH!$P$7+AH!$P$8-1),0),0),0)</ns0:f>
        <ns0:v/>
      </ns0:c>
      <ns0:c r="I2371">
        <ns0:f>IF($H2371=0,0,IFERROR(IF(AND(ABS($C2371-INDEX('AH History'!$B$1:$B$18046,$H2371))&lt;=MAX(0.005,ABS(INDEX('AH History'!$B$1:$B$18046,$H2371))*0.00005),ABS($D2371-INDEX('AH History'!$C$1:$C$18046,$H2371))&lt;=MAX(0.005,ABS(INDEX('AH History'!$C$1:$C$18046,$H2371))*0.00005),ABS($E2371-INDEX('AH History'!$D$1:$D$18046,$H2371))&lt;=0.00005,$F2371=INDEX('AH History'!$E$1:$E$18046,$H2371),$G2371=INDEX('AH History'!$F$1:$F$18046,$H2371)),1,-1),-1))</ns0:f>
        <ns0:v/>
      </ns0:c>
    </ns0:row>
    <ns0:row r="2372">
      <ns0:c r="A2372" s="215">
        <ns0:f>IF(OR(AH!$P$3=0,2367+1&gt;AH!$P$11,AND(AH!$E$4&lt;&gt;"Stored",AH!$P$10&lt;&gt;1)),"",IFERROR(IF(AND(AH!$P$21=1,2367+1=AH!$P$11),TODAY(),IF(AH!$P$10=1,INDEX('Live History'!$A$5:$A$3004,AH!$P$13+2367),INDEX('AH History'!$A$1:$A$18046,AH!$P$7+2367))),""))</ns0:f>
        <ns0:v/>
      </ns0:c>
      <ns0:c r="B2372" s="219">
        <ns0:f>IFERROR(IF(AND(AH!$P$9&lt;&gt;1,$C2372&gt;0,$D2372&gt;0,$E2372&gt;0,$F2372&gt;0,$G2372&gt;0,$F2372&lt;=$A2372,$G2372&lt;=$A2372,$A2372-$F2372&lt;=10,$A2372-$G2372&lt;=5),$D2372*$E2372/$C2372-1,NA()),NA())</ns0:f>
        <ns0:v/>
      </ns0:c>
      <ns0:c r="C2372">
        <ns0:f>IFERROR(IF(ISNUMBER($A2372),IF(AND(AH!$P$10=1,AH!$P$12=1,$A2372=TODAY()),AH!$P$19,IF(AH!$P$10=1,INDEX('Live History'!$B$5:$B$3004,AH!$P$13+2367),INDEX('AH History'!$B$1:$B$18046,AH!$P$7+2367))),NA()),NA())</ns0:f>
        <ns0:v/>
      </ns0:c>
      <ns0:c r="D2372">
        <ns0:f>IFERROR(IF(ISNUMBER($A2372),IF(AND(AH!$P$10=1,AH!$P$12=1,$A2372=TODAY()),AH!$P$18,IF(AH!$P$10=1,INDEX('Live History'!$E$5:$E$3004,MATCH($A2372,'Live History'!$D$5:$D$3004,1)),INDEX('AH History'!$C$1:$C$18046,AH!$P$7+2367))),NA()),NA())</ns0:f>
        <ns0:v/>
      </ns0:c>
      <ns0:c r="E2372">
        <ns0:f>IFERROR(IF(ISNUMBER($A2372),IF(AND(AH!$P$10=1,AH!$P$12=1,$A2372=TODAY()),AH!$P$20,IF(AH!$P$10=1,INDEX('Live History'!$H$5:$H$3004,MATCH($A2372,'Live History'!$G$5:$G$3004,1)),INDEX('AH History'!$D$1:$D$18046,AH!$P$7+2367))),NA()),NA())</ns0:f>
        <ns0:v/>
      </ns0:c>
      <ns0:c r="F2372">
        <ns0:f>IFERROR(IF(ISNUMBER($A2372),IF(AND(AH!$P$10=1,AH!$P$12=1,$A2372=TODAY()),IF(AND(AH!$P$10=1,AH!$P$12=1,$A2372=TODAY()),TODAY(),NA()),IF(AH!$P$10=1,INDEX('Live History'!$D$5:$D$3004,MATCH($A2372,'Live History'!$D$5:$D$3004,1)),INDEX('AH History'!$E$1:$E$18046,AH!$P$7+2367))),NA()),NA())</ns0:f>
        <ns0:v/>
      </ns0:c>
      <ns0:c r="G2372">
        <ns0:f>IFERROR(IF(ISNUMBER($A2372),IF(AND(AH!$P$10=1,AH!$P$12=1,$A2372=TODAY()),IF(AND(AH!$P$10=1,AH!$P$12=1,$A2372=TODAY()),TODAY(),NA()),IF(AH!$P$10=1,INDEX('Live History'!$G$5:$G$3004,MATCH($A2372,'Live History'!$G$5:$G$3004,1)),INDEX('AH History'!$F$1:$F$18046,AH!$P$7+2367))),NA()),NA())</ns0:f>
        <ns0:v/>
      </ns0:c>
      <ns0:c r="H2372">
        <ns0:f>IFERROR(IF(AND(AH!$E$4="Bloomberg",AH!$P$10=1,ISNUMBER($A2372),$A2372&lt;=AH!$P$17),AH!$P$7-1+MATCH($A2372,INDEX('AH History'!$A$1:$A$18046,AH!$P$7):INDEX('AH History'!$A$1:$A$18046,AH!$P$7+AH!$P$8-1),0),0),0)</ns0:f>
        <ns0:v/>
      </ns0:c>
      <ns0:c r="I2372">
        <ns0:f>IF($H2372=0,0,IFERROR(IF(AND(ABS($C2372-INDEX('AH History'!$B$1:$B$18046,$H2372))&lt;=MAX(0.005,ABS(INDEX('AH History'!$B$1:$B$18046,$H2372))*0.00005),ABS($D2372-INDEX('AH History'!$C$1:$C$18046,$H2372))&lt;=MAX(0.005,ABS(INDEX('AH History'!$C$1:$C$18046,$H2372))*0.00005),ABS($E2372-INDEX('AH History'!$D$1:$D$18046,$H2372))&lt;=0.00005,$F2372=INDEX('AH History'!$E$1:$E$18046,$H2372),$G2372=INDEX('AH History'!$F$1:$F$18046,$H2372)),1,-1),-1))</ns0:f>
        <ns0:v/>
      </ns0:c>
    </ns0:row>
    <ns0:row r="2373">
      <ns0:c r="A2373" s="215">
        <ns0:f>IF(OR(AH!$P$3=0,2368+1&gt;AH!$P$11,AND(AH!$E$4&lt;&gt;"Stored",AH!$P$10&lt;&gt;1)),"",IFERROR(IF(AND(AH!$P$21=1,2368+1=AH!$P$11),TODAY(),IF(AH!$P$10=1,INDEX('Live History'!$A$5:$A$3004,AH!$P$13+2368),INDEX('AH History'!$A$1:$A$18046,AH!$P$7+2368))),""))</ns0:f>
        <ns0:v/>
      </ns0:c>
      <ns0:c r="B2373" s="219">
        <ns0:f>IFERROR(IF(AND(AH!$P$9&lt;&gt;1,$C2373&gt;0,$D2373&gt;0,$E2373&gt;0,$F2373&gt;0,$G2373&gt;0,$F2373&lt;=$A2373,$G2373&lt;=$A2373,$A2373-$F2373&lt;=10,$A2373-$G2373&lt;=5),$D2373*$E2373/$C2373-1,NA()),NA())</ns0:f>
        <ns0:v/>
      </ns0:c>
      <ns0:c r="C2373">
        <ns0:f>IFERROR(IF(ISNUMBER($A2373),IF(AND(AH!$P$10=1,AH!$P$12=1,$A2373=TODAY()),AH!$P$19,IF(AH!$P$10=1,INDEX('Live History'!$B$5:$B$3004,AH!$P$13+2368),INDEX('AH History'!$B$1:$B$18046,AH!$P$7+2368))),NA()),NA())</ns0:f>
        <ns0:v/>
      </ns0:c>
      <ns0:c r="D2373">
        <ns0:f>IFERROR(IF(ISNUMBER($A2373),IF(AND(AH!$P$10=1,AH!$P$12=1,$A2373=TODAY()),AH!$P$18,IF(AH!$P$10=1,INDEX('Live History'!$E$5:$E$3004,MATCH($A2373,'Live History'!$D$5:$D$3004,1)),INDEX('AH History'!$C$1:$C$18046,AH!$P$7+2368))),NA()),NA())</ns0:f>
        <ns0:v/>
      </ns0:c>
      <ns0:c r="E2373">
        <ns0:f>IFERROR(IF(ISNUMBER($A2373),IF(AND(AH!$P$10=1,AH!$P$12=1,$A2373=TODAY()),AH!$P$20,IF(AH!$P$10=1,INDEX('Live History'!$H$5:$H$3004,MATCH($A2373,'Live History'!$G$5:$G$3004,1)),INDEX('AH History'!$D$1:$D$18046,AH!$P$7+2368))),NA()),NA())</ns0:f>
        <ns0:v/>
      </ns0:c>
      <ns0:c r="F2373">
        <ns0:f>IFERROR(IF(ISNUMBER($A2373),IF(AND(AH!$P$10=1,AH!$P$12=1,$A2373=TODAY()),IF(AND(AH!$P$10=1,AH!$P$12=1,$A2373=TODAY()),TODAY(),NA()),IF(AH!$P$10=1,INDEX('Live History'!$D$5:$D$3004,MATCH($A2373,'Live History'!$D$5:$D$3004,1)),INDEX('AH History'!$E$1:$E$18046,AH!$P$7+2368))),NA()),NA())</ns0:f>
        <ns0:v/>
      </ns0:c>
      <ns0:c r="G2373">
        <ns0:f>IFERROR(IF(ISNUMBER($A2373),IF(AND(AH!$P$10=1,AH!$P$12=1,$A2373=TODAY()),IF(AND(AH!$P$10=1,AH!$P$12=1,$A2373=TODAY()),TODAY(),NA()),IF(AH!$P$10=1,INDEX('Live History'!$G$5:$G$3004,MATCH($A2373,'Live History'!$G$5:$G$3004,1)),INDEX('AH History'!$F$1:$F$18046,AH!$P$7+2368))),NA()),NA())</ns0:f>
        <ns0:v/>
      </ns0:c>
      <ns0:c r="H2373">
        <ns0:f>IFERROR(IF(AND(AH!$E$4="Bloomberg",AH!$P$10=1,ISNUMBER($A2373),$A2373&lt;=AH!$P$17),AH!$P$7-1+MATCH($A2373,INDEX('AH History'!$A$1:$A$18046,AH!$P$7):INDEX('AH History'!$A$1:$A$18046,AH!$P$7+AH!$P$8-1),0),0),0)</ns0:f>
        <ns0:v/>
      </ns0:c>
      <ns0:c r="I2373">
        <ns0:f>IF($H2373=0,0,IFERROR(IF(AND(ABS($C2373-INDEX('AH History'!$B$1:$B$18046,$H2373))&lt;=MAX(0.005,ABS(INDEX('AH History'!$B$1:$B$18046,$H2373))*0.00005),ABS($D2373-INDEX('AH History'!$C$1:$C$18046,$H2373))&lt;=MAX(0.005,ABS(INDEX('AH History'!$C$1:$C$18046,$H2373))*0.00005),ABS($E2373-INDEX('AH History'!$D$1:$D$18046,$H2373))&lt;=0.00005,$F2373=INDEX('AH History'!$E$1:$E$18046,$H2373),$G2373=INDEX('AH History'!$F$1:$F$18046,$H2373)),1,-1),-1))</ns0:f>
        <ns0:v/>
      </ns0:c>
    </ns0:row>
    <ns0:row r="2374">
      <ns0:c r="A2374" s="215">
        <ns0:f>IF(OR(AH!$P$3=0,2369+1&gt;AH!$P$11,AND(AH!$E$4&lt;&gt;"Stored",AH!$P$10&lt;&gt;1)),"",IFERROR(IF(AND(AH!$P$21=1,2369+1=AH!$P$11),TODAY(),IF(AH!$P$10=1,INDEX('Live History'!$A$5:$A$3004,AH!$P$13+2369),INDEX('AH History'!$A$1:$A$18046,AH!$P$7+2369))),""))</ns0:f>
        <ns0:v/>
      </ns0:c>
      <ns0:c r="B2374" s="219">
        <ns0:f>IFERROR(IF(AND(AH!$P$9&lt;&gt;1,$C2374&gt;0,$D2374&gt;0,$E2374&gt;0,$F2374&gt;0,$G2374&gt;0,$F2374&lt;=$A2374,$G2374&lt;=$A2374,$A2374-$F2374&lt;=10,$A2374-$G2374&lt;=5),$D2374*$E2374/$C2374-1,NA()),NA())</ns0:f>
        <ns0:v/>
      </ns0:c>
      <ns0:c r="C2374">
        <ns0:f>IFERROR(IF(ISNUMBER($A2374),IF(AND(AH!$P$10=1,AH!$P$12=1,$A2374=TODAY()),AH!$P$19,IF(AH!$P$10=1,INDEX('Live History'!$B$5:$B$3004,AH!$P$13+2369),INDEX('AH History'!$B$1:$B$18046,AH!$P$7+2369))),NA()),NA())</ns0:f>
        <ns0:v/>
      </ns0:c>
      <ns0:c r="D2374">
        <ns0:f>IFERROR(IF(ISNUMBER($A2374),IF(AND(AH!$P$10=1,AH!$P$12=1,$A2374=TODAY()),AH!$P$18,IF(AH!$P$10=1,INDEX('Live History'!$E$5:$E$3004,MATCH($A2374,'Live History'!$D$5:$D$3004,1)),INDEX('AH History'!$C$1:$C$18046,AH!$P$7+2369))),NA()),NA())</ns0:f>
        <ns0:v/>
      </ns0:c>
      <ns0:c r="E2374">
        <ns0:f>IFERROR(IF(ISNUMBER($A2374),IF(AND(AH!$P$10=1,AH!$P$12=1,$A2374=TODAY()),AH!$P$20,IF(AH!$P$10=1,INDEX('Live History'!$H$5:$H$3004,MATCH($A2374,'Live History'!$G$5:$G$3004,1)),INDEX('AH History'!$D$1:$D$18046,AH!$P$7+2369))),NA()),NA())</ns0:f>
        <ns0:v/>
      </ns0:c>
      <ns0:c r="F2374">
        <ns0:f>IFERROR(IF(ISNUMBER($A2374),IF(AND(AH!$P$10=1,AH!$P$12=1,$A2374=TODAY()),IF(AND(AH!$P$10=1,AH!$P$12=1,$A2374=TODAY()),TODAY(),NA()),IF(AH!$P$10=1,INDEX('Live History'!$D$5:$D$3004,MATCH($A2374,'Live History'!$D$5:$D$3004,1)),INDEX('AH History'!$E$1:$E$18046,AH!$P$7+2369))),NA()),NA())</ns0:f>
        <ns0:v/>
      </ns0:c>
      <ns0:c r="G2374">
        <ns0:f>IFERROR(IF(ISNUMBER($A2374),IF(AND(AH!$P$10=1,AH!$P$12=1,$A2374=TODAY()),IF(AND(AH!$P$10=1,AH!$P$12=1,$A2374=TODAY()),TODAY(),NA()),IF(AH!$P$10=1,INDEX('Live History'!$G$5:$G$3004,MATCH($A2374,'Live History'!$G$5:$G$3004,1)),INDEX('AH History'!$F$1:$F$18046,AH!$P$7+2369))),NA()),NA())</ns0:f>
        <ns0:v/>
      </ns0:c>
      <ns0:c r="H2374">
        <ns0:f>IFERROR(IF(AND(AH!$E$4="Bloomberg",AH!$P$10=1,ISNUMBER($A2374),$A2374&lt;=AH!$P$17),AH!$P$7-1+MATCH($A2374,INDEX('AH History'!$A$1:$A$18046,AH!$P$7):INDEX('AH History'!$A$1:$A$18046,AH!$P$7+AH!$P$8-1),0),0),0)</ns0:f>
        <ns0:v/>
      </ns0:c>
      <ns0:c r="I2374">
        <ns0:f>IF($H2374=0,0,IFERROR(IF(AND(ABS($C2374-INDEX('AH History'!$B$1:$B$18046,$H2374))&lt;=MAX(0.005,ABS(INDEX('AH History'!$B$1:$B$18046,$H2374))*0.00005),ABS($D2374-INDEX('AH History'!$C$1:$C$18046,$H2374))&lt;=MAX(0.005,ABS(INDEX('AH History'!$C$1:$C$18046,$H2374))*0.00005),ABS($E2374-INDEX('AH History'!$D$1:$D$18046,$H2374))&lt;=0.00005,$F2374=INDEX('AH History'!$E$1:$E$18046,$H2374),$G2374=INDEX('AH History'!$F$1:$F$18046,$H2374)),1,-1),-1))</ns0:f>
        <ns0:v/>
      </ns0:c>
    </ns0:row>
    <ns0:row r="2375">
      <ns0:c r="A2375" s="215">
        <ns0:f>IF(OR(AH!$P$3=0,2370+1&gt;AH!$P$11,AND(AH!$E$4&lt;&gt;"Stored",AH!$P$10&lt;&gt;1)),"",IFERROR(IF(AND(AH!$P$21=1,2370+1=AH!$P$11),TODAY(),IF(AH!$P$10=1,INDEX('Live History'!$A$5:$A$3004,AH!$P$13+2370),INDEX('AH History'!$A$1:$A$18046,AH!$P$7+2370))),""))</ns0:f>
        <ns0:v/>
      </ns0:c>
      <ns0:c r="B2375" s="219">
        <ns0:f>IFERROR(IF(AND(AH!$P$9&lt;&gt;1,$C2375&gt;0,$D2375&gt;0,$E2375&gt;0,$F2375&gt;0,$G2375&gt;0,$F2375&lt;=$A2375,$G2375&lt;=$A2375,$A2375-$F2375&lt;=10,$A2375-$G2375&lt;=5),$D2375*$E2375/$C2375-1,NA()),NA())</ns0:f>
        <ns0:v/>
      </ns0:c>
      <ns0:c r="C2375">
        <ns0:f>IFERROR(IF(ISNUMBER($A2375),IF(AND(AH!$P$10=1,AH!$P$12=1,$A2375=TODAY()),AH!$P$19,IF(AH!$P$10=1,INDEX('Live History'!$B$5:$B$3004,AH!$P$13+2370),INDEX('AH History'!$B$1:$B$18046,AH!$P$7+2370))),NA()),NA())</ns0:f>
        <ns0:v/>
      </ns0:c>
      <ns0:c r="D2375">
        <ns0:f>IFERROR(IF(ISNUMBER($A2375),IF(AND(AH!$P$10=1,AH!$P$12=1,$A2375=TODAY()),AH!$P$18,IF(AH!$P$10=1,INDEX('Live History'!$E$5:$E$3004,MATCH($A2375,'Live History'!$D$5:$D$3004,1)),INDEX('AH History'!$C$1:$C$18046,AH!$P$7+2370))),NA()),NA())</ns0:f>
        <ns0:v/>
      </ns0:c>
      <ns0:c r="E2375">
        <ns0:f>IFERROR(IF(ISNUMBER($A2375),IF(AND(AH!$P$10=1,AH!$P$12=1,$A2375=TODAY()),AH!$P$20,IF(AH!$P$10=1,INDEX('Live History'!$H$5:$H$3004,MATCH($A2375,'Live History'!$G$5:$G$3004,1)),INDEX('AH History'!$D$1:$D$18046,AH!$P$7+2370))),NA()),NA())</ns0:f>
        <ns0:v/>
      </ns0:c>
      <ns0:c r="F2375">
        <ns0:f>IFERROR(IF(ISNUMBER($A2375),IF(AND(AH!$P$10=1,AH!$P$12=1,$A2375=TODAY()),IF(AND(AH!$P$10=1,AH!$P$12=1,$A2375=TODAY()),TODAY(),NA()),IF(AH!$P$10=1,INDEX('Live History'!$D$5:$D$3004,MATCH($A2375,'Live History'!$D$5:$D$3004,1)),INDEX('AH History'!$E$1:$E$18046,AH!$P$7+2370))),NA()),NA())</ns0:f>
        <ns0:v/>
      </ns0:c>
      <ns0:c r="G2375">
        <ns0:f>IFERROR(IF(ISNUMBER($A2375),IF(AND(AH!$P$10=1,AH!$P$12=1,$A2375=TODAY()),IF(AND(AH!$P$10=1,AH!$P$12=1,$A2375=TODAY()),TODAY(),NA()),IF(AH!$P$10=1,INDEX('Live History'!$G$5:$G$3004,MATCH($A2375,'Live History'!$G$5:$G$3004,1)),INDEX('AH History'!$F$1:$F$18046,AH!$P$7+2370))),NA()),NA())</ns0:f>
        <ns0:v/>
      </ns0:c>
      <ns0:c r="H2375">
        <ns0:f>IFERROR(IF(AND(AH!$E$4="Bloomberg",AH!$P$10=1,ISNUMBER($A2375),$A2375&lt;=AH!$P$17),AH!$P$7-1+MATCH($A2375,INDEX('AH History'!$A$1:$A$18046,AH!$P$7):INDEX('AH History'!$A$1:$A$18046,AH!$P$7+AH!$P$8-1),0),0),0)</ns0:f>
        <ns0:v/>
      </ns0:c>
      <ns0:c r="I2375">
        <ns0:f>IF($H2375=0,0,IFERROR(IF(AND(ABS($C2375-INDEX('AH History'!$B$1:$B$18046,$H2375))&lt;=MAX(0.005,ABS(INDEX('AH History'!$B$1:$B$18046,$H2375))*0.00005),ABS($D2375-INDEX('AH History'!$C$1:$C$18046,$H2375))&lt;=MAX(0.005,ABS(INDEX('AH History'!$C$1:$C$18046,$H2375))*0.00005),ABS($E2375-INDEX('AH History'!$D$1:$D$18046,$H2375))&lt;=0.00005,$F2375=INDEX('AH History'!$E$1:$E$18046,$H2375),$G2375=INDEX('AH History'!$F$1:$F$18046,$H2375)),1,-1),-1))</ns0:f>
        <ns0:v/>
      </ns0:c>
    </ns0:row>
    <ns0:row r="2376">
      <ns0:c r="A2376" s="215">
        <ns0:f>IF(OR(AH!$P$3=0,2371+1&gt;AH!$P$11,AND(AH!$E$4&lt;&gt;"Stored",AH!$P$10&lt;&gt;1)),"",IFERROR(IF(AND(AH!$P$21=1,2371+1=AH!$P$11),TODAY(),IF(AH!$P$10=1,INDEX('Live History'!$A$5:$A$3004,AH!$P$13+2371),INDEX('AH History'!$A$1:$A$18046,AH!$P$7+2371))),""))</ns0:f>
        <ns0:v/>
      </ns0:c>
      <ns0:c r="B2376" s="219">
        <ns0:f>IFERROR(IF(AND(AH!$P$9&lt;&gt;1,$C2376&gt;0,$D2376&gt;0,$E2376&gt;0,$F2376&gt;0,$G2376&gt;0,$F2376&lt;=$A2376,$G2376&lt;=$A2376,$A2376-$F2376&lt;=10,$A2376-$G2376&lt;=5),$D2376*$E2376/$C2376-1,NA()),NA())</ns0:f>
        <ns0:v/>
      </ns0:c>
      <ns0:c r="C2376">
        <ns0:f>IFERROR(IF(ISNUMBER($A2376),IF(AND(AH!$P$10=1,AH!$P$12=1,$A2376=TODAY()),AH!$P$19,IF(AH!$P$10=1,INDEX('Live History'!$B$5:$B$3004,AH!$P$13+2371),INDEX('AH History'!$B$1:$B$18046,AH!$P$7+2371))),NA()),NA())</ns0:f>
        <ns0:v/>
      </ns0:c>
      <ns0:c r="D2376">
        <ns0:f>IFERROR(IF(ISNUMBER($A2376),IF(AND(AH!$P$10=1,AH!$P$12=1,$A2376=TODAY()),AH!$P$18,IF(AH!$P$10=1,INDEX('Live History'!$E$5:$E$3004,MATCH($A2376,'Live History'!$D$5:$D$3004,1)),INDEX('AH History'!$C$1:$C$18046,AH!$P$7+2371))),NA()),NA())</ns0:f>
        <ns0:v/>
      </ns0:c>
      <ns0:c r="E2376">
        <ns0:f>IFERROR(IF(ISNUMBER($A2376),IF(AND(AH!$P$10=1,AH!$P$12=1,$A2376=TODAY()),AH!$P$20,IF(AH!$P$10=1,INDEX('Live History'!$H$5:$H$3004,MATCH($A2376,'Live History'!$G$5:$G$3004,1)),INDEX('AH History'!$D$1:$D$18046,AH!$P$7+2371))),NA()),NA())</ns0:f>
        <ns0:v/>
      </ns0:c>
      <ns0:c r="F2376">
        <ns0:f>IFERROR(IF(ISNUMBER($A2376),IF(AND(AH!$P$10=1,AH!$P$12=1,$A2376=TODAY()),IF(AND(AH!$P$10=1,AH!$P$12=1,$A2376=TODAY()),TODAY(),NA()),IF(AH!$P$10=1,INDEX('Live History'!$D$5:$D$3004,MATCH($A2376,'Live History'!$D$5:$D$3004,1)),INDEX('AH History'!$E$1:$E$18046,AH!$P$7+2371))),NA()),NA())</ns0:f>
        <ns0:v/>
      </ns0:c>
      <ns0:c r="G2376">
        <ns0:f>IFERROR(IF(ISNUMBER($A2376),IF(AND(AH!$P$10=1,AH!$P$12=1,$A2376=TODAY()),IF(AND(AH!$P$10=1,AH!$P$12=1,$A2376=TODAY()),TODAY(),NA()),IF(AH!$P$10=1,INDEX('Live History'!$G$5:$G$3004,MATCH($A2376,'Live History'!$G$5:$G$3004,1)),INDEX('AH History'!$F$1:$F$18046,AH!$P$7+2371))),NA()),NA())</ns0:f>
        <ns0:v/>
      </ns0:c>
      <ns0:c r="H2376">
        <ns0:f>IFERROR(IF(AND(AH!$E$4="Bloomberg",AH!$P$10=1,ISNUMBER($A2376),$A2376&lt;=AH!$P$17),AH!$P$7-1+MATCH($A2376,INDEX('AH History'!$A$1:$A$18046,AH!$P$7):INDEX('AH History'!$A$1:$A$18046,AH!$P$7+AH!$P$8-1),0),0),0)</ns0:f>
        <ns0:v/>
      </ns0:c>
      <ns0:c r="I2376">
        <ns0:f>IF($H2376=0,0,IFERROR(IF(AND(ABS($C2376-INDEX('AH History'!$B$1:$B$18046,$H2376))&lt;=MAX(0.005,ABS(INDEX('AH History'!$B$1:$B$18046,$H2376))*0.00005),ABS($D2376-INDEX('AH History'!$C$1:$C$18046,$H2376))&lt;=MAX(0.005,ABS(INDEX('AH History'!$C$1:$C$18046,$H2376))*0.00005),ABS($E2376-INDEX('AH History'!$D$1:$D$18046,$H2376))&lt;=0.00005,$F2376=INDEX('AH History'!$E$1:$E$18046,$H2376),$G2376=INDEX('AH History'!$F$1:$F$18046,$H2376)),1,-1),-1))</ns0:f>
        <ns0:v/>
      </ns0:c>
    </ns0:row>
    <ns0:row r="2377">
      <ns0:c r="A2377" s="215">
        <ns0:f>IF(OR(AH!$P$3=0,2372+1&gt;AH!$P$11,AND(AH!$E$4&lt;&gt;"Stored",AH!$P$10&lt;&gt;1)),"",IFERROR(IF(AND(AH!$P$21=1,2372+1=AH!$P$11),TODAY(),IF(AH!$P$10=1,INDEX('Live History'!$A$5:$A$3004,AH!$P$13+2372),INDEX('AH History'!$A$1:$A$18046,AH!$P$7+2372))),""))</ns0:f>
        <ns0:v/>
      </ns0:c>
      <ns0:c r="B2377" s="219">
        <ns0:f>IFERROR(IF(AND(AH!$P$9&lt;&gt;1,$C2377&gt;0,$D2377&gt;0,$E2377&gt;0,$F2377&gt;0,$G2377&gt;0,$F2377&lt;=$A2377,$G2377&lt;=$A2377,$A2377-$F2377&lt;=10,$A2377-$G2377&lt;=5),$D2377*$E2377/$C2377-1,NA()),NA())</ns0:f>
        <ns0:v/>
      </ns0:c>
      <ns0:c r="C2377">
        <ns0:f>IFERROR(IF(ISNUMBER($A2377),IF(AND(AH!$P$10=1,AH!$P$12=1,$A2377=TODAY()),AH!$P$19,IF(AH!$P$10=1,INDEX('Live History'!$B$5:$B$3004,AH!$P$13+2372),INDEX('AH History'!$B$1:$B$18046,AH!$P$7+2372))),NA()),NA())</ns0:f>
        <ns0:v/>
      </ns0:c>
      <ns0:c r="D2377">
        <ns0:f>IFERROR(IF(ISNUMBER($A2377),IF(AND(AH!$P$10=1,AH!$P$12=1,$A2377=TODAY()),AH!$P$18,IF(AH!$P$10=1,INDEX('Live History'!$E$5:$E$3004,MATCH($A2377,'Live History'!$D$5:$D$3004,1)),INDEX('AH History'!$C$1:$C$18046,AH!$P$7+2372))),NA()),NA())</ns0:f>
        <ns0:v/>
      </ns0:c>
      <ns0:c r="E2377">
        <ns0:f>IFERROR(IF(ISNUMBER($A2377),IF(AND(AH!$P$10=1,AH!$P$12=1,$A2377=TODAY()),AH!$P$20,IF(AH!$P$10=1,INDEX('Live History'!$H$5:$H$3004,MATCH($A2377,'Live History'!$G$5:$G$3004,1)),INDEX('AH History'!$D$1:$D$18046,AH!$P$7+2372))),NA()),NA())</ns0:f>
        <ns0:v/>
      </ns0:c>
      <ns0:c r="F2377">
        <ns0:f>IFERROR(IF(ISNUMBER($A2377),IF(AND(AH!$P$10=1,AH!$P$12=1,$A2377=TODAY()),IF(AND(AH!$P$10=1,AH!$P$12=1,$A2377=TODAY()),TODAY(),NA()),IF(AH!$P$10=1,INDEX('Live History'!$D$5:$D$3004,MATCH($A2377,'Live History'!$D$5:$D$3004,1)),INDEX('AH History'!$E$1:$E$18046,AH!$P$7+2372))),NA()),NA())</ns0:f>
        <ns0:v/>
      </ns0:c>
      <ns0:c r="G2377">
        <ns0:f>IFERROR(IF(ISNUMBER($A2377),IF(AND(AH!$P$10=1,AH!$P$12=1,$A2377=TODAY()),IF(AND(AH!$P$10=1,AH!$P$12=1,$A2377=TODAY()),TODAY(),NA()),IF(AH!$P$10=1,INDEX('Live History'!$G$5:$G$3004,MATCH($A2377,'Live History'!$G$5:$G$3004,1)),INDEX('AH History'!$F$1:$F$18046,AH!$P$7+2372))),NA()),NA())</ns0:f>
        <ns0:v/>
      </ns0:c>
      <ns0:c r="H2377">
        <ns0:f>IFERROR(IF(AND(AH!$E$4="Bloomberg",AH!$P$10=1,ISNUMBER($A2377),$A2377&lt;=AH!$P$17),AH!$P$7-1+MATCH($A2377,INDEX('AH History'!$A$1:$A$18046,AH!$P$7):INDEX('AH History'!$A$1:$A$18046,AH!$P$7+AH!$P$8-1),0),0),0)</ns0:f>
        <ns0:v/>
      </ns0:c>
      <ns0:c r="I2377">
        <ns0:f>IF($H2377=0,0,IFERROR(IF(AND(ABS($C2377-INDEX('AH History'!$B$1:$B$18046,$H2377))&lt;=MAX(0.005,ABS(INDEX('AH History'!$B$1:$B$18046,$H2377))*0.00005),ABS($D2377-INDEX('AH History'!$C$1:$C$18046,$H2377))&lt;=MAX(0.005,ABS(INDEX('AH History'!$C$1:$C$18046,$H2377))*0.00005),ABS($E2377-INDEX('AH History'!$D$1:$D$18046,$H2377))&lt;=0.00005,$F2377=INDEX('AH History'!$E$1:$E$18046,$H2377),$G2377=INDEX('AH History'!$F$1:$F$18046,$H2377)),1,-1),-1))</ns0:f>
        <ns0:v/>
      </ns0:c>
    </ns0:row>
    <ns0:row r="2378">
      <ns0:c r="A2378" s="215">
        <ns0:f>IF(OR(AH!$P$3=0,2373+1&gt;AH!$P$11,AND(AH!$E$4&lt;&gt;"Stored",AH!$P$10&lt;&gt;1)),"",IFERROR(IF(AND(AH!$P$21=1,2373+1=AH!$P$11),TODAY(),IF(AH!$P$10=1,INDEX('Live History'!$A$5:$A$3004,AH!$P$13+2373),INDEX('AH History'!$A$1:$A$18046,AH!$P$7+2373))),""))</ns0:f>
        <ns0:v/>
      </ns0:c>
      <ns0:c r="B2378" s="219">
        <ns0:f>IFERROR(IF(AND(AH!$P$9&lt;&gt;1,$C2378&gt;0,$D2378&gt;0,$E2378&gt;0,$F2378&gt;0,$G2378&gt;0,$F2378&lt;=$A2378,$G2378&lt;=$A2378,$A2378-$F2378&lt;=10,$A2378-$G2378&lt;=5),$D2378*$E2378/$C2378-1,NA()),NA())</ns0:f>
        <ns0:v/>
      </ns0:c>
      <ns0:c r="C2378">
        <ns0:f>IFERROR(IF(ISNUMBER($A2378),IF(AND(AH!$P$10=1,AH!$P$12=1,$A2378=TODAY()),AH!$P$19,IF(AH!$P$10=1,INDEX('Live History'!$B$5:$B$3004,AH!$P$13+2373),INDEX('AH History'!$B$1:$B$18046,AH!$P$7+2373))),NA()),NA())</ns0:f>
        <ns0:v/>
      </ns0:c>
      <ns0:c r="D2378">
        <ns0:f>IFERROR(IF(ISNUMBER($A2378),IF(AND(AH!$P$10=1,AH!$P$12=1,$A2378=TODAY()),AH!$P$18,IF(AH!$P$10=1,INDEX('Live History'!$E$5:$E$3004,MATCH($A2378,'Live History'!$D$5:$D$3004,1)),INDEX('AH History'!$C$1:$C$18046,AH!$P$7+2373))),NA()),NA())</ns0:f>
        <ns0:v/>
      </ns0:c>
      <ns0:c r="E2378">
        <ns0:f>IFERROR(IF(ISNUMBER($A2378),IF(AND(AH!$P$10=1,AH!$P$12=1,$A2378=TODAY()),AH!$P$20,IF(AH!$P$10=1,INDEX('Live History'!$H$5:$H$3004,MATCH($A2378,'Live History'!$G$5:$G$3004,1)),INDEX('AH History'!$D$1:$D$18046,AH!$P$7+2373))),NA()),NA())</ns0:f>
        <ns0:v/>
      </ns0:c>
      <ns0:c r="F2378">
        <ns0:f>IFERROR(IF(ISNUMBER($A2378),IF(AND(AH!$P$10=1,AH!$P$12=1,$A2378=TODAY()),IF(AND(AH!$P$10=1,AH!$P$12=1,$A2378=TODAY()),TODAY(),NA()),IF(AH!$P$10=1,INDEX('Live History'!$D$5:$D$3004,MATCH($A2378,'Live History'!$D$5:$D$3004,1)),INDEX('AH History'!$E$1:$E$18046,AH!$P$7+2373))),NA()),NA())</ns0:f>
        <ns0:v/>
      </ns0:c>
      <ns0:c r="G2378">
        <ns0:f>IFERROR(IF(ISNUMBER($A2378),IF(AND(AH!$P$10=1,AH!$P$12=1,$A2378=TODAY()),IF(AND(AH!$P$10=1,AH!$P$12=1,$A2378=TODAY()),TODAY(),NA()),IF(AH!$P$10=1,INDEX('Live History'!$G$5:$G$3004,MATCH($A2378,'Live History'!$G$5:$G$3004,1)),INDEX('AH History'!$F$1:$F$18046,AH!$P$7+2373))),NA()),NA())</ns0:f>
        <ns0:v/>
      </ns0:c>
      <ns0:c r="H2378">
        <ns0:f>IFERROR(IF(AND(AH!$E$4="Bloomberg",AH!$P$10=1,ISNUMBER($A2378),$A2378&lt;=AH!$P$17),AH!$P$7-1+MATCH($A2378,INDEX('AH History'!$A$1:$A$18046,AH!$P$7):INDEX('AH History'!$A$1:$A$18046,AH!$P$7+AH!$P$8-1),0),0),0)</ns0:f>
        <ns0:v/>
      </ns0:c>
      <ns0:c r="I2378">
        <ns0:f>IF($H2378=0,0,IFERROR(IF(AND(ABS($C2378-INDEX('AH History'!$B$1:$B$18046,$H2378))&lt;=MAX(0.005,ABS(INDEX('AH History'!$B$1:$B$18046,$H2378))*0.00005),ABS($D2378-INDEX('AH History'!$C$1:$C$18046,$H2378))&lt;=MAX(0.005,ABS(INDEX('AH History'!$C$1:$C$18046,$H2378))*0.00005),ABS($E2378-INDEX('AH History'!$D$1:$D$18046,$H2378))&lt;=0.00005,$F2378=INDEX('AH History'!$E$1:$E$18046,$H2378),$G2378=INDEX('AH History'!$F$1:$F$18046,$H2378)),1,-1),-1))</ns0:f>
        <ns0:v/>
      </ns0:c>
    </ns0:row>
    <ns0:row r="2379">
      <ns0:c r="A2379" s="215">
        <ns0:f>IF(OR(AH!$P$3=0,2374+1&gt;AH!$P$11,AND(AH!$E$4&lt;&gt;"Stored",AH!$P$10&lt;&gt;1)),"",IFERROR(IF(AND(AH!$P$21=1,2374+1=AH!$P$11),TODAY(),IF(AH!$P$10=1,INDEX('Live History'!$A$5:$A$3004,AH!$P$13+2374),INDEX('AH History'!$A$1:$A$18046,AH!$P$7+2374))),""))</ns0:f>
        <ns0:v/>
      </ns0:c>
      <ns0:c r="B2379" s="219">
        <ns0:f>IFERROR(IF(AND(AH!$P$9&lt;&gt;1,$C2379&gt;0,$D2379&gt;0,$E2379&gt;0,$F2379&gt;0,$G2379&gt;0,$F2379&lt;=$A2379,$G2379&lt;=$A2379,$A2379-$F2379&lt;=10,$A2379-$G2379&lt;=5),$D2379*$E2379/$C2379-1,NA()),NA())</ns0:f>
        <ns0:v/>
      </ns0:c>
      <ns0:c r="C2379">
        <ns0:f>IFERROR(IF(ISNUMBER($A2379),IF(AND(AH!$P$10=1,AH!$P$12=1,$A2379=TODAY()),AH!$P$19,IF(AH!$P$10=1,INDEX('Live History'!$B$5:$B$3004,AH!$P$13+2374),INDEX('AH History'!$B$1:$B$18046,AH!$P$7+2374))),NA()),NA())</ns0:f>
        <ns0:v/>
      </ns0:c>
      <ns0:c r="D2379">
        <ns0:f>IFERROR(IF(ISNUMBER($A2379),IF(AND(AH!$P$10=1,AH!$P$12=1,$A2379=TODAY()),AH!$P$18,IF(AH!$P$10=1,INDEX('Live History'!$E$5:$E$3004,MATCH($A2379,'Live History'!$D$5:$D$3004,1)),INDEX('AH History'!$C$1:$C$18046,AH!$P$7+2374))),NA()),NA())</ns0:f>
        <ns0:v/>
      </ns0:c>
      <ns0:c r="E2379">
        <ns0:f>IFERROR(IF(ISNUMBER($A2379),IF(AND(AH!$P$10=1,AH!$P$12=1,$A2379=TODAY()),AH!$P$20,IF(AH!$P$10=1,INDEX('Live History'!$H$5:$H$3004,MATCH($A2379,'Live History'!$G$5:$G$3004,1)),INDEX('AH History'!$D$1:$D$18046,AH!$P$7+2374))),NA()),NA())</ns0:f>
        <ns0:v/>
      </ns0:c>
      <ns0:c r="F2379">
        <ns0:f>IFERROR(IF(ISNUMBER($A2379),IF(AND(AH!$P$10=1,AH!$P$12=1,$A2379=TODAY()),IF(AND(AH!$P$10=1,AH!$P$12=1,$A2379=TODAY()),TODAY(),NA()),IF(AH!$P$10=1,INDEX('Live History'!$D$5:$D$3004,MATCH($A2379,'Live History'!$D$5:$D$3004,1)),INDEX('AH History'!$E$1:$E$18046,AH!$P$7+2374))),NA()),NA())</ns0:f>
        <ns0:v/>
      </ns0:c>
      <ns0:c r="G2379">
        <ns0:f>IFERROR(IF(ISNUMBER($A2379),IF(AND(AH!$P$10=1,AH!$P$12=1,$A2379=TODAY()),IF(AND(AH!$P$10=1,AH!$P$12=1,$A2379=TODAY()),TODAY(),NA()),IF(AH!$P$10=1,INDEX('Live History'!$G$5:$G$3004,MATCH($A2379,'Live History'!$G$5:$G$3004,1)),INDEX('AH History'!$F$1:$F$18046,AH!$P$7+2374))),NA()),NA())</ns0:f>
        <ns0:v/>
      </ns0:c>
      <ns0:c r="H2379">
        <ns0:f>IFERROR(IF(AND(AH!$E$4="Bloomberg",AH!$P$10=1,ISNUMBER($A2379),$A2379&lt;=AH!$P$17),AH!$P$7-1+MATCH($A2379,INDEX('AH History'!$A$1:$A$18046,AH!$P$7):INDEX('AH History'!$A$1:$A$18046,AH!$P$7+AH!$P$8-1),0),0),0)</ns0:f>
        <ns0:v/>
      </ns0:c>
      <ns0:c r="I2379">
        <ns0:f>IF($H2379=0,0,IFERROR(IF(AND(ABS($C2379-INDEX('AH History'!$B$1:$B$18046,$H2379))&lt;=MAX(0.005,ABS(INDEX('AH History'!$B$1:$B$18046,$H2379))*0.00005),ABS($D2379-INDEX('AH History'!$C$1:$C$18046,$H2379))&lt;=MAX(0.005,ABS(INDEX('AH History'!$C$1:$C$18046,$H2379))*0.00005),ABS($E2379-INDEX('AH History'!$D$1:$D$18046,$H2379))&lt;=0.00005,$F2379=INDEX('AH History'!$E$1:$E$18046,$H2379),$G2379=INDEX('AH History'!$F$1:$F$18046,$H2379)),1,-1),-1))</ns0:f>
        <ns0:v/>
      </ns0:c>
    </ns0:row>
    <ns0:row r="2380">
      <ns0:c r="A2380" s="215">
        <ns0:f>IF(OR(AH!$P$3=0,2375+1&gt;AH!$P$11,AND(AH!$E$4&lt;&gt;"Stored",AH!$P$10&lt;&gt;1)),"",IFERROR(IF(AND(AH!$P$21=1,2375+1=AH!$P$11),TODAY(),IF(AH!$P$10=1,INDEX('Live History'!$A$5:$A$3004,AH!$P$13+2375),INDEX('AH History'!$A$1:$A$18046,AH!$P$7+2375))),""))</ns0:f>
        <ns0:v/>
      </ns0:c>
      <ns0:c r="B2380" s="219">
        <ns0:f>IFERROR(IF(AND(AH!$P$9&lt;&gt;1,$C2380&gt;0,$D2380&gt;0,$E2380&gt;0,$F2380&gt;0,$G2380&gt;0,$F2380&lt;=$A2380,$G2380&lt;=$A2380,$A2380-$F2380&lt;=10,$A2380-$G2380&lt;=5),$D2380*$E2380/$C2380-1,NA()),NA())</ns0:f>
        <ns0:v/>
      </ns0:c>
      <ns0:c r="C2380">
        <ns0:f>IFERROR(IF(ISNUMBER($A2380),IF(AND(AH!$P$10=1,AH!$P$12=1,$A2380=TODAY()),AH!$P$19,IF(AH!$P$10=1,INDEX('Live History'!$B$5:$B$3004,AH!$P$13+2375),INDEX('AH History'!$B$1:$B$18046,AH!$P$7+2375))),NA()),NA())</ns0:f>
        <ns0:v/>
      </ns0:c>
      <ns0:c r="D2380">
        <ns0:f>IFERROR(IF(ISNUMBER($A2380),IF(AND(AH!$P$10=1,AH!$P$12=1,$A2380=TODAY()),AH!$P$18,IF(AH!$P$10=1,INDEX('Live History'!$E$5:$E$3004,MATCH($A2380,'Live History'!$D$5:$D$3004,1)),INDEX('AH History'!$C$1:$C$18046,AH!$P$7+2375))),NA()),NA())</ns0:f>
        <ns0:v/>
      </ns0:c>
      <ns0:c r="E2380">
        <ns0:f>IFERROR(IF(ISNUMBER($A2380),IF(AND(AH!$P$10=1,AH!$P$12=1,$A2380=TODAY()),AH!$P$20,IF(AH!$P$10=1,INDEX('Live History'!$H$5:$H$3004,MATCH($A2380,'Live History'!$G$5:$G$3004,1)),INDEX('AH History'!$D$1:$D$18046,AH!$P$7+2375))),NA()),NA())</ns0:f>
        <ns0:v/>
      </ns0:c>
      <ns0:c r="F2380">
        <ns0:f>IFERROR(IF(ISNUMBER($A2380),IF(AND(AH!$P$10=1,AH!$P$12=1,$A2380=TODAY()),IF(AND(AH!$P$10=1,AH!$P$12=1,$A2380=TODAY()),TODAY(),NA()),IF(AH!$P$10=1,INDEX('Live History'!$D$5:$D$3004,MATCH($A2380,'Live History'!$D$5:$D$3004,1)),INDEX('AH History'!$E$1:$E$18046,AH!$P$7+2375))),NA()),NA())</ns0:f>
        <ns0:v/>
      </ns0:c>
      <ns0:c r="G2380">
        <ns0:f>IFERROR(IF(ISNUMBER($A2380),IF(AND(AH!$P$10=1,AH!$P$12=1,$A2380=TODAY()),IF(AND(AH!$P$10=1,AH!$P$12=1,$A2380=TODAY()),TODAY(),NA()),IF(AH!$P$10=1,INDEX('Live History'!$G$5:$G$3004,MATCH($A2380,'Live History'!$G$5:$G$3004,1)),INDEX('AH History'!$F$1:$F$18046,AH!$P$7+2375))),NA()),NA())</ns0:f>
        <ns0:v/>
      </ns0:c>
      <ns0:c r="H2380">
        <ns0:f>IFERROR(IF(AND(AH!$E$4="Bloomberg",AH!$P$10=1,ISNUMBER($A2380),$A2380&lt;=AH!$P$17),AH!$P$7-1+MATCH($A2380,INDEX('AH History'!$A$1:$A$18046,AH!$P$7):INDEX('AH History'!$A$1:$A$18046,AH!$P$7+AH!$P$8-1),0),0),0)</ns0:f>
        <ns0:v/>
      </ns0:c>
      <ns0:c r="I2380">
        <ns0:f>IF($H2380=0,0,IFERROR(IF(AND(ABS($C2380-INDEX('AH History'!$B$1:$B$18046,$H2380))&lt;=MAX(0.005,ABS(INDEX('AH History'!$B$1:$B$18046,$H2380))*0.00005),ABS($D2380-INDEX('AH History'!$C$1:$C$18046,$H2380))&lt;=MAX(0.005,ABS(INDEX('AH History'!$C$1:$C$18046,$H2380))*0.00005),ABS($E2380-INDEX('AH History'!$D$1:$D$18046,$H2380))&lt;=0.00005,$F2380=INDEX('AH History'!$E$1:$E$18046,$H2380),$G2380=INDEX('AH History'!$F$1:$F$18046,$H2380)),1,-1),-1))</ns0:f>
        <ns0:v/>
      </ns0:c>
    </ns0:row>
    <ns0:row r="2381">
      <ns0:c r="A2381" s="215">
        <ns0:f>IF(OR(AH!$P$3=0,2376+1&gt;AH!$P$11,AND(AH!$E$4&lt;&gt;"Stored",AH!$P$10&lt;&gt;1)),"",IFERROR(IF(AND(AH!$P$21=1,2376+1=AH!$P$11),TODAY(),IF(AH!$P$10=1,INDEX('Live History'!$A$5:$A$3004,AH!$P$13+2376),INDEX('AH History'!$A$1:$A$18046,AH!$P$7+2376))),""))</ns0:f>
        <ns0:v/>
      </ns0:c>
      <ns0:c r="B2381" s="219">
        <ns0:f>IFERROR(IF(AND(AH!$P$9&lt;&gt;1,$C2381&gt;0,$D2381&gt;0,$E2381&gt;0,$F2381&gt;0,$G2381&gt;0,$F2381&lt;=$A2381,$G2381&lt;=$A2381,$A2381-$F2381&lt;=10,$A2381-$G2381&lt;=5),$D2381*$E2381/$C2381-1,NA()),NA())</ns0:f>
        <ns0:v/>
      </ns0:c>
      <ns0:c r="C2381">
        <ns0:f>IFERROR(IF(ISNUMBER($A2381),IF(AND(AH!$P$10=1,AH!$P$12=1,$A2381=TODAY()),AH!$P$19,IF(AH!$P$10=1,INDEX('Live History'!$B$5:$B$3004,AH!$P$13+2376),INDEX('AH History'!$B$1:$B$18046,AH!$P$7+2376))),NA()),NA())</ns0:f>
        <ns0:v/>
      </ns0:c>
      <ns0:c r="D2381">
        <ns0:f>IFERROR(IF(ISNUMBER($A2381),IF(AND(AH!$P$10=1,AH!$P$12=1,$A2381=TODAY()),AH!$P$18,IF(AH!$P$10=1,INDEX('Live History'!$E$5:$E$3004,MATCH($A2381,'Live History'!$D$5:$D$3004,1)),INDEX('AH History'!$C$1:$C$18046,AH!$P$7+2376))),NA()),NA())</ns0:f>
        <ns0:v/>
      </ns0:c>
      <ns0:c r="E2381">
        <ns0:f>IFERROR(IF(ISNUMBER($A2381),IF(AND(AH!$P$10=1,AH!$P$12=1,$A2381=TODAY()),AH!$P$20,IF(AH!$P$10=1,INDEX('Live History'!$H$5:$H$3004,MATCH($A2381,'Live History'!$G$5:$G$3004,1)),INDEX('AH History'!$D$1:$D$18046,AH!$P$7+2376))),NA()),NA())</ns0:f>
        <ns0:v/>
      </ns0:c>
      <ns0:c r="F2381">
        <ns0:f>IFERROR(IF(ISNUMBER($A2381),IF(AND(AH!$P$10=1,AH!$P$12=1,$A2381=TODAY()),IF(AND(AH!$P$10=1,AH!$P$12=1,$A2381=TODAY()),TODAY(),NA()),IF(AH!$P$10=1,INDEX('Live History'!$D$5:$D$3004,MATCH($A2381,'Live History'!$D$5:$D$3004,1)),INDEX('AH History'!$E$1:$E$18046,AH!$P$7+2376))),NA()),NA())</ns0:f>
        <ns0:v/>
      </ns0:c>
      <ns0:c r="G2381">
        <ns0:f>IFERROR(IF(ISNUMBER($A2381),IF(AND(AH!$P$10=1,AH!$P$12=1,$A2381=TODAY()),IF(AND(AH!$P$10=1,AH!$P$12=1,$A2381=TODAY()),TODAY(),NA()),IF(AH!$P$10=1,INDEX('Live History'!$G$5:$G$3004,MATCH($A2381,'Live History'!$G$5:$G$3004,1)),INDEX('AH History'!$F$1:$F$18046,AH!$P$7+2376))),NA()),NA())</ns0:f>
        <ns0:v/>
      </ns0:c>
      <ns0:c r="H2381">
        <ns0:f>IFERROR(IF(AND(AH!$E$4="Bloomberg",AH!$P$10=1,ISNUMBER($A2381),$A2381&lt;=AH!$P$17),AH!$P$7-1+MATCH($A2381,INDEX('AH History'!$A$1:$A$18046,AH!$P$7):INDEX('AH History'!$A$1:$A$18046,AH!$P$7+AH!$P$8-1),0),0),0)</ns0:f>
        <ns0:v/>
      </ns0:c>
      <ns0:c r="I2381">
        <ns0:f>IF($H2381=0,0,IFERROR(IF(AND(ABS($C2381-INDEX('AH History'!$B$1:$B$18046,$H2381))&lt;=MAX(0.005,ABS(INDEX('AH History'!$B$1:$B$18046,$H2381))*0.00005),ABS($D2381-INDEX('AH History'!$C$1:$C$18046,$H2381))&lt;=MAX(0.005,ABS(INDEX('AH History'!$C$1:$C$18046,$H2381))*0.00005),ABS($E2381-INDEX('AH History'!$D$1:$D$18046,$H2381))&lt;=0.00005,$F2381=INDEX('AH History'!$E$1:$E$18046,$H2381),$G2381=INDEX('AH History'!$F$1:$F$18046,$H2381)),1,-1),-1))</ns0:f>
        <ns0:v/>
      </ns0:c>
    </ns0:row>
    <ns0:row r="2382">
      <ns0:c r="A2382" s="215">
        <ns0:f>IF(OR(AH!$P$3=0,2377+1&gt;AH!$P$11,AND(AH!$E$4&lt;&gt;"Stored",AH!$P$10&lt;&gt;1)),"",IFERROR(IF(AND(AH!$P$21=1,2377+1=AH!$P$11),TODAY(),IF(AH!$P$10=1,INDEX('Live History'!$A$5:$A$3004,AH!$P$13+2377),INDEX('AH History'!$A$1:$A$18046,AH!$P$7+2377))),""))</ns0:f>
        <ns0:v/>
      </ns0:c>
      <ns0:c r="B2382" s="219">
        <ns0:f>IFERROR(IF(AND(AH!$P$9&lt;&gt;1,$C2382&gt;0,$D2382&gt;0,$E2382&gt;0,$F2382&gt;0,$G2382&gt;0,$F2382&lt;=$A2382,$G2382&lt;=$A2382,$A2382-$F2382&lt;=10,$A2382-$G2382&lt;=5),$D2382*$E2382/$C2382-1,NA()),NA())</ns0:f>
        <ns0:v/>
      </ns0:c>
      <ns0:c r="C2382">
        <ns0:f>IFERROR(IF(ISNUMBER($A2382),IF(AND(AH!$P$10=1,AH!$P$12=1,$A2382=TODAY()),AH!$P$19,IF(AH!$P$10=1,INDEX('Live History'!$B$5:$B$3004,AH!$P$13+2377),INDEX('AH History'!$B$1:$B$18046,AH!$P$7+2377))),NA()),NA())</ns0:f>
        <ns0:v/>
      </ns0:c>
      <ns0:c r="D2382">
        <ns0:f>IFERROR(IF(ISNUMBER($A2382),IF(AND(AH!$P$10=1,AH!$P$12=1,$A2382=TODAY()),AH!$P$18,IF(AH!$P$10=1,INDEX('Live History'!$E$5:$E$3004,MATCH($A2382,'Live History'!$D$5:$D$3004,1)),INDEX('AH History'!$C$1:$C$18046,AH!$P$7+2377))),NA()),NA())</ns0:f>
        <ns0:v/>
      </ns0:c>
      <ns0:c r="E2382">
        <ns0:f>IFERROR(IF(ISNUMBER($A2382),IF(AND(AH!$P$10=1,AH!$P$12=1,$A2382=TODAY()),AH!$P$20,IF(AH!$P$10=1,INDEX('Live History'!$H$5:$H$3004,MATCH($A2382,'Live History'!$G$5:$G$3004,1)),INDEX('AH History'!$D$1:$D$18046,AH!$P$7+2377))),NA()),NA())</ns0:f>
        <ns0:v/>
      </ns0:c>
      <ns0:c r="F2382">
        <ns0:f>IFERROR(IF(ISNUMBER($A2382),IF(AND(AH!$P$10=1,AH!$P$12=1,$A2382=TODAY()),IF(AND(AH!$P$10=1,AH!$P$12=1,$A2382=TODAY()),TODAY(),NA()),IF(AH!$P$10=1,INDEX('Live History'!$D$5:$D$3004,MATCH($A2382,'Live History'!$D$5:$D$3004,1)),INDEX('AH History'!$E$1:$E$18046,AH!$P$7+2377))),NA()),NA())</ns0:f>
        <ns0:v/>
      </ns0:c>
      <ns0:c r="G2382">
        <ns0:f>IFERROR(IF(ISNUMBER($A2382),IF(AND(AH!$P$10=1,AH!$P$12=1,$A2382=TODAY()),IF(AND(AH!$P$10=1,AH!$P$12=1,$A2382=TODAY()),TODAY(),NA()),IF(AH!$P$10=1,INDEX('Live History'!$G$5:$G$3004,MATCH($A2382,'Live History'!$G$5:$G$3004,1)),INDEX('AH History'!$F$1:$F$18046,AH!$P$7+2377))),NA()),NA())</ns0:f>
        <ns0:v/>
      </ns0:c>
      <ns0:c r="H2382">
        <ns0:f>IFERROR(IF(AND(AH!$E$4="Bloomberg",AH!$P$10=1,ISNUMBER($A2382),$A2382&lt;=AH!$P$17),AH!$P$7-1+MATCH($A2382,INDEX('AH History'!$A$1:$A$18046,AH!$P$7):INDEX('AH History'!$A$1:$A$18046,AH!$P$7+AH!$P$8-1),0),0),0)</ns0:f>
        <ns0:v/>
      </ns0:c>
      <ns0:c r="I2382">
        <ns0:f>IF($H2382=0,0,IFERROR(IF(AND(ABS($C2382-INDEX('AH History'!$B$1:$B$18046,$H2382))&lt;=MAX(0.005,ABS(INDEX('AH History'!$B$1:$B$18046,$H2382))*0.00005),ABS($D2382-INDEX('AH History'!$C$1:$C$18046,$H2382))&lt;=MAX(0.005,ABS(INDEX('AH History'!$C$1:$C$18046,$H2382))*0.00005),ABS($E2382-INDEX('AH History'!$D$1:$D$18046,$H2382))&lt;=0.00005,$F2382=INDEX('AH History'!$E$1:$E$18046,$H2382),$G2382=INDEX('AH History'!$F$1:$F$18046,$H2382)),1,-1),-1))</ns0:f>
        <ns0:v/>
      </ns0:c>
    </ns0:row>
    <ns0:row r="2383">
      <ns0:c r="A2383" s="215">
        <ns0:f>IF(OR(AH!$P$3=0,2378+1&gt;AH!$P$11,AND(AH!$E$4&lt;&gt;"Stored",AH!$P$10&lt;&gt;1)),"",IFERROR(IF(AND(AH!$P$21=1,2378+1=AH!$P$11),TODAY(),IF(AH!$P$10=1,INDEX('Live History'!$A$5:$A$3004,AH!$P$13+2378),INDEX('AH History'!$A$1:$A$18046,AH!$P$7+2378))),""))</ns0:f>
        <ns0:v/>
      </ns0:c>
      <ns0:c r="B2383" s="219">
        <ns0:f>IFERROR(IF(AND(AH!$P$9&lt;&gt;1,$C2383&gt;0,$D2383&gt;0,$E2383&gt;0,$F2383&gt;0,$G2383&gt;0,$F2383&lt;=$A2383,$G2383&lt;=$A2383,$A2383-$F2383&lt;=10,$A2383-$G2383&lt;=5),$D2383*$E2383/$C2383-1,NA()),NA())</ns0:f>
        <ns0:v/>
      </ns0:c>
      <ns0:c r="C2383">
        <ns0:f>IFERROR(IF(ISNUMBER($A2383),IF(AND(AH!$P$10=1,AH!$P$12=1,$A2383=TODAY()),AH!$P$19,IF(AH!$P$10=1,INDEX('Live History'!$B$5:$B$3004,AH!$P$13+2378),INDEX('AH History'!$B$1:$B$18046,AH!$P$7+2378))),NA()),NA())</ns0:f>
        <ns0:v/>
      </ns0:c>
      <ns0:c r="D2383">
        <ns0:f>IFERROR(IF(ISNUMBER($A2383),IF(AND(AH!$P$10=1,AH!$P$12=1,$A2383=TODAY()),AH!$P$18,IF(AH!$P$10=1,INDEX('Live History'!$E$5:$E$3004,MATCH($A2383,'Live History'!$D$5:$D$3004,1)),INDEX('AH History'!$C$1:$C$18046,AH!$P$7+2378))),NA()),NA())</ns0:f>
        <ns0:v/>
      </ns0:c>
      <ns0:c r="E2383">
        <ns0:f>IFERROR(IF(ISNUMBER($A2383),IF(AND(AH!$P$10=1,AH!$P$12=1,$A2383=TODAY()),AH!$P$20,IF(AH!$P$10=1,INDEX('Live History'!$H$5:$H$3004,MATCH($A2383,'Live History'!$G$5:$G$3004,1)),INDEX('AH History'!$D$1:$D$18046,AH!$P$7+2378))),NA()),NA())</ns0:f>
        <ns0:v/>
      </ns0:c>
      <ns0:c r="F2383">
        <ns0:f>IFERROR(IF(ISNUMBER($A2383),IF(AND(AH!$P$10=1,AH!$P$12=1,$A2383=TODAY()),IF(AND(AH!$P$10=1,AH!$P$12=1,$A2383=TODAY()),TODAY(),NA()),IF(AH!$P$10=1,INDEX('Live History'!$D$5:$D$3004,MATCH($A2383,'Live History'!$D$5:$D$3004,1)),INDEX('AH History'!$E$1:$E$18046,AH!$P$7+2378))),NA()),NA())</ns0:f>
        <ns0:v/>
      </ns0:c>
      <ns0:c r="G2383">
        <ns0:f>IFERROR(IF(ISNUMBER($A2383),IF(AND(AH!$P$10=1,AH!$P$12=1,$A2383=TODAY()),IF(AND(AH!$P$10=1,AH!$P$12=1,$A2383=TODAY()),TODAY(),NA()),IF(AH!$P$10=1,INDEX('Live History'!$G$5:$G$3004,MATCH($A2383,'Live History'!$G$5:$G$3004,1)),INDEX('AH History'!$F$1:$F$18046,AH!$P$7+2378))),NA()),NA())</ns0:f>
        <ns0:v/>
      </ns0:c>
      <ns0:c r="H2383">
        <ns0:f>IFERROR(IF(AND(AH!$E$4="Bloomberg",AH!$P$10=1,ISNUMBER($A2383),$A2383&lt;=AH!$P$17),AH!$P$7-1+MATCH($A2383,INDEX('AH History'!$A$1:$A$18046,AH!$P$7):INDEX('AH History'!$A$1:$A$18046,AH!$P$7+AH!$P$8-1),0),0),0)</ns0:f>
        <ns0:v/>
      </ns0:c>
      <ns0:c r="I2383">
        <ns0:f>IF($H2383=0,0,IFERROR(IF(AND(ABS($C2383-INDEX('AH History'!$B$1:$B$18046,$H2383))&lt;=MAX(0.005,ABS(INDEX('AH History'!$B$1:$B$18046,$H2383))*0.00005),ABS($D2383-INDEX('AH History'!$C$1:$C$18046,$H2383))&lt;=MAX(0.005,ABS(INDEX('AH History'!$C$1:$C$18046,$H2383))*0.00005),ABS($E2383-INDEX('AH History'!$D$1:$D$18046,$H2383))&lt;=0.00005,$F2383=INDEX('AH History'!$E$1:$E$18046,$H2383),$G2383=INDEX('AH History'!$F$1:$F$18046,$H2383)),1,-1),-1))</ns0:f>
        <ns0:v/>
      </ns0:c>
    </ns0:row>
    <ns0:row r="2384">
      <ns0:c r="A2384" s="215">
        <ns0:f>IF(OR(AH!$P$3=0,2379+1&gt;AH!$P$11,AND(AH!$E$4&lt;&gt;"Stored",AH!$P$10&lt;&gt;1)),"",IFERROR(IF(AND(AH!$P$21=1,2379+1=AH!$P$11),TODAY(),IF(AH!$P$10=1,INDEX('Live History'!$A$5:$A$3004,AH!$P$13+2379),INDEX('AH History'!$A$1:$A$18046,AH!$P$7+2379))),""))</ns0:f>
        <ns0:v/>
      </ns0:c>
      <ns0:c r="B2384" s="219">
        <ns0:f>IFERROR(IF(AND(AH!$P$9&lt;&gt;1,$C2384&gt;0,$D2384&gt;0,$E2384&gt;0,$F2384&gt;0,$G2384&gt;0,$F2384&lt;=$A2384,$G2384&lt;=$A2384,$A2384-$F2384&lt;=10,$A2384-$G2384&lt;=5),$D2384*$E2384/$C2384-1,NA()),NA())</ns0:f>
        <ns0:v/>
      </ns0:c>
      <ns0:c r="C2384">
        <ns0:f>IFERROR(IF(ISNUMBER($A2384),IF(AND(AH!$P$10=1,AH!$P$12=1,$A2384=TODAY()),AH!$P$19,IF(AH!$P$10=1,INDEX('Live History'!$B$5:$B$3004,AH!$P$13+2379),INDEX('AH History'!$B$1:$B$18046,AH!$P$7+2379))),NA()),NA())</ns0:f>
        <ns0:v/>
      </ns0:c>
      <ns0:c r="D2384">
        <ns0:f>IFERROR(IF(ISNUMBER($A2384),IF(AND(AH!$P$10=1,AH!$P$12=1,$A2384=TODAY()),AH!$P$18,IF(AH!$P$10=1,INDEX('Live History'!$E$5:$E$3004,MATCH($A2384,'Live History'!$D$5:$D$3004,1)),INDEX('AH History'!$C$1:$C$18046,AH!$P$7+2379))),NA()),NA())</ns0:f>
        <ns0:v/>
      </ns0:c>
      <ns0:c r="E2384">
        <ns0:f>IFERROR(IF(ISNUMBER($A2384),IF(AND(AH!$P$10=1,AH!$P$12=1,$A2384=TODAY()),AH!$P$20,IF(AH!$P$10=1,INDEX('Live History'!$H$5:$H$3004,MATCH($A2384,'Live History'!$G$5:$G$3004,1)),INDEX('AH History'!$D$1:$D$18046,AH!$P$7+2379))),NA()),NA())</ns0:f>
        <ns0:v/>
      </ns0:c>
      <ns0:c r="F2384">
        <ns0:f>IFERROR(IF(ISNUMBER($A2384),IF(AND(AH!$P$10=1,AH!$P$12=1,$A2384=TODAY()),IF(AND(AH!$P$10=1,AH!$P$12=1,$A2384=TODAY()),TODAY(),NA()),IF(AH!$P$10=1,INDEX('Live History'!$D$5:$D$3004,MATCH($A2384,'Live History'!$D$5:$D$3004,1)),INDEX('AH History'!$E$1:$E$18046,AH!$P$7+2379))),NA()),NA())</ns0:f>
        <ns0:v/>
      </ns0:c>
      <ns0:c r="G2384">
        <ns0:f>IFERROR(IF(ISNUMBER($A2384),IF(AND(AH!$P$10=1,AH!$P$12=1,$A2384=TODAY()),IF(AND(AH!$P$10=1,AH!$P$12=1,$A2384=TODAY()),TODAY(),NA()),IF(AH!$P$10=1,INDEX('Live History'!$G$5:$G$3004,MATCH($A2384,'Live History'!$G$5:$G$3004,1)),INDEX('AH History'!$F$1:$F$18046,AH!$P$7+2379))),NA()),NA())</ns0:f>
        <ns0:v/>
      </ns0:c>
      <ns0:c r="H2384">
        <ns0:f>IFERROR(IF(AND(AH!$E$4="Bloomberg",AH!$P$10=1,ISNUMBER($A2384),$A2384&lt;=AH!$P$17),AH!$P$7-1+MATCH($A2384,INDEX('AH History'!$A$1:$A$18046,AH!$P$7):INDEX('AH History'!$A$1:$A$18046,AH!$P$7+AH!$P$8-1),0),0),0)</ns0:f>
        <ns0:v/>
      </ns0:c>
      <ns0:c r="I2384">
        <ns0:f>IF($H2384=0,0,IFERROR(IF(AND(ABS($C2384-INDEX('AH History'!$B$1:$B$18046,$H2384))&lt;=MAX(0.005,ABS(INDEX('AH History'!$B$1:$B$18046,$H2384))*0.00005),ABS($D2384-INDEX('AH History'!$C$1:$C$18046,$H2384))&lt;=MAX(0.005,ABS(INDEX('AH History'!$C$1:$C$18046,$H2384))*0.00005),ABS($E2384-INDEX('AH History'!$D$1:$D$18046,$H2384))&lt;=0.00005,$F2384=INDEX('AH History'!$E$1:$E$18046,$H2384),$G2384=INDEX('AH History'!$F$1:$F$18046,$H2384)),1,-1),-1))</ns0:f>
        <ns0:v/>
      </ns0:c>
    </ns0:row>
    <ns0:row r="2385">
      <ns0:c r="A2385" s="215">
        <ns0:f>IF(OR(AH!$P$3=0,2380+1&gt;AH!$P$11,AND(AH!$E$4&lt;&gt;"Stored",AH!$P$10&lt;&gt;1)),"",IFERROR(IF(AND(AH!$P$21=1,2380+1=AH!$P$11),TODAY(),IF(AH!$P$10=1,INDEX('Live History'!$A$5:$A$3004,AH!$P$13+2380),INDEX('AH History'!$A$1:$A$18046,AH!$P$7+2380))),""))</ns0:f>
        <ns0:v/>
      </ns0:c>
      <ns0:c r="B2385" s="219">
        <ns0:f>IFERROR(IF(AND(AH!$P$9&lt;&gt;1,$C2385&gt;0,$D2385&gt;0,$E2385&gt;0,$F2385&gt;0,$G2385&gt;0,$F2385&lt;=$A2385,$G2385&lt;=$A2385,$A2385-$F2385&lt;=10,$A2385-$G2385&lt;=5),$D2385*$E2385/$C2385-1,NA()),NA())</ns0:f>
        <ns0:v/>
      </ns0:c>
      <ns0:c r="C2385">
        <ns0:f>IFERROR(IF(ISNUMBER($A2385),IF(AND(AH!$P$10=1,AH!$P$12=1,$A2385=TODAY()),AH!$P$19,IF(AH!$P$10=1,INDEX('Live History'!$B$5:$B$3004,AH!$P$13+2380),INDEX('AH History'!$B$1:$B$18046,AH!$P$7+2380))),NA()),NA())</ns0:f>
        <ns0:v/>
      </ns0:c>
      <ns0:c r="D2385">
        <ns0:f>IFERROR(IF(ISNUMBER($A2385),IF(AND(AH!$P$10=1,AH!$P$12=1,$A2385=TODAY()),AH!$P$18,IF(AH!$P$10=1,INDEX('Live History'!$E$5:$E$3004,MATCH($A2385,'Live History'!$D$5:$D$3004,1)),INDEX('AH History'!$C$1:$C$18046,AH!$P$7+2380))),NA()),NA())</ns0:f>
        <ns0:v/>
      </ns0:c>
      <ns0:c r="E2385">
        <ns0:f>IFERROR(IF(ISNUMBER($A2385),IF(AND(AH!$P$10=1,AH!$P$12=1,$A2385=TODAY()),AH!$P$20,IF(AH!$P$10=1,INDEX('Live History'!$H$5:$H$3004,MATCH($A2385,'Live History'!$G$5:$G$3004,1)),INDEX('AH History'!$D$1:$D$18046,AH!$P$7+2380))),NA()),NA())</ns0:f>
        <ns0:v/>
      </ns0:c>
      <ns0:c r="F2385">
        <ns0:f>IFERROR(IF(ISNUMBER($A2385),IF(AND(AH!$P$10=1,AH!$P$12=1,$A2385=TODAY()),IF(AND(AH!$P$10=1,AH!$P$12=1,$A2385=TODAY()),TODAY(),NA()),IF(AH!$P$10=1,INDEX('Live History'!$D$5:$D$3004,MATCH($A2385,'Live History'!$D$5:$D$3004,1)),INDEX('AH History'!$E$1:$E$18046,AH!$P$7+2380))),NA()),NA())</ns0:f>
        <ns0:v/>
      </ns0:c>
      <ns0:c r="G2385">
        <ns0:f>IFERROR(IF(ISNUMBER($A2385),IF(AND(AH!$P$10=1,AH!$P$12=1,$A2385=TODAY()),IF(AND(AH!$P$10=1,AH!$P$12=1,$A2385=TODAY()),TODAY(),NA()),IF(AH!$P$10=1,INDEX('Live History'!$G$5:$G$3004,MATCH($A2385,'Live History'!$G$5:$G$3004,1)),INDEX('AH History'!$F$1:$F$18046,AH!$P$7+2380))),NA()),NA())</ns0:f>
        <ns0:v/>
      </ns0:c>
      <ns0:c r="H2385">
        <ns0:f>IFERROR(IF(AND(AH!$E$4="Bloomberg",AH!$P$10=1,ISNUMBER($A2385),$A2385&lt;=AH!$P$17),AH!$P$7-1+MATCH($A2385,INDEX('AH History'!$A$1:$A$18046,AH!$P$7):INDEX('AH History'!$A$1:$A$18046,AH!$P$7+AH!$P$8-1),0),0),0)</ns0:f>
        <ns0:v/>
      </ns0:c>
      <ns0:c r="I2385">
        <ns0:f>IF($H2385=0,0,IFERROR(IF(AND(ABS($C2385-INDEX('AH History'!$B$1:$B$18046,$H2385))&lt;=MAX(0.005,ABS(INDEX('AH History'!$B$1:$B$18046,$H2385))*0.00005),ABS($D2385-INDEX('AH History'!$C$1:$C$18046,$H2385))&lt;=MAX(0.005,ABS(INDEX('AH History'!$C$1:$C$18046,$H2385))*0.00005),ABS($E2385-INDEX('AH History'!$D$1:$D$18046,$H2385))&lt;=0.00005,$F2385=INDEX('AH History'!$E$1:$E$18046,$H2385),$G2385=INDEX('AH History'!$F$1:$F$18046,$H2385)),1,-1),-1))</ns0:f>
        <ns0:v/>
      </ns0:c>
    </ns0:row>
    <ns0:row r="2386">
      <ns0:c r="A2386" s="215">
        <ns0:f>IF(OR(AH!$P$3=0,2381+1&gt;AH!$P$11,AND(AH!$E$4&lt;&gt;"Stored",AH!$P$10&lt;&gt;1)),"",IFERROR(IF(AND(AH!$P$21=1,2381+1=AH!$P$11),TODAY(),IF(AH!$P$10=1,INDEX('Live History'!$A$5:$A$3004,AH!$P$13+2381),INDEX('AH History'!$A$1:$A$18046,AH!$P$7+2381))),""))</ns0:f>
        <ns0:v/>
      </ns0:c>
      <ns0:c r="B2386" s="219">
        <ns0:f>IFERROR(IF(AND(AH!$P$9&lt;&gt;1,$C2386&gt;0,$D2386&gt;0,$E2386&gt;0,$F2386&gt;0,$G2386&gt;0,$F2386&lt;=$A2386,$G2386&lt;=$A2386,$A2386-$F2386&lt;=10,$A2386-$G2386&lt;=5),$D2386*$E2386/$C2386-1,NA()),NA())</ns0:f>
        <ns0:v/>
      </ns0:c>
      <ns0:c r="C2386">
        <ns0:f>IFERROR(IF(ISNUMBER($A2386),IF(AND(AH!$P$10=1,AH!$P$12=1,$A2386=TODAY()),AH!$P$19,IF(AH!$P$10=1,INDEX('Live History'!$B$5:$B$3004,AH!$P$13+2381),INDEX('AH History'!$B$1:$B$18046,AH!$P$7+2381))),NA()),NA())</ns0:f>
        <ns0:v/>
      </ns0:c>
      <ns0:c r="D2386">
        <ns0:f>IFERROR(IF(ISNUMBER($A2386),IF(AND(AH!$P$10=1,AH!$P$12=1,$A2386=TODAY()),AH!$P$18,IF(AH!$P$10=1,INDEX('Live History'!$E$5:$E$3004,MATCH($A2386,'Live History'!$D$5:$D$3004,1)),INDEX('AH History'!$C$1:$C$18046,AH!$P$7+2381))),NA()),NA())</ns0:f>
        <ns0:v/>
      </ns0:c>
      <ns0:c r="E2386">
        <ns0:f>IFERROR(IF(ISNUMBER($A2386),IF(AND(AH!$P$10=1,AH!$P$12=1,$A2386=TODAY()),AH!$P$20,IF(AH!$P$10=1,INDEX('Live History'!$H$5:$H$3004,MATCH($A2386,'Live History'!$G$5:$G$3004,1)),INDEX('AH History'!$D$1:$D$18046,AH!$P$7+2381))),NA()),NA())</ns0:f>
        <ns0:v/>
      </ns0:c>
      <ns0:c r="F2386">
        <ns0:f>IFERROR(IF(ISNUMBER($A2386),IF(AND(AH!$P$10=1,AH!$P$12=1,$A2386=TODAY()),IF(AND(AH!$P$10=1,AH!$P$12=1,$A2386=TODAY()),TODAY(),NA()),IF(AH!$P$10=1,INDEX('Live History'!$D$5:$D$3004,MATCH($A2386,'Live History'!$D$5:$D$3004,1)),INDEX('AH History'!$E$1:$E$18046,AH!$P$7+2381))),NA()),NA())</ns0:f>
        <ns0:v/>
      </ns0:c>
      <ns0:c r="G2386">
        <ns0:f>IFERROR(IF(ISNUMBER($A2386),IF(AND(AH!$P$10=1,AH!$P$12=1,$A2386=TODAY()),IF(AND(AH!$P$10=1,AH!$P$12=1,$A2386=TODAY()),TODAY(),NA()),IF(AH!$P$10=1,INDEX('Live History'!$G$5:$G$3004,MATCH($A2386,'Live History'!$G$5:$G$3004,1)),INDEX('AH History'!$F$1:$F$18046,AH!$P$7+2381))),NA()),NA())</ns0:f>
        <ns0:v/>
      </ns0:c>
      <ns0:c r="H2386">
        <ns0:f>IFERROR(IF(AND(AH!$E$4="Bloomberg",AH!$P$10=1,ISNUMBER($A2386),$A2386&lt;=AH!$P$17),AH!$P$7-1+MATCH($A2386,INDEX('AH History'!$A$1:$A$18046,AH!$P$7):INDEX('AH History'!$A$1:$A$18046,AH!$P$7+AH!$P$8-1),0),0),0)</ns0:f>
        <ns0:v/>
      </ns0:c>
      <ns0:c r="I2386">
        <ns0:f>IF($H2386=0,0,IFERROR(IF(AND(ABS($C2386-INDEX('AH History'!$B$1:$B$18046,$H2386))&lt;=MAX(0.005,ABS(INDEX('AH History'!$B$1:$B$18046,$H2386))*0.00005),ABS($D2386-INDEX('AH History'!$C$1:$C$18046,$H2386))&lt;=MAX(0.005,ABS(INDEX('AH History'!$C$1:$C$18046,$H2386))*0.00005),ABS($E2386-INDEX('AH History'!$D$1:$D$18046,$H2386))&lt;=0.00005,$F2386=INDEX('AH History'!$E$1:$E$18046,$H2386),$G2386=INDEX('AH History'!$F$1:$F$18046,$H2386)),1,-1),-1))</ns0:f>
        <ns0:v/>
      </ns0:c>
    </ns0:row>
    <ns0:row r="2387">
      <ns0:c r="A2387" s="215">
        <ns0:f>IF(OR(AH!$P$3=0,2382+1&gt;AH!$P$11,AND(AH!$E$4&lt;&gt;"Stored",AH!$P$10&lt;&gt;1)),"",IFERROR(IF(AND(AH!$P$21=1,2382+1=AH!$P$11),TODAY(),IF(AH!$P$10=1,INDEX('Live History'!$A$5:$A$3004,AH!$P$13+2382),INDEX('AH History'!$A$1:$A$18046,AH!$P$7+2382))),""))</ns0:f>
        <ns0:v/>
      </ns0:c>
      <ns0:c r="B2387" s="219">
        <ns0:f>IFERROR(IF(AND(AH!$P$9&lt;&gt;1,$C2387&gt;0,$D2387&gt;0,$E2387&gt;0,$F2387&gt;0,$G2387&gt;0,$F2387&lt;=$A2387,$G2387&lt;=$A2387,$A2387-$F2387&lt;=10,$A2387-$G2387&lt;=5),$D2387*$E2387/$C2387-1,NA()),NA())</ns0:f>
        <ns0:v/>
      </ns0:c>
      <ns0:c r="C2387">
        <ns0:f>IFERROR(IF(ISNUMBER($A2387),IF(AND(AH!$P$10=1,AH!$P$12=1,$A2387=TODAY()),AH!$P$19,IF(AH!$P$10=1,INDEX('Live History'!$B$5:$B$3004,AH!$P$13+2382),INDEX('AH History'!$B$1:$B$18046,AH!$P$7+2382))),NA()),NA())</ns0:f>
        <ns0:v/>
      </ns0:c>
      <ns0:c r="D2387">
        <ns0:f>IFERROR(IF(ISNUMBER($A2387),IF(AND(AH!$P$10=1,AH!$P$12=1,$A2387=TODAY()),AH!$P$18,IF(AH!$P$10=1,INDEX('Live History'!$E$5:$E$3004,MATCH($A2387,'Live History'!$D$5:$D$3004,1)),INDEX('AH History'!$C$1:$C$18046,AH!$P$7+2382))),NA()),NA())</ns0:f>
        <ns0:v/>
      </ns0:c>
      <ns0:c r="E2387">
        <ns0:f>IFERROR(IF(ISNUMBER($A2387),IF(AND(AH!$P$10=1,AH!$P$12=1,$A2387=TODAY()),AH!$P$20,IF(AH!$P$10=1,INDEX('Live History'!$H$5:$H$3004,MATCH($A2387,'Live History'!$G$5:$G$3004,1)),INDEX('AH History'!$D$1:$D$18046,AH!$P$7+2382))),NA()),NA())</ns0:f>
        <ns0:v/>
      </ns0:c>
      <ns0:c r="F2387">
        <ns0:f>IFERROR(IF(ISNUMBER($A2387),IF(AND(AH!$P$10=1,AH!$P$12=1,$A2387=TODAY()),IF(AND(AH!$P$10=1,AH!$P$12=1,$A2387=TODAY()),TODAY(),NA()),IF(AH!$P$10=1,INDEX('Live History'!$D$5:$D$3004,MATCH($A2387,'Live History'!$D$5:$D$3004,1)),INDEX('AH History'!$E$1:$E$18046,AH!$P$7+2382))),NA()),NA())</ns0:f>
        <ns0:v/>
      </ns0:c>
      <ns0:c r="G2387">
        <ns0:f>IFERROR(IF(ISNUMBER($A2387),IF(AND(AH!$P$10=1,AH!$P$12=1,$A2387=TODAY()),IF(AND(AH!$P$10=1,AH!$P$12=1,$A2387=TODAY()),TODAY(),NA()),IF(AH!$P$10=1,INDEX('Live History'!$G$5:$G$3004,MATCH($A2387,'Live History'!$G$5:$G$3004,1)),INDEX('AH History'!$F$1:$F$18046,AH!$P$7+2382))),NA()),NA())</ns0:f>
        <ns0:v/>
      </ns0:c>
      <ns0:c r="H2387">
        <ns0:f>IFERROR(IF(AND(AH!$E$4="Bloomberg",AH!$P$10=1,ISNUMBER($A2387),$A2387&lt;=AH!$P$17),AH!$P$7-1+MATCH($A2387,INDEX('AH History'!$A$1:$A$18046,AH!$P$7):INDEX('AH History'!$A$1:$A$18046,AH!$P$7+AH!$P$8-1),0),0),0)</ns0:f>
        <ns0:v/>
      </ns0:c>
      <ns0:c r="I2387">
        <ns0:f>IF($H2387=0,0,IFERROR(IF(AND(ABS($C2387-INDEX('AH History'!$B$1:$B$18046,$H2387))&lt;=MAX(0.005,ABS(INDEX('AH History'!$B$1:$B$18046,$H2387))*0.00005),ABS($D2387-INDEX('AH History'!$C$1:$C$18046,$H2387))&lt;=MAX(0.005,ABS(INDEX('AH History'!$C$1:$C$18046,$H2387))*0.00005),ABS($E2387-INDEX('AH History'!$D$1:$D$18046,$H2387))&lt;=0.00005,$F2387=INDEX('AH History'!$E$1:$E$18046,$H2387),$G2387=INDEX('AH History'!$F$1:$F$18046,$H2387)),1,-1),-1))</ns0:f>
        <ns0:v/>
      </ns0:c>
    </ns0:row>
    <ns0:row r="2388">
      <ns0:c r="A2388" s="215">
        <ns0:f>IF(OR(AH!$P$3=0,2383+1&gt;AH!$P$11,AND(AH!$E$4&lt;&gt;"Stored",AH!$P$10&lt;&gt;1)),"",IFERROR(IF(AND(AH!$P$21=1,2383+1=AH!$P$11),TODAY(),IF(AH!$P$10=1,INDEX('Live History'!$A$5:$A$3004,AH!$P$13+2383),INDEX('AH History'!$A$1:$A$18046,AH!$P$7+2383))),""))</ns0:f>
        <ns0:v/>
      </ns0:c>
      <ns0:c r="B2388" s="219">
        <ns0:f>IFERROR(IF(AND(AH!$P$9&lt;&gt;1,$C2388&gt;0,$D2388&gt;0,$E2388&gt;0,$F2388&gt;0,$G2388&gt;0,$F2388&lt;=$A2388,$G2388&lt;=$A2388,$A2388-$F2388&lt;=10,$A2388-$G2388&lt;=5),$D2388*$E2388/$C2388-1,NA()),NA())</ns0:f>
        <ns0:v/>
      </ns0:c>
      <ns0:c r="C2388">
        <ns0:f>IFERROR(IF(ISNUMBER($A2388),IF(AND(AH!$P$10=1,AH!$P$12=1,$A2388=TODAY()),AH!$P$19,IF(AH!$P$10=1,INDEX('Live History'!$B$5:$B$3004,AH!$P$13+2383),INDEX('AH History'!$B$1:$B$18046,AH!$P$7+2383))),NA()),NA())</ns0:f>
        <ns0:v/>
      </ns0:c>
      <ns0:c r="D2388">
        <ns0:f>IFERROR(IF(ISNUMBER($A2388),IF(AND(AH!$P$10=1,AH!$P$12=1,$A2388=TODAY()),AH!$P$18,IF(AH!$P$10=1,INDEX('Live History'!$E$5:$E$3004,MATCH($A2388,'Live History'!$D$5:$D$3004,1)),INDEX('AH History'!$C$1:$C$18046,AH!$P$7+2383))),NA()),NA())</ns0:f>
        <ns0:v/>
      </ns0:c>
      <ns0:c r="E2388">
        <ns0:f>IFERROR(IF(ISNUMBER($A2388),IF(AND(AH!$P$10=1,AH!$P$12=1,$A2388=TODAY()),AH!$P$20,IF(AH!$P$10=1,INDEX('Live History'!$H$5:$H$3004,MATCH($A2388,'Live History'!$G$5:$G$3004,1)),INDEX('AH History'!$D$1:$D$18046,AH!$P$7+2383))),NA()),NA())</ns0:f>
        <ns0:v/>
      </ns0:c>
      <ns0:c r="F2388">
        <ns0:f>IFERROR(IF(ISNUMBER($A2388),IF(AND(AH!$P$10=1,AH!$P$12=1,$A2388=TODAY()),IF(AND(AH!$P$10=1,AH!$P$12=1,$A2388=TODAY()),TODAY(),NA()),IF(AH!$P$10=1,INDEX('Live History'!$D$5:$D$3004,MATCH($A2388,'Live History'!$D$5:$D$3004,1)),INDEX('AH History'!$E$1:$E$18046,AH!$P$7+2383))),NA()),NA())</ns0:f>
        <ns0:v/>
      </ns0:c>
      <ns0:c r="G2388">
        <ns0:f>IFERROR(IF(ISNUMBER($A2388),IF(AND(AH!$P$10=1,AH!$P$12=1,$A2388=TODAY()),IF(AND(AH!$P$10=1,AH!$P$12=1,$A2388=TODAY()),TODAY(),NA()),IF(AH!$P$10=1,INDEX('Live History'!$G$5:$G$3004,MATCH($A2388,'Live History'!$G$5:$G$3004,1)),INDEX('AH History'!$F$1:$F$18046,AH!$P$7+2383))),NA()),NA())</ns0:f>
        <ns0:v/>
      </ns0:c>
      <ns0:c r="H2388">
        <ns0:f>IFERROR(IF(AND(AH!$E$4="Bloomberg",AH!$P$10=1,ISNUMBER($A2388),$A2388&lt;=AH!$P$17),AH!$P$7-1+MATCH($A2388,INDEX('AH History'!$A$1:$A$18046,AH!$P$7):INDEX('AH History'!$A$1:$A$18046,AH!$P$7+AH!$P$8-1),0),0),0)</ns0:f>
        <ns0:v/>
      </ns0:c>
      <ns0:c r="I2388">
        <ns0:f>IF($H2388=0,0,IFERROR(IF(AND(ABS($C2388-INDEX('AH History'!$B$1:$B$18046,$H2388))&lt;=MAX(0.005,ABS(INDEX('AH History'!$B$1:$B$18046,$H2388))*0.00005),ABS($D2388-INDEX('AH History'!$C$1:$C$18046,$H2388))&lt;=MAX(0.005,ABS(INDEX('AH History'!$C$1:$C$18046,$H2388))*0.00005),ABS($E2388-INDEX('AH History'!$D$1:$D$18046,$H2388))&lt;=0.00005,$F2388=INDEX('AH History'!$E$1:$E$18046,$H2388),$G2388=INDEX('AH History'!$F$1:$F$18046,$H2388)),1,-1),-1))</ns0:f>
        <ns0:v/>
      </ns0:c>
    </ns0:row>
    <ns0:row r="2389">
      <ns0:c r="A2389" s="215">
        <ns0:f>IF(OR(AH!$P$3=0,2384+1&gt;AH!$P$11,AND(AH!$E$4&lt;&gt;"Stored",AH!$P$10&lt;&gt;1)),"",IFERROR(IF(AND(AH!$P$21=1,2384+1=AH!$P$11),TODAY(),IF(AH!$P$10=1,INDEX('Live History'!$A$5:$A$3004,AH!$P$13+2384),INDEX('AH History'!$A$1:$A$18046,AH!$P$7+2384))),""))</ns0:f>
        <ns0:v/>
      </ns0:c>
      <ns0:c r="B2389" s="219">
        <ns0:f>IFERROR(IF(AND(AH!$P$9&lt;&gt;1,$C2389&gt;0,$D2389&gt;0,$E2389&gt;0,$F2389&gt;0,$G2389&gt;0,$F2389&lt;=$A2389,$G2389&lt;=$A2389,$A2389-$F2389&lt;=10,$A2389-$G2389&lt;=5),$D2389*$E2389/$C2389-1,NA()),NA())</ns0:f>
        <ns0:v/>
      </ns0:c>
      <ns0:c r="C2389">
        <ns0:f>IFERROR(IF(ISNUMBER($A2389),IF(AND(AH!$P$10=1,AH!$P$12=1,$A2389=TODAY()),AH!$P$19,IF(AH!$P$10=1,INDEX('Live History'!$B$5:$B$3004,AH!$P$13+2384),INDEX('AH History'!$B$1:$B$18046,AH!$P$7+2384))),NA()),NA())</ns0:f>
        <ns0:v/>
      </ns0:c>
      <ns0:c r="D2389">
        <ns0:f>IFERROR(IF(ISNUMBER($A2389),IF(AND(AH!$P$10=1,AH!$P$12=1,$A2389=TODAY()),AH!$P$18,IF(AH!$P$10=1,INDEX('Live History'!$E$5:$E$3004,MATCH($A2389,'Live History'!$D$5:$D$3004,1)),INDEX('AH History'!$C$1:$C$18046,AH!$P$7+2384))),NA()),NA())</ns0:f>
        <ns0:v/>
      </ns0:c>
      <ns0:c r="E2389">
        <ns0:f>IFERROR(IF(ISNUMBER($A2389),IF(AND(AH!$P$10=1,AH!$P$12=1,$A2389=TODAY()),AH!$P$20,IF(AH!$P$10=1,INDEX('Live History'!$H$5:$H$3004,MATCH($A2389,'Live History'!$G$5:$G$3004,1)),INDEX('AH History'!$D$1:$D$18046,AH!$P$7+2384))),NA()),NA())</ns0:f>
        <ns0:v/>
      </ns0:c>
      <ns0:c r="F2389">
        <ns0:f>IFERROR(IF(ISNUMBER($A2389),IF(AND(AH!$P$10=1,AH!$P$12=1,$A2389=TODAY()),IF(AND(AH!$P$10=1,AH!$P$12=1,$A2389=TODAY()),TODAY(),NA()),IF(AH!$P$10=1,INDEX('Live History'!$D$5:$D$3004,MATCH($A2389,'Live History'!$D$5:$D$3004,1)),INDEX('AH History'!$E$1:$E$18046,AH!$P$7+2384))),NA()),NA())</ns0:f>
        <ns0:v/>
      </ns0:c>
      <ns0:c r="G2389">
        <ns0:f>IFERROR(IF(ISNUMBER($A2389),IF(AND(AH!$P$10=1,AH!$P$12=1,$A2389=TODAY()),IF(AND(AH!$P$10=1,AH!$P$12=1,$A2389=TODAY()),TODAY(),NA()),IF(AH!$P$10=1,INDEX('Live History'!$G$5:$G$3004,MATCH($A2389,'Live History'!$G$5:$G$3004,1)),INDEX('AH History'!$F$1:$F$18046,AH!$P$7+2384))),NA()),NA())</ns0:f>
        <ns0:v/>
      </ns0:c>
      <ns0:c r="H2389">
        <ns0:f>IFERROR(IF(AND(AH!$E$4="Bloomberg",AH!$P$10=1,ISNUMBER($A2389),$A2389&lt;=AH!$P$17),AH!$P$7-1+MATCH($A2389,INDEX('AH History'!$A$1:$A$18046,AH!$P$7):INDEX('AH History'!$A$1:$A$18046,AH!$P$7+AH!$P$8-1),0),0),0)</ns0:f>
        <ns0:v/>
      </ns0:c>
      <ns0:c r="I2389">
        <ns0:f>IF($H2389=0,0,IFERROR(IF(AND(ABS($C2389-INDEX('AH History'!$B$1:$B$18046,$H2389))&lt;=MAX(0.005,ABS(INDEX('AH History'!$B$1:$B$18046,$H2389))*0.00005),ABS($D2389-INDEX('AH History'!$C$1:$C$18046,$H2389))&lt;=MAX(0.005,ABS(INDEX('AH History'!$C$1:$C$18046,$H2389))*0.00005),ABS($E2389-INDEX('AH History'!$D$1:$D$18046,$H2389))&lt;=0.00005,$F2389=INDEX('AH History'!$E$1:$E$18046,$H2389),$G2389=INDEX('AH History'!$F$1:$F$18046,$H2389)),1,-1),-1))</ns0:f>
        <ns0:v/>
      </ns0:c>
    </ns0:row>
    <ns0:row r="2390">
      <ns0:c r="A2390" s="215">
        <ns0:f>IF(OR(AH!$P$3=0,2385+1&gt;AH!$P$11,AND(AH!$E$4&lt;&gt;"Stored",AH!$P$10&lt;&gt;1)),"",IFERROR(IF(AND(AH!$P$21=1,2385+1=AH!$P$11),TODAY(),IF(AH!$P$10=1,INDEX('Live History'!$A$5:$A$3004,AH!$P$13+2385),INDEX('AH History'!$A$1:$A$18046,AH!$P$7+2385))),""))</ns0:f>
        <ns0:v/>
      </ns0:c>
      <ns0:c r="B2390" s="219">
        <ns0:f>IFERROR(IF(AND(AH!$P$9&lt;&gt;1,$C2390&gt;0,$D2390&gt;0,$E2390&gt;0,$F2390&gt;0,$G2390&gt;0,$F2390&lt;=$A2390,$G2390&lt;=$A2390,$A2390-$F2390&lt;=10,$A2390-$G2390&lt;=5),$D2390*$E2390/$C2390-1,NA()),NA())</ns0:f>
        <ns0:v/>
      </ns0:c>
      <ns0:c r="C2390">
        <ns0:f>IFERROR(IF(ISNUMBER($A2390),IF(AND(AH!$P$10=1,AH!$P$12=1,$A2390=TODAY()),AH!$P$19,IF(AH!$P$10=1,INDEX('Live History'!$B$5:$B$3004,AH!$P$13+2385),INDEX('AH History'!$B$1:$B$18046,AH!$P$7+2385))),NA()),NA())</ns0:f>
        <ns0:v/>
      </ns0:c>
      <ns0:c r="D2390">
        <ns0:f>IFERROR(IF(ISNUMBER($A2390),IF(AND(AH!$P$10=1,AH!$P$12=1,$A2390=TODAY()),AH!$P$18,IF(AH!$P$10=1,INDEX('Live History'!$E$5:$E$3004,MATCH($A2390,'Live History'!$D$5:$D$3004,1)),INDEX('AH History'!$C$1:$C$18046,AH!$P$7+2385))),NA()),NA())</ns0:f>
        <ns0:v/>
      </ns0:c>
      <ns0:c r="E2390">
        <ns0:f>IFERROR(IF(ISNUMBER($A2390),IF(AND(AH!$P$10=1,AH!$P$12=1,$A2390=TODAY()),AH!$P$20,IF(AH!$P$10=1,INDEX('Live History'!$H$5:$H$3004,MATCH($A2390,'Live History'!$G$5:$G$3004,1)),INDEX('AH History'!$D$1:$D$18046,AH!$P$7+2385))),NA()),NA())</ns0:f>
        <ns0:v/>
      </ns0:c>
      <ns0:c r="F2390">
        <ns0:f>IFERROR(IF(ISNUMBER($A2390),IF(AND(AH!$P$10=1,AH!$P$12=1,$A2390=TODAY()),IF(AND(AH!$P$10=1,AH!$P$12=1,$A2390=TODAY()),TODAY(),NA()),IF(AH!$P$10=1,INDEX('Live History'!$D$5:$D$3004,MATCH($A2390,'Live History'!$D$5:$D$3004,1)),INDEX('AH History'!$E$1:$E$18046,AH!$P$7+2385))),NA()),NA())</ns0:f>
        <ns0:v/>
      </ns0:c>
      <ns0:c r="G2390">
        <ns0:f>IFERROR(IF(ISNUMBER($A2390),IF(AND(AH!$P$10=1,AH!$P$12=1,$A2390=TODAY()),IF(AND(AH!$P$10=1,AH!$P$12=1,$A2390=TODAY()),TODAY(),NA()),IF(AH!$P$10=1,INDEX('Live History'!$G$5:$G$3004,MATCH($A2390,'Live History'!$G$5:$G$3004,1)),INDEX('AH History'!$F$1:$F$18046,AH!$P$7+2385))),NA()),NA())</ns0:f>
        <ns0:v/>
      </ns0:c>
      <ns0:c r="H2390">
        <ns0:f>IFERROR(IF(AND(AH!$E$4="Bloomberg",AH!$P$10=1,ISNUMBER($A2390),$A2390&lt;=AH!$P$17),AH!$P$7-1+MATCH($A2390,INDEX('AH History'!$A$1:$A$18046,AH!$P$7):INDEX('AH History'!$A$1:$A$18046,AH!$P$7+AH!$P$8-1),0),0),0)</ns0:f>
        <ns0:v/>
      </ns0:c>
      <ns0:c r="I2390">
        <ns0:f>IF($H2390=0,0,IFERROR(IF(AND(ABS($C2390-INDEX('AH History'!$B$1:$B$18046,$H2390))&lt;=MAX(0.005,ABS(INDEX('AH History'!$B$1:$B$18046,$H2390))*0.00005),ABS($D2390-INDEX('AH History'!$C$1:$C$18046,$H2390))&lt;=MAX(0.005,ABS(INDEX('AH History'!$C$1:$C$18046,$H2390))*0.00005),ABS($E2390-INDEX('AH History'!$D$1:$D$18046,$H2390))&lt;=0.00005,$F2390=INDEX('AH History'!$E$1:$E$18046,$H2390),$G2390=INDEX('AH History'!$F$1:$F$18046,$H2390)),1,-1),-1))</ns0:f>
        <ns0:v/>
      </ns0:c>
    </ns0:row>
    <ns0:row r="2391">
      <ns0:c r="A2391" s="215">
        <ns0:f>IF(OR(AH!$P$3=0,2386+1&gt;AH!$P$11,AND(AH!$E$4&lt;&gt;"Stored",AH!$P$10&lt;&gt;1)),"",IFERROR(IF(AND(AH!$P$21=1,2386+1=AH!$P$11),TODAY(),IF(AH!$P$10=1,INDEX('Live History'!$A$5:$A$3004,AH!$P$13+2386),INDEX('AH History'!$A$1:$A$18046,AH!$P$7+2386))),""))</ns0:f>
        <ns0:v/>
      </ns0:c>
      <ns0:c r="B2391" s="219">
        <ns0:f>IFERROR(IF(AND(AH!$P$9&lt;&gt;1,$C2391&gt;0,$D2391&gt;0,$E2391&gt;0,$F2391&gt;0,$G2391&gt;0,$F2391&lt;=$A2391,$G2391&lt;=$A2391,$A2391-$F2391&lt;=10,$A2391-$G2391&lt;=5),$D2391*$E2391/$C2391-1,NA()),NA())</ns0:f>
        <ns0:v/>
      </ns0:c>
      <ns0:c r="C2391">
        <ns0:f>IFERROR(IF(ISNUMBER($A2391),IF(AND(AH!$P$10=1,AH!$P$12=1,$A2391=TODAY()),AH!$P$19,IF(AH!$P$10=1,INDEX('Live History'!$B$5:$B$3004,AH!$P$13+2386),INDEX('AH History'!$B$1:$B$18046,AH!$P$7+2386))),NA()),NA())</ns0:f>
        <ns0:v/>
      </ns0:c>
      <ns0:c r="D2391">
        <ns0:f>IFERROR(IF(ISNUMBER($A2391),IF(AND(AH!$P$10=1,AH!$P$12=1,$A2391=TODAY()),AH!$P$18,IF(AH!$P$10=1,INDEX('Live History'!$E$5:$E$3004,MATCH($A2391,'Live History'!$D$5:$D$3004,1)),INDEX('AH History'!$C$1:$C$18046,AH!$P$7+2386))),NA()),NA())</ns0:f>
        <ns0:v/>
      </ns0:c>
      <ns0:c r="E2391">
        <ns0:f>IFERROR(IF(ISNUMBER($A2391),IF(AND(AH!$P$10=1,AH!$P$12=1,$A2391=TODAY()),AH!$P$20,IF(AH!$P$10=1,INDEX('Live History'!$H$5:$H$3004,MATCH($A2391,'Live History'!$G$5:$G$3004,1)),INDEX('AH History'!$D$1:$D$18046,AH!$P$7+2386))),NA()),NA())</ns0:f>
        <ns0:v/>
      </ns0:c>
      <ns0:c r="F2391">
        <ns0:f>IFERROR(IF(ISNUMBER($A2391),IF(AND(AH!$P$10=1,AH!$P$12=1,$A2391=TODAY()),IF(AND(AH!$P$10=1,AH!$P$12=1,$A2391=TODAY()),TODAY(),NA()),IF(AH!$P$10=1,INDEX('Live History'!$D$5:$D$3004,MATCH($A2391,'Live History'!$D$5:$D$3004,1)),INDEX('AH History'!$E$1:$E$18046,AH!$P$7+2386))),NA()),NA())</ns0:f>
        <ns0:v/>
      </ns0:c>
      <ns0:c r="G2391">
        <ns0:f>IFERROR(IF(ISNUMBER($A2391),IF(AND(AH!$P$10=1,AH!$P$12=1,$A2391=TODAY()),IF(AND(AH!$P$10=1,AH!$P$12=1,$A2391=TODAY()),TODAY(),NA()),IF(AH!$P$10=1,INDEX('Live History'!$G$5:$G$3004,MATCH($A2391,'Live History'!$G$5:$G$3004,1)),INDEX('AH History'!$F$1:$F$18046,AH!$P$7+2386))),NA()),NA())</ns0:f>
        <ns0:v/>
      </ns0:c>
      <ns0:c r="H2391">
        <ns0:f>IFERROR(IF(AND(AH!$E$4="Bloomberg",AH!$P$10=1,ISNUMBER($A2391),$A2391&lt;=AH!$P$17),AH!$P$7-1+MATCH($A2391,INDEX('AH History'!$A$1:$A$18046,AH!$P$7):INDEX('AH History'!$A$1:$A$18046,AH!$P$7+AH!$P$8-1),0),0),0)</ns0:f>
        <ns0:v/>
      </ns0:c>
      <ns0:c r="I2391">
        <ns0:f>IF($H2391=0,0,IFERROR(IF(AND(ABS($C2391-INDEX('AH History'!$B$1:$B$18046,$H2391))&lt;=MAX(0.005,ABS(INDEX('AH History'!$B$1:$B$18046,$H2391))*0.00005),ABS($D2391-INDEX('AH History'!$C$1:$C$18046,$H2391))&lt;=MAX(0.005,ABS(INDEX('AH History'!$C$1:$C$18046,$H2391))*0.00005),ABS($E2391-INDEX('AH History'!$D$1:$D$18046,$H2391))&lt;=0.00005,$F2391=INDEX('AH History'!$E$1:$E$18046,$H2391),$G2391=INDEX('AH History'!$F$1:$F$18046,$H2391)),1,-1),-1))</ns0:f>
        <ns0:v/>
      </ns0:c>
    </ns0:row>
    <ns0:row r="2392">
      <ns0:c r="A2392" s="215">
        <ns0:f>IF(OR(AH!$P$3=0,2387+1&gt;AH!$P$11,AND(AH!$E$4&lt;&gt;"Stored",AH!$P$10&lt;&gt;1)),"",IFERROR(IF(AND(AH!$P$21=1,2387+1=AH!$P$11),TODAY(),IF(AH!$P$10=1,INDEX('Live History'!$A$5:$A$3004,AH!$P$13+2387),INDEX('AH History'!$A$1:$A$18046,AH!$P$7+2387))),""))</ns0:f>
        <ns0:v/>
      </ns0:c>
      <ns0:c r="B2392" s="219">
        <ns0:f>IFERROR(IF(AND(AH!$P$9&lt;&gt;1,$C2392&gt;0,$D2392&gt;0,$E2392&gt;0,$F2392&gt;0,$G2392&gt;0,$F2392&lt;=$A2392,$G2392&lt;=$A2392,$A2392-$F2392&lt;=10,$A2392-$G2392&lt;=5),$D2392*$E2392/$C2392-1,NA()),NA())</ns0:f>
        <ns0:v/>
      </ns0:c>
      <ns0:c r="C2392">
        <ns0:f>IFERROR(IF(ISNUMBER($A2392),IF(AND(AH!$P$10=1,AH!$P$12=1,$A2392=TODAY()),AH!$P$19,IF(AH!$P$10=1,INDEX('Live History'!$B$5:$B$3004,AH!$P$13+2387),INDEX('AH History'!$B$1:$B$18046,AH!$P$7+2387))),NA()),NA())</ns0:f>
        <ns0:v/>
      </ns0:c>
      <ns0:c r="D2392">
        <ns0:f>IFERROR(IF(ISNUMBER($A2392),IF(AND(AH!$P$10=1,AH!$P$12=1,$A2392=TODAY()),AH!$P$18,IF(AH!$P$10=1,INDEX('Live History'!$E$5:$E$3004,MATCH($A2392,'Live History'!$D$5:$D$3004,1)),INDEX('AH History'!$C$1:$C$18046,AH!$P$7+2387))),NA()),NA())</ns0:f>
        <ns0:v/>
      </ns0:c>
      <ns0:c r="E2392">
        <ns0:f>IFERROR(IF(ISNUMBER($A2392),IF(AND(AH!$P$10=1,AH!$P$12=1,$A2392=TODAY()),AH!$P$20,IF(AH!$P$10=1,INDEX('Live History'!$H$5:$H$3004,MATCH($A2392,'Live History'!$G$5:$G$3004,1)),INDEX('AH History'!$D$1:$D$18046,AH!$P$7+2387))),NA()),NA())</ns0:f>
        <ns0:v/>
      </ns0:c>
      <ns0:c r="F2392">
        <ns0:f>IFERROR(IF(ISNUMBER($A2392),IF(AND(AH!$P$10=1,AH!$P$12=1,$A2392=TODAY()),IF(AND(AH!$P$10=1,AH!$P$12=1,$A2392=TODAY()),TODAY(),NA()),IF(AH!$P$10=1,INDEX('Live History'!$D$5:$D$3004,MATCH($A2392,'Live History'!$D$5:$D$3004,1)),INDEX('AH History'!$E$1:$E$18046,AH!$P$7+2387))),NA()),NA())</ns0:f>
        <ns0:v/>
      </ns0:c>
      <ns0:c r="G2392">
        <ns0:f>IFERROR(IF(ISNUMBER($A2392),IF(AND(AH!$P$10=1,AH!$P$12=1,$A2392=TODAY()),IF(AND(AH!$P$10=1,AH!$P$12=1,$A2392=TODAY()),TODAY(),NA()),IF(AH!$P$10=1,INDEX('Live History'!$G$5:$G$3004,MATCH($A2392,'Live History'!$G$5:$G$3004,1)),INDEX('AH History'!$F$1:$F$18046,AH!$P$7+2387))),NA()),NA())</ns0:f>
        <ns0:v/>
      </ns0:c>
      <ns0:c r="H2392">
        <ns0:f>IFERROR(IF(AND(AH!$E$4="Bloomberg",AH!$P$10=1,ISNUMBER($A2392),$A2392&lt;=AH!$P$17),AH!$P$7-1+MATCH($A2392,INDEX('AH History'!$A$1:$A$18046,AH!$P$7):INDEX('AH History'!$A$1:$A$18046,AH!$P$7+AH!$P$8-1),0),0),0)</ns0:f>
        <ns0:v/>
      </ns0:c>
      <ns0:c r="I2392">
        <ns0:f>IF($H2392=0,0,IFERROR(IF(AND(ABS($C2392-INDEX('AH History'!$B$1:$B$18046,$H2392))&lt;=MAX(0.005,ABS(INDEX('AH History'!$B$1:$B$18046,$H2392))*0.00005),ABS($D2392-INDEX('AH History'!$C$1:$C$18046,$H2392))&lt;=MAX(0.005,ABS(INDEX('AH History'!$C$1:$C$18046,$H2392))*0.00005),ABS($E2392-INDEX('AH History'!$D$1:$D$18046,$H2392))&lt;=0.00005,$F2392=INDEX('AH History'!$E$1:$E$18046,$H2392),$G2392=INDEX('AH History'!$F$1:$F$18046,$H2392)),1,-1),-1))</ns0:f>
        <ns0:v/>
      </ns0:c>
    </ns0:row>
    <ns0:row r="2393">
      <ns0:c r="A2393" s="215">
        <ns0:f>IF(OR(AH!$P$3=0,2388+1&gt;AH!$P$11,AND(AH!$E$4&lt;&gt;"Stored",AH!$P$10&lt;&gt;1)),"",IFERROR(IF(AND(AH!$P$21=1,2388+1=AH!$P$11),TODAY(),IF(AH!$P$10=1,INDEX('Live History'!$A$5:$A$3004,AH!$P$13+2388),INDEX('AH History'!$A$1:$A$18046,AH!$P$7+2388))),""))</ns0:f>
        <ns0:v/>
      </ns0:c>
      <ns0:c r="B2393" s="219">
        <ns0:f>IFERROR(IF(AND(AH!$P$9&lt;&gt;1,$C2393&gt;0,$D2393&gt;0,$E2393&gt;0,$F2393&gt;0,$G2393&gt;0,$F2393&lt;=$A2393,$G2393&lt;=$A2393,$A2393-$F2393&lt;=10,$A2393-$G2393&lt;=5),$D2393*$E2393/$C2393-1,NA()),NA())</ns0:f>
        <ns0:v/>
      </ns0:c>
      <ns0:c r="C2393">
        <ns0:f>IFERROR(IF(ISNUMBER($A2393),IF(AND(AH!$P$10=1,AH!$P$12=1,$A2393=TODAY()),AH!$P$19,IF(AH!$P$10=1,INDEX('Live History'!$B$5:$B$3004,AH!$P$13+2388),INDEX('AH History'!$B$1:$B$18046,AH!$P$7+2388))),NA()),NA())</ns0:f>
        <ns0:v/>
      </ns0:c>
      <ns0:c r="D2393">
        <ns0:f>IFERROR(IF(ISNUMBER($A2393),IF(AND(AH!$P$10=1,AH!$P$12=1,$A2393=TODAY()),AH!$P$18,IF(AH!$P$10=1,INDEX('Live History'!$E$5:$E$3004,MATCH($A2393,'Live History'!$D$5:$D$3004,1)),INDEX('AH History'!$C$1:$C$18046,AH!$P$7+2388))),NA()),NA())</ns0:f>
        <ns0:v/>
      </ns0:c>
      <ns0:c r="E2393">
        <ns0:f>IFERROR(IF(ISNUMBER($A2393),IF(AND(AH!$P$10=1,AH!$P$12=1,$A2393=TODAY()),AH!$P$20,IF(AH!$P$10=1,INDEX('Live History'!$H$5:$H$3004,MATCH($A2393,'Live History'!$G$5:$G$3004,1)),INDEX('AH History'!$D$1:$D$18046,AH!$P$7+2388))),NA()),NA())</ns0:f>
        <ns0:v/>
      </ns0:c>
      <ns0:c r="F2393">
        <ns0:f>IFERROR(IF(ISNUMBER($A2393),IF(AND(AH!$P$10=1,AH!$P$12=1,$A2393=TODAY()),IF(AND(AH!$P$10=1,AH!$P$12=1,$A2393=TODAY()),TODAY(),NA()),IF(AH!$P$10=1,INDEX('Live History'!$D$5:$D$3004,MATCH($A2393,'Live History'!$D$5:$D$3004,1)),INDEX('AH History'!$E$1:$E$18046,AH!$P$7+2388))),NA()),NA())</ns0:f>
        <ns0:v/>
      </ns0:c>
      <ns0:c r="G2393">
        <ns0:f>IFERROR(IF(ISNUMBER($A2393),IF(AND(AH!$P$10=1,AH!$P$12=1,$A2393=TODAY()),IF(AND(AH!$P$10=1,AH!$P$12=1,$A2393=TODAY()),TODAY(),NA()),IF(AH!$P$10=1,INDEX('Live History'!$G$5:$G$3004,MATCH($A2393,'Live History'!$G$5:$G$3004,1)),INDEX('AH History'!$F$1:$F$18046,AH!$P$7+2388))),NA()),NA())</ns0:f>
        <ns0:v/>
      </ns0:c>
      <ns0:c r="H2393">
        <ns0:f>IFERROR(IF(AND(AH!$E$4="Bloomberg",AH!$P$10=1,ISNUMBER($A2393),$A2393&lt;=AH!$P$17),AH!$P$7-1+MATCH($A2393,INDEX('AH History'!$A$1:$A$18046,AH!$P$7):INDEX('AH History'!$A$1:$A$18046,AH!$P$7+AH!$P$8-1),0),0),0)</ns0:f>
        <ns0:v/>
      </ns0:c>
      <ns0:c r="I2393">
        <ns0:f>IF($H2393=0,0,IFERROR(IF(AND(ABS($C2393-INDEX('AH History'!$B$1:$B$18046,$H2393))&lt;=MAX(0.005,ABS(INDEX('AH History'!$B$1:$B$18046,$H2393))*0.00005),ABS($D2393-INDEX('AH History'!$C$1:$C$18046,$H2393))&lt;=MAX(0.005,ABS(INDEX('AH History'!$C$1:$C$18046,$H2393))*0.00005),ABS($E2393-INDEX('AH History'!$D$1:$D$18046,$H2393))&lt;=0.00005,$F2393=INDEX('AH History'!$E$1:$E$18046,$H2393),$G2393=INDEX('AH History'!$F$1:$F$18046,$H2393)),1,-1),-1))</ns0:f>
        <ns0:v/>
      </ns0:c>
    </ns0:row>
    <ns0:row r="2394">
      <ns0:c r="A2394" s="215">
        <ns0:f>IF(OR(AH!$P$3=0,2389+1&gt;AH!$P$11,AND(AH!$E$4&lt;&gt;"Stored",AH!$P$10&lt;&gt;1)),"",IFERROR(IF(AND(AH!$P$21=1,2389+1=AH!$P$11),TODAY(),IF(AH!$P$10=1,INDEX('Live History'!$A$5:$A$3004,AH!$P$13+2389),INDEX('AH History'!$A$1:$A$18046,AH!$P$7+2389))),""))</ns0:f>
        <ns0:v/>
      </ns0:c>
      <ns0:c r="B2394" s="219">
        <ns0:f>IFERROR(IF(AND(AH!$P$9&lt;&gt;1,$C2394&gt;0,$D2394&gt;0,$E2394&gt;0,$F2394&gt;0,$G2394&gt;0,$F2394&lt;=$A2394,$G2394&lt;=$A2394,$A2394-$F2394&lt;=10,$A2394-$G2394&lt;=5),$D2394*$E2394/$C2394-1,NA()),NA())</ns0:f>
        <ns0:v/>
      </ns0:c>
      <ns0:c r="C2394">
        <ns0:f>IFERROR(IF(ISNUMBER($A2394),IF(AND(AH!$P$10=1,AH!$P$12=1,$A2394=TODAY()),AH!$P$19,IF(AH!$P$10=1,INDEX('Live History'!$B$5:$B$3004,AH!$P$13+2389),INDEX('AH History'!$B$1:$B$18046,AH!$P$7+2389))),NA()),NA())</ns0:f>
        <ns0:v/>
      </ns0:c>
      <ns0:c r="D2394">
        <ns0:f>IFERROR(IF(ISNUMBER($A2394),IF(AND(AH!$P$10=1,AH!$P$12=1,$A2394=TODAY()),AH!$P$18,IF(AH!$P$10=1,INDEX('Live History'!$E$5:$E$3004,MATCH($A2394,'Live History'!$D$5:$D$3004,1)),INDEX('AH History'!$C$1:$C$18046,AH!$P$7+2389))),NA()),NA())</ns0:f>
        <ns0:v/>
      </ns0:c>
      <ns0:c r="E2394">
        <ns0:f>IFERROR(IF(ISNUMBER($A2394),IF(AND(AH!$P$10=1,AH!$P$12=1,$A2394=TODAY()),AH!$P$20,IF(AH!$P$10=1,INDEX('Live History'!$H$5:$H$3004,MATCH($A2394,'Live History'!$G$5:$G$3004,1)),INDEX('AH History'!$D$1:$D$18046,AH!$P$7+2389))),NA()),NA())</ns0:f>
        <ns0:v/>
      </ns0:c>
      <ns0:c r="F2394">
        <ns0:f>IFERROR(IF(ISNUMBER($A2394),IF(AND(AH!$P$10=1,AH!$P$12=1,$A2394=TODAY()),IF(AND(AH!$P$10=1,AH!$P$12=1,$A2394=TODAY()),TODAY(),NA()),IF(AH!$P$10=1,INDEX('Live History'!$D$5:$D$3004,MATCH($A2394,'Live History'!$D$5:$D$3004,1)),INDEX('AH History'!$E$1:$E$18046,AH!$P$7+2389))),NA()),NA())</ns0:f>
        <ns0:v/>
      </ns0:c>
      <ns0:c r="G2394">
        <ns0:f>IFERROR(IF(ISNUMBER($A2394),IF(AND(AH!$P$10=1,AH!$P$12=1,$A2394=TODAY()),IF(AND(AH!$P$10=1,AH!$P$12=1,$A2394=TODAY()),TODAY(),NA()),IF(AH!$P$10=1,INDEX('Live History'!$G$5:$G$3004,MATCH($A2394,'Live History'!$G$5:$G$3004,1)),INDEX('AH History'!$F$1:$F$18046,AH!$P$7+2389))),NA()),NA())</ns0:f>
        <ns0:v/>
      </ns0:c>
      <ns0:c r="H2394">
        <ns0:f>IFERROR(IF(AND(AH!$E$4="Bloomberg",AH!$P$10=1,ISNUMBER($A2394),$A2394&lt;=AH!$P$17),AH!$P$7-1+MATCH($A2394,INDEX('AH History'!$A$1:$A$18046,AH!$P$7):INDEX('AH History'!$A$1:$A$18046,AH!$P$7+AH!$P$8-1),0),0),0)</ns0:f>
        <ns0:v/>
      </ns0:c>
      <ns0:c r="I2394">
        <ns0:f>IF($H2394=0,0,IFERROR(IF(AND(ABS($C2394-INDEX('AH History'!$B$1:$B$18046,$H2394))&lt;=MAX(0.005,ABS(INDEX('AH History'!$B$1:$B$18046,$H2394))*0.00005),ABS($D2394-INDEX('AH History'!$C$1:$C$18046,$H2394))&lt;=MAX(0.005,ABS(INDEX('AH History'!$C$1:$C$18046,$H2394))*0.00005),ABS($E2394-INDEX('AH History'!$D$1:$D$18046,$H2394))&lt;=0.00005,$F2394=INDEX('AH History'!$E$1:$E$18046,$H2394),$G2394=INDEX('AH History'!$F$1:$F$18046,$H2394)),1,-1),-1))</ns0:f>
        <ns0:v/>
      </ns0:c>
    </ns0:row>
    <ns0:row r="2395">
      <ns0:c r="A2395" s="215">
        <ns0:f>IF(OR(AH!$P$3=0,2390+1&gt;AH!$P$11,AND(AH!$E$4&lt;&gt;"Stored",AH!$P$10&lt;&gt;1)),"",IFERROR(IF(AND(AH!$P$21=1,2390+1=AH!$P$11),TODAY(),IF(AH!$P$10=1,INDEX('Live History'!$A$5:$A$3004,AH!$P$13+2390),INDEX('AH History'!$A$1:$A$18046,AH!$P$7+2390))),""))</ns0:f>
        <ns0:v/>
      </ns0:c>
      <ns0:c r="B2395" s="219">
        <ns0:f>IFERROR(IF(AND(AH!$P$9&lt;&gt;1,$C2395&gt;0,$D2395&gt;0,$E2395&gt;0,$F2395&gt;0,$G2395&gt;0,$F2395&lt;=$A2395,$G2395&lt;=$A2395,$A2395-$F2395&lt;=10,$A2395-$G2395&lt;=5),$D2395*$E2395/$C2395-1,NA()),NA())</ns0:f>
        <ns0:v/>
      </ns0:c>
      <ns0:c r="C2395">
        <ns0:f>IFERROR(IF(ISNUMBER($A2395),IF(AND(AH!$P$10=1,AH!$P$12=1,$A2395=TODAY()),AH!$P$19,IF(AH!$P$10=1,INDEX('Live History'!$B$5:$B$3004,AH!$P$13+2390),INDEX('AH History'!$B$1:$B$18046,AH!$P$7+2390))),NA()),NA())</ns0:f>
        <ns0:v/>
      </ns0:c>
      <ns0:c r="D2395">
        <ns0:f>IFERROR(IF(ISNUMBER($A2395),IF(AND(AH!$P$10=1,AH!$P$12=1,$A2395=TODAY()),AH!$P$18,IF(AH!$P$10=1,INDEX('Live History'!$E$5:$E$3004,MATCH($A2395,'Live History'!$D$5:$D$3004,1)),INDEX('AH History'!$C$1:$C$18046,AH!$P$7+2390))),NA()),NA())</ns0:f>
        <ns0:v/>
      </ns0:c>
      <ns0:c r="E2395">
        <ns0:f>IFERROR(IF(ISNUMBER($A2395),IF(AND(AH!$P$10=1,AH!$P$12=1,$A2395=TODAY()),AH!$P$20,IF(AH!$P$10=1,INDEX('Live History'!$H$5:$H$3004,MATCH($A2395,'Live History'!$G$5:$G$3004,1)),INDEX('AH History'!$D$1:$D$18046,AH!$P$7+2390))),NA()),NA())</ns0:f>
        <ns0:v/>
      </ns0:c>
      <ns0:c r="F2395">
        <ns0:f>IFERROR(IF(ISNUMBER($A2395),IF(AND(AH!$P$10=1,AH!$P$12=1,$A2395=TODAY()),IF(AND(AH!$P$10=1,AH!$P$12=1,$A2395=TODAY()),TODAY(),NA()),IF(AH!$P$10=1,INDEX('Live History'!$D$5:$D$3004,MATCH($A2395,'Live History'!$D$5:$D$3004,1)),INDEX('AH History'!$E$1:$E$18046,AH!$P$7+2390))),NA()),NA())</ns0:f>
        <ns0:v/>
      </ns0:c>
      <ns0:c r="G2395">
        <ns0:f>IFERROR(IF(ISNUMBER($A2395),IF(AND(AH!$P$10=1,AH!$P$12=1,$A2395=TODAY()),IF(AND(AH!$P$10=1,AH!$P$12=1,$A2395=TODAY()),TODAY(),NA()),IF(AH!$P$10=1,INDEX('Live History'!$G$5:$G$3004,MATCH($A2395,'Live History'!$G$5:$G$3004,1)),INDEX('AH History'!$F$1:$F$18046,AH!$P$7+2390))),NA()),NA())</ns0:f>
        <ns0:v/>
      </ns0:c>
      <ns0:c r="H2395">
        <ns0:f>IFERROR(IF(AND(AH!$E$4="Bloomberg",AH!$P$10=1,ISNUMBER($A2395),$A2395&lt;=AH!$P$17),AH!$P$7-1+MATCH($A2395,INDEX('AH History'!$A$1:$A$18046,AH!$P$7):INDEX('AH History'!$A$1:$A$18046,AH!$P$7+AH!$P$8-1),0),0),0)</ns0:f>
        <ns0:v/>
      </ns0:c>
      <ns0:c r="I2395">
        <ns0:f>IF($H2395=0,0,IFERROR(IF(AND(ABS($C2395-INDEX('AH History'!$B$1:$B$18046,$H2395))&lt;=MAX(0.005,ABS(INDEX('AH History'!$B$1:$B$18046,$H2395))*0.00005),ABS($D2395-INDEX('AH History'!$C$1:$C$18046,$H2395))&lt;=MAX(0.005,ABS(INDEX('AH History'!$C$1:$C$18046,$H2395))*0.00005),ABS($E2395-INDEX('AH History'!$D$1:$D$18046,$H2395))&lt;=0.00005,$F2395=INDEX('AH History'!$E$1:$E$18046,$H2395),$G2395=INDEX('AH History'!$F$1:$F$18046,$H2395)),1,-1),-1))</ns0:f>
        <ns0:v/>
      </ns0:c>
    </ns0:row>
    <ns0:row r="2396">
      <ns0:c r="A2396" s="215">
        <ns0:f>IF(OR(AH!$P$3=0,2391+1&gt;AH!$P$11,AND(AH!$E$4&lt;&gt;"Stored",AH!$P$10&lt;&gt;1)),"",IFERROR(IF(AND(AH!$P$21=1,2391+1=AH!$P$11),TODAY(),IF(AH!$P$10=1,INDEX('Live History'!$A$5:$A$3004,AH!$P$13+2391),INDEX('AH History'!$A$1:$A$18046,AH!$P$7+2391))),""))</ns0:f>
        <ns0:v/>
      </ns0:c>
      <ns0:c r="B2396" s="219">
        <ns0:f>IFERROR(IF(AND(AH!$P$9&lt;&gt;1,$C2396&gt;0,$D2396&gt;0,$E2396&gt;0,$F2396&gt;0,$G2396&gt;0,$F2396&lt;=$A2396,$G2396&lt;=$A2396,$A2396-$F2396&lt;=10,$A2396-$G2396&lt;=5),$D2396*$E2396/$C2396-1,NA()),NA())</ns0:f>
        <ns0:v/>
      </ns0:c>
      <ns0:c r="C2396">
        <ns0:f>IFERROR(IF(ISNUMBER($A2396),IF(AND(AH!$P$10=1,AH!$P$12=1,$A2396=TODAY()),AH!$P$19,IF(AH!$P$10=1,INDEX('Live History'!$B$5:$B$3004,AH!$P$13+2391),INDEX('AH History'!$B$1:$B$18046,AH!$P$7+2391))),NA()),NA())</ns0:f>
        <ns0:v/>
      </ns0:c>
      <ns0:c r="D2396">
        <ns0:f>IFERROR(IF(ISNUMBER($A2396),IF(AND(AH!$P$10=1,AH!$P$12=1,$A2396=TODAY()),AH!$P$18,IF(AH!$P$10=1,INDEX('Live History'!$E$5:$E$3004,MATCH($A2396,'Live History'!$D$5:$D$3004,1)),INDEX('AH History'!$C$1:$C$18046,AH!$P$7+2391))),NA()),NA())</ns0:f>
        <ns0:v/>
      </ns0:c>
      <ns0:c r="E2396">
        <ns0:f>IFERROR(IF(ISNUMBER($A2396),IF(AND(AH!$P$10=1,AH!$P$12=1,$A2396=TODAY()),AH!$P$20,IF(AH!$P$10=1,INDEX('Live History'!$H$5:$H$3004,MATCH($A2396,'Live History'!$G$5:$G$3004,1)),INDEX('AH History'!$D$1:$D$18046,AH!$P$7+2391))),NA()),NA())</ns0:f>
        <ns0:v/>
      </ns0:c>
      <ns0:c r="F2396">
        <ns0:f>IFERROR(IF(ISNUMBER($A2396),IF(AND(AH!$P$10=1,AH!$P$12=1,$A2396=TODAY()),IF(AND(AH!$P$10=1,AH!$P$12=1,$A2396=TODAY()),TODAY(),NA()),IF(AH!$P$10=1,INDEX('Live History'!$D$5:$D$3004,MATCH($A2396,'Live History'!$D$5:$D$3004,1)),INDEX('AH History'!$E$1:$E$18046,AH!$P$7+2391))),NA()),NA())</ns0:f>
        <ns0:v/>
      </ns0:c>
      <ns0:c r="G2396">
        <ns0:f>IFERROR(IF(ISNUMBER($A2396),IF(AND(AH!$P$10=1,AH!$P$12=1,$A2396=TODAY()),IF(AND(AH!$P$10=1,AH!$P$12=1,$A2396=TODAY()),TODAY(),NA()),IF(AH!$P$10=1,INDEX('Live History'!$G$5:$G$3004,MATCH($A2396,'Live History'!$G$5:$G$3004,1)),INDEX('AH History'!$F$1:$F$18046,AH!$P$7+2391))),NA()),NA())</ns0:f>
        <ns0:v/>
      </ns0:c>
      <ns0:c r="H2396">
        <ns0:f>IFERROR(IF(AND(AH!$E$4="Bloomberg",AH!$P$10=1,ISNUMBER($A2396),$A2396&lt;=AH!$P$17),AH!$P$7-1+MATCH($A2396,INDEX('AH History'!$A$1:$A$18046,AH!$P$7):INDEX('AH History'!$A$1:$A$18046,AH!$P$7+AH!$P$8-1),0),0),0)</ns0:f>
        <ns0:v/>
      </ns0:c>
      <ns0:c r="I2396">
        <ns0:f>IF($H2396=0,0,IFERROR(IF(AND(ABS($C2396-INDEX('AH History'!$B$1:$B$18046,$H2396))&lt;=MAX(0.005,ABS(INDEX('AH History'!$B$1:$B$18046,$H2396))*0.00005),ABS($D2396-INDEX('AH History'!$C$1:$C$18046,$H2396))&lt;=MAX(0.005,ABS(INDEX('AH History'!$C$1:$C$18046,$H2396))*0.00005),ABS($E2396-INDEX('AH History'!$D$1:$D$18046,$H2396))&lt;=0.00005,$F2396=INDEX('AH History'!$E$1:$E$18046,$H2396),$G2396=INDEX('AH History'!$F$1:$F$18046,$H2396)),1,-1),-1))</ns0:f>
        <ns0:v/>
      </ns0:c>
    </ns0:row>
    <ns0:row r="2397">
      <ns0:c r="A2397" s="215">
        <ns0:f>IF(OR(AH!$P$3=0,2392+1&gt;AH!$P$11,AND(AH!$E$4&lt;&gt;"Stored",AH!$P$10&lt;&gt;1)),"",IFERROR(IF(AND(AH!$P$21=1,2392+1=AH!$P$11),TODAY(),IF(AH!$P$10=1,INDEX('Live History'!$A$5:$A$3004,AH!$P$13+2392),INDEX('AH History'!$A$1:$A$18046,AH!$P$7+2392))),""))</ns0:f>
        <ns0:v/>
      </ns0:c>
      <ns0:c r="B2397" s="219">
        <ns0:f>IFERROR(IF(AND(AH!$P$9&lt;&gt;1,$C2397&gt;0,$D2397&gt;0,$E2397&gt;0,$F2397&gt;0,$G2397&gt;0,$F2397&lt;=$A2397,$G2397&lt;=$A2397,$A2397-$F2397&lt;=10,$A2397-$G2397&lt;=5),$D2397*$E2397/$C2397-1,NA()),NA())</ns0:f>
        <ns0:v/>
      </ns0:c>
      <ns0:c r="C2397">
        <ns0:f>IFERROR(IF(ISNUMBER($A2397),IF(AND(AH!$P$10=1,AH!$P$12=1,$A2397=TODAY()),AH!$P$19,IF(AH!$P$10=1,INDEX('Live History'!$B$5:$B$3004,AH!$P$13+2392),INDEX('AH History'!$B$1:$B$18046,AH!$P$7+2392))),NA()),NA())</ns0:f>
        <ns0:v/>
      </ns0:c>
      <ns0:c r="D2397">
        <ns0:f>IFERROR(IF(ISNUMBER($A2397),IF(AND(AH!$P$10=1,AH!$P$12=1,$A2397=TODAY()),AH!$P$18,IF(AH!$P$10=1,INDEX('Live History'!$E$5:$E$3004,MATCH($A2397,'Live History'!$D$5:$D$3004,1)),INDEX('AH History'!$C$1:$C$18046,AH!$P$7+2392))),NA()),NA())</ns0:f>
        <ns0:v/>
      </ns0:c>
      <ns0:c r="E2397">
        <ns0:f>IFERROR(IF(ISNUMBER($A2397),IF(AND(AH!$P$10=1,AH!$P$12=1,$A2397=TODAY()),AH!$P$20,IF(AH!$P$10=1,INDEX('Live History'!$H$5:$H$3004,MATCH($A2397,'Live History'!$G$5:$G$3004,1)),INDEX('AH History'!$D$1:$D$18046,AH!$P$7+2392))),NA()),NA())</ns0:f>
        <ns0:v/>
      </ns0:c>
      <ns0:c r="F2397">
        <ns0:f>IFERROR(IF(ISNUMBER($A2397),IF(AND(AH!$P$10=1,AH!$P$12=1,$A2397=TODAY()),IF(AND(AH!$P$10=1,AH!$P$12=1,$A2397=TODAY()),TODAY(),NA()),IF(AH!$P$10=1,INDEX('Live History'!$D$5:$D$3004,MATCH($A2397,'Live History'!$D$5:$D$3004,1)),INDEX('AH History'!$E$1:$E$18046,AH!$P$7+2392))),NA()),NA())</ns0:f>
        <ns0:v/>
      </ns0:c>
      <ns0:c r="G2397">
        <ns0:f>IFERROR(IF(ISNUMBER($A2397),IF(AND(AH!$P$10=1,AH!$P$12=1,$A2397=TODAY()),IF(AND(AH!$P$10=1,AH!$P$12=1,$A2397=TODAY()),TODAY(),NA()),IF(AH!$P$10=1,INDEX('Live History'!$G$5:$G$3004,MATCH($A2397,'Live History'!$G$5:$G$3004,1)),INDEX('AH History'!$F$1:$F$18046,AH!$P$7+2392))),NA()),NA())</ns0:f>
        <ns0:v/>
      </ns0:c>
      <ns0:c r="H2397">
        <ns0:f>IFERROR(IF(AND(AH!$E$4="Bloomberg",AH!$P$10=1,ISNUMBER($A2397),$A2397&lt;=AH!$P$17),AH!$P$7-1+MATCH($A2397,INDEX('AH History'!$A$1:$A$18046,AH!$P$7):INDEX('AH History'!$A$1:$A$18046,AH!$P$7+AH!$P$8-1),0),0),0)</ns0:f>
        <ns0:v/>
      </ns0:c>
      <ns0:c r="I2397">
        <ns0:f>IF($H2397=0,0,IFERROR(IF(AND(ABS($C2397-INDEX('AH History'!$B$1:$B$18046,$H2397))&lt;=MAX(0.005,ABS(INDEX('AH History'!$B$1:$B$18046,$H2397))*0.00005),ABS($D2397-INDEX('AH History'!$C$1:$C$18046,$H2397))&lt;=MAX(0.005,ABS(INDEX('AH History'!$C$1:$C$18046,$H2397))*0.00005),ABS($E2397-INDEX('AH History'!$D$1:$D$18046,$H2397))&lt;=0.00005,$F2397=INDEX('AH History'!$E$1:$E$18046,$H2397),$G2397=INDEX('AH History'!$F$1:$F$18046,$H2397)),1,-1),-1))</ns0:f>
        <ns0:v/>
      </ns0:c>
    </ns0:row>
    <ns0:row r="2398">
      <ns0:c r="A2398" s="215">
        <ns0:f>IF(OR(AH!$P$3=0,2393+1&gt;AH!$P$11,AND(AH!$E$4&lt;&gt;"Stored",AH!$P$10&lt;&gt;1)),"",IFERROR(IF(AND(AH!$P$21=1,2393+1=AH!$P$11),TODAY(),IF(AH!$P$10=1,INDEX('Live History'!$A$5:$A$3004,AH!$P$13+2393),INDEX('AH History'!$A$1:$A$18046,AH!$P$7+2393))),""))</ns0:f>
        <ns0:v/>
      </ns0:c>
      <ns0:c r="B2398" s="219">
        <ns0:f>IFERROR(IF(AND(AH!$P$9&lt;&gt;1,$C2398&gt;0,$D2398&gt;0,$E2398&gt;0,$F2398&gt;0,$G2398&gt;0,$F2398&lt;=$A2398,$G2398&lt;=$A2398,$A2398-$F2398&lt;=10,$A2398-$G2398&lt;=5),$D2398*$E2398/$C2398-1,NA()),NA())</ns0:f>
        <ns0:v/>
      </ns0:c>
      <ns0:c r="C2398">
        <ns0:f>IFERROR(IF(ISNUMBER($A2398),IF(AND(AH!$P$10=1,AH!$P$12=1,$A2398=TODAY()),AH!$P$19,IF(AH!$P$10=1,INDEX('Live History'!$B$5:$B$3004,AH!$P$13+2393),INDEX('AH History'!$B$1:$B$18046,AH!$P$7+2393))),NA()),NA())</ns0:f>
        <ns0:v/>
      </ns0:c>
      <ns0:c r="D2398">
        <ns0:f>IFERROR(IF(ISNUMBER($A2398),IF(AND(AH!$P$10=1,AH!$P$12=1,$A2398=TODAY()),AH!$P$18,IF(AH!$P$10=1,INDEX('Live History'!$E$5:$E$3004,MATCH($A2398,'Live History'!$D$5:$D$3004,1)),INDEX('AH History'!$C$1:$C$18046,AH!$P$7+2393))),NA()),NA())</ns0:f>
        <ns0:v/>
      </ns0:c>
      <ns0:c r="E2398">
        <ns0:f>IFERROR(IF(ISNUMBER($A2398),IF(AND(AH!$P$10=1,AH!$P$12=1,$A2398=TODAY()),AH!$P$20,IF(AH!$P$10=1,INDEX('Live History'!$H$5:$H$3004,MATCH($A2398,'Live History'!$G$5:$G$3004,1)),INDEX('AH History'!$D$1:$D$18046,AH!$P$7+2393))),NA()),NA())</ns0:f>
        <ns0:v/>
      </ns0:c>
      <ns0:c r="F2398">
        <ns0:f>IFERROR(IF(ISNUMBER($A2398),IF(AND(AH!$P$10=1,AH!$P$12=1,$A2398=TODAY()),IF(AND(AH!$P$10=1,AH!$P$12=1,$A2398=TODAY()),TODAY(),NA()),IF(AH!$P$10=1,INDEX('Live History'!$D$5:$D$3004,MATCH($A2398,'Live History'!$D$5:$D$3004,1)),INDEX('AH History'!$E$1:$E$18046,AH!$P$7+2393))),NA()),NA())</ns0:f>
        <ns0:v/>
      </ns0:c>
      <ns0:c r="G2398">
        <ns0:f>IFERROR(IF(ISNUMBER($A2398),IF(AND(AH!$P$10=1,AH!$P$12=1,$A2398=TODAY()),IF(AND(AH!$P$10=1,AH!$P$12=1,$A2398=TODAY()),TODAY(),NA()),IF(AH!$P$10=1,INDEX('Live History'!$G$5:$G$3004,MATCH($A2398,'Live History'!$G$5:$G$3004,1)),INDEX('AH History'!$F$1:$F$18046,AH!$P$7+2393))),NA()),NA())</ns0:f>
        <ns0:v/>
      </ns0:c>
      <ns0:c r="H2398">
        <ns0:f>IFERROR(IF(AND(AH!$E$4="Bloomberg",AH!$P$10=1,ISNUMBER($A2398),$A2398&lt;=AH!$P$17),AH!$P$7-1+MATCH($A2398,INDEX('AH History'!$A$1:$A$18046,AH!$P$7):INDEX('AH History'!$A$1:$A$18046,AH!$P$7+AH!$P$8-1),0),0),0)</ns0:f>
        <ns0:v/>
      </ns0:c>
      <ns0:c r="I2398">
        <ns0:f>IF($H2398=0,0,IFERROR(IF(AND(ABS($C2398-INDEX('AH History'!$B$1:$B$18046,$H2398))&lt;=MAX(0.005,ABS(INDEX('AH History'!$B$1:$B$18046,$H2398))*0.00005),ABS($D2398-INDEX('AH History'!$C$1:$C$18046,$H2398))&lt;=MAX(0.005,ABS(INDEX('AH History'!$C$1:$C$18046,$H2398))*0.00005),ABS($E2398-INDEX('AH History'!$D$1:$D$18046,$H2398))&lt;=0.00005,$F2398=INDEX('AH History'!$E$1:$E$18046,$H2398),$G2398=INDEX('AH History'!$F$1:$F$18046,$H2398)),1,-1),-1))</ns0:f>
        <ns0:v/>
      </ns0:c>
    </ns0:row>
    <ns0:row r="2399">
      <ns0:c r="A2399" s="215">
        <ns0:f>IF(OR(AH!$P$3=0,2394+1&gt;AH!$P$11,AND(AH!$E$4&lt;&gt;"Stored",AH!$P$10&lt;&gt;1)),"",IFERROR(IF(AND(AH!$P$21=1,2394+1=AH!$P$11),TODAY(),IF(AH!$P$10=1,INDEX('Live History'!$A$5:$A$3004,AH!$P$13+2394),INDEX('AH History'!$A$1:$A$18046,AH!$P$7+2394))),""))</ns0:f>
        <ns0:v/>
      </ns0:c>
      <ns0:c r="B2399" s="219">
        <ns0:f>IFERROR(IF(AND(AH!$P$9&lt;&gt;1,$C2399&gt;0,$D2399&gt;0,$E2399&gt;0,$F2399&gt;0,$G2399&gt;0,$F2399&lt;=$A2399,$G2399&lt;=$A2399,$A2399-$F2399&lt;=10,$A2399-$G2399&lt;=5),$D2399*$E2399/$C2399-1,NA()),NA())</ns0:f>
        <ns0:v/>
      </ns0:c>
      <ns0:c r="C2399">
        <ns0:f>IFERROR(IF(ISNUMBER($A2399),IF(AND(AH!$P$10=1,AH!$P$12=1,$A2399=TODAY()),AH!$P$19,IF(AH!$P$10=1,INDEX('Live History'!$B$5:$B$3004,AH!$P$13+2394),INDEX('AH History'!$B$1:$B$18046,AH!$P$7+2394))),NA()),NA())</ns0:f>
        <ns0:v/>
      </ns0:c>
      <ns0:c r="D2399">
        <ns0:f>IFERROR(IF(ISNUMBER($A2399),IF(AND(AH!$P$10=1,AH!$P$12=1,$A2399=TODAY()),AH!$P$18,IF(AH!$P$10=1,INDEX('Live History'!$E$5:$E$3004,MATCH($A2399,'Live History'!$D$5:$D$3004,1)),INDEX('AH History'!$C$1:$C$18046,AH!$P$7+2394))),NA()),NA())</ns0:f>
        <ns0:v/>
      </ns0:c>
      <ns0:c r="E2399">
        <ns0:f>IFERROR(IF(ISNUMBER($A2399),IF(AND(AH!$P$10=1,AH!$P$12=1,$A2399=TODAY()),AH!$P$20,IF(AH!$P$10=1,INDEX('Live History'!$H$5:$H$3004,MATCH($A2399,'Live History'!$G$5:$G$3004,1)),INDEX('AH History'!$D$1:$D$18046,AH!$P$7+2394))),NA()),NA())</ns0:f>
        <ns0:v/>
      </ns0:c>
      <ns0:c r="F2399">
        <ns0:f>IFERROR(IF(ISNUMBER($A2399),IF(AND(AH!$P$10=1,AH!$P$12=1,$A2399=TODAY()),IF(AND(AH!$P$10=1,AH!$P$12=1,$A2399=TODAY()),TODAY(),NA()),IF(AH!$P$10=1,INDEX('Live History'!$D$5:$D$3004,MATCH($A2399,'Live History'!$D$5:$D$3004,1)),INDEX('AH History'!$E$1:$E$18046,AH!$P$7+2394))),NA()),NA())</ns0:f>
        <ns0:v/>
      </ns0:c>
      <ns0:c r="G2399">
        <ns0:f>IFERROR(IF(ISNUMBER($A2399),IF(AND(AH!$P$10=1,AH!$P$12=1,$A2399=TODAY()),IF(AND(AH!$P$10=1,AH!$P$12=1,$A2399=TODAY()),TODAY(),NA()),IF(AH!$P$10=1,INDEX('Live History'!$G$5:$G$3004,MATCH($A2399,'Live History'!$G$5:$G$3004,1)),INDEX('AH History'!$F$1:$F$18046,AH!$P$7+2394))),NA()),NA())</ns0:f>
        <ns0:v/>
      </ns0:c>
      <ns0:c r="H2399">
        <ns0:f>IFERROR(IF(AND(AH!$E$4="Bloomberg",AH!$P$10=1,ISNUMBER($A2399),$A2399&lt;=AH!$P$17),AH!$P$7-1+MATCH($A2399,INDEX('AH History'!$A$1:$A$18046,AH!$P$7):INDEX('AH History'!$A$1:$A$18046,AH!$P$7+AH!$P$8-1),0),0),0)</ns0:f>
        <ns0:v/>
      </ns0:c>
      <ns0:c r="I2399">
        <ns0:f>IF($H2399=0,0,IFERROR(IF(AND(ABS($C2399-INDEX('AH History'!$B$1:$B$18046,$H2399))&lt;=MAX(0.005,ABS(INDEX('AH History'!$B$1:$B$18046,$H2399))*0.00005),ABS($D2399-INDEX('AH History'!$C$1:$C$18046,$H2399))&lt;=MAX(0.005,ABS(INDEX('AH History'!$C$1:$C$18046,$H2399))*0.00005),ABS($E2399-INDEX('AH History'!$D$1:$D$18046,$H2399))&lt;=0.00005,$F2399=INDEX('AH History'!$E$1:$E$18046,$H2399),$G2399=INDEX('AH History'!$F$1:$F$18046,$H2399)),1,-1),-1))</ns0:f>
        <ns0:v/>
      </ns0:c>
    </ns0:row>
    <ns0:row r="2400">
      <ns0:c r="A2400" s="215">
        <ns0:f>IF(OR(AH!$P$3=0,2395+1&gt;AH!$P$11,AND(AH!$E$4&lt;&gt;"Stored",AH!$P$10&lt;&gt;1)),"",IFERROR(IF(AND(AH!$P$21=1,2395+1=AH!$P$11),TODAY(),IF(AH!$P$10=1,INDEX('Live History'!$A$5:$A$3004,AH!$P$13+2395),INDEX('AH History'!$A$1:$A$18046,AH!$P$7+2395))),""))</ns0:f>
        <ns0:v/>
      </ns0:c>
      <ns0:c r="B2400" s="219">
        <ns0:f>IFERROR(IF(AND(AH!$P$9&lt;&gt;1,$C2400&gt;0,$D2400&gt;0,$E2400&gt;0,$F2400&gt;0,$G2400&gt;0,$F2400&lt;=$A2400,$G2400&lt;=$A2400,$A2400-$F2400&lt;=10,$A2400-$G2400&lt;=5),$D2400*$E2400/$C2400-1,NA()),NA())</ns0:f>
        <ns0:v/>
      </ns0:c>
      <ns0:c r="C2400">
        <ns0:f>IFERROR(IF(ISNUMBER($A2400),IF(AND(AH!$P$10=1,AH!$P$12=1,$A2400=TODAY()),AH!$P$19,IF(AH!$P$10=1,INDEX('Live History'!$B$5:$B$3004,AH!$P$13+2395),INDEX('AH History'!$B$1:$B$18046,AH!$P$7+2395))),NA()),NA())</ns0:f>
        <ns0:v/>
      </ns0:c>
      <ns0:c r="D2400">
        <ns0:f>IFERROR(IF(ISNUMBER($A2400),IF(AND(AH!$P$10=1,AH!$P$12=1,$A2400=TODAY()),AH!$P$18,IF(AH!$P$10=1,INDEX('Live History'!$E$5:$E$3004,MATCH($A2400,'Live History'!$D$5:$D$3004,1)),INDEX('AH History'!$C$1:$C$18046,AH!$P$7+2395))),NA()),NA())</ns0:f>
        <ns0:v/>
      </ns0:c>
      <ns0:c r="E2400">
        <ns0:f>IFERROR(IF(ISNUMBER($A2400),IF(AND(AH!$P$10=1,AH!$P$12=1,$A2400=TODAY()),AH!$P$20,IF(AH!$P$10=1,INDEX('Live History'!$H$5:$H$3004,MATCH($A2400,'Live History'!$G$5:$G$3004,1)),INDEX('AH History'!$D$1:$D$18046,AH!$P$7+2395))),NA()),NA())</ns0:f>
        <ns0:v/>
      </ns0:c>
      <ns0:c r="F2400">
        <ns0:f>IFERROR(IF(ISNUMBER($A2400),IF(AND(AH!$P$10=1,AH!$P$12=1,$A2400=TODAY()),IF(AND(AH!$P$10=1,AH!$P$12=1,$A2400=TODAY()),TODAY(),NA()),IF(AH!$P$10=1,INDEX('Live History'!$D$5:$D$3004,MATCH($A2400,'Live History'!$D$5:$D$3004,1)),INDEX('AH History'!$E$1:$E$18046,AH!$P$7+2395))),NA()),NA())</ns0:f>
        <ns0:v/>
      </ns0:c>
      <ns0:c r="G2400">
        <ns0:f>IFERROR(IF(ISNUMBER($A2400),IF(AND(AH!$P$10=1,AH!$P$12=1,$A2400=TODAY()),IF(AND(AH!$P$10=1,AH!$P$12=1,$A2400=TODAY()),TODAY(),NA()),IF(AH!$P$10=1,INDEX('Live History'!$G$5:$G$3004,MATCH($A2400,'Live History'!$G$5:$G$3004,1)),INDEX('AH History'!$F$1:$F$18046,AH!$P$7+2395))),NA()),NA())</ns0:f>
        <ns0:v/>
      </ns0:c>
      <ns0:c r="H2400">
        <ns0:f>IFERROR(IF(AND(AH!$E$4="Bloomberg",AH!$P$10=1,ISNUMBER($A2400),$A2400&lt;=AH!$P$17),AH!$P$7-1+MATCH($A2400,INDEX('AH History'!$A$1:$A$18046,AH!$P$7):INDEX('AH History'!$A$1:$A$18046,AH!$P$7+AH!$P$8-1),0),0),0)</ns0:f>
        <ns0:v/>
      </ns0:c>
      <ns0:c r="I2400">
        <ns0:f>IF($H2400=0,0,IFERROR(IF(AND(ABS($C2400-INDEX('AH History'!$B$1:$B$18046,$H2400))&lt;=MAX(0.005,ABS(INDEX('AH History'!$B$1:$B$18046,$H2400))*0.00005),ABS($D2400-INDEX('AH History'!$C$1:$C$18046,$H2400))&lt;=MAX(0.005,ABS(INDEX('AH History'!$C$1:$C$18046,$H2400))*0.00005),ABS($E2400-INDEX('AH History'!$D$1:$D$18046,$H2400))&lt;=0.00005,$F2400=INDEX('AH History'!$E$1:$E$18046,$H2400),$G2400=INDEX('AH History'!$F$1:$F$18046,$H2400)),1,-1),-1))</ns0:f>
        <ns0:v/>
      </ns0:c>
    </ns0:row>
    <ns0:row r="2401">
      <ns0:c r="A2401" s="215">
        <ns0:f>IF(OR(AH!$P$3=0,2396+1&gt;AH!$P$11,AND(AH!$E$4&lt;&gt;"Stored",AH!$P$10&lt;&gt;1)),"",IFERROR(IF(AND(AH!$P$21=1,2396+1=AH!$P$11),TODAY(),IF(AH!$P$10=1,INDEX('Live History'!$A$5:$A$3004,AH!$P$13+2396),INDEX('AH History'!$A$1:$A$18046,AH!$P$7+2396))),""))</ns0:f>
        <ns0:v/>
      </ns0:c>
      <ns0:c r="B2401" s="219">
        <ns0:f>IFERROR(IF(AND(AH!$P$9&lt;&gt;1,$C2401&gt;0,$D2401&gt;0,$E2401&gt;0,$F2401&gt;0,$G2401&gt;0,$F2401&lt;=$A2401,$G2401&lt;=$A2401,$A2401-$F2401&lt;=10,$A2401-$G2401&lt;=5),$D2401*$E2401/$C2401-1,NA()),NA())</ns0:f>
        <ns0:v/>
      </ns0:c>
      <ns0:c r="C2401">
        <ns0:f>IFERROR(IF(ISNUMBER($A2401),IF(AND(AH!$P$10=1,AH!$P$12=1,$A2401=TODAY()),AH!$P$19,IF(AH!$P$10=1,INDEX('Live History'!$B$5:$B$3004,AH!$P$13+2396),INDEX('AH History'!$B$1:$B$18046,AH!$P$7+2396))),NA()),NA())</ns0:f>
        <ns0:v/>
      </ns0:c>
      <ns0:c r="D2401">
        <ns0:f>IFERROR(IF(ISNUMBER($A2401),IF(AND(AH!$P$10=1,AH!$P$12=1,$A2401=TODAY()),AH!$P$18,IF(AH!$P$10=1,INDEX('Live History'!$E$5:$E$3004,MATCH($A2401,'Live History'!$D$5:$D$3004,1)),INDEX('AH History'!$C$1:$C$18046,AH!$P$7+2396))),NA()),NA())</ns0:f>
        <ns0:v/>
      </ns0:c>
      <ns0:c r="E2401">
        <ns0:f>IFERROR(IF(ISNUMBER($A2401),IF(AND(AH!$P$10=1,AH!$P$12=1,$A2401=TODAY()),AH!$P$20,IF(AH!$P$10=1,INDEX('Live History'!$H$5:$H$3004,MATCH($A2401,'Live History'!$G$5:$G$3004,1)),INDEX('AH History'!$D$1:$D$18046,AH!$P$7+2396))),NA()),NA())</ns0:f>
        <ns0:v/>
      </ns0:c>
      <ns0:c r="F2401">
        <ns0:f>IFERROR(IF(ISNUMBER($A2401),IF(AND(AH!$P$10=1,AH!$P$12=1,$A2401=TODAY()),IF(AND(AH!$P$10=1,AH!$P$12=1,$A2401=TODAY()),TODAY(),NA()),IF(AH!$P$10=1,INDEX('Live History'!$D$5:$D$3004,MATCH($A2401,'Live History'!$D$5:$D$3004,1)),INDEX('AH History'!$E$1:$E$18046,AH!$P$7+2396))),NA()),NA())</ns0:f>
        <ns0:v/>
      </ns0:c>
      <ns0:c r="G2401">
        <ns0:f>IFERROR(IF(ISNUMBER($A2401),IF(AND(AH!$P$10=1,AH!$P$12=1,$A2401=TODAY()),IF(AND(AH!$P$10=1,AH!$P$12=1,$A2401=TODAY()),TODAY(),NA()),IF(AH!$P$10=1,INDEX('Live History'!$G$5:$G$3004,MATCH($A2401,'Live History'!$G$5:$G$3004,1)),INDEX('AH History'!$F$1:$F$18046,AH!$P$7+2396))),NA()),NA())</ns0:f>
        <ns0:v/>
      </ns0:c>
      <ns0:c r="H2401">
        <ns0:f>IFERROR(IF(AND(AH!$E$4="Bloomberg",AH!$P$10=1,ISNUMBER($A2401),$A2401&lt;=AH!$P$17),AH!$P$7-1+MATCH($A2401,INDEX('AH History'!$A$1:$A$18046,AH!$P$7):INDEX('AH History'!$A$1:$A$18046,AH!$P$7+AH!$P$8-1),0),0),0)</ns0:f>
        <ns0:v/>
      </ns0:c>
      <ns0:c r="I2401">
        <ns0:f>IF($H2401=0,0,IFERROR(IF(AND(ABS($C2401-INDEX('AH History'!$B$1:$B$18046,$H2401))&lt;=MAX(0.005,ABS(INDEX('AH History'!$B$1:$B$18046,$H2401))*0.00005),ABS($D2401-INDEX('AH History'!$C$1:$C$18046,$H2401))&lt;=MAX(0.005,ABS(INDEX('AH History'!$C$1:$C$18046,$H2401))*0.00005),ABS($E2401-INDEX('AH History'!$D$1:$D$18046,$H2401))&lt;=0.00005,$F2401=INDEX('AH History'!$E$1:$E$18046,$H2401),$G2401=INDEX('AH History'!$F$1:$F$18046,$H2401)),1,-1),-1))</ns0:f>
        <ns0:v/>
      </ns0:c>
    </ns0:row>
    <ns0:row r="2402">
      <ns0:c r="A2402" s="215">
        <ns0:f>IF(OR(AH!$P$3=0,2397+1&gt;AH!$P$11,AND(AH!$E$4&lt;&gt;"Stored",AH!$P$10&lt;&gt;1)),"",IFERROR(IF(AND(AH!$P$21=1,2397+1=AH!$P$11),TODAY(),IF(AH!$P$10=1,INDEX('Live History'!$A$5:$A$3004,AH!$P$13+2397),INDEX('AH History'!$A$1:$A$18046,AH!$P$7+2397))),""))</ns0:f>
        <ns0:v/>
      </ns0:c>
      <ns0:c r="B2402" s="219">
        <ns0:f>IFERROR(IF(AND(AH!$P$9&lt;&gt;1,$C2402&gt;0,$D2402&gt;0,$E2402&gt;0,$F2402&gt;0,$G2402&gt;0,$F2402&lt;=$A2402,$G2402&lt;=$A2402,$A2402-$F2402&lt;=10,$A2402-$G2402&lt;=5),$D2402*$E2402/$C2402-1,NA()),NA())</ns0:f>
        <ns0:v/>
      </ns0:c>
      <ns0:c r="C2402">
        <ns0:f>IFERROR(IF(ISNUMBER($A2402),IF(AND(AH!$P$10=1,AH!$P$12=1,$A2402=TODAY()),AH!$P$19,IF(AH!$P$10=1,INDEX('Live History'!$B$5:$B$3004,AH!$P$13+2397),INDEX('AH History'!$B$1:$B$18046,AH!$P$7+2397))),NA()),NA())</ns0:f>
        <ns0:v/>
      </ns0:c>
      <ns0:c r="D2402">
        <ns0:f>IFERROR(IF(ISNUMBER($A2402),IF(AND(AH!$P$10=1,AH!$P$12=1,$A2402=TODAY()),AH!$P$18,IF(AH!$P$10=1,INDEX('Live History'!$E$5:$E$3004,MATCH($A2402,'Live History'!$D$5:$D$3004,1)),INDEX('AH History'!$C$1:$C$18046,AH!$P$7+2397))),NA()),NA())</ns0:f>
        <ns0:v/>
      </ns0:c>
      <ns0:c r="E2402">
        <ns0:f>IFERROR(IF(ISNUMBER($A2402),IF(AND(AH!$P$10=1,AH!$P$12=1,$A2402=TODAY()),AH!$P$20,IF(AH!$P$10=1,INDEX('Live History'!$H$5:$H$3004,MATCH($A2402,'Live History'!$G$5:$G$3004,1)),INDEX('AH History'!$D$1:$D$18046,AH!$P$7+2397))),NA()),NA())</ns0:f>
        <ns0:v/>
      </ns0:c>
      <ns0:c r="F2402">
        <ns0:f>IFERROR(IF(ISNUMBER($A2402),IF(AND(AH!$P$10=1,AH!$P$12=1,$A2402=TODAY()),IF(AND(AH!$P$10=1,AH!$P$12=1,$A2402=TODAY()),TODAY(),NA()),IF(AH!$P$10=1,INDEX('Live History'!$D$5:$D$3004,MATCH($A2402,'Live History'!$D$5:$D$3004,1)),INDEX('AH History'!$E$1:$E$18046,AH!$P$7+2397))),NA()),NA())</ns0:f>
        <ns0:v/>
      </ns0:c>
      <ns0:c r="G2402">
        <ns0:f>IFERROR(IF(ISNUMBER($A2402),IF(AND(AH!$P$10=1,AH!$P$12=1,$A2402=TODAY()),IF(AND(AH!$P$10=1,AH!$P$12=1,$A2402=TODAY()),TODAY(),NA()),IF(AH!$P$10=1,INDEX('Live History'!$G$5:$G$3004,MATCH($A2402,'Live History'!$G$5:$G$3004,1)),INDEX('AH History'!$F$1:$F$18046,AH!$P$7+2397))),NA()),NA())</ns0:f>
        <ns0:v/>
      </ns0:c>
      <ns0:c r="H2402">
        <ns0:f>IFERROR(IF(AND(AH!$E$4="Bloomberg",AH!$P$10=1,ISNUMBER($A2402),$A2402&lt;=AH!$P$17),AH!$P$7-1+MATCH($A2402,INDEX('AH History'!$A$1:$A$18046,AH!$P$7):INDEX('AH History'!$A$1:$A$18046,AH!$P$7+AH!$P$8-1),0),0),0)</ns0:f>
        <ns0:v/>
      </ns0:c>
      <ns0:c r="I2402">
        <ns0:f>IF($H2402=0,0,IFERROR(IF(AND(ABS($C2402-INDEX('AH History'!$B$1:$B$18046,$H2402))&lt;=MAX(0.005,ABS(INDEX('AH History'!$B$1:$B$18046,$H2402))*0.00005),ABS($D2402-INDEX('AH History'!$C$1:$C$18046,$H2402))&lt;=MAX(0.005,ABS(INDEX('AH History'!$C$1:$C$18046,$H2402))*0.00005),ABS($E2402-INDEX('AH History'!$D$1:$D$18046,$H2402))&lt;=0.00005,$F2402=INDEX('AH History'!$E$1:$E$18046,$H2402),$G2402=INDEX('AH History'!$F$1:$F$18046,$H2402)),1,-1),-1))</ns0:f>
        <ns0:v/>
      </ns0:c>
    </ns0:row>
    <ns0:row r="2403">
      <ns0:c r="A2403" s="215">
        <ns0:f>IF(OR(AH!$P$3=0,2398+1&gt;AH!$P$11,AND(AH!$E$4&lt;&gt;"Stored",AH!$P$10&lt;&gt;1)),"",IFERROR(IF(AND(AH!$P$21=1,2398+1=AH!$P$11),TODAY(),IF(AH!$P$10=1,INDEX('Live History'!$A$5:$A$3004,AH!$P$13+2398),INDEX('AH History'!$A$1:$A$18046,AH!$P$7+2398))),""))</ns0:f>
        <ns0:v/>
      </ns0:c>
      <ns0:c r="B2403" s="219">
        <ns0:f>IFERROR(IF(AND(AH!$P$9&lt;&gt;1,$C2403&gt;0,$D2403&gt;0,$E2403&gt;0,$F2403&gt;0,$G2403&gt;0,$F2403&lt;=$A2403,$G2403&lt;=$A2403,$A2403-$F2403&lt;=10,$A2403-$G2403&lt;=5),$D2403*$E2403/$C2403-1,NA()),NA())</ns0:f>
        <ns0:v/>
      </ns0:c>
      <ns0:c r="C2403">
        <ns0:f>IFERROR(IF(ISNUMBER($A2403),IF(AND(AH!$P$10=1,AH!$P$12=1,$A2403=TODAY()),AH!$P$19,IF(AH!$P$10=1,INDEX('Live History'!$B$5:$B$3004,AH!$P$13+2398),INDEX('AH History'!$B$1:$B$18046,AH!$P$7+2398))),NA()),NA())</ns0:f>
        <ns0:v/>
      </ns0:c>
      <ns0:c r="D2403">
        <ns0:f>IFERROR(IF(ISNUMBER($A2403),IF(AND(AH!$P$10=1,AH!$P$12=1,$A2403=TODAY()),AH!$P$18,IF(AH!$P$10=1,INDEX('Live History'!$E$5:$E$3004,MATCH($A2403,'Live History'!$D$5:$D$3004,1)),INDEX('AH History'!$C$1:$C$18046,AH!$P$7+2398))),NA()),NA())</ns0:f>
        <ns0:v/>
      </ns0:c>
      <ns0:c r="E2403">
        <ns0:f>IFERROR(IF(ISNUMBER($A2403),IF(AND(AH!$P$10=1,AH!$P$12=1,$A2403=TODAY()),AH!$P$20,IF(AH!$P$10=1,INDEX('Live History'!$H$5:$H$3004,MATCH($A2403,'Live History'!$G$5:$G$3004,1)),INDEX('AH History'!$D$1:$D$18046,AH!$P$7+2398))),NA()),NA())</ns0:f>
        <ns0:v/>
      </ns0:c>
      <ns0:c r="F2403">
        <ns0:f>IFERROR(IF(ISNUMBER($A2403),IF(AND(AH!$P$10=1,AH!$P$12=1,$A2403=TODAY()),IF(AND(AH!$P$10=1,AH!$P$12=1,$A2403=TODAY()),TODAY(),NA()),IF(AH!$P$10=1,INDEX('Live History'!$D$5:$D$3004,MATCH($A2403,'Live History'!$D$5:$D$3004,1)),INDEX('AH History'!$E$1:$E$18046,AH!$P$7+2398))),NA()),NA())</ns0:f>
        <ns0:v/>
      </ns0:c>
      <ns0:c r="G2403">
        <ns0:f>IFERROR(IF(ISNUMBER($A2403),IF(AND(AH!$P$10=1,AH!$P$12=1,$A2403=TODAY()),IF(AND(AH!$P$10=1,AH!$P$12=1,$A2403=TODAY()),TODAY(),NA()),IF(AH!$P$10=1,INDEX('Live History'!$G$5:$G$3004,MATCH($A2403,'Live History'!$G$5:$G$3004,1)),INDEX('AH History'!$F$1:$F$18046,AH!$P$7+2398))),NA()),NA())</ns0:f>
        <ns0:v/>
      </ns0:c>
      <ns0:c r="H2403">
        <ns0:f>IFERROR(IF(AND(AH!$E$4="Bloomberg",AH!$P$10=1,ISNUMBER($A2403),$A2403&lt;=AH!$P$17),AH!$P$7-1+MATCH($A2403,INDEX('AH History'!$A$1:$A$18046,AH!$P$7):INDEX('AH History'!$A$1:$A$18046,AH!$P$7+AH!$P$8-1),0),0),0)</ns0:f>
        <ns0:v/>
      </ns0:c>
      <ns0:c r="I2403">
        <ns0:f>IF($H2403=0,0,IFERROR(IF(AND(ABS($C2403-INDEX('AH History'!$B$1:$B$18046,$H2403))&lt;=MAX(0.005,ABS(INDEX('AH History'!$B$1:$B$18046,$H2403))*0.00005),ABS($D2403-INDEX('AH History'!$C$1:$C$18046,$H2403))&lt;=MAX(0.005,ABS(INDEX('AH History'!$C$1:$C$18046,$H2403))*0.00005),ABS($E2403-INDEX('AH History'!$D$1:$D$18046,$H2403))&lt;=0.00005,$F2403=INDEX('AH History'!$E$1:$E$18046,$H2403),$G2403=INDEX('AH History'!$F$1:$F$18046,$H2403)),1,-1),-1))</ns0:f>
        <ns0:v/>
      </ns0:c>
    </ns0:row>
    <ns0:row r="2404">
      <ns0:c r="A2404" s="215">
        <ns0:f>IF(OR(AH!$P$3=0,2399+1&gt;AH!$P$11,AND(AH!$E$4&lt;&gt;"Stored",AH!$P$10&lt;&gt;1)),"",IFERROR(IF(AND(AH!$P$21=1,2399+1=AH!$P$11),TODAY(),IF(AH!$P$10=1,INDEX('Live History'!$A$5:$A$3004,AH!$P$13+2399),INDEX('AH History'!$A$1:$A$18046,AH!$P$7+2399))),""))</ns0:f>
        <ns0:v/>
      </ns0:c>
      <ns0:c r="B2404" s="219">
        <ns0:f>IFERROR(IF(AND(AH!$P$9&lt;&gt;1,$C2404&gt;0,$D2404&gt;0,$E2404&gt;0,$F2404&gt;0,$G2404&gt;0,$F2404&lt;=$A2404,$G2404&lt;=$A2404,$A2404-$F2404&lt;=10,$A2404-$G2404&lt;=5),$D2404*$E2404/$C2404-1,NA()),NA())</ns0:f>
        <ns0:v/>
      </ns0:c>
      <ns0:c r="C2404">
        <ns0:f>IFERROR(IF(ISNUMBER($A2404),IF(AND(AH!$P$10=1,AH!$P$12=1,$A2404=TODAY()),AH!$P$19,IF(AH!$P$10=1,INDEX('Live History'!$B$5:$B$3004,AH!$P$13+2399),INDEX('AH History'!$B$1:$B$18046,AH!$P$7+2399))),NA()),NA())</ns0:f>
        <ns0:v/>
      </ns0:c>
      <ns0:c r="D2404">
        <ns0:f>IFERROR(IF(ISNUMBER($A2404),IF(AND(AH!$P$10=1,AH!$P$12=1,$A2404=TODAY()),AH!$P$18,IF(AH!$P$10=1,INDEX('Live History'!$E$5:$E$3004,MATCH($A2404,'Live History'!$D$5:$D$3004,1)),INDEX('AH History'!$C$1:$C$18046,AH!$P$7+2399))),NA()),NA())</ns0:f>
        <ns0:v/>
      </ns0:c>
      <ns0:c r="E2404">
        <ns0:f>IFERROR(IF(ISNUMBER($A2404),IF(AND(AH!$P$10=1,AH!$P$12=1,$A2404=TODAY()),AH!$P$20,IF(AH!$P$10=1,INDEX('Live History'!$H$5:$H$3004,MATCH($A2404,'Live History'!$G$5:$G$3004,1)),INDEX('AH History'!$D$1:$D$18046,AH!$P$7+2399))),NA()),NA())</ns0:f>
        <ns0:v/>
      </ns0:c>
      <ns0:c r="F2404">
        <ns0:f>IFERROR(IF(ISNUMBER($A2404),IF(AND(AH!$P$10=1,AH!$P$12=1,$A2404=TODAY()),IF(AND(AH!$P$10=1,AH!$P$12=1,$A2404=TODAY()),TODAY(),NA()),IF(AH!$P$10=1,INDEX('Live History'!$D$5:$D$3004,MATCH($A2404,'Live History'!$D$5:$D$3004,1)),INDEX('AH History'!$E$1:$E$18046,AH!$P$7+2399))),NA()),NA())</ns0:f>
        <ns0:v/>
      </ns0:c>
      <ns0:c r="G2404">
        <ns0:f>IFERROR(IF(ISNUMBER($A2404),IF(AND(AH!$P$10=1,AH!$P$12=1,$A2404=TODAY()),IF(AND(AH!$P$10=1,AH!$P$12=1,$A2404=TODAY()),TODAY(),NA()),IF(AH!$P$10=1,INDEX('Live History'!$G$5:$G$3004,MATCH($A2404,'Live History'!$G$5:$G$3004,1)),INDEX('AH History'!$F$1:$F$18046,AH!$P$7+2399))),NA()),NA())</ns0:f>
        <ns0:v/>
      </ns0:c>
      <ns0:c r="H2404">
        <ns0:f>IFERROR(IF(AND(AH!$E$4="Bloomberg",AH!$P$10=1,ISNUMBER($A2404),$A2404&lt;=AH!$P$17),AH!$P$7-1+MATCH($A2404,INDEX('AH History'!$A$1:$A$18046,AH!$P$7):INDEX('AH History'!$A$1:$A$18046,AH!$P$7+AH!$P$8-1),0),0),0)</ns0:f>
        <ns0:v/>
      </ns0:c>
      <ns0:c r="I2404">
        <ns0:f>IF($H2404=0,0,IFERROR(IF(AND(ABS($C2404-INDEX('AH History'!$B$1:$B$18046,$H2404))&lt;=MAX(0.005,ABS(INDEX('AH History'!$B$1:$B$18046,$H2404))*0.00005),ABS($D2404-INDEX('AH History'!$C$1:$C$18046,$H2404))&lt;=MAX(0.005,ABS(INDEX('AH History'!$C$1:$C$18046,$H2404))*0.00005),ABS($E2404-INDEX('AH History'!$D$1:$D$18046,$H2404))&lt;=0.00005,$F2404=INDEX('AH History'!$E$1:$E$18046,$H2404),$G2404=INDEX('AH History'!$F$1:$F$18046,$H2404)),1,-1),-1))</ns0:f>
        <ns0:v/>
      </ns0:c>
    </ns0:row>
    <ns0:row r="2405">
      <ns0:c r="A2405" s="215">
        <ns0:f>IF(OR(AH!$P$3=0,2400+1&gt;AH!$P$11,AND(AH!$E$4&lt;&gt;"Stored",AH!$P$10&lt;&gt;1)),"",IFERROR(IF(AND(AH!$P$21=1,2400+1=AH!$P$11),TODAY(),IF(AH!$P$10=1,INDEX('Live History'!$A$5:$A$3004,AH!$P$13+2400),INDEX('AH History'!$A$1:$A$18046,AH!$P$7+2400))),""))</ns0:f>
        <ns0:v/>
      </ns0:c>
      <ns0:c r="B2405" s="219">
        <ns0:f>IFERROR(IF(AND(AH!$P$9&lt;&gt;1,$C2405&gt;0,$D2405&gt;0,$E2405&gt;0,$F2405&gt;0,$G2405&gt;0,$F2405&lt;=$A2405,$G2405&lt;=$A2405,$A2405-$F2405&lt;=10,$A2405-$G2405&lt;=5),$D2405*$E2405/$C2405-1,NA()),NA())</ns0:f>
        <ns0:v/>
      </ns0:c>
      <ns0:c r="C2405">
        <ns0:f>IFERROR(IF(ISNUMBER($A2405),IF(AND(AH!$P$10=1,AH!$P$12=1,$A2405=TODAY()),AH!$P$19,IF(AH!$P$10=1,INDEX('Live History'!$B$5:$B$3004,AH!$P$13+2400),INDEX('AH History'!$B$1:$B$18046,AH!$P$7+2400))),NA()),NA())</ns0:f>
        <ns0:v/>
      </ns0:c>
      <ns0:c r="D2405">
        <ns0:f>IFERROR(IF(ISNUMBER($A2405),IF(AND(AH!$P$10=1,AH!$P$12=1,$A2405=TODAY()),AH!$P$18,IF(AH!$P$10=1,INDEX('Live History'!$E$5:$E$3004,MATCH($A2405,'Live History'!$D$5:$D$3004,1)),INDEX('AH History'!$C$1:$C$18046,AH!$P$7+2400))),NA()),NA())</ns0:f>
        <ns0:v/>
      </ns0:c>
      <ns0:c r="E2405">
        <ns0:f>IFERROR(IF(ISNUMBER($A2405),IF(AND(AH!$P$10=1,AH!$P$12=1,$A2405=TODAY()),AH!$P$20,IF(AH!$P$10=1,INDEX('Live History'!$H$5:$H$3004,MATCH($A2405,'Live History'!$G$5:$G$3004,1)),INDEX('AH History'!$D$1:$D$18046,AH!$P$7+2400))),NA()),NA())</ns0:f>
        <ns0:v/>
      </ns0:c>
      <ns0:c r="F2405">
        <ns0:f>IFERROR(IF(ISNUMBER($A2405),IF(AND(AH!$P$10=1,AH!$P$12=1,$A2405=TODAY()),IF(AND(AH!$P$10=1,AH!$P$12=1,$A2405=TODAY()),TODAY(),NA()),IF(AH!$P$10=1,INDEX('Live History'!$D$5:$D$3004,MATCH($A2405,'Live History'!$D$5:$D$3004,1)),INDEX('AH History'!$E$1:$E$18046,AH!$P$7+2400))),NA()),NA())</ns0:f>
        <ns0:v/>
      </ns0:c>
      <ns0:c r="G2405">
        <ns0:f>IFERROR(IF(ISNUMBER($A2405),IF(AND(AH!$P$10=1,AH!$P$12=1,$A2405=TODAY()),IF(AND(AH!$P$10=1,AH!$P$12=1,$A2405=TODAY()),TODAY(),NA()),IF(AH!$P$10=1,INDEX('Live History'!$G$5:$G$3004,MATCH($A2405,'Live History'!$G$5:$G$3004,1)),INDEX('AH History'!$F$1:$F$18046,AH!$P$7+2400))),NA()),NA())</ns0:f>
        <ns0:v/>
      </ns0:c>
      <ns0:c r="H2405">
        <ns0:f>IFERROR(IF(AND(AH!$E$4="Bloomberg",AH!$P$10=1,ISNUMBER($A2405),$A2405&lt;=AH!$P$17),AH!$P$7-1+MATCH($A2405,INDEX('AH History'!$A$1:$A$18046,AH!$P$7):INDEX('AH History'!$A$1:$A$18046,AH!$P$7+AH!$P$8-1),0),0),0)</ns0:f>
        <ns0:v/>
      </ns0:c>
      <ns0:c r="I2405">
        <ns0:f>IF($H2405=0,0,IFERROR(IF(AND(ABS($C2405-INDEX('AH History'!$B$1:$B$18046,$H2405))&lt;=MAX(0.005,ABS(INDEX('AH History'!$B$1:$B$18046,$H2405))*0.00005),ABS($D2405-INDEX('AH History'!$C$1:$C$18046,$H2405))&lt;=MAX(0.005,ABS(INDEX('AH History'!$C$1:$C$18046,$H2405))*0.00005),ABS($E2405-INDEX('AH History'!$D$1:$D$18046,$H2405))&lt;=0.00005,$F2405=INDEX('AH History'!$E$1:$E$18046,$H2405),$G2405=INDEX('AH History'!$F$1:$F$18046,$H2405)),1,-1),-1))</ns0:f>
        <ns0:v/>
      </ns0:c>
    </ns0:row>
    <ns0:row r="2406">
      <ns0:c r="A2406" s="215">
        <ns0:f>IF(OR(AH!$P$3=0,2401+1&gt;AH!$P$11,AND(AH!$E$4&lt;&gt;"Stored",AH!$P$10&lt;&gt;1)),"",IFERROR(IF(AND(AH!$P$21=1,2401+1=AH!$P$11),TODAY(),IF(AH!$P$10=1,INDEX('Live History'!$A$5:$A$3004,AH!$P$13+2401),INDEX('AH History'!$A$1:$A$18046,AH!$P$7+2401))),""))</ns0:f>
        <ns0:v/>
      </ns0:c>
      <ns0:c r="B2406" s="219">
        <ns0:f>IFERROR(IF(AND(AH!$P$9&lt;&gt;1,$C2406&gt;0,$D2406&gt;0,$E2406&gt;0,$F2406&gt;0,$G2406&gt;0,$F2406&lt;=$A2406,$G2406&lt;=$A2406,$A2406-$F2406&lt;=10,$A2406-$G2406&lt;=5),$D2406*$E2406/$C2406-1,NA()),NA())</ns0:f>
        <ns0:v/>
      </ns0:c>
      <ns0:c r="C2406">
        <ns0:f>IFERROR(IF(ISNUMBER($A2406),IF(AND(AH!$P$10=1,AH!$P$12=1,$A2406=TODAY()),AH!$P$19,IF(AH!$P$10=1,INDEX('Live History'!$B$5:$B$3004,AH!$P$13+2401),INDEX('AH History'!$B$1:$B$18046,AH!$P$7+2401))),NA()),NA())</ns0:f>
        <ns0:v/>
      </ns0:c>
      <ns0:c r="D2406">
        <ns0:f>IFERROR(IF(ISNUMBER($A2406),IF(AND(AH!$P$10=1,AH!$P$12=1,$A2406=TODAY()),AH!$P$18,IF(AH!$P$10=1,INDEX('Live History'!$E$5:$E$3004,MATCH($A2406,'Live History'!$D$5:$D$3004,1)),INDEX('AH History'!$C$1:$C$18046,AH!$P$7+2401))),NA()),NA())</ns0:f>
        <ns0:v/>
      </ns0:c>
      <ns0:c r="E2406">
        <ns0:f>IFERROR(IF(ISNUMBER($A2406),IF(AND(AH!$P$10=1,AH!$P$12=1,$A2406=TODAY()),AH!$P$20,IF(AH!$P$10=1,INDEX('Live History'!$H$5:$H$3004,MATCH($A2406,'Live History'!$G$5:$G$3004,1)),INDEX('AH History'!$D$1:$D$18046,AH!$P$7+2401))),NA()),NA())</ns0:f>
        <ns0:v/>
      </ns0:c>
      <ns0:c r="F2406">
        <ns0:f>IFERROR(IF(ISNUMBER($A2406),IF(AND(AH!$P$10=1,AH!$P$12=1,$A2406=TODAY()),IF(AND(AH!$P$10=1,AH!$P$12=1,$A2406=TODAY()),TODAY(),NA()),IF(AH!$P$10=1,INDEX('Live History'!$D$5:$D$3004,MATCH($A2406,'Live History'!$D$5:$D$3004,1)),INDEX('AH History'!$E$1:$E$18046,AH!$P$7+2401))),NA()),NA())</ns0:f>
        <ns0:v/>
      </ns0:c>
      <ns0:c r="G2406">
        <ns0:f>IFERROR(IF(ISNUMBER($A2406),IF(AND(AH!$P$10=1,AH!$P$12=1,$A2406=TODAY()),IF(AND(AH!$P$10=1,AH!$P$12=1,$A2406=TODAY()),TODAY(),NA()),IF(AH!$P$10=1,INDEX('Live History'!$G$5:$G$3004,MATCH($A2406,'Live History'!$G$5:$G$3004,1)),INDEX('AH History'!$F$1:$F$18046,AH!$P$7+2401))),NA()),NA())</ns0:f>
        <ns0:v/>
      </ns0:c>
      <ns0:c r="H2406">
        <ns0:f>IFERROR(IF(AND(AH!$E$4="Bloomberg",AH!$P$10=1,ISNUMBER($A2406),$A2406&lt;=AH!$P$17),AH!$P$7-1+MATCH($A2406,INDEX('AH History'!$A$1:$A$18046,AH!$P$7):INDEX('AH History'!$A$1:$A$18046,AH!$P$7+AH!$P$8-1),0),0),0)</ns0:f>
        <ns0:v/>
      </ns0:c>
      <ns0:c r="I2406">
        <ns0:f>IF($H2406=0,0,IFERROR(IF(AND(ABS($C2406-INDEX('AH History'!$B$1:$B$18046,$H2406))&lt;=MAX(0.005,ABS(INDEX('AH History'!$B$1:$B$18046,$H2406))*0.00005),ABS($D2406-INDEX('AH History'!$C$1:$C$18046,$H2406))&lt;=MAX(0.005,ABS(INDEX('AH History'!$C$1:$C$18046,$H2406))*0.00005),ABS($E2406-INDEX('AH History'!$D$1:$D$18046,$H2406))&lt;=0.00005,$F2406=INDEX('AH History'!$E$1:$E$18046,$H2406),$G2406=INDEX('AH History'!$F$1:$F$18046,$H2406)),1,-1),-1))</ns0:f>
        <ns0:v/>
      </ns0:c>
    </ns0:row>
    <ns0:row r="2407">
      <ns0:c r="A2407" s="215">
        <ns0:f>IF(OR(AH!$P$3=0,2402+1&gt;AH!$P$11,AND(AH!$E$4&lt;&gt;"Stored",AH!$P$10&lt;&gt;1)),"",IFERROR(IF(AND(AH!$P$21=1,2402+1=AH!$P$11),TODAY(),IF(AH!$P$10=1,INDEX('Live History'!$A$5:$A$3004,AH!$P$13+2402),INDEX('AH History'!$A$1:$A$18046,AH!$P$7+2402))),""))</ns0:f>
        <ns0:v/>
      </ns0:c>
      <ns0:c r="B2407" s="219">
        <ns0:f>IFERROR(IF(AND(AH!$P$9&lt;&gt;1,$C2407&gt;0,$D2407&gt;0,$E2407&gt;0,$F2407&gt;0,$G2407&gt;0,$F2407&lt;=$A2407,$G2407&lt;=$A2407,$A2407-$F2407&lt;=10,$A2407-$G2407&lt;=5),$D2407*$E2407/$C2407-1,NA()),NA())</ns0:f>
        <ns0:v/>
      </ns0:c>
      <ns0:c r="C2407">
        <ns0:f>IFERROR(IF(ISNUMBER($A2407),IF(AND(AH!$P$10=1,AH!$P$12=1,$A2407=TODAY()),AH!$P$19,IF(AH!$P$10=1,INDEX('Live History'!$B$5:$B$3004,AH!$P$13+2402),INDEX('AH History'!$B$1:$B$18046,AH!$P$7+2402))),NA()),NA())</ns0:f>
        <ns0:v/>
      </ns0:c>
      <ns0:c r="D2407">
        <ns0:f>IFERROR(IF(ISNUMBER($A2407),IF(AND(AH!$P$10=1,AH!$P$12=1,$A2407=TODAY()),AH!$P$18,IF(AH!$P$10=1,INDEX('Live History'!$E$5:$E$3004,MATCH($A2407,'Live History'!$D$5:$D$3004,1)),INDEX('AH History'!$C$1:$C$18046,AH!$P$7+2402))),NA()),NA())</ns0:f>
        <ns0:v/>
      </ns0:c>
      <ns0:c r="E2407">
        <ns0:f>IFERROR(IF(ISNUMBER($A2407),IF(AND(AH!$P$10=1,AH!$P$12=1,$A2407=TODAY()),AH!$P$20,IF(AH!$P$10=1,INDEX('Live History'!$H$5:$H$3004,MATCH($A2407,'Live History'!$G$5:$G$3004,1)),INDEX('AH History'!$D$1:$D$18046,AH!$P$7+2402))),NA()),NA())</ns0:f>
        <ns0:v/>
      </ns0:c>
      <ns0:c r="F2407">
        <ns0:f>IFERROR(IF(ISNUMBER($A2407),IF(AND(AH!$P$10=1,AH!$P$12=1,$A2407=TODAY()),IF(AND(AH!$P$10=1,AH!$P$12=1,$A2407=TODAY()),TODAY(),NA()),IF(AH!$P$10=1,INDEX('Live History'!$D$5:$D$3004,MATCH($A2407,'Live History'!$D$5:$D$3004,1)),INDEX('AH History'!$E$1:$E$18046,AH!$P$7+2402))),NA()),NA())</ns0:f>
        <ns0:v/>
      </ns0:c>
      <ns0:c r="G2407">
        <ns0:f>IFERROR(IF(ISNUMBER($A2407),IF(AND(AH!$P$10=1,AH!$P$12=1,$A2407=TODAY()),IF(AND(AH!$P$10=1,AH!$P$12=1,$A2407=TODAY()),TODAY(),NA()),IF(AH!$P$10=1,INDEX('Live History'!$G$5:$G$3004,MATCH($A2407,'Live History'!$G$5:$G$3004,1)),INDEX('AH History'!$F$1:$F$18046,AH!$P$7+2402))),NA()),NA())</ns0:f>
        <ns0:v/>
      </ns0:c>
      <ns0:c r="H2407">
        <ns0:f>IFERROR(IF(AND(AH!$E$4="Bloomberg",AH!$P$10=1,ISNUMBER($A2407),$A2407&lt;=AH!$P$17),AH!$P$7-1+MATCH($A2407,INDEX('AH History'!$A$1:$A$18046,AH!$P$7):INDEX('AH History'!$A$1:$A$18046,AH!$P$7+AH!$P$8-1),0),0),0)</ns0:f>
        <ns0:v/>
      </ns0:c>
      <ns0:c r="I2407">
        <ns0:f>IF($H2407=0,0,IFERROR(IF(AND(ABS($C2407-INDEX('AH History'!$B$1:$B$18046,$H2407))&lt;=MAX(0.005,ABS(INDEX('AH History'!$B$1:$B$18046,$H2407))*0.00005),ABS($D2407-INDEX('AH History'!$C$1:$C$18046,$H2407))&lt;=MAX(0.005,ABS(INDEX('AH History'!$C$1:$C$18046,$H2407))*0.00005),ABS($E2407-INDEX('AH History'!$D$1:$D$18046,$H2407))&lt;=0.00005,$F2407=INDEX('AH History'!$E$1:$E$18046,$H2407),$G2407=INDEX('AH History'!$F$1:$F$18046,$H2407)),1,-1),-1))</ns0:f>
        <ns0:v/>
      </ns0:c>
    </ns0:row>
    <ns0:row r="2408">
      <ns0:c r="A2408" s="215">
        <ns0:f>IF(OR(AH!$P$3=0,2403+1&gt;AH!$P$11,AND(AH!$E$4&lt;&gt;"Stored",AH!$P$10&lt;&gt;1)),"",IFERROR(IF(AND(AH!$P$21=1,2403+1=AH!$P$11),TODAY(),IF(AH!$P$10=1,INDEX('Live History'!$A$5:$A$3004,AH!$P$13+2403),INDEX('AH History'!$A$1:$A$18046,AH!$P$7+2403))),""))</ns0:f>
        <ns0:v/>
      </ns0:c>
      <ns0:c r="B2408" s="219">
        <ns0:f>IFERROR(IF(AND(AH!$P$9&lt;&gt;1,$C2408&gt;0,$D2408&gt;0,$E2408&gt;0,$F2408&gt;0,$G2408&gt;0,$F2408&lt;=$A2408,$G2408&lt;=$A2408,$A2408-$F2408&lt;=10,$A2408-$G2408&lt;=5),$D2408*$E2408/$C2408-1,NA()),NA())</ns0:f>
        <ns0:v/>
      </ns0:c>
      <ns0:c r="C2408">
        <ns0:f>IFERROR(IF(ISNUMBER($A2408),IF(AND(AH!$P$10=1,AH!$P$12=1,$A2408=TODAY()),AH!$P$19,IF(AH!$P$10=1,INDEX('Live History'!$B$5:$B$3004,AH!$P$13+2403),INDEX('AH History'!$B$1:$B$18046,AH!$P$7+2403))),NA()),NA())</ns0:f>
        <ns0:v/>
      </ns0:c>
      <ns0:c r="D2408">
        <ns0:f>IFERROR(IF(ISNUMBER($A2408),IF(AND(AH!$P$10=1,AH!$P$12=1,$A2408=TODAY()),AH!$P$18,IF(AH!$P$10=1,INDEX('Live History'!$E$5:$E$3004,MATCH($A2408,'Live History'!$D$5:$D$3004,1)),INDEX('AH History'!$C$1:$C$18046,AH!$P$7+2403))),NA()),NA())</ns0:f>
        <ns0:v/>
      </ns0:c>
      <ns0:c r="E2408">
        <ns0:f>IFERROR(IF(ISNUMBER($A2408),IF(AND(AH!$P$10=1,AH!$P$12=1,$A2408=TODAY()),AH!$P$20,IF(AH!$P$10=1,INDEX('Live History'!$H$5:$H$3004,MATCH($A2408,'Live History'!$G$5:$G$3004,1)),INDEX('AH History'!$D$1:$D$18046,AH!$P$7+2403))),NA()),NA())</ns0:f>
        <ns0:v/>
      </ns0:c>
      <ns0:c r="F2408">
        <ns0:f>IFERROR(IF(ISNUMBER($A2408),IF(AND(AH!$P$10=1,AH!$P$12=1,$A2408=TODAY()),IF(AND(AH!$P$10=1,AH!$P$12=1,$A2408=TODAY()),TODAY(),NA()),IF(AH!$P$10=1,INDEX('Live History'!$D$5:$D$3004,MATCH($A2408,'Live History'!$D$5:$D$3004,1)),INDEX('AH History'!$E$1:$E$18046,AH!$P$7+2403))),NA()),NA())</ns0:f>
        <ns0:v/>
      </ns0:c>
      <ns0:c r="G2408">
        <ns0:f>IFERROR(IF(ISNUMBER($A2408),IF(AND(AH!$P$10=1,AH!$P$12=1,$A2408=TODAY()),IF(AND(AH!$P$10=1,AH!$P$12=1,$A2408=TODAY()),TODAY(),NA()),IF(AH!$P$10=1,INDEX('Live History'!$G$5:$G$3004,MATCH($A2408,'Live History'!$G$5:$G$3004,1)),INDEX('AH History'!$F$1:$F$18046,AH!$P$7+2403))),NA()),NA())</ns0:f>
        <ns0:v/>
      </ns0:c>
      <ns0:c r="H2408">
        <ns0:f>IFERROR(IF(AND(AH!$E$4="Bloomberg",AH!$P$10=1,ISNUMBER($A2408),$A2408&lt;=AH!$P$17),AH!$P$7-1+MATCH($A2408,INDEX('AH History'!$A$1:$A$18046,AH!$P$7):INDEX('AH History'!$A$1:$A$18046,AH!$P$7+AH!$P$8-1),0),0),0)</ns0:f>
        <ns0:v/>
      </ns0:c>
      <ns0:c r="I2408">
        <ns0:f>IF($H2408=0,0,IFERROR(IF(AND(ABS($C2408-INDEX('AH History'!$B$1:$B$18046,$H2408))&lt;=MAX(0.005,ABS(INDEX('AH History'!$B$1:$B$18046,$H2408))*0.00005),ABS($D2408-INDEX('AH History'!$C$1:$C$18046,$H2408))&lt;=MAX(0.005,ABS(INDEX('AH History'!$C$1:$C$18046,$H2408))*0.00005),ABS($E2408-INDEX('AH History'!$D$1:$D$18046,$H2408))&lt;=0.00005,$F2408=INDEX('AH History'!$E$1:$E$18046,$H2408),$G2408=INDEX('AH History'!$F$1:$F$18046,$H2408)),1,-1),-1))</ns0:f>
        <ns0:v/>
      </ns0:c>
    </ns0:row>
    <ns0:row r="2409">
      <ns0:c r="A2409" s="215">
        <ns0:f>IF(OR(AH!$P$3=0,2404+1&gt;AH!$P$11,AND(AH!$E$4&lt;&gt;"Stored",AH!$P$10&lt;&gt;1)),"",IFERROR(IF(AND(AH!$P$21=1,2404+1=AH!$P$11),TODAY(),IF(AH!$P$10=1,INDEX('Live History'!$A$5:$A$3004,AH!$P$13+2404),INDEX('AH History'!$A$1:$A$18046,AH!$P$7+2404))),""))</ns0:f>
        <ns0:v/>
      </ns0:c>
      <ns0:c r="B2409" s="219">
        <ns0:f>IFERROR(IF(AND(AH!$P$9&lt;&gt;1,$C2409&gt;0,$D2409&gt;0,$E2409&gt;0,$F2409&gt;0,$G2409&gt;0,$F2409&lt;=$A2409,$G2409&lt;=$A2409,$A2409-$F2409&lt;=10,$A2409-$G2409&lt;=5),$D2409*$E2409/$C2409-1,NA()),NA())</ns0:f>
        <ns0:v/>
      </ns0:c>
      <ns0:c r="C2409">
        <ns0:f>IFERROR(IF(ISNUMBER($A2409),IF(AND(AH!$P$10=1,AH!$P$12=1,$A2409=TODAY()),AH!$P$19,IF(AH!$P$10=1,INDEX('Live History'!$B$5:$B$3004,AH!$P$13+2404),INDEX('AH History'!$B$1:$B$18046,AH!$P$7+2404))),NA()),NA())</ns0:f>
        <ns0:v/>
      </ns0:c>
      <ns0:c r="D2409">
        <ns0:f>IFERROR(IF(ISNUMBER($A2409),IF(AND(AH!$P$10=1,AH!$P$12=1,$A2409=TODAY()),AH!$P$18,IF(AH!$P$10=1,INDEX('Live History'!$E$5:$E$3004,MATCH($A2409,'Live History'!$D$5:$D$3004,1)),INDEX('AH History'!$C$1:$C$18046,AH!$P$7+2404))),NA()),NA())</ns0:f>
        <ns0:v/>
      </ns0:c>
      <ns0:c r="E2409">
        <ns0:f>IFERROR(IF(ISNUMBER($A2409),IF(AND(AH!$P$10=1,AH!$P$12=1,$A2409=TODAY()),AH!$P$20,IF(AH!$P$10=1,INDEX('Live History'!$H$5:$H$3004,MATCH($A2409,'Live History'!$G$5:$G$3004,1)),INDEX('AH History'!$D$1:$D$18046,AH!$P$7+2404))),NA()),NA())</ns0:f>
        <ns0:v/>
      </ns0:c>
      <ns0:c r="F2409">
        <ns0:f>IFERROR(IF(ISNUMBER($A2409),IF(AND(AH!$P$10=1,AH!$P$12=1,$A2409=TODAY()),IF(AND(AH!$P$10=1,AH!$P$12=1,$A2409=TODAY()),TODAY(),NA()),IF(AH!$P$10=1,INDEX('Live History'!$D$5:$D$3004,MATCH($A2409,'Live History'!$D$5:$D$3004,1)),INDEX('AH History'!$E$1:$E$18046,AH!$P$7+2404))),NA()),NA())</ns0:f>
        <ns0:v/>
      </ns0:c>
      <ns0:c r="G2409">
        <ns0:f>IFERROR(IF(ISNUMBER($A2409),IF(AND(AH!$P$10=1,AH!$P$12=1,$A2409=TODAY()),IF(AND(AH!$P$10=1,AH!$P$12=1,$A2409=TODAY()),TODAY(),NA()),IF(AH!$P$10=1,INDEX('Live History'!$G$5:$G$3004,MATCH($A2409,'Live History'!$G$5:$G$3004,1)),INDEX('AH History'!$F$1:$F$18046,AH!$P$7+2404))),NA()),NA())</ns0:f>
        <ns0:v/>
      </ns0:c>
      <ns0:c r="H2409">
        <ns0:f>IFERROR(IF(AND(AH!$E$4="Bloomberg",AH!$P$10=1,ISNUMBER($A2409),$A2409&lt;=AH!$P$17),AH!$P$7-1+MATCH($A2409,INDEX('AH History'!$A$1:$A$18046,AH!$P$7):INDEX('AH History'!$A$1:$A$18046,AH!$P$7+AH!$P$8-1),0),0),0)</ns0:f>
        <ns0:v/>
      </ns0:c>
      <ns0:c r="I2409">
        <ns0:f>IF($H2409=0,0,IFERROR(IF(AND(ABS($C2409-INDEX('AH History'!$B$1:$B$18046,$H2409))&lt;=MAX(0.005,ABS(INDEX('AH History'!$B$1:$B$18046,$H2409))*0.00005),ABS($D2409-INDEX('AH History'!$C$1:$C$18046,$H2409))&lt;=MAX(0.005,ABS(INDEX('AH History'!$C$1:$C$18046,$H2409))*0.00005),ABS($E2409-INDEX('AH History'!$D$1:$D$18046,$H2409))&lt;=0.00005,$F2409=INDEX('AH History'!$E$1:$E$18046,$H2409),$G2409=INDEX('AH History'!$F$1:$F$18046,$H2409)),1,-1),-1))</ns0:f>
        <ns0:v/>
      </ns0:c>
    </ns0:row>
    <ns0:row r="2410">
      <ns0:c r="A2410" s="215">
        <ns0:f>IF(OR(AH!$P$3=0,2405+1&gt;AH!$P$11,AND(AH!$E$4&lt;&gt;"Stored",AH!$P$10&lt;&gt;1)),"",IFERROR(IF(AND(AH!$P$21=1,2405+1=AH!$P$11),TODAY(),IF(AH!$P$10=1,INDEX('Live History'!$A$5:$A$3004,AH!$P$13+2405),INDEX('AH History'!$A$1:$A$18046,AH!$P$7+2405))),""))</ns0:f>
        <ns0:v/>
      </ns0:c>
      <ns0:c r="B2410" s="219">
        <ns0:f>IFERROR(IF(AND(AH!$P$9&lt;&gt;1,$C2410&gt;0,$D2410&gt;0,$E2410&gt;0,$F2410&gt;0,$G2410&gt;0,$F2410&lt;=$A2410,$G2410&lt;=$A2410,$A2410-$F2410&lt;=10,$A2410-$G2410&lt;=5),$D2410*$E2410/$C2410-1,NA()),NA())</ns0:f>
        <ns0:v/>
      </ns0:c>
      <ns0:c r="C2410">
        <ns0:f>IFERROR(IF(ISNUMBER($A2410),IF(AND(AH!$P$10=1,AH!$P$12=1,$A2410=TODAY()),AH!$P$19,IF(AH!$P$10=1,INDEX('Live History'!$B$5:$B$3004,AH!$P$13+2405),INDEX('AH History'!$B$1:$B$18046,AH!$P$7+2405))),NA()),NA())</ns0:f>
        <ns0:v/>
      </ns0:c>
      <ns0:c r="D2410">
        <ns0:f>IFERROR(IF(ISNUMBER($A2410),IF(AND(AH!$P$10=1,AH!$P$12=1,$A2410=TODAY()),AH!$P$18,IF(AH!$P$10=1,INDEX('Live History'!$E$5:$E$3004,MATCH($A2410,'Live History'!$D$5:$D$3004,1)),INDEX('AH History'!$C$1:$C$18046,AH!$P$7+2405))),NA()),NA())</ns0:f>
        <ns0:v/>
      </ns0:c>
      <ns0:c r="E2410">
        <ns0:f>IFERROR(IF(ISNUMBER($A2410),IF(AND(AH!$P$10=1,AH!$P$12=1,$A2410=TODAY()),AH!$P$20,IF(AH!$P$10=1,INDEX('Live History'!$H$5:$H$3004,MATCH($A2410,'Live History'!$G$5:$G$3004,1)),INDEX('AH History'!$D$1:$D$18046,AH!$P$7+2405))),NA()),NA())</ns0:f>
        <ns0:v/>
      </ns0:c>
      <ns0:c r="F2410">
        <ns0:f>IFERROR(IF(ISNUMBER($A2410),IF(AND(AH!$P$10=1,AH!$P$12=1,$A2410=TODAY()),IF(AND(AH!$P$10=1,AH!$P$12=1,$A2410=TODAY()),TODAY(),NA()),IF(AH!$P$10=1,INDEX('Live History'!$D$5:$D$3004,MATCH($A2410,'Live History'!$D$5:$D$3004,1)),INDEX('AH History'!$E$1:$E$18046,AH!$P$7+2405))),NA()),NA())</ns0:f>
        <ns0:v/>
      </ns0:c>
      <ns0:c r="G2410">
        <ns0:f>IFERROR(IF(ISNUMBER($A2410),IF(AND(AH!$P$10=1,AH!$P$12=1,$A2410=TODAY()),IF(AND(AH!$P$10=1,AH!$P$12=1,$A2410=TODAY()),TODAY(),NA()),IF(AH!$P$10=1,INDEX('Live History'!$G$5:$G$3004,MATCH($A2410,'Live History'!$G$5:$G$3004,1)),INDEX('AH History'!$F$1:$F$18046,AH!$P$7+2405))),NA()),NA())</ns0:f>
        <ns0:v/>
      </ns0:c>
      <ns0:c r="H2410">
        <ns0:f>IFERROR(IF(AND(AH!$E$4="Bloomberg",AH!$P$10=1,ISNUMBER($A2410),$A2410&lt;=AH!$P$17),AH!$P$7-1+MATCH($A2410,INDEX('AH History'!$A$1:$A$18046,AH!$P$7):INDEX('AH History'!$A$1:$A$18046,AH!$P$7+AH!$P$8-1),0),0),0)</ns0:f>
        <ns0:v/>
      </ns0:c>
      <ns0:c r="I2410">
        <ns0:f>IF($H2410=0,0,IFERROR(IF(AND(ABS($C2410-INDEX('AH History'!$B$1:$B$18046,$H2410))&lt;=MAX(0.005,ABS(INDEX('AH History'!$B$1:$B$18046,$H2410))*0.00005),ABS($D2410-INDEX('AH History'!$C$1:$C$18046,$H2410))&lt;=MAX(0.005,ABS(INDEX('AH History'!$C$1:$C$18046,$H2410))*0.00005),ABS($E2410-INDEX('AH History'!$D$1:$D$18046,$H2410))&lt;=0.00005,$F2410=INDEX('AH History'!$E$1:$E$18046,$H2410),$G2410=INDEX('AH History'!$F$1:$F$18046,$H2410)),1,-1),-1))</ns0:f>
        <ns0:v/>
      </ns0:c>
    </ns0:row>
    <ns0:row r="2411">
      <ns0:c r="A2411" s="215">
        <ns0:f>IF(OR(AH!$P$3=0,2406+1&gt;AH!$P$11,AND(AH!$E$4&lt;&gt;"Stored",AH!$P$10&lt;&gt;1)),"",IFERROR(IF(AND(AH!$P$21=1,2406+1=AH!$P$11),TODAY(),IF(AH!$P$10=1,INDEX('Live History'!$A$5:$A$3004,AH!$P$13+2406),INDEX('AH History'!$A$1:$A$18046,AH!$P$7+2406))),""))</ns0:f>
        <ns0:v/>
      </ns0:c>
      <ns0:c r="B2411" s="219">
        <ns0:f>IFERROR(IF(AND(AH!$P$9&lt;&gt;1,$C2411&gt;0,$D2411&gt;0,$E2411&gt;0,$F2411&gt;0,$G2411&gt;0,$F2411&lt;=$A2411,$G2411&lt;=$A2411,$A2411-$F2411&lt;=10,$A2411-$G2411&lt;=5),$D2411*$E2411/$C2411-1,NA()),NA())</ns0:f>
        <ns0:v/>
      </ns0:c>
      <ns0:c r="C2411">
        <ns0:f>IFERROR(IF(ISNUMBER($A2411),IF(AND(AH!$P$10=1,AH!$P$12=1,$A2411=TODAY()),AH!$P$19,IF(AH!$P$10=1,INDEX('Live History'!$B$5:$B$3004,AH!$P$13+2406),INDEX('AH History'!$B$1:$B$18046,AH!$P$7+2406))),NA()),NA())</ns0:f>
        <ns0:v/>
      </ns0:c>
      <ns0:c r="D2411">
        <ns0:f>IFERROR(IF(ISNUMBER($A2411),IF(AND(AH!$P$10=1,AH!$P$12=1,$A2411=TODAY()),AH!$P$18,IF(AH!$P$10=1,INDEX('Live History'!$E$5:$E$3004,MATCH($A2411,'Live History'!$D$5:$D$3004,1)),INDEX('AH History'!$C$1:$C$18046,AH!$P$7+2406))),NA()),NA())</ns0:f>
        <ns0:v/>
      </ns0:c>
      <ns0:c r="E2411">
        <ns0:f>IFERROR(IF(ISNUMBER($A2411),IF(AND(AH!$P$10=1,AH!$P$12=1,$A2411=TODAY()),AH!$P$20,IF(AH!$P$10=1,INDEX('Live History'!$H$5:$H$3004,MATCH($A2411,'Live History'!$G$5:$G$3004,1)),INDEX('AH History'!$D$1:$D$18046,AH!$P$7+2406))),NA()),NA())</ns0:f>
        <ns0:v/>
      </ns0:c>
      <ns0:c r="F2411">
        <ns0:f>IFERROR(IF(ISNUMBER($A2411),IF(AND(AH!$P$10=1,AH!$P$12=1,$A2411=TODAY()),IF(AND(AH!$P$10=1,AH!$P$12=1,$A2411=TODAY()),TODAY(),NA()),IF(AH!$P$10=1,INDEX('Live History'!$D$5:$D$3004,MATCH($A2411,'Live History'!$D$5:$D$3004,1)),INDEX('AH History'!$E$1:$E$18046,AH!$P$7+2406))),NA()),NA())</ns0:f>
        <ns0:v/>
      </ns0:c>
      <ns0:c r="G2411">
        <ns0:f>IFERROR(IF(ISNUMBER($A2411),IF(AND(AH!$P$10=1,AH!$P$12=1,$A2411=TODAY()),IF(AND(AH!$P$10=1,AH!$P$12=1,$A2411=TODAY()),TODAY(),NA()),IF(AH!$P$10=1,INDEX('Live History'!$G$5:$G$3004,MATCH($A2411,'Live History'!$G$5:$G$3004,1)),INDEX('AH History'!$F$1:$F$18046,AH!$P$7+2406))),NA()),NA())</ns0:f>
        <ns0:v/>
      </ns0:c>
      <ns0:c r="H2411">
        <ns0:f>IFERROR(IF(AND(AH!$E$4="Bloomberg",AH!$P$10=1,ISNUMBER($A2411),$A2411&lt;=AH!$P$17),AH!$P$7-1+MATCH($A2411,INDEX('AH History'!$A$1:$A$18046,AH!$P$7):INDEX('AH History'!$A$1:$A$18046,AH!$P$7+AH!$P$8-1),0),0),0)</ns0:f>
        <ns0:v/>
      </ns0:c>
      <ns0:c r="I2411">
        <ns0:f>IF($H2411=0,0,IFERROR(IF(AND(ABS($C2411-INDEX('AH History'!$B$1:$B$18046,$H2411))&lt;=MAX(0.005,ABS(INDEX('AH History'!$B$1:$B$18046,$H2411))*0.00005),ABS($D2411-INDEX('AH History'!$C$1:$C$18046,$H2411))&lt;=MAX(0.005,ABS(INDEX('AH History'!$C$1:$C$18046,$H2411))*0.00005),ABS($E2411-INDEX('AH History'!$D$1:$D$18046,$H2411))&lt;=0.00005,$F2411=INDEX('AH History'!$E$1:$E$18046,$H2411),$G2411=INDEX('AH History'!$F$1:$F$18046,$H2411)),1,-1),-1))</ns0:f>
        <ns0:v/>
      </ns0:c>
    </ns0:row>
    <ns0:row r="2412">
      <ns0:c r="A2412" s="215">
        <ns0:f>IF(OR(AH!$P$3=0,2407+1&gt;AH!$P$11,AND(AH!$E$4&lt;&gt;"Stored",AH!$P$10&lt;&gt;1)),"",IFERROR(IF(AND(AH!$P$21=1,2407+1=AH!$P$11),TODAY(),IF(AH!$P$10=1,INDEX('Live History'!$A$5:$A$3004,AH!$P$13+2407),INDEX('AH History'!$A$1:$A$18046,AH!$P$7+2407))),""))</ns0:f>
        <ns0:v/>
      </ns0:c>
      <ns0:c r="B2412" s="219">
        <ns0:f>IFERROR(IF(AND(AH!$P$9&lt;&gt;1,$C2412&gt;0,$D2412&gt;0,$E2412&gt;0,$F2412&gt;0,$G2412&gt;0,$F2412&lt;=$A2412,$G2412&lt;=$A2412,$A2412-$F2412&lt;=10,$A2412-$G2412&lt;=5),$D2412*$E2412/$C2412-1,NA()),NA())</ns0:f>
        <ns0:v/>
      </ns0:c>
      <ns0:c r="C2412">
        <ns0:f>IFERROR(IF(ISNUMBER($A2412),IF(AND(AH!$P$10=1,AH!$P$12=1,$A2412=TODAY()),AH!$P$19,IF(AH!$P$10=1,INDEX('Live History'!$B$5:$B$3004,AH!$P$13+2407),INDEX('AH History'!$B$1:$B$18046,AH!$P$7+2407))),NA()),NA())</ns0:f>
        <ns0:v/>
      </ns0:c>
      <ns0:c r="D2412">
        <ns0:f>IFERROR(IF(ISNUMBER($A2412),IF(AND(AH!$P$10=1,AH!$P$12=1,$A2412=TODAY()),AH!$P$18,IF(AH!$P$10=1,INDEX('Live History'!$E$5:$E$3004,MATCH($A2412,'Live History'!$D$5:$D$3004,1)),INDEX('AH History'!$C$1:$C$18046,AH!$P$7+2407))),NA()),NA())</ns0:f>
        <ns0:v/>
      </ns0:c>
      <ns0:c r="E2412">
        <ns0:f>IFERROR(IF(ISNUMBER($A2412),IF(AND(AH!$P$10=1,AH!$P$12=1,$A2412=TODAY()),AH!$P$20,IF(AH!$P$10=1,INDEX('Live History'!$H$5:$H$3004,MATCH($A2412,'Live History'!$G$5:$G$3004,1)),INDEX('AH History'!$D$1:$D$18046,AH!$P$7+2407))),NA()),NA())</ns0:f>
        <ns0:v/>
      </ns0:c>
      <ns0:c r="F2412">
        <ns0:f>IFERROR(IF(ISNUMBER($A2412),IF(AND(AH!$P$10=1,AH!$P$12=1,$A2412=TODAY()),IF(AND(AH!$P$10=1,AH!$P$12=1,$A2412=TODAY()),TODAY(),NA()),IF(AH!$P$10=1,INDEX('Live History'!$D$5:$D$3004,MATCH($A2412,'Live History'!$D$5:$D$3004,1)),INDEX('AH History'!$E$1:$E$18046,AH!$P$7+2407))),NA()),NA())</ns0:f>
        <ns0:v/>
      </ns0:c>
      <ns0:c r="G2412">
        <ns0:f>IFERROR(IF(ISNUMBER($A2412),IF(AND(AH!$P$10=1,AH!$P$12=1,$A2412=TODAY()),IF(AND(AH!$P$10=1,AH!$P$12=1,$A2412=TODAY()),TODAY(),NA()),IF(AH!$P$10=1,INDEX('Live History'!$G$5:$G$3004,MATCH($A2412,'Live History'!$G$5:$G$3004,1)),INDEX('AH History'!$F$1:$F$18046,AH!$P$7+2407))),NA()),NA())</ns0:f>
        <ns0:v/>
      </ns0:c>
      <ns0:c r="H2412">
        <ns0:f>IFERROR(IF(AND(AH!$E$4="Bloomberg",AH!$P$10=1,ISNUMBER($A2412),$A2412&lt;=AH!$P$17),AH!$P$7-1+MATCH($A2412,INDEX('AH History'!$A$1:$A$18046,AH!$P$7):INDEX('AH History'!$A$1:$A$18046,AH!$P$7+AH!$P$8-1),0),0),0)</ns0:f>
        <ns0:v/>
      </ns0:c>
      <ns0:c r="I2412">
        <ns0:f>IF($H2412=0,0,IFERROR(IF(AND(ABS($C2412-INDEX('AH History'!$B$1:$B$18046,$H2412))&lt;=MAX(0.005,ABS(INDEX('AH History'!$B$1:$B$18046,$H2412))*0.00005),ABS($D2412-INDEX('AH History'!$C$1:$C$18046,$H2412))&lt;=MAX(0.005,ABS(INDEX('AH History'!$C$1:$C$18046,$H2412))*0.00005),ABS($E2412-INDEX('AH History'!$D$1:$D$18046,$H2412))&lt;=0.00005,$F2412=INDEX('AH History'!$E$1:$E$18046,$H2412),$G2412=INDEX('AH History'!$F$1:$F$18046,$H2412)),1,-1),-1))</ns0:f>
        <ns0:v/>
      </ns0:c>
    </ns0:row>
    <ns0:row r="2413">
      <ns0:c r="A2413" s="215">
        <ns0:f>IF(OR(AH!$P$3=0,2408+1&gt;AH!$P$11,AND(AH!$E$4&lt;&gt;"Stored",AH!$P$10&lt;&gt;1)),"",IFERROR(IF(AND(AH!$P$21=1,2408+1=AH!$P$11),TODAY(),IF(AH!$P$10=1,INDEX('Live History'!$A$5:$A$3004,AH!$P$13+2408),INDEX('AH History'!$A$1:$A$18046,AH!$P$7+2408))),""))</ns0:f>
        <ns0:v/>
      </ns0:c>
      <ns0:c r="B2413" s="219">
        <ns0:f>IFERROR(IF(AND(AH!$P$9&lt;&gt;1,$C2413&gt;0,$D2413&gt;0,$E2413&gt;0,$F2413&gt;0,$G2413&gt;0,$F2413&lt;=$A2413,$G2413&lt;=$A2413,$A2413-$F2413&lt;=10,$A2413-$G2413&lt;=5),$D2413*$E2413/$C2413-1,NA()),NA())</ns0:f>
        <ns0:v/>
      </ns0:c>
      <ns0:c r="C2413">
        <ns0:f>IFERROR(IF(ISNUMBER($A2413),IF(AND(AH!$P$10=1,AH!$P$12=1,$A2413=TODAY()),AH!$P$19,IF(AH!$P$10=1,INDEX('Live History'!$B$5:$B$3004,AH!$P$13+2408),INDEX('AH History'!$B$1:$B$18046,AH!$P$7+2408))),NA()),NA())</ns0:f>
        <ns0:v/>
      </ns0:c>
      <ns0:c r="D2413">
        <ns0:f>IFERROR(IF(ISNUMBER($A2413),IF(AND(AH!$P$10=1,AH!$P$12=1,$A2413=TODAY()),AH!$P$18,IF(AH!$P$10=1,INDEX('Live History'!$E$5:$E$3004,MATCH($A2413,'Live History'!$D$5:$D$3004,1)),INDEX('AH History'!$C$1:$C$18046,AH!$P$7+2408))),NA()),NA())</ns0:f>
        <ns0:v/>
      </ns0:c>
      <ns0:c r="E2413">
        <ns0:f>IFERROR(IF(ISNUMBER($A2413),IF(AND(AH!$P$10=1,AH!$P$12=1,$A2413=TODAY()),AH!$P$20,IF(AH!$P$10=1,INDEX('Live History'!$H$5:$H$3004,MATCH($A2413,'Live History'!$G$5:$G$3004,1)),INDEX('AH History'!$D$1:$D$18046,AH!$P$7+2408))),NA()),NA())</ns0:f>
        <ns0:v/>
      </ns0:c>
      <ns0:c r="F2413">
        <ns0:f>IFERROR(IF(ISNUMBER($A2413),IF(AND(AH!$P$10=1,AH!$P$12=1,$A2413=TODAY()),IF(AND(AH!$P$10=1,AH!$P$12=1,$A2413=TODAY()),TODAY(),NA()),IF(AH!$P$10=1,INDEX('Live History'!$D$5:$D$3004,MATCH($A2413,'Live History'!$D$5:$D$3004,1)),INDEX('AH History'!$E$1:$E$18046,AH!$P$7+2408))),NA()),NA())</ns0:f>
        <ns0:v/>
      </ns0:c>
      <ns0:c r="G2413">
        <ns0:f>IFERROR(IF(ISNUMBER($A2413),IF(AND(AH!$P$10=1,AH!$P$12=1,$A2413=TODAY()),IF(AND(AH!$P$10=1,AH!$P$12=1,$A2413=TODAY()),TODAY(),NA()),IF(AH!$P$10=1,INDEX('Live History'!$G$5:$G$3004,MATCH($A2413,'Live History'!$G$5:$G$3004,1)),INDEX('AH History'!$F$1:$F$18046,AH!$P$7+2408))),NA()),NA())</ns0:f>
        <ns0:v/>
      </ns0:c>
      <ns0:c r="H2413">
        <ns0:f>IFERROR(IF(AND(AH!$E$4="Bloomberg",AH!$P$10=1,ISNUMBER($A2413),$A2413&lt;=AH!$P$17),AH!$P$7-1+MATCH($A2413,INDEX('AH History'!$A$1:$A$18046,AH!$P$7):INDEX('AH History'!$A$1:$A$18046,AH!$P$7+AH!$P$8-1),0),0),0)</ns0:f>
        <ns0:v/>
      </ns0:c>
      <ns0:c r="I2413">
        <ns0:f>IF($H2413=0,0,IFERROR(IF(AND(ABS($C2413-INDEX('AH History'!$B$1:$B$18046,$H2413))&lt;=MAX(0.005,ABS(INDEX('AH History'!$B$1:$B$18046,$H2413))*0.00005),ABS($D2413-INDEX('AH History'!$C$1:$C$18046,$H2413))&lt;=MAX(0.005,ABS(INDEX('AH History'!$C$1:$C$18046,$H2413))*0.00005),ABS($E2413-INDEX('AH History'!$D$1:$D$18046,$H2413))&lt;=0.00005,$F2413=INDEX('AH History'!$E$1:$E$18046,$H2413),$G2413=INDEX('AH History'!$F$1:$F$18046,$H2413)),1,-1),-1))</ns0:f>
        <ns0:v/>
      </ns0:c>
    </ns0:row>
    <ns0:row r="2414">
      <ns0:c r="A2414" s="215">
        <ns0:f>IF(OR(AH!$P$3=0,2409+1&gt;AH!$P$11,AND(AH!$E$4&lt;&gt;"Stored",AH!$P$10&lt;&gt;1)),"",IFERROR(IF(AND(AH!$P$21=1,2409+1=AH!$P$11),TODAY(),IF(AH!$P$10=1,INDEX('Live History'!$A$5:$A$3004,AH!$P$13+2409),INDEX('AH History'!$A$1:$A$18046,AH!$P$7+2409))),""))</ns0:f>
        <ns0:v/>
      </ns0:c>
      <ns0:c r="B2414" s="219">
        <ns0:f>IFERROR(IF(AND(AH!$P$9&lt;&gt;1,$C2414&gt;0,$D2414&gt;0,$E2414&gt;0,$F2414&gt;0,$G2414&gt;0,$F2414&lt;=$A2414,$G2414&lt;=$A2414,$A2414-$F2414&lt;=10,$A2414-$G2414&lt;=5),$D2414*$E2414/$C2414-1,NA()),NA())</ns0:f>
        <ns0:v/>
      </ns0:c>
      <ns0:c r="C2414">
        <ns0:f>IFERROR(IF(ISNUMBER($A2414),IF(AND(AH!$P$10=1,AH!$P$12=1,$A2414=TODAY()),AH!$P$19,IF(AH!$P$10=1,INDEX('Live History'!$B$5:$B$3004,AH!$P$13+2409),INDEX('AH History'!$B$1:$B$18046,AH!$P$7+2409))),NA()),NA())</ns0:f>
        <ns0:v/>
      </ns0:c>
      <ns0:c r="D2414">
        <ns0:f>IFERROR(IF(ISNUMBER($A2414),IF(AND(AH!$P$10=1,AH!$P$12=1,$A2414=TODAY()),AH!$P$18,IF(AH!$P$10=1,INDEX('Live History'!$E$5:$E$3004,MATCH($A2414,'Live History'!$D$5:$D$3004,1)),INDEX('AH History'!$C$1:$C$18046,AH!$P$7+2409))),NA()),NA())</ns0:f>
        <ns0:v/>
      </ns0:c>
      <ns0:c r="E2414">
        <ns0:f>IFERROR(IF(ISNUMBER($A2414),IF(AND(AH!$P$10=1,AH!$P$12=1,$A2414=TODAY()),AH!$P$20,IF(AH!$P$10=1,INDEX('Live History'!$H$5:$H$3004,MATCH($A2414,'Live History'!$G$5:$G$3004,1)),INDEX('AH History'!$D$1:$D$18046,AH!$P$7+2409))),NA()),NA())</ns0:f>
        <ns0:v/>
      </ns0:c>
      <ns0:c r="F2414">
        <ns0:f>IFERROR(IF(ISNUMBER($A2414),IF(AND(AH!$P$10=1,AH!$P$12=1,$A2414=TODAY()),IF(AND(AH!$P$10=1,AH!$P$12=1,$A2414=TODAY()),TODAY(),NA()),IF(AH!$P$10=1,INDEX('Live History'!$D$5:$D$3004,MATCH($A2414,'Live History'!$D$5:$D$3004,1)),INDEX('AH History'!$E$1:$E$18046,AH!$P$7+2409))),NA()),NA())</ns0:f>
        <ns0:v/>
      </ns0:c>
      <ns0:c r="G2414">
        <ns0:f>IFERROR(IF(ISNUMBER($A2414),IF(AND(AH!$P$10=1,AH!$P$12=1,$A2414=TODAY()),IF(AND(AH!$P$10=1,AH!$P$12=1,$A2414=TODAY()),TODAY(),NA()),IF(AH!$P$10=1,INDEX('Live History'!$G$5:$G$3004,MATCH($A2414,'Live History'!$G$5:$G$3004,1)),INDEX('AH History'!$F$1:$F$18046,AH!$P$7+2409))),NA()),NA())</ns0:f>
        <ns0:v/>
      </ns0:c>
      <ns0:c r="H2414">
        <ns0:f>IFERROR(IF(AND(AH!$E$4="Bloomberg",AH!$P$10=1,ISNUMBER($A2414),$A2414&lt;=AH!$P$17),AH!$P$7-1+MATCH($A2414,INDEX('AH History'!$A$1:$A$18046,AH!$P$7):INDEX('AH History'!$A$1:$A$18046,AH!$P$7+AH!$P$8-1),0),0),0)</ns0:f>
        <ns0:v/>
      </ns0:c>
      <ns0:c r="I2414">
        <ns0:f>IF($H2414=0,0,IFERROR(IF(AND(ABS($C2414-INDEX('AH History'!$B$1:$B$18046,$H2414))&lt;=MAX(0.005,ABS(INDEX('AH History'!$B$1:$B$18046,$H2414))*0.00005),ABS($D2414-INDEX('AH History'!$C$1:$C$18046,$H2414))&lt;=MAX(0.005,ABS(INDEX('AH History'!$C$1:$C$18046,$H2414))*0.00005),ABS($E2414-INDEX('AH History'!$D$1:$D$18046,$H2414))&lt;=0.00005,$F2414=INDEX('AH History'!$E$1:$E$18046,$H2414),$G2414=INDEX('AH History'!$F$1:$F$18046,$H2414)),1,-1),-1))</ns0:f>
        <ns0:v/>
      </ns0:c>
    </ns0:row>
    <ns0:row r="2415">
      <ns0:c r="A2415" s="215">
        <ns0:f>IF(OR(AH!$P$3=0,2410+1&gt;AH!$P$11,AND(AH!$E$4&lt;&gt;"Stored",AH!$P$10&lt;&gt;1)),"",IFERROR(IF(AND(AH!$P$21=1,2410+1=AH!$P$11),TODAY(),IF(AH!$P$10=1,INDEX('Live History'!$A$5:$A$3004,AH!$P$13+2410),INDEX('AH History'!$A$1:$A$18046,AH!$P$7+2410))),""))</ns0:f>
        <ns0:v/>
      </ns0:c>
      <ns0:c r="B2415" s="219">
        <ns0:f>IFERROR(IF(AND(AH!$P$9&lt;&gt;1,$C2415&gt;0,$D2415&gt;0,$E2415&gt;0,$F2415&gt;0,$G2415&gt;0,$F2415&lt;=$A2415,$G2415&lt;=$A2415,$A2415-$F2415&lt;=10,$A2415-$G2415&lt;=5),$D2415*$E2415/$C2415-1,NA()),NA())</ns0:f>
        <ns0:v/>
      </ns0:c>
      <ns0:c r="C2415">
        <ns0:f>IFERROR(IF(ISNUMBER($A2415),IF(AND(AH!$P$10=1,AH!$P$12=1,$A2415=TODAY()),AH!$P$19,IF(AH!$P$10=1,INDEX('Live History'!$B$5:$B$3004,AH!$P$13+2410),INDEX('AH History'!$B$1:$B$18046,AH!$P$7+2410))),NA()),NA())</ns0:f>
        <ns0:v/>
      </ns0:c>
      <ns0:c r="D2415">
        <ns0:f>IFERROR(IF(ISNUMBER($A2415),IF(AND(AH!$P$10=1,AH!$P$12=1,$A2415=TODAY()),AH!$P$18,IF(AH!$P$10=1,INDEX('Live History'!$E$5:$E$3004,MATCH($A2415,'Live History'!$D$5:$D$3004,1)),INDEX('AH History'!$C$1:$C$18046,AH!$P$7+2410))),NA()),NA())</ns0:f>
        <ns0:v/>
      </ns0:c>
      <ns0:c r="E2415">
        <ns0:f>IFERROR(IF(ISNUMBER($A2415),IF(AND(AH!$P$10=1,AH!$P$12=1,$A2415=TODAY()),AH!$P$20,IF(AH!$P$10=1,INDEX('Live History'!$H$5:$H$3004,MATCH($A2415,'Live History'!$G$5:$G$3004,1)),INDEX('AH History'!$D$1:$D$18046,AH!$P$7+2410))),NA()),NA())</ns0:f>
        <ns0:v/>
      </ns0:c>
      <ns0:c r="F2415">
        <ns0:f>IFERROR(IF(ISNUMBER($A2415),IF(AND(AH!$P$10=1,AH!$P$12=1,$A2415=TODAY()),IF(AND(AH!$P$10=1,AH!$P$12=1,$A2415=TODAY()),TODAY(),NA()),IF(AH!$P$10=1,INDEX('Live History'!$D$5:$D$3004,MATCH($A2415,'Live History'!$D$5:$D$3004,1)),INDEX('AH History'!$E$1:$E$18046,AH!$P$7+2410))),NA()),NA())</ns0:f>
        <ns0:v/>
      </ns0:c>
      <ns0:c r="G2415">
        <ns0:f>IFERROR(IF(ISNUMBER($A2415),IF(AND(AH!$P$10=1,AH!$P$12=1,$A2415=TODAY()),IF(AND(AH!$P$10=1,AH!$P$12=1,$A2415=TODAY()),TODAY(),NA()),IF(AH!$P$10=1,INDEX('Live History'!$G$5:$G$3004,MATCH($A2415,'Live History'!$G$5:$G$3004,1)),INDEX('AH History'!$F$1:$F$18046,AH!$P$7+2410))),NA()),NA())</ns0:f>
        <ns0:v/>
      </ns0:c>
      <ns0:c r="H2415">
        <ns0:f>IFERROR(IF(AND(AH!$E$4="Bloomberg",AH!$P$10=1,ISNUMBER($A2415),$A2415&lt;=AH!$P$17),AH!$P$7-1+MATCH($A2415,INDEX('AH History'!$A$1:$A$18046,AH!$P$7):INDEX('AH History'!$A$1:$A$18046,AH!$P$7+AH!$P$8-1),0),0),0)</ns0:f>
        <ns0:v/>
      </ns0:c>
      <ns0:c r="I2415">
        <ns0:f>IF($H2415=0,0,IFERROR(IF(AND(ABS($C2415-INDEX('AH History'!$B$1:$B$18046,$H2415))&lt;=MAX(0.005,ABS(INDEX('AH History'!$B$1:$B$18046,$H2415))*0.00005),ABS($D2415-INDEX('AH History'!$C$1:$C$18046,$H2415))&lt;=MAX(0.005,ABS(INDEX('AH History'!$C$1:$C$18046,$H2415))*0.00005),ABS($E2415-INDEX('AH History'!$D$1:$D$18046,$H2415))&lt;=0.00005,$F2415=INDEX('AH History'!$E$1:$E$18046,$H2415),$G2415=INDEX('AH History'!$F$1:$F$18046,$H2415)),1,-1),-1))</ns0:f>
        <ns0:v/>
      </ns0:c>
    </ns0:row>
    <ns0:row r="2416">
      <ns0:c r="A2416" s="215">
        <ns0:f>IF(OR(AH!$P$3=0,2411+1&gt;AH!$P$11,AND(AH!$E$4&lt;&gt;"Stored",AH!$P$10&lt;&gt;1)),"",IFERROR(IF(AND(AH!$P$21=1,2411+1=AH!$P$11),TODAY(),IF(AH!$P$10=1,INDEX('Live History'!$A$5:$A$3004,AH!$P$13+2411),INDEX('AH History'!$A$1:$A$18046,AH!$P$7+2411))),""))</ns0:f>
        <ns0:v/>
      </ns0:c>
      <ns0:c r="B2416" s="219">
        <ns0:f>IFERROR(IF(AND(AH!$P$9&lt;&gt;1,$C2416&gt;0,$D2416&gt;0,$E2416&gt;0,$F2416&gt;0,$G2416&gt;0,$F2416&lt;=$A2416,$G2416&lt;=$A2416,$A2416-$F2416&lt;=10,$A2416-$G2416&lt;=5),$D2416*$E2416/$C2416-1,NA()),NA())</ns0:f>
        <ns0:v/>
      </ns0:c>
      <ns0:c r="C2416">
        <ns0:f>IFERROR(IF(ISNUMBER($A2416),IF(AND(AH!$P$10=1,AH!$P$12=1,$A2416=TODAY()),AH!$P$19,IF(AH!$P$10=1,INDEX('Live History'!$B$5:$B$3004,AH!$P$13+2411),INDEX('AH History'!$B$1:$B$18046,AH!$P$7+2411))),NA()),NA())</ns0:f>
        <ns0:v/>
      </ns0:c>
      <ns0:c r="D2416">
        <ns0:f>IFERROR(IF(ISNUMBER($A2416),IF(AND(AH!$P$10=1,AH!$P$12=1,$A2416=TODAY()),AH!$P$18,IF(AH!$P$10=1,INDEX('Live History'!$E$5:$E$3004,MATCH($A2416,'Live History'!$D$5:$D$3004,1)),INDEX('AH History'!$C$1:$C$18046,AH!$P$7+2411))),NA()),NA())</ns0:f>
        <ns0:v/>
      </ns0:c>
      <ns0:c r="E2416">
        <ns0:f>IFERROR(IF(ISNUMBER($A2416),IF(AND(AH!$P$10=1,AH!$P$12=1,$A2416=TODAY()),AH!$P$20,IF(AH!$P$10=1,INDEX('Live History'!$H$5:$H$3004,MATCH($A2416,'Live History'!$G$5:$G$3004,1)),INDEX('AH History'!$D$1:$D$18046,AH!$P$7+2411))),NA()),NA())</ns0:f>
        <ns0:v/>
      </ns0:c>
      <ns0:c r="F2416">
        <ns0:f>IFERROR(IF(ISNUMBER($A2416),IF(AND(AH!$P$10=1,AH!$P$12=1,$A2416=TODAY()),IF(AND(AH!$P$10=1,AH!$P$12=1,$A2416=TODAY()),TODAY(),NA()),IF(AH!$P$10=1,INDEX('Live History'!$D$5:$D$3004,MATCH($A2416,'Live History'!$D$5:$D$3004,1)),INDEX('AH History'!$E$1:$E$18046,AH!$P$7+2411))),NA()),NA())</ns0:f>
        <ns0:v/>
      </ns0:c>
      <ns0:c r="G2416">
        <ns0:f>IFERROR(IF(ISNUMBER($A2416),IF(AND(AH!$P$10=1,AH!$P$12=1,$A2416=TODAY()),IF(AND(AH!$P$10=1,AH!$P$12=1,$A2416=TODAY()),TODAY(),NA()),IF(AH!$P$10=1,INDEX('Live History'!$G$5:$G$3004,MATCH($A2416,'Live History'!$G$5:$G$3004,1)),INDEX('AH History'!$F$1:$F$18046,AH!$P$7+2411))),NA()),NA())</ns0:f>
        <ns0:v/>
      </ns0:c>
      <ns0:c r="H2416">
        <ns0:f>IFERROR(IF(AND(AH!$E$4="Bloomberg",AH!$P$10=1,ISNUMBER($A2416),$A2416&lt;=AH!$P$17),AH!$P$7-1+MATCH($A2416,INDEX('AH History'!$A$1:$A$18046,AH!$P$7):INDEX('AH History'!$A$1:$A$18046,AH!$P$7+AH!$P$8-1),0),0),0)</ns0:f>
        <ns0:v/>
      </ns0:c>
      <ns0:c r="I2416">
        <ns0:f>IF($H2416=0,0,IFERROR(IF(AND(ABS($C2416-INDEX('AH History'!$B$1:$B$18046,$H2416))&lt;=MAX(0.005,ABS(INDEX('AH History'!$B$1:$B$18046,$H2416))*0.00005),ABS($D2416-INDEX('AH History'!$C$1:$C$18046,$H2416))&lt;=MAX(0.005,ABS(INDEX('AH History'!$C$1:$C$18046,$H2416))*0.00005),ABS($E2416-INDEX('AH History'!$D$1:$D$18046,$H2416))&lt;=0.00005,$F2416=INDEX('AH History'!$E$1:$E$18046,$H2416),$G2416=INDEX('AH History'!$F$1:$F$18046,$H2416)),1,-1),-1))</ns0:f>
        <ns0:v/>
      </ns0:c>
    </ns0:row>
    <ns0:row r="2417">
      <ns0:c r="A2417" s="215">
        <ns0:f>IF(OR(AH!$P$3=0,2412+1&gt;AH!$P$11,AND(AH!$E$4&lt;&gt;"Stored",AH!$P$10&lt;&gt;1)),"",IFERROR(IF(AND(AH!$P$21=1,2412+1=AH!$P$11),TODAY(),IF(AH!$P$10=1,INDEX('Live History'!$A$5:$A$3004,AH!$P$13+2412),INDEX('AH History'!$A$1:$A$18046,AH!$P$7+2412))),""))</ns0:f>
        <ns0:v/>
      </ns0:c>
      <ns0:c r="B2417" s="219">
        <ns0:f>IFERROR(IF(AND(AH!$P$9&lt;&gt;1,$C2417&gt;0,$D2417&gt;0,$E2417&gt;0,$F2417&gt;0,$G2417&gt;0,$F2417&lt;=$A2417,$G2417&lt;=$A2417,$A2417-$F2417&lt;=10,$A2417-$G2417&lt;=5),$D2417*$E2417/$C2417-1,NA()),NA())</ns0:f>
        <ns0:v/>
      </ns0:c>
      <ns0:c r="C2417">
        <ns0:f>IFERROR(IF(ISNUMBER($A2417),IF(AND(AH!$P$10=1,AH!$P$12=1,$A2417=TODAY()),AH!$P$19,IF(AH!$P$10=1,INDEX('Live History'!$B$5:$B$3004,AH!$P$13+2412),INDEX('AH History'!$B$1:$B$18046,AH!$P$7+2412))),NA()),NA())</ns0:f>
        <ns0:v/>
      </ns0:c>
      <ns0:c r="D2417">
        <ns0:f>IFERROR(IF(ISNUMBER($A2417),IF(AND(AH!$P$10=1,AH!$P$12=1,$A2417=TODAY()),AH!$P$18,IF(AH!$P$10=1,INDEX('Live History'!$E$5:$E$3004,MATCH($A2417,'Live History'!$D$5:$D$3004,1)),INDEX('AH History'!$C$1:$C$18046,AH!$P$7+2412))),NA()),NA())</ns0:f>
        <ns0:v/>
      </ns0:c>
      <ns0:c r="E2417">
        <ns0:f>IFERROR(IF(ISNUMBER($A2417),IF(AND(AH!$P$10=1,AH!$P$12=1,$A2417=TODAY()),AH!$P$20,IF(AH!$P$10=1,INDEX('Live History'!$H$5:$H$3004,MATCH($A2417,'Live History'!$G$5:$G$3004,1)),INDEX('AH History'!$D$1:$D$18046,AH!$P$7+2412))),NA()),NA())</ns0:f>
        <ns0:v/>
      </ns0:c>
      <ns0:c r="F2417">
        <ns0:f>IFERROR(IF(ISNUMBER($A2417),IF(AND(AH!$P$10=1,AH!$P$12=1,$A2417=TODAY()),IF(AND(AH!$P$10=1,AH!$P$12=1,$A2417=TODAY()),TODAY(),NA()),IF(AH!$P$10=1,INDEX('Live History'!$D$5:$D$3004,MATCH($A2417,'Live History'!$D$5:$D$3004,1)),INDEX('AH History'!$E$1:$E$18046,AH!$P$7+2412))),NA()),NA())</ns0:f>
        <ns0:v/>
      </ns0:c>
      <ns0:c r="G2417">
        <ns0:f>IFERROR(IF(ISNUMBER($A2417),IF(AND(AH!$P$10=1,AH!$P$12=1,$A2417=TODAY()),IF(AND(AH!$P$10=1,AH!$P$12=1,$A2417=TODAY()),TODAY(),NA()),IF(AH!$P$10=1,INDEX('Live History'!$G$5:$G$3004,MATCH($A2417,'Live History'!$G$5:$G$3004,1)),INDEX('AH History'!$F$1:$F$18046,AH!$P$7+2412))),NA()),NA())</ns0:f>
        <ns0:v/>
      </ns0:c>
      <ns0:c r="H2417">
        <ns0:f>IFERROR(IF(AND(AH!$E$4="Bloomberg",AH!$P$10=1,ISNUMBER($A2417),$A2417&lt;=AH!$P$17),AH!$P$7-1+MATCH($A2417,INDEX('AH History'!$A$1:$A$18046,AH!$P$7):INDEX('AH History'!$A$1:$A$18046,AH!$P$7+AH!$P$8-1),0),0),0)</ns0:f>
        <ns0:v/>
      </ns0:c>
      <ns0:c r="I2417">
        <ns0:f>IF($H2417=0,0,IFERROR(IF(AND(ABS($C2417-INDEX('AH History'!$B$1:$B$18046,$H2417))&lt;=MAX(0.005,ABS(INDEX('AH History'!$B$1:$B$18046,$H2417))*0.00005),ABS($D2417-INDEX('AH History'!$C$1:$C$18046,$H2417))&lt;=MAX(0.005,ABS(INDEX('AH History'!$C$1:$C$18046,$H2417))*0.00005),ABS($E2417-INDEX('AH History'!$D$1:$D$18046,$H2417))&lt;=0.00005,$F2417=INDEX('AH History'!$E$1:$E$18046,$H2417),$G2417=INDEX('AH History'!$F$1:$F$18046,$H2417)),1,-1),-1))</ns0:f>
        <ns0:v/>
      </ns0:c>
    </ns0:row>
    <ns0:row r="2418">
      <ns0:c r="A2418" s="215">
        <ns0:f>IF(OR(AH!$P$3=0,2413+1&gt;AH!$P$11,AND(AH!$E$4&lt;&gt;"Stored",AH!$P$10&lt;&gt;1)),"",IFERROR(IF(AND(AH!$P$21=1,2413+1=AH!$P$11),TODAY(),IF(AH!$P$10=1,INDEX('Live History'!$A$5:$A$3004,AH!$P$13+2413),INDEX('AH History'!$A$1:$A$18046,AH!$P$7+2413))),""))</ns0:f>
        <ns0:v/>
      </ns0:c>
      <ns0:c r="B2418" s="219">
        <ns0:f>IFERROR(IF(AND(AH!$P$9&lt;&gt;1,$C2418&gt;0,$D2418&gt;0,$E2418&gt;0,$F2418&gt;0,$G2418&gt;0,$F2418&lt;=$A2418,$G2418&lt;=$A2418,$A2418-$F2418&lt;=10,$A2418-$G2418&lt;=5),$D2418*$E2418/$C2418-1,NA()),NA())</ns0:f>
        <ns0:v/>
      </ns0:c>
      <ns0:c r="C2418">
        <ns0:f>IFERROR(IF(ISNUMBER($A2418),IF(AND(AH!$P$10=1,AH!$P$12=1,$A2418=TODAY()),AH!$P$19,IF(AH!$P$10=1,INDEX('Live History'!$B$5:$B$3004,AH!$P$13+2413),INDEX('AH History'!$B$1:$B$18046,AH!$P$7+2413))),NA()),NA())</ns0:f>
        <ns0:v/>
      </ns0:c>
      <ns0:c r="D2418">
        <ns0:f>IFERROR(IF(ISNUMBER($A2418),IF(AND(AH!$P$10=1,AH!$P$12=1,$A2418=TODAY()),AH!$P$18,IF(AH!$P$10=1,INDEX('Live History'!$E$5:$E$3004,MATCH($A2418,'Live History'!$D$5:$D$3004,1)),INDEX('AH History'!$C$1:$C$18046,AH!$P$7+2413))),NA()),NA())</ns0:f>
        <ns0:v/>
      </ns0:c>
      <ns0:c r="E2418">
        <ns0:f>IFERROR(IF(ISNUMBER($A2418),IF(AND(AH!$P$10=1,AH!$P$12=1,$A2418=TODAY()),AH!$P$20,IF(AH!$P$10=1,INDEX('Live History'!$H$5:$H$3004,MATCH($A2418,'Live History'!$G$5:$G$3004,1)),INDEX('AH History'!$D$1:$D$18046,AH!$P$7+2413))),NA()),NA())</ns0:f>
        <ns0:v/>
      </ns0:c>
      <ns0:c r="F2418">
        <ns0:f>IFERROR(IF(ISNUMBER($A2418),IF(AND(AH!$P$10=1,AH!$P$12=1,$A2418=TODAY()),IF(AND(AH!$P$10=1,AH!$P$12=1,$A2418=TODAY()),TODAY(),NA()),IF(AH!$P$10=1,INDEX('Live History'!$D$5:$D$3004,MATCH($A2418,'Live History'!$D$5:$D$3004,1)),INDEX('AH History'!$E$1:$E$18046,AH!$P$7+2413))),NA()),NA())</ns0:f>
        <ns0:v/>
      </ns0:c>
      <ns0:c r="G2418">
        <ns0:f>IFERROR(IF(ISNUMBER($A2418),IF(AND(AH!$P$10=1,AH!$P$12=1,$A2418=TODAY()),IF(AND(AH!$P$10=1,AH!$P$12=1,$A2418=TODAY()),TODAY(),NA()),IF(AH!$P$10=1,INDEX('Live History'!$G$5:$G$3004,MATCH($A2418,'Live History'!$G$5:$G$3004,1)),INDEX('AH History'!$F$1:$F$18046,AH!$P$7+2413))),NA()),NA())</ns0:f>
        <ns0:v/>
      </ns0:c>
      <ns0:c r="H2418">
        <ns0:f>IFERROR(IF(AND(AH!$E$4="Bloomberg",AH!$P$10=1,ISNUMBER($A2418),$A2418&lt;=AH!$P$17),AH!$P$7-1+MATCH($A2418,INDEX('AH History'!$A$1:$A$18046,AH!$P$7):INDEX('AH History'!$A$1:$A$18046,AH!$P$7+AH!$P$8-1),0),0),0)</ns0:f>
        <ns0:v/>
      </ns0:c>
      <ns0:c r="I2418">
        <ns0:f>IF($H2418=0,0,IFERROR(IF(AND(ABS($C2418-INDEX('AH History'!$B$1:$B$18046,$H2418))&lt;=MAX(0.005,ABS(INDEX('AH History'!$B$1:$B$18046,$H2418))*0.00005),ABS($D2418-INDEX('AH History'!$C$1:$C$18046,$H2418))&lt;=MAX(0.005,ABS(INDEX('AH History'!$C$1:$C$18046,$H2418))*0.00005),ABS($E2418-INDEX('AH History'!$D$1:$D$18046,$H2418))&lt;=0.00005,$F2418=INDEX('AH History'!$E$1:$E$18046,$H2418),$G2418=INDEX('AH History'!$F$1:$F$18046,$H2418)),1,-1),-1))</ns0:f>
        <ns0:v/>
      </ns0:c>
    </ns0:row>
    <ns0:row r="2419">
      <ns0:c r="A2419" s="215">
        <ns0:f>IF(OR(AH!$P$3=0,2414+1&gt;AH!$P$11,AND(AH!$E$4&lt;&gt;"Stored",AH!$P$10&lt;&gt;1)),"",IFERROR(IF(AND(AH!$P$21=1,2414+1=AH!$P$11),TODAY(),IF(AH!$P$10=1,INDEX('Live History'!$A$5:$A$3004,AH!$P$13+2414),INDEX('AH History'!$A$1:$A$18046,AH!$P$7+2414))),""))</ns0:f>
        <ns0:v/>
      </ns0:c>
      <ns0:c r="B2419" s="219">
        <ns0:f>IFERROR(IF(AND(AH!$P$9&lt;&gt;1,$C2419&gt;0,$D2419&gt;0,$E2419&gt;0,$F2419&gt;0,$G2419&gt;0,$F2419&lt;=$A2419,$G2419&lt;=$A2419,$A2419-$F2419&lt;=10,$A2419-$G2419&lt;=5),$D2419*$E2419/$C2419-1,NA()),NA())</ns0:f>
        <ns0:v/>
      </ns0:c>
      <ns0:c r="C2419">
        <ns0:f>IFERROR(IF(ISNUMBER($A2419),IF(AND(AH!$P$10=1,AH!$P$12=1,$A2419=TODAY()),AH!$P$19,IF(AH!$P$10=1,INDEX('Live History'!$B$5:$B$3004,AH!$P$13+2414),INDEX('AH History'!$B$1:$B$18046,AH!$P$7+2414))),NA()),NA())</ns0:f>
        <ns0:v/>
      </ns0:c>
      <ns0:c r="D2419">
        <ns0:f>IFERROR(IF(ISNUMBER($A2419),IF(AND(AH!$P$10=1,AH!$P$12=1,$A2419=TODAY()),AH!$P$18,IF(AH!$P$10=1,INDEX('Live History'!$E$5:$E$3004,MATCH($A2419,'Live History'!$D$5:$D$3004,1)),INDEX('AH History'!$C$1:$C$18046,AH!$P$7+2414))),NA()),NA())</ns0:f>
        <ns0:v/>
      </ns0:c>
      <ns0:c r="E2419">
        <ns0:f>IFERROR(IF(ISNUMBER($A2419),IF(AND(AH!$P$10=1,AH!$P$12=1,$A2419=TODAY()),AH!$P$20,IF(AH!$P$10=1,INDEX('Live History'!$H$5:$H$3004,MATCH($A2419,'Live History'!$G$5:$G$3004,1)),INDEX('AH History'!$D$1:$D$18046,AH!$P$7+2414))),NA()),NA())</ns0:f>
        <ns0:v/>
      </ns0:c>
      <ns0:c r="F2419">
        <ns0:f>IFERROR(IF(ISNUMBER($A2419),IF(AND(AH!$P$10=1,AH!$P$12=1,$A2419=TODAY()),IF(AND(AH!$P$10=1,AH!$P$12=1,$A2419=TODAY()),TODAY(),NA()),IF(AH!$P$10=1,INDEX('Live History'!$D$5:$D$3004,MATCH($A2419,'Live History'!$D$5:$D$3004,1)),INDEX('AH History'!$E$1:$E$18046,AH!$P$7+2414))),NA()),NA())</ns0:f>
        <ns0:v/>
      </ns0:c>
      <ns0:c r="G2419">
        <ns0:f>IFERROR(IF(ISNUMBER($A2419),IF(AND(AH!$P$10=1,AH!$P$12=1,$A2419=TODAY()),IF(AND(AH!$P$10=1,AH!$P$12=1,$A2419=TODAY()),TODAY(),NA()),IF(AH!$P$10=1,INDEX('Live History'!$G$5:$G$3004,MATCH($A2419,'Live History'!$G$5:$G$3004,1)),INDEX('AH History'!$F$1:$F$18046,AH!$P$7+2414))),NA()),NA())</ns0:f>
        <ns0:v/>
      </ns0:c>
      <ns0:c r="H2419">
        <ns0:f>IFERROR(IF(AND(AH!$E$4="Bloomberg",AH!$P$10=1,ISNUMBER($A2419),$A2419&lt;=AH!$P$17),AH!$P$7-1+MATCH($A2419,INDEX('AH History'!$A$1:$A$18046,AH!$P$7):INDEX('AH History'!$A$1:$A$18046,AH!$P$7+AH!$P$8-1),0),0),0)</ns0:f>
        <ns0:v/>
      </ns0:c>
      <ns0:c r="I2419">
        <ns0:f>IF($H2419=0,0,IFERROR(IF(AND(ABS($C2419-INDEX('AH History'!$B$1:$B$18046,$H2419))&lt;=MAX(0.005,ABS(INDEX('AH History'!$B$1:$B$18046,$H2419))*0.00005),ABS($D2419-INDEX('AH History'!$C$1:$C$18046,$H2419))&lt;=MAX(0.005,ABS(INDEX('AH History'!$C$1:$C$18046,$H2419))*0.00005),ABS($E2419-INDEX('AH History'!$D$1:$D$18046,$H2419))&lt;=0.00005,$F2419=INDEX('AH History'!$E$1:$E$18046,$H2419),$G2419=INDEX('AH History'!$F$1:$F$18046,$H2419)),1,-1),-1))</ns0:f>
        <ns0:v/>
      </ns0:c>
    </ns0:row>
    <ns0:row r="2420">
      <ns0:c r="A2420" s="215">
        <ns0:f>IF(OR(AH!$P$3=0,2415+1&gt;AH!$P$11,AND(AH!$E$4&lt;&gt;"Stored",AH!$P$10&lt;&gt;1)),"",IFERROR(IF(AND(AH!$P$21=1,2415+1=AH!$P$11),TODAY(),IF(AH!$P$10=1,INDEX('Live History'!$A$5:$A$3004,AH!$P$13+2415),INDEX('AH History'!$A$1:$A$18046,AH!$P$7+2415))),""))</ns0:f>
        <ns0:v/>
      </ns0:c>
      <ns0:c r="B2420" s="219">
        <ns0:f>IFERROR(IF(AND(AH!$P$9&lt;&gt;1,$C2420&gt;0,$D2420&gt;0,$E2420&gt;0,$F2420&gt;0,$G2420&gt;0,$F2420&lt;=$A2420,$G2420&lt;=$A2420,$A2420-$F2420&lt;=10,$A2420-$G2420&lt;=5),$D2420*$E2420/$C2420-1,NA()),NA())</ns0:f>
        <ns0:v/>
      </ns0:c>
      <ns0:c r="C2420">
        <ns0:f>IFERROR(IF(ISNUMBER($A2420),IF(AND(AH!$P$10=1,AH!$P$12=1,$A2420=TODAY()),AH!$P$19,IF(AH!$P$10=1,INDEX('Live History'!$B$5:$B$3004,AH!$P$13+2415),INDEX('AH History'!$B$1:$B$18046,AH!$P$7+2415))),NA()),NA())</ns0:f>
        <ns0:v/>
      </ns0:c>
      <ns0:c r="D2420">
        <ns0:f>IFERROR(IF(ISNUMBER($A2420),IF(AND(AH!$P$10=1,AH!$P$12=1,$A2420=TODAY()),AH!$P$18,IF(AH!$P$10=1,INDEX('Live History'!$E$5:$E$3004,MATCH($A2420,'Live History'!$D$5:$D$3004,1)),INDEX('AH History'!$C$1:$C$18046,AH!$P$7+2415))),NA()),NA())</ns0:f>
        <ns0:v/>
      </ns0:c>
      <ns0:c r="E2420">
        <ns0:f>IFERROR(IF(ISNUMBER($A2420),IF(AND(AH!$P$10=1,AH!$P$12=1,$A2420=TODAY()),AH!$P$20,IF(AH!$P$10=1,INDEX('Live History'!$H$5:$H$3004,MATCH($A2420,'Live History'!$G$5:$G$3004,1)),INDEX('AH History'!$D$1:$D$18046,AH!$P$7+2415))),NA()),NA())</ns0:f>
        <ns0:v/>
      </ns0:c>
      <ns0:c r="F2420">
        <ns0:f>IFERROR(IF(ISNUMBER($A2420),IF(AND(AH!$P$10=1,AH!$P$12=1,$A2420=TODAY()),IF(AND(AH!$P$10=1,AH!$P$12=1,$A2420=TODAY()),TODAY(),NA()),IF(AH!$P$10=1,INDEX('Live History'!$D$5:$D$3004,MATCH($A2420,'Live History'!$D$5:$D$3004,1)),INDEX('AH History'!$E$1:$E$18046,AH!$P$7+2415))),NA()),NA())</ns0:f>
        <ns0:v/>
      </ns0:c>
      <ns0:c r="G2420">
        <ns0:f>IFERROR(IF(ISNUMBER($A2420),IF(AND(AH!$P$10=1,AH!$P$12=1,$A2420=TODAY()),IF(AND(AH!$P$10=1,AH!$P$12=1,$A2420=TODAY()),TODAY(),NA()),IF(AH!$P$10=1,INDEX('Live History'!$G$5:$G$3004,MATCH($A2420,'Live History'!$G$5:$G$3004,1)),INDEX('AH History'!$F$1:$F$18046,AH!$P$7+2415))),NA()),NA())</ns0:f>
        <ns0:v/>
      </ns0:c>
      <ns0:c r="H2420">
        <ns0:f>IFERROR(IF(AND(AH!$E$4="Bloomberg",AH!$P$10=1,ISNUMBER($A2420),$A2420&lt;=AH!$P$17),AH!$P$7-1+MATCH($A2420,INDEX('AH History'!$A$1:$A$18046,AH!$P$7):INDEX('AH History'!$A$1:$A$18046,AH!$P$7+AH!$P$8-1),0),0),0)</ns0:f>
        <ns0:v/>
      </ns0:c>
      <ns0:c r="I2420">
        <ns0:f>IF($H2420=0,0,IFERROR(IF(AND(ABS($C2420-INDEX('AH History'!$B$1:$B$18046,$H2420))&lt;=MAX(0.005,ABS(INDEX('AH History'!$B$1:$B$18046,$H2420))*0.00005),ABS($D2420-INDEX('AH History'!$C$1:$C$18046,$H2420))&lt;=MAX(0.005,ABS(INDEX('AH History'!$C$1:$C$18046,$H2420))*0.00005),ABS($E2420-INDEX('AH History'!$D$1:$D$18046,$H2420))&lt;=0.00005,$F2420=INDEX('AH History'!$E$1:$E$18046,$H2420),$G2420=INDEX('AH History'!$F$1:$F$18046,$H2420)),1,-1),-1))</ns0:f>
        <ns0:v/>
      </ns0:c>
    </ns0:row>
    <ns0:row r="2421">
      <ns0:c r="A2421" s="215">
        <ns0:f>IF(OR(AH!$P$3=0,2416+1&gt;AH!$P$11,AND(AH!$E$4&lt;&gt;"Stored",AH!$P$10&lt;&gt;1)),"",IFERROR(IF(AND(AH!$P$21=1,2416+1=AH!$P$11),TODAY(),IF(AH!$P$10=1,INDEX('Live History'!$A$5:$A$3004,AH!$P$13+2416),INDEX('AH History'!$A$1:$A$18046,AH!$P$7+2416))),""))</ns0:f>
        <ns0:v/>
      </ns0:c>
      <ns0:c r="B2421" s="219">
        <ns0:f>IFERROR(IF(AND(AH!$P$9&lt;&gt;1,$C2421&gt;0,$D2421&gt;0,$E2421&gt;0,$F2421&gt;0,$G2421&gt;0,$F2421&lt;=$A2421,$G2421&lt;=$A2421,$A2421-$F2421&lt;=10,$A2421-$G2421&lt;=5),$D2421*$E2421/$C2421-1,NA()),NA())</ns0:f>
        <ns0:v/>
      </ns0:c>
      <ns0:c r="C2421">
        <ns0:f>IFERROR(IF(ISNUMBER($A2421),IF(AND(AH!$P$10=1,AH!$P$12=1,$A2421=TODAY()),AH!$P$19,IF(AH!$P$10=1,INDEX('Live History'!$B$5:$B$3004,AH!$P$13+2416),INDEX('AH History'!$B$1:$B$18046,AH!$P$7+2416))),NA()),NA())</ns0:f>
        <ns0:v/>
      </ns0:c>
      <ns0:c r="D2421">
        <ns0:f>IFERROR(IF(ISNUMBER($A2421),IF(AND(AH!$P$10=1,AH!$P$12=1,$A2421=TODAY()),AH!$P$18,IF(AH!$P$10=1,INDEX('Live History'!$E$5:$E$3004,MATCH($A2421,'Live History'!$D$5:$D$3004,1)),INDEX('AH History'!$C$1:$C$18046,AH!$P$7+2416))),NA()),NA())</ns0:f>
        <ns0:v/>
      </ns0:c>
      <ns0:c r="E2421">
        <ns0:f>IFERROR(IF(ISNUMBER($A2421),IF(AND(AH!$P$10=1,AH!$P$12=1,$A2421=TODAY()),AH!$P$20,IF(AH!$P$10=1,INDEX('Live History'!$H$5:$H$3004,MATCH($A2421,'Live History'!$G$5:$G$3004,1)),INDEX('AH History'!$D$1:$D$18046,AH!$P$7+2416))),NA()),NA())</ns0:f>
        <ns0:v/>
      </ns0:c>
      <ns0:c r="F2421">
        <ns0:f>IFERROR(IF(ISNUMBER($A2421),IF(AND(AH!$P$10=1,AH!$P$12=1,$A2421=TODAY()),IF(AND(AH!$P$10=1,AH!$P$12=1,$A2421=TODAY()),TODAY(),NA()),IF(AH!$P$10=1,INDEX('Live History'!$D$5:$D$3004,MATCH($A2421,'Live History'!$D$5:$D$3004,1)),INDEX('AH History'!$E$1:$E$18046,AH!$P$7+2416))),NA()),NA())</ns0:f>
        <ns0:v/>
      </ns0:c>
      <ns0:c r="G2421">
        <ns0:f>IFERROR(IF(ISNUMBER($A2421),IF(AND(AH!$P$10=1,AH!$P$12=1,$A2421=TODAY()),IF(AND(AH!$P$10=1,AH!$P$12=1,$A2421=TODAY()),TODAY(),NA()),IF(AH!$P$10=1,INDEX('Live History'!$G$5:$G$3004,MATCH($A2421,'Live History'!$G$5:$G$3004,1)),INDEX('AH History'!$F$1:$F$18046,AH!$P$7+2416))),NA()),NA())</ns0:f>
        <ns0:v/>
      </ns0:c>
      <ns0:c r="H2421">
        <ns0:f>IFERROR(IF(AND(AH!$E$4="Bloomberg",AH!$P$10=1,ISNUMBER($A2421),$A2421&lt;=AH!$P$17),AH!$P$7-1+MATCH($A2421,INDEX('AH History'!$A$1:$A$18046,AH!$P$7):INDEX('AH History'!$A$1:$A$18046,AH!$P$7+AH!$P$8-1),0),0),0)</ns0:f>
        <ns0:v/>
      </ns0:c>
      <ns0:c r="I2421">
        <ns0:f>IF($H2421=0,0,IFERROR(IF(AND(ABS($C2421-INDEX('AH History'!$B$1:$B$18046,$H2421))&lt;=MAX(0.005,ABS(INDEX('AH History'!$B$1:$B$18046,$H2421))*0.00005),ABS($D2421-INDEX('AH History'!$C$1:$C$18046,$H2421))&lt;=MAX(0.005,ABS(INDEX('AH History'!$C$1:$C$18046,$H2421))*0.00005),ABS($E2421-INDEX('AH History'!$D$1:$D$18046,$H2421))&lt;=0.00005,$F2421=INDEX('AH History'!$E$1:$E$18046,$H2421),$G2421=INDEX('AH History'!$F$1:$F$18046,$H2421)),1,-1),-1))</ns0:f>
        <ns0:v/>
      </ns0:c>
    </ns0:row>
    <ns0:row r="2422">
      <ns0:c r="A2422" s="215">
        <ns0:f>IF(OR(AH!$P$3=0,2417+1&gt;AH!$P$11,AND(AH!$E$4&lt;&gt;"Stored",AH!$P$10&lt;&gt;1)),"",IFERROR(IF(AND(AH!$P$21=1,2417+1=AH!$P$11),TODAY(),IF(AH!$P$10=1,INDEX('Live History'!$A$5:$A$3004,AH!$P$13+2417),INDEX('AH History'!$A$1:$A$18046,AH!$P$7+2417))),""))</ns0:f>
        <ns0:v/>
      </ns0:c>
      <ns0:c r="B2422" s="219">
        <ns0:f>IFERROR(IF(AND(AH!$P$9&lt;&gt;1,$C2422&gt;0,$D2422&gt;0,$E2422&gt;0,$F2422&gt;0,$G2422&gt;0,$F2422&lt;=$A2422,$G2422&lt;=$A2422,$A2422-$F2422&lt;=10,$A2422-$G2422&lt;=5),$D2422*$E2422/$C2422-1,NA()),NA())</ns0:f>
        <ns0:v/>
      </ns0:c>
      <ns0:c r="C2422">
        <ns0:f>IFERROR(IF(ISNUMBER($A2422),IF(AND(AH!$P$10=1,AH!$P$12=1,$A2422=TODAY()),AH!$P$19,IF(AH!$P$10=1,INDEX('Live History'!$B$5:$B$3004,AH!$P$13+2417),INDEX('AH History'!$B$1:$B$18046,AH!$P$7+2417))),NA()),NA())</ns0:f>
        <ns0:v/>
      </ns0:c>
      <ns0:c r="D2422">
        <ns0:f>IFERROR(IF(ISNUMBER($A2422),IF(AND(AH!$P$10=1,AH!$P$12=1,$A2422=TODAY()),AH!$P$18,IF(AH!$P$10=1,INDEX('Live History'!$E$5:$E$3004,MATCH($A2422,'Live History'!$D$5:$D$3004,1)),INDEX('AH History'!$C$1:$C$18046,AH!$P$7+2417))),NA()),NA())</ns0:f>
        <ns0:v/>
      </ns0:c>
      <ns0:c r="E2422">
        <ns0:f>IFERROR(IF(ISNUMBER($A2422),IF(AND(AH!$P$10=1,AH!$P$12=1,$A2422=TODAY()),AH!$P$20,IF(AH!$P$10=1,INDEX('Live History'!$H$5:$H$3004,MATCH($A2422,'Live History'!$G$5:$G$3004,1)),INDEX('AH History'!$D$1:$D$18046,AH!$P$7+2417))),NA()),NA())</ns0:f>
        <ns0:v/>
      </ns0:c>
      <ns0:c r="F2422">
        <ns0:f>IFERROR(IF(ISNUMBER($A2422),IF(AND(AH!$P$10=1,AH!$P$12=1,$A2422=TODAY()),IF(AND(AH!$P$10=1,AH!$P$12=1,$A2422=TODAY()),TODAY(),NA()),IF(AH!$P$10=1,INDEX('Live History'!$D$5:$D$3004,MATCH($A2422,'Live History'!$D$5:$D$3004,1)),INDEX('AH History'!$E$1:$E$18046,AH!$P$7+2417))),NA()),NA())</ns0:f>
        <ns0:v/>
      </ns0:c>
      <ns0:c r="G2422">
        <ns0:f>IFERROR(IF(ISNUMBER($A2422),IF(AND(AH!$P$10=1,AH!$P$12=1,$A2422=TODAY()),IF(AND(AH!$P$10=1,AH!$P$12=1,$A2422=TODAY()),TODAY(),NA()),IF(AH!$P$10=1,INDEX('Live History'!$G$5:$G$3004,MATCH($A2422,'Live History'!$G$5:$G$3004,1)),INDEX('AH History'!$F$1:$F$18046,AH!$P$7+2417))),NA()),NA())</ns0:f>
        <ns0:v/>
      </ns0:c>
      <ns0:c r="H2422">
        <ns0:f>IFERROR(IF(AND(AH!$E$4="Bloomberg",AH!$P$10=1,ISNUMBER($A2422),$A2422&lt;=AH!$P$17),AH!$P$7-1+MATCH($A2422,INDEX('AH History'!$A$1:$A$18046,AH!$P$7):INDEX('AH History'!$A$1:$A$18046,AH!$P$7+AH!$P$8-1),0),0),0)</ns0:f>
        <ns0:v/>
      </ns0:c>
      <ns0:c r="I2422">
        <ns0:f>IF($H2422=0,0,IFERROR(IF(AND(ABS($C2422-INDEX('AH History'!$B$1:$B$18046,$H2422))&lt;=MAX(0.005,ABS(INDEX('AH History'!$B$1:$B$18046,$H2422))*0.00005),ABS($D2422-INDEX('AH History'!$C$1:$C$18046,$H2422))&lt;=MAX(0.005,ABS(INDEX('AH History'!$C$1:$C$18046,$H2422))*0.00005),ABS($E2422-INDEX('AH History'!$D$1:$D$18046,$H2422))&lt;=0.00005,$F2422=INDEX('AH History'!$E$1:$E$18046,$H2422),$G2422=INDEX('AH History'!$F$1:$F$18046,$H2422)),1,-1),-1))</ns0:f>
        <ns0:v/>
      </ns0:c>
    </ns0:row>
    <ns0:row r="2423">
      <ns0:c r="A2423" s="215">
        <ns0:f>IF(OR(AH!$P$3=0,2418+1&gt;AH!$P$11,AND(AH!$E$4&lt;&gt;"Stored",AH!$P$10&lt;&gt;1)),"",IFERROR(IF(AND(AH!$P$21=1,2418+1=AH!$P$11),TODAY(),IF(AH!$P$10=1,INDEX('Live History'!$A$5:$A$3004,AH!$P$13+2418),INDEX('AH History'!$A$1:$A$18046,AH!$P$7+2418))),""))</ns0:f>
        <ns0:v/>
      </ns0:c>
      <ns0:c r="B2423" s="219">
        <ns0:f>IFERROR(IF(AND(AH!$P$9&lt;&gt;1,$C2423&gt;0,$D2423&gt;0,$E2423&gt;0,$F2423&gt;0,$G2423&gt;0,$F2423&lt;=$A2423,$G2423&lt;=$A2423,$A2423-$F2423&lt;=10,$A2423-$G2423&lt;=5),$D2423*$E2423/$C2423-1,NA()),NA())</ns0:f>
        <ns0:v/>
      </ns0:c>
      <ns0:c r="C2423">
        <ns0:f>IFERROR(IF(ISNUMBER($A2423),IF(AND(AH!$P$10=1,AH!$P$12=1,$A2423=TODAY()),AH!$P$19,IF(AH!$P$10=1,INDEX('Live History'!$B$5:$B$3004,AH!$P$13+2418),INDEX('AH History'!$B$1:$B$18046,AH!$P$7+2418))),NA()),NA())</ns0:f>
        <ns0:v/>
      </ns0:c>
      <ns0:c r="D2423">
        <ns0:f>IFERROR(IF(ISNUMBER($A2423),IF(AND(AH!$P$10=1,AH!$P$12=1,$A2423=TODAY()),AH!$P$18,IF(AH!$P$10=1,INDEX('Live History'!$E$5:$E$3004,MATCH($A2423,'Live History'!$D$5:$D$3004,1)),INDEX('AH History'!$C$1:$C$18046,AH!$P$7+2418))),NA()),NA())</ns0:f>
        <ns0:v/>
      </ns0:c>
      <ns0:c r="E2423">
        <ns0:f>IFERROR(IF(ISNUMBER($A2423),IF(AND(AH!$P$10=1,AH!$P$12=1,$A2423=TODAY()),AH!$P$20,IF(AH!$P$10=1,INDEX('Live History'!$H$5:$H$3004,MATCH($A2423,'Live History'!$G$5:$G$3004,1)),INDEX('AH History'!$D$1:$D$18046,AH!$P$7+2418))),NA()),NA())</ns0:f>
        <ns0:v/>
      </ns0:c>
      <ns0:c r="F2423">
        <ns0:f>IFERROR(IF(ISNUMBER($A2423),IF(AND(AH!$P$10=1,AH!$P$12=1,$A2423=TODAY()),IF(AND(AH!$P$10=1,AH!$P$12=1,$A2423=TODAY()),TODAY(),NA()),IF(AH!$P$10=1,INDEX('Live History'!$D$5:$D$3004,MATCH($A2423,'Live History'!$D$5:$D$3004,1)),INDEX('AH History'!$E$1:$E$18046,AH!$P$7+2418))),NA()),NA())</ns0:f>
        <ns0:v/>
      </ns0:c>
      <ns0:c r="G2423">
        <ns0:f>IFERROR(IF(ISNUMBER($A2423),IF(AND(AH!$P$10=1,AH!$P$12=1,$A2423=TODAY()),IF(AND(AH!$P$10=1,AH!$P$12=1,$A2423=TODAY()),TODAY(),NA()),IF(AH!$P$10=1,INDEX('Live History'!$G$5:$G$3004,MATCH($A2423,'Live History'!$G$5:$G$3004,1)),INDEX('AH History'!$F$1:$F$18046,AH!$P$7+2418))),NA()),NA())</ns0:f>
        <ns0:v/>
      </ns0:c>
      <ns0:c r="H2423">
        <ns0:f>IFERROR(IF(AND(AH!$E$4="Bloomberg",AH!$P$10=1,ISNUMBER($A2423),$A2423&lt;=AH!$P$17),AH!$P$7-1+MATCH($A2423,INDEX('AH History'!$A$1:$A$18046,AH!$P$7):INDEX('AH History'!$A$1:$A$18046,AH!$P$7+AH!$P$8-1),0),0),0)</ns0:f>
        <ns0:v/>
      </ns0:c>
      <ns0:c r="I2423">
        <ns0:f>IF($H2423=0,0,IFERROR(IF(AND(ABS($C2423-INDEX('AH History'!$B$1:$B$18046,$H2423))&lt;=MAX(0.005,ABS(INDEX('AH History'!$B$1:$B$18046,$H2423))*0.00005),ABS($D2423-INDEX('AH History'!$C$1:$C$18046,$H2423))&lt;=MAX(0.005,ABS(INDEX('AH History'!$C$1:$C$18046,$H2423))*0.00005),ABS($E2423-INDEX('AH History'!$D$1:$D$18046,$H2423))&lt;=0.00005,$F2423=INDEX('AH History'!$E$1:$E$18046,$H2423),$G2423=INDEX('AH History'!$F$1:$F$18046,$H2423)),1,-1),-1))</ns0:f>
        <ns0:v/>
      </ns0:c>
    </ns0:row>
    <ns0:row r="2424">
      <ns0:c r="A2424" s="215">
        <ns0:f>IF(OR(AH!$P$3=0,2419+1&gt;AH!$P$11,AND(AH!$E$4&lt;&gt;"Stored",AH!$P$10&lt;&gt;1)),"",IFERROR(IF(AND(AH!$P$21=1,2419+1=AH!$P$11),TODAY(),IF(AH!$P$10=1,INDEX('Live History'!$A$5:$A$3004,AH!$P$13+2419),INDEX('AH History'!$A$1:$A$18046,AH!$P$7+2419))),""))</ns0:f>
        <ns0:v/>
      </ns0:c>
      <ns0:c r="B2424" s="219">
        <ns0:f>IFERROR(IF(AND(AH!$P$9&lt;&gt;1,$C2424&gt;0,$D2424&gt;0,$E2424&gt;0,$F2424&gt;0,$G2424&gt;0,$F2424&lt;=$A2424,$G2424&lt;=$A2424,$A2424-$F2424&lt;=10,$A2424-$G2424&lt;=5),$D2424*$E2424/$C2424-1,NA()),NA())</ns0:f>
        <ns0:v/>
      </ns0:c>
      <ns0:c r="C2424">
        <ns0:f>IFERROR(IF(ISNUMBER($A2424),IF(AND(AH!$P$10=1,AH!$P$12=1,$A2424=TODAY()),AH!$P$19,IF(AH!$P$10=1,INDEX('Live History'!$B$5:$B$3004,AH!$P$13+2419),INDEX('AH History'!$B$1:$B$18046,AH!$P$7+2419))),NA()),NA())</ns0:f>
        <ns0:v/>
      </ns0:c>
      <ns0:c r="D2424">
        <ns0:f>IFERROR(IF(ISNUMBER($A2424),IF(AND(AH!$P$10=1,AH!$P$12=1,$A2424=TODAY()),AH!$P$18,IF(AH!$P$10=1,INDEX('Live History'!$E$5:$E$3004,MATCH($A2424,'Live History'!$D$5:$D$3004,1)),INDEX('AH History'!$C$1:$C$18046,AH!$P$7+2419))),NA()),NA())</ns0:f>
        <ns0:v/>
      </ns0:c>
      <ns0:c r="E2424">
        <ns0:f>IFERROR(IF(ISNUMBER($A2424),IF(AND(AH!$P$10=1,AH!$P$12=1,$A2424=TODAY()),AH!$P$20,IF(AH!$P$10=1,INDEX('Live History'!$H$5:$H$3004,MATCH($A2424,'Live History'!$G$5:$G$3004,1)),INDEX('AH History'!$D$1:$D$18046,AH!$P$7+2419))),NA()),NA())</ns0:f>
        <ns0:v/>
      </ns0:c>
      <ns0:c r="F2424">
        <ns0:f>IFERROR(IF(ISNUMBER($A2424),IF(AND(AH!$P$10=1,AH!$P$12=1,$A2424=TODAY()),IF(AND(AH!$P$10=1,AH!$P$12=1,$A2424=TODAY()),TODAY(),NA()),IF(AH!$P$10=1,INDEX('Live History'!$D$5:$D$3004,MATCH($A2424,'Live History'!$D$5:$D$3004,1)),INDEX('AH History'!$E$1:$E$18046,AH!$P$7+2419))),NA()),NA())</ns0:f>
        <ns0:v/>
      </ns0:c>
      <ns0:c r="G2424">
        <ns0:f>IFERROR(IF(ISNUMBER($A2424),IF(AND(AH!$P$10=1,AH!$P$12=1,$A2424=TODAY()),IF(AND(AH!$P$10=1,AH!$P$12=1,$A2424=TODAY()),TODAY(),NA()),IF(AH!$P$10=1,INDEX('Live History'!$G$5:$G$3004,MATCH($A2424,'Live History'!$G$5:$G$3004,1)),INDEX('AH History'!$F$1:$F$18046,AH!$P$7+2419))),NA()),NA())</ns0:f>
        <ns0:v/>
      </ns0:c>
      <ns0:c r="H2424">
        <ns0:f>IFERROR(IF(AND(AH!$E$4="Bloomberg",AH!$P$10=1,ISNUMBER($A2424),$A2424&lt;=AH!$P$17),AH!$P$7-1+MATCH($A2424,INDEX('AH History'!$A$1:$A$18046,AH!$P$7):INDEX('AH History'!$A$1:$A$18046,AH!$P$7+AH!$P$8-1),0),0),0)</ns0:f>
        <ns0:v/>
      </ns0:c>
      <ns0:c r="I2424">
        <ns0:f>IF($H2424=0,0,IFERROR(IF(AND(ABS($C2424-INDEX('AH History'!$B$1:$B$18046,$H2424))&lt;=MAX(0.005,ABS(INDEX('AH History'!$B$1:$B$18046,$H2424))*0.00005),ABS($D2424-INDEX('AH History'!$C$1:$C$18046,$H2424))&lt;=MAX(0.005,ABS(INDEX('AH History'!$C$1:$C$18046,$H2424))*0.00005),ABS($E2424-INDEX('AH History'!$D$1:$D$18046,$H2424))&lt;=0.00005,$F2424=INDEX('AH History'!$E$1:$E$18046,$H2424),$G2424=INDEX('AH History'!$F$1:$F$18046,$H2424)),1,-1),-1))</ns0:f>
        <ns0:v/>
      </ns0:c>
    </ns0:row>
    <ns0:row r="2425">
      <ns0:c r="A2425" s="215">
        <ns0:f>IF(OR(AH!$P$3=0,2420+1&gt;AH!$P$11,AND(AH!$E$4&lt;&gt;"Stored",AH!$P$10&lt;&gt;1)),"",IFERROR(IF(AND(AH!$P$21=1,2420+1=AH!$P$11),TODAY(),IF(AH!$P$10=1,INDEX('Live History'!$A$5:$A$3004,AH!$P$13+2420),INDEX('AH History'!$A$1:$A$18046,AH!$P$7+2420))),""))</ns0:f>
        <ns0:v/>
      </ns0:c>
      <ns0:c r="B2425" s="219">
        <ns0:f>IFERROR(IF(AND(AH!$P$9&lt;&gt;1,$C2425&gt;0,$D2425&gt;0,$E2425&gt;0,$F2425&gt;0,$G2425&gt;0,$F2425&lt;=$A2425,$G2425&lt;=$A2425,$A2425-$F2425&lt;=10,$A2425-$G2425&lt;=5),$D2425*$E2425/$C2425-1,NA()),NA())</ns0:f>
        <ns0:v/>
      </ns0:c>
      <ns0:c r="C2425">
        <ns0:f>IFERROR(IF(ISNUMBER($A2425),IF(AND(AH!$P$10=1,AH!$P$12=1,$A2425=TODAY()),AH!$P$19,IF(AH!$P$10=1,INDEX('Live History'!$B$5:$B$3004,AH!$P$13+2420),INDEX('AH History'!$B$1:$B$18046,AH!$P$7+2420))),NA()),NA())</ns0:f>
        <ns0:v/>
      </ns0:c>
      <ns0:c r="D2425">
        <ns0:f>IFERROR(IF(ISNUMBER($A2425),IF(AND(AH!$P$10=1,AH!$P$12=1,$A2425=TODAY()),AH!$P$18,IF(AH!$P$10=1,INDEX('Live History'!$E$5:$E$3004,MATCH($A2425,'Live History'!$D$5:$D$3004,1)),INDEX('AH History'!$C$1:$C$18046,AH!$P$7+2420))),NA()),NA())</ns0:f>
        <ns0:v/>
      </ns0:c>
      <ns0:c r="E2425">
        <ns0:f>IFERROR(IF(ISNUMBER($A2425),IF(AND(AH!$P$10=1,AH!$P$12=1,$A2425=TODAY()),AH!$P$20,IF(AH!$P$10=1,INDEX('Live History'!$H$5:$H$3004,MATCH($A2425,'Live History'!$G$5:$G$3004,1)),INDEX('AH History'!$D$1:$D$18046,AH!$P$7+2420))),NA()),NA())</ns0:f>
        <ns0:v/>
      </ns0:c>
      <ns0:c r="F2425">
        <ns0:f>IFERROR(IF(ISNUMBER($A2425),IF(AND(AH!$P$10=1,AH!$P$12=1,$A2425=TODAY()),IF(AND(AH!$P$10=1,AH!$P$12=1,$A2425=TODAY()),TODAY(),NA()),IF(AH!$P$10=1,INDEX('Live History'!$D$5:$D$3004,MATCH($A2425,'Live History'!$D$5:$D$3004,1)),INDEX('AH History'!$E$1:$E$18046,AH!$P$7+2420))),NA()),NA())</ns0:f>
        <ns0:v/>
      </ns0:c>
      <ns0:c r="G2425">
        <ns0:f>IFERROR(IF(ISNUMBER($A2425),IF(AND(AH!$P$10=1,AH!$P$12=1,$A2425=TODAY()),IF(AND(AH!$P$10=1,AH!$P$12=1,$A2425=TODAY()),TODAY(),NA()),IF(AH!$P$10=1,INDEX('Live History'!$G$5:$G$3004,MATCH($A2425,'Live History'!$G$5:$G$3004,1)),INDEX('AH History'!$F$1:$F$18046,AH!$P$7+2420))),NA()),NA())</ns0:f>
        <ns0:v/>
      </ns0:c>
      <ns0:c r="H2425">
        <ns0:f>IFERROR(IF(AND(AH!$E$4="Bloomberg",AH!$P$10=1,ISNUMBER($A2425),$A2425&lt;=AH!$P$17),AH!$P$7-1+MATCH($A2425,INDEX('AH History'!$A$1:$A$18046,AH!$P$7):INDEX('AH History'!$A$1:$A$18046,AH!$P$7+AH!$P$8-1),0),0),0)</ns0:f>
        <ns0:v/>
      </ns0:c>
      <ns0:c r="I2425">
        <ns0:f>IF($H2425=0,0,IFERROR(IF(AND(ABS($C2425-INDEX('AH History'!$B$1:$B$18046,$H2425))&lt;=MAX(0.005,ABS(INDEX('AH History'!$B$1:$B$18046,$H2425))*0.00005),ABS($D2425-INDEX('AH History'!$C$1:$C$18046,$H2425))&lt;=MAX(0.005,ABS(INDEX('AH History'!$C$1:$C$18046,$H2425))*0.00005),ABS($E2425-INDEX('AH History'!$D$1:$D$18046,$H2425))&lt;=0.00005,$F2425=INDEX('AH History'!$E$1:$E$18046,$H2425),$G2425=INDEX('AH History'!$F$1:$F$18046,$H2425)),1,-1),-1))</ns0:f>
        <ns0:v/>
      </ns0:c>
    </ns0:row>
    <ns0:row r="2426">
      <ns0:c r="A2426" s="215">
        <ns0:f>IF(OR(AH!$P$3=0,2421+1&gt;AH!$P$11,AND(AH!$E$4&lt;&gt;"Stored",AH!$P$10&lt;&gt;1)),"",IFERROR(IF(AND(AH!$P$21=1,2421+1=AH!$P$11),TODAY(),IF(AH!$P$10=1,INDEX('Live History'!$A$5:$A$3004,AH!$P$13+2421),INDEX('AH History'!$A$1:$A$18046,AH!$P$7+2421))),""))</ns0:f>
        <ns0:v/>
      </ns0:c>
      <ns0:c r="B2426" s="219">
        <ns0:f>IFERROR(IF(AND(AH!$P$9&lt;&gt;1,$C2426&gt;0,$D2426&gt;0,$E2426&gt;0,$F2426&gt;0,$G2426&gt;0,$F2426&lt;=$A2426,$G2426&lt;=$A2426,$A2426-$F2426&lt;=10,$A2426-$G2426&lt;=5),$D2426*$E2426/$C2426-1,NA()),NA())</ns0:f>
        <ns0:v/>
      </ns0:c>
      <ns0:c r="C2426">
        <ns0:f>IFERROR(IF(ISNUMBER($A2426),IF(AND(AH!$P$10=1,AH!$P$12=1,$A2426=TODAY()),AH!$P$19,IF(AH!$P$10=1,INDEX('Live History'!$B$5:$B$3004,AH!$P$13+2421),INDEX('AH History'!$B$1:$B$18046,AH!$P$7+2421))),NA()),NA())</ns0:f>
        <ns0:v/>
      </ns0:c>
      <ns0:c r="D2426">
        <ns0:f>IFERROR(IF(ISNUMBER($A2426),IF(AND(AH!$P$10=1,AH!$P$12=1,$A2426=TODAY()),AH!$P$18,IF(AH!$P$10=1,INDEX('Live History'!$E$5:$E$3004,MATCH($A2426,'Live History'!$D$5:$D$3004,1)),INDEX('AH History'!$C$1:$C$18046,AH!$P$7+2421))),NA()),NA())</ns0:f>
        <ns0:v/>
      </ns0:c>
      <ns0:c r="E2426">
        <ns0:f>IFERROR(IF(ISNUMBER($A2426),IF(AND(AH!$P$10=1,AH!$P$12=1,$A2426=TODAY()),AH!$P$20,IF(AH!$P$10=1,INDEX('Live History'!$H$5:$H$3004,MATCH($A2426,'Live History'!$G$5:$G$3004,1)),INDEX('AH History'!$D$1:$D$18046,AH!$P$7+2421))),NA()),NA())</ns0:f>
        <ns0:v/>
      </ns0:c>
      <ns0:c r="F2426">
        <ns0:f>IFERROR(IF(ISNUMBER($A2426),IF(AND(AH!$P$10=1,AH!$P$12=1,$A2426=TODAY()),IF(AND(AH!$P$10=1,AH!$P$12=1,$A2426=TODAY()),TODAY(),NA()),IF(AH!$P$10=1,INDEX('Live History'!$D$5:$D$3004,MATCH($A2426,'Live History'!$D$5:$D$3004,1)),INDEX('AH History'!$E$1:$E$18046,AH!$P$7+2421))),NA()),NA())</ns0:f>
        <ns0:v/>
      </ns0:c>
      <ns0:c r="G2426">
        <ns0:f>IFERROR(IF(ISNUMBER($A2426),IF(AND(AH!$P$10=1,AH!$P$12=1,$A2426=TODAY()),IF(AND(AH!$P$10=1,AH!$P$12=1,$A2426=TODAY()),TODAY(),NA()),IF(AH!$P$10=1,INDEX('Live History'!$G$5:$G$3004,MATCH($A2426,'Live History'!$G$5:$G$3004,1)),INDEX('AH History'!$F$1:$F$18046,AH!$P$7+2421))),NA()),NA())</ns0:f>
        <ns0:v/>
      </ns0:c>
      <ns0:c r="H2426">
        <ns0:f>IFERROR(IF(AND(AH!$E$4="Bloomberg",AH!$P$10=1,ISNUMBER($A2426),$A2426&lt;=AH!$P$17),AH!$P$7-1+MATCH($A2426,INDEX('AH History'!$A$1:$A$18046,AH!$P$7):INDEX('AH History'!$A$1:$A$18046,AH!$P$7+AH!$P$8-1),0),0),0)</ns0:f>
        <ns0:v/>
      </ns0:c>
      <ns0:c r="I2426">
        <ns0:f>IF($H2426=0,0,IFERROR(IF(AND(ABS($C2426-INDEX('AH History'!$B$1:$B$18046,$H2426))&lt;=MAX(0.005,ABS(INDEX('AH History'!$B$1:$B$18046,$H2426))*0.00005),ABS($D2426-INDEX('AH History'!$C$1:$C$18046,$H2426))&lt;=MAX(0.005,ABS(INDEX('AH History'!$C$1:$C$18046,$H2426))*0.00005),ABS($E2426-INDEX('AH History'!$D$1:$D$18046,$H2426))&lt;=0.00005,$F2426=INDEX('AH History'!$E$1:$E$18046,$H2426),$G2426=INDEX('AH History'!$F$1:$F$18046,$H2426)),1,-1),-1))</ns0:f>
        <ns0:v/>
      </ns0:c>
    </ns0:row>
    <ns0:row r="2427">
      <ns0:c r="A2427" s="215">
        <ns0:f>IF(OR(AH!$P$3=0,2422+1&gt;AH!$P$11,AND(AH!$E$4&lt;&gt;"Stored",AH!$P$10&lt;&gt;1)),"",IFERROR(IF(AND(AH!$P$21=1,2422+1=AH!$P$11),TODAY(),IF(AH!$P$10=1,INDEX('Live History'!$A$5:$A$3004,AH!$P$13+2422),INDEX('AH History'!$A$1:$A$18046,AH!$P$7+2422))),""))</ns0:f>
        <ns0:v/>
      </ns0:c>
      <ns0:c r="B2427" s="219">
        <ns0:f>IFERROR(IF(AND(AH!$P$9&lt;&gt;1,$C2427&gt;0,$D2427&gt;0,$E2427&gt;0,$F2427&gt;0,$G2427&gt;0,$F2427&lt;=$A2427,$G2427&lt;=$A2427,$A2427-$F2427&lt;=10,$A2427-$G2427&lt;=5),$D2427*$E2427/$C2427-1,NA()),NA())</ns0:f>
        <ns0:v/>
      </ns0:c>
      <ns0:c r="C2427">
        <ns0:f>IFERROR(IF(ISNUMBER($A2427),IF(AND(AH!$P$10=1,AH!$P$12=1,$A2427=TODAY()),AH!$P$19,IF(AH!$P$10=1,INDEX('Live History'!$B$5:$B$3004,AH!$P$13+2422),INDEX('AH History'!$B$1:$B$18046,AH!$P$7+2422))),NA()),NA())</ns0:f>
        <ns0:v/>
      </ns0:c>
      <ns0:c r="D2427">
        <ns0:f>IFERROR(IF(ISNUMBER($A2427),IF(AND(AH!$P$10=1,AH!$P$12=1,$A2427=TODAY()),AH!$P$18,IF(AH!$P$10=1,INDEX('Live History'!$E$5:$E$3004,MATCH($A2427,'Live History'!$D$5:$D$3004,1)),INDEX('AH History'!$C$1:$C$18046,AH!$P$7+2422))),NA()),NA())</ns0:f>
        <ns0:v/>
      </ns0:c>
      <ns0:c r="E2427">
        <ns0:f>IFERROR(IF(ISNUMBER($A2427),IF(AND(AH!$P$10=1,AH!$P$12=1,$A2427=TODAY()),AH!$P$20,IF(AH!$P$10=1,INDEX('Live History'!$H$5:$H$3004,MATCH($A2427,'Live History'!$G$5:$G$3004,1)),INDEX('AH History'!$D$1:$D$18046,AH!$P$7+2422))),NA()),NA())</ns0:f>
        <ns0:v/>
      </ns0:c>
      <ns0:c r="F2427">
        <ns0:f>IFERROR(IF(ISNUMBER($A2427),IF(AND(AH!$P$10=1,AH!$P$12=1,$A2427=TODAY()),IF(AND(AH!$P$10=1,AH!$P$12=1,$A2427=TODAY()),TODAY(),NA()),IF(AH!$P$10=1,INDEX('Live History'!$D$5:$D$3004,MATCH($A2427,'Live History'!$D$5:$D$3004,1)),INDEX('AH History'!$E$1:$E$18046,AH!$P$7+2422))),NA()),NA())</ns0:f>
        <ns0:v/>
      </ns0:c>
      <ns0:c r="G2427">
        <ns0:f>IFERROR(IF(ISNUMBER($A2427),IF(AND(AH!$P$10=1,AH!$P$12=1,$A2427=TODAY()),IF(AND(AH!$P$10=1,AH!$P$12=1,$A2427=TODAY()),TODAY(),NA()),IF(AH!$P$10=1,INDEX('Live History'!$G$5:$G$3004,MATCH($A2427,'Live History'!$G$5:$G$3004,1)),INDEX('AH History'!$F$1:$F$18046,AH!$P$7+2422))),NA()),NA())</ns0:f>
        <ns0:v/>
      </ns0:c>
      <ns0:c r="H2427">
        <ns0:f>IFERROR(IF(AND(AH!$E$4="Bloomberg",AH!$P$10=1,ISNUMBER($A2427),$A2427&lt;=AH!$P$17),AH!$P$7-1+MATCH($A2427,INDEX('AH History'!$A$1:$A$18046,AH!$P$7):INDEX('AH History'!$A$1:$A$18046,AH!$P$7+AH!$P$8-1),0),0),0)</ns0:f>
        <ns0:v/>
      </ns0:c>
      <ns0:c r="I2427">
        <ns0:f>IF($H2427=0,0,IFERROR(IF(AND(ABS($C2427-INDEX('AH History'!$B$1:$B$18046,$H2427))&lt;=MAX(0.005,ABS(INDEX('AH History'!$B$1:$B$18046,$H2427))*0.00005),ABS($D2427-INDEX('AH History'!$C$1:$C$18046,$H2427))&lt;=MAX(0.005,ABS(INDEX('AH History'!$C$1:$C$18046,$H2427))*0.00005),ABS($E2427-INDEX('AH History'!$D$1:$D$18046,$H2427))&lt;=0.00005,$F2427=INDEX('AH History'!$E$1:$E$18046,$H2427),$G2427=INDEX('AH History'!$F$1:$F$18046,$H2427)),1,-1),-1))</ns0:f>
        <ns0:v/>
      </ns0:c>
    </ns0:row>
    <ns0:row r="2428">
      <ns0:c r="A2428" s="215">
        <ns0:f>IF(OR(AH!$P$3=0,2423+1&gt;AH!$P$11,AND(AH!$E$4&lt;&gt;"Stored",AH!$P$10&lt;&gt;1)),"",IFERROR(IF(AND(AH!$P$21=1,2423+1=AH!$P$11),TODAY(),IF(AH!$P$10=1,INDEX('Live History'!$A$5:$A$3004,AH!$P$13+2423),INDEX('AH History'!$A$1:$A$18046,AH!$P$7+2423))),""))</ns0:f>
        <ns0:v/>
      </ns0:c>
      <ns0:c r="B2428" s="219">
        <ns0:f>IFERROR(IF(AND(AH!$P$9&lt;&gt;1,$C2428&gt;0,$D2428&gt;0,$E2428&gt;0,$F2428&gt;0,$G2428&gt;0,$F2428&lt;=$A2428,$G2428&lt;=$A2428,$A2428-$F2428&lt;=10,$A2428-$G2428&lt;=5),$D2428*$E2428/$C2428-1,NA()),NA())</ns0:f>
        <ns0:v/>
      </ns0:c>
      <ns0:c r="C2428">
        <ns0:f>IFERROR(IF(ISNUMBER($A2428),IF(AND(AH!$P$10=1,AH!$P$12=1,$A2428=TODAY()),AH!$P$19,IF(AH!$P$10=1,INDEX('Live History'!$B$5:$B$3004,AH!$P$13+2423),INDEX('AH History'!$B$1:$B$18046,AH!$P$7+2423))),NA()),NA())</ns0:f>
        <ns0:v/>
      </ns0:c>
      <ns0:c r="D2428">
        <ns0:f>IFERROR(IF(ISNUMBER($A2428),IF(AND(AH!$P$10=1,AH!$P$12=1,$A2428=TODAY()),AH!$P$18,IF(AH!$P$10=1,INDEX('Live History'!$E$5:$E$3004,MATCH($A2428,'Live History'!$D$5:$D$3004,1)),INDEX('AH History'!$C$1:$C$18046,AH!$P$7+2423))),NA()),NA())</ns0:f>
        <ns0:v/>
      </ns0:c>
      <ns0:c r="E2428">
        <ns0:f>IFERROR(IF(ISNUMBER($A2428),IF(AND(AH!$P$10=1,AH!$P$12=1,$A2428=TODAY()),AH!$P$20,IF(AH!$P$10=1,INDEX('Live History'!$H$5:$H$3004,MATCH($A2428,'Live History'!$G$5:$G$3004,1)),INDEX('AH History'!$D$1:$D$18046,AH!$P$7+2423))),NA()),NA())</ns0:f>
        <ns0:v/>
      </ns0:c>
      <ns0:c r="F2428">
        <ns0:f>IFERROR(IF(ISNUMBER($A2428),IF(AND(AH!$P$10=1,AH!$P$12=1,$A2428=TODAY()),IF(AND(AH!$P$10=1,AH!$P$12=1,$A2428=TODAY()),TODAY(),NA()),IF(AH!$P$10=1,INDEX('Live History'!$D$5:$D$3004,MATCH($A2428,'Live History'!$D$5:$D$3004,1)),INDEX('AH History'!$E$1:$E$18046,AH!$P$7+2423))),NA()),NA())</ns0:f>
        <ns0:v/>
      </ns0:c>
      <ns0:c r="G2428">
        <ns0:f>IFERROR(IF(ISNUMBER($A2428),IF(AND(AH!$P$10=1,AH!$P$12=1,$A2428=TODAY()),IF(AND(AH!$P$10=1,AH!$P$12=1,$A2428=TODAY()),TODAY(),NA()),IF(AH!$P$10=1,INDEX('Live History'!$G$5:$G$3004,MATCH($A2428,'Live History'!$G$5:$G$3004,1)),INDEX('AH History'!$F$1:$F$18046,AH!$P$7+2423))),NA()),NA())</ns0:f>
        <ns0:v/>
      </ns0:c>
      <ns0:c r="H2428">
        <ns0:f>IFERROR(IF(AND(AH!$E$4="Bloomberg",AH!$P$10=1,ISNUMBER($A2428),$A2428&lt;=AH!$P$17),AH!$P$7-1+MATCH($A2428,INDEX('AH History'!$A$1:$A$18046,AH!$P$7):INDEX('AH History'!$A$1:$A$18046,AH!$P$7+AH!$P$8-1),0),0),0)</ns0:f>
        <ns0:v/>
      </ns0:c>
      <ns0:c r="I2428">
        <ns0:f>IF($H2428=0,0,IFERROR(IF(AND(ABS($C2428-INDEX('AH History'!$B$1:$B$18046,$H2428))&lt;=MAX(0.005,ABS(INDEX('AH History'!$B$1:$B$18046,$H2428))*0.00005),ABS($D2428-INDEX('AH History'!$C$1:$C$18046,$H2428))&lt;=MAX(0.005,ABS(INDEX('AH History'!$C$1:$C$18046,$H2428))*0.00005),ABS($E2428-INDEX('AH History'!$D$1:$D$18046,$H2428))&lt;=0.00005,$F2428=INDEX('AH History'!$E$1:$E$18046,$H2428),$G2428=INDEX('AH History'!$F$1:$F$18046,$H2428)),1,-1),-1))</ns0:f>
        <ns0:v/>
      </ns0:c>
    </ns0:row>
    <ns0:row r="2429">
      <ns0:c r="A2429" s="215">
        <ns0:f>IF(OR(AH!$P$3=0,2424+1&gt;AH!$P$11,AND(AH!$E$4&lt;&gt;"Stored",AH!$P$10&lt;&gt;1)),"",IFERROR(IF(AND(AH!$P$21=1,2424+1=AH!$P$11),TODAY(),IF(AH!$P$10=1,INDEX('Live History'!$A$5:$A$3004,AH!$P$13+2424),INDEX('AH History'!$A$1:$A$18046,AH!$P$7+2424))),""))</ns0:f>
        <ns0:v/>
      </ns0:c>
      <ns0:c r="B2429" s="219">
        <ns0:f>IFERROR(IF(AND(AH!$P$9&lt;&gt;1,$C2429&gt;0,$D2429&gt;0,$E2429&gt;0,$F2429&gt;0,$G2429&gt;0,$F2429&lt;=$A2429,$G2429&lt;=$A2429,$A2429-$F2429&lt;=10,$A2429-$G2429&lt;=5),$D2429*$E2429/$C2429-1,NA()),NA())</ns0:f>
        <ns0:v/>
      </ns0:c>
      <ns0:c r="C2429">
        <ns0:f>IFERROR(IF(ISNUMBER($A2429),IF(AND(AH!$P$10=1,AH!$P$12=1,$A2429=TODAY()),AH!$P$19,IF(AH!$P$10=1,INDEX('Live History'!$B$5:$B$3004,AH!$P$13+2424),INDEX('AH History'!$B$1:$B$18046,AH!$P$7+2424))),NA()),NA())</ns0:f>
        <ns0:v/>
      </ns0:c>
      <ns0:c r="D2429">
        <ns0:f>IFERROR(IF(ISNUMBER($A2429),IF(AND(AH!$P$10=1,AH!$P$12=1,$A2429=TODAY()),AH!$P$18,IF(AH!$P$10=1,INDEX('Live History'!$E$5:$E$3004,MATCH($A2429,'Live History'!$D$5:$D$3004,1)),INDEX('AH History'!$C$1:$C$18046,AH!$P$7+2424))),NA()),NA())</ns0:f>
        <ns0:v/>
      </ns0:c>
      <ns0:c r="E2429">
        <ns0:f>IFERROR(IF(ISNUMBER($A2429),IF(AND(AH!$P$10=1,AH!$P$12=1,$A2429=TODAY()),AH!$P$20,IF(AH!$P$10=1,INDEX('Live History'!$H$5:$H$3004,MATCH($A2429,'Live History'!$G$5:$G$3004,1)),INDEX('AH History'!$D$1:$D$18046,AH!$P$7+2424))),NA()),NA())</ns0:f>
        <ns0:v/>
      </ns0:c>
      <ns0:c r="F2429">
        <ns0:f>IFERROR(IF(ISNUMBER($A2429),IF(AND(AH!$P$10=1,AH!$P$12=1,$A2429=TODAY()),IF(AND(AH!$P$10=1,AH!$P$12=1,$A2429=TODAY()),TODAY(),NA()),IF(AH!$P$10=1,INDEX('Live History'!$D$5:$D$3004,MATCH($A2429,'Live History'!$D$5:$D$3004,1)),INDEX('AH History'!$E$1:$E$18046,AH!$P$7+2424))),NA()),NA())</ns0:f>
        <ns0:v/>
      </ns0:c>
      <ns0:c r="G2429">
        <ns0:f>IFERROR(IF(ISNUMBER($A2429),IF(AND(AH!$P$10=1,AH!$P$12=1,$A2429=TODAY()),IF(AND(AH!$P$10=1,AH!$P$12=1,$A2429=TODAY()),TODAY(),NA()),IF(AH!$P$10=1,INDEX('Live History'!$G$5:$G$3004,MATCH($A2429,'Live History'!$G$5:$G$3004,1)),INDEX('AH History'!$F$1:$F$18046,AH!$P$7+2424))),NA()),NA())</ns0:f>
        <ns0:v/>
      </ns0:c>
      <ns0:c r="H2429">
        <ns0:f>IFERROR(IF(AND(AH!$E$4="Bloomberg",AH!$P$10=1,ISNUMBER($A2429),$A2429&lt;=AH!$P$17),AH!$P$7-1+MATCH($A2429,INDEX('AH History'!$A$1:$A$18046,AH!$P$7):INDEX('AH History'!$A$1:$A$18046,AH!$P$7+AH!$P$8-1),0),0),0)</ns0:f>
        <ns0:v/>
      </ns0:c>
      <ns0:c r="I2429">
        <ns0:f>IF($H2429=0,0,IFERROR(IF(AND(ABS($C2429-INDEX('AH History'!$B$1:$B$18046,$H2429))&lt;=MAX(0.005,ABS(INDEX('AH History'!$B$1:$B$18046,$H2429))*0.00005),ABS($D2429-INDEX('AH History'!$C$1:$C$18046,$H2429))&lt;=MAX(0.005,ABS(INDEX('AH History'!$C$1:$C$18046,$H2429))*0.00005),ABS($E2429-INDEX('AH History'!$D$1:$D$18046,$H2429))&lt;=0.00005,$F2429=INDEX('AH History'!$E$1:$E$18046,$H2429),$G2429=INDEX('AH History'!$F$1:$F$18046,$H2429)),1,-1),-1))</ns0:f>
        <ns0:v/>
      </ns0:c>
    </ns0:row>
    <ns0:row r="2430">
      <ns0:c r="A2430" s="215">
        <ns0:f>IF(OR(AH!$P$3=0,2425+1&gt;AH!$P$11,AND(AH!$E$4&lt;&gt;"Stored",AH!$P$10&lt;&gt;1)),"",IFERROR(IF(AND(AH!$P$21=1,2425+1=AH!$P$11),TODAY(),IF(AH!$P$10=1,INDEX('Live History'!$A$5:$A$3004,AH!$P$13+2425),INDEX('AH History'!$A$1:$A$18046,AH!$P$7+2425))),""))</ns0:f>
        <ns0:v/>
      </ns0:c>
      <ns0:c r="B2430" s="219">
        <ns0:f>IFERROR(IF(AND(AH!$P$9&lt;&gt;1,$C2430&gt;0,$D2430&gt;0,$E2430&gt;0,$F2430&gt;0,$G2430&gt;0,$F2430&lt;=$A2430,$G2430&lt;=$A2430,$A2430-$F2430&lt;=10,$A2430-$G2430&lt;=5),$D2430*$E2430/$C2430-1,NA()),NA())</ns0:f>
        <ns0:v/>
      </ns0:c>
      <ns0:c r="C2430">
        <ns0:f>IFERROR(IF(ISNUMBER($A2430),IF(AND(AH!$P$10=1,AH!$P$12=1,$A2430=TODAY()),AH!$P$19,IF(AH!$P$10=1,INDEX('Live History'!$B$5:$B$3004,AH!$P$13+2425),INDEX('AH History'!$B$1:$B$18046,AH!$P$7+2425))),NA()),NA())</ns0:f>
        <ns0:v/>
      </ns0:c>
      <ns0:c r="D2430">
        <ns0:f>IFERROR(IF(ISNUMBER($A2430),IF(AND(AH!$P$10=1,AH!$P$12=1,$A2430=TODAY()),AH!$P$18,IF(AH!$P$10=1,INDEX('Live History'!$E$5:$E$3004,MATCH($A2430,'Live History'!$D$5:$D$3004,1)),INDEX('AH History'!$C$1:$C$18046,AH!$P$7+2425))),NA()),NA())</ns0:f>
        <ns0:v/>
      </ns0:c>
      <ns0:c r="E2430">
        <ns0:f>IFERROR(IF(ISNUMBER($A2430),IF(AND(AH!$P$10=1,AH!$P$12=1,$A2430=TODAY()),AH!$P$20,IF(AH!$P$10=1,INDEX('Live History'!$H$5:$H$3004,MATCH($A2430,'Live History'!$G$5:$G$3004,1)),INDEX('AH History'!$D$1:$D$18046,AH!$P$7+2425))),NA()),NA())</ns0:f>
        <ns0:v/>
      </ns0:c>
      <ns0:c r="F2430">
        <ns0:f>IFERROR(IF(ISNUMBER($A2430),IF(AND(AH!$P$10=1,AH!$P$12=1,$A2430=TODAY()),IF(AND(AH!$P$10=1,AH!$P$12=1,$A2430=TODAY()),TODAY(),NA()),IF(AH!$P$10=1,INDEX('Live History'!$D$5:$D$3004,MATCH($A2430,'Live History'!$D$5:$D$3004,1)),INDEX('AH History'!$E$1:$E$18046,AH!$P$7+2425))),NA()),NA())</ns0:f>
        <ns0:v/>
      </ns0:c>
      <ns0:c r="G2430">
        <ns0:f>IFERROR(IF(ISNUMBER($A2430),IF(AND(AH!$P$10=1,AH!$P$12=1,$A2430=TODAY()),IF(AND(AH!$P$10=1,AH!$P$12=1,$A2430=TODAY()),TODAY(),NA()),IF(AH!$P$10=1,INDEX('Live History'!$G$5:$G$3004,MATCH($A2430,'Live History'!$G$5:$G$3004,1)),INDEX('AH History'!$F$1:$F$18046,AH!$P$7+2425))),NA()),NA())</ns0:f>
        <ns0:v/>
      </ns0:c>
      <ns0:c r="H2430">
        <ns0:f>IFERROR(IF(AND(AH!$E$4="Bloomberg",AH!$P$10=1,ISNUMBER($A2430),$A2430&lt;=AH!$P$17),AH!$P$7-1+MATCH($A2430,INDEX('AH History'!$A$1:$A$18046,AH!$P$7):INDEX('AH History'!$A$1:$A$18046,AH!$P$7+AH!$P$8-1),0),0),0)</ns0:f>
        <ns0:v/>
      </ns0:c>
      <ns0:c r="I2430">
        <ns0:f>IF($H2430=0,0,IFERROR(IF(AND(ABS($C2430-INDEX('AH History'!$B$1:$B$18046,$H2430))&lt;=MAX(0.005,ABS(INDEX('AH History'!$B$1:$B$18046,$H2430))*0.00005),ABS($D2430-INDEX('AH History'!$C$1:$C$18046,$H2430))&lt;=MAX(0.005,ABS(INDEX('AH History'!$C$1:$C$18046,$H2430))*0.00005),ABS($E2430-INDEX('AH History'!$D$1:$D$18046,$H2430))&lt;=0.00005,$F2430=INDEX('AH History'!$E$1:$E$18046,$H2430),$G2430=INDEX('AH History'!$F$1:$F$18046,$H2430)),1,-1),-1))</ns0:f>
        <ns0:v/>
      </ns0:c>
    </ns0:row>
    <ns0:row r="2431">
      <ns0:c r="A2431" s="215">
        <ns0:f>IF(OR(AH!$P$3=0,2426+1&gt;AH!$P$11,AND(AH!$E$4&lt;&gt;"Stored",AH!$P$10&lt;&gt;1)),"",IFERROR(IF(AND(AH!$P$21=1,2426+1=AH!$P$11),TODAY(),IF(AH!$P$10=1,INDEX('Live History'!$A$5:$A$3004,AH!$P$13+2426),INDEX('AH History'!$A$1:$A$18046,AH!$P$7+2426))),""))</ns0:f>
        <ns0:v/>
      </ns0:c>
      <ns0:c r="B2431" s="219">
        <ns0:f>IFERROR(IF(AND(AH!$P$9&lt;&gt;1,$C2431&gt;0,$D2431&gt;0,$E2431&gt;0,$F2431&gt;0,$G2431&gt;0,$F2431&lt;=$A2431,$G2431&lt;=$A2431,$A2431-$F2431&lt;=10,$A2431-$G2431&lt;=5),$D2431*$E2431/$C2431-1,NA()),NA())</ns0:f>
        <ns0:v/>
      </ns0:c>
      <ns0:c r="C2431">
        <ns0:f>IFERROR(IF(ISNUMBER($A2431),IF(AND(AH!$P$10=1,AH!$P$12=1,$A2431=TODAY()),AH!$P$19,IF(AH!$P$10=1,INDEX('Live History'!$B$5:$B$3004,AH!$P$13+2426),INDEX('AH History'!$B$1:$B$18046,AH!$P$7+2426))),NA()),NA())</ns0:f>
        <ns0:v/>
      </ns0:c>
      <ns0:c r="D2431">
        <ns0:f>IFERROR(IF(ISNUMBER($A2431),IF(AND(AH!$P$10=1,AH!$P$12=1,$A2431=TODAY()),AH!$P$18,IF(AH!$P$10=1,INDEX('Live History'!$E$5:$E$3004,MATCH($A2431,'Live History'!$D$5:$D$3004,1)),INDEX('AH History'!$C$1:$C$18046,AH!$P$7+2426))),NA()),NA())</ns0:f>
        <ns0:v/>
      </ns0:c>
      <ns0:c r="E2431">
        <ns0:f>IFERROR(IF(ISNUMBER($A2431),IF(AND(AH!$P$10=1,AH!$P$12=1,$A2431=TODAY()),AH!$P$20,IF(AH!$P$10=1,INDEX('Live History'!$H$5:$H$3004,MATCH($A2431,'Live History'!$G$5:$G$3004,1)),INDEX('AH History'!$D$1:$D$18046,AH!$P$7+2426))),NA()),NA())</ns0:f>
        <ns0:v/>
      </ns0:c>
      <ns0:c r="F2431">
        <ns0:f>IFERROR(IF(ISNUMBER($A2431),IF(AND(AH!$P$10=1,AH!$P$12=1,$A2431=TODAY()),IF(AND(AH!$P$10=1,AH!$P$12=1,$A2431=TODAY()),TODAY(),NA()),IF(AH!$P$10=1,INDEX('Live History'!$D$5:$D$3004,MATCH($A2431,'Live History'!$D$5:$D$3004,1)),INDEX('AH History'!$E$1:$E$18046,AH!$P$7+2426))),NA()),NA())</ns0:f>
        <ns0:v/>
      </ns0:c>
      <ns0:c r="G2431">
        <ns0:f>IFERROR(IF(ISNUMBER($A2431),IF(AND(AH!$P$10=1,AH!$P$12=1,$A2431=TODAY()),IF(AND(AH!$P$10=1,AH!$P$12=1,$A2431=TODAY()),TODAY(),NA()),IF(AH!$P$10=1,INDEX('Live History'!$G$5:$G$3004,MATCH($A2431,'Live History'!$G$5:$G$3004,1)),INDEX('AH History'!$F$1:$F$18046,AH!$P$7+2426))),NA()),NA())</ns0:f>
        <ns0:v/>
      </ns0:c>
      <ns0:c r="H2431">
        <ns0:f>IFERROR(IF(AND(AH!$E$4="Bloomberg",AH!$P$10=1,ISNUMBER($A2431),$A2431&lt;=AH!$P$17),AH!$P$7-1+MATCH($A2431,INDEX('AH History'!$A$1:$A$18046,AH!$P$7):INDEX('AH History'!$A$1:$A$18046,AH!$P$7+AH!$P$8-1),0),0),0)</ns0:f>
        <ns0:v/>
      </ns0:c>
      <ns0:c r="I2431">
        <ns0:f>IF($H2431=0,0,IFERROR(IF(AND(ABS($C2431-INDEX('AH History'!$B$1:$B$18046,$H2431))&lt;=MAX(0.005,ABS(INDEX('AH History'!$B$1:$B$18046,$H2431))*0.00005),ABS($D2431-INDEX('AH History'!$C$1:$C$18046,$H2431))&lt;=MAX(0.005,ABS(INDEX('AH History'!$C$1:$C$18046,$H2431))*0.00005),ABS($E2431-INDEX('AH History'!$D$1:$D$18046,$H2431))&lt;=0.00005,$F2431=INDEX('AH History'!$E$1:$E$18046,$H2431),$G2431=INDEX('AH History'!$F$1:$F$18046,$H2431)),1,-1),-1))</ns0:f>
        <ns0:v/>
      </ns0:c>
    </ns0:row>
    <ns0:row r="2432">
      <ns0:c r="A2432" s="215">
        <ns0:f>IF(OR(AH!$P$3=0,2427+1&gt;AH!$P$11,AND(AH!$E$4&lt;&gt;"Stored",AH!$P$10&lt;&gt;1)),"",IFERROR(IF(AND(AH!$P$21=1,2427+1=AH!$P$11),TODAY(),IF(AH!$P$10=1,INDEX('Live History'!$A$5:$A$3004,AH!$P$13+2427),INDEX('AH History'!$A$1:$A$18046,AH!$P$7+2427))),""))</ns0:f>
        <ns0:v/>
      </ns0:c>
      <ns0:c r="B2432" s="219">
        <ns0:f>IFERROR(IF(AND(AH!$P$9&lt;&gt;1,$C2432&gt;0,$D2432&gt;0,$E2432&gt;0,$F2432&gt;0,$G2432&gt;0,$F2432&lt;=$A2432,$G2432&lt;=$A2432,$A2432-$F2432&lt;=10,$A2432-$G2432&lt;=5),$D2432*$E2432/$C2432-1,NA()),NA())</ns0:f>
        <ns0:v/>
      </ns0:c>
      <ns0:c r="C2432">
        <ns0:f>IFERROR(IF(ISNUMBER($A2432),IF(AND(AH!$P$10=1,AH!$P$12=1,$A2432=TODAY()),AH!$P$19,IF(AH!$P$10=1,INDEX('Live History'!$B$5:$B$3004,AH!$P$13+2427),INDEX('AH History'!$B$1:$B$18046,AH!$P$7+2427))),NA()),NA())</ns0:f>
        <ns0:v/>
      </ns0:c>
      <ns0:c r="D2432">
        <ns0:f>IFERROR(IF(ISNUMBER($A2432),IF(AND(AH!$P$10=1,AH!$P$12=1,$A2432=TODAY()),AH!$P$18,IF(AH!$P$10=1,INDEX('Live History'!$E$5:$E$3004,MATCH($A2432,'Live History'!$D$5:$D$3004,1)),INDEX('AH History'!$C$1:$C$18046,AH!$P$7+2427))),NA()),NA())</ns0:f>
        <ns0:v/>
      </ns0:c>
      <ns0:c r="E2432">
        <ns0:f>IFERROR(IF(ISNUMBER($A2432),IF(AND(AH!$P$10=1,AH!$P$12=1,$A2432=TODAY()),AH!$P$20,IF(AH!$P$10=1,INDEX('Live History'!$H$5:$H$3004,MATCH($A2432,'Live History'!$G$5:$G$3004,1)),INDEX('AH History'!$D$1:$D$18046,AH!$P$7+2427))),NA()),NA())</ns0:f>
        <ns0:v/>
      </ns0:c>
      <ns0:c r="F2432">
        <ns0:f>IFERROR(IF(ISNUMBER($A2432),IF(AND(AH!$P$10=1,AH!$P$12=1,$A2432=TODAY()),IF(AND(AH!$P$10=1,AH!$P$12=1,$A2432=TODAY()),TODAY(),NA()),IF(AH!$P$10=1,INDEX('Live History'!$D$5:$D$3004,MATCH($A2432,'Live History'!$D$5:$D$3004,1)),INDEX('AH History'!$E$1:$E$18046,AH!$P$7+2427))),NA()),NA())</ns0:f>
        <ns0:v/>
      </ns0:c>
      <ns0:c r="G2432">
        <ns0:f>IFERROR(IF(ISNUMBER($A2432),IF(AND(AH!$P$10=1,AH!$P$12=1,$A2432=TODAY()),IF(AND(AH!$P$10=1,AH!$P$12=1,$A2432=TODAY()),TODAY(),NA()),IF(AH!$P$10=1,INDEX('Live History'!$G$5:$G$3004,MATCH($A2432,'Live History'!$G$5:$G$3004,1)),INDEX('AH History'!$F$1:$F$18046,AH!$P$7+2427))),NA()),NA())</ns0:f>
        <ns0:v/>
      </ns0:c>
      <ns0:c r="H2432">
        <ns0:f>IFERROR(IF(AND(AH!$E$4="Bloomberg",AH!$P$10=1,ISNUMBER($A2432),$A2432&lt;=AH!$P$17),AH!$P$7-1+MATCH($A2432,INDEX('AH History'!$A$1:$A$18046,AH!$P$7):INDEX('AH History'!$A$1:$A$18046,AH!$P$7+AH!$P$8-1),0),0),0)</ns0:f>
        <ns0:v/>
      </ns0:c>
      <ns0:c r="I2432">
        <ns0:f>IF($H2432=0,0,IFERROR(IF(AND(ABS($C2432-INDEX('AH History'!$B$1:$B$18046,$H2432))&lt;=MAX(0.005,ABS(INDEX('AH History'!$B$1:$B$18046,$H2432))*0.00005),ABS($D2432-INDEX('AH History'!$C$1:$C$18046,$H2432))&lt;=MAX(0.005,ABS(INDEX('AH History'!$C$1:$C$18046,$H2432))*0.00005),ABS($E2432-INDEX('AH History'!$D$1:$D$18046,$H2432))&lt;=0.00005,$F2432=INDEX('AH History'!$E$1:$E$18046,$H2432),$G2432=INDEX('AH History'!$F$1:$F$18046,$H2432)),1,-1),-1))</ns0:f>
        <ns0:v/>
      </ns0:c>
    </ns0:row>
    <ns0:row r="2433">
      <ns0:c r="A2433" s="215">
        <ns0:f>IF(OR(AH!$P$3=0,2428+1&gt;AH!$P$11,AND(AH!$E$4&lt;&gt;"Stored",AH!$P$10&lt;&gt;1)),"",IFERROR(IF(AND(AH!$P$21=1,2428+1=AH!$P$11),TODAY(),IF(AH!$P$10=1,INDEX('Live History'!$A$5:$A$3004,AH!$P$13+2428),INDEX('AH History'!$A$1:$A$18046,AH!$P$7+2428))),""))</ns0:f>
        <ns0:v/>
      </ns0:c>
      <ns0:c r="B2433" s="219">
        <ns0:f>IFERROR(IF(AND(AH!$P$9&lt;&gt;1,$C2433&gt;0,$D2433&gt;0,$E2433&gt;0,$F2433&gt;0,$G2433&gt;0,$F2433&lt;=$A2433,$G2433&lt;=$A2433,$A2433-$F2433&lt;=10,$A2433-$G2433&lt;=5),$D2433*$E2433/$C2433-1,NA()),NA())</ns0:f>
        <ns0:v/>
      </ns0:c>
      <ns0:c r="C2433">
        <ns0:f>IFERROR(IF(ISNUMBER($A2433),IF(AND(AH!$P$10=1,AH!$P$12=1,$A2433=TODAY()),AH!$P$19,IF(AH!$P$10=1,INDEX('Live History'!$B$5:$B$3004,AH!$P$13+2428),INDEX('AH History'!$B$1:$B$18046,AH!$P$7+2428))),NA()),NA())</ns0:f>
        <ns0:v/>
      </ns0:c>
      <ns0:c r="D2433">
        <ns0:f>IFERROR(IF(ISNUMBER($A2433),IF(AND(AH!$P$10=1,AH!$P$12=1,$A2433=TODAY()),AH!$P$18,IF(AH!$P$10=1,INDEX('Live History'!$E$5:$E$3004,MATCH($A2433,'Live History'!$D$5:$D$3004,1)),INDEX('AH History'!$C$1:$C$18046,AH!$P$7+2428))),NA()),NA())</ns0:f>
        <ns0:v/>
      </ns0:c>
      <ns0:c r="E2433">
        <ns0:f>IFERROR(IF(ISNUMBER($A2433),IF(AND(AH!$P$10=1,AH!$P$12=1,$A2433=TODAY()),AH!$P$20,IF(AH!$P$10=1,INDEX('Live History'!$H$5:$H$3004,MATCH($A2433,'Live History'!$G$5:$G$3004,1)),INDEX('AH History'!$D$1:$D$18046,AH!$P$7+2428))),NA()),NA())</ns0:f>
        <ns0:v/>
      </ns0:c>
      <ns0:c r="F2433">
        <ns0:f>IFERROR(IF(ISNUMBER($A2433),IF(AND(AH!$P$10=1,AH!$P$12=1,$A2433=TODAY()),IF(AND(AH!$P$10=1,AH!$P$12=1,$A2433=TODAY()),TODAY(),NA()),IF(AH!$P$10=1,INDEX('Live History'!$D$5:$D$3004,MATCH($A2433,'Live History'!$D$5:$D$3004,1)),INDEX('AH History'!$E$1:$E$18046,AH!$P$7+2428))),NA()),NA())</ns0:f>
        <ns0:v/>
      </ns0:c>
      <ns0:c r="G2433">
        <ns0:f>IFERROR(IF(ISNUMBER($A2433),IF(AND(AH!$P$10=1,AH!$P$12=1,$A2433=TODAY()),IF(AND(AH!$P$10=1,AH!$P$12=1,$A2433=TODAY()),TODAY(),NA()),IF(AH!$P$10=1,INDEX('Live History'!$G$5:$G$3004,MATCH($A2433,'Live History'!$G$5:$G$3004,1)),INDEX('AH History'!$F$1:$F$18046,AH!$P$7+2428))),NA()),NA())</ns0:f>
        <ns0:v/>
      </ns0:c>
      <ns0:c r="H2433">
        <ns0:f>IFERROR(IF(AND(AH!$E$4="Bloomberg",AH!$P$10=1,ISNUMBER($A2433),$A2433&lt;=AH!$P$17),AH!$P$7-1+MATCH($A2433,INDEX('AH History'!$A$1:$A$18046,AH!$P$7):INDEX('AH History'!$A$1:$A$18046,AH!$P$7+AH!$P$8-1),0),0),0)</ns0:f>
        <ns0:v/>
      </ns0:c>
      <ns0:c r="I2433">
        <ns0:f>IF($H2433=0,0,IFERROR(IF(AND(ABS($C2433-INDEX('AH History'!$B$1:$B$18046,$H2433))&lt;=MAX(0.005,ABS(INDEX('AH History'!$B$1:$B$18046,$H2433))*0.00005),ABS($D2433-INDEX('AH History'!$C$1:$C$18046,$H2433))&lt;=MAX(0.005,ABS(INDEX('AH History'!$C$1:$C$18046,$H2433))*0.00005),ABS($E2433-INDEX('AH History'!$D$1:$D$18046,$H2433))&lt;=0.00005,$F2433=INDEX('AH History'!$E$1:$E$18046,$H2433),$G2433=INDEX('AH History'!$F$1:$F$18046,$H2433)),1,-1),-1))</ns0:f>
        <ns0:v/>
      </ns0:c>
    </ns0:row>
    <ns0:row r="2434">
      <ns0:c r="A2434" s="215">
        <ns0:f>IF(OR(AH!$P$3=0,2429+1&gt;AH!$P$11,AND(AH!$E$4&lt;&gt;"Stored",AH!$P$10&lt;&gt;1)),"",IFERROR(IF(AND(AH!$P$21=1,2429+1=AH!$P$11),TODAY(),IF(AH!$P$10=1,INDEX('Live History'!$A$5:$A$3004,AH!$P$13+2429),INDEX('AH History'!$A$1:$A$18046,AH!$P$7+2429))),""))</ns0:f>
        <ns0:v/>
      </ns0:c>
      <ns0:c r="B2434" s="219">
        <ns0:f>IFERROR(IF(AND(AH!$P$9&lt;&gt;1,$C2434&gt;0,$D2434&gt;0,$E2434&gt;0,$F2434&gt;0,$G2434&gt;0,$F2434&lt;=$A2434,$G2434&lt;=$A2434,$A2434-$F2434&lt;=10,$A2434-$G2434&lt;=5),$D2434*$E2434/$C2434-1,NA()),NA())</ns0:f>
        <ns0:v/>
      </ns0:c>
      <ns0:c r="C2434">
        <ns0:f>IFERROR(IF(ISNUMBER($A2434),IF(AND(AH!$P$10=1,AH!$P$12=1,$A2434=TODAY()),AH!$P$19,IF(AH!$P$10=1,INDEX('Live History'!$B$5:$B$3004,AH!$P$13+2429),INDEX('AH History'!$B$1:$B$18046,AH!$P$7+2429))),NA()),NA())</ns0:f>
        <ns0:v/>
      </ns0:c>
      <ns0:c r="D2434">
        <ns0:f>IFERROR(IF(ISNUMBER($A2434),IF(AND(AH!$P$10=1,AH!$P$12=1,$A2434=TODAY()),AH!$P$18,IF(AH!$P$10=1,INDEX('Live History'!$E$5:$E$3004,MATCH($A2434,'Live History'!$D$5:$D$3004,1)),INDEX('AH History'!$C$1:$C$18046,AH!$P$7+2429))),NA()),NA())</ns0:f>
        <ns0:v/>
      </ns0:c>
      <ns0:c r="E2434">
        <ns0:f>IFERROR(IF(ISNUMBER($A2434),IF(AND(AH!$P$10=1,AH!$P$12=1,$A2434=TODAY()),AH!$P$20,IF(AH!$P$10=1,INDEX('Live History'!$H$5:$H$3004,MATCH($A2434,'Live History'!$G$5:$G$3004,1)),INDEX('AH History'!$D$1:$D$18046,AH!$P$7+2429))),NA()),NA())</ns0:f>
        <ns0:v/>
      </ns0:c>
      <ns0:c r="F2434">
        <ns0:f>IFERROR(IF(ISNUMBER($A2434),IF(AND(AH!$P$10=1,AH!$P$12=1,$A2434=TODAY()),IF(AND(AH!$P$10=1,AH!$P$12=1,$A2434=TODAY()),TODAY(),NA()),IF(AH!$P$10=1,INDEX('Live History'!$D$5:$D$3004,MATCH($A2434,'Live History'!$D$5:$D$3004,1)),INDEX('AH History'!$E$1:$E$18046,AH!$P$7+2429))),NA()),NA())</ns0:f>
        <ns0:v/>
      </ns0:c>
      <ns0:c r="G2434">
        <ns0:f>IFERROR(IF(ISNUMBER($A2434),IF(AND(AH!$P$10=1,AH!$P$12=1,$A2434=TODAY()),IF(AND(AH!$P$10=1,AH!$P$12=1,$A2434=TODAY()),TODAY(),NA()),IF(AH!$P$10=1,INDEX('Live History'!$G$5:$G$3004,MATCH($A2434,'Live History'!$G$5:$G$3004,1)),INDEX('AH History'!$F$1:$F$18046,AH!$P$7+2429))),NA()),NA())</ns0:f>
        <ns0:v/>
      </ns0:c>
      <ns0:c r="H2434">
        <ns0:f>IFERROR(IF(AND(AH!$E$4="Bloomberg",AH!$P$10=1,ISNUMBER($A2434),$A2434&lt;=AH!$P$17),AH!$P$7-1+MATCH($A2434,INDEX('AH History'!$A$1:$A$18046,AH!$P$7):INDEX('AH History'!$A$1:$A$18046,AH!$P$7+AH!$P$8-1),0),0),0)</ns0:f>
        <ns0:v/>
      </ns0:c>
      <ns0:c r="I2434">
        <ns0:f>IF($H2434=0,0,IFERROR(IF(AND(ABS($C2434-INDEX('AH History'!$B$1:$B$18046,$H2434))&lt;=MAX(0.005,ABS(INDEX('AH History'!$B$1:$B$18046,$H2434))*0.00005),ABS($D2434-INDEX('AH History'!$C$1:$C$18046,$H2434))&lt;=MAX(0.005,ABS(INDEX('AH History'!$C$1:$C$18046,$H2434))*0.00005),ABS($E2434-INDEX('AH History'!$D$1:$D$18046,$H2434))&lt;=0.00005,$F2434=INDEX('AH History'!$E$1:$E$18046,$H2434),$G2434=INDEX('AH History'!$F$1:$F$18046,$H2434)),1,-1),-1))</ns0:f>
        <ns0:v/>
      </ns0:c>
    </ns0:row>
    <ns0:row r="2435">
      <ns0:c r="A2435" s="215">
        <ns0:f>IF(OR(AH!$P$3=0,2430+1&gt;AH!$P$11,AND(AH!$E$4&lt;&gt;"Stored",AH!$P$10&lt;&gt;1)),"",IFERROR(IF(AND(AH!$P$21=1,2430+1=AH!$P$11),TODAY(),IF(AH!$P$10=1,INDEX('Live History'!$A$5:$A$3004,AH!$P$13+2430),INDEX('AH History'!$A$1:$A$18046,AH!$P$7+2430))),""))</ns0:f>
        <ns0:v/>
      </ns0:c>
      <ns0:c r="B2435" s="219">
        <ns0:f>IFERROR(IF(AND(AH!$P$9&lt;&gt;1,$C2435&gt;0,$D2435&gt;0,$E2435&gt;0,$F2435&gt;0,$G2435&gt;0,$F2435&lt;=$A2435,$G2435&lt;=$A2435,$A2435-$F2435&lt;=10,$A2435-$G2435&lt;=5),$D2435*$E2435/$C2435-1,NA()),NA())</ns0:f>
        <ns0:v/>
      </ns0:c>
      <ns0:c r="C2435">
        <ns0:f>IFERROR(IF(ISNUMBER($A2435),IF(AND(AH!$P$10=1,AH!$P$12=1,$A2435=TODAY()),AH!$P$19,IF(AH!$P$10=1,INDEX('Live History'!$B$5:$B$3004,AH!$P$13+2430),INDEX('AH History'!$B$1:$B$18046,AH!$P$7+2430))),NA()),NA())</ns0:f>
        <ns0:v/>
      </ns0:c>
      <ns0:c r="D2435">
        <ns0:f>IFERROR(IF(ISNUMBER($A2435),IF(AND(AH!$P$10=1,AH!$P$12=1,$A2435=TODAY()),AH!$P$18,IF(AH!$P$10=1,INDEX('Live History'!$E$5:$E$3004,MATCH($A2435,'Live History'!$D$5:$D$3004,1)),INDEX('AH History'!$C$1:$C$18046,AH!$P$7+2430))),NA()),NA())</ns0:f>
        <ns0:v/>
      </ns0:c>
      <ns0:c r="E2435">
        <ns0:f>IFERROR(IF(ISNUMBER($A2435),IF(AND(AH!$P$10=1,AH!$P$12=1,$A2435=TODAY()),AH!$P$20,IF(AH!$P$10=1,INDEX('Live History'!$H$5:$H$3004,MATCH($A2435,'Live History'!$G$5:$G$3004,1)),INDEX('AH History'!$D$1:$D$18046,AH!$P$7+2430))),NA()),NA())</ns0:f>
        <ns0:v/>
      </ns0:c>
      <ns0:c r="F2435">
        <ns0:f>IFERROR(IF(ISNUMBER($A2435),IF(AND(AH!$P$10=1,AH!$P$12=1,$A2435=TODAY()),IF(AND(AH!$P$10=1,AH!$P$12=1,$A2435=TODAY()),TODAY(),NA()),IF(AH!$P$10=1,INDEX('Live History'!$D$5:$D$3004,MATCH($A2435,'Live History'!$D$5:$D$3004,1)),INDEX('AH History'!$E$1:$E$18046,AH!$P$7+2430))),NA()),NA())</ns0:f>
        <ns0:v/>
      </ns0:c>
      <ns0:c r="G2435">
        <ns0:f>IFERROR(IF(ISNUMBER($A2435),IF(AND(AH!$P$10=1,AH!$P$12=1,$A2435=TODAY()),IF(AND(AH!$P$10=1,AH!$P$12=1,$A2435=TODAY()),TODAY(),NA()),IF(AH!$P$10=1,INDEX('Live History'!$G$5:$G$3004,MATCH($A2435,'Live History'!$G$5:$G$3004,1)),INDEX('AH History'!$F$1:$F$18046,AH!$P$7+2430))),NA()),NA())</ns0:f>
        <ns0:v/>
      </ns0:c>
      <ns0:c r="H2435">
        <ns0:f>IFERROR(IF(AND(AH!$E$4="Bloomberg",AH!$P$10=1,ISNUMBER($A2435),$A2435&lt;=AH!$P$17),AH!$P$7-1+MATCH($A2435,INDEX('AH History'!$A$1:$A$18046,AH!$P$7):INDEX('AH History'!$A$1:$A$18046,AH!$P$7+AH!$P$8-1),0),0),0)</ns0:f>
        <ns0:v/>
      </ns0:c>
      <ns0:c r="I2435">
        <ns0:f>IF($H2435=0,0,IFERROR(IF(AND(ABS($C2435-INDEX('AH History'!$B$1:$B$18046,$H2435))&lt;=MAX(0.005,ABS(INDEX('AH History'!$B$1:$B$18046,$H2435))*0.00005),ABS($D2435-INDEX('AH History'!$C$1:$C$18046,$H2435))&lt;=MAX(0.005,ABS(INDEX('AH History'!$C$1:$C$18046,$H2435))*0.00005),ABS($E2435-INDEX('AH History'!$D$1:$D$18046,$H2435))&lt;=0.00005,$F2435=INDEX('AH History'!$E$1:$E$18046,$H2435),$G2435=INDEX('AH History'!$F$1:$F$18046,$H2435)),1,-1),-1))</ns0:f>
        <ns0:v/>
      </ns0:c>
    </ns0:row>
    <ns0:row r="2436">
      <ns0:c r="A2436" s="215">
        <ns0:f>IF(OR(AH!$P$3=0,2431+1&gt;AH!$P$11,AND(AH!$E$4&lt;&gt;"Stored",AH!$P$10&lt;&gt;1)),"",IFERROR(IF(AND(AH!$P$21=1,2431+1=AH!$P$11),TODAY(),IF(AH!$P$10=1,INDEX('Live History'!$A$5:$A$3004,AH!$P$13+2431),INDEX('AH History'!$A$1:$A$18046,AH!$P$7+2431))),""))</ns0:f>
        <ns0:v/>
      </ns0:c>
      <ns0:c r="B2436" s="219">
        <ns0:f>IFERROR(IF(AND(AH!$P$9&lt;&gt;1,$C2436&gt;0,$D2436&gt;0,$E2436&gt;0,$F2436&gt;0,$G2436&gt;0,$F2436&lt;=$A2436,$G2436&lt;=$A2436,$A2436-$F2436&lt;=10,$A2436-$G2436&lt;=5),$D2436*$E2436/$C2436-1,NA()),NA())</ns0:f>
        <ns0:v/>
      </ns0:c>
      <ns0:c r="C2436">
        <ns0:f>IFERROR(IF(ISNUMBER($A2436),IF(AND(AH!$P$10=1,AH!$P$12=1,$A2436=TODAY()),AH!$P$19,IF(AH!$P$10=1,INDEX('Live History'!$B$5:$B$3004,AH!$P$13+2431),INDEX('AH History'!$B$1:$B$18046,AH!$P$7+2431))),NA()),NA())</ns0:f>
        <ns0:v/>
      </ns0:c>
      <ns0:c r="D2436">
        <ns0:f>IFERROR(IF(ISNUMBER($A2436),IF(AND(AH!$P$10=1,AH!$P$12=1,$A2436=TODAY()),AH!$P$18,IF(AH!$P$10=1,INDEX('Live History'!$E$5:$E$3004,MATCH($A2436,'Live History'!$D$5:$D$3004,1)),INDEX('AH History'!$C$1:$C$18046,AH!$P$7+2431))),NA()),NA())</ns0:f>
        <ns0:v/>
      </ns0:c>
      <ns0:c r="E2436">
        <ns0:f>IFERROR(IF(ISNUMBER($A2436),IF(AND(AH!$P$10=1,AH!$P$12=1,$A2436=TODAY()),AH!$P$20,IF(AH!$P$10=1,INDEX('Live History'!$H$5:$H$3004,MATCH($A2436,'Live History'!$G$5:$G$3004,1)),INDEX('AH History'!$D$1:$D$18046,AH!$P$7+2431))),NA()),NA())</ns0:f>
        <ns0:v/>
      </ns0:c>
      <ns0:c r="F2436">
        <ns0:f>IFERROR(IF(ISNUMBER($A2436),IF(AND(AH!$P$10=1,AH!$P$12=1,$A2436=TODAY()),IF(AND(AH!$P$10=1,AH!$P$12=1,$A2436=TODAY()),TODAY(),NA()),IF(AH!$P$10=1,INDEX('Live History'!$D$5:$D$3004,MATCH($A2436,'Live History'!$D$5:$D$3004,1)),INDEX('AH History'!$E$1:$E$18046,AH!$P$7+2431))),NA()),NA())</ns0:f>
        <ns0:v/>
      </ns0:c>
      <ns0:c r="G2436">
        <ns0:f>IFERROR(IF(ISNUMBER($A2436),IF(AND(AH!$P$10=1,AH!$P$12=1,$A2436=TODAY()),IF(AND(AH!$P$10=1,AH!$P$12=1,$A2436=TODAY()),TODAY(),NA()),IF(AH!$P$10=1,INDEX('Live History'!$G$5:$G$3004,MATCH($A2436,'Live History'!$G$5:$G$3004,1)),INDEX('AH History'!$F$1:$F$18046,AH!$P$7+2431))),NA()),NA())</ns0:f>
        <ns0:v/>
      </ns0:c>
      <ns0:c r="H2436">
        <ns0:f>IFERROR(IF(AND(AH!$E$4="Bloomberg",AH!$P$10=1,ISNUMBER($A2436),$A2436&lt;=AH!$P$17),AH!$P$7-1+MATCH($A2436,INDEX('AH History'!$A$1:$A$18046,AH!$P$7):INDEX('AH History'!$A$1:$A$18046,AH!$P$7+AH!$P$8-1),0),0),0)</ns0:f>
        <ns0:v/>
      </ns0:c>
      <ns0:c r="I2436">
        <ns0:f>IF($H2436=0,0,IFERROR(IF(AND(ABS($C2436-INDEX('AH History'!$B$1:$B$18046,$H2436))&lt;=MAX(0.005,ABS(INDEX('AH History'!$B$1:$B$18046,$H2436))*0.00005),ABS($D2436-INDEX('AH History'!$C$1:$C$18046,$H2436))&lt;=MAX(0.005,ABS(INDEX('AH History'!$C$1:$C$18046,$H2436))*0.00005),ABS($E2436-INDEX('AH History'!$D$1:$D$18046,$H2436))&lt;=0.00005,$F2436=INDEX('AH History'!$E$1:$E$18046,$H2436),$G2436=INDEX('AH History'!$F$1:$F$18046,$H2436)),1,-1),-1))</ns0:f>
        <ns0:v/>
      </ns0:c>
    </ns0:row>
    <ns0:row r="2437">
      <ns0:c r="A2437" s="215">
        <ns0:f>IF(OR(AH!$P$3=0,2432+1&gt;AH!$P$11,AND(AH!$E$4&lt;&gt;"Stored",AH!$P$10&lt;&gt;1)),"",IFERROR(IF(AND(AH!$P$21=1,2432+1=AH!$P$11),TODAY(),IF(AH!$P$10=1,INDEX('Live History'!$A$5:$A$3004,AH!$P$13+2432),INDEX('AH History'!$A$1:$A$18046,AH!$P$7+2432))),""))</ns0:f>
        <ns0:v/>
      </ns0:c>
      <ns0:c r="B2437" s="219">
        <ns0:f>IFERROR(IF(AND(AH!$P$9&lt;&gt;1,$C2437&gt;0,$D2437&gt;0,$E2437&gt;0,$F2437&gt;0,$G2437&gt;0,$F2437&lt;=$A2437,$G2437&lt;=$A2437,$A2437-$F2437&lt;=10,$A2437-$G2437&lt;=5),$D2437*$E2437/$C2437-1,NA()),NA())</ns0:f>
        <ns0:v/>
      </ns0:c>
      <ns0:c r="C2437">
        <ns0:f>IFERROR(IF(ISNUMBER($A2437),IF(AND(AH!$P$10=1,AH!$P$12=1,$A2437=TODAY()),AH!$P$19,IF(AH!$P$10=1,INDEX('Live History'!$B$5:$B$3004,AH!$P$13+2432),INDEX('AH History'!$B$1:$B$18046,AH!$P$7+2432))),NA()),NA())</ns0:f>
        <ns0:v/>
      </ns0:c>
      <ns0:c r="D2437">
        <ns0:f>IFERROR(IF(ISNUMBER($A2437),IF(AND(AH!$P$10=1,AH!$P$12=1,$A2437=TODAY()),AH!$P$18,IF(AH!$P$10=1,INDEX('Live History'!$E$5:$E$3004,MATCH($A2437,'Live History'!$D$5:$D$3004,1)),INDEX('AH History'!$C$1:$C$18046,AH!$P$7+2432))),NA()),NA())</ns0:f>
        <ns0:v/>
      </ns0:c>
      <ns0:c r="E2437">
        <ns0:f>IFERROR(IF(ISNUMBER($A2437),IF(AND(AH!$P$10=1,AH!$P$12=1,$A2437=TODAY()),AH!$P$20,IF(AH!$P$10=1,INDEX('Live History'!$H$5:$H$3004,MATCH($A2437,'Live History'!$G$5:$G$3004,1)),INDEX('AH History'!$D$1:$D$18046,AH!$P$7+2432))),NA()),NA())</ns0:f>
        <ns0:v/>
      </ns0:c>
      <ns0:c r="F2437">
        <ns0:f>IFERROR(IF(ISNUMBER($A2437),IF(AND(AH!$P$10=1,AH!$P$12=1,$A2437=TODAY()),IF(AND(AH!$P$10=1,AH!$P$12=1,$A2437=TODAY()),TODAY(),NA()),IF(AH!$P$10=1,INDEX('Live History'!$D$5:$D$3004,MATCH($A2437,'Live History'!$D$5:$D$3004,1)),INDEX('AH History'!$E$1:$E$18046,AH!$P$7+2432))),NA()),NA())</ns0:f>
        <ns0:v/>
      </ns0:c>
      <ns0:c r="G2437">
        <ns0:f>IFERROR(IF(ISNUMBER($A2437),IF(AND(AH!$P$10=1,AH!$P$12=1,$A2437=TODAY()),IF(AND(AH!$P$10=1,AH!$P$12=1,$A2437=TODAY()),TODAY(),NA()),IF(AH!$P$10=1,INDEX('Live History'!$G$5:$G$3004,MATCH($A2437,'Live History'!$G$5:$G$3004,1)),INDEX('AH History'!$F$1:$F$18046,AH!$P$7+2432))),NA()),NA())</ns0:f>
        <ns0:v/>
      </ns0:c>
      <ns0:c r="H2437">
        <ns0:f>IFERROR(IF(AND(AH!$E$4="Bloomberg",AH!$P$10=1,ISNUMBER($A2437),$A2437&lt;=AH!$P$17),AH!$P$7-1+MATCH($A2437,INDEX('AH History'!$A$1:$A$18046,AH!$P$7):INDEX('AH History'!$A$1:$A$18046,AH!$P$7+AH!$P$8-1),0),0),0)</ns0:f>
        <ns0:v/>
      </ns0:c>
      <ns0:c r="I2437">
        <ns0:f>IF($H2437=0,0,IFERROR(IF(AND(ABS($C2437-INDEX('AH History'!$B$1:$B$18046,$H2437))&lt;=MAX(0.005,ABS(INDEX('AH History'!$B$1:$B$18046,$H2437))*0.00005),ABS($D2437-INDEX('AH History'!$C$1:$C$18046,$H2437))&lt;=MAX(0.005,ABS(INDEX('AH History'!$C$1:$C$18046,$H2437))*0.00005),ABS($E2437-INDEX('AH History'!$D$1:$D$18046,$H2437))&lt;=0.00005,$F2437=INDEX('AH History'!$E$1:$E$18046,$H2437),$G2437=INDEX('AH History'!$F$1:$F$18046,$H2437)),1,-1),-1))</ns0:f>
        <ns0:v/>
      </ns0:c>
    </ns0:row>
    <ns0:row r="2438">
      <ns0:c r="A2438" s="215">
        <ns0:f>IF(OR(AH!$P$3=0,2433+1&gt;AH!$P$11,AND(AH!$E$4&lt;&gt;"Stored",AH!$P$10&lt;&gt;1)),"",IFERROR(IF(AND(AH!$P$21=1,2433+1=AH!$P$11),TODAY(),IF(AH!$P$10=1,INDEX('Live History'!$A$5:$A$3004,AH!$P$13+2433),INDEX('AH History'!$A$1:$A$18046,AH!$P$7+2433))),""))</ns0:f>
        <ns0:v/>
      </ns0:c>
      <ns0:c r="B2438" s="219">
        <ns0:f>IFERROR(IF(AND(AH!$P$9&lt;&gt;1,$C2438&gt;0,$D2438&gt;0,$E2438&gt;0,$F2438&gt;0,$G2438&gt;0,$F2438&lt;=$A2438,$G2438&lt;=$A2438,$A2438-$F2438&lt;=10,$A2438-$G2438&lt;=5),$D2438*$E2438/$C2438-1,NA()),NA())</ns0:f>
        <ns0:v/>
      </ns0:c>
      <ns0:c r="C2438">
        <ns0:f>IFERROR(IF(ISNUMBER($A2438),IF(AND(AH!$P$10=1,AH!$P$12=1,$A2438=TODAY()),AH!$P$19,IF(AH!$P$10=1,INDEX('Live History'!$B$5:$B$3004,AH!$P$13+2433),INDEX('AH History'!$B$1:$B$18046,AH!$P$7+2433))),NA()),NA())</ns0:f>
        <ns0:v/>
      </ns0:c>
      <ns0:c r="D2438">
        <ns0:f>IFERROR(IF(ISNUMBER($A2438),IF(AND(AH!$P$10=1,AH!$P$12=1,$A2438=TODAY()),AH!$P$18,IF(AH!$P$10=1,INDEX('Live History'!$E$5:$E$3004,MATCH($A2438,'Live History'!$D$5:$D$3004,1)),INDEX('AH History'!$C$1:$C$18046,AH!$P$7+2433))),NA()),NA())</ns0:f>
        <ns0:v/>
      </ns0:c>
      <ns0:c r="E2438">
        <ns0:f>IFERROR(IF(ISNUMBER($A2438),IF(AND(AH!$P$10=1,AH!$P$12=1,$A2438=TODAY()),AH!$P$20,IF(AH!$P$10=1,INDEX('Live History'!$H$5:$H$3004,MATCH($A2438,'Live History'!$G$5:$G$3004,1)),INDEX('AH History'!$D$1:$D$18046,AH!$P$7+2433))),NA()),NA())</ns0:f>
        <ns0:v/>
      </ns0:c>
      <ns0:c r="F2438">
        <ns0:f>IFERROR(IF(ISNUMBER($A2438),IF(AND(AH!$P$10=1,AH!$P$12=1,$A2438=TODAY()),IF(AND(AH!$P$10=1,AH!$P$12=1,$A2438=TODAY()),TODAY(),NA()),IF(AH!$P$10=1,INDEX('Live History'!$D$5:$D$3004,MATCH($A2438,'Live History'!$D$5:$D$3004,1)),INDEX('AH History'!$E$1:$E$18046,AH!$P$7+2433))),NA()),NA())</ns0:f>
        <ns0:v/>
      </ns0:c>
      <ns0:c r="G2438">
        <ns0:f>IFERROR(IF(ISNUMBER($A2438),IF(AND(AH!$P$10=1,AH!$P$12=1,$A2438=TODAY()),IF(AND(AH!$P$10=1,AH!$P$12=1,$A2438=TODAY()),TODAY(),NA()),IF(AH!$P$10=1,INDEX('Live History'!$G$5:$G$3004,MATCH($A2438,'Live History'!$G$5:$G$3004,1)),INDEX('AH History'!$F$1:$F$18046,AH!$P$7+2433))),NA()),NA())</ns0:f>
        <ns0:v/>
      </ns0:c>
      <ns0:c r="H2438">
        <ns0:f>IFERROR(IF(AND(AH!$E$4="Bloomberg",AH!$P$10=1,ISNUMBER($A2438),$A2438&lt;=AH!$P$17),AH!$P$7-1+MATCH($A2438,INDEX('AH History'!$A$1:$A$18046,AH!$P$7):INDEX('AH History'!$A$1:$A$18046,AH!$P$7+AH!$P$8-1),0),0),0)</ns0:f>
        <ns0:v/>
      </ns0:c>
      <ns0:c r="I2438">
        <ns0:f>IF($H2438=0,0,IFERROR(IF(AND(ABS($C2438-INDEX('AH History'!$B$1:$B$18046,$H2438))&lt;=MAX(0.005,ABS(INDEX('AH History'!$B$1:$B$18046,$H2438))*0.00005),ABS($D2438-INDEX('AH History'!$C$1:$C$18046,$H2438))&lt;=MAX(0.005,ABS(INDEX('AH History'!$C$1:$C$18046,$H2438))*0.00005),ABS($E2438-INDEX('AH History'!$D$1:$D$18046,$H2438))&lt;=0.00005,$F2438=INDEX('AH History'!$E$1:$E$18046,$H2438),$G2438=INDEX('AH History'!$F$1:$F$18046,$H2438)),1,-1),-1))</ns0:f>
        <ns0:v/>
      </ns0:c>
    </ns0:row>
    <ns0:row r="2439">
      <ns0:c r="A2439" s="215">
        <ns0:f>IF(OR(AH!$P$3=0,2434+1&gt;AH!$P$11,AND(AH!$E$4&lt;&gt;"Stored",AH!$P$10&lt;&gt;1)),"",IFERROR(IF(AND(AH!$P$21=1,2434+1=AH!$P$11),TODAY(),IF(AH!$P$10=1,INDEX('Live History'!$A$5:$A$3004,AH!$P$13+2434),INDEX('AH History'!$A$1:$A$18046,AH!$P$7+2434))),""))</ns0:f>
        <ns0:v/>
      </ns0:c>
      <ns0:c r="B2439" s="219">
        <ns0:f>IFERROR(IF(AND(AH!$P$9&lt;&gt;1,$C2439&gt;0,$D2439&gt;0,$E2439&gt;0,$F2439&gt;0,$G2439&gt;0,$F2439&lt;=$A2439,$G2439&lt;=$A2439,$A2439-$F2439&lt;=10,$A2439-$G2439&lt;=5),$D2439*$E2439/$C2439-1,NA()),NA())</ns0:f>
        <ns0:v/>
      </ns0:c>
      <ns0:c r="C2439">
        <ns0:f>IFERROR(IF(ISNUMBER($A2439),IF(AND(AH!$P$10=1,AH!$P$12=1,$A2439=TODAY()),AH!$P$19,IF(AH!$P$10=1,INDEX('Live History'!$B$5:$B$3004,AH!$P$13+2434),INDEX('AH History'!$B$1:$B$18046,AH!$P$7+2434))),NA()),NA())</ns0:f>
        <ns0:v/>
      </ns0:c>
      <ns0:c r="D2439">
        <ns0:f>IFERROR(IF(ISNUMBER($A2439),IF(AND(AH!$P$10=1,AH!$P$12=1,$A2439=TODAY()),AH!$P$18,IF(AH!$P$10=1,INDEX('Live History'!$E$5:$E$3004,MATCH($A2439,'Live History'!$D$5:$D$3004,1)),INDEX('AH History'!$C$1:$C$18046,AH!$P$7+2434))),NA()),NA())</ns0:f>
        <ns0:v/>
      </ns0:c>
      <ns0:c r="E2439">
        <ns0:f>IFERROR(IF(ISNUMBER($A2439),IF(AND(AH!$P$10=1,AH!$P$12=1,$A2439=TODAY()),AH!$P$20,IF(AH!$P$10=1,INDEX('Live History'!$H$5:$H$3004,MATCH($A2439,'Live History'!$G$5:$G$3004,1)),INDEX('AH History'!$D$1:$D$18046,AH!$P$7+2434))),NA()),NA())</ns0:f>
        <ns0:v/>
      </ns0:c>
      <ns0:c r="F2439">
        <ns0:f>IFERROR(IF(ISNUMBER($A2439),IF(AND(AH!$P$10=1,AH!$P$12=1,$A2439=TODAY()),IF(AND(AH!$P$10=1,AH!$P$12=1,$A2439=TODAY()),TODAY(),NA()),IF(AH!$P$10=1,INDEX('Live History'!$D$5:$D$3004,MATCH($A2439,'Live History'!$D$5:$D$3004,1)),INDEX('AH History'!$E$1:$E$18046,AH!$P$7+2434))),NA()),NA())</ns0:f>
        <ns0:v/>
      </ns0:c>
      <ns0:c r="G2439">
        <ns0:f>IFERROR(IF(ISNUMBER($A2439),IF(AND(AH!$P$10=1,AH!$P$12=1,$A2439=TODAY()),IF(AND(AH!$P$10=1,AH!$P$12=1,$A2439=TODAY()),TODAY(),NA()),IF(AH!$P$10=1,INDEX('Live History'!$G$5:$G$3004,MATCH($A2439,'Live History'!$G$5:$G$3004,1)),INDEX('AH History'!$F$1:$F$18046,AH!$P$7+2434))),NA()),NA())</ns0:f>
        <ns0:v/>
      </ns0:c>
      <ns0:c r="H2439">
        <ns0:f>IFERROR(IF(AND(AH!$E$4="Bloomberg",AH!$P$10=1,ISNUMBER($A2439),$A2439&lt;=AH!$P$17),AH!$P$7-1+MATCH($A2439,INDEX('AH History'!$A$1:$A$18046,AH!$P$7):INDEX('AH History'!$A$1:$A$18046,AH!$P$7+AH!$P$8-1),0),0),0)</ns0:f>
        <ns0:v/>
      </ns0:c>
      <ns0:c r="I2439">
        <ns0:f>IF($H2439=0,0,IFERROR(IF(AND(ABS($C2439-INDEX('AH History'!$B$1:$B$18046,$H2439))&lt;=MAX(0.005,ABS(INDEX('AH History'!$B$1:$B$18046,$H2439))*0.00005),ABS($D2439-INDEX('AH History'!$C$1:$C$18046,$H2439))&lt;=MAX(0.005,ABS(INDEX('AH History'!$C$1:$C$18046,$H2439))*0.00005),ABS($E2439-INDEX('AH History'!$D$1:$D$18046,$H2439))&lt;=0.00005,$F2439=INDEX('AH History'!$E$1:$E$18046,$H2439),$G2439=INDEX('AH History'!$F$1:$F$18046,$H2439)),1,-1),-1))</ns0:f>
        <ns0:v/>
      </ns0:c>
    </ns0:row>
    <ns0:row r="2440">
      <ns0:c r="A2440" s="215">
        <ns0:f>IF(OR(AH!$P$3=0,2435+1&gt;AH!$P$11,AND(AH!$E$4&lt;&gt;"Stored",AH!$P$10&lt;&gt;1)),"",IFERROR(IF(AND(AH!$P$21=1,2435+1=AH!$P$11),TODAY(),IF(AH!$P$10=1,INDEX('Live History'!$A$5:$A$3004,AH!$P$13+2435),INDEX('AH History'!$A$1:$A$18046,AH!$P$7+2435))),""))</ns0:f>
        <ns0:v/>
      </ns0:c>
      <ns0:c r="B2440" s="219">
        <ns0:f>IFERROR(IF(AND(AH!$P$9&lt;&gt;1,$C2440&gt;0,$D2440&gt;0,$E2440&gt;0,$F2440&gt;0,$G2440&gt;0,$F2440&lt;=$A2440,$G2440&lt;=$A2440,$A2440-$F2440&lt;=10,$A2440-$G2440&lt;=5),$D2440*$E2440/$C2440-1,NA()),NA())</ns0:f>
        <ns0:v/>
      </ns0:c>
      <ns0:c r="C2440">
        <ns0:f>IFERROR(IF(ISNUMBER($A2440),IF(AND(AH!$P$10=1,AH!$P$12=1,$A2440=TODAY()),AH!$P$19,IF(AH!$P$10=1,INDEX('Live History'!$B$5:$B$3004,AH!$P$13+2435),INDEX('AH History'!$B$1:$B$18046,AH!$P$7+2435))),NA()),NA())</ns0:f>
        <ns0:v/>
      </ns0:c>
      <ns0:c r="D2440">
        <ns0:f>IFERROR(IF(ISNUMBER($A2440),IF(AND(AH!$P$10=1,AH!$P$12=1,$A2440=TODAY()),AH!$P$18,IF(AH!$P$10=1,INDEX('Live History'!$E$5:$E$3004,MATCH($A2440,'Live History'!$D$5:$D$3004,1)),INDEX('AH History'!$C$1:$C$18046,AH!$P$7+2435))),NA()),NA())</ns0:f>
        <ns0:v/>
      </ns0:c>
      <ns0:c r="E2440">
        <ns0:f>IFERROR(IF(ISNUMBER($A2440),IF(AND(AH!$P$10=1,AH!$P$12=1,$A2440=TODAY()),AH!$P$20,IF(AH!$P$10=1,INDEX('Live History'!$H$5:$H$3004,MATCH($A2440,'Live History'!$G$5:$G$3004,1)),INDEX('AH History'!$D$1:$D$18046,AH!$P$7+2435))),NA()),NA())</ns0:f>
        <ns0:v/>
      </ns0:c>
      <ns0:c r="F2440">
        <ns0:f>IFERROR(IF(ISNUMBER($A2440),IF(AND(AH!$P$10=1,AH!$P$12=1,$A2440=TODAY()),IF(AND(AH!$P$10=1,AH!$P$12=1,$A2440=TODAY()),TODAY(),NA()),IF(AH!$P$10=1,INDEX('Live History'!$D$5:$D$3004,MATCH($A2440,'Live History'!$D$5:$D$3004,1)),INDEX('AH History'!$E$1:$E$18046,AH!$P$7+2435))),NA()),NA())</ns0:f>
        <ns0:v/>
      </ns0:c>
      <ns0:c r="G2440">
        <ns0:f>IFERROR(IF(ISNUMBER($A2440),IF(AND(AH!$P$10=1,AH!$P$12=1,$A2440=TODAY()),IF(AND(AH!$P$10=1,AH!$P$12=1,$A2440=TODAY()),TODAY(),NA()),IF(AH!$P$10=1,INDEX('Live History'!$G$5:$G$3004,MATCH($A2440,'Live History'!$G$5:$G$3004,1)),INDEX('AH History'!$F$1:$F$18046,AH!$P$7+2435))),NA()),NA())</ns0:f>
        <ns0:v/>
      </ns0:c>
      <ns0:c r="H2440">
        <ns0:f>IFERROR(IF(AND(AH!$E$4="Bloomberg",AH!$P$10=1,ISNUMBER($A2440),$A2440&lt;=AH!$P$17),AH!$P$7-1+MATCH($A2440,INDEX('AH History'!$A$1:$A$18046,AH!$P$7):INDEX('AH History'!$A$1:$A$18046,AH!$P$7+AH!$P$8-1),0),0),0)</ns0:f>
        <ns0:v/>
      </ns0:c>
      <ns0:c r="I2440">
        <ns0:f>IF($H2440=0,0,IFERROR(IF(AND(ABS($C2440-INDEX('AH History'!$B$1:$B$18046,$H2440))&lt;=MAX(0.005,ABS(INDEX('AH History'!$B$1:$B$18046,$H2440))*0.00005),ABS($D2440-INDEX('AH History'!$C$1:$C$18046,$H2440))&lt;=MAX(0.005,ABS(INDEX('AH History'!$C$1:$C$18046,$H2440))*0.00005),ABS($E2440-INDEX('AH History'!$D$1:$D$18046,$H2440))&lt;=0.00005,$F2440=INDEX('AH History'!$E$1:$E$18046,$H2440),$G2440=INDEX('AH History'!$F$1:$F$18046,$H2440)),1,-1),-1))</ns0:f>
        <ns0:v/>
      </ns0:c>
    </ns0:row>
    <ns0:row r="2441">
      <ns0:c r="A2441" s="215">
        <ns0:f>IF(OR(AH!$P$3=0,2436+1&gt;AH!$P$11,AND(AH!$E$4&lt;&gt;"Stored",AH!$P$10&lt;&gt;1)),"",IFERROR(IF(AND(AH!$P$21=1,2436+1=AH!$P$11),TODAY(),IF(AH!$P$10=1,INDEX('Live History'!$A$5:$A$3004,AH!$P$13+2436),INDEX('AH History'!$A$1:$A$18046,AH!$P$7+2436))),""))</ns0:f>
        <ns0:v/>
      </ns0:c>
      <ns0:c r="B2441" s="219">
        <ns0:f>IFERROR(IF(AND(AH!$P$9&lt;&gt;1,$C2441&gt;0,$D2441&gt;0,$E2441&gt;0,$F2441&gt;0,$G2441&gt;0,$F2441&lt;=$A2441,$G2441&lt;=$A2441,$A2441-$F2441&lt;=10,$A2441-$G2441&lt;=5),$D2441*$E2441/$C2441-1,NA()),NA())</ns0:f>
        <ns0:v/>
      </ns0:c>
      <ns0:c r="C2441">
        <ns0:f>IFERROR(IF(ISNUMBER($A2441),IF(AND(AH!$P$10=1,AH!$P$12=1,$A2441=TODAY()),AH!$P$19,IF(AH!$P$10=1,INDEX('Live History'!$B$5:$B$3004,AH!$P$13+2436),INDEX('AH History'!$B$1:$B$18046,AH!$P$7+2436))),NA()),NA())</ns0:f>
        <ns0:v/>
      </ns0:c>
      <ns0:c r="D2441">
        <ns0:f>IFERROR(IF(ISNUMBER($A2441),IF(AND(AH!$P$10=1,AH!$P$12=1,$A2441=TODAY()),AH!$P$18,IF(AH!$P$10=1,INDEX('Live History'!$E$5:$E$3004,MATCH($A2441,'Live History'!$D$5:$D$3004,1)),INDEX('AH History'!$C$1:$C$18046,AH!$P$7+2436))),NA()),NA())</ns0:f>
        <ns0:v/>
      </ns0:c>
      <ns0:c r="E2441">
        <ns0:f>IFERROR(IF(ISNUMBER($A2441),IF(AND(AH!$P$10=1,AH!$P$12=1,$A2441=TODAY()),AH!$P$20,IF(AH!$P$10=1,INDEX('Live History'!$H$5:$H$3004,MATCH($A2441,'Live History'!$G$5:$G$3004,1)),INDEX('AH History'!$D$1:$D$18046,AH!$P$7+2436))),NA()),NA())</ns0:f>
        <ns0:v/>
      </ns0:c>
      <ns0:c r="F2441">
        <ns0:f>IFERROR(IF(ISNUMBER($A2441),IF(AND(AH!$P$10=1,AH!$P$12=1,$A2441=TODAY()),IF(AND(AH!$P$10=1,AH!$P$12=1,$A2441=TODAY()),TODAY(),NA()),IF(AH!$P$10=1,INDEX('Live History'!$D$5:$D$3004,MATCH($A2441,'Live History'!$D$5:$D$3004,1)),INDEX('AH History'!$E$1:$E$18046,AH!$P$7+2436))),NA()),NA())</ns0:f>
        <ns0:v/>
      </ns0:c>
      <ns0:c r="G2441">
        <ns0:f>IFERROR(IF(ISNUMBER($A2441),IF(AND(AH!$P$10=1,AH!$P$12=1,$A2441=TODAY()),IF(AND(AH!$P$10=1,AH!$P$12=1,$A2441=TODAY()),TODAY(),NA()),IF(AH!$P$10=1,INDEX('Live History'!$G$5:$G$3004,MATCH($A2441,'Live History'!$G$5:$G$3004,1)),INDEX('AH History'!$F$1:$F$18046,AH!$P$7+2436))),NA()),NA())</ns0:f>
        <ns0:v/>
      </ns0:c>
      <ns0:c r="H2441">
        <ns0:f>IFERROR(IF(AND(AH!$E$4="Bloomberg",AH!$P$10=1,ISNUMBER($A2441),$A2441&lt;=AH!$P$17),AH!$P$7-1+MATCH($A2441,INDEX('AH History'!$A$1:$A$18046,AH!$P$7):INDEX('AH History'!$A$1:$A$18046,AH!$P$7+AH!$P$8-1),0),0),0)</ns0:f>
        <ns0:v/>
      </ns0:c>
      <ns0:c r="I2441">
        <ns0:f>IF($H2441=0,0,IFERROR(IF(AND(ABS($C2441-INDEX('AH History'!$B$1:$B$18046,$H2441))&lt;=MAX(0.005,ABS(INDEX('AH History'!$B$1:$B$18046,$H2441))*0.00005),ABS($D2441-INDEX('AH History'!$C$1:$C$18046,$H2441))&lt;=MAX(0.005,ABS(INDEX('AH History'!$C$1:$C$18046,$H2441))*0.00005),ABS($E2441-INDEX('AH History'!$D$1:$D$18046,$H2441))&lt;=0.00005,$F2441=INDEX('AH History'!$E$1:$E$18046,$H2441),$G2441=INDEX('AH History'!$F$1:$F$18046,$H2441)),1,-1),-1))</ns0:f>
        <ns0:v/>
      </ns0:c>
    </ns0:row>
    <ns0:row r="2442">
      <ns0:c r="A2442" s="215">
        <ns0:f>IF(OR(AH!$P$3=0,2437+1&gt;AH!$P$11,AND(AH!$E$4&lt;&gt;"Stored",AH!$P$10&lt;&gt;1)),"",IFERROR(IF(AND(AH!$P$21=1,2437+1=AH!$P$11),TODAY(),IF(AH!$P$10=1,INDEX('Live History'!$A$5:$A$3004,AH!$P$13+2437),INDEX('AH History'!$A$1:$A$18046,AH!$P$7+2437))),""))</ns0:f>
        <ns0:v/>
      </ns0:c>
      <ns0:c r="B2442" s="219">
        <ns0:f>IFERROR(IF(AND(AH!$P$9&lt;&gt;1,$C2442&gt;0,$D2442&gt;0,$E2442&gt;0,$F2442&gt;0,$G2442&gt;0,$F2442&lt;=$A2442,$G2442&lt;=$A2442,$A2442-$F2442&lt;=10,$A2442-$G2442&lt;=5),$D2442*$E2442/$C2442-1,NA()),NA())</ns0:f>
        <ns0:v/>
      </ns0:c>
      <ns0:c r="C2442">
        <ns0:f>IFERROR(IF(ISNUMBER($A2442),IF(AND(AH!$P$10=1,AH!$P$12=1,$A2442=TODAY()),AH!$P$19,IF(AH!$P$10=1,INDEX('Live History'!$B$5:$B$3004,AH!$P$13+2437),INDEX('AH History'!$B$1:$B$18046,AH!$P$7+2437))),NA()),NA())</ns0:f>
        <ns0:v/>
      </ns0:c>
      <ns0:c r="D2442">
        <ns0:f>IFERROR(IF(ISNUMBER($A2442),IF(AND(AH!$P$10=1,AH!$P$12=1,$A2442=TODAY()),AH!$P$18,IF(AH!$P$10=1,INDEX('Live History'!$E$5:$E$3004,MATCH($A2442,'Live History'!$D$5:$D$3004,1)),INDEX('AH History'!$C$1:$C$18046,AH!$P$7+2437))),NA()),NA())</ns0:f>
        <ns0:v/>
      </ns0:c>
      <ns0:c r="E2442">
        <ns0:f>IFERROR(IF(ISNUMBER($A2442),IF(AND(AH!$P$10=1,AH!$P$12=1,$A2442=TODAY()),AH!$P$20,IF(AH!$P$10=1,INDEX('Live History'!$H$5:$H$3004,MATCH($A2442,'Live History'!$G$5:$G$3004,1)),INDEX('AH History'!$D$1:$D$18046,AH!$P$7+2437))),NA()),NA())</ns0:f>
        <ns0:v/>
      </ns0:c>
      <ns0:c r="F2442">
        <ns0:f>IFERROR(IF(ISNUMBER($A2442),IF(AND(AH!$P$10=1,AH!$P$12=1,$A2442=TODAY()),IF(AND(AH!$P$10=1,AH!$P$12=1,$A2442=TODAY()),TODAY(),NA()),IF(AH!$P$10=1,INDEX('Live History'!$D$5:$D$3004,MATCH($A2442,'Live History'!$D$5:$D$3004,1)),INDEX('AH History'!$E$1:$E$18046,AH!$P$7+2437))),NA()),NA())</ns0:f>
        <ns0:v/>
      </ns0:c>
      <ns0:c r="G2442">
        <ns0:f>IFERROR(IF(ISNUMBER($A2442),IF(AND(AH!$P$10=1,AH!$P$12=1,$A2442=TODAY()),IF(AND(AH!$P$10=1,AH!$P$12=1,$A2442=TODAY()),TODAY(),NA()),IF(AH!$P$10=1,INDEX('Live History'!$G$5:$G$3004,MATCH($A2442,'Live History'!$G$5:$G$3004,1)),INDEX('AH History'!$F$1:$F$18046,AH!$P$7+2437))),NA()),NA())</ns0:f>
        <ns0:v/>
      </ns0:c>
      <ns0:c r="H2442">
        <ns0:f>IFERROR(IF(AND(AH!$E$4="Bloomberg",AH!$P$10=1,ISNUMBER($A2442),$A2442&lt;=AH!$P$17),AH!$P$7-1+MATCH($A2442,INDEX('AH History'!$A$1:$A$18046,AH!$P$7):INDEX('AH History'!$A$1:$A$18046,AH!$P$7+AH!$P$8-1),0),0),0)</ns0:f>
        <ns0:v/>
      </ns0:c>
      <ns0:c r="I2442">
        <ns0:f>IF($H2442=0,0,IFERROR(IF(AND(ABS($C2442-INDEX('AH History'!$B$1:$B$18046,$H2442))&lt;=MAX(0.005,ABS(INDEX('AH History'!$B$1:$B$18046,$H2442))*0.00005),ABS($D2442-INDEX('AH History'!$C$1:$C$18046,$H2442))&lt;=MAX(0.005,ABS(INDEX('AH History'!$C$1:$C$18046,$H2442))*0.00005),ABS($E2442-INDEX('AH History'!$D$1:$D$18046,$H2442))&lt;=0.00005,$F2442=INDEX('AH History'!$E$1:$E$18046,$H2442),$G2442=INDEX('AH History'!$F$1:$F$18046,$H2442)),1,-1),-1))</ns0:f>
        <ns0:v/>
      </ns0:c>
    </ns0:row>
    <ns0:row r="2443">
      <ns0:c r="A2443" s="215">
        <ns0:f>IF(OR(AH!$P$3=0,2438+1&gt;AH!$P$11,AND(AH!$E$4&lt;&gt;"Stored",AH!$P$10&lt;&gt;1)),"",IFERROR(IF(AND(AH!$P$21=1,2438+1=AH!$P$11),TODAY(),IF(AH!$P$10=1,INDEX('Live History'!$A$5:$A$3004,AH!$P$13+2438),INDEX('AH History'!$A$1:$A$18046,AH!$P$7+2438))),""))</ns0:f>
        <ns0:v/>
      </ns0:c>
      <ns0:c r="B2443" s="219">
        <ns0:f>IFERROR(IF(AND(AH!$P$9&lt;&gt;1,$C2443&gt;0,$D2443&gt;0,$E2443&gt;0,$F2443&gt;0,$G2443&gt;0,$F2443&lt;=$A2443,$G2443&lt;=$A2443,$A2443-$F2443&lt;=10,$A2443-$G2443&lt;=5),$D2443*$E2443/$C2443-1,NA()),NA())</ns0:f>
        <ns0:v/>
      </ns0:c>
      <ns0:c r="C2443">
        <ns0:f>IFERROR(IF(ISNUMBER($A2443),IF(AND(AH!$P$10=1,AH!$P$12=1,$A2443=TODAY()),AH!$P$19,IF(AH!$P$10=1,INDEX('Live History'!$B$5:$B$3004,AH!$P$13+2438),INDEX('AH History'!$B$1:$B$18046,AH!$P$7+2438))),NA()),NA())</ns0:f>
        <ns0:v/>
      </ns0:c>
      <ns0:c r="D2443">
        <ns0:f>IFERROR(IF(ISNUMBER($A2443),IF(AND(AH!$P$10=1,AH!$P$12=1,$A2443=TODAY()),AH!$P$18,IF(AH!$P$10=1,INDEX('Live History'!$E$5:$E$3004,MATCH($A2443,'Live History'!$D$5:$D$3004,1)),INDEX('AH History'!$C$1:$C$18046,AH!$P$7+2438))),NA()),NA())</ns0:f>
        <ns0:v/>
      </ns0:c>
      <ns0:c r="E2443">
        <ns0:f>IFERROR(IF(ISNUMBER($A2443),IF(AND(AH!$P$10=1,AH!$P$12=1,$A2443=TODAY()),AH!$P$20,IF(AH!$P$10=1,INDEX('Live History'!$H$5:$H$3004,MATCH($A2443,'Live History'!$G$5:$G$3004,1)),INDEX('AH History'!$D$1:$D$18046,AH!$P$7+2438))),NA()),NA())</ns0:f>
        <ns0:v/>
      </ns0:c>
      <ns0:c r="F2443">
        <ns0:f>IFERROR(IF(ISNUMBER($A2443),IF(AND(AH!$P$10=1,AH!$P$12=1,$A2443=TODAY()),IF(AND(AH!$P$10=1,AH!$P$12=1,$A2443=TODAY()),TODAY(),NA()),IF(AH!$P$10=1,INDEX('Live History'!$D$5:$D$3004,MATCH($A2443,'Live History'!$D$5:$D$3004,1)),INDEX('AH History'!$E$1:$E$18046,AH!$P$7+2438))),NA()),NA())</ns0:f>
        <ns0:v/>
      </ns0:c>
      <ns0:c r="G2443">
        <ns0:f>IFERROR(IF(ISNUMBER($A2443),IF(AND(AH!$P$10=1,AH!$P$12=1,$A2443=TODAY()),IF(AND(AH!$P$10=1,AH!$P$12=1,$A2443=TODAY()),TODAY(),NA()),IF(AH!$P$10=1,INDEX('Live History'!$G$5:$G$3004,MATCH($A2443,'Live History'!$G$5:$G$3004,1)),INDEX('AH History'!$F$1:$F$18046,AH!$P$7+2438))),NA()),NA())</ns0:f>
        <ns0:v/>
      </ns0:c>
      <ns0:c r="H2443">
        <ns0:f>IFERROR(IF(AND(AH!$E$4="Bloomberg",AH!$P$10=1,ISNUMBER($A2443),$A2443&lt;=AH!$P$17),AH!$P$7-1+MATCH($A2443,INDEX('AH History'!$A$1:$A$18046,AH!$P$7):INDEX('AH History'!$A$1:$A$18046,AH!$P$7+AH!$P$8-1),0),0),0)</ns0:f>
        <ns0:v/>
      </ns0:c>
      <ns0:c r="I2443">
        <ns0:f>IF($H2443=0,0,IFERROR(IF(AND(ABS($C2443-INDEX('AH History'!$B$1:$B$18046,$H2443))&lt;=MAX(0.005,ABS(INDEX('AH History'!$B$1:$B$18046,$H2443))*0.00005),ABS($D2443-INDEX('AH History'!$C$1:$C$18046,$H2443))&lt;=MAX(0.005,ABS(INDEX('AH History'!$C$1:$C$18046,$H2443))*0.00005),ABS($E2443-INDEX('AH History'!$D$1:$D$18046,$H2443))&lt;=0.00005,$F2443=INDEX('AH History'!$E$1:$E$18046,$H2443),$G2443=INDEX('AH History'!$F$1:$F$18046,$H2443)),1,-1),-1))</ns0:f>
        <ns0:v/>
      </ns0:c>
    </ns0:row>
    <ns0:row r="2444">
      <ns0:c r="A2444" s="215">
        <ns0:f>IF(OR(AH!$P$3=0,2439+1&gt;AH!$P$11,AND(AH!$E$4&lt;&gt;"Stored",AH!$P$10&lt;&gt;1)),"",IFERROR(IF(AND(AH!$P$21=1,2439+1=AH!$P$11),TODAY(),IF(AH!$P$10=1,INDEX('Live History'!$A$5:$A$3004,AH!$P$13+2439),INDEX('AH History'!$A$1:$A$18046,AH!$P$7+2439))),""))</ns0:f>
        <ns0:v/>
      </ns0:c>
      <ns0:c r="B2444" s="219">
        <ns0:f>IFERROR(IF(AND(AH!$P$9&lt;&gt;1,$C2444&gt;0,$D2444&gt;0,$E2444&gt;0,$F2444&gt;0,$G2444&gt;0,$F2444&lt;=$A2444,$G2444&lt;=$A2444,$A2444-$F2444&lt;=10,$A2444-$G2444&lt;=5),$D2444*$E2444/$C2444-1,NA()),NA())</ns0:f>
        <ns0:v/>
      </ns0:c>
      <ns0:c r="C2444">
        <ns0:f>IFERROR(IF(ISNUMBER($A2444),IF(AND(AH!$P$10=1,AH!$P$12=1,$A2444=TODAY()),AH!$P$19,IF(AH!$P$10=1,INDEX('Live History'!$B$5:$B$3004,AH!$P$13+2439),INDEX('AH History'!$B$1:$B$18046,AH!$P$7+2439))),NA()),NA())</ns0:f>
        <ns0:v/>
      </ns0:c>
      <ns0:c r="D2444">
        <ns0:f>IFERROR(IF(ISNUMBER($A2444),IF(AND(AH!$P$10=1,AH!$P$12=1,$A2444=TODAY()),AH!$P$18,IF(AH!$P$10=1,INDEX('Live History'!$E$5:$E$3004,MATCH($A2444,'Live History'!$D$5:$D$3004,1)),INDEX('AH History'!$C$1:$C$18046,AH!$P$7+2439))),NA()),NA())</ns0:f>
        <ns0:v/>
      </ns0:c>
      <ns0:c r="E2444">
        <ns0:f>IFERROR(IF(ISNUMBER($A2444),IF(AND(AH!$P$10=1,AH!$P$12=1,$A2444=TODAY()),AH!$P$20,IF(AH!$P$10=1,INDEX('Live History'!$H$5:$H$3004,MATCH($A2444,'Live History'!$G$5:$G$3004,1)),INDEX('AH History'!$D$1:$D$18046,AH!$P$7+2439))),NA()),NA())</ns0:f>
        <ns0:v/>
      </ns0:c>
      <ns0:c r="F2444">
        <ns0:f>IFERROR(IF(ISNUMBER($A2444),IF(AND(AH!$P$10=1,AH!$P$12=1,$A2444=TODAY()),IF(AND(AH!$P$10=1,AH!$P$12=1,$A2444=TODAY()),TODAY(),NA()),IF(AH!$P$10=1,INDEX('Live History'!$D$5:$D$3004,MATCH($A2444,'Live History'!$D$5:$D$3004,1)),INDEX('AH History'!$E$1:$E$18046,AH!$P$7+2439))),NA()),NA())</ns0:f>
        <ns0:v/>
      </ns0:c>
      <ns0:c r="G2444">
        <ns0:f>IFERROR(IF(ISNUMBER($A2444),IF(AND(AH!$P$10=1,AH!$P$12=1,$A2444=TODAY()),IF(AND(AH!$P$10=1,AH!$P$12=1,$A2444=TODAY()),TODAY(),NA()),IF(AH!$P$10=1,INDEX('Live History'!$G$5:$G$3004,MATCH($A2444,'Live History'!$G$5:$G$3004,1)),INDEX('AH History'!$F$1:$F$18046,AH!$P$7+2439))),NA()),NA())</ns0:f>
        <ns0:v/>
      </ns0:c>
      <ns0:c r="H2444">
        <ns0:f>IFERROR(IF(AND(AH!$E$4="Bloomberg",AH!$P$10=1,ISNUMBER($A2444),$A2444&lt;=AH!$P$17),AH!$P$7-1+MATCH($A2444,INDEX('AH History'!$A$1:$A$18046,AH!$P$7):INDEX('AH History'!$A$1:$A$18046,AH!$P$7+AH!$P$8-1),0),0),0)</ns0:f>
        <ns0:v/>
      </ns0:c>
      <ns0:c r="I2444">
        <ns0:f>IF($H2444=0,0,IFERROR(IF(AND(ABS($C2444-INDEX('AH History'!$B$1:$B$18046,$H2444))&lt;=MAX(0.005,ABS(INDEX('AH History'!$B$1:$B$18046,$H2444))*0.00005),ABS($D2444-INDEX('AH History'!$C$1:$C$18046,$H2444))&lt;=MAX(0.005,ABS(INDEX('AH History'!$C$1:$C$18046,$H2444))*0.00005),ABS($E2444-INDEX('AH History'!$D$1:$D$18046,$H2444))&lt;=0.00005,$F2444=INDEX('AH History'!$E$1:$E$18046,$H2444),$G2444=INDEX('AH History'!$F$1:$F$18046,$H2444)),1,-1),-1))</ns0:f>
        <ns0:v/>
      </ns0:c>
    </ns0:row>
    <ns0:row r="2445">
      <ns0:c r="A2445" s="215">
        <ns0:f>IF(OR(AH!$P$3=0,2440+1&gt;AH!$P$11,AND(AH!$E$4&lt;&gt;"Stored",AH!$P$10&lt;&gt;1)),"",IFERROR(IF(AND(AH!$P$21=1,2440+1=AH!$P$11),TODAY(),IF(AH!$P$10=1,INDEX('Live History'!$A$5:$A$3004,AH!$P$13+2440),INDEX('AH History'!$A$1:$A$18046,AH!$P$7+2440))),""))</ns0:f>
        <ns0:v/>
      </ns0:c>
      <ns0:c r="B2445" s="219">
        <ns0:f>IFERROR(IF(AND(AH!$P$9&lt;&gt;1,$C2445&gt;0,$D2445&gt;0,$E2445&gt;0,$F2445&gt;0,$G2445&gt;0,$F2445&lt;=$A2445,$G2445&lt;=$A2445,$A2445-$F2445&lt;=10,$A2445-$G2445&lt;=5),$D2445*$E2445/$C2445-1,NA()),NA())</ns0:f>
        <ns0:v/>
      </ns0:c>
      <ns0:c r="C2445">
        <ns0:f>IFERROR(IF(ISNUMBER($A2445),IF(AND(AH!$P$10=1,AH!$P$12=1,$A2445=TODAY()),AH!$P$19,IF(AH!$P$10=1,INDEX('Live History'!$B$5:$B$3004,AH!$P$13+2440),INDEX('AH History'!$B$1:$B$18046,AH!$P$7+2440))),NA()),NA())</ns0:f>
        <ns0:v/>
      </ns0:c>
      <ns0:c r="D2445">
        <ns0:f>IFERROR(IF(ISNUMBER($A2445),IF(AND(AH!$P$10=1,AH!$P$12=1,$A2445=TODAY()),AH!$P$18,IF(AH!$P$10=1,INDEX('Live History'!$E$5:$E$3004,MATCH($A2445,'Live History'!$D$5:$D$3004,1)),INDEX('AH History'!$C$1:$C$18046,AH!$P$7+2440))),NA()),NA())</ns0:f>
        <ns0:v/>
      </ns0:c>
      <ns0:c r="E2445">
        <ns0:f>IFERROR(IF(ISNUMBER($A2445),IF(AND(AH!$P$10=1,AH!$P$12=1,$A2445=TODAY()),AH!$P$20,IF(AH!$P$10=1,INDEX('Live History'!$H$5:$H$3004,MATCH($A2445,'Live History'!$G$5:$G$3004,1)),INDEX('AH History'!$D$1:$D$18046,AH!$P$7+2440))),NA()),NA())</ns0:f>
        <ns0:v/>
      </ns0:c>
      <ns0:c r="F2445">
        <ns0:f>IFERROR(IF(ISNUMBER($A2445),IF(AND(AH!$P$10=1,AH!$P$12=1,$A2445=TODAY()),IF(AND(AH!$P$10=1,AH!$P$12=1,$A2445=TODAY()),TODAY(),NA()),IF(AH!$P$10=1,INDEX('Live History'!$D$5:$D$3004,MATCH($A2445,'Live History'!$D$5:$D$3004,1)),INDEX('AH History'!$E$1:$E$18046,AH!$P$7+2440))),NA()),NA())</ns0:f>
        <ns0:v/>
      </ns0:c>
      <ns0:c r="G2445">
        <ns0:f>IFERROR(IF(ISNUMBER($A2445),IF(AND(AH!$P$10=1,AH!$P$12=1,$A2445=TODAY()),IF(AND(AH!$P$10=1,AH!$P$12=1,$A2445=TODAY()),TODAY(),NA()),IF(AH!$P$10=1,INDEX('Live History'!$G$5:$G$3004,MATCH($A2445,'Live History'!$G$5:$G$3004,1)),INDEX('AH History'!$F$1:$F$18046,AH!$P$7+2440))),NA()),NA())</ns0:f>
        <ns0:v/>
      </ns0:c>
      <ns0:c r="H2445">
        <ns0:f>IFERROR(IF(AND(AH!$E$4="Bloomberg",AH!$P$10=1,ISNUMBER($A2445),$A2445&lt;=AH!$P$17),AH!$P$7-1+MATCH($A2445,INDEX('AH History'!$A$1:$A$18046,AH!$P$7):INDEX('AH History'!$A$1:$A$18046,AH!$P$7+AH!$P$8-1),0),0),0)</ns0:f>
        <ns0:v/>
      </ns0:c>
      <ns0:c r="I2445">
        <ns0:f>IF($H2445=0,0,IFERROR(IF(AND(ABS($C2445-INDEX('AH History'!$B$1:$B$18046,$H2445))&lt;=MAX(0.005,ABS(INDEX('AH History'!$B$1:$B$18046,$H2445))*0.00005),ABS($D2445-INDEX('AH History'!$C$1:$C$18046,$H2445))&lt;=MAX(0.005,ABS(INDEX('AH History'!$C$1:$C$18046,$H2445))*0.00005),ABS($E2445-INDEX('AH History'!$D$1:$D$18046,$H2445))&lt;=0.00005,$F2445=INDEX('AH History'!$E$1:$E$18046,$H2445),$G2445=INDEX('AH History'!$F$1:$F$18046,$H2445)),1,-1),-1))</ns0:f>
        <ns0:v/>
      </ns0:c>
    </ns0:row>
    <ns0:row r="2446">
      <ns0:c r="A2446" s="215">
        <ns0:f>IF(OR(AH!$P$3=0,2441+1&gt;AH!$P$11,AND(AH!$E$4&lt;&gt;"Stored",AH!$P$10&lt;&gt;1)),"",IFERROR(IF(AND(AH!$P$21=1,2441+1=AH!$P$11),TODAY(),IF(AH!$P$10=1,INDEX('Live History'!$A$5:$A$3004,AH!$P$13+2441),INDEX('AH History'!$A$1:$A$18046,AH!$P$7+2441))),""))</ns0:f>
        <ns0:v/>
      </ns0:c>
      <ns0:c r="B2446" s="219">
        <ns0:f>IFERROR(IF(AND(AH!$P$9&lt;&gt;1,$C2446&gt;0,$D2446&gt;0,$E2446&gt;0,$F2446&gt;0,$G2446&gt;0,$F2446&lt;=$A2446,$G2446&lt;=$A2446,$A2446-$F2446&lt;=10,$A2446-$G2446&lt;=5),$D2446*$E2446/$C2446-1,NA()),NA())</ns0:f>
        <ns0:v/>
      </ns0:c>
      <ns0:c r="C2446">
        <ns0:f>IFERROR(IF(ISNUMBER($A2446),IF(AND(AH!$P$10=1,AH!$P$12=1,$A2446=TODAY()),AH!$P$19,IF(AH!$P$10=1,INDEX('Live History'!$B$5:$B$3004,AH!$P$13+2441),INDEX('AH History'!$B$1:$B$18046,AH!$P$7+2441))),NA()),NA())</ns0:f>
        <ns0:v/>
      </ns0:c>
      <ns0:c r="D2446">
        <ns0:f>IFERROR(IF(ISNUMBER($A2446),IF(AND(AH!$P$10=1,AH!$P$12=1,$A2446=TODAY()),AH!$P$18,IF(AH!$P$10=1,INDEX('Live History'!$E$5:$E$3004,MATCH($A2446,'Live History'!$D$5:$D$3004,1)),INDEX('AH History'!$C$1:$C$18046,AH!$P$7+2441))),NA()),NA())</ns0:f>
        <ns0:v/>
      </ns0:c>
      <ns0:c r="E2446">
        <ns0:f>IFERROR(IF(ISNUMBER($A2446),IF(AND(AH!$P$10=1,AH!$P$12=1,$A2446=TODAY()),AH!$P$20,IF(AH!$P$10=1,INDEX('Live History'!$H$5:$H$3004,MATCH($A2446,'Live History'!$G$5:$G$3004,1)),INDEX('AH History'!$D$1:$D$18046,AH!$P$7+2441))),NA()),NA())</ns0:f>
        <ns0:v/>
      </ns0:c>
      <ns0:c r="F2446">
        <ns0:f>IFERROR(IF(ISNUMBER($A2446),IF(AND(AH!$P$10=1,AH!$P$12=1,$A2446=TODAY()),IF(AND(AH!$P$10=1,AH!$P$12=1,$A2446=TODAY()),TODAY(),NA()),IF(AH!$P$10=1,INDEX('Live History'!$D$5:$D$3004,MATCH($A2446,'Live History'!$D$5:$D$3004,1)),INDEX('AH History'!$E$1:$E$18046,AH!$P$7+2441))),NA()),NA())</ns0:f>
        <ns0:v/>
      </ns0:c>
      <ns0:c r="G2446">
        <ns0:f>IFERROR(IF(ISNUMBER($A2446),IF(AND(AH!$P$10=1,AH!$P$12=1,$A2446=TODAY()),IF(AND(AH!$P$10=1,AH!$P$12=1,$A2446=TODAY()),TODAY(),NA()),IF(AH!$P$10=1,INDEX('Live History'!$G$5:$G$3004,MATCH($A2446,'Live History'!$G$5:$G$3004,1)),INDEX('AH History'!$F$1:$F$18046,AH!$P$7+2441))),NA()),NA())</ns0:f>
        <ns0:v/>
      </ns0:c>
      <ns0:c r="H2446">
        <ns0:f>IFERROR(IF(AND(AH!$E$4="Bloomberg",AH!$P$10=1,ISNUMBER($A2446),$A2446&lt;=AH!$P$17),AH!$P$7-1+MATCH($A2446,INDEX('AH History'!$A$1:$A$18046,AH!$P$7):INDEX('AH History'!$A$1:$A$18046,AH!$P$7+AH!$P$8-1),0),0),0)</ns0:f>
        <ns0:v/>
      </ns0:c>
      <ns0:c r="I2446">
        <ns0:f>IF($H2446=0,0,IFERROR(IF(AND(ABS($C2446-INDEX('AH History'!$B$1:$B$18046,$H2446))&lt;=MAX(0.005,ABS(INDEX('AH History'!$B$1:$B$18046,$H2446))*0.00005),ABS($D2446-INDEX('AH History'!$C$1:$C$18046,$H2446))&lt;=MAX(0.005,ABS(INDEX('AH History'!$C$1:$C$18046,$H2446))*0.00005),ABS($E2446-INDEX('AH History'!$D$1:$D$18046,$H2446))&lt;=0.00005,$F2446=INDEX('AH History'!$E$1:$E$18046,$H2446),$G2446=INDEX('AH History'!$F$1:$F$18046,$H2446)),1,-1),-1))</ns0:f>
        <ns0:v/>
      </ns0:c>
    </ns0:row>
    <ns0:row r="2447">
      <ns0:c r="A2447" s="215">
        <ns0:f>IF(OR(AH!$P$3=0,2442+1&gt;AH!$P$11,AND(AH!$E$4&lt;&gt;"Stored",AH!$P$10&lt;&gt;1)),"",IFERROR(IF(AND(AH!$P$21=1,2442+1=AH!$P$11),TODAY(),IF(AH!$P$10=1,INDEX('Live History'!$A$5:$A$3004,AH!$P$13+2442),INDEX('AH History'!$A$1:$A$18046,AH!$P$7+2442))),""))</ns0:f>
        <ns0:v/>
      </ns0:c>
      <ns0:c r="B2447" s="219">
        <ns0:f>IFERROR(IF(AND(AH!$P$9&lt;&gt;1,$C2447&gt;0,$D2447&gt;0,$E2447&gt;0,$F2447&gt;0,$G2447&gt;0,$F2447&lt;=$A2447,$G2447&lt;=$A2447,$A2447-$F2447&lt;=10,$A2447-$G2447&lt;=5),$D2447*$E2447/$C2447-1,NA()),NA())</ns0:f>
        <ns0:v/>
      </ns0:c>
      <ns0:c r="C2447">
        <ns0:f>IFERROR(IF(ISNUMBER($A2447),IF(AND(AH!$P$10=1,AH!$P$12=1,$A2447=TODAY()),AH!$P$19,IF(AH!$P$10=1,INDEX('Live History'!$B$5:$B$3004,AH!$P$13+2442),INDEX('AH History'!$B$1:$B$18046,AH!$P$7+2442))),NA()),NA())</ns0:f>
        <ns0:v/>
      </ns0:c>
      <ns0:c r="D2447">
        <ns0:f>IFERROR(IF(ISNUMBER($A2447),IF(AND(AH!$P$10=1,AH!$P$12=1,$A2447=TODAY()),AH!$P$18,IF(AH!$P$10=1,INDEX('Live History'!$E$5:$E$3004,MATCH($A2447,'Live History'!$D$5:$D$3004,1)),INDEX('AH History'!$C$1:$C$18046,AH!$P$7+2442))),NA()),NA())</ns0:f>
        <ns0:v/>
      </ns0:c>
      <ns0:c r="E2447">
        <ns0:f>IFERROR(IF(ISNUMBER($A2447),IF(AND(AH!$P$10=1,AH!$P$12=1,$A2447=TODAY()),AH!$P$20,IF(AH!$P$10=1,INDEX('Live History'!$H$5:$H$3004,MATCH($A2447,'Live History'!$G$5:$G$3004,1)),INDEX('AH History'!$D$1:$D$18046,AH!$P$7+2442))),NA()),NA())</ns0:f>
        <ns0:v/>
      </ns0:c>
      <ns0:c r="F2447">
        <ns0:f>IFERROR(IF(ISNUMBER($A2447),IF(AND(AH!$P$10=1,AH!$P$12=1,$A2447=TODAY()),IF(AND(AH!$P$10=1,AH!$P$12=1,$A2447=TODAY()),TODAY(),NA()),IF(AH!$P$10=1,INDEX('Live History'!$D$5:$D$3004,MATCH($A2447,'Live History'!$D$5:$D$3004,1)),INDEX('AH History'!$E$1:$E$18046,AH!$P$7+2442))),NA()),NA())</ns0:f>
        <ns0:v/>
      </ns0:c>
      <ns0:c r="G2447">
        <ns0:f>IFERROR(IF(ISNUMBER($A2447),IF(AND(AH!$P$10=1,AH!$P$12=1,$A2447=TODAY()),IF(AND(AH!$P$10=1,AH!$P$12=1,$A2447=TODAY()),TODAY(),NA()),IF(AH!$P$10=1,INDEX('Live History'!$G$5:$G$3004,MATCH($A2447,'Live History'!$G$5:$G$3004,1)),INDEX('AH History'!$F$1:$F$18046,AH!$P$7+2442))),NA()),NA())</ns0:f>
        <ns0:v/>
      </ns0:c>
      <ns0:c r="H2447">
        <ns0:f>IFERROR(IF(AND(AH!$E$4="Bloomberg",AH!$P$10=1,ISNUMBER($A2447),$A2447&lt;=AH!$P$17),AH!$P$7-1+MATCH($A2447,INDEX('AH History'!$A$1:$A$18046,AH!$P$7):INDEX('AH History'!$A$1:$A$18046,AH!$P$7+AH!$P$8-1),0),0),0)</ns0:f>
        <ns0:v/>
      </ns0:c>
      <ns0:c r="I2447">
        <ns0:f>IF($H2447=0,0,IFERROR(IF(AND(ABS($C2447-INDEX('AH History'!$B$1:$B$18046,$H2447))&lt;=MAX(0.005,ABS(INDEX('AH History'!$B$1:$B$18046,$H2447))*0.00005),ABS($D2447-INDEX('AH History'!$C$1:$C$18046,$H2447))&lt;=MAX(0.005,ABS(INDEX('AH History'!$C$1:$C$18046,$H2447))*0.00005),ABS($E2447-INDEX('AH History'!$D$1:$D$18046,$H2447))&lt;=0.00005,$F2447=INDEX('AH History'!$E$1:$E$18046,$H2447),$G2447=INDEX('AH History'!$F$1:$F$18046,$H2447)),1,-1),-1))</ns0:f>
        <ns0:v/>
      </ns0:c>
    </ns0:row>
    <ns0:row r="2448">
      <ns0:c r="A2448" s="215">
        <ns0:f>IF(OR(AH!$P$3=0,2443+1&gt;AH!$P$11,AND(AH!$E$4&lt;&gt;"Stored",AH!$P$10&lt;&gt;1)),"",IFERROR(IF(AND(AH!$P$21=1,2443+1=AH!$P$11),TODAY(),IF(AH!$P$10=1,INDEX('Live History'!$A$5:$A$3004,AH!$P$13+2443),INDEX('AH History'!$A$1:$A$18046,AH!$P$7+2443))),""))</ns0:f>
        <ns0:v/>
      </ns0:c>
      <ns0:c r="B2448" s="219">
        <ns0:f>IFERROR(IF(AND(AH!$P$9&lt;&gt;1,$C2448&gt;0,$D2448&gt;0,$E2448&gt;0,$F2448&gt;0,$G2448&gt;0,$F2448&lt;=$A2448,$G2448&lt;=$A2448,$A2448-$F2448&lt;=10,$A2448-$G2448&lt;=5),$D2448*$E2448/$C2448-1,NA()),NA())</ns0:f>
        <ns0:v/>
      </ns0:c>
      <ns0:c r="C2448">
        <ns0:f>IFERROR(IF(ISNUMBER($A2448),IF(AND(AH!$P$10=1,AH!$P$12=1,$A2448=TODAY()),AH!$P$19,IF(AH!$P$10=1,INDEX('Live History'!$B$5:$B$3004,AH!$P$13+2443),INDEX('AH History'!$B$1:$B$18046,AH!$P$7+2443))),NA()),NA())</ns0:f>
        <ns0:v/>
      </ns0:c>
      <ns0:c r="D2448">
        <ns0:f>IFERROR(IF(ISNUMBER($A2448),IF(AND(AH!$P$10=1,AH!$P$12=1,$A2448=TODAY()),AH!$P$18,IF(AH!$P$10=1,INDEX('Live History'!$E$5:$E$3004,MATCH($A2448,'Live History'!$D$5:$D$3004,1)),INDEX('AH History'!$C$1:$C$18046,AH!$P$7+2443))),NA()),NA())</ns0:f>
        <ns0:v/>
      </ns0:c>
      <ns0:c r="E2448">
        <ns0:f>IFERROR(IF(ISNUMBER($A2448),IF(AND(AH!$P$10=1,AH!$P$12=1,$A2448=TODAY()),AH!$P$20,IF(AH!$P$10=1,INDEX('Live History'!$H$5:$H$3004,MATCH($A2448,'Live History'!$G$5:$G$3004,1)),INDEX('AH History'!$D$1:$D$18046,AH!$P$7+2443))),NA()),NA())</ns0:f>
        <ns0:v/>
      </ns0:c>
      <ns0:c r="F2448">
        <ns0:f>IFERROR(IF(ISNUMBER($A2448),IF(AND(AH!$P$10=1,AH!$P$12=1,$A2448=TODAY()),IF(AND(AH!$P$10=1,AH!$P$12=1,$A2448=TODAY()),TODAY(),NA()),IF(AH!$P$10=1,INDEX('Live History'!$D$5:$D$3004,MATCH($A2448,'Live History'!$D$5:$D$3004,1)),INDEX('AH History'!$E$1:$E$18046,AH!$P$7+2443))),NA()),NA())</ns0:f>
        <ns0:v/>
      </ns0:c>
      <ns0:c r="G2448">
        <ns0:f>IFERROR(IF(ISNUMBER($A2448),IF(AND(AH!$P$10=1,AH!$P$12=1,$A2448=TODAY()),IF(AND(AH!$P$10=1,AH!$P$12=1,$A2448=TODAY()),TODAY(),NA()),IF(AH!$P$10=1,INDEX('Live History'!$G$5:$G$3004,MATCH($A2448,'Live History'!$G$5:$G$3004,1)),INDEX('AH History'!$F$1:$F$18046,AH!$P$7+2443))),NA()),NA())</ns0:f>
        <ns0:v/>
      </ns0:c>
      <ns0:c r="H2448">
        <ns0:f>IFERROR(IF(AND(AH!$E$4="Bloomberg",AH!$P$10=1,ISNUMBER($A2448),$A2448&lt;=AH!$P$17),AH!$P$7-1+MATCH($A2448,INDEX('AH History'!$A$1:$A$18046,AH!$P$7):INDEX('AH History'!$A$1:$A$18046,AH!$P$7+AH!$P$8-1),0),0),0)</ns0:f>
        <ns0:v/>
      </ns0:c>
      <ns0:c r="I2448">
        <ns0:f>IF($H2448=0,0,IFERROR(IF(AND(ABS($C2448-INDEX('AH History'!$B$1:$B$18046,$H2448))&lt;=MAX(0.005,ABS(INDEX('AH History'!$B$1:$B$18046,$H2448))*0.00005),ABS($D2448-INDEX('AH History'!$C$1:$C$18046,$H2448))&lt;=MAX(0.005,ABS(INDEX('AH History'!$C$1:$C$18046,$H2448))*0.00005),ABS($E2448-INDEX('AH History'!$D$1:$D$18046,$H2448))&lt;=0.00005,$F2448=INDEX('AH History'!$E$1:$E$18046,$H2448),$G2448=INDEX('AH History'!$F$1:$F$18046,$H2448)),1,-1),-1))</ns0:f>
        <ns0:v/>
      </ns0:c>
    </ns0:row>
    <ns0:row r="2449">
      <ns0:c r="A2449" s="215">
        <ns0:f>IF(OR(AH!$P$3=0,2444+1&gt;AH!$P$11,AND(AH!$E$4&lt;&gt;"Stored",AH!$P$10&lt;&gt;1)),"",IFERROR(IF(AND(AH!$P$21=1,2444+1=AH!$P$11),TODAY(),IF(AH!$P$10=1,INDEX('Live History'!$A$5:$A$3004,AH!$P$13+2444),INDEX('AH History'!$A$1:$A$18046,AH!$P$7+2444))),""))</ns0:f>
        <ns0:v/>
      </ns0:c>
      <ns0:c r="B2449" s="219">
        <ns0:f>IFERROR(IF(AND(AH!$P$9&lt;&gt;1,$C2449&gt;0,$D2449&gt;0,$E2449&gt;0,$F2449&gt;0,$G2449&gt;0,$F2449&lt;=$A2449,$G2449&lt;=$A2449,$A2449-$F2449&lt;=10,$A2449-$G2449&lt;=5),$D2449*$E2449/$C2449-1,NA()),NA())</ns0:f>
        <ns0:v/>
      </ns0:c>
      <ns0:c r="C2449">
        <ns0:f>IFERROR(IF(ISNUMBER($A2449),IF(AND(AH!$P$10=1,AH!$P$12=1,$A2449=TODAY()),AH!$P$19,IF(AH!$P$10=1,INDEX('Live History'!$B$5:$B$3004,AH!$P$13+2444),INDEX('AH History'!$B$1:$B$18046,AH!$P$7+2444))),NA()),NA())</ns0:f>
        <ns0:v/>
      </ns0:c>
      <ns0:c r="D2449">
        <ns0:f>IFERROR(IF(ISNUMBER($A2449),IF(AND(AH!$P$10=1,AH!$P$12=1,$A2449=TODAY()),AH!$P$18,IF(AH!$P$10=1,INDEX('Live History'!$E$5:$E$3004,MATCH($A2449,'Live History'!$D$5:$D$3004,1)),INDEX('AH History'!$C$1:$C$18046,AH!$P$7+2444))),NA()),NA())</ns0:f>
        <ns0:v/>
      </ns0:c>
      <ns0:c r="E2449">
        <ns0:f>IFERROR(IF(ISNUMBER($A2449),IF(AND(AH!$P$10=1,AH!$P$12=1,$A2449=TODAY()),AH!$P$20,IF(AH!$P$10=1,INDEX('Live History'!$H$5:$H$3004,MATCH($A2449,'Live History'!$G$5:$G$3004,1)),INDEX('AH History'!$D$1:$D$18046,AH!$P$7+2444))),NA()),NA())</ns0:f>
        <ns0:v/>
      </ns0:c>
      <ns0:c r="F2449">
        <ns0:f>IFERROR(IF(ISNUMBER($A2449),IF(AND(AH!$P$10=1,AH!$P$12=1,$A2449=TODAY()),IF(AND(AH!$P$10=1,AH!$P$12=1,$A2449=TODAY()),TODAY(),NA()),IF(AH!$P$10=1,INDEX('Live History'!$D$5:$D$3004,MATCH($A2449,'Live History'!$D$5:$D$3004,1)),INDEX('AH History'!$E$1:$E$18046,AH!$P$7+2444))),NA()),NA())</ns0:f>
        <ns0:v/>
      </ns0:c>
      <ns0:c r="G2449">
        <ns0:f>IFERROR(IF(ISNUMBER($A2449),IF(AND(AH!$P$10=1,AH!$P$12=1,$A2449=TODAY()),IF(AND(AH!$P$10=1,AH!$P$12=1,$A2449=TODAY()),TODAY(),NA()),IF(AH!$P$10=1,INDEX('Live History'!$G$5:$G$3004,MATCH($A2449,'Live History'!$G$5:$G$3004,1)),INDEX('AH History'!$F$1:$F$18046,AH!$P$7+2444))),NA()),NA())</ns0:f>
        <ns0:v/>
      </ns0:c>
      <ns0:c r="H2449">
        <ns0:f>IFERROR(IF(AND(AH!$E$4="Bloomberg",AH!$P$10=1,ISNUMBER($A2449),$A2449&lt;=AH!$P$17),AH!$P$7-1+MATCH($A2449,INDEX('AH History'!$A$1:$A$18046,AH!$P$7):INDEX('AH History'!$A$1:$A$18046,AH!$P$7+AH!$P$8-1),0),0),0)</ns0:f>
        <ns0:v/>
      </ns0:c>
      <ns0:c r="I2449">
        <ns0:f>IF($H2449=0,0,IFERROR(IF(AND(ABS($C2449-INDEX('AH History'!$B$1:$B$18046,$H2449))&lt;=MAX(0.005,ABS(INDEX('AH History'!$B$1:$B$18046,$H2449))*0.00005),ABS($D2449-INDEX('AH History'!$C$1:$C$18046,$H2449))&lt;=MAX(0.005,ABS(INDEX('AH History'!$C$1:$C$18046,$H2449))*0.00005),ABS($E2449-INDEX('AH History'!$D$1:$D$18046,$H2449))&lt;=0.00005,$F2449=INDEX('AH History'!$E$1:$E$18046,$H2449),$G2449=INDEX('AH History'!$F$1:$F$18046,$H2449)),1,-1),-1))</ns0:f>
        <ns0:v/>
      </ns0:c>
    </ns0:row>
    <ns0:row r="2450">
      <ns0:c r="A2450" s="215">
        <ns0:f>IF(OR(AH!$P$3=0,2445+1&gt;AH!$P$11,AND(AH!$E$4&lt;&gt;"Stored",AH!$P$10&lt;&gt;1)),"",IFERROR(IF(AND(AH!$P$21=1,2445+1=AH!$P$11),TODAY(),IF(AH!$P$10=1,INDEX('Live History'!$A$5:$A$3004,AH!$P$13+2445),INDEX('AH History'!$A$1:$A$18046,AH!$P$7+2445))),""))</ns0:f>
        <ns0:v/>
      </ns0:c>
      <ns0:c r="B2450" s="219">
        <ns0:f>IFERROR(IF(AND(AH!$P$9&lt;&gt;1,$C2450&gt;0,$D2450&gt;0,$E2450&gt;0,$F2450&gt;0,$G2450&gt;0,$F2450&lt;=$A2450,$G2450&lt;=$A2450,$A2450-$F2450&lt;=10,$A2450-$G2450&lt;=5),$D2450*$E2450/$C2450-1,NA()),NA())</ns0:f>
        <ns0:v/>
      </ns0:c>
      <ns0:c r="C2450">
        <ns0:f>IFERROR(IF(ISNUMBER($A2450),IF(AND(AH!$P$10=1,AH!$P$12=1,$A2450=TODAY()),AH!$P$19,IF(AH!$P$10=1,INDEX('Live History'!$B$5:$B$3004,AH!$P$13+2445),INDEX('AH History'!$B$1:$B$18046,AH!$P$7+2445))),NA()),NA())</ns0:f>
        <ns0:v/>
      </ns0:c>
      <ns0:c r="D2450">
        <ns0:f>IFERROR(IF(ISNUMBER($A2450),IF(AND(AH!$P$10=1,AH!$P$12=1,$A2450=TODAY()),AH!$P$18,IF(AH!$P$10=1,INDEX('Live History'!$E$5:$E$3004,MATCH($A2450,'Live History'!$D$5:$D$3004,1)),INDEX('AH History'!$C$1:$C$18046,AH!$P$7+2445))),NA()),NA())</ns0:f>
        <ns0:v/>
      </ns0:c>
      <ns0:c r="E2450">
        <ns0:f>IFERROR(IF(ISNUMBER($A2450),IF(AND(AH!$P$10=1,AH!$P$12=1,$A2450=TODAY()),AH!$P$20,IF(AH!$P$10=1,INDEX('Live History'!$H$5:$H$3004,MATCH($A2450,'Live History'!$G$5:$G$3004,1)),INDEX('AH History'!$D$1:$D$18046,AH!$P$7+2445))),NA()),NA())</ns0:f>
        <ns0:v/>
      </ns0:c>
      <ns0:c r="F2450">
        <ns0:f>IFERROR(IF(ISNUMBER($A2450),IF(AND(AH!$P$10=1,AH!$P$12=1,$A2450=TODAY()),IF(AND(AH!$P$10=1,AH!$P$12=1,$A2450=TODAY()),TODAY(),NA()),IF(AH!$P$10=1,INDEX('Live History'!$D$5:$D$3004,MATCH($A2450,'Live History'!$D$5:$D$3004,1)),INDEX('AH History'!$E$1:$E$18046,AH!$P$7+2445))),NA()),NA())</ns0:f>
        <ns0:v/>
      </ns0:c>
      <ns0:c r="G2450">
        <ns0:f>IFERROR(IF(ISNUMBER($A2450),IF(AND(AH!$P$10=1,AH!$P$12=1,$A2450=TODAY()),IF(AND(AH!$P$10=1,AH!$P$12=1,$A2450=TODAY()),TODAY(),NA()),IF(AH!$P$10=1,INDEX('Live History'!$G$5:$G$3004,MATCH($A2450,'Live History'!$G$5:$G$3004,1)),INDEX('AH History'!$F$1:$F$18046,AH!$P$7+2445))),NA()),NA())</ns0:f>
        <ns0:v/>
      </ns0:c>
      <ns0:c r="H2450">
        <ns0:f>IFERROR(IF(AND(AH!$E$4="Bloomberg",AH!$P$10=1,ISNUMBER($A2450),$A2450&lt;=AH!$P$17),AH!$P$7-1+MATCH($A2450,INDEX('AH History'!$A$1:$A$18046,AH!$P$7):INDEX('AH History'!$A$1:$A$18046,AH!$P$7+AH!$P$8-1),0),0),0)</ns0:f>
        <ns0:v/>
      </ns0:c>
      <ns0:c r="I2450">
        <ns0:f>IF($H2450=0,0,IFERROR(IF(AND(ABS($C2450-INDEX('AH History'!$B$1:$B$18046,$H2450))&lt;=MAX(0.005,ABS(INDEX('AH History'!$B$1:$B$18046,$H2450))*0.00005),ABS($D2450-INDEX('AH History'!$C$1:$C$18046,$H2450))&lt;=MAX(0.005,ABS(INDEX('AH History'!$C$1:$C$18046,$H2450))*0.00005),ABS($E2450-INDEX('AH History'!$D$1:$D$18046,$H2450))&lt;=0.00005,$F2450=INDEX('AH History'!$E$1:$E$18046,$H2450),$G2450=INDEX('AH History'!$F$1:$F$18046,$H2450)),1,-1),-1))</ns0:f>
        <ns0:v/>
      </ns0:c>
    </ns0:row>
    <ns0:row r="2451">
      <ns0:c r="A2451" s="215">
        <ns0:f>IF(OR(AH!$P$3=0,2446+1&gt;AH!$P$11,AND(AH!$E$4&lt;&gt;"Stored",AH!$P$10&lt;&gt;1)),"",IFERROR(IF(AND(AH!$P$21=1,2446+1=AH!$P$11),TODAY(),IF(AH!$P$10=1,INDEX('Live History'!$A$5:$A$3004,AH!$P$13+2446),INDEX('AH History'!$A$1:$A$18046,AH!$P$7+2446))),""))</ns0:f>
        <ns0:v/>
      </ns0:c>
      <ns0:c r="B2451" s="219">
        <ns0:f>IFERROR(IF(AND(AH!$P$9&lt;&gt;1,$C2451&gt;0,$D2451&gt;0,$E2451&gt;0,$F2451&gt;0,$G2451&gt;0,$F2451&lt;=$A2451,$G2451&lt;=$A2451,$A2451-$F2451&lt;=10,$A2451-$G2451&lt;=5),$D2451*$E2451/$C2451-1,NA()),NA())</ns0:f>
        <ns0:v/>
      </ns0:c>
      <ns0:c r="C2451">
        <ns0:f>IFERROR(IF(ISNUMBER($A2451),IF(AND(AH!$P$10=1,AH!$P$12=1,$A2451=TODAY()),AH!$P$19,IF(AH!$P$10=1,INDEX('Live History'!$B$5:$B$3004,AH!$P$13+2446),INDEX('AH History'!$B$1:$B$18046,AH!$P$7+2446))),NA()),NA())</ns0:f>
        <ns0:v/>
      </ns0:c>
      <ns0:c r="D2451">
        <ns0:f>IFERROR(IF(ISNUMBER($A2451),IF(AND(AH!$P$10=1,AH!$P$12=1,$A2451=TODAY()),AH!$P$18,IF(AH!$P$10=1,INDEX('Live History'!$E$5:$E$3004,MATCH($A2451,'Live History'!$D$5:$D$3004,1)),INDEX('AH History'!$C$1:$C$18046,AH!$P$7+2446))),NA()),NA())</ns0:f>
        <ns0:v/>
      </ns0:c>
      <ns0:c r="E2451">
        <ns0:f>IFERROR(IF(ISNUMBER($A2451),IF(AND(AH!$P$10=1,AH!$P$12=1,$A2451=TODAY()),AH!$P$20,IF(AH!$P$10=1,INDEX('Live History'!$H$5:$H$3004,MATCH($A2451,'Live History'!$G$5:$G$3004,1)),INDEX('AH History'!$D$1:$D$18046,AH!$P$7+2446))),NA()),NA())</ns0:f>
        <ns0:v/>
      </ns0:c>
      <ns0:c r="F2451">
        <ns0:f>IFERROR(IF(ISNUMBER($A2451),IF(AND(AH!$P$10=1,AH!$P$12=1,$A2451=TODAY()),IF(AND(AH!$P$10=1,AH!$P$12=1,$A2451=TODAY()),TODAY(),NA()),IF(AH!$P$10=1,INDEX('Live History'!$D$5:$D$3004,MATCH($A2451,'Live History'!$D$5:$D$3004,1)),INDEX('AH History'!$E$1:$E$18046,AH!$P$7+2446))),NA()),NA())</ns0:f>
        <ns0:v/>
      </ns0:c>
      <ns0:c r="G2451">
        <ns0:f>IFERROR(IF(ISNUMBER($A2451),IF(AND(AH!$P$10=1,AH!$P$12=1,$A2451=TODAY()),IF(AND(AH!$P$10=1,AH!$P$12=1,$A2451=TODAY()),TODAY(),NA()),IF(AH!$P$10=1,INDEX('Live History'!$G$5:$G$3004,MATCH($A2451,'Live History'!$G$5:$G$3004,1)),INDEX('AH History'!$F$1:$F$18046,AH!$P$7+2446))),NA()),NA())</ns0:f>
        <ns0:v/>
      </ns0:c>
      <ns0:c r="H2451">
        <ns0:f>IFERROR(IF(AND(AH!$E$4="Bloomberg",AH!$P$10=1,ISNUMBER($A2451),$A2451&lt;=AH!$P$17),AH!$P$7-1+MATCH($A2451,INDEX('AH History'!$A$1:$A$18046,AH!$P$7):INDEX('AH History'!$A$1:$A$18046,AH!$P$7+AH!$P$8-1),0),0),0)</ns0:f>
        <ns0:v/>
      </ns0:c>
      <ns0:c r="I2451">
        <ns0:f>IF($H2451=0,0,IFERROR(IF(AND(ABS($C2451-INDEX('AH History'!$B$1:$B$18046,$H2451))&lt;=MAX(0.005,ABS(INDEX('AH History'!$B$1:$B$18046,$H2451))*0.00005),ABS($D2451-INDEX('AH History'!$C$1:$C$18046,$H2451))&lt;=MAX(0.005,ABS(INDEX('AH History'!$C$1:$C$18046,$H2451))*0.00005),ABS($E2451-INDEX('AH History'!$D$1:$D$18046,$H2451))&lt;=0.00005,$F2451=INDEX('AH History'!$E$1:$E$18046,$H2451),$G2451=INDEX('AH History'!$F$1:$F$18046,$H2451)),1,-1),-1))</ns0:f>
        <ns0:v/>
      </ns0:c>
    </ns0:row>
    <ns0:row r="2452">
      <ns0:c r="A2452" s="215">
        <ns0:f>IF(OR(AH!$P$3=0,2447+1&gt;AH!$P$11,AND(AH!$E$4&lt;&gt;"Stored",AH!$P$10&lt;&gt;1)),"",IFERROR(IF(AND(AH!$P$21=1,2447+1=AH!$P$11),TODAY(),IF(AH!$P$10=1,INDEX('Live History'!$A$5:$A$3004,AH!$P$13+2447),INDEX('AH History'!$A$1:$A$18046,AH!$P$7+2447))),""))</ns0:f>
        <ns0:v/>
      </ns0:c>
      <ns0:c r="B2452" s="219">
        <ns0:f>IFERROR(IF(AND(AH!$P$9&lt;&gt;1,$C2452&gt;0,$D2452&gt;0,$E2452&gt;0,$F2452&gt;0,$G2452&gt;0,$F2452&lt;=$A2452,$G2452&lt;=$A2452,$A2452-$F2452&lt;=10,$A2452-$G2452&lt;=5),$D2452*$E2452/$C2452-1,NA()),NA())</ns0:f>
        <ns0:v/>
      </ns0:c>
      <ns0:c r="C2452">
        <ns0:f>IFERROR(IF(ISNUMBER($A2452),IF(AND(AH!$P$10=1,AH!$P$12=1,$A2452=TODAY()),AH!$P$19,IF(AH!$P$10=1,INDEX('Live History'!$B$5:$B$3004,AH!$P$13+2447),INDEX('AH History'!$B$1:$B$18046,AH!$P$7+2447))),NA()),NA())</ns0:f>
        <ns0:v/>
      </ns0:c>
      <ns0:c r="D2452">
        <ns0:f>IFERROR(IF(ISNUMBER($A2452),IF(AND(AH!$P$10=1,AH!$P$12=1,$A2452=TODAY()),AH!$P$18,IF(AH!$P$10=1,INDEX('Live History'!$E$5:$E$3004,MATCH($A2452,'Live History'!$D$5:$D$3004,1)),INDEX('AH History'!$C$1:$C$18046,AH!$P$7+2447))),NA()),NA())</ns0:f>
        <ns0:v/>
      </ns0:c>
      <ns0:c r="E2452">
        <ns0:f>IFERROR(IF(ISNUMBER($A2452),IF(AND(AH!$P$10=1,AH!$P$12=1,$A2452=TODAY()),AH!$P$20,IF(AH!$P$10=1,INDEX('Live History'!$H$5:$H$3004,MATCH($A2452,'Live History'!$G$5:$G$3004,1)),INDEX('AH History'!$D$1:$D$18046,AH!$P$7+2447))),NA()),NA())</ns0:f>
        <ns0:v/>
      </ns0:c>
      <ns0:c r="F2452">
        <ns0:f>IFERROR(IF(ISNUMBER($A2452),IF(AND(AH!$P$10=1,AH!$P$12=1,$A2452=TODAY()),IF(AND(AH!$P$10=1,AH!$P$12=1,$A2452=TODAY()),TODAY(),NA()),IF(AH!$P$10=1,INDEX('Live History'!$D$5:$D$3004,MATCH($A2452,'Live History'!$D$5:$D$3004,1)),INDEX('AH History'!$E$1:$E$18046,AH!$P$7+2447))),NA()),NA())</ns0:f>
        <ns0:v/>
      </ns0:c>
      <ns0:c r="G2452">
        <ns0:f>IFERROR(IF(ISNUMBER($A2452),IF(AND(AH!$P$10=1,AH!$P$12=1,$A2452=TODAY()),IF(AND(AH!$P$10=1,AH!$P$12=1,$A2452=TODAY()),TODAY(),NA()),IF(AH!$P$10=1,INDEX('Live History'!$G$5:$G$3004,MATCH($A2452,'Live History'!$G$5:$G$3004,1)),INDEX('AH History'!$F$1:$F$18046,AH!$P$7+2447))),NA()),NA())</ns0:f>
        <ns0:v/>
      </ns0:c>
      <ns0:c r="H2452">
        <ns0:f>IFERROR(IF(AND(AH!$E$4="Bloomberg",AH!$P$10=1,ISNUMBER($A2452),$A2452&lt;=AH!$P$17),AH!$P$7-1+MATCH($A2452,INDEX('AH History'!$A$1:$A$18046,AH!$P$7):INDEX('AH History'!$A$1:$A$18046,AH!$P$7+AH!$P$8-1),0),0),0)</ns0:f>
        <ns0:v/>
      </ns0:c>
      <ns0:c r="I2452">
        <ns0:f>IF($H2452=0,0,IFERROR(IF(AND(ABS($C2452-INDEX('AH History'!$B$1:$B$18046,$H2452))&lt;=MAX(0.005,ABS(INDEX('AH History'!$B$1:$B$18046,$H2452))*0.00005),ABS($D2452-INDEX('AH History'!$C$1:$C$18046,$H2452))&lt;=MAX(0.005,ABS(INDEX('AH History'!$C$1:$C$18046,$H2452))*0.00005),ABS($E2452-INDEX('AH History'!$D$1:$D$18046,$H2452))&lt;=0.00005,$F2452=INDEX('AH History'!$E$1:$E$18046,$H2452),$G2452=INDEX('AH History'!$F$1:$F$18046,$H2452)),1,-1),-1))</ns0:f>
        <ns0:v/>
      </ns0:c>
    </ns0:row>
    <ns0:row r="2453">
      <ns0:c r="A2453" s="215">
        <ns0:f>IF(OR(AH!$P$3=0,2448+1&gt;AH!$P$11,AND(AH!$E$4&lt;&gt;"Stored",AH!$P$10&lt;&gt;1)),"",IFERROR(IF(AND(AH!$P$21=1,2448+1=AH!$P$11),TODAY(),IF(AH!$P$10=1,INDEX('Live History'!$A$5:$A$3004,AH!$P$13+2448),INDEX('AH History'!$A$1:$A$18046,AH!$P$7+2448))),""))</ns0:f>
        <ns0:v/>
      </ns0:c>
      <ns0:c r="B2453" s="219">
        <ns0:f>IFERROR(IF(AND(AH!$P$9&lt;&gt;1,$C2453&gt;0,$D2453&gt;0,$E2453&gt;0,$F2453&gt;0,$G2453&gt;0,$F2453&lt;=$A2453,$G2453&lt;=$A2453,$A2453-$F2453&lt;=10,$A2453-$G2453&lt;=5),$D2453*$E2453/$C2453-1,NA()),NA())</ns0:f>
        <ns0:v/>
      </ns0:c>
      <ns0:c r="C2453">
        <ns0:f>IFERROR(IF(ISNUMBER($A2453),IF(AND(AH!$P$10=1,AH!$P$12=1,$A2453=TODAY()),AH!$P$19,IF(AH!$P$10=1,INDEX('Live History'!$B$5:$B$3004,AH!$P$13+2448),INDEX('AH History'!$B$1:$B$18046,AH!$P$7+2448))),NA()),NA())</ns0:f>
        <ns0:v/>
      </ns0:c>
      <ns0:c r="D2453">
        <ns0:f>IFERROR(IF(ISNUMBER($A2453),IF(AND(AH!$P$10=1,AH!$P$12=1,$A2453=TODAY()),AH!$P$18,IF(AH!$P$10=1,INDEX('Live History'!$E$5:$E$3004,MATCH($A2453,'Live History'!$D$5:$D$3004,1)),INDEX('AH History'!$C$1:$C$18046,AH!$P$7+2448))),NA()),NA())</ns0:f>
        <ns0:v/>
      </ns0:c>
      <ns0:c r="E2453">
        <ns0:f>IFERROR(IF(ISNUMBER($A2453),IF(AND(AH!$P$10=1,AH!$P$12=1,$A2453=TODAY()),AH!$P$20,IF(AH!$P$10=1,INDEX('Live History'!$H$5:$H$3004,MATCH($A2453,'Live History'!$G$5:$G$3004,1)),INDEX('AH History'!$D$1:$D$18046,AH!$P$7+2448))),NA()),NA())</ns0:f>
        <ns0:v/>
      </ns0:c>
      <ns0:c r="F2453">
        <ns0:f>IFERROR(IF(ISNUMBER($A2453),IF(AND(AH!$P$10=1,AH!$P$12=1,$A2453=TODAY()),IF(AND(AH!$P$10=1,AH!$P$12=1,$A2453=TODAY()),TODAY(),NA()),IF(AH!$P$10=1,INDEX('Live History'!$D$5:$D$3004,MATCH($A2453,'Live History'!$D$5:$D$3004,1)),INDEX('AH History'!$E$1:$E$18046,AH!$P$7+2448))),NA()),NA())</ns0:f>
        <ns0:v/>
      </ns0:c>
      <ns0:c r="G2453">
        <ns0:f>IFERROR(IF(ISNUMBER($A2453),IF(AND(AH!$P$10=1,AH!$P$12=1,$A2453=TODAY()),IF(AND(AH!$P$10=1,AH!$P$12=1,$A2453=TODAY()),TODAY(),NA()),IF(AH!$P$10=1,INDEX('Live History'!$G$5:$G$3004,MATCH($A2453,'Live History'!$G$5:$G$3004,1)),INDEX('AH History'!$F$1:$F$18046,AH!$P$7+2448))),NA()),NA())</ns0:f>
        <ns0:v/>
      </ns0:c>
      <ns0:c r="H2453">
        <ns0:f>IFERROR(IF(AND(AH!$E$4="Bloomberg",AH!$P$10=1,ISNUMBER($A2453),$A2453&lt;=AH!$P$17),AH!$P$7-1+MATCH($A2453,INDEX('AH History'!$A$1:$A$18046,AH!$P$7):INDEX('AH History'!$A$1:$A$18046,AH!$P$7+AH!$P$8-1),0),0),0)</ns0:f>
        <ns0:v/>
      </ns0:c>
      <ns0:c r="I2453">
        <ns0:f>IF($H2453=0,0,IFERROR(IF(AND(ABS($C2453-INDEX('AH History'!$B$1:$B$18046,$H2453))&lt;=MAX(0.005,ABS(INDEX('AH History'!$B$1:$B$18046,$H2453))*0.00005),ABS($D2453-INDEX('AH History'!$C$1:$C$18046,$H2453))&lt;=MAX(0.005,ABS(INDEX('AH History'!$C$1:$C$18046,$H2453))*0.00005),ABS($E2453-INDEX('AH History'!$D$1:$D$18046,$H2453))&lt;=0.00005,$F2453=INDEX('AH History'!$E$1:$E$18046,$H2453),$G2453=INDEX('AH History'!$F$1:$F$18046,$H2453)),1,-1),-1))</ns0:f>
        <ns0:v/>
      </ns0:c>
    </ns0:row>
    <ns0:row r="2454">
      <ns0:c r="A2454" s="215">
        <ns0:f>IF(OR(AH!$P$3=0,2449+1&gt;AH!$P$11,AND(AH!$E$4&lt;&gt;"Stored",AH!$P$10&lt;&gt;1)),"",IFERROR(IF(AND(AH!$P$21=1,2449+1=AH!$P$11),TODAY(),IF(AH!$P$10=1,INDEX('Live History'!$A$5:$A$3004,AH!$P$13+2449),INDEX('AH History'!$A$1:$A$18046,AH!$P$7+2449))),""))</ns0:f>
        <ns0:v/>
      </ns0:c>
      <ns0:c r="B2454" s="219">
        <ns0:f>IFERROR(IF(AND(AH!$P$9&lt;&gt;1,$C2454&gt;0,$D2454&gt;0,$E2454&gt;0,$F2454&gt;0,$G2454&gt;0,$F2454&lt;=$A2454,$G2454&lt;=$A2454,$A2454-$F2454&lt;=10,$A2454-$G2454&lt;=5),$D2454*$E2454/$C2454-1,NA()),NA())</ns0:f>
        <ns0:v/>
      </ns0:c>
      <ns0:c r="C2454">
        <ns0:f>IFERROR(IF(ISNUMBER($A2454),IF(AND(AH!$P$10=1,AH!$P$12=1,$A2454=TODAY()),AH!$P$19,IF(AH!$P$10=1,INDEX('Live History'!$B$5:$B$3004,AH!$P$13+2449),INDEX('AH History'!$B$1:$B$18046,AH!$P$7+2449))),NA()),NA())</ns0:f>
        <ns0:v/>
      </ns0:c>
      <ns0:c r="D2454">
        <ns0:f>IFERROR(IF(ISNUMBER($A2454),IF(AND(AH!$P$10=1,AH!$P$12=1,$A2454=TODAY()),AH!$P$18,IF(AH!$P$10=1,INDEX('Live History'!$E$5:$E$3004,MATCH($A2454,'Live History'!$D$5:$D$3004,1)),INDEX('AH History'!$C$1:$C$18046,AH!$P$7+2449))),NA()),NA())</ns0:f>
        <ns0:v/>
      </ns0:c>
      <ns0:c r="E2454">
        <ns0:f>IFERROR(IF(ISNUMBER($A2454),IF(AND(AH!$P$10=1,AH!$P$12=1,$A2454=TODAY()),AH!$P$20,IF(AH!$P$10=1,INDEX('Live History'!$H$5:$H$3004,MATCH($A2454,'Live History'!$G$5:$G$3004,1)),INDEX('AH History'!$D$1:$D$18046,AH!$P$7+2449))),NA()),NA())</ns0:f>
        <ns0:v/>
      </ns0:c>
      <ns0:c r="F2454">
        <ns0:f>IFERROR(IF(ISNUMBER($A2454),IF(AND(AH!$P$10=1,AH!$P$12=1,$A2454=TODAY()),IF(AND(AH!$P$10=1,AH!$P$12=1,$A2454=TODAY()),TODAY(),NA()),IF(AH!$P$10=1,INDEX('Live History'!$D$5:$D$3004,MATCH($A2454,'Live History'!$D$5:$D$3004,1)),INDEX('AH History'!$E$1:$E$18046,AH!$P$7+2449))),NA()),NA())</ns0:f>
        <ns0:v/>
      </ns0:c>
      <ns0:c r="G2454">
        <ns0:f>IFERROR(IF(ISNUMBER($A2454),IF(AND(AH!$P$10=1,AH!$P$12=1,$A2454=TODAY()),IF(AND(AH!$P$10=1,AH!$P$12=1,$A2454=TODAY()),TODAY(),NA()),IF(AH!$P$10=1,INDEX('Live History'!$G$5:$G$3004,MATCH($A2454,'Live History'!$G$5:$G$3004,1)),INDEX('AH History'!$F$1:$F$18046,AH!$P$7+2449))),NA()),NA())</ns0:f>
        <ns0:v/>
      </ns0:c>
      <ns0:c r="H2454">
        <ns0:f>IFERROR(IF(AND(AH!$E$4="Bloomberg",AH!$P$10=1,ISNUMBER($A2454),$A2454&lt;=AH!$P$17),AH!$P$7-1+MATCH($A2454,INDEX('AH History'!$A$1:$A$18046,AH!$P$7):INDEX('AH History'!$A$1:$A$18046,AH!$P$7+AH!$P$8-1),0),0),0)</ns0:f>
        <ns0:v/>
      </ns0:c>
      <ns0:c r="I2454">
        <ns0:f>IF($H2454=0,0,IFERROR(IF(AND(ABS($C2454-INDEX('AH History'!$B$1:$B$18046,$H2454))&lt;=MAX(0.005,ABS(INDEX('AH History'!$B$1:$B$18046,$H2454))*0.00005),ABS($D2454-INDEX('AH History'!$C$1:$C$18046,$H2454))&lt;=MAX(0.005,ABS(INDEX('AH History'!$C$1:$C$18046,$H2454))*0.00005),ABS($E2454-INDEX('AH History'!$D$1:$D$18046,$H2454))&lt;=0.00005,$F2454=INDEX('AH History'!$E$1:$E$18046,$H2454),$G2454=INDEX('AH History'!$F$1:$F$18046,$H2454)),1,-1),-1))</ns0:f>
        <ns0:v/>
      </ns0:c>
    </ns0:row>
    <ns0:row r="2455">
      <ns0:c r="A2455" s="215">
        <ns0:f>IF(OR(AH!$P$3=0,2450+1&gt;AH!$P$11,AND(AH!$E$4&lt;&gt;"Stored",AH!$P$10&lt;&gt;1)),"",IFERROR(IF(AND(AH!$P$21=1,2450+1=AH!$P$11),TODAY(),IF(AH!$P$10=1,INDEX('Live History'!$A$5:$A$3004,AH!$P$13+2450),INDEX('AH History'!$A$1:$A$18046,AH!$P$7+2450))),""))</ns0:f>
        <ns0:v/>
      </ns0:c>
      <ns0:c r="B2455" s="219">
        <ns0:f>IFERROR(IF(AND(AH!$P$9&lt;&gt;1,$C2455&gt;0,$D2455&gt;0,$E2455&gt;0,$F2455&gt;0,$G2455&gt;0,$F2455&lt;=$A2455,$G2455&lt;=$A2455,$A2455-$F2455&lt;=10,$A2455-$G2455&lt;=5),$D2455*$E2455/$C2455-1,NA()),NA())</ns0:f>
        <ns0:v/>
      </ns0:c>
      <ns0:c r="C2455">
        <ns0:f>IFERROR(IF(ISNUMBER($A2455),IF(AND(AH!$P$10=1,AH!$P$12=1,$A2455=TODAY()),AH!$P$19,IF(AH!$P$10=1,INDEX('Live History'!$B$5:$B$3004,AH!$P$13+2450),INDEX('AH History'!$B$1:$B$18046,AH!$P$7+2450))),NA()),NA())</ns0:f>
        <ns0:v/>
      </ns0:c>
      <ns0:c r="D2455">
        <ns0:f>IFERROR(IF(ISNUMBER($A2455),IF(AND(AH!$P$10=1,AH!$P$12=1,$A2455=TODAY()),AH!$P$18,IF(AH!$P$10=1,INDEX('Live History'!$E$5:$E$3004,MATCH($A2455,'Live History'!$D$5:$D$3004,1)),INDEX('AH History'!$C$1:$C$18046,AH!$P$7+2450))),NA()),NA())</ns0:f>
        <ns0:v/>
      </ns0:c>
      <ns0:c r="E2455">
        <ns0:f>IFERROR(IF(ISNUMBER($A2455),IF(AND(AH!$P$10=1,AH!$P$12=1,$A2455=TODAY()),AH!$P$20,IF(AH!$P$10=1,INDEX('Live History'!$H$5:$H$3004,MATCH($A2455,'Live History'!$G$5:$G$3004,1)),INDEX('AH History'!$D$1:$D$18046,AH!$P$7+2450))),NA()),NA())</ns0:f>
        <ns0:v/>
      </ns0:c>
      <ns0:c r="F2455">
        <ns0:f>IFERROR(IF(ISNUMBER($A2455),IF(AND(AH!$P$10=1,AH!$P$12=1,$A2455=TODAY()),IF(AND(AH!$P$10=1,AH!$P$12=1,$A2455=TODAY()),TODAY(),NA()),IF(AH!$P$10=1,INDEX('Live History'!$D$5:$D$3004,MATCH($A2455,'Live History'!$D$5:$D$3004,1)),INDEX('AH History'!$E$1:$E$18046,AH!$P$7+2450))),NA()),NA())</ns0:f>
        <ns0:v/>
      </ns0:c>
      <ns0:c r="G2455">
        <ns0:f>IFERROR(IF(ISNUMBER($A2455),IF(AND(AH!$P$10=1,AH!$P$12=1,$A2455=TODAY()),IF(AND(AH!$P$10=1,AH!$P$12=1,$A2455=TODAY()),TODAY(),NA()),IF(AH!$P$10=1,INDEX('Live History'!$G$5:$G$3004,MATCH($A2455,'Live History'!$G$5:$G$3004,1)),INDEX('AH History'!$F$1:$F$18046,AH!$P$7+2450))),NA()),NA())</ns0:f>
        <ns0:v/>
      </ns0:c>
      <ns0:c r="H2455">
        <ns0:f>IFERROR(IF(AND(AH!$E$4="Bloomberg",AH!$P$10=1,ISNUMBER($A2455),$A2455&lt;=AH!$P$17),AH!$P$7-1+MATCH($A2455,INDEX('AH History'!$A$1:$A$18046,AH!$P$7):INDEX('AH History'!$A$1:$A$18046,AH!$P$7+AH!$P$8-1),0),0),0)</ns0:f>
        <ns0:v/>
      </ns0:c>
      <ns0:c r="I2455">
        <ns0:f>IF($H2455=0,0,IFERROR(IF(AND(ABS($C2455-INDEX('AH History'!$B$1:$B$18046,$H2455))&lt;=MAX(0.005,ABS(INDEX('AH History'!$B$1:$B$18046,$H2455))*0.00005),ABS($D2455-INDEX('AH History'!$C$1:$C$18046,$H2455))&lt;=MAX(0.005,ABS(INDEX('AH History'!$C$1:$C$18046,$H2455))*0.00005),ABS($E2455-INDEX('AH History'!$D$1:$D$18046,$H2455))&lt;=0.00005,$F2455=INDEX('AH History'!$E$1:$E$18046,$H2455),$G2455=INDEX('AH History'!$F$1:$F$18046,$H2455)),1,-1),-1))</ns0:f>
        <ns0:v/>
      </ns0:c>
    </ns0:row>
    <ns0:row r="2456">
      <ns0:c r="A2456" s="215">
        <ns0:f>IF(OR(AH!$P$3=0,2451+1&gt;AH!$P$11,AND(AH!$E$4&lt;&gt;"Stored",AH!$P$10&lt;&gt;1)),"",IFERROR(IF(AND(AH!$P$21=1,2451+1=AH!$P$11),TODAY(),IF(AH!$P$10=1,INDEX('Live History'!$A$5:$A$3004,AH!$P$13+2451),INDEX('AH History'!$A$1:$A$18046,AH!$P$7+2451))),""))</ns0:f>
        <ns0:v/>
      </ns0:c>
      <ns0:c r="B2456" s="219">
        <ns0:f>IFERROR(IF(AND(AH!$P$9&lt;&gt;1,$C2456&gt;0,$D2456&gt;0,$E2456&gt;0,$F2456&gt;0,$G2456&gt;0,$F2456&lt;=$A2456,$G2456&lt;=$A2456,$A2456-$F2456&lt;=10,$A2456-$G2456&lt;=5),$D2456*$E2456/$C2456-1,NA()),NA())</ns0:f>
        <ns0:v/>
      </ns0:c>
      <ns0:c r="C2456">
        <ns0:f>IFERROR(IF(ISNUMBER($A2456),IF(AND(AH!$P$10=1,AH!$P$12=1,$A2456=TODAY()),AH!$P$19,IF(AH!$P$10=1,INDEX('Live History'!$B$5:$B$3004,AH!$P$13+2451),INDEX('AH History'!$B$1:$B$18046,AH!$P$7+2451))),NA()),NA())</ns0:f>
        <ns0:v/>
      </ns0:c>
      <ns0:c r="D2456">
        <ns0:f>IFERROR(IF(ISNUMBER($A2456),IF(AND(AH!$P$10=1,AH!$P$12=1,$A2456=TODAY()),AH!$P$18,IF(AH!$P$10=1,INDEX('Live History'!$E$5:$E$3004,MATCH($A2456,'Live History'!$D$5:$D$3004,1)),INDEX('AH History'!$C$1:$C$18046,AH!$P$7+2451))),NA()),NA())</ns0:f>
        <ns0:v/>
      </ns0:c>
      <ns0:c r="E2456">
        <ns0:f>IFERROR(IF(ISNUMBER($A2456),IF(AND(AH!$P$10=1,AH!$P$12=1,$A2456=TODAY()),AH!$P$20,IF(AH!$P$10=1,INDEX('Live History'!$H$5:$H$3004,MATCH($A2456,'Live History'!$G$5:$G$3004,1)),INDEX('AH History'!$D$1:$D$18046,AH!$P$7+2451))),NA()),NA())</ns0:f>
        <ns0:v/>
      </ns0:c>
      <ns0:c r="F2456">
        <ns0:f>IFERROR(IF(ISNUMBER($A2456),IF(AND(AH!$P$10=1,AH!$P$12=1,$A2456=TODAY()),IF(AND(AH!$P$10=1,AH!$P$12=1,$A2456=TODAY()),TODAY(),NA()),IF(AH!$P$10=1,INDEX('Live History'!$D$5:$D$3004,MATCH($A2456,'Live History'!$D$5:$D$3004,1)),INDEX('AH History'!$E$1:$E$18046,AH!$P$7+2451))),NA()),NA())</ns0:f>
        <ns0:v/>
      </ns0:c>
      <ns0:c r="G2456">
        <ns0:f>IFERROR(IF(ISNUMBER($A2456),IF(AND(AH!$P$10=1,AH!$P$12=1,$A2456=TODAY()),IF(AND(AH!$P$10=1,AH!$P$12=1,$A2456=TODAY()),TODAY(),NA()),IF(AH!$P$10=1,INDEX('Live History'!$G$5:$G$3004,MATCH($A2456,'Live History'!$G$5:$G$3004,1)),INDEX('AH History'!$F$1:$F$18046,AH!$P$7+2451))),NA()),NA())</ns0:f>
        <ns0:v/>
      </ns0:c>
      <ns0:c r="H2456">
        <ns0:f>IFERROR(IF(AND(AH!$E$4="Bloomberg",AH!$P$10=1,ISNUMBER($A2456),$A2456&lt;=AH!$P$17),AH!$P$7-1+MATCH($A2456,INDEX('AH History'!$A$1:$A$18046,AH!$P$7):INDEX('AH History'!$A$1:$A$18046,AH!$P$7+AH!$P$8-1),0),0),0)</ns0:f>
        <ns0:v/>
      </ns0:c>
      <ns0:c r="I2456">
        <ns0:f>IF($H2456=0,0,IFERROR(IF(AND(ABS($C2456-INDEX('AH History'!$B$1:$B$18046,$H2456))&lt;=MAX(0.005,ABS(INDEX('AH History'!$B$1:$B$18046,$H2456))*0.00005),ABS($D2456-INDEX('AH History'!$C$1:$C$18046,$H2456))&lt;=MAX(0.005,ABS(INDEX('AH History'!$C$1:$C$18046,$H2456))*0.00005),ABS($E2456-INDEX('AH History'!$D$1:$D$18046,$H2456))&lt;=0.00005,$F2456=INDEX('AH History'!$E$1:$E$18046,$H2456),$G2456=INDEX('AH History'!$F$1:$F$18046,$H2456)),1,-1),-1))</ns0:f>
        <ns0:v/>
      </ns0:c>
    </ns0:row>
    <ns0:row r="2457">
      <ns0:c r="A2457" s="215">
        <ns0:f>IF(OR(AH!$P$3=0,2452+1&gt;AH!$P$11,AND(AH!$E$4&lt;&gt;"Stored",AH!$P$10&lt;&gt;1)),"",IFERROR(IF(AND(AH!$P$21=1,2452+1=AH!$P$11),TODAY(),IF(AH!$P$10=1,INDEX('Live History'!$A$5:$A$3004,AH!$P$13+2452),INDEX('AH History'!$A$1:$A$18046,AH!$P$7+2452))),""))</ns0:f>
        <ns0:v/>
      </ns0:c>
      <ns0:c r="B2457" s="219">
        <ns0:f>IFERROR(IF(AND(AH!$P$9&lt;&gt;1,$C2457&gt;0,$D2457&gt;0,$E2457&gt;0,$F2457&gt;0,$G2457&gt;0,$F2457&lt;=$A2457,$G2457&lt;=$A2457,$A2457-$F2457&lt;=10,$A2457-$G2457&lt;=5),$D2457*$E2457/$C2457-1,NA()),NA())</ns0:f>
        <ns0:v/>
      </ns0:c>
      <ns0:c r="C2457">
        <ns0:f>IFERROR(IF(ISNUMBER($A2457),IF(AND(AH!$P$10=1,AH!$P$12=1,$A2457=TODAY()),AH!$P$19,IF(AH!$P$10=1,INDEX('Live History'!$B$5:$B$3004,AH!$P$13+2452),INDEX('AH History'!$B$1:$B$18046,AH!$P$7+2452))),NA()),NA())</ns0:f>
        <ns0:v/>
      </ns0:c>
      <ns0:c r="D2457">
        <ns0:f>IFERROR(IF(ISNUMBER($A2457),IF(AND(AH!$P$10=1,AH!$P$12=1,$A2457=TODAY()),AH!$P$18,IF(AH!$P$10=1,INDEX('Live History'!$E$5:$E$3004,MATCH($A2457,'Live History'!$D$5:$D$3004,1)),INDEX('AH History'!$C$1:$C$18046,AH!$P$7+2452))),NA()),NA())</ns0:f>
        <ns0:v/>
      </ns0:c>
      <ns0:c r="E2457">
        <ns0:f>IFERROR(IF(ISNUMBER($A2457),IF(AND(AH!$P$10=1,AH!$P$12=1,$A2457=TODAY()),AH!$P$20,IF(AH!$P$10=1,INDEX('Live History'!$H$5:$H$3004,MATCH($A2457,'Live History'!$G$5:$G$3004,1)),INDEX('AH History'!$D$1:$D$18046,AH!$P$7+2452))),NA()),NA())</ns0:f>
        <ns0:v/>
      </ns0:c>
      <ns0:c r="F2457">
        <ns0:f>IFERROR(IF(ISNUMBER($A2457),IF(AND(AH!$P$10=1,AH!$P$12=1,$A2457=TODAY()),IF(AND(AH!$P$10=1,AH!$P$12=1,$A2457=TODAY()),TODAY(),NA()),IF(AH!$P$10=1,INDEX('Live History'!$D$5:$D$3004,MATCH($A2457,'Live History'!$D$5:$D$3004,1)),INDEX('AH History'!$E$1:$E$18046,AH!$P$7+2452))),NA()),NA())</ns0:f>
        <ns0:v/>
      </ns0:c>
      <ns0:c r="G2457">
        <ns0:f>IFERROR(IF(ISNUMBER($A2457),IF(AND(AH!$P$10=1,AH!$P$12=1,$A2457=TODAY()),IF(AND(AH!$P$10=1,AH!$P$12=1,$A2457=TODAY()),TODAY(),NA()),IF(AH!$P$10=1,INDEX('Live History'!$G$5:$G$3004,MATCH($A2457,'Live History'!$G$5:$G$3004,1)),INDEX('AH History'!$F$1:$F$18046,AH!$P$7+2452))),NA()),NA())</ns0:f>
        <ns0:v/>
      </ns0:c>
      <ns0:c r="H2457">
        <ns0:f>IFERROR(IF(AND(AH!$E$4="Bloomberg",AH!$P$10=1,ISNUMBER($A2457),$A2457&lt;=AH!$P$17),AH!$P$7-1+MATCH($A2457,INDEX('AH History'!$A$1:$A$18046,AH!$P$7):INDEX('AH History'!$A$1:$A$18046,AH!$P$7+AH!$P$8-1),0),0),0)</ns0:f>
        <ns0:v/>
      </ns0:c>
      <ns0:c r="I2457">
        <ns0:f>IF($H2457=0,0,IFERROR(IF(AND(ABS($C2457-INDEX('AH History'!$B$1:$B$18046,$H2457))&lt;=MAX(0.005,ABS(INDEX('AH History'!$B$1:$B$18046,$H2457))*0.00005),ABS($D2457-INDEX('AH History'!$C$1:$C$18046,$H2457))&lt;=MAX(0.005,ABS(INDEX('AH History'!$C$1:$C$18046,$H2457))*0.00005),ABS($E2457-INDEX('AH History'!$D$1:$D$18046,$H2457))&lt;=0.00005,$F2457=INDEX('AH History'!$E$1:$E$18046,$H2457),$G2457=INDEX('AH History'!$F$1:$F$18046,$H2457)),1,-1),-1))</ns0:f>
        <ns0:v/>
      </ns0:c>
    </ns0:row>
    <ns0:row r="2458">
      <ns0:c r="A2458" s="215">
        <ns0:f>IF(OR(AH!$P$3=0,2453+1&gt;AH!$P$11,AND(AH!$E$4&lt;&gt;"Stored",AH!$P$10&lt;&gt;1)),"",IFERROR(IF(AND(AH!$P$21=1,2453+1=AH!$P$11),TODAY(),IF(AH!$P$10=1,INDEX('Live History'!$A$5:$A$3004,AH!$P$13+2453),INDEX('AH History'!$A$1:$A$18046,AH!$P$7+2453))),""))</ns0:f>
        <ns0:v/>
      </ns0:c>
      <ns0:c r="B2458" s="219">
        <ns0:f>IFERROR(IF(AND(AH!$P$9&lt;&gt;1,$C2458&gt;0,$D2458&gt;0,$E2458&gt;0,$F2458&gt;0,$G2458&gt;0,$F2458&lt;=$A2458,$G2458&lt;=$A2458,$A2458-$F2458&lt;=10,$A2458-$G2458&lt;=5),$D2458*$E2458/$C2458-1,NA()),NA())</ns0:f>
        <ns0:v/>
      </ns0:c>
      <ns0:c r="C2458">
        <ns0:f>IFERROR(IF(ISNUMBER($A2458),IF(AND(AH!$P$10=1,AH!$P$12=1,$A2458=TODAY()),AH!$P$19,IF(AH!$P$10=1,INDEX('Live History'!$B$5:$B$3004,AH!$P$13+2453),INDEX('AH History'!$B$1:$B$18046,AH!$P$7+2453))),NA()),NA())</ns0:f>
        <ns0:v/>
      </ns0:c>
      <ns0:c r="D2458">
        <ns0:f>IFERROR(IF(ISNUMBER($A2458),IF(AND(AH!$P$10=1,AH!$P$12=1,$A2458=TODAY()),AH!$P$18,IF(AH!$P$10=1,INDEX('Live History'!$E$5:$E$3004,MATCH($A2458,'Live History'!$D$5:$D$3004,1)),INDEX('AH History'!$C$1:$C$18046,AH!$P$7+2453))),NA()),NA())</ns0:f>
        <ns0:v/>
      </ns0:c>
      <ns0:c r="E2458">
        <ns0:f>IFERROR(IF(ISNUMBER($A2458),IF(AND(AH!$P$10=1,AH!$P$12=1,$A2458=TODAY()),AH!$P$20,IF(AH!$P$10=1,INDEX('Live History'!$H$5:$H$3004,MATCH($A2458,'Live History'!$G$5:$G$3004,1)),INDEX('AH History'!$D$1:$D$18046,AH!$P$7+2453))),NA()),NA())</ns0:f>
        <ns0:v/>
      </ns0:c>
      <ns0:c r="F2458">
        <ns0:f>IFERROR(IF(ISNUMBER($A2458),IF(AND(AH!$P$10=1,AH!$P$12=1,$A2458=TODAY()),IF(AND(AH!$P$10=1,AH!$P$12=1,$A2458=TODAY()),TODAY(),NA()),IF(AH!$P$10=1,INDEX('Live History'!$D$5:$D$3004,MATCH($A2458,'Live History'!$D$5:$D$3004,1)),INDEX('AH History'!$E$1:$E$18046,AH!$P$7+2453))),NA()),NA())</ns0:f>
        <ns0:v/>
      </ns0:c>
      <ns0:c r="G2458">
        <ns0:f>IFERROR(IF(ISNUMBER($A2458),IF(AND(AH!$P$10=1,AH!$P$12=1,$A2458=TODAY()),IF(AND(AH!$P$10=1,AH!$P$12=1,$A2458=TODAY()),TODAY(),NA()),IF(AH!$P$10=1,INDEX('Live History'!$G$5:$G$3004,MATCH($A2458,'Live History'!$G$5:$G$3004,1)),INDEX('AH History'!$F$1:$F$18046,AH!$P$7+2453))),NA()),NA())</ns0:f>
        <ns0:v/>
      </ns0:c>
      <ns0:c r="H2458">
        <ns0:f>IFERROR(IF(AND(AH!$E$4="Bloomberg",AH!$P$10=1,ISNUMBER($A2458),$A2458&lt;=AH!$P$17),AH!$P$7-1+MATCH($A2458,INDEX('AH History'!$A$1:$A$18046,AH!$P$7):INDEX('AH History'!$A$1:$A$18046,AH!$P$7+AH!$P$8-1),0),0),0)</ns0:f>
        <ns0:v/>
      </ns0:c>
      <ns0:c r="I2458">
        <ns0:f>IF($H2458=0,0,IFERROR(IF(AND(ABS($C2458-INDEX('AH History'!$B$1:$B$18046,$H2458))&lt;=MAX(0.005,ABS(INDEX('AH History'!$B$1:$B$18046,$H2458))*0.00005),ABS($D2458-INDEX('AH History'!$C$1:$C$18046,$H2458))&lt;=MAX(0.005,ABS(INDEX('AH History'!$C$1:$C$18046,$H2458))*0.00005),ABS($E2458-INDEX('AH History'!$D$1:$D$18046,$H2458))&lt;=0.00005,$F2458=INDEX('AH History'!$E$1:$E$18046,$H2458),$G2458=INDEX('AH History'!$F$1:$F$18046,$H2458)),1,-1),-1))</ns0:f>
        <ns0:v/>
      </ns0:c>
    </ns0:row>
    <ns0:row r="2459">
      <ns0:c r="A2459" s="215">
        <ns0:f>IF(OR(AH!$P$3=0,2454+1&gt;AH!$P$11,AND(AH!$E$4&lt;&gt;"Stored",AH!$P$10&lt;&gt;1)),"",IFERROR(IF(AND(AH!$P$21=1,2454+1=AH!$P$11),TODAY(),IF(AH!$P$10=1,INDEX('Live History'!$A$5:$A$3004,AH!$P$13+2454),INDEX('AH History'!$A$1:$A$18046,AH!$P$7+2454))),""))</ns0:f>
        <ns0:v/>
      </ns0:c>
      <ns0:c r="B2459" s="219">
        <ns0:f>IFERROR(IF(AND(AH!$P$9&lt;&gt;1,$C2459&gt;0,$D2459&gt;0,$E2459&gt;0,$F2459&gt;0,$G2459&gt;0,$F2459&lt;=$A2459,$G2459&lt;=$A2459,$A2459-$F2459&lt;=10,$A2459-$G2459&lt;=5),$D2459*$E2459/$C2459-1,NA()),NA())</ns0:f>
        <ns0:v/>
      </ns0:c>
      <ns0:c r="C2459">
        <ns0:f>IFERROR(IF(ISNUMBER($A2459),IF(AND(AH!$P$10=1,AH!$P$12=1,$A2459=TODAY()),AH!$P$19,IF(AH!$P$10=1,INDEX('Live History'!$B$5:$B$3004,AH!$P$13+2454),INDEX('AH History'!$B$1:$B$18046,AH!$P$7+2454))),NA()),NA())</ns0:f>
        <ns0:v/>
      </ns0:c>
      <ns0:c r="D2459">
        <ns0:f>IFERROR(IF(ISNUMBER($A2459),IF(AND(AH!$P$10=1,AH!$P$12=1,$A2459=TODAY()),AH!$P$18,IF(AH!$P$10=1,INDEX('Live History'!$E$5:$E$3004,MATCH($A2459,'Live History'!$D$5:$D$3004,1)),INDEX('AH History'!$C$1:$C$18046,AH!$P$7+2454))),NA()),NA())</ns0:f>
        <ns0:v/>
      </ns0:c>
      <ns0:c r="E2459">
        <ns0:f>IFERROR(IF(ISNUMBER($A2459),IF(AND(AH!$P$10=1,AH!$P$12=1,$A2459=TODAY()),AH!$P$20,IF(AH!$P$10=1,INDEX('Live History'!$H$5:$H$3004,MATCH($A2459,'Live History'!$G$5:$G$3004,1)),INDEX('AH History'!$D$1:$D$18046,AH!$P$7+2454))),NA()),NA())</ns0:f>
        <ns0:v/>
      </ns0:c>
      <ns0:c r="F2459">
        <ns0:f>IFERROR(IF(ISNUMBER($A2459),IF(AND(AH!$P$10=1,AH!$P$12=1,$A2459=TODAY()),IF(AND(AH!$P$10=1,AH!$P$12=1,$A2459=TODAY()),TODAY(),NA()),IF(AH!$P$10=1,INDEX('Live History'!$D$5:$D$3004,MATCH($A2459,'Live History'!$D$5:$D$3004,1)),INDEX('AH History'!$E$1:$E$18046,AH!$P$7+2454))),NA()),NA())</ns0:f>
        <ns0:v/>
      </ns0:c>
      <ns0:c r="G2459">
        <ns0:f>IFERROR(IF(ISNUMBER($A2459),IF(AND(AH!$P$10=1,AH!$P$12=1,$A2459=TODAY()),IF(AND(AH!$P$10=1,AH!$P$12=1,$A2459=TODAY()),TODAY(),NA()),IF(AH!$P$10=1,INDEX('Live History'!$G$5:$G$3004,MATCH($A2459,'Live History'!$G$5:$G$3004,1)),INDEX('AH History'!$F$1:$F$18046,AH!$P$7+2454))),NA()),NA())</ns0:f>
        <ns0:v/>
      </ns0:c>
      <ns0:c r="H2459">
        <ns0:f>IFERROR(IF(AND(AH!$E$4="Bloomberg",AH!$P$10=1,ISNUMBER($A2459),$A2459&lt;=AH!$P$17),AH!$P$7-1+MATCH($A2459,INDEX('AH History'!$A$1:$A$18046,AH!$P$7):INDEX('AH History'!$A$1:$A$18046,AH!$P$7+AH!$P$8-1),0),0),0)</ns0:f>
        <ns0:v/>
      </ns0:c>
      <ns0:c r="I2459">
        <ns0:f>IF($H2459=0,0,IFERROR(IF(AND(ABS($C2459-INDEX('AH History'!$B$1:$B$18046,$H2459))&lt;=MAX(0.005,ABS(INDEX('AH History'!$B$1:$B$18046,$H2459))*0.00005),ABS($D2459-INDEX('AH History'!$C$1:$C$18046,$H2459))&lt;=MAX(0.005,ABS(INDEX('AH History'!$C$1:$C$18046,$H2459))*0.00005),ABS($E2459-INDEX('AH History'!$D$1:$D$18046,$H2459))&lt;=0.00005,$F2459=INDEX('AH History'!$E$1:$E$18046,$H2459),$G2459=INDEX('AH History'!$F$1:$F$18046,$H2459)),1,-1),-1))</ns0:f>
        <ns0:v/>
      </ns0:c>
    </ns0:row>
    <ns0:row r="2460">
      <ns0:c r="A2460" s="215">
        <ns0:f>IF(OR(AH!$P$3=0,2455+1&gt;AH!$P$11,AND(AH!$E$4&lt;&gt;"Stored",AH!$P$10&lt;&gt;1)),"",IFERROR(IF(AND(AH!$P$21=1,2455+1=AH!$P$11),TODAY(),IF(AH!$P$10=1,INDEX('Live History'!$A$5:$A$3004,AH!$P$13+2455),INDEX('AH History'!$A$1:$A$18046,AH!$P$7+2455))),""))</ns0:f>
        <ns0:v/>
      </ns0:c>
      <ns0:c r="B2460" s="219">
        <ns0:f>IFERROR(IF(AND(AH!$P$9&lt;&gt;1,$C2460&gt;0,$D2460&gt;0,$E2460&gt;0,$F2460&gt;0,$G2460&gt;0,$F2460&lt;=$A2460,$G2460&lt;=$A2460,$A2460-$F2460&lt;=10,$A2460-$G2460&lt;=5),$D2460*$E2460/$C2460-1,NA()),NA())</ns0:f>
        <ns0:v/>
      </ns0:c>
      <ns0:c r="C2460">
        <ns0:f>IFERROR(IF(ISNUMBER($A2460),IF(AND(AH!$P$10=1,AH!$P$12=1,$A2460=TODAY()),AH!$P$19,IF(AH!$P$10=1,INDEX('Live History'!$B$5:$B$3004,AH!$P$13+2455),INDEX('AH History'!$B$1:$B$18046,AH!$P$7+2455))),NA()),NA())</ns0:f>
        <ns0:v/>
      </ns0:c>
      <ns0:c r="D2460">
        <ns0:f>IFERROR(IF(ISNUMBER($A2460),IF(AND(AH!$P$10=1,AH!$P$12=1,$A2460=TODAY()),AH!$P$18,IF(AH!$P$10=1,INDEX('Live History'!$E$5:$E$3004,MATCH($A2460,'Live History'!$D$5:$D$3004,1)),INDEX('AH History'!$C$1:$C$18046,AH!$P$7+2455))),NA()),NA())</ns0:f>
        <ns0:v/>
      </ns0:c>
      <ns0:c r="E2460">
        <ns0:f>IFERROR(IF(ISNUMBER($A2460),IF(AND(AH!$P$10=1,AH!$P$12=1,$A2460=TODAY()),AH!$P$20,IF(AH!$P$10=1,INDEX('Live History'!$H$5:$H$3004,MATCH($A2460,'Live History'!$G$5:$G$3004,1)),INDEX('AH History'!$D$1:$D$18046,AH!$P$7+2455))),NA()),NA())</ns0:f>
        <ns0:v/>
      </ns0:c>
      <ns0:c r="F2460">
        <ns0:f>IFERROR(IF(ISNUMBER($A2460),IF(AND(AH!$P$10=1,AH!$P$12=1,$A2460=TODAY()),IF(AND(AH!$P$10=1,AH!$P$12=1,$A2460=TODAY()),TODAY(),NA()),IF(AH!$P$10=1,INDEX('Live History'!$D$5:$D$3004,MATCH($A2460,'Live History'!$D$5:$D$3004,1)),INDEX('AH History'!$E$1:$E$18046,AH!$P$7+2455))),NA()),NA())</ns0:f>
        <ns0:v/>
      </ns0:c>
      <ns0:c r="G2460">
        <ns0:f>IFERROR(IF(ISNUMBER($A2460),IF(AND(AH!$P$10=1,AH!$P$12=1,$A2460=TODAY()),IF(AND(AH!$P$10=1,AH!$P$12=1,$A2460=TODAY()),TODAY(),NA()),IF(AH!$P$10=1,INDEX('Live History'!$G$5:$G$3004,MATCH($A2460,'Live History'!$G$5:$G$3004,1)),INDEX('AH History'!$F$1:$F$18046,AH!$P$7+2455))),NA()),NA())</ns0:f>
        <ns0:v/>
      </ns0:c>
      <ns0:c r="H2460">
        <ns0:f>IFERROR(IF(AND(AH!$E$4="Bloomberg",AH!$P$10=1,ISNUMBER($A2460),$A2460&lt;=AH!$P$17),AH!$P$7-1+MATCH($A2460,INDEX('AH History'!$A$1:$A$18046,AH!$P$7):INDEX('AH History'!$A$1:$A$18046,AH!$P$7+AH!$P$8-1),0),0),0)</ns0:f>
        <ns0:v/>
      </ns0:c>
      <ns0:c r="I2460">
        <ns0:f>IF($H2460=0,0,IFERROR(IF(AND(ABS($C2460-INDEX('AH History'!$B$1:$B$18046,$H2460))&lt;=MAX(0.005,ABS(INDEX('AH History'!$B$1:$B$18046,$H2460))*0.00005),ABS($D2460-INDEX('AH History'!$C$1:$C$18046,$H2460))&lt;=MAX(0.005,ABS(INDEX('AH History'!$C$1:$C$18046,$H2460))*0.00005),ABS($E2460-INDEX('AH History'!$D$1:$D$18046,$H2460))&lt;=0.00005,$F2460=INDEX('AH History'!$E$1:$E$18046,$H2460),$G2460=INDEX('AH History'!$F$1:$F$18046,$H2460)),1,-1),-1))</ns0:f>
        <ns0:v/>
      </ns0:c>
    </ns0:row>
    <ns0:row r="2461">
      <ns0:c r="A2461" s="215">
        <ns0:f>IF(OR(AH!$P$3=0,2456+1&gt;AH!$P$11,AND(AH!$E$4&lt;&gt;"Stored",AH!$P$10&lt;&gt;1)),"",IFERROR(IF(AND(AH!$P$21=1,2456+1=AH!$P$11),TODAY(),IF(AH!$P$10=1,INDEX('Live History'!$A$5:$A$3004,AH!$P$13+2456),INDEX('AH History'!$A$1:$A$18046,AH!$P$7+2456))),""))</ns0:f>
        <ns0:v/>
      </ns0:c>
      <ns0:c r="B2461" s="219">
        <ns0:f>IFERROR(IF(AND(AH!$P$9&lt;&gt;1,$C2461&gt;0,$D2461&gt;0,$E2461&gt;0,$F2461&gt;0,$G2461&gt;0,$F2461&lt;=$A2461,$G2461&lt;=$A2461,$A2461-$F2461&lt;=10,$A2461-$G2461&lt;=5),$D2461*$E2461/$C2461-1,NA()),NA())</ns0:f>
        <ns0:v/>
      </ns0:c>
      <ns0:c r="C2461">
        <ns0:f>IFERROR(IF(ISNUMBER($A2461),IF(AND(AH!$P$10=1,AH!$P$12=1,$A2461=TODAY()),AH!$P$19,IF(AH!$P$10=1,INDEX('Live History'!$B$5:$B$3004,AH!$P$13+2456),INDEX('AH History'!$B$1:$B$18046,AH!$P$7+2456))),NA()),NA())</ns0:f>
        <ns0:v/>
      </ns0:c>
      <ns0:c r="D2461">
        <ns0:f>IFERROR(IF(ISNUMBER($A2461),IF(AND(AH!$P$10=1,AH!$P$12=1,$A2461=TODAY()),AH!$P$18,IF(AH!$P$10=1,INDEX('Live History'!$E$5:$E$3004,MATCH($A2461,'Live History'!$D$5:$D$3004,1)),INDEX('AH History'!$C$1:$C$18046,AH!$P$7+2456))),NA()),NA())</ns0:f>
        <ns0:v/>
      </ns0:c>
      <ns0:c r="E2461">
        <ns0:f>IFERROR(IF(ISNUMBER($A2461),IF(AND(AH!$P$10=1,AH!$P$12=1,$A2461=TODAY()),AH!$P$20,IF(AH!$P$10=1,INDEX('Live History'!$H$5:$H$3004,MATCH($A2461,'Live History'!$G$5:$G$3004,1)),INDEX('AH History'!$D$1:$D$18046,AH!$P$7+2456))),NA()),NA())</ns0:f>
        <ns0:v/>
      </ns0:c>
      <ns0:c r="F2461">
        <ns0:f>IFERROR(IF(ISNUMBER($A2461),IF(AND(AH!$P$10=1,AH!$P$12=1,$A2461=TODAY()),IF(AND(AH!$P$10=1,AH!$P$12=1,$A2461=TODAY()),TODAY(),NA()),IF(AH!$P$10=1,INDEX('Live History'!$D$5:$D$3004,MATCH($A2461,'Live History'!$D$5:$D$3004,1)),INDEX('AH History'!$E$1:$E$18046,AH!$P$7+2456))),NA()),NA())</ns0:f>
        <ns0:v/>
      </ns0:c>
      <ns0:c r="G2461">
        <ns0:f>IFERROR(IF(ISNUMBER($A2461),IF(AND(AH!$P$10=1,AH!$P$12=1,$A2461=TODAY()),IF(AND(AH!$P$10=1,AH!$P$12=1,$A2461=TODAY()),TODAY(),NA()),IF(AH!$P$10=1,INDEX('Live History'!$G$5:$G$3004,MATCH($A2461,'Live History'!$G$5:$G$3004,1)),INDEX('AH History'!$F$1:$F$18046,AH!$P$7+2456))),NA()),NA())</ns0:f>
        <ns0:v/>
      </ns0:c>
      <ns0:c r="H2461">
        <ns0:f>IFERROR(IF(AND(AH!$E$4="Bloomberg",AH!$P$10=1,ISNUMBER($A2461),$A2461&lt;=AH!$P$17),AH!$P$7-1+MATCH($A2461,INDEX('AH History'!$A$1:$A$18046,AH!$P$7):INDEX('AH History'!$A$1:$A$18046,AH!$P$7+AH!$P$8-1),0),0),0)</ns0:f>
        <ns0:v/>
      </ns0:c>
      <ns0:c r="I2461">
        <ns0:f>IF($H2461=0,0,IFERROR(IF(AND(ABS($C2461-INDEX('AH History'!$B$1:$B$18046,$H2461))&lt;=MAX(0.005,ABS(INDEX('AH History'!$B$1:$B$18046,$H2461))*0.00005),ABS($D2461-INDEX('AH History'!$C$1:$C$18046,$H2461))&lt;=MAX(0.005,ABS(INDEX('AH History'!$C$1:$C$18046,$H2461))*0.00005),ABS($E2461-INDEX('AH History'!$D$1:$D$18046,$H2461))&lt;=0.00005,$F2461=INDEX('AH History'!$E$1:$E$18046,$H2461),$G2461=INDEX('AH History'!$F$1:$F$18046,$H2461)),1,-1),-1))</ns0:f>
        <ns0:v/>
      </ns0:c>
    </ns0:row>
    <ns0:row r="2462">
      <ns0:c r="A2462" s="215">
        <ns0:f>IF(OR(AH!$P$3=0,2457+1&gt;AH!$P$11,AND(AH!$E$4&lt;&gt;"Stored",AH!$P$10&lt;&gt;1)),"",IFERROR(IF(AND(AH!$P$21=1,2457+1=AH!$P$11),TODAY(),IF(AH!$P$10=1,INDEX('Live History'!$A$5:$A$3004,AH!$P$13+2457),INDEX('AH History'!$A$1:$A$18046,AH!$P$7+2457))),""))</ns0:f>
        <ns0:v/>
      </ns0:c>
      <ns0:c r="B2462" s="219">
        <ns0:f>IFERROR(IF(AND(AH!$P$9&lt;&gt;1,$C2462&gt;0,$D2462&gt;0,$E2462&gt;0,$F2462&gt;0,$G2462&gt;0,$F2462&lt;=$A2462,$G2462&lt;=$A2462,$A2462-$F2462&lt;=10,$A2462-$G2462&lt;=5),$D2462*$E2462/$C2462-1,NA()),NA())</ns0:f>
        <ns0:v/>
      </ns0:c>
      <ns0:c r="C2462">
        <ns0:f>IFERROR(IF(ISNUMBER($A2462),IF(AND(AH!$P$10=1,AH!$P$12=1,$A2462=TODAY()),AH!$P$19,IF(AH!$P$10=1,INDEX('Live History'!$B$5:$B$3004,AH!$P$13+2457),INDEX('AH History'!$B$1:$B$18046,AH!$P$7+2457))),NA()),NA())</ns0:f>
        <ns0:v/>
      </ns0:c>
      <ns0:c r="D2462">
        <ns0:f>IFERROR(IF(ISNUMBER($A2462),IF(AND(AH!$P$10=1,AH!$P$12=1,$A2462=TODAY()),AH!$P$18,IF(AH!$P$10=1,INDEX('Live History'!$E$5:$E$3004,MATCH($A2462,'Live History'!$D$5:$D$3004,1)),INDEX('AH History'!$C$1:$C$18046,AH!$P$7+2457))),NA()),NA())</ns0:f>
        <ns0:v/>
      </ns0:c>
      <ns0:c r="E2462">
        <ns0:f>IFERROR(IF(ISNUMBER($A2462),IF(AND(AH!$P$10=1,AH!$P$12=1,$A2462=TODAY()),AH!$P$20,IF(AH!$P$10=1,INDEX('Live History'!$H$5:$H$3004,MATCH($A2462,'Live History'!$G$5:$G$3004,1)),INDEX('AH History'!$D$1:$D$18046,AH!$P$7+2457))),NA()),NA())</ns0:f>
        <ns0:v/>
      </ns0:c>
      <ns0:c r="F2462">
        <ns0:f>IFERROR(IF(ISNUMBER($A2462),IF(AND(AH!$P$10=1,AH!$P$12=1,$A2462=TODAY()),IF(AND(AH!$P$10=1,AH!$P$12=1,$A2462=TODAY()),TODAY(),NA()),IF(AH!$P$10=1,INDEX('Live History'!$D$5:$D$3004,MATCH($A2462,'Live History'!$D$5:$D$3004,1)),INDEX('AH History'!$E$1:$E$18046,AH!$P$7+2457))),NA()),NA())</ns0:f>
        <ns0:v/>
      </ns0:c>
      <ns0:c r="G2462">
        <ns0:f>IFERROR(IF(ISNUMBER($A2462),IF(AND(AH!$P$10=1,AH!$P$12=1,$A2462=TODAY()),IF(AND(AH!$P$10=1,AH!$P$12=1,$A2462=TODAY()),TODAY(),NA()),IF(AH!$P$10=1,INDEX('Live History'!$G$5:$G$3004,MATCH($A2462,'Live History'!$G$5:$G$3004,1)),INDEX('AH History'!$F$1:$F$18046,AH!$P$7+2457))),NA()),NA())</ns0:f>
        <ns0:v/>
      </ns0:c>
      <ns0:c r="H2462">
        <ns0:f>IFERROR(IF(AND(AH!$E$4="Bloomberg",AH!$P$10=1,ISNUMBER($A2462),$A2462&lt;=AH!$P$17),AH!$P$7-1+MATCH($A2462,INDEX('AH History'!$A$1:$A$18046,AH!$P$7):INDEX('AH History'!$A$1:$A$18046,AH!$P$7+AH!$P$8-1),0),0),0)</ns0:f>
        <ns0:v/>
      </ns0:c>
      <ns0:c r="I2462">
        <ns0:f>IF($H2462=0,0,IFERROR(IF(AND(ABS($C2462-INDEX('AH History'!$B$1:$B$18046,$H2462))&lt;=MAX(0.005,ABS(INDEX('AH History'!$B$1:$B$18046,$H2462))*0.00005),ABS($D2462-INDEX('AH History'!$C$1:$C$18046,$H2462))&lt;=MAX(0.005,ABS(INDEX('AH History'!$C$1:$C$18046,$H2462))*0.00005),ABS($E2462-INDEX('AH History'!$D$1:$D$18046,$H2462))&lt;=0.00005,$F2462=INDEX('AH History'!$E$1:$E$18046,$H2462),$G2462=INDEX('AH History'!$F$1:$F$18046,$H2462)),1,-1),-1))</ns0:f>
        <ns0:v/>
      </ns0:c>
    </ns0:row>
    <ns0:row r="2463">
      <ns0:c r="A2463" s="215">
        <ns0:f>IF(OR(AH!$P$3=0,2458+1&gt;AH!$P$11,AND(AH!$E$4&lt;&gt;"Stored",AH!$P$10&lt;&gt;1)),"",IFERROR(IF(AND(AH!$P$21=1,2458+1=AH!$P$11),TODAY(),IF(AH!$P$10=1,INDEX('Live History'!$A$5:$A$3004,AH!$P$13+2458),INDEX('AH History'!$A$1:$A$18046,AH!$P$7+2458))),""))</ns0:f>
        <ns0:v/>
      </ns0:c>
      <ns0:c r="B2463" s="219">
        <ns0:f>IFERROR(IF(AND(AH!$P$9&lt;&gt;1,$C2463&gt;0,$D2463&gt;0,$E2463&gt;0,$F2463&gt;0,$G2463&gt;0,$F2463&lt;=$A2463,$G2463&lt;=$A2463,$A2463-$F2463&lt;=10,$A2463-$G2463&lt;=5),$D2463*$E2463/$C2463-1,NA()),NA())</ns0:f>
        <ns0:v/>
      </ns0:c>
      <ns0:c r="C2463">
        <ns0:f>IFERROR(IF(ISNUMBER($A2463),IF(AND(AH!$P$10=1,AH!$P$12=1,$A2463=TODAY()),AH!$P$19,IF(AH!$P$10=1,INDEX('Live History'!$B$5:$B$3004,AH!$P$13+2458),INDEX('AH History'!$B$1:$B$18046,AH!$P$7+2458))),NA()),NA())</ns0:f>
        <ns0:v/>
      </ns0:c>
      <ns0:c r="D2463">
        <ns0:f>IFERROR(IF(ISNUMBER($A2463),IF(AND(AH!$P$10=1,AH!$P$12=1,$A2463=TODAY()),AH!$P$18,IF(AH!$P$10=1,INDEX('Live History'!$E$5:$E$3004,MATCH($A2463,'Live History'!$D$5:$D$3004,1)),INDEX('AH History'!$C$1:$C$18046,AH!$P$7+2458))),NA()),NA())</ns0:f>
        <ns0:v/>
      </ns0:c>
      <ns0:c r="E2463">
        <ns0:f>IFERROR(IF(ISNUMBER($A2463),IF(AND(AH!$P$10=1,AH!$P$12=1,$A2463=TODAY()),AH!$P$20,IF(AH!$P$10=1,INDEX('Live History'!$H$5:$H$3004,MATCH($A2463,'Live History'!$G$5:$G$3004,1)),INDEX('AH History'!$D$1:$D$18046,AH!$P$7+2458))),NA()),NA())</ns0:f>
        <ns0:v/>
      </ns0:c>
      <ns0:c r="F2463">
        <ns0:f>IFERROR(IF(ISNUMBER($A2463),IF(AND(AH!$P$10=1,AH!$P$12=1,$A2463=TODAY()),IF(AND(AH!$P$10=1,AH!$P$12=1,$A2463=TODAY()),TODAY(),NA()),IF(AH!$P$10=1,INDEX('Live History'!$D$5:$D$3004,MATCH($A2463,'Live History'!$D$5:$D$3004,1)),INDEX('AH History'!$E$1:$E$18046,AH!$P$7+2458))),NA()),NA())</ns0:f>
        <ns0:v/>
      </ns0:c>
      <ns0:c r="G2463">
        <ns0:f>IFERROR(IF(ISNUMBER($A2463),IF(AND(AH!$P$10=1,AH!$P$12=1,$A2463=TODAY()),IF(AND(AH!$P$10=1,AH!$P$12=1,$A2463=TODAY()),TODAY(),NA()),IF(AH!$P$10=1,INDEX('Live History'!$G$5:$G$3004,MATCH($A2463,'Live History'!$G$5:$G$3004,1)),INDEX('AH History'!$F$1:$F$18046,AH!$P$7+2458))),NA()),NA())</ns0:f>
        <ns0:v/>
      </ns0:c>
      <ns0:c r="H2463">
        <ns0:f>IFERROR(IF(AND(AH!$E$4="Bloomberg",AH!$P$10=1,ISNUMBER($A2463),$A2463&lt;=AH!$P$17),AH!$P$7-1+MATCH($A2463,INDEX('AH History'!$A$1:$A$18046,AH!$P$7):INDEX('AH History'!$A$1:$A$18046,AH!$P$7+AH!$P$8-1),0),0),0)</ns0:f>
        <ns0:v/>
      </ns0:c>
      <ns0:c r="I2463">
        <ns0:f>IF($H2463=0,0,IFERROR(IF(AND(ABS($C2463-INDEX('AH History'!$B$1:$B$18046,$H2463))&lt;=MAX(0.005,ABS(INDEX('AH History'!$B$1:$B$18046,$H2463))*0.00005),ABS($D2463-INDEX('AH History'!$C$1:$C$18046,$H2463))&lt;=MAX(0.005,ABS(INDEX('AH History'!$C$1:$C$18046,$H2463))*0.00005),ABS($E2463-INDEX('AH History'!$D$1:$D$18046,$H2463))&lt;=0.00005,$F2463=INDEX('AH History'!$E$1:$E$18046,$H2463),$G2463=INDEX('AH History'!$F$1:$F$18046,$H2463)),1,-1),-1))</ns0:f>
        <ns0:v/>
      </ns0:c>
    </ns0:row>
    <ns0:row r="2464">
      <ns0:c r="A2464" s="215">
        <ns0:f>IF(OR(AH!$P$3=0,2459+1&gt;AH!$P$11,AND(AH!$E$4&lt;&gt;"Stored",AH!$P$10&lt;&gt;1)),"",IFERROR(IF(AND(AH!$P$21=1,2459+1=AH!$P$11),TODAY(),IF(AH!$P$10=1,INDEX('Live History'!$A$5:$A$3004,AH!$P$13+2459),INDEX('AH History'!$A$1:$A$18046,AH!$P$7+2459))),""))</ns0:f>
        <ns0:v/>
      </ns0:c>
      <ns0:c r="B2464" s="219">
        <ns0:f>IFERROR(IF(AND(AH!$P$9&lt;&gt;1,$C2464&gt;0,$D2464&gt;0,$E2464&gt;0,$F2464&gt;0,$G2464&gt;0,$F2464&lt;=$A2464,$G2464&lt;=$A2464,$A2464-$F2464&lt;=10,$A2464-$G2464&lt;=5),$D2464*$E2464/$C2464-1,NA()),NA())</ns0:f>
        <ns0:v/>
      </ns0:c>
      <ns0:c r="C2464">
        <ns0:f>IFERROR(IF(ISNUMBER($A2464),IF(AND(AH!$P$10=1,AH!$P$12=1,$A2464=TODAY()),AH!$P$19,IF(AH!$P$10=1,INDEX('Live History'!$B$5:$B$3004,AH!$P$13+2459),INDEX('AH History'!$B$1:$B$18046,AH!$P$7+2459))),NA()),NA())</ns0:f>
        <ns0:v/>
      </ns0:c>
      <ns0:c r="D2464">
        <ns0:f>IFERROR(IF(ISNUMBER($A2464),IF(AND(AH!$P$10=1,AH!$P$12=1,$A2464=TODAY()),AH!$P$18,IF(AH!$P$10=1,INDEX('Live History'!$E$5:$E$3004,MATCH($A2464,'Live History'!$D$5:$D$3004,1)),INDEX('AH History'!$C$1:$C$18046,AH!$P$7+2459))),NA()),NA())</ns0:f>
        <ns0:v/>
      </ns0:c>
      <ns0:c r="E2464">
        <ns0:f>IFERROR(IF(ISNUMBER($A2464),IF(AND(AH!$P$10=1,AH!$P$12=1,$A2464=TODAY()),AH!$P$20,IF(AH!$P$10=1,INDEX('Live History'!$H$5:$H$3004,MATCH($A2464,'Live History'!$G$5:$G$3004,1)),INDEX('AH History'!$D$1:$D$18046,AH!$P$7+2459))),NA()),NA())</ns0:f>
        <ns0:v/>
      </ns0:c>
      <ns0:c r="F2464">
        <ns0:f>IFERROR(IF(ISNUMBER($A2464),IF(AND(AH!$P$10=1,AH!$P$12=1,$A2464=TODAY()),IF(AND(AH!$P$10=1,AH!$P$12=1,$A2464=TODAY()),TODAY(),NA()),IF(AH!$P$10=1,INDEX('Live History'!$D$5:$D$3004,MATCH($A2464,'Live History'!$D$5:$D$3004,1)),INDEX('AH History'!$E$1:$E$18046,AH!$P$7+2459))),NA()),NA())</ns0:f>
        <ns0:v/>
      </ns0:c>
      <ns0:c r="G2464">
        <ns0:f>IFERROR(IF(ISNUMBER($A2464),IF(AND(AH!$P$10=1,AH!$P$12=1,$A2464=TODAY()),IF(AND(AH!$P$10=1,AH!$P$12=1,$A2464=TODAY()),TODAY(),NA()),IF(AH!$P$10=1,INDEX('Live History'!$G$5:$G$3004,MATCH($A2464,'Live History'!$G$5:$G$3004,1)),INDEX('AH History'!$F$1:$F$18046,AH!$P$7+2459))),NA()),NA())</ns0:f>
        <ns0:v/>
      </ns0:c>
      <ns0:c r="H2464">
        <ns0:f>IFERROR(IF(AND(AH!$E$4="Bloomberg",AH!$P$10=1,ISNUMBER($A2464),$A2464&lt;=AH!$P$17),AH!$P$7-1+MATCH($A2464,INDEX('AH History'!$A$1:$A$18046,AH!$P$7):INDEX('AH History'!$A$1:$A$18046,AH!$P$7+AH!$P$8-1),0),0),0)</ns0:f>
        <ns0:v/>
      </ns0:c>
      <ns0:c r="I2464">
        <ns0:f>IF($H2464=0,0,IFERROR(IF(AND(ABS($C2464-INDEX('AH History'!$B$1:$B$18046,$H2464))&lt;=MAX(0.005,ABS(INDEX('AH History'!$B$1:$B$18046,$H2464))*0.00005),ABS($D2464-INDEX('AH History'!$C$1:$C$18046,$H2464))&lt;=MAX(0.005,ABS(INDEX('AH History'!$C$1:$C$18046,$H2464))*0.00005),ABS($E2464-INDEX('AH History'!$D$1:$D$18046,$H2464))&lt;=0.00005,$F2464=INDEX('AH History'!$E$1:$E$18046,$H2464),$G2464=INDEX('AH History'!$F$1:$F$18046,$H2464)),1,-1),-1))</ns0:f>
        <ns0:v/>
      </ns0:c>
    </ns0:row>
    <ns0:row r="2465">
      <ns0:c r="A2465" s="215">
        <ns0:f>IF(OR(AH!$P$3=0,2460+1&gt;AH!$P$11,AND(AH!$E$4&lt;&gt;"Stored",AH!$P$10&lt;&gt;1)),"",IFERROR(IF(AND(AH!$P$21=1,2460+1=AH!$P$11),TODAY(),IF(AH!$P$10=1,INDEX('Live History'!$A$5:$A$3004,AH!$P$13+2460),INDEX('AH History'!$A$1:$A$18046,AH!$P$7+2460))),""))</ns0:f>
        <ns0:v/>
      </ns0:c>
      <ns0:c r="B2465" s="219">
        <ns0:f>IFERROR(IF(AND(AH!$P$9&lt;&gt;1,$C2465&gt;0,$D2465&gt;0,$E2465&gt;0,$F2465&gt;0,$G2465&gt;0,$F2465&lt;=$A2465,$G2465&lt;=$A2465,$A2465-$F2465&lt;=10,$A2465-$G2465&lt;=5),$D2465*$E2465/$C2465-1,NA()),NA())</ns0:f>
        <ns0:v/>
      </ns0:c>
      <ns0:c r="C2465">
        <ns0:f>IFERROR(IF(ISNUMBER($A2465),IF(AND(AH!$P$10=1,AH!$P$12=1,$A2465=TODAY()),AH!$P$19,IF(AH!$P$10=1,INDEX('Live History'!$B$5:$B$3004,AH!$P$13+2460),INDEX('AH History'!$B$1:$B$18046,AH!$P$7+2460))),NA()),NA())</ns0:f>
        <ns0:v/>
      </ns0:c>
      <ns0:c r="D2465">
        <ns0:f>IFERROR(IF(ISNUMBER($A2465),IF(AND(AH!$P$10=1,AH!$P$12=1,$A2465=TODAY()),AH!$P$18,IF(AH!$P$10=1,INDEX('Live History'!$E$5:$E$3004,MATCH($A2465,'Live History'!$D$5:$D$3004,1)),INDEX('AH History'!$C$1:$C$18046,AH!$P$7+2460))),NA()),NA())</ns0:f>
        <ns0:v/>
      </ns0:c>
      <ns0:c r="E2465">
        <ns0:f>IFERROR(IF(ISNUMBER($A2465),IF(AND(AH!$P$10=1,AH!$P$12=1,$A2465=TODAY()),AH!$P$20,IF(AH!$P$10=1,INDEX('Live History'!$H$5:$H$3004,MATCH($A2465,'Live History'!$G$5:$G$3004,1)),INDEX('AH History'!$D$1:$D$18046,AH!$P$7+2460))),NA()),NA())</ns0:f>
        <ns0:v/>
      </ns0:c>
      <ns0:c r="F2465">
        <ns0:f>IFERROR(IF(ISNUMBER($A2465),IF(AND(AH!$P$10=1,AH!$P$12=1,$A2465=TODAY()),IF(AND(AH!$P$10=1,AH!$P$12=1,$A2465=TODAY()),TODAY(),NA()),IF(AH!$P$10=1,INDEX('Live History'!$D$5:$D$3004,MATCH($A2465,'Live History'!$D$5:$D$3004,1)),INDEX('AH History'!$E$1:$E$18046,AH!$P$7+2460))),NA()),NA())</ns0:f>
        <ns0:v/>
      </ns0:c>
      <ns0:c r="G2465">
        <ns0:f>IFERROR(IF(ISNUMBER($A2465),IF(AND(AH!$P$10=1,AH!$P$12=1,$A2465=TODAY()),IF(AND(AH!$P$10=1,AH!$P$12=1,$A2465=TODAY()),TODAY(),NA()),IF(AH!$P$10=1,INDEX('Live History'!$G$5:$G$3004,MATCH($A2465,'Live History'!$G$5:$G$3004,1)),INDEX('AH History'!$F$1:$F$18046,AH!$P$7+2460))),NA()),NA())</ns0:f>
        <ns0:v/>
      </ns0:c>
      <ns0:c r="H2465">
        <ns0:f>IFERROR(IF(AND(AH!$E$4="Bloomberg",AH!$P$10=1,ISNUMBER($A2465),$A2465&lt;=AH!$P$17),AH!$P$7-1+MATCH($A2465,INDEX('AH History'!$A$1:$A$18046,AH!$P$7):INDEX('AH History'!$A$1:$A$18046,AH!$P$7+AH!$P$8-1),0),0),0)</ns0:f>
        <ns0:v/>
      </ns0:c>
      <ns0:c r="I2465">
        <ns0:f>IF($H2465=0,0,IFERROR(IF(AND(ABS($C2465-INDEX('AH History'!$B$1:$B$18046,$H2465))&lt;=MAX(0.005,ABS(INDEX('AH History'!$B$1:$B$18046,$H2465))*0.00005),ABS($D2465-INDEX('AH History'!$C$1:$C$18046,$H2465))&lt;=MAX(0.005,ABS(INDEX('AH History'!$C$1:$C$18046,$H2465))*0.00005),ABS($E2465-INDEX('AH History'!$D$1:$D$18046,$H2465))&lt;=0.00005,$F2465=INDEX('AH History'!$E$1:$E$18046,$H2465),$G2465=INDEX('AH History'!$F$1:$F$18046,$H2465)),1,-1),-1))</ns0:f>
        <ns0:v/>
      </ns0:c>
    </ns0:row>
    <ns0:row r="2466">
      <ns0:c r="A2466" s="215">
        <ns0:f>IF(OR(AH!$P$3=0,2461+1&gt;AH!$P$11,AND(AH!$E$4&lt;&gt;"Stored",AH!$P$10&lt;&gt;1)),"",IFERROR(IF(AND(AH!$P$21=1,2461+1=AH!$P$11),TODAY(),IF(AH!$P$10=1,INDEX('Live History'!$A$5:$A$3004,AH!$P$13+2461),INDEX('AH History'!$A$1:$A$18046,AH!$P$7+2461))),""))</ns0:f>
        <ns0:v/>
      </ns0:c>
      <ns0:c r="B2466" s="219">
        <ns0:f>IFERROR(IF(AND(AH!$P$9&lt;&gt;1,$C2466&gt;0,$D2466&gt;0,$E2466&gt;0,$F2466&gt;0,$G2466&gt;0,$F2466&lt;=$A2466,$G2466&lt;=$A2466,$A2466-$F2466&lt;=10,$A2466-$G2466&lt;=5),$D2466*$E2466/$C2466-1,NA()),NA())</ns0:f>
        <ns0:v/>
      </ns0:c>
      <ns0:c r="C2466">
        <ns0:f>IFERROR(IF(ISNUMBER($A2466),IF(AND(AH!$P$10=1,AH!$P$12=1,$A2466=TODAY()),AH!$P$19,IF(AH!$P$10=1,INDEX('Live History'!$B$5:$B$3004,AH!$P$13+2461),INDEX('AH History'!$B$1:$B$18046,AH!$P$7+2461))),NA()),NA())</ns0:f>
        <ns0:v/>
      </ns0:c>
      <ns0:c r="D2466">
        <ns0:f>IFERROR(IF(ISNUMBER($A2466),IF(AND(AH!$P$10=1,AH!$P$12=1,$A2466=TODAY()),AH!$P$18,IF(AH!$P$10=1,INDEX('Live History'!$E$5:$E$3004,MATCH($A2466,'Live History'!$D$5:$D$3004,1)),INDEX('AH History'!$C$1:$C$18046,AH!$P$7+2461))),NA()),NA())</ns0:f>
        <ns0:v/>
      </ns0:c>
      <ns0:c r="E2466">
        <ns0:f>IFERROR(IF(ISNUMBER($A2466),IF(AND(AH!$P$10=1,AH!$P$12=1,$A2466=TODAY()),AH!$P$20,IF(AH!$P$10=1,INDEX('Live History'!$H$5:$H$3004,MATCH($A2466,'Live History'!$G$5:$G$3004,1)),INDEX('AH History'!$D$1:$D$18046,AH!$P$7+2461))),NA()),NA())</ns0:f>
        <ns0:v/>
      </ns0:c>
      <ns0:c r="F2466">
        <ns0:f>IFERROR(IF(ISNUMBER($A2466),IF(AND(AH!$P$10=1,AH!$P$12=1,$A2466=TODAY()),IF(AND(AH!$P$10=1,AH!$P$12=1,$A2466=TODAY()),TODAY(),NA()),IF(AH!$P$10=1,INDEX('Live History'!$D$5:$D$3004,MATCH($A2466,'Live History'!$D$5:$D$3004,1)),INDEX('AH History'!$E$1:$E$18046,AH!$P$7+2461))),NA()),NA())</ns0:f>
        <ns0:v/>
      </ns0:c>
      <ns0:c r="G2466">
        <ns0:f>IFERROR(IF(ISNUMBER($A2466),IF(AND(AH!$P$10=1,AH!$P$12=1,$A2466=TODAY()),IF(AND(AH!$P$10=1,AH!$P$12=1,$A2466=TODAY()),TODAY(),NA()),IF(AH!$P$10=1,INDEX('Live History'!$G$5:$G$3004,MATCH($A2466,'Live History'!$G$5:$G$3004,1)),INDEX('AH History'!$F$1:$F$18046,AH!$P$7+2461))),NA()),NA())</ns0:f>
        <ns0:v/>
      </ns0:c>
      <ns0:c r="H2466">
        <ns0:f>IFERROR(IF(AND(AH!$E$4="Bloomberg",AH!$P$10=1,ISNUMBER($A2466),$A2466&lt;=AH!$P$17),AH!$P$7-1+MATCH($A2466,INDEX('AH History'!$A$1:$A$18046,AH!$P$7):INDEX('AH History'!$A$1:$A$18046,AH!$P$7+AH!$P$8-1),0),0),0)</ns0:f>
        <ns0:v/>
      </ns0:c>
      <ns0:c r="I2466">
        <ns0:f>IF($H2466=0,0,IFERROR(IF(AND(ABS($C2466-INDEX('AH History'!$B$1:$B$18046,$H2466))&lt;=MAX(0.005,ABS(INDEX('AH History'!$B$1:$B$18046,$H2466))*0.00005),ABS($D2466-INDEX('AH History'!$C$1:$C$18046,$H2466))&lt;=MAX(0.005,ABS(INDEX('AH History'!$C$1:$C$18046,$H2466))*0.00005),ABS($E2466-INDEX('AH History'!$D$1:$D$18046,$H2466))&lt;=0.00005,$F2466=INDEX('AH History'!$E$1:$E$18046,$H2466),$G2466=INDEX('AH History'!$F$1:$F$18046,$H2466)),1,-1),-1))</ns0:f>
        <ns0:v/>
      </ns0:c>
    </ns0:row>
    <ns0:row r="2467">
      <ns0:c r="A2467" s="215">
        <ns0:f>IF(OR(AH!$P$3=0,2462+1&gt;AH!$P$11,AND(AH!$E$4&lt;&gt;"Stored",AH!$P$10&lt;&gt;1)),"",IFERROR(IF(AND(AH!$P$21=1,2462+1=AH!$P$11),TODAY(),IF(AH!$P$10=1,INDEX('Live History'!$A$5:$A$3004,AH!$P$13+2462),INDEX('AH History'!$A$1:$A$18046,AH!$P$7+2462))),""))</ns0:f>
        <ns0:v/>
      </ns0:c>
      <ns0:c r="B2467" s="219">
        <ns0:f>IFERROR(IF(AND(AH!$P$9&lt;&gt;1,$C2467&gt;0,$D2467&gt;0,$E2467&gt;0,$F2467&gt;0,$G2467&gt;0,$F2467&lt;=$A2467,$G2467&lt;=$A2467,$A2467-$F2467&lt;=10,$A2467-$G2467&lt;=5),$D2467*$E2467/$C2467-1,NA()),NA())</ns0:f>
        <ns0:v/>
      </ns0:c>
      <ns0:c r="C2467">
        <ns0:f>IFERROR(IF(ISNUMBER($A2467),IF(AND(AH!$P$10=1,AH!$P$12=1,$A2467=TODAY()),AH!$P$19,IF(AH!$P$10=1,INDEX('Live History'!$B$5:$B$3004,AH!$P$13+2462),INDEX('AH History'!$B$1:$B$18046,AH!$P$7+2462))),NA()),NA())</ns0:f>
        <ns0:v/>
      </ns0:c>
      <ns0:c r="D2467">
        <ns0:f>IFERROR(IF(ISNUMBER($A2467),IF(AND(AH!$P$10=1,AH!$P$12=1,$A2467=TODAY()),AH!$P$18,IF(AH!$P$10=1,INDEX('Live History'!$E$5:$E$3004,MATCH($A2467,'Live History'!$D$5:$D$3004,1)),INDEX('AH History'!$C$1:$C$18046,AH!$P$7+2462))),NA()),NA())</ns0:f>
        <ns0:v/>
      </ns0:c>
      <ns0:c r="E2467">
        <ns0:f>IFERROR(IF(ISNUMBER($A2467),IF(AND(AH!$P$10=1,AH!$P$12=1,$A2467=TODAY()),AH!$P$20,IF(AH!$P$10=1,INDEX('Live History'!$H$5:$H$3004,MATCH($A2467,'Live History'!$G$5:$G$3004,1)),INDEX('AH History'!$D$1:$D$18046,AH!$P$7+2462))),NA()),NA())</ns0:f>
        <ns0:v/>
      </ns0:c>
      <ns0:c r="F2467">
        <ns0:f>IFERROR(IF(ISNUMBER($A2467),IF(AND(AH!$P$10=1,AH!$P$12=1,$A2467=TODAY()),IF(AND(AH!$P$10=1,AH!$P$12=1,$A2467=TODAY()),TODAY(),NA()),IF(AH!$P$10=1,INDEX('Live History'!$D$5:$D$3004,MATCH($A2467,'Live History'!$D$5:$D$3004,1)),INDEX('AH History'!$E$1:$E$18046,AH!$P$7+2462))),NA()),NA())</ns0:f>
        <ns0:v/>
      </ns0:c>
      <ns0:c r="G2467">
        <ns0:f>IFERROR(IF(ISNUMBER($A2467),IF(AND(AH!$P$10=1,AH!$P$12=1,$A2467=TODAY()),IF(AND(AH!$P$10=1,AH!$P$12=1,$A2467=TODAY()),TODAY(),NA()),IF(AH!$P$10=1,INDEX('Live History'!$G$5:$G$3004,MATCH($A2467,'Live History'!$G$5:$G$3004,1)),INDEX('AH History'!$F$1:$F$18046,AH!$P$7+2462))),NA()),NA())</ns0:f>
        <ns0:v/>
      </ns0:c>
      <ns0:c r="H2467">
        <ns0:f>IFERROR(IF(AND(AH!$E$4="Bloomberg",AH!$P$10=1,ISNUMBER($A2467),$A2467&lt;=AH!$P$17),AH!$P$7-1+MATCH($A2467,INDEX('AH History'!$A$1:$A$18046,AH!$P$7):INDEX('AH History'!$A$1:$A$18046,AH!$P$7+AH!$P$8-1),0),0),0)</ns0:f>
        <ns0:v/>
      </ns0:c>
      <ns0:c r="I2467">
        <ns0:f>IF($H2467=0,0,IFERROR(IF(AND(ABS($C2467-INDEX('AH History'!$B$1:$B$18046,$H2467))&lt;=MAX(0.005,ABS(INDEX('AH History'!$B$1:$B$18046,$H2467))*0.00005),ABS($D2467-INDEX('AH History'!$C$1:$C$18046,$H2467))&lt;=MAX(0.005,ABS(INDEX('AH History'!$C$1:$C$18046,$H2467))*0.00005),ABS($E2467-INDEX('AH History'!$D$1:$D$18046,$H2467))&lt;=0.00005,$F2467=INDEX('AH History'!$E$1:$E$18046,$H2467),$G2467=INDEX('AH History'!$F$1:$F$18046,$H2467)),1,-1),-1))</ns0:f>
        <ns0:v/>
      </ns0:c>
    </ns0:row>
    <ns0:row r="2468">
      <ns0:c r="A2468" s="215">
        <ns0:f>IF(OR(AH!$P$3=0,2463+1&gt;AH!$P$11,AND(AH!$E$4&lt;&gt;"Stored",AH!$P$10&lt;&gt;1)),"",IFERROR(IF(AND(AH!$P$21=1,2463+1=AH!$P$11),TODAY(),IF(AH!$P$10=1,INDEX('Live History'!$A$5:$A$3004,AH!$P$13+2463),INDEX('AH History'!$A$1:$A$18046,AH!$P$7+2463))),""))</ns0:f>
        <ns0:v/>
      </ns0:c>
      <ns0:c r="B2468" s="219">
        <ns0:f>IFERROR(IF(AND(AH!$P$9&lt;&gt;1,$C2468&gt;0,$D2468&gt;0,$E2468&gt;0,$F2468&gt;0,$G2468&gt;0,$F2468&lt;=$A2468,$G2468&lt;=$A2468,$A2468-$F2468&lt;=10,$A2468-$G2468&lt;=5),$D2468*$E2468/$C2468-1,NA()),NA())</ns0:f>
        <ns0:v/>
      </ns0:c>
      <ns0:c r="C2468">
        <ns0:f>IFERROR(IF(ISNUMBER($A2468),IF(AND(AH!$P$10=1,AH!$P$12=1,$A2468=TODAY()),AH!$P$19,IF(AH!$P$10=1,INDEX('Live History'!$B$5:$B$3004,AH!$P$13+2463),INDEX('AH History'!$B$1:$B$18046,AH!$P$7+2463))),NA()),NA())</ns0:f>
        <ns0:v/>
      </ns0:c>
      <ns0:c r="D2468">
        <ns0:f>IFERROR(IF(ISNUMBER($A2468),IF(AND(AH!$P$10=1,AH!$P$12=1,$A2468=TODAY()),AH!$P$18,IF(AH!$P$10=1,INDEX('Live History'!$E$5:$E$3004,MATCH($A2468,'Live History'!$D$5:$D$3004,1)),INDEX('AH History'!$C$1:$C$18046,AH!$P$7+2463))),NA()),NA())</ns0:f>
        <ns0:v/>
      </ns0:c>
      <ns0:c r="E2468">
        <ns0:f>IFERROR(IF(ISNUMBER($A2468),IF(AND(AH!$P$10=1,AH!$P$12=1,$A2468=TODAY()),AH!$P$20,IF(AH!$P$10=1,INDEX('Live History'!$H$5:$H$3004,MATCH($A2468,'Live History'!$G$5:$G$3004,1)),INDEX('AH History'!$D$1:$D$18046,AH!$P$7+2463))),NA()),NA())</ns0:f>
        <ns0:v/>
      </ns0:c>
      <ns0:c r="F2468">
        <ns0:f>IFERROR(IF(ISNUMBER($A2468),IF(AND(AH!$P$10=1,AH!$P$12=1,$A2468=TODAY()),IF(AND(AH!$P$10=1,AH!$P$12=1,$A2468=TODAY()),TODAY(),NA()),IF(AH!$P$10=1,INDEX('Live History'!$D$5:$D$3004,MATCH($A2468,'Live History'!$D$5:$D$3004,1)),INDEX('AH History'!$E$1:$E$18046,AH!$P$7+2463))),NA()),NA())</ns0:f>
        <ns0:v/>
      </ns0:c>
      <ns0:c r="G2468">
        <ns0:f>IFERROR(IF(ISNUMBER($A2468),IF(AND(AH!$P$10=1,AH!$P$12=1,$A2468=TODAY()),IF(AND(AH!$P$10=1,AH!$P$12=1,$A2468=TODAY()),TODAY(),NA()),IF(AH!$P$10=1,INDEX('Live History'!$G$5:$G$3004,MATCH($A2468,'Live History'!$G$5:$G$3004,1)),INDEX('AH History'!$F$1:$F$18046,AH!$P$7+2463))),NA()),NA())</ns0:f>
        <ns0:v/>
      </ns0:c>
      <ns0:c r="H2468">
        <ns0:f>IFERROR(IF(AND(AH!$E$4="Bloomberg",AH!$P$10=1,ISNUMBER($A2468),$A2468&lt;=AH!$P$17),AH!$P$7-1+MATCH($A2468,INDEX('AH History'!$A$1:$A$18046,AH!$P$7):INDEX('AH History'!$A$1:$A$18046,AH!$P$7+AH!$P$8-1),0),0),0)</ns0:f>
        <ns0:v/>
      </ns0:c>
      <ns0:c r="I2468">
        <ns0:f>IF($H2468=0,0,IFERROR(IF(AND(ABS($C2468-INDEX('AH History'!$B$1:$B$18046,$H2468))&lt;=MAX(0.005,ABS(INDEX('AH History'!$B$1:$B$18046,$H2468))*0.00005),ABS($D2468-INDEX('AH History'!$C$1:$C$18046,$H2468))&lt;=MAX(0.005,ABS(INDEX('AH History'!$C$1:$C$18046,$H2468))*0.00005),ABS($E2468-INDEX('AH History'!$D$1:$D$18046,$H2468))&lt;=0.00005,$F2468=INDEX('AH History'!$E$1:$E$18046,$H2468),$G2468=INDEX('AH History'!$F$1:$F$18046,$H2468)),1,-1),-1))</ns0:f>
        <ns0:v/>
      </ns0:c>
    </ns0:row>
    <ns0:row r="2469">
      <ns0:c r="A2469" s="215">
        <ns0:f>IF(OR(AH!$P$3=0,2464+1&gt;AH!$P$11,AND(AH!$E$4&lt;&gt;"Stored",AH!$P$10&lt;&gt;1)),"",IFERROR(IF(AND(AH!$P$21=1,2464+1=AH!$P$11),TODAY(),IF(AH!$P$10=1,INDEX('Live History'!$A$5:$A$3004,AH!$P$13+2464),INDEX('AH History'!$A$1:$A$18046,AH!$P$7+2464))),""))</ns0:f>
        <ns0:v/>
      </ns0:c>
      <ns0:c r="B2469" s="219">
        <ns0:f>IFERROR(IF(AND(AH!$P$9&lt;&gt;1,$C2469&gt;0,$D2469&gt;0,$E2469&gt;0,$F2469&gt;0,$G2469&gt;0,$F2469&lt;=$A2469,$G2469&lt;=$A2469,$A2469-$F2469&lt;=10,$A2469-$G2469&lt;=5),$D2469*$E2469/$C2469-1,NA()),NA())</ns0:f>
        <ns0:v/>
      </ns0:c>
      <ns0:c r="C2469">
        <ns0:f>IFERROR(IF(ISNUMBER($A2469),IF(AND(AH!$P$10=1,AH!$P$12=1,$A2469=TODAY()),AH!$P$19,IF(AH!$P$10=1,INDEX('Live History'!$B$5:$B$3004,AH!$P$13+2464),INDEX('AH History'!$B$1:$B$18046,AH!$P$7+2464))),NA()),NA())</ns0:f>
        <ns0:v/>
      </ns0:c>
      <ns0:c r="D2469">
        <ns0:f>IFERROR(IF(ISNUMBER($A2469),IF(AND(AH!$P$10=1,AH!$P$12=1,$A2469=TODAY()),AH!$P$18,IF(AH!$P$10=1,INDEX('Live History'!$E$5:$E$3004,MATCH($A2469,'Live History'!$D$5:$D$3004,1)),INDEX('AH History'!$C$1:$C$18046,AH!$P$7+2464))),NA()),NA())</ns0:f>
        <ns0:v/>
      </ns0:c>
      <ns0:c r="E2469">
        <ns0:f>IFERROR(IF(ISNUMBER($A2469),IF(AND(AH!$P$10=1,AH!$P$12=1,$A2469=TODAY()),AH!$P$20,IF(AH!$P$10=1,INDEX('Live History'!$H$5:$H$3004,MATCH($A2469,'Live History'!$G$5:$G$3004,1)),INDEX('AH History'!$D$1:$D$18046,AH!$P$7+2464))),NA()),NA())</ns0:f>
        <ns0:v/>
      </ns0:c>
      <ns0:c r="F2469">
        <ns0:f>IFERROR(IF(ISNUMBER($A2469),IF(AND(AH!$P$10=1,AH!$P$12=1,$A2469=TODAY()),IF(AND(AH!$P$10=1,AH!$P$12=1,$A2469=TODAY()),TODAY(),NA()),IF(AH!$P$10=1,INDEX('Live History'!$D$5:$D$3004,MATCH($A2469,'Live History'!$D$5:$D$3004,1)),INDEX('AH History'!$E$1:$E$18046,AH!$P$7+2464))),NA()),NA())</ns0:f>
        <ns0:v/>
      </ns0:c>
      <ns0:c r="G2469">
        <ns0:f>IFERROR(IF(ISNUMBER($A2469),IF(AND(AH!$P$10=1,AH!$P$12=1,$A2469=TODAY()),IF(AND(AH!$P$10=1,AH!$P$12=1,$A2469=TODAY()),TODAY(),NA()),IF(AH!$P$10=1,INDEX('Live History'!$G$5:$G$3004,MATCH($A2469,'Live History'!$G$5:$G$3004,1)),INDEX('AH History'!$F$1:$F$18046,AH!$P$7+2464))),NA()),NA())</ns0:f>
        <ns0:v/>
      </ns0:c>
      <ns0:c r="H2469">
        <ns0:f>IFERROR(IF(AND(AH!$E$4="Bloomberg",AH!$P$10=1,ISNUMBER($A2469),$A2469&lt;=AH!$P$17),AH!$P$7-1+MATCH($A2469,INDEX('AH History'!$A$1:$A$18046,AH!$P$7):INDEX('AH History'!$A$1:$A$18046,AH!$P$7+AH!$P$8-1),0),0),0)</ns0:f>
        <ns0:v/>
      </ns0:c>
      <ns0:c r="I2469">
        <ns0:f>IF($H2469=0,0,IFERROR(IF(AND(ABS($C2469-INDEX('AH History'!$B$1:$B$18046,$H2469))&lt;=MAX(0.005,ABS(INDEX('AH History'!$B$1:$B$18046,$H2469))*0.00005),ABS($D2469-INDEX('AH History'!$C$1:$C$18046,$H2469))&lt;=MAX(0.005,ABS(INDEX('AH History'!$C$1:$C$18046,$H2469))*0.00005),ABS($E2469-INDEX('AH History'!$D$1:$D$18046,$H2469))&lt;=0.00005,$F2469=INDEX('AH History'!$E$1:$E$18046,$H2469),$G2469=INDEX('AH History'!$F$1:$F$18046,$H2469)),1,-1),-1))</ns0:f>
        <ns0:v/>
      </ns0:c>
    </ns0:row>
    <ns0:row r="2470">
      <ns0:c r="A2470" s="215">
        <ns0:f>IF(OR(AH!$P$3=0,2465+1&gt;AH!$P$11,AND(AH!$E$4&lt;&gt;"Stored",AH!$P$10&lt;&gt;1)),"",IFERROR(IF(AND(AH!$P$21=1,2465+1=AH!$P$11),TODAY(),IF(AH!$P$10=1,INDEX('Live History'!$A$5:$A$3004,AH!$P$13+2465),INDEX('AH History'!$A$1:$A$18046,AH!$P$7+2465))),""))</ns0:f>
        <ns0:v/>
      </ns0:c>
      <ns0:c r="B2470" s="219">
        <ns0:f>IFERROR(IF(AND(AH!$P$9&lt;&gt;1,$C2470&gt;0,$D2470&gt;0,$E2470&gt;0,$F2470&gt;0,$G2470&gt;0,$F2470&lt;=$A2470,$G2470&lt;=$A2470,$A2470-$F2470&lt;=10,$A2470-$G2470&lt;=5),$D2470*$E2470/$C2470-1,NA()),NA())</ns0:f>
        <ns0:v/>
      </ns0:c>
      <ns0:c r="C2470">
        <ns0:f>IFERROR(IF(ISNUMBER($A2470),IF(AND(AH!$P$10=1,AH!$P$12=1,$A2470=TODAY()),AH!$P$19,IF(AH!$P$10=1,INDEX('Live History'!$B$5:$B$3004,AH!$P$13+2465),INDEX('AH History'!$B$1:$B$18046,AH!$P$7+2465))),NA()),NA())</ns0:f>
        <ns0:v/>
      </ns0:c>
      <ns0:c r="D2470">
        <ns0:f>IFERROR(IF(ISNUMBER($A2470),IF(AND(AH!$P$10=1,AH!$P$12=1,$A2470=TODAY()),AH!$P$18,IF(AH!$P$10=1,INDEX('Live History'!$E$5:$E$3004,MATCH($A2470,'Live History'!$D$5:$D$3004,1)),INDEX('AH History'!$C$1:$C$18046,AH!$P$7+2465))),NA()),NA())</ns0:f>
        <ns0:v/>
      </ns0:c>
      <ns0:c r="E2470">
        <ns0:f>IFERROR(IF(ISNUMBER($A2470),IF(AND(AH!$P$10=1,AH!$P$12=1,$A2470=TODAY()),AH!$P$20,IF(AH!$P$10=1,INDEX('Live History'!$H$5:$H$3004,MATCH($A2470,'Live History'!$G$5:$G$3004,1)),INDEX('AH History'!$D$1:$D$18046,AH!$P$7+2465))),NA()),NA())</ns0:f>
        <ns0:v/>
      </ns0:c>
      <ns0:c r="F2470">
        <ns0:f>IFERROR(IF(ISNUMBER($A2470),IF(AND(AH!$P$10=1,AH!$P$12=1,$A2470=TODAY()),IF(AND(AH!$P$10=1,AH!$P$12=1,$A2470=TODAY()),TODAY(),NA()),IF(AH!$P$10=1,INDEX('Live History'!$D$5:$D$3004,MATCH($A2470,'Live History'!$D$5:$D$3004,1)),INDEX('AH History'!$E$1:$E$18046,AH!$P$7+2465))),NA()),NA())</ns0:f>
        <ns0:v/>
      </ns0:c>
      <ns0:c r="G2470">
        <ns0:f>IFERROR(IF(ISNUMBER($A2470),IF(AND(AH!$P$10=1,AH!$P$12=1,$A2470=TODAY()),IF(AND(AH!$P$10=1,AH!$P$12=1,$A2470=TODAY()),TODAY(),NA()),IF(AH!$P$10=1,INDEX('Live History'!$G$5:$G$3004,MATCH($A2470,'Live History'!$G$5:$G$3004,1)),INDEX('AH History'!$F$1:$F$18046,AH!$P$7+2465))),NA()),NA())</ns0:f>
        <ns0:v/>
      </ns0:c>
      <ns0:c r="H2470">
        <ns0:f>IFERROR(IF(AND(AH!$E$4="Bloomberg",AH!$P$10=1,ISNUMBER($A2470),$A2470&lt;=AH!$P$17),AH!$P$7-1+MATCH($A2470,INDEX('AH History'!$A$1:$A$18046,AH!$P$7):INDEX('AH History'!$A$1:$A$18046,AH!$P$7+AH!$P$8-1),0),0),0)</ns0:f>
        <ns0:v/>
      </ns0:c>
      <ns0:c r="I2470">
        <ns0:f>IF($H2470=0,0,IFERROR(IF(AND(ABS($C2470-INDEX('AH History'!$B$1:$B$18046,$H2470))&lt;=MAX(0.005,ABS(INDEX('AH History'!$B$1:$B$18046,$H2470))*0.00005),ABS($D2470-INDEX('AH History'!$C$1:$C$18046,$H2470))&lt;=MAX(0.005,ABS(INDEX('AH History'!$C$1:$C$18046,$H2470))*0.00005),ABS($E2470-INDEX('AH History'!$D$1:$D$18046,$H2470))&lt;=0.00005,$F2470=INDEX('AH History'!$E$1:$E$18046,$H2470),$G2470=INDEX('AH History'!$F$1:$F$18046,$H2470)),1,-1),-1))</ns0:f>
        <ns0:v/>
      </ns0:c>
    </ns0:row>
    <ns0:row r="2471">
      <ns0:c r="A2471" s="215">
        <ns0:f>IF(OR(AH!$P$3=0,2466+1&gt;AH!$P$11,AND(AH!$E$4&lt;&gt;"Stored",AH!$P$10&lt;&gt;1)),"",IFERROR(IF(AND(AH!$P$21=1,2466+1=AH!$P$11),TODAY(),IF(AH!$P$10=1,INDEX('Live History'!$A$5:$A$3004,AH!$P$13+2466),INDEX('AH History'!$A$1:$A$18046,AH!$P$7+2466))),""))</ns0:f>
        <ns0:v/>
      </ns0:c>
      <ns0:c r="B2471" s="219">
        <ns0:f>IFERROR(IF(AND(AH!$P$9&lt;&gt;1,$C2471&gt;0,$D2471&gt;0,$E2471&gt;0,$F2471&gt;0,$G2471&gt;0,$F2471&lt;=$A2471,$G2471&lt;=$A2471,$A2471-$F2471&lt;=10,$A2471-$G2471&lt;=5),$D2471*$E2471/$C2471-1,NA()),NA())</ns0:f>
        <ns0:v/>
      </ns0:c>
      <ns0:c r="C2471">
        <ns0:f>IFERROR(IF(ISNUMBER($A2471),IF(AND(AH!$P$10=1,AH!$P$12=1,$A2471=TODAY()),AH!$P$19,IF(AH!$P$10=1,INDEX('Live History'!$B$5:$B$3004,AH!$P$13+2466),INDEX('AH History'!$B$1:$B$18046,AH!$P$7+2466))),NA()),NA())</ns0:f>
        <ns0:v/>
      </ns0:c>
      <ns0:c r="D2471">
        <ns0:f>IFERROR(IF(ISNUMBER($A2471),IF(AND(AH!$P$10=1,AH!$P$12=1,$A2471=TODAY()),AH!$P$18,IF(AH!$P$10=1,INDEX('Live History'!$E$5:$E$3004,MATCH($A2471,'Live History'!$D$5:$D$3004,1)),INDEX('AH History'!$C$1:$C$18046,AH!$P$7+2466))),NA()),NA())</ns0:f>
        <ns0:v/>
      </ns0:c>
      <ns0:c r="E2471">
        <ns0:f>IFERROR(IF(ISNUMBER($A2471),IF(AND(AH!$P$10=1,AH!$P$12=1,$A2471=TODAY()),AH!$P$20,IF(AH!$P$10=1,INDEX('Live History'!$H$5:$H$3004,MATCH($A2471,'Live History'!$G$5:$G$3004,1)),INDEX('AH History'!$D$1:$D$18046,AH!$P$7+2466))),NA()),NA())</ns0:f>
        <ns0:v/>
      </ns0:c>
      <ns0:c r="F2471">
        <ns0:f>IFERROR(IF(ISNUMBER($A2471),IF(AND(AH!$P$10=1,AH!$P$12=1,$A2471=TODAY()),IF(AND(AH!$P$10=1,AH!$P$12=1,$A2471=TODAY()),TODAY(),NA()),IF(AH!$P$10=1,INDEX('Live History'!$D$5:$D$3004,MATCH($A2471,'Live History'!$D$5:$D$3004,1)),INDEX('AH History'!$E$1:$E$18046,AH!$P$7+2466))),NA()),NA())</ns0:f>
        <ns0:v/>
      </ns0:c>
      <ns0:c r="G2471">
        <ns0:f>IFERROR(IF(ISNUMBER($A2471),IF(AND(AH!$P$10=1,AH!$P$12=1,$A2471=TODAY()),IF(AND(AH!$P$10=1,AH!$P$12=1,$A2471=TODAY()),TODAY(),NA()),IF(AH!$P$10=1,INDEX('Live History'!$G$5:$G$3004,MATCH($A2471,'Live History'!$G$5:$G$3004,1)),INDEX('AH History'!$F$1:$F$18046,AH!$P$7+2466))),NA()),NA())</ns0:f>
        <ns0:v/>
      </ns0:c>
      <ns0:c r="H2471">
        <ns0:f>IFERROR(IF(AND(AH!$E$4="Bloomberg",AH!$P$10=1,ISNUMBER($A2471),$A2471&lt;=AH!$P$17),AH!$P$7-1+MATCH($A2471,INDEX('AH History'!$A$1:$A$18046,AH!$P$7):INDEX('AH History'!$A$1:$A$18046,AH!$P$7+AH!$P$8-1),0),0),0)</ns0:f>
        <ns0:v/>
      </ns0:c>
      <ns0:c r="I2471">
        <ns0:f>IF($H2471=0,0,IFERROR(IF(AND(ABS($C2471-INDEX('AH History'!$B$1:$B$18046,$H2471))&lt;=MAX(0.005,ABS(INDEX('AH History'!$B$1:$B$18046,$H2471))*0.00005),ABS($D2471-INDEX('AH History'!$C$1:$C$18046,$H2471))&lt;=MAX(0.005,ABS(INDEX('AH History'!$C$1:$C$18046,$H2471))*0.00005),ABS($E2471-INDEX('AH History'!$D$1:$D$18046,$H2471))&lt;=0.00005,$F2471=INDEX('AH History'!$E$1:$E$18046,$H2471),$G2471=INDEX('AH History'!$F$1:$F$18046,$H2471)),1,-1),-1))</ns0:f>
        <ns0:v/>
      </ns0:c>
    </ns0:row>
    <ns0:row r="2472">
      <ns0:c r="A2472" s="215">
        <ns0:f>IF(OR(AH!$P$3=0,2467+1&gt;AH!$P$11,AND(AH!$E$4&lt;&gt;"Stored",AH!$P$10&lt;&gt;1)),"",IFERROR(IF(AND(AH!$P$21=1,2467+1=AH!$P$11),TODAY(),IF(AH!$P$10=1,INDEX('Live History'!$A$5:$A$3004,AH!$P$13+2467),INDEX('AH History'!$A$1:$A$18046,AH!$P$7+2467))),""))</ns0:f>
        <ns0:v/>
      </ns0:c>
      <ns0:c r="B2472" s="219">
        <ns0:f>IFERROR(IF(AND(AH!$P$9&lt;&gt;1,$C2472&gt;0,$D2472&gt;0,$E2472&gt;0,$F2472&gt;0,$G2472&gt;0,$F2472&lt;=$A2472,$G2472&lt;=$A2472,$A2472-$F2472&lt;=10,$A2472-$G2472&lt;=5),$D2472*$E2472/$C2472-1,NA()),NA())</ns0:f>
        <ns0:v/>
      </ns0:c>
      <ns0:c r="C2472">
        <ns0:f>IFERROR(IF(ISNUMBER($A2472),IF(AND(AH!$P$10=1,AH!$P$12=1,$A2472=TODAY()),AH!$P$19,IF(AH!$P$10=1,INDEX('Live History'!$B$5:$B$3004,AH!$P$13+2467),INDEX('AH History'!$B$1:$B$18046,AH!$P$7+2467))),NA()),NA())</ns0:f>
        <ns0:v/>
      </ns0:c>
      <ns0:c r="D2472">
        <ns0:f>IFERROR(IF(ISNUMBER($A2472),IF(AND(AH!$P$10=1,AH!$P$12=1,$A2472=TODAY()),AH!$P$18,IF(AH!$P$10=1,INDEX('Live History'!$E$5:$E$3004,MATCH($A2472,'Live History'!$D$5:$D$3004,1)),INDEX('AH History'!$C$1:$C$18046,AH!$P$7+2467))),NA()),NA())</ns0:f>
        <ns0:v/>
      </ns0:c>
      <ns0:c r="E2472">
        <ns0:f>IFERROR(IF(ISNUMBER($A2472),IF(AND(AH!$P$10=1,AH!$P$12=1,$A2472=TODAY()),AH!$P$20,IF(AH!$P$10=1,INDEX('Live History'!$H$5:$H$3004,MATCH($A2472,'Live History'!$G$5:$G$3004,1)),INDEX('AH History'!$D$1:$D$18046,AH!$P$7+2467))),NA()),NA())</ns0:f>
        <ns0:v/>
      </ns0:c>
      <ns0:c r="F2472">
        <ns0:f>IFERROR(IF(ISNUMBER($A2472),IF(AND(AH!$P$10=1,AH!$P$12=1,$A2472=TODAY()),IF(AND(AH!$P$10=1,AH!$P$12=1,$A2472=TODAY()),TODAY(),NA()),IF(AH!$P$10=1,INDEX('Live History'!$D$5:$D$3004,MATCH($A2472,'Live History'!$D$5:$D$3004,1)),INDEX('AH History'!$E$1:$E$18046,AH!$P$7+2467))),NA()),NA())</ns0:f>
        <ns0:v/>
      </ns0:c>
      <ns0:c r="G2472">
        <ns0:f>IFERROR(IF(ISNUMBER($A2472),IF(AND(AH!$P$10=1,AH!$P$12=1,$A2472=TODAY()),IF(AND(AH!$P$10=1,AH!$P$12=1,$A2472=TODAY()),TODAY(),NA()),IF(AH!$P$10=1,INDEX('Live History'!$G$5:$G$3004,MATCH($A2472,'Live History'!$G$5:$G$3004,1)),INDEX('AH History'!$F$1:$F$18046,AH!$P$7+2467))),NA()),NA())</ns0:f>
        <ns0:v/>
      </ns0:c>
      <ns0:c r="H2472">
        <ns0:f>IFERROR(IF(AND(AH!$E$4="Bloomberg",AH!$P$10=1,ISNUMBER($A2472),$A2472&lt;=AH!$P$17),AH!$P$7-1+MATCH($A2472,INDEX('AH History'!$A$1:$A$18046,AH!$P$7):INDEX('AH History'!$A$1:$A$18046,AH!$P$7+AH!$P$8-1),0),0),0)</ns0:f>
        <ns0:v/>
      </ns0:c>
      <ns0:c r="I2472">
        <ns0:f>IF($H2472=0,0,IFERROR(IF(AND(ABS($C2472-INDEX('AH History'!$B$1:$B$18046,$H2472))&lt;=MAX(0.005,ABS(INDEX('AH History'!$B$1:$B$18046,$H2472))*0.00005),ABS($D2472-INDEX('AH History'!$C$1:$C$18046,$H2472))&lt;=MAX(0.005,ABS(INDEX('AH History'!$C$1:$C$18046,$H2472))*0.00005),ABS($E2472-INDEX('AH History'!$D$1:$D$18046,$H2472))&lt;=0.00005,$F2472=INDEX('AH History'!$E$1:$E$18046,$H2472),$G2472=INDEX('AH History'!$F$1:$F$18046,$H2472)),1,-1),-1))</ns0:f>
        <ns0:v/>
      </ns0:c>
    </ns0:row>
    <ns0:row r="2473">
      <ns0:c r="A2473" s="215">
        <ns0:f>IF(OR(AH!$P$3=0,2468+1&gt;AH!$P$11,AND(AH!$E$4&lt;&gt;"Stored",AH!$P$10&lt;&gt;1)),"",IFERROR(IF(AND(AH!$P$21=1,2468+1=AH!$P$11),TODAY(),IF(AH!$P$10=1,INDEX('Live History'!$A$5:$A$3004,AH!$P$13+2468),INDEX('AH History'!$A$1:$A$18046,AH!$P$7+2468))),""))</ns0:f>
        <ns0:v/>
      </ns0:c>
      <ns0:c r="B2473" s="219">
        <ns0:f>IFERROR(IF(AND(AH!$P$9&lt;&gt;1,$C2473&gt;0,$D2473&gt;0,$E2473&gt;0,$F2473&gt;0,$G2473&gt;0,$F2473&lt;=$A2473,$G2473&lt;=$A2473,$A2473-$F2473&lt;=10,$A2473-$G2473&lt;=5),$D2473*$E2473/$C2473-1,NA()),NA())</ns0:f>
        <ns0:v/>
      </ns0:c>
      <ns0:c r="C2473">
        <ns0:f>IFERROR(IF(ISNUMBER($A2473),IF(AND(AH!$P$10=1,AH!$P$12=1,$A2473=TODAY()),AH!$P$19,IF(AH!$P$10=1,INDEX('Live History'!$B$5:$B$3004,AH!$P$13+2468),INDEX('AH History'!$B$1:$B$18046,AH!$P$7+2468))),NA()),NA())</ns0:f>
        <ns0:v/>
      </ns0:c>
      <ns0:c r="D2473">
        <ns0:f>IFERROR(IF(ISNUMBER($A2473),IF(AND(AH!$P$10=1,AH!$P$12=1,$A2473=TODAY()),AH!$P$18,IF(AH!$P$10=1,INDEX('Live History'!$E$5:$E$3004,MATCH($A2473,'Live History'!$D$5:$D$3004,1)),INDEX('AH History'!$C$1:$C$18046,AH!$P$7+2468))),NA()),NA())</ns0:f>
        <ns0:v/>
      </ns0:c>
      <ns0:c r="E2473">
        <ns0:f>IFERROR(IF(ISNUMBER($A2473),IF(AND(AH!$P$10=1,AH!$P$12=1,$A2473=TODAY()),AH!$P$20,IF(AH!$P$10=1,INDEX('Live History'!$H$5:$H$3004,MATCH($A2473,'Live History'!$G$5:$G$3004,1)),INDEX('AH History'!$D$1:$D$18046,AH!$P$7+2468))),NA()),NA())</ns0:f>
        <ns0:v/>
      </ns0:c>
      <ns0:c r="F2473">
        <ns0:f>IFERROR(IF(ISNUMBER($A2473),IF(AND(AH!$P$10=1,AH!$P$12=1,$A2473=TODAY()),IF(AND(AH!$P$10=1,AH!$P$12=1,$A2473=TODAY()),TODAY(),NA()),IF(AH!$P$10=1,INDEX('Live History'!$D$5:$D$3004,MATCH($A2473,'Live History'!$D$5:$D$3004,1)),INDEX('AH History'!$E$1:$E$18046,AH!$P$7+2468))),NA()),NA())</ns0:f>
        <ns0:v/>
      </ns0:c>
      <ns0:c r="G2473">
        <ns0:f>IFERROR(IF(ISNUMBER($A2473),IF(AND(AH!$P$10=1,AH!$P$12=1,$A2473=TODAY()),IF(AND(AH!$P$10=1,AH!$P$12=1,$A2473=TODAY()),TODAY(),NA()),IF(AH!$P$10=1,INDEX('Live History'!$G$5:$G$3004,MATCH($A2473,'Live History'!$G$5:$G$3004,1)),INDEX('AH History'!$F$1:$F$18046,AH!$P$7+2468))),NA()),NA())</ns0:f>
        <ns0:v/>
      </ns0:c>
      <ns0:c r="H2473">
        <ns0:f>IFERROR(IF(AND(AH!$E$4="Bloomberg",AH!$P$10=1,ISNUMBER($A2473),$A2473&lt;=AH!$P$17),AH!$P$7-1+MATCH($A2473,INDEX('AH History'!$A$1:$A$18046,AH!$P$7):INDEX('AH History'!$A$1:$A$18046,AH!$P$7+AH!$P$8-1),0),0),0)</ns0:f>
        <ns0:v/>
      </ns0:c>
      <ns0:c r="I2473">
        <ns0:f>IF($H2473=0,0,IFERROR(IF(AND(ABS($C2473-INDEX('AH History'!$B$1:$B$18046,$H2473))&lt;=MAX(0.005,ABS(INDEX('AH History'!$B$1:$B$18046,$H2473))*0.00005),ABS($D2473-INDEX('AH History'!$C$1:$C$18046,$H2473))&lt;=MAX(0.005,ABS(INDEX('AH History'!$C$1:$C$18046,$H2473))*0.00005),ABS($E2473-INDEX('AH History'!$D$1:$D$18046,$H2473))&lt;=0.00005,$F2473=INDEX('AH History'!$E$1:$E$18046,$H2473),$G2473=INDEX('AH History'!$F$1:$F$18046,$H2473)),1,-1),-1))</ns0:f>
        <ns0:v/>
      </ns0:c>
    </ns0:row>
    <ns0:row r="2474">
      <ns0:c r="A2474" s="215">
        <ns0:f>IF(OR(AH!$P$3=0,2469+1&gt;AH!$P$11,AND(AH!$E$4&lt;&gt;"Stored",AH!$P$10&lt;&gt;1)),"",IFERROR(IF(AND(AH!$P$21=1,2469+1=AH!$P$11),TODAY(),IF(AH!$P$10=1,INDEX('Live History'!$A$5:$A$3004,AH!$P$13+2469),INDEX('AH History'!$A$1:$A$18046,AH!$P$7+2469))),""))</ns0:f>
        <ns0:v/>
      </ns0:c>
      <ns0:c r="B2474" s="219">
        <ns0:f>IFERROR(IF(AND(AH!$P$9&lt;&gt;1,$C2474&gt;0,$D2474&gt;0,$E2474&gt;0,$F2474&gt;0,$G2474&gt;0,$F2474&lt;=$A2474,$G2474&lt;=$A2474,$A2474-$F2474&lt;=10,$A2474-$G2474&lt;=5),$D2474*$E2474/$C2474-1,NA()),NA())</ns0:f>
        <ns0:v/>
      </ns0:c>
      <ns0:c r="C2474">
        <ns0:f>IFERROR(IF(ISNUMBER($A2474),IF(AND(AH!$P$10=1,AH!$P$12=1,$A2474=TODAY()),AH!$P$19,IF(AH!$P$10=1,INDEX('Live History'!$B$5:$B$3004,AH!$P$13+2469),INDEX('AH History'!$B$1:$B$18046,AH!$P$7+2469))),NA()),NA())</ns0:f>
        <ns0:v/>
      </ns0:c>
      <ns0:c r="D2474">
        <ns0:f>IFERROR(IF(ISNUMBER($A2474),IF(AND(AH!$P$10=1,AH!$P$12=1,$A2474=TODAY()),AH!$P$18,IF(AH!$P$10=1,INDEX('Live History'!$E$5:$E$3004,MATCH($A2474,'Live History'!$D$5:$D$3004,1)),INDEX('AH History'!$C$1:$C$18046,AH!$P$7+2469))),NA()),NA())</ns0:f>
        <ns0:v/>
      </ns0:c>
      <ns0:c r="E2474">
        <ns0:f>IFERROR(IF(ISNUMBER($A2474),IF(AND(AH!$P$10=1,AH!$P$12=1,$A2474=TODAY()),AH!$P$20,IF(AH!$P$10=1,INDEX('Live History'!$H$5:$H$3004,MATCH($A2474,'Live History'!$G$5:$G$3004,1)),INDEX('AH History'!$D$1:$D$18046,AH!$P$7+2469))),NA()),NA())</ns0:f>
        <ns0:v/>
      </ns0:c>
      <ns0:c r="F2474">
        <ns0:f>IFERROR(IF(ISNUMBER($A2474),IF(AND(AH!$P$10=1,AH!$P$12=1,$A2474=TODAY()),IF(AND(AH!$P$10=1,AH!$P$12=1,$A2474=TODAY()),TODAY(),NA()),IF(AH!$P$10=1,INDEX('Live History'!$D$5:$D$3004,MATCH($A2474,'Live History'!$D$5:$D$3004,1)),INDEX('AH History'!$E$1:$E$18046,AH!$P$7+2469))),NA()),NA())</ns0:f>
        <ns0:v/>
      </ns0:c>
      <ns0:c r="G2474">
        <ns0:f>IFERROR(IF(ISNUMBER($A2474),IF(AND(AH!$P$10=1,AH!$P$12=1,$A2474=TODAY()),IF(AND(AH!$P$10=1,AH!$P$12=1,$A2474=TODAY()),TODAY(),NA()),IF(AH!$P$10=1,INDEX('Live History'!$G$5:$G$3004,MATCH($A2474,'Live History'!$G$5:$G$3004,1)),INDEX('AH History'!$F$1:$F$18046,AH!$P$7+2469))),NA()),NA())</ns0:f>
        <ns0:v/>
      </ns0:c>
      <ns0:c r="H2474">
        <ns0:f>IFERROR(IF(AND(AH!$E$4="Bloomberg",AH!$P$10=1,ISNUMBER($A2474),$A2474&lt;=AH!$P$17),AH!$P$7-1+MATCH($A2474,INDEX('AH History'!$A$1:$A$18046,AH!$P$7):INDEX('AH History'!$A$1:$A$18046,AH!$P$7+AH!$P$8-1),0),0),0)</ns0:f>
        <ns0:v/>
      </ns0:c>
      <ns0:c r="I2474">
        <ns0:f>IF($H2474=0,0,IFERROR(IF(AND(ABS($C2474-INDEX('AH History'!$B$1:$B$18046,$H2474))&lt;=MAX(0.005,ABS(INDEX('AH History'!$B$1:$B$18046,$H2474))*0.00005),ABS($D2474-INDEX('AH History'!$C$1:$C$18046,$H2474))&lt;=MAX(0.005,ABS(INDEX('AH History'!$C$1:$C$18046,$H2474))*0.00005),ABS($E2474-INDEX('AH History'!$D$1:$D$18046,$H2474))&lt;=0.00005,$F2474=INDEX('AH History'!$E$1:$E$18046,$H2474),$G2474=INDEX('AH History'!$F$1:$F$18046,$H2474)),1,-1),-1))</ns0:f>
        <ns0:v/>
      </ns0:c>
    </ns0:row>
    <ns0:row r="2475">
      <ns0:c r="A2475" s="215">
        <ns0:f>IF(OR(AH!$P$3=0,2470+1&gt;AH!$P$11,AND(AH!$E$4&lt;&gt;"Stored",AH!$P$10&lt;&gt;1)),"",IFERROR(IF(AND(AH!$P$21=1,2470+1=AH!$P$11),TODAY(),IF(AH!$P$10=1,INDEX('Live History'!$A$5:$A$3004,AH!$P$13+2470),INDEX('AH History'!$A$1:$A$18046,AH!$P$7+2470))),""))</ns0:f>
        <ns0:v/>
      </ns0:c>
      <ns0:c r="B2475" s="219">
        <ns0:f>IFERROR(IF(AND(AH!$P$9&lt;&gt;1,$C2475&gt;0,$D2475&gt;0,$E2475&gt;0,$F2475&gt;0,$G2475&gt;0,$F2475&lt;=$A2475,$G2475&lt;=$A2475,$A2475-$F2475&lt;=10,$A2475-$G2475&lt;=5),$D2475*$E2475/$C2475-1,NA()),NA())</ns0:f>
        <ns0:v/>
      </ns0:c>
      <ns0:c r="C2475">
        <ns0:f>IFERROR(IF(ISNUMBER($A2475),IF(AND(AH!$P$10=1,AH!$P$12=1,$A2475=TODAY()),AH!$P$19,IF(AH!$P$10=1,INDEX('Live History'!$B$5:$B$3004,AH!$P$13+2470),INDEX('AH History'!$B$1:$B$18046,AH!$P$7+2470))),NA()),NA())</ns0:f>
        <ns0:v/>
      </ns0:c>
      <ns0:c r="D2475">
        <ns0:f>IFERROR(IF(ISNUMBER($A2475),IF(AND(AH!$P$10=1,AH!$P$12=1,$A2475=TODAY()),AH!$P$18,IF(AH!$P$10=1,INDEX('Live History'!$E$5:$E$3004,MATCH($A2475,'Live History'!$D$5:$D$3004,1)),INDEX('AH History'!$C$1:$C$18046,AH!$P$7+2470))),NA()),NA())</ns0:f>
        <ns0:v/>
      </ns0:c>
      <ns0:c r="E2475">
        <ns0:f>IFERROR(IF(ISNUMBER($A2475),IF(AND(AH!$P$10=1,AH!$P$12=1,$A2475=TODAY()),AH!$P$20,IF(AH!$P$10=1,INDEX('Live History'!$H$5:$H$3004,MATCH($A2475,'Live History'!$G$5:$G$3004,1)),INDEX('AH History'!$D$1:$D$18046,AH!$P$7+2470))),NA()),NA())</ns0:f>
        <ns0:v/>
      </ns0:c>
      <ns0:c r="F2475">
        <ns0:f>IFERROR(IF(ISNUMBER($A2475),IF(AND(AH!$P$10=1,AH!$P$12=1,$A2475=TODAY()),IF(AND(AH!$P$10=1,AH!$P$12=1,$A2475=TODAY()),TODAY(),NA()),IF(AH!$P$10=1,INDEX('Live History'!$D$5:$D$3004,MATCH($A2475,'Live History'!$D$5:$D$3004,1)),INDEX('AH History'!$E$1:$E$18046,AH!$P$7+2470))),NA()),NA())</ns0:f>
        <ns0:v/>
      </ns0:c>
      <ns0:c r="G2475">
        <ns0:f>IFERROR(IF(ISNUMBER($A2475),IF(AND(AH!$P$10=1,AH!$P$12=1,$A2475=TODAY()),IF(AND(AH!$P$10=1,AH!$P$12=1,$A2475=TODAY()),TODAY(),NA()),IF(AH!$P$10=1,INDEX('Live History'!$G$5:$G$3004,MATCH($A2475,'Live History'!$G$5:$G$3004,1)),INDEX('AH History'!$F$1:$F$18046,AH!$P$7+2470))),NA()),NA())</ns0:f>
        <ns0:v/>
      </ns0:c>
      <ns0:c r="H2475">
        <ns0:f>IFERROR(IF(AND(AH!$E$4="Bloomberg",AH!$P$10=1,ISNUMBER($A2475),$A2475&lt;=AH!$P$17),AH!$P$7-1+MATCH($A2475,INDEX('AH History'!$A$1:$A$18046,AH!$P$7):INDEX('AH History'!$A$1:$A$18046,AH!$P$7+AH!$P$8-1),0),0),0)</ns0:f>
        <ns0:v/>
      </ns0:c>
      <ns0:c r="I2475">
        <ns0:f>IF($H2475=0,0,IFERROR(IF(AND(ABS($C2475-INDEX('AH History'!$B$1:$B$18046,$H2475))&lt;=MAX(0.005,ABS(INDEX('AH History'!$B$1:$B$18046,$H2475))*0.00005),ABS($D2475-INDEX('AH History'!$C$1:$C$18046,$H2475))&lt;=MAX(0.005,ABS(INDEX('AH History'!$C$1:$C$18046,$H2475))*0.00005),ABS($E2475-INDEX('AH History'!$D$1:$D$18046,$H2475))&lt;=0.00005,$F2475=INDEX('AH History'!$E$1:$E$18046,$H2475),$G2475=INDEX('AH History'!$F$1:$F$18046,$H2475)),1,-1),-1))</ns0:f>
        <ns0:v/>
      </ns0:c>
    </ns0:row>
    <ns0:row r="2476">
      <ns0:c r="A2476" s="215">
        <ns0:f>IF(OR(AH!$P$3=0,2471+1&gt;AH!$P$11,AND(AH!$E$4&lt;&gt;"Stored",AH!$P$10&lt;&gt;1)),"",IFERROR(IF(AND(AH!$P$21=1,2471+1=AH!$P$11),TODAY(),IF(AH!$P$10=1,INDEX('Live History'!$A$5:$A$3004,AH!$P$13+2471),INDEX('AH History'!$A$1:$A$18046,AH!$P$7+2471))),""))</ns0:f>
        <ns0:v/>
      </ns0:c>
      <ns0:c r="B2476" s="219">
        <ns0:f>IFERROR(IF(AND(AH!$P$9&lt;&gt;1,$C2476&gt;0,$D2476&gt;0,$E2476&gt;0,$F2476&gt;0,$G2476&gt;0,$F2476&lt;=$A2476,$G2476&lt;=$A2476,$A2476-$F2476&lt;=10,$A2476-$G2476&lt;=5),$D2476*$E2476/$C2476-1,NA()),NA())</ns0:f>
        <ns0:v/>
      </ns0:c>
      <ns0:c r="C2476">
        <ns0:f>IFERROR(IF(ISNUMBER($A2476),IF(AND(AH!$P$10=1,AH!$P$12=1,$A2476=TODAY()),AH!$P$19,IF(AH!$P$10=1,INDEX('Live History'!$B$5:$B$3004,AH!$P$13+2471),INDEX('AH History'!$B$1:$B$18046,AH!$P$7+2471))),NA()),NA())</ns0:f>
        <ns0:v/>
      </ns0:c>
      <ns0:c r="D2476">
        <ns0:f>IFERROR(IF(ISNUMBER($A2476),IF(AND(AH!$P$10=1,AH!$P$12=1,$A2476=TODAY()),AH!$P$18,IF(AH!$P$10=1,INDEX('Live History'!$E$5:$E$3004,MATCH($A2476,'Live History'!$D$5:$D$3004,1)),INDEX('AH History'!$C$1:$C$18046,AH!$P$7+2471))),NA()),NA())</ns0:f>
        <ns0:v/>
      </ns0:c>
      <ns0:c r="E2476">
        <ns0:f>IFERROR(IF(ISNUMBER($A2476),IF(AND(AH!$P$10=1,AH!$P$12=1,$A2476=TODAY()),AH!$P$20,IF(AH!$P$10=1,INDEX('Live History'!$H$5:$H$3004,MATCH($A2476,'Live History'!$G$5:$G$3004,1)),INDEX('AH History'!$D$1:$D$18046,AH!$P$7+2471))),NA()),NA())</ns0:f>
        <ns0:v/>
      </ns0:c>
      <ns0:c r="F2476">
        <ns0:f>IFERROR(IF(ISNUMBER($A2476),IF(AND(AH!$P$10=1,AH!$P$12=1,$A2476=TODAY()),IF(AND(AH!$P$10=1,AH!$P$12=1,$A2476=TODAY()),TODAY(),NA()),IF(AH!$P$10=1,INDEX('Live History'!$D$5:$D$3004,MATCH($A2476,'Live History'!$D$5:$D$3004,1)),INDEX('AH History'!$E$1:$E$18046,AH!$P$7+2471))),NA()),NA())</ns0:f>
        <ns0:v/>
      </ns0:c>
      <ns0:c r="G2476">
        <ns0:f>IFERROR(IF(ISNUMBER($A2476),IF(AND(AH!$P$10=1,AH!$P$12=1,$A2476=TODAY()),IF(AND(AH!$P$10=1,AH!$P$12=1,$A2476=TODAY()),TODAY(),NA()),IF(AH!$P$10=1,INDEX('Live History'!$G$5:$G$3004,MATCH($A2476,'Live History'!$G$5:$G$3004,1)),INDEX('AH History'!$F$1:$F$18046,AH!$P$7+2471))),NA()),NA())</ns0:f>
        <ns0:v/>
      </ns0:c>
      <ns0:c r="H2476">
        <ns0:f>IFERROR(IF(AND(AH!$E$4="Bloomberg",AH!$P$10=1,ISNUMBER($A2476),$A2476&lt;=AH!$P$17),AH!$P$7-1+MATCH($A2476,INDEX('AH History'!$A$1:$A$18046,AH!$P$7):INDEX('AH History'!$A$1:$A$18046,AH!$P$7+AH!$P$8-1),0),0),0)</ns0:f>
        <ns0:v/>
      </ns0:c>
      <ns0:c r="I2476">
        <ns0:f>IF($H2476=0,0,IFERROR(IF(AND(ABS($C2476-INDEX('AH History'!$B$1:$B$18046,$H2476))&lt;=MAX(0.005,ABS(INDEX('AH History'!$B$1:$B$18046,$H2476))*0.00005),ABS($D2476-INDEX('AH History'!$C$1:$C$18046,$H2476))&lt;=MAX(0.005,ABS(INDEX('AH History'!$C$1:$C$18046,$H2476))*0.00005),ABS($E2476-INDEX('AH History'!$D$1:$D$18046,$H2476))&lt;=0.00005,$F2476=INDEX('AH History'!$E$1:$E$18046,$H2476),$G2476=INDEX('AH History'!$F$1:$F$18046,$H2476)),1,-1),-1))</ns0:f>
        <ns0:v/>
      </ns0:c>
    </ns0:row>
    <ns0:row r="2477">
      <ns0:c r="A2477" s="215">
        <ns0:f>IF(OR(AH!$P$3=0,2472+1&gt;AH!$P$11,AND(AH!$E$4&lt;&gt;"Stored",AH!$P$10&lt;&gt;1)),"",IFERROR(IF(AND(AH!$P$21=1,2472+1=AH!$P$11),TODAY(),IF(AH!$P$10=1,INDEX('Live History'!$A$5:$A$3004,AH!$P$13+2472),INDEX('AH History'!$A$1:$A$18046,AH!$P$7+2472))),""))</ns0:f>
        <ns0:v/>
      </ns0:c>
      <ns0:c r="B2477" s="219">
        <ns0:f>IFERROR(IF(AND(AH!$P$9&lt;&gt;1,$C2477&gt;0,$D2477&gt;0,$E2477&gt;0,$F2477&gt;0,$G2477&gt;0,$F2477&lt;=$A2477,$G2477&lt;=$A2477,$A2477-$F2477&lt;=10,$A2477-$G2477&lt;=5),$D2477*$E2477/$C2477-1,NA()),NA())</ns0:f>
        <ns0:v/>
      </ns0:c>
      <ns0:c r="C2477">
        <ns0:f>IFERROR(IF(ISNUMBER($A2477),IF(AND(AH!$P$10=1,AH!$P$12=1,$A2477=TODAY()),AH!$P$19,IF(AH!$P$10=1,INDEX('Live History'!$B$5:$B$3004,AH!$P$13+2472),INDEX('AH History'!$B$1:$B$18046,AH!$P$7+2472))),NA()),NA())</ns0:f>
        <ns0:v/>
      </ns0:c>
      <ns0:c r="D2477">
        <ns0:f>IFERROR(IF(ISNUMBER($A2477),IF(AND(AH!$P$10=1,AH!$P$12=1,$A2477=TODAY()),AH!$P$18,IF(AH!$P$10=1,INDEX('Live History'!$E$5:$E$3004,MATCH($A2477,'Live History'!$D$5:$D$3004,1)),INDEX('AH History'!$C$1:$C$18046,AH!$P$7+2472))),NA()),NA())</ns0:f>
        <ns0:v/>
      </ns0:c>
      <ns0:c r="E2477">
        <ns0:f>IFERROR(IF(ISNUMBER($A2477),IF(AND(AH!$P$10=1,AH!$P$12=1,$A2477=TODAY()),AH!$P$20,IF(AH!$P$10=1,INDEX('Live History'!$H$5:$H$3004,MATCH($A2477,'Live History'!$G$5:$G$3004,1)),INDEX('AH History'!$D$1:$D$18046,AH!$P$7+2472))),NA()),NA())</ns0:f>
        <ns0:v/>
      </ns0:c>
      <ns0:c r="F2477">
        <ns0:f>IFERROR(IF(ISNUMBER($A2477),IF(AND(AH!$P$10=1,AH!$P$12=1,$A2477=TODAY()),IF(AND(AH!$P$10=1,AH!$P$12=1,$A2477=TODAY()),TODAY(),NA()),IF(AH!$P$10=1,INDEX('Live History'!$D$5:$D$3004,MATCH($A2477,'Live History'!$D$5:$D$3004,1)),INDEX('AH History'!$E$1:$E$18046,AH!$P$7+2472))),NA()),NA())</ns0:f>
        <ns0:v/>
      </ns0:c>
      <ns0:c r="G2477">
        <ns0:f>IFERROR(IF(ISNUMBER($A2477),IF(AND(AH!$P$10=1,AH!$P$12=1,$A2477=TODAY()),IF(AND(AH!$P$10=1,AH!$P$12=1,$A2477=TODAY()),TODAY(),NA()),IF(AH!$P$10=1,INDEX('Live History'!$G$5:$G$3004,MATCH($A2477,'Live History'!$G$5:$G$3004,1)),INDEX('AH History'!$F$1:$F$18046,AH!$P$7+2472))),NA()),NA())</ns0:f>
        <ns0:v/>
      </ns0:c>
      <ns0:c r="H2477">
        <ns0:f>IFERROR(IF(AND(AH!$E$4="Bloomberg",AH!$P$10=1,ISNUMBER($A2477),$A2477&lt;=AH!$P$17),AH!$P$7-1+MATCH($A2477,INDEX('AH History'!$A$1:$A$18046,AH!$P$7):INDEX('AH History'!$A$1:$A$18046,AH!$P$7+AH!$P$8-1),0),0),0)</ns0:f>
        <ns0:v/>
      </ns0:c>
      <ns0:c r="I2477">
        <ns0:f>IF($H2477=0,0,IFERROR(IF(AND(ABS($C2477-INDEX('AH History'!$B$1:$B$18046,$H2477))&lt;=MAX(0.005,ABS(INDEX('AH History'!$B$1:$B$18046,$H2477))*0.00005),ABS($D2477-INDEX('AH History'!$C$1:$C$18046,$H2477))&lt;=MAX(0.005,ABS(INDEX('AH History'!$C$1:$C$18046,$H2477))*0.00005),ABS($E2477-INDEX('AH History'!$D$1:$D$18046,$H2477))&lt;=0.00005,$F2477=INDEX('AH History'!$E$1:$E$18046,$H2477),$G2477=INDEX('AH History'!$F$1:$F$18046,$H2477)),1,-1),-1))</ns0:f>
        <ns0:v/>
      </ns0:c>
    </ns0:row>
    <ns0:row r="2478">
      <ns0:c r="A2478" s="215">
        <ns0:f>IF(OR(AH!$P$3=0,2473+1&gt;AH!$P$11,AND(AH!$E$4&lt;&gt;"Stored",AH!$P$10&lt;&gt;1)),"",IFERROR(IF(AND(AH!$P$21=1,2473+1=AH!$P$11),TODAY(),IF(AH!$P$10=1,INDEX('Live History'!$A$5:$A$3004,AH!$P$13+2473),INDEX('AH History'!$A$1:$A$18046,AH!$P$7+2473))),""))</ns0:f>
        <ns0:v/>
      </ns0:c>
      <ns0:c r="B2478" s="219">
        <ns0:f>IFERROR(IF(AND(AH!$P$9&lt;&gt;1,$C2478&gt;0,$D2478&gt;0,$E2478&gt;0,$F2478&gt;0,$G2478&gt;0,$F2478&lt;=$A2478,$G2478&lt;=$A2478,$A2478-$F2478&lt;=10,$A2478-$G2478&lt;=5),$D2478*$E2478/$C2478-1,NA()),NA())</ns0:f>
        <ns0:v/>
      </ns0:c>
      <ns0:c r="C2478">
        <ns0:f>IFERROR(IF(ISNUMBER($A2478),IF(AND(AH!$P$10=1,AH!$P$12=1,$A2478=TODAY()),AH!$P$19,IF(AH!$P$10=1,INDEX('Live History'!$B$5:$B$3004,AH!$P$13+2473),INDEX('AH History'!$B$1:$B$18046,AH!$P$7+2473))),NA()),NA())</ns0:f>
        <ns0:v/>
      </ns0:c>
      <ns0:c r="D2478">
        <ns0:f>IFERROR(IF(ISNUMBER($A2478),IF(AND(AH!$P$10=1,AH!$P$12=1,$A2478=TODAY()),AH!$P$18,IF(AH!$P$10=1,INDEX('Live History'!$E$5:$E$3004,MATCH($A2478,'Live History'!$D$5:$D$3004,1)),INDEX('AH History'!$C$1:$C$18046,AH!$P$7+2473))),NA()),NA())</ns0:f>
        <ns0:v/>
      </ns0:c>
      <ns0:c r="E2478">
        <ns0:f>IFERROR(IF(ISNUMBER($A2478),IF(AND(AH!$P$10=1,AH!$P$12=1,$A2478=TODAY()),AH!$P$20,IF(AH!$P$10=1,INDEX('Live History'!$H$5:$H$3004,MATCH($A2478,'Live History'!$G$5:$G$3004,1)),INDEX('AH History'!$D$1:$D$18046,AH!$P$7+2473))),NA()),NA())</ns0:f>
        <ns0:v/>
      </ns0:c>
      <ns0:c r="F2478">
        <ns0:f>IFERROR(IF(ISNUMBER($A2478),IF(AND(AH!$P$10=1,AH!$P$12=1,$A2478=TODAY()),IF(AND(AH!$P$10=1,AH!$P$12=1,$A2478=TODAY()),TODAY(),NA()),IF(AH!$P$10=1,INDEX('Live History'!$D$5:$D$3004,MATCH($A2478,'Live History'!$D$5:$D$3004,1)),INDEX('AH History'!$E$1:$E$18046,AH!$P$7+2473))),NA()),NA())</ns0:f>
        <ns0:v/>
      </ns0:c>
      <ns0:c r="G2478">
        <ns0:f>IFERROR(IF(ISNUMBER($A2478),IF(AND(AH!$P$10=1,AH!$P$12=1,$A2478=TODAY()),IF(AND(AH!$P$10=1,AH!$P$12=1,$A2478=TODAY()),TODAY(),NA()),IF(AH!$P$10=1,INDEX('Live History'!$G$5:$G$3004,MATCH($A2478,'Live History'!$G$5:$G$3004,1)),INDEX('AH History'!$F$1:$F$18046,AH!$P$7+2473))),NA()),NA())</ns0:f>
        <ns0:v/>
      </ns0:c>
      <ns0:c r="H2478">
        <ns0:f>IFERROR(IF(AND(AH!$E$4="Bloomberg",AH!$P$10=1,ISNUMBER($A2478),$A2478&lt;=AH!$P$17),AH!$P$7-1+MATCH($A2478,INDEX('AH History'!$A$1:$A$18046,AH!$P$7):INDEX('AH History'!$A$1:$A$18046,AH!$P$7+AH!$P$8-1),0),0),0)</ns0:f>
        <ns0:v/>
      </ns0:c>
      <ns0:c r="I2478">
        <ns0:f>IF($H2478=0,0,IFERROR(IF(AND(ABS($C2478-INDEX('AH History'!$B$1:$B$18046,$H2478))&lt;=MAX(0.005,ABS(INDEX('AH History'!$B$1:$B$18046,$H2478))*0.00005),ABS($D2478-INDEX('AH History'!$C$1:$C$18046,$H2478))&lt;=MAX(0.005,ABS(INDEX('AH History'!$C$1:$C$18046,$H2478))*0.00005),ABS($E2478-INDEX('AH History'!$D$1:$D$18046,$H2478))&lt;=0.00005,$F2478=INDEX('AH History'!$E$1:$E$18046,$H2478),$G2478=INDEX('AH History'!$F$1:$F$18046,$H2478)),1,-1),-1))</ns0:f>
        <ns0:v/>
      </ns0:c>
    </ns0:row>
    <ns0:row r="2479">
      <ns0:c r="A2479" s="215">
        <ns0:f>IF(OR(AH!$P$3=0,2474+1&gt;AH!$P$11,AND(AH!$E$4&lt;&gt;"Stored",AH!$P$10&lt;&gt;1)),"",IFERROR(IF(AND(AH!$P$21=1,2474+1=AH!$P$11),TODAY(),IF(AH!$P$10=1,INDEX('Live History'!$A$5:$A$3004,AH!$P$13+2474),INDEX('AH History'!$A$1:$A$18046,AH!$P$7+2474))),""))</ns0:f>
        <ns0:v/>
      </ns0:c>
      <ns0:c r="B2479" s="219">
        <ns0:f>IFERROR(IF(AND(AH!$P$9&lt;&gt;1,$C2479&gt;0,$D2479&gt;0,$E2479&gt;0,$F2479&gt;0,$G2479&gt;0,$F2479&lt;=$A2479,$G2479&lt;=$A2479,$A2479-$F2479&lt;=10,$A2479-$G2479&lt;=5),$D2479*$E2479/$C2479-1,NA()),NA())</ns0:f>
        <ns0:v/>
      </ns0:c>
      <ns0:c r="C2479">
        <ns0:f>IFERROR(IF(ISNUMBER($A2479),IF(AND(AH!$P$10=1,AH!$P$12=1,$A2479=TODAY()),AH!$P$19,IF(AH!$P$10=1,INDEX('Live History'!$B$5:$B$3004,AH!$P$13+2474),INDEX('AH History'!$B$1:$B$18046,AH!$P$7+2474))),NA()),NA())</ns0:f>
        <ns0:v/>
      </ns0:c>
      <ns0:c r="D2479">
        <ns0:f>IFERROR(IF(ISNUMBER($A2479),IF(AND(AH!$P$10=1,AH!$P$12=1,$A2479=TODAY()),AH!$P$18,IF(AH!$P$10=1,INDEX('Live History'!$E$5:$E$3004,MATCH($A2479,'Live History'!$D$5:$D$3004,1)),INDEX('AH History'!$C$1:$C$18046,AH!$P$7+2474))),NA()),NA())</ns0:f>
        <ns0:v/>
      </ns0:c>
      <ns0:c r="E2479">
        <ns0:f>IFERROR(IF(ISNUMBER($A2479),IF(AND(AH!$P$10=1,AH!$P$12=1,$A2479=TODAY()),AH!$P$20,IF(AH!$P$10=1,INDEX('Live History'!$H$5:$H$3004,MATCH($A2479,'Live History'!$G$5:$G$3004,1)),INDEX('AH History'!$D$1:$D$18046,AH!$P$7+2474))),NA()),NA())</ns0:f>
        <ns0:v/>
      </ns0:c>
      <ns0:c r="F2479">
        <ns0:f>IFERROR(IF(ISNUMBER($A2479),IF(AND(AH!$P$10=1,AH!$P$12=1,$A2479=TODAY()),IF(AND(AH!$P$10=1,AH!$P$12=1,$A2479=TODAY()),TODAY(),NA()),IF(AH!$P$10=1,INDEX('Live History'!$D$5:$D$3004,MATCH($A2479,'Live History'!$D$5:$D$3004,1)),INDEX('AH History'!$E$1:$E$18046,AH!$P$7+2474))),NA()),NA())</ns0:f>
        <ns0:v/>
      </ns0:c>
      <ns0:c r="G2479">
        <ns0:f>IFERROR(IF(ISNUMBER($A2479),IF(AND(AH!$P$10=1,AH!$P$12=1,$A2479=TODAY()),IF(AND(AH!$P$10=1,AH!$P$12=1,$A2479=TODAY()),TODAY(),NA()),IF(AH!$P$10=1,INDEX('Live History'!$G$5:$G$3004,MATCH($A2479,'Live History'!$G$5:$G$3004,1)),INDEX('AH History'!$F$1:$F$18046,AH!$P$7+2474))),NA()),NA())</ns0:f>
        <ns0:v/>
      </ns0:c>
      <ns0:c r="H2479">
        <ns0:f>IFERROR(IF(AND(AH!$E$4="Bloomberg",AH!$P$10=1,ISNUMBER($A2479),$A2479&lt;=AH!$P$17),AH!$P$7-1+MATCH($A2479,INDEX('AH History'!$A$1:$A$18046,AH!$P$7):INDEX('AH History'!$A$1:$A$18046,AH!$P$7+AH!$P$8-1),0),0),0)</ns0:f>
        <ns0:v/>
      </ns0:c>
      <ns0:c r="I2479">
        <ns0:f>IF($H2479=0,0,IFERROR(IF(AND(ABS($C2479-INDEX('AH History'!$B$1:$B$18046,$H2479))&lt;=MAX(0.005,ABS(INDEX('AH History'!$B$1:$B$18046,$H2479))*0.00005),ABS($D2479-INDEX('AH History'!$C$1:$C$18046,$H2479))&lt;=MAX(0.005,ABS(INDEX('AH History'!$C$1:$C$18046,$H2479))*0.00005),ABS($E2479-INDEX('AH History'!$D$1:$D$18046,$H2479))&lt;=0.00005,$F2479=INDEX('AH History'!$E$1:$E$18046,$H2479),$G2479=INDEX('AH History'!$F$1:$F$18046,$H2479)),1,-1),-1))</ns0:f>
        <ns0:v/>
      </ns0:c>
    </ns0:row>
    <ns0:row r="2480">
      <ns0:c r="A2480" s="215">
        <ns0:f>IF(OR(AH!$P$3=0,2475+1&gt;AH!$P$11,AND(AH!$E$4&lt;&gt;"Stored",AH!$P$10&lt;&gt;1)),"",IFERROR(IF(AND(AH!$P$21=1,2475+1=AH!$P$11),TODAY(),IF(AH!$P$10=1,INDEX('Live History'!$A$5:$A$3004,AH!$P$13+2475),INDEX('AH History'!$A$1:$A$18046,AH!$P$7+2475))),""))</ns0:f>
        <ns0:v/>
      </ns0:c>
      <ns0:c r="B2480" s="219">
        <ns0:f>IFERROR(IF(AND(AH!$P$9&lt;&gt;1,$C2480&gt;0,$D2480&gt;0,$E2480&gt;0,$F2480&gt;0,$G2480&gt;0,$F2480&lt;=$A2480,$G2480&lt;=$A2480,$A2480-$F2480&lt;=10,$A2480-$G2480&lt;=5),$D2480*$E2480/$C2480-1,NA()),NA())</ns0:f>
        <ns0:v/>
      </ns0:c>
      <ns0:c r="C2480">
        <ns0:f>IFERROR(IF(ISNUMBER($A2480),IF(AND(AH!$P$10=1,AH!$P$12=1,$A2480=TODAY()),AH!$P$19,IF(AH!$P$10=1,INDEX('Live History'!$B$5:$B$3004,AH!$P$13+2475),INDEX('AH History'!$B$1:$B$18046,AH!$P$7+2475))),NA()),NA())</ns0:f>
        <ns0:v/>
      </ns0:c>
      <ns0:c r="D2480">
        <ns0:f>IFERROR(IF(ISNUMBER($A2480),IF(AND(AH!$P$10=1,AH!$P$12=1,$A2480=TODAY()),AH!$P$18,IF(AH!$P$10=1,INDEX('Live History'!$E$5:$E$3004,MATCH($A2480,'Live History'!$D$5:$D$3004,1)),INDEX('AH History'!$C$1:$C$18046,AH!$P$7+2475))),NA()),NA())</ns0:f>
        <ns0:v/>
      </ns0:c>
      <ns0:c r="E2480">
        <ns0:f>IFERROR(IF(ISNUMBER($A2480),IF(AND(AH!$P$10=1,AH!$P$12=1,$A2480=TODAY()),AH!$P$20,IF(AH!$P$10=1,INDEX('Live History'!$H$5:$H$3004,MATCH($A2480,'Live History'!$G$5:$G$3004,1)),INDEX('AH History'!$D$1:$D$18046,AH!$P$7+2475))),NA()),NA())</ns0:f>
        <ns0:v/>
      </ns0:c>
      <ns0:c r="F2480">
        <ns0:f>IFERROR(IF(ISNUMBER($A2480),IF(AND(AH!$P$10=1,AH!$P$12=1,$A2480=TODAY()),IF(AND(AH!$P$10=1,AH!$P$12=1,$A2480=TODAY()),TODAY(),NA()),IF(AH!$P$10=1,INDEX('Live History'!$D$5:$D$3004,MATCH($A2480,'Live History'!$D$5:$D$3004,1)),INDEX('AH History'!$E$1:$E$18046,AH!$P$7+2475))),NA()),NA())</ns0:f>
        <ns0:v/>
      </ns0:c>
      <ns0:c r="G2480">
        <ns0:f>IFERROR(IF(ISNUMBER($A2480),IF(AND(AH!$P$10=1,AH!$P$12=1,$A2480=TODAY()),IF(AND(AH!$P$10=1,AH!$P$12=1,$A2480=TODAY()),TODAY(),NA()),IF(AH!$P$10=1,INDEX('Live History'!$G$5:$G$3004,MATCH($A2480,'Live History'!$G$5:$G$3004,1)),INDEX('AH History'!$F$1:$F$18046,AH!$P$7+2475))),NA()),NA())</ns0:f>
        <ns0:v/>
      </ns0:c>
      <ns0:c r="H2480">
        <ns0:f>IFERROR(IF(AND(AH!$E$4="Bloomberg",AH!$P$10=1,ISNUMBER($A2480),$A2480&lt;=AH!$P$17),AH!$P$7-1+MATCH($A2480,INDEX('AH History'!$A$1:$A$18046,AH!$P$7):INDEX('AH History'!$A$1:$A$18046,AH!$P$7+AH!$P$8-1),0),0),0)</ns0:f>
        <ns0:v/>
      </ns0:c>
      <ns0:c r="I2480">
        <ns0:f>IF($H2480=0,0,IFERROR(IF(AND(ABS($C2480-INDEX('AH History'!$B$1:$B$18046,$H2480))&lt;=MAX(0.005,ABS(INDEX('AH History'!$B$1:$B$18046,$H2480))*0.00005),ABS($D2480-INDEX('AH History'!$C$1:$C$18046,$H2480))&lt;=MAX(0.005,ABS(INDEX('AH History'!$C$1:$C$18046,$H2480))*0.00005),ABS($E2480-INDEX('AH History'!$D$1:$D$18046,$H2480))&lt;=0.00005,$F2480=INDEX('AH History'!$E$1:$E$18046,$H2480),$G2480=INDEX('AH History'!$F$1:$F$18046,$H2480)),1,-1),-1))</ns0:f>
        <ns0:v/>
      </ns0:c>
    </ns0:row>
    <ns0:row r="2481">
      <ns0:c r="A2481" s="215">
        <ns0:f>IF(OR(AH!$P$3=0,2476+1&gt;AH!$P$11,AND(AH!$E$4&lt;&gt;"Stored",AH!$P$10&lt;&gt;1)),"",IFERROR(IF(AND(AH!$P$21=1,2476+1=AH!$P$11),TODAY(),IF(AH!$P$10=1,INDEX('Live History'!$A$5:$A$3004,AH!$P$13+2476),INDEX('AH History'!$A$1:$A$18046,AH!$P$7+2476))),""))</ns0:f>
        <ns0:v/>
      </ns0:c>
      <ns0:c r="B2481" s="219">
        <ns0:f>IFERROR(IF(AND(AH!$P$9&lt;&gt;1,$C2481&gt;0,$D2481&gt;0,$E2481&gt;0,$F2481&gt;0,$G2481&gt;0,$F2481&lt;=$A2481,$G2481&lt;=$A2481,$A2481-$F2481&lt;=10,$A2481-$G2481&lt;=5),$D2481*$E2481/$C2481-1,NA()),NA())</ns0:f>
        <ns0:v/>
      </ns0:c>
      <ns0:c r="C2481">
        <ns0:f>IFERROR(IF(ISNUMBER($A2481),IF(AND(AH!$P$10=1,AH!$P$12=1,$A2481=TODAY()),AH!$P$19,IF(AH!$P$10=1,INDEX('Live History'!$B$5:$B$3004,AH!$P$13+2476),INDEX('AH History'!$B$1:$B$18046,AH!$P$7+2476))),NA()),NA())</ns0:f>
        <ns0:v/>
      </ns0:c>
      <ns0:c r="D2481">
        <ns0:f>IFERROR(IF(ISNUMBER($A2481),IF(AND(AH!$P$10=1,AH!$P$12=1,$A2481=TODAY()),AH!$P$18,IF(AH!$P$10=1,INDEX('Live History'!$E$5:$E$3004,MATCH($A2481,'Live History'!$D$5:$D$3004,1)),INDEX('AH History'!$C$1:$C$18046,AH!$P$7+2476))),NA()),NA())</ns0:f>
        <ns0:v/>
      </ns0:c>
      <ns0:c r="E2481">
        <ns0:f>IFERROR(IF(ISNUMBER($A2481),IF(AND(AH!$P$10=1,AH!$P$12=1,$A2481=TODAY()),AH!$P$20,IF(AH!$P$10=1,INDEX('Live History'!$H$5:$H$3004,MATCH($A2481,'Live History'!$G$5:$G$3004,1)),INDEX('AH History'!$D$1:$D$18046,AH!$P$7+2476))),NA()),NA())</ns0:f>
        <ns0:v/>
      </ns0:c>
      <ns0:c r="F2481">
        <ns0:f>IFERROR(IF(ISNUMBER($A2481),IF(AND(AH!$P$10=1,AH!$P$12=1,$A2481=TODAY()),IF(AND(AH!$P$10=1,AH!$P$12=1,$A2481=TODAY()),TODAY(),NA()),IF(AH!$P$10=1,INDEX('Live History'!$D$5:$D$3004,MATCH($A2481,'Live History'!$D$5:$D$3004,1)),INDEX('AH History'!$E$1:$E$18046,AH!$P$7+2476))),NA()),NA())</ns0:f>
        <ns0:v/>
      </ns0:c>
      <ns0:c r="G2481">
        <ns0:f>IFERROR(IF(ISNUMBER($A2481),IF(AND(AH!$P$10=1,AH!$P$12=1,$A2481=TODAY()),IF(AND(AH!$P$10=1,AH!$P$12=1,$A2481=TODAY()),TODAY(),NA()),IF(AH!$P$10=1,INDEX('Live History'!$G$5:$G$3004,MATCH($A2481,'Live History'!$G$5:$G$3004,1)),INDEX('AH History'!$F$1:$F$18046,AH!$P$7+2476))),NA()),NA())</ns0:f>
        <ns0:v/>
      </ns0:c>
      <ns0:c r="H2481">
        <ns0:f>IFERROR(IF(AND(AH!$E$4="Bloomberg",AH!$P$10=1,ISNUMBER($A2481),$A2481&lt;=AH!$P$17),AH!$P$7-1+MATCH($A2481,INDEX('AH History'!$A$1:$A$18046,AH!$P$7):INDEX('AH History'!$A$1:$A$18046,AH!$P$7+AH!$P$8-1),0),0),0)</ns0:f>
        <ns0:v/>
      </ns0:c>
      <ns0:c r="I2481">
        <ns0:f>IF($H2481=0,0,IFERROR(IF(AND(ABS($C2481-INDEX('AH History'!$B$1:$B$18046,$H2481))&lt;=MAX(0.005,ABS(INDEX('AH History'!$B$1:$B$18046,$H2481))*0.00005),ABS($D2481-INDEX('AH History'!$C$1:$C$18046,$H2481))&lt;=MAX(0.005,ABS(INDEX('AH History'!$C$1:$C$18046,$H2481))*0.00005),ABS($E2481-INDEX('AH History'!$D$1:$D$18046,$H2481))&lt;=0.00005,$F2481=INDEX('AH History'!$E$1:$E$18046,$H2481),$G2481=INDEX('AH History'!$F$1:$F$18046,$H2481)),1,-1),-1))</ns0:f>
        <ns0:v/>
      </ns0:c>
    </ns0:row>
    <ns0:row r="2482">
      <ns0:c r="A2482" s="215">
        <ns0:f>IF(OR(AH!$P$3=0,2477+1&gt;AH!$P$11,AND(AH!$E$4&lt;&gt;"Stored",AH!$P$10&lt;&gt;1)),"",IFERROR(IF(AND(AH!$P$21=1,2477+1=AH!$P$11),TODAY(),IF(AH!$P$10=1,INDEX('Live History'!$A$5:$A$3004,AH!$P$13+2477),INDEX('AH History'!$A$1:$A$18046,AH!$P$7+2477))),""))</ns0:f>
        <ns0:v/>
      </ns0:c>
      <ns0:c r="B2482" s="219">
        <ns0:f>IFERROR(IF(AND(AH!$P$9&lt;&gt;1,$C2482&gt;0,$D2482&gt;0,$E2482&gt;0,$F2482&gt;0,$G2482&gt;0,$F2482&lt;=$A2482,$G2482&lt;=$A2482,$A2482-$F2482&lt;=10,$A2482-$G2482&lt;=5),$D2482*$E2482/$C2482-1,NA()),NA())</ns0:f>
        <ns0:v/>
      </ns0:c>
      <ns0:c r="C2482">
        <ns0:f>IFERROR(IF(ISNUMBER($A2482),IF(AND(AH!$P$10=1,AH!$P$12=1,$A2482=TODAY()),AH!$P$19,IF(AH!$P$10=1,INDEX('Live History'!$B$5:$B$3004,AH!$P$13+2477),INDEX('AH History'!$B$1:$B$18046,AH!$P$7+2477))),NA()),NA())</ns0:f>
        <ns0:v/>
      </ns0:c>
      <ns0:c r="D2482">
        <ns0:f>IFERROR(IF(ISNUMBER($A2482),IF(AND(AH!$P$10=1,AH!$P$12=1,$A2482=TODAY()),AH!$P$18,IF(AH!$P$10=1,INDEX('Live History'!$E$5:$E$3004,MATCH($A2482,'Live History'!$D$5:$D$3004,1)),INDEX('AH History'!$C$1:$C$18046,AH!$P$7+2477))),NA()),NA())</ns0:f>
        <ns0:v/>
      </ns0:c>
      <ns0:c r="E2482">
        <ns0:f>IFERROR(IF(ISNUMBER($A2482),IF(AND(AH!$P$10=1,AH!$P$12=1,$A2482=TODAY()),AH!$P$20,IF(AH!$P$10=1,INDEX('Live History'!$H$5:$H$3004,MATCH($A2482,'Live History'!$G$5:$G$3004,1)),INDEX('AH History'!$D$1:$D$18046,AH!$P$7+2477))),NA()),NA())</ns0:f>
        <ns0:v/>
      </ns0:c>
      <ns0:c r="F2482">
        <ns0:f>IFERROR(IF(ISNUMBER($A2482),IF(AND(AH!$P$10=1,AH!$P$12=1,$A2482=TODAY()),IF(AND(AH!$P$10=1,AH!$P$12=1,$A2482=TODAY()),TODAY(),NA()),IF(AH!$P$10=1,INDEX('Live History'!$D$5:$D$3004,MATCH($A2482,'Live History'!$D$5:$D$3004,1)),INDEX('AH History'!$E$1:$E$18046,AH!$P$7+2477))),NA()),NA())</ns0:f>
        <ns0:v/>
      </ns0:c>
      <ns0:c r="G2482">
        <ns0:f>IFERROR(IF(ISNUMBER($A2482),IF(AND(AH!$P$10=1,AH!$P$12=1,$A2482=TODAY()),IF(AND(AH!$P$10=1,AH!$P$12=1,$A2482=TODAY()),TODAY(),NA()),IF(AH!$P$10=1,INDEX('Live History'!$G$5:$G$3004,MATCH($A2482,'Live History'!$G$5:$G$3004,1)),INDEX('AH History'!$F$1:$F$18046,AH!$P$7+2477))),NA()),NA())</ns0:f>
        <ns0:v/>
      </ns0:c>
      <ns0:c r="H2482">
        <ns0:f>IFERROR(IF(AND(AH!$E$4="Bloomberg",AH!$P$10=1,ISNUMBER($A2482),$A2482&lt;=AH!$P$17),AH!$P$7-1+MATCH($A2482,INDEX('AH History'!$A$1:$A$18046,AH!$P$7):INDEX('AH History'!$A$1:$A$18046,AH!$P$7+AH!$P$8-1),0),0),0)</ns0:f>
        <ns0:v/>
      </ns0:c>
      <ns0:c r="I2482">
        <ns0:f>IF($H2482=0,0,IFERROR(IF(AND(ABS($C2482-INDEX('AH History'!$B$1:$B$18046,$H2482))&lt;=MAX(0.005,ABS(INDEX('AH History'!$B$1:$B$18046,$H2482))*0.00005),ABS($D2482-INDEX('AH History'!$C$1:$C$18046,$H2482))&lt;=MAX(0.005,ABS(INDEX('AH History'!$C$1:$C$18046,$H2482))*0.00005),ABS($E2482-INDEX('AH History'!$D$1:$D$18046,$H2482))&lt;=0.00005,$F2482=INDEX('AH History'!$E$1:$E$18046,$H2482),$G2482=INDEX('AH History'!$F$1:$F$18046,$H2482)),1,-1),-1))</ns0:f>
        <ns0:v/>
      </ns0:c>
    </ns0:row>
    <ns0:row r="2483">
      <ns0:c r="A2483" s="215">
        <ns0:f>IF(OR(AH!$P$3=0,2478+1&gt;AH!$P$11,AND(AH!$E$4&lt;&gt;"Stored",AH!$P$10&lt;&gt;1)),"",IFERROR(IF(AND(AH!$P$21=1,2478+1=AH!$P$11),TODAY(),IF(AH!$P$10=1,INDEX('Live History'!$A$5:$A$3004,AH!$P$13+2478),INDEX('AH History'!$A$1:$A$18046,AH!$P$7+2478))),""))</ns0:f>
        <ns0:v/>
      </ns0:c>
      <ns0:c r="B2483" s="219">
        <ns0:f>IFERROR(IF(AND(AH!$P$9&lt;&gt;1,$C2483&gt;0,$D2483&gt;0,$E2483&gt;0,$F2483&gt;0,$G2483&gt;0,$F2483&lt;=$A2483,$G2483&lt;=$A2483,$A2483-$F2483&lt;=10,$A2483-$G2483&lt;=5),$D2483*$E2483/$C2483-1,NA()),NA())</ns0:f>
        <ns0:v/>
      </ns0:c>
      <ns0:c r="C2483">
        <ns0:f>IFERROR(IF(ISNUMBER($A2483),IF(AND(AH!$P$10=1,AH!$P$12=1,$A2483=TODAY()),AH!$P$19,IF(AH!$P$10=1,INDEX('Live History'!$B$5:$B$3004,AH!$P$13+2478),INDEX('AH History'!$B$1:$B$18046,AH!$P$7+2478))),NA()),NA())</ns0:f>
        <ns0:v/>
      </ns0:c>
      <ns0:c r="D2483">
        <ns0:f>IFERROR(IF(ISNUMBER($A2483),IF(AND(AH!$P$10=1,AH!$P$12=1,$A2483=TODAY()),AH!$P$18,IF(AH!$P$10=1,INDEX('Live History'!$E$5:$E$3004,MATCH($A2483,'Live History'!$D$5:$D$3004,1)),INDEX('AH History'!$C$1:$C$18046,AH!$P$7+2478))),NA()),NA())</ns0:f>
        <ns0:v/>
      </ns0:c>
      <ns0:c r="E2483">
        <ns0:f>IFERROR(IF(ISNUMBER($A2483),IF(AND(AH!$P$10=1,AH!$P$12=1,$A2483=TODAY()),AH!$P$20,IF(AH!$P$10=1,INDEX('Live History'!$H$5:$H$3004,MATCH($A2483,'Live History'!$G$5:$G$3004,1)),INDEX('AH History'!$D$1:$D$18046,AH!$P$7+2478))),NA()),NA())</ns0:f>
        <ns0:v/>
      </ns0:c>
      <ns0:c r="F2483">
        <ns0:f>IFERROR(IF(ISNUMBER($A2483),IF(AND(AH!$P$10=1,AH!$P$12=1,$A2483=TODAY()),IF(AND(AH!$P$10=1,AH!$P$12=1,$A2483=TODAY()),TODAY(),NA()),IF(AH!$P$10=1,INDEX('Live History'!$D$5:$D$3004,MATCH($A2483,'Live History'!$D$5:$D$3004,1)),INDEX('AH History'!$E$1:$E$18046,AH!$P$7+2478))),NA()),NA())</ns0:f>
        <ns0:v/>
      </ns0:c>
      <ns0:c r="G2483">
        <ns0:f>IFERROR(IF(ISNUMBER($A2483),IF(AND(AH!$P$10=1,AH!$P$12=1,$A2483=TODAY()),IF(AND(AH!$P$10=1,AH!$P$12=1,$A2483=TODAY()),TODAY(),NA()),IF(AH!$P$10=1,INDEX('Live History'!$G$5:$G$3004,MATCH($A2483,'Live History'!$G$5:$G$3004,1)),INDEX('AH History'!$F$1:$F$18046,AH!$P$7+2478))),NA()),NA())</ns0:f>
        <ns0:v/>
      </ns0:c>
      <ns0:c r="H2483">
        <ns0:f>IFERROR(IF(AND(AH!$E$4="Bloomberg",AH!$P$10=1,ISNUMBER($A2483),$A2483&lt;=AH!$P$17),AH!$P$7-1+MATCH($A2483,INDEX('AH History'!$A$1:$A$18046,AH!$P$7):INDEX('AH History'!$A$1:$A$18046,AH!$P$7+AH!$P$8-1),0),0),0)</ns0:f>
        <ns0:v/>
      </ns0:c>
      <ns0:c r="I2483">
        <ns0:f>IF($H2483=0,0,IFERROR(IF(AND(ABS($C2483-INDEX('AH History'!$B$1:$B$18046,$H2483))&lt;=MAX(0.005,ABS(INDEX('AH History'!$B$1:$B$18046,$H2483))*0.00005),ABS($D2483-INDEX('AH History'!$C$1:$C$18046,$H2483))&lt;=MAX(0.005,ABS(INDEX('AH History'!$C$1:$C$18046,$H2483))*0.00005),ABS($E2483-INDEX('AH History'!$D$1:$D$18046,$H2483))&lt;=0.00005,$F2483=INDEX('AH History'!$E$1:$E$18046,$H2483),$G2483=INDEX('AH History'!$F$1:$F$18046,$H2483)),1,-1),-1))</ns0:f>
        <ns0:v/>
      </ns0:c>
    </ns0:row>
    <ns0:row r="2484">
      <ns0:c r="A2484" s="215">
        <ns0:f>IF(OR(AH!$P$3=0,2479+1&gt;AH!$P$11,AND(AH!$E$4&lt;&gt;"Stored",AH!$P$10&lt;&gt;1)),"",IFERROR(IF(AND(AH!$P$21=1,2479+1=AH!$P$11),TODAY(),IF(AH!$P$10=1,INDEX('Live History'!$A$5:$A$3004,AH!$P$13+2479),INDEX('AH History'!$A$1:$A$18046,AH!$P$7+2479))),""))</ns0:f>
        <ns0:v/>
      </ns0:c>
      <ns0:c r="B2484" s="219">
        <ns0:f>IFERROR(IF(AND(AH!$P$9&lt;&gt;1,$C2484&gt;0,$D2484&gt;0,$E2484&gt;0,$F2484&gt;0,$G2484&gt;0,$F2484&lt;=$A2484,$G2484&lt;=$A2484,$A2484-$F2484&lt;=10,$A2484-$G2484&lt;=5),$D2484*$E2484/$C2484-1,NA()),NA())</ns0:f>
        <ns0:v/>
      </ns0:c>
      <ns0:c r="C2484">
        <ns0:f>IFERROR(IF(ISNUMBER($A2484),IF(AND(AH!$P$10=1,AH!$P$12=1,$A2484=TODAY()),AH!$P$19,IF(AH!$P$10=1,INDEX('Live History'!$B$5:$B$3004,AH!$P$13+2479),INDEX('AH History'!$B$1:$B$18046,AH!$P$7+2479))),NA()),NA())</ns0:f>
        <ns0:v/>
      </ns0:c>
      <ns0:c r="D2484">
        <ns0:f>IFERROR(IF(ISNUMBER($A2484),IF(AND(AH!$P$10=1,AH!$P$12=1,$A2484=TODAY()),AH!$P$18,IF(AH!$P$10=1,INDEX('Live History'!$E$5:$E$3004,MATCH($A2484,'Live History'!$D$5:$D$3004,1)),INDEX('AH History'!$C$1:$C$18046,AH!$P$7+2479))),NA()),NA())</ns0:f>
        <ns0:v/>
      </ns0:c>
      <ns0:c r="E2484">
        <ns0:f>IFERROR(IF(ISNUMBER($A2484),IF(AND(AH!$P$10=1,AH!$P$12=1,$A2484=TODAY()),AH!$P$20,IF(AH!$P$10=1,INDEX('Live History'!$H$5:$H$3004,MATCH($A2484,'Live History'!$G$5:$G$3004,1)),INDEX('AH History'!$D$1:$D$18046,AH!$P$7+2479))),NA()),NA())</ns0:f>
        <ns0:v/>
      </ns0:c>
      <ns0:c r="F2484">
        <ns0:f>IFERROR(IF(ISNUMBER($A2484),IF(AND(AH!$P$10=1,AH!$P$12=1,$A2484=TODAY()),IF(AND(AH!$P$10=1,AH!$P$12=1,$A2484=TODAY()),TODAY(),NA()),IF(AH!$P$10=1,INDEX('Live History'!$D$5:$D$3004,MATCH($A2484,'Live History'!$D$5:$D$3004,1)),INDEX('AH History'!$E$1:$E$18046,AH!$P$7+2479))),NA()),NA())</ns0:f>
        <ns0:v/>
      </ns0:c>
      <ns0:c r="G2484">
        <ns0:f>IFERROR(IF(ISNUMBER($A2484),IF(AND(AH!$P$10=1,AH!$P$12=1,$A2484=TODAY()),IF(AND(AH!$P$10=1,AH!$P$12=1,$A2484=TODAY()),TODAY(),NA()),IF(AH!$P$10=1,INDEX('Live History'!$G$5:$G$3004,MATCH($A2484,'Live History'!$G$5:$G$3004,1)),INDEX('AH History'!$F$1:$F$18046,AH!$P$7+2479))),NA()),NA())</ns0:f>
        <ns0:v/>
      </ns0:c>
      <ns0:c r="H2484">
        <ns0:f>IFERROR(IF(AND(AH!$E$4="Bloomberg",AH!$P$10=1,ISNUMBER($A2484),$A2484&lt;=AH!$P$17),AH!$P$7-1+MATCH($A2484,INDEX('AH History'!$A$1:$A$18046,AH!$P$7):INDEX('AH History'!$A$1:$A$18046,AH!$P$7+AH!$P$8-1),0),0),0)</ns0:f>
        <ns0:v/>
      </ns0:c>
      <ns0:c r="I2484">
        <ns0:f>IF($H2484=0,0,IFERROR(IF(AND(ABS($C2484-INDEX('AH History'!$B$1:$B$18046,$H2484))&lt;=MAX(0.005,ABS(INDEX('AH History'!$B$1:$B$18046,$H2484))*0.00005),ABS($D2484-INDEX('AH History'!$C$1:$C$18046,$H2484))&lt;=MAX(0.005,ABS(INDEX('AH History'!$C$1:$C$18046,$H2484))*0.00005),ABS($E2484-INDEX('AH History'!$D$1:$D$18046,$H2484))&lt;=0.00005,$F2484=INDEX('AH History'!$E$1:$E$18046,$H2484),$G2484=INDEX('AH History'!$F$1:$F$18046,$H2484)),1,-1),-1))</ns0:f>
        <ns0:v/>
      </ns0:c>
    </ns0:row>
    <ns0:row r="2485">
      <ns0:c r="A2485" s="215">
        <ns0:f>IF(OR(AH!$P$3=0,2480+1&gt;AH!$P$11,AND(AH!$E$4&lt;&gt;"Stored",AH!$P$10&lt;&gt;1)),"",IFERROR(IF(AND(AH!$P$21=1,2480+1=AH!$P$11),TODAY(),IF(AH!$P$10=1,INDEX('Live History'!$A$5:$A$3004,AH!$P$13+2480),INDEX('AH History'!$A$1:$A$18046,AH!$P$7+2480))),""))</ns0:f>
        <ns0:v/>
      </ns0:c>
      <ns0:c r="B2485" s="219">
        <ns0:f>IFERROR(IF(AND(AH!$P$9&lt;&gt;1,$C2485&gt;0,$D2485&gt;0,$E2485&gt;0,$F2485&gt;0,$G2485&gt;0,$F2485&lt;=$A2485,$G2485&lt;=$A2485,$A2485-$F2485&lt;=10,$A2485-$G2485&lt;=5),$D2485*$E2485/$C2485-1,NA()),NA())</ns0:f>
        <ns0:v/>
      </ns0:c>
      <ns0:c r="C2485">
        <ns0:f>IFERROR(IF(ISNUMBER($A2485),IF(AND(AH!$P$10=1,AH!$P$12=1,$A2485=TODAY()),AH!$P$19,IF(AH!$P$10=1,INDEX('Live History'!$B$5:$B$3004,AH!$P$13+2480),INDEX('AH History'!$B$1:$B$18046,AH!$P$7+2480))),NA()),NA())</ns0:f>
        <ns0:v/>
      </ns0:c>
      <ns0:c r="D2485">
        <ns0:f>IFERROR(IF(ISNUMBER($A2485),IF(AND(AH!$P$10=1,AH!$P$12=1,$A2485=TODAY()),AH!$P$18,IF(AH!$P$10=1,INDEX('Live History'!$E$5:$E$3004,MATCH($A2485,'Live History'!$D$5:$D$3004,1)),INDEX('AH History'!$C$1:$C$18046,AH!$P$7+2480))),NA()),NA())</ns0:f>
        <ns0:v/>
      </ns0:c>
      <ns0:c r="E2485">
        <ns0:f>IFERROR(IF(ISNUMBER($A2485),IF(AND(AH!$P$10=1,AH!$P$12=1,$A2485=TODAY()),AH!$P$20,IF(AH!$P$10=1,INDEX('Live History'!$H$5:$H$3004,MATCH($A2485,'Live History'!$G$5:$G$3004,1)),INDEX('AH History'!$D$1:$D$18046,AH!$P$7+2480))),NA()),NA())</ns0:f>
        <ns0:v/>
      </ns0:c>
      <ns0:c r="F2485">
        <ns0:f>IFERROR(IF(ISNUMBER($A2485),IF(AND(AH!$P$10=1,AH!$P$12=1,$A2485=TODAY()),IF(AND(AH!$P$10=1,AH!$P$12=1,$A2485=TODAY()),TODAY(),NA()),IF(AH!$P$10=1,INDEX('Live History'!$D$5:$D$3004,MATCH($A2485,'Live History'!$D$5:$D$3004,1)),INDEX('AH History'!$E$1:$E$18046,AH!$P$7+2480))),NA()),NA())</ns0:f>
        <ns0:v/>
      </ns0:c>
      <ns0:c r="G2485">
        <ns0:f>IFERROR(IF(ISNUMBER($A2485),IF(AND(AH!$P$10=1,AH!$P$12=1,$A2485=TODAY()),IF(AND(AH!$P$10=1,AH!$P$12=1,$A2485=TODAY()),TODAY(),NA()),IF(AH!$P$10=1,INDEX('Live History'!$G$5:$G$3004,MATCH($A2485,'Live History'!$G$5:$G$3004,1)),INDEX('AH History'!$F$1:$F$18046,AH!$P$7+2480))),NA()),NA())</ns0:f>
        <ns0:v/>
      </ns0:c>
      <ns0:c r="H2485">
        <ns0:f>IFERROR(IF(AND(AH!$E$4="Bloomberg",AH!$P$10=1,ISNUMBER($A2485),$A2485&lt;=AH!$P$17),AH!$P$7-1+MATCH($A2485,INDEX('AH History'!$A$1:$A$18046,AH!$P$7):INDEX('AH History'!$A$1:$A$18046,AH!$P$7+AH!$P$8-1),0),0),0)</ns0:f>
        <ns0:v/>
      </ns0:c>
      <ns0:c r="I2485">
        <ns0:f>IF($H2485=0,0,IFERROR(IF(AND(ABS($C2485-INDEX('AH History'!$B$1:$B$18046,$H2485))&lt;=MAX(0.005,ABS(INDEX('AH History'!$B$1:$B$18046,$H2485))*0.00005),ABS($D2485-INDEX('AH History'!$C$1:$C$18046,$H2485))&lt;=MAX(0.005,ABS(INDEX('AH History'!$C$1:$C$18046,$H2485))*0.00005),ABS($E2485-INDEX('AH History'!$D$1:$D$18046,$H2485))&lt;=0.00005,$F2485=INDEX('AH History'!$E$1:$E$18046,$H2485),$G2485=INDEX('AH History'!$F$1:$F$18046,$H2485)),1,-1),-1))</ns0:f>
        <ns0:v/>
      </ns0:c>
    </ns0:row>
    <ns0:row r="2486">
      <ns0:c r="A2486" s="215">
        <ns0:f>IF(OR(AH!$P$3=0,2481+1&gt;AH!$P$11,AND(AH!$E$4&lt;&gt;"Stored",AH!$P$10&lt;&gt;1)),"",IFERROR(IF(AND(AH!$P$21=1,2481+1=AH!$P$11),TODAY(),IF(AH!$P$10=1,INDEX('Live History'!$A$5:$A$3004,AH!$P$13+2481),INDEX('AH History'!$A$1:$A$18046,AH!$P$7+2481))),""))</ns0:f>
        <ns0:v/>
      </ns0:c>
      <ns0:c r="B2486" s="219">
        <ns0:f>IFERROR(IF(AND(AH!$P$9&lt;&gt;1,$C2486&gt;0,$D2486&gt;0,$E2486&gt;0,$F2486&gt;0,$G2486&gt;0,$F2486&lt;=$A2486,$G2486&lt;=$A2486,$A2486-$F2486&lt;=10,$A2486-$G2486&lt;=5),$D2486*$E2486/$C2486-1,NA()),NA())</ns0:f>
        <ns0:v/>
      </ns0:c>
      <ns0:c r="C2486">
        <ns0:f>IFERROR(IF(ISNUMBER($A2486),IF(AND(AH!$P$10=1,AH!$P$12=1,$A2486=TODAY()),AH!$P$19,IF(AH!$P$10=1,INDEX('Live History'!$B$5:$B$3004,AH!$P$13+2481),INDEX('AH History'!$B$1:$B$18046,AH!$P$7+2481))),NA()),NA())</ns0:f>
        <ns0:v/>
      </ns0:c>
      <ns0:c r="D2486">
        <ns0:f>IFERROR(IF(ISNUMBER($A2486),IF(AND(AH!$P$10=1,AH!$P$12=1,$A2486=TODAY()),AH!$P$18,IF(AH!$P$10=1,INDEX('Live History'!$E$5:$E$3004,MATCH($A2486,'Live History'!$D$5:$D$3004,1)),INDEX('AH History'!$C$1:$C$18046,AH!$P$7+2481))),NA()),NA())</ns0:f>
        <ns0:v/>
      </ns0:c>
      <ns0:c r="E2486">
        <ns0:f>IFERROR(IF(ISNUMBER($A2486),IF(AND(AH!$P$10=1,AH!$P$12=1,$A2486=TODAY()),AH!$P$20,IF(AH!$P$10=1,INDEX('Live History'!$H$5:$H$3004,MATCH($A2486,'Live History'!$G$5:$G$3004,1)),INDEX('AH History'!$D$1:$D$18046,AH!$P$7+2481))),NA()),NA())</ns0:f>
        <ns0:v/>
      </ns0:c>
      <ns0:c r="F2486">
        <ns0:f>IFERROR(IF(ISNUMBER($A2486),IF(AND(AH!$P$10=1,AH!$P$12=1,$A2486=TODAY()),IF(AND(AH!$P$10=1,AH!$P$12=1,$A2486=TODAY()),TODAY(),NA()),IF(AH!$P$10=1,INDEX('Live History'!$D$5:$D$3004,MATCH($A2486,'Live History'!$D$5:$D$3004,1)),INDEX('AH History'!$E$1:$E$18046,AH!$P$7+2481))),NA()),NA())</ns0:f>
        <ns0:v/>
      </ns0:c>
      <ns0:c r="G2486">
        <ns0:f>IFERROR(IF(ISNUMBER($A2486),IF(AND(AH!$P$10=1,AH!$P$12=1,$A2486=TODAY()),IF(AND(AH!$P$10=1,AH!$P$12=1,$A2486=TODAY()),TODAY(),NA()),IF(AH!$P$10=1,INDEX('Live History'!$G$5:$G$3004,MATCH($A2486,'Live History'!$G$5:$G$3004,1)),INDEX('AH History'!$F$1:$F$18046,AH!$P$7+2481))),NA()),NA())</ns0:f>
        <ns0:v/>
      </ns0:c>
      <ns0:c r="H2486">
        <ns0:f>IFERROR(IF(AND(AH!$E$4="Bloomberg",AH!$P$10=1,ISNUMBER($A2486),$A2486&lt;=AH!$P$17),AH!$P$7-1+MATCH($A2486,INDEX('AH History'!$A$1:$A$18046,AH!$P$7):INDEX('AH History'!$A$1:$A$18046,AH!$P$7+AH!$P$8-1),0),0),0)</ns0:f>
        <ns0:v/>
      </ns0:c>
      <ns0:c r="I2486">
        <ns0:f>IF($H2486=0,0,IFERROR(IF(AND(ABS($C2486-INDEX('AH History'!$B$1:$B$18046,$H2486))&lt;=MAX(0.005,ABS(INDEX('AH History'!$B$1:$B$18046,$H2486))*0.00005),ABS($D2486-INDEX('AH History'!$C$1:$C$18046,$H2486))&lt;=MAX(0.005,ABS(INDEX('AH History'!$C$1:$C$18046,$H2486))*0.00005),ABS($E2486-INDEX('AH History'!$D$1:$D$18046,$H2486))&lt;=0.00005,$F2486=INDEX('AH History'!$E$1:$E$18046,$H2486),$G2486=INDEX('AH History'!$F$1:$F$18046,$H2486)),1,-1),-1))</ns0:f>
        <ns0:v/>
      </ns0:c>
    </ns0:row>
    <ns0:row r="2487">
      <ns0:c r="A2487" s="215">
        <ns0:f>IF(OR(AH!$P$3=0,2482+1&gt;AH!$P$11,AND(AH!$E$4&lt;&gt;"Stored",AH!$P$10&lt;&gt;1)),"",IFERROR(IF(AND(AH!$P$21=1,2482+1=AH!$P$11),TODAY(),IF(AH!$P$10=1,INDEX('Live History'!$A$5:$A$3004,AH!$P$13+2482),INDEX('AH History'!$A$1:$A$18046,AH!$P$7+2482))),""))</ns0:f>
        <ns0:v/>
      </ns0:c>
      <ns0:c r="B2487" s="219">
        <ns0:f>IFERROR(IF(AND(AH!$P$9&lt;&gt;1,$C2487&gt;0,$D2487&gt;0,$E2487&gt;0,$F2487&gt;0,$G2487&gt;0,$F2487&lt;=$A2487,$G2487&lt;=$A2487,$A2487-$F2487&lt;=10,$A2487-$G2487&lt;=5),$D2487*$E2487/$C2487-1,NA()),NA())</ns0:f>
        <ns0:v/>
      </ns0:c>
      <ns0:c r="C2487">
        <ns0:f>IFERROR(IF(ISNUMBER($A2487),IF(AND(AH!$P$10=1,AH!$P$12=1,$A2487=TODAY()),AH!$P$19,IF(AH!$P$10=1,INDEX('Live History'!$B$5:$B$3004,AH!$P$13+2482),INDEX('AH History'!$B$1:$B$18046,AH!$P$7+2482))),NA()),NA())</ns0:f>
        <ns0:v/>
      </ns0:c>
      <ns0:c r="D2487">
        <ns0:f>IFERROR(IF(ISNUMBER($A2487),IF(AND(AH!$P$10=1,AH!$P$12=1,$A2487=TODAY()),AH!$P$18,IF(AH!$P$10=1,INDEX('Live History'!$E$5:$E$3004,MATCH($A2487,'Live History'!$D$5:$D$3004,1)),INDEX('AH History'!$C$1:$C$18046,AH!$P$7+2482))),NA()),NA())</ns0:f>
        <ns0:v/>
      </ns0:c>
      <ns0:c r="E2487">
        <ns0:f>IFERROR(IF(ISNUMBER($A2487),IF(AND(AH!$P$10=1,AH!$P$12=1,$A2487=TODAY()),AH!$P$20,IF(AH!$P$10=1,INDEX('Live History'!$H$5:$H$3004,MATCH($A2487,'Live History'!$G$5:$G$3004,1)),INDEX('AH History'!$D$1:$D$18046,AH!$P$7+2482))),NA()),NA())</ns0:f>
        <ns0:v/>
      </ns0:c>
      <ns0:c r="F2487">
        <ns0:f>IFERROR(IF(ISNUMBER($A2487),IF(AND(AH!$P$10=1,AH!$P$12=1,$A2487=TODAY()),IF(AND(AH!$P$10=1,AH!$P$12=1,$A2487=TODAY()),TODAY(),NA()),IF(AH!$P$10=1,INDEX('Live History'!$D$5:$D$3004,MATCH($A2487,'Live History'!$D$5:$D$3004,1)),INDEX('AH History'!$E$1:$E$18046,AH!$P$7+2482))),NA()),NA())</ns0:f>
        <ns0:v/>
      </ns0:c>
      <ns0:c r="G2487">
        <ns0:f>IFERROR(IF(ISNUMBER($A2487),IF(AND(AH!$P$10=1,AH!$P$12=1,$A2487=TODAY()),IF(AND(AH!$P$10=1,AH!$P$12=1,$A2487=TODAY()),TODAY(),NA()),IF(AH!$P$10=1,INDEX('Live History'!$G$5:$G$3004,MATCH($A2487,'Live History'!$G$5:$G$3004,1)),INDEX('AH History'!$F$1:$F$18046,AH!$P$7+2482))),NA()),NA())</ns0:f>
        <ns0:v/>
      </ns0:c>
      <ns0:c r="H2487">
        <ns0:f>IFERROR(IF(AND(AH!$E$4="Bloomberg",AH!$P$10=1,ISNUMBER($A2487),$A2487&lt;=AH!$P$17),AH!$P$7-1+MATCH($A2487,INDEX('AH History'!$A$1:$A$18046,AH!$P$7):INDEX('AH History'!$A$1:$A$18046,AH!$P$7+AH!$P$8-1),0),0),0)</ns0:f>
        <ns0:v/>
      </ns0:c>
      <ns0:c r="I2487">
        <ns0:f>IF($H2487=0,0,IFERROR(IF(AND(ABS($C2487-INDEX('AH History'!$B$1:$B$18046,$H2487))&lt;=MAX(0.005,ABS(INDEX('AH History'!$B$1:$B$18046,$H2487))*0.00005),ABS($D2487-INDEX('AH History'!$C$1:$C$18046,$H2487))&lt;=MAX(0.005,ABS(INDEX('AH History'!$C$1:$C$18046,$H2487))*0.00005),ABS($E2487-INDEX('AH History'!$D$1:$D$18046,$H2487))&lt;=0.00005,$F2487=INDEX('AH History'!$E$1:$E$18046,$H2487),$G2487=INDEX('AH History'!$F$1:$F$18046,$H2487)),1,-1),-1))</ns0:f>
        <ns0:v/>
      </ns0:c>
    </ns0:row>
    <ns0:row r="2488">
      <ns0:c r="A2488" s="215">
        <ns0:f>IF(OR(AH!$P$3=0,2483+1&gt;AH!$P$11,AND(AH!$E$4&lt;&gt;"Stored",AH!$P$10&lt;&gt;1)),"",IFERROR(IF(AND(AH!$P$21=1,2483+1=AH!$P$11),TODAY(),IF(AH!$P$10=1,INDEX('Live History'!$A$5:$A$3004,AH!$P$13+2483),INDEX('AH History'!$A$1:$A$18046,AH!$P$7+2483))),""))</ns0:f>
        <ns0:v/>
      </ns0:c>
      <ns0:c r="B2488" s="219">
        <ns0:f>IFERROR(IF(AND(AH!$P$9&lt;&gt;1,$C2488&gt;0,$D2488&gt;0,$E2488&gt;0,$F2488&gt;0,$G2488&gt;0,$F2488&lt;=$A2488,$G2488&lt;=$A2488,$A2488-$F2488&lt;=10,$A2488-$G2488&lt;=5),$D2488*$E2488/$C2488-1,NA()),NA())</ns0:f>
        <ns0:v/>
      </ns0:c>
      <ns0:c r="C2488">
        <ns0:f>IFERROR(IF(ISNUMBER($A2488),IF(AND(AH!$P$10=1,AH!$P$12=1,$A2488=TODAY()),AH!$P$19,IF(AH!$P$10=1,INDEX('Live History'!$B$5:$B$3004,AH!$P$13+2483),INDEX('AH History'!$B$1:$B$18046,AH!$P$7+2483))),NA()),NA())</ns0:f>
        <ns0:v/>
      </ns0:c>
      <ns0:c r="D2488">
        <ns0:f>IFERROR(IF(ISNUMBER($A2488),IF(AND(AH!$P$10=1,AH!$P$12=1,$A2488=TODAY()),AH!$P$18,IF(AH!$P$10=1,INDEX('Live History'!$E$5:$E$3004,MATCH($A2488,'Live History'!$D$5:$D$3004,1)),INDEX('AH History'!$C$1:$C$18046,AH!$P$7+2483))),NA()),NA())</ns0:f>
        <ns0:v/>
      </ns0:c>
      <ns0:c r="E2488">
        <ns0:f>IFERROR(IF(ISNUMBER($A2488),IF(AND(AH!$P$10=1,AH!$P$12=1,$A2488=TODAY()),AH!$P$20,IF(AH!$P$10=1,INDEX('Live History'!$H$5:$H$3004,MATCH($A2488,'Live History'!$G$5:$G$3004,1)),INDEX('AH History'!$D$1:$D$18046,AH!$P$7+2483))),NA()),NA())</ns0:f>
        <ns0:v/>
      </ns0:c>
      <ns0:c r="F2488">
        <ns0:f>IFERROR(IF(ISNUMBER($A2488),IF(AND(AH!$P$10=1,AH!$P$12=1,$A2488=TODAY()),IF(AND(AH!$P$10=1,AH!$P$12=1,$A2488=TODAY()),TODAY(),NA()),IF(AH!$P$10=1,INDEX('Live History'!$D$5:$D$3004,MATCH($A2488,'Live History'!$D$5:$D$3004,1)),INDEX('AH History'!$E$1:$E$18046,AH!$P$7+2483))),NA()),NA())</ns0:f>
        <ns0:v/>
      </ns0:c>
      <ns0:c r="G2488">
        <ns0:f>IFERROR(IF(ISNUMBER($A2488),IF(AND(AH!$P$10=1,AH!$P$12=1,$A2488=TODAY()),IF(AND(AH!$P$10=1,AH!$P$12=1,$A2488=TODAY()),TODAY(),NA()),IF(AH!$P$10=1,INDEX('Live History'!$G$5:$G$3004,MATCH($A2488,'Live History'!$G$5:$G$3004,1)),INDEX('AH History'!$F$1:$F$18046,AH!$P$7+2483))),NA()),NA())</ns0:f>
        <ns0:v/>
      </ns0:c>
      <ns0:c r="H2488">
        <ns0:f>IFERROR(IF(AND(AH!$E$4="Bloomberg",AH!$P$10=1,ISNUMBER($A2488),$A2488&lt;=AH!$P$17),AH!$P$7-1+MATCH($A2488,INDEX('AH History'!$A$1:$A$18046,AH!$P$7):INDEX('AH History'!$A$1:$A$18046,AH!$P$7+AH!$P$8-1),0),0),0)</ns0:f>
        <ns0:v/>
      </ns0:c>
      <ns0:c r="I2488">
        <ns0:f>IF($H2488=0,0,IFERROR(IF(AND(ABS($C2488-INDEX('AH History'!$B$1:$B$18046,$H2488))&lt;=MAX(0.005,ABS(INDEX('AH History'!$B$1:$B$18046,$H2488))*0.00005),ABS($D2488-INDEX('AH History'!$C$1:$C$18046,$H2488))&lt;=MAX(0.005,ABS(INDEX('AH History'!$C$1:$C$18046,$H2488))*0.00005),ABS($E2488-INDEX('AH History'!$D$1:$D$18046,$H2488))&lt;=0.00005,$F2488=INDEX('AH History'!$E$1:$E$18046,$H2488),$G2488=INDEX('AH History'!$F$1:$F$18046,$H2488)),1,-1),-1))</ns0:f>
        <ns0:v/>
      </ns0:c>
    </ns0:row>
    <ns0:row r="2489">
      <ns0:c r="A2489" s="215">
        <ns0:f>IF(OR(AH!$P$3=0,2484+1&gt;AH!$P$11,AND(AH!$E$4&lt;&gt;"Stored",AH!$P$10&lt;&gt;1)),"",IFERROR(IF(AND(AH!$P$21=1,2484+1=AH!$P$11),TODAY(),IF(AH!$P$10=1,INDEX('Live History'!$A$5:$A$3004,AH!$P$13+2484),INDEX('AH History'!$A$1:$A$18046,AH!$P$7+2484))),""))</ns0:f>
        <ns0:v/>
      </ns0:c>
      <ns0:c r="B2489" s="219">
        <ns0:f>IFERROR(IF(AND(AH!$P$9&lt;&gt;1,$C2489&gt;0,$D2489&gt;0,$E2489&gt;0,$F2489&gt;0,$G2489&gt;0,$F2489&lt;=$A2489,$G2489&lt;=$A2489,$A2489-$F2489&lt;=10,$A2489-$G2489&lt;=5),$D2489*$E2489/$C2489-1,NA()),NA())</ns0:f>
        <ns0:v/>
      </ns0:c>
      <ns0:c r="C2489">
        <ns0:f>IFERROR(IF(ISNUMBER($A2489),IF(AND(AH!$P$10=1,AH!$P$12=1,$A2489=TODAY()),AH!$P$19,IF(AH!$P$10=1,INDEX('Live History'!$B$5:$B$3004,AH!$P$13+2484),INDEX('AH History'!$B$1:$B$18046,AH!$P$7+2484))),NA()),NA())</ns0:f>
        <ns0:v/>
      </ns0:c>
      <ns0:c r="D2489">
        <ns0:f>IFERROR(IF(ISNUMBER($A2489),IF(AND(AH!$P$10=1,AH!$P$12=1,$A2489=TODAY()),AH!$P$18,IF(AH!$P$10=1,INDEX('Live History'!$E$5:$E$3004,MATCH($A2489,'Live History'!$D$5:$D$3004,1)),INDEX('AH History'!$C$1:$C$18046,AH!$P$7+2484))),NA()),NA())</ns0:f>
        <ns0:v/>
      </ns0:c>
      <ns0:c r="E2489">
        <ns0:f>IFERROR(IF(ISNUMBER($A2489),IF(AND(AH!$P$10=1,AH!$P$12=1,$A2489=TODAY()),AH!$P$20,IF(AH!$P$10=1,INDEX('Live History'!$H$5:$H$3004,MATCH($A2489,'Live History'!$G$5:$G$3004,1)),INDEX('AH History'!$D$1:$D$18046,AH!$P$7+2484))),NA()),NA())</ns0:f>
        <ns0:v/>
      </ns0:c>
      <ns0:c r="F2489">
        <ns0:f>IFERROR(IF(ISNUMBER($A2489),IF(AND(AH!$P$10=1,AH!$P$12=1,$A2489=TODAY()),IF(AND(AH!$P$10=1,AH!$P$12=1,$A2489=TODAY()),TODAY(),NA()),IF(AH!$P$10=1,INDEX('Live History'!$D$5:$D$3004,MATCH($A2489,'Live History'!$D$5:$D$3004,1)),INDEX('AH History'!$E$1:$E$18046,AH!$P$7+2484))),NA()),NA())</ns0:f>
        <ns0:v/>
      </ns0:c>
      <ns0:c r="G2489">
        <ns0:f>IFERROR(IF(ISNUMBER($A2489),IF(AND(AH!$P$10=1,AH!$P$12=1,$A2489=TODAY()),IF(AND(AH!$P$10=1,AH!$P$12=1,$A2489=TODAY()),TODAY(),NA()),IF(AH!$P$10=1,INDEX('Live History'!$G$5:$G$3004,MATCH($A2489,'Live History'!$G$5:$G$3004,1)),INDEX('AH History'!$F$1:$F$18046,AH!$P$7+2484))),NA()),NA())</ns0:f>
        <ns0:v/>
      </ns0:c>
      <ns0:c r="H2489">
        <ns0:f>IFERROR(IF(AND(AH!$E$4="Bloomberg",AH!$P$10=1,ISNUMBER($A2489),$A2489&lt;=AH!$P$17),AH!$P$7-1+MATCH($A2489,INDEX('AH History'!$A$1:$A$18046,AH!$P$7):INDEX('AH History'!$A$1:$A$18046,AH!$P$7+AH!$P$8-1),0),0),0)</ns0:f>
        <ns0:v/>
      </ns0:c>
      <ns0:c r="I2489">
        <ns0:f>IF($H2489=0,0,IFERROR(IF(AND(ABS($C2489-INDEX('AH History'!$B$1:$B$18046,$H2489))&lt;=MAX(0.005,ABS(INDEX('AH History'!$B$1:$B$18046,$H2489))*0.00005),ABS($D2489-INDEX('AH History'!$C$1:$C$18046,$H2489))&lt;=MAX(0.005,ABS(INDEX('AH History'!$C$1:$C$18046,$H2489))*0.00005),ABS($E2489-INDEX('AH History'!$D$1:$D$18046,$H2489))&lt;=0.00005,$F2489=INDEX('AH History'!$E$1:$E$18046,$H2489),$G2489=INDEX('AH History'!$F$1:$F$18046,$H2489)),1,-1),-1))</ns0:f>
        <ns0:v/>
      </ns0:c>
    </ns0:row>
    <ns0:row r="2490">
      <ns0:c r="A2490" s="215">
        <ns0:f>IF(OR(AH!$P$3=0,2485+1&gt;AH!$P$11,AND(AH!$E$4&lt;&gt;"Stored",AH!$P$10&lt;&gt;1)),"",IFERROR(IF(AND(AH!$P$21=1,2485+1=AH!$P$11),TODAY(),IF(AH!$P$10=1,INDEX('Live History'!$A$5:$A$3004,AH!$P$13+2485),INDEX('AH History'!$A$1:$A$18046,AH!$P$7+2485))),""))</ns0:f>
        <ns0:v/>
      </ns0:c>
      <ns0:c r="B2490" s="219">
        <ns0:f>IFERROR(IF(AND(AH!$P$9&lt;&gt;1,$C2490&gt;0,$D2490&gt;0,$E2490&gt;0,$F2490&gt;0,$G2490&gt;0,$F2490&lt;=$A2490,$G2490&lt;=$A2490,$A2490-$F2490&lt;=10,$A2490-$G2490&lt;=5),$D2490*$E2490/$C2490-1,NA()),NA())</ns0:f>
        <ns0:v/>
      </ns0:c>
      <ns0:c r="C2490">
        <ns0:f>IFERROR(IF(ISNUMBER($A2490),IF(AND(AH!$P$10=1,AH!$P$12=1,$A2490=TODAY()),AH!$P$19,IF(AH!$P$10=1,INDEX('Live History'!$B$5:$B$3004,AH!$P$13+2485),INDEX('AH History'!$B$1:$B$18046,AH!$P$7+2485))),NA()),NA())</ns0:f>
        <ns0:v/>
      </ns0:c>
      <ns0:c r="D2490">
        <ns0:f>IFERROR(IF(ISNUMBER($A2490),IF(AND(AH!$P$10=1,AH!$P$12=1,$A2490=TODAY()),AH!$P$18,IF(AH!$P$10=1,INDEX('Live History'!$E$5:$E$3004,MATCH($A2490,'Live History'!$D$5:$D$3004,1)),INDEX('AH History'!$C$1:$C$18046,AH!$P$7+2485))),NA()),NA())</ns0:f>
        <ns0:v/>
      </ns0:c>
      <ns0:c r="E2490">
        <ns0:f>IFERROR(IF(ISNUMBER($A2490),IF(AND(AH!$P$10=1,AH!$P$12=1,$A2490=TODAY()),AH!$P$20,IF(AH!$P$10=1,INDEX('Live History'!$H$5:$H$3004,MATCH($A2490,'Live History'!$G$5:$G$3004,1)),INDEX('AH History'!$D$1:$D$18046,AH!$P$7+2485))),NA()),NA())</ns0:f>
        <ns0:v/>
      </ns0:c>
      <ns0:c r="F2490">
        <ns0:f>IFERROR(IF(ISNUMBER($A2490),IF(AND(AH!$P$10=1,AH!$P$12=1,$A2490=TODAY()),IF(AND(AH!$P$10=1,AH!$P$12=1,$A2490=TODAY()),TODAY(),NA()),IF(AH!$P$10=1,INDEX('Live History'!$D$5:$D$3004,MATCH($A2490,'Live History'!$D$5:$D$3004,1)),INDEX('AH History'!$E$1:$E$18046,AH!$P$7+2485))),NA()),NA())</ns0:f>
        <ns0:v/>
      </ns0:c>
      <ns0:c r="G2490">
        <ns0:f>IFERROR(IF(ISNUMBER($A2490),IF(AND(AH!$P$10=1,AH!$P$12=1,$A2490=TODAY()),IF(AND(AH!$P$10=1,AH!$P$12=1,$A2490=TODAY()),TODAY(),NA()),IF(AH!$P$10=1,INDEX('Live History'!$G$5:$G$3004,MATCH($A2490,'Live History'!$G$5:$G$3004,1)),INDEX('AH History'!$F$1:$F$18046,AH!$P$7+2485))),NA()),NA())</ns0:f>
        <ns0:v/>
      </ns0:c>
      <ns0:c r="H2490">
        <ns0:f>IFERROR(IF(AND(AH!$E$4="Bloomberg",AH!$P$10=1,ISNUMBER($A2490),$A2490&lt;=AH!$P$17),AH!$P$7-1+MATCH($A2490,INDEX('AH History'!$A$1:$A$18046,AH!$P$7):INDEX('AH History'!$A$1:$A$18046,AH!$P$7+AH!$P$8-1),0),0),0)</ns0:f>
        <ns0:v/>
      </ns0:c>
      <ns0:c r="I2490">
        <ns0:f>IF($H2490=0,0,IFERROR(IF(AND(ABS($C2490-INDEX('AH History'!$B$1:$B$18046,$H2490))&lt;=MAX(0.005,ABS(INDEX('AH History'!$B$1:$B$18046,$H2490))*0.00005),ABS($D2490-INDEX('AH History'!$C$1:$C$18046,$H2490))&lt;=MAX(0.005,ABS(INDEX('AH History'!$C$1:$C$18046,$H2490))*0.00005),ABS($E2490-INDEX('AH History'!$D$1:$D$18046,$H2490))&lt;=0.00005,$F2490=INDEX('AH History'!$E$1:$E$18046,$H2490),$G2490=INDEX('AH History'!$F$1:$F$18046,$H2490)),1,-1),-1))</ns0:f>
        <ns0:v/>
      </ns0:c>
    </ns0:row>
    <ns0:row r="2491">
      <ns0:c r="A2491" s="215">
        <ns0:f>IF(OR(AH!$P$3=0,2486+1&gt;AH!$P$11,AND(AH!$E$4&lt;&gt;"Stored",AH!$P$10&lt;&gt;1)),"",IFERROR(IF(AND(AH!$P$21=1,2486+1=AH!$P$11),TODAY(),IF(AH!$P$10=1,INDEX('Live History'!$A$5:$A$3004,AH!$P$13+2486),INDEX('AH History'!$A$1:$A$18046,AH!$P$7+2486))),""))</ns0:f>
        <ns0:v/>
      </ns0:c>
      <ns0:c r="B2491" s="219">
        <ns0:f>IFERROR(IF(AND(AH!$P$9&lt;&gt;1,$C2491&gt;0,$D2491&gt;0,$E2491&gt;0,$F2491&gt;0,$G2491&gt;0,$F2491&lt;=$A2491,$G2491&lt;=$A2491,$A2491-$F2491&lt;=10,$A2491-$G2491&lt;=5),$D2491*$E2491/$C2491-1,NA()),NA())</ns0:f>
        <ns0:v/>
      </ns0:c>
      <ns0:c r="C2491">
        <ns0:f>IFERROR(IF(ISNUMBER($A2491),IF(AND(AH!$P$10=1,AH!$P$12=1,$A2491=TODAY()),AH!$P$19,IF(AH!$P$10=1,INDEX('Live History'!$B$5:$B$3004,AH!$P$13+2486),INDEX('AH History'!$B$1:$B$18046,AH!$P$7+2486))),NA()),NA())</ns0:f>
        <ns0:v/>
      </ns0:c>
      <ns0:c r="D2491">
        <ns0:f>IFERROR(IF(ISNUMBER($A2491),IF(AND(AH!$P$10=1,AH!$P$12=1,$A2491=TODAY()),AH!$P$18,IF(AH!$P$10=1,INDEX('Live History'!$E$5:$E$3004,MATCH($A2491,'Live History'!$D$5:$D$3004,1)),INDEX('AH History'!$C$1:$C$18046,AH!$P$7+2486))),NA()),NA())</ns0:f>
        <ns0:v/>
      </ns0:c>
      <ns0:c r="E2491">
        <ns0:f>IFERROR(IF(ISNUMBER($A2491),IF(AND(AH!$P$10=1,AH!$P$12=1,$A2491=TODAY()),AH!$P$20,IF(AH!$P$10=1,INDEX('Live History'!$H$5:$H$3004,MATCH($A2491,'Live History'!$G$5:$G$3004,1)),INDEX('AH History'!$D$1:$D$18046,AH!$P$7+2486))),NA()),NA())</ns0:f>
        <ns0:v/>
      </ns0:c>
      <ns0:c r="F2491">
        <ns0:f>IFERROR(IF(ISNUMBER($A2491),IF(AND(AH!$P$10=1,AH!$P$12=1,$A2491=TODAY()),IF(AND(AH!$P$10=1,AH!$P$12=1,$A2491=TODAY()),TODAY(),NA()),IF(AH!$P$10=1,INDEX('Live History'!$D$5:$D$3004,MATCH($A2491,'Live History'!$D$5:$D$3004,1)),INDEX('AH History'!$E$1:$E$18046,AH!$P$7+2486))),NA()),NA())</ns0:f>
        <ns0:v/>
      </ns0:c>
      <ns0:c r="G2491">
        <ns0:f>IFERROR(IF(ISNUMBER($A2491),IF(AND(AH!$P$10=1,AH!$P$12=1,$A2491=TODAY()),IF(AND(AH!$P$10=1,AH!$P$12=1,$A2491=TODAY()),TODAY(),NA()),IF(AH!$P$10=1,INDEX('Live History'!$G$5:$G$3004,MATCH($A2491,'Live History'!$G$5:$G$3004,1)),INDEX('AH History'!$F$1:$F$18046,AH!$P$7+2486))),NA()),NA())</ns0:f>
        <ns0:v/>
      </ns0:c>
      <ns0:c r="H2491">
        <ns0:f>IFERROR(IF(AND(AH!$E$4="Bloomberg",AH!$P$10=1,ISNUMBER($A2491),$A2491&lt;=AH!$P$17),AH!$P$7-1+MATCH($A2491,INDEX('AH History'!$A$1:$A$18046,AH!$P$7):INDEX('AH History'!$A$1:$A$18046,AH!$P$7+AH!$P$8-1),0),0),0)</ns0:f>
        <ns0:v/>
      </ns0:c>
      <ns0:c r="I2491">
        <ns0:f>IF($H2491=0,0,IFERROR(IF(AND(ABS($C2491-INDEX('AH History'!$B$1:$B$18046,$H2491))&lt;=MAX(0.005,ABS(INDEX('AH History'!$B$1:$B$18046,$H2491))*0.00005),ABS($D2491-INDEX('AH History'!$C$1:$C$18046,$H2491))&lt;=MAX(0.005,ABS(INDEX('AH History'!$C$1:$C$18046,$H2491))*0.00005),ABS($E2491-INDEX('AH History'!$D$1:$D$18046,$H2491))&lt;=0.00005,$F2491=INDEX('AH History'!$E$1:$E$18046,$H2491),$G2491=INDEX('AH History'!$F$1:$F$18046,$H2491)),1,-1),-1))</ns0:f>
        <ns0:v/>
      </ns0:c>
    </ns0:row>
    <ns0:row r="2492">
      <ns0:c r="A2492" s="215">
        <ns0:f>IF(OR(AH!$P$3=0,2487+1&gt;AH!$P$11,AND(AH!$E$4&lt;&gt;"Stored",AH!$P$10&lt;&gt;1)),"",IFERROR(IF(AND(AH!$P$21=1,2487+1=AH!$P$11),TODAY(),IF(AH!$P$10=1,INDEX('Live History'!$A$5:$A$3004,AH!$P$13+2487),INDEX('AH History'!$A$1:$A$18046,AH!$P$7+2487))),""))</ns0:f>
        <ns0:v/>
      </ns0:c>
      <ns0:c r="B2492" s="219">
        <ns0:f>IFERROR(IF(AND(AH!$P$9&lt;&gt;1,$C2492&gt;0,$D2492&gt;0,$E2492&gt;0,$F2492&gt;0,$G2492&gt;0,$F2492&lt;=$A2492,$G2492&lt;=$A2492,$A2492-$F2492&lt;=10,$A2492-$G2492&lt;=5),$D2492*$E2492/$C2492-1,NA()),NA())</ns0:f>
        <ns0:v/>
      </ns0:c>
      <ns0:c r="C2492">
        <ns0:f>IFERROR(IF(ISNUMBER($A2492),IF(AND(AH!$P$10=1,AH!$P$12=1,$A2492=TODAY()),AH!$P$19,IF(AH!$P$10=1,INDEX('Live History'!$B$5:$B$3004,AH!$P$13+2487),INDEX('AH History'!$B$1:$B$18046,AH!$P$7+2487))),NA()),NA())</ns0:f>
        <ns0:v/>
      </ns0:c>
      <ns0:c r="D2492">
        <ns0:f>IFERROR(IF(ISNUMBER($A2492),IF(AND(AH!$P$10=1,AH!$P$12=1,$A2492=TODAY()),AH!$P$18,IF(AH!$P$10=1,INDEX('Live History'!$E$5:$E$3004,MATCH($A2492,'Live History'!$D$5:$D$3004,1)),INDEX('AH History'!$C$1:$C$18046,AH!$P$7+2487))),NA()),NA())</ns0:f>
        <ns0:v/>
      </ns0:c>
      <ns0:c r="E2492">
        <ns0:f>IFERROR(IF(ISNUMBER($A2492),IF(AND(AH!$P$10=1,AH!$P$12=1,$A2492=TODAY()),AH!$P$20,IF(AH!$P$10=1,INDEX('Live History'!$H$5:$H$3004,MATCH($A2492,'Live History'!$G$5:$G$3004,1)),INDEX('AH History'!$D$1:$D$18046,AH!$P$7+2487))),NA()),NA())</ns0:f>
        <ns0:v/>
      </ns0:c>
      <ns0:c r="F2492">
        <ns0:f>IFERROR(IF(ISNUMBER($A2492),IF(AND(AH!$P$10=1,AH!$P$12=1,$A2492=TODAY()),IF(AND(AH!$P$10=1,AH!$P$12=1,$A2492=TODAY()),TODAY(),NA()),IF(AH!$P$10=1,INDEX('Live History'!$D$5:$D$3004,MATCH($A2492,'Live History'!$D$5:$D$3004,1)),INDEX('AH History'!$E$1:$E$18046,AH!$P$7+2487))),NA()),NA())</ns0:f>
        <ns0:v/>
      </ns0:c>
      <ns0:c r="G2492">
        <ns0:f>IFERROR(IF(ISNUMBER($A2492),IF(AND(AH!$P$10=1,AH!$P$12=1,$A2492=TODAY()),IF(AND(AH!$P$10=1,AH!$P$12=1,$A2492=TODAY()),TODAY(),NA()),IF(AH!$P$10=1,INDEX('Live History'!$G$5:$G$3004,MATCH($A2492,'Live History'!$G$5:$G$3004,1)),INDEX('AH History'!$F$1:$F$18046,AH!$P$7+2487))),NA()),NA())</ns0:f>
        <ns0:v/>
      </ns0:c>
      <ns0:c r="H2492">
        <ns0:f>IFERROR(IF(AND(AH!$E$4="Bloomberg",AH!$P$10=1,ISNUMBER($A2492),$A2492&lt;=AH!$P$17),AH!$P$7-1+MATCH($A2492,INDEX('AH History'!$A$1:$A$18046,AH!$P$7):INDEX('AH History'!$A$1:$A$18046,AH!$P$7+AH!$P$8-1),0),0),0)</ns0:f>
        <ns0:v/>
      </ns0:c>
      <ns0:c r="I2492">
        <ns0:f>IF($H2492=0,0,IFERROR(IF(AND(ABS($C2492-INDEX('AH History'!$B$1:$B$18046,$H2492))&lt;=MAX(0.005,ABS(INDEX('AH History'!$B$1:$B$18046,$H2492))*0.00005),ABS($D2492-INDEX('AH History'!$C$1:$C$18046,$H2492))&lt;=MAX(0.005,ABS(INDEX('AH History'!$C$1:$C$18046,$H2492))*0.00005),ABS($E2492-INDEX('AH History'!$D$1:$D$18046,$H2492))&lt;=0.00005,$F2492=INDEX('AH History'!$E$1:$E$18046,$H2492),$G2492=INDEX('AH History'!$F$1:$F$18046,$H2492)),1,-1),-1))</ns0:f>
        <ns0:v/>
      </ns0:c>
    </ns0:row>
    <ns0:row r="2493">
      <ns0:c r="A2493" s="215">
        <ns0:f>IF(OR(AH!$P$3=0,2488+1&gt;AH!$P$11,AND(AH!$E$4&lt;&gt;"Stored",AH!$P$10&lt;&gt;1)),"",IFERROR(IF(AND(AH!$P$21=1,2488+1=AH!$P$11),TODAY(),IF(AH!$P$10=1,INDEX('Live History'!$A$5:$A$3004,AH!$P$13+2488),INDEX('AH History'!$A$1:$A$18046,AH!$P$7+2488))),""))</ns0:f>
        <ns0:v/>
      </ns0:c>
      <ns0:c r="B2493" s="219">
        <ns0:f>IFERROR(IF(AND(AH!$P$9&lt;&gt;1,$C2493&gt;0,$D2493&gt;0,$E2493&gt;0,$F2493&gt;0,$G2493&gt;0,$F2493&lt;=$A2493,$G2493&lt;=$A2493,$A2493-$F2493&lt;=10,$A2493-$G2493&lt;=5),$D2493*$E2493/$C2493-1,NA()),NA())</ns0:f>
        <ns0:v/>
      </ns0:c>
      <ns0:c r="C2493">
        <ns0:f>IFERROR(IF(ISNUMBER($A2493),IF(AND(AH!$P$10=1,AH!$P$12=1,$A2493=TODAY()),AH!$P$19,IF(AH!$P$10=1,INDEX('Live History'!$B$5:$B$3004,AH!$P$13+2488),INDEX('AH History'!$B$1:$B$18046,AH!$P$7+2488))),NA()),NA())</ns0:f>
        <ns0:v/>
      </ns0:c>
      <ns0:c r="D2493">
        <ns0:f>IFERROR(IF(ISNUMBER($A2493),IF(AND(AH!$P$10=1,AH!$P$12=1,$A2493=TODAY()),AH!$P$18,IF(AH!$P$10=1,INDEX('Live History'!$E$5:$E$3004,MATCH($A2493,'Live History'!$D$5:$D$3004,1)),INDEX('AH History'!$C$1:$C$18046,AH!$P$7+2488))),NA()),NA())</ns0:f>
        <ns0:v/>
      </ns0:c>
      <ns0:c r="E2493">
        <ns0:f>IFERROR(IF(ISNUMBER($A2493),IF(AND(AH!$P$10=1,AH!$P$12=1,$A2493=TODAY()),AH!$P$20,IF(AH!$P$10=1,INDEX('Live History'!$H$5:$H$3004,MATCH($A2493,'Live History'!$G$5:$G$3004,1)),INDEX('AH History'!$D$1:$D$18046,AH!$P$7+2488))),NA()),NA())</ns0:f>
        <ns0:v/>
      </ns0:c>
      <ns0:c r="F2493">
        <ns0:f>IFERROR(IF(ISNUMBER($A2493),IF(AND(AH!$P$10=1,AH!$P$12=1,$A2493=TODAY()),IF(AND(AH!$P$10=1,AH!$P$12=1,$A2493=TODAY()),TODAY(),NA()),IF(AH!$P$10=1,INDEX('Live History'!$D$5:$D$3004,MATCH($A2493,'Live History'!$D$5:$D$3004,1)),INDEX('AH History'!$E$1:$E$18046,AH!$P$7+2488))),NA()),NA())</ns0:f>
        <ns0:v/>
      </ns0:c>
      <ns0:c r="G2493">
        <ns0:f>IFERROR(IF(ISNUMBER($A2493),IF(AND(AH!$P$10=1,AH!$P$12=1,$A2493=TODAY()),IF(AND(AH!$P$10=1,AH!$P$12=1,$A2493=TODAY()),TODAY(),NA()),IF(AH!$P$10=1,INDEX('Live History'!$G$5:$G$3004,MATCH($A2493,'Live History'!$G$5:$G$3004,1)),INDEX('AH History'!$F$1:$F$18046,AH!$P$7+2488))),NA()),NA())</ns0:f>
        <ns0:v/>
      </ns0:c>
      <ns0:c r="H2493">
        <ns0:f>IFERROR(IF(AND(AH!$E$4="Bloomberg",AH!$P$10=1,ISNUMBER($A2493),$A2493&lt;=AH!$P$17),AH!$P$7-1+MATCH($A2493,INDEX('AH History'!$A$1:$A$18046,AH!$P$7):INDEX('AH History'!$A$1:$A$18046,AH!$P$7+AH!$P$8-1),0),0),0)</ns0:f>
        <ns0:v/>
      </ns0:c>
      <ns0:c r="I2493">
        <ns0:f>IF($H2493=0,0,IFERROR(IF(AND(ABS($C2493-INDEX('AH History'!$B$1:$B$18046,$H2493))&lt;=MAX(0.005,ABS(INDEX('AH History'!$B$1:$B$18046,$H2493))*0.00005),ABS($D2493-INDEX('AH History'!$C$1:$C$18046,$H2493))&lt;=MAX(0.005,ABS(INDEX('AH History'!$C$1:$C$18046,$H2493))*0.00005),ABS($E2493-INDEX('AH History'!$D$1:$D$18046,$H2493))&lt;=0.00005,$F2493=INDEX('AH History'!$E$1:$E$18046,$H2493),$G2493=INDEX('AH History'!$F$1:$F$18046,$H2493)),1,-1),-1))</ns0:f>
        <ns0:v/>
      </ns0:c>
    </ns0:row>
    <ns0:row r="2494">
      <ns0:c r="A2494" s="215">
        <ns0:f>IF(OR(AH!$P$3=0,2489+1&gt;AH!$P$11,AND(AH!$E$4&lt;&gt;"Stored",AH!$P$10&lt;&gt;1)),"",IFERROR(IF(AND(AH!$P$21=1,2489+1=AH!$P$11),TODAY(),IF(AH!$P$10=1,INDEX('Live History'!$A$5:$A$3004,AH!$P$13+2489),INDEX('AH History'!$A$1:$A$18046,AH!$P$7+2489))),""))</ns0:f>
        <ns0:v/>
      </ns0:c>
      <ns0:c r="B2494" s="219">
        <ns0:f>IFERROR(IF(AND(AH!$P$9&lt;&gt;1,$C2494&gt;0,$D2494&gt;0,$E2494&gt;0,$F2494&gt;0,$G2494&gt;0,$F2494&lt;=$A2494,$G2494&lt;=$A2494,$A2494-$F2494&lt;=10,$A2494-$G2494&lt;=5),$D2494*$E2494/$C2494-1,NA()),NA())</ns0:f>
        <ns0:v/>
      </ns0:c>
      <ns0:c r="C2494">
        <ns0:f>IFERROR(IF(ISNUMBER($A2494),IF(AND(AH!$P$10=1,AH!$P$12=1,$A2494=TODAY()),AH!$P$19,IF(AH!$P$10=1,INDEX('Live History'!$B$5:$B$3004,AH!$P$13+2489),INDEX('AH History'!$B$1:$B$18046,AH!$P$7+2489))),NA()),NA())</ns0:f>
        <ns0:v/>
      </ns0:c>
      <ns0:c r="D2494">
        <ns0:f>IFERROR(IF(ISNUMBER($A2494),IF(AND(AH!$P$10=1,AH!$P$12=1,$A2494=TODAY()),AH!$P$18,IF(AH!$P$10=1,INDEX('Live History'!$E$5:$E$3004,MATCH($A2494,'Live History'!$D$5:$D$3004,1)),INDEX('AH History'!$C$1:$C$18046,AH!$P$7+2489))),NA()),NA())</ns0:f>
        <ns0:v/>
      </ns0:c>
      <ns0:c r="E2494">
        <ns0:f>IFERROR(IF(ISNUMBER($A2494),IF(AND(AH!$P$10=1,AH!$P$12=1,$A2494=TODAY()),AH!$P$20,IF(AH!$P$10=1,INDEX('Live History'!$H$5:$H$3004,MATCH($A2494,'Live History'!$G$5:$G$3004,1)),INDEX('AH History'!$D$1:$D$18046,AH!$P$7+2489))),NA()),NA())</ns0:f>
        <ns0:v/>
      </ns0:c>
      <ns0:c r="F2494">
        <ns0:f>IFERROR(IF(ISNUMBER($A2494),IF(AND(AH!$P$10=1,AH!$P$12=1,$A2494=TODAY()),IF(AND(AH!$P$10=1,AH!$P$12=1,$A2494=TODAY()),TODAY(),NA()),IF(AH!$P$10=1,INDEX('Live History'!$D$5:$D$3004,MATCH($A2494,'Live History'!$D$5:$D$3004,1)),INDEX('AH History'!$E$1:$E$18046,AH!$P$7+2489))),NA()),NA())</ns0:f>
        <ns0:v/>
      </ns0:c>
      <ns0:c r="G2494">
        <ns0:f>IFERROR(IF(ISNUMBER($A2494),IF(AND(AH!$P$10=1,AH!$P$12=1,$A2494=TODAY()),IF(AND(AH!$P$10=1,AH!$P$12=1,$A2494=TODAY()),TODAY(),NA()),IF(AH!$P$10=1,INDEX('Live History'!$G$5:$G$3004,MATCH($A2494,'Live History'!$G$5:$G$3004,1)),INDEX('AH History'!$F$1:$F$18046,AH!$P$7+2489))),NA()),NA())</ns0:f>
        <ns0:v/>
      </ns0:c>
      <ns0:c r="H2494">
        <ns0:f>IFERROR(IF(AND(AH!$E$4="Bloomberg",AH!$P$10=1,ISNUMBER($A2494),$A2494&lt;=AH!$P$17),AH!$P$7-1+MATCH($A2494,INDEX('AH History'!$A$1:$A$18046,AH!$P$7):INDEX('AH History'!$A$1:$A$18046,AH!$P$7+AH!$P$8-1),0),0),0)</ns0:f>
        <ns0:v/>
      </ns0:c>
      <ns0:c r="I2494">
        <ns0:f>IF($H2494=0,0,IFERROR(IF(AND(ABS($C2494-INDEX('AH History'!$B$1:$B$18046,$H2494))&lt;=MAX(0.005,ABS(INDEX('AH History'!$B$1:$B$18046,$H2494))*0.00005),ABS($D2494-INDEX('AH History'!$C$1:$C$18046,$H2494))&lt;=MAX(0.005,ABS(INDEX('AH History'!$C$1:$C$18046,$H2494))*0.00005),ABS($E2494-INDEX('AH History'!$D$1:$D$18046,$H2494))&lt;=0.00005,$F2494=INDEX('AH History'!$E$1:$E$18046,$H2494),$G2494=INDEX('AH History'!$F$1:$F$18046,$H2494)),1,-1),-1))</ns0:f>
        <ns0:v/>
      </ns0:c>
    </ns0:row>
    <ns0:row r="2495">
      <ns0:c r="A2495" s="215">
        <ns0:f>IF(OR(AH!$P$3=0,2490+1&gt;AH!$P$11,AND(AH!$E$4&lt;&gt;"Stored",AH!$P$10&lt;&gt;1)),"",IFERROR(IF(AND(AH!$P$21=1,2490+1=AH!$P$11),TODAY(),IF(AH!$P$10=1,INDEX('Live History'!$A$5:$A$3004,AH!$P$13+2490),INDEX('AH History'!$A$1:$A$18046,AH!$P$7+2490))),""))</ns0:f>
        <ns0:v/>
      </ns0:c>
      <ns0:c r="B2495" s="219">
        <ns0:f>IFERROR(IF(AND(AH!$P$9&lt;&gt;1,$C2495&gt;0,$D2495&gt;0,$E2495&gt;0,$F2495&gt;0,$G2495&gt;0,$F2495&lt;=$A2495,$G2495&lt;=$A2495,$A2495-$F2495&lt;=10,$A2495-$G2495&lt;=5),$D2495*$E2495/$C2495-1,NA()),NA())</ns0:f>
        <ns0:v/>
      </ns0:c>
      <ns0:c r="C2495">
        <ns0:f>IFERROR(IF(ISNUMBER($A2495),IF(AND(AH!$P$10=1,AH!$P$12=1,$A2495=TODAY()),AH!$P$19,IF(AH!$P$10=1,INDEX('Live History'!$B$5:$B$3004,AH!$P$13+2490),INDEX('AH History'!$B$1:$B$18046,AH!$P$7+2490))),NA()),NA())</ns0:f>
        <ns0:v/>
      </ns0:c>
      <ns0:c r="D2495">
        <ns0:f>IFERROR(IF(ISNUMBER($A2495),IF(AND(AH!$P$10=1,AH!$P$12=1,$A2495=TODAY()),AH!$P$18,IF(AH!$P$10=1,INDEX('Live History'!$E$5:$E$3004,MATCH($A2495,'Live History'!$D$5:$D$3004,1)),INDEX('AH History'!$C$1:$C$18046,AH!$P$7+2490))),NA()),NA())</ns0:f>
        <ns0:v/>
      </ns0:c>
      <ns0:c r="E2495">
        <ns0:f>IFERROR(IF(ISNUMBER($A2495),IF(AND(AH!$P$10=1,AH!$P$12=1,$A2495=TODAY()),AH!$P$20,IF(AH!$P$10=1,INDEX('Live History'!$H$5:$H$3004,MATCH($A2495,'Live History'!$G$5:$G$3004,1)),INDEX('AH History'!$D$1:$D$18046,AH!$P$7+2490))),NA()),NA())</ns0:f>
        <ns0:v/>
      </ns0:c>
      <ns0:c r="F2495">
        <ns0:f>IFERROR(IF(ISNUMBER($A2495),IF(AND(AH!$P$10=1,AH!$P$12=1,$A2495=TODAY()),IF(AND(AH!$P$10=1,AH!$P$12=1,$A2495=TODAY()),TODAY(),NA()),IF(AH!$P$10=1,INDEX('Live History'!$D$5:$D$3004,MATCH($A2495,'Live History'!$D$5:$D$3004,1)),INDEX('AH History'!$E$1:$E$18046,AH!$P$7+2490))),NA()),NA())</ns0:f>
        <ns0:v/>
      </ns0:c>
      <ns0:c r="G2495">
        <ns0:f>IFERROR(IF(ISNUMBER($A2495),IF(AND(AH!$P$10=1,AH!$P$12=1,$A2495=TODAY()),IF(AND(AH!$P$10=1,AH!$P$12=1,$A2495=TODAY()),TODAY(),NA()),IF(AH!$P$10=1,INDEX('Live History'!$G$5:$G$3004,MATCH($A2495,'Live History'!$G$5:$G$3004,1)),INDEX('AH History'!$F$1:$F$18046,AH!$P$7+2490))),NA()),NA())</ns0:f>
        <ns0:v/>
      </ns0:c>
      <ns0:c r="H2495">
        <ns0:f>IFERROR(IF(AND(AH!$E$4="Bloomberg",AH!$P$10=1,ISNUMBER($A2495),$A2495&lt;=AH!$P$17),AH!$P$7-1+MATCH($A2495,INDEX('AH History'!$A$1:$A$18046,AH!$P$7):INDEX('AH History'!$A$1:$A$18046,AH!$P$7+AH!$P$8-1),0),0),0)</ns0:f>
        <ns0:v/>
      </ns0:c>
      <ns0:c r="I2495">
        <ns0:f>IF($H2495=0,0,IFERROR(IF(AND(ABS($C2495-INDEX('AH History'!$B$1:$B$18046,$H2495))&lt;=MAX(0.005,ABS(INDEX('AH History'!$B$1:$B$18046,$H2495))*0.00005),ABS($D2495-INDEX('AH History'!$C$1:$C$18046,$H2495))&lt;=MAX(0.005,ABS(INDEX('AH History'!$C$1:$C$18046,$H2495))*0.00005),ABS($E2495-INDEX('AH History'!$D$1:$D$18046,$H2495))&lt;=0.00005,$F2495=INDEX('AH History'!$E$1:$E$18046,$H2495),$G2495=INDEX('AH History'!$F$1:$F$18046,$H2495)),1,-1),-1))</ns0:f>
        <ns0:v/>
      </ns0:c>
    </ns0:row>
    <ns0:row r="2496">
      <ns0:c r="A2496" s="215">
        <ns0:f>IF(OR(AH!$P$3=0,2491+1&gt;AH!$P$11,AND(AH!$E$4&lt;&gt;"Stored",AH!$P$10&lt;&gt;1)),"",IFERROR(IF(AND(AH!$P$21=1,2491+1=AH!$P$11),TODAY(),IF(AH!$P$10=1,INDEX('Live History'!$A$5:$A$3004,AH!$P$13+2491),INDEX('AH History'!$A$1:$A$18046,AH!$P$7+2491))),""))</ns0:f>
        <ns0:v/>
      </ns0:c>
      <ns0:c r="B2496" s="219">
        <ns0:f>IFERROR(IF(AND(AH!$P$9&lt;&gt;1,$C2496&gt;0,$D2496&gt;0,$E2496&gt;0,$F2496&gt;0,$G2496&gt;0,$F2496&lt;=$A2496,$G2496&lt;=$A2496,$A2496-$F2496&lt;=10,$A2496-$G2496&lt;=5),$D2496*$E2496/$C2496-1,NA()),NA())</ns0:f>
        <ns0:v/>
      </ns0:c>
      <ns0:c r="C2496">
        <ns0:f>IFERROR(IF(ISNUMBER($A2496),IF(AND(AH!$P$10=1,AH!$P$12=1,$A2496=TODAY()),AH!$P$19,IF(AH!$P$10=1,INDEX('Live History'!$B$5:$B$3004,AH!$P$13+2491),INDEX('AH History'!$B$1:$B$18046,AH!$P$7+2491))),NA()),NA())</ns0:f>
        <ns0:v/>
      </ns0:c>
      <ns0:c r="D2496">
        <ns0:f>IFERROR(IF(ISNUMBER($A2496),IF(AND(AH!$P$10=1,AH!$P$12=1,$A2496=TODAY()),AH!$P$18,IF(AH!$P$10=1,INDEX('Live History'!$E$5:$E$3004,MATCH($A2496,'Live History'!$D$5:$D$3004,1)),INDEX('AH History'!$C$1:$C$18046,AH!$P$7+2491))),NA()),NA())</ns0:f>
        <ns0:v/>
      </ns0:c>
      <ns0:c r="E2496">
        <ns0:f>IFERROR(IF(ISNUMBER($A2496),IF(AND(AH!$P$10=1,AH!$P$12=1,$A2496=TODAY()),AH!$P$20,IF(AH!$P$10=1,INDEX('Live History'!$H$5:$H$3004,MATCH($A2496,'Live History'!$G$5:$G$3004,1)),INDEX('AH History'!$D$1:$D$18046,AH!$P$7+2491))),NA()),NA())</ns0:f>
        <ns0:v/>
      </ns0:c>
      <ns0:c r="F2496">
        <ns0:f>IFERROR(IF(ISNUMBER($A2496),IF(AND(AH!$P$10=1,AH!$P$12=1,$A2496=TODAY()),IF(AND(AH!$P$10=1,AH!$P$12=1,$A2496=TODAY()),TODAY(),NA()),IF(AH!$P$10=1,INDEX('Live History'!$D$5:$D$3004,MATCH($A2496,'Live History'!$D$5:$D$3004,1)),INDEX('AH History'!$E$1:$E$18046,AH!$P$7+2491))),NA()),NA())</ns0:f>
        <ns0:v/>
      </ns0:c>
      <ns0:c r="G2496">
        <ns0:f>IFERROR(IF(ISNUMBER($A2496),IF(AND(AH!$P$10=1,AH!$P$12=1,$A2496=TODAY()),IF(AND(AH!$P$10=1,AH!$P$12=1,$A2496=TODAY()),TODAY(),NA()),IF(AH!$P$10=1,INDEX('Live History'!$G$5:$G$3004,MATCH($A2496,'Live History'!$G$5:$G$3004,1)),INDEX('AH History'!$F$1:$F$18046,AH!$P$7+2491))),NA()),NA())</ns0:f>
        <ns0:v/>
      </ns0:c>
      <ns0:c r="H2496">
        <ns0:f>IFERROR(IF(AND(AH!$E$4="Bloomberg",AH!$P$10=1,ISNUMBER($A2496),$A2496&lt;=AH!$P$17),AH!$P$7-1+MATCH($A2496,INDEX('AH History'!$A$1:$A$18046,AH!$P$7):INDEX('AH History'!$A$1:$A$18046,AH!$P$7+AH!$P$8-1),0),0),0)</ns0:f>
        <ns0:v/>
      </ns0:c>
      <ns0:c r="I2496">
        <ns0:f>IF($H2496=0,0,IFERROR(IF(AND(ABS($C2496-INDEX('AH History'!$B$1:$B$18046,$H2496))&lt;=MAX(0.005,ABS(INDEX('AH History'!$B$1:$B$18046,$H2496))*0.00005),ABS($D2496-INDEX('AH History'!$C$1:$C$18046,$H2496))&lt;=MAX(0.005,ABS(INDEX('AH History'!$C$1:$C$18046,$H2496))*0.00005),ABS($E2496-INDEX('AH History'!$D$1:$D$18046,$H2496))&lt;=0.00005,$F2496=INDEX('AH History'!$E$1:$E$18046,$H2496),$G2496=INDEX('AH History'!$F$1:$F$18046,$H2496)),1,-1),-1))</ns0:f>
        <ns0:v/>
      </ns0:c>
    </ns0:row>
    <ns0:row r="2497">
      <ns0:c r="A2497" s="215">
        <ns0:f>IF(OR(AH!$P$3=0,2492+1&gt;AH!$P$11,AND(AH!$E$4&lt;&gt;"Stored",AH!$P$10&lt;&gt;1)),"",IFERROR(IF(AND(AH!$P$21=1,2492+1=AH!$P$11),TODAY(),IF(AH!$P$10=1,INDEX('Live History'!$A$5:$A$3004,AH!$P$13+2492),INDEX('AH History'!$A$1:$A$18046,AH!$P$7+2492))),""))</ns0:f>
        <ns0:v/>
      </ns0:c>
      <ns0:c r="B2497" s="219">
        <ns0:f>IFERROR(IF(AND(AH!$P$9&lt;&gt;1,$C2497&gt;0,$D2497&gt;0,$E2497&gt;0,$F2497&gt;0,$G2497&gt;0,$F2497&lt;=$A2497,$G2497&lt;=$A2497,$A2497-$F2497&lt;=10,$A2497-$G2497&lt;=5),$D2497*$E2497/$C2497-1,NA()),NA())</ns0:f>
        <ns0:v/>
      </ns0:c>
      <ns0:c r="C2497">
        <ns0:f>IFERROR(IF(ISNUMBER($A2497),IF(AND(AH!$P$10=1,AH!$P$12=1,$A2497=TODAY()),AH!$P$19,IF(AH!$P$10=1,INDEX('Live History'!$B$5:$B$3004,AH!$P$13+2492),INDEX('AH History'!$B$1:$B$18046,AH!$P$7+2492))),NA()),NA())</ns0:f>
        <ns0:v/>
      </ns0:c>
      <ns0:c r="D2497">
        <ns0:f>IFERROR(IF(ISNUMBER($A2497),IF(AND(AH!$P$10=1,AH!$P$12=1,$A2497=TODAY()),AH!$P$18,IF(AH!$P$10=1,INDEX('Live History'!$E$5:$E$3004,MATCH($A2497,'Live History'!$D$5:$D$3004,1)),INDEX('AH History'!$C$1:$C$18046,AH!$P$7+2492))),NA()),NA())</ns0:f>
        <ns0:v/>
      </ns0:c>
      <ns0:c r="E2497">
        <ns0:f>IFERROR(IF(ISNUMBER($A2497),IF(AND(AH!$P$10=1,AH!$P$12=1,$A2497=TODAY()),AH!$P$20,IF(AH!$P$10=1,INDEX('Live History'!$H$5:$H$3004,MATCH($A2497,'Live History'!$G$5:$G$3004,1)),INDEX('AH History'!$D$1:$D$18046,AH!$P$7+2492))),NA()),NA())</ns0:f>
        <ns0:v/>
      </ns0:c>
      <ns0:c r="F2497">
        <ns0:f>IFERROR(IF(ISNUMBER($A2497),IF(AND(AH!$P$10=1,AH!$P$12=1,$A2497=TODAY()),IF(AND(AH!$P$10=1,AH!$P$12=1,$A2497=TODAY()),TODAY(),NA()),IF(AH!$P$10=1,INDEX('Live History'!$D$5:$D$3004,MATCH($A2497,'Live History'!$D$5:$D$3004,1)),INDEX('AH History'!$E$1:$E$18046,AH!$P$7+2492))),NA()),NA())</ns0:f>
        <ns0:v/>
      </ns0:c>
      <ns0:c r="G2497">
        <ns0:f>IFERROR(IF(ISNUMBER($A2497),IF(AND(AH!$P$10=1,AH!$P$12=1,$A2497=TODAY()),IF(AND(AH!$P$10=1,AH!$P$12=1,$A2497=TODAY()),TODAY(),NA()),IF(AH!$P$10=1,INDEX('Live History'!$G$5:$G$3004,MATCH($A2497,'Live History'!$G$5:$G$3004,1)),INDEX('AH History'!$F$1:$F$18046,AH!$P$7+2492))),NA()),NA())</ns0:f>
        <ns0:v/>
      </ns0:c>
      <ns0:c r="H2497">
        <ns0:f>IFERROR(IF(AND(AH!$E$4="Bloomberg",AH!$P$10=1,ISNUMBER($A2497),$A2497&lt;=AH!$P$17),AH!$P$7-1+MATCH($A2497,INDEX('AH History'!$A$1:$A$18046,AH!$P$7):INDEX('AH History'!$A$1:$A$18046,AH!$P$7+AH!$P$8-1),0),0),0)</ns0:f>
        <ns0:v/>
      </ns0:c>
      <ns0:c r="I2497">
        <ns0:f>IF($H2497=0,0,IFERROR(IF(AND(ABS($C2497-INDEX('AH History'!$B$1:$B$18046,$H2497))&lt;=MAX(0.005,ABS(INDEX('AH History'!$B$1:$B$18046,$H2497))*0.00005),ABS($D2497-INDEX('AH History'!$C$1:$C$18046,$H2497))&lt;=MAX(0.005,ABS(INDEX('AH History'!$C$1:$C$18046,$H2497))*0.00005),ABS($E2497-INDEX('AH History'!$D$1:$D$18046,$H2497))&lt;=0.00005,$F2497=INDEX('AH History'!$E$1:$E$18046,$H2497),$G2497=INDEX('AH History'!$F$1:$F$18046,$H2497)),1,-1),-1))</ns0:f>
        <ns0:v/>
      </ns0:c>
    </ns0:row>
    <ns0:row r="2498">
      <ns0:c r="A2498" s="215">
        <ns0:f>IF(OR(AH!$P$3=0,2493+1&gt;AH!$P$11,AND(AH!$E$4&lt;&gt;"Stored",AH!$P$10&lt;&gt;1)),"",IFERROR(IF(AND(AH!$P$21=1,2493+1=AH!$P$11),TODAY(),IF(AH!$P$10=1,INDEX('Live History'!$A$5:$A$3004,AH!$P$13+2493),INDEX('AH History'!$A$1:$A$18046,AH!$P$7+2493))),""))</ns0:f>
        <ns0:v/>
      </ns0:c>
      <ns0:c r="B2498" s="219">
        <ns0:f>IFERROR(IF(AND(AH!$P$9&lt;&gt;1,$C2498&gt;0,$D2498&gt;0,$E2498&gt;0,$F2498&gt;0,$G2498&gt;0,$F2498&lt;=$A2498,$G2498&lt;=$A2498,$A2498-$F2498&lt;=10,$A2498-$G2498&lt;=5),$D2498*$E2498/$C2498-1,NA()),NA())</ns0:f>
        <ns0:v/>
      </ns0:c>
      <ns0:c r="C2498">
        <ns0:f>IFERROR(IF(ISNUMBER($A2498),IF(AND(AH!$P$10=1,AH!$P$12=1,$A2498=TODAY()),AH!$P$19,IF(AH!$P$10=1,INDEX('Live History'!$B$5:$B$3004,AH!$P$13+2493),INDEX('AH History'!$B$1:$B$18046,AH!$P$7+2493))),NA()),NA())</ns0:f>
        <ns0:v/>
      </ns0:c>
      <ns0:c r="D2498">
        <ns0:f>IFERROR(IF(ISNUMBER($A2498),IF(AND(AH!$P$10=1,AH!$P$12=1,$A2498=TODAY()),AH!$P$18,IF(AH!$P$10=1,INDEX('Live History'!$E$5:$E$3004,MATCH($A2498,'Live History'!$D$5:$D$3004,1)),INDEX('AH History'!$C$1:$C$18046,AH!$P$7+2493))),NA()),NA())</ns0:f>
        <ns0:v/>
      </ns0:c>
      <ns0:c r="E2498">
        <ns0:f>IFERROR(IF(ISNUMBER($A2498),IF(AND(AH!$P$10=1,AH!$P$12=1,$A2498=TODAY()),AH!$P$20,IF(AH!$P$10=1,INDEX('Live History'!$H$5:$H$3004,MATCH($A2498,'Live History'!$G$5:$G$3004,1)),INDEX('AH History'!$D$1:$D$18046,AH!$P$7+2493))),NA()),NA())</ns0:f>
        <ns0:v/>
      </ns0:c>
      <ns0:c r="F2498">
        <ns0:f>IFERROR(IF(ISNUMBER($A2498),IF(AND(AH!$P$10=1,AH!$P$12=1,$A2498=TODAY()),IF(AND(AH!$P$10=1,AH!$P$12=1,$A2498=TODAY()),TODAY(),NA()),IF(AH!$P$10=1,INDEX('Live History'!$D$5:$D$3004,MATCH($A2498,'Live History'!$D$5:$D$3004,1)),INDEX('AH History'!$E$1:$E$18046,AH!$P$7+2493))),NA()),NA())</ns0:f>
        <ns0:v/>
      </ns0:c>
      <ns0:c r="G2498">
        <ns0:f>IFERROR(IF(ISNUMBER($A2498),IF(AND(AH!$P$10=1,AH!$P$12=1,$A2498=TODAY()),IF(AND(AH!$P$10=1,AH!$P$12=1,$A2498=TODAY()),TODAY(),NA()),IF(AH!$P$10=1,INDEX('Live History'!$G$5:$G$3004,MATCH($A2498,'Live History'!$G$5:$G$3004,1)),INDEX('AH History'!$F$1:$F$18046,AH!$P$7+2493))),NA()),NA())</ns0:f>
        <ns0:v/>
      </ns0:c>
      <ns0:c r="H2498">
        <ns0:f>IFERROR(IF(AND(AH!$E$4="Bloomberg",AH!$P$10=1,ISNUMBER($A2498),$A2498&lt;=AH!$P$17),AH!$P$7-1+MATCH($A2498,INDEX('AH History'!$A$1:$A$18046,AH!$P$7):INDEX('AH History'!$A$1:$A$18046,AH!$P$7+AH!$P$8-1),0),0),0)</ns0:f>
        <ns0:v/>
      </ns0:c>
      <ns0:c r="I2498">
        <ns0:f>IF($H2498=0,0,IFERROR(IF(AND(ABS($C2498-INDEX('AH History'!$B$1:$B$18046,$H2498))&lt;=MAX(0.005,ABS(INDEX('AH History'!$B$1:$B$18046,$H2498))*0.00005),ABS($D2498-INDEX('AH History'!$C$1:$C$18046,$H2498))&lt;=MAX(0.005,ABS(INDEX('AH History'!$C$1:$C$18046,$H2498))*0.00005),ABS($E2498-INDEX('AH History'!$D$1:$D$18046,$H2498))&lt;=0.00005,$F2498=INDEX('AH History'!$E$1:$E$18046,$H2498),$G2498=INDEX('AH History'!$F$1:$F$18046,$H2498)),1,-1),-1))</ns0:f>
        <ns0:v/>
      </ns0:c>
    </ns0:row>
    <ns0:row r="2499">
      <ns0:c r="A2499" s="215">
        <ns0:f>IF(OR(AH!$P$3=0,2494+1&gt;AH!$P$11,AND(AH!$E$4&lt;&gt;"Stored",AH!$P$10&lt;&gt;1)),"",IFERROR(IF(AND(AH!$P$21=1,2494+1=AH!$P$11),TODAY(),IF(AH!$P$10=1,INDEX('Live History'!$A$5:$A$3004,AH!$P$13+2494),INDEX('AH History'!$A$1:$A$18046,AH!$P$7+2494))),""))</ns0:f>
        <ns0:v/>
      </ns0:c>
      <ns0:c r="B2499" s="219">
        <ns0:f>IFERROR(IF(AND(AH!$P$9&lt;&gt;1,$C2499&gt;0,$D2499&gt;0,$E2499&gt;0,$F2499&gt;0,$G2499&gt;0,$F2499&lt;=$A2499,$G2499&lt;=$A2499,$A2499-$F2499&lt;=10,$A2499-$G2499&lt;=5),$D2499*$E2499/$C2499-1,NA()),NA())</ns0:f>
        <ns0:v/>
      </ns0:c>
      <ns0:c r="C2499">
        <ns0:f>IFERROR(IF(ISNUMBER($A2499),IF(AND(AH!$P$10=1,AH!$P$12=1,$A2499=TODAY()),AH!$P$19,IF(AH!$P$10=1,INDEX('Live History'!$B$5:$B$3004,AH!$P$13+2494),INDEX('AH History'!$B$1:$B$18046,AH!$P$7+2494))),NA()),NA())</ns0:f>
        <ns0:v/>
      </ns0:c>
      <ns0:c r="D2499">
        <ns0:f>IFERROR(IF(ISNUMBER($A2499),IF(AND(AH!$P$10=1,AH!$P$12=1,$A2499=TODAY()),AH!$P$18,IF(AH!$P$10=1,INDEX('Live History'!$E$5:$E$3004,MATCH($A2499,'Live History'!$D$5:$D$3004,1)),INDEX('AH History'!$C$1:$C$18046,AH!$P$7+2494))),NA()),NA())</ns0:f>
        <ns0:v/>
      </ns0:c>
      <ns0:c r="E2499">
        <ns0:f>IFERROR(IF(ISNUMBER($A2499),IF(AND(AH!$P$10=1,AH!$P$12=1,$A2499=TODAY()),AH!$P$20,IF(AH!$P$10=1,INDEX('Live History'!$H$5:$H$3004,MATCH($A2499,'Live History'!$G$5:$G$3004,1)),INDEX('AH History'!$D$1:$D$18046,AH!$P$7+2494))),NA()),NA())</ns0:f>
        <ns0:v/>
      </ns0:c>
      <ns0:c r="F2499">
        <ns0:f>IFERROR(IF(ISNUMBER($A2499),IF(AND(AH!$P$10=1,AH!$P$12=1,$A2499=TODAY()),IF(AND(AH!$P$10=1,AH!$P$12=1,$A2499=TODAY()),TODAY(),NA()),IF(AH!$P$10=1,INDEX('Live History'!$D$5:$D$3004,MATCH($A2499,'Live History'!$D$5:$D$3004,1)),INDEX('AH History'!$E$1:$E$18046,AH!$P$7+2494))),NA()),NA())</ns0:f>
        <ns0:v/>
      </ns0:c>
      <ns0:c r="G2499">
        <ns0:f>IFERROR(IF(ISNUMBER($A2499),IF(AND(AH!$P$10=1,AH!$P$12=1,$A2499=TODAY()),IF(AND(AH!$P$10=1,AH!$P$12=1,$A2499=TODAY()),TODAY(),NA()),IF(AH!$P$10=1,INDEX('Live History'!$G$5:$G$3004,MATCH($A2499,'Live History'!$G$5:$G$3004,1)),INDEX('AH History'!$F$1:$F$18046,AH!$P$7+2494))),NA()),NA())</ns0:f>
        <ns0:v/>
      </ns0:c>
      <ns0:c r="H2499">
        <ns0:f>IFERROR(IF(AND(AH!$E$4="Bloomberg",AH!$P$10=1,ISNUMBER($A2499),$A2499&lt;=AH!$P$17),AH!$P$7-1+MATCH($A2499,INDEX('AH History'!$A$1:$A$18046,AH!$P$7):INDEX('AH History'!$A$1:$A$18046,AH!$P$7+AH!$P$8-1),0),0),0)</ns0:f>
        <ns0:v/>
      </ns0:c>
      <ns0:c r="I2499">
        <ns0:f>IF($H2499=0,0,IFERROR(IF(AND(ABS($C2499-INDEX('AH History'!$B$1:$B$18046,$H2499))&lt;=MAX(0.005,ABS(INDEX('AH History'!$B$1:$B$18046,$H2499))*0.00005),ABS($D2499-INDEX('AH History'!$C$1:$C$18046,$H2499))&lt;=MAX(0.005,ABS(INDEX('AH History'!$C$1:$C$18046,$H2499))*0.00005),ABS($E2499-INDEX('AH History'!$D$1:$D$18046,$H2499))&lt;=0.00005,$F2499=INDEX('AH History'!$E$1:$E$18046,$H2499),$G2499=INDEX('AH History'!$F$1:$F$18046,$H2499)),1,-1),-1))</ns0:f>
        <ns0:v/>
      </ns0:c>
    </ns0:row>
    <ns0:row r="2500">
      <ns0:c r="A2500" s="215">
        <ns0:f>IF(OR(AH!$P$3=0,2495+1&gt;AH!$P$11,AND(AH!$E$4&lt;&gt;"Stored",AH!$P$10&lt;&gt;1)),"",IFERROR(IF(AND(AH!$P$21=1,2495+1=AH!$P$11),TODAY(),IF(AH!$P$10=1,INDEX('Live History'!$A$5:$A$3004,AH!$P$13+2495),INDEX('AH History'!$A$1:$A$18046,AH!$P$7+2495))),""))</ns0:f>
        <ns0:v/>
      </ns0:c>
      <ns0:c r="B2500" s="219">
        <ns0:f>IFERROR(IF(AND(AH!$P$9&lt;&gt;1,$C2500&gt;0,$D2500&gt;0,$E2500&gt;0,$F2500&gt;0,$G2500&gt;0,$F2500&lt;=$A2500,$G2500&lt;=$A2500,$A2500-$F2500&lt;=10,$A2500-$G2500&lt;=5),$D2500*$E2500/$C2500-1,NA()),NA())</ns0:f>
        <ns0:v/>
      </ns0:c>
      <ns0:c r="C2500">
        <ns0:f>IFERROR(IF(ISNUMBER($A2500),IF(AND(AH!$P$10=1,AH!$P$12=1,$A2500=TODAY()),AH!$P$19,IF(AH!$P$10=1,INDEX('Live History'!$B$5:$B$3004,AH!$P$13+2495),INDEX('AH History'!$B$1:$B$18046,AH!$P$7+2495))),NA()),NA())</ns0:f>
        <ns0:v/>
      </ns0:c>
      <ns0:c r="D2500">
        <ns0:f>IFERROR(IF(ISNUMBER($A2500),IF(AND(AH!$P$10=1,AH!$P$12=1,$A2500=TODAY()),AH!$P$18,IF(AH!$P$10=1,INDEX('Live History'!$E$5:$E$3004,MATCH($A2500,'Live History'!$D$5:$D$3004,1)),INDEX('AH History'!$C$1:$C$18046,AH!$P$7+2495))),NA()),NA())</ns0:f>
        <ns0:v/>
      </ns0:c>
      <ns0:c r="E2500">
        <ns0:f>IFERROR(IF(ISNUMBER($A2500),IF(AND(AH!$P$10=1,AH!$P$12=1,$A2500=TODAY()),AH!$P$20,IF(AH!$P$10=1,INDEX('Live History'!$H$5:$H$3004,MATCH($A2500,'Live History'!$G$5:$G$3004,1)),INDEX('AH History'!$D$1:$D$18046,AH!$P$7+2495))),NA()),NA())</ns0:f>
        <ns0:v/>
      </ns0:c>
      <ns0:c r="F2500">
        <ns0:f>IFERROR(IF(ISNUMBER($A2500),IF(AND(AH!$P$10=1,AH!$P$12=1,$A2500=TODAY()),IF(AND(AH!$P$10=1,AH!$P$12=1,$A2500=TODAY()),TODAY(),NA()),IF(AH!$P$10=1,INDEX('Live History'!$D$5:$D$3004,MATCH($A2500,'Live History'!$D$5:$D$3004,1)),INDEX('AH History'!$E$1:$E$18046,AH!$P$7+2495))),NA()),NA())</ns0:f>
        <ns0:v/>
      </ns0:c>
      <ns0:c r="G2500">
        <ns0:f>IFERROR(IF(ISNUMBER($A2500),IF(AND(AH!$P$10=1,AH!$P$12=1,$A2500=TODAY()),IF(AND(AH!$P$10=1,AH!$P$12=1,$A2500=TODAY()),TODAY(),NA()),IF(AH!$P$10=1,INDEX('Live History'!$G$5:$G$3004,MATCH($A2500,'Live History'!$G$5:$G$3004,1)),INDEX('AH History'!$F$1:$F$18046,AH!$P$7+2495))),NA()),NA())</ns0:f>
        <ns0:v/>
      </ns0:c>
      <ns0:c r="H2500">
        <ns0:f>IFERROR(IF(AND(AH!$E$4="Bloomberg",AH!$P$10=1,ISNUMBER($A2500),$A2500&lt;=AH!$P$17),AH!$P$7-1+MATCH($A2500,INDEX('AH History'!$A$1:$A$18046,AH!$P$7):INDEX('AH History'!$A$1:$A$18046,AH!$P$7+AH!$P$8-1),0),0),0)</ns0:f>
        <ns0:v/>
      </ns0:c>
      <ns0:c r="I2500">
        <ns0:f>IF($H2500=0,0,IFERROR(IF(AND(ABS($C2500-INDEX('AH History'!$B$1:$B$18046,$H2500))&lt;=MAX(0.005,ABS(INDEX('AH History'!$B$1:$B$18046,$H2500))*0.00005),ABS($D2500-INDEX('AH History'!$C$1:$C$18046,$H2500))&lt;=MAX(0.005,ABS(INDEX('AH History'!$C$1:$C$18046,$H2500))*0.00005),ABS($E2500-INDEX('AH History'!$D$1:$D$18046,$H2500))&lt;=0.00005,$F2500=INDEX('AH History'!$E$1:$E$18046,$H2500),$G2500=INDEX('AH History'!$F$1:$F$18046,$H2500)),1,-1),-1))</ns0:f>
        <ns0:v/>
      </ns0:c>
    </ns0:row>
    <ns0:row r="2501">
      <ns0:c r="A2501" s="215">
        <ns0:f>IF(OR(AH!$P$3=0,2496+1&gt;AH!$P$11,AND(AH!$E$4&lt;&gt;"Stored",AH!$P$10&lt;&gt;1)),"",IFERROR(IF(AND(AH!$P$21=1,2496+1=AH!$P$11),TODAY(),IF(AH!$P$10=1,INDEX('Live History'!$A$5:$A$3004,AH!$P$13+2496),INDEX('AH History'!$A$1:$A$18046,AH!$P$7+2496))),""))</ns0:f>
        <ns0:v/>
      </ns0:c>
      <ns0:c r="B2501" s="219">
        <ns0:f>IFERROR(IF(AND(AH!$P$9&lt;&gt;1,$C2501&gt;0,$D2501&gt;0,$E2501&gt;0,$F2501&gt;0,$G2501&gt;0,$F2501&lt;=$A2501,$G2501&lt;=$A2501,$A2501-$F2501&lt;=10,$A2501-$G2501&lt;=5),$D2501*$E2501/$C2501-1,NA()),NA())</ns0:f>
        <ns0:v/>
      </ns0:c>
      <ns0:c r="C2501">
        <ns0:f>IFERROR(IF(ISNUMBER($A2501),IF(AND(AH!$P$10=1,AH!$P$12=1,$A2501=TODAY()),AH!$P$19,IF(AH!$P$10=1,INDEX('Live History'!$B$5:$B$3004,AH!$P$13+2496),INDEX('AH History'!$B$1:$B$18046,AH!$P$7+2496))),NA()),NA())</ns0:f>
        <ns0:v/>
      </ns0:c>
      <ns0:c r="D2501">
        <ns0:f>IFERROR(IF(ISNUMBER($A2501),IF(AND(AH!$P$10=1,AH!$P$12=1,$A2501=TODAY()),AH!$P$18,IF(AH!$P$10=1,INDEX('Live History'!$E$5:$E$3004,MATCH($A2501,'Live History'!$D$5:$D$3004,1)),INDEX('AH History'!$C$1:$C$18046,AH!$P$7+2496))),NA()),NA())</ns0:f>
        <ns0:v/>
      </ns0:c>
      <ns0:c r="E2501">
        <ns0:f>IFERROR(IF(ISNUMBER($A2501),IF(AND(AH!$P$10=1,AH!$P$12=1,$A2501=TODAY()),AH!$P$20,IF(AH!$P$10=1,INDEX('Live History'!$H$5:$H$3004,MATCH($A2501,'Live History'!$G$5:$G$3004,1)),INDEX('AH History'!$D$1:$D$18046,AH!$P$7+2496))),NA()),NA())</ns0:f>
        <ns0:v/>
      </ns0:c>
      <ns0:c r="F2501">
        <ns0:f>IFERROR(IF(ISNUMBER($A2501),IF(AND(AH!$P$10=1,AH!$P$12=1,$A2501=TODAY()),IF(AND(AH!$P$10=1,AH!$P$12=1,$A2501=TODAY()),TODAY(),NA()),IF(AH!$P$10=1,INDEX('Live History'!$D$5:$D$3004,MATCH($A2501,'Live History'!$D$5:$D$3004,1)),INDEX('AH History'!$E$1:$E$18046,AH!$P$7+2496))),NA()),NA())</ns0:f>
        <ns0:v/>
      </ns0:c>
      <ns0:c r="G2501">
        <ns0:f>IFERROR(IF(ISNUMBER($A2501),IF(AND(AH!$P$10=1,AH!$P$12=1,$A2501=TODAY()),IF(AND(AH!$P$10=1,AH!$P$12=1,$A2501=TODAY()),TODAY(),NA()),IF(AH!$P$10=1,INDEX('Live History'!$G$5:$G$3004,MATCH($A2501,'Live History'!$G$5:$G$3004,1)),INDEX('AH History'!$F$1:$F$18046,AH!$P$7+2496))),NA()),NA())</ns0:f>
        <ns0:v/>
      </ns0:c>
      <ns0:c r="H2501">
        <ns0:f>IFERROR(IF(AND(AH!$E$4="Bloomberg",AH!$P$10=1,ISNUMBER($A2501),$A2501&lt;=AH!$P$17),AH!$P$7-1+MATCH($A2501,INDEX('AH History'!$A$1:$A$18046,AH!$P$7):INDEX('AH History'!$A$1:$A$18046,AH!$P$7+AH!$P$8-1),0),0),0)</ns0:f>
        <ns0:v/>
      </ns0:c>
      <ns0:c r="I2501">
        <ns0:f>IF($H2501=0,0,IFERROR(IF(AND(ABS($C2501-INDEX('AH History'!$B$1:$B$18046,$H2501))&lt;=MAX(0.005,ABS(INDEX('AH History'!$B$1:$B$18046,$H2501))*0.00005),ABS($D2501-INDEX('AH History'!$C$1:$C$18046,$H2501))&lt;=MAX(0.005,ABS(INDEX('AH History'!$C$1:$C$18046,$H2501))*0.00005),ABS($E2501-INDEX('AH History'!$D$1:$D$18046,$H2501))&lt;=0.00005,$F2501=INDEX('AH History'!$E$1:$E$18046,$H2501),$G2501=INDEX('AH History'!$F$1:$F$18046,$H2501)),1,-1),-1))</ns0:f>
        <ns0:v/>
      </ns0:c>
    </ns0:row>
    <ns0:row r="2502">
      <ns0:c r="A2502" s="215">
        <ns0:f>IF(OR(AH!$P$3=0,2497+1&gt;AH!$P$11,AND(AH!$E$4&lt;&gt;"Stored",AH!$P$10&lt;&gt;1)),"",IFERROR(IF(AND(AH!$P$21=1,2497+1=AH!$P$11),TODAY(),IF(AH!$P$10=1,INDEX('Live History'!$A$5:$A$3004,AH!$P$13+2497),INDEX('AH History'!$A$1:$A$18046,AH!$P$7+2497))),""))</ns0:f>
        <ns0:v/>
      </ns0:c>
      <ns0:c r="B2502" s="219">
        <ns0:f>IFERROR(IF(AND(AH!$P$9&lt;&gt;1,$C2502&gt;0,$D2502&gt;0,$E2502&gt;0,$F2502&gt;0,$G2502&gt;0,$F2502&lt;=$A2502,$G2502&lt;=$A2502,$A2502-$F2502&lt;=10,$A2502-$G2502&lt;=5),$D2502*$E2502/$C2502-1,NA()),NA())</ns0:f>
        <ns0:v/>
      </ns0:c>
      <ns0:c r="C2502">
        <ns0:f>IFERROR(IF(ISNUMBER($A2502),IF(AND(AH!$P$10=1,AH!$P$12=1,$A2502=TODAY()),AH!$P$19,IF(AH!$P$10=1,INDEX('Live History'!$B$5:$B$3004,AH!$P$13+2497),INDEX('AH History'!$B$1:$B$18046,AH!$P$7+2497))),NA()),NA())</ns0:f>
        <ns0:v/>
      </ns0:c>
      <ns0:c r="D2502">
        <ns0:f>IFERROR(IF(ISNUMBER($A2502),IF(AND(AH!$P$10=1,AH!$P$12=1,$A2502=TODAY()),AH!$P$18,IF(AH!$P$10=1,INDEX('Live History'!$E$5:$E$3004,MATCH($A2502,'Live History'!$D$5:$D$3004,1)),INDEX('AH History'!$C$1:$C$18046,AH!$P$7+2497))),NA()),NA())</ns0:f>
        <ns0:v/>
      </ns0:c>
      <ns0:c r="E2502">
        <ns0:f>IFERROR(IF(ISNUMBER($A2502),IF(AND(AH!$P$10=1,AH!$P$12=1,$A2502=TODAY()),AH!$P$20,IF(AH!$P$10=1,INDEX('Live History'!$H$5:$H$3004,MATCH($A2502,'Live History'!$G$5:$G$3004,1)),INDEX('AH History'!$D$1:$D$18046,AH!$P$7+2497))),NA()),NA())</ns0:f>
        <ns0:v/>
      </ns0:c>
      <ns0:c r="F2502">
        <ns0:f>IFERROR(IF(ISNUMBER($A2502),IF(AND(AH!$P$10=1,AH!$P$12=1,$A2502=TODAY()),IF(AND(AH!$P$10=1,AH!$P$12=1,$A2502=TODAY()),TODAY(),NA()),IF(AH!$P$10=1,INDEX('Live History'!$D$5:$D$3004,MATCH($A2502,'Live History'!$D$5:$D$3004,1)),INDEX('AH History'!$E$1:$E$18046,AH!$P$7+2497))),NA()),NA())</ns0:f>
        <ns0:v/>
      </ns0:c>
      <ns0:c r="G2502">
        <ns0:f>IFERROR(IF(ISNUMBER($A2502),IF(AND(AH!$P$10=1,AH!$P$12=1,$A2502=TODAY()),IF(AND(AH!$P$10=1,AH!$P$12=1,$A2502=TODAY()),TODAY(),NA()),IF(AH!$P$10=1,INDEX('Live History'!$G$5:$G$3004,MATCH($A2502,'Live History'!$G$5:$G$3004,1)),INDEX('AH History'!$F$1:$F$18046,AH!$P$7+2497))),NA()),NA())</ns0:f>
        <ns0:v/>
      </ns0:c>
      <ns0:c r="H2502">
        <ns0:f>IFERROR(IF(AND(AH!$E$4="Bloomberg",AH!$P$10=1,ISNUMBER($A2502),$A2502&lt;=AH!$P$17),AH!$P$7-1+MATCH($A2502,INDEX('AH History'!$A$1:$A$18046,AH!$P$7):INDEX('AH History'!$A$1:$A$18046,AH!$P$7+AH!$P$8-1),0),0),0)</ns0:f>
        <ns0:v/>
      </ns0:c>
      <ns0:c r="I2502">
        <ns0:f>IF($H2502=0,0,IFERROR(IF(AND(ABS($C2502-INDEX('AH History'!$B$1:$B$18046,$H2502))&lt;=MAX(0.005,ABS(INDEX('AH History'!$B$1:$B$18046,$H2502))*0.00005),ABS($D2502-INDEX('AH History'!$C$1:$C$18046,$H2502))&lt;=MAX(0.005,ABS(INDEX('AH History'!$C$1:$C$18046,$H2502))*0.00005),ABS($E2502-INDEX('AH History'!$D$1:$D$18046,$H2502))&lt;=0.00005,$F2502=INDEX('AH History'!$E$1:$E$18046,$H2502),$G2502=INDEX('AH History'!$F$1:$F$18046,$H2502)),1,-1),-1))</ns0:f>
        <ns0:v/>
      </ns0:c>
    </ns0:row>
    <ns0:row r="2503">
      <ns0:c r="A2503" s="215">
        <ns0:f>IF(OR(AH!$P$3=0,2498+1&gt;AH!$P$11,AND(AH!$E$4&lt;&gt;"Stored",AH!$P$10&lt;&gt;1)),"",IFERROR(IF(AND(AH!$P$21=1,2498+1=AH!$P$11),TODAY(),IF(AH!$P$10=1,INDEX('Live History'!$A$5:$A$3004,AH!$P$13+2498),INDEX('AH History'!$A$1:$A$18046,AH!$P$7+2498))),""))</ns0:f>
        <ns0:v/>
      </ns0:c>
      <ns0:c r="B2503" s="219">
        <ns0:f>IFERROR(IF(AND(AH!$P$9&lt;&gt;1,$C2503&gt;0,$D2503&gt;0,$E2503&gt;0,$F2503&gt;0,$G2503&gt;0,$F2503&lt;=$A2503,$G2503&lt;=$A2503,$A2503-$F2503&lt;=10,$A2503-$G2503&lt;=5),$D2503*$E2503/$C2503-1,NA()),NA())</ns0:f>
        <ns0:v/>
      </ns0:c>
      <ns0:c r="C2503">
        <ns0:f>IFERROR(IF(ISNUMBER($A2503),IF(AND(AH!$P$10=1,AH!$P$12=1,$A2503=TODAY()),AH!$P$19,IF(AH!$P$10=1,INDEX('Live History'!$B$5:$B$3004,AH!$P$13+2498),INDEX('AH History'!$B$1:$B$18046,AH!$P$7+2498))),NA()),NA())</ns0:f>
        <ns0:v/>
      </ns0:c>
      <ns0:c r="D2503">
        <ns0:f>IFERROR(IF(ISNUMBER($A2503),IF(AND(AH!$P$10=1,AH!$P$12=1,$A2503=TODAY()),AH!$P$18,IF(AH!$P$10=1,INDEX('Live History'!$E$5:$E$3004,MATCH($A2503,'Live History'!$D$5:$D$3004,1)),INDEX('AH History'!$C$1:$C$18046,AH!$P$7+2498))),NA()),NA())</ns0:f>
        <ns0:v/>
      </ns0:c>
      <ns0:c r="E2503">
        <ns0:f>IFERROR(IF(ISNUMBER($A2503),IF(AND(AH!$P$10=1,AH!$P$12=1,$A2503=TODAY()),AH!$P$20,IF(AH!$P$10=1,INDEX('Live History'!$H$5:$H$3004,MATCH($A2503,'Live History'!$G$5:$G$3004,1)),INDEX('AH History'!$D$1:$D$18046,AH!$P$7+2498))),NA()),NA())</ns0:f>
        <ns0:v/>
      </ns0:c>
      <ns0:c r="F2503">
        <ns0:f>IFERROR(IF(ISNUMBER($A2503),IF(AND(AH!$P$10=1,AH!$P$12=1,$A2503=TODAY()),IF(AND(AH!$P$10=1,AH!$P$12=1,$A2503=TODAY()),TODAY(),NA()),IF(AH!$P$10=1,INDEX('Live History'!$D$5:$D$3004,MATCH($A2503,'Live History'!$D$5:$D$3004,1)),INDEX('AH History'!$E$1:$E$18046,AH!$P$7+2498))),NA()),NA())</ns0:f>
        <ns0:v/>
      </ns0:c>
      <ns0:c r="G2503">
        <ns0:f>IFERROR(IF(ISNUMBER($A2503),IF(AND(AH!$P$10=1,AH!$P$12=1,$A2503=TODAY()),IF(AND(AH!$P$10=1,AH!$P$12=1,$A2503=TODAY()),TODAY(),NA()),IF(AH!$P$10=1,INDEX('Live History'!$G$5:$G$3004,MATCH($A2503,'Live History'!$G$5:$G$3004,1)),INDEX('AH History'!$F$1:$F$18046,AH!$P$7+2498))),NA()),NA())</ns0:f>
        <ns0:v/>
      </ns0:c>
      <ns0:c r="H2503">
        <ns0:f>IFERROR(IF(AND(AH!$E$4="Bloomberg",AH!$P$10=1,ISNUMBER($A2503),$A2503&lt;=AH!$P$17),AH!$P$7-1+MATCH($A2503,INDEX('AH History'!$A$1:$A$18046,AH!$P$7):INDEX('AH History'!$A$1:$A$18046,AH!$P$7+AH!$P$8-1),0),0),0)</ns0:f>
        <ns0:v/>
      </ns0:c>
      <ns0:c r="I2503">
        <ns0:f>IF($H2503=0,0,IFERROR(IF(AND(ABS($C2503-INDEX('AH History'!$B$1:$B$18046,$H2503))&lt;=MAX(0.005,ABS(INDEX('AH History'!$B$1:$B$18046,$H2503))*0.00005),ABS($D2503-INDEX('AH History'!$C$1:$C$18046,$H2503))&lt;=MAX(0.005,ABS(INDEX('AH History'!$C$1:$C$18046,$H2503))*0.00005),ABS($E2503-INDEX('AH History'!$D$1:$D$18046,$H2503))&lt;=0.00005,$F2503=INDEX('AH History'!$E$1:$E$18046,$H2503),$G2503=INDEX('AH History'!$F$1:$F$18046,$H2503)),1,-1),-1))</ns0:f>
        <ns0:v/>
      </ns0:c>
    </ns0:row>
    <ns0:row r="2504">
      <ns0:c r="A2504" s="215">
        <ns0:f>IF(OR(AH!$P$3=0,2499+1&gt;AH!$P$11,AND(AH!$E$4&lt;&gt;"Stored",AH!$P$10&lt;&gt;1)),"",IFERROR(IF(AND(AH!$P$21=1,2499+1=AH!$P$11),TODAY(),IF(AH!$P$10=1,INDEX('Live History'!$A$5:$A$3004,AH!$P$13+2499),INDEX('AH History'!$A$1:$A$18046,AH!$P$7+2499))),""))</ns0:f>
        <ns0:v/>
      </ns0:c>
      <ns0:c r="B2504" s="219">
        <ns0:f>IFERROR(IF(AND(AH!$P$9&lt;&gt;1,$C2504&gt;0,$D2504&gt;0,$E2504&gt;0,$F2504&gt;0,$G2504&gt;0,$F2504&lt;=$A2504,$G2504&lt;=$A2504,$A2504-$F2504&lt;=10,$A2504-$G2504&lt;=5),$D2504*$E2504/$C2504-1,NA()),NA())</ns0:f>
        <ns0:v/>
      </ns0:c>
      <ns0:c r="C2504">
        <ns0:f>IFERROR(IF(ISNUMBER($A2504),IF(AND(AH!$P$10=1,AH!$P$12=1,$A2504=TODAY()),AH!$P$19,IF(AH!$P$10=1,INDEX('Live History'!$B$5:$B$3004,AH!$P$13+2499),INDEX('AH History'!$B$1:$B$18046,AH!$P$7+2499))),NA()),NA())</ns0:f>
        <ns0:v/>
      </ns0:c>
      <ns0:c r="D2504">
        <ns0:f>IFERROR(IF(ISNUMBER($A2504),IF(AND(AH!$P$10=1,AH!$P$12=1,$A2504=TODAY()),AH!$P$18,IF(AH!$P$10=1,INDEX('Live History'!$E$5:$E$3004,MATCH($A2504,'Live History'!$D$5:$D$3004,1)),INDEX('AH History'!$C$1:$C$18046,AH!$P$7+2499))),NA()),NA())</ns0:f>
        <ns0:v/>
      </ns0:c>
      <ns0:c r="E2504">
        <ns0:f>IFERROR(IF(ISNUMBER($A2504),IF(AND(AH!$P$10=1,AH!$P$12=1,$A2504=TODAY()),AH!$P$20,IF(AH!$P$10=1,INDEX('Live History'!$H$5:$H$3004,MATCH($A2504,'Live History'!$G$5:$G$3004,1)),INDEX('AH History'!$D$1:$D$18046,AH!$P$7+2499))),NA()),NA())</ns0:f>
        <ns0:v/>
      </ns0:c>
      <ns0:c r="F2504">
        <ns0:f>IFERROR(IF(ISNUMBER($A2504),IF(AND(AH!$P$10=1,AH!$P$12=1,$A2504=TODAY()),IF(AND(AH!$P$10=1,AH!$P$12=1,$A2504=TODAY()),TODAY(),NA()),IF(AH!$P$10=1,INDEX('Live History'!$D$5:$D$3004,MATCH($A2504,'Live History'!$D$5:$D$3004,1)),INDEX('AH History'!$E$1:$E$18046,AH!$P$7+2499))),NA()),NA())</ns0:f>
        <ns0:v/>
      </ns0:c>
      <ns0:c r="G2504">
        <ns0:f>IFERROR(IF(ISNUMBER($A2504),IF(AND(AH!$P$10=1,AH!$P$12=1,$A2504=TODAY()),IF(AND(AH!$P$10=1,AH!$P$12=1,$A2504=TODAY()),TODAY(),NA()),IF(AH!$P$10=1,INDEX('Live History'!$G$5:$G$3004,MATCH($A2504,'Live History'!$G$5:$G$3004,1)),INDEX('AH History'!$F$1:$F$18046,AH!$P$7+2499))),NA()),NA())</ns0:f>
        <ns0:v/>
      </ns0:c>
      <ns0:c r="H2504">
        <ns0:f>IFERROR(IF(AND(AH!$E$4="Bloomberg",AH!$P$10=1,ISNUMBER($A2504),$A2504&lt;=AH!$P$17),AH!$P$7-1+MATCH($A2504,INDEX('AH History'!$A$1:$A$18046,AH!$P$7):INDEX('AH History'!$A$1:$A$18046,AH!$P$7+AH!$P$8-1),0),0),0)</ns0:f>
        <ns0:v/>
      </ns0:c>
      <ns0:c r="I2504">
        <ns0:f>IF($H2504=0,0,IFERROR(IF(AND(ABS($C2504-INDEX('AH History'!$B$1:$B$18046,$H2504))&lt;=MAX(0.005,ABS(INDEX('AH History'!$B$1:$B$18046,$H2504))*0.00005),ABS($D2504-INDEX('AH History'!$C$1:$C$18046,$H2504))&lt;=MAX(0.005,ABS(INDEX('AH History'!$C$1:$C$18046,$H2504))*0.00005),ABS($E2504-INDEX('AH History'!$D$1:$D$18046,$H2504))&lt;=0.00005,$F2504=INDEX('AH History'!$E$1:$E$18046,$H2504),$G2504=INDEX('AH History'!$F$1:$F$18046,$H2504)),1,-1),-1))</ns0:f>
        <ns0:v/>
      </ns0:c>
    </ns0:row>
    <ns0:row r="2505">
      <ns0:c r="A2505" s="215">
        <ns0:f>IF(OR(AH!$P$3=0,2500+1&gt;AH!$P$11,AND(AH!$E$4&lt;&gt;"Stored",AH!$P$10&lt;&gt;1)),"",IFERROR(IF(AND(AH!$P$21=1,2500+1=AH!$P$11),TODAY(),IF(AH!$P$10=1,INDEX('Live History'!$A$5:$A$3004,AH!$P$13+2500),INDEX('AH History'!$A$1:$A$18046,AH!$P$7+2500))),""))</ns0:f>
        <ns0:v/>
      </ns0:c>
      <ns0:c r="B2505" s="219">
        <ns0:f>IFERROR(IF(AND(AH!$P$9&lt;&gt;1,$C2505&gt;0,$D2505&gt;0,$E2505&gt;0,$F2505&gt;0,$G2505&gt;0,$F2505&lt;=$A2505,$G2505&lt;=$A2505,$A2505-$F2505&lt;=10,$A2505-$G2505&lt;=5),$D2505*$E2505/$C2505-1,NA()),NA())</ns0:f>
        <ns0:v/>
      </ns0:c>
      <ns0:c r="C2505">
        <ns0:f>IFERROR(IF(ISNUMBER($A2505),IF(AND(AH!$P$10=1,AH!$P$12=1,$A2505=TODAY()),AH!$P$19,IF(AH!$P$10=1,INDEX('Live History'!$B$5:$B$3004,AH!$P$13+2500),INDEX('AH History'!$B$1:$B$18046,AH!$P$7+2500))),NA()),NA())</ns0:f>
        <ns0:v/>
      </ns0:c>
      <ns0:c r="D2505">
        <ns0:f>IFERROR(IF(ISNUMBER($A2505),IF(AND(AH!$P$10=1,AH!$P$12=1,$A2505=TODAY()),AH!$P$18,IF(AH!$P$10=1,INDEX('Live History'!$E$5:$E$3004,MATCH($A2505,'Live History'!$D$5:$D$3004,1)),INDEX('AH History'!$C$1:$C$18046,AH!$P$7+2500))),NA()),NA())</ns0:f>
        <ns0:v/>
      </ns0:c>
      <ns0:c r="E2505">
        <ns0:f>IFERROR(IF(ISNUMBER($A2505),IF(AND(AH!$P$10=1,AH!$P$12=1,$A2505=TODAY()),AH!$P$20,IF(AH!$P$10=1,INDEX('Live History'!$H$5:$H$3004,MATCH($A2505,'Live History'!$G$5:$G$3004,1)),INDEX('AH History'!$D$1:$D$18046,AH!$P$7+2500))),NA()),NA())</ns0:f>
        <ns0:v/>
      </ns0:c>
      <ns0:c r="F2505">
        <ns0:f>IFERROR(IF(ISNUMBER($A2505),IF(AND(AH!$P$10=1,AH!$P$12=1,$A2505=TODAY()),IF(AND(AH!$P$10=1,AH!$P$12=1,$A2505=TODAY()),TODAY(),NA()),IF(AH!$P$10=1,INDEX('Live History'!$D$5:$D$3004,MATCH($A2505,'Live History'!$D$5:$D$3004,1)),INDEX('AH History'!$E$1:$E$18046,AH!$P$7+2500))),NA()),NA())</ns0:f>
        <ns0:v/>
      </ns0:c>
      <ns0:c r="G2505">
        <ns0:f>IFERROR(IF(ISNUMBER($A2505),IF(AND(AH!$P$10=1,AH!$P$12=1,$A2505=TODAY()),IF(AND(AH!$P$10=1,AH!$P$12=1,$A2505=TODAY()),TODAY(),NA()),IF(AH!$P$10=1,INDEX('Live History'!$G$5:$G$3004,MATCH($A2505,'Live History'!$G$5:$G$3004,1)),INDEX('AH History'!$F$1:$F$18046,AH!$P$7+2500))),NA()),NA())</ns0:f>
        <ns0:v/>
      </ns0:c>
      <ns0:c r="H2505">
        <ns0:f>IFERROR(IF(AND(AH!$E$4="Bloomberg",AH!$P$10=1,ISNUMBER($A2505),$A2505&lt;=AH!$P$17),AH!$P$7-1+MATCH($A2505,INDEX('AH History'!$A$1:$A$18046,AH!$P$7):INDEX('AH History'!$A$1:$A$18046,AH!$P$7+AH!$P$8-1),0),0),0)</ns0:f>
        <ns0:v/>
      </ns0:c>
      <ns0:c r="I2505">
        <ns0:f>IF($H2505=0,0,IFERROR(IF(AND(ABS($C2505-INDEX('AH History'!$B$1:$B$18046,$H2505))&lt;=MAX(0.005,ABS(INDEX('AH History'!$B$1:$B$18046,$H2505))*0.00005),ABS($D2505-INDEX('AH History'!$C$1:$C$18046,$H2505))&lt;=MAX(0.005,ABS(INDEX('AH History'!$C$1:$C$18046,$H2505))*0.00005),ABS($E2505-INDEX('AH History'!$D$1:$D$18046,$H2505))&lt;=0.00005,$F2505=INDEX('AH History'!$E$1:$E$18046,$H2505),$G2505=INDEX('AH History'!$F$1:$F$18046,$H2505)),1,-1),-1))</ns0:f>
        <ns0:v/>
      </ns0:c>
    </ns0:row>
    <ns0:row r="2506">
      <ns0:c r="A2506" s="215">
        <ns0:f>IF(OR(AH!$P$3=0,2501+1&gt;AH!$P$11,AND(AH!$E$4&lt;&gt;"Stored",AH!$P$10&lt;&gt;1)),"",IFERROR(IF(AND(AH!$P$21=1,2501+1=AH!$P$11),TODAY(),IF(AH!$P$10=1,INDEX('Live History'!$A$5:$A$3004,AH!$P$13+2501),INDEX('AH History'!$A$1:$A$18046,AH!$P$7+2501))),""))</ns0:f>
        <ns0:v/>
      </ns0:c>
      <ns0:c r="B2506" s="219">
        <ns0:f>IFERROR(IF(AND(AH!$P$9&lt;&gt;1,$C2506&gt;0,$D2506&gt;0,$E2506&gt;0,$F2506&gt;0,$G2506&gt;0,$F2506&lt;=$A2506,$G2506&lt;=$A2506,$A2506-$F2506&lt;=10,$A2506-$G2506&lt;=5),$D2506*$E2506/$C2506-1,NA()),NA())</ns0:f>
        <ns0:v/>
      </ns0:c>
      <ns0:c r="C2506">
        <ns0:f>IFERROR(IF(ISNUMBER($A2506),IF(AND(AH!$P$10=1,AH!$P$12=1,$A2506=TODAY()),AH!$P$19,IF(AH!$P$10=1,INDEX('Live History'!$B$5:$B$3004,AH!$P$13+2501),INDEX('AH History'!$B$1:$B$18046,AH!$P$7+2501))),NA()),NA())</ns0:f>
        <ns0:v/>
      </ns0:c>
      <ns0:c r="D2506">
        <ns0:f>IFERROR(IF(ISNUMBER($A2506),IF(AND(AH!$P$10=1,AH!$P$12=1,$A2506=TODAY()),AH!$P$18,IF(AH!$P$10=1,INDEX('Live History'!$E$5:$E$3004,MATCH($A2506,'Live History'!$D$5:$D$3004,1)),INDEX('AH History'!$C$1:$C$18046,AH!$P$7+2501))),NA()),NA())</ns0:f>
        <ns0:v/>
      </ns0:c>
      <ns0:c r="E2506">
        <ns0:f>IFERROR(IF(ISNUMBER($A2506),IF(AND(AH!$P$10=1,AH!$P$12=1,$A2506=TODAY()),AH!$P$20,IF(AH!$P$10=1,INDEX('Live History'!$H$5:$H$3004,MATCH($A2506,'Live History'!$G$5:$G$3004,1)),INDEX('AH History'!$D$1:$D$18046,AH!$P$7+2501))),NA()),NA())</ns0:f>
        <ns0:v/>
      </ns0:c>
      <ns0:c r="F2506">
        <ns0:f>IFERROR(IF(ISNUMBER($A2506),IF(AND(AH!$P$10=1,AH!$P$12=1,$A2506=TODAY()),IF(AND(AH!$P$10=1,AH!$P$12=1,$A2506=TODAY()),TODAY(),NA()),IF(AH!$P$10=1,INDEX('Live History'!$D$5:$D$3004,MATCH($A2506,'Live History'!$D$5:$D$3004,1)),INDEX('AH History'!$E$1:$E$18046,AH!$P$7+2501))),NA()),NA())</ns0:f>
        <ns0:v/>
      </ns0:c>
      <ns0:c r="G2506">
        <ns0:f>IFERROR(IF(ISNUMBER($A2506),IF(AND(AH!$P$10=1,AH!$P$12=1,$A2506=TODAY()),IF(AND(AH!$P$10=1,AH!$P$12=1,$A2506=TODAY()),TODAY(),NA()),IF(AH!$P$10=1,INDEX('Live History'!$G$5:$G$3004,MATCH($A2506,'Live History'!$G$5:$G$3004,1)),INDEX('AH History'!$F$1:$F$18046,AH!$P$7+2501))),NA()),NA())</ns0:f>
        <ns0:v/>
      </ns0:c>
      <ns0:c r="H2506">
        <ns0:f>IFERROR(IF(AND(AH!$E$4="Bloomberg",AH!$P$10=1,ISNUMBER($A2506),$A2506&lt;=AH!$P$17),AH!$P$7-1+MATCH($A2506,INDEX('AH History'!$A$1:$A$18046,AH!$P$7):INDEX('AH History'!$A$1:$A$18046,AH!$P$7+AH!$P$8-1),0),0),0)</ns0:f>
        <ns0:v/>
      </ns0:c>
      <ns0:c r="I2506">
        <ns0:f>IF($H2506=0,0,IFERROR(IF(AND(ABS($C2506-INDEX('AH History'!$B$1:$B$18046,$H2506))&lt;=MAX(0.005,ABS(INDEX('AH History'!$B$1:$B$18046,$H2506))*0.00005),ABS($D2506-INDEX('AH History'!$C$1:$C$18046,$H2506))&lt;=MAX(0.005,ABS(INDEX('AH History'!$C$1:$C$18046,$H2506))*0.00005),ABS($E2506-INDEX('AH History'!$D$1:$D$18046,$H2506))&lt;=0.00005,$F2506=INDEX('AH History'!$E$1:$E$18046,$H2506),$G2506=INDEX('AH History'!$F$1:$F$18046,$H2506)),1,-1),-1))</ns0:f>
        <ns0:v/>
      </ns0:c>
    </ns0:row>
    <ns0:row r="2507">
      <ns0:c r="A2507" s="215">
        <ns0:f>IF(OR(AH!$P$3=0,2502+1&gt;AH!$P$11,AND(AH!$E$4&lt;&gt;"Stored",AH!$P$10&lt;&gt;1)),"",IFERROR(IF(AND(AH!$P$21=1,2502+1=AH!$P$11),TODAY(),IF(AH!$P$10=1,INDEX('Live History'!$A$5:$A$3004,AH!$P$13+2502),INDEX('AH History'!$A$1:$A$18046,AH!$P$7+2502))),""))</ns0:f>
        <ns0:v/>
      </ns0:c>
      <ns0:c r="B2507" s="219">
        <ns0:f>IFERROR(IF(AND(AH!$P$9&lt;&gt;1,$C2507&gt;0,$D2507&gt;0,$E2507&gt;0,$F2507&gt;0,$G2507&gt;0,$F2507&lt;=$A2507,$G2507&lt;=$A2507,$A2507-$F2507&lt;=10,$A2507-$G2507&lt;=5),$D2507*$E2507/$C2507-1,NA()),NA())</ns0:f>
        <ns0:v/>
      </ns0:c>
      <ns0:c r="C2507">
        <ns0:f>IFERROR(IF(ISNUMBER($A2507),IF(AND(AH!$P$10=1,AH!$P$12=1,$A2507=TODAY()),AH!$P$19,IF(AH!$P$10=1,INDEX('Live History'!$B$5:$B$3004,AH!$P$13+2502),INDEX('AH History'!$B$1:$B$18046,AH!$P$7+2502))),NA()),NA())</ns0:f>
        <ns0:v/>
      </ns0:c>
      <ns0:c r="D2507">
        <ns0:f>IFERROR(IF(ISNUMBER($A2507),IF(AND(AH!$P$10=1,AH!$P$12=1,$A2507=TODAY()),AH!$P$18,IF(AH!$P$10=1,INDEX('Live History'!$E$5:$E$3004,MATCH($A2507,'Live History'!$D$5:$D$3004,1)),INDEX('AH History'!$C$1:$C$18046,AH!$P$7+2502))),NA()),NA())</ns0:f>
        <ns0:v/>
      </ns0:c>
      <ns0:c r="E2507">
        <ns0:f>IFERROR(IF(ISNUMBER($A2507),IF(AND(AH!$P$10=1,AH!$P$12=1,$A2507=TODAY()),AH!$P$20,IF(AH!$P$10=1,INDEX('Live History'!$H$5:$H$3004,MATCH($A2507,'Live History'!$G$5:$G$3004,1)),INDEX('AH History'!$D$1:$D$18046,AH!$P$7+2502))),NA()),NA())</ns0:f>
        <ns0:v/>
      </ns0:c>
      <ns0:c r="F2507">
        <ns0:f>IFERROR(IF(ISNUMBER($A2507),IF(AND(AH!$P$10=1,AH!$P$12=1,$A2507=TODAY()),IF(AND(AH!$P$10=1,AH!$P$12=1,$A2507=TODAY()),TODAY(),NA()),IF(AH!$P$10=1,INDEX('Live History'!$D$5:$D$3004,MATCH($A2507,'Live History'!$D$5:$D$3004,1)),INDEX('AH History'!$E$1:$E$18046,AH!$P$7+2502))),NA()),NA())</ns0:f>
        <ns0:v/>
      </ns0:c>
      <ns0:c r="G2507">
        <ns0:f>IFERROR(IF(ISNUMBER($A2507),IF(AND(AH!$P$10=1,AH!$P$12=1,$A2507=TODAY()),IF(AND(AH!$P$10=1,AH!$P$12=1,$A2507=TODAY()),TODAY(),NA()),IF(AH!$P$10=1,INDEX('Live History'!$G$5:$G$3004,MATCH($A2507,'Live History'!$G$5:$G$3004,1)),INDEX('AH History'!$F$1:$F$18046,AH!$P$7+2502))),NA()),NA())</ns0:f>
        <ns0:v/>
      </ns0:c>
      <ns0:c r="H2507">
        <ns0:f>IFERROR(IF(AND(AH!$E$4="Bloomberg",AH!$P$10=1,ISNUMBER($A2507),$A2507&lt;=AH!$P$17),AH!$P$7-1+MATCH($A2507,INDEX('AH History'!$A$1:$A$18046,AH!$P$7):INDEX('AH History'!$A$1:$A$18046,AH!$P$7+AH!$P$8-1),0),0),0)</ns0:f>
        <ns0:v/>
      </ns0:c>
      <ns0:c r="I2507">
        <ns0:f>IF($H2507=0,0,IFERROR(IF(AND(ABS($C2507-INDEX('AH History'!$B$1:$B$18046,$H2507))&lt;=MAX(0.005,ABS(INDEX('AH History'!$B$1:$B$18046,$H2507))*0.00005),ABS($D2507-INDEX('AH History'!$C$1:$C$18046,$H2507))&lt;=MAX(0.005,ABS(INDEX('AH History'!$C$1:$C$18046,$H2507))*0.00005),ABS($E2507-INDEX('AH History'!$D$1:$D$18046,$H2507))&lt;=0.00005,$F2507=INDEX('AH History'!$E$1:$E$18046,$H2507),$G2507=INDEX('AH History'!$F$1:$F$18046,$H2507)),1,-1),-1))</ns0:f>
        <ns0:v/>
      </ns0:c>
    </ns0:row>
    <ns0:row r="2508">
      <ns0:c r="A2508" s="215">
        <ns0:f>IF(OR(AH!$P$3=0,2503+1&gt;AH!$P$11,AND(AH!$E$4&lt;&gt;"Stored",AH!$P$10&lt;&gt;1)),"",IFERROR(IF(AND(AH!$P$21=1,2503+1=AH!$P$11),TODAY(),IF(AH!$P$10=1,INDEX('Live History'!$A$5:$A$3004,AH!$P$13+2503),INDEX('AH History'!$A$1:$A$18046,AH!$P$7+2503))),""))</ns0:f>
        <ns0:v/>
      </ns0:c>
      <ns0:c r="B2508" s="219">
        <ns0:f>IFERROR(IF(AND(AH!$P$9&lt;&gt;1,$C2508&gt;0,$D2508&gt;0,$E2508&gt;0,$F2508&gt;0,$G2508&gt;0,$F2508&lt;=$A2508,$G2508&lt;=$A2508,$A2508-$F2508&lt;=10,$A2508-$G2508&lt;=5),$D2508*$E2508/$C2508-1,NA()),NA())</ns0:f>
        <ns0:v/>
      </ns0:c>
      <ns0:c r="C2508">
        <ns0:f>IFERROR(IF(ISNUMBER($A2508),IF(AND(AH!$P$10=1,AH!$P$12=1,$A2508=TODAY()),AH!$P$19,IF(AH!$P$10=1,INDEX('Live History'!$B$5:$B$3004,AH!$P$13+2503),INDEX('AH History'!$B$1:$B$18046,AH!$P$7+2503))),NA()),NA())</ns0:f>
        <ns0:v/>
      </ns0:c>
      <ns0:c r="D2508">
        <ns0:f>IFERROR(IF(ISNUMBER($A2508),IF(AND(AH!$P$10=1,AH!$P$12=1,$A2508=TODAY()),AH!$P$18,IF(AH!$P$10=1,INDEX('Live History'!$E$5:$E$3004,MATCH($A2508,'Live History'!$D$5:$D$3004,1)),INDEX('AH History'!$C$1:$C$18046,AH!$P$7+2503))),NA()),NA())</ns0:f>
        <ns0:v/>
      </ns0:c>
      <ns0:c r="E2508">
        <ns0:f>IFERROR(IF(ISNUMBER($A2508),IF(AND(AH!$P$10=1,AH!$P$12=1,$A2508=TODAY()),AH!$P$20,IF(AH!$P$10=1,INDEX('Live History'!$H$5:$H$3004,MATCH($A2508,'Live History'!$G$5:$G$3004,1)),INDEX('AH History'!$D$1:$D$18046,AH!$P$7+2503))),NA()),NA())</ns0:f>
        <ns0:v/>
      </ns0:c>
      <ns0:c r="F2508">
        <ns0:f>IFERROR(IF(ISNUMBER($A2508),IF(AND(AH!$P$10=1,AH!$P$12=1,$A2508=TODAY()),IF(AND(AH!$P$10=1,AH!$P$12=1,$A2508=TODAY()),TODAY(),NA()),IF(AH!$P$10=1,INDEX('Live History'!$D$5:$D$3004,MATCH($A2508,'Live History'!$D$5:$D$3004,1)),INDEX('AH History'!$E$1:$E$18046,AH!$P$7+2503))),NA()),NA())</ns0:f>
        <ns0:v/>
      </ns0:c>
      <ns0:c r="G2508">
        <ns0:f>IFERROR(IF(ISNUMBER($A2508),IF(AND(AH!$P$10=1,AH!$P$12=1,$A2508=TODAY()),IF(AND(AH!$P$10=1,AH!$P$12=1,$A2508=TODAY()),TODAY(),NA()),IF(AH!$P$10=1,INDEX('Live History'!$G$5:$G$3004,MATCH($A2508,'Live History'!$G$5:$G$3004,1)),INDEX('AH History'!$F$1:$F$18046,AH!$P$7+2503))),NA()),NA())</ns0:f>
        <ns0:v/>
      </ns0:c>
      <ns0:c r="H2508">
        <ns0:f>IFERROR(IF(AND(AH!$E$4="Bloomberg",AH!$P$10=1,ISNUMBER($A2508),$A2508&lt;=AH!$P$17),AH!$P$7-1+MATCH($A2508,INDEX('AH History'!$A$1:$A$18046,AH!$P$7):INDEX('AH History'!$A$1:$A$18046,AH!$P$7+AH!$P$8-1),0),0),0)</ns0:f>
        <ns0:v/>
      </ns0:c>
      <ns0:c r="I2508">
        <ns0:f>IF($H2508=0,0,IFERROR(IF(AND(ABS($C2508-INDEX('AH History'!$B$1:$B$18046,$H2508))&lt;=MAX(0.005,ABS(INDEX('AH History'!$B$1:$B$18046,$H2508))*0.00005),ABS($D2508-INDEX('AH History'!$C$1:$C$18046,$H2508))&lt;=MAX(0.005,ABS(INDEX('AH History'!$C$1:$C$18046,$H2508))*0.00005),ABS($E2508-INDEX('AH History'!$D$1:$D$18046,$H2508))&lt;=0.00005,$F2508=INDEX('AH History'!$E$1:$E$18046,$H2508),$G2508=INDEX('AH History'!$F$1:$F$18046,$H2508)),1,-1),-1))</ns0:f>
        <ns0:v/>
      </ns0:c>
    </ns0:row>
    <ns0:row r="2509">
      <ns0:c r="A2509" s="215">
        <ns0:f>IF(OR(AH!$P$3=0,2504+1&gt;AH!$P$11,AND(AH!$E$4&lt;&gt;"Stored",AH!$P$10&lt;&gt;1)),"",IFERROR(IF(AND(AH!$P$21=1,2504+1=AH!$P$11),TODAY(),IF(AH!$P$10=1,INDEX('Live History'!$A$5:$A$3004,AH!$P$13+2504),INDEX('AH History'!$A$1:$A$18046,AH!$P$7+2504))),""))</ns0:f>
        <ns0:v/>
      </ns0:c>
      <ns0:c r="B2509" s="219">
        <ns0:f>IFERROR(IF(AND(AH!$P$9&lt;&gt;1,$C2509&gt;0,$D2509&gt;0,$E2509&gt;0,$F2509&gt;0,$G2509&gt;0,$F2509&lt;=$A2509,$G2509&lt;=$A2509,$A2509-$F2509&lt;=10,$A2509-$G2509&lt;=5),$D2509*$E2509/$C2509-1,NA()),NA())</ns0:f>
        <ns0:v/>
      </ns0:c>
      <ns0:c r="C2509">
        <ns0:f>IFERROR(IF(ISNUMBER($A2509),IF(AND(AH!$P$10=1,AH!$P$12=1,$A2509=TODAY()),AH!$P$19,IF(AH!$P$10=1,INDEX('Live History'!$B$5:$B$3004,AH!$P$13+2504),INDEX('AH History'!$B$1:$B$18046,AH!$P$7+2504))),NA()),NA())</ns0:f>
        <ns0:v/>
      </ns0:c>
      <ns0:c r="D2509">
        <ns0:f>IFERROR(IF(ISNUMBER($A2509),IF(AND(AH!$P$10=1,AH!$P$12=1,$A2509=TODAY()),AH!$P$18,IF(AH!$P$10=1,INDEX('Live History'!$E$5:$E$3004,MATCH($A2509,'Live History'!$D$5:$D$3004,1)),INDEX('AH History'!$C$1:$C$18046,AH!$P$7+2504))),NA()),NA())</ns0:f>
        <ns0:v/>
      </ns0:c>
      <ns0:c r="E2509">
        <ns0:f>IFERROR(IF(ISNUMBER($A2509),IF(AND(AH!$P$10=1,AH!$P$12=1,$A2509=TODAY()),AH!$P$20,IF(AH!$P$10=1,INDEX('Live History'!$H$5:$H$3004,MATCH($A2509,'Live History'!$G$5:$G$3004,1)),INDEX('AH History'!$D$1:$D$18046,AH!$P$7+2504))),NA()),NA())</ns0:f>
        <ns0:v/>
      </ns0:c>
      <ns0:c r="F2509">
        <ns0:f>IFERROR(IF(ISNUMBER($A2509),IF(AND(AH!$P$10=1,AH!$P$12=1,$A2509=TODAY()),IF(AND(AH!$P$10=1,AH!$P$12=1,$A2509=TODAY()),TODAY(),NA()),IF(AH!$P$10=1,INDEX('Live History'!$D$5:$D$3004,MATCH($A2509,'Live History'!$D$5:$D$3004,1)),INDEX('AH History'!$E$1:$E$18046,AH!$P$7+2504))),NA()),NA())</ns0:f>
        <ns0:v/>
      </ns0:c>
      <ns0:c r="G2509">
        <ns0:f>IFERROR(IF(ISNUMBER($A2509),IF(AND(AH!$P$10=1,AH!$P$12=1,$A2509=TODAY()),IF(AND(AH!$P$10=1,AH!$P$12=1,$A2509=TODAY()),TODAY(),NA()),IF(AH!$P$10=1,INDEX('Live History'!$G$5:$G$3004,MATCH($A2509,'Live History'!$G$5:$G$3004,1)),INDEX('AH History'!$F$1:$F$18046,AH!$P$7+2504))),NA()),NA())</ns0:f>
        <ns0:v/>
      </ns0:c>
      <ns0:c r="H2509">
        <ns0:f>IFERROR(IF(AND(AH!$E$4="Bloomberg",AH!$P$10=1,ISNUMBER($A2509),$A2509&lt;=AH!$P$17),AH!$P$7-1+MATCH($A2509,INDEX('AH History'!$A$1:$A$18046,AH!$P$7):INDEX('AH History'!$A$1:$A$18046,AH!$P$7+AH!$P$8-1),0),0),0)</ns0:f>
        <ns0:v/>
      </ns0:c>
      <ns0:c r="I2509">
        <ns0:f>IF($H2509=0,0,IFERROR(IF(AND(ABS($C2509-INDEX('AH History'!$B$1:$B$18046,$H2509))&lt;=MAX(0.005,ABS(INDEX('AH History'!$B$1:$B$18046,$H2509))*0.00005),ABS($D2509-INDEX('AH History'!$C$1:$C$18046,$H2509))&lt;=MAX(0.005,ABS(INDEX('AH History'!$C$1:$C$18046,$H2509))*0.00005),ABS($E2509-INDEX('AH History'!$D$1:$D$18046,$H2509))&lt;=0.00005,$F2509=INDEX('AH History'!$E$1:$E$18046,$H2509),$G2509=INDEX('AH History'!$F$1:$F$18046,$H2509)),1,-1),-1))</ns0:f>
        <ns0:v/>
      </ns0:c>
    </ns0:row>
    <ns0:row r="2510">
      <ns0:c r="A2510" s="215">
        <ns0:f>IF(OR(AH!$P$3=0,2505+1&gt;AH!$P$11,AND(AH!$E$4&lt;&gt;"Stored",AH!$P$10&lt;&gt;1)),"",IFERROR(IF(AND(AH!$P$21=1,2505+1=AH!$P$11),TODAY(),IF(AH!$P$10=1,INDEX('Live History'!$A$5:$A$3004,AH!$P$13+2505),INDEX('AH History'!$A$1:$A$18046,AH!$P$7+2505))),""))</ns0:f>
        <ns0:v/>
      </ns0:c>
      <ns0:c r="B2510" s="219">
        <ns0:f>IFERROR(IF(AND(AH!$P$9&lt;&gt;1,$C2510&gt;0,$D2510&gt;0,$E2510&gt;0,$F2510&gt;0,$G2510&gt;0,$F2510&lt;=$A2510,$G2510&lt;=$A2510,$A2510-$F2510&lt;=10,$A2510-$G2510&lt;=5),$D2510*$E2510/$C2510-1,NA()),NA())</ns0:f>
        <ns0:v/>
      </ns0:c>
      <ns0:c r="C2510">
        <ns0:f>IFERROR(IF(ISNUMBER($A2510),IF(AND(AH!$P$10=1,AH!$P$12=1,$A2510=TODAY()),AH!$P$19,IF(AH!$P$10=1,INDEX('Live History'!$B$5:$B$3004,AH!$P$13+2505),INDEX('AH History'!$B$1:$B$18046,AH!$P$7+2505))),NA()),NA())</ns0:f>
        <ns0:v/>
      </ns0:c>
      <ns0:c r="D2510">
        <ns0:f>IFERROR(IF(ISNUMBER($A2510),IF(AND(AH!$P$10=1,AH!$P$12=1,$A2510=TODAY()),AH!$P$18,IF(AH!$P$10=1,INDEX('Live History'!$E$5:$E$3004,MATCH($A2510,'Live History'!$D$5:$D$3004,1)),INDEX('AH History'!$C$1:$C$18046,AH!$P$7+2505))),NA()),NA())</ns0:f>
        <ns0:v/>
      </ns0:c>
      <ns0:c r="E2510">
        <ns0:f>IFERROR(IF(ISNUMBER($A2510),IF(AND(AH!$P$10=1,AH!$P$12=1,$A2510=TODAY()),AH!$P$20,IF(AH!$P$10=1,INDEX('Live History'!$H$5:$H$3004,MATCH($A2510,'Live History'!$G$5:$G$3004,1)),INDEX('AH History'!$D$1:$D$18046,AH!$P$7+2505))),NA()),NA())</ns0:f>
        <ns0:v/>
      </ns0:c>
      <ns0:c r="F2510">
        <ns0:f>IFERROR(IF(ISNUMBER($A2510),IF(AND(AH!$P$10=1,AH!$P$12=1,$A2510=TODAY()),IF(AND(AH!$P$10=1,AH!$P$12=1,$A2510=TODAY()),TODAY(),NA()),IF(AH!$P$10=1,INDEX('Live History'!$D$5:$D$3004,MATCH($A2510,'Live History'!$D$5:$D$3004,1)),INDEX('AH History'!$E$1:$E$18046,AH!$P$7+2505))),NA()),NA())</ns0:f>
        <ns0:v/>
      </ns0:c>
      <ns0:c r="G2510">
        <ns0:f>IFERROR(IF(ISNUMBER($A2510),IF(AND(AH!$P$10=1,AH!$P$12=1,$A2510=TODAY()),IF(AND(AH!$P$10=1,AH!$P$12=1,$A2510=TODAY()),TODAY(),NA()),IF(AH!$P$10=1,INDEX('Live History'!$G$5:$G$3004,MATCH($A2510,'Live History'!$G$5:$G$3004,1)),INDEX('AH History'!$F$1:$F$18046,AH!$P$7+2505))),NA()),NA())</ns0:f>
        <ns0:v/>
      </ns0:c>
      <ns0:c r="H2510">
        <ns0:f>IFERROR(IF(AND(AH!$E$4="Bloomberg",AH!$P$10=1,ISNUMBER($A2510),$A2510&lt;=AH!$P$17),AH!$P$7-1+MATCH($A2510,INDEX('AH History'!$A$1:$A$18046,AH!$P$7):INDEX('AH History'!$A$1:$A$18046,AH!$P$7+AH!$P$8-1),0),0),0)</ns0:f>
        <ns0:v/>
      </ns0:c>
      <ns0:c r="I2510">
        <ns0:f>IF($H2510=0,0,IFERROR(IF(AND(ABS($C2510-INDEX('AH History'!$B$1:$B$18046,$H2510))&lt;=MAX(0.005,ABS(INDEX('AH History'!$B$1:$B$18046,$H2510))*0.00005),ABS($D2510-INDEX('AH History'!$C$1:$C$18046,$H2510))&lt;=MAX(0.005,ABS(INDEX('AH History'!$C$1:$C$18046,$H2510))*0.00005),ABS($E2510-INDEX('AH History'!$D$1:$D$18046,$H2510))&lt;=0.00005,$F2510=INDEX('AH History'!$E$1:$E$18046,$H2510),$G2510=INDEX('AH History'!$F$1:$F$18046,$H2510)),1,-1),-1))</ns0:f>
        <ns0:v/>
      </ns0:c>
    </ns0:row>
    <ns0:row r="2511">
      <ns0:c r="A2511" s="215">
        <ns0:f>IF(OR(AH!$P$3=0,2506+1&gt;AH!$P$11,AND(AH!$E$4&lt;&gt;"Stored",AH!$P$10&lt;&gt;1)),"",IFERROR(IF(AND(AH!$P$21=1,2506+1=AH!$P$11),TODAY(),IF(AH!$P$10=1,INDEX('Live History'!$A$5:$A$3004,AH!$P$13+2506),INDEX('AH History'!$A$1:$A$18046,AH!$P$7+2506))),""))</ns0:f>
        <ns0:v/>
      </ns0:c>
      <ns0:c r="B2511" s="219">
        <ns0:f>IFERROR(IF(AND(AH!$P$9&lt;&gt;1,$C2511&gt;0,$D2511&gt;0,$E2511&gt;0,$F2511&gt;0,$G2511&gt;0,$F2511&lt;=$A2511,$G2511&lt;=$A2511,$A2511-$F2511&lt;=10,$A2511-$G2511&lt;=5),$D2511*$E2511/$C2511-1,NA()),NA())</ns0:f>
        <ns0:v/>
      </ns0:c>
      <ns0:c r="C2511">
        <ns0:f>IFERROR(IF(ISNUMBER($A2511),IF(AND(AH!$P$10=1,AH!$P$12=1,$A2511=TODAY()),AH!$P$19,IF(AH!$P$10=1,INDEX('Live History'!$B$5:$B$3004,AH!$P$13+2506),INDEX('AH History'!$B$1:$B$18046,AH!$P$7+2506))),NA()),NA())</ns0:f>
        <ns0:v/>
      </ns0:c>
      <ns0:c r="D2511">
        <ns0:f>IFERROR(IF(ISNUMBER($A2511),IF(AND(AH!$P$10=1,AH!$P$12=1,$A2511=TODAY()),AH!$P$18,IF(AH!$P$10=1,INDEX('Live History'!$E$5:$E$3004,MATCH($A2511,'Live History'!$D$5:$D$3004,1)),INDEX('AH History'!$C$1:$C$18046,AH!$P$7+2506))),NA()),NA())</ns0:f>
        <ns0:v/>
      </ns0:c>
      <ns0:c r="E2511">
        <ns0:f>IFERROR(IF(ISNUMBER($A2511),IF(AND(AH!$P$10=1,AH!$P$12=1,$A2511=TODAY()),AH!$P$20,IF(AH!$P$10=1,INDEX('Live History'!$H$5:$H$3004,MATCH($A2511,'Live History'!$G$5:$G$3004,1)),INDEX('AH History'!$D$1:$D$18046,AH!$P$7+2506))),NA()),NA())</ns0:f>
        <ns0:v/>
      </ns0:c>
      <ns0:c r="F2511">
        <ns0:f>IFERROR(IF(ISNUMBER($A2511),IF(AND(AH!$P$10=1,AH!$P$12=1,$A2511=TODAY()),IF(AND(AH!$P$10=1,AH!$P$12=1,$A2511=TODAY()),TODAY(),NA()),IF(AH!$P$10=1,INDEX('Live History'!$D$5:$D$3004,MATCH($A2511,'Live History'!$D$5:$D$3004,1)),INDEX('AH History'!$E$1:$E$18046,AH!$P$7+2506))),NA()),NA())</ns0:f>
        <ns0:v/>
      </ns0:c>
      <ns0:c r="G2511">
        <ns0:f>IFERROR(IF(ISNUMBER($A2511),IF(AND(AH!$P$10=1,AH!$P$12=1,$A2511=TODAY()),IF(AND(AH!$P$10=1,AH!$P$12=1,$A2511=TODAY()),TODAY(),NA()),IF(AH!$P$10=1,INDEX('Live History'!$G$5:$G$3004,MATCH($A2511,'Live History'!$G$5:$G$3004,1)),INDEX('AH History'!$F$1:$F$18046,AH!$P$7+2506))),NA()),NA())</ns0:f>
        <ns0:v/>
      </ns0:c>
      <ns0:c r="H2511">
        <ns0:f>IFERROR(IF(AND(AH!$E$4="Bloomberg",AH!$P$10=1,ISNUMBER($A2511),$A2511&lt;=AH!$P$17),AH!$P$7-1+MATCH($A2511,INDEX('AH History'!$A$1:$A$18046,AH!$P$7):INDEX('AH History'!$A$1:$A$18046,AH!$P$7+AH!$P$8-1),0),0),0)</ns0:f>
        <ns0:v/>
      </ns0:c>
      <ns0:c r="I2511">
        <ns0:f>IF($H2511=0,0,IFERROR(IF(AND(ABS($C2511-INDEX('AH History'!$B$1:$B$18046,$H2511))&lt;=MAX(0.005,ABS(INDEX('AH History'!$B$1:$B$18046,$H2511))*0.00005),ABS($D2511-INDEX('AH History'!$C$1:$C$18046,$H2511))&lt;=MAX(0.005,ABS(INDEX('AH History'!$C$1:$C$18046,$H2511))*0.00005),ABS($E2511-INDEX('AH History'!$D$1:$D$18046,$H2511))&lt;=0.00005,$F2511=INDEX('AH History'!$E$1:$E$18046,$H2511),$G2511=INDEX('AH History'!$F$1:$F$18046,$H2511)),1,-1),-1))</ns0:f>
        <ns0:v/>
      </ns0:c>
    </ns0:row>
    <ns0:row r="2512">
      <ns0:c r="A2512" s="215">
        <ns0:f>IF(OR(AH!$P$3=0,2507+1&gt;AH!$P$11,AND(AH!$E$4&lt;&gt;"Stored",AH!$P$10&lt;&gt;1)),"",IFERROR(IF(AND(AH!$P$21=1,2507+1=AH!$P$11),TODAY(),IF(AH!$P$10=1,INDEX('Live History'!$A$5:$A$3004,AH!$P$13+2507),INDEX('AH History'!$A$1:$A$18046,AH!$P$7+2507))),""))</ns0:f>
        <ns0:v/>
      </ns0:c>
      <ns0:c r="B2512" s="219">
        <ns0:f>IFERROR(IF(AND(AH!$P$9&lt;&gt;1,$C2512&gt;0,$D2512&gt;0,$E2512&gt;0,$F2512&gt;0,$G2512&gt;0,$F2512&lt;=$A2512,$G2512&lt;=$A2512,$A2512-$F2512&lt;=10,$A2512-$G2512&lt;=5),$D2512*$E2512/$C2512-1,NA()),NA())</ns0:f>
        <ns0:v/>
      </ns0:c>
      <ns0:c r="C2512">
        <ns0:f>IFERROR(IF(ISNUMBER($A2512),IF(AND(AH!$P$10=1,AH!$P$12=1,$A2512=TODAY()),AH!$P$19,IF(AH!$P$10=1,INDEX('Live History'!$B$5:$B$3004,AH!$P$13+2507),INDEX('AH History'!$B$1:$B$18046,AH!$P$7+2507))),NA()),NA())</ns0:f>
        <ns0:v/>
      </ns0:c>
      <ns0:c r="D2512">
        <ns0:f>IFERROR(IF(ISNUMBER($A2512),IF(AND(AH!$P$10=1,AH!$P$12=1,$A2512=TODAY()),AH!$P$18,IF(AH!$P$10=1,INDEX('Live History'!$E$5:$E$3004,MATCH($A2512,'Live History'!$D$5:$D$3004,1)),INDEX('AH History'!$C$1:$C$18046,AH!$P$7+2507))),NA()),NA())</ns0:f>
        <ns0:v/>
      </ns0:c>
      <ns0:c r="E2512">
        <ns0:f>IFERROR(IF(ISNUMBER($A2512),IF(AND(AH!$P$10=1,AH!$P$12=1,$A2512=TODAY()),AH!$P$20,IF(AH!$P$10=1,INDEX('Live History'!$H$5:$H$3004,MATCH($A2512,'Live History'!$G$5:$G$3004,1)),INDEX('AH History'!$D$1:$D$18046,AH!$P$7+2507))),NA()),NA())</ns0:f>
        <ns0:v/>
      </ns0:c>
      <ns0:c r="F2512">
        <ns0:f>IFERROR(IF(ISNUMBER($A2512),IF(AND(AH!$P$10=1,AH!$P$12=1,$A2512=TODAY()),IF(AND(AH!$P$10=1,AH!$P$12=1,$A2512=TODAY()),TODAY(),NA()),IF(AH!$P$10=1,INDEX('Live History'!$D$5:$D$3004,MATCH($A2512,'Live History'!$D$5:$D$3004,1)),INDEX('AH History'!$E$1:$E$18046,AH!$P$7+2507))),NA()),NA())</ns0:f>
        <ns0:v/>
      </ns0:c>
      <ns0:c r="G2512">
        <ns0:f>IFERROR(IF(ISNUMBER($A2512),IF(AND(AH!$P$10=1,AH!$P$12=1,$A2512=TODAY()),IF(AND(AH!$P$10=1,AH!$P$12=1,$A2512=TODAY()),TODAY(),NA()),IF(AH!$P$10=1,INDEX('Live History'!$G$5:$G$3004,MATCH($A2512,'Live History'!$G$5:$G$3004,1)),INDEX('AH History'!$F$1:$F$18046,AH!$P$7+2507))),NA()),NA())</ns0:f>
        <ns0:v/>
      </ns0:c>
      <ns0:c r="H2512">
        <ns0:f>IFERROR(IF(AND(AH!$E$4="Bloomberg",AH!$P$10=1,ISNUMBER($A2512),$A2512&lt;=AH!$P$17),AH!$P$7-1+MATCH($A2512,INDEX('AH History'!$A$1:$A$18046,AH!$P$7):INDEX('AH History'!$A$1:$A$18046,AH!$P$7+AH!$P$8-1),0),0),0)</ns0:f>
        <ns0:v/>
      </ns0:c>
      <ns0:c r="I2512">
        <ns0:f>IF($H2512=0,0,IFERROR(IF(AND(ABS($C2512-INDEX('AH History'!$B$1:$B$18046,$H2512))&lt;=MAX(0.005,ABS(INDEX('AH History'!$B$1:$B$18046,$H2512))*0.00005),ABS($D2512-INDEX('AH History'!$C$1:$C$18046,$H2512))&lt;=MAX(0.005,ABS(INDEX('AH History'!$C$1:$C$18046,$H2512))*0.00005),ABS($E2512-INDEX('AH History'!$D$1:$D$18046,$H2512))&lt;=0.00005,$F2512=INDEX('AH History'!$E$1:$E$18046,$H2512),$G2512=INDEX('AH History'!$F$1:$F$18046,$H2512)),1,-1),-1))</ns0:f>
        <ns0:v/>
      </ns0:c>
    </ns0:row>
    <ns0:row r="2513">
      <ns0:c r="A2513" s="215">
        <ns0:f>IF(OR(AH!$P$3=0,2508+1&gt;AH!$P$11,AND(AH!$E$4&lt;&gt;"Stored",AH!$P$10&lt;&gt;1)),"",IFERROR(IF(AND(AH!$P$21=1,2508+1=AH!$P$11),TODAY(),IF(AH!$P$10=1,INDEX('Live History'!$A$5:$A$3004,AH!$P$13+2508),INDEX('AH History'!$A$1:$A$18046,AH!$P$7+2508))),""))</ns0:f>
        <ns0:v/>
      </ns0:c>
      <ns0:c r="B2513" s="219">
        <ns0:f>IFERROR(IF(AND(AH!$P$9&lt;&gt;1,$C2513&gt;0,$D2513&gt;0,$E2513&gt;0,$F2513&gt;0,$G2513&gt;0,$F2513&lt;=$A2513,$G2513&lt;=$A2513,$A2513-$F2513&lt;=10,$A2513-$G2513&lt;=5),$D2513*$E2513/$C2513-1,NA()),NA())</ns0:f>
        <ns0:v/>
      </ns0:c>
      <ns0:c r="C2513">
        <ns0:f>IFERROR(IF(ISNUMBER($A2513),IF(AND(AH!$P$10=1,AH!$P$12=1,$A2513=TODAY()),AH!$P$19,IF(AH!$P$10=1,INDEX('Live History'!$B$5:$B$3004,AH!$P$13+2508),INDEX('AH History'!$B$1:$B$18046,AH!$P$7+2508))),NA()),NA())</ns0:f>
        <ns0:v/>
      </ns0:c>
      <ns0:c r="D2513">
        <ns0:f>IFERROR(IF(ISNUMBER($A2513),IF(AND(AH!$P$10=1,AH!$P$12=1,$A2513=TODAY()),AH!$P$18,IF(AH!$P$10=1,INDEX('Live History'!$E$5:$E$3004,MATCH($A2513,'Live History'!$D$5:$D$3004,1)),INDEX('AH History'!$C$1:$C$18046,AH!$P$7+2508))),NA()),NA())</ns0:f>
        <ns0:v/>
      </ns0:c>
      <ns0:c r="E2513">
        <ns0:f>IFERROR(IF(ISNUMBER($A2513),IF(AND(AH!$P$10=1,AH!$P$12=1,$A2513=TODAY()),AH!$P$20,IF(AH!$P$10=1,INDEX('Live History'!$H$5:$H$3004,MATCH($A2513,'Live History'!$G$5:$G$3004,1)),INDEX('AH History'!$D$1:$D$18046,AH!$P$7+2508))),NA()),NA())</ns0:f>
        <ns0:v/>
      </ns0:c>
      <ns0:c r="F2513">
        <ns0:f>IFERROR(IF(ISNUMBER($A2513),IF(AND(AH!$P$10=1,AH!$P$12=1,$A2513=TODAY()),IF(AND(AH!$P$10=1,AH!$P$12=1,$A2513=TODAY()),TODAY(),NA()),IF(AH!$P$10=1,INDEX('Live History'!$D$5:$D$3004,MATCH($A2513,'Live History'!$D$5:$D$3004,1)),INDEX('AH History'!$E$1:$E$18046,AH!$P$7+2508))),NA()),NA())</ns0:f>
        <ns0:v/>
      </ns0:c>
      <ns0:c r="G2513">
        <ns0:f>IFERROR(IF(ISNUMBER($A2513),IF(AND(AH!$P$10=1,AH!$P$12=1,$A2513=TODAY()),IF(AND(AH!$P$10=1,AH!$P$12=1,$A2513=TODAY()),TODAY(),NA()),IF(AH!$P$10=1,INDEX('Live History'!$G$5:$G$3004,MATCH($A2513,'Live History'!$G$5:$G$3004,1)),INDEX('AH History'!$F$1:$F$18046,AH!$P$7+2508))),NA()),NA())</ns0:f>
        <ns0:v/>
      </ns0:c>
      <ns0:c r="H2513">
        <ns0:f>IFERROR(IF(AND(AH!$E$4="Bloomberg",AH!$P$10=1,ISNUMBER($A2513),$A2513&lt;=AH!$P$17),AH!$P$7-1+MATCH($A2513,INDEX('AH History'!$A$1:$A$18046,AH!$P$7):INDEX('AH History'!$A$1:$A$18046,AH!$P$7+AH!$P$8-1),0),0),0)</ns0:f>
        <ns0:v/>
      </ns0:c>
      <ns0:c r="I2513">
        <ns0:f>IF($H2513=0,0,IFERROR(IF(AND(ABS($C2513-INDEX('AH History'!$B$1:$B$18046,$H2513))&lt;=MAX(0.005,ABS(INDEX('AH History'!$B$1:$B$18046,$H2513))*0.00005),ABS($D2513-INDEX('AH History'!$C$1:$C$18046,$H2513))&lt;=MAX(0.005,ABS(INDEX('AH History'!$C$1:$C$18046,$H2513))*0.00005),ABS($E2513-INDEX('AH History'!$D$1:$D$18046,$H2513))&lt;=0.00005,$F2513=INDEX('AH History'!$E$1:$E$18046,$H2513),$G2513=INDEX('AH History'!$F$1:$F$18046,$H2513)),1,-1),-1))</ns0:f>
        <ns0:v/>
      </ns0:c>
    </ns0:row>
    <ns0:row r="2514">
      <ns0:c r="A2514" s="215">
        <ns0:f>IF(OR(AH!$P$3=0,2509+1&gt;AH!$P$11,AND(AH!$E$4&lt;&gt;"Stored",AH!$P$10&lt;&gt;1)),"",IFERROR(IF(AND(AH!$P$21=1,2509+1=AH!$P$11),TODAY(),IF(AH!$P$10=1,INDEX('Live History'!$A$5:$A$3004,AH!$P$13+2509),INDEX('AH History'!$A$1:$A$18046,AH!$P$7+2509))),""))</ns0:f>
        <ns0:v/>
      </ns0:c>
      <ns0:c r="B2514" s="219">
        <ns0:f>IFERROR(IF(AND(AH!$P$9&lt;&gt;1,$C2514&gt;0,$D2514&gt;0,$E2514&gt;0,$F2514&gt;0,$G2514&gt;0,$F2514&lt;=$A2514,$G2514&lt;=$A2514,$A2514-$F2514&lt;=10,$A2514-$G2514&lt;=5),$D2514*$E2514/$C2514-1,NA()),NA())</ns0:f>
        <ns0:v/>
      </ns0:c>
      <ns0:c r="C2514">
        <ns0:f>IFERROR(IF(ISNUMBER($A2514),IF(AND(AH!$P$10=1,AH!$P$12=1,$A2514=TODAY()),AH!$P$19,IF(AH!$P$10=1,INDEX('Live History'!$B$5:$B$3004,AH!$P$13+2509),INDEX('AH History'!$B$1:$B$18046,AH!$P$7+2509))),NA()),NA())</ns0:f>
        <ns0:v/>
      </ns0:c>
      <ns0:c r="D2514">
        <ns0:f>IFERROR(IF(ISNUMBER($A2514),IF(AND(AH!$P$10=1,AH!$P$12=1,$A2514=TODAY()),AH!$P$18,IF(AH!$P$10=1,INDEX('Live History'!$E$5:$E$3004,MATCH($A2514,'Live History'!$D$5:$D$3004,1)),INDEX('AH History'!$C$1:$C$18046,AH!$P$7+2509))),NA()),NA())</ns0:f>
        <ns0:v/>
      </ns0:c>
      <ns0:c r="E2514">
        <ns0:f>IFERROR(IF(ISNUMBER($A2514),IF(AND(AH!$P$10=1,AH!$P$12=1,$A2514=TODAY()),AH!$P$20,IF(AH!$P$10=1,INDEX('Live History'!$H$5:$H$3004,MATCH($A2514,'Live History'!$G$5:$G$3004,1)),INDEX('AH History'!$D$1:$D$18046,AH!$P$7+2509))),NA()),NA())</ns0:f>
        <ns0:v/>
      </ns0:c>
      <ns0:c r="F2514">
        <ns0:f>IFERROR(IF(ISNUMBER($A2514),IF(AND(AH!$P$10=1,AH!$P$12=1,$A2514=TODAY()),IF(AND(AH!$P$10=1,AH!$P$12=1,$A2514=TODAY()),TODAY(),NA()),IF(AH!$P$10=1,INDEX('Live History'!$D$5:$D$3004,MATCH($A2514,'Live History'!$D$5:$D$3004,1)),INDEX('AH History'!$E$1:$E$18046,AH!$P$7+2509))),NA()),NA())</ns0:f>
        <ns0:v/>
      </ns0:c>
      <ns0:c r="G2514">
        <ns0:f>IFERROR(IF(ISNUMBER($A2514),IF(AND(AH!$P$10=1,AH!$P$12=1,$A2514=TODAY()),IF(AND(AH!$P$10=1,AH!$P$12=1,$A2514=TODAY()),TODAY(),NA()),IF(AH!$P$10=1,INDEX('Live History'!$G$5:$G$3004,MATCH($A2514,'Live History'!$G$5:$G$3004,1)),INDEX('AH History'!$F$1:$F$18046,AH!$P$7+2509))),NA()),NA())</ns0:f>
        <ns0:v/>
      </ns0:c>
      <ns0:c r="H2514">
        <ns0:f>IFERROR(IF(AND(AH!$E$4="Bloomberg",AH!$P$10=1,ISNUMBER($A2514),$A2514&lt;=AH!$P$17),AH!$P$7-1+MATCH($A2514,INDEX('AH History'!$A$1:$A$18046,AH!$P$7):INDEX('AH History'!$A$1:$A$18046,AH!$P$7+AH!$P$8-1),0),0),0)</ns0:f>
        <ns0:v/>
      </ns0:c>
      <ns0:c r="I2514">
        <ns0:f>IF($H2514=0,0,IFERROR(IF(AND(ABS($C2514-INDEX('AH History'!$B$1:$B$18046,$H2514))&lt;=MAX(0.005,ABS(INDEX('AH History'!$B$1:$B$18046,$H2514))*0.00005),ABS($D2514-INDEX('AH History'!$C$1:$C$18046,$H2514))&lt;=MAX(0.005,ABS(INDEX('AH History'!$C$1:$C$18046,$H2514))*0.00005),ABS($E2514-INDEX('AH History'!$D$1:$D$18046,$H2514))&lt;=0.00005,$F2514=INDEX('AH History'!$E$1:$E$18046,$H2514),$G2514=INDEX('AH History'!$F$1:$F$18046,$H2514)),1,-1),-1))</ns0:f>
        <ns0:v/>
      </ns0:c>
    </ns0:row>
    <ns0:row r="2515">
      <ns0:c r="A2515" s="215">
        <ns0:f>IF(OR(AH!$P$3=0,2510+1&gt;AH!$P$11,AND(AH!$E$4&lt;&gt;"Stored",AH!$P$10&lt;&gt;1)),"",IFERROR(IF(AND(AH!$P$21=1,2510+1=AH!$P$11),TODAY(),IF(AH!$P$10=1,INDEX('Live History'!$A$5:$A$3004,AH!$P$13+2510),INDEX('AH History'!$A$1:$A$18046,AH!$P$7+2510))),""))</ns0:f>
        <ns0:v/>
      </ns0:c>
      <ns0:c r="B2515" s="219">
        <ns0:f>IFERROR(IF(AND(AH!$P$9&lt;&gt;1,$C2515&gt;0,$D2515&gt;0,$E2515&gt;0,$F2515&gt;0,$G2515&gt;0,$F2515&lt;=$A2515,$G2515&lt;=$A2515,$A2515-$F2515&lt;=10,$A2515-$G2515&lt;=5),$D2515*$E2515/$C2515-1,NA()),NA())</ns0:f>
        <ns0:v/>
      </ns0:c>
      <ns0:c r="C2515">
        <ns0:f>IFERROR(IF(ISNUMBER($A2515),IF(AND(AH!$P$10=1,AH!$P$12=1,$A2515=TODAY()),AH!$P$19,IF(AH!$P$10=1,INDEX('Live History'!$B$5:$B$3004,AH!$P$13+2510),INDEX('AH History'!$B$1:$B$18046,AH!$P$7+2510))),NA()),NA())</ns0:f>
        <ns0:v/>
      </ns0:c>
      <ns0:c r="D2515">
        <ns0:f>IFERROR(IF(ISNUMBER($A2515),IF(AND(AH!$P$10=1,AH!$P$12=1,$A2515=TODAY()),AH!$P$18,IF(AH!$P$10=1,INDEX('Live History'!$E$5:$E$3004,MATCH($A2515,'Live History'!$D$5:$D$3004,1)),INDEX('AH History'!$C$1:$C$18046,AH!$P$7+2510))),NA()),NA())</ns0:f>
        <ns0:v/>
      </ns0:c>
      <ns0:c r="E2515">
        <ns0:f>IFERROR(IF(ISNUMBER($A2515),IF(AND(AH!$P$10=1,AH!$P$12=1,$A2515=TODAY()),AH!$P$20,IF(AH!$P$10=1,INDEX('Live History'!$H$5:$H$3004,MATCH($A2515,'Live History'!$G$5:$G$3004,1)),INDEX('AH History'!$D$1:$D$18046,AH!$P$7+2510))),NA()),NA())</ns0:f>
        <ns0:v/>
      </ns0:c>
      <ns0:c r="F2515">
        <ns0:f>IFERROR(IF(ISNUMBER($A2515),IF(AND(AH!$P$10=1,AH!$P$12=1,$A2515=TODAY()),IF(AND(AH!$P$10=1,AH!$P$12=1,$A2515=TODAY()),TODAY(),NA()),IF(AH!$P$10=1,INDEX('Live History'!$D$5:$D$3004,MATCH($A2515,'Live History'!$D$5:$D$3004,1)),INDEX('AH History'!$E$1:$E$18046,AH!$P$7+2510))),NA()),NA())</ns0:f>
        <ns0:v/>
      </ns0:c>
      <ns0:c r="G2515">
        <ns0:f>IFERROR(IF(ISNUMBER($A2515),IF(AND(AH!$P$10=1,AH!$P$12=1,$A2515=TODAY()),IF(AND(AH!$P$10=1,AH!$P$12=1,$A2515=TODAY()),TODAY(),NA()),IF(AH!$P$10=1,INDEX('Live History'!$G$5:$G$3004,MATCH($A2515,'Live History'!$G$5:$G$3004,1)),INDEX('AH History'!$F$1:$F$18046,AH!$P$7+2510))),NA()),NA())</ns0:f>
        <ns0:v/>
      </ns0:c>
      <ns0:c r="H2515">
        <ns0:f>IFERROR(IF(AND(AH!$E$4="Bloomberg",AH!$P$10=1,ISNUMBER($A2515),$A2515&lt;=AH!$P$17),AH!$P$7-1+MATCH($A2515,INDEX('AH History'!$A$1:$A$18046,AH!$P$7):INDEX('AH History'!$A$1:$A$18046,AH!$P$7+AH!$P$8-1),0),0),0)</ns0:f>
        <ns0:v/>
      </ns0:c>
      <ns0:c r="I2515">
        <ns0:f>IF($H2515=0,0,IFERROR(IF(AND(ABS($C2515-INDEX('AH History'!$B$1:$B$18046,$H2515))&lt;=MAX(0.005,ABS(INDEX('AH History'!$B$1:$B$18046,$H2515))*0.00005),ABS($D2515-INDEX('AH History'!$C$1:$C$18046,$H2515))&lt;=MAX(0.005,ABS(INDEX('AH History'!$C$1:$C$18046,$H2515))*0.00005),ABS($E2515-INDEX('AH History'!$D$1:$D$18046,$H2515))&lt;=0.00005,$F2515=INDEX('AH History'!$E$1:$E$18046,$H2515),$G2515=INDEX('AH History'!$F$1:$F$18046,$H2515)),1,-1),-1))</ns0:f>
        <ns0:v/>
      </ns0:c>
    </ns0:row>
    <ns0:row r="2516">
      <ns0:c r="A2516" s="215">
        <ns0:f>IF(OR(AH!$P$3=0,2511+1&gt;AH!$P$11,AND(AH!$E$4&lt;&gt;"Stored",AH!$P$10&lt;&gt;1)),"",IFERROR(IF(AND(AH!$P$21=1,2511+1=AH!$P$11),TODAY(),IF(AH!$P$10=1,INDEX('Live History'!$A$5:$A$3004,AH!$P$13+2511),INDEX('AH History'!$A$1:$A$18046,AH!$P$7+2511))),""))</ns0:f>
        <ns0:v/>
      </ns0:c>
      <ns0:c r="B2516" s="219">
        <ns0:f>IFERROR(IF(AND(AH!$P$9&lt;&gt;1,$C2516&gt;0,$D2516&gt;0,$E2516&gt;0,$F2516&gt;0,$G2516&gt;0,$F2516&lt;=$A2516,$G2516&lt;=$A2516,$A2516-$F2516&lt;=10,$A2516-$G2516&lt;=5),$D2516*$E2516/$C2516-1,NA()),NA())</ns0:f>
        <ns0:v/>
      </ns0:c>
      <ns0:c r="C2516">
        <ns0:f>IFERROR(IF(ISNUMBER($A2516),IF(AND(AH!$P$10=1,AH!$P$12=1,$A2516=TODAY()),AH!$P$19,IF(AH!$P$10=1,INDEX('Live History'!$B$5:$B$3004,AH!$P$13+2511),INDEX('AH History'!$B$1:$B$18046,AH!$P$7+2511))),NA()),NA())</ns0:f>
        <ns0:v/>
      </ns0:c>
      <ns0:c r="D2516">
        <ns0:f>IFERROR(IF(ISNUMBER($A2516),IF(AND(AH!$P$10=1,AH!$P$12=1,$A2516=TODAY()),AH!$P$18,IF(AH!$P$10=1,INDEX('Live History'!$E$5:$E$3004,MATCH($A2516,'Live History'!$D$5:$D$3004,1)),INDEX('AH History'!$C$1:$C$18046,AH!$P$7+2511))),NA()),NA())</ns0:f>
        <ns0:v/>
      </ns0:c>
      <ns0:c r="E2516">
        <ns0:f>IFERROR(IF(ISNUMBER($A2516),IF(AND(AH!$P$10=1,AH!$P$12=1,$A2516=TODAY()),AH!$P$20,IF(AH!$P$10=1,INDEX('Live History'!$H$5:$H$3004,MATCH($A2516,'Live History'!$G$5:$G$3004,1)),INDEX('AH History'!$D$1:$D$18046,AH!$P$7+2511))),NA()),NA())</ns0:f>
        <ns0:v/>
      </ns0:c>
      <ns0:c r="F2516">
        <ns0:f>IFERROR(IF(ISNUMBER($A2516),IF(AND(AH!$P$10=1,AH!$P$12=1,$A2516=TODAY()),IF(AND(AH!$P$10=1,AH!$P$12=1,$A2516=TODAY()),TODAY(),NA()),IF(AH!$P$10=1,INDEX('Live History'!$D$5:$D$3004,MATCH($A2516,'Live History'!$D$5:$D$3004,1)),INDEX('AH History'!$E$1:$E$18046,AH!$P$7+2511))),NA()),NA())</ns0:f>
        <ns0:v/>
      </ns0:c>
      <ns0:c r="G2516">
        <ns0:f>IFERROR(IF(ISNUMBER($A2516),IF(AND(AH!$P$10=1,AH!$P$12=1,$A2516=TODAY()),IF(AND(AH!$P$10=1,AH!$P$12=1,$A2516=TODAY()),TODAY(),NA()),IF(AH!$P$10=1,INDEX('Live History'!$G$5:$G$3004,MATCH($A2516,'Live History'!$G$5:$G$3004,1)),INDEX('AH History'!$F$1:$F$18046,AH!$P$7+2511))),NA()),NA())</ns0:f>
        <ns0:v/>
      </ns0:c>
      <ns0:c r="H2516">
        <ns0:f>IFERROR(IF(AND(AH!$E$4="Bloomberg",AH!$P$10=1,ISNUMBER($A2516),$A2516&lt;=AH!$P$17),AH!$P$7-1+MATCH($A2516,INDEX('AH History'!$A$1:$A$18046,AH!$P$7):INDEX('AH History'!$A$1:$A$18046,AH!$P$7+AH!$P$8-1),0),0),0)</ns0:f>
        <ns0:v/>
      </ns0:c>
      <ns0:c r="I2516">
        <ns0:f>IF($H2516=0,0,IFERROR(IF(AND(ABS($C2516-INDEX('AH History'!$B$1:$B$18046,$H2516))&lt;=MAX(0.005,ABS(INDEX('AH History'!$B$1:$B$18046,$H2516))*0.00005),ABS($D2516-INDEX('AH History'!$C$1:$C$18046,$H2516))&lt;=MAX(0.005,ABS(INDEX('AH History'!$C$1:$C$18046,$H2516))*0.00005),ABS($E2516-INDEX('AH History'!$D$1:$D$18046,$H2516))&lt;=0.00005,$F2516=INDEX('AH History'!$E$1:$E$18046,$H2516),$G2516=INDEX('AH History'!$F$1:$F$18046,$H2516)),1,-1),-1))</ns0:f>
        <ns0:v/>
      </ns0:c>
    </ns0:row>
    <ns0:row r="2517">
      <ns0:c r="A2517" s="215">
        <ns0:f>IF(OR(AH!$P$3=0,2512+1&gt;AH!$P$11,AND(AH!$E$4&lt;&gt;"Stored",AH!$P$10&lt;&gt;1)),"",IFERROR(IF(AND(AH!$P$21=1,2512+1=AH!$P$11),TODAY(),IF(AH!$P$10=1,INDEX('Live History'!$A$5:$A$3004,AH!$P$13+2512),INDEX('AH History'!$A$1:$A$18046,AH!$P$7+2512))),""))</ns0:f>
        <ns0:v/>
      </ns0:c>
      <ns0:c r="B2517" s="219">
        <ns0:f>IFERROR(IF(AND(AH!$P$9&lt;&gt;1,$C2517&gt;0,$D2517&gt;0,$E2517&gt;0,$F2517&gt;0,$G2517&gt;0,$F2517&lt;=$A2517,$G2517&lt;=$A2517,$A2517-$F2517&lt;=10,$A2517-$G2517&lt;=5),$D2517*$E2517/$C2517-1,NA()),NA())</ns0:f>
        <ns0:v/>
      </ns0:c>
      <ns0:c r="C2517">
        <ns0:f>IFERROR(IF(ISNUMBER($A2517),IF(AND(AH!$P$10=1,AH!$P$12=1,$A2517=TODAY()),AH!$P$19,IF(AH!$P$10=1,INDEX('Live History'!$B$5:$B$3004,AH!$P$13+2512),INDEX('AH History'!$B$1:$B$18046,AH!$P$7+2512))),NA()),NA())</ns0:f>
        <ns0:v/>
      </ns0:c>
      <ns0:c r="D2517">
        <ns0:f>IFERROR(IF(ISNUMBER($A2517),IF(AND(AH!$P$10=1,AH!$P$12=1,$A2517=TODAY()),AH!$P$18,IF(AH!$P$10=1,INDEX('Live History'!$E$5:$E$3004,MATCH($A2517,'Live History'!$D$5:$D$3004,1)),INDEX('AH History'!$C$1:$C$18046,AH!$P$7+2512))),NA()),NA())</ns0:f>
        <ns0:v/>
      </ns0:c>
      <ns0:c r="E2517">
        <ns0:f>IFERROR(IF(ISNUMBER($A2517),IF(AND(AH!$P$10=1,AH!$P$12=1,$A2517=TODAY()),AH!$P$20,IF(AH!$P$10=1,INDEX('Live History'!$H$5:$H$3004,MATCH($A2517,'Live History'!$G$5:$G$3004,1)),INDEX('AH History'!$D$1:$D$18046,AH!$P$7+2512))),NA()),NA())</ns0:f>
        <ns0:v/>
      </ns0:c>
      <ns0:c r="F2517">
        <ns0:f>IFERROR(IF(ISNUMBER($A2517),IF(AND(AH!$P$10=1,AH!$P$12=1,$A2517=TODAY()),IF(AND(AH!$P$10=1,AH!$P$12=1,$A2517=TODAY()),TODAY(),NA()),IF(AH!$P$10=1,INDEX('Live History'!$D$5:$D$3004,MATCH($A2517,'Live History'!$D$5:$D$3004,1)),INDEX('AH History'!$E$1:$E$18046,AH!$P$7+2512))),NA()),NA())</ns0:f>
        <ns0:v/>
      </ns0:c>
      <ns0:c r="G2517">
        <ns0:f>IFERROR(IF(ISNUMBER($A2517),IF(AND(AH!$P$10=1,AH!$P$12=1,$A2517=TODAY()),IF(AND(AH!$P$10=1,AH!$P$12=1,$A2517=TODAY()),TODAY(),NA()),IF(AH!$P$10=1,INDEX('Live History'!$G$5:$G$3004,MATCH($A2517,'Live History'!$G$5:$G$3004,1)),INDEX('AH History'!$F$1:$F$18046,AH!$P$7+2512))),NA()),NA())</ns0:f>
        <ns0:v/>
      </ns0:c>
      <ns0:c r="H2517">
        <ns0:f>IFERROR(IF(AND(AH!$E$4="Bloomberg",AH!$P$10=1,ISNUMBER($A2517),$A2517&lt;=AH!$P$17),AH!$P$7-1+MATCH($A2517,INDEX('AH History'!$A$1:$A$18046,AH!$P$7):INDEX('AH History'!$A$1:$A$18046,AH!$P$7+AH!$P$8-1),0),0),0)</ns0:f>
        <ns0:v/>
      </ns0:c>
      <ns0:c r="I2517">
        <ns0:f>IF($H2517=0,0,IFERROR(IF(AND(ABS($C2517-INDEX('AH History'!$B$1:$B$18046,$H2517))&lt;=MAX(0.005,ABS(INDEX('AH History'!$B$1:$B$18046,$H2517))*0.00005),ABS($D2517-INDEX('AH History'!$C$1:$C$18046,$H2517))&lt;=MAX(0.005,ABS(INDEX('AH History'!$C$1:$C$18046,$H2517))*0.00005),ABS($E2517-INDEX('AH History'!$D$1:$D$18046,$H2517))&lt;=0.00005,$F2517=INDEX('AH History'!$E$1:$E$18046,$H2517),$G2517=INDEX('AH History'!$F$1:$F$18046,$H2517)),1,-1),-1))</ns0:f>
        <ns0:v/>
      </ns0:c>
    </ns0:row>
    <ns0:row r="2518">
      <ns0:c r="A2518" s="215">
        <ns0:f>IF(OR(AH!$P$3=0,2513+1&gt;AH!$P$11,AND(AH!$E$4&lt;&gt;"Stored",AH!$P$10&lt;&gt;1)),"",IFERROR(IF(AND(AH!$P$21=1,2513+1=AH!$P$11),TODAY(),IF(AH!$P$10=1,INDEX('Live History'!$A$5:$A$3004,AH!$P$13+2513),INDEX('AH History'!$A$1:$A$18046,AH!$P$7+2513))),""))</ns0:f>
        <ns0:v/>
      </ns0:c>
      <ns0:c r="B2518" s="219">
        <ns0:f>IFERROR(IF(AND(AH!$P$9&lt;&gt;1,$C2518&gt;0,$D2518&gt;0,$E2518&gt;0,$F2518&gt;0,$G2518&gt;0,$F2518&lt;=$A2518,$G2518&lt;=$A2518,$A2518-$F2518&lt;=10,$A2518-$G2518&lt;=5),$D2518*$E2518/$C2518-1,NA()),NA())</ns0:f>
        <ns0:v/>
      </ns0:c>
      <ns0:c r="C2518">
        <ns0:f>IFERROR(IF(ISNUMBER($A2518),IF(AND(AH!$P$10=1,AH!$P$12=1,$A2518=TODAY()),AH!$P$19,IF(AH!$P$10=1,INDEX('Live History'!$B$5:$B$3004,AH!$P$13+2513),INDEX('AH History'!$B$1:$B$18046,AH!$P$7+2513))),NA()),NA())</ns0:f>
        <ns0:v/>
      </ns0:c>
      <ns0:c r="D2518">
        <ns0:f>IFERROR(IF(ISNUMBER($A2518),IF(AND(AH!$P$10=1,AH!$P$12=1,$A2518=TODAY()),AH!$P$18,IF(AH!$P$10=1,INDEX('Live History'!$E$5:$E$3004,MATCH($A2518,'Live History'!$D$5:$D$3004,1)),INDEX('AH History'!$C$1:$C$18046,AH!$P$7+2513))),NA()),NA())</ns0:f>
        <ns0:v/>
      </ns0:c>
      <ns0:c r="E2518">
        <ns0:f>IFERROR(IF(ISNUMBER($A2518),IF(AND(AH!$P$10=1,AH!$P$12=1,$A2518=TODAY()),AH!$P$20,IF(AH!$P$10=1,INDEX('Live History'!$H$5:$H$3004,MATCH($A2518,'Live History'!$G$5:$G$3004,1)),INDEX('AH History'!$D$1:$D$18046,AH!$P$7+2513))),NA()),NA())</ns0:f>
        <ns0:v/>
      </ns0:c>
      <ns0:c r="F2518">
        <ns0:f>IFERROR(IF(ISNUMBER($A2518),IF(AND(AH!$P$10=1,AH!$P$12=1,$A2518=TODAY()),IF(AND(AH!$P$10=1,AH!$P$12=1,$A2518=TODAY()),TODAY(),NA()),IF(AH!$P$10=1,INDEX('Live History'!$D$5:$D$3004,MATCH($A2518,'Live History'!$D$5:$D$3004,1)),INDEX('AH History'!$E$1:$E$18046,AH!$P$7+2513))),NA()),NA())</ns0:f>
        <ns0:v/>
      </ns0:c>
      <ns0:c r="G2518">
        <ns0:f>IFERROR(IF(ISNUMBER($A2518),IF(AND(AH!$P$10=1,AH!$P$12=1,$A2518=TODAY()),IF(AND(AH!$P$10=1,AH!$P$12=1,$A2518=TODAY()),TODAY(),NA()),IF(AH!$P$10=1,INDEX('Live History'!$G$5:$G$3004,MATCH($A2518,'Live History'!$G$5:$G$3004,1)),INDEX('AH History'!$F$1:$F$18046,AH!$P$7+2513))),NA()),NA())</ns0:f>
        <ns0:v/>
      </ns0:c>
      <ns0:c r="H2518">
        <ns0:f>IFERROR(IF(AND(AH!$E$4="Bloomberg",AH!$P$10=1,ISNUMBER($A2518),$A2518&lt;=AH!$P$17),AH!$P$7-1+MATCH($A2518,INDEX('AH History'!$A$1:$A$18046,AH!$P$7):INDEX('AH History'!$A$1:$A$18046,AH!$P$7+AH!$P$8-1),0),0),0)</ns0:f>
        <ns0:v/>
      </ns0:c>
      <ns0:c r="I2518">
        <ns0:f>IF($H2518=0,0,IFERROR(IF(AND(ABS($C2518-INDEX('AH History'!$B$1:$B$18046,$H2518))&lt;=MAX(0.005,ABS(INDEX('AH History'!$B$1:$B$18046,$H2518))*0.00005),ABS($D2518-INDEX('AH History'!$C$1:$C$18046,$H2518))&lt;=MAX(0.005,ABS(INDEX('AH History'!$C$1:$C$18046,$H2518))*0.00005),ABS($E2518-INDEX('AH History'!$D$1:$D$18046,$H2518))&lt;=0.00005,$F2518=INDEX('AH History'!$E$1:$E$18046,$H2518),$G2518=INDEX('AH History'!$F$1:$F$18046,$H2518)),1,-1),-1))</ns0:f>
        <ns0:v/>
      </ns0:c>
    </ns0:row>
    <ns0:row r="2519">
      <ns0:c r="A2519" s="215">
        <ns0:f>IF(OR(AH!$P$3=0,2514+1&gt;AH!$P$11,AND(AH!$E$4&lt;&gt;"Stored",AH!$P$10&lt;&gt;1)),"",IFERROR(IF(AND(AH!$P$21=1,2514+1=AH!$P$11),TODAY(),IF(AH!$P$10=1,INDEX('Live History'!$A$5:$A$3004,AH!$P$13+2514),INDEX('AH History'!$A$1:$A$18046,AH!$P$7+2514))),""))</ns0:f>
        <ns0:v/>
      </ns0:c>
      <ns0:c r="B2519" s="219">
        <ns0:f>IFERROR(IF(AND(AH!$P$9&lt;&gt;1,$C2519&gt;0,$D2519&gt;0,$E2519&gt;0,$F2519&gt;0,$G2519&gt;0,$F2519&lt;=$A2519,$G2519&lt;=$A2519,$A2519-$F2519&lt;=10,$A2519-$G2519&lt;=5),$D2519*$E2519/$C2519-1,NA()),NA())</ns0:f>
        <ns0:v/>
      </ns0:c>
      <ns0:c r="C2519">
        <ns0:f>IFERROR(IF(ISNUMBER($A2519),IF(AND(AH!$P$10=1,AH!$P$12=1,$A2519=TODAY()),AH!$P$19,IF(AH!$P$10=1,INDEX('Live History'!$B$5:$B$3004,AH!$P$13+2514),INDEX('AH History'!$B$1:$B$18046,AH!$P$7+2514))),NA()),NA())</ns0:f>
        <ns0:v/>
      </ns0:c>
      <ns0:c r="D2519">
        <ns0:f>IFERROR(IF(ISNUMBER($A2519),IF(AND(AH!$P$10=1,AH!$P$12=1,$A2519=TODAY()),AH!$P$18,IF(AH!$P$10=1,INDEX('Live History'!$E$5:$E$3004,MATCH($A2519,'Live History'!$D$5:$D$3004,1)),INDEX('AH History'!$C$1:$C$18046,AH!$P$7+2514))),NA()),NA())</ns0:f>
        <ns0:v/>
      </ns0:c>
      <ns0:c r="E2519">
        <ns0:f>IFERROR(IF(ISNUMBER($A2519),IF(AND(AH!$P$10=1,AH!$P$12=1,$A2519=TODAY()),AH!$P$20,IF(AH!$P$10=1,INDEX('Live History'!$H$5:$H$3004,MATCH($A2519,'Live History'!$G$5:$G$3004,1)),INDEX('AH History'!$D$1:$D$18046,AH!$P$7+2514))),NA()),NA())</ns0:f>
        <ns0:v/>
      </ns0:c>
      <ns0:c r="F2519">
        <ns0:f>IFERROR(IF(ISNUMBER($A2519),IF(AND(AH!$P$10=1,AH!$P$12=1,$A2519=TODAY()),IF(AND(AH!$P$10=1,AH!$P$12=1,$A2519=TODAY()),TODAY(),NA()),IF(AH!$P$10=1,INDEX('Live History'!$D$5:$D$3004,MATCH($A2519,'Live History'!$D$5:$D$3004,1)),INDEX('AH History'!$E$1:$E$18046,AH!$P$7+2514))),NA()),NA())</ns0:f>
        <ns0:v/>
      </ns0:c>
      <ns0:c r="G2519">
        <ns0:f>IFERROR(IF(ISNUMBER($A2519),IF(AND(AH!$P$10=1,AH!$P$12=1,$A2519=TODAY()),IF(AND(AH!$P$10=1,AH!$P$12=1,$A2519=TODAY()),TODAY(),NA()),IF(AH!$P$10=1,INDEX('Live History'!$G$5:$G$3004,MATCH($A2519,'Live History'!$G$5:$G$3004,1)),INDEX('AH History'!$F$1:$F$18046,AH!$P$7+2514))),NA()),NA())</ns0:f>
        <ns0:v/>
      </ns0:c>
      <ns0:c r="H2519">
        <ns0:f>IFERROR(IF(AND(AH!$E$4="Bloomberg",AH!$P$10=1,ISNUMBER($A2519),$A2519&lt;=AH!$P$17),AH!$P$7-1+MATCH($A2519,INDEX('AH History'!$A$1:$A$18046,AH!$P$7):INDEX('AH History'!$A$1:$A$18046,AH!$P$7+AH!$P$8-1),0),0),0)</ns0:f>
        <ns0:v/>
      </ns0:c>
      <ns0:c r="I2519">
        <ns0:f>IF($H2519=0,0,IFERROR(IF(AND(ABS($C2519-INDEX('AH History'!$B$1:$B$18046,$H2519))&lt;=MAX(0.005,ABS(INDEX('AH History'!$B$1:$B$18046,$H2519))*0.00005),ABS($D2519-INDEX('AH History'!$C$1:$C$18046,$H2519))&lt;=MAX(0.005,ABS(INDEX('AH History'!$C$1:$C$18046,$H2519))*0.00005),ABS($E2519-INDEX('AH History'!$D$1:$D$18046,$H2519))&lt;=0.00005,$F2519=INDEX('AH History'!$E$1:$E$18046,$H2519),$G2519=INDEX('AH History'!$F$1:$F$18046,$H2519)),1,-1),-1))</ns0:f>
        <ns0:v/>
      </ns0:c>
    </ns0:row>
    <ns0:row r="2520">
      <ns0:c r="A2520" s="215">
        <ns0:f>IF(OR(AH!$P$3=0,2515+1&gt;AH!$P$11,AND(AH!$E$4&lt;&gt;"Stored",AH!$P$10&lt;&gt;1)),"",IFERROR(IF(AND(AH!$P$21=1,2515+1=AH!$P$11),TODAY(),IF(AH!$P$10=1,INDEX('Live History'!$A$5:$A$3004,AH!$P$13+2515),INDEX('AH History'!$A$1:$A$18046,AH!$P$7+2515))),""))</ns0:f>
        <ns0:v/>
      </ns0:c>
      <ns0:c r="B2520" s="219">
        <ns0:f>IFERROR(IF(AND(AH!$P$9&lt;&gt;1,$C2520&gt;0,$D2520&gt;0,$E2520&gt;0,$F2520&gt;0,$G2520&gt;0,$F2520&lt;=$A2520,$G2520&lt;=$A2520,$A2520-$F2520&lt;=10,$A2520-$G2520&lt;=5),$D2520*$E2520/$C2520-1,NA()),NA())</ns0:f>
        <ns0:v/>
      </ns0:c>
      <ns0:c r="C2520">
        <ns0:f>IFERROR(IF(ISNUMBER($A2520),IF(AND(AH!$P$10=1,AH!$P$12=1,$A2520=TODAY()),AH!$P$19,IF(AH!$P$10=1,INDEX('Live History'!$B$5:$B$3004,AH!$P$13+2515),INDEX('AH History'!$B$1:$B$18046,AH!$P$7+2515))),NA()),NA())</ns0:f>
        <ns0:v/>
      </ns0:c>
      <ns0:c r="D2520">
        <ns0:f>IFERROR(IF(ISNUMBER($A2520),IF(AND(AH!$P$10=1,AH!$P$12=1,$A2520=TODAY()),AH!$P$18,IF(AH!$P$10=1,INDEX('Live History'!$E$5:$E$3004,MATCH($A2520,'Live History'!$D$5:$D$3004,1)),INDEX('AH History'!$C$1:$C$18046,AH!$P$7+2515))),NA()),NA())</ns0:f>
        <ns0:v/>
      </ns0:c>
      <ns0:c r="E2520">
        <ns0:f>IFERROR(IF(ISNUMBER($A2520),IF(AND(AH!$P$10=1,AH!$P$12=1,$A2520=TODAY()),AH!$P$20,IF(AH!$P$10=1,INDEX('Live History'!$H$5:$H$3004,MATCH($A2520,'Live History'!$G$5:$G$3004,1)),INDEX('AH History'!$D$1:$D$18046,AH!$P$7+2515))),NA()),NA())</ns0:f>
        <ns0:v/>
      </ns0:c>
      <ns0:c r="F2520">
        <ns0:f>IFERROR(IF(ISNUMBER($A2520),IF(AND(AH!$P$10=1,AH!$P$12=1,$A2520=TODAY()),IF(AND(AH!$P$10=1,AH!$P$12=1,$A2520=TODAY()),TODAY(),NA()),IF(AH!$P$10=1,INDEX('Live History'!$D$5:$D$3004,MATCH($A2520,'Live History'!$D$5:$D$3004,1)),INDEX('AH History'!$E$1:$E$18046,AH!$P$7+2515))),NA()),NA())</ns0:f>
        <ns0:v/>
      </ns0:c>
      <ns0:c r="G2520">
        <ns0:f>IFERROR(IF(ISNUMBER($A2520),IF(AND(AH!$P$10=1,AH!$P$12=1,$A2520=TODAY()),IF(AND(AH!$P$10=1,AH!$P$12=1,$A2520=TODAY()),TODAY(),NA()),IF(AH!$P$10=1,INDEX('Live History'!$G$5:$G$3004,MATCH($A2520,'Live History'!$G$5:$G$3004,1)),INDEX('AH History'!$F$1:$F$18046,AH!$P$7+2515))),NA()),NA())</ns0:f>
        <ns0:v/>
      </ns0:c>
      <ns0:c r="H2520">
        <ns0:f>IFERROR(IF(AND(AH!$E$4="Bloomberg",AH!$P$10=1,ISNUMBER($A2520),$A2520&lt;=AH!$P$17),AH!$P$7-1+MATCH($A2520,INDEX('AH History'!$A$1:$A$18046,AH!$P$7):INDEX('AH History'!$A$1:$A$18046,AH!$P$7+AH!$P$8-1),0),0),0)</ns0:f>
        <ns0:v/>
      </ns0:c>
      <ns0:c r="I2520">
        <ns0:f>IF($H2520=0,0,IFERROR(IF(AND(ABS($C2520-INDEX('AH History'!$B$1:$B$18046,$H2520))&lt;=MAX(0.005,ABS(INDEX('AH History'!$B$1:$B$18046,$H2520))*0.00005),ABS($D2520-INDEX('AH History'!$C$1:$C$18046,$H2520))&lt;=MAX(0.005,ABS(INDEX('AH History'!$C$1:$C$18046,$H2520))*0.00005),ABS($E2520-INDEX('AH History'!$D$1:$D$18046,$H2520))&lt;=0.00005,$F2520=INDEX('AH History'!$E$1:$E$18046,$H2520),$G2520=INDEX('AH History'!$F$1:$F$18046,$H2520)),1,-1),-1))</ns0:f>
        <ns0:v/>
      </ns0:c>
    </ns0:row>
    <ns0:row r="2521">
      <ns0:c r="A2521" s="215">
        <ns0:f>IF(OR(AH!$P$3=0,2516+1&gt;AH!$P$11,AND(AH!$E$4&lt;&gt;"Stored",AH!$P$10&lt;&gt;1)),"",IFERROR(IF(AND(AH!$P$21=1,2516+1=AH!$P$11),TODAY(),IF(AH!$P$10=1,INDEX('Live History'!$A$5:$A$3004,AH!$P$13+2516),INDEX('AH History'!$A$1:$A$18046,AH!$P$7+2516))),""))</ns0:f>
        <ns0:v/>
      </ns0:c>
      <ns0:c r="B2521" s="219">
        <ns0:f>IFERROR(IF(AND(AH!$P$9&lt;&gt;1,$C2521&gt;0,$D2521&gt;0,$E2521&gt;0,$F2521&gt;0,$G2521&gt;0,$F2521&lt;=$A2521,$G2521&lt;=$A2521,$A2521-$F2521&lt;=10,$A2521-$G2521&lt;=5),$D2521*$E2521/$C2521-1,NA()),NA())</ns0:f>
        <ns0:v/>
      </ns0:c>
      <ns0:c r="C2521">
        <ns0:f>IFERROR(IF(ISNUMBER($A2521),IF(AND(AH!$P$10=1,AH!$P$12=1,$A2521=TODAY()),AH!$P$19,IF(AH!$P$10=1,INDEX('Live History'!$B$5:$B$3004,AH!$P$13+2516),INDEX('AH History'!$B$1:$B$18046,AH!$P$7+2516))),NA()),NA())</ns0:f>
        <ns0:v/>
      </ns0:c>
      <ns0:c r="D2521">
        <ns0:f>IFERROR(IF(ISNUMBER($A2521),IF(AND(AH!$P$10=1,AH!$P$12=1,$A2521=TODAY()),AH!$P$18,IF(AH!$P$10=1,INDEX('Live History'!$E$5:$E$3004,MATCH($A2521,'Live History'!$D$5:$D$3004,1)),INDEX('AH History'!$C$1:$C$18046,AH!$P$7+2516))),NA()),NA())</ns0:f>
        <ns0:v/>
      </ns0:c>
      <ns0:c r="E2521">
        <ns0:f>IFERROR(IF(ISNUMBER($A2521),IF(AND(AH!$P$10=1,AH!$P$12=1,$A2521=TODAY()),AH!$P$20,IF(AH!$P$10=1,INDEX('Live History'!$H$5:$H$3004,MATCH($A2521,'Live History'!$G$5:$G$3004,1)),INDEX('AH History'!$D$1:$D$18046,AH!$P$7+2516))),NA()),NA())</ns0:f>
        <ns0:v/>
      </ns0:c>
      <ns0:c r="F2521">
        <ns0:f>IFERROR(IF(ISNUMBER($A2521),IF(AND(AH!$P$10=1,AH!$P$12=1,$A2521=TODAY()),IF(AND(AH!$P$10=1,AH!$P$12=1,$A2521=TODAY()),TODAY(),NA()),IF(AH!$P$10=1,INDEX('Live History'!$D$5:$D$3004,MATCH($A2521,'Live History'!$D$5:$D$3004,1)),INDEX('AH History'!$E$1:$E$18046,AH!$P$7+2516))),NA()),NA())</ns0:f>
        <ns0:v/>
      </ns0:c>
      <ns0:c r="G2521">
        <ns0:f>IFERROR(IF(ISNUMBER($A2521),IF(AND(AH!$P$10=1,AH!$P$12=1,$A2521=TODAY()),IF(AND(AH!$P$10=1,AH!$P$12=1,$A2521=TODAY()),TODAY(),NA()),IF(AH!$P$10=1,INDEX('Live History'!$G$5:$G$3004,MATCH($A2521,'Live History'!$G$5:$G$3004,1)),INDEX('AH History'!$F$1:$F$18046,AH!$P$7+2516))),NA()),NA())</ns0:f>
        <ns0:v/>
      </ns0:c>
      <ns0:c r="H2521">
        <ns0:f>IFERROR(IF(AND(AH!$E$4="Bloomberg",AH!$P$10=1,ISNUMBER($A2521),$A2521&lt;=AH!$P$17),AH!$P$7-1+MATCH($A2521,INDEX('AH History'!$A$1:$A$18046,AH!$P$7):INDEX('AH History'!$A$1:$A$18046,AH!$P$7+AH!$P$8-1),0),0),0)</ns0:f>
        <ns0:v/>
      </ns0:c>
      <ns0:c r="I2521">
        <ns0:f>IF($H2521=0,0,IFERROR(IF(AND(ABS($C2521-INDEX('AH History'!$B$1:$B$18046,$H2521))&lt;=MAX(0.005,ABS(INDEX('AH History'!$B$1:$B$18046,$H2521))*0.00005),ABS($D2521-INDEX('AH History'!$C$1:$C$18046,$H2521))&lt;=MAX(0.005,ABS(INDEX('AH History'!$C$1:$C$18046,$H2521))*0.00005),ABS($E2521-INDEX('AH History'!$D$1:$D$18046,$H2521))&lt;=0.00005,$F2521=INDEX('AH History'!$E$1:$E$18046,$H2521),$G2521=INDEX('AH History'!$F$1:$F$18046,$H2521)),1,-1),-1))</ns0:f>
        <ns0:v/>
      </ns0:c>
    </ns0:row>
    <ns0:row r="2522">
      <ns0:c r="A2522" s="215">
        <ns0:f>IF(OR(AH!$P$3=0,2517+1&gt;AH!$P$11,AND(AH!$E$4&lt;&gt;"Stored",AH!$P$10&lt;&gt;1)),"",IFERROR(IF(AND(AH!$P$21=1,2517+1=AH!$P$11),TODAY(),IF(AH!$P$10=1,INDEX('Live History'!$A$5:$A$3004,AH!$P$13+2517),INDEX('AH History'!$A$1:$A$18046,AH!$P$7+2517))),""))</ns0:f>
        <ns0:v/>
      </ns0:c>
      <ns0:c r="B2522" s="219">
        <ns0:f>IFERROR(IF(AND(AH!$P$9&lt;&gt;1,$C2522&gt;0,$D2522&gt;0,$E2522&gt;0,$F2522&gt;0,$G2522&gt;0,$F2522&lt;=$A2522,$G2522&lt;=$A2522,$A2522-$F2522&lt;=10,$A2522-$G2522&lt;=5),$D2522*$E2522/$C2522-1,NA()),NA())</ns0:f>
        <ns0:v/>
      </ns0:c>
      <ns0:c r="C2522">
        <ns0:f>IFERROR(IF(ISNUMBER($A2522),IF(AND(AH!$P$10=1,AH!$P$12=1,$A2522=TODAY()),AH!$P$19,IF(AH!$P$10=1,INDEX('Live History'!$B$5:$B$3004,AH!$P$13+2517),INDEX('AH History'!$B$1:$B$18046,AH!$P$7+2517))),NA()),NA())</ns0:f>
        <ns0:v/>
      </ns0:c>
      <ns0:c r="D2522">
        <ns0:f>IFERROR(IF(ISNUMBER($A2522),IF(AND(AH!$P$10=1,AH!$P$12=1,$A2522=TODAY()),AH!$P$18,IF(AH!$P$10=1,INDEX('Live History'!$E$5:$E$3004,MATCH($A2522,'Live History'!$D$5:$D$3004,1)),INDEX('AH History'!$C$1:$C$18046,AH!$P$7+2517))),NA()),NA())</ns0:f>
        <ns0:v/>
      </ns0:c>
      <ns0:c r="E2522">
        <ns0:f>IFERROR(IF(ISNUMBER($A2522),IF(AND(AH!$P$10=1,AH!$P$12=1,$A2522=TODAY()),AH!$P$20,IF(AH!$P$10=1,INDEX('Live History'!$H$5:$H$3004,MATCH($A2522,'Live History'!$G$5:$G$3004,1)),INDEX('AH History'!$D$1:$D$18046,AH!$P$7+2517))),NA()),NA())</ns0:f>
        <ns0:v/>
      </ns0:c>
      <ns0:c r="F2522">
        <ns0:f>IFERROR(IF(ISNUMBER($A2522),IF(AND(AH!$P$10=1,AH!$P$12=1,$A2522=TODAY()),IF(AND(AH!$P$10=1,AH!$P$12=1,$A2522=TODAY()),TODAY(),NA()),IF(AH!$P$10=1,INDEX('Live History'!$D$5:$D$3004,MATCH($A2522,'Live History'!$D$5:$D$3004,1)),INDEX('AH History'!$E$1:$E$18046,AH!$P$7+2517))),NA()),NA())</ns0:f>
        <ns0:v/>
      </ns0:c>
      <ns0:c r="G2522">
        <ns0:f>IFERROR(IF(ISNUMBER($A2522),IF(AND(AH!$P$10=1,AH!$P$12=1,$A2522=TODAY()),IF(AND(AH!$P$10=1,AH!$P$12=1,$A2522=TODAY()),TODAY(),NA()),IF(AH!$P$10=1,INDEX('Live History'!$G$5:$G$3004,MATCH($A2522,'Live History'!$G$5:$G$3004,1)),INDEX('AH History'!$F$1:$F$18046,AH!$P$7+2517))),NA()),NA())</ns0:f>
        <ns0:v/>
      </ns0:c>
      <ns0:c r="H2522">
        <ns0:f>IFERROR(IF(AND(AH!$E$4="Bloomberg",AH!$P$10=1,ISNUMBER($A2522),$A2522&lt;=AH!$P$17),AH!$P$7-1+MATCH($A2522,INDEX('AH History'!$A$1:$A$18046,AH!$P$7):INDEX('AH History'!$A$1:$A$18046,AH!$P$7+AH!$P$8-1),0),0),0)</ns0:f>
        <ns0:v/>
      </ns0:c>
      <ns0:c r="I2522">
        <ns0:f>IF($H2522=0,0,IFERROR(IF(AND(ABS($C2522-INDEX('AH History'!$B$1:$B$18046,$H2522))&lt;=MAX(0.005,ABS(INDEX('AH History'!$B$1:$B$18046,$H2522))*0.00005),ABS($D2522-INDEX('AH History'!$C$1:$C$18046,$H2522))&lt;=MAX(0.005,ABS(INDEX('AH History'!$C$1:$C$18046,$H2522))*0.00005),ABS($E2522-INDEX('AH History'!$D$1:$D$18046,$H2522))&lt;=0.00005,$F2522=INDEX('AH History'!$E$1:$E$18046,$H2522),$G2522=INDEX('AH History'!$F$1:$F$18046,$H2522)),1,-1),-1))</ns0:f>
        <ns0:v/>
      </ns0:c>
    </ns0:row>
    <ns0:row r="2523">
      <ns0:c r="A2523" s="215">
        <ns0:f>IF(OR(AH!$P$3=0,2518+1&gt;AH!$P$11,AND(AH!$E$4&lt;&gt;"Stored",AH!$P$10&lt;&gt;1)),"",IFERROR(IF(AND(AH!$P$21=1,2518+1=AH!$P$11),TODAY(),IF(AH!$P$10=1,INDEX('Live History'!$A$5:$A$3004,AH!$P$13+2518),INDEX('AH History'!$A$1:$A$18046,AH!$P$7+2518))),""))</ns0:f>
        <ns0:v/>
      </ns0:c>
      <ns0:c r="B2523" s="219">
        <ns0:f>IFERROR(IF(AND(AH!$P$9&lt;&gt;1,$C2523&gt;0,$D2523&gt;0,$E2523&gt;0,$F2523&gt;0,$G2523&gt;0,$F2523&lt;=$A2523,$G2523&lt;=$A2523,$A2523-$F2523&lt;=10,$A2523-$G2523&lt;=5),$D2523*$E2523/$C2523-1,NA()),NA())</ns0:f>
        <ns0:v/>
      </ns0:c>
      <ns0:c r="C2523">
        <ns0:f>IFERROR(IF(ISNUMBER($A2523),IF(AND(AH!$P$10=1,AH!$P$12=1,$A2523=TODAY()),AH!$P$19,IF(AH!$P$10=1,INDEX('Live History'!$B$5:$B$3004,AH!$P$13+2518),INDEX('AH History'!$B$1:$B$18046,AH!$P$7+2518))),NA()),NA())</ns0:f>
        <ns0:v/>
      </ns0:c>
      <ns0:c r="D2523">
        <ns0:f>IFERROR(IF(ISNUMBER($A2523),IF(AND(AH!$P$10=1,AH!$P$12=1,$A2523=TODAY()),AH!$P$18,IF(AH!$P$10=1,INDEX('Live History'!$E$5:$E$3004,MATCH($A2523,'Live History'!$D$5:$D$3004,1)),INDEX('AH History'!$C$1:$C$18046,AH!$P$7+2518))),NA()),NA())</ns0:f>
        <ns0:v/>
      </ns0:c>
      <ns0:c r="E2523">
        <ns0:f>IFERROR(IF(ISNUMBER($A2523),IF(AND(AH!$P$10=1,AH!$P$12=1,$A2523=TODAY()),AH!$P$20,IF(AH!$P$10=1,INDEX('Live History'!$H$5:$H$3004,MATCH($A2523,'Live History'!$G$5:$G$3004,1)),INDEX('AH History'!$D$1:$D$18046,AH!$P$7+2518))),NA()),NA())</ns0:f>
        <ns0:v/>
      </ns0:c>
      <ns0:c r="F2523">
        <ns0:f>IFERROR(IF(ISNUMBER($A2523),IF(AND(AH!$P$10=1,AH!$P$12=1,$A2523=TODAY()),IF(AND(AH!$P$10=1,AH!$P$12=1,$A2523=TODAY()),TODAY(),NA()),IF(AH!$P$10=1,INDEX('Live History'!$D$5:$D$3004,MATCH($A2523,'Live History'!$D$5:$D$3004,1)),INDEX('AH History'!$E$1:$E$18046,AH!$P$7+2518))),NA()),NA())</ns0:f>
        <ns0:v/>
      </ns0:c>
      <ns0:c r="G2523">
        <ns0:f>IFERROR(IF(ISNUMBER($A2523),IF(AND(AH!$P$10=1,AH!$P$12=1,$A2523=TODAY()),IF(AND(AH!$P$10=1,AH!$P$12=1,$A2523=TODAY()),TODAY(),NA()),IF(AH!$P$10=1,INDEX('Live History'!$G$5:$G$3004,MATCH($A2523,'Live History'!$G$5:$G$3004,1)),INDEX('AH History'!$F$1:$F$18046,AH!$P$7+2518))),NA()),NA())</ns0:f>
        <ns0:v/>
      </ns0:c>
      <ns0:c r="H2523">
        <ns0:f>IFERROR(IF(AND(AH!$E$4="Bloomberg",AH!$P$10=1,ISNUMBER($A2523),$A2523&lt;=AH!$P$17),AH!$P$7-1+MATCH($A2523,INDEX('AH History'!$A$1:$A$18046,AH!$P$7):INDEX('AH History'!$A$1:$A$18046,AH!$P$7+AH!$P$8-1),0),0),0)</ns0:f>
        <ns0:v/>
      </ns0:c>
      <ns0:c r="I2523">
        <ns0:f>IF($H2523=0,0,IFERROR(IF(AND(ABS($C2523-INDEX('AH History'!$B$1:$B$18046,$H2523))&lt;=MAX(0.005,ABS(INDEX('AH History'!$B$1:$B$18046,$H2523))*0.00005),ABS($D2523-INDEX('AH History'!$C$1:$C$18046,$H2523))&lt;=MAX(0.005,ABS(INDEX('AH History'!$C$1:$C$18046,$H2523))*0.00005),ABS($E2523-INDEX('AH History'!$D$1:$D$18046,$H2523))&lt;=0.00005,$F2523=INDEX('AH History'!$E$1:$E$18046,$H2523),$G2523=INDEX('AH History'!$F$1:$F$18046,$H2523)),1,-1),-1))</ns0:f>
        <ns0:v/>
      </ns0:c>
    </ns0:row>
    <ns0:row r="2524">
      <ns0:c r="A2524" s="215">
        <ns0:f>IF(OR(AH!$P$3=0,2519+1&gt;AH!$P$11,AND(AH!$E$4&lt;&gt;"Stored",AH!$P$10&lt;&gt;1)),"",IFERROR(IF(AND(AH!$P$21=1,2519+1=AH!$P$11),TODAY(),IF(AH!$P$10=1,INDEX('Live History'!$A$5:$A$3004,AH!$P$13+2519),INDEX('AH History'!$A$1:$A$18046,AH!$P$7+2519))),""))</ns0:f>
        <ns0:v/>
      </ns0:c>
      <ns0:c r="B2524" s="219">
        <ns0:f>IFERROR(IF(AND(AH!$P$9&lt;&gt;1,$C2524&gt;0,$D2524&gt;0,$E2524&gt;0,$F2524&gt;0,$G2524&gt;0,$F2524&lt;=$A2524,$G2524&lt;=$A2524,$A2524-$F2524&lt;=10,$A2524-$G2524&lt;=5),$D2524*$E2524/$C2524-1,NA()),NA())</ns0:f>
        <ns0:v/>
      </ns0:c>
      <ns0:c r="C2524">
        <ns0:f>IFERROR(IF(ISNUMBER($A2524),IF(AND(AH!$P$10=1,AH!$P$12=1,$A2524=TODAY()),AH!$P$19,IF(AH!$P$10=1,INDEX('Live History'!$B$5:$B$3004,AH!$P$13+2519),INDEX('AH History'!$B$1:$B$18046,AH!$P$7+2519))),NA()),NA())</ns0:f>
        <ns0:v/>
      </ns0:c>
      <ns0:c r="D2524">
        <ns0:f>IFERROR(IF(ISNUMBER($A2524),IF(AND(AH!$P$10=1,AH!$P$12=1,$A2524=TODAY()),AH!$P$18,IF(AH!$P$10=1,INDEX('Live History'!$E$5:$E$3004,MATCH($A2524,'Live History'!$D$5:$D$3004,1)),INDEX('AH History'!$C$1:$C$18046,AH!$P$7+2519))),NA()),NA())</ns0:f>
        <ns0:v/>
      </ns0:c>
      <ns0:c r="E2524">
        <ns0:f>IFERROR(IF(ISNUMBER($A2524),IF(AND(AH!$P$10=1,AH!$P$12=1,$A2524=TODAY()),AH!$P$20,IF(AH!$P$10=1,INDEX('Live History'!$H$5:$H$3004,MATCH($A2524,'Live History'!$G$5:$G$3004,1)),INDEX('AH History'!$D$1:$D$18046,AH!$P$7+2519))),NA()),NA())</ns0:f>
        <ns0:v/>
      </ns0:c>
      <ns0:c r="F2524">
        <ns0:f>IFERROR(IF(ISNUMBER($A2524),IF(AND(AH!$P$10=1,AH!$P$12=1,$A2524=TODAY()),IF(AND(AH!$P$10=1,AH!$P$12=1,$A2524=TODAY()),TODAY(),NA()),IF(AH!$P$10=1,INDEX('Live History'!$D$5:$D$3004,MATCH($A2524,'Live History'!$D$5:$D$3004,1)),INDEX('AH History'!$E$1:$E$18046,AH!$P$7+2519))),NA()),NA())</ns0:f>
        <ns0:v/>
      </ns0:c>
      <ns0:c r="G2524">
        <ns0:f>IFERROR(IF(ISNUMBER($A2524),IF(AND(AH!$P$10=1,AH!$P$12=1,$A2524=TODAY()),IF(AND(AH!$P$10=1,AH!$P$12=1,$A2524=TODAY()),TODAY(),NA()),IF(AH!$P$10=1,INDEX('Live History'!$G$5:$G$3004,MATCH($A2524,'Live History'!$G$5:$G$3004,1)),INDEX('AH History'!$F$1:$F$18046,AH!$P$7+2519))),NA()),NA())</ns0:f>
        <ns0:v/>
      </ns0:c>
      <ns0:c r="H2524">
        <ns0:f>IFERROR(IF(AND(AH!$E$4="Bloomberg",AH!$P$10=1,ISNUMBER($A2524),$A2524&lt;=AH!$P$17),AH!$P$7-1+MATCH($A2524,INDEX('AH History'!$A$1:$A$18046,AH!$P$7):INDEX('AH History'!$A$1:$A$18046,AH!$P$7+AH!$P$8-1),0),0),0)</ns0:f>
        <ns0:v/>
      </ns0:c>
      <ns0:c r="I2524">
        <ns0:f>IF($H2524=0,0,IFERROR(IF(AND(ABS($C2524-INDEX('AH History'!$B$1:$B$18046,$H2524))&lt;=MAX(0.005,ABS(INDEX('AH History'!$B$1:$B$18046,$H2524))*0.00005),ABS($D2524-INDEX('AH History'!$C$1:$C$18046,$H2524))&lt;=MAX(0.005,ABS(INDEX('AH History'!$C$1:$C$18046,$H2524))*0.00005),ABS($E2524-INDEX('AH History'!$D$1:$D$18046,$H2524))&lt;=0.00005,$F2524=INDEX('AH History'!$E$1:$E$18046,$H2524),$G2524=INDEX('AH History'!$F$1:$F$18046,$H2524)),1,-1),-1))</ns0:f>
        <ns0:v/>
      </ns0:c>
    </ns0:row>
    <ns0:row r="2525">
      <ns0:c r="A2525" s="215">
        <ns0:f>IF(OR(AH!$P$3=0,2520+1&gt;AH!$P$11,AND(AH!$E$4&lt;&gt;"Stored",AH!$P$10&lt;&gt;1)),"",IFERROR(IF(AND(AH!$P$21=1,2520+1=AH!$P$11),TODAY(),IF(AH!$P$10=1,INDEX('Live History'!$A$5:$A$3004,AH!$P$13+2520),INDEX('AH History'!$A$1:$A$18046,AH!$P$7+2520))),""))</ns0:f>
        <ns0:v/>
      </ns0:c>
      <ns0:c r="B2525" s="219">
        <ns0:f>IFERROR(IF(AND(AH!$P$9&lt;&gt;1,$C2525&gt;0,$D2525&gt;0,$E2525&gt;0,$F2525&gt;0,$G2525&gt;0,$F2525&lt;=$A2525,$G2525&lt;=$A2525,$A2525-$F2525&lt;=10,$A2525-$G2525&lt;=5),$D2525*$E2525/$C2525-1,NA()),NA())</ns0:f>
        <ns0:v/>
      </ns0:c>
      <ns0:c r="C2525">
        <ns0:f>IFERROR(IF(ISNUMBER($A2525),IF(AND(AH!$P$10=1,AH!$P$12=1,$A2525=TODAY()),AH!$P$19,IF(AH!$P$10=1,INDEX('Live History'!$B$5:$B$3004,AH!$P$13+2520),INDEX('AH History'!$B$1:$B$18046,AH!$P$7+2520))),NA()),NA())</ns0:f>
        <ns0:v/>
      </ns0:c>
      <ns0:c r="D2525">
        <ns0:f>IFERROR(IF(ISNUMBER($A2525),IF(AND(AH!$P$10=1,AH!$P$12=1,$A2525=TODAY()),AH!$P$18,IF(AH!$P$10=1,INDEX('Live History'!$E$5:$E$3004,MATCH($A2525,'Live History'!$D$5:$D$3004,1)),INDEX('AH History'!$C$1:$C$18046,AH!$P$7+2520))),NA()),NA())</ns0:f>
        <ns0:v/>
      </ns0:c>
      <ns0:c r="E2525">
        <ns0:f>IFERROR(IF(ISNUMBER($A2525),IF(AND(AH!$P$10=1,AH!$P$12=1,$A2525=TODAY()),AH!$P$20,IF(AH!$P$10=1,INDEX('Live History'!$H$5:$H$3004,MATCH($A2525,'Live History'!$G$5:$G$3004,1)),INDEX('AH History'!$D$1:$D$18046,AH!$P$7+2520))),NA()),NA())</ns0:f>
        <ns0:v/>
      </ns0:c>
      <ns0:c r="F2525">
        <ns0:f>IFERROR(IF(ISNUMBER($A2525),IF(AND(AH!$P$10=1,AH!$P$12=1,$A2525=TODAY()),IF(AND(AH!$P$10=1,AH!$P$12=1,$A2525=TODAY()),TODAY(),NA()),IF(AH!$P$10=1,INDEX('Live History'!$D$5:$D$3004,MATCH($A2525,'Live History'!$D$5:$D$3004,1)),INDEX('AH History'!$E$1:$E$18046,AH!$P$7+2520))),NA()),NA())</ns0:f>
        <ns0:v/>
      </ns0:c>
      <ns0:c r="G2525">
        <ns0:f>IFERROR(IF(ISNUMBER($A2525),IF(AND(AH!$P$10=1,AH!$P$12=1,$A2525=TODAY()),IF(AND(AH!$P$10=1,AH!$P$12=1,$A2525=TODAY()),TODAY(),NA()),IF(AH!$P$10=1,INDEX('Live History'!$G$5:$G$3004,MATCH($A2525,'Live History'!$G$5:$G$3004,1)),INDEX('AH History'!$F$1:$F$18046,AH!$P$7+2520))),NA()),NA())</ns0:f>
        <ns0:v/>
      </ns0:c>
      <ns0:c r="H2525">
        <ns0:f>IFERROR(IF(AND(AH!$E$4="Bloomberg",AH!$P$10=1,ISNUMBER($A2525),$A2525&lt;=AH!$P$17),AH!$P$7-1+MATCH($A2525,INDEX('AH History'!$A$1:$A$18046,AH!$P$7):INDEX('AH History'!$A$1:$A$18046,AH!$P$7+AH!$P$8-1),0),0),0)</ns0:f>
        <ns0:v/>
      </ns0:c>
      <ns0:c r="I2525">
        <ns0:f>IF($H2525=0,0,IFERROR(IF(AND(ABS($C2525-INDEX('AH History'!$B$1:$B$18046,$H2525))&lt;=MAX(0.005,ABS(INDEX('AH History'!$B$1:$B$18046,$H2525))*0.00005),ABS($D2525-INDEX('AH History'!$C$1:$C$18046,$H2525))&lt;=MAX(0.005,ABS(INDEX('AH History'!$C$1:$C$18046,$H2525))*0.00005),ABS($E2525-INDEX('AH History'!$D$1:$D$18046,$H2525))&lt;=0.00005,$F2525=INDEX('AH History'!$E$1:$E$18046,$H2525),$G2525=INDEX('AH History'!$F$1:$F$18046,$H2525)),1,-1),-1))</ns0:f>
        <ns0:v/>
      </ns0:c>
    </ns0:row>
    <ns0:row r="2526">
      <ns0:c r="A2526" s="215">
        <ns0:f>IF(OR(AH!$P$3=0,2521+1&gt;AH!$P$11,AND(AH!$E$4&lt;&gt;"Stored",AH!$P$10&lt;&gt;1)),"",IFERROR(IF(AND(AH!$P$21=1,2521+1=AH!$P$11),TODAY(),IF(AH!$P$10=1,INDEX('Live History'!$A$5:$A$3004,AH!$P$13+2521),INDEX('AH History'!$A$1:$A$18046,AH!$P$7+2521))),""))</ns0:f>
        <ns0:v/>
      </ns0:c>
      <ns0:c r="B2526" s="219">
        <ns0:f>IFERROR(IF(AND(AH!$P$9&lt;&gt;1,$C2526&gt;0,$D2526&gt;0,$E2526&gt;0,$F2526&gt;0,$G2526&gt;0,$F2526&lt;=$A2526,$G2526&lt;=$A2526,$A2526-$F2526&lt;=10,$A2526-$G2526&lt;=5),$D2526*$E2526/$C2526-1,NA()),NA())</ns0:f>
        <ns0:v/>
      </ns0:c>
      <ns0:c r="C2526">
        <ns0:f>IFERROR(IF(ISNUMBER($A2526),IF(AND(AH!$P$10=1,AH!$P$12=1,$A2526=TODAY()),AH!$P$19,IF(AH!$P$10=1,INDEX('Live History'!$B$5:$B$3004,AH!$P$13+2521),INDEX('AH History'!$B$1:$B$18046,AH!$P$7+2521))),NA()),NA())</ns0:f>
        <ns0:v/>
      </ns0:c>
      <ns0:c r="D2526">
        <ns0:f>IFERROR(IF(ISNUMBER($A2526),IF(AND(AH!$P$10=1,AH!$P$12=1,$A2526=TODAY()),AH!$P$18,IF(AH!$P$10=1,INDEX('Live History'!$E$5:$E$3004,MATCH($A2526,'Live History'!$D$5:$D$3004,1)),INDEX('AH History'!$C$1:$C$18046,AH!$P$7+2521))),NA()),NA())</ns0:f>
        <ns0:v/>
      </ns0:c>
      <ns0:c r="E2526">
        <ns0:f>IFERROR(IF(ISNUMBER($A2526),IF(AND(AH!$P$10=1,AH!$P$12=1,$A2526=TODAY()),AH!$P$20,IF(AH!$P$10=1,INDEX('Live History'!$H$5:$H$3004,MATCH($A2526,'Live History'!$G$5:$G$3004,1)),INDEX('AH History'!$D$1:$D$18046,AH!$P$7+2521))),NA()),NA())</ns0:f>
        <ns0:v/>
      </ns0:c>
      <ns0:c r="F2526">
        <ns0:f>IFERROR(IF(ISNUMBER($A2526),IF(AND(AH!$P$10=1,AH!$P$12=1,$A2526=TODAY()),IF(AND(AH!$P$10=1,AH!$P$12=1,$A2526=TODAY()),TODAY(),NA()),IF(AH!$P$10=1,INDEX('Live History'!$D$5:$D$3004,MATCH($A2526,'Live History'!$D$5:$D$3004,1)),INDEX('AH History'!$E$1:$E$18046,AH!$P$7+2521))),NA()),NA())</ns0:f>
        <ns0:v/>
      </ns0:c>
      <ns0:c r="G2526">
        <ns0:f>IFERROR(IF(ISNUMBER($A2526),IF(AND(AH!$P$10=1,AH!$P$12=1,$A2526=TODAY()),IF(AND(AH!$P$10=1,AH!$P$12=1,$A2526=TODAY()),TODAY(),NA()),IF(AH!$P$10=1,INDEX('Live History'!$G$5:$G$3004,MATCH($A2526,'Live History'!$G$5:$G$3004,1)),INDEX('AH History'!$F$1:$F$18046,AH!$P$7+2521))),NA()),NA())</ns0:f>
        <ns0:v/>
      </ns0:c>
      <ns0:c r="H2526">
        <ns0:f>IFERROR(IF(AND(AH!$E$4="Bloomberg",AH!$P$10=1,ISNUMBER($A2526),$A2526&lt;=AH!$P$17),AH!$P$7-1+MATCH($A2526,INDEX('AH History'!$A$1:$A$18046,AH!$P$7):INDEX('AH History'!$A$1:$A$18046,AH!$P$7+AH!$P$8-1),0),0),0)</ns0:f>
        <ns0:v/>
      </ns0:c>
      <ns0:c r="I2526">
        <ns0:f>IF($H2526=0,0,IFERROR(IF(AND(ABS($C2526-INDEX('AH History'!$B$1:$B$18046,$H2526))&lt;=MAX(0.005,ABS(INDEX('AH History'!$B$1:$B$18046,$H2526))*0.00005),ABS($D2526-INDEX('AH History'!$C$1:$C$18046,$H2526))&lt;=MAX(0.005,ABS(INDEX('AH History'!$C$1:$C$18046,$H2526))*0.00005),ABS($E2526-INDEX('AH History'!$D$1:$D$18046,$H2526))&lt;=0.00005,$F2526=INDEX('AH History'!$E$1:$E$18046,$H2526),$G2526=INDEX('AH History'!$F$1:$F$18046,$H2526)),1,-1),-1))</ns0:f>
        <ns0:v/>
      </ns0:c>
    </ns0:row>
    <ns0:row r="2527">
      <ns0:c r="A2527" s="215">
        <ns0:f>IF(OR(AH!$P$3=0,2522+1&gt;AH!$P$11,AND(AH!$E$4&lt;&gt;"Stored",AH!$P$10&lt;&gt;1)),"",IFERROR(IF(AND(AH!$P$21=1,2522+1=AH!$P$11),TODAY(),IF(AH!$P$10=1,INDEX('Live History'!$A$5:$A$3004,AH!$P$13+2522),INDEX('AH History'!$A$1:$A$18046,AH!$P$7+2522))),""))</ns0:f>
        <ns0:v/>
      </ns0:c>
      <ns0:c r="B2527" s="219">
        <ns0:f>IFERROR(IF(AND(AH!$P$9&lt;&gt;1,$C2527&gt;0,$D2527&gt;0,$E2527&gt;0,$F2527&gt;0,$G2527&gt;0,$F2527&lt;=$A2527,$G2527&lt;=$A2527,$A2527-$F2527&lt;=10,$A2527-$G2527&lt;=5),$D2527*$E2527/$C2527-1,NA()),NA())</ns0:f>
        <ns0:v/>
      </ns0:c>
      <ns0:c r="C2527">
        <ns0:f>IFERROR(IF(ISNUMBER($A2527),IF(AND(AH!$P$10=1,AH!$P$12=1,$A2527=TODAY()),AH!$P$19,IF(AH!$P$10=1,INDEX('Live History'!$B$5:$B$3004,AH!$P$13+2522),INDEX('AH History'!$B$1:$B$18046,AH!$P$7+2522))),NA()),NA())</ns0:f>
        <ns0:v/>
      </ns0:c>
      <ns0:c r="D2527">
        <ns0:f>IFERROR(IF(ISNUMBER($A2527),IF(AND(AH!$P$10=1,AH!$P$12=1,$A2527=TODAY()),AH!$P$18,IF(AH!$P$10=1,INDEX('Live History'!$E$5:$E$3004,MATCH($A2527,'Live History'!$D$5:$D$3004,1)),INDEX('AH History'!$C$1:$C$18046,AH!$P$7+2522))),NA()),NA())</ns0:f>
        <ns0:v/>
      </ns0:c>
      <ns0:c r="E2527">
        <ns0:f>IFERROR(IF(ISNUMBER($A2527),IF(AND(AH!$P$10=1,AH!$P$12=1,$A2527=TODAY()),AH!$P$20,IF(AH!$P$10=1,INDEX('Live History'!$H$5:$H$3004,MATCH($A2527,'Live History'!$G$5:$G$3004,1)),INDEX('AH History'!$D$1:$D$18046,AH!$P$7+2522))),NA()),NA())</ns0:f>
        <ns0:v/>
      </ns0:c>
      <ns0:c r="F2527">
        <ns0:f>IFERROR(IF(ISNUMBER($A2527),IF(AND(AH!$P$10=1,AH!$P$12=1,$A2527=TODAY()),IF(AND(AH!$P$10=1,AH!$P$12=1,$A2527=TODAY()),TODAY(),NA()),IF(AH!$P$10=1,INDEX('Live History'!$D$5:$D$3004,MATCH($A2527,'Live History'!$D$5:$D$3004,1)),INDEX('AH History'!$E$1:$E$18046,AH!$P$7+2522))),NA()),NA())</ns0:f>
        <ns0:v/>
      </ns0:c>
      <ns0:c r="G2527">
        <ns0:f>IFERROR(IF(ISNUMBER($A2527),IF(AND(AH!$P$10=1,AH!$P$12=1,$A2527=TODAY()),IF(AND(AH!$P$10=1,AH!$P$12=1,$A2527=TODAY()),TODAY(),NA()),IF(AH!$P$10=1,INDEX('Live History'!$G$5:$G$3004,MATCH($A2527,'Live History'!$G$5:$G$3004,1)),INDEX('AH History'!$F$1:$F$18046,AH!$P$7+2522))),NA()),NA())</ns0:f>
        <ns0:v/>
      </ns0:c>
      <ns0:c r="H2527">
        <ns0:f>IFERROR(IF(AND(AH!$E$4="Bloomberg",AH!$P$10=1,ISNUMBER($A2527),$A2527&lt;=AH!$P$17),AH!$P$7-1+MATCH($A2527,INDEX('AH History'!$A$1:$A$18046,AH!$P$7):INDEX('AH History'!$A$1:$A$18046,AH!$P$7+AH!$P$8-1),0),0),0)</ns0:f>
        <ns0:v/>
      </ns0:c>
      <ns0:c r="I2527">
        <ns0:f>IF($H2527=0,0,IFERROR(IF(AND(ABS($C2527-INDEX('AH History'!$B$1:$B$18046,$H2527))&lt;=MAX(0.005,ABS(INDEX('AH History'!$B$1:$B$18046,$H2527))*0.00005),ABS($D2527-INDEX('AH History'!$C$1:$C$18046,$H2527))&lt;=MAX(0.005,ABS(INDEX('AH History'!$C$1:$C$18046,$H2527))*0.00005),ABS($E2527-INDEX('AH History'!$D$1:$D$18046,$H2527))&lt;=0.00005,$F2527=INDEX('AH History'!$E$1:$E$18046,$H2527),$G2527=INDEX('AH History'!$F$1:$F$18046,$H2527)),1,-1),-1))</ns0:f>
        <ns0:v/>
      </ns0:c>
    </ns0:row>
    <ns0:row r="2528">
      <ns0:c r="A2528" s="215">
        <ns0:f>IF(OR(AH!$P$3=0,2523+1&gt;AH!$P$11,AND(AH!$E$4&lt;&gt;"Stored",AH!$P$10&lt;&gt;1)),"",IFERROR(IF(AND(AH!$P$21=1,2523+1=AH!$P$11),TODAY(),IF(AH!$P$10=1,INDEX('Live History'!$A$5:$A$3004,AH!$P$13+2523),INDEX('AH History'!$A$1:$A$18046,AH!$P$7+2523))),""))</ns0:f>
        <ns0:v/>
      </ns0:c>
      <ns0:c r="B2528" s="219">
        <ns0:f>IFERROR(IF(AND(AH!$P$9&lt;&gt;1,$C2528&gt;0,$D2528&gt;0,$E2528&gt;0,$F2528&gt;0,$G2528&gt;0,$F2528&lt;=$A2528,$G2528&lt;=$A2528,$A2528-$F2528&lt;=10,$A2528-$G2528&lt;=5),$D2528*$E2528/$C2528-1,NA()),NA())</ns0:f>
        <ns0:v/>
      </ns0:c>
      <ns0:c r="C2528">
        <ns0:f>IFERROR(IF(ISNUMBER($A2528),IF(AND(AH!$P$10=1,AH!$P$12=1,$A2528=TODAY()),AH!$P$19,IF(AH!$P$10=1,INDEX('Live History'!$B$5:$B$3004,AH!$P$13+2523),INDEX('AH History'!$B$1:$B$18046,AH!$P$7+2523))),NA()),NA())</ns0:f>
        <ns0:v/>
      </ns0:c>
      <ns0:c r="D2528">
        <ns0:f>IFERROR(IF(ISNUMBER($A2528),IF(AND(AH!$P$10=1,AH!$P$12=1,$A2528=TODAY()),AH!$P$18,IF(AH!$P$10=1,INDEX('Live History'!$E$5:$E$3004,MATCH($A2528,'Live History'!$D$5:$D$3004,1)),INDEX('AH History'!$C$1:$C$18046,AH!$P$7+2523))),NA()),NA())</ns0:f>
        <ns0:v/>
      </ns0:c>
      <ns0:c r="E2528">
        <ns0:f>IFERROR(IF(ISNUMBER($A2528),IF(AND(AH!$P$10=1,AH!$P$12=1,$A2528=TODAY()),AH!$P$20,IF(AH!$P$10=1,INDEX('Live History'!$H$5:$H$3004,MATCH($A2528,'Live History'!$G$5:$G$3004,1)),INDEX('AH History'!$D$1:$D$18046,AH!$P$7+2523))),NA()),NA())</ns0:f>
        <ns0:v/>
      </ns0:c>
      <ns0:c r="F2528">
        <ns0:f>IFERROR(IF(ISNUMBER($A2528),IF(AND(AH!$P$10=1,AH!$P$12=1,$A2528=TODAY()),IF(AND(AH!$P$10=1,AH!$P$12=1,$A2528=TODAY()),TODAY(),NA()),IF(AH!$P$10=1,INDEX('Live History'!$D$5:$D$3004,MATCH($A2528,'Live History'!$D$5:$D$3004,1)),INDEX('AH History'!$E$1:$E$18046,AH!$P$7+2523))),NA()),NA())</ns0:f>
        <ns0:v/>
      </ns0:c>
      <ns0:c r="G2528">
        <ns0:f>IFERROR(IF(ISNUMBER($A2528),IF(AND(AH!$P$10=1,AH!$P$12=1,$A2528=TODAY()),IF(AND(AH!$P$10=1,AH!$P$12=1,$A2528=TODAY()),TODAY(),NA()),IF(AH!$P$10=1,INDEX('Live History'!$G$5:$G$3004,MATCH($A2528,'Live History'!$G$5:$G$3004,1)),INDEX('AH History'!$F$1:$F$18046,AH!$P$7+2523))),NA()),NA())</ns0:f>
        <ns0:v/>
      </ns0:c>
      <ns0:c r="H2528">
        <ns0:f>IFERROR(IF(AND(AH!$E$4="Bloomberg",AH!$P$10=1,ISNUMBER($A2528),$A2528&lt;=AH!$P$17),AH!$P$7-1+MATCH($A2528,INDEX('AH History'!$A$1:$A$18046,AH!$P$7):INDEX('AH History'!$A$1:$A$18046,AH!$P$7+AH!$P$8-1),0),0),0)</ns0:f>
        <ns0:v/>
      </ns0:c>
      <ns0:c r="I2528">
        <ns0:f>IF($H2528=0,0,IFERROR(IF(AND(ABS($C2528-INDEX('AH History'!$B$1:$B$18046,$H2528))&lt;=MAX(0.005,ABS(INDEX('AH History'!$B$1:$B$18046,$H2528))*0.00005),ABS($D2528-INDEX('AH History'!$C$1:$C$18046,$H2528))&lt;=MAX(0.005,ABS(INDEX('AH History'!$C$1:$C$18046,$H2528))*0.00005),ABS($E2528-INDEX('AH History'!$D$1:$D$18046,$H2528))&lt;=0.00005,$F2528=INDEX('AH History'!$E$1:$E$18046,$H2528),$G2528=INDEX('AH History'!$F$1:$F$18046,$H2528)),1,-1),-1))</ns0:f>
        <ns0:v/>
      </ns0:c>
    </ns0:row>
    <ns0:row r="2529">
      <ns0:c r="A2529" s="215">
        <ns0:f>IF(OR(AH!$P$3=0,2524+1&gt;AH!$P$11,AND(AH!$E$4&lt;&gt;"Stored",AH!$P$10&lt;&gt;1)),"",IFERROR(IF(AND(AH!$P$21=1,2524+1=AH!$P$11),TODAY(),IF(AH!$P$10=1,INDEX('Live History'!$A$5:$A$3004,AH!$P$13+2524),INDEX('AH History'!$A$1:$A$18046,AH!$P$7+2524))),""))</ns0:f>
        <ns0:v/>
      </ns0:c>
      <ns0:c r="B2529" s="219">
        <ns0:f>IFERROR(IF(AND(AH!$P$9&lt;&gt;1,$C2529&gt;0,$D2529&gt;0,$E2529&gt;0,$F2529&gt;0,$G2529&gt;0,$F2529&lt;=$A2529,$G2529&lt;=$A2529,$A2529-$F2529&lt;=10,$A2529-$G2529&lt;=5),$D2529*$E2529/$C2529-1,NA()),NA())</ns0:f>
        <ns0:v/>
      </ns0:c>
      <ns0:c r="C2529">
        <ns0:f>IFERROR(IF(ISNUMBER($A2529),IF(AND(AH!$P$10=1,AH!$P$12=1,$A2529=TODAY()),AH!$P$19,IF(AH!$P$10=1,INDEX('Live History'!$B$5:$B$3004,AH!$P$13+2524),INDEX('AH History'!$B$1:$B$18046,AH!$P$7+2524))),NA()),NA())</ns0:f>
        <ns0:v/>
      </ns0:c>
      <ns0:c r="D2529">
        <ns0:f>IFERROR(IF(ISNUMBER($A2529),IF(AND(AH!$P$10=1,AH!$P$12=1,$A2529=TODAY()),AH!$P$18,IF(AH!$P$10=1,INDEX('Live History'!$E$5:$E$3004,MATCH($A2529,'Live History'!$D$5:$D$3004,1)),INDEX('AH History'!$C$1:$C$18046,AH!$P$7+2524))),NA()),NA())</ns0:f>
        <ns0:v/>
      </ns0:c>
      <ns0:c r="E2529">
        <ns0:f>IFERROR(IF(ISNUMBER($A2529),IF(AND(AH!$P$10=1,AH!$P$12=1,$A2529=TODAY()),AH!$P$20,IF(AH!$P$10=1,INDEX('Live History'!$H$5:$H$3004,MATCH($A2529,'Live History'!$G$5:$G$3004,1)),INDEX('AH History'!$D$1:$D$18046,AH!$P$7+2524))),NA()),NA())</ns0:f>
        <ns0:v/>
      </ns0:c>
      <ns0:c r="F2529">
        <ns0:f>IFERROR(IF(ISNUMBER($A2529),IF(AND(AH!$P$10=1,AH!$P$12=1,$A2529=TODAY()),IF(AND(AH!$P$10=1,AH!$P$12=1,$A2529=TODAY()),TODAY(),NA()),IF(AH!$P$10=1,INDEX('Live History'!$D$5:$D$3004,MATCH($A2529,'Live History'!$D$5:$D$3004,1)),INDEX('AH History'!$E$1:$E$18046,AH!$P$7+2524))),NA()),NA())</ns0:f>
        <ns0:v/>
      </ns0:c>
      <ns0:c r="G2529">
        <ns0:f>IFERROR(IF(ISNUMBER($A2529),IF(AND(AH!$P$10=1,AH!$P$12=1,$A2529=TODAY()),IF(AND(AH!$P$10=1,AH!$P$12=1,$A2529=TODAY()),TODAY(),NA()),IF(AH!$P$10=1,INDEX('Live History'!$G$5:$G$3004,MATCH($A2529,'Live History'!$G$5:$G$3004,1)),INDEX('AH History'!$F$1:$F$18046,AH!$P$7+2524))),NA()),NA())</ns0:f>
        <ns0:v/>
      </ns0:c>
      <ns0:c r="H2529">
        <ns0:f>IFERROR(IF(AND(AH!$E$4="Bloomberg",AH!$P$10=1,ISNUMBER($A2529),$A2529&lt;=AH!$P$17),AH!$P$7-1+MATCH($A2529,INDEX('AH History'!$A$1:$A$18046,AH!$P$7):INDEX('AH History'!$A$1:$A$18046,AH!$P$7+AH!$P$8-1),0),0),0)</ns0:f>
        <ns0:v/>
      </ns0:c>
      <ns0:c r="I2529">
        <ns0:f>IF($H2529=0,0,IFERROR(IF(AND(ABS($C2529-INDEX('AH History'!$B$1:$B$18046,$H2529))&lt;=MAX(0.005,ABS(INDEX('AH History'!$B$1:$B$18046,$H2529))*0.00005),ABS($D2529-INDEX('AH History'!$C$1:$C$18046,$H2529))&lt;=MAX(0.005,ABS(INDEX('AH History'!$C$1:$C$18046,$H2529))*0.00005),ABS($E2529-INDEX('AH History'!$D$1:$D$18046,$H2529))&lt;=0.00005,$F2529=INDEX('AH History'!$E$1:$E$18046,$H2529),$G2529=INDEX('AH History'!$F$1:$F$18046,$H2529)),1,-1),-1))</ns0:f>
        <ns0:v/>
      </ns0:c>
    </ns0:row>
    <ns0:row r="2530">
      <ns0:c r="A2530" s="215">
        <ns0:f>IF(OR(AH!$P$3=0,2525+1&gt;AH!$P$11,AND(AH!$E$4&lt;&gt;"Stored",AH!$P$10&lt;&gt;1)),"",IFERROR(IF(AND(AH!$P$21=1,2525+1=AH!$P$11),TODAY(),IF(AH!$P$10=1,INDEX('Live History'!$A$5:$A$3004,AH!$P$13+2525),INDEX('AH History'!$A$1:$A$18046,AH!$P$7+2525))),""))</ns0:f>
        <ns0:v/>
      </ns0:c>
      <ns0:c r="B2530" s="219">
        <ns0:f>IFERROR(IF(AND(AH!$P$9&lt;&gt;1,$C2530&gt;0,$D2530&gt;0,$E2530&gt;0,$F2530&gt;0,$G2530&gt;0,$F2530&lt;=$A2530,$G2530&lt;=$A2530,$A2530-$F2530&lt;=10,$A2530-$G2530&lt;=5),$D2530*$E2530/$C2530-1,NA()),NA())</ns0:f>
        <ns0:v/>
      </ns0:c>
      <ns0:c r="C2530">
        <ns0:f>IFERROR(IF(ISNUMBER($A2530),IF(AND(AH!$P$10=1,AH!$P$12=1,$A2530=TODAY()),AH!$P$19,IF(AH!$P$10=1,INDEX('Live History'!$B$5:$B$3004,AH!$P$13+2525),INDEX('AH History'!$B$1:$B$18046,AH!$P$7+2525))),NA()),NA())</ns0:f>
        <ns0:v/>
      </ns0:c>
      <ns0:c r="D2530">
        <ns0:f>IFERROR(IF(ISNUMBER($A2530),IF(AND(AH!$P$10=1,AH!$P$12=1,$A2530=TODAY()),AH!$P$18,IF(AH!$P$10=1,INDEX('Live History'!$E$5:$E$3004,MATCH($A2530,'Live History'!$D$5:$D$3004,1)),INDEX('AH History'!$C$1:$C$18046,AH!$P$7+2525))),NA()),NA())</ns0:f>
        <ns0:v/>
      </ns0:c>
      <ns0:c r="E2530">
        <ns0:f>IFERROR(IF(ISNUMBER($A2530),IF(AND(AH!$P$10=1,AH!$P$12=1,$A2530=TODAY()),AH!$P$20,IF(AH!$P$10=1,INDEX('Live History'!$H$5:$H$3004,MATCH($A2530,'Live History'!$G$5:$G$3004,1)),INDEX('AH History'!$D$1:$D$18046,AH!$P$7+2525))),NA()),NA())</ns0:f>
        <ns0:v/>
      </ns0:c>
      <ns0:c r="F2530">
        <ns0:f>IFERROR(IF(ISNUMBER($A2530),IF(AND(AH!$P$10=1,AH!$P$12=1,$A2530=TODAY()),IF(AND(AH!$P$10=1,AH!$P$12=1,$A2530=TODAY()),TODAY(),NA()),IF(AH!$P$10=1,INDEX('Live History'!$D$5:$D$3004,MATCH($A2530,'Live History'!$D$5:$D$3004,1)),INDEX('AH History'!$E$1:$E$18046,AH!$P$7+2525))),NA()),NA())</ns0:f>
        <ns0:v/>
      </ns0:c>
      <ns0:c r="G2530">
        <ns0:f>IFERROR(IF(ISNUMBER($A2530),IF(AND(AH!$P$10=1,AH!$P$12=1,$A2530=TODAY()),IF(AND(AH!$P$10=1,AH!$P$12=1,$A2530=TODAY()),TODAY(),NA()),IF(AH!$P$10=1,INDEX('Live History'!$G$5:$G$3004,MATCH($A2530,'Live History'!$G$5:$G$3004,1)),INDEX('AH History'!$F$1:$F$18046,AH!$P$7+2525))),NA()),NA())</ns0:f>
        <ns0:v/>
      </ns0:c>
      <ns0:c r="H2530">
        <ns0:f>IFERROR(IF(AND(AH!$E$4="Bloomberg",AH!$P$10=1,ISNUMBER($A2530),$A2530&lt;=AH!$P$17),AH!$P$7-1+MATCH($A2530,INDEX('AH History'!$A$1:$A$18046,AH!$P$7):INDEX('AH History'!$A$1:$A$18046,AH!$P$7+AH!$P$8-1),0),0),0)</ns0:f>
        <ns0:v/>
      </ns0:c>
      <ns0:c r="I2530">
        <ns0:f>IF($H2530=0,0,IFERROR(IF(AND(ABS($C2530-INDEX('AH History'!$B$1:$B$18046,$H2530))&lt;=MAX(0.005,ABS(INDEX('AH History'!$B$1:$B$18046,$H2530))*0.00005),ABS($D2530-INDEX('AH History'!$C$1:$C$18046,$H2530))&lt;=MAX(0.005,ABS(INDEX('AH History'!$C$1:$C$18046,$H2530))*0.00005),ABS($E2530-INDEX('AH History'!$D$1:$D$18046,$H2530))&lt;=0.00005,$F2530=INDEX('AH History'!$E$1:$E$18046,$H2530),$G2530=INDEX('AH History'!$F$1:$F$18046,$H2530)),1,-1),-1))</ns0:f>
        <ns0:v/>
      </ns0:c>
    </ns0:row>
    <ns0:row r="2531">
      <ns0:c r="A2531" s="215">
        <ns0:f>IF(OR(AH!$P$3=0,2526+1&gt;AH!$P$11,AND(AH!$E$4&lt;&gt;"Stored",AH!$P$10&lt;&gt;1)),"",IFERROR(IF(AND(AH!$P$21=1,2526+1=AH!$P$11),TODAY(),IF(AH!$P$10=1,INDEX('Live History'!$A$5:$A$3004,AH!$P$13+2526),INDEX('AH History'!$A$1:$A$18046,AH!$P$7+2526))),""))</ns0:f>
        <ns0:v/>
      </ns0:c>
      <ns0:c r="B2531" s="219">
        <ns0:f>IFERROR(IF(AND(AH!$P$9&lt;&gt;1,$C2531&gt;0,$D2531&gt;0,$E2531&gt;0,$F2531&gt;0,$G2531&gt;0,$F2531&lt;=$A2531,$G2531&lt;=$A2531,$A2531-$F2531&lt;=10,$A2531-$G2531&lt;=5),$D2531*$E2531/$C2531-1,NA()),NA())</ns0:f>
        <ns0:v/>
      </ns0:c>
      <ns0:c r="C2531">
        <ns0:f>IFERROR(IF(ISNUMBER($A2531),IF(AND(AH!$P$10=1,AH!$P$12=1,$A2531=TODAY()),AH!$P$19,IF(AH!$P$10=1,INDEX('Live History'!$B$5:$B$3004,AH!$P$13+2526),INDEX('AH History'!$B$1:$B$18046,AH!$P$7+2526))),NA()),NA())</ns0:f>
        <ns0:v/>
      </ns0:c>
      <ns0:c r="D2531">
        <ns0:f>IFERROR(IF(ISNUMBER($A2531),IF(AND(AH!$P$10=1,AH!$P$12=1,$A2531=TODAY()),AH!$P$18,IF(AH!$P$10=1,INDEX('Live History'!$E$5:$E$3004,MATCH($A2531,'Live History'!$D$5:$D$3004,1)),INDEX('AH History'!$C$1:$C$18046,AH!$P$7+2526))),NA()),NA())</ns0:f>
        <ns0:v/>
      </ns0:c>
      <ns0:c r="E2531">
        <ns0:f>IFERROR(IF(ISNUMBER($A2531),IF(AND(AH!$P$10=1,AH!$P$12=1,$A2531=TODAY()),AH!$P$20,IF(AH!$P$10=1,INDEX('Live History'!$H$5:$H$3004,MATCH($A2531,'Live History'!$G$5:$G$3004,1)),INDEX('AH History'!$D$1:$D$18046,AH!$P$7+2526))),NA()),NA())</ns0:f>
        <ns0:v/>
      </ns0:c>
      <ns0:c r="F2531">
        <ns0:f>IFERROR(IF(ISNUMBER($A2531),IF(AND(AH!$P$10=1,AH!$P$12=1,$A2531=TODAY()),IF(AND(AH!$P$10=1,AH!$P$12=1,$A2531=TODAY()),TODAY(),NA()),IF(AH!$P$10=1,INDEX('Live History'!$D$5:$D$3004,MATCH($A2531,'Live History'!$D$5:$D$3004,1)),INDEX('AH History'!$E$1:$E$18046,AH!$P$7+2526))),NA()),NA())</ns0:f>
        <ns0:v/>
      </ns0:c>
      <ns0:c r="G2531">
        <ns0:f>IFERROR(IF(ISNUMBER($A2531),IF(AND(AH!$P$10=1,AH!$P$12=1,$A2531=TODAY()),IF(AND(AH!$P$10=1,AH!$P$12=1,$A2531=TODAY()),TODAY(),NA()),IF(AH!$P$10=1,INDEX('Live History'!$G$5:$G$3004,MATCH($A2531,'Live History'!$G$5:$G$3004,1)),INDEX('AH History'!$F$1:$F$18046,AH!$P$7+2526))),NA()),NA())</ns0:f>
        <ns0:v/>
      </ns0:c>
      <ns0:c r="H2531">
        <ns0:f>IFERROR(IF(AND(AH!$E$4="Bloomberg",AH!$P$10=1,ISNUMBER($A2531),$A2531&lt;=AH!$P$17),AH!$P$7-1+MATCH($A2531,INDEX('AH History'!$A$1:$A$18046,AH!$P$7):INDEX('AH History'!$A$1:$A$18046,AH!$P$7+AH!$P$8-1),0),0),0)</ns0:f>
        <ns0:v/>
      </ns0:c>
      <ns0:c r="I2531">
        <ns0:f>IF($H2531=0,0,IFERROR(IF(AND(ABS($C2531-INDEX('AH History'!$B$1:$B$18046,$H2531))&lt;=MAX(0.005,ABS(INDEX('AH History'!$B$1:$B$18046,$H2531))*0.00005),ABS($D2531-INDEX('AH History'!$C$1:$C$18046,$H2531))&lt;=MAX(0.005,ABS(INDEX('AH History'!$C$1:$C$18046,$H2531))*0.00005),ABS($E2531-INDEX('AH History'!$D$1:$D$18046,$H2531))&lt;=0.00005,$F2531=INDEX('AH History'!$E$1:$E$18046,$H2531),$G2531=INDEX('AH History'!$F$1:$F$18046,$H2531)),1,-1),-1))</ns0:f>
        <ns0:v/>
      </ns0:c>
    </ns0:row>
    <ns0:row r="2532">
      <ns0:c r="A2532" s="215">
        <ns0:f>IF(OR(AH!$P$3=0,2527+1&gt;AH!$P$11,AND(AH!$E$4&lt;&gt;"Stored",AH!$P$10&lt;&gt;1)),"",IFERROR(IF(AND(AH!$P$21=1,2527+1=AH!$P$11),TODAY(),IF(AH!$P$10=1,INDEX('Live History'!$A$5:$A$3004,AH!$P$13+2527),INDEX('AH History'!$A$1:$A$18046,AH!$P$7+2527))),""))</ns0:f>
        <ns0:v/>
      </ns0:c>
      <ns0:c r="B2532" s="219">
        <ns0:f>IFERROR(IF(AND(AH!$P$9&lt;&gt;1,$C2532&gt;0,$D2532&gt;0,$E2532&gt;0,$F2532&gt;0,$G2532&gt;0,$F2532&lt;=$A2532,$G2532&lt;=$A2532,$A2532-$F2532&lt;=10,$A2532-$G2532&lt;=5),$D2532*$E2532/$C2532-1,NA()),NA())</ns0:f>
        <ns0:v/>
      </ns0:c>
      <ns0:c r="C2532">
        <ns0:f>IFERROR(IF(ISNUMBER($A2532),IF(AND(AH!$P$10=1,AH!$P$12=1,$A2532=TODAY()),AH!$P$19,IF(AH!$P$10=1,INDEX('Live History'!$B$5:$B$3004,AH!$P$13+2527),INDEX('AH History'!$B$1:$B$18046,AH!$P$7+2527))),NA()),NA())</ns0:f>
        <ns0:v/>
      </ns0:c>
      <ns0:c r="D2532">
        <ns0:f>IFERROR(IF(ISNUMBER($A2532),IF(AND(AH!$P$10=1,AH!$P$12=1,$A2532=TODAY()),AH!$P$18,IF(AH!$P$10=1,INDEX('Live History'!$E$5:$E$3004,MATCH($A2532,'Live History'!$D$5:$D$3004,1)),INDEX('AH History'!$C$1:$C$18046,AH!$P$7+2527))),NA()),NA())</ns0:f>
        <ns0:v/>
      </ns0:c>
      <ns0:c r="E2532">
        <ns0:f>IFERROR(IF(ISNUMBER($A2532),IF(AND(AH!$P$10=1,AH!$P$12=1,$A2532=TODAY()),AH!$P$20,IF(AH!$P$10=1,INDEX('Live History'!$H$5:$H$3004,MATCH($A2532,'Live History'!$G$5:$G$3004,1)),INDEX('AH History'!$D$1:$D$18046,AH!$P$7+2527))),NA()),NA())</ns0:f>
        <ns0:v/>
      </ns0:c>
      <ns0:c r="F2532">
        <ns0:f>IFERROR(IF(ISNUMBER($A2532),IF(AND(AH!$P$10=1,AH!$P$12=1,$A2532=TODAY()),IF(AND(AH!$P$10=1,AH!$P$12=1,$A2532=TODAY()),TODAY(),NA()),IF(AH!$P$10=1,INDEX('Live History'!$D$5:$D$3004,MATCH($A2532,'Live History'!$D$5:$D$3004,1)),INDEX('AH History'!$E$1:$E$18046,AH!$P$7+2527))),NA()),NA())</ns0:f>
        <ns0:v/>
      </ns0:c>
      <ns0:c r="G2532">
        <ns0:f>IFERROR(IF(ISNUMBER($A2532),IF(AND(AH!$P$10=1,AH!$P$12=1,$A2532=TODAY()),IF(AND(AH!$P$10=1,AH!$P$12=1,$A2532=TODAY()),TODAY(),NA()),IF(AH!$P$10=1,INDEX('Live History'!$G$5:$G$3004,MATCH($A2532,'Live History'!$G$5:$G$3004,1)),INDEX('AH History'!$F$1:$F$18046,AH!$P$7+2527))),NA()),NA())</ns0:f>
        <ns0:v/>
      </ns0:c>
      <ns0:c r="H2532">
        <ns0:f>IFERROR(IF(AND(AH!$E$4="Bloomberg",AH!$P$10=1,ISNUMBER($A2532),$A2532&lt;=AH!$P$17),AH!$P$7-1+MATCH($A2532,INDEX('AH History'!$A$1:$A$18046,AH!$P$7):INDEX('AH History'!$A$1:$A$18046,AH!$P$7+AH!$P$8-1),0),0),0)</ns0:f>
        <ns0:v/>
      </ns0:c>
      <ns0:c r="I2532">
        <ns0:f>IF($H2532=0,0,IFERROR(IF(AND(ABS($C2532-INDEX('AH History'!$B$1:$B$18046,$H2532))&lt;=MAX(0.005,ABS(INDEX('AH History'!$B$1:$B$18046,$H2532))*0.00005),ABS($D2532-INDEX('AH History'!$C$1:$C$18046,$H2532))&lt;=MAX(0.005,ABS(INDEX('AH History'!$C$1:$C$18046,$H2532))*0.00005),ABS($E2532-INDEX('AH History'!$D$1:$D$18046,$H2532))&lt;=0.00005,$F2532=INDEX('AH History'!$E$1:$E$18046,$H2532),$G2532=INDEX('AH History'!$F$1:$F$18046,$H2532)),1,-1),-1))</ns0:f>
        <ns0:v/>
      </ns0:c>
    </ns0:row>
    <ns0:row r="2533">
      <ns0:c r="A2533" s="215">
        <ns0:f>IF(OR(AH!$P$3=0,2528+1&gt;AH!$P$11,AND(AH!$E$4&lt;&gt;"Stored",AH!$P$10&lt;&gt;1)),"",IFERROR(IF(AND(AH!$P$21=1,2528+1=AH!$P$11),TODAY(),IF(AH!$P$10=1,INDEX('Live History'!$A$5:$A$3004,AH!$P$13+2528),INDEX('AH History'!$A$1:$A$18046,AH!$P$7+2528))),""))</ns0:f>
        <ns0:v/>
      </ns0:c>
      <ns0:c r="B2533" s="219">
        <ns0:f>IFERROR(IF(AND(AH!$P$9&lt;&gt;1,$C2533&gt;0,$D2533&gt;0,$E2533&gt;0,$F2533&gt;0,$G2533&gt;0,$F2533&lt;=$A2533,$G2533&lt;=$A2533,$A2533-$F2533&lt;=10,$A2533-$G2533&lt;=5),$D2533*$E2533/$C2533-1,NA()),NA())</ns0:f>
        <ns0:v/>
      </ns0:c>
      <ns0:c r="C2533">
        <ns0:f>IFERROR(IF(ISNUMBER($A2533),IF(AND(AH!$P$10=1,AH!$P$12=1,$A2533=TODAY()),AH!$P$19,IF(AH!$P$10=1,INDEX('Live History'!$B$5:$B$3004,AH!$P$13+2528),INDEX('AH History'!$B$1:$B$18046,AH!$P$7+2528))),NA()),NA())</ns0:f>
        <ns0:v/>
      </ns0:c>
      <ns0:c r="D2533">
        <ns0:f>IFERROR(IF(ISNUMBER($A2533),IF(AND(AH!$P$10=1,AH!$P$12=1,$A2533=TODAY()),AH!$P$18,IF(AH!$P$10=1,INDEX('Live History'!$E$5:$E$3004,MATCH($A2533,'Live History'!$D$5:$D$3004,1)),INDEX('AH History'!$C$1:$C$18046,AH!$P$7+2528))),NA()),NA())</ns0:f>
        <ns0:v/>
      </ns0:c>
      <ns0:c r="E2533">
        <ns0:f>IFERROR(IF(ISNUMBER($A2533),IF(AND(AH!$P$10=1,AH!$P$12=1,$A2533=TODAY()),AH!$P$20,IF(AH!$P$10=1,INDEX('Live History'!$H$5:$H$3004,MATCH($A2533,'Live History'!$G$5:$G$3004,1)),INDEX('AH History'!$D$1:$D$18046,AH!$P$7+2528))),NA()),NA())</ns0:f>
        <ns0:v/>
      </ns0:c>
      <ns0:c r="F2533">
        <ns0:f>IFERROR(IF(ISNUMBER($A2533),IF(AND(AH!$P$10=1,AH!$P$12=1,$A2533=TODAY()),IF(AND(AH!$P$10=1,AH!$P$12=1,$A2533=TODAY()),TODAY(),NA()),IF(AH!$P$10=1,INDEX('Live History'!$D$5:$D$3004,MATCH($A2533,'Live History'!$D$5:$D$3004,1)),INDEX('AH History'!$E$1:$E$18046,AH!$P$7+2528))),NA()),NA())</ns0:f>
        <ns0:v/>
      </ns0:c>
      <ns0:c r="G2533">
        <ns0:f>IFERROR(IF(ISNUMBER($A2533),IF(AND(AH!$P$10=1,AH!$P$12=1,$A2533=TODAY()),IF(AND(AH!$P$10=1,AH!$P$12=1,$A2533=TODAY()),TODAY(),NA()),IF(AH!$P$10=1,INDEX('Live History'!$G$5:$G$3004,MATCH($A2533,'Live History'!$G$5:$G$3004,1)),INDEX('AH History'!$F$1:$F$18046,AH!$P$7+2528))),NA()),NA())</ns0:f>
        <ns0:v/>
      </ns0:c>
      <ns0:c r="H2533">
        <ns0:f>IFERROR(IF(AND(AH!$E$4="Bloomberg",AH!$P$10=1,ISNUMBER($A2533),$A2533&lt;=AH!$P$17),AH!$P$7-1+MATCH($A2533,INDEX('AH History'!$A$1:$A$18046,AH!$P$7):INDEX('AH History'!$A$1:$A$18046,AH!$P$7+AH!$P$8-1),0),0),0)</ns0:f>
        <ns0:v/>
      </ns0:c>
      <ns0:c r="I2533">
        <ns0:f>IF($H2533=0,0,IFERROR(IF(AND(ABS($C2533-INDEX('AH History'!$B$1:$B$18046,$H2533))&lt;=MAX(0.005,ABS(INDEX('AH History'!$B$1:$B$18046,$H2533))*0.00005),ABS($D2533-INDEX('AH History'!$C$1:$C$18046,$H2533))&lt;=MAX(0.005,ABS(INDEX('AH History'!$C$1:$C$18046,$H2533))*0.00005),ABS($E2533-INDEX('AH History'!$D$1:$D$18046,$H2533))&lt;=0.00005,$F2533=INDEX('AH History'!$E$1:$E$18046,$H2533),$G2533=INDEX('AH History'!$F$1:$F$18046,$H2533)),1,-1),-1))</ns0:f>
        <ns0:v/>
      </ns0:c>
    </ns0:row>
    <ns0:row r="2534">
      <ns0:c r="A2534" s="215">
        <ns0:f>IF(OR(AH!$P$3=0,2529+1&gt;AH!$P$11,AND(AH!$E$4&lt;&gt;"Stored",AH!$P$10&lt;&gt;1)),"",IFERROR(IF(AND(AH!$P$21=1,2529+1=AH!$P$11),TODAY(),IF(AH!$P$10=1,INDEX('Live History'!$A$5:$A$3004,AH!$P$13+2529),INDEX('AH History'!$A$1:$A$18046,AH!$P$7+2529))),""))</ns0:f>
        <ns0:v/>
      </ns0:c>
      <ns0:c r="B2534" s="219">
        <ns0:f>IFERROR(IF(AND(AH!$P$9&lt;&gt;1,$C2534&gt;0,$D2534&gt;0,$E2534&gt;0,$F2534&gt;0,$G2534&gt;0,$F2534&lt;=$A2534,$G2534&lt;=$A2534,$A2534-$F2534&lt;=10,$A2534-$G2534&lt;=5),$D2534*$E2534/$C2534-1,NA()),NA())</ns0:f>
        <ns0:v/>
      </ns0:c>
      <ns0:c r="C2534">
        <ns0:f>IFERROR(IF(ISNUMBER($A2534),IF(AND(AH!$P$10=1,AH!$P$12=1,$A2534=TODAY()),AH!$P$19,IF(AH!$P$10=1,INDEX('Live History'!$B$5:$B$3004,AH!$P$13+2529),INDEX('AH History'!$B$1:$B$18046,AH!$P$7+2529))),NA()),NA())</ns0:f>
        <ns0:v/>
      </ns0:c>
      <ns0:c r="D2534">
        <ns0:f>IFERROR(IF(ISNUMBER($A2534),IF(AND(AH!$P$10=1,AH!$P$12=1,$A2534=TODAY()),AH!$P$18,IF(AH!$P$10=1,INDEX('Live History'!$E$5:$E$3004,MATCH($A2534,'Live History'!$D$5:$D$3004,1)),INDEX('AH History'!$C$1:$C$18046,AH!$P$7+2529))),NA()),NA())</ns0:f>
        <ns0:v/>
      </ns0:c>
      <ns0:c r="E2534">
        <ns0:f>IFERROR(IF(ISNUMBER($A2534),IF(AND(AH!$P$10=1,AH!$P$12=1,$A2534=TODAY()),AH!$P$20,IF(AH!$P$10=1,INDEX('Live History'!$H$5:$H$3004,MATCH($A2534,'Live History'!$G$5:$G$3004,1)),INDEX('AH History'!$D$1:$D$18046,AH!$P$7+2529))),NA()),NA())</ns0:f>
        <ns0:v/>
      </ns0:c>
      <ns0:c r="F2534">
        <ns0:f>IFERROR(IF(ISNUMBER($A2534),IF(AND(AH!$P$10=1,AH!$P$12=1,$A2534=TODAY()),IF(AND(AH!$P$10=1,AH!$P$12=1,$A2534=TODAY()),TODAY(),NA()),IF(AH!$P$10=1,INDEX('Live History'!$D$5:$D$3004,MATCH($A2534,'Live History'!$D$5:$D$3004,1)),INDEX('AH History'!$E$1:$E$18046,AH!$P$7+2529))),NA()),NA())</ns0:f>
        <ns0:v/>
      </ns0:c>
      <ns0:c r="G2534">
        <ns0:f>IFERROR(IF(ISNUMBER($A2534),IF(AND(AH!$P$10=1,AH!$P$12=1,$A2534=TODAY()),IF(AND(AH!$P$10=1,AH!$P$12=1,$A2534=TODAY()),TODAY(),NA()),IF(AH!$P$10=1,INDEX('Live History'!$G$5:$G$3004,MATCH($A2534,'Live History'!$G$5:$G$3004,1)),INDEX('AH History'!$F$1:$F$18046,AH!$P$7+2529))),NA()),NA())</ns0:f>
        <ns0:v/>
      </ns0:c>
      <ns0:c r="H2534">
        <ns0:f>IFERROR(IF(AND(AH!$E$4="Bloomberg",AH!$P$10=1,ISNUMBER($A2534),$A2534&lt;=AH!$P$17),AH!$P$7-1+MATCH($A2534,INDEX('AH History'!$A$1:$A$18046,AH!$P$7):INDEX('AH History'!$A$1:$A$18046,AH!$P$7+AH!$P$8-1),0),0),0)</ns0:f>
        <ns0:v/>
      </ns0:c>
      <ns0:c r="I2534">
        <ns0:f>IF($H2534=0,0,IFERROR(IF(AND(ABS($C2534-INDEX('AH History'!$B$1:$B$18046,$H2534))&lt;=MAX(0.005,ABS(INDEX('AH History'!$B$1:$B$18046,$H2534))*0.00005),ABS($D2534-INDEX('AH History'!$C$1:$C$18046,$H2534))&lt;=MAX(0.005,ABS(INDEX('AH History'!$C$1:$C$18046,$H2534))*0.00005),ABS($E2534-INDEX('AH History'!$D$1:$D$18046,$H2534))&lt;=0.00005,$F2534=INDEX('AH History'!$E$1:$E$18046,$H2534),$G2534=INDEX('AH History'!$F$1:$F$18046,$H2534)),1,-1),-1))</ns0:f>
        <ns0:v/>
      </ns0:c>
    </ns0:row>
    <ns0:row r="2535">
      <ns0:c r="A2535" s="215">
        <ns0:f>IF(OR(AH!$P$3=0,2530+1&gt;AH!$P$11,AND(AH!$E$4&lt;&gt;"Stored",AH!$P$10&lt;&gt;1)),"",IFERROR(IF(AND(AH!$P$21=1,2530+1=AH!$P$11),TODAY(),IF(AH!$P$10=1,INDEX('Live History'!$A$5:$A$3004,AH!$P$13+2530),INDEX('AH History'!$A$1:$A$18046,AH!$P$7+2530))),""))</ns0:f>
        <ns0:v/>
      </ns0:c>
      <ns0:c r="B2535" s="219">
        <ns0:f>IFERROR(IF(AND(AH!$P$9&lt;&gt;1,$C2535&gt;0,$D2535&gt;0,$E2535&gt;0,$F2535&gt;0,$G2535&gt;0,$F2535&lt;=$A2535,$G2535&lt;=$A2535,$A2535-$F2535&lt;=10,$A2535-$G2535&lt;=5),$D2535*$E2535/$C2535-1,NA()),NA())</ns0:f>
        <ns0:v/>
      </ns0:c>
      <ns0:c r="C2535">
        <ns0:f>IFERROR(IF(ISNUMBER($A2535),IF(AND(AH!$P$10=1,AH!$P$12=1,$A2535=TODAY()),AH!$P$19,IF(AH!$P$10=1,INDEX('Live History'!$B$5:$B$3004,AH!$P$13+2530),INDEX('AH History'!$B$1:$B$18046,AH!$P$7+2530))),NA()),NA())</ns0:f>
        <ns0:v/>
      </ns0:c>
      <ns0:c r="D2535">
        <ns0:f>IFERROR(IF(ISNUMBER($A2535),IF(AND(AH!$P$10=1,AH!$P$12=1,$A2535=TODAY()),AH!$P$18,IF(AH!$P$10=1,INDEX('Live History'!$E$5:$E$3004,MATCH($A2535,'Live History'!$D$5:$D$3004,1)),INDEX('AH History'!$C$1:$C$18046,AH!$P$7+2530))),NA()),NA())</ns0:f>
        <ns0:v/>
      </ns0:c>
      <ns0:c r="E2535">
        <ns0:f>IFERROR(IF(ISNUMBER($A2535),IF(AND(AH!$P$10=1,AH!$P$12=1,$A2535=TODAY()),AH!$P$20,IF(AH!$P$10=1,INDEX('Live History'!$H$5:$H$3004,MATCH($A2535,'Live History'!$G$5:$G$3004,1)),INDEX('AH History'!$D$1:$D$18046,AH!$P$7+2530))),NA()),NA())</ns0:f>
        <ns0:v/>
      </ns0:c>
      <ns0:c r="F2535">
        <ns0:f>IFERROR(IF(ISNUMBER($A2535),IF(AND(AH!$P$10=1,AH!$P$12=1,$A2535=TODAY()),IF(AND(AH!$P$10=1,AH!$P$12=1,$A2535=TODAY()),TODAY(),NA()),IF(AH!$P$10=1,INDEX('Live History'!$D$5:$D$3004,MATCH($A2535,'Live History'!$D$5:$D$3004,1)),INDEX('AH History'!$E$1:$E$18046,AH!$P$7+2530))),NA()),NA())</ns0:f>
        <ns0:v/>
      </ns0:c>
      <ns0:c r="G2535">
        <ns0:f>IFERROR(IF(ISNUMBER($A2535),IF(AND(AH!$P$10=1,AH!$P$12=1,$A2535=TODAY()),IF(AND(AH!$P$10=1,AH!$P$12=1,$A2535=TODAY()),TODAY(),NA()),IF(AH!$P$10=1,INDEX('Live History'!$G$5:$G$3004,MATCH($A2535,'Live History'!$G$5:$G$3004,1)),INDEX('AH History'!$F$1:$F$18046,AH!$P$7+2530))),NA()),NA())</ns0:f>
        <ns0:v/>
      </ns0:c>
      <ns0:c r="H2535">
        <ns0:f>IFERROR(IF(AND(AH!$E$4="Bloomberg",AH!$P$10=1,ISNUMBER($A2535),$A2535&lt;=AH!$P$17),AH!$P$7-1+MATCH($A2535,INDEX('AH History'!$A$1:$A$18046,AH!$P$7):INDEX('AH History'!$A$1:$A$18046,AH!$P$7+AH!$P$8-1),0),0),0)</ns0:f>
        <ns0:v/>
      </ns0:c>
      <ns0:c r="I2535">
        <ns0:f>IF($H2535=0,0,IFERROR(IF(AND(ABS($C2535-INDEX('AH History'!$B$1:$B$18046,$H2535))&lt;=MAX(0.005,ABS(INDEX('AH History'!$B$1:$B$18046,$H2535))*0.00005),ABS($D2535-INDEX('AH History'!$C$1:$C$18046,$H2535))&lt;=MAX(0.005,ABS(INDEX('AH History'!$C$1:$C$18046,$H2535))*0.00005),ABS($E2535-INDEX('AH History'!$D$1:$D$18046,$H2535))&lt;=0.00005,$F2535=INDEX('AH History'!$E$1:$E$18046,$H2535),$G2535=INDEX('AH History'!$F$1:$F$18046,$H2535)),1,-1),-1))</ns0:f>
        <ns0:v/>
      </ns0:c>
    </ns0:row>
    <ns0:row r="2536">
      <ns0:c r="A2536" s="215">
        <ns0:f>IF(OR(AH!$P$3=0,2531+1&gt;AH!$P$11,AND(AH!$E$4&lt;&gt;"Stored",AH!$P$10&lt;&gt;1)),"",IFERROR(IF(AND(AH!$P$21=1,2531+1=AH!$P$11),TODAY(),IF(AH!$P$10=1,INDEX('Live History'!$A$5:$A$3004,AH!$P$13+2531),INDEX('AH History'!$A$1:$A$18046,AH!$P$7+2531))),""))</ns0:f>
        <ns0:v/>
      </ns0:c>
      <ns0:c r="B2536" s="219">
        <ns0:f>IFERROR(IF(AND(AH!$P$9&lt;&gt;1,$C2536&gt;0,$D2536&gt;0,$E2536&gt;0,$F2536&gt;0,$G2536&gt;0,$F2536&lt;=$A2536,$G2536&lt;=$A2536,$A2536-$F2536&lt;=10,$A2536-$G2536&lt;=5),$D2536*$E2536/$C2536-1,NA()),NA())</ns0:f>
        <ns0:v/>
      </ns0:c>
      <ns0:c r="C2536">
        <ns0:f>IFERROR(IF(ISNUMBER($A2536),IF(AND(AH!$P$10=1,AH!$P$12=1,$A2536=TODAY()),AH!$P$19,IF(AH!$P$10=1,INDEX('Live History'!$B$5:$B$3004,AH!$P$13+2531),INDEX('AH History'!$B$1:$B$18046,AH!$P$7+2531))),NA()),NA())</ns0:f>
        <ns0:v/>
      </ns0:c>
      <ns0:c r="D2536">
        <ns0:f>IFERROR(IF(ISNUMBER($A2536),IF(AND(AH!$P$10=1,AH!$P$12=1,$A2536=TODAY()),AH!$P$18,IF(AH!$P$10=1,INDEX('Live History'!$E$5:$E$3004,MATCH($A2536,'Live History'!$D$5:$D$3004,1)),INDEX('AH History'!$C$1:$C$18046,AH!$P$7+2531))),NA()),NA())</ns0:f>
        <ns0:v/>
      </ns0:c>
      <ns0:c r="E2536">
        <ns0:f>IFERROR(IF(ISNUMBER($A2536),IF(AND(AH!$P$10=1,AH!$P$12=1,$A2536=TODAY()),AH!$P$20,IF(AH!$P$10=1,INDEX('Live History'!$H$5:$H$3004,MATCH($A2536,'Live History'!$G$5:$G$3004,1)),INDEX('AH History'!$D$1:$D$18046,AH!$P$7+2531))),NA()),NA())</ns0:f>
        <ns0:v/>
      </ns0:c>
      <ns0:c r="F2536">
        <ns0:f>IFERROR(IF(ISNUMBER($A2536),IF(AND(AH!$P$10=1,AH!$P$12=1,$A2536=TODAY()),IF(AND(AH!$P$10=1,AH!$P$12=1,$A2536=TODAY()),TODAY(),NA()),IF(AH!$P$10=1,INDEX('Live History'!$D$5:$D$3004,MATCH($A2536,'Live History'!$D$5:$D$3004,1)),INDEX('AH History'!$E$1:$E$18046,AH!$P$7+2531))),NA()),NA())</ns0:f>
        <ns0:v/>
      </ns0:c>
      <ns0:c r="G2536">
        <ns0:f>IFERROR(IF(ISNUMBER($A2536),IF(AND(AH!$P$10=1,AH!$P$12=1,$A2536=TODAY()),IF(AND(AH!$P$10=1,AH!$P$12=1,$A2536=TODAY()),TODAY(),NA()),IF(AH!$P$10=1,INDEX('Live History'!$G$5:$G$3004,MATCH($A2536,'Live History'!$G$5:$G$3004,1)),INDEX('AH History'!$F$1:$F$18046,AH!$P$7+2531))),NA()),NA())</ns0:f>
        <ns0:v/>
      </ns0:c>
      <ns0:c r="H2536">
        <ns0:f>IFERROR(IF(AND(AH!$E$4="Bloomberg",AH!$P$10=1,ISNUMBER($A2536),$A2536&lt;=AH!$P$17),AH!$P$7-1+MATCH($A2536,INDEX('AH History'!$A$1:$A$18046,AH!$P$7):INDEX('AH History'!$A$1:$A$18046,AH!$P$7+AH!$P$8-1),0),0),0)</ns0:f>
        <ns0:v/>
      </ns0:c>
      <ns0:c r="I2536">
        <ns0:f>IF($H2536=0,0,IFERROR(IF(AND(ABS($C2536-INDEX('AH History'!$B$1:$B$18046,$H2536))&lt;=MAX(0.005,ABS(INDEX('AH History'!$B$1:$B$18046,$H2536))*0.00005),ABS($D2536-INDEX('AH History'!$C$1:$C$18046,$H2536))&lt;=MAX(0.005,ABS(INDEX('AH History'!$C$1:$C$18046,$H2536))*0.00005),ABS($E2536-INDEX('AH History'!$D$1:$D$18046,$H2536))&lt;=0.00005,$F2536=INDEX('AH History'!$E$1:$E$18046,$H2536),$G2536=INDEX('AH History'!$F$1:$F$18046,$H2536)),1,-1),-1))</ns0:f>
        <ns0:v/>
      </ns0:c>
    </ns0:row>
    <ns0:row r="2537">
      <ns0:c r="A2537" s="215">
        <ns0:f>IF(OR(AH!$P$3=0,2532+1&gt;AH!$P$11,AND(AH!$E$4&lt;&gt;"Stored",AH!$P$10&lt;&gt;1)),"",IFERROR(IF(AND(AH!$P$21=1,2532+1=AH!$P$11),TODAY(),IF(AH!$P$10=1,INDEX('Live History'!$A$5:$A$3004,AH!$P$13+2532),INDEX('AH History'!$A$1:$A$18046,AH!$P$7+2532))),""))</ns0:f>
        <ns0:v/>
      </ns0:c>
      <ns0:c r="B2537" s="219">
        <ns0:f>IFERROR(IF(AND(AH!$P$9&lt;&gt;1,$C2537&gt;0,$D2537&gt;0,$E2537&gt;0,$F2537&gt;0,$G2537&gt;0,$F2537&lt;=$A2537,$G2537&lt;=$A2537,$A2537-$F2537&lt;=10,$A2537-$G2537&lt;=5),$D2537*$E2537/$C2537-1,NA()),NA())</ns0:f>
        <ns0:v/>
      </ns0:c>
      <ns0:c r="C2537">
        <ns0:f>IFERROR(IF(ISNUMBER($A2537),IF(AND(AH!$P$10=1,AH!$P$12=1,$A2537=TODAY()),AH!$P$19,IF(AH!$P$10=1,INDEX('Live History'!$B$5:$B$3004,AH!$P$13+2532),INDEX('AH History'!$B$1:$B$18046,AH!$P$7+2532))),NA()),NA())</ns0:f>
        <ns0:v/>
      </ns0:c>
      <ns0:c r="D2537">
        <ns0:f>IFERROR(IF(ISNUMBER($A2537),IF(AND(AH!$P$10=1,AH!$P$12=1,$A2537=TODAY()),AH!$P$18,IF(AH!$P$10=1,INDEX('Live History'!$E$5:$E$3004,MATCH($A2537,'Live History'!$D$5:$D$3004,1)),INDEX('AH History'!$C$1:$C$18046,AH!$P$7+2532))),NA()),NA())</ns0:f>
        <ns0:v/>
      </ns0:c>
      <ns0:c r="E2537">
        <ns0:f>IFERROR(IF(ISNUMBER($A2537),IF(AND(AH!$P$10=1,AH!$P$12=1,$A2537=TODAY()),AH!$P$20,IF(AH!$P$10=1,INDEX('Live History'!$H$5:$H$3004,MATCH($A2537,'Live History'!$G$5:$G$3004,1)),INDEX('AH History'!$D$1:$D$18046,AH!$P$7+2532))),NA()),NA())</ns0:f>
        <ns0:v/>
      </ns0:c>
      <ns0:c r="F2537">
        <ns0:f>IFERROR(IF(ISNUMBER($A2537),IF(AND(AH!$P$10=1,AH!$P$12=1,$A2537=TODAY()),IF(AND(AH!$P$10=1,AH!$P$12=1,$A2537=TODAY()),TODAY(),NA()),IF(AH!$P$10=1,INDEX('Live History'!$D$5:$D$3004,MATCH($A2537,'Live History'!$D$5:$D$3004,1)),INDEX('AH History'!$E$1:$E$18046,AH!$P$7+2532))),NA()),NA())</ns0:f>
        <ns0:v/>
      </ns0:c>
      <ns0:c r="G2537">
        <ns0:f>IFERROR(IF(ISNUMBER($A2537),IF(AND(AH!$P$10=1,AH!$P$12=1,$A2537=TODAY()),IF(AND(AH!$P$10=1,AH!$P$12=1,$A2537=TODAY()),TODAY(),NA()),IF(AH!$P$10=1,INDEX('Live History'!$G$5:$G$3004,MATCH($A2537,'Live History'!$G$5:$G$3004,1)),INDEX('AH History'!$F$1:$F$18046,AH!$P$7+2532))),NA()),NA())</ns0:f>
        <ns0:v/>
      </ns0:c>
      <ns0:c r="H2537">
        <ns0:f>IFERROR(IF(AND(AH!$E$4="Bloomberg",AH!$P$10=1,ISNUMBER($A2537),$A2537&lt;=AH!$P$17),AH!$P$7-1+MATCH($A2537,INDEX('AH History'!$A$1:$A$18046,AH!$P$7):INDEX('AH History'!$A$1:$A$18046,AH!$P$7+AH!$P$8-1),0),0),0)</ns0:f>
        <ns0:v/>
      </ns0:c>
      <ns0:c r="I2537">
        <ns0:f>IF($H2537=0,0,IFERROR(IF(AND(ABS($C2537-INDEX('AH History'!$B$1:$B$18046,$H2537))&lt;=MAX(0.005,ABS(INDEX('AH History'!$B$1:$B$18046,$H2537))*0.00005),ABS($D2537-INDEX('AH History'!$C$1:$C$18046,$H2537))&lt;=MAX(0.005,ABS(INDEX('AH History'!$C$1:$C$18046,$H2537))*0.00005),ABS($E2537-INDEX('AH History'!$D$1:$D$18046,$H2537))&lt;=0.00005,$F2537=INDEX('AH History'!$E$1:$E$18046,$H2537),$G2537=INDEX('AH History'!$F$1:$F$18046,$H2537)),1,-1),-1))</ns0:f>
        <ns0:v/>
      </ns0:c>
    </ns0:row>
    <ns0:row r="2538">
      <ns0:c r="A2538" s="215">
        <ns0:f>IF(OR(AH!$P$3=0,2533+1&gt;AH!$P$11,AND(AH!$E$4&lt;&gt;"Stored",AH!$P$10&lt;&gt;1)),"",IFERROR(IF(AND(AH!$P$21=1,2533+1=AH!$P$11),TODAY(),IF(AH!$P$10=1,INDEX('Live History'!$A$5:$A$3004,AH!$P$13+2533),INDEX('AH History'!$A$1:$A$18046,AH!$P$7+2533))),""))</ns0:f>
        <ns0:v/>
      </ns0:c>
      <ns0:c r="B2538" s="219">
        <ns0:f>IFERROR(IF(AND(AH!$P$9&lt;&gt;1,$C2538&gt;0,$D2538&gt;0,$E2538&gt;0,$F2538&gt;0,$G2538&gt;0,$F2538&lt;=$A2538,$G2538&lt;=$A2538,$A2538-$F2538&lt;=10,$A2538-$G2538&lt;=5),$D2538*$E2538/$C2538-1,NA()),NA())</ns0:f>
        <ns0:v/>
      </ns0:c>
      <ns0:c r="C2538">
        <ns0:f>IFERROR(IF(ISNUMBER($A2538),IF(AND(AH!$P$10=1,AH!$P$12=1,$A2538=TODAY()),AH!$P$19,IF(AH!$P$10=1,INDEX('Live History'!$B$5:$B$3004,AH!$P$13+2533),INDEX('AH History'!$B$1:$B$18046,AH!$P$7+2533))),NA()),NA())</ns0:f>
        <ns0:v/>
      </ns0:c>
      <ns0:c r="D2538">
        <ns0:f>IFERROR(IF(ISNUMBER($A2538),IF(AND(AH!$P$10=1,AH!$P$12=1,$A2538=TODAY()),AH!$P$18,IF(AH!$P$10=1,INDEX('Live History'!$E$5:$E$3004,MATCH($A2538,'Live History'!$D$5:$D$3004,1)),INDEX('AH History'!$C$1:$C$18046,AH!$P$7+2533))),NA()),NA())</ns0:f>
        <ns0:v/>
      </ns0:c>
      <ns0:c r="E2538">
        <ns0:f>IFERROR(IF(ISNUMBER($A2538),IF(AND(AH!$P$10=1,AH!$P$12=1,$A2538=TODAY()),AH!$P$20,IF(AH!$P$10=1,INDEX('Live History'!$H$5:$H$3004,MATCH($A2538,'Live History'!$G$5:$G$3004,1)),INDEX('AH History'!$D$1:$D$18046,AH!$P$7+2533))),NA()),NA())</ns0:f>
        <ns0:v/>
      </ns0:c>
      <ns0:c r="F2538">
        <ns0:f>IFERROR(IF(ISNUMBER($A2538),IF(AND(AH!$P$10=1,AH!$P$12=1,$A2538=TODAY()),IF(AND(AH!$P$10=1,AH!$P$12=1,$A2538=TODAY()),TODAY(),NA()),IF(AH!$P$10=1,INDEX('Live History'!$D$5:$D$3004,MATCH($A2538,'Live History'!$D$5:$D$3004,1)),INDEX('AH History'!$E$1:$E$18046,AH!$P$7+2533))),NA()),NA())</ns0:f>
        <ns0:v/>
      </ns0:c>
      <ns0:c r="G2538">
        <ns0:f>IFERROR(IF(ISNUMBER($A2538),IF(AND(AH!$P$10=1,AH!$P$12=1,$A2538=TODAY()),IF(AND(AH!$P$10=1,AH!$P$12=1,$A2538=TODAY()),TODAY(),NA()),IF(AH!$P$10=1,INDEX('Live History'!$G$5:$G$3004,MATCH($A2538,'Live History'!$G$5:$G$3004,1)),INDEX('AH History'!$F$1:$F$18046,AH!$P$7+2533))),NA()),NA())</ns0:f>
        <ns0:v/>
      </ns0:c>
      <ns0:c r="H2538">
        <ns0:f>IFERROR(IF(AND(AH!$E$4="Bloomberg",AH!$P$10=1,ISNUMBER($A2538),$A2538&lt;=AH!$P$17),AH!$P$7-1+MATCH($A2538,INDEX('AH History'!$A$1:$A$18046,AH!$P$7):INDEX('AH History'!$A$1:$A$18046,AH!$P$7+AH!$P$8-1),0),0),0)</ns0:f>
        <ns0:v/>
      </ns0:c>
      <ns0:c r="I2538">
        <ns0:f>IF($H2538=0,0,IFERROR(IF(AND(ABS($C2538-INDEX('AH History'!$B$1:$B$18046,$H2538))&lt;=MAX(0.005,ABS(INDEX('AH History'!$B$1:$B$18046,$H2538))*0.00005),ABS($D2538-INDEX('AH History'!$C$1:$C$18046,$H2538))&lt;=MAX(0.005,ABS(INDEX('AH History'!$C$1:$C$18046,$H2538))*0.00005),ABS($E2538-INDEX('AH History'!$D$1:$D$18046,$H2538))&lt;=0.00005,$F2538=INDEX('AH History'!$E$1:$E$18046,$H2538),$G2538=INDEX('AH History'!$F$1:$F$18046,$H2538)),1,-1),-1))</ns0:f>
        <ns0:v/>
      </ns0:c>
    </ns0:row>
    <ns0:row r="2539">
      <ns0:c r="A2539" s="215">
        <ns0:f>IF(OR(AH!$P$3=0,2534+1&gt;AH!$P$11,AND(AH!$E$4&lt;&gt;"Stored",AH!$P$10&lt;&gt;1)),"",IFERROR(IF(AND(AH!$P$21=1,2534+1=AH!$P$11),TODAY(),IF(AH!$P$10=1,INDEX('Live History'!$A$5:$A$3004,AH!$P$13+2534),INDEX('AH History'!$A$1:$A$18046,AH!$P$7+2534))),""))</ns0:f>
        <ns0:v/>
      </ns0:c>
      <ns0:c r="B2539" s="219">
        <ns0:f>IFERROR(IF(AND(AH!$P$9&lt;&gt;1,$C2539&gt;0,$D2539&gt;0,$E2539&gt;0,$F2539&gt;0,$G2539&gt;0,$F2539&lt;=$A2539,$G2539&lt;=$A2539,$A2539-$F2539&lt;=10,$A2539-$G2539&lt;=5),$D2539*$E2539/$C2539-1,NA()),NA())</ns0:f>
        <ns0:v/>
      </ns0:c>
      <ns0:c r="C2539">
        <ns0:f>IFERROR(IF(ISNUMBER($A2539),IF(AND(AH!$P$10=1,AH!$P$12=1,$A2539=TODAY()),AH!$P$19,IF(AH!$P$10=1,INDEX('Live History'!$B$5:$B$3004,AH!$P$13+2534),INDEX('AH History'!$B$1:$B$18046,AH!$P$7+2534))),NA()),NA())</ns0:f>
        <ns0:v/>
      </ns0:c>
      <ns0:c r="D2539">
        <ns0:f>IFERROR(IF(ISNUMBER($A2539),IF(AND(AH!$P$10=1,AH!$P$12=1,$A2539=TODAY()),AH!$P$18,IF(AH!$P$10=1,INDEX('Live History'!$E$5:$E$3004,MATCH($A2539,'Live History'!$D$5:$D$3004,1)),INDEX('AH History'!$C$1:$C$18046,AH!$P$7+2534))),NA()),NA())</ns0:f>
        <ns0:v/>
      </ns0:c>
      <ns0:c r="E2539">
        <ns0:f>IFERROR(IF(ISNUMBER($A2539),IF(AND(AH!$P$10=1,AH!$P$12=1,$A2539=TODAY()),AH!$P$20,IF(AH!$P$10=1,INDEX('Live History'!$H$5:$H$3004,MATCH($A2539,'Live History'!$G$5:$G$3004,1)),INDEX('AH History'!$D$1:$D$18046,AH!$P$7+2534))),NA()),NA())</ns0:f>
        <ns0:v/>
      </ns0:c>
      <ns0:c r="F2539">
        <ns0:f>IFERROR(IF(ISNUMBER($A2539),IF(AND(AH!$P$10=1,AH!$P$12=1,$A2539=TODAY()),IF(AND(AH!$P$10=1,AH!$P$12=1,$A2539=TODAY()),TODAY(),NA()),IF(AH!$P$10=1,INDEX('Live History'!$D$5:$D$3004,MATCH($A2539,'Live History'!$D$5:$D$3004,1)),INDEX('AH History'!$E$1:$E$18046,AH!$P$7+2534))),NA()),NA())</ns0:f>
        <ns0:v/>
      </ns0:c>
      <ns0:c r="G2539">
        <ns0:f>IFERROR(IF(ISNUMBER($A2539),IF(AND(AH!$P$10=1,AH!$P$12=1,$A2539=TODAY()),IF(AND(AH!$P$10=1,AH!$P$12=1,$A2539=TODAY()),TODAY(),NA()),IF(AH!$P$10=1,INDEX('Live History'!$G$5:$G$3004,MATCH($A2539,'Live History'!$G$5:$G$3004,1)),INDEX('AH History'!$F$1:$F$18046,AH!$P$7+2534))),NA()),NA())</ns0:f>
        <ns0:v/>
      </ns0:c>
      <ns0:c r="H2539">
        <ns0:f>IFERROR(IF(AND(AH!$E$4="Bloomberg",AH!$P$10=1,ISNUMBER($A2539),$A2539&lt;=AH!$P$17),AH!$P$7-1+MATCH($A2539,INDEX('AH History'!$A$1:$A$18046,AH!$P$7):INDEX('AH History'!$A$1:$A$18046,AH!$P$7+AH!$P$8-1),0),0),0)</ns0:f>
        <ns0:v/>
      </ns0:c>
      <ns0:c r="I2539">
        <ns0:f>IF($H2539=0,0,IFERROR(IF(AND(ABS($C2539-INDEX('AH History'!$B$1:$B$18046,$H2539))&lt;=MAX(0.005,ABS(INDEX('AH History'!$B$1:$B$18046,$H2539))*0.00005),ABS($D2539-INDEX('AH History'!$C$1:$C$18046,$H2539))&lt;=MAX(0.005,ABS(INDEX('AH History'!$C$1:$C$18046,$H2539))*0.00005),ABS($E2539-INDEX('AH History'!$D$1:$D$18046,$H2539))&lt;=0.00005,$F2539=INDEX('AH History'!$E$1:$E$18046,$H2539),$G2539=INDEX('AH History'!$F$1:$F$18046,$H2539)),1,-1),-1))</ns0:f>
        <ns0:v/>
      </ns0:c>
    </ns0:row>
    <ns0:row r="2540">
      <ns0:c r="A2540" s="215">
        <ns0:f>IF(OR(AH!$P$3=0,2535+1&gt;AH!$P$11,AND(AH!$E$4&lt;&gt;"Stored",AH!$P$10&lt;&gt;1)),"",IFERROR(IF(AND(AH!$P$21=1,2535+1=AH!$P$11),TODAY(),IF(AH!$P$10=1,INDEX('Live History'!$A$5:$A$3004,AH!$P$13+2535),INDEX('AH History'!$A$1:$A$18046,AH!$P$7+2535))),""))</ns0:f>
        <ns0:v/>
      </ns0:c>
      <ns0:c r="B2540" s="219">
        <ns0:f>IFERROR(IF(AND(AH!$P$9&lt;&gt;1,$C2540&gt;0,$D2540&gt;0,$E2540&gt;0,$F2540&gt;0,$G2540&gt;0,$F2540&lt;=$A2540,$G2540&lt;=$A2540,$A2540-$F2540&lt;=10,$A2540-$G2540&lt;=5),$D2540*$E2540/$C2540-1,NA()),NA())</ns0:f>
        <ns0:v/>
      </ns0:c>
      <ns0:c r="C2540">
        <ns0:f>IFERROR(IF(ISNUMBER($A2540),IF(AND(AH!$P$10=1,AH!$P$12=1,$A2540=TODAY()),AH!$P$19,IF(AH!$P$10=1,INDEX('Live History'!$B$5:$B$3004,AH!$P$13+2535),INDEX('AH History'!$B$1:$B$18046,AH!$P$7+2535))),NA()),NA())</ns0:f>
        <ns0:v/>
      </ns0:c>
      <ns0:c r="D2540">
        <ns0:f>IFERROR(IF(ISNUMBER($A2540),IF(AND(AH!$P$10=1,AH!$P$12=1,$A2540=TODAY()),AH!$P$18,IF(AH!$P$10=1,INDEX('Live History'!$E$5:$E$3004,MATCH($A2540,'Live History'!$D$5:$D$3004,1)),INDEX('AH History'!$C$1:$C$18046,AH!$P$7+2535))),NA()),NA())</ns0:f>
        <ns0:v/>
      </ns0:c>
      <ns0:c r="E2540">
        <ns0:f>IFERROR(IF(ISNUMBER($A2540),IF(AND(AH!$P$10=1,AH!$P$12=1,$A2540=TODAY()),AH!$P$20,IF(AH!$P$10=1,INDEX('Live History'!$H$5:$H$3004,MATCH($A2540,'Live History'!$G$5:$G$3004,1)),INDEX('AH History'!$D$1:$D$18046,AH!$P$7+2535))),NA()),NA())</ns0:f>
        <ns0:v/>
      </ns0:c>
      <ns0:c r="F2540">
        <ns0:f>IFERROR(IF(ISNUMBER($A2540),IF(AND(AH!$P$10=1,AH!$P$12=1,$A2540=TODAY()),IF(AND(AH!$P$10=1,AH!$P$12=1,$A2540=TODAY()),TODAY(),NA()),IF(AH!$P$10=1,INDEX('Live History'!$D$5:$D$3004,MATCH($A2540,'Live History'!$D$5:$D$3004,1)),INDEX('AH History'!$E$1:$E$18046,AH!$P$7+2535))),NA()),NA())</ns0:f>
        <ns0:v/>
      </ns0:c>
      <ns0:c r="G2540">
        <ns0:f>IFERROR(IF(ISNUMBER($A2540),IF(AND(AH!$P$10=1,AH!$P$12=1,$A2540=TODAY()),IF(AND(AH!$P$10=1,AH!$P$12=1,$A2540=TODAY()),TODAY(),NA()),IF(AH!$P$10=1,INDEX('Live History'!$G$5:$G$3004,MATCH($A2540,'Live History'!$G$5:$G$3004,1)),INDEX('AH History'!$F$1:$F$18046,AH!$P$7+2535))),NA()),NA())</ns0:f>
        <ns0:v/>
      </ns0:c>
      <ns0:c r="H2540">
        <ns0:f>IFERROR(IF(AND(AH!$E$4="Bloomberg",AH!$P$10=1,ISNUMBER($A2540),$A2540&lt;=AH!$P$17),AH!$P$7-1+MATCH($A2540,INDEX('AH History'!$A$1:$A$18046,AH!$P$7):INDEX('AH History'!$A$1:$A$18046,AH!$P$7+AH!$P$8-1),0),0),0)</ns0:f>
        <ns0:v/>
      </ns0:c>
      <ns0:c r="I2540">
        <ns0:f>IF($H2540=0,0,IFERROR(IF(AND(ABS($C2540-INDEX('AH History'!$B$1:$B$18046,$H2540))&lt;=MAX(0.005,ABS(INDEX('AH History'!$B$1:$B$18046,$H2540))*0.00005),ABS($D2540-INDEX('AH History'!$C$1:$C$18046,$H2540))&lt;=MAX(0.005,ABS(INDEX('AH History'!$C$1:$C$18046,$H2540))*0.00005),ABS($E2540-INDEX('AH History'!$D$1:$D$18046,$H2540))&lt;=0.00005,$F2540=INDEX('AH History'!$E$1:$E$18046,$H2540),$G2540=INDEX('AH History'!$F$1:$F$18046,$H2540)),1,-1),-1))</ns0:f>
        <ns0:v/>
      </ns0:c>
    </ns0:row>
    <ns0:row r="2541">
      <ns0:c r="A2541" s="215">
        <ns0:f>IF(OR(AH!$P$3=0,2536+1&gt;AH!$P$11,AND(AH!$E$4&lt;&gt;"Stored",AH!$P$10&lt;&gt;1)),"",IFERROR(IF(AND(AH!$P$21=1,2536+1=AH!$P$11),TODAY(),IF(AH!$P$10=1,INDEX('Live History'!$A$5:$A$3004,AH!$P$13+2536),INDEX('AH History'!$A$1:$A$18046,AH!$P$7+2536))),""))</ns0:f>
        <ns0:v/>
      </ns0:c>
      <ns0:c r="B2541" s="219">
        <ns0:f>IFERROR(IF(AND(AH!$P$9&lt;&gt;1,$C2541&gt;0,$D2541&gt;0,$E2541&gt;0,$F2541&gt;0,$G2541&gt;0,$F2541&lt;=$A2541,$G2541&lt;=$A2541,$A2541-$F2541&lt;=10,$A2541-$G2541&lt;=5),$D2541*$E2541/$C2541-1,NA()),NA())</ns0:f>
        <ns0:v/>
      </ns0:c>
      <ns0:c r="C2541">
        <ns0:f>IFERROR(IF(ISNUMBER($A2541),IF(AND(AH!$P$10=1,AH!$P$12=1,$A2541=TODAY()),AH!$P$19,IF(AH!$P$10=1,INDEX('Live History'!$B$5:$B$3004,AH!$P$13+2536),INDEX('AH History'!$B$1:$B$18046,AH!$P$7+2536))),NA()),NA())</ns0:f>
        <ns0:v/>
      </ns0:c>
      <ns0:c r="D2541">
        <ns0:f>IFERROR(IF(ISNUMBER($A2541),IF(AND(AH!$P$10=1,AH!$P$12=1,$A2541=TODAY()),AH!$P$18,IF(AH!$P$10=1,INDEX('Live History'!$E$5:$E$3004,MATCH($A2541,'Live History'!$D$5:$D$3004,1)),INDEX('AH History'!$C$1:$C$18046,AH!$P$7+2536))),NA()),NA())</ns0:f>
        <ns0:v/>
      </ns0:c>
      <ns0:c r="E2541">
        <ns0:f>IFERROR(IF(ISNUMBER($A2541),IF(AND(AH!$P$10=1,AH!$P$12=1,$A2541=TODAY()),AH!$P$20,IF(AH!$P$10=1,INDEX('Live History'!$H$5:$H$3004,MATCH($A2541,'Live History'!$G$5:$G$3004,1)),INDEX('AH History'!$D$1:$D$18046,AH!$P$7+2536))),NA()),NA())</ns0:f>
        <ns0:v/>
      </ns0:c>
      <ns0:c r="F2541">
        <ns0:f>IFERROR(IF(ISNUMBER($A2541),IF(AND(AH!$P$10=1,AH!$P$12=1,$A2541=TODAY()),IF(AND(AH!$P$10=1,AH!$P$12=1,$A2541=TODAY()),TODAY(),NA()),IF(AH!$P$10=1,INDEX('Live History'!$D$5:$D$3004,MATCH($A2541,'Live History'!$D$5:$D$3004,1)),INDEX('AH History'!$E$1:$E$18046,AH!$P$7+2536))),NA()),NA())</ns0:f>
        <ns0:v/>
      </ns0:c>
      <ns0:c r="G2541">
        <ns0:f>IFERROR(IF(ISNUMBER($A2541),IF(AND(AH!$P$10=1,AH!$P$12=1,$A2541=TODAY()),IF(AND(AH!$P$10=1,AH!$P$12=1,$A2541=TODAY()),TODAY(),NA()),IF(AH!$P$10=1,INDEX('Live History'!$G$5:$G$3004,MATCH($A2541,'Live History'!$G$5:$G$3004,1)),INDEX('AH History'!$F$1:$F$18046,AH!$P$7+2536))),NA()),NA())</ns0:f>
        <ns0:v/>
      </ns0:c>
      <ns0:c r="H2541">
        <ns0:f>IFERROR(IF(AND(AH!$E$4="Bloomberg",AH!$P$10=1,ISNUMBER($A2541),$A2541&lt;=AH!$P$17),AH!$P$7-1+MATCH($A2541,INDEX('AH History'!$A$1:$A$18046,AH!$P$7):INDEX('AH History'!$A$1:$A$18046,AH!$P$7+AH!$P$8-1),0),0),0)</ns0:f>
        <ns0:v/>
      </ns0:c>
      <ns0:c r="I2541">
        <ns0:f>IF($H2541=0,0,IFERROR(IF(AND(ABS($C2541-INDEX('AH History'!$B$1:$B$18046,$H2541))&lt;=MAX(0.005,ABS(INDEX('AH History'!$B$1:$B$18046,$H2541))*0.00005),ABS($D2541-INDEX('AH History'!$C$1:$C$18046,$H2541))&lt;=MAX(0.005,ABS(INDEX('AH History'!$C$1:$C$18046,$H2541))*0.00005),ABS($E2541-INDEX('AH History'!$D$1:$D$18046,$H2541))&lt;=0.00005,$F2541=INDEX('AH History'!$E$1:$E$18046,$H2541),$G2541=INDEX('AH History'!$F$1:$F$18046,$H2541)),1,-1),-1))</ns0:f>
        <ns0:v/>
      </ns0:c>
    </ns0:row>
    <ns0:row r="2542">
      <ns0:c r="A2542" s="215">
        <ns0:f>IF(OR(AH!$P$3=0,2537+1&gt;AH!$P$11,AND(AH!$E$4&lt;&gt;"Stored",AH!$P$10&lt;&gt;1)),"",IFERROR(IF(AND(AH!$P$21=1,2537+1=AH!$P$11),TODAY(),IF(AH!$P$10=1,INDEX('Live History'!$A$5:$A$3004,AH!$P$13+2537),INDEX('AH History'!$A$1:$A$18046,AH!$P$7+2537))),""))</ns0:f>
        <ns0:v/>
      </ns0:c>
      <ns0:c r="B2542" s="219">
        <ns0:f>IFERROR(IF(AND(AH!$P$9&lt;&gt;1,$C2542&gt;0,$D2542&gt;0,$E2542&gt;0,$F2542&gt;0,$G2542&gt;0,$F2542&lt;=$A2542,$G2542&lt;=$A2542,$A2542-$F2542&lt;=10,$A2542-$G2542&lt;=5),$D2542*$E2542/$C2542-1,NA()),NA())</ns0:f>
        <ns0:v/>
      </ns0:c>
      <ns0:c r="C2542">
        <ns0:f>IFERROR(IF(ISNUMBER($A2542),IF(AND(AH!$P$10=1,AH!$P$12=1,$A2542=TODAY()),AH!$P$19,IF(AH!$P$10=1,INDEX('Live History'!$B$5:$B$3004,AH!$P$13+2537),INDEX('AH History'!$B$1:$B$18046,AH!$P$7+2537))),NA()),NA())</ns0:f>
        <ns0:v/>
      </ns0:c>
      <ns0:c r="D2542">
        <ns0:f>IFERROR(IF(ISNUMBER($A2542),IF(AND(AH!$P$10=1,AH!$P$12=1,$A2542=TODAY()),AH!$P$18,IF(AH!$P$10=1,INDEX('Live History'!$E$5:$E$3004,MATCH($A2542,'Live History'!$D$5:$D$3004,1)),INDEX('AH History'!$C$1:$C$18046,AH!$P$7+2537))),NA()),NA())</ns0:f>
        <ns0:v/>
      </ns0:c>
      <ns0:c r="E2542">
        <ns0:f>IFERROR(IF(ISNUMBER($A2542),IF(AND(AH!$P$10=1,AH!$P$12=1,$A2542=TODAY()),AH!$P$20,IF(AH!$P$10=1,INDEX('Live History'!$H$5:$H$3004,MATCH($A2542,'Live History'!$G$5:$G$3004,1)),INDEX('AH History'!$D$1:$D$18046,AH!$P$7+2537))),NA()),NA())</ns0:f>
        <ns0:v/>
      </ns0:c>
      <ns0:c r="F2542">
        <ns0:f>IFERROR(IF(ISNUMBER($A2542),IF(AND(AH!$P$10=1,AH!$P$12=1,$A2542=TODAY()),IF(AND(AH!$P$10=1,AH!$P$12=1,$A2542=TODAY()),TODAY(),NA()),IF(AH!$P$10=1,INDEX('Live History'!$D$5:$D$3004,MATCH($A2542,'Live History'!$D$5:$D$3004,1)),INDEX('AH History'!$E$1:$E$18046,AH!$P$7+2537))),NA()),NA())</ns0:f>
        <ns0:v/>
      </ns0:c>
      <ns0:c r="G2542">
        <ns0:f>IFERROR(IF(ISNUMBER($A2542),IF(AND(AH!$P$10=1,AH!$P$12=1,$A2542=TODAY()),IF(AND(AH!$P$10=1,AH!$P$12=1,$A2542=TODAY()),TODAY(),NA()),IF(AH!$P$10=1,INDEX('Live History'!$G$5:$G$3004,MATCH($A2542,'Live History'!$G$5:$G$3004,1)),INDEX('AH History'!$F$1:$F$18046,AH!$P$7+2537))),NA()),NA())</ns0:f>
        <ns0:v/>
      </ns0:c>
      <ns0:c r="H2542">
        <ns0:f>IFERROR(IF(AND(AH!$E$4="Bloomberg",AH!$P$10=1,ISNUMBER($A2542),$A2542&lt;=AH!$P$17),AH!$P$7-1+MATCH($A2542,INDEX('AH History'!$A$1:$A$18046,AH!$P$7):INDEX('AH History'!$A$1:$A$18046,AH!$P$7+AH!$P$8-1),0),0),0)</ns0:f>
        <ns0:v/>
      </ns0:c>
      <ns0:c r="I2542">
        <ns0:f>IF($H2542=0,0,IFERROR(IF(AND(ABS($C2542-INDEX('AH History'!$B$1:$B$18046,$H2542))&lt;=MAX(0.005,ABS(INDEX('AH History'!$B$1:$B$18046,$H2542))*0.00005),ABS($D2542-INDEX('AH History'!$C$1:$C$18046,$H2542))&lt;=MAX(0.005,ABS(INDEX('AH History'!$C$1:$C$18046,$H2542))*0.00005),ABS($E2542-INDEX('AH History'!$D$1:$D$18046,$H2542))&lt;=0.00005,$F2542=INDEX('AH History'!$E$1:$E$18046,$H2542),$G2542=INDEX('AH History'!$F$1:$F$18046,$H2542)),1,-1),-1))</ns0:f>
        <ns0:v/>
      </ns0:c>
    </ns0:row>
    <ns0:row r="2543">
      <ns0:c r="A2543" s="215">
        <ns0:f>IF(OR(AH!$P$3=0,2538+1&gt;AH!$P$11,AND(AH!$E$4&lt;&gt;"Stored",AH!$P$10&lt;&gt;1)),"",IFERROR(IF(AND(AH!$P$21=1,2538+1=AH!$P$11),TODAY(),IF(AH!$P$10=1,INDEX('Live History'!$A$5:$A$3004,AH!$P$13+2538),INDEX('AH History'!$A$1:$A$18046,AH!$P$7+2538))),""))</ns0:f>
        <ns0:v/>
      </ns0:c>
      <ns0:c r="B2543" s="219">
        <ns0:f>IFERROR(IF(AND(AH!$P$9&lt;&gt;1,$C2543&gt;0,$D2543&gt;0,$E2543&gt;0,$F2543&gt;0,$G2543&gt;0,$F2543&lt;=$A2543,$G2543&lt;=$A2543,$A2543-$F2543&lt;=10,$A2543-$G2543&lt;=5),$D2543*$E2543/$C2543-1,NA()),NA())</ns0:f>
        <ns0:v/>
      </ns0:c>
      <ns0:c r="C2543">
        <ns0:f>IFERROR(IF(ISNUMBER($A2543),IF(AND(AH!$P$10=1,AH!$P$12=1,$A2543=TODAY()),AH!$P$19,IF(AH!$P$10=1,INDEX('Live History'!$B$5:$B$3004,AH!$P$13+2538),INDEX('AH History'!$B$1:$B$18046,AH!$P$7+2538))),NA()),NA())</ns0:f>
        <ns0:v/>
      </ns0:c>
      <ns0:c r="D2543">
        <ns0:f>IFERROR(IF(ISNUMBER($A2543),IF(AND(AH!$P$10=1,AH!$P$12=1,$A2543=TODAY()),AH!$P$18,IF(AH!$P$10=1,INDEX('Live History'!$E$5:$E$3004,MATCH($A2543,'Live History'!$D$5:$D$3004,1)),INDEX('AH History'!$C$1:$C$18046,AH!$P$7+2538))),NA()),NA())</ns0:f>
        <ns0:v/>
      </ns0:c>
      <ns0:c r="E2543">
        <ns0:f>IFERROR(IF(ISNUMBER($A2543),IF(AND(AH!$P$10=1,AH!$P$12=1,$A2543=TODAY()),AH!$P$20,IF(AH!$P$10=1,INDEX('Live History'!$H$5:$H$3004,MATCH($A2543,'Live History'!$G$5:$G$3004,1)),INDEX('AH History'!$D$1:$D$18046,AH!$P$7+2538))),NA()),NA())</ns0:f>
        <ns0:v/>
      </ns0:c>
      <ns0:c r="F2543">
        <ns0:f>IFERROR(IF(ISNUMBER($A2543),IF(AND(AH!$P$10=1,AH!$P$12=1,$A2543=TODAY()),IF(AND(AH!$P$10=1,AH!$P$12=1,$A2543=TODAY()),TODAY(),NA()),IF(AH!$P$10=1,INDEX('Live History'!$D$5:$D$3004,MATCH($A2543,'Live History'!$D$5:$D$3004,1)),INDEX('AH History'!$E$1:$E$18046,AH!$P$7+2538))),NA()),NA())</ns0:f>
        <ns0:v/>
      </ns0:c>
      <ns0:c r="G2543">
        <ns0:f>IFERROR(IF(ISNUMBER($A2543),IF(AND(AH!$P$10=1,AH!$P$12=1,$A2543=TODAY()),IF(AND(AH!$P$10=1,AH!$P$12=1,$A2543=TODAY()),TODAY(),NA()),IF(AH!$P$10=1,INDEX('Live History'!$G$5:$G$3004,MATCH($A2543,'Live History'!$G$5:$G$3004,1)),INDEX('AH History'!$F$1:$F$18046,AH!$P$7+2538))),NA()),NA())</ns0:f>
        <ns0:v/>
      </ns0:c>
      <ns0:c r="H2543">
        <ns0:f>IFERROR(IF(AND(AH!$E$4="Bloomberg",AH!$P$10=1,ISNUMBER($A2543),$A2543&lt;=AH!$P$17),AH!$P$7-1+MATCH($A2543,INDEX('AH History'!$A$1:$A$18046,AH!$P$7):INDEX('AH History'!$A$1:$A$18046,AH!$P$7+AH!$P$8-1),0),0),0)</ns0:f>
        <ns0:v/>
      </ns0:c>
      <ns0:c r="I2543">
        <ns0:f>IF($H2543=0,0,IFERROR(IF(AND(ABS($C2543-INDEX('AH History'!$B$1:$B$18046,$H2543))&lt;=MAX(0.005,ABS(INDEX('AH History'!$B$1:$B$18046,$H2543))*0.00005),ABS($D2543-INDEX('AH History'!$C$1:$C$18046,$H2543))&lt;=MAX(0.005,ABS(INDEX('AH History'!$C$1:$C$18046,$H2543))*0.00005),ABS($E2543-INDEX('AH History'!$D$1:$D$18046,$H2543))&lt;=0.00005,$F2543=INDEX('AH History'!$E$1:$E$18046,$H2543),$G2543=INDEX('AH History'!$F$1:$F$18046,$H2543)),1,-1),-1))</ns0:f>
        <ns0:v/>
      </ns0:c>
    </ns0:row>
    <ns0:row r="2544">
      <ns0:c r="A2544" s="215">
        <ns0:f>IF(OR(AH!$P$3=0,2539+1&gt;AH!$P$11,AND(AH!$E$4&lt;&gt;"Stored",AH!$P$10&lt;&gt;1)),"",IFERROR(IF(AND(AH!$P$21=1,2539+1=AH!$P$11),TODAY(),IF(AH!$P$10=1,INDEX('Live History'!$A$5:$A$3004,AH!$P$13+2539),INDEX('AH History'!$A$1:$A$18046,AH!$P$7+2539))),""))</ns0:f>
        <ns0:v/>
      </ns0:c>
      <ns0:c r="B2544" s="219">
        <ns0:f>IFERROR(IF(AND(AH!$P$9&lt;&gt;1,$C2544&gt;0,$D2544&gt;0,$E2544&gt;0,$F2544&gt;0,$G2544&gt;0,$F2544&lt;=$A2544,$G2544&lt;=$A2544,$A2544-$F2544&lt;=10,$A2544-$G2544&lt;=5),$D2544*$E2544/$C2544-1,NA()),NA())</ns0:f>
        <ns0:v/>
      </ns0:c>
      <ns0:c r="C2544">
        <ns0:f>IFERROR(IF(ISNUMBER($A2544),IF(AND(AH!$P$10=1,AH!$P$12=1,$A2544=TODAY()),AH!$P$19,IF(AH!$P$10=1,INDEX('Live History'!$B$5:$B$3004,AH!$P$13+2539),INDEX('AH History'!$B$1:$B$18046,AH!$P$7+2539))),NA()),NA())</ns0:f>
        <ns0:v/>
      </ns0:c>
      <ns0:c r="D2544">
        <ns0:f>IFERROR(IF(ISNUMBER($A2544),IF(AND(AH!$P$10=1,AH!$P$12=1,$A2544=TODAY()),AH!$P$18,IF(AH!$P$10=1,INDEX('Live History'!$E$5:$E$3004,MATCH($A2544,'Live History'!$D$5:$D$3004,1)),INDEX('AH History'!$C$1:$C$18046,AH!$P$7+2539))),NA()),NA())</ns0:f>
        <ns0:v/>
      </ns0:c>
      <ns0:c r="E2544">
        <ns0:f>IFERROR(IF(ISNUMBER($A2544),IF(AND(AH!$P$10=1,AH!$P$12=1,$A2544=TODAY()),AH!$P$20,IF(AH!$P$10=1,INDEX('Live History'!$H$5:$H$3004,MATCH($A2544,'Live History'!$G$5:$G$3004,1)),INDEX('AH History'!$D$1:$D$18046,AH!$P$7+2539))),NA()),NA())</ns0:f>
        <ns0:v/>
      </ns0:c>
      <ns0:c r="F2544">
        <ns0:f>IFERROR(IF(ISNUMBER($A2544),IF(AND(AH!$P$10=1,AH!$P$12=1,$A2544=TODAY()),IF(AND(AH!$P$10=1,AH!$P$12=1,$A2544=TODAY()),TODAY(),NA()),IF(AH!$P$10=1,INDEX('Live History'!$D$5:$D$3004,MATCH($A2544,'Live History'!$D$5:$D$3004,1)),INDEX('AH History'!$E$1:$E$18046,AH!$P$7+2539))),NA()),NA())</ns0:f>
        <ns0:v/>
      </ns0:c>
      <ns0:c r="G2544">
        <ns0:f>IFERROR(IF(ISNUMBER($A2544),IF(AND(AH!$P$10=1,AH!$P$12=1,$A2544=TODAY()),IF(AND(AH!$P$10=1,AH!$P$12=1,$A2544=TODAY()),TODAY(),NA()),IF(AH!$P$10=1,INDEX('Live History'!$G$5:$G$3004,MATCH($A2544,'Live History'!$G$5:$G$3004,1)),INDEX('AH History'!$F$1:$F$18046,AH!$P$7+2539))),NA()),NA())</ns0:f>
        <ns0:v/>
      </ns0:c>
      <ns0:c r="H2544">
        <ns0:f>IFERROR(IF(AND(AH!$E$4="Bloomberg",AH!$P$10=1,ISNUMBER($A2544),$A2544&lt;=AH!$P$17),AH!$P$7-1+MATCH($A2544,INDEX('AH History'!$A$1:$A$18046,AH!$P$7):INDEX('AH History'!$A$1:$A$18046,AH!$P$7+AH!$P$8-1),0),0),0)</ns0:f>
        <ns0:v/>
      </ns0:c>
      <ns0:c r="I2544">
        <ns0:f>IF($H2544=0,0,IFERROR(IF(AND(ABS($C2544-INDEX('AH History'!$B$1:$B$18046,$H2544))&lt;=MAX(0.005,ABS(INDEX('AH History'!$B$1:$B$18046,$H2544))*0.00005),ABS($D2544-INDEX('AH History'!$C$1:$C$18046,$H2544))&lt;=MAX(0.005,ABS(INDEX('AH History'!$C$1:$C$18046,$H2544))*0.00005),ABS($E2544-INDEX('AH History'!$D$1:$D$18046,$H2544))&lt;=0.00005,$F2544=INDEX('AH History'!$E$1:$E$18046,$H2544),$G2544=INDEX('AH History'!$F$1:$F$18046,$H2544)),1,-1),-1))</ns0:f>
        <ns0:v/>
      </ns0:c>
    </ns0:row>
    <ns0:row r="2545">
      <ns0:c r="A2545" s="215">
        <ns0:f>IF(OR(AH!$P$3=0,2540+1&gt;AH!$P$11,AND(AH!$E$4&lt;&gt;"Stored",AH!$P$10&lt;&gt;1)),"",IFERROR(IF(AND(AH!$P$21=1,2540+1=AH!$P$11),TODAY(),IF(AH!$P$10=1,INDEX('Live History'!$A$5:$A$3004,AH!$P$13+2540),INDEX('AH History'!$A$1:$A$18046,AH!$P$7+2540))),""))</ns0:f>
        <ns0:v/>
      </ns0:c>
      <ns0:c r="B2545" s="219">
        <ns0:f>IFERROR(IF(AND(AH!$P$9&lt;&gt;1,$C2545&gt;0,$D2545&gt;0,$E2545&gt;0,$F2545&gt;0,$G2545&gt;0,$F2545&lt;=$A2545,$G2545&lt;=$A2545,$A2545-$F2545&lt;=10,$A2545-$G2545&lt;=5),$D2545*$E2545/$C2545-1,NA()),NA())</ns0:f>
        <ns0:v/>
      </ns0:c>
      <ns0:c r="C2545">
        <ns0:f>IFERROR(IF(ISNUMBER($A2545),IF(AND(AH!$P$10=1,AH!$P$12=1,$A2545=TODAY()),AH!$P$19,IF(AH!$P$10=1,INDEX('Live History'!$B$5:$B$3004,AH!$P$13+2540),INDEX('AH History'!$B$1:$B$18046,AH!$P$7+2540))),NA()),NA())</ns0:f>
        <ns0:v/>
      </ns0:c>
      <ns0:c r="D2545">
        <ns0:f>IFERROR(IF(ISNUMBER($A2545),IF(AND(AH!$P$10=1,AH!$P$12=1,$A2545=TODAY()),AH!$P$18,IF(AH!$P$10=1,INDEX('Live History'!$E$5:$E$3004,MATCH($A2545,'Live History'!$D$5:$D$3004,1)),INDEX('AH History'!$C$1:$C$18046,AH!$P$7+2540))),NA()),NA())</ns0:f>
        <ns0:v/>
      </ns0:c>
      <ns0:c r="E2545">
        <ns0:f>IFERROR(IF(ISNUMBER($A2545),IF(AND(AH!$P$10=1,AH!$P$12=1,$A2545=TODAY()),AH!$P$20,IF(AH!$P$10=1,INDEX('Live History'!$H$5:$H$3004,MATCH($A2545,'Live History'!$G$5:$G$3004,1)),INDEX('AH History'!$D$1:$D$18046,AH!$P$7+2540))),NA()),NA())</ns0:f>
        <ns0:v/>
      </ns0:c>
      <ns0:c r="F2545">
        <ns0:f>IFERROR(IF(ISNUMBER($A2545),IF(AND(AH!$P$10=1,AH!$P$12=1,$A2545=TODAY()),IF(AND(AH!$P$10=1,AH!$P$12=1,$A2545=TODAY()),TODAY(),NA()),IF(AH!$P$10=1,INDEX('Live History'!$D$5:$D$3004,MATCH($A2545,'Live History'!$D$5:$D$3004,1)),INDEX('AH History'!$E$1:$E$18046,AH!$P$7+2540))),NA()),NA())</ns0:f>
        <ns0:v/>
      </ns0:c>
      <ns0:c r="G2545">
        <ns0:f>IFERROR(IF(ISNUMBER($A2545),IF(AND(AH!$P$10=1,AH!$P$12=1,$A2545=TODAY()),IF(AND(AH!$P$10=1,AH!$P$12=1,$A2545=TODAY()),TODAY(),NA()),IF(AH!$P$10=1,INDEX('Live History'!$G$5:$G$3004,MATCH($A2545,'Live History'!$G$5:$G$3004,1)),INDEX('AH History'!$F$1:$F$18046,AH!$P$7+2540))),NA()),NA())</ns0:f>
        <ns0:v/>
      </ns0:c>
      <ns0:c r="H2545">
        <ns0:f>IFERROR(IF(AND(AH!$E$4="Bloomberg",AH!$P$10=1,ISNUMBER($A2545),$A2545&lt;=AH!$P$17),AH!$P$7-1+MATCH($A2545,INDEX('AH History'!$A$1:$A$18046,AH!$P$7):INDEX('AH History'!$A$1:$A$18046,AH!$P$7+AH!$P$8-1),0),0),0)</ns0:f>
        <ns0:v/>
      </ns0:c>
      <ns0:c r="I2545">
        <ns0:f>IF($H2545=0,0,IFERROR(IF(AND(ABS($C2545-INDEX('AH History'!$B$1:$B$18046,$H2545))&lt;=MAX(0.005,ABS(INDEX('AH History'!$B$1:$B$18046,$H2545))*0.00005),ABS($D2545-INDEX('AH History'!$C$1:$C$18046,$H2545))&lt;=MAX(0.005,ABS(INDEX('AH History'!$C$1:$C$18046,$H2545))*0.00005),ABS($E2545-INDEX('AH History'!$D$1:$D$18046,$H2545))&lt;=0.00005,$F2545=INDEX('AH History'!$E$1:$E$18046,$H2545),$G2545=INDEX('AH History'!$F$1:$F$18046,$H2545)),1,-1),-1))</ns0:f>
        <ns0:v/>
      </ns0:c>
    </ns0:row>
    <ns0:row r="2546">
      <ns0:c r="A2546" s="215">
        <ns0:f>IF(OR(AH!$P$3=0,2541+1&gt;AH!$P$11,AND(AH!$E$4&lt;&gt;"Stored",AH!$P$10&lt;&gt;1)),"",IFERROR(IF(AND(AH!$P$21=1,2541+1=AH!$P$11),TODAY(),IF(AH!$P$10=1,INDEX('Live History'!$A$5:$A$3004,AH!$P$13+2541),INDEX('AH History'!$A$1:$A$18046,AH!$P$7+2541))),""))</ns0:f>
        <ns0:v/>
      </ns0:c>
      <ns0:c r="B2546" s="219">
        <ns0:f>IFERROR(IF(AND(AH!$P$9&lt;&gt;1,$C2546&gt;0,$D2546&gt;0,$E2546&gt;0,$F2546&gt;0,$G2546&gt;0,$F2546&lt;=$A2546,$G2546&lt;=$A2546,$A2546-$F2546&lt;=10,$A2546-$G2546&lt;=5),$D2546*$E2546/$C2546-1,NA()),NA())</ns0:f>
        <ns0:v/>
      </ns0:c>
      <ns0:c r="C2546">
        <ns0:f>IFERROR(IF(ISNUMBER($A2546),IF(AND(AH!$P$10=1,AH!$P$12=1,$A2546=TODAY()),AH!$P$19,IF(AH!$P$10=1,INDEX('Live History'!$B$5:$B$3004,AH!$P$13+2541),INDEX('AH History'!$B$1:$B$18046,AH!$P$7+2541))),NA()),NA())</ns0:f>
        <ns0:v/>
      </ns0:c>
      <ns0:c r="D2546">
        <ns0:f>IFERROR(IF(ISNUMBER($A2546),IF(AND(AH!$P$10=1,AH!$P$12=1,$A2546=TODAY()),AH!$P$18,IF(AH!$P$10=1,INDEX('Live History'!$E$5:$E$3004,MATCH($A2546,'Live History'!$D$5:$D$3004,1)),INDEX('AH History'!$C$1:$C$18046,AH!$P$7+2541))),NA()),NA())</ns0:f>
        <ns0:v/>
      </ns0:c>
      <ns0:c r="E2546">
        <ns0:f>IFERROR(IF(ISNUMBER($A2546),IF(AND(AH!$P$10=1,AH!$P$12=1,$A2546=TODAY()),AH!$P$20,IF(AH!$P$10=1,INDEX('Live History'!$H$5:$H$3004,MATCH($A2546,'Live History'!$G$5:$G$3004,1)),INDEX('AH History'!$D$1:$D$18046,AH!$P$7+2541))),NA()),NA())</ns0:f>
        <ns0:v/>
      </ns0:c>
      <ns0:c r="F2546">
        <ns0:f>IFERROR(IF(ISNUMBER($A2546),IF(AND(AH!$P$10=1,AH!$P$12=1,$A2546=TODAY()),IF(AND(AH!$P$10=1,AH!$P$12=1,$A2546=TODAY()),TODAY(),NA()),IF(AH!$P$10=1,INDEX('Live History'!$D$5:$D$3004,MATCH($A2546,'Live History'!$D$5:$D$3004,1)),INDEX('AH History'!$E$1:$E$18046,AH!$P$7+2541))),NA()),NA())</ns0:f>
        <ns0:v/>
      </ns0:c>
      <ns0:c r="G2546">
        <ns0:f>IFERROR(IF(ISNUMBER($A2546),IF(AND(AH!$P$10=1,AH!$P$12=1,$A2546=TODAY()),IF(AND(AH!$P$10=1,AH!$P$12=1,$A2546=TODAY()),TODAY(),NA()),IF(AH!$P$10=1,INDEX('Live History'!$G$5:$G$3004,MATCH($A2546,'Live History'!$G$5:$G$3004,1)),INDEX('AH History'!$F$1:$F$18046,AH!$P$7+2541))),NA()),NA())</ns0:f>
        <ns0:v/>
      </ns0:c>
      <ns0:c r="H2546">
        <ns0:f>IFERROR(IF(AND(AH!$E$4="Bloomberg",AH!$P$10=1,ISNUMBER($A2546),$A2546&lt;=AH!$P$17),AH!$P$7-1+MATCH($A2546,INDEX('AH History'!$A$1:$A$18046,AH!$P$7):INDEX('AH History'!$A$1:$A$18046,AH!$P$7+AH!$P$8-1),0),0),0)</ns0:f>
        <ns0:v/>
      </ns0:c>
      <ns0:c r="I2546">
        <ns0:f>IF($H2546=0,0,IFERROR(IF(AND(ABS($C2546-INDEX('AH History'!$B$1:$B$18046,$H2546))&lt;=MAX(0.005,ABS(INDEX('AH History'!$B$1:$B$18046,$H2546))*0.00005),ABS($D2546-INDEX('AH History'!$C$1:$C$18046,$H2546))&lt;=MAX(0.005,ABS(INDEX('AH History'!$C$1:$C$18046,$H2546))*0.00005),ABS($E2546-INDEX('AH History'!$D$1:$D$18046,$H2546))&lt;=0.00005,$F2546=INDEX('AH History'!$E$1:$E$18046,$H2546),$G2546=INDEX('AH History'!$F$1:$F$18046,$H2546)),1,-1),-1))</ns0:f>
        <ns0:v/>
      </ns0:c>
    </ns0:row>
    <ns0:row r="2547">
      <ns0:c r="A2547" s="215">
        <ns0:f>IF(OR(AH!$P$3=0,2542+1&gt;AH!$P$11,AND(AH!$E$4&lt;&gt;"Stored",AH!$P$10&lt;&gt;1)),"",IFERROR(IF(AND(AH!$P$21=1,2542+1=AH!$P$11),TODAY(),IF(AH!$P$10=1,INDEX('Live History'!$A$5:$A$3004,AH!$P$13+2542),INDEX('AH History'!$A$1:$A$18046,AH!$P$7+2542))),""))</ns0:f>
        <ns0:v/>
      </ns0:c>
      <ns0:c r="B2547" s="219">
        <ns0:f>IFERROR(IF(AND(AH!$P$9&lt;&gt;1,$C2547&gt;0,$D2547&gt;0,$E2547&gt;0,$F2547&gt;0,$G2547&gt;0,$F2547&lt;=$A2547,$G2547&lt;=$A2547,$A2547-$F2547&lt;=10,$A2547-$G2547&lt;=5),$D2547*$E2547/$C2547-1,NA()),NA())</ns0:f>
        <ns0:v/>
      </ns0:c>
      <ns0:c r="C2547">
        <ns0:f>IFERROR(IF(ISNUMBER($A2547),IF(AND(AH!$P$10=1,AH!$P$12=1,$A2547=TODAY()),AH!$P$19,IF(AH!$P$10=1,INDEX('Live History'!$B$5:$B$3004,AH!$P$13+2542),INDEX('AH History'!$B$1:$B$18046,AH!$P$7+2542))),NA()),NA())</ns0:f>
        <ns0:v/>
      </ns0:c>
      <ns0:c r="D2547">
        <ns0:f>IFERROR(IF(ISNUMBER($A2547),IF(AND(AH!$P$10=1,AH!$P$12=1,$A2547=TODAY()),AH!$P$18,IF(AH!$P$10=1,INDEX('Live History'!$E$5:$E$3004,MATCH($A2547,'Live History'!$D$5:$D$3004,1)),INDEX('AH History'!$C$1:$C$18046,AH!$P$7+2542))),NA()),NA())</ns0:f>
        <ns0:v/>
      </ns0:c>
      <ns0:c r="E2547">
        <ns0:f>IFERROR(IF(ISNUMBER($A2547),IF(AND(AH!$P$10=1,AH!$P$12=1,$A2547=TODAY()),AH!$P$20,IF(AH!$P$10=1,INDEX('Live History'!$H$5:$H$3004,MATCH($A2547,'Live History'!$G$5:$G$3004,1)),INDEX('AH History'!$D$1:$D$18046,AH!$P$7+2542))),NA()),NA())</ns0:f>
        <ns0:v/>
      </ns0:c>
      <ns0:c r="F2547">
        <ns0:f>IFERROR(IF(ISNUMBER($A2547),IF(AND(AH!$P$10=1,AH!$P$12=1,$A2547=TODAY()),IF(AND(AH!$P$10=1,AH!$P$12=1,$A2547=TODAY()),TODAY(),NA()),IF(AH!$P$10=1,INDEX('Live History'!$D$5:$D$3004,MATCH($A2547,'Live History'!$D$5:$D$3004,1)),INDEX('AH History'!$E$1:$E$18046,AH!$P$7+2542))),NA()),NA())</ns0:f>
        <ns0:v/>
      </ns0:c>
      <ns0:c r="G2547">
        <ns0:f>IFERROR(IF(ISNUMBER($A2547),IF(AND(AH!$P$10=1,AH!$P$12=1,$A2547=TODAY()),IF(AND(AH!$P$10=1,AH!$P$12=1,$A2547=TODAY()),TODAY(),NA()),IF(AH!$P$10=1,INDEX('Live History'!$G$5:$G$3004,MATCH($A2547,'Live History'!$G$5:$G$3004,1)),INDEX('AH History'!$F$1:$F$18046,AH!$P$7+2542))),NA()),NA())</ns0:f>
        <ns0:v/>
      </ns0:c>
      <ns0:c r="H2547">
        <ns0:f>IFERROR(IF(AND(AH!$E$4="Bloomberg",AH!$P$10=1,ISNUMBER($A2547),$A2547&lt;=AH!$P$17),AH!$P$7-1+MATCH($A2547,INDEX('AH History'!$A$1:$A$18046,AH!$P$7):INDEX('AH History'!$A$1:$A$18046,AH!$P$7+AH!$P$8-1),0),0),0)</ns0:f>
        <ns0:v/>
      </ns0:c>
      <ns0:c r="I2547">
        <ns0:f>IF($H2547=0,0,IFERROR(IF(AND(ABS($C2547-INDEX('AH History'!$B$1:$B$18046,$H2547))&lt;=MAX(0.005,ABS(INDEX('AH History'!$B$1:$B$18046,$H2547))*0.00005),ABS($D2547-INDEX('AH History'!$C$1:$C$18046,$H2547))&lt;=MAX(0.005,ABS(INDEX('AH History'!$C$1:$C$18046,$H2547))*0.00005),ABS($E2547-INDEX('AH History'!$D$1:$D$18046,$H2547))&lt;=0.00005,$F2547=INDEX('AH History'!$E$1:$E$18046,$H2547),$G2547=INDEX('AH History'!$F$1:$F$18046,$H2547)),1,-1),-1))</ns0:f>
        <ns0:v/>
      </ns0:c>
    </ns0:row>
    <ns0:row r="2548">
      <ns0:c r="A2548" s="215">
        <ns0:f>IF(OR(AH!$P$3=0,2543+1&gt;AH!$P$11,AND(AH!$E$4&lt;&gt;"Stored",AH!$P$10&lt;&gt;1)),"",IFERROR(IF(AND(AH!$P$21=1,2543+1=AH!$P$11),TODAY(),IF(AH!$P$10=1,INDEX('Live History'!$A$5:$A$3004,AH!$P$13+2543),INDEX('AH History'!$A$1:$A$18046,AH!$P$7+2543))),""))</ns0:f>
        <ns0:v/>
      </ns0:c>
      <ns0:c r="B2548" s="219">
        <ns0:f>IFERROR(IF(AND(AH!$P$9&lt;&gt;1,$C2548&gt;0,$D2548&gt;0,$E2548&gt;0,$F2548&gt;0,$G2548&gt;0,$F2548&lt;=$A2548,$G2548&lt;=$A2548,$A2548-$F2548&lt;=10,$A2548-$G2548&lt;=5),$D2548*$E2548/$C2548-1,NA()),NA())</ns0:f>
        <ns0:v/>
      </ns0:c>
      <ns0:c r="C2548">
        <ns0:f>IFERROR(IF(ISNUMBER($A2548),IF(AND(AH!$P$10=1,AH!$P$12=1,$A2548=TODAY()),AH!$P$19,IF(AH!$P$10=1,INDEX('Live History'!$B$5:$B$3004,AH!$P$13+2543),INDEX('AH History'!$B$1:$B$18046,AH!$P$7+2543))),NA()),NA())</ns0:f>
        <ns0:v/>
      </ns0:c>
      <ns0:c r="D2548">
        <ns0:f>IFERROR(IF(ISNUMBER($A2548),IF(AND(AH!$P$10=1,AH!$P$12=1,$A2548=TODAY()),AH!$P$18,IF(AH!$P$10=1,INDEX('Live History'!$E$5:$E$3004,MATCH($A2548,'Live History'!$D$5:$D$3004,1)),INDEX('AH History'!$C$1:$C$18046,AH!$P$7+2543))),NA()),NA())</ns0:f>
        <ns0:v/>
      </ns0:c>
      <ns0:c r="E2548">
        <ns0:f>IFERROR(IF(ISNUMBER($A2548),IF(AND(AH!$P$10=1,AH!$P$12=1,$A2548=TODAY()),AH!$P$20,IF(AH!$P$10=1,INDEX('Live History'!$H$5:$H$3004,MATCH($A2548,'Live History'!$G$5:$G$3004,1)),INDEX('AH History'!$D$1:$D$18046,AH!$P$7+2543))),NA()),NA())</ns0:f>
        <ns0:v/>
      </ns0:c>
      <ns0:c r="F2548">
        <ns0:f>IFERROR(IF(ISNUMBER($A2548),IF(AND(AH!$P$10=1,AH!$P$12=1,$A2548=TODAY()),IF(AND(AH!$P$10=1,AH!$P$12=1,$A2548=TODAY()),TODAY(),NA()),IF(AH!$P$10=1,INDEX('Live History'!$D$5:$D$3004,MATCH($A2548,'Live History'!$D$5:$D$3004,1)),INDEX('AH History'!$E$1:$E$18046,AH!$P$7+2543))),NA()),NA())</ns0:f>
        <ns0:v/>
      </ns0:c>
      <ns0:c r="G2548">
        <ns0:f>IFERROR(IF(ISNUMBER($A2548),IF(AND(AH!$P$10=1,AH!$P$12=1,$A2548=TODAY()),IF(AND(AH!$P$10=1,AH!$P$12=1,$A2548=TODAY()),TODAY(),NA()),IF(AH!$P$10=1,INDEX('Live History'!$G$5:$G$3004,MATCH($A2548,'Live History'!$G$5:$G$3004,1)),INDEX('AH History'!$F$1:$F$18046,AH!$P$7+2543))),NA()),NA())</ns0:f>
        <ns0:v/>
      </ns0:c>
      <ns0:c r="H2548">
        <ns0:f>IFERROR(IF(AND(AH!$E$4="Bloomberg",AH!$P$10=1,ISNUMBER($A2548),$A2548&lt;=AH!$P$17),AH!$P$7-1+MATCH($A2548,INDEX('AH History'!$A$1:$A$18046,AH!$P$7):INDEX('AH History'!$A$1:$A$18046,AH!$P$7+AH!$P$8-1),0),0),0)</ns0:f>
        <ns0:v/>
      </ns0:c>
      <ns0:c r="I2548">
        <ns0:f>IF($H2548=0,0,IFERROR(IF(AND(ABS($C2548-INDEX('AH History'!$B$1:$B$18046,$H2548))&lt;=MAX(0.005,ABS(INDEX('AH History'!$B$1:$B$18046,$H2548))*0.00005),ABS($D2548-INDEX('AH History'!$C$1:$C$18046,$H2548))&lt;=MAX(0.005,ABS(INDEX('AH History'!$C$1:$C$18046,$H2548))*0.00005),ABS($E2548-INDEX('AH History'!$D$1:$D$18046,$H2548))&lt;=0.00005,$F2548=INDEX('AH History'!$E$1:$E$18046,$H2548),$G2548=INDEX('AH History'!$F$1:$F$18046,$H2548)),1,-1),-1))</ns0:f>
        <ns0:v/>
      </ns0:c>
    </ns0:row>
    <ns0:row r="2549">
      <ns0:c r="A2549" s="215">
        <ns0:f>IF(OR(AH!$P$3=0,2544+1&gt;AH!$P$11,AND(AH!$E$4&lt;&gt;"Stored",AH!$P$10&lt;&gt;1)),"",IFERROR(IF(AND(AH!$P$21=1,2544+1=AH!$P$11),TODAY(),IF(AH!$P$10=1,INDEX('Live History'!$A$5:$A$3004,AH!$P$13+2544),INDEX('AH History'!$A$1:$A$18046,AH!$P$7+2544))),""))</ns0:f>
        <ns0:v/>
      </ns0:c>
      <ns0:c r="B2549" s="219">
        <ns0:f>IFERROR(IF(AND(AH!$P$9&lt;&gt;1,$C2549&gt;0,$D2549&gt;0,$E2549&gt;0,$F2549&gt;0,$G2549&gt;0,$F2549&lt;=$A2549,$G2549&lt;=$A2549,$A2549-$F2549&lt;=10,$A2549-$G2549&lt;=5),$D2549*$E2549/$C2549-1,NA()),NA())</ns0:f>
        <ns0:v/>
      </ns0:c>
      <ns0:c r="C2549">
        <ns0:f>IFERROR(IF(ISNUMBER($A2549),IF(AND(AH!$P$10=1,AH!$P$12=1,$A2549=TODAY()),AH!$P$19,IF(AH!$P$10=1,INDEX('Live History'!$B$5:$B$3004,AH!$P$13+2544),INDEX('AH History'!$B$1:$B$18046,AH!$P$7+2544))),NA()),NA())</ns0:f>
        <ns0:v/>
      </ns0:c>
      <ns0:c r="D2549">
        <ns0:f>IFERROR(IF(ISNUMBER($A2549),IF(AND(AH!$P$10=1,AH!$P$12=1,$A2549=TODAY()),AH!$P$18,IF(AH!$P$10=1,INDEX('Live History'!$E$5:$E$3004,MATCH($A2549,'Live History'!$D$5:$D$3004,1)),INDEX('AH History'!$C$1:$C$18046,AH!$P$7+2544))),NA()),NA())</ns0:f>
        <ns0:v/>
      </ns0:c>
      <ns0:c r="E2549">
        <ns0:f>IFERROR(IF(ISNUMBER($A2549),IF(AND(AH!$P$10=1,AH!$P$12=1,$A2549=TODAY()),AH!$P$20,IF(AH!$P$10=1,INDEX('Live History'!$H$5:$H$3004,MATCH($A2549,'Live History'!$G$5:$G$3004,1)),INDEX('AH History'!$D$1:$D$18046,AH!$P$7+2544))),NA()),NA())</ns0:f>
        <ns0:v/>
      </ns0:c>
      <ns0:c r="F2549">
        <ns0:f>IFERROR(IF(ISNUMBER($A2549),IF(AND(AH!$P$10=1,AH!$P$12=1,$A2549=TODAY()),IF(AND(AH!$P$10=1,AH!$P$12=1,$A2549=TODAY()),TODAY(),NA()),IF(AH!$P$10=1,INDEX('Live History'!$D$5:$D$3004,MATCH($A2549,'Live History'!$D$5:$D$3004,1)),INDEX('AH History'!$E$1:$E$18046,AH!$P$7+2544))),NA()),NA())</ns0:f>
        <ns0:v/>
      </ns0:c>
      <ns0:c r="G2549">
        <ns0:f>IFERROR(IF(ISNUMBER($A2549),IF(AND(AH!$P$10=1,AH!$P$12=1,$A2549=TODAY()),IF(AND(AH!$P$10=1,AH!$P$12=1,$A2549=TODAY()),TODAY(),NA()),IF(AH!$P$10=1,INDEX('Live History'!$G$5:$G$3004,MATCH($A2549,'Live History'!$G$5:$G$3004,1)),INDEX('AH History'!$F$1:$F$18046,AH!$P$7+2544))),NA()),NA())</ns0:f>
        <ns0:v/>
      </ns0:c>
      <ns0:c r="H2549">
        <ns0:f>IFERROR(IF(AND(AH!$E$4="Bloomberg",AH!$P$10=1,ISNUMBER($A2549),$A2549&lt;=AH!$P$17),AH!$P$7-1+MATCH($A2549,INDEX('AH History'!$A$1:$A$18046,AH!$P$7):INDEX('AH History'!$A$1:$A$18046,AH!$P$7+AH!$P$8-1),0),0),0)</ns0:f>
        <ns0:v/>
      </ns0:c>
      <ns0:c r="I2549">
        <ns0:f>IF($H2549=0,0,IFERROR(IF(AND(ABS($C2549-INDEX('AH History'!$B$1:$B$18046,$H2549))&lt;=MAX(0.005,ABS(INDEX('AH History'!$B$1:$B$18046,$H2549))*0.00005),ABS($D2549-INDEX('AH History'!$C$1:$C$18046,$H2549))&lt;=MAX(0.005,ABS(INDEX('AH History'!$C$1:$C$18046,$H2549))*0.00005),ABS($E2549-INDEX('AH History'!$D$1:$D$18046,$H2549))&lt;=0.00005,$F2549=INDEX('AH History'!$E$1:$E$18046,$H2549),$G2549=INDEX('AH History'!$F$1:$F$18046,$H2549)),1,-1),-1))</ns0:f>
        <ns0:v/>
      </ns0:c>
    </ns0:row>
    <ns0:row r="2550">
      <ns0:c r="A2550" s="215">
        <ns0:f>IF(OR(AH!$P$3=0,2545+1&gt;AH!$P$11,AND(AH!$E$4&lt;&gt;"Stored",AH!$P$10&lt;&gt;1)),"",IFERROR(IF(AND(AH!$P$21=1,2545+1=AH!$P$11),TODAY(),IF(AH!$P$10=1,INDEX('Live History'!$A$5:$A$3004,AH!$P$13+2545),INDEX('AH History'!$A$1:$A$18046,AH!$P$7+2545))),""))</ns0:f>
        <ns0:v/>
      </ns0:c>
      <ns0:c r="B2550" s="219">
        <ns0:f>IFERROR(IF(AND(AH!$P$9&lt;&gt;1,$C2550&gt;0,$D2550&gt;0,$E2550&gt;0,$F2550&gt;0,$G2550&gt;0,$F2550&lt;=$A2550,$G2550&lt;=$A2550,$A2550-$F2550&lt;=10,$A2550-$G2550&lt;=5),$D2550*$E2550/$C2550-1,NA()),NA())</ns0:f>
        <ns0:v/>
      </ns0:c>
      <ns0:c r="C2550">
        <ns0:f>IFERROR(IF(ISNUMBER($A2550),IF(AND(AH!$P$10=1,AH!$P$12=1,$A2550=TODAY()),AH!$P$19,IF(AH!$P$10=1,INDEX('Live History'!$B$5:$B$3004,AH!$P$13+2545),INDEX('AH History'!$B$1:$B$18046,AH!$P$7+2545))),NA()),NA())</ns0:f>
        <ns0:v/>
      </ns0:c>
      <ns0:c r="D2550">
        <ns0:f>IFERROR(IF(ISNUMBER($A2550),IF(AND(AH!$P$10=1,AH!$P$12=1,$A2550=TODAY()),AH!$P$18,IF(AH!$P$10=1,INDEX('Live History'!$E$5:$E$3004,MATCH($A2550,'Live History'!$D$5:$D$3004,1)),INDEX('AH History'!$C$1:$C$18046,AH!$P$7+2545))),NA()),NA())</ns0:f>
        <ns0:v/>
      </ns0:c>
      <ns0:c r="E2550">
        <ns0:f>IFERROR(IF(ISNUMBER($A2550),IF(AND(AH!$P$10=1,AH!$P$12=1,$A2550=TODAY()),AH!$P$20,IF(AH!$P$10=1,INDEX('Live History'!$H$5:$H$3004,MATCH($A2550,'Live History'!$G$5:$G$3004,1)),INDEX('AH History'!$D$1:$D$18046,AH!$P$7+2545))),NA()),NA())</ns0:f>
        <ns0:v/>
      </ns0:c>
      <ns0:c r="F2550">
        <ns0:f>IFERROR(IF(ISNUMBER($A2550),IF(AND(AH!$P$10=1,AH!$P$12=1,$A2550=TODAY()),IF(AND(AH!$P$10=1,AH!$P$12=1,$A2550=TODAY()),TODAY(),NA()),IF(AH!$P$10=1,INDEX('Live History'!$D$5:$D$3004,MATCH($A2550,'Live History'!$D$5:$D$3004,1)),INDEX('AH History'!$E$1:$E$18046,AH!$P$7+2545))),NA()),NA())</ns0:f>
        <ns0:v/>
      </ns0:c>
      <ns0:c r="G2550">
        <ns0:f>IFERROR(IF(ISNUMBER($A2550),IF(AND(AH!$P$10=1,AH!$P$12=1,$A2550=TODAY()),IF(AND(AH!$P$10=1,AH!$P$12=1,$A2550=TODAY()),TODAY(),NA()),IF(AH!$P$10=1,INDEX('Live History'!$G$5:$G$3004,MATCH($A2550,'Live History'!$G$5:$G$3004,1)),INDEX('AH History'!$F$1:$F$18046,AH!$P$7+2545))),NA()),NA())</ns0:f>
        <ns0:v/>
      </ns0:c>
      <ns0:c r="H2550">
        <ns0:f>IFERROR(IF(AND(AH!$E$4="Bloomberg",AH!$P$10=1,ISNUMBER($A2550),$A2550&lt;=AH!$P$17),AH!$P$7-1+MATCH($A2550,INDEX('AH History'!$A$1:$A$18046,AH!$P$7):INDEX('AH History'!$A$1:$A$18046,AH!$P$7+AH!$P$8-1),0),0),0)</ns0:f>
        <ns0:v/>
      </ns0:c>
      <ns0:c r="I2550">
        <ns0:f>IF($H2550=0,0,IFERROR(IF(AND(ABS($C2550-INDEX('AH History'!$B$1:$B$18046,$H2550))&lt;=MAX(0.005,ABS(INDEX('AH History'!$B$1:$B$18046,$H2550))*0.00005),ABS($D2550-INDEX('AH History'!$C$1:$C$18046,$H2550))&lt;=MAX(0.005,ABS(INDEX('AH History'!$C$1:$C$18046,$H2550))*0.00005),ABS($E2550-INDEX('AH History'!$D$1:$D$18046,$H2550))&lt;=0.00005,$F2550=INDEX('AH History'!$E$1:$E$18046,$H2550),$G2550=INDEX('AH History'!$F$1:$F$18046,$H2550)),1,-1),-1))</ns0:f>
        <ns0:v/>
      </ns0:c>
    </ns0:row>
    <ns0:row r="2551">
      <ns0:c r="A2551" s="215">
        <ns0:f>IF(OR(AH!$P$3=0,2546+1&gt;AH!$P$11,AND(AH!$E$4&lt;&gt;"Stored",AH!$P$10&lt;&gt;1)),"",IFERROR(IF(AND(AH!$P$21=1,2546+1=AH!$P$11),TODAY(),IF(AH!$P$10=1,INDEX('Live History'!$A$5:$A$3004,AH!$P$13+2546),INDEX('AH History'!$A$1:$A$18046,AH!$P$7+2546))),""))</ns0:f>
        <ns0:v/>
      </ns0:c>
      <ns0:c r="B2551" s="219">
        <ns0:f>IFERROR(IF(AND(AH!$P$9&lt;&gt;1,$C2551&gt;0,$D2551&gt;0,$E2551&gt;0,$F2551&gt;0,$G2551&gt;0,$F2551&lt;=$A2551,$G2551&lt;=$A2551,$A2551-$F2551&lt;=10,$A2551-$G2551&lt;=5),$D2551*$E2551/$C2551-1,NA()),NA())</ns0:f>
        <ns0:v/>
      </ns0:c>
      <ns0:c r="C2551">
        <ns0:f>IFERROR(IF(ISNUMBER($A2551),IF(AND(AH!$P$10=1,AH!$P$12=1,$A2551=TODAY()),AH!$P$19,IF(AH!$P$10=1,INDEX('Live History'!$B$5:$B$3004,AH!$P$13+2546),INDEX('AH History'!$B$1:$B$18046,AH!$P$7+2546))),NA()),NA())</ns0:f>
        <ns0:v/>
      </ns0:c>
      <ns0:c r="D2551">
        <ns0:f>IFERROR(IF(ISNUMBER($A2551),IF(AND(AH!$P$10=1,AH!$P$12=1,$A2551=TODAY()),AH!$P$18,IF(AH!$P$10=1,INDEX('Live History'!$E$5:$E$3004,MATCH($A2551,'Live History'!$D$5:$D$3004,1)),INDEX('AH History'!$C$1:$C$18046,AH!$P$7+2546))),NA()),NA())</ns0:f>
        <ns0:v/>
      </ns0:c>
      <ns0:c r="E2551">
        <ns0:f>IFERROR(IF(ISNUMBER($A2551),IF(AND(AH!$P$10=1,AH!$P$12=1,$A2551=TODAY()),AH!$P$20,IF(AH!$P$10=1,INDEX('Live History'!$H$5:$H$3004,MATCH($A2551,'Live History'!$G$5:$G$3004,1)),INDEX('AH History'!$D$1:$D$18046,AH!$P$7+2546))),NA()),NA())</ns0:f>
        <ns0:v/>
      </ns0:c>
      <ns0:c r="F2551">
        <ns0:f>IFERROR(IF(ISNUMBER($A2551),IF(AND(AH!$P$10=1,AH!$P$12=1,$A2551=TODAY()),IF(AND(AH!$P$10=1,AH!$P$12=1,$A2551=TODAY()),TODAY(),NA()),IF(AH!$P$10=1,INDEX('Live History'!$D$5:$D$3004,MATCH($A2551,'Live History'!$D$5:$D$3004,1)),INDEX('AH History'!$E$1:$E$18046,AH!$P$7+2546))),NA()),NA())</ns0:f>
        <ns0:v/>
      </ns0:c>
      <ns0:c r="G2551">
        <ns0:f>IFERROR(IF(ISNUMBER($A2551),IF(AND(AH!$P$10=1,AH!$P$12=1,$A2551=TODAY()),IF(AND(AH!$P$10=1,AH!$P$12=1,$A2551=TODAY()),TODAY(),NA()),IF(AH!$P$10=1,INDEX('Live History'!$G$5:$G$3004,MATCH($A2551,'Live History'!$G$5:$G$3004,1)),INDEX('AH History'!$F$1:$F$18046,AH!$P$7+2546))),NA()),NA())</ns0:f>
        <ns0:v/>
      </ns0:c>
      <ns0:c r="H2551">
        <ns0:f>IFERROR(IF(AND(AH!$E$4="Bloomberg",AH!$P$10=1,ISNUMBER($A2551),$A2551&lt;=AH!$P$17),AH!$P$7-1+MATCH($A2551,INDEX('AH History'!$A$1:$A$18046,AH!$P$7):INDEX('AH History'!$A$1:$A$18046,AH!$P$7+AH!$P$8-1),0),0),0)</ns0:f>
        <ns0:v/>
      </ns0:c>
      <ns0:c r="I2551">
        <ns0:f>IF($H2551=0,0,IFERROR(IF(AND(ABS($C2551-INDEX('AH History'!$B$1:$B$18046,$H2551))&lt;=MAX(0.005,ABS(INDEX('AH History'!$B$1:$B$18046,$H2551))*0.00005),ABS($D2551-INDEX('AH History'!$C$1:$C$18046,$H2551))&lt;=MAX(0.005,ABS(INDEX('AH History'!$C$1:$C$18046,$H2551))*0.00005),ABS($E2551-INDEX('AH History'!$D$1:$D$18046,$H2551))&lt;=0.00005,$F2551=INDEX('AH History'!$E$1:$E$18046,$H2551),$G2551=INDEX('AH History'!$F$1:$F$18046,$H2551)),1,-1),-1))</ns0:f>
        <ns0:v/>
      </ns0:c>
    </ns0:row>
    <ns0:row r="2552">
      <ns0:c r="A2552" s="215">
        <ns0:f>IF(OR(AH!$P$3=0,2547+1&gt;AH!$P$11,AND(AH!$E$4&lt;&gt;"Stored",AH!$P$10&lt;&gt;1)),"",IFERROR(IF(AND(AH!$P$21=1,2547+1=AH!$P$11),TODAY(),IF(AH!$P$10=1,INDEX('Live History'!$A$5:$A$3004,AH!$P$13+2547),INDEX('AH History'!$A$1:$A$18046,AH!$P$7+2547))),""))</ns0:f>
        <ns0:v/>
      </ns0:c>
      <ns0:c r="B2552" s="219">
        <ns0:f>IFERROR(IF(AND(AH!$P$9&lt;&gt;1,$C2552&gt;0,$D2552&gt;0,$E2552&gt;0,$F2552&gt;0,$G2552&gt;0,$F2552&lt;=$A2552,$G2552&lt;=$A2552,$A2552-$F2552&lt;=10,$A2552-$G2552&lt;=5),$D2552*$E2552/$C2552-1,NA()),NA())</ns0:f>
        <ns0:v/>
      </ns0:c>
      <ns0:c r="C2552">
        <ns0:f>IFERROR(IF(ISNUMBER($A2552),IF(AND(AH!$P$10=1,AH!$P$12=1,$A2552=TODAY()),AH!$P$19,IF(AH!$P$10=1,INDEX('Live History'!$B$5:$B$3004,AH!$P$13+2547),INDEX('AH History'!$B$1:$B$18046,AH!$P$7+2547))),NA()),NA())</ns0:f>
        <ns0:v/>
      </ns0:c>
      <ns0:c r="D2552">
        <ns0:f>IFERROR(IF(ISNUMBER($A2552),IF(AND(AH!$P$10=1,AH!$P$12=1,$A2552=TODAY()),AH!$P$18,IF(AH!$P$10=1,INDEX('Live History'!$E$5:$E$3004,MATCH($A2552,'Live History'!$D$5:$D$3004,1)),INDEX('AH History'!$C$1:$C$18046,AH!$P$7+2547))),NA()),NA())</ns0:f>
        <ns0:v/>
      </ns0:c>
      <ns0:c r="E2552">
        <ns0:f>IFERROR(IF(ISNUMBER($A2552),IF(AND(AH!$P$10=1,AH!$P$12=1,$A2552=TODAY()),AH!$P$20,IF(AH!$P$10=1,INDEX('Live History'!$H$5:$H$3004,MATCH($A2552,'Live History'!$G$5:$G$3004,1)),INDEX('AH History'!$D$1:$D$18046,AH!$P$7+2547))),NA()),NA())</ns0:f>
        <ns0:v/>
      </ns0:c>
      <ns0:c r="F2552">
        <ns0:f>IFERROR(IF(ISNUMBER($A2552),IF(AND(AH!$P$10=1,AH!$P$12=1,$A2552=TODAY()),IF(AND(AH!$P$10=1,AH!$P$12=1,$A2552=TODAY()),TODAY(),NA()),IF(AH!$P$10=1,INDEX('Live History'!$D$5:$D$3004,MATCH($A2552,'Live History'!$D$5:$D$3004,1)),INDEX('AH History'!$E$1:$E$18046,AH!$P$7+2547))),NA()),NA())</ns0:f>
        <ns0:v/>
      </ns0:c>
      <ns0:c r="G2552">
        <ns0:f>IFERROR(IF(ISNUMBER($A2552),IF(AND(AH!$P$10=1,AH!$P$12=1,$A2552=TODAY()),IF(AND(AH!$P$10=1,AH!$P$12=1,$A2552=TODAY()),TODAY(),NA()),IF(AH!$P$10=1,INDEX('Live History'!$G$5:$G$3004,MATCH($A2552,'Live History'!$G$5:$G$3004,1)),INDEX('AH History'!$F$1:$F$18046,AH!$P$7+2547))),NA()),NA())</ns0:f>
        <ns0:v/>
      </ns0:c>
      <ns0:c r="H2552">
        <ns0:f>IFERROR(IF(AND(AH!$E$4="Bloomberg",AH!$P$10=1,ISNUMBER($A2552),$A2552&lt;=AH!$P$17),AH!$P$7-1+MATCH($A2552,INDEX('AH History'!$A$1:$A$18046,AH!$P$7):INDEX('AH History'!$A$1:$A$18046,AH!$P$7+AH!$P$8-1),0),0),0)</ns0:f>
        <ns0:v/>
      </ns0:c>
      <ns0:c r="I2552">
        <ns0:f>IF($H2552=0,0,IFERROR(IF(AND(ABS($C2552-INDEX('AH History'!$B$1:$B$18046,$H2552))&lt;=MAX(0.005,ABS(INDEX('AH History'!$B$1:$B$18046,$H2552))*0.00005),ABS($D2552-INDEX('AH History'!$C$1:$C$18046,$H2552))&lt;=MAX(0.005,ABS(INDEX('AH History'!$C$1:$C$18046,$H2552))*0.00005),ABS($E2552-INDEX('AH History'!$D$1:$D$18046,$H2552))&lt;=0.00005,$F2552=INDEX('AH History'!$E$1:$E$18046,$H2552),$G2552=INDEX('AH History'!$F$1:$F$18046,$H2552)),1,-1),-1))</ns0:f>
        <ns0:v/>
      </ns0:c>
    </ns0:row>
    <ns0:row r="2553">
      <ns0:c r="A2553" s="215">
        <ns0:f>IF(OR(AH!$P$3=0,2548+1&gt;AH!$P$11,AND(AH!$E$4&lt;&gt;"Stored",AH!$P$10&lt;&gt;1)),"",IFERROR(IF(AND(AH!$P$21=1,2548+1=AH!$P$11),TODAY(),IF(AH!$P$10=1,INDEX('Live History'!$A$5:$A$3004,AH!$P$13+2548),INDEX('AH History'!$A$1:$A$18046,AH!$P$7+2548))),""))</ns0:f>
        <ns0:v/>
      </ns0:c>
      <ns0:c r="B2553" s="219">
        <ns0:f>IFERROR(IF(AND(AH!$P$9&lt;&gt;1,$C2553&gt;0,$D2553&gt;0,$E2553&gt;0,$F2553&gt;0,$G2553&gt;0,$F2553&lt;=$A2553,$G2553&lt;=$A2553,$A2553-$F2553&lt;=10,$A2553-$G2553&lt;=5),$D2553*$E2553/$C2553-1,NA()),NA())</ns0:f>
        <ns0:v/>
      </ns0:c>
      <ns0:c r="C2553">
        <ns0:f>IFERROR(IF(ISNUMBER($A2553),IF(AND(AH!$P$10=1,AH!$P$12=1,$A2553=TODAY()),AH!$P$19,IF(AH!$P$10=1,INDEX('Live History'!$B$5:$B$3004,AH!$P$13+2548),INDEX('AH History'!$B$1:$B$18046,AH!$P$7+2548))),NA()),NA())</ns0:f>
        <ns0:v/>
      </ns0:c>
      <ns0:c r="D2553">
        <ns0:f>IFERROR(IF(ISNUMBER($A2553),IF(AND(AH!$P$10=1,AH!$P$12=1,$A2553=TODAY()),AH!$P$18,IF(AH!$P$10=1,INDEX('Live History'!$E$5:$E$3004,MATCH($A2553,'Live History'!$D$5:$D$3004,1)),INDEX('AH History'!$C$1:$C$18046,AH!$P$7+2548))),NA()),NA())</ns0:f>
        <ns0:v/>
      </ns0:c>
      <ns0:c r="E2553">
        <ns0:f>IFERROR(IF(ISNUMBER($A2553),IF(AND(AH!$P$10=1,AH!$P$12=1,$A2553=TODAY()),AH!$P$20,IF(AH!$P$10=1,INDEX('Live History'!$H$5:$H$3004,MATCH($A2553,'Live History'!$G$5:$G$3004,1)),INDEX('AH History'!$D$1:$D$18046,AH!$P$7+2548))),NA()),NA())</ns0:f>
        <ns0:v/>
      </ns0:c>
      <ns0:c r="F2553">
        <ns0:f>IFERROR(IF(ISNUMBER($A2553),IF(AND(AH!$P$10=1,AH!$P$12=1,$A2553=TODAY()),IF(AND(AH!$P$10=1,AH!$P$12=1,$A2553=TODAY()),TODAY(),NA()),IF(AH!$P$10=1,INDEX('Live History'!$D$5:$D$3004,MATCH($A2553,'Live History'!$D$5:$D$3004,1)),INDEX('AH History'!$E$1:$E$18046,AH!$P$7+2548))),NA()),NA())</ns0:f>
        <ns0:v/>
      </ns0:c>
      <ns0:c r="G2553">
        <ns0:f>IFERROR(IF(ISNUMBER($A2553),IF(AND(AH!$P$10=1,AH!$P$12=1,$A2553=TODAY()),IF(AND(AH!$P$10=1,AH!$P$12=1,$A2553=TODAY()),TODAY(),NA()),IF(AH!$P$10=1,INDEX('Live History'!$G$5:$G$3004,MATCH($A2553,'Live History'!$G$5:$G$3004,1)),INDEX('AH History'!$F$1:$F$18046,AH!$P$7+2548))),NA()),NA())</ns0:f>
        <ns0:v/>
      </ns0:c>
      <ns0:c r="H2553">
        <ns0:f>IFERROR(IF(AND(AH!$E$4="Bloomberg",AH!$P$10=1,ISNUMBER($A2553),$A2553&lt;=AH!$P$17),AH!$P$7-1+MATCH($A2553,INDEX('AH History'!$A$1:$A$18046,AH!$P$7):INDEX('AH History'!$A$1:$A$18046,AH!$P$7+AH!$P$8-1),0),0),0)</ns0:f>
        <ns0:v/>
      </ns0:c>
      <ns0:c r="I2553">
        <ns0:f>IF($H2553=0,0,IFERROR(IF(AND(ABS($C2553-INDEX('AH History'!$B$1:$B$18046,$H2553))&lt;=MAX(0.005,ABS(INDEX('AH History'!$B$1:$B$18046,$H2553))*0.00005),ABS($D2553-INDEX('AH History'!$C$1:$C$18046,$H2553))&lt;=MAX(0.005,ABS(INDEX('AH History'!$C$1:$C$18046,$H2553))*0.00005),ABS($E2553-INDEX('AH History'!$D$1:$D$18046,$H2553))&lt;=0.00005,$F2553=INDEX('AH History'!$E$1:$E$18046,$H2553),$G2553=INDEX('AH History'!$F$1:$F$18046,$H2553)),1,-1),-1))</ns0:f>
        <ns0:v/>
      </ns0:c>
    </ns0:row>
    <ns0:row r="2554">
      <ns0:c r="A2554" s="215">
        <ns0:f>IF(OR(AH!$P$3=0,2549+1&gt;AH!$P$11,AND(AH!$E$4&lt;&gt;"Stored",AH!$P$10&lt;&gt;1)),"",IFERROR(IF(AND(AH!$P$21=1,2549+1=AH!$P$11),TODAY(),IF(AH!$P$10=1,INDEX('Live History'!$A$5:$A$3004,AH!$P$13+2549),INDEX('AH History'!$A$1:$A$18046,AH!$P$7+2549))),""))</ns0:f>
        <ns0:v/>
      </ns0:c>
      <ns0:c r="B2554" s="219">
        <ns0:f>IFERROR(IF(AND(AH!$P$9&lt;&gt;1,$C2554&gt;0,$D2554&gt;0,$E2554&gt;0,$F2554&gt;0,$G2554&gt;0,$F2554&lt;=$A2554,$G2554&lt;=$A2554,$A2554-$F2554&lt;=10,$A2554-$G2554&lt;=5),$D2554*$E2554/$C2554-1,NA()),NA())</ns0:f>
        <ns0:v/>
      </ns0:c>
      <ns0:c r="C2554">
        <ns0:f>IFERROR(IF(ISNUMBER($A2554),IF(AND(AH!$P$10=1,AH!$P$12=1,$A2554=TODAY()),AH!$P$19,IF(AH!$P$10=1,INDEX('Live History'!$B$5:$B$3004,AH!$P$13+2549),INDEX('AH History'!$B$1:$B$18046,AH!$P$7+2549))),NA()),NA())</ns0:f>
        <ns0:v/>
      </ns0:c>
      <ns0:c r="D2554">
        <ns0:f>IFERROR(IF(ISNUMBER($A2554),IF(AND(AH!$P$10=1,AH!$P$12=1,$A2554=TODAY()),AH!$P$18,IF(AH!$P$10=1,INDEX('Live History'!$E$5:$E$3004,MATCH($A2554,'Live History'!$D$5:$D$3004,1)),INDEX('AH History'!$C$1:$C$18046,AH!$P$7+2549))),NA()),NA())</ns0:f>
        <ns0:v/>
      </ns0:c>
      <ns0:c r="E2554">
        <ns0:f>IFERROR(IF(ISNUMBER($A2554),IF(AND(AH!$P$10=1,AH!$P$12=1,$A2554=TODAY()),AH!$P$20,IF(AH!$P$10=1,INDEX('Live History'!$H$5:$H$3004,MATCH($A2554,'Live History'!$G$5:$G$3004,1)),INDEX('AH History'!$D$1:$D$18046,AH!$P$7+2549))),NA()),NA())</ns0:f>
        <ns0:v/>
      </ns0:c>
      <ns0:c r="F2554">
        <ns0:f>IFERROR(IF(ISNUMBER($A2554),IF(AND(AH!$P$10=1,AH!$P$12=1,$A2554=TODAY()),IF(AND(AH!$P$10=1,AH!$P$12=1,$A2554=TODAY()),TODAY(),NA()),IF(AH!$P$10=1,INDEX('Live History'!$D$5:$D$3004,MATCH($A2554,'Live History'!$D$5:$D$3004,1)),INDEX('AH History'!$E$1:$E$18046,AH!$P$7+2549))),NA()),NA())</ns0:f>
        <ns0:v/>
      </ns0:c>
      <ns0:c r="G2554">
        <ns0:f>IFERROR(IF(ISNUMBER($A2554),IF(AND(AH!$P$10=1,AH!$P$12=1,$A2554=TODAY()),IF(AND(AH!$P$10=1,AH!$P$12=1,$A2554=TODAY()),TODAY(),NA()),IF(AH!$P$10=1,INDEX('Live History'!$G$5:$G$3004,MATCH($A2554,'Live History'!$G$5:$G$3004,1)),INDEX('AH History'!$F$1:$F$18046,AH!$P$7+2549))),NA()),NA())</ns0:f>
        <ns0:v/>
      </ns0:c>
      <ns0:c r="H2554">
        <ns0:f>IFERROR(IF(AND(AH!$E$4="Bloomberg",AH!$P$10=1,ISNUMBER($A2554),$A2554&lt;=AH!$P$17),AH!$P$7-1+MATCH($A2554,INDEX('AH History'!$A$1:$A$18046,AH!$P$7):INDEX('AH History'!$A$1:$A$18046,AH!$P$7+AH!$P$8-1),0),0),0)</ns0:f>
        <ns0:v/>
      </ns0:c>
      <ns0:c r="I2554">
        <ns0:f>IF($H2554=0,0,IFERROR(IF(AND(ABS($C2554-INDEX('AH History'!$B$1:$B$18046,$H2554))&lt;=MAX(0.005,ABS(INDEX('AH History'!$B$1:$B$18046,$H2554))*0.00005),ABS($D2554-INDEX('AH History'!$C$1:$C$18046,$H2554))&lt;=MAX(0.005,ABS(INDEX('AH History'!$C$1:$C$18046,$H2554))*0.00005),ABS($E2554-INDEX('AH History'!$D$1:$D$18046,$H2554))&lt;=0.00005,$F2554=INDEX('AH History'!$E$1:$E$18046,$H2554),$G2554=INDEX('AH History'!$F$1:$F$18046,$H2554)),1,-1),-1))</ns0:f>
        <ns0:v/>
      </ns0:c>
    </ns0:row>
    <ns0:row r="2555">
      <ns0:c r="A2555" s="215">
        <ns0:f>IF(OR(AH!$P$3=0,2550+1&gt;AH!$P$11,AND(AH!$E$4&lt;&gt;"Stored",AH!$P$10&lt;&gt;1)),"",IFERROR(IF(AND(AH!$P$21=1,2550+1=AH!$P$11),TODAY(),IF(AH!$P$10=1,INDEX('Live History'!$A$5:$A$3004,AH!$P$13+2550),INDEX('AH History'!$A$1:$A$18046,AH!$P$7+2550))),""))</ns0:f>
        <ns0:v/>
      </ns0:c>
      <ns0:c r="B2555" s="219">
        <ns0:f>IFERROR(IF(AND(AH!$P$9&lt;&gt;1,$C2555&gt;0,$D2555&gt;0,$E2555&gt;0,$F2555&gt;0,$G2555&gt;0,$F2555&lt;=$A2555,$G2555&lt;=$A2555,$A2555-$F2555&lt;=10,$A2555-$G2555&lt;=5),$D2555*$E2555/$C2555-1,NA()),NA())</ns0:f>
        <ns0:v/>
      </ns0:c>
      <ns0:c r="C2555">
        <ns0:f>IFERROR(IF(ISNUMBER($A2555),IF(AND(AH!$P$10=1,AH!$P$12=1,$A2555=TODAY()),AH!$P$19,IF(AH!$P$10=1,INDEX('Live History'!$B$5:$B$3004,AH!$P$13+2550),INDEX('AH History'!$B$1:$B$18046,AH!$P$7+2550))),NA()),NA())</ns0:f>
        <ns0:v/>
      </ns0:c>
      <ns0:c r="D2555">
        <ns0:f>IFERROR(IF(ISNUMBER($A2555),IF(AND(AH!$P$10=1,AH!$P$12=1,$A2555=TODAY()),AH!$P$18,IF(AH!$P$10=1,INDEX('Live History'!$E$5:$E$3004,MATCH($A2555,'Live History'!$D$5:$D$3004,1)),INDEX('AH History'!$C$1:$C$18046,AH!$P$7+2550))),NA()),NA())</ns0:f>
        <ns0:v/>
      </ns0:c>
      <ns0:c r="E2555">
        <ns0:f>IFERROR(IF(ISNUMBER($A2555),IF(AND(AH!$P$10=1,AH!$P$12=1,$A2555=TODAY()),AH!$P$20,IF(AH!$P$10=1,INDEX('Live History'!$H$5:$H$3004,MATCH($A2555,'Live History'!$G$5:$G$3004,1)),INDEX('AH History'!$D$1:$D$18046,AH!$P$7+2550))),NA()),NA())</ns0:f>
        <ns0:v/>
      </ns0:c>
      <ns0:c r="F2555">
        <ns0:f>IFERROR(IF(ISNUMBER($A2555),IF(AND(AH!$P$10=1,AH!$P$12=1,$A2555=TODAY()),IF(AND(AH!$P$10=1,AH!$P$12=1,$A2555=TODAY()),TODAY(),NA()),IF(AH!$P$10=1,INDEX('Live History'!$D$5:$D$3004,MATCH($A2555,'Live History'!$D$5:$D$3004,1)),INDEX('AH History'!$E$1:$E$18046,AH!$P$7+2550))),NA()),NA())</ns0:f>
        <ns0:v/>
      </ns0:c>
      <ns0:c r="G2555">
        <ns0:f>IFERROR(IF(ISNUMBER($A2555),IF(AND(AH!$P$10=1,AH!$P$12=1,$A2555=TODAY()),IF(AND(AH!$P$10=1,AH!$P$12=1,$A2555=TODAY()),TODAY(),NA()),IF(AH!$P$10=1,INDEX('Live History'!$G$5:$G$3004,MATCH($A2555,'Live History'!$G$5:$G$3004,1)),INDEX('AH History'!$F$1:$F$18046,AH!$P$7+2550))),NA()),NA())</ns0:f>
        <ns0:v/>
      </ns0:c>
      <ns0:c r="H2555">
        <ns0:f>IFERROR(IF(AND(AH!$E$4="Bloomberg",AH!$P$10=1,ISNUMBER($A2555),$A2555&lt;=AH!$P$17),AH!$P$7-1+MATCH($A2555,INDEX('AH History'!$A$1:$A$18046,AH!$P$7):INDEX('AH History'!$A$1:$A$18046,AH!$P$7+AH!$P$8-1),0),0),0)</ns0:f>
        <ns0:v/>
      </ns0:c>
      <ns0:c r="I2555">
        <ns0:f>IF($H2555=0,0,IFERROR(IF(AND(ABS($C2555-INDEX('AH History'!$B$1:$B$18046,$H2555))&lt;=MAX(0.005,ABS(INDEX('AH History'!$B$1:$B$18046,$H2555))*0.00005),ABS($D2555-INDEX('AH History'!$C$1:$C$18046,$H2555))&lt;=MAX(0.005,ABS(INDEX('AH History'!$C$1:$C$18046,$H2555))*0.00005),ABS($E2555-INDEX('AH History'!$D$1:$D$18046,$H2555))&lt;=0.00005,$F2555=INDEX('AH History'!$E$1:$E$18046,$H2555),$G2555=INDEX('AH History'!$F$1:$F$18046,$H2555)),1,-1),-1))</ns0:f>
        <ns0:v/>
      </ns0:c>
    </ns0:row>
    <ns0:row r="2556">
      <ns0:c r="A2556" s="215">
        <ns0:f>IF(OR(AH!$P$3=0,2551+1&gt;AH!$P$11,AND(AH!$E$4&lt;&gt;"Stored",AH!$P$10&lt;&gt;1)),"",IFERROR(IF(AND(AH!$P$21=1,2551+1=AH!$P$11),TODAY(),IF(AH!$P$10=1,INDEX('Live History'!$A$5:$A$3004,AH!$P$13+2551),INDEX('AH History'!$A$1:$A$18046,AH!$P$7+2551))),""))</ns0:f>
        <ns0:v/>
      </ns0:c>
      <ns0:c r="B2556" s="219">
        <ns0:f>IFERROR(IF(AND(AH!$P$9&lt;&gt;1,$C2556&gt;0,$D2556&gt;0,$E2556&gt;0,$F2556&gt;0,$G2556&gt;0,$F2556&lt;=$A2556,$G2556&lt;=$A2556,$A2556-$F2556&lt;=10,$A2556-$G2556&lt;=5),$D2556*$E2556/$C2556-1,NA()),NA())</ns0:f>
        <ns0:v/>
      </ns0:c>
      <ns0:c r="C2556">
        <ns0:f>IFERROR(IF(ISNUMBER($A2556),IF(AND(AH!$P$10=1,AH!$P$12=1,$A2556=TODAY()),AH!$P$19,IF(AH!$P$10=1,INDEX('Live History'!$B$5:$B$3004,AH!$P$13+2551),INDEX('AH History'!$B$1:$B$18046,AH!$P$7+2551))),NA()),NA())</ns0:f>
        <ns0:v/>
      </ns0:c>
      <ns0:c r="D2556">
        <ns0:f>IFERROR(IF(ISNUMBER($A2556),IF(AND(AH!$P$10=1,AH!$P$12=1,$A2556=TODAY()),AH!$P$18,IF(AH!$P$10=1,INDEX('Live History'!$E$5:$E$3004,MATCH($A2556,'Live History'!$D$5:$D$3004,1)),INDEX('AH History'!$C$1:$C$18046,AH!$P$7+2551))),NA()),NA())</ns0:f>
        <ns0:v/>
      </ns0:c>
      <ns0:c r="E2556">
        <ns0:f>IFERROR(IF(ISNUMBER($A2556),IF(AND(AH!$P$10=1,AH!$P$12=1,$A2556=TODAY()),AH!$P$20,IF(AH!$P$10=1,INDEX('Live History'!$H$5:$H$3004,MATCH($A2556,'Live History'!$G$5:$G$3004,1)),INDEX('AH History'!$D$1:$D$18046,AH!$P$7+2551))),NA()),NA())</ns0:f>
        <ns0:v/>
      </ns0:c>
      <ns0:c r="F2556">
        <ns0:f>IFERROR(IF(ISNUMBER($A2556),IF(AND(AH!$P$10=1,AH!$P$12=1,$A2556=TODAY()),IF(AND(AH!$P$10=1,AH!$P$12=1,$A2556=TODAY()),TODAY(),NA()),IF(AH!$P$10=1,INDEX('Live History'!$D$5:$D$3004,MATCH($A2556,'Live History'!$D$5:$D$3004,1)),INDEX('AH History'!$E$1:$E$18046,AH!$P$7+2551))),NA()),NA())</ns0:f>
        <ns0:v/>
      </ns0:c>
      <ns0:c r="G2556">
        <ns0:f>IFERROR(IF(ISNUMBER($A2556),IF(AND(AH!$P$10=1,AH!$P$12=1,$A2556=TODAY()),IF(AND(AH!$P$10=1,AH!$P$12=1,$A2556=TODAY()),TODAY(),NA()),IF(AH!$P$10=1,INDEX('Live History'!$G$5:$G$3004,MATCH($A2556,'Live History'!$G$5:$G$3004,1)),INDEX('AH History'!$F$1:$F$18046,AH!$P$7+2551))),NA()),NA())</ns0:f>
        <ns0:v/>
      </ns0:c>
      <ns0:c r="H2556">
        <ns0:f>IFERROR(IF(AND(AH!$E$4="Bloomberg",AH!$P$10=1,ISNUMBER($A2556),$A2556&lt;=AH!$P$17),AH!$P$7-1+MATCH($A2556,INDEX('AH History'!$A$1:$A$18046,AH!$P$7):INDEX('AH History'!$A$1:$A$18046,AH!$P$7+AH!$P$8-1),0),0),0)</ns0:f>
        <ns0:v/>
      </ns0:c>
      <ns0:c r="I2556">
        <ns0:f>IF($H2556=0,0,IFERROR(IF(AND(ABS($C2556-INDEX('AH History'!$B$1:$B$18046,$H2556))&lt;=MAX(0.005,ABS(INDEX('AH History'!$B$1:$B$18046,$H2556))*0.00005),ABS($D2556-INDEX('AH History'!$C$1:$C$18046,$H2556))&lt;=MAX(0.005,ABS(INDEX('AH History'!$C$1:$C$18046,$H2556))*0.00005),ABS($E2556-INDEX('AH History'!$D$1:$D$18046,$H2556))&lt;=0.00005,$F2556=INDEX('AH History'!$E$1:$E$18046,$H2556),$G2556=INDEX('AH History'!$F$1:$F$18046,$H2556)),1,-1),-1))</ns0:f>
        <ns0:v/>
      </ns0:c>
    </ns0:row>
    <ns0:row r="2557">
      <ns0:c r="A2557" s="215">
        <ns0:f>IF(OR(AH!$P$3=0,2552+1&gt;AH!$P$11,AND(AH!$E$4&lt;&gt;"Stored",AH!$P$10&lt;&gt;1)),"",IFERROR(IF(AND(AH!$P$21=1,2552+1=AH!$P$11),TODAY(),IF(AH!$P$10=1,INDEX('Live History'!$A$5:$A$3004,AH!$P$13+2552),INDEX('AH History'!$A$1:$A$18046,AH!$P$7+2552))),""))</ns0:f>
        <ns0:v/>
      </ns0:c>
      <ns0:c r="B2557" s="219">
        <ns0:f>IFERROR(IF(AND(AH!$P$9&lt;&gt;1,$C2557&gt;0,$D2557&gt;0,$E2557&gt;0,$F2557&gt;0,$G2557&gt;0,$F2557&lt;=$A2557,$G2557&lt;=$A2557,$A2557-$F2557&lt;=10,$A2557-$G2557&lt;=5),$D2557*$E2557/$C2557-1,NA()),NA())</ns0:f>
        <ns0:v/>
      </ns0:c>
      <ns0:c r="C2557">
        <ns0:f>IFERROR(IF(ISNUMBER($A2557),IF(AND(AH!$P$10=1,AH!$P$12=1,$A2557=TODAY()),AH!$P$19,IF(AH!$P$10=1,INDEX('Live History'!$B$5:$B$3004,AH!$P$13+2552),INDEX('AH History'!$B$1:$B$18046,AH!$P$7+2552))),NA()),NA())</ns0:f>
        <ns0:v/>
      </ns0:c>
      <ns0:c r="D2557">
        <ns0:f>IFERROR(IF(ISNUMBER($A2557),IF(AND(AH!$P$10=1,AH!$P$12=1,$A2557=TODAY()),AH!$P$18,IF(AH!$P$10=1,INDEX('Live History'!$E$5:$E$3004,MATCH($A2557,'Live History'!$D$5:$D$3004,1)),INDEX('AH History'!$C$1:$C$18046,AH!$P$7+2552))),NA()),NA())</ns0:f>
        <ns0:v/>
      </ns0:c>
      <ns0:c r="E2557">
        <ns0:f>IFERROR(IF(ISNUMBER($A2557),IF(AND(AH!$P$10=1,AH!$P$12=1,$A2557=TODAY()),AH!$P$20,IF(AH!$P$10=1,INDEX('Live History'!$H$5:$H$3004,MATCH($A2557,'Live History'!$G$5:$G$3004,1)),INDEX('AH History'!$D$1:$D$18046,AH!$P$7+2552))),NA()),NA())</ns0:f>
        <ns0:v/>
      </ns0:c>
      <ns0:c r="F2557">
        <ns0:f>IFERROR(IF(ISNUMBER($A2557),IF(AND(AH!$P$10=1,AH!$P$12=1,$A2557=TODAY()),IF(AND(AH!$P$10=1,AH!$P$12=1,$A2557=TODAY()),TODAY(),NA()),IF(AH!$P$10=1,INDEX('Live History'!$D$5:$D$3004,MATCH($A2557,'Live History'!$D$5:$D$3004,1)),INDEX('AH History'!$E$1:$E$18046,AH!$P$7+2552))),NA()),NA())</ns0:f>
        <ns0:v/>
      </ns0:c>
      <ns0:c r="G2557">
        <ns0:f>IFERROR(IF(ISNUMBER($A2557),IF(AND(AH!$P$10=1,AH!$P$12=1,$A2557=TODAY()),IF(AND(AH!$P$10=1,AH!$P$12=1,$A2557=TODAY()),TODAY(),NA()),IF(AH!$P$10=1,INDEX('Live History'!$G$5:$G$3004,MATCH($A2557,'Live History'!$G$5:$G$3004,1)),INDEX('AH History'!$F$1:$F$18046,AH!$P$7+2552))),NA()),NA())</ns0:f>
        <ns0:v/>
      </ns0:c>
      <ns0:c r="H2557">
        <ns0:f>IFERROR(IF(AND(AH!$E$4="Bloomberg",AH!$P$10=1,ISNUMBER($A2557),$A2557&lt;=AH!$P$17),AH!$P$7-1+MATCH($A2557,INDEX('AH History'!$A$1:$A$18046,AH!$P$7):INDEX('AH History'!$A$1:$A$18046,AH!$P$7+AH!$P$8-1),0),0),0)</ns0:f>
        <ns0:v/>
      </ns0:c>
      <ns0:c r="I2557">
        <ns0:f>IF($H2557=0,0,IFERROR(IF(AND(ABS($C2557-INDEX('AH History'!$B$1:$B$18046,$H2557))&lt;=MAX(0.005,ABS(INDEX('AH History'!$B$1:$B$18046,$H2557))*0.00005),ABS($D2557-INDEX('AH History'!$C$1:$C$18046,$H2557))&lt;=MAX(0.005,ABS(INDEX('AH History'!$C$1:$C$18046,$H2557))*0.00005),ABS($E2557-INDEX('AH History'!$D$1:$D$18046,$H2557))&lt;=0.00005,$F2557=INDEX('AH History'!$E$1:$E$18046,$H2557),$G2557=INDEX('AH History'!$F$1:$F$18046,$H2557)),1,-1),-1))</ns0:f>
        <ns0:v/>
      </ns0:c>
    </ns0:row>
    <ns0:row r="2558">
      <ns0:c r="A2558" s="215">
        <ns0:f>IF(OR(AH!$P$3=0,2553+1&gt;AH!$P$11,AND(AH!$E$4&lt;&gt;"Stored",AH!$P$10&lt;&gt;1)),"",IFERROR(IF(AND(AH!$P$21=1,2553+1=AH!$P$11),TODAY(),IF(AH!$P$10=1,INDEX('Live History'!$A$5:$A$3004,AH!$P$13+2553),INDEX('AH History'!$A$1:$A$18046,AH!$P$7+2553))),""))</ns0:f>
        <ns0:v/>
      </ns0:c>
      <ns0:c r="B2558" s="219">
        <ns0:f>IFERROR(IF(AND(AH!$P$9&lt;&gt;1,$C2558&gt;0,$D2558&gt;0,$E2558&gt;0,$F2558&gt;0,$G2558&gt;0,$F2558&lt;=$A2558,$G2558&lt;=$A2558,$A2558-$F2558&lt;=10,$A2558-$G2558&lt;=5),$D2558*$E2558/$C2558-1,NA()),NA())</ns0:f>
        <ns0:v/>
      </ns0:c>
      <ns0:c r="C2558">
        <ns0:f>IFERROR(IF(ISNUMBER($A2558),IF(AND(AH!$P$10=1,AH!$P$12=1,$A2558=TODAY()),AH!$P$19,IF(AH!$P$10=1,INDEX('Live History'!$B$5:$B$3004,AH!$P$13+2553),INDEX('AH History'!$B$1:$B$18046,AH!$P$7+2553))),NA()),NA())</ns0:f>
        <ns0:v/>
      </ns0:c>
      <ns0:c r="D2558">
        <ns0:f>IFERROR(IF(ISNUMBER($A2558),IF(AND(AH!$P$10=1,AH!$P$12=1,$A2558=TODAY()),AH!$P$18,IF(AH!$P$10=1,INDEX('Live History'!$E$5:$E$3004,MATCH($A2558,'Live History'!$D$5:$D$3004,1)),INDEX('AH History'!$C$1:$C$18046,AH!$P$7+2553))),NA()),NA())</ns0:f>
        <ns0:v/>
      </ns0:c>
      <ns0:c r="E2558">
        <ns0:f>IFERROR(IF(ISNUMBER($A2558),IF(AND(AH!$P$10=1,AH!$P$12=1,$A2558=TODAY()),AH!$P$20,IF(AH!$P$10=1,INDEX('Live History'!$H$5:$H$3004,MATCH($A2558,'Live History'!$G$5:$G$3004,1)),INDEX('AH History'!$D$1:$D$18046,AH!$P$7+2553))),NA()),NA())</ns0:f>
        <ns0:v/>
      </ns0:c>
      <ns0:c r="F2558">
        <ns0:f>IFERROR(IF(ISNUMBER($A2558),IF(AND(AH!$P$10=1,AH!$P$12=1,$A2558=TODAY()),IF(AND(AH!$P$10=1,AH!$P$12=1,$A2558=TODAY()),TODAY(),NA()),IF(AH!$P$10=1,INDEX('Live History'!$D$5:$D$3004,MATCH($A2558,'Live History'!$D$5:$D$3004,1)),INDEX('AH History'!$E$1:$E$18046,AH!$P$7+2553))),NA()),NA())</ns0:f>
        <ns0:v/>
      </ns0:c>
      <ns0:c r="G2558">
        <ns0:f>IFERROR(IF(ISNUMBER($A2558),IF(AND(AH!$P$10=1,AH!$P$12=1,$A2558=TODAY()),IF(AND(AH!$P$10=1,AH!$P$12=1,$A2558=TODAY()),TODAY(),NA()),IF(AH!$P$10=1,INDEX('Live History'!$G$5:$G$3004,MATCH($A2558,'Live History'!$G$5:$G$3004,1)),INDEX('AH History'!$F$1:$F$18046,AH!$P$7+2553))),NA()),NA())</ns0:f>
        <ns0:v/>
      </ns0:c>
      <ns0:c r="H2558">
        <ns0:f>IFERROR(IF(AND(AH!$E$4="Bloomberg",AH!$P$10=1,ISNUMBER($A2558),$A2558&lt;=AH!$P$17),AH!$P$7-1+MATCH($A2558,INDEX('AH History'!$A$1:$A$18046,AH!$P$7):INDEX('AH History'!$A$1:$A$18046,AH!$P$7+AH!$P$8-1),0),0),0)</ns0:f>
        <ns0:v/>
      </ns0:c>
      <ns0:c r="I2558">
        <ns0:f>IF($H2558=0,0,IFERROR(IF(AND(ABS($C2558-INDEX('AH History'!$B$1:$B$18046,$H2558))&lt;=MAX(0.005,ABS(INDEX('AH History'!$B$1:$B$18046,$H2558))*0.00005),ABS($D2558-INDEX('AH History'!$C$1:$C$18046,$H2558))&lt;=MAX(0.005,ABS(INDEX('AH History'!$C$1:$C$18046,$H2558))*0.00005),ABS($E2558-INDEX('AH History'!$D$1:$D$18046,$H2558))&lt;=0.00005,$F2558=INDEX('AH History'!$E$1:$E$18046,$H2558),$G2558=INDEX('AH History'!$F$1:$F$18046,$H2558)),1,-1),-1))</ns0:f>
        <ns0:v/>
      </ns0:c>
    </ns0:row>
    <ns0:row r="2559">
      <ns0:c r="A2559" s="215">
        <ns0:f>IF(OR(AH!$P$3=0,2554+1&gt;AH!$P$11,AND(AH!$E$4&lt;&gt;"Stored",AH!$P$10&lt;&gt;1)),"",IFERROR(IF(AND(AH!$P$21=1,2554+1=AH!$P$11),TODAY(),IF(AH!$P$10=1,INDEX('Live History'!$A$5:$A$3004,AH!$P$13+2554),INDEX('AH History'!$A$1:$A$18046,AH!$P$7+2554))),""))</ns0:f>
        <ns0:v/>
      </ns0:c>
      <ns0:c r="B2559" s="219">
        <ns0:f>IFERROR(IF(AND(AH!$P$9&lt;&gt;1,$C2559&gt;0,$D2559&gt;0,$E2559&gt;0,$F2559&gt;0,$G2559&gt;0,$F2559&lt;=$A2559,$G2559&lt;=$A2559,$A2559-$F2559&lt;=10,$A2559-$G2559&lt;=5),$D2559*$E2559/$C2559-1,NA()),NA())</ns0:f>
        <ns0:v/>
      </ns0:c>
      <ns0:c r="C2559">
        <ns0:f>IFERROR(IF(ISNUMBER($A2559),IF(AND(AH!$P$10=1,AH!$P$12=1,$A2559=TODAY()),AH!$P$19,IF(AH!$P$10=1,INDEX('Live History'!$B$5:$B$3004,AH!$P$13+2554),INDEX('AH History'!$B$1:$B$18046,AH!$P$7+2554))),NA()),NA())</ns0:f>
        <ns0:v/>
      </ns0:c>
      <ns0:c r="D2559">
        <ns0:f>IFERROR(IF(ISNUMBER($A2559),IF(AND(AH!$P$10=1,AH!$P$12=1,$A2559=TODAY()),AH!$P$18,IF(AH!$P$10=1,INDEX('Live History'!$E$5:$E$3004,MATCH($A2559,'Live History'!$D$5:$D$3004,1)),INDEX('AH History'!$C$1:$C$18046,AH!$P$7+2554))),NA()),NA())</ns0:f>
        <ns0:v/>
      </ns0:c>
      <ns0:c r="E2559">
        <ns0:f>IFERROR(IF(ISNUMBER($A2559),IF(AND(AH!$P$10=1,AH!$P$12=1,$A2559=TODAY()),AH!$P$20,IF(AH!$P$10=1,INDEX('Live History'!$H$5:$H$3004,MATCH($A2559,'Live History'!$G$5:$G$3004,1)),INDEX('AH History'!$D$1:$D$18046,AH!$P$7+2554))),NA()),NA())</ns0:f>
        <ns0:v/>
      </ns0:c>
      <ns0:c r="F2559">
        <ns0:f>IFERROR(IF(ISNUMBER($A2559),IF(AND(AH!$P$10=1,AH!$P$12=1,$A2559=TODAY()),IF(AND(AH!$P$10=1,AH!$P$12=1,$A2559=TODAY()),TODAY(),NA()),IF(AH!$P$10=1,INDEX('Live History'!$D$5:$D$3004,MATCH($A2559,'Live History'!$D$5:$D$3004,1)),INDEX('AH History'!$E$1:$E$18046,AH!$P$7+2554))),NA()),NA())</ns0:f>
        <ns0:v/>
      </ns0:c>
      <ns0:c r="G2559">
        <ns0:f>IFERROR(IF(ISNUMBER($A2559),IF(AND(AH!$P$10=1,AH!$P$12=1,$A2559=TODAY()),IF(AND(AH!$P$10=1,AH!$P$12=1,$A2559=TODAY()),TODAY(),NA()),IF(AH!$P$10=1,INDEX('Live History'!$G$5:$G$3004,MATCH($A2559,'Live History'!$G$5:$G$3004,1)),INDEX('AH History'!$F$1:$F$18046,AH!$P$7+2554))),NA()),NA())</ns0:f>
        <ns0:v/>
      </ns0:c>
      <ns0:c r="H2559">
        <ns0:f>IFERROR(IF(AND(AH!$E$4="Bloomberg",AH!$P$10=1,ISNUMBER($A2559),$A2559&lt;=AH!$P$17),AH!$P$7-1+MATCH($A2559,INDEX('AH History'!$A$1:$A$18046,AH!$P$7):INDEX('AH History'!$A$1:$A$18046,AH!$P$7+AH!$P$8-1),0),0),0)</ns0:f>
        <ns0:v/>
      </ns0:c>
      <ns0:c r="I2559">
        <ns0:f>IF($H2559=0,0,IFERROR(IF(AND(ABS($C2559-INDEX('AH History'!$B$1:$B$18046,$H2559))&lt;=MAX(0.005,ABS(INDEX('AH History'!$B$1:$B$18046,$H2559))*0.00005),ABS($D2559-INDEX('AH History'!$C$1:$C$18046,$H2559))&lt;=MAX(0.005,ABS(INDEX('AH History'!$C$1:$C$18046,$H2559))*0.00005),ABS($E2559-INDEX('AH History'!$D$1:$D$18046,$H2559))&lt;=0.00005,$F2559=INDEX('AH History'!$E$1:$E$18046,$H2559),$G2559=INDEX('AH History'!$F$1:$F$18046,$H2559)),1,-1),-1))</ns0:f>
        <ns0:v/>
      </ns0:c>
    </ns0:row>
    <ns0:row r="2560">
      <ns0:c r="A2560" s="215">
        <ns0:f>IF(OR(AH!$P$3=0,2555+1&gt;AH!$P$11,AND(AH!$E$4&lt;&gt;"Stored",AH!$P$10&lt;&gt;1)),"",IFERROR(IF(AND(AH!$P$21=1,2555+1=AH!$P$11),TODAY(),IF(AH!$P$10=1,INDEX('Live History'!$A$5:$A$3004,AH!$P$13+2555),INDEX('AH History'!$A$1:$A$18046,AH!$P$7+2555))),""))</ns0:f>
        <ns0:v/>
      </ns0:c>
      <ns0:c r="B2560" s="219">
        <ns0:f>IFERROR(IF(AND(AH!$P$9&lt;&gt;1,$C2560&gt;0,$D2560&gt;0,$E2560&gt;0,$F2560&gt;0,$G2560&gt;0,$F2560&lt;=$A2560,$G2560&lt;=$A2560,$A2560-$F2560&lt;=10,$A2560-$G2560&lt;=5),$D2560*$E2560/$C2560-1,NA()),NA())</ns0:f>
        <ns0:v/>
      </ns0:c>
      <ns0:c r="C2560">
        <ns0:f>IFERROR(IF(ISNUMBER($A2560),IF(AND(AH!$P$10=1,AH!$P$12=1,$A2560=TODAY()),AH!$P$19,IF(AH!$P$10=1,INDEX('Live History'!$B$5:$B$3004,AH!$P$13+2555),INDEX('AH History'!$B$1:$B$18046,AH!$P$7+2555))),NA()),NA())</ns0:f>
        <ns0:v/>
      </ns0:c>
      <ns0:c r="D2560">
        <ns0:f>IFERROR(IF(ISNUMBER($A2560),IF(AND(AH!$P$10=1,AH!$P$12=1,$A2560=TODAY()),AH!$P$18,IF(AH!$P$10=1,INDEX('Live History'!$E$5:$E$3004,MATCH($A2560,'Live History'!$D$5:$D$3004,1)),INDEX('AH History'!$C$1:$C$18046,AH!$P$7+2555))),NA()),NA())</ns0:f>
        <ns0:v/>
      </ns0:c>
      <ns0:c r="E2560">
        <ns0:f>IFERROR(IF(ISNUMBER($A2560),IF(AND(AH!$P$10=1,AH!$P$12=1,$A2560=TODAY()),AH!$P$20,IF(AH!$P$10=1,INDEX('Live History'!$H$5:$H$3004,MATCH($A2560,'Live History'!$G$5:$G$3004,1)),INDEX('AH History'!$D$1:$D$18046,AH!$P$7+2555))),NA()),NA())</ns0:f>
        <ns0:v/>
      </ns0:c>
      <ns0:c r="F2560">
        <ns0:f>IFERROR(IF(ISNUMBER($A2560),IF(AND(AH!$P$10=1,AH!$P$12=1,$A2560=TODAY()),IF(AND(AH!$P$10=1,AH!$P$12=1,$A2560=TODAY()),TODAY(),NA()),IF(AH!$P$10=1,INDEX('Live History'!$D$5:$D$3004,MATCH($A2560,'Live History'!$D$5:$D$3004,1)),INDEX('AH History'!$E$1:$E$18046,AH!$P$7+2555))),NA()),NA())</ns0:f>
        <ns0:v/>
      </ns0:c>
      <ns0:c r="G2560">
        <ns0:f>IFERROR(IF(ISNUMBER($A2560),IF(AND(AH!$P$10=1,AH!$P$12=1,$A2560=TODAY()),IF(AND(AH!$P$10=1,AH!$P$12=1,$A2560=TODAY()),TODAY(),NA()),IF(AH!$P$10=1,INDEX('Live History'!$G$5:$G$3004,MATCH($A2560,'Live History'!$G$5:$G$3004,1)),INDEX('AH History'!$F$1:$F$18046,AH!$P$7+2555))),NA()),NA())</ns0:f>
        <ns0:v/>
      </ns0:c>
      <ns0:c r="H2560">
        <ns0:f>IFERROR(IF(AND(AH!$E$4="Bloomberg",AH!$P$10=1,ISNUMBER($A2560),$A2560&lt;=AH!$P$17),AH!$P$7-1+MATCH($A2560,INDEX('AH History'!$A$1:$A$18046,AH!$P$7):INDEX('AH History'!$A$1:$A$18046,AH!$P$7+AH!$P$8-1),0),0),0)</ns0:f>
        <ns0:v/>
      </ns0:c>
      <ns0:c r="I2560">
        <ns0:f>IF($H2560=0,0,IFERROR(IF(AND(ABS($C2560-INDEX('AH History'!$B$1:$B$18046,$H2560))&lt;=MAX(0.005,ABS(INDEX('AH History'!$B$1:$B$18046,$H2560))*0.00005),ABS($D2560-INDEX('AH History'!$C$1:$C$18046,$H2560))&lt;=MAX(0.005,ABS(INDEX('AH History'!$C$1:$C$18046,$H2560))*0.00005),ABS($E2560-INDEX('AH History'!$D$1:$D$18046,$H2560))&lt;=0.00005,$F2560=INDEX('AH History'!$E$1:$E$18046,$H2560),$G2560=INDEX('AH History'!$F$1:$F$18046,$H2560)),1,-1),-1))</ns0:f>
        <ns0:v/>
      </ns0:c>
    </ns0:row>
    <ns0:row r="2561">
      <ns0:c r="A2561" s="215">
        <ns0:f>IF(OR(AH!$P$3=0,2556+1&gt;AH!$P$11,AND(AH!$E$4&lt;&gt;"Stored",AH!$P$10&lt;&gt;1)),"",IFERROR(IF(AND(AH!$P$21=1,2556+1=AH!$P$11),TODAY(),IF(AH!$P$10=1,INDEX('Live History'!$A$5:$A$3004,AH!$P$13+2556),INDEX('AH History'!$A$1:$A$18046,AH!$P$7+2556))),""))</ns0:f>
        <ns0:v/>
      </ns0:c>
      <ns0:c r="B2561" s="219">
        <ns0:f>IFERROR(IF(AND(AH!$P$9&lt;&gt;1,$C2561&gt;0,$D2561&gt;0,$E2561&gt;0,$F2561&gt;0,$G2561&gt;0,$F2561&lt;=$A2561,$G2561&lt;=$A2561,$A2561-$F2561&lt;=10,$A2561-$G2561&lt;=5),$D2561*$E2561/$C2561-1,NA()),NA())</ns0:f>
        <ns0:v/>
      </ns0:c>
      <ns0:c r="C2561">
        <ns0:f>IFERROR(IF(ISNUMBER($A2561),IF(AND(AH!$P$10=1,AH!$P$12=1,$A2561=TODAY()),AH!$P$19,IF(AH!$P$10=1,INDEX('Live History'!$B$5:$B$3004,AH!$P$13+2556),INDEX('AH History'!$B$1:$B$18046,AH!$P$7+2556))),NA()),NA())</ns0:f>
        <ns0:v/>
      </ns0:c>
      <ns0:c r="D2561">
        <ns0:f>IFERROR(IF(ISNUMBER($A2561),IF(AND(AH!$P$10=1,AH!$P$12=1,$A2561=TODAY()),AH!$P$18,IF(AH!$P$10=1,INDEX('Live History'!$E$5:$E$3004,MATCH($A2561,'Live History'!$D$5:$D$3004,1)),INDEX('AH History'!$C$1:$C$18046,AH!$P$7+2556))),NA()),NA())</ns0:f>
        <ns0:v/>
      </ns0:c>
      <ns0:c r="E2561">
        <ns0:f>IFERROR(IF(ISNUMBER($A2561),IF(AND(AH!$P$10=1,AH!$P$12=1,$A2561=TODAY()),AH!$P$20,IF(AH!$P$10=1,INDEX('Live History'!$H$5:$H$3004,MATCH($A2561,'Live History'!$G$5:$G$3004,1)),INDEX('AH History'!$D$1:$D$18046,AH!$P$7+2556))),NA()),NA())</ns0:f>
        <ns0:v/>
      </ns0:c>
      <ns0:c r="F2561">
        <ns0:f>IFERROR(IF(ISNUMBER($A2561),IF(AND(AH!$P$10=1,AH!$P$12=1,$A2561=TODAY()),IF(AND(AH!$P$10=1,AH!$P$12=1,$A2561=TODAY()),TODAY(),NA()),IF(AH!$P$10=1,INDEX('Live History'!$D$5:$D$3004,MATCH($A2561,'Live History'!$D$5:$D$3004,1)),INDEX('AH History'!$E$1:$E$18046,AH!$P$7+2556))),NA()),NA())</ns0:f>
        <ns0:v/>
      </ns0:c>
      <ns0:c r="G2561">
        <ns0:f>IFERROR(IF(ISNUMBER($A2561),IF(AND(AH!$P$10=1,AH!$P$12=1,$A2561=TODAY()),IF(AND(AH!$P$10=1,AH!$P$12=1,$A2561=TODAY()),TODAY(),NA()),IF(AH!$P$10=1,INDEX('Live History'!$G$5:$G$3004,MATCH($A2561,'Live History'!$G$5:$G$3004,1)),INDEX('AH History'!$F$1:$F$18046,AH!$P$7+2556))),NA()),NA())</ns0:f>
        <ns0:v/>
      </ns0:c>
      <ns0:c r="H2561">
        <ns0:f>IFERROR(IF(AND(AH!$E$4="Bloomberg",AH!$P$10=1,ISNUMBER($A2561),$A2561&lt;=AH!$P$17),AH!$P$7-1+MATCH($A2561,INDEX('AH History'!$A$1:$A$18046,AH!$P$7):INDEX('AH History'!$A$1:$A$18046,AH!$P$7+AH!$P$8-1),0),0),0)</ns0:f>
        <ns0:v/>
      </ns0:c>
      <ns0:c r="I2561">
        <ns0:f>IF($H2561=0,0,IFERROR(IF(AND(ABS($C2561-INDEX('AH History'!$B$1:$B$18046,$H2561))&lt;=MAX(0.005,ABS(INDEX('AH History'!$B$1:$B$18046,$H2561))*0.00005),ABS($D2561-INDEX('AH History'!$C$1:$C$18046,$H2561))&lt;=MAX(0.005,ABS(INDEX('AH History'!$C$1:$C$18046,$H2561))*0.00005),ABS($E2561-INDEX('AH History'!$D$1:$D$18046,$H2561))&lt;=0.00005,$F2561=INDEX('AH History'!$E$1:$E$18046,$H2561),$G2561=INDEX('AH History'!$F$1:$F$18046,$H2561)),1,-1),-1))</ns0:f>
        <ns0:v/>
      </ns0:c>
    </ns0:row>
    <ns0:row r="2562">
      <ns0:c r="A2562" s="215">
        <ns0:f>IF(OR(AH!$P$3=0,2557+1&gt;AH!$P$11,AND(AH!$E$4&lt;&gt;"Stored",AH!$P$10&lt;&gt;1)),"",IFERROR(IF(AND(AH!$P$21=1,2557+1=AH!$P$11),TODAY(),IF(AH!$P$10=1,INDEX('Live History'!$A$5:$A$3004,AH!$P$13+2557),INDEX('AH History'!$A$1:$A$18046,AH!$P$7+2557))),""))</ns0:f>
        <ns0:v/>
      </ns0:c>
      <ns0:c r="B2562" s="219">
        <ns0:f>IFERROR(IF(AND(AH!$P$9&lt;&gt;1,$C2562&gt;0,$D2562&gt;0,$E2562&gt;0,$F2562&gt;0,$G2562&gt;0,$F2562&lt;=$A2562,$G2562&lt;=$A2562,$A2562-$F2562&lt;=10,$A2562-$G2562&lt;=5),$D2562*$E2562/$C2562-1,NA()),NA())</ns0:f>
        <ns0:v/>
      </ns0:c>
      <ns0:c r="C2562">
        <ns0:f>IFERROR(IF(ISNUMBER($A2562),IF(AND(AH!$P$10=1,AH!$P$12=1,$A2562=TODAY()),AH!$P$19,IF(AH!$P$10=1,INDEX('Live History'!$B$5:$B$3004,AH!$P$13+2557),INDEX('AH History'!$B$1:$B$18046,AH!$P$7+2557))),NA()),NA())</ns0:f>
        <ns0:v/>
      </ns0:c>
      <ns0:c r="D2562">
        <ns0:f>IFERROR(IF(ISNUMBER($A2562),IF(AND(AH!$P$10=1,AH!$P$12=1,$A2562=TODAY()),AH!$P$18,IF(AH!$P$10=1,INDEX('Live History'!$E$5:$E$3004,MATCH($A2562,'Live History'!$D$5:$D$3004,1)),INDEX('AH History'!$C$1:$C$18046,AH!$P$7+2557))),NA()),NA())</ns0:f>
        <ns0:v/>
      </ns0:c>
      <ns0:c r="E2562">
        <ns0:f>IFERROR(IF(ISNUMBER($A2562),IF(AND(AH!$P$10=1,AH!$P$12=1,$A2562=TODAY()),AH!$P$20,IF(AH!$P$10=1,INDEX('Live History'!$H$5:$H$3004,MATCH($A2562,'Live History'!$G$5:$G$3004,1)),INDEX('AH History'!$D$1:$D$18046,AH!$P$7+2557))),NA()),NA())</ns0:f>
        <ns0:v/>
      </ns0:c>
      <ns0:c r="F2562">
        <ns0:f>IFERROR(IF(ISNUMBER($A2562),IF(AND(AH!$P$10=1,AH!$P$12=1,$A2562=TODAY()),IF(AND(AH!$P$10=1,AH!$P$12=1,$A2562=TODAY()),TODAY(),NA()),IF(AH!$P$10=1,INDEX('Live History'!$D$5:$D$3004,MATCH($A2562,'Live History'!$D$5:$D$3004,1)),INDEX('AH History'!$E$1:$E$18046,AH!$P$7+2557))),NA()),NA())</ns0:f>
        <ns0:v/>
      </ns0:c>
      <ns0:c r="G2562">
        <ns0:f>IFERROR(IF(ISNUMBER($A2562),IF(AND(AH!$P$10=1,AH!$P$12=1,$A2562=TODAY()),IF(AND(AH!$P$10=1,AH!$P$12=1,$A2562=TODAY()),TODAY(),NA()),IF(AH!$P$10=1,INDEX('Live History'!$G$5:$G$3004,MATCH($A2562,'Live History'!$G$5:$G$3004,1)),INDEX('AH History'!$F$1:$F$18046,AH!$P$7+2557))),NA()),NA())</ns0:f>
        <ns0:v/>
      </ns0:c>
      <ns0:c r="H2562">
        <ns0:f>IFERROR(IF(AND(AH!$E$4="Bloomberg",AH!$P$10=1,ISNUMBER($A2562),$A2562&lt;=AH!$P$17),AH!$P$7-1+MATCH($A2562,INDEX('AH History'!$A$1:$A$18046,AH!$P$7):INDEX('AH History'!$A$1:$A$18046,AH!$P$7+AH!$P$8-1),0),0),0)</ns0:f>
        <ns0:v/>
      </ns0:c>
      <ns0:c r="I2562">
        <ns0:f>IF($H2562=0,0,IFERROR(IF(AND(ABS($C2562-INDEX('AH History'!$B$1:$B$18046,$H2562))&lt;=MAX(0.005,ABS(INDEX('AH History'!$B$1:$B$18046,$H2562))*0.00005),ABS($D2562-INDEX('AH History'!$C$1:$C$18046,$H2562))&lt;=MAX(0.005,ABS(INDEX('AH History'!$C$1:$C$18046,$H2562))*0.00005),ABS($E2562-INDEX('AH History'!$D$1:$D$18046,$H2562))&lt;=0.00005,$F2562=INDEX('AH History'!$E$1:$E$18046,$H2562),$G2562=INDEX('AH History'!$F$1:$F$18046,$H2562)),1,-1),-1))</ns0:f>
        <ns0:v/>
      </ns0:c>
    </ns0:row>
    <ns0:row r="2563">
      <ns0:c r="A2563" s="215">
        <ns0:f>IF(OR(AH!$P$3=0,2558+1&gt;AH!$P$11,AND(AH!$E$4&lt;&gt;"Stored",AH!$P$10&lt;&gt;1)),"",IFERROR(IF(AND(AH!$P$21=1,2558+1=AH!$P$11),TODAY(),IF(AH!$P$10=1,INDEX('Live History'!$A$5:$A$3004,AH!$P$13+2558),INDEX('AH History'!$A$1:$A$18046,AH!$P$7+2558))),""))</ns0:f>
        <ns0:v/>
      </ns0:c>
      <ns0:c r="B2563" s="219">
        <ns0:f>IFERROR(IF(AND(AH!$P$9&lt;&gt;1,$C2563&gt;0,$D2563&gt;0,$E2563&gt;0,$F2563&gt;0,$G2563&gt;0,$F2563&lt;=$A2563,$G2563&lt;=$A2563,$A2563-$F2563&lt;=10,$A2563-$G2563&lt;=5),$D2563*$E2563/$C2563-1,NA()),NA())</ns0:f>
        <ns0:v/>
      </ns0:c>
      <ns0:c r="C2563">
        <ns0:f>IFERROR(IF(ISNUMBER($A2563),IF(AND(AH!$P$10=1,AH!$P$12=1,$A2563=TODAY()),AH!$P$19,IF(AH!$P$10=1,INDEX('Live History'!$B$5:$B$3004,AH!$P$13+2558),INDEX('AH History'!$B$1:$B$18046,AH!$P$7+2558))),NA()),NA())</ns0:f>
        <ns0:v/>
      </ns0:c>
      <ns0:c r="D2563">
        <ns0:f>IFERROR(IF(ISNUMBER($A2563),IF(AND(AH!$P$10=1,AH!$P$12=1,$A2563=TODAY()),AH!$P$18,IF(AH!$P$10=1,INDEX('Live History'!$E$5:$E$3004,MATCH($A2563,'Live History'!$D$5:$D$3004,1)),INDEX('AH History'!$C$1:$C$18046,AH!$P$7+2558))),NA()),NA())</ns0:f>
        <ns0:v/>
      </ns0:c>
      <ns0:c r="E2563">
        <ns0:f>IFERROR(IF(ISNUMBER($A2563),IF(AND(AH!$P$10=1,AH!$P$12=1,$A2563=TODAY()),AH!$P$20,IF(AH!$P$10=1,INDEX('Live History'!$H$5:$H$3004,MATCH($A2563,'Live History'!$G$5:$G$3004,1)),INDEX('AH History'!$D$1:$D$18046,AH!$P$7+2558))),NA()),NA())</ns0:f>
        <ns0:v/>
      </ns0:c>
      <ns0:c r="F2563">
        <ns0:f>IFERROR(IF(ISNUMBER($A2563),IF(AND(AH!$P$10=1,AH!$P$12=1,$A2563=TODAY()),IF(AND(AH!$P$10=1,AH!$P$12=1,$A2563=TODAY()),TODAY(),NA()),IF(AH!$P$10=1,INDEX('Live History'!$D$5:$D$3004,MATCH($A2563,'Live History'!$D$5:$D$3004,1)),INDEX('AH History'!$E$1:$E$18046,AH!$P$7+2558))),NA()),NA())</ns0:f>
        <ns0:v/>
      </ns0:c>
      <ns0:c r="G2563">
        <ns0:f>IFERROR(IF(ISNUMBER($A2563),IF(AND(AH!$P$10=1,AH!$P$12=1,$A2563=TODAY()),IF(AND(AH!$P$10=1,AH!$P$12=1,$A2563=TODAY()),TODAY(),NA()),IF(AH!$P$10=1,INDEX('Live History'!$G$5:$G$3004,MATCH($A2563,'Live History'!$G$5:$G$3004,1)),INDEX('AH History'!$F$1:$F$18046,AH!$P$7+2558))),NA()),NA())</ns0:f>
        <ns0:v/>
      </ns0:c>
      <ns0:c r="H2563">
        <ns0:f>IFERROR(IF(AND(AH!$E$4="Bloomberg",AH!$P$10=1,ISNUMBER($A2563),$A2563&lt;=AH!$P$17),AH!$P$7-1+MATCH($A2563,INDEX('AH History'!$A$1:$A$18046,AH!$P$7):INDEX('AH History'!$A$1:$A$18046,AH!$P$7+AH!$P$8-1),0),0),0)</ns0:f>
        <ns0:v/>
      </ns0:c>
      <ns0:c r="I2563">
        <ns0:f>IF($H2563=0,0,IFERROR(IF(AND(ABS($C2563-INDEX('AH History'!$B$1:$B$18046,$H2563))&lt;=MAX(0.005,ABS(INDEX('AH History'!$B$1:$B$18046,$H2563))*0.00005),ABS($D2563-INDEX('AH History'!$C$1:$C$18046,$H2563))&lt;=MAX(0.005,ABS(INDEX('AH History'!$C$1:$C$18046,$H2563))*0.00005),ABS($E2563-INDEX('AH History'!$D$1:$D$18046,$H2563))&lt;=0.00005,$F2563=INDEX('AH History'!$E$1:$E$18046,$H2563),$G2563=INDEX('AH History'!$F$1:$F$18046,$H2563)),1,-1),-1))</ns0:f>
        <ns0:v/>
      </ns0:c>
    </ns0:row>
    <ns0:row r="2564">
      <ns0:c r="A2564" s="215">
        <ns0:f>IF(OR(AH!$P$3=0,2559+1&gt;AH!$P$11,AND(AH!$E$4&lt;&gt;"Stored",AH!$P$10&lt;&gt;1)),"",IFERROR(IF(AND(AH!$P$21=1,2559+1=AH!$P$11),TODAY(),IF(AH!$P$10=1,INDEX('Live History'!$A$5:$A$3004,AH!$P$13+2559),INDEX('AH History'!$A$1:$A$18046,AH!$P$7+2559))),""))</ns0:f>
        <ns0:v/>
      </ns0:c>
      <ns0:c r="B2564" s="219">
        <ns0:f>IFERROR(IF(AND(AH!$P$9&lt;&gt;1,$C2564&gt;0,$D2564&gt;0,$E2564&gt;0,$F2564&gt;0,$G2564&gt;0,$F2564&lt;=$A2564,$G2564&lt;=$A2564,$A2564-$F2564&lt;=10,$A2564-$G2564&lt;=5),$D2564*$E2564/$C2564-1,NA()),NA())</ns0:f>
        <ns0:v/>
      </ns0:c>
      <ns0:c r="C2564">
        <ns0:f>IFERROR(IF(ISNUMBER($A2564),IF(AND(AH!$P$10=1,AH!$P$12=1,$A2564=TODAY()),AH!$P$19,IF(AH!$P$10=1,INDEX('Live History'!$B$5:$B$3004,AH!$P$13+2559),INDEX('AH History'!$B$1:$B$18046,AH!$P$7+2559))),NA()),NA())</ns0:f>
        <ns0:v/>
      </ns0:c>
      <ns0:c r="D2564">
        <ns0:f>IFERROR(IF(ISNUMBER($A2564),IF(AND(AH!$P$10=1,AH!$P$12=1,$A2564=TODAY()),AH!$P$18,IF(AH!$P$10=1,INDEX('Live History'!$E$5:$E$3004,MATCH($A2564,'Live History'!$D$5:$D$3004,1)),INDEX('AH History'!$C$1:$C$18046,AH!$P$7+2559))),NA()),NA())</ns0:f>
        <ns0:v/>
      </ns0:c>
      <ns0:c r="E2564">
        <ns0:f>IFERROR(IF(ISNUMBER($A2564),IF(AND(AH!$P$10=1,AH!$P$12=1,$A2564=TODAY()),AH!$P$20,IF(AH!$P$10=1,INDEX('Live History'!$H$5:$H$3004,MATCH($A2564,'Live History'!$G$5:$G$3004,1)),INDEX('AH History'!$D$1:$D$18046,AH!$P$7+2559))),NA()),NA())</ns0:f>
        <ns0:v/>
      </ns0:c>
      <ns0:c r="F2564">
        <ns0:f>IFERROR(IF(ISNUMBER($A2564),IF(AND(AH!$P$10=1,AH!$P$12=1,$A2564=TODAY()),IF(AND(AH!$P$10=1,AH!$P$12=1,$A2564=TODAY()),TODAY(),NA()),IF(AH!$P$10=1,INDEX('Live History'!$D$5:$D$3004,MATCH($A2564,'Live History'!$D$5:$D$3004,1)),INDEX('AH History'!$E$1:$E$18046,AH!$P$7+2559))),NA()),NA())</ns0:f>
        <ns0:v/>
      </ns0:c>
      <ns0:c r="G2564">
        <ns0:f>IFERROR(IF(ISNUMBER($A2564),IF(AND(AH!$P$10=1,AH!$P$12=1,$A2564=TODAY()),IF(AND(AH!$P$10=1,AH!$P$12=1,$A2564=TODAY()),TODAY(),NA()),IF(AH!$P$10=1,INDEX('Live History'!$G$5:$G$3004,MATCH($A2564,'Live History'!$G$5:$G$3004,1)),INDEX('AH History'!$F$1:$F$18046,AH!$P$7+2559))),NA()),NA())</ns0:f>
        <ns0:v/>
      </ns0:c>
      <ns0:c r="H2564">
        <ns0:f>IFERROR(IF(AND(AH!$E$4="Bloomberg",AH!$P$10=1,ISNUMBER($A2564),$A2564&lt;=AH!$P$17),AH!$P$7-1+MATCH($A2564,INDEX('AH History'!$A$1:$A$18046,AH!$P$7):INDEX('AH History'!$A$1:$A$18046,AH!$P$7+AH!$P$8-1),0),0),0)</ns0:f>
        <ns0:v/>
      </ns0:c>
      <ns0:c r="I2564">
        <ns0:f>IF($H2564=0,0,IFERROR(IF(AND(ABS($C2564-INDEX('AH History'!$B$1:$B$18046,$H2564))&lt;=MAX(0.005,ABS(INDEX('AH History'!$B$1:$B$18046,$H2564))*0.00005),ABS($D2564-INDEX('AH History'!$C$1:$C$18046,$H2564))&lt;=MAX(0.005,ABS(INDEX('AH History'!$C$1:$C$18046,$H2564))*0.00005),ABS($E2564-INDEX('AH History'!$D$1:$D$18046,$H2564))&lt;=0.00005,$F2564=INDEX('AH History'!$E$1:$E$18046,$H2564),$G2564=INDEX('AH History'!$F$1:$F$18046,$H2564)),1,-1),-1))</ns0:f>
        <ns0:v/>
      </ns0:c>
    </ns0:row>
    <ns0:row r="2565">
      <ns0:c r="A2565" s="215">
        <ns0:f>IF(OR(AH!$P$3=0,2560+1&gt;AH!$P$11,AND(AH!$E$4&lt;&gt;"Stored",AH!$P$10&lt;&gt;1)),"",IFERROR(IF(AND(AH!$P$21=1,2560+1=AH!$P$11),TODAY(),IF(AH!$P$10=1,INDEX('Live History'!$A$5:$A$3004,AH!$P$13+2560),INDEX('AH History'!$A$1:$A$18046,AH!$P$7+2560))),""))</ns0:f>
        <ns0:v/>
      </ns0:c>
      <ns0:c r="B2565" s="219">
        <ns0:f>IFERROR(IF(AND(AH!$P$9&lt;&gt;1,$C2565&gt;0,$D2565&gt;0,$E2565&gt;0,$F2565&gt;0,$G2565&gt;0,$F2565&lt;=$A2565,$G2565&lt;=$A2565,$A2565-$F2565&lt;=10,$A2565-$G2565&lt;=5),$D2565*$E2565/$C2565-1,NA()),NA())</ns0:f>
        <ns0:v/>
      </ns0:c>
      <ns0:c r="C2565">
        <ns0:f>IFERROR(IF(ISNUMBER($A2565),IF(AND(AH!$P$10=1,AH!$P$12=1,$A2565=TODAY()),AH!$P$19,IF(AH!$P$10=1,INDEX('Live History'!$B$5:$B$3004,AH!$P$13+2560),INDEX('AH History'!$B$1:$B$18046,AH!$P$7+2560))),NA()),NA())</ns0:f>
        <ns0:v/>
      </ns0:c>
      <ns0:c r="D2565">
        <ns0:f>IFERROR(IF(ISNUMBER($A2565),IF(AND(AH!$P$10=1,AH!$P$12=1,$A2565=TODAY()),AH!$P$18,IF(AH!$P$10=1,INDEX('Live History'!$E$5:$E$3004,MATCH($A2565,'Live History'!$D$5:$D$3004,1)),INDEX('AH History'!$C$1:$C$18046,AH!$P$7+2560))),NA()),NA())</ns0:f>
        <ns0:v/>
      </ns0:c>
      <ns0:c r="E2565">
        <ns0:f>IFERROR(IF(ISNUMBER($A2565),IF(AND(AH!$P$10=1,AH!$P$12=1,$A2565=TODAY()),AH!$P$20,IF(AH!$P$10=1,INDEX('Live History'!$H$5:$H$3004,MATCH($A2565,'Live History'!$G$5:$G$3004,1)),INDEX('AH History'!$D$1:$D$18046,AH!$P$7+2560))),NA()),NA())</ns0:f>
        <ns0:v/>
      </ns0:c>
      <ns0:c r="F2565">
        <ns0:f>IFERROR(IF(ISNUMBER($A2565),IF(AND(AH!$P$10=1,AH!$P$12=1,$A2565=TODAY()),IF(AND(AH!$P$10=1,AH!$P$12=1,$A2565=TODAY()),TODAY(),NA()),IF(AH!$P$10=1,INDEX('Live History'!$D$5:$D$3004,MATCH($A2565,'Live History'!$D$5:$D$3004,1)),INDEX('AH History'!$E$1:$E$18046,AH!$P$7+2560))),NA()),NA())</ns0:f>
        <ns0:v/>
      </ns0:c>
      <ns0:c r="G2565">
        <ns0:f>IFERROR(IF(ISNUMBER($A2565),IF(AND(AH!$P$10=1,AH!$P$12=1,$A2565=TODAY()),IF(AND(AH!$P$10=1,AH!$P$12=1,$A2565=TODAY()),TODAY(),NA()),IF(AH!$P$10=1,INDEX('Live History'!$G$5:$G$3004,MATCH($A2565,'Live History'!$G$5:$G$3004,1)),INDEX('AH History'!$F$1:$F$18046,AH!$P$7+2560))),NA()),NA())</ns0:f>
        <ns0:v/>
      </ns0:c>
      <ns0:c r="H2565">
        <ns0:f>IFERROR(IF(AND(AH!$E$4="Bloomberg",AH!$P$10=1,ISNUMBER($A2565),$A2565&lt;=AH!$P$17),AH!$P$7-1+MATCH($A2565,INDEX('AH History'!$A$1:$A$18046,AH!$P$7):INDEX('AH History'!$A$1:$A$18046,AH!$P$7+AH!$P$8-1),0),0),0)</ns0:f>
        <ns0:v/>
      </ns0:c>
      <ns0:c r="I2565">
        <ns0:f>IF($H2565=0,0,IFERROR(IF(AND(ABS($C2565-INDEX('AH History'!$B$1:$B$18046,$H2565))&lt;=MAX(0.005,ABS(INDEX('AH History'!$B$1:$B$18046,$H2565))*0.00005),ABS($D2565-INDEX('AH History'!$C$1:$C$18046,$H2565))&lt;=MAX(0.005,ABS(INDEX('AH History'!$C$1:$C$18046,$H2565))*0.00005),ABS($E2565-INDEX('AH History'!$D$1:$D$18046,$H2565))&lt;=0.00005,$F2565=INDEX('AH History'!$E$1:$E$18046,$H2565),$G2565=INDEX('AH History'!$F$1:$F$18046,$H2565)),1,-1),-1))</ns0:f>
        <ns0:v/>
      </ns0:c>
    </ns0:row>
    <ns0:row r="2566">
      <ns0:c r="A2566" s="215">
        <ns0:f>IF(OR(AH!$P$3=0,2561+1&gt;AH!$P$11,AND(AH!$E$4&lt;&gt;"Stored",AH!$P$10&lt;&gt;1)),"",IFERROR(IF(AND(AH!$P$21=1,2561+1=AH!$P$11),TODAY(),IF(AH!$P$10=1,INDEX('Live History'!$A$5:$A$3004,AH!$P$13+2561),INDEX('AH History'!$A$1:$A$18046,AH!$P$7+2561))),""))</ns0:f>
        <ns0:v/>
      </ns0:c>
      <ns0:c r="B2566" s="219">
        <ns0:f>IFERROR(IF(AND(AH!$P$9&lt;&gt;1,$C2566&gt;0,$D2566&gt;0,$E2566&gt;0,$F2566&gt;0,$G2566&gt;0,$F2566&lt;=$A2566,$G2566&lt;=$A2566,$A2566-$F2566&lt;=10,$A2566-$G2566&lt;=5),$D2566*$E2566/$C2566-1,NA()),NA())</ns0:f>
        <ns0:v/>
      </ns0:c>
      <ns0:c r="C2566">
        <ns0:f>IFERROR(IF(ISNUMBER($A2566),IF(AND(AH!$P$10=1,AH!$P$12=1,$A2566=TODAY()),AH!$P$19,IF(AH!$P$10=1,INDEX('Live History'!$B$5:$B$3004,AH!$P$13+2561),INDEX('AH History'!$B$1:$B$18046,AH!$P$7+2561))),NA()),NA())</ns0:f>
        <ns0:v/>
      </ns0:c>
      <ns0:c r="D2566">
        <ns0:f>IFERROR(IF(ISNUMBER($A2566),IF(AND(AH!$P$10=1,AH!$P$12=1,$A2566=TODAY()),AH!$P$18,IF(AH!$P$10=1,INDEX('Live History'!$E$5:$E$3004,MATCH($A2566,'Live History'!$D$5:$D$3004,1)),INDEX('AH History'!$C$1:$C$18046,AH!$P$7+2561))),NA()),NA())</ns0:f>
        <ns0:v/>
      </ns0:c>
      <ns0:c r="E2566">
        <ns0:f>IFERROR(IF(ISNUMBER($A2566),IF(AND(AH!$P$10=1,AH!$P$12=1,$A2566=TODAY()),AH!$P$20,IF(AH!$P$10=1,INDEX('Live History'!$H$5:$H$3004,MATCH($A2566,'Live History'!$G$5:$G$3004,1)),INDEX('AH History'!$D$1:$D$18046,AH!$P$7+2561))),NA()),NA())</ns0:f>
        <ns0:v/>
      </ns0:c>
      <ns0:c r="F2566">
        <ns0:f>IFERROR(IF(ISNUMBER($A2566),IF(AND(AH!$P$10=1,AH!$P$12=1,$A2566=TODAY()),IF(AND(AH!$P$10=1,AH!$P$12=1,$A2566=TODAY()),TODAY(),NA()),IF(AH!$P$10=1,INDEX('Live History'!$D$5:$D$3004,MATCH($A2566,'Live History'!$D$5:$D$3004,1)),INDEX('AH History'!$E$1:$E$18046,AH!$P$7+2561))),NA()),NA())</ns0:f>
        <ns0:v/>
      </ns0:c>
      <ns0:c r="G2566">
        <ns0:f>IFERROR(IF(ISNUMBER($A2566),IF(AND(AH!$P$10=1,AH!$P$12=1,$A2566=TODAY()),IF(AND(AH!$P$10=1,AH!$P$12=1,$A2566=TODAY()),TODAY(),NA()),IF(AH!$P$10=1,INDEX('Live History'!$G$5:$G$3004,MATCH($A2566,'Live History'!$G$5:$G$3004,1)),INDEX('AH History'!$F$1:$F$18046,AH!$P$7+2561))),NA()),NA())</ns0:f>
        <ns0:v/>
      </ns0:c>
      <ns0:c r="H2566">
        <ns0:f>IFERROR(IF(AND(AH!$E$4="Bloomberg",AH!$P$10=1,ISNUMBER($A2566),$A2566&lt;=AH!$P$17),AH!$P$7-1+MATCH($A2566,INDEX('AH History'!$A$1:$A$18046,AH!$P$7):INDEX('AH History'!$A$1:$A$18046,AH!$P$7+AH!$P$8-1),0),0),0)</ns0:f>
        <ns0:v/>
      </ns0:c>
      <ns0:c r="I2566">
        <ns0:f>IF($H2566=0,0,IFERROR(IF(AND(ABS($C2566-INDEX('AH History'!$B$1:$B$18046,$H2566))&lt;=MAX(0.005,ABS(INDEX('AH History'!$B$1:$B$18046,$H2566))*0.00005),ABS($D2566-INDEX('AH History'!$C$1:$C$18046,$H2566))&lt;=MAX(0.005,ABS(INDEX('AH History'!$C$1:$C$18046,$H2566))*0.00005),ABS($E2566-INDEX('AH History'!$D$1:$D$18046,$H2566))&lt;=0.00005,$F2566=INDEX('AH History'!$E$1:$E$18046,$H2566),$G2566=INDEX('AH History'!$F$1:$F$18046,$H2566)),1,-1),-1))</ns0:f>
        <ns0:v/>
      </ns0:c>
    </ns0:row>
    <ns0:row r="2567">
      <ns0:c r="A2567" s="215">
        <ns0:f>IF(OR(AH!$P$3=0,2562+1&gt;AH!$P$11,AND(AH!$E$4&lt;&gt;"Stored",AH!$P$10&lt;&gt;1)),"",IFERROR(IF(AND(AH!$P$21=1,2562+1=AH!$P$11),TODAY(),IF(AH!$P$10=1,INDEX('Live History'!$A$5:$A$3004,AH!$P$13+2562),INDEX('AH History'!$A$1:$A$18046,AH!$P$7+2562))),""))</ns0:f>
        <ns0:v/>
      </ns0:c>
      <ns0:c r="B2567" s="219">
        <ns0:f>IFERROR(IF(AND(AH!$P$9&lt;&gt;1,$C2567&gt;0,$D2567&gt;0,$E2567&gt;0,$F2567&gt;0,$G2567&gt;0,$F2567&lt;=$A2567,$G2567&lt;=$A2567,$A2567-$F2567&lt;=10,$A2567-$G2567&lt;=5),$D2567*$E2567/$C2567-1,NA()),NA())</ns0:f>
        <ns0:v/>
      </ns0:c>
      <ns0:c r="C2567">
        <ns0:f>IFERROR(IF(ISNUMBER($A2567),IF(AND(AH!$P$10=1,AH!$P$12=1,$A2567=TODAY()),AH!$P$19,IF(AH!$P$10=1,INDEX('Live History'!$B$5:$B$3004,AH!$P$13+2562),INDEX('AH History'!$B$1:$B$18046,AH!$P$7+2562))),NA()),NA())</ns0:f>
        <ns0:v/>
      </ns0:c>
      <ns0:c r="D2567">
        <ns0:f>IFERROR(IF(ISNUMBER($A2567),IF(AND(AH!$P$10=1,AH!$P$12=1,$A2567=TODAY()),AH!$P$18,IF(AH!$P$10=1,INDEX('Live History'!$E$5:$E$3004,MATCH($A2567,'Live History'!$D$5:$D$3004,1)),INDEX('AH History'!$C$1:$C$18046,AH!$P$7+2562))),NA()),NA())</ns0:f>
        <ns0:v/>
      </ns0:c>
      <ns0:c r="E2567">
        <ns0:f>IFERROR(IF(ISNUMBER($A2567),IF(AND(AH!$P$10=1,AH!$P$12=1,$A2567=TODAY()),AH!$P$20,IF(AH!$P$10=1,INDEX('Live History'!$H$5:$H$3004,MATCH($A2567,'Live History'!$G$5:$G$3004,1)),INDEX('AH History'!$D$1:$D$18046,AH!$P$7+2562))),NA()),NA())</ns0:f>
        <ns0:v/>
      </ns0:c>
      <ns0:c r="F2567">
        <ns0:f>IFERROR(IF(ISNUMBER($A2567),IF(AND(AH!$P$10=1,AH!$P$12=1,$A2567=TODAY()),IF(AND(AH!$P$10=1,AH!$P$12=1,$A2567=TODAY()),TODAY(),NA()),IF(AH!$P$10=1,INDEX('Live History'!$D$5:$D$3004,MATCH($A2567,'Live History'!$D$5:$D$3004,1)),INDEX('AH History'!$E$1:$E$18046,AH!$P$7+2562))),NA()),NA())</ns0:f>
        <ns0:v/>
      </ns0:c>
      <ns0:c r="G2567">
        <ns0:f>IFERROR(IF(ISNUMBER($A2567),IF(AND(AH!$P$10=1,AH!$P$12=1,$A2567=TODAY()),IF(AND(AH!$P$10=1,AH!$P$12=1,$A2567=TODAY()),TODAY(),NA()),IF(AH!$P$10=1,INDEX('Live History'!$G$5:$G$3004,MATCH($A2567,'Live History'!$G$5:$G$3004,1)),INDEX('AH History'!$F$1:$F$18046,AH!$P$7+2562))),NA()),NA())</ns0:f>
        <ns0:v/>
      </ns0:c>
      <ns0:c r="H2567">
        <ns0:f>IFERROR(IF(AND(AH!$E$4="Bloomberg",AH!$P$10=1,ISNUMBER($A2567),$A2567&lt;=AH!$P$17),AH!$P$7-1+MATCH($A2567,INDEX('AH History'!$A$1:$A$18046,AH!$P$7):INDEX('AH History'!$A$1:$A$18046,AH!$P$7+AH!$P$8-1),0),0),0)</ns0:f>
        <ns0:v/>
      </ns0:c>
      <ns0:c r="I2567">
        <ns0:f>IF($H2567=0,0,IFERROR(IF(AND(ABS($C2567-INDEX('AH History'!$B$1:$B$18046,$H2567))&lt;=MAX(0.005,ABS(INDEX('AH History'!$B$1:$B$18046,$H2567))*0.00005),ABS($D2567-INDEX('AH History'!$C$1:$C$18046,$H2567))&lt;=MAX(0.005,ABS(INDEX('AH History'!$C$1:$C$18046,$H2567))*0.00005),ABS($E2567-INDEX('AH History'!$D$1:$D$18046,$H2567))&lt;=0.00005,$F2567=INDEX('AH History'!$E$1:$E$18046,$H2567),$G2567=INDEX('AH History'!$F$1:$F$18046,$H2567)),1,-1),-1))</ns0:f>
        <ns0:v/>
      </ns0:c>
    </ns0:row>
    <ns0:row r="2568">
      <ns0:c r="A2568" s="215">
        <ns0:f>IF(OR(AH!$P$3=0,2563+1&gt;AH!$P$11,AND(AH!$E$4&lt;&gt;"Stored",AH!$P$10&lt;&gt;1)),"",IFERROR(IF(AND(AH!$P$21=1,2563+1=AH!$P$11),TODAY(),IF(AH!$P$10=1,INDEX('Live History'!$A$5:$A$3004,AH!$P$13+2563),INDEX('AH History'!$A$1:$A$18046,AH!$P$7+2563))),""))</ns0:f>
        <ns0:v/>
      </ns0:c>
      <ns0:c r="B2568" s="219">
        <ns0:f>IFERROR(IF(AND(AH!$P$9&lt;&gt;1,$C2568&gt;0,$D2568&gt;0,$E2568&gt;0,$F2568&gt;0,$G2568&gt;0,$F2568&lt;=$A2568,$G2568&lt;=$A2568,$A2568-$F2568&lt;=10,$A2568-$G2568&lt;=5),$D2568*$E2568/$C2568-1,NA()),NA())</ns0:f>
        <ns0:v/>
      </ns0:c>
      <ns0:c r="C2568">
        <ns0:f>IFERROR(IF(ISNUMBER($A2568),IF(AND(AH!$P$10=1,AH!$P$12=1,$A2568=TODAY()),AH!$P$19,IF(AH!$P$10=1,INDEX('Live History'!$B$5:$B$3004,AH!$P$13+2563),INDEX('AH History'!$B$1:$B$18046,AH!$P$7+2563))),NA()),NA())</ns0:f>
        <ns0:v/>
      </ns0:c>
      <ns0:c r="D2568">
        <ns0:f>IFERROR(IF(ISNUMBER($A2568),IF(AND(AH!$P$10=1,AH!$P$12=1,$A2568=TODAY()),AH!$P$18,IF(AH!$P$10=1,INDEX('Live History'!$E$5:$E$3004,MATCH($A2568,'Live History'!$D$5:$D$3004,1)),INDEX('AH History'!$C$1:$C$18046,AH!$P$7+2563))),NA()),NA())</ns0:f>
        <ns0:v/>
      </ns0:c>
      <ns0:c r="E2568">
        <ns0:f>IFERROR(IF(ISNUMBER($A2568),IF(AND(AH!$P$10=1,AH!$P$12=1,$A2568=TODAY()),AH!$P$20,IF(AH!$P$10=1,INDEX('Live History'!$H$5:$H$3004,MATCH($A2568,'Live History'!$G$5:$G$3004,1)),INDEX('AH History'!$D$1:$D$18046,AH!$P$7+2563))),NA()),NA())</ns0:f>
        <ns0:v/>
      </ns0:c>
      <ns0:c r="F2568">
        <ns0:f>IFERROR(IF(ISNUMBER($A2568),IF(AND(AH!$P$10=1,AH!$P$12=1,$A2568=TODAY()),IF(AND(AH!$P$10=1,AH!$P$12=1,$A2568=TODAY()),TODAY(),NA()),IF(AH!$P$10=1,INDEX('Live History'!$D$5:$D$3004,MATCH($A2568,'Live History'!$D$5:$D$3004,1)),INDEX('AH History'!$E$1:$E$18046,AH!$P$7+2563))),NA()),NA())</ns0:f>
        <ns0:v/>
      </ns0:c>
      <ns0:c r="G2568">
        <ns0:f>IFERROR(IF(ISNUMBER($A2568),IF(AND(AH!$P$10=1,AH!$P$12=1,$A2568=TODAY()),IF(AND(AH!$P$10=1,AH!$P$12=1,$A2568=TODAY()),TODAY(),NA()),IF(AH!$P$10=1,INDEX('Live History'!$G$5:$G$3004,MATCH($A2568,'Live History'!$G$5:$G$3004,1)),INDEX('AH History'!$F$1:$F$18046,AH!$P$7+2563))),NA()),NA())</ns0:f>
        <ns0:v/>
      </ns0:c>
      <ns0:c r="H2568">
        <ns0:f>IFERROR(IF(AND(AH!$E$4="Bloomberg",AH!$P$10=1,ISNUMBER($A2568),$A2568&lt;=AH!$P$17),AH!$P$7-1+MATCH($A2568,INDEX('AH History'!$A$1:$A$18046,AH!$P$7):INDEX('AH History'!$A$1:$A$18046,AH!$P$7+AH!$P$8-1),0),0),0)</ns0:f>
        <ns0:v/>
      </ns0:c>
      <ns0:c r="I2568">
        <ns0:f>IF($H2568=0,0,IFERROR(IF(AND(ABS($C2568-INDEX('AH History'!$B$1:$B$18046,$H2568))&lt;=MAX(0.005,ABS(INDEX('AH History'!$B$1:$B$18046,$H2568))*0.00005),ABS($D2568-INDEX('AH History'!$C$1:$C$18046,$H2568))&lt;=MAX(0.005,ABS(INDEX('AH History'!$C$1:$C$18046,$H2568))*0.00005),ABS($E2568-INDEX('AH History'!$D$1:$D$18046,$H2568))&lt;=0.00005,$F2568=INDEX('AH History'!$E$1:$E$18046,$H2568),$G2568=INDEX('AH History'!$F$1:$F$18046,$H2568)),1,-1),-1))</ns0:f>
        <ns0:v/>
      </ns0:c>
    </ns0:row>
    <ns0:row r="2569">
      <ns0:c r="A2569" s="215">
        <ns0:f>IF(OR(AH!$P$3=0,2564+1&gt;AH!$P$11,AND(AH!$E$4&lt;&gt;"Stored",AH!$P$10&lt;&gt;1)),"",IFERROR(IF(AND(AH!$P$21=1,2564+1=AH!$P$11),TODAY(),IF(AH!$P$10=1,INDEX('Live History'!$A$5:$A$3004,AH!$P$13+2564),INDEX('AH History'!$A$1:$A$18046,AH!$P$7+2564))),""))</ns0:f>
        <ns0:v/>
      </ns0:c>
      <ns0:c r="B2569" s="219">
        <ns0:f>IFERROR(IF(AND(AH!$P$9&lt;&gt;1,$C2569&gt;0,$D2569&gt;0,$E2569&gt;0,$F2569&gt;0,$G2569&gt;0,$F2569&lt;=$A2569,$G2569&lt;=$A2569,$A2569-$F2569&lt;=10,$A2569-$G2569&lt;=5),$D2569*$E2569/$C2569-1,NA()),NA())</ns0:f>
        <ns0:v/>
      </ns0:c>
      <ns0:c r="C2569">
        <ns0:f>IFERROR(IF(ISNUMBER($A2569),IF(AND(AH!$P$10=1,AH!$P$12=1,$A2569=TODAY()),AH!$P$19,IF(AH!$P$10=1,INDEX('Live History'!$B$5:$B$3004,AH!$P$13+2564),INDEX('AH History'!$B$1:$B$18046,AH!$P$7+2564))),NA()),NA())</ns0:f>
        <ns0:v/>
      </ns0:c>
      <ns0:c r="D2569">
        <ns0:f>IFERROR(IF(ISNUMBER($A2569),IF(AND(AH!$P$10=1,AH!$P$12=1,$A2569=TODAY()),AH!$P$18,IF(AH!$P$10=1,INDEX('Live History'!$E$5:$E$3004,MATCH($A2569,'Live History'!$D$5:$D$3004,1)),INDEX('AH History'!$C$1:$C$18046,AH!$P$7+2564))),NA()),NA())</ns0:f>
        <ns0:v/>
      </ns0:c>
      <ns0:c r="E2569">
        <ns0:f>IFERROR(IF(ISNUMBER($A2569),IF(AND(AH!$P$10=1,AH!$P$12=1,$A2569=TODAY()),AH!$P$20,IF(AH!$P$10=1,INDEX('Live History'!$H$5:$H$3004,MATCH($A2569,'Live History'!$G$5:$G$3004,1)),INDEX('AH History'!$D$1:$D$18046,AH!$P$7+2564))),NA()),NA())</ns0:f>
        <ns0:v/>
      </ns0:c>
      <ns0:c r="F2569">
        <ns0:f>IFERROR(IF(ISNUMBER($A2569),IF(AND(AH!$P$10=1,AH!$P$12=1,$A2569=TODAY()),IF(AND(AH!$P$10=1,AH!$P$12=1,$A2569=TODAY()),TODAY(),NA()),IF(AH!$P$10=1,INDEX('Live History'!$D$5:$D$3004,MATCH($A2569,'Live History'!$D$5:$D$3004,1)),INDEX('AH History'!$E$1:$E$18046,AH!$P$7+2564))),NA()),NA())</ns0:f>
        <ns0:v/>
      </ns0:c>
      <ns0:c r="G2569">
        <ns0:f>IFERROR(IF(ISNUMBER($A2569),IF(AND(AH!$P$10=1,AH!$P$12=1,$A2569=TODAY()),IF(AND(AH!$P$10=1,AH!$P$12=1,$A2569=TODAY()),TODAY(),NA()),IF(AH!$P$10=1,INDEX('Live History'!$G$5:$G$3004,MATCH($A2569,'Live History'!$G$5:$G$3004,1)),INDEX('AH History'!$F$1:$F$18046,AH!$P$7+2564))),NA()),NA())</ns0:f>
        <ns0:v/>
      </ns0:c>
      <ns0:c r="H2569">
        <ns0:f>IFERROR(IF(AND(AH!$E$4="Bloomberg",AH!$P$10=1,ISNUMBER($A2569),$A2569&lt;=AH!$P$17),AH!$P$7-1+MATCH($A2569,INDEX('AH History'!$A$1:$A$18046,AH!$P$7):INDEX('AH History'!$A$1:$A$18046,AH!$P$7+AH!$P$8-1),0),0),0)</ns0:f>
        <ns0:v/>
      </ns0:c>
      <ns0:c r="I2569">
        <ns0:f>IF($H2569=0,0,IFERROR(IF(AND(ABS($C2569-INDEX('AH History'!$B$1:$B$18046,$H2569))&lt;=MAX(0.005,ABS(INDEX('AH History'!$B$1:$B$18046,$H2569))*0.00005),ABS($D2569-INDEX('AH History'!$C$1:$C$18046,$H2569))&lt;=MAX(0.005,ABS(INDEX('AH History'!$C$1:$C$18046,$H2569))*0.00005),ABS($E2569-INDEX('AH History'!$D$1:$D$18046,$H2569))&lt;=0.00005,$F2569=INDEX('AH History'!$E$1:$E$18046,$H2569),$G2569=INDEX('AH History'!$F$1:$F$18046,$H2569)),1,-1),-1))</ns0:f>
        <ns0:v/>
      </ns0:c>
    </ns0:row>
    <ns0:row r="2570">
      <ns0:c r="A2570" s="215">
        <ns0:f>IF(OR(AH!$P$3=0,2565+1&gt;AH!$P$11,AND(AH!$E$4&lt;&gt;"Stored",AH!$P$10&lt;&gt;1)),"",IFERROR(IF(AND(AH!$P$21=1,2565+1=AH!$P$11),TODAY(),IF(AH!$P$10=1,INDEX('Live History'!$A$5:$A$3004,AH!$P$13+2565),INDEX('AH History'!$A$1:$A$18046,AH!$P$7+2565))),""))</ns0:f>
        <ns0:v/>
      </ns0:c>
      <ns0:c r="B2570" s="219">
        <ns0:f>IFERROR(IF(AND(AH!$P$9&lt;&gt;1,$C2570&gt;0,$D2570&gt;0,$E2570&gt;0,$F2570&gt;0,$G2570&gt;0,$F2570&lt;=$A2570,$G2570&lt;=$A2570,$A2570-$F2570&lt;=10,$A2570-$G2570&lt;=5),$D2570*$E2570/$C2570-1,NA()),NA())</ns0:f>
        <ns0:v/>
      </ns0:c>
      <ns0:c r="C2570">
        <ns0:f>IFERROR(IF(ISNUMBER($A2570),IF(AND(AH!$P$10=1,AH!$P$12=1,$A2570=TODAY()),AH!$P$19,IF(AH!$P$10=1,INDEX('Live History'!$B$5:$B$3004,AH!$P$13+2565),INDEX('AH History'!$B$1:$B$18046,AH!$P$7+2565))),NA()),NA())</ns0:f>
        <ns0:v/>
      </ns0:c>
      <ns0:c r="D2570">
        <ns0:f>IFERROR(IF(ISNUMBER($A2570),IF(AND(AH!$P$10=1,AH!$P$12=1,$A2570=TODAY()),AH!$P$18,IF(AH!$P$10=1,INDEX('Live History'!$E$5:$E$3004,MATCH($A2570,'Live History'!$D$5:$D$3004,1)),INDEX('AH History'!$C$1:$C$18046,AH!$P$7+2565))),NA()),NA())</ns0:f>
        <ns0:v/>
      </ns0:c>
      <ns0:c r="E2570">
        <ns0:f>IFERROR(IF(ISNUMBER($A2570),IF(AND(AH!$P$10=1,AH!$P$12=1,$A2570=TODAY()),AH!$P$20,IF(AH!$P$10=1,INDEX('Live History'!$H$5:$H$3004,MATCH($A2570,'Live History'!$G$5:$G$3004,1)),INDEX('AH History'!$D$1:$D$18046,AH!$P$7+2565))),NA()),NA())</ns0:f>
        <ns0:v/>
      </ns0:c>
      <ns0:c r="F2570">
        <ns0:f>IFERROR(IF(ISNUMBER($A2570),IF(AND(AH!$P$10=1,AH!$P$12=1,$A2570=TODAY()),IF(AND(AH!$P$10=1,AH!$P$12=1,$A2570=TODAY()),TODAY(),NA()),IF(AH!$P$10=1,INDEX('Live History'!$D$5:$D$3004,MATCH($A2570,'Live History'!$D$5:$D$3004,1)),INDEX('AH History'!$E$1:$E$18046,AH!$P$7+2565))),NA()),NA())</ns0:f>
        <ns0:v/>
      </ns0:c>
      <ns0:c r="G2570">
        <ns0:f>IFERROR(IF(ISNUMBER($A2570),IF(AND(AH!$P$10=1,AH!$P$12=1,$A2570=TODAY()),IF(AND(AH!$P$10=1,AH!$P$12=1,$A2570=TODAY()),TODAY(),NA()),IF(AH!$P$10=1,INDEX('Live History'!$G$5:$G$3004,MATCH($A2570,'Live History'!$G$5:$G$3004,1)),INDEX('AH History'!$F$1:$F$18046,AH!$P$7+2565))),NA()),NA())</ns0:f>
        <ns0:v/>
      </ns0:c>
      <ns0:c r="H2570">
        <ns0:f>IFERROR(IF(AND(AH!$E$4="Bloomberg",AH!$P$10=1,ISNUMBER($A2570),$A2570&lt;=AH!$P$17),AH!$P$7-1+MATCH($A2570,INDEX('AH History'!$A$1:$A$18046,AH!$P$7):INDEX('AH History'!$A$1:$A$18046,AH!$P$7+AH!$P$8-1),0),0),0)</ns0:f>
        <ns0:v/>
      </ns0:c>
      <ns0:c r="I2570">
        <ns0:f>IF($H2570=0,0,IFERROR(IF(AND(ABS($C2570-INDEX('AH History'!$B$1:$B$18046,$H2570))&lt;=MAX(0.005,ABS(INDEX('AH History'!$B$1:$B$18046,$H2570))*0.00005),ABS($D2570-INDEX('AH History'!$C$1:$C$18046,$H2570))&lt;=MAX(0.005,ABS(INDEX('AH History'!$C$1:$C$18046,$H2570))*0.00005),ABS($E2570-INDEX('AH History'!$D$1:$D$18046,$H2570))&lt;=0.00005,$F2570=INDEX('AH History'!$E$1:$E$18046,$H2570),$G2570=INDEX('AH History'!$F$1:$F$18046,$H2570)),1,-1),-1))</ns0:f>
        <ns0:v/>
      </ns0:c>
    </ns0:row>
    <ns0:row r="2571">
      <ns0:c r="A2571" s="215">
        <ns0:f>IF(OR(AH!$P$3=0,2566+1&gt;AH!$P$11,AND(AH!$E$4&lt;&gt;"Stored",AH!$P$10&lt;&gt;1)),"",IFERROR(IF(AND(AH!$P$21=1,2566+1=AH!$P$11),TODAY(),IF(AH!$P$10=1,INDEX('Live History'!$A$5:$A$3004,AH!$P$13+2566),INDEX('AH History'!$A$1:$A$18046,AH!$P$7+2566))),""))</ns0:f>
        <ns0:v/>
      </ns0:c>
      <ns0:c r="B2571" s="219">
        <ns0:f>IFERROR(IF(AND(AH!$P$9&lt;&gt;1,$C2571&gt;0,$D2571&gt;0,$E2571&gt;0,$F2571&gt;0,$G2571&gt;0,$F2571&lt;=$A2571,$G2571&lt;=$A2571,$A2571-$F2571&lt;=10,$A2571-$G2571&lt;=5),$D2571*$E2571/$C2571-1,NA()),NA())</ns0:f>
        <ns0:v/>
      </ns0:c>
      <ns0:c r="C2571">
        <ns0:f>IFERROR(IF(ISNUMBER($A2571),IF(AND(AH!$P$10=1,AH!$P$12=1,$A2571=TODAY()),AH!$P$19,IF(AH!$P$10=1,INDEX('Live History'!$B$5:$B$3004,AH!$P$13+2566),INDEX('AH History'!$B$1:$B$18046,AH!$P$7+2566))),NA()),NA())</ns0:f>
        <ns0:v/>
      </ns0:c>
      <ns0:c r="D2571">
        <ns0:f>IFERROR(IF(ISNUMBER($A2571),IF(AND(AH!$P$10=1,AH!$P$12=1,$A2571=TODAY()),AH!$P$18,IF(AH!$P$10=1,INDEX('Live History'!$E$5:$E$3004,MATCH($A2571,'Live History'!$D$5:$D$3004,1)),INDEX('AH History'!$C$1:$C$18046,AH!$P$7+2566))),NA()),NA())</ns0:f>
        <ns0:v/>
      </ns0:c>
      <ns0:c r="E2571">
        <ns0:f>IFERROR(IF(ISNUMBER($A2571),IF(AND(AH!$P$10=1,AH!$P$12=1,$A2571=TODAY()),AH!$P$20,IF(AH!$P$10=1,INDEX('Live History'!$H$5:$H$3004,MATCH($A2571,'Live History'!$G$5:$G$3004,1)),INDEX('AH History'!$D$1:$D$18046,AH!$P$7+2566))),NA()),NA())</ns0:f>
        <ns0:v/>
      </ns0:c>
      <ns0:c r="F2571">
        <ns0:f>IFERROR(IF(ISNUMBER($A2571),IF(AND(AH!$P$10=1,AH!$P$12=1,$A2571=TODAY()),IF(AND(AH!$P$10=1,AH!$P$12=1,$A2571=TODAY()),TODAY(),NA()),IF(AH!$P$10=1,INDEX('Live History'!$D$5:$D$3004,MATCH($A2571,'Live History'!$D$5:$D$3004,1)),INDEX('AH History'!$E$1:$E$18046,AH!$P$7+2566))),NA()),NA())</ns0:f>
        <ns0:v/>
      </ns0:c>
      <ns0:c r="G2571">
        <ns0:f>IFERROR(IF(ISNUMBER($A2571),IF(AND(AH!$P$10=1,AH!$P$12=1,$A2571=TODAY()),IF(AND(AH!$P$10=1,AH!$P$12=1,$A2571=TODAY()),TODAY(),NA()),IF(AH!$P$10=1,INDEX('Live History'!$G$5:$G$3004,MATCH($A2571,'Live History'!$G$5:$G$3004,1)),INDEX('AH History'!$F$1:$F$18046,AH!$P$7+2566))),NA()),NA())</ns0:f>
        <ns0:v/>
      </ns0:c>
      <ns0:c r="H2571">
        <ns0:f>IFERROR(IF(AND(AH!$E$4="Bloomberg",AH!$P$10=1,ISNUMBER($A2571),$A2571&lt;=AH!$P$17),AH!$P$7-1+MATCH($A2571,INDEX('AH History'!$A$1:$A$18046,AH!$P$7):INDEX('AH History'!$A$1:$A$18046,AH!$P$7+AH!$P$8-1),0),0),0)</ns0:f>
        <ns0:v/>
      </ns0:c>
      <ns0:c r="I2571">
        <ns0:f>IF($H2571=0,0,IFERROR(IF(AND(ABS($C2571-INDEX('AH History'!$B$1:$B$18046,$H2571))&lt;=MAX(0.005,ABS(INDEX('AH History'!$B$1:$B$18046,$H2571))*0.00005),ABS($D2571-INDEX('AH History'!$C$1:$C$18046,$H2571))&lt;=MAX(0.005,ABS(INDEX('AH History'!$C$1:$C$18046,$H2571))*0.00005),ABS($E2571-INDEX('AH History'!$D$1:$D$18046,$H2571))&lt;=0.00005,$F2571=INDEX('AH History'!$E$1:$E$18046,$H2571),$G2571=INDEX('AH History'!$F$1:$F$18046,$H2571)),1,-1),-1))</ns0:f>
        <ns0:v/>
      </ns0:c>
    </ns0:row>
    <ns0:row r="2572">
      <ns0:c r="A2572" s="215">
        <ns0:f>IF(OR(AH!$P$3=0,2567+1&gt;AH!$P$11,AND(AH!$E$4&lt;&gt;"Stored",AH!$P$10&lt;&gt;1)),"",IFERROR(IF(AND(AH!$P$21=1,2567+1=AH!$P$11),TODAY(),IF(AH!$P$10=1,INDEX('Live History'!$A$5:$A$3004,AH!$P$13+2567),INDEX('AH History'!$A$1:$A$18046,AH!$P$7+2567))),""))</ns0:f>
        <ns0:v/>
      </ns0:c>
      <ns0:c r="B2572" s="219">
        <ns0:f>IFERROR(IF(AND(AH!$P$9&lt;&gt;1,$C2572&gt;0,$D2572&gt;0,$E2572&gt;0,$F2572&gt;0,$G2572&gt;0,$F2572&lt;=$A2572,$G2572&lt;=$A2572,$A2572-$F2572&lt;=10,$A2572-$G2572&lt;=5),$D2572*$E2572/$C2572-1,NA()),NA())</ns0:f>
        <ns0:v/>
      </ns0:c>
      <ns0:c r="C2572">
        <ns0:f>IFERROR(IF(ISNUMBER($A2572),IF(AND(AH!$P$10=1,AH!$P$12=1,$A2572=TODAY()),AH!$P$19,IF(AH!$P$10=1,INDEX('Live History'!$B$5:$B$3004,AH!$P$13+2567),INDEX('AH History'!$B$1:$B$18046,AH!$P$7+2567))),NA()),NA())</ns0:f>
        <ns0:v/>
      </ns0:c>
      <ns0:c r="D2572">
        <ns0:f>IFERROR(IF(ISNUMBER($A2572),IF(AND(AH!$P$10=1,AH!$P$12=1,$A2572=TODAY()),AH!$P$18,IF(AH!$P$10=1,INDEX('Live History'!$E$5:$E$3004,MATCH($A2572,'Live History'!$D$5:$D$3004,1)),INDEX('AH History'!$C$1:$C$18046,AH!$P$7+2567))),NA()),NA())</ns0:f>
        <ns0:v/>
      </ns0:c>
      <ns0:c r="E2572">
        <ns0:f>IFERROR(IF(ISNUMBER($A2572),IF(AND(AH!$P$10=1,AH!$P$12=1,$A2572=TODAY()),AH!$P$20,IF(AH!$P$10=1,INDEX('Live History'!$H$5:$H$3004,MATCH($A2572,'Live History'!$G$5:$G$3004,1)),INDEX('AH History'!$D$1:$D$18046,AH!$P$7+2567))),NA()),NA())</ns0:f>
        <ns0:v/>
      </ns0:c>
      <ns0:c r="F2572">
        <ns0:f>IFERROR(IF(ISNUMBER($A2572),IF(AND(AH!$P$10=1,AH!$P$12=1,$A2572=TODAY()),IF(AND(AH!$P$10=1,AH!$P$12=1,$A2572=TODAY()),TODAY(),NA()),IF(AH!$P$10=1,INDEX('Live History'!$D$5:$D$3004,MATCH($A2572,'Live History'!$D$5:$D$3004,1)),INDEX('AH History'!$E$1:$E$18046,AH!$P$7+2567))),NA()),NA())</ns0:f>
        <ns0:v/>
      </ns0:c>
      <ns0:c r="G2572">
        <ns0:f>IFERROR(IF(ISNUMBER($A2572),IF(AND(AH!$P$10=1,AH!$P$12=1,$A2572=TODAY()),IF(AND(AH!$P$10=1,AH!$P$12=1,$A2572=TODAY()),TODAY(),NA()),IF(AH!$P$10=1,INDEX('Live History'!$G$5:$G$3004,MATCH($A2572,'Live History'!$G$5:$G$3004,1)),INDEX('AH History'!$F$1:$F$18046,AH!$P$7+2567))),NA()),NA())</ns0:f>
        <ns0:v/>
      </ns0:c>
      <ns0:c r="H2572">
        <ns0:f>IFERROR(IF(AND(AH!$E$4="Bloomberg",AH!$P$10=1,ISNUMBER($A2572),$A2572&lt;=AH!$P$17),AH!$P$7-1+MATCH($A2572,INDEX('AH History'!$A$1:$A$18046,AH!$P$7):INDEX('AH History'!$A$1:$A$18046,AH!$P$7+AH!$P$8-1),0),0),0)</ns0:f>
        <ns0:v/>
      </ns0:c>
      <ns0:c r="I2572">
        <ns0:f>IF($H2572=0,0,IFERROR(IF(AND(ABS($C2572-INDEX('AH History'!$B$1:$B$18046,$H2572))&lt;=MAX(0.005,ABS(INDEX('AH History'!$B$1:$B$18046,$H2572))*0.00005),ABS($D2572-INDEX('AH History'!$C$1:$C$18046,$H2572))&lt;=MAX(0.005,ABS(INDEX('AH History'!$C$1:$C$18046,$H2572))*0.00005),ABS($E2572-INDEX('AH History'!$D$1:$D$18046,$H2572))&lt;=0.00005,$F2572=INDEX('AH History'!$E$1:$E$18046,$H2572),$G2572=INDEX('AH History'!$F$1:$F$18046,$H2572)),1,-1),-1))</ns0:f>
        <ns0:v/>
      </ns0:c>
    </ns0:row>
    <ns0:row r="2573">
      <ns0:c r="A2573" s="215">
        <ns0:f>IF(OR(AH!$P$3=0,2568+1&gt;AH!$P$11,AND(AH!$E$4&lt;&gt;"Stored",AH!$P$10&lt;&gt;1)),"",IFERROR(IF(AND(AH!$P$21=1,2568+1=AH!$P$11),TODAY(),IF(AH!$P$10=1,INDEX('Live History'!$A$5:$A$3004,AH!$P$13+2568),INDEX('AH History'!$A$1:$A$18046,AH!$P$7+2568))),""))</ns0:f>
        <ns0:v/>
      </ns0:c>
      <ns0:c r="B2573" s="219">
        <ns0:f>IFERROR(IF(AND(AH!$P$9&lt;&gt;1,$C2573&gt;0,$D2573&gt;0,$E2573&gt;0,$F2573&gt;0,$G2573&gt;0,$F2573&lt;=$A2573,$G2573&lt;=$A2573,$A2573-$F2573&lt;=10,$A2573-$G2573&lt;=5),$D2573*$E2573/$C2573-1,NA()),NA())</ns0:f>
        <ns0:v/>
      </ns0:c>
      <ns0:c r="C2573">
        <ns0:f>IFERROR(IF(ISNUMBER($A2573),IF(AND(AH!$P$10=1,AH!$P$12=1,$A2573=TODAY()),AH!$P$19,IF(AH!$P$10=1,INDEX('Live History'!$B$5:$B$3004,AH!$P$13+2568),INDEX('AH History'!$B$1:$B$18046,AH!$P$7+2568))),NA()),NA())</ns0:f>
        <ns0:v/>
      </ns0:c>
      <ns0:c r="D2573">
        <ns0:f>IFERROR(IF(ISNUMBER($A2573),IF(AND(AH!$P$10=1,AH!$P$12=1,$A2573=TODAY()),AH!$P$18,IF(AH!$P$10=1,INDEX('Live History'!$E$5:$E$3004,MATCH($A2573,'Live History'!$D$5:$D$3004,1)),INDEX('AH History'!$C$1:$C$18046,AH!$P$7+2568))),NA()),NA())</ns0:f>
        <ns0:v/>
      </ns0:c>
      <ns0:c r="E2573">
        <ns0:f>IFERROR(IF(ISNUMBER($A2573),IF(AND(AH!$P$10=1,AH!$P$12=1,$A2573=TODAY()),AH!$P$20,IF(AH!$P$10=1,INDEX('Live History'!$H$5:$H$3004,MATCH($A2573,'Live History'!$G$5:$G$3004,1)),INDEX('AH History'!$D$1:$D$18046,AH!$P$7+2568))),NA()),NA())</ns0:f>
        <ns0:v/>
      </ns0:c>
      <ns0:c r="F2573">
        <ns0:f>IFERROR(IF(ISNUMBER($A2573),IF(AND(AH!$P$10=1,AH!$P$12=1,$A2573=TODAY()),IF(AND(AH!$P$10=1,AH!$P$12=1,$A2573=TODAY()),TODAY(),NA()),IF(AH!$P$10=1,INDEX('Live History'!$D$5:$D$3004,MATCH($A2573,'Live History'!$D$5:$D$3004,1)),INDEX('AH History'!$E$1:$E$18046,AH!$P$7+2568))),NA()),NA())</ns0:f>
        <ns0:v/>
      </ns0:c>
      <ns0:c r="G2573">
        <ns0:f>IFERROR(IF(ISNUMBER($A2573),IF(AND(AH!$P$10=1,AH!$P$12=1,$A2573=TODAY()),IF(AND(AH!$P$10=1,AH!$P$12=1,$A2573=TODAY()),TODAY(),NA()),IF(AH!$P$10=1,INDEX('Live History'!$G$5:$G$3004,MATCH($A2573,'Live History'!$G$5:$G$3004,1)),INDEX('AH History'!$F$1:$F$18046,AH!$P$7+2568))),NA()),NA())</ns0:f>
        <ns0:v/>
      </ns0:c>
      <ns0:c r="H2573">
        <ns0:f>IFERROR(IF(AND(AH!$E$4="Bloomberg",AH!$P$10=1,ISNUMBER($A2573),$A2573&lt;=AH!$P$17),AH!$P$7-1+MATCH($A2573,INDEX('AH History'!$A$1:$A$18046,AH!$P$7):INDEX('AH History'!$A$1:$A$18046,AH!$P$7+AH!$P$8-1),0),0),0)</ns0:f>
        <ns0:v/>
      </ns0:c>
      <ns0:c r="I2573">
        <ns0:f>IF($H2573=0,0,IFERROR(IF(AND(ABS($C2573-INDEX('AH History'!$B$1:$B$18046,$H2573))&lt;=MAX(0.005,ABS(INDEX('AH History'!$B$1:$B$18046,$H2573))*0.00005),ABS($D2573-INDEX('AH History'!$C$1:$C$18046,$H2573))&lt;=MAX(0.005,ABS(INDEX('AH History'!$C$1:$C$18046,$H2573))*0.00005),ABS($E2573-INDEX('AH History'!$D$1:$D$18046,$H2573))&lt;=0.00005,$F2573=INDEX('AH History'!$E$1:$E$18046,$H2573),$G2573=INDEX('AH History'!$F$1:$F$18046,$H2573)),1,-1),-1))</ns0:f>
        <ns0:v/>
      </ns0:c>
    </ns0:row>
    <ns0:row r="2574">
      <ns0:c r="A2574" s="215">
        <ns0:f>IF(OR(AH!$P$3=0,2569+1&gt;AH!$P$11,AND(AH!$E$4&lt;&gt;"Stored",AH!$P$10&lt;&gt;1)),"",IFERROR(IF(AND(AH!$P$21=1,2569+1=AH!$P$11),TODAY(),IF(AH!$P$10=1,INDEX('Live History'!$A$5:$A$3004,AH!$P$13+2569),INDEX('AH History'!$A$1:$A$18046,AH!$P$7+2569))),""))</ns0:f>
        <ns0:v/>
      </ns0:c>
      <ns0:c r="B2574" s="219">
        <ns0:f>IFERROR(IF(AND(AH!$P$9&lt;&gt;1,$C2574&gt;0,$D2574&gt;0,$E2574&gt;0,$F2574&gt;0,$G2574&gt;0,$F2574&lt;=$A2574,$G2574&lt;=$A2574,$A2574-$F2574&lt;=10,$A2574-$G2574&lt;=5),$D2574*$E2574/$C2574-1,NA()),NA())</ns0:f>
        <ns0:v/>
      </ns0:c>
      <ns0:c r="C2574">
        <ns0:f>IFERROR(IF(ISNUMBER($A2574),IF(AND(AH!$P$10=1,AH!$P$12=1,$A2574=TODAY()),AH!$P$19,IF(AH!$P$10=1,INDEX('Live History'!$B$5:$B$3004,AH!$P$13+2569),INDEX('AH History'!$B$1:$B$18046,AH!$P$7+2569))),NA()),NA())</ns0:f>
        <ns0:v/>
      </ns0:c>
      <ns0:c r="D2574">
        <ns0:f>IFERROR(IF(ISNUMBER($A2574),IF(AND(AH!$P$10=1,AH!$P$12=1,$A2574=TODAY()),AH!$P$18,IF(AH!$P$10=1,INDEX('Live History'!$E$5:$E$3004,MATCH($A2574,'Live History'!$D$5:$D$3004,1)),INDEX('AH History'!$C$1:$C$18046,AH!$P$7+2569))),NA()),NA())</ns0:f>
        <ns0:v/>
      </ns0:c>
      <ns0:c r="E2574">
        <ns0:f>IFERROR(IF(ISNUMBER($A2574),IF(AND(AH!$P$10=1,AH!$P$12=1,$A2574=TODAY()),AH!$P$20,IF(AH!$P$10=1,INDEX('Live History'!$H$5:$H$3004,MATCH($A2574,'Live History'!$G$5:$G$3004,1)),INDEX('AH History'!$D$1:$D$18046,AH!$P$7+2569))),NA()),NA())</ns0:f>
        <ns0:v/>
      </ns0:c>
      <ns0:c r="F2574">
        <ns0:f>IFERROR(IF(ISNUMBER($A2574),IF(AND(AH!$P$10=1,AH!$P$12=1,$A2574=TODAY()),IF(AND(AH!$P$10=1,AH!$P$12=1,$A2574=TODAY()),TODAY(),NA()),IF(AH!$P$10=1,INDEX('Live History'!$D$5:$D$3004,MATCH($A2574,'Live History'!$D$5:$D$3004,1)),INDEX('AH History'!$E$1:$E$18046,AH!$P$7+2569))),NA()),NA())</ns0:f>
        <ns0:v/>
      </ns0:c>
      <ns0:c r="G2574">
        <ns0:f>IFERROR(IF(ISNUMBER($A2574),IF(AND(AH!$P$10=1,AH!$P$12=1,$A2574=TODAY()),IF(AND(AH!$P$10=1,AH!$P$12=1,$A2574=TODAY()),TODAY(),NA()),IF(AH!$P$10=1,INDEX('Live History'!$G$5:$G$3004,MATCH($A2574,'Live History'!$G$5:$G$3004,1)),INDEX('AH History'!$F$1:$F$18046,AH!$P$7+2569))),NA()),NA())</ns0:f>
        <ns0:v/>
      </ns0:c>
      <ns0:c r="H2574">
        <ns0:f>IFERROR(IF(AND(AH!$E$4="Bloomberg",AH!$P$10=1,ISNUMBER($A2574),$A2574&lt;=AH!$P$17),AH!$P$7-1+MATCH($A2574,INDEX('AH History'!$A$1:$A$18046,AH!$P$7):INDEX('AH History'!$A$1:$A$18046,AH!$P$7+AH!$P$8-1),0),0),0)</ns0:f>
        <ns0:v/>
      </ns0:c>
      <ns0:c r="I2574">
        <ns0:f>IF($H2574=0,0,IFERROR(IF(AND(ABS($C2574-INDEX('AH History'!$B$1:$B$18046,$H2574))&lt;=MAX(0.005,ABS(INDEX('AH History'!$B$1:$B$18046,$H2574))*0.00005),ABS($D2574-INDEX('AH History'!$C$1:$C$18046,$H2574))&lt;=MAX(0.005,ABS(INDEX('AH History'!$C$1:$C$18046,$H2574))*0.00005),ABS($E2574-INDEX('AH History'!$D$1:$D$18046,$H2574))&lt;=0.00005,$F2574=INDEX('AH History'!$E$1:$E$18046,$H2574),$G2574=INDEX('AH History'!$F$1:$F$18046,$H2574)),1,-1),-1))</ns0:f>
        <ns0:v/>
      </ns0:c>
    </ns0:row>
    <ns0:row r="2575">
      <ns0:c r="A2575" s="215">
        <ns0:f>IF(OR(AH!$P$3=0,2570+1&gt;AH!$P$11,AND(AH!$E$4&lt;&gt;"Stored",AH!$P$10&lt;&gt;1)),"",IFERROR(IF(AND(AH!$P$21=1,2570+1=AH!$P$11),TODAY(),IF(AH!$P$10=1,INDEX('Live History'!$A$5:$A$3004,AH!$P$13+2570),INDEX('AH History'!$A$1:$A$18046,AH!$P$7+2570))),""))</ns0:f>
        <ns0:v/>
      </ns0:c>
      <ns0:c r="B2575" s="219">
        <ns0:f>IFERROR(IF(AND(AH!$P$9&lt;&gt;1,$C2575&gt;0,$D2575&gt;0,$E2575&gt;0,$F2575&gt;0,$G2575&gt;0,$F2575&lt;=$A2575,$G2575&lt;=$A2575,$A2575-$F2575&lt;=10,$A2575-$G2575&lt;=5),$D2575*$E2575/$C2575-1,NA()),NA())</ns0:f>
        <ns0:v/>
      </ns0:c>
      <ns0:c r="C2575">
        <ns0:f>IFERROR(IF(ISNUMBER($A2575),IF(AND(AH!$P$10=1,AH!$P$12=1,$A2575=TODAY()),AH!$P$19,IF(AH!$P$10=1,INDEX('Live History'!$B$5:$B$3004,AH!$P$13+2570),INDEX('AH History'!$B$1:$B$18046,AH!$P$7+2570))),NA()),NA())</ns0:f>
        <ns0:v/>
      </ns0:c>
      <ns0:c r="D2575">
        <ns0:f>IFERROR(IF(ISNUMBER($A2575),IF(AND(AH!$P$10=1,AH!$P$12=1,$A2575=TODAY()),AH!$P$18,IF(AH!$P$10=1,INDEX('Live History'!$E$5:$E$3004,MATCH($A2575,'Live History'!$D$5:$D$3004,1)),INDEX('AH History'!$C$1:$C$18046,AH!$P$7+2570))),NA()),NA())</ns0:f>
        <ns0:v/>
      </ns0:c>
      <ns0:c r="E2575">
        <ns0:f>IFERROR(IF(ISNUMBER($A2575),IF(AND(AH!$P$10=1,AH!$P$12=1,$A2575=TODAY()),AH!$P$20,IF(AH!$P$10=1,INDEX('Live History'!$H$5:$H$3004,MATCH($A2575,'Live History'!$G$5:$G$3004,1)),INDEX('AH History'!$D$1:$D$18046,AH!$P$7+2570))),NA()),NA())</ns0:f>
        <ns0:v/>
      </ns0:c>
      <ns0:c r="F2575">
        <ns0:f>IFERROR(IF(ISNUMBER($A2575),IF(AND(AH!$P$10=1,AH!$P$12=1,$A2575=TODAY()),IF(AND(AH!$P$10=1,AH!$P$12=1,$A2575=TODAY()),TODAY(),NA()),IF(AH!$P$10=1,INDEX('Live History'!$D$5:$D$3004,MATCH($A2575,'Live History'!$D$5:$D$3004,1)),INDEX('AH History'!$E$1:$E$18046,AH!$P$7+2570))),NA()),NA())</ns0:f>
        <ns0:v/>
      </ns0:c>
      <ns0:c r="G2575">
        <ns0:f>IFERROR(IF(ISNUMBER($A2575),IF(AND(AH!$P$10=1,AH!$P$12=1,$A2575=TODAY()),IF(AND(AH!$P$10=1,AH!$P$12=1,$A2575=TODAY()),TODAY(),NA()),IF(AH!$P$10=1,INDEX('Live History'!$G$5:$G$3004,MATCH($A2575,'Live History'!$G$5:$G$3004,1)),INDEX('AH History'!$F$1:$F$18046,AH!$P$7+2570))),NA()),NA())</ns0:f>
        <ns0:v/>
      </ns0:c>
      <ns0:c r="H2575">
        <ns0:f>IFERROR(IF(AND(AH!$E$4="Bloomberg",AH!$P$10=1,ISNUMBER($A2575),$A2575&lt;=AH!$P$17),AH!$P$7-1+MATCH($A2575,INDEX('AH History'!$A$1:$A$18046,AH!$P$7):INDEX('AH History'!$A$1:$A$18046,AH!$P$7+AH!$P$8-1),0),0),0)</ns0:f>
        <ns0:v/>
      </ns0:c>
      <ns0:c r="I2575">
        <ns0:f>IF($H2575=0,0,IFERROR(IF(AND(ABS($C2575-INDEX('AH History'!$B$1:$B$18046,$H2575))&lt;=MAX(0.005,ABS(INDEX('AH History'!$B$1:$B$18046,$H2575))*0.00005),ABS($D2575-INDEX('AH History'!$C$1:$C$18046,$H2575))&lt;=MAX(0.005,ABS(INDEX('AH History'!$C$1:$C$18046,$H2575))*0.00005),ABS($E2575-INDEX('AH History'!$D$1:$D$18046,$H2575))&lt;=0.00005,$F2575=INDEX('AH History'!$E$1:$E$18046,$H2575),$G2575=INDEX('AH History'!$F$1:$F$18046,$H2575)),1,-1),-1))</ns0:f>
        <ns0:v/>
      </ns0:c>
    </ns0:row>
    <ns0:row r="2576">
      <ns0:c r="A2576" s="215">
        <ns0:f>IF(OR(AH!$P$3=0,2571+1&gt;AH!$P$11,AND(AH!$E$4&lt;&gt;"Stored",AH!$P$10&lt;&gt;1)),"",IFERROR(IF(AND(AH!$P$21=1,2571+1=AH!$P$11),TODAY(),IF(AH!$P$10=1,INDEX('Live History'!$A$5:$A$3004,AH!$P$13+2571),INDEX('AH History'!$A$1:$A$18046,AH!$P$7+2571))),""))</ns0:f>
        <ns0:v/>
      </ns0:c>
      <ns0:c r="B2576" s="219">
        <ns0:f>IFERROR(IF(AND(AH!$P$9&lt;&gt;1,$C2576&gt;0,$D2576&gt;0,$E2576&gt;0,$F2576&gt;0,$G2576&gt;0,$F2576&lt;=$A2576,$G2576&lt;=$A2576,$A2576-$F2576&lt;=10,$A2576-$G2576&lt;=5),$D2576*$E2576/$C2576-1,NA()),NA())</ns0:f>
        <ns0:v/>
      </ns0:c>
      <ns0:c r="C2576">
        <ns0:f>IFERROR(IF(ISNUMBER($A2576),IF(AND(AH!$P$10=1,AH!$P$12=1,$A2576=TODAY()),AH!$P$19,IF(AH!$P$10=1,INDEX('Live History'!$B$5:$B$3004,AH!$P$13+2571),INDEX('AH History'!$B$1:$B$18046,AH!$P$7+2571))),NA()),NA())</ns0:f>
        <ns0:v/>
      </ns0:c>
      <ns0:c r="D2576">
        <ns0:f>IFERROR(IF(ISNUMBER($A2576),IF(AND(AH!$P$10=1,AH!$P$12=1,$A2576=TODAY()),AH!$P$18,IF(AH!$P$10=1,INDEX('Live History'!$E$5:$E$3004,MATCH($A2576,'Live History'!$D$5:$D$3004,1)),INDEX('AH History'!$C$1:$C$18046,AH!$P$7+2571))),NA()),NA())</ns0:f>
        <ns0:v/>
      </ns0:c>
      <ns0:c r="E2576">
        <ns0:f>IFERROR(IF(ISNUMBER($A2576),IF(AND(AH!$P$10=1,AH!$P$12=1,$A2576=TODAY()),AH!$P$20,IF(AH!$P$10=1,INDEX('Live History'!$H$5:$H$3004,MATCH($A2576,'Live History'!$G$5:$G$3004,1)),INDEX('AH History'!$D$1:$D$18046,AH!$P$7+2571))),NA()),NA())</ns0:f>
        <ns0:v/>
      </ns0:c>
      <ns0:c r="F2576">
        <ns0:f>IFERROR(IF(ISNUMBER($A2576),IF(AND(AH!$P$10=1,AH!$P$12=1,$A2576=TODAY()),IF(AND(AH!$P$10=1,AH!$P$12=1,$A2576=TODAY()),TODAY(),NA()),IF(AH!$P$10=1,INDEX('Live History'!$D$5:$D$3004,MATCH($A2576,'Live History'!$D$5:$D$3004,1)),INDEX('AH History'!$E$1:$E$18046,AH!$P$7+2571))),NA()),NA())</ns0:f>
        <ns0:v/>
      </ns0:c>
      <ns0:c r="G2576">
        <ns0:f>IFERROR(IF(ISNUMBER($A2576),IF(AND(AH!$P$10=1,AH!$P$12=1,$A2576=TODAY()),IF(AND(AH!$P$10=1,AH!$P$12=1,$A2576=TODAY()),TODAY(),NA()),IF(AH!$P$10=1,INDEX('Live History'!$G$5:$G$3004,MATCH($A2576,'Live History'!$G$5:$G$3004,1)),INDEX('AH History'!$F$1:$F$18046,AH!$P$7+2571))),NA()),NA())</ns0:f>
        <ns0:v/>
      </ns0:c>
      <ns0:c r="H2576">
        <ns0:f>IFERROR(IF(AND(AH!$E$4="Bloomberg",AH!$P$10=1,ISNUMBER($A2576),$A2576&lt;=AH!$P$17),AH!$P$7-1+MATCH($A2576,INDEX('AH History'!$A$1:$A$18046,AH!$P$7):INDEX('AH History'!$A$1:$A$18046,AH!$P$7+AH!$P$8-1),0),0),0)</ns0:f>
        <ns0:v/>
      </ns0:c>
      <ns0:c r="I2576">
        <ns0:f>IF($H2576=0,0,IFERROR(IF(AND(ABS($C2576-INDEX('AH History'!$B$1:$B$18046,$H2576))&lt;=MAX(0.005,ABS(INDEX('AH History'!$B$1:$B$18046,$H2576))*0.00005),ABS($D2576-INDEX('AH History'!$C$1:$C$18046,$H2576))&lt;=MAX(0.005,ABS(INDEX('AH History'!$C$1:$C$18046,$H2576))*0.00005),ABS($E2576-INDEX('AH History'!$D$1:$D$18046,$H2576))&lt;=0.00005,$F2576=INDEX('AH History'!$E$1:$E$18046,$H2576),$G2576=INDEX('AH History'!$F$1:$F$18046,$H2576)),1,-1),-1))</ns0:f>
        <ns0:v/>
      </ns0:c>
    </ns0:row>
    <ns0:row r="2577">
      <ns0:c r="A2577" s="215">
        <ns0:f>IF(OR(AH!$P$3=0,2572+1&gt;AH!$P$11,AND(AH!$E$4&lt;&gt;"Stored",AH!$P$10&lt;&gt;1)),"",IFERROR(IF(AND(AH!$P$21=1,2572+1=AH!$P$11),TODAY(),IF(AH!$P$10=1,INDEX('Live History'!$A$5:$A$3004,AH!$P$13+2572),INDEX('AH History'!$A$1:$A$18046,AH!$P$7+2572))),""))</ns0:f>
        <ns0:v/>
      </ns0:c>
      <ns0:c r="B2577" s="219">
        <ns0:f>IFERROR(IF(AND(AH!$P$9&lt;&gt;1,$C2577&gt;0,$D2577&gt;0,$E2577&gt;0,$F2577&gt;0,$G2577&gt;0,$F2577&lt;=$A2577,$G2577&lt;=$A2577,$A2577-$F2577&lt;=10,$A2577-$G2577&lt;=5),$D2577*$E2577/$C2577-1,NA()),NA())</ns0:f>
        <ns0:v/>
      </ns0:c>
      <ns0:c r="C2577">
        <ns0:f>IFERROR(IF(ISNUMBER($A2577),IF(AND(AH!$P$10=1,AH!$P$12=1,$A2577=TODAY()),AH!$P$19,IF(AH!$P$10=1,INDEX('Live History'!$B$5:$B$3004,AH!$P$13+2572),INDEX('AH History'!$B$1:$B$18046,AH!$P$7+2572))),NA()),NA())</ns0:f>
        <ns0:v/>
      </ns0:c>
      <ns0:c r="D2577">
        <ns0:f>IFERROR(IF(ISNUMBER($A2577),IF(AND(AH!$P$10=1,AH!$P$12=1,$A2577=TODAY()),AH!$P$18,IF(AH!$P$10=1,INDEX('Live History'!$E$5:$E$3004,MATCH($A2577,'Live History'!$D$5:$D$3004,1)),INDEX('AH History'!$C$1:$C$18046,AH!$P$7+2572))),NA()),NA())</ns0:f>
        <ns0:v/>
      </ns0:c>
      <ns0:c r="E2577">
        <ns0:f>IFERROR(IF(ISNUMBER($A2577),IF(AND(AH!$P$10=1,AH!$P$12=1,$A2577=TODAY()),AH!$P$20,IF(AH!$P$10=1,INDEX('Live History'!$H$5:$H$3004,MATCH($A2577,'Live History'!$G$5:$G$3004,1)),INDEX('AH History'!$D$1:$D$18046,AH!$P$7+2572))),NA()),NA())</ns0:f>
        <ns0:v/>
      </ns0:c>
      <ns0:c r="F2577">
        <ns0:f>IFERROR(IF(ISNUMBER($A2577),IF(AND(AH!$P$10=1,AH!$P$12=1,$A2577=TODAY()),IF(AND(AH!$P$10=1,AH!$P$12=1,$A2577=TODAY()),TODAY(),NA()),IF(AH!$P$10=1,INDEX('Live History'!$D$5:$D$3004,MATCH($A2577,'Live History'!$D$5:$D$3004,1)),INDEX('AH History'!$E$1:$E$18046,AH!$P$7+2572))),NA()),NA())</ns0:f>
        <ns0:v/>
      </ns0:c>
      <ns0:c r="G2577">
        <ns0:f>IFERROR(IF(ISNUMBER($A2577),IF(AND(AH!$P$10=1,AH!$P$12=1,$A2577=TODAY()),IF(AND(AH!$P$10=1,AH!$P$12=1,$A2577=TODAY()),TODAY(),NA()),IF(AH!$P$10=1,INDEX('Live History'!$G$5:$G$3004,MATCH($A2577,'Live History'!$G$5:$G$3004,1)),INDEX('AH History'!$F$1:$F$18046,AH!$P$7+2572))),NA()),NA())</ns0:f>
        <ns0:v/>
      </ns0:c>
      <ns0:c r="H2577">
        <ns0:f>IFERROR(IF(AND(AH!$E$4="Bloomberg",AH!$P$10=1,ISNUMBER($A2577),$A2577&lt;=AH!$P$17),AH!$P$7-1+MATCH($A2577,INDEX('AH History'!$A$1:$A$18046,AH!$P$7):INDEX('AH History'!$A$1:$A$18046,AH!$P$7+AH!$P$8-1),0),0),0)</ns0:f>
        <ns0:v/>
      </ns0:c>
      <ns0:c r="I2577">
        <ns0:f>IF($H2577=0,0,IFERROR(IF(AND(ABS($C2577-INDEX('AH History'!$B$1:$B$18046,$H2577))&lt;=MAX(0.005,ABS(INDEX('AH History'!$B$1:$B$18046,$H2577))*0.00005),ABS($D2577-INDEX('AH History'!$C$1:$C$18046,$H2577))&lt;=MAX(0.005,ABS(INDEX('AH History'!$C$1:$C$18046,$H2577))*0.00005),ABS($E2577-INDEX('AH History'!$D$1:$D$18046,$H2577))&lt;=0.00005,$F2577=INDEX('AH History'!$E$1:$E$18046,$H2577),$G2577=INDEX('AH History'!$F$1:$F$18046,$H2577)),1,-1),-1))</ns0:f>
        <ns0:v/>
      </ns0:c>
    </ns0:row>
    <ns0:row r="2578">
      <ns0:c r="A2578" s="215">
        <ns0:f>IF(OR(AH!$P$3=0,2573+1&gt;AH!$P$11,AND(AH!$E$4&lt;&gt;"Stored",AH!$P$10&lt;&gt;1)),"",IFERROR(IF(AND(AH!$P$21=1,2573+1=AH!$P$11),TODAY(),IF(AH!$P$10=1,INDEX('Live History'!$A$5:$A$3004,AH!$P$13+2573),INDEX('AH History'!$A$1:$A$18046,AH!$P$7+2573))),""))</ns0:f>
        <ns0:v/>
      </ns0:c>
      <ns0:c r="B2578" s="219">
        <ns0:f>IFERROR(IF(AND(AH!$P$9&lt;&gt;1,$C2578&gt;0,$D2578&gt;0,$E2578&gt;0,$F2578&gt;0,$G2578&gt;0,$F2578&lt;=$A2578,$G2578&lt;=$A2578,$A2578-$F2578&lt;=10,$A2578-$G2578&lt;=5),$D2578*$E2578/$C2578-1,NA()),NA())</ns0:f>
        <ns0:v/>
      </ns0:c>
      <ns0:c r="C2578">
        <ns0:f>IFERROR(IF(ISNUMBER($A2578),IF(AND(AH!$P$10=1,AH!$P$12=1,$A2578=TODAY()),AH!$P$19,IF(AH!$P$10=1,INDEX('Live History'!$B$5:$B$3004,AH!$P$13+2573),INDEX('AH History'!$B$1:$B$18046,AH!$P$7+2573))),NA()),NA())</ns0:f>
        <ns0:v/>
      </ns0:c>
      <ns0:c r="D2578">
        <ns0:f>IFERROR(IF(ISNUMBER($A2578),IF(AND(AH!$P$10=1,AH!$P$12=1,$A2578=TODAY()),AH!$P$18,IF(AH!$P$10=1,INDEX('Live History'!$E$5:$E$3004,MATCH($A2578,'Live History'!$D$5:$D$3004,1)),INDEX('AH History'!$C$1:$C$18046,AH!$P$7+2573))),NA()),NA())</ns0:f>
        <ns0:v/>
      </ns0:c>
      <ns0:c r="E2578">
        <ns0:f>IFERROR(IF(ISNUMBER($A2578),IF(AND(AH!$P$10=1,AH!$P$12=1,$A2578=TODAY()),AH!$P$20,IF(AH!$P$10=1,INDEX('Live History'!$H$5:$H$3004,MATCH($A2578,'Live History'!$G$5:$G$3004,1)),INDEX('AH History'!$D$1:$D$18046,AH!$P$7+2573))),NA()),NA())</ns0:f>
        <ns0:v/>
      </ns0:c>
      <ns0:c r="F2578">
        <ns0:f>IFERROR(IF(ISNUMBER($A2578),IF(AND(AH!$P$10=1,AH!$P$12=1,$A2578=TODAY()),IF(AND(AH!$P$10=1,AH!$P$12=1,$A2578=TODAY()),TODAY(),NA()),IF(AH!$P$10=1,INDEX('Live History'!$D$5:$D$3004,MATCH($A2578,'Live History'!$D$5:$D$3004,1)),INDEX('AH History'!$E$1:$E$18046,AH!$P$7+2573))),NA()),NA())</ns0:f>
        <ns0:v/>
      </ns0:c>
      <ns0:c r="G2578">
        <ns0:f>IFERROR(IF(ISNUMBER($A2578),IF(AND(AH!$P$10=1,AH!$P$12=1,$A2578=TODAY()),IF(AND(AH!$P$10=1,AH!$P$12=1,$A2578=TODAY()),TODAY(),NA()),IF(AH!$P$10=1,INDEX('Live History'!$G$5:$G$3004,MATCH($A2578,'Live History'!$G$5:$G$3004,1)),INDEX('AH History'!$F$1:$F$18046,AH!$P$7+2573))),NA()),NA())</ns0:f>
        <ns0:v/>
      </ns0:c>
      <ns0:c r="H2578">
        <ns0:f>IFERROR(IF(AND(AH!$E$4="Bloomberg",AH!$P$10=1,ISNUMBER($A2578),$A2578&lt;=AH!$P$17),AH!$P$7-1+MATCH($A2578,INDEX('AH History'!$A$1:$A$18046,AH!$P$7):INDEX('AH History'!$A$1:$A$18046,AH!$P$7+AH!$P$8-1),0),0),0)</ns0:f>
        <ns0:v/>
      </ns0:c>
      <ns0:c r="I2578">
        <ns0:f>IF($H2578=0,0,IFERROR(IF(AND(ABS($C2578-INDEX('AH History'!$B$1:$B$18046,$H2578))&lt;=MAX(0.005,ABS(INDEX('AH History'!$B$1:$B$18046,$H2578))*0.00005),ABS($D2578-INDEX('AH History'!$C$1:$C$18046,$H2578))&lt;=MAX(0.005,ABS(INDEX('AH History'!$C$1:$C$18046,$H2578))*0.00005),ABS($E2578-INDEX('AH History'!$D$1:$D$18046,$H2578))&lt;=0.00005,$F2578=INDEX('AH History'!$E$1:$E$18046,$H2578),$G2578=INDEX('AH History'!$F$1:$F$18046,$H2578)),1,-1),-1))</ns0:f>
        <ns0:v/>
      </ns0:c>
    </ns0:row>
    <ns0:row r="2579">
      <ns0:c r="A2579" s="215">
        <ns0:f>IF(OR(AH!$P$3=0,2574+1&gt;AH!$P$11,AND(AH!$E$4&lt;&gt;"Stored",AH!$P$10&lt;&gt;1)),"",IFERROR(IF(AND(AH!$P$21=1,2574+1=AH!$P$11),TODAY(),IF(AH!$P$10=1,INDEX('Live History'!$A$5:$A$3004,AH!$P$13+2574),INDEX('AH History'!$A$1:$A$18046,AH!$P$7+2574))),""))</ns0:f>
        <ns0:v/>
      </ns0:c>
      <ns0:c r="B2579" s="219">
        <ns0:f>IFERROR(IF(AND(AH!$P$9&lt;&gt;1,$C2579&gt;0,$D2579&gt;0,$E2579&gt;0,$F2579&gt;0,$G2579&gt;0,$F2579&lt;=$A2579,$G2579&lt;=$A2579,$A2579-$F2579&lt;=10,$A2579-$G2579&lt;=5),$D2579*$E2579/$C2579-1,NA()),NA())</ns0:f>
        <ns0:v/>
      </ns0:c>
      <ns0:c r="C2579">
        <ns0:f>IFERROR(IF(ISNUMBER($A2579),IF(AND(AH!$P$10=1,AH!$P$12=1,$A2579=TODAY()),AH!$P$19,IF(AH!$P$10=1,INDEX('Live History'!$B$5:$B$3004,AH!$P$13+2574),INDEX('AH History'!$B$1:$B$18046,AH!$P$7+2574))),NA()),NA())</ns0:f>
        <ns0:v/>
      </ns0:c>
      <ns0:c r="D2579">
        <ns0:f>IFERROR(IF(ISNUMBER($A2579),IF(AND(AH!$P$10=1,AH!$P$12=1,$A2579=TODAY()),AH!$P$18,IF(AH!$P$10=1,INDEX('Live History'!$E$5:$E$3004,MATCH($A2579,'Live History'!$D$5:$D$3004,1)),INDEX('AH History'!$C$1:$C$18046,AH!$P$7+2574))),NA()),NA())</ns0:f>
        <ns0:v/>
      </ns0:c>
      <ns0:c r="E2579">
        <ns0:f>IFERROR(IF(ISNUMBER($A2579),IF(AND(AH!$P$10=1,AH!$P$12=1,$A2579=TODAY()),AH!$P$20,IF(AH!$P$10=1,INDEX('Live History'!$H$5:$H$3004,MATCH($A2579,'Live History'!$G$5:$G$3004,1)),INDEX('AH History'!$D$1:$D$18046,AH!$P$7+2574))),NA()),NA())</ns0:f>
        <ns0:v/>
      </ns0:c>
      <ns0:c r="F2579">
        <ns0:f>IFERROR(IF(ISNUMBER($A2579),IF(AND(AH!$P$10=1,AH!$P$12=1,$A2579=TODAY()),IF(AND(AH!$P$10=1,AH!$P$12=1,$A2579=TODAY()),TODAY(),NA()),IF(AH!$P$10=1,INDEX('Live History'!$D$5:$D$3004,MATCH($A2579,'Live History'!$D$5:$D$3004,1)),INDEX('AH History'!$E$1:$E$18046,AH!$P$7+2574))),NA()),NA())</ns0:f>
        <ns0:v/>
      </ns0:c>
      <ns0:c r="G2579">
        <ns0:f>IFERROR(IF(ISNUMBER($A2579),IF(AND(AH!$P$10=1,AH!$P$12=1,$A2579=TODAY()),IF(AND(AH!$P$10=1,AH!$P$12=1,$A2579=TODAY()),TODAY(),NA()),IF(AH!$P$10=1,INDEX('Live History'!$G$5:$G$3004,MATCH($A2579,'Live History'!$G$5:$G$3004,1)),INDEX('AH History'!$F$1:$F$18046,AH!$P$7+2574))),NA()),NA())</ns0:f>
        <ns0:v/>
      </ns0:c>
      <ns0:c r="H2579">
        <ns0:f>IFERROR(IF(AND(AH!$E$4="Bloomberg",AH!$P$10=1,ISNUMBER($A2579),$A2579&lt;=AH!$P$17),AH!$P$7-1+MATCH($A2579,INDEX('AH History'!$A$1:$A$18046,AH!$P$7):INDEX('AH History'!$A$1:$A$18046,AH!$P$7+AH!$P$8-1),0),0),0)</ns0:f>
        <ns0:v/>
      </ns0:c>
      <ns0:c r="I2579">
        <ns0:f>IF($H2579=0,0,IFERROR(IF(AND(ABS($C2579-INDEX('AH History'!$B$1:$B$18046,$H2579))&lt;=MAX(0.005,ABS(INDEX('AH History'!$B$1:$B$18046,$H2579))*0.00005),ABS($D2579-INDEX('AH History'!$C$1:$C$18046,$H2579))&lt;=MAX(0.005,ABS(INDEX('AH History'!$C$1:$C$18046,$H2579))*0.00005),ABS($E2579-INDEX('AH History'!$D$1:$D$18046,$H2579))&lt;=0.00005,$F2579=INDEX('AH History'!$E$1:$E$18046,$H2579),$G2579=INDEX('AH History'!$F$1:$F$18046,$H2579)),1,-1),-1))</ns0:f>
        <ns0:v/>
      </ns0:c>
    </ns0:row>
    <ns0:row r="2580">
      <ns0:c r="A2580" s="215">
        <ns0:f>IF(OR(AH!$P$3=0,2575+1&gt;AH!$P$11,AND(AH!$E$4&lt;&gt;"Stored",AH!$P$10&lt;&gt;1)),"",IFERROR(IF(AND(AH!$P$21=1,2575+1=AH!$P$11),TODAY(),IF(AH!$P$10=1,INDEX('Live History'!$A$5:$A$3004,AH!$P$13+2575),INDEX('AH History'!$A$1:$A$18046,AH!$P$7+2575))),""))</ns0:f>
        <ns0:v/>
      </ns0:c>
      <ns0:c r="B2580" s="219">
        <ns0:f>IFERROR(IF(AND(AH!$P$9&lt;&gt;1,$C2580&gt;0,$D2580&gt;0,$E2580&gt;0,$F2580&gt;0,$G2580&gt;0,$F2580&lt;=$A2580,$G2580&lt;=$A2580,$A2580-$F2580&lt;=10,$A2580-$G2580&lt;=5),$D2580*$E2580/$C2580-1,NA()),NA())</ns0:f>
        <ns0:v/>
      </ns0:c>
      <ns0:c r="C2580">
        <ns0:f>IFERROR(IF(ISNUMBER($A2580),IF(AND(AH!$P$10=1,AH!$P$12=1,$A2580=TODAY()),AH!$P$19,IF(AH!$P$10=1,INDEX('Live History'!$B$5:$B$3004,AH!$P$13+2575),INDEX('AH History'!$B$1:$B$18046,AH!$P$7+2575))),NA()),NA())</ns0:f>
        <ns0:v/>
      </ns0:c>
      <ns0:c r="D2580">
        <ns0:f>IFERROR(IF(ISNUMBER($A2580),IF(AND(AH!$P$10=1,AH!$P$12=1,$A2580=TODAY()),AH!$P$18,IF(AH!$P$10=1,INDEX('Live History'!$E$5:$E$3004,MATCH($A2580,'Live History'!$D$5:$D$3004,1)),INDEX('AH History'!$C$1:$C$18046,AH!$P$7+2575))),NA()),NA())</ns0:f>
        <ns0:v/>
      </ns0:c>
      <ns0:c r="E2580">
        <ns0:f>IFERROR(IF(ISNUMBER($A2580),IF(AND(AH!$P$10=1,AH!$P$12=1,$A2580=TODAY()),AH!$P$20,IF(AH!$P$10=1,INDEX('Live History'!$H$5:$H$3004,MATCH($A2580,'Live History'!$G$5:$G$3004,1)),INDEX('AH History'!$D$1:$D$18046,AH!$P$7+2575))),NA()),NA())</ns0:f>
        <ns0:v/>
      </ns0:c>
      <ns0:c r="F2580">
        <ns0:f>IFERROR(IF(ISNUMBER($A2580),IF(AND(AH!$P$10=1,AH!$P$12=1,$A2580=TODAY()),IF(AND(AH!$P$10=1,AH!$P$12=1,$A2580=TODAY()),TODAY(),NA()),IF(AH!$P$10=1,INDEX('Live History'!$D$5:$D$3004,MATCH($A2580,'Live History'!$D$5:$D$3004,1)),INDEX('AH History'!$E$1:$E$18046,AH!$P$7+2575))),NA()),NA())</ns0:f>
        <ns0:v/>
      </ns0:c>
      <ns0:c r="G2580">
        <ns0:f>IFERROR(IF(ISNUMBER($A2580),IF(AND(AH!$P$10=1,AH!$P$12=1,$A2580=TODAY()),IF(AND(AH!$P$10=1,AH!$P$12=1,$A2580=TODAY()),TODAY(),NA()),IF(AH!$P$10=1,INDEX('Live History'!$G$5:$G$3004,MATCH($A2580,'Live History'!$G$5:$G$3004,1)),INDEX('AH History'!$F$1:$F$18046,AH!$P$7+2575))),NA()),NA())</ns0:f>
        <ns0:v/>
      </ns0:c>
      <ns0:c r="H2580">
        <ns0:f>IFERROR(IF(AND(AH!$E$4="Bloomberg",AH!$P$10=1,ISNUMBER($A2580),$A2580&lt;=AH!$P$17),AH!$P$7-1+MATCH($A2580,INDEX('AH History'!$A$1:$A$18046,AH!$P$7):INDEX('AH History'!$A$1:$A$18046,AH!$P$7+AH!$P$8-1),0),0),0)</ns0:f>
        <ns0:v/>
      </ns0:c>
      <ns0:c r="I2580">
        <ns0:f>IF($H2580=0,0,IFERROR(IF(AND(ABS($C2580-INDEX('AH History'!$B$1:$B$18046,$H2580))&lt;=MAX(0.005,ABS(INDEX('AH History'!$B$1:$B$18046,$H2580))*0.00005),ABS($D2580-INDEX('AH History'!$C$1:$C$18046,$H2580))&lt;=MAX(0.005,ABS(INDEX('AH History'!$C$1:$C$18046,$H2580))*0.00005),ABS($E2580-INDEX('AH History'!$D$1:$D$18046,$H2580))&lt;=0.00005,$F2580=INDEX('AH History'!$E$1:$E$18046,$H2580),$G2580=INDEX('AH History'!$F$1:$F$18046,$H2580)),1,-1),-1))</ns0:f>
        <ns0:v/>
      </ns0:c>
    </ns0:row>
    <ns0:row r="2581">
      <ns0:c r="A2581" s="215">
        <ns0:f>IF(OR(AH!$P$3=0,2576+1&gt;AH!$P$11,AND(AH!$E$4&lt;&gt;"Stored",AH!$P$10&lt;&gt;1)),"",IFERROR(IF(AND(AH!$P$21=1,2576+1=AH!$P$11),TODAY(),IF(AH!$P$10=1,INDEX('Live History'!$A$5:$A$3004,AH!$P$13+2576),INDEX('AH History'!$A$1:$A$18046,AH!$P$7+2576))),""))</ns0:f>
        <ns0:v/>
      </ns0:c>
      <ns0:c r="B2581" s="219">
        <ns0:f>IFERROR(IF(AND(AH!$P$9&lt;&gt;1,$C2581&gt;0,$D2581&gt;0,$E2581&gt;0,$F2581&gt;0,$G2581&gt;0,$F2581&lt;=$A2581,$G2581&lt;=$A2581,$A2581-$F2581&lt;=10,$A2581-$G2581&lt;=5),$D2581*$E2581/$C2581-1,NA()),NA())</ns0:f>
        <ns0:v/>
      </ns0:c>
      <ns0:c r="C2581">
        <ns0:f>IFERROR(IF(ISNUMBER($A2581),IF(AND(AH!$P$10=1,AH!$P$12=1,$A2581=TODAY()),AH!$P$19,IF(AH!$P$10=1,INDEX('Live History'!$B$5:$B$3004,AH!$P$13+2576),INDEX('AH History'!$B$1:$B$18046,AH!$P$7+2576))),NA()),NA())</ns0:f>
        <ns0:v/>
      </ns0:c>
      <ns0:c r="D2581">
        <ns0:f>IFERROR(IF(ISNUMBER($A2581),IF(AND(AH!$P$10=1,AH!$P$12=1,$A2581=TODAY()),AH!$P$18,IF(AH!$P$10=1,INDEX('Live History'!$E$5:$E$3004,MATCH($A2581,'Live History'!$D$5:$D$3004,1)),INDEX('AH History'!$C$1:$C$18046,AH!$P$7+2576))),NA()),NA())</ns0:f>
        <ns0:v/>
      </ns0:c>
      <ns0:c r="E2581">
        <ns0:f>IFERROR(IF(ISNUMBER($A2581),IF(AND(AH!$P$10=1,AH!$P$12=1,$A2581=TODAY()),AH!$P$20,IF(AH!$P$10=1,INDEX('Live History'!$H$5:$H$3004,MATCH($A2581,'Live History'!$G$5:$G$3004,1)),INDEX('AH History'!$D$1:$D$18046,AH!$P$7+2576))),NA()),NA())</ns0:f>
        <ns0:v/>
      </ns0:c>
      <ns0:c r="F2581">
        <ns0:f>IFERROR(IF(ISNUMBER($A2581),IF(AND(AH!$P$10=1,AH!$P$12=1,$A2581=TODAY()),IF(AND(AH!$P$10=1,AH!$P$12=1,$A2581=TODAY()),TODAY(),NA()),IF(AH!$P$10=1,INDEX('Live History'!$D$5:$D$3004,MATCH($A2581,'Live History'!$D$5:$D$3004,1)),INDEX('AH History'!$E$1:$E$18046,AH!$P$7+2576))),NA()),NA())</ns0:f>
        <ns0:v/>
      </ns0:c>
      <ns0:c r="G2581">
        <ns0:f>IFERROR(IF(ISNUMBER($A2581),IF(AND(AH!$P$10=1,AH!$P$12=1,$A2581=TODAY()),IF(AND(AH!$P$10=1,AH!$P$12=1,$A2581=TODAY()),TODAY(),NA()),IF(AH!$P$10=1,INDEX('Live History'!$G$5:$G$3004,MATCH($A2581,'Live History'!$G$5:$G$3004,1)),INDEX('AH History'!$F$1:$F$18046,AH!$P$7+2576))),NA()),NA())</ns0:f>
        <ns0:v/>
      </ns0:c>
      <ns0:c r="H2581">
        <ns0:f>IFERROR(IF(AND(AH!$E$4="Bloomberg",AH!$P$10=1,ISNUMBER($A2581),$A2581&lt;=AH!$P$17),AH!$P$7-1+MATCH($A2581,INDEX('AH History'!$A$1:$A$18046,AH!$P$7):INDEX('AH History'!$A$1:$A$18046,AH!$P$7+AH!$P$8-1),0),0),0)</ns0:f>
        <ns0:v/>
      </ns0:c>
      <ns0:c r="I2581">
        <ns0:f>IF($H2581=0,0,IFERROR(IF(AND(ABS($C2581-INDEX('AH History'!$B$1:$B$18046,$H2581))&lt;=MAX(0.005,ABS(INDEX('AH History'!$B$1:$B$18046,$H2581))*0.00005),ABS($D2581-INDEX('AH History'!$C$1:$C$18046,$H2581))&lt;=MAX(0.005,ABS(INDEX('AH History'!$C$1:$C$18046,$H2581))*0.00005),ABS($E2581-INDEX('AH History'!$D$1:$D$18046,$H2581))&lt;=0.00005,$F2581=INDEX('AH History'!$E$1:$E$18046,$H2581),$G2581=INDEX('AH History'!$F$1:$F$18046,$H2581)),1,-1),-1))</ns0:f>
        <ns0:v/>
      </ns0:c>
    </ns0:row>
    <ns0:row r="2582">
      <ns0:c r="A2582" s="215">
        <ns0:f>IF(OR(AH!$P$3=0,2577+1&gt;AH!$P$11,AND(AH!$E$4&lt;&gt;"Stored",AH!$P$10&lt;&gt;1)),"",IFERROR(IF(AND(AH!$P$21=1,2577+1=AH!$P$11),TODAY(),IF(AH!$P$10=1,INDEX('Live History'!$A$5:$A$3004,AH!$P$13+2577),INDEX('AH History'!$A$1:$A$18046,AH!$P$7+2577))),""))</ns0:f>
        <ns0:v/>
      </ns0:c>
      <ns0:c r="B2582" s="219">
        <ns0:f>IFERROR(IF(AND(AH!$P$9&lt;&gt;1,$C2582&gt;0,$D2582&gt;0,$E2582&gt;0,$F2582&gt;0,$G2582&gt;0,$F2582&lt;=$A2582,$G2582&lt;=$A2582,$A2582-$F2582&lt;=10,$A2582-$G2582&lt;=5),$D2582*$E2582/$C2582-1,NA()),NA())</ns0:f>
        <ns0:v/>
      </ns0:c>
      <ns0:c r="C2582">
        <ns0:f>IFERROR(IF(ISNUMBER($A2582),IF(AND(AH!$P$10=1,AH!$P$12=1,$A2582=TODAY()),AH!$P$19,IF(AH!$P$10=1,INDEX('Live History'!$B$5:$B$3004,AH!$P$13+2577),INDEX('AH History'!$B$1:$B$18046,AH!$P$7+2577))),NA()),NA())</ns0:f>
        <ns0:v/>
      </ns0:c>
      <ns0:c r="D2582">
        <ns0:f>IFERROR(IF(ISNUMBER($A2582),IF(AND(AH!$P$10=1,AH!$P$12=1,$A2582=TODAY()),AH!$P$18,IF(AH!$P$10=1,INDEX('Live History'!$E$5:$E$3004,MATCH($A2582,'Live History'!$D$5:$D$3004,1)),INDEX('AH History'!$C$1:$C$18046,AH!$P$7+2577))),NA()),NA())</ns0:f>
        <ns0:v/>
      </ns0:c>
      <ns0:c r="E2582">
        <ns0:f>IFERROR(IF(ISNUMBER($A2582),IF(AND(AH!$P$10=1,AH!$P$12=1,$A2582=TODAY()),AH!$P$20,IF(AH!$P$10=1,INDEX('Live History'!$H$5:$H$3004,MATCH($A2582,'Live History'!$G$5:$G$3004,1)),INDEX('AH History'!$D$1:$D$18046,AH!$P$7+2577))),NA()),NA())</ns0:f>
        <ns0:v/>
      </ns0:c>
      <ns0:c r="F2582">
        <ns0:f>IFERROR(IF(ISNUMBER($A2582),IF(AND(AH!$P$10=1,AH!$P$12=1,$A2582=TODAY()),IF(AND(AH!$P$10=1,AH!$P$12=1,$A2582=TODAY()),TODAY(),NA()),IF(AH!$P$10=1,INDEX('Live History'!$D$5:$D$3004,MATCH($A2582,'Live History'!$D$5:$D$3004,1)),INDEX('AH History'!$E$1:$E$18046,AH!$P$7+2577))),NA()),NA())</ns0:f>
        <ns0:v/>
      </ns0:c>
      <ns0:c r="G2582">
        <ns0:f>IFERROR(IF(ISNUMBER($A2582),IF(AND(AH!$P$10=1,AH!$P$12=1,$A2582=TODAY()),IF(AND(AH!$P$10=1,AH!$P$12=1,$A2582=TODAY()),TODAY(),NA()),IF(AH!$P$10=1,INDEX('Live History'!$G$5:$G$3004,MATCH($A2582,'Live History'!$G$5:$G$3004,1)),INDEX('AH History'!$F$1:$F$18046,AH!$P$7+2577))),NA()),NA())</ns0:f>
        <ns0:v/>
      </ns0:c>
      <ns0:c r="H2582">
        <ns0:f>IFERROR(IF(AND(AH!$E$4="Bloomberg",AH!$P$10=1,ISNUMBER($A2582),$A2582&lt;=AH!$P$17),AH!$P$7-1+MATCH($A2582,INDEX('AH History'!$A$1:$A$18046,AH!$P$7):INDEX('AH History'!$A$1:$A$18046,AH!$P$7+AH!$P$8-1),0),0),0)</ns0:f>
        <ns0:v/>
      </ns0:c>
      <ns0:c r="I2582">
        <ns0:f>IF($H2582=0,0,IFERROR(IF(AND(ABS($C2582-INDEX('AH History'!$B$1:$B$18046,$H2582))&lt;=MAX(0.005,ABS(INDEX('AH History'!$B$1:$B$18046,$H2582))*0.00005),ABS($D2582-INDEX('AH History'!$C$1:$C$18046,$H2582))&lt;=MAX(0.005,ABS(INDEX('AH History'!$C$1:$C$18046,$H2582))*0.00005),ABS($E2582-INDEX('AH History'!$D$1:$D$18046,$H2582))&lt;=0.00005,$F2582=INDEX('AH History'!$E$1:$E$18046,$H2582),$G2582=INDEX('AH History'!$F$1:$F$18046,$H2582)),1,-1),-1))</ns0:f>
        <ns0:v/>
      </ns0:c>
    </ns0:row>
    <ns0:row r="2583">
      <ns0:c r="A2583" s="215">
        <ns0:f>IF(OR(AH!$P$3=0,2578+1&gt;AH!$P$11,AND(AH!$E$4&lt;&gt;"Stored",AH!$P$10&lt;&gt;1)),"",IFERROR(IF(AND(AH!$P$21=1,2578+1=AH!$P$11),TODAY(),IF(AH!$P$10=1,INDEX('Live History'!$A$5:$A$3004,AH!$P$13+2578),INDEX('AH History'!$A$1:$A$18046,AH!$P$7+2578))),""))</ns0:f>
        <ns0:v/>
      </ns0:c>
      <ns0:c r="B2583" s="219">
        <ns0:f>IFERROR(IF(AND(AH!$P$9&lt;&gt;1,$C2583&gt;0,$D2583&gt;0,$E2583&gt;0,$F2583&gt;0,$G2583&gt;0,$F2583&lt;=$A2583,$G2583&lt;=$A2583,$A2583-$F2583&lt;=10,$A2583-$G2583&lt;=5),$D2583*$E2583/$C2583-1,NA()),NA())</ns0:f>
        <ns0:v/>
      </ns0:c>
      <ns0:c r="C2583">
        <ns0:f>IFERROR(IF(ISNUMBER($A2583),IF(AND(AH!$P$10=1,AH!$P$12=1,$A2583=TODAY()),AH!$P$19,IF(AH!$P$10=1,INDEX('Live History'!$B$5:$B$3004,AH!$P$13+2578),INDEX('AH History'!$B$1:$B$18046,AH!$P$7+2578))),NA()),NA())</ns0:f>
        <ns0:v/>
      </ns0:c>
      <ns0:c r="D2583">
        <ns0:f>IFERROR(IF(ISNUMBER($A2583),IF(AND(AH!$P$10=1,AH!$P$12=1,$A2583=TODAY()),AH!$P$18,IF(AH!$P$10=1,INDEX('Live History'!$E$5:$E$3004,MATCH($A2583,'Live History'!$D$5:$D$3004,1)),INDEX('AH History'!$C$1:$C$18046,AH!$P$7+2578))),NA()),NA())</ns0:f>
        <ns0:v/>
      </ns0:c>
      <ns0:c r="E2583">
        <ns0:f>IFERROR(IF(ISNUMBER($A2583),IF(AND(AH!$P$10=1,AH!$P$12=1,$A2583=TODAY()),AH!$P$20,IF(AH!$P$10=1,INDEX('Live History'!$H$5:$H$3004,MATCH($A2583,'Live History'!$G$5:$G$3004,1)),INDEX('AH History'!$D$1:$D$18046,AH!$P$7+2578))),NA()),NA())</ns0:f>
        <ns0:v/>
      </ns0:c>
      <ns0:c r="F2583">
        <ns0:f>IFERROR(IF(ISNUMBER($A2583),IF(AND(AH!$P$10=1,AH!$P$12=1,$A2583=TODAY()),IF(AND(AH!$P$10=1,AH!$P$12=1,$A2583=TODAY()),TODAY(),NA()),IF(AH!$P$10=1,INDEX('Live History'!$D$5:$D$3004,MATCH($A2583,'Live History'!$D$5:$D$3004,1)),INDEX('AH History'!$E$1:$E$18046,AH!$P$7+2578))),NA()),NA())</ns0:f>
        <ns0:v/>
      </ns0:c>
      <ns0:c r="G2583">
        <ns0:f>IFERROR(IF(ISNUMBER($A2583),IF(AND(AH!$P$10=1,AH!$P$12=1,$A2583=TODAY()),IF(AND(AH!$P$10=1,AH!$P$12=1,$A2583=TODAY()),TODAY(),NA()),IF(AH!$P$10=1,INDEX('Live History'!$G$5:$G$3004,MATCH($A2583,'Live History'!$G$5:$G$3004,1)),INDEX('AH History'!$F$1:$F$18046,AH!$P$7+2578))),NA()),NA())</ns0:f>
        <ns0:v/>
      </ns0:c>
      <ns0:c r="H2583">
        <ns0:f>IFERROR(IF(AND(AH!$E$4="Bloomberg",AH!$P$10=1,ISNUMBER($A2583),$A2583&lt;=AH!$P$17),AH!$P$7-1+MATCH($A2583,INDEX('AH History'!$A$1:$A$18046,AH!$P$7):INDEX('AH History'!$A$1:$A$18046,AH!$P$7+AH!$P$8-1),0),0),0)</ns0:f>
        <ns0:v/>
      </ns0:c>
      <ns0:c r="I2583">
        <ns0:f>IF($H2583=0,0,IFERROR(IF(AND(ABS($C2583-INDEX('AH History'!$B$1:$B$18046,$H2583))&lt;=MAX(0.005,ABS(INDEX('AH History'!$B$1:$B$18046,$H2583))*0.00005),ABS($D2583-INDEX('AH History'!$C$1:$C$18046,$H2583))&lt;=MAX(0.005,ABS(INDEX('AH History'!$C$1:$C$18046,$H2583))*0.00005),ABS($E2583-INDEX('AH History'!$D$1:$D$18046,$H2583))&lt;=0.00005,$F2583=INDEX('AH History'!$E$1:$E$18046,$H2583),$G2583=INDEX('AH History'!$F$1:$F$18046,$H2583)),1,-1),-1))</ns0:f>
        <ns0:v/>
      </ns0:c>
    </ns0:row>
    <ns0:row r="2584">
      <ns0:c r="A2584" s="215">
        <ns0:f>IF(OR(AH!$P$3=0,2579+1&gt;AH!$P$11,AND(AH!$E$4&lt;&gt;"Stored",AH!$P$10&lt;&gt;1)),"",IFERROR(IF(AND(AH!$P$21=1,2579+1=AH!$P$11),TODAY(),IF(AH!$P$10=1,INDEX('Live History'!$A$5:$A$3004,AH!$P$13+2579),INDEX('AH History'!$A$1:$A$18046,AH!$P$7+2579))),""))</ns0:f>
        <ns0:v/>
      </ns0:c>
      <ns0:c r="B2584" s="219">
        <ns0:f>IFERROR(IF(AND(AH!$P$9&lt;&gt;1,$C2584&gt;0,$D2584&gt;0,$E2584&gt;0,$F2584&gt;0,$G2584&gt;0,$F2584&lt;=$A2584,$G2584&lt;=$A2584,$A2584-$F2584&lt;=10,$A2584-$G2584&lt;=5),$D2584*$E2584/$C2584-1,NA()),NA())</ns0:f>
        <ns0:v/>
      </ns0:c>
      <ns0:c r="C2584">
        <ns0:f>IFERROR(IF(ISNUMBER($A2584),IF(AND(AH!$P$10=1,AH!$P$12=1,$A2584=TODAY()),AH!$P$19,IF(AH!$P$10=1,INDEX('Live History'!$B$5:$B$3004,AH!$P$13+2579),INDEX('AH History'!$B$1:$B$18046,AH!$P$7+2579))),NA()),NA())</ns0:f>
        <ns0:v/>
      </ns0:c>
      <ns0:c r="D2584">
        <ns0:f>IFERROR(IF(ISNUMBER($A2584),IF(AND(AH!$P$10=1,AH!$P$12=1,$A2584=TODAY()),AH!$P$18,IF(AH!$P$10=1,INDEX('Live History'!$E$5:$E$3004,MATCH($A2584,'Live History'!$D$5:$D$3004,1)),INDEX('AH History'!$C$1:$C$18046,AH!$P$7+2579))),NA()),NA())</ns0:f>
        <ns0:v/>
      </ns0:c>
      <ns0:c r="E2584">
        <ns0:f>IFERROR(IF(ISNUMBER($A2584),IF(AND(AH!$P$10=1,AH!$P$12=1,$A2584=TODAY()),AH!$P$20,IF(AH!$P$10=1,INDEX('Live History'!$H$5:$H$3004,MATCH($A2584,'Live History'!$G$5:$G$3004,1)),INDEX('AH History'!$D$1:$D$18046,AH!$P$7+2579))),NA()),NA())</ns0:f>
        <ns0:v/>
      </ns0:c>
      <ns0:c r="F2584">
        <ns0:f>IFERROR(IF(ISNUMBER($A2584),IF(AND(AH!$P$10=1,AH!$P$12=1,$A2584=TODAY()),IF(AND(AH!$P$10=1,AH!$P$12=1,$A2584=TODAY()),TODAY(),NA()),IF(AH!$P$10=1,INDEX('Live History'!$D$5:$D$3004,MATCH($A2584,'Live History'!$D$5:$D$3004,1)),INDEX('AH History'!$E$1:$E$18046,AH!$P$7+2579))),NA()),NA())</ns0:f>
        <ns0:v/>
      </ns0:c>
      <ns0:c r="G2584">
        <ns0:f>IFERROR(IF(ISNUMBER($A2584),IF(AND(AH!$P$10=1,AH!$P$12=1,$A2584=TODAY()),IF(AND(AH!$P$10=1,AH!$P$12=1,$A2584=TODAY()),TODAY(),NA()),IF(AH!$P$10=1,INDEX('Live History'!$G$5:$G$3004,MATCH($A2584,'Live History'!$G$5:$G$3004,1)),INDEX('AH History'!$F$1:$F$18046,AH!$P$7+2579))),NA()),NA())</ns0:f>
        <ns0:v/>
      </ns0:c>
      <ns0:c r="H2584">
        <ns0:f>IFERROR(IF(AND(AH!$E$4="Bloomberg",AH!$P$10=1,ISNUMBER($A2584),$A2584&lt;=AH!$P$17),AH!$P$7-1+MATCH($A2584,INDEX('AH History'!$A$1:$A$18046,AH!$P$7):INDEX('AH History'!$A$1:$A$18046,AH!$P$7+AH!$P$8-1),0),0),0)</ns0:f>
        <ns0:v/>
      </ns0:c>
      <ns0:c r="I2584">
        <ns0:f>IF($H2584=0,0,IFERROR(IF(AND(ABS($C2584-INDEX('AH History'!$B$1:$B$18046,$H2584))&lt;=MAX(0.005,ABS(INDEX('AH History'!$B$1:$B$18046,$H2584))*0.00005),ABS($D2584-INDEX('AH History'!$C$1:$C$18046,$H2584))&lt;=MAX(0.005,ABS(INDEX('AH History'!$C$1:$C$18046,$H2584))*0.00005),ABS($E2584-INDEX('AH History'!$D$1:$D$18046,$H2584))&lt;=0.00005,$F2584=INDEX('AH History'!$E$1:$E$18046,$H2584),$G2584=INDEX('AH History'!$F$1:$F$18046,$H2584)),1,-1),-1))</ns0:f>
        <ns0:v/>
      </ns0:c>
    </ns0:row>
    <ns0:row r="2585">
      <ns0:c r="A2585" s="215">
        <ns0:f>IF(OR(AH!$P$3=0,2580+1&gt;AH!$P$11,AND(AH!$E$4&lt;&gt;"Stored",AH!$P$10&lt;&gt;1)),"",IFERROR(IF(AND(AH!$P$21=1,2580+1=AH!$P$11),TODAY(),IF(AH!$P$10=1,INDEX('Live History'!$A$5:$A$3004,AH!$P$13+2580),INDEX('AH History'!$A$1:$A$18046,AH!$P$7+2580))),""))</ns0:f>
        <ns0:v/>
      </ns0:c>
      <ns0:c r="B2585" s="219">
        <ns0:f>IFERROR(IF(AND(AH!$P$9&lt;&gt;1,$C2585&gt;0,$D2585&gt;0,$E2585&gt;0,$F2585&gt;0,$G2585&gt;0,$F2585&lt;=$A2585,$G2585&lt;=$A2585,$A2585-$F2585&lt;=10,$A2585-$G2585&lt;=5),$D2585*$E2585/$C2585-1,NA()),NA())</ns0:f>
        <ns0:v/>
      </ns0:c>
      <ns0:c r="C2585">
        <ns0:f>IFERROR(IF(ISNUMBER($A2585),IF(AND(AH!$P$10=1,AH!$P$12=1,$A2585=TODAY()),AH!$P$19,IF(AH!$P$10=1,INDEX('Live History'!$B$5:$B$3004,AH!$P$13+2580),INDEX('AH History'!$B$1:$B$18046,AH!$P$7+2580))),NA()),NA())</ns0:f>
        <ns0:v/>
      </ns0:c>
      <ns0:c r="D2585">
        <ns0:f>IFERROR(IF(ISNUMBER($A2585),IF(AND(AH!$P$10=1,AH!$P$12=1,$A2585=TODAY()),AH!$P$18,IF(AH!$P$10=1,INDEX('Live History'!$E$5:$E$3004,MATCH($A2585,'Live History'!$D$5:$D$3004,1)),INDEX('AH History'!$C$1:$C$18046,AH!$P$7+2580))),NA()),NA())</ns0:f>
        <ns0:v/>
      </ns0:c>
      <ns0:c r="E2585">
        <ns0:f>IFERROR(IF(ISNUMBER($A2585),IF(AND(AH!$P$10=1,AH!$P$12=1,$A2585=TODAY()),AH!$P$20,IF(AH!$P$10=1,INDEX('Live History'!$H$5:$H$3004,MATCH($A2585,'Live History'!$G$5:$G$3004,1)),INDEX('AH History'!$D$1:$D$18046,AH!$P$7+2580))),NA()),NA())</ns0:f>
        <ns0:v/>
      </ns0:c>
      <ns0:c r="F2585">
        <ns0:f>IFERROR(IF(ISNUMBER($A2585),IF(AND(AH!$P$10=1,AH!$P$12=1,$A2585=TODAY()),IF(AND(AH!$P$10=1,AH!$P$12=1,$A2585=TODAY()),TODAY(),NA()),IF(AH!$P$10=1,INDEX('Live History'!$D$5:$D$3004,MATCH($A2585,'Live History'!$D$5:$D$3004,1)),INDEX('AH History'!$E$1:$E$18046,AH!$P$7+2580))),NA()),NA())</ns0:f>
        <ns0:v/>
      </ns0:c>
      <ns0:c r="G2585">
        <ns0:f>IFERROR(IF(ISNUMBER($A2585),IF(AND(AH!$P$10=1,AH!$P$12=1,$A2585=TODAY()),IF(AND(AH!$P$10=1,AH!$P$12=1,$A2585=TODAY()),TODAY(),NA()),IF(AH!$P$10=1,INDEX('Live History'!$G$5:$G$3004,MATCH($A2585,'Live History'!$G$5:$G$3004,1)),INDEX('AH History'!$F$1:$F$18046,AH!$P$7+2580))),NA()),NA())</ns0:f>
        <ns0:v/>
      </ns0:c>
      <ns0:c r="H2585">
        <ns0:f>IFERROR(IF(AND(AH!$E$4="Bloomberg",AH!$P$10=1,ISNUMBER($A2585),$A2585&lt;=AH!$P$17),AH!$P$7-1+MATCH($A2585,INDEX('AH History'!$A$1:$A$18046,AH!$P$7):INDEX('AH History'!$A$1:$A$18046,AH!$P$7+AH!$P$8-1),0),0),0)</ns0:f>
        <ns0:v/>
      </ns0:c>
      <ns0:c r="I2585">
        <ns0:f>IF($H2585=0,0,IFERROR(IF(AND(ABS($C2585-INDEX('AH History'!$B$1:$B$18046,$H2585))&lt;=MAX(0.005,ABS(INDEX('AH History'!$B$1:$B$18046,$H2585))*0.00005),ABS($D2585-INDEX('AH History'!$C$1:$C$18046,$H2585))&lt;=MAX(0.005,ABS(INDEX('AH History'!$C$1:$C$18046,$H2585))*0.00005),ABS($E2585-INDEX('AH History'!$D$1:$D$18046,$H2585))&lt;=0.00005,$F2585=INDEX('AH History'!$E$1:$E$18046,$H2585),$G2585=INDEX('AH History'!$F$1:$F$18046,$H2585)),1,-1),-1))</ns0:f>
        <ns0:v/>
      </ns0:c>
    </ns0:row>
    <ns0:row r="2586">
      <ns0:c r="A2586" s="215">
        <ns0:f>IF(OR(AH!$P$3=0,2581+1&gt;AH!$P$11,AND(AH!$E$4&lt;&gt;"Stored",AH!$P$10&lt;&gt;1)),"",IFERROR(IF(AND(AH!$P$21=1,2581+1=AH!$P$11),TODAY(),IF(AH!$P$10=1,INDEX('Live History'!$A$5:$A$3004,AH!$P$13+2581),INDEX('AH History'!$A$1:$A$18046,AH!$P$7+2581))),""))</ns0:f>
        <ns0:v/>
      </ns0:c>
      <ns0:c r="B2586" s="219">
        <ns0:f>IFERROR(IF(AND(AH!$P$9&lt;&gt;1,$C2586&gt;0,$D2586&gt;0,$E2586&gt;0,$F2586&gt;0,$G2586&gt;0,$F2586&lt;=$A2586,$G2586&lt;=$A2586,$A2586-$F2586&lt;=10,$A2586-$G2586&lt;=5),$D2586*$E2586/$C2586-1,NA()),NA())</ns0:f>
        <ns0:v/>
      </ns0:c>
      <ns0:c r="C2586">
        <ns0:f>IFERROR(IF(ISNUMBER($A2586),IF(AND(AH!$P$10=1,AH!$P$12=1,$A2586=TODAY()),AH!$P$19,IF(AH!$P$10=1,INDEX('Live History'!$B$5:$B$3004,AH!$P$13+2581),INDEX('AH History'!$B$1:$B$18046,AH!$P$7+2581))),NA()),NA())</ns0:f>
        <ns0:v/>
      </ns0:c>
      <ns0:c r="D2586">
        <ns0:f>IFERROR(IF(ISNUMBER($A2586),IF(AND(AH!$P$10=1,AH!$P$12=1,$A2586=TODAY()),AH!$P$18,IF(AH!$P$10=1,INDEX('Live History'!$E$5:$E$3004,MATCH($A2586,'Live History'!$D$5:$D$3004,1)),INDEX('AH History'!$C$1:$C$18046,AH!$P$7+2581))),NA()),NA())</ns0:f>
        <ns0:v/>
      </ns0:c>
      <ns0:c r="E2586">
        <ns0:f>IFERROR(IF(ISNUMBER($A2586),IF(AND(AH!$P$10=1,AH!$P$12=1,$A2586=TODAY()),AH!$P$20,IF(AH!$P$10=1,INDEX('Live History'!$H$5:$H$3004,MATCH($A2586,'Live History'!$G$5:$G$3004,1)),INDEX('AH History'!$D$1:$D$18046,AH!$P$7+2581))),NA()),NA())</ns0:f>
        <ns0:v/>
      </ns0:c>
      <ns0:c r="F2586">
        <ns0:f>IFERROR(IF(ISNUMBER($A2586),IF(AND(AH!$P$10=1,AH!$P$12=1,$A2586=TODAY()),IF(AND(AH!$P$10=1,AH!$P$12=1,$A2586=TODAY()),TODAY(),NA()),IF(AH!$P$10=1,INDEX('Live History'!$D$5:$D$3004,MATCH($A2586,'Live History'!$D$5:$D$3004,1)),INDEX('AH History'!$E$1:$E$18046,AH!$P$7+2581))),NA()),NA())</ns0:f>
        <ns0:v/>
      </ns0:c>
      <ns0:c r="G2586">
        <ns0:f>IFERROR(IF(ISNUMBER($A2586),IF(AND(AH!$P$10=1,AH!$P$12=1,$A2586=TODAY()),IF(AND(AH!$P$10=1,AH!$P$12=1,$A2586=TODAY()),TODAY(),NA()),IF(AH!$P$10=1,INDEX('Live History'!$G$5:$G$3004,MATCH($A2586,'Live History'!$G$5:$G$3004,1)),INDEX('AH History'!$F$1:$F$18046,AH!$P$7+2581))),NA()),NA())</ns0:f>
        <ns0:v/>
      </ns0:c>
      <ns0:c r="H2586">
        <ns0:f>IFERROR(IF(AND(AH!$E$4="Bloomberg",AH!$P$10=1,ISNUMBER($A2586),$A2586&lt;=AH!$P$17),AH!$P$7-1+MATCH($A2586,INDEX('AH History'!$A$1:$A$18046,AH!$P$7):INDEX('AH History'!$A$1:$A$18046,AH!$P$7+AH!$P$8-1),0),0),0)</ns0:f>
        <ns0:v/>
      </ns0:c>
      <ns0:c r="I2586">
        <ns0:f>IF($H2586=0,0,IFERROR(IF(AND(ABS($C2586-INDEX('AH History'!$B$1:$B$18046,$H2586))&lt;=MAX(0.005,ABS(INDEX('AH History'!$B$1:$B$18046,$H2586))*0.00005),ABS($D2586-INDEX('AH History'!$C$1:$C$18046,$H2586))&lt;=MAX(0.005,ABS(INDEX('AH History'!$C$1:$C$18046,$H2586))*0.00005),ABS($E2586-INDEX('AH History'!$D$1:$D$18046,$H2586))&lt;=0.00005,$F2586=INDEX('AH History'!$E$1:$E$18046,$H2586),$G2586=INDEX('AH History'!$F$1:$F$18046,$H2586)),1,-1),-1))</ns0:f>
        <ns0:v/>
      </ns0:c>
    </ns0:row>
    <ns0:row r="2587">
      <ns0:c r="A2587" s="215">
        <ns0:f>IF(OR(AH!$P$3=0,2582+1&gt;AH!$P$11,AND(AH!$E$4&lt;&gt;"Stored",AH!$P$10&lt;&gt;1)),"",IFERROR(IF(AND(AH!$P$21=1,2582+1=AH!$P$11),TODAY(),IF(AH!$P$10=1,INDEX('Live History'!$A$5:$A$3004,AH!$P$13+2582),INDEX('AH History'!$A$1:$A$18046,AH!$P$7+2582))),""))</ns0:f>
        <ns0:v/>
      </ns0:c>
      <ns0:c r="B2587" s="219">
        <ns0:f>IFERROR(IF(AND(AH!$P$9&lt;&gt;1,$C2587&gt;0,$D2587&gt;0,$E2587&gt;0,$F2587&gt;0,$G2587&gt;0,$F2587&lt;=$A2587,$G2587&lt;=$A2587,$A2587-$F2587&lt;=10,$A2587-$G2587&lt;=5),$D2587*$E2587/$C2587-1,NA()),NA())</ns0:f>
        <ns0:v/>
      </ns0:c>
      <ns0:c r="C2587">
        <ns0:f>IFERROR(IF(ISNUMBER($A2587),IF(AND(AH!$P$10=1,AH!$P$12=1,$A2587=TODAY()),AH!$P$19,IF(AH!$P$10=1,INDEX('Live History'!$B$5:$B$3004,AH!$P$13+2582),INDEX('AH History'!$B$1:$B$18046,AH!$P$7+2582))),NA()),NA())</ns0:f>
        <ns0:v/>
      </ns0:c>
      <ns0:c r="D2587">
        <ns0:f>IFERROR(IF(ISNUMBER($A2587),IF(AND(AH!$P$10=1,AH!$P$12=1,$A2587=TODAY()),AH!$P$18,IF(AH!$P$10=1,INDEX('Live History'!$E$5:$E$3004,MATCH($A2587,'Live History'!$D$5:$D$3004,1)),INDEX('AH History'!$C$1:$C$18046,AH!$P$7+2582))),NA()),NA())</ns0:f>
        <ns0:v/>
      </ns0:c>
      <ns0:c r="E2587">
        <ns0:f>IFERROR(IF(ISNUMBER($A2587),IF(AND(AH!$P$10=1,AH!$P$12=1,$A2587=TODAY()),AH!$P$20,IF(AH!$P$10=1,INDEX('Live History'!$H$5:$H$3004,MATCH($A2587,'Live History'!$G$5:$G$3004,1)),INDEX('AH History'!$D$1:$D$18046,AH!$P$7+2582))),NA()),NA())</ns0:f>
        <ns0:v/>
      </ns0:c>
      <ns0:c r="F2587">
        <ns0:f>IFERROR(IF(ISNUMBER($A2587),IF(AND(AH!$P$10=1,AH!$P$12=1,$A2587=TODAY()),IF(AND(AH!$P$10=1,AH!$P$12=1,$A2587=TODAY()),TODAY(),NA()),IF(AH!$P$10=1,INDEX('Live History'!$D$5:$D$3004,MATCH($A2587,'Live History'!$D$5:$D$3004,1)),INDEX('AH History'!$E$1:$E$18046,AH!$P$7+2582))),NA()),NA())</ns0:f>
        <ns0:v/>
      </ns0:c>
      <ns0:c r="G2587">
        <ns0:f>IFERROR(IF(ISNUMBER($A2587),IF(AND(AH!$P$10=1,AH!$P$12=1,$A2587=TODAY()),IF(AND(AH!$P$10=1,AH!$P$12=1,$A2587=TODAY()),TODAY(),NA()),IF(AH!$P$10=1,INDEX('Live History'!$G$5:$G$3004,MATCH($A2587,'Live History'!$G$5:$G$3004,1)),INDEX('AH History'!$F$1:$F$18046,AH!$P$7+2582))),NA()),NA())</ns0:f>
        <ns0:v/>
      </ns0:c>
      <ns0:c r="H2587">
        <ns0:f>IFERROR(IF(AND(AH!$E$4="Bloomberg",AH!$P$10=1,ISNUMBER($A2587),$A2587&lt;=AH!$P$17),AH!$P$7-1+MATCH($A2587,INDEX('AH History'!$A$1:$A$18046,AH!$P$7):INDEX('AH History'!$A$1:$A$18046,AH!$P$7+AH!$P$8-1),0),0),0)</ns0:f>
        <ns0:v/>
      </ns0:c>
      <ns0:c r="I2587">
        <ns0:f>IF($H2587=0,0,IFERROR(IF(AND(ABS($C2587-INDEX('AH History'!$B$1:$B$18046,$H2587))&lt;=MAX(0.005,ABS(INDEX('AH History'!$B$1:$B$18046,$H2587))*0.00005),ABS($D2587-INDEX('AH History'!$C$1:$C$18046,$H2587))&lt;=MAX(0.005,ABS(INDEX('AH History'!$C$1:$C$18046,$H2587))*0.00005),ABS($E2587-INDEX('AH History'!$D$1:$D$18046,$H2587))&lt;=0.00005,$F2587=INDEX('AH History'!$E$1:$E$18046,$H2587),$G2587=INDEX('AH History'!$F$1:$F$18046,$H2587)),1,-1),-1))</ns0:f>
        <ns0:v/>
      </ns0:c>
    </ns0:row>
    <ns0:row r="2588">
      <ns0:c r="A2588" s="215">
        <ns0:f>IF(OR(AH!$P$3=0,2583+1&gt;AH!$P$11,AND(AH!$E$4&lt;&gt;"Stored",AH!$P$10&lt;&gt;1)),"",IFERROR(IF(AND(AH!$P$21=1,2583+1=AH!$P$11),TODAY(),IF(AH!$P$10=1,INDEX('Live History'!$A$5:$A$3004,AH!$P$13+2583),INDEX('AH History'!$A$1:$A$18046,AH!$P$7+2583))),""))</ns0:f>
        <ns0:v/>
      </ns0:c>
      <ns0:c r="B2588" s="219">
        <ns0:f>IFERROR(IF(AND(AH!$P$9&lt;&gt;1,$C2588&gt;0,$D2588&gt;0,$E2588&gt;0,$F2588&gt;0,$G2588&gt;0,$F2588&lt;=$A2588,$G2588&lt;=$A2588,$A2588-$F2588&lt;=10,$A2588-$G2588&lt;=5),$D2588*$E2588/$C2588-1,NA()),NA())</ns0:f>
        <ns0:v/>
      </ns0:c>
      <ns0:c r="C2588">
        <ns0:f>IFERROR(IF(ISNUMBER($A2588),IF(AND(AH!$P$10=1,AH!$P$12=1,$A2588=TODAY()),AH!$P$19,IF(AH!$P$10=1,INDEX('Live History'!$B$5:$B$3004,AH!$P$13+2583),INDEX('AH History'!$B$1:$B$18046,AH!$P$7+2583))),NA()),NA())</ns0:f>
        <ns0:v/>
      </ns0:c>
      <ns0:c r="D2588">
        <ns0:f>IFERROR(IF(ISNUMBER($A2588),IF(AND(AH!$P$10=1,AH!$P$12=1,$A2588=TODAY()),AH!$P$18,IF(AH!$P$10=1,INDEX('Live History'!$E$5:$E$3004,MATCH($A2588,'Live History'!$D$5:$D$3004,1)),INDEX('AH History'!$C$1:$C$18046,AH!$P$7+2583))),NA()),NA())</ns0:f>
        <ns0:v/>
      </ns0:c>
      <ns0:c r="E2588">
        <ns0:f>IFERROR(IF(ISNUMBER($A2588),IF(AND(AH!$P$10=1,AH!$P$12=1,$A2588=TODAY()),AH!$P$20,IF(AH!$P$10=1,INDEX('Live History'!$H$5:$H$3004,MATCH($A2588,'Live History'!$G$5:$G$3004,1)),INDEX('AH History'!$D$1:$D$18046,AH!$P$7+2583))),NA()),NA())</ns0:f>
        <ns0:v/>
      </ns0:c>
      <ns0:c r="F2588">
        <ns0:f>IFERROR(IF(ISNUMBER($A2588),IF(AND(AH!$P$10=1,AH!$P$12=1,$A2588=TODAY()),IF(AND(AH!$P$10=1,AH!$P$12=1,$A2588=TODAY()),TODAY(),NA()),IF(AH!$P$10=1,INDEX('Live History'!$D$5:$D$3004,MATCH($A2588,'Live History'!$D$5:$D$3004,1)),INDEX('AH History'!$E$1:$E$18046,AH!$P$7+2583))),NA()),NA())</ns0:f>
        <ns0:v/>
      </ns0:c>
      <ns0:c r="G2588">
        <ns0:f>IFERROR(IF(ISNUMBER($A2588),IF(AND(AH!$P$10=1,AH!$P$12=1,$A2588=TODAY()),IF(AND(AH!$P$10=1,AH!$P$12=1,$A2588=TODAY()),TODAY(),NA()),IF(AH!$P$10=1,INDEX('Live History'!$G$5:$G$3004,MATCH($A2588,'Live History'!$G$5:$G$3004,1)),INDEX('AH History'!$F$1:$F$18046,AH!$P$7+2583))),NA()),NA())</ns0:f>
        <ns0:v/>
      </ns0:c>
      <ns0:c r="H2588">
        <ns0:f>IFERROR(IF(AND(AH!$E$4="Bloomberg",AH!$P$10=1,ISNUMBER($A2588),$A2588&lt;=AH!$P$17),AH!$P$7-1+MATCH($A2588,INDEX('AH History'!$A$1:$A$18046,AH!$P$7):INDEX('AH History'!$A$1:$A$18046,AH!$P$7+AH!$P$8-1),0),0),0)</ns0:f>
        <ns0:v/>
      </ns0:c>
      <ns0:c r="I2588">
        <ns0:f>IF($H2588=0,0,IFERROR(IF(AND(ABS($C2588-INDEX('AH History'!$B$1:$B$18046,$H2588))&lt;=MAX(0.005,ABS(INDEX('AH History'!$B$1:$B$18046,$H2588))*0.00005),ABS($D2588-INDEX('AH History'!$C$1:$C$18046,$H2588))&lt;=MAX(0.005,ABS(INDEX('AH History'!$C$1:$C$18046,$H2588))*0.00005),ABS($E2588-INDEX('AH History'!$D$1:$D$18046,$H2588))&lt;=0.00005,$F2588=INDEX('AH History'!$E$1:$E$18046,$H2588),$G2588=INDEX('AH History'!$F$1:$F$18046,$H2588)),1,-1),-1))</ns0:f>
        <ns0:v/>
      </ns0:c>
    </ns0:row>
    <ns0:row r="2589">
      <ns0:c r="A2589" s="215">
        <ns0:f>IF(OR(AH!$P$3=0,2584+1&gt;AH!$P$11,AND(AH!$E$4&lt;&gt;"Stored",AH!$P$10&lt;&gt;1)),"",IFERROR(IF(AND(AH!$P$21=1,2584+1=AH!$P$11),TODAY(),IF(AH!$P$10=1,INDEX('Live History'!$A$5:$A$3004,AH!$P$13+2584),INDEX('AH History'!$A$1:$A$18046,AH!$P$7+2584))),""))</ns0:f>
        <ns0:v/>
      </ns0:c>
      <ns0:c r="B2589" s="219">
        <ns0:f>IFERROR(IF(AND(AH!$P$9&lt;&gt;1,$C2589&gt;0,$D2589&gt;0,$E2589&gt;0,$F2589&gt;0,$G2589&gt;0,$F2589&lt;=$A2589,$G2589&lt;=$A2589,$A2589-$F2589&lt;=10,$A2589-$G2589&lt;=5),$D2589*$E2589/$C2589-1,NA()),NA())</ns0:f>
        <ns0:v/>
      </ns0:c>
      <ns0:c r="C2589">
        <ns0:f>IFERROR(IF(ISNUMBER($A2589),IF(AND(AH!$P$10=1,AH!$P$12=1,$A2589=TODAY()),AH!$P$19,IF(AH!$P$10=1,INDEX('Live History'!$B$5:$B$3004,AH!$P$13+2584),INDEX('AH History'!$B$1:$B$18046,AH!$P$7+2584))),NA()),NA())</ns0:f>
        <ns0:v/>
      </ns0:c>
      <ns0:c r="D2589">
        <ns0:f>IFERROR(IF(ISNUMBER($A2589),IF(AND(AH!$P$10=1,AH!$P$12=1,$A2589=TODAY()),AH!$P$18,IF(AH!$P$10=1,INDEX('Live History'!$E$5:$E$3004,MATCH($A2589,'Live History'!$D$5:$D$3004,1)),INDEX('AH History'!$C$1:$C$18046,AH!$P$7+2584))),NA()),NA())</ns0:f>
        <ns0:v/>
      </ns0:c>
      <ns0:c r="E2589">
        <ns0:f>IFERROR(IF(ISNUMBER($A2589),IF(AND(AH!$P$10=1,AH!$P$12=1,$A2589=TODAY()),AH!$P$20,IF(AH!$P$10=1,INDEX('Live History'!$H$5:$H$3004,MATCH($A2589,'Live History'!$G$5:$G$3004,1)),INDEX('AH History'!$D$1:$D$18046,AH!$P$7+2584))),NA()),NA())</ns0:f>
        <ns0:v/>
      </ns0:c>
      <ns0:c r="F2589">
        <ns0:f>IFERROR(IF(ISNUMBER($A2589),IF(AND(AH!$P$10=1,AH!$P$12=1,$A2589=TODAY()),IF(AND(AH!$P$10=1,AH!$P$12=1,$A2589=TODAY()),TODAY(),NA()),IF(AH!$P$10=1,INDEX('Live History'!$D$5:$D$3004,MATCH($A2589,'Live History'!$D$5:$D$3004,1)),INDEX('AH History'!$E$1:$E$18046,AH!$P$7+2584))),NA()),NA())</ns0:f>
        <ns0:v/>
      </ns0:c>
      <ns0:c r="G2589">
        <ns0:f>IFERROR(IF(ISNUMBER($A2589),IF(AND(AH!$P$10=1,AH!$P$12=1,$A2589=TODAY()),IF(AND(AH!$P$10=1,AH!$P$12=1,$A2589=TODAY()),TODAY(),NA()),IF(AH!$P$10=1,INDEX('Live History'!$G$5:$G$3004,MATCH($A2589,'Live History'!$G$5:$G$3004,1)),INDEX('AH History'!$F$1:$F$18046,AH!$P$7+2584))),NA()),NA())</ns0:f>
        <ns0:v/>
      </ns0:c>
      <ns0:c r="H2589">
        <ns0:f>IFERROR(IF(AND(AH!$E$4="Bloomberg",AH!$P$10=1,ISNUMBER($A2589),$A2589&lt;=AH!$P$17),AH!$P$7-1+MATCH($A2589,INDEX('AH History'!$A$1:$A$18046,AH!$P$7):INDEX('AH History'!$A$1:$A$18046,AH!$P$7+AH!$P$8-1),0),0),0)</ns0:f>
        <ns0:v/>
      </ns0:c>
      <ns0:c r="I2589">
        <ns0:f>IF($H2589=0,0,IFERROR(IF(AND(ABS($C2589-INDEX('AH History'!$B$1:$B$18046,$H2589))&lt;=MAX(0.005,ABS(INDEX('AH History'!$B$1:$B$18046,$H2589))*0.00005),ABS($D2589-INDEX('AH History'!$C$1:$C$18046,$H2589))&lt;=MAX(0.005,ABS(INDEX('AH History'!$C$1:$C$18046,$H2589))*0.00005),ABS($E2589-INDEX('AH History'!$D$1:$D$18046,$H2589))&lt;=0.00005,$F2589=INDEX('AH History'!$E$1:$E$18046,$H2589),$G2589=INDEX('AH History'!$F$1:$F$18046,$H2589)),1,-1),-1))</ns0:f>
        <ns0:v/>
      </ns0:c>
    </ns0:row>
    <ns0:row r="2590">
      <ns0:c r="A2590" s="215">
        <ns0:f>IF(OR(AH!$P$3=0,2585+1&gt;AH!$P$11,AND(AH!$E$4&lt;&gt;"Stored",AH!$P$10&lt;&gt;1)),"",IFERROR(IF(AND(AH!$P$21=1,2585+1=AH!$P$11),TODAY(),IF(AH!$P$10=1,INDEX('Live History'!$A$5:$A$3004,AH!$P$13+2585),INDEX('AH History'!$A$1:$A$18046,AH!$P$7+2585))),""))</ns0:f>
        <ns0:v/>
      </ns0:c>
      <ns0:c r="B2590" s="219">
        <ns0:f>IFERROR(IF(AND(AH!$P$9&lt;&gt;1,$C2590&gt;0,$D2590&gt;0,$E2590&gt;0,$F2590&gt;0,$G2590&gt;0,$F2590&lt;=$A2590,$G2590&lt;=$A2590,$A2590-$F2590&lt;=10,$A2590-$G2590&lt;=5),$D2590*$E2590/$C2590-1,NA()),NA())</ns0:f>
        <ns0:v/>
      </ns0:c>
      <ns0:c r="C2590">
        <ns0:f>IFERROR(IF(ISNUMBER($A2590),IF(AND(AH!$P$10=1,AH!$P$12=1,$A2590=TODAY()),AH!$P$19,IF(AH!$P$10=1,INDEX('Live History'!$B$5:$B$3004,AH!$P$13+2585),INDEX('AH History'!$B$1:$B$18046,AH!$P$7+2585))),NA()),NA())</ns0:f>
        <ns0:v/>
      </ns0:c>
      <ns0:c r="D2590">
        <ns0:f>IFERROR(IF(ISNUMBER($A2590),IF(AND(AH!$P$10=1,AH!$P$12=1,$A2590=TODAY()),AH!$P$18,IF(AH!$P$10=1,INDEX('Live History'!$E$5:$E$3004,MATCH($A2590,'Live History'!$D$5:$D$3004,1)),INDEX('AH History'!$C$1:$C$18046,AH!$P$7+2585))),NA()),NA())</ns0:f>
        <ns0:v/>
      </ns0:c>
      <ns0:c r="E2590">
        <ns0:f>IFERROR(IF(ISNUMBER($A2590),IF(AND(AH!$P$10=1,AH!$P$12=1,$A2590=TODAY()),AH!$P$20,IF(AH!$P$10=1,INDEX('Live History'!$H$5:$H$3004,MATCH($A2590,'Live History'!$G$5:$G$3004,1)),INDEX('AH History'!$D$1:$D$18046,AH!$P$7+2585))),NA()),NA())</ns0:f>
        <ns0:v/>
      </ns0:c>
      <ns0:c r="F2590">
        <ns0:f>IFERROR(IF(ISNUMBER($A2590),IF(AND(AH!$P$10=1,AH!$P$12=1,$A2590=TODAY()),IF(AND(AH!$P$10=1,AH!$P$12=1,$A2590=TODAY()),TODAY(),NA()),IF(AH!$P$10=1,INDEX('Live History'!$D$5:$D$3004,MATCH($A2590,'Live History'!$D$5:$D$3004,1)),INDEX('AH History'!$E$1:$E$18046,AH!$P$7+2585))),NA()),NA())</ns0:f>
        <ns0:v/>
      </ns0:c>
      <ns0:c r="G2590">
        <ns0:f>IFERROR(IF(ISNUMBER($A2590),IF(AND(AH!$P$10=1,AH!$P$12=1,$A2590=TODAY()),IF(AND(AH!$P$10=1,AH!$P$12=1,$A2590=TODAY()),TODAY(),NA()),IF(AH!$P$10=1,INDEX('Live History'!$G$5:$G$3004,MATCH($A2590,'Live History'!$G$5:$G$3004,1)),INDEX('AH History'!$F$1:$F$18046,AH!$P$7+2585))),NA()),NA())</ns0:f>
        <ns0:v/>
      </ns0:c>
      <ns0:c r="H2590">
        <ns0:f>IFERROR(IF(AND(AH!$E$4="Bloomberg",AH!$P$10=1,ISNUMBER($A2590),$A2590&lt;=AH!$P$17),AH!$P$7-1+MATCH($A2590,INDEX('AH History'!$A$1:$A$18046,AH!$P$7):INDEX('AH History'!$A$1:$A$18046,AH!$P$7+AH!$P$8-1),0),0),0)</ns0:f>
        <ns0:v/>
      </ns0:c>
      <ns0:c r="I2590">
        <ns0:f>IF($H2590=0,0,IFERROR(IF(AND(ABS($C2590-INDEX('AH History'!$B$1:$B$18046,$H2590))&lt;=MAX(0.005,ABS(INDEX('AH History'!$B$1:$B$18046,$H2590))*0.00005),ABS($D2590-INDEX('AH History'!$C$1:$C$18046,$H2590))&lt;=MAX(0.005,ABS(INDEX('AH History'!$C$1:$C$18046,$H2590))*0.00005),ABS($E2590-INDEX('AH History'!$D$1:$D$18046,$H2590))&lt;=0.00005,$F2590=INDEX('AH History'!$E$1:$E$18046,$H2590),$G2590=INDEX('AH History'!$F$1:$F$18046,$H2590)),1,-1),-1))</ns0:f>
        <ns0:v/>
      </ns0:c>
    </ns0:row>
    <ns0:row r="2591">
      <ns0:c r="A2591" s="215">
        <ns0:f>IF(OR(AH!$P$3=0,2586+1&gt;AH!$P$11,AND(AH!$E$4&lt;&gt;"Stored",AH!$P$10&lt;&gt;1)),"",IFERROR(IF(AND(AH!$P$21=1,2586+1=AH!$P$11),TODAY(),IF(AH!$P$10=1,INDEX('Live History'!$A$5:$A$3004,AH!$P$13+2586),INDEX('AH History'!$A$1:$A$18046,AH!$P$7+2586))),""))</ns0:f>
        <ns0:v/>
      </ns0:c>
      <ns0:c r="B2591" s="219">
        <ns0:f>IFERROR(IF(AND(AH!$P$9&lt;&gt;1,$C2591&gt;0,$D2591&gt;0,$E2591&gt;0,$F2591&gt;0,$G2591&gt;0,$F2591&lt;=$A2591,$G2591&lt;=$A2591,$A2591-$F2591&lt;=10,$A2591-$G2591&lt;=5),$D2591*$E2591/$C2591-1,NA()),NA())</ns0:f>
        <ns0:v/>
      </ns0:c>
      <ns0:c r="C2591">
        <ns0:f>IFERROR(IF(ISNUMBER($A2591),IF(AND(AH!$P$10=1,AH!$P$12=1,$A2591=TODAY()),AH!$P$19,IF(AH!$P$10=1,INDEX('Live History'!$B$5:$B$3004,AH!$P$13+2586),INDEX('AH History'!$B$1:$B$18046,AH!$P$7+2586))),NA()),NA())</ns0:f>
        <ns0:v/>
      </ns0:c>
      <ns0:c r="D2591">
        <ns0:f>IFERROR(IF(ISNUMBER($A2591),IF(AND(AH!$P$10=1,AH!$P$12=1,$A2591=TODAY()),AH!$P$18,IF(AH!$P$10=1,INDEX('Live History'!$E$5:$E$3004,MATCH($A2591,'Live History'!$D$5:$D$3004,1)),INDEX('AH History'!$C$1:$C$18046,AH!$P$7+2586))),NA()),NA())</ns0:f>
        <ns0:v/>
      </ns0:c>
      <ns0:c r="E2591">
        <ns0:f>IFERROR(IF(ISNUMBER($A2591),IF(AND(AH!$P$10=1,AH!$P$12=1,$A2591=TODAY()),AH!$P$20,IF(AH!$P$10=1,INDEX('Live History'!$H$5:$H$3004,MATCH($A2591,'Live History'!$G$5:$G$3004,1)),INDEX('AH History'!$D$1:$D$18046,AH!$P$7+2586))),NA()),NA())</ns0:f>
        <ns0:v/>
      </ns0:c>
      <ns0:c r="F2591">
        <ns0:f>IFERROR(IF(ISNUMBER($A2591),IF(AND(AH!$P$10=1,AH!$P$12=1,$A2591=TODAY()),IF(AND(AH!$P$10=1,AH!$P$12=1,$A2591=TODAY()),TODAY(),NA()),IF(AH!$P$10=1,INDEX('Live History'!$D$5:$D$3004,MATCH($A2591,'Live History'!$D$5:$D$3004,1)),INDEX('AH History'!$E$1:$E$18046,AH!$P$7+2586))),NA()),NA())</ns0:f>
        <ns0:v/>
      </ns0:c>
      <ns0:c r="G2591">
        <ns0:f>IFERROR(IF(ISNUMBER($A2591),IF(AND(AH!$P$10=1,AH!$P$12=1,$A2591=TODAY()),IF(AND(AH!$P$10=1,AH!$P$12=1,$A2591=TODAY()),TODAY(),NA()),IF(AH!$P$10=1,INDEX('Live History'!$G$5:$G$3004,MATCH($A2591,'Live History'!$G$5:$G$3004,1)),INDEX('AH History'!$F$1:$F$18046,AH!$P$7+2586))),NA()),NA())</ns0:f>
        <ns0:v/>
      </ns0:c>
      <ns0:c r="H2591">
        <ns0:f>IFERROR(IF(AND(AH!$E$4="Bloomberg",AH!$P$10=1,ISNUMBER($A2591),$A2591&lt;=AH!$P$17),AH!$P$7-1+MATCH($A2591,INDEX('AH History'!$A$1:$A$18046,AH!$P$7):INDEX('AH History'!$A$1:$A$18046,AH!$P$7+AH!$P$8-1),0),0),0)</ns0:f>
        <ns0:v/>
      </ns0:c>
      <ns0:c r="I2591">
        <ns0:f>IF($H2591=0,0,IFERROR(IF(AND(ABS($C2591-INDEX('AH History'!$B$1:$B$18046,$H2591))&lt;=MAX(0.005,ABS(INDEX('AH History'!$B$1:$B$18046,$H2591))*0.00005),ABS($D2591-INDEX('AH History'!$C$1:$C$18046,$H2591))&lt;=MAX(0.005,ABS(INDEX('AH History'!$C$1:$C$18046,$H2591))*0.00005),ABS($E2591-INDEX('AH History'!$D$1:$D$18046,$H2591))&lt;=0.00005,$F2591=INDEX('AH History'!$E$1:$E$18046,$H2591),$G2591=INDEX('AH History'!$F$1:$F$18046,$H2591)),1,-1),-1))</ns0:f>
        <ns0:v/>
      </ns0:c>
    </ns0:row>
    <ns0:row r="2592">
      <ns0:c r="A2592" s="215">
        <ns0:f>IF(OR(AH!$P$3=0,2587+1&gt;AH!$P$11,AND(AH!$E$4&lt;&gt;"Stored",AH!$P$10&lt;&gt;1)),"",IFERROR(IF(AND(AH!$P$21=1,2587+1=AH!$P$11),TODAY(),IF(AH!$P$10=1,INDEX('Live History'!$A$5:$A$3004,AH!$P$13+2587),INDEX('AH History'!$A$1:$A$18046,AH!$P$7+2587))),""))</ns0:f>
        <ns0:v/>
      </ns0:c>
      <ns0:c r="B2592" s="219">
        <ns0:f>IFERROR(IF(AND(AH!$P$9&lt;&gt;1,$C2592&gt;0,$D2592&gt;0,$E2592&gt;0,$F2592&gt;0,$G2592&gt;0,$F2592&lt;=$A2592,$G2592&lt;=$A2592,$A2592-$F2592&lt;=10,$A2592-$G2592&lt;=5),$D2592*$E2592/$C2592-1,NA()),NA())</ns0:f>
        <ns0:v/>
      </ns0:c>
      <ns0:c r="C2592">
        <ns0:f>IFERROR(IF(ISNUMBER($A2592),IF(AND(AH!$P$10=1,AH!$P$12=1,$A2592=TODAY()),AH!$P$19,IF(AH!$P$10=1,INDEX('Live History'!$B$5:$B$3004,AH!$P$13+2587),INDEX('AH History'!$B$1:$B$18046,AH!$P$7+2587))),NA()),NA())</ns0:f>
        <ns0:v/>
      </ns0:c>
      <ns0:c r="D2592">
        <ns0:f>IFERROR(IF(ISNUMBER($A2592),IF(AND(AH!$P$10=1,AH!$P$12=1,$A2592=TODAY()),AH!$P$18,IF(AH!$P$10=1,INDEX('Live History'!$E$5:$E$3004,MATCH($A2592,'Live History'!$D$5:$D$3004,1)),INDEX('AH History'!$C$1:$C$18046,AH!$P$7+2587))),NA()),NA())</ns0:f>
        <ns0:v/>
      </ns0:c>
      <ns0:c r="E2592">
        <ns0:f>IFERROR(IF(ISNUMBER($A2592),IF(AND(AH!$P$10=1,AH!$P$12=1,$A2592=TODAY()),AH!$P$20,IF(AH!$P$10=1,INDEX('Live History'!$H$5:$H$3004,MATCH($A2592,'Live History'!$G$5:$G$3004,1)),INDEX('AH History'!$D$1:$D$18046,AH!$P$7+2587))),NA()),NA())</ns0:f>
        <ns0:v/>
      </ns0:c>
      <ns0:c r="F2592">
        <ns0:f>IFERROR(IF(ISNUMBER($A2592),IF(AND(AH!$P$10=1,AH!$P$12=1,$A2592=TODAY()),IF(AND(AH!$P$10=1,AH!$P$12=1,$A2592=TODAY()),TODAY(),NA()),IF(AH!$P$10=1,INDEX('Live History'!$D$5:$D$3004,MATCH($A2592,'Live History'!$D$5:$D$3004,1)),INDEX('AH History'!$E$1:$E$18046,AH!$P$7+2587))),NA()),NA())</ns0:f>
        <ns0:v/>
      </ns0:c>
      <ns0:c r="G2592">
        <ns0:f>IFERROR(IF(ISNUMBER($A2592),IF(AND(AH!$P$10=1,AH!$P$12=1,$A2592=TODAY()),IF(AND(AH!$P$10=1,AH!$P$12=1,$A2592=TODAY()),TODAY(),NA()),IF(AH!$P$10=1,INDEX('Live History'!$G$5:$G$3004,MATCH($A2592,'Live History'!$G$5:$G$3004,1)),INDEX('AH History'!$F$1:$F$18046,AH!$P$7+2587))),NA()),NA())</ns0:f>
        <ns0:v/>
      </ns0:c>
      <ns0:c r="H2592">
        <ns0:f>IFERROR(IF(AND(AH!$E$4="Bloomberg",AH!$P$10=1,ISNUMBER($A2592),$A2592&lt;=AH!$P$17),AH!$P$7-1+MATCH($A2592,INDEX('AH History'!$A$1:$A$18046,AH!$P$7):INDEX('AH History'!$A$1:$A$18046,AH!$P$7+AH!$P$8-1),0),0),0)</ns0:f>
        <ns0:v/>
      </ns0:c>
      <ns0:c r="I2592">
        <ns0:f>IF($H2592=0,0,IFERROR(IF(AND(ABS($C2592-INDEX('AH History'!$B$1:$B$18046,$H2592))&lt;=MAX(0.005,ABS(INDEX('AH History'!$B$1:$B$18046,$H2592))*0.00005),ABS($D2592-INDEX('AH History'!$C$1:$C$18046,$H2592))&lt;=MAX(0.005,ABS(INDEX('AH History'!$C$1:$C$18046,$H2592))*0.00005),ABS($E2592-INDEX('AH History'!$D$1:$D$18046,$H2592))&lt;=0.00005,$F2592=INDEX('AH History'!$E$1:$E$18046,$H2592),$G2592=INDEX('AH History'!$F$1:$F$18046,$H2592)),1,-1),-1))</ns0:f>
        <ns0:v/>
      </ns0:c>
    </ns0:row>
    <ns0:row r="2593">
      <ns0:c r="A2593" s="215">
        <ns0:f>IF(OR(AH!$P$3=0,2588+1&gt;AH!$P$11,AND(AH!$E$4&lt;&gt;"Stored",AH!$P$10&lt;&gt;1)),"",IFERROR(IF(AND(AH!$P$21=1,2588+1=AH!$P$11),TODAY(),IF(AH!$P$10=1,INDEX('Live History'!$A$5:$A$3004,AH!$P$13+2588),INDEX('AH History'!$A$1:$A$18046,AH!$P$7+2588))),""))</ns0:f>
        <ns0:v/>
      </ns0:c>
      <ns0:c r="B2593" s="219">
        <ns0:f>IFERROR(IF(AND(AH!$P$9&lt;&gt;1,$C2593&gt;0,$D2593&gt;0,$E2593&gt;0,$F2593&gt;0,$G2593&gt;0,$F2593&lt;=$A2593,$G2593&lt;=$A2593,$A2593-$F2593&lt;=10,$A2593-$G2593&lt;=5),$D2593*$E2593/$C2593-1,NA()),NA())</ns0:f>
        <ns0:v/>
      </ns0:c>
      <ns0:c r="C2593">
        <ns0:f>IFERROR(IF(ISNUMBER($A2593),IF(AND(AH!$P$10=1,AH!$P$12=1,$A2593=TODAY()),AH!$P$19,IF(AH!$P$10=1,INDEX('Live History'!$B$5:$B$3004,AH!$P$13+2588),INDEX('AH History'!$B$1:$B$18046,AH!$P$7+2588))),NA()),NA())</ns0:f>
        <ns0:v/>
      </ns0:c>
      <ns0:c r="D2593">
        <ns0:f>IFERROR(IF(ISNUMBER($A2593),IF(AND(AH!$P$10=1,AH!$P$12=1,$A2593=TODAY()),AH!$P$18,IF(AH!$P$10=1,INDEX('Live History'!$E$5:$E$3004,MATCH($A2593,'Live History'!$D$5:$D$3004,1)),INDEX('AH History'!$C$1:$C$18046,AH!$P$7+2588))),NA()),NA())</ns0:f>
        <ns0:v/>
      </ns0:c>
      <ns0:c r="E2593">
        <ns0:f>IFERROR(IF(ISNUMBER($A2593),IF(AND(AH!$P$10=1,AH!$P$12=1,$A2593=TODAY()),AH!$P$20,IF(AH!$P$10=1,INDEX('Live History'!$H$5:$H$3004,MATCH($A2593,'Live History'!$G$5:$G$3004,1)),INDEX('AH History'!$D$1:$D$18046,AH!$P$7+2588))),NA()),NA())</ns0:f>
        <ns0:v/>
      </ns0:c>
      <ns0:c r="F2593">
        <ns0:f>IFERROR(IF(ISNUMBER($A2593),IF(AND(AH!$P$10=1,AH!$P$12=1,$A2593=TODAY()),IF(AND(AH!$P$10=1,AH!$P$12=1,$A2593=TODAY()),TODAY(),NA()),IF(AH!$P$10=1,INDEX('Live History'!$D$5:$D$3004,MATCH($A2593,'Live History'!$D$5:$D$3004,1)),INDEX('AH History'!$E$1:$E$18046,AH!$P$7+2588))),NA()),NA())</ns0:f>
        <ns0:v/>
      </ns0:c>
      <ns0:c r="G2593">
        <ns0:f>IFERROR(IF(ISNUMBER($A2593),IF(AND(AH!$P$10=1,AH!$P$12=1,$A2593=TODAY()),IF(AND(AH!$P$10=1,AH!$P$12=1,$A2593=TODAY()),TODAY(),NA()),IF(AH!$P$10=1,INDEX('Live History'!$G$5:$G$3004,MATCH($A2593,'Live History'!$G$5:$G$3004,1)),INDEX('AH History'!$F$1:$F$18046,AH!$P$7+2588))),NA()),NA())</ns0:f>
        <ns0:v/>
      </ns0:c>
      <ns0:c r="H2593">
        <ns0:f>IFERROR(IF(AND(AH!$E$4="Bloomberg",AH!$P$10=1,ISNUMBER($A2593),$A2593&lt;=AH!$P$17),AH!$P$7-1+MATCH($A2593,INDEX('AH History'!$A$1:$A$18046,AH!$P$7):INDEX('AH History'!$A$1:$A$18046,AH!$P$7+AH!$P$8-1),0),0),0)</ns0:f>
        <ns0:v/>
      </ns0:c>
      <ns0:c r="I2593">
        <ns0:f>IF($H2593=0,0,IFERROR(IF(AND(ABS($C2593-INDEX('AH History'!$B$1:$B$18046,$H2593))&lt;=MAX(0.005,ABS(INDEX('AH History'!$B$1:$B$18046,$H2593))*0.00005),ABS($D2593-INDEX('AH History'!$C$1:$C$18046,$H2593))&lt;=MAX(0.005,ABS(INDEX('AH History'!$C$1:$C$18046,$H2593))*0.00005),ABS($E2593-INDEX('AH History'!$D$1:$D$18046,$H2593))&lt;=0.00005,$F2593=INDEX('AH History'!$E$1:$E$18046,$H2593),$G2593=INDEX('AH History'!$F$1:$F$18046,$H2593)),1,-1),-1))</ns0:f>
        <ns0:v/>
      </ns0:c>
    </ns0:row>
    <ns0:row r="2594">
      <ns0:c r="A2594" s="215">
        <ns0:f>IF(OR(AH!$P$3=0,2589+1&gt;AH!$P$11,AND(AH!$E$4&lt;&gt;"Stored",AH!$P$10&lt;&gt;1)),"",IFERROR(IF(AND(AH!$P$21=1,2589+1=AH!$P$11),TODAY(),IF(AH!$P$10=1,INDEX('Live History'!$A$5:$A$3004,AH!$P$13+2589),INDEX('AH History'!$A$1:$A$18046,AH!$P$7+2589))),""))</ns0:f>
        <ns0:v/>
      </ns0:c>
      <ns0:c r="B2594" s="219">
        <ns0:f>IFERROR(IF(AND(AH!$P$9&lt;&gt;1,$C2594&gt;0,$D2594&gt;0,$E2594&gt;0,$F2594&gt;0,$G2594&gt;0,$F2594&lt;=$A2594,$G2594&lt;=$A2594,$A2594-$F2594&lt;=10,$A2594-$G2594&lt;=5),$D2594*$E2594/$C2594-1,NA()),NA())</ns0:f>
        <ns0:v/>
      </ns0:c>
      <ns0:c r="C2594">
        <ns0:f>IFERROR(IF(ISNUMBER($A2594),IF(AND(AH!$P$10=1,AH!$P$12=1,$A2594=TODAY()),AH!$P$19,IF(AH!$P$10=1,INDEX('Live History'!$B$5:$B$3004,AH!$P$13+2589),INDEX('AH History'!$B$1:$B$18046,AH!$P$7+2589))),NA()),NA())</ns0:f>
        <ns0:v/>
      </ns0:c>
      <ns0:c r="D2594">
        <ns0:f>IFERROR(IF(ISNUMBER($A2594),IF(AND(AH!$P$10=1,AH!$P$12=1,$A2594=TODAY()),AH!$P$18,IF(AH!$P$10=1,INDEX('Live History'!$E$5:$E$3004,MATCH($A2594,'Live History'!$D$5:$D$3004,1)),INDEX('AH History'!$C$1:$C$18046,AH!$P$7+2589))),NA()),NA())</ns0:f>
        <ns0:v/>
      </ns0:c>
      <ns0:c r="E2594">
        <ns0:f>IFERROR(IF(ISNUMBER($A2594),IF(AND(AH!$P$10=1,AH!$P$12=1,$A2594=TODAY()),AH!$P$20,IF(AH!$P$10=1,INDEX('Live History'!$H$5:$H$3004,MATCH($A2594,'Live History'!$G$5:$G$3004,1)),INDEX('AH History'!$D$1:$D$18046,AH!$P$7+2589))),NA()),NA())</ns0:f>
        <ns0:v/>
      </ns0:c>
      <ns0:c r="F2594">
        <ns0:f>IFERROR(IF(ISNUMBER($A2594),IF(AND(AH!$P$10=1,AH!$P$12=1,$A2594=TODAY()),IF(AND(AH!$P$10=1,AH!$P$12=1,$A2594=TODAY()),TODAY(),NA()),IF(AH!$P$10=1,INDEX('Live History'!$D$5:$D$3004,MATCH($A2594,'Live History'!$D$5:$D$3004,1)),INDEX('AH History'!$E$1:$E$18046,AH!$P$7+2589))),NA()),NA())</ns0:f>
        <ns0:v/>
      </ns0:c>
      <ns0:c r="G2594">
        <ns0:f>IFERROR(IF(ISNUMBER($A2594),IF(AND(AH!$P$10=1,AH!$P$12=1,$A2594=TODAY()),IF(AND(AH!$P$10=1,AH!$P$12=1,$A2594=TODAY()),TODAY(),NA()),IF(AH!$P$10=1,INDEX('Live History'!$G$5:$G$3004,MATCH($A2594,'Live History'!$G$5:$G$3004,1)),INDEX('AH History'!$F$1:$F$18046,AH!$P$7+2589))),NA()),NA())</ns0:f>
        <ns0:v/>
      </ns0:c>
      <ns0:c r="H2594">
        <ns0:f>IFERROR(IF(AND(AH!$E$4="Bloomberg",AH!$P$10=1,ISNUMBER($A2594),$A2594&lt;=AH!$P$17),AH!$P$7-1+MATCH($A2594,INDEX('AH History'!$A$1:$A$18046,AH!$P$7):INDEX('AH History'!$A$1:$A$18046,AH!$P$7+AH!$P$8-1),0),0),0)</ns0:f>
        <ns0:v/>
      </ns0:c>
      <ns0:c r="I2594">
        <ns0:f>IF($H2594=0,0,IFERROR(IF(AND(ABS($C2594-INDEX('AH History'!$B$1:$B$18046,$H2594))&lt;=MAX(0.005,ABS(INDEX('AH History'!$B$1:$B$18046,$H2594))*0.00005),ABS($D2594-INDEX('AH History'!$C$1:$C$18046,$H2594))&lt;=MAX(0.005,ABS(INDEX('AH History'!$C$1:$C$18046,$H2594))*0.00005),ABS($E2594-INDEX('AH History'!$D$1:$D$18046,$H2594))&lt;=0.00005,$F2594=INDEX('AH History'!$E$1:$E$18046,$H2594),$G2594=INDEX('AH History'!$F$1:$F$18046,$H2594)),1,-1),-1))</ns0:f>
        <ns0:v/>
      </ns0:c>
    </ns0:row>
    <ns0:row r="2595">
      <ns0:c r="A2595" s="215">
        <ns0:f>IF(OR(AH!$P$3=0,2590+1&gt;AH!$P$11,AND(AH!$E$4&lt;&gt;"Stored",AH!$P$10&lt;&gt;1)),"",IFERROR(IF(AND(AH!$P$21=1,2590+1=AH!$P$11),TODAY(),IF(AH!$P$10=1,INDEX('Live History'!$A$5:$A$3004,AH!$P$13+2590),INDEX('AH History'!$A$1:$A$18046,AH!$P$7+2590))),""))</ns0:f>
        <ns0:v/>
      </ns0:c>
      <ns0:c r="B2595" s="219">
        <ns0:f>IFERROR(IF(AND(AH!$P$9&lt;&gt;1,$C2595&gt;0,$D2595&gt;0,$E2595&gt;0,$F2595&gt;0,$G2595&gt;0,$F2595&lt;=$A2595,$G2595&lt;=$A2595,$A2595-$F2595&lt;=10,$A2595-$G2595&lt;=5),$D2595*$E2595/$C2595-1,NA()),NA())</ns0:f>
        <ns0:v/>
      </ns0:c>
      <ns0:c r="C2595">
        <ns0:f>IFERROR(IF(ISNUMBER($A2595),IF(AND(AH!$P$10=1,AH!$P$12=1,$A2595=TODAY()),AH!$P$19,IF(AH!$P$10=1,INDEX('Live History'!$B$5:$B$3004,AH!$P$13+2590),INDEX('AH History'!$B$1:$B$18046,AH!$P$7+2590))),NA()),NA())</ns0:f>
        <ns0:v/>
      </ns0:c>
      <ns0:c r="D2595">
        <ns0:f>IFERROR(IF(ISNUMBER($A2595),IF(AND(AH!$P$10=1,AH!$P$12=1,$A2595=TODAY()),AH!$P$18,IF(AH!$P$10=1,INDEX('Live History'!$E$5:$E$3004,MATCH($A2595,'Live History'!$D$5:$D$3004,1)),INDEX('AH History'!$C$1:$C$18046,AH!$P$7+2590))),NA()),NA())</ns0:f>
        <ns0:v/>
      </ns0:c>
      <ns0:c r="E2595">
        <ns0:f>IFERROR(IF(ISNUMBER($A2595),IF(AND(AH!$P$10=1,AH!$P$12=1,$A2595=TODAY()),AH!$P$20,IF(AH!$P$10=1,INDEX('Live History'!$H$5:$H$3004,MATCH($A2595,'Live History'!$G$5:$G$3004,1)),INDEX('AH History'!$D$1:$D$18046,AH!$P$7+2590))),NA()),NA())</ns0:f>
        <ns0:v/>
      </ns0:c>
      <ns0:c r="F2595">
        <ns0:f>IFERROR(IF(ISNUMBER($A2595),IF(AND(AH!$P$10=1,AH!$P$12=1,$A2595=TODAY()),IF(AND(AH!$P$10=1,AH!$P$12=1,$A2595=TODAY()),TODAY(),NA()),IF(AH!$P$10=1,INDEX('Live History'!$D$5:$D$3004,MATCH($A2595,'Live History'!$D$5:$D$3004,1)),INDEX('AH History'!$E$1:$E$18046,AH!$P$7+2590))),NA()),NA())</ns0:f>
        <ns0:v/>
      </ns0:c>
      <ns0:c r="G2595">
        <ns0:f>IFERROR(IF(ISNUMBER($A2595),IF(AND(AH!$P$10=1,AH!$P$12=1,$A2595=TODAY()),IF(AND(AH!$P$10=1,AH!$P$12=1,$A2595=TODAY()),TODAY(),NA()),IF(AH!$P$10=1,INDEX('Live History'!$G$5:$G$3004,MATCH($A2595,'Live History'!$G$5:$G$3004,1)),INDEX('AH History'!$F$1:$F$18046,AH!$P$7+2590))),NA()),NA())</ns0:f>
        <ns0:v/>
      </ns0:c>
      <ns0:c r="H2595">
        <ns0:f>IFERROR(IF(AND(AH!$E$4="Bloomberg",AH!$P$10=1,ISNUMBER($A2595),$A2595&lt;=AH!$P$17),AH!$P$7-1+MATCH($A2595,INDEX('AH History'!$A$1:$A$18046,AH!$P$7):INDEX('AH History'!$A$1:$A$18046,AH!$P$7+AH!$P$8-1),0),0),0)</ns0:f>
        <ns0:v/>
      </ns0:c>
      <ns0:c r="I2595">
        <ns0:f>IF($H2595=0,0,IFERROR(IF(AND(ABS($C2595-INDEX('AH History'!$B$1:$B$18046,$H2595))&lt;=MAX(0.005,ABS(INDEX('AH History'!$B$1:$B$18046,$H2595))*0.00005),ABS($D2595-INDEX('AH History'!$C$1:$C$18046,$H2595))&lt;=MAX(0.005,ABS(INDEX('AH History'!$C$1:$C$18046,$H2595))*0.00005),ABS($E2595-INDEX('AH History'!$D$1:$D$18046,$H2595))&lt;=0.00005,$F2595=INDEX('AH History'!$E$1:$E$18046,$H2595),$G2595=INDEX('AH History'!$F$1:$F$18046,$H2595)),1,-1),-1))</ns0:f>
        <ns0:v/>
      </ns0:c>
    </ns0:row>
    <ns0:row r="2596">
      <ns0:c r="A2596" s="215">
        <ns0:f>IF(OR(AH!$P$3=0,2591+1&gt;AH!$P$11,AND(AH!$E$4&lt;&gt;"Stored",AH!$P$10&lt;&gt;1)),"",IFERROR(IF(AND(AH!$P$21=1,2591+1=AH!$P$11),TODAY(),IF(AH!$P$10=1,INDEX('Live History'!$A$5:$A$3004,AH!$P$13+2591),INDEX('AH History'!$A$1:$A$18046,AH!$P$7+2591))),""))</ns0:f>
        <ns0:v/>
      </ns0:c>
      <ns0:c r="B2596" s="219">
        <ns0:f>IFERROR(IF(AND(AH!$P$9&lt;&gt;1,$C2596&gt;0,$D2596&gt;0,$E2596&gt;0,$F2596&gt;0,$G2596&gt;0,$F2596&lt;=$A2596,$G2596&lt;=$A2596,$A2596-$F2596&lt;=10,$A2596-$G2596&lt;=5),$D2596*$E2596/$C2596-1,NA()),NA())</ns0:f>
        <ns0:v/>
      </ns0:c>
      <ns0:c r="C2596">
        <ns0:f>IFERROR(IF(ISNUMBER($A2596),IF(AND(AH!$P$10=1,AH!$P$12=1,$A2596=TODAY()),AH!$P$19,IF(AH!$P$10=1,INDEX('Live History'!$B$5:$B$3004,AH!$P$13+2591),INDEX('AH History'!$B$1:$B$18046,AH!$P$7+2591))),NA()),NA())</ns0:f>
        <ns0:v/>
      </ns0:c>
      <ns0:c r="D2596">
        <ns0:f>IFERROR(IF(ISNUMBER($A2596),IF(AND(AH!$P$10=1,AH!$P$12=1,$A2596=TODAY()),AH!$P$18,IF(AH!$P$10=1,INDEX('Live History'!$E$5:$E$3004,MATCH($A2596,'Live History'!$D$5:$D$3004,1)),INDEX('AH History'!$C$1:$C$18046,AH!$P$7+2591))),NA()),NA())</ns0:f>
        <ns0:v/>
      </ns0:c>
      <ns0:c r="E2596">
        <ns0:f>IFERROR(IF(ISNUMBER($A2596),IF(AND(AH!$P$10=1,AH!$P$12=1,$A2596=TODAY()),AH!$P$20,IF(AH!$P$10=1,INDEX('Live History'!$H$5:$H$3004,MATCH($A2596,'Live History'!$G$5:$G$3004,1)),INDEX('AH History'!$D$1:$D$18046,AH!$P$7+2591))),NA()),NA())</ns0:f>
        <ns0:v/>
      </ns0:c>
      <ns0:c r="F2596">
        <ns0:f>IFERROR(IF(ISNUMBER($A2596),IF(AND(AH!$P$10=1,AH!$P$12=1,$A2596=TODAY()),IF(AND(AH!$P$10=1,AH!$P$12=1,$A2596=TODAY()),TODAY(),NA()),IF(AH!$P$10=1,INDEX('Live History'!$D$5:$D$3004,MATCH($A2596,'Live History'!$D$5:$D$3004,1)),INDEX('AH History'!$E$1:$E$18046,AH!$P$7+2591))),NA()),NA())</ns0:f>
        <ns0:v/>
      </ns0:c>
      <ns0:c r="G2596">
        <ns0:f>IFERROR(IF(ISNUMBER($A2596),IF(AND(AH!$P$10=1,AH!$P$12=1,$A2596=TODAY()),IF(AND(AH!$P$10=1,AH!$P$12=1,$A2596=TODAY()),TODAY(),NA()),IF(AH!$P$10=1,INDEX('Live History'!$G$5:$G$3004,MATCH($A2596,'Live History'!$G$5:$G$3004,1)),INDEX('AH History'!$F$1:$F$18046,AH!$P$7+2591))),NA()),NA())</ns0:f>
        <ns0:v/>
      </ns0:c>
      <ns0:c r="H2596">
        <ns0:f>IFERROR(IF(AND(AH!$E$4="Bloomberg",AH!$P$10=1,ISNUMBER($A2596),$A2596&lt;=AH!$P$17),AH!$P$7-1+MATCH($A2596,INDEX('AH History'!$A$1:$A$18046,AH!$P$7):INDEX('AH History'!$A$1:$A$18046,AH!$P$7+AH!$P$8-1),0),0),0)</ns0:f>
        <ns0:v/>
      </ns0:c>
      <ns0:c r="I2596">
        <ns0:f>IF($H2596=0,0,IFERROR(IF(AND(ABS($C2596-INDEX('AH History'!$B$1:$B$18046,$H2596))&lt;=MAX(0.005,ABS(INDEX('AH History'!$B$1:$B$18046,$H2596))*0.00005),ABS($D2596-INDEX('AH History'!$C$1:$C$18046,$H2596))&lt;=MAX(0.005,ABS(INDEX('AH History'!$C$1:$C$18046,$H2596))*0.00005),ABS($E2596-INDEX('AH History'!$D$1:$D$18046,$H2596))&lt;=0.00005,$F2596=INDEX('AH History'!$E$1:$E$18046,$H2596),$G2596=INDEX('AH History'!$F$1:$F$18046,$H2596)),1,-1),-1))</ns0:f>
        <ns0:v/>
      </ns0:c>
    </ns0:row>
    <ns0:row r="2597">
      <ns0:c r="A2597" s="215">
        <ns0:f>IF(OR(AH!$P$3=0,2592+1&gt;AH!$P$11,AND(AH!$E$4&lt;&gt;"Stored",AH!$P$10&lt;&gt;1)),"",IFERROR(IF(AND(AH!$P$21=1,2592+1=AH!$P$11),TODAY(),IF(AH!$P$10=1,INDEX('Live History'!$A$5:$A$3004,AH!$P$13+2592),INDEX('AH History'!$A$1:$A$18046,AH!$P$7+2592))),""))</ns0:f>
        <ns0:v/>
      </ns0:c>
      <ns0:c r="B2597" s="219">
        <ns0:f>IFERROR(IF(AND(AH!$P$9&lt;&gt;1,$C2597&gt;0,$D2597&gt;0,$E2597&gt;0,$F2597&gt;0,$G2597&gt;0,$F2597&lt;=$A2597,$G2597&lt;=$A2597,$A2597-$F2597&lt;=10,$A2597-$G2597&lt;=5),$D2597*$E2597/$C2597-1,NA()),NA())</ns0:f>
        <ns0:v/>
      </ns0:c>
      <ns0:c r="C2597">
        <ns0:f>IFERROR(IF(ISNUMBER($A2597),IF(AND(AH!$P$10=1,AH!$P$12=1,$A2597=TODAY()),AH!$P$19,IF(AH!$P$10=1,INDEX('Live History'!$B$5:$B$3004,AH!$P$13+2592),INDEX('AH History'!$B$1:$B$18046,AH!$P$7+2592))),NA()),NA())</ns0:f>
        <ns0:v/>
      </ns0:c>
      <ns0:c r="D2597">
        <ns0:f>IFERROR(IF(ISNUMBER($A2597),IF(AND(AH!$P$10=1,AH!$P$12=1,$A2597=TODAY()),AH!$P$18,IF(AH!$P$10=1,INDEX('Live History'!$E$5:$E$3004,MATCH($A2597,'Live History'!$D$5:$D$3004,1)),INDEX('AH History'!$C$1:$C$18046,AH!$P$7+2592))),NA()),NA())</ns0:f>
        <ns0:v/>
      </ns0:c>
      <ns0:c r="E2597">
        <ns0:f>IFERROR(IF(ISNUMBER($A2597),IF(AND(AH!$P$10=1,AH!$P$12=1,$A2597=TODAY()),AH!$P$20,IF(AH!$P$10=1,INDEX('Live History'!$H$5:$H$3004,MATCH($A2597,'Live History'!$G$5:$G$3004,1)),INDEX('AH History'!$D$1:$D$18046,AH!$P$7+2592))),NA()),NA())</ns0:f>
        <ns0:v/>
      </ns0:c>
      <ns0:c r="F2597">
        <ns0:f>IFERROR(IF(ISNUMBER($A2597),IF(AND(AH!$P$10=1,AH!$P$12=1,$A2597=TODAY()),IF(AND(AH!$P$10=1,AH!$P$12=1,$A2597=TODAY()),TODAY(),NA()),IF(AH!$P$10=1,INDEX('Live History'!$D$5:$D$3004,MATCH($A2597,'Live History'!$D$5:$D$3004,1)),INDEX('AH History'!$E$1:$E$18046,AH!$P$7+2592))),NA()),NA())</ns0:f>
        <ns0:v/>
      </ns0:c>
      <ns0:c r="G2597">
        <ns0:f>IFERROR(IF(ISNUMBER($A2597),IF(AND(AH!$P$10=1,AH!$P$12=1,$A2597=TODAY()),IF(AND(AH!$P$10=1,AH!$P$12=1,$A2597=TODAY()),TODAY(),NA()),IF(AH!$P$10=1,INDEX('Live History'!$G$5:$G$3004,MATCH($A2597,'Live History'!$G$5:$G$3004,1)),INDEX('AH History'!$F$1:$F$18046,AH!$P$7+2592))),NA()),NA())</ns0:f>
        <ns0:v/>
      </ns0:c>
      <ns0:c r="H2597">
        <ns0:f>IFERROR(IF(AND(AH!$E$4="Bloomberg",AH!$P$10=1,ISNUMBER($A2597),$A2597&lt;=AH!$P$17),AH!$P$7-1+MATCH($A2597,INDEX('AH History'!$A$1:$A$18046,AH!$P$7):INDEX('AH History'!$A$1:$A$18046,AH!$P$7+AH!$P$8-1),0),0),0)</ns0:f>
        <ns0:v/>
      </ns0:c>
      <ns0:c r="I2597">
        <ns0:f>IF($H2597=0,0,IFERROR(IF(AND(ABS($C2597-INDEX('AH History'!$B$1:$B$18046,$H2597))&lt;=MAX(0.005,ABS(INDEX('AH History'!$B$1:$B$18046,$H2597))*0.00005),ABS($D2597-INDEX('AH History'!$C$1:$C$18046,$H2597))&lt;=MAX(0.005,ABS(INDEX('AH History'!$C$1:$C$18046,$H2597))*0.00005),ABS($E2597-INDEX('AH History'!$D$1:$D$18046,$H2597))&lt;=0.00005,$F2597=INDEX('AH History'!$E$1:$E$18046,$H2597),$G2597=INDEX('AH History'!$F$1:$F$18046,$H2597)),1,-1),-1))</ns0:f>
        <ns0:v/>
      </ns0:c>
    </ns0:row>
    <ns0:row r="2598">
      <ns0:c r="A2598" s="215">
        <ns0:f>IF(OR(AH!$P$3=0,2593+1&gt;AH!$P$11,AND(AH!$E$4&lt;&gt;"Stored",AH!$P$10&lt;&gt;1)),"",IFERROR(IF(AND(AH!$P$21=1,2593+1=AH!$P$11),TODAY(),IF(AH!$P$10=1,INDEX('Live History'!$A$5:$A$3004,AH!$P$13+2593),INDEX('AH History'!$A$1:$A$18046,AH!$P$7+2593))),""))</ns0:f>
        <ns0:v/>
      </ns0:c>
      <ns0:c r="B2598" s="219">
        <ns0:f>IFERROR(IF(AND(AH!$P$9&lt;&gt;1,$C2598&gt;0,$D2598&gt;0,$E2598&gt;0,$F2598&gt;0,$G2598&gt;0,$F2598&lt;=$A2598,$G2598&lt;=$A2598,$A2598-$F2598&lt;=10,$A2598-$G2598&lt;=5),$D2598*$E2598/$C2598-1,NA()),NA())</ns0:f>
        <ns0:v/>
      </ns0:c>
      <ns0:c r="C2598">
        <ns0:f>IFERROR(IF(ISNUMBER($A2598),IF(AND(AH!$P$10=1,AH!$P$12=1,$A2598=TODAY()),AH!$P$19,IF(AH!$P$10=1,INDEX('Live History'!$B$5:$B$3004,AH!$P$13+2593),INDEX('AH History'!$B$1:$B$18046,AH!$P$7+2593))),NA()),NA())</ns0:f>
        <ns0:v/>
      </ns0:c>
      <ns0:c r="D2598">
        <ns0:f>IFERROR(IF(ISNUMBER($A2598),IF(AND(AH!$P$10=1,AH!$P$12=1,$A2598=TODAY()),AH!$P$18,IF(AH!$P$10=1,INDEX('Live History'!$E$5:$E$3004,MATCH($A2598,'Live History'!$D$5:$D$3004,1)),INDEX('AH History'!$C$1:$C$18046,AH!$P$7+2593))),NA()),NA())</ns0:f>
        <ns0:v/>
      </ns0:c>
      <ns0:c r="E2598">
        <ns0:f>IFERROR(IF(ISNUMBER($A2598),IF(AND(AH!$P$10=1,AH!$P$12=1,$A2598=TODAY()),AH!$P$20,IF(AH!$P$10=1,INDEX('Live History'!$H$5:$H$3004,MATCH($A2598,'Live History'!$G$5:$G$3004,1)),INDEX('AH History'!$D$1:$D$18046,AH!$P$7+2593))),NA()),NA())</ns0:f>
        <ns0:v/>
      </ns0:c>
      <ns0:c r="F2598">
        <ns0:f>IFERROR(IF(ISNUMBER($A2598),IF(AND(AH!$P$10=1,AH!$P$12=1,$A2598=TODAY()),IF(AND(AH!$P$10=1,AH!$P$12=1,$A2598=TODAY()),TODAY(),NA()),IF(AH!$P$10=1,INDEX('Live History'!$D$5:$D$3004,MATCH($A2598,'Live History'!$D$5:$D$3004,1)),INDEX('AH History'!$E$1:$E$18046,AH!$P$7+2593))),NA()),NA())</ns0:f>
        <ns0:v/>
      </ns0:c>
      <ns0:c r="G2598">
        <ns0:f>IFERROR(IF(ISNUMBER($A2598),IF(AND(AH!$P$10=1,AH!$P$12=1,$A2598=TODAY()),IF(AND(AH!$P$10=1,AH!$P$12=1,$A2598=TODAY()),TODAY(),NA()),IF(AH!$P$10=1,INDEX('Live History'!$G$5:$G$3004,MATCH($A2598,'Live History'!$G$5:$G$3004,1)),INDEX('AH History'!$F$1:$F$18046,AH!$P$7+2593))),NA()),NA())</ns0:f>
        <ns0:v/>
      </ns0:c>
      <ns0:c r="H2598">
        <ns0:f>IFERROR(IF(AND(AH!$E$4="Bloomberg",AH!$P$10=1,ISNUMBER($A2598),$A2598&lt;=AH!$P$17),AH!$P$7-1+MATCH($A2598,INDEX('AH History'!$A$1:$A$18046,AH!$P$7):INDEX('AH History'!$A$1:$A$18046,AH!$P$7+AH!$P$8-1),0),0),0)</ns0:f>
        <ns0:v/>
      </ns0:c>
      <ns0:c r="I2598">
        <ns0:f>IF($H2598=0,0,IFERROR(IF(AND(ABS($C2598-INDEX('AH History'!$B$1:$B$18046,$H2598))&lt;=MAX(0.005,ABS(INDEX('AH History'!$B$1:$B$18046,$H2598))*0.00005),ABS($D2598-INDEX('AH History'!$C$1:$C$18046,$H2598))&lt;=MAX(0.005,ABS(INDEX('AH History'!$C$1:$C$18046,$H2598))*0.00005),ABS($E2598-INDEX('AH History'!$D$1:$D$18046,$H2598))&lt;=0.00005,$F2598=INDEX('AH History'!$E$1:$E$18046,$H2598),$G2598=INDEX('AH History'!$F$1:$F$18046,$H2598)),1,-1),-1))</ns0:f>
        <ns0:v/>
      </ns0:c>
    </ns0:row>
    <ns0:row r="2599">
      <ns0:c r="A2599" s="215">
        <ns0:f>IF(OR(AH!$P$3=0,2594+1&gt;AH!$P$11,AND(AH!$E$4&lt;&gt;"Stored",AH!$P$10&lt;&gt;1)),"",IFERROR(IF(AND(AH!$P$21=1,2594+1=AH!$P$11),TODAY(),IF(AH!$P$10=1,INDEX('Live History'!$A$5:$A$3004,AH!$P$13+2594),INDEX('AH History'!$A$1:$A$18046,AH!$P$7+2594))),""))</ns0:f>
        <ns0:v/>
      </ns0:c>
      <ns0:c r="B2599" s="219">
        <ns0:f>IFERROR(IF(AND(AH!$P$9&lt;&gt;1,$C2599&gt;0,$D2599&gt;0,$E2599&gt;0,$F2599&gt;0,$G2599&gt;0,$F2599&lt;=$A2599,$G2599&lt;=$A2599,$A2599-$F2599&lt;=10,$A2599-$G2599&lt;=5),$D2599*$E2599/$C2599-1,NA()),NA())</ns0:f>
        <ns0:v/>
      </ns0:c>
      <ns0:c r="C2599">
        <ns0:f>IFERROR(IF(ISNUMBER($A2599),IF(AND(AH!$P$10=1,AH!$P$12=1,$A2599=TODAY()),AH!$P$19,IF(AH!$P$10=1,INDEX('Live History'!$B$5:$B$3004,AH!$P$13+2594),INDEX('AH History'!$B$1:$B$18046,AH!$P$7+2594))),NA()),NA())</ns0:f>
        <ns0:v/>
      </ns0:c>
      <ns0:c r="D2599">
        <ns0:f>IFERROR(IF(ISNUMBER($A2599),IF(AND(AH!$P$10=1,AH!$P$12=1,$A2599=TODAY()),AH!$P$18,IF(AH!$P$10=1,INDEX('Live History'!$E$5:$E$3004,MATCH($A2599,'Live History'!$D$5:$D$3004,1)),INDEX('AH History'!$C$1:$C$18046,AH!$P$7+2594))),NA()),NA())</ns0:f>
        <ns0:v/>
      </ns0:c>
      <ns0:c r="E2599">
        <ns0:f>IFERROR(IF(ISNUMBER($A2599),IF(AND(AH!$P$10=1,AH!$P$12=1,$A2599=TODAY()),AH!$P$20,IF(AH!$P$10=1,INDEX('Live History'!$H$5:$H$3004,MATCH($A2599,'Live History'!$G$5:$G$3004,1)),INDEX('AH History'!$D$1:$D$18046,AH!$P$7+2594))),NA()),NA())</ns0:f>
        <ns0:v/>
      </ns0:c>
      <ns0:c r="F2599">
        <ns0:f>IFERROR(IF(ISNUMBER($A2599),IF(AND(AH!$P$10=1,AH!$P$12=1,$A2599=TODAY()),IF(AND(AH!$P$10=1,AH!$P$12=1,$A2599=TODAY()),TODAY(),NA()),IF(AH!$P$10=1,INDEX('Live History'!$D$5:$D$3004,MATCH($A2599,'Live History'!$D$5:$D$3004,1)),INDEX('AH History'!$E$1:$E$18046,AH!$P$7+2594))),NA()),NA())</ns0:f>
        <ns0:v/>
      </ns0:c>
      <ns0:c r="G2599">
        <ns0:f>IFERROR(IF(ISNUMBER($A2599),IF(AND(AH!$P$10=1,AH!$P$12=1,$A2599=TODAY()),IF(AND(AH!$P$10=1,AH!$P$12=1,$A2599=TODAY()),TODAY(),NA()),IF(AH!$P$10=1,INDEX('Live History'!$G$5:$G$3004,MATCH($A2599,'Live History'!$G$5:$G$3004,1)),INDEX('AH History'!$F$1:$F$18046,AH!$P$7+2594))),NA()),NA())</ns0:f>
        <ns0:v/>
      </ns0:c>
      <ns0:c r="H2599">
        <ns0:f>IFERROR(IF(AND(AH!$E$4="Bloomberg",AH!$P$10=1,ISNUMBER($A2599),$A2599&lt;=AH!$P$17),AH!$P$7-1+MATCH($A2599,INDEX('AH History'!$A$1:$A$18046,AH!$P$7):INDEX('AH History'!$A$1:$A$18046,AH!$P$7+AH!$P$8-1),0),0),0)</ns0:f>
        <ns0:v/>
      </ns0:c>
      <ns0:c r="I2599">
        <ns0:f>IF($H2599=0,0,IFERROR(IF(AND(ABS($C2599-INDEX('AH History'!$B$1:$B$18046,$H2599))&lt;=MAX(0.005,ABS(INDEX('AH History'!$B$1:$B$18046,$H2599))*0.00005),ABS($D2599-INDEX('AH History'!$C$1:$C$18046,$H2599))&lt;=MAX(0.005,ABS(INDEX('AH History'!$C$1:$C$18046,$H2599))*0.00005),ABS($E2599-INDEX('AH History'!$D$1:$D$18046,$H2599))&lt;=0.00005,$F2599=INDEX('AH History'!$E$1:$E$18046,$H2599),$G2599=INDEX('AH History'!$F$1:$F$18046,$H2599)),1,-1),-1))</ns0:f>
        <ns0:v/>
      </ns0:c>
    </ns0:row>
    <ns0:row r="2600">
      <ns0:c r="A2600" s="215">
        <ns0:f>IF(OR(AH!$P$3=0,2595+1&gt;AH!$P$11,AND(AH!$E$4&lt;&gt;"Stored",AH!$P$10&lt;&gt;1)),"",IFERROR(IF(AND(AH!$P$21=1,2595+1=AH!$P$11),TODAY(),IF(AH!$P$10=1,INDEX('Live History'!$A$5:$A$3004,AH!$P$13+2595),INDEX('AH History'!$A$1:$A$18046,AH!$P$7+2595))),""))</ns0:f>
        <ns0:v/>
      </ns0:c>
      <ns0:c r="B2600" s="219">
        <ns0:f>IFERROR(IF(AND(AH!$P$9&lt;&gt;1,$C2600&gt;0,$D2600&gt;0,$E2600&gt;0,$F2600&gt;0,$G2600&gt;0,$F2600&lt;=$A2600,$G2600&lt;=$A2600,$A2600-$F2600&lt;=10,$A2600-$G2600&lt;=5),$D2600*$E2600/$C2600-1,NA()),NA())</ns0:f>
        <ns0:v/>
      </ns0:c>
      <ns0:c r="C2600">
        <ns0:f>IFERROR(IF(ISNUMBER($A2600),IF(AND(AH!$P$10=1,AH!$P$12=1,$A2600=TODAY()),AH!$P$19,IF(AH!$P$10=1,INDEX('Live History'!$B$5:$B$3004,AH!$P$13+2595),INDEX('AH History'!$B$1:$B$18046,AH!$P$7+2595))),NA()),NA())</ns0:f>
        <ns0:v/>
      </ns0:c>
      <ns0:c r="D2600">
        <ns0:f>IFERROR(IF(ISNUMBER($A2600),IF(AND(AH!$P$10=1,AH!$P$12=1,$A2600=TODAY()),AH!$P$18,IF(AH!$P$10=1,INDEX('Live History'!$E$5:$E$3004,MATCH($A2600,'Live History'!$D$5:$D$3004,1)),INDEX('AH History'!$C$1:$C$18046,AH!$P$7+2595))),NA()),NA())</ns0:f>
        <ns0:v/>
      </ns0:c>
      <ns0:c r="E2600">
        <ns0:f>IFERROR(IF(ISNUMBER($A2600),IF(AND(AH!$P$10=1,AH!$P$12=1,$A2600=TODAY()),AH!$P$20,IF(AH!$P$10=1,INDEX('Live History'!$H$5:$H$3004,MATCH($A2600,'Live History'!$G$5:$G$3004,1)),INDEX('AH History'!$D$1:$D$18046,AH!$P$7+2595))),NA()),NA())</ns0:f>
        <ns0:v/>
      </ns0:c>
      <ns0:c r="F2600">
        <ns0:f>IFERROR(IF(ISNUMBER($A2600),IF(AND(AH!$P$10=1,AH!$P$12=1,$A2600=TODAY()),IF(AND(AH!$P$10=1,AH!$P$12=1,$A2600=TODAY()),TODAY(),NA()),IF(AH!$P$10=1,INDEX('Live History'!$D$5:$D$3004,MATCH($A2600,'Live History'!$D$5:$D$3004,1)),INDEX('AH History'!$E$1:$E$18046,AH!$P$7+2595))),NA()),NA())</ns0:f>
        <ns0:v/>
      </ns0:c>
      <ns0:c r="G2600">
        <ns0:f>IFERROR(IF(ISNUMBER($A2600),IF(AND(AH!$P$10=1,AH!$P$12=1,$A2600=TODAY()),IF(AND(AH!$P$10=1,AH!$P$12=1,$A2600=TODAY()),TODAY(),NA()),IF(AH!$P$10=1,INDEX('Live History'!$G$5:$G$3004,MATCH($A2600,'Live History'!$G$5:$G$3004,1)),INDEX('AH History'!$F$1:$F$18046,AH!$P$7+2595))),NA()),NA())</ns0:f>
        <ns0:v/>
      </ns0:c>
      <ns0:c r="H2600">
        <ns0:f>IFERROR(IF(AND(AH!$E$4="Bloomberg",AH!$P$10=1,ISNUMBER($A2600),$A2600&lt;=AH!$P$17),AH!$P$7-1+MATCH($A2600,INDEX('AH History'!$A$1:$A$18046,AH!$P$7):INDEX('AH History'!$A$1:$A$18046,AH!$P$7+AH!$P$8-1),0),0),0)</ns0:f>
        <ns0:v/>
      </ns0:c>
      <ns0:c r="I2600">
        <ns0:f>IF($H2600=0,0,IFERROR(IF(AND(ABS($C2600-INDEX('AH History'!$B$1:$B$18046,$H2600))&lt;=MAX(0.005,ABS(INDEX('AH History'!$B$1:$B$18046,$H2600))*0.00005),ABS($D2600-INDEX('AH History'!$C$1:$C$18046,$H2600))&lt;=MAX(0.005,ABS(INDEX('AH History'!$C$1:$C$18046,$H2600))*0.00005),ABS($E2600-INDEX('AH History'!$D$1:$D$18046,$H2600))&lt;=0.00005,$F2600=INDEX('AH History'!$E$1:$E$18046,$H2600),$G2600=INDEX('AH History'!$F$1:$F$18046,$H2600)),1,-1),-1))</ns0:f>
        <ns0:v/>
      </ns0:c>
    </ns0:row>
    <ns0:row r="2601">
      <ns0:c r="A2601" s="215">
        <ns0:f>IF(OR(AH!$P$3=0,2596+1&gt;AH!$P$11,AND(AH!$E$4&lt;&gt;"Stored",AH!$P$10&lt;&gt;1)),"",IFERROR(IF(AND(AH!$P$21=1,2596+1=AH!$P$11),TODAY(),IF(AH!$P$10=1,INDEX('Live History'!$A$5:$A$3004,AH!$P$13+2596),INDEX('AH History'!$A$1:$A$18046,AH!$P$7+2596))),""))</ns0:f>
        <ns0:v/>
      </ns0:c>
      <ns0:c r="B2601" s="219">
        <ns0:f>IFERROR(IF(AND(AH!$P$9&lt;&gt;1,$C2601&gt;0,$D2601&gt;0,$E2601&gt;0,$F2601&gt;0,$G2601&gt;0,$F2601&lt;=$A2601,$G2601&lt;=$A2601,$A2601-$F2601&lt;=10,$A2601-$G2601&lt;=5),$D2601*$E2601/$C2601-1,NA()),NA())</ns0:f>
        <ns0:v/>
      </ns0:c>
      <ns0:c r="C2601">
        <ns0:f>IFERROR(IF(ISNUMBER($A2601),IF(AND(AH!$P$10=1,AH!$P$12=1,$A2601=TODAY()),AH!$P$19,IF(AH!$P$10=1,INDEX('Live History'!$B$5:$B$3004,AH!$P$13+2596),INDEX('AH History'!$B$1:$B$18046,AH!$P$7+2596))),NA()),NA())</ns0:f>
        <ns0:v/>
      </ns0:c>
      <ns0:c r="D2601">
        <ns0:f>IFERROR(IF(ISNUMBER($A2601),IF(AND(AH!$P$10=1,AH!$P$12=1,$A2601=TODAY()),AH!$P$18,IF(AH!$P$10=1,INDEX('Live History'!$E$5:$E$3004,MATCH($A2601,'Live History'!$D$5:$D$3004,1)),INDEX('AH History'!$C$1:$C$18046,AH!$P$7+2596))),NA()),NA())</ns0:f>
        <ns0:v/>
      </ns0:c>
      <ns0:c r="E2601">
        <ns0:f>IFERROR(IF(ISNUMBER($A2601),IF(AND(AH!$P$10=1,AH!$P$12=1,$A2601=TODAY()),AH!$P$20,IF(AH!$P$10=1,INDEX('Live History'!$H$5:$H$3004,MATCH($A2601,'Live History'!$G$5:$G$3004,1)),INDEX('AH History'!$D$1:$D$18046,AH!$P$7+2596))),NA()),NA())</ns0:f>
        <ns0:v/>
      </ns0:c>
      <ns0:c r="F2601">
        <ns0:f>IFERROR(IF(ISNUMBER($A2601),IF(AND(AH!$P$10=1,AH!$P$12=1,$A2601=TODAY()),IF(AND(AH!$P$10=1,AH!$P$12=1,$A2601=TODAY()),TODAY(),NA()),IF(AH!$P$10=1,INDEX('Live History'!$D$5:$D$3004,MATCH($A2601,'Live History'!$D$5:$D$3004,1)),INDEX('AH History'!$E$1:$E$18046,AH!$P$7+2596))),NA()),NA())</ns0:f>
        <ns0:v/>
      </ns0:c>
      <ns0:c r="G2601">
        <ns0:f>IFERROR(IF(ISNUMBER($A2601),IF(AND(AH!$P$10=1,AH!$P$12=1,$A2601=TODAY()),IF(AND(AH!$P$10=1,AH!$P$12=1,$A2601=TODAY()),TODAY(),NA()),IF(AH!$P$10=1,INDEX('Live History'!$G$5:$G$3004,MATCH($A2601,'Live History'!$G$5:$G$3004,1)),INDEX('AH History'!$F$1:$F$18046,AH!$P$7+2596))),NA()),NA())</ns0:f>
        <ns0:v/>
      </ns0:c>
      <ns0:c r="H2601">
        <ns0:f>IFERROR(IF(AND(AH!$E$4="Bloomberg",AH!$P$10=1,ISNUMBER($A2601),$A2601&lt;=AH!$P$17),AH!$P$7-1+MATCH($A2601,INDEX('AH History'!$A$1:$A$18046,AH!$P$7):INDEX('AH History'!$A$1:$A$18046,AH!$P$7+AH!$P$8-1),0),0),0)</ns0:f>
        <ns0:v/>
      </ns0:c>
      <ns0:c r="I2601">
        <ns0:f>IF($H2601=0,0,IFERROR(IF(AND(ABS($C2601-INDEX('AH History'!$B$1:$B$18046,$H2601))&lt;=MAX(0.005,ABS(INDEX('AH History'!$B$1:$B$18046,$H2601))*0.00005),ABS($D2601-INDEX('AH History'!$C$1:$C$18046,$H2601))&lt;=MAX(0.005,ABS(INDEX('AH History'!$C$1:$C$18046,$H2601))*0.00005),ABS($E2601-INDEX('AH History'!$D$1:$D$18046,$H2601))&lt;=0.00005,$F2601=INDEX('AH History'!$E$1:$E$18046,$H2601),$G2601=INDEX('AH History'!$F$1:$F$18046,$H2601)),1,-1),-1))</ns0:f>
        <ns0:v/>
      </ns0:c>
    </ns0:row>
    <ns0:row r="2602">
      <ns0:c r="A2602" s="215">
        <ns0:f>IF(OR(AH!$P$3=0,2597+1&gt;AH!$P$11,AND(AH!$E$4&lt;&gt;"Stored",AH!$P$10&lt;&gt;1)),"",IFERROR(IF(AND(AH!$P$21=1,2597+1=AH!$P$11),TODAY(),IF(AH!$P$10=1,INDEX('Live History'!$A$5:$A$3004,AH!$P$13+2597),INDEX('AH History'!$A$1:$A$18046,AH!$P$7+2597))),""))</ns0:f>
        <ns0:v/>
      </ns0:c>
      <ns0:c r="B2602" s="219">
        <ns0:f>IFERROR(IF(AND(AH!$P$9&lt;&gt;1,$C2602&gt;0,$D2602&gt;0,$E2602&gt;0,$F2602&gt;0,$G2602&gt;0,$F2602&lt;=$A2602,$G2602&lt;=$A2602,$A2602-$F2602&lt;=10,$A2602-$G2602&lt;=5),$D2602*$E2602/$C2602-1,NA()),NA())</ns0:f>
        <ns0:v/>
      </ns0:c>
      <ns0:c r="C2602">
        <ns0:f>IFERROR(IF(ISNUMBER($A2602),IF(AND(AH!$P$10=1,AH!$P$12=1,$A2602=TODAY()),AH!$P$19,IF(AH!$P$10=1,INDEX('Live History'!$B$5:$B$3004,AH!$P$13+2597),INDEX('AH History'!$B$1:$B$18046,AH!$P$7+2597))),NA()),NA())</ns0:f>
        <ns0:v/>
      </ns0:c>
      <ns0:c r="D2602">
        <ns0:f>IFERROR(IF(ISNUMBER($A2602),IF(AND(AH!$P$10=1,AH!$P$12=1,$A2602=TODAY()),AH!$P$18,IF(AH!$P$10=1,INDEX('Live History'!$E$5:$E$3004,MATCH($A2602,'Live History'!$D$5:$D$3004,1)),INDEX('AH History'!$C$1:$C$18046,AH!$P$7+2597))),NA()),NA())</ns0:f>
        <ns0:v/>
      </ns0:c>
      <ns0:c r="E2602">
        <ns0:f>IFERROR(IF(ISNUMBER($A2602),IF(AND(AH!$P$10=1,AH!$P$12=1,$A2602=TODAY()),AH!$P$20,IF(AH!$P$10=1,INDEX('Live History'!$H$5:$H$3004,MATCH($A2602,'Live History'!$G$5:$G$3004,1)),INDEX('AH History'!$D$1:$D$18046,AH!$P$7+2597))),NA()),NA())</ns0:f>
        <ns0:v/>
      </ns0:c>
      <ns0:c r="F2602">
        <ns0:f>IFERROR(IF(ISNUMBER($A2602),IF(AND(AH!$P$10=1,AH!$P$12=1,$A2602=TODAY()),IF(AND(AH!$P$10=1,AH!$P$12=1,$A2602=TODAY()),TODAY(),NA()),IF(AH!$P$10=1,INDEX('Live History'!$D$5:$D$3004,MATCH($A2602,'Live History'!$D$5:$D$3004,1)),INDEX('AH History'!$E$1:$E$18046,AH!$P$7+2597))),NA()),NA())</ns0:f>
        <ns0:v/>
      </ns0:c>
      <ns0:c r="G2602">
        <ns0:f>IFERROR(IF(ISNUMBER($A2602),IF(AND(AH!$P$10=1,AH!$P$12=1,$A2602=TODAY()),IF(AND(AH!$P$10=1,AH!$P$12=1,$A2602=TODAY()),TODAY(),NA()),IF(AH!$P$10=1,INDEX('Live History'!$G$5:$G$3004,MATCH($A2602,'Live History'!$G$5:$G$3004,1)),INDEX('AH History'!$F$1:$F$18046,AH!$P$7+2597))),NA()),NA())</ns0:f>
        <ns0:v/>
      </ns0:c>
      <ns0:c r="H2602">
        <ns0:f>IFERROR(IF(AND(AH!$E$4="Bloomberg",AH!$P$10=1,ISNUMBER($A2602),$A2602&lt;=AH!$P$17),AH!$P$7-1+MATCH($A2602,INDEX('AH History'!$A$1:$A$18046,AH!$P$7):INDEX('AH History'!$A$1:$A$18046,AH!$P$7+AH!$P$8-1),0),0),0)</ns0:f>
        <ns0:v/>
      </ns0:c>
      <ns0:c r="I2602">
        <ns0:f>IF($H2602=0,0,IFERROR(IF(AND(ABS($C2602-INDEX('AH History'!$B$1:$B$18046,$H2602))&lt;=MAX(0.005,ABS(INDEX('AH History'!$B$1:$B$18046,$H2602))*0.00005),ABS($D2602-INDEX('AH History'!$C$1:$C$18046,$H2602))&lt;=MAX(0.005,ABS(INDEX('AH History'!$C$1:$C$18046,$H2602))*0.00005),ABS($E2602-INDEX('AH History'!$D$1:$D$18046,$H2602))&lt;=0.00005,$F2602=INDEX('AH History'!$E$1:$E$18046,$H2602),$G2602=INDEX('AH History'!$F$1:$F$18046,$H2602)),1,-1),-1))</ns0:f>
        <ns0:v/>
      </ns0:c>
    </ns0:row>
    <ns0:row r="2603">
      <ns0:c r="A2603" s="215">
        <ns0:f>IF(OR(AH!$P$3=0,2598+1&gt;AH!$P$11,AND(AH!$E$4&lt;&gt;"Stored",AH!$P$10&lt;&gt;1)),"",IFERROR(IF(AND(AH!$P$21=1,2598+1=AH!$P$11),TODAY(),IF(AH!$P$10=1,INDEX('Live History'!$A$5:$A$3004,AH!$P$13+2598),INDEX('AH History'!$A$1:$A$18046,AH!$P$7+2598))),""))</ns0:f>
        <ns0:v/>
      </ns0:c>
      <ns0:c r="B2603" s="219">
        <ns0:f>IFERROR(IF(AND(AH!$P$9&lt;&gt;1,$C2603&gt;0,$D2603&gt;0,$E2603&gt;0,$F2603&gt;0,$G2603&gt;0,$F2603&lt;=$A2603,$G2603&lt;=$A2603,$A2603-$F2603&lt;=10,$A2603-$G2603&lt;=5),$D2603*$E2603/$C2603-1,NA()),NA())</ns0:f>
        <ns0:v/>
      </ns0:c>
      <ns0:c r="C2603">
        <ns0:f>IFERROR(IF(ISNUMBER($A2603),IF(AND(AH!$P$10=1,AH!$P$12=1,$A2603=TODAY()),AH!$P$19,IF(AH!$P$10=1,INDEX('Live History'!$B$5:$B$3004,AH!$P$13+2598),INDEX('AH History'!$B$1:$B$18046,AH!$P$7+2598))),NA()),NA())</ns0:f>
        <ns0:v/>
      </ns0:c>
      <ns0:c r="D2603">
        <ns0:f>IFERROR(IF(ISNUMBER($A2603),IF(AND(AH!$P$10=1,AH!$P$12=1,$A2603=TODAY()),AH!$P$18,IF(AH!$P$10=1,INDEX('Live History'!$E$5:$E$3004,MATCH($A2603,'Live History'!$D$5:$D$3004,1)),INDEX('AH History'!$C$1:$C$18046,AH!$P$7+2598))),NA()),NA())</ns0:f>
        <ns0:v/>
      </ns0:c>
      <ns0:c r="E2603">
        <ns0:f>IFERROR(IF(ISNUMBER($A2603),IF(AND(AH!$P$10=1,AH!$P$12=1,$A2603=TODAY()),AH!$P$20,IF(AH!$P$10=1,INDEX('Live History'!$H$5:$H$3004,MATCH($A2603,'Live History'!$G$5:$G$3004,1)),INDEX('AH History'!$D$1:$D$18046,AH!$P$7+2598))),NA()),NA())</ns0:f>
        <ns0:v/>
      </ns0:c>
      <ns0:c r="F2603">
        <ns0:f>IFERROR(IF(ISNUMBER($A2603),IF(AND(AH!$P$10=1,AH!$P$12=1,$A2603=TODAY()),IF(AND(AH!$P$10=1,AH!$P$12=1,$A2603=TODAY()),TODAY(),NA()),IF(AH!$P$10=1,INDEX('Live History'!$D$5:$D$3004,MATCH($A2603,'Live History'!$D$5:$D$3004,1)),INDEX('AH History'!$E$1:$E$18046,AH!$P$7+2598))),NA()),NA())</ns0:f>
        <ns0:v/>
      </ns0:c>
      <ns0:c r="G2603">
        <ns0:f>IFERROR(IF(ISNUMBER($A2603),IF(AND(AH!$P$10=1,AH!$P$12=1,$A2603=TODAY()),IF(AND(AH!$P$10=1,AH!$P$12=1,$A2603=TODAY()),TODAY(),NA()),IF(AH!$P$10=1,INDEX('Live History'!$G$5:$G$3004,MATCH($A2603,'Live History'!$G$5:$G$3004,1)),INDEX('AH History'!$F$1:$F$18046,AH!$P$7+2598))),NA()),NA())</ns0:f>
        <ns0:v/>
      </ns0:c>
      <ns0:c r="H2603">
        <ns0:f>IFERROR(IF(AND(AH!$E$4="Bloomberg",AH!$P$10=1,ISNUMBER($A2603),$A2603&lt;=AH!$P$17),AH!$P$7-1+MATCH($A2603,INDEX('AH History'!$A$1:$A$18046,AH!$P$7):INDEX('AH History'!$A$1:$A$18046,AH!$P$7+AH!$P$8-1),0),0),0)</ns0:f>
        <ns0:v/>
      </ns0:c>
      <ns0:c r="I2603">
        <ns0:f>IF($H2603=0,0,IFERROR(IF(AND(ABS($C2603-INDEX('AH History'!$B$1:$B$18046,$H2603))&lt;=MAX(0.005,ABS(INDEX('AH History'!$B$1:$B$18046,$H2603))*0.00005),ABS($D2603-INDEX('AH History'!$C$1:$C$18046,$H2603))&lt;=MAX(0.005,ABS(INDEX('AH History'!$C$1:$C$18046,$H2603))*0.00005),ABS($E2603-INDEX('AH History'!$D$1:$D$18046,$H2603))&lt;=0.00005,$F2603=INDEX('AH History'!$E$1:$E$18046,$H2603),$G2603=INDEX('AH History'!$F$1:$F$18046,$H2603)),1,-1),-1))</ns0:f>
        <ns0:v/>
      </ns0:c>
    </ns0:row>
    <ns0:row r="2604">
      <ns0:c r="A2604" s="215">
        <ns0:f>IF(OR(AH!$P$3=0,2599+1&gt;AH!$P$11,AND(AH!$E$4&lt;&gt;"Stored",AH!$P$10&lt;&gt;1)),"",IFERROR(IF(AND(AH!$P$21=1,2599+1=AH!$P$11),TODAY(),IF(AH!$P$10=1,INDEX('Live History'!$A$5:$A$3004,AH!$P$13+2599),INDEX('AH History'!$A$1:$A$18046,AH!$P$7+2599))),""))</ns0:f>
        <ns0:v/>
      </ns0:c>
      <ns0:c r="B2604" s="219">
        <ns0:f>IFERROR(IF(AND(AH!$P$9&lt;&gt;1,$C2604&gt;0,$D2604&gt;0,$E2604&gt;0,$F2604&gt;0,$G2604&gt;0,$F2604&lt;=$A2604,$G2604&lt;=$A2604,$A2604-$F2604&lt;=10,$A2604-$G2604&lt;=5),$D2604*$E2604/$C2604-1,NA()),NA())</ns0:f>
        <ns0:v/>
      </ns0:c>
      <ns0:c r="C2604">
        <ns0:f>IFERROR(IF(ISNUMBER($A2604),IF(AND(AH!$P$10=1,AH!$P$12=1,$A2604=TODAY()),AH!$P$19,IF(AH!$P$10=1,INDEX('Live History'!$B$5:$B$3004,AH!$P$13+2599),INDEX('AH History'!$B$1:$B$18046,AH!$P$7+2599))),NA()),NA())</ns0:f>
        <ns0:v/>
      </ns0:c>
      <ns0:c r="D2604">
        <ns0:f>IFERROR(IF(ISNUMBER($A2604),IF(AND(AH!$P$10=1,AH!$P$12=1,$A2604=TODAY()),AH!$P$18,IF(AH!$P$10=1,INDEX('Live History'!$E$5:$E$3004,MATCH($A2604,'Live History'!$D$5:$D$3004,1)),INDEX('AH History'!$C$1:$C$18046,AH!$P$7+2599))),NA()),NA())</ns0:f>
        <ns0:v/>
      </ns0:c>
      <ns0:c r="E2604">
        <ns0:f>IFERROR(IF(ISNUMBER($A2604),IF(AND(AH!$P$10=1,AH!$P$12=1,$A2604=TODAY()),AH!$P$20,IF(AH!$P$10=1,INDEX('Live History'!$H$5:$H$3004,MATCH($A2604,'Live History'!$G$5:$G$3004,1)),INDEX('AH History'!$D$1:$D$18046,AH!$P$7+2599))),NA()),NA())</ns0:f>
        <ns0:v/>
      </ns0:c>
      <ns0:c r="F2604">
        <ns0:f>IFERROR(IF(ISNUMBER($A2604),IF(AND(AH!$P$10=1,AH!$P$12=1,$A2604=TODAY()),IF(AND(AH!$P$10=1,AH!$P$12=1,$A2604=TODAY()),TODAY(),NA()),IF(AH!$P$10=1,INDEX('Live History'!$D$5:$D$3004,MATCH($A2604,'Live History'!$D$5:$D$3004,1)),INDEX('AH History'!$E$1:$E$18046,AH!$P$7+2599))),NA()),NA())</ns0:f>
        <ns0:v/>
      </ns0:c>
      <ns0:c r="G2604">
        <ns0:f>IFERROR(IF(ISNUMBER($A2604),IF(AND(AH!$P$10=1,AH!$P$12=1,$A2604=TODAY()),IF(AND(AH!$P$10=1,AH!$P$12=1,$A2604=TODAY()),TODAY(),NA()),IF(AH!$P$10=1,INDEX('Live History'!$G$5:$G$3004,MATCH($A2604,'Live History'!$G$5:$G$3004,1)),INDEX('AH History'!$F$1:$F$18046,AH!$P$7+2599))),NA()),NA())</ns0:f>
        <ns0:v/>
      </ns0:c>
      <ns0:c r="H2604">
        <ns0:f>IFERROR(IF(AND(AH!$E$4="Bloomberg",AH!$P$10=1,ISNUMBER($A2604),$A2604&lt;=AH!$P$17),AH!$P$7-1+MATCH($A2604,INDEX('AH History'!$A$1:$A$18046,AH!$P$7):INDEX('AH History'!$A$1:$A$18046,AH!$P$7+AH!$P$8-1),0),0),0)</ns0:f>
        <ns0:v/>
      </ns0:c>
      <ns0:c r="I2604">
        <ns0:f>IF($H2604=0,0,IFERROR(IF(AND(ABS($C2604-INDEX('AH History'!$B$1:$B$18046,$H2604))&lt;=MAX(0.005,ABS(INDEX('AH History'!$B$1:$B$18046,$H2604))*0.00005),ABS($D2604-INDEX('AH History'!$C$1:$C$18046,$H2604))&lt;=MAX(0.005,ABS(INDEX('AH History'!$C$1:$C$18046,$H2604))*0.00005),ABS($E2604-INDEX('AH History'!$D$1:$D$18046,$H2604))&lt;=0.00005,$F2604=INDEX('AH History'!$E$1:$E$18046,$H2604),$G2604=INDEX('AH History'!$F$1:$F$18046,$H2604)),1,-1),-1))</ns0:f>
        <ns0:v/>
      </ns0:c>
    </ns0:row>
    <ns0:row r="2605">
      <ns0:c r="A2605" s="215">
        <ns0:f>IF(OR(AH!$P$3=0,2600+1&gt;AH!$P$11,AND(AH!$E$4&lt;&gt;"Stored",AH!$P$10&lt;&gt;1)),"",IFERROR(IF(AND(AH!$P$21=1,2600+1=AH!$P$11),TODAY(),IF(AH!$P$10=1,INDEX('Live History'!$A$5:$A$3004,AH!$P$13+2600),INDEX('AH History'!$A$1:$A$18046,AH!$P$7+2600))),""))</ns0:f>
        <ns0:v/>
      </ns0:c>
      <ns0:c r="B2605" s="219">
        <ns0:f>IFERROR(IF(AND(AH!$P$9&lt;&gt;1,$C2605&gt;0,$D2605&gt;0,$E2605&gt;0,$F2605&gt;0,$G2605&gt;0,$F2605&lt;=$A2605,$G2605&lt;=$A2605,$A2605-$F2605&lt;=10,$A2605-$G2605&lt;=5),$D2605*$E2605/$C2605-1,NA()),NA())</ns0:f>
        <ns0:v/>
      </ns0:c>
      <ns0:c r="C2605">
        <ns0:f>IFERROR(IF(ISNUMBER($A2605),IF(AND(AH!$P$10=1,AH!$P$12=1,$A2605=TODAY()),AH!$P$19,IF(AH!$P$10=1,INDEX('Live History'!$B$5:$B$3004,AH!$P$13+2600),INDEX('AH History'!$B$1:$B$18046,AH!$P$7+2600))),NA()),NA())</ns0:f>
        <ns0:v/>
      </ns0:c>
      <ns0:c r="D2605">
        <ns0:f>IFERROR(IF(ISNUMBER($A2605),IF(AND(AH!$P$10=1,AH!$P$12=1,$A2605=TODAY()),AH!$P$18,IF(AH!$P$10=1,INDEX('Live History'!$E$5:$E$3004,MATCH($A2605,'Live History'!$D$5:$D$3004,1)),INDEX('AH History'!$C$1:$C$18046,AH!$P$7+2600))),NA()),NA())</ns0:f>
        <ns0:v/>
      </ns0:c>
      <ns0:c r="E2605">
        <ns0:f>IFERROR(IF(ISNUMBER($A2605),IF(AND(AH!$P$10=1,AH!$P$12=1,$A2605=TODAY()),AH!$P$20,IF(AH!$P$10=1,INDEX('Live History'!$H$5:$H$3004,MATCH($A2605,'Live History'!$G$5:$G$3004,1)),INDEX('AH History'!$D$1:$D$18046,AH!$P$7+2600))),NA()),NA())</ns0:f>
        <ns0:v/>
      </ns0:c>
      <ns0:c r="F2605">
        <ns0:f>IFERROR(IF(ISNUMBER($A2605),IF(AND(AH!$P$10=1,AH!$P$12=1,$A2605=TODAY()),IF(AND(AH!$P$10=1,AH!$P$12=1,$A2605=TODAY()),TODAY(),NA()),IF(AH!$P$10=1,INDEX('Live History'!$D$5:$D$3004,MATCH($A2605,'Live History'!$D$5:$D$3004,1)),INDEX('AH History'!$E$1:$E$18046,AH!$P$7+2600))),NA()),NA())</ns0:f>
        <ns0:v/>
      </ns0:c>
      <ns0:c r="G2605">
        <ns0:f>IFERROR(IF(ISNUMBER($A2605),IF(AND(AH!$P$10=1,AH!$P$12=1,$A2605=TODAY()),IF(AND(AH!$P$10=1,AH!$P$12=1,$A2605=TODAY()),TODAY(),NA()),IF(AH!$P$10=1,INDEX('Live History'!$G$5:$G$3004,MATCH($A2605,'Live History'!$G$5:$G$3004,1)),INDEX('AH History'!$F$1:$F$18046,AH!$P$7+2600))),NA()),NA())</ns0:f>
        <ns0:v/>
      </ns0:c>
      <ns0:c r="H2605">
        <ns0:f>IFERROR(IF(AND(AH!$E$4="Bloomberg",AH!$P$10=1,ISNUMBER($A2605),$A2605&lt;=AH!$P$17),AH!$P$7-1+MATCH($A2605,INDEX('AH History'!$A$1:$A$18046,AH!$P$7):INDEX('AH History'!$A$1:$A$18046,AH!$P$7+AH!$P$8-1),0),0),0)</ns0:f>
        <ns0:v/>
      </ns0:c>
      <ns0:c r="I2605">
        <ns0:f>IF($H2605=0,0,IFERROR(IF(AND(ABS($C2605-INDEX('AH History'!$B$1:$B$18046,$H2605))&lt;=MAX(0.005,ABS(INDEX('AH History'!$B$1:$B$18046,$H2605))*0.00005),ABS($D2605-INDEX('AH History'!$C$1:$C$18046,$H2605))&lt;=MAX(0.005,ABS(INDEX('AH History'!$C$1:$C$18046,$H2605))*0.00005),ABS($E2605-INDEX('AH History'!$D$1:$D$18046,$H2605))&lt;=0.00005,$F2605=INDEX('AH History'!$E$1:$E$18046,$H2605),$G2605=INDEX('AH History'!$F$1:$F$18046,$H2605)),1,-1),-1))</ns0:f>
        <ns0:v/>
      </ns0:c>
    </ns0:row>
    <ns0:row r="2606">
      <ns0:c r="A2606" s="215">
        <ns0:f>IF(OR(AH!$P$3=0,2601+1&gt;AH!$P$11,AND(AH!$E$4&lt;&gt;"Stored",AH!$P$10&lt;&gt;1)),"",IFERROR(IF(AND(AH!$P$21=1,2601+1=AH!$P$11),TODAY(),IF(AH!$P$10=1,INDEX('Live History'!$A$5:$A$3004,AH!$P$13+2601),INDEX('AH History'!$A$1:$A$18046,AH!$P$7+2601))),""))</ns0:f>
        <ns0:v/>
      </ns0:c>
      <ns0:c r="B2606" s="219">
        <ns0:f>IFERROR(IF(AND(AH!$P$9&lt;&gt;1,$C2606&gt;0,$D2606&gt;0,$E2606&gt;0,$F2606&gt;0,$G2606&gt;0,$F2606&lt;=$A2606,$G2606&lt;=$A2606,$A2606-$F2606&lt;=10,$A2606-$G2606&lt;=5),$D2606*$E2606/$C2606-1,NA()),NA())</ns0:f>
        <ns0:v/>
      </ns0:c>
      <ns0:c r="C2606">
        <ns0:f>IFERROR(IF(ISNUMBER($A2606),IF(AND(AH!$P$10=1,AH!$P$12=1,$A2606=TODAY()),AH!$P$19,IF(AH!$P$10=1,INDEX('Live History'!$B$5:$B$3004,AH!$P$13+2601),INDEX('AH History'!$B$1:$B$18046,AH!$P$7+2601))),NA()),NA())</ns0:f>
        <ns0:v/>
      </ns0:c>
      <ns0:c r="D2606">
        <ns0:f>IFERROR(IF(ISNUMBER($A2606),IF(AND(AH!$P$10=1,AH!$P$12=1,$A2606=TODAY()),AH!$P$18,IF(AH!$P$10=1,INDEX('Live History'!$E$5:$E$3004,MATCH($A2606,'Live History'!$D$5:$D$3004,1)),INDEX('AH History'!$C$1:$C$18046,AH!$P$7+2601))),NA()),NA())</ns0:f>
        <ns0:v/>
      </ns0:c>
      <ns0:c r="E2606">
        <ns0:f>IFERROR(IF(ISNUMBER($A2606),IF(AND(AH!$P$10=1,AH!$P$12=1,$A2606=TODAY()),AH!$P$20,IF(AH!$P$10=1,INDEX('Live History'!$H$5:$H$3004,MATCH($A2606,'Live History'!$G$5:$G$3004,1)),INDEX('AH History'!$D$1:$D$18046,AH!$P$7+2601))),NA()),NA())</ns0:f>
        <ns0:v/>
      </ns0:c>
      <ns0:c r="F2606">
        <ns0:f>IFERROR(IF(ISNUMBER($A2606),IF(AND(AH!$P$10=1,AH!$P$12=1,$A2606=TODAY()),IF(AND(AH!$P$10=1,AH!$P$12=1,$A2606=TODAY()),TODAY(),NA()),IF(AH!$P$10=1,INDEX('Live History'!$D$5:$D$3004,MATCH($A2606,'Live History'!$D$5:$D$3004,1)),INDEX('AH History'!$E$1:$E$18046,AH!$P$7+2601))),NA()),NA())</ns0:f>
        <ns0:v/>
      </ns0:c>
      <ns0:c r="G2606">
        <ns0:f>IFERROR(IF(ISNUMBER($A2606),IF(AND(AH!$P$10=1,AH!$P$12=1,$A2606=TODAY()),IF(AND(AH!$P$10=1,AH!$P$12=1,$A2606=TODAY()),TODAY(),NA()),IF(AH!$P$10=1,INDEX('Live History'!$G$5:$G$3004,MATCH($A2606,'Live History'!$G$5:$G$3004,1)),INDEX('AH History'!$F$1:$F$18046,AH!$P$7+2601))),NA()),NA())</ns0:f>
        <ns0:v/>
      </ns0:c>
      <ns0:c r="H2606">
        <ns0:f>IFERROR(IF(AND(AH!$E$4="Bloomberg",AH!$P$10=1,ISNUMBER($A2606),$A2606&lt;=AH!$P$17),AH!$P$7-1+MATCH($A2606,INDEX('AH History'!$A$1:$A$18046,AH!$P$7):INDEX('AH History'!$A$1:$A$18046,AH!$P$7+AH!$P$8-1),0),0),0)</ns0:f>
        <ns0:v/>
      </ns0:c>
      <ns0:c r="I2606">
        <ns0:f>IF($H2606=0,0,IFERROR(IF(AND(ABS($C2606-INDEX('AH History'!$B$1:$B$18046,$H2606))&lt;=MAX(0.005,ABS(INDEX('AH History'!$B$1:$B$18046,$H2606))*0.00005),ABS($D2606-INDEX('AH History'!$C$1:$C$18046,$H2606))&lt;=MAX(0.005,ABS(INDEX('AH History'!$C$1:$C$18046,$H2606))*0.00005),ABS($E2606-INDEX('AH History'!$D$1:$D$18046,$H2606))&lt;=0.00005,$F2606=INDEX('AH History'!$E$1:$E$18046,$H2606),$G2606=INDEX('AH History'!$F$1:$F$18046,$H2606)),1,-1),-1))</ns0:f>
        <ns0:v/>
      </ns0:c>
    </ns0:row>
    <ns0:row r="2607">
      <ns0:c r="A2607" s="215">
        <ns0:f>IF(OR(AH!$P$3=0,2602+1&gt;AH!$P$11,AND(AH!$E$4&lt;&gt;"Stored",AH!$P$10&lt;&gt;1)),"",IFERROR(IF(AND(AH!$P$21=1,2602+1=AH!$P$11),TODAY(),IF(AH!$P$10=1,INDEX('Live History'!$A$5:$A$3004,AH!$P$13+2602),INDEX('AH History'!$A$1:$A$18046,AH!$P$7+2602))),""))</ns0:f>
        <ns0:v/>
      </ns0:c>
      <ns0:c r="B2607" s="219">
        <ns0:f>IFERROR(IF(AND(AH!$P$9&lt;&gt;1,$C2607&gt;0,$D2607&gt;0,$E2607&gt;0,$F2607&gt;0,$G2607&gt;0,$F2607&lt;=$A2607,$G2607&lt;=$A2607,$A2607-$F2607&lt;=10,$A2607-$G2607&lt;=5),$D2607*$E2607/$C2607-1,NA()),NA())</ns0:f>
        <ns0:v/>
      </ns0:c>
      <ns0:c r="C2607">
        <ns0:f>IFERROR(IF(ISNUMBER($A2607),IF(AND(AH!$P$10=1,AH!$P$12=1,$A2607=TODAY()),AH!$P$19,IF(AH!$P$10=1,INDEX('Live History'!$B$5:$B$3004,AH!$P$13+2602),INDEX('AH History'!$B$1:$B$18046,AH!$P$7+2602))),NA()),NA())</ns0:f>
        <ns0:v/>
      </ns0:c>
      <ns0:c r="D2607">
        <ns0:f>IFERROR(IF(ISNUMBER($A2607),IF(AND(AH!$P$10=1,AH!$P$12=1,$A2607=TODAY()),AH!$P$18,IF(AH!$P$10=1,INDEX('Live History'!$E$5:$E$3004,MATCH($A2607,'Live History'!$D$5:$D$3004,1)),INDEX('AH History'!$C$1:$C$18046,AH!$P$7+2602))),NA()),NA())</ns0:f>
        <ns0:v/>
      </ns0:c>
      <ns0:c r="E2607">
        <ns0:f>IFERROR(IF(ISNUMBER($A2607),IF(AND(AH!$P$10=1,AH!$P$12=1,$A2607=TODAY()),AH!$P$20,IF(AH!$P$10=1,INDEX('Live History'!$H$5:$H$3004,MATCH($A2607,'Live History'!$G$5:$G$3004,1)),INDEX('AH History'!$D$1:$D$18046,AH!$P$7+2602))),NA()),NA())</ns0:f>
        <ns0:v/>
      </ns0:c>
      <ns0:c r="F2607">
        <ns0:f>IFERROR(IF(ISNUMBER($A2607),IF(AND(AH!$P$10=1,AH!$P$12=1,$A2607=TODAY()),IF(AND(AH!$P$10=1,AH!$P$12=1,$A2607=TODAY()),TODAY(),NA()),IF(AH!$P$10=1,INDEX('Live History'!$D$5:$D$3004,MATCH($A2607,'Live History'!$D$5:$D$3004,1)),INDEX('AH History'!$E$1:$E$18046,AH!$P$7+2602))),NA()),NA())</ns0:f>
        <ns0:v/>
      </ns0:c>
      <ns0:c r="G2607">
        <ns0:f>IFERROR(IF(ISNUMBER($A2607),IF(AND(AH!$P$10=1,AH!$P$12=1,$A2607=TODAY()),IF(AND(AH!$P$10=1,AH!$P$12=1,$A2607=TODAY()),TODAY(),NA()),IF(AH!$P$10=1,INDEX('Live History'!$G$5:$G$3004,MATCH($A2607,'Live History'!$G$5:$G$3004,1)),INDEX('AH History'!$F$1:$F$18046,AH!$P$7+2602))),NA()),NA())</ns0:f>
        <ns0:v/>
      </ns0:c>
      <ns0:c r="H2607">
        <ns0:f>IFERROR(IF(AND(AH!$E$4="Bloomberg",AH!$P$10=1,ISNUMBER($A2607),$A2607&lt;=AH!$P$17),AH!$P$7-1+MATCH($A2607,INDEX('AH History'!$A$1:$A$18046,AH!$P$7):INDEX('AH History'!$A$1:$A$18046,AH!$P$7+AH!$P$8-1),0),0),0)</ns0:f>
        <ns0:v/>
      </ns0:c>
      <ns0:c r="I2607">
        <ns0:f>IF($H2607=0,0,IFERROR(IF(AND(ABS($C2607-INDEX('AH History'!$B$1:$B$18046,$H2607))&lt;=MAX(0.005,ABS(INDEX('AH History'!$B$1:$B$18046,$H2607))*0.00005),ABS($D2607-INDEX('AH History'!$C$1:$C$18046,$H2607))&lt;=MAX(0.005,ABS(INDEX('AH History'!$C$1:$C$18046,$H2607))*0.00005),ABS($E2607-INDEX('AH History'!$D$1:$D$18046,$H2607))&lt;=0.00005,$F2607=INDEX('AH History'!$E$1:$E$18046,$H2607),$G2607=INDEX('AH History'!$F$1:$F$18046,$H2607)),1,-1),-1))</ns0:f>
        <ns0:v/>
      </ns0:c>
    </ns0:row>
    <ns0:row r="2608">
      <ns0:c r="A2608" s="215">
        <ns0:f>IF(OR(AH!$P$3=0,2603+1&gt;AH!$P$11,AND(AH!$E$4&lt;&gt;"Stored",AH!$P$10&lt;&gt;1)),"",IFERROR(IF(AND(AH!$P$21=1,2603+1=AH!$P$11),TODAY(),IF(AH!$P$10=1,INDEX('Live History'!$A$5:$A$3004,AH!$P$13+2603),INDEX('AH History'!$A$1:$A$18046,AH!$P$7+2603))),""))</ns0:f>
        <ns0:v/>
      </ns0:c>
      <ns0:c r="B2608" s="219">
        <ns0:f>IFERROR(IF(AND(AH!$P$9&lt;&gt;1,$C2608&gt;0,$D2608&gt;0,$E2608&gt;0,$F2608&gt;0,$G2608&gt;0,$F2608&lt;=$A2608,$G2608&lt;=$A2608,$A2608-$F2608&lt;=10,$A2608-$G2608&lt;=5),$D2608*$E2608/$C2608-1,NA()),NA())</ns0:f>
        <ns0:v/>
      </ns0:c>
      <ns0:c r="C2608">
        <ns0:f>IFERROR(IF(ISNUMBER($A2608),IF(AND(AH!$P$10=1,AH!$P$12=1,$A2608=TODAY()),AH!$P$19,IF(AH!$P$10=1,INDEX('Live History'!$B$5:$B$3004,AH!$P$13+2603),INDEX('AH History'!$B$1:$B$18046,AH!$P$7+2603))),NA()),NA())</ns0:f>
        <ns0:v/>
      </ns0:c>
      <ns0:c r="D2608">
        <ns0:f>IFERROR(IF(ISNUMBER($A2608),IF(AND(AH!$P$10=1,AH!$P$12=1,$A2608=TODAY()),AH!$P$18,IF(AH!$P$10=1,INDEX('Live History'!$E$5:$E$3004,MATCH($A2608,'Live History'!$D$5:$D$3004,1)),INDEX('AH History'!$C$1:$C$18046,AH!$P$7+2603))),NA()),NA())</ns0:f>
        <ns0:v/>
      </ns0:c>
      <ns0:c r="E2608">
        <ns0:f>IFERROR(IF(ISNUMBER($A2608),IF(AND(AH!$P$10=1,AH!$P$12=1,$A2608=TODAY()),AH!$P$20,IF(AH!$P$10=1,INDEX('Live History'!$H$5:$H$3004,MATCH($A2608,'Live History'!$G$5:$G$3004,1)),INDEX('AH History'!$D$1:$D$18046,AH!$P$7+2603))),NA()),NA())</ns0:f>
        <ns0:v/>
      </ns0:c>
      <ns0:c r="F2608">
        <ns0:f>IFERROR(IF(ISNUMBER($A2608),IF(AND(AH!$P$10=1,AH!$P$12=1,$A2608=TODAY()),IF(AND(AH!$P$10=1,AH!$P$12=1,$A2608=TODAY()),TODAY(),NA()),IF(AH!$P$10=1,INDEX('Live History'!$D$5:$D$3004,MATCH($A2608,'Live History'!$D$5:$D$3004,1)),INDEX('AH History'!$E$1:$E$18046,AH!$P$7+2603))),NA()),NA())</ns0:f>
        <ns0:v/>
      </ns0:c>
      <ns0:c r="G2608">
        <ns0:f>IFERROR(IF(ISNUMBER($A2608),IF(AND(AH!$P$10=1,AH!$P$12=1,$A2608=TODAY()),IF(AND(AH!$P$10=1,AH!$P$12=1,$A2608=TODAY()),TODAY(),NA()),IF(AH!$P$10=1,INDEX('Live History'!$G$5:$G$3004,MATCH($A2608,'Live History'!$G$5:$G$3004,1)),INDEX('AH History'!$F$1:$F$18046,AH!$P$7+2603))),NA()),NA())</ns0:f>
        <ns0:v/>
      </ns0:c>
      <ns0:c r="H2608">
        <ns0:f>IFERROR(IF(AND(AH!$E$4="Bloomberg",AH!$P$10=1,ISNUMBER($A2608),$A2608&lt;=AH!$P$17),AH!$P$7-1+MATCH($A2608,INDEX('AH History'!$A$1:$A$18046,AH!$P$7):INDEX('AH History'!$A$1:$A$18046,AH!$P$7+AH!$P$8-1),0),0),0)</ns0:f>
        <ns0:v/>
      </ns0:c>
      <ns0:c r="I2608">
        <ns0:f>IF($H2608=0,0,IFERROR(IF(AND(ABS($C2608-INDEX('AH History'!$B$1:$B$18046,$H2608))&lt;=MAX(0.005,ABS(INDEX('AH History'!$B$1:$B$18046,$H2608))*0.00005),ABS($D2608-INDEX('AH History'!$C$1:$C$18046,$H2608))&lt;=MAX(0.005,ABS(INDEX('AH History'!$C$1:$C$18046,$H2608))*0.00005),ABS($E2608-INDEX('AH History'!$D$1:$D$18046,$H2608))&lt;=0.00005,$F2608=INDEX('AH History'!$E$1:$E$18046,$H2608),$G2608=INDEX('AH History'!$F$1:$F$18046,$H2608)),1,-1),-1))</ns0:f>
        <ns0:v/>
      </ns0:c>
    </ns0:row>
    <ns0:row r="2609">
      <ns0:c r="A2609" s="215">
        <ns0:f>IF(OR(AH!$P$3=0,2604+1&gt;AH!$P$11,AND(AH!$E$4&lt;&gt;"Stored",AH!$P$10&lt;&gt;1)),"",IFERROR(IF(AND(AH!$P$21=1,2604+1=AH!$P$11),TODAY(),IF(AH!$P$10=1,INDEX('Live History'!$A$5:$A$3004,AH!$P$13+2604),INDEX('AH History'!$A$1:$A$18046,AH!$P$7+2604))),""))</ns0:f>
        <ns0:v/>
      </ns0:c>
      <ns0:c r="B2609" s="219">
        <ns0:f>IFERROR(IF(AND(AH!$P$9&lt;&gt;1,$C2609&gt;0,$D2609&gt;0,$E2609&gt;0,$F2609&gt;0,$G2609&gt;0,$F2609&lt;=$A2609,$G2609&lt;=$A2609,$A2609-$F2609&lt;=10,$A2609-$G2609&lt;=5),$D2609*$E2609/$C2609-1,NA()),NA())</ns0:f>
        <ns0:v/>
      </ns0:c>
      <ns0:c r="C2609">
        <ns0:f>IFERROR(IF(ISNUMBER($A2609),IF(AND(AH!$P$10=1,AH!$P$12=1,$A2609=TODAY()),AH!$P$19,IF(AH!$P$10=1,INDEX('Live History'!$B$5:$B$3004,AH!$P$13+2604),INDEX('AH History'!$B$1:$B$18046,AH!$P$7+2604))),NA()),NA())</ns0:f>
        <ns0:v/>
      </ns0:c>
      <ns0:c r="D2609">
        <ns0:f>IFERROR(IF(ISNUMBER($A2609),IF(AND(AH!$P$10=1,AH!$P$12=1,$A2609=TODAY()),AH!$P$18,IF(AH!$P$10=1,INDEX('Live History'!$E$5:$E$3004,MATCH($A2609,'Live History'!$D$5:$D$3004,1)),INDEX('AH History'!$C$1:$C$18046,AH!$P$7+2604))),NA()),NA())</ns0:f>
        <ns0:v/>
      </ns0:c>
      <ns0:c r="E2609">
        <ns0:f>IFERROR(IF(ISNUMBER($A2609),IF(AND(AH!$P$10=1,AH!$P$12=1,$A2609=TODAY()),AH!$P$20,IF(AH!$P$10=1,INDEX('Live History'!$H$5:$H$3004,MATCH($A2609,'Live History'!$G$5:$G$3004,1)),INDEX('AH History'!$D$1:$D$18046,AH!$P$7+2604))),NA()),NA())</ns0:f>
        <ns0:v/>
      </ns0:c>
      <ns0:c r="F2609">
        <ns0:f>IFERROR(IF(ISNUMBER($A2609),IF(AND(AH!$P$10=1,AH!$P$12=1,$A2609=TODAY()),IF(AND(AH!$P$10=1,AH!$P$12=1,$A2609=TODAY()),TODAY(),NA()),IF(AH!$P$10=1,INDEX('Live History'!$D$5:$D$3004,MATCH($A2609,'Live History'!$D$5:$D$3004,1)),INDEX('AH History'!$E$1:$E$18046,AH!$P$7+2604))),NA()),NA())</ns0:f>
        <ns0:v/>
      </ns0:c>
      <ns0:c r="G2609">
        <ns0:f>IFERROR(IF(ISNUMBER($A2609),IF(AND(AH!$P$10=1,AH!$P$12=1,$A2609=TODAY()),IF(AND(AH!$P$10=1,AH!$P$12=1,$A2609=TODAY()),TODAY(),NA()),IF(AH!$P$10=1,INDEX('Live History'!$G$5:$G$3004,MATCH($A2609,'Live History'!$G$5:$G$3004,1)),INDEX('AH History'!$F$1:$F$18046,AH!$P$7+2604))),NA()),NA())</ns0:f>
        <ns0:v/>
      </ns0:c>
      <ns0:c r="H2609">
        <ns0:f>IFERROR(IF(AND(AH!$E$4="Bloomberg",AH!$P$10=1,ISNUMBER($A2609),$A2609&lt;=AH!$P$17),AH!$P$7-1+MATCH($A2609,INDEX('AH History'!$A$1:$A$18046,AH!$P$7):INDEX('AH History'!$A$1:$A$18046,AH!$P$7+AH!$P$8-1),0),0),0)</ns0:f>
        <ns0:v/>
      </ns0:c>
      <ns0:c r="I2609">
        <ns0:f>IF($H2609=0,0,IFERROR(IF(AND(ABS($C2609-INDEX('AH History'!$B$1:$B$18046,$H2609))&lt;=MAX(0.005,ABS(INDEX('AH History'!$B$1:$B$18046,$H2609))*0.00005),ABS($D2609-INDEX('AH History'!$C$1:$C$18046,$H2609))&lt;=MAX(0.005,ABS(INDEX('AH History'!$C$1:$C$18046,$H2609))*0.00005),ABS($E2609-INDEX('AH History'!$D$1:$D$18046,$H2609))&lt;=0.00005,$F2609=INDEX('AH History'!$E$1:$E$18046,$H2609),$G2609=INDEX('AH History'!$F$1:$F$18046,$H2609)),1,-1),-1))</ns0:f>
        <ns0:v/>
      </ns0:c>
    </ns0:row>
    <ns0:row r="2610">
      <ns0:c r="A2610" s="215">
        <ns0:f>IF(OR(AH!$P$3=0,2605+1&gt;AH!$P$11,AND(AH!$E$4&lt;&gt;"Stored",AH!$P$10&lt;&gt;1)),"",IFERROR(IF(AND(AH!$P$21=1,2605+1=AH!$P$11),TODAY(),IF(AH!$P$10=1,INDEX('Live History'!$A$5:$A$3004,AH!$P$13+2605),INDEX('AH History'!$A$1:$A$18046,AH!$P$7+2605))),""))</ns0:f>
        <ns0:v/>
      </ns0:c>
      <ns0:c r="B2610" s="219">
        <ns0:f>IFERROR(IF(AND(AH!$P$9&lt;&gt;1,$C2610&gt;0,$D2610&gt;0,$E2610&gt;0,$F2610&gt;0,$G2610&gt;0,$F2610&lt;=$A2610,$G2610&lt;=$A2610,$A2610-$F2610&lt;=10,$A2610-$G2610&lt;=5),$D2610*$E2610/$C2610-1,NA()),NA())</ns0:f>
        <ns0:v/>
      </ns0:c>
      <ns0:c r="C2610">
        <ns0:f>IFERROR(IF(ISNUMBER($A2610),IF(AND(AH!$P$10=1,AH!$P$12=1,$A2610=TODAY()),AH!$P$19,IF(AH!$P$10=1,INDEX('Live History'!$B$5:$B$3004,AH!$P$13+2605),INDEX('AH History'!$B$1:$B$18046,AH!$P$7+2605))),NA()),NA())</ns0:f>
        <ns0:v/>
      </ns0:c>
      <ns0:c r="D2610">
        <ns0:f>IFERROR(IF(ISNUMBER($A2610),IF(AND(AH!$P$10=1,AH!$P$12=1,$A2610=TODAY()),AH!$P$18,IF(AH!$P$10=1,INDEX('Live History'!$E$5:$E$3004,MATCH($A2610,'Live History'!$D$5:$D$3004,1)),INDEX('AH History'!$C$1:$C$18046,AH!$P$7+2605))),NA()),NA())</ns0:f>
        <ns0:v/>
      </ns0:c>
      <ns0:c r="E2610">
        <ns0:f>IFERROR(IF(ISNUMBER($A2610),IF(AND(AH!$P$10=1,AH!$P$12=1,$A2610=TODAY()),AH!$P$20,IF(AH!$P$10=1,INDEX('Live History'!$H$5:$H$3004,MATCH($A2610,'Live History'!$G$5:$G$3004,1)),INDEX('AH History'!$D$1:$D$18046,AH!$P$7+2605))),NA()),NA())</ns0:f>
        <ns0:v/>
      </ns0:c>
      <ns0:c r="F2610">
        <ns0:f>IFERROR(IF(ISNUMBER($A2610),IF(AND(AH!$P$10=1,AH!$P$12=1,$A2610=TODAY()),IF(AND(AH!$P$10=1,AH!$P$12=1,$A2610=TODAY()),TODAY(),NA()),IF(AH!$P$10=1,INDEX('Live History'!$D$5:$D$3004,MATCH($A2610,'Live History'!$D$5:$D$3004,1)),INDEX('AH History'!$E$1:$E$18046,AH!$P$7+2605))),NA()),NA())</ns0:f>
        <ns0:v/>
      </ns0:c>
      <ns0:c r="G2610">
        <ns0:f>IFERROR(IF(ISNUMBER($A2610),IF(AND(AH!$P$10=1,AH!$P$12=1,$A2610=TODAY()),IF(AND(AH!$P$10=1,AH!$P$12=1,$A2610=TODAY()),TODAY(),NA()),IF(AH!$P$10=1,INDEX('Live History'!$G$5:$G$3004,MATCH($A2610,'Live History'!$G$5:$G$3004,1)),INDEX('AH History'!$F$1:$F$18046,AH!$P$7+2605))),NA()),NA())</ns0:f>
        <ns0:v/>
      </ns0:c>
      <ns0:c r="H2610">
        <ns0:f>IFERROR(IF(AND(AH!$E$4="Bloomberg",AH!$P$10=1,ISNUMBER($A2610),$A2610&lt;=AH!$P$17),AH!$P$7-1+MATCH($A2610,INDEX('AH History'!$A$1:$A$18046,AH!$P$7):INDEX('AH History'!$A$1:$A$18046,AH!$P$7+AH!$P$8-1),0),0),0)</ns0:f>
        <ns0:v/>
      </ns0:c>
      <ns0:c r="I2610">
        <ns0:f>IF($H2610=0,0,IFERROR(IF(AND(ABS($C2610-INDEX('AH History'!$B$1:$B$18046,$H2610))&lt;=MAX(0.005,ABS(INDEX('AH History'!$B$1:$B$18046,$H2610))*0.00005),ABS($D2610-INDEX('AH History'!$C$1:$C$18046,$H2610))&lt;=MAX(0.005,ABS(INDEX('AH History'!$C$1:$C$18046,$H2610))*0.00005),ABS($E2610-INDEX('AH History'!$D$1:$D$18046,$H2610))&lt;=0.00005,$F2610=INDEX('AH History'!$E$1:$E$18046,$H2610),$G2610=INDEX('AH History'!$F$1:$F$18046,$H2610)),1,-1),-1))</ns0:f>
        <ns0:v/>
      </ns0:c>
    </ns0:row>
    <ns0:row r="2611">
      <ns0:c r="A2611" s="215">
        <ns0:f>IF(OR(AH!$P$3=0,2606+1&gt;AH!$P$11,AND(AH!$E$4&lt;&gt;"Stored",AH!$P$10&lt;&gt;1)),"",IFERROR(IF(AND(AH!$P$21=1,2606+1=AH!$P$11),TODAY(),IF(AH!$P$10=1,INDEX('Live History'!$A$5:$A$3004,AH!$P$13+2606),INDEX('AH History'!$A$1:$A$18046,AH!$P$7+2606))),""))</ns0:f>
        <ns0:v/>
      </ns0:c>
      <ns0:c r="B2611" s="219">
        <ns0:f>IFERROR(IF(AND(AH!$P$9&lt;&gt;1,$C2611&gt;0,$D2611&gt;0,$E2611&gt;0,$F2611&gt;0,$G2611&gt;0,$F2611&lt;=$A2611,$G2611&lt;=$A2611,$A2611-$F2611&lt;=10,$A2611-$G2611&lt;=5),$D2611*$E2611/$C2611-1,NA()),NA())</ns0:f>
        <ns0:v/>
      </ns0:c>
      <ns0:c r="C2611">
        <ns0:f>IFERROR(IF(ISNUMBER($A2611),IF(AND(AH!$P$10=1,AH!$P$12=1,$A2611=TODAY()),AH!$P$19,IF(AH!$P$10=1,INDEX('Live History'!$B$5:$B$3004,AH!$P$13+2606),INDEX('AH History'!$B$1:$B$18046,AH!$P$7+2606))),NA()),NA())</ns0:f>
        <ns0:v/>
      </ns0:c>
      <ns0:c r="D2611">
        <ns0:f>IFERROR(IF(ISNUMBER($A2611),IF(AND(AH!$P$10=1,AH!$P$12=1,$A2611=TODAY()),AH!$P$18,IF(AH!$P$10=1,INDEX('Live History'!$E$5:$E$3004,MATCH($A2611,'Live History'!$D$5:$D$3004,1)),INDEX('AH History'!$C$1:$C$18046,AH!$P$7+2606))),NA()),NA())</ns0:f>
        <ns0:v/>
      </ns0:c>
      <ns0:c r="E2611">
        <ns0:f>IFERROR(IF(ISNUMBER($A2611),IF(AND(AH!$P$10=1,AH!$P$12=1,$A2611=TODAY()),AH!$P$20,IF(AH!$P$10=1,INDEX('Live History'!$H$5:$H$3004,MATCH($A2611,'Live History'!$G$5:$G$3004,1)),INDEX('AH History'!$D$1:$D$18046,AH!$P$7+2606))),NA()),NA())</ns0:f>
        <ns0:v/>
      </ns0:c>
      <ns0:c r="F2611">
        <ns0:f>IFERROR(IF(ISNUMBER($A2611),IF(AND(AH!$P$10=1,AH!$P$12=1,$A2611=TODAY()),IF(AND(AH!$P$10=1,AH!$P$12=1,$A2611=TODAY()),TODAY(),NA()),IF(AH!$P$10=1,INDEX('Live History'!$D$5:$D$3004,MATCH($A2611,'Live History'!$D$5:$D$3004,1)),INDEX('AH History'!$E$1:$E$18046,AH!$P$7+2606))),NA()),NA())</ns0:f>
        <ns0:v/>
      </ns0:c>
      <ns0:c r="G2611">
        <ns0:f>IFERROR(IF(ISNUMBER($A2611),IF(AND(AH!$P$10=1,AH!$P$12=1,$A2611=TODAY()),IF(AND(AH!$P$10=1,AH!$P$12=1,$A2611=TODAY()),TODAY(),NA()),IF(AH!$P$10=1,INDEX('Live History'!$G$5:$G$3004,MATCH($A2611,'Live History'!$G$5:$G$3004,1)),INDEX('AH History'!$F$1:$F$18046,AH!$P$7+2606))),NA()),NA())</ns0:f>
        <ns0:v/>
      </ns0:c>
      <ns0:c r="H2611">
        <ns0:f>IFERROR(IF(AND(AH!$E$4="Bloomberg",AH!$P$10=1,ISNUMBER($A2611),$A2611&lt;=AH!$P$17),AH!$P$7-1+MATCH($A2611,INDEX('AH History'!$A$1:$A$18046,AH!$P$7):INDEX('AH History'!$A$1:$A$18046,AH!$P$7+AH!$P$8-1),0),0),0)</ns0:f>
        <ns0:v/>
      </ns0:c>
      <ns0:c r="I2611">
        <ns0:f>IF($H2611=0,0,IFERROR(IF(AND(ABS($C2611-INDEX('AH History'!$B$1:$B$18046,$H2611))&lt;=MAX(0.005,ABS(INDEX('AH History'!$B$1:$B$18046,$H2611))*0.00005),ABS($D2611-INDEX('AH History'!$C$1:$C$18046,$H2611))&lt;=MAX(0.005,ABS(INDEX('AH History'!$C$1:$C$18046,$H2611))*0.00005),ABS($E2611-INDEX('AH History'!$D$1:$D$18046,$H2611))&lt;=0.00005,$F2611=INDEX('AH History'!$E$1:$E$18046,$H2611),$G2611=INDEX('AH History'!$F$1:$F$18046,$H2611)),1,-1),-1))</ns0:f>
        <ns0:v/>
      </ns0:c>
    </ns0:row>
    <ns0:row r="2612">
      <ns0:c r="A2612" s="215">
        <ns0:f>IF(OR(AH!$P$3=0,2607+1&gt;AH!$P$11,AND(AH!$E$4&lt;&gt;"Stored",AH!$P$10&lt;&gt;1)),"",IFERROR(IF(AND(AH!$P$21=1,2607+1=AH!$P$11),TODAY(),IF(AH!$P$10=1,INDEX('Live History'!$A$5:$A$3004,AH!$P$13+2607),INDEX('AH History'!$A$1:$A$18046,AH!$P$7+2607))),""))</ns0:f>
        <ns0:v/>
      </ns0:c>
      <ns0:c r="B2612" s="219">
        <ns0:f>IFERROR(IF(AND(AH!$P$9&lt;&gt;1,$C2612&gt;0,$D2612&gt;0,$E2612&gt;0,$F2612&gt;0,$G2612&gt;0,$F2612&lt;=$A2612,$G2612&lt;=$A2612,$A2612-$F2612&lt;=10,$A2612-$G2612&lt;=5),$D2612*$E2612/$C2612-1,NA()),NA())</ns0:f>
        <ns0:v/>
      </ns0:c>
      <ns0:c r="C2612">
        <ns0:f>IFERROR(IF(ISNUMBER($A2612),IF(AND(AH!$P$10=1,AH!$P$12=1,$A2612=TODAY()),AH!$P$19,IF(AH!$P$10=1,INDEX('Live History'!$B$5:$B$3004,AH!$P$13+2607),INDEX('AH History'!$B$1:$B$18046,AH!$P$7+2607))),NA()),NA())</ns0:f>
        <ns0:v/>
      </ns0:c>
      <ns0:c r="D2612">
        <ns0:f>IFERROR(IF(ISNUMBER($A2612),IF(AND(AH!$P$10=1,AH!$P$12=1,$A2612=TODAY()),AH!$P$18,IF(AH!$P$10=1,INDEX('Live History'!$E$5:$E$3004,MATCH($A2612,'Live History'!$D$5:$D$3004,1)),INDEX('AH History'!$C$1:$C$18046,AH!$P$7+2607))),NA()),NA())</ns0:f>
        <ns0:v/>
      </ns0:c>
      <ns0:c r="E2612">
        <ns0:f>IFERROR(IF(ISNUMBER($A2612),IF(AND(AH!$P$10=1,AH!$P$12=1,$A2612=TODAY()),AH!$P$20,IF(AH!$P$10=1,INDEX('Live History'!$H$5:$H$3004,MATCH($A2612,'Live History'!$G$5:$G$3004,1)),INDEX('AH History'!$D$1:$D$18046,AH!$P$7+2607))),NA()),NA())</ns0:f>
        <ns0:v/>
      </ns0:c>
      <ns0:c r="F2612">
        <ns0:f>IFERROR(IF(ISNUMBER($A2612),IF(AND(AH!$P$10=1,AH!$P$12=1,$A2612=TODAY()),IF(AND(AH!$P$10=1,AH!$P$12=1,$A2612=TODAY()),TODAY(),NA()),IF(AH!$P$10=1,INDEX('Live History'!$D$5:$D$3004,MATCH($A2612,'Live History'!$D$5:$D$3004,1)),INDEX('AH History'!$E$1:$E$18046,AH!$P$7+2607))),NA()),NA())</ns0:f>
        <ns0:v/>
      </ns0:c>
      <ns0:c r="G2612">
        <ns0:f>IFERROR(IF(ISNUMBER($A2612),IF(AND(AH!$P$10=1,AH!$P$12=1,$A2612=TODAY()),IF(AND(AH!$P$10=1,AH!$P$12=1,$A2612=TODAY()),TODAY(),NA()),IF(AH!$P$10=1,INDEX('Live History'!$G$5:$G$3004,MATCH($A2612,'Live History'!$G$5:$G$3004,1)),INDEX('AH History'!$F$1:$F$18046,AH!$P$7+2607))),NA()),NA())</ns0:f>
        <ns0:v/>
      </ns0:c>
      <ns0:c r="H2612">
        <ns0:f>IFERROR(IF(AND(AH!$E$4="Bloomberg",AH!$P$10=1,ISNUMBER($A2612),$A2612&lt;=AH!$P$17),AH!$P$7-1+MATCH($A2612,INDEX('AH History'!$A$1:$A$18046,AH!$P$7):INDEX('AH History'!$A$1:$A$18046,AH!$P$7+AH!$P$8-1),0),0),0)</ns0:f>
        <ns0:v/>
      </ns0:c>
      <ns0:c r="I2612">
        <ns0:f>IF($H2612=0,0,IFERROR(IF(AND(ABS($C2612-INDEX('AH History'!$B$1:$B$18046,$H2612))&lt;=MAX(0.005,ABS(INDEX('AH History'!$B$1:$B$18046,$H2612))*0.00005),ABS($D2612-INDEX('AH History'!$C$1:$C$18046,$H2612))&lt;=MAX(0.005,ABS(INDEX('AH History'!$C$1:$C$18046,$H2612))*0.00005),ABS($E2612-INDEX('AH History'!$D$1:$D$18046,$H2612))&lt;=0.00005,$F2612=INDEX('AH History'!$E$1:$E$18046,$H2612),$G2612=INDEX('AH History'!$F$1:$F$18046,$H2612)),1,-1),-1))</ns0:f>
        <ns0:v/>
      </ns0:c>
    </ns0:row>
    <ns0:row r="2613">
      <ns0:c r="A2613" s="215">
        <ns0:f>IF(OR(AH!$P$3=0,2608+1&gt;AH!$P$11,AND(AH!$E$4&lt;&gt;"Stored",AH!$P$10&lt;&gt;1)),"",IFERROR(IF(AND(AH!$P$21=1,2608+1=AH!$P$11),TODAY(),IF(AH!$P$10=1,INDEX('Live History'!$A$5:$A$3004,AH!$P$13+2608),INDEX('AH History'!$A$1:$A$18046,AH!$P$7+2608))),""))</ns0:f>
        <ns0:v/>
      </ns0:c>
      <ns0:c r="B2613" s="219">
        <ns0:f>IFERROR(IF(AND(AH!$P$9&lt;&gt;1,$C2613&gt;0,$D2613&gt;0,$E2613&gt;0,$F2613&gt;0,$G2613&gt;0,$F2613&lt;=$A2613,$G2613&lt;=$A2613,$A2613-$F2613&lt;=10,$A2613-$G2613&lt;=5),$D2613*$E2613/$C2613-1,NA()),NA())</ns0:f>
        <ns0:v/>
      </ns0:c>
      <ns0:c r="C2613">
        <ns0:f>IFERROR(IF(ISNUMBER($A2613),IF(AND(AH!$P$10=1,AH!$P$12=1,$A2613=TODAY()),AH!$P$19,IF(AH!$P$10=1,INDEX('Live History'!$B$5:$B$3004,AH!$P$13+2608),INDEX('AH History'!$B$1:$B$18046,AH!$P$7+2608))),NA()),NA())</ns0:f>
        <ns0:v/>
      </ns0:c>
      <ns0:c r="D2613">
        <ns0:f>IFERROR(IF(ISNUMBER($A2613),IF(AND(AH!$P$10=1,AH!$P$12=1,$A2613=TODAY()),AH!$P$18,IF(AH!$P$10=1,INDEX('Live History'!$E$5:$E$3004,MATCH($A2613,'Live History'!$D$5:$D$3004,1)),INDEX('AH History'!$C$1:$C$18046,AH!$P$7+2608))),NA()),NA())</ns0:f>
        <ns0:v/>
      </ns0:c>
      <ns0:c r="E2613">
        <ns0:f>IFERROR(IF(ISNUMBER($A2613),IF(AND(AH!$P$10=1,AH!$P$12=1,$A2613=TODAY()),AH!$P$20,IF(AH!$P$10=1,INDEX('Live History'!$H$5:$H$3004,MATCH($A2613,'Live History'!$G$5:$G$3004,1)),INDEX('AH History'!$D$1:$D$18046,AH!$P$7+2608))),NA()),NA())</ns0:f>
        <ns0:v/>
      </ns0:c>
      <ns0:c r="F2613">
        <ns0:f>IFERROR(IF(ISNUMBER($A2613),IF(AND(AH!$P$10=1,AH!$P$12=1,$A2613=TODAY()),IF(AND(AH!$P$10=1,AH!$P$12=1,$A2613=TODAY()),TODAY(),NA()),IF(AH!$P$10=1,INDEX('Live History'!$D$5:$D$3004,MATCH($A2613,'Live History'!$D$5:$D$3004,1)),INDEX('AH History'!$E$1:$E$18046,AH!$P$7+2608))),NA()),NA())</ns0:f>
        <ns0:v/>
      </ns0:c>
      <ns0:c r="G2613">
        <ns0:f>IFERROR(IF(ISNUMBER($A2613),IF(AND(AH!$P$10=1,AH!$P$12=1,$A2613=TODAY()),IF(AND(AH!$P$10=1,AH!$P$12=1,$A2613=TODAY()),TODAY(),NA()),IF(AH!$P$10=1,INDEX('Live History'!$G$5:$G$3004,MATCH($A2613,'Live History'!$G$5:$G$3004,1)),INDEX('AH History'!$F$1:$F$18046,AH!$P$7+2608))),NA()),NA())</ns0:f>
        <ns0:v/>
      </ns0:c>
      <ns0:c r="H2613">
        <ns0:f>IFERROR(IF(AND(AH!$E$4="Bloomberg",AH!$P$10=1,ISNUMBER($A2613),$A2613&lt;=AH!$P$17),AH!$P$7-1+MATCH($A2613,INDEX('AH History'!$A$1:$A$18046,AH!$P$7):INDEX('AH History'!$A$1:$A$18046,AH!$P$7+AH!$P$8-1),0),0),0)</ns0:f>
        <ns0:v/>
      </ns0:c>
      <ns0:c r="I2613">
        <ns0:f>IF($H2613=0,0,IFERROR(IF(AND(ABS($C2613-INDEX('AH History'!$B$1:$B$18046,$H2613))&lt;=MAX(0.005,ABS(INDEX('AH History'!$B$1:$B$18046,$H2613))*0.00005),ABS($D2613-INDEX('AH History'!$C$1:$C$18046,$H2613))&lt;=MAX(0.005,ABS(INDEX('AH History'!$C$1:$C$18046,$H2613))*0.00005),ABS($E2613-INDEX('AH History'!$D$1:$D$18046,$H2613))&lt;=0.00005,$F2613=INDEX('AH History'!$E$1:$E$18046,$H2613),$G2613=INDEX('AH History'!$F$1:$F$18046,$H2613)),1,-1),-1))</ns0:f>
        <ns0:v/>
      </ns0:c>
    </ns0:row>
    <ns0:row r="2614">
      <ns0:c r="A2614" s="215">
        <ns0:f>IF(OR(AH!$P$3=0,2609+1&gt;AH!$P$11,AND(AH!$E$4&lt;&gt;"Stored",AH!$P$10&lt;&gt;1)),"",IFERROR(IF(AND(AH!$P$21=1,2609+1=AH!$P$11),TODAY(),IF(AH!$P$10=1,INDEX('Live History'!$A$5:$A$3004,AH!$P$13+2609),INDEX('AH History'!$A$1:$A$18046,AH!$P$7+2609))),""))</ns0:f>
        <ns0:v/>
      </ns0:c>
      <ns0:c r="B2614" s="219">
        <ns0:f>IFERROR(IF(AND(AH!$P$9&lt;&gt;1,$C2614&gt;0,$D2614&gt;0,$E2614&gt;0,$F2614&gt;0,$G2614&gt;0,$F2614&lt;=$A2614,$G2614&lt;=$A2614,$A2614-$F2614&lt;=10,$A2614-$G2614&lt;=5),$D2614*$E2614/$C2614-1,NA()),NA())</ns0:f>
        <ns0:v/>
      </ns0:c>
      <ns0:c r="C2614">
        <ns0:f>IFERROR(IF(ISNUMBER($A2614),IF(AND(AH!$P$10=1,AH!$P$12=1,$A2614=TODAY()),AH!$P$19,IF(AH!$P$10=1,INDEX('Live History'!$B$5:$B$3004,AH!$P$13+2609),INDEX('AH History'!$B$1:$B$18046,AH!$P$7+2609))),NA()),NA())</ns0:f>
        <ns0:v/>
      </ns0:c>
      <ns0:c r="D2614">
        <ns0:f>IFERROR(IF(ISNUMBER($A2614),IF(AND(AH!$P$10=1,AH!$P$12=1,$A2614=TODAY()),AH!$P$18,IF(AH!$P$10=1,INDEX('Live History'!$E$5:$E$3004,MATCH($A2614,'Live History'!$D$5:$D$3004,1)),INDEX('AH History'!$C$1:$C$18046,AH!$P$7+2609))),NA()),NA())</ns0:f>
        <ns0:v/>
      </ns0:c>
      <ns0:c r="E2614">
        <ns0:f>IFERROR(IF(ISNUMBER($A2614),IF(AND(AH!$P$10=1,AH!$P$12=1,$A2614=TODAY()),AH!$P$20,IF(AH!$P$10=1,INDEX('Live History'!$H$5:$H$3004,MATCH($A2614,'Live History'!$G$5:$G$3004,1)),INDEX('AH History'!$D$1:$D$18046,AH!$P$7+2609))),NA()),NA())</ns0:f>
        <ns0:v/>
      </ns0:c>
      <ns0:c r="F2614">
        <ns0:f>IFERROR(IF(ISNUMBER($A2614),IF(AND(AH!$P$10=1,AH!$P$12=1,$A2614=TODAY()),IF(AND(AH!$P$10=1,AH!$P$12=1,$A2614=TODAY()),TODAY(),NA()),IF(AH!$P$10=1,INDEX('Live History'!$D$5:$D$3004,MATCH($A2614,'Live History'!$D$5:$D$3004,1)),INDEX('AH History'!$E$1:$E$18046,AH!$P$7+2609))),NA()),NA())</ns0:f>
        <ns0:v/>
      </ns0:c>
      <ns0:c r="G2614">
        <ns0:f>IFERROR(IF(ISNUMBER($A2614),IF(AND(AH!$P$10=1,AH!$P$12=1,$A2614=TODAY()),IF(AND(AH!$P$10=1,AH!$P$12=1,$A2614=TODAY()),TODAY(),NA()),IF(AH!$P$10=1,INDEX('Live History'!$G$5:$G$3004,MATCH($A2614,'Live History'!$G$5:$G$3004,1)),INDEX('AH History'!$F$1:$F$18046,AH!$P$7+2609))),NA()),NA())</ns0:f>
        <ns0:v/>
      </ns0:c>
      <ns0:c r="H2614">
        <ns0:f>IFERROR(IF(AND(AH!$E$4="Bloomberg",AH!$P$10=1,ISNUMBER($A2614),$A2614&lt;=AH!$P$17),AH!$P$7-1+MATCH($A2614,INDEX('AH History'!$A$1:$A$18046,AH!$P$7):INDEX('AH History'!$A$1:$A$18046,AH!$P$7+AH!$P$8-1),0),0),0)</ns0:f>
        <ns0:v/>
      </ns0:c>
      <ns0:c r="I2614">
        <ns0:f>IF($H2614=0,0,IFERROR(IF(AND(ABS($C2614-INDEX('AH History'!$B$1:$B$18046,$H2614))&lt;=MAX(0.005,ABS(INDEX('AH History'!$B$1:$B$18046,$H2614))*0.00005),ABS($D2614-INDEX('AH History'!$C$1:$C$18046,$H2614))&lt;=MAX(0.005,ABS(INDEX('AH History'!$C$1:$C$18046,$H2614))*0.00005),ABS($E2614-INDEX('AH History'!$D$1:$D$18046,$H2614))&lt;=0.00005,$F2614=INDEX('AH History'!$E$1:$E$18046,$H2614),$G2614=INDEX('AH History'!$F$1:$F$18046,$H2614)),1,-1),-1))</ns0:f>
        <ns0:v/>
      </ns0:c>
    </ns0:row>
    <ns0:row r="2615">
      <ns0:c r="A2615" s="215">
        <ns0:f>IF(OR(AH!$P$3=0,2610+1&gt;AH!$P$11,AND(AH!$E$4&lt;&gt;"Stored",AH!$P$10&lt;&gt;1)),"",IFERROR(IF(AND(AH!$P$21=1,2610+1=AH!$P$11),TODAY(),IF(AH!$P$10=1,INDEX('Live History'!$A$5:$A$3004,AH!$P$13+2610),INDEX('AH History'!$A$1:$A$18046,AH!$P$7+2610))),""))</ns0:f>
        <ns0:v/>
      </ns0:c>
      <ns0:c r="B2615" s="219">
        <ns0:f>IFERROR(IF(AND(AH!$P$9&lt;&gt;1,$C2615&gt;0,$D2615&gt;0,$E2615&gt;0,$F2615&gt;0,$G2615&gt;0,$F2615&lt;=$A2615,$G2615&lt;=$A2615,$A2615-$F2615&lt;=10,$A2615-$G2615&lt;=5),$D2615*$E2615/$C2615-1,NA()),NA())</ns0:f>
        <ns0:v/>
      </ns0:c>
      <ns0:c r="C2615">
        <ns0:f>IFERROR(IF(ISNUMBER($A2615),IF(AND(AH!$P$10=1,AH!$P$12=1,$A2615=TODAY()),AH!$P$19,IF(AH!$P$10=1,INDEX('Live History'!$B$5:$B$3004,AH!$P$13+2610),INDEX('AH History'!$B$1:$B$18046,AH!$P$7+2610))),NA()),NA())</ns0:f>
        <ns0:v/>
      </ns0:c>
      <ns0:c r="D2615">
        <ns0:f>IFERROR(IF(ISNUMBER($A2615),IF(AND(AH!$P$10=1,AH!$P$12=1,$A2615=TODAY()),AH!$P$18,IF(AH!$P$10=1,INDEX('Live History'!$E$5:$E$3004,MATCH($A2615,'Live History'!$D$5:$D$3004,1)),INDEX('AH History'!$C$1:$C$18046,AH!$P$7+2610))),NA()),NA())</ns0:f>
        <ns0:v/>
      </ns0:c>
      <ns0:c r="E2615">
        <ns0:f>IFERROR(IF(ISNUMBER($A2615),IF(AND(AH!$P$10=1,AH!$P$12=1,$A2615=TODAY()),AH!$P$20,IF(AH!$P$10=1,INDEX('Live History'!$H$5:$H$3004,MATCH($A2615,'Live History'!$G$5:$G$3004,1)),INDEX('AH History'!$D$1:$D$18046,AH!$P$7+2610))),NA()),NA())</ns0:f>
        <ns0:v/>
      </ns0:c>
      <ns0:c r="F2615">
        <ns0:f>IFERROR(IF(ISNUMBER($A2615),IF(AND(AH!$P$10=1,AH!$P$12=1,$A2615=TODAY()),IF(AND(AH!$P$10=1,AH!$P$12=1,$A2615=TODAY()),TODAY(),NA()),IF(AH!$P$10=1,INDEX('Live History'!$D$5:$D$3004,MATCH($A2615,'Live History'!$D$5:$D$3004,1)),INDEX('AH History'!$E$1:$E$18046,AH!$P$7+2610))),NA()),NA())</ns0:f>
        <ns0:v/>
      </ns0:c>
      <ns0:c r="G2615">
        <ns0:f>IFERROR(IF(ISNUMBER($A2615),IF(AND(AH!$P$10=1,AH!$P$12=1,$A2615=TODAY()),IF(AND(AH!$P$10=1,AH!$P$12=1,$A2615=TODAY()),TODAY(),NA()),IF(AH!$P$10=1,INDEX('Live History'!$G$5:$G$3004,MATCH($A2615,'Live History'!$G$5:$G$3004,1)),INDEX('AH History'!$F$1:$F$18046,AH!$P$7+2610))),NA()),NA())</ns0:f>
        <ns0:v/>
      </ns0:c>
      <ns0:c r="H2615">
        <ns0:f>IFERROR(IF(AND(AH!$E$4="Bloomberg",AH!$P$10=1,ISNUMBER($A2615),$A2615&lt;=AH!$P$17),AH!$P$7-1+MATCH($A2615,INDEX('AH History'!$A$1:$A$18046,AH!$P$7):INDEX('AH History'!$A$1:$A$18046,AH!$P$7+AH!$P$8-1),0),0),0)</ns0:f>
        <ns0:v/>
      </ns0:c>
      <ns0:c r="I2615">
        <ns0:f>IF($H2615=0,0,IFERROR(IF(AND(ABS($C2615-INDEX('AH History'!$B$1:$B$18046,$H2615))&lt;=MAX(0.005,ABS(INDEX('AH History'!$B$1:$B$18046,$H2615))*0.00005),ABS($D2615-INDEX('AH History'!$C$1:$C$18046,$H2615))&lt;=MAX(0.005,ABS(INDEX('AH History'!$C$1:$C$18046,$H2615))*0.00005),ABS($E2615-INDEX('AH History'!$D$1:$D$18046,$H2615))&lt;=0.00005,$F2615=INDEX('AH History'!$E$1:$E$18046,$H2615),$G2615=INDEX('AH History'!$F$1:$F$18046,$H2615)),1,-1),-1))</ns0:f>
        <ns0:v/>
      </ns0:c>
    </ns0:row>
    <ns0:row r="2616">
      <ns0:c r="A2616" s="215">
        <ns0:f>IF(OR(AH!$P$3=0,2611+1&gt;AH!$P$11,AND(AH!$E$4&lt;&gt;"Stored",AH!$P$10&lt;&gt;1)),"",IFERROR(IF(AND(AH!$P$21=1,2611+1=AH!$P$11),TODAY(),IF(AH!$P$10=1,INDEX('Live History'!$A$5:$A$3004,AH!$P$13+2611),INDEX('AH History'!$A$1:$A$18046,AH!$P$7+2611))),""))</ns0:f>
        <ns0:v/>
      </ns0:c>
      <ns0:c r="B2616" s="219">
        <ns0:f>IFERROR(IF(AND(AH!$P$9&lt;&gt;1,$C2616&gt;0,$D2616&gt;0,$E2616&gt;0,$F2616&gt;0,$G2616&gt;0,$F2616&lt;=$A2616,$G2616&lt;=$A2616,$A2616-$F2616&lt;=10,$A2616-$G2616&lt;=5),$D2616*$E2616/$C2616-1,NA()),NA())</ns0:f>
        <ns0:v/>
      </ns0:c>
      <ns0:c r="C2616">
        <ns0:f>IFERROR(IF(ISNUMBER($A2616),IF(AND(AH!$P$10=1,AH!$P$12=1,$A2616=TODAY()),AH!$P$19,IF(AH!$P$10=1,INDEX('Live History'!$B$5:$B$3004,AH!$P$13+2611),INDEX('AH History'!$B$1:$B$18046,AH!$P$7+2611))),NA()),NA())</ns0:f>
        <ns0:v/>
      </ns0:c>
      <ns0:c r="D2616">
        <ns0:f>IFERROR(IF(ISNUMBER($A2616),IF(AND(AH!$P$10=1,AH!$P$12=1,$A2616=TODAY()),AH!$P$18,IF(AH!$P$10=1,INDEX('Live History'!$E$5:$E$3004,MATCH($A2616,'Live History'!$D$5:$D$3004,1)),INDEX('AH History'!$C$1:$C$18046,AH!$P$7+2611))),NA()),NA())</ns0:f>
        <ns0:v/>
      </ns0:c>
      <ns0:c r="E2616">
        <ns0:f>IFERROR(IF(ISNUMBER($A2616),IF(AND(AH!$P$10=1,AH!$P$12=1,$A2616=TODAY()),AH!$P$20,IF(AH!$P$10=1,INDEX('Live History'!$H$5:$H$3004,MATCH($A2616,'Live History'!$G$5:$G$3004,1)),INDEX('AH History'!$D$1:$D$18046,AH!$P$7+2611))),NA()),NA())</ns0:f>
        <ns0:v/>
      </ns0:c>
      <ns0:c r="F2616">
        <ns0:f>IFERROR(IF(ISNUMBER($A2616),IF(AND(AH!$P$10=1,AH!$P$12=1,$A2616=TODAY()),IF(AND(AH!$P$10=1,AH!$P$12=1,$A2616=TODAY()),TODAY(),NA()),IF(AH!$P$10=1,INDEX('Live History'!$D$5:$D$3004,MATCH($A2616,'Live History'!$D$5:$D$3004,1)),INDEX('AH History'!$E$1:$E$18046,AH!$P$7+2611))),NA()),NA())</ns0:f>
        <ns0:v/>
      </ns0:c>
      <ns0:c r="G2616">
        <ns0:f>IFERROR(IF(ISNUMBER($A2616),IF(AND(AH!$P$10=1,AH!$P$12=1,$A2616=TODAY()),IF(AND(AH!$P$10=1,AH!$P$12=1,$A2616=TODAY()),TODAY(),NA()),IF(AH!$P$10=1,INDEX('Live History'!$G$5:$G$3004,MATCH($A2616,'Live History'!$G$5:$G$3004,1)),INDEX('AH History'!$F$1:$F$18046,AH!$P$7+2611))),NA()),NA())</ns0:f>
        <ns0:v/>
      </ns0:c>
      <ns0:c r="H2616">
        <ns0:f>IFERROR(IF(AND(AH!$E$4="Bloomberg",AH!$P$10=1,ISNUMBER($A2616),$A2616&lt;=AH!$P$17),AH!$P$7-1+MATCH($A2616,INDEX('AH History'!$A$1:$A$18046,AH!$P$7):INDEX('AH History'!$A$1:$A$18046,AH!$P$7+AH!$P$8-1),0),0),0)</ns0:f>
        <ns0:v/>
      </ns0:c>
      <ns0:c r="I2616">
        <ns0:f>IF($H2616=0,0,IFERROR(IF(AND(ABS($C2616-INDEX('AH History'!$B$1:$B$18046,$H2616))&lt;=MAX(0.005,ABS(INDEX('AH History'!$B$1:$B$18046,$H2616))*0.00005),ABS($D2616-INDEX('AH History'!$C$1:$C$18046,$H2616))&lt;=MAX(0.005,ABS(INDEX('AH History'!$C$1:$C$18046,$H2616))*0.00005),ABS($E2616-INDEX('AH History'!$D$1:$D$18046,$H2616))&lt;=0.00005,$F2616=INDEX('AH History'!$E$1:$E$18046,$H2616),$G2616=INDEX('AH History'!$F$1:$F$18046,$H2616)),1,-1),-1))</ns0:f>
        <ns0:v/>
      </ns0:c>
    </ns0:row>
    <ns0:row r="2617">
      <ns0:c r="A2617" s="215">
        <ns0:f>IF(OR(AH!$P$3=0,2612+1&gt;AH!$P$11,AND(AH!$E$4&lt;&gt;"Stored",AH!$P$10&lt;&gt;1)),"",IFERROR(IF(AND(AH!$P$21=1,2612+1=AH!$P$11),TODAY(),IF(AH!$P$10=1,INDEX('Live History'!$A$5:$A$3004,AH!$P$13+2612),INDEX('AH History'!$A$1:$A$18046,AH!$P$7+2612))),""))</ns0:f>
        <ns0:v/>
      </ns0:c>
      <ns0:c r="B2617" s="219">
        <ns0:f>IFERROR(IF(AND(AH!$P$9&lt;&gt;1,$C2617&gt;0,$D2617&gt;0,$E2617&gt;0,$F2617&gt;0,$G2617&gt;0,$F2617&lt;=$A2617,$G2617&lt;=$A2617,$A2617-$F2617&lt;=10,$A2617-$G2617&lt;=5),$D2617*$E2617/$C2617-1,NA()),NA())</ns0:f>
        <ns0:v/>
      </ns0:c>
      <ns0:c r="C2617">
        <ns0:f>IFERROR(IF(ISNUMBER($A2617),IF(AND(AH!$P$10=1,AH!$P$12=1,$A2617=TODAY()),AH!$P$19,IF(AH!$P$10=1,INDEX('Live History'!$B$5:$B$3004,AH!$P$13+2612),INDEX('AH History'!$B$1:$B$18046,AH!$P$7+2612))),NA()),NA())</ns0:f>
        <ns0:v/>
      </ns0:c>
      <ns0:c r="D2617">
        <ns0:f>IFERROR(IF(ISNUMBER($A2617),IF(AND(AH!$P$10=1,AH!$P$12=1,$A2617=TODAY()),AH!$P$18,IF(AH!$P$10=1,INDEX('Live History'!$E$5:$E$3004,MATCH($A2617,'Live History'!$D$5:$D$3004,1)),INDEX('AH History'!$C$1:$C$18046,AH!$P$7+2612))),NA()),NA())</ns0:f>
        <ns0:v/>
      </ns0:c>
      <ns0:c r="E2617">
        <ns0:f>IFERROR(IF(ISNUMBER($A2617),IF(AND(AH!$P$10=1,AH!$P$12=1,$A2617=TODAY()),AH!$P$20,IF(AH!$P$10=1,INDEX('Live History'!$H$5:$H$3004,MATCH($A2617,'Live History'!$G$5:$G$3004,1)),INDEX('AH History'!$D$1:$D$18046,AH!$P$7+2612))),NA()),NA())</ns0:f>
        <ns0:v/>
      </ns0:c>
      <ns0:c r="F2617">
        <ns0:f>IFERROR(IF(ISNUMBER($A2617),IF(AND(AH!$P$10=1,AH!$P$12=1,$A2617=TODAY()),IF(AND(AH!$P$10=1,AH!$P$12=1,$A2617=TODAY()),TODAY(),NA()),IF(AH!$P$10=1,INDEX('Live History'!$D$5:$D$3004,MATCH($A2617,'Live History'!$D$5:$D$3004,1)),INDEX('AH History'!$E$1:$E$18046,AH!$P$7+2612))),NA()),NA())</ns0:f>
        <ns0:v/>
      </ns0:c>
      <ns0:c r="G2617">
        <ns0:f>IFERROR(IF(ISNUMBER($A2617),IF(AND(AH!$P$10=1,AH!$P$12=1,$A2617=TODAY()),IF(AND(AH!$P$10=1,AH!$P$12=1,$A2617=TODAY()),TODAY(),NA()),IF(AH!$P$10=1,INDEX('Live History'!$G$5:$G$3004,MATCH($A2617,'Live History'!$G$5:$G$3004,1)),INDEX('AH History'!$F$1:$F$18046,AH!$P$7+2612))),NA()),NA())</ns0:f>
        <ns0:v/>
      </ns0:c>
      <ns0:c r="H2617">
        <ns0:f>IFERROR(IF(AND(AH!$E$4="Bloomberg",AH!$P$10=1,ISNUMBER($A2617),$A2617&lt;=AH!$P$17),AH!$P$7-1+MATCH($A2617,INDEX('AH History'!$A$1:$A$18046,AH!$P$7):INDEX('AH History'!$A$1:$A$18046,AH!$P$7+AH!$P$8-1),0),0),0)</ns0:f>
        <ns0:v/>
      </ns0:c>
      <ns0:c r="I2617">
        <ns0:f>IF($H2617=0,0,IFERROR(IF(AND(ABS($C2617-INDEX('AH History'!$B$1:$B$18046,$H2617))&lt;=MAX(0.005,ABS(INDEX('AH History'!$B$1:$B$18046,$H2617))*0.00005),ABS($D2617-INDEX('AH History'!$C$1:$C$18046,$H2617))&lt;=MAX(0.005,ABS(INDEX('AH History'!$C$1:$C$18046,$H2617))*0.00005),ABS($E2617-INDEX('AH History'!$D$1:$D$18046,$H2617))&lt;=0.00005,$F2617=INDEX('AH History'!$E$1:$E$18046,$H2617),$G2617=INDEX('AH History'!$F$1:$F$18046,$H2617)),1,-1),-1))</ns0:f>
        <ns0:v/>
      </ns0:c>
    </ns0:row>
    <ns0:row r="2618">
      <ns0:c r="A2618" s="215">
        <ns0:f>IF(OR(AH!$P$3=0,2613+1&gt;AH!$P$11,AND(AH!$E$4&lt;&gt;"Stored",AH!$P$10&lt;&gt;1)),"",IFERROR(IF(AND(AH!$P$21=1,2613+1=AH!$P$11),TODAY(),IF(AH!$P$10=1,INDEX('Live History'!$A$5:$A$3004,AH!$P$13+2613),INDEX('AH History'!$A$1:$A$18046,AH!$P$7+2613))),""))</ns0:f>
        <ns0:v/>
      </ns0:c>
      <ns0:c r="B2618" s="219">
        <ns0:f>IFERROR(IF(AND(AH!$P$9&lt;&gt;1,$C2618&gt;0,$D2618&gt;0,$E2618&gt;0,$F2618&gt;0,$G2618&gt;0,$F2618&lt;=$A2618,$G2618&lt;=$A2618,$A2618-$F2618&lt;=10,$A2618-$G2618&lt;=5),$D2618*$E2618/$C2618-1,NA()),NA())</ns0:f>
        <ns0:v/>
      </ns0:c>
      <ns0:c r="C2618">
        <ns0:f>IFERROR(IF(ISNUMBER($A2618),IF(AND(AH!$P$10=1,AH!$P$12=1,$A2618=TODAY()),AH!$P$19,IF(AH!$P$10=1,INDEX('Live History'!$B$5:$B$3004,AH!$P$13+2613),INDEX('AH History'!$B$1:$B$18046,AH!$P$7+2613))),NA()),NA())</ns0:f>
        <ns0:v/>
      </ns0:c>
      <ns0:c r="D2618">
        <ns0:f>IFERROR(IF(ISNUMBER($A2618),IF(AND(AH!$P$10=1,AH!$P$12=1,$A2618=TODAY()),AH!$P$18,IF(AH!$P$10=1,INDEX('Live History'!$E$5:$E$3004,MATCH($A2618,'Live History'!$D$5:$D$3004,1)),INDEX('AH History'!$C$1:$C$18046,AH!$P$7+2613))),NA()),NA())</ns0:f>
        <ns0:v/>
      </ns0:c>
      <ns0:c r="E2618">
        <ns0:f>IFERROR(IF(ISNUMBER($A2618),IF(AND(AH!$P$10=1,AH!$P$12=1,$A2618=TODAY()),AH!$P$20,IF(AH!$P$10=1,INDEX('Live History'!$H$5:$H$3004,MATCH($A2618,'Live History'!$G$5:$G$3004,1)),INDEX('AH History'!$D$1:$D$18046,AH!$P$7+2613))),NA()),NA())</ns0:f>
        <ns0:v/>
      </ns0:c>
      <ns0:c r="F2618">
        <ns0:f>IFERROR(IF(ISNUMBER($A2618),IF(AND(AH!$P$10=1,AH!$P$12=1,$A2618=TODAY()),IF(AND(AH!$P$10=1,AH!$P$12=1,$A2618=TODAY()),TODAY(),NA()),IF(AH!$P$10=1,INDEX('Live History'!$D$5:$D$3004,MATCH($A2618,'Live History'!$D$5:$D$3004,1)),INDEX('AH History'!$E$1:$E$18046,AH!$P$7+2613))),NA()),NA())</ns0:f>
        <ns0:v/>
      </ns0:c>
      <ns0:c r="G2618">
        <ns0:f>IFERROR(IF(ISNUMBER($A2618),IF(AND(AH!$P$10=1,AH!$P$12=1,$A2618=TODAY()),IF(AND(AH!$P$10=1,AH!$P$12=1,$A2618=TODAY()),TODAY(),NA()),IF(AH!$P$10=1,INDEX('Live History'!$G$5:$G$3004,MATCH($A2618,'Live History'!$G$5:$G$3004,1)),INDEX('AH History'!$F$1:$F$18046,AH!$P$7+2613))),NA()),NA())</ns0:f>
        <ns0:v/>
      </ns0:c>
      <ns0:c r="H2618">
        <ns0:f>IFERROR(IF(AND(AH!$E$4="Bloomberg",AH!$P$10=1,ISNUMBER($A2618),$A2618&lt;=AH!$P$17),AH!$P$7-1+MATCH($A2618,INDEX('AH History'!$A$1:$A$18046,AH!$P$7):INDEX('AH History'!$A$1:$A$18046,AH!$P$7+AH!$P$8-1),0),0),0)</ns0:f>
        <ns0:v/>
      </ns0:c>
      <ns0:c r="I2618">
        <ns0:f>IF($H2618=0,0,IFERROR(IF(AND(ABS($C2618-INDEX('AH History'!$B$1:$B$18046,$H2618))&lt;=MAX(0.005,ABS(INDEX('AH History'!$B$1:$B$18046,$H2618))*0.00005),ABS($D2618-INDEX('AH History'!$C$1:$C$18046,$H2618))&lt;=MAX(0.005,ABS(INDEX('AH History'!$C$1:$C$18046,$H2618))*0.00005),ABS($E2618-INDEX('AH History'!$D$1:$D$18046,$H2618))&lt;=0.00005,$F2618=INDEX('AH History'!$E$1:$E$18046,$H2618),$G2618=INDEX('AH History'!$F$1:$F$18046,$H2618)),1,-1),-1))</ns0:f>
        <ns0:v/>
      </ns0:c>
    </ns0:row>
    <ns0:row r="2619">
      <ns0:c r="A2619" s="215">
        <ns0:f>IF(OR(AH!$P$3=0,2614+1&gt;AH!$P$11,AND(AH!$E$4&lt;&gt;"Stored",AH!$P$10&lt;&gt;1)),"",IFERROR(IF(AND(AH!$P$21=1,2614+1=AH!$P$11),TODAY(),IF(AH!$P$10=1,INDEX('Live History'!$A$5:$A$3004,AH!$P$13+2614),INDEX('AH History'!$A$1:$A$18046,AH!$P$7+2614))),""))</ns0:f>
        <ns0:v/>
      </ns0:c>
      <ns0:c r="B2619" s="219">
        <ns0:f>IFERROR(IF(AND(AH!$P$9&lt;&gt;1,$C2619&gt;0,$D2619&gt;0,$E2619&gt;0,$F2619&gt;0,$G2619&gt;0,$F2619&lt;=$A2619,$G2619&lt;=$A2619,$A2619-$F2619&lt;=10,$A2619-$G2619&lt;=5),$D2619*$E2619/$C2619-1,NA()),NA())</ns0:f>
        <ns0:v/>
      </ns0:c>
      <ns0:c r="C2619">
        <ns0:f>IFERROR(IF(ISNUMBER($A2619),IF(AND(AH!$P$10=1,AH!$P$12=1,$A2619=TODAY()),AH!$P$19,IF(AH!$P$10=1,INDEX('Live History'!$B$5:$B$3004,AH!$P$13+2614),INDEX('AH History'!$B$1:$B$18046,AH!$P$7+2614))),NA()),NA())</ns0:f>
        <ns0:v/>
      </ns0:c>
      <ns0:c r="D2619">
        <ns0:f>IFERROR(IF(ISNUMBER($A2619),IF(AND(AH!$P$10=1,AH!$P$12=1,$A2619=TODAY()),AH!$P$18,IF(AH!$P$10=1,INDEX('Live History'!$E$5:$E$3004,MATCH($A2619,'Live History'!$D$5:$D$3004,1)),INDEX('AH History'!$C$1:$C$18046,AH!$P$7+2614))),NA()),NA())</ns0:f>
        <ns0:v/>
      </ns0:c>
      <ns0:c r="E2619">
        <ns0:f>IFERROR(IF(ISNUMBER($A2619),IF(AND(AH!$P$10=1,AH!$P$12=1,$A2619=TODAY()),AH!$P$20,IF(AH!$P$10=1,INDEX('Live History'!$H$5:$H$3004,MATCH($A2619,'Live History'!$G$5:$G$3004,1)),INDEX('AH History'!$D$1:$D$18046,AH!$P$7+2614))),NA()),NA())</ns0:f>
        <ns0:v/>
      </ns0:c>
      <ns0:c r="F2619">
        <ns0:f>IFERROR(IF(ISNUMBER($A2619),IF(AND(AH!$P$10=1,AH!$P$12=1,$A2619=TODAY()),IF(AND(AH!$P$10=1,AH!$P$12=1,$A2619=TODAY()),TODAY(),NA()),IF(AH!$P$10=1,INDEX('Live History'!$D$5:$D$3004,MATCH($A2619,'Live History'!$D$5:$D$3004,1)),INDEX('AH History'!$E$1:$E$18046,AH!$P$7+2614))),NA()),NA())</ns0:f>
        <ns0:v/>
      </ns0:c>
      <ns0:c r="G2619">
        <ns0:f>IFERROR(IF(ISNUMBER($A2619),IF(AND(AH!$P$10=1,AH!$P$12=1,$A2619=TODAY()),IF(AND(AH!$P$10=1,AH!$P$12=1,$A2619=TODAY()),TODAY(),NA()),IF(AH!$P$10=1,INDEX('Live History'!$G$5:$G$3004,MATCH($A2619,'Live History'!$G$5:$G$3004,1)),INDEX('AH History'!$F$1:$F$18046,AH!$P$7+2614))),NA()),NA())</ns0:f>
        <ns0:v/>
      </ns0:c>
      <ns0:c r="H2619">
        <ns0:f>IFERROR(IF(AND(AH!$E$4="Bloomberg",AH!$P$10=1,ISNUMBER($A2619),$A2619&lt;=AH!$P$17),AH!$P$7-1+MATCH($A2619,INDEX('AH History'!$A$1:$A$18046,AH!$P$7):INDEX('AH History'!$A$1:$A$18046,AH!$P$7+AH!$P$8-1),0),0),0)</ns0:f>
        <ns0:v/>
      </ns0:c>
      <ns0:c r="I2619">
        <ns0:f>IF($H2619=0,0,IFERROR(IF(AND(ABS($C2619-INDEX('AH History'!$B$1:$B$18046,$H2619))&lt;=MAX(0.005,ABS(INDEX('AH History'!$B$1:$B$18046,$H2619))*0.00005),ABS($D2619-INDEX('AH History'!$C$1:$C$18046,$H2619))&lt;=MAX(0.005,ABS(INDEX('AH History'!$C$1:$C$18046,$H2619))*0.00005),ABS($E2619-INDEX('AH History'!$D$1:$D$18046,$H2619))&lt;=0.00005,$F2619=INDEX('AH History'!$E$1:$E$18046,$H2619),$G2619=INDEX('AH History'!$F$1:$F$18046,$H2619)),1,-1),-1))</ns0:f>
        <ns0:v/>
      </ns0:c>
    </ns0:row>
    <ns0:row r="2620">
      <ns0:c r="A2620" s="215">
        <ns0:f>IF(OR(AH!$P$3=0,2615+1&gt;AH!$P$11,AND(AH!$E$4&lt;&gt;"Stored",AH!$P$10&lt;&gt;1)),"",IFERROR(IF(AND(AH!$P$21=1,2615+1=AH!$P$11),TODAY(),IF(AH!$P$10=1,INDEX('Live History'!$A$5:$A$3004,AH!$P$13+2615),INDEX('AH History'!$A$1:$A$18046,AH!$P$7+2615))),""))</ns0:f>
        <ns0:v/>
      </ns0:c>
      <ns0:c r="B2620" s="219">
        <ns0:f>IFERROR(IF(AND(AH!$P$9&lt;&gt;1,$C2620&gt;0,$D2620&gt;0,$E2620&gt;0,$F2620&gt;0,$G2620&gt;0,$F2620&lt;=$A2620,$G2620&lt;=$A2620,$A2620-$F2620&lt;=10,$A2620-$G2620&lt;=5),$D2620*$E2620/$C2620-1,NA()),NA())</ns0:f>
        <ns0:v/>
      </ns0:c>
      <ns0:c r="C2620">
        <ns0:f>IFERROR(IF(ISNUMBER($A2620),IF(AND(AH!$P$10=1,AH!$P$12=1,$A2620=TODAY()),AH!$P$19,IF(AH!$P$10=1,INDEX('Live History'!$B$5:$B$3004,AH!$P$13+2615),INDEX('AH History'!$B$1:$B$18046,AH!$P$7+2615))),NA()),NA())</ns0:f>
        <ns0:v/>
      </ns0:c>
      <ns0:c r="D2620">
        <ns0:f>IFERROR(IF(ISNUMBER($A2620),IF(AND(AH!$P$10=1,AH!$P$12=1,$A2620=TODAY()),AH!$P$18,IF(AH!$P$10=1,INDEX('Live History'!$E$5:$E$3004,MATCH($A2620,'Live History'!$D$5:$D$3004,1)),INDEX('AH History'!$C$1:$C$18046,AH!$P$7+2615))),NA()),NA())</ns0:f>
        <ns0:v/>
      </ns0:c>
      <ns0:c r="E2620">
        <ns0:f>IFERROR(IF(ISNUMBER($A2620),IF(AND(AH!$P$10=1,AH!$P$12=1,$A2620=TODAY()),AH!$P$20,IF(AH!$P$10=1,INDEX('Live History'!$H$5:$H$3004,MATCH($A2620,'Live History'!$G$5:$G$3004,1)),INDEX('AH History'!$D$1:$D$18046,AH!$P$7+2615))),NA()),NA())</ns0:f>
        <ns0:v/>
      </ns0:c>
      <ns0:c r="F2620">
        <ns0:f>IFERROR(IF(ISNUMBER($A2620),IF(AND(AH!$P$10=1,AH!$P$12=1,$A2620=TODAY()),IF(AND(AH!$P$10=1,AH!$P$12=1,$A2620=TODAY()),TODAY(),NA()),IF(AH!$P$10=1,INDEX('Live History'!$D$5:$D$3004,MATCH($A2620,'Live History'!$D$5:$D$3004,1)),INDEX('AH History'!$E$1:$E$18046,AH!$P$7+2615))),NA()),NA())</ns0:f>
        <ns0:v/>
      </ns0:c>
      <ns0:c r="G2620">
        <ns0:f>IFERROR(IF(ISNUMBER($A2620),IF(AND(AH!$P$10=1,AH!$P$12=1,$A2620=TODAY()),IF(AND(AH!$P$10=1,AH!$P$12=1,$A2620=TODAY()),TODAY(),NA()),IF(AH!$P$10=1,INDEX('Live History'!$G$5:$G$3004,MATCH($A2620,'Live History'!$G$5:$G$3004,1)),INDEX('AH History'!$F$1:$F$18046,AH!$P$7+2615))),NA()),NA())</ns0:f>
        <ns0:v/>
      </ns0:c>
      <ns0:c r="H2620">
        <ns0:f>IFERROR(IF(AND(AH!$E$4="Bloomberg",AH!$P$10=1,ISNUMBER($A2620),$A2620&lt;=AH!$P$17),AH!$P$7-1+MATCH($A2620,INDEX('AH History'!$A$1:$A$18046,AH!$P$7):INDEX('AH History'!$A$1:$A$18046,AH!$P$7+AH!$P$8-1),0),0),0)</ns0:f>
        <ns0:v/>
      </ns0:c>
      <ns0:c r="I2620">
        <ns0:f>IF($H2620=0,0,IFERROR(IF(AND(ABS($C2620-INDEX('AH History'!$B$1:$B$18046,$H2620))&lt;=MAX(0.005,ABS(INDEX('AH History'!$B$1:$B$18046,$H2620))*0.00005),ABS($D2620-INDEX('AH History'!$C$1:$C$18046,$H2620))&lt;=MAX(0.005,ABS(INDEX('AH History'!$C$1:$C$18046,$H2620))*0.00005),ABS($E2620-INDEX('AH History'!$D$1:$D$18046,$H2620))&lt;=0.00005,$F2620=INDEX('AH History'!$E$1:$E$18046,$H2620),$G2620=INDEX('AH History'!$F$1:$F$18046,$H2620)),1,-1),-1))</ns0:f>
        <ns0:v/>
      </ns0:c>
    </ns0:row>
    <ns0:row r="2621">
      <ns0:c r="A2621" s="215">
        <ns0:f>IF(OR(AH!$P$3=0,2616+1&gt;AH!$P$11,AND(AH!$E$4&lt;&gt;"Stored",AH!$P$10&lt;&gt;1)),"",IFERROR(IF(AND(AH!$P$21=1,2616+1=AH!$P$11),TODAY(),IF(AH!$P$10=1,INDEX('Live History'!$A$5:$A$3004,AH!$P$13+2616),INDEX('AH History'!$A$1:$A$18046,AH!$P$7+2616))),""))</ns0:f>
        <ns0:v/>
      </ns0:c>
      <ns0:c r="B2621" s="219">
        <ns0:f>IFERROR(IF(AND(AH!$P$9&lt;&gt;1,$C2621&gt;0,$D2621&gt;0,$E2621&gt;0,$F2621&gt;0,$G2621&gt;0,$F2621&lt;=$A2621,$G2621&lt;=$A2621,$A2621-$F2621&lt;=10,$A2621-$G2621&lt;=5),$D2621*$E2621/$C2621-1,NA()),NA())</ns0:f>
        <ns0:v/>
      </ns0:c>
      <ns0:c r="C2621">
        <ns0:f>IFERROR(IF(ISNUMBER($A2621),IF(AND(AH!$P$10=1,AH!$P$12=1,$A2621=TODAY()),AH!$P$19,IF(AH!$P$10=1,INDEX('Live History'!$B$5:$B$3004,AH!$P$13+2616),INDEX('AH History'!$B$1:$B$18046,AH!$P$7+2616))),NA()),NA())</ns0:f>
        <ns0:v/>
      </ns0:c>
      <ns0:c r="D2621">
        <ns0:f>IFERROR(IF(ISNUMBER($A2621),IF(AND(AH!$P$10=1,AH!$P$12=1,$A2621=TODAY()),AH!$P$18,IF(AH!$P$10=1,INDEX('Live History'!$E$5:$E$3004,MATCH($A2621,'Live History'!$D$5:$D$3004,1)),INDEX('AH History'!$C$1:$C$18046,AH!$P$7+2616))),NA()),NA())</ns0:f>
        <ns0:v/>
      </ns0:c>
      <ns0:c r="E2621">
        <ns0:f>IFERROR(IF(ISNUMBER($A2621),IF(AND(AH!$P$10=1,AH!$P$12=1,$A2621=TODAY()),AH!$P$20,IF(AH!$P$10=1,INDEX('Live History'!$H$5:$H$3004,MATCH($A2621,'Live History'!$G$5:$G$3004,1)),INDEX('AH History'!$D$1:$D$18046,AH!$P$7+2616))),NA()),NA())</ns0:f>
        <ns0:v/>
      </ns0:c>
      <ns0:c r="F2621">
        <ns0:f>IFERROR(IF(ISNUMBER($A2621),IF(AND(AH!$P$10=1,AH!$P$12=1,$A2621=TODAY()),IF(AND(AH!$P$10=1,AH!$P$12=1,$A2621=TODAY()),TODAY(),NA()),IF(AH!$P$10=1,INDEX('Live History'!$D$5:$D$3004,MATCH($A2621,'Live History'!$D$5:$D$3004,1)),INDEX('AH History'!$E$1:$E$18046,AH!$P$7+2616))),NA()),NA())</ns0:f>
        <ns0:v/>
      </ns0:c>
      <ns0:c r="G2621">
        <ns0:f>IFERROR(IF(ISNUMBER($A2621),IF(AND(AH!$P$10=1,AH!$P$12=1,$A2621=TODAY()),IF(AND(AH!$P$10=1,AH!$P$12=1,$A2621=TODAY()),TODAY(),NA()),IF(AH!$P$10=1,INDEX('Live History'!$G$5:$G$3004,MATCH($A2621,'Live History'!$G$5:$G$3004,1)),INDEX('AH History'!$F$1:$F$18046,AH!$P$7+2616))),NA()),NA())</ns0:f>
        <ns0:v/>
      </ns0:c>
      <ns0:c r="H2621">
        <ns0:f>IFERROR(IF(AND(AH!$E$4="Bloomberg",AH!$P$10=1,ISNUMBER($A2621),$A2621&lt;=AH!$P$17),AH!$P$7-1+MATCH($A2621,INDEX('AH History'!$A$1:$A$18046,AH!$P$7):INDEX('AH History'!$A$1:$A$18046,AH!$P$7+AH!$P$8-1),0),0),0)</ns0:f>
        <ns0:v/>
      </ns0:c>
      <ns0:c r="I2621">
        <ns0:f>IF($H2621=0,0,IFERROR(IF(AND(ABS($C2621-INDEX('AH History'!$B$1:$B$18046,$H2621))&lt;=MAX(0.005,ABS(INDEX('AH History'!$B$1:$B$18046,$H2621))*0.00005),ABS($D2621-INDEX('AH History'!$C$1:$C$18046,$H2621))&lt;=MAX(0.005,ABS(INDEX('AH History'!$C$1:$C$18046,$H2621))*0.00005),ABS($E2621-INDEX('AH History'!$D$1:$D$18046,$H2621))&lt;=0.00005,$F2621=INDEX('AH History'!$E$1:$E$18046,$H2621),$G2621=INDEX('AH History'!$F$1:$F$18046,$H2621)),1,-1),-1))</ns0:f>
        <ns0:v/>
      </ns0:c>
    </ns0:row>
    <ns0:row r="2622">
      <ns0:c r="A2622" s="215">
        <ns0:f>IF(OR(AH!$P$3=0,2617+1&gt;AH!$P$11,AND(AH!$E$4&lt;&gt;"Stored",AH!$P$10&lt;&gt;1)),"",IFERROR(IF(AND(AH!$P$21=1,2617+1=AH!$P$11),TODAY(),IF(AH!$P$10=1,INDEX('Live History'!$A$5:$A$3004,AH!$P$13+2617),INDEX('AH History'!$A$1:$A$18046,AH!$P$7+2617))),""))</ns0:f>
        <ns0:v/>
      </ns0:c>
      <ns0:c r="B2622" s="219">
        <ns0:f>IFERROR(IF(AND(AH!$P$9&lt;&gt;1,$C2622&gt;0,$D2622&gt;0,$E2622&gt;0,$F2622&gt;0,$G2622&gt;0,$F2622&lt;=$A2622,$G2622&lt;=$A2622,$A2622-$F2622&lt;=10,$A2622-$G2622&lt;=5),$D2622*$E2622/$C2622-1,NA()),NA())</ns0:f>
        <ns0:v/>
      </ns0:c>
      <ns0:c r="C2622">
        <ns0:f>IFERROR(IF(ISNUMBER($A2622),IF(AND(AH!$P$10=1,AH!$P$12=1,$A2622=TODAY()),AH!$P$19,IF(AH!$P$10=1,INDEX('Live History'!$B$5:$B$3004,AH!$P$13+2617),INDEX('AH History'!$B$1:$B$18046,AH!$P$7+2617))),NA()),NA())</ns0:f>
        <ns0:v/>
      </ns0:c>
      <ns0:c r="D2622">
        <ns0:f>IFERROR(IF(ISNUMBER($A2622),IF(AND(AH!$P$10=1,AH!$P$12=1,$A2622=TODAY()),AH!$P$18,IF(AH!$P$10=1,INDEX('Live History'!$E$5:$E$3004,MATCH($A2622,'Live History'!$D$5:$D$3004,1)),INDEX('AH History'!$C$1:$C$18046,AH!$P$7+2617))),NA()),NA())</ns0:f>
        <ns0:v/>
      </ns0:c>
      <ns0:c r="E2622">
        <ns0:f>IFERROR(IF(ISNUMBER($A2622),IF(AND(AH!$P$10=1,AH!$P$12=1,$A2622=TODAY()),AH!$P$20,IF(AH!$P$10=1,INDEX('Live History'!$H$5:$H$3004,MATCH($A2622,'Live History'!$G$5:$G$3004,1)),INDEX('AH History'!$D$1:$D$18046,AH!$P$7+2617))),NA()),NA())</ns0:f>
        <ns0:v/>
      </ns0:c>
      <ns0:c r="F2622">
        <ns0:f>IFERROR(IF(ISNUMBER($A2622),IF(AND(AH!$P$10=1,AH!$P$12=1,$A2622=TODAY()),IF(AND(AH!$P$10=1,AH!$P$12=1,$A2622=TODAY()),TODAY(),NA()),IF(AH!$P$10=1,INDEX('Live History'!$D$5:$D$3004,MATCH($A2622,'Live History'!$D$5:$D$3004,1)),INDEX('AH History'!$E$1:$E$18046,AH!$P$7+2617))),NA()),NA())</ns0:f>
        <ns0:v/>
      </ns0:c>
      <ns0:c r="G2622">
        <ns0:f>IFERROR(IF(ISNUMBER($A2622),IF(AND(AH!$P$10=1,AH!$P$12=1,$A2622=TODAY()),IF(AND(AH!$P$10=1,AH!$P$12=1,$A2622=TODAY()),TODAY(),NA()),IF(AH!$P$10=1,INDEX('Live History'!$G$5:$G$3004,MATCH($A2622,'Live History'!$G$5:$G$3004,1)),INDEX('AH History'!$F$1:$F$18046,AH!$P$7+2617))),NA()),NA())</ns0:f>
        <ns0:v/>
      </ns0:c>
      <ns0:c r="H2622">
        <ns0:f>IFERROR(IF(AND(AH!$E$4="Bloomberg",AH!$P$10=1,ISNUMBER($A2622),$A2622&lt;=AH!$P$17),AH!$P$7-1+MATCH($A2622,INDEX('AH History'!$A$1:$A$18046,AH!$P$7):INDEX('AH History'!$A$1:$A$18046,AH!$P$7+AH!$P$8-1),0),0),0)</ns0:f>
        <ns0:v/>
      </ns0:c>
      <ns0:c r="I2622">
        <ns0:f>IF($H2622=0,0,IFERROR(IF(AND(ABS($C2622-INDEX('AH History'!$B$1:$B$18046,$H2622))&lt;=MAX(0.005,ABS(INDEX('AH History'!$B$1:$B$18046,$H2622))*0.00005),ABS($D2622-INDEX('AH History'!$C$1:$C$18046,$H2622))&lt;=MAX(0.005,ABS(INDEX('AH History'!$C$1:$C$18046,$H2622))*0.00005),ABS($E2622-INDEX('AH History'!$D$1:$D$18046,$H2622))&lt;=0.00005,$F2622=INDEX('AH History'!$E$1:$E$18046,$H2622),$G2622=INDEX('AH History'!$F$1:$F$18046,$H2622)),1,-1),-1))</ns0:f>
        <ns0:v/>
      </ns0:c>
    </ns0:row>
    <ns0:row r="2623">
      <ns0:c r="A2623" s="215">
        <ns0:f>IF(OR(AH!$P$3=0,2618+1&gt;AH!$P$11,AND(AH!$E$4&lt;&gt;"Stored",AH!$P$10&lt;&gt;1)),"",IFERROR(IF(AND(AH!$P$21=1,2618+1=AH!$P$11),TODAY(),IF(AH!$P$10=1,INDEX('Live History'!$A$5:$A$3004,AH!$P$13+2618),INDEX('AH History'!$A$1:$A$18046,AH!$P$7+2618))),""))</ns0:f>
        <ns0:v/>
      </ns0:c>
      <ns0:c r="B2623" s="219">
        <ns0:f>IFERROR(IF(AND(AH!$P$9&lt;&gt;1,$C2623&gt;0,$D2623&gt;0,$E2623&gt;0,$F2623&gt;0,$G2623&gt;0,$F2623&lt;=$A2623,$G2623&lt;=$A2623,$A2623-$F2623&lt;=10,$A2623-$G2623&lt;=5),$D2623*$E2623/$C2623-1,NA()),NA())</ns0:f>
        <ns0:v/>
      </ns0:c>
      <ns0:c r="C2623">
        <ns0:f>IFERROR(IF(ISNUMBER($A2623),IF(AND(AH!$P$10=1,AH!$P$12=1,$A2623=TODAY()),AH!$P$19,IF(AH!$P$10=1,INDEX('Live History'!$B$5:$B$3004,AH!$P$13+2618),INDEX('AH History'!$B$1:$B$18046,AH!$P$7+2618))),NA()),NA())</ns0:f>
        <ns0:v/>
      </ns0:c>
      <ns0:c r="D2623">
        <ns0:f>IFERROR(IF(ISNUMBER($A2623),IF(AND(AH!$P$10=1,AH!$P$12=1,$A2623=TODAY()),AH!$P$18,IF(AH!$P$10=1,INDEX('Live History'!$E$5:$E$3004,MATCH($A2623,'Live History'!$D$5:$D$3004,1)),INDEX('AH History'!$C$1:$C$18046,AH!$P$7+2618))),NA()),NA())</ns0:f>
        <ns0:v/>
      </ns0:c>
      <ns0:c r="E2623">
        <ns0:f>IFERROR(IF(ISNUMBER($A2623),IF(AND(AH!$P$10=1,AH!$P$12=1,$A2623=TODAY()),AH!$P$20,IF(AH!$P$10=1,INDEX('Live History'!$H$5:$H$3004,MATCH($A2623,'Live History'!$G$5:$G$3004,1)),INDEX('AH History'!$D$1:$D$18046,AH!$P$7+2618))),NA()),NA())</ns0:f>
        <ns0:v/>
      </ns0:c>
      <ns0:c r="F2623">
        <ns0:f>IFERROR(IF(ISNUMBER($A2623),IF(AND(AH!$P$10=1,AH!$P$12=1,$A2623=TODAY()),IF(AND(AH!$P$10=1,AH!$P$12=1,$A2623=TODAY()),TODAY(),NA()),IF(AH!$P$10=1,INDEX('Live History'!$D$5:$D$3004,MATCH($A2623,'Live History'!$D$5:$D$3004,1)),INDEX('AH History'!$E$1:$E$18046,AH!$P$7+2618))),NA()),NA())</ns0:f>
        <ns0:v/>
      </ns0:c>
      <ns0:c r="G2623">
        <ns0:f>IFERROR(IF(ISNUMBER($A2623),IF(AND(AH!$P$10=1,AH!$P$12=1,$A2623=TODAY()),IF(AND(AH!$P$10=1,AH!$P$12=1,$A2623=TODAY()),TODAY(),NA()),IF(AH!$P$10=1,INDEX('Live History'!$G$5:$G$3004,MATCH($A2623,'Live History'!$G$5:$G$3004,1)),INDEX('AH History'!$F$1:$F$18046,AH!$P$7+2618))),NA()),NA())</ns0:f>
        <ns0:v/>
      </ns0:c>
      <ns0:c r="H2623">
        <ns0:f>IFERROR(IF(AND(AH!$E$4="Bloomberg",AH!$P$10=1,ISNUMBER($A2623),$A2623&lt;=AH!$P$17),AH!$P$7-1+MATCH($A2623,INDEX('AH History'!$A$1:$A$18046,AH!$P$7):INDEX('AH History'!$A$1:$A$18046,AH!$P$7+AH!$P$8-1),0),0),0)</ns0:f>
        <ns0:v/>
      </ns0:c>
      <ns0:c r="I2623">
        <ns0:f>IF($H2623=0,0,IFERROR(IF(AND(ABS($C2623-INDEX('AH History'!$B$1:$B$18046,$H2623))&lt;=MAX(0.005,ABS(INDEX('AH History'!$B$1:$B$18046,$H2623))*0.00005),ABS($D2623-INDEX('AH History'!$C$1:$C$18046,$H2623))&lt;=MAX(0.005,ABS(INDEX('AH History'!$C$1:$C$18046,$H2623))*0.00005),ABS($E2623-INDEX('AH History'!$D$1:$D$18046,$H2623))&lt;=0.00005,$F2623=INDEX('AH History'!$E$1:$E$18046,$H2623),$G2623=INDEX('AH History'!$F$1:$F$18046,$H2623)),1,-1),-1))</ns0:f>
        <ns0:v/>
      </ns0:c>
    </ns0:row>
    <ns0:row r="2624">
      <ns0:c r="A2624" s="215">
        <ns0:f>IF(OR(AH!$P$3=0,2619+1&gt;AH!$P$11,AND(AH!$E$4&lt;&gt;"Stored",AH!$P$10&lt;&gt;1)),"",IFERROR(IF(AND(AH!$P$21=1,2619+1=AH!$P$11),TODAY(),IF(AH!$P$10=1,INDEX('Live History'!$A$5:$A$3004,AH!$P$13+2619),INDEX('AH History'!$A$1:$A$18046,AH!$P$7+2619))),""))</ns0:f>
        <ns0:v/>
      </ns0:c>
      <ns0:c r="B2624" s="219">
        <ns0:f>IFERROR(IF(AND(AH!$P$9&lt;&gt;1,$C2624&gt;0,$D2624&gt;0,$E2624&gt;0,$F2624&gt;0,$G2624&gt;0,$F2624&lt;=$A2624,$G2624&lt;=$A2624,$A2624-$F2624&lt;=10,$A2624-$G2624&lt;=5),$D2624*$E2624/$C2624-1,NA()),NA())</ns0:f>
        <ns0:v/>
      </ns0:c>
      <ns0:c r="C2624">
        <ns0:f>IFERROR(IF(ISNUMBER($A2624),IF(AND(AH!$P$10=1,AH!$P$12=1,$A2624=TODAY()),AH!$P$19,IF(AH!$P$10=1,INDEX('Live History'!$B$5:$B$3004,AH!$P$13+2619),INDEX('AH History'!$B$1:$B$18046,AH!$P$7+2619))),NA()),NA())</ns0:f>
        <ns0:v/>
      </ns0:c>
      <ns0:c r="D2624">
        <ns0:f>IFERROR(IF(ISNUMBER($A2624),IF(AND(AH!$P$10=1,AH!$P$12=1,$A2624=TODAY()),AH!$P$18,IF(AH!$P$10=1,INDEX('Live History'!$E$5:$E$3004,MATCH($A2624,'Live History'!$D$5:$D$3004,1)),INDEX('AH History'!$C$1:$C$18046,AH!$P$7+2619))),NA()),NA())</ns0:f>
        <ns0:v/>
      </ns0:c>
      <ns0:c r="E2624">
        <ns0:f>IFERROR(IF(ISNUMBER($A2624),IF(AND(AH!$P$10=1,AH!$P$12=1,$A2624=TODAY()),AH!$P$20,IF(AH!$P$10=1,INDEX('Live History'!$H$5:$H$3004,MATCH($A2624,'Live History'!$G$5:$G$3004,1)),INDEX('AH History'!$D$1:$D$18046,AH!$P$7+2619))),NA()),NA())</ns0:f>
        <ns0:v/>
      </ns0:c>
      <ns0:c r="F2624">
        <ns0:f>IFERROR(IF(ISNUMBER($A2624),IF(AND(AH!$P$10=1,AH!$P$12=1,$A2624=TODAY()),IF(AND(AH!$P$10=1,AH!$P$12=1,$A2624=TODAY()),TODAY(),NA()),IF(AH!$P$10=1,INDEX('Live History'!$D$5:$D$3004,MATCH($A2624,'Live History'!$D$5:$D$3004,1)),INDEX('AH History'!$E$1:$E$18046,AH!$P$7+2619))),NA()),NA())</ns0:f>
        <ns0:v/>
      </ns0:c>
      <ns0:c r="G2624">
        <ns0:f>IFERROR(IF(ISNUMBER($A2624),IF(AND(AH!$P$10=1,AH!$P$12=1,$A2624=TODAY()),IF(AND(AH!$P$10=1,AH!$P$12=1,$A2624=TODAY()),TODAY(),NA()),IF(AH!$P$10=1,INDEX('Live History'!$G$5:$G$3004,MATCH($A2624,'Live History'!$G$5:$G$3004,1)),INDEX('AH History'!$F$1:$F$18046,AH!$P$7+2619))),NA()),NA())</ns0:f>
        <ns0:v/>
      </ns0:c>
      <ns0:c r="H2624">
        <ns0:f>IFERROR(IF(AND(AH!$E$4="Bloomberg",AH!$P$10=1,ISNUMBER($A2624),$A2624&lt;=AH!$P$17),AH!$P$7-1+MATCH($A2624,INDEX('AH History'!$A$1:$A$18046,AH!$P$7):INDEX('AH History'!$A$1:$A$18046,AH!$P$7+AH!$P$8-1),0),0),0)</ns0:f>
        <ns0:v/>
      </ns0:c>
      <ns0:c r="I2624">
        <ns0:f>IF($H2624=0,0,IFERROR(IF(AND(ABS($C2624-INDEX('AH History'!$B$1:$B$18046,$H2624))&lt;=MAX(0.005,ABS(INDEX('AH History'!$B$1:$B$18046,$H2624))*0.00005),ABS($D2624-INDEX('AH History'!$C$1:$C$18046,$H2624))&lt;=MAX(0.005,ABS(INDEX('AH History'!$C$1:$C$18046,$H2624))*0.00005),ABS($E2624-INDEX('AH History'!$D$1:$D$18046,$H2624))&lt;=0.00005,$F2624=INDEX('AH History'!$E$1:$E$18046,$H2624),$G2624=INDEX('AH History'!$F$1:$F$18046,$H2624)),1,-1),-1))</ns0:f>
        <ns0:v/>
      </ns0:c>
    </ns0:row>
    <ns0:row r="2625">
      <ns0:c r="A2625" s="215">
        <ns0:f>IF(OR(AH!$P$3=0,2620+1&gt;AH!$P$11,AND(AH!$E$4&lt;&gt;"Stored",AH!$P$10&lt;&gt;1)),"",IFERROR(IF(AND(AH!$P$21=1,2620+1=AH!$P$11),TODAY(),IF(AH!$P$10=1,INDEX('Live History'!$A$5:$A$3004,AH!$P$13+2620),INDEX('AH History'!$A$1:$A$18046,AH!$P$7+2620))),""))</ns0:f>
        <ns0:v/>
      </ns0:c>
      <ns0:c r="B2625" s="219">
        <ns0:f>IFERROR(IF(AND(AH!$P$9&lt;&gt;1,$C2625&gt;0,$D2625&gt;0,$E2625&gt;0,$F2625&gt;0,$G2625&gt;0,$F2625&lt;=$A2625,$G2625&lt;=$A2625,$A2625-$F2625&lt;=10,$A2625-$G2625&lt;=5),$D2625*$E2625/$C2625-1,NA()),NA())</ns0:f>
        <ns0:v/>
      </ns0:c>
      <ns0:c r="C2625">
        <ns0:f>IFERROR(IF(ISNUMBER($A2625),IF(AND(AH!$P$10=1,AH!$P$12=1,$A2625=TODAY()),AH!$P$19,IF(AH!$P$10=1,INDEX('Live History'!$B$5:$B$3004,AH!$P$13+2620),INDEX('AH History'!$B$1:$B$18046,AH!$P$7+2620))),NA()),NA())</ns0:f>
        <ns0:v/>
      </ns0:c>
      <ns0:c r="D2625">
        <ns0:f>IFERROR(IF(ISNUMBER($A2625),IF(AND(AH!$P$10=1,AH!$P$12=1,$A2625=TODAY()),AH!$P$18,IF(AH!$P$10=1,INDEX('Live History'!$E$5:$E$3004,MATCH($A2625,'Live History'!$D$5:$D$3004,1)),INDEX('AH History'!$C$1:$C$18046,AH!$P$7+2620))),NA()),NA())</ns0:f>
        <ns0:v/>
      </ns0:c>
      <ns0:c r="E2625">
        <ns0:f>IFERROR(IF(ISNUMBER($A2625),IF(AND(AH!$P$10=1,AH!$P$12=1,$A2625=TODAY()),AH!$P$20,IF(AH!$P$10=1,INDEX('Live History'!$H$5:$H$3004,MATCH($A2625,'Live History'!$G$5:$G$3004,1)),INDEX('AH History'!$D$1:$D$18046,AH!$P$7+2620))),NA()),NA())</ns0:f>
        <ns0:v/>
      </ns0:c>
      <ns0:c r="F2625">
        <ns0:f>IFERROR(IF(ISNUMBER($A2625),IF(AND(AH!$P$10=1,AH!$P$12=1,$A2625=TODAY()),IF(AND(AH!$P$10=1,AH!$P$12=1,$A2625=TODAY()),TODAY(),NA()),IF(AH!$P$10=1,INDEX('Live History'!$D$5:$D$3004,MATCH($A2625,'Live History'!$D$5:$D$3004,1)),INDEX('AH History'!$E$1:$E$18046,AH!$P$7+2620))),NA()),NA())</ns0:f>
        <ns0:v/>
      </ns0:c>
      <ns0:c r="G2625">
        <ns0:f>IFERROR(IF(ISNUMBER($A2625),IF(AND(AH!$P$10=1,AH!$P$12=1,$A2625=TODAY()),IF(AND(AH!$P$10=1,AH!$P$12=1,$A2625=TODAY()),TODAY(),NA()),IF(AH!$P$10=1,INDEX('Live History'!$G$5:$G$3004,MATCH($A2625,'Live History'!$G$5:$G$3004,1)),INDEX('AH History'!$F$1:$F$18046,AH!$P$7+2620))),NA()),NA())</ns0:f>
        <ns0:v/>
      </ns0:c>
      <ns0:c r="H2625">
        <ns0:f>IFERROR(IF(AND(AH!$E$4="Bloomberg",AH!$P$10=1,ISNUMBER($A2625),$A2625&lt;=AH!$P$17),AH!$P$7-1+MATCH($A2625,INDEX('AH History'!$A$1:$A$18046,AH!$P$7):INDEX('AH History'!$A$1:$A$18046,AH!$P$7+AH!$P$8-1),0),0),0)</ns0:f>
        <ns0:v/>
      </ns0:c>
      <ns0:c r="I2625">
        <ns0:f>IF($H2625=0,0,IFERROR(IF(AND(ABS($C2625-INDEX('AH History'!$B$1:$B$18046,$H2625))&lt;=MAX(0.005,ABS(INDEX('AH History'!$B$1:$B$18046,$H2625))*0.00005),ABS($D2625-INDEX('AH History'!$C$1:$C$18046,$H2625))&lt;=MAX(0.005,ABS(INDEX('AH History'!$C$1:$C$18046,$H2625))*0.00005),ABS($E2625-INDEX('AH History'!$D$1:$D$18046,$H2625))&lt;=0.00005,$F2625=INDEX('AH History'!$E$1:$E$18046,$H2625),$G2625=INDEX('AH History'!$F$1:$F$18046,$H2625)),1,-1),-1))</ns0:f>
        <ns0:v/>
      </ns0:c>
    </ns0:row>
    <ns0:row r="2626">
      <ns0:c r="A2626" s="215">
        <ns0:f>IF(OR(AH!$P$3=0,2621+1&gt;AH!$P$11,AND(AH!$E$4&lt;&gt;"Stored",AH!$P$10&lt;&gt;1)),"",IFERROR(IF(AND(AH!$P$21=1,2621+1=AH!$P$11),TODAY(),IF(AH!$P$10=1,INDEX('Live History'!$A$5:$A$3004,AH!$P$13+2621),INDEX('AH History'!$A$1:$A$18046,AH!$P$7+2621))),""))</ns0:f>
        <ns0:v/>
      </ns0:c>
      <ns0:c r="B2626" s="219">
        <ns0:f>IFERROR(IF(AND(AH!$P$9&lt;&gt;1,$C2626&gt;0,$D2626&gt;0,$E2626&gt;0,$F2626&gt;0,$G2626&gt;0,$F2626&lt;=$A2626,$G2626&lt;=$A2626,$A2626-$F2626&lt;=10,$A2626-$G2626&lt;=5),$D2626*$E2626/$C2626-1,NA()),NA())</ns0:f>
        <ns0:v/>
      </ns0:c>
      <ns0:c r="C2626">
        <ns0:f>IFERROR(IF(ISNUMBER($A2626),IF(AND(AH!$P$10=1,AH!$P$12=1,$A2626=TODAY()),AH!$P$19,IF(AH!$P$10=1,INDEX('Live History'!$B$5:$B$3004,AH!$P$13+2621),INDEX('AH History'!$B$1:$B$18046,AH!$P$7+2621))),NA()),NA())</ns0:f>
        <ns0:v/>
      </ns0:c>
      <ns0:c r="D2626">
        <ns0:f>IFERROR(IF(ISNUMBER($A2626),IF(AND(AH!$P$10=1,AH!$P$12=1,$A2626=TODAY()),AH!$P$18,IF(AH!$P$10=1,INDEX('Live History'!$E$5:$E$3004,MATCH($A2626,'Live History'!$D$5:$D$3004,1)),INDEX('AH History'!$C$1:$C$18046,AH!$P$7+2621))),NA()),NA())</ns0:f>
        <ns0:v/>
      </ns0:c>
      <ns0:c r="E2626">
        <ns0:f>IFERROR(IF(ISNUMBER($A2626),IF(AND(AH!$P$10=1,AH!$P$12=1,$A2626=TODAY()),AH!$P$20,IF(AH!$P$10=1,INDEX('Live History'!$H$5:$H$3004,MATCH($A2626,'Live History'!$G$5:$G$3004,1)),INDEX('AH History'!$D$1:$D$18046,AH!$P$7+2621))),NA()),NA())</ns0:f>
        <ns0:v/>
      </ns0:c>
      <ns0:c r="F2626">
        <ns0:f>IFERROR(IF(ISNUMBER($A2626),IF(AND(AH!$P$10=1,AH!$P$12=1,$A2626=TODAY()),IF(AND(AH!$P$10=1,AH!$P$12=1,$A2626=TODAY()),TODAY(),NA()),IF(AH!$P$10=1,INDEX('Live History'!$D$5:$D$3004,MATCH($A2626,'Live History'!$D$5:$D$3004,1)),INDEX('AH History'!$E$1:$E$18046,AH!$P$7+2621))),NA()),NA())</ns0:f>
        <ns0:v/>
      </ns0:c>
      <ns0:c r="G2626">
        <ns0:f>IFERROR(IF(ISNUMBER($A2626),IF(AND(AH!$P$10=1,AH!$P$12=1,$A2626=TODAY()),IF(AND(AH!$P$10=1,AH!$P$12=1,$A2626=TODAY()),TODAY(),NA()),IF(AH!$P$10=1,INDEX('Live History'!$G$5:$G$3004,MATCH($A2626,'Live History'!$G$5:$G$3004,1)),INDEX('AH History'!$F$1:$F$18046,AH!$P$7+2621))),NA()),NA())</ns0:f>
        <ns0:v/>
      </ns0:c>
      <ns0:c r="H2626">
        <ns0:f>IFERROR(IF(AND(AH!$E$4="Bloomberg",AH!$P$10=1,ISNUMBER($A2626),$A2626&lt;=AH!$P$17),AH!$P$7-1+MATCH($A2626,INDEX('AH History'!$A$1:$A$18046,AH!$P$7):INDEX('AH History'!$A$1:$A$18046,AH!$P$7+AH!$P$8-1),0),0),0)</ns0:f>
        <ns0:v/>
      </ns0:c>
      <ns0:c r="I2626">
        <ns0:f>IF($H2626=0,0,IFERROR(IF(AND(ABS($C2626-INDEX('AH History'!$B$1:$B$18046,$H2626))&lt;=MAX(0.005,ABS(INDEX('AH History'!$B$1:$B$18046,$H2626))*0.00005),ABS($D2626-INDEX('AH History'!$C$1:$C$18046,$H2626))&lt;=MAX(0.005,ABS(INDEX('AH History'!$C$1:$C$18046,$H2626))*0.00005),ABS($E2626-INDEX('AH History'!$D$1:$D$18046,$H2626))&lt;=0.00005,$F2626=INDEX('AH History'!$E$1:$E$18046,$H2626),$G2626=INDEX('AH History'!$F$1:$F$18046,$H2626)),1,-1),-1))</ns0:f>
        <ns0:v/>
      </ns0:c>
    </ns0:row>
    <ns0:row r="2627">
      <ns0:c r="A2627" s="215">
        <ns0:f>IF(OR(AH!$P$3=0,2622+1&gt;AH!$P$11,AND(AH!$E$4&lt;&gt;"Stored",AH!$P$10&lt;&gt;1)),"",IFERROR(IF(AND(AH!$P$21=1,2622+1=AH!$P$11),TODAY(),IF(AH!$P$10=1,INDEX('Live History'!$A$5:$A$3004,AH!$P$13+2622),INDEX('AH History'!$A$1:$A$18046,AH!$P$7+2622))),""))</ns0:f>
        <ns0:v/>
      </ns0:c>
      <ns0:c r="B2627" s="219">
        <ns0:f>IFERROR(IF(AND(AH!$P$9&lt;&gt;1,$C2627&gt;0,$D2627&gt;0,$E2627&gt;0,$F2627&gt;0,$G2627&gt;0,$F2627&lt;=$A2627,$G2627&lt;=$A2627,$A2627-$F2627&lt;=10,$A2627-$G2627&lt;=5),$D2627*$E2627/$C2627-1,NA()),NA())</ns0:f>
        <ns0:v/>
      </ns0:c>
      <ns0:c r="C2627">
        <ns0:f>IFERROR(IF(ISNUMBER($A2627),IF(AND(AH!$P$10=1,AH!$P$12=1,$A2627=TODAY()),AH!$P$19,IF(AH!$P$10=1,INDEX('Live History'!$B$5:$B$3004,AH!$P$13+2622),INDEX('AH History'!$B$1:$B$18046,AH!$P$7+2622))),NA()),NA())</ns0:f>
        <ns0:v/>
      </ns0:c>
      <ns0:c r="D2627">
        <ns0:f>IFERROR(IF(ISNUMBER($A2627),IF(AND(AH!$P$10=1,AH!$P$12=1,$A2627=TODAY()),AH!$P$18,IF(AH!$P$10=1,INDEX('Live History'!$E$5:$E$3004,MATCH($A2627,'Live History'!$D$5:$D$3004,1)),INDEX('AH History'!$C$1:$C$18046,AH!$P$7+2622))),NA()),NA())</ns0:f>
        <ns0:v/>
      </ns0:c>
      <ns0:c r="E2627">
        <ns0:f>IFERROR(IF(ISNUMBER($A2627),IF(AND(AH!$P$10=1,AH!$P$12=1,$A2627=TODAY()),AH!$P$20,IF(AH!$P$10=1,INDEX('Live History'!$H$5:$H$3004,MATCH($A2627,'Live History'!$G$5:$G$3004,1)),INDEX('AH History'!$D$1:$D$18046,AH!$P$7+2622))),NA()),NA())</ns0:f>
        <ns0:v/>
      </ns0:c>
      <ns0:c r="F2627">
        <ns0:f>IFERROR(IF(ISNUMBER($A2627),IF(AND(AH!$P$10=1,AH!$P$12=1,$A2627=TODAY()),IF(AND(AH!$P$10=1,AH!$P$12=1,$A2627=TODAY()),TODAY(),NA()),IF(AH!$P$10=1,INDEX('Live History'!$D$5:$D$3004,MATCH($A2627,'Live History'!$D$5:$D$3004,1)),INDEX('AH History'!$E$1:$E$18046,AH!$P$7+2622))),NA()),NA())</ns0:f>
        <ns0:v/>
      </ns0:c>
      <ns0:c r="G2627">
        <ns0:f>IFERROR(IF(ISNUMBER($A2627),IF(AND(AH!$P$10=1,AH!$P$12=1,$A2627=TODAY()),IF(AND(AH!$P$10=1,AH!$P$12=1,$A2627=TODAY()),TODAY(),NA()),IF(AH!$P$10=1,INDEX('Live History'!$G$5:$G$3004,MATCH($A2627,'Live History'!$G$5:$G$3004,1)),INDEX('AH History'!$F$1:$F$18046,AH!$P$7+2622))),NA()),NA())</ns0:f>
        <ns0:v/>
      </ns0:c>
      <ns0:c r="H2627">
        <ns0:f>IFERROR(IF(AND(AH!$E$4="Bloomberg",AH!$P$10=1,ISNUMBER($A2627),$A2627&lt;=AH!$P$17),AH!$P$7-1+MATCH($A2627,INDEX('AH History'!$A$1:$A$18046,AH!$P$7):INDEX('AH History'!$A$1:$A$18046,AH!$P$7+AH!$P$8-1),0),0),0)</ns0:f>
        <ns0:v/>
      </ns0:c>
      <ns0:c r="I2627">
        <ns0:f>IF($H2627=0,0,IFERROR(IF(AND(ABS($C2627-INDEX('AH History'!$B$1:$B$18046,$H2627))&lt;=MAX(0.005,ABS(INDEX('AH History'!$B$1:$B$18046,$H2627))*0.00005),ABS($D2627-INDEX('AH History'!$C$1:$C$18046,$H2627))&lt;=MAX(0.005,ABS(INDEX('AH History'!$C$1:$C$18046,$H2627))*0.00005),ABS($E2627-INDEX('AH History'!$D$1:$D$18046,$H2627))&lt;=0.00005,$F2627=INDEX('AH History'!$E$1:$E$18046,$H2627),$G2627=INDEX('AH History'!$F$1:$F$18046,$H2627)),1,-1),-1))</ns0:f>
        <ns0:v/>
      </ns0:c>
    </ns0:row>
    <ns0:row r="2628">
      <ns0:c r="A2628" s="215">
        <ns0:f>IF(OR(AH!$P$3=0,2623+1&gt;AH!$P$11,AND(AH!$E$4&lt;&gt;"Stored",AH!$P$10&lt;&gt;1)),"",IFERROR(IF(AND(AH!$P$21=1,2623+1=AH!$P$11),TODAY(),IF(AH!$P$10=1,INDEX('Live History'!$A$5:$A$3004,AH!$P$13+2623),INDEX('AH History'!$A$1:$A$18046,AH!$P$7+2623))),""))</ns0:f>
        <ns0:v/>
      </ns0:c>
      <ns0:c r="B2628" s="219">
        <ns0:f>IFERROR(IF(AND(AH!$P$9&lt;&gt;1,$C2628&gt;0,$D2628&gt;0,$E2628&gt;0,$F2628&gt;0,$G2628&gt;0,$F2628&lt;=$A2628,$G2628&lt;=$A2628,$A2628-$F2628&lt;=10,$A2628-$G2628&lt;=5),$D2628*$E2628/$C2628-1,NA()),NA())</ns0:f>
        <ns0:v/>
      </ns0:c>
      <ns0:c r="C2628">
        <ns0:f>IFERROR(IF(ISNUMBER($A2628),IF(AND(AH!$P$10=1,AH!$P$12=1,$A2628=TODAY()),AH!$P$19,IF(AH!$P$10=1,INDEX('Live History'!$B$5:$B$3004,AH!$P$13+2623),INDEX('AH History'!$B$1:$B$18046,AH!$P$7+2623))),NA()),NA())</ns0:f>
        <ns0:v/>
      </ns0:c>
      <ns0:c r="D2628">
        <ns0:f>IFERROR(IF(ISNUMBER($A2628),IF(AND(AH!$P$10=1,AH!$P$12=1,$A2628=TODAY()),AH!$P$18,IF(AH!$P$10=1,INDEX('Live History'!$E$5:$E$3004,MATCH($A2628,'Live History'!$D$5:$D$3004,1)),INDEX('AH History'!$C$1:$C$18046,AH!$P$7+2623))),NA()),NA())</ns0:f>
        <ns0:v/>
      </ns0:c>
      <ns0:c r="E2628">
        <ns0:f>IFERROR(IF(ISNUMBER($A2628),IF(AND(AH!$P$10=1,AH!$P$12=1,$A2628=TODAY()),AH!$P$20,IF(AH!$P$10=1,INDEX('Live History'!$H$5:$H$3004,MATCH($A2628,'Live History'!$G$5:$G$3004,1)),INDEX('AH History'!$D$1:$D$18046,AH!$P$7+2623))),NA()),NA())</ns0:f>
        <ns0:v/>
      </ns0:c>
      <ns0:c r="F2628">
        <ns0:f>IFERROR(IF(ISNUMBER($A2628),IF(AND(AH!$P$10=1,AH!$P$12=1,$A2628=TODAY()),IF(AND(AH!$P$10=1,AH!$P$12=1,$A2628=TODAY()),TODAY(),NA()),IF(AH!$P$10=1,INDEX('Live History'!$D$5:$D$3004,MATCH($A2628,'Live History'!$D$5:$D$3004,1)),INDEX('AH History'!$E$1:$E$18046,AH!$P$7+2623))),NA()),NA())</ns0:f>
        <ns0:v/>
      </ns0:c>
      <ns0:c r="G2628">
        <ns0:f>IFERROR(IF(ISNUMBER($A2628),IF(AND(AH!$P$10=1,AH!$P$12=1,$A2628=TODAY()),IF(AND(AH!$P$10=1,AH!$P$12=1,$A2628=TODAY()),TODAY(),NA()),IF(AH!$P$10=1,INDEX('Live History'!$G$5:$G$3004,MATCH($A2628,'Live History'!$G$5:$G$3004,1)),INDEX('AH History'!$F$1:$F$18046,AH!$P$7+2623))),NA()),NA())</ns0:f>
        <ns0:v/>
      </ns0:c>
      <ns0:c r="H2628">
        <ns0:f>IFERROR(IF(AND(AH!$E$4="Bloomberg",AH!$P$10=1,ISNUMBER($A2628),$A2628&lt;=AH!$P$17),AH!$P$7-1+MATCH($A2628,INDEX('AH History'!$A$1:$A$18046,AH!$P$7):INDEX('AH History'!$A$1:$A$18046,AH!$P$7+AH!$P$8-1),0),0),0)</ns0:f>
        <ns0:v/>
      </ns0:c>
      <ns0:c r="I2628">
        <ns0:f>IF($H2628=0,0,IFERROR(IF(AND(ABS($C2628-INDEX('AH History'!$B$1:$B$18046,$H2628))&lt;=MAX(0.005,ABS(INDEX('AH History'!$B$1:$B$18046,$H2628))*0.00005),ABS($D2628-INDEX('AH History'!$C$1:$C$18046,$H2628))&lt;=MAX(0.005,ABS(INDEX('AH History'!$C$1:$C$18046,$H2628))*0.00005),ABS($E2628-INDEX('AH History'!$D$1:$D$18046,$H2628))&lt;=0.00005,$F2628=INDEX('AH History'!$E$1:$E$18046,$H2628),$G2628=INDEX('AH History'!$F$1:$F$18046,$H2628)),1,-1),-1))</ns0:f>
        <ns0:v/>
      </ns0:c>
    </ns0:row>
    <ns0:row r="2629">
      <ns0:c r="A2629" s="215">
        <ns0:f>IF(OR(AH!$P$3=0,2624+1&gt;AH!$P$11,AND(AH!$E$4&lt;&gt;"Stored",AH!$P$10&lt;&gt;1)),"",IFERROR(IF(AND(AH!$P$21=1,2624+1=AH!$P$11),TODAY(),IF(AH!$P$10=1,INDEX('Live History'!$A$5:$A$3004,AH!$P$13+2624),INDEX('AH History'!$A$1:$A$18046,AH!$P$7+2624))),""))</ns0:f>
        <ns0:v/>
      </ns0:c>
      <ns0:c r="B2629" s="219">
        <ns0:f>IFERROR(IF(AND(AH!$P$9&lt;&gt;1,$C2629&gt;0,$D2629&gt;0,$E2629&gt;0,$F2629&gt;0,$G2629&gt;0,$F2629&lt;=$A2629,$G2629&lt;=$A2629,$A2629-$F2629&lt;=10,$A2629-$G2629&lt;=5),$D2629*$E2629/$C2629-1,NA()),NA())</ns0:f>
        <ns0:v/>
      </ns0:c>
      <ns0:c r="C2629">
        <ns0:f>IFERROR(IF(ISNUMBER($A2629),IF(AND(AH!$P$10=1,AH!$P$12=1,$A2629=TODAY()),AH!$P$19,IF(AH!$P$10=1,INDEX('Live History'!$B$5:$B$3004,AH!$P$13+2624),INDEX('AH History'!$B$1:$B$18046,AH!$P$7+2624))),NA()),NA())</ns0:f>
        <ns0:v/>
      </ns0:c>
      <ns0:c r="D2629">
        <ns0:f>IFERROR(IF(ISNUMBER($A2629),IF(AND(AH!$P$10=1,AH!$P$12=1,$A2629=TODAY()),AH!$P$18,IF(AH!$P$10=1,INDEX('Live History'!$E$5:$E$3004,MATCH($A2629,'Live History'!$D$5:$D$3004,1)),INDEX('AH History'!$C$1:$C$18046,AH!$P$7+2624))),NA()),NA())</ns0:f>
        <ns0:v/>
      </ns0:c>
      <ns0:c r="E2629">
        <ns0:f>IFERROR(IF(ISNUMBER($A2629),IF(AND(AH!$P$10=1,AH!$P$12=1,$A2629=TODAY()),AH!$P$20,IF(AH!$P$10=1,INDEX('Live History'!$H$5:$H$3004,MATCH($A2629,'Live History'!$G$5:$G$3004,1)),INDEX('AH History'!$D$1:$D$18046,AH!$P$7+2624))),NA()),NA())</ns0:f>
        <ns0:v/>
      </ns0:c>
      <ns0:c r="F2629">
        <ns0:f>IFERROR(IF(ISNUMBER($A2629),IF(AND(AH!$P$10=1,AH!$P$12=1,$A2629=TODAY()),IF(AND(AH!$P$10=1,AH!$P$12=1,$A2629=TODAY()),TODAY(),NA()),IF(AH!$P$10=1,INDEX('Live History'!$D$5:$D$3004,MATCH($A2629,'Live History'!$D$5:$D$3004,1)),INDEX('AH History'!$E$1:$E$18046,AH!$P$7+2624))),NA()),NA())</ns0:f>
        <ns0:v/>
      </ns0:c>
      <ns0:c r="G2629">
        <ns0:f>IFERROR(IF(ISNUMBER($A2629),IF(AND(AH!$P$10=1,AH!$P$12=1,$A2629=TODAY()),IF(AND(AH!$P$10=1,AH!$P$12=1,$A2629=TODAY()),TODAY(),NA()),IF(AH!$P$10=1,INDEX('Live History'!$G$5:$G$3004,MATCH($A2629,'Live History'!$G$5:$G$3004,1)),INDEX('AH History'!$F$1:$F$18046,AH!$P$7+2624))),NA()),NA())</ns0:f>
        <ns0:v/>
      </ns0:c>
      <ns0:c r="H2629">
        <ns0:f>IFERROR(IF(AND(AH!$E$4="Bloomberg",AH!$P$10=1,ISNUMBER($A2629),$A2629&lt;=AH!$P$17),AH!$P$7-1+MATCH($A2629,INDEX('AH History'!$A$1:$A$18046,AH!$P$7):INDEX('AH History'!$A$1:$A$18046,AH!$P$7+AH!$P$8-1),0),0),0)</ns0:f>
        <ns0:v/>
      </ns0:c>
      <ns0:c r="I2629">
        <ns0:f>IF($H2629=0,0,IFERROR(IF(AND(ABS($C2629-INDEX('AH History'!$B$1:$B$18046,$H2629))&lt;=MAX(0.005,ABS(INDEX('AH History'!$B$1:$B$18046,$H2629))*0.00005),ABS($D2629-INDEX('AH History'!$C$1:$C$18046,$H2629))&lt;=MAX(0.005,ABS(INDEX('AH History'!$C$1:$C$18046,$H2629))*0.00005),ABS($E2629-INDEX('AH History'!$D$1:$D$18046,$H2629))&lt;=0.00005,$F2629=INDEX('AH History'!$E$1:$E$18046,$H2629),$G2629=INDEX('AH History'!$F$1:$F$18046,$H2629)),1,-1),-1))</ns0:f>
        <ns0:v/>
      </ns0:c>
    </ns0:row>
    <ns0:row r="2630">
      <ns0:c r="A2630" s="215">
        <ns0:f>IF(OR(AH!$P$3=0,2625+1&gt;AH!$P$11,AND(AH!$E$4&lt;&gt;"Stored",AH!$P$10&lt;&gt;1)),"",IFERROR(IF(AND(AH!$P$21=1,2625+1=AH!$P$11),TODAY(),IF(AH!$P$10=1,INDEX('Live History'!$A$5:$A$3004,AH!$P$13+2625),INDEX('AH History'!$A$1:$A$18046,AH!$P$7+2625))),""))</ns0:f>
        <ns0:v/>
      </ns0:c>
      <ns0:c r="B2630" s="219">
        <ns0:f>IFERROR(IF(AND(AH!$P$9&lt;&gt;1,$C2630&gt;0,$D2630&gt;0,$E2630&gt;0,$F2630&gt;0,$G2630&gt;0,$F2630&lt;=$A2630,$G2630&lt;=$A2630,$A2630-$F2630&lt;=10,$A2630-$G2630&lt;=5),$D2630*$E2630/$C2630-1,NA()),NA())</ns0:f>
        <ns0:v/>
      </ns0:c>
      <ns0:c r="C2630">
        <ns0:f>IFERROR(IF(ISNUMBER($A2630),IF(AND(AH!$P$10=1,AH!$P$12=1,$A2630=TODAY()),AH!$P$19,IF(AH!$P$10=1,INDEX('Live History'!$B$5:$B$3004,AH!$P$13+2625),INDEX('AH History'!$B$1:$B$18046,AH!$P$7+2625))),NA()),NA())</ns0:f>
        <ns0:v/>
      </ns0:c>
      <ns0:c r="D2630">
        <ns0:f>IFERROR(IF(ISNUMBER($A2630),IF(AND(AH!$P$10=1,AH!$P$12=1,$A2630=TODAY()),AH!$P$18,IF(AH!$P$10=1,INDEX('Live History'!$E$5:$E$3004,MATCH($A2630,'Live History'!$D$5:$D$3004,1)),INDEX('AH History'!$C$1:$C$18046,AH!$P$7+2625))),NA()),NA())</ns0:f>
        <ns0:v/>
      </ns0:c>
      <ns0:c r="E2630">
        <ns0:f>IFERROR(IF(ISNUMBER($A2630),IF(AND(AH!$P$10=1,AH!$P$12=1,$A2630=TODAY()),AH!$P$20,IF(AH!$P$10=1,INDEX('Live History'!$H$5:$H$3004,MATCH($A2630,'Live History'!$G$5:$G$3004,1)),INDEX('AH History'!$D$1:$D$18046,AH!$P$7+2625))),NA()),NA())</ns0:f>
        <ns0:v/>
      </ns0:c>
      <ns0:c r="F2630">
        <ns0:f>IFERROR(IF(ISNUMBER($A2630),IF(AND(AH!$P$10=1,AH!$P$12=1,$A2630=TODAY()),IF(AND(AH!$P$10=1,AH!$P$12=1,$A2630=TODAY()),TODAY(),NA()),IF(AH!$P$10=1,INDEX('Live History'!$D$5:$D$3004,MATCH($A2630,'Live History'!$D$5:$D$3004,1)),INDEX('AH History'!$E$1:$E$18046,AH!$P$7+2625))),NA()),NA())</ns0:f>
        <ns0:v/>
      </ns0:c>
      <ns0:c r="G2630">
        <ns0:f>IFERROR(IF(ISNUMBER($A2630),IF(AND(AH!$P$10=1,AH!$P$12=1,$A2630=TODAY()),IF(AND(AH!$P$10=1,AH!$P$12=1,$A2630=TODAY()),TODAY(),NA()),IF(AH!$P$10=1,INDEX('Live History'!$G$5:$G$3004,MATCH($A2630,'Live History'!$G$5:$G$3004,1)),INDEX('AH History'!$F$1:$F$18046,AH!$P$7+2625))),NA()),NA())</ns0:f>
        <ns0:v/>
      </ns0:c>
      <ns0:c r="H2630">
        <ns0:f>IFERROR(IF(AND(AH!$E$4="Bloomberg",AH!$P$10=1,ISNUMBER($A2630),$A2630&lt;=AH!$P$17),AH!$P$7-1+MATCH($A2630,INDEX('AH History'!$A$1:$A$18046,AH!$P$7):INDEX('AH History'!$A$1:$A$18046,AH!$P$7+AH!$P$8-1),0),0),0)</ns0:f>
        <ns0:v/>
      </ns0:c>
      <ns0:c r="I2630">
        <ns0:f>IF($H2630=0,0,IFERROR(IF(AND(ABS($C2630-INDEX('AH History'!$B$1:$B$18046,$H2630))&lt;=MAX(0.005,ABS(INDEX('AH History'!$B$1:$B$18046,$H2630))*0.00005),ABS($D2630-INDEX('AH History'!$C$1:$C$18046,$H2630))&lt;=MAX(0.005,ABS(INDEX('AH History'!$C$1:$C$18046,$H2630))*0.00005),ABS($E2630-INDEX('AH History'!$D$1:$D$18046,$H2630))&lt;=0.00005,$F2630=INDEX('AH History'!$E$1:$E$18046,$H2630),$G2630=INDEX('AH History'!$F$1:$F$18046,$H2630)),1,-1),-1))</ns0:f>
        <ns0:v/>
      </ns0:c>
    </ns0:row>
    <ns0:row r="2631">
      <ns0:c r="A2631" s="215">
        <ns0:f>IF(OR(AH!$P$3=0,2626+1&gt;AH!$P$11,AND(AH!$E$4&lt;&gt;"Stored",AH!$P$10&lt;&gt;1)),"",IFERROR(IF(AND(AH!$P$21=1,2626+1=AH!$P$11),TODAY(),IF(AH!$P$10=1,INDEX('Live History'!$A$5:$A$3004,AH!$P$13+2626),INDEX('AH History'!$A$1:$A$18046,AH!$P$7+2626))),""))</ns0:f>
        <ns0:v/>
      </ns0:c>
      <ns0:c r="B2631" s="219">
        <ns0:f>IFERROR(IF(AND(AH!$P$9&lt;&gt;1,$C2631&gt;0,$D2631&gt;0,$E2631&gt;0,$F2631&gt;0,$G2631&gt;0,$F2631&lt;=$A2631,$G2631&lt;=$A2631,$A2631-$F2631&lt;=10,$A2631-$G2631&lt;=5),$D2631*$E2631/$C2631-1,NA()),NA())</ns0:f>
        <ns0:v/>
      </ns0:c>
      <ns0:c r="C2631">
        <ns0:f>IFERROR(IF(ISNUMBER($A2631),IF(AND(AH!$P$10=1,AH!$P$12=1,$A2631=TODAY()),AH!$P$19,IF(AH!$P$10=1,INDEX('Live History'!$B$5:$B$3004,AH!$P$13+2626),INDEX('AH History'!$B$1:$B$18046,AH!$P$7+2626))),NA()),NA())</ns0:f>
        <ns0:v/>
      </ns0:c>
      <ns0:c r="D2631">
        <ns0:f>IFERROR(IF(ISNUMBER($A2631),IF(AND(AH!$P$10=1,AH!$P$12=1,$A2631=TODAY()),AH!$P$18,IF(AH!$P$10=1,INDEX('Live History'!$E$5:$E$3004,MATCH($A2631,'Live History'!$D$5:$D$3004,1)),INDEX('AH History'!$C$1:$C$18046,AH!$P$7+2626))),NA()),NA())</ns0:f>
        <ns0:v/>
      </ns0:c>
      <ns0:c r="E2631">
        <ns0:f>IFERROR(IF(ISNUMBER($A2631),IF(AND(AH!$P$10=1,AH!$P$12=1,$A2631=TODAY()),AH!$P$20,IF(AH!$P$10=1,INDEX('Live History'!$H$5:$H$3004,MATCH($A2631,'Live History'!$G$5:$G$3004,1)),INDEX('AH History'!$D$1:$D$18046,AH!$P$7+2626))),NA()),NA())</ns0:f>
        <ns0:v/>
      </ns0:c>
      <ns0:c r="F2631">
        <ns0:f>IFERROR(IF(ISNUMBER($A2631),IF(AND(AH!$P$10=1,AH!$P$12=1,$A2631=TODAY()),IF(AND(AH!$P$10=1,AH!$P$12=1,$A2631=TODAY()),TODAY(),NA()),IF(AH!$P$10=1,INDEX('Live History'!$D$5:$D$3004,MATCH($A2631,'Live History'!$D$5:$D$3004,1)),INDEX('AH History'!$E$1:$E$18046,AH!$P$7+2626))),NA()),NA())</ns0:f>
        <ns0:v/>
      </ns0:c>
      <ns0:c r="G2631">
        <ns0:f>IFERROR(IF(ISNUMBER($A2631),IF(AND(AH!$P$10=1,AH!$P$12=1,$A2631=TODAY()),IF(AND(AH!$P$10=1,AH!$P$12=1,$A2631=TODAY()),TODAY(),NA()),IF(AH!$P$10=1,INDEX('Live History'!$G$5:$G$3004,MATCH($A2631,'Live History'!$G$5:$G$3004,1)),INDEX('AH History'!$F$1:$F$18046,AH!$P$7+2626))),NA()),NA())</ns0:f>
        <ns0:v/>
      </ns0:c>
      <ns0:c r="H2631">
        <ns0:f>IFERROR(IF(AND(AH!$E$4="Bloomberg",AH!$P$10=1,ISNUMBER($A2631),$A2631&lt;=AH!$P$17),AH!$P$7-1+MATCH($A2631,INDEX('AH History'!$A$1:$A$18046,AH!$P$7):INDEX('AH History'!$A$1:$A$18046,AH!$P$7+AH!$P$8-1),0),0),0)</ns0:f>
        <ns0:v/>
      </ns0:c>
      <ns0:c r="I2631">
        <ns0:f>IF($H2631=0,0,IFERROR(IF(AND(ABS($C2631-INDEX('AH History'!$B$1:$B$18046,$H2631))&lt;=MAX(0.005,ABS(INDEX('AH History'!$B$1:$B$18046,$H2631))*0.00005),ABS($D2631-INDEX('AH History'!$C$1:$C$18046,$H2631))&lt;=MAX(0.005,ABS(INDEX('AH History'!$C$1:$C$18046,$H2631))*0.00005),ABS($E2631-INDEX('AH History'!$D$1:$D$18046,$H2631))&lt;=0.00005,$F2631=INDEX('AH History'!$E$1:$E$18046,$H2631),$G2631=INDEX('AH History'!$F$1:$F$18046,$H2631)),1,-1),-1))</ns0:f>
        <ns0:v/>
      </ns0:c>
    </ns0:row>
    <ns0:row r="2632">
      <ns0:c r="A2632" s="215">
        <ns0:f>IF(OR(AH!$P$3=0,2627+1&gt;AH!$P$11,AND(AH!$E$4&lt;&gt;"Stored",AH!$P$10&lt;&gt;1)),"",IFERROR(IF(AND(AH!$P$21=1,2627+1=AH!$P$11),TODAY(),IF(AH!$P$10=1,INDEX('Live History'!$A$5:$A$3004,AH!$P$13+2627),INDEX('AH History'!$A$1:$A$18046,AH!$P$7+2627))),""))</ns0:f>
        <ns0:v/>
      </ns0:c>
      <ns0:c r="B2632" s="219">
        <ns0:f>IFERROR(IF(AND(AH!$P$9&lt;&gt;1,$C2632&gt;0,$D2632&gt;0,$E2632&gt;0,$F2632&gt;0,$G2632&gt;0,$F2632&lt;=$A2632,$G2632&lt;=$A2632,$A2632-$F2632&lt;=10,$A2632-$G2632&lt;=5),$D2632*$E2632/$C2632-1,NA()),NA())</ns0:f>
        <ns0:v/>
      </ns0:c>
      <ns0:c r="C2632">
        <ns0:f>IFERROR(IF(ISNUMBER($A2632),IF(AND(AH!$P$10=1,AH!$P$12=1,$A2632=TODAY()),AH!$P$19,IF(AH!$P$10=1,INDEX('Live History'!$B$5:$B$3004,AH!$P$13+2627),INDEX('AH History'!$B$1:$B$18046,AH!$P$7+2627))),NA()),NA())</ns0:f>
        <ns0:v/>
      </ns0:c>
      <ns0:c r="D2632">
        <ns0:f>IFERROR(IF(ISNUMBER($A2632),IF(AND(AH!$P$10=1,AH!$P$12=1,$A2632=TODAY()),AH!$P$18,IF(AH!$P$10=1,INDEX('Live History'!$E$5:$E$3004,MATCH($A2632,'Live History'!$D$5:$D$3004,1)),INDEX('AH History'!$C$1:$C$18046,AH!$P$7+2627))),NA()),NA())</ns0:f>
        <ns0:v/>
      </ns0:c>
      <ns0:c r="E2632">
        <ns0:f>IFERROR(IF(ISNUMBER($A2632),IF(AND(AH!$P$10=1,AH!$P$12=1,$A2632=TODAY()),AH!$P$20,IF(AH!$P$10=1,INDEX('Live History'!$H$5:$H$3004,MATCH($A2632,'Live History'!$G$5:$G$3004,1)),INDEX('AH History'!$D$1:$D$18046,AH!$P$7+2627))),NA()),NA())</ns0:f>
        <ns0:v/>
      </ns0:c>
      <ns0:c r="F2632">
        <ns0:f>IFERROR(IF(ISNUMBER($A2632),IF(AND(AH!$P$10=1,AH!$P$12=1,$A2632=TODAY()),IF(AND(AH!$P$10=1,AH!$P$12=1,$A2632=TODAY()),TODAY(),NA()),IF(AH!$P$10=1,INDEX('Live History'!$D$5:$D$3004,MATCH($A2632,'Live History'!$D$5:$D$3004,1)),INDEX('AH History'!$E$1:$E$18046,AH!$P$7+2627))),NA()),NA())</ns0:f>
        <ns0:v/>
      </ns0:c>
      <ns0:c r="G2632">
        <ns0:f>IFERROR(IF(ISNUMBER($A2632),IF(AND(AH!$P$10=1,AH!$P$12=1,$A2632=TODAY()),IF(AND(AH!$P$10=1,AH!$P$12=1,$A2632=TODAY()),TODAY(),NA()),IF(AH!$P$10=1,INDEX('Live History'!$G$5:$G$3004,MATCH($A2632,'Live History'!$G$5:$G$3004,1)),INDEX('AH History'!$F$1:$F$18046,AH!$P$7+2627))),NA()),NA())</ns0:f>
        <ns0:v/>
      </ns0:c>
      <ns0:c r="H2632">
        <ns0:f>IFERROR(IF(AND(AH!$E$4="Bloomberg",AH!$P$10=1,ISNUMBER($A2632),$A2632&lt;=AH!$P$17),AH!$P$7-1+MATCH($A2632,INDEX('AH History'!$A$1:$A$18046,AH!$P$7):INDEX('AH History'!$A$1:$A$18046,AH!$P$7+AH!$P$8-1),0),0),0)</ns0:f>
        <ns0:v/>
      </ns0:c>
      <ns0:c r="I2632">
        <ns0:f>IF($H2632=0,0,IFERROR(IF(AND(ABS($C2632-INDEX('AH History'!$B$1:$B$18046,$H2632))&lt;=MAX(0.005,ABS(INDEX('AH History'!$B$1:$B$18046,$H2632))*0.00005),ABS($D2632-INDEX('AH History'!$C$1:$C$18046,$H2632))&lt;=MAX(0.005,ABS(INDEX('AH History'!$C$1:$C$18046,$H2632))*0.00005),ABS($E2632-INDEX('AH History'!$D$1:$D$18046,$H2632))&lt;=0.00005,$F2632=INDEX('AH History'!$E$1:$E$18046,$H2632),$G2632=INDEX('AH History'!$F$1:$F$18046,$H2632)),1,-1),-1))</ns0:f>
        <ns0:v/>
      </ns0:c>
    </ns0:row>
    <ns0:row r="2633">
      <ns0:c r="A2633" s="215">
        <ns0:f>IF(OR(AH!$P$3=0,2628+1&gt;AH!$P$11,AND(AH!$E$4&lt;&gt;"Stored",AH!$P$10&lt;&gt;1)),"",IFERROR(IF(AND(AH!$P$21=1,2628+1=AH!$P$11),TODAY(),IF(AH!$P$10=1,INDEX('Live History'!$A$5:$A$3004,AH!$P$13+2628),INDEX('AH History'!$A$1:$A$18046,AH!$P$7+2628))),""))</ns0:f>
        <ns0:v/>
      </ns0:c>
      <ns0:c r="B2633" s="219">
        <ns0:f>IFERROR(IF(AND(AH!$P$9&lt;&gt;1,$C2633&gt;0,$D2633&gt;0,$E2633&gt;0,$F2633&gt;0,$G2633&gt;0,$F2633&lt;=$A2633,$G2633&lt;=$A2633,$A2633-$F2633&lt;=10,$A2633-$G2633&lt;=5),$D2633*$E2633/$C2633-1,NA()),NA())</ns0:f>
        <ns0:v/>
      </ns0:c>
      <ns0:c r="C2633">
        <ns0:f>IFERROR(IF(ISNUMBER($A2633),IF(AND(AH!$P$10=1,AH!$P$12=1,$A2633=TODAY()),AH!$P$19,IF(AH!$P$10=1,INDEX('Live History'!$B$5:$B$3004,AH!$P$13+2628),INDEX('AH History'!$B$1:$B$18046,AH!$P$7+2628))),NA()),NA())</ns0:f>
        <ns0:v/>
      </ns0:c>
      <ns0:c r="D2633">
        <ns0:f>IFERROR(IF(ISNUMBER($A2633),IF(AND(AH!$P$10=1,AH!$P$12=1,$A2633=TODAY()),AH!$P$18,IF(AH!$P$10=1,INDEX('Live History'!$E$5:$E$3004,MATCH($A2633,'Live History'!$D$5:$D$3004,1)),INDEX('AH History'!$C$1:$C$18046,AH!$P$7+2628))),NA()),NA())</ns0:f>
        <ns0:v/>
      </ns0:c>
      <ns0:c r="E2633">
        <ns0:f>IFERROR(IF(ISNUMBER($A2633),IF(AND(AH!$P$10=1,AH!$P$12=1,$A2633=TODAY()),AH!$P$20,IF(AH!$P$10=1,INDEX('Live History'!$H$5:$H$3004,MATCH($A2633,'Live History'!$G$5:$G$3004,1)),INDEX('AH History'!$D$1:$D$18046,AH!$P$7+2628))),NA()),NA())</ns0:f>
        <ns0:v/>
      </ns0:c>
      <ns0:c r="F2633">
        <ns0:f>IFERROR(IF(ISNUMBER($A2633),IF(AND(AH!$P$10=1,AH!$P$12=1,$A2633=TODAY()),IF(AND(AH!$P$10=1,AH!$P$12=1,$A2633=TODAY()),TODAY(),NA()),IF(AH!$P$10=1,INDEX('Live History'!$D$5:$D$3004,MATCH($A2633,'Live History'!$D$5:$D$3004,1)),INDEX('AH History'!$E$1:$E$18046,AH!$P$7+2628))),NA()),NA())</ns0:f>
        <ns0:v/>
      </ns0:c>
      <ns0:c r="G2633">
        <ns0:f>IFERROR(IF(ISNUMBER($A2633),IF(AND(AH!$P$10=1,AH!$P$12=1,$A2633=TODAY()),IF(AND(AH!$P$10=1,AH!$P$12=1,$A2633=TODAY()),TODAY(),NA()),IF(AH!$P$10=1,INDEX('Live History'!$G$5:$G$3004,MATCH($A2633,'Live History'!$G$5:$G$3004,1)),INDEX('AH History'!$F$1:$F$18046,AH!$P$7+2628))),NA()),NA())</ns0:f>
        <ns0:v/>
      </ns0:c>
      <ns0:c r="H2633">
        <ns0:f>IFERROR(IF(AND(AH!$E$4="Bloomberg",AH!$P$10=1,ISNUMBER($A2633),$A2633&lt;=AH!$P$17),AH!$P$7-1+MATCH($A2633,INDEX('AH History'!$A$1:$A$18046,AH!$P$7):INDEX('AH History'!$A$1:$A$18046,AH!$P$7+AH!$P$8-1),0),0),0)</ns0:f>
        <ns0:v/>
      </ns0:c>
      <ns0:c r="I2633">
        <ns0:f>IF($H2633=0,0,IFERROR(IF(AND(ABS($C2633-INDEX('AH History'!$B$1:$B$18046,$H2633))&lt;=MAX(0.005,ABS(INDEX('AH History'!$B$1:$B$18046,$H2633))*0.00005),ABS($D2633-INDEX('AH History'!$C$1:$C$18046,$H2633))&lt;=MAX(0.005,ABS(INDEX('AH History'!$C$1:$C$18046,$H2633))*0.00005),ABS($E2633-INDEX('AH History'!$D$1:$D$18046,$H2633))&lt;=0.00005,$F2633=INDEX('AH History'!$E$1:$E$18046,$H2633),$G2633=INDEX('AH History'!$F$1:$F$18046,$H2633)),1,-1),-1))</ns0:f>
        <ns0:v/>
      </ns0:c>
    </ns0:row>
    <ns0:row r="2634">
      <ns0:c r="A2634" s="215">
        <ns0:f>IF(OR(AH!$P$3=0,2629+1&gt;AH!$P$11,AND(AH!$E$4&lt;&gt;"Stored",AH!$P$10&lt;&gt;1)),"",IFERROR(IF(AND(AH!$P$21=1,2629+1=AH!$P$11),TODAY(),IF(AH!$P$10=1,INDEX('Live History'!$A$5:$A$3004,AH!$P$13+2629),INDEX('AH History'!$A$1:$A$18046,AH!$P$7+2629))),""))</ns0:f>
        <ns0:v/>
      </ns0:c>
      <ns0:c r="B2634" s="219">
        <ns0:f>IFERROR(IF(AND(AH!$P$9&lt;&gt;1,$C2634&gt;0,$D2634&gt;0,$E2634&gt;0,$F2634&gt;0,$G2634&gt;0,$F2634&lt;=$A2634,$G2634&lt;=$A2634,$A2634-$F2634&lt;=10,$A2634-$G2634&lt;=5),$D2634*$E2634/$C2634-1,NA()),NA())</ns0:f>
        <ns0:v/>
      </ns0:c>
      <ns0:c r="C2634">
        <ns0:f>IFERROR(IF(ISNUMBER($A2634),IF(AND(AH!$P$10=1,AH!$P$12=1,$A2634=TODAY()),AH!$P$19,IF(AH!$P$10=1,INDEX('Live History'!$B$5:$B$3004,AH!$P$13+2629),INDEX('AH History'!$B$1:$B$18046,AH!$P$7+2629))),NA()),NA())</ns0:f>
        <ns0:v/>
      </ns0:c>
      <ns0:c r="D2634">
        <ns0:f>IFERROR(IF(ISNUMBER($A2634),IF(AND(AH!$P$10=1,AH!$P$12=1,$A2634=TODAY()),AH!$P$18,IF(AH!$P$10=1,INDEX('Live History'!$E$5:$E$3004,MATCH($A2634,'Live History'!$D$5:$D$3004,1)),INDEX('AH History'!$C$1:$C$18046,AH!$P$7+2629))),NA()),NA())</ns0:f>
        <ns0:v/>
      </ns0:c>
      <ns0:c r="E2634">
        <ns0:f>IFERROR(IF(ISNUMBER($A2634),IF(AND(AH!$P$10=1,AH!$P$12=1,$A2634=TODAY()),AH!$P$20,IF(AH!$P$10=1,INDEX('Live History'!$H$5:$H$3004,MATCH($A2634,'Live History'!$G$5:$G$3004,1)),INDEX('AH History'!$D$1:$D$18046,AH!$P$7+2629))),NA()),NA())</ns0:f>
        <ns0:v/>
      </ns0:c>
      <ns0:c r="F2634">
        <ns0:f>IFERROR(IF(ISNUMBER($A2634),IF(AND(AH!$P$10=1,AH!$P$12=1,$A2634=TODAY()),IF(AND(AH!$P$10=1,AH!$P$12=1,$A2634=TODAY()),TODAY(),NA()),IF(AH!$P$10=1,INDEX('Live History'!$D$5:$D$3004,MATCH($A2634,'Live History'!$D$5:$D$3004,1)),INDEX('AH History'!$E$1:$E$18046,AH!$P$7+2629))),NA()),NA())</ns0:f>
        <ns0:v/>
      </ns0:c>
      <ns0:c r="G2634">
        <ns0:f>IFERROR(IF(ISNUMBER($A2634),IF(AND(AH!$P$10=1,AH!$P$12=1,$A2634=TODAY()),IF(AND(AH!$P$10=1,AH!$P$12=1,$A2634=TODAY()),TODAY(),NA()),IF(AH!$P$10=1,INDEX('Live History'!$G$5:$G$3004,MATCH($A2634,'Live History'!$G$5:$G$3004,1)),INDEX('AH History'!$F$1:$F$18046,AH!$P$7+2629))),NA()),NA())</ns0:f>
        <ns0:v/>
      </ns0:c>
      <ns0:c r="H2634">
        <ns0:f>IFERROR(IF(AND(AH!$E$4="Bloomberg",AH!$P$10=1,ISNUMBER($A2634),$A2634&lt;=AH!$P$17),AH!$P$7-1+MATCH($A2634,INDEX('AH History'!$A$1:$A$18046,AH!$P$7):INDEX('AH History'!$A$1:$A$18046,AH!$P$7+AH!$P$8-1),0),0),0)</ns0:f>
        <ns0:v/>
      </ns0:c>
      <ns0:c r="I2634">
        <ns0:f>IF($H2634=0,0,IFERROR(IF(AND(ABS($C2634-INDEX('AH History'!$B$1:$B$18046,$H2634))&lt;=MAX(0.005,ABS(INDEX('AH History'!$B$1:$B$18046,$H2634))*0.00005),ABS($D2634-INDEX('AH History'!$C$1:$C$18046,$H2634))&lt;=MAX(0.005,ABS(INDEX('AH History'!$C$1:$C$18046,$H2634))*0.00005),ABS($E2634-INDEX('AH History'!$D$1:$D$18046,$H2634))&lt;=0.00005,$F2634=INDEX('AH History'!$E$1:$E$18046,$H2634),$G2634=INDEX('AH History'!$F$1:$F$18046,$H2634)),1,-1),-1))</ns0:f>
        <ns0:v/>
      </ns0:c>
    </ns0:row>
    <ns0:row r="2635">
      <ns0:c r="A2635" s="215">
        <ns0:f>IF(OR(AH!$P$3=0,2630+1&gt;AH!$P$11,AND(AH!$E$4&lt;&gt;"Stored",AH!$P$10&lt;&gt;1)),"",IFERROR(IF(AND(AH!$P$21=1,2630+1=AH!$P$11),TODAY(),IF(AH!$P$10=1,INDEX('Live History'!$A$5:$A$3004,AH!$P$13+2630),INDEX('AH History'!$A$1:$A$18046,AH!$P$7+2630))),""))</ns0:f>
        <ns0:v/>
      </ns0:c>
      <ns0:c r="B2635" s="219">
        <ns0:f>IFERROR(IF(AND(AH!$P$9&lt;&gt;1,$C2635&gt;0,$D2635&gt;0,$E2635&gt;0,$F2635&gt;0,$G2635&gt;0,$F2635&lt;=$A2635,$G2635&lt;=$A2635,$A2635-$F2635&lt;=10,$A2635-$G2635&lt;=5),$D2635*$E2635/$C2635-1,NA()),NA())</ns0:f>
        <ns0:v/>
      </ns0:c>
      <ns0:c r="C2635">
        <ns0:f>IFERROR(IF(ISNUMBER($A2635),IF(AND(AH!$P$10=1,AH!$P$12=1,$A2635=TODAY()),AH!$P$19,IF(AH!$P$10=1,INDEX('Live History'!$B$5:$B$3004,AH!$P$13+2630),INDEX('AH History'!$B$1:$B$18046,AH!$P$7+2630))),NA()),NA())</ns0:f>
        <ns0:v/>
      </ns0:c>
      <ns0:c r="D2635">
        <ns0:f>IFERROR(IF(ISNUMBER($A2635),IF(AND(AH!$P$10=1,AH!$P$12=1,$A2635=TODAY()),AH!$P$18,IF(AH!$P$10=1,INDEX('Live History'!$E$5:$E$3004,MATCH($A2635,'Live History'!$D$5:$D$3004,1)),INDEX('AH History'!$C$1:$C$18046,AH!$P$7+2630))),NA()),NA())</ns0:f>
        <ns0:v/>
      </ns0:c>
      <ns0:c r="E2635">
        <ns0:f>IFERROR(IF(ISNUMBER($A2635),IF(AND(AH!$P$10=1,AH!$P$12=1,$A2635=TODAY()),AH!$P$20,IF(AH!$P$10=1,INDEX('Live History'!$H$5:$H$3004,MATCH($A2635,'Live History'!$G$5:$G$3004,1)),INDEX('AH History'!$D$1:$D$18046,AH!$P$7+2630))),NA()),NA())</ns0:f>
        <ns0:v/>
      </ns0:c>
      <ns0:c r="F2635">
        <ns0:f>IFERROR(IF(ISNUMBER($A2635),IF(AND(AH!$P$10=1,AH!$P$12=1,$A2635=TODAY()),IF(AND(AH!$P$10=1,AH!$P$12=1,$A2635=TODAY()),TODAY(),NA()),IF(AH!$P$10=1,INDEX('Live History'!$D$5:$D$3004,MATCH($A2635,'Live History'!$D$5:$D$3004,1)),INDEX('AH History'!$E$1:$E$18046,AH!$P$7+2630))),NA()),NA())</ns0:f>
        <ns0:v/>
      </ns0:c>
      <ns0:c r="G2635">
        <ns0:f>IFERROR(IF(ISNUMBER($A2635),IF(AND(AH!$P$10=1,AH!$P$12=1,$A2635=TODAY()),IF(AND(AH!$P$10=1,AH!$P$12=1,$A2635=TODAY()),TODAY(),NA()),IF(AH!$P$10=1,INDEX('Live History'!$G$5:$G$3004,MATCH($A2635,'Live History'!$G$5:$G$3004,1)),INDEX('AH History'!$F$1:$F$18046,AH!$P$7+2630))),NA()),NA())</ns0:f>
        <ns0:v/>
      </ns0:c>
      <ns0:c r="H2635">
        <ns0:f>IFERROR(IF(AND(AH!$E$4="Bloomberg",AH!$P$10=1,ISNUMBER($A2635),$A2635&lt;=AH!$P$17),AH!$P$7-1+MATCH($A2635,INDEX('AH History'!$A$1:$A$18046,AH!$P$7):INDEX('AH History'!$A$1:$A$18046,AH!$P$7+AH!$P$8-1),0),0),0)</ns0:f>
        <ns0:v/>
      </ns0:c>
      <ns0:c r="I2635">
        <ns0:f>IF($H2635=0,0,IFERROR(IF(AND(ABS($C2635-INDEX('AH History'!$B$1:$B$18046,$H2635))&lt;=MAX(0.005,ABS(INDEX('AH History'!$B$1:$B$18046,$H2635))*0.00005),ABS($D2635-INDEX('AH History'!$C$1:$C$18046,$H2635))&lt;=MAX(0.005,ABS(INDEX('AH History'!$C$1:$C$18046,$H2635))*0.00005),ABS($E2635-INDEX('AH History'!$D$1:$D$18046,$H2635))&lt;=0.00005,$F2635=INDEX('AH History'!$E$1:$E$18046,$H2635),$G2635=INDEX('AH History'!$F$1:$F$18046,$H2635)),1,-1),-1))</ns0:f>
        <ns0:v/>
      </ns0:c>
    </ns0:row>
    <ns0:row r="2636">
      <ns0:c r="A2636" s="215">
        <ns0:f>IF(OR(AH!$P$3=0,2631+1&gt;AH!$P$11,AND(AH!$E$4&lt;&gt;"Stored",AH!$P$10&lt;&gt;1)),"",IFERROR(IF(AND(AH!$P$21=1,2631+1=AH!$P$11),TODAY(),IF(AH!$P$10=1,INDEX('Live History'!$A$5:$A$3004,AH!$P$13+2631),INDEX('AH History'!$A$1:$A$18046,AH!$P$7+2631))),""))</ns0:f>
        <ns0:v/>
      </ns0:c>
      <ns0:c r="B2636" s="219">
        <ns0:f>IFERROR(IF(AND(AH!$P$9&lt;&gt;1,$C2636&gt;0,$D2636&gt;0,$E2636&gt;0,$F2636&gt;0,$G2636&gt;0,$F2636&lt;=$A2636,$G2636&lt;=$A2636,$A2636-$F2636&lt;=10,$A2636-$G2636&lt;=5),$D2636*$E2636/$C2636-1,NA()),NA())</ns0:f>
        <ns0:v/>
      </ns0:c>
      <ns0:c r="C2636">
        <ns0:f>IFERROR(IF(ISNUMBER($A2636),IF(AND(AH!$P$10=1,AH!$P$12=1,$A2636=TODAY()),AH!$P$19,IF(AH!$P$10=1,INDEX('Live History'!$B$5:$B$3004,AH!$P$13+2631),INDEX('AH History'!$B$1:$B$18046,AH!$P$7+2631))),NA()),NA())</ns0:f>
        <ns0:v/>
      </ns0:c>
      <ns0:c r="D2636">
        <ns0:f>IFERROR(IF(ISNUMBER($A2636),IF(AND(AH!$P$10=1,AH!$P$12=1,$A2636=TODAY()),AH!$P$18,IF(AH!$P$10=1,INDEX('Live History'!$E$5:$E$3004,MATCH($A2636,'Live History'!$D$5:$D$3004,1)),INDEX('AH History'!$C$1:$C$18046,AH!$P$7+2631))),NA()),NA())</ns0:f>
        <ns0:v/>
      </ns0:c>
      <ns0:c r="E2636">
        <ns0:f>IFERROR(IF(ISNUMBER($A2636),IF(AND(AH!$P$10=1,AH!$P$12=1,$A2636=TODAY()),AH!$P$20,IF(AH!$P$10=1,INDEX('Live History'!$H$5:$H$3004,MATCH($A2636,'Live History'!$G$5:$G$3004,1)),INDEX('AH History'!$D$1:$D$18046,AH!$P$7+2631))),NA()),NA())</ns0:f>
        <ns0:v/>
      </ns0:c>
      <ns0:c r="F2636">
        <ns0:f>IFERROR(IF(ISNUMBER($A2636),IF(AND(AH!$P$10=1,AH!$P$12=1,$A2636=TODAY()),IF(AND(AH!$P$10=1,AH!$P$12=1,$A2636=TODAY()),TODAY(),NA()),IF(AH!$P$10=1,INDEX('Live History'!$D$5:$D$3004,MATCH($A2636,'Live History'!$D$5:$D$3004,1)),INDEX('AH History'!$E$1:$E$18046,AH!$P$7+2631))),NA()),NA())</ns0:f>
        <ns0:v/>
      </ns0:c>
      <ns0:c r="G2636">
        <ns0:f>IFERROR(IF(ISNUMBER($A2636),IF(AND(AH!$P$10=1,AH!$P$12=1,$A2636=TODAY()),IF(AND(AH!$P$10=1,AH!$P$12=1,$A2636=TODAY()),TODAY(),NA()),IF(AH!$P$10=1,INDEX('Live History'!$G$5:$G$3004,MATCH($A2636,'Live History'!$G$5:$G$3004,1)),INDEX('AH History'!$F$1:$F$18046,AH!$P$7+2631))),NA()),NA())</ns0:f>
        <ns0:v/>
      </ns0:c>
      <ns0:c r="H2636">
        <ns0:f>IFERROR(IF(AND(AH!$E$4="Bloomberg",AH!$P$10=1,ISNUMBER($A2636),$A2636&lt;=AH!$P$17),AH!$P$7-1+MATCH($A2636,INDEX('AH History'!$A$1:$A$18046,AH!$P$7):INDEX('AH History'!$A$1:$A$18046,AH!$P$7+AH!$P$8-1),0),0),0)</ns0:f>
        <ns0:v/>
      </ns0:c>
      <ns0:c r="I2636">
        <ns0:f>IF($H2636=0,0,IFERROR(IF(AND(ABS($C2636-INDEX('AH History'!$B$1:$B$18046,$H2636))&lt;=MAX(0.005,ABS(INDEX('AH History'!$B$1:$B$18046,$H2636))*0.00005),ABS($D2636-INDEX('AH History'!$C$1:$C$18046,$H2636))&lt;=MAX(0.005,ABS(INDEX('AH History'!$C$1:$C$18046,$H2636))*0.00005),ABS($E2636-INDEX('AH History'!$D$1:$D$18046,$H2636))&lt;=0.00005,$F2636=INDEX('AH History'!$E$1:$E$18046,$H2636),$G2636=INDEX('AH History'!$F$1:$F$18046,$H2636)),1,-1),-1))</ns0:f>
        <ns0:v/>
      </ns0:c>
    </ns0:row>
    <ns0:row r="2637">
      <ns0:c r="A2637" s="215">
        <ns0:f>IF(OR(AH!$P$3=0,2632+1&gt;AH!$P$11,AND(AH!$E$4&lt;&gt;"Stored",AH!$P$10&lt;&gt;1)),"",IFERROR(IF(AND(AH!$P$21=1,2632+1=AH!$P$11),TODAY(),IF(AH!$P$10=1,INDEX('Live History'!$A$5:$A$3004,AH!$P$13+2632),INDEX('AH History'!$A$1:$A$18046,AH!$P$7+2632))),""))</ns0:f>
        <ns0:v/>
      </ns0:c>
      <ns0:c r="B2637" s="219">
        <ns0:f>IFERROR(IF(AND(AH!$P$9&lt;&gt;1,$C2637&gt;0,$D2637&gt;0,$E2637&gt;0,$F2637&gt;0,$G2637&gt;0,$F2637&lt;=$A2637,$G2637&lt;=$A2637,$A2637-$F2637&lt;=10,$A2637-$G2637&lt;=5),$D2637*$E2637/$C2637-1,NA()),NA())</ns0:f>
        <ns0:v/>
      </ns0:c>
      <ns0:c r="C2637">
        <ns0:f>IFERROR(IF(ISNUMBER($A2637),IF(AND(AH!$P$10=1,AH!$P$12=1,$A2637=TODAY()),AH!$P$19,IF(AH!$P$10=1,INDEX('Live History'!$B$5:$B$3004,AH!$P$13+2632),INDEX('AH History'!$B$1:$B$18046,AH!$P$7+2632))),NA()),NA())</ns0:f>
        <ns0:v/>
      </ns0:c>
      <ns0:c r="D2637">
        <ns0:f>IFERROR(IF(ISNUMBER($A2637),IF(AND(AH!$P$10=1,AH!$P$12=1,$A2637=TODAY()),AH!$P$18,IF(AH!$P$10=1,INDEX('Live History'!$E$5:$E$3004,MATCH($A2637,'Live History'!$D$5:$D$3004,1)),INDEX('AH History'!$C$1:$C$18046,AH!$P$7+2632))),NA()),NA())</ns0:f>
        <ns0:v/>
      </ns0:c>
      <ns0:c r="E2637">
        <ns0:f>IFERROR(IF(ISNUMBER($A2637),IF(AND(AH!$P$10=1,AH!$P$12=1,$A2637=TODAY()),AH!$P$20,IF(AH!$P$10=1,INDEX('Live History'!$H$5:$H$3004,MATCH($A2637,'Live History'!$G$5:$G$3004,1)),INDEX('AH History'!$D$1:$D$18046,AH!$P$7+2632))),NA()),NA())</ns0:f>
        <ns0:v/>
      </ns0:c>
      <ns0:c r="F2637">
        <ns0:f>IFERROR(IF(ISNUMBER($A2637),IF(AND(AH!$P$10=1,AH!$P$12=1,$A2637=TODAY()),IF(AND(AH!$P$10=1,AH!$P$12=1,$A2637=TODAY()),TODAY(),NA()),IF(AH!$P$10=1,INDEX('Live History'!$D$5:$D$3004,MATCH($A2637,'Live History'!$D$5:$D$3004,1)),INDEX('AH History'!$E$1:$E$18046,AH!$P$7+2632))),NA()),NA())</ns0:f>
        <ns0:v/>
      </ns0:c>
      <ns0:c r="G2637">
        <ns0:f>IFERROR(IF(ISNUMBER($A2637),IF(AND(AH!$P$10=1,AH!$P$12=1,$A2637=TODAY()),IF(AND(AH!$P$10=1,AH!$P$12=1,$A2637=TODAY()),TODAY(),NA()),IF(AH!$P$10=1,INDEX('Live History'!$G$5:$G$3004,MATCH($A2637,'Live History'!$G$5:$G$3004,1)),INDEX('AH History'!$F$1:$F$18046,AH!$P$7+2632))),NA()),NA())</ns0:f>
        <ns0:v/>
      </ns0:c>
      <ns0:c r="H2637">
        <ns0:f>IFERROR(IF(AND(AH!$E$4="Bloomberg",AH!$P$10=1,ISNUMBER($A2637),$A2637&lt;=AH!$P$17),AH!$P$7-1+MATCH($A2637,INDEX('AH History'!$A$1:$A$18046,AH!$P$7):INDEX('AH History'!$A$1:$A$18046,AH!$P$7+AH!$P$8-1),0),0),0)</ns0:f>
        <ns0:v/>
      </ns0:c>
      <ns0:c r="I2637">
        <ns0:f>IF($H2637=0,0,IFERROR(IF(AND(ABS($C2637-INDEX('AH History'!$B$1:$B$18046,$H2637))&lt;=MAX(0.005,ABS(INDEX('AH History'!$B$1:$B$18046,$H2637))*0.00005),ABS($D2637-INDEX('AH History'!$C$1:$C$18046,$H2637))&lt;=MAX(0.005,ABS(INDEX('AH History'!$C$1:$C$18046,$H2637))*0.00005),ABS($E2637-INDEX('AH History'!$D$1:$D$18046,$H2637))&lt;=0.00005,$F2637=INDEX('AH History'!$E$1:$E$18046,$H2637),$G2637=INDEX('AH History'!$F$1:$F$18046,$H2637)),1,-1),-1))</ns0:f>
        <ns0:v/>
      </ns0:c>
    </ns0:row>
    <ns0:row r="2638">
      <ns0:c r="A2638" s="215">
        <ns0:f>IF(OR(AH!$P$3=0,2633+1&gt;AH!$P$11,AND(AH!$E$4&lt;&gt;"Stored",AH!$P$10&lt;&gt;1)),"",IFERROR(IF(AND(AH!$P$21=1,2633+1=AH!$P$11),TODAY(),IF(AH!$P$10=1,INDEX('Live History'!$A$5:$A$3004,AH!$P$13+2633),INDEX('AH History'!$A$1:$A$18046,AH!$P$7+2633))),""))</ns0:f>
        <ns0:v/>
      </ns0:c>
      <ns0:c r="B2638" s="219">
        <ns0:f>IFERROR(IF(AND(AH!$P$9&lt;&gt;1,$C2638&gt;0,$D2638&gt;0,$E2638&gt;0,$F2638&gt;0,$G2638&gt;0,$F2638&lt;=$A2638,$G2638&lt;=$A2638,$A2638-$F2638&lt;=10,$A2638-$G2638&lt;=5),$D2638*$E2638/$C2638-1,NA()),NA())</ns0:f>
        <ns0:v/>
      </ns0:c>
      <ns0:c r="C2638">
        <ns0:f>IFERROR(IF(ISNUMBER($A2638),IF(AND(AH!$P$10=1,AH!$P$12=1,$A2638=TODAY()),AH!$P$19,IF(AH!$P$10=1,INDEX('Live History'!$B$5:$B$3004,AH!$P$13+2633),INDEX('AH History'!$B$1:$B$18046,AH!$P$7+2633))),NA()),NA())</ns0:f>
        <ns0:v/>
      </ns0:c>
      <ns0:c r="D2638">
        <ns0:f>IFERROR(IF(ISNUMBER($A2638),IF(AND(AH!$P$10=1,AH!$P$12=1,$A2638=TODAY()),AH!$P$18,IF(AH!$P$10=1,INDEX('Live History'!$E$5:$E$3004,MATCH($A2638,'Live History'!$D$5:$D$3004,1)),INDEX('AH History'!$C$1:$C$18046,AH!$P$7+2633))),NA()),NA())</ns0:f>
        <ns0:v/>
      </ns0:c>
      <ns0:c r="E2638">
        <ns0:f>IFERROR(IF(ISNUMBER($A2638),IF(AND(AH!$P$10=1,AH!$P$12=1,$A2638=TODAY()),AH!$P$20,IF(AH!$P$10=1,INDEX('Live History'!$H$5:$H$3004,MATCH($A2638,'Live History'!$G$5:$G$3004,1)),INDEX('AH History'!$D$1:$D$18046,AH!$P$7+2633))),NA()),NA())</ns0:f>
        <ns0:v/>
      </ns0:c>
      <ns0:c r="F2638">
        <ns0:f>IFERROR(IF(ISNUMBER($A2638),IF(AND(AH!$P$10=1,AH!$P$12=1,$A2638=TODAY()),IF(AND(AH!$P$10=1,AH!$P$12=1,$A2638=TODAY()),TODAY(),NA()),IF(AH!$P$10=1,INDEX('Live History'!$D$5:$D$3004,MATCH($A2638,'Live History'!$D$5:$D$3004,1)),INDEX('AH History'!$E$1:$E$18046,AH!$P$7+2633))),NA()),NA())</ns0:f>
        <ns0:v/>
      </ns0:c>
      <ns0:c r="G2638">
        <ns0:f>IFERROR(IF(ISNUMBER($A2638),IF(AND(AH!$P$10=1,AH!$P$12=1,$A2638=TODAY()),IF(AND(AH!$P$10=1,AH!$P$12=1,$A2638=TODAY()),TODAY(),NA()),IF(AH!$P$10=1,INDEX('Live History'!$G$5:$G$3004,MATCH($A2638,'Live History'!$G$5:$G$3004,1)),INDEX('AH History'!$F$1:$F$18046,AH!$P$7+2633))),NA()),NA())</ns0:f>
        <ns0:v/>
      </ns0:c>
      <ns0:c r="H2638">
        <ns0:f>IFERROR(IF(AND(AH!$E$4="Bloomberg",AH!$P$10=1,ISNUMBER($A2638),$A2638&lt;=AH!$P$17),AH!$P$7-1+MATCH($A2638,INDEX('AH History'!$A$1:$A$18046,AH!$P$7):INDEX('AH History'!$A$1:$A$18046,AH!$P$7+AH!$P$8-1),0),0),0)</ns0:f>
        <ns0:v/>
      </ns0:c>
      <ns0:c r="I2638">
        <ns0:f>IF($H2638=0,0,IFERROR(IF(AND(ABS($C2638-INDEX('AH History'!$B$1:$B$18046,$H2638))&lt;=MAX(0.005,ABS(INDEX('AH History'!$B$1:$B$18046,$H2638))*0.00005),ABS($D2638-INDEX('AH History'!$C$1:$C$18046,$H2638))&lt;=MAX(0.005,ABS(INDEX('AH History'!$C$1:$C$18046,$H2638))*0.00005),ABS($E2638-INDEX('AH History'!$D$1:$D$18046,$H2638))&lt;=0.00005,$F2638=INDEX('AH History'!$E$1:$E$18046,$H2638),$G2638=INDEX('AH History'!$F$1:$F$18046,$H2638)),1,-1),-1))</ns0:f>
        <ns0:v/>
      </ns0:c>
    </ns0:row>
    <ns0:row r="2639">
      <ns0:c r="A2639" s="215">
        <ns0:f>IF(OR(AH!$P$3=0,2634+1&gt;AH!$P$11,AND(AH!$E$4&lt;&gt;"Stored",AH!$P$10&lt;&gt;1)),"",IFERROR(IF(AND(AH!$P$21=1,2634+1=AH!$P$11),TODAY(),IF(AH!$P$10=1,INDEX('Live History'!$A$5:$A$3004,AH!$P$13+2634),INDEX('AH History'!$A$1:$A$18046,AH!$P$7+2634))),""))</ns0:f>
        <ns0:v/>
      </ns0:c>
      <ns0:c r="B2639" s="219">
        <ns0:f>IFERROR(IF(AND(AH!$P$9&lt;&gt;1,$C2639&gt;0,$D2639&gt;0,$E2639&gt;0,$F2639&gt;0,$G2639&gt;0,$F2639&lt;=$A2639,$G2639&lt;=$A2639,$A2639-$F2639&lt;=10,$A2639-$G2639&lt;=5),$D2639*$E2639/$C2639-1,NA()),NA())</ns0:f>
        <ns0:v/>
      </ns0:c>
      <ns0:c r="C2639">
        <ns0:f>IFERROR(IF(ISNUMBER($A2639),IF(AND(AH!$P$10=1,AH!$P$12=1,$A2639=TODAY()),AH!$P$19,IF(AH!$P$10=1,INDEX('Live History'!$B$5:$B$3004,AH!$P$13+2634),INDEX('AH History'!$B$1:$B$18046,AH!$P$7+2634))),NA()),NA())</ns0:f>
        <ns0:v/>
      </ns0:c>
      <ns0:c r="D2639">
        <ns0:f>IFERROR(IF(ISNUMBER($A2639),IF(AND(AH!$P$10=1,AH!$P$12=1,$A2639=TODAY()),AH!$P$18,IF(AH!$P$10=1,INDEX('Live History'!$E$5:$E$3004,MATCH($A2639,'Live History'!$D$5:$D$3004,1)),INDEX('AH History'!$C$1:$C$18046,AH!$P$7+2634))),NA()),NA())</ns0:f>
        <ns0:v/>
      </ns0:c>
      <ns0:c r="E2639">
        <ns0:f>IFERROR(IF(ISNUMBER($A2639),IF(AND(AH!$P$10=1,AH!$P$12=1,$A2639=TODAY()),AH!$P$20,IF(AH!$P$10=1,INDEX('Live History'!$H$5:$H$3004,MATCH($A2639,'Live History'!$G$5:$G$3004,1)),INDEX('AH History'!$D$1:$D$18046,AH!$P$7+2634))),NA()),NA())</ns0:f>
        <ns0:v/>
      </ns0:c>
      <ns0:c r="F2639">
        <ns0:f>IFERROR(IF(ISNUMBER($A2639),IF(AND(AH!$P$10=1,AH!$P$12=1,$A2639=TODAY()),IF(AND(AH!$P$10=1,AH!$P$12=1,$A2639=TODAY()),TODAY(),NA()),IF(AH!$P$10=1,INDEX('Live History'!$D$5:$D$3004,MATCH($A2639,'Live History'!$D$5:$D$3004,1)),INDEX('AH History'!$E$1:$E$18046,AH!$P$7+2634))),NA()),NA())</ns0:f>
        <ns0:v/>
      </ns0:c>
      <ns0:c r="G2639">
        <ns0:f>IFERROR(IF(ISNUMBER($A2639),IF(AND(AH!$P$10=1,AH!$P$12=1,$A2639=TODAY()),IF(AND(AH!$P$10=1,AH!$P$12=1,$A2639=TODAY()),TODAY(),NA()),IF(AH!$P$10=1,INDEX('Live History'!$G$5:$G$3004,MATCH($A2639,'Live History'!$G$5:$G$3004,1)),INDEX('AH History'!$F$1:$F$18046,AH!$P$7+2634))),NA()),NA())</ns0:f>
        <ns0:v/>
      </ns0:c>
      <ns0:c r="H2639">
        <ns0:f>IFERROR(IF(AND(AH!$E$4="Bloomberg",AH!$P$10=1,ISNUMBER($A2639),$A2639&lt;=AH!$P$17),AH!$P$7-1+MATCH($A2639,INDEX('AH History'!$A$1:$A$18046,AH!$P$7):INDEX('AH History'!$A$1:$A$18046,AH!$P$7+AH!$P$8-1),0),0),0)</ns0:f>
        <ns0:v/>
      </ns0:c>
      <ns0:c r="I2639">
        <ns0:f>IF($H2639=0,0,IFERROR(IF(AND(ABS($C2639-INDEX('AH History'!$B$1:$B$18046,$H2639))&lt;=MAX(0.005,ABS(INDEX('AH History'!$B$1:$B$18046,$H2639))*0.00005),ABS($D2639-INDEX('AH History'!$C$1:$C$18046,$H2639))&lt;=MAX(0.005,ABS(INDEX('AH History'!$C$1:$C$18046,$H2639))*0.00005),ABS($E2639-INDEX('AH History'!$D$1:$D$18046,$H2639))&lt;=0.00005,$F2639=INDEX('AH History'!$E$1:$E$18046,$H2639),$G2639=INDEX('AH History'!$F$1:$F$18046,$H2639)),1,-1),-1))</ns0:f>
        <ns0:v/>
      </ns0:c>
    </ns0:row>
    <ns0:row r="2640">
      <ns0:c r="A2640" s="215">
        <ns0:f>IF(OR(AH!$P$3=0,2635+1&gt;AH!$P$11,AND(AH!$E$4&lt;&gt;"Stored",AH!$P$10&lt;&gt;1)),"",IFERROR(IF(AND(AH!$P$21=1,2635+1=AH!$P$11),TODAY(),IF(AH!$P$10=1,INDEX('Live History'!$A$5:$A$3004,AH!$P$13+2635),INDEX('AH History'!$A$1:$A$18046,AH!$P$7+2635))),""))</ns0:f>
        <ns0:v/>
      </ns0:c>
      <ns0:c r="B2640" s="219">
        <ns0:f>IFERROR(IF(AND(AH!$P$9&lt;&gt;1,$C2640&gt;0,$D2640&gt;0,$E2640&gt;0,$F2640&gt;0,$G2640&gt;0,$F2640&lt;=$A2640,$G2640&lt;=$A2640,$A2640-$F2640&lt;=10,$A2640-$G2640&lt;=5),$D2640*$E2640/$C2640-1,NA()),NA())</ns0:f>
        <ns0:v/>
      </ns0:c>
      <ns0:c r="C2640">
        <ns0:f>IFERROR(IF(ISNUMBER($A2640),IF(AND(AH!$P$10=1,AH!$P$12=1,$A2640=TODAY()),AH!$P$19,IF(AH!$P$10=1,INDEX('Live History'!$B$5:$B$3004,AH!$P$13+2635),INDEX('AH History'!$B$1:$B$18046,AH!$P$7+2635))),NA()),NA())</ns0:f>
        <ns0:v/>
      </ns0:c>
      <ns0:c r="D2640">
        <ns0:f>IFERROR(IF(ISNUMBER($A2640),IF(AND(AH!$P$10=1,AH!$P$12=1,$A2640=TODAY()),AH!$P$18,IF(AH!$P$10=1,INDEX('Live History'!$E$5:$E$3004,MATCH($A2640,'Live History'!$D$5:$D$3004,1)),INDEX('AH History'!$C$1:$C$18046,AH!$P$7+2635))),NA()),NA())</ns0:f>
        <ns0:v/>
      </ns0:c>
      <ns0:c r="E2640">
        <ns0:f>IFERROR(IF(ISNUMBER($A2640),IF(AND(AH!$P$10=1,AH!$P$12=1,$A2640=TODAY()),AH!$P$20,IF(AH!$P$10=1,INDEX('Live History'!$H$5:$H$3004,MATCH($A2640,'Live History'!$G$5:$G$3004,1)),INDEX('AH History'!$D$1:$D$18046,AH!$P$7+2635))),NA()),NA())</ns0:f>
        <ns0:v/>
      </ns0:c>
      <ns0:c r="F2640">
        <ns0:f>IFERROR(IF(ISNUMBER($A2640),IF(AND(AH!$P$10=1,AH!$P$12=1,$A2640=TODAY()),IF(AND(AH!$P$10=1,AH!$P$12=1,$A2640=TODAY()),TODAY(),NA()),IF(AH!$P$10=1,INDEX('Live History'!$D$5:$D$3004,MATCH($A2640,'Live History'!$D$5:$D$3004,1)),INDEX('AH History'!$E$1:$E$18046,AH!$P$7+2635))),NA()),NA())</ns0:f>
        <ns0:v/>
      </ns0:c>
      <ns0:c r="G2640">
        <ns0:f>IFERROR(IF(ISNUMBER($A2640),IF(AND(AH!$P$10=1,AH!$P$12=1,$A2640=TODAY()),IF(AND(AH!$P$10=1,AH!$P$12=1,$A2640=TODAY()),TODAY(),NA()),IF(AH!$P$10=1,INDEX('Live History'!$G$5:$G$3004,MATCH($A2640,'Live History'!$G$5:$G$3004,1)),INDEX('AH History'!$F$1:$F$18046,AH!$P$7+2635))),NA()),NA())</ns0:f>
        <ns0:v/>
      </ns0:c>
      <ns0:c r="H2640">
        <ns0:f>IFERROR(IF(AND(AH!$E$4="Bloomberg",AH!$P$10=1,ISNUMBER($A2640),$A2640&lt;=AH!$P$17),AH!$P$7-1+MATCH($A2640,INDEX('AH History'!$A$1:$A$18046,AH!$P$7):INDEX('AH History'!$A$1:$A$18046,AH!$P$7+AH!$P$8-1),0),0),0)</ns0:f>
        <ns0:v/>
      </ns0:c>
      <ns0:c r="I2640">
        <ns0:f>IF($H2640=0,0,IFERROR(IF(AND(ABS($C2640-INDEX('AH History'!$B$1:$B$18046,$H2640))&lt;=MAX(0.005,ABS(INDEX('AH History'!$B$1:$B$18046,$H2640))*0.00005),ABS($D2640-INDEX('AH History'!$C$1:$C$18046,$H2640))&lt;=MAX(0.005,ABS(INDEX('AH History'!$C$1:$C$18046,$H2640))*0.00005),ABS($E2640-INDEX('AH History'!$D$1:$D$18046,$H2640))&lt;=0.00005,$F2640=INDEX('AH History'!$E$1:$E$18046,$H2640),$G2640=INDEX('AH History'!$F$1:$F$18046,$H2640)),1,-1),-1))</ns0:f>
        <ns0:v/>
      </ns0:c>
    </ns0:row>
    <ns0:row r="2641">
      <ns0:c r="A2641" s="215">
        <ns0:f>IF(OR(AH!$P$3=0,2636+1&gt;AH!$P$11,AND(AH!$E$4&lt;&gt;"Stored",AH!$P$10&lt;&gt;1)),"",IFERROR(IF(AND(AH!$P$21=1,2636+1=AH!$P$11),TODAY(),IF(AH!$P$10=1,INDEX('Live History'!$A$5:$A$3004,AH!$P$13+2636),INDEX('AH History'!$A$1:$A$18046,AH!$P$7+2636))),""))</ns0:f>
        <ns0:v/>
      </ns0:c>
      <ns0:c r="B2641" s="219">
        <ns0:f>IFERROR(IF(AND(AH!$P$9&lt;&gt;1,$C2641&gt;0,$D2641&gt;0,$E2641&gt;0,$F2641&gt;0,$G2641&gt;0,$F2641&lt;=$A2641,$G2641&lt;=$A2641,$A2641-$F2641&lt;=10,$A2641-$G2641&lt;=5),$D2641*$E2641/$C2641-1,NA()),NA())</ns0:f>
        <ns0:v/>
      </ns0:c>
      <ns0:c r="C2641">
        <ns0:f>IFERROR(IF(ISNUMBER($A2641),IF(AND(AH!$P$10=1,AH!$P$12=1,$A2641=TODAY()),AH!$P$19,IF(AH!$P$10=1,INDEX('Live History'!$B$5:$B$3004,AH!$P$13+2636),INDEX('AH History'!$B$1:$B$18046,AH!$P$7+2636))),NA()),NA())</ns0:f>
        <ns0:v/>
      </ns0:c>
      <ns0:c r="D2641">
        <ns0:f>IFERROR(IF(ISNUMBER($A2641),IF(AND(AH!$P$10=1,AH!$P$12=1,$A2641=TODAY()),AH!$P$18,IF(AH!$P$10=1,INDEX('Live History'!$E$5:$E$3004,MATCH($A2641,'Live History'!$D$5:$D$3004,1)),INDEX('AH History'!$C$1:$C$18046,AH!$P$7+2636))),NA()),NA())</ns0:f>
        <ns0:v/>
      </ns0:c>
      <ns0:c r="E2641">
        <ns0:f>IFERROR(IF(ISNUMBER($A2641),IF(AND(AH!$P$10=1,AH!$P$12=1,$A2641=TODAY()),AH!$P$20,IF(AH!$P$10=1,INDEX('Live History'!$H$5:$H$3004,MATCH($A2641,'Live History'!$G$5:$G$3004,1)),INDEX('AH History'!$D$1:$D$18046,AH!$P$7+2636))),NA()),NA())</ns0:f>
        <ns0:v/>
      </ns0:c>
      <ns0:c r="F2641">
        <ns0:f>IFERROR(IF(ISNUMBER($A2641),IF(AND(AH!$P$10=1,AH!$P$12=1,$A2641=TODAY()),IF(AND(AH!$P$10=1,AH!$P$12=1,$A2641=TODAY()),TODAY(),NA()),IF(AH!$P$10=1,INDEX('Live History'!$D$5:$D$3004,MATCH($A2641,'Live History'!$D$5:$D$3004,1)),INDEX('AH History'!$E$1:$E$18046,AH!$P$7+2636))),NA()),NA())</ns0:f>
        <ns0:v/>
      </ns0:c>
      <ns0:c r="G2641">
        <ns0:f>IFERROR(IF(ISNUMBER($A2641),IF(AND(AH!$P$10=1,AH!$P$12=1,$A2641=TODAY()),IF(AND(AH!$P$10=1,AH!$P$12=1,$A2641=TODAY()),TODAY(),NA()),IF(AH!$P$10=1,INDEX('Live History'!$G$5:$G$3004,MATCH($A2641,'Live History'!$G$5:$G$3004,1)),INDEX('AH History'!$F$1:$F$18046,AH!$P$7+2636))),NA()),NA())</ns0:f>
        <ns0:v/>
      </ns0:c>
      <ns0:c r="H2641">
        <ns0:f>IFERROR(IF(AND(AH!$E$4="Bloomberg",AH!$P$10=1,ISNUMBER($A2641),$A2641&lt;=AH!$P$17),AH!$P$7-1+MATCH($A2641,INDEX('AH History'!$A$1:$A$18046,AH!$P$7):INDEX('AH History'!$A$1:$A$18046,AH!$P$7+AH!$P$8-1),0),0),0)</ns0:f>
        <ns0:v/>
      </ns0:c>
      <ns0:c r="I2641">
        <ns0:f>IF($H2641=0,0,IFERROR(IF(AND(ABS($C2641-INDEX('AH History'!$B$1:$B$18046,$H2641))&lt;=MAX(0.005,ABS(INDEX('AH History'!$B$1:$B$18046,$H2641))*0.00005),ABS($D2641-INDEX('AH History'!$C$1:$C$18046,$H2641))&lt;=MAX(0.005,ABS(INDEX('AH History'!$C$1:$C$18046,$H2641))*0.00005),ABS($E2641-INDEX('AH History'!$D$1:$D$18046,$H2641))&lt;=0.00005,$F2641=INDEX('AH History'!$E$1:$E$18046,$H2641),$G2641=INDEX('AH History'!$F$1:$F$18046,$H2641)),1,-1),-1))</ns0:f>
        <ns0:v/>
      </ns0:c>
    </ns0:row>
    <ns0:row r="2642">
      <ns0:c r="A2642" s="215">
        <ns0:f>IF(OR(AH!$P$3=0,2637+1&gt;AH!$P$11,AND(AH!$E$4&lt;&gt;"Stored",AH!$P$10&lt;&gt;1)),"",IFERROR(IF(AND(AH!$P$21=1,2637+1=AH!$P$11),TODAY(),IF(AH!$P$10=1,INDEX('Live History'!$A$5:$A$3004,AH!$P$13+2637),INDEX('AH History'!$A$1:$A$18046,AH!$P$7+2637))),""))</ns0:f>
        <ns0:v/>
      </ns0:c>
      <ns0:c r="B2642" s="219">
        <ns0:f>IFERROR(IF(AND(AH!$P$9&lt;&gt;1,$C2642&gt;0,$D2642&gt;0,$E2642&gt;0,$F2642&gt;0,$G2642&gt;0,$F2642&lt;=$A2642,$G2642&lt;=$A2642,$A2642-$F2642&lt;=10,$A2642-$G2642&lt;=5),$D2642*$E2642/$C2642-1,NA()),NA())</ns0:f>
        <ns0:v/>
      </ns0:c>
      <ns0:c r="C2642">
        <ns0:f>IFERROR(IF(ISNUMBER($A2642),IF(AND(AH!$P$10=1,AH!$P$12=1,$A2642=TODAY()),AH!$P$19,IF(AH!$P$10=1,INDEX('Live History'!$B$5:$B$3004,AH!$P$13+2637),INDEX('AH History'!$B$1:$B$18046,AH!$P$7+2637))),NA()),NA())</ns0:f>
        <ns0:v/>
      </ns0:c>
      <ns0:c r="D2642">
        <ns0:f>IFERROR(IF(ISNUMBER($A2642),IF(AND(AH!$P$10=1,AH!$P$12=1,$A2642=TODAY()),AH!$P$18,IF(AH!$P$10=1,INDEX('Live History'!$E$5:$E$3004,MATCH($A2642,'Live History'!$D$5:$D$3004,1)),INDEX('AH History'!$C$1:$C$18046,AH!$P$7+2637))),NA()),NA())</ns0:f>
        <ns0:v/>
      </ns0:c>
      <ns0:c r="E2642">
        <ns0:f>IFERROR(IF(ISNUMBER($A2642),IF(AND(AH!$P$10=1,AH!$P$12=1,$A2642=TODAY()),AH!$P$20,IF(AH!$P$10=1,INDEX('Live History'!$H$5:$H$3004,MATCH($A2642,'Live History'!$G$5:$G$3004,1)),INDEX('AH History'!$D$1:$D$18046,AH!$P$7+2637))),NA()),NA())</ns0:f>
        <ns0:v/>
      </ns0:c>
      <ns0:c r="F2642">
        <ns0:f>IFERROR(IF(ISNUMBER($A2642),IF(AND(AH!$P$10=1,AH!$P$12=1,$A2642=TODAY()),IF(AND(AH!$P$10=1,AH!$P$12=1,$A2642=TODAY()),TODAY(),NA()),IF(AH!$P$10=1,INDEX('Live History'!$D$5:$D$3004,MATCH($A2642,'Live History'!$D$5:$D$3004,1)),INDEX('AH History'!$E$1:$E$18046,AH!$P$7+2637))),NA()),NA())</ns0:f>
        <ns0:v/>
      </ns0:c>
      <ns0:c r="G2642">
        <ns0:f>IFERROR(IF(ISNUMBER($A2642),IF(AND(AH!$P$10=1,AH!$P$12=1,$A2642=TODAY()),IF(AND(AH!$P$10=1,AH!$P$12=1,$A2642=TODAY()),TODAY(),NA()),IF(AH!$P$10=1,INDEX('Live History'!$G$5:$G$3004,MATCH($A2642,'Live History'!$G$5:$G$3004,1)),INDEX('AH History'!$F$1:$F$18046,AH!$P$7+2637))),NA()),NA())</ns0:f>
        <ns0:v/>
      </ns0:c>
      <ns0:c r="H2642">
        <ns0:f>IFERROR(IF(AND(AH!$E$4="Bloomberg",AH!$P$10=1,ISNUMBER($A2642),$A2642&lt;=AH!$P$17),AH!$P$7-1+MATCH($A2642,INDEX('AH History'!$A$1:$A$18046,AH!$P$7):INDEX('AH History'!$A$1:$A$18046,AH!$P$7+AH!$P$8-1),0),0),0)</ns0:f>
        <ns0:v/>
      </ns0:c>
      <ns0:c r="I2642">
        <ns0:f>IF($H2642=0,0,IFERROR(IF(AND(ABS($C2642-INDEX('AH History'!$B$1:$B$18046,$H2642))&lt;=MAX(0.005,ABS(INDEX('AH History'!$B$1:$B$18046,$H2642))*0.00005),ABS($D2642-INDEX('AH History'!$C$1:$C$18046,$H2642))&lt;=MAX(0.005,ABS(INDEX('AH History'!$C$1:$C$18046,$H2642))*0.00005),ABS($E2642-INDEX('AH History'!$D$1:$D$18046,$H2642))&lt;=0.00005,$F2642=INDEX('AH History'!$E$1:$E$18046,$H2642),$G2642=INDEX('AH History'!$F$1:$F$18046,$H2642)),1,-1),-1))</ns0:f>
        <ns0:v/>
      </ns0:c>
    </ns0:row>
    <ns0:row r="2643">
      <ns0:c r="A2643" s="215">
        <ns0:f>IF(OR(AH!$P$3=0,2638+1&gt;AH!$P$11,AND(AH!$E$4&lt;&gt;"Stored",AH!$P$10&lt;&gt;1)),"",IFERROR(IF(AND(AH!$P$21=1,2638+1=AH!$P$11),TODAY(),IF(AH!$P$10=1,INDEX('Live History'!$A$5:$A$3004,AH!$P$13+2638),INDEX('AH History'!$A$1:$A$18046,AH!$P$7+2638))),""))</ns0:f>
        <ns0:v/>
      </ns0:c>
      <ns0:c r="B2643" s="219">
        <ns0:f>IFERROR(IF(AND(AH!$P$9&lt;&gt;1,$C2643&gt;0,$D2643&gt;0,$E2643&gt;0,$F2643&gt;0,$G2643&gt;0,$F2643&lt;=$A2643,$G2643&lt;=$A2643,$A2643-$F2643&lt;=10,$A2643-$G2643&lt;=5),$D2643*$E2643/$C2643-1,NA()),NA())</ns0:f>
        <ns0:v/>
      </ns0:c>
      <ns0:c r="C2643">
        <ns0:f>IFERROR(IF(ISNUMBER($A2643),IF(AND(AH!$P$10=1,AH!$P$12=1,$A2643=TODAY()),AH!$P$19,IF(AH!$P$10=1,INDEX('Live History'!$B$5:$B$3004,AH!$P$13+2638),INDEX('AH History'!$B$1:$B$18046,AH!$P$7+2638))),NA()),NA())</ns0:f>
        <ns0:v/>
      </ns0:c>
      <ns0:c r="D2643">
        <ns0:f>IFERROR(IF(ISNUMBER($A2643),IF(AND(AH!$P$10=1,AH!$P$12=1,$A2643=TODAY()),AH!$P$18,IF(AH!$P$10=1,INDEX('Live History'!$E$5:$E$3004,MATCH($A2643,'Live History'!$D$5:$D$3004,1)),INDEX('AH History'!$C$1:$C$18046,AH!$P$7+2638))),NA()),NA())</ns0:f>
        <ns0:v/>
      </ns0:c>
      <ns0:c r="E2643">
        <ns0:f>IFERROR(IF(ISNUMBER($A2643),IF(AND(AH!$P$10=1,AH!$P$12=1,$A2643=TODAY()),AH!$P$20,IF(AH!$P$10=1,INDEX('Live History'!$H$5:$H$3004,MATCH($A2643,'Live History'!$G$5:$G$3004,1)),INDEX('AH History'!$D$1:$D$18046,AH!$P$7+2638))),NA()),NA())</ns0:f>
        <ns0:v/>
      </ns0:c>
      <ns0:c r="F2643">
        <ns0:f>IFERROR(IF(ISNUMBER($A2643),IF(AND(AH!$P$10=1,AH!$P$12=1,$A2643=TODAY()),IF(AND(AH!$P$10=1,AH!$P$12=1,$A2643=TODAY()),TODAY(),NA()),IF(AH!$P$10=1,INDEX('Live History'!$D$5:$D$3004,MATCH($A2643,'Live History'!$D$5:$D$3004,1)),INDEX('AH History'!$E$1:$E$18046,AH!$P$7+2638))),NA()),NA())</ns0:f>
        <ns0:v/>
      </ns0:c>
      <ns0:c r="G2643">
        <ns0:f>IFERROR(IF(ISNUMBER($A2643),IF(AND(AH!$P$10=1,AH!$P$12=1,$A2643=TODAY()),IF(AND(AH!$P$10=1,AH!$P$12=1,$A2643=TODAY()),TODAY(),NA()),IF(AH!$P$10=1,INDEX('Live History'!$G$5:$G$3004,MATCH($A2643,'Live History'!$G$5:$G$3004,1)),INDEX('AH History'!$F$1:$F$18046,AH!$P$7+2638))),NA()),NA())</ns0:f>
        <ns0:v/>
      </ns0:c>
      <ns0:c r="H2643">
        <ns0:f>IFERROR(IF(AND(AH!$E$4="Bloomberg",AH!$P$10=1,ISNUMBER($A2643),$A2643&lt;=AH!$P$17),AH!$P$7-1+MATCH($A2643,INDEX('AH History'!$A$1:$A$18046,AH!$P$7):INDEX('AH History'!$A$1:$A$18046,AH!$P$7+AH!$P$8-1),0),0),0)</ns0:f>
        <ns0:v/>
      </ns0:c>
      <ns0:c r="I2643">
        <ns0:f>IF($H2643=0,0,IFERROR(IF(AND(ABS($C2643-INDEX('AH History'!$B$1:$B$18046,$H2643))&lt;=MAX(0.005,ABS(INDEX('AH History'!$B$1:$B$18046,$H2643))*0.00005),ABS($D2643-INDEX('AH History'!$C$1:$C$18046,$H2643))&lt;=MAX(0.005,ABS(INDEX('AH History'!$C$1:$C$18046,$H2643))*0.00005),ABS($E2643-INDEX('AH History'!$D$1:$D$18046,$H2643))&lt;=0.00005,$F2643=INDEX('AH History'!$E$1:$E$18046,$H2643),$G2643=INDEX('AH History'!$F$1:$F$18046,$H2643)),1,-1),-1))</ns0:f>
        <ns0:v/>
      </ns0:c>
    </ns0:row>
    <ns0:row r="2644">
      <ns0:c r="A2644" s="215">
        <ns0:f>IF(OR(AH!$P$3=0,2639+1&gt;AH!$P$11,AND(AH!$E$4&lt;&gt;"Stored",AH!$P$10&lt;&gt;1)),"",IFERROR(IF(AND(AH!$P$21=1,2639+1=AH!$P$11),TODAY(),IF(AH!$P$10=1,INDEX('Live History'!$A$5:$A$3004,AH!$P$13+2639),INDEX('AH History'!$A$1:$A$18046,AH!$P$7+2639))),""))</ns0:f>
        <ns0:v/>
      </ns0:c>
      <ns0:c r="B2644" s="219">
        <ns0:f>IFERROR(IF(AND(AH!$P$9&lt;&gt;1,$C2644&gt;0,$D2644&gt;0,$E2644&gt;0,$F2644&gt;0,$G2644&gt;0,$F2644&lt;=$A2644,$G2644&lt;=$A2644,$A2644-$F2644&lt;=10,$A2644-$G2644&lt;=5),$D2644*$E2644/$C2644-1,NA()),NA())</ns0:f>
        <ns0:v/>
      </ns0:c>
      <ns0:c r="C2644">
        <ns0:f>IFERROR(IF(ISNUMBER($A2644),IF(AND(AH!$P$10=1,AH!$P$12=1,$A2644=TODAY()),AH!$P$19,IF(AH!$P$10=1,INDEX('Live History'!$B$5:$B$3004,AH!$P$13+2639),INDEX('AH History'!$B$1:$B$18046,AH!$P$7+2639))),NA()),NA())</ns0:f>
        <ns0:v/>
      </ns0:c>
      <ns0:c r="D2644">
        <ns0:f>IFERROR(IF(ISNUMBER($A2644),IF(AND(AH!$P$10=1,AH!$P$12=1,$A2644=TODAY()),AH!$P$18,IF(AH!$P$10=1,INDEX('Live History'!$E$5:$E$3004,MATCH($A2644,'Live History'!$D$5:$D$3004,1)),INDEX('AH History'!$C$1:$C$18046,AH!$P$7+2639))),NA()),NA())</ns0:f>
        <ns0:v/>
      </ns0:c>
      <ns0:c r="E2644">
        <ns0:f>IFERROR(IF(ISNUMBER($A2644),IF(AND(AH!$P$10=1,AH!$P$12=1,$A2644=TODAY()),AH!$P$20,IF(AH!$P$10=1,INDEX('Live History'!$H$5:$H$3004,MATCH($A2644,'Live History'!$G$5:$G$3004,1)),INDEX('AH History'!$D$1:$D$18046,AH!$P$7+2639))),NA()),NA())</ns0:f>
        <ns0:v/>
      </ns0:c>
      <ns0:c r="F2644">
        <ns0:f>IFERROR(IF(ISNUMBER($A2644),IF(AND(AH!$P$10=1,AH!$P$12=1,$A2644=TODAY()),IF(AND(AH!$P$10=1,AH!$P$12=1,$A2644=TODAY()),TODAY(),NA()),IF(AH!$P$10=1,INDEX('Live History'!$D$5:$D$3004,MATCH($A2644,'Live History'!$D$5:$D$3004,1)),INDEX('AH History'!$E$1:$E$18046,AH!$P$7+2639))),NA()),NA())</ns0:f>
        <ns0:v/>
      </ns0:c>
      <ns0:c r="G2644">
        <ns0:f>IFERROR(IF(ISNUMBER($A2644),IF(AND(AH!$P$10=1,AH!$P$12=1,$A2644=TODAY()),IF(AND(AH!$P$10=1,AH!$P$12=1,$A2644=TODAY()),TODAY(),NA()),IF(AH!$P$10=1,INDEX('Live History'!$G$5:$G$3004,MATCH($A2644,'Live History'!$G$5:$G$3004,1)),INDEX('AH History'!$F$1:$F$18046,AH!$P$7+2639))),NA()),NA())</ns0:f>
        <ns0:v/>
      </ns0:c>
      <ns0:c r="H2644">
        <ns0:f>IFERROR(IF(AND(AH!$E$4="Bloomberg",AH!$P$10=1,ISNUMBER($A2644),$A2644&lt;=AH!$P$17),AH!$P$7-1+MATCH($A2644,INDEX('AH History'!$A$1:$A$18046,AH!$P$7):INDEX('AH History'!$A$1:$A$18046,AH!$P$7+AH!$P$8-1),0),0),0)</ns0:f>
        <ns0:v/>
      </ns0:c>
      <ns0:c r="I2644">
        <ns0:f>IF($H2644=0,0,IFERROR(IF(AND(ABS($C2644-INDEX('AH History'!$B$1:$B$18046,$H2644))&lt;=MAX(0.005,ABS(INDEX('AH History'!$B$1:$B$18046,$H2644))*0.00005),ABS($D2644-INDEX('AH History'!$C$1:$C$18046,$H2644))&lt;=MAX(0.005,ABS(INDEX('AH History'!$C$1:$C$18046,$H2644))*0.00005),ABS($E2644-INDEX('AH History'!$D$1:$D$18046,$H2644))&lt;=0.00005,$F2644=INDEX('AH History'!$E$1:$E$18046,$H2644),$G2644=INDEX('AH History'!$F$1:$F$18046,$H2644)),1,-1),-1))</ns0:f>
        <ns0:v/>
      </ns0:c>
    </ns0:row>
    <ns0:row r="2645">
      <ns0:c r="A2645" s="215">
        <ns0:f>IF(OR(AH!$P$3=0,2640+1&gt;AH!$P$11,AND(AH!$E$4&lt;&gt;"Stored",AH!$P$10&lt;&gt;1)),"",IFERROR(IF(AND(AH!$P$21=1,2640+1=AH!$P$11),TODAY(),IF(AH!$P$10=1,INDEX('Live History'!$A$5:$A$3004,AH!$P$13+2640),INDEX('AH History'!$A$1:$A$18046,AH!$P$7+2640))),""))</ns0:f>
        <ns0:v/>
      </ns0:c>
      <ns0:c r="B2645" s="219">
        <ns0:f>IFERROR(IF(AND(AH!$P$9&lt;&gt;1,$C2645&gt;0,$D2645&gt;0,$E2645&gt;0,$F2645&gt;0,$G2645&gt;0,$F2645&lt;=$A2645,$G2645&lt;=$A2645,$A2645-$F2645&lt;=10,$A2645-$G2645&lt;=5),$D2645*$E2645/$C2645-1,NA()),NA())</ns0:f>
        <ns0:v/>
      </ns0:c>
      <ns0:c r="C2645">
        <ns0:f>IFERROR(IF(ISNUMBER($A2645),IF(AND(AH!$P$10=1,AH!$P$12=1,$A2645=TODAY()),AH!$P$19,IF(AH!$P$10=1,INDEX('Live History'!$B$5:$B$3004,AH!$P$13+2640),INDEX('AH History'!$B$1:$B$18046,AH!$P$7+2640))),NA()),NA())</ns0:f>
        <ns0:v/>
      </ns0:c>
      <ns0:c r="D2645">
        <ns0:f>IFERROR(IF(ISNUMBER($A2645),IF(AND(AH!$P$10=1,AH!$P$12=1,$A2645=TODAY()),AH!$P$18,IF(AH!$P$10=1,INDEX('Live History'!$E$5:$E$3004,MATCH($A2645,'Live History'!$D$5:$D$3004,1)),INDEX('AH History'!$C$1:$C$18046,AH!$P$7+2640))),NA()),NA())</ns0:f>
        <ns0:v/>
      </ns0:c>
      <ns0:c r="E2645">
        <ns0:f>IFERROR(IF(ISNUMBER($A2645),IF(AND(AH!$P$10=1,AH!$P$12=1,$A2645=TODAY()),AH!$P$20,IF(AH!$P$10=1,INDEX('Live History'!$H$5:$H$3004,MATCH($A2645,'Live History'!$G$5:$G$3004,1)),INDEX('AH History'!$D$1:$D$18046,AH!$P$7+2640))),NA()),NA())</ns0:f>
        <ns0:v/>
      </ns0:c>
      <ns0:c r="F2645">
        <ns0:f>IFERROR(IF(ISNUMBER($A2645),IF(AND(AH!$P$10=1,AH!$P$12=1,$A2645=TODAY()),IF(AND(AH!$P$10=1,AH!$P$12=1,$A2645=TODAY()),TODAY(),NA()),IF(AH!$P$10=1,INDEX('Live History'!$D$5:$D$3004,MATCH($A2645,'Live History'!$D$5:$D$3004,1)),INDEX('AH History'!$E$1:$E$18046,AH!$P$7+2640))),NA()),NA())</ns0:f>
        <ns0:v/>
      </ns0:c>
      <ns0:c r="G2645">
        <ns0:f>IFERROR(IF(ISNUMBER($A2645),IF(AND(AH!$P$10=1,AH!$P$12=1,$A2645=TODAY()),IF(AND(AH!$P$10=1,AH!$P$12=1,$A2645=TODAY()),TODAY(),NA()),IF(AH!$P$10=1,INDEX('Live History'!$G$5:$G$3004,MATCH($A2645,'Live History'!$G$5:$G$3004,1)),INDEX('AH History'!$F$1:$F$18046,AH!$P$7+2640))),NA()),NA())</ns0:f>
        <ns0:v/>
      </ns0:c>
      <ns0:c r="H2645">
        <ns0:f>IFERROR(IF(AND(AH!$E$4="Bloomberg",AH!$P$10=1,ISNUMBER($A2645),$A2645&lt;=AH!$P$17),AH!$P$7-1+MATCH($A2645,INDEX('AH History'!$A$1:$A$18046,AH!$P$7):INDEX('AH History'!$A$1:$A$18046,AH!$P$7+AH!$P$8-1),0),0),0)</ns0:f>
        <ns0:v/>
      </ns0:c>
      <ns0:c r="I2645">
        <ns0:f>IF($H2645=0,0,IFERROR(IF(AND(ABS($C2645-INDEX('AH History'!$B$1:$B$18046,$H2645))&lt;=MAX(0.005,ABS(INDEX('AH History'!$B$1:$B$18046,$H2645))*0.00005),ABS($D2645-INDEX('AH History'!$C$1:$C$18046,$H2645))&lt;=MAX(0.005,ABS(INDEX('AH History'!$C$1:$C$18046,$H2645))*0.00005),ABS($E2645-INDEX('AH History'!$D$1:$D$18046,$H2645))&lt;=0.00005,$F2645=INDEX('AH History'!$E$1:$E$18046,$H2645),$G2645=INDEX('AH History'!$F$1:$F$18046,$H2645)),1,-1),-1))</ns0:f>
        <ns0:v/>
      </ns0:c>
    </ns0:row>
    <ns0:row r="2646">
      <ns0:c r="A2646" s="215">
        <ns0:f>IF(OR(AH!$P$3=0,2641+1&gt;AH!$P$11,AND(AH!$E$4&lt;&gt;"Stored",AH!$P$10&lt;&gt;1)),"",IFERROR(IF(AND(AH!$P$21=1,2641+1=AH!$P$11),TODAY(),IF(AH!$P$10=1,INDEX('Live History'!$A$5:$A$3004,AH!$P$13+2641),INDEX('AH History'!$A$1:$A$18046,AH!$P$7+2641))),""))</ns0:f>
        <ns0:v/>
      </ns0:c>
      <ns0:c r="B2646" s="219">
        <ns0:f>IFERROR(IF(AND(AH!$P$9&lt;&gt;1,$C2646&gt;0,$D2646&gt;0,$E2646&gt;0,$F2646&gt;0,$G2646&gt;0,$F2646&lt;=$A2646,$G2646&lt;=$A2646,$A2646-$F2646&lt;=10,$A2646-$G2646&lt;=5),$D2646*$E2646/$C2646-1,NA()),NA())</ns0:f>
        <ns0:v/>
      </ns0:c>
      <ns0:c r="C2646">
        <ns0:f>IFERROR(IF(ISNUMBER($A2646),IF(AND(AH!$P$10=1,AH!$P$12=1,$A2646=TODAY()),AH!$P$19,IF(AH!$P$10=1,INDEX('Live History'!$B$5:$B$3004,AH!$P$13+2641),INDEX('AH History'!$B$1:$B$18046,AH!$P$7+2641))),NA()),NA())</ns0:f>
        <ns0:v/>
      </ns0:c>
      <ns0:c r="D2646">
        <ns0:f>IFERROR(IF(ISNUMBER($A2646),IF(AND(AH!$P$10=1,AH!$P$12=1,$A2646=TODAY()),AH!$P$18,IF(AH!$P$10=1,INDEX('Live History'!$E$5:$E$3004,MATCH($A2646,'Live History'!$D$5:$D$3004,1)),INDEX('AH History'!$C$1:$C$18046,AH!$P$7+2641))),NA()),NA())</ns0:f>
        <ns0:v/>
      </ns0:c>
      <ns0:c r="E2646">
        <ns0:f>IFERROR(IF(ISNUMBER($A2646),IF(AND(AH!$P$10=1,AH!$P$12=1,$A2646=TODAY()),AH!$P$20,IF(AH!$P$10=1,INDEX('Live History'!$H$5:$H$3004,MATCH($A2646,'Live History'!$G$5:$G$3004,1)),INDEX('AH History'!$D$1:$D$18046,AH!$P$7+2641))),NA()),NA())</ns0:f>
        <ns0:v/>
      </ns0:c>
      <ns0:c r="F2646">
        <ns0:f>IFERROR(IF(ISNUMBER($A2646),IF(AND(AH!$P$10=1,AH!$P$12=1,$A2646=TODAY()),IF(AND(AH!$P$10=1,AH!$P$12=1,$A2646=TODAY()),TODAY(),NA()),IF(AH!$P$10=1,INDEX('Live History'!$D$5:$D$3004,MATCH($A2646,'Live History'!$D$5:$D$3004,1)),INDEX('AH History'!$E$1:$E$18046,AH!$P$7+2641))),NA()),NA())</ns0:f>
        <ns0:v/>
      </ns0:c>
      <ns0:c r="G2646">
        <ns0:f>IFERROR(IF(ISNUMBER($A2646),IF(AND(AH!$P$10=1,AH!$P$12=1,$A2646=TODAY()),IF(AND(AH!$P$10=1,AH!$P$12=1,$A2646=TODAY()),TODAY(),NA()),IF(AH!$P$10=1,INDEX('Live History'!$G$5:$G$3004,MATCH($A2646,'Live History'!$G$5:$G$3004,1)),INDEX('AH History'!$F$1:$F$18046,AH!$P$7+2641))),NA()),NA())</ns0:f>
        <ns0:v/>
      </ns0:c>
      <ns0:c r="H2646">
        <ns0:f>IFERROR(IF(AND(AH!$E$4="Bloomberg",AH!$P$10=1,ISNUMBER($A2646),$A2646&lt;=AH!$P$17),AH!$P$7-1+MATCH($A2646,INDEX('AH History'!$A$1:$A$18046,AH!$P$7):INDEX('AH History'!$A$1:$A$18046,AH!$P$7+AH!$P$8-1),0),0),0)</ns0:f>
        <ns0:v/>
      </ns0:c>
      <ns0:c r="I2646">
        <ns0:f>IF($H2646=0,0,IFERROR(IF(AND(ABS($C2646-INDEX('AH History'!$B$1:$B$18046,$H2646))&lt;=MAX(0.005,ABS(INDEX('AH History'!$B$1:$B$18046,$H2646))*0.00005),ABS($D2646-INDEX('AH History'!$C$1:$C$18046,$H2646))&lt;=MAX(0.005,ABS(INDEX('AH History'!$C$1:$C$18046,$H2646))*0.00005),ABS($E2646-INDEX('AH History'!$D$1:$D$18046,$H2646))&lt;=0.00005,$F2646=INDEX('AH History'!$E$1:$E$18046,$H2646),$G2646=INDEX('AH History'!$F$1:$F$18046,$H2646)),1,-1),-1))</ns0:f>
        <ns0:v/>
      </ns0:c>
    </ns0:row>
    <ns0:row r="2647">
      <ns0:c r="A2647" s="215">
        <ns0:f>IF(OR(AH!$P$3=0,2642+1&gt;AH!$P$11,AND(AH!$E$4&lt;&gt;"Stored",AH!$P$10&lt;&gt;1)),"",IFERROR(IF(AND(AH!$P$21=1,2642+1=AH!$P$11),TODAY(),IF(AH!$P$10=1,INDEX('Live History'!$A$5:$A$3004,AH!$P$13+2642),INDEX('AH History'!$A$1:$A$18046,AH!$P$7+2642))),""))</ns0:f>
        <ns0:v/>
      </ns0:c>
      <ns0:c r="B2647" s="219">
        <ns0:f>IFERROR(IF(AND(AH!$P$9&lt;&gt;1,$C2647&gt;0,$D2647&gt;0,$E2647&gt;0,$F2647&gt;0,$G2647&gt;0,$F2647&lt;=$A2647,$G2647&lt;=$A2647,$A2647-$F2647&lt;=10,$A2647-$G2647&lt;=5),$D2647*$E2647/$C2647-1,NA()),NA())</ns0:f>
        <ns0:v/>
      </ns0:c>
      <ns0:c r="C2647">
        <ns0:f>IFERROR(IF(ISNUMBER($A2647),IF(AND(AH!$P$10=1,AH!$P$12=1,$A2647=TODAY()),AH!$P$19,IF(AH!$P$10=1,INDEX('Live History'!$B$5:$B$3004,AH!$P$13+2642),INDEX('AH History'!$B$1:$B$18046,AH!$P$7+2642))),NA()),NA())</ns0:f>
        <ns0:v/>
      </ns0:c>
      <ns0:c r="D2647">
        <ns0:f>IFERROR(IF(ISNUMBER($A2647),IF(AND(AH!$P$10=1,AH!$P$12=1,$A2647=TODAY()),AH!$P$18,IF(AH!$P$10=1,INDEX('Live History'!$E$5:$E$3004,MATCH($A2647,'Live History'!$D$5:$D$3004,1)),INDEX('AH History'!$C$1:$C$18046,AH!$P$7+2642))),NA()),NA())</ns0:f>
        <ns0:v/>
      </ns0:c>
      <ns0:c r="E2647">
        <ns0:f>IFERROR(IF(ISNUMBER($A2647),IF(AND(AH!$P$10=1,AH!$P$12=1,$A2647=TODAY()),AH!$P$20,IF(AH!$P$10=1,INDEX('Live History'!$H$5:$H$3004,MATCH($A2647,'Live History'!$G$5:$G$3004,1)),INDEX('AH History'!$D$1:$D$18046,AH!$P$7+2642))),NA()),NA())</ns0:f>
        <ns0:v/>
      </ns0:c>
      <ns0:c r="F2647">
        <ns0:f>IFERROR(IF(ISNUMBER($A2647),IF(AND(AH!$P$10=1,AH!$P$12=1,$A2647=TODAY()),IF(AND(AH!$P$10=1,AH!$P$12=1,$A2647=TODAY()),TODAY(),NA()),IF(AH!$P$10=1,INDEX('Live History'!$D$5:$D$3004,MATCH($A2647,'Live History'!$D$5:$D$3004,1)),INDEX('AH History'!$E$1:$E$18046,AH!$P$7+2642))),NA()),NA())</ns0:f>
        <ns0:v/>
      </ns0:c>
      <ns0:c r="G2647">
        <ns0:f>IFERROR(IF(ISNUMBER($A2647),IF(AND(AH!$P$10=1,AH!$P$12=1,$A2647=TODAY()),IF(AND(AH!$P$10=1,AH!$P$12=1,$A2647=TODAY()),TODAY(),NA()),IF(AH!$P$10=1,INDEX('Live History'!$G$5:$G$3004,MATCH($A2647,'Live History'!$G$5:$G$3004,1)),INDEX('AH History'!$F$1:$F$18046,AH!$P$7+2642))),NA()),NA())</ns0:f>
        <ns0:v/>
      </ns0:c>
      <ns0:c r="H2647">
        <ns0:f>IFERROR(IF(AND(AH!$E$4="Bloomberg",AH!$P$10=1,ISNUMBER($A2647),$A2647&lt;=AH!$P$17),AH!$P$7-1+MATCH($A2647,INDEX('AH History'!$A$1:$A$18046,AH!$P$7):INDEX('AH History'!$A$1:$A$18046,AH!$P$7+AH!$P$8-1),0),0),0)</ns0:f>
        <ns0:v/>
      </ns0:c>
      <ns0:c r="I2647">
        <ns0:f>IF($H2647=0,0,IFERROR(IF(AND(ABS($C2647-INDEX('AH History'!$B$1:$B$18046,$H2647))&lt;=MAX(0.005,ABS(INDEX('AH History'!$B$1:$B$18046,$H2647))*0.00005),ABS($D2647-INDEX('AH History'!$C$1:$C$18046,$H2647))&lt;=MAX(0.005,ABS(INDEX('AH History'!$C$1:$C$18046,$H2647))*0.00005),ABS($E2647-INDEX('AH History'!$D$1:$D$18046,$H2647))&lt;=0.00005,$F2647=INDEX('AH History'!$E$1:$E$18046,$H2647),$G2647=INDEX('AH History'!$F$1:$F$18046,$H2647)),1,-1),-1))</ns0:f>
        <ns0:v/>
      </ns0:c>
    </ns0:row>
    <ns0:row r="2648">
      <ns0:c r="A2648" s="215">
        <ns0:f>IF(OR(AH!$P$3=0,2643+1&gt;AH!$P$11,AND(AH!$E$4&lt;&gt;"Stored",AH!$P$10&lt;&gt;1)),"",IFERROR(IF(AND(AH!$P$21=1,2643+1=AH!$P$11),TODAY(),IF(AH!$P$10=1,INDEX('Live History'!$A$5:$A$3004,AH!$P$13+2643),INDEX('AH History'!$A$1:$A$18046,AH!$P$7+2643))),""))</ns0:f>
        <ns0:v/>
      </ns0:c>
      <ns0:c r="B2648" s="219">
        <ns0:f>IFERROR(IF(AND(AH!$P$9&lt;&gt;1,$C2648&gt;0,$D2648&gt;0,$E2648&gt;0,$F2648&gt;0,$G2648&gt;0,$F2648&lt;=$A2648,$G2648&lt;=$A2648,$A2648-$F2648&lt;=10,$A2648-$G2648&lt;=5),$D2648*$E2648/$C2648-1,NA()),NA())</ns0:f>
        <ns0:v/>
      </ns0:c>
      <ns0:c r="C2648">
        <ns0:f>IFERROR(IF(ISNUMBER($A2648),IF(AND(AH!$P$10=1,AH!$P$12=1,$A2648=TODAY()),AH!$P$19,IF(AH!$P$10=1,INDEX('Live History'!$B$5:$B$3004,AH!$P$13+2643),INDEX('AH History'!$B$1:$B$18046,AH!$P$7+2643))),NA()),NA())</ns0:f>
        <ns0:v/>
      </ns0:c>
      <ns0:c r="D2648">
        <ns0:f>IFERROR(IF(ISNUMBER($A2648),IF(AND(AH!$P$10=1,AH!$P$12=1,$A2648=TODAY()),AH!$P$18,IF(AH!$P$10=1,INDEX('Live History'!$E$5:$E$3004,MATCH($A2648,'Live History'!$D$5:$D$3004,1)),INDEX('AH History'!$C$1:$C$18046,AH!$P$7+2643))),NA()),NA())</ns0:f>
        <ns0:v/>
      </ns0:c>
      <ns0:c r="E2648">
        <ns0:f>IFERROR(IF(ISNUMBER($A2648),IF(AND(AH!$P$10=1,AH!$P$12=1,$A2648=TODAY()),AH!$P$20,IF(AH!$P$10=1,INDEX('Live History'!$H$5:$H$3004,MATCH($A2648,'Live History'!$G$5:$G$3004,1)),INDEX('AH History'!$D$1:$D$18046,AH!$P$7+2643))),NA()),NA())</ns0:f>
        <ns0:v/>
      </ns0:c>
      <ns0:c r="F2648">
        <ns0:f>IFERROR(IF(ISNUMBER($A2648),IF(AND(AH!$P$10=1,AH!$P$12=1,$A2648=TODAY()),IF(AND(AH!$P$10=1,AH!$P$12=1,$A2648=TODAY()),TODAY(),NA()),IF(AH!$P$10=1,INDEX('Live History'!$D$5:$D$3004,MATCH($A2648,'Live History'!$D$5:$D$3004,1)),INDEX('AH History'!$E$1:$E$18046,AH!$P$7+2643))),NA()),NA())</ns0:f>
        <ns0:v/>
      </ns0:c>
      <ns0:c r="G2648">
        <ns0:f>IFERROR(IF(ISNUMBER($A2648),IF(AND(AH!$P$10=1,AH!$P$12=1,$A2648=TODAY()),IF(AND(AH!$P$10=1,AH!$P$12=1,$A2648=TODAY()),TODAY(),NA()),IF(AH!$P$10=1,INDEX('Live History'!$G$5:$G$3004,MATCH($A2648,'Live History'!$G$5:$G$3004,1)),INDEX('AH History'!$F$1:$F$18046,AH!$P$7+2643))),NA()),NA())</ns0:f>
        <ns0:v/>
      </ns0:c>
      <ns0:c r="H2648">
        <ns0:f>IFERROR(IF(AND(AH!$E$4="Bloomberg",AH!$P$10=1,ISNUMBER($A2648),$A2648&lt;=AH!$P$17),AH!$P$7-1+MATCH($A2648,INDEX('AH History'!$A$1:$A$18046,AH!$P$7):INDEX('AH History'!$A$1:$A$18046,AH!$P$7+AH!$P$8-1),0),0),0)</ns0:f>
        <ns0:v/>
      </ns0:c>
      <ns0:c r="I2648">
        <ns0:f>IF($H2648=0,0,IFERROR(IF(AND(ABS($C2648-INDEX('AH History'!$B$1:$B$18046,$H2648))&lt;=MAX(0.005,ABS(INDEX('AH History'!$B$1:$B$18046,$H2648))*0.00005),ABS($D2648-INDEX('AH History'!$C$1:$C$18046,$H2648))&lt;=MAX(0.005,ABS(INDEX('AH History'!$C$1:$C$18046,$H2648))*0.00005),ABS($E2648-INDEX('AH History'!$D$1:$D$18046,$H2648))&lt;=0.00005,$F2648=INDEX('AH History'!$E$1:$E$18046,$H2648),$G2648=INDEX('AH History'!$F$1:$F$18046,$H2648)),1,-1),-1))</ns0:f>
        <ns0:v/>
      </ns0:c>
    </ns0:row>
    <ns0:row r="2649">
      <ns0:c r="A2649" s="215">
        <ns0:f>IF(OR(AH!$P$3=0,2644+1&gt;AH!$P$11,AND(AH!$E$4&lt;&gt;"Stored",AH!$P$10&lt;&gt;1)),"",IFERROR(IF(AND(AH!$P$21=1,2644+1=AH!$P$11),TODAY(),IF(AH!$P$10=1,INDEX('Live History'!$A$5:$A$3004,AH!$P$13+2644),INDEX('AH History'!$A$1:$A$18046,AH!$P$7+2644))),""))</ns0:f>
        <ns0:v/>
      </ns0:c>
      <ns0:c r="B2649" s="219">
        <ns0:f>IFERROR(IF(AND(AH!$P$9&lt;&gt;1,$C2649&gt;0,$D2649&gt;0,$E2649&gt;0,$F2649&gt;0,$G2649&gt;0,$F2649&lt;=$A2649,$G2649&lt;=$A2649,$A2649-$F2649&lt;=10,$A2649-$G2649&lt;=5),$D2649*$E2649/$C2649-1,NA()),NA())</ns0:f>
        <ns0:v/>
      </ns0:c>
      <ns0:c r="C2649">
        <ns0:f>IFERROR(IF(ISNUMBER($A2649),IF(AND(AH!$P$10=1,AH!$P$12=1,$A2649=TODAY()),AH!$P$19,IF(AH!$P$10=1,INDEX('Live History'!$B$5:$B$3004,AH!$P$13+2644),INDEX('AH History'!$B$1:$B$18046,AH!$P$7+2644))),NA()),NA())</ns0:f>
        <ns0:v/>
      </ns0:c>
      <ns0:c r="D2649">
        <ns0:f>IFERROR(IF(ISNUMBER($A2649),IF(AND(AH!$P$10=1,AH!$P$12=1,$A2649=TODAY()),AH!$P$18,IF(AH!$P$10=1,INDEX('Live History'!$E$5:$E$3004,MATCH($A2649,'Live History'!$D$5:$D$3004,1)),INDEX('AH History'!$C$1:$C$18046,AH!$P$7+2644))),NA()),NA())</ns0:f>
        <ns0:v/>
      </ns0:c>
      <ns0:c r="E2649">
        <ns0:f>IFERROR(IF(ISNUMBER($A2649),IF(AND(AH!$P$10=1,AH!$P$12=1,$A2649=TODAY()),AH!$P$20,IF(AH!$P$10=1,INDEX('Live History'!$H$5:$H$3004,MATCH($A2649,'Live History'!$G$5:$G$3004,1)),INDEX('AH History'!$D$1:$D$18046,AH!$P$7+2644))),NA()),NA())</ns0:f>
        <ns0:v/>
      </ns0:c>
      <ns0:c r="F2649">
        <ns0:f>IFERROR(IF(ISNUMBER($A2649),IF(AND(AH!$P$10=1,AH!$P$12=1,$A2649=TODAY()),IF(AND(AH!$P$10=1,AH!$P$12=1,$A2649=TODAY()),TODAY(),NA()),IF(AH!$P$10=1,INDEX('Live History'!$D$5:$D$3004,MATCH($A2649,'Live History'!$D$5:$D$3004,1)),INDEX('AH History'!$E$1:$E$18046,AH!$P$7+2644))),NA()),NA())</ns0:f>
        <ns0:v/>
      </ns0:c>
      <ns0:c r="G2649">
        <ns0:f>IFERROR(IF(ISNUMBER($A2649),IF(AND(AH!$P$10=1,AH!$P$12=1,$A2649=TODAY()),IF(AND(AH!$P$10=1,AH!$P$12=1,$A2649=TODAY()),TODAY(),NA()),IF(AH!$P$10=1,INDEX('Live History'!$G$5:$G$3004,MATCH($A2649,'Live History'!$G$5:$G$3004,1)),INDEX('AH History'!$F$1:$F$18046,AH!$P$7+2644))),NA()),NA())</ns0:f>
        <ns0:v/>
      </ns0:c>
      <ns0:c r="H2649">
        <ns0:f>IFERROR(IF(AND(AH!$E$4="Bloomberg",AH!$P$10=1,ISNUMBER($A2649),$A2649&lt;=AH!$P$17),AH!$P$7-1+MATCH($A2649,INDEX('AH History'!$A$1:$A$18046,AH!$P$7):INDEX('AH History'!$A$1:$A$18046,AH!$P$7+AH!$P$8-1),0),0),0)</ns0:f>
        <ns0:v/>
      </ns0:c>
      <ns0:c r="I2649">
        <ns0:f>IF($H2649=0,0,IFERROR(IF(AND(ABS($C2649-INDEX('AH History'!$B$1:$B$18046,$H2649))&lt;=MAX(0.005,ABS(INDEX('AH History'!$B$1:$B$18046,$H2649))*0.00005),ABS($D2649-INDEX('AH History'!$C$1:$C$18046,$H2649))&lt;=MAX(0.005,ABS(INDEX('AH History'!$C$1:$C$18046,$H2649))*0.00005),ABS($E2649-INDEX('AH History'!$D$1:$D$18046,$H2649))&lt;=0.00005,$F2649=INDEX('AH History'!$E$1:$E$18046,$H2649),$G2649=INDEX('AH History'!$F$1:$F$18046,$H2649)),1,-1),-1))</ns0:f>
        <ns0:v/>
      </ns0:c>
    </ns0:row>
    <ns0:row r="2650">
      <ns0:c r="A2650" s="215">
        <ns0:f>IF(OR(AH!$P$3=0,2645+1&gt;AH!$P$11,AND(AH!$E$4&lt;&gt;"Stored",AH!$P$10&lt;&gt;1)),"",IFERROR(IF(AND(AH!$P$21=1,2645+1=AH!$P$11),TODAY(),IF(AH!$P$10=1,INDEX('Live History'!$A$5:$A$3004,AH!$P$13+2645),INDEX('AH History'!$A$1:$A$18046,AH!$P$7+2645))),""))</ns0:f>
        <ns0:v/>
      </ns0:c>
      <ns0:c r="B2650" s="219">
        <ns0:f>IFERROR(IF(AND(AH!$P$9&lt;&gt;1,$C2650&gt;0,$D2650&gt;0,$E2650&gt;0,$F2650&gt;0,$G2650&gt;0,$F2650&lt;=$A2650,$G2650&lt;=$A2650,$A2650-$F2650&lt;=10,$A2650-$G2650&lt;=5),$D2650*$E2650/$C2650-1,NA()),NA())</ns0:f>
        <ns0:v/>
      </ns0:c>
      <ns0:c r="C2650">
        <ns0:f>IFERROR(IF(ISNUMBER($A2650),IF(AND(AH!$P$10=1,AH!$P$12=1,$A2650=TODAY()),AH!$P$19,IF(AH!$P$10=1,INDEX('Live History'!$B$5:$B$3004,AH!$P$13+2645),INDEX('AH History'!$B$1:$B$18046,AH!$P$7+2645))),NA()),NA())</ns0:f>
        <ns0:v/>
      </ns0:c>
      <ns0:c r="D2650">
        <ns0:f>IFERROR(IF(ISNUMBER($A2650),IF(AND(AH!$P$10=1,AH!$P$12=1,$A2650=TODAY()),AH!$P$18,IF(AH!$P$10=1,INDEX('Live History'!$E$5:$E$3004,MATCH($A2650,'Live History'!$D$5:$D$3004,1)),INDEX('AH History'!$C$1:$C$18046,AH!$P$7+2645))),NA()),NA())</ns0:f>
        <ns0:v/>
      </ns0:c>
      <ns0:c r="E2650">
        <ns0:f>IFERROR(IF(ISNUMBER($A2650),IF(AND(AH!$P$10=1,AH!$P$12=1,$A2650=TODAY()),AH!$P$20,IF(AH!$P$10=1,INDEX('Live History'!$H$5:$H$3004,MATCH($A2650,'Live History'!$G$5:$G$3004,1)),INDEX('AH History'!$D$1:$D$18046,AH!$P$7+2645))),NA()),NA())</ns0:f>
        <ns0:v/>
      </ns0:c>
      <ns0:c r="F2650">
        <ns0:f>IFERROR(IF(ISNUMBER($A2650),IF(AND(AH!$P$10=1,AH!$P$12=1,$A2650=TODAY()),IF(AND(AH!$P$10=1,AH!$P$12=1,$A2650=TODAY()),TODAY(),NA()),IF(AH!$P$10=1,INDEX('Live History'!$D$5:$D$3004,MATCH($A2650,'Live History'!$D$5:$D$3004,1)),INDEX('AH History'!$E$1:$E$18046,AH!$P$7+2645))),NA()),NA())</ns0:f>
        <ns0:v/>
      </ns0:c>
      <ns0:c r="G2650">
        <ns0:f>IFERROR(IF(ISNUMBER($A2650),IF(AND(AH!$P$10=1,AH!$P$12=1,$A2650=TODAY()),IF(AND(AH!$P$10=1,AH!$P$12=1,$A2650=TODAY()),TODAY(),NA()),IF(AH!$P$10=1,INDEX('Live History'!$G$5:$G$3004,MATCH($A2650,'Live History'!$G$5:$G$3004,1)),INDEX('AH History'!$F$1:$F$18046,AH!$P$7+2645))),NA()),NA())</ns0:f>
        <ns0:v/>
      </ns0:c>
      <ns0:c r="H2650">
        <ns0:f>IFERROR(IF(AND(AH!$E$4="Bloomberg",AH!$P$10=1,ISNUMBER($A2650),$A2650&lt;=AH!$P$17),AH!$P$7-1+MATCH($A2650,INDEX('AH History'!$A$1:$A$18046,AH!$P$7):INDEX('AH History'!$A$1:$A$18046,AH!$P$7+AH!$P$8-1),0),0),0)</ns0:f>
        <ns0:v/>
      </ns0:c>
      <ns0:c r="I2650">
        <ns0:f>IF($H2650=0,0,IFERROR(IF(AND(ABS($C2650-INDEX('AH History'!$B$1:$B$18046,$H2650))&lt;=MAX(0.005,ABS(INDEX('AH History'!$B$1:$B$18046,$H2650))*0.00005),ABS($D2650-INDEX('AH History'!$C$1:$C$18046,$H2650))&lt;=MAX(0.005,ABS(INDEX('AH History'!$C$1:$C$18046,$H2650))*0.00005),ABS($E2650-INDEX('AH History'!$D$1:$D$18046,$H2650))&lt;=0.00005,$F2650=INDEX('AH History'!$E$1:$E$18046,$H2650),$G2650=INDEX('AH History'!$F$1:$F$18046,$H2650)),1,-1),-1))</ns0:f>
        <ns0:v/>
      </ns0:c>
    </ns0:row>
    <ns0:row r="2651">
      <ns0:c r="A2651" s="215">
        <ns0:f>IF(OR(AH!$P$3=0,2646+1&gt;AH!$P$11,AND(AH!$E$4&lt;&gt;"Stored",AH!$P$10&lt;&gt;1)),"",IFERROR(IF(AND(AH!$P$21=1,2646+1=AH!$P$11),TODAY(),IF(AH!$P$10=1,INDEX('Live History'!$A$5:$A$3004,AH!$P$13+2646),INDEX('AH History'!$A$1:$A$18046,AH!$P$7+2646))),""))</ns0:f>
        <ns0:v/>
      </ns0:c>
      <ns0:c r="B2651" s="219">
        <ns0:f>IFERROR(IF(AND(AH!$P$9&lt;&gt;1,$C2651&gt;0,$D2651&gt;0,$E2651&gt;0,$F2651&gt;0,$G2651&gt;0,$F2651&lt;=$A2651,$G2651&lt;=$A2651,$A2651-$F2651&lt;=10,$A2651-$G2651&lt;=5),$D2651*$E2651/$C2651-1,NA()),NA())</ns0:f>
        <ns0:v/>
      </ns0:c>
      <ns0:c r="C2651">
        <ns0:f>IFERROR(IF(ISNUMBER($A2651),IF(AND(AH!$P$10=1,AH!$P$12=1,$A2651=TODAY()),AH!$P$19,IF(AH!$P$10=1,INDEX('Live History'!$B$5:$B$3004,AH!$P$13+2646),INDEX('AH History'!$B$1:$B$18046,AH!$P$7+2646))),NA()),NA())</ns0:f>
        <ns0:v/>
      </ns0:c>
      <ns0:c r="D2651">
        <ns0:f>IFERROR(IF(ISNUMBER($A2651),IF(AND(AH!$P$10=1,AH!$P$12=1,$A2651=TODAY()),AH!$P$18,IF(AH!$P$10=1,INDEX('Live History'!$E$5:$E$3004,MATCH($A2651,'Live History'!$D$5:$D$3004,1)),INDEX('AH History'!$C$1:$C$18046,AH!$P$7+2646))),NA()),NA())</ns0:f>
        <ns0:v/>
      </ns0:c>
      <ns0:c r="E2651">
        <ns0:f>IFERROR(IF(ISNUMBER($A2651),IF(AND(AH!$P$10=1,AH!$P$12=1,$A2651=TODAY()),AH!$P$20,IF(AH!$P$10=1,INDEX('Live History'!$H$5:$H$3004,MATCH($A2651,'Live History'!$G$5:$G$3004,1)),INDEX('AH History'!$D$1:$D$18046,AH!$P$7+2646))),NA()),NA())</ns0:f>
        <ns0:v/>
      </ns0:c>
      <ns0:c r="F2651">
        <ns0:f>IFERROR(IF(ISNUMBER($A2651),IF(AND(AH!$P$10=1,AH!$P$12=1,$A2651=TODAY()),IF(AND(AH!$P$10=1,AH!$P$12=1,$A2651=TODAY()),TODAY(),NA()),IF(AH!$P$10=1,INDEX('Live History'!$D$5:$D$3004,MATCH($A2651,'Live History'!$D$5:$D$3004,1)),INDEX('AH History'!$E$1:$E$18046,AH!$P$7+2646))),NA()),NA())</ns0:f>
        <ns0:v/>
      </ns0:c>
      <ns0:c r="G2651">
        <ns0:f>IFERROR(IF(ISNUMBER($A2651),IF(AND(AH!$P$10=1,AH!$P$12=1,$A2651=TODAY()),IF(AND(AH!$P$10=1,AH!$P$12=1,$A2651=TODAY()),TODAY(),NA()),IF(AH!$P$10=1,INDEX('Live History'!$G$5:$G$3004,MATCH($A2651,'Live History'!$G$5:$G$3004,1)),INDEX('AH History'!$F$1:$F$18046,AH!$P$7+2646))),NA()),NA())</ns0:f>
        <ns0:v/>
      </ns0:c>
      <ns0:c r="H2651">
        <ns0:f>IFERROR(IF(AND(AH!$E$4="Bloomberg",AH!$P$10=1,ISNUMBER($A2651),$A2651&lt;=AH!$P$17),AH!$P$7-1+MATCH($A2651,INDEX('AH History'!$A$1:$A$18046,AH!$P$7):INDEX('AH History'!$A$1:$A$18046,AH!$P$7+AH!$P$8-1),0),0),0)</ns0:f>
        <ns0:v/>
      </ns0:c>
      <ns0:c r="I2651">
        <ns0:f>IF($H2651=0,0,IFERROR(IF(AND(ABS($C2651-INDEX('AH History'!$B$1:$B$18046,$H2651))&lt;=MAX(0.005,ABS(INDEX('AH History'!$B$1:$B$18046,$H2651))*0.00005),ABS($D2651-INDEX('AH History'!$C$1:$C$18046,$H2651))&lt;=MAX(0.005,ABS(INDEX('AH History'!$C$1:$C$18046,$H2651))*0.00005),ABS($E2651-INDEX('AH History'!$D$1:$D$18046,$H2651))&lt;=0.00005,$F2651=INDEX('AH History'!$E$1:$E$18046,$H2651),$G2651=INDEX('AH History'!$F$1:$F$18046,$H2651)),1,-1),-1))</ns0:f>
        <ns0:v/>
      </ns0:c>
    </ns0:row>
    <ns0:row r="2652">
      <ns0:c r="A2652" s="215">
        <ns0:f>IF(OR(AH!$P$3=0,2647+1&gt;AH!$P$11,AND(AH!$E$4&lt;&gt;"Stored",AH!$P$10&lt;&gt;1)),"",IFERROR(IF(AND(AH!$P$21=1,2647+1=AH!$P$11),TODAY(),IF(AH!$P$10=1,INDEX('Live History'!$A$5:$A$3004,AH!$P$13+2647),INDEX('AH History'!$A$1:$A$18046,AH!$P$7+2647))),""))</ns0:f>
        <ns0:v/>
      </ns0:c>
      <ns0:c r="B2652" s="219">
        <ns0:f>IFERROR(IF(AND(AH!$P$9&lt;&gt;1,$C2652&gt;0,$D2652&gt;0,$E2652&gt;0,$F2652&gt;0,$G2652&gt;0,$F2652&lt;=$A2652,$G2652&lt;=$A2652,$A2652-$F2652&lt;=10,$A2652-$G2652&lt;=5),$D2652*$E2652/$C2652-1,NA()),NA())</ns0:f>
        <ns0:v/>
      </ns0:c>
      <ns0:c r="C2652">
        <ns0:f>IFERROR(IF(ISNUMBER($A2652),IF(AND(AH!$P$10=1,AH!$P$12=1,$A2652=TODAY()),AH!$P$19,IF(AH!$P$10=1,INDEX('Live History'!$B$5:$B$3004,AH!$P$13+2647),INDEX('AH History'!$B$1:$B$18046,AH!$P$7+2647))),NA()),NA())</ns0:f>
        <ns0:v/>
      </ns0:c>
      <ns0:c r="D2652">
        <ns0:f>IFERROR(IF(ISNUMBER($A2652),IF(AND(AH!$P$10=1,AH!$P$12=1,$A2652=TODAY()),AH!$P$18,IF(AH!$P$10=1,INDEX('Live History'!$E$5:$E$3004,MATCH($A2652,'Live History'!$D$5:$D$3004,1)),INDEX('AH History'!$C$1:$C$18046,AH!$P$7+2647))),NA()),NA())</ns0:f>
        <ns0:v/>
      </ns0:c>
      <ns0:c r="E2652">
        <ns0:f>IFERROR(IF(ISNUMBER($A2652),IF(AND(AH!$P$10=1,AH!$P$12=1,$A2652=TODAY()),AH!$P$20,IF(AH!$P$10=1,INDEX('Live History'!$H$5:$H$3004,MATCH($A2652,'Live History'!$G$5:$G$3004,1)),INDEX('AH History'!$D$1:$D$18046,AH!$P$7+2647))),NA()),NA())</ns0:f>
        <ns0:v/>
      </ns0:c>
      <ns0:c r="F2652">
        <ns0:f>IFERROR(IF(ISNUMBER($A2652),IF(AND(AH!$P$10=1,AH!$P$12=1,$A2652=TODAY()),IF(AND(AH!$P$10=1,AH!$P$12=1,$A2652=TODAY()),TODAY(),NA()),IF(AH!$P$10=1,INDEX('Live History'!$D$5:$D$3004,MATCH($A2652,'Live History'!$D$5:$D$3004,1)),INDEX('AH History'!$E$1:$E$18046,AH!$P$7+2647))),NA()),NA())</ns0:f>
        <ns0:v/>
      </ns0:c>
      <ns0:c r="G2652">
        <ns0:f>IFERROR(IF(ISNUMBER($A2652),IF(AND(AH!$P$10=1,AH!$P$12=1,$A2652=TODAY()),IF(AND(AH!$P$10=1,AH!$P$12=1,$A2652=TODAY()),TODAY(),NA()),IF(AH!$P$10=1,INDEX('Live History'!$G$5:$G$3004,MATCH($A2652,'Live History'!$G$5:$G$3004,1)),INDEX('AH History'!$F$1:$F$18046,AH!$P$7+2647))),NA()),NA())</ns0:f>
        <ns0:v/>
      </ns0:c>
      <ns0:c r="H2652">
        <ns0:f>IFERROR(IF(AND(AH!$E$4="Bloomberg",AH!$P$10=1,ISNUMBER($A2652),$A2652&lt;=AH!$P$17),AH!$P$7-1+MATCH($A2652,INDEX('AH History'!$A$1:$A$18046,AH!$P$7):INDEX('AH History'!$A$1:$A$18046,AH!$P$7+AH!$P$8-1),0),0),0)</ns0:f>
        <ns0:v/>
      </ns0:c>
      <ns0:c r="I2652">
        <ns0:f>IF($H2652=0,0,IFERROR(IF(AND(ABS($C2652-INDEX('AH History'!$B$1:$B$18046,$H2652))&lt;=MAX(0.005,ABS(INDEX('AH History'!$B$1:$B$18046,$H2652))*0.00005),ABS($D2652-INDEX('AH History'!$C$1:$C$18046,$H2652))&lt;=MAX(0.005,ABS(INDEX('AH History'!$C$1:$C$18046,$H2652))*0.00005),ABS($E2652-INDEX('AH History'!$D$1:$D$18046,$H2652))&lt;=0.00005,$F2652=INDEX('AH History'!$E$1:$E$18046,$H2652),$G2652=INDEX('AH History'!$F$1:$F$18046,$H2652)),1,-1),-1))</ns0:f>
        <ns0:v/>
      </ns0:c>
    </ns0:row>
    <ns0:row r="2653">
      <ns0:c r="A2653" s="215">
        <ns0:f>IF(OR(AH!$P$3=0,2648+1&gt;AH!$P$11,AND(AH!$E$4&lt;&gt;"Stored",AH!$P$10&lt;&gt;1)),"",IFERROR(IF(AND(AH!$P$21=1,2648+1=AH!$P$11),TODAY(),IF(AH!$P$10=1,INDEX('Live History'!$A$5:$A$3004,AH!$P$13+2648),INDEX('AH History'!$A$1:$A$18046,AH!$P$7+2648))),""))</ns0:f>
        <ns0:v/>
      </ns0:c>
      <ns0:c r="B2653" s="219">
        <ns0:f>IFERROR(IF(AND(AH!$P$9&lt;&gt;1,$C2653&gt;0,$D2653&gt;0,$E2653&gt;0,$F2653&gt;0,$G2653&gt;0,$F2653&lt;=$A2653,$G2653&lt;=$A2653,$A2653-$F2653&lt;=10,$A2653-$G2653&lt;=5),$D2653*$E2653/$C2653-1,NA()),NA())</ns0:f>
        <ns0:v/>
      </ns0:c>
      <ns0:c r="C2653">
        <ns0:f>IFERROR(IF(ISNUMBER($A2653),IF(AND(AH!$P$10=1,AH!$P$12=1,$A2653=TODAY()),AH!$P$19,IF(AH!$P$10=1,INDEX('Live History'!$B$5:$B$3004,AH!$P$13+2648),INDEX('AH History'!$B$1:$B$18046,AH!$P$7+2648))),NA()),NA())</ns0:f>
        <ns0:v/>
      </ns0:c>
      <ns0:c r="D2653">
        <ns0:f>IFERROR(IF(ISNUMBER($A2653),IF(AND(AH!$P$10=1,AH!$P$12=1,$A2653=TODAY()),AH!$P$18,IF(AH!$P$10=1,INDEX('Live History'!$E$5:$E$3004,MATCH($A2653,'Live History'!$D$5:$D$3004,1)),INDEX('AH History'!$C$1:$C$18046,AH!$P$7+2648))),NA()),NA())</ns0:f>
        <ns0:v/>
      </ns0:c>
      <ns0:c r="E2653">
        <ns0:f>IFERROR(IF(ISNUMBER($A2653),IF(AND(AH!$P$10=1,AH!$P$12=1,$A2653=TODAY()),AH!$P$20,IF(AH!$P$10=1,INDEX('Live History'!$H$5:$H$3004,MATCH($A2653,'Live History'!$G$5:$G$3004,1)),INDEX('AH History'!$D$1:$D$18046,AH!$P$7+2648))),NA()),NA())</ns0:f>
        <ns0:v/>
      </ns0:c>
      <ns0:c r="F2653">
        <ns0:f>IFERROR(IF(ISNUMBER($A2653),IF(AND(AH!$P$10=1,AH!$P$12=1,$A2653=TODAY()),IF(AND(AH!$P$10=1,AH!$P$12=1,$A2653=TODAY()),TODAY(),NA()),IF(AH!$P$10=1,INDEX('Live History'!$D$5:$D$3004,MATCH($A2653,'Live History'!$D$5:$D$3004,1)),INDEX('AH History'!$E$1:$E$18046,AH!$P$7+2648))),NA()),NA())</ns0:f>
        <ns0:v/>
      </ns0:c>
      <ns0:c r="G2653">
        <ns0:f>IFERROR(IF(ISNUMBER($A2653),IF(AND(AH!$P$10=1,AH!$P$12=1,$A2653=TODAY()),IF(AND(AH!$P$10=1,AH!$P$12=1,$A2653=TODAY()),TODAY(),NA()),IF(AH!$P$10=1,INDEX('Live History'!$G$5:$G$3004,MATCH($A2653,'Live History'!$G$5:$G$3004,1)),INDEX('AH History'!$F$1:$F$18046,AH!$P$7+2648))),NA()),NA())</ns0:f>
        <ns0:v/>
      </ns0:c>
      <ns0:c r="H2653">
        <ns0:f>IFERROR(IF(AND(AH!$E$4="Bloomberg",AH!$P$10=1,ISNUMBER($A2653),$A2653&lt;=AH!$P$17),AH!$P$7-1+MATCH($A2653,INDEX('AH History'!$A$1:$A$18046,AH!$P$7):INDEX('AH History'!$A$1:$A$18046,AH!$P$7+AH!$P$8-1),0),0),0)</ns0:f>
        <ns0:v/>
      </ns0:c>
      <ns0:c r="I2653">
        <ns0:f>IF($H2653=0,0,IFERROR(IF(AND(ABS($C2653-INDEX('AH History'!$B$1:$B$18046,$H2653))&lt;=MAX(0.005,ABS(INDEX('AH History'!$B$1:$B$18046,$H2653))*0.00005),ABS($D2653-INDEX('AH History'!$C$1:$C$18046,$H2653))&lt;=MAX(0.005,ABS(INDEX('AH History'!$C$1:$C$18046,$H2653))*0.00005),ABS($E2653-INDEX('AH History'!$D$1:$D$18046,$H2653))&lt;=0.00005,$F2653=INDEX('AH History'!$E$1:$E$18046,$H2653),$G2653=INDEX('AH History'!$F$1:$F$18046,$H2653)),1,-1),-1))</ns0:f>
        <ns0:v/>
      </ns0:c>
    </ns0:row>
    <ns0:row r="2654">
      <ns0:c r="A2654" s="215">
        <ns0:f>IF(OR(AH!$P$3=0,2649+1&gt;AH!$P$11,AND(AH!$E$4&lt;&gt;"Stored",AH!$P$10&lt;&gt;1)),"",IFERROR(IF(AND(AH!$P$21=1,2649+1=AH!$P$11),TODAY(),IF(AH!$P$10=1,INDEX('Live History'!$A$5:$A$3004,AH!$P$13+2649),INDEX('AH History'!$A$1:$A$18046,AH!$P$7+2649))),""))</ns0:f>
        <ns0:v/>
      </ns0:c>
      <ns0:c r="B2654" s="219">
        <ns0:f>IFERROR(IF(AND(AH!$P$9&lt;&gt;1,$C2654&gt;0,$D2654&gt;0,$E2654&gt;0,$F2654&gt;0,$G2654&gt;0,$F2654&lt;=$A2654,$G2654&lt;=$A2654,$A2654-$F2654&lt;=10,$A2654-$G2654&lt;=5),$D2654*$E2654/$C2654-1,NA()),NA())</ns0:f>
        <ns0:v/>
      </ns0:c>
      <ns0:c r="C2654">
        <ns0:f>IFERROR(IF(ISNUMBER($A2654),IF(AND(AH!$P$10=1,AH!$P$12=1,$A2654=TODAY()),AH!$P$19,IF(AH!$P$10=1,INDEX('Live History'!$B$5:$B$3004,AH!$P$13+2649),INDEX('AH History'!$B$1:$B$18046,AH!$P$7+2649))),NA()),NA())</ns0:f>
        <ns0:v/>
      </ns0:c>
      <ns0:c r="D2654">
        <ns0:f>IFERROR(IF(ISNUMBER($A2654),IF(AND(AH!$P$10=1,AH!$P$12=1,$A2654=TODAY()),AH!$P$18,IF(AH!$P$10=1,INDEX('Live History'!$E$5:$E$3004,MATCH($A2654,'Live History'!$D$5:$D$3004,1)),INDEX('AH History'!$C$1:$C$18046,AH!$P$7+2649))),NA()),NA())</ns0:f>
        <ns0:v/>
      </ns0:c>
      <ns0:c r="E2654">
        <ns0:f>IFERROR(IF(ISNUMBER($A2654),IF(AND(AH!$P$10=1,AH!$P$12=1,$A2654=TODAY()),AH!$P$20,IF(AH!$P$10=1,INDEX('Live History'!$H$5:$H$3004,MATCH($A2654,'Live History'!$G$5:$G$3004,1)),INDEX('AH History'!$D$1:$D$18046,AH!$P$7+2649))),NA()),NA())</ns0:f>
        <ns0:v/>
      </ns0:c>
      <ns0:c r="F2654">
        <ns0:f>IFERROR(IF(ISNUMBER($A2654),IF(AND(AH!$P$10=1,AH!$P$12=1,$A2654=TODAY()),IF(AND(AH!$P$10=1,AH!$P$12=1,$A2654=TODAY()),TODAY(),NA()),IF(AH!$P$10=1,INDEX('Live History'!$D$5:$D$3004,MATCH($A2654,'Live History'!$D$5:$D$3004,1)),INDEX('AH History'!$E$1:$E$18046,AH!$P$7+2649))),NA()),NA())</ns0:f>
        <ns0:v/>
      </ns0:c>
      <ns0:c r="G2654">
        <ns0:f>IFERROR(IF(ISNUMBER($A2654),IF(AND(AH!$P$10=1,AH!$P$12=1,$A2654=TODAY()),IF(AND(AH!$P$10=1,AH!$P$12=1,$A2654=TODAY()),TODAY(),NA()),IF(AH!$P$10=1,INDEX('Live History'!$G$5:$G$3004,MATCH($A2654,'Live History'!$G$5:$G$3004,1)),INDEX('AH History'!$F$1:$F$18046,AH!$P$7+2649))),NA()),NA())</ns0:f>
        <ns0:v/>
      </ns0:c>
      <ns0:c r="H2654">
        <ns0:f>IFERROR(IF(AND(AH!$E$4="Bloomberg",AH!$P$10=1,ISNUMBER($A2654),$A2654&lt;=AH!$P$17),AH!$P$7-1+MATCH($A2654,INDEX('AH History'!$A$1:$A$18046,AH!$P$7):INDEX('AH History'!$A$1:$A$18046,AH!$P$7+AH!$P$8-1),0),0),0)</ns0:f>
        <ns0:v/>
      </ns0:c>
      <ns0:c r="I2654">
        <ns0:f>IF($H2654=0,0,IFERROR(IF(AND(ABS($C2654-INDEX('AH History'!$B$1:$B$18046,$H2654))&lt;=MAX(0.005,ABS(INDEX('AH History'!$B$1:$B$18046,$H2654))*0.00005),ABS($D2654-INDEX('AH History'!$C$1:$C$18046,$H2654))&lt;=MAX(0.005,ABS(INDEX('AH History'!$C$1:$C$18046,$H2654))*0.00005),ABS($E2654-INDEX('AH History'!$D$1:$D$18046,$H2654))&lt;=0.00005,$F2654=INDEX('AH History'!$E$1:$E$18046,$H2654),$G2654=INDEX('AH History'!$F$1:$F$18046,$H2654)),1,-1),-1))</ns0:f>
        <ns0:v/>
      </ns0:c>
    </ns0:row>
    <ns0:row r="2655">
      <ns0:c r="A2655" s="215">
        <ns0:f>IF(OR(AH!$P$3=0,2650+1&gt;AH!$P$11,AND(AH!$E$4&lt;&gt;"Stored",AH!$P$10&lt;&gt;1)),"",IFERROR(IF(AND(AH!$P$21=1,2650+1=AH!$P$11),TODAY(),IF(AH!$P$10=1,INDEX('Live History'!$A$5:$A$3004,AH!$P$13+2650),INDEX('AH History'!$A$1:$A$18046,AH!$P$7+2650))),""))</ns0:f>
        <ns0:v/>
      </ns0:c>
      <ns0:c r="B2655" s="219">
        <ns0:f>IFERROR(IF(AND(AH!$P$9&lt;&gt;1,$C2655&gt;0,$D2655&gt;0,$E2655&gt;0,$F2655&gt;0,$G2655&gt;0,$F2655&lt;=$A2655,$G2655&lt;=$A2655,$A2655-$F2655&lt;=10,$A2655-$G2655&lt;=5),$D2655*$E2655/$C2655-1,NA()),NA())</ns0:f>
        <ns0:v/>
      </ns0:c>
      <ns0:c r="C2655">
        <ns0:f>IFERROR(IF(ISNUMBER($A2655),IF(AND(AH!$P$10=1,AH!$P$12=1,$A2655=TODAY()),AH!$P$19,IF(AH!$P$10=1,INDEX('Live History'!$B$5:$B$3004,AH!$P$13+2650),INDEX('AH History'!$B$1:$B$18046,AH!$P$7+2650))),NA()),NA())</ns0:f>
        <ns0:v/>
      </ns0:c>
      <ns0:c r="D2655">
        <ns0:f>IFERROR(IF(ISNUMBER($A2655),IF(AND(AH!$P$10=1,AH!$P$12=1,$A2655=TODAY()),AH!$P$18,IF(AH!$P$10=1,INDEX('Live History'!$E$5:$E$3004,MATCH($A2655,'Live History'!$D$5:$D$3004,1)),INDEX('AH History'!$C$1:$C$18046,AH!$P$7+2650))),NA()),NA())</ns0:f>
        <ns0:v/>
      </ns0:c>
      <ns0:c r="E2655">
        <ns0:f>IFERROR(IF(ISNUMBER($A2655),IF(AND(AH!$P$10=1,AH!$P$12=1,$A2655=TODAY()),AH!$P$20,IF(AH!$P$10=1,INDEX('Live History'!$H$5:$H$3004,MATCH($A2655,'Live History'!$G$5:$G$3004,1)),INDEX('AH History'!$D$1:$D$18046,AH!$P$7+2650))),NA()),NA())</ns0:f>
        <ns0:v/>
      </ns0:c>
      <ns0:c r="F2655">
        <ns0:f>IFERROR(IF(ISNUMBER($A2655),IF(AND(AH!$P$10=1,AH!$P$12=1,$A2655=TODAY()),IF(AND(AH!$P$10=1,AH!$P$12=1,$A2655=TODAY()),TODAY(),NA()),IF(AH!$P$10=1,INDEX('Live History'!$D$5:$D$3004,MATCH($A2655,'Live History'!$D$5:$D$3004,1)),INDEX('AH History'!$E$1:$E$18046,AH!$P$7+2650))),NA()),NA())</ns0:f>
        <ns0:v/>
      </ns0:c>
      <ns0:c r="G2655">
        <ns0:f>IFERROR(IF(ISNUMBER($A2655),IF(AND(AH!$P$10=1,AH!$P$12=1,$A2655=TODAY()),IF(AND(AH!$P$10=1,AH!$P$12=1,$A2655=TODAY()),TODAY(),NA()),IF(AH!$P$10=1,INDEX('Live History'!$G$5:$G$3004,MATCH($A2655,'Live History'!$G$5:$G$3004,1)),INDEX('AH History'!$F$1:$F$18046,AH!$P$7+2650))),NA()),NA())</ns0:f>
        <ns0:v/>
      </ns0:c>
      <ns0:c r="H2655">
        <ns0:f>IFERROR(IF(AND(AH!$E$4="Bloomberg",AH!$P$10=1,ISNUMBER($A2655),$A2655&lt;=AH!$P$17),AH!$P$7-1+MATCH($A2655,INDEX('AH History'!$A$1:$A$18046,AH!$P$7):INDEX('AH History'!$A$1:$A$18046,AH!$P$7+AH!$P$8-1),0),0),0)</ns0:f>
        <ns0:v/>
      </ns0:c>
      <ns0:c r="I2655">
        <ns0:f>IF($H2655=0,0,IFERROR(IF(AND(ABS($C2655-INDEX('AH History'!$B$1:$B$18046,$H2655))&lt;=MAX(0.005,ABS(INDEX('AH History'!$B$1:$B$18046,$H2655))*0.00005),ABS($D2655-INDEX('AH History'!$C$1:$C$18046,$H2655))&lt;=MAX(0.005,ABS(INDEX('AH History'!$C$1:$C$18046,$H2655))*0.00005),ABS($E2655-INDEX('AH History'!$D$1:$D$18046,$H2655))&lt;=0.00005,$F2655=INDEX('AH History'!$E$1:$E$18046,$H2655),$G2655=INDEX('AH History'!$F$1:$F$18046,$H2655)),1,-1),-1))</ns0:f>
        <ns0:v/>
      </ns0:c>
    </ns0:row>
    <ns0:row r="2656">
      <ns0:c r="A2656" s="215">
        <ns0:f>IF(OR(AH!$P$3=0,2651+1&gt;AH!$P$11,AND(AH!$E$4&lt;&gt;"Stored",AH!$P$10&lt;&gt;1)),"",IFERROR(IF(AND(AH!$P$21=1,2651+1=AH!$P$11),TODAY(),IF(AH!$P$10=1,INDEX('Live History'!$A$5:$A$3004,AH!$P$13+2651),INDEX('AH History'!$A$1:$A$18046,AH!$P$7+2651))),""))</ns0:f>
        <ns0:v/>
      </ns0:c>
      <ns0:c r="B2656" s="219">
        <ns0:f>IFERROR(IF(AND(AH!$P$9&lt;&gt;1,$C2656&gt;0,$D2656&gt;0,$E2656&gt;0,$F2656&gt;0,$G2656&gt;0,$F2656&lt;=$A2656,$G2656&lt;=$A2656,$A2656-$F2656&lt;=10,$A2656-$G2656&lt;=5),$D2656*$E2656/$C2656-1,NA()),NA())</ns0:f>
        <ns0:v/>
      </ns0:c>
      <ns0:c r="C2656">
        <ns0:f>IFERROR(IF(ISNUMBER($A2656),IF(AND(AH!$P$10=1,AH!$P$12=1,$A2656=TODAY()),AH!$P$19,IF(AH!$P$10=1,INDEX('Live History'!$B$5:$B$3004,AH!$P$13+2651),INDEX('AH History'!$B$1:$B$18046,AH!$P$7+2651))),NA()),NA())</ns0:f>
        <ns0:v/>
      </ns0:c>
      <ns0:c r="D2656">
        <ns0:f>IFERROR(IF(ISNUMBER($A2656),IF(AND(AH!$P$10=1,AH!$P$12=1,$A2656=TODAY()),AH!$P$18,IF(AH!$P$10=1,INDEX('Live History'!$E$5:$E$3004,MATCH($A2656,'Live History'!$D$5:$D$3004,1)),INDEX('AH History'!$C$1:$C$18046,AH!$P$7+2651))),NA()),NA())</ns0:f>
        <ns0:v/>
      </ns0:c>
      <ns0:c r="E2656">
        <ns0:f>IFERROR(IF(ISNUMBER($A2656),IF(AND(AH!$P$10=1,AH!$P$12=1,$A2656=TODAY()),AH!$P$20,IF(AH!$P$10=1,INDEX('Live History'!$H$5:$H$3004,MATCH($A2656,'Live History'!$G$5:$G$3004,1)),INDEX('AH History'!$D$1:$D$18046,AH!$P$7+2651))),NA()),NA())</ns0:f>
        <ns0:v/>
      </ns0:c>
      <ns0:c r="F2656">
        <ns0:f>IFERROR(IF(ISNUMBER($A2656),IF(AND(AH!$P$10=1,AH!$P$12=1,$A2656=TODAY()),IF(AND(AH!$P$10=1,AH!$P$12=1,$A2656=TODAY()),TODAY(),NA()),IF(AH!$P$10=1,INDEX('Live History'!$D$5:$D$3004,MATCH($A2656,'Live History'!$D$5:$D$3004,1)),INDEX('AH History'!$E$1:$E$18046,AH!$P$7+2651))),NA()),NA())</ns0:f>
        <ns0:v/>
      </ns0:c>
      <ns0:c r="G2656">
        <ns0:f>IFERROR(IF(ISNUMBER($A2656),IF(AND(AH!$P$10=1,AH!$P$12=1,$A2656=TODAY()),IF(AND(AH!$P$10=1,AH!$P$12=1,$A2656=TODAY()),TODAY(),NA()),IF(AH!$P$10=1,INDEX('Live History'!$G$5:$G$3004,MATCH($A2656,'Live History'!$G$5:$G$3004,1)),INDEX('AH History'!$F$1:$F$18046,AH!$P$7+2651))),NA()),NA())</ns0:f>
        <ns0:v/>
      </ns0:c>
      <ns0:c r="H2656">
        <ns0:f>IFERROR(IF(AND(AH!$E$4="Bloomberg",AH!$P$10=1,ISNUMBER($A2656),$A2656&lt;=AH!$P$17),AH!$P$7-1+MATCH($A2656,INDEX('AH History'!$A$1:$A$18046,AH!$P$7):INDEX('AH History'!$A$1:$A$18046,AH!$P$7+AH!$P$8-1),0),0),0)</ns0:f>
        <ns0:v/>
      </ns0:c>
      <ns0:c r="I2656">
        <ns0:f>IF($H2656=0,0,IFERROR(IF(AND(ABS($C2656-INDEX('AH History'!$B$1:$B$18046,$H2656))&lt;=MAX(0.005,ABS(INDEX('AH History'!$B$1:$B$18046,$H2656))*0.00005),ABS($D2656-INDEX('AH History'!$C$1:$C$18046,$H2656))&lt;=MAX(0.005,ABS(INDEX('AH History'!$C$1:$C$18046,$H2656))*0.00005),ABS($E2656-INDEX('AH History'!$D$1:$D$18046,$H2656))&lt;=0.00005,$F2656=INDEX('AH History'!$E$1:$E$18046,$H2656),$G2656=INDEX('AH History'!$F$1:$F$18046,$H2656)),1,-1),-1))</ns0:f>
        <ns0:v/>
      </ns0:c>
    </ns0:row>
    <ns0:row r="2657">
      <ns0:c r="A2657" s="215">
        <ns0:f>IF(OR(AH!$P$3=0,2652+1&gt;AH!$P$11,AND(AH!$E$4&lt;&gt;"Stored",AH!$P$10&lt;&gt;1)),"",IFERROR(IF(AND(AH!$P$21=1,2652+1=AH!$P$11),TODAY(),IF(AH!$P$10=1,INDEX('Live History'!$A$5:$A$3004,AH!$P$13+2652),INDEX('AH History'!$A$1:$A$18046,AH!$P$7+2652))),""))</ns0:f>
        <ns0:v/>
      </ns0:c>
      <ns0:c r="B2657" s="219">
        <ns0:f>IFERROR(IF(AND(AH!$P$9&lt;&gt;1,$C2657&gt;0,$D2657&gt;0,$E2657&gt;0,$F2657&gt;0,$G2657&gt;0,$F2657&lt;=$A2657,$G2657&lt;=$A2657,$A2657-$F2657&lt;=10,$A2657-$G2657&lt;=5),$D2657*$E2657/$C2657-1,NA()),NA())</ns0:f>
        <ns0:v/>
      </ns0:c>
      <ns0:c r="C2657">
        <ns0:f>IFERROR(IF(ISNUMBER($A2657),IF(AND(AH!$P$10=1,AH!$P$12=1,$A2657=TODAY()),AH!$P$19,IF(AH!$P$10=1,INDEX('Live History'!$B$5:$B$3004,AH!$P$13+2652),INDEX('AH History'!$B$1:$B$18046,AH!$P$7+2652))),NA()),NA())</ns0:f>
        <ns0:v/>
      </ns0:c>
      <ns0:c r="D2657">
        <ns0:f>IFERROR(IF(ISNUMBER($A2657),IF(AND(AH!$P$10=1,AH!$P$12=1,$A2657=TODAY()),AH!$P$18,IF(AH!$P$10=1,INDEX('Live History'!$E$5:$E$3004,MATCH($A2657,'Live History'!$D$5:$D$3004,1)),INDEX('AH History'!$C$1:$C$18046,AH!$P$7+2652))),NA()),NA())</ns0:f>
        <ns0:v/>
      </ns0:c>
      <ns0:c r="E2657">
        <ns0:f>IFERROR(IF(ISNUMBER($A2657),IF(AND(AH!$P$10=1,AH!$P$12=1,$A2657=TODAY()),AH!$P$20,IF(AH!$P$10=1,INDEX('Live History'!$H$5:$H$3004,MATCH($A2657,'Live History'!$G$5:$G$3004,1)),INDEX('AH History'!$D$1:$D$18046,AH!$P$7+2652))),NA()),NA())</ns0:f>
        <ns0:v/>
      </ns0:c>
      <ns0:c r="F2657">
        <ns0:f>IFERROR(IF(ISNUMBER($A2657),IF(AND(AH!$P$10=1,AH!$P$12=1,$A2657=TODAY()),IF(AND(AH!$P$10=1,AH!$P$12=1,$A2657=TODAY()),TODAY(),NA()),IF(AH!$P$10=1,INDEX('Live History'!$D$5:$D$3004,MATCH($A2657,'Live History'!$D$5:$D$3004,1)),INDEX('AH History'!$E$1:$E$18046,AH!$P$7+2652))),NA()),NA())</ns0:f>
        <ns0:v/>
      </ns0:c>
      <ns0:c r="G2657">
        <ns0:f>IFERROR(IF(ISNUMBER($A2657),IF(AND(AH!$P$10=1,AH!$P$12=1,$A2657=TODAY()),IF(AND(AH!$P$10=1,AH!$P$12=1,$A2657=TODAY()),TODAY(),NA()),IF(AH!$P$10=1,INDEX('Live History'!$G$5:$G$3004,MATCH($A2657,'Live History'!$G$5:$G$3004,1)),INDEX('AH History'!$F$1:$F$18046,AH!$P$7+2652))),NA()),NA())</ns0:f>
        <ns0:v/>
      </ns0:c>
      <ns0:c r="H2657">
        <ns0:f>IFERROR(IF(AND(AH!$E$4="Bloomberg",AH!$P$10=1,ISNUMBER($A2657),$A2657&lt;=AH!$P$17),AH!$P$7-1+MATCH($A2657,INDEX('AH History'!$A$1:$A$18046,AH!$P$7):INDEX('AH History'!$A$1:$A$18046,AH!$P$7+AH!$P$8-1),0),0),0)</ns0:f>
        <ns0:v/>
      </ns0:c>
      <ns0:c r="I2657">
        <ns0:f>IF($H2657=0,0,IFERROR(IF(AND(ABS($C2657-INDEX('AH History'!$B$1:$B$18046,$H2657))&lt;=MAX(0.005,ABS(INDEX('AH History'!$B$1:$B$18046,$H2657))*0.00005),ABS($D2657-INDEX('AH History'!$C$1:$C$18046,$H2657))&lt;=MAX(0.005,ABS(INDEX('AH History'!$C$1:$C$18046,$H2657))*0.00005),ABS($E2657-INDEX('AH History'!$D$1:$D$18046,$H2657))&lt;=0.00005,$F2657=INDEX('AH History'!$E$1:$E$18046,$H2657),$G2657=INDEX('AH History'!$F$1:$F$18046,$H2657)),1,-1),-1))</ns0:f>
        <ns0:v/>
      </ns0:c>
    </ns0:row>
    <ns0:row r="2658">
      <ns0:c r="A2658" s="215">
        <ns0:f>IF(OR(AH!$P$3=0,2653+1&gt;AH!$P$11,AND(AH!$E$4&lt;&gt;"Stored",AH!$P$10&lt;&gt;1)),"",IFERROR(IF(AND(AH!$P$21=1,2653+1=AH!$P$11),TODAY(),IF(AH!$P$10=1,INDEX('Live History'!$A$5:$A$3004,AH!$P$13+2653),INDEX('AH History'!$A$1:$A$18046,AH!$P$7+2653))),""))</ns0:f>
        <ns0:v/>
      </ns0:c>
      <ns0:c r="B2658" s="219">
        <ns0:f>IFERROR(IF(AND(AH!$P$9&lt;&gt;1,$C2658&gt;0,$D2658&gt;0,$E2658&gt;0,$F2658&gt;0,$G2658&gt;0,$F2658&lt;=$A2658,$G2658&lt;=$A2658,$A2658-$F2658&lt;=10,$A2658-$G2658&lt;=5),$D2658*$E2658/$C2658-1,NA()),NA())</ns0:f>
        <ns0:v/>
      </ns0:c>
      <ns0:c r="C2658">
        <ns0:f>IFERROR(IF(ISNUMBER($A2658),IF(AND(AH!$P$10=1,AH!$P$12=1,$A2658=TODAY()),AH!$P$19,IF(AH!$P$10=1,INDEX('Live History'!$B$5:$B$3004,AH!$P$13+2653),INDEX('AH History'!$B$1:$B$18046,AH!$P$7+2653))),NA()),NA())</ns0:f>
        <ns0:v/>
      </ns0:c>
      <ns0:c r="D2658">
        <ns0:f>IFERROR(IF(ISNUMBER($A2658),IF(AND(AH!$P$10=1,AH!$P$12=1,$A2658=TODAY()),AH!$P$18,IF(AH!$P$10=1,INDEX('Live History'!$E$5:$E$3004,MATCH($A2658,'Live History'!$D$5:$D$3004,1)),INDEX('AH History'!$C$1:$C$18046,AH!$P$7+2653))),NA()),NA())</ns0:f>
        <ns0:v/>
      </ns0:c>
      <ns0:c r="E2658">
        <ns0:f>IFERROR(IF(ISNUMBER($A2658),IF(AND(AH!$P$10=1,AH!$P$12=1,$A2658=TODAY()),AH!$P$20,IF(AH!$P$10=1,INDEX('Live History'!$H$5:$H$3004,MATCH($A2658,'Live History'!$G$5:$G$3004,1)),INDEX('AH History'!$D$1:$D$18046,AH!$P$7+2653))),NA()),NA())</ns0:f>
        <ns0:v/>
      </ns0:c>
      <ns0:c r="F2658">
        <ns0:f>IFERROR(IF(ISNUMBER($A2658),IF(AND(AH!$P$10=1,AH!$P$12=1,$A2658=TODAY()),IF(AND(AH!$P$10=1,AH!$P$12=1,$A2658=TODAY()),TODAY(),NA()),IF(AH!$P$10=1,INDEX('Live History'!$D$5:$D$3004,MATCH($A2658,'Live History'!$D$5:$D$3004,1)),INDEX('AH History'!$E$1:$E$18046,AH!$P$7+2653))),NA()),NA())</ns0:f>
        <ns0:v/>
      </ns0:c>
      <ns0:c r="G2658">
        <ns0:f>IFERROR(IF(ISNUMBER($A2658),IF(AND(AH!$P$10=1,AH!$P$12=1,$A2658=TODAY()),IF(AND(AH!$P$10=1,AH!$P$12=1,$A2658=TODAY()),TODAY(),NA()),IF(AH!$P$10=1,INDEX('Live History'!$G$5:$G$3004,MATCH($A2658,'Live History'!$G$5:$G$3004,1)),INDEX('AH History'!$F$1:$F$18046,AH!$P$7+2653))),NA()),NA())</ns0:f>
        <ns0:v/>
      </ns0:c>
      <ns0:c r="H2658">
        <ns0:f>IFERROR(IF(AND(AH!$E$4="Bloomberg",AH!$P$10=1,ISNUMBER($A2658),$A2658&lt;=AH!$P$17),AH!$P$7-1+MATCH($A2658,INDEX('AH History'!$A$1:$A$18046,AH!$P$7):INDEX('AH History'!$A$1:$A$18046,AH!$P$7+AH!$P$8-1),0),0),0)</ns0:f>
        <ns0:v/>
      </ns0:c>
      <ns0:c r="I2658">
        <ns0:f>IF($H2658=0,0,IFERROR(IF(AND(ABS($C2658-INDEX('AH History'!$B$1:$B$18046,$H2658))&lt;=MAX(0.005,ABS(INDEX('AH History'!$B$1:$B$18046,$H2658))*0.00005),ABS($D2658-INDEX('AH History'!$C$1:$C$18046,$H2658))&lt;=MAX(0.005,ABS(INDEX('AH History'!$C$1:$C$18046,$H2658))*0.00005),ABS($E2658-INDEX('AH History'!$D$1:$D$18046,$H2658))&lt;=0.00005,$F2658=INDEX('AH History'!$E$1:$E$18046,$H2658),$G2658=INDEX('AH History'!$F$1:$F$18046,$H2658)),1,-1),-1))</ns0:f>
        <ns0:v/>
      </ns0:c>
    </ns0:row>
    <ns0:row r="2659">
      <ns0:c r="A2659" s="215">
        <ns0:f>IF(OR(AH!$P$3=0,2654+1&gt;AH!$P$11,AND(AH!$E$4&lt;&gt;"Stored",AH!$P$10&lt;&gt;1)),"",IFERROR(IF(AND(AH!$P$21=1,2654+1=AH!$P$11),TODAY(),IF(AH!$P$10=1,INDEX('Live History'!$A$5:$A$3004,AH!$P$13+2654),INDEX('AH History'!$A$1:$A$18046,AH!$P$7+2654))),""))</ns0:f>
        <ns0:v/>
      </ns0:c>
      <ns0:c r="B2659" s="219">
        <ns0:f>IFERROR(IF(AND(AH!$P$9&lt;&gt;1,$C2659&gt;0,$D2659&gt;0,$E2659&gt;0,$F2659&gt;0,$G2659&gt;0,$F2659&lt;=$A2659,$G2659&lt;=$A2659,$A2659-$F2659&lt;=10,$A2659-$G2659&lt;=5),$D2659*$E2659/$C2659-1,NA()),NA())</ns0:f>
        <ns0:v/>
      </ns0:c>
      <ns0:c r="C2659">
        <ns0:f>IFERROR(IF(ISNUMBER($A2659),IF(AND(AH!$P$10=1,AH!$P$12=1,$A2659=TODAY()),AH!$P$19,IF(AH!$P$10=1,INDEX('Live History'!$B$5:$B$3004,AH!$P$13+2654),INDEX('AH History'!$B$1:$B$18046,AH!$P$7+2654))),NA()),NA())</ns0:f>
        <ns0:v/>
      </ns0:c>
      <ns0:c r="D2659">
        <ns0:f>IFERROR(IF(ISNUMBER($A2659),IF(AND(AH!$P$10=1,AH!$P$12=1,$A2659=TODAY()),AH!$P$18,IF(AH!$P$10=1,INDEX('Live History'!$E$5:$E$3004,MATCH($A2659,'Live History'!$D$5:$D$3004,1)),INDEX('AH History'!$C$1:$C$18046,AH!$P$7+2654))),NA()),NA())</ns0:f>
        <ns0:v/>
      </ns0:c>
      <ns0:c r="E2659">
        <ns0:f>IFERROR(IF(ISNUMBER($A2659),IF(AND(AH!$P$10=1,AH!$P$12=1,$A2659=TODAY()),AH!$P$20,IF(AH!$P$10=1,INDEX('Live History'!$H$5:$H$3004,MATCH($A2659,'Live History'!$G$5:$G$3004,1)),INDEX('AH History'!$D$1:$D$18046,AH!$P$7+2654))),NA()),NA())</ns0:f>
        <ns0:v/>
      </ns0:c>
      <ns0:c r="F2659">
        <ns0:f>IFERROR(IF(ISNUMBER($A2659),IF(AND(AH!$P$10=1,AH!$P$12=1,$A2659=TODAY()),IF(AND(AH!$P$10=1,AH!$P$12=1,$A2659=TODAY()),TODAY(),NA()),IF(AH!$P$10=1,INDEX('Live History'!$D$5:$D$3004,MATCH($A2659,'Live History'!$D$5:$D$3004,1)),INDEX('AH History'!$E$1:$E$18046,AH!$P$7+2654))),NA()),NA())</ns0:f>
        <ns0:v/>
      </ns0:c>
      <ns0:c r="G2659">
        <ns0:f>IFERROR(IF(ISNUMBER($A2659),IF(AND(AH!$P$10=1,AH!$P$12=1,$A2659=TODAY()),IF(AND(AH!$P$10=1,AH!$P$12=1,$A2659=TODAY()),TODAY(),NA()),IF(AH!$P$10=1,INDEX('Live History'!$G$5:$G$3004,MATCH($A2659,'Live History'!$G$5:$G$3004,1)),INDEX('AH History'!$F$1:$F$18046,AH!$P$7+2654))),NA()),NA())</ns0:f>
        <ns0:v/>
      </ns0:c>
      <ns0:c r="H2659">
        <ns0:f>IFERROR(IF(AND(AH!$E$4="Bloomberg",AH!$P$10=1,ISNUMBER($A2659),$A2659&lt;=AH!$P$17),AH!$P$7-1+MATCH($A2659,INDEX('AH History'!$A$1:$A$18046,AH!$P$7):INDEX('AH History'!$A$1:$A$18046,AH!$P$7+AH!$P$8-1),0),0),0)</ns0:f>
        <ns0:v/>
      </ns0:c>
      <ns0:c r="I2659">
        <ns0:f>IF($H2659=0,0,IFERROR(IF(AND(ABS($C2659-INDEX('AH History'!$B$1:$B$18046,$H2659))&lt;=MAX(0.005,ABS(INDEX('AH History'!$B$1:$B$18046,$H2659))*0.00005),ABS($D2659-INDEX('AH History'!$C$1:$C$18046,$H2659))&lt;=MAX(0.005,ABS(INDEX('AH History'!$C$1:$C$18046,$H2659))*0.00005),ABS($E2659-INDEX('AH History'!$D$1:$D$18046,$H2659))&lt;=0.00005,$F2659=INDEX('AH History'!$E$1:$E$18046,$H2659),$G2659=INDEX('AH History'!$F$1:$F$18046,$H2659)),1,-1),-1))</ns0:f>
        <ns0:v/>
      </ns0:c>
    </ns0:row>
    <ns0:row r="2660">
      <ns0:c r="A2660" s="215">
        <ns0:f>IF(OR(AH!$P$3=0,2655+1&gt;AH!$P$11,AND(AH!$E$4&lt;&gt;"Stored",AH!$P$10&lt;&gt;1)),"",IFERROR(IF(AND(AH!$P$21=1,2655+1=AH!$P$11),TODAY(),IF(AH!$P$10=1,INDEX('Live History'!$A$5:$A$3004,AH!$P$13+2655),INDEX('AH History'!$A$1:$A$18046,AH!$P$7+2655))),""))</ns0:f>
        <ns0:v/>
      </ns0:c>
      <ns0:c r="B2660" s="219">
        <ns0:f>IFERROR(IF(AND(AH!$P$9&lt;&gt;1,$C2660&gt;0,$D2660&gt;0,$E2660&gt;0,$F2660&gt;0,$G2660&gt;0,$F2660&lt;=$A2660,$G2660&lt;=$A2660,$A2660-$F2660&lt;=10,$A2660-$G2660&lt;=5),$D2660*$E2660/$C2660-1,NA()),NA())</ns0:f>
        <ns0:v/>
      </ns0:c>
      <ns0:c r="C2660">
        <ns0:f>IFERROR(IF(ISNUMBER($A2660),IF(AND(AH!$P$10=1,AH!$P$12=1,$A2660=TODAY()),AH!$P$19,IF(AH!$P$10=1,INDEX('Live History'!$B$5:$B$3004,AH!$P$13+2655),INDEX('AH History'!$B$1:$B$18046,AH!$P$7+2655))),NA()),NA())</ns0:f>
        <ns0:v/>
      </ns0:c>
      <ns0:c r="D2660">
        <ns0:f>IFERROR(IF(ISNUMBER($A2660),IF(AND(AH!$P$10=1,AH!$P$12=1,$A2660=TODAY()),AH!$P$18,IF(AH!$P$10=1,INDEX('Live History'!$E$5:$E$3004,MATCH($A2660,'Live History'!$D$5:$D$3004,1)),INDEX('AH History'!$C$1:$C$18046,AH!$P$7+2655))),NA()),NA())</ns0:f>
        <ns0:v/>
      </ns0:c>
      <ns0:c r="E2660">
        <ns0:f>IFERROR(IF(ISNUMBER($A2660),IF(AND(AH!$P$10=1,AH!$P$12=1,$A2660=TODAY()),AH!$P$20,IF(AH!$P$10=1,INDEX('Live History'!$H$5:$H$3004,MATCH($A2660,'Live History'!$G$5:$G$3004,1)),INDEX('AH History'!$D$1:$D$18046,AH!$P$7+2655))),NA()),NA())</ns0:f>
        <ns0:v/>
      </ns0:c>
      <ns0:c r="F2660">
        <ns0:f>IFERROR(IF(ISNUMBER($A2660),IF(AND(AH!$P$10=1,AH!$P$12=1,$A2660=TODAY()),IF(AND(AH!$P$10=1,AH!$P$12=1,$A2660=TODAY()),TODAY(),NA()),IF(AH!$P$10=1,INDEX('Live History'!$D$5:$D$3004,MATCH($A2660,'Live History'!$D$5:$D$3004,1)),INDEX('AH History'!$E$1:$E$18046,AH!$P$7+2655))),NA()),NA())</ns0:f>
        <ns0:v/>
      </ns0:c>
      <ns0:c r="G2660">
        <ns0:f>IFERROR(IF(ISNUMBER($A2660),IF(AND(AH!$P$10=1,AH!$P$12=1,$A2660=TODAY()),IF(AND(AH!$P$10=1,AH!$P$12=1,$A2660=TODAY()),TODAY(),NA()),IF(AH!$P$10=1,INDEX('Live History'!$G$5:$G$3004,MATCH($A2660,'Live History'!$G$5:$G$3004,1)),INDEX('AH History'!$F$1:$F$18046,AH!$P$7+2655))),NA()),NA())</ns0:f>
        <ns0:v/>
      </ns0:c>
      <ns0:c r="H2660">
        <ns0:f>IFERROR(IF(AND(AH!$E$4="Bloomberg",AH!$P$10=1,ISNUMBER($A2660),$A2660&lt;=AH!$P$17),AH!$P$7-1+MATCH($A2660,INDEX('AH History'!$A$1:$A$18046,AH!$P$7):INDEX('AH History'!$A$1:$A$18046,AH!$P$7+AH!$P$8-1),0),0),0)</ns0:f>
        <ns0:v/>
      </ns0:c>
      <ns0:c r="I2660">
        <ns0:f>IF($H2660=0,0,IFERROR(IF(AND(ABS($C2660-INDEX('AH History'!$B$1:$B$18046,$H2660))&lt;=MAX(0.005,ABS(INDEX('AH History'!$B$1:$B$18046,$H2660))*0.00005),ABS($D2660-INDEX('AH History'!$C$1:$C$18046,$H2660))&lt;=MAX(0.005,ABS(INDEX('AH History'!$C$1:$C$18046,$H2660))*0.00005),ABS($E2660-INDEX('AH History'!$D$1:$D$18046,$H2660))&lt;=0.00005,$F2660=INDEX('AH History'!$E$1:$E$18046,$H2660),$G2660=INDEX('AH History'!$F$1:$F$18046,$H2660)),1,-1),-1))</ns0:f>
        <ns0:v/>
      </ns0:c>
    </ns0:row>
    <ns0:row r="2661">
      <ns0:c r="A2661" s="215">
        <ns0:f>IF(OR(AH!$P$3=0,2656+1&gt;AH!$P$11,AND(AH!$E$4&lt;&gt;"Stored",AH!$P$10&lt;&gt;1)),"",IFERROR(IF(AND(AH!$P$21=1,2656+1=AH!$P$11),TODAY(),IF(AH!$P$10=1,INDEX('Live History'!$A$5:$A$3004,AH!$P$13+2656),INDEX('AH History'!$A$1:$A$18046,AH!$P$7+2656))),""))</ns0:f>
        <ns0:v/>
      </ns0:c>
      <ns0:c r="B2661" s="219">
        <ns0:f>IFERROR(IF(AND(AH!$P$9&lt;&gt;1,$C2661&gt;0,$D2661&gt;0,$E2661&gt;0,$F2661&gt;0,$G2661&gt;0,$F2661&lt;=$A2661,$G2661&lt;=$A2661,$A2661-$F2661&lt;=10,$A2661-$G2661&lt;=5),$D2661*$E2661/$C2661-1,NA()),NA())</ns0:f>
        <ns0:v/>
      </ns0:c>
      <ns0:c r="C2661">
        <ns0:f>IFERROR(IF(ISNUMBER($A2661),IF(AND(AH!$P$10=1,AH!$P$12=1,$A2661=TODAY()),AH!$P$19,IF(AH!$P$10=1,INDEX('Live History'!$B$5:$B$3004,AH!$P$13+2656),INDEX('AH History'!$B$1:$B$18046,AH!$P$7+2656))),NA()),NA())</ns0:f>
        <ns0:v/>
      </ns0:c>
      <ns0:c r="D2661">
        <ns0:f>IFERROR(IF(ISNUMBER($A2661),IF(AND(AH!$P$10=1,AH!$P$12=1,$A2661=TODAY()),AH!$P$18,IF(AH!$P$10=1,INDEX('Live History'!$E$5:$E$3004,MATCH($A2661,'Live History'!$D$5:$D$3004,1)),INDEX('AH History'!$C$1:$C$18046,AH!$P$7+2656))),NA()),NA())</ns0:f>
        <ns0:v/>
      </ns0:c>
      <ns0:c r="E2661">
        <ns0:f>IFERROR(IF(ISNUMBER($A2661),IF(AND(AH!$P$10=1,AH!$P$12=1,$A2661=TODAY()),AH!$P$20,IF(AH!$P$10=1,INDEX('Live History'!$H$5:$H$3004,MATCH($A2661,'Live History'!$G$5:$G$3004,1)),INDEX('AH History'!$D$1:$D$18046,AH!$P$7+2656))),NA()),NA())</ns0:f>
        <ns0:v/>
      </ns0:c>
      <ns0:c r="F2661">
        <ns0:f>IFERROR(IF(ISNUMBER($A2661),IF(AND(AH!$P$10=1,AH!$P$12=1,$A2661=TODAY()),IF(AND(AH!$P$10=1,AH!$P$12=1,$A2661=TODAY()),TODAY(),NA()),IF(AH!$P$10=1,INDEX('Live History'!$D$5:$D$3004,MATCH($A2661,'Live History'!$D$5:$D$3004,1)),INDEX('AH History'!$E$1:$E$18046,AH!$P$7+2656))),NA()),NA())</ns0:f>
        <ns0:v/>
      </ns0:c>
      <ns0:c r="G2661">
        <ns0:f>IFERROR(IF(ISNUMBER($A2661),IF(AND(AH!$P$10=1,AH!$P$12=1,$A2661=TODAY()),IF(AND(AH!$P$10=1,AH!$P$12=1,$A2661=TODAY()),TODAY(),NA()),IF(AH!$P$10=1,INDEX('Live History'!$G$5:$G$3004,MATCH($A2661,'Live History'!$G$5:$G$3004,1)),INDEX('AH History'!$F$1:$F$18046,AH!$P$7+2656))),NA()),NA())</ns0:f>
        <ns0:v/>
      </ns0:c>
      <ns0:c r="H2661">
        <ns0:f>IFERROR(IF(AND(AH!$E$4="Bloomberg",AH!$P$10=1,ISNUMBER($A2661),$A2661&lt;=AH!$P$17),AH!$P$7-1+MATCH($A2661,INDEX('AH History'!$A$1:$A$18046,AH!$P$7):INDEX('AH History'!$A$1:$A$18046,AH!$P$7+AH!$P$8-1),0),0),0)</ns0:f>
        <ns0:v/>
      </ns0:c>
      <ns0:c r="I2661">
        <ns0:f>IF($H2661=0,0,IFERROR(IF(AND(ABS($C2661-INDEX('AH History'!$B$1:$B$18046,$H2661))&lt;=MAX(0.005,ABS(INDEX('AH History'!$B$1:$B$18046,$H2661))*0.00005),ABS($D2661-INDEX('AH History'!$C$1:$C$18046,$H2661))&lt;=MAX(0.005,ABS(INDEX('AH History'!$C$1:$C$18046,$H2661))*0.00005),ABS($E2661-INDEX('AH History'!$D$1:$D$18046,$H2661))&lt;=0.00005,$F2661=INDEX('AH History'!$E$1:$E$18046,$H2661),$G2661=INDEX('AH History'!$F$1:$F$18046,$H2661)),1,-1),-1))</ns0:f>
        <ns0:v/>
      </ns0:c>
    </ns0:row>
    <ns0:row r="2662">
      <ns0:c r="A2662" s="215">
        <ns0:f>IF(OR(AH!$P$3=0,2657+1&gt;AH!$P$11,AND(AH!$E$4&lt;&gt;"Stored",AH!$P$10&lt;&gt;1)),"",IFERROR(IF(AND(AH!$P$21=1,2657+1=AH!$P$11),TODAY(),IF(AH!$P$10=1,INDEX('Live History'!$A$5:$A$3004,AH!$P$13+2657),INDEX('AH History'!$A$1:$A$18046,AH!$P$7+2657))),""))</ns0:f>
        <ns0:v/>
      </ns0:c>
      <ns0:c r="B2662" s="219">
        <ns0:f>IFERROR(IF(AND(AH!$P$9&lt;&gt;1,$C2662&gt;0,$D2662&gt;0,$E2662&gt;0,$F2662&gt;0,$G2662&gt;0,$F2662&lt;=$A2662,$G2662&lt;=$A2662,$A2662-$F2662&lt;=10,$A2662-$G2662&lt;=5),$D2662*$E2662/$C2662-1,NA()),NA())</ns0:f>
        <ns0:v/>
      </ns0:c>
      <ns0:c r="C2662">
        <ns0:f>IFERROR(IF(ISNUMBER($A2662),IF(AND(AH!$P$10=1,AH!$P$12=1,$A2662=TODAY()),AH!$P$19,IF(AH!$P$10=1,INDEX('Live History'!$B$5:$B$3004,AH!$P$13+2657),INDEX('AH History'!$B$1:$B$18046,AH!$P$7+2657))),NA()),NA())</ns0:f>
        <ns0:v/>
      </ns0:c>
      <ns0:c r="D2662">
        <ns0:f>IFERROR(IF(ISNUMBER($A2662),IF(AND(AH!$P$10=1,AH!$P$12=1,$A2662=TODAY()),AH!$P$18,IF(AH!$P$10=1,INDEX('Live History'!$E$5:$E$3004,MATCH($A2662,'Live History'!$D$5:$D$3004,1)),INDEX('AH History'!$C$1:$C$18046,AH!$P$7+2657))),NA()),NA())</ns0:f>
        <ns0:v/>
      </ns0:c>
      <ns0:c r="E2662">
        <ns0:f>IFERROR(IF(ISNUMBER($A2662),IF(AND(AH!$P$10=1,AH!$P$12=1,$A2662=TODAY()),AH!$P$20,IF(AH!$P$10=1,INDEX('Live History'!$H$5:$H$3004,MATCH($A2662,'Live History'!$G$5:$G$3004,1)),INDEX('AH History'!$D$1:$D$18046,AH!$P$7+2657))),NA()),NA())</ns0:f>
        <ns0:v/>
      </ns0:c>
      <ns0:c r="F2662">
        <ns0:f>IFERROR(IF(ISNUMBER($A2662),IF(AND(AH!$P$10=1,AH!$P$12=1,$A2662=TODAY()),IF(AND(AH!$P$10=1,AH!$P$12=1,$A2662=TODAY()),TODAY(),NA()),IF(AH!$P$10=1,INDEX('Live History'!$D$5:$D$3004,MATCH($A2662,'Live History'!$D$5:$D$3004,1)),INDEX('AH History'!$E$1:$E$18046,AH!$P$7+2657))),NA()),NA())</ns0:f>
        <ns0:v/>
      </ns0:c>
      <ns0:c r="G2662">
        <ns0:f>IFERROR(IF(ISNUMBER($A2662),IF(AND(AH!$P$10=1,AH!$P$12=1,$A2662=TODAY()),IF(AND(AH!$P$10=1,AH!$P$12=1,$A2662=TODAY()),TODAY(),NA()),IF(AH!$P$10=1,INDEX('Live History'!$G$5:$G$3004,MATCH($A2662,'Live History'!$G$5:$G$3004,1)),INDEX('AH History'!$F$1:$F$18046,AH!$P$7+2657))),NA()),NA())</ns0:f>
        <ns0:v/>
      </ns0:c>
      <ns0:c r="H2662">
        <ns0:f>IFERROR(IF(AND(AH!$E$4="Bloomberg",AH!$P$10=1,ISNUMBER($A2662),$A2662&lt;=AH!$P$17),AH!$P$7-1+MATCH($A2662,INDEX('AH History'!$A$1:$A$18046,AH!$P$7):INDEX('AH History'!$A$1:$A$18046,AH!$P$7+AH!$P$8-1),0),0),0)</ns0:f>
        <ns0:v/>
      </ns0:c>
      <ns0:c r="I2662">
        <ns0:f>IF($H2662=0,0,IFERROR(IF(AND(ABS($C2662-INDEX('AH History'!$B$1:$B$18046,$H2662))&lt;=MAX(0.005,ABS(INDEX('AH History'!$B$1:$B$18046,$H2662))*0.00005),ABS($D2662-INDEX('AH History'!$C$1:$C$18046,$H2662))&lt;=MAX(0.005,ABS(INDEX('AH History'!$C$1:$C$18046,$H2662))*0.00005),ABS($E2662-INDEX('AH History'!$D$1:$D$18046,$H2662))&lt;=0.00005,$F2662=INDEX('AH History'!$E$1:$E$18046,$H2662),$G2662=INDEX('AH History'!$F$1:$F$18046,$H2662)),1,-1),-1))</ns0:f>
        <ns0:v/>
      </ns0:c>
    </ns0:row>
    <ns0:row r="2663">
      <ns0:c r="A2663" s="215">
        <ns0:f>IF(OR(AH!$P$3=0,2658+1&gt;AH!$P$11,AND(AH!$E$4&lt;&gt;"Stored",AH!$P$10&lt;&gt;1)),"",IFERROR(IF(AND(AH!$P$21=1,2658+1=AH!$P$11),TODAY(),IF(AH!$P$10=1,INDEX('Live History'!$A$5:$A$3004,AH!$P$13+2658),INDEX('AH History'!$A$1:$A$18046,AH!$P$7+2658))),""))</ns0:f>
        <ns0:v/>
      </ns0:c>
      <ns0:c r="B2663" s="219">
        <ns0:f>IFERROR(IF(AND(AH!$P$9&lt;&gt;1,$C2663&gt;0,$D2663&gt;0,$E2663&gt;0,$F2663&gt;0,$G2663&gt;0,$F2663&lt;=$A2663,$G2663&lt;=$A2663,$A2663-$F2663&lt;=10,$A2663-$G2663&lt;=5),$D2663*$E2663/$C2663-1,NA()),NA())</ns0:f>
        <ns0:v/>
      </ns0:c>
      <ns0:c r="C2663">
        <ns0:f>IFERROR(IF(ISNUMBER($A2663),IF(AND(AH!$P$10=1,AH!$P$12=1,$A2663=TODAY()),AH!$P$19,IF(AH!$P$10=1,INDEX('Live History'!$B$5:$B$3004,AH!$P$13+2658),INDEX('AH History'!$B$1:$B$18046,AH!$P$7+2658))),NA()),NA())</ns0:f>
        <ns0:v/>
      </ns0:c>
      <ns0:c r="D2663">
        <ns0:f>IFERROR(IF(ISNUMBER($A2663),IF(AND(AH!$P$10=1,AH!$P$12=1,$A2663=TODAY()),AH!$P$18,IF(AH!$P$10=1,INDEX('Live History'!$E$5:$E$3004,MATCH($A2663,'Live History'!$D$5:$D$3004,1)),INDEX('AH History'!$C$1:$C$18046,AH!$P$7+2658))),NA()),NA())</ns0:f>
        <ns0:v/>
      </ns0:c>
      <ns0:c r="E2663">
        <ns0:f>IFERROR(IF(ISNUMBER($A2663),IF(AND(AH!$P$10=1,AH!$P$12=1,$A2663=TODAY()),AH!$P$20,IF(AH!$P$10=1,INDEX('Live History'!$H$5:$H$3004,MATCH($A2663,'Live History'!$G$5:$G$3004,1)),INDEX('AH History'!$D$1:$D$18046,AH!$P$7+2658))),NA()),NA())</ns0:f>
        <ns0:v/>
      </ns0:c>
      <ns0:c r="F2663">
        <ns0:f>IFERROR(IF(ISNUMBER($A2663),IF(AND(AH!$P$10=1,AH!$P$12=1,$A2663=TODAY()),IF(AND(AH!$P$10=1,AH!$P$12=1,$A2663=TODAY()),TODAY(),NA()),IF(AH!$P$10=1,INDEX('Live History'!$D$5:$D$3004,MATCH($A2663,'Live History'!$D$5:$D$3004,1)),INDEX('AH History'!$E$1:$E$18046,AH!$P$7+2658))),NA()),NA())</ns0:f>
        <ns0:v/>
      </ns0:c>
      <ns0:c r="G2663">
        <ns0:f>IFERROR(IF(ISNUMBER($A2663),IF(AND(AH!$P$10=1,AH!$P$12=1,$A2663=TODAY()),IF(AND(AH!$P$10=1,AH!$P$12=1,$A2663=TODAY()),TODAY(),NA()),IF(AH!$P$10=1,INDEX('Live History'!$G$5:$G$3004,MATCH($A2663,'Live History'!$G$5:$G$3004,1)),INDEX('AH History'!$F$1:$F$18046,AH!$P$7+2658))),NA()),NA())</ns0:f>
        <ns0:v/>
      </ns0:c>
      <ns0:c r="H2663">
        <ns0:f>IFERROR(IF(AND(AH!$E$4="Bloomberg",AH!$P$10=1,ISNUMBER($A2663),$A2663&lt;=AH!$P$17),AH!$P$7-1+MATCH($A2663,INDEX('AH History'!$A$1:$A$18046,AH!$P$7):INDEX('AH History'!$A$1:$A$18046,AH!$P$7+AH!$P$8-1),0),0),0)</ns0:f>
        <ns0:v/>
      </ns0:c>
      <ns0:c r="I2663">
        <ns0:f>IF($H2663=0,0,IFERROR(IF(AND(ABS($C2663-INDEX('AH History'!$B$1:$B$18046,$H2663))&lt;=MAX(0.005,ABS(INDEX('AH History'!$B$1:$B$18046,$H2663))*0.00005),ABS($D2663-INDEX('AH History'!$C$1:$C$18046,$H2663))&lt;=MAX(0.005,ABS(INDEX('AH History'!$C$1:$C$18046,$H2663))*0.00005),ABS($E2663-INDEX('AH History'!$D$1:$D$18046,$H2663))&lt;=0.00005,$F2663=INDEX('AH History'!$E$1:$E$18046,$H2663),$G2663=INDEX('AH History'!$F$1:$F$18046,$H2663)),1,-1),-1))</ns0:f>
        <ns0:v/>
      </ns0:c>
    </ns0:row>
    <ns0:row r="2664">
      <ns0:c r="A2664" s="215">
        <ns0:f>IF(OR(AH!$P$3=0,2659+1&gt;AH!$P$11,AND(AH!$E$4&lt;&gt;"Stored",AH!$P$10&lt;&gt;1)),"",IFERROR(IF(AND(AH!$P$21=1,2659+1=AH!$P$11),TODAY(),IF(AH!$P$10=1,INDEX('Live History'!$A$5:$A$3004,AH!$P$13+2659),INDEX('AH History'!$A$1:$A$18046,AH!$P$7+2659))),""))</ns0:f>
        <ns0:v/>
      </ns0:c>
      <ns0:c r="B2664" s="219">
        <ns0:f>IFERROR(IF(AND(AH!$P$9&lt;&gt;1,$C2664&gt;0,$D2664&gt;0,$E2664&gt;0,$F2664&gt;0,$G2664&gt;0,$F2664&lt;=$A2664,$G2664&lt;=$A2664,$A2664-$F2664&lt;=10,$A2664-$G2664&lt;=5),$D2664*$E2664/$C2664-1,NA()),NA())</ns0:f>
        <ns0:v/>
      </ns0:c>
      <ns0:c r="C2664">
        <ns0:f>IFERROR(IF(ISNUMBER($A2664),IF(AND(AH!$P$10=1,AH!$P$12=1,$A2664=TODAY()),AH!$P$19,IF(AH!$P$10=1,INDEX('Live History'!$B$5:$B$3004,AH!$P$13+2659),INDEX('AH History'!$B$1:$B$18046,AH!$P$7+2659))),NA()),NA())</ns0:f>
        <ns0:v/>
      </ns0:c>
      <ns0:c r="D2664">
        <ns0:f>IFERROR(IF(ISNUMBER($A2664),IF(AND(AH!$P$10=1,AH!$P$12=1,$A2664=TODAY()),AH!$P$18,IF(AH!$P$10=1,INDEX('Live History'!$E$5:$E$3004,MATCH($A2664,'Live History'!$D$5:$D$3004,1)),INDEX('AH History'!$C$1:$C$18046,AH!$P$7+2659))),NA()),NA())</ns0:f>
        <ns0:v/>
      </ns0:c>
      <ns0:c r="E2664">
        <ns0:f>IFERROR(IF(ISNUMBER($A2664),IF(AND(AH!$P$10=1,AH!$P$12=1,$A2664=TODAY()),AH!$P$20,IF(AH!$P$10=1,INDEX('Live History'!$H$5:$H$3004,MATCH($A2664,'Live History'!$G$5:$G$3004,1)),INDEX('AH History'!$D$1:$D$18046,AH!$P$7+2659))),NA()),NA())</ns0:f>
        <ns0:v/>
      </ns0:c>
      <ns0:c r="F2664">
        <ns0:f>IFERROR(IF(ISNUMBER($A2664),IF(AND(AH!$P$10=1,AH!$P$12=1,$A2664=TODAY()),IF(AND(AH!$P$10=1,AH!$P$12=1,$A2664=TODAY()),TODAY(),NA()),IF(AH!$P$10=1,INDEX('Live History'!$D$5:$D$3004,MATCH($A2664,'Live History'!$D$5:$D$3004,1)),INDEX('AH History'!$E$1:$E$18046,AH!$P$7+2659))),NA()),NA())</ns0:f>
        <ns0:v/>
      </ns0:c>
      <ns0:c r="G2664">
        <ns0:f>IFERROR(IF(ISNUMBER($A2664),IF(AND(AH!$P$10=1,AH!$P$12=1,$A2664=TODAY()),IF(AND(AH!$P$10=1,AH!$P$12=1,$A2664=TODAY()),TODAY(),NA()),IF(AH!$P$10=1,INDEX('Live History'!$G$5:$G$3004,MATCH($A2664,'Live History'!$G$5:$G$3004,1)),INDEX('AH History'!$F$1:$F$18046,AH!$P$7+2659))),NA()),NA())</ns0:f>
        <ns0:v/>
      </ns0:c>
      <ns0:c r="H2664">
        <ns0:f>IFERROR(IF(AND(AH!$E$4="Bloomberg",AH!$P$10=1,ISNUMBER($A2664),$A2664&lt;=AH!$P$17),AH!$P$7-1+MATCH($A2664,INDEX('AH History'!$A$1:$A$18046,AH!$P$7):INDEX('AH History'!$A$1:$A$18046,AH!$P$7+AH!$P$8-1),0),0),0)</ns0:f>
        <ns0:v/>
      </ns0:c>
      <ns0:c r="I2664">
        <ns0:f>IF($H2664=0,0,IFERROR(IF(AND(ABS($C2664-INDEX('AH History'!$B$1:$B$18046,$H2664))&lt;=MAX(0.005,ABS(INDEX('AH History'!$B$1:$B$18046,$H2664))*0.00005),ABS($D2664-INDEX('AH History'!$C$1:$C$18046,$H2664))&lt;=MAX(0.005,ABS(INDEX('AH History'!$C$1:$C$18046,$H2664))*0.00005),ABS($E2664-INDEX('AH History'!$D$1:$D$18046,$H2664))&lt;=0.00005,$F2664=INDEX('AH History'!$E$1:$E$18046,$H2664),$G2664=INDEX('AH History'!$F$1:$F$18046,$H2664)),1,-1),-1))</ns0:f>
        <ns0:v/>
      </ns0:c>
    </ns0:row>
    <ns0:row r="2665">
      <ns0:c r="A2665" s="215">
        <ns0:f>IF(OR(AH!$P$3=0,2660+1&gt;AH!$P$11,AND(AH!$E$4&lt;&gt;"Stored",AH!$P$10&lt;&gt;1)),"",IFERROR(IF(AND(AH!$P$21=1,2660+1=AH!$P$11),TODAY(),IF(AH!$P$10=1,INDEX('Live History'!$A$5:$A$3004,AH!$P$13+2660),INDEX('AH History'!$A$1:$A$18046,AH!$P$7+2660))),""))</ns0:f>
        <ns0:v/>
      </ns0:c>
      <ns0:c r="B2665" s="219">
        <ns0:f>IFERROR(IF(AND(AH!$P$9&lt;&gt;1,$C2665&gt;0,$D2665&gt;0,$E2665&gt;0,$F2665&gt;0,$G2665&gt;0,$F2665&lt;=$A2665,$G2665&lt;=$A2665,$A2665-$F2665&lt;=10,$A2665-$G2665&lt;=5),$D2665*$E2665/$C2665-1,NA()),NA())</ns0:f>
        <ns0:v/>
      </ns0:c>
      <ns0:c r="C2665">
        <ns0:f>IFERROR(IF(ISNUMBER($A2665),IF(AND(AH!$P$10=1,AH!$P$12=1,$A2665=TODAY()),AH!$P$19,IF(AH!$P$10=1,INDEX('Live History'!$B$5:$B$3004,AH!$P$13+2660),INDEX('AH History'!$B$1:$B$18046,AH!$P$7+2660))),NA()),NA())</ns0:f>
        <ns0:v/>
      </ns0:c>
      <ns0:c r="D2665">
        <ns0:f>IFERROR(IF(ISNUMBER($A2665),IF(AND(AH!$P$10=1,AH!$P$12=1,$A2665=TODAY()),AH!$P$18,IF(AH!$P$10=1,INDEX('Live History'!$E$5:$E$3004,MATCH($A2665,'Live History'!$D$5:$D$3004,1)),INDEX('AH History'!$C$1:$C$18046,AH!$P$7+2660))),NA()),NA())</ns0:f>
        <ns0:v/>
      </ns0:c>
      <ns0:c r="E2665">
        <ns0:f>IFERROR(IF(ISNUMBER($A2665),IF(AND(AH!$P$10=1,AH!$P$12=1,$A2665=TODAY()),AH!$P$20,IF(AH!$P$10=1,INDEX('Live History'!$H$5:$H$3004,MATCH($A2665,'Live History'!$G$5:$G$3004,1)),INDEX('AH History'!$D$1:$D$18046,AH!$P$7+2660))),NA()),NA())</ns0:f>
        <ns0:v/>
      </ns0:c>
      <ns0:c r="F2665">
        <ns0:f>IFERROR(IF(ISNUMBER($A2665),IF(AND(AH!$P$10=1,AH!$P$12=1,$A2665=TODAY()),IF(AND(AH!$P$10=1,AH!$P$12=1,$A2665=TODAY()),TODAY(),NA()),IF(AH!$P$10=1,INDEX('Live History'!$D$5:$D$3004,MATCH($A2665,'Live History'!$D$5:$D$3004,1)),INDEX('AH History'!$E$1:$E$18046,AH!$P$7+2660))),NA()),NA())</ns0:f>
        <ns0:v/>
      </ns0:c>
      <ns0:c r="G2665">
        <ns0:f>IFERROR(IF(ISNUMBER($A2665),IF(AND(AH!$P$10=1,AH!$P$12=1,$A2665=TODAY()),IF(AND(AH!$P$10=1,AH!$P$12=1,$A2665=TODAY()),TODAY(),NA()),IF(AH!$P$10=1,INDEX('Live History'!$G$5:$G$3004,MATCH($A2665,'Live History'!$G$5:$G$3004,1)),INDEX('AH History'!$F$1:$F$18046,AH!$P$7+2660))),NA()),NA())</ns0:f>
        <ns0:v/>
      </ns0:c>
      <ns0:c r="H2665">
        <ns0:f>IFERROR(IF(AND(AH!$E$4="Bloomberg",AH!$P$10=1,ISNUMBER($A2665),$A2665&lt;=AH!$P$17),AH!$P$7-1+MATCH($A2665,INDEX('AH History'!$A$1:$A$18046,AH!$P$7):INDEX('AH History'!$A$1:$A$18046,AH!$P$7+AH!$P$8-1),0),0),0)</ns0:f>
        <ns0:v/>
      </ns0:c>
      <ns0:c r="I2665">
        <ns0:f>IF($H2665=0,0,IFERROR(IF(AND(ABS($C2665-INDEX('AH History'!$B$1:$B$18046,$H2665))&lt;=MAX(0.005,ABS(INDEX('AH History'!$B$1:$B$18046,$H2665))*0.00005),ABS($D2665-INDEX('AH History'!$C$1:$C$18046,$H2665))&lt;=MAX(0.005,ABS(INDEX('AH History'!$C$1:$C$18046,$H2665))*0.00005),ABS($E2665-INDEX('AH History'!$D$1:$D$18046,$H2665))&lt;=0.00005,$F2665=INDEX('AH History'!$E$1:$E$18046,$H2665),$G2665=INDEX('AH History'!$F$1:$F$18046,$H2665)),1,-1),-1))</ns0:f>
        <ns0:v/>
      </ns0:c>
    </ns0:row>
    <ns0:row r="2666">
      <ns0:c r="A2666" s="215">
        <ns0:f>IF(OR(AH!$P$3=0,2661+1&gt;AH!$P$11,AND(AH!$E$4&lt;&gt;"Stored",AH!$P$10&lt;&gt;1)),"",IFERROR(IF(AND(AH!$P$21=1,2661+1=AH!$P$11),TODAY(),IF(AH!$P$10=1,INDEX('Live History'!$A$5:$A$3004,AH!$P$13+2661),INDEX('AH History'!$A$1:$A$18046,AH!$P$7+2661))),""))</ns0:f>
        <ns0:v/>
      </ns0:c>
      <ns0:c r="B2666" s="219">
        <ns0:f>IFERROR(IF(AND(AH!$P$9&lt;&gt;1,$C2666&gt;0,$D2666&gt;0,$E2666&gt;0,$F2666&gt;0,$G2666&gt;0,$F2666&lt;=$A2666,$G2666&lt;=$A2666,$A2666-$F2666&lt;=10,$A2666-$G2666&lt;=5),$D2666*$E2666/$C2666-1,NA()),NA())</ns0:f>
        <ns0:v/>
      </ns0:c>
      <ns0:c r="C2666">
        <ns0:f>IFERROR(IF(ISNUMBER($A2666),IF(AND(AH!$P$10=1,AH!$P$12=1,$A2666=TODAY()),AH!$P$19,IF(AH!$P$10=1,INDEX('Live History'!$B$5:$B$3004,AH!$P$13+2661),INDEX('AH History'!$B$1:$B$18046,AH!$P$7+2661))),NA()),NA())</ns0:f>
        <ns0:v/>
      </ns0:c>
      <ns0:c r="D2666">
        <ns0:f>IFERROR(IF(ISNUMBER($A2666),IF(AND(AH!$P$10=1,AH!$P$12=1,$A2666=TODAY()),AH!$P$18,IF(AH!$P$10=1,INDEX('Live History'!$E$5:$E$3004,MATCH($A2666,'Live History'!$D$5:$D$3004,1)),INDEX('AH History'!$C$1:$C$18046,AH!$P$7+2661))),NA()),NA())</ns0:f>
        <ns0:v/>
      </ns0:c>
      <ns0:c r="E2666">
        <ns0:f>IFERROR(IF(ISNUMBER($A2666),IF(AND(AH!$P$10=1,AH!$P$12=1,$A2666=TODAY()),AH!$P$20,IF(AH!$P$10=1,INDEX('Live History'!$H$5:$H$3004,MATCH($A2666,'Live History'!$G$5:$G$3004,1)),INDEX('AH History'!$D$1:$D$18046,AH!$P$7+2661))),NA()),NA())</ns0:f>
        <ns0:v/>
      </ns0:c>
      <ns0:c r="F2666">
        <ns0:f>IFERROR(IF(ISNUMBER($A2666),IF(AND(AH!$P$10=1,AH!$P$12=1,$A2666=TODAY()),IF(AND(AH!$P$10=1,AH!$P$12=1,$A2666=TODAY()),TODAY(),NA()),IF(AH!$P$10=1,INDEX('Live History'!$D$5:$D$3004,MATCH($A2666,'Live History'!$D$5:$D$3004,1)),INDEX('AH History'!$E$1:$E$18046,AH!$P$7+2661))),NA()),NA())</ns0:f>
        <ns0:v/>
      </ns0:c>
      <ns0:c r="G2666">
        <ns0:f>IFERROR(IF(ISNUMBER($A2666),IF(AND(AH!$P$10=1,AH!$P$12=1,$A2666=TODAY()),IF(AND(AH!$P$10=1,AH!$P$12=1,$A2666=TODAY()),TODAY(),NA()),IF(AH!$P$10=1,INDEX('Live History'!$G$5:$G$3004,MATCH($A2666,'Live History'!$G$5:$G$3004,1)),INDEX('AH History'!$F$1:$F$18046,AH!$P$7+2661))),NA()),NA())</ns0:f>
        <ns0:v/>
      </ns0:c>
      <ns0:c r="H2666">
        <ns0:f>IFERROR(IF(AND(AH!$E$4="Bloomberg",AH!$P$10=1,ISNUMBER($A2666),$A2666&lt;=AH!$P$17),AH!$P$7-1+MATCH($A2666,INDEX('AH History'!$A$1:$A$18046,AH!$P$7):INDEX('AH History'!$A$1:$A$18046,AH!$P$7+AH!$P$8-1),0),0),0)</ns0:f>
        <ns0:v/>
      </ns0:c>
      <ns0:c r="I2666">
        <ns0:f>IF($H2666=0,0,IFERROR(IF(AND(ABS($C2666-INDEX('AH History'!$B$1:$B$18046,$H2666))&lt;=MAX(0.005,ABS(INDEX('AH History'!$B$1:$B$18046,$H2666))*0.00005),ABS($D2666-INDEX('AH History'!$C$1:$C$18046,$H2666))&lt;=MAX(0.005,ABS(INDEX('AH History'!$C$1:$C$18046,$H2666))*0.00005),ABS($E2666-INDEX('AH History'!$D$1:$D$18046,$H2666))&lt;=0.00005,$F2666=INDEX('AH History'!$E$1:$E$18046,$H2666),$G2666=INDEX('AH History'!$F$1:$F$18046,$H2666)),1,-1),-1))</ns0:f>
        <ns0:v/>
      </ns0:c>
    </ns0:row>
    <ns0:row r="2667">
      <ns0:c r="A2667" s="215">
        <ns0:f>IF(OR(AH!$P$3=0,2662+1&gt;AH!$P$11,AND(AH!$E$4&lt;&gt;"Stored",AH!$P$10&lt;&gt;1)),"",IFERROR(IF(AND(AH!$P$21=1,2662+1=AH!$P$11),TODAY(),IF(AH!$P$10=1,INDEX('Live History'!$A$5:$A$3004,AH!$P$13+2662),INDEX('AH History'!$A$1:$A$18046,AH!$P$7+2662))),""))</ns0:f>
        <ns0:v/>
      </ns0:c>
      <ns0:c r="B2667" s="219">
        <ns0:f>IFERROR(IF(AND(AH!$P$9&lt;&gt;1,$C2667&gt;0,$D2667&gt;0,$E2667&gt;0,$F2667&gt;0,$G2667&gt;0,$F2667&lt;=$A2667,$G2667&lt;=$A2667,$A2667-$F2667&lt;=10,$A2667-$G2667&lt;=5),$D2667*$E2667/$C2667-1,NA()),NA())</ns0:f>
        <ns0:v/>
      </ns0:c>
      <ns0:c r="C2667">
        <ns0:f>IFERROR(IF(ISNUMBER($A2667),IF(AND(AH!$P$10=1,AH!$P$12=1,$A2667=TODAY()),AH!$P$19,IF(AH!$P$10=1,INDEX('Live History'!$B$5:$B$3004,AH!$P$13+2662),INDEX('AH History'!$B$1:$B$18046,AH!$P$7+2662))),NA()),NA())</ns0:f>
        <ns0:v/>
      </ns0:c>
      <ns0:c r="D2667">
        <ns0:f>IFERROR(IF(ISNUMBER($A2667),IF(AND(AH!$P$10=1,AH!$P$12=1,$A2667=TODAY()),AH!$P$18,IF(AH!$P$10=1,INDEX('Live History'!$E$5:$E$3004,MATCH($A2667,'Live History'!$D$5:$D$3004,1)),INDEX('AH History'!$C$1:$C$18046,AH!$P$7+2662))),NA()),NA())</ns0:f>
        <ns0:v/>
      </ns0:c>
      <ns0:c r="E2667">
        <ns0:f>IFERROR(IF(ISNUMBER($A2667),IF(AND(AH!$P$10=1,AH!$P$12=1,$A2667=TODAY()),AH!$P$20,IF(AH!$P$10=1,INDEX('Live History'!$H$5:$H$3004,MATCH($A2667,'Live History'!$G$5:$G$3004,1)),INDEX('AH History'!$D$1:$D$18046,AH!$P$7+2662))),NA()),NA())</ns0:f>
        <ns0:v/>
      </ns0:c>
      <ns0:c r="F2667">
        <ns0:f>IFERROR(IF(ISNUMBER($A2667),IF(AND(AH!$P$10=1,AH!$P$12=1,$A2667=TODAY()),IF(AND(AH!$P$10=1,AH!$P$12=1,$A2667=TODAY()),TODAY(),NA()),IF(AH!$P$10=1,INDEX('Live History'!$D$5:$D$3004,MATCH($A2667,'Live History'!$D$5:$D$3004,1)),INDEX('AH History'!$E$1:$E$18046,AH!$P$7+2662))),NA()),NA())</ns0:f>
        <ns0:v/>
      </ns0:c>
      <ns0:c r="G2667">
        <ns0:f>IFERROR(IF(ISNUMBER($A2667),IF(AND(AH!$P$10=1,AH!$P$12=1,$A2667=TODAY()),IF(AND(AH!$P$10=1,AH!$P$12=1,$A2667=TODAY()),TODAY(),NA()),IF(AH!$P$10=1,INDEX('Live History'!$G$5:$G$3004,MATCH($A2667,'Live History'!$G$5:$G$3004,1)),INDEX('AH History'!$F$1:$F$18046,AH!$P$7+2662))),NA()),NA())</ns0:f>
        <ns0:v/>
      </ns0:c>
      <ns0:c r="H2667">
        <ns0:f>IFERROR(IF(AND(AH!$E$4="Bloomberg",AH!$P$10=1,ISNUMBER($A2667),$A2667&lt;=AH!$P$17),AH!$P$7-1+MATCH($A2667,INDEX('AH History'!$A$1:$A$18046,AH!$P$7):INDEX('AH History'!$A$1:$A$18046,AH!$P$7+AH!$P$8-1),0),0),0)</ns0:f>
        <ns0:v/>
      </ns0:c>
      <ns0:c r="I2667">
        <ns0:f>IF($H2667=0,0,IFERROR(IF(AND(ABS($C2667-INDEX('AH History'!$B$1:$B$18046,$H2667))&lt;=MAX(0.005,ABS(INDEX('AH History'!$B$1:$B$18046,$H2667))*0.00005),ABS($D2667-INDEX('AH History'!$C$1:$C$18046,$H2667))&lt;=MAX(0.005,ABS(INDEX('AH History'!$C$1:$C$18046,$H2667))*0.00005),ABS($E2667-INDEX('AH History'!$D$1:$D$18046,$H2667))&lt;=0.00005,$F2667=INDEX('AH History'!$E$1:$E$18046,$H2667),$G2667=INDEX('AH History'!$F$1:$F$18046,$H2667)),1,-1),-1))</ns0:f>
        <ns0:v/>
      </ns0:c>
    </ns0:row>
    <ns0:row r="2668">
      <ns0:c r="A2668" s="215">
        <ns0:f>IF(OR(AH!$P$3=0,2663+1&gt;AH!$P$11,AND(AH!$E$4&lt;&gt;"Stored",AH!$P$10&lt;&gt;1)),"",IFERROR(IF(AND(AH!$P$21=1,2663+1=AH!$P$11),TODAY(),IF(AH!$P$10=1,INDEX('Live History'!$A$5:$A$3004,AH!$P$13+2663),INDEX('AH History'!$A$1:$A$18046,AH!$P$7+2663))),""))</ns0:f>
        <ns0:v/>
      </ns0:c>
      <ns0:c r="B2668" s="219">
        <ns0:f>IFERROR(IF(AND(AH!$P$9&lt;&gt;1,$C2668&gt;0,$D2668&gt;0,$E2668&gt;0,$F2668&gt;0,$G2668&gt;0,$F2668&lt;=$A2668,$G2668&lt;=$A2668,$A2668-$F2668&lt;=10,$A2668-$G2668&lt;=5),$D2668*$E2668/$C2668-1,NA()),NA())</ns0:f>
        <ns0:v/>
      </ns0:c>
      <ns0:c r="C2668">
        <ns0:f>IFERROR(IF(ISNUMBER($A2668),IF(AND(AH!$P$10=1,AH!$P$12=1,$A2668=TODAY()),AH!$P$19,IF(AH!$P$10=1,INDEX('Live History'!$B$5:$B$3004,AH!$P$13+2663),INDEX('AH History'!$B$1:$B$18046,AH!$P$7+2663))),NA()),NA())</ns0:f>
        <ns0:v/>
      </ns0:c>
      <ns0:c r="D2668">
        <ns0:f>IFERROR(IF(ISNUMBER($A2668),IF(AND(AH!$P$10=1,AH!$P$12=1,$A2668=TODAY()),AH!$P$18,IF(AH!$P$10=1,INDEX('Live History'!$E$5:$E$3004,MATCH($A2668,'Live History'!$D$5:$D$3004,1)),INDEX('AH History'!$C$1:$C$18046,AH!$P$7+2663))),NA()),NA())</ns0:f>
        <ns0:v/>
      </ns0:c>
      <ns0:c r="E2668">
        <ns0:f>IFERROR(IF(ISNUMBER($A2668),IF(AND(AH!$P$10=1,AH!$P$12=1,$A2668=TODAY()),AH!$P$20,IF(AH!$P$10=1,INDEX('Live History'!$H$5:$H$3004,MATCH($A2668,'Live History'!$G$5:$G$3004,1)),INDEX('AH History'!$D$1:$D$18046,AH!$P$7+2663))),NA()),NA())</ns0:f>
        <ns0:v/>
      </ns0:c>
      <ns0:c r="F2668">
        <ns0:f>IFERROR(IF(ISNUMBER($A2668),IF(AND(AH!$P$10=1,AH!$P$12=1,$A2668=TODAY()),IF(AND(AH!$P$10=1,AH!$P$12=1,$A2668=TODAY()),TODAY(),NA()),IF(AH!$P$10=1,INDEX('Live History'!$D$5:$D$3004,MATCH($A2668,'Live History'!$D$5:$D$3004,1)),INDEX('AH History'!$E$1:$E$18046,AH!$P$7+2663))),NA()),NA())</ns0:f>
        <ns0:v/>
      </ns0:c>
      <ns0:c r="G2668">
        <ns0:f>IFERROR(IF(ISNUMBER($A2668),IF(AND(AH!$P$10=1,AH!$P$12=1,$A2668=TODAY()),IF(AND(AH!$P$10=1,AH!$P$12=1,$A2668=TODAY()),TODAY(),NA()),IF(AH!$P$10=1,INDEX('Live History'!$G$5:$G$3004,MATCH($A2668,'Live History'!$G$5:$G$3004,1)),INDEX('AH History'!$F$1:$F$18046,AH!$P$7+2663))),NA()),NA())</ns0:f>
        <ns0:v/>
      </ns0:c>
      <ns0:c r="H2668">
        <ns0:f>IFERROR(IF(AND(AH!$E$4="Bloomberg",AH!$P$10=1,ISNUMBER($A2668),$A2668&lt;=AH!$P$17),AH!$P$7-1+MATCH($A2668,INDEX('AH History'!$A$1:$A$18046,AH!$P$7):INDEX('AH History'!$A$1:$A$18046,AH!$P$7+AH!$P$8-1),0),0),0)</ns0:f>
        <ns0:v/>
      </ns0:c>
      <ns0:c r="I2668">
        <ns0:f>IF($H2668=0,0,IFERROR(IF(AND(ABS($C2668-INDEX('AH History'!$B$1:$B$18046,$H2668))&lt;=MAX(0.005,ABS(INDEX('AH History'!$B$1:$B$18046,$H2668))*0.00005),ABS($D2668-INDEX('AH History'!$C$1:$C$18046,$H2668))&lt;=MAX(0.005,ABS(INDEX('AH History'!$C$1:$C$18046,$H2668))*0.00005),ABS($E2668-INDEX('AH History'!$D$1:$D$18046,$H2668))&lt;=0.00005,$F2668=INDEX('AH History'!$E$1:$E$18046,$H2668),$G2668=INDEX('AH History'!$F$1:$F$18046,$H2668)),1,-1),-1))</ns0:f>
        <ns0:v/>
      </ns0:c>
    </ns0:row>
    <ns0:row r="2669">
      <ns0:c r="A2669" s="215">
        <ns0:f>IF(OR(AH!$P$3=0,2664+1&gt;AH!$P$11,AND(AH!$E$4&lt;&gt;"Stored",AH!$P$10&lt;&gt;1)),"",IFERROR(IF(AND(AH!$P$21=1,2664+1=AH!$P$11),TODAY(),IF(AH!$P$10=1,INDEX('Live History'!$A$5:$A$3004,AH!$P$13+2664),INDEX('AH History'!$A$1:$A$18046,AH!$P$7+2664))),""))</ns0:f>
        <ns0:v/>
      </ns0:c>
      <ns0:c r="B2669" s="219">
        <ns0:f>IFERROR(IF(AND(AH!$P$9&lt;&gt;1,$C2669&gt;0,$D2669&gt;0,$E2669&gt;0,$F2669&gt;0,$G2669&gt;0,$F2669&lt;=$A2669,$G2669&lt;=$A2669,$A2669-$F2669&lt;=10,$A2669-$G2669&lt;=5),$D2669*$E2669/$C2669-1,NA()),NA())</ns0:f>
        <ns0:v/>
      </ns0:c>
      <ns0:c r="C2669">
        <ns0:f>IFERROR(IF(ISNUMBER($A2669),IF(AND(AH!$P$10=1,AH!$P$12=1,$A2669=TODAY()),AH!$P$19,IF(AH!$P$10=1,INDEX('Live History'!$B$5:$B$3004,AH!$P$13+2664),INDEX('AH History'!$B$1:$B$18046,AH!$P$7+2664))),NA()),NA())</ns0:f>
        <ns0:v/>
      </ns0:c>
      <ns0:c r="D2669">
        <ns0:f>IFERROR(IF(ISNUMBER($A2669),IF(AND(AH!$P$10=1,AH!$P$12=1,$A2669=TODAY()),AH!$P$18,IF(AH!$P$10=1,INDEX('Live History'!$E$5:$E$3004,MATCH($A2669,'Live History'!$D$5:$D$3004,1)),INDEX('AH History'!$C$1:$C$18046,AH!$P$7+2664))),NA()),NA())</ns0:f>
        <ns0:v/>
      </ns0:c>
      <ns0:c r="E2669">
        <ns0:f>IFERROR(IF(ISNUMBER($A2669),IF(AND(AH!$P$10=1,AH!$P$12=1,$A2669=TODAY()),AH!$P$20,IF(AH!$P$10=1,INDEX('Live History'!$H$5:$H$3004,MATCH($A2669,'Live History'!$G$5:$G$3004,1)),INDEX('AH History'!$D$1:$D$18046,AH!$P$7+2664))),NA()),NA())</ns0:f>
        <ns0:v/>
      </ns0:c>
      <ns0:c r="F2669">
        <ns0:f>IFERROR(IF(ISNUMBER($A2669),IF(AND(AH!$P$10=1,AH!$P$12=1,$A2669=TODAY()),IF(AND(AH!$P$10=1,AH!$P$12=1,$A2669=TODAY()),TODAY(),NA()),IF(AH!$P$10=1,INDEX('Live History'!$D$5:$D$3004,MATCH($A2669,'Live History'!$D$5:$D$3004,1)),INDEX('AH History'!$E$1:$E$18046,AH!$P$7+2664))),NA()),NA())</ns0:f>
        <ns0:v/>
      </ns0:c>
      <ns0:c r="G2669">
        <ns0:f>IFERROR(IF(ISNUMBER($A2669),IF(AND(AH!$P$10=1,AH!$P$12=1,$A2669=TODAY()),IF(AND(AH!$P$10=1,AH!$P$12=1,$A2669=TODAY()),TODAY(),NA()),IF(AH!$P$10=1,INDEX('Live History'!$G$5:$G$3004,MATCH($A2669,'Live History'!$G$5:$G$3004,1)),INDEX('AH History'!$F$1:$F$18046,AH!$P$7+2664))),NA()),NA())</ns0:f>
        <ns0:v/>
      </ns0:c>
      <ns0:c r="H2669">
        <ns0:f>IFERROR(IF(AND(AH!$E$4="Bloomberg",AH!$P$10=1,ISNUMBER($A2669),$A2669&lt;=AH!$P$17),AH!$P$7-1+MATCH($A2669,INDEX('AH History'!$A$1:$A$18046,AH!$P$7):INDEX('AH History'!$A$1:$A$18046,AH!$P$7+AH!$P$8-1),0),0),0)</ns0:f>
        <ns0:v/>
      </ns0:c>
      <ns0:c r="I2669">
        <ns0:f>IF($H2669=0,0,IFERROR(IF(AND(ABS($C2669-INDEX('AH History'!$B$1:$B$18046,$H2669))&lt;=MAX(0.005,ABS(INDEX('AH History'!$B$1:$B$18046,$H2669))*0.00005),ABS($D2669-INDEX('AH History'!$C$1:$C$18046,$H2669))&lt;=MAX(0.005,ABS(INDEX('AH History'!$C$1:$C$18046,$H2669))*0.00005),ABS($E2669-INDEX('AH History'!$D$1:$D$18046,$H2669))&lt;=0.00005,$F2669=INDEX('AH History'!$E$1:$E$18046,$H2669),$G2669=INDEX('AH History'!$F$1:$F$18046,$H2669)),1,-1),-1))</ns0:f>
        <ns0:v/>
      </ns0:c>
    </ns0:row>
    <ns0:row r="2670">
      <ns0:c r="A2670" s="215">
        <ns0:f>IF(OR(AH!$P$3=0,2665+1&gt;AH!$P$11,AND(AH!$E$4&lt;&gt;"Stored",AH!$P$10&lt;&gt;1)),"",IFERROR(IF(AND(AH!$P$21=1,2665+1=AH!$P$11),TODAY(),IF(AH!$P$10=1,INDEX('Live History'!$A$5:$A$3004,AH!$P$13+2665),INDEX('AH History'!$A$1:$A$18046,AH!$P$7+2665))),""))</ns0:f>
        <ns0:v/>
      </ns0:c>
      <ns0:c r="B2670" s="219">
        <ns0:f>IFERROR(IF(AND(AH!$P$9&lt;&gt;1,$C2670&gt;0,$D2670&gt;0,$E2670&gt;0,$F2670&gt;0,$G2670&gt;0,$F2670&lt;=$A2670,$G2670&lt;=$A2670,$A2670-$F2670&lt;=10,$A2670-$G2670&lt;=5),$D2670*$E2670/$C2670-1,NA()),NA())</ns0:f>
        <ns0:v/>
      </ns0:c>
      <ns0:c r="C2670">
        <ns0:f>IFERROR(IF(ISNUMBER($A2670),IF(AND(AH!$P$10=1,AH!$P$12=1,$A2670=TODAY()),AH!$P$19,IF(AH!$P$10=1,INDEX('Live History'!$B$5:$B$3004,AH!$P$13+2665),INDEX('AH History'!$B$1:$B$18046,AH!$P$7+2665))),NA()),NA())</ns0:f>
        <ns0:v/>
      </ns0:c>
      <ns0:c r="D2670">
        <ns0:f>IFERROR(IF(ISNUMBER($A2670),IF(AND(AH!$P$10=1,AH!$P$12=1,$A2670=TODAY()),AH!$P$18,IF(AH!$P$10=1,INDEX('Live History'!$E$5:$E$3004,MATCH($A2670,'Live History'!$D$5:$D$3004,1)),INDEX('AH History'!$C$1:$C$18046,AH!$P$7+2665))),NA()),NA())</ns0:f>
        <ns0:v/>
      </ns0:c>
      <ns0:c r="E2670">
        <ns0:f>IFERROR(IF(ISNUMBER($A2670),IF(AND(AH!$P$10=1,AH!$P$12=1,$A2670=TODAY()),AH!$P$20,IF(AH!$P$10=1,INDEX('Live History'!$H$5:$H$3004,MATCH($A2670,'Live History'!$G$5:$G$3004,1)),INDEX('AH History'!$D$1:$D$18046,AH!$P$7+2665))),NA()),NA())</ns0:f>
        <ns0:v/>
      </ns0:c>
      <ns0:c r="F2670">
        <ns0:f>IFERROR(IF(ISNUMBER($A2670),IF(AND(AH!$P$10=1,AH!$P$12=1,$A2670=TODAY()),IF(AND(AH!$P$10=1,AH!$P$12=1,$A2670=TODAY()),TODAY(),NA()),IF(AH!$P$10=1,INDEX('Live History'!$D$5:$D$3004,MATCH($A2670,'Live History'!$D$5:$D$3004,1)),INDEX('AH History'!$E$1:$E$18046,AH!$P$7+2665))),NA()),NA())</ns0:f>
        <ns0:v/>
      </ns0:c>
      <ns0:c r="G2670">
        <ns0:f>IFERROR(IF(ISNUMBER($A2670),IF(AND(AH!$P$10=1,AH!$P$12=1,$A2670=TODAY()),IF(AND(AH!$P$10=1,AH!$P$12=1,$A2670=TODAY()),TODAY(),NA()),IF(AH!$P$10=1,INDEX('Live History'!$G$5:$G$3004,MATCH($A2670,'Live History'!$G$5:$G$3004,1)),INDEX('AH History'!$F$1:$F$18046,AH!$P$7+2665))),NA()),NA())</ns0:f>
        <ns0:v/>
      </ns0:c>
      <ns0:c r="H2670">
        <ns0:f>IFERROR(IF(AND(AH!$E$4="Bloomberg",AH!$P$10=1,ISNUMBER($A2670),$A2670&lt;=AH!$P$17),AH!$P$7-1+MATCH($A2670,INDEX('AH History'!$A$1:$A$18046,AH!$P$7):INDEX('AH History'!$A$1:$A$18046,AH!$P$7+AH!$P$8-1),0),0),0)</ns0:f>
        <ns0:v/>
      </ns0:c>
      <ns0:c r="I2670">
        <ns0:f>IF($H2670=0,0,IFERROR(IF(AND(ABS($C2670-INDEX('AH History'!$B$1:$B$18046,$H2670))&lt;=MAX(0.005,ABS(INDEX('AH History'!$B$1:$B$18046,$H2670))*0.00005),ABS($D2670-INDEX('AH History'!$C$1:$C$18046,$H2670))&lt;=MAX(0.005,ABS(INDEX('AH History'!$C$1:$C$18046,$H2670))*0.00005),ABS($E2670-INDEX('AH History'!$D$1:$D$18046,$H2670))&lt;=0.00005,$F2670=INDEX('AH History'!$E$1:$E$18046,$H2670),$G2670=INDEX('AH History'!$F$1:$F$18046,$H2670)),1,-1),-1))</ns0:f>
        <ns0:v/>
      </ns0:c>
    </ns0:row>
    <ns0:row r="2671">
      <ns0:c r="A2671" s="215">
        <ns0:f>IF(OR(AH!$P$3=0,2666+1&gt;AH!$P$11,AND(AH!$E$4&lt;&gt;"Stored",AH!$P$10&lt;&gt;1)),"",IFERROR(IF(AND(AH!$P$21=1,2666+1=AH!$P$11),TODAY(),IF(AH!$P$10=1,INDEX('Live History'!$A$5:$A$3004,AH!$P$13+2666),INDEX('AH History'!$A$1:$A$18046,AH!$P$7+2666))),""))</ns0:f>
        <ns0:v/>
      </ns0:c>
      <ns0:c r="B2671" s="219">
        <ns0:f>IFERROR(IF(AND(AH!$P$9&lt;&gt;1,$C2671&gt;0,$D2671&gt;0,$E2671&gt;0,$F2671&gt;0,$G2671&gt;0,$F2671&lt;=$A2671,$G2671&lt;=$A2671,$A2671-$F2671&lt;=10,$A2671-$G2671&lt;=5),$D2671*$E2671/$C2671-1,NA()),NA())</ns0:f>
        <ns0:v/>
      </ns0:c>
      <ns0:c r="C2671">
        <ns0:f>IFERROR(IF(ISNUMBER($A2671),IF(AND(AH!$P$10=1,AH!$P$12=1,$A2671=TODAY()),AH!$P$19,IF(AH!$P$10=1,INDEX('Live History'!$B$5:$B$3004,AH!$P$13+2666),INDEX('AH History'!$B$1:$B$18046,AH!$P$7+2666))),NA()),NA())</ns0:f>
        <ns0:v/>
      </ns0:c>
      <ns0:c r="D2671">
        <ns0:f>IFERROR(IF(ISNUMBER($A2671),IF(AND(AH!$P$10=1,AH!$P$12=1,$A2671=TODAY()),AH!$P$18,IF(AH!$P$10=1,INDEX('Live History'!$E$5:$E$3004,MATCH($A2671,'Live History'!$D$5:$D$3004,1)),INDEX('AH History'!$C$1:$C$18046,AH!$P$7+2666))),NA()),NA())</ns0:f>
        <ns0:v/>
      </ns0:c>
      <ns0:c r="E2671">
        <ns0:f>IFERROR(IF(ISNUMBER($A2671),IF(AND(AH!$P$10=1,AH!$P$12=1,$A2671=TODAY()),AH!$P$20,IF(AH!$P$10=1,INDEX('Live History'!$H$5:$H$3004,MATCH($A2671,'Live History'!$G$5:$G$3004,1)),INDEX('AH History'!$D$1:$D$18046,AH!$P$7+2666))),NA()),NA())</ns0:f>
        <ns0:v/>
      </ns0:c>
      <ns0:c r="F2671">
        <ns0:f>IFERROR(IF(ISNUMBER($A2671),IF(AND(AH!$P$10=1,AH!$P$12=1,$A2671=TODAY()),IF(AND(AH!$P$10=1,AH!$P$12=1,$A2671=TODAY()),TODAY(),NA()),IF(AH!$P$10=1,INDEX('Live History'!$D$5:$D$3004,MATCH($A2671,'Live History'!$D$5:$D$3004,1)),INDEX('AH History'!$E$1:$E$18046,AH!$P$7+2666))),NA()),NA())</ns0:f>
        <ns0:v/>
      </ns0:c>
      <ns0:c r="G2671">
        <ns0:f>IFERROR(IF(ISNUMBER($A2671),IF(AND(AH!$P$10=1,AH!$P$12=1,$A2671=TODAY()),IF(AND(AH!$P$10=1,AH!$P$12=1,$A2671=TODAY()),TODAY(),NA()),IF(AH!$P$10=1,INDEX('Live History'!$G$5:$G$3004,MATCH($A2671,'Live History'!$G$5:$G$3004,1)),INDEX('AH History'!$F$1:$F$18046,AH!$P$7+2666))),NA()),NA())</ns0:f>
        <ns0:v/>
      </ns0:c>
      <ns0:c r="H2671">
        <ns0:f>IFERROR(IF(AND(AH!$E$4="Bloomberg",AH!$P$10=1,ISNUMBER($A2671),$A2671&lt;=AH!$P$17),AH!$P$7-1+MATCH($A2671,INDEX('AH History'!$A$1:$A$18046,AH!$P$7):INDEX('AH History'!$A$1:$A$18046,AH!$P$7+AH!$P$8-1),0),0),0)</ns0:f>
        <ns0:v/>
      </ns0:c>
      <ns0:c r="I2671">
        <ns0:f>IF($H2671=0,0,IFERROR(IF(AND(ABS($C2671-INDEX('AH History'!$B$1:$B$18046,$H2671))&lt;=MAX(0.005,ABS(INDEX('AH History'!$B$1:$B$18046,$H2671))*0.00005),ABS($D2671-INDEX('AH History'!$C$1:$C$18046,$H2671))&lt;=MAX(0.005,ABS(INDEX('AH History'!$C$1:$C$18046,$H2671))*0.00005),ABS($E2671-INDEX('AH History'!$D$1:$D$18046,$H2671))&lt;=0.00005,$F2671=INDEX('AH History'!$E$1:$E$18046,$H2671),$G2671=INDEX('AH History'!$F$1:$F$18046,$H2671)),1,-1),-1))</ns0:f>
        <ns0:v/>
      </ns0:c>
    </ns0:row>
    <ns0:row r="2672">
      <ns0:c r="A2672" s="215">
        <ns0:f>IF(OR(AH!$P$3=0,2667+1&gt;AH!$P$11,AND(AH!$E$4&lt;&gt;"Stored",AH!$P$10&lt;&gt;1)),"",IFERROR(IF(AND(AH!$P$21=1,2667+1=AH!$P$11),TODAY(),IF(AH!$P$10=1,INDEX('Live History'!$A$5:$A$3004,AH!$P$13+2667),INDEX('AH History'!$A$1:$A$18046,AH!$P$7+2667))),""))</ns0:f>
        <ns0:v/>
      </ns0:c>
      <ns0:c r="B2672" s="219">
        <ns0:f>IFERROR(IF(AND(AH!$P$9&lt;&gt;1,$C2672&gt;0,$D2672&gt;0,$E2672&gt;0,$F2672&gt;0,$G2672&gt;0,$F2672&lt;=$A2672,$G2672&lt;=$A2672,$A2672-$F2672&lt;=10,$A2672-$G2672&lt;=5),$D2672*$E2672/$C2672-1,NA()),NA())</ns0:f>
        <ns0:v/>
      </ns0:c>
      <ns0:c r="C2672">
        <ns0:f>IFERROR(IF(ISNUMBER($A2672),IF(AND(AH!$P$10=1,AH!$P$12=1,$A2672=TODAY()),AH!$P$19,IF(AH!$P$10=1,INDEX('Live History'!$B$5:$B$3004,AH!$P$13+2667),INDEX('AH History'!$B$1:$B$18046,AH!$P$7+2667))),NA()),NA())</ns0:f>
        <ns0:v/>
      </ns0:c>
      <ns0:c r="D2672">
        <ns0:f>IFERROR(IF(ISNUMBER($A2672),IF(AND(AH!$P$10=1,AH!$P$12=1,$A2672=TODAY()),AH!$P$18,IF(AH!$P$10=1,INDEX('Live History'!$E$5:$E$3004,MATCH($A2672,'Live History'!$D$5:$D$3004,1)),INDEX('AH History'!$C$1:$C$18046,AH!$P$7+2667))),NA()),NA())</ns0:f>
        <ns0:v/>
      </ns0:c>
      <ns0:c r="E2672">
        <ns0:f>IFERROR(IF(ISNUMBER($A2672),IF(AND(AH!$P$10=1,AH!$P$12=1,$A2672=TODAY()),AH!$P$20,IF(AH!$P$10=1,INDEX('Live History'!$H$5:$H$3004,MATCH($A2672,'Live History'!$G$5:$G$3004,1)),INDEX('AH History'!$D$1:$D$18046,AH!$P$7+2667))),NA()),NA())</ns0:f>
        <ns0:v/>
      </ns0:c>
      <ns0:c r="F2672">
        <ns0:f>IFERROR(IF(ISNUMBER($A2672),IF(AND(AH!$P$10=1,AH!$P$12=1,$A2672=TODAY()),IF(AND(AH!$P$10=1,AH!$P$12=1,$A2672=TODAY()),TODAY(),NA()),IF(AH!$P$10=1,INDEX('Live History'!$D$5:$D$3004,MATCH($A2672,'Live History'!$D$5:$D$3004,1)),INDEX('AH History'!$E$1:$E$18046,AH!$P$7+2667))),NA()),NA())</ns0:f>
        <ns0:v/>
      </ns0:c>
      <ns0:c r="G2672">
        <ns0:f>IFERROR(IF(ISNUMBER($A2672),IF(AND(AH!$P$10=1,AH!$P$12=1,$A2672=TODAY()),IF(AND(AH!$P$10=1,AH!$P$12=1,$A2672=TODAY()),TODAY(),NA()),IF(AH!$P$10=1,INDEX('Live History'!$G$5:$G$3004,MATCH($A2672,'Live History'!$G$5:$G$3004,1)),INDEX('AH History'!$F$1:$F$18046,AH!$P$7+2667))),NA()),NA())</ns0:f>
        <ns0:v/>
      </ns0:c>
      <ns0:c r="H2672">
        <ns0:f>IFERROR(IF(AND(AH!$E$4="Bloomberg",AH!$P$10=1,ISNUMBER($A2672),$A2672&lt;=AH!$P$17),AH!$P$7-1+MATCH($A2672,INDEX('AH History'!$A$1:$A$18046,AH!$P$7):INDEX('AH History'!$A$1:$A$18046,AH!$P$7+AH!$P$8-1),0),0),0)</ns0:f>
        <ns0:v/>
      </ns0:c>
      <ns0:c r="I2672">
        <ns0:f>IF($H2672=0,0,IFERROR(IF(AND(ABS($C2672-INDEX('AH History'!$B$1:$B$18046,$H2672))&lt;=MAX(0.005,ABS(INDEX('AH History'!$B$1:$B$18046,$H2672))*0.00005),ABS($D2672-INDEX('AH History'!$C$1:$C$18046,$H2672))&lt;=MAX(0.005,ABS(INDEX('AH History'!$C$1:$C$18046,$H2672))*0.00005),ABS($E2672-INDEX('AH History'!$D$1:$D$18046,$H2672))&lt;=0.00005,$F2672=INDEX('AH History'!$E$1:$E$18046,$H2672),$G2672=INDEX('AH History'!$F$1:$F$18046,$H2672)),1,-1),-1))</ns0:f>
        <ns0:v/>
      </ns0:c>
    </ns0:row>
    <ns0:row r="2673">
      <ns0:c r="A2673" s="215">
        <ns0:f>IF(OR(AH!$P$3=0,2668+1&gt;AH!$P$11,AND(AH!$E$4&lt;&gt;"Stored",AH!$P$10&lt;&gt;1)),"",IFERROR(IF(AND(AH!$P$21=1,2668+1=AH!$P$11),TODAY(),IF(AH!$P$10=1,INDEX('Live History'!$A$5:$A$3004,AH!$P$13+2668),INDEX('AH History'!$A$1:$A$18046,AH!$P$7+2668))),""))</ns0:f>
        <ns0:v/>
      </ns0:c>
      <ns0:c r="B2673" s="219">
        <ns0:f>IFERROR(IF(AND(AH!$P$9&lt;&gt;1,$C2673&gt;0,$D2673&gt;0,$E2673&gt;0,$F2673&gt;0,$G2673&gt;0,$F2673&lt;=$A2673,$G2673&lt;=$A2673,$A2673-$F2673&lt;=10,$A2673-$G2673&lt;=5),$D2673*$E2673/$C2673-1,NA()),NA())</ns0:f>
        <ns0:v/>
      </ns0:c>
      <ns0:c r="C2673">
        <ns0:f>IFERROR(IF(ISNUMBER($A2673),IF(AND(AH!$P$10=1,AH!$P$12=1,$A2673=TODAY()),AH!$P$19,IF(AH!$P$10=1,INDEX('Live History'!$B$5:$B$3004,AH!$P$13+2668),INDEX('AH History'!$B$1:$B$18046,AH!$P$7+2668))),NA()),NA())</ns0:f>
        <ns0:v/>
      </ns0:c>
      <ns0:c r="D2673">
        <ns0:f>IFERROR(IF(ISNUMBER($A2673),IF(AND(AH!$P$10=1,AH!$P$12=1,$A2673=TODAY()),AH!$P$18,IF(AH!$P$10=1,INDEX('Live History'!$E$5:$E$3004,MATCH($A2673,'Live History'!$D$5:$D$3004,1)),INDEX('AH History'!$C$1:$C$18046,AH!$P$7+2668))),NA()),NA())</ns0:f>
        <ns0:v/>
      </ns0:c>
      <ns0:c r="E2673">
        <ns0:f>IFERROR(IF(ISNUMBER($A2673),IF(AND(AH!$P$10=1,AH!$P$12=1,$A2673=TODAY()),AH!$P$20,IF(AH!$P$10=1,INDEX('Live History'!$H$5:$H$3004,MATCH($A2673,'Live History'!$G$5:$G$3004,1)),INDEX('AH History'!$D$1:$D$18046,AH!$P$7+2668))),NA()),NA())</ns0:f>
        <ns0:v/>
      </ns0:c>
      <ns0:c r="F2673">
        <ns0:f>IFERROR(IF(ISNUMBER($A2673),IF(AND(AH!$P$10=1,AH!$P$12=1,$A2673=TODAY()),IF(AND(AH!$P$10=1,AH!$P$12=1,$A2673=TODAY()),TODAY(),NA()),IF(AH!$P$10=1,INDEX('Live History'!$D$5:$D$3004,MATCH($A2673,'Live History'!$D$5:$D$3004,1)),INDEX('AH History'!$E$1:$E$18046,AH!$P$7+2668))),NA()),NA())</ns0:f>
        <ns0:v/>
      </ns0:c>
      <ns0:c r="G2673">
        <ns0:f>IFERROR(IF(ISNUMBER($A2673),IF(AND(AH!$P$10=1,AH!$P$12=1,$A2673=TODAY()),IF(AND(AH!$P$10=1,AH!$P$12=1,$A2673=TODAY()),TODAY(),NA()),IF(AH!$P$10=1,INDEX('Live History'!$G$5:$G$3004,MATCH($A2673,'Live History'!$G$5:$G$3004,1)),INDEX('AH History'!$F$1:$F$18046,AH!$P$7+2668))),NA()),NA())</ns0:f>
        <ns0:v/>
      </ns0:c>
      <ns0:c r="H2673">
        <ns0:f>IFERROR(IF(AND(AH!$E$4="Bloomberg",AH!$P$10=1,ISNUMBER($A2673),$A2673&lt;=AH!$P$17),AH!$P$7-1+MATCH($A2673,INDEX('AH History'!$A$1:$A$18046,AH!$P$7):INDEX('AH History'!$A$1:$A$18046,AH!$P$7+AH!$P$8-1),0),0),0)</ns0:f>
        <ns0:v/>
      </ns0:c>
      <ns0:c r="I2673">
        <ns0:f>IF($H2673=0,0,IFERROR(IF(AND(ABS($C2673-INDEX('AH History'!$B$1:$B$18046,$H2673))&lt;=MAX(0.005,ABS(INDEX('AH History'!$B$1:$B$18046,$H2673))*0.00005),ABS($D2673-INDEX('AH History'!$C$1:$C$18046,$H2673))&lt;=MAX(0.005,ABS(INDEX('AH History'!$C$1:$C$18046,$H2673))*0.00005),ABS($E2673-INDEX('AH History'!$D$1:$D$18046,$H2673))&lt;=0.00005,$F2673=INDEX('AH History'!$E$1:$E$18046,$H2673),$G2673=INDEX('AH History'!$F$1:$F$18046,$H2673)),1,-1),-1))</ns0:f>
        <ns0:v/>
      </ns0:c>
    </ns0:row>
    <ns0:row r="2674">
      <ns0:c r="A2674" s="215">
        <ns0:f>IF(OR(AH!$P$3=0,2669+1&gt;AH!$P$11,AND(AH!$E$4&lt;&gt;"Stored",AH!$P$10&lt;&gt;1)),"",IFERROR(IF(AND(AH!$P$21=1,2669+1=AH!$P$11),TODAY(),IF(AH!$P$10=1,INDEX('Live History'!$A$5:$A$3004,AH!$P$13+2669),INDEX('AH History'!$A$1:$A$18046,AH!$P$7+2669))),""))</ns0:f>
        <ns0:v/>
      </ns0:c>
      <ns0:c r="B2674" s="219">
        <ns0:f>IFERROR(IF(AND(AH!$P$9&lt;&gt;1,$C2674&gt;0,$D2674&gt;0,$E2674&gt;0,$F2674&gt;0,$G2674&gt;0,$F2674&lt;=$A2674,$G2674&lt;=$A2674,$A2674-$F2674&lt;=10,$A2674-$G2674&lt;=5),$D2674*$E2674/$C2674-1,NA()),NA())</ns0:f>
        <ns0:v/>
      </ns0:c>
      <ns0:c r="C2674">
        <ns0:f>IFERROR(IF(ISNUMBER($A2674),IF(AND(AH!$P$10=1,AH!$P$12=1,$A2674=TODAY()),AH!$P$19,IF(AH!$P$10=1,INDEX('Live History'!$B$5:$B$3004,AH!$P$13+2669),INDEX('AH History'!$B$1:$B$18046,AH!$P$7+2669))),NA()),NA())</ns0:f>
        <ns0:v/>
      </ns0:c>
      <ns0:c r="D2674">
        <ns0:f>IFERROR(IF(ISNUMBER($A2674),IF(AND(AH!$P$10=1,AH!$P$12=1,$A2674=TODAY()),AH!$P$18,IF(AH!$P$10=1,INDEX('Live History'!$E$5:$E$3004,MATCH($A2674,'Live History'!$D$5:$D$3004,1)),INDEX('AH History'!$C$1:$C$18046,AH!$P$7+2669))),NA()),NA())</ns0:f>
        <ns0:v/>
      </ns0:c>
      <ns0:c r="E2674">
        <ns0:f>IFERROR(IF(ISNUMBER($A2674),IF(AND(AH!$P$10=1,AH!$P$12=1,$A2674=TODAY()),AH!$P$20,IF(AH!$P$10=1,INDEX('Live History'!$H$5:$H$3004,MATCH($A2674,'Live History'!$G$5:$G$3004,1)),INDEX('AH History'!$D$1:$D$18046,AH!$P$7+2669))),NA()),NA())</ns0:f>
        <ns0:v/>
      </ns0:c>
      <ns0:c r="F2674">
        <ns0:f>IFERROR(IF(ISNUMBER($A2674),IF(AND(AH!$P$10=1,AH!$P$12=1,$A2674=TODAY()),IF(AND(AH!$P$10=1,AH!$P$12=1,$A2674=TODAY()),TODAY(),NA()),IF(AH!$P$10=1,INDEX('Live History'!$D$5:$D$3004,MATCH($A2674,'Live History'!$D$5:$D$3004,1)),INDEX('AH History'!$E$1:$E$18046,AH!$P$7+2669))),NA()),NA())</ns0:f>
        <ns0:v/>
      </ns0:c>
      <ns0:c r="G2674">
        <ns0:f>IFERROR(IF(ISNUMBER($A2674),IF(AND(AH!$P$10=1,AH!$P$12=1,$A2674=TODAY()),IF(AND(AH!$P$10=1,AH!$P$12=1,$A2674=TODAY()),TODAY(),NA()),IF(AH!$P$10=1,INDEX('Live History'!$G$5:$G$3004,MATCH($A2674,'Live History'!$G$5:$G$3004,1)),INDEX('AH History'!$F$1:$F$18046,AH!$P$7+2669))),NA()),NA())</ns0:f>
        <ns0:v/>
      </ns0:c>
      <ns0:c r="H2674">
        <ns0:f>IFERROR(IF(AND(AH!$E$4="Bloomberg",AH!$P$10=1,ISNUMBER($A2674),$A2674&lt;=AH!$P$17),AH!$P$7-1+MATCH($A2674,INDEX('AH History'!$A$1:$A$18046,AH!$P$7):INDEX('AH History'!$A$1:$A$18046,AH!$P$7+AH!$P$8-1),0),0),0)</ns0:f>
        <ns0:v/>
      </ns0:c>
      <ns0:c r="I2674">
        <ns0:f>IF($H2674=0,0,IFERROR(IF(AND(ABS($C2674-INDEX('AH History'!$B$1:$B$18046,$H2674))&lt;=MAX(0.005,ABS(INDEX('AH History'!$B$1:$B$18046,$H2674))*0.00005),ABS($D2674-INDEX('AH History'!$C$1:$C$18046,$H2674))&lt;=MAX(0.005,ABS(INDEX('AH History'!$C$1:$C$18046,$H2674))*0.00005),ABS($E2674-INDEX('AH History'!$D$1:$D$18046,$H2674))&lt;=0.00005,$F2674=INDEX('AH History'!$E$1:$E$18046,$H2674),$G2674=INDEX('AH History'!$F$1:$F$18046,$H2674)),1,-1),-1))</ns0:f>
        <ns0:v/>
      </ns0:c>
    </ns0:row>
    <ns0:row r="2675">
      <ns0:c r="A2675" s="215">
        <ns0:f>IF(OR(AH!$P$3=0,2670+1&gt;AH!$P$11,AND(AH!$E$4&lt;&gt;"Stored",AH!$P$10&lt;&gt;1)),"",IFERROR(IF(AND(AH!$P$21=1,2670+1=AH!$P$11),TODAY(),IF(AH!$P$10=1,INDEX('Live History'!$A$5:$A$3004,AH!$P$13+2670),INDEX('AH History'!$A$1:$A$18046,AH!$P$7+2670))),""))</ns0:f>
        <ns0:v/>
      </ns0:c>
      <ns0:c r="B2675" s="219">
        <ns0:f>IFERROR(IF(AND(AH!$P$9&lt;&gt;1,$C2675&gt;0,$D2675&gt;0,$E2675&gt;0,$F2675&gt;0,$G2675&gt;0,$F2675&lt;=$A2675,$G2675&lt;=$A2675,$A2675-$F2675&lt;=10,$A2675-$G2675&lt;=5),$D2675*$E2675/$C2675-1,NA()),NA())</ns0:f>
        <ns0:v/>
      </ns0:c>
      <ns0:c r="C2675">
        <ns0:f>IFERROR(IF(ISNUMBER($A2675),IF(AND(AH!$P$10=1,AH!$P$12=1,$A2675=TODAY()),AH!$P$19,IF(AH!$P$10=1,INDEX('Live History'!$B$5:$B$3004,AH!$P$13+2670),INDEX('AH History'!$B$1:$B$18046,AH!$P$7+2670))),NA()),NA())</ns0:f>
        <ns0:v/>
      </ns0:c>
      <ns0:c r="D2675">
        <ns0:f>IFERROR(IF(ISNUMBER($A2675),IF(AND(AH!$P$10=1,AH!$P$12=1,$A2675=TODAY()),AH!$P$18,IF(AH!$P$10=1,INDEX('Live History'!$E$5:$E$3004,MATCH($A2675,'Live History'!$D$5:$D$3004,1)),INDEX('AH History'!$C$1:$C$18046,AH!$P$7+2670))),NA()),NA())</ns0:f>
        <ns0:v/>
      </ns0:c>
      <ns0:c r="E2675">
        <ns0:f>IFERROR(IF(ISNUMBER($A2675),IF(AND(AH!$P$10=1,AH!$P$12=1,$A2675=TODAY()),AH!$P$20,IF(AH!$P$10=1,INDEX('Live History'!$H$5:$H$3004,MATCH($A2675,'Live History'!$G$5:$G$3004,1)),INDEX('AH History'!$D$1:$D$18046,AH!$P$7+2670))),NA()),NA())</ns0:f>
        <ns0:v/>
      </ns0:c>
      <ns0:c r="F2675">
        <ns0:f>IFERROR(IF(ISNUMBER($A2675),IF(AND(AH!$P$10=1,AH!$P$12=1,$A2675=TODAY()),IF(AND(AH!$P$10=1,AH!$P$12=1,$A2675=TODAY()),TODAY(),NA()),IF(AH!$P$10=1,INDEX('Live History'!$D$5:$D$3004,MATCH($A2675,'Live History'!$D$5:$D$3004,1)),INDEX('AH History'!$E$1:$E$18046,AH!$P$7+2670))),NA()),NA())</ns0:f>
        <ns0:v/>
      </ns0:c>
      <ns0:c r="G2675">
        <ns0:f>IFERROR(IF(ISNUMBER($A2675),IF(AND(AH!$P$10=1,AH!$P$12=1,$A2675=TODAY()),IF(AND(AH!$P$10=1,AH!$P$12=1,$A2675=TODAY()),TODAY(),NA()),IF(AH!$P$10=1,INDEX('Live History'!$G$5:$G$3004,MATCH($A2675,'Live History'!$G$5:$G$3004,1)),INDEX('AH History'!$F$1:$F$18046,AH!$P$7+2670))),NA()),NA())</ns0:f>
        <ns0:v/>
      </ns0:c>
      <ns0:c r="H2675">
        <ns0:f>IFERROR(IF(AND(AH!$E$4="Bloomberg",AH!$P$10=1,ISNUMBER($A2675),$A2675&lt;=AH!$P$17),AH!$P$7-1+MATCH($A2675,INDEX('AH History'!$A$1:$A$18046,AH!$P$7):INDEX('AH History'!$A$1:$A$18046,AH!$P$7+AH!$P$8-1),0),0),0)</ns0:f>
        <ns0:v/>
      </ns0:c>
      <ns0:c r="I2675">
        <ns0:f>IF($H2675=0,0,IFERROR(IF(AND(ABS($C2675-INDEX('AH History'!$B$1:$B$18046,$H2675))&lt;=MAX(0.005,ABS(INDEX('AH History'!$B$1:$B$18046,$H2675))*0.00005),ABS($D2675-INDEX('AH History'!$C$1:$C$18046,$H2675))&lt;=MAX(0.005,ABS(INDEX('AH History'!$C$1:$C$18046,$H2675))*0.00005),ABS($E2675-INDEX('AH History'!$D$1:$D$18046,$H2675))&lt;=0.00005,$F2675=INDEX('AH History'!$E$1:$E$18046,$H2675),$G2675=INDEX('AH History'!$F$1:$F$18046,$H2675)),1,-1),-1))</ns0:f>
        <ns0:v/>
      </ns0:c>
    </ns0:row>
    <ns0:row r="2676">
      <ns0:c r="A2676" s="215">
        <ns0:f>IF(OR(AH!$P$3=0,2671+1&gt;AH!$P$11,AND(AH!$E$4&lt;&gt;"Stored",AH!$P$10&lt;&gt;1)),"",IFERROR(IF(AND(AH!$P$21=1,2671+1=AH!$P$11),TODAY(),IF(AH!$P$10=1,INDEX('Live History'!$A$5:$A$3004,AH!$P$13+2671),INDEX('AH History'!$A$1:$A$18046,AH!$P$7+2671))),""))</ns0:f>
        <ns0:v/>
      </ns0:c>
      <ns0:c r="B2676" s="219">
        <ns0:f>IFERROR(IF(AND(AH!$P$9&lt;&gt;1,$C2676&gt;0,$D2676&gt;0,$E2676&gt;0,$F2676&gt;0,$G2676&gt;0,$F2676&lt;=$A2676,$G2676&lt;=$A2676,$A2676-$F2676&lt;=10,$A2676-$G2676&lt;=5),$D2676*$E2676/$C2676-1,NA()),NA())</ns0:f>
        <ns0:v/>
      </ns0:c>
      <ns0:c r="C2676">
        <ns0:f>IFERROR(IF(ISNUMBER($A2676),IF(AND(AH!$P$10=1,AH!$P$12=1,$A2676=TODAY()),AH!$P$19,IF(AH!$P$10=1,INDEX('Live History'!$B$5:$B$3004,AH!$P$13+2671),INDEX('AH History'!$B$1:$B$18046,AH!$P$7+2671))),NA()),NA())</ns0:f>
        <ns0:v/>
      </ns0:c>
      <ns0:c r="D2676">
        <ns0:f>IFERROR(IF(ISNUMBER($A2676),IF(AND(AH!$P$10=1,AH!$P$12=1,$A2676=TODAY()),AH!$P$18,IF(AH!$P$10=1,INDEX('Live History'!$E$5:$E$3004,MATCH($A2676,'Live History'!$D$5:$D$3004,1)),INDEX('AH History'!$C$1:$C$18046,AH!$P$7+2671))),NA()),NA())</ns0:f>
        <ns0:v/>
      </ns0:c>
      <ns0:c r="E2676">
        <ns0:f>IFERROR(IF(ISNUMBER($A2676),IF(AND(AH!$P$10=1,AH!$P$12=1,$A2676=TODAY()),AH!$P$20,IF(AH!$P$10=1,INDEX('Live History'!$H$5:$H$3004,MATCH($A2676,'Live History'!$G$5:$G$3004,1)),INDEX('AH History'!$D$1:$D$18046,AH!$P$7+2671))),NA()),NA())</ns0:f>
        <ns0:v/>
      </ns0:c>
      <ns0:c r="F2676">
        <ns0:f>IFERROR(IF(ISNUMBER($A2676),IF(AND(AH!$P$10=1,AH!$P$12=1,$A2676=TODAY()),IF(AND(AH!$P$10=1,AH!$P$12=1,$A2676=TODAY()),TODAY(),NA()),IF(AH!$P$10=1,INDEX('Live History'!$D$5:$D$3004,MATCH($A2676,'Live History'!$D$5:$D$3004,1)),INDEX('AH History'!$E$1:$E$18046,AH!$P$7+2671))),NA()),NA())</ns0:f>
        <ns0:v/>
      </ns0:c>
      <ns0:c r="G2676">
        <ns0:f>IFERROR(IF(ISNUMBER($A2676),IF(AND(AH!$P$10=1,AH!$P$12=1,$A2676=TODAY()),IF(AND(AH!$P$10=1,AH!$P$12=1,$A2676=TODAY()),TODAY(),NA()),IF(AH!$P$10=1,INDEX('Live History'!$G$5:$G$3004,MATCH($A2676,'Live History'!$G$5:$G$3004,1)),INDEX('AH History'!$F$1:$F$18046,AH!$P$7+2671))),NA()),NA())</ns0:f>
        <ns0:v/>
      </ns0:c>
      <ns0:c r="H2676">
        <ns0:f>IFERROR(IF(AND(AH!$E$4="Bloomberg",AH!$P$10=1,ISNUMBER($A2676),$A2676&lt;=AH!$P$17),AH!$P$7-1+MATCH($A2676,INDEX('AH History'!$A$1:$A$18046,AH!$P$7):INDEX('AH History'!$A$1:$A$18046,AH!$P$7+AH!$P$8-1),0),0),0)</ns0:f>
        <ns0:v/>
      </ns0:c>
      <ns0:c r="I2676">
        <ns0:f>IF($H2676=0,0,IFERROR(IF(AND(ABS($C2676-INDEX('AH History'!$B$1:$B$18046,$H2676))&lt;=MAX(0.005,ABS(INDEX('AH History'!$B$1:$B$18046,$H2676))*0.00005),ABS($D2676-INDEX('AH History'!$C$1:$C$18046,$H2676))&lt;=MAX(0.005,ABS(INDEX('AH History'!$C$1:$C$18046,$H2676))*0.00005),ABS($E2676-INDEX('AH History'!$D$1:$D$18046,$H2676))&lt;=0.00005,$F2676=INDEX('AH History'!$E$1:$E$18046,$H2676),$G2676=INDEX('AH History'!$F$1:$F$18046,$H2676)),1,-1),-1))</ns0:f>
        <ns0:v/>
      </ns0:c>
    </ns0:row>
    <ns0:row r="2677">
      <ns0:c r="A2677" s="215">
        <ns0:f>IF(OR(AH!$P$3=0,2672+1&gt;AH!$P$11,AND(AH!$E$4&lt;&gt;"Stored",AH!$P$10&lt;&gt;1)),"",IFERROR(IF(AND(AH!$P$21=1,2672+1=AH!$P$11),TODAY(),IF(AH!$P$10=1,INDEX('Live History'!$A$5:$A$3004,AH!$P$13+2672),INDEX('AH History'!$A$1:$A$18046,AH!$P$7+2672))),""))</ns0:f>
        <ns0:v/>
      </ns0:c>
      <ns0:c r="B2677" s="219">
        <ns0:f>IFERROR(IF(AND(AH!$P$9&lt;&gt;1,$C2677&gt;0,$D2677&gt;0,$E2677&gt;0,$F2677&gt;0,$G2677&gt;0,$F2677&lt;=$A2677,$G2677&lt;=$A2677,$A2677-$F2677&lt;=10,$A2677-$G2677&lt;=5),$D2677*$E2677/$C2677-1,NA()),NA())</ns0:f>
        <ns0:v/>
      </ns0:c>
      <ns0:c r="C2677">
        <ns0:f>IFERROR(IF(ISNUMBER($A2677),IF(AND(AH!$P$10=1,AH!$P$12=1,$A2677=TODAY()),AH!$P$19,IF(AH!$P$10=1,INDEX('Live History'!$B$5:$B$3004,AH!$P$13+2672),INDEX('AH History'!$B$1:$B$18046,AH!$P$7+2672))),NA()),NA())</ns0:f>
        <ns0:v/>
      </ns0:c>
      <ns0:c r="D2677">
        <ns0:f>IFERROR(IF(ISNUMBER($A2677),IF(AND(AH!$P$10=1,AH!$P$12=1,$A2677=TODAY()),AH!$P$18,IF(AH!$P$10=1,INDEX('Live History'!$E$5:$E$3004,MATCH($A2677,'Live History'!$D$5:$D$3004,1)),INDEX('AH History'!$C$1:$C$18046,AH!$P$7+2672))),NA()),NA())</ns0:f>
        <ns0:v/>
      </ns0:c>
      <ns0:c r="E2677">
        <ns0:f>IFERROR(IF(ISNUMBER($A2677),IF(AND(AH!$P$10=1,AH!$P$12=1,$A2677=TODAY()),AH!$P$20,IF(AH!$P$10=1,INDEX('Live History'!$H$5:$H$3004,MATCH($A2677,'Live History'!$G$5:$G$3004,1)),INDEX('AH History'!$D$1:$D$18046,AH!$P$7+2672))),NA()),NA())</ns0:f>
        <ns0:v/>
      </ns0:c>
      <ns0:c r="F2677">
        <ns0:f>IFERROR(IF(ISNUMBER($A2677),IF(AND(AH!$P$10=1,AH!$P$12=1,$A2677=TODAY()),IF(AND(AH!$P$10=1,AH!$P$12=1,$A2677=TODAY()),TODAY(),NA()),IF(AH!$P$10=1,INDEX('Live History'!$D$5:$D$3004,MATCH($A2677,'Live History'!$D$5:$D$3004,1)),INDEX('AH History'!$E$1:$E$18046,AH!$P$7+2672))),NA()),NA())</ns0:f>
        <ns0:v/>
      </ns0:c>
      <ns0:c r="G2677">
        <ns0:f>IFERROR(IF(ISNUMBER($A2677),IF(AND(AH!$P$10=1,AH!$P$12=1,$A2677=TODAY()),IF(AND(AH!$P$10=1,AH!$P$12=1,$A2677=TODAY()),TODAY(),NA()),IF(AH!$P$10=1,INDEX('Live History'!$G$5:$G$3004,MATCH($A2677,'Live History'!$G$5:$G$3004,1)),INDEX('AH History'!$F$1:$F$18046,AH!$P$7+2672))),NA()),NA())</ns0:f>
        <ns0:v/>
      </ns0:c>
      <ns0:c r="H2677">
        <ns0:f>IFERROR(IF(AND(AH!$E$4="Bloomberg",AH!$P$10=1,ISNUMBER($A2677),$A2677&lt;=AH!$P$17),AH!$P$7-1+MATCH($A2677,INDEX('AH History'!$A$1:$A$18046,AH!$P$7):INDEX('AH History'!$A$1:$A$18046,AH!$P$7+AH!$P$8-1),0),0),0)</ns0:f>
        <ns0:v/>
      </ns0:c>
      <ns0:c r="I2677">
        <ns0:f>IF($H2677=0,0,IFERROR(IF(AND(ABS($C2677-INDEX('AH History'!$B$1:$B$18046,$H2677))&lt;=MAX(0.005,ABS(INDEX('AH History'!$B$1:$B$18046,$H2677))*0.00005),ABS($D2677-INDEX('AH History'!$C$1:$C$18046,$H2677))&lt;=MAX(0.005,ABS(INDEX('AH History'!$C$1:$C$18046,$H2677))*0.00005),ABS($E2677-INDEX('AH History'!$D$1:$D$18046,$H2677))&lt;=0.00005,$F2677=INDEX('AH History'!$E$1:$E$18046,$H2677),$G2677=INDEX('AH History'!$F$1:$F$18046,$H2677)),1,-1),-1))</ns0:f>
        <ns0:v/>
      </ns0:c>
    </ns0:row>
    <ns0:row r="2678">
      <ns0:c r="A2678" s="215">
        <ns0:f>IF(OR(AH!$P$3=0,2673+1&gt;AH!$P$11,AND(AH!$E$4&lt;&gt;"Stored",AH!$P$10&lt;&gt;1)),"",IFERROR(IF(AND(AH!$P$21=1,2673+1=AH!$P$11),TODAY(),IF(AH!$P$10=1,INDEX('Live History'!$A$5:$A$3004,AH!$P$13+2673),INDEX('AH History'!$A$1:$A$18046,AH!$P$7+2673))),""))</ns0:f>
        <ns0:v/>
      </ns0:c>
      <ns0:c r="B2678" s="219">
        <ns0:f>IFERROR(IF(AND(AH!$P$9&lt;&gt;1,$C2678&gt;0,$D2678&gt;0,$E2678&gt;0,$F2678&gt;0,$G2678&gt;0,$F2678&lt;=$A2678,$G2678&lt;=$A2678,$A2678-$F2678&lt;=10,$A2678-$G2678&lt;=5),$D2678*$E2678/$C2678-1,NA()),NA())</ns0:f>
        <ns0:v/>
      </ns0:c>
      <ns0:c r="C2678">
        <ns0:f>IFERROR(IF(ISNUMBER($A2678),IF(AND(AH!$P$10=1,AH!$P$12=1,$A2678=TODAY()),AH!$P$19,IF(AH!$P$10=1,INDEX('Live History'!$B$5:$B$3004,AH!$P$13+2673),INDEX('AH History'!$B$1:$B$18046,AH!$P$7+2673))),NA()),NA())</ns0:f>
        <ns0:v/>
      </ns0:c>
      <ns0:c r="D2678">
        <ns0:f>IFERROR(IF(ISNUMBER($A2678),IF(AND(AH!$P$10=1,AH!$P$12=1,$A2678=TODAY()),AH!$P$18,IF(AH!$P$10=1,INDEX('Live History'!$E$5:$E$3004,MATCH($A2678,'Live History'!$D$5:$D$3004,1)),INDEX('AH History'!$C$1:$C$18046,AH!$P$7+2673))),NA()),NA())</ns0:f>
        <ns0:v/>
      </ns0:c>
      <ns0:c r="E2678">
        <ns0:f>IFERROR(IF(ISNUMBER($A2678),IF(AND(AH!$P$10=1,AH!$P$12=1,$A2678=TODAY()),AH!$P$20,IF(AH!$P$10=1,INDEX('Live History'!$H$5:$H$3004,MATCH($A2678,'Live History'!$G$5:$G$3004,1)),INDEX('AH History'!$D$1:$D$18046,AH!$P$7+2673))),NA()),NA())</ns0:f>
        <ns0:v/>
      </ns0:c>
      <ns0:c r="F2678">
        <ns0:f>IFERROR(IF(ISNUMBER($A2678),IF(AND(AH!$P$10=1,AH!$P$12=1,$A2678=TODAY()),IF(AND(AH!$P$10=1,AH!$P$12=1,$A2678=TODAY()),TODAY(),NA()),IF(AH!$P$10=1,INDEX('Live History'!$D$5:$D$3004,MATCH($A2678,'Live History'!$D$5:$D$3004,1)),INDEX('AH History'!$E$1:$E$18046,AH!$P$7+2673))),NA()),NA())</ns0:f>
        <ns0:v/>
      </ns0:c>
      <ns0:c r="G2678">
        <ns0:f>IFERROR(IF(ISNUMBER($A2678),IF(AND(AH!$P$10=1,AH!$P$12=1,$A2678=TODAY()),IF(AND(AH!$P$10=1,AH!$P$12=1,$A2678=TODAY()),TODAY(),NA()),IF(AH!$P$10=1,INDEX('Live History'!$G$5:$G$3004,MATCH($A2678,'Live History'!$G$5:$G$3004,1)),INDEX('AH History'!$F$1:$F$18046,AH!$P$7+2673))),NA()),NA())</ns0:f>
        <ns0:v/>
      </ns0:c>
      <ns0:c r="H2678">
        <ns0:f>IFERROR(IF(AND(AH!$E$4="Bloomberg",AH!$P$10=1,ISNUMBER($A2678),$A2678&lt;=AH!$P$17),AH!$P$7-1+MATCH($A2678,INDEX('AH History'!$A$1:$A$18046,AH!$P$7):INDEX('AH History'!$A$1:$A$18046,AH!$P$7+AH!$P$8-1),0),0),0)</ns0:f>
        <ns0:v/>
      </ns0:c>
      <ns0:c r="I2678">
        <ns0:f>IF($H2678=0,0,IFERROR(IF(AND(ABS($C2678-INDEX('AH History'!$B$1:$B$18046,$H2678))&lt;=MAX(0.005,ABS(INDEX('AH History'!$B$1:$B$18046,$H2678))*0.00005),ABS($D2678-INDEX('AH History'!$C$1:$C$18046,$H2678))&lt;=MAX(0.005,ABS(INDEX('AH History'!$C$1:$C$18046,$H2678))*0.00005),ABS($E2678-INDEX('AH History'!$D$1:$D$18046,$H2678))&lt;=0.00005,$F2678=INDEX('AH History'!$E$1:$E$18046,$H2678),$G2678=INDEX('AH History'!$F$1:$F$18046,$H2678)),1,-1),-1))</ns0:f>
        <ns0:v/>
      </ns0:c>
    </ns0:row>
    <ns0:row r="2679">
      <ns0:c r="A2679" s="215">
        <ns0:f>IF(OR(AH!$P$3=0,2674+1&gt;AH!$P$11,AND(AH!$E$4&lt;&gt;"Stored",AH!$P$10&lt;&gt;1)),"",IFERROR(IF(AND(AH!$P$21=1,2674+1=AH!$P$11),TODAY(),IF(AH!$P$10=1,INDEX('Live History'!$A$5:$A$3004,AH!$P$13+2674),INDEX('AH History'!$A$1:$A$18046,AH!$P$7+2674))),""))</ns0:f>
        <ns0:v/>
      </ns0:c>
      <ns0:c r="B2679" s="219">
        <ns0:f>IFERROR(IF(AND(AH!$P$9&lt;&gt;1,$C2679&gt;0,$D2679&gt;0,$E2679&gt;0,$F2679&gt;0,$G2679&gt;0,$F2679&lt;=$A2679,$G2679&lt;=$A2679,$A2679-$F2679&lt;=10,$A2679-$G2679&lt;=5),$D2679*$E2679/$C2679-1,NA()),NA())</ns0:f>
        <ns0:v/>
      </ns0:c>
      <ns0:c r="C2679">
        <ns0:f>IFERROR(IF(ISNUMBER($A2679),IF(AND(AH!$P$10=1,AH!$P$12=1,$A2679=TODAY()),AH!$P$19,IF(AH!$P$10=1,INDEX('Live History'!$B$5:$B$3004,AH!$P$13+2674),INDEX('AH History'!$B$1:$B$18046,AH!$P$7+2674))),NA()),NA())</ns0:f>
        <ns0:v/>
      </ns0:c>
      <ns0:c r="D2679">
        <ns0:f>IFERROR(IF(ISNUMBER($A2679),IF(AND(AH!$P$10=1,AH!$P$12=1,$A2679=TODAY()),AH!$P$18,IF(AH!$P$10=1,INDEX('Live History'!$E$5:$E$3004,MATCH($A2679,'Live History'!$D$5:$D$3004,1)),INDEX('AH History'!$C$1:$C$18046,AH!$P$7+2674))),NA()),NA())</ns0:f>
        <ns0:v/>
      </ns0:c>
      <ns0:c r="E2679">
        <ns0:f>IFERROR(IF(ISNUMBER($A2679),IF(AND(AH!$P$10=1,AH!$P$12=1,$A2679=TODAY()),AH!$P$20,IF(AH!$P$10=1,INDEX('Live History'!$H$5:$H$3004,MATCH($A2679,'Live History'!$G$5:$G$3004,1)),INDEX('AH History'!$D$1:$D$18046,AH!$P$7+2674))),NA()),NA())</ns0:f>
        <ns0:v/>
      </ns0:c>
      <ns0:c r="F2679">
        <ns0:f>IFERROR(IF(ISNUMBER($A2679),IF(AND(AH!$P$10=1,AH!$P$12=1,$A2679=TODAY()),IF(AND(AH!$P$10=1,AH!$P$12=1,$A2679=TODAY()),TODAY(),NA()),IF(AH!$P$10=1,INDEX('Live History'!$D$5:$D$3004,MATCH($A2679,'Live History'!$D$5:$D$3004,1)),INDEX('AH History'!$E$1:$E$18046,AH!$P$7+2674))),NA()),NA())</ns0:f>
        <ns0:v/>
      </ns0:c>
      <ns0:c r="G2679">
        <ns0:f>IFERROR(IF(ISNUMBER($A2679),IF(AND(AH!$P$10=1,AH!$P$12=1,$A2679=TODAY()),IF(AND(AH!$P$10=1,AH!$P$12=1,$A2679=TODAY()),TODAY(),NA()),IF(AH!$P$10=1,INDEX('Live History'!$G$5:$G$3004,MATCH($A2679,'Live History'!$G$5:$G$3004,1)),INDEX('AH History'!$F$1:$F$18046,AH!$P$7+2674))),NA()),NA())</ns0:f>
        <ns0:v/>
      </ns0:c>
      <ns0:c r="H2679">
        <ns0:f>IFERROR(IF(AND(AH!$E$4="Bloomberg",AH!$P$10=1,ISNUMBER($A2679),$A2679&lt;=AH!$P$17),AH!$P$7-1+MATCH($A2679,INDEX('AH History'!$A$1:$A$18046,AH!$P$7):INDEX('AH History'!$A$1:$A$18046,AH!$P$7+AH!$P$8-1),0),0),0)</ns0:f>
        <ns0:v/>
      </ns0:c>
      <ns0:c r="I2679">
        <ns0:f>IF($H2679=0,0,IFERROR(IF(AND(ABS($C2679-INDEX('AH History'!$B$1:$B$18046,$H2679))&lt;=MAX(0.005,ABS(INDEX('AH History'!$B$1:$B$18046,$H2679))*0.00005),ABS($D2679-INDEX('AH History'!$C$1:$C$18046,$H2679))&lt;=MAX(0.005,ABS(INDEX('AH History'!$C$1:$C$18046,$H2679))*0.00005),ABS($E2679-INDEX('AH History'!$D$1:$D$18046,$H2679))&lt;=0.00005,$F2679=INDEX('AH History'!$E$1:$E$18046,$H2679),$G2679=INDEX('AH History'!$F$1:$F$18046,$H2679)),1,-1),-1))</ns0:f>
        <ns0:v/>
      </ns0:c>
    </ns0:row>
    <ns0:row r="2680">
      <ns0:c r="A2680" s="215">
        <ns0:f>IF(OR(AH!$P$3=0,2675+1&gt;AH!$P$11,AND(AH!$E$4&lt;&gt;"Stored",AH!$P$10&lt;&gt;1)),"",IFERROR(IF(AND(AH!$P$21=1,2675+1=AH!$P$11),TODAY(),IF(AH!$P$10=1,INDEX('Live History'!$A$5:$A$3004,AH!$P$13+2675),INDEX('AH History'!$A$1:$A$18046,AH!$P$7+2675))),""))</ns0:f>
        <ns0:v/>
      </ns0:c>
      <ns0:c r="B2680" s="219">
        <ns0:f>IFERROR(IF(AND(AH!$P$9&lt;&gt;1,$C2680&gt;0,$D2680&gt;0,$E2680&gt;0,$F2680&gt;0,$G2680&gt;0,$F2680&lt;=$A2680,$G2680&lt;=$A2680,$A2680-$F2680&lt;=10,$A2680-$G2680&lt;=5),$D2680*$E2680/$C2680-1,NA()),NA())</ns0:f>
        <ns0:v/>
      </ns0:c>
      <ns0:c r="C2680">
        <ns0:f>IFERROR(IF(ISNUMBER($A2680),IF(AND(AH!$P$10=1,AH!$P$12=1,$A2680=TODAY()),AH!$P$19,IF(AH!$P$10=1,INDEX('Live History'!$B$5:$B$3004,AH!$P$13+2675),INDEX('AH History'!$B$1:$B$18046,AH!$P$7+2675))),NA()),NA())</ns0:f>
        <ns0:v/>
      </ns0:c>
      <ns0:c r="D2680">
        <ns0:f>IFERROR(IF(ISNUMBER($A2680),IF(AND(AH!$P$10=1,AH!$P$12=1,$A2680=TODAY()),AH!$P$18,IF(AH!$P$10=1,INDEX('Live History'!$E$5:$E$3004,MATCH($A2680,'Live History'!$D$5:$D$3004,1)),INDEX('AH History'!$C$1:$C$18046,AH!$P$7+2675))),NA()),NA())</ns0:f>
        <ns0:v/>
      </ns0:c>
      <ns0:c r="E2680">
        <ns0:f>IFERROR(IF(ISNUMBER($A2680),IF(AND(AH!$P$10=1,AH!$P$12=1,$A2680=TODAY()),AH!$P$20,IF(AH!$P$10=1,INDEX('Live History'!$H$5:$H$3004,MATCH($A2680,'Live History'!$G$5:$G$3004,1)),INDEX('AH History'!$D$1:$D$18046,AH!$P$7+2675))),NA()),NA())</ns0:f>
        <ns0:v/>
      </ns0:c>
      <ns0:c r="F2680">
        <ns0:f>IFERROR(IF(ISNUMBER($A2680),IF(AND(AH!$P$10=1,AH!$P$12=1,$A2680=TODAY()),IF(AND(AH!$P$10=1,AH!$P$12=1,$A2680=TODAY()),TODAY(),NA()),IF(AH!$P$10=1,INDEX('Live History'!$D$5:$D$3004,MATCH($A2680,'Live History'!$D$5:$D$3004,1)),INDEX('AH History'!$E$1:$E$18046,AH!$P$7+2675))),NA()),NA())</ns0:f>
        <ns0:v/>
      </ns0:c>
      <ns0:c r="G2680">
        <ns0:f>IFERROR(IF(ISNUMBER($A2680),IF(AND(AH!$P$10=1,AH!$P$12=1,$A2680=TODAY()),IF(AND(AH!$P$10=1,AH!$P$12=1,$A2680=TODAY()),TODAY(),NA()),IF(AH!$P$10=1,INDEX('Live History'!$G$5:$G$3004,MATCH($A2680,'Live History'!$G$5:$G$3004,1)),INDEX('AH History'!$F$1:$F$18046,AH!$P$7+2675))),NA()),NA())</ns0:f>
        <ns0:v/>
      </ns0:c>
      <ns0:c r="H2680">
        <ns0:f>IFERROR(IF(AND(AH!$E$4="Bloomberg",AH!$P$10=1,ISNUMBER($A2680),$A2680&lt;=AH!$P$17),AH!$P$7-1+MATCH($A2680,INDEX('AH History'!$A$1:$A$18046,AH!$P$7):INDEX('AH History'!$A$1:$A$18046,AH!$P$7+AH!$P$8-1),0),0),0)</ns0:f>
        <ns0:v/>
      </ns0:c>
      <ns0:c r="I2680">
        <ns0:f>IF($H2680=0,0,IFERROR(IF(AND(ABS($C2680-INDEX('AH History'!$B$1:$B$18046,$H2680))&lt;=MAX(0.005,ABS(INDEX('AH History'!$B$1:$B$18046,$H2680))*0.00005),ABS($D2680-INDEX('AH History'!$C$1:$C$18046,$H2680))&lt;=MAX(0.005,ABS(INDEX('AH History'!$C$1:$C$18046,$H2680))*0.00005),ABS($E2680-INDEX('AH History'!$D$1:$D$18046,$H2680))&lt;=0.00005,$F2680=INDEX('AH History'!$E$1:$E$18046,$H2680),$G2680=INDEX('AH History'!$F$1:$F$18046,$H2680)),1,-1),-1))</ns0:f>
        <ns0:v/>
      </ns0:c>
    </ns0:row>
    <ns0:row r="2681">
      <ns0:c r="A2681" s="215">
        <ns0:f>IF(OR(AH!$P$3=0,2676+1&gt;AH!$P$11,AND(AH!$E$4&lt;&gt;"Stored",AH!$P$10&lt;&gt;1)),"",IFERROR(IF(AND(AH!$P$21=1,2676+1=AH!$P$11),TODAY(),IF(AH!$P$10=1,INDEX('Live History'!$A$5:$A$3004,AH!$P$13+2676),INDEX('AH History'!$A$1:$A$18046,AH!$P$7+2676))),""))</ns0:f>
        <ns0:v/>
      </ns0:c>
      <ns0:c r="B2681" s="219">
        <ns0:f>IFERROR(IF(AND(AH!$P$9&lt;&gt;1,$C2681&gt;0,$D2681&gt;0,$E2681&gt;0,$F2681&gt;0,$G2681&gt;0,$F2681&lt;=$A2681,$G2681&lt;=$A2681,$A2681-$F2681&lt;=10,$A2681-$G2681&lt;=5),$D2681*$E2681/$C2681-1,NA()),NA())</ns0:f>
        <ns0:v/>
      </ns0:c>
      <ns0:c r="C2681">
        <ns0:f>IFERROR(IF(ISNUMBER($A2681),IF(AND(AH!$P$10=1,AH!$P$12=1,$A2681=TODAY()),AH!$P$19,IF(AH!$P$10=1,INDEX('Live History'!$B$5:$B$3004,AH!$P$13+2676),INDEX('AH History'!$B$1:$B$18046,AH!$P$7+2676))),NA()),NA())</ns0:f>
        <ns0:v/>
      </ns0:c>
      <ns0:c r="D2681">
        <ns0:f>IFERROR(IF(ISNUMBER($A2681),IF(AND(AH!$P$10=1,AH!$P$12=1,$A2681=TODAY()),AH!$P$18,IF(AH!$P$10=1,INDEX('Live History'!$E$5:$E$3004,MATCH($A2681,'Live History'!$D$5:$D$3004,1)),INDEX('AH History'!$C$1:$C$18046,AH!$P$7+2676))),NA()),NA())</ns0:f>
        <ns0:v/>
      </ns0:c>
      <ns0:c r="E2681">
        <ns0:f>IFERROR(IF(ISNUMBER($A2681),IF(AND(AH!$P$10=1,AH!$P$12=1,$A2681=TODAY()),AH!$P$20,IF(AH!$P$10=1,INDEX('Live History'!$H$5:$H$3004,MATCH($A2681,'Live History'!$G$5:$G$3004,1)),INDEX('AH History'!$D$1:$D$18046,AH!$P$7+2676))),NA()),NA())</ns0:f>
        <ns0:v/>
      </ns0:c>
      <ns0:c r="F2681">
        <ns0:f>IFERROR(IF(ISNUMBER($A2681),IF(AND(AH!$P$10=1,AH!$P$12=1,$A2681=TODAY()),IF(AND(AH!$P$10=1,AH!$P$12=1,$A2681=TODAY()),TODAY(),NA()),IF(AH!$P$10=1,INDEX('Live History'!$D$5:$D$3004,MATCH($A2681,'Live History'!$D$5:$D$3004,1)),INDEX('AH History'!$E$1:$E$18046,AH!$P$7+2676))),NA()),NA())</ns0:f>
        <ns0:v/>
      </ns0:c>
      <ns0:c r="G2681">
        <ns0:f>IFERROR(IF(ISNUMBER($A2681),IF(AND(AH!$P$10=1,AH!$P$12=1,$A2681=TODAY()),IF(AND(AH!$P$10=1,AH!$P$12=1,$A2681=TODAY()),TODAY(),NA()),IF(AH!$P$10=1,INDEX('Live History'!$G$5:$G$3004,MATCH($A2681,'Live History'!$G$5:$G$3004,1)),INDEX('AH History'!$F$1:$F$18046,AH!$P$7+2676))),NA()),NA())</ns0:f>
        <ns0:v/>
      </ns0:c>
      <ns0:c r="H2681">
        <ns0:f>IFERROR(IF(AND(AH!$E$4="Bloomberg",AH!$P$10=1,ISNUMBER($A2681),$A2681&lt;=AH!$P$17),AH!$P$7-1+MATCH($A2681,INDEX('AH History'!$A$1:$A$18046,AH!$P$7):INDEX('AH History'!$A$1:$A$18046,AH!$P$7+AH!$P$8-1),0),0),0)</ns0:f>
        <ns0:v/>
      </ns0:c>
      <ns0:c r="I2681">
        <ns0:f>IF($H2681=0,0,IFERROR(IF(AND(ABS($C2681-INDEX('AH History'!$B$1:$B$18046,$H2681))&lt;=MAX(0.005,ABS(INDEX('AH History'!$B$1:$B$18046,$H2681))*0.00005),ABS($D2681-INDEX('AH History'!$C$1:$C$18046,$H2681))&lt;=MAX(0.005,ABS(INDEX('AH History'!$C$1:$C$18046,$H2681))*0.00005),ABS($E2681-INDEX('AH History'!$D$1:$D$18046,$H2681))&lt;=0.00005,$F2681=INDEX('AH History'!$E$1:$E$18046,$H2681),$G2681=INDEX('AH History'!$F$1:$F$18046,$H2681)),1,-1),-1))</ns0:f>
        <ns0:v/>
      </ns0:c>
    </ns0:row>
    <ns0:row r="2682">
      <ns0:c r="A2682" s="215">
        <ns0:f>IF(OR(AH!$P$3=0,2677+1&gt;AH!$P$11,AND(AH!$E$4&lt;&gt;"Stored",AH!$P$10&lt;&gt;1)),"",IFERROR(IF(AND(AH!$P$21=1,2677+1=AH!$P$11),TODAY(),IF(AH!$P$10=1,INDEX('Live History'!$A$5:$A$3004,AH!$P$13+2677),INDEX('AH History'!$A$1:$A$18046,AH!$P$7+2677))),""))</ns0:f>
        <ns0:v/>
      </ns0:c>
      <ns0:c r="B2682" s="219">
        <ns0:f>IFERROR(IF(AND(AH!$P$9&lt;&gt;1,$C2682&gt;0,$D2682&gt;0,$E2682&gt;0,$F2682&gt;0,$G2682&gt;0,$F2682&lt;=$A2682,$G2682&lt;=$A2682,$A2682-$F2682&lt;=10,$A2682-$G2682&lt;=5),$D2682*$E2682/$C2682-1,NA()),NA())</ns0:f>
        <ns0:v/>
      </ns0:c>
      <ns0:c r="C2682">
        <ns0:f>IFERROR(IF(ISNUMBER($A2682),IF(AND(AH!$P$10=1,AH!$P$12=1,$A2682=TODAY()),AH!$P$19,IF(AH!$P$10=1,INDEX('Live History'!$B$5:$B$3004,AH!$P$13+2677),INDEX('AH History'!$B$1:$B$18046,AH!$P$7+2677))),NA()),NA())</ns0:f>
        <ns0:v/>
      </ns0:c>
      <ns0:c r="D2682">
        <ns0:f>IFERROR(IF(ISNUMBER($A2682),IF(AND(AH!$P$10=1,AH!$P$12=1,$A2682=TODAY()),AH!$P$18,IF(AH!$P$10=1,INDEX('Live History'!$E$5:$E$3004,MATCH($A2682,'Live History'!$D$5:$D$3004,1)),INDEX('AH History'!$C$1:$C$18046,AH!$P$7+2677))),NA()),NA())</ns0:f>
        <ns0:v/>
      </ns0:c>
      <ns0:c r="E2682">
        <ns0:f>IFERROR(IF(ISNUMBER($A2682),IF(AND(AH!$P$10=1,AH!$P$12=1,$A2682=TODAY()),AH!$P$20,IF(AH!$P$10=1,INDEX('Live History'!$H$5:$H$3004,MATCH($A2682,'Live History'!$G$5:$G$3004,1)),INDEX('AH History'!$D$1:$D$18046,AH!$P$7+2677))),NA()),NA())</ns0:f>
        <ns0:v/>
      </ns0:c>
      <ns0:c r="F2682">
        <ns0:f>IFERROR(IF(ISNUMBER($A2682),IF(AND(AH!$P$10=1,AH!$P$12=1,$A2682=TODAY()),IF(AND(AH!$P$10=1,AH!$P$12=1,$A2682=TODAY()),TODAY(),NA()),IF(AH!$P$10=1,INDEX('Live History'!$D$5:$D$3004,MATCH($A2682,'Live History'!$D$5:$D$3004,1)),INDEX('AH History'!$E$1:$E$18046,AH!$P$7+2677))),NA()),NA())</ns0:f>
        <ns0:v/>
      </ns0:c>
      <ns0:c r="G2682">
        <ns0:f>IFERROR(IF(ISNUMBER($A2682),IF(AND(AH!$P$10=1,AH!$P$12=1,$A2682=TODAY()),IF(AND(AH!$P$10=1,AH!$P$12=1,$A2682=TODAY()),TODAY(),NA()),IF(AH!$P$10=1,INDEX('Live History'!$G$5:$G$3004,MATCH($A2682,'Live History'!$G$5:$G$3004,1)),INDEX('AH History'!$F$1:$F$18046,AH!$P$7+2677))),NA()),NA())</ns0:f>
        <ns0:v/>
      </ns0:c>
      <ns0:c r="H2682">
        <ns0:f>IFERROR(IF(AND(AH!$E$4="Bloomberg",AH!$P$10=1,ISNUMBER($A2682),$A2682&lt;=AH!$P$17),AH!$P$7-1+MATCH($A2682,INDEX('AH History'!$A$1:$A$18046,AH!$P$7):INDEX('AH History'!$A$1:$A$18046,AH!$P$7+AH!$P$8-1),0),0),0)</ns0:f>
        <ns0:v/>
      </ns0:c>
      <ns0:c r="I2682">
        <ns0:f>IF($H2682=0,0,IFERROR(IF(AND(ABS($C2682-INDEX('AH History'!$B$1:$B$18046,$H2682))&lt;=MAX(0.005,ABS(INDEX('AH History'!$B$1:$B$18046,$H2682))*0.00005),ABS($D2682-INDEX('AH History'!$C$1:$C$18046,$H2682))&lt;=MAX(0.005,ABS(INDEX('AH History'!$C$1:$C$18046,$H2682))*0.00005),ABS($E2682-INDEX('AH History'!$D$1:$D$18046,$H2682))&lt;=0.00005,$F2682=INDEX('AH History'!$E$1:$E$18046,$H2682),$G2682=INDEX('AH History'!$F$1:$F$18046,$H2682)),1,-1),-1))</ns0:f>
        <ns0:v/>
      </ns0:c>
    </ns0:row>
    <ns0:row r="2683">
      <ns0:c r="A2683" s="215">
        <ns0:f>IF(OR(AH!$P$3=0,2678+1&gt;AH!$P$11,AND(AH!$E$4&lt;&gt;"Stored",AH!$P$10&lt;&gt;1)),"",IFERROR(IF(AND(AH!$P$21=1,2678+1=AH!$P$11),TODAY(),IF(AH!$P$10=1,INDEX('Live History'!$A$5:$A$3004,AH!$P$13+2678),INDEX('AH History'!$A$1:$A$18046,AH!$P$7+2678))),""))</ns0:f>
        <ns0:v/>
      </ns0:c>
      <ns0:c r="B2683" s="219">
        <ns0:f>IFERROR(IF(AND(AH!$P$9&lt;&gt;1,$C2683&gt;0,$D2683&gt;0,$E2683&gt;0,$F2683&gt;0,$G2683&gt;0,$F2683&lt;=$A2683,$G2683&lt;=$A2683,$A2683-$F2683&lt;=10,$A2683-$G2683&lt;=5),$D2683*$E2683/$C2683-1,NA()),NA())</ns0:f>
        <ns0:v/>
      </ns0:c>
      <ns0:c r="C2683">
        <ns0:f>IFERROR(IF(ISNUMBER($A2683),IF(AND(AH!$P$10=1,AH!$P$12=1,$A2683=TODAY()),AH!$P$19,IF(AH!$P$10=1,INDEX('Live History'!$B$5:$B$3004,AH!$P$13+2678),INDEX('AH History'!$B$1:$B$18046,AH!$P$7+2678))),NA()),NA())</ns0:f>
        <ns0:v/>
      </ns0:c>
      <ns0:c r="D2683">
        <ns0:f>IFERROR(IF(ISNUMBER($A2683),IF(AND(AH!$P$10=1,AH!$P$12=1,$A2683=TODAY()),AH!$P$18,IF(AH!$P$10=1,INDEX('Live History'!$E$5:$E$3004,MATCH($A2683,'Live History'!$D$5:$D$3004,1)),INDEX('AH History'!$C$1:$C$18046,AH!$P$7+2678))),NA()),NA())</ns0:f>
        <ns0:v/>
      </ns0:c>
      <ns0:c r="E2683">
        <ns0:f>IFERROR(IF(ISNUMBER($A2683),IF(AND(AH!$P$10=1,AH!$P$12=1,$A2683=TODAY()),AH!$P$20,IF(AH!$P$10=1,INDEX('Live History'!$H$5:$H$3004,MATCH($A2683,'Live History'!$G$5:$G$3004,1)),INDEX('AH History'!$D$1:$D$18046,AH!$P$7+2678))),NA()),NA())</ns0:f>
        <ns0:v/>
      </ns0:c>
      <ns0:c r="F2683">
        <ns0:f>IFERROR(IF(ISNUMBER($A2683),IF(AND(AH!$P$10=1,AH!$P$12=1,$A2683=TODAY()),IF(AND(AH!$P$10=1,AH!$P$12=1,$A2683=TODAY()),TODAY(),NA()),IF(AH!$P$10=1,INDEX('Live History'!$D$5:$D$3004,MATCH($A2683,'Live History'!$D$5:$D$3004,1)),INDEX('AH History'!$E$1:$E$18046,AH!$P$7+2678))),NA()),NA())</ns0:f>
        <ns0:v/>
      </ns0:c>
      <ns0:c r="G2683">
        <ns0:f>IFERROR(IF(ISNUMBER($A2683),IF(AND(AH!$P$10=1,AH!$P$12=1,$A2683=TODAY()),IF(AND(AH!$P$10=1,AH!$P$12=1,$A2683=TODAY()),TODAY(),NA()),IF(AH!$P$10=1,INDEX('Live History'!$G$5:$G$3004,MATCH($A2683,'Live History'!$G$5:$G$3004,1)),INDEX('AH History'!$F$1:$F$18046,AH!$P$7+2678))),NA()),NA())</ns0:f>
        <ns0:v/>
      </ns0:c>
      <ns0:c r="H2683">
        <ns0:f>IFERROR(IF(AND(AH!$E$4="Bloomberg",AH!$P$10=1,ISNUMBER($A2683),$A2683&lt;=AH!$P$17),AH!$P$7-1+MATCH($A2683,INDEX('AH History'!$A$1:$A$18046,AH!$P$7):INDEX('AH History'!$A$1:$A$18046,AH!$P$7+AH!$P$8-1),0),0),0)</ns0:f>
        <ns0:v/>
      </ns0:c>
      <ns0:c r="I2683">
        <ns0:f>IF($H2683=0,0,IFERROR(IF(AND(ABS($C2683-INDEX('AH History'!$B$1:$B$18046,$H2683))&lt;=MAX(0.005,ABS(INDEX('AH History'!$B$1:$B$18046,$H2683))*0.00005),ABS($D2683-INDEX('AH History'!$C$1:$C$18046,$H2683))&lt;=MAX(0.005,ABS(INDEX('AH History'!$C$1:$C$18046,$H2683))*0.00005),ABS($E2683-INDEX('AH History'!$D$1:$D$18046,$H2683))&lt;=0.00005,$F2683=INDEX('AH History'!$E$1:$E$18046,$H2683),$G2683=INDEX('AH History'!$F$1:$F$18046,$H2683)),1,-1),-1))</ns0:f>
        <ns0:v/>
      </ns0:c>
    </ns0:row>
    <ns0:row r="2684">
      <ns0:c r="A2684" s="215">
        <ns0:f>IF(OR(AH!$P$3=0,2679+1&gt;AH!$P$11,AND(AH!$E$4&lt;&gt;"Stored",AH!$P$10&lt;&gt;1)),"",IFERROR(IF(AND(AH!$P$21=1,2679+1=AH!$P$11),TODAY(),IF(AH!$P$10=1,INDEX('Live History'!$A$5:$A$3004,AH!$P$13+2679),INDEX('AH History'!$A$1:$A$18046,AH!$P$7+2679))),""))</ns0:f>
        <ns0:v/>
      </ns0:c>
      <ns0:c r="B2684" s="219">
        <ns0:f>IFERROR(IF(AND(AH!$P$9&lt;&gt;1,$C2684&gt;0,$D2684&gt;0,$E2684&gt;0,$F2684&gt;0,$G2684&gt;0,$F2684&lt;=$A2684,$G2684&lt;=$A2684,$A2684-$F2684&lt;=10,$A2684-$G2684&lt;=5),$D2684*$E2684/$C2684-1,NA()),NA())</ns0:f>
        <ns0:v/>
      </ns0:c>
      <ns0:c r="C2684">
        <ns0:f>IFERROR(IF(ISNUMBER($A2684),IF(AND(AH!$P$10=1,AH!$P$12=1,$A2684=TODAY()),AH!$P$19,IF(AH!$P$10=1,INDEX('Live History'!$B$5:$B$3004,AH!$P$13+2679),INDEX('AH History'!$B$1:$B$18046,AH!$P$7+2679))),NA()),NA())</ns0:f>
        <ns0:v/>
      </ns0:c>
      <ns0:c r="D2684">
        <ns0:f>IFERROR(IF(ISNUMBER($A2684),IF(AND(AH!$P$10=1,AH!$P$12=1,$A2684=TODAY()),AH!$P$18,IF(AH!$P$10=1,INDEX('Live History'!$E$5:$E$3004,MATCH($A2684,'Live History'!$D$5:$D$3004,1)),INDEX('AH History'!$C$1:$C$18046,AH!$P$7+2679))),NA()),NA())</ns0:f>
        <ns0:v/>
      </ns0:c>
      <ns0:c r="E2684">
        <ns0:f>IFERROR(IF(ISNUMBER($A2684),IF(AND(AH!$P$10=1,AH!$P$12=1,$A2684=TODAY()),AH!$P$20,IF(AH!$P$10=1,INDEX('Live History'!$H$5:$H$3004,MATCH($A2684,'Live History'!$G$5:$G$3004,1)),INDEX('AH History'!$D$1:$D$18046,AH!$P$7+2679))),NA()),NA())</ns0:f>
        <ns0:v/>
      </ns0:c>
      <ns0:c r="F2684">
        <ns0:f>IFERROR(IF(ISNUMBER($A2684),IF(AND(AH!$P$10=1,AH!$P$12=1,$A2684=TODAY()),IF(AND(AH!$P$10=1,AH!$P$12=1,$A2684=TODAY()),TODAY(),NA()),IF(AH!$P$10=1,INDEX('Live History'!$D$5:$D$3004,MATCH($A2684,'Live History'!$D$5:$D$3004,1)),INDEX('AH History'!$E$1:$E$18046,AH!$P$7+2679))),NA()),NA())</ns0:f>
        <ns0:v/>
      </ns0:c>
      <ns0:c r="G2684">
        <ns0:f>IFERROR(IF(ISNUMBER($A2684),IF(AND(AH!$P$10=1,AH!$P$12=1,$A2684=TODAY()),IF(AND(AH!$P$10=1,AH!$P$12=1,$A2684=TODAY()),TODAY(),NA()),IF(AH!$P$10=1,INDEX('Live History'!$G$5:$G$3004,MATCH($A2684,'Live History'!$G$5:$G$3004,1)),INDEX('AH History'!$F$1:$F$18046,AH!$P$7+2679))),NA()),NA())</ns0:f>
        <ns0:v/>
      </ns0:c>
      <ns0:c r="H2684">
        <ns0:f>IFERROR(IF(AND(AH!$E$4="Bloomberg",AH!$P$10=1,ISNUMBER($A2684),$A2684&lt;=AH!$P$17),AH!$P$7-1+MATCH($A2684,INDEX('AH History'!$A$1:$A$18046,AH!$P$7):INDEX('AH History'!$A$1:$A$18046,AH!$P$7+AH!$P$8-1),0),0),0)</ns0:f>
        <ns0:v/>
      </ns0:c>
      <ns0:c r="I2684">
        <ns0:f>IF($H2684=0,0,IFERROR(IF(AND(ABS($C2684-INDEX('AH History'!$B$1:$B$18046,$H2684))&lt;=MAX(0.005,ABS(INDEX('AH History'!$B$1:$B$18046,$H2684))*0.00005),ABS($D2684-INDEX('AH History'!$C$1:$C$18046,$H2684))&lt;=MAX(0.005,ABS(INDEX('AH History'!$C$1:$C$18046,$H2684))*0.00005),ABS($E2684-INDEX('AH History'!$D$1:$D$18046,$H2684))&lt;=0.00005,$F2684=INDEX('AH History'!$E$1:$E$18046,$H2684),$G2684=INDEX('AH History'!$F$1:$F$18046,$H2684)),1,-1),-1))</ns0:f>
        <ns0:v/>
      </ns0:c>
    </ns0:row>
    <ns0:row r="2685">
      <ns0:c r="A2685" s="215">
        <ns0:f>IF(OR(AH!$P$3=0,2680+1&gt;AH!$P$11,AND(AH!$E$4&lt;&gt;"Stored",AH!$P$10&lt;&gt;1)),"",IFERROR(IF(AND(AH!$P$21=1,2680+1=AH!$P$11),TODAY(),IF(AH!$P$10=1,INDEX('Live History'!$A$5:$A$3004,AH!$P$13+2680),INDEX('AH History'!$A$1:$A$18046,AH!$P$7+2680))),""))</ns0:f>
        <ns0:v/>
      </ns0:c>
      <ns0:c r="B2685" s="219">
        <ns0:f>IFERROR(IF(AND(AH!$P$9&lt;&gt;1,$C2685&gt;0,$D2685&gt;0,$E2685&gt;0,$F2685&gt;0,$G2685&gt;0,$F2685&lt;=$A2685,$G2685&lt;=$A2685,$A2685-$F2685&lt;=10,$A2685-$G2685&lt;=5),$D2685*$E2685/$C2685-1,NA()),NA())</ns0:f>
        <ns0:v/>
      </ns0:c>
      <ns0:c r="C2685">
        <ns0:f>IFERROR(IF(ISNUMBER($A2685),IF(AND(AH!$P$10=1,AH!$P$12=1,$A2685=TODAY()),AH!$P$19,IF(AH!$P$10=1,INDEX('Live History'!$B$5:$B$3004,AH!$P$13+2680),INDEX('AH History'!$B$1:$B$18046,AH!$P$7+2680))),NA()),NA())</ns0:f>
        <ns0:v/>
      </ns0:c>
      <ns0:c r="D2685">
        <ns0:f>IFERROR(IF(ISNUMBER($A2685),IF(AND(AH!$P$10=1,AH!$P$12=1,$A2685=TODAY()),AH!$P$18,IF(AH!$P$10=1,INDEX('Live History'!$E$5:$E$3004,MATCH($A2685,'Live History'!$D$5:$D$3004,1)),INDEX('AH History'!$C$1:$C$18046,AH!$P$7+2680))),NA()),NA())</ns0:f>
        <ns0:v/>
      </ns0:c>
      <ns0:c r="E2685">
        <ns0:f>IFERROR(IF(ISNUMBER($A2685),IF(AND(AH!$P$10=1,AH!$P$12=1,$A2685=TODAY()),AH!$P$20,IF(AH!$P$10=1,INDEX('Live History'!$H$5:$H$3004,MATCH($A2685,'Live History'!$G$5:$G$3004,1)),INDEX('AH History'!$D$1:$D$18046,AH!$P$7+2680))),NA()),NA())</ns0:f>
        <ns0:v/>
      </ns0:c>
      <ns0:c r="F2685">
        <ns0:f>IFERROR(IF(ISNUMBER($A2685),IF(AND(AH!$P$10=1,AH!$P$12=1,$A2685=TODAY()),IF(AND(AH!$P$10=1,AH!$P$12=1,$A2685=TODAY()),TODAY(),NA()),IF(AH!$P$10=1,INDEX('Live History'!$D$5:$D$3004,MATCH($A2685,'Live History'!$D$5:$D$3004,1)),INDEX('AH History'!$E$1:$E$18046,AH!$P$7+2680))),NA()),NA())</ns0:f>
        <ns0:v/>
      </ns0:c>
      <ns0:c r="G2685">
        <ns0:f>IFERROR(IF(ISNUMBER($A2685),IF(AND(AH!$P$10=1,AH!$P$12=1,$A2685=TODAY()),IF(AND(AH!$P$10=1,AH!$P$12=1,$A2685=TODAY()),TODAY(),NA()),IF(AH!$P$10=1,INDEX('Live History'!$G$5:$G$3004,MATCH($A2685,'Live History'!$G$5:$G$3004,1)),INDEX('AH History'!$F$1:$F$18046,AH!$P$7+2680))),NA()),NA())</ns0:f>
        <ns0:v/>
      </ns0:c>
      <ns0:c r="H2685">
        <ns0:f>IFERROR(IF(AND(AH!$E$4="Bloomberg",AH!$P$10=1,ISNUMBER($A2685),$A2685&lt;=AH!$P$17),AH!$P$7-1+MATCH($A2685,INDEX('AH History'!$A$1:$A$18046,AH!$P$7):INDEX('AH History'!$A$1:$A$18046,AH!$P$7+AH!$P$8-1),0),0),0)</ns0:f>
        <ns0:v/>
      </ns0:c>
      <ns0:c r="I2685">
        <ns0:f>IF($H2685=0,0,IFERROR(IF(AND(ABS($C2685-INDEX('AH History'!$B$1:$B$18046,$H2685))&lt;=MAX(0.005,ABS(INDEX('AH History'!$B$1:$B$18046,$H2685))*0.00005),ABS($D2685-INDEX('AH History'!$C$1:$C$18046,$H2685))&lt;=MAX(0.005,ABS(INDEX('AH History'!$C$1:$C$18046,$H2685))*0.00005),ABS($E2685-INDEX('AH History'!$D$1:$D$18046,$H2685))&lt;=0.00005,$F2685=INDEX('AH History'!$E$1:$E$18046,$H2685),$G2685=INDEX('AH History'!$F$1:$F$18046,$H2685)),1,-1),-1))</ns0:f>
        <ns0:v/>
      </ns0:c>
    </ns0:row>
    <ns0:row r="2686">
      <ns0:c r="A2686" s="215">
        <ns0:f>IF(OR(AH!$P$3=0,2681+1&gt;AH!$P$11,AND(AH!$E$4&lt;&gt;"Stored",AH!$P$10&lt;&gt;1)),"",IFERROR(IF(AND(AH!$P$21=1,2681+1=AH!$P$11),TODAY(),IF(AH!$P$10=1,INDEX('Live History'!$A$5:$A$3004,AH!$P$13+2681),INDEX('AH History'!$A$1:$A$18046,AH!$P$7+2681))),""))</ns0:f>
        <ns0:v/>
      </ns0:c>
      <ns0:c r="B2686" s="219">
        <ns0:f>IFERROR(IF(AND(AH!$P$9&lt;&gt;1,$C2686&gt;0,$D2686&gt;0,$E2686&gt;0,$F2686&gt;0,$G2686&gt;0,$F2686&lt;=$A2686,$G2686&lt;=$A2686,$A2686-$F2686&lt;=10,$A2686-$G2686&lt;=5),$D2686*$E2686/$C2686-1,NA()),NA())</ns0:f>
        <ns0:v/>
      </ns0:c>
      <ns0:c r="C2686">
        <ns0:f>IFERROR(IF(ISNUMBER($A2686),IF(AND(AH!$P$10=1,AH!$P$12=1,$A2686=TODAY()),AH!$P$19,IF(AH!$P$10=1,INDEX('Live History'!$B$5:$B$3004,AH!$P$13+2681),INDEX('AH History'!$B$1:$B$18046,AH!$P$7+2681))),NA()),NA())</ns0:f>
        <ns0:v/>
      </ns0:c>
      <ns0:c r="D2686">
        <ns0:f>IFERROR(IF(ISNUMBER($A2686),IF(AND(AH!$P$10=1,AH!$P$12=1,$A2686=TODAY()),AH!$P$18,IF(AH!$P$10=1,INDEX('Live History'!$E$5:$E$3004,MATCH($A2686,'Live History'!$D$5:$D$3004,1)),INDEX('AH History'!$C$1:$C$18046,AH!$P$7+2681))),NA()),NA())</ns0:f>
        <ns0:v/>
      </ns0:c>
      <ns0:c r="E2686">
        <ns0:f>IFERROR(IF(ISNUMBER($A2686),IF(AND(AH!$P$10=1,AH!$P$12=1,$A2686=TODAY()),AH!$P$20,IF(AH!$P$10=1,INDEX('Live History'!$H$5:$H$3004,MATCH($A2686,'Live History'!$G$5:$G$3004,1)),INDEX('AH History'!$D$1:$D$18046,AH!$P$7+2681))),NA()),NA())</ns0:f>
        <ns0:v/>
      </ns0:c>
      <ns0:c r="F2686">
        <ns0:f>IFERROR(IF(ISNUMBER($A2686),IF(AND(AH!$P$10=1,AH!$P$12=1,$A2686=TODAY()),IF(AND(AH!$P$10=1,AH!$P$12=1,$A2686=TODAY()),TODAY(),NA()),IF(AH!$P$10=1,INDEX('Live History'!$D$5:$D$3004,MATCH($A2686,'Live History'!$D$5:$D$3004,1)),INDEX('AH History'!$E$1:$E$18046,AH!$P$7+2681))),NA()),NA())</ns0:f>
        <ns0:v/>
      </ns0:c>
      <ns0:c r="G2686">
        <ns0:f>IFERROR(IF(ISNUMBER($A2686),IF(AND(AH!$P$10=1,AH!$P$12=1,$A2686=TODAY()),IF(AND(AH!$P$10=1,AH!$P$12=1,$A2686=TODAY()),TODAY(),NA()),IF(AH!$P$10=1,INDEX('Live History'!$G$5:$G$3004,MATCH($A2686,'Live History'!$G$5:$G$3004,1)),INDEX('AH History'!$F$1:$F$18046,AH!$P$7+2681))),NA()),NA())</ns0:f>
        <ns0:v/>
      </ns0:c>
      <ns0:c r="H2686">
        <ns0:f>IFERROR(IF(AND(AH!$E$4="Bloomberg",AH!$P$10=1,ISNUMBER($A2686),$A2686&lt;=AH!$P$17),AH!$P$7-1+MATCH($A2686,INDEX('AH History'!$A$1:$A$18046,AH!$P$7):INDEX('AH History'!$A$1:$A$18046,AH!$P$7+AH!$P$8-1),0),0),0)</ns0:f>
        <ns0:v/>
      </ns0:c>
      <ns0:c r="I2686">
        <ns0:f>IF($H2686=0,0,IFERROR(IF(AND(ABS($C2686-INDEX('AH History'!$B$1:$B$18046,$H2686))&lt;=MAX(0.005,ABS(INDEX('AH History'!$B$1:$B$18046,$H2686))*0.00005),ABS($D2686-INDEX('AH History'!$C$1:$C$18046,$H2686))&lt;=MAX(0.005,ABS(INDEX('AH History'!$C$1:$C$18046,$H2686))*0.00005),ABS($E2686-INDEX('AH History'!$D$1:$D$18046,$H2686))&lt;=0.00005,$F2686=INDEX('AH History'!$E$1:$E$18046,$H2686),$G2686=INDEX('AH History'!$F$1:$F$18046,$H2686)),1,-1),-1))</ns0:f>
        <ns0:v/>
      </ns0:c>
    </ns0:row>
    <ns0:row r="2687">
      <ns0:c r="A2687" s="215">
        <ns0:f>IF(OR(AH!$P$3=0,2682+1&gt;AH!$P$11,AND(AH!$E$4&lt;&gt;"Stored",AH!$P$10&lt;&gt;1)),"",IFERROR(IF(AND(AH!$P$21=1,2682+1=AH!$P$11),TODAY(),IF(AH!$P$10=1,INDEX('Live History'!$A$5:$A$3004,AH!$P$13+2682),INDEX('AH History'!$A$1:$A$18046,AH!$P$7+2682))),""))</ns0:f>
        <ns0:v/>
      </ns0:c>
      <ns0:c r="B2687" s="219">
        <ns0:f>IFERROR(IF(AND(AH!$P$9&lt;&gt;1,$C2687&gt;0,$D2687&gt;0,$E2687&gt;0,$F2687&gt;0,$G2687&gt;0,$F2687&lt;=$A2687,$G2687&lt;=$A2687,$A2687-$F2687&lt;=10,$A2687-$G2687&lt;=5),$D2687*$E2687/$C2687-1,NA()),NA())</ns0:f>
        <ns0:v/>
      </ns0:c>
      <ns0:c r="C2687">
        <ns0:f>IFERROR(IF(ISNUMBER($A2687),IF(AND(AH!$P$10=1,AH!$P$12=1,$A2687=TODAY()),AH!$P$19,IF(AH!$P$10=1,INDEX('Live History'!$B$5:$B$3004,AH!$P$13+2682),INDEX('AH History'!$B$1:$B$18046,AH!$P$7+2682))),NA()),NA())</ns0:f>
        <ns0:v/>
      </ns0:c>
      <ns0:c r="D2687">
        <ns0:f>IFERROR(IF(ISNUMBER($A2687),IF(AND(AH!$P$10=1,AH!$P$12=1,$A2687=TODAY()),AH!$P$18,IF(AH!$P$10=1,INDEX('Live History'!$E$5:$E$3004,MATCH($A2687,'Live History'!$D$5:$D$3004,1)),INDEX('AH History'!$C$1:$C$18046,AH!$P$7+2682))),NA()),NA())</ns0:f>
        <ns0:v/>
      </ns0:c>
      <ns0:c r="E2687">
        <ns0:f>IFERROR(IF(ISNUMBER($A2687),IF(AND(AH!$P$10=1,AH!$P$12=1,$A2687=TODAY()),AH!$P$20,IF(AH!$P$10=1,INDEX('Live History'!$H$5:$H$3004,MATCH($A2687,'Live History'!$G$5:$G$3004,1)),INDEX('AH History'!$D$1:$D$18046,AH!$P$7+2682))),NA()),NA())</ns0:f>
        <ns0:v/>
      </ns0:c>
      <ns0:c r="F2687">
        <ns0:f>IFERROR(IF(ISNUMBER($A2687),IF(AND(AH!$P$10=1,AH!$P$12=1,$A2687=TODAY()),IF(AND(AH!$P$10=1,AH!$P$12=1,$A2687=TODAY()),TODAY(),NA()),IF(AH!$P$10=1,INDEX('Live History'!$D$5:$D$3004,MATCH($A2687,'Live History'!$D$5:$D$3004,1)),INDEX('AH History'!$E$1:$E$18046,AH!$P$7+2682))),NA()),NA())</ns0:f>
        <ns0:v/>
      </ns0:c>
      <ns0:c r="G2687">
        <ns0:f>IFERROR(IF(ISNUMBER($A2687),IF(AND(AH!$P$10=1,AH!$P$12=1,$A2687=TODAY()),IF(AND(AH!$P$10=1,AH!$P$12=1,$A2687=TODAY()),TODAY(),NA()),IF(AH!$P$10=1,INDEX('Live History'!$G$5:$G$3004,MATCH($A2687,'Live History'!$G$5:$G$3004,1)),INDEX('AH History'!$F$1:$F$18046,AH!$P$7+2682))),NA()),NA())</ns0:f>
        <ns0:v/>
      </ns0:c>
      <ns0:c r="H2687">
        <ns0:f>IFERROR(IF(AND(AH!$E$4="Bloomberg",AH!$P$10=1,ISNUMBER($A2687),$A2687&lt;=AH!$P$17),AH!$P$7-1+MATCH($A2687,INDEX('AH History'!$A$1:$A$18046,AH!$P$7):INDEX('AH History'!$A$1:$A$18046,AH!$P$7+AH!$P$8-1),0),0),0)</ns0:f>
        <ns0:v/>
      </ns0:c>
      <ns0:c r="I2687">
        <ns0:f>IF($H2687=0,0,IFERROR(IF(AND(ABS($C2687-INDEX('AH History'!$B$1:$B$18046,$H2687))&lt;=MAX(0.005,ABS(INDEX('AH History'!$B$1:$B$18046,$H2687))*0.00005),ABS($D2687-INDEX('AH History'!$C$1:$C$18046,$H2687))&lt;=MAX(0.005,ABS(INDEX('AH History'!$C$1:$C$18046,$H2687))*0.00005),ABS($E2687-INDEX('AH History'!$D$1:$D$18046,$H2687))&lt;=0.00005,$F2687=INDEX('AH History'!$E$1:$E$18046,$H2687),$G2687=INDEX('AH History'!$F$1:$F$18046,$H2687)),1,-1),-1))</ns0:f>
        <ns0:v/>
      </ns0:c>
    </ns0:row>
    <ns0:row r="2688">
      <ns0:c r="A2688" s="215">
        <ns0:f>IF(OR(AH!$P$3=0,2683+1&gt;AH!$P$11,AND(AH!$E$4&lt;&gt;"Stored",AH!$P$10&lt;&gt;1)),"",IFERROR(IF(AND(AH!$P$21=1,2683+1=AH!$P$11),TODAY(),IF(AH!$P$10=1,INDEX('Live History'!$A$5:$A$3004,AH!$P$13+2683),INDEX('AH History'!$A$1:$A$18046,AH!$P$7+2683))),""))</ns0:f>
        <ns0:v/>
      </ns0:c>
      <ns0:c r="B2688" s="219">
        <ns0:f>IFERROR(IF(AND(AH!$P$9&lt;&gt;1,$C2688&gt;0,$D2688&gt;0,$E2688&gt;0,$F2688&gt;0,$G2688&gt;0,$F2688&lt;=$A2688,$G2688&lt;=$A2688,$A2688-$F2688&lt;=10,$A2688-$G2688&lt;=5),$D2688*$E2688/$C2688-1,NA()),NA())</ns0:f>
        <ns0:v/>
      </ns0:c>
      <ns0:c r="C2688">
        <ns0:f>IFERROR(IF(ISNUMBER($A2688),IF(AND(AH!$P$10=1,AH!$P$12=1,$A2688=TODAY()),AH!$P$19,IF(AH!$P$10=1,INDEX('Live History'!$B$5:$B$3004,AH!$P$13+2683),INDEX('AH History'!$B$1:$B$18046,AH!$P$7+2683))),NA()),NA())</ns0:f>
        <ns0:v/>
      </ns0:c>
      <ns0:c r="D2688">
        <ns0:f>IFERROR(IF(ISNUMBER($A2688),IF(AND(AH!$P$10=1,AH!$P$12=1,$A2688=TODAY()),AH!$P$18,IF(AH!$P$10=1,INDEX('Live History'!$E$5:$E$3004,MATCH($A2688,'Live History'!$D$5:$D$3004,1)),INDEX('AH History'!$C$1:$C$18046,AH!$P$7+2683))),NA()),NA())</ns0:f>
        <ns0:v/>
      </ns0:c>
      <ns0:c r="E2688">
        <ns0:f>IFERROR(IF(ISNUMBER($A2688),IF(AND(AH!$P$10=1,AH!$P$12=1,$A2688=TODAY()),AH!$P$20,IF(AH!$P$10=1,INDEX('Live History'!$H$5:$H$3004,MATCH($A2688,'Live History'!$G$5:$G$3004,1)),INDEX('AH History'!$D$1:$D$18046,AH!$P$7+2683))),NA()),NA())</ns0:f>
        <ns0:v/>
      </ns0:c>
      <ns0:c r="F2688">
        <ns0:f>IFERROR(IF(ISNUMBER($A2688),IF(AND(AH!$P$10=1,AH!$P$12=1,$A2688=TODAY()),IF(AND(AH!$P$10=1,AH!$P$12=1,$A2688=TODAY()),TODAY(),NA()),IF(AH!$P$10=1,INDEX('Live History'!$D$5:$D$3004,MATCH($A2688,'Live History'!$D$5:$D$3004,1)),INDEX('AH History'!$E$1:$E$18046,AH!$P$7+2683))),NA()),NA())</ns0:f>
        <ns0:v/>
      </ns0:c>
      <ns0:c r="G2688">
        <ns0:f>IFERROR(IF(ISNUMBER($A2688),IF(AND(AH!$P$10=1,AH!$P$12=1,$A2688=TODAY()),IF(AND(AH!$P$10=1,AH!$P$12=1,$A2688=TODAY()),TODAY(),NA()),IF(AH!$P$10=1,INDEX('Live History'!$G$5:$G$3004,MATCH($A2688,'Live History'!$G$5:$G$3004,1)),INDEX('AH History'!$F$1:$F$18046,AH!$P$7+2683))),NA()),NA())</ns0:f>
        <ns0:v/>
      </ns0:c>
      <ns0:c r="H2688">
        <ns0:f>IFERROR(IF(AND(AH!$E$4="Bloomberg",AH!$P$10=1,ISNUMBER($A2688),$A2688&lt;=AH!$P$17),AH!$P$7-1+MATCH($A2688,INDEX('AH History'!$A$1:$A$18046,AH!$P$7):INDEX('AH History'!$A$1:$A$18046,AH!$P$7+AH!$P$8-1),0),0),0)</ns0:f>
        <ns0:v/>
      </ns0:c>
      <ns0:c r="I2688">
        <ns0:f>IF($H2688=0,0,IFERROR(IF(AND(ABS($C2688-INDEX('AH History'!$B$1:$B$18046,$H2688))&lt;=MAX(0.005,ABS(INDEX('AH History'!$B$1:$B$18046,$H2688))*0.00005),ABS($D2688-INDEX('AH History'!$C$1:$C$18046,$H2688))&lt;=MAX(0.005,ABS(INDEX('AH History'!$C$1:$C$18046,$H2688))*0.00005),ABS($E2688-INDEX('AH History'!$D$1:$D$18046,$H2688))&lt;=0.00005,$F2688=INDEX('AH History'!$E$1:$E$18046,$H2688),$G2688=INDEX('AH History'!$F$1:$F$18046,$H2688)),1,-1),-1))</ns0:f>
        <ns0:v/>
      </ns0:c>
    </ns0:row>
    <ns0:row r="2689">
      <ns0:c r="A2689" s="215">
        <ns0:f>IF(OR(AH!$P$3=0,2684+1&gt;AH!$P$11,AND(AH!$E$4&lt;&gt;"Stored",AH!$P$10&lt;&gt;1)),"",IFERROR(IF(AND(AH!$P$21=1,2684+1=AH!$P$11),TODAY(),IF(AH!$P$10=1,INDEX('Live History'!$A$5:$A$3004,AH!$P$13+2684),INDEX('AH History'!$A$1:$A$18046,AH!$P$7+2684))),""))</ns0:f>
        <ns0:v/>
      </ns0:c>
      <ns0:c r="B2689" s="219">
        <ns0:f>IFERROR(IF(AND(AH!$P$9&lt;&gt;1,$C2689&gt;0,$D2689&gt;0,$E2689&gt;0,$F2689&gt;0,$G2689&gt;0,$F2689&lt;=$A2689,$G2689&lt;=$A2689,$A2689-$F2689&lt;=10,$A2689-$G2689&lt;=5),$D2689*$E2689/$C2689-1,NA()),NA())</ns0:f>
        <ns0:v/>
      </ns0:c>
      <ns0:c r="C2689">
        <ns0:f>IFERROR(IF(ISNUMBER($A2689),IF(AND(AH!$P$10=1,AH!$P$12=1,$A2689=TODAY()),AH!$P$19,IF(AH!$P$10=1,INDEX('Live History'!$B$5:$B$3004,AH!$P$13+2684),INDEX('AH History'!$B$1:$B$18046,AH!$P$7+2684))),NA()),NA())</ns0:f>
        <ns0:v/>
      </ns0:c>
      <ns0:c r="D2689">
        <ns0:f>IFERROR(IF(ISNUMBER($A2689),IF(AND(AH!$P$10=1,AH!$P$12=1,$A2689=TODAY()),AH!$P$18,IF(AH!$P$10=1,INDEX('Live History'!$E$5:$E$3004,MATCH($A2689,'Live History'!$D$5:$D$3004,1)),INDEX('AH History'!$C$1:$C$18046,AH!$P$7+2684))),NA()),NA())</ns0:f>
        <ns0:v/>
      </ns0:c>
      <ns0:c r="E2689">
        <ns0:f>IFERROR(IF(ISNUMBER($A2689),IF(AND(AH!$P$10=1,AH!$P$12=1,$A2689=TODAY()),AH!$P$20,IF(AH!$P$10=1,INDEX('Live History'!$H$5:$H$3004,MATCH($A2689,'Live History'!$G$5:$G$3004,1)),INDEX('AH History'!$D$1:$D$18046,AH!$P$7+2684))),NA()),NA())</ns0:f>
        <ns0:v/>
      </ns0:c>
      <ns0:c r="F2689">
        <ns0:f>IFERROR(IF(ISNUMBER($A2689),IF(AND(AH!$P$10=1,AH!$P$12=1,$A2689=TODAY()),IF(AND(AH!$P$10=1,AH!$P$12=1,$A2689=TODAY()),TODAY(),NA()),IF(AH!$P$10=1,INDEX('Live History'!$D$5:$D$3004,MATCH($A2689,'Live History'!$D$5:$D$3004,1)),INDEX('AH History'!$E$1:$E$18046,AH!$P$7+2684))),NA()),NA())</ns0:f>
        <ns0:v/>
      </ns0:c>
      <ns0:c r="G2689">
        <ns0:f>IFERROR(IF(ISNUMBER($A2689),IF(AND(AH!$P$10=1,AH!$P$12=1,$A2689=TODAY()),IF(AND(AH!$P$10=1,AH!$P$12=1,$A2689=TODAY()),TODAY(),NA()),IF(AH!$P$10=1,INDEX('Live History'!$G$5:$G$3004,MATCH($A2689,'Live History'!$G$5:$G$3004,1)),INDEX('AH History'!$F$1:$F$18046,AH!$P$7+2684))),NA()),NA())</ns0:f>
        <ns0:v/>
      </ns0:c>
      <ns0:c r="H2689">
        <ns0:f>IFERROR(IF(AND(AH!$E$4="Bloomberg",AH!$P$10=1,ISNUMBER($A2689),$A2689&lt;=AH!$P$17),AH!$P$7-1+MATCH($A2689,INDEX('AH History'!$A$1:$A$18046,AH!$P$7):INDEX('AH History'!$A$1:$A$18046,AH!$P$7+AH!$P$8-1),0),0),0)</ns0:f>
        <ns0:v/>
      </ns0:c>
      <ns0:c r="I2689">
        <ns0:f>IF($H2689=0,0,IFERROR(IF(AND(ABS($C2689-INDEX('AH History'!$B$1:$B$18046,$H2689))&lt;=MAX(0.005,ABS(INDEX('AH History'!$B$1:$B$18046,$H2689))*0.00005),ABS($D2689-INDEX('AH History'!$C$1:$C$18046,$H2689))&lt;=MAX(0.005,ABS(INDEX('AH History'!$C$1:$C$18046,$H2689))*0.00005),ABS($E2689-INDEX('AH History'!$D$1:$D$18046,$H2689))&lt;=0.00005,$F2689=INDEX('AH History'!$E$1:$E$18046,$H2689),$G2689=INDEX('AH History'!$F$1:$F$18046,$H2689)),1,-1),-1))</ns0:f>
        <ns0:v/>
      </ns0:c>
    </ns0:row>
    <ns0:row r="2690">
      <ns0:c r="A2690" s="215">
        <ns0:f>IF(OR(AH!$P$3=0,2685+1&gt;AH!$P$11,AND(AH!$E$4&lt;&gt;"Stored",AH!$P$10&lt;&gt;1)),"",IFERROR(IF(AND(AH!$P$21=1,2685+1=AH!$P$11),TODAY(),IF(AH!$P$10=1,INDEX('Live History'!$A$5:$A$3004,AH!$P$13+2685),INDEX('AH History'!$A$1:$A$18046,AH!$P$7+2685))),""))</ns0:f>
        <ns0:v/>
      </ns0:c>
      <ns0:c r="B2690" s="219">
        <ns0:f>IFERROR(IF(AND(AH!$P$9&lt;&gt;1,$C2690&gt;0,$D2690&gt;0,$E2690&gt;0,$F2690&gt;0,$G2690&gt;0,$F2690&lt;=$A2690,$G2690&lt;=$A2690,$A2690-$F2690&lt;=10,$A2690-$G2690&lt;=5),$D2690*$E2690/$C2690-1,NA()),NA())</ns0:f>
        <ns0:v/>
      </ns0:c>
      <ns0:c r="C2690">
        <ns0:f>IFERROR(IF(ISNUMBER($A2690),IF(AND(AH!$P$10=1,AH!$P$12=1,$A2690=TODAY()),AH!$P$19,IF(AH!$P$10=1,INDEX('Live History'!$B$5:$B$3004,AH!$P$13+2685),INDEX('AH History'!$B$1:$B$18046,AH!$P$7+2685))),NA()),NA())</ns0:f>
        <ns0:v/>
      </ns0:c>
      <ns0:c r="D2690">
        <ns0:f>IFERROR(IF(ISNUMBER($A2690),IF(AND(AH!$P$10=1,AH!$P$12=1,$A2690=TODAY()),AH!$P$18,IF(AH!$P$10=1,INDEX('Live History'!$E$5:$E$3004,MATCH($A2690,'Live History'!$D$5:$D$3004,1)),INDEX('AH History'!$C$1:$C$18046,AH!$P$7+2685))),NA()),NA())</ns0:f>
        <ns0:v/>
      </ns0:c>
      <ns0:c r="E2690">
        <ns0:f>IFERROR(IF(ISNUMBER($A2690),IF(AND(AH!$P$10=1,AH!$P$12=1,$A2690=TODAY()),AH!$P$20,IF(AH!$P$10=1,INDEX('Live History'!$H$5:$H$3004,MATCH($A2690,'Live History'!$G$5:$G$3004,1)),INDEX('AH History'!$D$1:$D$18046,AH!$P$7+2685))),NA()),NA())</ns0:f>
        <ns0:v/>
      </ns0:c>
      <ns0:c r="F2690">
        <ns0:f>IFERROR(IF(ISNUMBER($A2690),IF(AND(AH!$P$10=1,AH!$P$12=1,$A2690=TODAY()),IF(AND(AH!$P$10=1,AH!$P$12=1,$A2690=TODAY()),TODAY(),NA()),IF(AH!$P$10=1,INDEX('Live History'!$D$5:$D$3004,MATCH($A2690,'Live History'!$D$5:$D$3004,1)),INDEX('AH History'!$E$1:$E$18046,AH!$P$7+2685))),NA()),NA())</ns0:f>
        <ns0:v/>
      </ns0:c>
      <ns0:c r="G2690">
        <ns0:f>IFERROR(IF(ISNUMBER($A2690),IF(AND(AH!$P$10=1,AH!$P$12=1,$A2690=TODAY()),IF(AND(AH!$P$10=1,AH!$P$12=1,$A2690=TODAY()),TODAY(),NA()),IF(AH!$P$10=1,INDEX('Live History'!$G$5:$G$3004,MATCH($A2690,'Live History'!$G$5:$G$3004,1)),INDEX('AH History'!$F$1:$F$18046,AH!$P$7+2685))),NA()),NA())</ns0:f>
        <ns0:v/>
      </ns0:c>
      <ns0:c r="H2690">
        <ns0:f>IFERROR(IF(AND(AH!$E$4="Bloomberg",AH!$P$10=1,ISNUMBER($A2690),$A2690&lt;=AH!$P$17),AH!$P$7-1+MATCH($A2690,INDEX('AH History'!$A$1:$A$18046,AH!$P$7):INDEX('AH History'!$A$1:$A$18046,AH!$P$7+AH!$P$8-1),0),0),0)</ns0:f>
        <ns0:v/>
      </ns0:c>
      <ns0:c r="I2690">
        <ns0:f>IF($H2690=0,0,IFERROR(IF(AND(ABS($C2690-INDEX('AH History'!$B$1:$B$18046,$H2690))&lt;=MAX(0.005,ABS(INDEX('AH History'!$B$1:$B$18046,$H2690))*0.00005),ABS($D2690-INDEX('AH History'!$C$1:$C$18046,$H2690))&lt;=MAX(0.005,ABS(INDEX('AH History'!$C$1:$C$18046,$H2690))*0.00005),ABS($E2690-INDEX('AH History'!$D$1:$D$18046,$H2690))&lt;=0.00005,$F2690=INDEX('AH History'!$E$1:$E$18046,$H2690),$G2690=INDEX('AH History'!$F$1:$F$18046,$H2690)),1,-1),-1))</ns0:f>
        <ns0:v/>
      </ns0:c>
    </ns0:row>
    <ns0:row r="2691">
      <ns0:c r="A2691" s="215">
        <ns0:f>IF(OR(AH!$P$3=0,2686+1&gt;AH!$P$11,AND(AH!$E$4&lt;&gt;"Stored",AH!$P$10&lt;&gt;1)),"",IFERROR(IF(AND(AH!$P$21=1,2686+1=AH!$P$11),TODAY(),IF(AH!$P$10=1,INDEX('Live History'!$A$5:$A$3004,AH!$P$13+2686),INDEX('AH History'!$A$1:$A$18046,AH!$P$7+2686))),""))</ns0:f>
        <ns0:v/>
      </ns0:c>
      <ns0:c r="B2691" s="219">
        <ns0:f>IFERROR(IF(AND(AH!$P$9&lt;&gt;1,$C2691&gt;0,$D2691&gt;0,$E2691&gt;0,$F2691&gt;0,$G2691&gt;0,$F2691&lt;=$A2691,$G2691&lt;=$A2691,$A2691-$F2691&lt;=10,$A2691-$G2691&lt;=5),$D2691*$E2691/$C2691-1,NA()),NA())</ns0:f>
        <ns0:v/>
      </ns0:c>
      <ns0:c r="C2691">
        <ns0:f>IFERROR(IF(ISNUMBER($A2691),IF(AND(AH!$P$10=1,AH!$P$12=1,$A2691=TODAY()),AH!$P$19,IF(AH!$P$10=1,INDEX('Live History'!$B$5:$B$3004,AH!$P$13+2686),INDEX('AH History'!$B$1:$B$18046,AH!$P$7+2686))),NA()),NA())</ns0:f>
        <ns0:v/>
      </ns0:c>
      <ns0:c r="D2691">
        <ns0:f>IFERROR(IF(ISNUMBER($A2691),IF(AND(AH!$P$10=1,AH!$P$12=1,$A2691=TODAY()),AH!$P$18,IF(AH!$P$10=1,INDEX('Live History'!$E$5:$E$3004,MATCH($A2691,'Live History'!$D$5:$D$3004,1)),INDEX('AH History'!$C$1:$C$18046,AH!$P$7+2686))),NA()),NA())</ns0:f>
        <ns0:v/>
      </ns0:c>
      <ns0:c r="E2691">
        <ns0:f>IFERROR(IF(ISNUMBER($A2691),IF(AND(AH!$P$10=1,AH!$P$12=1,$A2691=TODAY()),AH!$P$20,IF(AH!$P$10=1,INDEX('Live History'!$H$5:$H$3004,MATCH($A2691,'Live History'!$G$5:$G$3004,1)),INDEX('AH History'!$D$1:$D$18046,AH!$P$7+2686))),NA()),NA())</ns0:f>
        <ns0:v/>
      </ns0:c>
      <ns0:c r="F2691">
        <ns0:f>IFERROR(IF(ISNUMBER($A2691),IF(AND(AH!$P$10=1,AH!$P$12=1,$A2691=TODAY()),IF(AND(AH!$P$10=1,AH!$P$12=1,$A2691=TODAY()),TODAY(),NA()),IF(AH!$P$10=1,INDEX('Live History'!$D$5:$D$3004,MATCH($A2691,'Live History'!$D$5:$D$3004,1)),INDEX('AH History'!$E$1:$E$18046,AH!$P$7+2686))),NA()),NA())</ns0:f>
        <ns0:v/>
      </ns0:c>
      <ns0:c r="G2691">
        <ns0:f>IFERROR(IF(ISNUMBER($A2691),IF(AND(AH!$P$10=1,AH!$P$12=1,$A2691=TODAY()),IF(AND(AH!$P$10=1,AH!$P$12=1,$A2691=TODAY()),TODAY(),NA()),IF(AH!$P$10=1,INDEX('Live History'!$G$5:$G$3004,MATCH($A2691,'Live History'!$G$5:$G$3004,1)),INDEX('AH History'!$F$1:$F$18046,AH!$P$7+2686))),NA()),NA())</ns0:f>
        <ns0:v/>
      </ns0:c>
      <ns0:c r="H2691">
        <ns0:f>IFERROR(IF(AND(AH!$E$4="Bloomberg",AH!$P$10=1,ISNUMBER($A2691),$A2691&lt;=AH!$P$17),AH!$P$7-1+MATCH($A2691,INDEX('AH History'!$A$1:$A$18046,AH!$P$7):INDEX('AH History'!$A$1:$A$18046,AH!$P$7+AH!$P$8-1),0),0),0)</ns0:f>
        <ns0:v/>
      </ns0:c>
      <ns0:c r="I2691">
        <ns0:f>IF($H2691=0,0,IFERROR(IF(AND(ABS($C2691-INDEX('AH History'!$B$1:$B$18046,$H2691))&lt;=MAX(0.005,ABS(INDEX('AH History'!$B$1:$B$18046,$H2691))*0.00005),ABS($D2691-INDEX('AH History'!$C$1:$C$18046,$H2691))&lt;=MAX(0.005,ABS(INDEX('AH History'!$C$1:$C$18046,$H2691))*0.00005),ABS($E2691-INDEX('AH History'!$D$1:$D$18046,$H2691))&lt;=0.00005,$F2691=INDEX('AH History'!$E$1:$E$18046,$H2691),$G2691=INDEX('AH History'!$F$1:$F$18046,$H2691)),1,-1),-1))</ns0:f>
        <ns0:v/>
      </ns0:c>
    </ns0:row>
    <ns0:row r="2692">
      <ns0:c r="A2692" s="215">
        <ns0:f>IF(OR(AH!$P$3=0,2687+1&gt;AH!$P$11,AND(AH!$E$4&lt;&gt;"Stored",AH!$P$10&lt;&gt;1)),"",IFERROR(IF(AND(AH!$P$21=1,2687+1=AH!$P$11),TODAY(),IF(AH!$P$10=1,INDEX('Live History'!$A$5:$A$3004,AH!$P$13+2687),INDEX('AH History'!$A$1:$A$18046,AH!$P$7+2687))),""))</ns0:f>
        <ns0:v/>
      </ns0:c>
      <ns0:c r="B2692" s="219">
        <ns0:f>IFERROR(IF(AND(AH!$P$9&lt;&gt;1,$C2692&gt;0,$D2692&gt;0,$E2692&gt;0,$F2692&gt;0,$G2692&gt;0,$F2692&lt;=$A2692,$G2692&lt;=$A2692,$A2692-$F2692&lt;=10,$A2692-$G2692&lt;=5),$D2692*$E2692/$C2692-1,NA()),NA())</ns0:f>
        <ns0:v/>
      </ns0:c>
      <ns0:c r="C2692">
        <ns0:f>IFERROR(IF(ISNUMBER($A2692),IF(AND(AH!$P$10=1,AH!$P$12=1,$A2692=TODAY()),AH!$P$19,IF(AH!$P$10=1,INDEX('Live History'!$B$5:$B$3004,AH!$P$13+2687),INDEX('AH History'!$B$1:$B$18046,AH!$P$7+2687))),NA()),NA())</ns0:f>
        <ns0:v/>
      </ns0:c>
      <ns0:c r="D2692">
        <ns0:f>IFERROR(IF(ISNUMBER($A2692),IF(AND(AH!$P$10=1,AH!$P$12=1,$A2692=TODAY()),AH!$P$18,IF(AH!$P$10=1,INDEX('Live History'!$E$5:$E$3004,MATCH($A2692,'Live History'!$D$5:$D$3004,1)),INDEX('AH History'!$C$1:$C$18046,AH!$P$7+2687))),NA()),NA())</ns0:f>
        <ns0:v/>
      </ns0:c>
      <ns0:c r="E2692">
        <ns0:f>IFERROR(IF(ISNUMBER($A2692),IF(AND(AH!$P$10=1,AH!$P$12=1,$A2692=TODAY()),AH!$P$20,IF(AH!$P$10=1,INDEX('Live History'!$H$5:$H$3004,MATCH($A2692,'Live History'!$G$5:$G$3004,1)),INDEX('AH History'!$D$1:$D$18046,AH!$P$7+2687))),NA()),NA())</ns0:f>
        <ns0:v/>
      </ns0:c>
      <ns0:c r="F2692">
        <ns0:f>IFERROR(IF(ISNUMBER($A2692),IF(AND(AH!$P$10=1,AH!$P$12=1,$A2692=TODAY()),IF(AND(AH!$P$10=1,AH!$P$12=1,$A2692=TODAY()),TODAY(),NA()),IF(AH!$P$10=1,INDEX('Live History'!$D$5:$D$3004,MATCH($A2692,'Live History'!$D$5:$D$3004,1)),INDEX('AH History'!$E$1:$E$18046,AH!$P$7+2687))),NA()),NA())</ns0:f>
        <ns0:v/>
      </ns0:c>
      <ns0:c r="G2692">
        <ns0:f>IFERROR(IF(ISNUMBER($A2692),IF(AND(AH!$P$10=1,AH!$P$12=1,$A2692=TODAY()),IF(AND(AH!$P$10=1,AH!$P$12=1,$A2692=TODAY()),TODAY(),NA()),IF(AH!$P$10=1,INDEX('Live History'!$G$5:$G$3004,MATCH($A2692,'Live History'!$G$5:$G$3004,1)),INDEX('AH History'!$F$1:$F$18046,AH!$P$7+2687))),NA()),NA())</ns0:f>
        <ns0:v/>
      </ns0:c>
      <ns0:c r="H2692">
        <ns0:f>IFERROR(IF(AND(AH!$E$4="Bloomberg",AH!$P$10=1,ISNUMBER($A2692),$A2692&lt;=AH!$P$17),AH!$P$7-1+MATCH($A2692,INDEX('AH History'!$A$1:$A$18046,AH!$P$7):INDEX('AH History'!$A$1:$A$18046,AH!$P$7+AH!$P$8-1),0),0),0)</ns0:f>
        <ns0:v/>
      </ns0:c>
      <ns0:c r="I2692">
        <ns0:f>IF($H2692=0,0,IFERROR(IF(AND(ABS($C2692-INDEX('AH History'!$B$1:$B$18046,$H2692))&lt;=MAX(0.005,ABS(INDEX('AH History'!$B$1:$B$18046,$H2692))*0.00005),ABS($D2692-INDEX('AH History'!$C$1:$C$18046,$H2692))&lt;=MAX(0.005,ABS(INDEX('AH History'!$C$1:$C$18046,$H2692))*0.00005),ABS($E2692-INDEX('AH History'!$D$1:$D$18046,$H2692))&lt;=0.00005,$F2692=INDEX('AH History'!$E$1:$E$18046,$H2692),$G2692=INDEX('AH History'!$F$1:$F$18046,$H2692)),1,-1),-1))</ns0:f>
        <ns0:v/>
      </ns0:c>
    </ns0:row>
    <ns0:row r="2693">
      <ns0:c r="A2693" s="215">
        <ns0:f>IF(OR(AH!$P$3=0,2688+1&gt;AH!$P$11,AND(AH!$E$4&lt;&gt;"Stored",AH!$P$10&lt;&gt;1)),"",IFERROR(IF(AND(AH!$P$21=1,2688+1=AH!$P$11),TODAY(),IF(AH!$P$10=1,INDEX('Live History'!$A$5:$A$3004,AH!$P$13+2688),INDEX('AH History'!$A$1:$A$18046,AH!$P$7+2688))),""))</ns0:f>
        <ns0:v/>
      </ns0:c>
      <ns0:c r="B2693" s="219">
        <ns0:f>IFERROR(IF(AND(AH!$P$9&lt;&gt;1,$C2693&gt;0,$D2693&gt;0,$E2693&gt;0,$F2693&gt;0,$G2693&gt;0,$F2693&lt;=$A2693,$G2693&lt;=$A2693,$A2693-$F2693&lt;=10,$A2693-$G2693&lt;=5),$D2693*$E2693/$C2693-1,NA()),NA())</ns0:f>
        <ns0:v/>
      </ns0:c>
      <ns0:c r="C2693">
        <ns0:f>IFERROR(IF(ISNUMBER($A2693),IF(AND(AH!$P$10=1,AH!$P$12=1,$A2693=TODAY()),AH!$P$19,IF(AH!$P$10=1,INDEX('Live History'!$B$5:$B$3004,AH!$P$13+2688),INDEX('AH History'!$B$1:$B$18046,AH!$P$7+2688))),NA()),NA())</ns0:f>
        <ns0:v/>
      </ns0:c>
      <ns0:c r="D2693">
        <ns0:f>IFERROR(IF(ISNUMBER($A2693),IF(AND(AH!$P$10=1,AH!$P$12=1,$A2693=TODAY()),AH!$P$18,IF(AH!$P$10=1,INDEX('Live History'!$E$5:$E$3004,MATCH($A2693,'Live History'!$D$5:$D$3004,1)),INDEX('AH History'!$C$1:$C$18046,AH!$P$7+2688))),NA()),NA())</ns0:f>
        <ns0:v/>
      </ns0:c>
      <ns0:c r="E2693">
        <ns0:f>IFERROR(IF(ISNUMBER($A2693),IF(AND(AH!$P$10=1,AH!$P$12=1,$A2693=TODAY()),AH!$P$20,IF(AH!$P$10=1,INDEX('Live History'!$H$5:$H$3004,MATCH($A2693,'Live History'!$G$5:$G$3004,1)),INDEX('AH History'!$D$1:$D$18046,AH!$P$7+2688))),NA()),NA())</ns0:f>
        <ns0:v/>
      </ns0:c>
      <ns0:c r="F2693">
        <ns0:f>IFERROR(IF(ISNUMBER($A2693),IF(AND(AH!$P$10=1,AH!$P$12=1,$A2693=TODAY()),IF(AND(AH!$P$10=1,AH!$P$12=1,$A2693=TODAY()),TODAY(),NA()),IF(AH!$P$10=1,INDEX('Live History'!$D$5:$D$3004,MATCH($A2693,'Live History'!$D$5:$D$3004,1)),INDEX('AH History'!$E$1:$E$18046,AH!$P$7+2688))),NA()),NA())</ns0:f>
        <ns0:v/>
      </ns0:c>
      <ns0:c r="G2693">
        <ns0:f>IFERROR(IF(ISNUMBER($A2693),IF(AND(AH!$P$10=1,AH!$P$12=1,$A2693=TODAY()),IF(AND(AH!$P$10=1,AH!$P$12=1,$A2693=TODAY()),TODAY(),NA()),IF(AH!$P$10=1,INDEX('Live History'!$G$5:$G$3004,MATCH($A2693,'Live History'!$G$5:$G$3004,1)),INDEX('AH History'!$F$1:$F$18046,AH!$P$7+2688))),NA()),NA())</ns0:f>
        <ns0:v/>
      </ns0:c>
      <ns0:c r="H2693">
        <ns0:f>IFERROR(IF(AND(AH!$E$4="Bloomberg",AH!$P$10=1,ISNUMBER($A2693),$A2693&lt;=AH!$P$17),AH!$P$7-1+MATCH($A2693,INDEX('AH History'!$A$1:$A$18046,AH!$P$7):INDEX('AH History'!$A$1:$A$18046,AH!$P$7+AH!$P$8-1),0),0),0)</ns0:f>
        <ns0:v/>
      </ns0:c>
      <ns0:c r="I2693">
        <ns0:f>IF($H2693=0,0,IFERROR(IF(AND(ABS($C2693-INDEX('AH History'!$B$1:$B$18046,$H2693))&lt;=MAX(0.005,ABS(INDEX('AH History'!$B$1:$B$18046,$H2693))*0.00005),ABS($D2693-INDEX('AH History'!$C$1:$C$18046,$H2693))&lt;=MAX(0.005,ABS(INDEX('AH History'!$C$1:$C$18046,$H2693))*0.00005),ABS($E2693-INDEX('AH History'!$D$1:$D$18046,$H2693))&lt;=0.00005,$F2693=INDEX('AH History'!$E$1:$E$18046,$H2693),$G2693=INDEX('AH History'!$F$1:$F$18046,$H2693)),1,-1),-1))</ns0:f>
        <ns0:v/>
      </ns0:c>
    </ns0:row>
    <ns0:row r="2694">
      <ns0:c r="A2694" s="215">
        <ns0:f>IF(OR(AH!$P$3=0,2689+1&gt;AH!$P$11,AND(AH!$E$4&lt;&gt;"Stored",AH!$P$10&lt;&gt;1)),"",IFERROR(IF(AND(AH!$P$21=1,2689+1=AH!$P$11),TODAY(),IF(AH!$P$10=1,INDEX('Live History'!$A$5:$A$3004,AH!$P$13+2689),INDEX('AH History'!$A$1:$A$18046,AH!$P$7+2689))),""))</ns0:f>
        <ns0:v/>
      </ns0:c>
      <ns0:c r="B2694" s="219">
        <ns0:f>IFERROR(IF(AND(AH!$P$9&lt;&gt;1,$C2694&gt;0,$D2694&gt;0,$E2694&gt;0,$F2694&gt;0,$G2694&gt;0,$F2694&lt;=$A2694,$G2694&lt;=$A2694,$A2694-$F2694&lt;=10,$A2694-$G2694&lt;=5),$D2694*$E2694/$C2694-1,NA()),NA())</ns0:f>
        <ns0:v/>
      </ns0:c>
      <ns0:c r="C2694">
        <ns0:f>IFERROR(IF(ISNUMBER($A2694),IF(AND(AH!$P$10=1,AH!$P$12=1,$A2694=TODAY()),AH!$P$19,IF(AH!$P$10=1,INDEX('Live History'!$B$5:$B$3004,AH!$P$13+2689),INDEX('AH History'!$B$1:$B$18046,AH!$P$7+2689))),NA()),NA())</ns0:f>
        <ns0:v/>
      </ns0:c>
      <ns0:c r="D2694">
        <ns0:f>IFERROR(IF(ISNUMBER($A2694),IF(AND(AH!$P$10=1,AH!$P$12=1,$A2694=TODAY()),AH!$P$18,IF(AH!$P$10=1,INDEX('Live History'!$E$5:$E$3004,MATCH($A2694,'Live History'!$D$5:$D$3004,1)),INDEX('AH History'!$C$1:$C$18046,AH!$P$7+2689))),NA()),NA())</ns0:f>
        <ns0:v/>
      </ns0:c>
      <ns0:c r="E2694">
        <ns0:f>IFERROR(IF(ISNUMBER($A2694),IF(AND(AH!$P$10=1,AH!$P$12=1,$A2694=TODAY()),AH!$P$20,IF(AH!$P$10=1,INDEX('Live History'!$H$5:$H$3004,MATCH($A2694,'Live History'!$G$5:$G$3004,1)),INDEX('AH History'!$D$1:$D$18046,AH!$P$7+2689))),NA()),NA())</ns0:f>
        <ns0:v/>
      </ns0:c>
      <ns0:c r="F2694">
        <ns0:f>IFERROR(IF(ISNUMBER($A2694),IF(AND(AH!$P$10=1,AH!$P$12=1,$A2694=TODAY()),IF(AND(AH!$P$10=1,AH!$P$12=1,$A2694=TODAY()),TODAY(),NA()),IF(AH!$P$10=1,INDEX('Live History'!$D$5:$D$3004,MATCH($A2694,'Live History'!$D$5:$D$3004,1)),INDEX('AH History'!$E$1:$E$18046,AH!$P$7+2689))),NA()),NA())</ns0:f>
        <ns0:v/>
      </ns0:c>
      <ns0:c r="G2694">
        <ns0:f>IFERROR(IF(ISNUMBER($A2694),IF(AND(AH!$P$10=1,AH!$P$12=1,$A2694=TODAY()),IF(AND(AH!$P$10=1,AH!$P$12=1,$A2694=TODAY()),TODAY(),NA()),IF(AH!$P$10=1,INDEX('Live History'!$G$5:$G$3004,MATCH($A2694,'Live History'!$G$5:$G$3004,1)),INDEX('AH History'!$F$1:$F$18046,AH!$P$7+2689))),NA()),NA())</ns0:f>
        <ns0:v/>
      </ns0:c>
      <ns0:c r="H2694">
        <ns0:f>IFERROR(IF(AND(AH!$E$4="Bloomberg",AH!$P$10=1,ISNUMBER($A2694),$A2694&lt;=AH!$P$17),AH!$P$7-1+MATCH($A2694,INDEX('AH History'!$A$1:$A$18046,AH!$P$7):INDEX('AH History'!$A$1:$A$18046,AH!$P$7+AH!$P$8-1),0),0),0)</ns0:f>
        <ns0:v/>
      </ns0:c>
      <ns0:c r="I2694">
        <ns0:f>IF($H2694=0,0,IFERROR(IF(AND(ABS($C2694-INDEX('AH History'!$B$1:$B$18046,$H2694))&lt;=MAX(0.005,ABS(INDEX('AH History'!$B$1:$B$18046,$H2694))*0.00005),ABS($D2694-INDEX('AH History'!$C$1:$C$18046,$H2694))&lt;=MAX(0.005,ABS(INDEX('AH History'!$C$1:$C$18046,$H2694))*0.00005),ABS($E2694-INDEX('AH History'!$D$1:$D$18046,$H2694))&lt;=0.00005,$F2694=INDEX('AH History'!$E$1:$E$18046,$H2694),$G2694=INDEX('AH History'!$F$1:$F$18046,$H2694)),1,-1),-1))</ns0:f>
        <ns0:v/>
      </ns0:c>
    </ns0:row>
    <ns0:row r="2695">
      <ns0:c r="A2695" s="215">
        <ns0:f>IF(OR(AH!$P$3=0,2690+1&gt;AH!$P$11,AND(AH!$E$4&lt;&gt;"Stored",AH!$P$10&lt;&gt;1)),"",IFERROR(IF(AND(AH!$P$21=1,2690+1=AH!$P$11),TODAY(),IF(AH!$P$10=1,INDEX('Live History'!$A$5:$A$3004,AH!$P$13+2690),INDEX('AH History'!$A$1:$A$18046,AH!$P$7+2690))),""))</ns0:f>
        <ns0:v/>
      </ns0:c>
      <ns0:c r="B2695" s="219">
        <ns0:f>IFERROR(IF(AND(AH!$P$9&lt;&gt;1,$C2695&gt;0,$D2695&gt;0,$E2695&gt;0,$F2695&gt;0,$G2695&gt;0,$F2695&lt;=$A2695,$G2695&lt;=$A2695,$A2695-$F2695&lt;=10,$A2695-$G2695&lt;=5),$D2695*$E2695/$C2695-1,NA()),NA())</ns0:f>
        <ns0:v/>
      </ns0:c>
      <ns0:c r="C2695">
        <ns0:f>IFERROR(IF(ISNUMBER($A2695),IF(AND(AH!$P$10=1,AH!$P$12=1,$A2695=TODAY()),AH!$P$19,IF(AH!$P$10=1,INDEX('Live History'!$B$5:$B$3004,AH!$P$13+2690),INDEX('AH History'!$B$1:$B$18046,AH!$P$7+2690))),NA()),NA())</ns0:f>
        <ns0:v/>
      </ns0:c>
      <ns0:c r="D2695">
        <ns0:f>IFERROR(IF(ISNUMBER($A2695),IF(AND(AH!$P$10=1,AH!$P$12=1,$A2695=TODAY()),AH!$P$18,IF(AH!$P$10=1,INDEX('Live History'!$E$5:$E$3004,MATCH($A2695,'Live History'!$D$5:$D$3004,1)),INDEX('AH History'!$C$1:$C$18046,AH!$P$7+2690))),NA()),NA())</ns0:f>
        <ns0:v/>
      </ns0:c>
      <ns0:c r="E2695">
        <ns0:f>IFERROR(IF(ISNUMBER($A2695),IF(AND(AH!$P$10=1,AH!$P$12=1,$A2695=TODAY()),AH!$P$20,IF(AH!$P$10=1,INDEX('Live History'!$H$5:$H$3004,MATCH($A2695,'Live History'!$G$5:$G$3004,1)),INDEX('AH History'!$D$1:$D$18046,AH!$P$7+2690))),NA()),NA())</ns0:f>
        <ns0:v/>
      </ns0:c>
      <ns0:c r="F2695">
        <ns0:f>IFERROR(IF(ISNUMBER($A2695),IF(AND(AH!$P$10=1,AH!$P$12=1,$A2695=TODAY()),IF(AND(AH!$P$10=1,AH!$P$12=1,$A2695=TODAY()),TODAY(),NA()),IF(AH!$P$10=1,INDEX('Live History'!$D$5:$D$3004,MATCH($A2695,'Live History'!$D$5:$D$3004,1)),INDEX('AH History'!$E$1:$E$18046,AH!$P$7+2690))),NA()),NA())</ns0:f>
        <ns0:v/>
      </ns0:c>
      <ns0:c r="G2695">
        <ns0:f>IFERROR(IF(ISNUMBER($A2695),IF(AND(AH!$P$10=1,AH!$P$12=1,$A2695=TODAY()),IF(AND(AH!$P$10=1,AH!$P$12=1,$A2695=TODAY()),TODAY(),NA()),IF(AH!$P$10=1,INDEX('Live History'!$G$5:$G$3004,MATCH($A2695,'Live History'!$G$5:$G$3004,1)),INDEX('AH History'!$F$1:$F$18046,AH!$P$7+2690))),NA()),NA())</ns0:f>
        <ns0:v/>
      </ns0:c>
      <ns0:c r="H2695">
        <ns0:f>IFERROR(IF(AND(AH!$E$4="Bloomberg",AH!$P$10=1,ISNUMBER($A2695),$A2695&lt;=AH!$P$17),AH!$P$7-1+MATCH($A2695,INDEX('AH History'!$A$1:$A$18046,AH!$P$7):INDEX('AH History'!$A$1:$A$18046,AH!$P$7+AH!$P$8-1),0),0),0)</ns0:f>
        <ns0:v/>
      </ns0:c>
      <ns0:c r="I2695">
        <ns0:f>IF($H2695=0,0,IFERROR(IF(AND(ABS($C2695-INDEX('AH History'!$B$1:$B$18046,$H2695))&lt;=MAX(0.005,ABS(INDEX('AH History'!$B$1:$B$18046,$H2695))*0.00005),ABS($D2695-INDEX('AH History'!$C$1:$C$18046,$H2695))&lt;=MAX(0.005,ABS(INDEX('AH History'!$C$1:$C$18046,$H2695))*0.00005),ABS($E2695-INDEX('AH History'!$D$1:$D$18046,$H2695))&lt;=0.00005,$F2695=INDEX('AH History'!$E$1:$E$18046,$H2695),$G2695=INDEX('AH History'!$F$1:$F$18046,$H2695)),1,-1),-1))</ns0:f>
        <ns0:v/>
      </ns0:c>
    </ns0:row>
    <ns0:row r="2696">
      <ns0:c r="A2696" s="215">
        <ns0:f>IF(OR(AH!$P$3=0,2691+1&gt;AH!$P$11,AND(AH!$E$4&lt;&gt;"Stored",AH!$P$10&lt;&gt;1)),"",IFERROR(IF(AND(AH!$P$21=1,2691+1=AH!$P$11),TODAY(),IF(AH!$P$10=1,INDEX('Live History'!$A$5:$A$3004,AH!$P$13+2691),INDEX('AH History'!$A$1:$A$18046,AH!$P$7+2691))),""))</ns0:f>
        <ns0:v/>
      </ns0:c>
      <ns0:c r="B2696" s="219">
        <ns0:f>IFERROR(IF(AND(AH!$P$9&lt;&gt;1,$C2696&gt;0,$D2696&gt;0,$E2696&gt;0,$F2696&gt;0,$G2696&gt;0,$F2696&lt;=$A2696,$G2696&lt;=$A2696,$A2696-$F2696&lt;=10,$A2696-$G2696&lt;=5),$D2696*$E2696/$C2696-1,NA()),NA())</ns0:f>
        <ns0:v/>
      </ns0:c>
      <ns0:c r="C2696">
        <ns0:f>IFERROR(IF(ISNUMBER($A2696),IF(AND(AH!$P$10=1,AH!$P$12=1,$A2696=TODAY()),AH!$P$19,IF(AH!$P$10=1,INDEX('Live History'!$B$5:$B$3004,AH!$P$13+2691),INDEX('AH History'!$B$1:$B$18046,AH!$P$7+2691))),NA()),NA())</ns0:f>
        <ns0:v/>
      </ns0:c>
      <ns0:c r="D2696">
        <ns0:f>IFERROR(IF(ISNUMBER($A2696),IF(AND(AH!$P$10=1,AH!$P$12=1,$A2696=TODAY()),AH!$P$18,IF(AH!$P$10=1,INDEX('Live History'!$E$5:$E$3004,MATCH($A2696,'Live History'!$D$5:$D$3004,1)),INDEX('AH History'!$C$1:$C$18046,AH!$P$7+2691))),NA()),NA())</ns0:f>
        <ns0:v/>
      </ns0:c>
      <ns0:c r="E2696">
        <ns0:f>IFERROR(IF(ISNUMBER($A2696),IF(AND(AH!$P$10=1,AH!$P$12=1,$A2696=TODAY()),AH!$P$20,IF(AH!$P$10=1,INDEX('Live History'!$H$5:$H$3004,MATCH($A2696,'Live History'!$G$5:$G$3004,1)),INDEX('AH History'!$D$1:$D$18046,AH!$P$7+2691))),NA()),NA())</ns0:f>
        <ns0:v/>
      </ns0:c>
      <ns0:c r="F2696">
        <ns0:f>IFERROR(IF(ISNUMBER($A2696),IF(AND(AH!$P$10=1,AH!$P$12=1,$A2696=TODAY()),IF(AND(AH!$P$10=1,AH!$P$12=1,$A2696=TODAY()),TODAY(),NA()),IF(AH!$P$10=1,INDEX('Live History'!$D$5:$D$3004,MATCH($A2696,'Live History'!$D$5:$D$3004,1)),INDEX('AH History'!$E$1:$E$18046,AH!$P$7+2691))),NA()),NA())</ns0:f>
        <ns0:v/>
      </ns0:c>
      <ns0:c r="G2696">
        <ns0:f>IFERROR(IF(ISNUMBER($A2696),IF(AND(AH!$P$10=1,AH!$P$12=1,$A2696=TODAY()),IF(AND(AH!$P$10=1,AH!$P$12=1,$A2696=TODAY()),TODAY(),NA()),IF(AH!$P$10=1,INDEX('Live History'!$G$5:$G$3004,MATCH($A2696,'Live History'!$G$5:$G$3004,1)),INDEX('AH History'!$F$1:$F$18046,AH!$P$7+2691))),NA()),NA())</ns0:f>
        <ns0:v/>
      </ns0:c>
      <ns0:c r="H2696">
        <ns0:f>IFERROR(IF(AND(AH!$E$4="Bloomberg",AH!$P$10=1,ISNUMBER($A2696),$A2696&lt;=AH!$P$17),AH!$P$7-1+MATCH($A2696,INDEX('AH History'!$A$1:$A$18046,AH!$P$7):INDEX('AH History'!$A$1:$A$18046,AH!$P$7+AH!$P$8-1),0),0),0)</ns0:f>
        <ns0:v/>
      </ns0:c>
      <ns0:c r="I2696">
        <ns0:f>IF($H2696=0,0,IFERROR(IF(AND(ABS($C2696-INDEX('AH History'!$B$1:$B$18046,$H2696))&lt;=MAX(0.005,ABS(INDEX('AH History'!$B$1:$B$18046,$H2696))*0.00005),ABS($D2696-INDEX('AH History'!$C$1:$C$18046,$H2696))&lt;=MAX(0.005,ABS(INDEX('AH History'!$C$1:$C$18046,$H2696))*0.00005),ABS($E2696-INDEX('AH History'!$D$1:$D$18046,$H2696))&lt;=0.00005,$F2696=INDEX('AH History'!$E$1:$E$18046,$H2696),$G2696=INDEX('AH History'!$F$1:$F$18046,$H2696)),1,-1),-1))</ns0:f>
        <ns0:v/>
      </ns0:c>
    </ns0:row>
    <ns0:row r="2697">
      <ns0:c r="A2697" s="215">
        <ns0:f>IF(OR(AH!$P$3=0,2692+1&gt;AH!$P$11,AND(AH!$E$4&lt;&gt;"Stored",AH!$P$10&lt;&gt;1)),"",IFERROR(IF(AND(AH!$P$21=1,2692+1=AH!$P$11),TODAY(),IF(AH!$P$10=1,INDEX('Live History'!$A$5:$A$3004,AH!$P$13+2692),INDEX('AH History'!$A$1:$A$18046,AH!$P$7+2692))),""))</ns0:f>
        <ns0:v/>
      </ns0:c>
      <ns0:c r="B2697" s="219">
        <ns0:f>IFERROR(IF(AND(AH!$P$9&lt;&gt;1,$C2697&gt;0,$D2697&gt;0,$E2697&gt;0,$F2697&gt;0,$G2697&gt;0,$F2697&lt;=$A2697,$G2697&lt;=$A2697,$A2697-$F2697&lt;=10,$A2697-$G2697&lt;=5),$D2697*$E2697/$C2697-1,NA()),NA())</ns0:f>
        <ns0:v/>
      </ns0:c>
      <ns0:c r="C2697">
        <ns0:f>IFERROR(IF(ISNUMBER($A2697),IF(AND(AH!$P$10=1,AH!$P$12=1,$A2697=TODAY()),AH!$P$19,IF(AH!$P$10=1,INDEX('Live History'!$B$5:$B$3004,AH!$P$13+2692),INDEX('AH History'!$B$1:$B$18046,AH!$P$7+2692))),NA()),NA())</ns0:f>
        <ns0:v/>
      </ns0:c>
      <ns0:c r="D2697">
        <ns0:f>IFERROR(IF(ISNUMBER($A2697),IF(AND(AH!$P$10=1,AH!$P$12=1,$A2697=TODAY()),AH!$P$18,IF(AH!$P$10=1,INDEX('Live History'!$E$5:$E$3004,MATCH($A2697,'Live History'!$D$5:$D$3004,1)),INDEX('AH History'!$C$1:$C$18046,AH!$P$7+2692))),NA()),NA())</ns0:f>
        <ns0:v/>
      </ns0:c>
      <ns0:c r="E2697">
        <ns0:f>IFERROR(IF(ISNUMBER($A2697),IF(AND(AH!$P$10=1,AH!$P$12=1,$A2697=TODAY()),AH!$P$20,IF(AH!$P$10=1,INDEX('Live History'!$H$5:$H$3004,MATCH($A2697,'Live History'!$G$5:$G$3004,1)),INDEX('AH History'!$D$1:$D$18046,AH!$P$7+2692))),NA()),NA())</ns0:f>
        <ns0:v/>
      </ns0:c>
      <ns0:c r="F2697">
        <ns0:f>IFERROR(IF(ISNUMBER($A2697),IF(AND(AH!$P$10=1,AH!$P$12=1,$A2697=TODAY()),IF(AND(AH!$P$10=1,AH!$P$12=1,$A2697=TODAY()),TODAY(),NA()),IF(AH!$P$10=1,INDEX('Live History'!$D$5:$D$3004,MATCH($A2697,'Live History'!$D$5:$D$3004,1)),INDEX('AH History'!$E$1:$E$18046,AH!$P$7+2692))),NA()),NA())</ns0:f>
        <ns0:v/>
      </ns0:c>
      <ns0:c r="G2697">
        <ns0:f>IFERROR(IF(ISNUMBER($A2697),IF(AND(AH!$P$10=1,AH!$P$12=1,$A2697=TODAY()),IF(AND(AH!$P$10=1,AH!$P$12=1,$A2697=TODAY()),TODAY(),NA()),IF(AH!$P$10=1,INDEX('Live History'!$G$5:$G$3004,MATCH($A2697,'Live History'!$G$5:$G$3004,1)),INDEX('AH History'!$F$1:$F$18046,AH!$P$7+2692))),NA()),NA())</ns0:f>
        <ns0:v/>
      </ns0:c>
      <ns0:c r="H2697">
        <ns0:f>IFERROR(IF(AND(AH!$E$4="Bloomberg",AH!$P$10=1,ISNUMBER($A2697),$A2697&lt;=AH!$P$17),AH!$P$7-1+MATCH($A2697,INDEX('AH History'!$A$1:$A$18046,AH!$P$7):INDEX('AH History'!$A$1:$A$18046,AH!$P$7+AH!$P$8-1),0),0),0)</ns0:f>
        <ns0:v/>
      </ns0:c>
      <ns0:c r="I2697">
        <ns0:f>IF($H2697=0,0,IFERROR(IF(AND(ABS($C2697-INDEX('AH History'!$B$1:$B$18046,$H2697))&lt;=MAX(0.005,ABS(INDEX('AH History'!$B$1:$B$18046,$H2697))*0.00005),ABS($D2697-INDEX('AH History'!$C$1:$C$18046,$H2697))&lt;=MAX(0.005,ABS(INDEX('AH History'!$C$1:$C$18046,$H2697))*0.00005),ABS($E2697-INDEX('AH History'!$D$1:$D$18046,$H2697))&lt;=0.00005,$F2697=INDEX('AH History'!$E$1:$E$18046,$H2697),$G2697=INDEX('AH History'!$F$1:$F$18046,$H2697)),1,-1),-1))</ns0:f>
        <ns0:v/>
      </ns0:c>
    </ns0:row>
    <ns0:row r="2698">
      <ns0:c r="A2698" s="215">
        <ns0:f>IF(OR(AH!$P$3=0,2693+1&gt;AH!$P$11,AND(AH!$E$4&lt;&gt;"Stored",AH!$P$10&lt;&gt;1)),"",IFERROR(IF(AND(AH!$P$21=1,2693+1=AH!$P$11),TODAY(),IF(AH!$P$10=1,INDEX('Live History'!$A$5:$A$3004,AH!$P$13+2693),INDEX('AH History'!$A$1:$A$18046,AH!$P$7+2693))),""))</ns0:f>
        <ns0:v/>
      </ns0:c>
      <ns0:c r="B2698" s="219">
        <ns0:f>IFERROR(IF(AND(AH!$P$9&lt;&gt;1,$C2698&gt;0,$D2698&gt;0,$E2698&gt;0,$F2698&gt;0,$G2698&gt;0,$F2698&lt;=$A2698,$G2698&lt;=$A2698,$A2698-$F2698&lt;=10,$A2698-$G2698&lt;=5),$D2698*$E2698/$C2698-1,NA()),NA())</ns0:f>
        <ns0:v/>
      </ns0:c>
      <ns0:c r="C2698">
        <ns0:f>IFERROR(IF(ISNUMBER($A2698),IF(AND(AH!$P$10=1,AH!$P$12=1,$A2698=TODAY()),AH!$P$19,IF(AH!$P$10=1,INDEX('Live History'!$B$5:$B$3004,AH!$P$13+2693),INDEX('AH History'!$B$1:$B$18046,AH!$P$7+2693))),NA()),NA())</ns0:f>
        <ns0:v/>
      </ns0:c>
      <ns0:c r="D2698">
        <ns0:f>IFERROR(IF(ISNUMBER($A2698),IF(AND(AH!$P$10=1,AH!$P$12=1,$A2698=TODAY()),AH!$P$18,IF(AH!$P$10=1,INDEX('Live History'!$E$5:$E$3004,MATCH($A2698,'Live History'!$D$5:$D$3004,1)),INDEX('AH History'!$C$1:$C$18046,AH!$P$7+2693))),NA()),NA())</ns0:f>
        <ns0:v/>
      </ns0:c>
      <ns0:c r="E2698">
        <ns0:f>IFERROR(IF(ISNUMBER($A2698),IF(AND(AH!$P$10=1,AH!$P$12=1,$A2698=TODAY()),AH!$P$20,IF(AH!$P$10=1,INDEX('Live History'!$H$5:$H$3004,MATCH($A2698,'Live History'!$G$5:$G$3004,1)),INDEX('AH History'!$D$1:$D$18046,AH!$P$7+2693))),NA()),NA())</ns0:f>
        <ns0:v/>
      </ns0:c>
      <ns0:c r="F2698">
        <ns0:f>IFERROR(IF(ISNUMBER($A2698),IF(AND(AH!$P$10=1,AH!$P$12=1,$A2698=TODAY()),IF(AND(AH!$P$10=1,AH!$P$12=1,$A2698=TODAY()),TODAY(),NA()),IF(AH!$P$10=1,INDEX('Live History'!$D$5:$D$3004,MATCH($A2698,'Live History'!$D$5:$D$3004,1)),INDEX('AH History'!$E$1:$E$18046,AH!$P$7+2693))),NA()),NA())</ns0:f>
        <ns0:v/>
      </ns0:c>
      <ns0:c r="G2698">
        <ns0:f>IFERROR(IF(ISNUMBER($A2698),IF(AND(AH!$P$10=1,AH!$P$12=1,$A2698=TODAY()),IF(AND(AH!$P$10=1,AH!$P$12=1,$A2698=TODAY()),TODAY(),NA()),IF(AH!$P$10=1,INDEX('Live History'!$G$5:$G$3004,MATCH($A2698,'Live History'!$G$5:$G$3004,1)),INDEX('AH History'!$F$1:$F$18046,AH!$P$7+2693))),NA()),NA())</ns0:f>
        <ns0:v/>
      </ns0:c>
      <ns0:c r="H2698">
        <ns0:f>IFERROR(IF(AND(AH!$E$4="Bloomberg",AH!$P$10=1,ISNUMBER($A2698),$A2698&lt;=AH!$P$17),AH!$P$7-1+MATCH($A2698,INDEX('AH History'!$A$1:$A$18046,AH!$P$7):INDEX('AH History'!$A$1:$A$18046,AH!$P$7+AH!$P$8-1),0),0),0)</ns0:f>
        <ns0:v/>
      </ns0:c>
      <ns0:c r="I2698">
        <ns0:f>IF($H2698=0,0,IFERROR(IF(AND(ABS($C2698-INDEX('AH History'!$B$1:$B$18046,$H2698))&lt;=MAX(0.005,ABS(INDEX('AH History'!$B$1:$B$18046,$H2698))*0.00005),ABS($D2698-INDEX('AH History'!$C$1:$C$18046,$H2698))&lt;=MAX(0.005,ABS(INDEX('AH History'!$C$1:$C$18046,$H2698))*0.00005),ABS($E2698-INDEX('AH History'!$D$1:$D$18046,$H2698))&lt;=0.00005,$F2698=INDEX('AH History'!$E$1:$E$18046,$H2698),$G2698=INDEX('AH History'!$F$1:$F$18046,$H2698)),1,-1),-1))</ns0:f>
        <ns0:v/>
      </ns0:c>
    </ns0:row>
    <ns0:row r="2699">
      <ns0:c r="A2699" s="215">
        <ns0:f>IF(OR(AH!$P$3=0,2694+1&gt;AH!$P$11,AND(AH!$E$4&lt;&gt;"Stored",AH!$P$10&lt;&gt;1)),"",IFERROR(IF(AND(AH!$P$21=1,2694+1=AH!$P$11),TODAY(),IF(AH!$P$10=1,INDEX('Live History'!$A$5:$A$3004,AH!$P$13+2694),INDEX('AH History'!$A$1:$A$18046,AH!$P$7+2694))),""))</ns0:f>
        <ns0:v/>
      </ns0:c>
      <ns0:c r="B2699" s="219">
        <ns0:f>IFERROR(IF(AND(AH!$P$9&lt;&gt;1,$C2699&gt;0,$D2699&gt;0,$E2699&gt;0,$F2699&gt;0,$G2699&gt;0,$F2699&lt;=$A2699,$G2699&lt;=$A2699,$A2699-$F2699&lt;=10,$A2699-$G2699&lt;=5),$D2699*$E2699/$C2699-1,NA()),NA())</ns0:f>
        <ns0:v/>
      </ns0:c>
      <ns0:c r="C2699">
        <ns0:f>IFERROR(IF(ISNUMBER($A2699),IF(AND(AH!$P$10=1,AH!$P$12=1,$A2699=TODAY()),AH!$P$19,IF(AH!$P$10=1,INDEX('Live History'!$B$5:$B$3004,AH!$P$13+2694),INDEX('AH History'!$B$1:$B$18046,AH!$P$7+2694))),NA()),NA())</ns0:f>
        <ns0:v/>
      </ns0:c>
      <ns0:c r="D2699">
        <ns0:f>IFERROR(IF(ISNUMBER($A2699),IF(AND(AH!$P$10=1,AH!$P$12=1,$A2699=TODAY()),AH!$P$18,IF(AH!$P$10=1,INDEX('Live History'!$E$5:$E$3004,MATCH($A2699,'Live History'!$D$5:$D$3004,1)),INDEX('AH History'!$C$1:$C$18046,AH!$P$7+2694))),NA()),NA())</ns0:f>
        <ns0:v/>
      </ns0:c>
      <ns0:c r="E2699">
        <ns0:f>IFERROR(IF(ISNUMBER($A2699),IF(AND(AH!$P$10=1,AH!$P$12=1,$A2699=TODAY()),AH!$P$20,IF(AH!$P$10=1,INDEX('Live History'!$H$5:$H$3004,MATCH($A2699,'Live History'!$G$5:$G$3004,1)),INDEX('AH History'!$D$1:$D$18046,AH!$P$7+2694))),NA()),NA())</ns0:f>
        <ns0:v/>
      </ns0:c>
      <ns0:c r="F2699">
        <ns0:f>IFERROR(IF(ISNUMBER($A2699),IF(AND(AH!$P$10=1,AH!$P$12=1,$A2699=TODAY()),IF(AND(AH!$P$10=1,AH!$P$12=1,$A2699=TODAY()),TODAY(),NA()),IF(AH!$P$10=1,INDEX('Live History'!$D$5:$D$3004,MATCH($A2699,'Live History'!$D$5:$D$3004,1)),INDEX('AH History'!$E$1:$E$18046,AH!$P$7+2694))),NA()),NA())</ns0:f>
        <ns0:v/>
      </ns0:c>
      <ns0:c r="G2699">
        <ns0:f>IFERROR(IF(ISNUMBER($A2699),IF(AND(AH!$P$10=1,AH!$P$12=1,$A2699=TODAY()),IF(AND(AH!$P$10=1,AH!$P$12=1,$A2699=TODAY()),TODAY(),NA()),IF(AH!$P$10=1,INDEX('Live History'!$G$5:$G$3004,MATCH($A2699,'Live History'!$G$5:$G$3004,1)),INDEX('AH History'!$F$1:$F$18046,AH!$P$7+2694))),NA()),NA())</ns0:f>
        <ns0:v/>
      </ns0:c>
      <ns0:c r="H2699">
        <ns0:f>IFERROR(IF(AND(AH!$E$4="Bloomberg",AH!$P$10=1,ISNUMBER($A2699),$A2699&lt;=AH!$P$17),AH!$P$7-1+MATCH($A2699,INDEX('AH History'!$A$1:$A$18046,AH!$P$7):INDEX('AH History'!$A$1:$A$18046,AH!$P$7+AH!$P$8-1),0),0),0)</ns0:f>
        <ns0:v/>
      </ns0:c>
      <ns0:c r="I2699">
        <ns0:f>IF($H2699=0,0,IFERROR(IF(AND(ABS($C2699-INDEX('AH History'!$B$1:$B$18046,$H2699))&lt;=MAX(0.005,ABS(INDEX('AH History'!$B$1:$B$18046,$H2699))*0.00005),ABS($D2699-INDEX('AH History'!$C$1:$C$18046,$H2699))&lt;=MAX(0.005,ABS(INDEX('AH History'!$C$1:$C$18046,$H2699))*0.00005),ABS($E2699-INDEX('AH History'!$D$1:$D$18046,$H2699))&lt;=0.00005,$F2699=INDEX('AH History'!$E$1:$E$18046,$H2699),$G2699=INDEX('AH History'!$F$1:$F$18046,$H2699)),1,-1),-1))</ns0:f>
        <ns0:v/>
      </ns0:c>
    </ns0:row>
    <ns0:row r="2700">
      <ns0:c r="A2700" s="215">
        <ns0:f>IF(OR(AH!$P$3=0,2695+1&gt;AH!$P$11,AND(AH!$E$4&lt;&gt;"Stored",AH!$P$10&lt;&gt;1)),"",IFERROR(IF(AND(AH!$P$21=1,2695+1=AH!$P$11),TODAY(),IF(AH!$P$10=1,INDEX('Live History'!$A$5:$A$3004,AH!$P$13+2695),INDEX('AH History'!$A$1:$A$18046,AH!$P$7+2695))),""))</ns0:f>
        <ns0:v/>
      </ns0:c>
      <ns0:c r="B2700" s="219">
        <ns0:f>IFERROR(IF(AND(AH!$P$9&lt;&gt;1,$C2700&gt;0,$D2700&gt;0,$E2700&gt;0,$F2700&gt;0,$G2700&gt;0,$F2700&lt;=$A2700,$G2700&lt;=$A2700,$A2700-$F2700&lt;=10,$A2700-$G2700&lt;=5),$D2700*$E2700/$C2700-1,NA()),NA())</ns0:f>
        <ns0:v/>
      </ns0:c>
      <ns0:c r="C2700">
        <ns0:f>IFERROR(IF(ISNUMBER($A2700),IF(AND(AH!$P$10=1,AH!$P$12=1,$A2700=TODAY()),AH!$P$19,IF(AH!$P$10=1,INDEX('Live History'!$B$5:$B$3004,AH!$P$13+2695),INDEX('AH History'!$B$1:$B$18046,AH!$P$7+2695))),NA()),NA())</ns0:f>
        <ns0:v/>
      </ns0:c>
      <ns0:c r="D2700">
        <ns0:f>IFERROR(IF(ISNUMBER($A2700),IF(AND(AH!$P$10=1,AH!$P$12=1,$A2700=TODAY()),AH!$P$18,IF(AH!$P$10=1,INDEX('Live History'!$E$5:$E$3004,MATCH($A2700,'Live History'!$D$5:$D$3004,1)),INDEX('AH History'!$C$1:$C$18046,AH!$P$7+2695))),NA()),NA())</ns0:f>
        <ns0:v/>
      </ns0:c>
      <ns0:c r="E2700">
        <ns0:f>IFERROR(IF(ISNUMBER($A2700),IF(AND(AH!$P$10=1,AH!$P$12=1,$A2700=TODAY()),AH!$P$20,IF(AH!$P$10=1,INDEX('Live History'!$H$5:$H$3004,MATCH($A2700,'Live History'!$G$5:$G$3004,1)),INDEX('AH History'!$D$1:$D$18046,AH!$P$7+2695))),NA()),NA())</ns0:f>
        <ns0:v/>
      </ns0:c>
      <ns0:c r="F2700">
        <ns0:f>IFERROR(IF(ISNUMBER($A2700),IF(AND(AH!$P$10=1,AH!$P$12=1,$A2700=TODAY()),IF(AND(AH!$P$10=1,AH!$P$12=1,$A2700=TODAY()),TODAY(),NA()),IF(AH!$P$10=1,INDEX('Live History'!$D$5:$D$3004,MATCH($A2700,'Live History'!$D$5:$D$3004,1)),INDEX('AH History'!$E$1:$E$18046,AH!$P$7+2695))),NA()),NA())</ns0:f>
        <ns0:v/>
      </ns0:c>
      <ns0:c r="G2700">
        <ns0:f>IFERROR(IF(ISNUMBER($A2700),IF(AND(AH!$P$10=1,AH!$P$12=1,$A2700=TODAY()),IF(AND(AH!$P$10=1,AH!$P$12=1,$A2700=TODAY()),TODAY(),NA()),IF(AH!$P$10=1,INDEX('Live History'!$G$5:$G$3004,MATCH($A2700,'Live History'!$G$5:$G$3004,1)),INDEX('AH History'!$F$1:$F$18046,AH!$P$7+2695))),NA()),NA())</ns0:f>
        <ns0:v/>
      </ns0:c>
      <ns0:c r="H2700">
        <ns0:f>IFERROR(IF(AND(AH!$E$4="Bloomberg",AH!$P$10=1,ISNUMBER($A2700),$A2700&lt;=AH!$P$17),AH!$P$7-1+MATCH($A2700,INDEX('AH History'!$A$1:$A$18046,AH!$P$7):INDEX('AH History'!$A$1:$A$18046,AH!$P$7+AH!$P$8-1),0),0),0)</ns0:f>
        <ns0:v/>
      </ns0:c>
      <ns0:c r="I2700">
        <ns0:f>IF($H2700=0,0,IFERROR(IF(AND(ABS($C2700-INDEX('AH History'!$B$1:$B$18046,$H2700))&lt;=MAX(0.005,ABS(INDEX('AH History'!$B$1:$B$18046,$H2700))*0.00005),ABS($D2700-INDEX('AH History'!$C$1:$C$18046,$H2700))&lt;=MAX(0.005,ABS(INDEX('AH History'!$C$1:$C$18046,$H2700))*0.00005),ABS($E2700-INDEX('AH History'!$D$1:$D$18046,$H2700))&lt;=0.00005,$F2700=INDEX('AH History'!$E$1:$E$18046,$H2700),$G2700=INDEX('AH History'!$F$1:$F$18046,$H2700)),1,-1),-1))</ns0:f>
        <ns0:v/>
      </ns0:c>
    </ns0:row>
    <ns0:row r="2701">
      <ns0:c r="A2701" s="215">
        <ns0:f>IF(OR(AH!$P$3=0,2696+1&gt;AH!$P$11,AND(AH!$E$4&lt;&gt;"Stored",AH!$P$10&lt;&gt;1)),"",IFERROR(IF(AND(AH!$P$21=1,2696+1=AH!$P$11),TODAY(),IF(AH!$P$10=1,INDEX('Live History'!$A$5:$A$3004,AH!$P$13+2696),INDEX('AH History'!$A$1:$A$18046,AH!$P$7+2696))),""))</ns0:f>
        <ns0:v/>
      </ns0:c>
      <ns0:c r="B2701" s="219">
        <ns0:f>IFERROR(IF(AND(AH!$P$9&lt;&gt;1,$C2701&gt;0,$D2701&gt;0,$E2701&gt;0,$F2701&gt;0,$G2701&gt;0,$F2701&lt;=$A2701,$G2701&lt;=$A2701,$A2701-$F2701&lt;=10,$A2701-$G2701&lt;=5),$D2701*$E2701/$C2701-1,NA()),NA())</ns0:f>
        <ns0:v/>
      </ns0:c>
      <ns0:c r="C2701">
        <ns0:f>IFERROR(IF(ISNUMBER($A2701),IF(AND(AH!$P$10=1,AH!$P$12=1,$A2701=TODAY()),AH!$P$19,IF(AH!$P$10=1,INDEX('Live History'!$B$5:$B$3004,AH!$P$13+2696),INDEX('AH History'!$B$1:$B$18046,AH!$P$7+2696))),NA()),NA())</ns0:f>
        <ns0:v/>
      </ns0:c>
      <ns0:c r="D2701">
        <ns0:f>IFERROR(IF(ISNUMBER($A2701),IF(AND(AH!$P$10=1,AH!$P$12=1,$A2701=TODAY()),AH!$P$18,IF(AH!$P$10=1,INDEX('Live History'!$E$5:$E$3004,MATCH($A2701,'Live History'!$D$5:$D$3004,1)),INDEX('AH History'!$C$1:$C$18046,AH!$P$7+2696))),NA()),NA())</ns0:f>
        <ns0:v/>
      </ns0:c>
      <ns0:c r="E2701">
        <ns0:f>IFERROR(IF(ISNUMBER($A2701),IF(AND(AH!$P$10=1,AH!$P$12=1,$A2701=TODAY()),AH!$P$20,IF(AH!$P$10=1,INDEX('Live History'!$H$5:$H$3004,MATCH($A2701,'Live History'!$G$5:$G$3004,1)),INDEX('AH History'!$D$1:$D$18046,AH!$P$7+2696))),NA()),NA())</ns0:f>
        <ns0:v/>
      </ns0:c>
      <ns0:c r="F2701">
        <ns0:f>IFERROR(IF(ISNUMBER($A2701),IF(AND(AH!$P$10=1,AH!$P$12=1,$A2701=TODAY()),IF(AND(AH!$P$10=1,AH!$P$12=1,$A2701=TODAY()),TODAY(),NA()),IF(AH!$P$10=1,INDEX('Live History'!$D$5:$D$3004,MATCH($A2701,'Live History'!$D$5:$D$3004,1)),INDEX('AH History'!$E$1:$E$18046,AH!$P$7+2696))),NA()),NA())</ns0:f>
        <ns0:v/>
      </ns0:c>
      <ns0:c r="G2701">
        <ns0:f>IFERROR(IF(ISNUMBER($A2701),IF(AND(AH!$P$10=1,AH!$P$12=1,$A2701=TODAY()),IF(AND(AH!$P$10=1,AH!$P$12=1,$A2701=TODAY()),TODAY(),NA()),IF(AH!$P$10=1,INDEX('Live History'!$G$5:$G$3004,MATCH($A2701,'Live History'!$G$5:$G$3004,1)),INDEX('AH History'!$F$1:$F$18046,AH!$P$7+2696))),NA()),NA())</ns0:f>
        <ns0:v/>
      </ns0:c>
      <ns0:c r="H2701">
        <ns0:f>IFERROR(IF(AND(AH!$E$4="Bloomberg",AH!$P$10=1,ISNUMBER($A2701),$A2701&lt;=AH!$P$17),AH!$P$7-1+MATCH($A2701,INDEX('AH History'!$A$1:$A$18046,AH!$P$7):INDEX('AH History'!$A$1:$A$18046,AH!$P$7+AH!$P$8-1),0),0),0)</ns0:f>
        <ns0:v/>
      </ns0:c>
      <ns0:c r="I2701">
        <ns0:f>IF($H2701=0,0,IFERROR(IF(AND(ABS($C2701-INDEX('AH History'!$B$1:$B$18046,$H2701))&lt;=MAX(0.005,ABS(INDEX('AH History'!$B$1:$B$18046,$H2701))*0.00005),ABS($D2701-INDEX('AH History'!$C$1:$C$18046,$H2701))&lt;=MAX(0.005,ABS(INDEX('AH History'!$C$1:$C$18046,$H2701))*0.00005),ABS($E2701-INDEX('AH History'!$D$1:$D$18046,$H2701))&lt;=0.00005,$F2701=INDEX('AH History'!$E$1:$E$18046,$H2701),$G2701=INDEX('AH History'!$F$1:$F$18046,$H2701)),1,-1),-1))</ns0:f>
        <ns0:v/>
      </ns0:c>
    </ns0:row>
    <ns0:row r="2702">
      <ns0:c r="A2702" s="215">
        <ns0:f>IF(OR(AH!$P$3=0,2697+1&gt;AH!$P$11,AND(AH!$E$4&lt;&gt;"Stored",AH!$P$10&lt;&gt;1)),"",IFERROR(IF(AND(AH!$P$21=1,2697+1=AH!$P$11),TODAY(),IF(AH!$P$10=1,INDEX('Live History'!$A$5:$A$3004,AH!$P$13+2697),INDEX('AH History'!$A$1:$A$18046,AH!$P$7+2697))),""))</ns0:f>
        <ns0:v/>
      </ns0:c>
      <ns0:c r="B2702" s="219">
        <ns0:f>IFERROR(IF(AND(AH!$P$9&lt;&gt;1,$C2702&gt;0,$D2702&gt;0,$E2702&gt;0,$F2702&gt;0,$G2702&gt;0,$F2702&lt;=$A2702,$G2702&lt;=$A2702,$A2702-$F2702&lt;=10,$A2702-$G2702&lt;=5),$D2702*$E2702/$C2702-1,NA()),NA())</ns0:f>
        <ns0:v/>
      </ns0:c>
      <ns0:c r="C2702">
        <ns0:f>IFERROR(IF(ISNUMBER($A2702),IF(AND(AH!$P$10=1,AH!$P$12=1,$A2702=TODAY()),AH!$P$19,IF(AH!$P$10=1,INDEX('Live History'!$B$5:$B$3004,AH!$P$13+2697),INDEX('AH History'!$B$1:$B$18046,AH!$P$7+2697))),NA()),NA())</ns0:f>
        <ns0:v/>
      </ns0:c>
      <ns0:c r="D2702">
        <ns0:f>IFERROR(IF(ISNUMBER($A2702),IF(AND(AH!$P$10=1,AH!$P$12=1,$A2702=TODAY()),AH!$P$18,IF(AH!$P$10=1,INDEX('Live History'!$E$5:$E$3004,MATCH($A2702,'Live History'!$D$5:$D$3004,1)),INDEX('AH History'!$C$1:$C$18046,AH!$P$7+2697))),NA()),NA())</ns0:f>
        <ns0:v/>
      </ns0:c>
      <ns0:c r="E2702">
        <ns0:f>IFERROR(IF(ISNUMBER($A2702),IF(AND(AH!$P$10=1,AH!$P$12=1,$A2702=TODAY()),AH!$P$20,IF(AH!$P$10=1,INDEX('Live History'!$H$5:$H$3004,MATCH($A2702,'Live History'!$G$5:$G$3004,1)),INDEX('AH History'!$D$1:$D$18046,AH!$P$7+2697))),NA()),NA())</ns0:f>
        <ns0:v/>
      </ns0:c>
      <ns0:c r="F2702">
        <ns0:f>IFERROR(IF(ISNUMBER($A2702),IF(AND(AH!$P$10=1,AH!$P$12=1,$A2702=TODAY()),IF(AND(AH!$P$10=1,AH!$P$12=1,$A2702=TODAY()),TODAY(),NA()),IF(AH!$P$10=1,INDEX('Live History'!$D$5:$D$3004,MATCH($A2702,'Live History'!$D$5:$D$3004,1)),INDEX('AH History'!$E$1:$E$18046,AH!$P$7+2697))),NA()),NA())</ns0:f>
        <ns0:v/>
      </ns0:c>
      <ns0:c r="G2702">
        <ns0:f>IFERROR(IF(ISNUMBER($A2702),IF(AND(AH!$P$10=1,AH!$P$12=1,$A2702=TODAY()),IF(AND(AH!$P$10=1,AH!$P$12=1,$A2702=TODAY()),TODAY(),NA()),IF(AH!$P$10=1,INDEX('Live History'!$G$5:$G$3004,MATCH($A2702,'Live History'!$G$5:$G$3004,1)),INDEX('AH History'!$F$1:$F$18046,AH!$P$7+2697))),NA()),NA())</ns0:f>
        <ns0:v/>
      </ns0:c>
      <ns0:c r="H2702">
        <ns0:f>IFERROR(IF(AND(AH!$E$4="Bloomberg",AH!$P$10=1,ISNUMBER($A2702),$A2702&lt;=AH!$P$17),AH!$P$7-1+MATCH($A2702,INDEX('AH History'!$A$1:$A$18046,AH!$P$7):INDEX('AH History'!$A$1:$A$18046,AH!$P$7+AH!$P$8-1),0),0),0)</ns0:f>
        <ns0:v/>
      </ns0:c>
      <ns0:c r="I2702">
        <ns0:f>IF($H2702=0,0,IFERROR(IF(AND(ABS($C2702-INDEX('AH History'!$B$1:$B$18046,$H2702))&lt;=MAX(0.005,ABS(INDEX('AH History'!$B$1:$B$18046,$H2702))*0.00005),ABS($D2702-INDEX('AH History'!$C$1:$C$18046,$H2702))&lt;=MAX(0.005,ABS(INDEX('AH History'!$C$1:$C$18046,$H2702))*0.00005),ABS($E2702-INDEX('AH History'!$D$1:$D$18046,$H2702))&lt;=0.00005,$F2702=INDEX('AH History'!$E$1:$E$18046,$H2702),$G2702=INDEX('AH History'!$F$1:$F$18046,$H2702)),1,-1),-1))</ns0:f>
        <ns0:v/>
      </ns0:c>
    </ns0:row>
    <ns0:row r="2703">
      <ns0:c r="A2703" s="215">
        <ns0:f>IF(OR(AH!$P$3=0,2698+1&gt;AH!$P$11,AND(AH!$E$4&lt;&gt;"Stored",AH!$P$10&lt;&gt;1)),"",IFERROR(IF(AND(AH!$P$21=1,2698+1=AH!$P$11),TODAY(),IF(AH!$P$10=1,INDEX('Live History'!$A$5:$A$3004,AH!$P$13+2698),INDEX('AH History'!$A$1:$A$18046,AH!$P$7+2698))),""))</ns0:f>
        <ns0:v/>
      </ns0:c>
      <ns0:c r="B2703" s="219">
        <ns0:f>IFERROR(IF(AND(AH!$P$9&lt;&gt;1,$C2703&gt;0,$D2703&gt;0,$E2703&gt;0,$F2703&gt;0,$G2703&gt;0,$F2703&lt;=$A2703,$G2703&lt;=$A2703,$A2703-$F2703&lt;=10,$A2703-$G2703&lt;=5),$D2703*$E2703/$C2703-1,NA()),NA())</ns0:f>
        <ns0:v/>
      </ns0:c>
      <ns0:c r="C2703">
        <ns0:f>IFERROR(IF(ISNUMBER($A2703),IF(AND(AH!$P$10=1,AH!$P$12=1,$A2703=TODAY()),AH!$P$19,IF(AH!$P$10=1,INDEX('Live History'!$B$5:$B$3004,AH!$P$13+2698),INDEX('AH History'!$B$1:$B$18046,AH!$P$7+2698))),NA()),NA())</ns0:f>
        <ns0:v/>
      </ns0:c>
      <ns0:c r="D2703">
        <ns0:f>IFERROR(IF(ISNUMBER($A2703),IF(AND(AH!$P$10=1,AH!$P$12=1,$A2703=TODAY()),AH!$P$18,IF(AH!$P$10=1,INDEX('Live History'!$E$5:$E$3004,MATCH($A2703,'Live History'!$D$5:$D$3004,1)),INDEX('AH History'!$C$1:$C$18046,AH!$P$7+2698))),NA()),NA())</ns0:f>
        <ns0:v/>
      </ns0:c>
      <ns0:c r="E2703">
        <ns0:f>IFERROR(IF(ISNUMBER($A2703),IF(AND(AH!$P$10=1,AH!$P$12=1,$A2703=TODAY()),AH!$P$20,IF(AH!$P$10=1,INDEX('Live History'!$H$5:$H$3004,MATCH($A2703,'Live History'!$G$5:$G$3004,1)),INDEX('AH History'!$D$1:$D$18046,AH!$P$7+2698))),NA()),NA())</ns0:f>
        <ns0:v/>
      </ns0:c>
      <ns0:c r="F2703">
        <ns0:f>IFERROR(IF(ISNUMBER($A2703),IF(AND(AH!$P$10=1,AH!$P$12=1,$A2703=TODAY()),IF(AND(AH!$P$10=1,AH!$P$12=1,$A2703=TODAY()),TODAY(),NA()),IF(AH!$P$10=1,INDEX('Live History'!$D$5:$D$3004,MATCH($A2703,'Live History'!$D$5:$D$3004,1)),INDEX('AH History'!$E$1:$E$18046,AH!$P$7+2698))),NA()),NA())</ns0:f>
        <ns0:v/>
      </ns0:c>
      <ns0:c r="G2703">
        <ns0:f>IFERROR(IF(ISNUMBER($A2703),IF(AND(AH!$P$10=1,AH!$P$12=1,$A2703=TODAY()),IF(AND(AH!$P$10=1,AH!$P$12=1,$A2703=TODAY()),TODAY(),NA()),IF(AH!$P$10=1,INDEX('Live History'!$G$5:$G$3004,MATCH($A2703,'Live History'!$G$5:$G$3004,1)),INDEX('AH History'!$F$1:$F$18046,AH!$P$7+2698))),NA()),NA())</ns0:f>
        <ns0:v/>
      </ns0:c>
      <ns0:c r="H2703">
        <ns0:f>IFERROR(IF(AND(AH!$E$4="Bloomberg",AH!$P$10=1,ISNUMBER($A2703),$A2703&lt;=AH!$P$17),AH!$P$7-1+MATCH($A2703,INDEX('AH History'!$A$1:$A$18046,AH!$P$7):INDEX('AH History'!$A$1:$A$18046,AH!$P$7+AH!$P$8-1),0),0),0)</ns0:f>
        <ns0:v/>
      </ns0:c>
      <ns0:c r="I2703">
        <ns0:f>IF($H2703=0,0,IFERROR(IF(AND(ABS($C2703-INDEX('AH History'!$B$1:$B$18046,$H2703))&lt;=MAX(0.005,ABS(INDEX('AH History'!$B$1:$B$18046,$H2703))*0.00005),ABS($D2703-INDEX('AH History'!$C$1:$C$18046,$H2703))&lt;=MAX(0.005,ABS(INDEX('AH History'!$C$1:$C$18046,$H2703))*0.00005),ABS($E2703-INDEX('AH History'!$D$1:$D$18046,$H2703))&lt;=0.00005,$F2703=INDEX('AH History'!$E$1:$E$18046,$H2703),$G2703=INDEX('AH History'!$F$1:$F$18046,$H2703)),1,-1),-1))</ns0:f>
        <ns0:v/>
      </ns0:c>
    </ns0:row>
    <ns0:row r="2704">
      <ns0:c r="A2704" s="215">
        <ns0:f>IF(OR(AH!$P$3=0,2699+1&gt;AH!$P$11,AND(AH!$E$4&lt;&gt;"Stored",AH!$P$10&lt;&gt;1)),"",IFERROR(IF(AND(AH!$P$21=1,2699+1=AH!$P$11),TODAY(),IF(AH!$P$10=1,INDEX('Live History'!$A$5:$A$3004,AH!$P$13+2699),INDEX('AH History'!$A$1:$A$18046,AH!$P$7+2699))),""))</ns0:f>
        <ns0:v/>
      </ns0:c>
      <ns0:c r="B2704" s="219">
        <ns0:f>IFERROR(IF(AND(AH!$P$9&lt;&gt;1,$C2704&gt;0,$D2704&gt;0,$E2704&gt;0,$F2704&gt;0,$G2704&gt;0,$F2704&lt;=$A2704,$G2704&lt;=$A2704,$A2704-$F2704&lt;=10,$A2704-$G2704&lt;=5),$D2704*$E2704/$C2704-1,NA()),NA())</ns0:f>
        <ns0:v/>
      </ns0:c>
      <ns0:c r="C2704">
        <ns0:f>IFERROR(IF(ISNUMBER($A2704),IF(AND(AH!$P$10=1,AH!$P$12=1,$A2704=TODAY()),AH!$P$19,IF(AH!$P$10=1,INDEX('Live History'!$B$5:$B$3004,AH!$P$13+2699),INDEX('AH History'!$B$1:$B$18046,AH!$P$7+2699))),NA()),NA())</ns0:f>
        <ns0:v/>
      </ns0:c>
      <ns0:c r="D2704">
        <ns0:f>IFERROR(IF(ISNUMBER($A2704),IF(AND(AH!$P$10=1,AH!$P$12=1,$A2704=TODAY()),AH!$P$18,IF(AH!$P$10=1,INDEX('Live History'!$E$5:$E$3004,MATCH($A2704,'Live History'!$D$5:$D$3004,1)),INDEX('AH History'!$C$1:$C$18046,AH!$P$7+2699))),NA()),NA())</ns0:f>
        <ns0:v/>
      </ns0:c>
      <ns0:c r="E2704">
        <ns0:f>IFERROR(IF(ISNUMBER($A2704),IF(AND(AH!$P$10=1,AH!$P$12=1,$A2704=TODAY()),AH!$P$20,IF(AH!$P$10=1,INDEX('Live History'!$H$5:$H$3004,MATCH($A2704,'Live History'!$G$5:$G$3004,1)),INDEX('AH History'!$D$1:$D$18046,AH!$P$7+2699))),NA()),NA())</ns0:f>
        <ns0:v/>
      </ns0:c>
      <ns0:c r="F2704">
        <ns0:f>IFERROR(IF(ISNUMBER($A2704),IF(AND(AH!$P$10=1,AH!$P$12=1,$A2704=TODAY()),IF(AND(AH!$P$10=1,AH!$P$12=1,$A2704=TODAY()),TODAY(),NA()),IF(AH!$P$10=1,INDEX('Live History'!$D$5:$D$3004,MATCH($A2704,'Live History'!$D$5:$D$3004,1)),INDEX('AH History'!$E$1:$E$18046,AH!$P$7+2699))),NA()),NA())</ns0:f>
        <ns0:v/>
      </ns0:c>
      <ns0:c r="G2704">
        <ns0:f>IFERROR(IF(ISNUMBER($A2704),IF(AND(AH!$P$10=1,AH!$P$12=1,$A2704=TODAY()),IF(AND(AH!$P$10=1,AH!$P$12=1,$A2704=TODAY()),TODAY(),NA()),IF(AH!$P$10=1,INDEX('Live History'!$G$5:$G$3004,MATCH($A2704,'Live History'!$G$5:$G$3004,1)),INDEX('AH History'!$F$1:$F$18046,AH!$P$7+2699))),NA()),NA())</ns0:f>
        <ns0:v/>
      </ns0:c>
      <ns0:c r="H2704">
        <ns0:f>IFERROR(IF(AND(AH!$E$4="Bloomberg",AH!$P$10=1,ISNUMBER($A2704),$A2704&lt;=AH!$P$17),AH!$P$7-1+MATCH($A2704,INDEX('AH History'!$A$1:$A$18046,AH!$P$7):INDEX('AH History'!$A$1:$A$18046,AH!$P$7+AH!$P$8-1),0),0),0)</ns0:f>
        <ns0:v/>
      </ns0:c>
      <ns0:c r="I2704">
        <ns0:f>IF($H2704=0,0,IFERROR(IF(AND(ABS($C2704-INDEX('AH History'!$B$1:$B$18046,$H2704))&lt;=MAX(0.005,ABS(INDEX('AH History'!$B$1:$B$18046,$H2704))*0.00005),ABS($D2704-INDEX('AH History'!$C$1:$C$18046,$H2704))&lt;=MAX(0.005,ABS(INDEX('AH History'!$C$1:$C$18046,$H2704))*0.00005),ABS($E2704-INDEX('AH History'!$D$1:$D$18046,$H2704))&lt;=0.00005,$F2704=INDEX('AH History'!$E$1:$E$18046,$H2704),$G2704=INDEX('AH History'!$F$1:$F$18046,$H2704)),1,-1),-1))</ns0:f>
        <ns0:v/>
      </ns0:c>
    </ns0:row>
    <ns0:row r="2705">
      <ns0:c r="A2705" s="215">
        <ns0:f>IF(OR(AH!$P$3=0,2700+1&gt;AH!$P$11,AND(AH!$E$4&lt;&gt;"Stored",AH!$P$10&lt;&gt;1)),"",IFERROR(IF(AND(AH!$P$21=1,2700+1=AH!$P$11),TODAY(),IF(AH!$P$10=1,INDEX('Live History'!$A$5:$A$3004,AH!$P$13+2700),INDEX('AH History'!$A$1:$A$18046,AH!$P$7+2700))),""))</ns0:f>
        <ns0:v/>
      </ns0:c>
      <ns0:c r="B2705" s="219">
        <ns0:f>IFERROR(IF(AND(AH!$P$9&lt;&gt;1,$C2705&gt;0,$D2705&gt;0,$E2705&gt;0,$F2705&gt;0,$G2705&gt;0,$F2705&lt;=$A2705,$G2705&lt;=$A2705,$A2705-$F2705&lt;=10,$A2705-$G2705&lt;=5),$D2705*$E2705/$C2705-1,NA()),NA())</ns0:f>
        <ns0:v/>
      </ns0:c>
      <ns0:c r="C2705">
        <ns0:f>IFERROR(IF(ISNUMBER($A2705),IF(AND(AH!$P$10=1,AH!$P$12=1,$A2705=TODAY()),AH!$P$19,IF(AH!$P$10=1,INDEX('Live History'!$B$5:$B$3004,AH!$P$13+2700),INDEX('AH History'!$B$1:$B$18046,AH!$P$7+2700))),NA()),NA())</ns0:f>
        <ns0:v/>
      </ns0:c>
      <ns0:c r="D2705">
        <ns0:f>IFERROR(IF(ISNUMBER($A2705),IF(AND(AH!$P$10=1,AH!$P$12=1,$A2705=TODAY()),AH!$P$18,IF(AH!$P$10=1,INDEX('Live History'!$E$5:$E$3004,MATCH($A2705,'Live History'!$D$5:$D$3004,1)),INDEX('AH History'!$C$1:$C$18046,AH!$P$7+2700))),NA()),NA())</ns0:f>
        <ns0:v/>
      </ns0:c>
      <ns0:c r="E2705">
        <ns0:f>IFERROR(IF(ISNUMBER($A2705),IF(AND(AH!$P$10=1,AH!$P$12=1,$A2705=TODAY()),AH!$P$20,IF(AH!$P$10=1,INDEX('Live History'!$H$5:$H$3004,MATCH($A2705,'Live History'!$G$5:$G$3004,1)),INDEX('AH History'!$D$1:$D$18046,AH!$P$7+2700))),NA()),NA())</ns0:f>
        <ns0:v/>
      </ns0:c>
      <ns0:c r="F2705">
        <ns0:f>IFERROR(IF(ISNUMBER($A2705),IF(AND(AH!$P$10=1,AH!$P$12=1,$A2705=TODAY()),IF(AND(AH!$P$10=1,AH!$P$12=1,$A2705=TODAY()),TODAY(),NA()),IF(AH!$P$10=1,INDEX('Live History'!$D$5:$D$3004,MATCH($A2705,'Live History'!$D$5:$D$3004,1)),INDEX('AH History'!$E$1:$E$18046,AH!$P$7+2700))),NA()),NA())</ns0:f>
        <ns0:v/>
      </ns0:c>
      <ns0:c r="G2705">
        <ns0:f>IFERROR(IF(ISNUMBER($A2705),IF(AND(AH!$P$10=1,AH!$P$12=1,$A2705=TODAY()),IF(AND(AH!$P$10=1,AH!$P$12=1,$A2705=TODAY()),TODAY(),NA()),IF(AH!$P$10=1,INDEX('Live History'!$G$5:$G$3004,MATCH($A2705,'Live History'!$G$5:$G$3004,1)),INDEX('AH History'!$F$1:$F$18046,AH!$P$7+2700))),NA()),NA())</ns0:f>
        <ns0:v/>
      </ns0:c>
      <ns0:c r="H2705">
        <ns0:f>IFERROR(IF(AND(AH!$E$4="Bloomberg",AH!$P$10=1,ISNUMBER($A2705),$A2705&lt;=AH!$P$17),AH!$P$7-1+MATCH($A2705,INDEX('AH History'!$A$1:$A$18046,AH!$P$7):INDEX('AH History'!$A$1:$A$18046,AH!$P$7+AH!$P$8-1),0),0),0)</ns0:f>
        <ns0:v/>
      </ns0:c>
      <ns0:c r="I2705">
        <ns0:f>IF($H2705=0,0,IFERROR(IF(AND(ABS($C2705-INDEX('AH History'!$B$1:$B$18046,$H2705))&lt;=MAX(0.005,ABS(INDEX('AH History'!$B$1:$B$18046,$H2705))*0.00005),ABS($D2705-INDEX('AH History'!$C$1:$C$18046,$H2705))&lt;=MAX(0.005,ABS(INDEX('AH History'!$C$1:$C$18046,$H2705))*0.00005),ABS($E2705-INDEX('AH History'!$D$1:$D$18046,$H2705))&lt;=0.00005,$F2705=INDEX('AH History'!$E$1:$E$18046,$H2705),$G2705=INDEX('AH History'!$F$1:$F$18046,$H2705)),1,-1),-1))</ns0:f>
        <ns0:v/>
      </ns0:c>
    </ns0:row>
    <ns0:row r="2706">
      <ns0:c r="A2706" s="215">
        <ns0:f>IF(OR(AH!$P$3=0,2701+1&gt;AH!$P$11,AND(AH!$E$4&lt;&gt;"Stored",AH!$P$10&lt;&gt;1)),"",IFERROR(IF(AND(AH!$P$21=1,2701+1=AH!$P$11),TODAY(),IF(AH!$P$10=1,INDEX('Live History'!$A$5:$A$3004,AH!$P$13+2701),INDEX('AH History'!$A$1:$A$18046,AH!$P$7+2701))),""))</ns0:f>
        <ns0:v/>
      </ns0:c>
      <ns0:c r="B2706" s="219">
        <ns0:f>IFERROR(IF(AND(AH!$P$9&lt;&gt;1,$C2706&gt;0,$D2706&gt;0,$E2706&gt;0,$F2706&gt;0,$G2706&gt;0,$F2706&lt;=$A2706,$G2706&lt;=$A2706,$A2706-$F2706&lt;=10,$A2706-$G2706&lt;=5),$D2706*$E2706/$C2706-1,NA()),NA())</ns0:f>
        <ns0:v/>
      </ns0:c>
      <ns0:c r="C2706">
        <ns0:f>IFERROR(IF(ISNUMBER($A2706),IF(AND(AH!$P$10=1,AH!$P$12=1,$A2706=TODAY()),AH!$P$19,IF(AH!$P$10=1,INDEX('Live History'!$B$5:$B$3004,AH!$P$13+2701),INDEX('AH History'!$B$1:$B$18046,AH!$P$7+2701))),NA()),NA())</ns0:f>
        <ns0:v/>
      </ns0:c>
      <ns0:c r="D2706">
        <ns0:f>IFERROR(IF(ISNUMBER($A2706),IF(AND(AH!$P$10=1,AH!$P$12=1,$A2706=TODAY()),AH!$P$18,IF(AH!$P$10=1,INDEX('Live History'!$E$5:$E$3004,MATCH($A2706,'Live History'!$D$5:$D$3004,1)),INDEX('AH History'!$C$1:$C$18046,AH!$P$7+2701))),NA()),NA())</ns0:f>
        <ns0:v/>
      </ns0:c>
      <ns0:c r="E2706">
        <ns0:f>IFERROR(IF(ISNUMBER($A2706),IF(AND(AH!$P$10=1,AH!$P$12=1,$A2706=TODAY()),AH!$P$20,IF(AH!$P$10=1,INDEX('Live History'!$H$5:$H$3004,MATCH($A2706,'Live History'!$G$5:$G$3004,1)),INDEX('AH History'!$D$1:$D$18046,AH!$P$7+2701))),NA()),NA())</ns0:f>
        <ns0:v/>
      </ns0:c>
      <ns0:c r="F2706">
        <ns0:f>IFERROR(IF(ISNUMBER($A2706),IF(AND(AH!$P$10=1,AH!$P$12=1,$A2706=TODAY()),IF(AND(AH!$P$10=1,AH!$P$12=1,$A2706=TODAY()),TODAY(),NA()),IF(AH!$P$10=1,INDEX('Live History'!$D$5:$D$3004,MATCH($A2706,'Live History'!$D$5:$D$3004,1)),INDEX('AH History'!$E$1:$E$18046,AH!$P$7+2701))),NA()),NA())</ns0:f>
        <ns0:v/>
      </ns0:c>
      <ns0:c r="G2706">
        <ns0:f>IFERROR(IF(ISNUMBER($A2706),IF(AND(AH!$P$10=1,AH!$P$12=1,$A2706=TODAY()),IF(AND(AH!$P$10=1,AH!$P$12=1,$A2706=TODAY()),TODAY(),NA()),IF(AH!$P$10=1,INDEX('Live History'!$G$5:$G$3004,MATCH($A2706,'Live History'!$G$5:$G$3004,1)),INDEX('AH History'!$F$1:$F$18046,AH!$P$7+2701))),NA()),NA())</ns0:f>
        <ns0:v/>
      </ns0:c>
      <ns0:c r="H2706">
        <ns0:f>IFERROR(IF(AND(AH!$E$4="Bloomberg",AH!$P$10=1,ISNUMBER($A2706),$A2706&lt;=AH!$P$17),AH!$P$7-1+MATCH($A2706,INDEX('AH History'!$A$1:$A$18046,AH!$P$7):INDEX('AH History'!$A$1:$A$18046,AH!$P$7+AH!$P$8-1),0),0),0)</ns0:f>
        <ns0:v/>
      </ns0:c>
      <ns0:c r="I2706">
        <ns0:f>IF($H2706=0,0,IFERROR(IF(AND(ABS($C2706-INDEX('AH History'!$B$1:$B$18046,$H2706))&lt;=MAX(0.005,ABS(INDEX('AH History'!$B$1:$B$18046,$H2706))*0.00005),ABS($D2706-INDEX('AH History'!$C$1:$C$18046,$H2706))&lt;=MAX(0.005,ABS(INDEX('AH History'!$C$1:$C$18046,$H2706))*0.00005),ABS($E2706-INDEX('AH History'!$D$1:$D$18046,$H2706))&lt;=0.00005,$F2706=INDEX('AH History'!$E$1:$E$18046,$H2706),$G2706=INDEX('AH History'!$F$1:$F$18046,$H2706)),1,-1),-1))</ns0:f>
        <ns0:v/>
      </ns0:c>
    </ns0:row>
    <ns0:row r="2707">
      <ns0:c r="A2707" s="215">
        <ns0:f>IF(OR(AH!$P$3=0,2702+1&gt;AH!$P$11,AND(AH!$E$4&lt;&gt;"Stored",AH!$P$10&lt;&gt;1)),"",IFERROR(IF(AND(AH!$P$21=1,2702+1=AH!$P$11),TODAY(),IF(AH!$P$10=1,INDEX('Live History'!$A$5:$A$3004,AH!$P$13+2702),INDEX('AH History'!$A$1:$A$18046,AH!$P$7+2702))),""))</ns0:f>
        <ns0:v/>
      </ns0:c>
      <ns0:c r="B2707" s="219">
        <ns0:f>IFERROR(IF(AND(AH!$P$9&lt;&gt;1,$C2707&gt;0,$D2707&gt;0,$E2707&gt;0,$F2707&gt;0,$G2707&gt;0,$F2707&lt;=$A2707,$G2707&lt;=$A2707,$A2707-$F2707&lt;=10,$A2707-$G2707&lt;=5),$D2707*$E2707/$C2707-1,NA()),NA())</ns0:f>
        <ns0:v/>
      </ns0:c>
      <ns0:c r="C2707">
        <ns0:f>IFERROR(IF(ISNUMBER($A2707),IF(AND(AH!$P$10=1,AH!$P$12=1,$A2707=TODAY()),AH!$P$19,IF(AH!$P$10=1,INDEX('Live History'!$B$5:$B$3004,AH!$P$13+2702),INDEX('AH History'!$B$1:$B$18046,AH!$P$7+2702))),NA()),NA())</ns0:f>
        <ns0:v/>
      </ns0:c>
      <ns0:c r="D2707">
        <ns0:f>IFERROR(IF(ISNUMBER($A2707),IF(AND(AH!$P$10=1,AH!$P$12=1,$A2707=TODAY()),AH!$P$18,IF(AH!$P$10=1,INDEX('Live History'!$E$5:$E$3004,MATCH($A2707,'Live History'!$D$5:$D$3004,1)),INDEX('AH History'!$C$1:$C$18046,AH!$P$7+2702))),NA()),NA())</ns0:f>
        <ns0:v/>
      </ns0:c>
      <ns0:c r="E2707">
        <ns0:f>IFERROR(IF(ISNUMBER($A2707),IF(AND(AH!$P$10=1,AH!$P$12=1,$A2707=TODAY()),AH!$P$20,IF(AH!$P$10=1,INDEX('Live History'!$H$5:$H$3004,MATCH($A2707,'Live History'!$G$5:$G$3004,1)),INDEX('AH History'!$D$1:$D$18046,AH!$P$7+2702))),NA()),NA())</ns0:f>
        <ns0:v/>
      </ns0:c>
      <ns0:c r="F2707">
        <ns0:f>IFERROR(IF(ISNUMBER($A2707),IF(AND(AH!$P$10=1,AH!$P$12=1,$A2707=TODAY()),IF(AND(AH!$P$10=1,AH!$P$12=1,$A2707=TODAY()),TODAY(),NA()),IF(AH!$P$10=1,INDEX('Live History'!$D$5:$D$3004,MATCH($A2707,'Live History'!$D$5:$D$3004,1)),INDEX('AH History'!$E$1:$E$18046,AH!$P$7+2702))),NA()),NA())</ns0:f>
        <ns0:v/>
      </ns0:c>
      <ns0:c r="G2707">
        <ns0:f>IFERROR(IF(ISNUMBER($A2707),IF(AND(AH!$P$10=1,AH!$P$12=1,$A2707=TODAY()),IF(AND(AH!$P$10=1,AH!$P$12=1,$A2707=TODAY()),TODAY(),NA()),IF(AH!$P$10=1,INDEX('Live History'!$G$5:$G$3004,MATCH($A2707,'Live History'!$G$5:$G$3004,1)),INDEX('AH History'!$F$1:$F$18046,AH!$P$7+2702))),NA()),NA())</ns0:f>
        <ns0:v/>
      </ns0:c>
      <ns0:c r="H2707">
        <ns0:f>IFERROR(IF(AND(AH!$E$4="Bloomberg",AH!$P$10=1,ISNUMBER($A2707),$A2707&lt;=AH!$P$17),AH!$P$7-1+MATCH($A2707,INDEX('AH History'!$A$1:$A$18046,AH!$P$7):INDEX('AH History'!$A$1:$A$18046,AH!$P$7+AH!$P$8-1),0),0),0)</ns0:f>
        <ns0:v/>
      </ns0:c>
      <ns0:c r="I2707">
        <ns0:f>IF($H2707=0,0,IFERROR(IF(AND(ABS($C2707-INDEX('AH History'!$B$1:$B$18046,$H2707))&lt;=MAX(0.005,ABS(INDEX('AH History'!$B$1:$B$18046,$H2707))*0.00005),ABS($D2707-INDEX('AH History'!$C$1:$C$18046,$H2707))&lt;=MAX(0.005,ABS(INDEX('AH History'!$C$1:$C$18046,$H2707))*0.00005),ABS($E2707-INDEX('AH History'!$D$1:$D$18046,$H2707))&lt;=0.00005,$F2707=INDEX('AH History'!$E$1:$E$18046,$H2707),$G2707=INDEX('AH History'!$F$1:$F$18046,$H2707)),1,-1),-1))</ns0:f>
        <ns0:v/>
      </ns0:c>
    </ns0:row>
    <ns0:row r="2708">
      <ns0:c r="A2708" s="215">
        <ns0:f>IF(OR(AH!$P$3=0,2703+1&gt;AH!$P$11,AND(AH!$E$4&lt;&gt;"Stored",AH!$P$10&lt;&gt;1)),"",IFERROR(IF(AND(AH!$P$21=1,2703+1=AH!$P$11),TODAY(),IF(AH!$P$10=1,INDEX('Live History'!$A$5:$A$3004,AH!$P$13+2703),INDEX('AH History'!$A$1:$A$18046,AH!$P$7+2703))),""))</ns0:f>
        <ns0:v/>
      </ns0:c>
      <ns0:c r="B2708" s="219">
        <ns0:f>IFERROR(IF(AND(AH!$P$9&lt;&gt;1,$C2708&gt;0,$D2708&gt;0,$E2708&gt;0,$F2708&gt;0,$G2708&gt;0,$F2708&lt;=$A2708,$G2708&lt;=$A2708,$A2708-$F2708&lt;=10,$A2708-$G2708&lt;=5),$D2708*$E2708/$C2708-1,NA()),NA())</ns0:f>
        <ns0:v/>
      </ns0:c>
      <ns0:c r="C2708">
        <ns0:f>IFERROR(IF(ISNUMBER($A2708),IF(AND(AH!$P$10=1,AH!$P$12=1,$A2708=TODAY()),AH!$P$19,IF(AH!$P$10=1,INDEX('Live History'!$B$5:$B$3004,AH!$P$13+2703),INDEX('AH History'!$B$1:$B$18046,AH!$P$7+2703))),NA()),NA())</ns0:f>
        <ns0:v/>
      </ns0:c>
      <ns0:c r="D2708">
        <ns0:f>IFERROR(IF(ISNUMBER($A2708),IF(AND(AH!$P$10=1,AH!$P$12=1,$A2708=TODAY()),AH!$P$18,IF(AH!$P$10=1,INDEX('Live History'!$E$5:$E$3004,MATCH($A2708,'Live History'!$D$5:$D$3004,1)),INDEX('AH History'!$C$1:$C$18046,AH!$P$7+2703))),NA()),NA())</ns0:f>
        <ns0:v/>
      </ns0:c>
      <ns0:c r="E2708">
        <ns0:f>IFERROR(IF(ISNUMBER($A2708),IF(AND(AH!$P$10=1,AH!$P$12=1,$A2708=TODAY()),AH!$P$20,IF(AH!$P$10=1,INDEX('Live History'!$H$5:$H$3004,MATCH($A2708,'Live History'!$G$5:$G$3004,1)),INDEX('AH History'!$D$1:$D$18046,AH!$P$7+2703))),NA()),NA())</ns0:f>
        <ns0:v/>
      </ns0:c>
      <ns0:c r="F2708">
        <ns0:f>IFERROR(IF(ISNUMBER($A2708),IF(AND(AH!$P$10=1,AH!$P$12=1,$A2708=TODAY()),IF(AND(AH!$P$10=1,AH!$P$12=1,$A2708=TODAY()),TODAY(),NA()),IF(AH!$P$10=1,INDEX('Live History'!$D$5:$D$3004,MATCH($A2708,'Live History'!$D$5:$D$3004,1)),INDEX('AH History'!$E$1:$E$18046,AH!$P$7+2703))),NA()),NA())</ns0:f>
        <ns0:v/>
      </ns0:c>
      <ns0:c r="G2708">
        <ns0:f>IFERROR(IF(ISNUMBER($A2708),IF(AND(AH!$P$10=1,AH!$P$12=1,$A2708=TODAY()),IF(AND(AH!$P$10=1,AH!$P$12=1,$A2708=TODAY()),TODAY(),NA()),IF(AH!$P$10=1,INDEX('Live History'!$G$5:$G$3004,MATCH($A2708,'Live History'!$G$5:$G$3004,1)),INDEX('AH History'!$F$1:$F$18046,AH!$P$7+2703))),NA()),NA())</ns0:f>
        <ns0:v/>
      </ns0:c>
      <ns0:c r="H2708">
        <ns0:f>IFERROR(IF(AND(AH!$E$4="Bloomberg",AH!$P$10=1,ISNUMBER($A2708),$A2708&lt;=AH!$P$17),AH!$P$7-1+MATCH($A2708,INDEX('AH History'!$A$1:$A$18046,AH!$P$7):INDEX('AH History'!$A$1:$A$18046,AH!$P$7+AH!$P$8-1),0),0),0)</ns0:f>
        <ns0:v/>
      </ns0:c>
      <ns0:c r="I2708">
        <ns0:f>IF($H2708=0,0,IFERROR(IF(AND(ABS($C2708-INDEX('AH History'!$B$1:$B$18046,$H2708))&lt;=MAX(0.005,ABS(INDEX('AH History'!$B$1:$B$18046,$H2708))*0.00005),ABS($D2708-INDEX('AH History'!$C$1:$C$18046,$H2708))&lt;=MAX(0.005,ABS(INDEX('AH History'!$C$1:$C$18046,$H2708))*0.00005),ABS($E2708-INDEX('AH History'!$D$1:$D$18046,$H2708))&lt;=0.00005,$F2708=INDEX('AH History'!$E$1:$E$18046,$H2708),$G2708=INDEX('AH History'!$F$1:$F$18046,$H2708)),1,-1),-1))</ns0:f>
        <ns0:v/>
      </ns0:c>
    </ns0:row>
    <ns0:row r="2709">
      <ns0:c r="A2709" s="215">
        <ns0:f>IF(OR(AH!$P$3=0,2704+1&gt;AH!$P$11,AND(AH!$E$4&lt;&gt;"Stored",AH!$P$10&lt;&gt;1)),"",IFERROR(IF(AND(AH!$P$21=1,2704+1=AH!$P$11),TODAY(),IF(AH!$P$10=1,INDEX('Live History'!$A$5:$A$3004,AH!$P$13+2704),INDEX('AH History'!$A$1:$A$18046,AH!$P$7+2704))),""))</ns0:f>
        <ns0:v/>
      </ns0:c>
      <ns0:c r="B2709" s="219">
        <ns0:f>IFERROR(IF(AND(AH!$P$9&lt;&gt;1,$C2709&gt;0,$D2709&gt;0,$E2709&gt;0,$F2709&gt;0,$G2709&gt;0,$F2709&lt;=$A2709,$G2709&lt;=$A2709,$A2709-$F2709&lt;=10,$A2709-$G2709&lt;=5),$D2709*$E2709/$C2709-1,NA()),NA())</ns0:f>
        <ns0:v/>
      </ns0:c>
      <ns0:c r="C2709">
        <ns0:f>IFERROR(IF(ISNUMBER($A2709),IF(AND(AH!$P$10=1,AH!$P$12=1,$A2709=TODAY()),AH!$P$19,IF(AH!$P$10=1,INDEX('Live History'!$B$5:$B$3004,AH!$P$13+2704),INDEX('AH History'!$B$1:$B$18046,AH!$P$7+2704))),NA()),NA())</ns0:f>
        <ns0:v/>
      </ns0:c>
      <ns0:c r="D2709">
        <ns0:f>IFERROR(IF(ISNUMBER($A2709),IF(AND(AH!$P$10=1,AH!$P$12=1,$A2709=TODAY()),AH!$P$18,IF(AH!$P$10=1,INDEX('Live History'!$E$5:$E$3004,MATCH($A2709,'Live History'!$D$5:$D$3004,1)),INDEX('AH History'!$C$1:$C$18046,AH!$P$7+2704))),NA()),NA())</ns0:f>
        <ns0:v/>
      </ns0:c>
      <ns0:c r="E2709">
        <ns0:f>IFERROR(IF(ISNUMBER($A2709),IF(AND(AH!$P$10=1,AH!$P$12=1,$A2709=TODAY()),AH!$P$20,IF(AH!$P$10=1,INDEX('Live History'!$H$5:$H$3004,MATCH($A2709,'Live History'!$G$5:$G$3004,1)),INDEX('AH History'!$D$1:$D$18046,AH!$P$7+2704))),NA()),NA())</ns0:f>
        <ns0:v/>
      </ns0:c>
      <ns0:c r="F2709">
        <ns0:f>IFERROR(IF(ISNUMBER($A2709),IF(AND(AH!$P$10=1,AH!$P$12=1,$A2709=TODAY()),IF(AND(AH!$P$10=1,AH!$P$12=1,$A2709=TODAY()),TODAY(),NA()),IF(AH!$P$10=1,INDEX('Live History'!$D$5:$D$3004,MATCH($A2709,'Live History'!$D$5:$D$3004,1)),INDEX('AH History'!$E$1:$E$18046,AH!$P$7+2704))),NA()),NA())</ns0:f>
        <ns0:v/>
      </ns0:c>
      <ns0:c r="G2709">
        <ns0:f>IFERROR(IF(ISNUMBER($A2709),IF(AND(AH!$P$10=1,AH!$P$12=1,$A2709=TODAY()),IF(AND(AH!$P$10=1,AH!$P$12=1,$A2709=TODAY()),TODAY(),NA()),IF(AH!$P$10=1,INDEX('Live History'!$G$5:$G$3004,MATCH($A2709,'Live History'!$G$5:$G$3004,1)),INDEX('AH History'!$F$1:$F$18046,AH!$P$7+2704))),NA()),NA())</ns0:f>
        <ns0:v/>
      </ns0:c>
      <ns0:c r="H2709">
        <ns0:f>IFERROR(IF(AND(AH!$E$4="Bloomberg",AH!$P$10=1,ISNUMBER($A2709),$A2709&lt;=AH!$P$17),AH!$P$7-1+MATCH($A2709,INDEX('AH History'!$A$1:$A$18046,AH!$P$7):INDEX('AH History'!$A$1:$A$18046,AH!$P$7+AH!$P$8-1),0),0),0)</ns0:f>
        <ns0:v/>
      </ns0:c>
      <ns0:c r="I2709">
        <ns0:f>IF($H2709=0,0,IFERROR(IF(AND(ABS($C2709-INDEX('AH History'!$B$1:$B$18046,$H2709))&lt;=MAX(0.005,ABS(INDEX('AH History'!$B$1:$B$18046,$H2709))*0.00005),ABS($D2709-INDEX('AH History'!$C$1:$C$18046,$H2709))&lt;=MAX(0.005,ABS(INDEX('AH History'!$C$1:$C$18046,$H2709))*0.00005),ABS($E2709-INDEX('AH History'!$D$1:$D$18046,$H2709))&lt;=0.00005,$F2709=INDEX('AH History'!$E$1:$E$18046,$H2709),$G2709=INDEX('AH History'!$F$1:$F$18046,$H2709)),1,-1),-1))</ns0:f>
        <ns0:v/>
      </ns0:c>
    </ns0:row>
    <ns0:row r="2710">
      <ns0:c r="A2710" s="215">
        <ns0:f>IF(OR(AH!$P$3=0,2705+1&gt;AH!$P$11,AND(AH!$E$4&lt;&gt;"Stored",AH!$P$10&lt;&gt;1)),"",IFERROR(IF(AND(AH!$P$21=1,2705+1=AH!$P$11),TODAY(),IF(AH!$P$10=1,INDEX('Live History'!$A$5:$A$3004,AH!$P$13+2705),INDEX('AH History'!$A$1:$A$18046,AH!$P$7+2705))),""))</ns0:f>
        <ns0:v/>
      </ns0:c>
      <ns0:c r="B2710" s="219">
        <ns0:f>IFERROR(IF(AND(AH!$P$9&lt;&gt;1,$C2710&gt;0,$D2710&gt;0,$E2710&gt;0,$F2710&gt;0,$G2710&gt;0,$F2710&lt;=$A2710,$G2710&lt;=$A2710,$A2710-$F2710&lt;=10,$A2710-$G2710&lt;=5),$D2710*$E2710/$C2710-1,NA()),NA())</ns0:f>
        <ns0:v/>
      </ns0:c>
      <ns0:c r="C2710">
        <ns0:f>IFERROR(IF(ISNUMBER($A2710),IF(AND(AH!$P$10=1,AH!$P$12=1,$A2710=TODAY()),AH!$P$19,IF(AH!$P$10=1,INDEX('Live History'!$B$5:$B$3004,AH!$P$13+2705),INDEX('AH History'!$B$1:$B$18046,AH!$P$7+2705))),NA()),NA())</ns0:f>
        <ns0:v/>
      </ns0:c>
      <ns0:c r="D2710">
        <ns0:f>IFERROR(IF(ISNUMBER($A2710),IF(AND(AH!$P$10=1,AH!$P$12=1,$A2710=TODAY()),AH!$P$18,IF(AH!$P$10=1,INDEX('Live History'!$E$5:$E$3004,MATCH($A2710,'Live History'!$D$5:$D$3004,1)),INDEX('AH History'!$C$1:$C$18046,AH!$P$7+2705))),NA()),NA())</ns0:f>
        <ns0:v/>
      </ns0:c>
      <ns0:c r="E2710">
        <ns0:f>IFERROR(IF(ISNUMBER($A2710),IF(AND(AH!$P$10=1,AH!$P$12=1,$A2710=TODAY()),AH!$P$20,IF(AH!$P$10=1,INDEX('Live History'!$H$5:$H$3004,MATCH($A2710,'Live History'!$G$5:$G$3004,1)),INDEX('AH History'!$D$1:$D$18046,AH!$P$7+2705))),NA()),NA())</ns0:f>
        <ns0:v/>
      </ns0:c>
      <ns0:c r="F2710">
        <ns0:f>IFERROR(IF(ISNUMBER($A2710),IF(AND(AH!$P$10=1,AH!$P$12=1,$A2710=TODAY()),IF(AND(AH!$P$10=1,AH!$P$12=1,$A2710=TODAY()),TODAY(),NA()),IF(AH!$P$10=1,INDEX('Live History'!$D$5:$D$3004,MATCH($A2710,'Live History'!$D$5:$D$3004,1)),INDEX('AH History'!$E$1:$E$18046,AH!$P$7+2705))),NA()),NA())</ns0:f>
        <ns0:v/>
      </ns0:c>
      <ns0:c r="G2710">
        <ns0:f>IFERROR(IF(ISNUMBER($A2710),IF(AND(AH!$P$10=1,AH!$P$12=1,$A2710=TODAY()),IF(AND(AH!$P$10=1,AH!$P$12=1,$A2710=TODAY()),TODAY(),NA()),IF(AH!$P$10=1,INDEX('Live History'!$G$5:$G$3004,MATCH($A2710,'Live History'!$G$5:$G$3004,1)),INDEX('AH History'!$F$1:$F$18046,AH!$P$7+2705))),NA()),NA())</ns0:f>
        <ns0:v/>
      </ns0:c>
      <ns0:c r="H2710">
        <ns0:f>IFERROR(IF(AND(AH!$E$4="Bloomberg",AH!$P$10=1,ISNUMBER($A2710),$A2710&lt;=AH!$P$17),AH!$P$7-1+MATCH($A2710,INDEX('AH History'!$A$1:$A$18046,AH!$P$7):INDEX('AH History'!$A$1:$A$18046,AH!$P$7+AH!$P$8-1),0),0),0)</ns0:f>
        <ns0:v/>
      </ns0:c>
      <ns0:c r="I2710">
        <ns0:f>IF($H2710=0,0,IFERROR(IF(AND(ABS($C2710-INDEX('AH History'!$B$1:$B$18046,$H2710))&lt;=MAX(0.005,ABS(INDEX('AH History'!$B$1:$B$18046,$H2710))*0.00005),ABS($D2710-INDEX('AH History'!$C$1:$C$18046,$H2710))&lt;=MAX(0.005,ABS(INDEX('AH History'!$C$1:$C$18046,$H2710))*0.00005),ABS($E2710-INDEX('AH History'!$D$1:$D$18046,$H2710))&lt;=0.00005,$F2710=INDEX('AH History'!$E$1:$E$18046,$H2710),$G2710=INDEX('AH History'!$F$1:$F$18046,$H2710)),1,-1),-1))</ns0:f>
        <ns0:v/>
      </ns0:c>
    </ns0:row>
    <ns0:row r="2711">
      <ns0:c r="A2711" s="215">
        <ns0:f>IF(OR(AH!$P$3=0,2706+1&gt;AH!$P$11,AND(AH!$E$4&lt;&gt;"Stored",AH!$P$10&lt;&gt;1)),"",IFERROR(IF(AND(AH!$P$21=1,2706+1=AH!$P$11),TODAY(),IF(AH!$P$10=1,INDEX('Live History'!$A$5:$A$3004,AH!$P$13+2706),INDEX('AH History'!$A$1:$A$18046,AH!$P$7+2706))),""))</ns0:f>
        <ns0:v/>
      </ns0:c>
      <ns0:c r="B2711" s="219">
        <ns0:f>IFERROR(IF(AND(AH!$P$9&lt;&gt;1,$C2711&gt;0,$D2711&gt;0,$E2711&gt;0,$F2711&gt;0,$G2711&gt;0,$F2711&lt;=$A2711,$G2711&lt;=$A2711,$A2711-$F2711&lt;=10,$A2711-$G2711&lt;=5),$D2711*$E2711/$C2711-1,NA()),NA())</ns0:f>
        <ns0:v/>
      </ns0:c>
      <ns0:c r="C2711">
        <ns0:f>IFERROR(IF(ISNUMBER($A2711),IF(AND(AH!$P$10=1,AH!$P$12=1,$A2711=TODAY()),AH!$P$19,IF(AH!$P$10=1,INDEX('Live History'!$B$5:$B$3004,AH!$P$13+2706),INDEX('AH History'!$B$1:$B$18046,AH!$P$7+2706))),NA()),NA())</ns0:f>
        <ns0:v/>
      </ns0:c>
      <ns0:c r="D2711">
        <ns0:f>IFERROR(IF(ISNUMBER($A2711),IF(AND(AH!$P$10=1,AH!$P$12=1,$A2711=TODAY()),AH!$P$18,IF(AH!$P$10=1,INDEX('Live History'!$E$5:$E$3004,MATCH($A2711,'Live History'!$D$5:$D$3004,1)),INDEX('AH History'!$C$1:$C$18046,AH!$P$7+2706))),NA()),NA())</ns0:f>
        <ns0:v/>
      </ns0:c>
      <ns0:c r="E2711">
        <ns0:f>IFERROR(IF(ISNUMBER($A2711),IF(AND(AH!$P$10=1,AH!$P$12=1,$A2711=TODAY()),AH!$P$20,IF(AH!$P$10=1,INDEX('Live History'!$H$5:$H$3004,MATCH($A2711,'Live History'!$G$5:$G$3004,1)),INDEX('AH History'!$D$1:$D$18046,AH!$P$7+2706))),NA()),NA())</ns0:f>
        <ns0:v/>
      </ns0:c>
      <ns0:c r="F2711">
        <ns0:f>IFERROR(IF(ISNUMBER($A2711),IF(AND(AH!$P$10=1,AH!$P$12=1,$A2711=TODAY()),IF(AND(AH!$P$10=1,AH!$P$12=1,$A2711=TODAY()),TODAY(),NA()),IF(AH!$P$10=1,INDEX('Live History'!$D$5:$D$3004,MATCH($A2711,'Live History'!$D$5:$D$3004,1)),INDEX('AH History'!$E$1:$E$18046,AH!$P$7+2706))),NA()),NA())</ns0:f>
        <ns0:v/>
      </ns0:c>
      <ns0:c r="G2711">
        <ns0:f>IFERROR(IF(ISNUMBER($A2711),IF(AND(AH!$P$10=1,AH!$P$12=1,$A2711=TODAY()),IF(AND(AH!$P$10=1,AH!$P$12=1,$A2711=TODAY()),TODAY(),NA()),IF(AH!$P$10=1,INDEX('Live History'!$G$5:$G$3004,MATCH($A2711,'Live History'!$G$5:$G$3004,1)),INDEX('AH History'!$F$1:$F$18046,AH!$P$7+2706))),NA()),NA())</ns0:f>
        <ns0:v/>
      </ns0:c>
      <ns0:c r="H2711">
        <ns0:f>IFERROR(IF(AND(AH!$E$4="Bloomberg",AH!$P$10=1,ISNUMBER($A2711),$A2711&lt;=AH!$P$17),AH!$P$7-1+MATCH($A2711,INDEX('AH History'!$A$1:$A$18046,AH!$P$7):INDEX('AH History'!$A$1:$A$18046,AH!$P$7+AH!$P$8-1),0),0),0)</ns0:f>
        <ns0:v/>
      </ns0:c>
      <ns0:c r="I2711">
        <ns0:f>IF($H2711=0,0,IFERROR(IF(AND(ABS($C2711-INDEX('AH History'!$B$1:$B$18046,$H2711))&lt;=MAX(0.005,ABS(INDEX('AH History'!$B$1:$B$18046,$H2711))*0.00005),ABS($D2711-INDEX('AH History'!$C$1:$C$18046,$H2711))&lt;=MAX(0.005,ABS(INDEX('AH History'!$C$1:$C$18046,$H2711))*0.00005),ABS($E2711-INDEX('AH History'!$D$1:$D$18046,$H2711))&lt;=0.00005,$F2711=INDEX('AH History'!$E$1:$E$18046,$H2711),$G2711=INDEX('AH History'!$F$1:$F$18046,$H2711)),1,-1),-1))</ns0:f>
        <ns0:v/>
      </ns0:c>
    </ns0:row>
    <ns0:row r="2712">
      <ns0:c r="A2712" s="215">
        <ns0:f>IF(OR(AH!$P$3=0,2707+1&gt;AH!$P$11,AND(AH!$E$4&lt;&gt;"Stored",AH!$P$10&lt;&gt;1)),"",IFERROR(IF(AND(AH!$P$21=1,2707+1=AH!$P$11),TODAY(),IF(AH!$P$10=1,INDEX('Live History'!$A$5:$A$3004,AH!$P$13+2707),INDEX('AH History'!$A$1:$A$18046,AH!$P$7+2707))),""))</ns0:f>
        <ns0:v/>
      </ns0:c>
      <ns0:c r="B2712" s="219">
        <ns0:f>IFERROR(IF(AND(AH!$P$9&lt;&gt;1,$C2712&gt;0,$D2712&gt;0,$E2712&gt;0,$F2712&gt;0,$G2712&gt;0,$F2712&lt;=$A2712,$G2712&lt;=$A2712,$A2712-$F2712&lt;=10,$A2712-$G2712&lt;=5),$D2712*$E2712/$C2712-1,NA()),NA())</ns0:f>
        <ns0:v/>
      </ns0:c>
      <ns0:c r="C2712">
        <ns0:f>IFERROR(IF(ISNUMBER($A2712),IF(AND(AH!$P$10=1,AH!$P$12=1,$A2712=TODAY()),AH!$P$19,IF(AH!$P$10=1,INDEX('Live History'!$B$5:$B$3004,AH!$P$13+2707),INDEX('AH History'!$B$1:$B$18046,AH!$P$7+2707))),NA()),NA())</ns0:f>
        <ns0:v/>
      </ns0:c>
      <ns0:c r="D2712">
        <ns0:f>IFERROR(IF(ISNUMBER($A2712),IF(AND(AH!$P$10=1,AH!$P$12=1,$A2712=TODAY()),AH!$P$18,IF(AH!$P$10=1,INDEX('Live History'!$E$5:$E$3004,MATCH($A2712,'Live History'!$D$5:$D$3004,1)),INDEX('AH History'!$C$1:$C$18046,AH!$P$7+2707))),NA()),NA())</ns0:f>
        <ns0:v/>
      </ns0:c>
      <ns0:c r="E2712">
        <ns0:f>IFERROR(IF(ISNUMBER($A2712),IF(AND(AH!$P$10=1,AH!$P$12=1,$A2712=TODAY()),AH!$P$20,IF(AH!$P$10=1,INDEX('Live History'!$H$5:$H$3004,MATCH($A2712,'Live History'!$G$5:$G$3004,1)),INDEX('AH History'!$D$1:$D$18046,AH!$P$7+2707))),NA()),NA())</ns0:f>
        <ns0:v/>
      </ns0:c>
      <ns0:c r="F2712">
        <ns0:f>IFERROR(IF(ISNUMBER($A2712),IF(AND(AH!$P$10=1,AH!$P$12=1,$A2712=TODAY()),IF(AND(AH!$P$10=1,AH!$P$12=1,$A2712=TODAY()),TODAY(),NA()),IF(AH!$P$10=1,INDEX('Live History'!$D$5:$D$3004,MATCH($A2712,'Live History'!$D$5:$D$3004,1)),INDEX('AH History'!$E$1:$E$18046,AH!$P$7+2707))),NA()),NA())</ns0:f>
        <ns0:v/>
      </ns0:c>
      <ns0:c r="G2712">
        <ns0:f>IFERROR(IF(ISNUMBER($A2712),IF(AND(AH!$P$10=1,AH!$P$12=1,$A2712=TODAY()),IF(AND(AH!$P$10=1,AH!$P$12=1,$A2712=TODAY()),TODAY(),NA()),IF(AH!$P$10=1,INDEX('Live History'!$G$5:$G$3004,MATCH($A2712,'Live History'!$G$5:$G$3004,1)),INDEX('AH History'!$F$1:$F$18046,AH!$P$7+2707))),NA()),NA())</ns0:f>
        <ns0:v/>
      </ns0:c>
      <ns0:c r="H2712">
        <ns0:f>IFERROR(IF(AND(AH!$E$4="Bloomberg",AH!$P$10=1,ISNUMBER($A2712),$A2712&lt;=AH!$P$17),AH!$P$7-1+MATCH($A2712,INDEX('AH History'!$A$1:$A$18046,AH!$P$7):INDEX('AH History'!$A$1:$A$18046,AH!$P$7+AH!$P$8-1),0),0),0)</ns0:f>
        <ns0:v/>
      </ns0:c>
      <ns0:c r="I2712">
        <ns0:f>IF($H2712=0,0,IFERROR(IF(AND(ABS($C2712-INDEX('AH History'!$B$1:$B$18046,$H2712))&lt;=MAX(0.005,ABS(INDEX('AH History'!$B$1:$B$18046,$H2712))*0.00005),ABS($D2712-INDEX('AH History'!$C$1:$C$18046,$H2712))&lt;=MAX(0.005,ABS(INDEX('AH History'!$C$1:$C$18046,$H2712))*0.00005),ABS($E2712-INDEX('AH History'!$D$1:$D$18046,$H2712))&lt;=0.00005,$F2712=INDEX('AH History'!$E$1:$E$18046,$H2712),$G2712=INDEX('AH History'!$F$1:$F$18046,$H2712)),1,-1),-1))</ns0:f>
        <ns0:v/>
      </ns0:c>
    </ns0:row>
    <ns0:row r="2713">
      <ns0:c r="A2713" s="215">
        <ns0:f>IF(OR(AH!$P$3=0,2708+1&gt;AH!$P$11,AND(AH!$E$4&lt;&gt;"Stored",AH!$P$10&lt;&gt;1)),"",IFERROR(IF(AND(AH!$P$21=1,2708+1=AH!$P$11),TODAY(),IF(AH!$P$10=1,INDEX('Live History'!$A$5:$A$3004,AH!$P$13+2708),INDEX('AH History'!$A$1:$A$18046,AH!$P$7+2708))),""))</ns0:f>
        <ns0:v/>
      </ns0:c>
      <ns0:c r="B2713" s="219">
        <ns0:f>IFERROR(IF(AND(AH!$P$9&lt;&gt;1,$C2713&gt;0,$D2713&gt;0,$E2713&gt;0,$F2713&gt;0,$G2713&gt;0,$F2713&lt;=$A2713,$G2713&lt;=$A2713,$A2713-$F2713&lt;=10,$A2713-$G2713&lt;=5),$D2713*$E2713/$C2713-1,NA()),NA())</ns0:f>
        <ns0:v/>
      </ns0:c>
      <ns0:c r="C2713">
        <ns0:f>IFERROR(IF(ISNUMBER($A2713),IF(AND(AH!$P$10=1,AH!$P$12=1,$A2713=TODAY()),AH!$P$19,IF(AH!$P$10=1,INDEX('Live History'!$B$5:$B$3004,AH!$P$13+2708),INDEX('AH History'!$B$1:$B$18046,AH!$P$7+2708))),NA()),NA())</ns0:f>
        <ns0:v/>
      </ns0:c>
      <ns0:c r="D2713">
        <ns0:f>IFERROR(IF(ISNUMBER($A2713),IF(AND(AH!$P$10=1,AH!$P$12=1,$A2713=TODAY()),AH!$P$18,IF(AH!$P$10=1,INDEX('Live History'!$E$5:$E$3004,MATCH($A2713,'Live History'!$D$5:$D$3004,1)),INDEX('AH History'!$C$1:$C$18046,AH!$P$7+2708))),NA()),NA())</ns0:f>
        <ns0:v/>
      </ns0:c>
      <ns0:c r="E2713">
        <ns0:f>IFERROR(IF(ISNUMBER($A2713),IF(AND(AH!$P$10=1,AH!$P$12=1,$A2713=TODAY()),AH!$P$20,IF(AH!$P$10=1,INDEX('Live History'!$H$5:$H$3004,MATCH($A2713,'Live History'!$G$5:$G$3004,1)),INDEX('AH History'!$D$1:$D$18046,AH!$P$7+2708))),NA()),NA())</ns0:f>
        <ns0:v/>
      </ns0:c>
      <ns0:c r="F2713">
        <ns0:f>IFERROR(IF(ISNUMBER($A2713),IF(AND(AH!$P$10=1,AH!$P$12=1,$A2713=TODAY()),IF(AND(AH!$P$10=1,AH!$P$12=1,$A2713=TODAY()),TODAY(),NA()),IF(AH!$P$10=1,INDEX('Live History'!$D$5:$D$3004,MATCH($A2713,'Live History'!$D$5:$D$3004,1)),INDEX('AH History'!$E$1:$E$18046,AH!$P$7+2708))),NA()),NA())</ns0:f>
        <ns0:v/>
      </ns0:c>
      <ns0:c r="G2713">
        <ns0:f>IFERROR(IF(ISNUMBER($A2713),IF(AND(AH!$P$10=1,AH!$P$12=1,$A2713=TODAY()),IF(AND(AH!$P$10=1,AH!$P$12=1,$A2713=TODAY()),TODAY(),NA()),IF(AH!$P$10=1,INDEX('Live History'!$G$5:$G$3004,MATCH($A2713,'Live History'!$G$5:$G$3004,1)),INDEX('AH History'!$F$1:$F$18046,AH!$P$7+2708))),NA()),NA())</ns0:f>
        <ns0:v/>
      </ns0:c>
      <ns0:c r="H2713">
        <ns0:f>IFERROR(IF(AND(AH!$E$4="Bloomberg",AH!$P$10=1,ISNUMBER($A2713),$A2713&lt;=AH!$P$17),AH!$P$7-1+MATCH($A2713,INDEX('AH History'!$A$1:$A$18046,AH!$P$7):INDEX('AH History'!$A$1:$A$18046,AH!$P$7+AH!$P$8-1),0),0),0)</ns0:f>
        <ns0:v/>
      </ns0:c>
      <ns0:c r="I2713">
        <ns0:f>IF($H2713=0,0,IFERROR(IF(AND(ABS($C2713-INDEX('AH History'!$B$1:$B$18046,$H2713))&lt;=MAX(0.005,ABS(INDEX('AH History'!$B$1:$B$18046,$H2713))*0.00005),ABS($D2713-INDEX('AH History'!$C$1:$C$18046,$H2713))&lt;=MAX(0.005,ABS(INDEX('AH History'!$C$1:$C$18046,$H2713))*0.00005),ABS($E2713-INDEX('AH History'!$D$1:$D$18046,$H2713))&lt;=0.00005,$F2713=INDEX('AH History'!$E$1:$E$18046,$H2713),$G2713=INDEX('AH History'!$F$1:$F$18046,$H2713)),1,-1),-1))</ns0:f>
        <ns0:v/>
      </ns0:c>
    </ns0:row>
    <ns0:row r="2714">
      <ns0:c r="A2714" s="215">
        <ns0:f>IF(OR(AH!$P$3=0,2709+1&gt;AH!$P$11,AND(AH!$E$4&lt;&gt;"Stored",AH!$P$10&lt;&gt;1)),"",IFERROR(IF(AND(AH!$P$21=1,2709+1=AH!$P$11),TODAY(),IF(AH!$P$10=1,INDEX('Live History'!$A$5:$A$3004,AH!$P$13+2709),INDEX('AH History'!$A$1:$A$18046,AH!$P$7+2709))),""))</ns0:f>
        <ns0:v/>
      </ns0:c>
      <ns0:c r="B2714" s="219">
        <ns0:f>IFERROR(IF(AND(AH!$P$9&lt;&gt;1,$C2714&gt;0,$D2714&gt;0,$E2714&gt;0,$F2714&gt;0,$G2714&gt;0,$F2714&lt;=$A2714,$G2714&lt;=$A2714,$A2714-$F2714&lt;=10,$A2714-$G2714&lt;=5),$D2714*$E2714/$C2714-1,NA()),NA())</ns0:f>
        <ns0:v/>
      </ns0:c>
      <ns0:c r="C2714">
        <ns0:f>IFERROR(IF(ISNUMBER($A2714),IF(AND(AH!$P$10=1,AH!$P$12=1,$A2714=TODAY()),AH!$P$19,IF(AH!$P$10=1,INDEX('Live History'!$B$5:$B$3004,AH!$P$13+2709),INDEX('AH History'!$B$1:$B$18046,AH!$P$7+2709))),NA()),NA())</ns0:f>
        <ns0:v/>
      </ns0:c>
      <ns0:c r="D2714">
        <ns0:f>IFERROR(IF(ISNUMBER($A2714),IF(AND(AH!$P$10=1,AH!$P$12=1,$A2714=TODAY()),AH!$P$18,IF(AH!$P$10=1,INDEX('Live History'!$E$5:$E$3004,MATCH($A2714,'Live History'!$D$5:$D$3004,1)),INDEX('AH History'!$C$1:$C$18046,AH!$P$7+2709))),NA()),NA())</ns0:f>
        <ns0:v/>
      </ns0:c>
      <ns0:c r="E2714">
        <ns0:f>IFERROR(IF(ISNUMBER($A2714),IF(AND(AH!$P$10=1,AH!$P$12=1,$A2714=TODAY()),AH!$P$20,IF(AH!$P$10=1,INDEX('Live History'!$H$5:$H$3004,MATCH($A2714,'Live History'!$G$5:$G$3004,1)),INDEX('AH History'!$D$1:$D$18046,AH!$P$7+2709))),NA()),NA())</ns0:f>
        <ns0:v/>
      </ns0:c>
      <ns0:c r="F2714">
        <ns0:f>IFERROR(IF(ISNUMBER($A2714),IF(AND(AH!$P$10=1,AH!$P$12=1,$A2714=TODAY()),IF(AND(AH!$P$10=1,AH!$P$12=1,$A2714=TODAY()),TODAY(),NA()),IF(AH!$P$10=1,INDEX('Live History'!$D$5:$D$3004,MATCH($A2714,'Live History'!$D$5:$D$3004,1)),INDEX('AH History'!$E$1:$E$18046,AH!$P$7+2709))),NA()),NA())</ns0:f>
        <ns0:v/>
      </ns0:c>
      <ns0:c r="G2714">
        <ns0:f>IFERROR(IF(ISNUMBER($A2714),IF(AND(AH!$P$10=1,AH!$P$12=1,$A2714=TODAY()),IF(AND(AH!$P$10=1,AH!$P$12=1,$A2714=TODAY()),TODAY(),NA()),IF(AH!$P$10=1,INDEX('Live History'!$G$5:$G$3004,MATCH($A2714,'Live History'!$G$5:$G$3004,1)),INDEX('AH History'!$F$1:$F$18046,AH!$P$7+2709))),NA()),NA())</ns0:f>
        <ns0:v/>
      </ns0:c>
      <ns0:c r="H2714">
        <ns0:f>IFERROR(IF(AND(AH!$E$4="Bloomberg",AH!$P$10=1,ISNUMBER($A2714),$A2714&lt;=AH!$P$17),AH!$P$7-1+MATCH($A2714,INDEX('AH History'!$A$1:$A$18046,AH!$P$7):INDEX('AH History'!$A$1:$A$18046,AH!$P$7+AH!$P$8-1),0),0),0)</ns0:f>
        <ns0:v/>
      </ns0:c>
      <ns0:c r="I2714">
        <ns0:f>IF($H2714=0,0,IFERROR(IF(AND(ABS($C2714-INDEX('AH History'!$B$1:$B$18046,$H2714))&lt;=MAX(0.005,ABS(INDEX('AH History'!$B$1:$B$18046,$H2714))*0.00005),ABS($D2714-INDEX('AH History'!$C$1:$C$18046,$H2714))&lt;=MAX(0.005,ABS(INDEX('AH History'!$C$1:$C$18046,$H2714))*0.00005),ABS($E2714-INDEX('AH History'!$D$1:$D$18046,$H2714))&lt;=0.00005,$F2714=INDEX('AH History'!$E$1:$E$18046,$H2714),$G2714=INDEX('AH History'!$F$1:$F$18046,$H2714)),1,-1),-1))</ns0:f>
        <ns0:v/>
      </ns0:c>
    </ns0:row>
    <ns0:row r="2715">
      <ns0:c r="A2715" s="215">
        <ns0:f>IF(OR(AH!$P$3=0,2710+1&gt;AH!$P$11,AND(AH!$E$4&lt;&gt;"Stored",AH!$P$10&lt;&gt;1)),"",IFERROR(IF(AND(AH!$P$21=1,2710+1=AH!$P$11),TODAY(),IF(AH!$P$10=1,INDEX('Live History'!$A$5:$A$3004,AH!$P$13+2710),INDEX('AH History'!$A$1:$A$18046,AH!$P$7+2710))),""))</ns0:f>
        <ns0:v/>
      </ns0:c>
      <ns0:c r="B2715" s="219">
        <ns0:f>IFERROR(IF(AND(AH!$P$9&lt;&gt;1,$C2715&gt;0,$D2715&gt;0,$E2715&gt;0,$F2715&gt;0,$G2715&gt;0,$F2715&lt;=$A2715,$G2715&lt;=$A2715,$A2715-$F2715&lt;=10,$A2715-$G2715&lt;=5),$D2715*$E2715/$C2715-1,NA()),NA())</ns0:f>
        <ns0:v/>
      </ns0:c>
      <ns0:c r="C2715">
        <ns0:f>IFERROR(IF(ISNUMBER($A2715),IF(AND(AH!$P$10=1,AH!$P$12=1,$A2715=TODAY()),AH!$P$19,IF(AH!$P$10=1,INDEX('Live History'!$B$5:$B$3004,AH!$P$13+2710),INDEX('AH History'!$B$1:$B$18046,AH!$P$7+2710))),NA()),NA())</ns0:f>
        <ns0:v/>
      </ns0:c>
      <ns0:c r="D2715">
        <ns0:f>IFERROR(IF(ISNUMBER($A2715),IF(AND(AH!$P$10=1,AH!$P$12=1,$A2715=TODAY()),AH!$P$18,IF(AH!$P$10=1,INDEX('Live History'!$E$5:$E$3004,MATCH($A2715,'Live History'!$D$5:$D$3004,1)),INDEX('AH History'!$C$1:$C$18046,AH!$P$7+2710))),NA()),NA())</ns0:f>
        <ns0:v/>
      </ns0:c>
      <ns0:c r="E2715">
        <ns0:f>IFERROR(IF(ISNUMBER($A2715),IF(AND(AH!$P$10=1,AH!$P$12=1,$A2715=TODAY()),AH!$P$20,IF(AH!$P$10=1,INDEX('Live History'!$H$5:$H$3004,MATCH($A2715,'Live History'!$G$5:$G$3004,1)),INDEX('AH History'!$D$1:$D$18046,AH!$P$7+2710))),NA()),NA())</ns0:f>
        <ns0:v/>
      </ns0:c>
      <ns0:c r="F2715">
        <ns0:f>IFERROR(IF(ISNUMBER($A2715),IF(AND(AH!$P$10=1,AH!$P$12=1,$A2715=TODAY()),IF(AND(AH!$P$10=1,AH!$P$12=1,$A2715=TODAY()),TODAY(),NA()),IF(AH!$P$10=1,INDEX('Live History'!$D$5:$D$3004,MATCH($A2715,'Live History'!$D$5:$D$3004,1)),INDEX('AH History'!$E$1:$E$18046,AH!$P$7+2710))),NA()),NA())</ns0:f>
        <ns0:v/>
      </ns0:c>
      <ns0:c r="G2715">
        <ns0:f>IFERROR(IF(ISNUMBER($A2715),IF(AND(AH!$P$10=1,AH!$P$12=1,$A2715=TODAY()),IF(AND(AH!$P$10=1,AH!$P$12=1,$A2715=TODAY()),TODAY(),NA()),IF(AH!$P$10=1,INDEX('Live History'!$G$5:$G$3004,MATCH($A2715,'Live History'!$G$5:$G$3004,1)),INDEX('AH History'!$F$1:$F$18046,AH!$P$7+2710))),NA()),NA())</ns0:f>
        <ns0:v/>
      </ns0:c>
      <ns0:c r="H2715">
        <ns0:f>IFERROR(IF(AND(AH!$E$4="Bloomberg",AH!$P$10=1,ISNUMBER($A2715),$A2715&lt;=AH!$P$17),AH!$P$7-1+MATCH($A2715,INDEX('AH History'!$A$1:$A$18046,AH!$P$7):INDEX('AH History'!$A$1:$A$18046,AH!$P$7+AH!$P$8-1),0),0),0)</ns0:f>
        <ns0:v/>
      </ns0:c>
      <ns0:c r="I2715">
        <ns0:f>IF($H2715=0,0,IFERROR(IF(AND(ABS($C2715-INDEX('AH History'!$B$1:$B$18046,$H2715))&lt;=MAX(0.005,ABS(INDEX('AH History'!$B$1:$B$18046,$H2715))*0.00005),ABS($D2715-INDEX('AH History'!$C$1:$C$18046,$H2715))&lt;=MAX(0.005,ABS(INDEX('AH History'!$C$1:$C$18046,$H2715))*0.00005),ABS($E2715-INDEX('AH History'!$D$1:$D$18046,$H2715))&lt;=0.00005,$F2715=INDEX('AH History'!$E$1:$E$18046,$H2715),$G2715=INDEX('AH History'!$F$1:$F$18046,$H2715)),1,-1),-1))</ns0:f>
        <ns0:v/>
      </ns0:c>
    </ns0:row>
    <ns0:row r="2716">
      <ns0:c r="A2716" s="215">
        <ns0:f>IF(OR(AH!$P$3=0,2711+1&gt;AH!$P$11,AND(AH!$E$4&lt;&gt;"Stored",AH!$P$10&lt;&gt;1)),"",IFERROR(IF(AND(AH!$P$21=1,2711+1=AH!$P$11),TODAY(),IF(AH!$P$10=1,INDEX('Live History'!$A$5:$A$3004,AH!$P$13+2711),INDEX('AH History'!$A$1:$A$18046,AH!$P$7+2711))),""))</ns0:f>
        <ns0:v/>
      </ns0:c>
      <ns0:c r="B2716" s="219">
        <ns0:f>IFERROR(IF(AND(AH!$P$9&lt;&gt;1,$C2716&gt;0,$D2716&gt;0,$E2716&gt;0,$F2716&gt;0,$G2716&gt;0,$F2716&lt;=$A2716,$G2716&lt;=$A2716,$A2716-$F2716&lt;=10,$A2716-$G2716&lt;=5),$D2716*$E2716/$C2716-1,NA()),NA())</ns0:f>
        <ns0:v/>
      </ns0:c>
      <ns0:c r="C2716">
        <ns0:f>IFERROR(IF(ISNUMBER($A2716),IF(AND(AH!$P$10=1,AH!$P$12=1,$A2716=TODAY()),AH!$P$19,IF(AH!$P$10=1,INDEX('Live History'!$B$5:$B$3004,AH!$P$13+2711),INDEX('AH History'!$B$1:$B$18046,AH!$P$7+2711))),NA()),NA())</ns0:f>
        <ns0:v/>
      </ns0:c>
      <ns0:c r="D2716">
        <ns0:f>IFERROR(IF(ISNUMBER($A2716),IF(AND(AH!$P$10=1,AH!$P$12=1,$A2716=TODAY()),AH!$P$18,IF(AH!$P$10=1,INDEX('Live History'!$E$5:$E$3004,MATCH($A2716,'Live History'!$D$5:$D$3004,1)),INDEX('AH History'!$C$1:$C$18046,AH!$P$7+2711))),NA()),NA())</ns0:f>
        <ns0:v/>
      </ns0:c>
      <ns0:c r="E2716">
        <ns0:f>IFERROR(IF(ISNUMBER($A2716),IF(AND(AH!$P$10=1,AH!$P$12=1,$A2716=TODAY()),AH!$P$20,IF(AH!$P$10=1,INDEX('Live History'!$H$5:$H$3004,MATCH($A2716,'Live History'!$G$5:$G$3004,1)),INDEX('AH History'!$D$1:$D$18046,AH!$P$7+2711))),NA()),NA())</ns0:f>
        <ns0:v/>
      </ns0:c>
      <ns0:c r="F2716">
        <ns0:f>IFERROR(IF(ISNUMBER($A2716),IF(AND(AH!$P$10=1,AH!$P$12=1,$A2716=TODAY()),IF(AND(AH!$P$10=1,AH!$P$12=1,$A2716=TODAY()),TODAY(),NA()),IF(AH!$P$10=1,INDEX('Live History'!$D$5:$D$3004,MATCH($A2716,'Live History'!$D$5:$D$3004,1)),INDEX('AH History'!$E$1:$E$18046,AH!$P$7+2711))),NA()),NA())</ns0:f>
        <ns0:v/>
      </ns0:c>
      <ns0:c r="G2716">
        <ns0:f>IFERROR(IF(ISNUMBER($A2716),IF(AND(AH!$P$10=1,AH!$P$12=1,$A2716=TODAY()),IF(AND(AH!$P$10=1,AH!$P$12=1,$A2716=TODAY()),TODAY(),NA()),IF(AH!$P$10=1,INDEX('Live History'!$G$5:$G$3004,MATCH($A2716,'Live History'!$G$5:$G$3004,1)),INDEX('AH History'!$F$1:$F$18046,AH!$P$7+2711))),NA()),NA())</ns0:f>
        <ns0:v/>
      </ns0:c>
      <ns0:c r="H2716">
        <ns0:f>IFERROR(IF(AND(AH!$E$4="Bloomberg",AH!$P$10=1,ISNUMBER($A2716),$A2716&lt;=AH!$P$17),AH!$P$7-1+MATCH($A2716,INDEX('AH History'!$A$1:$A$18046,AH!$P$7):INDEX('AH History'!$A$1:$A$18046,AH!$P$7+AH!$P$8-1),0),0),0)</ns0:f>
        <ns0:v/>
      </ns0:c>
      <ns0:c r="I2716">
        <ns0:f>IF($H2716=0,0,IFERROR(IF(AND(ABS($C2716-INDEX('AH History'!$B$1:$B$18046,$H2716))&lt;=MAX(0.005,ABS(INDEX('AH History'!$B$1:$B$18046,$H2716))*0.00005),ABS($D2716-INDEX('AH History'!$C$1:$C$18046,$H2716))&lt;=MAX(0.005,ABS(INDEX('AH History'!$C$1:$C$18046,$H2716))*0.00005),ABS($E2716-INDEX('AH History'!$D$1:$D$18046,$H2716))&lt;=0.00005,$F2716=INDEX('AH History'!$E$1:$E$18046,$H2716),$G2716=INDEX('AH History'!$F$1:$F$18046,$H2716)),1,-1),-1))</ns0:f>
        <ns0:v/>
      </ns0:c>
    </ns0:row>
    <ns0:row r="2717">
      <ns0:c r="A2717" s="215">
        <ns0:f>IF(OR(AH!$P$3=0,2712+1&gt;AH!$P$11,AND(AH!$E$4&lt;&gt;"Stored",AH!$P$10&lt;&gt;1)),"",IFERROR(IF(AND(AH!$P$21=1,2712+1=AH!$P$11),TODAY(),IF(AH!$P$10=1,INDEX('Live History'!$A$5:$A$3004,AH!$P$13+2712),INDEX('AH History'!$A$1:$A$18046,AH!$P$7+2712))),""))</ns0:f>
        <ns0:v/>
      </ns0:c>
      <ns0:c r="B2717" s="219">
        <ns0:f>IFERROR(IF(AND(AH!$P$9&lt;&gt;1,$C2717&gt;0,$D2717&gt;0,$E2717&gt;0,$F2717&gt;0,$G2717&gt;0,$F2717&lt;=$A2717,$G2717&lt;=$A2717,$A2717-$F2717&lt;=10,$A2717-$G2717&lt;=5),$D2717*$E2717/$C2717-1,NA()),NA())</ns0:f>
        <ns0:v/>
      </ns0:c>
      <ns0:c r="C2717">
        <ns0:f>IFERROR(IF(ISNUMBER($A2717),IF(AND(AH!$P$10=1,AH!$P$12=1,$A2717=TODAY()),AH!$P$19,IF(AH!$P$10=1,INDEX('Live History'!$B$5:$B$3004,AH!$P$13+2712),INDEX('AH History'!$B$1:$B$18046,AH!$P$7+2712))),NA()),NA())</ns0:f>
        <ns0:v/>
      </ns0:c>
      <ns0:c r="D2717">
        <ns0:f>IFERROR(IF(ISNUMBER($A2717),IF(AND(AH!$P$10=1,AH!$P$12=1,$A2717=TODAY()),AH!$P$18,IF(AH!$P$10=1,INDEX('Live History'!$E$5:$E$3004,MATCH($A2717,'Live History'!$D$5:$D$3004,1)),INDEX('AH History'!$C$1:$C$18046,AH!$P$7+2712))),NA()),NA())</ns0:f>
        <ns0:v/>
      </ns0:c>
      <ns0:c r="E2717">
        <ns0:f>IFERROR(IF(ISNUMBER($A2717),IF(AND(AH!$P$10=1,AH!$P$12=1,$A2717=TODAY()),AH!$P$20,IF(AH!$P$10=1,INDEX('Live History'!$H$5:$H$3004,MATCH($A2717,'Live History'!$G$5:$G$3004,1)),INDEX('AH History'!$D$1:$D$18046,AH!$P$7+2712))),NA()),NA())</ns0:f>
        <ns0:v/>
      </ns0:c>
      <ns0:c r="F2717">
        <ns0:f>IFERROR(IF(ISNUMBER($A2717),IF(AND(AH!$P$10=1,AH!$P$12=1,$A2717=TODAY()),IF(AND(AH!$P$10=1,AH!$P$12=1,$A2717=TODAY()),TODAY(),NA()),IF(AH!$P$10=1,INDEX('Live History'!$D$5:$D$3004,MATCH($A2717,'Live History'!$D$5:$D$3004,1)),INDEX('AH History'!$E$1:$E$18046,AH!$P$7+2712))),NA()),NA())</ns0:f>
        <ns0:v/>
      </ns0:c>
      <ns0:c r="G2717">
        <ns0:f>IFERROR(IF(ISNUMBER($A2717),IF(AND(AH!$P$10=1,AH!$P$12=1,$A2717=TODAY()),IF(AND(AH!$P$10=1,AH!$P$12=1,$A2717=TODAY()),TODAY(),NA()),IF(AH!$P$10=1,INDEX('Live History'!$G$5:$G$3004,MATCH($A2717,'Live History'!$G$5:$G$3004,1)),INDEX('AH History'!$F$1:$F$18046,AH!$P$7+2712))),NA()),NA())</ns0:f>
        <ns0:v/>
      </ns0:c>
      <ns0:c r="H2717">
        <ns0:f>IFERROR(IF(AND(AH!$E$4="Bloomberg",AH!$P$10=1,ISNUMBER($A2717),$A2717&lt;=AH!$P$17),AH!$P$7-1+MATCH($A2717,INDEX('AH History'!$A$1:$A$18046,AH!$P$7):INDEX('AH History'!$A$1:$A$18046,AH!$P$7+AH!$P$8-1),0),0),0)</ns0:f>
        <ns0:v/>
      </ns0:c>
      <ns0:c r="I2717">
        <ns0:f>IF($H2717=0,0,IFERROR(IF(AND(ABS($C2717-INDEX('AH History'!$B$1:$B$18046,$H2717))&lt;=MAX(0.005,ABS(INDEX('AH History'!$B$1:$B$18046,$H2717))*0.00005),ABS($D2717-INDEX('AH History'!$C$1:$C$18046,$H2717))&lt;=MAX(0.005,ABS(INDEX('AH History'!$C$1:$C$18046,$H2717))*0.00005),ABS($E2717-INDEX('AH History'!$D$1:$D$18046,$H2717))&lt;=0.00005,$F2717=INDEX('AH History'!$E$1:$E$18046,$H2717),$G2717=INDEX('AH History'!$F$1:$F$18046,$H2717)),1,-1),-1))</ns0:f>
        <ns0:v/>
      </ns0:c>
    </ns0:row>
    <ns0:row r="2718">
      <ns0:c r="A2718" s="215">
        <ns0:f>IF(OR(AH!$P$3=0,2713+1&gt;AH!$P$11,AND(AH!$E$4&lt;&gt;"Stored",AH!$P$10&lt;&gt;1)),"",IFERROR(IF(AND(AH!$P$21=1,2713+1=AH!$P$11),TODAY(),IF(AH!$P$10=1,INDEX('Live History'!$A$5:$A$3004,AH!$P$13+2713),INDEX('AH History'!$A$1:$A$18046,AH!$P$7+2713))),""))</ns0:f>
        <ns0:v/>
      </ns0:c>
      <ns0:c r="B2718" s="219">
        <ns0:f>IFERROR(IF(AND(AH!$P$9&lt;&gt;1,$C2718&gt;0,$D2718&gt;0,$E2718&gt;0,$F2718&gt;0,$G2718&gt;0,$F2718&lt;=$A2718,$G2718&lt;=$A2718,$A2718-$F2718&lt;=10,$A2718-$G2718&lt;=5),$D2718*$E2718/$C2718-1,NA()),NA())</ns0:f>
        <ns0:v/>
      </ns0:c>
      <ns0:c r="C2718">
        <ns0:f>IFERROR(IF(ISNUMBER($A2718),IF(AND(AH!$P$10=1,AH!$P$12=1,$A2718=TODAY()),AH!$P$19,IF(AH!$P$10=1,INDEX('Live History'!$B$5:$B$3004,AH!$P$13+2713),INDEX('AH History'!$B$1:$B$18046,AH!$P$7+2713))),NA()),NA())</ns0:f>
        <ns0:v/>
      </ns0:c>
      <ns0:c r="D2718">
        <ns0:f>IFERROR(IF(ISNUMBER($A2718),IF(AND(AH!$P$10=1,AH!$P$12=1,$A2718=TODAY()),AH!$P$18,IF(AH!$P$10=1,INDEX('Live History'!$E$5:$E$3004,MATCH($A2718,'Live History'!$D$5:$D$3004,1)),INDEX('AH History'!$C$1:$C$18046,AH!$P$7+2713))),NA()),NA())</ns0:f>
        <ns0:v/>
      </ns0:c>
      <ns0:c r="E2718">
        <ns0:f>IFERROR(IF(ISNUMBER($A2718),IF(AND(AH!$P$10=1,AH!$P$12=1,$A2718=TODAY()),AH!$P$20,IF(AH!$P$10=1,INDEX('Live History'!$H$5:$H$3004,MATCH($A2718,'Live History'!$G$5:$G$3004,1)),INDEX('AH History'!$D$1:$D$18046,AH!$P$7+2713))),NA()),NA())</ns0:f>
        <ns0:v/>
      </ns0:c>
      <ns0:c r="F2718">
        <ns0:f>IFERROR(IF(ISNUMBER($A2718),IF(AND(AH!$P$10=1,AH!$P$12=1,$A2718=TODAY()),IF(AND(AH!$P$10=1,AH!$P$12=1,$A2718=TODAY()),TODAY(),NA()),IF(AH!$P$10=1,INDEX('Live History'!$D$5:$D$3004,MATCH($A2718,'Live History'!$D$5:$D$3004,1)),INDEX('AH History'!$E$1:$E$18046,AH!$P$7+2713))),NA()),NA())</ns0:f>
        <ns0:v/>
      </ns0:c>
      <ns0:c r="G2718">
        <ns0:f>IFERROR(IF(ISNUMBER($A2718),IF(AND(AH!$P$10=1,AH!$P$12=1,$A2718=TODAY()),IF(AND(AH!$P$10=1,AH!$P$12=1,$A2718=TODAY()),TODAY(),NA()),IF(AH!$P$10=1,INDEX('Live History'!$G$5:$G$3004,MATCH($A2718,'Live History'!$G$5:$G$3004,1)),INDEX('AH History'!$F$1:$F$18046,AH!$P$7+2713))),NA()),NA())</ns0:f>
        <ns0:v/>
      </ns0:c>
      <ns0:c r="H2718">
        <ns0:f>IFERROR(IF(AND(AH!$E$4="Bloomberg",AH!$P$10=1,ISNUMBER($A2718),$A2718&lt;=AH!$P$17),AH!$P$7-1+MATCH($A2718,INDEX('AH History'!$A$1:$A$18046,AH!$P$7):INDEX('AH History'!$A$1:$A$18046,AH!$P$7+AH!$P$8-1),0),0),0)</ns0:f>
        <ns0:v/>
      </ns0:c>
      <ns0:c r="I2718">
        <ns0:f>IF($H2718=0,0,IFERROR(IF(AND(ABS($C2718-INDEX('AH History'!$B$1:$B$18046,$H2718))&lt;=MAX(0.005,ABS(INDEX('AH History'!$B$1:$B$18046,$H2718))*0.00005),ABS($D2718-INDEX('AH History'!$C$1:$C$18046,$H2718))&lt;=MAX(0.005,ABS(INDEX('AH History'!$C$1:$C$18046,$H2718))*0.00005),ABS($E2718-INDEX('AH History'!$D$1:$D$18046,$H2718))&lt;=0.00005,$F2718=INDEX('AH History'!$E$1:$E$18046,$H2718),$G2718=INDEX('AH History'!$F$1:$F$18046,$H2718)),1,-1),-1))</ns0:f>
        <ns0:v/>
      </ns0:c>
    </ns0:row>
    <ns0:row r="2719">
      <ns0:c r="A2719" s="215">
        <ns0:f>IF(OR(AH!$P$3=0,2714+1&gt;AH!$P$11,AND(AH!$E$4&lt;&gt;"Stored",AH!$P$10&lt;&gt;1)),"",IFERROR(IF(AND(AH!$P$21=1,2714+1=AH!$P$11),TODAY(),IF(AH!$P$10=1,INDEX('Live History'!$A$5:$A$3004,AH!$P$13+2714),INDEX('AH History'!$A$1:$A$18046,AH!$P$7+2714))),""))</ns0:f>
        <ns0:v/>
      </ns0:c>
      <ns0:c r="B2719" s="219">
        <ns0:f>IFERROR(IF(AND(AH!$P$9&lt;&gt;1,$C2719&gt;0,$D2719&gt;0,$E2719&gt;0,$F2719&gt;0,$G2719&gt;0,$F2719&lt;=$A2719,$G2719&lt;=$A2719,$A2719-$F2719&lt;=10,$A2719-$G2719&lt;=5),$D2719*$E2719/$C2719-1,NA()),NA())</ns0:f>
        <ns0:v/>
      </ns0:c>
      <ns0:c r="C2719">
        <ns0:f>IFERROR(IF(ISNUMBER($A2719),IF(AND(AH!$P$10=1,AH!$P$12=1,$A2719=TODAY()),AH!$P$19,IF(AH!$P$10=1,INDEX('Live History'!$B$5:$B$3004,AH!$P$13+2714),INDEX('AH History'!$B$1:$B$18046,AH!$P$7+2714))),NA()),NA())</ns0:f>
        <ns0:v/>
      </ns0:c>
      <ns0:c r="D2719">
        <ns0:f>IFERROR(IF(ISNUMBER($A2719),IF(AND(AH!$P$10=1,AH!$P$12=1,$A2719=TODAY()),AH!$P$18,IF(AH!$P$10=1,INDEX('Live History'!$E$5:$E$3004,MATCH($A2719,'Live History'!$D$5:$D$3004,1)),INDEX('AH History'!$C$1:$C$18046,AH!$P$7+2714))),NA()),NA())</ns0:f>
        <ns0:v/>
      </ns0:c>
      <ns0:c r="E2719">
        <ns0:f>IFERROR(IF(ISNUMBER($A2719),IF(AND(AH!$P$10=1,AH!$P$12=1,$A2719=TODAY()),AH!$P$20,IF(AH!$P$10=1,INDEX('Live History'!$H$5:$H$3004,MATCH($A2719,'Live History'!$G$5:$G$3004,1)),INDEX('AH History'!$D$1:$D$18046,AH!$P$7+2714))),NA()),NA())</ns0:f>
        <ns0:v/>
      </ns0:c>
      <ns0:c r="F2719">
        <ns0:f>IFERROR(IF(ISNUMBER($A2719),IF(AND(AH!$P$10=1,AH!$P$12=1,$A2719=TODAY()),IF(AND(AH!$P$10=1,AH!$P$12=1,$A2719=TODAY()),TODAY(),NA()),IF(AH!$P$10=1,INDEX('Live History'!$D$5:$D$3004,MATCH($A2719,'Live History'!$D$5:$D$3004,1)),INDEX('AH History'!$E$1:$E$18046,AH!$P$7+2714))),NA()),NA())</ns0:f>
        <ns0:v/>
      </ns0:c>
      <ns0:c r="G2719">
        <ns0:f>IFERROR(IF(ISNUMBER($A2719),IF(AND(AH!$P$10=1,AH!$P$12=1,$A2719=TODAY()),IF(AND(AH!$P$10=1,AH!$P$12=1,$A2719=TODAY()),TODAY(),NA()),IF(AH!$P$10=1,INDEX('Live History'!$G$5:$G$3004,MATCH($A2719,'Live History'!$G$5:$G$3004,1)),INDEX('AH History'!$F$1:$F$18046,AH!$P$7+2714))),NA()),NA())</ns0:f>
        <ns0:v/>
      </ns0:c>
      <ns0:c r="H2719">
        <ns0:f>IFERROR(IF(AND(AH!$E$4="Bloomberg",AH!$P$10=1,ISNUMBER($A2719),$A2719&lt;=AH!$P$17),AH!$P$7-1+MATCH($A2719,INDEX('AH History'!$A$1:$A$18046,AH!$P$7):INDEX('AH History'!$A$1:$A$18046,AH!$P$7+AH!$P$8-1),0),0),0)</ns0:f>
        <ns0:v/>
      </ns0:c>
      <ns0:c r="I2719">
        <ns0:f>IF($H2719=0,0,IFERROR(IF(AND(ABS($C2719-INDEX('AH History'!$B$1:$B$18046,$H2719))&lt;=MAX(0.005,ABS(INDEX('AH History'!$B$1:$B$18046,$H2719))*0.00005),ABS($D2719-INDEX('AH History'!$C$1:$C$18046,$H2719))&lt;=MAX(0.005,ABS(INDEX('AH History'!$C$1:$C$18046,$H2719))*0.00005),ABS($E2719-INDEX('AH History'!$D$1:$D$18046,$H2719))&lt;=0.00005,$F2719=INDEX('AH History'!$E$1:$E$18046,$H2719),$G2719=INDEX('AH History'!$F$1:$F$18046,$H2719)),1,-1),-1))</ns0:f>
        <ns0:v/>
      </ns0:c>
    </ns0:row>
    <ns0:row r="2720">
      <ns0:c r="A2720" s="215">
        <ns0:f>IF(OR(AH!$P$3=0,2715+1&gt;AH!$P$11,AND(AH!$E$4&lt;&gt;"Stored",AH!$P$10&lt;&gt;1)),"",IFERROR(IF(AND(AH!$P$21=1,2715+1=AH!$P$11),TODAY(),IF(AH!$P$10=1,INDEX('Live History'!$A$5:$A$3004,AH!$P$13+2715),INDEX('AH History'!$A$1:$A$18046,AH!$P$7+2715))),""))</ns0:f>
        <ns0:v/>
      </ns0:c>
      <ns0:c r="B2720" s="219">
        <ns0:f>IFERROR(IF(AND(AH!$P$9&lt;&gt;1,$C2720&gt;0,$D2720&gt;0,$E2720&gt;0,$F2720&gt;0,$G2720&gt;0,$F2720&lt;=$A2720,$G2720&lt;=$A2720,$A2720-$F2720&lt;=10,$A2720-$G2720&lt;=5),$D2720*$E2720/$C2720-1,NA()),NA())</ns0:f>
        <ns0:v/>
      </ns0:c>
      <ns0:c r="C2720">
        <ns0:f>IFERROR(IF(ISNUMBER($A2720),IF(AND(AH!$P$10=1,AH!$P$12=1,$A2720=TODAY()),AH!$P$19,IF(AH!$P$10=1,INDEX('Live History'!$B$5:$B$3004,AH!$P$13+2715),INDEX('AH History'!$B$1:$B$18046,AH!$P$7+2715))),NA()),NA())</ns0:f>
        <ns0:v/>
      </ns0:c>
      <ns0:c r="D2720">
        <ns0:f>IFERROR(IF(ISNUMBER($A2720),IF(AND(AH!$P$10=1,AH!$P$12=1,$A2720=TODAY()),AH!$P$18,IF(AH!$P$10=1,INDEX('Live History'!$E$5:$E$3004,MATCH($A2720,'Live History'!$D$5:$D$3004,1)),INDEX('AH History'!$C$1:$C$18046,AH!$P$7+2715))),NA()),NA())</ns0:f>
        <ns0:v/>
      </ns0:c>
      <ns0:c r="E2720">
        <ns0:f>IFERROR(IF(ISNUMBER($A2720),IF(AND(AH!$P$10=1,AH!$P$12=1,$A2720=TODAY()),AH!$P$20,IF(AH!$P$10=1,INDEX('Live History'!$H$5:$H$3004,MATCH($A2720,'Live History'!$G$5:$G$3004,1)),INDEX('AH History'!$D$1:$D$18046,AH!$P$7+2715))),NA()),NA())</ns0:f>
        <ns0:v/>
      </ns0:c>
      <ns0:c r="F2720">
        <ns0:f>IFERROR(IF(ISNUMBER($A2720),IF(AND(AH!$P$10=1,AH!$P$12=1,$A2720=TODAY()),IF(AND(AH!$P$10=1,AH!$P$12=1,$A2720=TODAY()),TODAY(),NA()),IF(AH!$P$10=1,INDEX('Live History'!$D$5:$D$3004,MATCH($A2720,'Live History'!$D$5:$D$3004,1)),INDEX('AH History'!$E$1:$E$18046,AH!$P$7+2715))),NA()),NA())</ns0:f>
        <ns0:v/>
      </ns0:c>
      <ns0:c r="G2720">
        <ns0:f>IFERROR(IF(ISNUMBER($A2720),IF(AND(AH!$P$10=1,AH!$P$12=1,$A2720=TODAY()),IF(AND(AH!$P$10=1,AH!$P$12=1,$A2720=TODAY()),TODAY(),NA()),IF(AH!$P$10=1,INDEX('Live History'!$G$5:$G$3004,MATCH($A2720,'Live History'!$G$5:$G$3004,1)),INDEX('AH History'!$F$1:$F$18046,AH!$P$7+2715))),NA()),NA())</ns0:f>
        <ns0:v/>
      </ns0:c>
      <ns0:c r="H2720">
        <ns0:f>IFERROR(IF(AND(AH!$E$4="Bloomberg",AH!$P$10=1,ISNUMBER($A2720),$A2720&lt;=AH!$P$17),AH!$P$7-1+MATCH($A2720,INDEX('AH History'!$A$1:$A$18046,AH!$P$7):INDEX('AH History'!$A$1:$A$18046,AH!$P$7+AH!$P$8-1),0),0),0)</ns0:f>
        <ns0:v/>
      </ns0:c>
      <ns0:c r="I2720">
        <ns0:f>IF($H2720=0,0,IFERROR(IF(AND(ABS($C2720-INDEX('AH History'!$B$1:$B$18046,$H2720))&lt;=MAX(0.005,ABS(INDEX('AH History'!$B$1:$B$18046,$H2720))*0.00005),ABS($D2720-INDEX('AH History'!$C$1:$C$18046,$H2720))&lt;=MAX(0.005,ABS(INDEX('AH History'!$C$1:$C$18046,$H2720))*0.00005),ABS($E2720-INDEX('AH History'!$D$1:$D$18046,$H2720))&lt;=0.00005,$F2720=INDEX('AH History'!$E$1:$E$18046,$H2720),$G2720=INDEX('AH History'!$F$1:$F$18046,$H2720)),1,-1),-1))</ns0:f>
        <ns0:v/>
      </ns0:c>
    </ns0:row>
    <ns0:row r="2721">
      <ns0:c r="A2721" s="215">
        <ns0:f>IF(OR(AH!$P$3=0,2716+1&gt;AH!$P$11,AND(AH!$E$4&lt;&gt;"Stored",AH!$P$10&lt;&gt;1)),"",IFERROR(IF(AND(AH!$P$21=1,2716+1=AH!$P$11),TODAY(),IF(AH!$P$10=1,INDEX('Live History'!$A$5:$A$3004,AH!$P$13+2716),INDEX('AH History'!$A$1:$A$18046,AH!$P$7+2716))),""))</ns0:f>
        <ns0:v/>
      </ns0:c>
      <ns0:c r="B2721" s="219">
        <ns0:f>IFERROR(IF(AND(AH!$P$9&lt;&gt;1,$C2721&gt;0,$D2721&gt;0,$E2721&gt;0,$F2721&gt;0,$G2721&gt;0,$F2721&lt;=$A2721,$G2721&lt;=$A2721,$A2721-$F2721&lt;=10,$A2721-$G2721&lt;=5),$D2721*$E2721/$C2721-1,NA()),NA())</ns0:f>
        <ns0:v/>
      </ns0:c>
      <ns0:c r="C2721">
        <ns0:f>IFERROR(IF(ISNUMBER($A2721),IF(AND(AH!$P$10=1,AH!$P$12=1,$A2721=TODAY()),AH!$P$19,IF(AH!$P$10=1,INDEX('Live History'!$B$5:$B$3004,AH!$P$13+2716),INDEX('AH History'!$B$1:$B$18046,AH!$P$7+2716))),NA()),NA())</ns0:f>
        <ns0:v/>
      </ns0:c>
      <ns0:c r="D2721">
        <ns0:f>IFERROR(IF(ISNUMBER($A2721),IF(AND(AH!$P$10=1,AH!$P$12=1,$A2721=TODAY()),AH!$P$18,IF(AH!$P$10=1,INDEX('Live History'!$E$5:$E$3004,MATCH($A2721,'Live History'!$D$5:$D$3004,1)),INDEX('AH History'!$C$1:$C$18046,AH!$P$7+2716))),NA()),NA())</ns0:f>
        <ns0:v/>
      </ns0:c>
      <ns0:c r="E2721">
        <ns0:f>IFERROR(IF(ISNUMBER($A2721),IF(AND(AH!$P$10=1,AH!$P$12=1,$A2721=TODAY()),AH!$P$20,IF(AH!$P$10=1,INDEX('Live History'!$H$5:$H$3004,MATCH($A2721,'Live History'!$G$5:$G$3004,1)),INDEX('AH History'!$D$1:$D$18046,AH!$P$7+2716))),NA()),NA())</ns0:f>
        <ns0:v/>
      </ns0:c>
      <ns0:c r="F2721">
        <ns0:f>IFERROR(IF(ISNUMBER($A2721),IF(AND(AH!$P$10=1,AH!$P$12=1,$A2721=TODAY()),IF(AND(AH!$P$10=1,AH!$P$12=1,$A2721=TODAY()),TODAY(),NA()),IF(AH!$P$10=1,INDEX('Live History'!$D$5:$D$3004,MATCH($A2721,'Live History'!$D$5:$D$3004,1)),INDEX('AH History'!$E$1:$E$18046,AH!$P$7+2716))),NA()),NA())</ns0:f>
        <ns0:v/>
      </ns0:c>
      <ns0:c r="G2721">
        <ns0:f>IFERROR(IF(ISNUMBER($A2721),IF(AND(AH!$P$10=1,AH!$P$12=1,$A2721=TODAY()),IF(AND(AH!$P$10=1,AH!$P$12=1,$A2721=TODAY()),TODAY(),NA()),IF(AH!$P$10=1,INDEX('Live History'!$G$5:$G$3004,MATCH($A2721,'Live History'!$G$5:$G$3004,1)),INDEX('AH History'!$F$1:$F$18046,AH!$P$7+2716))),NA()),NA())</ns0:f>
        <ns0:v/>
      </ns0:c>
      <ns0:c r="H2721">
        <ns0:f>IFERROR(IF(AND(AH!$E$4="Bloomberg",AH!$P$10=1,ISNUMBER($A2721),$A2721&lt;=AH!$P$17),AH!$P$7-1+MATCH($A2721,INDEX('AH History'!$A$1:$A$18046,AH!$P$7):INDEX('AH History'!$A$1:$A$18046,AH!$P$7+AH!$P$8-1),0),0),0)</ns0:f>
        <ns0:v/>
      </ns0:c>
      <ns0:c r="I2721">
        <ns0:f>IF($H2721=0,0,IFERROR(IF(AND(ABS($C2721-INDEX('AH History'!$B$1:$B$18046,$H2721))&lt;=MAX(0.005,ABS(INDEX('AH History'!$B$1:$B$18046,$H2721))*0.00005),ABS($D2721-INDEX('AH History'!$C$1:$C$18046,$H2721))&lt;=MAX(0.005,ABS(INDEX('AH History'!$C$1:$C$18046,$H2721))*0.00005),ABS($E2721-INDEX('AH History'!$D$1:$D$18046,$H2721))&lt;=0.00005,$F2721=INDEX('AH History'!$E$1:$E$18046,$H2721),$G2721=INDEX('AH History'!$F$1:$F$18046,$H2721)),1,-1),-1))</ns0:f>
        <ns0:v/>
      </ns0:c>
    </ns0:row>
    <ns0:row r="2722">
      <ns0:c r="A2722" s="215">
        <ns0:f>IF(OR(AH!$P$3=0,2717+1&gt;AH!$P$11,AND(AH!$E$4&lt;&gt;"Stored",AH!$P$10&lt;&gt;1)),"",IFERROR(IF(AND(AH!$P$21=1,2717+1=AH!$P$11),TODAY(),IF(AH!$P$10=1,INDEX('Live History'!$A$5:$A$3004,AH!$P$13+2717),INDEX('AH History'!$A$1:$A$18046,AH!$P$7+2717))),""))</ns0:f>
        <ns0:v/>
      </ns0:c>
      <ns0:c r="B2722" s="219">
        <ns0:f>IFERROR(IF(AND(AH!$P$9&lt;&gt;1,$C2722&gt;0,$D2722&gt;0,$E2722&gt;0,$F2722&gt;0,$G2722&gt;0,$F2722&lt;=$A2722,$G2722&lt;=$A2722,$A2722-$F2722&lt;=10,$A2722-$G2722&lt;=5),$D2722*$E2722/$C2722-1,NA()),NA())</ns0:f>
        <ns0:v/>
      </ns0:c>
      <ns0:c r="C2722">
        <ns0:f>IFERROR(IF(ISNUMBER($A2722),IF(AND(AH!$P$10=1,AH!$P$12=1,$A2722=TODAY()),AH!$P$19,IF(AH!$P$10=1,INDEX('Live History'!$B$5:$B$3004,AH!$P$13+2717),INDEX('AH History'!$B$1:$B$18046,AH!$P$7+2717))),NA()),NA())</ns0:f>
        <ns0:v/>
      </ns0:c>
      <ns0:c r="D2722">
        <ns0:f>IFERROR(IF(ISNUMBER($A2722),IF(AND(AH!$P$10=1,AH!$P$12=1,$A2722=TODAY()),AH!$P$18,IF(AH!$P$10=1,INDEX('Live History'!$E$5:$E$3004,MATCH($A2722,'Live History'!$D$5:$D$3004,1)),INDEX('AH History'!$C$1:$C$18046,AH!$P$7+2717))),NA()),NA())</ns0:f>
        <ns0:v/>
      </ns0:c>
      <ns0:c r="E2722">
        <ns0:f>IFERROR(IF(ISNUMBER($A2722),IF(AND(AH!$P$10=1,AH!$P$12=1,$A2722=TODAY()),AH!$P$20,IF(AH!$P$10=1,INDEX('Live History'!$H$5:$H$3004,MATCH($A2722,'Live History'!$G$5:$G$3004,1)),INDEX('AH History'!$D$1:$D$18046,AH!$P$7+2717))),NA()),NA())</ns0:f>
        <ns0:v/>
      </ns0:c>
      <ns0:c r="F2722">
        <ns0:f>IFERROR(IF(ISNUMBER($A2722),IF(AND(AH!$P$10=1,AH!$P$12=1,$A2722=TODAY()),IF(AND(AH!$P$10=1,AH!$P$12=1,$A2722=TODAY()),TODAY(),NA()),IF(AH!$P$10=1,INDEX('Live History'!$D$5:$D$3004,MATCH($A2722,'Live History'!$D$5:$D$3004,1)),INDEX('AH History'!$E$1:$E$18046,AH!$P$7+2717))),NA()),NA())</ns0:f>
        <ns0:v/>
      </ns0:c>
      <ns0:c r="G2722">
        <ns0:f>IFERROR(IF(ISNUMBER($A2722),IF(AND(AH!$P$10=1,AH!$P$12=1,$A2722=TODAY()),IF(AND(AH!$P$10=1,AH!$P$12=1,$A2722=TODAY()),TODAY(),NA()),IF(AH!$P$10=1,INDEX('Live History'!$G$5:$G$3004,MATCH($A2722,'Live History'!$G$5:$G$3004,1)),INDEX('AH History'!$F$1:$F$18046,AH!$P$7+2717))),NA()),NA())</ns0:f>
        <ns0:v/>
      </ns0:c>
      <ns0:c r="H2722">
        <ns0:f>IFERROR(IF(AND(AH!$E$4="Bloomberg",AH!$P$10=1,ISNUMBER($A2722),$A2722&lt;=AH!$P$17),AH!$P$7-1+MATCH($A2722,INDEX('AH History'!$A$1:$A$18046,AH!$P$7):INDEX('AH History'!$A$1:$A$18046,AH!$P$7+AH!$P$8-1),0),0),0)</ns0:f>
        <ns0:v/>
      </ns0:c>
      <ns0:c r="I2722">
        <ns0:f>IF($H2722=0,0,IFERROR(IF(AND(ABS($C2722-INDEX('AH History'!$B$1:$B$18046,$H2722))&lt;=MAX(0.005,ABS(INDEX('AH History'!$B$1:$B$18046,$H2722))*0.00005),ABS($D2722-INDEX('AH History'!$C$1:$C$18046,$H2722))&lt;=MAX(0.005,ABS(INDEX('AH History'!$C$1:$C$18046,$H2722))*0.00005),ABS($E2722-INDEX('AH History'!$D$1:$D$18046,$H2722))&lt;=0.00005,$F2722=INDEX('AH History'!$E$1:$E$18046,$H2722),$G2722=INDEX('AH History'!$F$1:$F$18046,$H2722)),1,-1),-1))</ns0:f>
        <ns0:v/>
      </ns0:c>
    </ns0:row>
    <ns0:row r="2723">
      <ns0:c r="A2723" s="215">
        <ns0:f>IF(OR(AH!$P$3=0,2718+1&gt;AH!$P$11,AND(AH!$E$4&lt;&gt;"Stored",AH!$P$10&lt;&gt;1)),"",IFERROR(IF(AND(AH!$P$21=1,2718+1=AH!$P$11),TODAY(),IF(AH!$P$10=1,INDEX('Live History'!$A$5:$A$3004,AH!$P$13+2718),INDEX('AH History'!$A$1:$A$18046,AH!$P$7+2718))),""))</ns0:f>
        <ns0:v/>
      </ns0:c>
      <ns0:c r="B2723" s="219">
        <ns0:f>IFERROR(IF(AND(AH!$P$9&lt;&gt;1,$C2723&gt;0,$D2723&gt;0,$E2723&gt;0,$F2723&gt;0,$G2723&gt;0,$F2723&lt;=$A2723,$G2723&lt;=$A2723,$A2723-$F2723&lt;=10,$A2723-$G2723&lt;=5),$D2723*$E2723/$C2723-1,NA()),NA())</ns0:f>
        <ns0:v/>
      </ns0:c>
      <ns0:c r="C2723">
        <ns0:f>IFERROR(IF(ISNUMBER($A2723),IF(AND(AH!$P$10=1,AH!$P$12=1,$A2723=TODAY()),AH!$P$19,IF(AH!$P$10=1,INDEX('Live History'!$B$5:$B$3004,AH!$P$13+2718),INDEX('AH History'!$B$1:$B$18046,AH!$P$7+2718))),NA()),NA())</ns0:f>
        <ns0:v/>
      </ns0:c>
      <ns0:c r="D2723">
        <ns0:f>IFERROR(IF(ISNUMBER($A2723),IF(AND(AH!$P$10=1,AH!$P$12=1,$A2723=TODAY()),AH!$P$18,IF(AH!$P$10=1,INDEX('Live History'!$E$5:$E$3004,MATCH($A2723,'Live History'!$D$5:$D$3004,1)),INDEX('AH History'!$C$1:$C$18046,AH!$P$7+2718))),NA()),NA())</ns0:f>
        <ns0:v/>
      </ns0:c>
      <ns0:c r="E2723">
        <ns0:f>IFERROR(IF(ISNUMBER($A2723),IF(AND(AH!$P$10=1,AH!$P$12=1,$A2723=TODAY()),AH!$P$20,IF(AH!$P$10=1,INDEX('Live History'!$H$5:$H$3004,MATCH($A2723,'Live History'!$G$5:$G$3004,1)),INDEX('AH History'!$D$1:$D$18046,AH!$P$7+2718))),NA()),NA())</ns0:f>
        <ns0:v/>
      </ns0:c>
      <ns0:c r="F2723">
        <ns0:f>IFERROR(IF(ISNUMBER($A2723),IF(AND(AH!$P$10=1,AH!$P$12=1,$A2723=TODAY()),IF(AND(AH!$P$10=1,AH!$P$12=1,$A2723=TODAY()),TODAY(),NA()),IF(AH!$P$10=1,INDEX('Live History'!$D$5:$D$3004,MATCH($A2723,'Live History'!$D$5:$D$3004,1)),INDEX('AH History'!$E$1:$E$18046,AH!$P$7+2718))),NA()),NA())</ns0:f>
        <ns0:v/>
      </ns0:c>
      <ns0:c r="G2723">
        <ns0:f>IFERROR(IF(ISNUMBER($A2723),IF(AND(AH!$P$10=1,AH!$P$12=1,$A2723=TODAY()),IF(AND(AH!$P$10=1,AH!$P$12=1,$A2723=TODAY()),TODAY(),NA()),IF(AH!$P$10=1,INDEX('Live History'!$G$5:$G$3004,MATCH($A2723,'Live History'!$G$5:$G$3004,1)),INDEX('AH History'!$F$1:$F$18046,AH!$P$7+2718))),NA()),NA())</ns0:f>
        <ns0:v/>
      </ns0:c>
      <ns0:c r="H2723">
        <ns0:f>IFERROR(IF(AND(AH!$E$4="Bloomberg",AH!$P$10=1,ISNUMBER($A2723),$A2723&lt;=AH!$P$17),AH!$P$7-1+MATCH($A2723,INDEX('AH History'!$A$1:$A$18046,AH!$P$7):INDEX('AH History'!$A$1:$A$18046,AH!$P$7+AH!$P$8-1),0),0),0)</ns0:f>
        <ns0:v/>
      </ns0:c>
      <ns0:c r="I2723">
        <ns0:f>IF($H2723=0,0,IFERROR(IF(AND(ABS($C2723-INDEX('AH History'!$B$1:$B$18046,$H2723))&lt;=MAX(0.005,ABS(INDEX('AH History'!$B$1:$B$18046,$H2723))*0.00005),ABS($D2723-INDEX('AH History'!$C$1:$C$18046,$H2723))&lt;=MAX(0.005,ABS(INDEX('AH History'!$C$1:$C$18046,$H2723))*0.00005),ABS($E2723-INDEX('AH History'!$D$1:$D$18046,$H2723))&lt;=0.00005,$F2723=INDEX('AH History'!$E$1:$E$18046,$H2723),$G2723=INDEX('AH History'!$F$1:$F$18046,$H2723)),1,-1),-1))</ns0:f>
        <ns0:v/>
      </ns0:c>
    </ns0:row>
    <ns0:row r="2724">
      <ns0:c r="A2724" s="215">
        <ns0:f>IF(OR(AH!$P$3=0,2719+1&gt;AH!$P$11,AND(AH!$E$4&lt;&gt;"Stored",AH!$P$10&lt;&gt;1)),"",IFERROR(IF(AND(AH!$P$21=1,2719+1=AH!$P$11),TODAY(),IF(AH!$P$10=1,INDEX('Live History'!$A$5:$A$3004,AH!$P$13+2719),INDEX('AH History'!$A$1:$A$18046,AH!$P$7+2719))),""))</ns0:f>
        <ns0:v/>
      </ns0:c>
      <ns0:c r="B2724" s="219">
        <ns0:f>IFERROR(IF(AND(AH!$P$9&lt;&gt;1,$C2724&gt;0,$D2724&gt;0,$E2724&gt;0,$F2724&gt;0,$G2724&gt;0,$F2724&lt;=$A2724,$G2724&lt;=$A2724,$A2724-$F2724&lt;=10,$A2724-$G2724&lt;=5),$D2724*$E2724/$C2724-1,NA()),NA())</ns0:f>
        <ns0:v/>
      </ns0:c>
      <ns0:c r="C2724">
        <ns0:f>IFERROR(IF(ISNUMBER($A2724),IF(AND(AH!$P$10=1,AH!$P$12=1,$A2724=TODAY()),AH!$P$19,IF(AH!$P$10=1,INDEX('Live History'!$B$5:$B$3004,AH!$P$13+2719),INDEX('AH History'!$B$1:$B$18046,AH!$P$7+2719))),NA()),NA())</ns0:f>
        <ns0:v/>
      </ns0:c>
      <ns0:c r="D2724">
        <ns0:f>IFERROR(IF(ISNUMBER($A2724),IF(AND(AH!$P$10=1,AH!$P$12=1,$A2724=TODAY()),AH!$P$18,IF(AH!$P$10=1,INDEX('Live History'!$E$5:$E$3004,MATCH($A2724,'Live History'!$D$5:$D$3004,1)),INDEX('AH History'!$C$1:$C$18046,AH!$P$7+2719))),NA()),NA())</ns0:f>
        <ns0:v/>
      </ns0:c>
      <ns0:c r="E2724">
        <ns0:f>IFERROR(IF(ISNUMBER($A2724),IF(AND(AH!$P$10=1,AH!$P$12=1,$A2724=TODAY()),AH!$P$20,IF(AH!$P$10=1,INDEX('Live History'!$H$5:$H$3004,MATCH($A2724,'Live History'!$G$5:$G$3004,1)),INDEX('AH History'!$D$1:$D$18046,AH!$P$7+2719))),NA()),NA())</ns0:f>
        <ns0:v/>
      </ns0:c>
      <ns0:c r="F2724">
        <ns0:f>IFERROR(IF(ISNUMBER($A2724),IF(AND(AH!$P$10=1,AH!$P$12=1,$A2724=TODAY()),IF(AND(AH!$P$10=1,AH!$P$12=1,$A2724=TODAY()),TODAY(),NA()),IF(AH!$P$10=1,INDEX('Live History'!$D$5:$D$3004,MATCH($A2724,'Live History'!$D$5:$D$3004,1)),INDEX('AH History'!$E$1:$E$18046,AH!$P$7+2719))),NA()),NA())</ns0:f>
        <ns0:v/>
      </ns0:c>
      <ns0:c r="G2724">
        <ns0:f>IFERROR(IF(ISNUMBER($A2724),IF(AND(AH!$P$10=1,AH!$P$12=1,$A2724=TODAY()),IF(AND(AH!$P$10=1,AH!$P$12=1,$A2724=TODAY()),TODAY(),NA()),IF(AH!$P$10=1,INDEX('Live History'!$G$5:$G$3004,MATCH($A2724,'Live History'!$G$5:$G$3004,1)),INDEX('AH History'!$F$1:$F$18046,AH!$P$7+2719))),NA()),NA())</ns0:f>
        <ns0:v/>
      </ns0:c>
      <ns0:c r="H2724">
        <ns0:f>IFERROR(IF(AND(AH!$E$4="Bloomberg",AH!$P$10=1,ISNUMBER($A2724),$A2724&lt;=AH!$P$17),AH!$P$7-1+MATCH($A2724,INDEX('AH History'!$A$1:$A$18046,AH!$P$7):INDEX('AH History'!$A$1:$A$18046,AH!$P$7+AH!$P$8-1),0),0),0)</ns0:f>
        <ns0:v/>
      </ns0:c>
      <ns0:c r="I2724">
        <ns0:f>IF($H2724=0,0,IFERROR(IF(AND(ABS($C2724-INDEX('AH History'!$B$1:$B$18046,$H2724))&lt;=MAX(0.005,ABS(INDEX('AH History'!$B$1:$B$18046,$H2724))*0.00005),ABS($D2724-INDEX('AH History'!$C$1:$C$18046,$H2724))&lt;=MAX(0.005,ABS(INDEX('AH History'!$C$1:$C$18046,$H2724))*0.00005),ABS($E2724-INDEX('AH History'!$D$1:$D$18046,$H2724))&lt;=0.00005,$F2724=INDEX('AH History'!$E$1:$E$18046,$H2724),$G2724=INDEX('AH History'!$F$1:$F$18046,$H2724)),1,-1),-1))</ns0:f>
        <ns0:v/>
      </ns0:c>
    </ns0:row>
    <ns0:row r="2725">
      <ns0:c r="A2725" s="215">
        <ns0:f>IF(OR(AH!$P$3=0,2720+1&gt;AH!$P$11,AND(AH!$E$4&lt;&gt;"Stored",AH!$P$10&lt;&gt;1)),"",IFERROR(IF(AND(AH!$P$21=1,2720+1=AH!$P$11),TODAY(),IF(AH!$P$10=1,INDEX('Live History'!$A$5:$A$3004,AH!$P$13+2720),INDEX('AH History'!$A$1:$A$18046,AH!$P$7+2720))),""))</ns0:f>
        <ns0:v/>
      </ns0:c>
      <ns0:c r="B2725" s="219">
        <ns0:f>IFERROR(IF(AND(AH!$P$9&lt;&gt;1,$C2725&gt;0,$D2725&gt;0,$E2725&gt;0,$F2725&gt;0,$G2725&gt;0,$F2725&lt;=$A2725,$G2725&lt;=$A2725,$A2725-$F2725&lt;=10,$A2725-$G2725&lt;=5),$D2725*$E2725/$C2725-1,NA()),NA())</ns0:f>
        <ns0:v/>
      </ns0:c>
      <ns0:c r="C2725">
        <ns0:f>IFERROR(IF(ISNUMBER($A2725),IF(AND(AH!$P$10=1,AH!$P$12=1,$A2725=TODAY()),AH!$P$19,IF(AH!$P$10=1,INDEX('Live History'!$B$5:$B$3004,AH!$P$13+2720),INDEX('AH History'!$B$1:$B$18046,AH!$P$7+2720))),NA()),NA())</ns0:f>
        <ns0:v/>
      </ns0:c>
      <ns0:c r="D2725">
        <ns0:f>IFERROR(IF(ISNUMBER($A2725),IF(AND(AH!$P$10=1,AH!$P$12=1,$A2725=TODAY()),AH!$P$18,IF(AH!$P$10=1,INDEX('Live History'!$E$5:$E$3004,MATCH($A2725,'Live History'!$D$5:$D$3004,1)),INDEX('AH History'!$C$1:$C$18046,AH!$P$7+2720))),NA()),NA())</ns0:f>
        <ns0:v/>
      </ns0:c>
      <ns0:c r="E2725">
        <ns0:f>IFERROR(IF(ISNUMBER($A2725),IF(AND(AH!$P$10=1,AH!$P$12=1,$A2725=TODAY()),AH!$P$20,IF(AH!$P$10=1,INDEX('Live History'!$H$5:$H$3004,MATCH($A2725,'Live History'!$G$5:$G$3004,1)),INDEX('AH History'!$D$1:$D$18046,AH!$P$7+2720))),NA()),NA())</ns0:f>
        <ns0:v/>
      </ns0:c>
      <ns0:c r="F2725">
        <ns0:f>IFERROR(IF(ISNUMBER($A2725),IF(AND(AH!$P$10=1,AH!$P$12=1,$A2725=TODAY()),IF(AND(AH!$P$10=1,AH!$P$12=1,$A2725=TODAY()),TODAY(),NA()),IF(AH!$P$10=1,INDEX('Live History'!$D$5:$D$3004,MATCH($A2725,'Live History'!$D$5:$D$3004,1)),INDEX('AH History'!$E$1:$E$18046,AH!$P$7+2720))),NA()),NA())</ns0:f>
        <ns0:v/>
      </ns0:c>
      <ns0:c r="G2725">
        <ns0:f>IFERROR(IF(ISNUMBER($A2725),IF(AND(AH!$P$10=1,AH!$P$12=1,$A2725=TODAY()),IF(AND(AH!$P$10=1,AH!$P$12=1,$A2725=TODAY()),TODAY(),NA()),IF(AH!$P$10=1,INDEX('Live History'!$G$5:$G$3004,MATCH($A2725,'Live History'!$G$5:$G$3004,1)),INDEX('AH History'!$F$1:$F$18046,AH!$P$7+2720))),NA()),NA())</ns0:f>
        <ns0:v/>
      </ns0:c>
      <ns0:c r="H2725">
        <ns0:f>IFERROR(IF(AND(AH!$E$4="Bloomberg",AH!$P$10=1,ISNUMBER($A2725),$A2725&lt;=AH!$P$17),AH!$P$7-1+MATCH($A2725,INDEX('AH History'!$A$1:$A$18046,AH!$P$7):INDEX('AH History'!$A$1:$A$18046,AH!$P$7+AH!$P$8-1),0),0),0)</ns0:f>
        <ns0:v/>
      </ns0:c>
      <ns0:c r="I2725">
        <ns0:f>IF($H2725=0,0,IFERROR(IF(AND(ABS($C2725-INDEX('AH History'!$B$1:$B$18046,$H2725))&lt;=MAX(0.005,ABS(INDEX('AH History'!$B$1:$B$18046,$H2725))*0.00005),ABS($D2725-INDEX('AH History'!$C$1:$C$18046,$H2725))&lt;=MAX(0.005,ABS(INDEX('AH History'!$C$1:$C$18046,$H2725))*0.00005),ABS($E2725-INDEX('AH History'!$D$1:$D$18046,$H2725))&lt;=0.00005,$F2725=INDEX('AH History'!$E$1:$E$18046,$H2725),$G2725=INDEX('AH History'!$F$1:$F$18046,$H2725)),1,-1),-1))</ns0:f>
        <ns0:v/>
      </ns0:c>
    </ns0:row>
    <ns0:row r="2726">
      <ns0:c r="A2726" s="215">
        <ns0:f>IF(OR(AH!$P$3=0,2721+1&gt;AH!$P$11,AND(AH!$E$4&lt;&gt;"Stored",AH!$P$10&lt;&gt;1)),"",IFERROR(IF(AND(AH!$P$21=1,2721+1=AH!$P$11),TODAY(),IF(AH!$P$10=1,INDEX('Live History'!$A$5:$A$3004,AH!$P$13+2721),INDEX('AH History'!$A$1:$A$18046,AH!$P$7+2721))),""))</ns0:f>
        <ns0:v/>
      </ns0:c>
      <ns0:c r="B2726" s="219">
        <ns0:f>IFERROR(IF(AND(AH!$P$9&lt;&gt;1,$C2726&gt;0,$D2726&gt;0,$E2726&gt;0,$F2726&gt;0,$G2726&gt;0,$F2726&lt;=$A2726,$G2726&lt;=$A2726,$A2726-$F2726&lt;=10,$A2726-$G2726&lt;=5),$D2726*$E2726/$C2726-1,NA()),NA())</ns0:f>
        <ns0:v/>
      </ns0:c>
      <ns0:c r="C2726">
        <ns0:f>IFERROR(IF(ISNUMBER($A2726),IF(AND(AH!$P$10=1,AH!$P$12=1,$A2726=TODAY()),AH!$P$19,IF(AH!$P$10=1,INDEX('Live History'!$B$5:$B$3004,AH!$P$13+2721),INDEX('AH History'!$B$1:$B$18046,AH!$P$7+2721))),NA()),NA())</ns0:f>
        <ns0:v/>
      </ns0:c>
      <ns0:c r="D2726">
        <ns0:f>IFERROR(IF(ISNUMBER($A2726),IF(AND(AH!$P$10=1,AH!$P$12=1,$A2726=TODAY()),AH!$P$18,IF(AH!$P$10=1,INDEX('Live History'!$E$5:$E$3004,MATCH($A2726,'Live History'!$D$5:$D$3004,1)),INDEX('AH History'!$C$1:$C$18046,AH!$P$7+2721))),NA()),NA())</ns0:f>
        <ns0:v/>
      </ns0:c>
      <ns0:c r="E2726">
        <ns0:f>IFERROR(IF(ISNUMBER($A2726),IF(AND(AH!$P$10=1,AH!$P$12=1,$A2726=TODAY()),AH!$P$20,IF(AH!$P$10=1,INDEX('Live History'!$H$5:$H$3004,MATCH($A2726,'Live History'!$G$5:$G$3004,1)),INDEX('AH History'!$D$1:$D$18046,AH!$P$7+2721))),NA()),NA())</ns0:f>
        <ns0:v/>
      </ns0:c>
      <ns0:c r="F2726">
        <ns0:f>IFERROR(IF(ISNUMBER($A2726),IF(AND(AH!$P$10=1,AH!$P$12=1,$A2726=TODAY()),IF(AND(AH!$P$10=1,AH!$P$12=1,$A2726=TODAY()),TODAY(),NA()),IF(AH!$P$10=1,INDEX('Live History'!$D$5:$D$3004,MATCH($A2726,'Live History'!$D$5:$D$3004,1)),INDEX('AH History'!$E$1:$E$18046,AH!$P$7+2721))),NA()),NA())</ns0:f>
        <ns0:v/>
      </ns0:c>
      <ns0:c r="G2726">
        <ns0:f>IFERROR(IF(ISNUMBER($A2726),IF(AND(AH!$P$10=1,AH!$P$12=1,$A2726=TODAY()),IF(AND(AH!$P$10=1,AH!$P$12=1,$A2726=TODAY()),TODAY(),NA()),IF(AH!$P$10=1,INDEX('Live History'!$G$5:$G$3004,MATCH($A2726,'Live History'!$G$5:$G$3004,1)),INDEX('AH History'!$F$1:$F$18046,AH!$P$7+2721))),NA()),NA())</ns0:f>
        <ns0:v/>
      </ns0:c>
      <ns0:c r="H2726">
        <ns0:f>IFERROR(IF(AND(AH!$E$4="Bloomberg",AH!$P$10=1,ISNUMBER($A2726),$A2726&lt;=AH!$P$17),AH!$P$7-1+MATCH($A2726,INDEX('AH History'!$A$1:$A$18046,AH!$P$7):INDEX('AH History'!$A$1:$A$18046,AH!$P$7+AH!$P$8-1),0),0),0)</ns0:f>
        <ns0:v/>
      </ns0:c>
      <ns0:c r="I2726">
        <ns0:f>IF($H2726=0,0,IFERROR(IF(AND(ABS($C2726-INDEX('AH History'!$B$1:$B$18046,$H2726))&lt;=MAX(0.005,ABS(INDEX('AH History'!$B$1:$B$18046,$H2726))*0.00005),ABS($D2726-INDEX('AH History'!$C$1:$C$18046,$H2726))&lt;=MAX(0.005,ABS(INDEX('AH History'!$C$1:$C$18046,$H2726))*0.00005),ABS($E2726-INDEX('AH History'!$D$1:$D$18046,$H2726))&lt;=0.00005,$F2726=INDEX('AH History'!$E$1:$E$18046,$H2726),$G2726=INDEX('AH History'!$F$1:$F$18046,$H2726)),1,-1),-1))</ns0:f>
        <ns0:v/>
      </ns0:c>
    </ns0:row>
    <ns0:row r="2727">
      <ns0:c r="A2727" s="215">
        <ns0:f>IF(OR(AH!$P$3=0,2722+1&gt;AH!$P$11,AND(AH!$E$4&lt;&gt;"Stored",AH!$P$10&lt;&gt;1)),"",IFERROR(IF(AND(AH!$P$21=1,2722+1=AH!$P$11),TODAY(),IF(AH!$P$10=1,INDEX('Live History'!$A$5:$A$3004,AH!$P$13+2722),INDEX('AH History'!$A$1:$A$18046,AH!$P$7+2722))),""))</ns0:f>
        <ns0:v/>
      </ns0:c>
      <ns0:c r="B2727" s="219">
        <ns0:f>IFERROR(IF(AND(AH!$P$9&lt;&gt;1,$C2727&gt;0,$D2727&gt;0,$E2727&gt;0,$F2727&gt;0,$G2727&gt;0,$F2727&lt;=$A2727,$G2727&lt;=$A2727,$A2727-$F2727&lt;=10,$A2727-$G2727&lt;=5),$D2727*$E2727/$C2727-1,NA()),NA())</ns0:f>
        <ns0:v/>
      </ns0:c>
      <ns0:c r="C2727">
        <ns0:f>IFERROR(IF(ISNUMBER($A2727),IF(AND(AH!$P$10=1,AH!$P$12=1,$A2727=TODAY()),AH!$P$19,IF(AH!$P$10=1,INDEX('Live History'!$B$5:$B$3004,AH!$P$13+2722),INDEX('AH History'!$B$1:$B$18046,AH!$P$7+2722))),NA()),NA())</ns0:f>
        <ns0:v/>
      </ns0:c>
      <ns0:c r="D2727">
        <ns0:f>IFERROR(IF(ISNUMBER($A2727),IF(AND(AH!$P$10=1,AH!$P$12=1,$A2727=TODAY()),AH!$P$18,IF(AH!$P$10=1,INDEX('Live History'!$E$5:$E$3004,MATCH($A2727,'Live History'!$D$5:$D$3004,1)),INDEX('AH History'!$C$1:$C$18046,AH!$P$7+2722))),NA()),NA())</ns0:f>
        <ns0:v/>
      </ns0:c>
      <ns0:c r="E2727">
        <ns0:f>IFERROR(IF(ISNUMBER($A2727),IF(AND(AH!$P$10=1,AH!$P$12=1,$A2727=TODAY()),AH!$P$20,IF(AH!$P$10=1,INDEX('Live History'!$H$5:$H$3004,MATCH($A2727,'Live History'!$G$5:$G$3004,1)),INDEX('AH History'!$D$1:$D$18046,AH!$P$7+2722))),NA()),NA())</ns0:f>
        <ns0:v/>
      </ns0:c>
      <ns0:c r="F2727">
        <ns0:f>IFERROR(IF(ISNUMBER($A2727),IF(AND(AH!$P$10=1,AH!$P$12=1,$A2727=TODAY()),IF(AND(AH!$P$10=1,AH!$P$12=1,$A2727=TODAY()),TODAY(),NA()),IF(AH!$P$10=1,INDEX('Live History'!$D$5:$D$3004,MATCH($A2727,'Live History'!$D$5:$D$3004,1)),INDEX('AH History'!$E$1:$E$18046,AH!$P$7+2722))),NA()),NA())</ns0:f>
        <ns0:v/>
      </ns0:c>
      <ns0:c r="G2727">
        <ns0:f>IFERROR(IF(ISNUMBER($A2727),IF(AND(AH!$P$10=1,AH!$P$12=1,$A2727=TODAY()),IF(AND(AH!$P$10=1,AH!$P$12=1,$A2727=TODAY()),TODAY(),NA()),IF(AH!$P$10=1,INDEX('Live History'!$G$5:$G$3004,MATCH($A2727,'Live History'!$G$5:$G$3004,1)),INDEX('AH History'!$F$1:$F$18046,AH!$P$7+2722))),NA()),NA())</ns0:f>
        <ns0:v/>
      </ns0:c>
      <ns0:c r="H2727">
        <ns0:f>IFERROR(IF(AND(AH!$E$4="Bloomberg",AH!$P$10=1,ISNUMBER($A2727),$A2727&lt;=AH!$P$17),AH!$P$7-1+MATCH($A2727,INDEX('AH History'!$A$1:$A$18046,AH!$P$7):INDEX('AH History'!$A$1:$A$18046,AH!$P$7+AH!$P$8-1),0),0),0)</ns0:f>
        <ns0:v/>
      </ns0:c>
      <ns0:c r="I2727">
        <ns0:f>IF($H2727=0,0,IFERROR(IF(AND(ABS($C2727-INDEX('AH History'!$B$1:$B$18046,$H2727))&lt;=MAX(0.005,ABS(INDEX('AH History'!$B$1:$B$18046,$H2727))*0.00005),ABS($D2727-INDEX('AH History'!$C$1:$C$18046,$H2727))&lt;=MAX(0.005,ABS(INDEX('AH History'!$C$1:$C$18046,$H2727))*0.00005),ABS($E2727-INDEX('AH History'!$D$1:$D$18046,$H2727))&lt;=0.00005,$F2727=INDEX('AH History'!$E$1:$E$18046,$H2727),$G2727=INDEX('AH History'!$F$1:$F$18046,$H2727)),1,-1),-1))</ns0:f>
        <ns0:v/>
      </ns0:c>
    </ns0:row>
    <ns0:row r="2728">
      <ns0:c r="A2728" s="215">
        <ns0:f>IF(OR(AH!$P$3=0,2723+1&gt;AH!$P$11,AND(AH!$E$4&lt;&gt;"Stored",AH!$P$10&lt;&gt;1)),"",IFERROR(IF(AND(AH!$P$21=1,2723+1=AH!$P$11),TODAY(),IF(AH!$P$10=1,INDEX('Live History'!$A$5:$A$3004,AH!$P$13+2723),INDEX('AH History'!$A$1:$A$18046,AH!$P$7+2723))),""))</ns0:f>
        <ns0:v/>
      </ns0:c>
      <ns0:c r="B2728" s="219">
        <ns0:f>IFERROR(IF(AND(AH!$P$9&lt;&gt;1,$C2728&gt;0,$D2728&gt;0,$E2728&gt;0,$F2728&gt;0,$G2728&gt;0,$F2728&lt;=$A2728,$G2728&lt;=$A2728,$A2728-$F2728&lt;=10,$A2728-$G2728&lt;=5),$D2728*$E2728/$C2728-1,NA()),NA())</ns0:f>
        <ns0:v/>
      </ns0:c>
      <ns0:c r="C2728">
        <ns0:f>IFERROR(IF(ISNUMBER($A2728),IF(AND(AH!$P$10=1,AH!$P$12=1,$A2728=TODAY()),AH!$P$19,IF(AH!$P$10=1,INDEX('Live History'!$B$5:$B$3004,AH!$P$13+2723),INDEX('AH History'!$B$1:$B$18046,AH!$P$7+2723))),NA()),NA())</ns0:f>
        <ns0:v/>
      </ns0:c>
      <ns0:c r="D2728">
        <ns0:f>IFERROR(IF(ISNUMBER($A2728),IF(AND(AH!$P$10=1,AH!$P$12=1,$A2728=TODAY()),AH!$P$18,IF(AH!$P$10=1,INDEX('Live History'!$E$5:$E$3004,MATCH($A2728,'Live History'!$D$5:$D$3004,1)),INDEX('AH History'!$C$1:$C$18046,AH!$P$7+2723))),NA()),NA())</ns0:f>
        <ns0:v/>
      </ns0:c>
      <ns0:c r="E2728">
        <ns0:f>IFERROR(IF(ISNUMBER($A2728),IF(AND(AH!$P$10=1,AH!$P$12=1,$A2728=TODAY()),AH!$P$20,IF(AH!$P$10=1,INDEX('Live History'!$H$5:$H$3004,MATCH($A2728,'Live History'!$G$5:$G$3004,1)),INDEX('AH History'!$D$1:$D$18046,AH!$P$7+2723))),NA()),NA())</ns0:f>
        <ns0:v/>
      </ns0:c>
      <ns0:c r="F2728">
        <ns0:f>IFERROR(IF(ISNUMBER($A2728),IF(AND(AH!$P$10=1,AH!$P$12=1,$A2728=TODAY()),IF(AND(AH!$P$10=1,AH!$P$12=1,$A2728=TODAY()),TODAY(),NA()),IF(AH!$P$10=1,INDEX('Live History'!$D$5:$D$3004,MATCH($A2728,'Live History'!$D$5:$D$3004,1)),INDEX('AH History'!$E$1:$E$18046,AH!$P$7+2723))),NA()),NA())</ns0:f>
        <ns0:v/>
      </ns0:c>
      <ns0:c r="G2728">
        <ns0:f>IFERROR(IF(ISNUMBER($A2728),IF(AND(AH!$P$10=1,AH!$P$12=1,$A2728=TODAY()),IF(AND(AH!$P$10=1,AH!$P$12=1,$A2728=TODAY()),TODAY(),NA()),IF(AH!$P$10=1,INDEX('Live History'!$G$5:$G$3004,MATCH($A2728,'Live History'!$G$5:$G$3004,1)),INDEX('AH History'!$F$1:$F$18046,AH!$P$7+2723))),NA()),NA())</ns0:f>
        <ns0:v/>
      </ns0:c>
      <ns0:c r="H2728">
        <ns0:f>IFERROR(IF(AND(AH!$E$4="Bloomberg",AH!$P$10=1,ISNUMBER($A2728),$A2728&lt;=AH!$P$17),AH!$P$7-1+MATCH($A2728,INDEX('AH History'!$A$1:$A$18046,AH!$P$7):INDEX('AH History'!$A$1:$A$18046,AH!$P$7+AH!$P$8-1),0),0),0)</ns0:f>
        <ns0:v/>
      </ns0:c>
      <ns0:c r="I2728">
        <ns0:f>IF($H2728=0,0,IFERROR(IF(AND(ABS($C2728-INDEX('AH History'!$B$1:$B$18046,$H2728))&lt;=MAX(0.005,ABS(INDEX('AH History'!$B$1:$B$18046,$H2728))*0.00005),ABS($D2728-INDEX('AH History'!$C$1:$C$18046,$H2728))&lt;=MAX(0.005,ABS(INDEX('AH History'!$C$1:$C$18046,$H2728))*0.00005),ABS($E2728-INDEX('AH History'!$D$1:$D$18046,$H2728))&lt;=0.00005,$F2728=INDEX('AH History'!$E$1:$E$18046,$H2728),$G2728=INDEX('AH History'!$F$1:$F$18046,$H2728)),1,-1),-1))</ns0:f>
        <ns0:v/>
      </ns0:c>
    </ns0:row>
    <ns0:row r="2729">
      <ns0:c r="A2729" s="215">
        <ns0:f>IF(OR(AH!$P$3=0,2724+1&gt;AH!$P$11,AND(AH!$E$4&lt;&gt;"Stored",AH!$P$10&lt;&gt;1)),"",IFERROR(IF(AND(AH!$P$21=1,2724+1=AH!$P$11),TODAY(),IF(AH!$P$10=1,INDEX('Live History'!$A$5:$A$3004,AH!$P$13+2724),INDEX('AH History'!$A$1:$A$18046,AH!$P$7+2724))),""))</ns0:f>
        <ns0:v/>
      </ns0:c>
      <ns0:c r="B2729" s="219">
        <ns0:f>IFERROR(IF(AND(AH!$P$9&lt;&gt;1,$C2729&gt;0,$D2729&gt;0,$E2729&gt;0,$F2729&gt;0,$G2729&gt;0,$F2729&lt;=$A2729,$G2729&lt;=$A2729,$A2729-$F2729&lt;=10,$A2729-$G2729&lt;=5),$D2729*$E2729/$C2729-1,NA()),NA())</ns0:f>
        <ns0:v/>
      </ns0:c>
      <ns0:c r="C2729">
        <ns0:f>IFERROR(IF(ISNUMBER($A2729),IF(AND(AH!$P$10=1,AH!$P$12=1,$A2729=TODAY()),AH!$P$19,IF(AH!$P$10=1,INDEX('Live History'!$B$5:$B$3004,AH!$P$13+2724),INDEX('AH History'!$B$1:$B$18046,AH!$P$7+2724))),NA()),NA())</ns0:f>
        <ns0:v/>
      </ns0:c>
      <ns0:c r="D2729">
        <ns0:f>IFERROR(IF(ISNUMBER($A2729),IF(AND(AH!$P$10=1,AH!$P$12=1,$A2729=TODAY()),AH!$P$18,IF(AH!$P$10=1,INDEX('Live History'!$E$5:$E$3004,MATCH($A2729,'Live History'!$D$5:$D$3004,1)),INDEX('AH History'!$C$1:$C$18046,AH!$P$7+2724))),NA()),NA())</ns0:f>
        <ns0:v/>
      </ns0:c>
      <ns0:c r="E2729">
        <ns0:f>IFERROR(IF(ISNUMBER($A2729),IF(AND(AH!$P$10=1,AH!$P$12=1,$A2729=TODAY()),AH!$P$20,IF(AH!$P$10=1,INDEX('Live History'!$H$5:$H$3004,MATCH($A2729,'Live History'!$G$5:$G$3004,1)),INDEX('AH History'!$D$1:$D$18046,AH!$P$7+2724))),NA()),NA())</ns0:f>
        <ns0:v/>
      </ns0:c>
      <ns0:c r="F2729">
        <ns0:f>IFERROR(IF(ISNUMBER($A2729),IF(AND(AH!$P$10=1,AH!$P$12=1,$A2729=TODAY()),IF(AND(AH!$P$10=1,AH!$P$12=1,$A2729=TODAY()),TODAY(),NA()),IF(AH!$P$10=1,INDEX('Live History'!$D$5:$D$3004,MATCH($A2729,'Live History'!$D$5:$D$3004,1)),INDEX('AH History'!$E$1:$E$18046,AH!$P$7+2724))),NA()),NA())</ns0:f>
        <ns0:v/>
      </ns0:c>
      <ns0:c r="G2729">
        <ns0:f>IFERROR(IF(ISNUMBER($A2729),IF(AND(AH!$P$10=1,AH!$P$12=1,$A2729=TODAY()),IF(AND(AH!$P$10=1,AH!$P$12=1,$A2729=TODAY()),TODAY(),NA()),IF(AH!$P$10=1,INDEX('Live History'!$G$5:$G$3004,MATCH($A2729,'Live History'!$G$5:$G$3004,1)),INDEX('AH History'!$F$1:$F$18046,AH!$P$7+2724))),NA()),NA())</ns0:f>
        <ns0:v/>
      </ns0:c>
      <ns0:c r="H2729">
        <ns0:f>IFERROR(IF(AND(AH!$E$4="Bloomberg",AH!$P$10=1,ISNUMBER($A2729),$A2729&lt;=AH!$P$17),AH!$P$7-1+MATCH($A2729,INDEX('AH History'!$A$1:$A$18046,AH!$P$7):INDEX('AH History'!$A$1:$A$18046,AH!$P$7+AH!$P$8-1),0),0),0)</ns0:f>
        <ns0:v/>
      </ns0:c>
      <ns0:c r="I2729">
        <ns0:f>IF($H2729=0,0,IFERROR(IF(AND(ABS($C2729-INDEX('AH History'!$B$1:$B$18046,$H2729))&lt;=MAX(0.005,ABS(INDEX('AH History'!$B$1:$B$18046,$H2729))*0.00005),ABS($D2729-INDEX('AH History'!$C$1:$C$18046,$H2729))&lt;=MAX(0.005,ABS(INDEX('AH History'!$C$1:$C$18046,$H2729))*0.00005),ABS($E2729-INDEX('AH History'!$D$1:$D$18046,$H2729))&lt;=0.00005,$F2729=INDEX('AH History'!$E$1:$E$18046,$H2729),$G2729=INDEX('AH History'!$F$1:$F$18046,$H2729)),1,-1),-1))</ns0:f>
        <ns0:v/>
      </ns0:c>
    </ns0:row>
    <ns0:row r="2730">
      <ns0:c r="A2730" s="215">
        <ns0:f>IF(OR(AH!$P$3=0,2725+1&gt;AH!$P$11,AND(AH!$E$4&lt;&gt;"Stored",AH!$P$10&lt;&gt;1)),"",IFERROR(IF(AND(AH!$P$21=1,2725+1=AH!$P$11),TODAY(),IF(AH!$P$10=1,INDEX('Live History'!$A$5:$A$3004,AH!$P$13+2725),INDEX('AH History'!$A$1:$A$18046,AH!$P$7+2725))),""))</ns0:f>
        <ns0:v/>
      </ns0:c>
      <ns0:c r="B2730" s="219">
        <ns0:f>IFERROR(IF(AND(AH!$P$9&lt;&gt;1,$C2730&gt;0,$D2730&gt;0,$E2730&gt;0,$F2730&gt;0,$G2730&gt;0,$F2730&lt;=$A2730,$G2730&lt;=$A2730,$A2730-$F2730&lt;=10,$A2730-$G2730&lt;=5),$D2730*$E2730/$C2730-1,NA()),NA())</ns0:f>
        <ns0:v/>
      </ns0:c>
      <ns0:c r="C2730">
        <ns0:f>IFERROR(IF(ISNUMBER($A2730),IF(AND(AH!$P$10=1,AH!$P$12=1,$A2730=TODAY()),AH!$P$19,IF(AH!$P$10=1,INDEX('Live History'!$B$5:$B$3004,AH!$P$13+2725),INDEX('AH History'!$B$1:$B$18046,AH!$P$7+2725))),NA()),NA())</ns0:f>
        <ns0:v/>
      </ns0:c>
      <ns0:c r="D2730">
        <ns0:f>IFERROR(IF(ISNUMBER($A2730),IF(AND(AH!$P$10=1,AH!$P$12=1,$A2730=TODAY()),AH!$P$18,IF(AH!$P$10=1,INDEX('Live History'!$E$5:$E$3004,MATCH($A2730,'Live History'!$D$5:$D$3004,1)),INDEX('AH History'!$C$1:$C$18046,AH!$P$7+2725))),NA()),NA())</ns0:f>
        <ns0:v/>
      </ns0:c>
      <ns0:c r="E2730">
        <ns0:f>IFERROR(IF(ISNUMBER($A2730),IF(AND(AH!$P$10=1,AH!$P$12=1,$A2730=TODAY()),AH!$P$20,IF(AH!$P$10=1,INDEX('Live History'!$H$5:$H$3004,MATCH($A2730,'Live History'!$G$5:$G$3004,1)),INDEX('AH History'!$D$1:$D$18046,AH!$P$7+2725))),NA()),NA())</ns0:f>
        <ns0:v/>
      </ns0:c>
      <ns0:c r="F2730">
        <ns0:f>IFERROR(IF(ISNUMBER($A2730),IF(AND(AH!$P$10=1,AH!$P$12=1,$A2730=TODAY()),IF(AND(AH!$P$10=1,AH!$P$12=1,$A2730=TODAY()),TODAY(),NA()),IF(AH!$P$10=1,INDEX('Live History'!$D$5:$D$3004,MATCH($A2730,'Live History'!$D$5:$D$3004,1)),INDEX('AH History'!$E$1:$E$18046,AH!$P$7+2725))),NA()),NA())</ns0:f>
        <ns0:v/>
      </ns0:c>
      <ns0:c r="G2730">
        <ns0:f>IFERROR(IF(ISNUMBER($A2730),IF(AND(AH!$P$10=1,AH!$P$12=1,$A2730=TODAY()),IF(AND(AH!$P$10=1,AH!$P$12=1,$A2730=TODAY()),TODAY(),NA()),IF(AH!$P$10=1,INDEX('Live History'!$G$5:$G$3004,MATCH($A2730,'Live History'!$G$5:$G$3004,1)),INDEX('AH History'!$F$1:$F$18046,AH!$P$7+2725))),NA()),NA())</ns0:f>
        <ns0:v/>
      </ns0:c>
      <ns0:c r="H2730">
        <ns0:f>IFERROR(IF(AND(AH!$E$4="Bloomberg",AH!$P$10=1,ISNUMBER($A2730),$A2730&lt;=AH!$P$17),AH!$P$7-1+MATCH($A2730,INDEX('AH History'!$A$1:$A$18046,AH!$P$7):INDEX('AH History'!$A$1:$A$18046,AH!$P$7+AH!$P$8-1),0),0),0)</ns0:f>
        <ns0:v/>
      </ns0:c>
      <ns0:c r="I2730">
        <ns0:f>IF($H2730=0,0,IFERROR(IF(AND(ABS($C2730-INDEX('AH History'!$B$1:$B$18046,$H2730))&lt;=MAX(0.005,ABS(INDEX('AH History'!$B$1:$B$18046,$H2730))*0.00005),ABS($D2730-INDEX('AH History'!$C$1:$C$18046,$H2730))&lt;=MAX(0.005,ABS(INDEX('AH History'!$C$1:$C$18046,$H2730))*0.00005),ABS($E2730-INDEX('AH History'!$D$1:$D$18046,$H2730))&lt;=0.00005,$F2730=INDEX('AH History'!$E$1:$E$18046,$H2730),$G2730=INDEX('AH History'!$F$1:$F$18046,$H2730)),1,-1),-1))</ns0:f>
        <ns0:v/>
      </ns0:c>
    </ns0:row>
    <ns0:row r="2731">
      <ns0:c r="A2731" s="215">
        <ns0:f>IF(OR(AH!$P$3=0,2726+1&gt;AH!$P$11,AND(AH!$E$4&lt;&gt;"Stored",AH!$P$10&lt;&gt;1)),"",IFERROR(IF(AND(AH!$P$21=1,2726+1=AH!$P$11),TODAY(),IF(AH!$P$10=1,INDEX('Live History'!$A$5:$A$3004,AH!$P$13+2726),INDEX('AH History'!$A$1:$A$18046,AH!$P$7+2726))),""))</ns0:f>
        <ns0:v/>
      </ns0:c>
      <ns0:c r="B2731" s="219">
        <ns0:f>IFERROR(IF(AND(AH!$P$9&lt;&gt;1,$C2731&gt;0,$D2731&gt;0,$E2731&gt;0,$F2731&gt;0,$G2731&gt;0,$F2731&lt;=$A2731,$G2731&lt;=$A2731,$A2731-$F2731&lt;=10,$A2731-$G2731&lt;=5),$D2731*$E2731/$C2731-1,NA()),NA())</ns0:f>
        <ns0:v/>
      </ns0:c>
      <ns0:c r="C2731">
        <ns0:f>IFERROR(IF(ISNUMBER($A2731),IF(AND(AH!$P$10=1,AH!$P$12=1,$A2731=TODAY()),AH!$P$19,IF(AH!$P$10=1,INDEX('Live History'!$B$5:$B$3004,AH!$P$13+2726),INDEX('AH History'!$B$1:$B$18046,AH!$P$7+2726))),NA()),NA())</ns0:f>
        <ns0:v/>
      </ns0:c>
      <ns0:c r="D2731">
        <ns0:f>IFERROR(IF(ISNUMBER($A2731),IF(AND(AH!$P$10=1,AH!$P$12=1,$A2731=TODAY()),AH!$P$18,IF(AH!$P$10=1,INDEX('Live History'!$E$5:$E$3004,MATCH($A2731,'Live History'!$D$5:$D$3004,1)),INDEX('AH History'!$C$1:$C$18046,AH!$P$7+2726))),NA()),NA())</ns0:f>
        <ns0:v/>
      </ns0:c>
      <ns0:c r="E2731">
        <ns0:f>IFERROR(IF(ISNUMBER($A2731),IF(AND(AH!$P$10=1,AH!$P$12=1,$A2731=TODAY()),AH!$P$20,IF(AH!$P$10=1,INDEX('Live History'!$H$5:$H$3004,MATCH($A2731,'Live History'!$G$5:$G$3004,1)),INDEX('AH History'!$D$1:$D$18046,AH!$P$7+2726))),NA()),NA())</ns0:f>
        <ns0:v/>
      </ns0:c>
      <ns0:c r="F2731">
        <ns0:f>IFERROR(IF(ISNUMBER($A2731),IF(AND(AH!$P$10=1,AH!$P$12=1,$A2731=TODAY()),IF(AND(AH!$P$10=1,AH!$P$12=1,$A2731=TODAY()),TODAY(),NA()),IF(AH!$P$10=1,INDEX('Live History'!$D$5:$D$3004,MATCH($A2731,'Live History'!$D$5:$D$3004,1)),INDEX('AH History'!$E$1:$E$18046,AH!$P$7+2726))),NA()),NA())</ns0:f>
        <ns0:v/>
      </ns0:c>
      <ns0:c r="G2731">
        <ns0:f>IFERROR(IF(ISNUMBER($A2731),IF(AND(AH!$P$10=1,AH!$P$12=1,$A2731=TODAY()),IF(AND(AH!$P$10=1,AH!$P$12=1,$A2731=TODAY()),TODAY(),NA()),IF(AH!$P$10=1,INDEX('Live History'!$G$5:$G$3004,MATCH($A2731,'Live History'!$G$5:$G$3004,1)),INDEX('AH History'!$F$1:$F$18046,AH!$P$7+2726))),NA()),NA())</ns0:f>
        <ns0:v/>
      </ns0:c>
      <ns0:c r="H2731">
        <ns0:f>IFERROR(IF(AND(AH!$E$4="Bloomberg",AH!$P$10=1,ISNUMBER($A2731),$A2731&lt;=AH!$P$17),AH!$P$7-1+MATCH($A2731,INDEX('AH History'!$A$1:$A$18046,AH!$P$7):INDEX('AH History'!$A$1:$A$18046,AH!$P$7+AH!$P$8-1),0),0),0)</ns0:f>
        <ns0:v/>
      </ns0:c>
      <ns0:c r="I2731">
        <ns0:f>IF($H2731=0,0,IFERROR(IF(AND(ABS($C2731-INDEX('AH History'!$B$1:$B$18046,$H2731))&lt;=MAX(0.005,ABS(INDEX('AH History'!$B$1:$B$18046,$H2731))*0.00005),ABS($D2731-INDEX('AH History'!$C$1:$C$18046,$H2731))&lt;=MAX(0.005,ABS(INDEX('AH History'!$C$1:$C$18046,$H2731))*0.00005),ABS($E2731-INDEX('AH History'!$D$1:$D$18046,$H2731))&lt;=0.00005,$F2731=INDEX('AH History'!$E$1:$E$18046,$H2731),$G2731=INDEX('AH History'!$F$1:$F$18046,$H2731)),1,-1),-1))</ns0:f>
        <ns0:v/>
      </ns0:c>
    </ns0:row>
    <ns0:row r="2732">
      <ns0:c r="A2732" s="215">
        <ns0:f>IF(OR(AH!$P$3=0,2727+1&gt;AH!$P$11,AND(AH!$E$4&lt;&gt;"Stored",AH!$P$10&lt;&gt;1)),"",IFERROR(IF(AND(AH!$P$21=1,2727+1=AH!$P$11),TODAY(),IF(AH!$P$10=1,INDEX('Live History'!$A$5:$A$3004,AH!$P$13+2727),INDEX('AH History'!$A$1:$A$18046,AH!$P$7+2727))),""))</ns0:f>
        <ns0:v/>
      </ns0:c>
      <ns0:c r="B2732" s="219">
        <ns0:f>IFERROR(IF(AND(AH!$P$9&lt;&gt;1,$C2732&gt;0,$D2732&gt;0,$E2732&gt;0,$F2732&gt;0,$G2732&gt;0,$F2732&lt;=$A2732,$G2732&lt;=$A2732,$A2732-$F2732&lt;=10,$A2732-$G2732&lt;=5),$D2732*$E2732/$C2732-1,NA()),NA())</ns0:f>
        <ns0:v/>
      </ns0:c>
      <ns0:c r="C2732">
        <ns0:f>IFERROR(IF(ISNUMBER($A2732),IF(AND(AH!$P$10=1,AH!$P$12=1,$A2732=TODAY()),AH!$P$19,IF(AH!$P$10=1,INDEX('Live History'!$B$5:$B$3004,AH!$P$13+2727),INDEX('AH History'!$B$1:$B$18046,AH!$P$7+2727))),NA()),NA())</ns0:f>
        <ns0:v/>
      </ns0:c>
      <ns0:c r="D2732">
        <ns0:f>IFERROR(IF(ISNUMBER($A2732),IF(AND(AH!$P$10=1,AH!$P$12=1,$A2732=TODAY()),AH!$P$18,IF(AH!$P$10=1,INDEX('Live History'!$E$5:$E$3004,MATCH($A2732,'Live History'!$D$5:$D$3004,1)),INDEX('AH History'!$C$1:$C$18046,AH!$P$7+2727))),NA()),NA())</ns0:f>
        <ns0:v/>
      </ns0:c>
      <ns0:c r="E2732">
        <ns0:f>IFERROR(IF(ISNUMBER($A2732),IF(AND(AH!$P$10=1,AH!$P$12=1,$A2732=TODAY()),AH!$P$20,IF(AH!$P$10=1,INDEX('Live History'!$H$5:$H$3004,MATCH($A2732,'Live History'!$G$5:$G$3004,1)),INDEX('AH History'!$D$1:$D$18046,AH!$P$7+2727))),NA()),NA())</ns0:f>
        <ns0:v/>
      </ns0:c>
      <ns0:c r="F2732">
        <ns0:f>IFERROR(IF(ISNUMBER($A2732),IF(AND(AH!$P$10=1,AH!$P$12=1,$A2732=TODAY()),IF(AND(AH!$P$10=1,AH!$P$12=1,$A2732=TODAY()),TODAY(),NA()),IF(AH!$P$10=1,INDEX('Live History'!$D$5:$D$3004,MATCH($A2732,'Live History'!$D$5:$D$3004,1)),INDEX('AH History'!$E$1:$E$18046,AH!$P$7+2727))),NA()),NA())</ns0:f>
        <ns0:v/>
      </ns0:c>
      <ns0:c r="G2732">
        <ns0:f>IFERROR(IF(ISNUMBER($A2732),IF(AND(AH!$P$10=1,AH!$P$12=1,$A2732=TODAY()),IF(AND(AH!$P$10=1,AH!$P$12=1,$A2732=TODAY()),TODAY(),NA()),IF(AH!$P$10=1,INDEX('Live History'!$G$5:$G$3004,MATCH($A2732,'Live History'!$G$5:$G$3004,1)),INDEX('AH History'!$F$1:$F$18046,AH!$P$7+2727))),NA()),NA())</ns0:f>
        <ns0:v/>
      </ns0:c>
      <ns0:c r="H2732">
        <ns0:f>IFERROR(IF(AND(AH!$E$4="Bloomberg",AH!$P$10=1,ISNUMBER($A2732),$A2732&lt;=AH!$P$17),AH!$P$7-1+MATCH($A2732,INDEX('AH History'!$A$1:$A$18046,AH!$P$7):INDEX('AH History'!$A$1:$A$18046,AH!$P$7+AH!$P$8-1),0),0),0)</ns0:f>
        <ns0:v/>
      </ns0:c>
      <ns0:c r="I2732">
        <ns0:f>IF($H2732=0,0,IFERROR(IF(AND(ABS($C2732-INDEX('AH History'!$B$1:$B$18046,$H2732))&lt;=MAX(0.005,ABS(INDEX('AH History'!$B$1:$B$18046,$H2732))*0.00005),ABS($D2732-INDEX('AH History'!$C$1:$C$18046,$H2732))&lt;=MAX(0.005,ABS(INDEX('AH History'!$C$1:$C$18046,$H2732))*0.00005),ABS($E2732-INDEX('AH History'!$D$1:$D$18046,$H2732))&lt;=0.00005,$F2732=INDEX('AH History'!$E$1:$E$18046,$H2732),$G2732=INDEX('AH History'!$F$1:$F$18046,$H2732)),1,-1),-1))</ns0:f>
        <ns0:v/>
      </ns0:c>
    </ns0:row>
    <ns0:row r="2733">
      <ns0:c r="A2733" s="215">
        <ns0:f>IF(OR(AH!$P$3=0,2728+1&gt;AH!$P$11,AND(AH!$E$4&lt;&gt;"Stored",AH!$P$10&lt;&gt;1)),"",IFERROR(IF(AND(AH!$P$21=1,2728+1=AH!$P$11),TODAY(),IF(AH!$P$10=1,INDEX('Live History'!$A$5:$A$3004,AH!$P$13+2728),INDEX('AH History'!$A$1:$A$18046,AH!$P$7+2728))),""))</ns0:f>
        <ns0:v/>
      </ns0:c>
      <ns0:c r="B2733" s="219">
        <ns0:f>IFERROR(IF(AND(AH!$P$9&lt;&gt;1,$C2733&gt;0,$D2733&gt;0,$E2733&gt;0,$F2733&gt;0,$G2733&gt;0,$F2733&lt;=$A2733,$G2733&lt;=$A2733,$A2733-$F2733&lt;=10,$A2733-$G2733&lt;=5),$D2733*$E2733/$C2733-1,NA()),NA())</ns0:f>
        <ns0:v/>
      </ns0:c>
      <ns0:c r="C2733">
        <ns0:f>IFERROR(IF(ISNUMBER($A2733),IF(AND(AH!$P$10=1,AH!$P$12=1,$A2733=TODAY()),AH!$P$19,IF(AH!$P$10=1,INDEX('Live History'!$B$5:$B$3004,AH!$P$13+2728),INDEX('AH History'!$B$1:$B$18046,AH!$P$7+2728))),NA()),NA())</ns0:f>
        <ns0:v/>
      </ns0:c>
      <ns0:c r="D2733">
        <ns0:f>IFERROR(IF(ISNUMBER($A2733),IF(AND(AH!$P$10=1,AH!$P$12=1,$A2733=TODAY()),AH!$P$18,IF(AH!$P$10=1,INDEX('Live History'!$E$5:$E$3004,MATCH($A2733,'Live History'!$D$5:$D$3004,1)),INDEX('AH History'!$C$1:$C$18046,AH!$P$7+2728))),NA()),NA())</ns0:f>
        <ns0:v/>
      </ns0:c>
      <ns0:c r="E2733">
        <ns0:f>IFERROR(IF(ISNUMBER($A2733),IF(AND(AH!$P$10=1,AH!$P$12=1,$A2733=TODAY()),AH!$P$20,IF(AH!$P$10=1,INDEX('Live History'!$H$5:$H$3004,MATCH($A2733,'Live History'!$G$5:$G$3004,1)),INDEX('AH History'!$D$1:$D$18046,AH!$P$7+2728))),NA()),NA())</ns0:f>
        <ns0:v/>
      </ns0:c>
      <ns0:c r="F2733">
        <ns0:f>IFERROR(IF(ISNUMBER($A2733),IF(AND(AH!$P$10=1,AH!$P$12=1,$A2733=TODAY()),IF(AND(AH!$P$10=1,AH!$P$12=1,$A2733=TODAY()),TODAY(),NA()),IF(AH!$P$10=1,INDEX('Live History'!$D$5:$D$3004,MATCH($A2733,'Live History'!$D$5:$D$3004,1)),INDEX('AH History'!$E$1:$E$18046,AH!$P$7+2728))),NA()),NA())</ns0:f>
        <ns0:v/>
      </ns0:c>
      <ns0:c r="G2733">
        <ns0:f>IFERROR(IF(ISNUMBER($A2733),IF(AND(AH!$P$10=1,AH!$P$12=1,$A2733=TODAY()),IF(AND(AH!$P$10=1,AH!$P$12=1,$A2733=TODAY()),TODAY(),NA()),IF(AH!$P$10=1,INDEX('Live History'!$G$5:$G$3004,MATCH($A2733,'Live History'!$G$5:$G$3004,1)),INDEX('AH History'!$F$1:$F$18046,AH!$P$7+2728))),NA()),NA())</ns0:f>
        <ns0:v/>
      </ns0:c>
      <ns0:c r="H2733">
        <ns0:f>IFERROR(IF(AND(AH!$E$4="Bloomberg",AH!$P$10=1,ISNUMBER($A2733),$A2733&lt;=AH!$P$17),AH!$P$7-1+MATCH($A2733,INDEX('AH History'!$A$1:$A$18046,AH!$P$7):INDEX('AH History'!$A$1:$A$18046,AH!$P$7+AH!$P$8-1),0),0),0)</ns0:f>
        <ns0:v/>
      </ns0:c>
      <ns0:c r="I2733">
        <ns0:f>IF($H2733=0,0,IFERROR(IF(AND(ABS($C2733-INDEX('AH History'!$B$1:$B$18046,$H2733))&lt;=MAX(0.005,ABS(INDEX('AH History'!$B$1:$B$18046,$H2733))*0.00005),ABS($D2733-INDEX('AH History'!$C$1:$C$18046,$H2733))&lt;=MAX(0.005,ABS(INDEX('AH History'!$C$1:$C$18046,$H2733))*0.00005),ABS($E2733-INDEX('AH History'!$D$1:$D$18046,$H2733))&lt;=0.00005,$F2733=INDEX('AH History'!$E$1:$E$18046,$H2733),$G2733=INDEX('AH History'!$F$1:$F$18046,$H2733)),1,-1),-1))</ns0:f>
        <ns0:v/>
      </ns0:c>
    </ns0:row>
    <ns0:row r="2734">
      <ns0:c r="A2734" s="215">
        <ns0:f>IF(OR(AH!$P$3=0,2729+1&gt;AH!$P$11,AND(AH!$E$4&lt;&gt;"Stored",AH!$P$10&lt;&gt;1)),"",IFERROR(IF(AND(AH!$P$21=1,2729+1=AH!$P$11),TODAY(),IF(AH!$P$10=1,INDEX('Live History'!$A$5:$A$3004,AH!$P$13+2729),INDEX('AH History'!$A$1:$A$18046,AH!$P$7+2729))),""))</ns0:f>
        <ns0:v/>
      </ns0:c>
      <ns0:c r="B2734" s="219">
        <ns0:f>IFERROR(IF(AND(AH!$P$9&lt;&gt;1,$C2734&gt;0,$D2734&gt;0,$E2734&gt;0,$F2734&gt;0,$G2734&gt;0,$F2734&lt;=$A2734,$G2734&lt;=$A2734,$A2734-$F2734&lt;=10,$A2734-$G2734&lt;=5),$D2734*$E2734/$C2734-1,NA()),NA())</ns0:f>
        <ns0:v/>
      </ns0:c>
      <ns0:c r="C2734">
        <ns0:f>IFERROR(IF(ISNUMBER($A2734),IF(AND(AH!$P$10=1,AH!$P$12=1,$A2734=TODAY()),AH!$P$19,IF(AH!$P$10=1,INDEX('Live History'!$B$5:$B$3004,AH!$P$13+2729),INDEX('AH History'!$B$1:$B$18046,AH!$P$7+2729))),NA()),NA())</ns0:f>
        <ns0:v/>
      </ns0:c>
      <ns0:c r="D2734">
        <ns0:f>IFERROR(IF(ISNUMBER($A2734),IF(AND(AH!$P$10=1,AH!$P$12=1,$A2734=TODAY()),AH!$P$18,IF(AH!$P$10=1,INDEX('Live History'!$E$5:$E$3004,MATCH($A2734,'Live History'!$D$5:$D$3004,1)),INDEX('AH History'!$C$1:$C$18046,AH!$P$7+2729))),NA()),NA())</ns0:f>
        <ns0:v/>
      </ns0:c>
      <ns0:c r="E2734">
        <ns0:f>IFERROR(IF(ISNUMBER($A2734),IF(AND(AH!$P$10=1,AH!$P$12=1,$A2734=TODAY()),AH!$P$20,IF(AH!$P$10=1,INDEX('Live History'!$H$5:$H$3004,MATCH($A2734,'Live History'!$G$5:$G$3004,1)),INDEX('AH History'!$D$1:$D$18046,AH!$P$7+2729))),NA()),NA())</ns0:f>
        <ns0:v/>
      </ns0:c>
      <ns0:c r="F2734">
        <ns0:f>IFERROR(IF(ISNUMBER($A2734),IF(AND(AH!$P$10=1,AH!$P$12=1,$A2734=TODAY()),IF(AND(AH!$P$10=1,AH!$P$12=1,$A2734=TODAY()),TODAY(),NA()),IF(AH!$P$10=1,INDEX('Live History'!$D$5:$D$3004,MATCH($A2734,'Live History'!$D$5:$D$3004,1)),INDEX('AH History'!$E$1:$E$18046,AH!$P$7+2729))),NA()),NA())</ns0:f>
        <ns0:v/>
      </ns0:c>
      <ns0:c r="G2734">
        <ns0:f>IFERROR(IF(ISNUMBER($A2734),IF(AND(AH!$P$10=1,AH!$P$12=1,$A2734=TODAY()),IF(AND(AH!$P$10=1,AH!$P$12=1,$A2734=TODAY()),TODAY(),NA()),IF(AH!$P$10=1,INDEX('Live History'!$G$5:$G$3004,MATCH($A2734,'Live History'!$G$5:$G$3004,1)),INDEX('AH History'!$F$1:$F$18046,AH!$P$7+2729))),NA()),NA())</ns0:f>
        <ns0:v/>
      </ns0:c>
      <ns0:c r="H2734">
        <ns0:f>IFERROR(IF(AND(AH!$E$4="Bloomberg",AH!$P$10=1,ISNUMBER($A2734),$A2734&lt;=AH!$P$17),AH!$P$7-1+MATCH($A2734,INDEX('AH History'!$A$1:$A$18046,AH!$P$7):INDEX('AH History'!$A$1:$A$18046,AH!$P$7+AH!$P$8-1),0),0),0)</ns0:f>
        <ns0:v/>
      </ns0:c>
      <ns0:c r="I2734">
        <ns0:f>IF($H2734=0,0,IFERROR(IF(AND(ABS($C2734-INDEX('AH History'!$B$1:$B$18046,$H2734))&lt;=MAX(0.005,ABS(INDEX('AH History'!$B$1:$B$18046,$H2734))*0.00005),ABS($D2734-INDEX('AH History'!$C$1:$C$18046,$H2734))&lt;=MAX(0.005,ABS(INDEX('AH History'!$C$1:$C$18046,$H2734))*0.00005),ABS($E2734-INDEX('AH History'!$D$1:$D$18046,$H2734))&lt;=0.00005,$F2734=INDEX('AH History'!$E$1:$E$18046,$H2734),$G2734=INDEX('AH History'!$F$1:$F$18046,$H2734)),1,-1),-1))</ns0:f>
        <ns0:v/>
      </ns0:c>
    </ns0:row>
    <ns0:row r="2735">
      <ns0:c r="A2735" s="215">
        <ns0:f>IF(OR(AH!$P$3=0,2730+1&gt;AH!$P$11,AND(AH!$E$4&lt;&gt;"Stored",AH!$P$10&lt;&gt;1)),"",IFERROR(IF(AND(AH!$P$21=1,2730+1=AH!$P$11),TODAY(),IF(AH!$P$10=1,INDEX('Live History'!$A$5:$A$3004,AH!$P$13+2730),INDEX('AH History'!$A$1:$A$18046,AH!$P$7+2730))),""))</ns0:f>
        <ns0:v/>
      </ns0:c>
      <ns0:c r="B2735" s="219">
        <ns0:f>IFERROR(IF(AND(AH!$P$9&lt;&gt;1,$C2735&gt;0,$D2735&gt;0,$E2735&gt;0,$F2735&gt;0,$G2735&gt;0,$F2735&lt;=$A2735,$G2735&lt;=$A2735,$A2735-$F2735&lt;=10,$A2735-$G2735&lt;=5),$D2735*$E2735/$C2735-1,NA()),NA())</ns0:f>
        <ns0:v/>
      </ns0:c>
      <ns0:c r="C2735">
        <ns0:f>IFERROR(IF(ISNUMBER($A2735),IF(AND(AH!$P$10=1,AH!$P$12=1,$A2735=TODAY()),AH!$P$19,IF(AH!$P$10=1,INDEX('Live History'!$B$5:$B$3004,AH!$P$13+2730),INDEX('AH History'!$B$1:$B$18046,AH!$P$7+2730))),NA()),NA())</ns0:f>
        <ns0:v/>
      </ns0:c>
      <ns0:c r="D2735">
        <ns0:f>IFERROR(IF(ISNUMBER($A2735),IF(AND(AH!$P$10=1,AH!$P$12=1,$A2735=TODAY()),AH!$P$18,IF(AH!$P$10=1,INDEX('Live History'!$E$5:$E$3004,MATCH($A2735,'Live History'!$D$5:$D$3004,1)),INDEX('AH History'!$C$1:$C$18046,AH!$P$7+2730))),NA()),NA())</ns0:f>
        <ns0:v/>
      </ns0:c>
      <ns0:c r="E2735">
        <ns0:f>IFERROR(IF(ISNUMBER($A2735),IF(AND(AH!$P$10=1,AH!$P$12=1,$A2735=TODAY()),AH!$P$20,IF(AH!$P$10=1,INDEX('Live History'!$H$5:$H$3004,MATCH($A2735,'Live History'!$G$5:$G$3004,1)),INDEX('AH History'!$D$1:$D$18046,AH!$P$7+2730))),NA()),NA())</ns0:f>
        <ns0:v/>
      </ns0:c>
      <ns0:c r="F2735">
        <ns0:f>IFERROR(IF(ISNUMBER($A2735),IF(AND(AH!$P$10=1,AH!$P$12=1,$A2735=TODAY()),IF(AND(AH!$P$10=1,AH!$P$12=1,$A2735=TODAY()),TODAY(),NA()),IF(AH!$P$10=1,INDEX('Live History'!$D$5:$D$3004,MATCH($A2735,'Live History'!$D$5:$D$3004,1)),INDEX('AH History'!$E$1:$E$18046,AH!$P$7+2730))),NA()),NA())</ns0:f>
        <ns0:v/>
      </ns0:c>
      <ns0:c r="G2735">
        <ns0:f>IFERROR(IF(ISNUMBER($A2735),IF(AND(AH!$P$10=1,AH!$P$12=1,$A2735=TODAY()),IF(AND(AH!$P$10=1,AH!$P$12=1,$A2735=TODAY()),TODAY(),NA()),IF(AH!$P$10=1,INDEX('Live History'!$G$5:$G$3004,MATCH($A2735,'Live History'!$G$5:$G$3004,1)),INDEX('AH History'!$F$1:$F$18046,AH!$P$7+2730))),NA()),NA())</ns0:f>
        <ns0:v/>
      </ns0:c>
      <ns0:c r="H2735">
        <ns0:f>IFERROR(IF(AND(AH!$E$4="Bloomberg",AH!$P$10=1,ISNUMBER($A2735),$A2735&lt;=AH!$P$17),AH!$P$7-1+MATCH($A2735,INDEX('AH History'!$A$1:$A$18046,AH!$P$7):INDEX('AH History'!$A$1:$A$18046,AH!$P$7+AH!$P$8-1),0),0),0)</ns0:f>
        <ns0:v/>
      </ns0:c>
      <ns0:c r="I2735">
        <ns0:f>IF($H2735=0,0,IFERROR(IF(AND(ABS($C2735-INDEX('AH History'!$B$1:$B$18046,$H2735))&lt;=MAX(0.005,ABS(INDEX('AH History'!$B$1:$B$18046,$H2735))*0.00005),ABS($D2735-INDEX('AH History'!$C$1:$C$18046,$H2735))&lt;=MAX(0.005,ABS(INDEX('AH History'!$C$1:$C$18046,$H2735))*0.00005),ABS($E2735-INDEX('AH History'!$D$1:$D$18046,$H2735))&lt;=0.00005,$F2735=INDEX('AH History'!$E$1:$E$18046,$H2735),$G2735=INDEX('AH History'!$F$1:$F$18046,$H2735)),1,-1),-1))</ns0:f>
        <ns0:v/>
      </ns0:c>
    </ns0:row>
    <ns0:row r="2736">
      <ns0:c r="A2736" s="215">
        <ns0:f>IF(OR(AH!$P$3=0,2731+1&gt;AH!$P$11,AND(AH!$E$4&lt;&gt;"Stored",AH!$P$10&lt;&gt;1)),"",IFERROR(IF(AND(AH!$P$21=1,2731+1=AH!$P$11),TODAY(),IF(AH!$P$10=1,INDEX('Live History'!$A$5:$A$3004,AH!$P$13+2731),INDEX('AH History'!$A$1:$A$18046,AH!$P$7+2731))),""))</ns0:f>
        <ns0:v/>
      </ns0:c>
      <ns0:c r="B2736" s="219">
        <ns0:f>IFERROR(IF(AND(AH!$P$9&lt;&gt;1,$C2736&gt;0,$D2736&gt;0,$E2736&gt;0,$F2736&gt;0,$G2736&gt;0,$F2736&lt;=$A2736,$G2736&lt;=$A2736,$A2736-$F2736&lt;=10,$A2736-$G2736&lt;=5),$D2736*$E2736/$C2736-1,NA()),NA())</ns0:f>
        <ns0:v/>
      </ns0:c>
      <ns0:c r="C2736">
        <ns0:f>IFERROR(IF(ISNUMBER($A2736),IF(AND(AH!$P$10=1,AH!$P$12=1,$A2736=TODAY()),AH!$P$19,IF(AH!$P$10=1,INDEX('Live History'!$B$5:$B$3004,AH!$P$13+2731),INDEX('AH History'!$B$1:$B$18046,AH!$P$7+2731))),NA()),NA())</ns0:f>
        <ns0:v/>
      </ns0:c>
      <ns0:c r="D2736">
        <ns0:f>IFERROR(IF(ISNUMBER($A2736),IF(AND(AH!$P$10=1,AH!$P$12=1,$A2736=TODAY()),AH!$P$18,IF(AH!$P$10=1,INDEX('Live History'!$E$5:$E$3004,MATCH($A2736,'Live History'!$D$5:$D$3004,1)),INDEX('AH History'!$C$1:$C$18046,AH!$P$7+2731))),NA()),NA())</ns0:f>
        <ns0:v/>
      </ns0:c>
      <ns0:c r="E2736">
        <ns0:f>IFERROR(IF(ISNUMBER($A2736),IF(AND(AH!$P$10=1,AH!$P$12=1,$A2736=TODAY()),AH!$P$20,IF(AH!$P$10=1,INDEX('Live History'!$H$5:$H$3004,MATCH($A2736,'Live History'!$G$5:$G$3004,1)),INDEX('AH History'!$D$1:$D$18046,AH!$P$7+2731))),NA()),NA())</ns0:f>
        <ns0:v/>
      </ns0:c>
      <ns0:c r="F2736">
        <ns0:f>IFERROR(IF(ISNUMBER($A2736),IF(AND(AH!$P$10=1,AH!$P$12=1,$A2736=TODAY()),IF(AND(AH!$P$10=1,AH!$P$12=1,$A2736=TODAY()),TODAY(),NA()),IF(AH!$P$10=1,INDEX('Live History'!$D$5:$D$3004,MATCH($A2736,'Live History'!$D$5:$D$3004,1)),INDEX('AH History'!$E$1:$E$18046,AH!$P$7+2731))),NA()),NA())</ns0:f>
        <ns0:v/>
      </ns0:c>
      <ns0:c r="G2736">
        <ns0:f>IFERROR(IF(ISNUMBER($A2736),IF(AND(AH!$P$10=1,AH!$P$12=1,$A2736=TODAY()),IF(AND(AH!$P$10=1,AH!$P$12=1,$A2736=TODAY()),TODAY(),NA()),IF(AH!$P$10=1,INDEX('Live History'!$G$5:$G$3004,MATCH($A2736,'Live History'!$G$5:$G$3004,1)),INDEX('AH History'!$F$1:$F$18046,AH!$P$7+2731))),NA()),NA())</ns0:f>
        <ns0:v/>
      </ns0:c>
      <ns0:c r="H2736">
        <ns0:f>IFERROR(IF(AND(AH!$E$4="Bloomberg",AH!$P$10=1,ISNUMBER($A2736),$A2736&lt;=AH!$P$17),AH!$P$7-1+MATCH($A2736,INDEX('AH History'!$A$1:$A$18046,AH!$P$7):INDEX('AH History'!$A$1:$A$18046,AH!$P$7+AH!$P$8-1),0),0),0)</ns0:f>
        <ns0:v/>
      </ns0:c>
      <ns0:c r="I2736">
        <ns0:f>IF($H2736=0,0,IFERROR(IF(AND(ABS($C2736-INDEX('AH History'!$B$1:$B$18046,$H2736))&lt;=MAX(0.005,ABS(INDEX('AH History'!$B$1:$B$18046,$H2736))*0.00005),ABS($D2736-INDEX('AH History'!$C$1:$C$18046,$H2736))&lt;=MAX(0.005,ABS(INDEX('AH History'!$C$1:$C$18046,$H2736))*0.00005),ABS($E2736-INDEX('AH History'!$D$1:$D$18046,$H2736))&lt;=0.00005,$F2736=INDEX('AH History'!$E$1:$E$18046,$H2736),$G2736=INDEX('AH History'!$F$1:$F$18046,$H2736)),1,-1),-1))</ns0:f>
        <ns0:v/>
      </ns0:c>
    </ns0:row>
    <ns0:row r="2737">
      <ns0:c r="A2737" s="215">
        <ns0:f>IF(OR(AH!$P$3=0,2732+1&gt;AH!$P$11,AND(AH!$E$4&lt;&gt;"Stored",AH!$P$10&lt;&gt;1)),"",IFERROR(IF(AND(AH!$P$21=1,2732+1=AH!$P$11),TODAY(),IF(AH!$P$10=1,INDEX('Live History'!$A$5:$A$3004,AH!$P$13+2732),INDEX('AH History'!$A$1:$A$18046,AH!$P$7+2732))),""))</ns0:f>
        <ns0:v/>
      </ns0:c>
      <ns0:c r="B2737" s="219">
        <ns0:f>IFERROR(IF(AND(AH!$P$9&lt;&gt;1,$C2737&gt;0,$D2737&gt;0,$E2737&gt;0,$F2737&gt;0,$G2737&gt;0,$F2737&lt;=$A2737,$G2737&lt;=$A2737,$A2737-$F2737&lt;=10,$A2737-$G2737&lt;=5),$D2737*$E2737/$C2737-1,NA()),NA())</ns0:f>
        <ns0:v/>
      </ns0:c>
      <ns0:c r="C2737">
        <ns0:f>IFERROR(IF(ISNUMBER($A2737),IF(AND(AH!$P$10=1,AH!$P$12=1,$A2737=TODAY()),AH!$P$19,IF(AH!$P$10=1,INDEX('Live History'!$B$5:$B$3004,AH!$P$13+2732),INDEX('AH History'!$B$1:$B$18046,AH!$P$7+2732))),NA()),NA())</ns0:f>
        <ns0:v/>
      </ns0:c>
      <ns0:c r="D2737">
        <ns0:f>IFERROR(IF(ISNUMBER($A2737),IF(AND(AH!$P$10=1,AH!$P$12=1,$A2737=TODAY()),AH!$P$18,IF(AH!$P$10=1,INDEX('Live History'!$E$5:$E$3004,MATCH($A2737,'Live History'!$D$5:$D$3004,1)),INDEX('AH History'!$C$1:$C$18046,AH!$P$7+2732))),NA()),NA())</ns0:f>
        <ns0:v/>
      </ns0:c>
      <ns0:c r="E2737">
        <ns0:f>IFERROR(IF(ISNUMBER($A2737),IF(AND(AH!$P$10=1,AH!$P$12=1,$A2737=TODAY()),AH!$P$20,IF(AH!$P$10=1,INDEX('Live History'!$H$5:$H$3004,MATCH($A2737,'Live History'!$G$5:$G$3004,1)),INDEX('AH History'!$D$1:$D$18046,AH!$P$7+2732))),NA()),NA())</ns0:f>
        <ns0:v/>
      </ns0:c>
      <ns0:c r="F2737">
        <ns0:f>IFERROR(IF(ISNUMBER($A2737),IF(AND(AH!$P$10=1,AH!$P$12=1,$A2737=TODAY()),IF(AND(AH!$P$10=1,AH!$P$12=1,$A2737=TODAY()),TODAY(),NA()),IF(AH!$P$10=1,INDEX('Live History'!$D$5:$D$3004,MATCH($A2737,'Live History'!$D$5:$D$3004,1)),INDEX('AH History'!$E$1:$E$18046,AH!$P$7+2732))),NA()),NA())</ns0:f>
        <ns0:v/>
      </ns0:c>
      <ns0:c r="G2737">
        <ns0:f>IFERROR(IF(ISNUMBER($A2737),IF(AND(AH!$P$10=1,AH!$P$12=1,$A2737=TODAY()),IF(AND(AH!$P$10=1,AH!$P$12=1,$A2737=TODAY()),TODAY(),NA()),IF(AH!$P$10=1,INDEX('Live History'!$G$5:$G$3004,MATCH($A2737,'Live History'!$G$5:$G$3004,1)),INDEX('AH History'!$F$1:$F$18046,AH!$P$7+2732))),NA()),NA())</ns0:f>
        <ns0:v/>
      </ns0:c>
      <ns0:c r="H2737">
        <ns0:f>IFERROR(IF(AND(AH!$E$4="Bloomberg",AH!$P$10=1,ISNUMBER($A2737),$A2737&lt;=AH!$P$17),AH!$P$7-1+MATCH($A2737,INDEX('AH History'!$A$1:$A$18046,AH!$P$7):INDEX('AH History'!$A$1:$A$18046,AH!$P$7+AH!$P$8-1),0),0),0)</ns0:f>
        <ns0:v/>
      </ns0:c>
      <ns0:c r="I2737">
        <ns0:f>IF($H2737=0,0,IFERROR(IF(AND(ABS($C2737-INDEX('AH History'!$B$1:$B$18046,$H2737))&lt;=MAX(0.005,ABS(INDEX('AH History'!$B$1:$B$18046,$H2737))*0.00005),ABS($D2737-INDEX('AH History'!$C$1:$C$18046,$H2737))&lt;=MAX(0.005,ABS(INDEX('AH History'!$C$1:$C$18046,$H2737))*0.00005),ABS($E2737-INDEX('AH History'!$D$1:$D$18046,$H2737))&lt;=0.00005,$F2737=INDEX('AH History'!$E$1:$E$18046,$H2737),$G2737=INDEX('AH History'!$F$1:$F$18046,$H2737)),1,-1),-1))</ns0:f>
        <ns0:v/>
      </ns0:c>
    </ns0:row>
    <ns0:row r="2738">
      <ns0:c r="A2738" s="215">
        <ns0:f>IF(OR(AH!$P$3=0,2733+1&gt;AH!$P$11,AND(AH!$E$4&lt;&gt;"Stored",AH!$P$10&lt;&gt;1)),"",IFERROR(IF(AND(AH!$P$21=1,2733+1=AH!$P$11),TODAY(),IF(AH!$P$10=1,INDEX('Live History'!$A$5:$A$3004,AH!$P$13+2733),INDEX('AH History'!$A$1:$A$18046,AH!$P$7+2733))),""))</ns0:f>
        <ns0:v/>
      </ns0:c>
      <ns0:c r="B2738" s="219">
        <ns0:f>IFERROR(IF(AND(AH!$P$9&lt;&gt;1,$C2738&gt;0,$D2738&gt;0,$E2738&gt;0,$F2738&gt;0,$G2738&gt;0,$F2738&lt;=$A2738,$G2738&lt;=$A2738,$A2738-$F2738&lt;=10,$A2738-$G2738&lt;=5),$D2738*$E2738/$C2738-1,NA()),NA())</ns0:f>
        <ns0:v/>
      </ns0:c>
      <ns0:c r="C2738">
        <ns0:f>IFERROR(IF(ISNUMBER($A2738),IF(AND(AH!$P$10=1,AH!$P$12=1,$A2738=TODAY()),AH!$P$19,IF(AH!$P$10=1,INDEX('Live History'!$B$5:$B$3004,AH!$P$13+2733),INDEX('AH History'!$B$1:$B$18046,AH!$P$7+2733))),NA()),NA())</ns0:f>
        <ns0:v/>
      </ns0:c>
      <ns0:c r="D2738">
        <ns0:f>IFERROR(IF(ISNUMBER($A2738),IF(AND(AH!$P$10=1,AH!$P$12=1,$A2738=TODAY()),AH!$P$18,IF(AH!$P$10=1,INDEX('Live History'!$E$5:$E$3004,MATCH($A2738,'Live History'!$D$5:$D$3004,1)),INDEX('AH History'!$C$1:$C$18046,AH!$P$7+2733))),NA()),NA())</ns0:f>
        <ns0:v/>
      </ns0:c>
      <ns0:c r="E2738">
        <ns0:f>IFERROR(IF(ISNUMBER($A2738),IF(AND(AH!$P$10=1,AH!$P$12=1,$A2738=TODAY()),AH!$P$20,IF(AH!$P$10=1,INDEX('Live History'!$H$5:$H$3004,MATCH($A2738,'Live History'!$G$5:$G$3004,1)),INDEX('AH History'!$D$1:$D$18046,AH!$P$7+2733))),NA()),NA())</ns0:f>
        <ns0:v/>
      </ns0:c>
      <ns0:c r="F2738">
        <ns0:f>IFERROR(IF(ISNUMBER($A2738),IF(AND(AH!$P$10=1,AH!$P$12=1,$A2738=TODAY()),IF(AND(AH!$P$10=1,AH!$P$12=1,$A2738=TODAY()),TODAY(),NA()),IF(AH!$P$10=1,INDEX('Live History'!$D$5:$D$3004,MATCH($A2738,'Live History'!$D$5:$D$3004,1)),INDEX('AH History'!$E$1:$E$18046,AH!$P$7+2733))),NA()),NA())</ns0:f>
        <ns0:v/>
      </ns0:c>
      <ns0:c r="G2738">
        <ns0:f>IFERROR(IF(ISNUMBER($A2738),IF(AND(AH!$P$10=1,AH!$P$12=1,$A2738=TODAY()),IF(AND(AH!$P$10=1,AH!$P$12=1,$A2738=TODAY()),TODAY(),NA()),IF(AH!$P$10=1,INDEX('Live History'!$G$5:$G$3004,MATCH($A2738,'Live History'!$G$5:$G$3004,1)),INDEX('AH History'!$F$1:$F$18046,AH!$P$7+2733))),NA()),NA())</ns0:f>
        <ns0:v/>
      </ns0:c>
      <ns0:c r="H2738">
        <ns0:f>IFERROR(IF(AND(AH!$E$4="Bloomberg",AH!$P$10=1,ISNUMBER($A2738),$A2738&lt;=AH!$P$17),AH!$P$7-1+MATCH($A2738,INDEX('AH History'!$A$1:$A$18046,AH!$P$7):INDEX('AH History'!$A$1:$A$18046,AH!$P$7+AH!$P$8-1),0),0),0)</ns0:f>
        <ns0:v/>
      </ns0:c>
      <ns0:c r="I2738">
        <ns0:f>IF($H2738=0,0,IFERROR(IF(AND(ABS($C2738-INDEX('AH History'!$B$1:$B$18046,$H2738))&lt;=MAX(0.005,ABS(INDEX('AH History'!$B$1:$B$18046,$H2738))*0.00005),ABS($D2738-INDEX('AH History'!$C$1:$C$18046,$H2738))&lt;=MAX(0.005,ABS(INDEX('AH History'!$C$1:$C$18046,$H2738))*0.00005),ABS($E2738-INDEX('AH History'!$D$1:$D$18046,$H2738))&lt;=0.00005,$F2738=INDEX('AH History'!$E$1:$E$18046,$H2738),$G2738=INDEX('AH History'!$F$1:$F$18046,$H2738)),1,-1),-1))</ns0:f>
        <ns0:v/>
      </ns0:c>
    </ns0:row>
    <ns0:row r="2739">
      <ns0:c r="A2739" s="215">
        <ns0:f>IF(OR(AH!$P$3=0,2734+1&gt;AH!$P$11,AND(AH!$E$4&lt;&gt;"Stored",AH!$P$10&lt;&gt;1)),"",IFERROR(IF(AND(AH!$P$21=1,2734+1=AH!$P$11),TODAY(),IF(AH!$P$10=1,INDEX('Live History'!$A$5:$A$3004,AH!$P$13+2734),INDEX('AH History'!$A$1:$A$18046,AH!$P$7+2734))),""))</ns0:f>
        <ns0:v/>
      </ns0:c>
      <ns0:c r="B2739" s="219">
        <ns0:f>IFERROR(IF(AND(AH!$P$9&lt;&gt;1,$C2739&gt;0,$D2739&gt;0,$E2739&gt;0,$F2739&gt;0,$G2739&gt;0,$F2739&lt;=$A2739,$G2739&lt;=$A2739,$A2739-$F2739&lt;=10,$A2739-$G2739&lt;=5),$D2739*$E2739/$C2739-1,NA()),NA())</ns0:f>
        <ns0:v/>
      </ns0:c>
      <ns0:c r="C2739">
        <ns0:f>IFERROR(IF(ISNUMBER($A2739),IF(AND(AH!$P$10=1,AH!$P$12=1,$A2739=TODAY()),AH!$P$19,IF(AH!$P$10=1,INDEX('Live History'!$B$5:$B$3004,AH!$P$13+2734),INDEX('AH History'!$B$1:$B$18046,AH!$P$7+2734))),NA()),NA())</ns0:f>
        <ns0:v/>
      </ns0:c>
      <ns0:c r="D2739">
        <ns0:f>IFERROR(IF(ISNUMBER($A2739),IF(AND(AH!$P$10=1,AH!$P$12=1,$A2739=TODAY()),AH!$P$18,IF(AH!$P$10=1,INDEX('Live History'!$E$5:$E$3004,MATCH($A2739,'Live History'!$D$5:$D$3004,1)),INDEX('AH History'!$C$1:$C$18046,AH!$P$7+2734))),NA()),NA())</ns0:f>
        <ns0:v/>
      </ns0:c>
      <ns0:c r="E2739">
        <ns0:f>IFERROR(IF(ISNUMBER($A2739),IF(AND(AH!$P$10=1,AH!$P$12=1,$A2739=TODAY()),AH!$P$20,IF(AH!$P$10=1,INDEX('Live History'!$H$5:$H$3004,MATCH($A2739,'Live History'!$G$5:$G$3004,1)),INDEX('AH History'!$D$1:$D$18046,AH!$P$7+2734))),NA()),NA())</ns0:f>
        <ns0:v/>
      </ns0:c>
      <ns0:c r="F2739">
        <ns0:f>IFERROR(IF(ISNUMBER($A2739),IF(AND(AH!$P$10=1,AH!$P$12=1,$A2739=TODAY()),IF(AND(AH!$P$10=1,AH!$P$12=1,$A2739=TODAY()),TODAY(),NA()),IF(AH!$P$10=1,INDEX('Live History'!$D$5:$D$3004,MATCH($A2739,'Live History'!$D$5:$D$3004,1)),INDEX('AH History'!$E$1:$E$18046,AH!$P$7+2734))),NA()),NA())</ns0:f>
        <ns0:v/>
      </ns0:c>
      <ns0:c r="G2739">
        <ns0:f>IFERROR(IF(ISNUMBER($A2739),IF(AND(AH!$P$10=1,AH!$P$12=1,$A2739=TODAY()),IF(AND(AH!$P$10=1,AH!$P$12=1,$A2739=TODAY()),TODAY(),NA()),IF(AH!$P$10=1,INDEX('Live History'!$G$5:$G$3004,MATCH($A2739,'Live History'!$G$5:$G$3004,1)),INDEX('AH History'!$F$1:$F$18046,AH!$P$7+2734))),NA()),NA())</ns0:f>
        <ns0:v/>
      </ns0:c>
      <ns0:c r="H2739">
        <ns0:f>IFERROR(IF(AND(AH!$E$4="Bloomberg",AH!$P$10=1,ISNUMBER($A2739),$A2739&lt;=AH!$P$17),AH!$P$7-1+MATCH($A2739,INDEX('AH History'!$A$1:$A$18046,AH!$P$7):INDEX('AH History'!$A$1:$A$18046,AH!$P$7+AH!$P$8-1),0),0),0)</ns0:f>
        <ns0:v/>
      </ns0:c>
      <ns0:c r="I2739">
        <ns0:f>IF($H2739=0,0,IFERROR(IF(AND(ABS($C2739-INDEX('AH History'!$B$1:$B$18046,$H2739))&lt;=MAX(0.005,ABS(INDEX('AH History'!$B$1:$B$18046,$H2739))*0.00005),ABS($D2739-INDEX('AH History'!$C$1:$C$18046,$H2739))&lt;=MAX(0.005,ABS(INDEX('AH History'!$C$1:$C$18046,$H2739))*0.00005),ABS($E2739-INDEX('AH History'!$D$1:$D$18046,$H2739))&lt;=0.00005,$F2739=INDEX('AH History'!$E$1:$E$18046,$H2739),$G2739=INDEX('AH History'!$F$1:$F$18046,$H2739)),1,-1),-1))</ns0:f>
        <ns0:v/>
      </ns0:c>
    </ns0:row>
    <ns0:row r="2740">
      <ns0:c r="A2740" s="215">
        <ns0:f>IF(OR(AH!$P$3=0,2735+1&gt;AH!$P$11,AND(AH!$E$4&lt;&gt;"Stored",AH!$P$10&lt;&gt;1)),"",IFERROR(IF(AND(AH!$P$21=1,2735+1=AH!$P$11),TODAY(),IF(AH!$P$10=1,INDEX('Live History'!$A$5:$A$3004,AH!$P$13+2735),INDEX('AH History'!$A$1:$A$18046,AH!$P$7+2735))),""))</ns0:f>
        <ns0:v/>
      </ns0:c>
      <ns0:c r="B2740" s="219">
        <ns0:f>IFERROR(IF(AND(AH!$P$9&lt;&gt;1,$C2740&gt;0,$D2740&gt;0,$E2740&gt;0,$F2740&gt;0,$G2740&gt;0,$F2740&lt;=$A2740,$G2740&lt;=$A2740,$A2740-$F2740&lt;=10,$A2740-$G2740&lt;=5),$D2740*$E2740/$C2740-1,NA()),NA())</ns0:f>
        <ns0:v/>
      </ns0:c>
      <ns0:c r="C2740">
        <ns0:f>IFERROR(IF(ISNUMBER($A2740),IF(AND(AH!$P$10=1,AH!$P$12=1,$A2740=TODAY()),AH!$P$19,IF(AH!$P$10=1,INDEX('Live History'!$B$5:$B$3004,AH!$P$13+2735),INDEX('AH History'!$B$1:$B$18046,AH!$P$7+2735))),NA()),NA())</ns0:f>
        <ns0:v/>
      </ns0:c>
      <ns0:c r="D2740">
        <ns0:f>IFERROR(IF(ISNUMBER($A2740),IF(AND(AH!$P$10=1,AH!$P$12=1,$A2740=TODAY()),AH!$P$18,IF(AH!$P$10=1,INDEX('Live History'!$E$5:$E$3004,MATCH($A2740,'Live History'!$D$5:$D$3004,1)),INDEX('AH History'!$C$1:$C$18046,AH!$P$7+2735))),NA()),NA())</ns0:f>
        <ns0:v/>
      </ns0:c>
      <ns0:c r="E2740">
        <ns0:f>IFERROR(IF(ISNUMBER($A2740),IF(AND(AH!$P$10=1,AH!$P$12=1,$A2740=TODAY()),AH!$P$20,IF(AH!$P$10=1,INDEX('Live History'!$H$5:$H$3004,MATCH($A2740,'Live History'!$G$5:$G$3004,1)),INDEX('AH History'!$D$1:$D$18046,AH!$P$7+2735))),NA()),NA())</ns0:f>
        <ns0:v/>
      </ns0:c>
      <ns0:c r="F2740">
        <ns0:f>IFERROR(IF(ISNUMBER($A2740),IF(AND(AH!$P$10=1,AH!$P$12=1,$A2740=TODAY()),IF(AND(AH!$P$10=1,AH!$P$12=1,$A2740=TODAY()),TODAY(),NA()),IF(AH!$P$10=1,INDEX('Live History'!$D$5:$D$3004,MATCH($A2740,'Live History'!$D$5:$D$3004,1)),INDEX('AH History'!$E$1:$E$18046,AH!$P$7+2735))),NA()),NA())</ns0:f>
        <ns0:v/>
      </ns0:c>
      <ns0:c r="G2740">
        <ns0:f>IFERROR(IF(ISNUMBER($A2740),IF(AND(AH!$P$10=1,AH!$P$12=1,$A2740=TODAY()),IF(AND(AH!$P$10=1,AH!$P$12=1,$A2740=TODAY()),TODAY(),NA()),IF(AH!$P$10=1,INDEX('Live History'!$G$5:$G$3004,MATCH($A2740,'Live History'!$G$5:$G$3004,1)),INDEX('AH History'!$F$1:$F$18046,AH!$P$7+2735))),NA()),NA())</ns0:f>
        <ns0:v/>
      </ns0:c>
      <ns0:c r="H2740">
        <ns0:f>IFERROR(IF(AND(AH!$E$4="Bloomberg",AH!$P$10=1,ISNUMBER($A2740),$A2740&lt;=AH!$P$17),AH!$P$7-1+MATCH($A2740,INDEX('AH History'!$A$1:$A$18046,AH!$P$7):INDEX('AH History'!$A$1:$A$18046,AH!$P$7+AH!$P$8-1),0),0),0)</ns0:f>
        <ns0:v/>
      </ns0:c>
      <ns0:c r="I2740">
        <ns0:f>IF($H2740=0,0,IFERROR(IF(AND(ABS($C2740-INDEX('AH History'!$B$1:$B$18046,$H2740))&lt;=MAX(0.005,ABS(INDEX('AH History'!$B$1:$B$18046,$H2740))*0.00005),ABS($D2740-INDEX('AH History'!$C$1:$C$18046,$H2740))&lt;=MAX(0.005,ABS(INDEX('AH History'!$C$1:$C$18046,$H2740))*0.00005),ABS($E2740-INDEX('AH History'!$D$1:$D$18046,$H2740))&lt;=0.00005,$F2740=INDEX('AH History'!$E$1:$E$18046,$H2740),$G2740=INDEX('AH History'!$F$1:$F$18046,$H2740)),1,-1),-1))</ns0:f>
        <ns0:v/>
      </ns0:c>
    </ns0:row>
    <ns0:row r="2741">
      <ns0:c r="A2741" s="215">
        <ns0:f>IF(OR(AH!$P$3=0,2736+1&gt;AH!$P$11,AND(AH!$E$4&lt;&gt;"Stored",AH!$P$10&lt;&gt;1)),"",IFERROR(IF(AND(AH!$P$21=1,2736+1=AH!$P$11),TODAY(),IF(AH!$P$10=1,INDEX('Live History'!$A$5:$A$3004,AH!$P$13+2736),INDEX('AH History'!$A$1:$A$18046,AH!$P$7+2736))),""))</ns0:f>
        <ns0:v/>
      </ns0:c>
      <ns0:c r="B2741" s="219">
        <ns0:f>IFERROR(IF(AND(AH!$P$9&lt;&gt;1,$C2741&gt;0,$D2741&gt;0,$E2741&gt;0,$F2741&gt;0,$G2741&gt;0,$F2741&lt;=$A2741,$G2741&lt;=$A2741,$A2741-$F2741&lt;=10,$A2741-$G2741&lt;=5),$D2741*$E2741/$C2741-1,NA()),NA())</ns0:f>
        <ns0:v/>
      </ns0:c>
      <ns0:c r="C2741">
        <ns0:f>IFERROR(IF(ISNUMBER($A2741),IF(AND(AH!$P$10=1,AH!$P$12=1,$A2741=TODAY()),AH!$P$19,IF(AH!$P$10=1,INDEX('Live History'!$B$5:$B$3004,AH!$P$13+2736),INDEX('AH History'!$B$1:$B$18046,AH!$P$7+2736))),NA()),NA())</ns0:f>
        <ns0:v/>
      </ns0:c>
      <ns0:c r="D2741">
        <ns0:f>IFERROR(IF(ISNUMBER($A2741),IF(AND(AH!$P$10=1,AH!$P$12=1,$A2741=TODAY()),AH!$P$18,IF(AH!$P$10=1,INDEX('Live History'!$E$5:$E$3004,MATCH($A2741,'Live History'!$D$5:$D$3004,1)),INDEX('AH History'!$C$1:$C$18046,AH!$P$7+2736))),NA()),NA())</ns0:f>
        <ns0:v/>
      </ns0:c>
      <ns0:c r="E2741">
        <ns0:f>IFERROR(IF(ISNUMBER($A2741),IF(AND(AH!$P$10=1,AH!$P$12=1,$A2741=TODAY()),AH!$P$20,IF(AH!$P$10=1,INDEX('Live History'!$H$5:$H$3004,MATCH($A2741,'Live History'!$G$5:$G$3004,1)),INDEX('AH History'!$D$1:$D$18046,AH!$P$7+2736))),NA()),NA())</ns0:f>
        <ns0:v/>
      </ns0:c>
      <ns0:c r="F2741">
        <ns0:f>IFERROR(IF(ISNUMBER($A2741),IF(AND(AH!$P$10=1,AH!$P$12=1,$A2741=TODAY()),IF(AND(AH!$P$10=1,AH!$P$12=1,$A2741=TODAY()),TODAY(),NA()),IF(AH!$P$10=1,INDEX('Live History'!$D$5:$D$3004,MATCH($A2741,'Live History'!$D$5:$D$3004,1)),INDEX('AH History'!$E$1:$E$18046,AH!$P$7+2736))),NA()),NA())</ns0:f>
        <ns0:v/>
      </ns0:c>
      <ns0:c r="G2741">
        <ns0:f>IFERROR(IF(ISNUMBER($A2741),IF(AND(AH!$P$10=1,AH!$P$12=1,$A2741=TODAY()),IF(AND(AH!$P$10=1,AH!$P$12=1,$A2741=TODAY()),TODAY(),NA()),IF(AH!$P$10=1,INDEX('Live History'!$G$5:$G$3004,MATCH($A2741,'Live History'!$G$5:$G$3004,1)),INDEX('AH History'!$F$1:$F$18046,AH!$P$7+2736))),NA()),NA())</ns0:f>
        <ns0:v/>
      </ns0:c>
      <ns0:c r="H2741">
        <ns0:f>IFERROR(IF(AND(AH!$E$4="Bloomberg",AH!$P$10=1,ISNUMBER($A2741),$A2741&lt;=AH!$P$17),AH!$P$7-1+MATCH($A2741,INDEX('AH History'!$A$1:$A$18046,AH!$P$7):INDEX('AH History'!$A$1:$A$18046,AH!$P$7+AH!$P$8-1),0),0),0)</ns0:f>
        <ns0:v/>
      </ns0:c>
      <ns0:c r="I2741">
        <ns0:f>IF($H2741=0,0,IFERROR(IF(AND(ABS($C2741-INDEX('AH History'!$B$1:$B$18046,$H2741))&lt;=MAX(0.005,ABS(INDEX('AH History'!$B$1:$B$18046,$H2741))*0.00005),ABS($D2741-INDEX('AH History'!$C$1:$C$18046,$H2741))&lt;=MAX(0.005,ABS(INDEX('AH History'!$C$1:$C$18046,$H2741))*0.00005),ABS($E2741-INDEX('AH History'!$D$1:$D$18046,$H2741))&lt;=0.00005,$F2741=INDEX('AH History'!$E$1:$E$18046,$H2741),$G2741=INDEX('AH History'!$F$1:$F$18046,$H2741)),1,-1),-1))</ns0:f>
        <ns0:v/>
      </ns0:c>
    </ns0:row>
    <ns0:row r="2742">
      <ns0:c r="A2742" s="215">
        <ns0:f>IF(OR(AH!$P$3=0,2737+1&gt;AH!$P$11,AND(AH!$E$4&lt;&gt;"Stored",AH!$P$10&lt;&gt;1)),"",IFERROR(IF(AND(AH!$P$21=1,2737+1=AH!$P$11),TODAY(),IF(AH!$P$10=1,INDEX('Live History'!$A$5:$A$3004,AH!$P$13+2737),INDEX('AH History'!$A$1:$A$18046,AH!$P$7+2737))),""))</ns0:f>
        <ns0:v/>
      </ns0:c>
      <ns0:c r="B2742" s="219">
        <ns0:f>IFERROR(IF(AND(AH!$P$9&lt;&gt;1,$C2742&gt;0,$D2742&gt;0,$E2742&gt;0,$F2742&gt;0,$G2742&gt;0,$F2742&lt;=$A2742,$G2742&lt;=$A2742,$A2742-$F2742&lt;=10,$A2742-$G2742&lt;=5),$D2742*$E2742/$C2742-1,NA()),NA())</ns0:f>
        <ns0:v/>
      </ns0:c>
      <ns0:c r="C2742">
        <ns0:f>IFERROR(IF(ISNUMBER($A2742),IF(AND(AH!$P$10=1,AH!$P$12=1,$A2742=TODAY()),AH!$P$19,IF(AH!$P$10=1,INDEX('Live History'!$B$5:$B$3004,AH!$P$13+2737),INDEX('AH History'!$B$1:$B$18046,AH!$P$7+2737))),NA()),NA())</ns0:f>
        <ns0:v/>
      </ns0:c>
      <ns0:c r="D2742">
        <ns0:f>IFERROR(IF(ISNUMBER($A2742),IF(AND(AH!$P$10=1,AH!$P$12=1,$A2742=TODAY()),AH!$P$18,IF(AH!$P$10=1,INDEX('Live History'!$E$5:$E$3004,MATCH($A2742,'Live History'!$D$5:$D$3004,1)),INDEX('AH History'!$C$1:$C$18046,AH!$P$7+2737))),NA()),NA())</ns0:f>
        <ns0:v/>
      </ns0:c>
      <ns0:c r="E2742">
        <ns0:f>IFERROR(IF(ISNUMBER($A2742),IF(AND(AH!$P$10=1,AH!$P$12=1,$A2742=TODAY()),AH!$P$20,IF(AH!$P$10=1,INDEX('Live History'!$H$5:$H$3004,MATCH($A2742,'Live History'!$G$5:$G$3004,1)),INDEX('AH History'!$D$1:$D$18046,AH!$P$7+2737))),NA()),NA())</ns0:f>
        <ns0:v/>
      </ns0:c>
      <ns0:c r="F2742">
        <ns0:f>IFERROR(IF(ISNUMBER($A2742),IF(AND(AH!$P$10=1,AH!$P$12=1,$A2742=TODAY()),IF(AND(AH!$P$10=1,AH!$P$12=1,$A2742=TODAY()),TODAY(),NA()),IF(AH!$P$10=1,INDEX('Live History'!$D$5:$D$3004,MATCH($A2742,'Live History'!$D$5:$D$3004,1)),INDEX('AH History'!$E$1:$E$18046,AH!$P$7+2737))),NA()),NA())</ns0:f>
        <ns0:v/>
      </ns0:c>
      <ns0:c r="G2742">
        <ns0:f>IFERROR(IF(ISNUMBER($A2742),IF(AND(AH!$P$10=1,AH!$P$12=1,$A2742=TODAY()),IF(AND(AH!$P$10=1,AH!$P$12=1,$A2742=TODAY()),TODAY(),NA()),IF(AH!$P$10=1,INDEX('Live History'!$G$5:$G$3004,MATCH($A2742,'Live History'!$G$5:$G$3004,1)),INDEX('AH History'!$F$1:$F$18046,AH!$P$7+2737))),NA()),NA())</ns0:f>
        <ns0:v/>
      </ns0:c>
      <ns0:c r="H2742">
        <ns0:f>IFERROR(IF(AND(AH!$E$4="Bloomberg",AH!$P$10=1,ISNUMBER($A2742),$A2742&lt;=AH!$P$17),AH!$P$7-1+MATCH($A2742,INDEX('AH History'!$A$1:$A$18046,AH!$P$7):INDEX('AH History'!$A$1:$A$18046,AH!$P$7+AH!$P$8-1),0),0),0)</ns0:f>
        <ns0:v/>
      </ns0:c>
      <ns0:c r="I2742">
        <ns0:f>IF($H2742=0,0,IFERROR(IF(AND(ABS($C2742-INDEX('AH History'!$B$1:$B$18046,$H2742))&lt;=MAX(0.005,ABS(INDEX('AH History'!$B$1:$B$18046,$H2742))*0.00005),ABS($D2742-INDEX('AH History'!$C$1:$C$18046,$H2742))&lt;=MAX(0.005,ABS(INDEX('AH History'!$C$1:$C$18046,$H2742))*0.00005),ABS($E2742-INDEX('AH History'!$D$1:$D$18046,$H2742))&lt;=0.00005,$F2742=INDEX('AH History'!$E$1:$E$18046,$H2742),$G2742=INDEX('AH History'!$F$1:$F$18046,$H2742)),1,-1),-1))</ns0:f>
        <ns0:v/>
      </ns0:c>
    </ns0:row>
    <ns0:row r="2743">
      <ns0:c r="A2743" s="215">
        <ns0:f>IF(OR(AH!$P$3=0,2738+1&gt;AH!$P$11,AND(AH!$E$4&lt;&gt;"Stored",AH!$P$10&lt;&gt;1)),"",IFERROR(IF(AND(AH!$P$21=1,2738+1=AH!$P$11),TODAY(),IF(AH!$P$10=1,INDEX('Live History'!$A$5:$A$3004,AH!$P$13+2738),INDEX('AH History'!$A$1:$A$18046,AH!$P$7+2738))),""))</ns0:f>
        <ns0:v/>
      </ns0:c>
      <ns0:c r="B2743" s="219">
        <ns0:f>IFERROR(IF(AND(AH!$P$9&lt;&gt;1,$C2743&gt;0,$D2743&gt;0,$E2743&gt;0,$F2743&gt;0,$G2743&gt;0,$F2743&lt;=$A2743,$G2743&lt;=$A2743,$A2743-$F2743&lt;=10,$A2743-$G2743&lt;=5),$D2743*$E2743/$C2743-1,NA()),NA())</ns0:f>
        <ns0:v/>
      </ns0:c>
      <ns0:c r="C2743">
        <ns0:f>IFERROR(IF(ISNUMBER($A2743),IF(AND(AH!$P$10=1,AH!$P$12=1,$A2743=TODAY()),AH!$P$19,IF(AH!$P$10=1,INDEX('Live History'!$B$5:$B$3004,AH!$P$13+2738),INDEX('AH History'!$B$1:$B$18046,AH!$P$7+2738))),NA()),NA())</ns0:f>
        <ns0:v/>
      </ns0:c>
      <ns0:c r="D2743">
        <ns0:f>IFERROR(IF(ISNUMBER($A2743),IF(AND(AH!$P$10=1,AH!$P$12=1,$A2743=TODAY()),AH!$P$18,IF(AH!$P$10=1,INDEX('Live History'!$E$5:$E$3004,MATCH($A2743,'Live History'!$D$5:$D$3004,1)),INDEX('AH History'!$C$1:$C$18046,AH!$P$7+2738))),NA()),NA())</ns0:f>
        <ns0:v/>
      </ns0:c>
      <ns0:c r="E2743">
        <ns0:f>IFERROR(IF(ISNUMBER($A2743),IF(AND(AH!$P$10=1,AH!$P$12=1,$A2743=TODAY()),AH!$P$20,IF(AH!$P$10=1,INDEX('Live History'!$H$5:$H$3004,MATCH($A2743,'Live History'!$G$5:$G$3004,1)),INDEX('AH History'!$D$1:$D$18046,AH!$P$7+2738))),NA()),NA())</ns0:f>
        <ns0:v/>
      </ns0:c>
      <ns0:c r="F2743">
        <ns0:f>IFERROR(IF(ISNUMBER($A2743),IF(AND(AH!$P$10=1,AH!$P$12=1,$A2743=TODAY()),IF(AND(AH!$P$10=1,AH!$P$12=1,$A2743=TODAY()),TODAY(),NA()),IF(AH!$P$10=1,INDEX('Live History'!$D$5:$D$3004,MATCH($A2743,'Live History'!$D$5:$D$3004,1)),INDEX('AH History'!$E$1:$E$18046,AH!$P$7+2738))),NA()),NA())</ns0:f>
        <ns0:v/>
      </ns0:c>
      <ns0:c r="G2743">
        <ns0:f>IFERROR(IF(ISNUMBER($A2743),IF(AND(AH!$P$10=1,AH!$P$12=1,$A2743=TODAY()),IF(AND(AH!$P$10=1,AH!$P$12=1,$A2743=TODAY()),TODAY(),NA()),IF(AH!$P$10=1,INDEX('Live History'!$G$5:$G$3004,MATCH($A2743,'Live History'!$G$5:$G$3004,1)),INDEX('AH History'!$F$1:$F$18046,AH!$P$7+2738))),NA()),NA())</ns0:f>
        <ns0:v/>
      </ns0:c>
      <ns0:c r="H2743">
        <ns0:f>IFERROR(IF(AND(AH!$E$4="Bloomberg",AH!$P$10=1,ISNUMBER($A2743),$A2743&lt;=AH!$P$17),AH!$P$7-1+MATCH($A2743,INDEX('AH History'!$A$1:$A$18046,AH!$P$7):INDEX('AH History'!$A$1:$A$18046,AH!$P$7+AH!$P$8-1),0),0),0)</ns0:f>
        <ns0:v/>
      </ns0:c>
      <ns0:c r="I2743">
        <ns0:f>IF($H2743=0,0,IFERROR(IF(AND(ABS($C2743-INDEX('AH History'!$B$1:$B$18046,$H2743))&lt;=MAX(0.005,ABS(INDEX('AH History'!$B$1:$B$18046,$H2743))*0.00005),ABS($D2743-INDEX('AH History'!$C$1:$C$18046,$H2743))&lt;=MAX(0.005,ABS(INDEX('AH History'!$C$1:$C$18046,$H2743))*0.00005),ABS($E2743-INDEX('AH History'!$D$1:$D$18046,$H2743))&lt;=0.00005,$F2743=INDEX('AH History'!$E$1:$E$18046,$H2743),$G2743=INDEX('AH History'!$F$1:$F$18046,$H2743)),1,-1),-1))</ns0:f>
        <ns0:v/>
      </ns0:c>
    </ns0:row>
    <ns0:row r="2744">
      <ns0:c r="A2744" s="215">
        <ns0:f>IF(OR(AH!$P$3=0,2739+1&gt;AH!$P$11,AND(AH!$E$4&lt;&gt;"Stored",AH!$P$10&lt;&gt;1)),"",IFERROR(IF(AND(AH!$P$21=1,2739+1=AH!$P$11),TODAY(),IF(AH!$P$10=1,INDEX('Live History'!$A$5:$A$3004,AH!$P$13+2739),INDEX('AH History'!$A$1:$A$18046,AH!$P$7+2739))),""))</ns0:f>
        <ns0:v/>
      </ns0:c>
      <ns0:c r="B2744" s="219">
        <ns0:f>IFERROR(IF(AND(AH!$P$9&lt;&gt;1,$C2744&gt;0,$D2744&gt;0,$E2744&gt;0,$F2744&gt;0,$G2744&gt;0,$F2744&lt;=$A2744,$G2744&lt;=$A2744,$A2744-$F2744&lt;=10,$A2744-$G2744&lt;=5),$D2744*$E2744/$C2744-1,NA()),NA())</ns0:f>
        <ns0:v/>
      </ns0:c>
      <ns0:c r="C2744">
        <ns0:f>IFERROR(IF(ISNUMBER($A2744),IF(AND(AH!$P$10=1,AH!$P$12=1,$A2744=TODAY()),AH!$P$19,IF(AH!$P$10=1,INDEX('Live History'!$B$5:$B$3004,AH!$P$13+2739),INDEX('AH History'!$B$1:$B$18046,AH!$P$7+2739))),NA()),NA())</ns0:f>
        <ns0:v/>
      </ns0:c>
      <ns0:c r="D2744">
        <ns0:f>IFERROR(IF(ISNUMBER($A2744),IF(AND(AH!$P$10=1,AH!$P$12=1,$A2744=TODAY()),AH!$P$18,IF(AH!$P$10=1,INDEX('Live History'!$E$5:$E$3004,MATCH($A2744,'Live History'!$D$5:$D$3004,1)),INDEX('AH History'!$C$1:$C$18046,AH!$P$7+2739))),NA()),NA())</ns0:f>
        <ns0:v/>
      </ns0:c>
      <ns0:c r="E2744">
        <ns0:f>IFERROR(IF(ISNUMBER($A2744),IF(AND(AH!$P$10=1,AH!$P$12=1,$A2744=TODAY()),AH!$P$20,IF(AH!$P$10=1,INDEX('Live History'!$H$5:$H$3004,MATCH($A2744,'Live History'!$G$5:$G$3004,1)),INDEX('AH History'!$D$1:$D$18046,AH!$P$7+2739))),NA()),NA())</ns0:f>
        <ns0:v/>
      </ns0:c>
      <ns0:c r="F2744">
        <ns0:f>IFERROR(IF(ISNUMBER($A2744),IF(AND(AH!$P$10=1,AH!$P$12=1,$A2744=TODAY()),IF(AND(AH!$P$10=1,AH!$P$12=1,$A2744=TODAY()),TODAY(),NA()),IF(AH!$P$10=1,INDEX('Live History'!$D$5:$D$3004,MATCH($A2744,'Live History'!$D$5:$D$3004,1)),INDEX('AH History'!$E$1:$E$18046,AH!$P$7+2739))),NA()),NA())</ns0:f>
        <ns0:v/>
      </ns0:c>
      <ns0:c r="G2744">
        <ns0:f>IFERROR(IF(ISNUMBER($A2744),IF(AND(AH!$P$10=1,AH!$P$12=1,$A2744=TODAY()),IF(AND(AH!$P$10=1,AH!$P$12=1,$A2744=TODAY()),TODAY(),NA()),IF(AH!$P$10=1,INDEX('Live History'!$G$5:$G$3004,MATCH($A2744,'Live History'!$G$5:$G$3004,1)),INDEX('AH History'!$F$1:$F$18046,AH!$P$7+2739))),NA()),NA())</ns0:f>
        <ns0:v/>
      </ns0:c>
      <ns0:c r="H2744">
        <ns0:f>IFERROR(IF(AND(AH!$E$4="Bloomberg",AH!$P$10=1,ISNUMBER($A2744),$A2744&lt;=AH!$P$17),AH!$P$7-1+MATCH($A2744,INDEX('AH History'!$A$1:$A$18046,AH!$P$7):INDEX('AH History'!$A$1:$A$18046,AH!$P$7+AH!$P$8-1),0),0),0)</ns0:f>
        <ns0:v/>
      </ns0:c>
      <ns0:c r="I2744">
        <ns0:f>IF($H2744=0,0,IFERROR(IF(AND(ABS($C2744-INDEX('AH History'!$B$1:$B$18046,$H2744))&lt;=MAX(0.005,ABS(INDEX('AH History'!$B$1:$B$18046,$H2744))*0.00005),ABS($D2744-INDEX('AH History'!$C$1:$C$18046,$H2744))&lt;=MAX(0.005,ABS(INDEX('AH History'!$C$1:$C$18046,$H2744))*0.00005),ABS($E2744-INDEX('AH History'!$D$1:$D$18046,$H2744))&lt;=0.00005,$F2744=INDEX('AH History'!$E$1:$E$18046,$H2744),$G2744=INDEX('AH History'!$F$1:$F$18046,$H2744)),1,-1),-1))</ns0:f>
        <ns0:v/>
      </ns0:c>
    </ns0:row>
    <ns0:row r="2745">
      <ns0:c r="A2745" s="215">
        <ns0:f>IF(OR(AH!$P$3=0,2740+1&gt;AH!$P$11,AND(AH!$E$4&lt;&gt;"Stored",AH!$P$10&lt;&gt;1)),"",IFERROR(IF(AND(AH!$P$21=1,2740+1=AH!$P$11),TODAY(),IF(AH!$P$10=1,INDEX('Live History'!$A$5:$A$3004,AH!$P$13+2740),INDEX('AH History'!$A$1:$A$18046,AH!$P$7+2740))),""))</ns0:f>
        <ns0:v/>
      </ns0:c>
      <ns0:c r="B2745" s="219">
        <ns0:f>IFERROR(IF(AND(AH!$P$9&lt;&gt;1,$C2745&gt;0,$D2745&gt;0,$E2745&gt;0,$F2745&gt;0,$G2745&gt;0,$F2745&lt;=$A2745,$G2745&lt;=$A2745,$A2745-$F2745&lt;=10,$A2745-$G2745&lt;=5),$D2745*$E2745/$C2745-1,NA()),NA())</ns0:f>
        <ns0:v/>
      </ns0:c>
      <ns0:c r="C2745">
        <ns0:f>IFERROR(IF(ISNUMBER($A2745),IF(AND(AH!$P$10=1,AH!$P$12=1,$A2745=TODAY()),AH!$P$19,IF(AH!$P$10=1,INDEX('Live History'!$B$5:$B$3004,AH!$P$13+2740),INDEX('AH History'!$B$1:$B$18046,AH!$P$7+2740))),NA()),NA())</ns0:f>
        <ns0:v/>
      </ns0:c>
      <ns0:c r="D2745">
        <ns0:f>IFERROR(IF(ISNUMBER($A2745),IF(AND(AH!$P$10=1,AH!$P$12=1,$A2745=TODAY()),AH!$P$18,IF(AH!$P$10=1,INDEX('Live History'!$E$5:$E$3004,MATCH($A2745,'Live History'!$D$5:$D$3004,1)),INDEX('AH History'!$C$1:$C$18046,AH!$P$7+2740))),NA()),NA())</ns0:f>
        <ns0:v/>
      </ns0:c>
      <ns0:c r="E2745">
        <ns0:f>IFERROR(IF(ISNUMBER($A2745),IF(AND(AH!$P$10=1,AH!$P$12=1,$A2745=TODAY()),AH!$P$20,IF(AH!$P$10=1,INDEX('Live History'!$H$5:$H$3004,MATCH($A2745,'Live History'!$G$5:$G$3004,1)),INDEX('AH History'!$D$1:$D$18046,AH!$P$7+2740))),NA()),NA())</ns0:f>
        <ns0:v/>
      </ns0:c>
      <ns0:c r="F2745">
        <ns0:f>IFERROR(IF(ISNUMBER($A2745),IF(AND(AH!$P$10=1,AH!$P$12=1,$A2745=TODAY()),IF(AND(AH!$P$10=1,AH!$P$12=1,$A2745=TODAY()),TODAY(),NA()),IF(AH!$P$10=1,INDEX('Live History'!$D$5:$D$3004,MATCH($A2745,'Live History'!$D$5:$D$3004,1)),INDEX('AH History'!$E$1:$E$18046,AH!$P$7+2740))),NA()),NA())</ns0:f>
        <ns0:v/>
      </ns0:c>
      <ns0:c r="G2745">
        <ns0:f>IFERROR(IF(ISNUMBER($A2745),IF(AND(AH!$P$10=1,AH!$P$12=1,$A2745=TODAY()),IF(AND(AH!$P$10=1,AH!$P$12=1,$A2745=TODAY()),TODAY(),NA()),IF(AH!$P$10=1,INDEX('Live History'!$G$5:$G$3004,MATCH($A2745,'Live History'!$G$5:$G$3004,1)),INDEX('AH History'!$F$1:$F$18046,AH!$P$7+2740))),NA()),NA())</ns0:f>
        <ns0:v/>
      </ns0:c>
      <ns0:c r="H2745">
        <ns0:f>IFERROR(IF(AND(AH!$E$4="Bloomberg",AH!$P$10=1,ISNUMBER($A2745),$A2745&lt;=AH!$P$17),AH!$P$7-1+MATCH($A2745,INDEX('AH History'!$A$1:$A$18046,AH!$P$7):INDEX('AH History'!$A$1:$A$18046,AH!$P$7+AH!$P$8-1),0),0),0)</ns0:f>
        <ns0:v/>
      </ns0:c>
      <ns0:c r="I2745">
        <ns0:f>IF($H2745=0,0,IFERROR(IF(AND(ABS($C2745-INDEX('AH History'!$B$1:$B$18046,$H2745))&lt;=MAX(0.005,ABS(INDEX('AH History'!$B$1:$B$18046,$H2745))*0.00005),ABS($D2745-INDEX('AH History'!$C$1:$C$18046,$H2745))&lt;=MAX(0.005,ABS(INDEX('AH History'!$C$1:$C$18046,$H2745))*0.00005),ABS($E2745-INDEX('AH History'!$D$1:$D$18046,$H2745))&lt;=0.00005,$F2745=INDEX('AH History'!$E$1:$E$18046,$H2745),$G2745=INDEX('AH History'!$F$1:$F$18046,$H2745)),1,-1),-1))</ns0:f>
        <ns0:v/>
      </ns0:c>
    </ns0:row>
    <ns0:row r="2746">
      <ns0:c r="A2746" s="215">
        <ns0:f>IF(OR(AH!$P$3=0,2741+1&gt;AH!$P$11,AND(AH!$E$4&lt;&gt;"Stored",AH!$P$10&lt;&gt;1)),"",IFERROR(IF(AND(AH!$P$21=1,2741+1=AH!$P$11),TODAY(),IF(AH!$P$10=1,INDEX('Live History'!$A$5:$A$3004,AH!$P$13+2741),INDEX('AH History'!$A$1:$A$18046,AH!$P$7+2741))),""))</ns0:f>
        <ns0:v/>
      </ns0:c>
      <ns0:c r="B2746" s="219">
        <ns0:f>IFERROR(IF(AND(AH!$P$9&lt;&gt;1,$C2746&gt;0,$D2746&gt;0,$E2746&gt;0,$F2746&gt;0,$G2746&gt;0,$F2746&lt;=$A2746,$G2746&lt;=$A2746,$A2746-$F2746&lt;=10,$A2746-$G2746&lt;=5),$D2746*$E2746/$C2746-1,NA()),NA())</ns0:f>
        <ns0:v/>
      </ns0:c>
      <ns0:c r="C2746">
        <ns0:f>IFERROR(IF(ISNUMBER($A2746),IF(AND(AH!$P$10=1,AH!$P$12=1,$A2746=TODAY()),AH!$P$19,IF(AH!$P$10=1,INDEX('Live History'!$B$5:$B$3004,AH!$P$13+2741),INDEX('AH History'!$B$1:$B$18046,AH!$P$7+2741))),NA()),NA())</ns0:f>
        <ns0:v/>
      </ns0:c>
      <ns0:c r="D2746">
        <ns0:f>IFERROR(IF(ISNUMBER($A2746),IF(AND(AH!$P$10=1,AH!$P$12=1,$A2746=TODAY()),AH!$P$18,IF(AH!$P$10=1,INDEX('Live History'!$E$5:$E$3004,MATCH($A2746,'Live History'!$D$5:$D$3004,1)),INDEX('AH History'!$C$1:$C$18046,AH!$P$7+2741))),NA()),NA())</ns0:f>
        <ns0:v/>
      </ns0:c>
      <ns0:c r="E2746">
        <ns0:f>IFERROR(IF(ISNUMBER($A2746),IF(AND(AH!$P$10=1,AH!$P$12=1,$A2746=TODAY()),AH!$P$20,IF(AH!$P$10=1,INDEX('Live History'!$H$5:$H$3004,MATCH($A2746,'Live History'!$G$5:$G$3004,1)),INDEX('AH History'!$D$1:$D$18046,AH!$P$7+2741))),NA()),NA())</ns0:f>
        <ns0:v/>
      </ns0:c>
      <ns0:c r="F2746">
        <ns0:f>IFERROR(IF(ISNUMBER($A2746),IF(AND(AH!$P$10=1,AH!$P$12=1,$A2746=TODAY()),IF(AND(AH!$P$10=1,AH!$P$12=1,$A2746=TODAY()),TODAY(),NA()),IF(AH!$P$10=1,INDEX('Live History'!$D$5:$D$3004,MATCH($A2746,'Live History'!$D$5:$D$3004,1)),INDEX('AH History'!$E$1:$E$18046,AH!$P$7+2741))),NA()),NA())</ns0:f>
        <ns0:v/>
      </ns0:c>
      <ns0:c r="G2746">
        <ns0:f>IFERROR(IF(ISNUMBER($A2746),IF(AND(AH!$P$10=1,AH!$P$12=1,$A2746=TODAY()),IF(AND(AH!$P$10=1,AH!$P$12=1,$A2746=TODAY()),TODAY(),NA()),IF(AH!$P$10=1,INDEX('Live History'!$G$5:$G$3004,MATCH($A2746,'Live History'!$G$5:$G$3004,1)),INDEX('AH History'!$F$1:$F$18046,AH!$P$7+2741))),NA()),NA())</ns0:f>
        <ns0:v/>
      </ns0:c>
      <ns0:c r="H2746">
        <ns0:f>IFERROR(IF(AND(AH!$E$4="Bloomberg",AH!$P$10=1,ISNUMBER($A2746),$A2746&lt;=AH!$P$17),AH!$P$7-1+MATCH($A2746,INDEX('AH History'!$A$1:$A$18046,AH!$P$7):INDEX('AH History'!$A$1:$A$18046,AH!$P$7+AH!$P$8-1),0),0),0)</ns0:f>
        <ns0:v/>
      </ns0:c>
      <ns0:c r="I2746">
        <ns0:f>IF($H2746=0,0,IFERROR(IF(AND(ABS($C2746-INDEX('AH History'!$B$1:$B$18046,$H2746))&lt;=MAX(0.005,ABS(INDEX('AH History'!$B$1:$B$18046,$H2746))*0.00005),ABS($D2746-INDEX('AH History'!$C$1:$C$18046,$H2746))&lt;=MAX(0.005,ABS(INDEX('AH History'!$C$1:$C$18046,$H2746))*0.00005),ABS($E2746-INDEX('AH History'!$D$1:$D$18046,$H2746))&lt;=0.00005,$F2746=INDEX('AH History'!$E$1:$E$18046,$H2746),$G2746=INDEX('AH History'!$F$1:$F$18046,$H2746)),1,-1),-1))</ns0:f>
        <ns0:v/>
      </ns0:c>
    </ns0:row>
    <ns0:row r="2747">
      <ns0:c r="A2747" s="215">
        <ns0:f>IF(OR(AH!$P$3=0,2742+1&gt;AH!$P$11,AND(AH!$E$4&lt;&gt;"Stored",AH!$P$10&lt;&gt;1)),"",IFERROR(IF(AND(AH!$P$21=1,2742+1=AH!$P$11),TODAY(),IF(AH!$P$10=1,INDEX('Live History'!$A$5:$A$3004,AH!$P$13+2742),INDEX('AH History'!$A$1:$A$18046,AH!$P$7+2742))),""))</ns0:f>
        <ns0:v/>
      </ns0:c>
      <ns0:c r="B2747" s="219">
        <ns0:f>IFERROR(IF(AND(AH!$P$9&lt;&gt;1,$C2747&gt;0,$D2747&gt;0,$E2747&gt;0,$F2747&gt;0,$G2747&gt;0,$F2747&lt;=$A2747,$G2747&lt;=$A2747,$A2747-$F2747&lt;=10,$A2747-$G2747&lt;=5),$D2747*$E2747/$C2747-1,NA()),NA())</ns0:f>
        <ns0:v/>
      </ns0:c>
      <ns0:c r="C2747">
        <ns0:f>IFERROR(IF(ISNUMBER($A2747),IF(AND(AH!$P$10=1,AH!$P$12=1,$A2747=TODAY()),AH!$P$19,IF(AH!$P$10=1,INDEX('Live History'!$B$5:$B$3004,AH!$P$13+2742),INDEX('AH History'!$B$1:$B$18046,AH!$P$7+2742))),NA()),NA())</ns0:f>
        <ns0:v/>
      </ns0:c>
      <ns0:c r="D2747">
        <ns0:f>IFERROR(IF(ISNUMBER($A2747),IF(AND(AH!$P$10=1,AH!$P$12=1,$A2747=TODAY()),AH!$P$18,IF(AH!$P$10=1,INDEX('Live History'!$E$5:$E$3004,MATCH($A2747,'Live History'!$D$5:$D$3004,1)),INDEX('AH History'!$C$1:$C$18046,AH!$P$7+2742))),NA()),NA())</ns0:f>
        <ns0:v/>
      </ns0:c>
      <ns0:c r="E2747">
        <ns0:f>IFERROR(IF(ISNUMBER($A2747),IF(AND(AH!$P$10=1,AH!$P$12=1,$A2747=TODAY()),AH!$P$20,IF(AH!$P$10=1,INDEX('Live History'!$H$5:$H$3004,MATCH($A2747,'Live History'!$G$5:$G$3004,1)),INDEX('AH History'!$D$1:$D$18046,AH!$P$7+2742))),NA()),NA())</ns0:f>
        <ns0:v/>
      </ns0:c>
      <ns0:c r="F2747">
        <ns0:f>IFERROR(IF(ISNUMBER($A2747),IF(AND(AH!$P$10=1,AH!$P$12=1,$A2747=TODAY()),IF(AND(AH!$P$10=1,AH!$P$12=1,$A2747=TODAY()),TODAY(),NA()),IF(AH!$P$10=1,INDEX('Live History'!$D$5:$D$3004,MATCH($A2747,'Live History'!$D$5:$D$3004,1)),INDEX('AH History'!$E$1:$E$18046,AH!$P$7+2742))),NA()),NA())</ns0:f>
        <ns0:v/>
      </ns0:c>
      <ns0:c r="G2747">
        <ns0:f>IFERROR(IF(ISNUMBER($A2747),IF(AND(AH!$P$10=1,AH!$P$12=1,$A2747=TODAY()),IF(AND(AH!$P$10=1,AH!$P$12=1,$A2747=TODAY()),TODAY(),NA()),IF(AH!$P$10=1,INDEX('Live History'!$G$5:$G$3004,MATCH($A2747,'Live History'!$G$5:$G$3004,1)),INDEX('AH History'!$F$1:$F$18046,AH!$P$7+2742))),NA()),NA())</ns0:f>
        <ns0:v/>
      </ns0:c>
      <ns0:c r="H2747">
        <ns0:f>IFERROR(IF(AND(AH!$E$4="Bloomberg",AH!$P$10=1,ISNUMBER($A2747),$A2747&lt;=AH!$P$17),AH!$P$7-1+MATCH($A2747,INDEX('AH History'!$A$1:$A$18046,AH!$P$7):INDEX('AH History'!$A$1:$A$18046,AH!$P$7+AH!$P$8-1),0),0),0)</ns0:f>
        <ns0:v/>
      </ns0:c>
      <ns0:c r="I2747">
        <ns0:f>IF($H2747=0,0,IFERROR(IF(AND(ABS($C2747-INDEX('AH History'!$B$1:$B$18046,$H2747))&lt;=MAX(0.005,ABS(INDEX('AH History'!$B$1:$B$18046,$H2747))*0.00005),ABS($D2747-INDEX('AH History'!$C$1:$C$18046,$H2747))&lt;=MAX(0.005,ABS(INDEX('AH History'!$C$1:$C$18046,$H2747))*0.00005),ABS($E2747-INDEX('AH History'!$D$1:$D$18046,$H2747))&lt;=0.00005,$F2747=INDEX('AH History'!$E$1:$E$18046,$H2747),$G2747=INDEX('AH History'!$F$1:$F$18046,$H2747)),1,-1),-1))</ns0:f>
        <ns0:v/>
      </ns0:c>
    </ns0:row>
    <ns0:row r="2748">
      <ns0:c r="A2748" s="215">
        <ns0:f>IF(OR(AH!$P$3=0,2743+1&gt;AH!$P$11,AND(AH!$E$4&lt;&gt;"Stored",AH!$P$10&lt;&gt;1)),"",IFERROR(IF(AND(AH!$P$21=1,2743+1=AH!$P$11),TODAY(),IF(AH!$P$10=1,INDEX('Live History'!$A$5:$A$3004,AH!$P$13+2743),INDEX('AH History'!$A$1:$A$18046,AH!$P$7+2743))),""))</ns0:f>
        <ns0:v/>
      </ns0:c>
      <ns0:c r="B2748" s="219">
        <ns0:f>IFERROR(IF(AND(AH!$P$9&lt;&gt;1,$C2748&gt;0,$D2748&gt;0,$E2748&gt;0,$F2748&gt;0,$G2748&gt;0,$F2748&lt;=$A2748,$G2748&lt;=$A2748,$A2748-$F2748&lt;=10,$A2748-$G2748&lt;=5),$D2748*$E2748/$C2748-1,NA()),NA())</ns0:f>
        <ns0:v/>
      </ns0:c>
      <ns0:c r="C2748">
        <ns0:f>IFERROR(IF(ISNUMBER($A2748),IF(AND(AH!$P$10=1,AH!$P$12=1,$A2748=TODAY()),AH!$P$19,IF(AH!$P$10=1,INDEX('Live History'!$B$5:$B$3004,AH!$P$13+2743),INDEX('AH History'!$B$1:$B$18046,AH!$P$7+2743))),NA()),NA())</ns0:f>
        <ns0:v/>
      </ns0:c>
      <ns0:c r="D2748">
        <ns0:f>IFERROR(IF(ISNUMBER($A2748),IF(AND(AH!$P$10=1,AH!$P$12=1,$A2748=TODAY()),AH!$P$18,IF(AH!$P$10=1,INDEX('Live History'!$E$5:$E$3004,MATCH($A2748,'Live History'!$D$5:$D$3004,1)),INDEX('AH History'!$C$1:$C$18046,AH!$P$7+2743))),NA()),NA())</ns0:f>
        <ns0:v/>
      </ns0:c>
      <ns0:c r="E2748">
        <ns0:f>IFERROR(IF(ISNUMBER($A2748),IF(AND(AH!$P$10=1,AH!$P$12=1,$A2748=TODAY()),AH!$P$20,IF(AH!$P$10=1,INDEX('Live History'!$H$5:$H$3004,MATCH($A2748,'Live History'!$G$5:$G$3004,1)),INDEX('AH History'!$D$1:$D$18046,AH!$P$7+2743))),NA()),NA())</ns0:f>
        <ns0:v/>
      </ns0:c>
      <ns0:c r="F2748">
        <ns0:f>IFERROR(IF(ISNUMBER($A2748),IF(AND(AH!$P$10=1,AH!$P$12=1,$A2748=TODAY()),IF(AND(AH!$P$10=1,AH!$P$12=1,$A2748=TODAY()),TODAY(),NA()),IF(AH!$P$10=1,INDEX('Live History'!$D$5:$D$3004,MATCH($A2748,'Live History'!$D$5:$D$3004,1)),INDEX('AH History'!$E$1:$E$18046,AH!$P$7+2743))),NA()),NA())</ns0:f>
        <ns0:v/>
      </ns0:c>
      <ns0:c r="G2748">
        <ns0:f>IFERROR(IF(ISNUMBER($A2748),IF(AND(AH!$P$10=1,AH!$P$12=1,$A2748=TODAY()),IF(AND(AH!$P$10=1,AH!$P$12=1,$A2748=TODAY()),TODAY(),NA()),IF(AH!$P$10=1,INDEX('Live History'!$G$5:$G$3004,MATCH($A2748,'Live History'!$G$5:$G$3004,1)),INDEX('AH History'!$F$1:$F$18046,AH!$P$7+2743))),NA()),NA())</ns0:f>
        <ns0:v/>
      </ns0:c>
      <ns0:c r="H2748">
        <ns0:f>IFERROR(IF(AND(AH!$E$4="Bloomberg",AH!$P$10=1,ISNUMBER($A2748),$A2748&lt;=AH!$P$17),AH!$P$7-1+MATCH($A2748,INDEX('AH History'!$A$1:$A$18046,AH!$P$7):INDEX('AH History'!$A$1:$A$18046,AH!$P$7+AH!$P$8-1),0),0),0)</ns0:f>
        <ns0:v/>
      </ns0:c>
      <ns0:c r="I2748">
        <ns0:f>IF($H2748=0,0,IFERROR(IF(AND(ABS($C2748-INDEX('AH History'!$B$1:$B$18046,$H2748))&lt;=MAX(0.005,ABS(INDEX('AH History'!$B$1:$B$18046,$H2748))*0.00005),ABS($D2748-INDEX('AH History'!$C$1:$C$18046,$H2748))&lt;=MAX(0.005,ABS(INDEX('AH History'!$C$1:$C$18046,$H2748))*0.00005),ABS($E2748-INDEX('AH History'!$D$1:$D$18046,$H2748))&lt;=0.00005,$F2748=INDEX('AH History'!$E$1:$E$18046,$H2748),$G2748=INDEX('AH History'!$F$1:$F$18046,$H2748)),1,-1),-1))</ns0:f>
        <ns0:v/>
      </ns0:c>
    </ns0:row>
    <ns0:row r="2749">
      <ns0:c r="A2749" s="215">
        <ns0:f>IF(OR(AH!$P$3=0,2744+1&gt;AH!$P$11,AND(AH!$E$4&lt;&gt;"Stored",AH!$P$10&lt;&gt;1)),"",IFERROR(IF(AND(AH!$P$21=1,2744+1=AH!$P$11),TODAY(),IF(AH!$P$10=1,INDEX('Live History'!$A$5:$A$3004,AH!$P$13+2744),INDEX('AH History'!$A$1:$A$18046,AH!$P$7+2744))),""))</ns0:f>
        <ns0:v/>
      </ns0:c>
      <ns0:c r="B2749" s="219">
        <ns0:f>IFERROR(IF(AND(AH!$P$9&lt;&gt;1,$C2749&gt;0,$D2749&gt;0,$E2749&gt;0,$F2749&gt;0,$G2749&gt;0,$F2749&lt;=$A2749,$G2749&lt;=$A2749,$A2749-$F2749&lt;=10,$A2749-$G2749&lt;=5),$D2749*$E2749/$C2749-1,NA()),NA())</ns0:f>
        <ns0:v/>
      </ns0:c>
      <ns0:c r="C2749">
        <ns0:f>IFERROR(IF(ISNUMBER($A2749),IF(AND(AH!$P$10=1,AH!$P$12=1,$A2749=TODAY()),AH!$P$19,IF(AH!$P$10=1,INDEX('Live History'!$B$5:$B$3004,AH!$P$13+2744),INDEX('AH History'!$B$1:$B$18046,AH!$P$7+2744))),NA()),NA())</ns0:f>
        <ns0:v/>
      </ns0:c>
      <ns0:c r="D2749">
        <ns0:f>IFERROR(IF(ISNUMBER($A2749),IF(AND(AH!$P$10=1,AH!$P$12=1,$A2749=TODAY()),AH!$P$18,IF(AH!$P$10=1,INDEX('Live History'!$E$5:$E$3004,MATCH($A2749,'Live History'!$D$5:$D$3004,1)),INDEX('AH History'!$C$1:$C$18046,AH!$P$7+2744))),NA()),NA())</ns0:f>
        <ns0:v/>
      </ns0:c>
      <ns0:c r="E2749">
        <ns0:f>IFERROR(IF(ISNUMBER($A2749),IF(AND(AH!$P$10=1,AH!$P$12=1,$A2749=TODAY()),AH!$P$20,IF(AH!$P$10=1,INDEX('Live History'!$H$5:$H$3004,MATCH($A2749,'Live History'!$G$5:$G$3004,1)),INDEX('AH History'!$D$1:$D$18046,AH!$P$7+2744))),NA()),NA())</ns0:f>
        <ns0:v/>
      </ns0:c>
      <ns0:c r="F2749">
        <ns0:f>IFERROR(IF(ISNUMBER($A2749),IF(AND(AH!$P$10=1,AH!$P$12=1,$A2749=TODAY()),IF(AND(AH!$P$10=1,AH!$P$12=1,$A2749=TODAY()),TODAY(),NA()),IF(AH!$P$10=1,INDEX('Live History'!$D$5:$D$3004,MATCH($A2749,'Live History'!$D$5:$D$3004,1)),INDEX('AH History'!$E$1:$E$18046,AH!$P$7+2744))),NA()),NA())</ns0:f>
        <ns0:v/>
      </ns0:c>
      <ns0:c r="G2749">
        <ns0:f>IFERROR(IF(ISNUMBER($A2749),IF(AND(AH!$P$10=1,AH!$P$12=1,$A2749=TODAY()),IF(AND(AH!$P$10=1,AH!$P$12=1,$A2749=TODAY()),TODAY(),NA()),IF(AH!$P$10=1,INDEX('Live History'!$G$5:$G$3004,MATCH($A2749,'Live History'!$G$5:$G$3004,1)),INDEX('AH History'!$F$1:$F$18046,AH!$P$7+2744))),NA()),NA())</ns0:f>
        <ns0:v/>
      </ns0:c>
      <ns0:c r="H2749">
        <ns0:f>IFERROR(IF(AND(AH!$E$4="Bloomberg",AH!$P$10=1,ISNUMBER($A2749),$A2749&lt;=AH!$P$17),AH!$P$7-1+MATCH($A2749,INDEX('AH History'!$A$1:$A$18046,AH!$P$7):INDEX('AH History'!$A$1:$A$18046,AH!$P$7+AH!$P$8-1),0),0),0)</ns0:f>
        <ns0:v/>
      </ns0:c>
      <ns0:c r="I2749">
        <ns0:f>IF($H2749=0,0,IFERROR(IF(AND(ABS($C2749-INDEX('AH History'!$B$1:$B$18046,$H2749))&lt;=MAX(0.005,ABS(INDEX('AH History'!$B$1:$B$18046,$H2749))*0.00005),ABS($D2749-INDEX('AH History'!$C$1:$C$18046,$H2749))&lt;=MAX(0.005,ABS(INDEX('AH History'!$C$1:$C$18046,$H2749))*0.00005),ABS($E2749-INDEX('AH History'!$D$1:$D$18046,$H2749))&lt;=0.00005,$F2749=INDEX('AH History'!$E$1:$E$18046,$H2749),$G2749=INDEX('AH History'!$F$1:$F$18046,$H2749)),1,-1),-1))</ns0:f>
        <ns0:v/>
      </ns0:c>
    </ns0:row>
    <ns0:row r="2750">
      <ns0:c r="A2750" s="215">
        <ns0:f>IF(OR(AH!$P$3=0,2745+1&gt;AH!$P$11,AND(AH!$E$4&lt;&gt;"Stored",AH!$P$10&lt;&gt;1)),"",IFERROR(IF(AND(AH!$P$21=1,2745+1=AH!$P$11),TODAY(),IF(AH!$P$10=1,INDEX('Live History'!$A$5:$A$3004,AH!$P$13+2745),INDEX('AH History'!$A$1:$A$18046,AH!$P$7+2745))),""))</ns0:f>
        <ns0:v/>
      </ns0:c>
      <ns0:c r="B2750" s="219">
        <ns0:f>IFERROR(IF(AND(AH!$P$9&lt;&gt;1,$C2750&gt;0,$D2750&gt;0,$E2750&gt;0,$F2750&gt;0,$G2750&gt;0,$F2750&lt;=$A2750,$G2750&lt;=$A2750,$A2750-$F2750&lt;=10,$A2750-$G2750&lt;=5),$D2750*$E2750/$C2750-1,NA()),NA())</ns0:f>
        <ns0:v/>
      </ns0:c>
      <ns0:c r="C2750">
        <ns0:f>IFERROR(IF(ISNUMBER($A2750),IF(AND(AH!$P$10=1,AH!$P$12=1,$A2750=TODAY()),AH!$P$19,IF(AH!$P$10=1,INDEX('Live History'!$B$5:$B$3004,AH!$P$13+2745),INDEX('AH History'!$B$1:$B$18046,AH!$P$7+2745))),NA()),NA())</ns0:f>
        <ns0:v/>
      </ns0:c>
      <ns0:c r="D2750">
        <ns0:f>IFERROR(IF(ISNUMBER($A2750),IF(AND(AH!$P$10=1,AH!$P$12=1,$A2750=TODAY()),AH!$P$18,IF(AH!$P$10=1,INDEX('Live History'!$E$5:$E$3004,MATCH($A2750,'Live History'!$D$5:$D$3004,1)),INDEX('AH History'!$C$1:$C$18046,AH!$P$7+2745))),NA()),NA())</ns0:f>
        <ns0:v/>
      </ns0:c>
      <ns0:c r="E2750">
        <ns0:f>IFERROR(IF(ISNUMBER($A2750),IF(AND(AH!$P$10=1,AH!$P$12=1,$A2750=TODAY()),AH!$P$20,IF(AH!$P$10=1,INDEX('Live History'!$H$5:$H$3004,MATCH($A2750,'Live History'!$G$5:$G$3004,1)),INDEX('AH History'!$D$1:$D$18046,AH!$P$7+2745))),NA()),NA())</ns0:f>
        <ns0:v/>
      </ns0:c>
      <ns0:c r="F2750">
        <ns0:f>IFERROR(IF(ISNUMBER($A2750),IF(AND(AH!$P$10=1,AH!$P$12=1,$A2750=TODAY()),IF(AND(AH!$P$10=1,AH!$P$12=1,$A2750=TODAY()),TODAY(),NA()),IF(AH!$P$10=1,INDEX('Live History'!$D$5:$D$3004,MATCH($A2750,'Live History'!$D$5:$D$3004,1)),INDEX('AH History'!$E$1:$E$18046,AH!$P$7+2745))),NA()),NA())</ns0:f>
        <ns0:v/>
      </ns0:c>
      <ns0:c r="G2750">
        <ns0:f>IFERROR(IF(ISNUMBER($A2750),IF(AND(AH!$P$10=1,AH!$P$12=1,$A2750=TODAY()),IF(AND(AH!$P$10=1,AH!$P$12=1,$A2750=TODAY()),TODAY(),NA()),IF(AH!$P$10=1,INDEX('Live History'!$G$5:$G$3004,MATCH($A2750,'Live History'!$G$5:$G$3004,1)),INDEX('AH History'!$F$1:$F$18046,AH!$P$7+2745))),NA()),NA())</ns0:f>
        <ns0:v/>
      </ns0:c>
      <ns0:c r="H2750">
        <ns0:f>IFERROR(IF(AND(AH!$E$4="Bloomberg",AH!$P$10=1,ISNUMBER($A2750),$A2750&lt;=AH!$P$17),AH!$P$7-1+MATCH($A2750,INDEX('AH History'!$A$1:$A$18046,AH!$P$7):INDEX('AH History'!$A$1:$A$18046,AH!$P$7+AH!$P$8-1),0),0),0)</ns0:f>
        <ns0:v/>
      </ns0:c>
      <ns0:c r="I2750">
        <ns0:f>IF($H2750=0,0,IFERROR(IF(AND(ABS($C2750-INDEX('AH History'!$B$1:$B$18046,$H2750))&lt;=MAX(0.005,ABS(INDEX('AH History'!$B$1:$B$18046,$H2750))*0.00005),ABS($D2750-INDEX('AH History'!$C$1:$C$18046,$H2750))&lt;=MAX(0.005,ABS(INDEX('AH History'!$C$1:$C$18046,$H2750))*0.00005),ABS($E2750-INDEX('AH History'!$D$1:$D$18046,$H2750))&lt;=0.00005,$F2750=INDEX('AH History'!$E$1:$E$18046,$H2750),$G2750=INDEX('AH History'!$F$1:$F$18046,$H2750)),1,-1),-1))</ns0:f>
        <ns0:v/>
      </ns0:c>
    </ns0:row>
    <ns0:row r="2751">
      <ns0:c r="A2751" s="215">
        <ns0:f>IF(OR(AH!$P$3=0,2746+1&gt;AH!$P$11,AND(AH!$E$4&lt;&gt;"Stored",AH!$P$10&lt;&gt;1)),"",IFERROR(IF(AND(AH!$P$21=1,2746+1=AH!$P$11),TODAY(),IF(AH!$P$10=1,INDEX('Live History'!$A$5:$A$3004,AH!$P$13+2746),INDEX('AH History'!$A$1:$A$18046,AH!$P$7+2746))),""))</ns0:f>
        <ns0:v/>
      </ns0:c>
      <ns0:c r="B2751" s="219">
        <ns0:f>IFERROR(IF(AND(AH!$P$9&lt;&gt;1,$C2751&gt;0,$D2751&gt;0,$E2751&gt;0,$F2751&gt;0,$G2751&gt;0,$F2751&lt;=$A2751,$G2751&lt;=$A2751,$A2751-$F2751&lt;=10,$A2751-$G2751&lt;=5),$D2751*$E2751/$C2751-1,NA()),NA())</ns0:f>
        <ns0:v/>
      </ns0:c>
      <ns0:c r="C2751">
        <ns0:f>IFERROR(IF(ISNUMBER($A2751),IF(AND(AH!$P$10=1,AH!$P$12=1,$A2751=TODAY()),AH!$P$19,IF(AH!$P$10=1,INDEX('Live History'!$B$5:$B$3004,AH!$P$13+2746),INDEX('AH History'!$B$1:$B$18046,AH!$P$7+2746))),NA()),NA())</ns0:f>
        <ns0:v/>
      </ns0:c>
      <ns0:c r="D2751">
        <ns0:f>IFERROR(IF(ISNUMBER($A2751),IF(AND(AH!$P$10=1,AH!$P$12=1,$A2751=TODAY()),AH!$P$18,IF(AH!$P$10=1,INDEX('Live History'!$E$5:$E$3004,MATCH($A2751,'Live History'!$D$5:$D$3004,1)),INDEX('AH History'!$C$1:$C$18046,AH!$P$7+2746))),NA()),NA())</ns0:f>
        <ns0:v/>
      </ns0:c>
      <ns0:c r="E2751">
        <ns0:f>IFERROR(IF(ISNUMBER($A2751),IF(AND(AH!$P$10=1,AH!$P$12=1,$A2751=TODAY()),AH!$P$20,IF(AH!$P$10=1,INDEX('Live History'!$H$5:$H$3004,MATCH($A2751,'Live History'!$G$5:$G$3004,1)),INDEX('AH History'!$D$1:$D$18046,AH!$P$7+2746))),NA()),NA())</ns0:f>
        <ns0:v/>
      </ns0:c>
      <ns0:c r="F2751">
        <ns0:f>IFERROR(IF(ISNUMBER($A2751),IF(AND(AH!$P$10=1,AH!$P$12=1,$A2751=TODAY()),IF(AND(AH!$P$10=1,AH!$P$12=1,$A2751=TODAY()),TODAY(),NA()),IF(AH!$P$10=1,INDEX('Live History'!$D$5:$D$3004,MATCH($A2751,'Live History'!$D$5:$D$3004,1)),INDEX('AH History'!$E$1:$E$18046,AH!$P$7+2746))),NA()),NA())</ns0:f>
        <ns0:v/>
      </ns0:c>
      <ns0:c r="G2751">
        <ns0:f>IFERROR(IF(ISNUMBER($A2751),IF(AND(AH!$P$10=1,AH!$P$12=1,$A2751=TODAY()),IF(AND(AH!$P$10=1,AH!$P$12=1,$A2751=TODAY()),TODAY(),NA()),IF(AH!$P$10=1,INDEX('Live History'!$G$5:$G$3004,MATCH($A2751,'Live History'!$G$5:$G$3004,1)),INDEX('AH History'!$F$1:$F$18046,AH!$P$7+2746))),NA()),NA())</ns0:f>
        <ns0:v/>
      </ns0:c>
      <ns0:c r="H2751">
        <ns0:f>IFERROR(IF(AND(AH!$E$4="Bloomberg",AH!$P$10=1,ISNUMBER($A2751),$A2751&lt;=AH!$P$17),AH!$P$7-1+MATCH($A2751,INDEX('AH History'!$A$1:$A$18046,AH!$P$7):INDEX('AH History'!$A$1:$A$18046,AH!$P$7+AH!$P$8-1),0),0),0)</ns0:f>
        <ns0:v/>
      </ns0:c>
      <ns0:c r="I2751">
        <ns0:f>IF($H2751=0,0,IFERROR(IF(AND(ABS($C2751-INDEX('AH History'!$B$1:$B$18046,$H2751))&lt;=MAX(0.005,ABS(INDEX('AH History'!$B$1:$B$18046,$H2751))*0.00005),ABS($D2751-INDEX('AH History'!$C$1:$C$18046,$H2751))&lt;=MAX(0.005,ABS(INDEX('AH History'!$C$1:$C$18046,$H2751))*0.00005),ABS($E2751-INDEX('AH History'!$D$1:$D$18046,$H2751))&lt;=0.00005,$F2751=INDEX('AH History'!$E$1:$E$18046,$H2751),$G2751=INDEX('AH History'!$F$1:$F$18046,$H2751)),1,-1),-1))</ns0:f>
        <ns0:v/>
      </ns0:c>
    </ns0:row>
    <ns0:row r="2752">
      <ns0:c r="A2752" s="215">
        <ns0:f>IF(OR(AH!$P$3=0,2747+1&gt;AH!$P$11,AND(AH!$E$4&lt;&gt;"Stored",AH!$P$10&lt;&gt;1)),"",IFERROR(IF(AND(AH!$P$21=1,2747+1=AH!$P$11),TODAY(),IF(AH!$P$10=1,INDEX('Live History'!$A$5:$A$3004,AH!$P$13+2747),INDEX('AH History'!$A$1:$A$18046,AH!$P$7+2747))),""))</ns0:f>
        <ns0:v/>
      </ns0:c>
      <ns0:c r="B2752" s="219">
        <ns0:f>IFERROR(IF(AND(AH!$P$9&lt;&gt;1,$C2752&gt;0,$D2752&gt;0,$E2752&gt;0,$F2752&gt;0,$G2752&gt;0,$F2752&lt;=$A2752,$G2752&lt;=$A2752,$A2752-$F2752&lt;=10,$A2752-$G2752&lt;=5),$D2752*$E2752/$C2752-1,NA()),NA())</ns0:f>
        <ns0:v/>
      </ns0:c>
      <ns0:c r="C2752">
        <ns0:f>IFERROR(IF(ISNUMBER($A2752),IF(AND(AH!$P$10=1,AH!$P$12=1,$A2752=TODAY()),AH!$P$19,IF(AH!$P$10=1,INDEX('Live History'!$B$5:$B$3004,AH!$P$13+2747),INDEX('AH History'!$B$1:$B$18046,AH!$P$7+2747))),NA()),NA())</ns0:f>
        <ns0:v/>
      </ns0:c>
      <ns0:c r="D2752">
        <ns0:f>IFERROR(IF(ISNUMBER($A2752),IF(AND(AH!$P$10=1,AH!$P$12=1,$A2752=TODAY()),AH!$P$18,IF(AH!$P$10=1,INDEX('Live History'!$E$5:$E$3004,MATCH($A2752,'Live History'!$D$5:$D$3004,1)),INDEX('AH History'!$C$1:$C$18046,AH!$P$7+2747))),NA()),NA())</ns0:f>
        <ns0:v/>
      </ns0:c>
      <ns0:c r="E2752">
        <ns0:f>IFERROR(IF(ISNUMBER($A2752),IF(AND(AH!$P$10=1,AH!$P$12=1,$A2752=TODAY()),AH!$P$20,IF(AH!$P$10=1,INDEX('Live History'!$H$5:$H$3004,MATCH($A2752,'Live History'!$G$5:$G$3004,1)),INDEX('AH History'!$D$1:$D$18046,AH!$P$7+2747))),NA()),NA())</ns0:f>
        <ns0:v/>
      </ns0:c>
      <ns0:c r="F2752">
        <ns0:f>IFERROR(IF(ISNUMBER($A2752),IF(AND(AH!$P$10=1,AH!$P$12=1,$A2752=TODAY()),IF(AND(AH!$P$10=1,AH!$P$12=1,$A2752=TODAY()),TODAY(),NA()),IF(AH!$P$10=1,INDEX('Live History'!$D$5:$D$3004,MATCH($A2752,'Live History'!$D$5:$D$3004,1)),INDEX('AH History'!$E$1:$E$18046,AH!$P$7+2747))),NA()),NA())</ns0:f>
        <ns0:v/>
      </ns0:c>
      <ns0:c r="G2752">
        <ns0:f>IFERROR(IF(ISNUMBER($A2752),IF(AND(AH!$P$10=1,AH!$P$12=1,$A2752=TODAY()),IF(AND(AH!$P$10=1,AH!$P$12=1,$A2752=TODAY()),TODAY(),NA()),IF(AH!$P$10=1,INDEX('Live History'!$G$5:$G$3004,MATCH($A2752,'Live History'!$G$5:$G$3004,1)),INDEX('AH History'!$F$1:$F$18046,AH!$P$7+2747))),NA()),NA())</ns0:f>
        <ns0:v/>
      </ns0:c>
      <ns0:c r="H2752">
        <ns0:f>IFERROR(IF(AND(AH!$E$4="Bloomberg",AH!$P$10=1,ISNUMBER($A2752),$A2752&lt;=AH!$P$17),AH!$P$7-1+MATCH($A2752,INDEX('AH History'!$A$1:$A$18046,AH!$P$7):INDEX('AH History'!$A$1:$A$18046,AH!$P$7+AH!$P$8-1),0),0),0)</ns0:f>
        <ns0:v/>
      </ns0:c>
      <ns0:c r="I2752">
        <ns0:f>IF($H2752=0,0,IFERROR(IF(AND(ABS($C2752-INDEX('AH History'!$B$1:$B$18046,$H2752))&lt;=MAX(0.005,ABS(INDEX('AH History'!$B$1:$B$18046,$H2752))*0.00005),ABS($D2752-INDEX('AH History'!$C$1:$C$18046,$H2752))&lt;=MAX(0.005,ABS(INDEX('AH History'!$C$1:$C$18046,$H2752))*0.00005),ABS($E2752-INDEX('AH History'!$D$1:$D$18046,$H2752))&lt;=0.00005,$F2752=INDEX('AH History'!$E$1:$E$18046,$H2752),$G2752=INDEX('AH History'!$F$1:$F$18046,$H2752)),1,-1),-1))</ns0:f>
        <ns0:v/>
      </ns0:c>
    </ns0:row>
    <ns0:row r="2753">
      <ns0:c r="A2753" s="215">
        <ns0:f>IF(OR(AH!$P$3=0,2748+1&gt;AH!$P$11,AND(AH!$E$4&lt;&gt;"Stored",AH!$P$10&lt;&gt;1)),"",IFERROR(IF(AND(AH!$P$21=1,2748+1=AH!$P$11),TODAY(),IF(AH!$P$10=1,INDEX('Live History'!$A$5:$A$3004,AH!$P$13+2748),INDEX('AH History'!$A$1:$A$18046,AH!$P$7+2748))),""))</ns0:f>
        <ns0:v/>
      </ns0:c>
      <ns0:c r="B2753" s="219">
        <ns0:f>IFERROR(IF(AND(AH!$P$9&lt;&gt;1,$C2753&gt;0,$D2753&gt;0,$E2753&gt;0,$F2753&gt;0,$G2753&gt;0,$F2753&lt;=$A2753,$G2753&lt;=$A2753,$A2753-$F2753&lt;=10,$A2753-$G2753&lt;=5),$D2753*$E2753/$C2753-1,NA()),NA())</ns0:f>
        <ns0:v/>
      </ns0:c>
      <ns0:c r="C2753">
        <ns0:f>IFERROR(IF(ISNUMBER($A2753),IF(AND(AH!$P$10=1,AH!$P$12=1,$A2753=TODAY()),AH!$P$19,IF(AH!$P$10=1,INDEX('Live History'!$B$5:$B$3004,AH!$P$13+2748),INDEX('AH History'!$B$1:$B$18046,AH!$P$7+2748))),NA()),NA())</ns0:f>
        <ns0:v/>
      </ns0:c>
      <ns0:c r="D2753">
        <ns0:f>IFERROR(IF(ISNUMBER($A2753),IF(AND(AH!$P$10=1,AH!$P$12=1,$A2753=TODAY()),AH!$P$18,IF(AH!$P$10=1,INDEX('Live History'!$E$5:$E$3004,MATCH($A2753,'Live History'!$D$5:$D$3004,1)),INDEX('AH History'!$C$1:$C$18046,AH!$P$7+2748))),NA()),NA())</ns0:f>
        <ns0:v/>
      </ns0:c>
      <ns0:c r="E2753">
        <ns0:f>IFERROR(IF(ISNUMBER($A2753),IF(AND(AH!$P$10=1,AH!$P$12=1,$A2753=TODAY()),AH!$P$20,IF(AH!$P$10=1,INDEX('Live History'!$H$5:$H$3004,MATCH($A2753,'Live History'!$G$5:$G$3004,1)),INDEX('AH History'!$D$1:$D$18046,AH!$P$7+2748))),NA()),NA())</ns0:f>
        <ns0:v/>
      </ns0:c>
      <ns0:c r="F2753">
        <ns0:f>IFERROR(IF(ISNUMBER($A2753),IF(AND(AH!$P$10=1,AH!$P$12=1,$A2753=TODAY()),IF(AND(AH!$P$10=1,AH!$P$12=1,$A2753=TODAY()),TODAY(),NA()),IF(AH!$P$10=1,INDEX('Live History'!$D$5:$D$3004,MATCH($A2753,'Live History'!$D$5:$D$3004,1)),INDEX('AH History'!$E$1:$E$18046,AH!$P$7+2748))),NA()),NA())</ns0:f>
        <ns0:v/>
      </ns0:c>
      <ns0:c r="G2753">
        <ns0:f>IFERROR(IF(ISNUMBER($A2753),IF(AND(AH!$P$10=1,AH!$P$12=1,$A2753=TODAY()),IF(AND(AH!$P$10=1,AH!$P$12=1,$A2753=TODAY()),TODAY(),NA()),IF(AH!$P$10=1,INDEX('Live History'!$G$5:$G$3004,MATCH($A2753,'Live History'!$G$5:$G$3004,1)),INDEX('AH History'!$F$1:$F$18046,AH!$P$7+2748))),NA()),NA())</ns0:f>
        <ns0:v/>
      </ns0:c>
      <ns0:c r="H2753">
        <ns0:f>IFERROR(IF(AND(AH!$E$4="Bloomberg",AH!$P$10=1,ISNUMBER($A2753),$A2753&lt;=AH!$P$17),AH!$P$7-1+MATCH($A2753,INDEX('AH History'!$A$1:$A$18046,AH!$P$7):INDEX('AH History'!$A$1:$A$18046,AH!$P$7+AH!$P$8-1),0),0),0)</ns0:f>
        <ns0:v/>
      </ns0:c>
      <ns0:c r="I2753">
        <ns0:f>IF($H2753=0,0,IFERROR(IF(AND(ABS($C2753-INDEX('AH History'!$B$1:$B$18046,$H2753))&lt;=MAX(0.005,ABS(INDEX('AH History'!$B$1:$B$18046,$H2753))*0.00005),ABS($D2753-INDEX('AH History'!$C$1:$C$18046,$H2753))&lt;=MAX(0.005,ABS(INDEX('AH History'!$C$1:$C$18046,$H2753))*0.00005),ABS($E2753-INDEX('AH History'!$D$1:$D$18046,$H2753))&lt;=0.00005,$F2753=INDEX('AH History'!$E$1:$E$18046,$H2753),$G2753=INDEX('AH History'!$F$1:$F$18046,$H2753)),1,-1),-1))</ns0:f>
        <ns0:v/>
      </ns0:c>
    </ns0:row>
    <ns0:row r="2754">
      <ns0:c r="A2754" s="215">
        <ns0:f>IF(OR(AH!$P$3=0,2749+1&gt;AH!$P$11,AND(AH!$E$4&lt;&gt;"Stored",AH!$P$10&lt;&gt;1)),"",IFERROR(IF(AND(AH!$P$21=1,2749+1=AH!$P$11),TODAY(),IF(AH!$P$10=1,INDEX('Live History'!$A$5:$A$3004,AH!$P$13+2749),INDEX('AH History'!$A$1:$A$18046,AH!$P$7+2749))),""))</ns0:f>
        <ns0:v/>
      </ns0:c>
      <ns0:c r="B2754" s="219">
        <ns0:f>IFERROR(IF(AND(AH!$P$9&lt;&gt;1,$C2754&gt;0,$D2754&gt;0,$E2754&gt;0,$F2754&gt;0,$G2754&gt;0,$F2754&lt;=$A2754,$G2754&lt;=$A2754,$A2754-$F2754&lt;=10,$A2754-$G2754&lt;=5),$D2754*$E2754/$C2754-1,NA()),NA())</ns0:f>
        <ns0:v/>
      </ns0:c>
      <ns0:c r="C2754">
        <ns0:f>IFERROR(IF(ISNUMBER($A2754),IF(AND(AH!$P$10=1,AH!$P$12=1,$A2754=TODAY()),AH!$P$19,IF(AH!$P$10=1,INDEX('Live History'!$B$5:$B$3004,AH!$P$13+2749),INDEX('AH History'!$B$1:$B$18046,AH!$P$7+2749))),NA()),NA())</ns0:f>
        <ns0:v/>
      </ns0:c>
      <ns0:c r="D2754">
        <ns0:f>IFERROR(IF(ISNUMBER($A2754),IF(AND(AH!$P$10=1,AH!$P$12=1,$A2754=TODAY()),AH!$P$18,IF(AH!$P$10=1,INDEX('Live History'!$E$5:$E$3004,MATCH($A2754,'Live History'!$D$5:$D$3004,1)),INDEX('AH History'!$C$1:$C$18046,AH!$P$7+2749))),NA()),NA())</ns0:f>
        <ns0:v/>
      </ns0:c>
      <ns0:c r="E2754">
        <ns0:f>IFERROR(IF(ISNUMBER($A2754),IF(AND(AH!$P$10=1,AH!$P$12=1,$A2754=TODAY()),AH!$P$20,IF(AH!$P$10=1,INDEX('Live History'!$H$5:$H$3004,MATCH($A2754,'Live History'!$G$5:$G$3004,1)),INDEX('AH History'!$D$1:$D$18046,AH!$P$7+2749))),NA()),NA())</ns0:f>
        <ns0:v/>
      </ns0:c>
      <ns0:c r="F2754">
        <ns0:f>IFERROR(IF(ISNUMBER($A2754),IF(AND(AH!$P$10=1,AH!$P$12=1,$A2754=TODAY()),IF(AND(AH!$P$10=1,AH!$P$12=1,$A2754=TODAY()),TODAY(),NA()),IF(AH!$P$10=1,INDEX('Live History'!$D$5:$D$3004,MATCH($A2754,'Live History'!$D$5:$D$3004,1)),INDEX('AH History'!$E$1:$E$18046,AH!$P$7+2749))),NA()),NA())</ns0:f>
        <ns0:v/>
      </ns0:c>
      <ns0:c r="G2754">
        <ns0:f>IFERROR(IF(ISNUMBER($A2754),IF(AND(AH!$P$10=1,AH!$P$12=1,$A2754=TODAY()),IF(AND(AH!$P$10=1,AH!$P$12=1,$A2754=TODAY()),TODAY(),NA()),IF(AH!$P$10=1,INDEX('Live History'!$G$5:$G$3004,MATCH($A2754,'Live History'!$G$5:$G$3004,1)),INDEX('AH History'!$F$1:$F$18046,AH!$P$7+2749))),NA()),NA())</ns0:f>
        <ns0:v/>
      </ns0:c>
      <ns0:c r="H2754">
        <ns0:f>IFERROR(IF(AND(AH!$E$4="Bloomberg",AH!$P$10=1,ISNUMBER($A2754),$A2754&lt;=AH!$P$17),AH!$P$7-1+MATCH($A2754,INDEX('AH History'!$A$1:$A$18046,AH!$P$7):INDEX('AH History'!$A$1:$A$18046,AH!$P$7+AH!$P$8-1),0),0),0)</ns0:f>
        <ns0:v/>
      </ns0:c>
      <ns0:c r="I2754">
        <ns0:f>IF($H2754=0,0,IFERROR(IF(AND(ABS($C2754-INDEX('AH History'!$B$1:$B$18046,$H2754))&lt;=MAX(0.005,ABS(INDEX('AH History'!$B$1:$B$18046,$H2754))*0.00005),ABS($D2754-INDEX('AH History'!$C$1:$C$18046,$H2754))&lt;=MAX(0.005,ABS(INDEX('AH History'!$C$1:$C$18046,$H2754))*0.00005),ABS($E2754-INDEX('AH History'!$D$1:$D$18046,$H2754))&lt;=0.00005,$F2754=INDEX('AH History'!$E$1:$E$18046,$H2754),$G2754=INDEX('AH History'!$F$1:$F$18046,$H2754)),1,-1),-1))</ns0:f>
        <ns0:v/>
      </ns0:c>
    </ns0:row>
    <ns0:row r="2755">
      <ns0:c r="A2755" s="215">
        <ns0:f>IF(OR(AH!$P$3=0,2750+1&gt;AH!$P$11,AND(AH!$E$4&lt;&gt;"Stored",AH!$P$10&lt;&gt;1)),"",IFERROR(IF(AND(AH!$P$21=1,2750+1=AH!$P$11),TODAY(),IF(AH!$P$10=1,INDEX('Live History'!$A$5:$A$3004,AH!$P$13+2750),INDEX('AH History'!$A$1:$A$18046,AH!$P$7+2750))),""))</ns0:f>
        <ns0:v/>
      </ns0:c>
      <ns0:c r="B2755" s="219">
        <ns0:f>IFERROR(IF(AND(AH!$P$9&lt;&gt;1,$C2755&gt;0,$D2755&gt;0,$E2755&gt;0,$F2755&gt;0,$G2755&gt;0,$F2755&lt;=$A2755,$G2755&lt;=$A2755,$A2755-$F2755&lt;=10,$A2755-$G2755&lt;=5),$D2755*$E2755/$C2755-1,NA()),NA())</ns0:f>
        <ns0:v/>
      </ns0:c>
      <ns0:c r="C2755">
        <ns0:f>IFERROR(IF(ISNUMBER($A2755),IF(AND(AH!$P$10=1,AH!$P$12=1,$A2755=TODAY()),AH!$P$19,IF(AH!$P$10=1,INDEX('Live History'!$B$5:$B$3004,AH!$P$13+2750),INDEX('AH History'!$B$1:$B$18046,AH!$P$7+2750))),NA()),NA())</ns0:f>
        <ns0:v/>
      </ns0:c>
      <ns0:c r="D2755">
        <ns0:f>IFERROR(IF(ISNUMBER($A2755),IF(AND(AH!$P$10=1,AH!$P$12=1,$A2755=TODAY()),AH!$P$18,IF(AH!$P$10=1,INDEX('Live History'!$E$5:$E$3004,MATCH($A2755,'Live History'!$D$5:$D$3004,1)),INDEX('AH History'!$C$1:$C$18046,AH!$P$7+2750))),NA()),NA())</ns0:f>
        <ns0:v/>
      </ns0:c>
      <ns0:c r="E2755">
        <ns0:f>IFERROR(IF(ISNUMBER($A2755),IF(AND(AH!$P$10=1,AH!$P$12=1,$A2755=TODAY()),AH!$P$20,IF(AH!$P$10=1,INDEX('Live History'!$H$5:$H$3004,MATCH($A2755,'Live History'!$G$5:$G$3004,1)),INDEX('AH History'!$D$1:$D$18046,AH!$P$7+2750))),NA()),NA())</ns0:f>
        <ns0:v/>
      </ns0:c>
      <ns0:c r="F2755">
        <ns0:f>IFERROR(IF(ISNUMBER($A2755),IF(AND(AH!$P$10=1,AH!$P$12=1,$A2755=TODAY()),IF(AND(AH!$P$10=1,AH!$P$12=1,$A2755=TODAY()),TODAY(),NA()),IF(AH!$P$10=1,INDEX('Live History'!$D$5:$D$3004,MATCH($A2755,'Live History'!$D$5:$D$3004,1)),INDEX('AH History'!$E$1:$E$18046,AH!$P$7+2750))),NA()),NA())</ns0:f>
        <ns0:v/>
      </ns0:c>
      <ns0:c r="G2755">
        <ns0:f>IFERROR(IF(ISNUMBER($A2755),IF(AND(AH!$P$10=1,AH!$P$12=1,$A2755=TODAY()),IF(AND(AH!$P$10=1,AH!$P$12=1,$A2755=TODAY()),TODAY(),NA()),IF(AH!$P$10=1,INDEX('Live History'!$G$5:$G$3004,MATCH($A2755,'Live History'!$G$5:$G$3004,1)),INDEX('AH History'!$F$1:$F$18046,AH!$P$7+2750))),NA()),NA())</ns0:f>
        <ns0:v/>
      </ns0:c>
      <ns0:c r="H2755">
        <ns0:f>IFERROR(IF(AND(AH!$E$4="Bloomberg",AH!$P$10=1,ISNUMBER($A2755),$A2755&lt;=AH!$P$17),AH!$P$7-1+MATCH($A2755,INDEX('AH History'!$A$1:$A$18046,AH!$P$7):INDEX('AH History'!$A$1:$A$18046,AH!$P$7+AH!$P$8-1),0),0),0)</ns0:f>
        <ns0:v/>
      </ns0:c>
      <ns0:c r="I2755">
        <ns0:f>IF($H2755=0,0,IFERROR(IF(AND(ABS($C2755-INDEX('AH History'!$B$1:$B$18046,$H2755))&lt;=MAX(0.005,ABS(INDEX('AH History'!$B$1:$B$18046,$H2755))*0.00005),ABS($D2755-INDEX('AH History'!$C$1:$C$18046,$H2755))&lt;=MAX(0.005,ABS(INDEX('AH History'!$C$1:$C$18046,$H2755))*0.00005),ABS($E2755-INDEX('AH History'!$D$1:$D$18046,$H2755))&lt;=0.00005,$F2755=INDEX('AH History'!$E$1:$E$18046,$H2755),$G2755=INDEX('AH History'!$F$1:$F$18046,$H2755)),1,-1),-1))</ns0:f>
        <ns0:v/>
      </ns0:c>
    </ns0:row>
    <ns0:row r="2756">
      <ns0:c r="A2756" s="215">
        <ns0:f>IF(OR(AH!$P$3=0,2751+1&gt;AH!$P$11,AND(AH!$E$4&lt;&gt;"Stored",AH!$P$10&lt;&gt;1)),"",IFERROR(IF(AND(AH!$P$21=1,2751+1=AH!$P$11),TODAY(),IF(AH!$P$10=1,INDEX('Live History'!$A$5:$A$3004,AH!$P$13+2751),INDEX('AH History'!$A$1:$A$18046,AH!$P$7+2751))),""))</ns0:f>
        <ns0:v/>
      </ns0:c>
      <ns0:c r="B2756" s="219">
        <ns0:f>IFERROR(IF(AND(AH!$P$9&lt;&gt;1,$C2756&gt;0,$D2756&gt;0,$E2756&gt;0,$F2756&gt;0,$G2756&gt;0,$F2756&lt;=$A2756,$G2756&lt;=$A2756,$A2756-$F2756&lt;=10,$A2756-$G2756&lt;=5),$D2756*$E2756/$C2756-1,NA()),NA())</ns0:f>
        <ns0:v/>
      </ns0:c>
      <ns0:c r="C2756">
        <ns0:f>IFERROR(IF(ISNUMBER($A2756),IF(AND(AH!$P$10=1,AH!$P$12=1,$A2756=TODAY()),AH!$P$19,IF(AH!$P$10=1,INDEX('Live History'!$B$5:$B$3004,AH!$P$13+2751),INDEX('AH History'!$B$1:$B$18046,AH!$P$7+2751))),NA()),NA())</ns0:f>
        <ns0:v/>
      </ns0:c>
      <ns0:c r="D2756">
        <ns0:f>IFERROR(IF(ISNUMBER($A2756),IF(AND(AH!$P$10=1,AH!$P$12=1,$A2756=TODAY()),AH!$P$18,IF(AH!$P$10=1,INDEX('Live History'!$E$5:$E$3004,MATCH($A2756,'Live History'!$D$5:$D$3004,1)),INDEX('AH History'!$C$1:$C$18046,AH!$P$7+2751))),NA()),NA())</ns0:f>
        <ns0:v/>
      </ns0:c>
      <ns0:c r="E2756">
        <ns0:f>IFERROR(IF(ISNUMBER($A2756),IF(AND(AH!$P$10=1,AH!$P$12=1,$A2756=TODAY()),AH!$P$20,IF(AH!$P$10=1,INDEX('Live History'!$H$5:$H$3004,MATCH($A2756,'Live History'!$G$5:$G$3004,1)),INDEX('AH History'!$D$1:$D$18046,AH!$P$7+2751))),NA()),NA())</ns0:f>
        <ns0:v/>
      </ns0:c>
      <ns0:c r="F2756">
        <ns0:f>IFERROR(IF(ISNUMBER($A2756),IF(AND(AH!$P$10=1,AH!$P$12=1,$A2756=TODAY()),IF(AND(AH!$P$10=1,AH!$P$12=1,$A2756=TODAY()),TODAY(),NA()),IF(AH!$P$10=1,INDEX('Live History'!$D$5:$D$3004,MATCH($A2756,'Live History'!$D$5:$D$3004,1)),INDEX('AH History'!$E$1:$E$18046,AH!$P$7+2751))),NA()),NA())</ns0:f>
        <ns0:v/>
      </ns0:c>
      <ns0:c r="G2756">
        <ns0:f>IFERROR(IF(ISNUMBER($A2756),IF(AND(AH!$P$10=1,AH!$P$12=1,$A2756=TODAY()),IF(AND(AH!$P$10=1,AH!$P$12=1,$A2756=TODAY()),TODAY(),NA()),IF(AH!$P$10=1,INDEX('Live History'!$G$5:$G$3004,MATCH($A2756,'Live History'!$G$5:$G$3004,1)),INDEX('AH History'!$F$1:$F$18046,AH!$P$7+2751))),NA()),NA())</ns0:f>
        <ns0:v/>
      </ns0:c>
      <ns0:c r="H2756">
        <ns0:f>IFERROR(IF(AND(AH!$E$4="Bloomberg",AH!$P$10=1,ISNUMBER($A2756),$A2756&lt;=AH!$P$17),AH!$P$7-1+MATCH($A2756,INDEX('AH History'!$A$1:$A$18046,AH!$P$7):INDEX('AH History'!$A$1:$A$18046,AH!$P$7+AH!$P$8-1),0),0),0)</ns0:f>
        <ns0:v/>
      </ns0:c>
      <ns0:c r="I2756">
        <ns0:f>IF($H2756=0,0,IFERROR(IF(AND(ABS($C2756-INDEX('AH History'!$B$1:$B$18046,$H2756))&lt;=MAX(0.005,ABS(INDEX('AH History'!$B$1:$B$18046,$H2756))*0.00005),ABS($D2756-INDEX('AH History'!$C$1:$C$18046,$H2756))&lt;=MAX(0.005,ABS(INDEX('AH History'!$C$1:$C$18046,$H2756))*0.00005),ABS($E2756-INDEX('AH History'!$D$1:$D$18046,$H2756))&lt;=0.00005,$F2756=INDEX('AH History'!$E$1:$E$18046,$H2756),$G2756=INDEX('AH History'!$F$1:$F$18046,$H2756)),1,-1),-1))</ns0:f>
        <ns0:v/>
      </ns0:c>
    </ns0:row>
    <ns0:row r="2757">
      <ns0:c r="A2757" s="215">
        <ns0:f>IF(OR(AH!$P$3=0,2752+1&gt;AH!$P$11,AND(AH!$E$4&lt;&gt;"Stored",AH!$P$10&lt;&gt;1)),"",IFERROR(IF(AND(AH!$P$21=1,2752+1=AH!$P$11),TODAY(),IF(AH!$P$10=1,INDEX('Live History'!$A$5:$A$3004,AH!$P$13+2752),INDEX('AH History'!$A$1:$A$18046,AH!$P$7+2752))),""))</ns0:f>
        <ns0:v/>
      </ns0:c>
      <ns0:c r="B2757" s="219">
        <ns0:f>IFERROR(IF(AND(AH!$P$9&lt;&gt;1,$C2757&gt;0,$D2757&gt;0,$E2757&gt;0,$F2757&gt;0,$G2757&gt;0,$F2757&lt;=$A2757,$G2757&lt;=$A2757,$A2757-$F2757&lt;=10,$A2757-$G2757&lt;=5),$D2757*$E2757/$C2757-1,NA()),NA())</ns0:f>
        <ns0:v/>
      </ns0:c>
      <ns0:c r="C2757">
        <ns0:f>IFERROR(IF(ISNUMBER($A2757),IF(AND(AH!$P$10=1,AH!$P$12=1,$A2757=TODAY()),AH!$P$19,IF(AH!$P$10=1,INDEX('Live History'!$B$5:$B$3004,AH!$P$13+2752),INDEX('AH History'!$B$1:$B$18046,AH!$P$7+2752))),NA()),NA())</ns0:f>
        <ns0:v/>
      </ns0:c>
      <ns0:c r="D2757">
        <ns0:f>IFERROR(IF(ISNUMBER($A2757),IF(AND(AH!$P$10=1,AH!$P$12=1,$A2757=TODAY()),AH!$P$18,IF(AH!$P$10=1,INDEX('Live History'!$E$5:$E$3004,MATCH($A2757,'Live History'!$D$5:$D$3004,1)),INDEX('AH History'!$C$1:$C$18046,AH!$P$7+2752))),NA()),NA())</ns0:f>
        <ns0:v/>
      </ns0:c>
      <ns0:c r="E2757">
        <ns0:f>IFERROR(IF(ISNUMBER($A2757),IF(AND(AH!$P$10=1,AH!$P$12=1,$A2757=TODAY()),AH!$P$20,IF(AH!$P$10=1,INDEX('Live History'!$H$5:$H$3004,MATCH($A2757,'Live History'!$G$5:$G$3004,1)),INDEX('AH History'!$D$1:$D$18046,AH!$P$7+2752))),NA()),NA())</ns0:f>
        <ns0:v/>
      </ns0:c>
      <ns0:c r="F2757">
        <ns0:f>IFERROR(IF(ISNUMBER($A2757),IF(AND(AH!$P$10=1,AH!$P$12=1,$A2757=TODAY()),IF(AND(AH!$P$10=1,AH!$P$12=1,$A2757=TODAY()),TODAY(),NA()),IF(AH!$P$10=1,INDEX('Live History'!$D$5:$D$3004,MATCH($A2757,'Live History'!$D$5:$D$3004,1)),INDEX('AH History'!$E$1:$E$18046,AH!$P$7+2752))),NA()),NA())</ns0:f>
        <ns0:v/>
      </ns0:c>
      <ns0:c r="G2757">
        <ns0:f>IFERROR(IF(ISNUMBER($A2757),IF(AND(AH!$P$10=1,AH!$P$12=1,$A2757=TODAY()),IF(AND(AH!$P$10=1,AH!$P$12=1,$A2757=TODAY()),TODAY(),NA()),IF(AH!$P$10=1,INDEX('Live History'!$G$5:$G$3004,MATCH($A2757,'Live History'!$G$5:$G$3004,1)),INDEX('AH History'!$F$1:$F$18046,AH!$P$7+2752))),NA()),NA())</ns0:f>
        <ns0:v/>
      </ns0:c>
      <ns0:c r="H2757">
        <ns0:f>IFERROR(IF(AND(AH!$E$4="Bloomberg",AH!$P$10=1,ISNUMBER($A2757),$A2757&lt;=AH!$P$17),AH!$P$7-1+MATCH($A2757,INDEX('AH History'!$A$1:$A$18046,AH!$P$7):INDEX('AH History'!$A$1:$A$18046,AH!$P$7+AH!$P$8-1),0),0),0)</ns0:f>
        <ns0:v/>
      </ns0:c>
      <ns0:c r="I2757">
        <ns0:f>IF($H2757=0,0,IFERROR(IF(AND(ABS($C2757-INDEX('AH History'!$B$1:$B$18046,$H2757))&lt;=MAX(0.005,ABS(INDEX('AH History'!$B$1:$B$18046,$H2757))*0.00005),ABS($D2757-INDEX('AH History'!$C$1:$C$18046,$H2757))&lt;=MAX(0.005,ABS(INDEX('AH History'!$C$1:$C$18046,$H2757))*0.00005),ABS($E2757-INDEX('AH History'!$D$1:$D$18046,$H2757))&lt;=0.00005,$F2757=INDEX('AH History'!$E$1:$E$18046,$H2757),$G2757=INDEX('AH History'!$F$1:$F$18046,$H2757)),1,-1),-1))</ns0:f>
        <ns0:v/>
      </ns0:c>
    </ns0:row>
    <ns0:row r="2758">
      <ns0:c r="A2758" s="215">
        <ns0:f>IF(OR(AH!$P$3=0,2753+1&gt;AH!$P$11,AND(AH!$E$4&lt;&gt;"Stored",AH!$P$10&lt;&gt;1)),"",IFERROR(IF(AND(AH!$P$21=1,2753+1=AH!$P$11),TODAY(),IF(AH!$P$10=1,INDEX('Live History'!$A$5:$A$3004,AH!$P$13+2753),INDEX('AH History'!$A$1:$A$18046,AH!$P$7+2753))),""))</ns0:f>
        <ns0:v/>
      </ns0:c>
      <ns0:c r="B2758" s="219">
        <ns0:f>IFERROR(IF(AND(AH!$P$9&lt;&gt;1,$C2758&gt;0,$D2758&gt;0,$E2758&gt;0,$F2758&gt;0,$G2758&gt;0,$F2758&lt;=$A2758,$G2758&lt;=$A2758,$A2758-$F2758&lt;=10,$A2758-$G2758&lt;=5),$D2758*$E2758/$C2758-1,NA()),NA())</ns0:f>
        <ns0:v/>
      </ns0:c>
      <ns0:c r="C2758">
        <ns0:f>IFERROR(IF(ISNUMBER($A2758),IF(AND(AH!$P$10=1,AH!$P$12=1,$A2758=TODAY()),AH!$P$19,IF(AH!$P$10=1,INDEX('Live History'!$B$5:$B$3004,AH!$P$13+2753),INDEX('AH History'!$B$1:$B$18046,AH!$P$7+2753))),NA()),NA())</ns0:f>
        <ns0:v/>
      </ns0:c>
      <ns0:c r="D2758">
        <ns0:f>IFERROR(IF(ISNUMBER($A2758),IF(AND(AH!$P$10=1,AH!$P$12=1,$A2758=TODAY()),AH!$P$18,IF(AH!$P$10=1,INDEX('Live History'!$E$5:$E$3004,MATCH($A2758,'Live History'!$D$5:$D$3004,1)),INDEX('AH History'!$C$1:$C$18046,AH!$P$7+2753))),NA()),NA())</ns0:f>
        <ns0:v/>
      </ns0:c>
      <ns0:c r="E2758">
        <ns0:f>IFERROR(IF(ISNUMBER($A2758),IF(AND(AH!$P$10=1,AH!$P$12=1,$A2758=TODAY()),AH!$P$20,IF(AH!$P$10=1,INDEX('Live History'!$H$5:$H$3004,MATCH($A2758,'Live History'!$G$5:$G$3004,1)),INDEX('AH History'!$D$1:$D$18046,AH!$P$7+2753))),NA()),NA())</ns0:f>
        <ns0:v/>
      </ns0:c>
      <ns0:c r="F2758">
        <ns0:f>IFERROR(IF(ISNUMBER($A2758),IF(AND(AH!$P$10=1,AH!$P$12=1,$A2758=TODAY()),IF(AND(AH!$P$10=1,AH!$P$12=1,$A2758=TODAY()),TODAY(),NA()),IF(AH!$P$10=1,INDEX('Live History'!$D$5:$D$3004,MATCH($A2758,'Live History'!$D$5:$D$3004,1)),INDEX('AH History'!$E$1:$E$18046,AH!$P$7+2753))),NA()),NA())</ns0:f>
        <ns0:v/>
      </ns0:c>
      <ns0:c r="G2758">
        <ns0:f>IFERROR(IF(ISNUMBER($A2758),IF(AND(AH!$P$10=1,AH!$P$12=1,$A2758=TODAY()),IF(AND(AH!$P$10=1,AH!$P$12=1,$A2758=TODAY()),TODAY(),NA()),IF(AH!$P$10=1,INDEX('Live History'!$G$5:$G$3004,MATCH($A2758,'Live History'!$G$5:$G$3004,1)),INDEX('AH History'!$F$1:$F$18046,AH!$P$7+2753))),NA()),NA())</ns0:f>
        <ns0:v/>
      </ns0:c>
      <ns0:c r="H2758">
        <ns0:f>IFERROR(IF(AND(AH!$E$4="Bloomberg",AH!$P$10=1,ISNUMBER($A2758),$A2758&lt;=AH!$P$17),AH!$P$7-1+MATCH($A2758,INDEX('AH History'!$A$1:$A$18046,AH!$P$7):INDEX('AH History'!$A$1:$A$18046,AH!$P$7+AH!$P$8-1),0),0),0)</ns0:f>
        <ns0:v/>
      </ns0:c>
      <ns0:c r="I2758">
        <ns0:f>IF($H2758=0,0,IFERROR(IF(AND(ABS($C2758-INDEX('AH History'!$B$1:$B$18046,$H2758))&lt;=MAX(0.005,ABS(INDEX('AH History'!$B$1:$B$18046,$H2758))*0.00005),ABS($D2758-INDEX('AH History'!$C$1:$C$18046,$H2758))&lt;=MAX(0.005,ABS(INDEX('AH History'!$C$1:$C$18046,$H2758))*0.00005),ABS($E2758-INDEX('AH History'!$D$1:$D$18046,$H2758))&lt;=0.00005,$F2758=INDEX('AH History'!$E$1:$E$18046,$H2758),$G2758=INDEX('AH History'!$F$1:$F$18046,$H2758)),1,-1),-1))</ns0:f>
        <ns0:v/>
      </ns0:c>
    </ns0:row>
    <ns0:row r="2759">
      <ns0:c r="A2759" s="215">
        <ns0:f>IF(OR(AH!$P$3=0,2754+1&gt;AH!$P$11,AND(AH!$E$4&lt;&gt;"Stored",AH!$P$10&lt;&gt;1)),"",IFERROR(IF(AND(AH!$P$21=1,2754+1=AH!$P$11),TODAY(),IF(AH!$P$10=1,INDEX('Live History'!$A$5:$A$3004,AH!$P$13+2754),INDEX('AH History'!$A$1:$A$18046,AH!$P$7+2754))),""))</ns0:f>
        <ns0:v/>
      </ns0:c>
      <ns0:c r="B2759" s="219">
        <ns0:f>IFERROR(IF(AND(AH!$P$9&lt;&gt;1,$C2759&gt;0,$D2759&gt;0,$E2759&gt;0,$F2759&gt;0,$G2759&gt;0,$F2759&lt;=$A2759,$G2759&lt;=$A2759,$A2759-$F2759&lt;=10,$A2759-$G2759&lt;=5),$D2759*$E2759/$C2759-1,NA()),NA())</ns0:f>
        <ns0:v/>
      </ns0:c>
      <ns0:c r="C2759">
        <ns0:f>IFERROR(IF(ISNUMBER($A2759),IF(AND(AH!$P$10=1,AH!$P$12=1,$A2759=TODAY()),AH!$P$19,IF(AH!$P$10=1,INDEX('Live History'!$B$5:$B$3004,AH!$P$13+2754),INDEX('AH History'!$B$1:$B$18046,AH!$P$7+2754))),NA()),NA())</ns0:f>
        <ns0:v/>
      </ns0:c>
      <ns0:c r="D2759">
        <ns0:f>IFERROR(IF(ISNUMBER($A2759),IF(AND(AH!$P$10=1,AH!$P$12=1,$A2759=TODAY()),AH!$P$18,IF(AH!$P$10=1,INDEX('Live History'!$E$5:$E$3004,MATCH($A2759,'Live History'!$D$5:$D$3004,1)),INDEX('AH History'!$C$1:$C$18046,AH!$P$7+2754))),NA()),NA())</ns0:f>
        <ns0:v/>
      </ns0:c>
      <ns0:c r="E2759">
        <ns0:f>IFERROR(IF(ISNUMBER($A2759),IF(AND(AH!$P$10=1,AH!$P$12=1,$A2759=TODAY()),AH!$P$20,IF(AH!$P$10=1,INDEX('Live History'!$H$5:$H$3004,MATCH($A2759,'Live History'!$G$5:$G$3004,1)),INDEX('AH History'!$D$1:$D$18046,AH!$P$7+2754))),NA()),NA())</ns0:f>
        <ns0:v/>
      </ns0:c>
      <ns0:c r="F2759">
        <ns0:f>IFERROR(IF(ISNUMBER($A2759),IF(AND(AH!$P$10=1,AH!$P$12=1,$A2759=TODAY()),IF(AND(AH!$P$10=1,AH!$P$12=1,$A2759=TODAY()),TODAY(),NA()),IF(AH!$P$10=1,INDEX('Live History'!$D$5:$D$3004,MATCH($A2759,'Live History'!$D$5:$D$3004,1)),INDEX('AH History'!$E$1:$E$18046,AH!$P$7+2754))),NA()),NA())</ns0:f>
        <ns0:v/>
      </ns0:c>
      <ns0:c r="G2759">
        <ns0:f>IFERROR(IF(ISNUMBER($A2759),IF(AND(AH!$P$10=1,AH!$P$12=1,$A2759=TODAY()),IF(AND(AH!$P$10=1,AH!$P$12=1,$A2759=TODAY()),TODAY(),NA()),IF(AH!$P$10=1,INDEX('Live History'!$G$5:$G$3004,MATCH($A2759,'Live History'!$G$5:$G$3004,1)),INDEX('AH History'!$F$1:$F$18046,AH!$P$7+2754))),NA()),NA())</ns0:f>
        <ns0:v/>
      </ns0:c>
      <ns0:c r="H2759">
        <ns0:f>IFERROR(IF(AND(AH!$E$4="Bloomberg",AH!$P$10=1,ISNUMBER($A2759),$A2759&lt;=AH!$P$17),AH!$P$7-1+MATCH($A2759,INDEX('AH History'!$A$1:$A$18046,AH!$P$7):INDEX('AH History'!$A$1:$A$18046,AH!$P$7+AH!$P$8-1),0),0),0)</ns0:f>
        <ns0:v/>
      </ns0:c>
      <ns0:c r="I2759">
        <ns0:f>IF($H2759=0,0,IFERROR(IF(AND(ABS($C2759-INDEX('AH History'!$B$1:$B$18046,$H2759))&lt;=MAX(0.005,ABS(INDEX('AH History'!$B$1:$B$18046,$H2759))*0.00005),ABS($D2759-INDEX('AH History'!$C$1:$C$18046,$H2759))&lt;=MAX(0.005,ABS(INDEX('AH History'!$C$1:$C$18046,$H2759))*0.00005),ABS($E2759-INDEX('AH History'!$D$1:$D$18046,$H2759))&lt;=0.00005,$F2759=INDEX('AH History'!$E$1:$E$18046,$H2759),$G2759=INDEX('AH History'!$F$1:$F$18046,$H2759)),1,-1),-1))</ns0:f>
        <ns0:v/>
      </ns0:c>
    </ns0:row>
    <ns0:row r="2760">
      <ns0:c r="A2760" s="215">
        <ns0:f>IF(OR(AH!$P$3=0,2755+1&gt;AH!$P$11,AND(AH!$E$4&lt;&gt;"Stored",AH!$P$10&lt;&gt;1)),"",IFERROR(IF(AND(AH!$P$21=1,2755+1=AH!$P$11),TODAY(),IF(AH!$P$10=1,INDEX('Live History'!$A$5:$A$3004,AH!$P$13+2755),INDEX('AH History'!$A$1:$A$18046,AH!$P$7+2755))),""))</ns0:f>
        <ns0:v/>
      </ns0:c>
      <ns0:c r="B2760" s="219">
        <ns0:f>IFERROR(IF(AND(AH!$P$9&lt;&gt;1,$C2760&gt;0,$D2760&gt;0,$E2760&gt;0,$F2760&gt;0,$G2760&gt;0,$F2760&lt;=$A2760,$G2760&lt;=$A2760,$A2760-$F2760&lt;=10,$A2760-$G2760&lt;=5),$D2760*$E2760/$C2760-1,NA()),NA())</ns0:f>
        <ns0:v/>
      </ns0:c>
      <ns0:c r="C2760">
        <ns0:f>IFERROR(IF(ISNUMBER($A2760),IF(AND(AH!$P$10=1,AH!$P$12=1,$A2760=TODAY()),AH!$P$19,IF(AH!$P$10=1,INDEX('Live History'!$B$5:$B$3004,AH!$P$13+2755),INDEX('AH History'!$B$1:$B$18046,AH!$P$7+2755))),NA()),NA())</ns0:f>
        <ns0:v/>
      </ns0:c>
      <ns0:c r="D2760">
        <ns0:f>IFERROR(IF(ISNUMBER($A2760),IF(AND(AH!$P$10=1,AH!$P$12=1,$A2760=TODAY()),AH!$P$18,IF(AH!$P$10=1,INDEX('Live History'!$E$5:$E$3004,MATCH($A2760,'Live History'!$D$5:$D$3004,1)),INDEX('AH History'!$C$1:$C$18046,AH!$P$7+2755))),NA()),NA())</ns0:f>
        <ns0:v/>
      </ns0:c>
      <ns0:c r="E2760">
        <ns0:f>IFERROR(IF(ISNUMBER($A2760),IF(AND(AH!$P$10=1,AH!$P$12=1,$A2760=TODAY()),AH!$P$20,IF(AH!$P$10=1,INDEX('Live History'!$H$5:$H$3004,MATCH($A2760,'Live History'!$G$5:$G$3004,1)),INDEX('AH History'!$D$1:$D$18046,AH!$P$7+2755))),NA()),NA())</ns0:f>
        <ns0:v/>
      </ns0:c>
      <ns0:c r="F2760">
        <ns0:f>IFERROR(IF(ISNUMBER($A2760),IF(AND(AH!$P$10=1,AH!$P$12=1,$A2760=TODAY()),IF(AND(AH!$P$10=1,AH!$P$12=1,$A2760=TODAY()),TODAY(),NA()),IF(AH!$P$10=1,INDEX('Live History'!$D$5:$D$3004,MATCH($A2760,'Live History'!$D$5:$D$3004,1)),INDEX('AH History'!$E$1:$E$18046,AH!$P$7+2755))),NA()),NA())</ns0:f>
        <ns0:v/>
      </ns0:c>
      <ns0:c r="G2760">
        <ns0:f>IFERROR(IF(ISNUMBER($A2760),IF(AND(AH!$P$10=1,AH!$P$12=1,$A2760=TODAY()),IF(AND(AH!$P$10=1,AH!$P$12=1,$A2760=TODAY()),TODAY(),NA()),IF(AH!$P$10=1,INDEX('Live History'!$G$5:$G$3004,MATCH($A2760,'Live History'!$G$5:$G$3004,1)),INDEX('AH History'!$F$1:$F$18046,AH!$P$7+2755))),NA()),NA())</ns0:f>
        <ns0:v/>
      </ns0:c>
      <ns0:c r="H2760">
        <ns0:f>IFERROR(IF(AND(AH!$E$4="Bloomberg",AH!$P$10=1,ISNUMBER($A2760),$A2760&lt;=AH!$P$17),AH!$P$7-1+MATCH($A2760,INDEX('AH History'!$A$1:$A$18046,AH!$P$7):INDEX('AH History'!$A$1:$A$18046,AH!$P$7+AH!$P$8-1),0),0),0)</ns0:f>
        <ns0:v/>
      </ns0:c>
      <ns0:c r="I2760">
        <ns0:f>IF($H2760=0,0,IFERROR(IF(AND(ABS($C2760-INDEX('AH History'!$B$1:$B$18046,$H2760))&lt;=MAX(0.005,ABS(INDEX('AH History'!$B$1:$B$18046,$H2760))*0.00005),ABS($D2760-INDEX('AH History'!$C$1:$C$18046,$H2760))&lt;=MAX(0.005,ABS(INDEX('AH History'!$C$1:$C$18046,$H2760))*0.00005),ABS($E2760-INDEX('AH History'!$D$1:$D$18046,$H2760))&lt;=0.00005,$F2760=INDEX('AH History'!$E$1:$E$18046,$H2760),$G2760=INDEX('AH History'!$F$1:$F$18046,$H2760)),1,-1),-1))</ns0:f>
        <ns0:v/>
      </ns0:c>
    </ns0:row>
    <ns0:row r="2761">
      <ns0:c r="A2761" s="215">
        <ns0:f>IF(OR(AH!$P$3=0,2756+1&gt;AH!$P$11,AND(AH!$E$4&lt;&gt;"Stored",AH!$P$10&lt;&gt;1)),"",IFERROR(IF(AND(AH!$P$21=1,2756+1=AH!$P$11),TODAY(),IF(AH!$P$10=1,INDEX('Live History'!$A$5:$A$3004,AH!$P$13+2756),INDEX('AH History'!$A$1:$A$18046,AH!$P$7+2756))),""))</ns0:f>
        <ns0:v/>
      </ns0:c>
      <ns0:c r="B2761" s="219">
        <ns0:f>IFERROR(IF(AND(AH!$P$9&lt;&gt;1,$C2761&gt;0,$D2761&gt;0,$E2761&gt;0,$F2761&gt;0,$G2761&gt;0,$F2761&lt;=$A2761,$G2761&lt;=$A2761,$A2761-$F2761&lt;=10,$A2761-$G2761&lt;=5),$D2761*$E2761/$C2761-1,NA()),NA())</ns0:f>
        <ns0:v/>
      </ns0:c>
      <ns0:c r="C2761">
        <ns0:f>IFERROR(IF(ISNUMBER($A2761),IF(AND(AH!$P$10=1,AH!$P$12=1,$A2761=TODAY()),AH!$P$19,IF(AH!$P$10=1,INDEX('Live History'!$B$5:$B$3004,AH!$P$13+2756),INDEX('AH History'!$B$1:$B$18046,AH!$P$7+2756))),NA()),NA())</ns0:f>
        <ns0:v/>
      </ns0:c>
      <ns0:c r="D2761">
        <ns0:f>IFERROR(IF(ISNUMBER($A2761),IF(AND(AH!$P$10=1,AH!$P$12=1,$A2761=TODAY()),AH!$P$18,IF(AH!$P$10=1,INDEX('Live History'!$E$5:$E$3004,MATCH($A2761,'Live History'!$D$5:$D$3004,1)),INDEX('AH History'!$C$1:$C$18046,AH!$P$7+2756))),NA()),NA())</ns0:f>
        <ns0:v/>
      </ns0:c>
      <ns0:c r="E2761">
        <ns0:f>IFERROR(IF(ISNUMBER($A2761),IF(AND(AH!$P$10=1,AH!$P$12=1,$A2761=TODAY()),AH!$P$20,IF(AH!$P$10=1,INDEX('Live History'!$H$5:$H$3004,MATCH($A2761,'Live History'!$G$5:$G$3004,1)),INDEX('AH History'!$D$1:$D$18046,AH!$P$7+2756))),NA()),NA())</ns0:f>
        <ns0:v/>
      </ns0:c>
      <ns0:c r="F2761">
        <ns0:f>IFERROR(IF(ISNUMBER($A2761),IF(AND(AH!$P$10=1,AH!$P$12=1,$A2761=TODAY()),IF(AND(AH!$P$10=1,AH!$P$12=1,$A2761=TODAY()),TODAY(),NA()),IF(AH!$P$10=1,INDEX('Live History'!$D$5:$D$3004,MATCH($A2761,'Live History'!$D$5:$D$3004,1)),INDEX('AH History'!$E$1:$E$18046,AH!$P$7+2756))),NA()),NA())</ns0:f>
        <ns0:v/>
      </ns0:c>
      <ns0:c r="G2761">
        <ns0:f>IFERROR(IF(ISNUMBER($A2761),IF(AND(AH!$P$10=1,AH!$P$12=1,$A2761=TODAY()),IF(AND(AH!$P$10=1,AH!$P$12=1,$A2761=TODAY()),TODAY(),NA()),IF(AH!$P$10=1,INDEX('Live History'!$G$5:$G$3004,MATCH($A2761,'Live History'!$G$5:$G$3004,1)),INDEX('AH History'!$F$1:$F$18046,AH!$P$7+2756))),NA()),NA())</ns0:f>
        <ns0:v/>
      </ns0:c>
      <ns0:c r="H2761">
        <ns0:f>IFERROR(IF(AND(AH!$E$4="Bloomberg",AH!$P$10=1,ISNUMBER($A2761),$A2761&lt;=AH!$P$17),AH!$P$7-1+MATCH($A2761,INDEX('AH History'!$A$1:$A$18046,AH!$P$7):INDEX('AH History'!$A$1:$A$18046,AH!$P$7+AH!$P$8-1),0),0),0)</ns0:f>
        <ns0:v/>
      </ns0:c>
      <ns0:c r="I2761">
        <ns0:f>IF($H2761=0,0,IFERROR(IF(AND(ABS($C2761-INDEX('AH History'!$B$1:$B$18046,$H2761))&lt;=MAX(0.005,ABS(INDEX('AH History'!$B$1:$B$18046,$H2761))*0.00005),ABS($D2761-INDEX('AH History'!$C$1:$C$18046,$H2761))&lt;=MAX(0.005,ABS(INDEX('AH History'!$C$1:$C$18046,$H2761))*0.00005),ABS($E2761-INDEX('AH History'!$D$1:$D$18046,$H2761))&lt;=0.00005,$F2761=INDEX('AH History'!$E$1:$E$18046,$H2761),$G2761=INDEX('AH History'!$F$1:$F$18046,$H2761)),1,-1),-1))</ns0:f>
        <ns0:v/>
      </ns0:c>
    </ns0:row>
    <ns0:row r="2762">
      <ns0:c r="A2762" s="215">
        <ns0:f>IF(OR(AH!$P$3=0,2757+1&gt;AH!$P$11,AND(AH!$E$4&lt;&gt;"Stored",AH!$P$10&lt;&gt;1)),"",IFERROR(IF(AND(AH!$P$21=1,2757+1=AH!$P$11),TODAY(),IF(AH!$P$10=1,INDEX('Live History'!$A$5:$A$3004,AH!$P$13+2757),INDEX('AH History'!$A$1:$A$18046,AH!$P$7+2757))),""))</ns0:f>
        <ns0:v/>
      </ns0:c>
      <ns0:c r="B2762" s="219">
        <ns0:f>IFERROR(IF(AND(AH!$P$9&lt;&gt;1,$C2762&gt;0,$D2762&gt;0,$E2762&gt;0,$F2762&gt;0,$G2762&gt;0,$F2762&lt;=$A2762,$G2762&lt;=$A2762,$A2762-$F2762&lt;=10,$A2762-$G2762&lt;=5),$D2762*$E2762/$C2762-1,NA()),NA())</ns0:f>
        <ns0:v/>
      </ns0:c>
      <ns0:c r="C2762">
        <ns0:f>IFERROR(IF(ISNUMBER($A2762),IF(AND(AH!$P$10=1,AH!$P$12=1,$A2762=TODAY()),AH!$P$19,IF(AH!$P$10=1,INDEX('Live History'!$B$5:$B$3004,AH!$P$13+2757),INDEX('AH History'!$B$1:$B$18046,AH!$P$7+2757))),NA()),NA())</ns0:f>
        <ns0:v/>
      </ns0:c>
      <ns0:c r="D2762">
        <ns0:f>IFERROR(IF(ISNUMBER($A2762),IF(AND(AH!$P$10=1,AH!$P$12=1,$A2762=TODAY()),AH!$P$18,IF(AH!$P$10=1,INDEX('Live History'!$E$5:$E$3004,MATCH($A2762,'Live History'!$D$5:$D$3004,1)),INDEX('AH History'!$C$1:$C$18046,AH!$P$7+2757))),NA()),NA())</ns0:f>
        <ns0:v/>
      </ns0:c>
      <ns0:c r="E2762">
        <ns0:f>IFERROR(IF(ISNUMBER($A2762),IF(AND(AH!$P$10=1,AH!$P$12=1,$A2762=TODAY()),AH!$P$20,IF(AH!$P$10=1,INDEX('Live History'!$H$5:$H$3004,MATCH($A2762,'Live History'!$G$5:$G$3004,1)),INDEX('AH History'!$D$1:$D$18046,AH!$P$7+2757))),NA()),NA())</ns0:f>
        <ns0:v/>
      </ns0:c>
      <ns0:c r="F2762">
        <ns0:f>IFERROR(IF(ISNUMBER($A2762),IF(AND(AH!$P$10=1,AH!$P$12=1,$A2762=TODAY()),IF(AND(AH!$P$10=1,AH!$P$12=1,$A2762=TODAY()),TODAY(),NA()),IF(AH!$P$10=1,INDEX('Live History'!$D$5:$D$3004,MATCH($A2762,'Live History'!$D$5:$D$3004,1)),INDEX('AH History'!$E$1:$E$18046,AH!$P$7+2757))),NA()),NA())</ns0:f>
        <ns0:v/>
      </ns0:c>
      <ns0:c r="G2762">
        <ns0:f>IFERROR(IF(ISNUMBER($A2762),IF(AND(AH!$P$10=1,AH!$P$12=1,$A2762=TODAY()),IF(AND(AH!$P$10=1,AH!$P$12=1,$A2762=TODAY()),TODAY(),NA()),IF(AH!$P$10=1,INDEX('Live History'!$G$5:$G$3004,MATCH($A2762,'Live History'!$G$5:$G$3004,1)),INDEX('AH History'!$F$1:$F$18046,AH!$P$7+2757))),NA()),NA())</ns0:f>
        <ns0:v/>
      </ns0:c>
      <ns0:c r="H2762">
        <ns0:f>IFERROR(IF(AND(AH!$E$4="Bloomberg",AH!$P$10=1,ISNUMBER($A2762),$A2762&lt;=AH!$P$17),AH!$P$7-1+MATCH($A2762,INDEX('AH History'!$A$1:$A$18046,AH!$P$7):INDEX('AH History'!$A$1:$A$18046,AH!$P$7+AH!$P$8-1),0),0),0)</ns0:f>
        <ns0:v/>
      </ns0:c>
      <ns0:c r="I2762">
        <ns0:f>IF($H2762=0,0,IFERROR(IF(AND(ABS($C2762-INDEX('AH History'!$B$1:$B$18046,$H2762))&lt;=MAX(0.005,ABS(INDEX('AH History'!$B$1:$B$18046,$H2762))*0.00005),ABS($D2762-INDEX('AH History'!$C$1:$C$18046,$H2762))&lt;=MAX(0.005,ABS(INDEX('AH History'!$C$1:$C$18046,$H2762))*0.00005),ABS($E2762-INDEX('AH History'!$D$1:$D$18046,$H2762))&lt;=0.00005,$F2762=INDEX('AH History'!$E$1:$E$18046,$H2762),$G2762=INDEX('AH History'!$F$1:$F$18046,$H2762)),1,-1),-1))</ns0:f>
        <ns0:v/>
      </ns0:c>
    </ns0:row>
    <ns0:row r="2763">
      <ns0:c r="A2763" s="215">
        <ns0:f>IF(OR(AH!$P$3=0,2758+1&gt;AH!$P$11,AND(AH!$E$4&lt;&gt;"Stored",AH!$P$10&lt;&gt;1)),"",IFERROR(IF(AND(AH!$P$21=1,2758+1=AH!$P$11),TODAY(),IF(AH!$P$10=1,INDEX('Live History'!$A$5:$A$3004,AH!$P$13+2758),INDEX('AH History'!$A$1:$A$18046,AH!$P$7+2758))),""))</ns0:f>
        <ns0:v/>
      </ns0:c>
      <ns0:c r="B2763" s="219">
        <ns0:f>IFERROR(IF(AND(AH!$P$9&lt;&gt;1,$C2763&gt;0,$D2763&gt;0,$E2763&gt;0,$F2763&gt;0,$G2763&gt;0,$F2763&lt;=$A2763,$G2763&lt;=$A2763,$A2763-$F2763&lt;=10,$A2763-$G2763&lt;=5),$D2763*$E2763/$C2763-1,NA()),NA())</ns0:f>
        <ns0:v/>
      </ns0:c>
      <ns0:c r="C2763">
        <ns0:f>IFERROR(IF(ISNUMBER($A2763),IF(AND(AH!$P$10=1,AH!$P$12=1,$A2763=TODAY()),AH!$P$19,IF(AH!$P$10=1,INDEX('Live History'!$B$5:$B$3004,AH!$P$13+2758),INDEX('AH History'!$B$1:$B$18046,AH!$P$7+2758))),NA()),NA())</ns0:f>
        <ns0:v/>
      </ns0:c>
      <ns0:c r="D2763">
        <ns0:f>IFERROR(IF(ISNUMBER($A2763),IF(AND(AH!$P$10=1,AH!$P$12=1,$A2763=TODAY()),AH!$P$18,IF(AH!$P$10=1,INDEX('Live History'!$E$5:$E$3004,MATCH($A2763,'Live History'!$D$5:$D$3004,1)),INDEX('AH History'!$C$1:$C$18046,AH!$P$7+2758))),NA()),NA())</ns0:f>
        <ns0:v/>
      </ns0:c>
      <ns0:c r="E2763">
        <ns0:f>IFERROR(IF(ISNUMBER($A2763),IF(AND(AH!$P$10=1,AH!$P$12=1,$A2763=TODAY()),AH!$P$20,IF(AH!$P$10=1,INDEX('Live History'!$H$5:$H$3004,MATCH($A2763,'Live History'!$G$5:$G$3004,1)),INDEX('AH History'!$D$1:$D$18046,AH!$P$7+2758))),NA()),NA())</ns0:f>
        <ns0:v/>
      </ns0:c>
      <ns0:c r="F2763">
        <ns0:f>IFERROR(IF(ISNUMBER($A2763),IF(AND(AH!$P$10=1,AH!$P$12=1,$A2763=TODAY()),IF(AND(AH!$P$10=1,AH!$P$12=1,$A2763=TODAY()),TODAY(),NA()),IF(AH!$P$10=1,INDEX('Live History'!$D$5:$D$3004,MATCH($A2763,'Live History'!$D$5:$D$3004,1)),INDEX('AH History'!$E$1:$E$18046,AH!$P$7+2758))),NA()),NA())</ns0:f>
        <ns0:v/>
      </ns0:c>
      <ns0:c r="G2763">
        <ns0:f>IFERROR(IF(ISNUMBER($A2763),IF(AND(AH!$P$10=1,AH!$P$12=1,$A2763=TODAY()),IF(AND(AH!$P$10=1,AH!$P$12=1,$A2763=TODAY()),TODAY(),NA()),IF(AH!$P$10=1,INDEX('Live History'!$G$5:$G$3004,MATCH($A2763,'Live History'!$G$5:$G$3004,1)),INDEX('AH History'!$F$1:$F$18046,AH!$P$7+2758))),NA()),NA())</ns0:f>
        <ns0:v/>
      </ns0:c>
      <ns0:c r="H2763">
        <ns0:f>IFERROR(IF(AND(AH!$E$4="Bloomberg",AH!$P$10=1,ISNUMBER($A2763),$A2763&lt;=AH!$P$17),AH!$P$7-1+MATCH($A2763,INDEX('AH History'!$A$1:$A$18046,AH!$P$7):INDEX('AH History'!$A$1:$A$18046,AH!$P$7+AH!$P$8-1),0),0),0)</ns0:f>
        <ns0:v/>
      </ns0:c>
      <ns0:c r="I2763">
        <ns0:f>IF($H2763=0,0,IFERROR(IF(AND(ABS($C2763-INDEX('AH History'!$B$1:$B$18046,$H2763))&lt;=MAX(0.005,ABS(INDEX('AH History'!$B$1:$B$18046,$H2763))*0.00005),ABS($D2763-INDEX('AH History'!$C$1:$C$18046,$H2763))&lt;=MAX(0.005,ABS(INDEX('AH History'!$C$1:$C$18046,$H2763))*0.00005),ABS($E2763-INDEX('AH History'!$D$1:$D$18046,$H2763))&lt;=0.00005,$F2763=INDEX('AH History'!$E$1:$E$18046,$H2763),$G2763=INDEX('AH History'!$F$1:$F$18046,$H2763)),1,-1),-1))</ns0:f>
        <ns0:v/>
      </ns0:c>
    </ns0:row>
    <ns0:row r="2764">
      <ns0:c r="A2764" s="215">
        <ns0:f>IF(OR(AH!$P$3=0,2759+1&gt;AH!$P$11,AND(AH!$E$4&lt;&gt;"Stored",AH!$P$10&lt;&gt;1)),"",IFERROR(IF(AND(AH!$P$21=1,2759+1=AH!$P$11),TODAY(),IF(AH!$P$10=1,INDEX('Live History'!$A$5:$A$3004,AH!$P$13+2759),INDEX('AH History'!$A$1:$A$18046,AH!$P$7+2759))),""))</ns0:f>
        <ns0:v/>
      </ns0:c>
      <ns0:c r="B2764" s="219">
        <ns0:f>IFERROR(IF(AND(AH!$P$9&lt;&gt;1,$C2764&gt;0,$D2764&gt;0,$E2764&gt;0,$F2764&gt;0,$G2764&gt;0,$F2764&lt;=$A2764,$G2764&lt;=$A2764,$A2764-$F2764&lt;=10,$A2764-$G2764&lt;=5),$D2764*$E2764/$C2764-1,NA()),NA())</ns0:f>
        <ns0:v/>
      </ns0:c>
      <ns0:c r="C2764">
        <ns0:f>IFERROR(IF(ISNUMBER($A2764),IF(AND(AH!$P$10=1,AH!$P$12=1,$A2764=TODAY()),AH!$P$19,IF(AH!$P$10=1,INDEX('Live History'!$B$5:$B$3004,AH!$P$13+2759),INDEX('AH History'!$B$1:$B$18046,AH!$P$7+2759))),NA()),NA())</ns0:f>
        <ns0:v/>
      </ns0:c>
      <ns0:c r="D2764">
        <ns0:f>IFERROR(IF(ISNUMBER($A2764),IF(AND(AH!$P$10=1,AH!$P$12=1,$A2764=TODAY()),AH!$P$18,IF(AH!$P$10=1,INDEX('Live History'!$E$5:$E$3004,MATCH($A2764,'Live History'!$D$5:$D$3004,1)),INDEX('AH History'!$C$1:$C$18046,AH!$P$7+2759))),NA()),NA())</ns0:f>
        <ns0:v/>
      </ns0:c>
      <ns0:c r="E2764">
        <ns0:f>IFERROR(IF(ISNUMBER($A2764),IF(AND(AH!$P$10=1,AH!$P$12=1,$A2764=TODAY()),AH!$P$20,IF(AH!$P$10=1,INDEX('Live History'!$H$5:$H$3004,MATCH($A2764,'Live History'!$G$5:$G$3004,1)),INDEX('AH History'!$D$1:$D$18046,AH!$P$7+2759))),NA()),NA())</ns0:f>
        <ns0:v/>
      </ns0:c>
      <ns0:c r="F2764">
        <ns0:f>IFERROR(IF(ISNUMBER($A2764),IF(AND(AH!$P$10=1,AH!$P$12=1,$A2764=TODAY()),IF(AND(AH!$P$10=1,AH!$P$12=1,$A2764=TODAY()),TODAY(),NA()),IF(AH!$P$10=1,INDEX('Live History'!$D$5:$D$3004,MATCH($A2764,'Live History'!$D$5:$D$3004,1)),INDEX('AH History'!$E$1:$E$18046,AH!$P$7+2759))),NA()),NA())</ns0:f>
        <ns0:v/>
      </ns0:c>
      <ns0:c r="G2764">
        <ns0:f>IFERROR(IF(ISNUMBER($A2764),IF(AND(AH!$P$10=1,AH!$P$12=1,$A2764=TODAY()),IF(AND(AH!$P$10=1,AH!$P$12=1,$A2764=TODAY()),TODAY(),NA()),IF(AH!$P$10=1,INDEX('Live History'!$G$5:$G$3004,MATCH($A2764,'Live History'!$G$5:$G$3004,1)),INDEX('AH History'!$F$1:$F$18046,AH!$P$7+2759))),NA()),NA())</ns0:f>
        <ns0:v/>
      </ns0:c>
      <ns0:c r="H2764">
        <ns0:f>IFERROR(IF(AND(AH!$E$4="Bloomberg",AH!$P$10=1,ISNUMBER($A2764),$A2764&lt;=AH!$P$17),AH!$P$7-1+MATCH($A2764,INDEX('AH History'!$A$1:$A$18046,AH!$P$7):INDEX('AH History'!$A$1:$A$18046,AH!$P$7+AH!$P$8-1),0),0),0)</ns0:f>
        <ns0:v/>
      </ns0:c>
      <ns0:c r="I2764">
        <ns0:f>IF($H2764=0,0,IFERROR(IF(AND(ABS($C2764-INDEX('AH History'!$B$1:$B$18046,$H2764))&lt;=MAX(0.005,ABS(INDEX('AH History'!$B$1:$B$18046,$H2764))*0.00005),ABS($D2764-INDEX('AH History'!$C$1:$C$18046,$H2764))&lt;=MAX(0.005,ABS(INDEX('AH History'!$C$1:$C$18046,$H2764))*0.00005),ABS($E2764-INDEX('AH History'!$D$1:$D$18046,$H2764))&lt;=0.00005,$F2764=INDEX('AH History'!$E$1:$E$18046,$H2764),$G2764=INDEX('AH History'!$F$1:$F$18046,$H2764)),1,-1),-1))</ns0:f>
        <ns0:v/>
      </ns0:c>
    </ns0:row>
    <ns0:row r="2765">
      <ns0:c r="A2765" s="215">
        <ns0:f>IF(OR(AH!$P$3=0,2760+1&gt;AH!$P$11,AND(AH!$E$4&lt;&gt;"Stored",AH!$P$10&lt;&gt;1)),"",IFERROR(IF(AND(AH!$P$21=1,2760+1=AH!$P$11),TODAY(),IF(AH!$P$10=1,INDEX('Live History'!$A$5:$A$3004,AH!$P$13+2760),INDEX('AH History'!$A$1:$A$18046,AH!$P$7+2760))),""))</ns0:f>
        <ns0:v/>
      </ns0:c>
      <ns0:c r="B2765" s="219">
        <ns0:f>IFERROR(IF(AND(AH!$P$9&lt;&gt;1,$C2765&gt;0,$D2765&gt;0,$E2765&gt;0,$F2765&gt;0,$G2765&gt;0,$F2765&lt;=$A2765,$G2765&lt;=$A2765,$A2765-$F2765&lt;=10,$A2765-$G2765&lt;=5),$D2765*$E2765/$C2765-1,NA()),NA())</ns0:f>
        <ns0:v/>
      </ns0:c>
      <ns0:c r="C2765">
        <ns0:f>IFERROR(IF(ISNUMBER($A2765),IF(AND(AH!$P$10=1,AH!$P$12=1,$A2765=TODAY()),AH!$P$19,IF(AH!$P$10=1,INDEX('Live History'!$B$5:$B$3004,AH!$P$13+2760),INDEX('AH History'!$B$1:$B$18046,AH!$P$7+2760))),NA()),NA())</ns0:f>
        <ns0:v/>
      </ns0:c>
      <ns0:c r="D2765">
        <ns0:f>IFERROR(IF(ISNUMBER($A2765),IF(AND(AH!$P$10=1,AH!$P$12=1,$A2765=TODAY()),AH!$P$18,IF(AH!$P$10=1,INDEX('Live History'!$E$5:$E$3004,MATCH($A2765,'Live History'!$D$5:$D$3004,1)),INDEX('AH History'!$C$1:$C$18046,AH!$P$7+2760))),NA()),NA())</ns0:f>
        <ns0:v/>
      </ns0:c>
      <ns0:c r="E2765">
        <ns0:f>IFERROR(IF(ISNUMBER($A2765),IF(AND(AH!$P$10=1,AH!$P$12=1,$A2765=TODAY()),AH!$P$20,IF(AH!$P$10=1,INDEX('Live History'!$H$5:$H$3004,MATCH($A2765,'Live History'!$G$5:$G$3004,1)),INDEX('AH History'!$D$1:$D$18046,AH!$P$7+2760))),NA()),NA())</ns0:f>
        <ns0:v/>
      </ns0:c>
      <ns0:c r="F2765">
        <ns0:f>IFERROR(IF(ISNUMBER($A2765),IF(AND(AH!$P$10=1,AH!$P$12=1,$A2765=TODAY()),IF(AND(AH!$P$10=1,AH!$P$12=1,$A2765=TODAY()),TODAY(),NA()),IF(AH!$P$10=1,INDEX('Live History'!$D$5:$D$3004,MATCH($A2765,'Live History'!$D$5:$D$3004,1)),INDEX('AH History'!$E$1:$E$18046,AH!$P$7+2760))),NA()),NA())</ns0:f>
        <ns0:v/>
      </ns0:c>
      <ns0:c r="G2765">
        <ns0:f>IFERROR(IF(ISNUMBER($A2765),IF(AND(AH!$P$10=1,AH!$P$12=1,$A2765=TODAY()),IF(AND(AH!$P$10=1,AH!$P$12=1,$A2765=TODAY()),TODAY(),NA()),IF(AH!$P$10=1,INDEX('Live History'!$G$5:$G$3004,MATCH($A2765,'Live History'!$G$5:$G$3004,1)),INDEX('AH History'!$F$1:$F$18046,AH!$P$7+2760))),NA()),NA())</ns0:f>
        <ns0:v/>
      </ns0:c>
      <ns0:c r="H2765">
        <ns0:f>IFERROR(IF(AND(AH!$E$4="Bloomberg",AH!$P$10=1,ISNUMBER($A2765),$A2765&lt;=AH!$P$17),AH!$P$7-1+MATCH($A2765,INDEX('AH History'!$A$1:$A$18046,AH!$P$7):INDEX('AH History'!$A$1:$A$18046,AH!$P$7+AH!$P$8-1),0),0),0)</ns0:f>
        <ns0:v/>
      </ns0:c>
      <ns0:c r="I2765">
        <ns0:f>IF($H2765=0,0,IFERROR(IF(AND(ABS($C2765-INDEX('AH History'!$B$1:$B$18046,$H2765))&lt;=MAX(0.005,ABS(INDEX('AH History'!$B$1:$B$18046,$H2765))*0.00005),ABS($D2765-INDEX('AH History'!$C$1:$C$18046,$H2765))&lt;=MAX(0.005,ABS(INDEX('AH History'!$C$1:$C$18046,$H2765))*0.00005),ABS($E2765-INDEX('AH History'!$D$1:$D$18046,$H2765))&lt;=0.00005,$F2765=INDEX('AH History'!$E$1:$E$18046,$H2765),$G2765=INDEX('AH History'!$F$1:$F$18046,$H2765)),1,-1),-1))</ns0:f>
        <ns0:v/>
      </ns0:c>
    </ns0:row>
    <ns0:row r="2766">
      <ns0:c r="A2766" s="215">
        <ns0:f>IF(OR(AH!$P$3=0,2761+1&gt;AH!$P$11,AND(AH!$E$4&lt;&gt;"Stored",AH!$P$10&lt;&gt;1)),"",IFERROR(IF(AND(AH!$P$21=1,2761+1=AH!$P$11),TODAY(),IF(AH!$P$10=1,INDEX('Live History'!$A$5:$A$3004,AH!$P$13+2761),INDEX('AH History'!$A$1:$A$18046,AH!$P$7+2761))),""))</ns0:f>
        <ns0:v/>
      </ns0:c>
      <ns0:c r="B2766" s="219">
        <ns0:f>IFERROR(IF(AND(AH!$P$9&lt;&gt;1,$C2766&gt;0,$D2766&gt;0,$E2766&gt;0,$F2766&gt;0,$G2766&gt;0,$F2766&lt;=$A2766,$G2766&lt;=$A2766,$A2766-$F2766&lt;=10,$A2766-$G2766&lt;=5),$D2766*$E2766/$C2766-1,NA()),NA())</ns0:f>
        <ns0:v/>
      </ns0:c>
      <ns0:c r="C2766">
        <ns0:f>IFERROR(IF(ISNUMBER($A2766),IF(AND(AH!$P$10=1,AH!$P$12=1,$A2766=TODAY()),AH!$P$19,IF(AH!$P$10=1,INDEX('Live History'!$B$5:$B$3004,AH!$P$13+2761),INDEX('AH History'!$B$1:$B$18046,AH!$P$7+2761))),NA()),NA())</ns0:f>
        <ns0:v/>
      </ns0:c>
      <ns0:c r="D2766">
        <ns0:f>IFERROR(IF(ISNUMBER($A2766),IF(AND(AH!$P$10=1,AH!$P$12=1,$A2766=TODAY()),AH!$P$18,IF(AH!$P$10=1,INDEX('Live History'!$E$5:$E$3004,MATCH($A2766,'Live History'!$D$5:$D$3004,1)),INDEX('AH History'!$C$1:$C$18046,AH!$P$7+2761))),NA()),NA())</ns0:f>
        <ns0:v/>
      </ns0:c>
      <ns0:c r="E2766">
        <ns0:f>IFERROR(IF(ISNUMBER($A2766),IF(AND(AH!$P$10=1,AH!$P$12=1,$A2766=TODAY()),AH!$P$20,IF(AH!$P$10=1,INDEX('Live History'!$H$5:$H$3004,MATCH($A2766,'Live History'!$G$5:$G$3004,1)),INDEX('AH History'!$D$1:$D$18046,AH!$P$7+2761))),NA()),NA())</ns0:f>
        <ns0:v/>
      </ns0:c>
      <ns0:c r="F2766">
        <ns0:f>IFERROR(IF(ISNUMBER($A2766),IF(AND(AH!$P$10=1,AH!$P$12=1,$A2766=TODAY()),IF(AND(AH!$P$10=1,AH!$P$12=1,$A2766=TODAY()),TODAY(),NA()),IF(AH!$P$10=1,INDEX('Live History'!$D$5:$D$3004,MATCH($A2766,'Live History'!$D$5:$D$3004,1)),INDEX('AH History'!$E$1:$E$18046,AH!$P$7+2761))),NA()),NA())</ns0:f>
        <ns0:v/>
      </ns0:c>
      <ns0:c r="G2766">
        <ns0:f>IFERROR(IF(ISNUMBER($A2766),IF(AND(AH!$P$10=1,AH!$P$12=1,$A2766=TODAY()),IF(AND(AH!$P$10=1,AH!$P$12=1,$A2766=TODAY()),TODAY(),NA()),IF(AH!$P$10=1,INDEX('Live History'!$G$5:$G$3004,MATCH($A2766,'Live History'!$G$5:$G$3004,1)),INDEX('AH History'!$F$1:$F$18046,AH!$P$7+2761))),NA()),NA())</ns0:f>
        <ns0:v/>
      </ns0:c>
      <ns0:c r="H2766">
        <ns0:f>IFERROR(IF(AND(AH!$E$4="Bloomberg",AH!$P$10=1,ISNUMBER($A2766),$A2766&lt;=AH!$P$17),AH!$P$7-1+MATCH($A2766,INDEX('AH History'!$A$1:$A$18046,AH!$P$7):INDEX('AH History'!$A$1:$A$18046,AH!$P$7+AH!$P$8-1),0),0),0)</ns0:f>
        <ns0:v/>
      </ns0:c>
      <ns0:c r="I2766">
        <ns0:f>IF($H2766=0,0,IFERROR(IF(AND(ABS($C2766-INDEX('AH History'!$B$1:$B$18046,$H2766))&lt;=MAX(0.005,ABS(INDEX('AH History'!$B$1:$B$18046,$H2766))*0.00005),ABS($D2766-INDEX('AH History'!$C$1:$C$18046,$H2766))&lt;=MAX(0.005,ABS(INDEX('AH History'!$C$1:$C$18046,$H2766))*0.00005),ABS($E2766-INDEX('AH History'!$D$1:$D$18046,$H2766))&lt;=0.00005,$F2766=INDEX('AH History'!$E$1:$E$18046,$H2766),$G2766=INDEX('AH History'!$F$1:$F$18046,$H2766)),1,-1),-1))</ns0:f>
        <ns0:v/>
      </ns0:c>
    </ns0:row>
    <ns0:row r="2767">
      <ns0:c r="A2767" s="215">
        <ns0:f>IF(OR(AH!$P$3=0,2762+1&gt;AH!$P$11,AND(AH!$E$4&lt;&gt;"Stored",AH!$P$10&lt;&gt;1)),"",IFERROR(IF(AND(AH!$P$21=1,2762+1=AH!$P$11),TODAY(),IF(AH!$P$10=1,INDEX('Live History'!$A$5:$A$3004,AH!$P$13+2762),INDEX('AH History'!$A$1:$A$18046,AH!$P$7+2762))),""))</ns0:f>
        <ns0:v/>
      </ns0:c>
      <ns0:c r="B2767" s="219">
        <ns0:f>IFERROR(IF(AND(AH!$P$9&lt;&gt;1,$C2767&gt;0,$D2767&gt;0,$E2767&gt;0,$F2767&gt;0,$G2767&gt;0,$F2767&lt;=$A2767,$G2767&lt;=$A2767,$A2767-$F2767&lt;=10,$A2767-$G2767&lt;=5),$D2767*$E2767/$C2767-1,NA()),NA())</ns0:f>
        <ns0:v/>
      </ns0:c>
      <ns0:c r="C2767">
        <ns0:f>IFERROR(IF(ISNUMBER($A2767),IF(AND(AH!$P$10=1,AH!$P$12=1,$A2767=TODAY()),AH!$P$19,IF(AH!$P$10=1,INDEX('Live History'!$B$5:$B$3004,AH!$P$13+2762),INDEX('AH History'!$B$1:$B$18046,AH!$P$7+2762))),NA()),NA())</ns0:f>
        <ns0:v/>
      </ns0:c>
      <ns0:c r="D2767">
        <ns0:f>IFERROR(IF(ISNUMBER($A2767),IF(AND(AH!$P$10=1,AH!$P$12=1,$A2767=TODAY()),AH!$P$18,IF(AH!$P$10=1,INDEX('Live History'!$E$5:$E$3004,MATCH($A2767,'Live History'!$D$5:$D$3004,1)),INDEX('AH History'!$C$1:$C$18046,AH!$P$7+2762))),NA()),NA())</ns0:f>
        <ns0:v/>
      </ns0:c>
      <ns0:c r="E2767">
        <ns0:f>IFERROR(IF(ISNUMBER($A2767),IF(AND(AH!$P$10=1,AH!$P$12=1,$A2767=TODAY()),AH!$P$20,IF(AH!$P$10=1,INDEX('Live History'!$H$5:$H$3004,MATCH($A2767,'Live History'!$G$5:$G$3004,1)),INDEX('AH History'!$D$1:$D$18046,AH!$P$7+2762))),NA()),NA())</ns0:f>
        <ns0:v/>
      </ns0:c>
      <ns0:c r="F2767">
        <ns0:f>IFERROR(IF(ISNUMBER($A2767),IF(AND(AH!$P$10=1,AH!$P$12=1,$A2767=TODAY()),IF(AND(AH!$P$10=1,AH!$P$12=1,$A2767=TODAY()),TODAY(),NA()),IF(AH!$P$10=1,INDEX('Live History'!$D$5:$D$3004,MATCH($A2767,'Live History'!$D$5:$D$3004,1)),INDEX('AH History'!$E$1:$E$18046,AH!$P$7+2762))),NA()),NA())</ns0:f>
        <ns0:v/>
      </ns0:c>
      <ns0:c r="G2767">
        <ns0:f>IFERROR(IF(ISNUMBER($A2767),IF(AND(AH!$P$10=1,AH!$P$12=1,$A2767=TODAY()),IF(AND(AH!$P$10=1,AH!$P$12=1,$A2767=TODAY()),TODAY(),NA()),IF(AH!$P$10=1,INDEX('Live History'!$G$5:$G$3004,MATCH($A2767,'Live History'!$G$5:$G$3004,1)),INDEX('AH History'!$F$1:$F$18046,AH!$P$7+2762))),NA()),NA())</ns0:f>
        <ns0:v/>
      </ns0:c>
      <ns0:c r="H2767">
        <ns0:f>IFERROR(IF(AND(AH!$E$4="Bloomberg",AH!$P$10=1,ISNUMBER($A2767),$A2767&lt;=AH!$P$17),AH!$P$7-1+MATCH($A2767,INDEX('AH History'!$A$1:$A$18046,AH!$P$7):INDEX('AH History'!$A$1:$A$18046,AH!$P$7+AH!$P$8-1),0),0),0)</ns0:f>
        <ns0:v/>
      </ns0:c>
      <ns0:c r="I2767">
        <ns0:f>IF($H2767=0,0,IFERROR(IF(AND(ABS($C2767-INDEX('AH History'!$B$1:$B$18046,$H2767))&lt;=MAX(0.005,ABS(INDEX('AH History'!$B$1:$B$18046,$H2767))*0.00005),ABS($D2767-INDEX('AH History'!$C$1:$C$18046,$H2767))&lt;=MAX(0.005,ABS(INDEX('AH History'!$C$1:$C$18046,$H2767))*0.00005),ABS($E2767-INDEX('AH History'!$D$1:$D$18046,$H2767))&lt;=0.00005,$F2767=INDEX('AH History'!$E$1:$E$18046,$H2767),$G2767=INDEX('AH History'!$F$1:$F$18046,$H2767)),1,-1),-1))</ns0:f>
        <ns0:v/>
      </ns0:c>
    </ns0:row>
    <ns0:row r="2768">
      <ns0:c r="A2768" s="215">
        <ns0:f>IF(OR(AH!$P$3=0,2763+1&gt;AH!$P$11,AND(AH!$E$4&lt;&gt;"Stored",AH!$P$10&lt;&gt;1)),"",IFERROR(IF(AND(AH!$P$21=1,2763+1=AH!$P$11),TODAY(),IF(AH!$P$10=1,INDEX('Live History'!$A$5:$A$3004,AH!$P$13+2763),INDEX('AH History'!$A$1:$A$18046,AH!$P$7+2763))),""))</ns0:f>
        <ns0:v/>
      </ns0:c>
      <ns0:c r="B2768" s="219">
        <ns0:f>IFERROR(IF(AND(AH!$P$9&lt;&gt;1,$C2768&gt;0,$D2768&gt;0,$E2768&gt;0,$F2768&gt;0,$G2768&gt;0,$F2768&lt;=$A2768,$G2768&lt;=$A2768,$A2768-$F2768&lt;=10,$A2768-$G2768&lt;=5),$D2768*$E2768/$C2768-1,NA()),NA())</ns0:f>
        <ns0:v/>
      </ns0:c>
      <ns0:c r="C2768">
        <ns0:f>IFERROR(IF(ISNUMBER($A2768),IF(AND(AH!$P$10=1,AH!$P$12=1,$A2768=TODAY()),AH!$P$19,IF(AH!$P$10=1,INDEX('Live History'!$B$5:$B$3004,AH!$P$13+2763),INDEX('AH History'!$B$1:$B$18046,AH!$P$7+2763))),NA()),NA())</ns0:f>
        <ns0:v/>
      </ns0:c>
      <ns0:c r="D2768">
        <ns0:f>IFERROR(IF(ISNUMBER($A2768),IF(AND(AH!$P$10=1,AH!$P$12=1,$A2768=TODAY()),AH!$P$18,IF(AH!$P$10=1,INDEX('Live History'!$E$5:$E$3004,MATCH($A2768,'Live History'!$D$5:$D$3004,1)),INDEX('AH History'!$C$1:$C$18046,AH!$P$7+2763))),NA()),NA())</ns0:f>
        <ns0:v/>
      </ns0:c>
      <ns0:c r="E2768">
        <ns0:f>IFERROR(IF(ISNUMBER($A2768),IF(AND(AH!$P$10=1,AH!$P$12=1,$A2768=TODAY()),AH!$P$20,IF(AH!$P$10=1,INDEX('Live History'!$H$5:$H$3004,MATCH($A2768,'Live History'!$G$5:$G$3004,1)),INDEX('AH History'!$D$1:$D$18046,AH!$P$7+2763))),NA()),NA())</ns0:f>
        <ns0:v/>
      </ns0:c>
      <ns0:c r="F2768">
        <ns0:f>IFERROR(IF(ISNUMBER($A2768),IF(AND(AH!$P$10=1,AH!$P$12=1,$A2768=TODAY()),IF(AND(AH!$P$10=1,AH!$P$12=1,$A2768=TODAY()),TODAY(),NA()),IF(AH!$P$10=1,INDEX('Live History'!$D$5:$D$3004,MATCH($A2768,'Live History'!$D$5:$D$3004,1)),INDEX('AH History'!$E$1:$E$18046,AH!$P$7+2763))),NA()),NA())</ns0:f>
        <ns0:v/>
      </ns0:c>
      <ns0:c r="G2768">
        <ns0:f>IFERROR(IF(ISNUMBER($A2768),IF(AND(AH!$P$10=1,AH!$P$12=1,$A2768=TODAY()),IF(AND(AH!$P$10=1,AH!$P$12=1,$A2768=TODAY()),TODAY(),NA()),IF(AH!$P$10=1,INDEX('Live History'!$G$5:$G$3004,MATCH($A2768,'Live History'!$G$5:$G$3004,1)),INDEX('AH History'!$F$1:$F$18046,AH!$P$7+2763))),NA()),NA())</ns0:f>
        <ns0:v/>
      </ns0:c>
      <ns0:c r="H2768">
        <ns0:f>IFERROR(IF(AND(AH!$E$4="Bloomberg",AH!$P$10=1,ISNUMBER($A2768),$A2768&lt;=AH!$P$17),AH!$P$7-1+MATCH($A2768,INDEX('AH History'!$A$1:$A$18046,AH!$P$7):INDEX('AH History'!$A$1:$A$18046,AH!$P$7+AH!$P$8-1),0),0),0)</ns0:f>
        <ns0:v/>
      </ns0:c>
      <ns0:c r="I2768">
        <ns0:f>IF($H2768=0,0,IFERROR(IF(AND(ABS($C2768-INDEX('AH History'!$B$1:$B$18046,$H2768))&lt;=MAX(0.005,ABS(INDEX('AH History'!$B$1:$B$18046,$H2768))*0.00005),ABS($D2768-INDEX('AH History'!$C$1:$C$18046,$H2768))&lt;=MAX(0.005,ABS(INDEX('AH History'!$C$1:$C$18046,$H2768))*0.00005),ABS($E2768-INDEX('AH History'!$D$1:$D$18046,$H2768))&lt;=0.00005,$F2768=INDEX('AH History'!$E$1:$E$18046,$H2768),$G2768=INDEX('AH History'!$F$1:$F$18046,$H2768)),1,-1),-1))</ns0:f>
        <ns0:v/>
      </ns0:c>
    </ns0:row>
    <ns0:row r="2769">
      <ns0:c r="A2769" s="215">
        <ns0:f>IF(OR(AH!$P$3=0,2764+1&gt;AH!$P$11,AND(AH!$E$4&lt;&gt;"Stored",AH!$P$10&lt;&gt;1)),"",IFERROR(IF(AND(AH!$P$21=1,2764+1=AH!$P$11),TODAY(),IF(AH!$P$10=1,INDEX('Live History'!$A$5:$A$3004,AH!$P$13+2764),INDEX('AH History'!$A$1:$A$18046,AH!$P$7+2764))),""))</ns0:f>
        <ns0:v/>
      </ns0:c>
      <ns0:c r="B2769" s="219">
        <ns0:f>IFERROR(IF(AND(AH!$P$9&lt;&gt;1,$C2769&gt;0,$D2769&gt;0,$E2769&gt;0,$F2769&gt;0,$G2769&gt;0,$F2769&lt;=$A2769,$G2769&lt;=$A2769,$A2769-$F2769&lt;=10,$A2769-$G2769&lt;=5),$D2769*$E2769/$C2769-1,NA()),NA())</ns0:f>
        <ns0:v/>
      </ns0:c>
      <ns0:c r="C2769">
        <ns0:f>IFERROR(IF(ISNUMBER($A2769),IF(AND(AH!$P$10=1,AH!$P$12=1,$A2769=TODAY()),AH!$P$19,IF(AH!$P$10=1,INDEX('Live History'!$B$5:$B$3004,AH!$P$13+2764),INDEX('AH History'!$B$1:$B$18046,AH!$P$7+2764))),NA()),NA())</ns0:f>
        <ns0:v/>
      </ns0:c>
      <ns0:c r="D2769">
        <ns0:f>IFERROR(IF(ISNUMBER($A2769),IF(AND(AH!$P$10=1,AH!$P$12=1,$A2769=TODAY()),AH!$P$18,IF(AH!$P$10=1,INDEX('Live History'!$E$5:$E$3004,MATCH($A2769,'Live History'!$D$5:$D$3004,1)),INDEX('AH History'!$C$1:$C$18046,AH!$P$7+2764))),NA()),NA())</ns0:f>
        <ns0:v/>
      </ns0:c>
      <ns0:c r="E2769">
        <ns0:f>IFERROR(IF(ISNUMBER($A2769),IF(AND(AH!$P$10=1,AH!$P$12=1,$A2769=TODAY()),AH!$P$20,IF(AH!$P$10=1,INDEX('Live History'!$H$5:$H$3004,MATCH($A2769,'Live History'!$G$5:$G$3004,1)),INDEX('AH History'!$D$1:$D$18046,AH!$P$7+2764))),NA()),NA())</ns0:f>
        <ns0:v/>
      </ns0:c>
      <ns0:c r="F2769">
        <ns0:f>IFERROR(IF(ISNUMBER($A2769),IF(AND(AH!$P$10=1,AH!$P$12=1,$A2769=TODAY()),IF(AND(AH!$P$10=1,AH!$P$12=1,$A2769=TODAY()),TODAY(),NA()),IF(AH!$P$10=1,INDEX('Live History'!$D$5:$D$3004,MATCH($A2769,'Live History'!$D$5:$D$3004,1)),INDEX('AH History'!$E$1:$E$18046,AH!$P$7+2764))),NA()),NA())</ns0:f>
        <ns0:v/>
      </ns0:c>
      <ns0:c r="G2769">
        <ns0:f>IFERROR(IF(ISNUMBER($A2769),IF(AND(AH!$P$10=1,AH!$P$12=1,$A2769=TODAY()),IF(AND(AH!$P$10=1,AH!$P$12=1,$A2769=TODAY()),TODAY(),NA()),IF(AH!$P$10=1,INDEX('Live History'!$G$5:$G$3004,MATCH($A2769,'Live History'!$G$5:$G$3004,1)),INDEX('AH History'!$F$1:$F$18046,AH!$P$7+2764))),NA()),NA())</ns0:f>
        <ns0:v/>
      </ns0:c>
      <ns0:c r="H2769">
        <ns0:f>IFERROR(IF(AND(AH!$E$4="Bloomberg",AH!$P$10=1,ISNUMBER($A2769),$A2769&lt;=AH!$P$17),AH!$P$7-1+MATCH($A2769,INDEX('AH History'!$A$1:$A$18046,AH!$P$7):INDEX('AH History'!$A$1:$A$18046,AH!$P$7+AH!$P$8-1),0),0),0)</ns0:f>
        <ns0:v/>
      </ns0:c>
      <ns0:c r="I2769">
        <ns0:f>IF($H2769=0,0,IFERROR(IF(AND(ABS($C2769-INDEX('AH History'!$B$1:$B$18046,$H2769))&lt;=MAX(0.005,ABS(INDEX('AH History'!$B$1:$B$18046,$H2769))*0.00005),ABS($D2769-INDEX('AH History'!$C$1:$C$18046,$H2769))&lt;=MAX(0.005,ABS(INDEX('AH History'!$C$1:$C$18046,$H2769))*0.00005),ABS($E2769-INDEX('AH History'!$D$1:$D$18046,$H2769))&lt;=0.00005,$F2769=INDEX('AH History'!$E$1:$E$18046,$H2769),$G2769=INDEX('AH History'!$F$1:$F$18046,$H2769)),1,-1),-1))</ns0:f>
        <ns0:v/>
      </ns0:c>
    </ns0:row>
    <ns0:row r="2770">
      <ns0:c r="A2770" s="215">
        <ns0:f>IF(OR(AH!$P$3=0,2765+1&gt;AH!$P$11,AND(AH!$E$4&lt;&gt;"Stored",AH!$P$10&lt;&gt;1)),"",IFERROR(IF(AND(AH!$P$21=1,2765+1=AH!$P$11),TODAY(),IF(AH!$P$10=1,INDEX('Live History'!$A$5:$A$3004,AH!$P$13+2765),INDEX('AH History'!$A$1:$A$18046,AH!$P$7+2765))),""))</ns0:f>
        <ns0:v/>
      </ns0:c>
      <ns0:c r="B2770" s="219">
        <ns0:f>IFERROR(IF(AND(AH!$P$9&lt;&gt;1,$C2770&gt;0,$D2770&gt;0,$E2770&gt;0,$F2770&gt;0,$G2770&gt;0,$F2770&lt;=$A2770,$G2770&lt;=$A2770,$A2770-$F2770&lt;=10,$A2770-$G2770&lt;=5),$D2770*$E2770/$C2770-1,NA()),NA())</ns0:f>
        <ns0:v/>
      </ns0:c>
      <ns0:c r="C2770">
        <ns0:f>IFERROR(IF(ISNUMBER($A2770),IF(AND(AH!$P$10=1,AH!$P$12=1,$A2770=TODAY()),AH!$P$19,IF(AH!$P$10=1,INDEX('Live History'!$B$5:$B$3004,AH!$P$13+2765),INDEX('AH History'!$B$1:$B$18046,AH!$P$7+2765))),NA()),NA())</ns0:f>
        <ns0:v/>
      </ns0:c>
      <ns0:c r="D2770">
        <ns0:f>IFERROR(IF(ISNUMBER($A2770),IF(AND(AH!$P$10=1,AH!$P$12=1,$A2770=TODAY()),AH!$P$18,IF(AH!$P$10=1,INDEX('Live History'!$E$5:$E$3004,MATCH($A2770,'Live History'!$D$5:$D$3004,1)),INDEX('AH History'!$C$1:$C$18046,AH!$P$7+2765))),NA()),NA())</ns0:f>
        <ns0:v/>
      </ns0:c>
      <ns0:c r="E2770">
        <ns0:f>IFERROR(IF(ISNUMBER($A2770),IF(AND(AH!$P$10=1,AH!$P$12=1,$A2770=TODAY()),AH!$P$20,IF(AH!$P$10=1,INDEX('Live History'!$H$5:$H$3004,MATCH($A2770,'Live History'!$G$5:$G$3004,1)),INDEX('AH History'!$D$1:$D$18046,AH!$P$7+2765))),NA()),NA())</ns0:f>
        <ns0:v/>
      </ns0:c>
      <ns0:c r="F2770">
        <ns0:f>IFERROR(IF(ISNUMBER($A2770),IF(AND(AH!$P$10=1,AH!$P$12=1,$A2770=TODAY()),IF(AND(AH!$P$10=1,AH!$P$12=1,$A2770=TODAY()),TODAY(),NA()),IF(AH!$P$10=1,INDEX('Live History'!$D$5:$D$3004,MATCH($A2770,'Live History'!$D$5:$D$3004,1)),INDEX('AH History'!$E$1:$E$18046,AH!$P$7+2765))),NA()),NA())</ns0:f>
        <ns0:v/>
      </ns0:c>
      <ns0:c r="G2770">
        <ns0:f>IFERROR(IF(ISNUMBER($A2770),IF(AND(AH!$P$10=1,AH!$P$12=1,$A2770=TODAY()),IF(AND(AH!$P$10=1,AH!$P$12=1,$A2770=TODAY()),TODAY(),NA()),IF(AH!$P$10=1,INDEX('Live History'!$G$5:$G$3004,MATCH($A2770,'Live History'!$G$5:$G$3004,1)),INDEX('AH History'!$F$1:$F$18046,AH!$P$7+2765))),NA()),NA())</ns0:f>
        <ns0:v/>
      </ns0:c>
      <ns0:c r="H2770">
        <ns0:f>IFERROR(IF(AND(AH!$E$4="Bloomberg",AH!$P$10=1,ISNUMBER($A2770),$A2770&lt;=AH!$P$17),AH!$P$7-1+MATCH($A2770,INDEX('AH History'!$A$1:$A$18046,AH!$P$7):INDEX('AH History'!$A$1:$A$18046,AH!$P$7+AH!$P$8-1),0),0),0)</ns0:f>
        <ns0:v/>
      </ns0:c>
      <ns0:c r="I2770">
        <ns0:f>IF($H2770=0,0,IFERROR(IF(AND(ABS($C2770-INDEX('AH History'!$B$1:$B$18046,$H2770))&lt;=MAX(0.005,ABS(INDEX('AH History'!$B$1:$B$18046,$H2770))*0.00005),ABS($D2770-INDEX('AH History'!$C$1:$C$18046,$H2770))&lt;=MAX(0.005,ABS(INDEX('AH History'!$C$1:$C$18046,$H2770))*0.00005),ABS($E2770-INDEX('AH History'!$D$1:$D$18046,$H2770))&lt;=0.00005,$F2770=INDEX('AH History'!$E$1:$E$18046,$H2770),$G2770=INDEX('AH History'!$F$1:$F$18046,$H2770)),1,-1),-1))</ns0:f>
        <ns0:v/>
      </ns0:c>
    </ns0:row>
    <ns0:row r="2771">
      <ns0:c r="A2771" s="215">
        <ns0:f>IF(OR(AH!$P$3=0,2766+1&gt;AH!$P$11,AND(AH!$E$4&lt;&gt;"Stored",AH!$P$10&lt;&gt;1)),"",IFERROR(IF(AND(AH!$P$21=1,2766+1=AH!$P$11),TODAY(),IF(AH!$P$10=1,INDEX('Live History'!$A$5:$A$3004,AH!$P$13+2766),INDEX('AH History'!$A$1:$A$18046,AH!$P$7+2766))),""))</ns0:f>
        <ns0:v/>
      </ns0:c>
      <ns0:c r="B2771" s="219">
        <ns0:f>IFERROR(IF(AND(AH!$P$9&lt;&gt;1,$C2771&gt;0,$D2771&gt;0,$E2771&gt;0,$F2771&gt;0,$G2771&gt;0,$F2771&lt;=$A2771,$G2771&lt;=$A2771,$A2771-$F2771&lt;=10,$A2771-$G2771&lt;=5),$D2771*$E2771/$C2771-1,NA()),NA())</ns0:f>
        <ns0:v/>
      </ns0:c>
      <ns0:c r="C2771">
        <ns0:f>IFERROR(IF(ISNUMBER($A2771),IF(AND(AH!$P$10=1,AH!$P$12=1,$A2771=TODAY()),AH!$P$19,IF(AH!$P$10=1,INDEX('Live History'!$B$5:$B$3004,AH!$P$13+2766),INDEX('AH History'!$B$1:$B$18046,AH!$P$7+2766))),NA()),NA())</ns0:f>
        <ns0:v/>
      </ns0:c>
      <ns0:c r="D2771">
        <ns0:f>IFERROR(IF(ISNUMBER($A2771),IF(AND(AH!$P$10=1,AH!$P$12=1,$A2771=TODAY()),AH!$P$18,IF(AH!$P$10=1,INDEX('Live History'!$E$5:$E$3004,MATCH($A2771,'Live History'!$D$5:$D$3004,1)),INDEX('AH History'!$C$1:$C$18046,AH!$P$7+2766))),NA()),NA())</ns0:f>
        <ns0:v/>
      </ns0:c>
      <ns0:c r="E2771">
        <ns0:f>IFERROR(IF(ISNUMBER($A2771),IF(AND(AH!$P$10=1,AH!$P$12=1,$A2771=TODAY()),AH!$P$20,IF(AH!$P$10=1,INDEX('Live History'!$H$5:$H$3004,MATCH($A2771,'Live History'!$G$5:$G$3004,1)),INDEX('AH History'!$D$1:$D$18046,AH!$P$7+2766))),NA()),NA())</ns0:f>
        <ns0:v/>
      </ns0:c>
      <ns0:c r="F2771">
        <ns0:f>IFERROR(IF(ISNUMBER($A2771),IF(AND(AH!$P$10=1,AH!$P$12=1,$A2771=TODAY()),IF(AND(AH!$P$10=1,AH!$P$12=1,$A2771=TODAY()),TODAY(),NA()),IF(AH!$P$10=1,INDEX('Live History'!$D$5:$D$3004,MATCH($A2771,'Live History'!$D$5:$D$3004,1)),INDEX('AH History'!$E$1:$E$18046,AH!$P$7+2766))),NA()),NA())</ns0:f>
        <ns0:v/>
      </ns0:c>
      <ns0:c r="G2771">
        <ns0:f>IFERROR(IF(ISNUMBER($A2771),IF(AND(AH!$P$10=1,AH!$P$12=1,$A2771=TODAY()),IF(AND(AH!$P$10=1,AH!$P$12=1,$A2771=TODAY()),TODAY(),NA()),IF(AH!$P$10=1,INDEX('Live History'!$G$5:$G$3004,MATCH($A2771,'Live History'!$G$5:$G$3004,1)),INDEX('AH History'!$F$1:$F$18046,AH!$P$7+2766))),NA()),NA())</ns0:f>
        <ns0:v/>
      </ns0:c>
      <ns0:c r="H2771">
        <ns0:f>IFERROR(IF(AND(AH!$E$4="Bloomberg",AH!$P$10=1,ISNUMBER($A2771),$A2771&lt;=AH!$P$17),AH!$P$7-1+MATCH($A2771,INDEX('AH History'!$A$1:$A$18046,AH!$P$7):INDEX('AH History'!$A$1:$A$18046,AH!$P$7+AH!$P$8-1),0),0),0)</ns0:f>
        <ns0:v/>
      </ns0:c>
      <ns0:c r="I2771">
        <ns0:f>IF($H2771=0,0,IFERROR(IF(AND(ABS($C2771-INDEX('AH History'!$B$1:$B$18046,$H2771))&lt;=MAX(0.005,ABS(INDEX('AH History'!$B$1:$B$18046,$H2771))*0.00005),ABS($D2771-INDEX('AH History'!$C$1:$C$18046,$H2771))&lt;=MAX(0.005,ABS(INDEX('AH History'!$C$1:$C$18046,$H2771))*0.00005),ABS($E2771-INDEX('AH History'!$D$1:$D$18046,$H2771))&lt;=0.00005,$F2771=INDEX('AH History'!$E$1:$E$18046,$H2771),$G2771=INDEX('AH History'!$F$1:$F$18046,$H2771)),1,-1),-1))</ns0:f>
        <ns0:v/>
      </ns0:c>
    </ns0:row>
    <ns0:row r="2772">
      <ns0:c r="A2772" s="215">
        <ns0:f>IF(OR(AH!$P$3=0,2767+1&gt;AH!$P$11,AND(AH!$E$4&lt;&gt;"Stored",AH!$P$10&lt;&gt;1)),"",IFERROR(IF(AND(AH!$P$21=1,2767+1=AH!$P$11),TODAY(),IF(AH!$P$10=1,INDEX('Live History'!$A$5:$A$3004,AH!$P$13+2767),INDEX('AH History'!$A$1:$A$18046,AH!$P$7+2767))),""))</ns0:f>
        <ns0:v/>
      </ns0:c>
      <ns0:c r="B2772" s="219">
        <ns0:f>IFERROR(IF(AND(AH!$P$9&lt;&gt;1,$C2772&gt;0,$D2772&gt;0,$E2772&gt;0,$F2772&gt;0,$G2772&gt;0,$F2772&lt;=$A2772,$G2772&lt;=$A2772,$A2772-$F2772&lt;=10,$A2772-$G2772&lt;=5),$D2772*$E2772/$C2772-1,NA()),NA())</ns0:f>
        <ns0:v/>
      </ns0:c>
      <ns0:c r="C2772">
        <ns0:f>IFERROR(IF(ISNUMBER($A2772),IF(AND(AH!$P$10=1,AH!$P$12=1,$A2772=TODAY()),AH!$P$19,IF(AH!$P$10=1,INDEX('Live History'!$B$5:$B$3004,AH!$P$13+2767),INDEX('AH History'!$B$1:$B$18046,AH!$P$7+2767))),NA()),NA())</ns0:f>
        <ns0:v/>
      </ns0:c>
      <ns0:c r="D2772">
        <ns0:f>IFERROR(IF(ISNUMBER($A2772),IF(AND(AH!$P$10=1,AH!$P$12=1,$A2772=TODAY()),AH!$P$18,IF(AH!$P$10=1,INDEX('Live History'!$E$5:$E$3004,MATCH($A2772,'Live History'!$D$5:$D$3004,1)),INDEX('AH History'!$C$1:$C$18046,AH!$P$7+2767))),NA()),NA())</ns0:f>
        <ns0:v/>
      </ns0:c>
      <ns0:c r="E2772">
        <ns0:f>IFERROR(IF(ISNUMBER($A2772),IF(AND(AH!$P$10=1,AH!$P$12=1,$A2772=TODAY()),AH!$P$20,IF(AH!$P$10=1,INDEX('Live History'!$H$5:$H$3004,MATCH($A2772,'Live History'!$G$5:$G$3004,1)),INDEX('AH History'!$D$1:$D$18046,AH!$P$7+2767))),NA()),NA())</ns0:f>
        <ns0:v/>
      </ns0:c>
      <ns0:c r="F2772">
        <ns0:f>IFERROR(IF(ISNUMBER($A2772),IF(AND(AH!$P$10=1,AH!$P$12=1,$A2772=TODAY()),IF(AND(AH!$P$10=1,AH!$P$12=1,$A2772=TODAY()),TODAY(),NA()),IF(AH!$P$10=1,INDEX('Live History'!$D$5:$D$3004,MATCH($A2772,'Live History'!$D$5:$D$3004,1)),INDEX('AH History'!$E$1:$E$18046,AH!$P$7+2767))),NA()),NA())</ns0:f>
        <ns0:v/>
      </ns0:c>
      <ns0:c r="G2772">
        <ns0:f>IFERROR(IF(ISNUMBER($A2772),IF(AND(AH!$P$10=1,AH!$P$12=1,$A2772=TODAY()),IF(AND(AH!$P$10=1,AH!$P$12=1,$A2772=TODAY()),TODAY(),NA()),IF(AH!$P$10=1,INDEX('Live History'!$G$5:$G$3004,MATCH($A2772,'Live History'!$G$5:$G$3004,1)),INDEX('AH History'!$F$1:$F$18046,AH!$P$7+2767))),NA()),NA())</ns0:f>
        <ns0:v/>
      </ns0:c>
      <ns0:c r="H2772">
        <ns0:f>IFERROR(IF(AND(AH!$E$4="Bloomberg",AH!$P$10=1,ISNUMBER($A2772),$A2772&lt;=AH!$P$17),AH!$P$7-1+MATCH($A2772,INDEX('AH History'!$A$1:$A$18046,AH!$P$7):INDEX('AH History'!$A$1:$A$18046,AH!$P$7+AH!$P$8-1),0),0),0)</ns0:f>
        <ns0:v/>
      </ns0:c>
      <ns0:c r="I2772">
        <ns0:f>IF($H2772=0,0,IFERROR(IF(AND(ABS($C2772-INDEX('AH History'!$B$1:$B$18046,$H2772))&lt;=MAX(0.005,ABS(INDEX('AH History'!$B$1:$B$18046,$H2772))*0.00005),ABS($D2772-INDEX('AH History'!$C$1:$C$18046,$H2772))&lt;=MAX(0.005,ABS(INDEX('AH History'!$C$1:$C$18046,$H2772))*0.00005),ABS($E2772-INDEX('AH History'!$D$1:$D$18046,$H2772))&lt;=0.00005,$F2772=INDEX('AH History'!$E$1:$E$18046,$H2772),$G2772=INDEX('AH History'!$F$1:$F$18046,$H2772)),1,-1),-1))</ns0:f>
        <ns0:v/>
      </ns0:c>
    </ns0:row>
    <ns0:row r="2773">
      <ns0:c r="A2773" s="215">
        <ns0:f>IF(OR(AH!$P$3=0,2768+1&gt;AH!$P$11,AND(AH!$E$4&lt;&gt;"Stored",AH!$P$10&lt;&gt;1)),"",IFERROR(IF(AND(AH!$P$21=1,2768+1=AH!$P$11),TODAY(),IF(AH!$P$10=1,INDEX('Live History'!$A$5:$A$3004,AH!$P$13+2768),INDEX('AH History'!$A$1:$A$18046,AH!$P$7+2768))),""))</ns0:f>
        <ns0:v/>
      </ns0:c>
      <ns0:c r="B2773" s="219">
        <ns0:f>IFERROR(IF(AND(AH!$P$9&lt;&gt;1,$C2773&gt;0,$D2773&gt;0,$E2773&gt;0,$F2773&gt;0,$G2773&gt;0,$F2773&lt;=$A2773,$G2773&lt;=$A2773,$A2773-$F2773&lt;=10,$A2773-$G2773&lt;=5),$D2773*$E2773/$C2773-1,NA()),NA())</ns0:f>
        <ns0:v/>
      </ns0:c>
      <ns0:c r="C2773">
        <ns0:f>IFERROR(IF(ISNUMBER($A2773),IF(AND(AH!$P$10=1,AH!$P$12=1,$A2773=TODAY()),AH!$P$19,IF(AH!$P$10=1,INDEX('Live History'!$B$5:$B$3004,AH!$P$13+2768),INDEX('AH History'!$B$1:$B$18046,AH!$P$7+2768))),NA()),NA())</ns0:f>
        <ns0:v/>
      </ns0:c>
      <ns0:c r="D2773">
        <ns0:f>IFERROR(IF(ISNUMBER($A2773),IF(AND(AH!$P$10=1,AH!$P$12=1,$A2773=TODAY()),AH!$P$18,IF(AH!$P$10=1,INDEX('Live History'!$E$5:$E$3004,MATCH($A2773,'Live History'!$D$5:$D$3004,1)),INDEX('AH History'!$C$1:$C$18046,AH!$P$7+2768))),NA()),NA())</ns0:f>
        <ns0:v/>
      </ns0:c>
      <ns0:c r="E2773">
        <ns0:f>IFERROR(IF(ISNUMBER($A2773),IF(AND(AH!$P$10=1,AH!$P$12=1,$A2773=TODAY()),AH!$P$20,IF(AH!$P$10=1,INDEX('Live History'!$H$5:$H$3004,MATCH($A2773,'Live History'!$G$5:$G$3004,1)),INDEX('AH History'!$D$1:$D$18046,AH!$P$7+2768))),NA()),NA())</ns0:f>
        <ns0:v/>
      </ns0:c>
      <ns0:c r="F2773">
        <ns0:f>IFERROR(IF(ISNUMBER($A2773),IF(AND(AH!$P$10=1,AH!$P$12=1,$A2773=TODAY()),IF(AND(AH!$P$10=1,AH!$P$12=1,$A2773=TODAY()),TODAY(),NA()),IF(AH!$P$10=1,INDEX('Live History'!$D$5:$D$3004,MATCH($A2773,'Live History'!$D$5:$D$3004,1)),INDEX('AH History'!$E$1:$E$18046,AH!$P$7+2768))),NA()),NA())</ns0:f>
        <ns0:v/>
      </ns0:c>
      <ns0:c r="G2773">
        <ns0:f>IFERROR(IF(ISNUMBER($A2773),IF(AND(AH!$P$10=1,AH!$P$12=1,$A2773=TODAY()),IF(AND(AH!$P$10=1,AH!$P$12=1,$A2773=TODAY()),TODAY(),NA()),IF(AH!$P$10=1,INDEX('Live History'!$G$5:$G$3004,MATCH($A2773,'Live History'!$G$5:$G$3004,1)),INDEX('AH History'!$F$1:$F$18046,AH!$P$7+2768))),NA()),NA())</ns0:f>
        <ns0:v/>
      </ns0:c>
      <ns0:c r="H2773">
        <ns0:f>IFERROR(IF(AND(AH!$E$4="Bloomberg",AH!$P$10=1,ISNUMBER($A2773),$A2773&lt;=AH!$P$17),AH!$P$7-1+MATCH($A2773,INDEX('AH History'!$A$1:$A$18046,AH!$P$7):INDEX('AH History'!$A$1:$A$18046,AH!$P$7+AH!$P$8-1),0),0),0)</ns0:f>
        <ns0:v/>
      </ns0:c>
      <ns0:c r="I2773">
        <ns0:f>IF($H2773=0,0,IFERROR(IF(AND(ABS($C2773-INDEX('AH History'!$B$1:$B$18046,$H2773))&lt;=MAX(0.005,ABS(INDEX('AH History'!$B$1:$B$18046,$H2773))*0.00005),ABS($D2773-INDEX('AH History'!$C$1:$C$18046,$H2773))&lt;=MAX(0.005,ABS(INDEX('AH History'!$C$1:$C$18046,$H2773))*0.00005),ABS($E2773-INDEX('AH History'!$D$1:$D$18046,$H2773))&lt;=0.00005,$F2773=INDEX('AH History'!$E$1:$E$18046,$H2773),$G2773=INDEX('AH History'!$F$1:$F$18046,$H2773)),1,-1),-1))</ns0:f>
        <ns0:v/>
      </ns0:c>
    </ns0:row>
    <ns0:row r="2774">
      <ns0:c r="A2774" s="215">
        <ns0:f>IF(OR(AH!$P$3=0,2769+1&gt;AH!$P$11,AND(AH!$E$4&lt;&gt;"Stored",AH!$P$10&lt;&gt;1)),"",IFERROR(IF(AND(AH!$P$21=1,2769+1=AH!$P$11),TODAY(),IF(AH!$P$10=1,INDEX('Live History'!$A$5:$A$3004,AH!$P$13+2769),INDEX('AH History'!$A$1:$A$18046,AH!$P$7+2769))),""))</ns0:f>
        <ns0:v/>
      </ns0:c>
      <ns0:c r="B2774" s="219">
        <ns0:f>IFERROR(IF(AND(AH!$P$9&lt;&gt;1,$C2774&gt;0,$D2774&gt;0,$E2774&gt;0,$F2774&gt;0,$G2774&gt;0,$F2774&lt;=$A2774,$G2774&lt;=$A2774,$A2774-$F2774&lt;=10,$A2774-$G2774&lt;=5),$D2774*$E2774/$C2774-1,NA()),NA())</ns0:f>
        <ns0:v/>
      </ns0:c>
      <ns0:c r="C2774">
        <ns0:f>IFERROR(IF(ISNUMBER($A2774),IF(AND(AH!$P$10=1,AH!$P$12=1,$A2774=TODAY()),AH!$P$19,IF(AH!$P$10=1,INDEX('Live History'!$B$5:$B$3004,AH!$P$13+2769),INDEX('AH History'!$B$1:$B$18046,AH!$P$7+2769))),NA()),NA())</ns0:f>
        <ns0:v/>
      </ns0:c>
      <ns0:c r="D2774">
        <ns0:f>IFERROR(IF(ISNUMBER($A2774),IF(AND(AH!$P$10=1,AH!$P$12=1,$A2774=TODAY()),AH!$P$18,IF(AH!$P$10=1,INDEX('Live History'!$E$5:$E$3004,MATCH($A2774,'Live History'!$D$5:$D$3004,1)),INDEX('AH History'!$C$1:$C$18046,AH!$P$7+2769))),NA()),NA())</ns0:f>
        <ns0:v/>
      </ns0:c>
      <ns0:c r="E2774">
        <ns0:f>IFERROR(IF(ISNUMBER($A2774),IF(AND(AH!$P$10=1,AH!$P$12=1,$A2774=TODAY()),AH!$P$20,IF(AH!$P$10=1,INDEX('Live History'!$H$5:$H$3004,MATCH($A2774,'Live History'!$G$5:$G$3004,1)),INDEX('AH History'!$D$1:$D$18046,AH!$P$7+2769))),NA()),NA())</ns0:f>
        <ns0:v/>
      </ns0:c>
      <ns0:c r="F2774">
        <ns0:f>IFERROR(IF(ISNUMBER($A2774),IF(AND(AH!$P$10=1,AH!$P$12=1,$A2774=TODAY()),IF(AND(AH!$P$10=1,AH!$P$12=1,$A2774=TODAY()),TODAY(),NA()),IF(AH!$P$10=1,INDEX('Live History'!$D$5:$D$3004,MATCH($A2774,'Live History'!$D$5:$D$3004,1)),INDEX('AH History'!$E$1:$E$18046,AH!$P$7+2769))),NA()),NA())</ns0:f>
        <ns0:v/>
      </ns0:c>
      <ns0:c r="G2774">
        <ns0:f>IFERROR(IF(ISNUMBER($A2774),IF(AND(AH!$P$10=1,AH!$P$12=1,$A2774=TODAY()),IF(AND(AH!$P$10=1,AH!$P$12=1,$A2774=TODAY()),TODAY(),NA()),IF(AH!$P$10=1,INDEX('Live History'!$G$5:$G$3004,MATCH($A2774,'Live History'!$G$5:$G$3004,1)),INDEX('AH History'!$F$1:$F$18046,AH!$P$7+2769))),NA()),NA())</ns0:f>
        <ns0:v/>
      </ns0:c>
      <ns0:c r="H2774">
        <ns0:f>IFERROR(IF(AND(AH!$E$4="Bloomberg",AH!$P$10=1,ISNUMBER($A2774),$A2774&lt;=AH!$P$17),AH!$P$7-1+MATCH($A2774,INDEX('AH History'!$A$1:$A$18046,AH!$P$7):INDEX('AH History'!$A$1:$A$18046,AH!$P$7+AH!$P$8-1),0),0),0)</ns0:f>
        <ns0:v/>
      </ns0:c>
      <ns0:c r="I2774">
        <ns0:f>IF($H2774=0,0,IFERROR(IF(AND(ABS($C2774-INDEX('AH History'!$B$1:$B$18046,$H2774))&lt;=MAX(0.005,ABS(INDEX('AH History'!$B$1:$B$18046,$H2774))*0.00005),ABS($D2774-INDEX('AH History'!$C$1:$C$18046,$H2774))&lt;=MAX(0.005,ABS(INDEX('AH History'!$C$1:$C$18046,$H2774))*0.00005),ABS($E2774-INDEX('AH History'!$D$1:$D$18046,$H2774))&lt;=0.00005,$F2774=INDEX('AH History'!$E$1:$E$18046,$H2774),$G2774=INDEX('AH History'!$F$1:$F$18046,$H2774)),1,-1),-1))</ns0:f>
        <ns0:v/>
      </ns0:c>
    </ns0:row>
    <ns0:row r="2775">
      <ns0:c r="A2775" s="215">
        <ns0:f>IF(OR(AH!$P$3=0,2770+1&gt;AH!$P$11,AND(AH!$E$4&lt;&gt;"Stored",AH!$P$10&lt;&gt;1)),"",IFERROR(IF(AND(AH!$P$21=1,2770+1=AH!$P$11),TODAY(),IF(AH!$P$10=1,INDEX('Live History'!$A$5:$A$3004,AH!$P$13+2770),INDEX('AH History'!$A$1:$A$18046,AH!$P$7+2770))),""))</ns0:f>
        <ns0:v/>
      </ns0:c>
      <ns0:c r="B2775" s="219">
        <ns0:f>IFERROR(IF(AND(AH!$P$9&lt;&gt;1,$C2775&gt;0,$D2775&gt;0,$E2775&gt;0,$F2775&gt;0,$G2775&gt;0,$F2775&lt;=$A2775,$G2775&lt;=$A2775,$A2775-$F2775&lt;=10,$A2775-$G2775&lt;=5),$D2775*$E2775/$C2775-1,NA()),NA())</ns0:f>
        <ns0:v/>
      </ns0:c>
      <ns0:c r="C2775">
        <ns0:f>IFERROR(IF(ISNUMBER($A2775),IF(AND(AH!$P$10=1,AH!$P$12=1,$A2775=TODAY()),AH!$P$19,IF(AH!$P$10=1,INDEX('Live History'!$B$5:$B$3004,AH!$P$13+2770),INDEX('AH History'!$B$1:$B$18046,AH!$P$7+2770))),NA()),NA())</ns0:f>
        <ns0:v/>
      </ns0:c>
      <ns0:c r="D2775">
        <ns0:f>IFERROR(IF(ISNUMBER($A2775),IF(AND(AH!$P$10=1,AH!$P$12=1,$A2775=TODAY()),AH!$P$18,IF(AH!$P$10=1,INDEX('Live History'!$E$5:$E$3004,MATCH($A2775,'Live History'!$D$5:$D$3004,1)),INDEX('AH History'!$C$1:$C$18046,AH!$P$7+2770))),NA()),NA())</ns0:f>
        <ns0:v/>
      </ns0:c>
      <ns0:c r="E2775">
        <ns0:f>IFERROR(IF(ISNUMBER($A2775),IF(AND(AH!$P$10=1,AH!$P$12=1,$A2775=TODAY()),AH!$P$20,IF(AH!$P$10=1,INDEX('Live History'!$H$5:$H$3004,MATCH($A2775,'Live History'!$G$5:$G$3004,1)),INDEX('AH History'!$D$1:$D$18046,AH!$P$7+2770))),NA()),NA())</ns0:f>
        <ns0:v/>
      </ns0:c>
      <ns0:c r="F2775">
        <ns0:f>IFERROR(IF(ISNUMBER($A2775),IF(AND(AH!$P$10=1,AH!$P$12=1,$A2775=TODAY()),IF(AND(AH!$P$10=1,AH!$P$12=1,$A2775=TODAY()),TODAY(),NA()),IF(AH!$P$10=1,INDEX('Live History'!$D$5:$D$3004,MATCH($A2775,'Live History'!$D$5:$D$3004,1)),INDEX('AH History'!$E$1:$E$18046,AH!$P$7+2770))),NA()),NA())</ns0:f>
        <ns0:v/>
      </ns0:c>
      <ns0:c r="G2775">
        <ns0:f>IFERROR(IF(ISNUMBER($A2775),IF(AND(AH!$P$10=1,AH!$P$12=1,$A2775=TODAY()),IF(AND(AH!$P$10=1,AH!$P$12=1,$A2775=TODAY()),TODAY(),NA()),IF(AH!$P$10=1,INDEX('Live History'!$G$5:$G$3004,MATCH($A2775,'Live History'!$G$5:$G$3004,1)),INDEX('AH History'!$F$1:$F$18046,AH!$P$7+2770))),NA()),NA())</ns0:f>
        <ns0:v/>
      </ns0:c>
      <ns0:c r="H2775">
        <ns0:f>IFERROR(IF(AND(AH!$E$4="Bloomberg",AH!$P$10=1,ISNUMBER($A2775),$A2775&lt;=AH!$P$17),AH!$P$7-1+MATCH($A2775,INDEX('AH History'!$A$1:$A$18046,AH!$P$7):INDEX('AH History'!$A$1:$A$18046,AH!$P$7+AH!$P$8-1),0),0),0)</ns0:f>
        <ns0:v/>
      </ns0:c>
      <ns0:c r="I2775">
        <ns0:f>IF($H2775=0,0,IFERROR(IF(AND(ABS($C2775-INDEX('AH History'!$B$1:$B$18046,$H2775))&lt;=MAX(0.005,ABS(INDEX('AH History'!$B$1:$B$18046,$H2775))*0.00005),ABS($D2775-INDEX('AH History'!$C$1:$C$18046,$H2775))&lt;=MAX(0.005,ABS(INDEX('AH History'!$C$1:$C$18046,$H2775))*0.00005),ABS($E2775-INDEX('AH History'!$D$1:$D$18046,$H2775))&lt;=0.00005,$F2775=INDEX('AH History'!$E$1:$E$18046,$H2775),$G2775=INDEX('AH History'!$F$1:$F$18046,$H2775)),1,-1),-1))</ns0:f>
        <ns0:v/>
      </ns0:c>
    </ns0:row>
    <ns0:row r="2776">
      <ns0:c r="A2776" s="215">
        <ns0:f>IF(OR(AH!$P$3=0,2771+1&gt;AH!$P$11,AND(AH!$E$4&lt;&gt;"Stored",AH!$P$10&lt;&gt;1)),"",IFERROR(IF(AND(AH!$P$21=1,2771+1=AH!$P$11),TODAY(),IF(AH!$P$10=1,INDEX('Live History'!$A$5:$A$3004,AH!$P$13+2771),INDEX('AH History'!$A$1:$A$18046,AH!$P$7+2771))),""))</ns0:f>
        <ns0:v/>
      </ns0:c>
      <ns0:c r="B2776" s="219">
        <ns0:f>IFERROR(IF(AND(AH!$P$9&lt;&gt;1,$C2776&gt;0,$D2776&gt;0,$E2776&gt;0,$F2776&gt;0,$G2776&gt;0,$F2776&lt;=$A2776,$G2776&lt;=$A2776,$A2776-$F2776&lt;=10,$A2776-$G2776&lt;=5),$D2776*$E2776/$C2776-1,NA()),NA())</ns0:f>
        <ns0:v/>
      </ns0:c>
      <ns0:c r="C2776">
        <ns0:f>IFERROR(IF(ISNUMBER($A2776),IF(AND(AH!$P$10=1,AH!$P$12=1,$A2776=TODAY()),AH!$P$19,IF(AH!$P$10=1,INDEX('Live History'!$B$5:$B$3004,AH!$P$13+2771),INDEX('AH History'!$B$1:$B$18046,AH!$P$7+2771))),NA()),NA())</ns0:f>
        <ns0:v/>
      </ns0:c>
      <ns0:c r="D2776">
        <ns0:f>IFERROR(IF(ISNUMBER($A2776),IF(AND(AH!$P$10=1,AH!$P$12=1,$A2776=TODAY()),AH!$P$18,IF(AH!$P$10=1,INDEX('Live History'!$E$5:$E$3004,MATCH($A2776,'Live History'!$D$5:$D$3004,1)),INDEX('AH History'!$C$1:$C$18046,AH!$P$7+2771))),NA()),NA())</ns0:f>
        <ns0:v/>
      </ns0:c>
      <ns0:c r="E2776">
        <ns0:f>IFERROR(IF(ISNUMBER($A2776),IF(AND(AH!$P$10=1,AH!$P$12=1,$A2776=TODAY()),AH!$P$20,IF(AH!$P$10=1,INDEX('Live History'!$H$5:$H$3004,MATCH($A2776,'Live History'!$G$5:$G$3004,1)),INDEX('AH History'!$D$1:$D$18046,AH!$P$7+2771))),NA()),NA())</ns0:f>
        <ns0:v/>
      </ns0:c>
      <ns0:c r="F2776">
        <ns0:f>IFERROR(IF(ISNUMBER($A2776),IF(AND(AH!$P$10=1,AH!$P$12=1,$A2776=TODAY()),IF(AND(AH!$P$10=1,AH!$P$12=1,$A2776=TODAY()),TODAY(),NA()),IF(AH!$P$10=1,INDEX('Live History'!$D$5:$D$3004,MATCH($A2776,'Live History'!$D$5:$D$3004,1)),INDEX('AH History'!$E$1:$E$18046,AH!$P$7+2771))),NA()),NA())</ns0:f>
        <ns0:v/>
      </ns0:c>
      <ns0:c r="G2776">
        <ns0:f>IFERROR(IF(ISNUMBER($A2776),IF(AND(AH!$P$10=1,AH!$P$12=1,$A2776=TODAY()),IF(AND(AH!$P$10=1,AH!$P$12=1,$A2776=TODAY()),TODAY(),NA()),IF(AH!$P$10=1,INDEX('Live History'!$G$5:$G$3004,MATCH($A2776,'Live History'!$G$5:$G$3004,1)),INDEX('AH History'!$F$1:$F$18046,AH!$P$7+2771))),NA()),NA())</ns0:f>
        <ns0:v/>
      </ns0:c>
      <ns0:c r="H2776">
        <ns0:f>IFERROR(IF(AND(AH!$E$4="Bloomberg",AH!$P$10=1,ISNUMBER($A2776),$A2776&lt;=AH!$P$17),AH!$P$7-1+MATCH($A2776,INDEX('AH History'!$A$1:$A$18046,AH!$P$7):INDEX('AH History'!$A$1:$A$18046,AH!$P$7+AH!$P$8-1),0),0),0)</ns0:f>
        <ns0:v/>
      </ns0:c>
      <ns0:c r="I2776">
        <ns0:f>IF($H2776=0,0,IFERROR(IF(AND(ABS($C2776-INDEX('AH History'!$B$1:$B$18046,$H2776))&lt;=MAX(0.005,ABS(INDEX('AH History'!$B$1:$B$18046,$H2776))*0.00005),ABS($D2776-INDEX('AH History'!$C$1:$C$18046,$H2776))&lt;=MAX(0.005,ABS(INDEX('AH History'!$C$1:$C$18046,$H2776))*0.00005),ABS($E2776-INDEX('AH History'!$D$1:$D$18046,$H2776))&lt;=0.00005,$F2776=INDEX('AH History'!$E$1:$E$18046,$H2776),$G2776=INDEX('AH History'!$F$1:$F$18046,$H2776)),1,-1),-1))</ns0:f>
        <ns0:v/>
      </ns0:c>
    </ns0:row>
    <ns0:row r="2777">
      <ns0:c r="A2777" s="215">
        <ns0:f>IF(OR(AH!$P$3=0,2772+1&gt;AH!$P$11,AND(AH!$E$4&lt;&gt;"Stored",AH!$P$10&lt;&gt;1)),"",IFERROR(IF(AND(AH!$P$21=1,2772+1=AH!$P$11),TODAY(),IF(AH!$P$10=1,INDEX('Live History'!$A$5:$A$3004,AH!$P$13+2772),INDEX('AH History'!$A$1:$A$18046,AH!$P$7+2772))),""))</ns0:f>
        <ns0:v/>
      </ns0:c>
      <ns0:c r="B2777" s="219">
        <ns0:f>IFERROR(IF(AND(AH!$P$9&lt;&gt;1,$C2777&gt;0,$D2777&gt;0,$E2777&gt;0,$F2777&gt;0,$G2777&gt;0,$F2777&lt;=$A2777,$G2777&lt;=$A2777,$A2777-$F2777&lt;=10,$A2777-$G2777&lt;=5),$D2777*$E2777/$C2777-1,NA()),NA())</ns0:f>
        <ns0:v/>
      </ns0:c>
      <ns0:c r="C2777">
        <ns0:f>IFERROR(IF(ISNUMBER($A2777),IF(AND(AH!$P$10=1,AH!$P$12=1,$A2777=TODAY()),AH!$P$19,IF(AH!$P$10=1,INDEX('Live History'!$B$5:$B$3004,AH!$P$13+2772),INDEX('AH History'!$B$1:$B$18046,AH!$P$7+2772))),NA()),NA())</ns0:f>
        <ns0:v/>
      </ns0:c>
      <ns0:c r="D2777">
        <ns0:f>IFERROR(IF(ISNUMBER($A2777),IF(AND(AH!$P$10=1,AH!$P$12=1,$A2777=TODAY()),AH!$P$18,IF(AH!$P$10=1,INDEX('Live History'!$E$5:$E$3004,MATCH($A2777,'Live History'!$D$5:$D$3004,1)),INDEX('AH History'!$C$1:$C$18046,AH!$P$7+2772))),NA()),NA())</ns0:f>
        <ns0:v/>
      </ns0:c>
      <ns0:c r="E2777">
        <ns0:f>IFERROR(IF(ISNUMBER($A2777),IF(AND(AH!$P$10=1,AH!$P$12=1,$A2777=TODAY()),AH!$P$20,IF(AH!$P$10=1,INDEX('Live History'!$H$5:$H$3004,MATCH($A2777,'Live History'!$G$5:$G$3004,1)),INDEX('AH History'!$D$1:$D$18046,AH!$P$7+2772))),NA()),NA())</ns0:f>
        <ns0:v/>
      </ns0:c>
      <ns0:c r="F2777">
        <ns0:f>IFERROR(IF(ISNUMBER($A2777),IF(AND(AH!$P$10=1,AH!$P$12=1,$A2777=TODAY()),IF(AND(AH!$P$10=1,AH!$P$12=1,$A2777=TODAY()),TODAY(),NA()),IF(AH!$P$10=1,INDEX('Live History'!$D$5:$D$3004,MATCH($A2777,'Live History'!$D$5:$D$3004,1)),INDEX('AH History'!$E$1:$E$18046,AH!$P$7+2772))),NA()),NA())</ns0:f>
        <ns0:v/>
      </ns0:c>
      <ns0:c r="G2777">
        <ns0:f>IFERROR(IF(ISNUMBER($A2777),IF(AND(AH!$P$10=1,AH!$P$12=1,$A2777=TODAY()),IF(AND(AH!$P$10=1,AH!$P$12=1,$A2777=TODAY()),TODAY(),NA()),IF(AH!$P$10=1,INDEX('Live History'!$G$5:$G$3004,MATCH($A2777,'Live History'!$G$5:$G$3004,1)),INDEX('AH History'!$F$1:$F$18046,AH!$P$7+2772))),NA()),NA())</ns0:f>
        <ns0:v/>
      </ns0:c>
      <ns0:c r="H2777">
        <ns0:f>IFERROR(IF(AND(AH!$E$4="Bloomberg",AH!$P$10=1,ISNUMBER($A2777),$A2777&lt;=AH!$P$17),AH!$P$7-1+MATCH($A2777,INDEX('AH History'!$A$1:$A$18046,AH!$P$7):INDEX('AH History'!$A$1:$A$18046,AH!$P$7+AH!$P$8-1),0),0),0)</ns0:f>
        <ns0:v/>
      </ns0:c>
      <ns0:c r="I2777">
        <ns0:f>IF($H2777=0,0,IFERROR(IF(AND(ABS($C2777-INDEX('AH History'!$B$1:$B$18046,$H2777))&lt;=MAX(0.005,ABS(INDEX('AH History'!$B$1:$B$18046,$H2777))*0.00005),ABS($D2777-INDEX('AH History'!$C$1:$C$18046,$H2777))&lt;=MAX(0.005,ABS(INDEX('AH History'!$C$1:$C$18046,$H2777))*0.00005),ABS($E2777-INDEX('AH History'!$D$1:$D$18046,$H2777))&lt;=0.00005,$F2777=INDEX('AH History'!$E$1:$E$18046,$H2777),$G2777=INDEX('AH History'!$F$1:$F$18046,$H2777)),1,-1),-1))</ns0:f>
        <ns0:v/>
      </ns0:c>
    </ns0:row>
    <ns0:row r="2778">
      <ns0:c r="A2778" s="215">
        <ns0:f>IF(OR(AH!$P$3=0,2773+1&gt;AH!$P$11,AND(AH!$E$4&lt;&gt;"Stored",AH!$P$10&lt;&gt;1)),"",IFERROR(IF(AND(AH!$P$21=1,2773+1=AH!$P$11),TODAY(),IF(AH!$P$10=1,INDEX('Live History'!$A$5:$A$3004,AH!$P$13+2773),INDEX('AH History'!$A$1:$A$18046,AH!$P$7+2773))),""))</ns0:f>
        <ns0:v/>
      </ns0:c>
      <ns0:c r="B2778" s="219">
        <ns0:f>IFERROR(IF(AND(AH!$P$9&lt;&gt;1,$C2778&gt;0,$D2778&gt;0,$E2778&gt;0,$F2778&gt;0,$G2778&gt;0,$F2778&lt;=$A2778,$G2778&lt;=$A2778,$A2778-$F2778&lt;=10,$A2778-$G2778&lt;=5),$D2778*$E2778/$C2778-1,NA()),NA())</ns0:f>
        <ns0:v/>
      </ns0:c>
      <ns0:c r="C2778">
        <ns0:f>IFERROR(IF(ISNUMBER($A2778),IF(AND(AH!$P$10=1,AH!$P$12=1,$A2778=TODAY()),AH!$P$19,IF(AH!$P$10=1,INDEX('Live History'!$B$5:$B$3004,AH!$P$13+2773),INDEX('AH History'!$B$1:$B$18046,AH!$P$7+2773))),NA()),NA())</ns0:f>
        <ns0:v/>
      </ns0:c>
      <ns0:c r="D2778">
        <ns0:f>IFERROR(IF(ISNUMBER($A2778),IF(AND(AH!$P$10=1,AH!$P$12=1,$A2778=TODAY()),AH!$P$18,IF(AH!$P$10=1,INDEX('Live History'!$E$5:$E$3004,MATCH($A2778,'Live History'!$D$5:$D$3004,1)),INDEX('AH History'!$C$1:$C$18046,AH!$P$7+2773))),NA()),NA())</ns0:f>
        <ns0:v/>
      </ns0:c>
      <ns0:c r="E2778">
        <ns0:f>IFERROR(IF(ISNUMBER($A2778),IF(AND(AH!$P$10=1,AH!$P$12=1,$A2778=TODAY()),AH!$P$20,IF(AH!$P$10=1,INDEX('Live History'!$H$5:$H$3004,MATCH($A2778,'Live History'!$G$5:$G$3004,1)),INDEX('AH History'!$D$1:$D$18046,AH!$P$7+2773))),NA()),NA())</ns0:f>
        <ns0:v/>
      </ns0:c>
      <ns0:c r="F2778">
        <ns0:f>IFERROR(IF(ISNUMBER($A2778),IF(AND(AH!$P$10=1,AH!$P$12=1,$A2778=TODAY()),IF(AND(AH!$P$10=1,AH!$P$12=1,$A2778=TODAY()),TODAY(),NA()),IF(AH!$P$10=1,INDEX('Live History'!$D$5:$D$3004,MATCH($A2778,'Live History'!$D$5:$D$3004,1)),INDEX('AH History'!$E$1:$E$18046,AH!$P$7+2773))),NA()),NA())</ns0:f>
        <ns0:v/>
      </ns0:c>
      <ns0:c r="G2778">
        <ns0:f>IFERROR(IF(ISNUMBER($A2778),IF(AND(AH!$P$10=1,AH!$P$12=1,$A2778=TODAY()),IF(AND(AH!$P$10=1,AH!$P$12=1,$A2778=TODAY()),TODAY(),NA()),IF(AH!$P$10=1,INDEX('Live History'!$G$5:$G$3004,MATCH($A2778,'Live History'!$G$5:$G$3004,1)),INDEX('AH History'!$F$1:$F$18046,AH!$P$7+2773))),NA()),NA())</ns0:f>
        <ns0:v/>
      </ns0:c>
      <ns0:c r="H2778">
        <ns0:f>IFERROR(IF(AND(AH!$E$4="Bloomberg",AH!$P$10=1,ISNUMBER($A2778),$A2778&lt;=AH!$P$17),AH!$P$7-1+MATCH($A2778,INDEX('AH History'!$A$1:$A$18046,AH!$P$7):INDEX('AH History'!$A$1:$A$18046,AH!$P$7+AH!$P$8-1),0),0),0)</ns0:f>
        <ns0:v/>
      </ns0:c>
      <ns0:c r="I2778">
        <ns0:f>IF($H2778=0,0,IFERROR(IF(AND(ABS($C2778-INDEX('AH History'!$B$1:$B$18046,$H2778))&lt;=MAX(0.005,ABS(INDEX('AH History'!$B$1:$B$18046,$H2778))*0.00005),ABS($D2778-INDEX('AH History'!$C$1:$C$18046,$H2778))&lt;=MAX(0.005,ABS(INDEX('AH History'!$C$1:$C$18046,$H2778))*0.00005),ABS($E2778-INDEX('AH History'!$D$1:$D$18046,$H2778))&lt;=0.00005,$F2778=INDEX('AH History'!$E$1:$E$18046,$H2778),$G2778=INDEX('AH History'!$F$1:$F$18046,$H2778)),1,-1),-1))</ns0:f>
        <ns0:v/>
      </ns0:c>
    </ns0:row>
    <ns0:row r="2779">
      <ns0:c r="A2779" s="215">
        <ns0:f>IF(OR(AH!$P$3=0,2774+1&gt;AH!$P$11,AND(AH!$E$4&lt;&gt;"Stored",AH!$P$10&lt;&gt;1)),"",IFERROR(IF(AND(AH!$P$21=1,2774+1=AH!$P$11),TODAY(),IF(AH!$P$10=1,INDEX('Live History'!$A$5:$A$3004,AH!$P$13+2774),INDEX('AH History'!$A$1:$A$18046,AH!$P$7+2774))),""))</ns0:f>
        <ns0:v/>
      </ns0:c>
      <ns0:c r="B2779" s="219">
        <ns0:f>IFERROR(IF(AND(AH!$P$9&lt;&gt;1,$C2779&gt;0,$D2779&gt;0,$E2779&gt;0,$F2779&gt;0,$G2779&gt;0,$F2779&lt;=$A2779,$G2779&lt;=$A2779,$A2779-$F2779&lt;=10,$A2779-$G2779&lt;=5),$D2779*$E2779/$C2779-1,NA()),NA())</ns0:f>
        <ns0:v/>
      </ns0:c>
      <ns0:c r="C2779">
        <ns0:f>IFERROR(IF(ISNUMBER($A2779),IF(AND(AH!$P$10=1,AH!$P$12=1,$A2779=TODAY()),AH!$P$19,IF(AH!$P$10=1,INDEX('Live History'!$B$5:$B$3004,AH!$P$13+2774),INDEX('AH History'!$B$1:$B$18046,AH!$P$7+2774))),NA()),NA())</ns0:f>
        <ns0:v/>
      </ns0:c>
      <ns0:c r="D2779">
        <ns0:f>IFERROR(IF(ISNUMBER($A2779),IF(AND(AH!$P$10=1,AH!$P$12=1,$A2779=TODAY()),AH!$P$18,IF(AH!$P$10=1,INDEX('Live History'!$E$5:$E$3004,MATCH($A2779,'Live History'!$D$5:$D$3004,1)),INDEX('AH History'!$C$1:$C$18046,AH!$P$7+2774))),NA()),NA())</ns0:f>
        <ns0:v/>
      </ns0:c>
      <ns0:c r="E2779">
        <ns0:f>IFERROR(IF(ISNUMBER($A2779),IF(AND(AH!$P$10=1,AH!$P$12=1,$A2779=TODAY()),AH!$P$20,IF(AH!$P$10=1,INDEX('Live History'!$H$5:$H$3004,MATCH($A2779,'Live History'!$G$5:$G$3004,1)),INDEX('AH History'!$D$1:$D$18046,AH!$P$7+2774))),NA()),NA())</ns0:f>
        <ns0:v/>
      </ns0:c>
      <ns0:c r="F2779">
        <ns0:f>IFERROR(IF(ISNUMBER($A2779),IF(AND(AH!$P$10=1,AH!$P$12=1,$A2779=TODAY()),IF(AND(AH!$P$10=1,AH!$P$12=1,$A2779=TODAY()),TODAY(),NA()),IF(AH!$P$10=1,INDEX('Live History'!$D$5:$D$3004,MATCH($A2779,'Live History'!$D$5:$D$3004,1)),INDEX('AH History'!$E$1:$E$18046,AH!$P$7+2774))),NA()),NA())</ns0:f>
        <ns0:v/>
      </ns0:c>
      <ns0:c r="G2779">
        <ns0:f>IFERROR(IF(ISNUMBER($A2779),IF(AND(AH!$P$10=1,AH!$P$12=1,$A2779=TODAY()),IF(AND(AH!$P$10=1,AH!$P$12=1,$A2779=TODAY()),TODAY(),NA()),IF(AH!$P$10=1,INDEX('Live History'!$G$5:$G$3004,MATCH($A2779,'Live History'!$G$5:$G$3004,1)),INDEX('AH History'!$F$1:$F$18046,AH!$P$7+2774))),NA()),NA())</ns0:f>
        <ns0:v/>
      </ns0:c>
      <ns0:c r="H2779">
        <ns0:f>IFERROR(IF(AND(AH!$E$4="Bloomberg",AH!$P$10=1,ISNUMBER($A2779),$A2779&lt;=AH!$P$17),AH!$P$7-1+MATCH($A2779,INDEX('AH History'!$A$1:$A$18046,AH!$P$7):INDEX('AH History'!$A$1:$A$18046,AH!$P$7+AH!$P$8-1),0),0),0)</ns0:f>
        <ns0:v/>
      </ns0:c>
      <ns0:c r="I2779">
        <ns0:f>IF($H2779=0,0,IFERROR(IF(AND(ABS($C2779-INDEX('AH History'!$B$1:$B$18046,$H2779))&lt;=MAX(0.005,ABS(INDEX('AH History'!$B$1:$B$18046,$H2779))*0.00005),ABS($D2779-INDEX('AH History'!$C$1:$C$18046,$H2779))&lt;=MAX(0.005,ABS(INDEX('AH History'!$C$1:$C$18046,$H2779))*0.00005),ABS($E2779-INDEX('AH History'!$D$1:$D$18046,$H2779))&lt;=0.00005,$F2779=INDEX('AH History'!$E$1:$E$18046,$H2779),$G2779=INDEX('AH History'!$F$1:$F$18046,$H2779)),1,-1),-1))</ns0:f>
        <ns0:v/>
      </ns0:c>
    </ns0:row>
    <ns0:row r="2780">
      <ns0:c r="A2780" s="215">
        <ns0:f>IF(OR(AH!$P$3=0,2775+1&gt;AH!$P$11,AND(AH!$E$4&lt;&gt;"Stored",AH!$P$10&lt;&gt;1)),"",IFERROR(IF(AND(AH!$P$21=1,2775+1=AH!$P$11),TODAY(),IF(AH!$P$10=1,INDEX('Live History'!$A$5:$A$3004,AH!$P$13+2775),INDEX('AH History'!$A$1:$A$18046,AH!$P$7+2775))),""))</ns0:f>
        <ns0:v/>
      </ns0:c>
      <ns0:c r="B2780" s="219">
        <ns0:f>IFERROR(IF(AND(AH!$P$9&lt;&gt;1,$C2780&gt;0,$D2780&gt;0,$E2780&gt;0,$F2780&gt;0,$G2780&gt;0,$F2780&lt;=$A2780,$G2780&lt;=$A2780,$A2780-$F2780&lt;=10,$A2780-$G2780&lt;=5),$D2780*$E2780/$C2780-1,NA()),NA())</ns0:f>
        <ns0:v/>
      </ns0:c>
      <ns0:c r="C2780">
        <ns0:f>IFERROR(IF(ISNUMBER($A2780),IF(AND(AH!$P$10=1,AH!$P$12=1,$A2780=TODAY()),AH!$P$19,IF(AH!$P$10=1,INDEX('Live History'!$B$5:$B$3004,AH!$P$13+2775),INDEX('AH History'!$B$1:$B$18046,AH!$P$7+2775))),NA()),NA())</ns0:f>
        <ns0:v/>
      </ns0:c>
      <ns0:c r="D2780">
        <ns0:f>IFERROR(IF(ISNUMBER($A2780),IF(AND(AH!$P$10=1,AH!$P$12=1,$A2780=TODAY()),AH!$P$18,IF(AH!$P$10=1,INDEX('Live History'!$E$5:$E$3004,MATCH($A2780,'Live History'!$D$5:$D$3004,1)),INDEX('AH History'!$C$1:$C$18046,AH!$P$7+2775))),NA()),NA())</ns0:f>
        <ns0:v/>
      </ns0:c>
      <ns0:c r="E2780">
        <ns0:f>IFERROR(IF(ISNUMBER($A2780),IF(AND(AH!$P$10=1,AH!$P$12=1,$A2780=TODAY()),AH!$P$20,IF(AH!$P$10=1,INDEX('Live History'!$H$5:$H$3004,MATCH($A2780,'Live History'!$G$5:$G$3004,1)),INDEX('AH History'!$D$1:$D$18046,AH!$P$7+2775))),NA()),NA())</ns0:f>
        <ns0:v/>
      </ns0:c>
      <ns0:c r="F2780">
        <ns0:f>IFERROR(IF(ISNUMBER($A2780),IF(AND(AH!$P$10=1,AH!$P$12=1,$A2780=TODAY()),IF(AND(AH!$P$10=1,AH!$P$12=1,$A2780=TODAY()),TODAY(),NA()),IF(AH!$P$10=1,INDEX('Live History'!$D$5:$D$3004,MATCH($A2780,'Live History'!$D$5:$D$3004,1)),INDEX('AH History'!$E$1:$E$18046,AH!$P$7+2775))),NA()),NA())</ns0:f>
        <ns0:v/>
      </ns0:c>
      <ns0:c r="G2780">
        <ns0:f>IFERROR(IF(ISNUMBER($A2780),IF(AND(AH!$P$10=1,AH!$P$12=1,$A2780=TODAY()),IF(AND(AH!$P$10=1,AH!$P$12=1,$A2780=TODAY()),TODAY(),NA()),IF(AH!$P$10=1,INDEX('Live History'!$G$5:$G$3004,MATCH($A2780,'Live History'!$G$5:$G$3004,1)),INDEX('AH History'!$F$1:$F$18046,AH!$P$7+2775))),NA()),NA())</ns0:f>
        <ns0:v/>
      </ns0:c>
      <ns0:c r="H2780">
        <ns0:f>IFERROR(IF(AND(AH!$E$4="Bloomberg",AH!$P$10=1,ISNUMBER($A2780),$A2780&lt;=AH!$P$17),AH!$P$7-1+MATCH($A2780,INDEX('AH History'!$A$1:$A$18046,AH!$P$7):INDEX('AH History'!$A$1:$A$18046,AH!$P$7+AH!$P$8-1),0),0),0)</ns0:f>
        <ns0:v/>
      </ns0:c>
      <ns0:c r="I2780">
        <ns0:f>IF($H2780=0,0,IFERROR(IF(AND(ABS($C2780-INDEX('AH History'!$B$1:$B$18046,$H2780))&lt;=MAX(0.005,ABS(INDEX('AH History'!$B$1:$B$18046,$H2780))*0.00005),ABS($D2780-INDEX('AH History'!$C$1:$C$18046,$H2780))&lt;=MAX(0.005,ABS(INDEX('AH History'!$C$1:$C$18046,$H2780))*0.00005),ABS($E2780-INDEX('AH History'!$D$1:$D$18046,$H2780))&lt;=0.00005,$F2780=INDEX('AH History'!$E$1:$E$18046,$H2780),$G2780=INDEX('AH History'!$F$1:$F$18046,$H2780)),1,-1),-1))</ns0:f>
        <ns0:v/>
      </ns0:c>
    </ns0:row>
    <ns0:row r="2781">
      <ns0:c r="A2781" s="215">
        <ns0:f>IF(OR(AH!$P$3=0,2776+1&gt;AH!$P$11,AND(AH!$E$4&lt;&gt;"Stored",AH!$P$10&lt;&gt;1)),"",IFERROR(IF(AND(AH!$P$21=1,2776+1=AH!$P$11),TODAY(),IF(AH!$P$10=1,INDEX('Live History'!$A$5:$A$3004,AH!$P$13+2776),INDEX('AH History'!$A$1:$A$18046,AH!$P$7+2776))),""))</ns0:f>
        <ns0:v/>
      </ns0:c>
      <ns0:c r="B2781" s="219">
        <ns0:f>IFERROR(IF(AND(AH!$P$9&lt;&gt;1,$C2781&gt;0,$D2781&gt;0,$E2781&gt;0,$F2781&gt;0,$G2781&gt;0,$F2781&lt;=$A2781,$G2781&lt;=$A2781,$A2781-$F2781&lt;=10,$A2781-$G2781&lt;=5),$D2781*$E2781/$C2781-1,NA()),NA())</ns0:f>
        <ns0:v/>
      </ns0:c>
      <ns0:c r="C2781">
        <ns0:f>IFERROR(IF(ISNUMBER($A2781),IF(AND(AH!$P$10=1,AH!$P$12=1,$A2781=TODAY()),AH!$P$19,IF(AH!$P$10=1,INDEX('Live History'!$B$5:$B$3004,AH!$P$13+2776),INDEX('AH History'!$B$1:$B$18046,AH!$P$7+2776))),NA()),NA())</ns0:f>
        <ns0:v/>
      </ns0:c>
      <ns0:c r="D2781">
        <ns0:f>IFERROR(IF(ISNUMBER($A2781),IF(AND(AH!$P$10=1,AH!$P$12=1,$A2781=TODAY()),AH!$P$18,IF(AH!$P$10=1,INDEX('Live History'!$E$5:$E$3004,MATCH($A2781,'Live History'!$D$5:$D$3004,1)),INDEX('AH History'!$C$1:$C$18046,AH!$P$7+2776))),NA()),NA())</ns0:f>
        <ns0:v/>
      </ns0:c>
      <ns0:c r="E2781">
        <ns0:f>IFERROR(IF(ISNUMBER($A2781),IF(AND(AH!$P$10=1,AH!$P$12=1,$A2781=TODAY()),AH!$P$20,IF(AH!$P$10=1,INDEX('Live History'!$H$5:$H$3004,MATCH($A2781,'Live History'!$G$5:$G$3004,1)),INDEX('AH History'!$D$1:$D$18046,AH!$P$7+2776))),NA()),NA())</ns0:f>
        <ns0:v/>
      </ns0:c>
      <ns0:c r="F2781">
        <ns0:f>IFERROR(IF(ISNUMBER($A2781),IF(AND(AH!$P$10=1,AH!$P$12=1,$A2781=TODAY()),IF(AND(AH!$P$10=1,AH!$P$12=1,$A2781=TODAY()),TODAY(),NA()),IF(AH!$P$10=1,INDEX('Live History'!$D$5:$D$3004,MATCH($A2781,'Live History'!$D$5:$D$3004,1)),INDEX('AH History'!$E$1:$E$18046,AH!$P$7+2776))),NA()),NA())</ns0:f>
        <ns0:v/>
      </ns0:c>
      <ns0:c r="G2781">
        <ns0:f>IFERROR(IF(ISNUMBER($A2781),IF(AND(AH!$P$10=1,AH!$P$12=1,$A2781=TODAY()),IF(AND(AH!$P$10=1,AH!$P$12=1,$A2781=TODAY()),TODAY(),NA()),IF(AH!$P$10=1,INDEX('Live History'!$G$5:$G$3004,MATCH($A2781,'Live History'!$G$5:$G$3004,1)),INDEX('AH History'!$F$1:$F$18046,AH!$P$7+2776))),NA()),NA())</ns0:f>
        <ns0:v/>
      </ns0:c>
      <ns0:c r="H2781">
        <ns0:f>IFERROR(IF(AND(AH!$E$4="Bloomberg",AH!$P$10=1,ISNUMBER($A2781),$A2781&lt;=AH!$P$17),AH!$P$7-1+MATCH($A2781,INDEX('AH History'!$A$1:$A$18046,AH!$P$7):INDEX('AH History'!$A$1:$A$18046,AH!$P$7+AH!$P$8-1),0),0),0)</ns0:f>
        <ns0:v/>
      </ns0:c>
      <ns0:c r="I2781">
        <ns0:f>IF($H2781=0,0,IFERROR(IF(AND(ABS($C2781-INDEX('AH History'!$B$1:$B$18046,$H2781))&lt;=MAX(0.005,ABS(INDEX('AH History'!$B$1:$B$18046,$H2781))*0.00005),ABS($D2781-INDEX('AH History'!$C$1:$C$18046,$H2781))&lt;=MAX(0.005,ABS(INDEX('AH History'!$C$1:$C$18046,$H2781))*0.00005),ABS($E2781-INDEX('AH History'!$D$1:$D$18046,$H2781))&lt;=0.00005,$F2781=INDEX('AH History'!$E$1:$E$18046,$H2781),$G2781=INDEX('AH History'!$F$1:$F$18046,$H2781)),1,-1),-1))</ns0:f>
        <ns0:v/>
      </ns0:c>
    </ns0:row>
    <ns0:row r="2782">
      <ns0:c r="A2782" s="215">
        <ns0:f>IF(OR(AH!$P$3=0,2777+1&gt;AH!$P$11,AND(AH!$E$4&lt;&gt;"Stored",AH!$P$10&lt;&gt;1)),"",IFERROR(IF(AND(AH!$P$21=1,2777+1=AH!$P$11),TODAY(),IF(AH!$P$10=1,INDEX('Live History'!$A$5:$A$3004,AH!$P$13+2777),INDEX('AH History'!$A$1:$A$18046,AH!$P$7+2777))),""))</ns0:f>
        <ns0:v/>
      </ns0:c>
      <ns0:c r="B2782" s="219">
        <ns0:f>IFERROR(IF(AND(AH!$P$9&lt;&gt;1,$C2782&gt;0,$D2782&gt;0,$E2782&gt;0,$F2782&gt;0,$G2782&gt;0,$F2782&lt;=$A2782,$G2782&lt;=$A2782,$A2782-$F2782&lt;=10,$A2782-$G2782&lt;=5),$D2782*$E2782/$C2782-1,NA()),NA())</ns0:f>
        <ns0:v/>
      </ns0:c>
      <ns0:c r="C2782">
        <ns0:f>IFERROR(IF(ISNUMBER($A2782),IF(AND(AH!$P$10=1,AH!$P$12=1,$A2782=TODAY()),AH!$P$19,IF(AH!$P$10=1,INDEX('Live History'!$B$5:$B$3004,AH!$P$13+2777),INDEX('AH History'!$B$1:$B$18046,AH!$P$7+2777))),NA()),NA())</ns0:f>
        <ns0:v/>
      </ns0:c>
      <ns0:c r="D2782">
        <ns0:f>IFERROR(IF(ISNUMBER($A2782),IF(AND(AH!$P$10=1,AH!$P$12=1,$A2782=TODAY()),AH!$P$18,IF(AH!$P$10=1,INDEX('Live History'!$E$5:$E$3004,MATCH($A2782,'Live History'!$D$5:$D$3004,1)),INDEX('AH History'!$C$1:$C$18046,AH!$P$7+2777))),NA()),NA())</ns0:f>
        <ns0:v/>
      </ns0:c>
      <ns0:c r="E2782">
        <ns0:f>IFERROR(IF(ISNUMBER($A2782),IF(AND(AH!$P$10=1,AH!$P$12=1,$A2782=TODAY()),AH!$P$20,IF(AH!$P$10=1,INDEX('Live History'!$H$5:$H$3004,MATCH($A2782,'Live History'!$G$5:$G$3004,1)),INDEX('AH History'!$D$1:$D$18046,AH!$P$7+2777))),NA()),NA())</ns0:f>
        <ns0:v/>
      </ns0:c>
      <ns0:c r="F2782">
        <ns0:f>IFERROR(IF(ISNUMBER($A2782),IF(AND(AH!$P$10=1,AH!$P$12=1,$A2782=TODAY()),IF(AND(AH!$P$10=1,AH!$P$12=1,$A2782=TODAY()),TODAY(),NA()),IF(AH!$P$10=1,INDEX('Live History'!$D$5:$D$3004,MATCH($A2782,'Live History'!$D$5:$D$3004,1)),INDEX('AH History'!$E$1:$E$18046,AH!$P$7+2777))),NA()),NA())</ns0:f>
        <ns0:v/>
      </ns0:c>
      <ns0:c r="G2782">
        <ns0:f>IFERROR(IF(ISNUMBER($A2782),IF(AND(AH!$P$10=1,AH!$P$12=1,$A2782=TODAY()),IF(AND(AH!$P$10=1,AH!$P$12=1,$A2782=TODAY()),TODAY(),NA()),IF(AH!$P$10=1,INDEX('Live History'!$G$5:$G$3004,MATCH($A2782,'Live History'!$G$5:$G$3004,1)),INDEX('AH History'!$F$1:$F$18046,AH!$P$7+2777))),NA()),NA())</ns0:f>
        <ns0:v/>
      </ns0:c>
      <ns0:c r="H2782">
        <ns0:f>IFERROR(IF(AND(AH!$E$4="Bloomberg",AH!$P$10=1,ISNUMBER($A2782),$A2782&lt;=AH!$P$17),AH!$P$7-1+MATCH($A2782,INDEX('AH History'!$A$1:$A$18046,AH!$P$7):INDEX('AH History'!$A$1:$A$18046,AH!$P$7+AH!$P$8-1),0),0),0)</ns0:f>
        <ns0:v/>
      </ns0:c>
      <ns0:c r="I2782">
        <ns0:f>IF($H2782=0,0,IFERROR(IF(AND(ABS($C2782-INDEX('AH History'!$B$1:$B$18046,$H2782))&lt;=MAX(0.005,ABS(INDEX('AH History'!$B$1:$B$18046,$H2782))*0.00005),ABS($D2782-INDEX('AH History'!$C$1:$C$18046,$H2782))&lt;=MAX(0.005,ABS(INDEX('AH History'!$C$1:$C$18046,$H2782))*0.00005),ABS($E2782-INDEX('AH History'!$D$1:$D$18046,$H2782))&lt;=0.00005,$F2782=INDEX('AH History'!$E$1:$E$18046,$H2782),$G2782=INDEX('AH History'!$F$1:$F$18046,$H2782)),1,-1),-1))</ns0:f>
        <ns0:v/>
      </ns0:c>
    </ns0:row>
    <ns0:row r="2783">
      <ns0:c r="A2783" s="215">
        <ns0:f>IF(OR(AH!$P$3=0,2778+1&gt;AH!$P$11,AND(AH!$E$4&lt;&gt;"Stored",AH!$P$10&lt;&gt;1)),"",IFERROR(IF(AND(AH!$P$21=1,2778+1=AH!$P$11),TODAY(),IF(AH!$P$10=1,INDEX('Live History'!$A$5:$A$3004,AH!$P$13+2778),INDEX('AH History'!$A$1:$A$18046,AH!$P$7+2778))),""))</ns0:f>
        <ns0:v/>
      </ns0:c>
      <ns0:c r="B2783" s="219">
        <ns0:f>IFERROR(IF(AND(AH!$P$9&lt;&gt;1,$C2783&gt;0,$D2783&gt;0,$E2783&gt;0,$F2783&gt;0,$G2783&gt;0,$F2783&lt;=$A2783,$G2783&lt;=$A2783,$A2783-$F2783&lt;=10,$A2783-$G2783&lt;=5),$D2783*$E2783/$C2783-1,NA()),NA())</ns0:f>
        <ns0:v/>
      </ns0:c>
      <ns0:c r="C2783">
        <ns0:f>IFERROR(IF(ISNUMBER($A2783),IF(AND(AH!$P$10=1,AH!$P$12=1,$A2783=TODAY()),AH!$P$19,IF(AH!$P$10=1,INDEX('Live History'!$B$5:$B$3004,AH!$P$13+2778),INDEX('AH History'!$B$1:$B$18046,AH!$P$7+2778))),NA()),NA())</ns0:f>
        <ns0:v/>
      </ns0:c>
      <ns0:c r="D2783">
        <ns0:f>IFERROR(IF(ISNUMBER($A2783),IF(AND(AH!$P$10=1,AH!$P$12=1,$A2783=TODAY()),AH!$P$18,IF(AH!$P$10=1,INDEX('Live History'!$E$5:$E$3004,MATCH($A2783,'Live History'!$D$5:$D$3004,1)),INDEX('AH History'!$C$1:$C$18046,AH!$P$7+2778))),NA()),NA())</ns0:f>
        <ns0:v/>
      </ns0:c>
      <ns0:c r="E2783">
        <ns0:f>IFERROR(IF(ISNUMBER($A2783),IF(AND(AH!$P$10=1,AH!$P$12=1,$A2783=TODAY()),AH!$P$20,IF(AH!$P$10=1,INDEX('Live History'!$H$5:$H$3004,MATCH($A2783,'Live History'!$G$5:$G$3004,1)),INDEX('AH History'!$D$1:$D$18046,AH!$P$7+2778))),NA()),NA())</ns0:f>
        <ns0:v/>
      </ns0:c>
      <ns0:c r="F2783">
        <ns0:f>IFERROR(IF(ISNUMBER($A2783),IF(AND(AH!$P$10=1,AH!$P$12=1,$A2783=TODAY()),IF(AND(AH!$P$10=1,AH!$P$12=1,$A2783=TODAY()),TODAY(),NA()),IF(AH!$P$10=1,INDEX('Live History'!$D$5:$D$3004,MATCH($A2783,'Live History'!$D$5:$D$3004,1)),INDEX('AH History'!$E$1:$E$18046,AH!$P$7+2778))),NA()),NA())</ns0:f>
        <ns0:v/>
      </ns0:c>
      <ns0:c r="G2783">
        <ns0:f>IFERROR(IF(ISNUMBER($A2783),IF(AND(AH!$P$10=1,AH!$P$12=1,$A2783=TODAY()),IF(AND(AH!$P$10=1,AH!$P$12=1,$A2783=TODAY()),TODAY(),NA()),IF(AH!$P$10=1,INDEX('Live History'!$G$5:$G$3004,MATCH($A2783,'Live History'!$G$5:$G$3004,1)),INDEX('AH History'!$F$1:$F$18046,AH!$P$7+2778))),NA()),NA())</ns0:f>
        <ns0:v/>
      </ns0:c>
      <ns0:c r="H2783">
        <ns0:f>IFERROR(IF(AND(AH!$E$4="Bloomberg",AH!$P$10=1,ISNUMBER($A2783),$A2783&lt;=AH!$P$17),AH!$P$7-1+MATCH($A2783,INDEX('AH History'!$A$1:$A$18046,AH!$P$7):INDEX('AH History'!$A$1:$A$18046,AH!$P$7+AH!$P$8-1),0),0),0)</ns0:f>
        <ns0:v/>
      </ns0:c>
      <ns0:c r="I2783">
        <ns0:f>IF($H2783=0,0,IFERROR(IF(AND(ABS($C2783-INDEX('AH History'!$B$1:$B$18046,$H2783))&lt;=MAX(0.005,ABS(INDEX('AH History'!$B$1:$B$18046,$H2783))*0.00005),ABS($D2783-INDEX('AH History'!$C$1:$C$18046,$H2783))&lt;=MAX(0.005,ABS(INDEX('AH History'!$C$1:$C$18046,$H2783))*0.00005),ABS($E2783-INDEX('AH History'!$D$1:$D$18046,$H2783))&lt;=0.00005,$F2783=INDEX('AH History'!$E$1:$E$18046,$H2783),$G2783=INDEX('AH History'!$F$1:$F$18046,$H2783)),1,-1),-1))</ns0:f>
        <ns0:v/>
      </ns0:c>
    </ns0:row>
    <ns0:row r="2784">
      <ns0:c r="A2784" s="215">
        <ns0:f>IF(OR(AH!$P$3=0,2779+1&gt;AH!$P$11,AND(AH!$E$4&lt;&gt;"Stored",AH!$P$10&lt;&gt;1)),"",IFERROR(IF(AND(AH!$P$21=1,2779+1=AH!$P$11),TODAY(),IF(AH!$P$10=1,INDEX('Live History'!$A$5:$A$3004,AH!$P$13+2779),INDEX('AH History'!$A$1:$A$18046,AH!$P$7+2779))),""))</ns0:f>
        <ns0:v/>
      </ns0:c>
      <ns0:c r="B2784" s="219">
        <ns0:f>IFERROR(IF(AND(AH!$P$9&lt;&gt;1,$C2784&gt;0,$D2784&gt;0,$E2784&gt;0,$F2784&gt;0,$G2784&gt;0,$F2784&lt;=$A2784,$G2784&lt;=$A2784,$A2784-$F2784&lt;=10,$A2784-$G2784&lt;=5),$D2784*$E2784/$C2784-1,NA()),NA())</ns0:f>
        <ns0:v/>
      </ns0:c>
      <ns0:c r="C2784">
        <ns0:f>IFERROR(IF(ISNUMBER($A2784),IF(AND(AH!$P$10=1,AH!$P$12=1,$A2784=TODAY()),AH!$P$19,IF(AH!$P$10=1,INDEX('Live History'!$B$5:$B$3004,AH!$P$13+2779),INDEX('AH History'!$B$1:$B$18046,AH!$P$7+2779))),NA()),NA())</ns0:f>
        <ns0:v/>
      </ns0:c>
      <ns0:c r="D2784">
        <ns0:f>IFERROR(IF(ISNUMBER($A2784),IF(AND(AH!$P$10=1,AH!$P$12=1,$A2784=TODAY()),AH!$P$18,IF(AH!$P$10=1,INDEX('Live History'!$E$5:$E$3004,MATCH($A2784,'Live History'!$D$5:$D$3004,1)),INDEX('AH History'!$C$1:$C$18046,AH!$P$7+2779))),NA()),NA())</ns0:f>
        <ns0:v/>
      </ns0:c>
      <ns0:c r="E2784">
        <ns0:f>IFERROR(IF(ISNUMBER($A2784),IF(AND(AH!$P$10=1,AH!$P$12=1,$A2784=TODAY()),AH!$P$20,IF(AH!$P$10=1,INDEX('Live History'!$H$5:$H$3004,MATCH($A2784,'Live History'!$G$5:$G$3004,1)),INDEX('AH History'!$D$1:$D$18046,AH!$P$7+2779))),NA()),NA())</ns0:f>
        <ns0:v/>
      </ns0:c>
      <ns0:c r="F2784">
        <ns0:f>IFERROR(IF(ISNUMBER($A2784),IF(AND(AH!$P$10=1,AH!$P$12=1,$A2784=TODAY()),IF(AND(AH!$P$10=1,AH!$P$12=1,$A2784=TODAY()),TODAY(),NA()),IF(AH!$P$10=1,INDEX('Live History'!$D$5:$D$3004,MATCH($A2784,'Live History'!$D$5:$D$3004,1)),INDEX('AH History'!$E$1:$E$18046,AH!$P$7+2779))),NA()),NA())</ns0:f>
        <ns0:v/>
      </ns0:c>
      <ns0:c r="G2784">
        <ns0:f>IFERROR(IF(ISNUMBER($A2784),IF(AND(AH!$P$10=1,AH!$P$12=1,$A2784=TODAY()),IF(AND(AH!$P$10=1,AH!$P$12=1,$A2784=TODAY()),TODAY(),NA()),IF(AH!$P$10=1,INDEX('Live History'!$G$5:$G$3004,MATCH($A2784,'Live History'!$G$5:$G$3004,1)),INDEX('AH History'!$F$1:$F$18046,AH!$P$7+2779))),NA()),NA())</ns0:f>
        <ns0:v/>
      </ns0:c>
      <ns0:c r="H2784">
        <ns0:f>IFERROR(IF(AND(AH!$E$4="Bloomberg",AH!$P$10=1,ISNUMBER($A2784),$A2784&lt;=AH!$P$17),AH!$P$7-1+MATCH($A2784,INDEX('AH History'!$A$1:$A$18046,AH!$P$7):INDEX('AH History'!$A$1:$A$18046,AH!$P$7+AH!$P$8-1),0),0),0)</ns0:f>
        <ns0:v/>
      </ns0:c>
      <ns0:c r="I2784">
        <ns0:f>IF($H2784=0,0,IFERROR(IF(AND(ABS($C2784-INDEX('AH History'!$B$1:$B$18046,$H2784))&lt;=MAX(0.005,ABS(INDEX('AH History'!$B$1:$B$18046,$H2784))*0.00005),ABS($D2784-INDEX('AH History'!$C$1:$C$18046,$H2784))&lt;=MAX(0.005,ABS(INDEX('AH History'!$C$1:$C$18046,$H2784))*0.00005),ABS($E2784-INDEX('AH History'!$D$1:$D$18046,$H2784))&lt;=0.00005,$F2784=INDEX('AH History'!$E$1:$E$18046,$H2784),$G2784=INDEX('AH History'!$F$1:$F$18046,$H2784)),1,-1),-1))</ns0:f>
        <ns0:v/>
      </ns0:c>
    </ns0:row>
    <ns0:row r="2785">
      <ns0:c r="A2785" s="215">
        <ns0:f>IF(OR(AH!$P$3=0,2780+1&gt;AH!$P$11,AND(AH!$E$4&lt;&gt;"Stored",AH!$P$10&lt;&gt;1)),"",IFERROR(IF(AND(AH!$P$21=1,2780+1=AH!$P$11),TODAY(),IF(AH!$P$10=1,INDEX('Live History'!$A$5:$A$3004,AH!$P$13+2780),INDEX('AH History'!$A$1:$A$18046,AH!$P$7+2780))),""))</ns0:f>
        <ns0:v/>
      </ns0:c>
      <ns0:c r="B2785" s="219">
        <ns0:f>IFERROR(IF(AND(AH!$P$9&lt;&gt;1,$C2785&gt;0,$D2785&gt;0,$E2785&gt;0,$F2785&gt;0,$G2785&gt;0,$F2785&lt;=$A2785,$G2785&lt;=$A2785,$A2785-$F2785&lt;=10,$A2785-$G2785&lt;=5),$D2785*$E2785/$C2785-1,NA()),NA())</ns0:f>
        <ns0:v/>
      </ns0:c>
      <ns0:c r="C2785">
        <ns0:f>IFERROR(IF(ISNUMBER($A2785),IF(AND(AH!$P$10=1,AH!$P$12=1,$A2785=TODAY()),AH!$P$19,IF(AH!$P$10=1,INDEX('Live History'!$B$5:$B$3004,AH!$P$13+2780),INDEX('AH History'!$B$1:$B$18046,AH!$P$7+2780))),NA()),NA())</ns0:f>
        <ns0:v/>
      </ns0:c>
      <ns0:c r="D2785">
        <ns0:f>IFERROR(IF(ISNUMBER($A2785),IF(AND(AH!$P$10=1,AH!$P$12=1,$A2785=TODAY()),AH!$P$18,IF(AH!$P$10=1,INDEX('Live History'!$E$5:$E$3004,MATCH($A2785,'Live History'!$D$5:$D$3004,1)),INDEX('AH History'!$C$1:$C$18046,AH!$P$7+2780))),NA()),NA())</ns0:f>
        <ns0:v/>
      </ns0:c>
      <ns0:c r="E2785">
        <ns0:f>IFERROR(IF(ISNUMBER($A2785),IF(AND(AH!$P$10=1,AH!$P$12=1,$A2785=TODAY()),AH!$P$20,IF(AH!$P$10=1,INDEX('Live History'!$H$5:$H$3004,MATCH($A2785,'Live History'!$G$5:$G$3004,1)),INDEX('AH History'!$D$1:$D$18046,AH!$P$7+2780))),NA()),NA())</ns0:f>
        <ns0:v/>
      </ns0:c>
      <ns0:c r="F2785">
        <ns0:f>IFERROR(IF(ISNUMBER($A2785),IF(AND(AH!$P$10=1,AH!$P$12=1,$A2785=TODAY()),IF(AND(AH!$P$10=1,AH!$P$12=1,$A2785=TODAY()),TODAY(),NA()),IF(AH!$P$10=1,INDEX('Live History'!$D$5:$D$3004,MATCH($A2785,'Live History'!$D$5:$D$3004,1)),INDEX('AH History'!$E$1:$E$18046,AH!$P$7+2780))),NA()),NA())</ns0:f>
        <ns0:v/>
      </ns0:c>
      <ns0:c r="G2785">
        <ns0:f>IFERROR(IF(ISNUMBER($A2785),IF(AND(AH!$P$10=1,AH!$P$12=1,$A2785=TODAY()),IF(AND(AH!$P$10=1,AH!$P$12=1,$A2785=TODAY()),TODAY(),NA()),IF(AH!$P$10=1,INDEX('Live History'!$G$5:$G$3004,MATCH($A2785,'Live History'!$G$5:$G$3004,1)),INDEX('AH History'!$F$1:$F$18046,AH!$P$7+2780))),NA()),NA())</ns0:f>
        <ns0:v/>
      </ns0:c>
      <ns0:c r="H2785">
        <ns0:f>IFERROR(IF(AND(AH!$E$4="Bloomberg",AH!$P$10=1,ISNUMBER($A2785),$A2785&lt;=AH!$P$17),AH!$P$7-1+MATCH($A2785,INDEX('AH History'!$A$1:$A$18046,AH!$P$7):INDEX('AH History'!$A$1:$A$18046,AH!$P$7+AH!$P$8-1),0),0),0)</ns0:f>
        <ns0:v/>
      </ns0:c>
      <ns0:c r="I2785">
        <ns0:f>IF($H2785=0,0,IFERROR(IF(AND(ABS($C2785-INDEX('AH History'!$B$1:$B$18046,$H2785))&lt;=MAX(0.005,ABS(INDEX('AH History'!$B$1:$B$18046,$H2785))*0.00005),ABS($D2785-INDEX('AH History'!$C$1:$C$18046,$H2785))&lt;=MAX(0.005,ABS(INDEX('AH History'!$C$1:$C$18046,$H2785))*0.00005),ABS($E2785-INDEX('AH History'!$D$1:$D$18046,$H2785))&lt;=0.00005,$F2785=INDEX('AH History'!$E$1:$E$18046,$H2785),$G2785=INDEX('AH History'!$F$1:$F$18046,$H2785)),1,-1),-1))</ns0:f>
        <ns0:v/>
      </ns0:c>
    </ns0:row>
    <ns0:row r="2786">
      <ns0:c r="A2786" s="215">
        <ns0:f>IF(OR(AH!$P$3=0,2781+1&gt;AH!$P$11,AND(AH!$E$4&lt;&gt;"Stored",AH!$P$10&lt;&gt;1)),"",IFERROR(IF(AND(AH!$P$21=1,2781+1=AH!$P$11),TODAY(),IF(AH!$P$10=1,INDEX('Live History'!$A$5:$A$3004,AH!$P$13+2781),INDEX('AH History'!$A$1:$A$18046,AH!$P$7+2781))),""))</ns0:f>
        <ns0:v/>
      </ns0:c>
      <ns0:c r="B2786" s="219">
        <ns0:f>IFERROR(IF(AND(AH!$P$9&lt;&gt;1,$C2786&gt;0,$D2786&gt;0,$E2786&gt;0,$F2786&gt;0,$G2786&gt;0,$F2786&lt;=$A2786,$G2786&lt;=$A2786,$A2786-$F2786&lt;=10,$A2786-$G2786&lt;=5),$D2786*$E2786/$C2786-1,NA()),NA())</ns0:f>
        <ns0:v/>
      </ns0:c>
      <ns0:c r="C2786">
        <ns0:f>IFERROR(IF(ISNUMBER($A2786),IF(AND(AH!$P$10=1,AH!$P$12=1,$A2786=TODAY()),AH!$P$19,IF(AH!$P$10=1,INDEX('Live History'!$B$5:$B$3004,AH!$P$13+2781),INDEX('AH History'!$B$1:$B$18046,AH!$P$7+2781))),NA()),NA())</ns0:f>
        <ns0:v/>
      </ns0:c>
      <ns0:c r="D2786">
        <ns0:f>IFERROR(IF(ISNUMBER($A2786),IF(AND(AH!$P$10=1,AH!$P$12=1,$A2786=TODAY()),AH!$P$18,IF(AH!$P$10=1,INDEX('Live History'!$E$5:$E$3004,MATCH($A2786,'Live History'!$D$5:$D$3004,1)),INDEX('AH History'!$C$1:$C$18046,AH!$P$7+2781))),NA()),NA())</ns0:f>
        <ns0:v/>
      </ns0:c>
      <ns0:c r="E2786">
        <ns0:f>IFERROR(IF(ISNUMBER($A2786),IF(AND(AH!$P$10=1,AH!$P$12=1,$A2786=TODAY()),AH!$P$20,IF(AH!$P$10=1,INDEX('Live History'!$H$5:$H$3004,MATCH($A2786,'Live History'!$G$5:$G$3004,1)),INDEX('AH History'!$D$1:$D$18046,AH!$P$7+2781))),NA()),NA())</ns0:f>
        <ns0:v/>
      </ns0:c>
      <ns0:c r="F2786">
        <ns0:f>IFERROR(IF(ISNUMBER($A2786),IF(AND(AH!$P$10=1,AH!$P$12=1,$A2786=TODAY()),IF(AND(AH!$P$10=1,AH!$P$12=1,$A2786=TODAY()),TODAY(),NA()),IF(AH!$P$10=1,INDEX('Live History'!$D$5:$D$3004,MATCH($A2786,'Live History'!$D$5:$D$3004,1)),INDEX('AH History'!$E$1:$E$18046,AH!$P$7+2781))),NA()),NA())</ns0:f>
        <ns0:v/>
      </ns0:c>
      <ns0:c r="G2786">
        <ns0:f>IFERROR(IF(ISNUMBER($A2786),IF(AND(AH!$P$10=1,AH!$P$12=1,$A2786=TODAY()),IF(AND(AH!$P$10=1,AH!$P$12=1,$A2786=TODAY()),TODAY(),NA()),IF(AH!$P$10=1,INDEX('Live History'!$G$5:$G$3004,MATCH($A2786,'Live History'!$G$5:$G$3004,1)),INDEX('AH History'!$F$1:$F$18046,AH!$P$7+2781))),NA()),NA())</ns0:f>
        <ns0:v/>
      </ns0:c>
      <ns0:c r="H2786">
        <ns0:f>IFERROR(IF(AND(AH!$E$4="Bloomberg",AH!$P$10=1,ISNUMBER($A2786),$A2786&lt;=AH!$P$17),AH!$P$7-1+MATCH($A2786,INDEX('AH History'!$A$1:$A$18046,AH!$P$7):INDEX('AH History'!$A$1:$A$18046,AH!$P$7+AH!$P$8-1),0),0),0)</ns0:f>
        <ns0:v/>
      </ns0:c>
      <ns0:c r="I2786">
        <ns0:f>IF($H2786=0,0,IFERROR(IF(AND(ABS($C2786-INDEX('AH History'!$B$1:$B$18046,$H2786))&lt;=MAX(0.005,ABS(INDEX('AH History'!$B$1:$B$18046,$H2786))*0.00005),ABS($D2786-INDEX('AH History'!$C$1:$C$18046,$H2786))&lt;=MAX(0.005,ABS(INDEX('AH History'!$C$1:$C$18046,$H2786))*0.00005),ABS($E2786-INDEX('AH History'!$D$1:$D$18046,$H2786))&lt;=0.00005,$F2786=INDEX('AH History'!$E$1:$E$18046,$H2786),$G2786=INDEX('AH History'!$F$1:$F$18046,$H2786)),1,-1),-1))</ns0:f>
        <ns0:v/>
      </ns0:c>
    </ns0:row>
    <ns0:row r="2787">
      <ns0:c r="A2787" s="215">
        <ns0:f>IF(OR(AH!$P$3=0,2782+1&gt;AH!$P$11,AND(AH!$E$4&lt;&gt;"Stored",AH!$P$10&lt;&gt;1)),"",IFERROR(IF(AND(AH!$P$21=1,2782+1=AH!$P$11),TODAY(),IF(AH!$P$10=1,INDEX('Live History'!$A$5:$A$3004,AH!$P$13+2782),INDEX('AH History'!$A$1:$A$18046,AH!$P$7+2782))),""))</ns0:f>
        <ns0:v/>
      </ns0:c>
      <ns0:c r="B2787" s="219">
        <ns0:f>IFERROR(IF(AND(AH!$P$9&lt;&gt;1,$C2787&gt;0,$D2787&gt;0,$E2787&gt;0,$F2787&gt;0,$G2787&gt;0,$F2787&lt;=$A2787,$G2787&lt;=$A2787,$A2787-$F2787&lt;=10,$A2787-$G2787&lt;=5),$D2787*$E2787/$C2787-1,NA()),NA())</ns0:f>
        <ns0:v/>
      </ns0:c>
      <ns0:c r="C2787">
        <ns0:f>IFERROR(IF(ISNUMBER($A2787),IF(AND(AH!$P$10=1,AH!$P$12=1,$A2787=TODAY()),AH!$P$19,IF(AH!$P$10=1,INDEX('Live History'!$B$5:$B$3004,AH!$P$13+2782),INDEX('AH History'!$B$1:$B$18046,AH!$P$7+2782))),NA()),NA())</ns0:f>
        <ns0:v/>
      </ns0:c>
      <ns0:c r="D2787">
        <ns0:f>IFERROR(IF(ISNUMBER($A2787),IF(AND(AH!$P$10=1,AH!$P$12=1,$A2787=TODAY()),AH!$P$18,IF(AH!$P$10=1,INDEX('Live History'!$E$5:$E$3004,MATCH($A2787,'Live History'!$D$5:$D$3004,1)),INDEX('AH History'!$C$1:$C$18046,AH!$P$7+2782))),NA()),NA())</ns0:f>
        <ns0:v/>
      </ns0:c>
      <ns0:c r="E2787">
        <ns0:f>IFERROR(IF(ISNUMBER($A2787),IF(AND(AH!$P$10=1,AH!$P$12=1,$A2787=TODAY()),AH!$P$20,IF(AH!$P$10=1,INDEX('Live History'!$H$5:$H$3004,MATCH($A2787,'Live History'!$G$5:$G$3004,1)),INDEX('AH History'!$D$1:$D$18046,AH!$P$7+2782))),NA()),NA())</ns0:f>
        <ns0:v/>
      </ns0:c>
      <ns0:c r="F2787">
        <ns0:f>IFERROR(IF(ISNUMBER($A2787),IF(AND(AH!$P$10=1,AH!$P$12=1,$A2787=TODAY()),IF(AND(AH!$P$10=1,AH!$P$12=1,$A2787=TODAY()),TODAY(),NA()),IF(AH!$P$10=1,INDEX('Live History'!$D$5:$D$3004,MATCH($A2787,'Live History'!$D$5:$D$3004,1)),INDEX('AH History'!$E$1:$E$18046,AH!$P$7+2782))),NA()),NA())</ns0:f>
        <ns0:v/>
      </ns0:c>
      <ns0:c r="G2787">
        <ns0:f>IFERROR(IF(ISNUMBER($A2787),IF(AND(AH!$P$10=1,AH!$P$12=1,$A2787=TODAY()),IF(AND(AH!$P$10=1,AH!$P$12=1,$A2787=TODAY()),TODAY(),NA()),IF(AH!$P$10=1,INDEX('Live History'!$G$5:$G$3004,MATCH($A2787,'Live History'!$G$5:$G$3004,1)),INDEX('AH History'!$F$1:$F$18046,AH!$P$7+2782))),NA()),NA())</ns0:f>
        <ns0:v/>
      </ns0:c>
      <ns0:c r="H2787">
        <ns0:f>IFERROR(IF(AND(AH!$E$4="Bloomberg",AH!$P$10=1,ISNUMBER($A2787),$A2787&lt;=AH!$P$17),AH!$P$7-1+MATCH($A2787,INDEX('AH History'!$A$1:$A$18046,AH!$P$7):INDEX('AH History'!$A$1:$A$18046,AH!$P$7+AH!$P$8-1),0),0),0)</ns0:f>
        <ns0:v/>
      </ns0:c>
      <ns0:c r="I2787">
        <ns0:f>IF($H2787=0,0,IFERROR(IF(AND(ABS($C2787-INDEX('AH History'!$B$1:$B$18046,$H2787))&lt;=MAX(0.005,ABS(INDEX('AH History'!$B$1:$B$18046,$H2787))*0.00005),ABS($D2787-INDEX('AH History'!$C$1:$C$18046,$H2787))&lt;=MAX(0.005,ABS(INDEX('AH History'!$C$1:$C$18046,$H2787))*0.00005),ABS($E2787-INDEX('AH History'!$D$1:$D$18046,$H2787))&lt;=0.00005,$F2787=INDEX('AH History'!$E$1:$E$18046,$H2787),$G2787=INDEX('AH History'!$F$1:$F$18046,$H2787)),1,-1),-1))</ns0:f>
        <ns0:v/>
      </ns0:c>
    </ns0:row>
    <ns0:row r="2788">
      <ns0:c r="A2788" s="215">
        <ns0:f>IF(OR(AH!$P$3=0,2783+1&gt;AH!$P$11,AND(AH!$E$4&lt;&gt;"Stored",AH!$P$10&lt;&gt;1)),"",IFERROR(IF(AND(AH!$P$21=1,2783+1=AH!$P$11),TODAY(),IF(AH!$P$10=1,INDEX('Live History'!$A$5:$A$3004,AH!$P$13+2783),INDEX('AH History'!$A$1:$A$18046,AH!$P$7+2783))),""))</ns0:f>
        <ns0:v/>
      </ns0:c>
      <ns0:c r="B2788" s="219">
        <ns0:f>IFERROR(IF(AND(AH!$P$9&lt;&gt;1,$C2788&gt;0,$D2788&gt;0,$E2788&gt;0,$F2788&gt;0,$G2788&gt;0,$F2788&lt;=$A2788,$G2788&lt;=$A2788,$A2788-$F2788&lt;=10,$A2788-$G2788&lt;=5),$D2788*$E2788/$C2788-1,NA()),NA())</ns0:f>
        <ns0:v/>
      </ns0:c>
      <ns0:c r="C2788">
        <ns0:f>IFERROR(IF(ISNUMBER($A2788),IF(AND(AH!$P$10=1,AH!$P$12=1,$A2788=TODAY()),AH!$P$19,IF(AH!$P$10=1,INDEX('Live History'!$B$5:$B$3004,AH!$P$13+2783),INDEX('AH History'!$B$1:$B$18046,AH!$P$7+2783))),NA()),NA())</ns0:f>
        <ns0:v/>
      </ns0:c>
      <ns0:c r="D2788">
        <ns0:f>IFERROR(IF(ISNUMBER($A2788),IF(AND(AH!$P$10=1,AH!$P$12=1,$A2788=TODAY()),AH!$P$18,IF(AH!$P$10=1,INDEX('Live History'!$E$5:$E$3004,MATCH($A2788,'Live History'!$D$5:$D$3004,1)),INDEX('AH History'!$C$1:$C$18046,AH!$P$7+2783))),NA()),NA())</ns0:f>
        <ns0:v/>
      </ns0:c>
      <ns0:c r="E2788">
        <ns0:f>IFERROR(IF(ISNUMBER($A2788),IF(AND(AH!$P$10=1,AH!$P$12=1,$A2788=TODAY()),AH!$P$20,IF(AH!$P$10=1,INDEX('Live History'!$H$5:$H$3004,MATCH($A2788,'Live History'!$G$5:$G$3004,1)),INDEX('AH History'!$D$1:$D$18046,AH!$P$7+2783))),NA()),NA())</ns0:f>
        <ns0:v/>
      </ns0:c>
      <ns0:c r="F2788">
        <ns0:f>IFERROR(IF(ISNUMBER($A2788),IF(AND(AH!$P$10=1,AH!$P$12=1,$A2788=TODAY()),IF(AND(AH!$P$10=1,AH!$P$12=1,$A2788=TODAY()),TODAY(),NA()),IF(AH!$P$10=1,INDEX('Live History'!$D$5:$D$3004,MATCH($A2788,'Live History'!$D$5:$D$3004,1)),INDEX('AH History'!$E$1:$E$18046,AH!$P$7+2783))),NA()),NA())</ns0:f>
        <ns0:v/>
      </ns0:c>
      <ns0:c r="G2788">
        <ns0:f>IFERROR(IF(ISNUMBER($A2788),IF(AND(AH!$P$10=1,AH!$P$12=1,$A2788=TODAY()),IF(AND(AH!$P$10=1,AH!$P$12=1,$A2788=TODAY()),TODAY(),NA()),IF(AH!$P$10=1,INDEX('Live History'!$G$5:$G$3004,MATCH($A2788,'Live History'!$G$5:$G$3004,1)),INDEX('AH History'!$F$1:$F$18046,AH!$P$7+2783))),NA()),NA())</ns0:f>
        <ns0:v/>
      </ns0:c>
      <ns0:c r="H2788">
        <ns0:f>IFERROR(IF(AND(AH!$E$4="Bloomberg",AH!$P$10=1,ISNUMBER($A2788),$A2788&lt;=AH!$P$17),AH!$P$7-1+MATCH($A2788,INDEX('AH History'!$A$1:$A$18046,AH!$P$7):INDEX('AH History'!$A$1:$A$18046,AH!$P$7+AH!$P$8-1),0),0),0)</ns0:f>
        <ns0:v/>
      </ns0:c>
      <ns0:c r="I2788">
        <ns0:f>IF($H2788=0,0,IFERROR(IF(AND(ABS($C2788-INDEX('AH History'!$B$1:$B$18046,$H2788))&lt;=MAX(0.005,ABS(INDEX('AH History'!$B$1:$B$18046,$H2788))*0.00005),ABS($D2788-INDEX('AH History'!$C$1:$C$18046,$H2788))&lt;=MAX(0.005,ABS(INDEX('AH History'!$C$1:$C$18046,$H2788))*0.00005),ABS($E2788-INDEX('AH History'!$D$1:$D$18046,$H2788))&lt;=0.00005,$F2788=INDEX('AH History'!$E$1:$E$18046,$H2788),$G2788=INDEX('AH History'!$F$1:$F$18046,$H2788)),1,-1),-1))</ns0:f>
        <ns0:v/>
      </ns0:c>
    </ns0:row>
    <ns0:row r="2789">
      <ns0:c r="A2789" s="215">
        <ns0:f>IF(OR(AH!$P$3=0,2784+1&gt;AH!$P$11,AND(AH!$E$4&lt;&gt;"Stored",AH!$P$10&lt;&gt;1)),"",IFERROR(IF(AND(AH!$P$21=1,2784+1=AH!$P$11),TODAY(),IF(AH!$P$10=1,INDEX('Live History'!$A$5:$A$3004,AH!$P$13+2784),INDEX('AH History'!$A$1:$A$18046,AH!$P$7+2784))),""))</ns0:f>
        <ns0:v/>
      </ns0:c>
      <ns0:c r="B2789" s="219">
        <ns0:f>IFERROR(IF(AND(AH!$P$9&lt;&gt;1,$C2789&gt;0,$D2789&gt;0,$E2789&gt;0,$F2789&gt;0,$G2789&gt;0,$F2789&lt;=$A2789,$G2789&lt;=$A2789,$A2789-$F2789&lt;=10,$A2789-$G2789&lt;=5),$D2789*$E2789/$C2789-1,NA()),NA())</ns0:f>
        <ns0:v/>
      </ns0:c>
      <ns0:c r="C2789">
        <ns0:f>IFERROR(IF(ISNUMBER($A2789),IF(AND(AH!$P$10=1,AH!$P$12=1,$A2789=TODAY()),AH!$P$19,IF(AH!$P$10=1,INDEX('Live History'!$B$5:$B$3004,AH!$P$13+2784),INDEX('AH History'!$B$1:$B$18046,AH!$P$7+2784))),NA()),NA())</ns0:f>
        <ns0:v/>
      </ns0:c>
      <ns0:c r="D2789">
        <ns0:f>IFERROR(IF(ISNUMBER($A2789),IF(AND(AH!$P$10=1,AH!$P$12=1,$A2789=TODAY()),AH!$P$18,IF(AH!$P$10=1,INDEX('Live History'!$E$5:$E$3004,MATCH($A2789,'Live History'!$D$5:$D$3004,1)),INDEX('AH History'!$C$1:$C$18046,AH!$P$7+2784))),NA()),NA())</ns0:f>
        <ns0:v/>
      </ns0:c>
      <ns0:c r="E2789">
        <ns0:f>IFERROR(IF(ISNUMBER($A2789),IF(AND(AH!$P$10=1,AH!$P$12=1,$A2789=TODAY()),AH!$P$20,IF(AH!$P$10=1,INDEX('Live History'!$H$5:$H$3004,MATCH($A2789,'Live History'!$G$5:$G$3004,1)),INDEX('AH History'!$D$1:$D$18046,AH!$P$7+2784))),NA()),NA())</ns0:f>
        <ns0:v/>
      </ns0:c>
      <ns0:c r="F2789">
        <ns0:f>IFERROR(IF(ISNUMBER($A2789),IF(AND(AH!$P$10=1,AH!$P$12=1,$A2789=TODAY()),IF(AND(AH!$P$10=1,AH!$P$12=1,$A2789=TODAY()),TODAY(),NA()),IF(AH!$P$10=1,INDEX('Live History'!$D$5:$D$3004,MATCH($A2789,'Live History'!$D$5:$D$3004,1)),INDEX('AH History'!$E$1:$E$18046,AH!$P$7+2784))),NA()),NA())</ns0:f>
        <ns0:v/>
      </ns0:c>
      <ns0:c r="G2789">
        <ns0:f>IFERROR(IF(ISNUMBER($A2789),IF(AND(AH!$P$10=1,AH!$P$12=1,$A2789=TODAY()),IF(AND(AH!$P$10=1,AH!$P$12=1,$A2789=TODAY()),TODAY(),NA()),IF(AH!$P$10=1,INDEX('Live History'!$G$5:$G$3004,MATCH($A2789,'Live History'!$G$5:$G$3004,1)),INDEX('AH History'!$F$1:$F$18046,AH!$P$7+2784))),NA()),NA())</ns0:f>
        <ns0:v/>
      </ns0:c>
      <ns0:c r="H2789">
        <ns0:f>IFERROR(IF(AND(AH!$E$4="Bloomberg",AH!$P$10=1,ISNUMBER($A2789),$A2789&lt;=AH!$P$17),AH!$P$7-1+MATCH($A2789,INDEX('AH History'!$A$1:$A$18046,AH!$P$7):INDEX('AH History'!$A$1:$A$18046,AH!$P$7+AH!$P$8-1),0),0),0)</ns0:f>
        <ns0:v/>
      </ns0:c>
      <ns0:c r="I2789">
        <ns0:f>IF($H2789=0,0,IFERROR(IF(AND(ABS($C2789-INDEX('AH History'!$B$1:$B$18046,$H2789))&lt;=MAX(0.005,ABS(INDEX('AH History'!$B$1:$B$18046,$H2789))*0.00005),ABS($D2789-INDEX('AH History'!$C$1:$C$18046,$H2789))&lt;=MAX(0.005,ABS(INDEX('AH History'!$C$1:$C$18046,$H2789))*0.00005),ABS($E2789-INDEX('AH History'!$D$1:$D$18046,$H2789))&lt;=0.00005,$F2789=INDEX('AH History'!$E$1:$E$18046,$H2789),$G2789=INDEX('AH History'!$F$1:$F$18046,$H2789)),1,-1),-1))</ns0:f>
        <ns0:v/>
      </ns0:c>
    </ns0:row>
    <ns0:row r="2790">
      <ns0:c r="A2790" s="215">
        <ns0:f>IF(OR(AH!$P$3=0,2785+1&gt;AH!$P$11,AND(AH!$E$4&lt;&gt;"Stored",AH!$P$10&lt;&gt;1)),"",IFERROR(IF(AND(AH!$P$21=1,2785+1=AH!$P$11),TODAY(),IF(AH!$P$10=1,INDEX('Live History'!$A$5:$A$3004,AH!$P$13+2785),INDEX('AH History'!$A$1:$A$18046,AH!$P$7+2785))),""))</ns0:f>
        <ns0:v/>
      </ns0:c>
      <ns0:c r="B2790" s="219">
        <ns0:f>IFERROR(IF(AND(AH!$P$9&lt;&gt;1,$C2790&gt;0,$D2790&gt;0,$E2790&gt;0,$F2790&gt;0,$G2790&gt;0,$F2790&lt;=$A2790,$G2790&lt;=$A2790,$A2790-$F2790&lt;=10,$A2790-$G2790&lt;=5),$D2790*$E2790/$C2790-1,NA()),NA())</ns0:f>
        <ns0:v/>
      </ns0:c>
      <ns0:c r="C2790">
        <ns0:f>IFERROR(IF(ISNUMBER($A2790),IF(AND(AH!$P$10=1,AH!$P$12=1,$A2790=TODAY()),AH!$P$19,IF(AH!$P$10=1,INDEX('Live History'!$B$5:$B$3004,AH!$P$13+2785),INDEX('AH History'!$B$1:$B$18046,AH!$P$7+2785))),NA()),NA())</ns0:f>
        <ns0:v/>
      </ns0:c>
      <ns0:c r="D2790">
        <ns0:f>IFERROR(IF(ISNUMBER($A2790),IF(AND(AH!$P$10=1,AH!$P$12=1,$A2790=TODAY()),AH!$P$18,IF(AH!$P$10=1,INDEX('Live History'!$E$5:$E$3004,MATCH($A2790,'Live History'!$D$5:$D$3004,1)),INDEX('AH History'!$C$1:$C$18046,AH!$P$7+2785))),NA()),NA())</ns0:f>
        <ns0:v/>
      </ns0:c>
      <ns0:c r="E2790">
        <ns0:f>IFERROR(IF(ISNUMBER($A2790),IF(AND(AH!$P$10=1,AH!$P$12=1,$A2790=TODAY()),AH!$P$20,IF(AH!$P$10=1,INDEX('Live History'!$H$5:$H$3004,MATCH($A2790,'Live History'!$G$5:$G$3004,1)),INDEX('AH History'!$D$1:$D$18046,AH!$P$7+2785))),NA()),NA())</ns0:f>
        <ns0:v/>
      </ns0:c>
      <ns0:c r="F2790">
        <ns0:f>IFERROR(IF(ISNUMBER($A2790),IF(AND(AH!$P$10=1,AH!$P$12=1,$A2790=TODAY()),IF(AND(AH!$P$10=1,AH!$P$12=1,$A2790=TODAY()),TODAY(),NA()),IF(AH!$P$10=1,INDEX('Live History'!$D$5:$D$3004,MATCH($A2790,'Live History'!$D$5:$D$3004,1)),INDEX('AH History'!$E$1:$E$18046,AH!$P$7+2785))),NA()),NA())</ns0:f>
        <ns0:v/>
      </ns0:c>
      <ns0:c r="G2790">
        <ns0:f>IFERROR(IF(ISNUMBER($A2790),IF(AND(AH!$P$10=1,AH!$P$12=1,$A2790=TODAY()),IF(AND(AH!$P$10=1,AH!$P$12=1,$A2790=TODAY()),TODAY(),NA()),IF(AH!$P$10=1,INDEX('Live History'!$G$5:$G$3004,MATCH($A2790,'Live History'!$G$5:$G$3004,1)),INDEX('AH History'!$F$1:$F$18046,AH!$P$7+2785))),NA()),NA())</ns0:f>
        <ns0:v/>
      </ns0:c>
      <ns0:c r="H2790">
        <ns0:f>IFERROR(IF(AND(AH!$E$4="Bloomberg",AH!$P$10=1,ISNUMBER($A2790),$A2790&lt;=AH!$P$17),AH!$P$7-1+MATCH($A2790,INDEX('AH History'!$A$1:$A$18046,AH!$P$7):INDEX('AH History'!$A$1:$A$18046,AH!$P$7+AH!$P$8-1),0),0),0)</ns0:f>
        <ns0:v/>
      </ns0:c>
      <ns0:c r="I2790">
        <ns0:f>IF($H2790=0,0,IFERROR(IF(AND(ABS($C2790-INDEX('AH History'!$B$1:$B$18046,$H2790))&lt;=MAX(0.005,ABS(INDEX('AH History'!$B$1:$B$18046,$H2790))*0.00005),ABS($D2790-INDEX('AH History'!$C$1:$C$18046,$H2790))&lt;=MAX(0.005,ABS(INDEX('AH History'!$C$1:$C$18046,$H2790))*0.00005),ABS($E2790-INDEX('AH History'!$D$1:$D$18046,$H2790))&lt;=0.00005,$F2790=INDEX('AH History'!$E$1:$E$18046,$H2790),$G2790=INDEX('AH History'!$F$1:$F$18046,$H2790)),1,-1),-1))</ns0:f>
        <ns0:v/>
      </ns0:c>
    </ns0:row>
    <ns0:row r="2791">
      <ns0:c r="A2791" s="215">
        <ns0:f>IF(OR(AH!$P$3=0,2786+1&gt;AH!$P$11,AND(AH!$E$4&lt;&gt;"Stored",AH!$P$10&lt;&gt;1)),"",IFERROR(IF(AND(AH!$P$21=1,2786+1=AH!$P$11),TODAY(),IF(AH!$P$10=1,INDEX('Live History'!$A$5:$A$3004,AH!$P$13+2786),INDEX('AH History'!$A$1:$A$18046,AH!$P$7+2786))),""))</ns0:f>
        <ns0:v/>
      </ns0:c>
      <ns0:c r="B2791" s="219">
        <ns0:f>IFERROR(IF(AND(AH!$P$9&lt;&gt;1,$C2791&gt;0,$D2791&gt;0,$E2791&gt;0,$F2791&gt;0,$G2791&gt;0,$F2791&lt;=$A2791,$G2791&lt;=$A2791,$A2791-$F2791&lt;=10,$A2791-$G2791&lt;=5),$D2791*$E2791/$C2791-1,NA()),NA())</ns0:f>
        <ns0:v/>
      </ns0:c>
      <ns0:c r="C2791">
        <ns0:f>IFERROR(IF(ISNUMBER($A2791),IF(AND(AH!$P$10=1,AH!$P$12=1,$A2791=TODAY()),AH!$P$19,IF(AH!$P$10=1,INDEX('Live History'!$B$5:$B$3004,AH!$P$13+2786),INDEX('AH History'!$B$1:$B$18046,AH!$P$7+2786))),NA()),NA())</ns0:f>
        <ns0:v/>
      </ns0:c>
      <ns0:c r="D2791">
        <ns0:f>IFERROR(IF(ISNUMBER($A2791),IF(AND(AH!$P$10=1,AH!$P$12=1,$A2791=TODAY()),AH!$P$18,IF(AH!$P$10=1,INDEX('Live History'!$E$5:$E$3004,MATCH($A2791,'Live History'!$D$5:$D$3004,1)),INDEX('AH History'!$C$1:$C$18046,AH!$P$7+2786))),NA()),NA())</ns0:f>
        <ns0:v/>
      </ns0:c>
      <ns0:c r="E2791">
        <ns0:f>IFERROR(IF(ISNUMBER($A2791),IF(AND(AH!$P$10=1,AH!$P$12=1,$A2791=TODAY()),AH!$P$20,IF(AH!$P$10=1,INDEX('Live History'!$H$5:$H$3004,MATCH($A2791,'Live History'!$G$5:$G$3004,1)),INDEX('AH History'!$D$1:$D$18046,AH!$P$7+2786))),NA()),NA())</ns0:f>
        <ns0:v/>
      </ns0:c>
      <ns0:c r="F2791">
        <ns0:f>IFERROR(IF(ISNUMBER($A2791),IF(AND(AH!$P$10=1,AH!$P$12=1,$A2791=TODAY()),IF(AND(AH!$P$10=1,AH!$P$12=1,$A2791=TODAY()),TODAY(),NA()),IF(AH!$P$10=1,INDEX('Live History'!$D$5:$D$3004,MATCH($A2791,'Live History'!$D$5:$D$3004,1)),INDEX('AH History'!$E$1:$E$18046,AH!$P$7+2786))),NA()),NA())</ns0:f>
        <ns0:v/>
      </ns0:c>
      <ns0:c r="G2791">
        <ns0:f>IFERROR(IF(ISNUMBER($A2791),IF(AND(AH!$P$10=1,AH!$P$12=1,$A2791=TODAY()),IF(AND(AH!$P$10=1,AH!$P$12=1,$A2791=TODAY()),TODAY(),NA()),IF(AH!$P$10=1,INDEX('Live History'!$G$5:$G$3004,MATCH($A2791,'Live History'!$G$5:$G$3004,1)),INDEX('AH History'!$F$1:$F$18046,AH!$P$7+2786))),NA()),NA())</ns0:f>
        <ns0:v/>
      </ns0:c>
      <ns0:c r="H2791">
        <ns0:f>IFERROR(IF(AND(AH!$E$4="Bloomberg",AH!$P$10=1,ISNUMBER($A2791),$A2791&lt;=AH!$P$17),AH!$P$7-1+MATCH($A2791,INDEX('AH History'!$A$1:$A$18046,AH!$P$7):INDEX('AH History'!$A$1:$A$18046,AH!$P$7+AH!$P$8-1),0),0),0)</ns0:f>
        <ns0:v/>
      </ns0:c>
      <ns0:c r="I2791">
        <ns0:f>IF($H2791=0,0,IFERROR(IF(AND(ABS($C2791-INDEX('AH History'!$B$1:$B$18046,$H2791))&lt;=MAX(0.005,ABS(INDEX('AH History'!$B$1:$B$18046,$H2791))*0.00005),ABS($D2791-INDEX('AH History'!$C$1:$C$18046,$H2791))&lt;=MAX(0.005,ABS(INDEX('AH History'!$C$1:$C$18046,$H2791))*0.00005),ABS($E2791-INDEX('AH History'!$D$1:$D$18046,$H2791))&lt;=0.00005,$F2791=INDEX('AH History'!$E$1:$E$18046,$H2791),$G2791=INDEX('AH History'!$F$1:$F$18046,$H2791)),1,-1),-1))</ns0:f>
        <ns0:v/>
      </ns0:c>
    </ns0:row>
    <ns0:row r="2792">
      <ns0:c r="A2792" s="215">
        <ns0:f>IF(OR(AH!$P$3=0,2787+1&gt;AH!$P$11,AND(AH!$E$4&lt;&gt;"Stored",AH!$P$10&lt;&gt;1)),"",IFERROR(IF(AND(AH!$P$21=1,2787+1=AH!$P$11),TODAY(),IF(AH!$P$10=1,INDEX('Live History'!$A$5:$A$3004,AH!$P$13+2787),INDEX('AH History'!$A$1:$A$18046,AH!$P$7+2787))),""))</ns0:f>
        <ns0:v/>
      </ns0:c>
      <ns0:c r="B2792" s="219">
        <ns0:f>IFERROR(IF(AND(AH!$P$9&lt;&gt;1,$C2792&gt;0,$D2792&gt;0,$E2792&gt;0,$F2792&gt;0,$G2792&gt;0,$F2792&lt;=$A2792,$G2792&lt;=$A2792,$A2792-$F2792&lt;=10,$A2792-$G2792&lt;=5),$D2792*$E2792/$C2792-1,NA()),NA())</ns0:f>
        <ns0:v/>
      </ns0:c>
      <ns0:c r="C2792">
        <ns0:f>IFERROR(IF(ISNUMBER($A2792),IF(AND(AH!$P$10=1,AH!$P$12=1,$A2792=TODAY()),AH!$P$19,IF(AH!$P$10=1,INDEX('Live History'!$B$5:$B$3004,AH!$P$13+2787),INDEX('AH History'!$B$1:$B$18046,AH!$P$7+2787))),NA()),NA())</ns0:f>
        <ns0:v/>
      </ns0:c>
      <ns0:c r="D2792">
        <ns0:f>IFERROR(IF(ISNUMBER($A2792),IF(AND(AH!$P$10=1,AH!$P$12=1,$A2792=TODAY()),AH!$P$18,IF(AH!$P$10=1,INDEX('Live History'!$E$5:$E$3004,MATCH($A2792,'Live History'!$D$5:$D$3004,1)),INDEX('AH History'!$C$1:$C$18046,AH!$P$7+2787))),NA()),NA())</ns0:f>
        <ns0:v/>
      </ns0:c>
      <ns0:c r="E2792">
        <ns0:f>IFERROR(IF(ISNUMBER($A2792),IF(AND(AH!$P$10=1,AH!$P$12=1,$A2792=TODAY()),AH!$P$20,IF(AH!$P$10=1,INDEX('Live History'!$H$5:$H$3004,MATCH($A2792,'Live History'!$G$5:$G$3004,1)),INDEX('AH History'!$D$1:$D$18046,AH!$P$7+2787))),NA()),NA())</ns0:f>
        <ns0:v/>
      </ns0:c>
      <ns0:c r="F2792">
        <ns0:f>IFERROR(IF(ISNUMBER($A2792),IF(AND(AH!$P$10=1,AH!$P$12=1,$A2792=TODAY()),IF(AND(AH!$P$10=1,AH!$P$12=1,$A2792=TODAY()),TODAY(),NA()),IF(AH!$P$10=1,INDEX('Live History'!$D$5:$D$3004,MATCH($A2792,'Live History'!$D$5:$D$3004,1)),INDEX('AH History'!$E$1:$E$18046,AH!$P$7+2787))),NA()),NA())</ns0:f>
        <ns0:v/>
      </ns0:c>
      <ns0:c r="G2792">
        <ns0:f>IFERROR(IF(ISNUMBER($A2792),IF(AND(AH!$P$10=1,AH!$P$12=1,$A2792=TODAY()),IF(AND(AH!$P$10=1,AH!$P$12=1,$A2792=TODAY()),TODAY(),NA()),IF(AH!$P$10=1,INDEX('Live History'!$G$5:$G$3004,MATCH($A2792,'Live History'!$G$5:$G$3004,1)),INDEX('AH History'!$F$1:$F$18046,AH!$P$7+2787))),NA()),NA())</ns0:f>
        <ns0:v/>
      </ns0:c>
      <ns0:c r="H2792">
        <ns0:f>IFERROR(IF(AND(AH!$E$4="Bloomberg",AH!$P$10=1,ISNUMBER($A2792),$A2792&lt;=AH!$P$17),AH!$P$7-1+MATCH($A2792,INDEX('AH History'!$A$1:$A$18046,AH!$P$7):INDEX('AH History'!$A$1:$A$18046,AH!$P$7+AH!$P$8-1),0),0),0)</ns0:f>
        <ns0:v/>
      </ns0:c>
      <ns0:c r="I2792">
        <ns0:f>IF($H2792=0,0,IFERROR(IF(AND(ABS($C2792-INDEX('AH History'!$B$1:$B$18046,$H2792))&lt;=MAX(0.005,ABS(INDEX('AH History'!$B$1:$B$18046,$H2792))*0.00005),ABS($D2792-INDEX('AH History'!$C$1:$C$18046,$H2792))&lt;=MAX(0.005,ABS(INDEX('AH History'!$C$1:$C$18046,$H2792))*0.00005),ABS($E2792-INDEX('AH History'!$D$1:$D$18046,$H2792))&lt;=0.00005,$F2792=INDEX('AH History'!$E$1:$E$18046,$H2792),$G2792=INDEX('AH History'!$F$1:$F$18046,$H2792)),1,-1),-1))</ns0:f>
        <ns0:v/>
      </ns0:c>
    </ns0:row>
    <ns0:row r="2793">
      <ns0:c r="A2793" s="215">
        <ns0:f>IF(OR(AH!$P$3=0,2788+1&gt;AH!$P$11,AND(AH!$E$4&lt;&gt;"Stored",AH!$P$10&lt;&gt;1)),"",IFERROR(IF(AND(AH!$P$21=1,2788+1=AH!$P$11),TODAY(),IF(AH!$P$10=1,INDEX('Live History'!$A$5:$A$3004,AH!$P$13+2788),INDEX('AH History'!$A$1:$A$18046,AH!$P$7+2788))),""))</ns0:f>
        <ns0:v/>
      </ns0:c>
      <ns0:c r="B2793" s="219">
        <ns0:f>IFERROR(IF(AND(AH!$P$9&lt;&gt;1,$C2793&gt;0,$D2793&gt;0,$E2793&gt;0,$F2793&gt;0,$G2793&gt;0,$F2793&lt;=$A2793,$G2793&lt;=$A2793,$A2793-$F2793&lt;=10,$A2793-$G2793&lt;=5),$D2793*$E2793/$C2793-1,NA()),NA())</ns0:f>
        <ns0:v/>
      </ns0:c>
      <ns0:c r="C2793">
        <ns0:f>IFERROR(IF(ISNUMBER($A2793),IF(AND(AH!$P$10=1,AH!$P$12=1,$A2793=TODAY()),AH!$P$19,IF(AH!$P$10=1,INDEX('Live History'!$B$5:$B$3004,AH!$P$13+2788),INDEX('AH History'!$B$1:$B$18046,AH!$P$7+2788))),NA()),NA())</ns0:f>
        <ns0:v/>
      </ns0:c>
      <ns0:c r="D2793">
        <ns0:f>IFERROR(IF(ISNUMBER($A2793),IF(AND(AH!$P$10=1,AH!$P$12=1,$A2793=TODAY()),AH!$P$18,IF(AH!$P$10=1,INDEX('Live History'!$E$5:$E$3004,MATCH($A2793,'Live History'!$D$5:$D$3004,1)),INDEX('AH History'!$C$1:$C$18046,AH!$P$7+2788))),NA()),NA())</ns0:f>
        <ns0:v/>
      </ns0:c>
      <ns0:c r="E2793">
        <ns0:f>IFERROR(IF(ISNUMBER($A2793),IF(AND(AH!$P$10=1,AH!$P$12=1,$A2793=TODAY()),AH!$P$20,IF(AH!$P$10=1,INDEX('Live History'!$H$5:$H$3004,MATCH($A2793,'Live History'!$G$5:$G$3004,1)),INDEX('AH History'!$D$1:$D$18046,AH!$P$7+2788))),NA()),NA())</ns0:f>
        <ns0:v/>
      </ns0:c>
      <ns0:c r="F2793">
        <ns0:f>IFERROR(IF(ISNUMBER($A2793),IF(AND(AH!$P$10=1,AH!$P$12=1,$A2793=TODAY()),IF(AND(AH!$P$10=1,AH!$P$12=1,$A2793=TODAY()),TODAY(),NA()),IF(AH!$P$10=1,INDEX('Live History'!$D$5:$D$3004,MATCH($A2793,'Live History'!$D$5:$D$3004,1)),INDEX('AH History'!$E$1:$E$18046,AH!$P$7+2788))),NA()),NA())</ns0:f>
        <ns0:v/>
      </ns0:c>
      <ns0:c r="G2793">
        <ns0:f>IFERROR(IF(ISNUMBER($A2793),IF(AND(AH!$P$10=1,AH!$P$12=1,$A2793=TODAY()),IF(AND(AH!$P$10=1,AH!$P$12=1,$A2793=TODAY()),TODAY(),NA()),IF(AH!$P$10=1,INDEX('Live History'!$G$5:$G$3004,MATCH($A2793,'Live History'!$G$5:$G$3004,1)),INDEX('AH History'!$F$1:$F$18046,AH!$P$7+2788))),NA()),NA())</ns0:f>
        <ns0:v/>
      </ns0:c>
      <ns0:c r="H2793">
        <ns0:f>IFERROR(IF(AND(AH!$E$4="Bloomberg",AH!$P$10=1,ISNUMBER($A2793),$A2793&lt;=AH!$P$17),AH!$P$7-1+MATCH($A2793,INDEX('AH History'!$A$1:$A$18046,AH!$P$7):INDEX('AH History'!$A$1:$A$18046,AH!$P$7+AH!$P$8-1),0),0),0)</ns0:f>
        <ns0:v/>
      </ns0:c>
      <ns0:c r="I2793">
        <ns0:f>IF($H2793=0,0,IFERROR(IF(AND(ABS($C2793-INDEX('AH History'!$B$1:$B$18046,$H2793))&lt;=MAX(0.005,ABS(INDEX('AH History'!$B$1:$B$18046,$H2793))*0.00005),ABS($D2793-INDEX('AH History'!$C$1:$C$18046,$H2793))&lt;=MAX(0.005,ABS(INDEX('AH History'!$C$1:$C$18046,$H2793))*0.00005),ABS($E2793-INDEX('AH History'!$D$1:$D$18046,$H2793))&lt;=0.00005,$F2793=INDEX('AH History'!$E$1:$E$18046,$H2793),$G2793=INDEX('AH History'!$F$1:$F$18046,$H2793)),1,-1),-1))</ns0:f>
        <ns0:v/>
      </ns0:c>
    </ns0:row>
    <ns0:row r="2794">
      <ns0:c r="A2794" s="215">
        <ns0:f>IF(OR(AH!$P$3=0,2789+1&gt;AH!$P$11,AND(AH!$E$4&lt;&gt;"Stored",AH!$P$10&lt;&gt;1)),"",IFERROR(IF(AND(AH!$P$21=1,2789+1=AH!$P$11),TODAY(),IF(AH!$P$10=1,INDEX('Live History'!$A$5:$A$3004,AH!$P$13+2789),INDEX('AH History'!$A$1:$A$18046,AH!$P$7+2789))),""))</ns0:f>
        <ns0:v/>
      </ns0:c>
      <ns0:c r="B2794" s="219">
        <ns0:f>IFERROR(IF(AND(AH!$P$9&lt;&gt;1,$C2794&gt;0,$D2794&gt;0,$E2794&gt;0,$F2794&gt;0,$G2794&gt;0,$F2794&lt;=$A2794,$G2794&lt;=$A2794,$A2794-$F2794&lt;=10,$A2794-$G2794&lt;=5),$D2794*$E2794/$C2794-1,NA()),NA())</ns0:f>
        <ns0:v/>
      </ns0:c>
      <ns0:c r="C2794">
        <ns0:f>IFERROR(IF(ISNUMBER($A2794),IF(AND(AH!$P$10=1,AH!$P$12=1,$A2794=TODAY()),AH!$P$19,IF(AH!$P$10=1,INDEX('Live History'!$B$5:$B$3004,AH!$P$13+2789),INDEX('AH History'!$B$1:$B$18046,AH!$P$7+2789))),NA()),NA())</ns0:f>
        <ns0:v/>
      </ns0:c>
      <ns0:c r="D2794">
        <ns0:f>IFERROR(IF(ISNUMBER($A2794),IF(AND(AH!$P$10=1,AH!$P$12=1,$A2794=TODAY()),AH!$P$18,IF(AH!$P$10=1,INDEX('Live History'!$E$5:$E$3004,MATCH($A2794,'Live History'!$D$5:$D$3004,1)),INDEX('AH History'!$C$1:$C$18046,AH!$P$7+2789))),NA()),NA())</ns0:f>
        <ns0:v/>
      </ns0:c>
      <ns0:c r="E2794">
        <ns0:f>IFERROR(IF(ISNUMBER($A2794),IF(AND(AH!$P$10=1,AH!$P$12=1,$A2794=TODAY()),AH!$P$20,IF(AH!$P$10=1,INDEX('Live History'!$H$5:$H$3004,MATCH($A2794,'Live History'!$G$5:$G$3004,1)),INDEX('AH History'!$D$1:$D$18046,AH!$P$7+2789))),NA()),NA())</ns0:f>
        <ns0:v/>
      </ns0:c>
      <ns0:c r="F2794">
        <ns0:f>IFERROR(IF(ISNUMBER($A2794),IF(AND(AH!$P$10=1,AH!$P$12=1,$A2794=TODAY()),IF(AND(AH!$P$10=1,AH!$P$12=1,$A2794=TODAY()),TODAY(),NA()),IF(AH!$P$10=1,INDEX('Live History'!$D$5:$D$3004,MATCH($A2794,'Live History'!$D$5:$D$3004,1)),INDEX('AH History'!$E$1:$E$18046,AH!$P$7+2789))),NA()),NA())</ns0:f>
        <ns0:v/>
      </ns0:c>
      <ns0:c r="G2794">
        <ns0:f>IFERROR(IF(ISNUMBER($A2794),IF(AND(AH!$P$10=1,AH!$P$12=1,$A2794=TODAY()),IF(AND(AH!$P$10=1,AH!$P$12=1,$A2794=TODAY()),TODAY(),NA()),IF(AH!$P$10=1,INDEX('Live History'!$G$5:$G$3004,MATCH($A2794,'Live History'!$G$5:$G$3004,1)),INDEX('AH History'!$F$1:$F$18046,AH!$P$7+2789))),NA()),NA())</ns0:f>
        <ns0:v/>
      </ns0:c>
      <ns0:c r="H2794">
        <ns0:f>IFERROR(IF(AND(AH!$E$4="Bloomberg",AH!$P$10=1,ISNUMBER($A2794),$A2794&lt;=AH!$P$17),AH!$P$7-1+MATCH($A2794,INDEX('AH History'!$A$1:$A$18046,AH!$P$7):INDEX('AH History'!$A$1:$A$18046,AH!$P$7+AH!$P$8-1),0),0),0)</ns0:f>
        <ns0:v/>
      </ns0:c>
      <ns0:c r="I2794">
        <ns0:f>IF($H2794=0,0,IFERROR(IF(AND(ABS($C2794-INDEX('AH History'!$B$1:$B$18046,$H2794))&lt;=MAX(0.005,ABS(INDEX('AH History'!$B$1:$B$18046,$H2794))*0.00005),ABS($D2794-INDEX('AH History'!$C$1:$C$18046,$H2794))&lt;=MAX(0.005,ABS(INDEX('AH History'!$C$1:$C$18046,$H2794))*0.00005),ABS($E2794-INDEX('AH History'!$D$1:$D$18046,$H2794))&lt;=0.00005,$F2794=INDEX('AH History'!$E$1:$E$18046,$H2794),$G2794=INDEX('AH History'!$F$1:$F$18046,$H2794)),1,-1),-1))</ns0:f>
        <ns0:v/>
      </ns0:c>
    </ns0:row>
    <ns0:row r="2795">
      <ns0:c r="A2795" s="215">
        <ns0:f>IF(OR(AH!$P$3=0,2790+1&gt;AH!$P$11,AND(AH!$E$4&lt;&gt;"Stored",AH!$P$10&lt;&gt;1)),"",IFERROR(IF(AND(AH!$P$21=1,2790+1=AH!$P$11),TODAY(),IF(AH!$P$10=1,INDEX('Live History'!$A$5:$A$3004,AH!$P$13+2790),INDEX('AH History'!$A$1:$A$18046,AH!$P$7+2790))),""))</ns0:f>
        <ns0:v/>
      </ns0:c>
      <ns0:c r="B2795" s="219">
        <ns0:f>IFERROR(IF(AND(AH!$P$9&lt;&gt;1,$C2795&gt;0,$D2795&gt;0,$E2795&gt;0,$F2795&gt;0,$G2795&gt;0,$F2795&lt;=$A2795,$G2795&lt;=$A2795,$A2795-$F2795&lt;=10,$A2795-$G2795&lt;=5),$D2795*$E2795/$C2795-1,NA()),NA())</ns0:f>
        <ns0:v/>
      </ns0:c>
      <ns0:c r="C2795">
        <ns0:f>IFERROR(IF(ISNUMBER($A2795),IF(AND(AH!$P$10=1,AH!$P$12=1,$A2795=TODAY()),AH!$P$19,IF(AH!$P$10=1,INDEX('Live History'!$B$5:$B$3004,AH!$P$13+2790),INDEX('AH History'!$B$1:$B$18046,AH!$P$7+2790))),NA()),NA())</ns0:f>
        <ns0:v/>
      </ns0:c>
      <ns0:c r="D2795">
        <ns0:f>IFERROR(IF(ISNUMBER($A2795),IF(AND(AH!$P$10=1,AH!$P$12=1,$A2795=TODAY()),AH!$P$18,IF(AH!$P$10=1,INDEX('Live History'!$E$5:$E$3004,MATCH($A2795,'Live History'!$D$5:$D$3004,1)),INDEX('AH History'!$C$1:$C$18046,AH!$P$7+2790))),NA()),NA())</ns0:f>
        <ns0:v/>
      </ns0:c>
      <ns0:c r="E2795">
        <ns0:f>IFERROR(IF(ISNUMBER($A2795),IF(AND(AH!$P$10=1,AH!$P$12=1,$A2795=TODAY()),AH!$P$20,IF(AH!$P$10=1,INDEX('Live History'!$H$5:$H$3004,MATCH($A2795,'Live History'!$G$5:$G$3004,1)),INDEX('AH History'!$D$1:$D$18046,AH!$P$7+2790))),NA()),NA())</ns0:f>
        <ns0:v/>
      </ns0:c>
      <ns0:c r="F2795">
        <ns0:f>IFERROR(IF(ISNUMBER($A2795),IF(AND(AH!$P$10=1,AH!$P$12=1,$A2795=TODAY()),IF(AND(AH!$P$10=1,AH!$P$12=1,$A2795=TODAY()),TODAY(),NA()),IF(AH!$P$10=1,INDEX('Live History'!$D$5:$D$3004,MATCH($A2795,'Live History'!$D$5:$D$3004,1)),INDEX('AH History'!$E$1:$E$18046,AH!$P$7+2790))),NA()),NA())</ns0:f>
        <ns0:v/>
      </ns0:c>
      <ns0:c r="G2795">
        <ns0:f>IFERROR(IF(ISNUMBER($A2795),IF(AND(AH!$P$10=1,AH!$P$12=1,$A2795=TODAY()),IF(AND(AH!$P$10=1,AH!$P$12=1,$A2795=TODAY()),TODAY(),NA()),IF(AH!$P$10=1,INDEX('Live History'!$G$5:$G$3004,MATCH($A2795,'Live History'!$G$5:$G$3004,1)),INDEX('AH History'!$F$1:$F$18046,AH!$P$7+2790))),NA()),NA())</ns0:f>
        <ns0:v/>
      </ns0:c>
      <ns0:c r="H2795">
        <ns0:f>IFERROR(IF(AND(AH!$E$4="Bloomberg",AH!$P$10=1,ISNUMBER($A2795),$A2795&lt;=AH!$P$17),AH!$P$7-1+MATCH($A2795,INDEX('AH History'!$A$1:$A$18046,AH!$P$7):INDEX('AH History'!$A$1:$A$18046,AH!$P$7+AH!$P$8-1),0),0),0)</ns0:f>
        <ns0:v/>
      </ns0:c>
      <ns0:c r="I2795">
        <ns0:f>IF($H2795=0,0,IFERROR(IF(AND(ABS($C2795-INDEX('AH History'!$B$1:$B$18046,$H2795))&lt;=MAX(0.005,ABS(INDEX('AH History'!$B$1:$B$18046,$H2795))*0.00005),ABS($D2795-INDEX('AH History'!$C$1:$C$18046,$H2795))&lt;=MAX(0.005,ABS(INDEX('AH History'!$C$1:$C$18046,$H2795))*0.00005),ABS($E2795-INDEX('AH History'!$D$1:$D$18046,$H2795))&lt;=0.00005,$F2795=INDEX('AH History'!$E$1:$E$18046,$H2795),$G2795=INDEX('AH History'!$F$1:$F$18046,$H2795)),1,-1),-1))</ns0:f>
        <ns0:v/>
      </ns0:c>
    </ns0:row>
    <ns0:row r="2796">
      <ns0:c r="A2796" s="215">
        <ns0:f>IF(OR(AH!$P$3=0,2791+1&gt;AH!$P$11,AND(AH!$E$4&lt;&gt;"Stored",AH!$P$10&lt;&gt;1)),"",IFERROR(IF(AND(AH!$P$21=1,2791+1=AH!$P$11),TODAY(),IF(AH!$P$10=1,INDEX('Live History'!$A$5:$A$3004,AH!$P$13+2791),INDEX('AH History'!$A$1:$A$18046,AH!$P$7+2791))),""))</ns0:f>
        <ns0:v/>
      </ns0:c>
      <ns0:c r="B2796" s="219">
        <ns0:f>IFERROR(IF(AND(AH!$P$9&lt;&gt;1,$C2796&gt;0,$D2796&gt;0,$E2796&gt;0,$F2796&gt;0,$G2796&gt;0,$F2796&lt;=$A2796,$G2796&lt;=$A2796,$A2796-$F2796&lt;=10,$A2796-$G2796&lt;=5),$D2796*$E2796/$C2796-1,NA()),NA())</ns0:f>
        <ns0:v/>
      </ns0:c>
      <ns0:c r="C2796">
        <ns0:f>IFERROR(IF(ISNUMBER($A2796),IF(AND(AH!$P$10=1,AH!$P$12=1,$A2796=TODAY()),AH!$P$19,IF(AH!$P$10=1,INDEX('Live History'!$B$5:$B$3004,AH!$P$13+2791),INDEX('AH History'!$B$1:$B$18046,AH!$P$7+2791))),NA()),NA())</ns0:f>
        <ns0:v/>
      </ns0:c>
      <ns0:c r="D2796">
        <ns0:f>IFERROR(IF(ISNUMBER($A2796),IF(AND(AH!$P$10=1,AH!$P$12=1,$A2796=TODAY()),AH!$P$18,IF(AH!$P$10=1,INDEX('Live History'!$E$5:$E$3004,MATCH($A2796,'Live History'!$D$5:$D$3004,1)),INDEX('AH History'!$C$1:$C$18046,AH!$P$7+2791))),NA()),NA())</ns0:f>
        <ns0:v/>
      </ns0:c>
      <ns0:c r="E2796">
        <ns0:f>IFERROR(IF(ISNUMBER($A2796),IF(AND(AH!$P$10=1,AH!$P$12=1,$A2796=TODAY()),AH!$P$20,IF(AH!$P$10=1,INDEX('Live History'!$H$5:$H$3004,MATCH($A2796,'Live History'!$G$5:$G$3004,1)),INDEX('AH History'!$D$1:$D$18046,AH!$P$7+2791))),NA()),NA())</ns0:f>
        <ns0:v/>
      </ns0:c>
      <ns0:c r="F2796">
        <ns0:f>IFERROR(IF(ISNUMBER($A2796),IF(AND(AH!$P$10=1,AH!$P$12=1,$A2796=TODAY()),IF(AND(AH!$P$10=1,AH!$P$12=1,$A2796=TODAY()),TODAY(),NA()),IF(AH!$P$10=1,INDEX('Live History'!$D$5:$D$3004,MATCH($A2796,'Live History'!$D$5:$D$3004,1)),INDEX('AH History'!$E$1:$E$18046,AH!$P$7+2791))),NA()),NA())</ns0:f>
        <ns0:v/>
      </ns0:c>
      <ns0:c r="G2796">
        <ns0:f>IFERROR(IF(ISNUMBER($A2796),IF(AND(AH!$P$10=1,AH!$P$12=1,$A2796=TODAY()),IF(AND(AH!$P$10=1,AH!$P$12=1,$A2796=TODAY()),TODAY(),NA()),IF(AH!$P$10=1,INDEX('Live History'!$G$5:$G$3004,MATCH($A2796,'Live History'!$G$5:$G$3004,1)),INDEX('AH History'!$F$1:$F$18046,AH!$P$7+2791))),NA()),NA())</ns0:f>
        <ns0:v/>
      </ns0:c>
      <ns0:c r="H2796">
        <ns0:f>IFERROR(IF(AND(AH!$E$4="Bloomberg",AH!$P$10=1,ISNUMBER($A2796),$A2796&lt;=AH!$P$17),AH!$P$7-1+MATCH($A2796,INDEX('AH History'!$A$1:$A$18046,AH!$P$7):INDEX('AH History'!$A$1:$A$18046,AH!$P$7+AH!$P$8-1),0),0),0)</ns0:f>
        <ns0:v/>
      </ns0:c>
      <ns0:c r="I2796">
        <ns0:f>IF($H2796=0,0,IFERROR(IF(AND(ABS($C2796-INDEX('AH History'!$B$1:$B$18046,$H2796))&lt;=MAX(0.005,ABS(INDEX('AH History'!$B$1:$B$18046,$H2796))*0.00005),ABS($D2796-INDEX('AH History'!$C$1:$C$18046,$H2796))&lt;=MAX(0.005,ABS(INDEX('AH History'!$C$1:$C$18046,$H2796))*0.00005),ABS($E2796-INDEX('AH History'!$D$1:$D$18046,$H2796))&lt;=0.00005,$F2796=INDEX('AH History'!$E$1:$E$18046,$H2796),$G2796=INDEX('AH History'!$F$1:$F$18046,$H2796)),1,-1),-1))</ns0:f>
        <ns0:v/>
      </ns0:c>
    </ns0:row>
    <ns0:row r="2797">
      <ns0:c r="A2797" s="215">
        <ns0:f>IF(OR(AH!$P$3=0,2792+1&gt;AH!$P$11,AND(AH!$E$4&lt;&gt;"Stored",AH!$P$10&lt;&gt;1)),"",IFERROR(IF(AND(AH!$P$21=1,2792+1=AH!$P$11),TODAY(),IF(AH!$P$10=1,INDEX('Live History'!$A$5:$A$3004,AH!$P$13+2792),INDEX('AH History'!$A$1:$A$18046,AH!$P$7+2792))),""))</ns0:f>
        <ns0:v/>
      </ns0:c>
      <ns0:c r="B2797" s="219">
        <ns0:f>IFERROR(IF(AND(AH!$P$9&lt;&gt;1,$C2797&gt;0,$D2797&gt;0,$E2797&gt;0,$F2797&gt;0,$G2797&gt;0,$F2797&lt;=$A2797,$G2797&lt;=$A2797,$A2797-$F2797&lt;=10,$A2797-$G2797&lt;=5),$D2797*$E2797/$C2797-1,NA()),NA())</ns0:f>
        <ns0:v/>
      </ns0:c>
      <ns0:c r="C2797">
        <ns0:f>IFERROR(IF(ISNUMBER($A2797),IF(AND(AH!$P$10=1,AH!$P$12=1,$A2797=TODAY()),AH!$P$19,IF(AH!$P$10=1,INDEX('Live History'!$B$5:$B$3004,AH!$P$13+2792),INDEX('AH History'!$B$1:$B$18046,AH!$P$7+2792))),NA()),NA())</ns0:f>
        <ns0:v/>
      </ns0:c>
      <ns0:c r="D2797">
        <ns0:f>IFERROR(IF(ISNUMBER($A2797),IF(AND(AH!$P$10=1,AH!$P$12=1,$A2797=TODAY()),AH!$P$18,IF(AH!$P$10=1,INDEX('Live History'!$E$5:$E$3004,MATCH($A2797,'Live History'!$D$5:$D$3004,1)),INDEX('AH History'!$C$1:$C$18046,AH!$P$7+2792))),NA()),NA())</ns0:f>
        <ns0:v/>
      </ns0:c>
      <ns0:c r="E2797">
        <ns0:f>IFERROR(IF(ISNUMBER($A2797),IF(AND(AH!$P$10=1,AH!$P$12=1,$A2797=TODAY()),AH!$P$20,IF(AH!$P$10=1,INDEX('Live History'!$H$5:$H$3004,MATCH($A2797,'Live History'!$G$5:$G$3004,1)),INDEX('AH History'!$D$1:$D$18046,AH!$P$7+2792))),NA()),NA())</ns0:f>
        <ns0:v/>
      </ns0:c>
      <ns0:c r="F2797">
        <ns0:f>IFERROR(IF(ISNUMBER($A2797),IF(AND(AH!$P$10=1,AH!$P$12=1,$A2797=TODAY()),IF(AND(AH!$P$10=1,AH!$P$12=1,$A2797=TODAY()),TODAY(),NA()),IF(AH!$P$10=1,INDEX('Live History'!$D$5:$D$3004,MATCH($A2797,'Live History'!$D$5:$D$3004,1)),INDEX('AH History'!$E$1:$E$18046,AH!$P$7+2792))),NA()),NA())</ns0:f>
        <ns0:v/>
      </ns0:c>
      <ns0:c r="G2797">
        <ns0:f>IFERROR(IF(ISNUMBER($A2797),IF(AND(AH!$P$10=1,AH!$P$12=1,$A2797=TODAY()),IF(AND(AH!$P$10=1,AH!$P$12=1,$A2797=TODAY()),TODAY(),NA()),IF(AH!$P$10=1,INDEX('Live History'!$G$5:$G$3004,MATCH($A2797,'Live History'!$G$5:$G$3004,1)),INDEX('AH History'!$F$1:$F$18046,AH!$P$7+2792))),NA()),NA())</ns0:f>
        <ns0:v/>
      </ns0:c>
      <ns0:c r="H2797">
        <ns0:f>IFERROR(IF(AND(AH!$E$4="Bloomberg",AH!$P$10=1,ISNUMBER($A2797),$A2797&lt;=AH!$P$17),AH!$P$7-1+MATCH($A2797,INDEX('AH History'!$A$1:$A$18046,AH!$P$7):INDEX('AH History'!$A$1:$A$18046,AH!$P$7+AH!$P$8-1),0),0),0)</ns0:f>
        <ns0:v/>
      </ns0:c>
      <ns0:c r="I2797">
        <ns0:f>IF($H2797=0,0,IFERROR(IF(AND(ABS($C2797-INDEX('AH History'!$B$1:$B$18046,$H2797))&lt;=MAX(0.005,ABS(INDEX('AH History'!$B$1:$B$18046,$H2797))*0.00005),ABS($D2797-INDEX('AH History'!$C$1:$C$18046,$H2797))&lt;=MAX(0.005,ABS(INDEX('AH History'!$C$1:$C$18046,$H2797))*0.00005),ABS($E2797-INDEX('AH History'!$D$1:$D$18046,$H2797))&lt;=0.00005,$F2797=INDEX('AH History'!$E$1:$E$18046,$H2797),$G2797=INDEX('AH History'!$F$1:$F$18046,$H2797)),1,-1),-1))</ns0:f>
        <ns0:v/>
      </ns0:c>
    </ns0:row>
    <ns0:row r="2798">
      <ns0:c r="A2798" s="215">
        <ns0:f>IF(OR(AH!$P$3=0,2793+1&gt;AH!$P$11,AND(AH!$E$4&lt;&gt;"Stored",AH!$P$10&lt;&gt;1)),"",IFERROR(IF(AND(AH!$P$21=1,2793+1=AH!$P$11),TODAY(),IF(AH!$P$10=1,INDEX('Live History'!$A$5:$A$3004,AH!$P$13+2793),INDEX('AH History'!$A$1:$A$18046,AH!$P$7+2793))),""))</ns0:f>
        <ns0:v/>
      </ns0:c>
      <ns0:c r="B2798" s="219">
        <ns0:f>IFERROR(IF(AND(AH!$P$9&lt;&gt;1,$C2798&gt;0,$D2798&gt;0,$E2798&gt;0,$F2798&gt;0,$G2798&gt;0,$F2798&lt;=$A2798,$G2798&lt;=$A2798,$A2798-$F2798&lt;=10,$A2798-$G2798&lt;=5),$D2798*$E2798/$C2798-1,NA()),NA())</ns0:f>
        <ns0:v/>
      </ns0:c>
      <ns0:c r="C2798">
        <ns0:f>IFERROR(IF(ISNUMBER($A2798),IF(AND(AH!$P$10=1,AH!$P$12=1,$A2798=TODAY()),AH!$P$19,IF(AH!$P$10=1,INDEX('Live History'!$B$5:$B$3004,AH!$P$13+2793),INDEX('AH History'!$B$1:$B$18046,AH!$P$7+2793))),NA()),NA())</ns0:f>
        <ns0:v/>
      </ns0:c>
      <ns0:c r="D2798">
        <ns0:f>IFERROR(IF(ISNUMBER($A2798),IF(AND(AH!$P$10=1,AH!$P$12=1,$A2798=TODAY()),AH!$P$18,IF(AH!$P$10=1,INDEX('Live History'!$E$5:$E$3004,MATCH($A2798,'Live History'!$D$5:$D$3004,1)),INDEX('AH History'!$C$1:$C$18046,AH!$P$7+2793))),NA()),NA())</ns0:f>
        <ns0:v/>
      </ns0:c>
      <ns0:c r="E2798">
        <ns0:f>IFERROR(IF(ISNUMBER($A2798),IF(AND(AH!$P$10=1,AH!$P$12=1,$A2798=TODAY()),AH!$P$20,IF(AH!$P$10=1,INDEX('Live History'!$H$5:$H$3004,MATCH($A2798,'Live History'!$G$5:$G$3004,1)),INDEX('AH History'!$D$1:$D$18046,AH!$P$7+2793))),NA()),NA())</ns0:f>
        <ns0:v/>
      </ns0:c>
      <ns0:c r="F2798">
        <ns0:f>IFERROR(IF(ISNUMBER($A2798),IF(AND(AH!$P$10=1,AH!$P$12=1,$A2798=TODAY()),IF(AND(AH!$P$10=1,AH!$P$12=1,$A2798=TODAY()),TODAY(),NA()),IF(AH!$P$10=1,INDEX('Live History'!$D$5:$D$3004,MATCH($A2798,'Live History'!$D$5:$D$3004,1)),INDEX('AH History'!$E$1:$E$18046,AH!$P$7+2793))),NA()),NA())</ns0:f>
        <ns0:v/>
      </ns0:c>
      <ns0:c r="G2798">
        <ns0:f>IFERROR(IF(ISNUMBER($A2798),IF(AND(AH!$P$10=1,AH!$P$12=1,$A2798=TODAY()),IF(AND(AH!$P$10=1,AH!$P$12=1,$A2798=TODAY()),TODAY(),NA()),IF(AH!$P$10=1,INDEX('Live History'!$G$5:$G$3004,MATCH($A2798,'Live History'!$G$5:$G$3004,1)),INDEX('AH History'!$F$1:$F$18046,AH!$P$7+2793))),NA()),NA())</ns0:f>
        <ns0:v/>
      </ns0:c>
      <ns0:c r="H2798">
        <ns0:f>IFERROR(IF(AND(AH!$E$4="Bloomberg",AH!$P$10=1,ISNUMBER($A2798),$A2798&lt;=AH!$P$17),AH!$P$7-1+MATCH($A2798,INDEX('AH History'!$A$1:$A$18046,AH!$P$7):INDEX('AH History'!$A$1:$A$18046,AH!$P$7+AH!$P$8-1),0),0),0)</ns0:f>
        <ns0:v/>
      </ns0:c>
      <ns0:c r="I2798">
        <ns0:f>IF($H2798=0,0,IFERROR(IF(AND(ABS($C2798-INDEX('AH History'!$B$1:$B$18046,$H2798))&lt;=MAX(0.005,ABS(INDEX('AH History'!$B$1:$B$18046,$H2798))*0.00005),ABS($D2798-INDEX('AH History'!$C$1:$C$18046,$H2798))&lt;=MAX(0.005,ABS(INDEX('AH History'!$C$1:$C$18046,$H2798))*0.00005),ABS($E2798-INDEX('AH History'!$D$1:$D$18046,$H2798))&lt;=0.00005,$F2798=INDEX('AH History'!$E$1:$E$18046,$H2798),$G2798=INDEX('AH History'!$F$1:$F$18046,$H2798)),1,-1),-1))</ns0:f>
        <ns0:v/>
      </ns0:c>
    </ns0:row>
    <ns0:row r="2799">
      <ns0:c r="A2799" s="215">
        <ns0:f>IF(OR(AH!$P$3=0,2794+1&gt;AH!$P$11,AND(AH!$E$4&lt;&gt;"Stored",AH!$P$10&lt;&gt;1)),"",IFERROR(IF(AND(AH!$P$21=1,2794+1=AH!$P$11),TODAY(),IF(AH!$P$10=1,INDEX('Live History'!$A$5:$A$3004,AH!$P$13+2794),INDEX('AH History'!$A$1:$A$18046,AH!$P$7+2794))),""))</ns0:f>
        <ns0:v/>
      </ns0:c>
      <ns0:c r="B2799" s="219">
        <ns0:f>IFERROR(IF(AND(AH!$P$9&lt;&gt;1,$C2799&gt;0,$D2799&gt;0,$E2799&gt;0,$F2799&gt;0,$G2799&gt;0,$F2799&lt;=$A2799,$G2799&lt;=$A2799,$A2799-$F2799&lt;=10,$A2799-$G2799&lt;=5),$D2799*$E2799/$C2799-1,NA()),NA())</ns0:f>
        <ns0:v/>
      </ns0:c>
      <ns0:c r="C2799">
        <ns0:f>IFERROR(IF(ISNUMBER($A2799),IF(AND(AH!$P$10=1,AH!$P$12=1,$A2799=TODAY()),AH!$P$19,IF(AH!$P$10=1,INDEX('Live History'!$B$5:$B$3004,AH!$P$13+2794),INDEX('AH History'!$B$1:$B$18046,AH!$P$7+2794))),NA()),NA())</ns0:f>
        <ns0:v/>
      </ns0:c>
      <ns0:c r="D2799">
        <ns0:f>IFERROR(IF(ISNUMBER($A2799),IF(AND(AH!$P$10=1,AH!$P$12=1,$A2799=TODAY()),AH!$P$18,IF(AH!$P$10=1,INDEX('Live History'!$E$5:$E$3004,MATCH($A2799,'Live History'!$D$5:$D$3004,1)),INDEX('AH History'!$C$1:$C$18046,AH!$P$7+2794))),NA()),NA())</ns0:f>
        <ns0:v/>
      </ns0:c>
      <ns0:c r="E2799">
        <ns0:f>IFERROR(IF(ISNUMBER($A2799),IF(AND(AH!$P$10=1,AH!$P$12=1,$A2799=TODAY()),AH!$P$20,IF(AH!$P$10=1,INDEX('Live History'!$H$5:$H$3004,MATCH($A2799,'Live History'!$G$5:$G$3004,1)),INDEX('AH History'!$D$1:$D$18046,AH!$P$7+2794))),NA()),NA())</ns0:f>
        <ns0:v/>
      </ns0:c>
      <ns0:c r="F2799">
        <ns0:f>IFERROR(IF(ISNUMBER($A2799),IF(AND(AH!$P$10=1,AH!$P$12=1,$A2799=TODAY()),IF(AND(AH!$P$10=1,AH!$P$12=1,$A2799=TODAY()),TODAY(),NA()),IF(AH!$P$10=1,INDEX('Live History'!$D$5:$D$3004,MATCH($A2799,'Live History'!$D$5:$D$3004,1)),INDEX('AH History'!$E$1:$E$18046,AH!$P$7+2794))),NA()),NA())</ns0:f>
        <ns0:v/>
      </ns0:c>
      <ns0:c r="G2799">
        <ns0:f>IFERROR(IF(ISNUMBER($A2799),IF(AND(AH!$P$10=1,AH!$P$12=1,$A2799=TODAY()),IF(AND(AH!$P$10=1,AH!$P$12=1,$A2799=TODAY()),TODAY(),NA()),IF(AH!$P$10=1,INDEX('Live History'!$G$5:$G$3004,MATCH($A2799,'Live History'!$G$5:$G$3004,1)),INDEX('AH History'!$F$1:$F$18046,AH!$P$7+2794))),NA()),NA())</ns0:f>
        <ns0:v/>
      </ns0:c>
      <ns0:c r="H2799">
        <ns0:f>IFERROR(IF(AND(AH!$E$4="Bloomberg",AH!$P$10=1,ISNUMBER($A2799),$A2799&lt;=AH!$P$17),AH!$P$7-1+MATCH($A2799,INDEX('AH History'!$A$1:$A$18046,AH!$P$7):INDEX('AH History'!$A$1:$A$18046,AH!$P$7+AH!$P$8-1),0),0),0)</ns0:f>
        <ns0:v/>
      </ns0:c>
      <ns0:c r="I2799">
        <ns0:f>IF($H2799=0,0,IFERROR(IF(AND(ABS($C2799-INDEX('AH History'!$B$1:$B$18046,$H2799))&lt;=MAX(0.005,ABS(INDEX('AH History'!$B$1:$B$18046,$H2799))*0.00005),ABS($D2799-INDEX('AH History'!$C$1:$C$18046,$H2799))&lt;=MAX(0.005,ABS(INDEX('AH History'!$C$1:$C$18046,$H2799))*0.00005),ABS($E2799-INDEX('AH History'!$D$1:$D$18046,$H2799))&lt;=0.00005,$F2799=INDEX('AH History'!$E$1:$E$18046,$H2799),$G2799=INDEX('AH History'!$F$1:$F$18046,$H2799)),1,-1),-1))</ns0:f>
        <ns0:v/>
      </ns0:c>
    </ns0:row>
    <ns0:row r="2800">
      <ns0:c r="A2800" s="215">
        <ns0:f>IF(OR(AH!$P$3=0,2795+1&gt;AH!$P$11,AND(AH!$E$4&lt;&gt;"Stored",AH!$P$10&lt;&gt;1)),"",IFERROR(IF(AND(AH!$P$21=1,2795+1=AH!$P$11),TODAY(),IF(AH!$P$10=1,INDEX('Live History'!$A$5:$A$3004,AH!$P$13+2795),INDEX('AH History'!$A$1:$A$18046,AH!$P$7+2795))),""))</ns0:f>
        <ns0:v/>
      </ns0:c>
      <ns0:c r="B2800" s="219">
        <ns0:f>IFERROR(IF(AND(AH!$P$9&lt;&gt;1,$C2800&gt;0,$D2800&gt;0,$E2800&gt;0,$F2800&gt;0,$G2800&gt;0,$F2800&lt;=$A2800,$G2800&lt;=$A2800,$A2800-$F2800&lt;=10,$A2800-$G2800&lt;=5),$D2800*$E2800/$C2800-1,NA()),NA())</ns0:f>
        <ns0:v/>
      </ns0:c>
      <ns0:c r="C2800">
        <ns0:f>IFERROR(IF(ISNUMBER($A2800),IF(AND(AH!$P$10=1,AH!$P$12=1,$A2800=TODAY()),AH!$P$19,IF(AH!$P$10=1,INDEX('Live History'!$B$5:$B$3004,AH!$P$13+2795),INDEX('AH History'!$B$1:$B$18046,AH!$P$7+2795))),NA()),NA())</ns0:f>
        <ns0:v/>
      </ns0:c>
      <ns0:c r="D2800">
        <ns0:f>IFERROR(IF(ISNUMBER($A2800),IF(AND(AH!$P$10=1,AH!$P$12=1,$A2800=TODAY()),AH!$P$18,IF(AH!$P$10=1,INDEX('Live History'!$E$5:$E$3004,MATCH($A2800,'Live History'!$D$5:$D$3004,1)),INDEX('AH History'!$C$1:$C$18046,AH!$P$7+2795))),NA()),NA())</ns0:f>
        <ns0:v/>
      </ns0:c>
      <ns0:c r="E2800">
        <ns0:f>IFERROR(IF(ISNUMBER($A2800),IF(AND(AH!$P$10=1,AH!$P$12=1,$A2800=TODAY()),AH!$P$20,IF(AH!$P$10=1,INDEX('Live History'!$H$5:$H$3004,MATCH($A2800,'Live History'!$G$5:$G$3004,1)),INDEX('AH History'!$D$1:$D$18046,AH!$P$7+2795))),NA()),NA())</ns0:f>
        <ns0:v/>
      </ns0:c>
      <ns0:c r="F2800">
        <ns0:f>IFERROR(IF(ISNUMBER($A2800),IF(AND(AH!$P$10=1,AH!$P$12=1,$A2800=TODAY()),IF(AND(AH!$P$10=1,AH!$P$12=1,$A2800=TODAY()),TODAY(),NA()),IF(AH!$P$10=1,INDEX('Live History'!$D$5:$D$3004,MATCH($A2800,'Live History'!$D$5:$D$3004,1)),INDEX('AH History'!$E$1:$E$18046,AH!$P$7+2795))),NA()),NA())</ns0:f>
        <ns0:v/>
      </ns0:c>
      <ns0:c r="G2800">
        <ns0:f>IFERROR(IF(ISNUMBER($A2800),IF(AND(AH!$P$10=1,AH!$P$12=1,$A2800=TODAY()),IF(AND(AH!$P$10=1,AH!$P$12=1,$A2800=TODAY()),TODAY(),NA()),IF(AH!$P$10=1,INDEX('Live History'!$G$5:$G$3004,MATCH($A2800,'Live History'!$G$5:$G$3004,1)),INDEX('AH History'!$F$1:$F$18046,AH!$P$7+2795))),NA()),NA())</ns0:f>
        <ns0:v/>
      </ns0:c>
      <ns0:c r="H2800">
        <ns0:f>IFERROR(IF(AND(AH!$E$4="Bloomberg",AH!$P$10=1,ISNUMBER($A2800),$A2800&lt;=AH!$P$17),AH!$P$7-1+MATCH($A2800,INDEX('AH History'!$A$1:$A$18046,AH!$P$7):INDEX('AH History'!$A$1:$A$18046,AH!$P$7+AH!$P$8-1),0),0),0)</ns0:f>
        <ns0:v/>
      </ns0:c>
      <ns0:c r="I2800">
        <ns0:f>IF($H2800=0,0,IFERROR(IF(AND(ABS($C2800-INDEX('AH History'!$B$1:$B$18046,$H2800))&lt;=MAX(0.005,ABS(INDEX('AH History'!$B$1:$B$18046,$H2800))*0.00005),ABS($D2800-INDEX('AH History'!$C$1:$C$18046,$H2800))&lt;=MAX(0.005,ABS(INDEX('AH History'!$C$1:$C$18046,$H2800))*0.00005),ABS($E2800-INDEX('AH History'!$D$1:$D$18046,$H2800))&lt;=0.00005,$F2800=INDEX('AH History'!$E$1:$E$18046,$H2800),$G2800=INDEX('AH History'!$F$1:$F$18046,$H2800)),1,-1),-1))</ns0:f>
        <ns0:v/>
      </ns0:c>
    </ns0:row>
    <ns0:row r="2801">
      <ns0:c r="A2801" s="215">
        <ns0:f>IF(OR(AH!$P$3=0,2796+1&gt;AH!$P$11,AND(AH!$E$4&lt;&gt;"Stored",AH!$P$10&lt;&gt;1)),"",IFERROR(IF(AND(AH!$P$21=1,2796+1=AH!$P$11),TODAY(),IF(AH!$P$10=1,INDEX('Live History'!$A$5:$A$3004,AH!$P$13+2796),INDEX('AH History'!$A$1:$A$18046,AH!$P$7+2796))),""))</ns0:f>
        <ns0:v/>
      </ns0:c>
      <ns0:c r="B2801" s="219">
        <ns0:f>IFERROR(IF(AND(AH!$P$9&lt;&gt;1,$C2801&gt;0,$D2801&gt;0,$E2801&gt;0,$F2801&gt;0,$G2801&gt;0,$F2801&lt;=$A2801,$G2801&lt;=$A2801,$A2801-$F2801&lt;=10,$A2801-$G2801&lt;=5),$D2801*$E2801/$C2801-1,NA()),NA())</ns0:f>
        <ns0:v/>
      </ns0:c>
      <ns0:c r="C2801">
        <ns0:f>IFERROR(IF(ISNUMBER($A2801),IF(AND(AH!$P$10=1,AH!$P$12=1,$A2801=TODAY()),AH!$P$19,IF(AH!$P$10=1,INDEX('Live History'!$B$5:$B$3004,AH!$P$13+2796),INDEX('AH History'!$B$1:$B$18046,AH!$P$7+2796))),NA()),NA())</ns0:f>
        <ns0:v/>
      </ns0:c>
      <ns0:c r="D2801">
        <ns0:f>IFERROR(IF(ISNUMBER($A2801),IF(AND(AH!$P$10=1,AH!$P$12=1,$A2801=TODAY()),AH!$P$18,IF(AH!$P$10=1,INDEX('Live History'!$E$5:$E$3004,MATCH($A2801,'Live History'!$D$5:$D$3004,1)),INDEX('AH History'!$C$1:$C$18046,AH!$P$7+2796))),NA()),NA())</ns0:f>
        <ns0:v/>
      </ns0:c>
      <ns0:c r="E2801">
        <ns0:f>IFERROR(IF(ISNUMBER($A2801),IF(AND(AH!$P$10=1,AH!$P$12=1,$A2801=TODAY()),AH!$P$20,IF(AH!$P$10=1,INDEX('Live History'!$H$5:$H$3004,MATCH($A2801,'Live History'!$G$5:$G$3004,1)),INDEX('AH History'!$D$1:$D$18046,AH!$P$7+2796))),NA()),NA())</ns0:f>
        <ns0:v/>
      </ns0:c>
      <ns0:c r="F2801">
        <ns0:f>IFERROR(IF(ISNUMBER($A2801),IF(AND(AH!$P$10=1,AH!$P$12=1,$A2801=TODAY()),IF(AND(AH!$P$10=1,AH!$P$12=1,$A2801=TODAY()),TODAY(),NA()),IF(AH!$P$10=1,INDEX('Live History'!$D$5:$D$3004,MATCH($A2801,'Live History'!$D$5:$D$3004,1)),INDEX('AH History'!$E$1:$E$18046,AH!$P$7+2796))),NA()),NA())</ns0:f>
        <ns0:v/>
      </ns0:c>
      <ns0:c r="G2801">
        <ns0:f>IFERROR(IF(ISNUMBER($A2801),IF(AND(AH!$P$10=1,AH!$P$12=1,$A2801=TODAY()),IF(AND(AH!$P$10=1,AH!$P$12=1,$A2801=TODAY()),TODAY(),NA()),IF(AH!$P$10=1,INDEX('Live History'!$G$5:$G$3004,MATCH($A2801,'Live History'!$G$5:$G$3004,1)),INDEX('AH History'!$F$1:$F$18046,AH!$P$7+2796))),NA()),NA())</ns0:f>
        <ns0:v/>
      </ns0:c>
      <ns0:c r="H2801">
        <ns0:f>IFERROR(IF(AND(AH!$E$4="Bloomberg",AH!$P$10=1,ISNUMBER($A2801),$A2801&lt;=AH!$P$17),AH!$P$7-1+MATCH($A2801,INDEX('AH History'!$A$1:$A$18046,AH!$P$7):INDEX('AH History'!$A$1:$A$18046,AH!$P$7+AH!$P$8-1),0),0),0)</ns0:f>
        <ns0:v/>
      </ns0:c>
      <ns0:c r="I2801">
        <ns0:f>IF($H2801=0,0,IFERROR(IF(AND(ABS($C2801-INDEX('AH History'!$B$1:$B$18046,$H2801))&lt;=MAX(0.005,ABS(INDEX('AH History'!$B$1:$B$18046,$H2801))*0.00005),ABS($D2801-INDEX('AH History'!$C$1:$C$18046,$H2801))&lt;=MAX(0.005,ABS(INDEX('AH History'!$C$1:$C$18046,$H2801))*0.00005),ABS($E2801-INDEX('AH History'!$D$1:$D$18046,$H2801))&lt;=0.00005,$F2801=INDEX('AH History'!$E$1:$E$18046,$H2801),$G2801=INDEX('AH History'!$F$1:$F$18046,$H2801)),1,-1),-1))</ns0:f>
        <ns0:v/>
      </ns0:c>
    </ns0:row>
    <ns0:row r="2802">
      <ns0:c r="A2802" s="215">
        <ns0:f>IF(OR(AH!$P$3=0,2797+1&gt;AH!$P$11,AND(AH!$E$4&lt;&gt;"Stored",AH!$P$10&lt;&gt;1)),"",IFERROR(IF(AND(AH!$P$21=1,2797+1=AH!$P$11),TODAY(),IF(AH!$P$10=1,INDEX('Live History'!$A$5:$A$3004,AH!$P$13+2797),INDEX('AH History'!$A$1:$A$18046,AH!$P$7+2797))),""))</ns0:f>
        <ns0:v/>
      </ns0:c>
      <ns0:c r="B2802" s="219">
        <ns0:f>IFERROR(IF(AND(AH!$P$9&lt;&gt;1,$C2802&gt;0,$D2802&gt;0,$E2802&gt;0,$F2802&gt;0,$G2802&gt;0,$F2802&lt;=$A2802,$G2802&lt;=$A2802,$A2802-$F2802&lt;=10,$A2802-$G2802&lt;=5),$D2802*$E2802/$C2802-1,NA()),NA())</ns0:f>
        <ns0:v/>
      </ns0:c>
      <ns0:c r="C2802">
        <ns0:f>IFERROR(IF(ISNUMBER($A2802),IF(AND(AH!$P$10=1,AH!$P$12=1,$A2802=TODAY()),AH!$P$19,IF(AH!$P$10=1,INDEX('Live History'!$B$5:$B$3004,AH!$P$13+2797),INDEX('AH History'!$B$1:$B$18046,AH!$P$7+2797))),NA()),NA())</ns0:f>
        <ns0:v/>
      </ns0:c>
      <ns0:c r="D2802">
        <ns0:f>IFERROR(IF(ISNUMBER($A2802),IF(AND(AH!$P$10=1,AH!$P$12=1,$A2802=TODAY()),AH!$P$18,IF(AH!$P$10=1,INDEX('Live History'!$E$5:$E$3004,MATCH($A2802,'Live History'!$D$5:$D$3004,1)),INDEX('AH History'!$C$1:$C$18046,AH!$P$7+2797))),NA()),NA())</ns0:f>
        <ns0:v/>
      </ns0:c>
      <ns0:c r="E2802">
        <ns0:f>IFERROR(IF(ISNUMBER($A2802),IF(AND(AH!$P$10=1,AH!$P$12=1,$A2802=TODAY()),AH!$P$20,IF(AH!$P$10=1,INDEX('Live History'!$H$5:$H$3004,MATCH($A2802,'Live History'!$G$5:$G$3004,1)),INDEX('AH History'!$D$1:$D$18046,AH!$P$7+2797))),NA()),NA())</ns0:f>
        <ns0:v/>
      </ns0:c>
      <ns0:c r="F2802">
        <ns0:f>IFERROR(IF(ISNUMBER($A2802),IF(AND(AH!$P$10=1,AH!$P$12=1,$A2802=TODAY()),IF(AND(AH!$P$10=1,AH!$P$12=1,$A2802=TODAY()),TODAY(),NA()),IF(AH!$P$10=1,INDEX('Live History'!$D$5:$D$3004,MATCH($A2802,'Live History'!$D$5:$D$3004,1)),INDEX('AH History'!$E$1:$E$18046,AH!$P$7+2797))),NA()),NA())</ns0:f>
        <ns0:v/>
      </ns0:c>
      <ns0:c r="G2802">
        <ns0:f>IFERROR(IF(ISNUMBER($A2802),IF(AND(AH!$P$10=1,AH!$P$12=1,$A2802=TODAY()),IF(AND(AH!$P$10=1,AH!$P$12=1,$A2802=TODAY()),TODAY(),NA()),IF(AH!$P$10=1,INDEX('Live History'!$G$5:$G$3004,MATCH($A2802,'Live History'!$G$5:$G$3004,1)),INDEX('AH History'!$F$1:$F$18046,AH!$P$7+2797))),NA()),NA())</ns0:f>
        <ns0:v/>
      </ns0:c>
      <ns0:c r="H2802">
        <ns0:f>IFERROR(IF(AND(AH!$E$4="Bloomberg",AH!$P$10=1,ISNUMBER($A2802),$A2802&lt;=AH!$P$17),AH!$P$7-1+MATCH($A2802,INDEX('AH History'!$A$1:$A$18046,AH!$P$7):INDEX('AH History'!$A$1:$A$18046,AH!$P$7+AH!$P$8-1),0),0),0)</ns0:f>
        <ns0:v/>
      </ns0:c>
      <ns0:c r="I2802">
        <ns0:f>IF($H2802=0,0,IFERROR(IF(AND(ABS($C2802-INDEX('AH History'!$B$1:$B$18046,$H2802))&lt;=MAX(0.005,ABS(INDEX('AH History'!$B$1:$B$18046,$H2802))*0.00005),ABS($D2802-INDEX('AH History'!$C$1:$C$18046,$H2802))&lt;=MAX(0.005,ABS(INDEX('AH History'!$C$1:$C$18046,$H2802))*0.00005),ABS($E2802-INDEX('AH History'!$D$1:$D$18046,$H2802))&lt;=0.00005,$F2802=INDEX('AH History'!$E$1:$E$18046,$H2802),$G2802=INDEX('AH History'!$F$1:$F$18046,$H2802)),1,-1),-1))</ns0:f>
        <ns0:v/>
      </ns0:c>
    </ns0:row>
    <ns0:row r="2803">
      <ns0:c r="A2803" s="215">
        <ns0:f>IF(OR(AH!$P$3=0,2798+1&gt;AH!$P$11,AND(AH!$E$4&lt;&gt;"Stored",AH!$P$10&lt;&gt;1)),"",IFERROR(IF(AND(AH!$P$21=1,2798+1=AH!$P$11),TODAY(),IF(AH!$P$10=1,INDEX('Live History'!$A$5:$A$3004,AH!$P$13+2798),INDEX('AH History'!$A$1:$A$18046,AH!$P$7+2798))),""))</ns0:f>
        <ns0:v/>
      </ns0:c>
      <ns0:c r="B2803" s="219">
        <ns0:f>IFERROR(IF(AND(AH!$P$9&lt;&gt;1,$C2803&gt;0,$D2803&gt;0,$E2803&gt;0,$F2803&gt;0,$G2803&gt;0,$F2803&lt;=$A2803,$G2803&lt;=$A2803,$A2803-$F2803&lt;=10,$A2803-$G2803&lt;=5),$D2803*$E2803/$C2803-1,NA()),NA())</ns0:f>
        <ns0:v/>
      </ns0:c>
      <ns0:c r="C2803">
        <ns0:f>IFERROR(IF(ISNUMBER($A2803),IF(AND(AH!$P$10=1,AH!$P$12=1,$A2803=TODAY()),AH!$P$19,IF(AH!$P$10=1,INDEX('Live History'!$B$5:$B$3004,AH!$P$13+2798),INDEX('AH History'!$B$1:$B$18046,AH!$P$7+2798))),NA()),NA())</ns0:f>
        <ns0:v/>
      </ns0:c>
      <ns0:c r="D2803">
        <ns0:f>IFERROR(IF(ISNUMBER($A2803),IF(AND(AH!$P$10=1,AH!$P$12=1,$A2803=TODAY()),AH!$P$18,IF(AH!$P$10=1,INDEX('Live History'!$E$5:$E$3004,MATCH($A2803,'Live History'!$D$5:$D$3004,1)),INDEX('AH History'!$C$1:$C$18046,AH!$P$7+2798))),NA()),NA())</ns0:f>
        <ns0:v/>
      </ns0:c>
      <ns0:c r="E2803">
        <ns0:f>IFERROR(IF(ISNUMBER($A2803),IF(AND(AH!$P$10=1,AH!$P$12=1,$A2803=TODAY()),AH!$P$20,IF(AH!$P$10=1,INDEX('Live History'!$H$5:$H$3004,MATCH($A2803,'Live History'!$G$5:$G$3004,1)),INDEX('AH History'!$D$1:$D$18046,AH!$P$7+2798))),NA()),NA())</ns0:f>
        <ns0:v/>
      </ns0:c>
      <ns0:c r="F2803">
        <ns0:f>IFERROR(IF(ISNUMBER($A2803),IF(AND(AH!$P$10=1,AH!$P$12=1,$A2803=TODAY()),IF(AND(AH!$P$10=1,AH!$P$12=1,$A2803=TODAY()),TODAY(),NA()),IF(AH!$P$10=1,INDEX('Live History'!$D$5:$D$3004,MATCH($A2803,'Live History'!$D$5:$D$3004,1)),INDEX('AH History'!$E$1:$E$18046,AH!$P$7+2798))),NA()),NA())</ns0:f>
        <ns0:v/>
      </ns0:c>
      <ns0:c r="G2803">
        <ns0:f>IFERROR(IF(ISNUMBER($A2803),IF(AND(AH!$P$10=1,AH!$P$12=1,$A2803=TODAY()),IF(AND(AH!$P$10=1,AH!$P$12=1,$A2803=TODAY()),TODAY(),NA()),IF(AH!$P$10=1,INDEX('Live History'!$G$5:$G$3004,MATCH($A2803,'Live History'!$G$5:$G$3004,1)),INDEX('AH History'!$F$1:$F$18046,AH!$P$7+2798))),NA()),NA())</ns0:f>
        <ns0:v/>
      </ns0:c>
      <ns0:c r="H2803">
        <ns0:f>IFERROR(IF(AND(AH!$E$4="Bloomberg",AH!$P$10=1,ISNUMBER($A2803),$A2803&lt;=AH!$P$17),AH!$P$7-1+MATCH($A2803,INDEX('AH History'!$A$1:$A$18046,AH!$P$7):INDEX('AH History'!$A$1:$A$18046,AH!$P$7+AH!$P$8-1),0),0),0)</ns0:f>
        <ns0:v/>
      </ns0:c>
      <ns0:c r="I2803">
        <ns0:f>IF($H2803=0,0,IFERROR(IF(AND(ABS($C2803-INDEX('AH History'!$B$1:$B$18046,$H2803))&lt;=MAX(0.005,ABS(INDEX('AH History'!$B$1:$B$18046,$H2803))*0.00005),ABS($D2803-INDEX('AH History'!$C$1:$C$18046,$H2803))&lt;=MAX(0.005,ABS(INDEX('AH History'!$C$1:$C$18046,$H2803))*0.00005),ABS($E2803-INDEX('AH History'!$D$1:$D$18046,$H2803))&lt;=0.00005,$F2803=INDEX('AH History'!$E$1:$E$18046,$H2803),$G2803=INDEX('AH History'!$F$1:$F$18046,$H2803)),1,-1),-1))</ns0:f>
        <ns0:v/>
      </ns0:c>
    </ns0:row>
    <ns0:row r="2804">
      <ns0:c r="A2804" s="215">
        <ns0:f>IF(OR(AH!$P$3=0,2799+1&gt;AH!$P$11,AND(AH!$E$4&lt;&gt;"Stored",AH!$P$10&lt;&gt;1)),"",IFERROR(IF(AND(AH!$P$21=1,2799+1=AH!$P$11),TODAY(),IF(AH!$P$10=1,INDEX('Live History'!$A$5:$A$3004,AH!$P$13+2799),INDEX('AH History'!$A$1:$A$18046,AH!$P$7+2799))),""))</ns0:f>
        <ns0:v/>
      </ns0:c>
      <ns0:c r="B2804" s="219">
        <ns0:f>IFERROR(IF(AND(AH!$P$9&lt;&gt;1,$C2804&gt;0,$D2804&gt;0,$E2804&gt;0,$F2804&gt;0,$G2804&gt;0,$F2804&lt;=$A2804,$G2804&lt;=$A2804,$A2804-$F2804&lt;=10,$A2804-$G2804&lt;=5),$D2804*$E2804/$C2804-1,NA()),NA())</ns0:f>
        <ns0:v/>
      </ns0:c>
      <ns0:c r="C2804">
        <ns0:f>IFERROR(IF(ISNUMBER($A2804),IF(AND(AH!$P$10=1,AH!$P$12=1,$A2804=TODAY()),AH!$P$19,IF(AH!$P$10=1,INDEX('Live History'!$B$5:$B$3004,AH!$P$13+2799),INDEX('AH History'!$B$1:$B$18046,AH!$P$7+2799))),NA()),NA())</ns0:f>
        <ns0:v/>
      </ns0:c>
      <ns0:c r="D2804">
        <ns0:f>IFERROR(IF(ISNUMBER($A2804),IF(AND(AH!$P$10=1,AH!$P$12=1,$A2804=TODAY()),AH!$P$18,IF(AH!$P$10=1,INDEX('Live History'!$E$5:$E$3004,MATCH($A2804,'Live History'!$D$5:$D$3004,1)),INDEX('AH History'!$C$1:$C$18046,AH!$P$7+2799))),NA()),NA())</ns0:f>
        <ns0:v/>
      </ns0:c>
      <ns0:c r="E2804">
        <ns0:f>IFERROR(IF(ISNUMBER($A2804),IF(AND(AH!$P$10=1,AH!$P$12=1,$A2804=TODAY()),AH!$P$20,IF(AH!$P$10=1,INDEX('Live History'!$H$5:$H$3004,MATCH($A2804,'Live History'!$G$5:$G$3004,1)),INDEX('AH History'!$D$1:$D$18046,AH!$P$7+2799))),NA()),NA())</ns0:f>
        <ns0:v/>
      </ns0:c>
      <ns0:c r="F2804">
        <ns0:f>IFERROR(IF(ISNUMBER($A2804),IF(AND(AH!$P$10=1,AH!$P$12=1,$A2804=TODAY()),IF(AND(AH!$P$10=1,AH!$P$12=1,$A2804=TODAY()),TODAY(),NA()),IF(AH!$P$10=1,INDEX('Live History'!$D$5:$D$3004,MATCH($A2804,'Live History'!$D$5:$D$3004,1)),INDEX('AH History'!$E$1:$E$18046,AH!$P$7+2799))),NA()),NA())</ns0:f>
        <ns0:v/>
      </ns0:c>
      <ns0:c r="G2804">
        <ns0:f>IFERROR(IF(ISNUMBER($A2804),IF(AND(AH!$P$10=1,AH!$P$12=1,$A2804=TODAY()),IF(AND(AH!$P$10=1,AH!$P$12=1,$A2804=TODAY()),TODAY(),NA()),IF(AH!$P$10=1,INDEX('Live History'!$G$5:$G$3004,MATCH($A2804,'Live History'!$G$5:$G$3004,1)),INDEX('AH History'!$F$1:$F$18046,AH!$P$7+2799))),NA()),NA())</ns0:f>
        <ns0:v/>
      </ns0:c>
      <ns0:c r="H2804">
        <ns0:f>IFERROR(IF(AND(AH!$E$4="Bloomberg",AH!$P$10=1,ISNUMBER($A2804),$A2804&lt;=AH!$P$17),AH!$P$7-1+MATCH($A2804,INDEX('AH History'!$A$1:$A$18046,AH!$P$7):INDEX('AH History'!$A$1:$A$18046,AH!$P$7+AH!$P$8-1),0),0),0)</ns0:f>
        <ns0:v/>
      </ns0:c>
      <ns0:c r="I2804">
        <ns0:f>IF($H2804=0,0,IFERROR(IF(AND(ABS($C2804-INDEX('AH History'!$B$1:$B$18046,$H2804))&lt;=MAX(0.005,ABS(INDEX('AH History'!$B$1:$B$18046,$H2804))*0.00005),ABS($D2804-INDEX('AH History'!$C$1:$C$18046,$H2804))&lt;=MAX(0.005,ABS(INDEX('AH History'!$C$1:$C$18046,$H2804))*0.00005),ABS($E2804-INDEX('AH History'!$D$1:$D$18046,$H2804))&lt;=0.00005,$F2804=INDEX('AH History'!$E$1:$E$18046,$H2804),$G2804=INDEX('AH History'!$F$1:$F$18046,$H2804)),1,-1),-1))</ns0:f>
        <ns0:v/>
      </ns0:c>
    </ns0:row>
    <ns0:row r="2805">
      <ns0:c r="A2805" s="215">
        <ns0:f>IF(OR(AH!$P$3=0,2800+1&gt;AH!$P$11,AND(AH!$E$4&lt;&gt;"Stored",AH!$P$10&lt;&gt;1)),"",IFERROR(IF(AND(AH!$P$21=1,2800+1=AH!$P$11),TODAY(),IF(AH!$P$10=1,INDEX('Live History'!$A$5:$A$3004,AH!$P$13+2800),INDEX('AH History'!$A$1:$A$18046,AH!$P$7+2800))),""))</ns0:f>
        <ns0:v/>
      </ns0:c>
      <ns0:c r="B2805" s="219">
        <ns0:f>IFERROR(IF(AND(AH!$P$9&lt;&gt;1,$C2805&gt;0,$D2805&gt;0,$E2805&gt;0,$F2805&gt;0,$G2805&gt;0,$F2805&lt;=$A2805,$G2805&lt;=$A2805,$A2805-$F2805&lt;=10,$A2805-$G2805&lt;=5),$D2805*$E2805/$C2805-1,NA()),NA())</ns0:f>
        <ns0:v/>
      </ns0:c>
      <ns0:c r="C2805">
        <ns0:f>IFERROR(IF(ISNUMBER($A2805),IF(AND(AH!$P$10=1,AH!$P$12=1,$A2805=TODAY()),AH!$P$19,IF(AH!$P$10=1,INDEX('Live History'!$B$5:$B$3004,AH!$P$13+2800),INDEX('AH History'!$B$1:$B$18046,AH!$P$7+2800))),NA()),NA())</ns0:f>
        <ns0:v/>
      </ns0:c>
      <ns0:c r="D2805">
        <ns0:f>IFERROR(IF(ISNUMBER($A2805),IF(AND(AH!$P$10=1,AH!$P$12=1,$A2805=TODAY()),AH!$P$18,IF(AH!$P$10=1,INDEX('Live History'!$E$5:$E$3004,MATCH($A2805,'Live History'!$D$5:$D$3004,1)),INDEX('AH History'!$C$1:$C$18046,AH!$P$7+2800))),NA()),NA())</ns0:f>
        <ns0:v/>
      </ns0:c>
      <ns0:c r="E2805">
        <ns0:f>IFERROR(IF(ISNUMBER($A2805),IF(AND(AH!$P$10=1,AH!$P$12=1,$A2805=TODAY()),AH!$P$20,IF(AH!$P$10=1,INDEX('Live History'!$H$5:$H$3004,MATCH($A2805,'Live History'!$G$5:$G$3004,1)),INDEX('AH History'!$D$1:$D$18046,AH!$P$7+2800))),NA()),NA())</ns0:f>
        <ns0:v/>
      </ns0:c>
      <ns0:c r="F2805">
        <ns0:f>IFERROR(IF(ISNUMBER($A2805),IF(AND(AH!$P$10=1,AH!$P$12=1,$A2805=TODAY()),IF(AND(AH!$P$10=1,AH!$P$12=1,$A2805=TODAY()),TODAY(),NA()),IF(AH!$P$10=1,INDEX('Live History'!$D$5:$D$3004,MATCH($A2805,'Live History'!$D$5:$D$3004,1)),INDEX('AH History'!$E$1:$E$18046,AH!$P$7+2800))),NA()),NA())</ns0:f>
        <ns0:v/>
      </ns0:c>
      <ns0:c r="G2805">
        <ns0:f>IFERROR(IF(ISNUMBER($A2805),IF(AND(AH!$P$10=1,AH!$P$12=1,$A2805=TODAY()),IF(AND(AH!$P$10=1,AH!$P$12=1,$A2805=TODAY()),TODAY(),NA()),IF(AH!$P$10=1,INDEX('Live History'!$G$5:$G$3004,MATCH($A2805,'Live History'!$G$5:$G$3004,1)),INDEX('AH History'!$F$1:$F$18046,AH!$P$7+2800))),NA()),NA())</ns0:f>
        <ns0:v/>
      </ns0:c>
      <ns0:c r="H2805">
        <ns0:f>IFERROR(IF(AND(AH!$E$4="Bloomberg",AH!$P$10=1,ISNUMBER($A2805),$A2805&lt;=AH!$P$17),AH!$P$7-1+MATCH($A2805,INDEX('AH History'!$A$1:$A$18046,AH!$P$7):INDEX('AH History'!$A$1:$A$18046,AH!$P$7+AH!$P$8-1),0),0),0)</ns0:f>
        <ns0:v/>
      </ns0:c>
      <ns0:c r="I2805">
        <ns0:f>IF($H2805=0,0,IFERROR(IF(AND(ABS($C2805-INDEX('AH History'!$B$1:$B$18046,$H2805))&lt;=MAX(0.005,ABS(INDEX('AH History'!$B$1:$B$18046,$H2805))*0.00005),ABS($D2805-INDEX('AH History'!$C$1:$C$18046,$H2805))&lt;=MAX(0.005,ABS(INDEX('AH History'!$C$1:$C$18046,$H2805))*0.00005),ABS($E2805-INDEX('AH History'!$D$1:$D$18046,$H2805))&lt;=0.00005,$F2805=INDEX('AH History'!$E$1:$E$18046,$H2805),$G2805=INDEX('AH History'!$F$1:$F$18046,$H2805)),1,-1),-1))</ns0:f>
        <ns0:v/>
      </ns0:c>
    </ns0:row>
    <ns0:row r="2806">
      <ns0:c r="A2806" s="215">
        <ns0:f>IF(OR(AH!$P$3=0,2801+1&gt;AH!$P$11,AND(AH!$E$4&lt;&gt;"Stored",AH!$P$10&lt;&gt;1)),"",IFERROR(IF(AND(AH!$P$21=1,2801+1=AH!$P$11),TODAY(),IF(AH!$P$10=1,INDEX('Live History'!$A$5:$A$3004,AH!$P$13+2801),INDEX('AH History'!$A$1:$A$18046,AH!$P$7+2801))),""))</ns0:f>
        <ns0:v/>
      </ns0:c>
      <ns0:c r="B2806" s="219">
        <ns0:f>IFERROR(IF(AND(AH!$P$9&lt;&gt;1,$C2806&gt;0,$D2806&gt;0,$E2806&gt;0,$F2806&gt;0,$G2806&gt;0,$F2806&lt;=$A2806,$G2806&lt;=$A2806,$A2806-$F2806&lt;=10,$A2806-$G2806&lt;=5),$D2806*$E2806/$C2806-1,NA()),NA())</ns0:f>
        <ns0:v/>
      </ns0:c>
      <ns0:c r="C2806">
        <ns0:f>IFERROR(IF(ISNUMBER($A2806),IF(AND(AH!$P$10=1,AH!$P$12=1,$A2806=TODAY()),AH!$P$19,IF(AH!$P$10=1,INDEX('Live History'!$B$5:$B$3004,AH!$P$13+2801),INDEX('AH History'!$B$1:$B$18046,AH!$P$7+2801))),NA()),NA())</ns0:f>
        <ns0:v/>
      </ns0:c>
      <ns0:c r="D2806">
        <ns0:f>IFERROR(IF(ISNUMBER($A2806),IF(AND(AH!$P$10=1,AH!$P$12=1,$A2806=TODAY()),AH!$P$18,IF(AH!$P$10=1,INDEX('Live History'!$E$5:$E$3004,MATCH($A2806,'Live History'!$D$5:$D$3004,1)),INDEX('AH History'!$C$1:$C$18046,AH!$P$7+2801))),NA()),NA())</ns0:f>
        <ns0:v/>
      </ns0:c>
      <ns0:c r="E2806">
        <ns0:f>IFERROR(IF(ISNUMBER($A2806),IF(AND(AH!$P$10=1,AH!$P$12=1,$A2806=TODAY()),AH!$P$20,IF(AH!$P$10=1,INDEX('Live History'!$H$5:$H$3004,MATCH($A2806,'Live History'!$G$5:$G$3004,1)),INDEX('AH History'!$D$1:$D$18046,AH!$P$7+2801))),NA()),NA())</ns0:f>
        <ns0:v/>
      </ns0:c>
      <ns0:c r="F2806">
        <ns0:f>IFERROR(IF(ISNUMBER($A2806),IF(AND(AH!$P$10=1,AH!$P$12=1,$A2806=TODAY()),IF(AND(AH!$P$10=1,AH!$P$12=1,$A2806=TODAY()),TODAY(),NA()),IF(AH!$P$10=1,INDEX('Live History'!$D$5:$D$3004,MATCH($A2806,'Live History'!$D$5:$D$3004,1)),INDEX('AH History'!$E$1:$E$18046,AH!$P$7+2801))),NA()),NA())</ns0:f>
        <ns0:v/>
      </ns0:c>
      <ns0:c r="G2806">
        <ns0:f>IFERROR(IF(ISNUMBER($A2806),IF(AND(AH!$P$10=1,AH!$P$12=1,$A2806=TODAY()),IF(AND(AH!$P$10=1,AH!$P$12=1,$A2806=TODAY()),TODAY(),NA()),IF(AH!$P$10=1,INDEX('Live History'!$G$5:$G$3004,MATCH($A2806,'Live History'!$G$5:$G$3004,1)),INDEX('AH History'!$F$1:$F$18046,AH!$P$7+2801))),NA()),NA())</ns0:f>
        <ns0:v/>
      </ns0:c>
      <ns0:c r="H2806">
        <ns0:f>IFERROR(IF(AND(AH!$E$4="Bloomberg",AH!$P$10=1,ISNUMBER($A2806),$A2806&lt;=AH!$P$17),AH!$P$7-1+MATCH($A2806,INDEX('AH History'!$A$1:$A$18046,AH!$P$7):INDEX('AH History'!$A$1:$A$18046,AH!$P$7+AH!$P$8-1),0),0),0)</ns0:f>
        <ns0:v/>
      </ns0:c>
      <ns0:c r="I2806">
        <ns0:f>IF($H2806=0,0,IFERROR(IF(AND(ABS($C2806-INDEX('AH History'!$B$1:$B$18046,$H2806))&lt;=MAX(0.005,ABS(INDEX('AH History'!$B$1:$B$18046,$H2806))*0.00005),ABS($D2806-INDEX('AH History'!$C$1:$C$18046,$H2806))&lt;=MAX(0.005,ABS(INDEX('AH History'!$C$1:$C$18046,$H2806))*0.00005),ABS($E2806-INDEX('AH History'!$D$1:$D$18046,$H2806))&lt;=0.00005,$F2806=INDEX('AH History'!$E$1:$E$18046,$H2806),$G2806=INDEX('AH History'!$F$1:$F$18046,$H2806)),1,-1),-1))</ns0:f>
        <ns0:v/>
      </ns0:c>
    </ns0:row>
    <ns0:row r="2807">
      <ns0:c r="A2807" s="215">
        <ns0:f>IF(OR(AH!$P$3=0,2802+1&gt;AH!$P$11,AND(AH!$E$4&lt;&gt;"Stored",AH!$P$10&lt;&gt;1)),"",IFERROR(IF(AND(AH!$P$21=1,2802+1=AH!$P$11),TODAY(),IF(AH!$P$10=1,INDEX('Live History'!$A$5:$A$3004,AH!$P$13+2802),INDEX('AH History'!$A$1:$A$18046,AH!$P$7+2802))),""))</ns0:f>
        <ns0:v/>
      </ns0:c>
      <ns0:c r="B2807" s="219">
        <ns0:f>IFERROR(IF(AND(AH!$P$9&lt;&gt;1,$C2807&gt;0,$D2807&gt;0,$E2807&gt;0,$F2807&gt;0,$G2807&gt;0,$F2807&lt;=$A2807,$G2807&lt;=$A2807,$A2807-$F2807&lt;=10,$A2807-$G2807&lt;=5),$D2807*$E2807/$C2807-1,NA()),NA())</ns0:f>
        <ns0:v/>
      </ns0:c>
      <ns0:c r="C2807">
        <ns0:f>IFERROR(IF(ISNUMBER($A2807),IF(AND(AH!$P$10=1,AH!$P$12=1,$A2807=TODAY()),AH!$P$19,IF(AH!$P$10=1,INDEX('Live History'!$B$5:$B$3004,AH!$P$13+2802),INDEX('AH History'!$B$1:$B$18046,AH!$P$7+2802))),NA()),NA())</ns0:f>
        <ns0:v/>
      </ns0:c>
      <ns0:c r="D2807">
        <ns0:f>IFERROR(IF(ISNUMBER($A2807),IF(AND(AH!$P$10=1,AH!$P$12=1,$A2807=TODAY()),AH!$P$18,IF(AH!$P$10=1,INDEX('Live History'!$E$5:$E$3004,MATCH($A2807,'Live History'!$D$5:$D$3004,1)),INDEX('AH History'!$C$1:$C$18046,AH!$P$7+2802))),NA()),NA())</ns0:f>
        <ns0:v/>
      </ns0:c>
      <ns0:c r="E2807">
        <ns0:f>IFERROR(IF(ISNUMBER($A2807),IF(AND(AH!$P$10=1,AH!$P$12=1,$A2807=TODAY()),AH!$P$20,IF(AH!$P$10=1,INDEX('Live History'!$H$5:$H$3004,MATCH($A2807,'Live History'!$G$5:$G$3004,1)),INDEX('AH History'!$D$1:$D$18046,AH!$P$7+2802))),NA()),NA())</ns0:f>
        <ns0:v/>
      </ns0:c>
      <ns0:c r="F2807">
        <ns0:f>IFERROR(IF(ISNUMBER($A2807),IF(AND(AH!$P$10=1,AH!$P$12=1,$A2807=TODAY()),IF(AND(AH!$P$10=1,AH!$P$12=1,$A2807=TODAY()),TODAY(),NA()),IF(AH!$P$10=1,INDEX('Live History'!$D$5:$D$3004,MATCH($A2807,'Live History'!$D$5:$D$3004,1)),INDEX('AH History'!$E$1:$E$18046,AH!$P$7+2802))),NA()),NA())</ns0:f>
        <ns0:v/>
      </ns0:c>
      <ns0:c r="G2807">
        <ns0:f>IFERROR(IF(ISNUMBER($A2807),IF(AND(AH!$P$10=1,AH!$P$12=1,$A2807=TODAY()),IF(AND(AH!$P$10=1,AH!$P$12=1,$A2807=TODAY()),TODAY(),NA()),IF(AH!$P$10=1,INDEX('Live History'!$G$5:$G$3004,MATCH($A2807,'Live History'!$G$5:$G$3004,1)),INDEX('AH History'!$F$1:$F$18046,AH!$P$7+2802))),NA()),NA())</ns0:f>
        <ns0:v/>
      </ns0:c>
      <ns0:c r="H2807">
        <ns0:f>IFERROR(IF(AND(AH!$E$4="Bloomberg",AH!$P$10=1,ISNUMBER($A2807),$A2807&lt;=AH!$P$17),AH!$P$7-1+MATCH($A2807,INDEX('AH History'!$A$1:$A$18046,AH!$P$7):INDEX('AH History'!$A$1:$A$18046,AH!$P$7+AH!$P$8-1),0),0),0)</ns0:f>
        <ns0:v/>
      </ns0:c>
      <ns0:c r="I2807">
        <ns0:f>IF($H2807=0,0,IFERROR(IF(AND(ABS($C2807-INDEX('AH History'!$B$1:$B$18046,$H2807))&lt;=MAX(0.005,ABS(INDEX('AH History'!$B$1:$B$18046,$H2807))*0.00005),ABS($D2807-INDEX('AH History'!$C$1:$C$18046,$H2807))&lt;=MAX(0.005,ABS(INDEX('AH History'!$C$1:$C$18046,$H2807))*0.00005),ABS($E2807-INDEX('AH History'!$D$1:$D$18046,$H2807))&lt;=0.00005,$F2807=INDEX('AH History'!$E$1:$E$18046,$H2807),$G2807=INDEX('AH History'!$F$1:$F$18046,$H2807)),1,-1),-1))</ns0:f>
        <ns0:v/>
      </ns0:c>
    </ns0:row>
    <ns0:row r="2808">
      <ns0:c r="A2808" s="215">
        <ns0:f>IF(OR(AH!$P$3=0,2803+1&gt;AH!$P$11,AND(AH!$E$4&lt;&gt;"Stored",AH!$P$10&lt;&gt;1)),"",IFERROR(IF(AND(AH!$P$21=1,2803+1=AH!$P$11),TODAY(),IF(AH!$P$10=1,INDEX('Live History'!$A$5:$A$3004,AH!$P$13+2803),INDEX('AH History'!$A$1:$A$18046,AH!$P$7+2803))),""))</ns0:f>
        <ns0:v/>
      </ns0:c>
      <ns0:c r="B2808" s="219">
        <ns0:f>IFERROR(IF(AND(AH!$P$9&lt;&gt;1,$C2808&gt;0,$D2808&gt;0,$E2808&gt;0,$F2808&gt;0,$G2808&gt;0,$F2808&lt;=$A2808,$G2808&lt;=$A2808,$A2808-$F2808&lt;=10,$A2808-$G2808&lt;=5),$D2808*$E2808/$C2808-1,NA()),NA())</ns0:f>
        <ns0:v/>
      </ns0:c>
      <ns0:c r="C2808">
        <ns0:f>IFERROR(IF(ISNUMBER($A2808),IF(AND(AH!$P$10=1,AH!$P$12=1,$A2808=TODAY()),AH!$P$19,IF(AH!$P$10=1,INDEX('Live History'!$B$5:$B$3004,AH!$P$13+2803),INDEX('AH History'!$B$1:$B$18046,AH!$P$7+2803))),NA()),NA())</ns0:f>
        <ns0:v/>
      </ns0:c>
      <ns0:c r="D2808">
        <ns0:f>IFERROR(IF(ISNUMBER($A2808),IF(AND(AH!$P$10=1,AH!$P$12=1,$A2808=TODAY()),AH!$P$18,IF(AH!$P$10=1,INDEX('Live History'!$E$5:$E$3004,MATCH($A2808,'Live History'!$D$5:$D$3004,1)),INDEX('AH History'!$C$1:$C$18046,AH!$P$7+2803))),NA()),NA())</ns0:f>
        <ns0:v/>
      </ns0:c>
      <ns0:c r="E2808">
        <ns0:f>IFERROR(IF(ISNUMBER($A2808),IF(AND(AH!$P$10=1,AH!$P$12=1,$A2808=TODAY()),AH!$P$20,IF(AH!$P$10=1,INDEX('Live History'!$H$5:$H$3004,MATCH($A2808,'Live History'!$G$5:$G$3004,1)),INDEX('AH History'!$D$1:$D$18046,AH!$P$7+2803))),NA()),NA())</ns0:f>
        <ns0:v/>
      </ns0:c>
      <ns0:c r="F2808">
        <ns0:f>IFERROR(IF(ISNUMBER($A2808),IF(AND(AH!$P$10=1,AH!$P$12=1,$A2808=TODAY()),IF(AND(AH!$P$10=1,AH!$P$12=1,$A2808=TODAY()),TODAY(),NA()),IF(AH!$P$10=1,INDEX('Live History'!$D$5:$D$3004,MATCH($A2808,'Live History'!$D$5:$D$3004,1)),INDEX('AH History'!$E$1:$E$18046,AH!$P$7+2803))),NA()),NA())</ns0:f>
        <ns0:v/>
      </ns0:c>
      <ns0:c r="G2808">
        <ns0:f>IFERROR(IF(ISNUMBER($A2808),IF(AND(AH!$P$10=1,AH!$P$12=1,$A2808=TODAY()),IF(AND(AH!$P$10=1,AH!$P$12=1,$A2808=TODAY()),TODAY(),NA()),IF(AH!$P$10=1,INDEX('Live History'!$G$5:$G$3004,MATCH($A2808,'Live History'!$G$5:$G$3004,1)),INDEX('AH History'!$F$1:$F$18046,AH!$P$7+2803))),NA()),NA())</ns0:f>
        <ns0:v/>
      </ns0:c>
      <ns0:c r="H2808">
        <ns0:f>IFERROR(IF(AND(AH!$E$4="Bloomberg",AH!$P$10=1,ISNUMBER($A2808),$A2808&lt;=AH!$P$17),AH!$P$7-1+MATCH($A2808,INDEX('AH History'!$A$1:$A$18046,AH!$P$7):INDEX('AH History'!$A$1:$A$18046,AH!$P$7+AH!$P$8-1),0),0),0)</ns0:f>
        <ns0:v/>
      </ns0:c>
      <ns0:c r="I2808">
        <ns0:f>IF($H2808=0,0,IFERROR(IF(AND(ABS($C2808-INDEX('AH History'!$B$1:$B$18046,$H2808))&lt;=MAX(0.005,ABS(INDEX('AH History'!$B$1:$B$18046,$H2808))*0.00005),ABS($D2808-INDEX('AH History'!$C$1:$C$18046,$H2808))&lt;=MAX(0.005,ABS(INDEX('AH History'!$C$1:$C$18046,$H2808))*0.00005),ABS($E2808-INDEX('AH History'!$D$1:$D$18046,$H2808))&lt;=0.00005,$F2808=INDEX('AH History'!$E$1:$E$18046,$H2808),$G2808=INDEX('AH History'!$F$1:$F$18046,$H2808)),1,-1),-1))</ns0:f>
        <ns0:v/>
      </ns0:c>
    </ns0:row>
    <ns0:row r="2809">
      <ns0:c r="A2809" s="215">
        <ns0:f>IF(OR(AH!$P$3=0,2804+1&gt;AH!$P$11,AND(AH!$E$4&lt;&gt;"Stored",AH!$P$10&lt;&gt;1)),"",IFERROR(IF(AND(AH!$P$21=1,2804+1=AH!$P$11),TODAY(),IF(AH!$P$10=1,INDEX('Live History'!$A$5:$A$3004,AH!$P$13+2804),INDEX('AH History'!$A$1:$A$18046,AH!$P$7+2804))),""))</ns0:f>
        <ns0:v/>
      </ns0:c>
      <ns0:c r="B2809" s="219">
        <ns0:f>IFERROR(IF(AND(AH!$P$9&lt;&gt;1,$C2809&gt;0,$D2809&gt;0,$E2809&gt;0,$F2809&gt;0,$G2809&gt;0,$F2809&lt;=$A2809,$G2809&lt;=$A2809,$A2809-$F2809&lt;=10,$A2809-$G2809&lt;=5),$D2809*$E2809/$C2809-1,NA()),NA())</ns0:f>
        <ns0:v/>
      </ns0:c>
      <ns0:c r="C2809">
        <ns0:f>IFERROR(IF(ISNUMBER($A2809),IF(AND(AH!$P$10=1,AH!$P$12=1,$A2809=TODAY()),AH!$P$19,IF(AH!$P$10=1,INDEX('Live History'!$B$5:$B$3004,AH!$P$13+2804),INDEX('AH History'!$B$1:$B$18046,AH!$P$7+2804))),NA()),NA())</ns0:f>
        <ns0:v/>
      </ns0:c>
      <ns0:c r="D2809">
        <ns0:f>IFERROR(IF(ISNUMBER($A2809),IF(AND(AH!$P$10=1,AH!$P$12=1,$A2809=TODAY()),AH!$P$18,IF(AH!$P$10=1,INDEX('Live History'!$E$5:$E$3004,MATCH($A2809,'Live History'!$D$5:$D$3004,1)),INDEX('AH History'!$C$1:$C$18046,AH!$P$7+2804))),NA()),NA())</ns0:f>
        <ns0:v/>
      </ns0:c>
      <ns0:c r="E2809">
        <ns0:f>IFERROR(IF(ISNUMBER($A2809),IF(AND(AH!$P$10=1,AH!$P$12=1,$A2809=TODAY()),AH!$P$20,IF(AH!$P$10=1,INDEX('Live History'!$H$5:$H$3004,MATCH($A2809,'Live History'!$G$5:$G$3004,1)),INDEX('AH History'!$D$1:$D$18046,AH!$P$7+2804))),NA()),NA())</ns0:f>
        <ns0:v/>
      </ns0:c>
      <ns0:c r="F2809">
        <ns0:f>IFERROR(IF(ISNUMBER($A2809),IF(AND(AH!$P$10=1,AH!$P$12=1,$A2809=TODAY()),IF(AND(AH!$P$10=1,AH!$P$12=1,$A2809=TODAY()),TODAY(),NA()),IF(AH!$P$10=1,INDEX('Live History'!$D$5:$D$3004,MATCH($A2809,'Live History'!$D$5:$D$3004,1)),INDEX('AH History'!$E$1:$E$18046,AH!$P$7+2804))),NA()),NA())</ns0:f>
        <ns0:v/>
      </ns0:c>
      <ns0:c r="G2809">
        <ns0:f>IFERROR(IF(ISNUMBER($A2809),IF(AND(AH!$P$10=1,AH!$P$12=1,$A2809=TODAY()),IF(AND(AH!$P$10=1,AH!$P$12=1,$A2809=TODAY()),TODAY(),NA()),IF(AH!$P$10=1,INDEX('Live History'!$G$5:$G$3004,MATCH($A2809,'Live History'!$G$5:$G$3004,1)),INDEX('AH History'!$F$1:$F$18046,AH!$P$7+2804))),NA()),NA())</ns0:f>
        <ns0:v/>
      </ns0:c>
      <ns0:c r="H2809">
        <ns0:f>IFERROR(IF(AND(AH!$E$4="Bloomberg",AH!$P$10=1,ISNUMBER($A2809),$A2809&lt;=AH!$P$17),AH!$P$7-1+MATCH($A2809,INDEX('AH History'!$A$1:$A$18046,AH!$P$7):INDEX('AH History'!$A$1:$A$18046,AH!$P$7+AH!$P$8-1),0),0),0)</ns0:f>
        <ns0:v/>
      </ns0:c>
      <ns0:c r="I2809">
        <ns0:f>IF($H2809=0,0,IFERROR(IF(AND(ABS($C2809-INDEX('AH History'!$B$1:$B$18046,$H2809))&lt;=MAX(0.005,ABS(INDEX('AH History'!$B$1:$B$18046,$H2809))*0.00005),ABS($D2809-INDEX('AH History'!$C$1:$C$18046,$H2809))&lt;=MAX(0.005,ABS(INDEX('AH History'!$C$1:$C$18046,$H2809))*0.00005),ABS($E2809-INDEX('AH History'!$D$1:$D$18046,$H2809))&lt;=0.00005,$F2809=INDEX('AH History'!$E$1:$E$18046,$H2809),$G2809=INDEX('AH History'!$F$1:$F$18046,$H2809)),1,-1),-1))</ns0:f>
        <ns0:v/>
      </ns0:c>
    </ns0:row>
    <ns0:row r="2810">
      <ns0:c r="A2810" s="215">
        <ns0:f>IF(OR(AH!$P$3=0,2805+1&gt;AH!$P$11,AND(AH!$E$4&lt;&gt;"Stored",AH!$P$10&lt;&gt;1)),"",IFERROR(IF(AND(AH!$P$21=1,2805+1=AH!$P$11),TODAY(),IF(AH!$P$10=1,INDEX('Live History'!$A$5:$A$3004,AH!$P$13+2805),INDEX('AH History'!$A$1:$A$18046,AH!$P$7+2805))),""))</ns0:f>
        <ns0:v/>
      </ns0:c>
      <ns0:c r="B2810" s="219">
        <ns0:f>IFERROR(IF(AND(AH!$P$9&lt;&gt;1,$C2810&gt;0,$D2810&gt;0,$E2810&gt;0,$F2810&gt;0,$G2810&gt;0,$F2810&lt;=$A2810,$G2810&lt;=$A2810,$A2810-$F2810&lt;=10,$A2810-$G2810&lt;=5),$D2810*$E2810/$C2810-1,NA()),NA())</ns0:f>
        <ns0:v/>
      </ns0:c>
      <ns0:c r="C2810">
        <ns0:f>IFERROR(IF(ISNUMBER($A2810),IF(AND(AH!$P$10=1,AH!$P$12=1,$A2810=TODAY()),AH!$P$19,IF(AH!$P$10=1,INDEX('Live History'!$B$5:$B$3004,AH!$P$13+2805),INDEX('AH History'!$B$1:$B$18046,AH!$P$7+2805))),NA()),NA())</ns0:f>
        <ns0:v/>
      </ns0:c>
      <ns0:c r="D2810">
        <ns0:f>IFERROR(IF(ISNUMBER($A2810),IF(AND(AH!$P$10=1,AH!$P$12=1,$A2810=TODAY()),AH!$P$18,IF(AH!$P$10=1,INDEX('Live History'!$E$5:$E$3004,MATCH($A2810,'Live History'!$D$5:$D$3004,1)),INDEX('AH History'!$C$1:$C$18046,AH!$P$7+2805))),NA()),NA())</ns0:f>
        <ns0:v/>
      </ns0:c>
      <ns0:c r="E2810">
        <ns0:f>IFERROR(IF(ISNUMBER($A2810),IF(AND(AH!$P$10=1,AH!$P$12=1,$A2810=TODAY()),AH!$P$20,IF(AH!$P$10=1,INDEX('Live History'!$H$5:$H$3004,MATCH($A2810,'Live History'!$G$5:$G$3004,1)),INDEX('AH History'!$D$1:$D$18046,AH!$P$7+2805))),NA()),NA())</ns0:f>
        <ns0:v/>
      </ns0:c>
      <ns0:c r="F2810">
        <ns0:f>IFERROR(IF(ISNUMBER($A2810),IF(AND(AH!$P$10=1,AH!$P$12=1,$A2810=TODAY()),IF(AND(AH!$P$10=1,AH!$P$12=1,$A2810=TODAY()),TODAY(),NA()),IF(AH!$P$10=1,INDEX('Live History'!$D$5:$D$3004,MATCH($A2810,'Live History'!$D$5:$D$3004,1)),INDEX('AH History'!$E$1:$E$18046,AH!$P$7+2805))),NA()),NA())</ns0:f>
        <ns0:v/>
      </ns0:c>
      <ns0:c r="G2810">
        <ns0:f>IFERROR(IF(ISNUMBER($A2810),IF(AND(AH!$P$10=1,AH!$P$12=1,$A2810=TODAY()),IF(AND(AH!$P$10=1,AH!$P$12=1,$A2810=TODAY()),TODAY(),NA()),IF(AH!$P$10=1,INDEX('Live History'!$G$5:$G$3004,MATCH($A2810,'Live History'!$G$5:$G$3004,1)),INDEX('AH History'!$F$1:$F$18046,AH!$P$7+2805))),NA()),NA())</ns0:f>
        <ns0:v/>
      </ns0:c>
      <ns0:c r="H2810">
        <ns0:f>IFERROR(IF(AND(AH!$E$4="Bloomberg",AH!$P$10=1,ISNUMBER($A2810),$A2810&lt;=AH!$P$17),AH!$P$7-1+MATCH($A2810,INDEX('AH History'!$A$1:$A$18046,AH!$P$7):INDEX('AH History'!$A$1:$A$18046,AH!$P$7+AH!$P$8-1),0),0),0)</ns0:f>
        <ns0:v/>
      </ns0:c>
      <ns0:c r="I2810">
        <ns0:f>IF($H2810=0,0,IFERROR(IF(AND(ABS($C2810-INDEX('AH History'!$B$1:$B$18046,$H2810))&lt;=MAX(0.005,ABS(INDEX('AH History'!$B$1:$B$18046,$H2810))*0.00005),ABS($D2810-INDEX('AH History'!$C$1:$C$18046,$H2810))&lt;=MAX(0.005,ABS(INDEX('AH History'!$C$1:$C$18046,$H2810))*0.00005),ABS($E2810-INDEX('AH History'!$D$1:$D$18046,$H2810))&lt;=0.00005,$F2810=INDEX('AH History'!$E$1:$E$18046,$H2810),$G2810=INDEX('AH History'!$F$1:$F$18046,$H2810)),1,-1),-1))</ns0:f>
        <ns0:v/>
      </ns0:c>
    </ns0:row>
    <ns0:row r="2811">
      <ns0:c r="A2811" s="215">
        <ns0:f>IF(OR(AH!$P$3=0,2806+1&gt;AH!$P$11,AND(AH!$E$4&lt;&gt;"Stored",AH!$P$10&lt;&gt;1)),"",IFERROR(IF(AND(AH!$P$21=1,2806+1=AH!$P$11),TODAY(),IF(AH!$P$10=1,INDEX('Live History'!$A$5:$A$3004,AH!$P$13+2806),INDEX('AH History'!$A$1:$A$18046,AH!$P$7+2806))),""))</ns0:f>
        <ns0:v/>
      </ns0:c>
      <ns0:c r="B2811" s="219">
        <ns0:f>IFERROR(IF(AND(AH!$P$9&lt;&gt;1,$C2811&gt;0,$D2811&gt;0,$E2811&gt;0,$F2811&gt;0,$G2811&gt;0,$F2811&lt;=$A2811,$G2811&lt;=$A2811,$A2811-$F2811&lt;=10,$A2811-$G2811&lt;=5),$D2811*$E2811/$C2811-1,NA()),NA())</ns0:f>
        <ns0:v/>
      </ns0:c>
      <ns0:c r="C2811">
        <ns0:f>IFERROR(IF(ISNUMBER($A2811),IF(AND(AH!$P$10=1,AH!$P$12=1,$A2811=TODAY()),AH!$P$19,IF(AH!$P$10=1,INDEX('Live History'!$B$5:$B$3004,AH!$P$13+2806),INDEX('AH History'!$B$1:$B$18046,AH!$P$7+2806))),NA()),NA())</ns0:f>
        <ns0:v/>
      </ns0:c>
      <ns0:c r="D2811">
        <ns0:f>IFERROR(IF(ISNUMBER($A2811),IF(AND(AH!$P$10=1,AH!$P$12=1,$A2811=TODAY()),AH!$P$18,IF(AH!$P$10=1,INDEX('Live History'!$E$5:$E$3004,MATCH($A2811,'Live History'!$D$5:$D$3004,1)),INDEX('AH History'!$C$1:$C$18046,AH!$P$7+2806))),NA()),NA())</ns0:f>
        <ns0:v/>
      </ns0:c>
      <ns0:c r="E2811">
        <ns0:f>IFERROR(IF(ISNUMBER($A2811),IF(AND(AH!$P$10=1,AH!$P$12=1,$A2811=TODAY()),AH!$P$20,IF(AH!$P$10=1,INDEX('Live History'!$H$5:$H$3004,MATCH($A2811,'Live History'!$G$5:$G$3004,1)),INDEX('AH History'!$D$1:$D$18046,AH!$P$7+2806))),NA()),NA())</ns0:f>
        <ns0:v/>
      </ns0:c>
      <ns0:c r="F2811">
        <ns0:f>IFERROR(IF(ISNUMBER($A2811),IF(AND(AH!$P$10=1,AH!$P$12=1,$A2811=TODAY()),IF(AND(AH!$P$10=1,AH!$P$12=1,$A2811=TODAY()),TODAY(),NA()),IF(AH!$P$10=1,INDEX('Live History'!$D$5:$D$3004,MATCH($A2811,'Live History'!$D$5:$D$3004,1)),INDEX('AH History'!$E$1:$E$18046,AH!$P$7+2806))),NA()),NA())</ns0:f>
        <ns0:v/>
      </ns0:c>
      <ns0:c r="G2811">
        <ns0:f>IFERROR(IF(ISNUMBER($A2811),IF(AND(AH!$P$10=1,AH!$P$12=1,$A2811=TODAY()),IF(AND(AH!$P$10=1,AH!$P$12=1,$A2811=TODAY()),TODAY(),NA()),IF(AH!$P$10=1,INDEX('Live History'!$G$5:$G$3004,MATCH($A2811,'Live History'!$G$5:$G$3004,1)),INDEX('AH History'!$F$1:$F$18046,AH!$P$7+2806))),NA()),NA())</ns0:f>
        <ns0:v/>
      </ns0:c>
      <ns0:c r="H2811">
        <ns0:f>IFERROR(IF(AND(AH!$E$4="Bloomberg",AH!$P$10=1,ISNUMBER($A2811),$A2811&lt;=AH!$P$17),AH!$P$7-1+MATCH($A2811,INDEX('AH History'!$A$1:$A$18046,AH!$P$7):INDEX('AH History'!$A$1:$A$18046,AH!$P$7+AH!$P$8-1),0),0),0)</ns0:f>
        <ns0:v/>
      </ns0:c>
      <ns0:c r="I2811">
        <ns0:f>IF($H2811=0,0,IFERROR(IF(AND(ABS($C2811-INDEX('AH History'!$B$1:$B$18046,$H2811))&lt;=MAX(0.005,ABS(INDEX('AH History'!$B$1:$B$18046,$H2811))*0.00005),ABS($D2811-INDEX('AH History'!$C$1:$C$18046,$H2811))&lt;=MAX(0.005,ABS(INDEX('AH History'!$C$1:$C$18046,$H2811))*0.00005),ABS($E2811-INDEX('AH History'!$D$1:$D$18046,$H2811))&lt;=0.00005,$F2811=INDEX('AH History'!$E$1:$E$18046,$H2811),$G2811=INDEX('AH History'!$F$1:$F$18046,$H2811)),1,-1),-1))</ns0:f>
        <ns0:v/>
      </ns0:c>
    </ns0:row>
    <ns0:row r="2812">
      <ns0:c r="A2812" s="215">
        <ns0:f>IF(OR(AH!$P$3=0,2807+1&gt;AH!$P$11,AND(AH!$E$4&lt;&gt;"Stored",AH!$P$10&lt;&gt;1)),"",IFERROR(IF(AND(AH!$P$21=1,2807+1=AH!$P$11),TODAY(),IF(AH!$P$10=1,INDEX('Live History'!$A$5:$A$3004,AH!$P$13+2807),INDEX('AH History'!$A$1:$A$18046,AH!$P$7+2807))),""))</ns0:f>
        <ns0:v/>
      </ns0:c>
      <ns0:c r="B2812" s="219">
        <ns0:f>IFERROR(IF(AND(AH!$P$9&lt;&gt;1,$C2812&gt;0,$D2812&gt;0,$E2812&gt;0,$F2812&gt;0,$G2812&gt;0,$F2812&lt;=$A2812,$G2812&lt;=$A2812,$A2812-$F2812&lt;=10,$A2812-$G2812&lt;=5),$D2812*$E2812/$C2812-1,NA()),NA())</ns0:f>
        <ns0:v/>
      </ns0:c>
      <ns0:c r="C2812">
        <ns0:f>IFERROR(IF(ISNUMBER($A2812),IF(AND(AH!$P$10=1,AH!$P$12=1,$A2812=TODAY()),AH!$P$19,IF(AH!$P$10=1,INDEX('Live History'!$B$5:$B$3004,AH!$P$13+2807),INDEX('AH History'!$B$1:$B$18046,AH!$P$7+2807))),NA()),NA())</ns0:f>
        <ns0:v/>
      </ns0:c>
      <ns0:c r="D2812">
        <ns0:f>IFERROR(IF(ISNUMBER($A2812),IF(AND(AH!$P$10=1,AH!$P$12=1,$A2812=TODAY()),AH!$P$18,IF(AH!$P$10=1,INDEX('Live History'!$E$5:$E$3004,MATCH($A2812,'Live History'!$D$5:$D$3004,1)),INDEX('AH History'!$C$1:$C$18046,AH!$P$7+2807))),NA()),NA())</ns0:f>
        <ns0:v/>
      </ns0:c>
      <ns0:c r="E2812">
        <ns0:f>IFERROR(IF(ISNUMBER($A2812),IF(AND(AH!$P$10=1,AH!$P$12=1,$A2812=TODAY()),AH!$P$20,IF(AH!$P$10=1,INDEX('Live History'!$H$5:$H$3004,MATCH($A2812,'Live History'!$G$5:$G$3004,1)),INDEX('AH History'!$D$1:$D$18046,AH!$P$7+2807))),NA()),NA())</ns0:f>
        <ns0:v/>
      </ns0:c>
      <ns0:c r="F2812">
        <ns0:f>IFERROR(IF(ISNUMBER($A2812),IF(AND(AH!$P$10=1,AH!$P$12=1,$A2812=TODAY()),IF(AND(AH!$P$10=1,AH!$P$12=1,$A2812=TODAY()),TODAY(),NA()),IF(AH!$P$10=1,INDEX('Live History'!$D$5:$D$3004,MATCH($A2812,'Live History'!$D$5:$D$3004,1)),INDEX('AH History'!$E$1:$E$18046,AH!$P$7+2807))),NA()),NA())</ns0:f>
        <ns0:v/>
      </ns0:c>
      <ns0:c r="G2812">
        <ns0:f>IFERROR(IF(ISNUMBER($A2812),IF(AND(AH!$P$10=1,AH!$P$12=1,$A2812=TODAY()),IF(AND(AH!$P$10=1,AH!$P$12=1,$A2812=TODAY()),TODAY(),NA()),IF(AH!$P$10=1,INDEX('Live History'!$G$5:$G$3004,MATCH($A2812,'Live History'!$G$5:$G$3004,1)),INDEX('AH History'!$F$1:$F$18046,AH!$P$7+2807))),NA()),NA())</ns0:f>
        <ns0:v/>
      </ns0:c>
      <ns0:c r="H2812">
        <ns0:f>IFERROR(IF(AND(AH!$E$4="Bloomberg",AH!$P$10=1,ISNUMBER($A2812),$A2812&lt;=AH!$P$17),AH!$P$7-1+MATCH($A2812,INDEX('AH History'!$A$1:$A$18046,AH!$P$7):INDEX('AH History'!$A$1:$A$18046,AH!$P$7+AH!$P$8-1),0),0),0)</ns0:f>
        <ns0:v/>
      </ns0:c>
      <ns0:c r="I2812">
        <ns0:f>IF($H2812=0,0,IFERROR(IF(AND(ABS($C2812-INDEX('AH History'!$B$1:$B$18046,$H2812))&lt;=MAX(0.005,ABS(INDEX('AH History'!$B$1:$B$18046,$H2812))*0.00005),ABS($D2812-INDEX('AH History'!$C$1:$C$18046,$H2812))&lt;=MAX(0.005,ABS(INDEX('AH History'!$C$1:$C$18046,$H2812))*0.00005),ABS($E2812-INDEX('AH History'!$D$1:$D$18046,$H2812))&lt;=0.00005,$F2812=INDEX('AH History'!$E$1:$E$18046,$H2812),$G2812=INDEX('AH History'!$F$1:$F$18046,$H2812)),1,-1),-1))</ns0:f>
        <ns0:v/>
      </ns0:c>
    </ns0:row>
    <ns0:row r="2813">
      <ns0:c r="A2813" s="215">
        <ns0:f>IF(OR(AH!$P$3=0,2808+1&gt;AH!$P$11,AND(AH!$E$4&lt;&gt;"Stored",AH!$P$10&lt;&gt;1)),"",IFERROR(IF(AND(AH!$P$21=1,2808+1=AH!$P$11),TODAY(),IF(AH!$P$10=1,INDEX('Live History'!$A$5:$A$3004,AH!$P$13+2808),INDEX('AH History'!$A$1:$A$18046,AH!$P$7+2808))),""))</ns0:f>
        <ns0:v/>
      </ns0:c>
      <ns0:c r="B2813" s="219">
        <ns0:f>IFERROR(IF(AND(AH!$P$9&lt;&gt;1,$C2813&gt;0,$D2813&gt;0,$E2813&gt;0,$F2813&gt;0,$G2813&gt;0,$F2813&lt;=$A2813,$G2813&lt;=$A2813,$A2813-$F2813&lt;=10,$A2813-$G2813&lt;=5),$D2813*$E2813/$C2813-1,NA()),NA())</ns0:f>
        <ns0:v/>
      </ns0:c>
      <ns0:c r="C2813">
        <ns0:f>IFERROR(IF(ISNUMBER($A2813),IF(AND(AH!$P$10=1,AH!$P$12=1,$A2813=TODAY()),AH!$P$19,IF(AH!$P$10=1,INDEX('Live History'!$B$5:$B$3004,AH!$P$13+2808),INDEX('AH History'!$B$1:$B$18046,AH!$P$7+2808))),NA()),NA())</ns0:f>
        <ns0:v/>
      </ns0:c>
      <ns0:c r="D2813">
        <ns0:f>IFERROR(IF(ISNUMBER($A2813),IF(AND(AH!$P$10=1,AH!$P$12=1,$A2813=TODAY()),AH!$P$18,IF(AH!$P$10=1,INDEX('Live History'!$E$5:$E$3004,MATCH($A2813,'Live History'!$D$5:$D$3004,1)),INDEX('AH History'!$C$1:$C$18046,AH!$P$7+2808))),NA()),NA())</ns0:f>
        <ns0:v/>
      </ns0:c>
      <ns0:c r="E2813">
        <ns0:f>IFERROR(IF(ISNUMBER($A2813),IF(AND(AH!$P$10=1,AH!$P$12=1,$A2813=TODAY()),AH!$P$20,IF(AH!$P$10=1,INDEX('Live History'!$H$5:$H$3004,MATCH($A2813,'Live History'!$G$5:$G$3004,1)),INDEX('AH History'!$D$1:$D$18046,AH!$P$7+2808))),NA()),NA())</ns0:f>
        <ns0:v/>
      </ns0:c>
      <ns0:c r="F2813">
        <ns0:f>IFERROR(IF(ISNUMBER($A2813),IF(AND(AH!$P$10=1,AH!$P$12=1,$A2813=TODAY()),IF(AND(AH!$P$10=1,AH!$P$12=1,$A2813=TODAY()),TODAY(),NA()),IF(AH!$P$10=1,INDEX('Live History'!$D$5:$D$3004,MATCH($A2813,'Live History'!$D$5:$D$3004,1)),INDEX('AH History'!$E$1:$E$18046,AH!$P$7+2808))),NA()),NA())</ns0:f>
        <ns0:v/>
      </ns0:c>
      <ns0:c r="G2813">
        <ns0:f>IFERROR(IF(ISNUMBER($A2813),IF(AND(AH!$P$10=1,AH!$P$12=1,$A2813=TODAY()),IF(AND(AH!$P$10=1,AH!$P$12=1,$A2813=TODAY()),TODAY(),NA()),IF(AH!$P$10=1,INDEX('Live History'!$G$5:$G$3004,MATCH($A2813,'Live History'!$G$5:$G$3004,1)),INDEX('AH History'!$F$1:$F$18046,AH!$P$7+2808))),NA()),NA())</ns0:f>
        <ns0:v/>
      </ns0:c>
      <ns0:c r="H2813">
        <ns0:f>IFERROR(IF(AND(AH!$E$4="Bloomberg",AH!$P$10=1,ISNUMBER($A2813),$A2813&lt;=AH!$P$17),AH!$P$7-1+MATCH($A2813,INDEX('AH History'!$A$1:$A$18046,AH!$P$7):INDEX('AH History'!$A$1:$A$18046,AH!$P$7+AH!$P$8-1),0),0),0)</ns0:f>
        <ns0:v/>
      </ns0:c>
      <ns0:c r="I2813">
        <ns0:f>IF($H2813=0,0,IFERROR(IF(AND(ABS($C2813-INDEX('AH History'!$B$1:$B$18046,$H2813))&lt;=MAX(0.005,ABS(INDEX('AH History'!$B$1:$B$18046,$H2813))*0.00005),ABS($D2813-INDEX('AH History'!$C$1:$C$18046,$H2813))&lt;=MAX(0.005,ABS(INDEX('AH History'!$C$1:$C$18046,$H2813))*0.00005),ABS($E2813-INDEX('AH History'!$D$1:$D$18046,$H2813))&lt;=0.00005,$F2813=INDEX('AH History'!$E$1:$E$18046,$H2813),$G2813=INDEX('AH History'!$F$1:$F$18046,$H2813)),1,-1),-1))</ns0:f>
        <ns0:v/>
      </ns0:c>
    </ns0:row>
    <ns0:row r="2814">
      <ns0:c r="A2814" s="215">
        <ns0:f>IF(OR(AH!$P$3=0,2809+1&gt;AH!$P$11,AND(AH!$E$4&lt;&gt;"Stored",AH!$P$10&lt;&gt;1)),"",IFERROR(IF(AND(AH!$P$21=1,2809+1=AH!$P$11),TODAY(),IF(AH!$P$10=1,INDEX('Live History'!$A$5:$A$3004,AH!$P$13+2809),INDEX('AH History'!$A$1:$A$18046,AH!$P$7+2809))),""))</ns0:f>
        <ns0:v/>
      </ns0:c>
      <ns0:c r="B2814" s="219">
        <ns0:f>IFERROR(IF(AND(AH!$P$9&lt;&gt;1,$C2814&gt;0,$D2814&gt;0,$E2814&gt;0,$F2814&gt;0,$G2814&gt;0,$F2814&lt;=$A2814,$G2814&lt;=$A2814,$A2814-$F2814&lt;=10,$A2814-$G2814&lt;=5),$D2814*$E2814/$C2814-1,NA()),NA())</ns0:f>
        <ns0:v/>
      </ns0:c>
      <ns0:c r="C2814">
        <ns0:f>IFERROR(IF(ISNUMBER($A2814),IF(AND(AH!$P$10=1,AH!$P$12=1,$A2814=TODAY()),AH!$P$19,IF(AH!$P$10=1,INDEX('Live History'!$B$5:$B$3004,AH!$P$13+2809),INDEX('AH History'!$B$1:$B$18046,AH!$P$7+2809))),NA()),NA())</ns0:f>
        <ns0:v/>
      </ns0:c>
      <ns0:c r="D2814">
        <ns0:f>IFERROR(IF(ISNUMBER($A2814),IF(AND(AH!$P$10=1,AH!$P$12=1,$A2814=TODAY()),AH!$P$18,IF(AH!$P$10=1,INDEX('Live History'!$E$5:$E$3004,MATCH($A2814,'Live History'!$D$5:$D$3004,1)),INDEX('AH History'!$C$1:$C$18046,AH!$P$7+2809))),NA()),NA())</ns0:f>
        <ns0:v/>
      </ns0:c>
      <ns0:c r="E2814">
        <ns0:f>IFERROR(IF(ISNUMBER($A2814),IF(AND(AH!$P$10=1,AH!$P$12=1,$A2814=TODAY()),AH!$P$20,IF(AH!$P$10=1,INDEX('Live History'!$H$5:$H$3004,MATCH($A2814,'Live History'!$G$5:$G$3004,1)),INDEX('AH History'!$D$1:$D$18046,AH!$P$7+2809))),NA()),NA())</ns0:f>
        <ns0:v/>
      </ns0:c>
      <ns0:c r="F2814">
        <ns0:f>IFERROR(IF(ISNUMBER($A2814),IF(AND(AH!$P$10=1,AH!$P$12=1,$A2814=TODAY()),IF(AND(AH!$P$10=1,AH!$P$12=1,$A2814=TODAY()),TODAY(),NA()),IF(AH!$P$10=1,INDEX('Live History'!$D$5:$D$3004,MATCH($A2814,'Live History'!$D$5:$D$3004,1)),INDEX('AH History'!$E$1:$E$18046,AH!$P$7+2809))),NA()),NA())</ns0:f>
        <ns0:v/>
      </ns0:c>
      <ns0:c r="G2814">
        <ns0:f>IFERROR(IF(ISNUMBER($A2814),IF(AND(AH!$P$10=1,AH!$P$12=1,$A2814=TODAY()),IF(AND(AH!$P$10=1,AH!$P$12=1,$A2814=TODAY()),TODAY(),NA()),IF(AH!$P$10=1,INDEX('Live History'!$G$5:$G$3004,MATCH($A2814,'Live History'!$G$5:$G$3004,1)),INDEX('AH History'!$F$1:$F$18046,AH!$P$7+2809))),NA()),NA())</ns0:f>
        <ns0:v/>
      </ns0:c>
      <ns0:c r="H2814">
        <ns0:f>IFERROR(IF(AND(AH!$E$4="Bloomberg",AH!$P$10=1,ISNUMBER($A2814),$A2814&lt;=AH!$P$17),AH!$P$7-1+MATCH($A2814,INDEX('AH History'!$A$1:$A$18046,AH!$P$7):INDEX('AH History'!$A$1:$A$18046,AH!$P$7+AH!$P$8-1),0),0),0)</ns0:f>
        <ns0:v/>
      </ns0:c>
      <ns0:c r="I2814">
        <ns0:f>IF($H2814=0,0,IFERROR(IF(AND(ABS($C2814-INDEX('AH History'!$B$1:$B$18046,$H2814))&lt;=MAX(0.005,ABS(INDEX('AH History'!$B$1:$B$18046,$H2814))*0.00005),ABS($D2814-INDEX('AH History'!$C$1:$C$18046,$H2814))&lt;=MAX(0.005,ABS(INDEX('AH History'!$C$1:$C$18046,$H2814))*0.00005),ABS($E2814-INDEX('AH History'!$D$1:$D$18046,$H2814))&lt;=0.00005,$F2814=INDEX('AH History'!$E$1:$E$18046,$H2814),$G2814=INDEX('AH History'!$F$1:$F$18046,$H2814)),1,-1),-1))</ns0:f>
        <ns0:v/>
      </ns0:c>
    </ns0:row>
    <ns0:row r="2815">
      <ns0:c r="A2815" s="215">
        <ns0:f>IF(OR(AH!$P$3=0,2810+1&gt;AH!$P$11,AND(AH!$E$4&lt;&gt;"Stored",AH!$P$10&lt;&gt;1)),"",IFERROR(IF(AND(AH!$P$21=1,2810+1=AH!$P$11),TODAY(),IF(AH!$P$10=1,INDEX('Live History'!$A$5:$A$3004,AH!$P$13+2810),INDEX('AH History'!$A$1:$A$18046,AH!$P$7+2810))),""))</ns0:f>
        <ns0:v/>
      </ns0:c>
      <ns0:c r="B2815" s="219">
        <ns0:f>IFERROR(IF(AND(AH!$P$9&lt;&gt;1,$C2815&gt;0,$D2815&gt;0,$E2815&gt;0,$F2815&gt;0,$G2815&gt;0,$F2815&lt;=$A2815,$G2815&lt;=$A2815,$A2815-$F2815&lt;=10,$A2815-$G2815&lt;=5),$D2815*$E2815/$C2815-1,NA()),NA())</ns0:f>
        <ns0:v/>
      </ns0:c>
      <ns0:c r="C2815">
        <ns0:f>IFERROR(IF(ISNUMBER($A2815),IF(AND(AH!$P$10=1,AH!$P$12=1,$A2815=TODAY()),AH!$P$19,IF(AH!$P$10=1,INDEX('Live History'!$B$5:$B$3004,AH!$P$13+2810),INDEX('AH History'!$B$1:$B$18046,AH!$P$7+2810))),NA()),NA())</ns0:f>
        <ns0:v/>
      </ns0:c>
      <ns0:c r="D2815">
        <ns0:f>IFERROR(IF(ISNUMBER($A2815),IF(AND(AH!$P$10=1,AH!$P$12=1,$A2815=TODAY()),AH!$P$18,IF(AH!$P$10=1,INDEX('Live History'!$E$5:$E$3004,MATCH($A2815,'Live History'!$D$5:$D$3004,1)),INDEX('AH History'!$C$1:$C$18046,AH!$P$7+2810))),NA()),NA())</ns0:f>
        <ns0:v/>
      </ns0:c>
      <ns0:c r="E2815">
        <ns0:f>IFERROR(IF(ISNUMBER($A2815),IF(AND(AH!$P$10=1,AH!$P$12=1,$A2815=TODAY()),AH!$P$20,IF(AH!$P$10=1,INDEX('Live History'!$H$5:$H$3004,MATCH($A2815,'Live History'!$G$5:$G$3004,1)),INDEX('AH History'!$D$1:$D$18046,AH!$P$7+2810))),NA()),NA())</ns0:f>
        <ns0:v/>
      </ns0:c>
      <ns0:c r="F2815">
        <ns0:f>IFERROR(IF(ISNUMBER($A2815),IF(AND(AH!$P$10=1,AH!$P$12=1,$A2815=TODAY()),IF(AND(AH!$P$10=1,AH!$P$12=1,$A2815=TODAY()),TODAY(),NA()),IF(AH!$P$10=1,INDEX('Live History'!$D$5:$D$3004,MATCH($A2815,'Live History'!$D$5:$D$3004,1)),INDEX('AH History'!$E$1:$E$18046,AH!$P$7+2810))),NA()),NA())</ns0:f>
        <ns0:v/>
      </ns0:c>
      <ns0:c r="G2815">
        <ns0:f>IFERROR(IF(ISNUMBER($A2815),IF(AND(AH!$P$10=1,AH!$P$12=1,$A2815=TODAY()),IF(AND(AH!$P$10=1,AH!$P$12=1,$A2815=TODAY()),TODAY(),NA()),IF(AH!$P$10=1,INDEX('Live History'!$G$5:$G$3004,MATCH($A2815,'Live History'!$G$5:$G$3004,1)),INDEX('AH History'!$F$1:$F$18046,AH!$P$7+2810))),NA()),NA())</ns0:f>
        <ns0:v/>
      </ns0:c>
      <ns0:c r="H2815">
        <ns0:f>IFERROR(IF(AND(AH!$E$4="Bloomberg",AH!$P$10=1,ISNUMBER($A2815),$A2815&lt;=AH!$P$17),AH!$P$7-1+MATCH($A2815,INDEX('AH History'!$A$1:$A$18046,AH!$P$7):INDEX('AH History'!$A$1:$A$18046,AH!$P$7+AH!$P$8-1),0),0),0)</ns0:f>
        <ns0:v/>
      </ns0:c>
      <ns0:c r="I2815">
        <ns0:f>IF($H2815=0,0,IFERROR(IF(AND(ABS($C2815-INDEX('AH History'!$B$1:$B$18046,$H2815))&lt;=MAX(0.005,ABS(INDEX('AH History'!$B$1:$B$18046,$H2815))*0.00005),ABS($D2815-INDEX('AH History'!$C$1:$C$18046,$H2815))&lt;=MAX(0.005,ABS(INDEX('AH History'!$C$1:$C$18046,$H2815))*0.00005),ABS($E2815-INDEX('AH History'!$D$1:$D$18046,$H2815))&lt;=0.00005,$F2815=INDEX('AH History'!$E$1:$E$18046,$H2815),$G2815=INDEX('AH History'!$F$1:$F$18046,$H2815)),1,-1),-1))</ns0:f>
        <ns0:v/>
      </ns0:c>
    </ns0:row>
    <ns0:row r="2816">
      <ns0:c r="A2816" s="215">
        <ns0:f>IF(OR(AH!$P$3=0,2811+1&gt;AH!$P$11,AND(AH!$E$4&lt;&gt;"Stored",AH!$P$10&lt;&gt;1)),"",IFERROR(IF(AND(AH!$P$21=1,2811+1=AH!$P$11),TODAY(),IF(AH!$P$10=1,INDEX('Live History'!$A$5:$A$3004,AH!$P$13+2811),INDEX('AH History'!$A$1:$A$18046,AH!$P$7+2811))),""))</ns0:f>
        <ns0:v/>
      </ns0:c>
      <ns0:c r="B2816" s="219">
        <ns0:f>IFERROR(IF(AND(AH!$P$9&lt;&gt;1,$C2816&gt;0,$D2816&gt;0,$E2816&gt;0,$F2816&gt;0,$G2816&gt;0,$F2816&lt;=$A2816,$G2816&lt;=$A2816,$A2816-$F2816&lt;=10,$A2816-$G2816&lt;=5),$D2816*$E2816/$C2816-1,NA()),NA())</ns0:f>
        <ns0:v/>
      </ns0:c>
      <ns0:c r="C2816">
        <ns0:f>IFERROR(IF(ISNUMBER($A2816),IF(AND(AH!$P$10=1,AH!$P$12=1,$A2816=TODAY()),AH!$P$19,IF(AH!$P$10=1,INDEX('Live History'!$B$5:$B$3004,AH!$P$13+2811),INDEX('AH History'!$B$1:$B$18046,AH!$P$7+2811))),NA()),NA())</ns0:f>
        <ns0:v/>
      </ns0:c>
      <ns0:c r="D2816">
        <ns0:f>IFERROR(IF(ISNUMBER($A2816),IF(AND(AH!$P$10=1,AH!$P$12=1,$A2816=TODAY()),AH!$P$18,IF(AH!$P$10=1,INDEX('Live History'!$E$5:$E$3004,MATCH($A2816,'Live History'!$D$5:$D$3004,1)),INDEX('AH History'!$C$1:$C$18046,AH!$P$7+2811))),NA()),NA())</ns0:f>
        <ns0:v/>
      </ns0:c>
      <ns0:c r="E2816">
        <ns0:f>IFERROR(IF(ISNUMBER($A2816),IF(AND(AH!$P$10=1,AH!$P$12=1,$A2816=TODAY()),AH!$P$20,IF(AH!$P$10=1,INDEX('Live History'!$H$5:$H$3004,MATCH($A2816,'Live History'!$G$5:$G$3004,1)),INDEX('AH History'!$D$1:$D$18046,AH!$P$7+2811))),NA()),NA())</ns0:f>
        <ns0:v/>
      </ns0:c>
      <ns0:c r="F2816">
        <ns0:f>IFERROR(IF(ISNUMBER($A2816),IF(AND(AH!$P$10=1,AH!$P$12=1,$A2816=TODAY()),IF(AND(AH!$P$10=1,AH!$P$12=1,$A2816=TODAY()),TODAY(),NA()),IF(AH!$P$10=1,INDEX('Live History'!$D$5:$D$3004,MATCH($A2816,'Live History'!$D$5:$D$3004,1)),INDEX('AH History'!$E$1:$E$18046,AH!$P$7+2811))),NA()),NA())</ns0:f>
        <ns0:v/>
      </ns0:c>
      <ns0:c r="G2816">
        <ns0:f>IFERROR(IF(ISNUMBER($A2816),IF(AND(AH!$P$10=1,AH!$P$12=1,$A2816=TODAY()),IF(AND(AH!$P$10=1,AH!$P$12=1,$A2816=TODAY()),TODAY(),NA()),IF(AH!$P$10=1,INDEX('Live History'!$G$5:$G$3004,MATCH($A2816,'Live History'!$G$5:$G$3004,1)),INDEX('AH History'!$F$1:$F$18046,AH!$P$7+2811))),NA()),NA())</ns0:f>
        <ns0:v/>
      </ns0:c>
      <ns0:c r="H2816">
        <ns0:f>IFERROR(IF(AND(AH!$E$4="Bloomberg",AH!$P$10=1,ISNUMBER($A2816),$A2816&lt;=AH!$P$17),AH!$P$7-1+MATCH($A2816,INDEX('AH History'!$A$1:$A$18046,AH!$P$7):INDEX('AH History'!$A$1:$A$18046,AH!$P$7+AH!$P$8-1),0),0),0)</ns0:f>
        <ns0:v/>
      </ns0:c>
      <ns0:c r="I2816">
        <ns0:f>IF($H2816=0,0,IFERROR(IF(AND(ABS($C2816-INDEX('AH History'!$B$1:$B$18046,$H2816))&lt;=MAX(0.005,ABS(INDEX('AH History'!$B$1:$B$18046,$H2816))*0.00005),ABS($D2816-INDEX('AH History'!$C$1:$C$18046,$H2816))&lt;=MAX(0.005,ABS(INDEX('AH History'!$C$1:$C$18046,$H2816))*0.00005),ABS($E2816-INDEX('AH History'!$D$1:$D$18046,$H2816))&lt;=0.00005,$F2816=INDEX('AH History'!$E$1:$E$18046,$H2816),$G2816=INDEX('AH History'!$F$1:$F$18046,$H2816)),1,-1),-1))</ns0:f>
        <ns0:v/>
      </ns0:c>
    </ns0:row>
    <ns0:row r="2817">
      <ns0:c r="A2817" s="215">
        <ns0:f>IF(OR(AH!$P$3=0,2812+1&gt;AH!$P$11,AND(AH!$E$4&lt;&gt;"Stored",AH!$P$10&lt;&gt;1)),"",IFERROR(IF(AND(AH!$P$21=1,2812+1=AH!$P$11),TODAY(),IF(AH!$P$10=1,INDEX('Live History'!$A$5:$A$3004,AH!$P$13+2812),INDEX('AH History'!$A$1:$A$18046,AH!$P$7+2812))),""))</ns0:f>
        <ns0:v/>
      </ns0:c>
      <ns0:c r="B2817" s="219">
        <ns0:f>IFERROR(IF(AND(AH!$P$9&lt;&gt;1,$C2817&gt;0,$D2817&gt;0,$E2817&gt;0,$F2817&gt;0,$G2817&gt;0,$F2817&lt;=$A2817,$G2817&lt;=$A2817,$A2817-$F2817&lt;=10,$A2817-$G2817&lt;=5),$D2817*$E2817/$C2817-1,NA()),NA())</ns0:f>
        <ns0:v/>
      </ns0:c>
      <ns0:c r="C2817">
        <ns0:f>IFERROR(IF(ISNUMBER($A2817),IF(AND(AH!$P$10=1,AH!$P$12=1,$A2817=TODAY()),AH!$P$19,IF(AH!$P$10=1,INDEX('Live History'!$B$5:$B$3004,AH!$P$13+2812),INDEX('AH History'!$B$1:$B$18046,AH!$P$7+2812))),NA()),NA())</ns0:f>
        <ns0:v/>
      </ns0:c>
      <ns0:c r="D2817">
        <ns0:f>IFERROR(IF(ISNUMBER($A2817),IF(AND(AH!$P$10=1,AH!$P$12=1,$A2817=TODAY()),AH!$P$18,IF(AH!$P$10=1,INDEX('Live History'!$E$5:$E$3004,MATCH($A2817,'Live History'!$D$5:$D$3004,1)),INDEX('AH History'!$C$1:$C$18046,AH!$P$7+2812))),NA()),NA())</ns0:f>
        <ns0:v/>
      </ns0:c>
      <ns0:c r="E2817">
        <ns0:f>IFERROR(IF(ISNUMBER($A2817),IF(AND(AH!$P$10=1,AH!$P$12=1,$A2817=TODAY()),AH!$P$20,IF(AH!$P$10=1,INDEX('Live History'!$H$5:$H$3004,MATCH($A2817,'Live History'!$G$5:$G$3004,1)),INDEX('AH History'!$D$1:$D$18046,AH!$P$7+2812))),NA()),NA())</ns0:f>
        <ns0:v/>
      </ns0:c>
      <ns0:c r="F2817">
        <ns0:f>IFERROR(IF(ISNUMBER($A2817),IF(AND(AH!$P$10=1,AH!$P$12=1,$A2817=TODAY()),IF(AND(AH!$P$10=1,AH!$P$12=1,$A2817=TODAY()),TODAY(),NA()),IF(AH!$P$10=1,INDEX('Live History'!$D$5:$D$3004,MATCH($A2817,'Live History'!$D$5:$D$3004,1)),INDEX('AH History'!$E$1:$E$18046,AH!$P$7+2812))),NA()),NA())</ns0:f>
        <ns0:v/>
      </ns0:c>
      <ns0:c r="G2817">
        <ns0:f>IFERROR(IF(ISNUMBER($A2817),IF(AND(AH!$P$10=1,AH!$P$12=1,$A2817=TODAY()),IF(AND(AH!$P$10=1,AH!$P$12=1,$A2817=TODAY()),TODAY(),NA()),IF(AH!$P$10=1,INDEX('Live History'!$G$5:$G$3004,MATCH($A2817,'Live History'!$G$5:$G$3004,1)),INDEX('AH History'!$F$1:$F$18046,AH!$P$7+2812))),NA()),NA())</ns0:f>
        <ns0:v/>
      </ns0:c>
      <ns0:c r="H2817">
        <ns0:f>IFERROR(IF(AND(AH!$E$4="Bloomberg",AH!$P$10=1,ISNUMBER($A2817),$A2817&lt;=AH!$P$17),AH!$P$7-1+MATCH($A2817,INDEX('AH History'!$A$1:$A$18046,AH!$P$7):INDEX('AH History'!$A$1:$A$18046,AH!$P$7+AH!$P$8-1),0),0),0)</ns0:f>
        <ns0:v/>
      </ns0:c>
      <ns0:c r="I2817">
        <ns0:f>IF($H2817=0,0,IFERROR(IF(AND(ABS($C2817-INDEX('AH History'!$B$1:$B$18046,$H2817))&lt;=MAX(0.005,ABS(INDEX('AH History'!$B$1:$B$18046,$H2817))*0.00005),ABS($D2817-INDEX('AH History'!$C$1:$C$18046,$H2817))&lt;=MAX(0.005,ABS(INDEX('AH History'!$C$1:$C$18046,$H2817))*0.00005),ABS($E2817-INDEX('AH History'!$D$1:$D$18046,$H2817))&lt;=0.00005,$F2817=INDEX('AH History'!$E$1:$E$18046,$H2817),$G2817=INDEX('AH History'!$F$1:$F$18046,$H2817)),1,-1),-1))</ns0:f>
        <ns0:v/>
      </ns0:c>
    </ns0:row>
    <ns0:row r="2818">
      <ns0:c r="A2818" s="215">
        <ns0:f>IF(OR(AH!$P$3=0,2813+1&gt;AH!$P$11,AND(AH!$E$4&lt;&gt;"Stored",AH!$P$10&lt;&gt;1)),"",IFERROR(IF(AND(AH!$P$21=1,2813+1=AH!$P$11),TODAY(),IF(AH!$P$10=1,INDEX('Live History'!$A$5:$A$3004,AH!$P$13+2813),INDEX('AH History'!$A$1:$A$18046,AH!$P$7+2813))),""))</ns0:f>
        <ns0:v/>
      </ns0:c>
      <ns0:c r="B2818" s="219">
        <ns0:f>IFERROR(IF(AND(AH!$P$9&lt;&gt;1,$C2818&gt;0,$D2818&gt;0,$E2818&gt;0,$F2818&gt;0,$G2818&gt;0,$F2818&lt;=$A2818,$G2818&lt;=$A2818,$A2818-$F2818&lt;=10,$A2818-$G2818&lt;=5),$D2818*$E2818/$C2818-1,NA()),NA())</ns0:f>
        <ns0:v/>
      </ns0:c>
      <ns0:c r="C2818">
        <ns0:f>IFERROR(IF(ISNUMBER($A2818),IF(AND(AH!$P$10=1,AH!$P$12=1,$A2818=TODAY()),AH!$P$19,IF(AH!$P$10=1,INDEX('Live History'!$B$5:$B$3004,AH!$P$13+2813),INDEX('AH History'!$B$1:$B$18046,AH!$P$7+2813))),NA()),NA())</ns0:f>
        <ns0:v/>
      </ns0:c>
      <ns0:c r="D2818">
        <ns0:f>IFERROR(IF(ISNUMBER($A2818),IF(AND(AH!$P$10=1,AH!$P$12=1,$A2818=TODAY()),AH!$P$18,IF(AH!$P$10=1,INDEX('Live History'!$E$5:$E$3004,MATCH($A2818,'Live History'!$D$5:$D$3004,1)),INDEX('AH History'!$C$1:$C$18046,AH!$P$7+2813))),NA()),NA())</ns0:f>
        <ns0:v/>
      </ns0:c>
      <ns0:c r="E2818">
        <ns0:f>IFERROR(IF(ISNUMBER($A2818),IF(AND(AH!$P$10=1,AH!$P$12=1,$A2818=TODAY()),AH!$P$20,IF(AH!$P$10=1,INDEX('Live History'!$H$5:$H$3004,MATCH($A2818,'Live History'!$G$5:$G$3004,1)),INDEX('AH History'!$D$1:$D$18046,AH!$P$7+2813))),NA()),NA())</ns0:f>
        <ns0:v/>
      </ns0:c>
      <ns0:c r="F2818">
        <ns0:f>IFERROR(IF(ISNUMBER($A2818),IF(AND(AH!$P$10=1,AH!$P$12=1,$A2818=TODAY()),IF(AND(AH!$P$10=1,AH!$P$12=1,$A2818=TODAY()),TODAY(),NA()),IF(AH!$P$10=1,INDEX('Live History'!$D$5:$D$3004,MATCH($A2818,'Live History'!$D$5:$D$3004,1)),INDEX('AH History'!$E$1:$E$18046,AH!$P$7+2813))),NA()),NA())</ns0:f>
        <ns0:v/>
      </ns0:c>
      <ns0:c r="G2818">
        <ns0:f>IFERROR(IF(ISNUMBER($A2818),IF(AND(AH!$P$10=1,AH!$P$12=1,$A2818=TODAY()),IF(AND(AH!$P$10=1,AH!$P$12=1,$A2818=TODAY()),TODAY(),NA()),IF(AH!$P$10=1,INDEX('Live History'!$G$5:$G$3004,MATCH($A2818,'Live History'!$G$5:$G$3004,1)),INDEX('AH History'!$F$1:$F$18046,AH!$P$7+2813))),NA()),NA())</ns0:f>
        <ns0:v/>
      </ns0:c>
      <ns0:c r="H2818">
        <ns0:f>IFERROR(IF(AND(AH!$E$4="Bloomberg",AH!$P$10=1,ISNUMBER($A2818),$A2818&lt;=AH!$P$17),AH!$P$7-1+MATCH($A2818,INDEX('AH History'!$A$1:$A$18046,AH!$P$7):INDEX('AH History'!$A$1:$A$18046,AH!$P$7+AH!$P$8-1),0),0),0)</ns0:f>
        <ns0:v/>
      </ns0:c>
      <ns0:c r="I2818">
        <ns0:f>IF($H2818=0,0,IFERROR(IF(AND(ABS($C2818-INDEX('AH History'!$B$1:$B$18046,$H2818))&lt;=MAX(0.005,ABS(INDEX('AH History'!$B$1:$B$18046,$H2818))*0.00005),ABS($D2818-INDEX('AH History'!$C$1:$C$18046,$H2818))&lt;=MAX(0.005,ABS(INDEX('AH History'!$C$1:$C$18046,$H2818))*0.00005),ABS($E2818-INDEX('AH History'!$D$1:$D$18046,$H2818))&lt;=0.00005,$F2818=INDEX('AH History'!$E$1:$E$18046,$H2818),$G2818=INDEX('AH History'!$F$1:$F$18046,$H2818)),1,-1),-1))</ns0:f>
        <ns0:v/>
      </ns0:c>
    </ns0:row>
    <ns0:row r="2819">
      <ns0:c r="A2819" s="215">
        <ns0:f>IF(OR(AH!$P$3=0,2814+1&gt;AH!$P$11,AND(AH!$E$4&lt;&gt;"Stored",AH!$P$10&lt;&gt;1)),"",IFERROR(IF(AND(AH!$P$21=1,2814+1=AH!$P$11),TODAY(),IF(AH!$P$10=1,INDEX('Live History'!$A$5:$A$3004,AH!$P$13+2814),INDEX('AH History'!$A$1:$A$18046,AH!$P$7+2814))),""))</ns0:f>
        <ns0:v/>
      </ns0:c>
      <ns0:c r="B2819" s="219">
        <ns0:f>IFERROR(IF(AND(AH!$P$9&lt;&gt;1,$C2819&gt;0,$D2819&gt;0,$E2819&gt;0,$F2819&gt;0,$G2819&gt;0,$F2819&lt;=$A2819,$G2819&lt;=$A2819,$A2819-$F2819&lt;=10,$A2819-$G2819&lt;=5),$D2819*$E2819/$C2819-1,NA()),NA())</ns0:f>
        <ns0:v/>
      </ns0:c>
      <ns0:c r="C2819">
        <ns0:f>IFERROR(IF(ISNUMBER($A2819),IF(AND(AH!$P$10=1,AH!$P$12=1,$A2819=TODAY()),AH!$P$19,IF(AH!$P$10=1,INDEX('Live History'!$B$5:$B$3004,AH!$P$13+2814),INDEX('AH History'!$B$1:$B$18046,AH!$P$7+2814))),NA()),NA())</ns0:f>
        <ns0:v/>
      </ns0:c>
      <ns0:c r="D2819">
        <ns0:f>IFERROR(IF(ISNUMBER($A2819),IF(AND(AH!$P$10=1,AH!$P$12=1,$A2819=TODAY()),AH!$P$18,IF(AH!$P$10=1,INDEX('Live History'!$E$5:$E$3004,MATCH($A2819,'Live History'!$D$5:$D$3004,1)),INDEX('AH History'!$C$1:$C$18046,AH!$P$7+2814))),NA()),NA())</ns0:f>
        <ns0:v/>
      </ns0:c>
      <ns0:c r="E2819">
        <ns0:f>IFERROR(IF(ISNUMBER($A2819),IF(AND(AH!$P$10=1,AH!$P$12=1,$A2819=TODAY()),AH!$P$20,IF(AH!$P$10=1,INDEX('Live History'!$H$5:$H$3004,MATCH($A2819,'Live History'!$G$5:$G$3004,1)),INDEX('AH History'!$D$1:$D$18046,AH!$P$7+2814))),NA()),NA())</ns0:f>
        <ns0:v/>
      </ns0:c>
      <ns0:c r="F2819">
        <ns0:f>IFERROR(IF(ISNUMBER($A2819),IF(AND(AH!$P$10=1,AH!$P$12=1,$A2819=TODAY()),IF(AND(AH!$P$10=1,AH!$P$12=1,$A2819=TODAY()),TODAY(),NA()),IF(AH!$P$10=1,INDEX('Live History'!$D$5:$D$3004,MATCH($A2819,'Live History'!$D$5:$D$3004,1)),INDEX('AH History'!$E$1:$E$18046,AH!$P$7+2814))),NA()),NA())</ns0:f>
        <ns0:v/>
      </ns0:c>
      <ns0:c r="G2819">
        <ns0:f>IFERROR(IF(ISNUMBER($A2819),IF(AND(AH!$P$10=1,AH!$P$12=1,$A2819=TODAY()),IF(AND(AH!$P$10=1,AH!$P$12=1,$A2819=TODAY()),TODAY(),NA()),IF(AH!$P$10=1,INDEX('Live History'!$G$5:$G$3004,MATCH($A2819,'Live History'!$G$5:$G$3004,1)),INDEX('AH History'!$F$1:$F$18046,AH!$P$7+2814))),NA()),NA())</ns0:f>
        <ns0:v/>
      </ns0:c>
      <ns0:c r="H2819">
        <ns0:f>IFERROR(IF(AND(AH!$E$4="Bloomberg",AH!$P$10=1,ISNUMBER($A2819),$A2819&lt;=AH!$P$17),AH!$P$7-1+MATCH($A2819,INDEX('AH History'!$A$1:$A$18046,AH!$P$7):INDEX('AH History'!$A$1:$A$18046,AH!$P$7+AH!$P$8-1),0),0),0)</ns0:f>
        <ns0:v/>
      </ns0:c>
      <ns0:c r="I2819">
        <ns0:f>IF($H2819=0,0,IFERROR(IF(AND(ABS($C2819-INDEX('AH History'!$B$1:$B$18046,$H2819))&lt;=MAX(0.005,ABS(INDEX('AH History'!$B$1:$B$18046,$H2819))*0.00005),ABS($D2819-INDEX('AH History'!$C$1:$C$18046,$H2819))&lt;=MAX(0.005,ABS(INDEX('AH History'!$C$1:$C$18046,$H2819))*0.00005),ABS($E2819-INDEX('AH History'!$D$1:$D$18046,$H2819))&lt;=0.00005,$F2819=INDEX('AH History'!$E$1:$E$18046,$H2819),$G2819=INDEX('AH History'!$F$1:$F$18046,$H2819)),1,-1),-1))</ns0:f>
        <ns0:v/>
      </ns0:c>
    </ns0:row>
    <ns0:row r="2820">
      <ns0:c r="A2820" s="215">
        <ns0:f>IF(OR(AH!$P$3=0,2815+1&gt;AH!$P$11,AND(AH!$E$4&lt;&gt;"Stored",AH!$P$10&lt;&gt;1)),"",IFERROR(IF(AND(AH!$P$21=1,2815+1=AH!$P$11),TODAY(),IF(AH!$P$10=1,INDEX('Live History'!$A$5:$A$3004,AH!$P$13+2815),INDEX('AH History'!$A$1:$A$18046,AH!$P$7+2815))),""))</ns0:f>
        <ns0:v/>
      </ns0:c>
      <ns0:c r="B2820" s="219">
        <ns0:f>IFERROR(IF(AND(AH!$P$9&lt;&gt;1,$C2820&gt;0,$D2820&gt;0,$E2820&gt;0,$F2820&gt;0,$G2820&gt;0,$F2820&lt;=$A2820,$G2820&lt;=$A2820,$A2820-$F2820&lt;=10,$A2820-$G2820&lt;=5),$D2820*$E2820/$C2820-1,NA()),NA())</ns0:f>
        <ns0:v/>
      </ns0:c>
      <ns0:c r="C2820">
        <ns0:f>IFERROR(IF(ISNUMBER($A2820),IF(AND(AH!$P$10=1,AH!$P$12=1,$A2820=TODAY()),AH!$P$19,IF(AH!$P$10=1,INDEX('Live History'!$B$5:$B$3004,AH!$P$13+2815),INDEX('AH History'!$B$1:$B$18046,AH!$P$7+2815))),NA()),NA())</ns0:f>
        <ns0:v/>
      </ns0:c>
      <ns0:c r="D2820">
        <ns0:f>IFERROR(IF(ISNUMBER($A2820),IF(AND(AH!$P$10=1,AH!$P$12=1,$A2820=TODAY()),AH!$P$18,IF(AH!$P$10=1,INDEX('Live History'!$E$5:$E$3004,MATCH($A2820,'Live History'!$D$5:$D$3004,1)),INDEX('AH History'!$C$1:$C$18046,AH!$P$7+2815))),NA()),NA())</ns0:f>
        <ns0:v/>
      </ns0:c>
      <ns0:c r="E2820">
        <ns0:f>IFERROR(IF(ISNUMBER($A2820),IF(AND(AH!$P$10=1,AH!$P$12=1,$A2820=TODAY()),AH!$P$20,IF(AH!$P$10=1,INDEX('Live History'!$H$5:$H$3004,MATCH($A2820,'Live History'!$G$5:$G$3004,1)),INDEX('AH History'!$D$1:$D$18046,AH!$P$7+2815))),NA()),NA())</ns0:f>
        <ns0:v/>
      </ns0:c>
      <ns0:c r="F2820">
        <ns0:f>IFERROR(IF(ISNUMBER($A2820),IF(AND(AH!$P$10=1,AH!$P$12=1,$A2820=TODAY()),IF(AND(AH!$P$10=1,AH!$P$12=1,$A2820=TODAY()),TODAY(),NA()),IF(AH!$P$10=1,INDEX('Live History'!$D$5:$D$3004,MATCH($A2820,'Live History'!$D$5:$D$3004,1)),INDEX('AH History'!$E$1:$E$18046,AH!$P$7+2815))),NA()),NA())</ns0:f>
        <ns0:v/>
      </ns0:c>
      <ns0:c r="G2820">
        <ns0:f>IFERROR(IF(ISNUMBER($A2820),IF(AND(AH!$P$10=1,AH!$P$12=1,$A2820=TODAY()),IF(AND(AH!$P$10=1,AH!$P$12=1,$A2820=TODAY()),TODAY(),NA()),IF(AH!$P$10=1,INDEX('Live History'!$G$5:$G$3004,MATCH($A2820,'Live History'!$G$5:$G$3004,1)),INDEX('AH History'!$F$1:$F$18046,AH!$P$7+2815))),NA()),NA())</ns0:f>
        <ns0:v/>
      </ns0:c>
      <ns0:c r="H2820">
        <ns0:f>IFERROR(IF(AND(AH!$E$4="Bloomberg",AH!$P$10=1,ISNUMBER($A2820),$A2820&lt;=AH!$P$17),AH!$P$7-1+MATCH($A2820,INDEX('AH History'!$A$1:$A$18046,AH!$P$7):INDEX('AH History'!$A$1:$A$18046,AH!$P$7+AH!$P$8-1),0),0),0)</ns0:f>
        <ns0:v/>
      </ns0:c>
      <ns0:c r="I2820">
        <ns0:f>IF($H2820=0,0,IFERROR(IF(AND(ABS($C2820-INDEX('AH History'!$B$1:$B$18046,$H2820))&lt;=MAX(0.005,ABS(INDEX('AH History'!$B$1:$B$18046,$H2820))*0.00005),ABS($D2820-INDEX('AH History'!$C$1:$C$18046,$H2820))&lt;=MAX(0.005,ABS(INDEX('AH History'!$C$1:$C$18046,$H2820))*0.00005),ABS($E2820-INDEX('AH History'!$D$1:$D$18046,$H2820))&lt;=0.00005,$F2820=INDEX('AH History'!$E$1:$E$18046,$H2820),$G2820=INDEX('AH History'!$F$1:$F$18046,$H2820)),1,-1),-1))</ns0:f>
        <ns0:v/>
      </ns0:c>
    </ns0:row>
    <ns0:row r="2821">
      <ns0:c r="A2821" s="215">
        <ns0:f>IF(OR(AH!$P$3=0,2816+1&gt;AH!$P$11,AND(AH!$E$4&lt;&gt;"Stored",AH!$P$10&lt;&gt;1)),"",IFERROR(IF(AND(AH!$P$21=1,2816+1=AH!$P$11),TODAY(),IF(AH!$P$10=1,INDEX('Live History'!$A$5:$A$3004,AH!$P$13+2816),INDEX('AH History'!$A$1:$A$18046,AH!$P$7+2816))),""))</ns0:f>
        <ns0:v/>
      </ns0:c>
      <ns0:c r="B2821" s="219">
        <ns0:f>IFERROR(IF(AND(AH!$P$9&lt;&gt;1,$C2821&gt;0,$D2821&gt;0,$E2821&gt;0,$F2821&gt;0,$G2821&gt;0,$F2821&lt;=$A2821,$G2821&lt;=$A2821,$A2821-$F2821&lt;=10,$A2821-$G2821&lt;=5),$D2821*$E2821/$C2821-1,NA()),NA())</ns0:f>
        <ns0:v/>
      </ns0:c>
      <ns0:c r="C2821">
        <ns0:f>IFERROR(IF(ISNUMBER($A2821),IF(AND(AH!$P$10=1,AH!$P$12=1,$A2821=TODAY()),AH!$P$19,IF(AH!$P$10=1,INDEX('Live History'!$B$5:$B$3004,AH!$P$13+2816),INDEX('AH History'!$B$1:$B$18046,AH!$P$7+2816))),NA()),NA())</ns0:f>
        <ns0:v/>
      </ns0:c>
      <ns0:c r="D2821">
        <ns0:f>IFERROR(IF(ISNUMBER($A2821),IF(AND(AH!$P$10=1,AH!$P$12=1,$A2821=TODAY()),AH!$P$18,IF(AH!$P$10=1,INDEX('Live History'!$E$5:$E$3004,MATCH($A2821,'Live History'!$D$5:$D$3004,1)),INDEX('AH History'!$C$1:$C$18046,AH!$P$7+2816))),NA()),NA())</ns0:f>
        <ns0:v/>
      </ns0:c>
      <ns0:c r="E2821">
        <ns0:f>IFERROR(IF(ISNUMBER($A2821),IF(AND(AH!$P$10=1,AH!$P$12=1,$A2821=TODAY()),AH!$P$20,IF(AH!$P$10=1,INDEX('Live History'!$H$5:$H$3004,MATCH($A2821,'Live History'!$G$5:$G$3004,1)),INDEX('AH History'!$D$1:$D$18046,AH!$P$7+2816))),NA()),NA())</ns0:f>
        <ns0:v/>
      </ns0:c>
      <ns0:c r="F2821">
        <ns0:f>IFERROR(IF(ISNUMBER($A2821),IF(AND(AH!$P$10=1,AH!$P$12=1,$A2821=TODAY()),IF(AND(AH!$P$10=1,AH!$P$12=1,$A2821=TODAY()),TODAY(),NA()),IF(AH!$P$10=1,INDEX('Live History'!$D$5:$D$3004,MATCH($A2821,'Live History'!$D$5:$D$3004,1)),INDEX('AH History'!$E$1:$E$18046,AH!$P$7+2816))),NA()),NA())</ns0:f>
        <ns0:v/>
      </ns0:c>
      <ns0:c r="G2821">
        <ns0:f>IFERROR(IF(ISNUMBER($A2821),IF(AND(AH!$P$10=1,AH!$P$12=1,$A2821=TODAY()),IF(AND(AH!$P$10=1,AH!$P$12=1,$A2821=TODAY()),TODAY(),NA()),IF(AH!$P$10=1,INDEX('Live History'!$G$5:$G$3004,MATCH($A2821,'Live History'!$G$5:$G$3004,1)),INDEX('AH History'!$F$1:$F$18046,AH!$P$7+2816))),NA()),NA())</ns0:f>
        <ns0:v/>
      </ns0:c>
      <ns0:c r="H2821">
        <ns0:f>IFERROR(IF(AND(AH!$E$4="Bloomberg",AH!$P$10=1,ISNUMBER($A2821),$A2821&lt;=AH!$P$17),AH!$P$7-1+MATCH($A2821,INDEX('AH History'!$A$1:$A$18046,AH!$P$7):INDEX('AH History'!$A$1:$A$18046,AH!$P$7+AH!$P$8-1),0),0),0)</ns0:f>
        <ns0:v/>
      </ns0:c>
      <ns0:c r="I2821">
        <ns0:f>IF($H2821=0,0,IFERROR(IF(AND(ABS($C2821-INDEX('AH History'!$B$1:$B$18046,$H2821))&lt;=MAX(0.005,ABS(INDEX('AH History'!$B$1:$B$18046,$H2821))*0.00005),ABS($D2821-INDEX('AH History'!$C$1:$C$18046,$H2821))&lt;=MAX(0.005,ABS(INDEX('AH History'!$C$1:$C$18046,$H2821))*0.00005),ABS($E2821-INDEX('AH History'!$D$1:$D$18046,$H2821))&lt;=0.00005,$F2821=INDEX('AH History'!$E$1:$E$18046,$H2821),$G2821=INDEX('AH History'!$F$1:$F$18046,$H2821)),1,-1),-1))</ns0:f>
        <ns0:v/>
      </ns0:c>
    </ns0:row>
    <ns0:row r="2822">
      <ns0:c r="A2822" s="215">
        <ns0:f>IF(OR(AH!$P$3=0,2817+1&gt;AH!$P$11,AND(AH!$E$4&lt;&gt;"Stored",AH!$P$10&lt;&gt;1)),"",IFERROR(IF(AND(AH!$P$21=1,2817+1=AH!$P$11),TODAY(),IF(AH!$P$10=1,INDEX('Live History'!$A$5:$A$3004,AH!$P$13+2817),INDEX('AH History'!$A$1:$A$18046,AH!$P$7+2817))),""))</ns0:f>
        <ns0:v/>
      </ns0:c>
      <ns0:c r="B2822" s="219">
        <ns0:f>IFERROR(IF(AND(AH!$P$9&lt;&gt;1,$C2822&gt;0,$D2822&gt;0,$E2822&gt;0,$F2822&gt;0,$G2822&gt;0,$F2822&lt;=$A2822,$G2822&lt;=$A2822,$A2822-$F2822&lt;=10,$A2822-$G2822&lt;=5),$D2822*$E2822/$C2822-1,NA()),NA())</ns0:f>
        <ns0:v/>
      </ns0:c>
      <ns0:c r="C2822">
        <ns0:f>IFERROR(IF(ISNUMBER($A2822),IF(AND(AH!$P$10=1,AH!$P$12=1,$A2822=TODAY()),AH!$P$19,IF(AH!$P$10=1,INDEX('Live History'!$B$5:$B$3004,AH!$P$13+2817),INDEX('AH History'!$B$1:$B$18046,AH!$P$7+2817))),NA()),NA())</ns0:f>
        <ns0:v/>
      </ns0:c>
      <ns0:c r="D2822">
        <ns0:f>IFERROR(IF(ISNUMBER($A2822),IF(AND(AH!$P$10=1,AH!$P$12=1,$A2822=TODAY()),AH!$P$18,IF(AH!$P$10=1,INDEX('Live History'!$E$5:$E$3004,MATCH($A2822,'Live History'!$D$5:$D$3004,1)),INDEX('AH History'!$C$1:$C$18046,AH!$P$7+2817))),NA()),NA())</ns0:f>
        <ns0:v/>
      </ns0:c>
      <ns0:c r="E2822">
        <ns0:f>IFERROR(IF(ISNUMBER($A2822),IF(AND(AH!$P$10=1,AH!$P$12=1,$A2822=TODAY()),AH!$P$20,IF(AH!$P$10=1,INDEX('Live History'!$H$5:$H$3004,MATCH($A2822,'Live History'!$G$5:$G$3004,1)),INDEX('AH History'!$D$1:$D$18046,AH!$P$7+2817))),NA()),NA())</ns0:f>
        <ns0:v/>
      </ns0:c>
      <ns0:c r="F2822">
        <ns0:f>IFERROR(IF(ISNUMBER($A2822),IF(AND(AH!$P$10=1,AH!$P$12=1,$A2822=TODAY()),IF(AND(AH!$P$10=1,AH!$P$12=1,$A2822=TODAY()),TODAY(),NA()),IF(AH!$P$10=1,INDEX('Live History'!$D$5:$D$3004,MATCH($A2822,'Live History'!$D$5:$D$3004,1)),INDEX('AH History'!$E$1:$E$18046,AH!$P$7+2817))),NA()),NA())</ns0:f>
        <ns0:v/>
      </ns0:c>
      <ns0:c r="G2822">
        <ns0:f>IFERROR(IF(ISNUMBER($A2822),IF(AND(AH!$P$10=1,AH!$P$12=1,$A2822=TODAY()),IF(AND(AH!$P$10=1,AH!$P$12=1,$A2822=TODAY()),TODAY(),NA()),IF(AH!$P$10=1,INDEX('Live History'!$G$5:$G$3004,MATCH($A2822,'Live History'!$G$5:$G$3004,1)),INDEX('AH History'!$F$1:$F$18046,AH!$P$7+2817))),NA()),NA())</ns0:f>
        <ns0:v/>
      </ns0:c>
      <ns0:c r="H2822">
        <ns0:f>IFERROR(IF(AND(AH!$E$4="Bloomberg",AH!$P$10=1,ISNUMBER($A2822),$A2822&lt;=AH!$P$17),AH!$P$7-1+MATCH($A2822,INDEX('AH History'!$A$1:$A$18046,AH!$P$7):INDEX('AH History'!$A$1:$A$18046,AH!$P$7+AH!$P$8-1),0),0),0)</ns0:f>
        <ns0:v/>
      </ns0:c>
      <ns0:c r="I2822">
        <ns0:f>IF($H2822=0,0,IFERROR(IF(AND(ABS($C2822-INDEX('AH History'!$B$1:$B$18046,$H2822))&lt;=MAX(0.005,ABS(INDEX('AH History'!$B$1:$B$18046,$H2822))*0.00005),ABS($D2822-INDEX('AH History'!$C$1:$C$18046,$H2822))&lt;=MAX(0.005,ABS(INDEX('AH History'!$C$1:$C$18046,$H2822))*0.00005),ABS($E2822-INDEX('AH History'!$D$1:$D$18046,$H2822))&lt;=0.00005,$F2822=INDEX('AH History'!$E$1:$E$18046,$H2822),$G2822=INDEX('AH History'!$F$1:$F$18046,$H2822)),1,-1),-1))</ns0:f>
        <ns0:v/>
      </ns0:c>
    </ns0:row>
    <ns0:row r="2823">
      <ns0:c r="A2823" s="215">
        <ns0:f>IF(OR(AH!$P$3=0,2818+1&gt;AH!$P$11,AND(AH!$E$4&lt;&gt;"Stored",AH!$P$10&lt;&gt;1)),"",IFERROR(IF(AND(AH!$P$21=1,2818+1=AH!$P$11),TODAY(),IF(AH!$P$10=1,INDEX('Live History'!$A$5:$A$3004,AH!$P$13+2818),INDEX('AH History'!$A$1:$A$18046,AH!$P$7+2818))),""))</ns0:f>
        <ns0:v/>
      </ns0:c>
      <ns0:c r="B2823" s="219">
        <ns0:f>IFERROR(IF(AND(AH!$P$9&lt;&gt;1,$C2823&gt;0,$D2823&gt;0,$E2823&gt;0,$F2823&gt;0,$G2823&gt;0,$F2823&lt;=$A2823,$G2823&lt;=$A2823,$A2823-$F2823&lt;=10,$A2823-$G2823&lt;=5),$D2823*$E2823/$C2823-1,NA()),NA())</ns0:f>
        <ns0:v/>
      </ns0:c>
      <ns0:c r="C2823">
        <ns0:f>IFERROR(IF(ISNUMBER($A2823),IF(AND(AH!$P$10=1,AH!$P$12=1,$A2823=TODAY()),AH!$P$19,IF(AH!$P$10=1,INDEX('Live History'!$B$5:$B$3004,AH!$P$13+2818),INDEX('AH History'!$B$1:$B$18046,AH!$P$7+2818))),NA()),NA())</ns0:f>
        <ns0:v/>
      </ns0:c>
      <ns0:c r="D2823">
        <ns0:f>IFERROR(IF(ISNUMBER($A2823),IF(AND(AH!$P$10=1,AH!$P$12=1,$A2823=TODAY()),AH!$P$18,IF(AH!$P$10=1,INDEX('Live History'!$E$5:$E$3004,MATCH($A2823,'Live History'!$D$5:$D$3004,1)),INDEX('AH History'!$C$1:$C$18046,AH!$P$7+2818))),NA()),NA())</ns0:f>
        <ns0:v/>
      </ns0:c>
      <ns0:c r="E2823">
        <ns0:f>IFERROR(IF(ISNUMBER($A2823),IF(AND(AH!$P$10=1,AH!$P$12=1,$A2823=TODAY()),AH!$P$20,IF(AH!$P$10=1,INDEX('Live History'!$H$5:$H$3004,MATCH($A2823,'Live History'!$G$5:$G$3004,1)),INDEX('AH History'!$D$1:$D$18046,AH!$P$7+2818))),NA()),NA())</ns0:f>
        <ns0:v/>
      </ns0:c>
      <ns0:c r="F2823">
        <ns0:f>IFERROR(IF(ISNUMBER($A2823),IF(AND(AH!$P$10=1,AH!$P$12=1,$A2823=TODAY()),IF(AND(AH!$P$10=1,AH!$P$12=1,$A2823=TODAY()),TODAY(),NA()),IF(AH!$P$10=1,INDEX('Live History'!$D$5:$D$3004,MATCH($A2823,'Live History'!$D$5:$D$3004,1)),INDEX('AH History'!$E$1:$E$18046,AH!$P$7+2818))),NA()),NA())</ns0:f>
        <ns0:v/>
      </ns0:c>
      <ns0:c r="G2823">
        <ns0:f>IFERROR(IF(ISNUMBER($A2823),IF(AND(AH!$P$10=1,AH!$P$12=1,$A2823=TODAY()),IF(AND(AH!$P$10=1,AH!$P$12=1,$A2823=TODAY()),TODAY(),NA()),IF(AH!$P$10=1,INDEX('Live History'!$G$5:$G$3004,MATCH($A2823,'Live History'!$G$5:$G$3004,1)),INDEX('AH History'!$F$1:$F$18046,AH!$P$7+2818))),NA()),NA())</ns0:f>
        <ns0:v/>
      </ns0:c>
      <ns0:c r="H2823">
        <ns0:f>IFERROR(IF(AND(AH!$E$4="Bloomberg",AH!$P$10=1,ISNUMBER($A2823),$A2823&lt;=AH!$P$17),AH!$P$7-1+MATCH($A2823,INDEX('AH History'!$A$1:$A$18046,AH!$P$7):INDEX('AH History'!$A$1:$A$18046,AH!$P$7+AH!$P$8-1),0),0),0)</ns0:f>
        <ns0:v/>
      </ns0:c>
      <ns0:c r="I2823">
        <ns0:f>IF($H2823=0,0,IFERROR(IF(AND(ABS($C2823-INDEX('AH History'!$B$1:$B$18046,$H2823))&lt;=MAX(0.005,ABS(INDEX('AH History'!$B$1:$B$18046,$H2823))*0.00005),ABS($D2823-INDEX('AH History'!$C$1:$C$18046,$H2823))&lt;=MAX(0.005,ABS(INDEX('AH History'!$C$1:$C$18046,$H2823))*0.00005),ABS($E2823-INDEX('AH History'!$D$1:$D$18046,$H2823))&lt;=0.00005,$F2823=INDEX('AH History'!$E$1:$E$18046,$H2823),$G2823=INDEX('AH History'!$F$1:$F$18046,$H2823)),1,-1),-1))</ns0:f>
        <ns0:v/>
      </ns0:c>
    </ns0:row>
    <ns0:row r="2824">
      <ns0:c r="A2824" s="215">
        <ns0:f>IF(OR(AH!$P$3=0,2819+1&gt;AH!$P$11,AND(AH!$E$4&lt;&gt;"Stored",AH!$P$10&lt;&gt;1)),"",IFERROR(IF(AND(AH!$P$21=1,2819+1=AH!$P$11),TODAY(),IF(AH!$P$10=1,INDEX('Live History'!$A$5:$A$3004,AH!$P$13+2819),INDEX('AH History'!$A$1:$A$18046,AH!$P$7+2819))),""))</ns0:f>
        <ns0:v/>
      </ns0:c>
      <ns0:c r="B2824" s="219">
        <ns0:f>IFERROR(IF(AND(AH!$P$9&lt;&gt;1,$C2824&gt;0,$D2824&gt;0,$E2824&gt;0,$F2824&gt;0,$G2824&gt;0,$F2824&lt;=$A2824,$G2824&lt;=$A2824,$A2824-$F2824&lt;=10,$A2824-$G2824&lt;=5),$D2824*$E2824/$C2824-1,NA()),NA())</ns0:f>
        <ns0:v/>
      </ns0:c>
      <ns0:c r="C2824">
        <ns0:f>IFERROR(IF(ISNUMBER($A2824),IF(AND(AH!$P$10=1,AH!$P$12=1,$A2824=TODAY()),AH!$P$19,IF(AH!$P$10=1,INDEX('Live History'!$B$5:$B$3004,AH!$P$13+2819),INDEX('AH History'!$B$1:$B$18046,AH!$P$7+2819))),NA()),NA())</ns0:f>
        <ns0:v/>
      </ns0:c>
      <ns0:c r="D2824">
        <ns0:f>IFERROR(IF(ISNUMBER($A2824),IF(AND(AH!$P$10=1,AH!$P$12=1,$A2824=TODAY()),AH!$P$18,IF(AH!$P$10=1,INDEX('Live History'!$E$5:$E$3004,MATCH($A2824,'Live History'!$D$5:$D$3004,1)),INDEX('AH History'!$C$1:$C$18046,AH!$P$7+2819))),NA()),NA())</ns0:f>
        <ns0:v/>
      </ns0:c>
      <ns0:c r="E2824">
        <ns0:f>IFERROR(IF(ISNUMBER($A2824),IF(AND(AH!$P$10=1,AH!$P$12=1,$A2824=TODAY()),AH!$P$20,IF(AH!$P$10=1,INDEX('Live History'!$H$5:$H$3004,MATCH($A2824,'Live History'!$G$5:$G$3004,1)),INDEX('AH History'!$D$1:$D$18046,AH!$P$7+2819))),NA()),NA())</ns0:f>
        <ns0:v/>
      </ns0:c>
      <ns0:c r="F2824">
        <ns0:f>IFERROR(IF(ISNUMBER($A2824),IF(AND(AH!$P$10=1,AH!$P$12=1,$A2824=TODAY()),IF(AND(AH!$P$10=1,AH!$P$12=1,$A2824=TODAY()),TODAY(),NA()),IF(AH!$P$10=1,INDEX('Live History'!$D$5:$D$3004,MATCH($A2824,'Live History'!$D$5:$D$3004,1)),INDEX('AH History'!$E$1:$E$18046,AH!$P$7+2819))),NA()),NA())</ns0:f>
        <ns0:v/>
      </ns0:c>
      <ns0:c r="G2824">
        <ns0:f>IFERROR(IF(ISNUMBER($A2824),IF(AND(AH!$P$10=1,AH!$P$12=1,$A2824=TODAY()),IF(AND(AH!$P$10=1,AH!$P$12=1,$A2824=TODAY()),TODAY(),NA()),IF(AH!$P$10=1,INDEX('Live History'!$G$5:$G$3004,MATCH($A2824,'Live History'!$G$5:$G$3004,1)),INDEX('AH History'!$F$1:$F$18046,AH!$P$7+2819))),NA()),NA())</ns0:f>
        <ns0:v/>
      </ns0:c>
      <ns0:c r="H2824">
        <ns0:f>IFERROR(IF(AND(AH!$E$4="Bloomberg",AH!$P$10=1,ISNUMBER($A2824),$A2824&lt;=AH!$P$17),AH!$P$7-1+MATCH($A2824,INDEX('AH History'!$A$1:$A$18046,AH!$P$7):INDEX('AH History'!$A$1:$A$18046,AH!$P$7+AH!$P$8-1),0),0),0)</ns0:f>
        <ns0:v/>
      </ns0:c>
      <ns0:c r="I2824">
        <ns0:f>IF($H2824=0,0,IFERROR(IF(AND(ABS($C2824-INDEX('AH History'!$B$1:$B$18046,$H2824))&lt;=MAX(0.005,ABS(INDEX('AH History'!$B$1:$B$18046,$H2824))*0.00005),ABS($D2824-INDEX('AH History'!$C$1:$C$18046,$H2824))&lt;=MAX(0.005,ABS(INDEX('AH History'!$C$1:$C$18046,$H2824))*0.00005),ABS($E2824-INDEX('AH History'!$D$1:$D$18046,$H2824))&lt;=0.00005,$F2824=INDEX('AH History'!$E$1:$E$18046,$H2824),$G2824=INDEX('AH History'!$F$1:$F$18046,$H2824)),1,-1),-1))</ns0:f>
        <ns0:v/>
      </ns0:c>
    </ns0:row>
    <ns0:row r="2825">
      <ns0:c r="A2825" s="215">
        <ns0:f>IF(OR(AH!$P$3=0,2820+1&gt;AH!$P$11,AND(AH!$E$4&lt;&gt;"Stored",AH!$P$10&lt;&gt;1)),"",IFERROR(IF(AND(AH!$P$21=1,2820+1=AH!$P$11),TODAY(),IF(AH!$P$10=1,INDEX('Live History'!$A$5:$A$3004,AH!$P$13+2820),INDEX('AH History'!$A$1:$A$18046,AH!$P$7+2820))),""))</ns0:f>
        <ns0:v/>
      </ns0:c>
      <ns0:c r="B2825" s="219">
        <ns0:f>IFERROR(IF(AND(AH!$P$9&lt;&gt;1,$C2825&gt;0,$D2825&gt;0,$E2825&gt;0,$F2825&gt;0,$G2825&gt;0,$F2825&lt;=$A2825,$G2825&lt;=$A2825,$A2825-$F2825&lt;=10,$A2825-$G2825&lt;=5),$D2825*$E2825/$C2825-1,NA()),NA())</ns0:f>
        <ns0:v/>
      </ns0:c>
      <ns0:c r="C2825">
        <ns0:f>IFERROR(IF(ISNUMBER($A2825),IF(AND(AH!$P$10=1,AH!$P$12=1,$A2825=TODAY()),AH!$P$19,IF(AH!$P$10=1,INDEX('Live History'!$B$5:$B$3004,AH!$P$13+2820),INDEX('AH History'!$B$1:$B$18046,AH!$P$7+2820))),NA()),NA())</ns0:f>
        <ns0:v/>
      </ns0:c>
      <ns0:c r="D2825">
        <ns0:f>IFERROR(IF(ISNUMBER($A2825),IF(AND(AH!$P$10=1,AH!$P$12=1,$A2825=TODAY()),AH!$P$18,IF(AH!$P$10=1,INDEX('Live History'!$E$5:$E$3004,MATCH($A2825,'Live History'!$D$5:$D$3004,1)),INDEX('AH History'!$C$1:$C$18046,AH!$P$7+2820))),NA()),NA())</ns0:f>
        <ns0:v/>
      </ns0:c>
      <ns0:c r="E2825">
        <ns0:f>IFERROR(IF(ISNUMBER($A2825),IF(AND(AH!$P$10=1,AH!$P$12=1,$A2825=TODAY()),AH!$P$20,IF(AH!$P$10=1,INDEX('Live History'!$H$5:$H$3004,MATCH($A2825,'Live History'!$G$5:$G$3004,1)),INDEX('AH History'!$D$1:$D$18046,AH!$P$7+2820))),NA()),NA())</ns0:f>
        <ns0:v/>
      </ns0:c>
      <ns0:c r="F2825">
        <ns0:f>IFERROR(IF(ISNUMBER($A2825),IF(AND(AH!$P$10=1,AH!$P$12=1,$A2825=TODAY()),IF(AND(AH!$P$10=1,AH!$P$12=1,$A2825=TODAY()),TODAY(),NA()),IF(AH!$P$10=1,INDEX('Live History'!$D$5:$D$3004,MATCH($A2825,'Live History'!$D$5:$D$3004,1)),INDEX('AH History'!$E$1:$E$18046,AH!$P$7+2820))),NA()),NA())</ns0:f>
        <ns0:v/>
      </ns0:c>
      <ns0:c r="G2825">
        <ns0:f>IFERROR(IF(ISNUMBER($A2825),IF(AND(AH!$P$10=1,AH!$P$12=1,$A2825=TODAY()),IF(AND(AH!$P$10=1,AH!$P$12=1,$A2825=TODAY()),TODAY(),NA()),IF(AH!$P$10=1,INDEX('Live History'!$G$5:$G$3004,MATCH($A2825,'Live History'!$G$5:$G$3004,1)),INDEX('AH History'!$F$1:$F$18046,AH!$P$7+2820))),NA()),NA())</ns0:f>
        <ns0:v/>
      </ns0:c>
      <ns0:c r="H2825">
        <ns0:f>IFERROR(IF(AND(AH!$E$4="Bloomberg",AH!$P$10=1,ISNUMBER($A2825),$A2825&lt;=AH!$P$17),AH!$P$7-1+MATCH($A2825,INDEX('AH History'!$A$1:$A$18046,AH!$P$7):INDEX('AH History'!$A$1:$A$18046,AH!$P$7+AH!$P$8-1),0),0),0)</ns0:f>
        <ns0:v/>
      </ns0:c>
      <ns0:c r="I2825">
        <ns0:f>IF($H2825=0,0,IFERROR(IF(AND(ABS($C2825-INDEX('AH History'!$B$1:$B$18046,$H2825))&lt;=MAX(0.005,ABS(INDEX('AH History'!$B$1:$B$18046,$H2825))*0.00005),ABS($D2825-INDEX('AH History'!$C$1:$C$18046,$H2825))&lt;=MAX(0.005,ABS(INDEX('AH History'!$C$1:$C$18046,$H2825))*0.00005),ABS($E2825-INDEX('AH History'!$D$1:$D$18046,$H2825))&lt;=0.00005,$F2825=INDEX('AH History'!$E$1:$E$18046,$H2825),$G2825=INDEX('AH History'!$F$1:$F$18046,$H2825)),1,-1),-1))</ns0:f>
        <ns0:v/>
      </ns0:c>
    </ns0:row>
    <ns0:row r="2826">
      <ns0:c r="A2826" s="215">
        <ns0:f>IF(OR(AH!$P$3=0,2821+1&gt;AH!$P$11,AND(AH!$E$4&lt;&gt;"Stored",AH!$P$10&lt;&gt;1)),"",IFERROR(IF(AND(AH!$P$21=1,2821+1=AH!$P$11),TODAY(),IF(AH!$P$10=1,INDEX('Live History'!$A$5:$A$3004,AH!$P$13+2821),INDEX('AH History'!$A$1:$A$18046,AH!$P$7+2821))),""))</ns0:f>
        <ns0:v/>
      </ns0:c>
      <ns0:c r="B2826" s="219">
        <ns0:f>IFERROR(IF(AND(AH!$P$9&lt;&gt;1,$C2826&gt;0,$D2826&gt;0,$E2826&gt;0,$F2826&gt;0,$G2826&gt;0,$F2826&lt;=$A2826,$G2826&lt;=$A2826,$A2826-$F2826&lt;=10,$A2826-$G2826&lt;=5),$D2826*$E2826/$C2826-1,NA()),NA())</ns0:f>
        <ns0:v/>
      </ns0:c>
      <ns0:c r="C2826">
        <ns0:f>IFERROR(IF(ISNUMBER($A2826),IF(AND(AH!$P$10=1,AH!$P$12=1,$A2826=TODAY()),AH!$P$19,IF(AH!$P$10=1,INDEX('Live History'!$B$5:$B$3004,AH!$P$13+2821),INDEX('AH History'!$B$1:$B$18046,AH!$P$7+2821))),NA()),NA())</ns0:f>
        <ns0:v/>
      </ns0:c>
      <ns0:c r="D2826">
        <ns0:f>IFERROR(IF(ISNUMBER($A2826),IF(AND(AH!$P$10=1,AH!$P$12=1,$A2826=TODAY()),AH!$P$18,IF(AH!$P$10=1,INDEX('Live History'!$E$5:$E$3004,MATCH($A2826,'Live History'!$D$5:$D$3004,1)),INDEX('AH History'!$C$1:$C$18046,AH!$P$7+2821))),NA()),NA())</ns0:f>
        <ns0:v/>
      </ns0:c>
      <ns0:c r="E2826">
        <ns0:f>IFERROR(IF(ISNUMBER($A2826),IF(AND(AH!$P$10=1,AH!$P$12=1,$A2826=TODAY()),AH!$P$20,IF(AH!$P$10=1,INDEX('Live History'!$H$5:$H$3004,MATCH($A2826,'Live History'!$G$5:$G$3004,1)),INDEX('AH History'!$D$1:$D$18046,AH!$P$7+2821))),NA()),NA())</ns0:f>
        <ns0:v/>
      </ns0:c>
      <ns0:c r="F2826">
        <ns0:f>IFERROR(IF(ISNUMBER($A2826),IF(AND(AH!$P$10=1,AH!$P$12=1,$A2826=TODAY()),IF(AND(AH!$P$10=1,AH!$P$12=1,$A2826=TODAY()),TODAY(),NA()),IF(AH!$P$10=1,INDEX('Live History'!$D$5:$D$3004,MATCH($A2826,'Live History'!$D$5:$D$3004,1)),INDEX('AH History'!$E$1:$E$18046,AH!$P$7+2821))),NA()),NA())</ns0:f>
        <ns0:v/>
      </ns0:c>
      <ns0:c r="G2826">
        <ns0:f>IFERROR(IF(ISNUMBER($A2826),IF(AND(AH!$P$10=1,AH!$P$12=1,$A2826=TODAY()),IF(AND(AH!$P$10=1,AH!$P$12=1,$A2826=TODAY()),TODAY(),NA()),IF(AH!$P$10=1,INDEX('Live History'!$G$5:$G$3004,MATCH($A2826,'Live History'!$G$5:$G$3004,1)),INDEX('AH History'!$F$1:$F$18046,AH!$P$7+2821))),NA()),NA())</ns0:f>
        <ns0:v/>
      </ns0:c>
      <ns0:c r="H2826">
        <ns0:f>IFERROR(IF(AND(AH!$E$4="Bloomberg",AH!$P$10=1,ISNUMBER($A2826),$A2826&lt;=AH!$P$17),AH!$P$7-1+MATCH($A2826,INDEX('AH History'!$A$1:$A$18046,AH!$P$7):INDEX('AH History'!$A$1:$A$18046,AH!$P$7+AH!$P$8-1),0),0),0)</ns0:f>
        <ns0:v/>
      </ns0:c>
      <ns0:c r="I2826">
        <ns0:f>IF($H2826=0,0,IFERROR(IF(AND(ABS($C2826-INDEX('AH History'!$B$1:$B$18046,$H2826))&lt;=MAX(0.005,ABS(INDEX('AH History'!$B$1:$B$18046,$H2826))*0.00005),ABS($D2826-INDEX('AH History'!$C$1:$C$18046,$H2826))&lt;=MAX(0.005,ABS(INDEX('AH History'!$C$1:$C$18046,$H2826))*0.00005),ABS($E2826-INDEX('AH History'!$D$1:$D$18046,$H2826))&lt;=0.00005,$F2826=INDEX('AH History'!$E$1:$E$18046,$H2826),$G2826=INDEX('AH History'!$F$1:$F$18046,$H2826)),1,-1),-1))</ns0:f>
        <ns0:v/>
      </ns0:c>
    </ns0:row>
    <ns0:row r="2827">
      <ns0:c r="A2827" s="215">
        <ns0:f>IF(OR(AH!$P$3=0,2822+1&gt;AH!$P$11,AND(AH!$E$4&lt;&gt;"Stored",AH!$P$10&lt;&gt;1)),"",IFERROR(IF(AND(AH!$P$21=1,2822+1=AH!$P$11),TODAY(),IF(AH!$P$10=1,INDEX('Live History'!$A$5:$A$3004,AH!$P$13+2822),INDEX('AH History'!$A$1:$A$18046,AH!$P$7+2822))),""))</ns0:f>
        <ns0:v/>
      </ns0:c>
      <ns0:c r="B2827" s="219">
        <ns0:f>IFERROR(IF(AND(AH!$P$9&lt;&gt;1,$C2827&gt;0,$D2827&gt;0,$E2827&gt;0,$F2827&gt;0,$G2827&gt;0,$F2827&lt;=$A2827,$G2827&lt;=$A2827,$A2827-$F2827&lt;=10,$A2827-$G2827&lt;=5),$D2827*$E2827/$C2827-1,NA()),NA())</ns0:f>
        <ns0:v/>
      </ns0:c>
      <ns0:c r="C2827">
        <ns0:f>IFERROR(IF(ISNUMBER($A2827),IF(AND(AH!$P$10=1,AH!$P$12=1,$A2827=TODAY()),AH!$P$19,IF(AH!$P$10=1,INDEX('Live History'!$B$5:$B$3004,AH!$P$13+2822),INDEX('AH History'!$B$1:$B$18046,AH!$P$7+2822))),NA()),NA())</ns0:f>
        <ns0:v/>
      </ns0:c>
      <ns0:c r="D2827">
        <ns0:f>IFERROR(IF(ISNUMBER($A2827),IF(AND(AH!$P$10=1,AH!$P$12=1,$A2827=TODAY()),AH!$P$18,IF(AH!$P$10=1,INDEX('Live History'!$E$5:$E$3004,MATCH($A2827,'Live History'!$D$5:$D$3004,1)),INDEX('AH History'!$C$1:$C$18046,AH!$P$7+2822))),NA()),NA())</ns0:f>
        <ns0:v/>
      </ns0:c>
      <ns0:c r="E2827">
        <ns0:f>IFERROR(IF(ISNUMBER($A2827),IF(AND(AH!$P$10=1,AH!$P$12=1,$A2827=TODAY()),AH!$P$20,IF(AH!$P$10=1,INDEX('Live History'!$H$5:$H$3004,MATCH($A2827,'Live History'!$G$5:$G$3004,1)),INDEX('AH History'!$D$1:$D$18046,AH!$P$7+2822))),NA()),NA())</ns0:f>
        <ns0:v/>
      </ns0:c>
      <ns0:c r="F2827">
        <ns0:f>IFERROR(IF(ISNUMBER($A2827),IF(AND(AH!$P$10=1,AH!$P$12=1,$A2827=TODAY()),IF(AND(AH!$P$10=1,AH!$P$12=1,$A2827=TODAY()),TODAY(),NA()),IF(AH!$P$10=1,INDEX('Live History'!$D$5:$D$3004,MATCH($A2827,'Live History'!$D$5:$D$3004,1)),INDEX('AH History'!$E$1:$E$18046,AH!$P$7+2822))),NA()),NA())</ns0:f>
        <ns0:v/>
      </ns0:c>
      <ns0:c r="G2827">
        <ns0:f>IFERROR(IF(ISNUMBER($A2827),IF(AND(AH!$P$10=1,AH!$P$12=1,$A2827=TODAY()),IF(AND(AH!$P$10=1,AH!$P$12=1,$A2827=TODAY()),TODAY(),NA()),IF(AH!$P$10=1,INDEX('Live History'!$G$5:$G$3004,MATCH($A2827,'Live History'!$G$5:$G$3004,1)),INDEX('AH History'!$F$1:$F$18046,AH!$P$7+2822))),NA()),NA())</ns0:f>
        <ns0:v/>
      </ns0:c>
      <ns0:c r="H2827">
        <ns0:f>IFERROR(IF(AND(AH!$E$4="Bloomberg",AH!$P$10=1,ISNUMBER($A2827),$A2827&lt;=AH!$P$17),AH!$P$7-1+MATCH($A2827,INDEX('AH History'!$A$1:$A$18046,AH!$P$7):INDEX('AH History'!$A$1:$A$18046,AH!$P$7+AH!$P$8-1),0),0),0)</ns0:f>
        <ns0:v/>
      </ns0:c>
      <ns0:c r="I2827">
        <ns0:f>IF($H2827=0,0,IFERROR(IF(AND(ABS($C2827-INDEX('AH History'!$B$1:$B$18046,$H2827))&lt;=MAX(0.005,ABS(INDEX('AH History'!$B$1:$B$18046,$H2827))*0.00005),ABS($D2827-INDEX('AH History'!$C$1:$C$18046,$H2827))&lt;=MAX(0.005,ABS(INDEX('AH History'!$C$1:$C$18046,$H2827))*0.00005),ABS($E2827-INDEX('AH History'!$D$1:$D$18046,$H2827))&lt;=0.00005,$F2827=INDEX('AH History'!$E$1:$E$18046,$H2827),$G2827=INDEX('AH History'!$F$1:$F$18046,$H2827)),1,-1),-1))</ns0:f>
        <ns0:v/>
      </ns0:c>
    </ns0:row>
    <ns0:row r="2828">
      <ns0:c r="A2828" s="215">
        <ns0:f>IF(OR(AH!$P$3=0,2823+1&gt;AH!$P$11,AND(AH!$E$4&lt;&gt;"Stored",AH!$P$10&lt;&gt;1)),"",IFERROR(IF(AND(AH!$P$21=1,2823+1=AH!$P$11),TODAY(),IF(AH!$P$10=1,INDEX('Live History'!$A$5:$A$3004,AH!$P$13+2823),INDEX('AH History'!$A$1:$A$18046,AH!$P$7+2823))),""))</ns0:f>
        <ns0:v/>
      </ns0:c>
      <ns0:c r="B2828" s="219">
        <ns0:f>IFERROR(IF(AND(AH!$P$9&lt;&gt;1,$C2828&gt;0,$D2828&gt;0,$E2828&gt;0,$F2828&gt;0,$G2828&gt;0,$F2828&lt;=$A2828,$G2828&lt;=$A2828,$A2828-$F2828&lt;=10,$A2828-$G2828&lt;=5),$D2828*$E2828/$C2828-1,NA()),NA())</ns0:f>
        <ns0:v/>
      </ns0:c>
      <ns0:c r="C2828">
        <ns0:f>IFERROR(IF(ISNUMBER($A2828),IF(AND(AH!$P$10=1,AH!$P$12=1,$A2828=TODAY()),AH!$P$19,IF(AH!$P$10=1,INDEX('Live History'!$B$5:$B$3004,AH!$P$13+2823),INDEX('AH History'!$B$1:$B$18046,AH!$P$7+2823))),NA()),NA())</ns0:f>
        <ns0:v/>
      </ns0:c>
      <ns0:c r="D2828">
        <ns0:f>IFERROR(IF(ISNUMBER($A2828),IF(AND(AH!$P$10=1,AH!$P$12=1,$A2828=TODAY()),AH!$P$18,IF(AH!$P$10=1,INDEX('Live History'!$E$5:$E$3004,MATCH($A2828,'Live History'!$D$5:$D$3004,1)),INDEX('AH History'!$C$1:$C$18046,AH!$P$7+2823))),NA()),NA())</ns0:f>
        <ns0:v/>
      </ns0:c>
      <ns0:c r="E2828">
        <ns0:f>IFERROR(IF(ISNUMBER($A2828),IF(AND(AH!$P$10=1,AH!$P$12=1,$A2828=TODAY()),AH!$P$20,IF(AH!$P$10=1,INDEX('Live History'!$H$5:$H$3004,MATCH($A2828,'Live History'!$G$5:$G$3004,1)),INDEX('AH History'!$D$1:$D$18046,AH!$P$7+2823))),NA()),NA())</ns0:f>
        <ns0:v/>
      </ns0:c>
      <ns0:c r="F2828">
        <ns0:f>IFERROR(IF(ISNUMBER($A2828),IF(AND(AH!$P$10=1,AH!$P$12=1,$A2828=TODAY()),IF(AND(AH!$P$10=1,AH!$P$12=1,$A2828=TODAY()),TODAY(),NA()),IF(AH!$P$10=1,INDEX('Live History'!$D$5:$D$3004,MATCH($A2828,'Live History'!$D$5:$D$3004,1)),INDEX('AH History'!$E$1:$E$18046,AH!$P$7+2823))),NA()),NA())</ns0:f>
        <ns0:v/>
      </ns0:c>
      <ns0:c r="G2828">
        <ns0:f>IFERROR(IF(ISNUMBER($A2828),IF(AND(AH!$P$10=1,AH!$P$12=1,$A2828=TODAY()),IF(AND(AH!$P$10=1,AH!$P$12=1,$A2828=TODAY()),TODAY(),NA()),IF(AH!$P$10=1,INDEX('Live History'!$G$5:$G$3004,MATCH($A2828,'Live History'!$G$5:$G$3004,1)),INDEX('AH History'!$F$1:$F$18046,AH!$P$7+2823))),NA()),NA())</ns0:f>
        <ns0:v/>
      </ns0:c>
      <ns0:c r="H2828">
        <ns0:f>IFERROR(IF(AND(AH!$E$4="Bloomberg",AH!$P$10=1,ISNUMBER($A2828),$A2828&lt;=AH!$P$17),AH!$P$7-1+MATCH($A2828,INDEX('AH History'!$A$1:$A$18046,AH!$P$7):INDEX('AH History'!$A$1:$A$18046,AH!$P$7+AH!$P$8-1),0),0),0)</ns0:f>
        <ns0:v/>
      </ns0:c>
      <ns0:c r="I2828">
        <ns0:f>IF($H2828=0,0,IFERROR(IF(AND(ABS($C2828-INDEX('AH History'!$B$1:$B$18046,$H2828))&lt;=MAX(0.005,ABS(INDEX('AH History'!$B$1:$B$18046,$H2828))*0.00005),ABS($D2828-INDEX('AH History'!$C$1:$C$18046,$H2828))&lt;=MAX(0.005,ABS(INDEX('AH History'!$C$1:$C$18046,$H2828))*0.00005),ABS($E2828-INDEX('AH History'!$D$1:$D$18046,$H2828))&lt;=0.00005,$F2828=INDEX('AH History'!$E$1:$E$18046,$H2828),$G2828=INDEX('AH History'!$F$1:$F$18046,$H2828)),1,-1),-1))</ns0:f>
        <ns0:v/>
      </ns0:c>
    </ns0:row>
    <ns0:row r="2829">
      <ns0:c r="A2829" s="215">
        <ns0:f>IF(OR(AH!$P$3=0,2824+1&gt;AH!$P$11,AND(AH!$E$4&lt;&gt;"Stored",AH!$P$10&lt;&gt;1)),"",IFERROR(IF(AND(AH!$P$21=1,2824+1=AH!$P$11),TODAY(),IF(AH!$P$10=1,INDEX('Live History'!$A$5:$A$3004,AH!$P$13+2824),INDEX('AH History'!$A$1:$A$18046,AH!$P$7+2824))),""))</ns0:f>
        <ns0:v/>
      </ns0:c>
      <ns0:c r="B2829" s="219">
        <ns0:f>IFERROR(IF(AND(AH!$P$9&lt;&gt;1,$C2829&gt;0,$D2829&gt;0,$E2829&gt;0,$F2829&gt;0,$G2829&gt;0,$F2829&lt;=$A2829,$G2829&lt;=$A2829,$A2829-$F2829&lt;=10,$A2829-$G2829&lt;=5),$D2829*$E2829/$C2829-1,NA()),NA())</ns0:f>
        <ns0:v/>
      </ns0:c>
      <ns0:c r="C2829">
        <ns0:f>IFERROR(IF(ISNUMBER($A2829),IF(AND(AH!$P$10=1,AH!$P$12=1,$A2829=TODAY()),AH!$P$19,IF(AH!$P$10=1,INDEX('Live History'!$B$5:$B$3004,AH!$P$13+2824),INDEX('AH History'!$B$1:$B$18046,AH!$P$7+2824))),NA()),NA())</ns0:f>
        <ns0:v/>
      </ns0:c>
      <ns0:c r="D2829">
        <ns0:f>IFERROR(IF(ISNUMBER($A2829),IF(AND(AH!$P$10=1,AH!$P$12=1,$A2829=TODAY()),AH!$P$18,IF(AH!$P$10=1,INDEX('Live History'!$E$5:$E$3004,MATCH($A2829,'Live History'!$D$5:$D$3004,1)),INDEX('AH History'!$C$1:$C$18046,AH!$P$7+2824))),NA()),NA())</ns0:f>
        <ns0:v/>
      </ns0:c>
      <ns0:c r="E2829">
        <ns0:f>IFERROR(IF(ISNUMBER($A2829),IF(AND(AH!$P$10=1,AH!$P$12=1,$A2829=TODAY()),AH!$P$20,IF(AH!$P$10=1,INDEX('Live History'!$H$5:$H$3004,MATCH($A2829,'Live History'!$G$5:$G$3004,1)),INDEX('AH History'!$D$1:$D$18046,AH!$P$7+2824))),NA()),NA())</ns0:f>
        <ns0:v/>
      </ns0:c>
      <ns0:c r="F2829">
        <ns0:f>IFERROR(IF(ISNUMBER($A2829),IF(AND(AH!$P$10=1,AH!$P$12=1,$A2829=TODAY()),IF(AND(AH!$P$10=1,AH!$P$12=1,$A2829=TODAY()),TODAY(),NA()),IF(AH!$P$10=1,INDEX('Live History'!$D$5:$D$3004,MATCH($A2829,'Live History'!$D$5:$D$3004,1)),INDEX('AH History'!$E$1:$E$18046,AH!$P$7+2824))),NA()),NA())</ns0:f>
        <ns0:v/>
      </ns0:c>
      <ns0:c r="G2829">
        <ns0:f>IFERROR(IF(ISNUMBER($A2829),IF(AND(AH!$P$10=1,AH!$P$12=1,$A2829=TODAY()),IF(AND(AH!$P$10=1,AH!$P$12=1,$A2829=TODAY()),TODAY(),NA()),IF(AH!$P$10=1,INDEX('Live History'!$G$5:$G$3004,MATCH($A2829,'Live History'!$G$5:$G$3004,1)),INDEX('AH History'!$F$1:$F$18046,AH!$P$7+2824))),NA()),NA())</ns0:f>
        <ns0:v/>
      </ns0:c>
      <ns0:c r="H2829">
        <ns0:f>IFERROR(IF(AND(AH!$E$4="Bloomberg",AH!$P$10=1,ISNUMBER($A2829),$A2829&lt;=AH!$P$17),AH!$P$7-1+MATCH($A2829,INDEX('AH History'!$A$1:$A$18046,AH!$P$7):INDEX('AH History'!$A$1:$A$18046,AH!$P$7+AH!$P$8-1),0),0),0)</ns0:f>
        <ns0:v/>
      </ns0:c>
      <ns0:c r="I2829">
        <ns0:f>IF($H2829=0,0,IFERROR(IF(AND(ABS($C2829-INDEX('AH History'!$B$1:$B$18046,$H2829))&lt;=MAX(0.005,ABS(INDEX('AH History'!$B$1:$B$18046,$H2829))*0.00005),ABS($D2829-INDEX('AH History'!$C$1:$C$18046,$H2829))&lt;=MAX(0.005,ABS(INDEX('AH History'!$C$1:$C$18046,$H2829))*0.00005),ABS($E2829-INDEX('AH History'!$D$1:$D$18046,$H2829))&lt;=0.00005,$F2829=INDEX('AH History'!$E$1:$E$18046,$H2829),$G2829=INDEX('AH History'!$F$1:$F$18046,$H2829)),1,-1),-1))</ns0:f>
        <ns0:v/>
      </ns0:c>
    </ns0:row>
    <ns0:row r="2830">
      <ns0:c r="A2830" s="215">
        <ns0:f>IF(OR(AH!$P$3=0,2825+1&gt;AH!$P$11,AND(AH!$E$4&lt;&gt;"Stored",AH!$P$10&lt;&gt;1)),"",IFERROR(IF(AND(AH!$P$21=1,2825+1=AH!$P$11),TODAY(),IF(AH!$P$10=1,INDEX('Live History'!$A$5:$A$3004,AH!$P$13+2825),INDEX('AH History'!$A$1:$A$18046,AH!$P$7+2825))),""))</ns0:f>
        <ns0:v/>
      </ns0:c>
      <ns0:c r="B2830" s="219">
        <ns0:f>IFERROR(IF(AND(AH!$P$9&lt;&gt;1,$C2830&gt;0,$D2830&gt;0,$E2830&gt;0,$F2830&gt;0,$G2830&gt;0,$F2830&lt;=$A2830,$G2830&lt;=$A2830,$A2830-$F2830&lt;=10,$A2830-$G2830&lt;=5),$D2830*$E2830/$C2830-1,NA()),NA())</ns0:f>
        <ns0:v/>
      </ns0:c>
      <ns0:c r="C2830">
        <ns0:f>IFERROR(IF(ISNUMBER($A2830),IF(AND(AH!$P$10=1,AH!$P$12=1,$A2830=TODAY()),AH!$P$19,IF(AH!$P$10=1,INDEX('Live History'!$B$5:$B$3004,AH!$P$13+2825),INDEX('AH History'!$B$1:$B$18046,AH!$P$7+2825))),NA()),NA())</ns0:f>
        <ns0:v/>
      </ns0:c>
      <ns0:c r="D2830">
        <ns0:f>IFERROR(IF(ISNUMBER($A2830),IF(AND(AH!$P$10=1,AH!$P$12=1,$A2830=TODAY()),AH!$P$18,IF(AH!$P$10=1,INDEX('Live History'!$E$5:$E$3004,MATCH($A2830,'Live History'!$D$5:$D$3004,1)),INDEX('AH History'!$C$1:$C$18046,AH!$P$7+2825))),NA()),NA())</ns0:f>
        <ns0:v/>
      </ns0:c>
      <ns0:c r="E2830">
        <ns0:f>IFERROR(IF(ISNUMBER($A2830),IF(AND(AH!$P$10=1,AH!$P$12=1,$A2830=TODAY()),AH!$P$20,IF(AH!$P$10=1,INDEX('Live History'!$H$5:$H$3004,MATCH($A2830,'Live History'!$G$5:$G$3004,1)),INDEX('AH History'!$D$1:$D$18046,AH!$P$7+2825))),NA()),NA())</ns0:f>
        <ns0:v/>
      </ns0:c>
      <ns0:c r="F2830">
        <ns0:f>IFERROR(IF(ISNUMBER($A2830),IF(AND(AH!$P$10=1,AH!$P$12=1,$A2830=TODAY()),IF(AND(AH!$P$10=1,AH!$P$12=1,$A2830=TODAY()),TODAY(),NA()),IF(AH!$P$10=1,INDEX('Live History'!$D$5:$D$3004,MATCH($A2830,'Live History'!$D$5:$D$3004,1)),INDEX('AH History'!$E$1:$E$18046,AH!$P$7+2825))),NA()),NA())</ns0:f>
        <ns0:v/>
      </ns0:c>
      <ns0:c r="G2830">
        <ns0:f>IFERROR(IF(ISNUMBER($A2830),IF(AND(AH!$P$10=1,AH!$P$12=1,$A2830=TODAY()),IF(AND(AH!$P$10=1,AH!$P$12=1,$A2830=TODAY()),TODAY(),NA()),IF(AH!$P$10=1,INDEX('Live History'!$G$5:$G$3004,MATCH($A2830,'Live History'!$G$5:$G$3004,1)),INDEX('AH History'!$F$1:$F$18046,AH!$P$7+2825))),NA()),NA())</ns0:f>
        <ns0:v/>
      </ns0:c>
      <ns0:c r="H2830">
        <ns0:f>IFERROR(IF(AND(AH!$E$4="Bloomberg",AH!$P$10=1,ISNUMBER($A2830),$A2830&lt;=AH!$P$17),AH!$P$7-1+MATCH($A2830,INDEX('AH History'!$A$1:$A$18046,AH!$P$7):INDEX('AH History'!$A$1:$A$18046,AH!$P$7+AH!$P$8-1),0),0),0)</ns0:f>
        <ns0:v/>
      </ns0:c>
      <ns0:c r="I2830">
        <ns0:f>IF($H2830=0,0,IFERROR(IF(AND(ABS($C2830-INDEX('AH History'!$B$1:$B$18046,$H2830))&lt;=MAX(0.005,ABS(INDEX('AH History'!$B$1:$B$18046,$H2830))*0.00005),ABS($D2830-INDEX('AH History'!$C$1:$C$18046,$H2830))&lt;=MAX(0.005,ABS(INDEX('AH History'!$C$1:$C$18046,$H2830))*0.00005),ABS($E2830-INDEX('AH History'!$D$1:$D$18046,$H2830))&lt;=0.00005,$F2830=INDEX('AH History'!$E$1:$E$18046,$H2830),$G2830=INDEX('AH History'!$F$1:$F$18046,$H2830)),1,-1),-1))</ns0:f>
        <ns0:v/>
      </ns0:c>
    </ns0:row>
    <ns0:row r="2831">
      <ns0:c r="A2831" s="215">
        <ns0:f>IF(OR(AH!$P$3=0,2826+1&gt;AH!$P$11,AND(AH!$E$4&lt;&gt;"Stored",AH!$P$10&lt;&gt;1)),"",IFERROR(IF(AND(AH!$P$21=1,2826+1=AH!$P$11),TODAY(),IF(AH!$P$10=1,INDEX('Live History'!$A$5:$A$3004,AH!$P$13+2826),INDEX('AH History'!$A$1:$A$18046,AH!$P$7+2826))),""))</ns0:f>
        <ns0:v/>
      </ns0:c>
      <ns0:c r="B2831" s="219">
        <ns0:f>IFERROR(IF(AND(AH!$P$9&lt;&gt;1,$C2831&gt;0,$D2831&gt;0,$E2831&gt;0,$F2831&gt;0,$G2831&gt;0,$F2831&lt;=$A2831,$G2831&lt;=$A2831,$A2831-$F2831&lt;=10,$A2831-$G2831&lt;=5),$D2831*$E2831/$C2831-1,NA()),NA())</ns0:f>
        <ns0:v/>
      </ns0:c>
      <ns0:c r="C2831">
        <ns0:f>IFERROR(IF(ISNUMBER($A2831),IF(AND(AH!$P$10=1,AH!$P$12=1,$A2831=TODAY()),AH!$P$19,IF(AH!$P$10=1,INDEX('Live History'!$B$5:$B$3004,AH!$P$13+2826),INDEX('AH History'!$B$1:$B$18046,AH!$P$7+2826))),NA()),NA())</ns0:f>
        <ns0:v/>
      </ns0:c>
      <ns0:c r="D2831">
        <ns0:f>IFERROR(IF(ISNUMBER($A2831),IF(AND(AH!$P$10=1,AH!$P$12=1,$A2831=TODAY()),AH!$P$18,IF(AH!$P$10=1,INDEX('Live History'!$E$5:$E$3004,MATCH($A2831,'Live History'!$D$5:$D$3004,1)),INDEX('AH History'!$C$1:$C$18046,AH!$P$7+2826))),NA()),NA())</ns0:f>
        <ns0:v/>
      </ns0:c>
      <ns0:c r="E2831">
        <ns0:f>IFERROR(IF(ISNUMBER($A2831),IF(AND(AH!$P$10=1,AH!$P$12=1,$A2831=TODAY()),AH!$P$20,IF(AH!$P$10=1,INDEX('Live History'!$H$5:$H$3004,MATCH($A2831,'Live History'!$G$5:$G$3004,1)),INDEX('AH History'!$D$1:$D$18046,AH!$P$7+2826))),NA()),NA())</ns0:f>
        <ns0:v/>
      </ns0:c>
      <ns0:c r="F2831">
        <ns0:f>IFERROR(IF(ISNUMBER($A2831),IF(AND(AH!$P$10=1,AH!$P$12=1,$A2831=TODAY()),IF(AND(AH!$P$10=1,AH!$P$12=1,$A2831=TODAY()),TODAY(),NA()),IF(AH!$P$10=1,INDEX('Live History'!$D$5:$D$3004,MATCH($A2831,'Live History'!$D$5:$D$3004,1)),INDEX('AH History'!$E$1:$E$18046,AH!$P$7+2826))),NA()),NA())</ns0:f>
        <ns0:v/>
      </ns0:c>
      <ns0:c r="G2831">
        <ns0:f>IFERROR(IF(ISNUMBER($A2831),IF(AND(AH!$P$10=1,AH!$P$12=1,$A2831=TODAY()),IF(AND(AH!$P$10=1,AH!$P$12=1,$A2831=TODAY()),TODAY(),NA()),IF(AH!$P$10=1,INDEX('Live History'!$G$5:$G$3004,MATCH($A2831,'Live History'!$G$5:$G$3004,1)),INDEX('AH History'!$F$1:$F$18046,AH!$P$7+2826))),NA()),NA())</ns0:f>
        <ns0:v/>
      </ns0:c>
      <ns0:c r="H2831">
        <ns0:f>IFERROR(IF(AND(AH!$E$4="Bloomberg",AH!$P$10=1,ISNUMBER($A2831),$A2831&lt;=AH!$P$17),AH!$P$7-1+MATCH($A2831,INDEX('AH History'!$A$1:$A$18046,AH!$P$7):INDEX('AH History'!$A$1:$A$18046,AH!$P$7+AH!$P$8-1),0),0),0)</ns0:f>
        <ns0:v/>
      </ns0:c>
      <ns0:c r="I2831">
        <ns0:f>IF($H2831=0,0,IFERROR(IF(AND(ABS($C2831-INDEX('AH History'!$B$1:$B$18046,$H2831))&lt;=MAX(0.005,ABS(INDEX('AH History'!$B$1:$B$18046,$H2831))*0.00005),ABS($D2831-INDEX('AH History'!$C$1:$C$18046,$H2831))&lt;=MAX(0.005,ABS(INDEX('AH History'!$C$1:$C$18046,$H2831))*0.00005),ABS($E2831-INDEX('AH History'!$D$1:$D$18046,$H2831))&lt;=0.00005,$F2831=INDEX('AH History'!$E$1:$E$18046,$H2831),$G2831=INDEX('AH History'!$F$1:$F$18046,$H2831)),1,-1),-1))</ns0:f>
        <ns0:v/>
      </ns0:c>
    </ns0:row>
    <ns0:row r="2832">
      <ns0:c r="A2832" s="215">
        <ns0:f>IF(OR(AH!$P$3=0,2827+1&gt;AH!$P$11,AND(AH!$E$4&lt;&gt;"Stored",AH!$P$10&lt;&gt;1)),"",IFERROR(IF(AND(AH!$P$21=1,2827+1=AH!$P$11),TODAY(),IF(AH!$P$10=1,INDEX('Live History'!$A$5:$A$3004,AH!$P$13+2827),INDEX('AH History'!$A$1:$A$18046,AH!$P$7+2827))),""))</ns0:f>
        <ns0:v/>
      </ns0:c>
      <ns0:c r="B2832" s="219">
        <ns0:f>IFERROR(IF(AND(AH!$P$9&lt;&gt;1,$C2832&gt;0,$D2832&gt;0,$E2832&gt;0,$F2832&gt;0,$G2832&gt;0,$F2832&lt;=$A2832,$G2832&lt;=$A2832,$A2832-$F2832&lt;=10,$A2832-$G2832&lt;=5),$D2832*$E2832/$C2832-1,NA()),NA())</ns0:f>
        <ns0:v/>
      </ns0:c>
      <ns0:c r="C2832">
        <ns0:f>IFERROR(IF(ISNUMBER($A2832),IF(AND(AH!$P$10=1,AH!$P$12=1,$A2832=TODAY()),AH!$P$19,IF(AH!$P$10=1,INDEX('Live History'!$B$5:$B$3004,AH!$P$13+2827),INDEX('AH History'!$B$1:$B$18046,AH!$P$7+2827))),NA()),NA())</ns0:f>
        <ns0:v/>
      </ns0:c>
      <ns0:c r="D2832">
        <ns0:f>IFERROR(IF(ISNUMBER($A2832),IF(AND(AH!$P$10=1,AH!$P$12=1,$A2832=TODAY()),AH!$P$18,IF(AH!$P$10=1,INDEX('Live History'!$E$5:$E$3004,MATCH($A2832,'Live History'!$D$5:$D$3004,1)),INDEX('AH History'!$C$1:$C$18046,AH!$P$7+2827))),NA()),NA())</ns0:f>
        <ns0:v/>
      </ns0:c>
      <ns0:c r="E2832">
        <ns0:f>IFERROR(IF(ISNUMBER($A2832),IF(AND(AH!$P$10=1,AH!$P$12=1,$A2832=TODAY()),AH!$P$20,IF(AH!$P$10=1,INDEX('Live History'!$H$5:$H$3004,MATCH($A2832,'Live History'!$G$5:$G$3004,1)),INDEX('AH History'!$D$1:$D$18046,AH!$P$7+2827))),NA()),NA())</ns0:f>
        <ns0:v/>
      </ns0:c>
      <ns0:c r="F2832">
        <ns0:f>IFERROR(IF(ISNUMBER($A2832),IF(AND(AH!$P$10=1,AH!$P$12=1,$A2832=TODAY()),IF(AND(AH!$P$10=1,AH!$P$12=1,$A2832=TODAY()),TODAY(),NA()),IF(AH!$P$10=1,INDEX('Live History'!$D$5:$D$3004,MATCH($A2832,'Live History'!$D$5:$D$3004,1)),INDEX('AH History'!$E$1:$E$18046,AH!$P$7+2827))),NA()),NA())</ns0:f>
        <ns0:v/>
      </ns0:c>
      <ns0:c r="G2832">
        <ns0:f>IFERROR(IF(ISNUMBER($A2832),IF(AND(AH!$P$10=1,AH!$P$12=1,$A2832=TODAY()),IF(AND(AH!$P$10=1,AH!$P$12=1,$A2832=TODAY()),TODAY(),NA()),IF(AH!$P$10=1,INDEX('Live History'!$G$5:$G$3004,MATCH($A2832,'Live History'!$G$5:$G$3004,1)),INDEX('AH History'!$F$1:$F$18046,AH!$P$7+2827))),NA()),NA())</ns0:f>
        <ns0:v/>
      </ns0:c>
      <ns0:c r="H2832">
        <ns0:f>IFERROR(IF(AND(AH!$E$4="Bloomberg",AH!$P$10=1,ISNUMBER($A2832),$A2832&lt;=AH!$P$17),AH!$P$7-1+MATCH($A2832,INDEX('AH History'!$A$1:$A$18046,AH!$P$7):INDEX('AH History'!$A$1:$A$18046,AH!$P$7+AH!$P$8-1),0),0),0)</ns0:f>
        <ns0:v/>
      </ns0:c>
      <ns0:c r="I2832">
        <ns0:f>IF($H2832=0,0,IFERROR(IF(AND(ABS($C2832-INDEX('AH History'!$B$1:$B$18046,$H2832))&lt;=MAX(0.005,ABS(INDEX('AH History'!$B$1:$B$18046,$H2832))*0.00005),ABS($D2832-INDEX('AH History'!$C$1:$C$18046,$H2832))&lt;=MAX(0.005,ABS(INDEX('AH History'!$C$1:$C$18046,$H2832))*0.00005),ABS($E2832-INDEX('AH History'!$D$1:$D$18046,$H2832))&lt;=0.00005,$F2832=INDEX('AH History'!$E$1:$E$18046,$H2832),$G2832=INDEX('AH History'!$F$1:$F$18046,$H2832)),1,-1),-1))</ns0:f>
        <ns0:v/>
      </ns0:c>
    </ns0:row>
    <ns0:row r="2833">
      <ns0:c r="A2833" s="215">
        <ns0:f>IF(OR(AH!$P$3=0,2828+1&gt;AH!$P$11,AND(AH!$E$4&lt;&gt;"Stored",AH!$P$10&lt;&gt;1)),"",IFERROR(IF(AND(AH!$P$21=1,2828+1=AH!$P$11),TODAY(),IF(AH!$P$10=1,INDEX('Live History'!$A$5:$A$3004,AH!$P$13+2828),INDEX('AH History'!$A$1:$A$18046,AH!$P$7+2828))),""))</ns0:f>
        <ns0:v/>
      </ns0:c>
      <ns0:c r="B2833" s="219">
        <ns0:f>IFERROR(IF(AND(AH!$P$9&lt;&gt;1,$C2833&gt;0,$D2833&gt;0,$E2833&gt;0,$F2833&gt;0,$G2833&gt;0,$F2833&lt;=$A2833,$G2833&lt;=$A2833,$A2833-$F2833&lt;=10,$A2833-$G2833&lt;=5),$D2833*$E2833/$C2833-1,NA()),NA())</ns0:f>
        <ns0:v/>
      </ns0:c>
      <ns0:c r="C2833">
        <ns0:f>IFERROR(IF(ISNUMBER($A2833),IF(AND(AH!$P$10=1,AH!$P$12=1,$A2833=TODAY()),AH!$P$19,IF(AH!$P$10=1,INDEX('Live History'!$B$5:$B$3004,AH!$P$13+2828),INDEX('AH History'!$B$1:$B$18046,AH!$P$7+2828))),NA()),NA())</ns0:f>
        <ns0:v/>
      </ns0:c>
      <ns0:c r="D2833">
        <ns0:f>IFERROR(IF(ISNUMBER($A2833),IF(AND(AH!$P$10=1,AH!$P$12=1,$A2833=TODAY()),AH!$P$18,IF(AH!$P$10=1,INDEX('Live History'!$E$5:$E$3004,MATCH($A2833,'Live History'!$D$5:$D$3004,1)),INDEX('AH History'!$C$1:$C$18046,AH!$P$7+2828))),NA()),NA())</ns0:f>
        <ns0:v/>
      </ns0:c>
      <ns0:c r="E2833">
        <ns0:f>IFERROR(IF(ISNUMBER($A2833),IF(AND(AH!$P$10=1,AH!$P$12=1,$A2833=TODAY()),AH!$P$20,IF(AH!$P$10=1,INDEX('Live History'!$H$5:$H$3004,MATCH($A2833,'Live History'!$G$5:$G$3004,1)),INDEX('AH History'!$D$1:$D$18046,AH!$P$7+2828))),NA()),NA())</ns0:f>
        <ns0:v/>
      </ns0:c>
      <ns0:c r="F2833">
        <ns0:f>IFERROR(IF(ISNUMBER($A2833),IF(AND(AH!$P$10=1,AH!$P$12=1,$A2833=TODAY()),IF(AND(AH!$P$10=1,AH!$P$12=1,$A2833=TODAY()),TODAY(),NA()),IF(AH!$P$10=1,INDEX('Live History'!$D$5:$D$3004,MATCH($A2833,'Live History'!$D$5:$D$3004,1)),INDEX('AH History'!$E$1:$E$18046,AH!$P$7+2828))),NA()),NA())</ns0:f>
        <ns0:v/>
      </ns0:c>
      <ns0:c r="G2833">
        <ns0:f>IFERROR(IF(ISNUMBER($A2833),IF(AND(AH!$P$10=1,AH!$P$12=1,$A2833=TODAY()),IF(AND(AH!$P$10=1,AH!$P$12=1,$A2833=TODAY()),TODAY(),NA()),IF(AH!$P$10=1,INDEX('Live History'!$G$5:$G$3004,MATCH($A2833,'Live History'!$G$5:$G$3004,1)),INDEX('AH History'!$F$1:$F$18046,AH!$P$7+2828))),NA()),NA())</ns0:f>
        <ns0:v/>
      </ns0:c>
      <ns0:c r="H2833">
        <ns0:f>IFERROR(IF(AND(AH!$E$4="Bloomberg",AH!$P$10=1,ISNUMBER($A2833),$A2833&lt;=AH!$P$17),AH!$P$7-1+MATCH($A2833,INDEX('AH History'!$A$1:$A$18046,AH!$P$7):INDEX('AH History'!$A$1:$A$18046,AH!$P$7+AH!$P$8-1),0),0),0)</ns0:f>
        <ns0:v/>
      </ns0:c>
      <ns0:c r="I2833">
        <ns0:f>IF($H2833=0,0,IFERROR(IF(AND(ABS($C2833-INDEX('AH History'!$B$1:$B$18046,$H2833))&lt;=MAX(0.005,ABS(INDEX('AH History'!$B$1:$B$18046,$H2833))*0.00005),ABS($D2833-INDEX('AH History'!$C$1:$C$18046,$H2833))&lt;=MAX(0.005,ABS(INDEX('AH History'!$C$1:$C$18046,$H2833))*0.00005),ABS($E2833-INDEX('AH History'!$D$1:$D$18046,$H2833))&lt;=0.00005,$F2833=INDEX('AH History'!$E$1:$E$18046,$H2833),$G2833=INDEX('AH History'!$F$1:$F$18046,$H2833)),1,-1),-1))</ns0:f>
        <ns0:v/>
      </ns0:c>
    </ns0:row>
    <ns0:row r="2834">
      <ns0:c r="A2834" s="215">
        <ns0:f>IF(OR(AH!$P$3=0,2829+1&gt;AH!$P$11,AND(AH!$E$4&lt;&gt;"Stored",AH!$P$10&lt;&gt;1)),"",IFERROR(IF(AND(AH!$P$21=1,2829+1=AH!$P$11),TODAY(),IF(AH!$P$10=1,INDEX('Live History'!$A$5:$A$3004,AH!$P$13+2829),INDEX('AH History'!$A$1:$A$18046,AH!$P$7+2829))),""))</ns0:f>
        <ns0:v/>
      </ns0:c>
      <ns0:c r="B2834" s="219">
        <ns0:f>IFERROR(IF(AND(AH!$P$9&lt;&gt;1,$C2834&gt;0,$D2834&gt;0,$E2834&gt;0,$F2834&gt;0,$G2834&gt;0,$F2834&lt;=$A2834,$G2834&lt;=$A2834,$A2834-$F2834&lt;=10,$A2834-$G2834&lt;=5),$D2834*$E2834/$C2834-1,NA()),NA())</ns0:f>
        <ns0:v/>
      </ns0:c>
      <ns0:c r="C2834">
        <ns0:f>IFERROR(IF(ISNUMBER($A2834),IF(AND(AH!$P$10=1,AH!$P$12=1,$A2834=TODAY()),AH!$P$19,IF(AH!$P$10=1,INDEX('Live History'!$B$5:$B$3004,AH!$P$13+2829),INDEX('AH History'!$B$1:$B$18046,AH!$P$7+2829))),NA()),NA())</ns0:f>
        <ns0:v/>
      </ns0:c>
      <ns0:c r="D2834">
        <ns0:f>IFERROR(IF(ISNUMBER($A2834),IF(AND(AH!$P$10=1,AH!$P$12=1,$A2834=TODAY()),AH!$P$18,IF(AH!$P$10=1,INDEX('Live History'!$E$5:$E$3004,MATCH($A2834,'Live History'!$D$5:$D$3004,1)),INDEX('AH History'!$C$1:$C$18046,AH!$P$7+2829))),NA()),NA())</ns0:f>
        <ns0:v/>
      </ns0:c>
      <ns0:c r="E2834">
        <ns0:f>IFERROR(IF(ISNUMBER($A2834),IF(AND(AH!$P$10=1,AH!$P$12=1,$A2834=TODAY()),AH!$P$20,IF(AH!$P$10=1,INDEX('Live History'!$H$5:$H$3004,MATCH($A2834,'Live History'!$G$5:$G$3004,1)),INDEX('AH History'!$D$1:$D$18046,AH!$P$7+2829))),NA()),NA())</ns0:f>
        <ns0:v/>
      </ns0:c>
      <ns0:c r="F2834">
        <ns0:f>IFERROR(IF(ISNUMBER($A2834),IF(AND(AH!$P$10=1,AH!$P$12=1,$A2834=TODAY()),IF(AND(AH!$P$10=1,AH!$P$12=1,$A2834=TODAY()),TODAY(),NA()),IF(AH!$P$10=1,INDEX('Live History'!$D$5:$D$3004,MATCH($A2834,'Live History'!$D$5:$D$3004,1)),INDEX('AH History'!$E$1:$E$18046,AH!$P$7+2829))),NA()),NA())</ns0:f>
        <ns0:v/>
      </ns0:c>
      <ns0:c r="G2834">
        <ns0:f>IFERROR(IF(ISNUMBER($A2834),IF(AND(AH!$P$10=1,AH!$P$12=1,$A2834=TODAY()),IF(AND(AH!$P$10=1,AH!$P$12=1,$A2834=TODAY()),TODAY(),NA()),IF(AH!$P$10=1,INDEX('Live History'!$G$5:$G$3004,MATCH($A2834,'Live History'!$G$5:$G$3004,1)),INDEX('AH History'!$F$1:$F$18046,AH!$P$7+2829))),NA()),NA())</ns0:f>
        <ns0:v/>
      </ns0:c>
      <ns0:c r="H2834">
        <ns0:f>IFERROR(IF(AND(AH!$E$4="Bloomberg",AH!$P$10=1,ISNUMBER($A2834),$A2834&lt;=AH!$P$17),AH!$P$7-1+MATCH($A2834,INDEX('AH History'!$A$1:$A$18046,AH!$P$7):INDEX('AH History'!$A$1:$A$18046,AH!$P$7+AH!$P$8-1),0),0),0)</ns0:f>
        <ns0:v/>
      </ns0:c>
      <ns0:c r="I2834">
        <ns0:f>IF($H2834=0,0,IFERROR(IF(AND(ABS($C2834-INDEX('AH History'!$B$1:$B$18046,$H2834))&lt;=MAX(0.005,ABS(INDEX('AH History'!$B$1:$B$18046,$H2834))*0.00005),ABS($D2834-INDEX('AH History'!$C$1:$C$18046,$H2834))&lt;=MAX(0.005,ABS(INDEX('AH History'!$C$1:$C$18046,$H2834))*0.00005),ABS($E2834-INDEX('AH History'!$D$1:$D$18046,$H2834))&lt;=0.00005,$F2834=INDEX('AH History'!$E$1:$E$18046,$H2834),$G2834=INDEX('AH History'!$F$1:$F$18046,$H2834)),1,-1),-1))</ns0:f>
        <ns0:v/>
      </ns0:c>
    </ns0:row>
    <ns0:row r="2835">
      <ns0:c r="A2835" s="215">
        <ns0:f>IF(OR(AH!$P$3=0,2830+1&gt;AH!$P$11,AND(AH!$E$4&lt;&gt;"Stored",AH!$P$10&lt;&gt;1)),"",IFERROR(IF(AND(AH!$P$21=1,2830+1=AH!$P$11),TODAY(),IF(AH!$P$10=1,INDEX('Live History'!$A$5:$A$3004,AH!$P$13+2830),INDEX('AH History'!$A$1:$A$18046,AH!$P$7+2830))),""))</ns0:f>
        <ns0:v/>
      </ns0:c>
      <ns0:c r="B2835" s="219">
        <ns0:f>IFERROR(IF(AND(AH!$P$9&lt;&gt;1,$C2835&gt;0,$D2835&gt;0,$E2835&gt;0,$F2835&gt;0,$G2835&gt;0,$F2835&lt;=$A2835,$G2835&lt;=$A2835,$A2835-$F2835&lt;=10,$A2835-$G2835&lt;=5),$D2835*$E2835/$C2835-1,NA()),NA())</ns0:f>
        <ns0:v/>
      </ns0:c>
      <ns0:c r="C2835">
        <ns0:f>IFERROR(IF(ISNUMBER($A2835),IF(AND(AH!$P$10=1,AH!$P$12=1,$A2835=TODAY()),AH!$P$19,IF(AH!$P$10=1,INDEX('Live History'!$B$5:$B$3004,AH!$P$13+2830),INDEX('AH History'!$B$1:$B$18046,AH!$P$7+2830))),NA()),NA())</ns0:f>
        <ns0:v/>
      </ns0:c>
      <ns0:c r="D2835">
        <ns0:f>IFERROR(IF(ISNUMBER($A2835),IF(AND(AH!$P$10=1,AH!$P$12=1,$A2835=TODAY()),AH!$P$18,IF(AH!$P$10=1,INDEX('Live History'!$E$5:$E$3004,MATCH($A2835,'Live History'!$D$5:$D$3004,1)),INDEX('AH History'!$C$1:$C$18046,AH!$P$7+2830))),NA()),NA())</ns0:f>
        <ns0:v/>
      </ns0:c>
      <ns0:c r="E2835">
        <ns0:f>IFERROR(IF(ISNUMBER($A2835),IF(AND(AH!$P$10=1,AH!$P$12=1,$A2835=TODAY()),AH!$P$20,IF(AH!$P$10=1,INDEX('Live History'!$H$5:$H$3004,MATCH($A2835,'Live History'!$G$5:$G$3004,1)),INDEX('AH History'!$D$1:$D$18046,AH!$P$7+2830))),NA()),NA())</ns0:f>
        <ns0:v/>
      </ns0:c>
      <ns0:c r="F2835">
        <ns0:f>IFERROR(IF(ISNUMBER($A2835),IF(AND(AH!$P$10=1,AH!$P$12=1,$A2835=TODAY()),IF(AND(AH!$P$10=1,AH!$P$12=1,$A2835=TODAY()),TODAY(),NA()),IF(AH!$P$10=1,INDEX('Live History'!$D$5:$D$3004,MATCH($A2835,'Live History'!$D$5:$D$3004,1)),INDEX('AH History'!$E$1:$E$18046,AH!$P$7+2830))),NA()),NA())</ns0:f>
        <ns0:v/>
      </ns0:c>
      <ns0:c r="G2835">
        <ns0:f>IFERROR(IF(ISNUMBER($A2835),IF(AND(AH!$P$10=1,AH!$P$12=1,$A2835=TODAY()),IF(AND(AH!$P$10=1,AH!$P$12=1,$A2835=TODAY()),TODAY(),NA()),IF(AH!$P$10=1,INDEX('Live History'!$G$5:$G$3004,MATCH($A2835,'Live History'!$G$5:$G$3004,1)),INDEX('AH History'!$F$1:$F$18046,AH!$P$7+2830))),NA()),NA())</ns0:f>
        <ns0:v/>
      </ns0:c>
      <ns0:c r="H2835">
        <ns0:f>IFERROR(IF(AND(AH!$E$4="Bloomberg",AH!$P$10=1,ISNUMBER($A2835),$A2835&lt;=AH!$P$17),AH!$P$7-1+MATCH($A2835,INDEX('AH History'!$A$1:$A$18046,AH!$P$7):INDEX('AH History'!$A$1:$A$18046,AH!$P$7+AH!$P$8-1),0),0),0)</ns0:f>
        <ns0:v/>
      </ns0:c>
      <ns0:c r="I2835">
        <ns0:f>IF($H2835=0,0,IFERROR(IF(AND(ABS($C2835-INDEX('AH History'!$B$1:$B$18046,$H2835))&lt;=MAX(0.005,ABS(INDEX('AH History'!$B$1:$B$18046,$H2835))*0.00005),ABS($D2835-INDEX('AH History'!$C$1:$C$18046,$H2835))&lt;=MAX(0.005,ABS(INDEX('AH History'!$C$1:$C$18046,$H2835))*0.00005),ABS($E2835-INDEX('AH History'!$D$1:$D$18046,$H2835))&lt;=0.00005,$F2835=INDEX('AH History'!$E$1:$E$18046,$H2835),$G2835=INDEX('AH History'!$F$1:$F$18046,$H2835)),1,-1),-1))</ns0:f>
        <ns0:v/>
      </ns0:c>
    </ns0:row>
    <ns0:row r="2836">
      <ns0:c r="A2836" s="215">
        <ns0:f>IF(OR(AH!$P$3=0,2831+1&gt;AH!$P$11,AND(AH!$E$4&lt;&gt;"Stored",AH!$P$10&lt;&gt;1)),"",IFERROR(IF(AND(AH!$P$21=1,2831+1=AH!$P$11),TODAY(),IF(AH!$P$10=1,INDEX('Live History'!$A$5:$A$3004,AH!$P$13+2831),INDEX('AH History'!$A$1:$A$18046,AH!$P$7+2831))),""))</ns0:f>
        <ns0:v/>
      </ns0:c>
      <ns0:c r="B2836" s="219">
        <ns0:f>IFERROR(IF(AND(AH!$P$9&lt;&gt;1,$C2836&gt;0,$D2836&gt;0,$E2836&gt;0,$F2836&gt;0,$G2836&gt;0,$F2836&lt;=$A2836,$G2836&lt;=$A2836,$A2836-$F2836&lt;=10,$A2836-$G2836&lt;=5),$D2836*$E2836/$C2836-1,NA()),NA())</ns0:f>
        <ns0:v/>
      </ns0:c>
      <ns0:c r="C2836">
        <ns0:f>IFERROR(IF(ISNUMBER($A2836),IF(AND(AH!$P$10=1,AH!$P$12=1,$A2836=TODAY()),AH!$P$19,IF(AH!$P$10=1,INDEX('Live History'!$B$5:$B$3004,AH!$P$13+2831),INDEX('AH History'!$B$1:$B$18046,AH!$P$7+2831))),NA()),NA())</ns0:f>
        <ns0:v/>
      </ns0:c>
      <ns0:c r="D2836">
        <ns0:f>IFERROR(IF(ISNUMBER($A2836),IF(AND(AH!$P$10=1,AH!$P$12=1,$A2836=TODAY()),AH!$P$18,IF(AH!$P$10=1,INDEX('Live History'!$E$5:$E$3004,MATCH($A2836,'Live History'!$D$5:$D$3004,1)),INDEX('AH History'!$C$1:$C$18046,AH!$P$7+2831))),NA()),NA())</ns0:f>
        <ns0:v/>
      </ns0:c>
      <ns0:c r="E2836">
        <ns0:f>IFERROR(IF(ISNUMBER($A2836),IF(AND(AH!$P$10=1,AH!$P$12=1,$A2836=TODAY()),AH!$P$20,IF(AH!$P$10=1,INDEX('Live History'!$H$5:$H$3004,MATCH($A2836,'Live History'!$G$5:$G$3004,1)),INDEX('AH History'!$D$1:$D$18046,AH!$P$7+2831))),NA()),NA())</ns0:f>
        <ns0:v/>
      </ns0:c>
      <ns0:c r="F2836">
        <ns0:f>IFERROR(IF(ISNUMBER($A2836),IF(AND(AH!$P$10=1,AH!$P$12=1,$A2836=TODAY()),IF(AND(AH!$P$10=1,AH!$P$12=1,$A2836=TODAY()),TODAY(),NA()),IF(AH!$P$10=1,INDEX('Live History'!$D$5:$D$3004,MATCH($A2836,'Live History'!$D$5:$D$3004,1)),INDEX('AH History'!$E$1:$E$18046,AH!$P$7+2831))),NA()),NA())</ns0:f>
        <ns0:v/>
      </ns0:c>
      <ns0:c r="G2836">
        <ns0:f>IFERROR(IF(ISNUMBER($A2836),IF(AND(AH!$P$10=1,AH!$P$12=1,$A2836=TODAY()),IF(AND(AH!$P$10=1,AH!$P$12=1,$A2836=TODAY()),TODAY(),NA()),IF(AH!$P$10=1,INDEX('Live History'!$G$5:$G$3004,MATCH($A2836,'Live History'!$G$5:$G$3004,1)),INDEX('AH History'!$F$1:$F$18046,AH!$P$7+2831))),NA()),NA())</ns0:f>
        <ns0:v/>
      </ns0:c>
      <ns0:c r="H2836">
        <ns0:f>IFERROR(IF(AND(AH!$E$4="Bloomberg",AH!$P$10=1,ISNUMBER($A2836),$A2836&lt;=AH!$P$17),AH!$P$7-1+MATCH($A2836,INDEX('AH History'!$A$1:$A$18046,AH!$P$7):INDEX('AH History'!$A$1:$A$18046,AH!$P$7+AH!$P$8-1),0),0),0)</ns0:f>
        <ns0:v/>
      </ns0:c>
      <ns0:c r="I2836">
        <ns0:f>IF($H2836=0,0,IFERROR(IF(AND(ABS($C2836-INDEX('AH History'!$B$1:$B$18046,$H2836))&lt;=MAX(0.005,ABS(INDEX('AH History'!$B$1:$B$18046,$H2836))*0.00005),ABS($D2836-INDEX('AH History'!$C$1:$C$18046,$H2836))&lt;=MAX(0.005,ABS(INDEX('AH History'!$C$1:$C$18046,$H2836))*0.00005),ABS($E2836-INDEX('AH History'!$D$1:$D$18046,$H2836))&lt;=0.00005,$F2836=INDEX('AH History'!$E$1:$E$18046,$H2836),$G2836=INDEX('AH History'!$F$1:$F$18046,$H2836)),1,-1),-1))</ns0:f>
        <ns0:v/>
      </ns0:c>
    </ns0:row>
    <ns0:row r="2837">
      <ns0:c r="A2837" s="215">
        <ns0:f>IF(OR(AH!$P$3=0,2832+1&gt;AH!$P$11,AND(AH!$E$4&lt;&gt;"Stored",AH!$P$10&lt;&gt;1)),"",IFERROR(IF(AND(AH!$P$21=1,2832+1=AH!$P$11),TODAY(),IF(AH!$P$10=1,INDEX('Live History'!$A$5:$A$3004,AH!$P$13+2832),INDEX('AH History'!$A$1:$A$18046,AH!$P$7+2832))),""))</ns0:f>
        <ns0:v/>
      </ns0:c>
      <ns0:c r="B2837" s="219">
        <ns0:f>IFERROR(IF(AND(AH!$P$9&lt;&gt;1,$C2837&gt;0,$D2837&gt;0,$E2837&gt;0,$F2837&gt;0,$G2837&gt;0,$F2837&lt;=$A2837,$G2837&lt;=$A2837,$A2837-$F2837&lt;=10,$A2837-$G2837&lt;=5),$D2837*$E2837/$C2837-1,NA()),NA())</ns0:f>
        <ns0:v/>
      </ns0:c>
      <ns0:c r="C2837">
        <ns0:f>IFERROR(IF(ISNUMBER($A2837),IF(AND(AH!$P$10=1,AH!$P$12=1,$A2837=TODAY()),AH!$P$19,IF(AH!$P$10=1,INDEX('Live History'!$B$5:$B$3004,AH!$P$13+2832),INDEX('AH History'!$B$1:$B$18046,AH!$P$7+2832))),NA()),NA())</ns0:f>
        <ns0:v/>
      </ns0:c>
      <ns0:c r="D2837">
        <ns0:f>IFERROR(IF(ISNUMBER($A2837),IF(AND(AH!$P$10=1,AH!$P$12=1,$A2837=TODAY()),AH!$P$18,IF(AH!$P$10=1,INDEX('Live History'!$E$5:$E$3004,MATCH($A2837,'Live History'!$D$5:$D$3004,1)),INDEX('AH History'!$C$1:$C$18046,AH!$P$7+2832))),NA()),NA())</ns0:f>
        <ns0:v/>
      </ns0:c>
      <ns0:c r="E2837">
        <ns0:f>IFERROR(IF(ISNUMBER($A2837),IF(AND(AH!$P$10=1,AH!$P$12=1,$A2837=TODAY()),AH!$P$20,IF(AH!$P$10=1,INDEX('Live History'!$H$5:$H$3004,MATCH($A2837,'Live History'!$G$5:$G$3004,1)),INDEX('AH History'!$D$1:$D$18046,AH!$P$7+2832))),NA()),NA())</ns0:f>
        <ns0:v/>
      </ns0:c>
      <ns0:c r="F2837">
        <ns0:f>IFERROR(IF(ISNUMBER($A2837),IF(AND(AH!$P$10=1,AH!$P$12=1,$A2837=TODAY()),IF(AND(AH!$P$10=1,AH!$P$12=1,$A2837=TODAY()),TODAY(),NA()),IF(AH!$P$10=1,INDEX('Live History'!$D$5:$D$3004,MATCH($A2837,'Live History'!$D$5:$D$3004,1)),INDEX('AH History'!$E$1:$E$18046,AH!$P$7+2832))),NA()),NA())</ns0:f>
        <ns0:v/>
      </ns0:c>
      <ns0:c r="G2837">
        <ns0:f>IFERROR(IF(ISNUMBER($A2837),IF(AND(AH!$P$10=1,AH!$P$12=1,$A2837=TODAY()),IF(AND(AH!$P$10=1,AH!$P$12=1,$A2837=TODAY()),TODAY(),NA()),IF(AH!$P$10=1,INDEX('Live History'!$G$5:$G$3004,MATCH($A2837,'Live History'!$G$5:$G$3004,1)),INDEX('AH History'!$F$1:$F$18046,AH!$P$7+2832))),NA()),NA())</ns0:f>
        <ns0:v/>
      </ns0:c>
      <ns0:c r="H2837">
        <ns0:f>IFERROR(IF(AND(AH!$E$4="Bloomberg",AH!$P$10=1,ISNUMBER($A2837),$A2837&lt;=AH!$P$17),AH!$P$7-1+MATCH($A2837,INDEX('AH History'!$A$1:$A$18046,AH!$P$7):INDEX('AH History'!$A$1:$A$18046,AH!$P$7+AH!$P$8-1),0),0),0)</ns0:f>
        <ns0:v/>
      </ns0:c>
      <ns0:c r="I2837">
        <ns0:f>IF($H2837=0,0,IFERROR(IF(AND(ABS($C2837-INDEX('AH History'!$B$1:$B$18046,$H2837))&lt;=MAX(0.005,ABS(INDEX('AH History'!$B$1:$B$18046,$H2837))*0.00005),ABS($D2837-INDEX('AH History'!$C$1:$C$18046,$H2837))&lt;=MAX(0.005,ABS(INDEX('AH History'!$C$1:$C$18046,$H2837))*0.00005),ABS($E2837-INDEX('AH History'!$D$1:$D$18046,$H2837))&lt;=0.00005,$F2837=INDEX('AH History'!$E$1:$E$18046,$H2837),$G2837=INDEX('AH History'!$F$1:$F$18046,$H2837)),1,-1),-1))</ns0:f>
        <ns0:v/>
      </ns0:c>
    </ns0:row>
    <ns0:row r="2838">
      <ns0:c r="A2838" s="215">
        <ns0:f>IF(OR(AH!$P$3=0,2833+1&gt;AH!$P$11,AND(AH!$E$4&lt;&gt;"Stored",AH!$P$10&lt;&gt;1)),"",IFERROR(IF(AND(AH!$P$21=1,2833+1=AH!$P$11),TODAY(),IF(AH!$P$10=1,INDEX('Live History'!$A$5:$A$3004,AH!$P$13+2833),INDEX('AH History'!$A$1:$A$18046,AH!$P$7+2833))),""))</ns0:f>
        <ns0:v/>
      </ns0:c>
      <ns0:c r="B2838" s="219">
        <ns0:f>IFERROR(IF(AND(AH!$P$9&lt;&gt;1,$C2838&gt;0,$D2838&gt;0,$E2838&gt;0,$F2838&gt;0,$G2838&gt;0,$F2838&lt;=$A2838,$G2838&lt;=$A2838,$A2838-$F2838&lt;=10,$A2838-$G2838&lt;=5),$D2838*$E2838/$C2838-1,NA()),NA())</ns0:f>
        <ns0:v/>
      </ns0:c>
      <ns0:c r="C2838">
        <ns0:f>IFERROR(IF(ISNUMBER($A2838),IF(AND(AH!$P$10=1,AH!$P$12=1,$A2838=TODAY()),AH!$P$19,IF(AH!$P$10=1,INDEX('Live History'!$B$5:$B$3004,AH!$P$13+2833),INDEX('AH History'!$B$1:$B$18046,AH!$P$7+2833))),NA()),NA())</ns0:f>
        <ns0:v/>
      </ns0:c>
      <ns0:c r="D2838">
        <ns0:f>IFERROR(IF(ISNUMBER($A2838),IF(AND(AH!$P$10=1,AH!$P$12=1,$A2838=TODAY()),AH!$P$18,IF(AH!$P$10=1,INDEX('Live History'!$E$5:$E$3004,MATCH($A2838,'Live History'!$D$5:$D$3004,1)),INDEX('AH History'!$C$1:$C$18046,AH!$P$7+2833))),NA()),NA())</ns0:f>
        <ns0:v/>
      </ns0:c>
      <ns0:c r="E2838">
        <ns0:f>IFERROR(IF(ISNUMBER($A2838),IF(AND(AH!$P$10=1,AH!$P$12=1,$A2838=TODAY()),AH!$P$20,IF(AH!$P$10=1,INDEX('Live History'!$H$5:$H$3004,MATCH($A2838,'Live History'!$G$5:$G$3004,1)),INDEX('AH History'!$D$1:$D$18046,AH!$P$7+2833))),NA()),NA())</ns0:f>
        <ns0:v/>
      </ns0:c>
      <ns0:c r="F2838">
        <ns0:f>IFERROR(IF(ISNUMBER($A2838),IF(AND(AH!$P$10=1,AH!$P$12=1,$A2838=TODAY()),IF(AND(AH!$P$10=1,AH!$P$12=1,$A2838=TODAY()),TODAY(),NA()),IF(AH!$P$10=1,INDEX('Live History'!$D$5:$D$3004,MATCH($A2838,'Live History'!$D$5:$D$3004,1)),INDEX('AH History'!$E$1:$E$18046,AH!$P$7+2833))),NA()),NA())</ns0:f>
        <ns0:v/>
      </ns0:c>
      <ns0:c r="G2838">
        <ns0:f>IFERROR(IF(ISNUMBER($A2838),IF(AND(AH!$P$10=1,AH!$P$12=1,$A2838=TODAY()),IF(AND(AH!$P$10=1,AH!$P$12=1,$A2838=TODAY()),TODAY(),NA()),IF(AH!$P$10=1,INDEX('Live History'!$G$5:$G$3004,MATCH($A2838,'Live History'!$G$5:$G$3004,1)),INDEX('AH History'!$F$1:$F$18046,AH!$P$7+2833))),NA()),NA())</ns0:f>
        <ns0:v/>
      </ns0:c>
      <ns0:c r="H2838">
        <ns0:f>IFERROR(IF(AND(AH!$E$4="Bloomberg",AH!$P$10=1,ISNUMBER($A2838),$A2838&lt;=AH!$P$17),AH!$P$7-1+MATCH($A2838,INDEX('AH History'!$A$1:$A$18046,AH!$P$7):INDEX('AH History'!$A$1:$A$18046,AH!$P$7+AH!$P$8-1),0),0),0)</ns0:f>
        <ns0:v/>
      </ns0:c>
      <ns0:c r="I2838">
        <ns0:f>IF($H2838=0,0,IFERROR(IF(AND(ABS($C2838-INDEX('AH History'!$B$1:$B$18046,$H2838))&lt;=MAX(0.005,ABS(INDEX('AH History'!$B$1:$B$18046,$H2838))*0.00005),ABS($D2838-INDEX('AH History'!$C$1:$C$18046,$H2838))&lt;=MAX(0.005,ABS(INDEX('AH History'!$C$1:$C$18046,$H2838))*0.00005),ABS($E2838-INDEX('AH History'!$D$1:$D$18046,$H2838))&lt;=0.00005,$F2838=INDEX('AH History'!$E$1:$E$18046,$H2838),$G2838=INDEX('AH History'!$F$1:$F$18046,$H2838)),1,-1),-1))</ns0:f>
        <ns0:v/>
      </ns0:c>
    </ns0:row>
    <ns0:row r="2839">
      <ns0:c r="A2839" s="215">
        <ns0:f>IF(OR(AH!$P$3=0,2834+1&gt;AH!$P$11,AND(AH!$E$4&lt;&gt;"Stored",AH!$P$10&lt;&gt;1)),"",IFERROR(IF(AND(AH!$P$21=1,2834+1=AH!$P$11),TODAY(),IF(AH!$P$10=1,INDEX('Live History'!$A$5:$A$3004,AH!$P$13+2834),INDEX('AH History'!$A$1:$A$18046,AH!$P$7+2834))),""))</ns0:f>
        <ns0:v/>
      </ns0:c>
      <ns0:c r="B2839" s="219">
        <ns0:f>IFERROR(IF(AND(AH!$P$9&lt;&gt;1,$C2839&gt;0,$D2839&gt;0,$E2839&gt;0,$F2839&gt;0,$G2839&gt;0,$F2839&lt;=$A2839,$G2839&lt;=$A2839,$A2839-$F2839&lt;=10,$A2839-$G2839&lt;=5),$D2839*$E2839/$C2839-1,NA()),NA())</ns0:f>
        <ns0:v/>
      </ns0:c>
      <ns0:c r="C2839">
        <ns0:f>IFERROR(IF(ISNUMBER($A2839),IF(AND(AH!$P$10=1,AH!$P$12=1,$A2839=TODAY()),AH!$P$19,IF(AH!$P$10=1,INDEX('Live History'!$B$5:$B$3004,AH!$P$13+2834),INDEX('AH History'!$B$1:$B$18046,AH!$P$7+2834))),NA()),NA())</ns0:f>
        <ns0:v/>
      </ns0:c>
      <ns0:c r="D2839">
        <ns0:f>IFERROR(IF(ISNUMBER($A2839),IF(AND(AH!$P$10=1,AH!$P$12=1,$A2839=TODAY()),AH!$P$18,IF(AH!$P$10=1,INDEX('Live History'!$E$5:$E$3004,MATCH($A2839,'Live History'!$D$5:$D$3004,1)),INDEX('AH History'!$C$1:$C$18046,AH!$P$7+2834))),NA()),NA())</ns0:f>
        <ns0:v/>
      </ns0:c>
      <ns0:c r="E2839">
        <ns0:f>IFERROR(IF(ISNUMBER($A2839),IF(AND(AH!$P$10=1,AH!$P$12=1,$A2839=TODAY()),AH!$P$20,IF(AH!$P$10=1,INDEX('Live History'!$H$5:$H$3004,MATCH($A2839,'Live History'!$G$5:$G$3004,1)),INDEX('AH History'!$D$1:$D$18046,AH!$P$7+2834))),NA()),NA())</ns0:f>
        <ns0:v/>
      </ns0:c>
      <ns0:c r="F2839">
        <ns0:f>IFERROR(IF(ISNUMBER($A2839),IF(AND(AH!$P$10=1,AH!$P$12=1,$A2839=TODAY()),IF(AND(AH!$P$10=1,AH!$P$12=1,$A2839=TODAY()),TODAY(),NA()),IF(AH!$P$10=1,INDEX('Live History'!$D$5:$D$3004,MATCH($A2839,'Live History'!$D$5:$D$3004,1)),INDEX('AH History'!$E$1:$E$18046,AH!$P$7+2834))),NA()),NA())</ns0:f>
        <ns0:v/>
      </ns0:c>
      <ns0:c r="G2839">
        <ns0:f>IFERROR(IF(ISNUMBER($A2839),IF(AND(AH!$P$10=1,AH!$P$12=1,$A2839=TODAY()),IF(AND(AH!$P$10=1,AH!$P$12=1,$A2839=TODAY()),TODAY(),NA()),IF(AH!$P$10=1,INDEX('Live History'!$G$5:$G$3004,MATCH($A2839,'Live History'!$G$5:$G$3004,1)),INDEX('AH History'!$F$1:$F$18046,AH!$P$7+2834))),NA()),NA())</ns0:f>
        <ns0:v/>
      </ns0:c>
      <ns0:c r="H2839">
        <ns0:f>IFERROR(IF(AND(AH!$E$4="Bloomberg",AH!$P$10=1,ISNUMBER($A2839),$A2839&lt;=AH!$P$17),AH!$P$7-1+MATCH($A2839,INDEX('AH History'!$A$1:$A$18046,AH!$P$7):INDEX('AH History'!$A$1:$A$18046,AH!$P$7+AH!$P$8-1),0),0),0)</ns0:f>
        <ns0:v/>
      </ns0:c>
      <ns0:c r="I2839">
        <ns0:f>IF($H2839=0,0,IFERROR(IF(AND(ABS($C2839-INDEX('AH History'!$B$1:$B$18046,$H2839))&lt;=MAX(0.005,ABS(INDEX('AH History'!$B$1:$B$18046,$H2839))*0.00005),ABS($D2839-INDEX('AH History'!$C$1:$C$18046,$H2839))&lt;=MAX(0.005,ABS(INDEX('AH History'!$C$1:$C$18046,$H2839))*0.00005),ABS($E2839-INDEX('AH History'!$D$1:$D$18046,$H2839))&lt;=0.00005,$F2839=INDEX('AH History'!$E$1:$E$18046,$H2839),$G2839=INDEX('AH History'!$F$1:$F$18046,$H2839)),1,-1),-1))</ns0:f>
        <ns0:v/>
      </ns0:c>
    </ns0:row>
    <ns0:row r="2840">
      <ns0:c r="A2840" s="215">
        <ns0:f>IF(OR(AH!$P$3=0,2835+1&gt;AH!$P$11,AND(AH!$E$4&lt;&gt;"Stored",AH!$P$10&lt;&gt;1)),"",IFERROR(IF(AND(AH!$P$21=1,2835+1=AH!$P$11),TODAY(),IF(AH!$P$10=1,INDEX('Live History'!$A$5:$A$3004,AH!$P$13+2835),INDEX('AH History'!$A$1:$A$18046,AH!$P$7+2835))),""))</ns0:f>
        <ns0:v/>
      </ns0:c>
      <ns0:c r="B2840" s="219">
        <ns0:f>IFERROR(IF(AND(AH!$P$9&lt;&gt;1,$C2840&gt;0,$D2840&gt;0,$E2840&gt;0,$F2840&gt;0,$G2840&gt;0,$F2840&lt;=$A2840,$G2840&lt;=$A2840,$A2840-$F2840&lt;=10,$A2840-$G2840&lt;=5),$D2840*$E2840/$C2840-1,NA()),NA())</ns0:f>
        <ns0:v/>
      </ns0:c>
      <ns0:c r="C2840">
        <ns0:f>IFERROR(IF(ISNUMBER($A2840),IF(AND(AH!$P$10=1,AH!$P$12=1,$A2840=TODAY()),AH!$P$19,IF(AH!$P$10=1,INDEX('Live History'!$B$5:$B$3004,AH!$P$13+2835),INDEX('AH History'!$B$1:$B$18046,AH!$P$7+2835))),NA()),NA())</ns0:f>
        <ns0:v/>
      </ns0:c>
      <ns0:c r="D2840">
        <ns0:f>IFERROR(IF(ISNUMBER($A2840),IF(AND(AH!$P$10=1,AH!$P$12=1,$A2840=TODAY()),AH!$P$18,IF(AH!$P$10=1,INDEX('Live History'!$E$5:$E$3004,MATCH($A2840,'Live History'!$D$5:$D$3004,1)),INDEX('AH History'!$C$1:$C$18046,AH!$P$7+2835))),NA()),NA())</ns0:f>
        <ns0:v/>
      </ns0:c>
      <ns0:c r="E2840">
        <ns0:f>IFERROR(IF(ISNUMBER($A2840),IF(AND(AH!$P$10=1,AH!$P$12=1,$A2840=TODAY()),AH!$P$20,IF(AH!$P$10=1,INDEX('Live History'!$H$5:$H$3004,MATCH($A2840,'Live History'!$G$5:$G$3004,1)),INDEX('AH History'!$D$1:$D$18046,AH!$P$7+2835))),NA()),NA())</ns0:f>
        <ns0:v/>
      </ns0:c>
      <ns0:c r="F2840">
        <ns0:f>IFERROR(IF(ISNUMBER($A2840),IF(AND(AH!$P$10=1,AH!$P$12=1,$A2840=TODAY()),IF(AND(AH!$P$10=1,AH!$P$12=1,$A2840=TODAY()),TODAY(),NA()),IF(AH!$P$10=1,INDEX('Live History'!$D$5:$D$3004,MATCH($A2840,'Live History'!$D$5:$D$3004,1)),INDEX('AH History'!$E$1:$E$18046,AH!$P$7+2835))),NA()),NA())</ns0:f>
        <ns0:v/>
      </ns0:c>
      <ns0:c r="G2840">
        <ns0:f>IFERROR(IF(ISNUMBER($A2840),IF(AND(AH!$P$10=1,AH!$P$12=1,$A2840=TODAY()),IF(AND(AH!$P$10=1,AH!$P$12=1,$A2840=TODAY()),TODAY(),NA()),IF(AH!$P$10=1,INDEX('Live History'!$G$5:$G$3004,MATCH($A2840,'Live History'!$G$5:$G$3004,1)),INDEX('AH History'!$F$1:$F$18046,AH!$P$7+2835))),NA()),NA())</ns0:f>
        <ns0:v/>
      </ns0:c>
      <ns0:c r="H2840">
        <ns0:f>IFERROR(IF(AND(AH!$E$4="Bloomberg",AH!$P$10=1,ISNUMBER($A2840),$A2840&lt;=AH!$P$17),AH!$P$7-1+MATCH($A2840,INDEX('AH History'!$A$1:$A$18046,AH!$P$7):INDEX('AH History'!$A$1:$A$18046,AH!$P$7+AH!$P$8-1),0),0),0)</ns0:f>
        <ns0:v/>
      </ns0:c>
      <ns0:c r="I2840">
        <ns0:f>IF($H2840=0,0,IFERROR(IF(AND(ABS($C2840-INDEX('AH History'!$B$1:$B$18046,$H2840))&lt;=MAX(0.005,ABS(INDEX('AH History'!$B$1:$B$18046,$H2840))*0.00005),ABS($D2840-INDEX('AH History'!$C$1:$C$18046,$H2840))&lt;=MAX(0.005,ABS(INDEX('AH History'!$C$1:$C$18046,$H2840))*0.00005),ABS($E2840-INDEX('AH History'!$D$1:$D$18046,$H2840))&lt;=0.00005,$F2840=INDEX('AH History'!$E$1:$E$18046,$H2840),$G2840=INDEX('AH History'!$F$1:$F$18046,$H2840)),1,-1),-1))</ns0:f>
        <ns0:v/>
      </ns0:c>
    </ns0:row>
    <ns0:row r="2841">
      <ns0:c r="A2841" s="215">
        <ns0:f>IF(OR(AH!$P$3=0,2836+1&gt;AH!$P$11,AND(AH!$E$4&lt;&gt;"Stored",AH!$P$10&lt;&gt;1)),"",IFERROR(IF(AND(AH!$P$21=1,2836+1=AH!$P$11),TODAY(),IF(AH!$P$10=1,INDEX('Live History'!$A$5:$A$3004,AH!$P$13+2836),INDEX('AH History'!$A$1:$A$18046,AH!$P$7+2836))),""))</ns0:f>
        <ns0:v/>
      </ns0:c>
      <ns0:c r="B2841" s="219">
        <ns0:f>IFERROR(IF(AND(AH!$P$9&lt;&gt;1,$C2841&gt;0,$D2841&gt;0,$E2841&gt;0,$F2841&gt;0,$G2841&gt;0,$F2841&lt;=$A2841,$G2841&lt;=$A2841,$A2841-$F2841&lt;=10,$A2841-$G2841&lt;=5),$D2841*$E2841/$C2841-1,NA()),NA())</ns0:f>
        <ns0:v/>
      </ns0:c>
      <ns0:c r="C2841">
        <ns0:f>IFERROR(IF(ISNUMBER($A2841),IF(AND(AH!$P$10=1,AH!$P$12=1,$A2841=TODAY()),AH!$P$19,IF(AH!$P$10=1,INDEX('Live History'!$B$5:$B$3004,AH!$P$13+2836),INDEX('AH History'!$B$1:$B$18046,AH!$P$7+2836))),NA()),NA())</ns0:f>
        <ns0:v/>
      </ns0:c>
      <ns0:c r="D2841">
        <ns0:f>IFERROR(IF(ISNUMBER($A2841),IF(AND(AH!$P$10=1,AH!$P$12=1,$A2841=TODAY()),AH!$P$18,IF(AH!$P$10=1,INDEX('Live History'!$E$5:$E$3004,MATCH($A2841,'Live History'!$D$5:$D$3004,1)),INDEX('AH History'!$C$1:$C$18046,AH!$P$7+2836))),NA()),NA())</ns0:f>
        <ns0:v/>
      </ns0:c>
      <ns0:c r="E2841">
        <ns0:f>IFERROR(IF(ISNUMBER($A2841),IF(AND(AH!$P$10=1,AH!$P$12=1,$A2841=TODAY()),AH!$P$20,IF(AH!$P$10=1,INDEX('Live History'!$H$5:$H$3004,MATCH($A2841,'Live History'!$G$5:$G$3004,1)),INDEX('AH History'!$D$1:$D$18046,AH!$P$7+2836))),NA()),NA())</ns0:f>
        <ns0:v/>
      </ns0:c>
      <ns0:c r="F2841">
        <ns0:f>IFERROR(IF(ISNUMBER($A2841),IF(AND(AH!$P$10=1,AH!$P$12=1,$A2841=TODAY()),IF(AND(AH!$P$10=1,AH!$P$12=1,$A2841=TODAY()),TODAY(),NA()),IF(AH!$P$10=1,INDEX('Live History'!$D$5:$D$3004,MATCH($A2841,'Live History'!$D$5:$D$3004,1)),INDEX('AH History'!$E$1:$E$18046,AH!$P$7+2836))),NA()),NA())</ns0:f>
        <ns0:v/>
      </ns0:c>
      <ns0:c r="G2841">
        <ns0:f>IFERROR(IF(ISNUMBER($A2841),IF(AND(AH!$P$10=1,AH!$P$12=1,$A2841=TODAY()),IF(AND(AH!$P$10=1,AH!$P$12=1,$A2841=TODAY()),TODAY(),NA()),IF(AH!$P$10=1,INDEX('Live History'!$G$5:$G$3004,MATCH($A2841,'Live History'!$G$5:$G$3004,1)),INDEX('AH History'!$F$1:$F$18046,AH!$P$7+2836))),NA()),NA())</ns0:f>
        <ns0:v/>
      </ns0:c>
      <ns0:c r="H2841">
        <ns0:f>IFERROR(IF(AND(AH!$E$4="Bloomberg",AH!$P$10=1,ISNUMBER($A2841),$A2841&lt;=AH!$P$17),AH!$P$7-1+MATCH($A2841,INDEX('AH History'!$A$1:$A$18046,AH!$P$7):INDEX('AH History'!$A$1:$A$18046,AH!$P$7+AH!$P$8-1),0),0),0)</ns0:f>
        <ns0:v/>
      </ns0:c>
      <ns0:c r="I2841">
        <ns0:f>IF($H2841=0,0,IFERROR(IF(AND(ABS($C2841-INDEX('AH History'!$B$1:$B$18046,$H2841))&lt;=MAX(0.005,ABS(INDEX('AH History'!$B$1:$B$18046,$H2841))*0.00005),ABS($D2841-INDEX('AH History'!$C$1:$C$18046,$H2841))&lt;=MAX(0.005,ABS(INDEX('AH History'!$C$1:$C$18046,$H2841))*0.00005),ABS($E2841-INDEX('AH History'!$D$1:$D$18046,$H2841))&lt;=0.00005,$F2841=INDEX('AH History'!$E$1:$E$18046,$H2841),$G2841=INDEX('AH History'!$F$1:$F$18046,$H2841)),1,-1),-1))</ns0:f>
        <ns0:v/>
      </ns0:c>
    </ns0:row>
    <ns0:row r="2842">
      <ns0:c r="A2842" s="215">
        <ns0:f>IF(OR(AH!$P$3=0,2837+1&gt;AH!$P$11,AND(AH!$E$4&lt;&gt;"Stored",AH!$P$10&lt;&gt;1)),"",IFERROR(IF(AND(AH!$P$21=1,2837+1=AH!$P$11),TODAY(),IF(AH!$P$10=1,INDEX('Live History'!$A$5:$A$3004,AH!$P$13+2837),INDEX('AH History'!$A$1:$A$18046,AH!$P$7+2837))),""))</ns0:f>
        <ns0:v/>
      </ns0:c>
      <ns0:c r="B2842" s="219">
        <ns0:f>IFERROR(IF(AND(AH!$P$9&lt;&gt;1,$C2842&gt;0,$D2842&gt;0,$E2842&gt;0,$F2842&gt;0,$G2842&gt;0,$F2842&lt;=$A2842,$G2842&lt;=$A2842,$A2842-$F2842&lt;=10,$A2842-$G2842&lt;=5),$D2842*$E2842/$C2842-1,NA()),NA())</ns0:f>
        <ns0:v/>
      </ns0:c>
      <ns0:c r="C2842">
        <ns0:f>IFERROR(IF(ISNUMBER($A2842),IF(AND(AH!$P$10=1,AH!$P$12=1,$A2842=TODAY()),AH!$P$19,IF(AH!$P$10=1,INDEX('Live History'!$B$5:$B$3004,AH!$P$13+2837),INDEX('AH History'!$B$1:$B$18046,AH!$P$7+2837))),NA()),NA())</ns0:f>
        <ns0:v/>
      </ns0:c>
      <ns0:c r="D2842">
        <ns0:f>IFERROR(IF(ISNUMBER($A2842),IF(AND(AH!$P$10=1,AH!$P$12=1,$A2842=TODAY()),AH!$P$18,IF(AH!$P$10=1,INDEX('Live History'!$E$5:$E$3004,MATCH($A2842,'Live History'!$D$5:$D$3004,1)),INDEX('AH History'!$C$1:$C$18046,AH!$P$7+2837))),NA()),NA())</ns0:f>
        <ns0:v/>
      </ns0:c>
      <ns0:c r="E2842">
        <ns0:f>IFERROR(IF(ISNUMBER($A2842),IF(AND(AH!$P$10=1,AH!$P$12=1,$A2842=TODAY()),AH!$P$20,IF(AH!$P$10=1,INDEX('Live History'!$H$5:$H$3004,MATCH($A2842,'Live History'!$G$5:$G$3004,1)),INDEX('AH History'!$D$1:$D$18046,AH!$P$7+2837))),NA()),NA())</ns0:f>
        <ns0:v/>
      </ns0:c>
      <ns0:c r="F2842">
        <ns0:f>IFERROR(IF(ISNUMBER($A2842),IF(AND(AH!$P$10=1,AH!$P$12=1,$A2842=TODAY()),IF(AND(AH!$P$10=1,AH!$P$12=1,$A2842=TODAY()),TODAY(),NA()),IF(AH!$P$10=1,INDEX('Live History'!$D$5:$D$3004,MATCH($A2842,'Live History'!$D$5:$D$3004,1)),INDEX('AH History'!$E$1:$E$18046,AH!$P$7+2837))),NA()),NA())</ns0:f>
        <ns0:v/>
      </ns0:c>
      <ns0:c r="G2842">
        <ns0:f>IFERROR(IF(ISNUMBER($A2842),IF(AND(AH!$P$10=1,AH!$P$12=1,$A2842=TODAY()),IF(AND(AH!$P$10=1,AH!$P$12=1,$A2842=TODAY()),TODAY(),NA()),IF(AH!$P$10=1,INDEX('Live History'!$G$5:$G$3004,MATCH($A2842,'Live History'!$G$5:$G$3004,1)),INDEX('AH History'!$F$1:$F$18046,AH!$P$7+2837))),NA()),NA())</ns0:f>
        <ns0:v/>
      </ns0:c>
      <ns0:c r="H2842">
        <ns0:f>IFERROR(IF(AND(AH!$E$4="Bloomberg",AH!$P$10=1,ISNUMBER($A2842),$A2842&lt;=AH!$P$17),AH!$P$7-1+MATCH($A2842,INDEX('AH History'!$A$1:$A$18046,AH!$P$7):INDEX('AH History'!$A$1:$A$18046,AH!$P$7+AH!$P$8-1),0),0),0)</ns0:f>
        <ns0:v/>
      </ns0:c>
      <ns0:c r="I2842">
        <ns0:f>IF($H2842=0,0,IFERROR(IF(AND(ABS($C2842-INDEX('AH History'!$B$1:$B$18046,$H2842))&lt;=MAX(0.005,ABS(INDEX('AH History'!$B$1:$B$18046,$H2842))*0.00005),ABS($D2842-INDEX('AH History'!$C$1:$C$18046,$H2842))&lt;=MAX(0.005,ABS(INDEX('AH History'!$C$1:$C$18046,$H2842))*0.00005),ABS($E2842-INDEX('AH History'!$D$1:$D$18046,$H2842))&lt;=0.00005,$F2842=INDEX('AH History'!$E$1:$E$18046,$H2842),$G2842=INDEX('AH History'!$F$1:$F$18046,$H2842)),1,-1),-1))</ns0:f>
        <ns0:v/>
      </ns0:c>
    </ns0:row>
    <ns0:row r="2843">
      <ns0:c r="A2843" s="215">
        <ns0:f>IF(OR(AH!$P$3=0,2838+1&gt;AH!$P$11,AND(AH!$E$4&lt;&gt;"Stored",AH!$P$10&lt;&gt;1)),"",IFERROR(IF(AND(AH!$P$21=1,2838+1=AH!$P$11),TODAY(),IF(AH!$P$10=1,INDEX('Live History'!$A$5:$A$3004,AH!$P$13+2838),INDEX('AH History'!$A$1:$A$18046,AH!$P$7+2838))),""))</ns0:f>
        <ns0:v/>
      </ns0:c>
      <ns0:c r="B2843" s="219">
        <ns0:f>IFERROR(IF(AND(AH!$P$9&lt;&gt;1,$C2843&gt;0,$D2843&gt;0,$E2843&gt;0,$F2843&gt;0,$G2843&gt;0,$F2843&lt;=$A2843,$G2843&lt;=$A2843,$A2843-$F2843&lt;=10,$A2843-$G2843&lt;=5),$D2843*$E2843/$C2843-1,NA()),NA())</ns0:f>
        <ns0:v/>
      </ns0:c>
      <ns0:c r="C2843">
        <ns0:f>IFERROR(IF(ISNUMBER($A2843),IF(AND(AH!$P$10=1,AH!$P$12=1,$A2843=TODAY()),AH!$P$19,IF(AH!$P$10=1,INDEX('Live History'!$B$5:$B$3004,AH!$P$13+2838),INDEX('AH History'!$B$1:$B$18046,AH!$P$7+2838))),NA()),NA())</ns0:f>
        <ns0:v/>
      </ns0:c>
      <ns0:c r="D2843">
        <ns0:f>IFERROR(IF(ISNUMBER($A2843),IF(AND(AH!$P$10=1,AH!$P$12=1,$A2843=TODAY()),AH!$P$18,IF(AH!$P$10=1,INDEX('Live History'!$E$5:$E$3004,MATCH($A2843,'Live History'!$D$5:$D$3004,1)),INDEX('AH History'!$C$1:$C$18046,AH!$P$7+2838))),NA()),NA())</ns0:f>
        <ns0:v/>
      </ns0:c>
      <ns0:c r="E2843">
        <ns0:f>IFERROR(IF(ISNUMBER($A2843),IF(AND(AH!$P$10=1,AH!$P$12=1,$A2843=TODAY()),AH!$P$20,IF(AH!$P$10=1,INDEX('Live History'!$H$5:$H$3004,MATCH($A2843,'Live History'!$G$5:$G$3004,1)),INDEX('AH History'!$D$1:$D$18046,AH!$P$7+2838))),NA()),NA())</ns0:f>
        <ns0:v/>
      </ns0:c>
      <ns0:c r="F2843">
        <ns0:f>IFERROR(IF(ISNUMBER($A2843),IF(AND(AH!$P$10=1,AH!$P$12=1,$A2843=TODAY()),IF(AND(AH!$P$10=1,AH!$P$12=1,$A2843=TODAY()),TODAY(),NA()),IF(AH!$P$10=1,INDEX('Live History'!$D$5:$D$3004,MATCH($A2843,'Live History'!$D$5:$D$3004,1)),INDEX('AH History'!$E$1:$E$18046,AH!$P$7+2838))),NA()),NA())</ns0:f>
        <ns0:v/>
      </ns0:c>
      <ns0:c r="G2843">
        <ns0:f>IFERROR(IF(ISNUMBER($A2843),IF(AND(AH!$P$10=1,AH!$P$12=1,$A2843=TODAY()),IF(AND(AH!$P$10=1,AH!$P$12=1,$A2843=TODAY()),TODAY(),NA()),IF(AH!$P$10=1,INDEX('Live History'!$G$5:$G$3004,MATCH($A2843,'Live History'!$G$5:$G$3004,1)),INDEX('AH History'!$F$1:$F$18046,AH!$P$7+2838))),NA()),NA())</ns0:f>
        <ns0:v/>
      </ns0:c>
      <ns0:c r="H2843">
        <ns0:f>IFERROR(IF(AND(AH!$E$4="Bloomberg",AH!$P$10=1,ISNUMBER($A2843),$A2843&lt;=AH!$P$17),AH!$P$7-1+MATCH($A2843,INDEX('AH History'!$A$1:$A$18046,AH!$P$7):INDEX('AH History'!$A$1:$A$18046,AH!$P$7+AH!$P$8-1),0),0),0)</ns0:f>
        <ns0:v/>
      </ns0:c>
      <ns0:c r="I2843">
        <ns0:f>IF($H2843=0,0,IFERROR(IF(AND(ABS($C2843-INDEX('AH History'!$B$1:$B$18046,$H2843))&lt;=MAX(0.005,ABS(INDEX('AH History'!$B$1:$B$18046,$H2843))*0.00005),ABS($D2843-INDEX('AH History'!$C$1:$C$18046,$H2843))&lt;=MAX(0.005,ABS(INDEX('AH History'!$C$1:$C$18046,$H2843))*0.00005),ABS($E2843-INDEX('AH History'!$D$1:$D$18046,$H2843))&lt;=0.00005,$F2843=INDEX('AH History'!$E$1:$E$18046,$H2843),$G2843=INDEX('AH History'!$F$1:$F$18046,$H2843)),1,-1),-1))</ns0:f>
        <ns0:v/>
      </ns0:c>
    </ns0:row>
    <ns0:row r="2844">
      <ns0:c r="A2844" s="215">
        <ns0:f>IF(OR(AH!$P$3=0,2839+1&gt;AH!$P$11,AND(AH!$E$4&lt;&gt;"Stored",AH!$P$10&lt;&gt;1)),"",IFERROR(IF(AND(AH!$P$21=1,2839+1=AH!$P$11),TODAY(),IF(AH!$P$10=1,INDEX('Live History'!$A$5:$A$3004,AH!$P$13+2839),INDEX('AH History'!$A$1:$A$18046,AH!$P$7+2839))),""))</ns0:f>
        <ns0:v/>
      </ns0:c>
      <ns0:c r="B2844" s="219">
        <ns0:f>IFERROR(IF(AND(AH!$P$9&lt;&gt;1,$C2844&gt;0,$D2844&gt;0,$E2844&gt;0,$F2844&gt;0,$G2844&gt;0,$F2844&lt;=$A2844,$G2844&lt;=$A2844,$A2844-$F2844&lt;=10,$A2844-$G2844&lt;=5),$D2844*$E2844/$C2844-1,NA()),NA())</ns0:f>
        <ns0:v/>
      </ns0:c>
      <ns0:c r="C2844">
        <ns0:f>IFERROR(IF(ISNUMBER($A2844),IF(AND(AH!$P$10=1,AH!$P$12=1,$A2844=TODAY()),AH!$P$19,IF(AH!$P$10=1,INDEX('Live History'!$B$5:$B$3004,AH!$P$13+2839),INDEX('AH History'!$B$1:$B$18046,AH!$P$7+2839))),NA()),NA())</ns0:f>
        <ns0:v/>
      </ns0:c>
      <ns0:c r="D2844">
        <ns0:f>IFERROR(IF(ISNUMBER($A2844),IF(AND(AH!$P$10=1,AH!$P$12=1,$A2844=TODAY()),AH!$P$18,IF(AH!$P$10=1,INDEX('Live History'!$E$5:$E$3004,MATCH($A2844,'Live History'!$D$5:$D$3004,1)),INDEX('AH History'!$C$1:$C$18046,AH!$P$7+2839))),NA()),NA())</ns0:f>
        <ns0:v/>
      </ns0:c>
      <ns0:c r="E2844">
        <ns0:f>IFERROR(IF(ISNUMBER($A2844),IF(AND(AH!$P$10=1,AH!$P$12=1,$A2844=TODAY()),AH!$P$20,IF(AH!$P$10=1,INDEX('Live History'!$H$5:$H$3004,MATCH($A2844,'Live History'!$G$5:$G$3004,1)),INDEX('AH History'!$D$1:$D$18046,AH!$P$7+2839))),NA()),NA())</ns0:f>
        <ns0:v/>
      </ns0:c>
      <ns0:c r="F2844">
        <ns0:f>IFERROR(IF(ISNUMBER($A2844),IF(AND(AH!$P$10=1,AH!$P$12=1,$A2844=TODAY()),IF(AND(AH!$P$10=1,AH!$P$12=1,$A2844=TODAY()),TODAY(),NA()),IF(AH!$P$10=1,INDEX('Live History'!$D$5:$D$3004,MATCH($A2844,'Live History'!$D$5:$D$3004,1)),INDEX('AH History'!$E$1:$E$18046,AH!$P$7+2839))),NA()),NA())</ns0:f>
        <ns0:v/>
      </ns0:c>
      <ns0:c r="G2844">
        <ns0:f>IFERROR(IF(ISNUMBER($A2844),IF(AND(AH!$P$10=1,AH!$P$12=1,$A2844=TODAY()),IF(AND(AH!$P$10=1,AH!$P$12=1,$A2844=TODAY()),TODAY(),NA()),IF(AH!$P$10=1,INDEX('Live History'!$G$5:$G$3004,MATCH($A2844,'Live History'!$G$5:$G$3004,1)),INDEX('AH History'!$F$1:$F$18046,AH!$P$7+2839))),NA()),NA())</ns0:f>
        <ns0:v/>
      </ns0:c>
      <ns0:c r="H2844">
        <ns0:f>IFERROR(IF(AND(AH!$E$4="Bloomberg",AH!$P$10=1,ISNUMBER($A2844),$A2844&lt;=AH!$P$17),AH!$P$7-1+MATCH($A2844,INDEX('AH History'!$A$1:$A$18046,AH!$P$7):INDEX('AH History'!$A$1:$A$18046,AH!$P$7+AH!$P$8-1),0),0),0)</ns0:f>
        <ns0:v/>
      </ns0:c>
      <ns0:c r="I2844">
        <ns0:f>IF($H2844=0,0,IFERROR(IF(AND(ABS($C2844-INDEX('AH History'!$B$1:$B$18046,$H2844))&lt;=MAX(0.005,ABS(INDEX('AH History'!$B$1:$B$18046,$H2844))*0.00005),ABS($D2844-INDEX('AH History'!$C$1:$C$18046,$H2844))&lt;=MAX(0.005,ABS(INDEX('AH History'!$C$1:$C$18046,$H2844))*0.00005),ABS($E2844-INDEX('AH History'!$D$1:$D$18046,$H2844))&lt;=0.00005,$F2844=INDEX('AH History'!$E$1:$E$18046,$H2844),$G2844=INDEX('AH History'!$F$1:$F$18046,$H2844)),1,-1),-1))</ns0:f>
        <ns0:v/>
      </ns0:c>
    </ns0:row>
    <ns0:row r="2845">
      <ns0:c r="A2845" s="215">
        <ns0:f>IF(OR(AH!$P$3=0,2840+1&gt;AH!$P$11,AND(AH!$E$4&lt;&gt;"Stored",AH!$P$10&lt;&gt;1)),"",IFERROR(IF(AND(AH!$P$21=1,2840+1=AH!$P$11),TODAY(),IF(AH!$P$10=1,INDEX('Live History'!$A$5:$A$3004,AH!$P$13+2840),INDEX('AH History'!$A$1:$A$18046,AH!$P$7+2840))),""))</ns0:f>
        <ns0:v/>
      </ns0:c>
      <ns0:c r="B2845" s="219">
        <ns0:f>IFERROR(IF(AND(AH!$P$9&lt;&gt;1,$C2845&gt;0,$D2845&gt;0,$E2845&gt;0,$F2845&gt;0,$G2845&gt;0,$F2845&lt;=$A2845,$G2845&lt;=$A2845,$A2845-$F2845&lt;=10,$A2845-$G2845&lt;=5),$D2845*$E2845/$C2845-1,NA()),NA())</ns0:f>
        <ns0:v/>
      </ns0:c>
      <ns0:c r="C2845">
        <ns0:f>IFERROR(IF(ISNUMBER($A2845),IF(AND(AH!$P$10=1,AH!$P$12=1,$A2845=TODAY()),AH!$P$19,IF(AH!$P$10=1,INDEX('Live History'!$B$5:$B$3004,AH!$P$13+2840),INDEX('AH History'!$B$1:$B$18046,AH!$P$7+2840))),NA()),NA())</ns0:f>
        <ns0:v/>
      </ns0:c>
      <ns0:c r="D2845">
        <ns0:f>IFERROR(IF(ISNUMBER($A2845),IF(AND(AH!$P$10=1,AH!$P$12=1,$A2845=TODAY()),AH!$P$18,IF(AH!$P$10=1,INDEX('Live History'!$E$5:$E$3004,MATCH($A2845,'Live History'!$D$5:$D$3004,1)),INDEX('AH History'!$C$1:$C$18046,AH!$P$7+2840))),NA()),NA())</ns0:f>
        <ns0:v/>
      </ns0:c>
      <ns0:c r="E2845">
        <ns0:f>IFERROR(IF(ISNUMBER($A2845),IF(AND(AH!$P$10=1,AH!$P$12=1,$A2845=TODAY()),AH!$P$20,IF(AH!$P$10=1,INDEX('Live History'!$H$5:$H$3004,MATCH($A2845,'Live History'!$G$5:$G$3004,1)),INDEX('AH History'!$D$1:$D$18046,AH!$P$7+2840))),NA()),NA())</ns0:f>
        <ns0:v/>
      </ns0:c>
      <ns0:c r="F2845">
        <ns0:f>IFERROR(IF(ISNUMBER($A2845),IF(AND(AH!$P$10=1,AH!$P$12=1,$A2845=TODAY()),IF(AND(AH!$P$10=1,AH!$P$12=1,$A2845=TODAY()),TODAY(),NA()),IF(AH!$P$10=1,INDEX('Live History'!$D$5:$D$3004,MATCH($A2845,'Live History'!$D$5:$D$3004,1)),INDEX('AH History'!$E$1:$E$18046,AH!$P$7+2840))),NA()),NA())</ns0:f>
        <ns0:v/>
      </ns0:c>
      <ns0:c r="G2845">
        <ns0:f>IFERROR(IF(ISNUMBER($A2845),IF(AND(AH!$P$10=1,AH!$P$12=1,$A2845=TODAY()),IF(AND(AH!$P$10=1,AH!$P$12=1,$A2845=TODAY()),TODAY(),NA()),IF(AH!$P$10=1,INDEX('Live History'!$G$5:$G$3004,MATCH($A2845,'Live History'!$G$5:$G$3004,1)),INDEX('AH History'!$F$1:$F$18046,AH!$P$7+2840))),NA()),NA())</ns0:f>
        <ns0:v/>
      </ns0:c>
      <ns0:c r="H2845">
        <ns0:f>IFERROR(IF(AND(AH!$E$4="Bloomberg",AH!$P$10=1,ISNUMBER($A2845),$A2845&lt;=AH!$P$17),AH!$P$7-1+MATCH($A2845,INDEX('AH History'!$A$1:$A$18046,AH!$P$7):INDEX('AH History'!$A$1:$A$18046,AH!$P$7+AH!$P$8-1),0),0),0)</ns0:f>
        <ns0:v/>
      </ns0:c>
      <ns0:c r="I2845">
        <ns0:f>IF($H2845=0,0,IFERROR(IF(AND(ABS($C2845-INDEX('AH History'!$B$1:$B$18046,$H2845))&lt;=MAX(0.005,ABS(INDEX('AH History'!$B$1:$B$18046,$H2845))*0.00005),ABS($D2845-INDEX('AH History'!$C$1:$C$18046,$H2845))&lt;=MAX(0.005,ABS(INDEX('AH History'!$C$1:$C$18046,$H2845))*0.00005),ABS($E2845-INDEX('AH History'!$D$1:$D$18046,$H2845))&lt;=0.00005,$F2845=INDEX('AH History'!$E$1:$E$18046,$H2845),$G2845=INDEX('AH History'!$F$1:$F$18046,$H2845)),1,-1),-1))</ns0:f>
        <ns0:v/>
      </ns0:c>
    </ns0:row>
    <ns0:row r="2846">
      <ns0:c r="A2846" s="215">
        <ns0:f>IF(OR(AH!$P$3=0,2841+1&gt;AH!$P$11,AND(AH!$E$4&lt;&gt;"Stored",AH!$P$10&lt;&gt;1)),"",IFERROR(IF(AND(AH!$P$21=1,2841+1=AH!$P$11),TODAY(),IF(AH!$P$10=1,INDEX('Live History'!$A$5:$A$3004,AH!$P$13+2841),INDEX('AH History'!$A$1:$A$18046,AH!$P$7+2841))),""))</ns0:f>
        <ns0:v/>
      </ns0:c>
      <ns0:c r="B2846" s="219">
        <ns0:f>IFERROR(IF(AND(AH!$P$9&lt;&gt;1,$C2846&gt;0,$D2846&gt;0,$E2846&gt;0,$F2846&gt;0,$G2846&gt;0,$F2846&lt;=$A2846,$G2846&lt;=$A2846,$A2846-$F2846&lt;=10,$A2846-$G2846&lt;=5),$D2846*$E2846/$C2846-1,NA()),NA())</ns0:f>
        <ns0:v/>
      </ns0:c>
      <ns0:c r="C2846">
        <ns0:f>IFERROR(IF(ISNUMBER($A2846),IF(AND(AH!$P$10=1,AH!$P$12=1,$A2846=TODAY()),AH!$P$19,IF(AH!$P$10=1,INDEX('Live History'!$B$5:$B$3004,AH!$P$13+2841),INDEX('AH History'!$B$1:$B$18046,AH!$P$7+2841))),NA()),NA())</ns0:f>
        <ns0:v/>
      </ns0:c>
      <ns0:c r="D2846">
        <ns0:f>IFERROR(IF(ISNUMBER($A2846),IF(AND(AH!$P$10=1,AH!$P$12=1,$A2846=TODAY()),AH!$P$18,IF(AH!$P$10=1,INDEX('Live History'!$E$5:$E$3004,MATCH($A2846,'Live History'!$D$5:$D$3004,1)),INDEX('AH History'!$C$1:$C$18046,AH!$P$7+2841))),NA()),NA())</ns0:f>
        <ns0:v/>
      </ns0:c>
      <ns0:c r="E2846">
        <ns0:f>IFERROR(IF(ISNUMBER($A2846),IF(AND(AH!$P$10=1,AH!$P$12=1,$A2846=TODAY()),AH!$P$20,IF(AH!$P$10=1,INDEX('Live History'!$H$5:$H$3004,MATCH($A2846,'Live History'!$G$5:$G$3004,1)),INDEX('AH History'!$D$1:$D$18046,AH!$P$7+2841))),NA()),NA())</ns0:f>
        <ns0:v/>
      </ns0:c>
      <ns0:c r="F2846">
        <ns0:f>IFERROR(IF(ISNUMBER($A2846),IF(AND(AH!$P$10=1,AH!$P$12=1,$A2846=TODAY()),IF(AND(AH!$P$10=1,AH!$P$12=1,$A2846=TODAY()),TODAY(),NA()),IF(AH!$P$10=1,INDEX('Live History'!$D$5:$D$3004,MATCH($A2846,'Live History'!$D$5:$D$3004,1)),INDEX('AH History'!$E$1:$E$18046,AH!$P$7+2841))),NA()),NA())</ns0:f>
        <ns0:v/>
      </ns0:c>
      <ns0:c r="G2846">
        <ns0:f>IFERROR(IF(ISNUMBER($A2846),IF(AND(AH!$P$10=1,AH!$P$12=1,$A2846=TODAY()),IF(AND(AH!$P$10=1,AH!$P$12=1,$A2846=TODAY()),TODAY(),NA()),IF(AH!$P$10=1,INDEX('Live History'!$G$5:$G$3004,MATCH($A2846,'Live History'!$G$5:$G$3004,1)),INDEX('AH History'!$F$1:$F$18046,AH!$P$7+2841))),NA()),NA())</ns0:f>
        <ns0:v/>
      </ns0:c>
      <ns0:c r="H2846">
        <ns0:f>IFERROR(IF(AND(AH!$E$4="Bloomberg",AH!$P$10=1,ISNUMBER($A2846),$A2846&lt;=AH!$P$17),AH!$P$7-1+MATCH($A2846,INDEX('AH History'!$A$1:$A$18046,AH!$P$7):INDEX('AH History'!$A$1:$A$18046,AH!$P$7+AH!$P$8-1),0),0),0)</ns0:f>
        <ns0:v/>
      </ns0:c>
      <ns0:c r="I2846">
        <ns0:f>IF($H2846=0,0,IFERROR(IF(AND(ABS($C2846-INDEX('AH History'!$B$1:$B$18046,$H2846))&lt;=MAX(0.005,ABS(INDEX('AH History'!$B$1:$B$18046,$H2846))*0.00005),ABS($D2846-INDEX('AH History'!$C$1:$C$18046,$H2846))&lt;=MAX(0.005,ABS(INDEX('AH History'!$C$1:$C$18046,$H2846))*0.00005),ABS($E2846-INDEX('AH History'!$D$1:$D$18046,$H2846))&lt;=0.00005,$F2846=INDEX('AH History'!$E$1:$E$18046,$H2846),$G2846=INDEX('AH History'!$F$1:$F$18046,$H2846)),1,-1),-1))</ns0:f>
        <ns0:v/>
      </ns0:c>
    </ns0:row>
    <ns0:row r="2847">
      <ns0:c r="A2847" s="215">
        <ns0:f>IF(OR(AH!$P$3=0,2842+1&gt;AH!$P$11,AND(AH!$E$4&lt;&gt;"Stored",AH!$P$10&lt;&gt;1)),"",IFERROR(IF(AND(AH!$P$21=1,2842+1=AH!$P$11),TODAY(),IF(AH!$P$10=1,INDEX('Live History'!$A$5:$A$3004,AH!$P$13+2842),INDEX('AH History'!$A$1:$A$18046,AH!$P$7+2842))),""))</ns0:f>
        <ns0:v/>
      </ns0:c>
      <ns0:c r="B2847" s="219">
        <ns0:f>IFERROR(IF(AND(AH!$P$9&lt;&gt;1,$C2847&gt;0,$D2847&gt;0,$E2847&gt;0,$F2847&gt;0,$G2847&gt;0,$F2847&lt;=$A2847,$G2847&lt;=$A2847,$A2847-$F2847&lt;=10,$A2847-$G2847&lt;=5),$D2847*$E2847/$C2847-1,NA()),NA())</ns0:f>
        <ns0:v/>
      </ns0:c>
      <ns0:c r="C2847">
        <ns0:f>IFERROR(IF(ISNUMBER($A2847),IF(AND(AH!$P$10=1,AH!$P$12=1,$A2847=TODAY()),AH!$P$19,IF(AH!$P$10=1,INDEX('Live History'!$B$5:$B$3004,AH!$P$13+2842),INDEX('AH History'!$B$1:$B$18046,AH!$P$7+2842))),NA()),NA())</ns0:f>
        <ns0:v/>
      </ns0:c>
      <ns0:c r="D2847">
        <ns0:f>IFERROR(IF(ISNUMBER($A2847),IF(AND(AH!$P$10=1,AH!$P$12=1,$A2847=TODAY()),AH!$P$18,IF(AH!$P$10=1,INDEX('Live History'!$E$5:$E$3004,MATCH($A2847,'Live History'!$D$5:$D$3004,1)),INDEX('AH History'!$C$1:$C$18046,AH!$P$7+2842))),NA()),NA())</ns0:f>
        <ns0:v/>
      </ns0:c>
      <ns0:c r="E2847">
        <ns0:f>IFERROR(IF(ISNUMBER($A2847),IF(AND(AH!$P$10=1,AH!$P$12=1,$A2847=TODAY()),AH!$P$20,IF(AH!$P$10=1,INDEX('Live History'!$H$5:$H$3004,MATCH($A2847,'Live History'!$G$5:$G$3004,1)),INDEX('AH History'!$D$1:$D$18046,AH!$P$7+2842))),NA()),NA())</ns0:f>
        <ns0:v/>
      </ns0:c>
      <ns0:c r="F2847">
        <ns0:f>IFERROR(IF(ISNUMBER($A2847),IF(AND(AH!$P$10=1,AH!$P$12=1,$A2847=TODAY()),IF(AND(AH!$P$10=1,AH!$P$12=1,$A2847=TODAY()),TODAY(),NA()),IF(AH!$P$10=1,INDEX('Live History'!$D$5:$D$3004,MATCH($A2847,'Live History'!$D$5:$D$3004,1)),INDEX('AH History'!$E$1:$E$18046,AH!$P$7+2842))),NA()),NA())</ns0:f>
        <ns0:v/>
      </ns0:c>
      <ns0:c r="G2847">
        <ns0:f>IFERROR(IF(ISNUMBER($A2847),IF(AND(AH!$P$10=1,AH!$P$12=1,$A2847=TODAY()),IF(AND(AH!$P$10=1,AH!$P$12=1,$A2847=TODAY()),TODAY(),NA()),IF(AH!$P$10=1,INDEX('Live History'!$G$5:$G$3004,MATCH($A2847,'Live History'!$G$5:$G$3004,1)),INDEX('AH History'!$F$1:$F$18046,AH!$P$7+2842))),NA()),NA())</ns0:f>
        <ns0:v/>
      </ns0:c>
      <ns0:c r="H2847">
        <ns0:f>IFERROR(IF(AND(AH!$E$4="Bloomberg",AH!$P$10=1,ISNUMBER($A2847),$A2847&lt;=AH!$P$17),AH!$P$7-1+MATCH($A2847,INDEX('AH History'!$A$1:$A$18046,AH!$P$7):INDEX('AH History'!$A$1:$A$18046,AH!$P$7+AH!$P$8-1),0),0),0)</ns0:f>
        <ns0:v/>
      </ns0:c>
      <ns0:c r="I2847">
        <ns0:f>IF($H2847=0,0,IFERROR(IF(AND(ABS($C2847-INDEX('AH History'!$B$1:$B$18046,$H2847))&lt;=MAX(0.005,ABS(INDEX('AH History'!$B$1:$B$18046,$H2847))*0.00005),ABS($D2847-INDEX('AH History'!$C$1:$C$18046,$H2847))&lt;=MAX(0.005,ABS(INDEX('AH History'!$C$1:$C$18046,$H2847))*0.00005),ABS($E2847-INDEX('AH History'!$D$1:$D$18046,$H2847))&lt;=0.00005,$F2847=INDEX('AH History'!$E$1:$E$18046,$H2847),$G2847=INDEX('AH History'!$F$1:$F$18046,$H2847)),1,-1),-1))</ns0:f>
        <ns0:v/>
      </ns0:c>
    </ns0:row>
    <ns0:row r="2848">
      <ns0:c r="A2848" s="215">
        <ns0:f>IF(OR(AH!$P$3=0,2843+1&gt;AH!$P$11,AND(AH!$E$4&lt;&gt;"Stored",AH!$P$10&lt;&gt;1)),"",IFERROR(IF(AND(AH!$P$21=1,2843+1=AH!$P$11),TODAY(),IF(AH!$P$10=1,INDEX('Live History'!$A$5:$A$3004,AH!$P$13+2843),INDEX('AH History'!$A$1:$A$18046,AH!$P$7+2843))),""))</ns0:f>
        <ns0:v/>
      </ns0:c>
      <ns0:c r="B2848" s="219">
        <ns0:f>IFERROR(IF(AND(AH!$P$9&lt;&gt;1,$C2848&gt;0,$D2848&gt;0,$E2848&gt;0,$F2848&gt;0,$G2848&gt;0,$F2848&lt;=$A2848,$G2848&lt;=$A2848,$A2848-$F2848&lt;=10,$A2848-$G2848&lt;=5),$D2848*$E2848/$C2848-1,NA()),NA())</ns0:f>
        <ns0:v/>
      </ns0:c>
      <ns0:c r="C2848">
        <ns0:f>IFERROR(IF(ISNUMBER($A2848),IF(AND(AH!$P$10=1,AH!$P$12=1,$A2848=TODAY()),AH!$P$19,IF(AH!$P$10=1,INDEX('Live History'!$B$5:$B$3004,AH!$P$13+2843),INDEX('AH History'!$B$1:$B$18046,AH!$P$7+2843))),NA()),NA())</ns0:f>
        <ns0:v/>
      </ns0:c>
      <ns0:c r="D2848">
        <ns0:f>IFERROR(IF(ISNUMBER($A2848),IF(AND(AH!$P$10=1,AH!$P$12=1,$A2848=TODAY()),AH!$P$18,IF(AH!$P$10=1,INDEX('Live History'!$E$5:$E$3004,MATCH($A2848,'Live History'!$D$5:$D$3004,1)),INDEX('AH History'!$C$1:$C$18046,AH!$P$7+2843))),NA()),NA())</ns0:f>
        <ns0:v/>
      </ns0:c>
      <ns0:c r="E2848">
        <ns0:f>IFERROR(IF(ISNUMBER($A2848),IF(AND(AH!$P$10=1,AH!$P$12=1,$A2848=TODAY()),AH!$P$20,IF(AH!$P$10=1,INDEX('Live History'!$H$5:$H$3004,MATCH($A2848,'Live History'!$G$5:$G$3004,1)),INDEX('AH History'!$D$1:$D$18046,AH!$P$7+2843))),NA()),NA())</ns0:f>
        <ns0:v/>
      </ns0:c>
      <ns0:c r="F2848">
        <ns0:f>IFERROR(IF(ISNUMBER($A2848),IF(AND(AH!$P$10=1,AH!$P$12=1,$A2848=TODAY()),IF(AND(AH!$P$10=1,AH!$P$12=1,$A2848=TODAY()),TODAY(),NA()),IF(AH!$P$10=1,INDEX('Live History'!$D$5:$D$3004,MATCH($A2848,'Live History'!$D$5:$D$3004,1)),INDEX('AH History'!$E$1:$E$18046,AH!$P$7+2843))),NA()),NA())</ns0:f>
        <ns0:v/>
      </ns0:c>
      <ns0:c r="G2848">
        <ns0:f>IFERROR(IF(ISNUMBER($A2848),IF(AND(AH!$P$10=1,AH!$P$12=1,$A2848=TODAY()),IF(AND(AH!$P$10=1,AH!$P$12=1,$A2848=TODAY()),TODAY(),NA()),IF(AH!$P$10=1,INDEX('Live History'!$G$5:$G$3004,MATCH($A2848,'Live History'!$G$5:$G$3004,1)),INDEX('AH History'!$F$1:$F$18046,AH!$P$7+2843))),NA()),NA())</ns0:f>
        <ns0:v/>
      </ns0:c>
      <ns0:c r="H2848">
        <ns0:f>IFERROR(IF(AND(AH!$E$4="Bloomberg",AH!$P$10=1,ISNUMBER($A2848),$A2848&lt;=AH!$P$17),AH!$P$7-1+MATCH($A2848,INDEX('AH History'!$A$1:$A$18046,AH!$P$7):INDEX('AH History'!$A$1:$A$18046,AH!$P$7+AH!$P$8-1),0),0),0)</ns0:f>
        <ns0:v/>
      </ns0:c>
      <ns0:c r="I2848">
        <ns0:f>IF($H2848=0,0,IFERROR(IF(AND(ABS($C2848-INDEX('AH History'!$B$1:$B$18046,$H2848))&lt;=MAX(0.005,ABS(INDEX('AH History'!$B$1:$B$18046,$H2848))*0.00005),ABS($D2848-INDEX('AH History'!$C$1:$C$18046,$H2848))&lt;=MAX(0.005,ABS(INDEX('AH History'!$C$1:$C$18046,$H2848))*0.00005),ABS($E2848-INDEX('AH History'!$D$1:$D$18046,$H2848))&lt;=0.00005,$F2848=INDEX('AH History'!$E$1:$E$18046,$H2848),$G2848=INDEX('AH History'!$F$1:$F$18046,$H2848)),1,-1),-1))</ns0:f>
        <ns0:v/>
      </ns0:c>
    </ns0:row>
    <ns0:row r="2849">
      <ns0:c r="A2849" s="215">
        <ns0:f>IF(OR(AH!$P$3=0,2844+1&gt;AH!$P$11,AND(AH!$E$4&lt;&gt;"Stored",AH!$P$10&lt;&gt;1)),"",IFERROR(IF(AND(AH!$P$21=1,2844+1=AH!$P$11),TODAY(),IF(AH!$P$10=1,INDEX('Live History'!$A$5:$A$3004,AH!$P$13+2844),INDEX('AH History'!$A$1:$A$18046,AH!$P$7+2844))),""))</ns0:f>
        <ns0:v/>
      </ns0:c>
      <ns0:c r="B2849" s="219">
        <ns0:f>IFERROR(IF(AND(AH!$P$9&lt;&gt;1,$C2849&gt;0,$D2849&gt;0,$E2849&gt;0,$F2849&gt;0,$G2849&gt;0,$F2849&lt;=$A2849,$G2849&lt;=$A2849,$A2849-$F2849&lt;=10,$A2849-$G2849&lt;=5),$D2849*$E2849/$C2849-1,NA()),NA())</ns0:f>
        <ns0:v/>
      </ns0:c>
      <ns0:c r="C2849">
        <ns0:f>IFERROR(IF(ISNUMBER($A2849),IF(AND(AH!$P$10=1,AH!$P$12=1,$A2849=TODAY()),AH!$P$19,IF(AH!$P$10=1,INDEX('Live History'!$B$5:$B$3004,AH!$P$13+2844),INDEX('AH History'!$B$1:$B$18046,AH!$P$7+2844))),NA()),NA())</ns0:f>
        <ns0:v/>
      </ns0:c>
      <ns0:c r="D2849">
        <ns0:f>IFERROR(IF(ISNUMBER($A2849),IF(AND(AH!$P$10=1,AH!$P$12=1,$A2849=TODAY()),AH!$P$18,IF(AH!$P$10=1,INDEX('Live History'!$E$5:$E$3004,MATCH($A2849,'Live History'!$D$5:$D$3004,1)),INDEX('AH History'!$C$1:$C$18046,AH!$P$7+2844))),NA()),NA())</ns0:f>
        <ns0:v/>
      </ns0:c>
      <ns0:c r="E2849">
        <ns0:f>IFERROR(IF(ISNUMBER($A2849),IF(AND(AH!$P$10=1,AH!$P$12=1,$A2849=TODAY()),AH!$P$20,IF(AH!$P$10=1,INDEX('Live History'!$H$5:$H$3004,MATCH($A2849,'Live History'!$G$5:$G$3004,1)),INDEX('AH History'!$D$1:$D$18046,AH!$P$7+2844))),NA()),NA())</ns0:f>
        <ns0:v/>
      </ns0:c>
      <ns0:c r="F2849">
        <ns0:f>IFERROR(IF(ISNUMBER($A2849),IF(AND(AH!$P$10=1,AH!$P$12=1,$A2849=TODAY()),IF(AND(AH!$P$10=1,AH!$P$12=1,$A2849=TODAY()),TODAY(),NA()),IF(AH!$P$10=1,INDEX('Live History'!$D$5:$D$3004,MATCH($A2849,'Live History'!$D$5:$D$3004,1)),INDEX('AH History'!$E$1:$E$18046,AH!$P$7+2844))),NA()),NA())</ns0:f>
        <ns0:v/>
      </ns0:c>
      <ns0:c r="G2849">
        <ns0:f>IFERROR(IF(ISNUMBER($A2849),IF(AND(AH!$P$10=1,AH!$P$12=1,$A2849=TODAY()),IF(AND(AH!$P$10=1,AH!$P$12=1,$A2849=TODAY()),TODAY(),NA()),IF(AH!$P$10=1,INDEX('Live History'!$G$5:$G$3004,MATCH($A2849,'Live History'!$G$5:$G$3004,1)),INDEX('AH History'!$F$1:$F$18046,AH!$P$7+2844))),NA()),NA())</ns0:f>
        <ns0:v/>
      </ns0:c>
      <ns0:c r="H2849">
        <ns0:f>IFERROR(IF(AND(AH!$E$4="Bloomberg",AH!$P$10=1,ISNUMBER($A2849),$A2849&lt;=AH!$P$17),AH!$P$7-1+MATCH($A2849,INDEX('AH History'!$A$1:$A$18046,AH!$P$7):INDEX('AH History'!$A$1:$A$18046,AH!$P$7+AH!$P$8-1),0),0),0)</ns0:f>
        <ns0:v/>
      </ns0:c>
      <ns0:c r="I2849">
        <ns0:f>IF($H2849=0,0,IFERROR(IF(AND(ABS($C2849-INDEX('AH History'!$B$1:$B$18046,$H2849))&lt;=MAX(0.005,ABS(INDEX('AH History'!$B$1:$B$18046,$H2849))*0.00005),ABS($D2849-INDEX('AH History'!$C$1:$C$18046,$H2849))&lt;=MAX(0.005,ABS(INDEX('AH History'!$C$1:$C$18046,$H2849))*0.00005),ABS($E2849-INDEX('AH History'!$D$1:$D$18046,$H2849))&lt;=0.00005,$F2849=INDEX('AH History'!$E$1:$E$18046,$H2849),$G2849=INDEX('AH History'!$F$1:$F$18046,$H2849)),1,-1),-1))</ns0:f>
        <ns0:v/>
      </ns0:c>
    </ns0:row>
    <ns0:row r="2850">
      <ns0:c r="A2850" s="215">
        <ns0:f>IF(OR(AH!$P$3=0,2845+1&gt;AH!$P$11,AND(AH!$E$4&lt;&gt;"Stored",AH!$P$10&lt;&gt;1)),"",IFERROR(IF(AND(AH!$P$21=1,2845+1=AH!$P$11),TODAY(),IF(AH!$P$10=1,INDEX('Live History'!$A$5:$A$3004,AH!$P$13+2845),INDEX('AH History'!$A$1:$A$18046,AH!$P$7+2845))),""))</ns0:f>
        <ns0:v/>
      </ns0:c>
      <ns0:c r="B2850" s="219">
        <ns0:f>IFERROR(IF(AND(AH!$P$9&lt;&gt;1,$C2850&gt;0,$D2850&gt;0,$E2850&gt;0,$F2850&gt;0,$G2850&gt;0,$F2850&lt;=$A2850,$G2850&lt;=$A2850,$A2850-$F2850&lt;=10,$A2850-$G2850&lt;=5),$D2850*$E2850/$C2850-1,NA()),NA())</ns0:f>
        <ns0:v/>
      </ns0:c>
      <ns0:c r="C2850">
        <ns0:f>IFERROR(IF(ISNUMBER($A2850),IF(AND(AH!$P$10=1,AH!$P$12=1,$A2850=TODAY()),AH!$P$19,IF(AH!$P$10=1,INDEX('Live History'!$B$5:$B$3004,AH!$P$13+2845),INDEX('AH History'!$B$1:$B$18046,AH!$P$7+2845))),NA()),NA())</ns0:f>
        <ns0:v/>
      </ns0:c>
      <ns0:c r="D2850">
        <ns0:f>IFERROR(IF(ISNUMBER($A2850),IF(AND(AH!$P$10=1,AH!$P$12=1,$A2850=TODAY()),AH!$P$18,IF(AH!$P$10=1,INDEX('Live History'!$E$5:$E$3004,MATCH($A2850,'Live History'!$D$5:$D$3004,1)),INDEX('AH History'!$C$1:$C$18046,AH!$P$7+2845))),NA()),NA())</ns0:f>
        <ns0:v/>
      </ns0:c>
      <ns0:c r="E2850">
        <ns0:f>IFERROR(IF(ISNUMBER($A2850),IF(AND(AH!$P$10=1,AH!$P$12=1,$A2850=TODAY()),AH!$P$20,IF(AH!$P$10=1,INDEX('Live History'!$H$5:$H$3004,MATCH($A2850,'Live History'!$G$5:$G$3004,1)),INDEX('AH History'!$D$1:$D$18046,AH!$P$7+2845))),NA()),NA())</ns0:f>
        <ns0:v/>
      </ns0:c>
      <ns0:c r="F2850">
        <ns0:f>IFERROR(IF(ISNUMBER($A2850),IF(AND(AH!$P$10=1,AH!$P$12=1,$A2850=TODAY()),IF(AND(AH!$P$10=1,AH!$P$12=1,$A2850=TODAY()),TODAY(),NA()),IF(AH!$P$10=1,INDEX('Live History'!$D$5:$D$3004,MATCH($A2850,'Live History'!$D$5:$D$3004,1)),INDEX('AH History'!$E$1:$E$18046,AH!$P$7+2845))),NA()),NA())</ns0:f>
        <ns0:v/>
      </ns0:c>
      <ns0:c r="G2850">
        <ns0:f>IFERROR(IF(ISNUMBER($A2850),IF(AND(AH!$P$10=1,AH!$P$12=1,$A2850=TODAY()),IF(AND(AH!$P$10=1,AH!$P$12=1,$A2850=TODAY()),TODAY(),NA()),IF(AH!$P$10=1,INDEX('Live History'!$G$5:$G$3004,MATCH($A2850,'Live History'!$G$5:$G$3004,1)),INDEX('AH History'!$F$1:$F$18046,AH!$P$7+2845))),NA()),NA())</ns0:f>
        <ns0:v/>
      </ns0:c>
      <ns0:c r="H2850">
        <ns0:f>IFERROR(IF(AND(AH!$E$4="Bloomberg",AH!$P$10=1,ISNUMBER($A2850),$A2850&lt;=AH!$P$17),AH!$P$7-1+MATCH($A2850,INDEX('AH History'!$A$1:$A$18046,AH!$P$7):INDEX('AH History'!$A$1:$A$18046,AH!$P$7+AH!$P$8-1),0),0),0)</ns0:f>
        <ns0:v/>
      </ns0:c>
      <ns0:c r="I2850">
        <ns0:f>IF($H2850=0,0,IFERROR(IF(AND(ABS($C2850-INDEX('AH History'!$B$1:$B$18046,$H2850))&lt;=MAX(0.005,ABS(INDEX('AH History'!$B$1:$B$18046,$H2850))*0.00005),ABS($D2850-INDEX('AH History'!$C$1:$C$18046,$H2850))&lt;=MAX(0.005,ABS(INDEX('AH History'!$C$1:$C$18046,$H2850))*0.00005),ABS($E2850-INDEX('AH History'!$D$1:$D$18046,$H2850))&lt;=0.00005,$F2850=INDEX('AH History'!$E$1:$E$18046,$H2850),$G2850=INDEX('AH History'!$F$1:$F$18046,$H2850)),1,-1),-1))</ns0:f>
        <ns0:v/>
      </ns0:c>
    </ns0:row>
    <ns0:row r="2851">
      <ns0:c r="A2851" s="215">
        <ns0:f>IF(OR(AH!$P$3=0,2846+1&gt;AH!$P$11,AND(AH!$E$4&lt;&gt;"Stored",AH!$P$10&lt;&gt;1)),"",IFERROR(IF(AND(AH!$P$21=1,2846+1=AH!$P$11),TODAY(),IF(AH!$P$10=1,INDEX('Live History'!$A$5:$A$3004,AH!$P$13+2846),INDEX('AH History'!$A$1:$A$18046,AH!$P$7+2846))),""))</ns0:f>
        <ns0:v/>
      </ns0:c>
      <ns0:c r="B2851" s="219">
        <ns0:f>IFERROR(IF(AND(AH!$P$9&lt;&gt;1,$C2851&gt;0,$D2851&gt;0,$E2851&gt;0,$F2851&gt;0,$G2851&gt;0,$F2851&lt;=$A2851,$G2851&lt;=$A2851,$A2851-$F2851&lt;=10,$A2851-$G2851&lt;=5),$D2851*$E2851/$C2851-1,NA()),NA())</ns0:f>
        <ns0:v/>
      </ns0:c>
      <ns0:c r="C2851">
        <ns0:f>IFERROR(IF(ISNUMBER($A2851),IF(AND(AH!$P$10=1,AH!$P$12=1,$A2851=TODAY()),AH!$P$19,IF(AH!$P$10=1,INDEX('Live History'!$B$5:$B$3004,AH!$P$13+2846),INDEX('AH History'!$B$1:$B$18046,AH!$P$7+2846))),NA()),NA())</ns0:f>
        <ns0:v/>
      </ns0:c>
      <ns0:c r="D2851">
        <ns0:f>IFERROR(IF(ISNUMBER($A2851),IF(AND(AH!$P$10=1,AH!$P$12=1,$A2851=TODAY()),AH!$P$18,IF(AH!$P$10=1,INDEX('Live History'!$E$5:$E$3004,MATCH($A2851,'Live History'!$D$5:$D$3004,1)),INDEX('AH History'!$C$1:$C$18046,AH!$P$7+2846))),NA()),NA())</ns0:f>
        <ns0:v/>
      </ns0:c>
      <ns0:c r="E2851">
        <ns0:f>IFERROR(IF(ISNUMBER($A2851),IF(AND(AH!$P$10=1,AH!$P$12=1,$A2851=TODAY()),AH!$P$20,IF(AH!$P$10=1,INDEX('Live History'!$H$5:$H$3004,MATCH($A2851,'Live History'!$G$5:$G$3004,1)),INDEX('AH History'!$D$1:$D$18046,AH!$P$7+2846))),NA()),NA())</ns0:f>
        <ns0:v/>
      </ns0:c>
      <ns0:c r="F2851">
        <ns0:f>IFERROR(IF(ISNUMBER($A2851),IF(AND(AH!$P$10=1,AH!$P$12=1,$A2851=TODAY()),IF(AND(AH!$P$10=1,AH!$P$12=1,$A2851=TODAY()),TODAY(),NA()),IF(AH!$P$10=1,INDEX('Live History'!$D$5:$D$3004,MATCH($A2851,'Live History'!$D$5:$D$3004,1)),INDEX('AH History'!$E$1:$E$18046,AH!$P$7+2846))),NA()),NA())</ns0:f>
        <ns0:v/>
      </ns0:c>
      <ns0:c r="G2851">
        <ns0:f>IFERROR(IF(ISNUMBER($A2851),IF(AND(AH!$P$10=1,AH!$P$12=1,$A2851=TODAY()),IF(AND(AH!$P$10=1,AH!$P$12=1,$A2851=TODAY()),TODAY(),NA()),IF(AH!$P$10=1,INDEX('Live History'!$G$5:$G$3004,MATCH($A2851,'Live History'!$G$5:$G$3004,1)),INDEX('AH History'!$F$1:$F$18046,AH!$P$7+2846))),NA()),NA())</ns0:f>
        <ns0:v/>
      </ns0:c>
      <ns0:c r="H2851">
        <ns0:f>IFERROR(IF(AND(AH!$E$4="Bloomberg",AH!$P$10=1,ISNUMBER($A2851),$A2851&lt;=AH!$P$17),AH!$P$7-1+MATCH($A2851,INDEX('AH History'!$A$1:$A$18046,AH!$P$7):INDEX('AH History'!$A$1:$A$18046,AH!$P$7+AH!$P$8-1),0),0),0)</ns0:f>
        <ns0:v/>
      </ns0:c>
      <ns0:c r="I2851">
        <ns0:f>IF($H2851=0,0,IFERROR(IF(AND(ABS($C2851-INDEX('AH History'!$B$1:$B$18046,$H2851))&lt;=MAX(0.005,ABS(INDEX('AH History'!$B$1:$B$18046,$H2851))*0.00005),ABS($D2851-INDEX('AH History'!$C$1:$C$18046,$H2851))&lt;=MAX(0.005,ABS(INDEX('AH History'!$C$1:$C$18046,$H2851))*0.00005),ABS($E2851-INDEX('AH History'!$D$1:$D$18046,$H2851))&lt;=0.00005,$F2851=INDEX('AH History'!$E$1:$E$18046,$H2851),$G2851=INDEX('AH History'!$F$1:$F$18046,$H2851)),1,-1),-1))</ns0:f>
        <ns0:v/>
      </ns0:c>
    </ns0:row>
    <ns0:row r="2852">
      <ns0:c r="A2852" s="215">
        <ns0:f>IF(OR(AH!$P$3=0,2847+1&gt;AH!$P$11,AND(AH!$E$4&lt;&gt;"Stored",AH!$P$10&lt;&gt;1)),"",IFERROR(IF(AND(AH!$P$21=1,2847+1=AH!$P$11),TODAY(),IF(AH!$P$10=1,INDEX('Live History'!$A$5:$A$3004,AH!$P$13+2847),INDEX('AH History'!$A$1:$A$18046,AH!$P$7+2847))),""))</ns0:f>
        <ns0:v/>
      </ns0:c>
      <ns0:c r="B2852" s="219">
        <ns0:f>IFERROR(IF(AND(AH!$P$9&lt;&gt;1,$C2852&gt;0,$D2852&gt;0,$E2852&gt;0,$F2852&gt;0,$G2852&gt;0,$F2852&lt;=$A2852,$G2852&lt;=$A2852,$A2852-$F2852&lt;=10,$A2852-$G2852&lt;=5),$D2852*$E2852/$C2852-1,NA()),NA())</ns0:f>
        <ns0:v/>
      </ns0:c>
      <ns0:c r="C2852">
        <ns0:f>IFERROR(IF(ISNUMBER($A2852),IF(AND(AH!$P$10=1,AH!$P$12=1,$A2852=TODAY()),AH!$P$19,IF(AH!$P$10=1,INDEX('Live History'!$B$5:$B$3004,AH!$P$13+2847),INDEX('AH History'!$B$1:$B$18046,AH!$P$7+2847))),NA()),NA())</ns0:f>
        <ns0:v/>
      </ns0:c>
      <ns0:c r="D2852">
        <ns0:f>IFERROR(IF(ISNUMBER($A2852),IF(AND(AH!$P$10=1,AH!$P$12=1,$A2852=TODAY()),AH!$P$18,IF(AH!$P$10=1,INDEX('Live History'!$E$5:$E$3004,MATCH($A2852,'Live History'!$D$5:$D$3004,1)),INDEX('AH History'!$C$1:$C$18046,AH!$P$7+2847))),NA()),NA())</ns0:f>
        <ns0:v/>
      </ns0:c>
      <ns0:c r="E2852">
        <ns0:f>IFERROR(IF(ISNUMBER($A2852),IF(AND(AH!$P$10=1,AH!$P$12=1,$A2852=TODAY()),AH!$P$20,IF(AH!$P$10=1,INDEX('Live History'!$H$5:$H$3004,MATCH($A2852,'Live History'!$G$5:$G$3004,1)),INDEX('AH History'!$D$1:$D$18046,AH!$P$7+2847))),NA()),NA())</ns0:f>
        <ns0:v/>
      </ns0:c>
      <ns0:c r="F2852">
        <ns0:f>IFERROR(IF(ISNUMBER($A2852),IF(AND(AH!$P$10=1,AH!$P$12=1,$A2852=TODAY()),IF(AND(AH!$P$10=1,AH!$P$12=1,$A2852=TODAY()),TODAY(),NA()),IF(AH!$P$10=1,INDEX('Live History'!$D$5:$D$3004,MATCH($A2852,'Live History'!$D$5:$D$3004,1)),INDEX('AH History'!$E$1:$E$18046,AH!$P$7+2847))),NA()),NA())</ns0:f>
        <ns0:v/>
      </ns0:c>
      <ns0:c r="G2852">
        <ns0:f>IFERROR(IF(ISNUMBER($A2852),IF(AND(AH!$P$10=1,AH!$P$12=1,$A2852=TODAY()),IF(AND(AH!$P$10=1,AH!$P$12=1,$A2852=TODAY()),TODAY(),NA()),IF(AH!$P$10=1,INDEX('Live History'!$G$5:$G$3004,MATCH($A2852,'Live History'!$G$5:$G$3004,1)),INDEX('AH History'!$F$1:$F$18046,AH!$P$7+2847))),NA()),NA())</ns0:f>
        <ns0:v/>
      </ns0:c>
      <ns0:c r="H2852">
        <ns0:f>IFERROR(IF(AND(AH!$E$4="Bloomberg",AH!$P$10=1,ISNUMBER($A2852),$A2852&lt;=AH!$P$17),AH!$P$7-1+MATCH($A2852,INDEX('AH History'!$A$1:$A$18046,AH!$P$7):INDEX('AH History'!$A$1:$A$18046,AH!$P$7+AH!$P$8-1),0),0),0)</ns0:f>
        <ns0:v/>
      </ns0:c>
      <ns0:c r="I2852">
        <ns0:f>IF($H2852=0,0,IFERROR(IF(AND(ABS($C2852-INDEX('AH History'!$B$1:$B$18046,$H2852))&lt;=MAX(0.005,ABS(INDEX('AH History'!$B$1:$B$18046,$H2852))*0.00005),ABS($D2852-INDEX('AH History'!$C$1:$C$18046,$H2852))&lt;=MAX(0.005,ABS(INDEX('AH History'!$C$1:$C$18046,$H2852))*0.00005),ABS($E2852-INDEX('AH History'!$D$1:$D$18046,$H2852))&lt;=0.00005,$F2852=INDEX('AH History'!$E$1:$E$18046,$H2852),$G2852=INDEX('AH History'!$F$1:$F$18046,$H2852)),1,-1),-1))</ns0:f>
        <ns0:v/>
      </ns0:c>
    </ns0:row>
    <ns0:row r="2853">
      <ns0:c r="A2853" s="215">
        <ns0:f>IF(OR(AH!$P$3=0,2848+1&gt;AH!$P$11,AND(AH!$E$4&lt;&gt;"Stored",AH!$P$10&lt;&gt;1)),"",IFERROR(IF(AND(AH!$P$21=1,2848+1=AH!$P$11),TODAY(),IF(AH!$P$10=1,INDEX('Live History'!$A$5:$A$3004,AH!$P$13+2848),INDEX('AH History'!$A$1:$A$18046,AH!$P$7+2848))),""))</ns0:f>
        <ns0:v/>
      </ns0:c>
      <ns0:c r="B2853" s="219">
        <ns0:f>IFERROR(IF(AND(AH!$P$9&lt;&gt;1,$C2853&gt;0,$D2853&gt;0,$E2853&gt;0,$F2853&gt;0,$G2853&gt;0,$F2853&lt;=$A2853,$G2853&lt;=$A2853,$A2853-$F2853&lt;=10,$A2853-$G2853&lt;=5),$D2853*$E2853/$C2853-1,NA()),NA())</ns0:f>
        <ns0:v/>
      </ns0:c>
      <ns0:c r="C2853">
        <ns0:f>IFERROR(IF(ISNUMBER($A2853),IF(AND(AH!$P$10=1,AH!$P$12=1,$A2853=TODAY()),AH!$P$19,IF(AH!$P$10=1,INDEX('Live History'!$B$5:$B$3004,AH!$P$13+2848),INDEX('AH History'!$B$1:$B$18046,AH!$P$7+2848))),NA()),NA())</ns0:f>
        <ns0:v/>
      </ns0:c>
      <ns0:c r="D2853">
        <ns0:f>IFERROR(IF(ISNUMBER($A2853),IF(AND(AH!$P$10=1,AH!$P$12=1,$A2853=TODAY()),AH!$P$18,IF(AH!$P$10=1,INDEX('Live History'!$E$5:$E$3004,MATCH($A2853,'Live History'!$D$5:$D$3004,1)),INDEX('AH History'!$C$1:$C$18046,AH!$P$7+2848))),NA()),NA())</ns0:f>
        <ns0:v/>
      </ns0:c>
      <ns0:c r="E2853">
        <ns0:f>IFERROR(IF(ISNUMBER($A2853),IF(AND(AH!$P$10=1,AH!$P$12=1,$A2853=TODAY()),AH!$P$20,IF(AH!$P$10=1,INDEX('Live History'!$H$5:$H$3004,MATCH($A2853,'Live History'!$G$5:$G$3004,1)),INDEX('AH History'!$D$1:$D$18046,AH!$P$7+2848))),NA()),NA())</ns0:f>
        <ns0:v/>
      </ns0:c>
      <ns0:c r="F2853">
        <ns0:f>IFERROR(IF(ISNUMBER($A2853),IF(AND(AH!$P$10=1,AH!$P$12=1,$A2853=TODAY()),IF(AND(AH!$P$10=1,AH!$P$12=1,$A2853=TODAY()),TODAY(),NA()),IF(AH!$P$10=1,INDEX('Live History'!$D$5:$D$3004,MATCH($A2853,'Live History'!$D$5:$D$3004,1)),INDEX('AH History'!$E$1:$E$18046,AH!$P$7+2848))),NA()),NA())</ns0:f>
        <ns0:v/>
      </ns0:c>
      <ns0:c r="G2853">
        <ns0:f>IFERROR(IF(ISNUMBER($A2853),IF(AND(AH!$P$10=1,AH!$P$12=1,$A2853=TODAY()),IF(AND(AH!$P$10=1,AH!$P$12=1,$A2853=TODAY()),TODAY(),NA()),IF(AH!$P$10=1,INDEX('Live History'!$G$5:$G$3004,MATCH($A2853,'Live History'!$G$5:$G$3004,1)),INDEX('AH History'!$F$1:$F$18046,AH!$P$7+2848))),NA()),NA())</ns0:f>
        <ns0:v/>
      </ns0:c>
      <ns0:c r="H2853">
        <ns0:f>IFERROR(IF(AND(AH!$E$4="Bloomberg",AH!$P$10=1,ISNUMBER($A2853),$A2853&lt;=AH!$P$17),AH!$P$7-1+MATCH($A2853,INDEX('AH History'!$A$1:$A$18046,AH!$P$7):INDEX('AH History'!$A$1:$A$18046,AH!$P$7+AH!$P$8-1),0),0),0)</ns0:f>
        <ns0:v/>
      </ns0:c>
      <ns0:c r="I2853">
        <ns0:f>IF($H2853=0,0,IFERROR(IF(AND(ABS($C2853-INDEX('AH History'!$B$1:$B$18046,$H2853))&lt;=MAX(0.005,ABS(INDEX('AH History'!$B$1:$B$18046,$H2853))*0.00005),ABS($D2853-INDEX('AH History'!$C$1:$C$18046,$H2853))&lt;=MAX(0.005,ABS(INDEX('AH History'!$C$1:$C$18046,$H2853))*0.00005),ABS($E2853-INDEX('AH History'!$D$1:$D$18046,$H2853))&lt;=0.00005,$F2853=INDEX('AH History'!$E$1:$E$18046,$H2853),$G2853=INDEX('AH History'!$F$1:$F$18046,$H2853)),1,-1),-1))</ns0:f>
        <ns0:v/>
      </ns0:c>
    </ns0:row>
    <ns0:row r="2854">
      <ns0:c r="A2854" s="215">
        <ns0:f>IF(OR(AH!$P$3=0,2849+1&gt;AH!$P$11,AND(AH!$E$4&lt;&gt;"Stored",AH!$P$10&lt;&gt;1)),"",IFERROR(IF(AND(AH!$P$21=1,2849+1=AH!$P$11),TODAY(),IF(AH!$P$10=1,INDEX('Live History'!$A$5:$A$3004,AH!$P$13+2849),INDEX('AH History'!$A$1:$A$18046,AH!$P$7+2849))),""))</ns0:f>
        <ns0:v/>
      </ns0:c>
      <ns0:c r="B2854" s="219">
        <ns0:f>IFERROR(IF(AND(AH!$P$9&lt;&gt;1,$C2854&gt;0,$D2854&gt;0,$E2854&gt;0,$F2854&gt;0,$G2854&gt;0,$F2854&lt;=$A2854,$G2854&lt;=$A2854,$A2854-$F2854&lt;=10,$A2854-$G2854&lt;=5),$D2854*$E2854/$C2854-1,NA()),NA())</ns0:f>
        <ns0:v/>
      </ns0:c>
      <ns0:c r="C2854">
        <ns0:f>IFERROR(IF(ISNUMBER($A2854),IF(AND(AH!$P$10=1,AH!$P$12=1,$A2854=TODAY()),AH!$P$19,IF(AH!$P$10=1,INDEX('Live History'!$B$5:$B$3004,AH!$P$13+2849),INDEX('AH History'!$B$1:$B$18046,AH!$P$7+2849))),NA()),NA())</ns0:f>
        <ns0:v/>
      </ns0:c>
      <ns0:c r="D2854">
        <ns0:f>IFERROR(IF(ISNUMBER($A2854),IF(AND(AH!$P$10=1,AH!$P$12=1,$A2854=TODAY()),AH!$P$18,IF(AH!$P$10=1,INDEX('Live History'!$E$5:$E$3004,MATCH($A2854,'Live History'!$D$5:$D$3004,1)),INDEX('AH History'!$C$1:$C$18046,AH!$P$7+2849))),NA()),NA())</ns0:f>
        <ns0:v/>
      </ns0:c>
      <ns0:c r="E2854">
        <ns0:f>IFERROR(IF(ISNUMBER($A2854),IF(AND(AH!$P$10=1,AH!$P$12=1,$A2854=TODAY()),AH!$P$20,IF(AH!$P$10=1,INDEX('Live History'!$H$5:$H$3004,MATCH($A2854,'Live History'!$G$5:$G$3004,1)),INDEX('AH History'!$D$1:$D$18046,AH!$P$7+2849))),NA()),NA())</ns0:f>
        <ns0:v/>
      </ns0:c>
      <ns0:c r="F2854">
        <ns0:f>IFERROR(IF(ISNUMBER($A2854),IF(AND(AH!$P$10=1,AH!$P$12=1,$A2854=TODAY()),IF(AND(AH!$P$10=1,AH!$P$12=1,$A2854=TODAY()),TODAY(),NA()),IF(AH!$P$10=1,INDEX('Live History'!$D$5:$D$3004,MATCH($A2854,'Live History'!$D$5:$D$3004,1)),INDEX('AH History'!$E$1:$E$18046,AH!$P$7+2849))),NA()),NA())</ns0:f>
        <ns0:v/>
      </ns0:c>
      <ns0:c r="G2854">
        <ns0:f>IFERROR(IF(ISNUMBER($A2854),IF(AND(AH!$P$10=1,AH!$P$12=1,$A2854=TODAY()),IF(AND(AH!$P$10=1,AH!$P$12=1,$A2854=TODAY()),TODAY(),NA()),IF(AH!$P$10=1,INDEX('Live History'!$G$5:$G$3004,MATCH($A2854,'Live History'!$G$5:$G$3004,1)),INDEX('AH History'!$F$1:$F$18046,AH!$P$7+2849))),NA()),NA())</ns0:f>
        <ns0:v/>
      </ns0:c>
      <ns0:c r="H2854">
        <ns0:f>IFERROR(IF(AND(AH!$E$4="Bloomberg",AH!$P$10=1,ISNUMBER($A2854),$A2854&lt;=AH!$P$17),AH!$P$7-1+MATCH($A2854,INDEX('AH History'!$A$1:$A$18046,AH!$P$7):INDEX('AH History'!$A$1:$A$18046,AH!$P$7+AH!$P$8-1),0),0),0)</ns0:f>
        <ns0:v/>
      </ns0:c>
      <ns0:c r="I2854">
        <ns0:f>IF($H2854=0,0,IFERROR(IF(AND(ABS($C2854-INDEX('AH History'!$B$1:$B$18046,$H2854))&lt;=MAX(0.005,ABS(INDEX('AH History'!$B$1:$B$18046,$H2854))*0.00005),ABS($D2854-INDEX('AH History'!$C$1:$C$18046,$H2854))&lt;=MAX(0.005,ABS(INDEX('AH History'!$C$1:$C$18046,$H2854))*0.00005),ABS($E2854-INDEX('AH History'!$D$1:$D$18046,$H2854))&lt;=0.00005,$F2854=INDEX('AH History'!$E$1:$E$18046,$H2854),$G2854=INDEX('AH History'!$F$1:$F$18046,$H2854)),1,-1),-1))</ns0:f>
        <ns0:v/>
      </ns0:c>
    </ns0:row>
    <ns0:row r="2855">
      <ns0:c r="A2855" s="215">
        <ns0:f>IF(OR(AH!$P$3=0,2850+1&gt;AH!$P$11,AND(AH!$E$4&lt;&gt;"Stored",AH!$P$10&lt;&gt;1)),"",IFERROR(IF(AND(AH!$P$21=1,2850+1=AH!$P$11),TODAY(),IF(AH!$P$10=1,INDEX('Live History'!$A$5:$A$3004,AH!$P$13+2850),INDEX('AH History'!$A$1:$A$18046,AH!$P$7+2850))),""))</ns0:f>
        <ns0:v/>
      </ns0:c>
      <ns0:c r="B2855" s="219">
        <ns0:f>IFERROR(IF(AND(AH!$P$9&lt;&gt;1,$C2855&gt;0,$D2855&gt;0,$E2855&gt;0,$F2855&gt;0,$G2855&gt;0,$F2855&lt;=$A2855,$G2855&lt;=$A2855,$A2855-$F2855&lt;=10,$A2855-$G2855&lt;=5),$D2855*$E2855/$C2855-1,NA()),NA())</ns0:f>
        <ns0:v/>
      </ns0:c>
      <ns0:c r="C2855">
        <ns0:f>IFERROR(IF(ISNUMBER($A2855),IF(AND(AH!$P$10=1,AH!$P$12=1,$A2855=TODAY()),AH!$P$19,IF(AH!$P$10=1,INDEX('Live History'!$B$5:$B$3004,AH!$P$13+2850),INDEX('AH History'!$B$1:$B$18046,AH!$P$7+2850))),NA()),NA())</ns0:f>
        <ns0:v/>
      </ns0:c>
      <ns0:c r="D2855">
        <ns0:f>IFERROR(IF(ISNUMBER($A2855),IF(AND(AH!$P$10=1,AH!$P$12=1,$A2855=TODAY()),AH!$P$18,IF(AH!$P$10=1,INDEX('Live History'!$E$5:$E$3004,MATCH($A2855,'Live History'!$D$5:$D$3004,1)),INDEX('AH History'!$C$1:$C$18046,AH!$P$7+2850))),NA()),NA())</ns0:f>
        <ns0:v/>
      </ns0:c>
      <ns0:c r="E2855">
        <ns0:f>IFERROR(IF(ISNUMBER($A2855),IF(AND(AH!$P$10=1,AH!$P$12=1,$A2855=TODAY()),AH!$P$20,IF(AH!$P$10=1,INDEX('Live History'!$H$5:$H$3004,MATCH($A2855,'Live History'!$G$5:$G$3004,1)),INDEX('AH History'!$D$1:$D$18046,AH!$P$7+2850))),NA()),NA())</ns0:f>
        <ns0:v/>
      </ns0:c>
      <ns0:c r="F2855">
        <ns0:f>IFERROR(IF(ISNUMBER($A2855),IF(AND(AH!$P$10=1,AH!$P$12=1,$A2855=TODAY()),IF(AND(AH!$P$10=1,AH!$P$12=1,$A2855=TODAY()),TODAY(),NA()),IF(AH!$P$10=1,INDEX('Live History'!$D$5:$D$3004,MATCH($A2855,'Live History'!$D$5:$D$3004,1)),INDEX('AH History'!$E$1:$E$18046,AH!$P$7+2850))),NA()),NA())</ns0:f>
        <ns0:v/>
      </ns0:c>
      <ns0:c r="G2855">
        <ns0:f>IFERROR(IF(ISNUMBER($A2855),IF(AND(AH!$P$10=1,AH!$P$12=1,$A2855=TODAY()),IF(AND(AH!$P$10=1,AH!$P$12=1,$A2855=TODAY()),TODAY(),NA()),IF(AH!$P$10=1,INDEX('Live History'!$G$5:$G$3004,MATCH($A2855,'Live History'!$G$5:$G$3004,1)),INDEX('AH History'!$F$1:$F$18046,AH!$P$7+2850))),NA()),NA())</ns0:f>
        <ns0:v/>
      </ns0:c>
      <ns0:c r="H2855">
        <ns0:f>IFERROR(IF(AND(AH!$E$4="Bloomberg",AH!$P$10=1,ISNUMBER($A2855),$A2855&lt;=AH!$P$17),AH!$P$7-1+MATCH($A2855,INDEX('AH History'!$A$1:$A$18046,AH!$P$7):INDEX('AH History'!$A$1:$A$18046,AH!$P$7+AH!$P$8-1),0),0),0)</ns0:f>
        <ns0:v/>
      </ns0:c>
      <ns0:c r="I2855">
        <ns0:f>IF($H2855=0,0,IFERROR(IF(AND(ABS($C2855-INDEX('AH History'!$B$1:$B$18046,$H2855))&lt;=MAX(0.005,ABS(INDEX('AH History'!$B$1:$B$18046,$H2855))*0.00005),ABS($D2855-INDEX('AH History'!$C$1:$C$18046,$H2855))&lt;=MAX(0.005,ABS(INDEX('AH History'!$C$1:$C$18046,$H2855))*0.00005),ABS($E2855-INDEX('AH History'!$D$1:$D$18046,$H2855))&lt;=0.00005,$F2855=INDEX('AH History'!$E$1:$E$18046,$H2855),$G2855=INDEX('AH History'!$F$1:$F$18046,$H2855)),1,-1),-1))</ns0:f>
        <ns0:v/>
      </ns0:c>
    </ns0:row>
    <ns0:row r="2856">
      <ns0:c r="A2856" s="215">
        <ns0:f>IF(OR(AH!$P$3=0,2851+1&gt;AH!$P$11,AND(AH!$E$4&lt;&gt;"Stored",AH!$P$10&lt;&gt;1)),"",IFERROR(IF(AND(AH!$P$21=1,2851+1=AH!$P$11),TODAY(),IF(AH!$P$10=1,INDEX('Live History'!$A$5:$A$3004,AH!$P$13+2851),INDEX('AH History'!$A$1:$A$18046,AH!$P$7+2851))),""))</ns0:f>
        <ns0:v/>
      </ns0:c>
      <ns0:c r="B2856" s="219">
        <ns0:f>IFERROR(IF(AND(AH!$P$9&lt;&gt;1,$C2856&gt;0,$D2856&gt;0,$E2856&gt;0,$F2856&gt;0,$G2856&gt;0,$F2856&lt;=$A2856,$G2856&lt;=$A2856,$A2856-$F2856&lt;=10,$A2856-$G2856&lt;=5),$D2856*$E2856/$C2856-1,NA()),NA())</ns0:f>
        <ns0:v/>
      </ns0:c>
      <ns0:c r="C2856">
        <ns0:f>IFERROR(IF(ISNUMBER($A2856),IF(AND(AH!$P$10=1,AH!$P$12=1,$A2856=TODAY()),AH!$P$19,IF(AH!$P$10=1,INDEX('Live History'!$B$5:$B$3004,AH!$P$13+2851),INDEX('AH History'!$B$1:$B$18046,AH!$P$7+2851))),NA()),NA())</ns0:f>
        <ns0:v/>
      </ns0:c>
      <ns0:c r="D2856">
        <ns0:f>IFERROR(IF(ISNUMBER($A2856),IF(AND(AH!$P$10=1,AH!$P$12=1,$A2856=TODAY()),AH!$P$18,IF(AH!$P$10=1,INDEX('Live History'!$E$5:$E$3004,MATCH($A2856,'Live History'!$D$5:$D$3004,1)),INDEX('AH History'!$C$1:$C$18046,AH!$P$7+2851))),NA()),NA())</ns0:f>
        <ns0:v/>
      </ns0:c>
      <ns0:c r="E2856">
        <ns0:f>IFERROR(IF(ISNUMBER($A2856),IF(AND(AH!$P$10=1,AH!$P$12=1,$A2856=TODAY()),AH!$P$20,IF(AH!$P$10=1,INDEX('Live History'!$H$5:$H$3004,MATCH($A2856,'Live History'!$G$5:$G$3004,1)),INDEX('AH History'!$D$1:$D$18046,AH!$P$7+2851))),NA()),NA())</ns0:f>
        <ns0:v/>
      </ns0:c>
      <ns0:c r="F2856">
        <ns0:f>IFERROR(IF(ISNUMBER($A2856),IF(AND(AH!$P$10=1,AH!$P$12=1,$A2856=TODAY()),IF(AND(AH!$P$10=1,AH!$P$12=1,$A2856=TODAY()),TODAY(),NA()),IF(AH!$P$10=1,INDEX('Live History'!$D$5:$D$3004,MATCH($A2856,'Live History'!$D$5:$D$3004,1)),INDEX('AH History'!$E$1:$E$18046,AH!$P$7+2851))),NA()),NA())</ns0:f>
        <ns0:v/>
      </ns0:c>
      <ns0:c r="G2856">
        <ns0:f>IFERROR(IF(ISNUMBER($A2856),IF(AND(AH!$P$10=1,AH!$P$12=1,$A2856=TODAY()),IF(AND(AH!$P$10=1,AH!$P$12=1,$A2856=TODAY()),TODAY(),NA()),IF(AH!$P$10=1,INDEX('Live History'!$G$5:$G$3004,MATCH($A2856,'Live History'!$G$5:$G$3004,1)),INDEX('AH History'!$F$1:$F$18046,AH!$P$7+2851))),NA()),NA())</ns0:f>
        <ns0:v/>
      </ns0:c>
      <ns0:c r="H2856">
        <ns0:f>IFERROR(IF(AND(AH!$E$4="Bloomberg",AH!$P$10=1,ISNUMBER($A2856),$A2856&lt;=AH!$P$17),AH!$P$7-1+MATCH($A2856,INDEX('AH History'!$A$1:$A$18046,AH!$P$7):INDEX('AH History'!$A$1:$A$18046,AH!$P$7+AH!$P$8-1),0),0),0)</ns0:f>
        <ns0:v/>
      </ns0:c>
      <ns0:c r="I2856">
        <ns0:f>IF($H2856=0,0,IFERROR(IF(AND(ABS($C2856-INDEX('AH History'!$B$1:$B$18046,$H2856))&lt;=MAX(0.005,ABS(INDEX('AH History'!$B$1:$B$18046,$H2856))*0.00005),ABS($D2856-INDEX('AH History'!$C$1:$C$18046,$H2856))&lt;=MAX(0.005,ABS(INDEX('AH History'!$C$1:$C$18046,$H2856))*0.00005),ABS($E2856-INDEX('AH History'!$D$1:$D$18046,$H2856))&lt;=0.00005,$F2856=INDEX('AH History'!$E$1:$E$18046,$H2856),$G2856=INDEX('AH History'!$F$1:$F$18046,$H2856)),1,-1),-1))</ns0:f>
        <ns0:v/>
      </ns0:c>
    </ns0:row>
    <ns0:row r="2857">
      <ns0:c r="A2857" s="215">
        <ns0:f>IF(OR(AH!$P$3=0,2852+1&gt;AH!$P$11,AND(AH!$E$4&lt;&gt;"Stored",AH!$P$10&lt;&gt;1)),"",IFERROR(IF(AND(AH!$P$21=1,2852+1=AH!$P$11),TODAY(),IF(AH!$P$10=1,INDEX('Live History'!$A$5:$A$3004,AH!$P$13+2852),INDEX('AH History'!$A$1:$A$18046,AH!$P$7+2852))),""))</ns0:f>
        <ns0:v/>
      </ns0:c>
      <ns0:c r="B2857" s="219">
        <ns0:f>IFERROR(IF(AND(AH!$P$9&lt;&gt;1,$C2857&gt;0,$D2857&gt;0,$E2857&gt;0,$F2857&gt;0,$G2857&gt;0,$F2857&lt;=$A2857,$G2857&lt;=$A2857,$A2857-$F2857&lt;=10,$A2857-$G2857&lt;=5),$D2857*$E2857/$C2857-1,NA()),NA())</ns0:f>
        <ns0:v/>
      </ns0:c>
      <ns0:c r="C2857">
        <ns0:f>IFERROR(IF(ISNUMBER($A2857),IF(AND(AH!$P$10=1,AH!$P$12=1,$A2857=TODAY()),AH!$P$19,IF(AH!$P$10=1,INDEX('Live History'!$B$5:$B$3004,AH!$P$13+2852),INDEX('AH History'!$B$1:$B$18046,AH!$P$7+2852))),NA()),NA())</ns0:f>
        <ns0:v/>
      </ns0:c>
      <ns0:c r="D2857">
        <ns0:f>IFERROR(IF(ISNUMBER($A2857),IF(AND(AH!$P$10=1,AH!$P$12=1,$A2857=TODAY()),AH!$P$18,IF(AH!$P$10=1,INDEX('Live History'!$E$5:$E$3004,MATCH($A2857,'Live History'!$D$5:$D$3004,1)),INDEX('AH History'!$C$1:$C$18046,AH!$P$7+2852))),NA()),NA())</ns0:f>
        <ns0:v/>
      </ns0:c>
      <ns0:c r="E2857">
        <ns0:f>IFERROR(IF(ISNUMBER($A2857),IF(AND(AH!$P$10=1,AH!$P$12=1,$A2857=TODAY()),AH!$P$20,IF(AH!$P$10=1,INDEX('Live History'!$H$5:$H$3004,MATCH($A2857,'Live History'!$G$5:$G$3004,1)),INDEX('AH History'!$D$1:$D$18046,AH!$P$7+2852))),NA()),NA())</ns0:f>
        <ns0:v/>
      </ns0:c>
      <ns0:c r="F2857">
        <ns0:f>IFERROR(IF(ISNUMBER($A2857),IF(AND(AH!$P$10=1,AH!$P$12=1,$A2857=TODAY()),IF(AND(AH!$P$10=1,AH!$P$12=1,$A2857=TODAY()),TODAY(),NA()),IF(AH!$P$10=1,INDEX('Live History'!$D$5:$D$3004,MATCH($A2857,'Live History'!$D$5:$D$3004,1)),INDEX('AH History'!$E$1:$E$18046,AH!$P$7+2852))),NA()),NA())</ns0:f>
        <ns0:v/>
      </ns0:c>
      <ns0:c r="G2857">
        <ns0:f>IFERROR(IF(ISNUMBER($A2857),IF(AND(AH!$P$10=1,AH!$P$12=1,$A2857=TODAY()),IF(AND(AH!$P$10=1,AH!$P$12=1,$A2857=TODAY()),TODAY(),NA()),IF(AH!$P$10=1,INDEX('Live History'!$G$5:$G$3004,MATCH($A2857,'Live History'!$G$5:$G$3004,1)),INDEX('AH History'!$F$1:$F$18046,AH!$P$7+2852))),NA()),NA())</ns0:f>
        <ns0:v/>
      </ns0:c>
      <ns0:c r="H2857">
        <ns0:f>IFERROR(IF(AND(AH!$E$4="Bloomberg",AH!$P$10=1,ISNUMBER($A2857),$A2857&lt;=AH!$P$17),AH!$P$7-1+MATCH($A2857,INDEX('AH History'!$A$1:$A$18046,AH!$P$7):INDEX('AH History'!$A$1:$A$18046,AH!$P$7+AH!$P$8-1),0),0),0)</ns0:f>
        <ns0:v/>
      </ns0:c>
      <ns0:c r="I2857">
        <ns0:f>IF($H2857=0,0,IFERROR(IF(AND(ABS($C2857-INDEX('AH History'!$B$1:$B$18046,$H2857))&lt;=MAX(0.005,ABS(INDEX('AH History'!$B$1:$B$18046,$H2857))*0.00005),ABS($D2857-INDEX('AH History'!$C$1:$C$18046,$H2857))&lt;=MAX(0.005,ABS(INDEX('AH History'!$C$1:$C$18046,$H2857))*0.00005),ABS($E2857-INDEX('AH History'!$D$1:$D$18046,$H2857))&lt;=0.00005,$F2857=INDEX('AH History'!$E$1:$E$18046,$H2857),$G2857=INDEX('AH History'!$F$1:$F$18046,$H2857)),1,-1),-1))</ns0:f>
        <ns0:v/>
      </ns0:c>
    </ns0:row>
    <ns0:row r="2858">
      <ns0:c r="A2858" s="215">
        <ns0:f>IF(OR(AH!$P$3=0,2853+1&gt;AH!$P$11,AND(AH!$E$4&lt;&gt;"Stored",AH!$P$10&lt;&gt;1)),"",IFERROR(IF(AND(AH!$P$21=1,2853+1=AH!$P$11),TODAY(),IF(AH!$P$10=1,INDEX('Live History'!$A$5:$A$3004,AH!$P$13+2853),INDEX('AH History'!$A$1:$A$18046,AH!$P$7+2853))),""))</ns0:f>
        <ns0:v/>
      </ns0:c>
      <ns0:c r="B2858" s="219">
        <ns0:f>IFERROR(IF(AND(AH!$P$9&lt;&gt;1,$C2858&gt;0,$D2858&gt;0,$E2858&gt;0,$F2858&gt;0,$G2858&gt;0,$F2858&lt;=$A2858,$G2858&lt;=$A2858,$A2858-$F2858&lt;=10,$A2858-$G2858&lt;=5),$D2858*$E2858/$C2858-1,NA()),NA())</ns0:f>
        <ns0:v/>
      </ns0:c>
      <ns0:c r="C2858">
        <ns0:f>IFERROR(IF(ISNUMBER($A2858),IF(AND(AH!$P$10=1,AH!$P$12=1,$A2858=TODAY()),AH!$P$19,IF(AH!$P$10=1,INDEX('Live History'!$B$5:$B$3004,AH!$P$13+2853),INDEX('AH History'!$B$1:$B$18046,AH!$P$7+2853))),NA()),NA())</ns0:f>
        <ns0:v/>
      </ns0:c>
      <ns0:c r="D2858">
        <ns0:f>IFERROR(IF(ISNUMBER($A2858),IF(AND(AH!$P$10=1,AH!$P$12=1,$A2858=TODAY()),AH!$P$18,IF(AH!$P$10=1,INDEX('Live History'!$E$5:$E$3004,MATCH($A2858,'Live History'!$D$5:$D$3004,1)),INDEX('AH History'!$C$1:$C$18046,AH!$P$7+2853))),NA()),NA())</ns0:f>
        <ns0:v/>
      </ns0:c>
      <ns0:c r="E2858">
        <ns0:f>IFERROR(IF(ISNUMBER($A2858),IF(AND(AH!$P$10=1,AH!$P$12=1,$A2858=TODAY()),AH!$P$20,IF(AH!$P$10=1,INDEX('Live History'!$H$5:$H$3004,MATCH($A2858,'Live History'!$G$5:$G$3004,1)),INDEX('AH History'!$D$1:$D$18046,AH!$P$7+2853))),NA()),NA())</ns0:f>
        <ns0:v/>
      </ns0:c>
      <ns0:c r="F2858">
        <ns0:f>IFERROR(IF(ISNUMBER($A2858),IF(AND(AH!$P$10=1,AH!$P$12=1,$A2858=TODAY()),IF(AND(AH!$P$10=1,AH!$P$12=1,$A2858=TODAY()),TODAY(),NA()),IF(AH!$P$10=1,INDEX('Live History'!$D$5:$D$3004,MATCH($A2858,'Live History'!$D$5:$D$3004,1)),INDEX('AH History'!$E$1:$E$18046,AH!$P$7+2853))),NA()),NA())</ns0:f>
        <ns0:v/>
      </ns0:c>
      <ns0:c r="G2858">
        <ns0:f>IFERROR(IF(ISNUMBER($A2858),IF(AND(AH!$P$10=1,AH!$P$12=1,$A2858=TODAY()),IF(AND(AH!$P$10=1,AH!$P$12=1,$A2858=TODAY()),TODAY(),NA()),IF(AH!$P$10=1,INDEX('Live History'!$G$5:$G$3004,MATCH($A2858,'Live History'!$G$5:$G$3004,1)),INDEX('AH History'!$F$1:$F$18046,AH!$P$7+2853))),NA()),NA())</ns0:f>
        <ns0:v/>
      </ns0:c>
      <ns0:c r="H2858">
        <ns0:f>IFERROR(IF(AND(AH!$E$4="Bloomberg",AH!$P$10=1,ISNUMBER($A2858),$A2858&lt;=AH!$P$17),AH!$P$7-1+MATCH($A2858,INDEX('AH History'!$A$1:$A$18046,AH!$P$7):INDEX('AH History'!$A$1:$A$18046,AH!$P$7+AH!$P$8-1),0),0),0)</ns0:f>
        <ns0:v/>
      </ns0:c>
      <ns0:c r="I2858">
        <ns0:f>IF($H2858=0,0,IFERROR(IF(AND(ABS($C2858-INDEX('AH History'!$B$1:$B$18046,$H2858))&lt;=MAX(0.005,ABS(INDEX('AH History'!$B$1:$B$18046,$H2858))*0.00005),ABS($D2858-INDEX('AH History'!$C$1:$C$18046,$H2858))&lt;=MAX(0.005,ABS(INDEX('AH History'!$C$1:$C$18046,$H2858))*0.00005),ABS($E2858-INDEX('AH History'!$D$1:$D$18046,$H2858))&lt;=0.00005,$F2858=INDEX('AH History'!$E$1:$E$18046,$H2858),$G2858=INDEX('AH History'!$F$1:$F$18046,$H2858)),1,-1),-1))</ns0:f>
        <ns0:v/>
      </ns0:c>
    </ns0:row>
    <ns0:row r="2859">
      <ns0:c r="A2859" s="215">
        <ns0:f>IF(OR(AH!$P$3=0,2854+1&gt;AH!$P$11,AND(AH!$E$4&lt;&gt;"Stored",AH!$P$10&lt;&gt;1)),"",IFERROR(IF(AND(AH!$P$21=1,2854+1=AH!$P$11),TODAY(),IF(AH!$P$10=1,INDEX('Live History'!$A$5:$A$3004,AH!$P$13+2854),INDEX('AH History'!$A$1:$A$18046,AH!$P$7+2854))),""))</ns0:f>
        <ns0:v/>
      </ns0:c>
      <ns0:c r="B2859" s="219">
        <ns0:f>IFERROR(IF(AND(AH!$P$9&lt;&gt;1,$C2859&gt;0,$D2859&gt;0,$E2859&gt;0,$F2859&gt;0,$G2859&gt;0,$F2859&lt;=$A2859,$G2859&lt;=$A2859,$A2859-$F2859&lt;=10,$A2859-$G2859&lt;=5),$D2859*$E2859/$C2859-1,NA()),NA())</ns0:f>
        <ns0:v/>
      </ns0:c>
      <ns0:c r="C2859">
        <ns0:f>IFERROR(IF(ISNUMBER($A2859),IF(AND(AH!$P$10=1,AH!$P$12=1,$A2859=TODAY()),AH!$P$19,IF(AH!$P$10=1,INDEX('Live History'!$B$5:$B$3004,AH!$P$13+2854),INDEX('AH History'!$B$1:$B$18046,AH!$P$7+2854))),NA()),NA())</ns0:f>
        <ns0:v/>
      </ns0:c>
      <ns0:c r="D2859">
        <ns0:f>IFERROR(IF(ISNUMBER($A2859),IF(AND(AH!$P$10=1,AH!$P$12=1,$A2859=TODAY()),AH!$P$18,IF(AH!$P$10=1,INDEX('Live History'!$E$5:$E$3004,MATCH($A2859,'Live History'!$D$5:$D$3004,1)),INDEX('AH History'!$C$1:$C$18046,AH!$P$7+2854))),NA()),NA())</ns0:f>
        <ns0:v/>
      </ns0:c>
      <ns0:c r="E2859">
        <ns0:f>IFERROR(IF(ISNUMBER($A2859),IF(AND(AH!$P$10=1,AH!$P$12=1,$A2859=TODAY()),AH!$P$20,IF(AH!$P$10=1,INDEX('Live History'!$H$5:$H$3004,MATCH($A2859,'Live History'!$G$5:$G$3004,1)),INDEX('AH History'!$D$1:$D$18046,AH!$P$7+2854))),NA()),NA())</ns0:f>
        <ns0:v/>
      </ns0:c>
      <ns0:c r="F2859">
        <ns0:f>IFERROR(IF(ISNUMBER($A2859),IF(AND(AH!$P$10=1,AH!$P$12=1,$A2859=TODAY()),IF(AND(AH!$P$10=1,AH!$P$12=1,$A2859=TODAY()),TODAY(),NA()),IF(AH!$P$10=1,INDEX('Live History'!$D$5:$D$3004,MATCH($A2859,'Live History'!$D$5:$D$3004,1)),INDEX('AH History'!$E$1:$E$18046,AH!$P$7+2854))),NA()),NA())</ns0:f>
        <ns0:v/>
      </ns0:c>
      <ns0:c r="G2859">
        <ns0:f>IFERROR(IF(ISNUMBER($A2859),IF(AND(AH!$P$10=1,AH!$P$12=1,$A2859=TODAY()),IF(AND(AH!$P$10=1,AH!$P$12=1,$A2859=TODAY()),TODAY(),NA()),IF(AH!$P$10=1,INDEX('Live History'!$G$5:$G$3004,MATCH($A2859,'Live History'!$G$5:$G$3004,1)),INDEX('AH History'!$F$1:$F$18046,AH!$P$7+2854))),NA()),NA())</ns0:f>
        <ns0:v/>
      </ns0:c>
      <ns0:c r="H2859">
        <ns0:f>IFERROR(IF(AND(AH!$E$4="Bloomberg",AH!$P$10=1,ISNUMBER($A2859),$A2859&lt;=AH!$P$17),AH!$P$7-1+MATCH($A2859,INDEX('AH History'!$A$1:$A$18046,AH!$P$7):INDEX('AH History'!$A$1:$A$18046,AH!$P$7+AH!$P$8-1),0),0),0)</ns0:f>
        <ns0:v/>
      </ns0:c>
      <ns0:c r="I2859">
        <ns0:f>IF($H2859=0,0,IFERROR(IF(AND(ABS($C2859-INDEX('AH History'!$B$1:$B$18046,$H2859))&lt;=MAX(0.005,ABS(INDEX('AH History'!$B$1:$B$18046,$H2859))*0.00005),ABS($D2859-INDEX('AH History'!$C$1:$C$18046,$H2859))&lt;=MAX(0.005,ABS(INDEX('AH History'!$C$1:$C$18046,$H2859))*0.00005),ABS($E2859-INDEX('AH History'!$D$1:$D$18046,$H2859))&lt;=0.00005,$F2859=INDEX('AH History'!$E$1:$E$18046,$H2859),$G2859=INDEX('AH History'!$F$1:$F$18046,$H2859)),1,-1),-1))</ns0:f>
        <ns0:v/>
      </ns0:c>
    </ns0:row>
    <ns0:row r="2860">
      <ns0:c r="A2860" s="215">
        <ns0:f>IF(OR(AH!$P$3=0,2855+1&gt;AH!$P$11,AND(AH!$E$4&lt;&gt;"Stored",AH!$P$10&lt;&gt;1)),"",IFERROR(IF(AND(AH!$P$21=1,2855+1=AH!$P$11),TODAY(),IF(AH!$P$10=1,INDEX('Live History'!$A$5:$A$3004,AH!$P$13+2855),INDEX('AH History'!$A$1:$A$18046,AH!$P$7+2855))),""))</ns0:f>
        <ns0:v/>
      </ns0:c>
      <ns0:c r="B2860" s="219">
        <ns0:f>IFERROR(IF(AND(AH!$P$9&lt;&gt;1,$C2860&gt;0,$D2860&gt;0,$E2860&gt;0,$F2860&gt;0,$G2860&gt;0,$F2860&lt;=$A2860,$G2860&lt;=$A2860,$A2860-$F2860&lt;=10,$A2860-$G2860&lt;=5),$D2860*$E2860/$C2860-1,NA()),NA())</ns0:f>
        <ns0:v/>
      </ns0:c>
      <ns0:c r="C2860">
        <ns0:f>IFERROR(IF(ISNUMBER($A2860),IF(AND(AH!$P$10=1,AH!$P$12=1,$A2860=TODAY()),AH!$P$19,IF(AH!$P$10=1,INDEX('Live History'!$B$5:$B$3004,AH!$P$13+2855),INDEX('AH History'!$B$1:$B$18046,AH!$P$7+2855))),NA()),NA())</ns0:f>
        <ns0:v/>
      </ns0:c>
      <ns0:c r="D2860">
        <ns0:f>IFERROR(IF(ISNUMBER($A2860),IF(AND(AH!$P$10=1,AH!$P$12=1,$A2860=TODAY()),AH!$P$18,IF(AH!$P$10=1,INDEX('Live History'!$E$5:$E$3004,MATCH($A2860,'Live History'!$D$5:$D$3004,1)),INDEX('AH History'!$C$1:$C$18046,AH!$P$7+2855))),NA()),NA())</ns0:f>
        <ns0:v/>
      </ns0:c>
      <ns0:c r="E2860">
        <ns0:f>IFERROR(IF(ISNUMBER($A2860),IF(AND(AH!$P$10=1,AH!$P$12=1,$A2860=TODAY()),AH!$P$20,IF(AH!$P$10=1,INDEX('Live History'!$H$5:$H$3004,MATCH($A2860,'Live History'!$G$5:$G$3004,1)),INDEX('AH History'!$D$1:$D$18046,AH!$P$7+2855))),NA()),NA())</ns0:f>
        <ns0:v/>
      </ns0:c>
      <ns0:c r="F2860">
        <ns0:f>IFERROR(IF(ISNUMBER($A2860),IF(AND(AH!$P$10=1,AH!$P$12=1,$A2860=TODAY()),IF(AND(AH!$P$10=1,AH!$P$12=1,$A2860=TODAY()),TODAY(),NA()),IF(AH!$P$10=1,INDEX('Live History'!$D$5:$D$3004,MATCH($A2860,'Live History'!$D$5:$D$3004,1)),INDEX('AH History'!$E$1:$E$18046,AH!$P$7+2855))),NA()),NA())</ns0:f>
        <ns0:v/>
      </ns0:c>
      <ns0:c r="G2860">
        <ns0:f>IFERROR(IF(ISNUMBER($A2860),IF(AND(AH!$P$10=1,AH!$P$12=1,$A2860=TODAY()),IF(AND(AH!$P$10=1,AH!$P$12=1,$A2860=TODAY()),TODAY(),NA()),IF(AH!$P$10=1,INDEX('Live History'!$G$5:$G$3004,MATCH($A2860,'Live History'!$G$5:$G$3004,1)),INDEX('AH History'!$F$1:$F$18046,AH!$P$7+2855))),NA()),NA())</ns0:f>
        <ns0:v/>
      </ns0:c>
      <ns0:c r="H2860">
        <ns0:f>IFERROR(IF(AND(AH!$E$4="Bloomberg",AH!$P$10=1,ISNUMBER($A2860),$A2860&lt;=AH!$P$17),AH!$P$7-1+MATCH($A2860,INDEX('AH History'!$A$1:$A$18046,AH!$P$7):INDEX('AH History'!$A$1:$A$18046,AH!$P$7+AH!$P$8-1),0),0),0)</ns0:f>
        <ns0:v/>
      </ns0:c>
      <ns0:c r="I2860">
        <ns0:f>IF($H2860=0,0,IFERROR(IF(AND(ABS($C2860-INDEX('AH History'!$B$1:$B$18046,$H2860))&lt;=MAX(0.005,ABS(INDEX('AH History'!$B$1:$B$18046,$H2860))*0.00005),ABS($D2860-INDEX('AH History'!$C$1:$C$18046,$H2860))&lt;=MAX(0.005,ABS(INDEX('AH History'!$C$1:$C$18046,$H2860))*0.00005),ABS($E2860-INDEX('AH History'!$D$1:$D$18046,$H2860))&lt;=0.00005,$F2860=INDEX('AH History'!$E$1:$E$18046,$H2860),$G2860=INDEX('AH History'!$F$1:$F$18046,$H2860)),1,-1),-1))</ns0:f>
        <ns0:v/>
      </ns0:c>
    </ns0:row>
    <ns0:row r="2861">
      <ns0:c r="A2861" s="215">
        <ns0:f>IF(OR(AH!$P$3=0,2856+1&gt;AH!$P$11,AND(AH!$E$4&lt;&gt;"Stored",AH!$P$10&lt;&gt;1)),"",IFERROR(IF(AND(AH!$P$21=1,2856+1=AH!$P$11),TODAY(),IF(AH!$P$10=1,INDEX('Live History'!$A$5:$A$3004,AH!$P$13+2856),INDEX('AH History'!$A$1:$A$18046,AH!$P$7+2856))),""))</ns0:f>
        <ns0:v/>
      </ns0:c>
      <ns0:c r="B2861" s="219">
        <ns0:f>IFERROR(IF(AND(AH!$P$9&lt;&gt;1,$C2861&gt;0,$D2861&gt;0,$E2861&gt;0,$F2861&gt;0,$G2861&gt;0,$F2861&lt;=$A2861,$G2861&lt;=$A2861,$A2861-$F2861&lt;=10,$A2861-$G2861&lt;=5),$D2861*$E2861/$C2861-1,NA()),NA())</ns0:f>
        <ns0:v/>
      </ns0:c>
      <ns0:c r="C2861">
        <ns0:f>IFERROR(IF(ISNUMBER($A2861),IF(AND(AH!$P$10=1,AH!$P$12=1,$A2861=TODAY()),AH!$P$19,IF(AH!$P$10=1,INDEX('Live History'!$B$5:$B$3004,AH!$P$13+2856),INDEX('AH History'!$B$1:$B$18046,AH!$P$7+2856))),NA()),NA())</ns0:f>
        <ns0:v/>
      </ns0:c>
      <ns0:c r="D2861">
        <ns0:f>IFERROR(IF(ISNUMBER($A2861),IF(AND(AH!$P$10=1,AH!$P$12=1,$A2861=TODAY()),AH!$P$18,IF(AH!$P$10=1,INDEX('Live History'!$E$5:$E$3004,MATCH($A2861,'Live History'!$D$5:$D$3004,1)),INDEX('AH History'!$C$1:$C$18046,AH!$P$7+2856))),NA()),NA())</ns0:f>
        <ns0:v/>
      </ns0:c>
      <ns0:c r="E2861">
        <ns0:f>IFERROR(IF(ISNUMBER($A2861),IF(AND(AH!$P$10=1,AH!$P$12=1,$A2861=TODAY()),AH!$P$20,IF(AH!$P$10=1,INDEX('Live History'!$H$5:$H$3004,MATCH($A2861,'Live History'!$G$5:$G$3004,1)),INDEX('AH History'!$D$1:$D$18046,AH!$P$7+2856))),NA()),NA())</ns0:f>
        <ns0:v/>
      </ns0:c>
      <ns0:c r="F2861">
        <ns0:f>IFERROR(IF(ISNUMBER($A2861),IF(AND(AH!$P$10=1,AH!$P$12=1,$A2861=TODAY()),IF(AND(AH!$P$10=1,AH!$P$12=1,$A2861=TODAY()),TODAY(),NA()),IF(AH!$P$10=1,INDEX('Live History'!$D$5:$D$3004,MATCH($A2861,'Live History'!$D$5:$D$3004,1)),INDEX('AH History'!$E$1:$E$18046,AH!$P$7+2856))),NA()),NA())</ns0:f>
        <ns0:v/>
      </ns0:c>
      <ns0:c r="G2861">
        <ns0:f>IFERROR(IF(ISNUMBER($A2861),IF(AND(AH!$P$10=1,AH!$P$12=1,$A2861=TODAY()),IF(AND(AH!$P$10=1,AH!$P$12=1,$A2861=TODAY()),TODAY(),NA()),IF(AH!$P$10=1,INDEX('Live History'!$G$5:$G$3004,MATCH($A2861,'Live History'!$G$5:$G$3004,1)),INDEX('AH History'!$F$1:$F$18046,AH!$P$7+2856))),NA()),NA())</ns0:f>
        <ns0:v/>
      </ns0:c>
      <ns0:c r="H2861">
        <ns0:f>IFERROR(IF(AND(AH!$E$4="Bloomberg",AH!$P$10=1,ISNUMBER($A2861),$A2861&lt;=AH!$P$17),AH!$P$7-1+MATCH($A2861,INDEX('AH History'!$A$1:$A$18046,AH!$P$7):INDEX('AH History'!$A$1:$A$18046,AH!$P$7+AH!$P$8-1),0),0),0)</ns0:f>
        <ns0:v/>
      </ns0:c>
      <ns0:c r="I2861">
        <ns0:f>IF($H2861=0,0,IFERROR(IF(AND(ABS($C2861-INDEX('AH History'!$B$1:$B$18046,$H2861))&lt;=MAX(0.005,ABS(INDEX('AH History'!$B$1:$B$18046,$H2861))*0.00005),ABS($D2861-INDEX('AH History'!$C$1:$C$18046,$H2861))&lt;=MAX(0.005,ABS(INDEX('AH History'!$C$1:$C$18046,$H2861))*0.00005),ABS($E2861-INDEX('AH History'!$D$1:$D$18046,$H2861))&lt;=0.00005,$F2861=INDEX('AH History'!$E$1:$E$18046,$H2861),$G2861=INDEX('AH History'!$F$1:$F$18046,$H2861)),1,-1),-1))</ns0:f>
        <ns0:v/>
      </ns0:c>
    </ns0:row>
    <ns0:row r="2862">
      <ns0:c r="A2862" s="215">
        <ns0:f>IF(OR(AH!$P$3=0,2857+1&gt;AH!$P$11,AND(AH!$E$4&lt;&gt;"Stored",AH!$P$10&lt;&gt;1)),"",IFERROR(IF(AND(AH!$P$21=1,2857+1=AH!$P$11),TODAY(),IF(AH!$P$10=1,INDEX('Live History'!$A$5:$A$3004,AH!$P$13+2857),INDEX('AH History'!$A$1:$A$18046,AH!$P$7+2857))),""))</ns0:f>
        <ns0:v/>
      </ns0:c>
      <ns0:c r="B2862" s="219">
        <ns0:f>IFERROR(IF(AND(AH!$P$9&lt;&gt;1,$C2862&gt;0,$D2862&gt;0,$E2862&gt;0,$F2862&gt;0,$G2862&gt;0,$F2862&lt;=$A2862,$G2862&lt;=$A2862,$A2862-$F2862&lt;=10,$A2862-$G2862&lt;=5),$D2862*$E2862/$C2862-1,NA()),NA())</ns0:f>
        <ns0:v/>
      </ns0:c>
      <ns0:c r="C2862">
        <ns0:f>IFERROR(IF(ISNUMBER($A2862),IF(AND(AH!$P$10=1,AH!$P$12=1,$A2862=TODAY()),AH!$P$19,IF(AH!$P$10=1,INDEX('Live History'!$B$5:$B$3004,AH!$P$13+2857),INDEX('AH History'!$B$1:$B$18046,AH!$P$7+2857))),NA()),NA())</ns0:f>
        <ns0:v/>
      </ns0:c>
      <ns0:c r="D2862">
        <ns0:f>IFERROR(IF(ISNUMBER($A2862),IF(AND(AH!$P$10=1,AH!$P$12=1,$A2862=TODAY()),AH!$P$18,IF(AH!$P$10=1,INDEX('Live History'!$E$5:$E$3004,MATCH($A2862,'Live History'!$D$5:$D$3004,1)),INDEX('AH History'!$C$1:$C$18046,AH!$P$7+2857))),NA()),NA())</ns0:f>
        <ns0:v/>
      </ns0:c>
      <ns0:c r="E2862">
        <ns0:f>IFERROR(IF(ISNUMBER($A2862),IF(AND(AH!$P$10=1,AH!$P$12=1,$A2862=TODAY()),AH!$P$20,IF(AH!$P$10=1,INDEX('Live History'!$H$5:$H$3004,MATCH($A2862,'Live History'!$G$5:$G$3004,1)),INDEX('AH History'!$D$1:$D$18046,AH!$P$7+2857))),NA()),NA())</ns0:f>
        <ns0:v/>
      </ns0:c>
      <ns0:c r="F2862">
        <ns0:f>IFERROR(IF(ISNUMBER($A2862),IF(AND(AH!$P$10=1,AH!$P$12=1,$A2862=TODAY()),IF(AND(AH!$P$10=1,AH!$P$12=1,$A2862=TODAY()),TODAY(),NA()),IF(AH!$P$10=1,INDEX('Live History'!$D$5:$D$3004,MATCH($A2862,'Live History'!$D$5:$D$3004,1)),INDEX('AH History'!$E$1:$E$18046,AH!$P$7+2857))),NA()),NA())</ns0:f>
        <ns0:v/>
      </ns0:c>
      <ns0:c r="G2862">
        <ns0:f>IFERROR(IF(ISNUMBER($A2862),IF(AND(AH!$P$10=1,AH!$P$12=1,$A2862=TODAY()),IF(AND(AH!$P$10=1,AH!$P$12=1,$A2862=TODAY()),TODAY(),NA()),IF(AH!$P$10=1,INDEX('Live History'!$G$5:$G$3004,MATCH($A2862,'Live History'!$G$5:$G$3004,1)),INDEX('AH History'!$F$1:$F$18046,AH!$P$7+2857))),NA()),NA())</ns0:f>
        <ns0:v/>
      </ns0:c>
      <ns0:c r="H2862">
        <ns0:f>IFERROR(IF(AND(AH!$E$4="Bloomberg",AH!$P$10=1,ISNUMBER($A2862),$A2862&lt;=AH!$P$17),AH!$P$7-1+MATCH($A2862,INDEX('AH History'!$A$1:$A$18046,AH!$P$7):INDEX('AH History'!$A$1:$A$18046,AH!$P$7+AH!$P$8-1),0),0),0)</ns0:f>
        <ns0:v/>
      </ns0:c>
      <ns0:c r="I2862">
        <ns0:f>IF($H2862=0,0,IFERROR(IF(AND(ABS($C2862-INDEX('AH History'!$B$1:$B$18046,$H2862))&lt;=MAX(0.005,ABS(INDEX('AH History'!$B$1:$B$18046,$H2862))*0.00005),ABS($D2862-INDEX('AH History'!$C$1:$C$18046,$H2862))&lt;=MAX(0.005,ABS(INDEX('AH History'!$C$1:$C$18046,$H2862))*0.00005),ABS($E2862-INDEX('AH History'!$D$1:$D$18046,$H2862))&lt;=0.00005,$F2862=INDEX('AH History'!$E$1:$E$18046,$H2862),$G2862=INDEX('AH History'!$F$1:$F$18046,$H2862)),1,-1),-1))</ns0:f>
        <ns0:v/>
      </ns0:c>
    </ns0:row>
    <ns0:row r="2863">
      <ns0:c r="A2863" s="215">
        <ns0:f>IF(OR(AH!$P$3=0,2858+1&gt;AH!$P$11,AND(AH!$E$4&lt;&gt;"Stored",AH!$P$10&lt;&gt;1)),"",IFERROR(IF(AND(AH!$P$21=1,2858+1=AH!$P$11),TODAY(),IF(AH!$P$10=1,INDEX('Live History'!$A$5:$A$3004,AH!$P$13+2858),INDEX('AH History'!$A$1:$A$18046,AH!$P$7+2858))),""))</ns0:f>
        <ns0:v/>
      </ns0:c>
      <ns0:c r="B2863" s="219">
        <ns0:f>IFERROR(IF(AND(AH!$P$9&lt;&gt;1,$C2863&gt;0,$D2863&gt;0,$E2863&gt;0,$F2863&gt;0,$G2863&gt;0,$F2863&lt;=$A2863,$G2863&lt;=$A2863,$A2863-$F2863&lt;=10,$A2863-$G2863&lt;=5),$D2863*$E2863/$C2863-1,NA()),NA())</ns0:f>
        <ns0:v/>
      </ns0:c>
      <ns0:c r="C2863">
        <ns0:f>IFERROR(IF(ISNUMBER($A2863),IF(AND(AH!$P$10=1,AH!$P$12=1,$A2863=TODAY()),AH!$P$19,IF(AH!$P$10=1,INDEX('Live History'!$B$5:$B$3004,AH!$P$13+2858),INDEX('AH History'!$B$1:$B$18046,AH!$P$7+2858))),NA()),NA())</ns0:f>
        <ns0:v/>
      </ns0:c>
      <ns0:c r="D2863">
        <ns0:f>IFERROR(IF(ISNUMBER($A2863),IF(AND(AH!$P$10=1,AH!$P$12=1,$A2863=TODAY()),AH!$P$18,IF(AH!$P$10=1,INDEX('Live History'!$E$5:$E$3004,MATCH($A2863,'Live History'!$D$5:$D$3004,1)),INDEX('AH History'!$C$1:$C$18046,AH!$P$7+2858))),NA()),NA())</ns0:f>
        <ns0:v/>
      </ns0:c>
      <ns0:c r="E2863">
        <ns0:f>IFERROR(IF(ISNUMBER($A2863),IF(AND(AH!$P$10=1,AH!$P$12=1,$A2863=TODAY()),AH!$P$20,IF(AH!$P$10=1,INDEX('Live History'!$H$5:$H$3004,MATCH($A2863,'Live History'!$G$5:$G$3004,1)),INDEX('AH History'!$D$1:$D$18046,AH!$P$7+2858))),NA()),NA())</ns0:f>
        <ns0:v/>
      </ns0:c>
      <ns0:c r="F2863">
        <ns0:f>IFERROR(IF(ISNUMBER($A2863),IF(AND(AH!$P$10=1,AH!$P$12=1,$A2863=TODAY()),IF(AND(AH!$P$10=1,AH!$P$12=1,$A2863=TODAY()),TODAY(),NA()),IF(AH!$P$10=1,INDEX('Live History'!$D$5:$D$3004,MATCH($A2863,'Live History'!$D$5:$D$3004,1)),INDEX('AH History'!$E$1:$E$18046,AH!$P$7+2858))),NA()),NA())</ns0:f>
        <ns0:v/>
      </ns0:c>
      <ns0:c r="G2863">
        <ns0:f>IFERROR(IF(ISNUMBER($A2863),IF(AND(AH!$P$10=1,AH!$P$12=1,$A2863=TODAY()),IF(AND(AH!$P$10=1,AH!$P$12=1,$A2863=TODAY()),TODAY(),NA()),IF(AH!$P$10=1,INDEX('Live History'!$G$5:$G$3004,MATCH($A2863,'Live History'!$G$5:$G$3004,1)),INDEX('AH History'!$F$1:$F$18046,AH!$P$7+2858))),NA()),NA())</ns0:f>
        <ns0:v/>
      </ns0:c>
      <ns0:c r="H2863">
        <ns0:f>IFERROR(IF(AND(AH!$E$4="Bloomberg",AH!$P$10=1,ISNUMBER($A2863),$A2863&lt;=AH!$P$17),AH!$P$7-1+MATCH($A2863,INDEX('AH History'!$A$1:$A$18046,AH!$P$7):INDEX('AH History'!$A$1:$A$18046,AH!$P$7+AH!$P$8-1),0),0),0)</ns0:f>
        <ns0:v/>
      </ns0:c>
      <ns0:c r="I2863">
        <ns0:f>IF($H2863=0,0,IFERROR(IF(AND(ABS($C2863-INDEX('AH History'!$B$1:$B$18046,$H2863))&lt;=MAX(0.005,ABS(INDEX('AH History'!$B$1:$B$18046,$H2863))*0.00005),ABS($D2863-INDEX('AH History'!$C$1:$C$18046,$H2863))&lt;=MAX(0.005,ABS(INDEX('AH History'!$C$1:$C$18046,$H2863))*0.00005),ABS($E2863-INDEX('AH History'!$D$1:$D$18046,$H2863))&lt;=0.00005,$F2863=INDEX('AH History'!$E$1:$E$18046,$H2863),$G2863=INDEX('AH History'!$F$1:$F$18046,$H2863)),1,-1),-1))</ns0:f>
        <ns0:v/>
      </ns0:c>
    </ns0:row>
    <ns0:row r="2864">
      <ns0:c r="A2864" s="215">
        <ns0:f>IF(OR(AH!$P$3=0,2859+1&gt;AH!$P$11,AND(AH!$E$4&lt;&gt;"Stored",AH!$P$10&lt;&gt;1)),"",IFERROR(IF(AND(AH!$P$21=1,2859+1=AH!$P$11),TODAY(),IF(AH!$P$10=1,INDEX('Live History'!$A$5:$A$3004,AH!$P$13+2859),INDEX('AH History'!$A$1:$A$18046,AH!$P$7+2859))),""))</ns0:f>
        <ns0:v/>
      </ns0:c>
      <ns0:c r="B2864" s="219">
        <ns0:f>IFERROR(IF(AND(AH!$P$9&lt;&gt;1,$C2864&gt;0,$D2864&gt;0,$E2864&gt;0,$F2864&gt;0,$G2864&gt;0,$F2864&lt;=$A2864,$G2864&lt;=$A2864,$A2864-$F2864&lt;=10,$A2864-$G2864&lt;=5),$D2864*$E2864/$C2864-1,NA()),NA())</ns0:f>
        <ns0:v/>
      </ns0:c>
      <ns0:c r="C2864">
        <ns0:f>IFERROR(IF(ISNUMBER($A2864),IF(AND(AH!$P$10=1,AH!$P$12=1,$A2864=TODAY()),AH!$P$19,IF(AH!$P$10=1,INDEX('Live History'!$B$5:$B$3004,AH!$P$13+2859),INDEX('AH History'!$B$1:$B$18046,AH!$P$7+2859))),NA()),NA())</ns0:f>
        <ns0:v/>
      </ns0:c>
      <ns0:c r="D2864">
        <ns0:f>IFERROR(IF(ISNUMBER($A2864),IF(AND(AH!$P$10=1,AH!$P$12=1,$A2864=TODAY()),AH!$P$18,IF(AH!$P$10=1,INDEX('Live History'!$E$5:$E$3004,MATCH($A2864,'Live History'!$D$5:$D$3004,1)),INDEX('AH History'!$C$1:$C$18046,AH!$P$7+2859))),NA()),NA())</ns0:f>
        <ns0:v/>
      </ns0:c>
      <ns0:c r="E2864">
        <ns0:f>IFERROR(IF(ISNUMBER($A2864),IF(AND(AH!$P$10=1,AH!$P$12=1,$A2864=TODAY()),AH!$P$20,IF(AH!$P$10=1,INDEX('Live History'!$H$5:$H$3004,MATCH($A2864,'Live History'!$G$5:$G$3004,1)),INDEX('AH History'!$D$1:$D$18046,AH!$P$7+2859))),NA()),NA())</ns0:f>
        <ns0:v/>
      </ns0:c>
      <ns0:c r="F2864">
        <ns0:f>IFERROR(IF(ISNUMBER($A2864),IF(AND(AH!$P$10=1,AH!$P$12=1,$A2864=TODAY()),IF(AND(AH!$P$10=1,AH!$P$12=1,$A2864=TODAY()),TODAY(),NA()),IF(AH!$P$10=1,INDEX('Live History'!$D$5:$D$3004,MATCH($A2864,'Live History'!$D$5:$D$3004,1)),INDEX('AH History'!$E$1:$E$18046,AH!$P$7+2859))),NA()),NA())</ns0:f>
        <ns0:v/>
      </ns0:c>
      <ns0:c r="G2864">
        <ns0:f>IFERROR(IF(ISNUMBER($A2864),IF(AND(AH!$P$10=1,AH!$P$12=1,$A2864=TODAY()),IF(AND(AH!$P$10=1,AH!$P$12=1,$A2864=TODAY()),TODAY(),NA()),IF(AH!$P$10=1,INDEX('Live History'!$G$5:$G$3004,MATCH($A2864,'Live History'!$G$5:$G$3004,1)),INDEX('AH History'!$F$1:$F$18046,AH!$P$7+2859))),NA()),NA())</ns0:f>
        <ns0:v/>
      </ns0:c>
      <ns0:c r="H2864">
        <ns0:f>IFERROR(IF(AND(AH!$E$4="Bloomberg",AH!$P$10=1,ISNUMBER($A2864),$A2864&lt;=AH!$P$17),AH!$P$7-1+MATCH($A2864,INDEX('AH History'!$A$1:$A$18046,AH!$P$7):INDEX('AH History'!$A$1:$A$18046,AH!$P$7+AH!$P$8-1),0),0),0)</ns0:f>
        <ns0:v/>
      </ns0:c>
      <ns0:c r="I2864">
        <ns0:f>IF($H2864=0,0,IFERROR(IF(AND(ABS($C2864-INDEX('AH History'!$B$1:$B$18046,$H2864))&lt;=MAX(0.005,ABS(INDEX('AH History'!$B$1:$B$18046,$H2864))*0.00005),ABS($D2864-INDEX('AH History'!$C$1:$C$18046,$H2864))&lt;=MAX(0.005,ABS(INDEX('AH History'!$C$1:$C$18046,$H2864))*0.00005),ABS($E2864-INDEX('AH History'!$D$1:$D$18046,$H2864))&lt;=0.00005,$F2864=INDEX('AH History'!$E$1:$E$18046,$H2864),$G2864=INDEX('AH History'!$F$1:$F$18046,$H2864)),1,-1),-1))</ns0:f>
        <ns0:v/>
      </ns0:c>
    </ns0:row>
    <ns0:row r="2865">
      <ns0:c r="A2865" s="215">
        <ns0:f>IF(OR(AH!$P$3=0,2860+1&gt;AH!$P$11,AND(AH!$E$4&lt;&gt;"Stored",AH!$P$10&lt;&gt;1)),"",IFERROR(IF(AND(AH!$P$21=1,2860+1=AH!$P$11),TODAY(),IF(AH!$P$10=1,INDEX('Live History'!$A$5:$A$3004,AH!$P$13+2860),INDEX('AH History'!$A$1:$A$18046,AH!$P$7+2860))),""))</ns0:f>
        <ns0:v/>
      </ns0:c>
      <ns0:c r="B2865" s="219">
        <ns0:f>IFERROR(IF(AND(AH!$P$9&lt;&gt;1,$C2865&gt;0,$D2865&gt;0,$E2865&gt;0,$F2865&gt;0,$G2865&gt;0,$F2865&lt;=$A2865,$G2865&lt;=$A2865,$A2865-$F2865&lt;=10,$A2865-$G2865&lt;=5),$D2865*$E2865/$C2865-1,NA()),NA())</ns0:f>
        <ns0:v/>
      </ns0:c>
      <ns0:c r="C2865">
        <ns0:f>IFERROR(IF(ISNUMBER($A2865),IF(AND(AH!$P$10=1,AH!$P$12=1,$A2865=TODAY()),AH!$P$19,IF(AH!$P$10=1,INDEX('Live History'!$B$5:$B$3004,AH!$P$13+2860),INDEX('AH History'!$B$1:$B$18046,AH!$P$7+2860))),NA()),NA())</ns0:f>
        <ns0:v/>
      </ns0:c>
      <ns0:c r="D2865">
        <ns0:f>IFERROR(IF(ISNUMBER($A2865),IF(AND(AH!$P$10=1,AH!$P$12=1,$A2865=TODAY()),AH!$P$18,IF(AH!$P$10=1,INDEX('Live History'!$E$5:$E$3004,MATCH($A2865,'Live History'!$D$5:$D$3004,1)),INDEX('AH History'!$C$1:$C$18046,AH!$P$7+2860))),NA()),NA())</ns0:f>
        <ns0:v/>
      </ns0:c>
      <ns0:c r="E2865">
        <ns0:f>IFERROR(IF(ISNUMBER($A2865),IF(AND(AH!$P$10=1,AH!$P$12=1,$A2865=TODAY()),AH!$P$20,IF(AH!$P$10=1,INDEX('Live History'!$H$5:$H$3004,MATCH($A2865,'Live History'!$G$5:$G$3004,1)),INDEX('AH History'!$D$1:$D$18046,AH!$P$7+2860))),NA()),NA())</ns0:f>
        <ns0:v/>
      </ns0:c>
      <ns0:c r="F2865">
        <ns0:f>IFERROR(IF(ISNUMBER($A2865),IF(AND(AH!$P$10=1,AH!$P$12=1,$A2865=TODAY()),IF(AND(AH!$P$10=1,AH!$P$12=1,$A2865=TODAY()),TODAY(),NA()),IF(AH!$P$10=1,INDEX('Live History'!$D$5:$D$3004,MATCH($A2865,'Live History'!$D$5:$D$3004,1)),INDEX('AH History'!$E$1:$E$18046,AH!$P$7+2860))),NA()),NA())</ns0:f>
        <ns0:v/>
      </ns0:c>
      <ns0:c r="G2865">
        <ns0:f>IFERROR(IF(ISNUMBER($A2865),IF(AND(AH!$P$10=1,AH!$P$12=1,$A2865=TODAY()),IF(AND(AH!$P$10=1,AH!$P$12=1,$A2865=TODAY()),TODAY(),NA()),IF(AH!$P$10=1,INDEX('Live History'!$G$5:$G$3004,MATCH($A2865,'Live History'!$G$5:$G$3004,1)),INDEX('AH History'!$F$1:$F$18046,AH!$P$7+2860))),NA()),NA())</ns0:f>
        <ns0:v/>
      </ns0:c>
      <ns0:c r="H2865">
        <ns0:f>IFERROR(IF(AND(AH!$E$4="Bloomberg",AH!$P$10=1,ISNUMBER($A2865),$A2865&lt;=AH!$P$17),AH!$P$7-1+MATCH($A2865,INDEX('AH History'!$A$1:$A$18046,AH!$P$7):INDEX('AH History'!$A$1:$A$18046,AH!$P$7+AH!$P$8-1),0),0),0)</ns0:f>
        <ns0:v/>
      </ns0:c>
      <ns0:c r="I2865">
        <ns0:f>IF($H2865=0,0,IFERROR(IF(AND(ABS($C2865-INDEX('AH History'!$B$1:$B$18046,$H2865))&lt;=MAX(0.005,ABS(INDEX('AH History'!$B$1:$B$18046,$H2865))*0.00005),ABS($D2865-INDEX('AH History'!$C$1:$C$18046,$H2865))&lt;=MAX(0.005,ABS(INDEX('AH History'!$C$1:$C$18046,$H2865))*0.00005),ABS($E2865-INDEX('AH History'!$D$1:$D$18046,$H2865))&lt;=0.00005,$F2865=INDEX('AH History'!$E$1:$E$18046,$H2865),$G2865=INDEX('AH History'!$F$1:$F$18046,$H2865)),1,-1),-1))</ns0:f>
        <ns0:v/>
      </ns0:c>
    </ns0:row>
    <ns0:row r="2866">
      <ns0:c r="A2866" s="215">
        <ns0:f>IF(OR(AH!$P$3=0,2861+1&gt;AH!$P$11,AND(AH!$E$4&lt;&gt;"Stored",AH!$P$10&lt;&gt;1)),"",IFERROR(IF(AND(AH!$P$21=1,2861+1=AH!$P$11),TODAY(),IF(AH!$P$10=1,INDEX('Live History'!$A$5:$A$3004,AH!$P$13+2861),INDEX('AH History'!$A$1:$A$18046,AH!$P$7+2861))),""))</ns0:f>
        <ns0:v/>
      </ns0:c>
      <ns0:c r="B2866" s="219">
        <ns0:f>IFERROR(IF(AND(AH!$P$9&lt;&gt;1,$C2866&gt;0,$D2866&gt;0,$E2866&gt;0,$F2866&gt;0,$G2866&gt;0,$F2866&lt;=$A2866,$G2866&lt;=$A2866,$A2866-$F2866&lt;=10,$A2866-$G2866&lt;=5),$D2866*$E2866/$C2866-1,NA()),NA())</ns0:f>
        <ns0:v/>
      </ns0:c>
      <ns0:c r="C2866">
        <ns0:f>IFERROR(IF(ISNUMBER($A2866),IF(AND(AH!$P$10=1,AH!$P$12=1,$A2866=TODAY()),AH!$P$19,IF(AH!$P$10=1,INDEX('Live History'!$B$5:$B$3004,AH!$P$13+2861),INDEX('AH History'!$B$1:$B$18046,AH!$P$7+2861))),NA()),NA())</ns0:f>
        <ns0:v/>
      </ns0:c>
      <ns0:c r="D2866">
        <ns0:f>IFERROR(IF(ISNUMBER($A2866),IF(AND(AH!$P$10=1,AH!$P$12=1,$A2866=TODAY()),AH!$P$18,IF(AH!$P$10=1,INDEX('Live History'!$E$5:$E$3004,MATCH($A2866,'Live History'!$D$5:$D$3004,1)),INDEX('AH History'!$C$1:$C$18046,AH!$P$7+2861))),NA()),NA())</ns0:f>
        <ns0:v/>
      </ns0:c>
      <ns0:c r="E2866">
        <ns0:f>IFERROR(IF(ISNUMBER($A2866),IF(AND(AH!$P$10=1,AH!$P$12=1,$A2866=TODAY()),AH!$P$20,IF(AH!$P$10=1,INDEX('Live History'!$H$5:$H$3004,MATCH($A2866,'Live History'!$G$5:$G$3004,1)),INDEX('AH History'!$D$1:$D$18046,AH!$P$7+2861))),NA()),NA())</ns0:f>
        <ns0:v/>
      </ns0:c>
      <ns0:c r="F2866">
        <ns0:f>IFERROR(IF(ISNUMBER($A2866),IF(AND(AH!$P$10=1,AH!$P$12=1,$A2866=TODAY()),IF(AND(AH!$P$10=1,AH!$P$12=1,$A2866=TODAY()),TODAY(),NA()),IF(AH!$P$10=1,INDEX('Live History'!$D$5:$D$3004,MATCH($A2866,'Live History'!$D$5:$D$3004,1)),INDEX('AH History'!$E$1:$E$18046,AH!$P$7+2861))),NA()),NA())</ns0:f>
        <ns0:v/>
      </ns0:c>
      <ns0:c r="G2866">
        <ns0:f>IFERROR(IF(ISNUMBER($A2866),IF(AND(AH!$P$10=1,AH!$P$12=1,$A2866=TODAY()),IF(AND(AH!$P$10=1,AH!$P$12=1,$A2866=TODAY()),TODAY(),NA()),IF(AH!$P$10=1,INDEX('Live History'!$G$5:$G$3004,MATCH($A2866,'Live History'!$G$5:$G$3004,1)),INDEX('AH History'!$F$1:$F$18046,AH!$P$7+2861))),NA()),NA())</ns0:f>
        <ns0:v/>
      </ns0:c>
      <ns0:c r="H2866">
        <ns0:f>IFERROR(IF(AND(AH!$E$4="Bloomberg",AH!$P$10=1,ISNUMBER($A2866),$A2866&lt;=AH!$P$17),AH!$P$7-1+MATCH($A2866,INDEX('AH History'!$A$1:$A$18046,AH!$P$7):INDEX('AH History'!$A$1:$A$18046,AH!$P$7+AH!$P$8-1),0),0),0)</ns0:f>
        <ns0:v/>
      </ns0:c>
      <ns0:c r="I2866">
        <ns0:f>IF($H2866=0,0,IFERROR(IF(AND(ABS($C2866-INDEX('AH History'!$B$1:$B$18046,$H2866))&lt;=MAX(0.005,ABS(INDEX('AH History'!$B$1:$B$18046,$H2866))*0.00005),ABS($D2866-INDEX('AH History'!$C$1:$C$18046,$H2866))&lt;=MAX(0.005,ABS(INDEX('AH History'!$C$1:$C$18046,$H2866))*0.00005),ABS($E2866-INDEX('AH History'!$D$1:$D$18046,$H2866))&lt;=0.00005,$F2866=INDEX('AH History'!$E$1:$E$18046,$H2866),$G2866=INDEX('AH History'!$F$1:$F$18046,$H2866)),1,-1),-1))</ns0:f>
        <ns0:v/>
      </ns0:c>
    </ns0:row>
    <ns0:row r="2867">
      <ns0:c r="A2867" s="215">
        <ns0:f>IF(OR(AH!$P$3=0,2862+1&gt;AH!$P$11,AND(AH!$E$4&lt;&gt;"Stored",AH!$P$10&lt;&gt;1)),"",IFERROR(IF(AND(AH!$P$21=1,2862+1=AH!$P$11),TODAY(),IF(AH!$P$10=1,INDEX('Live History'!$A$5:$A$3004,AH!$P$13+2862),INDEX('AH History'!$A$1:$A$18046,AH!$P$7+2862))),""))</ns0:f>
        <ns0:v/>
      </ns0:c>
      <ns0:c r="B2867" s="219">
        <ns0:f>IFERROR(IF(AND(AH!$P$9&lt;&gt;1,$C2867&gt;0,$D2867&gt;0,$E2867&gt;0,$F2867&gt;0,$G2867&gt;0,$F2867&lt;=$A2867,$G2867&lt;=$A2867,$A2867-$F2867&lt;=10,$A2867-$G2867&lt;=5),$D2867*$E2867/$C2867-1,NA()),NA())</ns0:f>
        <ns0:v/>
      </ns0:c>
      <ns0:c r="C2867">
        <ns0:f>IFERROR(IF(ISNUMBER($A2867),IF(AND(AH!$P$10=1,AH!$P$12=1,$A2867=TODAY()),AH!$P$19,IF(AH!$P$10=1,INDEX('Live History'!$B$5:$B$3004,AH!$P$13+2862),INDEX('AH History'!$B$1:$B$18046,AH!$P$7+2862))),NA()),NA())</ns0:f>
        <ns0:v/>
      </ns0:c>
      <ns0:c r="D2867">
        <ns0:f>IFERROR(IF(ISNUMBER($A2867),IF(AND(AH!$P$10=1,AH!$P$12=1,$A2867=TODAY()),AH!$P$18,IF(AH!$P$10=1,INDEX('Live History'!$E$5:$E$3004,MATCH($A2867,'Live History'!$D$5:$D$3004,1)),INDEX('AH History'!$C$1:$C$18046,AH!$P$7+2862))),NA()),NA())</ns0:f>
        <ns0:v/>
      </ns0:c>
      <ns0:c r="E2867">
        <ns0:f>IFERROR(IF(ISNUMBER($A2867),IF(AND(AH!$P$10=1,AH!$P$12=1,$A2867=TODAY()),AH!$P$20,IF(AH!$P$10=1,INDEX('Live History'!$H$5:$H$3004,MATCH($A2867,'Live History'!$G$5:$G$3004,1)),INDEX('AH History'!$D$1:$D$18046,AH!$P$7+2862))),NA()),NA())</ns0:f>
        <ns0:v/>
      </ns0:c>
      <ns0:c r="F2867">
        <ns0:f>IFERROR(IF(ISNUMBER($A2867),IF(AND(AH!$P$10=1,AH!$P$12=1,$A2867=TODAY()),IF(AND(AH!$P$10=1,AH!$P$12=1,$A2867=TODAY()),TODAY(),NA()),IF(AH!$P$10=1,INDEX('Live History'!$D$5:$D$3004,MATCH($A2867,'Live History'!$D$5:$D$3004,1)),INDEX('AH History'!$E$1:$E$18046,AH!$P$7+2862))),NA()),NA())</ns0:f>
        <ns0:v/>
      </ns0:c>
      <ns0:c r="G2867">
        <ns0:f>IFERROR(IF(ISNUMBER($A2867),IF(AND(AH!$P$10=1,AH!$P$12=1,$A2867=TODAY()),IF(AND(AH!$P$10=1,AH!$P$12=1,$A2867=TODAY()),TODAY(),NA()),IF(AH!$P$10=1,INDEX('Live History'!$G$5:$G$3004,MATCH($A2867,'Live History'!$G$5:$G$3004,1)),INDEX('AH History'!$F$1:$F$18046,AH!$P$7+2862))),NA()),NA())</ns0:f>
        <ns0:v/>
      </ns0:c>
      <ns0:c r="H2867">
        <ns0:f>IFERROR(IF(AND(AH!$E$4="Bloomberg",AH!$P$10=1,ISNUMBER($A2867),$A2867&lt;=AH!$P$17),AH!$P$7-1+MATCH($A2867,INDEX('AH History'!$A$1:$A$18046,AH!$P$7):INDEX('AH History'!$A$1:$A$18046,AH!$P$7+AH!$P$8-1),0),0),0)</ns0:f>
        <ns0:v/>
      </ns0:c>
      <ns0:c r="I2867">
        <ns0:f>IF($H2867=0,0,IFERROR(IF(AND(ABS($C2867-INDEX('AH History'!$B$1:$B$18046,$H2867))&lt;=MAX(0.005,ABS(INDEX('AH History'!$B$1:$B$18046,$H2867))*0.00005),ABS($D2867-INDEX('AH History'!$C$1:$C$18046,$H2867))&lt;=MAX(0.005,ABS(INDEX('AH History'!$C$1:$C$18046,$H2867))*0.00005),ABS($E2867-INDEX('AH History'!$D$1:$D$18046,$H2867))&lt;=0.00005,$F2867=INDEX('AH History'!$E$1:$E$18046,$H2867),$G2867=INDEX('AH History'!$F$1:$F$18046,$H2867)),1,-1),-1))</ns0:f>
        <ns0:v/>
      </ns0:c>
    </ns0:row>
    <ns0:row r="2868">
      <ns0:c r="A2868" s="215">
        <ns0:f>IF(OR(AH!$P$3=0,2863+1&gt;AH!$P$11,AND(AH!$E$4&lt;&gt;"Stored",AH!$P$10&lt;&gt;1)),"",IFERROR(IF(AND(AH!$P$21=1,2863+1=AH!$P$11),TODAY(),IF(AH!$P$10=1,INDEX('Live History'!$A$5:$A$3004,AH!$P$13+2863),INDEX('AH History'!$A$1:$A$18046,AH!$P$7+2863))),""))</ns0:f>
        <ns0:v/>
      </ns0:c>
      <ns0:c r="B2868" s="219">
        <ns0:f>IFERROR(IF(AND(AH!$P$9&lt;&gt;1,$C2868&gt;0,$D2868&gt;0,$E2868&gt;0,$F2868&gt;0,$G2868&gt;0,$F2868&lt;=$A2868,$G2868&lt;=$A2868,$A2868-$F2868&lt;=10,$A2868-$G2868&lt;=5),$D2868*$E2868/$C2868-1,NA()),NA())</ns0:f>
        <ns0:v/>
      </ns0:c>
      <ns0:c r="C2868">
        <ns0:f>IFERROR(IF(ISNUMBER($A2868),IF(AND(AH!$P$10=1,AH!$P$12=1,$A2868=TODAY()),AH!$P$19,IF(AH!$P$10=1,INDEX('Live History'!$B$5:$B$3004,AH!$P$13+2863),INDEX('AH History'!$B$1:$B$18046,AH!$P$7+2863))),NA()),NA())</ns0:f>
        <ns0:v/>
      </ns0:c>
      <ns0:c r="D2868">
        <ns0:f>IFERROR(IF(ISNUMBER($A2868),IF(AND(AH!$P$10=1,AH!$P$12=1,$A2868=TODAY()),AH!$P$18,IF(AH!$P$10=1,INDEX('Live History'!$E$5:$E$3004,MATCH($A2868,'Live History'!$D$5:$D$3004,1)),INDEX('AH History'!$C$1:$C$18046,AH!$P$7+2863))),NA()),NA())</ns0:f>
        <ns0:v/>
      </ns0:c>
      <ns0:c r="E2868">
        <ns0:f>IFERROR(IF(ISNUMBER($A2868),IF(AND(AH!$P$10=1,AH!$P$12=1,$A2868=TODAY()),AH!$P$20,IF(AH!$P$10=1,INDEX('Live History'!$H$5:$H$3004,MATCH($A2868,'Live History'!$G$5:$G$3004,1)),INDEX('AH History'!$D$1:$D$18046,AH!$P$7+2863))),NA()),NA())</ns0:f>
        <ns0:v/>
      </ns0:c>
      <ns0:c r="F2868">
        <ns0:f>IFERROR(IF(ISNUMBER($A2868),IF(AND(AH!$P$10=1,AH!$P$12=1,$A2868=TODAY()),IF(AND(AH!$P$10=1,AH!$P$12=1,$A2868=TODAY()),TODAY(),NA()),IF(AH!$P$10=1,INDEX('Live History'!$D$5:$D$3004,MATCH($A2868,'Live History'!$D$5:$D$3004,1)),INDEX('AH History'!$E$1:$E$18046,AH!$P$7+2863))),NA()),NA())</ns0:f>
        <ns0:v/>
      </ns0:c>
      <ns0:c r="G2868">
        <ns0:f>IFERROR(IF(ISNUMBER($A2868),IF(AND(AH!$P$10=1,AH!$P$12=1,$A2868=TODAY()),IF(AND(AH!$P$10=1,AH!$P$12=1,$A2868=TODAY()),TODAY(),NA()),IF(AH!$P$10=1,INDEX('Live History'!$G$5:$G$3004,MATCH($A2868,'Live History'!$G$5:$G$3004,1)),INDEX('AH History'!$F$1:$F$18046,AH!$P$7+2863))),NA()),NA())</ns0:f>
        <ns0:v/>
      </ns0:c>
      <ns0:c r="H2868">
        <ns0:f>IFERROR(IF(AND(AH!$E$4="Bloomberg",AH!$P$10=1,ISNUMBER($A2868),$A2868&lt;=AH!$P$17),AH!$P$7-1+MATCH($A2868,INDEX('AH History'!$A$1:$A$18046,AH!$P$7):INDEX('AH History'!$A$1:$A$18046,AH!$P$7+AH!$P$8-1),0),0),0)</ns0:f>
        <ns0:v/>
      </ns0:c>
      <ns0:c r="I2868">
        <ns0:f>IF($H2868=0,0,IFERROR(IF(AND(ABS($C2868-INDEX('AH History'!$B$1:$B$18046,$H2868))&lt;=MAX(0.005,ABS(INDEX('AH History'!$B$1:$B$18046,$H2868))*0.00005),ABS($D2868-INDEX('AH History'!$C$1:$C$18046,$H2868))&lt;=MAX(0.005,ABS(INDEX('AH History'!$C$1:$C$18046,$H2868))*0.00005),ABS($E2868-INDEX('AH History'!$D$1:$D$18046,$H2868))&lt;=0.00005,$F2868=INDEX('AH History'!$E$1:$E$18046,$H2868),$G2868=INDEX('AH History'!$F$1:$F$18046,$H2868)),1,-1),-1))</ns0:f>
        <ns0:v/>
      </ns0:c>
    </ns0:row>
    <ns0:row r="2869">
      <ns0:c r="A2869" s="215">
        <ns0:f>IF(OR(AH!$P$3=0,2864+1&gt;AH!$P$11,AND(AH!$E$4&lt;&gt;"Stored",AH!$P$10&lt;&gt;1)),"",IFERROR(IF(AND(AH!$P$21=1,2864+1=AH!$P$11),TODAY(),IF(AH!$P$10=1,INDEX('Live History'!$A$5:$A$3004,AH!$P$13+2864),INDEX('AH History'!$A$1:$A$18046,AH!$P$7+2864))),""))</ns0:f>
        <ns0:v/>
      </ns0:c>
      <ns0:c r="B2869" s="219">
        <ns0:f>IFERROR(IF(AND(AH!$P$9&lt;&gt;1,$C2869&gt;0,$D2869&gt;0,$E2869&gt;0,$F2869&gt;0,$G2869&gt;0,$F2869&lt;=$A2869,$G2869&lt;=$A2869,$A2869-$F2869&lt;=10,$A2869-$G2869&lt;=5),$D2869*$E2869/$C2869-1,NA()),NA())</ns0:f>
        <ns0:v/>
      </ns0:c>
      <ns0:c r="C2869">
        <ns0:f>IFERROR(IF(ISNUMBER($A2869),IF(AND(AH!$P$10=1,AH!$P$12=1,$A2869=TODAY()),AH!$P$19,IF(AH!$P$10=1,INDEX('Live History'!$B$5:$B$3004,AH!$P$13+2864),INDEX('AH History'!$B$1:$B$18046,AH!$P$7+2864))),NA()),NA())</ns0:f>
        <ns0:v/>
      </ns0:c>
      <ns0:c r="D2869">
        <ns0:f>IFERROR(IF(ISNUMBER($A2869),IF(AND(AH!$P$10=1,AH!$P$12=1,$A2869=TODAY()),AH!$P$18,IF(AH!$P$10=1,INDEX('Live History'!$E$5:$E$3004,MATCH($A2869,'Live History'!$D$5:$D$3004,1)),INDEX('AH History'!$C$1:$C$18046,AH!$P$7+2864))),NA()),NA())</ns0:f>
        <ns0:v/>
      </ns0:c>
      <ns0:c r="E2869">
        <ns0:f>IFERROR(IF(ISNUMBER($A2869),IF(AND(AH!$P$10=1,AH!$P$12=1,$A2869=TODAY()),AH!$P$20,IF(AH!$P$10=1,INDEX('Live History'!$H$5:$H$3004,MATCH($A2869,'Live History'!$G$5:$G$3004,1)),INDEX('AH History'!$D$1:$D$18046,AH!$P$7+2864))),NA()),NA())</ns0:f>
        <ns0:v/>
      </ns0:c>
      <ns0:c r="F2869">
        <ns0:f>IFERROR(IF(ISNUMBER($A2869),IF(AND(AH!$P$10=1,AH!$P$12=1,$A2869=TODAY()),IF(AND(AH!$P$10=1,AH!$P$12=1,$A2869=TODAY()),TODAY(),NA()),IF(AH!$P$10=1,INDEX('Live History'!$D$5:$D$3004,MATCH($A2869,'Live History'!$D$5:$D$3004,1)),INDEX('AH History'!$E$1:$E$18046,AH!$P$7+2864))),NA()),NA())</ns0:f>
        <ns0:v/>
      </ns0:c>
      <ns0:c r="G2869">
        <ns0:f>IFERROR(IF(ISNUMBER($A2869),IF(AND(AH!$P$10=1,AH!$P$12=1,$A2869=TODAY()),IF(AND(AH!$P$10=1,AH!$P$12=1,$A2869=TODAY()),TODAY(),NA()),IF(AH!$P$10=1,INDEX('Live History'!$G$5:$G$3004,MATCH($A2869,'Live History'!$G$5:$G$3004,1)),INDEX('AH History'!$F$1:$F$18046,AH!$P$7+2864))),NA()),NA())</ns0:f>
        <ns0:v/>
      </ns0:c>
      <ns0:c r="H2869">
        <ns0:f>IFERROR(IF(AND(AH!$E$4="Bloomberg",AH!$P$10=1,ISNUMBER($A2869),$A2869&lt;=AH!$P$17),AH!$P$7-1+MATCH($A2869,INDEX('AH History'!$A$1:$A$18046,AH!$P$7):INDEX('AH History'!$A$1:$A$18046,AH!$P$7+AH!$P$8-1),0),0),0)</ns0:f>
        <ns0:v/>
      </ns0:c>
      <ns0:c r="I2869">
        <ns0:f>IF($H2869=0,0,IFERROR(IF(AND(ABS($C2869-INDEX('AH History'!$B$1:$B$18046,$H2869))&lt;=MAX(0.005,ABS(INDEX('AH History'!$B$1:$B$18046,$H2869))*0.00005),ABS($D2869-INDEX('AH History'!$C$1:$C$18046,$H2869))&lt;=MAX(0.005,ABS(INDEX('AH History'!$C$1:$C$18046,$H2869))*0.00005),ABS($E2869-INDEX('AH History'!$D$1:$D$18046,$H2869))&lt;=0.00005,$F2869=INDEX('AH History'!$E$1:$E$18046,$H2869),$G2869=INDEX('AH History'!$F$1:$F$18046,$H2869)),1,-1),-1))</ns0:f>
        <ns0:v/>
      </ns0:c>
    </ns0:row>
    <ns0:row r="2870">
      <ns0:c r="A2870" s="215">
        <ns0:f>IF(OR(AH!$P$3=0,2865+1&gt;AH!$P$11,AND(AH!$E$4&lt;&gt;"Stored",AH!$P$10&lt;&gt;1)),"",IFERROR(IF(AND(AH!$P$21=1,2865+1=AH!$P$11),TODAY(),IF(AH!$P$10=1,INDEX('Live History'!$A$5:$A$3004,AH!$P$13+2865),INDEX('AH History'!$A$1:$A$18046,AH!$P$7+2865))),""))</ns0:f>
        <ns0:v/>
      </ns0:c>
      <ns0:c r="B2870" s="219">
        <ns0:f>IFERROR(IF(AND(AH!$P$9&lt;&gt;1,$C2870&gt;0,$D2870&gt;0,$E2870&gt;0,$F2870&gt;0,$G2870&gt;0,$F2870&lt;=$A2870,$G2870&lt;=$A2870,$A2870-$F2870&lt;=10,$A2870-$G2870&lt;=5),$D2870*$E2870/$C2870-1,NA()),NA())</ns0:f>
        <ns0:v/>
      </ns0:c>
      <ns0:c r="C2870">
        <ns0:f>IFERROR(IF(ISNUMBER($A2870),IF(AND(AH!$P$10=1,AH!$P$12=1,$A2870=TODAY()),AH!$P$19,IF(AH!$P$10=1,INDEX('Live History'!$B$5:$B$3004,AH!$P$13+2865),INDEX('AH History'!$B$1:$B$18046,AH!$P$7+2865))),NA()),NA())</ns0:f>
        <ns0:v/>
      </ns0:c>
      <ns0:c r="D2870">
        <ns0:f>IFERROR(IF(ISNUMBER($A2870),IF(AND(AH!$P$10=1,AH!$P$12=1,$A2870=TODAY()),AH!$P$18,IF(AH!$P$10=1,INDEX('Live History'!$E$5:$E$3004,MATCH($A2870,'Live History'!$D$5:$D$3004,1)),INDEX('AH History'!$C$1:$C$18046,AH!$P$7+2865))),NA()),NA())</ns0:f>
        <ns0:v/>
      </ns0:c>
      <ns0:c r="E2870">
        <ns0:f>IFERROR(IF(ISNUMBER($A2870),IF(AND(AH!$P$10=1,AH!$P$12=1,$A2870=TODAY()),AH!$P$20,IF(AH!$P$10=1,INDEX('Live History'!$H$5:$H$3004,MATCH($A2870,'Live History'!$G$5:$G$3004,1)),INDEX('AH History'!$D$1:$D$18046,AH!$P$7+2865))),NA()),NA())</ns0:f>
        <ns0:v/>
      </ns0:c>
      <ns0:c r="F2870">
        <ns0:f>IFERROR(IF(ISNUMBER($A2870),IF(AND(AH!$P$10=1,AH!$P$12=1,$A2870=TODAY()),IF(AND(AH!$P$10=1,AH!$P$12=1,$A2870=TODAY()),TODAY(),NA()),IF(AH!$P$10=1,INDEX('Live History'!$D$5:$D$3004,MATCH($A2870,'Live History'!$D$5:$D$3004,1)),INDEX('AH History'!$E$1:$E$18046,AH!$P$7+2865))),NA()),NA())</ns0:f>
        <ns0:v/>
      </ns0:c>
      <ns0:c r="G2870">
        <ns0:f>IFERROR(IF(ISNUMBER($A2870),IF(AND(AH!$P$10=1,AH!$P$12=1,$A2870=TODAY()),IF(AND(AH!$P$10=1,AH!$P$12=1,$A2870=TODAY()),TODAY(),NA()),IF(AH!$P$10=1,INDEX('Live History'!$G$5:$G$3004,MATCH($A2870,'Live History'!$G$5:$G$3004,1)),INDEX('AH History'!$F$1:$F$18046,AH!$P$7+2865))),NA()),NA())</ns0:f>
        <ns0:v/>
      </ns0:c>
      <ns0:c r="H2870">
        <ns0:f>IFERROR(IF(AND(AH!$E$4="Bloomberg",AH!$P$10=1,ISNUMBER($A2870),$A2870&lt;=AH!$P$17),AH!$P$7-1+MATCH($A2870,INDEX('AH History'!$A$1:$A$18046,AH!$P$7):INDEX('AH History'!$A$1:$A$18046,AH!$P$7+AH!$P$8-1),0),0),0)</ns0:f>
        <ns0:v/>
      </ns0:c>
      <ns0:c r="I2870">
        <ns0:f>IF($H2870=0,0,IFERROR(IF(AND(ABS($C2870-INDEX('AH History'!$B$1:$B$18046,$H2870))&lt;=MAX(0.005,ABS(INDEX('AH History'!$B$1:$B$18046,$H2870))*0.00005),ABS($D2870-INDEX('AH History'!$C$1:$C$18046,$H2870))&lt;=MAX(0.005,ABS(INDEX('AH History'!$C$1:$C$18046,$H2870))*0.00005),ABS($E2870-INDEX('AH History'!$D$1:$D$18046,$H2870))&lt;=0.00005,$F2870=INDEX('AH History'!$E$1:$E$18046,$H2870),$G2870=INDEX('AH History'!$F$1:$F$18046,$H2870)),1,-1),-1))</ns0:f>
        <ns0:v/>
      </ns0:c>
    </ns0:row>
    <ns0:row r="2871">
      <ns0:c r="A2871" s="215">
        <ns0:f>IF(OR(AH!$P$3=0,2866+1&gt;AH!$P$11,AND(AH!$E$4&lt;&gt;"Stored",AH!$P$10&lt;&gt;1)),"",IFERROR(IF(AND(AH!$P$21=1,2866+1=AH!$P$11),TODAY(),IF(AH!$P$10=1,INDEX('Live History'!$A$5:$A$3004,AH!$P$13+2866),INDEX('AH History'!$A$1:$A$18046,AH!$P$7+2866))),""))</ns0:f>
        <ns0:v/>
      </ns0:c>
      <ns0:c r="B2871" s="219">
        <ns0:f>IFERROR(IF(AND(AH!$P$9&lt;&gt;1,$C2871&gt;0,$D2871&gt;0,$E2871&gt;0,$F2871&gt;0,$G2871&gt;0,$F2871&lt;=$A2871,$G2871&lt;=$A2871,$A2871-$F2871&lt;=10,$A2871-$G2871&lt;=5),$D2871*$E2871/$C2871-1,NA()),NA())</ns0:f>
        <ns0:v/>
      </ns0:c>
      <ns0:c r="C2871">
        <ns0:f>IFERROR(IF(ISNUMBER($A2871),IF(AND(AH!$P$10=1,AH!$P$12=1,$A2871=TODAY()),AH!$P$19,IF(AH!$P$10=1,INDEX('Live History'!$B$5:$B$3004,AH!$P$13+2866),INDEX('AH History'!$B$1:$B$18046,AH!$P$7+2866))),NA()),NA())</ns0:f>
        <ns0:v/>
      </ns0:c>
      <ns0:c r="D2871">
        <ns0:f>IFERROR(IF(ISNUMBER($A2871),IF(AND(AH!$P$10=1,AH!$P$12=1,$A2871=TODAY()),AH!$P$18,IF(AH!$P$10=1,INDEX('Live History'!$E$5:$E$3004,MATCH($A2871,'Live History'!$D$5:$D$3004,1)),INDEX('AH History'!$C$1:$C$18046,AH!$P$7+2866))),NA()),NA())</ns0:f>
        <ns0:v/>
      </ns0:c>
      <ns0:c r="E2871">
        <ns0:f>IFERROR(IF(ISNUMBER($A2871),IF(AND(AH!$P$10=1,AH!$P$12=1,$A2871=TODAY()),AH!$P$20,IF(AH!$P$10=1,INDEX('Live History'!$H$5:$H$3004,MATCH($A2871,'Live History'!$G$5:$G$3004,1)),INDEX('AH History'!$D$1:$D$18046,AH!$P$7+2866))),NA()),NA())</ns0:f>
        <ns0:v/>
      </ns0:c>
      <ns0:c r="F2871">
        <ns0:f>IFERROR(IF(ISNUMBER($A2871),IF(AND(AH!$P$10=1,AH!$P$12=1,$A2871=TODAY()),IF(AND(AH!$P$10=1,AH!$P$12=1,$A2871=TODAY()),TODAY(),NA()),IF(AH!$P$10=1,INDEX('Live History'!$D$5:$D$3004,MATCH($A2871,'Live History'!$D$5:$D$3004,1)),INDEX('AH History'!$E$1:$E$18046,AH!$P$7+2866))),NA()),NA())</ns0:f>
        <ns0:v/>
      </ns0:c>
      <ns0:c r="G2871">
        <ns0:f>IFERROR(IF(ISNUMBER($A2871),IF(AND(AH!$P$10=1,AH!$P$12=1,$A2871=TODAY()),IF(AND(AH!$P$10=1,AH!$P$12=1,$A2871=TODAY()),TODAY(),NA()),IF(AH!$P$10=1,INDEX('Live History'!$G$5:$G$3004,MATCH($A2871,'Live History'!$G$5:$G$3004,1)),INDEX('AH History'!$F$1:$F$18046,AH!$P$7+2866))),NA()),NA())</ns0:f>
        <ns0:v/>
      </ns0:c>
      <ns0:c r="H2871">
        <ns0:f>IFERROR(IF(AND(AH!$E$4="Bloomberg",AH!$P$10=1,ISNUMBER($A2871),$A2871&lt;=AH!$P$17),AH!$P$7-1+MATCH($A2871,INDEX('AH History'!$A$1:$A$18046,AH!$P$7):INDEX('AH History'!$A$1:$A$18046,AH!$P$7+AH!$P$8-1),0),0),0)</ns0:f>
        <ns0:v/>
      </ns0:c>
      <ns0:c r="I2871">
        <ns0:f>IF($H2871=0,0,IFERROR(IF(AND(ABS($C2871-INDEX('AH History'!$B$1:$B$18046,$H2871))&lt;=MAX(0.005,ABS(INDEX('AH History'!$B$1:$B$18046,$H2871))*0.00005),ABS($D2871-INDEX('AH History'!$C$1:$C$18046,$H2871))&lt;=MAX(0.005,ABS(INDEX('AH History'!$C$1:$C$18046,$H2871))*0.00005),ABS($E2871-INDEX('AH History'!$D$1:$D$18046,$H2871))&lt;=0.00005,$F2871=INDEX('AH History'!$E$1:$E$18046,$H2871),$G2871=INDEX('AH History'!$F$1:$F$18046,$H2871)),1,-1),-1))</ns0:f>
        <ns0:v/>
      </ns0:c>
    </ns0:row>
    <ns0:row r="2872">
      <ns0:c r="A2872" s="215">
        <ns0:f>IF(OR(AH!$P$3=0,2867+1&gt;AH!$P$11,AND(AH!$E$4&lt;&gt;"Stored",AH!$P$10&lt;&gt;1)),"",IFERROR(IF(AND(AH!$P$21=1,2867+1=AH!$P$11),TODAY(),IF(AH!$P$10=1,INDEX('Live History'!$A$5:$A$3004,AH!$P$13+2867),INDEX('AH History'!$A$1:$A$18046,AH!$P$7+2867))),""))</ns0:f>
        <ns0:v/>
      </ns0:c>
      <ns0:c r="B2872" s="219">
        <ns0:f>IFERROR(IF(AND(AH!$P$9&lt;&gt;1,$C2872&gt;0,$D2872&gt;0,$E2872&gt;0,$F2872&gt;0,$G2872&gt;0,$F2872&lt;=$A2872,$G2872&lt;=$A2872,$A2872-$F2872&lt;=10,$A2872-$G2872&lt;=5),$D2872*$E2872/$C2872-1,NA()),NA())</ns0:f>
        <ns0:v/>
      </ns0:c>
      <ns0:c r="C2872">
        <ns0:f>IFERROR(IF(ISNUMBER($A2872),IF(AND(AH!$P$10=1,AH!$P$12=1,$A2872=TODAY()),AH!$P$19,IF(AH!$P$10=1,INDEX('Live History'!$B$5:$B$3004,AH!$P$13+2867),INDEX('AH History'!$B$1:$B$18046,AH!$P$7+2867))),NA()),NA())</ns0:f>
        <ns0:v/>
      </ns0:c>
      <ns0:c r="D2872">
        <ns0:f>IFERROR(IF(ISNUMBER($A2872),IF(AND(AH!$P$10=1,AH!$P$12=1,$A2872=TODAY()),AH!$P$18,IF(AH!$P$10=1,INDEX('Live History'!$E$5:$E$3004,MATCH($A2872,'Live History'!$D$5:$D$3004,1)),INDEX('AH History'!$C$1:$C$18046,AH!$P$7+2867))),NA()),NA())</ns0:f>
        <ns0:v/>
      </ns0:c>
      <ns0:c r="E2872">
        <ns0:f>IFERROR(IF(ISNUMBER($A2872),IF(AND(AH!$P$10=1,AH!$P$12=1,$A2872=TODAY()),AH!$P$20,IF(AH!$P$10=1,INDEX('Live History'!$H$5:$H$3004,MATCH($A2872,'Live History'!$G$5:$G$3004,1)),INDEX('AH History'!$D$1:$D$18046,AH!$P$7+2867))),NA()),NA())</ns0:f>
        <ns0:v/>
      </ns0:c>
      <ns0:c r="F2872">
        <ns0:f>IFERROR(IF(ISNUMBER($A2872),IF(AND(AH!$P$10=1,AH!$P$12=1,$A2872=TODAY()),IF(AND(AH!$P$10=1,AH!$P$12=1,$A2872=TODAY()),TODAY(),NA()),IF(AH!$P$10=1,INDEX('Live History'!$D$5:$D$3004,MATCH($A2872,'Live History'!$D$5:$D$3004,1)),INDEX('AH History'!$E$1:$E$18046,AH!$P$7+2867))),NA()),NA())</ns0:f>
        <ns0:v/>
      </ns0:c>
      <ns0:c r="G2872">
        <ns0:f>IFERROR(IF(ISNUMBER($A2872),IF(AND(AH!$P$10=1,AH!$P$12=1,$A2872=TODAY()),IF(AND(AH!$P$10=1,AH!$P$12=1,$A2872=TODAY()),TODAY(),NA()),IF(AH!$P$10=1,INDEX('Live History'!$G$5:$G$3004,MATCH($A2872,'Live History'!$G$5:$G$3004,1)),INDEX('AH History'!$F$1:$F$18046,AH!$P$7+2867))),NA()),NA())</ns0:f>
        <ns0:v/>
      </ns0:c>
      <ns0:c r="H2872">
        <ns0:f>IFERROR(IF(AND(AH!$E$4="Bloomberg",AH!$P$10=1,ISNUMBER($A2872),$A2872&lt;=AH!$P$17),AH!$P$7-1+MATCH($A2872,INDEX('AH History'!$A$1:$A$18046,AH!$P$7):INDEX('AH History'!$A$1:$A$18046,AH!$P$7+AH!$P$8-1),0),0),0)</ns0:f>
        <ns0:v/>
      </ns0:c>
      <ns0:c r="I2872">
        <ns0:f>IF($H2872=0,0,IFERROR(IF(AND(ABS($C2872-INDEX('AH History'!$B$1:$B$18046,$H2872))&lt;=MAX(0.005,ABS(INDEX('AH History'!$B$1:$B$18046,$H2872))*0.00005),ABS($D2872-INDEX('AH History'!$C$1:$C$18046,$H2872))&lt;=MAX(0.005,ABS(INDEX('AH History'!$C$1:$C$18046,$H2872))*0.00005),ABS($E2872-INDEX('AH History'!$D$1:$D$18046,$H2872))&lt;=0.00005,$F2872=INDEX('AH History'!$E$1:$E$18046,$H2872),$G2872=INDEX('AH History'!$F$1:$F$18046,$H2872)),1,-1),-1))</ns0:f>
        <ns0:v/>
      </ns0:c>
    </ns0:row>
    <ns0:row r="2873">
      <ns0:c r="A2873" s="215">
        <ns0:f>IF(OR(AH!$P$3=0,2868+1&gt;AH!$P$11,AND(AH!$E$4&lt;&gt;"Stored",AH!$P$10&lt;&gt;1)),"",IFERROR(IF(AND(AH!$P$21=1,2868+1=AH!$P$11),TODAY(),IF(AH!$P$10=1,INDEX('Live History'!$A$5:$A$3004,AH!$P$13+2868),INDEX('AH History'!$A$1:$A$18046,AH!$P$7+2868))),""))</ns0:f>
        <ns0:v/>
      </ns0:c>
      <ns0:c r="B2873" s="219">
        <ns0:f>IFERROR(IF(AND(AH!$P$9&lt;&gt;1,$C2873&gt;0,$D2873&gt;0,$E2873&gt;0,$F2873&gt;0,$G2873&gt;0,$F2873&lt;=$A2873,$G2873&lt;=$A2873,$A2873-$F2873&lt;=10,$A2873-$G2873&lt;=5),$D2873*$E2873/$C2873-1,NA()),NA())</ns0:f>
        <ns0:v/>
      </ns0:c>
      <ns0:c r="C2873">
        <ns0:f>IFERROR(IF(ISNUMBER($A2873),IF(AND(AH!$P$10=1,AH!$P$12=1,$A2873=TODAY()),AH!$P$19,IF(AH!$P$10=1,INDEX('Live History'!$B$5:$B$3004,AH!$P$13+2868),INDEX('AH History'!$B$1:$B$18046,AH!$P$7+2868))),NA()),NA())</ns0:f>
        <ns0:v/>
      </ns0:c>
      <ns0:c r="D2873">
        <ns0:f>IFERROR(IF(ISNUMBER($A2873),IF(AND(AH!$P$10=1,AH!$P$12=1,$A2873=TODAY()),AH!$P$18,IF(AH!$P$10=1,INDEX('Live History'!$E$5:$E$3004,MATCH($A2873,'Live History'!$D$5:$D$3004,1)),INDEX('AH History'!$C$1:$C$18046,AH!$P$7+2868))),NA()),NA())</ns0:f>
        <ns0:v/>
      </ns0:c>
      <ns0:c r="E2873">
        <ns0:f>IFERROR(IF(ISNUMBER($A2873),IF(AND(AH!$P$10=1,AH!$P$12=1,$A2873=TODAY()),AH!$P$20,IF(AH!$P$10=1,INDEX('Live History'!$H$5:$H$3004,MATCH($A2873,'Live History'!$G$5:$G$3004,1)),INDEX('AH History'!$D$1:$D$18046,AH!$P$7+2868))),NA()),NA())</ns0:f>
        <ns0:v/>
      </ns0:c>
      <ns0:c r="F2873">
        <ns0:f>IFERROR(IF(ISNUMBER($A2873),IF(AND(AH!$P$10=1,AH!$P$12=1,$A2873=TODAY()),IF(AND(AH!$P$10=1,AH!$P$12=1,$A2873=TODAY()),TODAY(),NA()),IF(AH!$P$10=1,INDEX('Live History'!$D$5:$D$3004,MATCH($A2873,'Live History'!$D$5:$D$3004,1)),INDEX('AH History'!$E$1:$E$18046,AH!$P$7+2868))),NA()),NA())</ns0:f>
        <ns0:v/>
      </ns0:c>
      <ns0:c r="G2873">
        <ns0:f>IFERROR(IF(ISNUMBER($A2873),IF(AND(AH!$P$10=1,AH!$P$12=1,$A2873=TODAY()),IF(AND(AH!$P$10=1,AH!$P$12=1,$A2873=TODAY()),TODAY(),NA()),IF(AH!$P$10=1,INDEX('Live History'!$G$5:$G$3004,MATCH($A2873,'Live History'!$G$5:$G$3004,1)),INDEX('AH History'!$F$1:$F$18046,AH!$P$7+2868))),NA()),NA())</ns0:f>
        <ns0:v/>
      </ns0:c>
      <ns0:c r="H2873">
        <ns0:f>IFERROR(IF(AND(AH!$E$4="Bloomberg",AH!$P$10=1,ISNUMBER($A2873),$A2873&lt;=AH!$P$17),AH!$P$7-1+MATCH($A2873,INDEX('AH History'!$A$1:$A$18046,AH!$P$7):INDEX('AH History'!$A$1:$A$18046,AH!$P$7+AH!$P$8-1),0),0),0)</ns0:f>
        <ns0:v/>
      </ns0:c>
      <ns0:c r="I2873">
        <ns0:f>IF($H2873=0,0,IFERROR(IF(AND(ABS($C2873-INDEX('AH History'!$B$1:$B$18046,$H2873))&lt;=MAX(0.005,ABS(INDEX('AH History'!$B$1:$B$18046,$H2873))*0.00005),ABS($D2873-INDEX('AH History'!$C$1:$C$18046,$H2873))&lt;=MAX(0.005,ABS(INDEX('AH History'!$C$1:$C$18046,$H2873))*0.00005),ABS($E2873-INDEX('AH History'!$D$1:$D$18046,$H2873))&lt;=0.00005,$F2873=INDEX('AH History'!$E$1:$E$18046,$H2873),$G2873=INDEX('AH History'!$F$1:$F$18046,$H2873)),1,-1),-1))</ns0:f>
        <ns0:v/>
      </ns0:c>
    </ns0:row>
    <ns0:row r="2874">
      <ns0:c r="A2874" s="215">
        <ns0:f>IF(OR(AH!$P$3=0,2869+1&gt;AH!$P$11,AND(AH!$E$4&lt;&gt;"Stored",AH!$P$10&lt;&gt;1)),"",IFERROR(IF(AND(AH!$P$21=1,2869+1=AH!$P$11),TODAY(),IF(AH!$P$10=1,INDEX('Live History'!$A$5:$A$3004,AH!$P$13+2869),INDEX('AH History'!$A$1:$A$18046,AH!$P$7+2869))),""))</ns0:f>
        <ns0:v/>
      </ns0:c>
      <ns0:c r="B2874" s="219">
        <ns0:f>IFERROR(IF(AND(AH!$P$9&lt;&gt;1,$C2874&gt;0,$D2874&gt;0,$E2874&gt;0,$F2874&gt;0,$G2874&gt;0,$F2874&lt;=$A2874,$G2874&lt;=$A2874,$A2874-$F2874&lt;=10,$A2874-$G2874&lt;=5),$D2874*$E2874/$C2874-1,NA()),NA())</ns0:f>
        <ns0:v/>
      </ns0:c>
      <ns0:c r="C2874">
        <ns0:f>IFERROR(IF(ISNUMBER($A2874),IF(AND(AH!$P$10=1,AH!$P$12=1,$A2874=TODAY()),AH!$P$19,IF(AH!$P$10=1,INDEX('Live History'!$B$5:$B$3004,AH!$P$13+2869),INDEX('AH History'!$B$1:$B$18046,AH!$P$7+2869))),NA()),NA())</ns0:f>
        <ns0:v/>
      </ns0:c>
      <ns0:c r="D2874">
        <ns0:f>IFERROR(IF(ISNUMBER($A2874),IF(AND(AH!$P$10=1,AH!$P$12=1,$A2874=TODAY()),AH!$P$18,IF(AH!$P$10=1,INDEX('Live History'!$E$5:$E$3004,MATCH($A2874,'Live History'!$D$5:$D$3004,1)),INDEX('AH History'!$C$1:$C$18046,AH!$P$7+2869))),NA()),NA())</ns0:f>
        <ns0:v/>
      </ns0:c>
      <ns0:c r="E2874">
        <ns0:f>IFERROR(IF(ISNUMBER($A2874),IF(AND(AH!$P$10=1,AH!$P$12=1,$A2874=TODAY()),AH!$P$20,IF(AH!$P$10=1,INDEX('Live History'!$H$5:$H$3004,MATCH($A2874,'Live History'!$G$5:$G$3004,1)),INDEX('AH History'!$D$1:$D$18046,AH!$P$7+2869))),NA()),NA())</ns0:f>
        <ns0:v/>
      </ns0:c>
      <ns0:c r="F2874">
        <ns0:f>IFERROR(IF(ISNUMBER($A2874),IF(AND(AH!$P$10=1,AH!$P$12=1,$A2874=TODAY()),IF(AND(AH!$P$10=1,AH!$P$12=1,$A2874=TODAY()),TODAY(),NA()),IF(AH!$P$10=1,INDEX('Live History'!$D$5:$D$3004,MATCH($A2874,'Live History'!$D$5:$D$3004,1)),INDEX('AH History'!$E$1:$E$18046,AH!$P$7+2869))),NA()),NA())</ns0:f>
        <ns0:v/>
      </ns0:c>
      <ns0:c r="G2874">
        <ns0:f>IFERROR(IF(ISNUMBER($A2874),IF(AND(AH!$P$10=1,AH!$P$12=1,$A2874=TODAY()),IF(AND(AH!$P$10=1,AH!$P$12=1,$A2874=TODAY()),TODAY(),NA()),IF(AH!$P$10=1,INDEX('Live History'!$G$5:$G$3004,MATCH($A2874,'Live History'!$G$5:$G$3004,1)),INDEX('AH History'!$F$1:$F$18046,AH!$P$7+2869))),NA()),NA())</ns0:f>
        <ns0:v/>
      </ns0:c>
      <ns0:c r="H2874">
        <ns0:f>IFERROR(IF(AND(AH!$E$4="Bloomberg",AH!$P$10=1,ISNUMBER($A2874),$A2874&lt;=AH!$P$17),AH!$P$7-1+MATCH($A2874,INDEX('AH History'!$A$1:$A$18046,AH!$P$7):INDEX('AH History'!$A$1:$A$18046,AH!$P$7+AH!$P$8-1),0),0),0)</ns0:f>
        <ns0:v/>
      </ns0:c>
      <ns0:c r="I2874">
        <ns0:f>IF($H2874=0,0,IFERROR(IF(AND(ABS($C2874-INDEX('AH History'!$B$1:$B$18046,$H2874))&lt;=MAX(0.005,ABS(INDEX('AH History'!$B$1:$B$18046,$H2874))*0.00005),ABS($D2874-INDEX('AH History'!$C$1:$C$18046,$H2874))&lt;=MAX(0.005,ABS(INDEX('AH History'!$C$1:$C$18046,$H2874))*0.00005),ABS($E2874-INDEX('AH History'!$D$1:$D$18046,$H2874))&lt;=0.00005,$F2874=INDEX('AH History'!$E$1:$E$18046,$H2874),$G2874=INDEX('AH History'!$F$1:$F$18046,$H2874)),1,-1),-1))</ns0:f>
        <ns0:v/>
      </ns0:c>
    </ns0:row>
    <ns0:row r="2875">
      <ns0:c r="A2875" s="215">
        <ns0:f>IF(OR(AH!$P$3=0,2870+1&gt;AH!$P$11,AND(AH!$E$4&lt;&gt;"Stored",AH!$P$10&lt;&gt;1)),"",IFERROR(IF(AND(AH!$P$21=1,2870+1=AH!$P$11),TODAY(),IF(AH!$P$10=1,INDEX('Live History'!$A$5:$A$3004,AH!$P$13+2870),INDEX('AH History'!$A$1:$A$18046,AH!$P$7+2870))),""))</ns0:f>
        <ns0:v/>
      </ns0:c>
      <ns0:c r="B2875" s="219">
        <ns0:f>IFERROR(IF(AND(AH!$P$9&lt;&gt;1,$C2875&gt;0,$D2875&gt;0,$E2875&gt;0,$F2875&gt;0,$G2875&gt;0,$F2875&lt;=$A2875,$G2875&lt;=$A2875,$A2875-$F2875&lt;=10,$A2875-$G2875&lt;=5),$D2875*$E2875/$C2875-1,NA()),NA())</ns0:f>
        <ns0:v/>
      </ns0:c>
      <ns0:c r="C2875">
        <ns0:f>IFERROR(IF(ISNUMBER($A2875),IF(AND(AH!$P$10=1,AH!$P$12=1,$A2875=TODAY()),AH!$P$19,IF(AH!$P$10=1,INDEX('Live History'!$B$5:$B$3004,AH!$P$13+2870),INDEX('AH History'!$B$1:$B$18046,AH!$P$7+2870))),NA()),NA())</ns0:f>
        <ns0:v/>
      </ns0:c>
      <ns0:c r="D2875">
        <ns0:f>IFERROR(IF(ISNUMBER($A2875),IF(AND(AH!$P$10=1,AH!$P$12=1,$A2875=TODAY()),AH!$P$18,IF(AH!$P$10=1,INDEX('Live History'!$E$5:$E$3004,MATCH($A2875,'Live History'!$D$5:$D$3004,1)),INDEX('AH History'!$C$1:$C$18046,AH!$P$7+2870))),NA()),NA())</ns0:f>
        <ns0:v/>
      </ns0:c>
      <ns0:c r="E2875">
        <ns0:f>IFERROR(IF(ISNUMBER($A2875),IF(AND(AH!$P$10=1,AH!$P$12=1,$A2875=TODAY()),AH!$P$20,IF(AH!$P$10=1,INDEX('Live History'!$H$5:$H$3004,MATCH($A2875,'Live History'!$G$5:$G$3004,1)),INDEX('AH History'!$D$1:$D$18046,AH!$P$7+2870))),NA()),NA())</ns0:f>
        <ns0:v/>
      </ns0:c>
      <ns0:c r="F2875">
        <ns0:f>IFERROR(IF(ISNUMBER($A2875),IF(AND(AH!$P$10=1,AH!$P$12=1,$A2875=TODAY()),IF(AND(AH!$P$10=1,AH!$P$12=1,$A2875=TODAY()),TODAY(),NA()),IF(AH!$P$10=1,INDEX('Live History'!$D$5:$D$3004,MATCH($A2875,'Live History'!$D$5:$D$3004,1)),INDEX('AH History'!$E$1:$E$18046,AH!$P$7+2870))),NA()),NA())</ns0:f>
        <ns0:v/>
      </ns0:c>
      <ns0:c r="G2875">
        <ns0:f>IFERROR(IF(ISNUMBER($A2875),IF(AND(AH!$P$10=1,AH!$P$12=1,$A2875=TODAY()),IF(AND(AH!$P$10=1,AH!$P$12=1,$A2875=TODAY()),TODAY(),NA()),IF(AH!$P$10=1,INDEX('Live History'!$G$5:$G$3004,MATCH($A2875,'Live History'!$G$5:$G$3004,1)),INDEX('AH History'!$F$1:$F$18046,AH!$P$7+2870))),NA()),NA())</ns0:f>
        <ns0:v/>
      </ns0:c>
      <ns0:c r="H2875">
        <ns0:f>IFERROR(IF(AND(AH!$E$4="Bloomberg",AH!$P$10=1,ISNUMBER($A2875),$A2875&lt;=AH!$P$17),AH!$P$7-1+MATCH($A2875,INDEX('AH History'!$A$1:$A$18046,AH!$P$7):INDEX('AH History'!$A$1:$A$18046,AH!$P$7+AH!$P$8-1),0),0),0)</ns0:f>
        <ns0:v/>
      </ns0:c>
      <ns0:c r="I2875">
        <ns0:f>IF($H2875=0,0,IFERROR(IF(AND(ABS($C2875-INDEX('AH History'!$B$1:$B$18046,$H2875))&lt;=MAX(0.005,ABS(INDEX('AH History'!$B$1:$B$18046,$H2875))*0.00005),ABS($D2875-INDEX('AH History'!$C$1:$C$18046,$H2875))&lt;=MAX(0.005,ABS(INDEX('AH History'!$C$1:$C$18046,$H2875))*0.00005),ABS($E2875-INDEX('AH History'!$D$1:$D$18046,$H2875))&lt;=0.00005,$F2875=INDEX('AH History'!$E$1:$E$18046,$H2875),$G2875=INDEX('AH History'!$F$1:$F$18046,$H2875)),1,-1),-1))</ns0:f>
        <ns0:v/>
      </ns0:c>
    </ns0:row>
    <ns0:row r="2876">
      <ns0:c r="A2876" s="215">
        <ns0:f>IF(OR(AH!$P$3=0,2871+1&gt;AH!$P$11,AND(AH!$E$4&lt;&gt;"Stored",AH!$P$10&lt;&gt;1)),"",IFERROR(IF(AND(AH!$P$21=1,2871+1=AH!$P$11),TODAY(),IF(AH!$P$10=1,INDEX('Live History'!$A$5:$A$3004,AH!$P$13+2871),INDEX('AH History'!$A$1:$A$18046,AH!$P$7+2871))),""))</ns0:f>
        <ns0:v/>
      </ns0:c>
      <ns0:c r="B2876" s="219">
        <ns0:f>IFERROR(IF(AND(AH!$P$9&lt;&gt;1,$C2876&gt;0,$D2876&gt;0,$E2876&gt;0,$F2876&gt;0,$G2876&gt;0,$F2876&lt;=$A2876,$G2876&lt;=$A2876,$A2876-$F2876&lt;=10,$A2876-$G2876&lt;=5),$D2876*$E2876/$C2876-1,NA()),NA())</ns0:f>
        <ns0:v/>
      </ns0:c>
      <ns0:c r="C2876">
        <ns0:f>IFERROR(IF(ISNUMBER($A2876),IF(AND(AH!$P$10=1,AH!$P$12=1,$A2876=TODAY()),AH!$P$19,IF(AH!$P$10=1,INDEX('Live History'!$B$5:$B$3004,AH!$P$13+2871),INDEX('AH History'!$B$1:$B$18046,AH!$P$7+2871))),NA()),NA())</ns0:f>
        <ns0:v/>
      </ns0:c>
      <ns0:c r="D2876">
        <ns0:f>IFERROR(IF(ISNUMBER($A2876),IF(AND(AH!$P$10=1,AH!$P$12=1,$A2876=TODAY()),AH!$P$18,IF(AH!$P$10=1,INDEX('Live History'!$E$5:$E$3004,MATCH($A2876,'Live History'!$D$5:$D$3004,1)),INDEX('AH History'!$C$1:$C$18046,AH!$P$7+2871))),NA()),NA())</ns0:f>
        <ns0:v/>
      </ns0:c>
      <ns0:c r="E2876">
        <ns0:f>IFERROR(IF(ISNUMBER($A2876),IF(AND(AH!$P$10=1,AH!$P$12=1,$A2876=TODAY()),AH!$P$20,IF(AH!$P$10=1,INDEX('Live History'!$H$5:$H$3004,MATCH($A2876,'Live History'!$G$5:$G$3004,1)),INDEX('AH History'!$D$1:$D$18046,AH!$P$7+2871))),NA()),NA())</ns0:f>
        <ns0:v/>
      </ns0:c>
      <ns0:c r="F2876">
        <ns0:f>IFERROR(IF(ISNUMBER($A2876),IF(AND(AH!$P$10=1,AH!$P$12=1,$A2876=TODAY()),IF(AND(AH!$P$10=1,AH!$P$12=1,$A2876=TODAY()),TODAY(),NA()),IF(AH!$P$10=1,INDEX('Live History'!$D$5:$D$3004,MATCH($A2876,'Live History'!$D$5:$D$3004,1)),INDEX('AH History'!$E$1:$E$18046,AH!$P$7+2871))),NA()),NA())</ns0:f>
        <ns0:v/>
      </ns0:c>
      <ns0:c r="G2876">
        <ns0:f>IFERROR(IF(ISNUMBER($A2876),IF(AND(AH!$P$10=1,AH!$P$12=1,$A2876=TODAY()),IF(AND(AH!$P$10=1,AH!$P$12=1,$A2876=TODAY()),TODAY(),NA()),IF(AH!$P$10=1,INDEX('Live History'!$G$5:$G$3004,MATCH($A2876,'Live History'!$G$5:$G$3004,1)),INDEX('AH History'!$F$1:$F$18046,AH!$P$7+2871))),NA()),NA())</ns0:f>
        <ns0:v/>
      </ns0:c>
      <ns0:c r="H2876">
        <ns0:f>IFERROR(IF(AND(AH!$E$4="Bloomberg",AH!$P$10=1,ISNUMBER($A2876),$A2876&lt;=AH!$P$17),AH!$P$7-1+MATCH($A2876,INDEX('AH History'!$A$1:$A$18046,AH!$P$7):INDEX('AH History'!$A$1:$A$18046,AH!$P$7+AH!$P$8-1),0),0),0)</ns0:f>
        <ns0:v/>
      </ns0:c>
      <ns0:c r="I2876">
        <ns0:f>IF($H2876=0,0,IFERROR(IF(AND(ABS($C2876-INDEX('AH History'!$B$1:$B$18046,$H2876))&lt;=MAX(0.005,ABS(INDEX('AH History'!$B$1:$B$18046,$H2876))*0.00005),ABS($D2876-INDEX('AH History'!$C$1:$C$18046,$H2876))&lt;=MAX(0.005,ABS(INDEX('AH History'!$C$1:$C$18046,$H2876))*0.00005),ABS($E2876-INDEX('AH History'!$D$1:$D$18046,$H2876))&lt;=0.00005,$F2876=INDEX('AH History'!$E$1:$E$18046,$H2876),$G2876=INDEX('AH History'!$F$1:$F$18046,$H2876)),1,-1),-1))</ns0:f>
        <ns0:v/>
      </ns0:c>
    </ns0:row>
    <ns0:row r="2877">
      <ns0:c r="A2877" s="215">
        <ns0:f>IF(OR(AH!$P$3=0,2872+1&gt;AH!$P$11,AND(AH!$E$4&lt;&gt;"Stored",AH!$P$10&lt;&gt;1)),"",IFERROR(IF(AND(AH!$P$21=1,2872+1=AH!$P$11),TODAY(),IF(AH!$P$10=1,INDEX('Live History'!$A$5:$A$3004,AH!$P$13+2872),INDEX('AH History'!$A$1:$A$18046,AH!$P$7+2872))),""))</ns0:f>
        <ns0:v/>
      </ns0:c>
      <ns0:c r="B2877" s="219">
        <ns0:f>IFERROR(IF(AND(AH!$P$9&lt;&gt;1,$C2877&gt;0,$D2877&gt;0,$E2877&gt;0,$F2877&gt;0,$G2877&gt;0,$F2877&lt;=$A2877,$G2877&lt;=$A2877,$A2877-$F2877&lt;=10,$A2877-$G2877&lt;=5),$D2877*$E2877/$C2877-1,NA()),NA())</ns0:f>
        <ns0:v/>
      </ns0:c>
      <ns0:c r="C2877">
        <ns0:f>IFERROR(IF(ISNUMBER($A2877),IF(AND(AH!$P$10=1,AH!$P$12=1,$A2877=TODAY()),AH!$P$19,IF(AH!$P$10=1,INDEX('Live History'!$B$5:$B$3004,AH!$P$13+2872),INDEX('AH History'!$B$1:$B$18046,AH!$P$7+2872))),NA()),NA())</ns0:f>
        <ns0:v/>
      </ns0:c>
      <ns0:c r="D2877">
        <ns0:f>IFERROR(IF(ISNUMBER($A2877),IF(AND(AH!$P$10=1,AH!$P$12=1,$A2877=TODAY()),AH!$P$18,IF(AH!$P$10=1,INDEX('Live History'!$E$5:$E$3004,MATCH($A2877,'Live History'!$D$5:$D$3004,1)),INDEX('AH History'!$C$1:$C$18046,AH!$P$7+2872))),NA()),NA())</ns0:f>
        <ns0:v/>
      </ns0:c>
      <ns0:c r="E2877">
        <ns0:f>IFERROR(IF(ISNUMBER($A2877),IF(AND(AH!$P$10=1,AH!$P$12=1,$A2877=TODAY()),AH!$P$20,IF(AH!$P$10=1,INDEX('Live History'!$H$5:$H$3004,MATCH($A2877,'Live History'!$G$5:$G$3004,1)),INDEX('AH History'!$D$1:$D$18046,AH!$P$7+2872))),NA()),NA())</ns0:f>
        <ns0:v/>
      </ns0:c>
      <ns0:c r="F2877">
        <ns0:f>IFERROR(IF(ISNUMBER($A2877),IF(AND(AH!$P$10=1,AH!$P$12=1,$A2877=TODAY()),IF(AND(AH!$P$10=1,AH!$P$12=1,$A2877=TODAY()),TODAY(),NA()),IF(AH!$P$10=1,INDEX('Live History'!$D$5:$D$3004,MATCH($A2877,'Live History'!$D$5:$D$3004,1)),INDEX('AH History'!$E$1:$E$18046,AH!$P$7+2872))),NA()),NA())</ns0:f>
        <ns0:v/>
      </ns0:c>
      <ns0:c r="G2877">
        <ns0:f>IFERROR(IF(ISNUMBER($A2877),IF(AND(AH!$P$10=1,AH!$P$12=1,$A2877=TODAY()),IF(AND(AH!$P$10=1,AH!$P$12=1,$A2877=TODAY()),TODAY(),NA()),IF(AH!$P$10=1,INDEX('Live History'!$G$5:$G$3004,MATCH($A2877,'Live History'!$G$5:$G$3004,1)),INDEX('AH History'!$F$1:$F$18046,AH!$P$7+2872))),NA()),NA())</ns0:f>
        <ns0:v/>
      </ns0:c>
      <ns0:c r="H2877">
        <ns0:f>IFERROR(IF(AND(AH!$E$4="Bloomberg",AH!$P$10=1,ISNUMBER($A2877),$A2877&lt;=AH!$P$17),AH!$P$7-1+MATCH($A2877,INDEX('AH History'!$A$1:$A$18046,AH!$P$7):INDEX('AH History'!$A$1:$A$18046,AH!$P$7+AH!$P$8-1),0),0),0)</ns0:f>
        <ns0:v/>
      </ns0:c>
      <ns0:c r="I2877">
        <ns0:f>IF($H2877=0,0,IFERROR(IF(AND(ABS($C2877-INDEX('AH History'!$B$1:$B$18046,$H2877))&lt;=MAX(0.005,ABS(INDEX('AH History'!$B$1:$B$18046,$H2877))*0.00005),ABS($D2877-INDEX('AH History'!$C$1:$C$18046,$H2877))&lt;=MAX(0.005,ABS(INDEX('AH History'!$C$1:$C$18046,$H2877))*0.00005),ABS($E2877-INDEX('AH History'!$D$1:$D$18046,$H2877))&lt;=0.00005,$F2877=INDEX('AH History'!$E$1:$E$18046,$H2877),$G2877=INDEX('AH History'!$F$1:$F$18046,$H2877)),1,-1),-1))</ns0:f>
        <ns0:v/>
      </ns0:c>
    </ns0:row>
    <ns0:row r="2878">
      <ns0:c r="A2878" s="215">
        <ns0:f>IF(OR(AH!$P$3=0,2873+1&gt;AH!$P$11,AND(AH!$E$4&lt;&gt;"Stored",AH!$P$10&lt;&gt;1)),"",IFERROR(IF(AND(AH!$P$21=1,2873+1=AH!$P$11),TODAY(),IF(AH!$P$10=1,INDEX('Live History'!$A$5:$A$3004,AH!$P$13+2873),INDEX('AH History'!$A$1:$A$18046,AH!$P$7+2873))),""))</ns0:f>
        <ns0:v/>
      </ns0:c>
      <ns0:c r="B2878" s="219">
        <ns0:f>IFERROR(IF(AND(AH!$P$9&lt;&gt;1,$C2878&gt;0,$D2878&gt;0,$E2878&gt;0,$F2878&gt;0,$G2878&gt;0,$F2878&lt;=$A2878,$G2878&lt;=$A2878,$A2878-$F2878&lt;=10,$A2878-$G2878&lt;=5),$D2878*$E2878/$C2878-1,NA()),NA())</ns0:f>
        <ns0:v/>
      </ns0:c>
      <ns0:c r="C2878">
        <ns0:f>IFERROR(IF(ISNUMBER($A2878),IF(AND(AH!$P$10=1,AH!$P$12=1,$A2878=TODAY()),AH!$P$19,IF(AH!$P$10=1,INDEX('Live History'!$B$5:$B$3004,AH!$P$13+2873),INDEX('AH History'!$B$1:$B$18046,AH!$P$7+2873))),NA()),NA())</ns0:f>
        <ns0:v/>
      </ns0:c>
      <ns0:c r="D2878">
        <ns0:f>IFERROR(IF(ISNUMBER($A2878),IF(AND(AH!$P$10=1,AH!$P$12=1,$A2878=TODAY()),AH!$P$18,IF(AH!$P$10=1,INDEX('Live History'!$E$5:$E$3004,MATCH($A2878,'Live History'!$D$5:$D$3004,1)),INDEX('AH History'!$C$1:$C$18046,AH!$P$7+2873))),NA()),NA())</ns0:f>
        <ns0:v/>
      </ns0:c>
      <ns0:c r="E2878">
        <ns0:f>IFERROR(IF(ISNUMBER($A2878),IF(AND(AH!$P$10=1,AH!$P$12=1,$A2878=TODAY()),AH!$P$20,IF(AH!$P$10=1,INDEX('Live History'!$H$5:$H$3004,MATCH($A2878,'Live History'!$G$5:$G$3004,1)),INDEX('AH History'!$D$1:$D$18046,AH!$P$7+2873))),NA()),NA())</ns0:f>
        <ns0:v/>
      </ns0:c>
      <ns0:c r="F2878">
        <ns0:f>IFERROR(IF(ISNUMBER($A2878),IF(AND(AH!$P$10=1,AH!$P$12=1,$A2878=TODAY()),IF(AND(AH!$P$10=1,AH!$P$12=1,$A2878=TODAY()),TODAY(),NA()),IF(AH!$P$10=1,INDEX('Live History'!$D$5:$D$3004,MATCH($A2878,'Live History'!$D$5:$D$3004,1)),INDEX('AH History'!$E$1:$E$18046,AH!$P$7+2873))),NA()),NA())</ns0:f>
        <ns0:v/>
      </ns0:c>
      <ns0:c r="G2878">
        <ns0:f>IFERROR(IF(ISNUMBER($A2878),IF(AND(AH!$P$10=1,AH!$P$12=1,$A2878=TODAY()),IF(AND(AH!$P$10=1,AH!$P$12=1,$A2878=TODAY()),TODAY(),NA()),IF(AH!$P$10=1,INDEX('Live History'!$G$5:$G$3004,MATCH($A2878,'Live History'!$G$5:$G$3004,1)),INDEX('AH History'!$F$1:$F$18046,AH!$P$7+2873))),NA()),NA())</ns0:f>
        <ns0:v/>
      </ns0:c>
      <ns0:c r="H2878">
        <ns0:f>IFERROR(IF(AND(AH!$E$4="Bloomberg",AH!$P$10=1,ISNUMBER($A2878),$A2878&lt;=AH!$P$17),AH!$P$7-1+MATCH($A2878,INDEX('AH History'!$A$1:$A$18046,AH!$P$7):INDEX('AH History'!$A$1:$A$18046,AH!$P$7+AH!$P$8-1),0),0),0)</ns0:f>
        <ns0:v/>
      </ns0:c>
      <ns0:c r="I2878">
        <ns0:f>IF($H2878=0,0,IFERROR(IF(AND(ABS($C2878-INDEX('AH History'!$B$1:$B$18046,$H2878))&lt;=MAX(0.005,ABS(INDEX('AH History'!$B$1:$B$18046,$H2878))*0.00005),ABS($D2878-INDEX('AH History'!$C$1:$C$18046,$H2878))&lt;=MAX(0.005,ABS(INDEX('AH History'!$C$1:$C$18046,$H2878))*0.00005),ABS($E2878-INDEX('AH History'!$D$1:$D$18046,$H2878))&lt;=0.00005,$F2878=INDEX('AH History'!$E$1:$E$18046,$H2878),$G2878=INDEX('AH History'!$F$1:$F$18046,$H2878)),1,-1),-1))</ns0:f>
        <ns0:v/>
      </ns0:c>
    </ns0:row>
    <ns0:row r="2879">
      <ns0:c r="A2879" s="215">
        <ns0:f>IF(OR(AH!$P$3=0,2874+1&gt;AH!$P$11,AND(AH!$E$4&lt;&gt;"Stored",AH!$P$10&lt;&gt;1)),"",IFERROR(IF(AND(AH!$P$21=1,2874+1=AH!$P$11),TODAY(),IF(AH!$P$10=1,INDEX('Live History'!$A$5:$A$3004,AH!$P$13+2874),INDEX('AH History'!$A$1:$A$18046,AH!$P$7+2874))),""))</ns0:f>
        <ns0:v/>
      </ns0:c>
      <ns0:c r="B2879" s="219">
        <ns0:f>IFERROR(IF(AND(AH!$P$9&lt;&gt;1,$C2879&gt;0,$D2879&gt;0,$E2879&gt;0,$F2879&gt;0,$G2879&gt;0,$F2879&lt;=$A2879,$G2879&lt;=$A2879,$A2879-$F2879&lt;=10,$A2879-$G2879&lt;=5),$D2879*$E2879/$C2879-1,NA()),NA())</ns0:f>
        <ns0:v/>
      </ns0:c>
      <ns0:c r="C2879">
        <ns0:f>IFERROR(IF(ISNUMBER($A2879),IF(AND(AH!$P$10=1,AH!$P$12=1,$A2879=TODAY()),AH!$P$19,IF(AH!$P$10=1,INDEX('Live History'!$B$5:$B$3004,AH!$P$13+2874),INDEX('AH History'!$B$1:$B$18046,AH!$P$7+2874))),NA()),NA())</ns0:f>
        <ns0:v/>
      </ns0:c>
      <ns0:c r="D2879">
        <ns0:f>IFERROR(IF(ISNUMBER($A2879),IF(AND(AH!$P$10=1,AH!$P$12=1,$A2879=TODAY()),AH!$P$18,IF(AH!$P$10=1,INDEX('Live History'!$E$5:$E$3004,MATCH($A2879,'Live History'!$D$5:$D$3004,1)),INDEX('AH History'!$C$1:$C$18046,AH!$P$7+2874))),NA()),NA())</ns0:f>
        <ns0:v/>
      </ns0:c>
      <ns0:c r="E2879">
        <ns0:f>IFERROR(IF(ISNUMBER($A2879),IF(AND(AH!$P$10=1,AH!$P$12=1,$A2879=TODAY()),AH!$P$20,IF(AH!$P$10=1,INDEX('Live History'!$H$5:$H$3004,MATCH($A2879,'Live History'!$G$5:$G$3004,1)),INDEX('AH History'!$D$1:$D$18046,AH!$P$7+2874))),NA()),NA())</ns0:f>
        <ns0:v/>
      </ns0:c>
      <ns0:c r="F2879">
        <ns0:f>IFERROR(IF(ISNUMBER($A2879),IF(AND(AH!$P$10=1,AH!$P$12=1,$A2879=TODAY()),IF(AND(AH!$P$10=1,AH!$P$12=1,$A2879=TODAY()),TODAY(),NA()),IF(AH!$P$10=1,INDEX('Live History'!$D$5:$D$3004,MATCH($A2879,'Live History'!$D$5:$D$3004,1)),INDEX('AH History'!$E$1:$E$18046,AH!$P$7+2874))),NA()),NA())</ns0:f>
        <ns0:v/>
      </ns0:c>
      <ns0:c r="G2879">
        <ns0:f>IFERROR(IF(ISNUMBER($A2879),IF(AND(AH!$P$10=1,AH!$P$12=1,$A2879=TODAY()),IF(AND(AH!$P$10=1,AH!$P$12=1,$A2879=TODAY()),TODAY(),NA()),IF(AH!$P$10=1,INDEX('Live History'!$G$5:$G$3004,MATCH($A2879,'Live History'!$G$5:$G$3004,1)),INDEX('AH History'!$F$1:$F$18046,AH!$P$7+2874))),NA()),NA())</ns0:f>
        <ns0:v/>
      </ns0:c>
      <ns0:c r="H2879">
        <ns0:f>IFERROR(IF(AND(AH!$E$4="Bloomberg",AH!$P$10=1,ISNUMBER($A2879),$A2879&lt;=AH!$P$17),AH!$P$7-1+MATCH($A2879,INDEX('AH History'!$A$1:$A$18046,AH!$P$7):INDEX('AH History'!$A$1:$A$18046,AH!$P$7+AH!$P$8-1),0),0),0)</ns0:f>
        <ns0:v/>
      </ns0:c>
      <ns0:c r="I2879">
        <ns0:f>IF($H2879=0,0,IFERROR(IF(AND(ABS($C2879-INDEX('AH History'!$B$1:$B$18046,$H2879))&lt;=MAX(0.005,ABS(INDEX('AH History'!$B$1:$B$18046,$H2879))*0.00005),ABS($D2879-INDEX('AH History'!$C$1:$C$18046,$H2879))&lt;=MAX(0.005,ABS(INDEX('AH History'!$C$1:$C$18046,$H2879))*0.00005),ABS($E2879-INDEX('AH History'!$D$1:$D$18046,$H2879))&lt;=0.00005,$F2879=INDEX('AH History'!$E$1:$E$18046,$H2879),$G2879=INDEX('AH History'!$F$1:$F$18046,$H2879)),1,-1),-1))</ns0:f>
        <ns0:v/>
      </ns0:c>
    </ns0:row>
    <ns0:row r="2880">
      <ns0:c r="A2880" s="215">
        <ns0:f>IF(OR(AH!$P$3=0,2875+1&gt;AH!$P$11,AND(AH!$E$4&lt;&gt;"Stored",AH!$P$10&lt;&gt;1)),"",IFERROR(IF(AND(AH!$P$21=1,2875+1=AH!$P$11),TODAY(),IF(AH!$P$10=1,INDEX('Live History'!$A$5:$A$3004,AH!$P$13+2875),INDEX('AH History'!$A$1:$A$18046,AH!$P$7+2875))),""))</ns0:f>
        <ns0:v/>
      </ns0:c>
      <ns0:c r="B2880" s="219">
        <ns0:f>IFERROR(IF(AND(AH!$P$9&lt;&gt;1,$C2880&gt;0,$D2880&gt;0,$E2880&gt;0,$F2880&gt;0,$G2880&gt;0,$F2880&lt;=$A2880,$G2880&lt;=$A2880,$A2880-$F2880&lt;=10,$A2880-$G2880&lt;=5),$D2880*$E2880/$C2880-1,NA()),NA())</ns0:f>
        <ns0:v/>
      </ns0:c>
      <ns0:c r="C2880">
        <ns0:f>IFERROR(IF(ISNUMBER($A2880),IF(AND(AH!$P$10=1,AH!$P$12=1,$A2880=TODAY()),AH!$P$19,IF(AH!$P$10=1,INDEX('Live History'!$B$5:$B$3004,AH!$P$13+2875),INDEX('AH History'!$B$1:$B$18046,AH!$P$7+2875))),NA()),NA())</ns0:f>
        <ns0:v/>
      </ns0:c>
      <ns0:c r="D2880">
        <ns0:f>IFERROR(IF(ISNUMBER($A2880),IF(AND(AH!$P$10=1,AH!$P$12=1,$A2880=TODAY()),AH!$P$18,IF(AH!$P$10=1,INDEX('Live History'!$E$5:$E$3004,MATCH($A2880,'Live History'!$D$5:$D$3004,1)),INDEX('AH History'!$C$1:$C$18046,AH!$P$7+2875))),NA()),NA())</ns0:f>
        <ns0:v/>
      </ns0:c>
      <ns0:c r="E2880">
        <ns0:f>IFERROR(IF(ISNUMBER($A2880),IF(AND(AH!$P$10=1,AH!$P$12=1,$A2880=TODAY()),AH!$P$20,IF(AH!$P$10=1,INDEX('Live History'!$H$5:$H$3004,MATCH($A2880,'Live History'!$G$5:$G$3004,1)),INDEX('AH History'!$D$1:$D$18046,AH!$P$7+2875))),NA()),NA())</ns0:f>
        <ns0:v/>
      </ns0:c>
      <ns0:c r="F2880">
        <ns0:f>IFERROR(IF(ISNUMBER($A2880),IF(AND(AH!$P$10=1,AH!$P$12=1,$A2880=TODAY()),IF(AND(AH!$P$10=1,AH!$P$12=1,$A2880=TODAY()),TODAY(),NA()),IF(AH!$P$10=1,INDEX('Live History'!$D$5:$D$3004,MATCH($A2880,'Live History'!$D$5:$D$3004,1)),INDEX('AH History'!$E$1:$E$18046,AH!$P$7+2875))),NA()),NA())</ns0:f>
        <ns0:v/>
      </ns0:c>
      <ns0:c r="G2880">
        <ns0:f>IFERROR(IF(ISNUMBER($A2880),IF(AND(AH!$P$10=1,AH!$P$12=1,$A2880=TODAY()),IF(AND(AH!$P$10=1,AH!$P$12=1,$A2880=TODAY()),TODAY(),NA()),IF(AH!$P$10=1,INDEX('Live History'!$G$5:$G$3004,MATCH($A2880,'Live History'!$G$5:$G$3004,1)),INDEX('AH History'!$F$1:$F$18046,AH!$P$7+2875))),NA()),NA())</ns0:f>
        <ns0:v/>
      </ns0:c>
      <ns0:c r="H2880">
        <ns0:f>IFERROR(IF(AND(AH!$E$4="Bloomberg",AH!$P$10=1,ISNUMBER($A2880),$A2880&lt;=AH!$P$17),AH!$P$7-1+MATCH($A2880,INDEX('AH History'!$A$1:$A$18046,AH!$P$7):INDEX('AH History'!$A$1:$A$18046,AH!$P$7+AH!$P$8-1),0),0),0)</ns0:f>
        <ns0:v/>
      </ns0:c>
      <ns0:c r="I2880">
        <ns0:f>IF($H2880=0,0,IFERROR(IF(AND(ABS($C2880-INDEX('AH History'!$B$1:$B$18046,$H2880))&lt;=MAX(0.005,ABS(INDEX('AH History'!$B$1:$B$18046,$H2880))*0.00005),ABS($D2880-INDEX('AH History'!$C$1:$C$18046,$H2880))&lt;=MAX(0.005,ABS(INDEX('AH History'!$C$1:$C$18046,$H2880))*0.00005),ABS($E2880-INDEX('AH History'!$D$1:$D$18046,$H2880))&lt;=0.00005,$F2880=INDEX('AH History'!$E$1:$E$18046,$H2880),$G2880=INDEX('AH History'!$F$1:$F$18046,$H2880)),1,-1),-1))</ns0:f>
        <ns0:v/>
      </ns0:c>
    </ns0:row>
    <ns0:row r="2881">
      <ns0:c r="A2881" s="215">
        <ns0:f>IF(OR(AH!$P$3=0,2876+1&gt;AH!$P$11,AND(AH!$E$4&lt;&gt;"Stored",AH!$P$10&lt;&gt;1)),"",IFERROR(IF(AND(AH!$P$21=1,2876+1=AH!$P$11),TODAY(),IF(AH!$P$10=1,INDEX('Live History'!$A$5:$A$3004,AH!$P$13+2876),INDEX('AH History'!$A$1:$A$18046,AH!$P$7+2876))),""))</ns0:f>
        <ns0:v/>
      </ns0:c>
      <ns0:c r="B2881" s="219">
        <ns0:f>IFERROR(IF(AND(AH!$P$9&lt;&gt;1,$C2881&gt;0,$D2881&gt;0,$E2881&gt;0,$F2881&gt;0,$G2881&gt;0,$F2881&lt;=$A2881,$G2881&lt;=$A2881,$A2881-$F2881&lt;=10,$A2881-$G2881&lt;=5),$D2881*$E2881/$C2881-1,NA()),NA())</ns0:f>
        <ns0:v/>
      </ns0:c>
      <ns0:c r="C2881">
        <ns0:f>IFERROR(IF(ISNUMBER($A2881),IF(AND(AH!$P$10=1,AH!$P$12=1,$A2881=TODAY()),AH!$P$19,IF(AH!$P$10=1,INDEX('Live History'!$B$5:$B$3004,AH!$P$13+2876),INDEX('AH History'!$B$1:$B$18046,AH!$P$7+2876))),NA()),NA())</ns0:f>
        <ns0:v/>
      </ns0:c>
      <ns0:c r="D2881">
        <ns0:f>IFERROR(IF(ISNUMBER($A2881),IF(AND(AH!$P$10=1,AH!$P$12=1,$A2881=TODAY()),AH!$P$18,IF(AH!$P$10=1,INDEX('Live History'!$E$5:$E$3004,MATCH($A2881,'Live History'!$D$5:$D$3004,1)),INDEX('AH History'!$C$1:$C$18046,AH!$P$7+2876))),NA()),NA())</ns0:f>
        <ns0:v/>
      </ns0:c>
      <ns0:c r="E2881">
        <ns0:f>IFERROR(IF(ISNUMBER($A2881),IF(AND(AH!$P$10=1,AH!$P$12=1,$A2881=TODAY()),AH!$P$20,IF(AH!$P$10=1,INDEX('Live History'!$H$5:$H$3004,MATCH($A2881,'Live History'!$G$5:$G$3004,1)),INDEX('AH History'!$D$1:$D$18046,AH!$P$7+2876))),NA()),NA())</ns0:f>
        <ns0:v/>
      </ns0:c>
      <ns0:c r="F2881">
        <ns0:f>IFERROR(IF(ISNUMBER($A2881),IF(AND(AH!$P$10=1,AH!$P$12=1,$A2881=TODAY()),IF(AND(AH!$P$10=1,AH!$P$12=1,$A2881=TODAY()),TODAY(),NA()),IF(AH!$P$10=1,INDEX('Live History'!$D$5:$D$3004,MATCH($A2881,'Live History'!$D$5:$D$3004,1)),INDEX('AH History'!$E$1:$E$18046,AH!$P$7+2876))),NA()),NA())</ns0:f>
        <ns0:v/>
      </ns0:c>
      <ns0:c r="G2881">
        <ns0:f>IFERROR(IF(ISNUMBER($A2881),IF(AND(AH!$P$10=1,AH!$P$12=1,$A2881=TODAY()),IF(AND(AH!$P$10=1,AH!$P$12=1,$A2881=TODAY()),TODAY(),NA()),IF(AH!$P$10=1,INDEX('Live History'!$G$5:$G$3004,MATCH($A2881,'Live History'!$G$5:$G$3004,1)),INDEX('AH History'!$F$1:$F$18046,AH!$P$7+2876))),NA()),NA())</ns0:f>
        <ns0:v/>
      </ns0:c>
      <ns0:c r="H2881">
        <ns0:f>IFERROR(IF(AND(AH!$E$4="Bloomberg",AH!$P$10=1,ISNUMBER($A2881),$A2881&lt;=AH!$P$17),AH!$P$7-1+MATCH($A2881,INDEX('AH History'!$A$1:$A$18046,AH!$P$7):INDEX('AH History'!$A$1:$A$18046,AH!$P$7+AH!$P$8-1),0),0),0)</ns0:f>
        <ns0:v/>
      </ns0:c>
      <ns0:c r="I2881">
        <ns0:f>IF($H2881=0,0,IFERROR(IF(AND(ABS($C2881-INDEX('AH History'!$B$1:$B$18046,$H2881))&lt;=MAX(0.005,ABS(INDEX('AH History'!$B$1:$B$18046,$H2881))*0.00005),ABS($D2881-INDEX('AH History'!$C$1:$C$18046,$H2881))&lt;=MAX(0.005,ABS(INDEX('AH History'!$C$1:$C$18046,$H2881))*0.00005),ABS($E2881-INDEX('AH History'!$D$1:$D$18046,$H2881))&lt;=0.00005,$F2881=INDEX('AH History'!$E$1:$E$18046,$H2881),$G2881=INDEX('AH History'!$F$1:$F$18046,$H2881)),1,-1),-1))</ns0:f>
        <ns0:v/>
      </ns0:c>
    </ns0:row>
    <ns0:row r="2882">
      <ns0:c r="A2882" s="215">
        <ns0:f>IF(OR(AH!$P$3=0,2877+1&gt;AH!$P$11,AND(AH!$E$4&lt;&gt;"Stored",AH!$P$10&lt;&gt;1)),"",IFERROR(IF(AND(AH!$P$21=1,2877+1=AH!$P$11),TODAY(),IF(AH!$P$10=1,INDEX('Live History'!$A$5:$A$3004,AH!$P$13+2877),INDEX('AH History'!$A$1:$A$18046,AH!$P$7+2877))),""))</ns0:f>
        <ns0:v/>
      </ns0:c>
      <ns0:c r="B2882" s="219">
        <ns0:f>IFERROR(IF(AND(AH!$P$9&lt;&gt;1,$C2882&gt;0,$D2882&gt;0,$E2882&gt;0,$F2882&gt;0,$G2882&gt;0,$F2882&lt;=$A2882,$G2882&lt;=$A2882,$A2882-$F2882&lt;=10,$A2882-$G2882&lt;=5),$D2882*$E2882/$C2882-1,NA()),NA())</ns0:f>
        <ns0:v/>
      </ns0:c>
      <ns0:c r="C2882">
        <ns0:f>IFERROR(IF(ISNUMBER($A2882),IF(AND(AH!$P$10=1,AH!$P$12=1,$A2882=TODAY()),AH!$P$19,IF(AH!$P$10=1,INDEX('Live History'!$B$5:$B$3004,AH!$P$13+2877),INDEX('AH History'!$B$1:$B$18046,AH!$P$7+2877))),NA()),NA())</ns0:f>
        <ns0:v/>
      </ns0:c>
      <ns0:c r="D2882">
        <ns0:f>IFERROR(IF(ISNUMBER($A2882),IF(AND(AH!$P$10=1,AH!$P$12=1,$A2882=TODAY()),AH!$P$18,IF(AH!$P$10=1,INDEX('Live History'!$E$5:$E$3004,MATCH($A2882,'Live History'!$D$5:$D$3004,1)),INDEX('AH History'!$C$1:$C$18046,AH!$P$7+2877))),NA()),NA())</ns0:f>
        <ns0:v/>
      </ns0:c>
      <ns0:c r="E2882">
        <ns0:f>IFERROR(IF(ISNUMBER($A2882),IF(AND(AH!$P$10=1,AH!$P$12=1,$A2882=TODAY()),AH!$P$20,IF(AH!$P$10=1,INDEX('Live History'!$H$5:$H$3004,MATCH($A2882,'Live History'!$G$5:$G$3004,1)),INDEX('AH History'!$D$1:$D$18046,AH!$P$7+2877))),NA()),NA())</ns0:f>
        <ns0:v/>
      </ns0:c>
      <ns0:c r="F2882">
        <ns0:f>IFERROR(IF(ISNUMBER($A2882),IF(AND(AH!$P$10=1,AH!$P$12=1,$A2882=TODAY()),IF(AND(AH!$P$10=1,AH!$P$12=1,$A2882=TODAY()),TODAY(),NA()),IF(AH!$P$10=1,INDEX('Live History'!$D$5:$D$3004,MATCH($A2882,'Live History'!$D$5:$D$3004,1)),INDEX('AH History'!$E$1:$E$18046,AH!$P$7+2877))),NA()),NA())</ns0:f>
        <ns0:v/>
      </ns0:c>
      <ns0:c r="G2882">
        <ns0:f>IFERROR(IF(ISNUMBER($A2882),IF(AND(AH!$P$10=1,AH!$P$12=1,$A2882=TODAY()),IF(AND(AH!$P$10=1,AH!$P$12=1,$A2882=TODAY()),TODAY(),NA()),IF(AH!$P$10=1,INDEX('Live History'!$G$5:$G$3004,MATCH($A2882,'Live History'!$G$5:$G$3004,1)),INDEX('AH History'!$F$1:$F$18046,AH!$P$7+2877))),NA()),NA())</ns0:f>
        <ns0:v/>
      </ns0:c>
      <ns0:c r="H2882">
        <ns0:f>IFERROR(IF(AND(AH!$E$4="Bloomberg",AH!$P$10=1,ISNUMBER($A2882),$A2882&lt;=AH!$P$17),AH!$P$7-1+MATCH($A2882,INDEX('AH History'!$A$1:$A$18046,AH!$P$7):INDEX('AH History'!$A$1:$A$18046,AH!$P$7+AH!$P$8-1),0),0),0)</ns0:f>
        <ns0:v/>
      </ns0:c>
      <ns0:c r="I2882">
        <ns0:f>IF($H2882=0,0,IFERROR(IF(AND(ABS($C2882-INDEX('AH History'!$B$1:$B$18046,$H2882))&lt;=MAX(0.005,ABS(INDEX('AH History'!$B$1:$B$18046,$H2882))*0.00005),ABS($D2882-INDEX('AH History'!$C$1:$C$18046,$H2882))&lt;=MAX(0.005,ABS(INDEX('AH History'!$C$1:$C$18046,$H2882))*0.00005),ABS($E2882-INDEX('AH History'!$D$1:$D$18046,$H2882))&lt;=0.00005,$F2882=INDEX('AH History'!$E$1:$E$18046,$H2882),$G2882=INDEX('AH History'!$F$1:$F$18046,$H2882)),1,-1),-1))</ns0:f>
        <ns0:v/>
      </ns0:c>
    </ns0:row>
    <ns0:row r="2883">
      <ns0:c r="A2883" s="215">
        <ns0:f>IF(OR(AH!$P$3=0,2878+1&gt;AH!$P$11,AND(AH!$E$4&lt;&gt;"Stored",AH!$P$10&lt;&gt;1)),"",IFERROR(IF(AND(AH!$P$21=1,2878+1=AH!$P$11),TODAY(),IF(AH!$P$10=1,INDEX('Live History'!$A$5:$A$3004,AH!$P$13+2878),INDEX('AH History'!$A$1:$A$18046,AH!$P$7+2878))),""))</ns0:f>
        <ns0:v/>
      </ns0:c>
      <ns0:c r="B2883" s="219">
        <ns0:f>IFERROR(IF(AND(AH!$P$9&lt;&gt;1,$C2883&gt;0,$D2883&gt;0,$E2883&gt;0,$F2883&gt;0,$G2883&gt;0,$F2883&lt;=$A2883,$G2883&lt;=$A2883,$A2883-$F2883&lt;=10,$A2883-$G2883&lt;=5),$D2883*$E2883/$C2883-1,NA()),NA())</ns0:f>
        <ns0:v/>
      </ns0:c>
      <ns0:c r="C2883">
        <ns0:f>IFERROR(IF(ISNUMBER($A2883),IF(AND(AH!$P$10=1,AH!$P$12=1,$A2883=TODAY()),AH!$P$19,IF(AH!$P$10=1,INDEX('Live History'!$B$5:$B$3004,AH!$P$13+2878),INDEX('AH History'!$B$1:$B$18046,AH!$P$7+2878))),NA()),NA())</ns0:f>
        <ns0:v/>
      </ns0:c>
      <ns0:c r="D2883">
        <ns0:f>IFERROR(IF(ISNUMBER($A2883),IF(AND(AH!$P$10=1,AH!$P$12=1,$A2883=TODAY()),AH!$P$18,IF(AH!$P$10=1,INDEX('Live History'!$E$5:$E$3004,MATCH($A2883,'Live History'!$D$5:$D$3004,1)),INDEX('AH History'!$C$1:$C$18046,AH!$P$7+2878))),NA()),NA())</ns0:f>
        <ns0:v/>
      </ns0:c>
      <ns0:c r="E2883">
        <ns0:f>IFERROR(IF(ISNUMBER($A2883),IF(AND(AH!$P$10=1,AH!$P$12=1,$A2883=TODAY()),AH!$P$20,IF(AH!$P$10=1,INDEX('Live History'!$H$5:$H$3004,MATCH($A2883,'Live History'!$G$5:$G$3004,1)),INDEX('AH History'!$D$1:$D$18046,AH!$P$7+2878))),NA()),NA())</ns0:f>
        <ns0:v/>
      </ns0:c>
      <ns0:c r="F2883">
        <ns0:f>IFERROR(IF(ISNUMBER($A2883),IF(AND(AH!$P$10=1,AH!$P$12=1,$A2883=TODAY()),IF(AND(AH!$P$10=1,AH!$P$12=1,$A2883=TODAY()),TODAY(),NA()),IF(AH!$P$10=1,INDEX('Live History'!$D$5:$D$3004,MATCH($A2883,'Live History'!$D$5:$D$3004,1)),INDEX('AH History'!$E$1:$E$18046,AH!$P$7+2878))),NA()),NA())</ns0:f>
        <ns0:v/>
      </ns0:c>
      <ns0:c r="G2883">
        <ns0:f>IFERROR(IF(ISNUMBER($A2883),IF(AND(AH!$P$10=1,AH!$P$12=1,$A2883=TODAY()),IF(AND(AH!$P$10=1,AH!$P$12=1,$A2883=TODAY()),TODAY(),NA()),IF(AH!$P$10=1,INDEX('Live History'!$G$5:$G$3004,MATCH($A2883,'Live History'!$G$5:$G$3004,1)),INDEX('AH History'!$F$1:$F$18046,AH!$P$7+2878))),NA()),NA())</ns0:f>
        <ns0:v/>
      </ns0:c>
      <ns0:c r="H2883">
        <ns0:f>IFERROR(IF(AND(AH!$E$4="Bloomberg",AH!$P$10=1,ISNUMBER($A2883),$A2883&lt;=AH!$P$17),AH!$P$7-1+MATCH($A2883,INDEX('AH History'!$A$1:$A$18046,AH!$P$7):INDEX('AH History'!$A$1:$A$18046,AH!$P$7+AH!$P$8-1),0),0),0)</ns0:f>
        <ns0:v/>
      </ns0:c>
      <ns0:c r="I2883">
        <ns0:f>IF($H2883=0,0,IFERROR(IF(AND(ABS($C2883-INDEX('AH History'!$B$1:$B$18046,$H2883))&lt;=MAX(0.005,ABS(INDEX('AH History'!$B$1:$B$18046,$H2883))*0.00005),ABS($D2883-INDEX('AH History'!$C$1:$C$18046,$H2883))&lt;=MAX(0.005,ABS(INDEX('AH History'!$C$1:$C$18046,$H2883))*0.00005),ABS($E2883-INDEX('AH History'!$D$1:$D$18046,$H2883))&lt;=0.00005,$F2883=INDEX('AH History'!$E$1:$E$18046,$H2883),$G2883=INDEX('AH History'!$F$1:$F$18046,$H2883)),1,-1),-1))</ns0:f>
        <ns0:v/>
      </ns0:c>
    </ns0:row>
    <ns0:row r="2884">
      <ns0:c r="A2884" s="215">
        <ns0:f>IF(OR(AH!$P$3=0,2879+1&gt;AH!$P$11,AND(AH!$E$4&lt;&gt;"Stored",AH!$P$10&lt;&gt;1)),"",IFERROR(IF(AND(AH!$P$21=1,2879+1=AH!$P$11),TODAY(),IF(AH!$P$10=1,INDEX('Live History'!$A$5:$A$3004,AH!$P$13+2879),INDEX('AH History'!$A$1:$A$18046,AH!$P$7+2879))),""))</ns0:f>
        <ns0:v/>
      </ns0:c>
      <ns0:c r="B2884" s="219">
        <ns0:f>IFERROR(IF(AND(AH!$P$9&lt;&gt;1,$C2884&gt;0,$D2884&gt;0,$E2884&gt;0,$F2884&gt;0,$G2884&gt;0,$F2884&lt;=$A2884,$G2884&lt;=$A2884,$A2884-$F2884&lt;=10,$A2884-$G2884&lt;=5),$D2884*$E2884/$C2884-1,NA()),NA())</ns0:f>
        <ns0:v/>
      </ns0:c>
      <ns0:c r="C2884">
        <ns0:f>IFERROR(IF(ISNUMBER($A2884),IF(AND(AH!$P$10=1,AH!$P$12=1,$A2884=TODAY()),AH!$P$19,IF(AH!$P$10=1,INDEX('Live History'!$B$5:$B$3004,AH!$P$13+2879),INDEX('AH History'!$B$1:$B$18046,AH!$P$7+2879))),NA()),NA())</ns0:f>
        <ns0:v/>
      </ns0:c>
      <ns0:c r="D2884">
        <ns0:f>IFERROR(IF(ISNUMBER($A2884),IF(AND(AH!$P$10=1,AH!$P$12=1,$A2884=TODAY()),AH!$P$18,IF(AH!$P$10=1,INDEX('Live History'!$E$5:$E$3004,MATCH($A2884,'Live History'!$D$5:$D$3004,1)),INDEX('AH History'!$C$1:$C$18046,AH!$P$7+2879))),NA()),NA())</ns0:f>
        <ns0:v/>
      </ns0:c>
      <ns0:c r="E2884">
        <ns0:f>IFERROR(IF(ISNUMBER($A2884),IF(AND(AH!$P$10=1,AH!$P$12=1,$A2884=TODAY()),AH!$P$20,IF(AH!$P$10=1,INDEX('Live History'!$H$5:$H$3004,MATCH($A2884,'Live History'!$G$5:$G$3004,1)),INDEX('AH History'!$D$1:$D$18046,AH!$P$7+2879))),NA()),NA())</ns0:f>
        <ns0:v/>
      </ns0:c>
      <ns0:c r="F2884">
        <ns0:f>IFERROR(IF(ISNUMBER($A2884),IF(AND(AH!$P$10=1,AH!$P$12=1,$A2884=TODAY()),IF(AND(AH!$P$10=1,AH!$P$12=1,$A2884=TODAY()),TODAY(),NA()),IF(AH!$P$10=1,INDEX('Live History'!$D$5:$D$3004,MATCH($A2884,'Live History'!$D$5:$D$3004,1)),INDEX('AH History'!$E$1:$E$18046,AH!$P$7+2879))),NA()),NA())</ns0:f>
        <ns0:v/>
      </ns0:c>
      <ns0:c r="G2884">
        <ns0:f>IFERROR(IF(ISNUMBER($A2884),IF(AND(AH!$P$10=1,AH!$P$12=1,$A2884=TODAY()),IF(AND(AH!$P$10=1,AH!$P$12=1,$A2884=TODAY()),TODAY(),NA()),IF(AH!$P$10=1,INDEX('Live History'!$G$5:$G$3004,MATCH($A2884,'Live History'!$G$5:$G$3004,1)),INDEX('AH History'!$F$1:$F$18046,AH!$P$7+2879))),NA()),NA())</ns0:f>
        <ns0:v/>
      </ns0:c>
      <ns0:c r="H2884">
        <ns0:f>IFERROR(IF(AND(AH!$E$4="Bloomberg",AH!$P$10=1,ISNUMBER($A2884),$A2884&lt;=AH!$P$17),AH!$P$7-1+MATCH($A2884,INDEX('AH History'!$A$1:$A$18046,AH!$P$7):INDEX('AH History'!$A$1:$A$18046,AH!$P$7+AH!$P$8-1),0),0),0)</ns0:f>
        <ns0:v/>
      </ns0:c>
      <ns0:c r="I2884">
        <ns0:f>IF($H2884=0,0,IFERROR(IF(AND(ABS($C2884-INDEX('AH History'!$B$1:$B$18046,$H2884))&lt;=MAX(0.005,ABS(INDEX('AH History'!$B$1:$B$18046,$H2884))*0.00005),ABS($D2884-INDEX('AH History'!$C$1:$C$18046,$H2884))&lt;=MAX(0.005,ABS(INDEX('AH History'!$C$1:$C$18046,$H2884))*0.00005),ABS($E2884-INDEX('AH History'!$D$1:$D$18046,$H2884))&lt;=0.00005,$F2884=INDEX('AH History'!$E$1:$E$18046,$H2884),$G2884=INDEX('AH History'!$F$1:$F$18046,$H2884)),1,-1),-1))</ns0:f>
        <ns0:v/>
      </ns0:c>
    </ns0:row>
    <ns0:row r="2885">
      <ns0:c r="A2885" s="215">
        <ns0:f>IF(OR(AH!$P$3=0,2880+1&gt;AH!$P$11,AND(AH!$E$4&lt;&gt;"Stored",AH!$P$10&lt;&gt;1)),"",IFERROR(IF(AND(AH!$P$21=1,2880+1=AH!$P$11),TODAY(),IF(AH!$P$10=1,INDEX('Live History'!$A$5:$A$3004,AH!$P$13+2880),INDEX('AH History'!$A$1:$A$18046,AH!$P$7+2880))),""))</ns0:f>
        <ns0:v/>
      </ns0:c>
      <ns0:c r="B2885" s="219">
        <ns0:f>IFERROR(IF(AND(AH!$P$9&lt;&gt;1,$C2885&gt;0,$D2885&gt;0,$E2885&gt;0,$F2885&gt;0,$G2885&gt;0,$F2885&lt;=$A2885,$G2885&lt;=$A2885,$A2885-$F2885&lt;=10,$A2885-$G2885&lt;=5),$D2885*$E2885/$C2885-1,NA()),NA())</ns0:f>
        <ns0:v/>
      </ns0:c>
      <ns0:c r="C2885">
        <ns0:f>IFERROR(IF(ISNUMBER($A2885),IF(AND(AH!$P$10=1,AH!$P$12=1,$A2885=TODAY()),AH!$P$19,IF(AH!$P$10=1,INDEX('Live History'!$B$5:$B$3004,AH!$P$13+2880),INDEX('AH History'!$B$1:$B$18046,AH!$P$7+2880))),NA()),NA())</ns0:f>
        <ns0:v/>
      </ns0:c>
      <ns0:c r="D2885">
        <ns0:f>IFERROR(IF(ISNUMBER($A2885),IF(AND(AH!$P$10=1,AH!$P$12=1,$A2885=TODAY()),AH!$P$18,IF(AH!$P$10=1,INDEX('Live History'!$E$5:$E$3004,MATCH($A2885,'Live History'!$D$5:$D$3004,1)),INDEX('AH History'!$C$1:$C$18046,AH!$P$7+2880))),NA()),NA())</ns0:f>
        <ns0:v/>
      </ns0:c>
      <ns0:c r="E2885">
        <ns0:f>IFERROR(IF(ISNUMBER($A2885),IF(AND(AH!$P$10=1,AH!$P$12=1,$A2885=TODAY()),AH!$P$20,IF(AH!$P$10=1,INDEX('Live History'!$H$5:$H$3004,MATCH($A2885,'Live History'!$G$5:$G$3004,1)),INDEX('AH History'!$D$1:$D$18046,AH!$P$7+2880))),NA()),NA())</ns0:f>
        <ns0:v/>
      </ns0:c>
      <ns0:c r="F2885">
        <ns0:f>IFERROR(IF(ISNUMBER($A2885),IF(AND(AH!$P$10=1,AH!$P$12=1,$A2885=TODAY()),IF(AND(AH!$P$10=1,AH!$P$12=1,$A2885=TODAY()),TODAY(),NA()),IF(AH!$P$10=1,INDEX('Live History'!$D$5:$D$3004,MATCH($A2885,'Live History'!$D$5:$D$3004,1)),INDEX('AH History'!$E$1:$E$18046,AH!$P$7+2880))),NA()),NA())</ns0:f>
        <ns0:v/>
      </ns0:c>
      <ns0:c r="G2885">
        <ns0:f>IFERROR(IF(ISNUMBER($A2885),IF(AND(AH!$P$10=1,AH!$P$12=1,$A2885=TODAY()),IF(AND(AH!$P$10=1,AH!$P$12=1,$A2885=TODAY()),TODAY(),NA()),IF(AH!$P$10=1,INDEX('Live History'!$G$5:$G$3004,MATCH($A2885,'Live History'!$G$5:$G$3004,1)),INDEX('AH History'!$F$1:$F$18046,AH!$P$7+2880))),NA()),NA())</ns0:f>
        <ns0:v/>
      </ns0:c>
      <ns0:c r="H2885">
        <ns0:f>IFERROR(IF(AND(AH!$E$4="Bloomberg",AH!$P$10=1,ISNUMBER($A2885),$A2885&lt;=AH!$P$17),AH!$P$7-1+MATCH($A2885,INDEX('AH History'!$A$1:$A$18046,AH!$P$7):INDEX('AH History'!$A$1:$A$18046,AH!$P$7+AH!$P$8-1),0),0),0)</ns0:f>
        <ns0:v/>
      </ns0:c>
      <ns0:c r="I2885">
        <ns0:f>IF($H2885=0,0,IFERROR(IF(AND(ABS($C2885-INDEX('AH History'!$B$1:$B$18046,$H2885))&lt;=MAX(0.005,ABS(INDEX('AH History'!$B$1:$B$18046,$H2885))*0.00005),ABS($D2885-INDEX('AH History'!$C$1:$C$18046,$H2885))&lt;=MAX(0.005,ABS(INDEX('AH History'!$C$1:$C$18046,$H2885))*0.00005),ABS($E2885-INDEX('AH History'!$D$1:$D$18046,$H2885))&lt;=0.00005,$F2885=INDEX('AH History'!$E$1:$E$18046,$H2885),$G2885=INDEX('AH History'!$F$1:$F$18046,$H2885)),1,-1),-1))</ns0:f>
        <ns0:v/>
      </ns0:c>
    </ns0:row>
    <ns0:row r="2886">
      <ns0:c r="A2886" s="215">
        <ns0:f>IF(OR(AH!$P$3=0,2881+1&gt;AH!$P$11,AND(AH!$E$4&lt;&gt;"Stored",AH!$P$10&lt;&gt;1)),"",IFERROR(IF(AND(AH!$P$21=1,2881+1=AH!$P$11),TODAY(),IF(AH!$P$10=1,INDEX('Live History'!$A$5:$A$3004,AH!$P$13+2881),INDEX('AH History'!$A$1:$A$18046,AH!$P$7+2881))),""))</ns0:f>
        <ns0:v/>
      </ns0:c>
      <ns0:c r="B2886" s="219">
        <ns0:f>IFERROR(IF(AND(AH!$P$9&lt;&gt;1,$C2886&gt;0,$D2886&gt;0,$E2886&gt;0,$F2886&gt;0,$G2886&gt;0,$F2886&lt;=$A2886,$G2886&lt;=$A2886,$A2886-$F2886&lt;=10,$A2886-$G2886&lt;=5),$D2886*$E2886/$C2886-1,NA()),NA())</ns0:f>
        <ns0:v/>
      </ns0:c>
      <ns0:c r="C2886">
        <ns0:f>IFERROR(IF(ISNUMBER($A2886),IF(AND(AH!$P$10=1,AH!$P$12=1,$A2886=TODAY()),AH!$P$19,IF(AH!$P$10=1,INDEX('Live History'!$B$5:$B$3004,AH!$P$13+2881),INDEX('AH History'!$B$1:$B$18046,AH!$P$7+2881))),NA()),NA())</ns0:f>
        <ns0:v/>
      </ns0:c>
      <ns0:c r="D2886">
        <ns0:f>IFERROR(IF(ISNUMBER($A2886),IF(AND(AH!$P$10=1,AH!$P$12=1,$A2886=TODAY()),AH!$P$18,IF(AH!$P$10=1,INDEX('Live History'!$E$5:$E$3004,MATCH($A2886,'Live History'!$D$5:$D$3004,1)),INDEX('AH History'!$C$1:$C$18046,AH!$P$7+2881))),NA()),NA())</ns0:f>
        <ns0:v/>
      </ns0:c>
      <ns0:c r="E2886">
        <ns0:f>IFERROR(IF(ISNUMBER($A2886),IF(AND(AH!$P$10=1,AH!$P$12=1,$A2886=TODAY()),AH!$P$20,IF(AH!$P$10=1,INDEX('Live History'!$H$5:$H$3004,MATCH($A2886,'Live History'!$G$5:$G$3004,1)),INDEX('AH History'!$D$1:$D$18046,AH!$P$7+2881))),NA()),NA())</ns0:f>
        <ns0:v/>
      </ns0:c>
      <ns0:c r="F2886">
        <ns0:f>IFERROR(IF(ISNUMBER($A2886),IF(AND(AH!$P$10=1,AH!$P$12=1,$A2886=TODAY()),IF(AND(AH!$P$10=1,AH!$P$12=1,$A2886=TODAY()),TODAY(),NA()),IF(AH!$P$10=1,INDEX('Live History'!$D$5:$D$3004,MATCH($A2886,'Live History'!$D$5:$D$3004,1)),INDEX('AH History'!$E$1:$E$18046,AH!$P$7+2881))),NA()),NA())</ns0:f>
        <ns0:v/>
      </ns0:c>
      <ns0:c r="G2886">
        <ns0:f>IFERROR(IF(ISNUMBER($A2886),IF(AND(AH!$P$10=1,AH!$P$12=1,$A2886=TODAY()),IF(AND(AH!$P$10=1,AH!$P$12=1,$A2886=TODAY()),TODAY(),NA()),IF(AH!$P$10=1,INDEX('Live History'!$G$5:$G$3004,MATCH($A2886,'Live History'!$G$5:$G$3004,1)),INDEX('AH History'!$F$1:$F$18046,AH!$P$7+2881))),NA()),NA())</ns0:f>
        <ns0:v/>
      </ns0:c>
      <ns0:c r="H2886">
        <ns0:f>IFERROR(IF(AND(AH!$E$4="Bloomberg",AH!$P$10=1,ISNUMBER($A2886),$A2886&lt;=AH!$P$17),AH!$P$7-1+MATCH($A2886,INDEX('AH History'!$A$1:$A$18046,AH!$P$7):INDEX('AH History'!$A$1:$A$18046,AH!$P$7+AH!$P$8-1),0),0),0)</ns0:f>
        <ns0:v/>
      </ns0:c>
      <ns0:c r="I2886">
        <ns0:f>IF($H2886=0,0,IFERROR(IF(AND(ABS($C2886-INDEX('AH History'!$B$1:$B$18046,$H2886))&lt;=MAX(0.005,ABS(INDEX('AH History'!$B$1:$B$18046,$H2886))*0.00005),ABS($D2886-INDEX('AH History'!$C$1:$C$18046,$H2886))&lt;=MAX(0.005,ABS(INDEX('AH History'!$C$1:$C$18046,$H2886))*0.00005),ABS($E2886-INDEX('AH History'!$D$1:$D$18046,$H2886))&lt;=0.00005,$F2886=INDEX('AH History'!$E$1:$E$18046,$H2886),$G2886=INDEX('AH History'!$F$1:$F$18046,$H2886)),1,-1),-1))</ns0:f>
        <ns0:v/>
      </ns0:c>
    </ns0:row>
    <ns0:row r="2887">
      <ns0:c r="A2887" s="215">
        <ns0:f>IF(OR(AH!$P$3=0,2882+1&gt;AH!$P$11,AND(AH!$E$4&lt;&gt;"Stored",AH!$P$10&lt;&gt;1)),"",IFERROR(IF(AND(AH!$P$21=1,2882+1=AH!$P$11),TODAY(),IF(AH!$P$10=1,INDEX('Live History'!$A$5:$A$3004,AH!$P$13+2882),INDEX('AH History'!$A$1:$A$18046,AH!$P$7+2882))),""))</ns0:f>
        <ns0:v/>
      </ns0:c>
      <ns0:c r="B2887" s="219">
        <ns0:f>IFERROR(IF(AND(AH!$P$9&lt;&gt;1,$C2887&gt;0,$D2887&gt;0,$E2887&gt;0,$F2887&gt;0,$G2887&gt;0,$F2887&lt;=$A2887,$G2887&lt;=$A2887,$A2887-$F2887&lt;=10,$A2887-$G2887&lt;=5),$D2887*$E2887/$C2887-1,NA()),NA())</ns0:f>
        <ns0:v/>
      </ns0:c>
      <ns0:c r="C2887">
        <ns0:f>IFERROR(IF(ISNUMBER($A2887),IF(AND(AH!$P$10=1,AH!$P$12=1,$A2887=TODAY()),AH!$P$19,IF(AH!$P$10=1,INDEX('Live History'!$B$5:$B$3004,AH!$P$13+2882),INDEX('AH History'!$B$1:$B$18046,AH!$P$7+2882))),NA()),NA())</ns0:f>
        <ns0:v/>
      </ns0:c>
      <ns0:c r="D2887">
        <ns0:f>IFERROR(IF(ISNUMBER($A2887),IF(AND(AH!$P$10=1,AH!$P$12=1,$A2887=TODAY()),AH!$P$18,IF(AH!$P$10=1,INDEX('Live History'!$E$5:$E$3004,MATCH($A2887,'Live History'!$D$5:$D$3004,1)),INDEX('AH History'!$C$1:$C$18046,AH!$P$7+2882))),NA()),NA())</ns0:f>
        <ns0:v/>
      </ns0:c>
      <ns0:c r="E2887">
        <ns0:f>IFERROR(IF(ISNUMBER($A2887),IF(AND(AH!$P$10=1,AH!$P$12=1,$A2887=TODAY()),AH!$P$20,IF(AH!$P$10=1,INDEX('Live History'!$H$5:$H$3004,MATCH($A2887,'Live History'!$G$5:$G$3004,1)),INDEX('AH History'!$D$1:$D$18046,AH!$P$7+2882))),NA()),NA())</ns0:f>
        <ns0:v/>
      </ns0:c>
      <ns0:c r="F2887">
        <ns0:f>IFERROR(IF(ISNUMBER($A2887),IF(AND(AH!$P$10=1,AH!$P$12=1,$A2887=TODAY()),IF(AND(AH!$P$10=1,AH!$P$12=1,$A2887=TODAY()),TODAY(),NA()),IF(AH!$P$10=1,INDEX('Live History'!$D$5:$D$3004,MATCH($A2887,'Live History'!$D$5:$D$3004,1)),INDEX('AH History'!$E$1:$E$18046,AH!$P$7+2882))),NA()),NA())</ns0:f>
        <ns0:v/>
      </ns0:c>
      <ns0:c r="G2887">
        <ns0:f>IFERROR(IF(ISNUMBER($A2887),IF(AND(AH!$P$10=1,AH!$P$12=1,$A2887=TODAY()),IF(AND(AH!$P$10=1,AH!$P$12=1,$A2887=TODAY()),TODAY(),NA()),IF(AH!$P$10=1,INDEX('Live History'!$G$5:$G$3004,MATCH($A2887,'Live History'!$G$5:$G$3004,1)),INDEX('AH History'!$F$1:$F$18046,AH!$P$7+2882))),NA()),NA())</ns0:f>
        <ns0:v/>
      </ns0:c>
      <ns0:c r="H2887">
        <ns0:f>IFERROR(IF(AND(AH!$E$4="Bloomberg",AH!$P$10=1,ISNUMBER($A2887),$A2887&lt;=AH!$P$17),AH!$P$7-1+MATCH($A2887,INDEX('AH History'!$A$1:$A$18046,AH!$P$7):INDEX('AH History'!$A$1:$A$18046,AH!$P$7+AH!$P$8-1),0),0),0)</ns0:f>
        <ns0:v/>
      </ns0:c>
      <ns0:c r="I2887">
        <ns0:f>IF($H2887=0,0,IFERROR(IF(AND(ABS($C2887-INDEX('AH History'!$B$1:$B$18046,$H2887))&lt;=MAX(0.005,ABS(INDEX('AH History'!$B$1:$B$18046,$H2887))*0.00005),ABS($D2887-INDEX('AH History'!$C$1:$C$18046,$H2887))&lt;=MAX(0.005,ABS(INDEX('AH History'!$C$1:$C$18046,$H2887))*0.00005),ABS($E2887-INDEX('AH History'!$D$1:$D$18046,$H2887))&lt;=0.00005,$F2887=INDEX('AH History'!$E$1:$E$18046,$H2887),$G2887=INDEX('AH History'!$F$1:$F$18046,$H2887)),1,-1),-1))</ns0:f>
        <ns0:v/>
      </ns0:c>
    </ns0:row>
    <ns0:row r="2888">
      <ns0:c r="A2888" s="215">
        <ns0:f>IF(OR(AH!$P$3=0,2883+1&gt;AH!$P$11,AND(AH!$E$4&lt;&gt;"Stored",AH!$P$10&lt;&gt;1)),"",IFERROR(IF(AND(AH!$P$21=1,2883+1=AH!$P$11),TODAY(),IF(AH!$P$10=1,INDEX('Live History'!$A$5:$A$3004,AH!$P$13+2883),INDEX('AH History'!$A$1:$A$18046,AH!$P$7+2883))),""))</ns0:f>
        <ns0:v/>
      </ns0:c>
      <ns0:c r="B2888" s="219">
        <ns0:f>IFERROR(IF(AND(AH!$P$9&lt;&gt;1,$C2888&gt;0,$D2888&gt;0,$E2888&gt;0,$F2888&gt;0,$G2888&gt;0,$F2888&lt;=$A2888,$G2888&lt;=$A2888,$A2888-$F2888&lt;=10,$A2888-$G2888&lt;=5),$D2888*$E2888/$C2888-1,NA()),NA())</ns0:f>
        <ns0:v/>
      </ns0:c>
      <ns0:c r="C2888">
        <ns0:f>IFERROR(IF(ISNUMBER($A2888),IF(AND(AH!$P$10=1,AH!$P$12=1,$A2888=TODAY()),AH!$P$19,IF(AH!$P$10=1,INDEX('Live History'!$B$5:$B$3004,AH!$P$13+2883),INDEX('AH History'!$B$1:$B$18046,AH!$P$7+2883))),NA()),NA())</ns0:f>
        <ns0:v/>
      </ns0:c>
      <ns0:c r="D2888">
        <ns0:f>IFERROR(IF(ISNUMBER($A2888),IF(AND(AH!$P$10=1,AH!$P$12=1,$A2888=TODAY()),AH!$P$18,IF(AH!$P$10=1,INDEX('Live History'!$E$5:$E$3004,MATCH($A2888,'Live History'!$D$5:$D$3004,1)),INDEX('AH History'!$C$1:$C$18046,AH!$P$7+2883))),NA()),NA())</ns0:f>
        <ns0:v/>
      </ns0:c>
      <ns0:c r="E2888">
        <ns0:f>IFERROR(IF(ISNUMBER($A2888),IF(AND(AH!$P$10=1,AH!$P$12=1,$A2888=TODAY()),AH!$P$20,IF(AH!$P$10=1,INDEX('Live History'!$H$5:$H$3004,MATCH($A2888,'Live History'!$G$5:$G$3004,1)),INDEX('AH History'!$D$1:$D$18046,AH!$P$7+2883))),NA()),NA())</ns0:f>
        <ns0:v/>
      </ns0:c>
      <ns0:c r="F2888">
        <ns0:f>IFERROR(IF(ISNUMBER($A2888),IF(AND(AH!$P$10=1,AH!$P$12=1,$A2888=TODAY()),IF(AND(AH!$P$10=1,AH!$P$12=1,$A2888=TODAY()),TODAY(),NA()),IF(AH!$P$10=1,INDEX('Live History'!$D$5:$D$3004,MATCH($A2888,'Live History'!$D$5:$D$3004,1)),INDEX('AH History'!$E$1:$E$18046,AH!$P$7+2883))),NA()),NA())</ns0:f>
        <ns0:v/>
      </ns0:c>
      <ns0:c r="G2888">
        <ns0:f>IFERROR(IF(ISNUMBER($A2888),IF(AND(AH!$P$10=1,AH!$P$12=1,$A2888=TODAY()),IF(AND(AH!$P$10=1,AH!$P$12=1,$A2888=TODAY()),TODAY(),NA()),IF(AH!$P$10=1,INDEX('Live History'!$G$5:$G$3004,MATCH($A2888,'Live History'!$G$5:$G$3004,1)),INDEX('AH History'!$F$1:$F$18046,AH!$P$7+2883))),NA()),NA())</ns0:f>
        <ns0:v/>
      </ns0:c>
      <ns0:c r="H2888">
        <ns0:f>IFERROR(IF(AND(AH!$E$4="Bloomberg",AH!$P$10=1,ISNUMBER($A2888),$A2888&lt;=AH!$P$17),AH!$P$7-1+MATCH($A2888,INDEX('AH History'!$A$1:$A$18046,AH!$P$7):INDEX('AH History'!$A$1:$A$18046,AH!$P$7+AH!$P$8-1),0),0),0)</ns0:f>
        <ns0:v/>
      </ns0:c>
      <ns0:c r="I2888">
        <ns0:f>IF($H2888=0,0,IFERROR(IF(AND(ABS($C2888-INDEX('AH History'!$B$1:$B$18046,$H2888))&lt;=MAX(0.005,ABS(INDEX('AH History'!$B$1:$B$18046,$H2888))*0.00005),ABS($D2888-INDEX('AH History'!$C$1:$C$18046,$H2888))&lt;=MAX(0.005,ABS(INDEX('AH History'!$C$1:$C$18046,$H2888))*0.00005),ABS($E2888-INDEX('AH History'!$D$1:$D$18046,$H2888))&lt;=0.00005,$F2888=INDEX('AH History'!$E$1:$E$18046,$H2888),$G2888=INDEX('AH History'!$F$1:$F$18046,$H2888)),1,-1),-1))</ns0:f>
        <ns0:v/>
      </ns0:c>
    </ns0:row>
    <ns0:row r="2889">
      <ns0:c r="A2889" s="215">
        <ns0:f>IF(OR(AH!$P$3=0,2884+1&gt;AH!$P$11,AND(AH!$E$4&lt;&gt;"Stored",AH!$P$10&lt;&gt;1)),"",IFERROR(IF(AND(AH!$P$21=1,2884+1=AH!$P$11),TODAY(),IF(AH!$P$10=1,INDEX('Live History'!$A$5:$A$3004,AH!$P$13+2884),INDEX('AH History'!$A$1:$A$18046,AH!$P$7+2884))),""))</ns0:f>
        <ns0:v/>
      </ns0:c>
      <ns0:c r="B2889" s="219">
        <ns0:f>IFERROR(IF(AND(AH!$P$9&lt;&gt;1,$C2889&gt;0,$D2889&gt;0,$E2889&gt;0,$F2889&gt;0,$G2889&gt;0,$F2889&lt;=$A2889,$G2889&lt;=$A2889,$A2889-$F2889&lt;=10,$A2889-$G2889&lt;=5),$D2889*$E2889/$C2889-1,NA()),NA())</ns0:f>
        <ns0:v/>
      </ns0:c>
      <ns0:c r="C2889">
        <ns0:f>IFERROR(IF(ISNUMBER($A2889),IF(AND(AH!$P$10=1,AH!$P$12=1,$A2889=TODAY()),AH!$P$19,IF(AH!$P$10=1,INDEX('Live History'!$B$5:$B$3004,AH!$P$13+2884),INDEX('AH History'!$B$1:$B$18046,AH!$P$7+2884))),NA()),NA())</ns0:f>
        <ns0:v/>
      </ns0:c>
      <ns0:c r="D2889">
        <ns0:f>IFERROR(IF(ISNUMBER($A2889),IF(AND(AH!$P$10=1,AH!$P$12=1,$A2889=TODAY()),AH!$P$18,IF(AH!$P$10=1,INDEX('Live History'!$E$5:$E$3004,MATCH($A2889,'Live History'!$D$5:$D$3004,1)),INDEX('AH History'!$C$1:$C$18046,AH!$P$7+2884))),NA()),NA())</ns0:f>
        <ns0:v/>
      </ns0:c>
      <ns0:c r="E2889">
        <ns0:f>IFERROR(IF(ISNUMBER($A2889),IF(AND(AH!$P$10=1,AH!$P$12=1,$A2889=TODAY()),AH!$P$20,IF(AH!$P$10=1,INDEX('Live History'!$H$5:$H$3004,MATCH($A2889,'Live History'!$G$5:$G$3004,1)),INDEX('AH History'!$D$1:$D$18046,AH!$P$7+2884))),NA()),NA())</ns0:f>
        <ns0:v/>
      </ns0:c>
      <ns0:c r="F2889">
        <ns0:f>IFERROR(IF(ISNUMBER($A2889),IF(AND(AH!$P$10=1,AH!$P$12=1,$A2889=TODAY()),IF(AND(AH!$P$10=1,AH!$P$12=1,$A2889=TODAY()),TODAY(),NA()),IF(AH!$P$10=1,INDEX('Live History'!$D$5:$D$3004,MATCH($A2889,'Live History'!$D$5:$D$3004,1)),INDEX('AH History'!$E$1:$E$18046,AH!$P$7+2884))),NA()),NA())</ns0:f>
        <ns0:v/>
      </ns0:c>
      <ns0:c r="G2889">
        <ns0:f>IFERROR(IF(ISNUMBER($A2889),IF(AND(AH!$P$10=1,AH!$P$12=1,$A2889=TODAY()),IF(AND(AH!$P$10=1,AH!$P$12=1,$A2889=TODAY()),TODAY(),NA()),IF(AH!$P$10=1,INDEX('Live History'!$G$5:$G$3004,MATCH($A2889,'Live History'!$G$5:$G$3004,1)),INDEX('AH History'!$F$1:$F$18046,AH!$P$7+2884))),NA()),NA())</ns0:f>
        <ns0:v/>
      </ns0:c>
      <ns0:c r="H2889">
        <ns0:f>IFERROR(IF(AND(AH!$E$4="Bloomberg",AH!$P$10=1,ISNUMBER($A2889),$A2889&lt;=AH!$P$17),AH!$P$7-1+MATCH($A2889,INDEX('AH History'!$A$1:$A$18046,AH!$P$7):INDEX('AH History'!$A$1:$A$18046,AH!$P$7+AH!$P$8-1),0),0),0)</ns0:f>
        <ns0:v/>
      </ns0:c>
      <ns0:c r="I2889">
        <ns0:f>IF($H2889=0,0,IFERROR(IF(AND(ABS($C2889-INDEX('AH History'!$B$1:$B$18046,$H2889))&lt;=MAX(0.005,ABS(INDEX('AH History'!$B$1:$B$18046,$H2889))*0.00005),ABS($D2889-INDEX('AH History'!$C$1:$C$18046,$H2889))&lt;=MAX(0.005,ABS(INDEX('AH History'!$C$1:$C$18046,$H2889))*0.00005),ABS($E2889-INDEX('AH History'!$D$1:$D$18046,$H2889))&lt;=0.00005,$F2889=INDEX('AH History'!$E$1:$E$18046,$H2889),$G2889=INDEX('AH History'!$F$1:$F$18046,$H2889)),1,-1),-1))</ns0:f>
        <ns0:v/>
      </ns0:c>
    </ns0:row>
    <ns0:row r="2890">
      <ns0:c r="A2890" s="215">
        <ns0:f>IF(OR(AH!$P$3=0,2885+1&gt;AH!$P$11,AND(AH!$E$4&lt;&gt;"Stored",AH!$P$10&lt;&gt;1)),"",IFERROR(IF(AND(AH!$P$21=1,2885+1=AH!$P$11),TODAY(),IF(AH!$P$10=1,INDEX('Live History'!$A$5:$A$3004,AH!$P$13+2885),INDEX('AH History'!$A$1:$A$18046,AH!$P$7+2885))),""))</ns0:f>
        <ns0:v/>
      </ns0:c>
      <ns0:c r="B2890" s="219">
        <ns0:f>IFERROR(IF(AND(AH!$P$9&lt;&gt;1,$C2890&gt;0,$D2890&gt;0,$E2890&gt;0,$F2890&gt;0,$G2890&gt;0,$F2890&lt;=$A2890,$G2890&lt;=$A2890,$A2890-$F2890&lt;=10,$A2890-$G2890&lt;=5),$D2890*$E2890/$C2890-1,NA()),NA())</ns0:f>
        <ns0:v/>
      </ns0:c>
      <ns0:c r="C2890">
        <ns0:f>IFERROR(IF(ISNUMBER($A2890),IF(AND(AH!$P$10=1,AH!$P$12=1,$A2890=TODAY()),AH!$P$19,IF(AH!$P$10=1,INDEX('Live History'!$B$5:$B$3004,AH!$P$13+2885),INDEX('AH History'!$B$1:$B$18046,AH!$P$7+2885))),NA()),NA())</ns0:f>
        <ns0:v/>
      </ns0:c>
      <ns0:c r="D2890">
        <ns0:f>IFERROR(IF(ISNUMBER($A2890),IF(AND(AH!$P$10=1,AH!$P$12=1,$A2890=TODAY()),AH!$P$18,IF(AH!$P$10=1,INDEX('Live History'!$E$5:$E$3004,MATCH($A2890,'Live History'!$D$5:$D$3004,1)),INDEX('AH History'!$C$1:$C$18046,AH!$P$7+2885))),NA()),NA())</ns0:f>
        <ns0:v/>
      </ns0:c>
      <ns0:c r="E2890">
        <ns0:f>IFERROR(IF(ISNUMBER($A2890),IF(AND(AH!$P$10=1,AH!$P$12=1,$A2890=TODAY()),AH!$P$20,IF(AH!$P$10=1,INDEX('Live History'!$H$5:$H$3004,MATCH($A2890,'Live History'!$G$5:$G$3004,1)),INDEX('AH History'!$D$1:$D$18046,AH!$P$7+2885))),NA()),NA())</ns0:f>
        <ns0:v/>
      </ns0:c>
      <ns0:c r="F2890">
        <ns0:f>IFERROR(IF(ISNUMBER($A2890),IF(AND(AH!$P$10=1,AH!$P$12=1,$A2890=TODAY()),IF(AND(AH!$P$10=1,AH!$P$12=1,$A2890=TODAY()),TODAY(),NA()),IF(AH!$P$10=1,INDEX('Live History'!$D$5:$D$3004,MATCH($A2890,'Live History'!$D$5:$D$3004,1)),INDEX('AH History'!$E$1:$E$18046,AH!$P$7+2885))),NA()),NA())</ns0:f>
        <ns0:v/>
      </ns0:c>
      <ns0:c r="G2890">
        <ns0:f>IFERROR(IF(ISNUMBER($A2890),IF(AND(AH!$P$10=1,AH!$P$12=1,$A2890=TODAY()),IF(AND(AH!$P$10=1,AH!$P$12=1,$A2890=TODAY()),TODAY(),NA()),IF(AH!$P$10=1,INDEX('Live History'!$G$5:$G$3004,MATCH($A2890,'Live History'!$G$5:$G$3004,1)),INDEX('AH History'!$F$1:$F$18046,AH!$P$7+2885))),NA()),NA())</ns0:f>
        <ns0:v/>
      </ns0:c>
      <ns0:c r="H2890">
        <ns0:f>IFERROR(IF(AND(AH!$E$4="Bloomberg",AH!$P$10=1,ISNUMBER($A2890),$A2890&lt;=AH!$P$17),AH!$P$7-1+MATCH($A2890,INDEX('AH History'!$A$1:$A$18046,AH!$P$7):INDEX('AH History'!$A$1:$A$18046,AH!$P$7+AH!$P$8-1),0),0),0)</ns0:f>
        <ns0:v/>
      </ns0:c>
      <ns0:c r="I2890">
        <ns0:f>IF($H2890=0,0,IFERROR(IF(AND(ABS($C2890-INDEX('AH History'!$B$1:$B$18046,$H2890))&lt;=MAX(0.005,ABS(INDEX('AH History'!$B$1:$B$18046,$H2890))*0.00005),ABS($D2890-INDEX('AH History'!$C$1:$C$18046,$H2890))&lt;=MAX(0.005,ABS(INDEX('AH History'!$C$1:$C$18046,$H2890))*0.00005),ABS($E2890-INDEX('AH History'!$D$1:$D$18046,$H2890))&lt;=0.00005,$F2890=INDEX('AH History'!$E$1:$E$18046,$H2890),$G2890=INDEX('AH History'!$F$1:$F$18046,$H2890)),1,-1),-1))</ns0:f>
        <ns0:v/>
      </ns0:c>
    </ns0:row>
    <ns0:row r="2891">
      <ns0:c r="A2891" s="215">
        <ns0:f>IF(OR(AH!$P$3=0,2886+1&gt;AH!$P$11,AND(AH!$E$4&lt;&gt;"Stored",AH!$P$10&lt;&gt;1)),"",IFERROR(IF(AND(AH!$P$21=1,2886+1=AH!$P$11),TODAY(),IF(AH!$P$10=1,INDEX('Live History'!$A$5:$A$3004,AH!$P$13+2886),INDEX('AH History'!$A$1:$A$18046,AH!$P$7+2886))),""))</ns0:f>
        <ns0:v/>
      </ns0:c>
      <ns0:c r="B2891" s="219">
        <ns0:f>IFERROR(IF(AND(AH!$P$9&lt;&gt;1,$C2891&gt;0,$D2891&gt;0,$E2891&gt;0,$F2891&gt;0,$G2891&gt;0,$F2891&lt;=$A2891,$G2891&lt;=$A2891,$A2891-$F2891&lt;=10,$A2891-$G2891&lt;=5),$D2891*$E2891/$C2891-1,NA()),NA())</ns0:f>
        <ns0:v/>
      </ns0:c>
      <ns0:c r="C2891">
        <ns0:f>IFERROR(IF(ISNUMBER($A2891),IF(AND(AH!$P$10=1,AH!$P$12=1,$A2891=TODAY()),AH!$P$19,IF(AH!$P$10=1,INDEX('Live History'!$B$5:$B$3004,AH!$P$13+2886),INDEX('AH History'!$B$1:$B$18046,AH!$P$7+2886))),NA()),NA())</ns0:f>
        <ns0:v/>
      </ns0:c>
      <ns0:c r="D2891">
        <ns0:f>IFERROR(IF(ISNUMBER($A2891),IF(AND(AH!$P$10=1,AH!$P$12=1,$A2891=TODAY()),AH!$P$18,IF(AH!$P$10=1,INDEX('Live History'!$E$5:$E$3004,MATCH($A2891,'Live History'!$D$5:$D$3004,1)),INDEX('AH History'!$C$1:$C$18046,AH!$P$7+2886))),NA()),NA())</ns0:f>
        <ns0:v/>
      </ns0:c>
      <ns0:c r="E2891">
        <ns0:f>IFERROR(IF(ISNUMBER($A2891),IF(AND(AH!$P$10=1,AH!$P$12=1,$A2891=TODAY()),AH!$P$20,IF(AH!$P$10=1,INDEX('Live History'!$H$5:$H$3004,MATCH($A2891,'Live History'!$G$5:$G$3004,1)),INDEX('AH History'!$D$1:$D$18046,AH!$P$7+2886))),NA()),NA())</ns0:f>
        <ns0:v/>
      </ns0:c>
      <ns0:c r="F2891">
        <ns0:f>IFERROR(IF(ISNUMBER($A2891),IF(AND(AH!$P$10=1,AH!$P$12=1,$A2891=TODAY()),IF(AND(AH!$P$10=1,AH!$P$12=1,$A2891=TODAY()),TODAY(),NA()),IF(AH!$P$10=1,INDEX('Live History'!$D$5:$D$3004,MATCH($A2891,'Live History'!$D$5:$D$3004,1)),INDEX('AH History'!$E$1:$E$18046,AH!$P$7+2886))),NA()),NA())</ns0:f>
        <ns0:v/>
      </ns0:c>
      <ns0:c r="G2891">
        <ns0:f>IFERROR(IF(ISNUMBER($A2891),IF(AND(AH!$P$10=1,AH!$P$12=1,$A2891=TODAY()),IF(AND(AH!$P$10=1,AH!$P$12=1,$A2891=TODAY()),TODAY(),NA()),IF(AH!$P$10=1,INDEX('Live History'!$G$5:$G$3004,MATCH($A2891,'Live History'!$G$5:$G$3004,1)),INDEX('AH History'!$F$1:$F$18046,AH!$P$7+2886))),NA()),NA())</ns0:f>
        <ns0:v/>
      </ns0:c>
      <ns0:c r="H2891">
        <ns0:f>IFERROR(IF(AND(AH!$E$4="Bloomberg",AH!$P$10=1,ISNUMBER($A2891),$A2891&lt;=AH!$P$17),AH!$P$7-1+MATCH($A2891,INDEX('AH History'!$A$1:$A$18046,AH!$P$7):INDEX('AH History'!$A$1:$A$18046,AH!$P$7+AH!$P$8-1),0),0),0)</ns0:f>
        <ns0:v/>
      </ns0:c>
      <ns0:c r="I2891">
        <ns0:f>IF($H2891=0,0,IFERROR(IF(AND(ABS($C2891-INDEX('AH History'!$B$1:$B$18046,$H2891))&lt;=MAX(0.005,ABS(INDEX('AH History'!$B$1:$B$18046,$H2891))*0.00005),ABS($D2891-INDEX('AH History'!$C$1:$C$18046,$H2891))&lt;=MAX(0.005,ABS(INDEX('AH History'!$C$1:$C$18046,$H2891))*0.00005),ABS($E2891-INDEX('AH History'!$D$1:$D$18046,$H2891))&lt;=0.00005,$F2891=INDEX('AH History'!$E$1:$E$18046,$H2891),$G2891=INDEX('AH History'!$F$1:$F$18046,$H2891)),1,-1),-1))</ns0:f>
        <ns0:v/>
      </ns0:c>
    </ns0:row>
    <ns0:row r="2892">
      <ns0:c r="A2892" s="215">
        <ns0:f>IF(OR(AH!$P$3=0,2887+1&gt;AH!$P$11,AND(AH!$E$4&lt;&gt;"Stored",AH!$P$10&lt;&gt;1)),"",IFERROR(IF(AND(AH!$P$21=1,2887+1=AH!$P$11),TODAY(),IF(AH!$P$10=1,INDEX('Live History'!$A$5:$A$3004,AH!$P$13+2887),INDEX('AH History'!$A$1:$A$18046,AH!$P$7+2887))),""))</ns0:f>
        <ns0:v/>
      </ns0:c>
      <ns0:c r="B2892" s="219">
        <ns0:f>IFERROR(IF(AND(AH!$P$9&lt;&gt;1,$C2892&gt;0,$D2892&gt;0,$E2892&gt;0,$F2892&gt;0,$G2892&gt;0,$F2892&lt;=$A2892,$G2892&lt;=$A2892,$A2892-$F2892&lt;=10,$A2892-$G2892&lt;=5),$D2892*$E2892/$C2892-1,NA()),NA())</ns0:f>
        <ns0:v/>
      </ns0:c>
      <ns0:c r="C2892">
        <ns0:f>IFERROR(IF(ISNUMBER($A2892),IF(AND(AH!$P$10=1,AH!$P$12=1,$A2892=TODAY()),AH!$P$19,IF(AH!$P$10=1,INDEX('Live History'!$B$5:$B$3004,AH!$P$13+2887),INDEX('AH History'!$B$1:$B$18046,AH!$P$7+2887))),NA()),NA())</ns0:f>
        <ns0:v/>
      </ns0:c>
      <ns0:c r="D2892">
        <ns0:f>IFERROR(IF(ISNUMBER($A2892),IF(AND(AH!$P$10=1,AH!$P$12=1,$A2892=TODAY()),AH!$P$18,IF(AH!$P$10=1,INDEX('Live History'!$E$5:$E$3004,MATCH($A2892,'Live History'!$D$5:$D$3004,1)),INDEX('AH History'!$C$1:$C$18046,AH!$P$7+2887))),NA()),NA())</ns0:f>
        <ns0:v/>
      </ns0:c>
      <ns0:c r="E2892">
        <ns0:f>IFERROR(IF(ISNUMBER($A2892),IF(AND(AH!$P$10=1,AH!$P$12=1,$A2892=TODAY()),AH!$P$20,IF(AH!$P$10=1,INDEX('Live History'!$H$5:$H$3004,MATCH($A2892,'Live History'!$G$5:$G$3004,1)),INDEX('AH History'!$D$1:$D$18046,AH!$P$7+2887))),NA()),NA())</ns0:f>
        <ns0:v/>
      </ns0:c>
      <ns0:c r="F2892">
        <ns0:f>IFERROR(IF(ISNUMBER($A2892),IF(AND(AH!$P$10=1,AH!$P$12=1,$A2892=TODAY()),IF(AND(AH!$P$10=1,AH!$P$12=1,$A2892=TODAY()),TODAY(),NA()),IF(AH!$P$10=1,INDEX('Live History'!$D$5:$D$3004,MATCH($A2892,'Live History'!$D$5:$D$3004,1)),INDEX('AH History'!$E$1:$E$18046,AH!$P$7+2887))),NA()),NA())</ns0:f>
        <ns0:v/>
      </ns0:c>
      <ns0:c r="G2892">
        <ns0:f>IFERROR(IF(ISNUMBER($A2892),IF(AND(AH!$P$10=1,AH!$P$12=1,$A2892=TODAY()),IF(AND(AH!$P$10=1,AH!$P$12=1,$A2892=TODAY()),TODAY(),NA()),IF(AH!$P$10=1,INDEX('Live History'!$G$5:$G$3004,MATCH($A2892,'Live History'!$G$5:$G$3004,1)),INDEX('AH History'!$F$1:$F$18046,AH!$P$7+2887))),NA()),NA())</ns0:f>
        <ns0:v/>
      </ns0:c>
      <ns0:c r="H2892">
        <ns0:f>IFERROR(IF(AND(AH!$E$4="Bloomberg",AH!$P$10=1,ISNUMBER($A2892),$A2892&lt;=AH!$P$17),AH!$P$7-1+MATCH($A2892,INDEX('AH History'!$A$1:$A$18046,AH!$P$7):INDEX('AH History'!$A$1:$A$18046,AH!$P$7+AH!$P$8-1),0),0),0)</ns0:f>
        <ns0:v/>
      </ns0:c>
      <ns0:c r="I2892">
        <ns0:f>IF($H2892=0,0,IFERROR(IF(AND(ABS($C2892-INDEX('AH History'!$B$1:$B$18046,$H2892))&lt;=MAX(0.005,ABS(INDEX('AH History'!$B$1:$B$18046,$H2892))*0.00005),ABS($D2892-INDEX('AH History'!$C$1:$C$18046,$H2892))&lt;=MAX(0.005,ABS(INDEX('AH History'!$C$1:$C$18046,$H2892))*0.00005),ABS($E2892-INDEX('AH History'!$D$1:$D$18046,$H2892))&lt;=0.00005,$F2892=INDEX('AH History'!$E$1:$E$18046,$H2892),$G2892=INDEX('AH History'!$F$1:$F$18046,$H2892)),1,-1),-1))</ns0:f>
        <ns0:v/>
      </ns0:c>
    </ns0:row>
    <ns0:row r="2893">
      <ns0:c r="A2893" s="215">
        <ns0:f>IF(OR(AH!$P$3=0,2888+1&gt;AH!$P$11,AND(AH!$E$4&lt;&gt;"Stored",AH!$P$10&lt;&gt;1)),"",IFERROR(IF(AND(AH!$P$21=1,2888+1=AH!$P$11),TODAY(),IF(AH!$P$10=1,INDEX('Live History'!$A$5:$A$3004,AH!$P$13+2888),INDEX('AH History'!$A$1:$A$18046,AH!$P$7+2888))),""))</ns0:f>
        <ns0:v/>
      </ns0:c>
      <ns0:c r="B2893" s="219">
        <ns0:f>IFERROR(IF(AND(AH!$P$9&lt;&gt;1,$C2893&gt;0,$D2893&gt;0,$E2893&gt;0,$F2893&gt;0,$G2893&gt;0,$F2893&lt;=$A2893,$G2893&lt;=$A2893,$A2893-$F2893&lt;=10,$A2893-$G2893&lt;=5),$D2893*$E2893/$C2893-1,NA()),NA())</ns0:f>
        <ns0:v/>
      </ns0:c>
      <ns0:c r="C2893">
        <ns0:f>IFERROR(IF(ISNUMBER($A2893),IF(AND(AH!$P$10=1,AH!$P$12=1,$A2893=TODAY()),AH!$P$19,IF(AH!$P$10=1,INDEX('Live History'!$B$5:$B$3004,AH!$P$13+2888),INDEX('AH History'!$B$1:$B$18046,AH!$P$7+2888))),NA()),NA())</ns0:f>
        <ns0:v/>
      </ns0:c>
      <ns0:c r="D2893">
        <ns0:f>IFERROR(IF(ISNUMBER($A2893),IF(AND(AH!$P$10=1,AH!$P$12=1,$A2893=TODAY()),AH!$P$18,IF(AH!$P$10=1,INDEX('Live History'!$E$5:$E$3004,MATCH($A2893,'Live History'!$D$5:$D$3004,1)),INDEX('AH History'!$C$1:$C$18046,AH!$P$7+2888))),NA()),NA())</ns0:f>
        <ns0:v/>
      </ns0:c>
      <ns0:c r="E2893">
        <ns0:f>IFERROR(IF(ISNUMBER($A2893),IF(AND(AH!$P$10=1,AH!$P$12=1,$A2893=TODAY()),AH!$P$20,IF(AH!$P$10=1,INDEX('Live History'!$H$5:$H$3004,MATCH($A2893,'Live History'!$G$5:$G$3004,1)),INDEX('AH History'!$D$1:$D$18046,AH!$P$7+2888))),NA()),NA())</ns0:f>
        <ns0:v/>
      </ns0:c>
      <ns0:c r="F2893">
        <ns0:f>IFERROR(IF(ISNUMBER($A2893),IF(AND(AH!$P$10=1,AH!$P$12=1,$A2893=TODAY()),IF(AND(AH!$P$10=1,AH!$P$12=1,$A2893=TODAY()),TODAY(),NA()),IF(AH!$P$10=1,INDEX('Live History'!$D$5:$D$3004,MATCH($A2893,'Live History'!$D$5:$D$3004,1)),INDEX('AH History'!$E$1:$E$18046,AH!$P$7+2888))),NA()),NA())</ns0:f>
        <ns0:v/>
      </ns0:c>
      <ns0:c r="G2893">
        <ns0:f>IFERROR(IF(ISNUMBER($A2893),IF(AND(AH!$P$10=1,AH!$P$12=1,$A2893=TODAY()),IF(AND(AH!$P$10=1,AH!$P$12=1,$A2893=TODAY()),TODAY(),NA()),IF(AH!$P$10=1,INDEX('Live History'!$G$5:$G$3004,MATCH($A2893,'Live History'!$G$5:$G$3004,1)),INDEX('AH History'!$F$1:$F$18046,AH!$P$7+2888))),NA()),NA())</ns0:f>
        <ns0:v/>
      </ns0:c>
      <ns0:c r="H2893">
        <ns0:f>IFERROR(IF(AND(AH!$E$4="Bloomberg",AH!$P$10=1,ISNUMBER($A2893),$A2893&lt;=AH!$P$17),AH!$P$7-1+MATCH($A2893,INDEX('AH History'!$A$1:$A$18046,AH!$P$7):INDEX('AH History'!$A$1:$A$18046,AH!$P$7+AH!$P$8-1),0),0),0)</ns0:f>
        <ns0:v/>
      </ns0:c>
      <ns0:c r="I2893">
        <ns0:f>IF($H2893=0,0,IFERROR(IF(AND(ABS($C2893-INDEX('AH History'!$B$1:$B$18046,$H2893))&lt;=MAX(0.005,ABS(INDEX('AH History'!$B$1:$B$18046,$H2893))*0.00005),ABS($D2893-INDEX('AH History'!$C$1:$C$18046,$H2893))&lt;=MAX(0.005,ABS(INDEX('AH History'!$C$1:$C$18046,$H2893))*0.00005),ABS($E2893-INDEX('AH History'!$D$1:$D$18046,$H2893))&lt;=0.00005,$F2893=INDEX('AH History'!$E$1:$E$18046,$H2893),$G2893=INDEX('AH History'!$F$1:$F$18046,$H2893)),1,-1),-1))</ns0:f>
        <ns0:v/>
      </ns0:c>
    </ns0:row>
    <ns0:row r="2894">
      <ns0:c r="A2894" s="215">
        <ns0:f>IF(OR(AH!$P$3=0,2889+1&gt;AH!$P$11,AND(AH!$E$4&lt;&gt;"Stored",AH!$P$10&lt;&gt;1)),"",IFERROR(IF(AND(AH!$P$21=1,2889+1=AH!$P$11),TODAY(),IF(AH!$P$10=1,INDEX('Live History'!$A$5:$A$3004,AH!$P$13+2889),INDEX('AH History'!$A$1:$A$18046,AH!$P$7+2889))),""))</ns0:f>
        <ns0:v/>
      </ns0:c>
      <ns0:c r="B2894" s="219">
        <ns0:f>IFERROR(IF(AND(AH!$P$9&lt;&gt;1,$C2894&gt;0,$D2894&gt;0,$E2894&gt;0,$F2894&gt;0,$G2894&gt;0,$F2894&lt;=$A2894,$G2894&lt;=$A2894,$A2894-$F2894&lt;=10,$A2894-$G2894&lt;=5),$D2894*$E2894/$C2894-1,NA()),NA())</ns0:f>
        <ns0:v/>
      </ns0:c>
      <ns0:c r="C2894">
        <ns0:f>IFERROR(IF(ISNUMBER($A2894),IF(AND(AH!$P$10=1,AH!$P$12=1,$A2894=TODAY()),AH!$P$19,IF(AH!$P$10=1,INDEX('Live History'!$B$5:$B$3004,AH!$P$13+2889),INDEX('AH History'!$B$1:$B$18046,AH!$P$7+2889))),NA()),NA())</ns0:f>
        <ns0:v/>
      </ns0:c>
      <ns0:c r="D2894">
        <ns0:f>IFERROR(IF(ISNUMBER($A2894),IF(AND(AH!$P$10=1,AH!$P$12=1,$A2894=TODAY()),AH!$P$18,IF(AH!$P$10=1,INDEX('Live History'!$E$5:$E$3004,MATCH($A2894,'Live History'!$D$5:$D$3004,1)),INDEX('AH History'!$C$1:$C$18046,AH!$P$7+2889))),NA()),NA())</ns0:f>
        <ns0:v/>
      </ns0:c>
      <ns0:c r="E2894">
        <ns0:f>IFERROR(IF(ISNUMBER($A2894),IF(AND(AH!$P$10=1,AH!$P$12=1,$A2894=TODAY()),AH!$P$20,IF(AH!$P$10=1,INDEX('Live History'!$H$5:$H$3004,MATCH($A2894,'Live History'!$G$5:$G$3004,1)),INDEX('AH History'!$D$1:$D$18046,AH!$P$7+2889))),NA()),NA())</ns0:f>
        <ns0:v/>
      </ns0:c>
      <ns0:c r="F2894">
        <ns0:f>IFERROR(IF(ISNUMBER($A2894),IF(AND(AH!$P$10=1,AH!$P$12=1,$A2894=TODAY()),IF(AND(AH!$P$10=1,AH!$P$12=1,$A2894=TODAY()),TODAY(),NA()),IF(AH!$P$10=1,INDEX('Live History'!$D$5:$D$3004,MATCH($A2894,'Live History'!$D$5:$D$3004,1)),INDEX('AH History'!$E$1:$E$18046,AH!$P$7+2889))),NA()),NA())</ns0:f>
        <ns0:v/>
      </ns0:c>
      <ns0:c r="G2894">
        <ns0:f>IFERROR(IF(ISNUMBER($A2894),IF(AND(AH!$P$10=1,AH!$P$12=1,$A2894=TODAY()),IF(AND(AH!$P$10=1,AH!$P$12=1,$A2894=TODAY()),TODAY(),NA()),IF(AH!$P$10=1,INDEX('Live History'!$G$5:$G$3004,MATCH($A2894,'Live History'!$G$5:$G$3004,1)),INDEX('AH History'!$F$1:$F$18046,AH!$P$7+2889))),NA()),NA())</ns0:f>
        <ns0:v/>
      </ns0:c>
      <ns0:c r="H2894">
        <ns0:f>IFERROR(IF(AND(AH!$E$4="Bloomberg",AH!$P$10=1,ISNUMBER($A2894),$A2894&lt;=AH!$P$17),AH!$P$7-1+MATCH($A2894,INDEX('AH History'!$A$1:$A$18046,AH!$P$7):INDEX('AH History'!$A$1:$A$18046,AH!$P$7+AH!$P$8-1),0),0),0)</ns0:f>
        <ns0:v/>
      </ns0:c>
      <ns0:c r="I2894">
        <ns0:f>IF($H2894=0,0,IFERROR(IF(AND(ABS($C2894-INDEX('AH History'!$B$1:$B$18046,$H2894))&lt;=MAX(0.005,ABS(INDEX('AH History'!$B$1:$B$18046,$H2894))*0.00005),ABS($D2894-INDEX('AH History'!$C$1:$C$18046,$H2894))&lt;=MAX(0.005,ABS(INDEX('AH History'!$C$1:$C$18046,$H2894))*0.00005),ABS($E2894-INDEX('AH History'!$D$1:$D$18046,$H2894))&lt;=0.00005,$F2894=INDEX('AH History'!$E$1:$E$18046,$H2894),$G2894=INDEX('AH History'!$F$1:$F$18046,$H2894)),1,-1),-1))</ns0:f>
        <ns0:v/>
      </ns0:c>
    </ns0:row>
    <ns0:row r="2895">
      <ns0:c r="A2895" s="215">
        <ns0:f>IF(OR(AH!$P$3=0,2890+1&gt;AH!$P$11,AND(AH!$E$4&lt;&gt;"Stored",AH!$P$10&lt;&gt;1)),"",IFERROR(IF(AND(AH!$P$21=1,2890+1=AH!$P$11),TODAY(),IF(AH!$P$10=1,INDEX('Live History'!$A$5:$A$3004,AH!$P$13+2890),INDEX('AH History'!$A$1:$A$18046,AH!$P$7+2890))),""))</ns0:f>
        <ns0:v/>
      </ns0:c>
      <ns0:c r="B2895" s="219">
        <ns0:f>IFERROR(IF(AND(AH!$P$9&lt;&gt;1,$C2895&gt;0,$D2895&gt;0,$E2895&gt;0,$F2895&gt;0,$G2895&gt;0,$F2895&lt;=$A2895,$G2895&lt;=$A2895,$A2895-$F2895&lt;=10,$A2895-$G2895&lt;=5),$D2895*$E2895/$C2895-1,NA()),NA())</ns0:f>
        <ns0:v/>
      </ns0:c>
      <ns0:c r="C2895">
        <ns0:f>IFERROR(IF(ISNUMBER($A2895),IF(AND(AH!$P$10=1,AH!$P$12=1,$A2895=TODAY()),AH!$P$19,IF(AH!$P$10=1,INDEX('Live History'!$B$5:$B$3004,AH!$P$13+2890),INDEX('AH History'!$B$1:$B$18046,AH!$P$7+2890))),NA()),NA())</ns0:f>
        <ns0:v/>
      </ns0:c>
      <ns0:c r="D2895">
        <ns0:f>IFERROR(IF(ISNUMBER($A2895),IF(AND(AH!$P$10=1,AH!$P$12=1,$A2895=TODAY()),AH!$P$18,IF(AH!$P$10=1,INDEX('Live History'!$E$5:$E$3004,MATCH($A2895,'Live History'!$D$5:$D$3004,1)),INDEX('AH History'!$C$1:$C$18046,AH!$P$7+2890))),NA()),NA())</ns0:f>
        <ns0:v/>
      </ns0:c>
      <ns0:c r="E2895">
        <ns0:f>IFERROR(IF(ISNUMBER($A2895),IF(AND(AH!$P$10=1,AH!$P$12=1,$A2895=TODAY()),AH!$P$20,IF(AH!$P$10=1,INDEX('Live History'!$H$5:$H$3004,MATCH($A2895,'Live History'!$G$5:$G$3004,1)),INDEX('AH History'!$D$1:$D$18046,AH!$P$7+2890))),NA()),NA())</ns0:f>
        <ns0:v/>
      </ns0:c>
      <ns0:c r="F2895">
        <ns0:f>IFERROR(IF(ISNUMBER($A2895),IF(AND(AH!$P$10=1,AH!$P$12=1,$A2895=TODAY()),IF(AND(AH!$P$10=1,AH!$P$12=1,$A2895=TODAY()),TODAY(),NA()),IF(AH!$P$10=1,INDEX('Live History'!$D$5:$D$3004,MATCH($A2895,'Live History'!$D$5:$D$3004,1)),INDEX('AH History'!$E$1:$E$18046,AH!$P$7+2890))),NA()),NA())</ns0:f>
        <ns0:v/>
      </ns0:c>
      <ns0:c r="G2895">
        <ns0:f>IFERROR(IF(ISNUMBER($A2895),IF(AND(AH!$P$10=1,AH!$P$12=1,$A2895=TODAY()),IF(AND(AH!$P$10=1,AH!$P$12=1,$A2895=TODAY()),TODAY(),NA()),IF(AH!$P$10=1,INDEX('Live History'!$G$5:$G$3004,MATCH($A2895,'Live History'!$G$5:$G$3004,1)),INDEX('AH History'!$F$1:$F$18046,AH!$P$7+2890))),NA()),NA())</ns0:f>
        <ns0:v/>
      </ns0:c>
      <ns0:c r="H2895">
        <ns0:f>IFERROR(IF(AND(AH!$E$4="Bloomberg",AH!$P$10=1,ISNUMBER($A2895),$A2895&lt;=AH!$P$17),AH!$P$7-1+MATCH($A2895,INDEX('AH History'!$A$1:$A$18046,AH!$P$7):INDEX('AH History'!$A$1:$A$18046,AH!$P$7+AH!$P$8-1),0),0),0)</ns0:f>
        <ns0:v/>
      </ns0:c>
      <ns0:c r="I2895">
        <ns0:f>IF($H2895=0,0,IFERROR(IF(AND(ABS($C2895-INDEX('AH History'!$B$1:$B$18046,$H2895))&lt;=MAX(0.005,ABS(INDEX('AH History'!$B$1:$B$18046,$H2895))*0.00005),ABS($D2895-INDEX('AH History'!$C$1:$C$18046,$H2895))&lt;=MAX(0.005,ABS(INDEX('AH History'!$C$1:$C$18046,$H2895))*0.00005),ABS($E2895-INDEX('AH History'!$D$1:$D$18046,$H2895))&lt;=0.00005,$F2895=INDEX('AH History'!$E$1:$E$18046,$H2895),$G2895=INDEX('AH History'!$F$1:$F$18046,$H2895)),1,-1),-1))</ns0:f>
        <ns0:v/>
      </ns0:c>
    </ns0:row>
    <ns0:row r="2896">
      <ns0:c r="A2896" s="215">
        <ns0:f>IF(OR(AH!$P$3=0,2891+1&gt;AH!$P$11,AND(AH!$E$4&lt;&gt;"Stored",AH!$P$10&lt;&gt;1)),"",IFERROR(IF(AND(AH!$P$21=1,2891+1=AH!$P$11),TODAY(),IF(AH!$P$10=1,INDEX('Live History'!$A$5:$A$3004,AH!$P$13+2891),INDEX('AH History'!$A$1:$A$18046,AH!$P$7+2891))),""))</ns0:f>
        <ns0:v/>
      </ns0:c>
      <ns0:c r="B2896" s="219">
        <ns0:f>IFERROR(IF(AND(AH!$P$9&lt;&gt;1,$C2896&gt;0,$D2896&gt;0,$E2896&gt;0,$F2896&gt;0,$G2896&gt;0,$F2896&lt;=$A2896,$G2896&lt;=$A2896,$A2896-$F2896&lt;=10,$A2896-$G2896&lt;=5),$D2896*$E2896/$C2896-1,NA()),NA())</ns0:f>
        <ns0:v/>
      </ns0:c>
      <ns0:c r="C2896">
        <ns0:f>IFERROR(IF(ISNUMBER($A2896),IF(AND(AH!$P$10=1,AH!$P$12=1,$A2896=TODAY()),AH!$P$19,IF(AH!$P$10=1,INDEX('Live History'!$B$5:$B$3004,AH!$P$13+2891),INDEX('AH History'!$B$1:$B$18046,AH!$P$7+2891))),NA()),NA())</ns0:f>
        <ns0:v/>
      </ns0:c>
      <ns0:c r="D2896">
        <ns0:f>IFERROR(IF(ISNUMBER($A2896),IF(AND(AH!$P$10=1,AH!$P$12=1,$A2896=TODAY()),AH!$P$18,IF(AH!$P$10=1,INDEX('Live History'!$E$5:$E$3004,MATCH($A2896,'Live History'!$D$5:$D$3004,1)),INDEX('AH History'!$C$1:$C$18046,AH!$P$7+2891))),NA()),NA())</ns0:f>
        <ns0:v/>
      </ns0:c>
      <ns0:c r="E2896">
        <ns0:f>IFERROR(IF(ISNUMBER($A2896),IF(AND(AH!$P$10=1,AH!$P$12=1,$A2896=TODAY()),AH!$P$20,IF(AH!$P$10=1,INDEX('Live History'!$H$5:$H$3004,MATCH($A2896,'Live History'!$G$5:$G$3004,1)),INDEX('AH History'!$D$1:$D$18046,AH!$P$7+2891))),NA()),NA())</ns0:f>
        <ns0:v/>
      </ns0:c>
      <ns0:c r="F2896">
        <ns0:f>IFERROR(IF(ISNUMBER($A2896),IF(AND(AH!$P$10=1,AH!$P$12=1,$A2896=TODAY()),IF(AND(AH!$P$10=1,AH!$P$12=1,$A2896=TODAY()),TODAY(),NA()),IF(AH!$P$10=1,INDEX('Live History'!$D$5:$D$3004,MATCH($A2896,'Live History'!$D$5:$D$3004,1)),INDEX('AH History'!$E$1:$E$18046,AH!$P$7+2891))),NA()),NA())</ns0:f>
        <ns0:v/>
      </ns0:c>
      <ns0:c r="G2896">
        <ns0:f>IFERROR(IF(ISNUMBER($A2896),IF(AND(AH!$P$10=1,AH!$P$12=1,$A2896=TODAY()),IF(AND(AH!$P$10=1,AH!$P$12=1,$A2896=TODAY()),TODAY(),NA()),IF(AH!$P$10=1,INDEX('Live History'!$G$5:$G$3004,MATCH($A2896,'Live History'!$G$5:$G$3004,1)),INDEX('AH History'!$F$1:$F$18046,AH!$P$7+2891))),NA()),NA())</ns0:f>
        <ns0:v/>
      </ns0:c>
      <ns0:c r="H2896">
        <ns0:f>IFERROR(IF(AND(AH!$E$4="Bloomberg",AH!$P$10=1,ISNUMBER($A2896),$A2896&lt;=AH!$P$17),AH!$P$7-1+MATCH($A2896,INDEX('AH History'!$A$1:$A$18046,AH!$P$7):INDEX('AH History'!$A$1:$A$18046,AH!$P$7+AH!$P$8-1),0),0),0)</ns0:f>
        <ns0:v/>
      </ns0:c>
      <ns0:c r="I2896">
        <ns0:f>IF($H2896=0,0,IFERROR(IF(AND(ABS($C2896-INDEX('AH History'!$B$1:$B$18046,$H2896))&lt;=MAX(0.005,ABS(INDEX('AH History'!$B$1:$B$18046,$H2896))*0.00005),ABS($D2896-INDEX('AH History'!$C$1:$C$18046,$H2896))&lt;=MAX(0.005,ABS(INDEX('AH History'!$C$1:$C$18046,$H2896))*0.00005),ABS($E2896-INDEX('AH History'!$D$1:$D$18046,$H2896))&lt;=0.00005,$F2896=INDEX('AH History'!$E$1:$E$18046,$H2896),$G2896=INDEX('AH History'!$F$1:$F$18046,$H2896)),1,-1),-1))</ns0:f>
        <ns0:v/>
      </ns0:c>
    </ns0:row>
    <ns0:row r="2897">
      <ns0:c r="A2897" s="215">
        <ns0:f>IF(OR(AH!$P$3=0,2892+1&gt;AH!$P$11,AND(AH!$E$4&lt;&gt;"Stored",AH!$P$10&lt;&gt;1)),"",IFERROR(IF(AND(AH!$P$21=1,2892+1=AH!$P$11),TODAY(),IF(AH!$P$10=1,INDEX('Live History'!$A$5:$A$3004,AH!$P$13+2892),INDEX('AH History'!$A$1:$A$18046,AH!$P$7+2892))),""))</ns0:f>
        <ns0:v/>
      </ns0:c>
      <ns0:c r="B2897" s="219">
        <ns0:f>IFERROR(IF(AND(AH!$P$9&lt;&gt;1,$C2897&gt;0,$D2897&gt;0,$E2897&gt;0,$F2897&gt;0,$G2897&gt;0,$F2897&lt;=$A2897,$G2897&lt;=$A2897,$A2897-$F2897&lt;=10,$A2897-$G2897&lt;=5),$D2897*$E2897/$C2897-1,NA()),NA())</ns0:f>
        <ns0:v/>
      </ns0:c>
      <ns0:c r="C2897">
        <ns0:f>IFERROR(IF(ISNUMBER($A2897),IF(AND(AH!$P$10=1,AH!$P$12=1,$A2897=TODAY()),AH!$P$19,IF(AH!$P$10=1,INDEX('Live History'!$B$5:$B$3004,AH!$P$13+2892),INDEX('AH History'!$B$1:$B$18046,AH!$P$7+2892))),NA()),NA())</ns0:f>
        <ns0:v/>
      </ns0:c>
      <ns0:c r="D2897">
        <ns0:f>IFERROR(IF(ISNUMBER($A2897),IF(AND(AH!$P$10=1,AH!$P$12=1,$A2897=TODAY()),AH!$P$18,IF(AH!$P$10=1,INDEX('Live History'!$E$5:$E$3004,MATCH($A2897,'Live History'!$D$5:$D$3004,1)),INDEX('AH History'!$C$1:$C$18046,AH!$P$7+2892))),NA()),NA())</ns0:f>
        <ns0:v/>
      </ns0:c>
      <ns0:c r="E2897">
        <ns0:f>IFERROR(IF(ISNUMBER($A2897),IF(AND(AH!$P$10=1,AH!$P$12=1,$A2897=TODAY()),AH!$P$20,IF(AH!$P$10=1,INDEX('Live History'!$H$5:$H$3004,MATCH($A2897,'Live History'!$G$5:$G$3004,1)),INDEX('AH History'!$D$1:$D$18046,AH!$P$7+2892))),NA()),NA())</ns0:f>
        <ns0:v/>
      </ns0:c>
      <ns0:c r="F2897">
        <ns0:f>IFERROR(IF(ISNUMBER($A2897),IF(AND(AH!$P$10=1,AH!$P$12=1,$A2897=TODAY()),IF(AND(AH!$P$10=1,AH!$P$12=1,$A2897=TODAY()),TODAY(),NA()),IF(AH!$P$10=1,INDEX('Live History'!$D$5:$D$3004,MATCH($A2897,'Live History'!$D$5:$D$3004,1)),INDEX('AH History'!$E$1:$E$18046,AH!$P$7+2892))),NA()),NA())</ns0:f>
        <ns0:v/>
      </ns0:c>
      <ns0:c r="G2897">
        <ns0:f>IFERROR(IF(ISNUMBER($A2897),IF(AND(AH!$P$10=1,AH!$P$12=1,$A2897=TODAY()),IF(AND(AH!$P$10=1,AH!$P$12=1,$A2897=TODAY()),TODAY(),NA()),IF(AH!$P$10=1,INDEX('Live History'!$G$5:$G$3004,MATCH($A2897,'Live History'!$G$5:$G$3004,1)),INDEX('AH History'!$F$1:$F$18046,AH!$P$7+2892))),NA()),NA())</ns0:f>
        <ns0:v/>
      </ns0:c>
      <ns0:c r="H2897">
        <ns0:f>IFERROR(IF(AND(AH!$E$4="Bloomberg",AH!$P$10=1,ISNUMBER($A2897),$A2897&lt;=AH!$P$17),AH!$P$7-1+MATCH($A2897,INDEX('AH History'!$A$1:$A$18046,AH!$P$7):INDEX('AH History'!$A$1:$A$18046,AH!$P$7+AH!$P$8-1),0),0),0)</ns0:f>
        <ns0:v/>
      </ns0:c>
      <ns0:c r="I2897">
        <ns0:f>IF($H2897=0,0,IFERROR(IF(AND(ABS($C2897-INDEX('AH History'!$B$1:$B$18046,$H2897))&lt;=MAX(0.005,ABS(INDEX('AH History'!$B$1:$B$18046,$H2897))*0.00005),ABS($D2897-INDEX('AH History'!$C$1:$C$18046,$H2897))&lt;=MAX(0.005,ABS(INDEX('AH History'!$C$1:$C$18046,$H2897))*0.00005),ABS($E2897-INDEX('AH History'!$D$1:$D$18046,$H2897))&lt;=0.00005,$F2897=INDEX('AH History'!$E$1:$E$18046,$H2897),$G2897=INDEX('AH History'!$F$1:$F$18046,$H2897)),1,-1),-1))</ns0:f>
        <ns0:v/>
      </ns0:c>
    </ns0:row>
    <ns0:row r="2898">
      <ns0:c r="A2898" s="215">
        <ns0:f>IF(OR(AH!$P$3=0,2893+1&gt;AH!$P$11,AND(AH!$E$4&lt;&gt;"Stored",AH!$P$10&lt;&gt;1)),"",IFERROR(IF(AND(AH!$P$21=1,2893+1=AH!$P$11),TODAY(),IF(AH!$P$10=1,INDEX('Live History'!$A$5:$A$3004,AH!$P$13+2893),INDEX('AH History'!$A$1:$A$18046,AH!$P$7+2893))),""))</ns0:f>
        <ns0:v/>
      </ns0:c>
      <ns0:c r="B2898" s="219">
        <ns0:f>IFERROR(IF(AND(AH!$P$9&lt;&gt;1,$C2898&gt;0,$D2898&gt;0,$E2898&gt;0,$F2898&gt;0,$G2898&gt;0,$F2898&lt;=$A2898,$G2898&lt;=$A2898,$A2898-$F2898&lt;=10,$A2898-$G2898&lt;=5),$D2898*$E2898/$C2898-1,NA()),NA())</ns0:f>
        <ns0:v/>
      </ns0:c>
      <ns0:c r="C2898">
        <ns0:f>IFERROR(IF(ISNUMBER($A2898),IF(AND(AH!$P$10=1,AH!$P$12=1,$A2898=TODAY()),AH!$P$19,IF(AH!$P$10=1,INDEX('Live History'!$B$5:$B$3004,AH!$P$13+2893),INDEX('AH History'!$B$1:$B$18046,AH!$P$7+2893))),NA()),NA())</ns0:f>
        <ns0:v/>
      </ns0:c>
      <ns0:c r="D2898">
        <ns0:f>IFERROR(IF(ISNUMBER($A2898),IF(AND(AH!$P$10=1,AH!$P$12=1,$A2898=TODAY()),AH!$P$18,IF(AH!$P$10=1,INDEX('Live History'!$E$5:$E$3004,MATCH($A2898,'Live History'!$D$5:$D$3004,1)),INDEX('AH History'!$C$1:$C$18046,AH!$P$7+2893))),NA()),NA())</ns0:f>
        <ns0:v/>
      </ns0:c>
      <ns0:c r="E2898">
        <ns0:f>IFERROR(IF(ISNUMBER($A2898),IF(AND(AH!$P$10=1,AH!$P$12=1,$A2898=TODAY()),AH!$P$20,IF(AH!$P$10=1,INDEX('Live History'!$H$5:$H$3004,MATCH($A2898,'Live History'!$G$5:$G$3004,1)),INDEX('AH History'!$D$1:$D$18046,AH!$P$7+2893))),NA()),NA())</ns0:f>
        <ns0:v/>
      </ns0:c>
      <ns0:c r="F2898">
        <ns0:f>IFERROR(IF(ISNUMBER($A2898),IF(AND(AH!$P$10=1,AH!$P$12=1,$A2898=TODAY()),IF(AND(AH!$P$10=1,AH!$P$12=1,$A2898=TODAY()),TODAY(),NA()),IF(AH!$P$10=1,INDEX('Live History'!$D$5:$D$3004,MATCH($A2898,'Live History'!$D$5:$D$3004,1)),INDEX('AH History'!$E$1:$E$18046,AH!$P$7+2893))),NA()),NA())</ns0:f>
        <ns0:v/>
      </ns0:c>
      <ns0:c r="G2898">
        <ns0:f>IFERROR(IF(ISNUMBER($A2898),IF(AND(AH!$P$10=1,AH!$P$12=1,$A2898=TODAY()),IF(AND(AH!$P$10=1,AH!$P$12=1,$A2898=TODAY()),TODAY(),NA()),IF(AH!$P$10=1,INDEX('Live History'!$G$5:$G$3004,MATCH($A2898,'Live History'!$G$5:$G$3004,1)),INDEX('AH History'!$F$1:$F$18046,AH!$P$7+2893))),NA()),NA())</ns0:f>
        <ns0:v/>
      </ns0:c>
      <ns0:c r="H2898">
        <ns0:f>IFERROR(IF(AND(AH!$E$4="Bloomberg",AH!$P$10=1,ISNUMBER($A2898),$A2898&lt;=AH!$P$17),AH!$P$7-1+MATCH($A2898,INDEX('AH History'!$A$1:$A$18046,AH!$P$7):INDEX('AH History'!$A$1:$A$18046,AH!$P$7+AH!$P$8-1),0),0),0)</ns0:f>
        <ns0:v/>
      </ns0:c>
      <ns0:c r="I2898">
        <ns0:f>IF($H2898=0,0,IFERROR(IF(AND(ABS($C2898-INDEX('AH History'!$B$1:$B$18046,$H2898))&lt;=MAX(0.005,ABS(INDEX('AH History'!$B$1:$B$18046,$H2898))*0.00005),ABS($D2898-INDEX('AH History'!$C$1:$C$18046,$H2898))&lt;=MAX(0.005,ABS(INDEX('AH History'!$C$1:$C$18046,$H2898))*0.00005),ABS($E2898-INDEX('AH History'!$D$1:$D$18046,$H2898))&lt;=0.00005,$F2898=INDEX('AH History'!$E$1:$E$18046,$H2898),$G2898=INDEX('AH History'!$F$1:$F$18046,$H2898)),1,-1),-1))</ns0:f>
        <ns0:v/>
      </ns0:c>
    </ns0:row>
    <ns0:row r="2899">
      <ns0:c r="A2899" s="215">
        <ns0:f>IF(OR(AH!$P$3=0,2894+1&gt;AH!$P$11,AND(AH!$E$4&lt;&gt;"Stored",AH!$P$10&lt;&gt;1)),"",IFERROR(IF(AND(AH!$P$21=1,2894+1=AH!$P$11),TODAY(),IF(AH!$P$10=1,INDEX('Live History'!$A$5:$A$3004,AH!$P$13+2894),INDEX('AH History'!$A$1:$A$18046,AH!$P$7+2894))),""))</ns0:f>
        <ns0:v/>
      </ns0:c>
      <ns0:c r="B2899" s="219">
        <ns0:f>IFERROR(IF(AND(AH!$P$9&lt;&gt;1,$C2899&gt;0,$D2899&gt;0,$E2899&gt;0,$F2899&gt;0,$G2899&gt;0,$F2899&lt;=$A2899,$G2899&lt;=$A2899,$A2899-$F2899&lt;=10,$A2899-$G2899&lt;=5),$D2899*$E2899/$C2899-1,NA()),NA())</ns0:f>
        <ns0:v/>
      </ns0:c>
      <ns0:c r="C2899">
        <ns0:f>IFERROR(IF(ISNUMBER($A2899),IF(AND(AH!$P$10=1,AH!$P$12=1,$A2899=TODAY()),AH!$P$19,IF(AH!$P$10=1,INDEX('Live History'!$B$5:$B$3004,AH!$P$13+2894),INDEX('AH History'!$B$1:$B$18046,AH!$P$7+2894))),NA()),NA())</ns0:f>
        <ns0:v/>
      </ns0:c>
      <ns0:c r="D2899">
        <ns0:f>IFERROR(IF(ISNUMBER($A2899),IF(AND(AH!$P$10=1,AH!$P$12=1,$A2899=TODAY()),AH!$P$18,IF(AH!$P$10=1,INDEX('Live History'!$E$5:$E$3004,MATCH($A2899,'Live History'!$D$5:$D$3004,1)),INDEX('AH History'!$C$1:$C$18046,AH!$P$7+2894))),NA()),NA())</ns0:f>
        <ns0:v/>
      </ns0:c>
      <ns0:c r="E2899">
        <ns0:f>IFERROR(IF(ISNUMBER($A2899),IF(AND(AH!$P$10=1,AH!$P$12=1,$A2899=TODAY()),AH!$P$20,IF(AH!$P$10=1,INDEX('Live History'!$H$5:$H$3004,MATCH($A2899,'Live History'!$G$5:$G$3004,1)),INDEX('AH History'!$D$1:$D$18046,AH!$P$7+2894))),NA()),NA())</ns0:f>
        <ns0:v/>
      </ns0:c>
      <ns0:c r="F2899">
        <ns0:f>IFERROR(IF(ISNUMBER($A2899),IF(AND(AH!$P$10=1,AH!$P$12=1,$A2899=TODAY()),IF(AND(AH!$P$10=1,AH!$P$12=1,$A2899=TODAY()),TODAY(),NA()),IF(AH!$P$10=1,INDEX('Live History'!$D$5:$D$3004,MATCH($A2899,'Live History'!$D$5:$D$3004,1)),INDEX('AH History'!$E$1:$E$18046,AH!$P$7+2894))),NA()),NA())</ns0:f>
        <ns0:v/>
      </ns0:c>
      <ns0:c r="G2899">
        <ns0:f>IFERROR(IF(ISNUMBER($A2899),IF(AND(AH!$P$10=1,AH!$P$12=1,$A2899=TODAY()),IF(AND(AH!$P$10=1,AH!$P$12=1,$A2899=TODAY()),TODAY(),NA()),IF(AH!$P$10=1,INDEX('Live History'!$G$5:$G$3004,MATCH($A2899,'Live History'!$G$5:$G$3004,1)),INDEX('AH History'!$F$1:$F$18046,AH!$P$7+2894))),NA()),NA())</ns0:f>
        <ns0:v/>
      </ns0:c>
      <ns0:c r="H2899">
        <ns0:f>IFERROR(IF(AND(AH!$E$4="Bloomberg",AH!$P$10=1,ISNUMBER($A2899),$A2899&lt;=AH!$P$17),AH!$P$7-1+MATCH($A2899,INDEX('AH History'!$A$1:$A$18046,AH!$P$7):INDEX('AH History'!$A$1:$A$18046,AH!$P$7+AH!$P$8-1),0),0),0)</ns0:f>
        <ns0:v/>
      </ns0:c>
      <ns0:c r="I2899">
        <ns0:f>IF($H2899=0,0,IFERROR(IF(AND(ABS($C2899-INDEX('AH History'!$B$1:$B$18046,$H2899))&lt;=MAX(0.005,ABS(INDEX('AH History'!$B$1:$B$18046,$H2899))*0.00005),ABS($D2899-INDEX('AH History'!$C$1:$C$18046,$H2899))&lt;=MAX(0.005,ABS(INDEX('AH History'!$C$1:$C$18046,$H2899))*0.00005),ABS($E2899-INDEX('AH History'!$D$1:$D$18046,$H2899))&lt;=0.00005,$F2899=INDEX('AH History'!$E$1:$E$18046,$H2899),$G2899=INDEX('AH History'!$F$1:$F$18046,$H2899)),1,-1),-1))</ns0:f>
        <ns0:v/>
      </ns0:c>
    </ns0:row>
    <ns0:row r="2900">
      <ns0:c r="A2900" s="215">
        <ns0:f>IF(OR(AH!$P$3=0,2895+1&gt;AH!$P$11,AND(AH!$E$4&lt;&gt;"Stored",AH!$P$10&lt;&gt;1)),"",IFERROR(IF(AND(AH!$P$21=1,2895+1=AH!$P$11),TODAY(),IF(AH!$P$10=1,INDEX('Live History'!$A$5:$A$3004,AH!$P$13+2895),INDEX('AH History'!$A$1:$A$18046,AH!$P$7+2895))),""))</ns0:f>
        <ns0:v/>
      </ns0:c>
      <ns0:c r="B2900" s="219">
        <ns0:f>IFERROR(IF(AND(AH!$P$9&lt;&gt;1,$C2900&gt;0,$D2900&gt;0,$E2900&gt;0,$F2900&gt;0,$G2900&gt;0,$F2900&lt;=$A2900,$G2900&lt;=$A2900,$A2900-$F2900&lt;=10,$A2900-$G2900&lt;=5),$D2900*$E2900/$C2900-1,NA()),NA())</ns0:f>
        <ns0:v/>
      </ns0:c>
      <ns0:c r="C2900">
        <ns0:f>IFERROR(IF(ISNUMBER($A2900),IF(AND(AH!$P$10=1,AH!$P$12=1,$A2900=TODAY()),AH!$P$19,IF(AH!$P$10=1,INDEX('Live History'!$B$5:$B$3004,AH!$P$13+2895),INDEX('AH History'!$B$1:$B$18046,AH!$P$7+2895))),NA()),NA())</ns0:f>
        <ns0:v/>
      </ns0:c>
      <ns0:c r="D2900">
        <ns0:f>IFERROR(IF(ISNUMBER($A2900),IF(AND(AH!$P$10=1,AH!$P$12=1,$A2900=TODAY()),AH!$P$18,IF(AH!$P$10=1,INDEX('Live History'!$E$5:$E$3004,MATCH($A2900,'Live History'!$D$5:$D$3004,1)),INDEX('AH History'!$C$1:$C$18046,AH!$P$7+2895))),NA()),NA())</ns0:f>
        <ns0:v/>
      </ns0:c>
      <ns0:c r="E2900">
        <ns0:f>IFERROR(IF(ISNUMBER($A2900),IF(AND(AH!$P$10=1,AH!$P$12=1,$A2900=TODAY()),AH!$P$20,IF(AH!$P$10=1,INDEX('Live History'!$H$5:$H$3004,MATCH($A2900,'Live History'!$G$5:$G$3004,1)),INDEX('AH History'!$D$1:$D$18046,AH!$P$7+2895))),NA()),NA())</ns0:f>
        <ns0:v/>
      </ns0:c>
      <ns0:c r="F2900">
        <ns0:f>IFERROR(IF(ISNUMBER($A2900),IF(AND(AH!$P$10=1,AH!$P$12=1,$A2900=TODAY()),IF(AND(AH!$P$10=1,AH!$P$12=1,$A2900=TODAY()),TODAY(),NA()),IF(AH!$P$10=1,INDEX('Live History'!$D$5:$D$3004,MATCH($A2900,'Live History'!$D$5:$D$3004,1)),INDEX('AH History'!$E$1:$E$18046,AH!$P$7+2895))),NA()),NA())</ns0:f>
        <ns0:v/>
      </ns0:c>
      <ns0:c r="G2900">
        <ns0:f>IFERROR(IF(ISNUMBER($A2900),IF(AND(AH!$P$10=1,AH!$P$12=1,$A2900=TODAY()),IF(AND(AH!$P$10=1,AH!$P$12=1,$A2900=TODAY()),TODAY(),NA()),IF(AH!$P$10=1,INDEX('Live History'!$G$5:$G$3004,MATCH($A2900,'Live History'!$G$5:$G$3004,1)),INDEX('AH History'!$F$1:$F$18046,AH!$P$7+2895))),NA()),NA())</ns0:f>
        <ns0:v/>
      </ns0:c>
      <ns0:c r="H2900">
        <ns0:f>IFERROR(IF(AND(AH!$E$4="Bloomberg",AH!$P$10=1,ISNUMBER($A2900),$A2900&lt;=AH!$P$17),AH!$P$7-1+MATCH($A2900,INDEX('AH History'!$A$1:$A$18046,AH!$P$7):INDEX('AH History'!$A$1:$A$18046,AH!$P$7+AH!$P$8-1),0),0),0)</ns0:f>
        <ns0:v/>
      </ns0:c>
      <ns0:c r="I2900">
        <ns0:f>IF($H2900=0,0,IFERROR(IF(AND(ABS($C2900-INDEX('AH History'!$B$1:$B$18046,$H2900))&lt;=MAX(0.005,ABS(INDEX('AH History'!$B$1:$B$18046,$H2900))*0.00005),ABS($D2900-INDEX('AH History'!$C$1:$C$18046,$H2900))&lt;=MAX(0.005,ABS(INDEX('AH History'!$C$1:$C$18046,$H2900))*0.00005),ABS($E2900-INDEX('AH History'!$D$1:$D$18046,$H2900))&lt;=0.00005,$F2900=INDEX('AH History'!$E$1:$E$18046,$H2900),$G2900=INDEX('AH History'!$F$1:$F$18046,$H2900)),1,-1),-1))</ns0:f>
        <ns0:v/>
      </ns0:c>
    </ns0:row>
    <ns0:row r="2901">
      <ns0:c r="A2901" s="215">
        <ns0:f>IF(OR(AH!$P$3=0,2896+1&gt;AH!$P$11,AND(AH!$E$4&lt;&gt;"Stored",AH!$P$10&lt;&gt;1)),"",IFERROR(IF(AND(AH!$P$21=1,2896+1=AH!$P$11),TODAY(),IF(AH!$P$10=1,INDEX('Live History'!$A$5:$A$3004,AH!$P$13+2896),INDEX('AH History'!$A$1:$A$18046,AH!$P$7+2896))),""))</ns0:f>
        <ns0:v/>
      </ns0:c>
      <ns0:c r="B2901" s="219">
        <ns0:f>IFERROR(IF(AND(AH!$P$9&lt;&gt;1,$C2901&gt;0,$D2901&gt;0,$E2901&gt;0,$F2901&gt;0,$G2901&gt;0,$F2901&lt;=$A2901,$G2901&lt;=$A2901,$A2901-$F2901&lt;=10,$A2901-$G2901&lt;=5),$D2901*$E2901/$C2901-1,NA()),NA())</ns0:f>
        <ns0:v/>
      </ns0:c>
      <ns0:c r="C2901">
        <ns0:f>IFERROR(IF(ISNUMBER($A2901),IF(AND(AH!$P$10=1,AH!$P$12=1,$A2901=TODAY()),AH!$P$19,IF(AH!$P$10=1,INDEX('Live History'!$B$5:$B$3004,AH!$P$13+2896),INDEX('AH History'!$B$1:$B$18046,AH!$P$7+2896))),NA()),NA())</ns0:f>
        <ns0:v/>
      </ns0:c>
      <ns0:c r="D2901">
        <ns0:f>IFERROR(IF(ISNUMBER($A2901),IF(AND(AH!$P$10=1,AH!$P$12=1,$A2901=TODAY()),AH!$P$18,IF(AH!$P$10=1,INDEX('Live History'!$E$5:$E$3004,MATCH($A2901,'Live History'!$D$5:$D$3004,1)),INDEX('AH History'!$C$1:$C$18046,AH!$P$7+2896))),NA()),NA())</ns0:f>
        <ns0:v/>
      </ns0:c>
      <ns0:c r="E2901">
        <ns0:f>IFERROR(IF(ISNUMBER($A2901),IF(AND(AH!$P$10=1,AH!$P$12=1,$A2901=TODAY()),AH!$P$20,IF(AH!$P$10=1,INDEX('Live History'!$H$5:$H$3004,MATCH($A2901,'Live History'!$G$5:$G$3004,1)),INDEX('AH History'!$D$1:$D$18046,AH!$P$7+2896))),NA()),NA())</ns0:f>
        <ns0:v/>
      </ns0:c>
      <ns0:c r="F2901">
        <ns0:f>IFERROR(IF(ISNUMBER($A2901),IF(AND(AH!$P$10=1,AH!$P$12=1,$A2901=TODAY()),IF(AND(AH!$P$10=1,AH!$P$12=1,$A2901=TODAY()),TODAY(),NA()),IF(AH!$P$10=1,INDEX('Live History'!$D$5:$D$3004,MATCH($A2901,'Live History'!$D$5:$D$3004,1)),INDEX('AH History'!$E$1:$E$18046,AH!$P$7+2896))),NA()),NA())</ns0:f>
        <ns0:v/>
      </ns0:c>
      <ns0:c r="G2901">
        <ns0:f>IFERROR(IF(ISNUMBER($A2901),IF(AND(AH!$P$10=1,AH!$P$12=1,$A2901=TODAY()),IF(AND(AH!$P$10=1,AH!$P$12=1,$A2901=TODAY()),TODAY(),NA()),IF(AH!$P$10=1,INDEX('Live History'!$G$5:$G$3004,MATCH($A2901,'Live History'!$G$5:$G$3004,1)),INDEX('AH History'!$F$1:$F$18046,AH!$P$7+2896))),NA()),NA())</ns0:f>
        <ns0:v/>
      </ns0:c>
      <ns0:c r="H2901">
        <ns0:f>IFERROR(IF(AND(AH!$E$4="Bloomberg",AH!$P$10=1,ISNUMBER($A2901),$A2901&lt;=AH!$P$17),AH!$P$7-1+MATCH($A2901,INDEX('AH History'!$A$1:$A$18046,AH!$P$7):INDEX('AH History'!$A$1:$A$18046,AH!$P$7+AH!$P$8-1),0),0),0)</ns0:f>
        <ns0:v/>
      </ns0:c>
      <ns0:c r="I2901">
        <ns0:f>IF($H2901=0,0,IFERROR(IF(AND(ABS($C2901-INDEX('AH History'!$B$1:$B$18046,$H2901))&lt;=MAX(0.005,ABS(INDEX('AH History'!$B$1:$B$18046,$H2901))*0.00005),ABS($D2901-INDEX('AH History'!$C$1:$C$18046,$H2901))&lt;=MAX(0.005,ABS(INDEX('AH History'!$C$1:$C$18046,$H2901))*0.00005),ABS($E2901-INDEX('AH History'!$D$1:$D$18046,$H2901))&lt;=0.00005,$F2901=INDEX('AH History'!$E$1:$E$18046,$H2901),$G2901=INDEX('AH History'!$F$1:$F$18046,$H2901)),1,-1),-1))</ns0:f>
        <ns0:v/>
      </ns0:c>
    </ns0:row>
    <ns0:row r="2902">
      <ns0:c r="A2902" s="215">
        <ns0:f>IF(OR(AH!$P$3=0,2897+1&gt;AH!$P$11,AND(AH!$E$4&lt;&gt;"Stored",AH!$P$10&lt;&gt;1)),"",IFERROR(IF(AND(AH!$P$21=1,2897+1=AH!$P$11),TODAY(),IF(AH!$P$10=1,INDEX('Live History'!$A$5:$A$3004,AH!$P$13+2897),INDEX('AH History'!$A$1:$A$18046,AH!$P$7+2897))),""))</ns0:f>
        <ns0:v/>
      </ns0:c>
      <ns0:c r="B2902" s="219">
        <ns0:f>IFERROR(IF(AND(AH!$P$9&lt;&gt;1,$C2902&gt;0,$D2902&gt;0,$E2902&gt;0,$F2902&gt;0,$G2902&gt;0,$F2902&lt;=$A2902,$G2902&lt;=$A2902,$A2902-$F2902&lt;=10,$A2902-$G2902&lt;=5),$D2902*$E2902/$C2902-1,NA()),NA())</ns0:f>
        <ns0:v/>
      </ns0:c>
      <ns0:c r="C2902">
        <ns0:f>IFERROR(IF(ISNUMBER($A2902),IF(AND(AH!$P$10=1,AH!$P$12=1,$A2902=TODAY()),AH!$P$19,IF(AH!$P$10=1,INDEX('Live History'!$B$5:$B$3004,AH!$P$13+2897),INDEX('AH History'!$B$1:$B$18046,AH!$P$7+2897))),NA()),NA())</ns0:f>
        <ns0:v/>
      </ns0:c>
      <ns0:c r="D2902">
        <ns0:f>IFERROR(IF(ISNUMBER($A2902),IF(AND(AH!$P$10=1,AH!$P$12=1,$A2902=TODAY()),AH!$P$18,IF(AH!$P$10=1,INDEX('Live History'!$E$5:$E$3004,MATCH($A2902,'Live History'!$D$5:$D$3004,1)),INDEX('AH History'!$C$1:$C$18046,AH!$P$7+2897))),NA()),NA())</ns0:f>
        <ns0:v/>
      </ns0:c>
      <ns0:c r="E2902">
        <ns0:f>IFERROR(IF(ISNUMBER($A2902),IF(AND(AH!$P$10=1,AH!$P$12=1,$A2902=TODAY()),AH!$P$20,IF(AH!$P$10=1,INDEX('Live History'!$H$5:$H$3004,MATCH($A2902,'Live History'!$G$5:$G$3004,1)),INDEX('AH History'!$D$1:$D$18046,AH!$P$7+2897))),NA()),NA())</ns0:f>
        <ns0:v/>
      </ns0:c>
      <ns0:c r="F2902">
        <ns0:f>IFERROR(IF(ISNUMBER($A2902),IF(AND(AH!$P$10=1,AH!$P$12=1,$A2902=TODAY()),IF(AND(AH!$P$10=1,AH!$P$12=1,$A2902=TODAY()),TODAY(),NA()),IF(AH!$P$10=1,INDEX('Live History'!$D$5:$D$3004,MATCH($A2902,'Live History'!$D$5:$D$3004,1)),INDEX('AH History'!$E$1:$E$18046,AH!$P$7+2897))),NA()),NA())</ns0:f>
        <ns0:v/>
      </ns0:c>
      <ns0:c r="G2902">
        <ns0:f>IFERROR(IF(ISNUMBER($A2902),IF(AND(AH!$P$10=1,AH!$P$12=1,$A2902=TODAY()),IF(AND(AH!$P$10=1,AH!$P$12=1,$A2902=TODAY()),TODAY(),NA()),IF(AH!$P$10=1,INDEX('Live History'!$G$5:$G$3004,MATCH($A2902,'Live History'!$G$5:$G$3004,1)),INDEX('AH History'!$F$1:$F$18046,AH!$P$7+2897))),NA()),NA())</ns0:f>
        <ns0:v/>
      </ns0:c>
      <ns0:c r="H2902">
        <ns0:f>IFERROR(IF(AND(AH!$E$4="Bloomberg",AH!$P$10=1,ISNUMBER($A2902),$A2902&lt;=AH!$P$17),AH!$P$7-1+MATCH($A2902,INDEX('AH History'!$A$1:$A$18046,AH!$P$7):INDEX('AH History'!$A$1:$A$18046,AH!$P$7+AH!$P$8-1),0),0),0)</ns0:f>
        <ns0:v/>
      </ns0:c>
      <ns0:c r="I2902">
        <ns0:f>IF($H2902=0,0,IFERROR(IF(AND(ABS($C2902-INDEX('AH History'!$B$1:$B$18046,$H2902))&lt;=MAX(0.005,ABS(INDEX('AH History'!$B$1:$B$18046,$H2902))*0.00005),ABS($D2902-INDEX('AH History'!$C$1:$C$18046,$H2902))&lt;=MAX(0.005,ABS(INDEX('AH History'!$C$1:$C$18046,$H2902))*0.00005),ABS($E2902-INDEX('AH History'!$D$1:$D$18046,$H2902))&lt;=0.00005,$F2902=INDEX('AH History'!$E$1:$E$18046,$H2902),$G2902=INDEX('AH History'!$F$1:$F$18046,$H2902)),1,-1),-1))</ns0:f>
        <ns0:v/>
      </ns0:c>
    </ns0:row>
    <ns0:row r="2903">
      <ns0:c r="A2903" s="215">
        <ns0:f>IF(OR(AH!$P$3=0,2898+1&gt;AH!$P$11,AND(AH!$E$4&lt;&gt;"Stored",AH!$P$10&lt;&gt;1)),"",IFERROR(IF(AND(AH!$P$21=1,2898+1=AH!$P$11),TODAY(),IF(AH!$P$10=1,INDEX('Live History'!$A$5:$A$3004,AH!$P$13+2898),INDEX('AH History'!$A$1:$A$18046,AH!$P$7+2898))),""))</ns0:f>
        <ns0:v/>
      </ns0:c>
      <ns0:c r="B2903" s="219">
        <ns0:f>IFERROR(IF(AND(AH!$P$9&lt;&gt;1,$C2903&gt;0,$D2903&gt;0,$E2903&gt;0,$F2903&gt;0,$G2903&gt;0,$F2903&lt;=$A2903,$G2903&lt;=$A2903,$A2903-$F2903&lt;=10,$A2903-$G2903&lt;=5),$D2903*$E2903/$C2903-1,NA()),NA())</ns0:f>
        <ns0:v/>
      </ns0:c>
      <ns0:c r="C2903">
        <ns0:f>IFERROR(IF(ISNUMBER($A2903),IF(AND(AH!$P$10=1,AH!$P$12=1,$A2903=TODAY()),AH!$P$19,IF(AH!$P$10=1,INDEX('Live History'!$B$5:$B$3004,AH!$P$13+2898),INDEX('AH History'!$B$1:$B$18046,AH!$P$7+2898))),NA()),NA())</ns0:f>
        <ns0:v/>
      </ns0:c>
      <ns0:c r="D2903">
        <ns0:f>IFERROR(IF(ISNUMBER($A2903),IF(AND(AH!$P$10=1,AH!$P$12=1,$A2903=TODAY()),AH!$P$18,IF(AH!$P$10=1,INDEX('Live History'!$E$5:$E$3004,MATCH($A2903,'Live History'!$D$5:$D$3004,1)),INDEX('AH History'!$C$1:$C$18046,AH!$P$7+2898))),NA()),NA())</ns0:f>
        <ns0:v/>
      </ns0:c>
      <ns0:c r="E2903">
        <ns0:f>IFERROR(IF(ISNUMBER($A2903),IF(AND(AH!$P$10=1,AH!$P$12=1,$A2903=TODAY()),AH!$P$20,IF(AH!$P$10=1,INDEX('Live History'!$H$5:$H$3004,MATCH($A2903,'Live History'!$G$5:$G$3004,1)),INDEX('AH History'!$D$1:$D$18046,AH!$P$7+2898))),NA()),NA())</ns0:f>
        <ns0:v/>
      </ns0:c>
      <ns0:c r="F2903">
        <ns0:f>IFERROR(IF(ISNUMBER($A2903),IF(AND(AH!$P$10=1,AH!$P$12=1,$A2903=TODAY()),IF(AND(AH!$P$10=1,AH!$P$12=1,$A2903=TODAY()),TODAY(),NA()),IF(AH!$P$10=1,INDEX('Live History'!$D$5:$D$3004,MATCH($A2903,'Live History'!$D$5:$D$3004,1)),INDEX('AH History'!$E$1:$E$18046,AH!$P$7+2898))),NA()),NA())</ns0:f>
        <ns0:v/>
      </ns0:c>
      <ns0:c r="G2903">
        <ns0:f>IFERROR(IF(ISNUMBER($A2903),IF(AND(AH!$P$10=1,AH!$P$12=1,$A2903=TODAY()),IF(AND(AH!$P$10=1,AH!$P$12=1,$A2903=TODAY()),TODAY(),NA()),IF(AH!$P$10=1,INDEX('Live History'!$G$5:$G$3004,MATCH($A2903,'Live History'!$G$5:$G$3004,1)),INDEX('AH History'!$F$1:$F$18046,AH!$P$7+2898))),NA()),NA())</ns0:f>
        <ns0:v/>
      </ns0:c>
      <ns0:c r="H2903">
        <ns0:f>IFERROR(IF(AND(AH!$E$4="Bloomberg",AH!$P$10=1,ISNUMBER($A2903),$A2903&lt;=AH!$P$17),AH!$P$7-1+MATCH($A2903,INDEX('AH History'!$A$1:$A$18046,AH!$P$7):INDEX('AH History'!$A$1:$A$18046,AH!$P$7+AH!$P$8-1),0),0),0)</ns0:f>
        <ns0:v/>
      </ns0:c>
      <ns0:c r="I2903">
        <ns0:f>IF($H2903=0,0,IFERROR(IF(AND(ABS($C2903-INDEX('AH History'!$B$1:$B$18046,$H2903))&lt;=MAX(0.005,ABS(INDEX('AH History'!$B$1:$B$18046,$H2903))*0.00005),ABS($D2903-INDEX('AH History'!$C$1:$C$18046,$H2903))&lt;=MAX(0.005,ABS(INDEX('AH History'!$C$1:$C$18046,$H2903))*0.00005),ABS($E2903-INDEX('AH History'!$D$1:$D$18046,$H2903))&lt;=0.00005,$F2903=INDEX('AH History'!$E$1:$E$18046,$H2903),$G2903=INDEX('AH History'!$F$1:$F$18046,$H2903)),1,-1),-1))</ns0:f>
        <ns0:v/>
      </ns0:c>
    </ns0:row>
    <ns0:row r="2904">
      <ns0:c r="A2904" s="215">
        <ns0:f>IF(OR(AH!$P$3=0,2899+1&gt;AH!$P$11,AND(AH!$E$4&lt;&gt;"Stored",AH!$P$10&lt;&gt;1)),"",IFERROR(IF(AND(AH!$P$21=1,2899+1=AH!$P$11),TODAY(),IF(AH!$P$10=1,INDEX('Live History'!$A$5:$A$3004,AH!$P$13+2899),INDEX('AH History'!$A$1:$A$18046,AH!$P$7+2899))),""))</ns0:f>
        <ns0:v/>
      </ns0:c>
      <ns0:c r="B2904" s="219">
        <ns0:f>IFERROR(IF(AND(AH!$P$9&lt;&gt;1,$C2904&gt;0,$D2904&gt;0,$E2904&gt;0,$F2904&gt;0,$G2904&gt;0,$F2904&lt;=$A2904,$G2904&lt;=$A2904,$A2904-$F2904&lt;=10,$A2904-$G2904&lt;=5),$D2904*$E2904/$C2904-1,NA()),NA())</ns0:f>
        <ns0:v/>
      </ns0:c>
      <ns0:c r="C2904">
        <ns0:f>IFERROR(IF(ISNUMBER($A2904),IF(AND(AH!$P$10=1,AH!$P$12=1,$A2904=TODAY()),AH!$P$19,IF(AH!$P$10=1,INDEX('Live History'!$B$5:$B$3004,AH!$P$13+2899),INDEX('AH History'!$B$1:$B$18046,AH!$P$7+2899))),NA()),NA())</ns0:f>
        <ns0:v/>
      </ns0:c>
      <ns0:c r="D2904">
        <ns0:f>IFERROR(IF(ISNUMBER($A2904),IF(AND(AH!$P$10=1,AH!$P$12=1,$A2904=TODAY()),AH!$P$18,IF(AH!$P$10=1,INDEX('Live History'!$E$5:$E$3004,MATCH($A2904,'Live History'!$D$5:$D$3004,1)),INDEX('AH History'!$C$1:$C$18046,AH!$P$7+2899))),NA()),NA())</ns0:f>
        <ns0:v/>
      </ns0:c>
      <ns0:c r="E2904">
        <ns0:f>IFERROR(IF(ISNUMBER($A2904),IF(AND(AH!$P$10=1,AH!$P$12=1,$A2904=TODAY()),AH!$P$20,IF(AH!$P$10=1,INDEX('Live History'!$H$5:$H$3004,MATCH($A2904,'Live History'!$G$5:$G$3004,1)),INDEX('AH History'!$D$1:$D$18046,AH!$P$7+2899))),NA()),NA())</ns0:f>
        <ns0:v/>
      </ns0:c>
      <ns0:c r="F2904">
        <ns0:f>IFERROR(IF(ISNUMBER($A2904),IF(AND(AH!$P$10=1,AH!$P$12=1,$A2904=TODAY()),IF(AND(AH!$P$10=1,AH!$P$12=1,$A2904=TODAY()),TODAY(),NA()),IF(AH!$P$10=1,INDEX('Live History'!$D$5:$D$3004,MATCH($A2904,'Live History'!$D$5:$D$3004,1)),INDEX('AH History'!$E$1:$E$18046,AH!$P$7+2899))),NA()),NA())</ns0:f>
        <ns0:v/>
      </ns0:c>
      <ns0:c r="G2904">
        <ns0:f>IFERROR(IF(ISNUMBER($A2904),IF(AND(AH!$P$10=1,AH!$P$12=1,$A2904=TODAY()),IF(AND(AH!$P$10=1,AH!$P$12=1,$A2904=TODAY()),TODAY(),NA()),IF(AH!$P$10=1,INDEX('Live History'!$G$5:$G$3004,MATCH($A2904,'Live History'!$G$5:$G$3004,1)),INDEX('AH History'!$F$1:$F$18046,AH!$P$7+2899))),NA()),NA())</ns0:f>
        <ns0:v/>
      </ns0:c>
      <ns0:c r="H2904">
        <ns0:f>IFERROR(IF(AND(AH!$E$4="Bloomberg",AH!$P$10=1,ISNUMBER($A2904),$A2904&lt;=AH!$P$17),AH!$P$7-1+MATCH($A2904,INDEX('AH History'!$A$1:$A$18046,AH!$P$7):INDEX('AH History'!$A$1:$A$18046,AH!$P$7+AH!$P$8-1),0),0),0)</ns0:f>
        <ns0:v/>
      </ns0:c>
      <ns0:c r="I2904">
        <ns0:f>IF($H2904=0,0,IFERROR(IF(AND(ABS($C2904-INDEX('AH History'!$B$1:$B$18046,$H2904))&lt;=MAX(0.005,ABS(INDEX('AH History'!$B$1:$B$18046,$H2904))*0.00005),ABS($D2904-INDEX('AH History'!$C$1:$C$18046,$H2904))&lt;=MAX(0.005,ABS(INDEX('AH History'!$C$1:$C$18046,$H2904))*0.00005),ABS($E2904-INDEX('AH History'!$D$1:$D$18046,$H2904))&lt;=0.00005,$F2904=INDEX('AH History'!$E$1:$E$18046,$H2904),$G2904=INDEX('AH History'!$F$1:$F$18046,$H2904)),1,-1),-1))</ns0:f>
        <ns0:v/>
      </ns0:c>
    </ns0:row>
    <ns0:row r="2905">
      <ns0:c r="A2905" s="215">
        <ns0:f>IF(OR(AH!$P$3=0,2900+1&gt;AH!$P$11,AND(AH!$E$4&lt;&gt;"Stored",AH!$P$10&lt;&gt;1)),"",IFERROR(IF(AND(AH!$P$21=1,2900+1=AH!$P$11),TODAY(),IF(AH!$P$10=1,INDEX('Live History'!$A$5:$A$3004,AH!$P$13+2900),INDEX('AH History'!$A$1:$A$18046,AH!$P$7+2900))),""))</ns0:f>
        <ns0:v/>
      </ns0:c>
      <ns0:c r="B2905" s="219">
        <ns0:f>IFERROR(IF(AND(AH!$P$9&lt;&gt;1,$C2905&gt;0,$D2905&gt;0,$E2905&gt;0,$F2905&gt;0,$G2905&gt;0,$F2905&lt;=$A2905,$G2905&lt;=$A2905,$A2905-$F2905&lt;=10,$A2905-$G2905&lt;=5),$D2905*$E2905/$C2905-1,NA()),NA())</ns0:f>
        <ns0:v/>
      </ns0:c>
      <ns0:c r="C2905">
        <ns0:f>IFERROR(IF(ISNUMBER($A2905),IF(AND(AH!$P$10=1,AH!$P$12=1,$A2905=TODAY()),AH!$P$19,IF(AH!$P$10=1,INDEX('Live History'!$B$5:$B$3004,AH!$P$13+2900),INDEX('AH History'!$B$1:$B$18046,AH!$P$7+2900))),NA()),NA())</ns0:f>
        <ns0:v/>
      </ns0:c>
      <ns0:c r="D2905">
        <ns0:f>IFERROR(IF(ISNUMBER($A2905),IF(AND(AH!$P$10=1,AH!$P$12=1,$A2905=TODAY()),AH!$P$18,IF(AH!$P$10=1,INDEX('Live History'!$E$5:$E$3004,MATCH($A2905,'Live History'!$D$5:$D$3004,1)),INDEX('AH History'!$C$1:$C$18046,AH!$P$7+2900))),NA()),NA())</ns0:f>
        <ns0:v/>
      </ns0:c>
      <ns0:c r="E2905">
        <ns0:f>IFERROR(IF(ISNUMBER($A2905),IF(AND(AH!$P$10=1,AH!$P$12=1,$A2905=TODAY()),AH!$P$20,IF(AH!$P$10=1,INDEX('Live History'!$H$5:$H$3004,MATCH($A2905,'Live History'!$G$5:$G$3004,1)),INDEX('AH History'!$D$1:$D$18046,AH!$P$7+2900))),NA()),NA())</ns0:f>
        <ns0:v/>
      </ns0:c>
      <ns0:c r="F2905">
        <ns0:f>IFERROR(IF(ISNUMBER($A2905),IF(AND(AH!$P$10=1,AH!$P$12=1,$A2905=TODAY()),IF(AND(AH!$P$10=1,AH!$P$12=1,$A2905=TODAY()),TODAY(),NA()),IF(AH!$P$10=1,INDEX('Live History'!$D$5:$D$3004,MATCH($A2905,'Live History'!$D$5:$D$3004,1)),INDEX('AH History'!$E$1:$E$18046,AH!$P$7+2900))),NA()),NA())</ns0:f>
        <ns0:v/>
      </ns0:c>
      <ns0:c r="G2905">
        <ns0:f>IFERROR(IF(ISNUMBER($A2905),IF(AND(AH!$P$10=1,AH!$P$12=1,$A2905=TODAY()),IF(AND(AH!$P$10=1,AH!$P$12=1,$A2905=TODAY()),TODAY(),NA()),IF(AH!$P$10=1,INDEX('Live History'!$G$5:$G$3004,MATCH($A2905,'Live History'!$G$5:$G$3004,1)),INDEX('AH History'!$F$1:$F$18046,AH!$P$7+2900))),NA()),NA())</ns0:f>
        <ns0:v/>
      </ns0:c>
      <ns0:c r="H2905">
        <ns0:f>IFERROR(IF(AND(AH!$E$4="Bloomberg",AH!$P$10=1,ISNUMBER($A2905),$A2905&lt;=AH!$P$17),AH!$P$7-1+MATCH($A2905,INDEX('AH History'!$A$1:$A$18046,AH!$P$7):INDEX('AH History'!$A$1:$A$18046,AH!$P$7+AH!$P$8-1),0),0),0)</ns0:f>
        <ns0:v/>
      </ns0:c>
      <ns0:c r="I2905">
        <ns0:f>IF($H2905=0,0,IFERROR(IF(AND(ABS($C2905-INDEX('AH History'!$B$1:$B$18046,$H2905))&lt;=MAX(0.005,ABS(INDEX('AH History'!$B$1:$B$18046,$H2905))*0.00005),ABS($D2905-INDEX('AH History'!$C$1:$C$18046,$H2905))&lt;=MAX(0.005,ABS(INDEX('AH History'!$C$1:$C$18046,$H2905))*0.00005),ABS($E2905-INDEX('AH History'!$D$1:$D$18046,$H2905))&lt;=0.00005,$F2905=INDEX('AH History'!$E$1:$E$18046,$H2905),$G2905=INDEX('AH History'!$F$1:$F$18046,$H2905)),1,-1),-1))</ns0:f>
        <ns0:v/>
      </ns0:c>
    </ns0:row>
    <ns0:row r="2906">
      <ns0:c r="A2906" s="215">
        <ns0:f>IF(OR(AH!$P$3=0,2901+1&gt;AH!$P$11,AND(AH!$E$4&lt;&gt;"Stored",AH!$P$10&lt;&gt;1)),"",IFERROR(IF(AND(AH!$P$21=1,2901+1=AH!$P$11),TODAY(),IF(AH!$P$10=1,INDEX('Live History'!$A$5:$A$3004,AH!$P$13+2901),INDEX('AH History'!$A$1:$A$18046,AH!$P$7+2901))),""))</ns0:f>
        <ns0:v/>
      </ns0:c>
      <ns0:c r="B2906" s="219">
        <ns0:f>IFERROR(IF(AND(AH!$P$9&lt;&gt;1,$C2906&gt;0,$D2906&gt;0,$E2906&gt;0,$F2906&gt;0,$G2906&gt;0,$F2906&lt;=$A2906,$G2906&lt;=$A2906,$A2906-$F2906&lt;=10,$A2906-$G2906&lt;=5),$D2906*$E2906/$C2906-1,NA()),NA())</ns0:f>
        <ns0:v/>
      </ns0:c>
      <ns0:c r="C2906">
        <ns0:f>IFERROR(IF(ISNUMBER($A2906),IF(AND(AH!$P$10=1,AH!$P$12=1,$A2906=TODAY()),AH!$P$19,IF(AH!$P$10=1,INDEX('Live History'!$B$5:$B$3004,AH!$P$13+2901),INDEX('AH History'!$B$1:$B$18046,AH!$P$7+2901))),NA()),NA())</ns0:f>
        <ns0:v/>
      </ns0:c>
      <ns0:c r="D2906">
        <ns0:f>IFERROR(IF(ISNUMBER($A2906),IF(AND(AH!$P$10=1,AH!$P$12=1,$A2906=TODAY()),AH!$P$18,IF(AH!$P$10=1,INDEX('Live History'!$E$5:$E$3004,MATCH($A2906,'Live History'!$D$5:$D$3004,1)),INDEX('AH History'!$C$1:$C$18046,AH!$P$7+2901))),NA()),NA())</ns0:f>
        <ns0:v/>
      </ns0:c>
      <ns0:c r="E2906">
        <ns0:f>IFERROR(IF(ISNUMBER($A2906),IF(AND(AH!$P$10=1,AH!$P$12=1,$A2906=TODAY()),AH!$P$20,IF(AH!$P$10=1,INDEX('Live History'!$H$5:$H$3004,MATCH($A2906,'Live History'!$G$5:$G$3004,1)),INDEX('AH History'!$D$1:$D$18046,AH!$P$7+2901))),NA()),NA())</ns0:f>
        <ns0:v/>
      </ns0:c>
      <ns0:c r="F2906">
        <ns0:f>IFERROR(IF(ISNUMBER($A2906),IF(AND(AH!$P$10=1,AH!$P$12=1,$A2906=TODAY()),IF(AND(AH!$P$10=1,AH!$P$12=1,$A2906=TODAY()),TODAY(),NA()),IF(AH!$P$10=1,INDEX('Live History'!$D$5:$D$3004,MATCH($A2906,'Live History'!$D$5:$D$3004,1)),INDEX('AH History'!$E$1:$E$18046,AH!$P$7+2901))),NA()),NA())</ns0:f>
        <ns0:v/>
      </ns0:c>
      <ns0:c r="G2906">
        <ns0:f>IFERROR(IF(ISNUMBER($A2906),IF(AND(AH!$P$10=1,AH!$P$12=1,$A2906=TODAY()),IF(AND(AH!$P$10=1,AH!$P$12=1,$A2906=TODAY()),TODAY(),NA()),IF(AH!$P$10=1,INDEX('Live History'!$G$5:$G$3004,MATCH($A2906,'Live History'!$G$5:$G$3004,1)),INDEX('AH History'!$F$1:$F$18046,AH!$P$7+2901))),NA()),NA())</ns0:f>
        <ns0:v/>
      </ns0:c>
      <ns0:c r="H2906">
        <ns0:f>IFERROR(IF(AND(AH!$E$4="Bloomberg",AH!$P$10=1,ISNUMBER($A2906),$A2906&lt;=AH!$P$17),AH!$P$7-1+MATCH($A2906,INDEX('AH History'!$A$1:$A$18046,AH!$P$7):INDEX('AH History'!$A$1:$A$18046,AH!$P$7+AH!$P$8-1),0),0),0)</ns0:f>
        <ns0:v/>
      </ns0:c>
      <ns0:c r="I2906">
        <ns0:f>IF($H2906=0,0,IFERROR(IF(AND(ABS($C2906-INDEX('AH History'!$B$1:$B$18046,$H2906))&lt;=MAX(0.005,ABS(INDEX('AH History'!$B$1:$B$18046,$H2906))*0.00005),ABS($D2906-INDEX('AH History'!$C$1:$C$18046,$H2906))&lt;=MAX(0.005,ABS(INDEX('AH History'!$C$1:$C$18046,$H2906))*0.00005),ABS($E2906-INDEX('AH History'!$D$1:$D$18046,$H2906))&lt;=0.00005,$F2906=INDEX('AH History'!$E$1:$E$18046,$H2906),$G2906=INDEX('AH History'!$F$1:$F$18046,$H2906)),1,-1),-1))</ns0:f>
        <ns0:v/>
      </ns0:c>
    </ns0:row>
    <ns0:row r="2907">
      <ns0:c r="A2907" s="215">
        <ns0:f>IF(OR(AH!$P$3=0,2902+1&gt;AH!$P$11,AND(AH!$E$4&lt;&gt;"Stored",AH!$P$10&lt;&gt;1)),"",IFERROR(IF(AND(AH!$P$21=1,2902+1=AH!$P$11),TODAY(),IF(AH!$P$10=1,INDEX('Live History'!$A$5:$A$3004,AH!$P$13+2902),INDEX('AH History'!$A$1:$A$18046,AH!$P$7+2902))),""))</ns0:f>
        <ns0:v/>
      </ns0:c>
      <ns0:c r="B2907" s="219">
        <ns0:f>IFERROR(IF(AND(AH!$P$9&lt;&gt;1,$C2907&gt;0,$D2907&gt;0,$E2907&gt;0,$F2907&gt;0,$G2907&gt;0,$F2907&lt;=$A2907,$G2907&lt;=$A2907,$A2907-$F2907&lt;=10,$A2907-$G2907&lt;=5),$D2907*$E2907/$C2907-1,NA()),NA())</ns0:f>
        <ns0:v/>
      </ns0:c>
      <ns0:c r="C2907">
        <ns0:f>IFERROR(IF(ISNUMBER($A2907),IF(AND(AH!$P$10=1,AH!$P$12=1,$A2907=TODAY()),AH!$P$19,IF(AH!$P$10=1,INDEX('Live History'!$B$5:$B$3004,AH!$P$13+2902),INDEX('AH History'!$B$1:$B$18046,AH!$P$7+2902))),NA()),NA())</ns0:f>
        <ns0:v/>
      </ns0:c>
      <ns0:c r="D2907">
        <ns0:f>IFERROR(IF(ISNUMBER($A2907),IF(AND(AH!$P$10=1,AH!$P$12=1,$A2907=TODAY()),AH!$P$18,IF(AH!$P$10=1,INDEX('Live History'!$E$5:$E$3004,MATCH($A2907,'Live History'!$D$5:$D$3004,1)),INDEX('AH History'!$C$1:$C$18046,AH!$P$7+2902))),NA()),NA())</ns0:f>
        <ns0:v/>
      </ns0:c>
      <ns0:c r="E2907">
        <ns0:f>IFERROR(IF(ISNUMBER($A2907),IF(AND(AH!$P$10=1,AH!$P$12=1,$A2907=TODAY()),AH!$P$20,IF(AH!$P$10=1,INDEX('Live History'!$H$5:$H$3004,MATCH($A2907,'Live History'!$G$5:$G$3004,1)),INDEX('AH History'!$D$1:$D$18046,AH!$P$7+2902))),NA()),NA())</ns0:f>
        <ns0:v/>
      </ns0:c>
      <ns0:c r="F2907">
        <ns0:f>IFERROR(IF(ISNUMBER($A2907),IF(AND(AH!$P$10=1,AH!$P$12=1,$A2907=TODAY()),IF(AND(AH!$P$10=1,AH!$P$12=1,$A2907=TODAY()),TODAY(),NA()),IF(AH!$P$10=1,INDEX('Live History'!$D$5:$D$3004,MATCH($A2907,'Live History'!$D$5:$D$3004,1)),INDEX('AH History'!$E$1:$E$18046,AH!$P$7+2902))),NA()),NA())</ns0:f>
        <ns0:v/>
      </ns0:c>
      <ns0:c r="G2907">
        <ns0:f>IFERROR(IF(ISNUMBER($A2907),IF(AND(AH!$P$10=1,AH!$P$12=1,$A2907=TODAY()),IF(AND(AH!$P$10=1,AH!$P$12=1,$A2907=TODAY()),TODAY(),NA()),IF(AH!$P$10=1,INDEX('Live History'!$G$5:$G$3004,MATCH($A2907,'Live History'!$G$5:$G$3004,1)),INDEX('AH History'!$F$1:$F$18046,AH!$P$7+2902))),NA()),NA())</ns0:f>
        <ns0:v/>
      </ns0:c>
      <ns0:c r="H2907">
        <ns0:f>IFERROR(IF(AND(AH!$E$4="Bloomberg",AH!$P$10=1,ISNUMBER($A2907),$A2907&lt;=AH!$P$17),AH!$P$7-1+MATCH($A2907,INDEX('AH History'!$A$1:$A$18046,AH!$P$7):INDEX('AH History'!$A$1:$A$18046,AH!$P$7+AH!$P$8-1),0),0),0)</ns0:f>
        <ns0:v/>
      </ns0:c>
      <ns0:c r="I2907">
        <ns0:f>IF($H2907=0,0,IFERROR(IF(AND(ABS($C2907-INDEX('AH History'!$B$1:$B$18046,$H2907))&lt;=MAX(0.005,ABS(INDEX('AH History'!$B$1:$B$18046,$H2907))*0.00005),ABS($D2907-INDEX('AH History'!$C$1:$C$18046,$H2907))&lt;=MAX(0.005,ABS(INDEX('AH History'!$C$1:$C$18046,$H2907))*0.00005),ABS($E2907-INDEX('AH History'!$D$1:$D$18046,$H2907))&lt;=0.00005,$F2907=INDEX('AH History'!$E$1:$E$18046,$H2907),$G2907=INDEX('AH History'!$F$1:$F$18046,$H2907)),1,-1),-1))</ns0:f>
        <ns0:v/>
      </ns0:c>
    </ns0:row>
    <ns0:row r="2908">
      <ns0:c r="A2908" s="215">
        <ns0:f>IF(OR(AH!$P$3=0,2903+1&gt;AH!$P$11,AND(AH!$E$4&lt;&gt;"Stored",AH!$P$10&lt;&gt;1)),"",IFERROR(IF(AND(AH!$P$21=1,2903+1=AH!$P$11),TODAY(),IF(AH!$P$10=1,INDEX('Live History'!$A$5:$A$3004,AH!$P$13+2903),INDEX('AH History'!$A$1:$A$18046,AH!$P$7+2903))),""))</ns0:f>
        <ns0:v/>
      </ns0:c>
      <ns0:c r="B2908" s="219">
        <ns0:f>IFERROR(IF(AND(AH!$P$9&lt;&gt;1,$C2908&gt;0,$D2908&gt;0,$E2908&gt;0,$F2908&gt;0,$G2908&gt;0,$F2908&lt;=$A2908,$G2908&lt;=$A2908,$A2908-$F2908&lt;=10,$A2908-$G2908&lt;=5),$D2908*$E2908/$C2908-1,NA()),NA())</ns0:f>
        <ns0:v/>
      </ns0:c>
      <ns0:c r="C2908">
        <ns0:f>IFERROR(IF(ISNUMBER($A2908),IF(AND(AH!$P$10=1,AH!$P$12=1,$A2908=TODAY()),AH!$P$19,IF(AH!$P$10=1,INDEX('Live History'!$B$5:$B$3004,AH!$P$13+2903),INDEX('AH History'!$B$1:$B$18046,AH!$P$7+2903))),NA()),NA())</ns0:f>
        <ns0:v/>
      </ns0:c>
      <ns0:c r="D2908">
        <ns0:f>IFERROR(IF(ISNUMBER($A2908),IF(AND(AH!$P$10=1,AH!$P$12=1,$A2908=TODAY()),AH!$P$18,IF(AH!$P$10=1,INDEX('Live History'!$E$5:$E$3004,MATCH($A2908,'Live History'!$D$5:$D$3004,1)),INDEX('AH History'!$C$1:$C$18046,AH!$P$7+2903))),NA()),NA())</ns0:f>
        <ns0:v/>
      </ns0:c>
      <ns0:c r="E2908">
        <ns0:f>IFERROR(IF(ISNUMBER($A2908),IF(AND(AH!$P$10=1,AH!$P$12=1,$A2908=TODAY()),AH!$P$20,IF(AH!$P$10=1,INDEX('Live History'!$H$5:$H$3004,MATCH($A2908,'Live History'!$G$5:$G$3004,1)),INDEX('AH History'!$D$1:$D$18046,AH!$P$7+2903))),NA()),NA())</ns0:f>
        <ns0:v/>
      </ns0:c>
      <ns0:c r="F2908">
        <ns0:f>IFERROR(IF(ISNUMBER($A2908),IF(AND(AH!$P$10=1,AH!$P$12=1,$A2908=TODAY()),IF(AND(AH!$P$10=1,AH!$P$12=1,$A2908=TODAY()),TODAY(),NA()),IF(AH!$P$10=1,INDEX('Live History'!$D$5:$D$3004,MATCH($A2908,'Live History'!$D$5:$D$3004,1)),INDEX('AH History'!$E$1:$E$18046,AH!$P$7+2903))),NA()),NA())</ns0:f>
        <ns0:v/>
      </ns0:c>
      <ns0:c r="G2908">
        <ns0:f>IFERROR(IF(ISNUMBER($A2908),IF(AND(AH!$P$10=1,AH!$P$12=1,$A2908=TODAY()),IF(AND(AH!$P$10=1,AH!$P$12=1,$A2908=TODAY()),TODAY(),NA()),IF(AH!$P$10=1,INDEX('Live History'!$G$5:$G$3004,MATCH($A2908,'Live History'!$G$5:$G$3004,1)),INDEX('AH History'!$F$1:$F$18046,AH!$P$7+2903))),NA()),NA())</ns0:f>
        <ns0:v/>
      </ns0:c>
      <ns0:c r="H2908">
        <ns0:f>IFERROR(IF(AND(AH!$E$4="Bloomberg",AH!$P$10=1,ISNUMBER($A2908),$A2908&lt;=AH!$P$17),AH!$P$7-1+MATCH($A2908,INDEX('AH History'!$A$1:$A$18046,AH!$P$7):INDEX('AH History'!$A$1:$A$18046,AH!$P$7+AH!$P$8-1),0),0),0)</ns0:f>
        <ns0:v/>
      </ns0:c>
      <ns0:c r="I2908">
        <ns0:f>IF($H2908=0,0,IFERROR(IF(AND(ABS($C2908-INDEX('AH History'!$B$1:$B$18046,$H2908))&lt;=MAX(0.005,ABS(INDEX('AH History'!$B$1:$B$18046,$H2908))*0.00005),ABS($D2908-INDEX('AH History'!$C$1:$C$18046,$H2908))&lt;=MAX(0.005,ABS(INDEX('AH History'!$C$1:$C$18046,$H2908))*0.00005),ABS($E2908-INDEX('AH History'!$D$1:$D$18046,$H2908))&lt;=0.00005,$F2908=INDEX('AH History'!$E$1:$E$18046,$H2908),$G2908=INDEX('AH History'!$F$1:$F$18046,$H2908)),1,-1),-1))</ns0:f>
        <ns0:v/>
      </ns0:c>
    </ns0:row>
    <ns0:row r="2909">
      <ns0:c r="A2909" s="215">
        <ns0:f>IF(OR(AH!$P$3=0,2904+1&gt;AH!$P$11,AND(AH!$E$4&lt;&gt;"Stored",AH!$P$10&lt;&gt;1)),"",IFERROR(IF(AND(AH!$P$21=1,2904+1=AH!$P$11),TODAY(),IF(AH!$P$10=1,INDEX('Live History'!$A$5:$A$3004,AH!$P$13+2904),INDEX('AH History'!$A$1:$A$18046,AH!$P$7+2904))),""))</ns0:f>
        <ns0:v/>
      </ns0:c>
      <ns0:c r="B2909" s="219">
        <ns0:f>IFERROR(IF(AND(AH!$P$9&lt;&gt;1,$C2909&gt;0,$D2909&gt;0,$E2909&gt;0,$F2909&gt;0,$G2909&gt;0,$F2909&lt;=$A2909,$G2909&lt;=$A2909,$A2909-$F2909&lt;=10,$A2909-$G2909&lt;=5),$D2909*$E2909/$C2909-1,NA()),NA())</ns0:f>
        <ns0:v/>
      </ns0:c>
      <ns0:c r="C2909">
        <ns0:f>IFERROR(IF(ISNUMBER($A2909),IF(AND(AH!$P$10=1,AH!$P$12=1,$A2909=TODAY()),AH!$P$19,IF(AH!$P$10=1,INDEX('Live History'!$B$5:$B$3004,AH!$P$13+2904),INDEX('AH History'!$B$1:$B$18046,AH!$P$7+2904))),NA()),NA())</ns0:f>
        <ns0:v/>
      </ns0:c>
      <ns0:c r="D2909">
        <ns0:f>IFERROR(IF(ISNUMBER($A2909),IF(AND(AH!$P$10=1,AH!$P$12=1,$A2909=TODAY()),AH!$P$18,IF(AH!$P$10=1,INDEX('Live History'!$E$5:$E$3004,MATCH($A2909,'Live History'!$D$5:$D$3004,1)),INDEX('AH History'!$C$1:$C$18046,AH!$P$7+2904))),NA()),NA())</ns0:f>
        <ns0:v/>
      </ns0:c>
      <ns0:c r="E2909">
        <ns0:f>IFERROR(IF(ISNUMBER($A2909),IF(AND(AH!$P$10=1,AH!$P$12=1,$A2909=TODAY()),AH!$P$20,IF(AH!$P$10=1,INDEX('Live History'!$H$5:$H$3004,MATCH($A2909,'Live History'!$G$5:$G$3004,1)),INDEX('AH History'!$D$1:$D$18046,AH!$P$7+2904))),NA()),NA())</ns0:f>
        <ns0:v/>
      </ns0:c>
      <ns0:c r="F2909">
        <ns0:f>IFERROR(IF(ISNUMBER($A2909),IF(AND(AH!$P$10=1,AH!$P$12=1,$A2909=TODAY()),IF(AND(AH!$P$10=1,AH!$P$12=1,$A2909=TODAY()),TODAY(),NA()),IF(AH!$P$10=1,INDEX('Live History'!$D$5:$D$3004,MATCH($A2909,'Live History'!$D$5:$D$3004,1)),INDEX('AH History'!$E$1:$E$18046,AH!$P$7+2904))),NA()),NA())</ns0:f>
        <ns0:v/>
      </ns0:c>
      <ns0:c r="G2909">
        <ns0:f>IFERROR(IF(ISNUMBER($A2909),IF(AND(AH!$P$10=1,AH!$P$12=1,$A2909=TODAY()),IF(AND(AH!$P$10=1,AH!$P$12=1,$A2909=TODAY()),TODAY(),NA()),IF(AH!$P$10=1,INDEX('Live History'!$G$5:$G$3004,MATCH($A2909,'Live History'!$G$5:$G$3004,1)),INDEX('AH History'!$F$1:$F$18046,AH!$P$7+2904))),NA()),NA())</ns0:f>
        <ns0:v/>
      </ns0:c>
      <ns0:c r="H2909">
        <ns0:f>IFERROR(IF(AND(AH!$E$4="Bloomberg",AH!$P$10=1,ISNUMBER($A2909),$A2909&lt;=AH!$P$17),AH!$P$7-1+MATCH($A2909,INDEX('AH History'!$A$1:$A$18046,AH!$P$7):INDEX('AH History'!$A$1:$A$18046,AH!$P$7+AH!$P$8-1),0),0),0)</ns0:f>
        <ns0:v/>
      </ns0:c>
      <ns0:c r="I2909">
        <ns0:f>IF($H2909=0,0,IFERROR(IF(AND(ABS($C2909-INDEX('AH History'!$B$1:$B$18046,$H2909))&lt;=MAX(0.005,ABS(INDEX('AH History'!$B$1:$B$18046,$H2909))*0.00005),ABS($D2909-INDEX('AH History'!$C$1:$C$18046,$H2909))&lt;=MAX(0.005,ABS(INDEX('AH History'!$C$1:$C$18046,$H2909))*0.00005),ABS($E2909-INDEX('AH History'!$D$1:$D$18046,$H2909))&lt;=0.00005,$F2909=INDEX('AH History'!$E$1:$E$18046,$H2909),$G2909=INDEX('AH History'!$F$1:$F$18046,$H2909)),1,-1),-1))</ns0:f>
        <ns0:v/>
      </ns0:c>
    </ns0:row>
    <ns0:row r="2910">
      <ns0:c r="A2910" s="215">
        <ns0:f>IF(OR(AH!$P$3=0,2905+1&gt;AH!$P$11,AND(AH!$E$4&lt;&gt;"Stored",AH!$P$10&lt;&gt;1)),"",IFERROR(IF(AND(AH!$P$21=1,2905+1=AH!$P$11),TODAY(),IF(AH!$P$10=1,INDEX('Live History'!$A$5:$A$3004,AH!$P$13+2905),INDEX('AH History'!$A$1:$A$18046,AH!$P$7+2905))),""))</ns0:f>
        <ns0:v/>
      </ns0:c>
      <ns0:c r="B2910" s="219">
        <ns0:f>IFERROR(IF(AND(AH!$P$9&lt;&gt;1,$C2910&gt;0,$D2910&gt;0,$E2910&gt;0,$F2910&gt;0,$G2910&gt;0,$F2910&lt;=$A2910,$G2910&lt;=$A2910,$A2910-$F2910&lt;=10,$A2910-$G2910&lt;=5),$D2910*$E2910/$C2910-1,NA()),NA())</ns0:f>
        <ns0:v/>
      </ns0:c>
      <ns0:c r="C2910">
        <ns0:f>IFERROR(IF(ISNUMBER($A2910),IF(AND(AH!$P$10=1,AH!$P$12=1,$A2910=TODAY()),AH!$P$19,IF(AH!$P$10=1,INDEX('Live History'!$B$5:$B$3004,AH!$P$13+2905),INDEX('AH History'!$B$1:$B$18046,AH!$P$7+2905))),NA()),NA())</ns0:f>
        <ns0:v/>
      </ns0:c>
      <ns0:c r="D2910">
        <ns0:f>IFERROR(IF(ISNUMBER($A2910),IF(AND(AH!$P$10=1,AH!$P$12=1,$A2910=TODAY()),AH!$P$18,IF(AH!$P$10=1,INDEX('Live History'!$E$5:$E$3004,MATCH($A2910,'Live History'!$D$5:$D$3004,1)),INDEX('AH History'!$C$1:$C$18046,AH!$P$7+2905))),NA()),NA())</ns0:f>
        <ns0:v/>
      </ns0:c>
      <ns0:c r="E2910">
        <ns0:f>IFERROR(IF(ISNUMBER($A2910),IF(AND(AH!$P$10=1,AH!$P$12=1,$A2910=TODAY()),AH!$P$20,IF(AH!$P$10=1,INDEX('Live History'!$H$5:$H$3004,MATCH($A2910,'Live History'!$G$5:$G$3004,1)),INDEX('AH History'!$D$1:$D$18046,AH!$P$7+2905))),NA()),NA())</ns0:f>
        <ns0:v/>
      </ns0:c>
      <ns0:c r="F2910">
        <ns0:f>IFERROR(IF(ISNUMBER($A2910),IF(AND(AH!$P$10=1,AH!$P$12=1,$A2910=TODAY()),IF(AND(AH!$P$10=1,AH!$P$12=1,$A2910=TODAY()),TODAY(),NA()),IF(AH!$P$10=1,INDEX('Live History'!$D$5:$D$3004,MATCH($A2910,'Live History'!$D$5:$D$3004,1)),INDEX('AH History'!$E$1:$E$18046,AH!$P$7+2905))),NA()),NA())</ns0:f>
        <ns0:v/>
      </ns0:c>
      <ns0:c r="G2910">
        <ns0:f>IFERROR(IF(ISNUMBER($A2910),IF(AND(AH!$P$10=1,AH!$P$12=1,$A2910=TODAY()),IF(AND(AH!$P$10=1,AH!$P$12=1,$A2910=TODAY()),TODAY(),NA()),IF(AH!$P$10=1,INDEX('Live History'!$G$5:$G$3004,MATCH($A2910,'Live History'!$G$5:$G$3004,1)),INDEX('AH History'!$F$1:$F$18046,AH!$P$7+2905))),NA()),NA())</ns0:f>
        <ns0:v/>
      </ns0:c>
      <ns0:c r="H2910">
        <ns0:f>IFERROR(IF(AND(AH!$E$4="Bloomberg",AH!$P$10=1,ISNUMBER($A2910),$A2910&lt;=AH!$P$17),AH!$P$7-1+MATCH($A2910,INDEX('AH History'!$A$1:$A$18046,AH!$P$7):INDEX('AH History'!$A$1:$A$18046,AH!$P$7+AH!$P$8-1),0),0),0)</ns0:f>
        <ns0:v/>
      </ns0:c>
      <ns0:c r="I2910">
        <ns0:f>IF($H2910=0,0,IFERROR(IF(AND(ABS($C2910-INDEX('AH History'!$B$1:$B$18046,$H2910))&lt;=MAX(0.005,ABS(INDEX('AH History'!$B$1:$B$18046,$H2910))*0.00005),ABS($D2910-INDEX('AH History'!$C$1:$C$18046,$H2910))&lt;=MAX(0.005,ABS(INDEX('AH History'!$C$1:$C$18046,$H2910))*0.00005),ABS($E2910-INDEX('AH History'!$D$1:$D$18046,$H2910))&lt;=0.00005,$F2910=INDEX('AH History'!$E$1:$E$18046,$H2910),$G2910=INDEX('AH History'!$F$1:$F$18046,$H2910)),1,-1),-1))</ns0:f>
        <ns0:v/>
      </ns0:c>
    </ns0:row>
    <ns0:row r="2911">
      <ns0:c r="A2911" s="215">
        <ns0:f>IF(OR(AH!$P$3=0,2906+1&gt;AH!$P$11,AND(AH!$E$4&lt;&gt;"Stored",AH!$P$10&lt;&gt;1)),"",IFERROR(IF(AND(AH!$P$21=1,2906+1=AH!$P$11),TODAY(),IF(AH!$P$10=1,INDEX('Live History'!$A$5:$A$3004,AH!$P$13+2906),INDEX('AH History'!$A$1:$A$18046,AH!$P$7+2906))),""))</ns0:f>
        <ns0:v/>
      </ns0:c>
      <ns0:c r="B2911" s="219">
        <ns0:f>IFERROR(IF(AND(AH!$P$9&lt;&gt;1,$C2911&gt;0,$D2911&gt;0,$E2911&gt;0,$F2911&gt;0,$G2911&gt;0,$F2911&lt;=$A2911,$G2911&lt;=$A2911,$A2911-$F2911&lt;=10,$A2911-$G2911&lt;=5),$D2911*$E2911/$C2911-1,NA()),NA())</ns0:f>
        <ns0:v/>
      </ns0:c>
      <ns0:c r="C2911">
        <ns0:f>IFERROR(IF(ISNUMBER($A2911),IF(AND(AH!$P$10=1,AH!$P$12=1,$A2911=TODAY()),AH!$P$19,IF(AH!$P$10=1,INDEX('Live History'!$B$5:$B$3004,AH!$P$13+2906),INDEX('AH History'!$B$1:$B$18046,AH!$P$7+2906))),NA()),NA())</ns0:f>
        <ns0:v/>
      </ns0:c>
      <ns0:c r="D2911">
        <ns0:f>IFERROR(IF(ISNUMBER($A2911),IF(AND(AH!$P$10=1,AH!$P$12=1,$A2911=TODAY()),AH!$P$18,IF(AH!$P$10=1,INDEX('Live History'!$E$5:$E$3004,MATCH($A2911,'Live History'!$D$5:$D$3004,1)),INDEX('AH History'!$C$1:$C$18046,AH!$P$7+2906))),NA()),NA())</ns0:f>
        <ns0:v/>
      </ns0:c>
      <ns0:c r="E2911">
        <ns0:f>IFERROR(IF(ISNUMBER($A2911),IF(AND(AH!$P$10=1,AH!$P$12=1,$A2911=TODAY()),AH!$P$20,IF(AH!$P$10=1,INDEX('Live History'!$H$5:$H$3004,MATCH($A2911,'Live History'!$G$5:$G$3004,1)),INDEX('AH History'!$D$1:$D$18046,AH!$P$7+2906))),NA()),NA())</ns0:f>
        <ns0:v/>
      </ns0:c>
      <ns0:c r="F2911">
        <ns0:f>IFERROR(IF(ISNUMBER($A2911),IF(AND(AH!$P$10=1,AH!$P$12=1,$A2911=TODAY()),IF(AND(AH!$P$10=1,AH!$P$12=1,$A2911=TODAY()),TODAY(),NA()),IF(AH!$P$10=1,INDEX('Live History'!$D$5:$D$3004,MATCH($A2911,'Live History'!$D$5:$D$3004,1)),INDEX('AH History'!$E$1:$E$18046,AH!$P$7+2906))),NA()),NA())</ns0:f>
        <ns0:v/>
      </ns0:c>
      <ns0:c r="G2911">
        <ns0:f>IFERROR(IF(ISNUMBER($A2911),IF(AND(AH!$P$10=1,AH!$P$12=1,$A2911=TODAY()),IF(AND(AH!$P$10=1,AH!$P$12=1,$A2911=TODAY()),TODAY(),NA()),IF(AH!$P$10=1,INDEX('Live History'!$G$5:$G$3004,MATCH($A2911,'Live History'!$G$5:$G$3004,1)),INDEX('AH History'!$F$1:$F$18046,AH!$P$7+2906))),NA()),NA())</ns0:f>
        <ns0:v/>
      </ns0:c>
      <ns0:c r="H2911">
        <ns0:f>IFERROR(IF(AND(AH!$E$4="Bloomberg",AH!$P$10=1,ISNUMBER($A2911),$A2911&lt;=AH!$P$17),AH!$P$7-1+MATCH($A2911,INDEX('AH History'!$A$1:$A$18046,AH!$P$7):INDEX('AH History'!$A$1:$A$18046,AH!$P$7+AH!$P$8-1),0),0),0)</ns0:f>
        <ns0:v/>
      </ns0:c>
      <ns0:c r="I2911">
        <ns0:f>IF($H2911=0,0,IFERROR(IF(AND(ABS($C2911-INDEX('AH History'!$B$1:$B$18046,$H2911))&lt;=MAX(0.005,ABS(INDEX('AH History'!$B$1:$B$18046,$H2911))*0.00005),ABS($D2911-INDEX('AH History'!$C$1:$C$18046,$H2911))&lt;=MAX(0.005,ABS(INDEX('AH History'!$C$1:$C$18046,$H2911))*0.00005),ABS($E2911-INDEX('AH History'!$D$1:$D$18046,$H2911))&lt;=0.00005,$F2911=INDEX('AH History'!$E$1:$E$18046,$H2911),$G2911=INDEX('AH History'!$F$1:$F$18046,$H2911)),1,-1),-1))</ns0:f>
        <ns0:v/>
      </ns0:c>
    </ns0:row>
    <ns0:row r="2912">
      <ns0:c r="A2912" s="215">
        <ns0:f>IF(OR(AH!$P$3=0,2907+1&gt;AH!$P$11,AND(AH!$E$4&lt;&gt;"Stored",AH!$P$10&lt;&gt;1)),"",IFERROR(IF(AND(AH!$P$21=1,2907+1=AH!$P$11),TODAY(),IF(AH!$P$10=1,INDEX('Live History'!$A$5:$A$3004,AH!$P$13+2907),INDEX('AH History'!$A$1:$A$18046,AH!$P$7+2907))),""))</ns0:f>
        <ns0:v/>
      </ns0:c>
      <ns0:c r="B2912" s="219">
        <ns0:f>IFERROR(IF(AND(AH!$P$9&lt;&gt;1,$C2912&gt;0,$D2912&gt;0,$E2912&gt;0,$F2912&gt;0,$G2912&gt;0,$F2912&lt;=$A2912,$G2912&lt;=$A2912,$A2912-$F2912&lt;=10,$A2912-$G2912&lt;=5),$D2912*$E2912/$C2912-1,NA()),NA())</ns0:f>
        <ns0:v/>
      </ns0:c>
      <ns0:c r="C2912">
        <ns0:f>IFERROR(IF(ISNUMBER($A2912),IF(AND(AH!$P$10=1,AH!$P$12=1,$A2912=TODAY()),AH!$P$19,IF(AH!$P$10=1,INDEX('Live History'!$B$5:$B$3004,AH!$P$13+2907),INDEX('AH History'!$B$1:$B$18046,AH!$P$7+2907))),NA()),NA())</ns0:f>
        <ns0:v/>
      </ns0:c>
      <ns0:c r="D2912">
        <ns0:f>IFERROR(IF(ISNUMBER($A2912),IF(AND(AH!$P$10=1,AH!$P$12=1,$A2912=TODAY()),AH!$P$18,IF(AH!$P$10=1,INDEX('Live History'!$E$5:$E$3004,MATCH($A2912,'Live History'!$D$5:$D$3004,1)),INDEX('AH History'!$C$1:$C$18046,AH!$P$7+2907))),NA()),NA())</ns0:f>
        <ns0:v/>
      </ns0:c>
      <ns0:c r="E2912">
        <ns0:f>IFERROR(IF(ISNUMBER($A2912),IF(AND(AH!$P$10=1,AH!$P$12=1,$A2912=TODAY()),AH!$P$20,IF(AH!$P$10=1,INDEX('Live History'!$H$5:$H$3004,MATCH($A2912,'Live History'!$G$5:$G$3004,1)),INDEX('AH History'!$D$1:$D$18046,AH!$P$7+2907))),NA()),NA())</ns0:f>
        <ns0:v/>
      </ns0:c>
      <ns0:c r="F2912">
        <ns0:f>IFERROR(IF(ISNUMBER($A2912),IF(AND(AH!$P$10=1,AH!$P$12=1,$A2912=TODAY()),IF(AND(AH!$P$10=1,AH!$P$12=1,$A2912=TODAY()),TODAY(),NA()),IF(AH!$P$10=1,INDEX('Live History'!$D$5:$D$3004,MATCH($A2912,'Live History'!$D$5:$D$3004,1)),INDEX('AH History'!$E$1:$E$18046,AH!$P$7+2907))),NA()),NA())</ns0:f>
        <ns0:v/>
      </ns0:c>
      <ns0:c r="G2912">
        <ns0:f>IFERROR(IF(ISNUMBER($A2912),IF(AND(AH!$P$10=1,AH!$P$12=1,$A2912=TODAY()),IF(AND(AH!$P$10=1,AH!$P$12=1,$A2912=TODAY()),TODAY(),NA()),IF(AH!$P$10=1,INDEX('Live History'!$G$5:$G$3004,MATCH($A2912,'Live History'!$G$5:$G$3004,1)),INDEX('AH History'!$F$1:$F$18046,AH!$P$7+2907))),NA()),NA())</ns0:f>
        <ns0:v/>
      </ns0:c>
      <ns0:c r="H2912">
        <ns0:f>IFERROR(IF(AND(AH!$E$4="Bloomberg",AH!$P$10=1,ISNUMBER($A2912),$A2912&lt;=AH!$P$17),AH!$P$7-1+MATCH($A2912,INDEX('AH History'!$A$1:$A$18046,AH!$P$7):INDEX('AH History'!$A$1:$A$18046,AH!$P$7+AH!$P$8-1),0),0),0)</ns0:f>
        <ns0:v/>
      </ns0:c>
      <ns0:c r="I2912">
        <ns0:f>IF($H2912=0,0,IFERROR(IF(AND(ABS($C2912-INDEX('AH History'!$B$1:$B$18046,$H2912))&lt;=MAX(0.005,ABS(INDEX('AH History'!$B$1:$B$18046,$H2912))*0.00005),ABS($D2912-INDEX('AH History'!$C$1:$C$18046,$H2912))&lt;=MAX(0.005,ABS(INDEX('AH History'!$C$1:$C$18046,$H2912))*0.00005),ABS($E2912-INDEX('AH History'!$D$1:$D$18046,$H2912))&lt;=0.00005,$F2912=INDEX('AH History'!$E$1:$E$18046,$H2912),$G2912=INDEX('AH History'!$F$1:$F$18046,$H2912)),1,-1),-1))</ns0:f>
        <ns0:v/>
      </ns0:c>
    </ns0:row>
    <ns0:row r="2913">
      <ns0:c r="A2913" s="215">
        <ns0:f>IF(OR(AH!$P$3=0,2908+1&gt;AH!$P$11,AND(AH!$E$4&lt;&gt;"Stored",AH!$P$10&lt;&gt;1)),"",IFERROR(IF(AND(AH!$P$21=1,2908+1=AH!$P$11),TODAY(),IF(AH!$P$10=1,INDEX('Live History'!$A$5:$A$3004,AH!$P$13+2908),INDEX('AH History'!$A$1:$A$18046,AH!$P$7+2908))),""))</ns0:f>
        <ns0:v/>
      </ns0:c>
      <ns0:c r="B2913" s="219">
        <ns0:f>IFERROR(IF(AND(AH!$P$9&lt;&gt;1,$C2913&gt;0,$D2913&gt;0,$E2913&gt;0,$F2913&gt;0,$G2913&gt;0,$F2913&lt;=$A2913,$G2913&lt;=$A2913,$A2913-$F2913&lt;=10,$A2913-$G2913&lt;=5),$D2913*$E2913/$C2913-1,NA()),NA())</ns0:f>
        <ns0:v/>
      </ns0:c>
      <ns0:c r="C2913">
        <ns0:f>IFERROR(IF(ISNUMBER($A2913),IF(AND(AH!$P$10=1,AH!$P$12=1,$A2913=TODAY()),AH!$P$19,IF(AH!$P$10=1,INDEX('Live History'!$B$5:$B$3004,AH!$P$13+2908),INDEX('AH History'!$B$1:$B$18046,AH!$P$7+2908))),NA()),NA())</ns0:f>
        <ns0:v/>
      </ns0:c>
      <ns0:c r="D2913">
        <ns0:f>IFERROR(IF(ISNUMBER($A2913),IF(AND(AH!$P$10=1,AH!$P$12=1,$A2913=TODAY()),AH!$P$18,IF(AH!$P$10=1,INDEX('Live History'!$E$5:$E$3004,MATCH($A2913,'Live History'!$D$5:$D$3004,1)),INDEX('AH History'!$C$1:$C$18046,AH!$P$7+2908))),NA()),NA())</ns0:f>
        <ns0:v/>
      </ns0:c>
      <ns0:c r="E2913">
        <ns0:f>IFERROR(IF(ISNUMBER($A2913),IF(AND(AH!$P$10=1,AH!$P$12=1,$A2913=TODAY()),AH!$P$20,IF(AH!$P$10=1,INDEX('Live History'!$H$5:$H$3004,MATCH($A2913,'Live History'!$G$5:$G$3004,1)),INDEX('AH History'!$D$1:$D$18046,AH!$P$7+2908))),NA()),NA())</ns0:f>
        <ns0:v/>
      </ns0:c>
      <ns0:c r="F2913">
        <ns0:f>IFERROR(IF(ISNUMBER($A2913),IF(AND(AH!$P$10=1,AH!$P$12=1,$A2913=TODAY()),IF(AND(AH!$P$10=1,AH!$P$12=1,$A2913=TODAY()),TODAY(),NA()),IF(AH!$P$10=1,INDEX('Live History'!$D$5:$D$3004,MATCH($A2913,'Live History'!$D$5:$D$3004,1)),INDEX('AH History'!$E$1:$E$18046,AH!$P$7+2908))),NA()),NA())</ns0:f>
        <ns0:v/>
      </ns0:c>
      <ns0:c r="G2913">
        <ns0:f>IFERROR(IF(ISNUMBER($A2913),IF(AND(AH!$P$10=1,AH!$P$12=1,$A2913=TODAY()),IF(AND(AH!$P$10=1,AH!$P$12=1,$A2913=TODAY()),TODAY(),NA()),IF(AH!$P$10=1,INDEX('Live History'!$G$5:$G$3004,MATCH($A2913,'Live History'!$G$5:$G$3004,1)),INDEX('AH History'!$F$1:$F$18046,AH!$P$7+2908))),NA()),NA())</ns0:f>
        <ns0:v/>
      </ns0:c>
      <ns0:c r="H2913">
        <ns0:f>IFERROR(IF(AND(AH!$E$4="Bloomberg",AH!$P$10=1,ISNUMBER($A2913),$A2913&lt;=AH!$P$17),AH!$P$7-1+MATCH($A2913,INDEX('AH History'!$A$1:$A$18046,AH!$P$7):INDEX('AH History'!$A$1:$A$18046,AH!$P$7+AH!$P$8-1),0),0),0)</ns0:f>
        <ns0:v/>
      </ns0:c>
      <ns0:c r="I2913">
        <ns0:f>IF($H2913=0,0,IFERROR(IF(AND(ABS($C2913-INDEX('AH History'!$B$1:$B$18046,$H2913))&lt;=MAX(0.005,ABS(INDEX('AH History'!$B$1:$B$18046,$H2913))*0.00005),ABS($D2913-INDEX('AH History'!$C$1:$C$18046,$H2913))&lt;=MAX(0.005,ABS(INDEX('AH History'!$C$1:$C$18046,$H2913))*0.00005),ABS($E2913-INDEX('AH History'!$D$1:$D$18046,$H2913))&lt;=0.00005,$F2913=INDEX('AH History'!$E$1:$E$18046,$H2913),$G2913=INDEX('AH History'!$F$1:$F$18046,$H2913)),1,-1),-1))</ns0:f>
        <ns0:v/>
      </ns0:c>
    </ns0:row>
    <ns0:row r="2914">
      <ns0:c r="A2914" s="215">
        <ns0:f>IF(OR(AH!$P$3=0,2909+1&gt;AH!$P$11,AND(AH!$E$4&lt;&gt;"Stored",AH!$P$10&lt;&gt;1)),"",IFERROR(IF(AND(AH!$P$21=1,2909+1=AH!$P$11),TODAY(),IF(AH!$P$10=1,INDEX('Live History'!$A$5:$A$3004,AH!$P$13+2909),INDEX('AH History'!$A$1:$A$18046,AH!$P$7+2909))),""))</ns0:f>
        <ns0:v/>
      </ns0:c>
      <ns0:c r="B2914" s="219">
        <ns0:f>IFERROR(IF(AND(AH!$P$9&lt;&gt;1,$C2914&gt;0,$D2914&gt;0,$E2914&gt;0,$F2914&gt;0,$G2914&gt;0,$F2914&lt;=$A2914,$G2914&lt;=$A2914,$A2914-$F2914&lt;=10,$A2914-$G2914&lt;=5),$D2914*$E2914/$C2914-1,NA()),NA())</ns0:f>
        <ns0:v/>
      </ns0:c>
      <ns0:c r="C2914">
        <ns0:f>IFERROR(IF(ISNUMBER($A2914),IF(AND(AH!$P$10=1,AH!$P$12=1,$A2914=TODAY()),AH!$P$19,IF(AH!$P$10=1,INDEX('Live History'!$B$5:$B$3004,AH!$P$13+2909),INDEX('AH History'!$B$1:$B$18046,AH!$P$7+2909))),NA()),NA())</ns0:f>
        <ns0:v/>
      </ns0:c>
      <ns0:c r="D2914">
        <ns0:f>IFERROR(IF(ISNUMBER($A2914),IF(AND(AH!$P$10=1,AH!$P$12=1,$A2914=TODAY()),AH!$P$18,IF(AH!$P$10=1,INDEX('Live History'!$E$5:$E$3004,MATCH($A2914,'Live History'!$D$5:$D$3004,1)),INDEX('AH History'!$C$1:$C$18046,AH!$P$7+2909))),NA()),NA())</ns0:f>
        <ns0:v/>
      </ns0:c>
      <ns0:c r="E2914">
        <ns0:f>IFERROR(IF(ISNUMBER($A2914),IF(AND(AH!$P$10=1,AH!$P$12=1,$A2914=TODAY()),AH!$P$20,IF(AH!$P$10=1,INDEX('Live History'!$H$5:$H$3004,MATCH($A2914,'Live History'!$G$5:$G$3004,1)),INDEX('AH History'!$D$1:$D$18046,AH!$P$7+2909))),NA()),NA())</ns0:f>
        <ns0:v/>
      </ns0:c>
      <ns0:c r="F2914">
        <ns0:f>IFERROR(IF(ISNUMBER($A2914),IF(AND(AH!$P$10=1,AH!$P$12=1,$A2914=TODAY()),IF(AND(AH!$P$10=1,AH!$P$12=1,$A2914=TODAY()),TODAY(),NA()),IF(AH!$P$10=1,INDEX('Live History'!$D$5:$D$3004,MATCH($A2914,'Live History'!$D$5:$D$3004,1)),INDEX('AH History'!$E$1:$E$18046,AH!$P$7+2909))),NA()),NA())</ns0:f>
        <ns0:v/>
      </ns0:c>
      <ns0:c r="G2914">
        <ns0:f>IFERROR(IF(ISNUMBER($A2914),IF(AND(AH!$P$10=1,AH!$P$12=1,$A2914=TODAY()),IF(AND(AH!$P$10=1,AH!$P$12=1,$A2914=TODAY()),TODAY(),NA()),IF(AH!$P$10=1,INDEX('Live History'!$G$5:$G$3004,MATCH($A2914,'Live History'!$G$5:$G$3004,1)),INDEX('AH History'!$F$1:$F$18046,AH!$P$7+2909))),NA()),NA())</ns0:f>
        <ns0:v/>
      </ns0:c>
      <ns0:c r="H2914">
        <ns0:f>IFERROR(IF(AND(AH!$E$4="Bloomberg",AH!$P$10=1,ISNUMBER($A2914),$A2914&lt;=AH!$P$17),AH!$P$7-1+MATCH($A2914,INDEX('AH History'!$A$1:$A$18046,AH!$P$7):INDEX('AH History'!$A$1:$A$18046,AH!$P$7+AH!$P$8-1),0),0),0)</ns0:f>
        <ns0:v/>
      </ns0:c>
      <ns0:c r="I2914">
        <ns0:f>IF($H2914=0,0,IFERROR(IF(AND(ABS($C2914-INDEX('AH History'!$B$1:$B$18046,$H2914))&lt;=MAX(0.005,ABS(INDEX('AH History'!$B$1:$B$18046,$H2914))*0.00005),ABS($D2914-INDEX('AH History'!$C$1:$C$18046,$H2914))&lt;=MAX(0.005,ABS(INDEX('AH History'!$C$1:$C$18046,$H2914))*0.00005),ABS($E2914-INDEX('AH History'!$D$1:$D$18046,$H2914))&lt;=0.00005,$F2914=INDEX('AH History'!$E$1:$E$18046,$H2914),$G2914=INDEX('AH History'!$F$1:$F$18046,$H2914)),1,-1),-1))</ns0:f>
        <ns0:v/>
      </ns0:c>
    </ns0:row>
    <ns0:row r="2915">
      <ns0:c r="A2915" s="215">
        <ns0:f>IF(OR(AH!$P$3=0,2910+1&gt;AH!$P$11,AND(AH!$E$4&lt;&gt;"Stored",AH!$P$10&lt;&gt;1)),"",IFERROR(IF(AND(AH!$P$21=1,2910+1=AH!$P$11),TODAY(),IF(AH!$P$10=1,INDEX('Live History'!$A$5:$A$3004,AH!$P$13+2910),INDEX('AH History'!$A$1:$A$18046,AH!$P$7+2910))),""))</ns0:f>
        <ns0:v/>
      </ns0:c>
      <ns0:c r="B2915" s="219">
        <ns0:f>IFERROR(IF(AND(AH!$P$9&lt;&gt;1,$C2915&gt;0,$D2915&gt;0,$E2915&gt;0,$F2915&gt;0,$G2915&gt;0,$F2915&lt;=$A2915,$G2915&lt;=$A2915,$A2915-$F2915&lt;=10,$A2915-$G2915&lt;=5),$D2915*$E2915/$C2915-1,NA()),NA())</ns0:f>
        <ns0:v/>
      </ns0:c>
      <ns0:c r="C2915">
        <ns0:f>IFERROR(IF(ISNUMBER($A2915),IF(AND(AH!$P$10=1,AH!$P$12=1,$A2915=TODAY()),AH!$P$19,IF(AH!$P$10=1,INDEX('Live History'!$B$5:$B$3004,AH!$P$13+2910),INDEX('AH History'!$B$1:$B$18046,AH!$P$7+2910))),NA()),NA())</ns0:f>
        <ns0:v/>
      </ns0:c>
      <ns0:c r="D2915">
        <ns0:f>IFERROR(IF(ISNUMBER($A2915),IF(AND(AH!$P$10=1,AH!$P$12=1,$A2915=TODAY()),AH!$P$18,IF(AH!$P$10=1,INDEX('Live History'!$E$5:$E$3004,MATCH($A2915,'Live History'!$D$5:$D$3004,1)),INDEX('AH History'!$C$1:$C$18046,AH!$P$7+2910))),NA()),NA())</ns0:f>
        <ns0:v/>
      </ns0:c>
      <ns0:c r="E2915">
        <ns0:f>IFERROR(IF(ISNUMBER($A2915),IF(AND(AH!$P$10=1,AH!$P$12=1,$A2915=TODAY()),AH!$P$20,IF(AH!$P$10=1,INDEX('Live History'!$H$5:$H$3004,MATCH($A2915,'Live History'!$G$5:$G$3004,1)),INDEX('AH History'!$D$1:$D$18046,AH!$P$7+2910))),NA()),NA())</ns0:f>
        <ns0:v/>
      </ns0:c>
      <ns0:c r="F2915">
        <ns0:f>IFERROR(IF(ISNUMBER($A2915),IF(AND(AH!$P$10=1,AH!$P$12=1,$A2915=TODAY()),IF(AND(AH!$P$10=1,AH!$P$12=1,$A2915=TODAY()),TODAY(),NA()),IF(AH!$P$10=1,INDEX('Live History'!$D$5:$D$3004,MATCH($A2915,'Live History'!$D$5:$D$3004,1)),INDEX('AH History'!$E$1:$E$18046,AH!$P$7+2910))),NA()),NA())</ns0:f>
        <ns0:v/>
      </ns0:c>
      <ns0:c r="G2915">
        <ns0:f>IFERROR(IF(ISNUMBER($A2915),IF(AND(AH!$P$10=1,AH!$P$12=1,$A2915=TODAY()),IF(AND(AH!$P$10=1,AH!$P$12=1,$A2915=TODAY()),TODAY(),NA()),IF(AH!$P$10=1,INDEX('Live History'!$G$5:$G$3004,MATCH($A2915,'Live History'!$G$5:$G$3004,1)),INDEX('AH History'!$F$1:$F$18046,AH!$P$7+2910))),NA()),NA())</ns0:f>
        <ns0:v/>
      </ns0:c>
      <ns0:c r="H2915">
        <ns0:f>IFERROR(IF(AND(AH!$E$4="Bloomberg",AH!$P$10=1,ISNUMBER($A2915),$A2915&lt;=AH!$P$17),AH!$P$7-1+MATCH($A2915,INDEX('AH History'!$A$1:$A$18046,AH!$P$7):INDEX('AH History'!$A$1:$A$18046,AH!$P$7+AH!$P$8-1),0),0),0)</ns0:f>
        <ns0:v/>
      </ns0:c>
      <ns0:c r="I2915">
        <ns0:f>IF($H2915=0,0,IFERROR(IF(AND(ABS($C2915-INDEX('AH History'!$B$1:$B$18046,$H2915))&lt;=MAX(0.005,ABS(INDEX('AH History'!$B$1:$B$18046,$H2915))*0.00005),ABS($D2915-INDEX('AH History'!$C$1:$C$18046,$H2915))&lt;=MAX(0.005,ABS(INDEX('AH History'!$C$1:$C$18046,$H2915))*0.00005),ABS($E2915-INDEX('AH History'!$D$1:$D$18046,$H2915))&lt;=0.00005,$F2915=INDEX('AH History'!$E$1:$E$18046,$H2915),$G2915=INDEX('AH History'!$F$1:$F$18046,$H2915)),1,-1),-1))</ns0:f>
        <ns0:v/>
      </ns0:c>
    </ns0:row>
    <ns0:row r="2916">
      <ns0:c r="A2916" s="215">
        <ns0:f>IF(OR(AH!$P$3=0,2911+1&gt;AH!$P$11,AND(AH!$E$4&lt;&gt;"Stored",AH!$P$10&lt;&gt;1)),"",IFERROR(IF(AND(AH!$P$21=1,2911+1=AH!$P$11),TODAY(),IF(AH!$P$10=1,INDEX('Live History'!$A$5:$A$3004,AH!$P$13+2911),INDEX('AH History'!$A$1:$A$18046,AH!$P$7+2911))),""))</ns0:f>
        <ns0:v/>
      </ns0:c>
      <ns0:c r="B2916" s="219">
        <ns0:f>IFERROR(IF(AND(AH!$P$9&lt;&gt;1,$C2916&gt;0,$D2916&gt;0,$E2916&gt;0,$F2916&gt;0,$G2916&gt;0,$F2916&lt;=$A2916,$G2916&lt;=$A2916,$A2916-$F2916&lt;=10,$A2916-$G2916&lt;=5),$D2916*$E2916/$C2916-1,NA()),NA())</ns0:f>
        <ns0:v/>
      </ns0:c>
      <ns0:c r="C2916">
        <ns0:f>IFERROR(IF(ISNUMBER($A2916),IF(AND(AH!$P$10=1,AH!$P$12=1,$A2916=TODAY()),AH!$P$19,IF(AH!$P$10=1,INDEX('Live History'!$B$5:$B$3004,AH!$P$13+2911),INDEX('AH History'!$B$1:$B$18046,AH!$P$7+2911))),NA()),NA())</ns0:f>
        <ns0:v/>
      </ns0:c>
      <ns0:c r="D2916">
        <ns0:f>IFERROR(IF(ISNUMBER($A2916),IF(AND(AH!$P$10=1,AH!$P$12=1,$A2916=TODAY()),AH!$P$18,IF(AH!$P$10=1,INDEX('Live History'!$E$5:$E$3004,MATCH($A2916,'Live History'!$D$5:$D$3004,1)),INDEX('AH History'!$C$1:$C$18046,AH!$P$7+2911))),NA()),NA())</ns0:f>
        <ns0:v/>
      </ns0:c>
      <ns0:c r="E2916">
        <ns0:f>IFERROR(IF(ISNUMBER($A2916),IF(AND(AH!$P$10=1,AH!$P$12=1,$A2916=TODAY()),AH!$P$20,IF(AH!$P$10=1,INDEX('Live History'!$H$5:$H$3004,MATCH($A2916,'Live History'!$G$5:$G$3004,1)),INDEX('AH History'!$D$1:$D$18046,AH!$P$7+2911))),NA()),NA())</ns0:f>
        <ns0:v/>
      </ns0:c>
      <ns0:c r="F2916">
        <ns0:f>IFERROR(IF(ISNUMBER($A2916),IF(AND(AH!$P$10=1,AH!$P$12=1,$A2916=TODAY()),IF(AND(AH!$P$10=1,AH!$P$12=1,$A2916=TODAY()),TODAY(),NA()),IF(AH!$P$10=1,INDEX('Live History'!$D$5:$D$3004,MATCH($A2916,'Live History'!$D$5:$D$3004,1)),INDEX('AH History'!$E$1:$E$18046,AH!$P$7+2911))),NA()),NA())</ns0:f>
        <ns0:v/>
      </ns0:c>
      <ns0:c r="G2916">
        <ns0:f>IFERROR(IF(ISNUMBER($A2916),IF(AND(AH!$P$10=1,AH!$P$12=1,$A2916=TODAY()),IF(AND(AH!$P$10=1,AH!$P$12=1,$A2916=TODAY()),TODAY(),NA()),IF(AH!$P$10=1,INDEX('Live History'!$G$5:$G$3004,MATCH($A2916,'Live History'!$G$5:$G$3004,1)),INDEX('AH History'!$F$1:$F$18046,AH!$P$7+2911))),NA()),NA())</ns0:f>
        <ns0:v/>
      </ns0:c>
      <ns0:c r="H2916">
        <ns0:f>IFERROR(IF(AND(AH!$E$4="Bloomberg",AH!$P$10=1,ISNUMBER($A2916),$A2916&lt;=AH!$P$17),AH!$P$7-1+MATCH($A2916,INDEX('AH History'!$A$1:$A$18046,AH!$P$7):INDEX('AH History'!$A$1:$A$18046,AH!$P$7+AH!$P$8-1),0),0),0)</ns0:f>
        <ns0:v/>
      </ns0:c>
      <ns0:c r="I2916">
        <ns0:f>IF($H2916=0,0,IFERROR(IF(AND(ABS($C2916-INDEX('AH History'!$B$1:$B$18046,$H2916))&lt;=MAX(0.005,ABS(INDEX('AH History'!$B$1:$B$18046,$H2916))*0.00005),ABS($D2916-INDEX('AH History'!$C$1:$C$18046,$H2916))&lt;=MAX(0.005,ABS(INDEX('AH History'!$C$1:$C$18046,$H2916))*0.00005),ABS($E2916-INDEX('AH History'!$D$1:$D$18046,$H2916))&lt;=0.00005,$F2916=INDEX('AH History'!$E$1:$E$18046,$H2916),$G2916=INDEX('AH History'!$F$1:$F$18046,$H2916)),1,-1),-1))</ns0:f>
        <ns0:v/>
      </ns0:c>
    </ns0:row>
    <ns0:row r="2917">
      <ns0:c r="A2917" s="215">
        <ns0:f>IF(OR(AH!$P$3=0,2912+1&gt;AH!$P$11,AND(AH!$E$4&lt;&gt;"Stored",AH!$P$10&lt;&gt;1)),"",IFERROR(IF(AND(AH!$P$21=1,2912+1=AH!$P$11),TODAY(),IF(AH!$P$10=1,INDEX('Live History'!$A$5:$A$3004,AH!$P$13+2912),INDEX('AH History'!$A$1:$A$18046,AH!$P$7+2912))),""))</ns0:f>
        <ns0:v/>
      </ns0:c>
      <ns0:c r="B2917" s="219">
        <ns0:f>IFERROR(IF(AND(AH!$P$9&lt;&gt;1,$C2917&gt;0,$D2917&gt;0,$E2917&gt;0,$F2917&gt;0,$G2917&gt;0,$F2917&lt;=$A2917,$G2917&lt;=$A2917,$A2917-$F2917&lt;=10,$A2917-$G2917&lt;=5),$D2917*$E2917/$C2917-1,NA()),NA())</ns0:f>
        <ns0:v/>
      </ns0:c>
      <ns0:c r="C2917">
        <ns0:f>IFERROR(IF(ISNUMBER($A2917),IF(AND(AH!$P$10=1,AH!$P$12=1,$A2917=TODAY()),AH!$P$19,IF(AH!$P$10=1,INDEX('Live History'!$B$5:$B$3004,AH!$P$13+2912),INDEX('AH History'!$B$1:$B$18046,AH!$P$7+2912))),NA()),NA())</ns0:f>
        <ns0:v/>
      </ns0:c>
      <ns0:c r="D2917">
        <ns0:f>IFERROR(IF(ISNUMBER($A2917),IF(AND(AH!$P$10=1,AH!$P$12=1,$A2917=TODAY()),AH!$P$18,IF(AH!$P$10=1,INDEX('Live History'!$E$5:$E$3004,MATCH($A2917,'Live History'!$D$5:$D$3004,1)),INDEX('AH History'!$C$1:$C$18046,AH!$P$7+2912))),NA()),NA())</ns0:f>
        <ns0:v/>
      </ns0:c>
      <ns0:c r="E2917">
        <ns0:f>IFERROR(IF(ISNUMBER($A2917),IF(AND(AH!$P$10=1,AH!$P$12=1,$A2917=TODAY()),AH!$P$20,IF(AH!$P$10=1,INDEX('Live History'!$H$5:$H$3004,MATCH($A2917,'Live History'!$G$5:$G$3004,1)),INDEX('AH History'!$D$1:$D$18046,AH!$P$7+2912))),NA()),NA())</ns0:f>
        <ns0:v/>
      </ns0:c>
      <ns0:c r="F2917">
        <ns0:f>IFERROR(IF(ISNUMBER($A2917),IF(AND(AH!$P$10=1,AH!$P$12=1,$A2917=TODAY()),IF(AND(AH!$P$10=1,AH!$P$12=1,$A2917=TODAY()),TODAY(),NA()),IF(AH!$P$10=1,INDEX('Live History'!$D$5:$D$3004,MATCH($A2917,'Live History'!$D$5:$D$3004,1)),INDEX('AH History'!$E$1:$E$18046,AH!$P$7+2912))),NA()),NA())</ns0:f>
        <ns0:v/>
      </ns0:c>
      <ns0:c r="G2917">
        <ns0:f>IFERROR(IF(ISNUMBER($A2917),IF(AND(AH!$P$10=1,AH!$P$12=1,$A2917=TODAY()),IF(AND(AH!$P$10=1,AH!$P$12=1,$A2917=TODAY()),TODAY(),NA()),IF(AH!$P$10=1,INDEX('Live History'!$G$5:$G$3004,MATCH($A2917,'Live History'!$G$5:$G$3004,1)),INDEX('AH History'!$F$1:$F$18046,AH!$P$7+2912))),NA()),NA())</ns0:f>
        <ns0:v/>
      </ns0:c>
      <ns0:c r="H2917">
        <ns0:f>IFERROR(IF(AND(AH!$E$4="Bloomberg",AH!$P$10=1,ISNUMBER($A2917),$A2917&lt;=AH!$P$17),AH!$P$7-1+MATCH($A2917,INDEX('AH History'!$A$1:$A$18046,AH!$P$7):INDEX('AH History'!$A$1:$A$18046,AH!$P$7+AH!$P$8-1),0),0),0)</ns0:f>
        <ns0:v/>
      </ns0:c>
      <ns0:c r="I2917">
        <ns0:f>IF($H2917=0,0,IFERROR(IF(AND(ABS($C2917-INDEX('AH History'!$B$1:$B$18046,$H2917))&lt;=MAX(0.005,ABS(INDEX('AH History'!$B$1:$B$18046,$H2917))*0.00005),ABS($D2917-INDEX('AH History'!$C$1:$C$18046,$H2917))&lt;=MAX(0.005,ABS(INDEX('AH History'!$C$1:$C$18046,$H2917))*0.00005),ABS($E2917-INDEX('AH History'!$D$1:$D$18046,$H2917))&lt;=0.00005,$F2917=INDEX('AH History'!$E$1:$E$18046,$H2917),$G2917=INDEX('AH History'!$F$1:$F$18046,$H2917)),1,-1),-1))</ns0:f>
        <ns0:v/>
      </ns0:c>
    </ns0:row>
    <ns0:row r="2918">
      <ns0:c r="A2918" s="215">
        <ns0:f>IF(OR(AH!$P$3=0,2913+1&gt;AH!$P$11,AND(AH!$E$4&lt;&gt;"Stored",AH!$P$10&lt;&gt;1)),"",IFERROR(IF(AND(AH!$P$21=1,2913+1=AH!$P$11),TODAY(),IF(AH!$P$10=1,INDEX('Live History'!$A$5:$A$3004,AH!$P$13+2913),INDEX('AH History'!$A$1:$A$18046,AH!$P$7+2913))),""))</ns0:f>
        <ns0:v/>
      </ns0:c>
      <ns0:c r="B2918" s="219">
        <ns0:f>IFERROR(IF(AND(AH!$P$9&lt;&gt;1,$C2918&gt;0,$D2918&gt;0,$E2918&gt;0,$F2918&gt;0,$G2918&gt;0,$F2918&lt;=$A2918,$G2918&lt;=$A2918,$A2918-$F2918&lt;=10,$A2918-$G2918&lt;=5),$D2918*$E2918/$C2918-1,NA()),NA())</ns0:f>
        <ns0:v/>
      </ns0:c>
      <ns0:c r="C2918">
        <ns0:f>IFERROR(IF(ISNUMBER($A2918),IF(AND(AH!$P$10=1,AH!$P$12=1,$A2918=TODAY()),AH!$P$19,IF(AH!$P$10=1,INDEX('Live History'!$B$5:$B$3004,AH!$P$13+2913),INDEX('AH History'!$B$1:$B$18046,AH!$P$7+2913))),NA()),NA())</ns0:f>
        <ns0:v/>
      </ns0:c>
      <ns0:c r="D2918">
        <ns0:f>IFERROR(IF(ISNUMBER($A2918),IF(AND(AH!$P$10=1,AH!$P$12=1,$A2918=TODAY()),AH!$P$18,IF(AH!$P$10=1,INDEX('Live History'!$E$5:$E$3004,MATCH($A2918,'Live History'!$D$5:$D$3004,1)),INDEX('AH History'!$C$1:$C$18046,AH!$P$7+2913))),NA()),NA())</ns0:f>
        <ns0:v/>
      </ns0:c>
      <ns0:c r="E2918">
        <ns0:f>IFERROR(IF(ISNUMBER($A2918),IF(AND(AH!$P$10=1,AH!$P$12=1,$A2918=TODAY()),AH!$P$20,IF(AH!$P$10=1,INDEX('Live History'!$H$5:$H$3004,MATCH($A2918,'Live History'!$G$5:$G$3004,1)),INDEX('AH History'!$D$1:$D$18046,AH!$P$7+2913))),NA()),NA())</ns0:f>
        <ns0:v/>
      </ns0:c>
      <ns0:c r="F2918">
        <ns0:f>IFERROR(IF(ISNUMBER($A2918),IF(AND(AH!$P$10=1,AH!$P$12=1,$A2918=TODAY()),IF(AND(AH!$P$10=1,AH!$P$12=1,$A2918=TODAY()),TODAY(),NA()),IF(AH!$P$10=1,INDEX('Live History'!$D$5:$D$3004,MATCH($A2918,'Live History'!$D$5:$D$3004,1)),INDEX('AH History'!$E$1:$E$18046,AH!$P$7+2913))),NA()),NA())</ns0:f>
        <ns0:v/>
      </ns0:c>
      <ns0:c r="G2918">
        <ns0:f>IFERROR(IF(ISNUMBER($A2918),IF(AND(AH!$P$10=1,AH!$P$12=1,$A2918=TODAY()),IF(AND(AH!$P$10=1,AH!$P$12=1,$A2918=TODAY()),TODAY(),NA()),IF(AH!$P$10=1,INDEX('Live History'!$G$5:$G$3004,MATCH($A2918,'Live History'!$G$5:$G$3004,1)),INDEX('AH History'!$F$1:$F$18046,AH!$P$7+2913))),NA()),NA())</ns0:f>
        <ns0:v/>
      </ns0:c>
      <ns0:c r="H2918">
        <ns0:f>IFERROR(IF(AND(AH!$E$4="Bloomberg",AH!$P$10=1,ISNUMBER($A2918),$A2918&lt;=AH!$P$17),AH!$P$7-1+MATCH($A2918,INDEX('AH History'!$A$1:$A$18046,AH!$P$7):INDEX('AH History'!$A$1:$A$18046,AH!$P$7+AH!$P$8-1),0),0),0)</ns0:f>
        <ns0:v/>
      </ns0:c>
      <ns0:c r="I2918">
        <ns0:f>IF($H2918=0,0,IFERROR(IF(AND(ABS($C2918-INDEX('AH History'!$B$1:$B$18046,$H2918))&lt;=MAX(0.005,ABS(INDEX('AH History'!$B$1:$B$18046,$H2918))*0.00005),ABS($D2918-INDEX('AH History'!$C$1:$C$18046,$H2918))&lt;=MAX(0.005,ABS(INDEX('AH History'!$C$1:$C$18046,$H2918))*0.00005),ABS($E2918-INDEX('AH History'!$D$1:$D$18046,$H2918))&lt;=0.00005,$F2918=INDEX('AH History'!$E$1:$E$18046,$H2918),$G2918=INDEX('AH History'!$F$1:$F$18046,$H2918)),1,-1),-1))</ns0:f>
        <ns0:v/>
      </ns0:c>
    </ns0:row>
    <ns0:row r="2919">
      <ns0:c r="A2919" s="215">
        <ns0:f>IF(OR(AH!$P$3=0,2914+1&gt;AH!$P$11,AND(AH!$E$4&lt;&gt;"Stored",AH!$P$10&lt;&gt;1)),"",IFERROR(IF(AND(AH!$P$21=1,2914+1=AH!$P$11),TODAY(),IF(AH!$P$10=1,INDEX('Live History'!$A$5:$A$3004,AH!$P$13+2914),INDEX('AH History'!$A$1:$A$18046,AH!$P$7+2914))),""))</ns0:f>
        <ns0:v/>
      </ns0:c>
      <ns0:c r="B2919" s="219">
        <ns0:f>IFERROR(IF(AND(AH!$P$9&lt;&gt;1,$C2919&gt;0,$D2919&gt;0,$E2919&gt;0,$F2919&gt;0,$G2919&gt;0,$F2919&lt;=$A2919,$G2919&lt;=$A2919,$A2919-$F2919&lt;=10,$A2919-$G2919&lt;=5),$D2919*$E2919/$C2919-1,NA()),NA())</ns0:f>
        <ns0:v/>
      </ns0:c>
      <ns0:c r="C2919">
        <ns0:f>IFERROR(IF(ISNUMBER($A2919),IF(AND(AH!$P$10=1,AH!$P$12=1,$A2919=TODAY()),AH!$P$19,IF(AH!$P$10=1,INDEX('Live History'!$B$5:$B$3004,AH!$P$13+2914),INDEX('AH History'!$B$1:$B$18046,AH!$P$7+2914))),NA()),NA())</ns0:f>
        <ns0:v/>
      </ns0:c>
      <ns0:c r="D2919">
        <ns0:f>IFERROR(IF(ISNUMBER($A2919),IF(AND(AH!$P$10=1,AH!$P$12=1,$A2919=TODAY()),AH!$P$18,IF(AH!$P$10=1,INDEX('Live History'!$E$5:$E$3004,MATCH($A2919,'Live History'!$D$5:$D$3004,1)),INDEX('AH History'!$C$1:$C$18046,AH!$P$7+2914))),NA()),NA())</ns0:f>
        <ns0:v/>
      </ns0:c>
      <ns0:c r="E2919">
        <ns0:f>IFERROR(IF(ISNUMBER($A2919),IF(AND(AH!$P$10=1,AH!$P$12=1,$A2919=TODAY()),AH!$P$20,IF(AH!$P$10=1,INDEX('Live History'!$H$5:$H$3004,MATCH($A2919,'Live History'!$G$5:$G$3004,1)),INDEX('AH History'!$D$1:$D$18046,AH!$P$7+2914))),NA()),NA())</ns0:f>
        <ns0:v/>
      </ns0:c>
      <ns0:c r="F2919">
        <ns0:f>IFERROR(IF(ISNUMBER($A2919),IF(AND(AH!$P$10=1,AH!$P$12=1,$A2919=TODAY()),IF(AND(AH!$P$10=1,AH!$P$12=1,$A2919=TODAY()),TODAY(),NA()),IF(AH!$P$10=1,INDEX('Live History'!$D$5:$D$3004,MATCH($A2919,'Live History'!$D$5:$D$3004,1)),INDEX('AH History'!$E$1:$E$18046,AH!$P$7+2914))),NA()),NA())</ns0:f>
        <ns0:v/>
      </ns0:c>
      <ns0:c r="G2919">
        <ns0:f>IFERROR(IF(ISNUMBER($A2919),IF(AND(AH!$P$10=1,AH!$P$12=1,$A2919=TODAY()),IF(AND(AH!$P$10=1,AH!$P$12=1,$A2919=TODAY()),TODAY(),NA()),IF(AH!$P$10=1,INDEX('Live History'!$G$5:$G$3004,MATCH($A2919,'Live History'!$G$5:$G$3004,1)),INDEX('AH History'!$F$1:$F$18046,AH!$P$7+2914))),NA()),NA())</ns0:f>
        <ns0:v/>
      </ns0:c>
      <ns0:c r="H2919">
        <ns0:f>IFERROR(IF(AND(AH!$E$4="Bloomberg",AH!$P$10=1,ISNUMBER($A2919),$A2919&lt;=AH!$P$17),AH!$P$7-1+MATCH($A2919,INDEX('AH History'!$A$1:$A$18046,AH!$P$7):INDEX('AH History'!$A$1:$A$18046,AH!$P$7+AH!$P$8-1),0),0),0)</ns0:f>
        <ns0:v/>
      </ns0:c>
      <ns0:c r="I2919">
        <ns0:f>IF($H2919=0,0,IFERROR(IF(AND(ABS($C2919-INDEX('AH History'!$B$1:$B$18046,$H2919))&lt;=MAX(0.005,ABS(INDEX('AH History'!$B$1:$B$18046,$H2919))*0.00005),ABS($D2919-INDEX('AH History'!$C$1:$C$18046,$H2919))&lt;=MAX(0.005,ABS(INDEX('AH History'!$C$1:$C$18046,$H2919))*0.00005),ABS($E2919-INDEX('AH History'!$D$1:$D$18046,$H2919))&lt;=0.00005,$F2919=INDEX('AH History'!$E$1:$E$18046,$H2919),$G2919=INDEX('AH History'!$F$1:$F$18046,$H2919)),1,-1),-1))</ns0:f>
        <ns0:v/>
      </ns0:c>
    </ns0:row>
    <ns0:row r="2920">
      <ns0:c r="A2920" s="215">
        <ns0:f>IF(OR(AH!$P$3=0,2915+1&gt;AH!$P$11,AND(AH!$E$4&lt;&gt;"Stored",AH!$P$10&lt;&gt;1)),"",IFERROR(IF(AND(AH!$P$21=1,2915+1=AH!$P$11),TODAY(),IF(AH!$P$10=1,INDEX('Live History'!$A$5:$A$3004,AH!$P$13+2915),INDEX('AH History'!$A$1:$A$18046,AH!$P$7+2915))),""))</ns0:f>
        <ns0:v/>
      </ns0:c>
      <ns0:c r="B2920" s="219">
        <ns0:f>IFERROR(IF(AND(AH!$P$9&lt;&gt;1,$C2920&gt;0,$D2920&gt;0,$E2920&gt;0,$F2920&gt;0,$G2920&gt;0,$F2920&lt;=$A2920,$G2920&lt;=$A2920,$A2920-$F2920&lt;=10,$A2920-$G2920&lt;=5),$D2920*$E2920/$C2920-1,NA()),NA())</ns0:f>
        <ns0:v/>
      </ns0:c>
      <ns0:c r="C2920">
        <ns0:f>IFERROR(IF(ISNUMBER($A2920),IF(AND(AH!$P$10=1,AH!$P$12=1,$A2920=TODAY()),AH!$P$19,IF(AH!$P$10=1,INDEX('Live History'!$B$5:$B$3004,AH!$P$13+2915),INDEX('AH History'!$B$1:$B$18046,AH!$P$7+2915))),NA()),NA())</ns0:f>
        <ns0:v/>
      </ns0:c>
      <ns0:c r="D2920">
        <ns0:f>IFERROR(IF(ISNUMBER($A2920),IF(AND(AH!$P$10=1,AH!$P$12=1,$A2920=TODAY()),AH!$P$18,IF(AH!$P$10=1,INDEX('Live History'!$E$5:$E$3004,MATCH($A2920,'Live History'!$D$5:$D$3004,1)),INDEX('AH History'!$C$1:$C$18046,AH!$P$7+2915))),NA()),NA())</ns0:f>
        <ns0:v/>
      </ns0:c>
      <ns0:c r="E2920">
        <ns0:f>IFERROR(IF(ISNUMBER($A2920),IF(AND(AH!$P$10=1,AH!$P$12=1,$A2920=TODAY()),AH!$P$20,IF(AH!$P$10=1,INDEX('Live History'!$H$5:$H$3004,MATCH($A2920,'Live History'!$G$5:$G$3004,1)),INDEX('AH History'!$D$1:$D$18046,AH!$P$7+2915))),NA()),NA())</ns0:f>
        <ns0:v/>
      </ns0:c>
      <ns0:c r="F2920">
        <ns0:f>IFERROR(IF(ISNUMBER($A2920),IF(AND(AH!$P$10=1,AH!$P$12=1,$A2920=TODAY()),IF(AND(AH!$P$10=1,AH!$P$12=1,$A2920=TODAY()),TODAY(),NA()),IF(AH!$P$10=1,INDEX('Live History'!$D$5:$D$3004,MATCH($A2920,'Live History'!$D$5:$D$3004,1)),INDEX('AH History'!$E$1:$E$18046,AH!$P$7+2915))),NA()),NA())</ns0:f>
        <ns0:v/>
      </ns0:c>
      <ns0:c r="G2920">
        <ns0:f>IFERROR(IF(ISNUMBER($A2920),IF(AND(AH!$P$10=1,AH!$P$12=1,$A2920=TODAY()),IF(AND(AH!$P$10=1,AH!$P$12=1,$A2920=TODAY()),TODAY(),NA()),IF(AH!$P$10=1,INDEX('Live History'!$G$5:$G$3004,MATCH($A2920,'Live History'!$G$5:$G$3004,1)),INDEX('AH History'!$F$1:$F$18046,AH!$P$7+2915))),NA()),NA())</ns0:f>
        <ns0:v/>
      </ns0:c>
      <ns0:c r="H2920">
        <ns0:f>IFERROR(IF(AND(AH!$E$4="Bloomberg",AH!$P$10=1,ISNUMBER($A2920),$A2920&lt;=AH!$P$17),AH!$P$7-1+MATCH($A2920,INDEX('AH History'!$A$1:$A$18046,AH!$P$7):INDEX('AH History'!$A$1:$A$18046,AH!$P$7+AH!$P$8-1),0),0),0)</ns0:f>
        <ns0:v/>
      </ns0:c>
      <ns0:c r="I2920">
        <ns0:f>IF($H2920=0,0,IFERROR(IF(AND(ABS($C2920-INDEX('AH History'!$B$1:$B$18046,$H2920))&lt;=MAX(0.005,ABS(INDEX('AH History'!$B$1:$B$18046,$H2920))*0.00005),ABS($D2920-INDEX('AH History'!$C$1:$C$18046,$H2920))&lt;=MAX(0.005,ABS(INDEX('AH History'!$C$1:$C$18046,$H2920))*0.00005),ABS($E2920-INDEX('AH History'!$D$1:$D$18046,$H2920))&lt;=0.00005,$F2920=INDEX('AH History'!$E$1:$E$18046,$H2920),$G2920=INDEX('AH History'!$F$1:$F$18046,$H2920)),1,-1),-1))</ns0:f>
        <ns0:v/>
      </ns0:c>
    </ns0:row>
    <ns0:row r="2921">
      <ns0:c r="A2921" s="215">
        <ns0:f>IF(OR(AH!$P$3=0,2916+1&gt;AH!$P$11,AND(AH!$E$4&lt;&gt;"Stored",AH!$P$10&lt;&gt;1)),"",IFERROR(IF(AND(AH!$P$21=1,2916+1=AH!$P$11),TODAY(),IF(AH!$P$10=1,INDEX('Live History'!$A$5:$A$3004,AH!$P$13+2916),INDEX('AH History'!$A$1:$A$18046,AH!$P$7+2916))),""))</ns0:f>
        <ns0:v/>
      </ns0:c>
      <ns0:c r="B2921" s="219">
        <ns0:f>IFERROR(IF(AND(AH!$P$9&lt;&gt;1,$C2921&gt;0,$D2921&gt;0,$E2921&gt;0,$F2921&gt;0,$G2921&gt;0,$F2921&lt;=$A2921,$G2921&lt;=$A2921,$A2921-$F2921&lt;=10,$A2921-$G2921&lt;=5),$D2921*$E2921/$C2921-1,NA()),NA())</ns0:f>
        <ns0:v/>
      </ns0:c>
      <ns0:c r="C2921">
        <ns0:f>IFERROR(IF(ISNUMBER($A2921),IF(AND(AH!$P$10=1,AH!$P$12=1,$A2921=TODAY()),AH!$P$19,IF(AH!$P$10=1,INDEX('Live History'!$B$5:$B$3004,AH!$P$13+2916),INDEX('AH History'!$B$1:$B$18046,AH!$P$7+2916))),NA()),NA())</ns0:f>
        <ns0:v/>
      </ns0:c>
      <ns0:c r="D2921">
        <ns0:f>IFERROR(IF(ISNUMBER($A2921),IF(AND(AH!$P$10=1,AH!$P$12=1,$A2921=TODAY()),AH!$P$18,IF(AH!$P$10=1,INDEX('Live History'!$E$5:$E$3004,MATCH($A2921,'Live History'!$D$5:$D$3004,1)),INDEX('AH History'!$C$1:$C$18046,AH!$P$7+2916))),NA()),NA())</ns0:f>
        <ns0:v/>
      </ns0:c>
      <ns0:c r="E2921">
        <ns0:f>IFERROR(IF(ISNUMBER($A2921),IF(AND(AH!$P$10=1,AH!$P$12=1,$A2921=TODAY()),AH!$P$20,IF(AH!$P$10=1,INDEX('Live History'!$H$5:$H$3004,MATCH($A2921,'Live History'!$G$5:$G$3004,1)),INDEX('AH History'!$D$1:$D$18046,AH!$P$7+2916))),NA()),NA())</ns0:f>
        <ns0:v/>
      </ns0:c>
      <ns0:c r="F2921">
        <ns0:f>IFERROR(IF(ISNUMBER($A2921),IF(AND(AH!$P$10=1,AH!$P$12=1,$A2921=TODAY()),IF(AND(AH!$P$10=1,AH!$P$12=1,$A2921=TODAY()),TODAY(),NA()),IF(AH!$P$10=1,INDEX('Live History'!$D$5:$D$3004,MATCH($A2921,'Live History'!$D$5:$D$3004,1)),INDEX('AH History'!$E$1:$E$18046,AH!$P$7+2916))),NA()),NA())</ns0:f>
        <ns0:v/>
      </ns0:c>
      <ns0:c r="G2921">
        <ns0:f>IFERROR(IF(ISNUMBER($A2921),IF(AND(AH!$P$10=1,AH!$P$12=1,$A2921=TODAY()),IF(AND(AH!$P$10=1,AH!$P$12=1,$A2921=TODAY()),TODAY(),NA()),IF(AH!$P$10=1,INDEX('Live History'!$G$5:$G$3004,MATCH($A2921,'Live History'!$G$5:$G$3004,1)),INDEX('AH History'!$F$1:$F$18046,AH!$P$7+2916))),NA()),NA())</ns0:f>
        <ns0:v/>
      </ns0:c>
      <ns0:c r="H2921">
        <ns0:f>IFERROR(IF(AND(AH!$E$4="Bloomberg",AH!$P$10=1,ISNUMBER($A2921),$A2921&lt;=AH!$P$17),AH!$P$7-1+MATCH($A2921,INDEX('AH History'!$A$1:$A$18046,AH!$P$7):INDEX('AH History'!$A$1:$A$18046,AH!$P$7+AH!$P$8-1),0),0),0)</ns0:f>
        <ns0:v/>
      </ns0:c>
      <ns0:c r="I2921">
        <ns0:f>IF($H2921=0,0,IFERROR(IF(AND(ABS($C2921-INDEX('AH History'!$B$1:$B$18046,$H2921))&lt;=MAX(0.005,ABS(INDEX('AH History'!$B$1:$B$18046,$H2921))*0.00005),ABS($D2921-INDEX('AH History'!$C$1:$C$18046,$H2921))&lt;=MAX(0.005,ABS(INDEX('AH History'!$C$1:$C$18046,$H2921))*0.00005),ABS($E2921-INDEX('AH History'!$D$1:$D$18046,$H2921))&lt;=0.00005,$F2921=INDEX('AH History'!$E$1:$E$18046,$H2921),$G2921=INDEX('AH History'!$F$1:$F$18046,$H2921)),1,-1),-1))</ns0:f>
        <ns0:v/>
      </ns0:c>
    </ns0:row>
    <ns0:row r="2922">
      <ns0:c r="A2922" s="215">
        <ns0:f>IF(OR(AH!$P$3=0,2917+1&gt;AH!$P$11,AND(AH!$E$4&lt;&gt;"Stored",AH!$P$10&lt;&gt;1)),"",IFERROR(IF(AND(AH!$P$21=1,2917+1=AH!$P$11),TODAY(),IF(AH!$P$10=1,INDEX('Live History'!$A$5:$A$3004,AH!$P$13+2917),INDEX('AH History'!$A$1:$A$18046,AH!$P$7+2917))),""))</ns0:f>
        <ns0:v/>
      </ns0:c>
      <ns0:c r="B2922" s="219">
        <ns0:f>IFERROR(IF(AND(AH!$P$9&lt;&gt;1,$C2922&gt;0,$D2922&gt;0,$E2922&gt;0,$F2922&gt;0,$G2922&gt;0,$F2922&lt;=$A2922,$G2922&lt;=$A2922,$A2922-$F2922&lt;=10,$A2922-$G2922&lt;=5),$D2922*$E2922/$C2922-1,NA()),NA())</ns0:f>
        <ns0:v/>
      </ns0:c>
      <ns0:c r="C2922">
        <ns0:f>IFERROR(IF(ISNUMBER($A2922),IF(AND(AH!$P$10=1,AH!$P$12=1,$A2922=TODAY()),AH!$P$19,IF(AH!$P$10=1,INDEX('Live History'!$B$5:$B$3004,AH!$P$13+2917),INDEX('AH History'!$B$1:$B$18046,AH!$P$7+2917))),NA()),NA())</ns0:f>
        <ns0:v/>
      </ns0:c>
      <ns0:c r="D2922">
        <ns0:f>IFERROR(IF(ISNUMBER($A2922),IF(AND(AH!$P$10=1,AH!$P$12=1,$A2922=TODAY()),AH!$P$18,IF(AH!$P$10=1,INDEX('Live History'!$E$5:$E$3004,MATCH($A2922,'Live History'!$D$5:$D$3004,1)),INDEX('AH History'!$C$1:$C$18046,AH!$P$7+2917))),NA()),NA())</ns0:f>
        <ns0:v/>
      </ns0:c>
      <ns0:c r="E2922">
        <ns0:f>IFERROR(IF(ISNUMBER($A2922),IF(AND(AH!$P$10=1,AH!$P$12=1,$A2922=TODAY()),AH!$P$20,IF(AH!$P$10=1,INDEX('Live History'!$H$5:$H$3004,MATCH($A2922,'Live History'!$G$5:$G$3004,1)),INDEX('AH History'!$D$1:$D$18046,AH!$P$7+2917))),NA()),NA())</ns0:f>
        <ns0:v/>
      </ns0:c>
      <ns0:c r="F2922">
        <ns0:f>IFERROR(IF(ISNUMBER($A2922),IF(AND(AH!$P$10=1,AH!$P$12=1,$A2922=TODAY()),IF(AND(AH!$P$10=1,AH!$P$12=1,$A2922=TODAY()),TODAY(),NA()),IF(AH!$P$10=1,INDEX('Live History'!$D$5:$D$3004,MATCH($A2922,'Live History'!$D$5:$D$3004,1)),INDEX('AH History'!$E$1:$E$18046,AH!$P$7+2917))),NA()),NA())</ns0:f>
        <ns0:v/>
      </ns0:c>
      <ns0:c r="G2922">
        <ns0:f>IFERROR(IF(ISNUMBER($A2922),IF(AND(AH!$P$10=1,AH!$P$12=1,$A2922=TODAY()),IF(AND(AH!$P$10=1,AH!$P$12=1,$A2922=TODAY()),TODAY(),NA()),IF(AH!$P$10=1,INDEX('Live History'!$G$5:$G$3004,MATCH($A2922,'Live History'!$G$5:$G$3004,1)),INDEX('AH History'!$F$1:$F$18046,AH!$P$7+2917))),NA()),NA())</ns0:f>
        <ns0:v/>
      </ns0:c>
      <ns0:c r="H2922">
        <ns0:f>IFERROR(IF(AND(AH!$E$4="Bloomberg",AH!$P$10=1,ISNUMBER($A2922),$A2922&lt;=AH!$P$17),AH!$P$7-1+MATCH($A2922,INDEX('AH History'!$A$1:$A$18046,AH!$P$7):INDEX('AH History'!$A$1:$A$18046,AH!$P$7+AH!$P$8-1),0),0),0)</ns0:f>
        <ns0:v/>
      </ns0:c>
      <ns0:c r="I2922">
        <ns0:f>IF($H2922=0,0,IFERROR(IF(AND(ABS($C2922-INDEX('AH History'!$B$1:$B$18046,$H2922))&lt;=MAX(0.005,ABS(INDEX('AH History'!$B$1:$B$18046,$H2922))*0.00005),ABS($D2922-INDEX('AH History'!$C$1:$C$18046,$H2922))&lt;=MAX(0.005,ABS(INDEX('AH History'!$C$1:$C$18046,$H2922))*0.00005),ABS($E2922-INDEX('AH History'!$D$1:$D$18046,$H2922))&lt;=0.00005,$F2922=INDEX('AH History'!$E$1:$E$18046,$H2922),$G2922=INDEX('AH History'!$F$1:$F$18046,$H2922)),1,-1),-1))</ns0:f>
        <ns0:v/>
      </ns0:c>
    </ns0:row>
    <ns0:row r="2923">
      <ns0:c r="A2923" s="215">
        <ns0:f>IF(OR(AH!$P$3=0,2918+1&gt;AH!$P$11,AND(AH!$E$4&lt;&gt;"Stored",AH!$P$10&lt;&gt;1)),"",IFERROR(IF(AND(AH!$P$21=1,2918+1=AH!$P$11),TODAY(),IF(AH!$P$10=1,INDEX('Live History'!$A$5:$A$3004,AH!$P$13+2918),INDEX('AH History'!$A$1:$A$18046,AH!$P$7+2918))),""))</ns0:f>
        <ns0:v/>
      </ns0:c>
      <ns0:c r="B2923" s="219">
        <ns0:f>IFERROR(IF(AND(AH!$P$9&lt;&gt;1,$C2923&gt;0,$D2923&gt;0,$E2923&gt;0,$F2923&gt;0,$G2923&gt;0,$F2923&lt;=$A2923,$G2923&lt;=$A2923,$A2923-$F2923&lt;=10,$A2923-$G2923&lt;=5),$D2923*$E2923/$C2923-1,NA()),NA())</ns0:f>
        <ns0:v/>
      </ns0:c>
      <ns0:c r="C2923">
        <ns0:f>IFERROR(IF(ISNUMBER($A2923),IF(AND(AH!$P$10=1,AH!$P$12=1,$A2923=TODAY()),AH!$P$19,IF(AH!$P$10=1,INDEX('Live History'!$B$5:$B$3004,AH!$P$13+2918),INDEX('AH History'!$B$1:$B$18046,AH!$P$7+2918))),NA()),NA())</ns0:f>
        <ns0:v/>
      </ns0:c>
      <ns0:c r="D2923">
        <ns0:f>IFERROR(IF(ISNUMBER($A2923),IF(AND(AH!$P$10=1,AH!$P$12=1,$A2923=TODAY()),AH!$P$18,IF(AH!$P$10=1,INDEX('Live History'!$E$5:$E$3004,MATCH($A2923,'Live History'!$D$5:$D$3004,1)),INDEX('AH History'!$C$1:$C$18046,AH!$P$7+2918))),NA()),NA())</ns0:f>
        <ns0:v/>
      </ns0:c>
      <ns0:c r="E2923">
        <ns0:f>IFERROR(IF(ISNUMBER($A2923),IF(AND(AH!$P$10=1,AH!$P$12=1,$A2923=TODAY()),AH!$P$20,IF(AH!$P$10=1,INDEX('Live History'!$H$5:$H$3004,MATCH($A2923,'Live History'!$G$5:$G$3004,1)),INDEX('AH History'!$D$1:$D$18046,AH!$P$7+2918))),NA()),NA())</ns0:f>
        <ns0:v/>
      </ns0:c>
      <ns0:c r="F2923">
        <ns0:f>IFERROR(IF(ISNUMBER($A2923),IF(AND(AH!$P$10=1,AH!$P$12=1,$A2923=TODAY()),IF(AND(AH!$P$10=1,AH!$P$12=1,$A2923=TODAY()),TODAY(),NA()),IF(AH!$P$10=1,INDEX('Live History'!$D$5:$D$3004,MATCH($A2923,'Live History'!$D$5:$D$3004,1)),INDEX('AH History'!$E$1:$E$18046,AH!$P$7+2918))),NA()),NA())</ns0:f>
        <ns0:v/>
      </ns0:c>
      <ns0:c r="G2923">
        <ns0:f>IFERROR(IF(ISNUMBER($A2923),IF(AND(AH!$P$10=1,AH!$P$12=1,$A2923=TODAY()),IF(AND(AH!$P$10=1,AH!$P$12=1,$A2923=TODAY()),TODAY(),NA()),IF(AH!$P$10=1,INDEX('Live History'!$G$5:$G$3004,MATCH($A2923,'Live History'!$G$5:$G$3004,1)),INDEX('AH History'!$F$1:$F$18046,AH!$P$7+2918))),NA()),NA())</ns0:f>
        <ns0:v/>
      </ns0:c>
      <ns0:c r="H2923">
        <ns0:f>IFERROR(IF(AND(AH!$E$4="Bloomberg",AH!$P$10=1,ISNUMBER($A2923),$A2923&lt;=AH!$P$17),AH!$P$7-1+MATCH($A2923,INDEX('AH History'!$A$1:$A$18046,AH!$P$7):INDEX('AH History'!$A$1:$A$18046,AH!$P$7+AH!$P$8-1),0),0),0)</ns0:f>
        <ns0:v/>
      </ns0:c>
      <ns0:c r="I2923">
        <ns0:f>IF($H2923=0,0,IFERROR(IF(AND(ABS($C2923-INDEX('AH History'!$B$1:$B$18046,$H2923))&lt;=MAX(0.005,ABS(INDEX('AH History'!$B$1:$B$18046,$H2923))*0.00005),ABS($D2923-INDEX('AH History'!$C$1:$C$18046,$H2923))&lt;=MAX(0.005,ABS(INDEX('AH History'!$C$1:$C$18046,$H2923))*0.00005),ABS($E2923-INDEX('AH History'!$D$1:$D$18046,$H2923))&lt;=0.00005,$F2923=INDEX('AH History'!$E$1:$E$18046,$H2923),$G2923=INDEX('AH History'!$F$1:$F$18046,$H2923)),1,-1),-1))</ns0:f>
        <ns0:v/>
      </ns0:c>
    </ns0:row>
    <ns0:row r="2924">
      <ns0:c r="A2924" s="215">
        <ns0:f>IF(OR(AH!$P$3=0,2919+1&gt;AH!$P$11,AND(AH!$E$4&lt;&gt;"Stored",AH!$P$10&lt;&gt;1)),"",IFERROR(IF(AND(AH!$P$21=1,2919+1=AH!$P$11),TODAY(),IF(AH!$P$10=1,INDEX('Live History'!$A$5:$A$3004,AH!$P$13+2919),INDEX('AH History'!$A$1:$A$18046,AH!$P$7+2919))),""))</ns0:f>
        <ns0:v/>
      </ns0:c>
      <ns0:c r="B2924" s="219">
        <ns0:f>IFERROR(IF(AND(AH!$P$9&lt;&gt;1,$C2924&gt;0,$D2924&gt;0,$E2924&gt;0,$F2924&gt;0,$G2924&gt;0,$F2924&lt;=$A2924,$G2924&lt;=$A2924,$A2924-$F2924&lt;=10,$A2924-$G2924&lt;=5),$D2924*$E2924/$C2924-1,NA()),NA())</ns0:f>
        <ns0:v/>
      </ns0:c>
      <ns0:c r="C2924">
        <ns0:f>IFERROR(IF(ISNUMBER($A2924),IF(AND(AH!$P$10=1,AH!$P$12=1,$A2924=TODAY()),AH!$P$19,IF(AH!$P$10=1,INDEX('Live History'!$B$5:$B$3004,AH!$P$13+2919),INDEX('AH History'!$B$1:$B$18046,AH!$P$7+2919))),NA()),NA())</ns0:f>
        <ns0:v/>
      </ns0:c>
      <ns0:c r="D2924">
        <ns0:f>IFERROR(IF(ISNUMBER($A2924),IF(AND(AH!$P$10=1,AH!$P$12=1,$A2924=TODAY()),AH!$P$18,IF(AH!$P$10=1,INDEX('Live History'!$E$5:$E$3004,MATCH($A2924,'Live History'!$D$5:$D$3004,1)),INDEX('AH History'!$C$1:$C$18046,AH!$P$7+2919))),NA()),NA())</ns0:f>
        <ns0:v/>
      </ns0:c>
      <ns0:c r="E2924">
        <ns0:f>IFERROR(IF(ISNUMBER($A2924),IF(AND(AH!$P$10=1,AH!$P$12=1,$A2924=TODAY()),AH!$P$20,IF(AH!$P$10=1,INDEX('Live History'!$H$5:$H$3004,MATCH($A2924,'Live History'!$G$5:$G$3004,1)),INDEX('AH History'!$D$1:$D$18046,AH!$P$7+2919))),NA()),NA())</ns0:f>
        <ns0:v/>
      </ns0:c>
      <ns0:c r="F2924">
        <ns0:f>IFERROR(IF(ISNUMBER($A2924),IF(AND(AH!$P$10=1,AH!$P$12=1,$A2924=TODAY()),IF(AND(AH!$P$10=1,AH!$P$12=1,$A2924=TODAY()),TODAY(),NA()),IF(AH!$P$10=1,INDEX('Live History'!$D$5:$D$3004,MATCH($A2924,'Live History'!$D$5:$D$3004,1)),INDEX('AH History'!$E$1:$E$18046,AH!$P$7+2919))),NA()),NA())</ns0:f>
        <ns0:v/>
      </ns0:c>
      <ns0:c r="G2924">
        <ns0:f>IFERROR(IF(ISNUMBER($A2924),IF(AND(AH!$P$10=1,AH!$P$12=1,$A2924=TODAY()),IF(AND(AH!$P$10=1,AH!$P$12=1,$A2924=TODAY()),TODAY(),NA()),IF(AH!$P$10=1,INDEX('Live History'!$G$5:$G$3004,MATCH($A2924,'Live History'!$G$5:$G$3004,1)),INDEX('AH History'!$F$1:$F$18046,AH!$P$7+2919))),NA()),NA())</ns0:f>
        <ns0:v/>
      </ns0:c>
      <ns0:c r="H2924">
        <ns0:f>IFERROR(IF(AND(AH!$E$4="Bloomberg",AH!$P$10=1,ISNUMBER($A2924),$A2924&lt;=AH!$P$17),AH!$P$7-1+MATCH($A2924,INDEX('AH History'!$A$1:$A$18046,AH!$P$7):INDEX('AH History'!$A$1:$A$18046,AH!$P$7+AH!$P$8-1),0),0),0)</ns0:f>
        <ns0:v/>
      </ns0:c>
      <ns0:c r="I2924">
        <ns0:f>IF($H2924=0,0,IFERROR(IF(AND(ABS($C2924-INDEX('AH History'!$B$1:$B$18046,$H2924))&lt;=MAX(0.005,ABS(INDEX('AH History'!$B$1:$B$18046,$H2924))*0.00005),ABS($D2924-INDEX('AH History'!$C$1:$C$18046,$H2924))&lt;=MAX(0.005,ABS(INDEX('AH History'!$C$1:$C$18046,$H2924))*0.00005),ABS($E2924-INDEX('AH History'!$D$1:$D$18046,$H2924))&lt;=0.00005,$F2924=INDEX('AH History'!$E$1:$E$18046,$H2924),$G2924=INDEX('AH History'!$F$1:$F$18046,$H2924)),1,-1),-1))</ns0:f>
        <ns0:v/>
      </ns0:c>
    </ns0:row>
    <ns0:row r="2925">
      <ns0:c r="A2925" s="215">
        <ns0:f>IF(OR(AH!$P$3=0,2920+1&gt;AH!$P$11,AND(AH!$E$4&lt;&gt;"Stored",AH!$P$10&lt;&gt;1)),"",IFERROR(IF(AND(AH!$P$21=1,2920+1=AH!$P$11),TODAY(),IF(AH!$P$10=1,INDEX('Live History'!$A$5:$A$3004,AH!$P$13+2920),INDEX('AH History'!$A$1:$A$18046,AH!$P$7+2920))),""))</ns0:f>
        <ns0:v/>
      </ns0:c>
      <ns0:c r="B2925" s="219">
        <ns0:f>IFERROR(IF(AND(AH!$P$9&lt;&gt;1,$C2925&gt;0,$D2925&gt;0,$E2925&gt;0,$F2925&gt;0,$G2925&gt;0,$F2925&lt;=$A2925,$G2925&lt;=$A2925,$A2925-$F2925&lt;=10,$A2925-$G2925&lt;=5),$D2925*$E2925/$C2925-1,NA()),NA())</ns0:f>
        <ns0:v/>
      </ns0:c>
      <ns0:c r="C2925">
        <ns0:f>IFERROR(IF(ISNUMBER($A2925),IF(AND(AH!$P$10=1,AH!$P$12=1,$A2925=TODAY()),AH!$P$19,IF(AH!$P$10=1,INDEX('Live History'!$B$5:$B$3004,AH!$P$13+2920),INDEX('AH History'!$B$1:$B$18046,AH!$P$7+2920))),NA()),NA())</ns0:f>
        <ns0:v/>
      </ns0:c>
      <ns0:c r="D2925">
        <ns0:f>IFERROR(IF(ISNUMBER($A2925),IF(AND(AH!$P$10=1,AH!$P$12=1,$A2925=TODAY()),AH!$P$18,IF(AH!$P$10=1,INDEX('Live History'!$E$5:$E$3004,MATCH($A2925,'Live History'!$D$5:$D$3004,1)),INDEX('AH History'!$C$1:$C$18046,AH!$P$7+2920))),NA()),NA())</ns0:f>
        <ns0:v/>
      </ns0:c>
      <ns0:c r="E2925">
        <ns0:f>IFERROR(IF(ISNUMBER($A2925),IF(AND(AH!$P$10=1,AH!$P$12=1,$A2925=TODAY()),AH!$P$20,IF(AH!$P$10=1,INDEX('Live History'!$H$5:$H$3004,MATCH($A2925,'Live History'!$G$5:$G$3004,1)),INDEX('AH History'!$D$1:$D$18046,AH!$P$7+2920))),NA()),NA())</ns0:f>
        <ns0:v/>
      </ns0:c>
      <ns0:c r="F2925">
        <ns0:f>IFERROR(IF(ISNUMBER($A2925),IF(AND(AH!$P$10=1,AH!$P$12=1,$A2925=TODAY()),IF(AND(AH!$P$10=1,AH!$P$12=1,$A2925=TODAY()),TODAY(),NA()),IF(AH!$P$10=1,INDEX('Live History'!$D$5:$D$3004,MATCH($A2925,'Live History'!$D$5:$D$3004,1)),INDEX('AH History'!$E$1:$E$18046,AH!$P$7+2920))),NA()),NA())</ns0:f>
        <ns0:v/>
      </ns0:c>
      <ns0:c r="G2925">
        <ns0:f>IFERROR(IF(ISNUMBER($A2925),IF(AND(AH!$P$10=1,AH!$P$12=1,$A2925=TODAY()),IF(AND(AH!$P$10=1,AH!$P$12=1,$A2925=TODAY()),TODAY(),NA()),IF(AH!$P$10=1,INDEX('Live History'!$G$5:$G$3004,MATCH($A2925,'Live History'!$G$5:$G$3004,1)),INDEX('AH History'!$F$1:$F$18046,AH!$P$7+2920))),NA()),NA())</ns0:f>
        <ns0:v/>
      </ns0:c>
      <ns0:c r="H2925">
        <ns0:f>IFERROR(IF(AND(AH!$E$4="Bloomberg",AH!$P$10=1,ISNUMBER($A2925),$A2925&lt;=AH!$P$17),AH!$P$7-1+MATCH($A2925,INDEX('AH History'!$A$1:$A$18046,AH!$P$7):INDEX('AH History'!$A$1:$A$18046,AH!$P$7+AH!$P$8-1),0),0),0)</ns0:f>
        <ns0:v/>
      </ns0:c>
      <ns0:c r="I2925">
        <ns0:f>IF($H2925=0,0,IFERROR(IF(AND(ABS($C2925-INDEX('AH History'!$B$1:$B$18046,$H2925))&lt;=MAX(0.005,ABS(INDEX('AH History'!$B$1:$B$18046,$H2925))*0.00005),ABS($D2925-INDEX('AH History'!$C$1:$C$18046,$H2925))&lt;=MAX(0.005,ABS(INDEX('AH History'!$C$1:$C$18046,$H2925))*0.00005),ABS($E2925-INDEX('AH History'!$D$1:$D$18046,$H2925))&lt;=0.00005,$F2925=INDEX('AH History'!$E$1:$E$18046,$H2925),$G2925=INDEX('AH History'!$F$1:$F$18046,$H2925)),1,-1),-1))</ns0:f>
        <ns0:v/>
      </ns0:c>
    </ns0:row>
    <ns0:row r="2926">
      <ns0:c r="A2926" s="215">
        <ns0:f>IF(OR(AH!$P$3=0,2921+1&gt;AH!$P$11,AND(AH!$E$4&lt;&gt;"Stored",AH!$P$10&lt;&gt;1)),"",IFERROR(IF(AND(AH!$P$21=1,2921+1=AH!$P$11),TODAY(),IF(AH!$P$10=1,INDEX('Live History'!$A$5:$A$3004,AH!$P$13+2921),INDEX('AH History'!$A$1:$A$18046,AH!$P$7+2921))),""))</ns0:f>
        <ns0:v/>
      </ns0:c>
      <ns0:c r="B2926" s="219">
        <ns0:f>IFERROR(IF(AND(AH!$P$9&lt;&gt;1,$C2926&gt;0,$D2926&gt;0,$E2926&gt;0,$F2926&gt;0,$G2926&gt;0,$F2926&lt;=$A2926,$G2926&lt;=$A2926,$A2926-$F2926&lt;=10,$A2926-$G2926&lt;=5),$D2926*$E2926/$C2926-1,NA()),NA())</ns0:f>
        <ns0:v/>
      </ns0:c>
      <ns0:c r="C2926">
        <ns0:f>IFERROR(IF(ISNUMBER($A2926),IF(AND(AH!$P$10=1,AH!$P$12=1,$A2926=TODAY()),AH!$P$19,IF(AH!$P$10=1,INDEX('Live History'!$B$5:$B$3004,AH!$P$13+2921),INDEX('AH History'!$B$1:$B$18046,AH!$P$7+2921))),NA()),NA())</ns0:f>
        <ns0:v/>
      </ns0:c>
      <ns0:c r="D2926">
        <ns0:f>IFERROR(IF(ISNUMBER($A2926),IF(AND(AH!$P$10=1,AH!$P$12=1,$A2926=TODAY()),AH!$P$18,IF(AH!$P$10=1,INDEX('Live History'!$E$5:$E$3004,MATCH($A2926,'Live History'!$D$5:$D$3004,1)),INDEX('AH History'!$C$1:$C$18046,AH!$P$7+2921))),NA()),NA())</ns0:f>
        <ns0:v/>
      </ns0:c>
      <ns0:c r="E2926">
        <ns0:f>IFERROR(IF(ISNUMBER($A2926),IF(AND(AH!$P$10=1,AH!$P$12=1,$A2926=TODAY()),AH!$P$20,IF(AH!$P$10=1,INDEX('Live History'!$H$5:$H$3004,MATCH($A2926,'Live History'!$G$5:$G$3004,1)),INDEX('AH History'!$D$1:$D$18046,AH!$P$7+2921))),NA()),NA())</ns0:f>
        <ns0:v/>
      </ns0:c>
      <ns0:c r="F2926">
        <ns0:f>IFERROR(IF(ISNUMBER($A2926),IF(AND(AH!$P$10=1,AH!$P$12=1,$A2926=TODAY()),IF(AND(AH!$P$10=1,AH!$P$12=1,$A2926=TODAY()),TODAY(),NA()),IF(AH!$P$10=1,INDEX('Live History'!$D$5:$D$3004,MATCH($A2926,'Live History'!$D$5:$D$3004,1)),INDEX('AH History'!$E$1:$E$18046,AH!$P$7+2921))),NA()),NA())</ns0:f>
        <ns0:v/>
      </ns0:c>
      <ns0:c r="G2926">
        <ns0:f>IFERROR(IF(ISNUMBER($A2926),IF(AND(AH!$P$10=1,AH!$P$12=1,$A2926=TODAY()),IF(AND(AH!$P$10=1,AH!$P$12=1,$A2926=TODAY()),TODAY(),NA()),IF(AH!$P$10=1,INDEX('Live History'!$G$5:$G$3004,MATCH($A2926,'Live History'!$G$5:$G$3004,1)),INDEX('AH History'!$F$1:$F$18046,AH!$P$7+2921))),NA()),NA())</ns0:f>
        <ns0:v/>
      </ns0:c>
      <ns0:c r="H2926">
        <ns0:f>IFERROR(IF(AND(AH!$E$4="Bloomberg",AH!$P$10=1,ISNUMBER($A2926),$A2926&lt;=AH!$P$17),AH!$P$7-1+MATCH($A2926,INDEX('AH History'!$A$1:$A$18046,AH!$P$7):INDEX('AH History'!$A$1:$A$18046,AH!$P$7+AH!$P$8-1),0),0),0)</ns0:f>
        <ns0:v/>
      </ns0:c>
      <ns0:c r="I2926">
        <ns0:f>IF($H2926=0,0,IFERROR(IF(AND(ABS($C2926-INDEX('AH History'!$B$1:$B$18046,$H2926))&lt;=MAX(0.005,ABS(INDEX('AH History'!$B$1:$B$18046,$H2926))*0.00005),ABS($D2926-INDEX('AH History'!$C$1:$C$18046,$H2926))&lt;=MAX(0.005,ABS(INDEX('AH History'!$C$1:$C$18046,$H2926))*0.00005),ABS($E2926-INDEX('AH History'!$D$1:$D$18046,$H2926))&lt;=0.00005,$F2926=INDEX('AH History'!$E$1:$E$18046,$H2926),$G2926=INDEX('AH History'!$F$1:$F$18046,$H2926)),1,-1),-1))</ns0:f>
        <ns0:v/>
      </ns0:c>
    </ns0:row>
    <ns0:row r="2927">
      <ns0:c r="A2927" s="215">
        <ns0:f>IF(OR(AH!$P$3=0,2922+1&gt;AH!$P$11,AND(AH!$E$4&lt;&gt;"Stored",AH!$P$10&lt;&gt;1)),"",IFERROR(IF(AND(AH!$P$21=1,2922+1=AH!$P$11),TODAY(),IF(AH!$P$10=1,INDEX('Live History'!$A$5:$A$3004,AH!$P$13+2922),INDEX('AH History'!$A$1:$A$18046,AH!$P$7+2922))),""))</ns0:f>
        <ns0:v/>
      </ns0:c>
      <ns0:c r="B2927" s="219">
        <ns0:f>IFERROR(IF(AND(AH!$P$9&lt;&gt;1,$C2927&gt;0,$D2927&gt;0,$E2927&gt;0,$F2927&gt;0,$G2927&gt;0,$F2927&lt;=$A2927,$G2927&lt;=$A2927,$A2927-$F2927&lt;=10,$A2927-$G2927&lt;=5),$D2927*$E2927/$C2927-1,NA()),NA())</ns0:f>
        <ns0:v/>
      </ns0:c>
      <ns0:c r="C2927">
        <ns0:f>IFERROR(IF(ISNUMBER($A2927),IF(AND(AH!$P$10=1,AH!$P$12=1,$A2927=TODAY()),AH!$P$19,IF(AH!$P$10=1,INDEX('Live History'!$B$5:$B$3004,AH!$P$13+2922),INDEX('AH History'!$B$1:$B$18046,AH!$P$7+2922))),NA()),NA())</ns0:f>
        <ns0:v/>
      </ns0:c>
      <ns0:c r="D2927">
        <ns0:f>IFERROR(IF(ISNUMBER($A2927),IF(AND(AH!$P$10=1,AH!$P$12=1,$A2927=TODAY()),AH!$P$18,IF(AH!$P$10=1,INDEX('Live History'!$E$5:$E$3004,MATCH($A2927,'Live History'!$D$5:$D$3004,1)),INDEX('AH History'!$C$1:$C$18046,AH!$P$7+2922))),NA()),NA())</ns0:f>
        <ns0:v/>
      </ns0:c>
      <ns0:c r="E2927">
        <ns0:f>IFERROR(IF(ISNUMBER($A2927),IF(AND(AH!$P$10=1,AH!$P$12=1,$A2927=TODAY()),AH!$P$20,IF(AH!$P$10=1,INDEX('Live History'!$H$5:$H$3004,MATCH($A2927,'Live History'!$G$5:$G$3004,1)),INDEX('AH History'!$D$1:$D$18046,AH!$P$7+2922))),NA()),NA())</ns0:f>
        <ns0:v/>
      </ns0:c>
      <ns0:c r="F2927">
        <ns0:f>IFERROR(IF(ISNUMBER($A2927),IF(AND(AH!$P$10=1,AH!$P$12=1,$A2927=TODAY()),IF(AND(AH!$P$10=1,AH!$P$12=1,$A2927=TODAY()),TODAY(),NA()),IF(AH!$P$10=1,INDEX('Live History'!$D$5:$D$3004,MATCH($A2927,'Live History'!$D$5:$D$3004,1)),INDEX('AH History'!$E$1:$E$18046,AH!$P$7+2922))),NA()),NA())</ns0:f>
        <ns0:v/>
      </ns0:c>
      <ns0:c r="G2927">
        <ns0:f>IFERROR(IF(ISNUMBER($A2927),IF(AND(AH!$P$10=1,AH!$P$12=1,$A2927=TODAY()),IF(AND(AH!$P$10=1,AH!$P$12=1,$A2927=TODAY()),TODAY(),NA()),IF(AH!$P$10=1,INDEX('Live History'!$G$5:$G$3004,MATCH($A2927,'Live History'!$G$5:$G$3004,1)),INDEX('AH History'!$F$1:$F$18046,AH!$P$7+2922))),NA()),NA())</ns0:f>
        <ns0:v/>
      </ns0:c>
      <ns0:c r="H2927">
        <ns0:f>IFERROR(IF(AND(AH!$E$4="Bloomberg",AH!$P$10=1,ISNUMBER($A2927),$A2927&lt;=AH!$P$17),AH!$P$7-1+MATCH($A2927,INDEX('AH History'!$A$1:$A$18046,AH!$P$7):INDEX('AH History'!$A$1:$A$18046,AH!$P$7+AH!$P$8-1),0),0),0)</ns0:f>
        <ns0:v/>
      </ns0:c>
      <ns0:c r="I2927">
        <ns0:f>IF($H2927=0,0,IFERROR(IF(AND(ABS($C2927-INDEX('AH History'!$B$1:$B$18046,$H2927))&lt;=MAX(0.005,ABS(INDEX('AH History'!$B$1:$B$18046,$H2927))*0.00005),ABS($D2927-INDEX('AH History'!$C$1:$C$18046,$H2927))&lt;=MAX(0.005,ABS(INDEX('AH History'!$C$1:$C$18046,$H2927))*0.00005),ABS($E2927-INDEX('AH History'!$D$1:$D$18046,$H2927))&lt;=0.00005,$F2927=INDEX('AH History'!$E$1:$E$18046,$H2927),$G2927=INDEX('AH History'!$F$1:$F$18046,$H2927)),1,-1),-1))</ns0:f>
        <ns0:v/>
      </ns0:c>
    </ns0:row>
    <ns0:row r="2928">
      <ns0:c r="A2928" s="215">
        <ns0:f>IF(OR(AH!$P$3=0,2923+1&gt;AH!$P$11,AND(AH!$E$4&lt;&gt;"Stored",AH!$P$10&lt;&gt;1)),"",IFERROR(IF(AND(AH!$P$21=1,2923+1=AH!$P$11),TODAY(),IF(AH!$P$10=1,INDEX('Live History'!$A$5:$A$3004,AH!$P$13+2923),INDEX('AH History'!$A$1:$A$18046,AH!$P$7+2923))),""))</ns0:f>
        <ns0:v/>
      </ns0:c>
      <ns0:c r="B2928" s="219">
        <ns0:f>IFERROR(IF(AND(AH!$P$9&lt;&gt;1,$C2928&gt;0,$D2928&gt;0,$E2928&gt;0,$F2928&gt;0,$G2928&gt;0,$F2928&lt;=$A2928,$G2928&lt;=$A2928,$A2928-$F2928&lt;=10,$A2928-$G2928&lt;=5),$D2928*$E2928/$C2928-1,NA()),NA())</ns0:f>
        <ns0:v/>
      </ns0:c>
      <ns0:c r="C2928">
        <ns0:f>IFERROR(IF(ISNUMBER($A2928),IF(AND(AH!$P$10=1,AH!$P$12=1,$A2928=TODAY()),AH!$P$19,IF(AH!$P$10=1,INDEX('Live History'!$B$5:$B$3004,AH!$P$13+2923),INDEX('AH History'!$B$1:$B$18046,AH!$P$7+2923))),NA()),NA())</ns0:f>
        <ns0:v/>
      </ns0:c>
      <ns0:c r="D2928">
        <ns0:f>IFERROR(IF(ISNUMBER($A2928),IF(AND(AH!$P$10=1,AH!$P$12=1,$A2928=TODAY()),AH!$P$18,IF(AH!$P$10=1,INDEX('Live History'!$E$5:$E$3004,MATCH($A2928,'Live History'!$D$5:$D$3004,1)),INDEX('AH History'!$C$1:$C$18046,AH!$P$7+2923))),NA()),NA())</ns0:f>
        <ns0:v/>
      </ns0:c>
      <ns0:c r="E2928">
        <ns0:f>IFERROR(IF(ISNUMBER($A2928),IF(AND(AH!$P$10=1,AH!$P$12=1,$A2928=TODAY()),AH!$P$20,IF(AH!$P$10=1,INDEX('Live History'!$H$5:$H$3004,MATCH($A2928,'Live History'!$G$5:$G$3004,1)),INDEX('AH History'!$D$1:$D$18046,AH!$P$7+2923))),NA()),NA())</ns0:f>
        <ns0:v/>
      </ns0:c>
      <ns0:c r="F2928">
        <ns0:f>IFERROR(IF(ISNUMBER($A2928),IF(AND(AH!$P$10=1,AH!$P$12=1,$A2928=TODAY()),IF(AND(AH!$P$10=1,AH!$P$12=1,$A2928=TODAY()),TODAY(),NA()),IF(AH!$P$10=1,INDEX('Live History'!$D$5:$D$3004,MATCH($A2928,'Live History'!$D$5:$D$3004,1)),INDEX('AH History'!$E$1:$E$18046,AH!$P$7+2923))),NA()),NA())</ns0:f>
        <ns0:v/>
      </ns0:c>
      <ns0:c r="G2928">
        <ns0:f>IFERROR(IF(ISNUMBER($A2928),IF(AND(AH!$P$10=1,AH!$P$12=1,$A2928=TODAY()),IF(AND(AH!$P$10=1,AH!$P$12=1,$A2928=TODAY()),TODAY(),NA()),IF(AH!$P$10=1,INDEX('Live History'!$G$5:$G$3004,MATCH($A2928,'Live History'!$G$5:$G$3004,1)),INDEX('AH History'!$F$1:$F$18046,AH!$P$7+2923))),NA()),NA())</ns0:f>
        <ns0:v/>
      </ns0:c>
      <ns0:c r="H2928">
        <ns0:f>IFERROR(IF(AND(AH!$E$4="Bloomberg",AH!$P$10=1,ISNUMBER($A2928),$A2928&lt;=AH!$P$17),AH!$P$7-1+MATCH($A2928,INDEX('AH History'!$A$1:$A$18046,AH!$P$7):INDEX('AH History'!$A$1:$A$18046,AH!$P$7+AH!$P$8-1),0),0),0)</ns0:f>
        <ns0:v/>
      </ns0:c>
      <ns0:c r="I2928">
        <ns0:f>IF($H2928=0,0,IFERROR(IF(AND(ABS($C2928-INDEX('AH History'!$B$1:$B$18046,$H2928))&lt;=MAX(0.005,ABS(INDEX('AH History'!$B$1:$B$18046,$H2928))*0.00005),ABS($D2928-INDEX('AH History'!$C$1:$C$18046,$H2928))&lt;=MAX(0.005,ABS(INDEX('AH History'!$C$1:$C$18046,$H2928))*0.00005),ABS($E2928-INDEX('AH History'!$D$1:$D$18046,$H2928))&lt;=0.00005,$F2928=INDEX('AH History'!$E$1:$E$18046,$H2928),$G2928=INDEX('AH History'!$F$1:$F$18046,$H2928)),1,-1),-1))</ns0:f>
        <ns0:v/>
      </ns0:c>
    </ns0:row>
    <ns0:row r="2929">
      <ns0:c r="A2929" s="215">
        <ns0:f>IF(OR(AH!$P$3=0,2924+1&gt;AH!$P$11,AND(AH!$E$4&lt;&gt;"Stored",AH!$P$10&lt;&gt;1)),"",IFERROR(IF(AND(AH!$P$21=1,2924+1=AH!$P$11),TODAY(),IF(AH!$P$10=1,INDEX('Live History'!$A$5:$A$3004,AH!$P$13+2924),INDEX('AH History'!$A$1:$A$18046,AH!$P$7+2924))),""))</ns0:f>
        <ns0:v/>
      </ns0:c>
      <ns0:c r="B2929" s="219">
        <ns0:f>IFERROR(IF(AND(AH!$P$9&lt;&gt;1,$C2929&gt;0,$D2929&gt;0,$E2929&gt;0,$F2929&gt;0,$G2929&gt;0,$F2929&lt;=$A2929,$G2929&lt;=$A2929,$A2929-$F2929&lt;=10,$A2929-$G2929&lt;=5),$D2929*$E2929/$C2929-1,NA()),NA())</ns0:f>
        <ns0:v/>
      </ns0:c>
      <ns0:c r="C2929">
        <ns0:f>IFERROR(IF(ISNUMBER($A2929),IF(AND(AH!$P$10=1,AH!$P$12=1,$A2929=TODAY()),AH!$P$19,IF(AH!$P$10=1,INDEX('Live History'!$B$5:$B$3004,AH!$P$13+2924),INDEX('AH History'!$B$1:$B$18046,AH!$P$7+2924))),NA()),NA())</ns0:f>
        <ns0:v/>
      </ns0:c>
      <ns0:c r="D2929">
        <ns0:f>IFERROR(IF(ISNUMBER($A2929),IF(AND(AH!$P$10=1,AH!$P$12=1,$A2929=TODAY()),AH!$P$18,IF(AH!$P$10=1,INDEX('Live History'!$E$5:$E$3004,MATCH($A2929,'Live History'!$D$5:$D$3004,1)),INDEX('AH History'!$C$1:$C$18046,AH!$P$7+2924))),NA()),NA())</ns0:f>
        <ns0:v/>
      </ns0:c>
      <ns0:c r="E2929">
        <ns0:f>IFERROR(IF(ISNUMBER($A2929),IF(AND(AH!$P$10=1,AH!$P$12=1,$A2929=TODAY()),AH!$P$20,IF(AH!$P$10=1,INDEX('Live History'!$H$5:$H$3004,MATCH($A2929,'Live History'!$G$5:$G$3004,1)),INDEX('AH History'!$D$1:$D$18046,AH!$P$7+2924))),NA()),NA())</ns0:f>
        <ns0:v/>
      </ns0:c>
      <ns0:c r="F2929">
        <ns0:f>IFERROR(IF(ISNUMBER($A2929),IF(AND(AH!$P$10=1,AH!$P$12=1,$A2929=TODAY()),IF(AND(AH!$P$10=1,AH!$P$12=1,$A2929=TODAY()),TODAY(),NA()),IF(AH!$P$10=1,INDEX('Live History'!$D$5:$D$3004,MATCH($A2929,'Live History'!$D$5:$D$3004,1)),INDEX('AH History'!$E$1:$E$18046,AH!$P$7+2924))),NA()),NA())</ns0:f>
        <ns0:v/>
      </ns0:c>
      <ns0:c r="G2929">
        <ns0:f>IFERROR(IF(ISNUMBER($A2929),IF(AND(AH!$P$10=1,AH!$P$12=1,$A2929=TODAY()),IF(AND(AH!$P$10=1,AH!$P$12=1,$A2929=TODAY()),TODAY(),NA()),IF(AH!$P$10=1,INDEX('Live History'!$G$5:$G$3004,MATCH($A2929,'Live History'!$G$5:$G$3004,1)),INDEX('AH History'!$F$1:$F$18046,AH!$P$7+2924))),NA()),NA())</ns0:f>
        <ns0:v/>
      </ns0:c>
      <ns0:c r="H2929">
        <ns0:f>IFERROR(IF(AND(AH!$E$4="Bloomberg",AH!$P$10=1,ISNUMBER($A2929),$A2929&lt;=AH!$P$17),AH!$P$7-1+MATCH($A2929,INDEX('AH History'!$A$1:$A$18046,AH!$P$7):INDEX('AH History'!$A$1:$A$18046,AH!$P$7+AH!$P$8-1),0),0),0)</ns0:f>
        <ns0:v/>
      </ns0:c>
      <ns0:c r="I2929">
        <ns0:f>IF($H2929=0,0,IFERROR(IF(AND(ABS($C2929-INDEX('AH History'!$B$1:$B$18046,$H2929))&lt;=MAX(0.005,ABS(INDEX('AH History'!$B$1:$B$18046,$H2929))*0.00005),ABS($D2929-INDEX('AH History'!$C$1:$C$18046,$H2929))&lt;=MAX(0.005,ABS(INDEX('AH History'!$C$1:$C$18046,$H2929))*0.00005),ABS($E2929-INDEX('AH History'!$D$1:$D$18046,$H2929))&lt;=0.00005,$F2929=INDEX('AH History'!$E$1:$E$18046,$H2929),$G2929=INDEX('AH History'!$F$1:$F$18046,$H2929)),1,-1),-1))</ns0:f>
        <ns0:v/>
      </ns0:c>
    </ns0:row>
    <ns0:row r="2930">
      <ns0:c r="A2930" s="215">
        <ns0:f>IF(OR(AH!$P$3=0,2925+1&gt;AH!$P$11,AND(AH!$E$4&lt;&gt;"Stored",AH!$P$10&lt;&gt;1)),"",IFERROR(IF(AND(AH!$P$21=1,2925+1=AH!$P$11),TODAY(),IF(AH!$P$10=1,INDEX('Live History'!$A$5:$A$3004,AH!$P$13+2925),INDEX('AH History'!$A$1:$A$18046,AH!$P$7+2925))),""))</ns0:f>
        <ns0:v/>
      </ns0:c>
      <ns0:c r="B2930" s="219">
        <ns0:f>IFERROR(IF(AND(AH!$P$9&lt;&gt;1,$C2930&gt;0,$D2930&gt;0,$E2930&gt;0,$F2930&gt;0,$G2930&gt;0,$F2930&lt;=$A2930,$G2930&lt;=$A2930,$A2930-$F2930&lt;=10,$A2930-$G2930&lt;=5),$D2930*$E2930/$C2930-1,NA()),NA())</ns0:f>
        <ns0:v/>
      </ns0:c>
      <ns0:c r="C2930">
        <ns0:f>IFERROR(IF(ISNUMBER($A2930),IF(AND(AH!$P$10=1,AH!$P$12=1,$A2930=TODAY()),AH!$P$19,IF(AH!$P$10=1,INDEX('Live History'!$B$5:$B$3004,AH!$P$13+2925),INDEX('AH History'!$B$1:$B$18046,AH!$P$7+2925))),NA()),NA())</ns0:f>
        <ns0:v/>
      </ns0:c>
      <ns0:c r="D2930">
        <ns0:f>IFERROR(IF(ISNUMBER($A2930),IF(AND(AH!$P$10=1,AH!$P$12=1,$A2930=TODAY()),AH!$P$18,IF(AH!$P$10=1,INDEX('Live History'!$E$5:$E$3004,MATCH($A2930,'Live History'!$D$5:$D$3004,1)),INDEX('AH History'!$C$1:$C$18046,AH!$P$7+2925))),NA()),NA())</ns0:f>
        <ns0:v/>
      </ns0:c>
      <ns0:c r="E2930">
        <ns0:f>IFERROR(IF(ISNUMBER($A2930),IF(AND(AH!$P$10=1,AH!$P$12=1,$A2930=TODAY()),AH!$P$20,IF(AH!$P$10=1,INDEX('Live History'!$H$5:$H$3004,MATCH($A2930,'Live History'!$G$5:$G$3004,1)),INDEX('AH History'!$D$1:$D$18046,AH!$P$7+2925))),NA()),NA())</ns0:f>
        <ns0:v/>
      </ns0:c>
      <ns0:c r="F2930">
        <ns0:f>IFERROR(IF(ISNUMBER($A2930),IF(AND(AH!$P$10=1,AH!$P$12=1,$A2930=TODAY()),IF(AND(AH!$P$10=1,AH!$P$12=1,$A2930=TODAY()),TODAY(),NA()),IF(AH!$P$10=1,INDEX('Live History'!$D$5:$D$3004,MATCH($A2930,'Live History'!$D$5:$D$3004,1)),INDEX('AH History'!$E$1:$E$18046,AH!$P$7+2925))),NA()),NA())</ns0:f>
        <ns0:v/>
      </ns0:c>
      <ns0:c r="G2930">
        <ns0:f>IFERROR(IF(ISNUMBER($A2930),IF(AND(AH!$P$10=1,AH!$P$12=1,$A2930=TODAY()),IF(AND(AH!$P$10=1,AH!$P$12=1,$A2930=TODAY()),TODAY(),NA()),IF(AH!$P$10=1,INDEX('Live History'!$G$5:$G$3004,MATCH($A2930,'Live History'!$G$5:$G$3004,1)),INDEX('AH History'!$F$1:$F$18046,AH!$P$7+2925))),NA()),NA())</ns0:f>
        <ns0:v/>
      </ns0:c>
      <ns0:c r="H2930">
        <ns0:f>IFERROR(IF(AND(AH!$E$4="Bloomberg",AH!$P$10=1,ISNUMBER($A2930),$A2930&lt;=AH!$P$17),AH!$P$7-1+MATCH($A2930,INDEX('AH History'!$A$1:$A$18046,AH!$P$7):INDEX('AH History'!$A$1:$A$18046,AH!$P$7+AH!$P$8-1),0),0),0)</ns0:f>
        <ns0:v/>
      </ns0:c>
      <ns0:c r="I2930">
        <ns0:f>IF($H2930=0,0,IFERROR(IF(AND(ABS($C2930-INDEX('AH History'!$B$1:$B$18046,$H2930))&lt;=MAX(0.005,ABS(INDEX('AH History'!$B$1:$B$18046,$H2930))*0.00005),ABS($D2930-INDEX('AH History'!$C$1:$C$18046,$H2930))&lt;=MAX(0.005,ABS(INDEX('AH History'!$C$1:$C$18046,$H2930))*0.00005),ABS($E2930-INDEX('AH History'!$D$1:$D$18046,$H2930))&lt;=0.00005,$F2930=INDEX('AH History'!$E$1:$E$18046,$H2930),$G2930=INDEX('AH History'!$F$1:$F$18046,$H2930)),1,-1),-1))</ns0:f>
        <ns0:v/>
      </ns0:c>
    </ns0:row>
    <ns0:row r="2931">
      <ns0:c r="A2931" s="215">
        <ns0:f>IF(OR(AH!$P$3=0,2926+1&gt;AH!$P$11,AND(AH!$E$4&lt;&gt;"Stored",AH!$P$10&lt;&gt;1)),"",IFERROR(IF(AND(AH!$P$21=1,2926+1=AH!$P$11),TODAY(),IF(AH!$P$10=1,INDEX('Live History'!$A$5:$A$3004,AH!$P$13+2926),INDEX('AH History'!$A$1:$A$18046,AH!$P$7+2926))),""))</ns0:f>
        <ns0:v/>
      </ns0:c>
      <ns0:c r="B2931" s="219">
        <ns0:f>IFERROR(IF(AND(AH!$P$9&lt;&gt;1,$C2931&gt;0,$D2931&gt;0,$E2931&gt;0,$F2931&gt;0,$G2931&gt;0,$F2931&lt;=$A2931,$G2931&lt;=$A2931,$A2931-$F2931&lt;=10,$A2931-$G2931&lt;=5),$D2931*$E2931/$C2931-1,NA()),NA())</ns0:f>
        <ns0:v/>
      </ns0:c>
      <ns0:c r="C2931">
        <ns0:f>IFERROR(IF(ISNUMBER($A2931),IF(AND(AH!$P$10=1,AH!$P$12=1,$A2931=TODAY()),AH!$P$19,IF(AH!$P$10=1,INDEX('Live History'!$B$5:$B$3004,AH!$P$13+2926),INDEX('AH History'!$B$1:$B$18046,AH!$P$7+2926))),NA()),NA())</ns0:f>
        <ns0:v/>
      </ns0:c>
      <ns0:c r="D2931">
        <ns0:f>IFERROR(IF(ISNUMBER($A2931),IF(AND(AH!$P$10=1,AH!$P$12=1,$A2931=TODAY()),AH!$P$18,IF(AH!$P$10=1,INDEX('Live History'!$E$5:$E$3004,MATCH($A2931,'Live History'!$D$5:$D$3004,1)),INDEX('AH History'!$C$1:$C$18046,AH!$P$7+2926))),NA()),NA())</ns0:f>
        <ns0:v/>
      </ns0:c>
      <ns0:c r="E2931">
        <ns0:f>IFERROR(IF(ISNUMBER($A2931),IF(AND(AH!$P$10=1,AH!$P$12=1,$A2931=TODAY()),AH!$P$20,IF(AH!$P$10=1,INDEX('Live History'!$H$5:$H$3004,MATCH($A2931,'Live History'!$G$5:$G$3004,1)),INDEX('AH History'!$D$1:$D$18046,AH!$P$7+2926))),NA()),NA())</ns0:f>
        <ns0:v/>
      </ns0:c>
      <ns0:c r="F2931">
        <ns0:f>IFERROR(IF(ISNUMBER($A2931),IF(AND(AH!$P$10=1,AH!$P$12=1,$A2931=TODAY()),IF(AND(AH!$P$10=1,AH!$P$12=1,$A2931=TODAY()),TODAY(),NA()),IF(AH!$P$10=1,INDEX('Live History'!$D$5:$D$3004,MATCH($A2931,'Live History'!$D$5:$D$3004,1)),INDEX('AH History'!$E$1:$E$18046,AH!$P$7+2926))),NA()),NA())</ns0:f>
        <ns0:v/>
      </ns0:c>
      <ns0:c r="G2931">
        <ns0:f>IFERROR(IF(ISNUMBER($A2931),IF(AND(AH!$P$10=1,AH!$P$12=1,$A2931=TODAY()),IF(AND(AH!$P$10=1,AH!$P$12=1,$A2931=TODAY()),TODAY(),NA()),IF(AH!$P$10=1,INDEX('Live History'!$G$5:$G$3004,MATCH($A2931,'Live History'!$G$5:$G$3004,1)),INDEX('AH History'!$F$1:$F$18046,AH!$P$7+2926))),NA()),NA())</ns0:f>
        <ns0:v/>
      </ns0:c>
      <ns0:c r="H2931">
        <ns0:f>IFERROR(IF(AND(AH!$E$4="Bloomberg",AH!$P$10=1,ISNUMBER($A2931),$A2931&lt;=AH!$P$17),AH!$P$7-1+MATCH($A2931,INDEX('AH History'!$A$1:$A$18046,AH!$P$7):INDEX('AH History'!$A$1:$A$18046,AH!$P$7+AH!$P$8-1),0),0),0)</ns0:f>
        <ns0:v/>
      </ns0:c>
      <ns0:c r="I2931">
        <ns0:f>IF($H2931=0,0,IFERROR(IF(AND(ABS($C2931-INDEX('AH History'!$B$1:$B$18046,$H2931))&lt;=MAX(0.005,ABS(INDEX('AH History'!$B$1:$B$18046,$H2931))*0.00005),ABS($D2931-INDEX('AH History'!$C$1:$C$18046,$H2931))&lt;=MAX(0.005,ABS(INDEX('AH History'!$C$1:$C$18046,$H2931))*0.00005),ABS($E2931-INDEX('AH History'!$D$1:$D$18046,$H2931))&lt;=0.00005,$F2931=INDEX('AH History'!$E$1:$E$18046,$H2931),$G2931=INDEX('AH History'!$F$1:$F$18046,$H2931)),1,-1),-1))</ns0:f>
        <ns0:v/>
      </ns0:c>
    </ns0:row>
    <ns0:row r="2932">
      <ns0:c r="A2932" s="215">
        <ns0:f>IF(OR(AH!$P$3=0,2927+1&gt;AH!$P$11,AND(AH!$E$4&lt;&gt;"Stored",AH!$P$10&lt;&gt;1)),"",IFERROR(IF(AND(AH!$P$21=1,2927+1=AH!$P$11),TODAY(),IF(AH!$P$10=1,INDEX('Live History'!$A$5:$A$3004,AH!$P$13+2927),INDEX('AH History'!$A$1:$A$18046,AH!$P$7+2927))),""))</ns0:f>
        <ns0:v/>
      </ns0:c>
      <ns0:c r="B2932" s="219">
        <ns0:f>IFERROR(IF(AND(AH!$P$9&lt;&gt;1,$C2932&gt;0,$D2932&gt;0,$E2932&gt;0,$F2932&gt;0,$G2932&gt;0,$F2932&lt;=$A2932,$G2932&lt;=$A2932,$A2932-$F2932&lt;=10,$A2932-$G2932&lt;=5),$D2932*$E2932/$C2932-1,NA()),NA())</ns0:f>
        <ns0:v/>
      </ns0:c>
      <ns0:c r="C2932">
        <ns0:f>IFERROR(IF(ISNUMBER($A2932),IF(AND(AH!$P$10=1,AH!$P$12=1,$A2932=TODAY()),AH!$P$19,IF(AH!$P$10=1,INDEX('Live History'!$B$5:$B$3004,AH!$P$13+2927),INDEX('AH History'!$B$1:$B$18046,AH!$P$7+2927))),NA()),NA())</ns0:f>
        <ns0:v/>
      </ns0:c>
      <ns0:c r="D2932">
        <ns0:f>IFERROR(IF(ISNUMBER($A2932),IF(AND(AH!$P$10=1,AH!$P$12=1,$A2932=TODAY()),AH!$P$18,IF(AH!$P$10=1,INDEX('Live History'!$E$5:$E$3004,MATCH($A2932,'Live History'!$D$5:$D$3004,1)),INDEX('AH History'!$C$1:$C$18046,AH!$P$7+2927))),NA()),NA())</ns0:f>
        <ns0:v/>
      </ns0:c>
      <ns0:c r="E2932">
        <ns0:f>IFERROR(IF(ISNUMBER($A2932),IF(AND(AH!$P$10=1,AH!$P$12=1,$A2932=TODAY()),AH!$P$20,IF(AH!$P$10=1,INDEX('Live History'!$H$5:$H$3004,MATCH($A2932,'Live History'!$G$5:$G$3004,1)),INDEX('AH History'!$D$1:$D$18046,AH!$P$7+2927))),NA()),NA())</ns0:f>
        <ns0:v/>
      </ns0:c>
      <ns0:c r="F2932">
        <ns0:f>IFERROR(IF(ISNUMBER($A2932),IF(AND(AH!$P$10=1,AH!$P$12=1,$A2932=TODAY()),IF(AND(AH!$P$10=1,AH!$P$12=1,$A2932=TODAY()),TODAY(),NA()),IF(AH!$P$10=1,INDEX('Live History'!$D$5:$D$3004,MATCH($A2932,'Live History'!$D$5:$D$3004,1)),INDEX('AH History'!$E$1:$E$18046,AH!$P$7+2927))),NA()),NA())</ns0:f>
        <ns0:v/>
      </ns0:c>
      <ns0:c r="G2932">
        <ns0:f>IFERROR(IF(ISNUMBER($A2932),IF(AND(AH!$P$10=1,AH!$P$12=1,$A2932=TODAY()),IF(AND(AH!$P$10=1,AH!$P$12=1,$A2932=TODAY()),TODAY(),NA()),IF(AH!$P$10=1,INDEX('Live History'!$G$5:$G$3004,MATCH($A2932,'Live History'!$G$5:$G$3004,1)),INDEX('AH History'!$F$1:$F$18046,AH!$P$7+2927))),NA()),NA())</ns0:f>
        <ns0:v/>
      </ns0:c>
      <ns0:c r="H2932">
        <ns0:f>IFERROR(IF(AND(AH!$E$4="Bloomberg",AH!$P$10=1,ISNUMBER($A2932),$A2932&lt;=AH!$P$17),AH!$P$7-1+MATCH($A2932,INDEX('AH History'!$A$1:$A$18046,AH!$P$7):INDEX('AH History'!$A$1:$A$18046,AH!$P$7+AH!$P$8-1),0),0),0)</ns0:f>
        <ns0:v/>
      </ns0:c>
      <ns0:c r="I2932">
        <ns0:f>IF($H2932=0,0,IFERROR(IF(AND(ABS($C2932-INDEX('AH History'!$B$1:$B$18046,$H2932))&lt;=MAX(0.005,ABS(INDEX('AH History'!$B$1:$B$18046,$H2932))*0.00005),ABS($D2932-INDEX('AH History'!$C$1:$C$18046,$H2932))&lt;=MAX(0.005,ABS(INDEX('AH History'!$C$1:$C$18046,$H2932))*0.00005),ABS($E2932-INDEX('AH History'!$D$1:$D$18046,$H2932))&lt;=0.00005,$F2932=INDEX('AH History'!$E$1:$E$18046,$H2932),$G2932=INDEX('AH History'!$F$1:$F$18046,$H2932)),1,-1),-1))</ns0:f>
        <ns0:v/>
      </ns0:c>
    </ns0:row>
    <ns0:row r="2933">
      <ns0:c r="A2933" s="215">
        <ns0:f>IF(OR(AH!$P$3=0,2928+1&gt;AH!$P$11,AND(AH!$E$4&lt;&gt;"Stored",AH!$P$10&lt;&gt;1)),"",IFERROR(IF(AND(AH!$P$21=1,2928+1=AH!$P$11),TODAY(),IF(AH!$P$10=1,INDEX('Live History'!$A$5:$A$3004,AH!$P$13+2928),INDEX('AH History'!$A$1:$A$18046,AH!$P$7+2928))),""))</ns0:f>
        <ns0:v/>
      </ns0:c>
      <ns0:c r="B2933" s="219">
        <ns0:f>IFERROR(IF(AND(AH!$P$9&lt;&gt;1,$C2933&gt;0,$D2933&gt;0,$E2933&gt;0,$F2933&gt;0,$G2933&gt;0,$F2933&lt;=$A2933,$G2933&lt;=$A2933,$A2933-$F2933&lt;=10,$A2933-$G2933&lt;=5),$D2933*$E2933/$C2933-1,NA()),NA())</ns0:f>
        <ns0:v/>
      </ns0:c>
      <ns0:c r="C2933">
        <ns0:f>IFERROR(IF(ISNUMBER($A2933),IF(AND(AH!$P$10=1,AH!$P$12=1,$A2933=TODAY()),AH!$P$19,IF(AH!$P$10=1,INDEX('Live History'!$B$5:$B$3004,AH!$P$13+2928),INDEX('AH History'!$B$1:$B$18046,AH!$P$7+2928))),NA()),NA())</ns0:f>
        <ns0:v/>
      </ns0:c>
      <ns0:c r="D2933">
        <ns0:f>IFERROR(IF(ISNUMBER($A2933),IF(AND(AH!$P$10=1,AH!$P$12=1,$A2933=TODAY()),AH!$P$18,IF(AH!$P$10=1,INDEX('Live History'!$E$5:$E$3004,MATCH($A2933,'Live History'!$D$5:$D$3004,1)),INDEX('AH History'!$C$1:$C$18046,AH!$P$7+2928))),NA()),NA())</ns0:f>
        <ns0:v/>
      </ns0:c>
      <ns0:c r="E2933">
        <ns0:f>IFERROR(IF(ISNUMBER($A2933),IF(AND(AH!$P$10=1,AH!$P$12=1,$A2933=TODAY()),AH!$P$20,IF(AH!$P$10=1,INDEX('Live History'!$H$5:$H$3004,MATCH($A2933,'Live History'!$G$5:$G$3004,1)),INDEX('AH History'!$D$1:$D$18046,AH!$P$7+2928))),NA()),NA())</ns0:f>
        <ns0:v/>
      </ns0:c>
      <ns0:c r="F2933">
        <ns0:f>IFERROR(IF(ISNUMBER($A2933),IF(AND(AH!$P$10=1,AH!$P$12=1,$A2933=TODAY()),IF(AND(AH!$P$10=1,AH!$P$12=1,$A2933=TODAY()),TODAY(),NA()),IF(AH!$P$10=1,INDEX('Live History'!$D$5:$D$3004,MATCH($A2933,'Live History'!$D$5:$D$3004,1)),INDEX('AH History'!$E$1:$E$18046,AH!$P$7+2928))),NA()),NA())</ns0:f>
        <ns0:v/>
      </ns0:c>
      <ns0:c r="G2933">
        <ns0:f>IFERROR(IF(ISNUMBER($A2933),IF(AND(AH!$P$10=1,AH!$P$12=1,$A2933=TODAY()),IF(AND(AH!$P$10=1,AH!$P$12=1,$A2933=TODAY()),TODAY(),NA()),IF(AH!$P$10=1,INDEX('Live History'!$G$5:$G$3004,MATCH($A2933,'Live History'!$G$5:$G$3004,1)),INDEX('AH History'!$F$1:$F$18046,AH!$P$7+2928))),NA()),NA())</ns0:f>
        <ns0:v/>
      </ns0:c>
      <ns0:c r="H2933">
        <ns0:f>IFERROR(IF(AND(AH!$E$4="Bloomberg",AH!$P$10=1,ISNUMBER($A2933),$A2933&lt;=AH!$P$17),AH!$P$7-1+MATCH($A2933,INDEX('AH History'!$A$1:$A$18046,AH!$P$7):INDEX('AH History'!$A$1:$A$18046,AH!$P$7+AH!$P$8-1),0),0),0)</ns0:f>
        <ns0:v/>
      </ns0:c>
      <ns0:c r="I2933">
        <ns0:f>IF($H2933=0,0,IFERROR(IF(AND(ABS($C2933-INDEX('AH History'!$B$1:$B$18046,$H2933))&lt;=MAX(0.005,ABS(INDEX('AH History'!$B$1:$B$18046,$H2933))*0.00005),ABS($D2933-INDEX('AH History'!$C$1:$C$18046,$H2933))&lt;=MAX(0.005,ABS(INDEX('AH History'!$C$1:$C$18046,$H2933))*0.00005),ABS($E2933-INDEX('AH History'!$D$1:$D$18046,$H2933))&lt;=0.00005,$F2933=INDEX('AH History'!$E$1:$E$18046,$H2933),$G2933=INDEX('AH History'!$F$1:$F$18046,$H2933)),1,-1),-1))</ns0:f>
        <ns0:v/>
      </ns0:c>
    </ns0:row>
    <ns0:row r="2934">
      <ns0:c r="A2934" s="215">
        <ns0:f>IF(OR(AH!$P$3=0,2929+1&gt;AH!$P$11,AND(AH!$E$4&lt;&gt;"Stored",AH!$P$10&lt;&gt;1)),"",IFERROR(IF(AND(AH!$P$21=1,2929+1=AH!$P$11),TODAY(),IF(AH!$P$10=1,INDEX('Live History'!$A$5:$A$3004,AH!$P$13+2929),INDEX('AH History'!$A$1:$A$18046,AH!$P$7+2929))),""))</ns0:f>
        <ns0:v/>
      </ns0:c>
      <ns0:c r="B2934" s="219">
        <ns0:f>IFERROR(IF(AND(AH!$P$9&lt;&gt;1,$C2934&gt;0,$D2934&gt;0,$E2934&gt;0,$F2934&gt;0,$G2934&gt;0,$F2934&lt;=$A2934,$G2934&lt;=$A2934,$A2934-$F2934&lt;=10,$A2934-$G2934&lt;=5),$D2934*$E2934/$C2934-1,NA()),NA())</ns0:f>
        <ns0:v/>
      </ns0:c>
      <ns0:c r="C2934">
        <ns0:f>IFERROR(IF(ISNUMBER($A2934),IF(AND(AH!$P$10=1,AH!$P$12=1,$A2934=TODAY()),AH!$P$19,IF(AH!$P$10=1,INDEX('Live History'!$B$5:$B$3004,AH!$P$13+2929),INDEX('AH History'!$B$1:$B$18046,AH!$P$7+2929))),NA()),NA())</ns0:f>
        <ns0:v/>
      </ns0:c>
      <ns0:c r="D2934">
        <ns0:f>IFERROR(IF(ISNUMBER($A2934),IF(AND(AH!$P$10=1,AH!$P$12=1,$A2934=TODAY()),AH!$P$18,IF(AH!$P$10=1,INDEX('Live History'!$E$5:$E$3004,MATCH($A2934,'Live History'!$D$5:$D$3004,1)),INDEX('AH History'!$C$1:$C$18046,AH!$P$7+2929))),NA()),NA())</ns0:f>
        <ns0:v/>
      </ns0:c>
      <ns0:c r="E2934">
        <ns0:f>IFERROR(IF(ISNUMBER($A2934),IF(AND(AH!$P$10=1,AH!$P$12=1,$A2934=TODAY()),AH!$P$20,IF(AH!$P$10=1,INDEX('Live History'!$H$5:$H$3004,MATCH($A2934,'Live History'!$G$5:$G$3004,1)),INDEX('AH History'!$D$1:$D$18046,AH!$P$7+2929))),NA()),NA())</ns0:f>
        <ns0:v/>
      </ns0:c>
      <ns0:c r="F2934">
        <ns0:f>IFERROR(IF(ISNUMBER($A2934),IF(AND(AH!$P$10=1,AH!$P$12=1,$A2934=TODAY()),IF(AND(AH!$P$10=1,AH!$P$12=1,$A2934=TODAY()),TODAY(),NA()),IF(AH!$P$10=1,INDEX('Live History'!$D$5:$D$3004,MATCH($A2934,'Live History'!$D$5:$D$3004,1)),INDEX('AH History'!$E$1:$E$18046,AH!$P$7+2929))),NA()),NA())</ns0:f>
        <ns0:v/>
      </ns0:c>
      <ns0:c r="G2934">
        <ns0:f>IFERROR(IF(ISNUMBER($A2934),IF(AND(AH!$P$10=1,AH!$P$12=1,$A2934=TODAY()),IF(AND(AH!$P$10=1,AH!$P$12=1,$A2934=TODAY()),TODAY(),NA()),IF(AH!$P$10=1,INDEX('Live History'!$G$5:$G$3004,MATCH($A2934,'Live History'!$G$5:$G$3004,1)),INDEX('AH History'!$F$1:$F$18046,AH!$P$7+2929))),NA()),NA())</ns0:f>
        <ns0:v/>
      </ns0:c>
      <ns0:c r="H2934">
        <ns0:f>IFERROR(IF(AND(AH!$E$4="Bloomberg",AH!$P$10=1,ISNUMBER($A2934),$A2934&lt;=AH!$P$17),AH!$P$7-1+MATCH($A2934,INDEX('AH History'!$A$1:$A$18046,AH!$P$7):INDEX('AH History'!$A$1:$A$18046,AH!$P$7+AH!$P$8-1),0),0),0)</ns0:f>
        <ns0:v/>
      </ns0:c>
      <ns0:c r="I2934">
        <ns0:f>IF($H2934=0,0,IFERROR(IF(AND(ABS($C2934-INDEX('AH History'!$B$1:$B$18046,$H2934))&lt;=MAX(0.005,ABS(INDEX('AH History'!$B$1:$B$18046,$H2934))*0.00005),ABS($D2934-INDEX('AH History'!$C$1:$C$18046,$H2934))&lt;=MAX(0.005,ABS(INDEX('AH History'!$C$1:$C$18046,$H2934))*0.00005),ABS($E2934-INDEX('AH History'!$D$1:$D$18046,$H2934))&lt;=0.00005,$F2934=INDEX('AH History'!$E$1:$E$18046,$H2934),$G2934=INDEX('AH History'!$F$1:$F$18046,$H2934)),1,-1),-1))</ns0:f>
        <ns0:v/>
      </ns0:c>
    </ns0:row>
    <ns0:row r="2935">
      <ns0:c r="A2935" s="215">
        <ns0:f>IF(OR(AH!$P$3=0,2930+1&gt;AH!$P$11,AND(AH!$E$4&lt;&gt;"Stored",AH!$P$10&lt;&gt;1)),"",IFERROR(IF(AND(AH!$P$21=1,2930+1=AH!$P$11),TODAY(),IF(AH!$P$10=1,INDEX('Live History'!$A$5:$A$3004,AH!$P$13+2930),INDEX('AH History'!$A$1:$A$18046,AH!$P$7+2930))),""))</ns0:f>
        <ns0:v/>
      </ns0:c>
      <ns0:c r="B2935" s="219">
        <ns0:f>IFERROR(IF(AND(AH!$P$9&lt;&gt;1,$C2935&gt;0,$D2935&gt;0,$E2935&gt;0,$F2935&gt;0,$G2935&gt;0,$F2935&lt;=$A2935,$G2935&lt;=$A2935,$A2935-$F2935&lt;=10,$A2935-$G2935&lt;=5),$D2935*$E2935/$C2935-1,NA()),NA())</ns0:f>
        <ns0:v/>
      </ns0:c>
      <ns0:c r="C2935">
        <ns0:f>IFERROR(IF(ISNUMBER($A2935),IF(AND(AH!$P$10=1,AH!$P$12=1,$A2935=TODAY()),AH!$P$19,IF(AH!$P$10=1,INDEX('Live History'!$B$5:$B$3004,AH!$P$13+2930),INDEX('AH History'!$B$1:$B$18046,AH!$P$7+2930))),NA()),NA())</ns0:f>
        <ns0:v/>
      </ns0:c>
      <ns0:c r="D2935">
        <ns0:f>IFERROR(IF(ISNUMBER($A2935),IF(AND(AH!$P$10=1,AH!$P$12=1,$A2935=TODAY()),AH!$P$18,IF(AH!$P$10=1,INDEX('Live History'!$E$5:$E$3004,MATCH($A2935,'Live History'!$D$5:$D$3004,1)),INDEX('AH History'!$C$1:$C$18046,AH!$P$7+2930))),NA()),NA())</ns0:f>
        <ns0:v/>
      </ns0:c>
      <ns0:c r="E2935">
        <ns0:f>IFERROR(IF(ISNUMBER($A2935),IF(AND(AH!$P$10=1,AH!$P$12=1,$A2935=TODAY()),AH!$P$20,IF(AH!$P$10=1,INDEX('Live History'!$H$5:$H$3004,MATCH($A2935,'Live History'!$G$5:$G$3004,1)),INDEX('AH History'!$D$1:$D$18046,AH!$P$7+2930))),NA()),NA())</ns0:f>
        <ns0:v/>
      </ns0:c>
      <ns0:c r="F2935">
        <ns0:f>IFERROR(IF(ISNUMBER($A2935),IF(AND(AH!$P$10=1,AH!$P$12=1,$A2935=TODAY()),IF(AND(AH!$P$10=1,AH!$P$12=1,$A2935=TODAY()),TODAY(),NA()),IF(AH!$P$10=1,INDEX('Live History'!$D$5:$D$3004,MATCH($A2935,'Live History'!$D$5:$D$3004,1)),INDEX('AH History'!$E$1:$E$18046,AH!$P$7+2930))),NA()),NA())</ns0:f>
        <ns0:v/>
      </ns0:c>
      <ns0:c r="G2935">
        <ns0:f>IFERROR(IF(ISNUMBER($A2935),IF(AND(AH!$P$10=1,AH!$P$12=1,$A2935=TODAY()),IF(AND(AH!$P$10=1,AH!$P$12=1,$A2935=TODAY()),TODAY(),NA()),IF(AH!$P$10=1,INDEX('Live History'!$G$5:$G$3004,MATCH($A2935,'Live History'!$G$5:$G$3004,1)),INDEX('AH History'!$F$1:$F$18046,AH!$P$7+2930))),NA()),NA())</ns0:f>
        <ns0:v/>
      </ns0:c>
      <ns0:c r="H2935">
        <ns0:f>IFERROR(IF(AND(AH!$E$4="Bloomberg",AH!$P$10=1,ISNUMBER($A2935),$A2935&lt;=AH!$P$17),AH!$P$7-1+MATCH($A2935,INDEX('AH History'!$A$1:$A$18046,AH!$P$7):INDEX('AH History'!$A$1:$A$18046,AH!$P$7+AH!$P$8-1),0),0),0)</ns0:f>
        <ns0:v/>
      </ns0:c>
      <ns0:c r="I2935">
        <ns0:f>IF($H2935=0,0,IFERROR(IF(AND(ABS($C2935-INDEX('AH History'!$B$1:$B$18046,$H2935))&lt;=MAX(0.005,ABS(INDEX('AH History'!$B$1:$B$18046,$H2935))*0.00005),ABS($D2935-INDEX('AH History'!$C$1:$C$18046,$H2935))&lt;=MAX(0.005,ABS(INDEX('AH History'!$C$1:$C$18046,$H2935))*0.00005),ABS($E2935-INDEX('AH History'!$D$1:$D$18046,$H2935))&lt;=0.00005,$F2935=INDEX('AH History'!$E$1:$E$18046,$H2935),$G2935=INDEX('AH History'!$F$1:$F$18046,$H2935)),1,-1),-1))</ns0:f>
        <ns0:v/>
      </ns0:c>
    </ns0:row>
    <ns0:row r="2936">
      <ns0:c r="A2936" s="215">
        <ns0:f>IF(OR(AH!$P$3=0,2931+1&gt;AH!$P$11,AND(AH!$E$4&lt;&gt;"Stored",AH!$P$10&lt;&gt;1)),"",IFERROR(IF(AND(AH!$P$21=1,2931+1=AH!$P$11),TODAY(),IF(AH!$P$10=1,INDEX('Live History'!$A$5:$A$3004,AH!$P$13+2931),INDEX('AH History'!$A$1:$A$18046,AH!$P$7+2931))),""))</ns0:f>
        <ns0:v/>
      </ns0:c>
      <ns0:c r="B2936" s="219">
        <ns0:f>IFERROR(IF(AND(AH!$P$9&lt;&gt;1,$C2936&gt;0,$D2936&gt;0,$E2936&gt;0,$F2936&gt;0,$G2936&gt;0,$F2936&lt;=$A2936,$G2936&lt;=$A2936,$A2936-$F2936&lt;=10,$A2936-$G2936&lt;=5),$D2936*$E2936/$C2936-1,NA()),NA())</ns0:f>
        <ns0:v/>
      </ns0:c>
      <ns0:c r="C2936">
        <ns0:f>IFERROR(IF(ISNUMBER($A2936),IF(AND(AH!$P$10=1,AH!$P$12=1,$A2936=TODAY()),AH!$P$19,IF(AH!$P$10=1,INDEX('Live History'!$B$5:$B$3004,AH!$P$13+2931),INDEX('AH History'!$B$1:$B$18046,AH!$P$7+2931))),NA()),NA())</ns0:f>
        <ns0:v/>
      </ns0:c>
      <ns0:c r="D2936">
        <ns0:f>IFERROR(IF(ISNUMBER($A2936),IF(AND(AH!$P$10=1,AH!$P$12=1,$A2936=TODAY()),AH!$P$18,IF(AH!$P$10=1,INDEX('Live History'!$E$5:$E$3004,MATCH($A2936,'Live History'!$D$5:$D$3004,1)),INDEX('AH History'!$C$1:$C$18046,AH!$P$7+2931))),NA()),NA())</ns0:f>
        <ns0:v/>
      </ns0:c>
      <ns0:c r="E2936">
        <ns0:f>IFERROR(IF(ISNUMBER($A2936),IF(AND(AH!$P$10=1,AH!$P$12=1,$A2936=TODAY()),AH!$P$20,IF(AH!$P$10=1,INDEX('Live History'!$H$5:$H$3004,MATCH($A2936,'Live History'!$G$5:$G$3004,1)),INDEX('AH History'!$D$1:$D$18046,AH!$P$7+2931))),NA()),NA())</ns0:f>
        <ns0:v/>
      </ns0:c>
      <ns0:c r="F2936">
        <ns0:f>IFERROR(IF(ISNUMBER($A2936),IF(AND(AH!$P$10=1,AH!$P$12=1,$A2936=TODAY()),IF(AND(AH!$P$10=1,AH!$P$12=1,$A2936=TODAY()),TODAY(),NA()),IF(AH!$P$10=1,INDEX('Live History'!$D$5:$D$3004,MATCH($A2936,'Live History'!$D$5:$D$3004,1)),INDEX('AH History'!$E$1:$E$18046,AH!$P$7+2931))),NA()),NA())</ns0:f>
        <ns0:v/>
      </ns0:c>
      <ns0:c r="G2936">
        <ns0:f>IFERROR(IF(ISNUMBER($A2936),IF(AND(AH!$P$10=1,AH!$P$12=1,$A2936=TODAY()),IF(AND(AH!$P$10=1,AH!$P$12=1,$A2936=TODAY()),TODAY(),NA()),IF(AH!$P$10=1,INDEX('Live History'!$G$5:$G$3004,MATCH($A2936,'Live History'!$G$5:$G$3004,1)),INDEX('AH History'!$F$1:$F$18046,AH!$P$7+2931))),NA()),NA())</ns0:f>
        <ns0:v/>
      </ns0:c>
      <ns0:c r="H2936">
        <ns0:f>IFERROR(IF(AND(AH!$E$4="Bloomberg",AH!$P$10=1,ISNUMBER($A2936),$A2936&lt;=AH!$P$17),AH!$P$7-1+MATCH($A2936,INDEX('AH History'!$A$1:$A$18046,AH!$P$7):INDEX('AH History'!$A$1:$A$18046,AH!$P$7+AH!$P$8-1),0),0),0)</ns0:f>
        <ns0:v/>
      </ns0:c>
      <ns0:c r="I2936">
        <ns0:f>IF($H2936=0,0,IFERROR(IF(AND(ABS($C2936-INDEX('AH History'!$B$1:$B$18046,$H2936))&lt;=MAX(0.005,ABS(INDEX('AH History'!$B$1:$B$18046,$H2936))*0.00005),ABS($D2936-INDEX('AH History'!$C$1:$C$18046,$H2936))&lt;=MAX(0.005,ABS(INDEX('AH History'!$C$1:$C$18046,$H2936))*0.00005),ABS($E2936-INDEX('AH History'!$D$1:$D$18046,$H2936))&lt;=0.00005,$F2936=INDEX('AH History'!$E$1:$E$18046,$H2936),$G2936=INDEX('AH History'!$F$1:$F$18046,$H2936)),1,-1),-1))</ns0:f>
        <ns0:v/>
      </ns0:c>
    </ns0:row>
    <ns0:row r="2937">
      <ns0:c r="A2937" s="215">
        <ns0:f>IF(OR(AH!$P$3=0,2932+1&gt;AH!$P$11,AND(AH!$E$4&lt;&gt;"Stored",AH!$P$10&lt;&gt;1)),"",IFERROR(IF(AND(AH!$P$21=1,2932+1=AH!$P$11),TODAY(),IF(AH!$P$10=1,INDEX('Live History'!$A$5:$A$3004,AH!$P$13+2932),INDEX('AH History'!$A$1:$A$18046,AH!$P$7+2932))),""))</ns0:f>
        <ns0:v/>
      </ns0:c>
      <ns0:c r="B2937" s="219">
        <ns0:f>IFERROR(IF(AND(AH!$P$9&lt;&gt;1,$C2937&gt;0,$D2937&gt;0,$E2937&gt;0,$F2937&gt;0,$G2937&gt;0,$F2937&lt;=$A2937,$G2937&lt;=$A2937,$A2937-$F2937&lt;=10,$A2937-$G2937&lt;=5),$D2937*$E2937/$C2937-1,NA()),NA())</ns0:f>
        <ns0:v/>
      </ns0:c>
      <ns0:c r="C2937">
        <ns0:f>IFERROR(IF(ISNUMBER($A2937),IF(AND(AH!$P$10=1,AH!$P$12=1,$A2937=TODAY()),AH!$P$19,IF(AH!$P$10=1,INDEX('Live History'!$B$5:$B$3004,AH!$P$13+2932),INDEX('AH History'!$B$1:$B$18046,AH!$P$7+2932))),NA()),NA())</ns0:f>
        <ns0:v/>
      </ns0:c>
      <ns0:c r="D2937">
        <ns0:f>IFERROR(IF(ISNUMBER($A2937),IF(AND(AH!$P$10=1,AH!$P$12=1,$A2937=TODAY()),AH!$P$18,IF(AH!$P$10=1,INDEX('Live History'!$E$5:$E$3004,MATCH($A2937,'Live History'!$D$5:$D$3004,1)),INDEX('AH History'!$C$1:$C$18046,AH!$P$7+2932))),NA()),NA())</ns0:f>
        <ns0:v/>
      </ns0:c>
      <ns0:c r="E2937">
        <ns0:f>IFERROR(IF(ISNUMBER($A2937),IF(AND(AH!$P$10=1,AH!$P$12=1,$A2937=TODAY()),AH!$P$20,IF(AH!$P$10=1,INDEX('Live History'!$H$5:$H$3004,MATCH($A2937,'Live History'!$G$5:$G$3004,1)),INDEX('AH History'!$D$1:$D$18046,AH!$P$7+2932))),NA()),NA())</ns0:f>
        <ns0:v/>
      </ns0:c>
      <ns0:c r="F2937">
        <ns0:f>IFERROR(IF(ISNUMBER($A2937),IF(AND(AH!$P$10=1,AH!$P$12=1,$A2937=TODAY()),IF(AND(AH!$P$10=1,AH!$P$12=1,$A2937=TODAY()),TODAY(),NA()),IF(AH!$P$10=1,INDEX('Live History'!$D$5:$D$3004,MATCH($A2937,'Live History'!$D$5:$D$3004,1)),INDEX('AH History'!$E$1:$E$18046,AH!$P$7+2932))),NA()),NA())</ns0:f>
        <ns0:v/>
      </ns0:c>
      <ns0:c r="G2937">
        <ns0:f>IFERROR(IF(ISNUMBER($A2937),IF(AND(AH!$P$10=1,AH!$P$12=1,$A2937=TODAY()),IF(AND(AH!$P$10=1,AH!$P$12=1,$A2937=TODAY()),TODAY(),NA()),IF(AH!$P$10=1,INDEX('Live History'!$G$5:$G$3004,MATCH($A2937,'Live History'!$G$5:$G$3004,1)),INDEX('AH History'!$F$1:$F$18046,AH!$P$7+2932))),NA()),NA())</ns0:f>
        <ns0:v/>
      </ns0:c>
      <ns0:c r="H2937">
        <ns0:f>IFERROR(IF(AND(AH!$E$4="Bloomberg",AH!$P$10=1,ISNUMBER($A2937),$A2937&lt;=AH!$P$17),AH!$P$7-1+MATCH($A2937,INDEX('AH History'!$A$1:$A$18046,AH!$P$7):INDEX('AH History'!$A$1:$A$18046,AH!$P$7+AH!$P$8-1),0),0),0)</ns0:f>
        <ns0:v/>
      </ns0:c>
      <ns0:c r="I2937">
        <ns0:f>IF($H2937=0,0,IFERROR(IF(AND(ABS($C2937-INDEX('AH History'!$B$1:$B$18046,$H2937))&lt;=MAX(0.005,ABS(INDEX('AH History'!$B$1:$B$18046,$H2937))*0.00005),ABS($D2937-INDEX('AH History'!$C$1:$C$18046,$H2937))&lt;=MAX(0.005,ABS(INDEX('AH History'!$C$1:$C$18046,$H2937))*0.00005),ABS($E2937-INDEX('AH History'!$D$1:$D$18046,$H2937))&lt;=0.00005,$F2937=INDEX('AH History'!$E$1:$E$18046,$H2937),$G2937=INDEX('AH History'!$F$1:$F$18046,$H2937)),1,-1),-1))</ns0:f>
        <ns0:v/>
      </ns0:c>
    </ns0:row>
    <ns0:row r="2938">
      <ns0:c r="A2938" s="215">
        <ns0:f>IF(OR(AH!$P$3=0,2933+1&gt;AH!$P$11,AND(AH!$E$4&lt;&gt;"Stored",AH!$P$10&lt;&gt;1)),"",IFERROR(IF(AND(AH!$P$21=1,2933+1=AH!$P$11),TODAY(),IF(AH!$P$10=1,INDEX('Live History'!$A$5:$A$3004,AH!$P$13+2933),INDEX('AH History'!$A$1:$A$18046,AH!$P$7+2933))),""))</ns0:f>
        <ns0:v/>
      </ns0:c>
      <ns0:c r="B2938" s="219">
        <ns0:f>IFERROR(IF(AND(AH!$P$9&lt;&gt;1,$C2938&gt;0,$D2938&gt;0,$E2938&gt;0,$F2938&gt;0,$G2938&gt;0,$F2938&lt;=$A2938,$G2938&lt;=$A2938,$A2938-$F2938&lt;=10,$A2938-$G2938&lt;=5),$D2938*$E2938/$C2938-1,NA()),NA())</ns0:f>
        <ns0:v/>
      </ns0:c>
      <ns0:c r="C2938">
        <ns0:f>IFERROR(IF(ISNUMBER($A2938),IF(AND(AH!$P$10=1,AH!$P$12=1,$A2938=TODAY()),AH!$P$19,IF(AH!$P$10=1,INDEX('Live History'!$B$5:$B$3004,AH!$P$13+2933),INDEX('AH History'!$B$1:$B$18046,AH!$P$7+2933))),NA()),NA())</ns0:f>
        <ns0:v/>
      </ns0:c>
      <ns0:c r="D2938">
        <ns0:f>IFERROR(IF(ISNUMBER($A2938),IF(AND(AH!$P$10=1,AH!$P$12=1,$A2938=TODAY()),AH!$P$18,IF(AH!$P$10=1,INDEX('Live History'!$E$5:$E$3004,MATCH($A2938,'Live History'!$D$5:$D$3004,1)),INDEX('AH History'!$C$1:$C$18046,AH!$P$7+2933))),NA()),NA())</ns0:f>
        <ns0:v/>
      </ns0:c>
      <ns0:c r="E2938">
        <ns0:f>IFERROR(IF(ISNUMBER($A2938),IF(AND(AH!$P$10=1,AH!$P$12=1,$A2938=TODAY()),AH!$P$20,IF(AH!$P$10=1,INDEX('Live History'!$H$5:$H$3004,MATCH($A2938,'Live History'!$G$5:$G$3004,1)),INDEX('AH History'!$D$1:$D$18046,AH!$P$7+2933))),NA()),NA())</ns0:f>
        <ns0:v/>
      </ns0:c>
      <ns0:c r="F2938">
        <ns0:f>IFERROR(IF(ISNUMBER($A2938),IF(AND(AH!$P$10=1,AH!$P$12=1,$A2938=TODAY()),IF(AND(AH!$P$10=1,AH!$P$12=1,$A2938=TODAY()),TODAY(),NA()),IF(AH!$P$10=1,INDEX('Live History'!$D$5:$D$3004,MATCH($A2938,'Live History'!$D$5:$D$3004,1)),INDEX('AH History'!$E$1:$E$18046,AH!$P$7+2933))),NA()),NA())</ns0:f>
        <ns0:v/>
      </ns0:c>
      <ns0:c r="G2938">
        <ns0:f>IFERROR(IF(ISNUMBER($A2938),IF(AND(AH!$P$10=1,AH!$P$12=1,$A2938=TODAY()),IF(AND(AH!$P$10=1,AH!$P$12=1,$A2938=TODAY()),TODAY(),NA()),IF(AH!$P$10=1,INDEX('Live History'!$G$5:$G$3004,MATCH($A2938,'Live History'!$G$5:$G$3004,1)),INDEX('AH History'!$F$1:$F$18046,AH!$P$7+2933))),NA()),NA())</ns0:f>
        <ns0:v/>
      </ns0:c>
      <ns0:c r="H2938">
        <ns0:f>IFERROR(IF(AND(AH!$E$4="Bloomberg",AH!$P$10=1,ISNUMBER($A2938),$A2938&lt;=AH!$P$17),AH!$P$7-1+MATCH($A2938,INDEX('AH History'!$A$1:$A$18046,AH!$P$7):INDEX('AH History'!$A$1:$A$18046,AH!$P$7+AH!$P$8-1),0),0),0)</ns0:f>
        <ns0:v/>
      </ns0:c>
      <ns0:c r="I2938">
        <ns0:f>IF($H2938=0,0,IFERROR(IF(AND(ABS($C2938-INDEX('AH History'!$B$1:$B$18046,$H2938))&lt;=MAX(0.005,ABS(INDEX('AH History'!$B$1:$B$18046,$H2938))*0.00005),ABS($D2938-INDEX('AH History'!$C$1:$C$18046,$H2938))&lt;=MAX(0.005,ABS(INDEX('AH History'!$C$1:$C$18046,$H2938))*0.00005),ABS($E2938-INDEX('AH History'!$D$1:$D$18046,$H2938))&lt;=0.00005,$F2938=INDEX('AH History'!$E$1:$E$18046,$H2938),$G2938=INDEX('AH History'!$F$1:$F$18046,$H2938)),1,-1),-1))</ns0:f>
        <ns0:v/>
      </ns0:c>
    </ns0:row>
    <ns0:row r="2939">
      <ns0:c r="A2939" s="215">
        <ns0:f>IF(OR(AH!$P$3=0,2934+1&gt;AH!$P$11,AND(AH!$E$4&lt;&gt;"Stored",AH!$P$10&lt;&gt;1)),"",IFERROR(IF(AND(AH!$P$21=1,2934+1=AH!$P$11),TODAY(),IF(AH!$P$10=1,INDEX('Live History'!$A$5:$A$3004,AH!$P$13+2934),INDEX('AH History'!$A$1:$A$18046,AH!$P$7+2934))),""))</ns0:f>
        <ns0:v/>
      </ns0:c>
      <ns0:c r="B2939" s="219">
        <ns0:f>IFERROR(IF(AND(AH!$P$9&lt;&gt;1,$C2939&gt;0,$D2939&gt;0,$E2939&gt;0,$F2939&gt;0,$G2939&gt;0,$F2939&lt;=$A2939,$G2939&lt;=$A2939,$A2939-$F2939&lt;=10,$A2939-$G2939&lt;=5),$D2939*$E2939/$C2939-1,NA()),NA())</ns0:f>
        <ns0:v/>
      </ns0:c>
      <ns0:c r="C2939">
        <ns0:f>IFERROR(IF(ISNUMBER($A2939),IF(AND(AH!$P$10=1,AH!$P$12=1,$A2939=TODAY()),AH!$P$19,IF(AH!$P$10=1,INDEX('Live History'!$B$5:$B$3004,AH!$P$13+2934),INDEX('AH History'!$B$1:$B$18046,AH!$P$7+2934))),NA()),NA())</ns0:f>
        <ns0:v/>
      </ns0:c>
      <ns0:c r="D2939">
        <ns0:f>IFERROR(IF(ISNUMBER($A2939),IF(AND(AH!$P$10=1,AH!$P$12=1,$A2939=TODAY()),AH!$P$18,IF(AH!$P$10=1,INDEX('Live History'!$E$5:$E$3004,MATCH($A2939,'Live History'!$D$5:$D$3004,1)),INDEX('AH History'!$C$1:$C$18046,AH!$P$7+2934))),NA()),NA())</ns0:f>
        <ns0:v/>
      </ns0:c>
      <ns0:c r="E2939">
        <ns0:f>IFERROR(IF(ISNUMBER($A2939),IF(AND(AH!$P$10=1,AH!$P$12=1,$A2939=TODAY()),AH!$P$20,IF(AH!$P$10=1,INDEX('Live History'!$H$5:$H$3004,MATCH($A2939,'Live History'!$G$5:$G$3004,1)),INDEX('AH History'!$D$1:$D$18046,AH!$P$7+2934))),NA()),NA())</ns0:f>
        <ns0:v/>
      </ns0:c>
      <ns0:c r="F2939">
        <ns0:f>IFERROR(IF(ISNUMBER($A2939),IF(AND(AH!$P$10=1,AH!$P$12=1,$A2939=TODAY()),IF(AND(AH!$P$10=1,AH!$P$12=1,$A2939=TODAY()),TODAY(),NA()),IF(AH!$P$10=1,INDEX('Live History'!$D$5:$D$3004,MATCH($A2939,'Live History'!$D$5:$D$3004,1)),INDEX('AH History'!$E$1:$E$18046,AH!$P$7+2934))),NA()),NA())</ns0:f>
        <ns0:v/>
      </ns0:c>
      <ns0:c r="G2939">
        <ns0:f>IFERROR(IF(ISNUMBER($A2939),IF(AND(AH!$P$10=1,AH!$P$12=1,$A2939=TODAY()),IF(AND(AH!$P$10=1,AH!$P$12=1,$A2939=TODAY()),TODAY(),NA()),IF(AH!$P$10=1,INDEX('Live History'!$G$5:$G$3004,MATCH($A2939,'Live History'!$G$5:$G$3004,1)),INDEX('AH History'!$F$1:$F$18046,AH!$P$7+2934))),NA()),NA())</ns0:f>
        <ns0:v/>
      </ns0:c>
      <ns0:c r="H2939">
        <ns0:f>IFERROR(IF(AND(AH!$E$4="Bloomberg",AH!$P$10=1,ISNUMBER($A2939),$A2939&lt;=AH!$P$17),AH!$P$7-1+MATCH($A2939,INDEX('AH History'!$A$1:$A$18046,AH!$P$7):INDEX('AH History'!$A$1:$A$18046,AH!$P$7+AH!$P$8-1),0),0),0)</ns0:f>
        <ns0:v/>
      </ns0:c>
      <ns0:c r="I2939">
        <ns0:f>IF($H2939=0,0,IFERROR(IF(AND(ABS($C2939-INDEX('AH History'!$B$1:$B$18046,$H2939))&lt;=MAX(0.005,ABS(INDEX('AH History'!$B$1:$B$18046,$H2939))*0.00005),ABS($D2939-INDEX('AH History'!$C$1:$C$18046,$H2939))&lt;=MAX(0.005,ABS(INDEX('AH History'!$C$1:$C$18046,$H2939))*0.00005),ABS($E2939-INDEX('AH History'!$D$1:$D$18046,$H2939))&lt;=0.00005,$F2939=INDEX('AH History'!$E$1:$E$18046,$H2939),$G2939=INDEX('AH History'!$F$1:$F$18046,$H2939)),1,-1),-1))</ns0:f>
        <ns0:v/>
      </ns0:c>
    </ns0:row>
    <ns0:row r="2940">
      <ns0:c r="A2940" s="215">
        <ns0:f>IF(OR(AH!$P$3=0,2935+1&gt;AH!$P$11,AND(AH!$E$4&lt;&gt;"Stored",AH!$P$10&lt;&gt;1)),"",IFERROR(IF(AND(AH!$P$21=1,2935+1=AH!$P$11),TODAY(),IF(AH!$P$10=1,INDEX('Live History'!$A$5:$A$3004,AH!$P$13+2935),INDEX('AH History'!$A$1:$A$18046,AH!$P$7+2935))),""))</ns0:f>
        <ns0:v/>
      </ns0:c>
      <ns0:c r="B2940" s="219">
        <ns0:f>IFERROR(IF(AND(AH!$P$9&lt;&gt;1,$C2940&gt;0,$D2940&gt;0,$E2940&gt;0,$F2940&gt;0,$G2940&gt;0,$F2940&lt;=$A2940,$G2940&lt;=$A2940,$A2940-$F2940&lt;=10,$A2940-$G2940&lt;=5),$D2940*$E2940/$C2940-1,NA()),NA())</ns0:f>
        <ns0:v/>
      </ns0:c>
      <ns0:c r="C2940">
        <ns0:f>IFERROR(IF(ISNUMBER($A2940),IF(AND(AH!$P$10=1,AH!$P$12=1,$A2940=TODAY()),AH!$P$19,IF(AH!$P$10=1,INDEX('Live History'!$B$5:$B$3004,AH!$P$13+2935),INDEX('AH History'!$B$1:$B$18046,AH!$P$7+2935))),NA()),NA())</ns0:f>
        <ns0:v/>
      </ns0:c>
      <ns0:c r="D2940">
        <ns0:f>IFERROR(IF(ISNUMBER($A2940),IF(AND(AH!$P$10=1,AH!$P$12=1,$A2940=TODAY()),AH!$P$18,IF(AH!$P$10=1,INDEX('Live History'!$E$5:$E$3004,MATCH($A2940,'Live History'!$D$5:$D$3004,1)),INDEX('AH History'!$C$1:$C$18046,AH!$P$7+2935))),NA()),NA())</ns0:f>
        <ns0:v/>
      </ns0:c>
      <ns0:c r="E2940">
        <ns0:f>IFERROR(IF(ISNUMBER($A2940),IF(AND(AH!$P$10=1,AH!$P$12=1,$A2940=TODAY()),AH!$P$20,IF(AH!$P$10=1,INDEX('Live History'!$H$5:$H$3004,MATCH($A2940,'Live History'!$G$5:$G$3004,1)),INDEX('AH History'!$D$1:$D$18046,AH!$P$7+2935))),NA()),NA())</ns0:f>
        <ns0:v/>
      </ns0:c>
      <ns0:c r="F2940">
        <ns0:f>IFERROR(IF(ISNUMBER($A2940),IF(AND(AH!$P$10=1,AH!$P$12=1,$A2940=TODAY()),IF(AND(AH!$P$10=1,AH!$P$12=1,$A2940=TODAY()),TODAY(),NA()),IF(AH!$P$10=1,INDEX('Live History'!$D$5:$D$3004,MATCH($A2940,'Live History'!$D$5:$D$3004,1)),INDEX('AH History'!$E$1:$E$18046,AH!$P$7+2935))),NA()),NA())</ns0:f>
        <ns0:v/>
      </ns0:c>
      <ns0:c r="G2940">
        <ns0:f>IFERROR(IF(ISNUMBER($A2940),IF(AND(AH!$P$10=1,AH!$P$12=1,$A2940=TODAY()),IF(AND(AH!$P$10=1,AH!$P$12=1,$A2940=TODAY()),TODAY(),NA()),IF(AH!$P$10=1,INDEX('Live History'!$G$5:$G$3004,MATCH($A2940,'Live History'!$G$5:$G$3004,1)),INDEX('AH History'!$F$1:$F$18046,AH!$P$7+2935))),NA()),NA())</ns0:f>
        <ns0:v/>
      </ns0:c>
      <ns0:c r="H2940">
        <ns0:f>IFERROR(IF(AND(AH!$E$4="Bloomberg",AH!$P$10=1,ISNUMBER($A2940),$A2940&lt;=AH!$P$17),AH!$P$7-1+MATCH($A2940,INDEX('AH History'!$A$1:$A$18046,AH!$P$7):INDEX('AH History'!$A$1:$A$18046,AH!$P$7+AH!$P$8-1),0),0),0)</ns0:f>
        <ns0:v/>
      </ns0:c>
      <ns0:c r="I2940">
        <ns0:f>IF($H2940=0,0,IFERROR(IF(AND(ABS($C2940-INDEX('AH History'!$B$1:$B$18046,$H2940))&lt;=MAX(0.005,ABS(INDEX('AH History'!$B$1:$B$18046,$H2940))*0.00005),ABS($D2940-INDEX('AH History'!$C$1:$C$18046,$H2940))&lt;=MAX(0.005,ABS(INDEX('AH History'!$C$1:$C$18046,$H2940))*0.00005),ABS($E2940-INDEX('AH History'!$D$1:$D$18046,$H2940))&lt;=0.00005,$F2940=INDEX('AH History'!$E$1:$E$18046,$H2940),$G2940=INDEX('AH History'!$F$1:$F$18046,$H2940)),1,-1),-1))</ns0:f>
        <ns0:v/>
      </ns0:c>
    </ns0:row>
    <ns0:row r="2941">
      <ns0:c r="A2941" s="215">
        <ns0:f>IF(OR(AH!$P$3=0,2936+1&gt;AH!$P$11,AND(AH!$E$4&lt;&gt;"Stored",AH!$P$10&lt;&gt;1)),"",IFERROR(IF(AND(AH!$P$21=1,2936+1=AH!$P$11),TODAY(),IF(AH!$P$10=1,INDEX('Live History'!$A$5:$A$3004,AH!$P$13+2936),INDEX('AH History'!$A$1:$A$18046,AH!$P$7+2936))),""))</ns0:f>
        <ns0:v/>
      </ns0:c>
      <ns0:c r="B2941" s="219">
        <ns0:f>IFERROR(IF(AND(AH!$P$9&lt;&gt;1,$C2941&gt;0,$D2941&gt;0,$E2941&gt;0,$F2941&gt;0,$G2941&gt;0,$F2941&lt;=$A2941,$G2941&lt;=$A2941,$A2941-$F2941&lt;=10,$A2941-$G2941&lt;=5),$D2941*$E2941/$C2941-1,NA()),NA())</ns0:f>
        <ns0:v/>
      </ns0:c>
      <ns0:c r="C2941">
        <ns0:f>IFERROR(IF(ISNUMBER($A2941),IF(AND(AH!$P$10=1,AH!$P$12=1,$A2941=TODAY()),AH!$P$19,IF(AH!$P$10=1,INDEX('Live History'!$B$5:$B$3004,AH!$P$13+2936),INDEX('AH History'!$B$1:$B$18046,AH!$P$7+2936))),NA()),NA())</ns0:f>
        <ns0:v/>
      </ns0:c>
      <ns0:c r="D2941">
        <ns0:f>IFERROR(IF(ISNUMBER($A2941),IF(AND(AH!$P$10=1,AH!$P$12=1,$A2941=TODAY()),AH!$P$18,IF(AH!$P$10=1,INDEX('Live History'!$E$5:$E$3004,MATCH($A2941,'Live History'!$D$5:$D$3004,1)),INDEX('AH History'!$C$1:$C$18046,AH!$P$7+2936))),NA()),NA())</ns0:f>
        <ns0:v/>
      </ns0:c>
      <ns0:c r="E2941">
        <ns0:f>IFERROR(IF(ISNUMBER($A2941),IF(AND(AH!$P$10=1,AH!$P$12=1,$A2941=TODAY()),AH!$P$20,IF(AH!$P$10=1,INDEX('Live History'!$H$5:$H$3004,MATCH($A2941,'Live History'!$G$5:$G$3004,1)),INDEX('AH History'!$D$1:$D$18046,AH!$P$7+2936))),NA()),NA())</ns0:f>
        <ns0:v/>
      </ns0:c>
      <ns0:c r="F2941">
        <ns0:f>IFERROR(IF(ISNUMBER($A2941),IF(AND(AH!$P$10=1,AH!$P$12=1,$A2941=TODAY()),IF(AND(AH!$P$10=1,AH!$P$12=1,$A2941=TODAY()),TODAY(),NA()),IF(AH!$P$10=1,INDEX('Live History'!$D$5:$D$3004,MATCH($A2941,'Live History'!$D$5:$D$3004,1)),INDEX('AH History'!$E$1:$E$18046,AH!$P$7+2936))),NA()),NA())</ns0:f>
        <ns0:v/>
      </ns0:c>
      <ns0:c r="G2941">
        <ns0:f>IFERROR(IF(ISNUMBER($A2941),IF(AND(AH!$P$10=1,AH!$P$12=1,$A2941=TODAY()),IF(AND(AH!$P$10=1,AH!$P$12=1,$A2941=TODAY()),TODAY(),NA()),IF(AH!$P$10=1,INDEX('Live History'!$G$5:$G$3004,MATCH($A2941,'Live History'!$G$5:$G$3004,1)),INDEX('AH History'!$F$1:$F$18046,AH!$P$7+2936))),NA()),NA())</ns0:f>
        <ns0:v/>
      </ns0:c>
      <ns0:c r="H2941">
        <ns0:f>IFERROR(IF(AND(AH!$E$4="Bloomberg",AH!$P$10=1,ISNUMBER($A2941),$A2941&lt;=AH!$P$17),AH!$P$7-1+MATCH($A2941,INDEX('AH History'!$A$1:$A$18046,AH!$P$7):INDEX('AH History'!$A$1:$A$18046,AH!$P$7+AH!$P$8-1),0),0),0)</ns0:f>
        <ns0:v/>
      </ns0:c>
      <ns0:c r="I2941">
        <ns0:f>IF($H2941=0,0,IFERROR(IF(AND(ABS($C2941-INDEX('AH History'!$B$1:$B$18046,$H2941))&lt;=MAX(0.005,ABS(INDEX('AH History'!$B$1:$B$18046,$H2941))*0.00005),ABS($D2941-INDEX('AH History'!$C$1:$C$18046,$H2941))&lt;=MAX(0.005,ABS(INDEX('AH History'!$C$1:$C$18046,$H2941))*0.00005),ABS($E2941-INDEX('AH History'!$D$1:$D$18046,$H2941))&lt;=0.00005,$F2941=INDEX('AH History'!$E$1:$E$18046,$H2941),$G2941=INDEX('AH History'!$F$1:$F$18046,$H2941)),1,-1),-1))</ns0:f>
        <ns0:v/>
      </ns0:c>
    </ns0:row>
    <ns0:row r="2942">
      <ns0:c r="A2942" s="215">
        <ns0:f>IF(OR(AH!$P$3=0,2937+1&gt;AH!$P$11,AND(AH!$E$4&lt;&gt;"Stored",AH!$P$10&lt;&gt;1)),"",IFERROR(IF(AND(AH!$P$21=1,2937+1=AH!$P$11),TODAY(),IF(AH!$P$10=1,INDEX('Live History'!$A$5:$A$3004,AH!$P$13+2937),INDEX('AH History'!$A$1:$A$18046,AH!$P$7+2937))),""))</ns0:f>
        <ns0:v/>
      </ns0:c>
      <ns0:c r="B2942" s="219">
        <ns0:f>IFERROR(IF(AND(AH!$P$9&lt;&gt;1,$C2942&gt;0,$D2942&gt;0,$E2942&gt;0,$F2942&gt;0,$G2942&gt;0,$F2942&lt;=$A2942,$G2942&lt;=$A2942,$A2942-$F2942&lt;=10,$A2942-$G2942&lt;=5),$D2942*$E2942/$C2942-1,NA()),NA())</ns0:f>
        <ns0:v/>
      </ns0:c>
      <ns0:c r="C2942">
        <ns0:f>IFERROR(IF(ISNUMBER($A2942),IF(AND(AH!$P$10=1,AH!$P$12=1,$A2942=TODAY()),AH!$P$19,IF(AH!$P$10=1,INDEX('Live History'!$B$5:$B$3004,AH!$P$13+2937),INDEX('AH History'!$B$1:$B$18046,AH!$P$7+2937))),NA()),NA())</ns0:f>
        <ns0:v/>
      </ns0:c>
      <ns0:c r="D2942">
        <ns0:f>IFERROR(IF(ISNUMBER($A2942),IF(AND(AH!$P$10=1,AH!$P$12=1,$A2942=TODAY()),AH!$P$18,IF(AH!$P$10=1,INDEX('Live History'!$E$5:$E$3004,MATCH($A2942,'Live History'!$D$5:$D$3004,1)),INDEX('AH History'!$C$1:$C$18046,AH!$P$7+2937))),NA()),NA())</ns0:f>
        <ns0:v/>
      </ns0:c>
      <ns0:c r="E2942">
        <ns0:f>IFERROR(IF(ISNUMBER($A2942),IF(AND(AH!$P$10=1,AH!$P$12=1,$A2942=TODAY()),AH!$P$20,IF(AH!$P$10=1,INDEX('Live History'!$H$5:$H$3004,MATCH($A2942,'Live History'!$G$5:$G$3004,1)),INDEX('AH History'!$D$1:$D$18046,AH!$P$7+2937))),NA()),NA())</ns0:f>
        <ns0:v/>
      </ns0:c>
      <ns0:c r="F2942">
        <ns0:f>IFERROR(IF(ISNUMBER($A2942),IF(AND(AH!$P$10=1,AH!$P$12=1,$A2942=TODAY()),IF(AND(AH!$P$10=1,AH!$P$12=1,$A2942=TODAY()),TODAY(),NA()),IF(AH!$P$10=1,INDEX('Live History'!$D$5:$D$3004,MATCH($A2942,'Live History'!$D$5:$D$3004,1)),INDEX('AH History'!$E$1:$E$18046,AH!$P$7+2937))),NA()),NA())</ns0:f>
        <ns0:v/>
      </ns0:c>
      <ns0:c r="G2942">
        <ns0:f>IFERROR(IF(ISNUMBER($A2942),IF(AND(AH!$P$10=1,AH!$P$12=1,$A2942=TODAY()),IF(AND(AH!$P$10=1,AH!$P$12=1,$A2942=TODAY()),TODAY(),NA()),IF(AH!$P$10=1,INDEX('Live History'!$G$5:$G$3004,MATCH($A2942,'Live History'!$G$5:$G$3004,1)),INDEX('AH History'!$F$1:$F$18046,AH!$P$7+2937))),NA()),NA())</ns0:f>
        <ns0:v/>
      </ns0:c>
      <ns0:c r="H2942">
        <ns0:f>IFERROR(IF(AND(AH!$E$4="Bloomberg",AH!$P$10=1,ISNUMBER($A2942),$A2942&lt;=AH!$P$17),AH!$P$7-1+MATCH($A2942,INDEX('AH History'!$A$1:$A$18046,AH!$P$7):INDEX('AH History'!$A$1:$A$18046,AH!$P$7+AH!$P$8-1),0),0),0)</ns0:f>
        <ns0:v/>
      </ns0:c>
      <ns0:c r="I2942">
        <ns0:f>IF($H2942=0,0,IFERROR(IF(AND(ABS($C2942-INDEX('AH History'!$B$1:$B$18046,$H2942))&lt;=MAX(0.005,ABS(INDEX('AH History'!$B$1:$B$18046,$H2942))*0.00005),ABS($D2942-INDEX('AH History'!$C$1:$C$18046,$H2942))&lt;=MAX(0.005,ABS(INDEX('AH History'!$C$1:$C$18046,$H2942))*0.00005),ABS($E2942-INDEX('AH History'!$D$1:$D$18046,$H2942))&lt;=0.00005,$F2942=INDEX('AH History'!$E$1:$E$18046,$H2942),$G2942=INDEX('AH History'!$F$1:$F$18046,$H2942)),1,-1),-1))</ns0:f>
        <ns0:v/>
      </ns0:c>
    </ns0:row>
    <ns0:row r="2943">
      <ns0:c r="A2943" s="215">
        <ns0:f>IF(OR(AH!$P$3=0,2938+1&gt;AH!$P$11,AND(AH!$E$4&lt;&gt;"Stored",AH!$P$10&lt;&gt;1)),"",IFERROR(IF(AND(AH!$P$21=1,2938+1=AH!$P$11),TODAY(),IF(AH!$P$10=1,INDEX('Live History'!$A$5:$A$3004,AH!$P$13+2938),INDEX('AH History'!$A$1:$A$18046,AH!$P$7+2938))),""))</ns0:f>
        <ns0:v/>
      </ns0:c>
      <ns0:c r="B2943" s="219">
        <ns0:f>IFERROR(IF(AND(AH!$P$9&lt;&gt;1,$C2943&gt;0,$D2943&gt;0,$E2943&gt;0,$F2943&gt;0,$G2943&gt;0,$F2943&lt;=$A2943,$G2943&lt;=$A2943,$A2943-$F2943&lt;=10,$A2943-$G2943&lt;=5),$D2943*$E2943/$C2943-1,NA()),NA())</ns0:f>
        <ns0:v/>
      </ns0:c>
      <ns0:c r="C2943">
        <ns0:f>IFERROR(IF(ISNUMBER($A2943),IF(AND(AH!$P$10=1,AH!$P$12=1,$A2943=TODAY()),AH!$P$19,IF(AH!$P$10=1,INDEX('Live History'!$B$5:$B$3004,AH!$P$13+2938),INDEX('AH History'!$B$1:$B$18046,AH!$P$7+2938))),NA()),NA())</ns0:f>
        <ns0:v/>
      </ns0:c>
      <ns0:c r="D2943">
        <ns0:f>IFERROR(IF(ISNUMBER($A2943),IF(AND(AH!$P$10=1,AH!$P$12=1,$A2943=TODAY()),AH!$P$18,IF(AH!$P$10=1,INDEX('Live History'!$E$5:$E$3004,MATCH($A2943,'Live History'!$D$5:$D$3004,1)),INDEX('AH History'!$C$1:$C$18046,AH!$P$7+2938))),NA()),NA())</ns0:f>
        <ns0:v/>
      </ns0:c>
      <ns0:c r="E2943">
        <ns0:f>IFERROR(IF(ISNUMBER($A2943),IF(AND(AH!$P$10=1,AH!$P$12=1,$A2943=TODAY()),AH!$P$20,IF(AH!$P$10=1,INDEX('Live History'!$H$5:$H$3004,MATCH($A2943,'Live History'!$G$5:$G$3004,1)),INDEX('AH History'!$D$1:$D$18046,AH!$P$7+2938))),NA()),NA())</ns0:f>
        <ns0:v/>
      </ns0:c>
      <ns0:c r="F2943">
        <ns0:f>IFERROR(IF(ISNUMBER($A2943),IF(AND(AH!$P$10=1,AH!$P$12=1,$A2943=TODAY()),IF(AND(AH!$P$10=1,AH!$P$12=1,$A2943=TODAY()),TODAY(),NA()),IF(AH!$P$10=1,INDEX('Live History'!$D$5:$D$3004,MATCH($A2943,'Live History'!$D$5:$D$3004,1)),INDEX('AH History'!$E$1:$E$18046,AH!$P$7+2938))),NA()),NA())</ns0:f>
        <ns0:v/>
      </ns0:c>
      <ns0:c r="G2943">
        <ns0:f>IFERROR(IF(ISNUMBER($A2943),IF(AND(AH!$P$10=1,AH!$P$12=1,$A2943=TODAY()),IF(AND(AH!$P$10=1,AH!$P$12=1,$A2943=TODAY()),TODAY(),NA()),IF(AH!$P$10=1,INDEX('Live History'!$G$5:$G$3004,MATCH($A2943,'Live History'!$G$5:$G$3004,1)),INDEX('AH History'!$F$1:$F$18046,AH!$P$7+2938))),NA()),NA())</ns0:f>
        <ns0:v/>
      </ns0:c>
      <ns0:c r="H2943">
        <ns0:f>IFERROR(IF(AND(AH!$E$4="Bloomberg",AH!$P$10=1,ISNUMBER($A2943),$A2943&lt;=AH!$P$17),AH!$P$7-1+MATCH($A2943,INDEX('AH History'!$A$1:$A$18046,AH!$P$7):INDEX('AH History'!$A$1:$A$18046,AH!$P$7+AH!$P$8-1),0),0),0)</ns0:f>
        <ns0:v/>
      </ns0:c>
      <ns0:c r="I2943">
        <ns0:f>IF($H2943=0,0,IFERROR(IF(AND(ABS($C2943-INDEX('AH History'!$B$1:$B$18046,$H2943))&lt;=MAX(0.005,ABS(INDEX('AH History'!$B$1:$B$18046,$H2943))*0.00005),ABS($D2943-INDEX('AH History'!$C$1:$C$18046,$H2943))&lt;=MAX(0.005,ABS(INDEX('AH History'!$C$1:$C$18046,$H2943))*0.00005),ABS($E2943-INDEX('AH History'!$D$1:$D$18046,$H2943))&lt;=0.00005,$F2943=INDEX('AH History'!$E$1:$E$18046,$H2943),$G2943=INDEX('AH History'!$F$1:$F$18046,$H2943)),1,-1),-1))</ns0:f>
        <ns0:v/>
      </ns0:c>
    </ns0:row>
    <ns0:row r="2944">
      <ns0:c r="A2944" s="215">
        <ns0:f>IF(OR(AH!$P$3=0,2939+1&gt;AH!$P$11,AND(AH!$E$4&lt;&gt;"Stored",AH!$P$10&lt;&gt;1)),"",IFERROR(IF(AND(AH!$P$21=1,2939+1=AH!$P$11),TODAY(),IF(AH!$P$10=1,INDEX('Live History'!$A$5:$A$3004,AH!$P$13+2939),INDEX('AH History'!$A$1:$A$18046,AH!$P$7+2939))),""))</ns0:f>
        <ns0:v/>
      </ns0:c>
      <ns0:c r="B2944" s="219">
        <ns0:f>IFERROR(IF(AND(AH!$P$9&lt;&gt;1,$C2944&gt;0,$D2944&gt;0,$E2944&gt;0,$F2944&gt;0,$G2944&gt;0,$F2944&lt;=$A2944,$G2944&lt;=$A2944,$A2944-$F2944&lt;=10,$A2944-$G2944&lt;=5),$D2944*$E2944/$C2944-1,NA()),NA())</ns0:f>
        <ns0:v/>
      </ns0:c>
      <ns0:c r="C2944">
        <ns0:f>IFERROR(IF(ISNUMBER($A2944),IF(AND(AH!$P$10=1,AH!$P$12=1,$A2944=TODAY()),AH!$P$19,IF(AH!$P$10=1,INDEX('Live History'!$B$5:$B$3004,AH!$P$13+2939),INDEX('AH History'!$B$1:$B$18046,AH!$P$7+2939))),NA()),NA())</ns0:f>
        <ns0:v/>
      </ns0:c>
      <ns0:c r="D2944">
        <ns0:f>IFERROR(IF(ISNUMBER($A2944),IF(AND(AH!$P$10=1,AH!$P$12=1,$A2944=TODAY()),AH!$P$18,IF(AH!$P$10=1,INDEX('Live History'!$E$5:$E$3004,MATCH($A2944,'Live History'!$D$5:$D$3004,1)),INDEX('AH History'!$C$1:$C$18046,AH!$P$7+2939))),NA()),NA())</ns0:f>
        <ns0:v/>
      </ns0:c>
      <ns0:c r="E2944">
        <ns0:f>IFERROR(IF(ISNUMBER($A2944),IF(AND(AH!$P$10=1,AH!$P$12=1,$A2944=TODAY()),AH!$P$20,IF(AH!$P$10=1,INDEX('Live History'!$H$5:$H$3004,MATCH($A2944,'Live History'!$G$5:$G$3004,1)),INDEX('AH History'!$D$1:$D$18046,AH!$P$7+2939))),NA()),NA())</ns0:f>
        <ns0:v/>
      </ns0:c>
      <ns0:c r="F2944">
        <ns0:f>IFERROR(IF(ISNUMBER($A2944),IF(AND(AH!$P$10=1,AH!$P$12=1,$A2944=TODAY()),IF(AND(AH!$P$10=1,AH!$P$12=1,$A2944=TODAY()),TODAY(),NA()),IF(AH!$P$10=1,INDEX('Live History'!$D$5:$D$3004,MATCH($A2944,'Live History'!$D$5:$D$3004,1)),INDEX('AH History'!$E$1:$E$18046,AH!$P$7+2939))),NA()),NA())</ns0:f>
        <ns0:v/>
      </ns0:c>
      <ns0:c r="G2944">
        <ns0:f>IFERROR(IF(ISNUMBER($A2944),IF(AND(AH!$P$10=1,AH!$P$12=1,$A2944=TODAY()),IF(AND(AH!$P$10=1,AH!$P$12=1,$A2944=TODAY()),TODAY(),NA()),IF(AH!$P$10=1,INDEX('Live History'!$G$5:$G$3004,MATCH($A2944,'Live History'!$G$5:$G$3004,1)),INDEX('AH History'!$F$1:$F$18046,AH!$P$7+2939))),NA()),NA())</ns0:f>
        <ns0:v/>
      </ns0:c>
      <ns0:c r="H2944">
        <ns0:f>IFERROR(IF(AND(AH!$E$4="Bloomberg",AH!$P$10=1,ISNUMBER($A2944),$A2944&lt;=AH!$P$17),AH!$P$7-1+MATCH($A2944,INDEX('AH History'!$A$1:$A$18046,AH!$P$7):INDEX('AH History'!$A$1:$A$18046,AH!$P$7+AH!$P$8-1),0),0),0)</ns0:f>
        <ns0:v/>
      </ns0:c>
      <ns0:c r="I2944">
        <ns0:f>IF($H2944=0,0,IFERROR(IF(AND(ABS($C2944-INDEX('AH History'!$B$1:$B$18046,$H2944))&lt;=MAX(0.005,ABS(INDEX('AH History'!$B$1:$B$18046,$H2944))*0.00005),ABS($D2944-INDEX('AH History'!$C$1:$C$18046,$H2944))&lt;=MAX(0.005,ABS(INDEX('AH History'!$C$1:$C$18046,$H2944))*0.00005),ABS($E2944-INDEX('AH History'!$D$1:$D$18046,$H2944))&lt;=0.00005,$F2944=INDEX('AH History'!$E$1:$E$18046,$H2944),$G2944=INDEX('AH History'!$F$1:$F$18046,$H2944)),1,-1),-1))</ns0:f>
        <ns0:v/>
      </ns0:c>
    </ns0:row>
    <ns0:row r="2945">
      <ns0:c r="A2945" s="215">
        <ns0:f>IF(OR(AH!$P$3=0,2940+1&gt;AH!$P$11,AND(AH!$E$4&lt;&gt;"Stored",AH!$P$10&lt;&gt;1)),"",IFERROR(IF(AND(AH!$P$21=1,2940+1=AH!$P$11),TODAY(),IF(AH!$P$10=1,INDEX('Live History'!$A$5:$A$3004,AH!$P$13+2940),INDEX('AH History'!$A$1:$A$18046,AH!$P$7+2940))),""))</ns0:f>
        <ns0:v/>
      </ns0:c>
      <ns0:c r="B2945" s="219">
        <ns0:f>IFERROR(IF(AND(AH!$P$9&lt;&gt;1,$C2945&gt;0,$D2945&gt;0,$E2945&gt;0,$F2945&gt;0,$G2945&gt;0,$F2945&lt;=$A2945,$G2945&lt;=$A2945,$A2945-$F2945&lt;=10,$A2945-$G2945&lt;=5),$D2945*$E2945/$C2945-1,NA()),NA())</ns0:f>
        <ns0:v/>
      </ns0:c>
      <ns0:c r="C2945">
        <ns0:f>IFERROR(IF(ISNUMBER($A2945),IF(AND(AH!$P$10=1,AH!$P$12=1,$A2945=TODAY()),AH!$P$19,IF(AH!$P$10=1,INDEX('Live History'!$B$5:$B$3004,AH!$P$13+2940),INDEX('AH History'!$B$1:$B$18046,AH!$P$7+2940))),NA()),NA())</ns0:f>
        <ns0:v/>
      </ns0:c>
      <ns0:c r="D2945">
        <ns0:f>IFERROR(IF(ISNUMBER($A2945),IF(AND(AH!$P$10=1,AH!$P$12=1,$A2945=TODAY()),AH!$P$18,IF(AH!$P$10=1,INDEX('Live History'!$E$5:$E$3004,MATCH($A2945,'Live History'!$D$5:$D$3004,1)),INDEX('AH History'!$C$1:$C$18046,AH!$P$7+2940))),NA()),NA())</ns0:f>
        <ns0:v/>
      </ns0:c>
      <ns0:c r="E2945">
        <ns0:f>IFERROR(IF(ISNUMBER($A2945),IF(AND(AH!$P$10=1,AH!$P$12=1,$A2945=TODAY()),AH!$P$20,IF(AH!$P$10=1,INDEX('Live History'!$H$5:$H$3004,MATCH($A2945,'Live History'!$G$5:$G$3004,1)),INDEX('AH History'!$D$1:$D$18046,AH!$P$7+2940))),NA()),NA())</ns0:f>
        <ns0:v/>
      </ns0:c>
      <ns0:c r="F2945">
        <ns0:f>IFERROR(IF(ISNUMBER($A2945),IF(AND(AH!$P$10=1,AH!$P$12=1,$A2945=TODAY()),IF(AND(AH!$P$10=1,AH!$P$12=1,$A2945=TODAY()),TODAY(),NA()),IF(AH!$P$10=1,INDEX('Live History'!$D$5:$D$3004,MATCH($A2945,'Live History'!$D$5:$D$3004,1)),INDEX('AH History'!$E$1:$E$18046,AH!$P$7+2940))),NA()),NA())</ns0:f>
        <ns0:v/>
      </ns0:c>
      <ns0:c r="G2945">
        <ns0:f>IFERROR(IF(ISNUMBER($A2945),IF(AND(AH!$P$10=1,AH!$P$12=1,$A2945=TODAY()),IF(AND(AH!$P$10=1,AH!$P$12=1,$A2945=TODAY()),TODAY(),NA()),IF(AH!$P$10=1,INDEX('Live History'!$G$5:$G$3004,MATCH($A2945,'Live History'!$G$5:$G$3004,1)),INDEX('AH History'!$F$1:$F$18046,AH!$P$7+2940))),NA()),NA())</ns0:f>
        <ns0:v/>
      </ns0:c>
      <ns0:c r="H2945">
        <ns0:f>IFERROR(IF(AND(AH!$E$4="Bloomberg",AH!$P$10=1,ISNUMBER($A2945),$A2945&lt;=AH!$P$17),AH!$P$7-1+MATCH($A2945,INDEX('AH History'!$A$1:$A$18046,AH!$P$7):INDEX('AH History'!$A$1:$A$18046,AH!$P$7+AH!$P$8-1),0),0),0)</ns0:f>
        <ns0:v/>
      </ns0:c>
      <ns0:c r="I2945">
        <ns0:f>IF($H2945=0,0,IFERROR(IF(AND(ABS($C2945-INDEX('AH History'!$B$1:$B$18046,$H2945))&lt;=MAX(0.005,ABS(INDEX('AH History'!$B$1:$B$18046,$H2945))*0.00005),ABS($D2945-INDEX('AH History'!$C$1:$C$18046,$H2945))&lt;=MAX(0.005,ABS(INDEX('AH History'!$C$1:$C$18046,$H2945))*0.00005),ABS($E2945-INDEX('AH History'!$D$1:$D$18046,$H2945))&lt;=0.00005,$F2945=INDEX('AH History'!$E$1:$E$18046,$H2945),$G2945=INDEX('AH History'!$F$1:$F$18046,$H2945)),1,-1),-1))</ns0:f>
        <ns0:v/>
      </ns0:c>
    </ns0:row>
    <ns0:row r="2946">
      <ns0:c r="A2946" s="215">
        <ns0:f>IF(OR(AH!$P$3=0,2941+1&gt;AH!$P$11,AND(AH!$E$4&lt;&gt;"Stored",AH!$P$10&lt;&gt;1)),"",IFERROR(IF(AND(AH!$P$21=1,2941+1=AH!$P$11),TODAY(),IF(AH!$P$10=1,INDEX('Live History'!$A$5:$A$3004,AH!$P$13+2941),INDEX('AH History'!$A$1:$A$18046,AH!$P$7+2941))),""))</ns0:f>
        <ns0:v/>
      </ns0:c>
      <ns0:c r="B2946" s="219">
        <ns0:f>IFERROR(IF(AND(AH!$P$9&lt;&gt;1,$C2946&gt;0,$D2946&gt;0,$E2946&gt;0,$F2946&gt;0,$G2946&gt;0,$F2946&lt;=$A2946,$G2946&lt;=$A2946,$A2946-$F2946&lt;=10,$A2946-$G2946&lt;=5),$D2946*$E2946/$C2946-1,NA()),NA())</ns0:f>
        <ns0:v/>
      </ns0:c>
      <ns0:c r="C2946">
        <ns0:f>IFERROR(IF(ISNUMBER($A2946),IF(AND(AH!$P$10=1,AH!$P$12=1,$A2946=TODAY()),AH!$P$19,IF(AH!$P$10=1,INDEX('Live History'!$B$5:$B$3004,AH!$P$13+2941),INDEX('AH History'!$B$1:$B$18046,AH!$P$7+2941))),NA()),NA())</ns0:f>
        <ns0:v/>
      </ns0:c>
      <ns0:c r="D2946">
        <ns0:f>IFERROR(IF(ISNUMBER($A2946),IF(AND(AH!$P$10=1,AH!$P$12=1,$A2946=TODAY()),AH!$P$18,IF(AH!$P$10=1,INDEX('Live History'!$E$5:$E$3004,MATCH($A2946,'Live History'!$D$5:$D$3004,1)),INDEX('AH History'!$C$1:$C$18046,AH!$P$7+2941))),NA()),NA())</ns0:f>
        <ns0:v/>
      </ns0:c>
      <ns0:c r="E2946">
        <ns0:f>IFERROR(IF(ISNUMBER($A2946),IF(AND(AH!$P$10=1,AH!$P$12=1,$A2946=TODAY()),AH!$P$20,IF(AH!$P$10=1,INDEX('Live History'!$H$5:$H$3004,MATCH($A2946,'Live History'!$G$5:$G$3004,1)),INDEX('AH History'!$D$1:$D$18046,AH!$P$7+2941))),NA()),NA())</ns0:f>
        <ns0:v/>
      </ns0:c>
      <ns0:c r="F2946">
        <ns0:f>IFERROR(IF(ISNUMBER($A2946),IF(AND(AH!$P$10=1,AH!$P$12=1,$A2946=TODAY()),IF(AND(AH!$P$10=1,AH!$P$12=1,$A2946=TODAY()),TODAY(),NA()),IF(AH!$P$10=1,INDEX('Live History'!$D$5:$D$3004,MATCH($A2946,'Live History'!$D$5:$D$3004,1)),INDEX('AH History'!$E$1:$E$18046,AH!$P$7+2941))),NA()),NA())</ns0:f>
        <ns0:v/>
      </ns0:c>
      <ns0:c r="G2946">
        <ns0:f>IFERROR(IF(ISNUMBER($A2946),IF(AND(AH!$P$10=1,AH!$P$12=1,$A2946=TODAY()),IF(AND(AH!$P$10=1,AH!$P$12=1,$A2946=TODAY()),TODAY(),NA()),IF(AH!$P$10=1,INDEX('Live History'!$G$5:$G$3004,MATCH($A2946,'Live History'!$G$5:$G$3004,1)),INDEX('AH History'!$F$1:$F$18046,AH!$P$7+2941))),NA()),NA())</ns0:f>
        <ns0:v/>
      </ns0:c>
      <ns0:c r="H2946">
        <ns0:f>IFERROR(IF(AND(AH!$E$4="Bloomberg",AH!$P$10=1,ISNUMBER($A2946),$A2946&lt;=AH!$P$17),AH!$P$7-1+MATCH($A2946,INDEX('AH History'!$A$1:$A$18046,AH!$P$7):INDEX('AH History'!$A$1:$A$18046,AH!$P$7+AH!$P$8-1),0),0),0)</ns0:f>
        <ns0:v/>
      </ns0:c>
      <ns0:c r="I2946">
        <ns0:f>IF($H2946=0,0,IFERROR(IF(AND(ABS($C2946-INDEX('AH History'!$B$1:$B$18046,$H2946))&lt;=MAX(0.005,ABS(INDEX('AH History'!$B$1:$B$18046,$H2946))*0.00005),ABS($D2946-INDEX('AH History'!$C$1:$C$18046,$H2946))&lt;=MAX(0.005,ABS(INDEX('AH History'!$C$1:$C$18046,$H2946))*0.00005),ABS($E2946-INDEX('AH History'!$D$1:$D$18046,$H2946))&lt;=0.00005,$F2946=INDEX('AH History'!$E$1:$E$18046,$H2946),$G2946=INDEX('AH History'!$F$1:$F$18046,$H2946)),1,-1),-1))</ns0:f>
        <ns0:v/>
      </ns0:c>
    </ns0:row>
    <ns0:row r="2947">
      <ns0:c r="A2947" s="215">
        <ns0:f>IF(OR(AH!$P$3=0,2942+1&gt;AH!$P$11,AND(AH!$E$4&lt;&gt;"Stored",AH!$P$10&lt;&gt;1)),"",IFERROR(IF(AND(AH!$P$21=1,2942+1=AH!$P$11),TODAY(),IF(AH!$P$10=1,INDEX('Live History'!$A$5:$A$3004,AH!$P$13+2942),INDEX('AH History'!$A$1:$A$18046,AH!$P$7+2942))),""))</ns0:f>
        <ns0:v/>
      </ns0:c>
      <ns0:c r="B2947" s="219">
        <ns0:f>IFERROR(IF(AND(AH!$P$9&lt;&gt;1,$C2947&gt;0,$D2947&gt;0,$E2947&gt;0,$F2947&gt;0,$G2947&gt;0,$F2947&lt;=$A2947,$G2947&lt;=$A2947,$A2947-$F2947&lt;=10,$A2947-$G2947&lt;=5),$D2947*$E2947/$C2947-1,NA()),NA())</ns0:f>
        <ns0:v/>
      </ns0:c>
      <ns0:c r="C2947">
        <ns0:f>IFERROR(IF(ISNUMBER($A2947),IF(AND(AH!$P$10=1,AH!$P$12=1,$A2947=TODAY()),AH!$P$19,IF(AH!$P$10=1,INDEX('Live History'!$B$5:$B$3004,AH!$P$13+2942),INDEX('AH History'!$B$1:$B$18046,AH!$P$7+2942))),NA()),NA())</ns0:f>
        <ns0:v/>
      </ns0:c>
      <ns0:c r="D2947">
        <ns0:f>IFERROR(IF(ISNUMBER($A2947),IF(AND(AH!$P$10=1,AH!$P$12=1,$A2947=TODAY()),AH!$P$18,IF(AH!$P$10=1,INDEX('Live History'!$E$5:$E$3004,MATCH($A2947,'Live History'!$D$5:$D$3004,1)),INDEX('AH History'!$C$1:$C$18046,AH!$P$7+2942))),NA()),NA())</ns0:f>
        <ns0:v/>
      </ns0:c>
      <ns0:c r="E2947">
        <ns0:f>IFERROR(IF(ISNUMBER($A2947),IF(AND(AH!$P$10=1,AH!$P$12=1,$A2947=TODAY()),AH!$P$20,IF(AH!$P$10=1,INDEX('Live History'!$H$5:$H$3004,MATCH($A2947,'Live History'!$G$5:$G$3004,1)),INDEX('AH History'!$D$1:$D$18046,AH!$P$7+2942))),NA()),NA())</ns0:f>
        <ns0:v/>
      </ns0:c>
      <ns0:c r="F2947">
        <ns0:f>IFERROR(IF(ISNUMBER($A2947),IF(AND(AH!$P$10=1,AH!$P$12=1,$A2947=TODAY()),IF(AND(AH!$P$10=1,AH!$P$12=1,$A2947=TODAY()),TODAY(),NA()),IF(AH!$P$10=1,INDEX('Live History'!$D$5:$D$3004,MATCH($A2947,'Live History'!$D$5:$D$3004,1)),INDEX('AH History'!$E$1:$E$18046,AH!$P$7+2942))),NA()),NA())</ns0:f>
        <ns0:v/>
      </ns0:c>
      <ns0:c r="G2947">
        <ns0:f>IFERROR(IF(ISNUMBER($A2947),IF(AND(AH!$P$10=1,AH!$P$12=1,$A2947=TODAY()),IF(AND(AH!$P$10=1,AH!$P$12=1,$A2947=TODAY()),TODAY(),NA()),IF(AH!$P$10=1,INDEX('Live History'!$G$5:$G$3004,MATCH($A2947,'Live History'!$G$5:$G$3004,1)),INDEX('AH History'!$F$1:$F$18046,AH!$P$7+2942))),NA()),NA())</ns0:f>
        <ns0:v/>
      </ns0:c>
      <ns0:c r="H2947">
        <ns0:f>IFERROR(IF(AND(AH!$E$4="Bloomberg",AH!$P$10=1,ISNUMBER($A2947),$A2947&lt;=AH!$P$17),AH!$P$7-1+MATCH($A2947,INDEX('AH History'!$A$1:$A$18046,AH!$P$7):INDEX('AH History'!$A$1:$A$18046,AH!$P$7+AH!$P$8-1),0),0),0)</ns0:f>
        <ns0:v/>
      </ns0:c>
      <ns0:c r="I2947">
        <ns0:f>IF($H2947=0,0,IFERROR(IF(AND(ABS($C2947-INDEX('AH History'!$B$1:$B$18046,$H2947))&lt;=MAX(0.005,ABS(INDEX('AH History'!$B$1:$B$18046,$H2947))*0.00005),ABS($D2947-INDEX('AH History'!$C$1:$C$18046,$H2947))&lt;=MAX(0.005,ABS(INDEX('AH History'!$C$1:$C$18046,$H2947))*0.00005),ABS($E2947-INDEX('AH History'!$D$1:$D$18046,$H2947))&lt;=0.00005,$F2947=INDEX('AH History'!$E$1:$E$18046,$H2947),$G2947=INDEX('AH History'!$F$1:$F$18046,$H2947)),1,-1),-1))</ns0:f>
        <ns0:v/>
      </ns0:c>
    </ns0:row>
    <ns0:row r="2948">
      <ns0:c r="A2948" s="215">
        <ns0:f>IF(OR(AH!$P$3=0,2943+1&gt;AH!$P$11,AND(AH!$E$4&lt;&gt;"Stored",AH!$P$10&lt;&gt;1)),"",IFERROR(IF(AND(AH!$P$21=1,2943+1=AH!$P$11),TODAY(),IF(AH!$P$10=1,INDEX('Live History'!$A$5:$A$3004,AH!$P$13+2943),INDEX('AH History'!$A$1:$A$18046,AH!$P$7+2943))),""))</ns0:f>
        <ns0:v/>
      </ns0:c>
      <ns0:c r="B2948" s="219">
        <ns0:f>IFERROR(IF(AND(AH!$P$9&lt;&gt;1,$C2948&gt;0,$D2948&gt;0,$E2948&gt;0,$F2948&gt;0,$G2948&gt;0,$F2948&lt;=$A2948,$G2948&lt;=$A2948,$A2948-$F2948&lt;=10,$A2948-$G2948&lt;=5),$D2948*$E2948/$C2948-1,NA()),NA())</ns0:f>
        <ns0:v/>
      </ns0:c>
      <ns0:c r="C2948">
        <ns0:f>IFERROR(IF(ISNUMBER($A2948),IF(AND(AH!$P$10=1,AH!$P$12=1,$A2948=TODAY()),AH!$P$19,IF(AH!$P$10=1,INDEX('Live History'!$B$5:$B$3004,AH!$P$13+2943),INDEX('AH History'!$B$1:$B$18046,AH!$P$7+2943))),NA()),NA())</ns0:f>
        <ns0:v/>
      </ns0:c>
      <ns0:c r="D2948">
        <ns0:f>IFERROR(IF(ISNUMBER($A2948),IF(AND(AH!$P$10=1,AH!$P$12=1,$A2948=TODAY()),AH!$P$18,IF(AH!$P$10=1,INDEX('Live History'!$E$5:$E$3004,MATCH($A2948,'Live History'!$D$5:$D$3004,1)),INDEX('AH History'!$C$1:$C$18046,AH!$P$7+2943))),NA()),NA())</ns0:f>
        <ns0:v/>
      </ns0:c>
      <ns0:c r="E2948">
        <ns0:f>IFERROR(IF(ISNUMBER($A2948),IF(AND(AH!$P$10=1,AH!$P$12=1,$A2948=TODAY()),AH!$P$20,IF(AH!$P$10=1,INDEX('Live History'!$H$5:$H$3004,MATCH($A2948,'Live History'!$G$5:$G$3004,1)),INDEX('AH History'!$D$1:$D$18046,AH!$P$7+2943))),NA()),NA())</ns0:f>
        <ns0:v/>
      </ns0:c>
      <ns0:c r="F2948">
        <ns0:f>IFERROR(IF(ISNUMBER($A2948),IF(AND(AH!$P$10=1,AH!$P$12=1,$A2948=TODAY()),IF(AND(AH!$P$10=1,AH!$P$12=1,$A2948=TODAY()),TODAY(),NA()),IF(AH!$P$10=1,INDEX('Live History'!$D$5:$D$3004,MATCH($A2948,'Live History'!$D$5:$D$3004,1)),INDEX('AH History'!$E$1:$E$18046,AH!$P$7+2943))),NA()),NA())</ns0:f>
        <ns0:v/>
      </ns0:c>
      <ns0:c r="G2948">
        <ns0:f>IFERROR(IF(ISNUMBER($A2948),IF(AND(AH!$P$10=1,AH!$P$12=1,$A2948=TODAY()),IF(AND(AH!$P$10=1,AH!$P$12=1,$A2948=TODAY()),TODAY(),NA()),IF(AH!$P$10=1,INDEX('Live History'!$G$5:$G$3004,MATCH($A2948,'Live History'!$G$5:$G$3004,1)),INDEX('AH History'!$F$1:$F$18046,AH!$P$7+2943))),NA()),NA())</ns0:f>
        <ns0:v/>
      </ns0:c>
      <ns0:c r="H2948">
        <ns0:f>IFERROR(IF(AND(AH!$E$4="Bloomberg",AH!$P$10=1,ISNUMBER($A2948),$A2948&lt;=AH!$P$17),AH!$P$7-1+MATCH($A2948,INDEX('AH History'!$A$1:$A$18046,AH!$P$7):INDEX('AH History'!$A$1:$A$18046,AH!$P$7+AH!$P$8-1),0),0),0)</ns0:f>
        <ns0:v/>
      </ns0:c>
      <ns0:c r="I2948">
        <ns0:f>IF($H2948=0,0,IFERROR(IF(AND(ABS($C2948-INDEX('AH History'!$B$1:$B$18046,$H2948))&lt;=MAX(0.005,ABS(INDEX('AH History'!$B$1:$B$18046,$H2948))*0.00005),ABS($D2948-INDEX('AH History'!$C$1:$C$18046,$H2948))&lt;=MAX(0.005,ABS(INDEX('AH History'!$C$1:$C$18046,$H2948))*0.00005),ABS($E2948-INDEX('AH History'!$D$1:$D$18046,$H2948))&lt;=0.00005,$F2948=INDEX('AH History'!$E$1:$E$18046,$H2948),$G2948=INDEX('AH History'!$F$1:$F$18046,$H2948)),1,-1),-1))</ns0:f>
        <ns0:v/>
      </ns0:c>
    </ns0:row>
    <ns0:row r="2949">
      <ns0:c r="A2949" s="215">
        <ns0:f>IF(OR(AH!$P$3=0,2944+1&gt;AH!$P$11,AND(AH!$E$4&lt;&gt;"Stored",AH!$P$10&lt;&gt;1)),"",IFERROR(IF(AND(AH!$P$21=1,2944+1=AH!$P$11),TODAY(),IF(AH!$P$10=1,INDEX('Live History'!$A$5:$A$3004,AH!$P$13+2944),INDEX('AH History'!$A$1:$A$18046,AH!$P$7+2944))),""))</ns0:f>
        <ns0:v/>
      </ns0:c>
      <ns0:c r="B2949" s="219">
        <ns0:f>IFERROR(IF(AND(AH!$P$9&lt;&gt;1,$C2949&gt;0,$D2949&gt;0,$E2949&gt;0,$F2949&gt;0,$G2949&gt;0,$F2949&lt;=$A2949,$G2949&lt;=$A2949,$A2949-$F2949&lt;=10,$A2949-$G2949&lt;=5),$D2949*$E2949/$C2949-1,NA()),NA())</ns0:f>
        <ns0:v/>
      </ns0:c>
      <ns0:c r="C2949">
        <ns0:f>IFERROR(IF(ISNUMBER($A2949),IF(AND(AH!$P$10=1,AH!$P$12=1,$A2949=TODAY()),AH!$P$19,IF(AH!$P$10=1,INDEX('Live History'!$B$5:$B$3004,AH!$P$13+2944),INDEX('AH History'!$B$1:$B$18046,AH!$P$7+2944))),NA()),NA())</ns0:f>
        <ns0:v/>
      </ns0:c>
      <ns0:c r="D2949">
        <ns0:f>IFERROR(IF(ISNUMBER($A2949),IF(AND(AH!$P$10=1,AH!$P$12=1,$A2949=TODAY()),AH!$P$18,IF(AH!$P$10=1,INDEX('Live History'!$E$5:$E$3004,MATCH($A2949,'Live History'!$D$5:$D$3004,1)),INDEX('AH History'!$C$1:$C$18046,AH!$P$7+2944))),NA()),NA())</ns0:f>
        <ns0:v/>
      </ns0:c>
      <ns0:c r="E2949">
        <ns0:f>IFERROR(IF(ISNUMBER($A2949),IF(AND(AH!$P$10=1,AH!$P$12=1,$A2949=TODAY()),AH!$P$20,IF(AH!$P$10=1,INDEX('Live History'!$H$5:$H$3004,MATCH($A2949,'Live History'!$G$5:$G$3004,1)),INDEX('AH History'!$D$1:$D$18046,AH!$P$7+2944))),NA()),NA())</ns0:f>
        <ns0:v/>
      </ns0:c>
      <ns0:c r="F2949">
        <ns0:f>IFERROR(IF(ISNUMBER($A2949),IF(AND(AH!$P$10=1,AH!$P$12=1,$A2949=TODAY()),IF(AND(AH!$P$10=1,AH!$P$12=1,$A2949=TODAY()),TODAY(),NA()),IF(AH!$P$10=1,INDEX('Live History'!$D$5:$D$3004,MATCH($A2949,'Live History'!$D$5:$D$3004,1)),INDEX('AH History'!$E$1:$E$18046,AH!$P$7+2944))),NA()),NA())</ns0:f>
        <ns0:v/>
      </ns0:c>
      <ns0:c r="G2949">
        <ns0:f>IFERROR(IF(ISNUMBER($A2949),IF(AND(AH!$P$10=1,AH!$P$12=1,$A2949=TODAY()),IF(AND(AH!$P$10=1,AH!$P$12=1,$A2949=TODAY()),TODAY(),NA()),IF(AH!$P$10=1,INDEX('Live History'!$G$5:$G$3004,MATCH($A2949,'Live History'!$G$5:$G$3004,1)),INDEX('AH History'!$F$1:$F$18046,AH!$P$7+2944))),NA()),NA())</ns0:f>
        <ns0:v/>
      </ns0:c>
      <ns0:c r="H2949">
        <ns0:f>IFERROR(IF(AND(AH!$E$4="Bloomberg",AH!$P$10=1,ISNUMBER($A2949),$A2949&lt;=AH!$P$17),AH!$P$7-1+MATCH($A2949,INDEX('AH History'!$A$1:$A$18046,AH!$P$7):INDEX('AH History'!$A$1:$A$18046,AH!$P$7+AH!$P$8-1),0),0),0)</ns0:f>
        <ns0:v/>
      </ns0:c>
      <ns0:c r="I2949">
        <ns0:f>IF($H2949=0,0,IFERROR(IF(AND(ABS($C2949-INDEX('AH History'!$B$1:$B$18046,$H2949))&lt;=MAX(0.005,ABS(INDEX('AH History'!$B$1:$B$18046,$H2949))*0.00005),ABS($D2949-INDEX('AH History'!$C$1:$C$18046,$H2949))&lt;=MAX(0.005,ABS(INDEX('AH History'!$C$1:$C$18046,$H2949))*0.00005),ABS($E2949-INDEX('AH History'!$D$1:$D$18046,$H2949))&lt;=0.00005,$F2949=INDEX('AH History'!$E$1:$E$18046,$H2949),$G2949=INDEX('AH History'!$F$1:$F$18046,$H2949)),1,-1),-1))</ns0:f>
        <ns0:v/>
      </ns0:c>
    </ns0:row>
    <ns0:row r="2950">
      <ns0:c r="A2950" s="215">
        <ns0:f>IF(OR(AH!$P$3=0,2945+1&gt;AH!$P$11,AND(AH!$E$4&lt;&gt;"Stored",AH!$P$10&lt;&gt;1)),"",IFERROR(IF(AND(AH!$P$21=1,2945+1=AH!$P$11),TODAY(),IF(AH!$P$10=1,INDEX('Live History'!$A$5:$A$3004,AH!$P$13+2945),INDEX('AH History'!$A$1:$A$18046,AH!$P$7+2945))),""))</ns0:f>
        <ns0:v/>
      </ns0:c>
      <ns0:c r="B2950" s="219">
        <ns0:f>IFERROR(IF(AND(AH!$P$9&lt;&gt;1,$C2950&gt;0,$D2950&gt;0,$E2950&gt;0,$F2950&gt;0,$G2950&gt;0,$F2950&lt;=$A2950,$G2950&lt;=$A2950,$A2950-$F2950&lt;=10,$A2950-$G2950&lt;=5),$D2950*$E2950/$C2950-1,NA()),NA())</ns0:f>
        <ns0:v/>
      </ns0:c>
      <ns0:c r="C2950">
        <ns0:f>IFERROR(IF(ISNUMBER($A2950),IF(AND(AH!$P$10=1,AH!$P$12=1,$A2950=TODAY()),AH!$P$19,IF(AH!$P$10=1,INDEX('Live History'!$B$5:$B$3004,AH!$P$13+2945),INDEX('AH History'!$B$1:$B$18046,AH!$P$7+2945))),NA()),NA())</ns0:f>
        <ns0:v/>
      </ns0:c>
      <ns0:c r="D2950">
        <ns0:f>IFERROR(IF(ISNUMBER($A2950),IF(AND(AH!$P$10=1,AH!$P$12=1,$A2950=TODAY()),AH!$P$18,IF(AH!$P$10=1,INDEX('Live History'!$E$5:$E$3004,MATCH($A2950,'Live History'!$D$5:$D$3004,1)),INDEX('AH History'!$C$1:$C$18046,AH!$P$7+2945))),NA()),NA())</ns0:f>
        <ns0:v/>
      </ns0:c>
      <ns0:c r="E2950">
        <ns0:f>IFERROR(IF(ISNUMBER($A2950),IF(AND(AH!$P$10=1,AH!$P$12=1,$A2950=TODAY()),AH!$P$20,IF(AH!$P$10=1,INDEX('Live History'!$H$5:$H$3004,MATCH($A2950,'Live History'!$G$5:$G$3004,1)),INDEX('AH History'!$D$1:$D$18046,AH!$P$7+2945))),NA()),NA())</ns0:f>
        <ns0:v/>
      </ns0:c>
      <ns0:c r="F2950">
        <ns0:f>IFERROR(IF(ISNUMBER($A2950),IF(AND(AH!$P$10=1,AH!$P$12=1,$A2950=TODAY()),IF(AND(AH!$P$10=1,AH!$P$12=1,$A2950=TODAY()),TODAY(),NA()),IF(AH!$P$10=1,INDEX('Live History'!$D$5:$D$3004,MATCH($A2950,'Live History'!$D$5:$D$3004,1)),INDEX('AH History'!$E$1:$E$18046,AH!$P$7+2945))),NA()),NA())</ns0:f>
        <ns0:v/>
      </ns0:c>
      <ns0:c r="G2950">
        <ns0:f>IFERROR(IF(ISNUMBER($A2950),IF(AND(AH!$P$10=1,AH!$P$12=1,$A2950=TODAY()),IF(AND(AH!$P$10=1,AH!$P$12=1,$A2950=TODAY()),TODAY(),NA()),IF(AH!$P$10=1,INDEX('Live History'!$G$5:$G$3004,MATCH($A2950,'Live History'!$G$5:$G$3004,1)),INDEX('AH History'!$F$1:$F$18046,AH!$P$7+2945))),NA()),NA())</ns0:f>
        <ns0:v/>
      </ns0:c>
      <ns0:c r="H2950">
        <ns0:f>IFERROR(IF(AND(AH!$E$4="Bloomberg",AH!$P$10=1,ISNUMBER($A2950),$A2950&lt;=AH!$P$17),AH!$P$7-1+MATCH($A2950,INDEX('AH History'!$A$1:$A$18046,AH!$P$7):INDEX('AH History'!$A$1:$A$18046,AH!$P$7+AH!$P$8-1),0),0),0)</ns0:f>
        <ns0:v/>
      </ns0:c>
      <ns0:c r="I2950">
        <ns0:f>IF($H2950=0,0,IFERROR(IF(AND(ABS($C2950-INDEX('AH History'!$B$1:$B$18046,$H2950))&lt;=MAX(0.005,ABS(INDEX('AH History'!$B$1:$B$18046,$H2950))*0.00005),ABS($D2950-INDEX('AH History'!$C$1:$C$18046,$H2950))&lt;=MAX(0.005,ABS(INDEX('AH History'!$C$1:$C$18046,$H2950))*0.00005),ABS($E2950-INDEX('AH History'!$D$1:$D$18046,$H2950))&lt;=0.00005,$F2950=INDEX('AH History'!$E$1:$E$18046,$H2950),$G2950=INDEX('AH History'!$F$1:$F$18046,$H2950)),1,-1),-1))</ns0:f>
        <ns0:v/>
      </ns0:c>
    </ns0:row>
    <ns0:row r="2951">
      <ns0:c r="A2951" s="215">
        <ns0:f>IF(OR(AH!$P$3=0,2946+1&gt;AH!$P$11,AND(AH!$E$4&lt;&gt;"Stored",AH!$P$10&lt;&gt;1)),"",IFERROR(IF(AND(AH!$P$21=1,2946+1=AH!$P$11),TODAY(),IF(AH!$P$10=1,INDEX('Live History'!$A$5:$A$3004,AH!$P$13+2946),INDEX('AH History'!$A$1:$A$18046,AH!$P$7+2946))),""))</ns0:f>
        <ns0:v/>
      </ns0:c>
      <ns0:c r="B2951" s="219">
        <ns0:f>IFERROR(IF(AND(AH!$P$9&lt;&gt;1,$C2951&gt;0,$D2951&gt;0,$E2951&gt;0,$F2951&gt;0,$G2951&gt;0,$F2951&lt;=$A2951,$G2951&lt;=$A2951,$A2951-$F2951&lt;=10,$A2951-$G2951&lt;=5),$D2951*$E2951/$C2951-1,NA()),NA())</ns0:f>
        <ns0:v/>
      </ns0:c>
      <ns0:c r="C2951">
        <ns0:f>IFERROR(IF(ISNUMBER($A2951),IF(AND(AH!$P$10=1,AH!$P$12=1,$A2951=TODAY()),AH!$P$19,IF(AH!$P$10=1,INDEX('Live History'!$B$5:$B$3004,AH!$P$13+2946),INDEX('AH History'!$B$1:$B$18046,AH!$P$7+2946))),NA()),NA())</ns0:f>
        <ns0:v/>
      </ns0:c>
      <ns0:c r="D2951">
        <ns0:f>IFERROR(IF(ISNUMBER($A2951),IF(AND(AH!$P$10=1,AH!$P$12=1,$A2951=TODAY()),AH!$P$18,IF(AH!$P$10=1,INDEX('Live History'!$E$5:$E$3004,MATCH($A2951,'Live History'!$D$5:$D$3004,1)),INDEX('AH History'!$C$1:$C$18046,AH!$P$7+2946))),NA()),NA())</ns0:f>
        <ns0:v/>
      </ns0:c>
      <ns0:c r="E2951">
        <ns0:f>IFERROR(IF(ISNUMBER($A2951),IF(AND(AH!$P$10=1,AH!$P$12=1,$A2951=TODAY()),AH!$P$20,IF(AH!$P$10=1,INDEX('Live History'!$H$5:$H$3004,MATCH($A2951,'Live History'!$G$5:$G$3004,1)),INDEX('AH History'!$D$1:$D$18046,AH!$P$7+2946))),NA()),NA())</ns0:f>
        <ns0:v/>
      </ns0:c>
      <ns0:c r="F2951">
        <ns0:f>IFERROR(IF(ISNUMBER($A2951),IF(AND(AH!$P$10=1,AH!$P$12=1,$A2951=TODAY()),IF(AND(AH!$P$10=1,AH!$P$12=1,$A2951=TODAY()),TODAY(),NA()),IF(AH!$P$10=1,INDEX('Live History'!$D$5:$D$3004,MATCH($A2951,'Live History'!$D$5:$D$3004,1)),INDEX('AH History'!$E$1:$E$18046,AH!$P$7+2946))),NA()),NA())</ns0:f>
        <ns0:v/>
      </ns0:c>
      <ns0:c r="G2951">
        <ns0:f>IFERROR(IF(ISNUMBER($A2951),IF(AND(AH!$P$10=1,AH!$P$12=1,$A2951=TODAY()),IF(AND(AH!$P$10=1,AH!$P$12=1,$A2951=TODAY()),TODAY(),NA()),IF(AH!$P$10=1,INDEX('Live History'!$G$5:$G$3004,MATCH($A2951,'Live History'!$G$5:$G$3004,1)),INDEX('AH History'!$F$1:$F$18046,AH!$P$7+2946))),NA()),NA())</ns0:f>
        <ns0:v/>
      </ns0:c>
      <ns0:c r="H2951">
        <ns0:f>IFERROR(IF(AND(AH!$E$4="Bloomberg",AH!$P$10=1,ISNUMBER($A2951),$A2951&lt;=AH!$P$17),AH!$P$7-1+MATCH($A2951,INDEX('AH History'!$A$1:$A$18046,AH!$P$7):INDEX('AH History'!$A$1:$A$18046,AH!$P$7+AH!$P$8-1),0),0),0)</ns0:f>
        <ns0:v/>
      </ns0:c>
      <ns0:c r="I2951">
        <ns0:f>IF($H2951=0,0,IFERROR(IF(AND(ABS($C2951-INDEX('AH History'!$B$1:$B$18046,$H2951))&lt;=MAX(0.005,ABS(INDEX('AH History'!$B$1:$B$18046,$H2951))*0.00005),ABS($D2951-INDEX('AH History'!$C$1:$C$18046,$H2951))&lt;=MAX(0.005,ABS(INDEX('AH History'!$C$1:$C$18046,$H2951))*0.00005),ABS($E2951-INDEX('AH History'!$D$1:$D$18046,$H2951))&lt;=0.00005,$F2951=INDEX('AH History'!$E$1:$E$18046,$H2951),$G2951=INDEX('AH History'!$F$1:$F$18046,$H2951)),1,-1),-1))</ns0:f>
        <ns0:v/>
      </ns0:c>
    </ns0:row>
    <ns0:row r="2952">
      <ns0:c r="A2952" s="215">
        <ns0:f>IF(OR(AH!$P$3=0,2947+1&gt;AH!$P$11,AND(AH!$E$4&lt;&gt;"Stored",AH!$P$10&lt;&gt;1)),"",IFERROR(IF(AND(AH!$P$21=1,2947+1=AH!$P$11),TODAY(),IF(AH!$P$10=1,INDEX('Live History'!$A$5:$A$3004,AH!$P$13+2947),INDEX('AH History'!$A$1:$A$18046,AH!$P$7+2947))),""))</ns0:f>
        <ns0:v/>
      </ns0:c>
      <ns0:c r="B2952" s="219">
        <ns0:f>IFERROR(IF(AND(AH!$P$9&lt;&gt;1,$C2952&gt;0,$D2952&gt;0,$E2952&gt;0,$F2952&gt;0,$G2952&gt;0,$F2952&lt;=$A2952,$G2952&lt;=$A2952,$A2952-$F2952&lt;=10,$A2952-$G2952&lt;=5),$D2952*$E2952/$C2952-1,NA()),NA())</ns0:f>
        <ns0:v/>
      </ns0:c>
      <ns0:c r="C2952">
        <ns0:f>IFERROR(IF(ISNUMBER($A2952),IF(AND(AH!$P$10=1,AH!$P$12=1,$A2952=TODAY()),AH!$P$19,IF(AH!$P$10=1,INDEX('Live History'!$B$5:$B$3004,AH!$P$13+2947),INDEX('AH History'!$B$1:$B$18046,AH!$P$7+2947))),NA()),NA())</ns0:f>
        <ns0:v/>
      </ns0:c>
      <ns0:c r="D2952">
        <ns0:f>IFERROR(IF(ISNUMBER($A2952),IF(AND(AH!$P$10=1,AH!$P$12=1,$A2952=TODAY()),AH!$P$18,IF(AH!$P$10=1,INDEX('Live History'!$E$5:$E$3004,MATCH($A2952,'Live History'!$D$5:$D$3004,1)),INDEX('AH History'!$C$1:$C$18046,AH!$P$7+2947))),NA()),NA())</ns0:f>
        <ns0:v/>
      </ns0:c>
      <ns0:c r="E2952">
        <ns0:f>IFERROR(IF(ISNUMBER($A2952),IF(AND(AH!$P$10=1,AH!$P$12=1,$A2952=TODAY()),AH!$P$20,IF(AH!$P$10=1,INDEX('Live History'!$H$5:$H$3004,MATCH($A2952,'Live History'!$G$5:$G$3004,1)),INDEX('AH History'!$D$1:$D$18046,AH!$P$7+2947))),NA()),NA())</ns0:f>
        <ns0:v/>
      </ns0:c>
      <ns0:c r="F2952">
        <ns0:f>IFERROR(IF(ISNUMBER($A2952),IF(AND(AH!$P$10=1,AH!$P$12=1,$A2952=TODAY()),IF(AND(AH!$P$10=1,AH!$P$12=1,$A2952=TODAY()),TODAY(),NA()),IF(AH!$P$10=1,INDEX('Live History'!$D$5:$D$3004,MATCH($A2952,'Live History'!$D$5:$D$3004,1)),INDEX('AH History'!$E$1:$E$18046,AH!$P$7+2947))),NA()),NA())</ns0:f>
        <ns0:v/>
      </ns0:c>
      <ns0:c r="G2952">
        <ns0:f>IFERROR(IF(ISNUMBER($A2952),IF(AND(AH!$P$10=1,AH!$P$12=1,$A2952=TODAY()),IF(AND(AH!$P$10=1,AH!$P$12=1,$A2952=TODAY()),TODAY(),NA()),IF(AH!$P$10=1,INDEX('Live History'!$G$5:$G$3004,MATCH($A2952,'Live History'!$G$5:$G$3004,1)),INDEX('AH History'!$F$1:$F$18046,AH!$P$7+2947))),NA()),NA())</ns0:f>
        <ns0:v/>
      </ns0:c>
      <ns0:c r="H2952">
        <ns0:f>IFERROR(IF(AND(AH!$E$4="Bloomberg",AH!$P$10=1,ISNUMBER($A2952),$A2952&lt;=AH!$P$17),AH!$P$7-1+MATCH($A2952,INDEX('AH History'!$A$1:$A$18046,AH!$P$7):INDEX('AH History'!$A$1:$A$18046,AH!$P$7+AH!$P$8-1),0),0),0)</ns0:f>
        <ns0:v/>
      </ns0:c>
      <ns0:c r="I2952">
        <ns0:f>IF($H2952=0,0,IFERROR(IF(AND(ABS($C2952-INDEX('AH History'!$B$1:$B$18046,$H2952))&lt;=MAX(0.005,ABS(INDEX('AH History'!$B$1:$B$18046,$H2952))*0.00005),ABS($D2952-INDEX('AH History'!$C$1:$C$18046,$H2952))&lt;=MAX(0.005,ABS(INDEX('AH History'!$C$1:$C$18046,$H2952))*0.00005),ABS($E2952-INDEX('AH History'!$D$1:$D$18046,$H2952))&lt;=0.00005,$F2952=INDEX('AH History'!$E$1:$E$18046,$H2952),$G2952=INDEX('AH History'!$F$1:$F$18046,$H2952)),1,-1),-1))</ns0:f>
        <ns0:v/>
      </ns0:c>
    </ns0:row>
    <ns0:row r="2953">
      <ns0:c r="A2953" s="215">
        <ns0:f>IF(OR(AH!$P$3=0,2948+1&gt;AH!$P$11,AND(AH!$E$4&lt;&gt;"Stored",AH!$P$10&lt;&gt;1)),"",IFERROR(IF(AND(AH!$P$21=1,2948+1=AH!$P$11),TODAY(),IF(AH!$P$10=1,INDEX('Live History'!$A$5:$A$3004,AH!$P$13+2948),INDEX('AH History'!$A$1:$A$18046,AH!$P$7+2948))),""))</ns0:f>
        <ns0:v/>
      </ns0:c>
      <ns0:c r="B2953" s="219">
        <ns0:f>IFERROR(IF(AND(AH!$P$9&lt;&gt;1,$C2953&gt;0,$D2953&gt;0,$E2953&gt;0,$F2953&gt;0,$G2953&gt;0,$F2953&lt;=$A2953,$G2953&lt;=$A2953,$A2953-$F2953&lt;=10,$A2953-$G2953&lt;=5),$D2953*$E2953/$C2953-1,NA()),NA())</ns0:f>
        <ns0:v/>
      </ns0:c>
      <ns0:c r="C2953">
        <ns0:f>IFERROR(IF(ISNUMBER($A2953),IF(AND(AH!$P$10=1,AH!$P$12=1,$A2953=TODAY()),AH!$P$19,IF(AH!$P$10=1,INDEX('Live History'!$B$5:$B$3004,AH!$P$13+2948),INDEX('AH History'!$B$1:$B$18046,AH!$P$7+2948))),NA()),NA())</ns0:f>
        <ns0:v/>
      </ns0:c>
      <ns0:c r="D2953">
        <ns0:f>IFERROR(IF(ISNUMBER($A2953),IF(AND(AH!$P$10=1,AH!$P$12=1,$A2953=TODAY()),AH!$P$18,IF(AH!$P$10=1,INDEX('Live History'!$E$5:$E$3004,MATCH($A2953,'Live History'!$D$5:$D$3004,1)),INDEX('AH History'!$C$1:$C$18046,AH!$P$7+2948))),NA()),NA())</ns0:f>
        <ns0:v/>
      </ns0:c>
      <ns0:c r="E2953">
        <ns0:f>IFERROR(IF(ISNUMBER($A2953),IF(AND(AH!$P$10=1,AH!$P$12=1,$A2953=TODAY()),AH!$P$20,IF(AH!$P$10=1,INDEX('Live History'!$H$5:$H$3004,MATCH($A2953,'Live History'!$G$5:$G$3004,1)),INDEX('AH History'!$D$1:$D$18046,AH!$P$7+2948))),NA()),NA())</ns0:f>
        <ns0:v/>
      </ns0:c>
      <ns0:c r="F2953">
        <ns0:f>IFERROR(IF(ISNUMBER($A2953),IF(AND(AH!$P$10=1,AH!$P$12=1,$A2953=TODAY()),IF(AND(AH!$P$10=1,AH!$P$12=1,$A2953=TODAY()),TODAY(),NA()),IF(AH!$P$10=1,INDEX('Live History'!$D$5:$D$3004,MATCH($A2953,'Live History'!$D$5:$D$3004,1)),INDEX('AH History'!$E$1:$E$18046,AH!$P$7+2948))),NA()),NA())</ns0:f>
        <ns0:v/>
      </ns0:c>
      <ns0:c r="G2953">
        <ns0:f>IFERROR(IF(ISNUMBER($A2953),IF(AND(AH!$P$10=1,AH!$P$12=1,$A2953=TODAY()),IF(AND(AH!$P$10=1,AH!$P$12=1,$A2953=TODAY()),TODAY(),NA()),IF(AH!$P$10=1,INDEX('Live History'!$G$5:$G$3004,MATCH($A2953,'Live History'!$G$5:$G$3004,1)),INDEX('AH History'!$F$1:$F$18046,AH!$P$7+2948))),NA()),NA())</ns0:f>
        <ns0:v/>
      </ns0:c>
      <ns0:c r="H2953">
        <ns0:f>IFERROR(IF(AND(AH!$E$4="Bloomberg",AH!$P$10=1,ISNUMBER($A2953),$A2953&lt;=AH!$P$17),AH!$P$7-1+MATCH($A2953,INDEX('AH History'!$A$1:$A$18046,AH!$P$7):INDEX('AH History'!$A$1:$A$18046,AH!$P$7+AH!$P$8-1),0),0),0)</ns0:f>
        <ns0:v/>
      </ns0:c>
      <ns0:c r="I2953">
        <ns0:f>IF($H2953=0,0,IFERROR(IF(AND(ABS($C2953-INDEX('AH History'!$B$1:$B$18046,$H2953))&lt;=MAX(0.005,ABS(INDEX('AH History'!$B$1:$B$18046,$H2953))*0.00005),ABS($D2953-INDEX('AH History'!$C$1:$C$18046,$H2953))&lt;=MAX(0.005,ABS(INDEX('AH History'!$C$1:$C$18046,$H2953))*0.00005),ABS($E2953-INDEX('AH History'!$D$1:$D$18046,$H2953))&lt;=0.00005,$F2953=INDEX('AH History'!$E$1:$E$18046,$H2953),$G2953=INDEX('AH History'!$F$1:$F$18046,$H2953)),1,-1),-1))</ns0:f>
        <ns0:v/>
      </ns0:c>
    </ns0:row>
    <ns0:row r="2954">
      <ns0:c r="A2954" s="215">
        <ns0:f>IF(OR(AH!$P$3=0,2949+1&gt;AH!$P$11,AND(AH!$E$4&lt;&gt;"Stored",AH!$P$10&lt;&gt;1)),"",IFERROR(IF(AND(AH!$P$21=1,2949+1=AH!$P$11),TODAY(),IF(AH!$P$10=1,INDEX('Live History'!$A$5:$A$3004,AH!$P$13+2949),INDEX('AH History'!$A$1:$A$18046,AH!$P$7+2949))),""))</ns0:f>
        <ns0:v/>
      </ns0:c>
      <ns0:c r="B2954" s="219">
        <ns0:f>IFERROR(IF(AND(AH!$P$9&lt;&gt;1,$C2954&gt;0,$D2954&gt;0,$E2954&gt;0,$F2954&gt;0,$G2954&gt;0,$F2954&lt;=$A2954,$G2954&lt;=$A2954,$A2954-$F2954&lt;=10,$A2954-$G2954&lt;=5),$D2954*$E2954/$C2954-1,NA()),NA())</ns0:f>
        <ns0:v/>
      </ns0:c>
      <ns0:c r="C2954">
        <ns0:f>IFERROR(IF(ISNUMBER($A2954),IF(AND(AH!$P$10=1,AH!$P$12=1,$A2954=TODAY()),AH!$P$19,IF(AH!$P$10=1,INDEX('Live History'!$B$5:$B$3004,AH!$P$13+2949),INDEX('AH History'!$B$1:$B$18046,AH!$P$7+2949))),NA()),NA())</ns0:f>
        <ns0:v/>
      </ns0:c>
      <ns0:c r="D2954">
        <ns0:f>IFERROR(IF(ISNUMBER($A2954),IF(AND(AH!$P$10=1,AH!$P$12=1,$A2954=TODAY()),AH!$P$18,IF(AH!$P$10=1,INDEX('Live History'!$E$5:$E$3004,MATCH($A2954,'Live History'!$D$5:$D$3004,1)),INDEX('AH History'!$C$1:$C$18046,AH!$P$7+2949))),NA()),NA())</ns0:f>
        <ns0:v/>
      </ns0:c>
      <ns0:c r="E2954">
        <ns0:f>IFERROR(IF(ISNUMBER($A2954),IF(AND(AH!$P$10=1,AH!$P$12=1,$A2954=TODAY()),AH!$P$20,IF(AH!$P$10=1,INDEX('Live History'!$H$5:$H$3004,MATCH($A2954,'Live History'!$G$5:$G$3004,1)),INDEX('AH History'!$D$1:$D$18046,AH!$P$7+2949))),NA()),NA())</ns0:f>
        <ns0:v/>
      </ns0:c>
      <ns0:c r="F2954">
        <ns0:f>IFERROR(IF(ISNUMBER($A2954),IF(AND(AH!$P$10=1,AH!$P$12=1,$A2954=TODAY()),IF(AND(AH!$P$10=1,AH!$P$12=1,$A2954=TODAY()),TODAY(),NA()),IF(AH!$P$10=1,INDEX('Live History'!$D$5:$D$3004,MATCH($A2954,'Live History'!$D$5:$D$3004,1)),INDEX('AH History'!$E$1:$E$18046,AH!$P$7+2949))),NA()),NA())</ns0:f>
        <ns0:v/>
      </ns0:c>
      <ns0:c r="G2954">
        <ns0:f>IFERROR(IF(ISNUMBER($A2954),IF(AND(AH!$P$10=1,AH!$P$12=1,$A2954=TODAY()),IF(AND(AH!$P$10=1,AH!$P$12=1,$A2954=TODAY()),TODAY(),NA()),IF(AH!$P$10=1,INDEX('Live History'!$G$5:$G$3004,MATCH($A2954,'Live History'!$G$5:$G$3004,1)),INDEX('AH History'!$F$1:$F$18046,AH!$P$7+2949))),NA()),NA())</ns0:f>
        <ns0:v/>
      </ns0:c>
      <ns0:c r="H2954">
        <ns0:f>IFERROR(IF(AND(AH!$E$4="Bloomberg",AH!$P$10=1,ISNUMBER($A2954),$A2954&lt;=AH!$P$17),AH!$P$7-1+MATCH($A2954,INDEX('AH History'!$A$1:$A$18046,AH!$P$7):INDEX('AH History'!$A$1:$A$18046,AH!$P$7+AH!$P$8-1),0),0),0)</ns0:f>
        <ns0:v/>
      </ns0:c>
      <ns0:c r="I2954">
        <ns0:f>IF($H2954=0,0,IFERROR(IF(AND(ABS($C2954-INDEX('AH History'!$B$1:$B$18046,$H2954))&lt;=MAX(0.005,ABS(INDEX('AH History'!$B$1:$B$18046,$H2954))*0.00005),ABS($D2954-INDEX('AH History'!$C$1:$C$18046,$H2954))&lt;=MAX(0.005,ABS(INDEX('AH History'!$C$1:$C$18046,$H2954))*0.00005),ABS($E2954-INDEX('AH History'!$D$1:$D$18046,$H2954))&lt;=0.00005,$F2954=INDEX('AH History'!$E$1:$E$18046,$H2954),$G2954=INDEX('AH History'!$F$1:$F$18046,$H2954)),1,-1),-1))</ns0:f>
        <ns0:v/>
      </ns0:c>
    </ns0:row>
    <ns0:row r="2955">
      <ns0:c r="A2955" s="215">
        <ns0:f>IF(OR(AH!$P$3=0,2950+1&gt;AH!$P$11,AND(AH!$E$4&lt;&gt;"Stored",AH!$P$10&lt;&gt;1)),"",IFERROR(IF(AND(AH!$P$21=1,2950+1=AH!$P$11),TODAY(),IF(AH!$P$10=1,INDEX('Live History'!$A$5:$A$3004,AH!$P$13+2950),INDEX('AH History'!$A$1:$A$18046,AH!$P$7+2950))),""))</ns0:f>
        <ns0:v/>
      </ns0:c>
      <ns0:c r="B2955" s="219">
        <ns0:f>IFERROR(IF(AND(AH!$P$9&lt;&gt;1,$C2955&gt;0,$D2955&gt;0,$E2955&gt;0,$F2955&gt;0,$G2955&gt;0,$F2955&lt;=$A2955,$G2955&lt;=$A2955,$A2955-$F2955&lt;=10,$A2955-$G2955&lt;=5),$D2955*$E2955/$C2955-1,NA()),NA())</ns0:f>
        <ns0:v/>
      </ns0:c>
      <ns0:c r="C2955">
        <ns0:f>IFERROR(IF(ISNUMBER($A2955),IF(AND(AH!$P$10=1,AH!$P$12=1,$A2955=TODAY()),AH!$P$19,IF(AH!$P$10=1,INDEX('Live History'!$B$5:$B$3004,AH!$P$13+2950),INDEX('AH History'!$B$1:$B$18046,AH!$P$7+2950))),NA()),NA())</ns0:f>
        <ns0:v/>
      </ns0:c>
      <ns0:c r="D2955">
        <ns0:f>IFERROR(IF(ISNUMBER($A2955),IF(AND(AH!$P$10=1,AH!$P$12=1,$A2955=TODAY()),AH!$P$18,IF(AH!$P$10=1,INDEX('Live History'!$E$5:$E$3004,MATCH($A2955,'Live History'!$D$5:$D$3004,1)),INDEX('AH History'!$C$1:$C$18046,AH!$P$7+2950))),NA()),NA())</ns0:f>
        <ns0:v/>
      </ns0:c>
      <ns0:c r="E2955">
        <ns0:f>IFERROR(IF(ISNUMBER($A2955),IF(AND(AH!$P$10=1,AH!$P$12=1,$A2955=TODAY()),AH!$P$20,IF(AH!$P$10=1,INDEX('Live History'!$H$5:$H$3004,MATCH($A2955,'Live History'!$G$5:$G$3004,1)),INDEX('AH History'!$D$1:$D$18046,AH!$P$7+2950))),NA()),NA())</ns0:f>
        <ns0:v/>
      </ns0:c>
      <ns0:c r="F2955">
        <ns0:f>IFERROR(IF(ISNUMBER($A2955),IF(AND(AH!$P$10=1,AH!$P$12=1,$A2955=TODAY()),IF(AND(AH!$P$10=1,AH!$P$12=1,$A2955=TODAY()),TODAY(),NA()),IF(AH!$P$10=1,INDEX('Live History'!$D$5:$D$3004,MATCH($A2955,'Live History'!$D$5:$D$3004,1)),INDEX('AH History'!$E$1:$E$18046,AH!$P$7+2950))),NA()),NA())</ns0:f>
        <ns0:v/>
      </ns0:c>
      <ns0:c r="G2955">
        <ns0:f>IFERROR(IF(ISNUMBER($A2955),IF(AND(AH!$P$10=1,AH!$P$12=1,$A2955=TODAY()),IF(AND(AH!$P$10=1,AH!$P$12=1,$A2955=TODAY()),TODAY(),NA()),IF(AH!$P$10=1,INDEX('Live History'!$G$5:$G$3004,MATCH($A2955,'Live History'!$G$5:$G$3004,1)),INDEX('AH History'!$F$1:$F$18046,AH!$P$7+2950))),NA()),NA())</ns0:f>
        <ns0:v/>
      </ns0:c>
      <ns0:c r="H2955">
        <ns0:f>IFERROR(IF(AND(AH!$E$4="Bloomberg",AH!$P$10=1,ISNUMBER($A2955),$A2955&lt;=AH!$P$17),AH!$P$7-1+MATCH($A2955,INDEX('AH History'!$A$1:$A$18046,AH!$P$7):INDEX('AH History'!$A$1:$A$18046,AH!$P$7+AH!$P$8-1),0),0),0)</ns0:f>
        <ns0:v/>
      </ns0:c>
      <ns0:c r="I2955">
        <ns0:f>IF($H2955=0,0,IFERROR(IF(AND(ABS($C2955-INDEX('AH History'!$B$1:$B$18046,$H2955))&lt;=MAX(0.005,ABS(INDEX('AH History'!$B$1:$B$18046,$H2955))*0.00005),ABS($D2955-INDEX('AH History'!$C$1:$C$18046,$H2955))&lt;=MAX(0.005,ABS(INDEX('AH History'!$C$1:$C$18046,$H2955))*0.00005),ABS($E2955-INDEX('AH History'!$D$1:$D$18046,$H2955))&lt;=0.00005,$F2955=INDEX('AH History'!$E$1:$E$18046,$H2955),$G2955=INDEX('AH History'!$F$1:$F$18046,$H2955)),1,-1),-1))</ns0:f>
        <ns0:v/>
      </ns0:c>
    </ns0:row>
    <ns0:row r="2956">
      <ns0:c r="A2956" s="215">
        <ns0:f>IF(OR(AH!$P$3=0,2951+1&gt;AH!$P$11,AND(AH!$E$4&lt;&gt;"Stored",AH!$P$10&lt;&gt;1)),"",IFERROR(IF(AND(AH!$P$21=1,2951+1=AH!$P$11),TODAY(),IF(AH!$P$10=1,INDEX('Live History'!$A$5:$A$3004,AH!$P$13+2951),INDEX('AH History'!$A$1:$A$18046,AH!$P$7+2951))),""))</ns0:f>
        <ns0:v/>
      </ns0:c>
      <ns0:c r="B2956" s="219">
        <ns0:f>IFERROR(IF(AND(AH!$P$9&lt;&gt;1,$C2956&gt;0,$D2956&gt;0,$E2956&gt;0,$F2956&gt;0,$G2956&gt;0,$F2956&lt;=$A2956,$G2956&lt;=$A2956,$A2956-$F2956&lt;=10,$A2956-$G2956&lt;=5),$D2956*$E2956/$C2956-1,NA()),NA())</ns0:f>
        <ns0:v/>
      </ns0:c>
      <ns0:c r="C2956">
        <ns0:f>IFERROR(IF(ISNUMBER($A2956),IF(AND(AH!$P$10=1,AH!$P$12=1,$A2956=TODAY()),AH!$P$19,IF(AH!$P$10=1,INDEX('Live History'!$B$5:$B$3004,AH!$P$13+2951),INDEX('AH History'!$B$1:$B$18046,AH!$P$7+2951))),NA()),NA())</ns0:f>
        <ns0:v/>
      </ns0:c>
      <ns0:c r="D2956">
        <ns0:f>IFERROR(IF(ISNUMBER($A2956),IF(AND(AH!$P$10=1,AH!$P$12=1,$A2956=TODAY()),AH!$P$18,IF(AH!$P$10=1,INDEX('Live History'!$E$5:$E$3004,MATCH($A2956,'Live History'!$D$5:$D$3004,1)),INDEX('AH History'!$C$1:$C$18046,AH!$P$7+2951))),NA()),NA())</ns0:f>
        <ns0:v/>
      </ns0:c>
      <ns0:c r="E2956">
        <ns0:f>IFERROR(IF(ISNUMBER($A2956),IF(AND(AH!$P$10=1,AH!$P$12=1,$A2956=TODAY()),AH!$P$20,IF(AH!$P$10=1,INDEX('Live History'!$H$5:$H$3004,MATCH($A2956,'Live History'!$G$5:$G$3004,1)),INDEX('AH History'!$D$1:$D$18046,AH!$P$7+2951))),NA()),NA())</ns0:f>
        <ns0:v/>
      </ns0:c>
      <ns0:c r="F2956">
        <ns0:f>IFERROR(IF(ISNUMBER($A2956),IF(AND(AH!$P$10=1,AH!$P$12=1,$A2956=TODAY()),IF(AND(AH!$P$10=1,AH!$P$12=1,$A2956=TODAY()),TODAY(),NA()),IF(AH!$P$10=1,INDEX('Live History'!$D$5:$D$3004,MATCH($A2956,'Live History'!$D$5:$D$3004,1)),INDEX('AH History'!$E$1:$E$18046,AH!$P$7+2951))),NA()),NA())</ns0:f>
        <ns0:v/>
      </ns0:c>
      <ns0:c r="G2956">
        <ns0:f>IFERROR(IF(ISNUMBER($A2956),IF(AND(AH!$P$10=1,AH!$P$12=1,$A2956=TODAY()),IF(AND(AH!$P$10=1,AH!$P$12=1,$A2956=TODAY()),TODAY(),NA()),IF(AH!$P$10=1,INDEX('Live History'!$G$5:$G$3004,MATCH($A2956,'Live History'!$G$5:$G$3004,1)),INDEX('AH History'!$F$1:$F$18046,AH!$P$7+2951))),NA()),NA())</ns0:f>
        <ns0:v/>
      </ns0:c>
      <ns0:c r="H2956">
        <ns0:f>IFERROR(IF(AND(AH!$E$4="Bloomberg",AH!$P$10=1,ISNUMBER($A2956),$A2956&lt;=AH!$P$17),AH!$P$7-1+MATCH($A2956,INDEX('AH History'!$A$1:$A$18046,AH!$P$7):INDEX('AH History'!$A$1:$A$18046,AH!$P$7+AH!$P$8-1),0),0),0)</ns0:f>
        <ns0:v/>
      </ns0:c>
      <ns0:c r="I2956">
        <ns0:f>IF($H2956=0,0,IFERROR(IF(AND(ABS($C2956-INDEX('AH History'!$B$1:$B$18046,$H2956))&lt;=MAX(0.005,ABS(INDEX('AH History'!$B$1:$B$18046,$H2956))*0.00005),ABS($D2956-INDEX('AH History'!$C$1:$C$18046,$H2956))&lt;=MAX(0.005,ABS(INDEX('AH History'!$C$1:$C$18046,$H2956))*0.00005),ABS($E2956-INDEX('AH History'!$D$1:$D$18046,$H2956))&lt;=0.00005,$F2956=INDEX('AH History'!$E$1:$E$18046,$H2956),$G2956=INDEX('AH History'!$F$1:$F$18046,$H2956)),1,-1),-1))</ns0:f>
        <ns0:v/>
      </ns0:c>
    </ns0:row>
    <ns0:row r="2957">
      <ns0:c r="A2957" s="215">
        <ns0:f>IF(OR(AH!$P$3=0,2952+1&gt;AH!$P$11,AND(AH!$E$4&lt;&gt;"Stored",AH!$P$10&lt;&gt;1)),"",IFERROR(IF(AND(AH!$P$21=1,2952+1=AH!$P$11),TODAY(),IF(AH!$P$10=1,INDEX('Live History'!$A$5:$A$3004,AH!$P$13+2952),INDEX('AH History'!$A$1:$A$18046,AH!$P$7+2952))),""))</ns0:f>
        <ns0:v/>
      </ns0:c>
      <ns0:c r="B2957" s="219">
        <ns0:f>IFERROR(IF(AND(AH!$P$9&lt;&gt;1,$C2957&gt;0,$D2957&gt;0,$E2957&gt;0,$F2957&gt;0,$G2957&gt;0,$F2957&lt;=$A2957,$G2957&lt;=$A2957,$A2957-$F2957&lt;=10,$A2957-$G2957&lt;=5),$D2957*$E2957/$C2957-1,NA()),NA())</ns0:f>
        <ns0:v/>
      </ns0:c>
      <ns0:c r="C2957">
        <ns0:f>IFERROR(IF(ISNUMBER($A2957),IF(AND(AH!$P$10=1,AH!$P$12=1,$A2957=TODAY()),AH!$P$19,IF(AH!$P$10=1,INDEX('Live History'!$B$5:$B$3004,AH!$P$13+2952),INDEX('AH History'!$B$1:$B$18046,AH!$P$7+2952))),NA()),NA())</ns0:f>
        <ns0:v/>
      </ns0:c>
      <ns0:c r="D2957">
        <ns0:f>IFERROR(IF(ISNUMBER($A2957),IF(AND(AH!$P$10=1,AH!$P$12=1,$A2957=TODAY()),AH!$P$18,IF(AH!$P$10=1,INDEX('Live History'!$E$5:$E$3004,MATCH($A2957,'Live History'!$D$5:$D$3004,1)),INDEX('AH History'!$C$1:$C$18046,AH!$P$7+2952))),NA()),NA())</ns0:f>
        <ns0:v/>
      </ns0:c>
      <ns0:c r="E2957">
        <ns0:f>IFERROR(IF(ISNUMBER($A2957),IF(AND(AH!$P$10=1,AH!$P$12=1,$A2957=TODAY()),AH!$P$20,IF(AH!$P$10=1,INDEX('Live History'!$H$5:$H$3004,MATCH($A2957,'Live History'!$G$5:$G$3004,1)),INDEX('AH History'!$D$1:$D$18046,AH!$P$7+2952))),NA()),NA())</ns0:f>
        <ns0:v/>
      </ns0:c>
      <ns0:c r="F2957">
        <ns0:f>IFERROR(IF(ISNUMBER($A2957),IF(AND(AH!$P$10=1,AH!$P$12=1,$A2957=TODAY()),IF(AND(AH!$P$10=1,AH!$P$12=1,$A2957=TODAY()),TODAY(),NA()),IF(AH!$P$10=1,INDEX('Live History'!$D$5:$D$3004,MATCH($A2957,'Live History'!$D$5:$D$3004,1)),INDEX('AH History'!$E$1:$E$18046,AH!$P$7+2952))),NA()),NA())</ns0:f>
        <ns0:v/>
      </ns0:c>
      <ns0:c r="G2957">
        <ns0:f>IFERROR(IF(ISNUMBER($A2957),IF(AND(AH!$P$10=1,AH!$P$12=1,$A2957=TODAY()),IF(AND(AH!$P$10=1,AH!$P$12=1,$A2957=TODAY()),TODAY(),NA()),IF(AH!$P$10=1,INDEX('Live History'!$G$5:$G$3004,MATCH($A2957,'Live History'!$G$5:$G$3004,1)),INDEX('AH History'!$F$1:$F$18046,AH!$P$7+2952))),NA()),NA())</ns0:f>
        <ns0:v/>
      </ns0:c>
      <ns0:c r="H2957">
        <ns0:f>IFERROR(IF(AND(AH!$E$4="Bloomberg",AH!$P$10=1,ISNUMBER($A2957),$A2957&lt;=AH!$P$17),AH!$P$7-1+MATCH($A2957,INDEX('AH History'!$A$1:$A$18046,AH!$P$7):INDEX('AH History'!$A$1:$A$18046,AH!$P$7+AH!$P$8-1),0),0),0)</ns0:f>
        <ns0:v/>
      </ns0:c>
      <ns0:c r="I2957">
        <ns0:f>IF($H2957=0,0,IFERROR(IF(AND(ABS($C2957-INDEX('AH History'!$B$1:$B$18046,$H2957))&lt;=MAX(0.005,ABS(INDEX('AH History'!$B$1:$B$18046,$H2957))*0.00005),ABS($D2957-INDEX('AH History'!$C$1:$C$18046,$H2957))&lt;=MAX(0.005,ABS(INDEX('AH History'!$C$1:$C$18046,$H2957))*0.00005),ABS($E2957-INDEX('AH History'!$D$1:$D$18046,$H2957))&lt;=0.00005,$F2957=INDEX('AH History'!$E$1:$E$18046,$H2957),$G2957=INDEX('AH History'!$F$1:$F$18046,$H2957)),1,-1),-1))</ns0:f>
        <ns0:v/>
      </ns0:c>
    </ns0:row>
    <ns0:row r="2958">
      <ns0:c r="A2958" s="215">
        <ns0:f>IF(OR(AH!$P$3=0,2953+1&gt;AH!$P$11,AND(AH!$E$4&lt;&gt;"Stored",AH!$P$10&lt;&gt;1)),"",IFERROR(IF(AND(AH!$P$21=1,2953+1=AH!$P$11),TODAY(),IF(AH!$P$10=1,INDEX('Live History'!$A$5:$A$3004,AH!$P$13+2953),INDEX('AH History'!$A$1:$A$18046,AH!$P$7+2953))),""))</ns0:f>
        <ns0:v/>
      </ns0:c>
      <ns0:c r="B2958" s="219">
        <ns0:f>IFERROR(IF(AND(AH!$P$9&lt;&gt;1,$C2958&gt;0,$D2958&gt;0,$E2958&gt;0,$F2958&gt;0,$G2958&gt;0,$F2958&lt;=$A2958,$G2958&lt;=$A2958,$A2958-$F2958&lt;=10,$A2958-$G2958&lt;=5),$D2958*$E2958/$C2958-1,NA()),NA())</ns0:f>
        <ns0:v/>
      </ns0:c>
      <ns0:c r="C2958">
        <ns0:f>IFERROR(IF(ISNUMBER($A2958),IF(AND(AH!$P$10=1,AH!$P$12=1,$A2958=TODAY()),AH!$P$19,IF(AH!$P$10=1,INDEX('Live History'!$B$5:$B$3004,AH!$P$13+2953),INDEX('AH History'!$B$1:$B$18046,AH!$P$7+2953))),NA()),NA())</ns0:f>
        <ns0:v/>
      </ns0:c>
      <ns0:c r="D2958">
        <ns0:f>IFERROR(IF(ISNUMBER($A2958),IF(AND(AH!$P$10=1,AH!$P$12=1,$A2958=TODAY()),AH!$P$18,IF(AH!$P$10=1,INDEX('Live History'!$E$5:$E$3004,MATCH($A2958,'Live History'!$D$5:$D$3004,1)),INDEX('AH History'!$C$1:$C$18046,AH!$P$7+2953))),NA()),NA())</ns0:f>
        <ns0:v/>
      </ns0:c>
      <ns0:c r="E2958">
        <ns0:f>IFERROR(IF(ISNUMBER($A2958),IF(AND(AH!$P$10=1,AH!$P$12=1,$A2958=TODAY()),AH!$P$20,IF(AH!$P$10=1,INDEX('Live History'!$H$5:$H$3004,MATCH($A2958,'Live History'!$G$5:$G$3004,1)),INDEX('AH History'!$D$1:$D$18046,AH!$P$7+2953))),NA()),NA())</ns0:f>
        <ns0:v/>
      </ns0:c>
      <ns0:c r="F2958">
        <ns0:f>IFERROR(IF(ISNUMBER($A2958),IF(AND(AH!$P$10=1,AH!$P$12=1,$A2958=TODAY()),IF(AND(AH!$P$10=1,AH!$P$12=1,$A2958=TODAY()),TODAY(),NA()),IF(AH!$P$10=1,INDEX('Live History'!$D$5:$D$3004,MATCH($A2958,'Live History'!$D$5:$D$3004,1)),INDEX('AH History'!$E$1:$E$18046,AH!$P$7+2953))),NA()),NA())</ns0:f>
        <ns0:v/>
      </ns0:c>
      <ns0:c r="G2958">
        <ns0:f>IFERROR(IF(ISNUMBER($A2958),IF(AND(AH!$P$10=1,AH!$P$12=1,$A2958=TODAY()),IF(AND(AH!$P$10=1,AH!$P$12=1,$A2958=TODAY()),TODAY(),NA()),IF(AH!$P$10=1,INDEX('Live History'!$G$5:$G$3004,MATCH($A2958,'Live History'!$G$5:$G$3004,1)),INDEX('AH History'!$F$1:$F$18046,AH!$P$7+2953))),NA()),NA())</ns0:f>
        <ns0:v/>
      </ns0:c>
      <ns0:c r="H2958">
        <ns0:f>IFERROR(IF(AND(AH!$E$4="Bloomberg",AH!$P$10=1,ISNUMBER($A2958),$A2958&lt;=AH!$P$17),AH!$P$7-1+MATCH($A2958,INDEX('AH History'!$A$1:$A$18046,AH!$P$7):INDEX('AH History'!$A$1:$A$18046,AH!$P$7+AH!$P$8-1),0),0),0)</ns0:f>
        <ns0:v/>
      </ns0:c>
      <ns0:c r="I2958">
        <ns0:f>IF($H2958=0,0,IFERROR(IF(AND(ABS($C2958-INDEX('AH History'!$B$1:$B$18046,$H2958))&lt;=MAX(0.005,ABS(INDEX('AH History'!$B$1:$B$18046,$H2958))*0.00005),ABS($D2958-INDEX('AH History'!$C$1:$C$18046,$H2958))&lt;=MAX(0.005,ABS(INDEX('AH History'!$C$1:$C$18046,$H2958))*0.00005),ABS($E2958-INDEX('AH History'!$D$1:$D$18046,$H2958))&lt;=0.00005,$F2958=INDEX('AH History'!$E$1:$E$18046,$H2958),$G2958=INDEX('AH History'!$F$1:$F$18046,$H2958)),1,-1),-1))</ns0:f>
        <ns0:v/>
      </ns0:c>
    </ns0:row>
    <ns0:row r="2959">
      <ns0:c r="A2959" s="215">
        <ns0:f>IF(OR(AH!$P$3=0,2954+1&gt;AH!$P$11,AND(AH!$E$4&lt;&gt;"Stored",AH!$P$10&lt;&gt;1)),"",IFERROR(IF(AND(AH!$P$21=1,2954+1=AH!$P$11),TODAY(),IF(AH!$P$10=1,INDEX('Live History'!$A$5:$A$3004,AH!$P$13+2954),INDEX('AH History'!$A$1:$A$18046,AH!$P$7+2954))),""))</ns0:f>
        <ns0:v/>
      </ns0:c>
      <ns0:c r="B2959" s="219">
        <ns0:f>IFERROR(IF(AND(AH!$P$9&lt;&gt;1,$C2959&gt;0,$D2959&gt;0,$E2959&gt;0,$F2959&gt;0,$G2959&gt;0,$F2959&lt;=$A2959,$G2959&lt;=$A2959,$A2959-$F2959&lt;=10,$A2959-$G2959&lt;=5),$D2959*$E2959/$C2959-1,NA()),NA())</ns0:f>
        <ns0:v/>
      </ns0:c>
      <ns0:c r="C2959">
        <ns0:f>IFERROR(IF(ISNUMBER($A2959),IF(AND(AH!$P$10=1,AH!$P$12=1,$A2959=TODAY()),AH!$P$19,IF(AH!$P$10=1,INDEX('Live History'!$B$5:$B$3004,AH!$P$13+2954),INDEX('AH History'!$B$1:$B$18046,AH!$P$7+2954))),NA()),NA())</ns0:f>
        <ns0:v/>
      </ns0:c>
      <ns0:c r="D2959">
        <ns0:f>IFERROR(IF(ISNUMBER($A2959),IF(AND(AH!$P$10=1,AH!$P$12=1,$A2959=TODAY()),AH!$P$18,IF(AH!$P$10=1,INDEX('Live History'!$E$5:$E$3004,MATCH($A2959,'Live History'!$D$5:$D$3004,1)),INDEX('AH History'!$C$1:$C$18046,AH!$P$7+2954))),NA()),NA())</ns0:f>
        <ns0:v/>
      </ns0:c>
      <ns0:c r="E2959">
        <ns0:f>IFERROR(IF(ISNUMBER($A2959),IF(AND(AH!$P$10=1,AH!$P$12=1,$A2959=TODAY()),AH!$P$20,IF(AH!$P$10=1,INDEX('Live History'!$H$5:$H$3004,MATCH($A2959,'Live History'!$G$5:$G$3004,1)),INDEX('AH History'!$D$1:$D$18046,AH!$P$7+2954))),NA()),NA())</ns0:f>
        <ns0:v/>
      </ns0:c>
      <ns0:c r="F2959">
        <ns0:f>IFERROR(IF(ISNUMBER($A2959),IF(AND(AH!$P$10=1,AH!$P$12=1,$A2959=TODAY()),IF(AND(AH!$P$10=1,AH!$P$12=1,$A2959=TODAY()),TODAY(),NA()),IF(AH!$P$10=1,INDEX('Live History'!$D$5:$D$3004,MATCH($A2959,'Live History'!$D$5:$D$3004,1)),INDEX('AH History'!$E$1:$E$18046,AH!$P$7+2954))),NA()),NA())</ns0:f>
        <ns0:v/>
      </ns0:c>
      <ns0:c r="G2959">
        <ns0:f>IFERROR(IF(ISNUMBER($A2959),IF(AND(AH!$P$10=1,AH!$P$12=1,$A2959=TODAY()),IF(AND(AH!$P$10=1,AH!$P$12=1,$A2959=TODAY()),TODAY(),NA()),IF(AH!$P$10=1,INDEX('Live History'!$G$5:$G$3004,MATCH($A2959,'Live History'!$G$5:$G$3004,1)),INDEX('AH History'!$F$1:$F$18046,AH!$P$7+2954))),NA()),NA())</ns0:f>
        <ns0:v/>
      </ns0:c>
      <ns0:c r="H2959">
        <ns0:f>IFERROR(IF(AND(AH!$E$4="Bloomberg",AH!$P$10=1,ISNUMBER($A2959),$A2959&lt;=AH!$P$17),AH!$P$7-1+MATCH($A2959,INDEX('AH History'!$A$1:$A$18046,AH!$P$7):INDEX('AH History'!$A$1:$A$18046,AH!$P$7+AH!$P$8-1),0),0),0)</ns0:f>
        <ns0:v/>
      </ns0:c>
      <ns0:c r="I2959">
        <ns0:f>IF($H2959=0,0,IFERROR(IF(AND(ABS($C2959-INDEX('AH History'!$B$1:$B$18046,$H2959))&lt;=MAX(0.005,ABS(INDEX('AH History'!$B$1:$B$18046,$H2959))*0.00005),ABS($D2959-INDEX('AH History'!$C$1:$C$18046,$H2959))&lt;=MAX(0.005,ABS(INDEX('AH History'!$C$1:$C$18046,$H2959))*0.00005),ABS($E2959-INDEX('AH History'!$D$1:$D$18046,$H2959))&lt;=0.00005,$F2959=INDEX('AH History'!$E$1:$E$18046,$H2959),$G2959=INDEX('AH History'!$F$1:$F$18046,$H2959)),1,-1),-1))</ns0:f>
        <ns0:v/>
      </ns0:c>
    </ns0:row>
    <ns0:row r="2960">
      <ns0:c r="A2960" s="215">
        <ns0:f>IF(OR(AH!$P$3=0,2955+1&gt;AH!$P$11,AND(AH!$E$4&lt;&gt;"Stored",AH!$P$10&lt;&gt;1)),"",IFERROR(IF(AND(AH!$P$21=1,2955+1=AH!$P$11),TODAY(),IF(AH!$P$10=1,INDEX('Live History'!$A$5:$A$3004,AH!$P$13+2955),INDEX('AH History'!$A$1:$A$18046,AH!$P$7+2955))),""))</ns0:f>
        <ns0:v/>
      </ns0:c>
      <ns0:c r="B2960" s="219">
        <ns0:f>IFERROR(IF(AND(AH!$P$9&lt;&gt;1,$C2960&gt;0,$D2960&gt;0,$E2960&gt;0,$F2960&gt;0,$G2960&gt;0,$F2960&lt;=$A2960,$G2960&lt;=$A2960,$A2960-$F2960&lt;=10,$A2960-$G2960&lt;=5),$D2960*$E2960/$C2960-1,NA()),NA())</ns0:f>
        <ns0:v/>
      </ns0:c>
      <ns0:c r="C2960">
        <ns0:f>IFERROR(IF(ISNUMBER($A2960),IF(AND(AH!$P$10=1,AH!$P$12=1,$A2960=TODAY()),AH!$P$19,IF(AH!$P$10=1,INDEX('Live History'!$B$5:$B$3004,AH!$P$13+2955),INDEX('AH History'!$B$1:$B$18046,AH!$P$7+2955))),NA()),NA())</ns0:f>
        <ns0:v/>
      </ns0:c>
      <ns0:c r="D2960">
        <ns0:f>IFERROR(IF(ISNUMBER($A2960),IF(AND(AH!$P$10=1,AH!$P$12=1,$A2960=TODAY()),AH!$P$18,IF(AH!$P$10=1,INDEX('Live History'!$E$5:$E$3004,MATCH($A2960,'Live History'!$D$5:$D$3004,1)),INDEX('AH History'!$C$1:$C$18046,AH!$P$7+2955))),NA()),NA())</ns0:f>
        <ns0:v/>
      </ns0:c>
      <ns0:c r="E2960">
        <ns0:f>IFERROR(IF(ISNUMBER($A2960),IF(AND(AH!$P$10=1,AH!$P$12=1,$A2960=TODAY()),AH!$P$20,IF(AH!$P$10=1,INDEX('Live History'!$H$5:$H$3004,MATCH($A2960,'Live History'!$G$5:$G$3004,1)),INDEX('AH History'!$D$1:$D$18046,AH!$P$7+2955))),NA()),NA())</ns0:f>
        <ns0:v/>
      </ns0:c>
      <ns0:c r="F2960">
        <ns0:f>IFERROR(IF(ISNUMBER($A2960),IF(AND(AH!$P$10=1,AH!$P$12=1,$A2960=TODAY()),IF(AND(AH!$P$10=1,AH!$P$12=1,$A2960=TODAY()),TODAY(),NA()),IF(AH!$P$10=1,INDEX('Live History'!$D$5:$D$3004,MATCH($A2960,'Live History'!$D$5:$D$3004,1)),INDEX('AH History'!$E$1:$E$18046,AH!$P$7+2955))),NA()),NA())</ns0:f>
        <ns0:v/>
      </ns0:c>
      <ns0:c r="G2960">
        <ns0:f>IFERROR(IF(ISNUMBER($A2960),IF(AND(AH!$P$10=1,AH!$P$12=1,$A2960=TODAY()),IF(AND(AH!$P$10=1,AH!$P$12=1,$A2960=TODAY()),TODAY(),NA()),IF(AH!$P$10=1,INDEX('Live History'!$G$5:$G$3004,MATCH($A2960,'Live History'!$G$5:$G$3004,1)),INDEX('AH History'!$F$1:$F$18046,AH!$P$7+2955))),NA()),NA())</ns0:f>
        <ns0:v/>
      </ns0:c>
      <ns0:c r="H2960">
        <ns0:f>IFERROR(IF(AND(AH!$E$4="Bloomberg",AH!$P$10=1,ISNUMBER($A2960),$A2960&lt;=AH!$P$17),AH!$P$7-1+MATCH($A2960,INDEX('AH History'!$A$1:$A$18046,AH!$P$7):INDEX('AH History'!$A$1:$A$18046,AH!$P$7+AH!$P$8-1),0),0),0)</ns0:f>
        <ns0:v/>
      </ns0:c>
      <ns0:c r="I2960">
        <ns0:f>IF($H2960=0,0,IFERROR(IF(AND(ABS($C2960-INDEX('AH History'!$B$1:$B$18046,$H2960))&lt;=MAX(0.005,ABS(INDEX('AH History'!$B$1:$B$18046,$H2960))*0.00005),ABS($D2960-INDEX('AH History'!$C$1:$C$18046,$H2960))&lt;=MAX(0.005,ABS(INDEX('AH History'!$C$1:$C$18046,$H2960))*0.00005),ABS($E2960-INDEX('AH History'!$D$1:$D$18046,$H2960))&lt;=0.00005,$F2960=INDEX('AH History'!$E$1:$E$18046,$H2960),$G2960=INDEX('AH History'!$F$1:$F$18046,$H2960)),1,-1),-1))</ns0:f>
        <ns0:v/>
      </ns0:c>
    </ns0:row>
    <ns0:row r="2961">
      <ns0:c r="A2961" s="215">
        <ns0:f>IF(OR(AH!$P$3=0,2956+1&gt;AH!$P$11,AND(AH!$E$4&lt;&gt;"Stored",AH!$P$10&lt;&gt;1)),"",IFERROR(IF(AND(AH!$P$21=1,2956+1=AH!$P$11),TODAY(),IF(AH!$P$10=1,INDEX('Live History'!$A$5:$A$3004,AH!$P$13+2956),INDEX('AH History'!$A$1:$A$18046,AH!$P$7+2956))),""))</ns0:f>
        <ns0:v/>
      </ns0:c>
      <ns0:c r="B2961" s="219">
        <ns0:f>IFERROR(IF(AND(AH!$P$9&lt;&gt;1,$C2961&gt;0,$D2961&gt;0,$E2961&gt;0,$F2961&gt;0,$G2961&gt;0,$F2961&lt;=$A2961,$G2961&lt;=$A2961,$A2961-$F2961&lt;=10,$A2961-$G2961&lt;=5),$D2961*$E2961/$C2961-1,NA()),NA())</ns0:f>
        <ns0:v/>
      </ns0:c>
      <ns0:c r="C2961">
        <ns0:f>IFERROR(IF(ISNUMBER($A2961),IF(AND(AH!$P$10=1,AH!$P$12=1,$A2961=TODAY()),AH!$P$19,IF(AH!$P$10=1,INDEX('Live History'!$B$5:$B$3004,AH!$P$13+2956),INDEX('AH History'!$B$1:$B$18046,AH!$P$7+2956))),NA()),NA())</ns0:f>
        <ns0:v/>
      </ns0:c>
      <ns0:c r="D2961">
        <ns0:f>IFERROR(IF(ISNUMBER($A2961),IF(AND(AH!$P$10=1,AH!$P$12=1,$A2961=TODAY()),AH!$P$18,IF(AH!$P$10=1,INDEX('Live History'!$E$5:$E$3004,MATCH($A2961,'Live History'!$D$5:$D$3004,1)),INDEX('AH History'!$C$1:$C$18046,AH!$P$7+2956))),NA()),NA())</ns0:f>
        <ns0:v/>
      </ns0:c>
      <ns0:c r="E2961">
        <ns0:f>IFERROR(IF(ISNUMBER($A2961),IF(AND(AH!$P$10=1,AH!$P$12=1,$A2961=TODAY()),AH!$P$20,IF(AH!$P$10=1,INDEX('Live History'!$H$5:$H$3004,MATCH($A2961,'Live History'!$G$5:$G$3004,1)),INDEX('AH History'!$D$1:$D$18046,AH!$P$7+2956))),NA()),NA())</ns0:f>
        <ns0:v/>
      </ns0:c>
      <ns0:c r="F2961">
        <ns0:f>IFERROR(IF(ISNUMBER($A2961),IF(AND(AH!$P$10=1,AH!$P$12=1,$A2961=TODAY()),IF(AND(AH!$P$10=1,AH!$P$12=1,$A2961=TODAY()),TODAY(),NA()),IF(AH!$P$10=1,INDEX('Live History'!$D$5:$D$3004,MATCH($A2961,'Live History'!$D$5:$D$3004,1)),INDEX('AH History'!$E$1:$E$18046,AH!$P$7+2956))),NA()),NA())</ns0:f>
        <ns0:v/>
      </ns0:c>
      <ns0:c r="G2961">
        <ns0:f>IFERROR(IF(ISNUMBER($A2961),IF(AND(AH!$P$10=1,AH!$P$12=1,$A2961=TODAY()),IF(AND(AH!$P$10=1,AH!$P$12=1,$A2961=TODAY()),TODAY(),NA()),IF(AH!$P$10=1,INDEX('Live History'!$G$5:$G$3004,MATCH($A2961,'Live History'!$G$5:$G$3004,1)),INDEX('AH History'!$F$1:$F$18046,AH!$P$7+2956))),NA()),NA())</ns0:f>
        <ns0:v/>
      </ns0:c>
      <ns0:c r="H2961">
        <ns0:f>IFERROR(IF(AND(AH!$E$4="Bloomberg",AH!$P$10=1,ISNUMBER($A2961),$A2961&lt;=AH!$P$17),AH!$P$7-1+MATCH($A2961,INDEX('AH History'!$A$1:$A$18046,AH!$P$7):INDEX('AH History'!$A$1:$A$18046,AH!$P$7+AH!$P$8-1),0),0),0)</ns0:f>
        <ns0:v/>
      </ns0:c>
      <ns0:c r="I2961">
        <ns0:f>IF($H2961=0,0,IFERROR(IF(AND(ABS($C2961-INDEX('AH History'!$B$1:$B$18046,$H2961))&lt;=MAX(0.005,ABS(INDEX('AH History'!$B$1:$B$18046,$H2961))*0.00005),ABS($D2961-INDEX('AH History'!$C$1:$C$18046,$H2961))&lt;=MAX(0.005,ABS(INDEX('AH History'!$C$1:$C$18046,$H2961))*0.00005),ABS($E2961-INDEX('AH History'!$D$1:$D$18046,$H2961))&lt;=0.00005,$F2961=INDEX('AH History'!$E$1:$E$18046,$H2961),$G2961=INDEX('AH History'!$F$1:$F$18046,$H2961)),1,-1),-1))</ns0:f>
        <ns0:v/>
      </ns0:c>
    </ns0:row>
    <ns0:row r="2962">
      <ns0:c r="A2962" s="215">
        <ns0:f>IF(OR(AH!$P$3=0,2957+1&gt;AH!$P$11,AND(AH!$E$4&lt;&gt;"Stored",AH!$P$10&lt;&gt;1)),"",IFERROR(IF(AND(AH!$P$21=1,2957+1=AH!$P$11),TODAY(),IF(AH!$P$10=1,INDEX('Live History'!$A$5:$A$3004,AH!$P$13+2957),INDEX('AH History'!$A$1:$A$18046,AH!$P$7+2957))),""))</ns0:f>
        <ns0:v/>
      </ns0:c>
      <ns0:c r="B2962" s="219">
        <ns0:f>IFERROR(IF(AND(AH!$P$9&lt;&gt;1,$C2962&gt;0,$D2962&gt;0,$E2962&gt;0,$F2962&gt;0,$G2962&gt;0,$F2962&lt;=$A2962,$G2962&lt;=$A2962,$A2962-$F2962&lt;=10,$A2962-$G2962&lt;=5),$D2962*$E2962/$C2962-1,NA()),NA())</ns0:f>
        <ns0:v/>
      </ns0:c>
      <ns0:c r="C2962">
        <ns0:f>IFERROR(IF(ISNUMBER($A2962),IF(AND(AH!$P$10=1,AH!$P$12=1,$A2962=TODAY()),AH!$P$19,IF(AH!$P$10=1,INDEX('Live History'!$B$5:$B$3004,AH!$P$13+2957),INDEX('AH History'!$B$1:$B$18046,AH!$P$7+2957))),NA()),NA())</ns0:f>
        <ns0:v/>
      </ns0:c>
      <ns0:c r="D2962">
        <ns0:f>IFERROR(IF(ISNUMBER($A2962),IF(AND(AH!$P$10=1,AH!$P$12=1,$A2962=TODAY()),AH!$P$18,IF(AH!$P$10=1,INDEX('Live History'!$E$5:$E$3004,MATCH($A2962,'Live History'!$D$5:$D$3004,1)),INDEX('AH History'!$C$1:$C$18046,AH!$P$7+2957))),NA()),NA())</ns0:f>
        <ns0:v/>
      </ns0:c>
      <ns0:c r="E2962">
        <ns0:f>IFERROR(IF(ISNUMBER($A2962),IF(AND(AH!$P$10=1,AH!$P$12=1,$A2962=TODAY()),AH!$P$20,IF(AH!$P$10=1,INDEX('Live History'!$H$5:$H$3004,MATCH($A2962,'Live History'!$G$5:$G$3004,1)),INDEX('AH History'!$D$1:$D$18046,AH!$P$7+2957))),NA()),NA())</ns0:f>
        <ns0:v/>
      </ns0:c>
      <ns0:c r="F2962">
        <ns0:f>IFERROR(IF(ISNUMBER($A2962),IF(AND(AH!$P$10=1,AH!$P$12=1,$A2962=TODAY()),IF(AND(AH!$P$10=1,AH!$P$12=1,$A2962=TODAY()),TODAY(),NA()),IF(AH!$P$10=1,INDEX('Live History'!$D$5:$D$3004,MATCH($A2962,'Live History'!$D$5:$D$3004,1)),INDEX('AH History'!$E$1:$E$18046,AH!$P$7+2957))),NA()),NA())</ns0:f>
        <ns0:v/>
      </ns0:c>
      <ns0:c r="G2962">
        <ns0:f>IFERROR(IF(ISNUMBER($A2962),IF(AND(AH!$P$10=1,AH!$P$12=1,$A2962=TODAY()),IF(AND(AH!$P$10=1,AH!$P$12=1,$A2962=TODAY()),TODAY(),NA()),IF(AH!$P$10=1,INDEX('Live History'!$G$5:$G$3004,MATCH($A2962,'Live History'!$G$5:$G$3004,1)),INDEX('AH History'!$F$1:$F$18046,AH!$P$7+2957))),NA()),NA())</ns0:f>
        <ns0:v/>
      </ns0:c>
      <ns0:c r="H2962">
        <ns0:f>IFERROR(IF(AND(AH!$E$4="Bloomberg",AH!$P$10=1,ISNUMBER($A2962),$A2962&lt;=AH!$P$17),AH!$P$7-1+MATCH($A2962,INDEX('AH History'!$A$1:$A$18046,AH!$P$7):INDEX('AH History'!$A$1:$A$18046,AH!$P$7+AH!$P$8-1),0),0),0)</ns0:f>
        <ns0:v/>
      </ns0:c>
      <ns0:c r="I2962">
        <ns0:f>IF($H2962=0,0,IFERROR(IF(AND(ABS($C2962-INDEX('AH History'!$B$1:$B$18046,$H2962))&lt;=MAX(0.005,ABS(INDEX('AH History'!$B$1:$B$18046,$H2962))*0.00005),ABS($D2962-INDEX('AH History'!$C$1:$C$18046,$H2962))&lt;=MAX(0.005,ABS(INDEX('AH History'!$C$1:$C$18046,$H2962))*0.00005),ABS($E2962-INDEX('AH History'!$D$1:$D$18046,$H2962))&lt;=0.00005,$F2962=INDEX('AH History'!$E$1:$E$18046,$H2962),$G2962=INDEX('AH History'!$F$1:$F$18046,$H2962)),1,-1),-1))</ns0:f>
        <ns0:v/>
      </ns0:c>
    </ns0:row>
    <ns0:row r="2963">
      <ns0:c r="A2963" s="215">
        <ns0:f>IF(OR(AH!$P$3=0,2958+1&gt;AH!$P$11,AND(AH!$E$4&lt;&gt;"Stored",AH!$P$10&lt;&gt;1)),"",IFERROR(IF(AND(AH!$P$21=1,2958+1=AH!$P$11),TODAY(),IF(AH!$P$10=1,INDEX('Live History'!$A$5:$A$3004,AH!$P$13+2958),INDEX('AH History'!$A$1:$A$18046,AH!$P$7+2958))),""))</ns0:f>
        <ns0:v/>
      </ns0:c>
      <ns0:c r="B2963" s="219">
        <ns0:f>IFERROR(IF(AND(AH!$P$9&lt;&gt;1,$C2963&gt;0,$D2963&gt;0,$E2963&gt;0,$F2963&gt;0,$G2963&gt;0,$F2963&lt;=$A2963,$G2963&lt;=$A2963,$A2963-$F2963&lt;=10,$A2963-$G2963&lt;=5),$D2963*$E2963/$C2963-1,NA()),NA())</ns0:f>
        <ns0:v/>
      </ns0:c>
      <ns0:c r="C2963">
        <ns0:f>IFERROR(IF(ISNUMBER($A2963),IF(AND(AH!$P$10=1,AH!$P$12=1,$A2963=TODAY()),AH!$P$19,IF(AH!$P$10=1,INDEX('Live History'!$B$5:$B$3004,AH!$P$13+2958),INDEX('AH History'!$B$1:$B$18046,AH!$P$7+2958))),NA()),NA())</ns0:f>
        <ns0:v/>
      </ns0:c>
      <ns0:c r="D2963">
        <ns0:f>IFERROR(IF(ISNUMBER($A2963),IF(AND(AH!$P$10=1,AH!$P$12=1,$A2963=TODAY()),AH!$P$18,IF(AH!$P$10=1,INDEX('Live History'!$E$5:$E$3004,MATCH($A2963,'Live History'!$D$5:$D$3004,1)),INDEX('AH History'!$C$1:$C$18046,AH!$P$7+2958))),NA()),NA())</ns0:f>
        <ns0:v/>
      </ns0:c>
      <ns0:c r="E2963">
        <ns0:f>IFERROR(IF(ISNUMBER($A2963),IF(AND(AH!$P$10=1,AH!$P$12=1,$A2963=TODAY()),AH!$P$20,IF(AH!$P$10=1,INDEX('Live History'!$H$5:$H$3004,MATCH($A2963,'Live History'!$G$5:$G$3004,1)),INDEX('AH History'!$D$1:$D$18046,AH!$P$7+2958))),NA()),NA())</ns0:f>
        <ns0:v/>
      </ns0:c>
      <ns0:c r="F2963">
        <ns0:f>IFERROR(IF(ISNUMBER($A2963),IF(AND(AH!$P$10=1,AH!$P$12=1,$A2963=TODAY()),IF(AND(AH!$P$10=1,AH!$P$12=1,$A2963=TODAY()),TODAY(),NA()),IF(AH!$P$10=1,INDEX('Live History'!$D$5:$D$3004,MATCH($A2963,'Live History'!$D$5:$D$3004,1)),INDEX('AH History'!$E$1:$E$18046,AH!$P$7+2958))),NA()),NA())</ns0:f>
        <ns0:v/>
      </ns0:c>
      <ns0:c r="G2963">
        <ns0:f>IFERROR(IF(ISNUMBER($A2963),IF(AND(AH!$P$10=1,AH!$P$12=1,$A2963=TODAY()),IF(AND(AH!$P$10=1,AH!$P$12=1,$A2963=TODAY()),TODAY(),NA()),IF(AH!$P$10=1,INDEX('Live History'!$G$5:$G$3004,MATCH($A2963,'Live History'!$G$5:$G$3004,1)),INDEX('AH History'!$F$1:$F$18046,AH!$P$7+2958))),NA()),NA())</ns0:f>
        <ns0:v/>
      </ns0:c>
      <ns0:c r="H2963">
        <ns0:f>IFERROR(IF(AND(AH!$E$4="Bloomberg",AH!$P$10=1,ISNUMBER($A2963),$A2963&lt;=AH!$P$17),AH!$P$7-1+MATCH($A2963,INDEX('AH History'!$A$1:$A$18046,AH!$P$7):INDEX('AH History'!$A$1:$A$18046,AH!$P$7+AH!$P$8-1),0),0),0)</ns0:f>
        <ns0:v/>
      </ns0:c>
      <ns0:c r="I2963">
        <ns0:f>IF($H2963=0,0,IFERROR(IF(AND(ABS($C2963-INDEX('AH History'!$B$1:$B$18046,$H2963))&lt;=MAX(0.005,ABS(INDEX('AH History'!$B$1:$B$18046,$H2963))*0.00005),ABS($D2963-INDEX('AH History'!$C$1:$C$18046,$H2963))&lt;=MAX(0.005,ABS(INDEX('AH History'!$C$1:$C$18046,$H2963))*0.00005),ABS($E2963-INDEX('AH History'!$D$1:$D$18046,$H2963))&lt;=0.00005,$F2963=INDEX('AH History'!$E$1:$E$18046,$H2963),$G2963=INDEX('AH History'!$F$1:$F$18046,$H2963)),1,-1),-1))</ns0:f>
        <ns0:v/>
      </ns0:c>
    </ns0:row>
    <ns0:row r="2964">
      <ns0:c r="A2964" s="215">
        <ns0:f>IF(OR(AH!$P$3=0,2959+1&gt;AH!$P$11,AND(AH!$E$4&lt;&gt;"Stored",AH!$P$10&lt;&gt;1)),"",IFERROR(IF(AND(AH!$P$21=1,2959+1=AH!$P$11),TODAY(),IF(AH!$P$10=1,INDEX('Live History'!$A$5:$A$3004,AH!$P$13+2959),INDEX('AH History'!$A$1:$A$18046,AH!$P$7+2959))),""))</ns0:f>
        <ns0:v/>
      </ns0:c>
      <ns0:c r="B2964" s="219">
        <ns0:f>IFERROR(IF(AND(AH!$P$9&lt;&gt;1,$C2964&gt;0,$D2964&gt;0,$E2964&gt;0,$F2964&gt;0,$G2964&gt;0,$F2964&lt;=$A2964,$G2964&lt;=$A2964,$A2964-$F2964&lt;=10,$A2964-$G2964&lt;=5),$D2964*$E2964/$C2964-1,NA()),NA())</ns0:f>
        <ns0:v/>
      </ns0:c>
      <ns0:c r="C2964">
        <ns0:f>IFERROR(IF(ISNUMBER($A2964),IF(AND(AH!$P$10=1,AH!$P$12=1,$A2964=TODAY()),AH!$P$19,IF(AH!$P$10=1,INDEX('Live History'!$B$5:$B$3004,AH!$P$13+2959),INDEX('AH History'!$B$1:$B$18046,AH!$P$7+2959))),NA()),NA())</ns0:f>
        <ns0:v/>
      </ns0:c>
      <ns0:c r="D2964">
        <ns0:f>IFERROR(IF(ISNUMBER($A2964),IF(AND(AH!$P$10=1,AH!$P$12=1,$A2964=TODAY()),AH!$P$18,IF(AH!$P$10=1,INDEX('Live History'!$E$5:$E$3004,MATCH($A2964,'Live History'!$D$5:$D$3004,1)),INDEX('AH History'!$C$1:$C$18046,AH!$P$7+2959))),NA()),NA())</ns0:f>
        <ns0:v/>
      </ns0:c>
      <ns0:c r="E2964">
        <ns0:f>IFERROR(IF(ISNUMBER($A2964),IF(AND(AH!$P$10=1,AH!$P$12=1,$A2964=TODAY()),AH!$P$20,IF(AH!$P$10=1,INDEX('Live History'!$H$5:$H$3004,MATCH($A2964,'Live History'!$G$5:$G$3004,1)),INDEX('AH History'!$D$1:$D$18046,AH!$P$7+2959))),NA()),NA())</ns0:f>
        <ns0:v/>
      </ns0:c>
      <ns0:c r="F2964">
        <ns0:f>IFERROR(IF(ISNUMBER($A2964),IF(AND(AH!$P$10=1,AH!$P$12=1,$A2964=TODAY()),IF(AND(AH!$P$10=1,AH!$P$12=1,$A2964=TODAY()),TODAY(),NA()),IF(AH!$P$10=1,INDEX('Live History'!$D$5:$D$3004,MATCH($A2964,'Live History'!$D$5:$D$3004,1)),INDEX('AH History'!$E$1:$E$18046,AH!$P$7+2959))),NA()),NA())</ns0:f>
        <ns0:v/>
      </ns0:c>
      <ns0:c r="G2964">
        <ns0:f>IFERROR(IF(ISNUMBER($A2964),IF(AND(AH!$P$10=1,AH!$P$12=1,$A2964=TODAY()),IF(AND(AH!$P$10=1,AH!$P$12=1,$A2964=TODAY()),TODAY(),NA()),IF(AH!$P$10=1,INDEX('Live History'!$G$5:$G$3004,MATCH($A2964,'Live History'!$G$5:$G$3004,1)),INDEX('AH History'!$F$1:$F$18046,AH!$P$7+2959))),NA()),NA())</ns0:f>
        <ns0:v/>
      </ns0:c>
      <ns0:c r="H2964">
        <ns0:f>IFERROR(IF(AND(AH!$E$4="Bloomberg",AH!$P$10=1,ISNUMBER($A2964),$A2964&lt;=AH!$P$17),AH!$P$7-1+MATCH($A2964,INDEX('AH History'!$A$1:$A$18046,AH!$P$7):INDEX('AH History'!$A$1:$A$18046,AH!$P$7+AH!$P$8-1),0),0),0)</ns0:f>
        <ns0:v/>
      </ns0:c>
      <ns0:c r="I2964">
        <ns0:f>IF($H2964=0,0,IFERROR(IF(AND(ABS($C2964-INDEX('AH History'!$B$1:$B$18046,$H2964))&lt;=MAX(0.005,ABS(INDEX('AH History'!$B$1:$B$18046,$H2964))*0.00005),ABS($D2964-INDEX('AH History'!$C$1:$C$18046,$H2964))&lt;=MAX(0.005,ABS(INDEX('AH History'!$C$1:$C$18046,$H2964))*0.00005),ABS($E2964-INDEX('AH History'!$D$1:$D$18046,$H2964))&lt;=0.00005,$F2964=INDEX('AH History'!$E$1:$E$18046,$H2964),$G2964=INDEX('AH History'!$F$1:$F$18046,$H2964)),1,-1),-1))</ns0:f>
        <ns0:v/>
      </ns0:c>
    </ns0:row>
    <ns0:row r="2965">
      <ns0:c r="A2965" s="215">
        <ns0:f>IF(OR(AH!$P$3=0,2960+1&gt;AH!$P$11,AND(AH!$E$4&lt;&gt;"Stored",AH!$P$10&lt;&gt;1)),"",IFERROR(IF(AND(AH!$P$21=1,2960+1=AH!$P$11),TODAY(),IF(AH!$P$10=1,INDEX('Live History'!$A$5:$A$3004,AH!$P$13+2960),INDEX('AH History'!$A$1:$A$18046,AH!$P$7+2960))),""))</ns0:f>
        <ns0:v/>
      </ns0:c>
      <ns0:c r="B2965" s="219">
        <ns0:f>IFERROR(IF(AND(AH!$P$9&lt;&gt;1,$C2965&gt;0,$D2965&gt;0,$E2965&gt;0,$F2965&gt;0,$G2965&gt;0,$F2965&lt;=$A2965,$G2965&lt;=$A2965,$A2965-$F2965&lt;=10,$A2965-$G2965&lt;=5),$D2965*$E2965/$C2965-1,NA()),NA())</ns0:f>
        <ns0:v/>
      </ns0:c>
      <ns0:c r="C2965">
        <ns0:f>IFERROR(IF(ISNUMBER($A2965),IF(AND(AH!$P$10=1,AH!$P$12=1,$A2965=TODAY()),AH!$P$19,IF(AH!$P$10=1,INDEX('Live History'!$B$5:$B$3004,AH!$P$13+2960),INDEX('AH History'!$B$1:$B$18046,AH!$P$7+2960))),NA()),NA())</ns0:f>
        <ns0:v/>
      </ns0:c>
      <ns0:c r="D2965">
        <ns0:f>IFERROR(IF(ISNUMBER($A2965),IF(AND(AH!$P$10=1,AH!$P$12=1,$A2965=TODAY()),AH!$P$18,IF(AH!$P$10=1,INDEX('Live History'!$E$5:$E$3004,MATCH($A2965,'Live History'!$D$5:$D$3004,1)),INDEX('AH History'!$C$1:$C$18046,AH!$P$7+2960))),NA()),NA())</ns0:f>
        <ns0:v/>
      </ns0:c>
      <ns0:c r="E2965">
        <ns0:f>IFERROR(IF(ISNUMBER($A2965),IF(AND(AH!$P$10=1,AH!$P$12=1,$A2965=TODAY()),AH!$P$20,IF(AH!$P$10=1,INDEX('Live History'!$H$5:$H$3004,MATCH($A2965,'Live History'!$G$5:$G$3004,1)),INDEX('AH History'!$D$1:$D$18046,AH!$P$7+2960))),NA()),NA())</ns0:f>
        <ns0:v/>
      </ns0:c>
      <ns0:c r="F2965">
        <ns0:f>IFERROR(IF(ISNUMBER($A2965),IF(AND(AH!$P$10=1,AH!$P$12=1,$A2965=TODAY()),IF(AND(AH!$P$10=1,AH!$P$12=1,$A2965=TODAY()),TODAY(),NA()),IF(AH!$P$10=1,INDEX('Live History'!$D$5:$D$3004,MATCH($A2965,'Live History'!$D$5:$D$3004,1)),INDEX('AH History'!$E$1:$E$18046,AH!$P$7+2960))),NA()),NA())</ns0:f>
        <ns0:v/>
      </ns0:c>
      <ns0:c r="G2965">
        <ns0:f>IFERROR(IF(ISNUMBER($A2965),IF(AND(AH!$P$10=1,AH!$P$12=1,$A2965=TODAY()),IF(AND(AH!$P$10=1,AH!$P$12=1,$A2965=TODAY()),TODAY(),NA()),IF(AH!$P$10=1,INDEX('Live History'!$G$5:$G$3004,MATCH($A2965,'Live History'!$G$5:$G$3004,1)),INDEX('AH History'!$F$1:$F$18046,AH!$P$7+2960))),NA()),NA())</ns0:f>
        <ns0:v/>
      </ns0:c>
      <ns0:c r="H2965">
        <ns0:f>IFERROR(IF(AND(AH!$E$4="Bloomberg",AH!$P$10=1,ISNUMBER($A2965),$A2965&lt;=AH!$P$17),AH!$P$7-1+MATCH($A2965,INDEX('AH History'!$A$1:$A$18046,AH!$P$7):INDEX('AH History'!$A$1:$A$18046,AH!$P$7+AH!$P$8-1),0),0),0)</ns0:f>
        <ns0:v/>
      </ns0:c>
      <ns0:c r="I2965">
        <ns0:f>IF($H2965=0,0,IFERROR(IF(AND(ABS($C2965-INDEX('AH History'!$B$1:$B$18046,$H2965))&lt;=MAX(0.005,ABS(INDEX('AH History'!$B$1:$B$18046,$H2965))*0.00005),ABS($D2965-INDEX('AH History'!$C$1:$C$18046,$H2965))&lt;=MAX(0.005,ABS(INDEX('AH History'!$C$1:$C$18046,$H2965))*0.00005),ABS($E2965-INDEX('AH History'!$D$1:$D$18046,$H2965))&lt;=0.00005,$F2965=INDEX('AH History'!$E$1:$E$18046,$H2965),$G2965=INDEX('AH History'!$F$1:$F$18046,$H2965)),1,-1),-1))</ns0:f>
        <ns0:v/>
      </ns0:c>
    </ns0:row>
    <ns0:row r="2966">
      <ns0:c r="A2966" s="215">
        <ns0:f>IF(OR(AH!$P$3=0,2961+1&gt;AH!$P$11,AND(AH!$E$4&lt;&gt;"Stored",AH!$P$10&lt;&gt;1)),"",IFERROR(IF(AND(AH!$P$21=1,2961+1=AH!$P$11),TODAY(),IF(AH!$P$10=1,INDEX('Live History'!$A$5:$A$3004,AH!$P$13+2961),INDEX('AH History'!$A$1:$A$18046,AH!$P$7+2961))),""))</ns0:f>
        <ns0:v/>
      </ns0:c>
      <ns0:c r="B2966" s="219">
        <ns0:f>IFERROR(IF(AND(AH!$P$9&lt;&gt;1,$C2966&gt;0,$D2966&gt;0,$E2966&gt;0,$F2966&gt;0,$G2966&gt;0,$F2966&lt;=$A2966,$G2966&lt;=$A2966,$A2966-$F2966&lt;=10,$A2966-$G2966&lt;=5),$D2966*$E2966/$C2966-1,NA()),NA())</ns0:f>
        <ns0:v/>
      </ns0:c>
      <ns0:c r="C2966">
        <ns0:f>IFERROR(IF(ISNUMBER($A2966),IF(AND(AH!$P$10=1,AH!$P$12=1,$A2966=TODAY()),AH!$P$19,IF(AH!$P$10=1,INDEX('Live History'!$B$5:$B$3004,AH!$P$13+2961),INDEX('AH History'!$B$1:$B$18046,AH!$P$7+2961))),NA()),NA())</ns0:f>
        <ns0:v/>
      </ns0:c>
      <ns0:c r="D2966">
        <ns0:f>IFERROR(IF(ISNUMBER($A2966),IF(AND(AH!$P$10=1,AH!$P$12=1,$A2966=TODAY()),AH!$P$18,IF(AH!$P$10=1,INDEX('Live History'!$E$5:$E$3004,MATCH($A2966,'Live History'!$D$5:$D$3004,1)),INDEX('AH History'!$C$1:$C$18046,AH!$P$7+2961))),NA()),NA())</ns0:f>
        <ns0:v/>
      </ns0:c>
      <ns0:c r="E2966">
        <ns0:f>IFERROR(IF(ISNUMBER($A2966),IF(AND(AH!$P$10=1,AH!$P$12=1,$A2966=TODAY()),AH!$P$20,IF(AH!$P$10=1,INDEX('Live History'!$H$5:$H$3004,MATCH($A2966,'Live History'!$G$5:$G$3004,1)),INDEX('AH History'!$D$1:$D$18046,AH!$P$7+2961))),NA()),NA())</ns0:f>
        <ns0:v/>
      </ns0:c>
      <ns0:c r="F2966">
        <ns0:f>IFERROR(IF(ISNUMBER($A2966),IF(AND(AH!$P$10=1,AH!$P$12=1,$A2966=TODAY()),IF(AND(AH!$P$10=1,AH!$P$12=1,$A2966=TODAY()),TODAY(),NA()),IF(AH!$P$10=1,INDEX('Live History'!$D$5:$D$3004,MATCH($A2966,'Live History'!$D$5:$D$3004,1)),INDEX('AH History'!$E$1:$E$18046,AH!$P$7+2961))),NA()),NA())</ns0:f>
        <ns0:v/>
      </ns0:c>
      <ns0:c r="G2966">
        <ns0:f>IFERROR(IF(ISNUMBER($A2966),IF(AND(AH!$P$10=1,AH!$P$12=1,$A2966=TODAY()),IF(AND(AH!$P$10=1,AH!$P$12=1,$A2966=TODAY()),TODAY(),NA()),IF(AH!$P$10=1,INDEX('Live History'!$G$5:$G$3004,MATCH($A2966,'Live History'!$G$5:$G$3004,1)),INDEX('AH History'!$F$1:$F$18046,AH!$P$7+2961))),NA()),NA())</ns0:f>
        <ns0:v/>
      </ns0:c>
      <ns0:c r="H2966">
        <ns0:f>IFERROR(IF(AND(AH!$E$4="Bloomberg",AH!$P$10=1,ISNUMBER($A2966),$A2966&lt;=AH!$P$17),AH!$P$7-1+MATCH($A2966,INDEX('AH History'!$A$1:$A$18046,AH!$P$7):INDEX('AH History'!$A$1:$A$18046,AH!$P$7+AH!$P$8-1),0),0),0)</ns0:f>
        <ns0:v/>
      </ns0:c>
      <ns0:c r="I2966">
        <ns0:f>IF($H2966=0,0,IFERROR(IF(AND(ABS($C2966-INDEX('AH History'!$B$1:$B$18046,$H2966))&lt;=MAX(0.005,ABS(INDEX('AH History'!$B$1:$B$18046,$H2966))*0.00005),ABS($D2966-INDEX('AH History'!$C$1:$C$18046,$H2966))&lt;=MAX(0.005,ABS(INDEX('AH History'!$C$1:$C$18046,$H2966))*0.00005),ABS($E2966-INDEX('AH History'!$D$1:$D$18046,$H2966))&lt;=0.00005,$F2966=INDEX('AH History'!$E$1:$E$18046,$H2966),$G2966=INDEX('AH History'!$F$1:$F$18046,$H2966)),1,-1),-1))</ns0:f>
        <ns0:v/>
      </ns0:c>
    </ns0:row>
    <ns0:row r="2967">
      <ns0:c r="A2967" s="215">
        <ns0:f>IF(OR(AH!$P$3=0,2962+1&gt;AH!$P$11,AND(AH!$E$4&lt;&gt;"Stored",AH!$P$10&lt;&gt;1)),"",IFERROR(IF(AND(AH!$P$21=1,2962+1=AH!$P$11),TODAY(),IF(AH!$P$10=1,INDEX('Live History'!$A$5:$A$3004,AH!$P$13+2962),INDEX('AH History'!$A$1:$A$18046,AH!$P$7+2962))),""))</ns0:f>
        <ns0:v/>
      </ns0:c>
      <ns0:c r="B2967" s="219">
        <ns0:f>IFERROR(IF(AND(AH!$P$9&lt;&gt;1,$C2967&gt;0,$D2967&gt;0,$E2967&gt;0,$F2967&gt;0,$G2967&gt;0,$F2967&lt;=$A2967,$G2967&lt;=$A2967,$A2967-$F2967&lt;=10,$A2967-$G2967&lt;=5),$D2967*$E2967/$C2967-1,NA()),NA())</ns0:f>
        <ns0:v/>
      </ns0:c>
      <ns0:c r="C2967">
        <ns0:f>IFERROR(IF(ISNUMBER($A2967),IF(AND(AH!$P$10=1,AH!$P$12=1,$A2967=TODAY()),AH!$P$19,IF(AH!$P$10=1,INDEX('Live History'!$B$5:$B$3004,AH!$P$13+2962),INDEX('AH History'!$B$1:$B$18046,AH!$P$7+2962))),NA()),NA())</ns0:f>
        <ns0:v/>
      </ns0:c>
      <ns0:c r="D2967">
        <ns0:f>IFERROR(IF(ISNUMBER($A2967),IF(AND(AH!$P$10=1,AH!$P$12=1,$A2967=TODAY()),AH!$P$18,IF(AH!$P$10=1,INDEX('Live History'!$E$5:$E$3004,MATCH($A2967,'Live History'!$D$5:$D$3004,1)),INDEX('AH History'!$C$1:$C$18046,AH!$P$7+2962))),NA()),NA())</ns0:f>
        <ns0:v/>
      </ns0:c>
      <ns0:c r="E2967">
        <ns0:f>IFERROR(IF(ISNUMBER($A2967),IF(AND(AH!$P$10=1,AH!$P$12=1,$A2967=TODAY()),AH!$P$20,IF(AH!$P$10=1,INDEX('Live History'!$H$5:$H$3004,MATCH($A2967,'Live History'!$G$5:$G$3004,1)),INDEX('AH History'!$D$1:$D$18046,AH!$P$7+2962))),NA()),NA())</ns0:f>
        <ns0:v/>
      </ns0:c>
      <ns0:c r="F2967">
        <ns0:f>IFERROR(IF(ISNUMBER($A2967),IF(AND(AH!$P$10=1,AH!$P$12=1,$A2967=TODAY()),IF(AND(AH!$P$10=1,AH!$P$12=1,$A2967=TODAY()),TODAY(),NA()),IF(AH!$P$10=1,INDEX('Live History'!$D$5:$D$3004,MATCH($A2967,'Live History'!$D$5:$D$3004,1)),INDEX('AH History'!$E$1:$E$18046,AH!$P$7+2962))),NA()),NA())</ns0:f>
        <ns0:v/>
      </ns0:c>
      <ns0:c r="G2967">
        <ns0:f>IFERROR(IF(ISNUMBER($A2967),IF(AND(AH!$P$10=1,AH!$P$12=1,$A2967=TODAY()),IF(AND(AH!$P$10=1,AH!$P$12=1,$A2967=TODAY()),TODAY(),NA()),IF(AH!$P$10=1,INDEX('Live History'!$G$5:$G$3004,MATCH($A2967,'Live History'!$G$5:$G$3004,1)),INDEX('AH History'!$F$1:$F$18046,AH!$P$7+2962))),NA()),NA())</ns0:f>
        <ns0:v/>
      </ns0:c>
      <ns0:c r="H2967">
        <ns0:f>IFERROR(IF(AND(AH!$E$4="Bloomberg",AH!$P$10=1,ISNUMBER($A2967),$A2967&lt;=AH!$P$17),AH!$P$7-1+MATCH($A2967,INDEX('AH History'!$A$1:$A$18046,AH!$P$7):INDEX('AH History'!$A$1:$A$18046,AH!$P$7+AH!$P$8-1),0),0),0)</ns0:f>
        <ns0:v/>
      </ns0:c>
      <ns0:c r="I2967">
        <ns0:f>IF($H2967=0,0,IFERROR(IF(AND(ABS($C2967-INDEX('AH History'!$B$1:$B$18046,$H2967))&lt;=MAX(0.005,ABS(INDEX('AH History'!$B$1:$B$18046,$H2967))*0.00005),ABS($D2967-INDEX('AH History'!$C$1:$C$18046,$H2967))&lt;=MAX(0.005,ABS(INDEX('AH History'!$C$1:$C$18046,$H2967))*0.00005),ABS($E2967-INDEX('AH History'!$D$1:$D$18046,$H2967))&lt;=0.00005,$F2967=INDEX('AH History'!$E$1:$E$18046,$H2967),$G2967=INDEX('AH History'!$F$1:$F$18046,$H2967)),1,-1),-1))</ns0:f>
        <ns0:v/>
      </ns0:c>
    </ns0:row>
    <ns0:row r="2968">
      <ns0:c r="A2968" s="215">
        <ns0:f>IF(OR(AH!$P$3=0,2963+1&gt;AH!$P$11,AND(AH!$E$4&lt;&gt;"Stored",AH!$P$10&lt;&gt;1)),"",IFERROR(IF(AND(AH!$P$21=1,2963+1=AH!$P$11),TODAY(),IF(AH!$P$10=1,INDEX('Live History'!$A$5:$A$3004,AH!$P$13+2963),INDEX('AH History'!$A$1:$A$18046,AH!$P$7+2963))),""))</ns0:f>
        <ns0:v/>
      </ns0:c>
      <ns0:c r="B2968" s="219">
        <ns0:f>IFERROR(IF(AND(AH!$P$9&lt;&gt;1,$C2968&gt;0,$D2968&gt;0,$E2968&gt;0,$F2968&gt;0,$G2968&gt;0,$F2968&lt;=$A2968,$G2968&lt;=$A2968,$A2968-$F2968&lt;=10,$A2968-$G2968&lt;=5),$D2968*$E2968/$C2968-1,NA()),NA())</ns0:f>
        <ns0:v/>
      </ns0:c>
      <ns0:c r="C2968">
        <ns0:f>IFERROR(IF(ISNUMBER($A2968),IF(AND(AH!$P$10=1,AH!$P$12=1,$A2968=TODAY()),AH!$P$19,IF(AH!$P$10=1,INDEX('Live History'!$B$5:$B$3004,AH!$P$13+2963),INDEX('AH History'!$B$1:$B$18046,AH!$P$7+2963))),NA()),NA())</ns0:f>
        <ns0:v/>
      </ns0:c>
      <ns0:c r="D2968">
        <ns0:f>IFERROR(IF(ISNUMBER($A2968),IF(AND(AH!$P$10=1,AH!$P$12=1,$A2968=TODAY()),AH!$P$18,IF(AH!$P$10=1,INDEX('Live History'!$E$5:$E$3004,MATCH($A2968,'Live History'!$D$5:$D$3004,1)),INDEX('AH History'!$C$1:$C$18046,AH!$P$7+2963))),NA()),NA())</ns0:f>
        <ns0:v/>
      </ns0:c>
      <ns0:c r="E2968">
        <ns0:f>IFERROR(IF(ISNUMBER($A2968),IF(AND(AH!$P$10=1,AH!$P$12=1,$A2968=TODAY()),AH!$P$20,IF(AH!$P$10=1,INDEX('Live History'!$H$5:$H$3004,MATCH($A2968,'Live History'!$G$5:$G$3004,1)),INDEX('AH History'!$D$1:$D$18046,AH!$P$7+2963))),NA()),NA())</ns0:f>
        <ns0:v/>
      </ns0:c>
      <ns0:c r="F2968">
        <ns0:f>IFERROR(IF(ISNUMBER($A2968),IF(AND(AH!$P$10=1,AH!$P$12=1,$A2968=TODAY()),IF(AND(AH!$P$10=1,AH!$P$12=1,$A2968=TODAY()),TODAY(),NA()),IF(AH!$P$10=1,INDEX('Live History'!$D$5:$D$3004,MATCH($A2968,'Live History'!$D$5:$D$3004,1)),INDEX('AH History'!$E$1:$E$18046,AH!$P$7+2963))),NA()),NA())</ns0:f>
        <ns0:v/>
      </ns0:c>
      <ns0:c r="G2968">
        <ns0:f>IFERROR(IF(ISNUMBER($A2968),IF(AND(AH!$P$10=1,AH!$P$12=1,$A2968=TODAY()),IF(AND(AH!$P$10=1,AH!$P$12=1,$A2968=TODAY()),TODAY(),NA()),IF(AH!$P$10=1,INDEX('Live History'!$G$5:$G$3004,MATCH($A2968,'Live History'!$G$5:$G$3004,1)),INDEX('AH History'!$F$1:$F$18046,AH!$P$7+2963))),NA()),NA())</ns0:f>
        <ns0:v/>
      </ns0:c>
      <ns0:c r="H2968">
        <ns0:f>IFERROR(IF(AND(AH!$E$4="Bloomberg",AH!$P$10=1,ISNUMBER($A2968),$A2968&lt;=AH!$P$17),AH!$P$7-1+MATCH($A2968,INDEX('AH History'!$A$1:$A$18046,AH!$P$7):INDEX('AH History'!$A$1:$A$18046,AH!$P$7+AH!$P$8-1),0),0),0)</ns0:f>
        <ns0:v/>
      </ns0:c>
      <ns0:c r="I2968">
        <ns0:f>IF($H2968=0,0,IFERROR(IF(AND(ABS($C2968-INDEX('AH History'!$B$1:$B$18046,$H2968))&lt;=MAX(0.005,ABS(INDEX('AH History'!$B$1:$B$18046,$H2968))*0.00005),ABS($D2968-INDEX('AH History'!$C$1:$C$18046,$H2968))&lt;=MAX(0.005,ABS(INDEX('AH History'!$C$1:$C$18046,$H2968))*0.00005),ABS($E2968-INDEX('AH History'!$D$1:$D$18046,$H2968))&lt;=0.00005,$F2968=INDEX('AH History'!$E$1:$E$18046,$H2968),$G2968=INDEX('AH History'!$F$1:$F$18046,$H2968)),1,-1),-1))</ns0:f>
        <ns0:v/>
      </ns0:c>
    </ns0:row>
    <ns0:row r="2969">
      <ns0:c r="A2969" s="215">
        <ns0:f>IF(OR(AH!$P$3=0,2964+1&gt;AH!$P$11,AND(AH!$E$4&lt;&gt;"Stored",AH!$P$10&lt;&gt;1)),"",IFERROR(IF(AND(AH!$P$21=1,2964+1=AH!$P$11),TODAY(),IF(AH!$P$10=1,INDEX('Live History'!$A$5:$A$3004,AH!$P$13+2964),INDEX('AH History'!$A$1:$A$18046,AH!$P$7+2964))),""))</ns0:f>
        <ns0:v/>
      </ns0:c>
      <ns0:c r="B2969" s="219">
        <ns0:f>IFERROR(IF(AND(AH!$P$9&lt;&gt;1,$C2969&gt;0,$D2969&gt;0,$E2969&gt;0,$F2969&gt;0,$G2969&gt;0,$F2969&lt;=$A2969,$G2969&lt;=$A2969,$A2969-$F2969&lt;=10,$A2969-$G2969&lt;=5),$D2969*$E2969/$C2969-1,NA()),NA())</ns0:f>
        <ns0:v/>
      </ns0:c>
      <ns0:c r="C2969">
        <ns0:f>IFERROR(IF(ISNUMBER($A2969),IF(AND(AH!$P$10=1,AH!$P$12=1,$A2969=TODAY()),AH!$P$19,IF(AH!$P$10=1,INDEX('Live History'!$B$5:$B$3004,AH!$P$13+2964),INDEX('AH History'!$B$1:$B$18046,AH!$P$7+2964))),NA()),NA())</ns0:f>
        <ns0:v/>
      </ns0:c>
      <ns0:c r="D2969">
        <ns0:f>IFERROR(IF(ISNUMBER($A2969),IF(AND(AH!$P$10=1,AH!$P$12=1,$A2969=TODAY()),AH!$P$18,IF(AH!$P$10=1,INDEX('Live History'!$E$5:$E$3004,MATCH($A2969,'Live History'!$D$5:$D$3004,1)),INDEX('AH History'!$C$1:$C$18046,AH!$P$7+2964))),NA()),NA())</ns0:f>
        <ns0:v/>
      </ns0:c>
      <ns0:c r="E2969">
        <ns0:f>IFERROR(IF(ISNUMBER($A2969),IF(AND(AH!$P$10=1,AH!$P$12=1,$A2969=TODAY()),AH!$P$20,IF(AH!$P$10=1,INDEX('Live History'!$H$5:$H$3004,MATCH($A2969,'Live History'!$G$5:$G$3004,1)),INDEX('AH History'!$D$1:$D$18046,AH!$P$7+2964))),NA()),NA())</ns0:f>
        <ns0:v/>
      </ns0:c>
      <ns0:c r="F2969">
        <ns0:f>IFERROR(IF(ISNUMBER($A2969),IF(AND(AH!$P$10=1,AH!$P$12=1,$A2969=TODAY()),IF(AND(AH!$P$10=1,AH!$P$12=1,$A2969=TODAY()),TODAY(),NA()),IF(AH!$P$10=1,INDEX('Live History'!$D$5:$D$3004,MATCH($A2969,'Live History'!$D$5:$D$3004,1)),INDEX('AH History'!$E$1:$E$18046,AH!$P$7+2964))),NA()),NA())</ns0:f>
        <ns0:v/>
      </ns0:c>
      <ns0:c r="G2969">
        <ns0:f>IFERROR(IF(ISNUMBER($A2969),IF(AND(AH!$P$10=1,AH!$P$12=1,$A2969=TODAY()),IF(AND(AH!$P$10=1,AH!$P$12=1,$A2969=TODAY()),TODAY(),NA()),IF(AH!$P$10=1,INDEX('Live History'!$G$5:$G$3004,MATCH($A2969,'Live History'!$G$5:$G$3004,1)),INDEX('AH History'!$F$1:$F$18046,AH!$P$7+2964))),NA()),NA())</ns0:f>
        <ns0:v/>
      </ns0:c>
      <ns0:c r="H2969">
        <ns0:f>IFERROR(IF(AND(AH!$E$4="Bloomberg",AH!$P$10=1,ISNUMBER($A2969),$A2969&lt;=AH!$P$17),AH!$P$7-1+MATCH($A2969,INDEX('AH History'!$A$1:$A$18046,AH!$P$7):INDEX('AH History'!$A$1:$A$18046,AH!$P$7+AH!$P$8-1),0),0),0)</ns0:f>
        <ns0:v/>
      </ns0:c>
      <ns0:c r="I2969">
        <ns0:f>IF($H2969=0,0,IFERROR(IF(AND(ABS($C2969-INDEX('AH History'!$B$1:$B$18046,$H2969))&lt;=MAX(0.005,ABS(INDEX('AH History'!$B$1:$B$18046,$H2969))*0.00005),ABS($D2969-INDEX('AH History'!$C$1:$C$18046,$H2969))&lt;=MAX(0.005,ABS(INDEX('AH History'!$C$1:$C$18046,$H2969))*0.00005),ABS($E2969-INDEX('AH History'!$D$1:$D$18046,$H2969))&lt;=0.00005,$F2969=INDEX('AH History'!$E$1:$E$18046,$H2969),$G2969=INDEX('AH History'!$F$1:$F$18046,$H2969)),1,-1),-1))</ns0:f>
        <ns0:v/>
      </ns0:c>
    </ns0:row>
    <ns0:row r="2970">
      <ns0:c r="A2970" s="215">
        <ns0:f>IF(OR(AH!$P$3=0,2965+1&gt;AH!$P$11,AND(AH!$E$4&lt;&gt;"Stored",AH!$P$10&lt;&gt;1)),"",IFERROR(IF(AND(AH!$P$21=1,2965+1=AH!$P$11),TODAY(),IF(AH!$P$10=1,INDEX('Live History'!$A$5:$A$3004,AH!$P$13+2965),INDEX('AH History'!$A$1:$A$18046,AH!$P$7+2965))),""))</ns0:f>
        <ns0:v/>
      </ns0:c>
      <ns0:c r="B2970" s="219">
        <ns0:f>IFERROR(IF(AND(AH!$P$9&lt;&gt;1,$C2970&gt;0,$D2970&gt;0,$E2970&gt;0,$F2970&gt;0,$G2970&gt;0,$F2970&lt;=$A2970,$G2970&lt;=$A2970,$A2970-$F2970&lt;=10,$A2970-$G2970&lt;=5),$D2970*$E2970/$C2970-1,NA()),NA())</ns0:f>
        <ns0:v/>
      </ns0:c>
      <ns0:c r="C2970">
        <ns0:f>IFERROR(IF(ISNUMBER($A2970),IF(AND(AH!$P$10=1,AH!$P$12=1,$A2970=TODAY()),AH!$P$19,IF(AH!$P$10=1,INDEX('Live History'!$B$5:$B$3004,AH!$P$13+2965),INDEX('AH History'!$B$1:$B$18046,AH!$P$7+2965))),NA()),NA())</ns0:f>
        <ns0:v/>
      </ns0:c>
      <ns0:c r="D2970">
        <ns0:f>IFERROR(IF(ISNUMBER($A2970),IF(AND(AH!$P$10=1,AH!$P$12=1,$A2970=TODAY()),AH!$P$18,IF(AH!$P$10=1,INDEX('Live History'!$E$5:$E$3004,MATCH($A2970,'Live History'!$D$5:$D$3004,1)),INDEX('AH History'!$C$1:$C$18046,AH!$P$7+2965))),NA()),NA())</ns0:f>
        <ns0:v/>
      </ns0:c>
      <ns0:c r="E2970">
        <ns0:f>IFERROR(IF(ISNUMBER($A2970),IF(AND(AH!$P$10=1,AH!$P$12=1,$A2970=TODAY()),AH!$P$20,IF(AH!$P$10=1,INDEX('Live History'!$H$5:$H$3004,MATCH($A2970,'Live History'!$G$5:$G$3004,1)),INDEX('AH History'!$D$1:$D$18046,AH!$P$7+2965))),NA()),NA())</ns0:f>
        <ns0:v/>
      </ns0:c>
      <ns0:c r="F2970">
        <ns0:f>IFERROR(IF(ISNUMBER($A2970),IF(AND(AH!$P$10=1,AH!$P$12=1,$A2970=TODAY()),IF(AND(AH!$P$10=1,AH!$P$12=1,$A2970=TODAY()),TODAY(),NA()),IF(AH!$P$10=1,INDEX('Live History'!$D$5:$D$3004,MATCH($A2970,'Live History'!$D$5:$D$3004,1)),INDEX('AH History'!$E$1:$E$18046,AH!$P$7+2965))),NA()),NA())</ns0:f>
        <ns0:v/>
      </ns0:c>
      <ns0:c r="G2970">
        <ns0:f>IFERROR(IF(ISNUMBER($A2970),IF(AND(AH!$P$10=1,AH!$P$12=1,$A2970=TODAY()),IF(AND(AH!$P$10=1,AH!$P$12=1,$A2970=TODAY()),TODAY(),NA()),IF(AH!$P$10=1,INDEX('Live History'!$G$5:$G$3004,MATCH($A2970,'Live History'!$G$5:$G$3004,1)),INDEX('AH History'!$F$1:$F$18046,AH!$P$7+2965))),NA()),NA())</ns0:f>
        <ns0:v/>
      </ns0:c>
      <ns0:c r="H2970">
        <ns0:f>IFERROR(IF(AND(AH!$E$4="Bloomberg",AH!$P$10=1,ISNUMBER($A2970),$A2970&lt;=AH!$P$17),AH!$P$7-1+MATCH($A2970,INDEX('AH History'!$A$1:$A$18046,AH!$P$7):INDEX('AH History'!$A$1:$A$18046,AH!$P$7+AH!$P$8-1),0),0),0)</ns0:f>
        <ns0:v/>
      </ns0:c>
      <ns0:c r="I2970">
        <ns0:f>IF($H2970=0,0,IFERROR(IF(AND(ABS($C2970-INDEX('AH History'!$B$1:$B$18046,$H2970))&lt;=MAX(0.005,ABS(INDEX('AH History'!$B$1:$B$18046,$H2970))*0.00005),ABS($D2970-INDEX('AH History'!$C$1:$C$18046,$H2970))&lt;=MAX(0.005,ABS(INDEX('AH History'!$C$1:$C$18046,$H2970))*0.00005),ABS($E2970-INDEX('AH History'!$D$1:$D$18046,$H2970))&lt;=0.00005,$F2970=INDEX('AH History'!$E$1:$E$18046,$H2970),$G2970=INDEX('AH History'!$F$1:$F$18046,$H2970)),1,-1),-1))</ns0:f>
        <ns0:v/>
      </ns0:c>
    </ns0:row>
    <ns0:row r="2971">
      <ns0:c r="A2971" s="215">
        <ns0:f>IF(OR(AH!$P$3=0,2966+1&gt;AH!$P$11,AND(AH!$E$4&lt;&gt;"Stored",AH!$P$10&lt;&gt;1)),"",IFERROR(IF(AND(AH!$P$21=1,2966+1=AH!$P$11),TODAY(),IF(AH!$P$10=1,INDEX('Live History'!$A$5:$A$3004,AH!$P$13+2966),INDEX('AH History'!$A$1:$A$18046,AH!$P$7+2966))),""))</ns0:f>
        <ns0:v/>
      </ns0:c>
      <ns0:c r="B2971" s="219">
        <ns0:f>IFERROR(IF(AND(AH!$P$9&lt;&gt;1,$C2971&gt;0,$D2971&gt;0,$E2971&gt;0,$F2971&gt;0,$G2971&gt;0,$F2971&lt;=$A2971,$G2971&lt;=$A2971,$A2971-$F2971&lt;=10,$A2971-$G2971&lt;=5),$D2971*$E2971/$C2971-1,NA()),NA())</ns0:f>
        <ns0:v/>
      </ns0:c>
      <ns0:c r="C2971">
        <ns0:f>IFERROR(IF(ISNUMBER($A2971),IF(AND(AH!$P$10=1,AH!$P$12=1,$A2971=TODAY()),AH!$P$19,IF(AH!$P$10=1,INDEX('Live History'!$B$5:$B$3004,AH!$P$13+2966),INDEX('AH History'!$B$1:$B$18046,AH!$P$7+2966))),NA()),NA())</ns0:f>
        <ns0:v/>
      </ns0:c>
      <ns0:c r="D2971">
        <ns0:f>IFERROR(IF(ISNUMBER($A2971),IF(AND(AH!$P$10=1,AH!$P$12=1,$A2971=TODAY()),AH!$P$18,IF(AH!$P$10=1,INDEX('Live History'!$E$5:$E$3004,MATCH($A2971,'Live History'!$D$5:$D$3004,1)),INDEX('AH History'!$C$1:$C$18046,AH!$P$7+2966))),NA()),NA())</ns0:f>
        <ns0:v/>
      </ns0:c>
      <ns0:c r="E2971">
        <ns0:f>IFERROR(IF(ISNUMBER($A2971),IF(AND(AH!$P$10=1,AH!$P$12=1,$A2971=TODAY()),AH!$P$20,IF(AH!$P$10=1,INDEX('Live History'!$H$5:$H$3004,MATCH($A2971,'Live History'!$G$5:$G$3004,1)),INDEX('AH History'!$D$1:$D$18046,AH!$P$7+2966))),NA()),NA())</ns0:f>
        <ns0:v/>
      </ns0:c>
      <ns0:c r="F2971">
        <ns0:f>IFERROR(IF(ISNUMBER($A2971),IF(AND(AH!$P$10=1,AH!$P$12=1,$A2971=TODAY()),IF(AND(AH!$P$10=1,AH!$P$12=1,$A2971=TODAY()),TODAY(),NA()),IF(AH!$P$10=1,INDEX('Live History'!$D$5:$D$3004,MATCH($A2971,'Live History'!$D$5:$D$3004,1)),INDEX('AH History'!$E$1:$E$18046,AH!$P$7+2966))),NA()),NA())</ns0:f>
        <ns0:v/>
      </ns0:c>
      <ns0:c r="G2971">
        <ns0:f>IFERROR(IF(ISNUMBER($A2971),IF(AND(AH!$P$10=1,AH!$P$12=1,$A2971=TODAY()),IF(AND(AH!$P$10=1,AH!$P$12=1,$A2971=TODAY()),TODAY(),NA()),IF(AH!$P$10=1,INDEX('Live History'!$G$5:$G$3004,MATCH($A2971,'Live History'!$G$5:$G$3004,1)),INDEX('AH History'!$F$1:$F$18046,AH!$P$7+2966))),NA()),NA())</ns0:f>
        <ns0:v/>
      </ns0:c>
      <ns0:c r="H2971">
        <ns0:f>IFERROR(IF(AND(AH!$E$4="Bloomberg",AH!$P$10=1,ISNUMBER($A2971),$A2971&lt;=AH!$P$17),AH!$P$7-1+MATCH($A2971,INDEX('AH History'!$A$1:$A$18046,AH!$P$7):INDEX('AH History'!$A$1:$A$18046,AH!$P$7+AH!$P$8-1),0),0),0)</ns0:f>
        <ns0:v/>
      </ns0:c>
      <ns0:c r="I2971">
        <ns0:f>IF($H2971=0,0,IFERROR(IF(AND(ABS($C2971-INDEX('AH History'!$B$1:$B$18046,$H2971))&lt;=MAX(0.005,ABS(INDEX('AH History'!$B$1:$B$18046,$H2971))*0.00005),ABS($D2971-INDEX('AH History'!$C$1:$C$18046,$H2971))&lt;=MAX(0.005,ABS(INDEX('AH History'!$C$1:$C$18046,$H2971))*0.00005),ABS($E2971-INDEX('AH History'!$D$1:$D$18046,$H2971))&lt;=0.00005,$F2971=INDEX('AH History'!$E$1:$E$18046,$H2971),$G2971=INDEX('AH History'!$F$1:$F$18046,$H2971)),1,-1),-1))</ns0:f>
        <ns0:v/>
      </ns0:c>
    </ns0:row>
    <ns0:row r="2972">
      <ns0:c r="A2972" s="215">
        <ns0:f>IF(OR(AH!$P$3=0,2967+1&gt;AH!$P$11,AND(AH!$E$4&lt;&gt;"Stored",AH!$P$10&lt;&gt;1)),"",IFERROR(IF(AND(AH!$P$21=1,2967+1=AH!$P$11),TODAY(),IF(AH!$P$10=1,INDEX('Live History'!$A$5:$A$3004,AH!$P$13+2967),INDEX('AH History'!$A$1:$A$18046,AH!$P$7+2967))),""))</ns0:f>
        <ns0:v/>
      </ns0:c>
      <ns0:c r="B2972" s="219">
        <ns0:f>IFERROR(IF(AND(AH!$P$9&lt;&gt;1,$C2972&gt;0,$D2972&gt;0,$E2972&gt;0,$F2972&gt;0,$G2972&gt;0,$F2972&lt;=$A2972,$G2972&lt;=$A2972,$A2972-$F2972&lt;=10,$A2972-$G2972&lt;=5),$D2972*$E2972/$C2972-1,NA()),NA())</ns0:f>
        <ns0:v/>
      </ns0:c>
      <ns0:c r="C2972">
        <ns0:f>IFERROR(IF(ISNUMBER($A2972),IF(AND(AH!$P$10=1,AH!$P$12=1,$A2972=TODAY()),AH!$P$19,IF(AH!$P$10=1,INDEX('Live History'!$B$5:$B$3004,AH!$P$13+2967),INDEX('AH History'!$B$1:$B$18046,AH!$P$7+2967))),NA()),NA())</ns0:f>
        <ns0:v/>
      </ns0:c>
      <ns0:c r="D2972">
        <ns0:f>IFERROR(IF(ISNUMBER($A2972),IF(AND(AH!$P$10=1,AH!$P$12=1,$A2972=TODAY()),AH!$P$18,IF(AH!$P$10=1,INDEX('Live History'!$E$5:$E$3004,MATCH($A2972,'Live History'!$D$5:$D$3004,1)),INDEX('AH History'!$C$1:$C$18046,AH!$P$7+2967))),NA()),NA())</ns0:f>
        <ns0:v/>
      </ns0:c>
      <ns0:c r="E2972">
        <ns0:f>IFERROR(IF(ISNUMBER($A2972),IF(AND(AH!$P$10=1,AH!$P$12=1,$A2972=TODAY()),AH!$P$20,IF(AH!$P$10=1,INDEX('Live History'!$H$5:$H$3004,MATCH($A2972,'Live History'!$G$5:$G$3004,1)),INDEX('AH History'!$D$1:$D$18046,AH!$P$7+2967))),NA()),NA())</ns0:f>
        <ns0:v/>
      </ns0:c>
      <ns0:c r="F2972">
        <ns0:f>IFERROR(IF(ISNUMBER($A2972),IF(AND(AH!$P$10=1,AH!$P$12=1,$A2972=TODAY()),IF(AND(AH!$P$10=1,AH!$P$12=1,$A2972=TODAY()),TODAY(),NA()),IF(AH!$P$10=1,INDEX('Live History'!$D$5:$D$3004,MATCH($A2972,'Live History'!$D$5:$D$3004,1)),INDEX('AH History'!$E$1:$E$18046,AH!$P$7+2967))),NA()),NA())</ns0:f>
        <ns0:v/>
      </ns0:c>
      <ns0:c r="G2972">
        <ns0:f>IFERROR(IF(ISNUMBER($A2972),IF(AND(AH!$P$10=1,AH!$P$12=1,$A2972=TODAY()),IF(AND(AH!$P$10=1,AH!$P$12=1,$A2972=TODAY()),TODAY(),NA()),IF(AH!$P$10=1,INDEX('Live History'!$G$5:$G$3004,MATCH($A2972,'Live History'!$G$5:$G$3004,1)),INDEX('AH History'!$F$1:$F$18046,AH!$P$7+2967))),NA()),NA())</ns0:f>
        <ns0:v/>
      </ns0:c>
      <ns0:c r="H2972">
        <ns0:f>IFERROR(IF(AND(AH!$E$4="Bloomberg",AH!$P$10=1,ISNUMBER($A2972),$A2972&lt;=AH!$P$17),AH!$P$7-1+MATCH($A2972,INDEX('AH History'!$A$1:$A$18046,AH!$P$7):INDEX('AH History'!$A$1:$A$18046,AH!$P$7+AH!$P$8-1),0),0),0)</ns0:f>
        <ns0:v/>
      </ns0:c>
      <ns0:c r="I2972">
        <ns0:f>IF($H2972=0,0,IFERROR(IF(AND(ABS($C2972-INDEX('AH History'!$B$1:$B$18046,$H2972))&lt;=MAX(0.005,ABS(INDEX('AH History'!$B$1:$B$18046,$H2972))*0.00005),ABS($D2972-INDEX('AH History'!$C$1:$C$18046,$H2972))&lt;=MAX(0.005,ABS(INDEX('AH History'!$C$1:$C$18046,$H2972))*0.00005),ABS($E2972-INDEX('AH History'!$D$1:$D$18046,$H2972))&lt;=0.00005,$F2972=INDEX('AH History'!$E$1:$E$18046,$H2972),$G2972=INDEX('AH History'!$F$1:$F$18046,$H2972)),1,-1),-1))</ns0:f>
        <ns0:v/>
      </ns0:c>
    </ns0:row>
    <ns0:row r="2973">
      <ns0:c r="A2973" s="215">
        <ns0:f>IF(OR(AH!$P$3=0,2968+1&gt;AH!$P$11,AND(AH!$E$4&lt;&gt;"Stored",AH!$P$10&lt;&gt;1)),"",IFERROR(IF(AND(AH!$P$21=1,2968+1=AH!$P$11),TODAY(),IF(AH!$P$10=1,INDEX('Live History'!$A$5:$A$3004,AH!$P$13+2968),INDEX('AH History'!$A$1:$A$18046,AH!$P$7+2968))),""))</ns0:f>
        <ns0:v/>
      </ns0:c>
      <ns0:c r="B2973" s="219">
        <ns0:f>IFERROR(IF(AND(AH!$P$9&lt;&gt;1,$C2973&gt;0,$D2973&gt;0,$E2973&gt;0,$F2973&gt;0,$G2973&gt;0,$F2973&lt;=$A2973,$G2973&lt;=$A2973,$A2973-$F2973&lt;=10,$A2973-$G2973&lt;=5),$D2973*$E2973/$C2973-1,NA()),NA())</ns0:f>
        <ns0:v/>
      </ns0:c>
      <ns0:c r="C2973">
        <ns0:f>IFERROR(IF(ISNUMBER($A2973),IF(AND(AH!$P$10=1,AH!$P$12=1,$A2973=TODAY()),AH!$P$19,IF(AH!$P$10=1,INDEX('Live History'!$B$5:$B$3004,AH!$P$13+2968),INDEX('AH History'!$B$1:$B$18046,AH!$P$7+2968))),NA()),NA())</ns0:f>
        <ns0:v/>
      </ns0:c>
      <ns0:c r="D2973">
        <ns0:f>IFERROR(IF(ISNUMBER($A2973),IF(AND(AH!$P$10=1,AH!$P$12=1,$A2973=TODAY()),AH!$P$18,IF(AH!$P$10=1,INDEX('Live History'!$E$5:$E$3004,MATCH($A2973,'Live History'!$D$5:$D$3004,1)),INDEX('AH History'!$C$1:$C$18046,AH!$P$7+2968))),NA()),NA())</ns0:f>
        <ns0:v/>
      </ns0:c>
      <ns0:c r="E2973">
        <ns0:f>IFERROR(IF(ISNUMBER($A2973),IF(AND(AH!$P$10=1,AH!$P$12=1,$A2973=TODAY()),AH!$P$20,IF(AH!$P$10=1,INDEX('Live History'!$H$5:$H$3004,MATCH($A2973,'Live History'!$G$5:$G$3004,1)),INDEX('AH History'!$D$1:$D$18046,AH!$P$7+2968))),NA()),NA())</ns0:f>
        <ns0:v/>
      </ns0:c>
      <ns0:c r="F2973">
        <ns0:f>IFERROR(IF(ISNUMBER($A2973),IF(AND(AH!$P$10=1,AH!$P$12=1,$A2973=TODAY()),IF(AND(AH!$P$10=1,AH!$P$12=1,$A2973=TODAY()),TODAY(),NA()),IF(AH!$P$10=1,INDEX('Live History'!$D$5:$D$3004,MATCH($A2973,'Live History'!$D$5:$D$3004,1)),INDEX('AH History'!$E$1:$E$18046,AH!$P$7+2968))),NA()),NA())</ns0:f>
        <ns0:v/>
      </ns0:c>
      <ns0:c r="G2973">
        <ns0:f>IFERROR(IF(ISNUMBER($A2973),IF(AND(AH!$P$10=1,AH!$P$12=1,$A2973=TODAY()),IF(AND(AH!$P$10=1,AH!$P$12=1,$A2973=TODAY()),TODAY(),NA()),IF(AH!$P$10=1,INDEX('Live History'!$G$5:$G$3004,MATCH($A2973,'Live History'!$G$5:$G$3004,1)),INDEX('AH History'!$F$1:$F$18046,AH!$P$7+2968))),NA()),NA())</ns0:f>
        <ns0:v/>
      </ns0:c>
      <ns0:c r="H2973">
        <ns0:f>IFERROR(IF(AND(AH!$E$4="Bloomberg",AH!$P$10=1,ISNUMBER($A2973),$A2973&lt;=AH!$P$17),AH!$P$7-1+MATCH($A2973,INDEX('AH History'!$A$1:$A$18046,AH!$P$7):INDEX('AH History'!$A$1:$A$18046,AH!$P$7+AH!$P$8-1),0),0),0)</ns0:f>
        <ns0:v/>
      </ns0:c>
      <ns0:c r="I2973">
        <ns0:f>IF($H2973=0,0,IFERROR(IF(AND(ABS($C2973-INDEX('AH History'!$B$1:$B$18046,$H2973))&lt;=MAX(0.005,ABS(INDEX('AH History'!$B$1:$B$18046,$H2973))*0.00005),ABS($D2973-INDEX('AH History'!$C$1:$C$18046,$H2973))&lt;=MAX(0.005,ABS(INDEX('AH History'!$C$1:$C$18046,$H2973))*0.00005),ABS($E2973-INDEX('AH History'!$D$1:$D$18046,$H2973))&lt;=0.00005,$F2973=INDEX('AH History'!$E$1:$E$18046,$H2973),$G2973=INDEX('AH History'!$F$1:$F$18046,$H2973)),1,-1),-1))</ns0:f>
        <ns0:v/>
      </ns0:c>
    </ns0:row>
    <ns0:row r="2974">
      <ns0:c r="A2974" s="215">
        <ns0:f>IF(OR(AH!$P$3=0,2969+1&gt;AH!$P$11,AND(AH!$E$4&lt;&gt;"Stored",AH!$P$10&lt;&gt;1)),"",IFERROR(IF(AND(AH!$P$21=1,2969+1=AH!$P$11),TODAY(),IF(AH!$P$10=1,INDEX('Live History'!$A$5:$A$3004,AH!$P$13+2969),INDEX('AH History'!$A$1:$A$18046,AH!$P$7+2969))),""))</ns0:f>
        <ns0:v/>
      </ns0:c>
      <ns0:c r="B2974" s="219">
        <ns0:f>IFERROR(IF(AND(AH!$P$9&lt;&gt;1,$C2974&gt;0,$D2974&gt;0,$E2974&gt;0,$F2974&gt;0,$G2974&gt;0,$F2974&lt;=$A2974,$G2974&lt;=$A2974,$A2974-$F2974&lt;=10,$A2974-$G2974&lt;=5),$D2974*$E2974/$C2974-1,NA()),NA())</ns0:f>
        <ns0:v/>
      </ns0:c>
      <ns0:c r="C2974">
        <ns0:f>IFERROR(IF(ISNUMBER($A2974),IF(AND(AH!$P$10=1,AH!$P$12=1,$A2974=TODAY()),AH!$P$19,IF(AH!$P$10=1,INDEX('Live History'!$B$5:$B$3004,AH!$P$13+2969),INDEX('AH History'!$B$1:$B$18046,AH!$P$7+2969))),NA()),NA())</ns0:f>
        <ns0:v/>
      </ns0:c>
      <ns0:c r="D2974">
        <ns0:f>IFERROR(IF(ISNUMBER($A2974),IF(AND(AH!$P$10=1,AH!$P$12=1,$A2974=TODAY()),AH!$P$18,IF(AH!$P$10=1,INDEX('Live History'!$E$5:$E$3004,MATCH($A2974,'Live History'!$D$5:$D$3004,1)),INDEX('AH History'!$C$1:$C$18046,AH!$P$7+2969))),NA()),NA())</ns0:f>
        <ns0:v/>
      </ns0:c>
      <ns0:c r="E2974">
        <ns0:f>IFERROR(IF(ISNUMBER($A2974),IF(AND(AH!$P$10=1,AH!$P$12=1,$A2974=TODAY()),AH!$P$20,IF(AH!$P$10=1,INDEX('Live History'!$H$5:$H$3004,MATCH($A2974,'Live History'!$G$5:$G$3004,1)),INDEX('AH History'!$D$1:$D$18046,AH!$P$7+2969))),NA()),NA())</ns0:f>
        <ns0:v/>
      </ns0:c>
      <ns0:c r="F2974">
        <ns0:f>IFERROR(IF(ISNUMBER($A2974),IF(AND(AH!$P$10=1,AH!$P$12=1,$A2974=TODAY()),IF(AND(AH!$P$10=1,AH!$P$12=1,$A2974=TODAY()),TODAY(),NA()),IF(AH!$P$10=1,INDEX('Live History'!$D$5:$D$3004,MATCH($A2974,'Live History'!$D$5:$D$3004,1)),INDEX('AH History'!$E$1:$E$18046,AH!$P$7+2969))),NA()),NA())</ns0:f>
        <ns0:v/>
      </ns0:c>
      <ns0:c r="G2974">
        <ns0:f>IFERROR(IF(ISNUMBER($A2974),IF(AND(AH!$P$10=1,AH!$P$12=1,$A2974=TODAY()),IF(AND(AH!$P$10=1,AH!$P$12=1,$A2974=TODAY()),TODAY(),NA()),IF(AH!$P$10=1,INDEX('Live History'!$G$5:$G$3004,MATCH($A2974,'Live History'!$G$5:$G$3004,1)),INDEX('AH History'!$F$1:$F$18046,AH!$P$7+2969))),NA()),NA())</ns0:f>
        <ns0:v/>
      </ns0:c>
      <ns0:c r="H2974">
        <ns0:f>IFERROR(IF(AND(AH!$E$4="Bloomberg",AH!$P$10=1,ISNUMBER($A2974),$A2974&lt;=AH!$P$17),AH!$P$7-1+MATCH($A2974,INDEX('AH History'!$A$1:$A$18046,AH!$P$7):INDEX('AH History'!$A$1:$A$18046,AH!$P$7+AH!$P$8-1),0),0),0)</ns0:f>
        <ns0:v/>
      </ns0:c>
      <ns0:c r="I2974">
        <ns0:f>IF($H2974=0,0,IFERROR(IF(AND(ABS($C2974-INDEX('AH History'!$B$1:$B$18046,$H2974))&lt;=MAX(0.005,ABS(INDEX('AH History'!$B$1:$B$18046,$H2974))*0.00005),ABS($D2974-INDEX('AH History'!$C$1:$C$18046,$H2974))&lt;=MAX(0.005,ABS(INDEX('AH History'!$C$1:$C$18046,$H2974))*0.00005),ABS($E2974-INDEX('AH History'!$D$1:$D$18046,$H2974))&lt;=0.00005,$F2974=INDEX('AH History'!$E$1:$E$18046,$H2974),$G2974=INDEX('AH History'!$F$1:$F$18046,$H2974)),1,-1),-1))</ns0:f>
        <ns0:v/>
      </ns0:c>
    </ns0:row>
    <ns0:row r="2975">
      <ns0:c r="A2975" s="215">
        <ns0:f>IF(OR(AH!$P$3=0,2970+1&gt;AH!$P$11,AND(AH!$E$4&lt;&gt;"Stored",AH!$P$10&lt;&gt;1)),"",IFERROR(IF(AND(AH!$P$21=1,2970+1=AH!$P$11),TODAY(),IF(AH!$P$10=1,INDEX('Live History'!$A$5:$A$3004,AH!$P$13+2970),INDEX('AH History'!$A$1:$A$18046,AH!$P$7+2970))),""))</ns0:f>
        <ns0:v/>
      </ns0:c>
      <ns0:c r="B2975" s="219">
        <ns0:f>IFERROR(IF(AND(AH!$P$9&lt;&gt;1,$C2975&gt;0,$D2975&gt;0,$E2975&gt;0,$F2975&gt;0,$G2975&gt;0,$F2975&lt;=$A2975,$G2975&lt;=$A2975,$A2975-$F2975&lt;=10,$A2975-$G2975&lt;=5),$D2975*$E2975/$C2975-1,NA()),NA())</ns0:f>
        <ns0:v/>
      </ns0:c>
      <ns0:c r="C2975">
        <ns0:f>IFERROR(IF(ISNUMBER($A2975),IF(AND(AH!$P$10=1,AH!$P$12=1,$A2975=TODAY()),AH!$P$19,IF(AH!$P$10=1,INDEX('Live History'!$B$5:$B$3004,AH!$P$13+2970),INDEX('AH History'!$B$1:$B$18046,AH!$P$7+2970))),NA()),NA())</ns0:f>
        <ns0:v/>
      </ns0:c>
      <ns0:c r="D2975">
        <ns0:f>IFERROR(IF(ISNUMBER($A2975),IF(AND(AH!$P$10=1,AH!$P$12=1,$A2975=TODAY()),AH!$P$18,IF(AH!$P$10=1,INDEX('Live History'!$E$5:$E$3004,MATCH($A2975,'Live History'!$D$5:$D$3004,1)),INDEX('AH History'!$C$1:$C$18046,AH!$P$7+2970))),NA()),NA())</ns0:f>
        <ns0:v/>
      </ns0:c>
      <ns0:c r="E2975">
        <ns0:f>IFERROR(IF(ISNUMBER($A2975),IF(AND(AH!$P$10=1,AH!$P$12=1,$A2975=TODAY()),AH!$P$20,IF(AH!$P$10=1,INDEX('Live History'!$H$5:$H$3004,MATCH($A2975,'Live History'!$G$5:$G$3004,1)),INDEX('AH History'!$D$1:$D$18046,AH!$P$7+2970))),NA()),NA())</ns0:f>
        <ns0:v/>
      </ns0:c>
      <ns0:c r="F2975">
        <ns0:f>IFERROR(IF(ISNUMBER($A2975),IF(AND(AH!$P$10=1,AH!$P$12=1,$A2975=TODAY()),IF(AND(AH!$P$10=1,AH!$P$12=1,$A2975=TODAY()),TODAY(),NA()),IF(AH!$P$10=1,INDEX('Live History'!$D$5:$D$3004,MATCH($A2975,'Live History'!$D$5:$D$3004,1)),INDEX('AH History'!$E$1:$E$18046,AH!$P$7+2970))),NA()),NA())</ns0:f>
        <ns0:v/>
      </ns0:c>
      <ns0:c r="G2975">
        <ns0:f>IFERROR(IF(ISNUMBER($A2975),IF(AND(AH!$P$10=1,AH!$P$12=1,$A2975=TODAY()),IF(AND(AH!$P$10=1,AH!$P$12=1,$A2975=TODAY()),TODAY(),NA()),IF(AH!$P$10=1,INDEX('Live History'!$G$5:$G$3004,MATCH($A2975,'Live History'!$G$5:$G$3004,1)),INDEX('AH History'!$F$1:$F$18046,AH!$P$7+2970))),NA()),NA())</ns0:f>
        <ns0:v/>
      </ns0:c>
      <ns0:c r="H2975">
        <ns0:f>IFERROR(IF(AND(AH!$E$4="Bloomberg",AH!$P$10=1,ISNUMBER($A2975),$A2975&lt;=AH!$P$17),AH!$P$7-1+MATCH($A2975,INDEX('AH History'!$A$1:$A$18046,AH!$P$7):INDEX('AH History'!$A$1:$A$18046,AH!$P$7+AH!$P$8-1),0),0),0)</ns0:f>
        <ns0:v/>
      </ns0:c>
      <ns0:c r="I2975">
        <ns0:f>IF($H2975=0,0,IFERROR(IF(AND(ABS($C2975-INDEX('AH History'!$B$1:$B$18046,$H2975))&lt;=MAX(0.005,ABS(INDEX('AH History'!$B$1:$B$18046,$H2975))*0.00005),ABS($D2975-INDEX('AH History'!$C$1:$C$18046,$H2975))&lt;=MAX(0.005,ABS(INDEX('AH History'!$C$1:$C$18046,$H2975))*0.00005),ABS($E2975-INDEX('AH History'!$D$1:$D$18046,$H2975))&lt;=0.00005,$F2975=INDEX('AH History'!$E$1:$E$18046,$H2975),$G2975=INDEX('AH History'!$F$1:$F$18046,$H2975)),1,-1),-1))</ns0:f>
        <ns0:v/>
      </ns0:c>
    </ns0:row>
    <ns0:row r="2976">
      <ns0:c r="A2976" s="215">
        <ns0:f>IF(OR(AH!$P$3=0,2971+1&gt;AH!$P$11,AND(AH!$E$4&lt;&gt;"Stored",AH!$P$10&lt;&gt;1)),"",IFERROR(IF(AND(AH!$P$21=1,2971+1=AH!$P$11),TODAY(),IF(AH!$P$10=1,INDEX('Live History'!$A$5:$A$3004,AH!$P$13+2971),INDEX('AH History'!$A$1:$A$18046,AH!$P$7+2971))),""))</ns0:f>
        <ns0:v/>
      </ns0:c>
      <ns0:c r="B2976" s="219">
        <ns0:f>IFERROR(IF(AND(AH!$P$9&lt;&gt;1,$C2976&gt;0,$D2976&gt;0,$E2976&gt;0,$F2976&gt;0,$G2976&gt;0,$F2976&lt;=$A2976,$G2976&lt;=$A2976,$A2976-$F2976&lt;=10,$A2976-$G2976&lt;=5),$D2976*$E2976/$C2976-1,NA()),NA())</ns0:f>
        <ns0:v/>
      </ns0:c>
      <ns0:c r="C2976">
        <ns0:f>IFERROR(IF(ISNUMBER($A2976),IF(AND(AH!$P$10=1,AH!$P$12=1,$A2976=TODAY()),AH!$P$19,IF(AH!$P$10=1,INDEX('Live History'!$B$5:$B$3004,AH!$P$13+2971),INDEX('AH History'!$B$1:$B$18046,AH!$P$7+2971))),NA()),NA())</ns0:f>
        <ns0:v/>
      </ns0:c>
      <ns0:c r="D2976">
        <ns0:f>IFERROR(IF(ISNUMBER($A2976),IF(AND(AH!$P$10=1,AH!$P$12=1,$A2976=TODAY()),AH!$P$18,IF(AH!$P$10=1,INDEX('Live History'!$E$5:$E$3004,MATCH($A2976,'Live History'!$D$5:$D$3004,1)),INDEX('AH History'!$C$1:$C$18046,AH!$P$7+2971))),NA()),NA())</ns0:f>
        <ns0:v/>
      </ns0:c>
      <ns0:c r="E2976">
        <ns0:f>IFERROR(IF(ISNUMBER($A2976),IF(AND(AH!$P$10=1,AH!$P$12=1,$A2976=TODAY()),AH!$P$20,IF(AH!$P$10=1,INDEX('Live History'!$H$5:$H$3004,MATCH($A2976,'Live History'!$G$5:$G$3004,1)),INDEX('AH History'!$D$1:$D$18046,AH!$P$7+2971))),NA()),NA())</ns0:f>
        <ns0:v/>
      </ns0:c>
      <ns0:c r="F2976">
        <ns0:f>IFERROR(IF(ISNUMBER($A2976),IF(AND(AH!$P$10=1,AH!$P$12=1,$A2976=TODAY()),IF(AND(AH!$P$10=1,AH!$P$12=1,$A2976=TODAY()),TODAY(),NA()),IF(AH!$P$10=1,INDEX('Live History'!$D$5:$D$3004,MATCH($A2976,'Live History'!$D$5:$D$3004,1)),INDEX('AH History'!$E$1:$E$18046,AH!$P$7+2971))),NA()),NA())</ns0:f>
        <ns0:v/>
      </ns0:c>
      <ns0:c r="G2976">
        <ns0:f>IFERROR(IF(ISNUMBER($A2976),IF(AND(AH!$P$10=1,AH!$P$12=1,$A2976=TODAY()),IF(AND(AH!$P$10=1,AH!$P$12=1,$A2976=TODAY()),TODAY(),NA()),IF(AH!$P$10=1,INDEX('Live History'!$G$5:$G$3004,MATCH($A2976,'Live History'!$G$5:$G$3004,1)),INDEX('AH History'!$F$1:$F$18046,AH!$P$7+2971))),NA()),NA())</ns0:f>
        <ns0:v/>
      </ns0:c>
      <ns0:c r="H2976">
        <ns0:f>IFERROR(IF(AND(AH!$E$4="Bloomberg",AH!$P$10=1,ISNUMBER($A2976),$A2976&lt;=AH!$P$17),AH!$P$7-1+MATCH($A2976,INDEX('AH History'!$A$1:$A$18046,AH!$P$7):INDEX('AH History'!$A$1:$A$18046,AH!$P$7+AH!$P$8-1),0),0),0)</ns0:f>
        <ns0:v/>
      </ns0:c>
      <ns0:c r="I2976">
        <ns0:f>IF($H2976=0,0,IFERROR(IF(AND(ABS($C2976-INDEX('AH History'!$B$1:$B$18046,$H2976))&lt;=MAX(0.005,ABS(INDEX('AH History'!$B$1:$B$18046,$H2976))*0.00005),ABS($D2976-INDEX('AH History'!$C$1:$C$18046,$H2976))&lt;=MAX(0.005,ABS(INDEX('AH History'!$C$1:$C$18046,$H2976))*0.00005),ABS($E2976-INDEX('AH History'!$D$1:$D$18046,$H2976))&lt;=0.00005,$F2976=INDEX('AH History'!$E$1:$E$18046,$H2976),$G2976=INDEX('AH History'!$F$1:$F$18046,$H2976)),1,-1),-1))</ns0:f>
        <ns0:v/>
      </ns0:c>
    </ns0:row>
    <ns0:row r="2977">
      <ns0:c r="A2977" s="215">
        <ns0:f>IF(OR(AH!$P$3=0,2972+1&gt;AH!$P$11,AND(AH!$E$4&lt;&gt;"Stored",AH!$P$10&lt;&gt;1)),"",IFERROR(IF(AND(AH!$P$21=1,2972+1=AH!$P$11),TODAY(),IF(AH!$P$10=1,INDEX('Live History'!$A$5:$A$3004,AH!$P$13+2972),INDEX('AH History'!$A$1:$A$18046,AH!$P$7+2972))),""))</ns0:f>
        <ns0:v/>
      </ns0:c>
      <ns0:c r="B2977" s="219">
        <ns0:f>IFERROR(IF(AND(AH!$P$9&lt;&gt;1,$C2977&gt;0,$D2977&gt;0,$E2977&gt;0,$F2977&gt;0,$G2977&gt;0,$F2977&lt;=$A2977,$G2977&lt;=$A2977,$A2977-$F2977&lt;=10,$A2977-$G2977&lt;=5),$D2977*$E2977/$C2977-1,NA()),NA())</ns0:f>
        <ns0:v/>
      </ns0:c>
      <ns0:c r="C2977">
        <ns0:f>IFERROR(IF(ISNUMBER($A2977),IF(AND(AH!$P$10=1,AH!$P$12=1,$A2977=TODAY()),AH!$P$19,IF(AH!$P$10=1,INDEX('Live History'!$B$5:$B$3004,AH!$P$13+2972),INDEX('AH History'!$B$1:$B$18046,AH!$P$7+2972))),NA()),NA())</ns0:f>
        <ns0:v/>
      </ns0:c>
      <ns0:c r="D2977">
        <ns0:f>IFERROR(IF(ISNUMBER($A2977),IF(AND(AH!$P$10=1,AH!$P$12=1,$A2977=TODAY()),AH!$P$18,IF(AH!$P$10=1,INDEX('Live History'!$E$5:$E$3004,MATCH($A2977,'Live History'!$D$5:$D$3004,1)),INDEX('AH History'!$C$1:$C$18046,AH!$P$7+2972))),NA()),NA())</ns0:f>
        <ns0:v/>
      </ns0:c>
      <ns0:c r="E2977">
        <ns0:f>IFERROR(IF(ISNUMBER($A2977),IF(AND(AH!$P$10=1,AH!$P$12=1,$A2977=TODAY()),AH!$P$20,IF(AH!$P$10=1,INDEX('Live History'!$H$5:$H$3004,MATCH($A2977,'Live History'!$G$5:$G$3004,1)),INDEX('AH History'!$D$1:$D$18046,AH!$P$7+2972))),NA()),NA())</ns0:f>
        <ns0:v/>
      </ns0:c>
      <ns0:c r="F2977">
        <ns0:f>IFERROR(IF(ISNUMBER($A2977),IF(AND(AH!$P$10=1,AH!$P$12=1,$A2977=TODAY()),IF(AND(AH!$P$10=1,AH!$P$12=1,$A2977=TODAY()),TODAY(),NA()),IF(AH!$P$10=1,INDEX('Live History'!$D$5:$D$3004,MATCH($A2977,'Live History'!$D$5:$D$3004,1)),INDEX('AH History'!$E$1:$E$18046,AH!$P$7+2972))),NA()),NA())</ns0:f>
        <ns0:v/>
      </ns0:c>
      <ns0:c r="G2977">
        <ns0:f>IFERROR(IF(ISNUMBER($A2977),IF(AND(AH!$P$10=1,AH!$P$12=1,$A2977=TODAY()),IF(AND(AH!$P$10=1,AH!$P$12=1,$A2977=TODAY()),TODAY(),NA()),IF(AH!$P$10=1,INDEX('Live History'!$G$5:$G$3004,MATCH($A2977,'Live History'!$G$5:$G$3004,1)),INDEX('AH History'!$F$1:$F$18046,AH!$P$7+2972))),NA()),NA())</ns0:f>
        <ns0:v/>
      </ns0:c>
      <ns0:c r="H2977">
        <ns0:f>IFERROR(IF(AND(AH!$E$4="Bloomberg",AH!$P$10=1,ISNUMBER($A2977),$A2977&lt;=AH!$P$17),AH!$P$7-1+MATCH($A2977,INDEX('AH History'!$A$1:$A$18046,AH!$P$7):INDEX('AH History'!$A$1:$A$18046,AH!$P$7+AH!$P$8-1),0),0),0)</ns0:f>
        <ns0:v/>
      </ns0:c>
      <ns0:c r="I2977">
        <ns0:f>IF($H2977=0,0,IFERROR(IF(AND(ABS($C2977-INDEX('AH History'!$B$1:$B$18046,$H2977))&lt;=MAX(0.005,ABS(INDEX('AH History'!$B$1:$B$18046,$H2977))*0.00005),ABS($D2977-INDEX('AH History'!$C$1:$C$18046,$H2977))&lt;=MAX(0.005,ABS(INDEX('AH History'!$C$1:$C$18046,$H2977))*0.00005),ABS($E2977-INDEX('AH History'!$D$1:$D$18046,$H2977))&lt;=0.00005,$F2977=INDEX('AH History'!$E$1:$E$18046,$H2977),$G2977=INDEX('AH History'!$F$1:$F$18046,$H2977)),1,-1),-1))</ns0:f>
        <ns0:v/>
      </ns0:c>
    </ns0:row>
    <ns0:row r="2978">
      <ns0:c r="A2978" s="215">
        <ns0:f>IF(OR(AH!$P$3=0,2973+1&gt;AH!$P$11,AND(AH!$E$4&lt;&gt;"Stored",AH!$P$10&lt;&gt;1)),"",IFERROR(IF(AND(AH!$P$21=1,2973+1=AH!$P$11),TODAY(),IF(AH!$P$10=1,INDEX('Live History'!$A$5:$A$3004,AH!$P$13+2973),INDEX('AH History'!$A$1:$A$18046,AH!$P$7+2973))),""))</ns0:f>
        <ns0:v/>
      </ns0:c>
      <ns0:c r="B2978" s="219">
        <ns0:f>IFERROR(IF(AND(AH!$P$9&lt;&gt;1,$C2978&gt;0,$D2978&gt;0,$E2978&gt;0,$F2978&gt;0,$G2978&gt;0,$F2978&lt;=$A2978,$G2978&lt;=$A2978,$A2978-$F2978&lt;=10,$A2978-$G2978&lt;=5),$D2978*$E2978/$C2978-1,NA()),NA())</ns0:f>
        <ns0:v/>
      </ns0:c>
      <ns0:c r="C2978">
        <ns0:f>IFERROR(IF(ISNUMBER($A2978),IF(AND(AH!$P$10=1,AH!$P$12=1,$A2978=TODAY()),AH!$P$19,IF(AH!$P$10=1,INDEX('Live History'!$B$5:$B$3004,AH!$P$13+2973),INDEX('AH History'!$B$1:$B$18046,AH!$P$7+2973))),NA()),NA())</ns0:f>
        <ns0:v/>
      </ns0:c>
      <ns0:c r="D2978">
        <ns0:f>IFERROR(IF(ISNUMBER($A2978),IF(AND(AH!$P$10=1,AH!$P$12=1,$A2978=TODAY()),AH!$P$18,IF(AH!$P$10=1,INDEX('Live History'!$E$5:$E$3004,MATCH($A2978,'Live History'!$D$5:$D$3004,1)),INDEX('AH History'!$C$1:$C$18046,AH!$P$7+2973))),NA()),NA())</ns0:f>
        <ns0:v/>
      </ns0:c>
      <ns0:c r="E2978">
        <ns0:f>IFERROR(IF(ISNUMBER($A2978),IF(AND(AH!$P$10=1,AH!$P$12=1,$A2978=TODAY()),AH!$P$20,IF(AH!$P$10=1,INDEX('Live History'!$H$5:$H$3004,MATCH($A2978,'Live History'!$G$5:$G$3004,1)),INDEX('AH History'!$D$1:$D$18046,AH!$P$7+2973))),NA()),NA())</ns0:f>
        <ns0:v/>
      </ns0:c>
      <ns0:c r="F2978">
        <ns0:f>IFERROR(IF(ISNUMBER($A2978),IF(AND(AH!$P$10=1,AH!$P$12=1,$A2978=TODAY()),IF(AND(AH!$P$10=1,AH!$P$12=1,$A2978=TODAY()),TODAY(),NA()),IF(AH!$P$10=1,INDEX('Live History'!$D$5:$D$3004,MATCH($A2978,'Live History'!$D$5:$D$3004,1)),INDEX('AH History'!$E$1:$E$18046,AH!$P$7+2973))),NA()),NA())</ns0:f>
        <ns0:v/>
      </ns0:c>
      <ns0:c r="G2978">
        <ns0:f>IFERROR(IF(ISNUMBER($A2978),IF(AND(AH!$P$10=1,AH!$P$12=1,$A2978=TODAY()),IF(AND(AH!$P$10=1,AH!$P$12=1,$A2978=TODAY()),TODAY(),NA()),IF(AH!$P$10=1,INDEX('Live History'!$G$5:$G$3004,MATCH($A2978,'Live History'!$G$5:$G$3004,1)),INDEX('AH History'!$F$1:$F$18046,AH!$P$7+2973))),NA()),NA())</ns0:f>
        <ns0:v/>
      </ns0:c>
      <ns0:c r="H2978">
        <ns0:f>IFERROR(IF(AND(AH!$E$4="Bloomberg",AH!$P$10=1,ISNUMBER($A2978),$A2978&lt;=AH!$P$17),AH!$P$7-1+MATCH($A2978,INDEX('AH History'!$A$1:$A$18046,AH!$P$7):INDEX('AH History'!$A$1:$A$18046,AH!$P$7+AH!$P$8-1),0),0),0)</ns0:f>
        <ns0:v/>
      </ns0:c>
      <ns0:c r="I2978">
        <ns0:f>IF($H2978=0,0,IFERROR(IF(AND(ABS($C2978-INDEX('AH History'!$B$1:$B$18046,$H2978))&lt;=MAX(0.005,ABS(INDEX('AH History'!$B$1:$B$18046,$H2978))*0.00005),ABS($D2978-INDEX('AH History'!$C$1:$C$18046,$H2978))&lt;=MAX(0.005,ABS(INDEX('AH History'!$C$1:$C$18046,$H2978))*0.00005),ABS($E2978-INDEX('AH History'!$D$1:$D$18046,$H2978))&lt;=0.00005,$F2978=INDEX('AH History'!$E$1:$E$18046,$H2978),$G2978=INDEX('AH History'!$F$1:$F$18046,$H2978)),1,-1),-1))</ns0:f>
        <ns0:v/>
      </ns0:c>
    </ns0:row>
    <ns0:row r="2979">
      <ns0:c r="A2979" s="215">
        <ns0:f>IF(OR(AH!$P$3=0,2974+1&gt;AH!$P$11,AND(AH!$E$4&lt;&gt;"Stored",AH!$P$10&lt;&gt;1)),"",IFERROR(IF(AND(AH!$P$21=1,2974+1=AH!$P$11),TODAY(),IF(AH!$P$10=1,INDEX('Live History'!$A$5:$A$3004,AH!$P$13+2974),INDEX('AH History'!$A$1:$A$18046,AH!$P$7+2974))),""))</ns0:f>
        <ns0:v/>
      </ns0:c>
      <ns0:c r="B2979" s="219">
        <ns0:f>IFERROR(IF(AND(AH!$P$9&lt;&gt;1,$C2979&gt;0,$D2979&gt;0,$E2979&gt;0,$F2979&gt;0,$G2979&gt;0,$F2979&lt;=$A2979,$G2979&lt;=$A2979,$A2979-$F2979&lt;=10,$A2979-$G2979&lt;=5),$D2979*$E2979/$C2979-1,NA()),NA())</ns0:f>
        <ns0:v/>
      </ns0:c>
      <ns0:c r="C2979">
        <ns0:f>IFERROR(IF(ISNUMBER($A2979),IF(AND(AH!$P$10=1,AH!$P$12=1,$A2979=TODAY()),AH!$P$19,IF(AH!$P$10=1,INDEX('Live History'!$B$5:$B$3004,AH!$P$13+2974),INDEX('AH History'!$B$1:$B$18046,AH!$P$7+2974))),NA()),NA())</ns0:f>
        <ns0:v/>
      </ns0:c>
      <ns0:c r="D2979">
        <ns0:f>IFERROR(IF(ISNUMBER($A2979),IF(AND(AH!$P$10=1,AH!$P$12=1,$A2979=TODAY()),AH!$P$18,IF(AH!$P$10=1,INDEX('Live History'!$E$5:$E$3004,MATCH($A2979,'Live History'!$D$5:$D$3004,1)),INDEX('AH History'!$C$1:$C$18046,AH!$P$7+2974))),NA()),NA())</ns0:f>
        <ns0:v/>
      </ns0:c>
      <ns0:c r="E2979">
        <ns0:f>IFERROR(IF(ISNUMBER($A2979),IF(AND(AH!$P$10=1,AH!$P$12=1,$A2979=TODAY()),AH!$P$20,IF(AH!$P$10=1,INDEX('Live History'!$H$5:$H$3004,MATCH($A2979,'Live History'!$G$5:$G$3004,1)),INDEX('AH History'!$D$1:$D$18046,AH!$P$7+2974))),NA()),NA())</ns0:f>
        <ns0:v/>
      </ns0:c>
      <ns0:c r="F2979">
        <ns0:f>IFERROR(IF(ISNUMBER($A2979),IF(AND(AH!$P$10=1,AH!$P$12=1,$A2979=TODAY()),IF(AND(AH!$P$10=1,AH!$P$12=1,$A2979=TODAY()),TODAY(),NA()),IF(AH!$P$10=1,INDEX('Live History'!$D$5:$D$3004,MATCH($A2979,'Live History'!$D$5:$D$3004,1)),INDEX('AH History'!$E$1:$E$18046,AH!$P$7+2974))),NA()),NA())</ns0:f>
        <ns0:v/>
      </ns0:c>
      <ns0:c r="G2979">
        <ns0:f>IFERROR(IF(ISNUMBER($A2979),IF(AND(AH!$P$10=1,AH!$P$12=1,$A2979=TODAY()),IF(AND(AH!$P$10=1,AH!$P$12=1,$A2979=TODAY()),TODAY(),NA()),IF(AH!$P$10=1,INDEX('Live History'!$G$5:$G$3004,MATCH($A2979,'Live History'!$G$5:$G$3004,1)),INDEX('AH History'!$F$1:$F$18046,AH!$P$7+2974))),NA()),NA())</ns0:f>
        <ns0:v/>
      </ns0:c>
      <ns0:c r="H2979">
        <ns0:f>IFERROR(IF(AND(AH!$E$4="Bloomberg",AH!$P$10=1,ISNUMBER($A2979),$A2979&lt;=AH!$P$17),AH!$P$7-1+MATCH($A2979,INDEX('AH History'!$A$1:$A$18046,AH!$P$7):INDEX('AH History'!$A$1:$A$18046,AH!$P$7+AH!$P$8-1),0),0),0)</ns0:f>
        <ns0:v/>
      </ns0:c>
      <ns0:c r="I2979">
        <ns0:f>IF($H2979=0,0,IFERROR(IF(AND(ABS($C2979-INDEX('AH History'!$B$1:$B$18046,$H2979))&lt;=MAX(0.005,ABS(INDEX('AH History'!$B$1:$B$18046,$H2979))*0.00005),ABS($D2979-INDEX('AH History'!$C$1:$C$18046,$H2979))&lt;=MAX(0.005,ABS(INDEX('AH History'!$C$1:$C$18046,$H2979))*0.00005),ABS($E2979-INDEX('AH History'!$D$1:$D$18046,$H2979))&lt;=0.00005,$F2979=INDEX('AH History'!$E$1:$E$18046,$H2979),$G2979=INDEX('AH History'!$F$1:$F$18046,$H2979)),1,-1),-1))</ns0:f>
        <ns0:v/>
      </ns0:c>
    </ns0:row>
    <ns0:row r="2980">
      <ns0:c r="A2980" s="215">
        <ns0:f>IF(OR(AH!$P$3=0,2975+1&gt;AH!$P$11,AND(AH!$E$4&lt;&gt;"Stored",AH!$P$10&lt;&gt;1)),"",IFERROR(IF(AND(AH!$P$21=1,2975+1=AH!$P$11),TODAY(),IF(AH!$P$10=1,INDEX('Live History'!$A$5:$A$3004,AH!$P$13+2975),INDEX('AH History'!$A$1:$A$18046,AH!$P$7+2975))),""))</ns0:f>
        <ns0:v/>
      </ns0:c>
      <ns0:c r="B2980" s="219">
        <ns0:f>IFERROR(IF(AND(AH!$P$9&lt;&gt;1,$C2980&gt;0,$D2980&gt;0,$E2980&gt;0,$F2980&gt;0,$G2980&gt;0,$F2980&lt;=$A2980,$G2980&lt;=$A2980,$A2980-$F2980&lt;=10,$A2980-$G2980&lt;=5),$D2980*$E2980/$C2980-1,NA()),NA())</ns0:f>
        <ns0:v/>
      </ns0:c>
      <ns0:c r="C2980">
        <ns0:f>IFERROR(IF(ISNUMBER($A2980),IF(AND(AH!$P$10=1,AH!$P$12=1,$A2980=TODAY()),AH!$P$19,IF(AH!$P$10=1,INDEX('Live History'!$B$5:$B$3004,AH!$P$13+2975),INDEX('AH History'!$B$1:$B$18046,AH!$P$7+2975))),NA()),NA())</ns0:f>
        <ns0:v/>
      </ns0:c>
      <ns0:c r="D2980">
        <ns0:f>IFERROR(IF(ISNUMBER($A2980),IF(AND(AH!$P$10=1,AH!$P$12=1,$A2980=TODAY()),AH!$P$18,IF(AH!$P$10=1,INDEX('Live History'!$E$5:$E$3004,MATCH($A2980,'Live History'!$D$5:$D$3004,1)),INDEX('AH History'!$C$1:$C$18046,AH!$P$7+2975))),NA()),NA())</ns0:f>
        <ns0:v/>
      </ns0:c>
      <ns0:c r="E2980">
        <ns0:f>IFERROR(IF(ISNUMBER($A2980),IF(AND(AH!$P$10=1,AH!$P$12=1,$A2980=TODAY()),AH!$P$20,IF(AH!$P$10=1,INDEX('Live History'!$H$5:$H$3004,MATCH($A2980,'Live History'!$G$5:$G$3004,1)),INDEX('AH History'!$D$1:$D$18046,AH!$P$7+2975))),NA()),NA())</ns0:f>
        <ns0:v/>
      </ns0:c>
      <ns0:c r="F2980">
        <ns0:f>IFERROR(IF(ISNUMBER($A2980),IF(AND(AH!$P$10=1,AH!$P$12=1,$A2980=TODAY()),IF(AND(AH!$P$10=1,AH!$P$12=1,$A2980=TODAY()),TODAY(),NA()),IF(AH!$P$10=1,INDEX('Live History'!$D$5:$D$3004,MATCH($A2980,'Live History'!$D$5:$D$3004,1)),INDEX('AH History'!$E$1:$E$18046,AH!$P$7+2975))),NA()),NA())</ns0:f>
        <ns0:v/>
      </ns0:c>
      <ns0:c r="G2980">
        <ns0:f>IFERROR(IF(ISNUMBER($A2980),IF(AND(AH!$P$10=1,AH!$P$12=1,$A2980=TODAY()),IF(AND(AH!$P$10=1,AH!$P$12=1,$A2980=TODAY()),TODAY(),NA()),IF(AH!$P$10=1,INDEX('Live History'!$G$5:$G$3004,MATCH($A2980,'Live History'!$G$5:$G$3004,1)),INDEX('AH History'!$F$1:$F$18046,AH!$P$7+2975))),NA()),NA())</ns0:f>
        <ns0:v/>
      </ns0:c>
      <ns0:c r="H2980">
        <ns0:f>IFERROR(IF(AND(AH!$E$4="Bloomberg",AH!$P$10=1,ISNUMBER($A2980),$A2980&lt;=AH!$P$17),AH!$P$7-1+MATCH($A2980,INDEX('AH History'!$A$1:$A$18046,AH!$P$7):INDEX('AH History'!$A$1:$A$18046,AH!$P$7+AH!$P$8-1),0),0),0)</ns0:f>
        <ns0:v/>
      </ns0:c>
      <ns0:c r="I2980">
        <ns0:f>IF($H2980=0,0,IFERROR(IF(AND(ABS($C2980-INDEX('AH History'!$B$1:$B$18046,$H2980))&lt;=MAX(0.005,ABS(INDEX('AH History'!$B$1:$B$18046,$H2980))*0.00005),ABS($D2980-INDEX('AH History'!$C$1:$C$18046,$H2980))&lt;=MAX(0.005,ABS(INDEX('AH History'!$C$1:$C$18046,$H2980))*0.00005),ABS($E2980-INDEX('AH History'!$D$1:$D$18046,$H2980))&lt;=0.00005,$F2980=INDEX('AH History'!$E$1:$E$18046,$H2980),$G2980=INDEX('AH History'!$F$1:$F$18046,$H2980)),1,-1),-1))</ns0:f>
        <ns0:v/>
      </ns0:c>
    </ns0:row>
    <ns0:row r="2981">
      <ns0:c r="A2981" s="215">
        <ns0:f>IF(OR(AH!$P$3=0,2976+1&gt;AH!$P$11,AND(AH!$E$4&lt;&gt;"Stored",AH!$P$10&lt;&gt;1)),"",IFERROR(IF(AND(AH!$P$21=1,2976+1=AH!$P$11),TODAY(),IF(AH!$P$10=1,INDEX('Live History'!$A$5:$A$3004,AH!$P$13+2976),INDEX('AH History'!$A$1:$A$18046,AH!$P$7+2976))),""))</ns0:f>
        <ns0:v/>
      </ns0:c>
      <ns0:c r="B2981" s="219">
        <ns0:f>IFERROR(IF(AND(AH!$P$9&lt;&gt;1,$C2981&gt;0,$D2981&gt;0,$E2981&gt;0,$F2981&gt;0,$G2981&gt;0,$F2981&lt;=$A2981,$G2981&lt;=$A2981,$A2981-$F2981&lt;=10,$A2981-$G2981&lt;=5),$D2981*$E2981/$C2981-1,NA()),NA())</ns0:f>
        <ns0:v/>
      </ns0:c>
      <ns0:c r="C2981">
        <ns0:f>IFERROR(IF(ISNUMBER($A2981),IF(AND(AH!$P$10=1,AH!$P$12=1,$A2981=TODAY()),AH!$P$19,IF(AH!$P$10=1,INDEX('Live History'!$B$5:$B$3004,AH!$P$13+2976),INDEX('AH History'!$B$1:$B$18046,AH!$P$7+2976))),NA()),NA())</ns0:f>
        <ns0:v/>
      </ns0:c>
      <ns0:c r="D2981">
        <ns0:f>IFERROR(IF(ISNUMBER($A2981),IF(AND(AH!$P$10=1,AH!$P$12=1,$A2981=TODAY()),AH!$P$18,IF(AH!$P$10=1,INDEX('Live History'!$E$5:$E$3004,MATCH($A2981,'Live History'!$D$5:$D$3004,1)),INDEX('AH History'!$C$1:$C$18046,AH!$P$7+2976))),NA()),NA())</ns0:f>
        <ns0:v/>
      </ns0:c>
      <ns0:c r="E2981">
        <ns0:f>IFERROR(IF(ISNUMBER($A2981),IF(AND(AH!$P$10=1,AH!$P$12=1,$A2981=TODAY()),AH!$P$20,IF(AH!$P$10=1,INDEX('Live History'!$H$5:$H$3004,MATCH($A2981,'Live History'!$G$5:$G$3004,1)),INDEX('AH History'!$D$1:$D$18046,AH!$P$7+2976))),NA()),NA())</ns0:f>
        <ns0:v/>
      </ns0:c>
      <ns0:c r="F2981">
        <ns0:f>IFERROR(IF(ISNUMBER($A2981),IF(AND(AH!$P$10=1,AH!$P$12=1,$A2981=TODAY()),IF(AND(AH!$P$10=1,AH!$P$12=1,$A2981=TODAY()),TODAY(),NA()),IF(AH!$P$10=1,INDEX('Live History'!$D$5:$D$3004,MATCH($A2981,'Live History'!$D$5:$D$3004,1)),INDEX('AH History'!$E$1:$E$18046,AH!$P$7+2976))),NA()),NA())</ns0:f>
        <ns0:v/>
      </ns0:c>
      <ns0:c r="G2981">
        <ns0:f>IFERROR(IF(ISNUMBER($A2981),IF(AND(AH!$P$10=1,AH!$P$12=1,$A2981=TODAY()),IF(AND(AH!$P$10=1,AH!$P$12=1,$A2981=TODAY()),TODAY(),NA()),IF(AH!$P$10=1,INDEX('Live History'!$G$5:$G$3004,MATCH($A2981,'Live History'!$G$5:$G$3004,1)),INDEX('AH History'!$F$1:$F$18046,AH!$P$7+2976))),NA()),NA())</ns0:f>
        <ns0:v/>
      </ns0:c>
      <ns0:c r="H2981">
        <ns0:f>IFERROR(IF(AND(AH!$E$4="Bloomberg",AH!$P$10=1,ISNUMBER($A2981),$A2981&lt;=AH!$P$17),AH!$P$7-1+MATCH($A2981,INDEX('AH History'!$A$1:$A$18046,AH!$P$7):INDEX('AH History'!$A$1:$A$18046,AH!$P$7+AH!$P$8-1),0),0),0)</ns0:f>
        <ns0:v/>
      </ns0:c>
      <ns0:c r="I2981">
        <ns0:f>IF($H2981=0,0,IFERROR(IF(AND(ABS($C2981-INDEX('AH History'!$B$1:$B$18046,$H2981))&lt;=MAX(0.005,ABS(INDEX('AH History'!$B$1:$B$18046,$H2981))*0.00005),ABS($D2981-INDEX('AH History'!$C$1:$C$18046,$H2981))&lt;=MAX(0.005,ABS(INDEX('AH History'!$C$1:$C$18046,$H2981))*0.00005),ABS($E2981-INDEX('AH History'!$D$1:$D$18046,$H2981))&lt;=0.00005,$F2981=INDEX('AH History'!$E$1:$E$18046,$H2981),$G2981=INDEX('AH History'!$F$1:$F$18046,$H2981)),1,-1),-1))</ns0:f>
        <ns0:v/>
      </ns0:c>
    </ns0:row>
    <ns0:row r="2982">
      <ns0:c r="A2982" s="215">
        <ns0:f>IF(OR(AH!$P$3=0,2977+1&gt;AH!$P$11,AND(AH!$E$4&lt;&gt;"Stored",AH!$P$10&lt;&gt;1)),"",IFERROR(IF(AND(AH!$P$21=1,2977+1=AH!$P$11),TODAY(),IF(AH!$P$10=1,INDEX('Live History'!$A$5:$A$3004,AH!$P$13+2977),INDEX('AH History'!$A$1:$A$18046,AH!$P$7+2977))),""))</ns0:f>
        <ns0:v/>
      </ns0:c>
      <ns0:c r="B2982" s="219">
        <ns0:f>IFERROR(IF(AND(AH!$P$9&lt;&gt;1,$C2982&gt;0,$D2982&gt;0,$E2982&gt;0,$F2982&gt;0,$G2982&gt;0,$F2982&lt;=$A2982,$G2982&lt;=$A2982,$A2982-$F2982&lt;=10,$A2982-$G2982&lt;=5),$D2982*$E2982/$C2982-1,NA()),NA())</ns0:f>
        <ns0:v/>
      </ns0:c>
      <ns0:c r="C2982">
        <ns0:f>IFERROR(IF(ISNUMBER($A2982),IF(AND(AH!$P$10=1,AH!$P$12=1,$A2982=TODAY()),AH!$P$19,IF(AH!$P$10=1,INDEX('Live History'!$B$5:$B$3004,AH!$P$13+2977),INDEX('AH History'!$B$1:$B$18046,AH!$P$7+2977))),NA()),NA())</ns0:f>
        <ns0:v/>
      </ns0:c>
      <ns0:c r="D2982">
        <ns0:f>IFERROR(IF(ISNUMBER($A2982),IF(AND(AH!$P$10=1,AH!$P$12=1,$A2982=TODAY()),AH!$P$18,IF(AH!$P$10=1,INDEX('Live History'!$E$5:$E$3004,MATCH($A2982,'Live History'!$D$5:$D$3004,1)),INDEX('AH History'!$C$1:$C$18046,AH!$P$7+2977))),NA()),NA())</ns0:f>
        <ns0:v/>
      </ns0:c>
      <ns0:c r="E2982">
        <ns0:f>IFERROR(IF(ISNUMBER($A2982),IF(AND(AH!$P$10=1,AH!$P$12=1,$A2982=TODAY()),AH!$P$20,IF(AH!$P$10=1,INDEX('Live History'!$H$5:$H$3004,MATCH($A2982,'Live History'!$G$5:$G$3004,1)),INDEX('AH History'!$D$1:$D$18046,AH!$P$7+2977))),NA()),NA())</ns0:f>
        <ns0:v/>
      </ns0:c>
      <ns0:c r="F2982">
        <ns0:f>IFERROR(IF(ISNUMBER($A2982),IF(AND(AH!$P$10=1,AH!$P$12=1,$A2982=TODAY()),IF(AND(AH!$P$10=1,AH!$P$12=1,$A2982=TODAY()),TODAY(),NA()),IF(AH!$P$10=1,INDEX('Live History'!$D$5:$D$3004,MATCH($A2982,'Live History'!$D$5:$D$3004,1)),INDEX('AH History'!$E$1:$E$18046,AH!$P$7+2977))),NA()),NA())</ns0:f>
        <ns0:v/>
      </ns0:c>
      <ns0:c r="G2982">
        <ns0:f>IFERROR(IF(ISNUMBER($A2982),IF(AND(AH!$P$10=1,AH!$P$12=1,$A2982=TODAY()),IF(AND(AH!$P$10=1,AH!$P$12=1,$A2982=TODAY()),TODAY(),NA()),IF(AH!$P$10=1,INDEX('Live History'!$G$5:$G$3004,MATCH($A2982,'Live History'!$G$5:$G$3004,1)),INDEX('AH History'!$F$1:$F$18046,AH!$P$7+2977))),NA()),NA())</ns0:f>
        <ns0:v/>
      </ns0:c>
      <ns0:c r="H2982">
        <ns0:f>IFERROR(IF(AND(AH!$E$4="Bloomberg",AH!$P$10=1,ISNUMBER($A2982),$A2982&lt;=AH!$P$17),AH!$P$7-1+MATCH($A2982,INDEX('AH History'!$A$1:$A$18046,AH!$P$7):INDEX('AH History'!$A$1:$A$18046,AH!$P$7+AH!$P$8-1),0),0),0)</ns0:f>
        <ns0:v/>
      </ns0:c>
      <ns0:c r="I2982">
        <ns0:f>IF($H2982=0,0,IFERROR(IF(AND(ABS($C2982-INDEX('AH History'!$B$1:$B$18046,$H2982))&lt;=MAX(0.005,ABS(INDEX('AH History'!$B$1:$B$18046,$H2982))*0.00005),ABS($D2982-INDEX('AH History'!$C$1:$C$18046,$H2982))&lt;=MAX(0.005,ABS(INDEX('AH History'!$C$1:$C$18046,$H2982))*0.00005),ABS($E2982-INDEX('AH History'!$D$1:$D$18046,$H2982))&lt;=0.00005,$F2982=INDEX('AH History'!$E$1:$E$18046,$H2982),$G2982=INDEX('AH History'!$F$1:$F$18046,$H2982)),1,-1),-1))</ns0:f>
        <ns0:v/>
      </ns0:c>
    </ns0:row>
    <ns0:row r="2983">
      <ns0:c r="A2983" s="215">
        <ns0:f>IF(OR(AH!$P$3=0,2978+1&gt;AH!$P$11,AND(AH!$E$4&lt;&gt;"Stored",AH!$P$10&lt;&gt;1)),"",IFERROR(IF(AND(AH!$P$21=1,2978+1=AH!$P$11),TODAY(),IF(AH!$P$10=1,INDEX('Live History'!$A$5:$A$3004,AH!$P$13+2978),INDEX('AH History'!$A$1:$A$18046,AH!$P$7+2978))),""))</ns0:f>
        <ns0:v/>
      </ns0:c>
      <ns0:c r="B2983" s="219">
        <ns0:f>IFERROR(IF(AND(AH!$P$9&lt;&gt;1,$C2983&gt;0,$D2983&gt;0,$E2983&gt;0,$F2983&gt;0,$G2983&gt;0,$F2983&lt;=$A2983,$G2983&lt;=$A2983,$A2983-$F2983&lt;=10,$A2983-$G2983&lt;=5),$D2983*$E2983/$C2983-1,NA()),NA())</ns0:f>
        <ns0:v/>
      </ns0:c>
      <ns0:c r="C2983">
        <ns0:f>IFERROR(IF(ISNUMBER($A2983),IF(AND(AH!$P$10=1,AH!$P$12=1,$A2983=TODAY()),AH!$P$19,IF(AH!$P$10=1,INDEX('Live History'!$B$5:$B$3004,AH!$P$13+2978),INDEX('AH History'!$B$1:$B$18046,AH!$P$7+2978))),NA()),NA())</ns0:f>
        <ns0:v/>
      </ns0:c>
      <ns0:c r="D2983">
        <ns0:f>IFERROR(IF(ISNUMBER($A2983),IF(AND(AH!$P$10=1,AH!$P$12=1,$A2983=TODAY()),AH!$P$18,IF(AH!$P$10=1,INDEX('Live History'!$E$5:$E$3004,MATCH($A2983,'Live History'!$D$5:$D$3004,1)),INDEX('AH History'!$C$1:$C$18046,AH!$P$7+2978))),NA()),NA())</ns0:f>
        <ns0:v/>
      </ns0:c>
      <ns0:c r="E2983">
        <ns0:f>IFERROR(IF(ISNUMBER($A2983),IF(AND(AH!$P$10=1,AH!$P$12=1,$A2983=TODAY()),AH!$P$20,IF(AH!$P$10=1,INDEX('Live History'!$H$5:$H$3004,MATCH($A2983,'Live History'!$G$5:$G$3004,1)),INDEX('AH History'!$D$1:$D$18046,AH!$P$7+2978))),NA()),NA())</ns0:f>
        <ns0:v/>
      </ns0:c>
      <ns0:c r="F2983">
        <ns0:f>IFERROR(IF(ISNUMBER($A2983),IF(AND(AH!$P$10=1,AH!$P$12=1,$A2983=TODAY()),IF(AND(AH!$P$10=1,AH!$P$12=1,$A2983=TODAY()),TODAY(),NA()),IF(AH!$P$10=1,INDEX('Live History'!$D$5:$D$3004,MATCH($A2983,'Live History'!$D$5:$D$3004,1)),INDEX('AH History'!$E$1:$E$18046,AH!$P$7+2978))),NA()),NA())</ns0:f>
        <ns0:v/>
      </ns0:c>
      <ns0:c r="G2983">
        <ns0:f>IFERROR(IF(ISNUMBER($A2983),IF(AND(AH!$P$10=1,AH!$P$12=1,$A2983=TODAY()),IF(AND(AH!$P$10=1,AH!$P$12=1,$A2983=TODAY()),TODAY(),NA()),IF(AH!$P$10=1,INDEX('Live History'!$G$5:$G$3004,MATCH($A2983,'Live History'!$G$5:$G$3004,1)),INDEX('AH History'!$F$1:$F$18046,AH!$P$7+2978))),NA()),NA())</ns0:f>
        <ns0:v/>
      </ns0:c>
      <ns0:c r="H2983">
        <ns0:f>IFERROR(IF(AND(AH!$E$4="Bloomberg",AH!$P$10=1,ISNUMBER($A2983),$A2983&lt;=AH!$P$17),AH!$P$7-1+MATCH($A2983,INDEX('AH History'!$A$1:$A$18046,AH!$P$7):INDEX('AH History'!$A$1:$A$18046,AH!$P$7+AH!$P$8-1),0),0),0)</ns0:f>
        <ns0:v/>
      </ns0:c>
      <ns0:c r="I2983">
        <ns0:f>IF($H2983=0,0,IFERROR(IF(AND(ABS($C2983-INDEX('AH History'!$B$1:$B$18046,$H2983))&lt;=MAX(0.005,ABS(INDEX('AH History'!$B$1:$B$18046,$H2983))*0.00005),ABS($D2983-INDEX('AH History'!$C$1:$C$18046,$H2983))&lt;=MAX(0.005,ABS(INDEX('AH History'!$C$1:$C$18046,$H2983))*0.00005),ABS($E2983-INDEX('AH History'!$D$1:$D$18046,$H2983))&lt;=0.00005,$F2983=INDEX('AH History'!$E$1:$E$18046,$H2983),$G2983=INDEX('AH History'!$F$1:$F$18046,$H2983)),1,-1),-1))</ns0:f>
        <ns0:v/>
      </ns0:c>
    </ns0:row>
    <ns0:row r="2984">
      <ns0:c r="A2984" s="215">
        <ns0:f>IF(OR(AH!$P$3=0,2979+1&gt;AH!$P$11,AND(AH!$E$4&lt;&gt;"Stored",AH!$P$10&lt;&gt;1)),"",IFERROR(IF(AND(AH!$P$21=1,2979+1=AH!$P$11),TODAY(),IF(AH!$P$10=1,INDEX('Live History'!$A$5:$A$3004,AH!$P$13+2979),INDEX('AH History'!$A$1:$A$18046,AH!$P$7+2979))),""))</ns0:f>
        <ns0:v/>
      </ns0:c>
      <ns0:c r="B2984" s="219">
        <ns0:f>IFERROR(IF(AND(AH!$P$9&lt;&gt;1,$C2984&gt;0,$D2984&gt;0,$E2984&gt;0,$F2984&gt;0,$G2984&gt;0,$F2984&lt;=$A2984,$G2984&lt;=$A2984,$A2984-$F2984&lt;=10,$A2984-$G2984&lt;=5),$D2984*$E2984/$C2984-1,NA()),NA())</ns0:f>
        <ns0:v/>
      </ns0:c>
      <ns0:c r="C2984">
        <ns0:f>IFERROR(IF(ISNUMBER($A2984),IF(AND(AH!$P$10=1,AH!$P$12=1,$A2984=TODAY()),AH!$P$19,IF(AH!$P$10=1,INDEX('Live History'!$B$5:$B$3004,AH!$P$13+2979),INDEX('AH History'!$B$1:$B$18046,AH!$P$7+2979))),NA()),NA())</ns0:f>
        <ns0:v/>
      </ns0:c>
      <ns0:c r="D2984">
        <ns0:f>IFERROR(IF(ISNUMBER($A2984),IF(AND(AH!$P$10=1,AH!$P$12=1,$A2984=TODAY()),AH!$P$18,IF(AH!$P$10=1,INDEX('Live History'!$E$5:$E$3004,MATCH($A2984,'Live History'!$D$5:$D$3004,1)),INDEX('AH History'!$C$1:$C$18046,AH!$P$7+2979))),NA()),NA())</ns0:f>
        <ns0:v/>
      </ns0:c>
      <ns0:c r="E2984">
        <ns0:f>IFERROR(IF(ISNUMBER($A2984),IF(AND(AH!$P$10=1,AH!$P$12=1,$A2984=TODAY()),AH!$P$20,IF(AH!$P$10=1,INDEX('Live History'!$H$5:$H$3004,MATCH($A2984,'Live History'!$G$5:$G$3004,1)),INDEX('AH History'!$D$1:$D$18046,AH!$P$7+2979))),NA()),NA())</ns0:f>
        <ns0:v/>
      </ns0:c>
      <ns0:c r="F2984">
        <ns0:f>IFERROR(IF(ISNUMBER($A2984),IF(AND(AH!$P$10=1,AH!$P$12=1,$A2984=TODAY()),IF(AND(AH!$P$10=1,AH!$P$12=1,$A2984=TODAY()),TODAY(),NA()),IF(AH!$P$10=1,INDEX('Live History'!$D$5:$D$3004,MATCH($A2984,'Live History'!$D$5:$D$3004,1)),INDEX('AH History'!$E$1:$E$18046,AH!$P$7+2979))),NA()),NA())</ns0:f>
        <ns0:v/>
      </ns0:c>
      <ns0:c r="G2984">
        <ns0:f>IFERROR(IF(ISNUMBER($A2984),IF(AND(AH!$P$10=1,AH!$P$12=1,$A2984=TODAY()),IF(AND(AH!$P$10=1,AH!$P$12=1,$A2984=TODAY()),TODAY(),NA()),IF(AH!$P$10=1,INDEX('Live History'!$G$5:$G$3004,MATCH($A2984,'Live History'!$G$5:$G$3004,1)),INDEX('AH History'!$F$1:$F$18046,AH!$P$7+2979))),NA()),NA())</ns0:f>
        <ns0:v/>
      </ns0:c>
      <ns0:c r="H2984">
        <ns0:f>IFERROR(IF(AND(AH!$E$4="Bloomberg",AH!$P$10=1,ISNUMBER($A2984),$A2984&lt;=AH!$P$17),AH!$P$7-1+MATCH($A2984,INDEX('AH History'!$A$1:$A$18046,AH!$P$7):INDEX('AH History'!$A$1:$A$18046,AH!$P$7+AH!$P$8-1),0),0),0)</ns0:f>
        <ns0:v/>
      </ns0:c>
      <ns0:c r="I2984">
        <ns0:f>IF($H2984=0,0,IFERROR(IF(AND(ABS($C2984-INDEX('AH History'!$B$1:$B$18046,$H2984))&lt;=MAX(0.005,ABS(INDEX('AH History'!$B$1:$B$18046,$H2984))*0.00005),ABS($D2984-INDEX('AH History'!$C$1:$C$18046,$H2984))&lt;=MAX(0.005,ABS(INDEX('AH History'!$C$1:$C$18046,$H2984))*0.00005),ABS($E2984-INDEX('AH History'!$D$1:$D$18046,$H2984))&lt;=0.00005,$F2984=INDEX('AH History'!$E$1:$E$18046,$H2984),$G2984=INDEX('AH History'!$F$1:$F$18046,$H2984)),1,-1),-1))</ns0:f>
        <ns0:v/>
      </ns0:c>
    </ns0:row>
    <ns0:row r="2985">
      <ns0:c r="A2985" s="215">
        <ns0:f>IF(OR(AH!$P$3=0,2980+1&gt;AH!$P$11,AND(AH!$E$4&lt;&gt;"Stored",AH!$P$10&lt;&gt;1)),"",IFERROR(IF(AND(AH!$P$21=1,2980+1=AH!$P$11),TODAY(),IF(AH!$P$10=1,INDEX('Live History'!$A$5:$A$3004,AH!$P$13+2980),INDEX('AH History'!$A$1:$A$18046,AH!$P$7+2980))),""))</ns0:f>
        <ns0:v/>
      </ns0:c>
      <ns0:c r="B2985" s="219">
        <ns0:f>IFERROR(IF(AND(AH!$P$9&lt;&gt;1,$C2985&gt;0,$D2985&gt;0,$E2985&gt;0,$F2985&gt;0,$G2985&gt;0,$F2985&lt;=$A2985,$G2985&lt;=$A2985,$A2985-$F2985&lt;=10,$A2985-$G2985&lt;=5),$D2985*$E2985/$C2985-1,NA()),NA())</ns0:f>
        <ns0:v/>
      </ns0:c>
      <ns0:c r="C2985">
        <ns0:f>IFERROR(IF(ISNUMBER($A2985),IF(AND(AH!$P$10=1,AH!$P$12=1,$A2985=TODAY()),AH!$P$19,IF(AH!$P$10=1,INDEX('Live History'!$B$5:$B$3004,AH!$P$13+2980),INDEX('AH History'!$B$1:$B$18046,AH!$P$7+2980))),NA()),NA())</ns0:f>
        <ns0:v/>
      </ns0:c>
      <ns0:c r="D2985">
        <ns0:f>IFERROR(IF(ISNUMBER($A2985),IF(AND(AH!$P$10=1,AH!$P$12=1,$A2985=TODAY()),AH!$P$18,IF(AH!$P$10=1,INDEX('Live History'!$E$5:$E$3004,MATCH($A2985,'Live History'!$D$5:$D$3004,1)),INDEX('AH History'!$C$1:$C$18046,AH!$P$7+2980))),NA()),NA())</ns0:f>
        <ns0:v/>
      </ns0:c>
      <ns0:c r="E2985">
        <ns0:f>IFERROR(IF(ISNUMBER($A2985),IF(AND(AH!$P$10=1,AH!$P$12=1,$A2985=TODAY()),AH!$P$20,IF(AH!$P$10=1,INDEX('Live History'!$H$5:$H$3004,MATCH($A2985,'Live History'!$G$5:$G$3004,1)),INDEX('AH History'!$D$1:$D$18046,AH!$P$7+2980))),NA()),NA())</ns0:f>
        <ns0:v/>
      </ns0:c>
      <ns0:c r="F2985">
        <ns0:f>IFERROR(IF(ISNUMBER($A2985),IF(AND(AH!$P$10=1,AH!$P$12=1,$A2985=TODAY()),IF(AND(AH!$P$10=1,AH!$P$12=1,$A2985=TODAY()),TODAY(),NA()),IF(AH!$P$10=1,INDEX('Live History'!$D$5:$D$3004,MATCH($A2985,'Live History'!$D$5:$D$3004,1)),INDEX('AH History'!$E$1:$E$18046,AH!$P$7+2980))),NA()),NA())</ns0:f>
        <ns0:v/>
      </ns0:c>
      <ns0:c r="G2985">
        <ns0:f>IFERROR(IF(ISNUMBER($A2985),IF(AND(AH!$P$10=1,AH!$P$12=1,$A2985=TODAY()),IF(AND(AH!$P$10=1,AH!$P$12=1,$A2985=TODAY()),TODAY(),NA()),IF(AH!$P$10=1,INDEX('Live History'!$G$5:$G$3004,MATCH($A2985,'Live History'!$G$5:$G$3004,1)),INDEX('AH History'!$F$1:$F$18046,AH!$P$7+2980))),NA()),NA())</ns0:f>
        <ns0:v/>
      </ns0:c>
      <ns0:c r="H2985">
        <ns0:f>IFERROR(IF(AND(AH!$E$4="Bloomberg",AH!$P$10=1,ISNUMBER($A2985),$A2985&lt;=AH!$P$17),AH!$P$7-1+MATCH($A2985,INDEX('AH History'!$A$1:$A$18046,AH!$P$7):INDEX('AH History'!$A$1:$A$18046,AH!$P$7+AH!$P$8-1),0),0),0)</ns0:f>
        <ns0:v/>
      </ns0:c>
      <ns0:c r="I2985">
        <ns0:f>IF($H2985=0,0,IFERROR(IF(AND(ABS($C2985-INDEX('AH History'!$B$1:$B$18046,$H2985))&lt;=MAX(0.005,ABS(INDEX('AH History'!$B$1:$B$18046,$H2985))*0.00005),ABS($D2985-INDEX('AH History'!$C$1:$C$18046,$H2985))&lt;=MAX(0.005,ABS(INDEX('AH History'!$C$1:$C$18046,$H2985))*0.00005),ABS($E2985-INDEX('AH History'!$D$1:$D$18046,$H2985))&lt;=0.00005,$F2985=INDEX('AH History'!$E$1:$E$18046,$H2985),$G2985=INDEX('AH History'!$F$1:$F$18046,$H2985)),1,-1),-1))</ns0:f>
        <ns0:v/>
      </ns0:c>
    </ns0:row>
    <ns0:row r="2986">
      <ns0:c r="A2986" s="215">
        <ns0:f>IF(OR(AH!$P$3=0,2981+1&gt;AH!$P$11,AND(AH!$E$4&lt;&gt;"Stored",AH!$P$10&lt;&gt;1)),"",IFERROR(IF(AND(AH!$P$21=1,2981+1=AH!$P$11),TODAY(),IF(AH!$P$10=1,INDEX('Live History'!$A$5:$A$3004,AH!$P$13+2981),INDEX('AH History'!$A$1:$A$18046,AH!$P$7+2981))),""))</ns0:f>
        <ns0:v/>
      </ns0:c>
      <ns0:c r="B2986" s="219">
        <ns0:f>IFERROR(IF(AND(AH!$P$9&lt;&gt;1,$C2986&gt;0,$D2986&gt;0,$E2986&gt;0,$F2986&gt;0,$G2986&gt;0,$F2986&lt;=$A2986,$G2986&lt;=$A2986,$A2986-$F2986&lt;=10,$A2986-$G2986&lt;=5),$D2986*$E2986/$C2986-1,NA()),NA())</ns0:f>
        <ns0:v/>
      </ns0:c>
      <ns0:c r="C2986">
        <ns0:f>IFERROR(IF(ISNUMBER($A2986),IF(AND(AH!$P$10=1,AH!$P$12=1,$A2986=TODAY()),AH!$P$19,IF(AH!$P$10=1,INDEX('Live History'!$B$5:$B$3004,AH!$P$13+2981),INDEX('AH History'!$B$1:$B$18046,AH!$P$7+2981))),NA()),NA())</ns0:f>
        <ns0:v/>
      </ns0:c>
      <ns0:c r="D2986">
        <ns0:f>IFERROR(IF(ISNUMBER($A2986),IF(AND(AH!$P$10=1,AH!$P$12=1,$A2986=TODAY()),AH!$P$18,IF(AH!$P$10=1,INDEX('Live History'!$E$5:$E$3004,MATCH($A2986,'Live History'!$D$5:$D$3004,1)),INDEX('AH History'!$C$1:$C$18046,AH!$P$7+2981))),NA()),NA())</ns0:f>
        <ns0:v/>
      </ns0:c>
      <ns0:c r="E2986">
        <ns0:f>IFERROR(IF(ISNUMBER($A2986),IF(AND(AH!$P$10=1,AH!$P$12=1,$A2986=TODAY()),AH!$P$20,IF(AH!$P$10=1,INDEX('Live History'!$H$5:$H$3004,MATCH($A2986,'Live History'!$G$5:$G$3004,1)),INDEX('AH History'!$D$1:$D$18046,AH!$P$7+2981))),NA()),NA())</ns0:f>
        <ns0:v/>
      </ns0:c>
      <ns0:c r="F2986">
        <ns0:f>IFERROR(IF(ISNUMBER($A2986),IF(AND(AH!$P$10=1,AH!$P$12=1,$A2986=TODAY()),IF(AND(AH!$P$10=1,AH!$P$12=1,$A2986=TODAY()),TODAY(),NA()),IF(AH!$P$10=1,INDEX('Live History'!$D$5:$D$3004,MATCH($A2986,'Live History'!$D$5:$D$3004,1)),INDEX('AH History'!$E$1:$E$18046,AH!$P$7+2981))),NA()),NA())</ns0:f>
        <ns0:v/>
      </ns0:c>
      <ns0:c r="G2986">
        <ns0:f>IFERROR(IF(ISNUMBER($A2986),IF(AND(AH!$P$10=1,AH!$P$12=1,$A2986=TODAY()),IF(AND(AH!$P$10=1,AH!$P$12=1,$A2986=TODAY()),TODAY(),NA()),IF(AH!$P$10=1,INDEX('Live History'!$G$5:$G$3004,MATCH($A2986,'Live History'!$G$5:$G$3004,1)),INDEX('AH History'!$F$1:$F$18046,AH!$P$7+2981))),NA()),NA())</ns0:f>
        <ns0:v/>
      </ns0:c>
      <ns0:c r="H2986">
        <ns0:f>IFERROR(IF(AND(AH!$E$4="Bloomberg",AH!$P$10=1,ISNUMBER($A2986),$A2986&lt;=AH!$P$17),AH!$P$7-1+MATCH($A2986,INDEX('AH History'!$A$1:$A$18046,AH!$P$7):INDEX('AH History'!$A$1:$A$18046,AH!$P$7+AH!$P$8-1),0),0),0)</ns0:f>
        <ns0:v/>
      </ns0:c>
      <ns0:c r="I2986">
        <ns0:f>IF($H2986=0,0,IFERROR(IF(AND(ABS($C2986-INDEX('AH History'!$B$1:$B$18046,$H2986))&lt;=MAX(0.005,ABS(INDEX('AH History'!$B$1:$B$18046,$H2986))*0.00005),ABS($D2986-INDEX('AH History'!$C$1:$C$18046,$H2986))&lt;=MAX(0.005,ABS(INDEX('AH History'!$C$1:$C$18046,$H2986))*0.00005),ABS($E2986-INDEX('AH History'!$D$1:$D$18046,$H2986))&lt;=0.00005,$F2986=INDEX('AH History'!$E$1:$E$18046,$H2986),$G2986=INDEX('AH History'!$F$1:$F$18046,$H2986)),1,-1),-1))</ns0:f>
        <ns0:v/>
      </ns0:c>
    </ns0:row>
    <ns0:row r="2987">
      <ns0:c r="A2987" s="215">
        <ns0:f>IF(OR(AH!$P$3=0,2982+1&gt;AH!$P$11,AND(AH!$E$4&lt;&gt;"Stored",AH!$P$10&lt;&gt;1)),"",IFERROR(IF(AND(AH!$P$21=1,2982+1=AH!$P$11),TODAY(),IF(AH!$P$10=1,INDEX('Live History'!$A$5:$A$3004,AH!$P$13+2982),INDEX('AH History'!$A$1:$A$18046,AH!$P$7+2982))),""))</ns0:f>
        <ns0:v/>
      </ns0:c>
      <ns0:c r="B2987" s="219">
        <ns0:f>IFERROR(IF(AND(AH!$P$9&lt;&gt;1,$C2987&gt;0,$D2987&gt;0,$E2987&gt;0,$F2987&gt;0,$G2987&gt;0,$F2987&lt;=$A2987,$G2987&lt;=$A2987,$A2987-$F2987&lt;=10,$A2987-$G2987&lt;=5),$D2987*$E2987/$C2987-1,NA()),NA())</ns0:f>
        <ns0:v/>
      </ns0:c>
      <ns0:c r="C2987">
        <ns0:f>IFERROR(IF(ISNUMBER($A2987),IF(AND(AH!$P$10=1,AH!$P$12=1,$A2987=TODAY()),AH!$P$19,IF(AH!$P$10=1,INDEX('Live History'!$B$5:$B$3004,AH!$P$13+2982),INDEX('AH History'!$B$1:$B$18046,AH!$P$7+2982))),NA()),NA())</ns0:f>
        <ns0:v/>
      </ns0:c>
      <ns0:c r="D2987">
        <ns0:f>IFERROR(IF(ISNUMBER($A2987),IF(AND(AH!$P$10=1,AH!$P$12=1,$A2987=TODAY()),AH!$P$18,IF(AH!$P$10=1,INDEX('Live History'!$E$5:$E$3004,MATCH($A2987,'Live History'!$D$5:$D$3004,1)),INDEX('AH History'!$C$1:$C$18046,AH!$P$7+2982))),NA()),NA())</ns0:f>
        <ns0:v/>
      </ns0:c>
      <ns0:c r="E2987">
        <ns0:f>IFERROR(IF(ISNUMBER($A2987),IF(AND(AH!$P$10=1,AH!$P$12=1,$A2987=TODAY()),AH!$P$20,IF(AH!$P$10=1,INDEX('Live History'!$H$5:$H$3004,MATCH($A2987,'Live History'!$G$5:$G$3004,1)),INDEX('AH History'!$D$1:$D$18046,AH!$P$7+2982))),NA()),NA())</ns0:f>
        <ns0:v/>
      </ns0:c>
      <ns0:c r="F2987">
        <ns0:f>IFERROR(IF(ISNUMBER($A2987),IF(AND(AH!$P$10=1,AH!$P$12=1,$A2987=TODAY()),IF(AND(AH!$P$10=1,AH!$P$12=1,$A2987=TODAY()),TODAY(),NA()),IF(AH!$P$10=1,INDEX('Live History'!$D$5:$D$3004,MATCH($A2987,'Live History'!$D$5:$D$3004,1)),INDEX('AH History'!$E$1:$E$18046,AH!$P$7+2982))),NA()),NA())</ns0:f>
        <ns0:v/>
      </ns0:c>
      <ns0:c r="G2987">
        <ns0:f>IFERROR(IF(ISNUMBER($A2987),IF(AND(AH!$P$10=1,AH!$P$12=1,$A2987=TODAY()),IF(AND(AH!$P$10=1,AH!$P$12=1,$A2987=TODAY()),TODAY(),NA()),IF(AH!$P$10=1,INDEX('Live History'!$G$5:$G$3004,MATCH($A2987,'Live History'!$G$5:$G$3004,1)),INDEX('AH History'!$F$1:$F$18046,AH!$P$7+2982))),NA()),NA())</ns0:f>
        <ns0:v/>
      </ns0:c>
      <ns0:c r="H2987">
        <ns0:f>IFERROR(IF(AND(AH!$E$4="Bloomberg",AH!$P$10=1,ISNUMBER($A2987),$A2987&lt;=AH!$P$17),AH!$P$7-1+MATCH($A2987,INDEX('AH History'!$A$1:$A$18046,AH!$P$7):INDEX('AH History'!$A$1:$A$18046,AH!$P$7+AH!$P$8-1),0),0),0)</ns0:f>
        <ns0:v/>
      </ns0:c>
      <ns0:c r="I2987">
        <ns0:f>IF($H2987=0,0,IFERROR(IF(AND(ABS($C2987-INDEX('AH History'!$B$1:$B$18046,$H2987))&lt;=MAX(0.005,ABS(INDEX('AH History'!$B$1:$B$18046,$H2987))*0.00005),ABS($D2987-INDEX('AH History'!$C$1:$C$18046,$H2987))&lt;=MAX(0.005,ABS(INDEX('AH History'!$C$1:$C$18046,$H2987))*0.00005),ABS($E2987-INDEX('AH History'!$D$1:$D$18046,$H2987))&lt;=0.00005,$F2987=INDEX('AH History'!$E$1:$E$18046,$H2987),$G2987=INDEX('AH History'!$F$1:$F$18046,$H2987)),1,-1),-1))</ns0:f>
        <ns0:v/>
      </ns0:c>
    </ns0:row>
    <ns0:row r="2988">
      <ns0:c r="A2988" s="215">
        <ns0:f>IF(OR(AH!$P$3=0,2983+1&gt;AH!$P$11,AND(AH!$E$4&lt;&gt;"Stored",AH!$P$10&lt;&gt;1)),"",IFERROR(IF(AND(AH!$P$21=1,2983+1=AH!$P$11),TODAY(),IF(AH!$P$10=1,INDEX('Live History'!$A$5:$A$3004,AH!$P$13+2983),INDEX('AH History'!$A$1:$A$18046,AH!$P$7+2983))),""))</ns0:f>
        <ns0:v/>
      </ns0:c>
      <ns0:c r="B2988" s="219">
        <ns0:f>IFERROR(IF(AND(AH!$P$9&lt;&gt;1,$C2988&gt;0,$D2988&gt;0,$E2988&gt;0,$F2988&gt;0,$G2988&gt;0,$F2988&lt;=$A2988,$G2988&lt;=$A2988,$A2988-$F2988&lt;=10,$A2988-$G2988&lt;=5),$D2988*$E2988/$C2988-1,NA()),NA())</ns0:f>
        <ns0:v/>
      </ns0:c>
      <ns0:c r="C2988">
        <ns0:f>IFERROR(IF(ISNUMBER($A2988),IF(AND(AH!$P$10=1,AH!$P$12=1,$A2988=TODAY()),AH!$P$19,IF(AH!$P$10=1,INDEX('Live History'!$B$5:$B$3004,AH!$P$13+2983),INDEX('AH History'!$B$1:$B$18046,AH!$P$7+2983))),NA()),NA())</ns0:f>
        <ns0:v/>
      </ns0:c>
      <ns0:c r="D2988">
        <ns0:f>IFERROR(IF(ISNUMBER($A2988),IF(AND(AH!$P$10=1,AH!$P$12=1,$A2988=TODAY()),AH!$P$18,IF(AH!$P$10=1,INDEX('Live History'!$E$5:$E$3004,MATCH($A2988,'Live History'!$D$5:$D$3004,1)),INDEX('AH History'!$C$1:$C$18046,AH!$P$7+2983))),NA()),NA())</ns0:f>
        <ns0:v/>
      </ns0:c>
      <ns0:c r="E2988">
        <ns0:f>IFERROR(IF(ISNUMBER($A2988),IF(AND(AH!$P$10=1,AH!$P$12=1,$A2988=TODAY()),AH!$P$20,IF(AH!$P$10=1,INDEX('Live History'!$H$5:$H$3004,MATCH($A2988,'Live History'!$G$5:$G$3004,1)),INDEX('AH History'!$D$1:$D$18046,AH!$P$7+2983))),NA()),NA())</ns0:f>
        <ns0:v/>
      </ns0:c>
      <ns0:c r="F2988">
        <ns0:f>IFERROR(IF(ISNUMBER($A2988),IF(AND(AH!$P$10=1,AH!$P$12=1,$A2988=TODAY()),IF(AND(AH!$P$10=1,AH!$P$12=1,$A2988=TODAY()),TODAY(),NA()),IF(AH!$P$10=1,INDEX('Live History'!$D$5:$D$3004,MATCH($A2988,'Live History'!$D$5:$D$3004,1)),INDEX('AH History'!$E$1:$E$18046,AH!$P$7+2983))),NA()),NA())</ns0:f>
        <ns0:v/>
      </ns0:c>
      <ns0:c r="G2988">
        <ns0:f>IFERROR(IF(ISNUMBER($A2988),IF(AND(AH!$P$10=1,AH!$P$12=1,$A2988=TODAY()),IF(AND(AH!$P$10=1,AH!$P$12=1,$A2988=TODAY()),TODAY(),NA()),IF(AH!$P$10=1,INDEX('Live History'!$G$5:$G$3004,MATCH($A2988,'Live History'!$G$5:$G$3004,1)),INDEX('AH History'!$F$1:$F$18046,AH!$P$7+2983))),NA()),NA())</ns0:f>
        <ns0:v/>
      </ns0:c>
      <ns0:c r="H2988">
        <ns0:f>IFERROR(IF(AND(AH!$E$4="Bloomberg",AH!$P$10=1,ISNUMBER($A2988),$A2988&lt;=AH!$P$17),AH!$P$7-1+MATCH($A2988,INDEX('AH History'!$A$1:$A$18046,AH!$P$7):INDEX('AH History'!$A$1:$A$18046,AH!$P$7+AH!$P$8-1),0),0),0)</ns0:f>
        <ns0:v/>
      </ns0:c>
      <ns0:c r="I2988">
        <ns0:f>IF($H2988=0,0,IFERROR(IF(AND(ABS($C2988-INDEX('AH History'!$B$1:$B$18046,$H2988))&lt;=MAX(0.005,ABS(INDEX('AH History'!$B$1:$B$18046,$H2988))*0.00005),ABS($D2988-INDEX('AH History'!$C$1:$C$18046,$H2988))&lt;=MAX(0.005,ABS(INDEX('AH History'!$C$1:$C$18046,$H2988))*0.00005),ABS($E2988-INDEX('AH History'!$D$1:$D$18046,$H2988))&lt;=0.00005,$F2988=INDEX('AH History'!$E$1:$E$18046,$H2988),$G2988=INDEX('AH History'!$F$1:$F$18046,$H2988)),1,-1),-1))</ns0:f>
        <ns0:v/>
      </ns0:c>
    </ns0:row>
    <ns0:row r="2989">
      <ns0:c r="A2989" s="215">
        <ns0:f>IF(OR(AH!$P$3=0,2984+1&gt;AH!$P$11,AND(AH!$E$4&lt;&gt;"Stored",AH!$P$10&lt;&gt;1)),"",IFERROR(IF(AND(AH!$P$21=1,2984+1=AH!$P$11),TODAY(),IF(AH!$P$10=1,INDEX('Live History'!$A$5:$A$3004,AH!$P$13+2984),INDEX('AH History'!$A$1:$A$18046,AH!$P$7+2984))),""))</ns0:f>
        <ns0:v/>
      </ns0:c>
      <ns0:c r="B2989" s="219">
        <ns0:f>IFERROR(IF(AND(AH!$P$9&lt;&gt;1,$C2989&gt;0,$D2989&gt;0,$E2989&gt;0,$F2989&gt;0,$G2989&gt;0,$F2989&lt;=$A2989,$G2989&lt;=$A2989,$A2989-$F2989&lt;=10,$A2989-$G2989&lt;=5),$D2989*$E2989/$C2989-1,NA()),NA())</ns0:f>
        <ns0:v/>
      </ns0:c>
      <ns0:c r="C2989">
        <ns0:f>IFERROR(IF(ISNUMBER($A2989),IF(AND(AH!$P$10=1,AH!$P$12=1,$A2989=TODAY()),AH!$P$19,IF(AH!$P$10=1,INDEX('Live History'!$B$5:$B$3004,AH!$P$13+2984),INDEX('AH History'!$B$1:$B$18046,AH!$P$7+2984))),NA()),NA())</ns0:f>
        <ns0:v/>
      </ns0:c>
      <ns0:c r="D2989">
        <ns0:f>IFERROR(IF(ISNUMBER($A2989),IF(AND(AH!$P$10=1,AH!$P$12=1,$A2989=TODAY()),AH!$P$18,IF(AH!$P$10=1,INDEX('Live History'!$E$5:$E$3004,MATCH($A2989,'Live History'!$D$5:$D$3004,1)),INDEX('AH History'!$C$1:$C$18046,AH!$P$7+2984))),NA()),NA())</ns0:f>
        <ns0:v/>
      </ns0:c>
      <ns0:c r="E2989">
        <ns0:f>IFERROR(IF(ISNUMBER($A2989),IF(AND(AH!$P$10=1,AH!$P$12=1,$A2989=TODAY()),AH!$P$20,IF(AH!$P$10=1,INDEX('Live History'!$H$5:$H$3004,MATCH($A2989,'Live History'!$G$5:$G$3004,1)),INDEX('AH History'!$D$1:$D$18046,AH!$P$7+2984))),NA()),NA())</ns0:f>
        <ns0:v/>
      </ns0:c>
      <ns0:c r="F2989">
        <ns0:f>IFERROR(IF(ISNUMBER($A2989),IF(AND(AH!$P$10=1,AH!$P$12=1,$A2989=TODAY()),IF(AND(AH!$P$10=1,AH!$P$12=1,$A2989=TODAY()),TODAY(),NA()),IF(AH!$P$10=1,INDEX('Live History'!$D$5:$D$3004,MATCH($A2989,'Live History'!$D$5:$D$3004,1)),INDEX('AH History'!$E$1:$E$18046,AH!$P$7+2984))),NA()),NA())</ns0:f>
        <ns0:v/>
      </ns0:c>
      <ns0:c r="G2989">
        <ns0:f>IFERROR(IF(ISNUMBER($A2989),IF(AND(AH!$P$10=1,AH!$P$12=1,$A2989=TODAY()),IF(AND(AH!$P$10=1,AH!$P$12=1,$A2989=TODAY()),TODAY(),NA()),IF(AH!$P$10=1,INDEX('Live History'!$G$5:$G$3004,MATCH($A2989,'Live History'!$G$5:$G$3004,1)),INDEX('AH History'!$F$1:$F$18046,AH!$P$7+2984))),NA()),NA())</ns0:f>
        <ns0:v/>
      </ns0:c>
      <ns0:c r="H2989">
        <ns0:f>IFERROR(IF(AND(AH!$E$4="Bloomberg",AH!$P$10=1,ISNUMBER($A2989),$A2989&lt;=AH!$P$17),AH!$P$7-1+MATCH($A2989,INDEX('AH History'!$A$1:$A$18046,AH!$P$7):INDEX('AH History'!$A$1:$A$18046,AH!$P$7+AH!$P$8-1),0),0),0)</ns0:f>
        <ns0:v/>
      </ns0:c>
      <ns0:c r="I2989">
        <ns0:f>IF($H2989=0,0,IFERROR(IF(AND(ABS($C2989-INDEX('AH History'!$B$1:$B$18046,$H2989))&lt;=MAX(0.005,ABS(INDEX('AH History'!$B$1:$B$18046,$H2989))*0.00005),ABS($D2989-INDEX('AH History'!$C$1:$C$18046,$H2989))&lt;=MAX(0.005,ABS(INDEX('AH History'!$C$1:$C$18046,$H2989))*0.00005),ABS($E2989-INDEX('AH History'!$D$1:$D$18046,$H2989))&lt;=0.00005,$F2989=INDEX('AH History'!$E$1:$E$18046,$H2989),$G2989=INDEX('AH History'!$F$1:$F$18046,$H2989)),1,-1),-1))</ns0:f>
        <ns0:v/>
      </ns0:c>
    </ns0:row>
    <ns0:row r="2990">
      <ns0:c r="A2990" s="215">
        <ns0:f>IF(OR(AH!$P$3=0,2985+1&gt;AH!$P$11,AND(AH!$E$4&lt;&gt;"Stored",AH!$P$10&lt;&gt;1)),"",IFERROR(IF(AND(AH!$P$21=1,2985+1=AH!$P$11),TODAY(),IF(AH!$P$10=1,INDEX('Live History'!$A$5:$A$3004,AH!$P$13+2985),INDEX('AH History'!$A$1:$A$18046,AH!$P$7+2985))),""))</ns0:f>
        <ns0:v/>
      </ns0:c>
      <ns0:c r="B2990" s="219">
        <ns0:f>IFERROR(IF(AND(AH!$P$9&lt;&gt;1,$C2990&gt;0,$D2990&gt;0,$E2990&gt;0,$F2990&gt;0,$G2990&gt;0,$F2990&lt;=$A2990,$G2990&lt;=$A2990,$A2990-$F2990&lt;=10,$A2990-$G2990&lt;=5),$D2990*$E2990/$C2990-1,NA()),NA())</ns0:f>
        <ns0:v/>
      </ns0:c>
      <ns0:c r="C2990">
        <ns0:f>IFERROR(IF(ISNUMBER($A2990),IF(AND(AH!$P$10=1,AH!$P$12=1,$A2990=TODAY()),AH!$P$19,IF(AH!$P$10=1,INDEX('Live History'!$B$5:$B$3004,AH!$P$13+2985),INDEX('AH History'!$B$1:$B$18046,AH!$P$7+2985))),NA()),NA())</ns0:f>
        <ns0:v/>
      </ns0:c>
      <ns0:c r="D2990">
        <ns0:f>IFERROR(IF(ISNUMBER($A2990),IF(AND(AH!$P$10=1,AH!$P$12=1,$A2990=TODAY()),AH!$P$18,IF(AH!$P$10=1,INDEX('Live History'!$E$5:$E$3004,MATCH($A2990,'Live History'!$D$5:$D$3004,1)),INDEX('AH History'!$C$1:$C$18046,AH!$P$7+2985))),NA()),NA())</ns0:f>
        <ns0:v/>
      </ns0:c>
      <ns0:c r="E2990">
        <ns0:f>IFERROR(IF(ISNUMBER($A2990),IF(AND(AH!$P$10=1,AH!$P$12=1,$A2990=TODAY()),AH!$P$20,IF(AH!$P$10=1,INDEX('Live History'!$H$5:$H$3004,MATCH($A2990,'Live History'!$G$5:$G$3004,1)),INDEX('AH History'!$D$1:$D$18046,AH!$P$7+2985))),NA()),NA())</ns0:f>
        <ns0:v/>
      </ns0:c>
      <ns0:c r="F2990">
        <ns0:f>IFERROR(IF(ISNUMBER($A2990),IF(AND(AH!$P$10=1,AH!$P$12=1,$A2990=TODAY()),IF(AND(AH!$P$10=1,AH!$P$12=1,$A2990=TODAY()),TODAY(),NA()),IF(AH!$P$10=1,INDEX('Live History'!$D$5:$D$3004,MATCH($A2990,'Live History'!$D$5:$D$3004,1)),INDEX('AH History'!$E$1:$E$18046,AH!$P$7+2985))),NA()),NA())</ns0:f>
        <ns0:v/>
      </ns0:c>
      <ns0:c r="G2990">
        <ns0:f>IFERROR(IF(ISNUMBER($A2990),IF(AND(AH!$P$10=1,AH!$P$12=1,$A2990=TODAY()),IF(AND(AH!$P$10=1,AH!$P$12=1,$A2990=TODAY()),TODAY(),NA()),IF(AH!$P$10=1,INDEX('Live History'!$G$5:$G$3004,MATCH($A2990,'Live History'!$G$5:$G$3004,1)),INDEX('AH History'!$F$1:$F$18046,AH!$P$7+2985))),NA()),NA())</ns0:f>
        <ns0:v/>
      </ns0:c>
      <ns0:c r="H2990">
        <ns0:f>IFERROR(IF(AND(AH!$E$4="Bloomberg",AH!$P$10=1,ISNUMBER($A2990),$A2990&lt;=AH!$P$17),AH!$P$7-1+MATCH($A2990,INDEX('AH History'!$A$1:$A$18046,AH!$P$7):INDEX('AH History'!$A$1:$A$18046,AH!$P$7+AH!$P$8-1),0),0),0)</ns0:f>
        <ns0:v/>
      </ns0:c>
      <ns0:c r="I2990">
        <ns0:f>IF($H2990=0,0,IFERROR(IF(AND(ABS($C2990-INDEX('AH History'!$B$1:$B$18046,$H2990))&lt;=MAX(0.005,ABS(INDEX('AH History'!$B$1:$B$18046,$H2990))*0.00005),ABS($D2990-INDEX('AH History'!$C$1:$C$18046,$H2990))&lt;=MAX(0.005,ABS(INDEX('AH History'!$C$1:$C$18046,$H2990))*0.00005),ABS($E2990-INDEX('AH History'!$D$1:$D$18046,$H2990))&lt;=0.00005,$F2990=INDEX('AH History'!$E$1:$E$18046,$H2990),$G2990=INDEX('AH History'!$F$1:$F$18046,$H2990)),1,-1),-1))</ns0:f>
        <ns0:v/>
      </ns0:c>
    </ns0:row>
    <ns0:row r="2991">
      <ns0:c r="A2991" s="215">
        <ns0:f>IF(OR(AH!$P$3=0,2986+1&gt;AH!$P$11,AND(AH!$E$4&lt;&gt;"Stored",AH!$P$10&lt;&gt;1)),"",IFERROR(IF(AND(AH!$P$21=1,2986+1=AH!$P$11),TODAY(),IF(AH!$P$10=1,INDEX('Live History'!$A$5:$A$3004,AH!$P$13+2986),INDEX('AH History'!$A$1:$A$18046,AH!$P$7+2986))),""))</ns0:f>
        <ns0:v/>
      </ns0:c>
      <ns0:c r="B2991" s="219">
        <ns0:f>IFERROR(IF(AND(AH!$P$9&lt;&gt;1,$C2991&gt;0,$D2991&gt;0,$E2991&gt;0,$F2991&gt;0,$G2991&gt;0,$F2991&lt;=$A2991,$G2991&lt;=$A2991,$A2991-$F2991&lt;=10,$A2991-$G2991&lt;=5),$D2991*$E2991/$C2991-1,NA()),NA())</ns0:f>
        <ns0:v/>
      </ns0:c>
      <ns0:c r="C2991">
        <ns0:f>IFERROR(IF(ISNUMBER($A2991),IF(AND(AH!$P$10=1,AH!$P$12=1,$A2991=TODAY()),AH!$P$19,IF(AH!$P$10=1,INDEX('Live History'!$B$5:$B$3004,AH!$P$13+2986),INDEX('AH History'!$B$1:$B$18046,AH!$P$7+2986))),NA()),NA())</ns0:f>
        <ns0:v/>
      </ns0:c>
      <ns0:c r="D2991">
        <ns0:f>IFERROR(IF(ISNUMBER($A2991),IF(AND(AH!$P$10=1,AH!$P$12=1,$A2991=TODAY()),AH!$P$18,IF(AH!$P$10=1,INDEX('Live History'!$E$5:$E$3004,MATCH($A2991,'Live History'!$D$5:$D$3004,1)),INDEX('AH History'!$C$1:$C$18046,AH!$P$7+2986))),NA()),NA())</ns0:f>
        <ns0:v/>
      </ns0:c>
      <ns0:c r="E2991">
        <ns0:f>IFERROR(IF(ISNUMBER($A2991),IF(AND(AH!$P$10=1,AH!$P$12=1,$A2991=TODAY()),AH!$P$20,IF(AH!$P$10=1,INDEX('Live History'!$H$5:$H$3004,MATCH($A2991,'Live History'!$G$5:$G$3004,1)),INDEX('AH History'!$D$1:$D$18046,AH!$P$7+2986))),NA()),NA())</ns0:f>
        <ns0:v/>
      </ns0:c>
      <ns0:c r="F2991">
        <ns0:f>IFERROR(IF(ISNUMBER($A2991),IF(AND(AH!$P$10=1,AH!$P$12=1,$A2991=TODAY()),IF(AND(AH!$P$10=1,AH!$P$12=1,$A2991=TODAY()),TODAY(),NA()),IF(AH!$P$10=1,INDEX('Live History'!$D$5:$D$3004,MATCH($A2991,'Live History'!$D$5:$D$3004,1)),INDEX('AH History'!$E$1:$E$18046,AH!$P$7+2986))),NA()),NA())</ns0:f>
        <ns0:v/>
      </ns0:c>
      <ns0:c r="G2991">
        <ns0:f>IFERROR(IF(ISNUMBER($A2991),IF(AND(AH!$P$10=1,AH!$P$12=1,$A2991=TODAY()),IF(AND(AH!$P$10=1,AH!$P$12=1,$A2991=TODAY()),TODAY(),NA()),IF(AH!$P$10=1,INDEX('Live History'!$G$5:$G$3004,MATCH($A2991,'Live History'!$G$5:$G$3004,1)),INDEX('AH History'!$F$1:$F$18046,AH!$P$7+2986))),NA()),NA())</ns0:f>
        <ns0:v/>
      </ns0:c>
      <ns0:c r="H2991">
        <ns0:f>IFERROR(IF(AND(AH!$E$4="Bloomberg",AH!$P$10=1,ISNUMBER($A2991),$A2991&lt;=AH!$P$17),AH!$P$7-1+MATCH($A2991,INDEX('AH History'!$A$1:$A$18046,AH!$P$7):INDEX('AH History'!$A$1:$A$18046,AH!$P$7+AH!$P$8-1),0),0),0)</ns0:f>
        <ns0:v/>
      </ns0:c>
      <ns0:c r="I2991">
        <ns0:f>IF($H2991=0,0,IFERROR(IF(AND(ABS($C2991-INDEX('AH History'!$B$1:$B$18046,$H2991))&lt;=MAX(0.005,ABS(INDEX('AH History'!$B$1:$B$18046,$H2991))*0.00005),ABS($D2991-INDEX('AH History'!$C$1:$C$18046,$H2991))&lt;=MAX(0.005,ABS(INDEX('AH History'!$C$1:$C$18046,$H2991))*0.00005),ABS($E2991-INDEX('AH History'!$D$1:$D$18046,$H2991))&lt;=0.00005,$F2991=INDEX('AH History'!$E$1:$E$18046,$H2991),$G2991=INDEX('AH History'!$F$1:$F$18046,$H2991)),1,-1),-1))</ns0:f>
        <ns0:v/>
      </ns0:c>
    </ns0:row>
    <ns0:row r="2992">
      <ns0:c r="A2992" s="215">
        <ns0:f>IF(OR(AH!$P$3=0,2987+1&gt;AH!$P$11,AND(AH!$E$4&lt;&gt;"Stored",AH!$P$10&lt;&gt;1)),"",IFERROR(IF(AND(AH!$P$21=1,2987+1=AH!$P$11),TODAY(),IF(AH!$P$10=1,INDEX('Live History'!$A$5:$A$3004,AH!$P$13+2987),INDEX('AH History'!$A$1:$A$18046,AH!$P$7+2987))),""))</ns0:f>
        <ns0:v/>
      </ns0:c>
      <ns0:c r="B2992" s="219">
        <ns0:f>IFERROR(IF(AND(AH!$P$9&lt;&gt;1,$C2992&gt;0,$D2992&gt;0,$E2992&gt;0,$F2992&gt;0,$G2992&gt;0,$F2992&lt;=$A2992,$G2992&lt;=$A2992,$A2992-$F2992&lt;=10,$A2992-$G2992&lt;=5),$D2992*$E2992/$C2992-1,NA()),NA())</ns0:f>
        <ns0:v/>
      </ns0:c>
      <ns0:c r="C2992">
        <ns0:f>IFERROR(IF(ISNUMBER($A2992),IF(AND(AH!$P$10=1,AH!$P$12=1,$A2992=TODAY()),AH!$P$19,IF(AH!$P$10=1,INDEX('Live History'!$B$5:$B$3004,AH!$P$13+2987),INDEX('AH History'!$B$1:$B$18046,AH!$P$7+2987))),NA()),NA())</ns0:f>
        <ns0:v/>
      </ns0:c>
      <ns0:c r="D2992">
        <ns0:f>IFERROR(IF(ISNUMBER($A2992),IF(AND(AH!$P$10=1,AH!$P$12=1,$A2992=TODAY()),AH!$P$18,IF(AH!$P$10=1,INDEX('Live History'!$E$5:$E$3004,MATCH($A2992,'Live History'!$D$5:$D$3004,1)),INDEX('AH History'!$C$1:$C$18046,AH!$P$7+2987))),NA()),NA())</ns0:f>
        <ns0:v/>
      </ns0:c>
      <ns0:c r="E2992">
        <ns0:f>IFERROR(IF(ISNUMBER($A2992),IF(AND(AH!$P$10=1,AH!$P$12=1,$A2992=TODAY()),AH!$P$20,IF(AH!$P$10=1,INDEX('Live History'!$H$5:$H$3004,MATCH($A2992,'Live History'!$G$5:$G$3004,1)),INDEX('AH History'!$D$1:$D$18046,AH!$P$7+2987))),NA()),NA())</ns0:f>
        <ns0:v/>
      </ns0:c>
      <ns0:c r="F2992">
        <ns0:f>IFERROR(IF(ISNUMBER($A2992),IF(AND(AH!$P$10=1,AH!$P$12=1,$A2992=TODAY()),IF(AND(AH!$P$10=1,AH!$P$12=1,$A2992=TODAY()),TODAY(),NA()),IF(AH!$P$10=1,INDEX('Live History'!$D$5:$D$3004,MATCH($A2992,'Live History'!$D$5:$D$3004,1)),INDEX('AH History'!$E$1:$E$18046,AH!$P$7+2987))),NA()),NA())</ns0:f>
        <ns0:v/>
      </ns0:c>
      <ns0:c r="G2992">
        <ns0:f>IFERROR(IF(ISNUMBER($A2992),IF(AND(AH!$P$10=1,AH!$P$12=1,$A2992=TODAY()),IF(AND(AH!$P$10=1,AH!$P$12=1,$A2992=TODAY()),TODAY(),NA()),IF(AH!$P$10=1,INDEX('Live History'!$G$5:$G$3004,MATCH($A2992,'Live History'!$G$5:$G$3004,1)),INDEX('AH History'!$F$1:$F$18046,AH!$P$7+2987))),NA()),NA())</ns0:f>
        <ns0:v/>
      </ns0:c>
      <ns0:c r="H2992">
        <ns0:f>IFERROR(IF(AND(AH!$E$4="Bloomberg",AH!$P$10=1,ISNUMBER($A2992),$A2992&lt;=AH!$P$17),AH!$P$7-1+MATCH($A2992,INDEX('AH History'!$A$1:$A$18046,AH!$P$7):INDEX('AH History'!$A$1:$A$18046,AH!$P$7+AH!$P$8-1),0),0),0)</ns0:f>
        <ns0:v/>
      </ns0:c>
      <ns0:c r="I2992">
        <ns0:f>IF($H2992=0,0,IFERROR(IF(AND(ABS($C2992-INDEX('AH History'!$B$1:$B$18046,$H2992))&lt;=MAX(0.005,ABS(INDEX('AH History'!$B$1:$B$18046,$H2992))*0.00005),ABS($D2992-INDEX('AH History'!$C$1:$C$18046,$H2992))&lt;=MAX(0.005,ABS(INDEX('AH History'!$C$1:$C$18046,$H2992))*0.00005),ABS($E2992-INDEX('AH History'!$D$1:$D$18046,$H2992))&lt;=0.00005,$F2992=INDEX('AH History'!$E$1:$E$18046,$H2992),$G2992=INDEX('AH History'!$F$1:$F$18046,$H2992)),1,-1),-1))</ns0:f>
        <ns0:v/>
      </ns0:c>
    </ns0:row>
    <ns0:row r="2993">
      <ns0:c r="A2993" s="215">
        <ns0:f>IF(OR(AH!$P$3=0,2988+1&gt;AH!$P$11,AND(AH!$E$4&lt;&gt;"Stored",AH!$P$10&lt;&gt;1)),"",IFERROR(IF(AND(AH!$P$21=1,2988+1=AH!$P$11),TODAY(),IF(AH!$P$10=1,INDEX('Live History'!$A$5:$A$3004,AH!$P$13+2988),INDEX('AH History'!$A$1:$A$18046,AH!$P$7+2988))),""))</ns0:f>
        <ns0:v/>
      </ns0:c>
      <ns0:c r="B2993" s="219">
        <ns0:f>IFERROR(IF(AND(AH!$P$9&lt;&gt;1,$C2993&gt;0,$D2993&gt;0,$E2993&gt;0,$F2993&gt;0,$G2993&gt;0,$F2993&lt;=$A2993,$G2993&lt;=$A2993,$A2993-$F2993&lt;=10,$A2993-$G2993&lt;=5),$D2993*$E2993/$C2993-1,NA()),NA())</ns0:f>
        <ns0:v/>
      </ns0:c>
      <ns0:c r="C2993">
        <ns0:f>IFERROR(IF(ISNUMBER($A2993),IF(AND(AH!$P$10=1,AH!$P$12=1,$A2993=TODAY()),AH!$P$19,IF(AH!$P$10=1,INDEX('Live History'!$B$5:$B$3004,AH!$P$13+2988),INDEX('AH History'!$B$1:$B$18046,AH!$P$7+2988))),NA()),NA())</ns0:f>
        <ns0:v/>
      </ns0:c>
      <ns0:c r="D2993">
        <ns0:f>IFERROR(IF(ISNUMBER($A2993),IF(AND(AH!$P$10=1,AH!$P$12=1,$A2993=TODAY()),AH!$P$18,IF(AH!$P$10=1,INDEX('Live History'!$E$5:$E$3004,MATCH($A2993,'Live History'!$D$5:$D$3004,1)),INDEX('AH History'!$C$1:$C$18046,AH!$P$7+2988))),NA()),NA())</ns0:f>
        <ns0:v/>
      </ns0:c>
      <ns0:c r="E2993">
        <ns0:f>IFERROR(IF(ISNUMBER($A2993),IF(AND(AH!$P$10=1,AH!$P$12=1,$A2993=TODAY()),AH!$P$20,IF(AH!$P$10=1,INDEX('Live History'!$H$5:$H$3004,MATCH($A2993,'Live History'!$G$5:$G$3004,1)),INDEX('AH History'!$D$1:$D$18046,AH!$P$7+2988))),NA()),NA())</ns0:f>
        <ns0:v/>
      </ns0:c>
      <ns0:c r="F2993">
        <ns0:f>IFERROR(IF(ISNUMBER($A2993),IF(AND(AH!$P$10=1,AH!$P$12=1,$A2993=TODAY()),IF(AND(AH!$P$10=1,AH!$P$12=1,$A2993=TODAY()),TODAY(),NA()),IF(AH!$P$10=1,INDEX('Live History'!$D$5:$D$3004,MATCH($A2993,'Live History'!$D$5:$D$3004,1)),INDEX('AH History'!$E$1:$E$18046,AH!$P$7+2988))),NA()),NA())</ns0:f>
        <ns0:v/>
      </ns0:c>
      <ns0:c r="G2993">
        <ns0:f>IFERROR(IF(ISNUMBER($A2993),IF(AND(AH!$P$10=1,AH!$P$12=1,$A2993=TODAY()),IF(AND(AH!$P$10=1,AH!$P$12=1,$A2993=TODAY()),TODAY(),NA()),IF(AH!$P$10=1,INDEX('Live History'!$G$5:$G$3004,MATCH($A2993,'Live History'!$G$5:$G$3004,1)),INDEX('AH History'!$F$1:$F$18046,AH!$P$7+2988))),NA()),NA())</ns0:f>
        <ns0:v/>
      </ns0:c>
      <ns0:c r="H2993">
        <ns0:f>IFERROR(IF(AND(AH!$E$4="Bloomberg",AH!$P$10=1,ISNUMBER($A2993),$A2993&lt;=AH!$P$17),AH!$P$7-1+MATCH($A2993,INDEX('AH History'!$A$1:$A$18046,AH!$P$7):INDEX('AH History'!$A$1:$A$18046,AH!$P$7+AH!$P$8-1),0),0),0)</ns0:f>
        <ns0:v/>
      </ns0:c>
      <ns0:c r="I2993">
        <ns0:f>IF($H2993=0,0,IFERROR(IF(AND(ABS($C2993-INDEX('AH History'!$B$1:$B$18046,$H2993))&lt;=MAX(0.005,ABS(INDEX('AH History'!$B$1:$B$18046,$H2993))*0.00005),ABS($D2993-INDEX('AH History'!$C$1:$C$18046,$H2993))&lt;=MAX(0.005,ABS(INDEX('AH History'!$C$1:$C$18046,$H2993))*0.00005),ABS($E2993-INDEX('AH History'!$D$1:$D$18046,$H2993))&lt;=0.00005,$F2993=INDEX('AH History'!$E$1:$E$18046,$H2993),$G2993=INDEX('AH History'!$F$1:$F$18046,$H2993)),1,-1),-1))</ns0:f>
        <ns0:v/>
      </ns0:c>
    </ns0:row>
    <ns0:row r="2994">
      <ns0:c r="A2994" s="215">
        <ns0:f>IF(OR(AH!$P$3=0,2989+1&gt;AH!$P$11,AND(AH!$E$4&lt;&gt;"Stored",AH!$P$10&lt;&gt;1)),"",IFERROR(IF(AND(AH!$P$21=1,2989+1=AH!$P$11),TODAY(),IF(AH!$P$10=1,INDEX('Live History'!$A$5:$A$3004,AH!$P$13+2989),INDEX('AH History'!$A$1:$A$18046,AH!$P$7+2989))),""))</ns0:f>
        <ns0:v/>
      </ns0:c>
      <ns0:c r="B2994" s="219">
        <ns0:f>IFERROR(IF(AND(AH!$P$9&lt;&gt;1,$C2994&gt;0,$D2994&gt;0,$E2994&gt;0,$F2994&gt;0,$G2994&gt;0,$F2994&lt;=$A2994,$G2994&lt;=$A2994,$A2994-$F2994&lt;=10,$A2994-$G2994&lt;=5),$D2994*$E2994/$C2994-1,NA()),NA())</ns0:f>
        <ns0:v/>
      </ns0:c>
      <ns0:c r="C2994">
        <ns0:f>IFERROR(IF(ISNUMBER($A2994),IF(AND(AH!$P$10=1,AH!$P$12=1,$A2994=TODAY()),AH!$P$19,IF(AH!$P$10=1,INDEX('Live History'!$B$5:$B$3004,AH!$P$13+2989),INDEX('AH History'!$B$1:$B$18046,AH!$P$7+2989))),NA()),NA())</ns0:f>
        <ns0:v/>
      </ns0:c>
      <ns0:c r="D2994">
        <ns0:f>IFERROR(IF(ISNUMBER($A2994),IF(AND(AH!$P$10=1,AH!$P$12=1,$A2994=TODAY()),AH!$P$18,IF(AH!$P$10=1,INDEX('Live History'!$E$5:$E$3004,MATCH($A2994,'Live History'!$D$5:$D$3004,1)),INDEX('AH History'!$C$1:$C$18046,AH!$P$7+2989))),NA()),NA())</ns0:f>
        <ns0:v/>
      </ns0:c>
      <ns0:c r="E2994">
        <ns0:f>IFERROR(IF(ISNUMBER($A2994),IF(AND(AH!$P$10=1,AH!$P$12=1,$A2994=TODAY()),AH!$P$20,IF(AH!$P$10=1,INDEX('Live History'!$H$5:$H$3004,MATCH($A2994,'Live History'!$G$5:$G$3004,1)),INDEX('AH History'!$D$1:$D$18046,AH!$P$7+2989))),NA()),NA())</ns0:f>
        <ns0:v/>
      </ns0:c>
      <ns0:c r="F2994">
        <ns0:f>IFERROR(IF(ISNUMBER($A2994),IF(AND(AH!$P$10=1,AH!$P$12=1,$A2994=TODAY()),IF(AND(AH!$P$10=1,AH!$P$12=1,$A2994=TODAY()),TODAY(),NA()),IF(AH!$P$10=1,INDEX('Live History'!$D$5:$D$3004,MATCH($A2994,'Live History'!$D$5:$D$3004,1)),INDEX('AH History'!$E$1:$E$18046,AH!$P$7+2989))),NA()),NA())</ns0:f>
        <ns0:v/>
      </ns0:c>
      <ns0:c r="G2994">
        <ns0:f>IFERROR(IF(ISNUMBER($A2994),IF(AND(AH!$P$10=1,AH!$P$12=1,$A2994=TODAY()),IF(AND(AH!$P$10=1,AH!$P$12=1,$A2994=TODAY()),TODAY(),NA()),IF(AH!$P$10=1,INDEX('Live History'!$G$5:$G$3004,MATCH($A2994,'Live History'!$G$5:$G$3004,1)),INDEX('AH History'!$F$1:$F$18046,AH!$P$7+2989))),NA()),NA())</ns0:f>
        <ns0:v/>
      </ns0:c>
      <ns0:c r="H2994">
        <ns0:f>IFERROR(IF(AND(AH!$E$4="Bloomberg",AH!$P$10=1,ISNUMBER($A2994),$A2994&lt;=AH!$P$17),AH!$P$7-1+MATCH($A2994,INDEX('AH History'!$A$1:$A$18046,AH!$P$7):INDEX('AH History'!$A$1:$A$18046,AH!$P$7+AH!$P$8-1),0),0),0)</ns0:f>
        <ns0:v/>
      </ns0:c>
      <ns0:c r="I2994">
        <ns0:f>IF($H2994=0,0,IFERROR(IF(AND(ABS($C2994-INDEX('AH History'!$B$1:$B$18046,$H2994))&lt;=MAX(0.005,ABS(INDEX('AH History'!$B$1:$B$18046,$H2994))*0.00005),ABS($D2994-INDEX('AH History'!$C$1:$C$18046,$H2994))&lt;=MAX(0.005,ABS(INDEX('AH History'!$C$1:$C$18046,$H2994))*0.00005),ABS($E2994-INDEX('AH History'!$D$1:$D$18046,$H2994))&lt;=0.00005,$F2994=INDEX('AH History'!$E$1:$E$18046,$H2994),$G2994=INDEX('AH History'!$F$1:$F$18046,$H2994)),1,-1),-1))</ns0:f>
        <ns0:v/>
      </ns0:c>
    </ns0:row>
    <ns0:row r="2995">
      <ns0:c r="A2995" s="215">
        <ns0:f>IF(OR(AH!$P$3=0,2990+1&gt;AH!$P$11,AND(AH!$E$4&lt;&gt;"Stored",AH!$P$10&lt;&gt;1)),"",IFERROR(IF(AND(AH!$P$21=1,2990+1=AH!$P$11),TODAY(),IF(AH!$P$10=1,INDEX('Live History'!$A$5:$A$3004,AH!$P$13+2990),INDEX('AH History'!$A$1:$A$18046,AH!$P$7+2990))),""))</ns0:f>
        <ns0:v/>
      </ns0:c>
      <ns0:c r="B2995" s="219">
        <ns0:f>IFERROR(IF(AND(AH!$P$9&lt;&gt;1,$C2995&gt;0,$D2995&gt;0,$E2995&gt;0,$F2995&gt;0,$G2995&gt;0,$F2995&lt;=$A2995,$G2995&lt;=$A2995,$A2995-$F2995&lt;=10,$A2995-$G2995&lt;=5),$D2995*$E2995/$C2995-1,NA()),NA())</ns0:f>
        <ns0:v/>
      </ns0:c>
      <ns0:c r="C2995">
        <ns0:f>IFERROR(IF(ISNUMBER($A2995),IF(AND(AH!$P$10=1,AH!$P$12=1,$A2995=TODAY()),AH!$P$19,IF(AH!$P$10=1,INDEX('Live History'!$B$5:$B$3004,AH!$P$13+2990),INDEX('AH History'!$B$1:$B$18046,AH!$P$7+2990))),NA()),NA())</ns0:f>
        <ns0:v/>
      </ns0:c>
      <ns0:c r="D2995">
        <ns0:f>IFERROR(IF(ISNUMBER($A2995),IF(AND(AH!$P$10=1,AH!$P$12=1,$A2995=TODAY()),AH!$P$18,IF(AH!$P$10=1,INDEX('Live History'!$E$5:$E$3004,MATCH($A2995,'Live History'!$D$5:$D$3004,1)),INDEX('AH History'!$C$1:$C$18046,AH!$P$7+2990))),NA()),NA())</ns0:f>
        <ns0:v/>
      </ns0:c>
      <ns0:c r="E2995">
        <ns0:f>IFERROR(IF(ISNUMBER($A2995),IF(AND(AH!$P$10=1,AH!$P$12=1,$A2995=TODAY()),AH!$P$20,IF(AH!$P$10=1,INDEX('Live History'!$H$5:$H$3004,MATCH($A2995,'Live History'!$G$5:$G$3004,1)),INDEX('AH History'!$D$1:$D$18046,AH!$P$7+2990))),NA()),NA())</ns0:f>
        <ns0:v/>
      </ns0:c>
      <ns0:c r="F2995">
        <ns0:f>IFERROR(IF(ISNUMBER($A2995),IF(AND(AH!$P$10=1,AH!$P$12=1,$A2995=TODAY()),IF(AND(AH!$P$10=1,AH!$P$12=1,$A2995=TODAY()),TODAY(),NA()),IF(AH!$P$10=1,INDEX('Live History'!$D$5:$D$3004,MATCH($A2995,'Live History'!$D$5:$D$3004,1)),INDEX('AH History'!$E$1:$E$18046,AH!$P$7+2990))),NA()),NA())</ns0:f>
        <ns0:v/>
      </ns0:c>
      <ns0:c r="G2995">
        <ns0:f>IFERROR(IF(ISNUMBER($A2995),IF(AND(AH!$P$10=1,AH!$P$12=1,$A2995=TODAY()),IF(AND(AH!$P$10=1,AH!$P$12=1,$A2995=TODAY()),TODAY(),NA()),IF(AH!$P$10=1,INDEX('Live History'!$G$5:$G$3004,MATCH($A2995,'Live History'!$G$5:$G$3004,1)),INDEX('AH History'!$F$1:$F$18046,AH!$P$7+2990))),NA()),NA())</ns0:f>
        <ns0:v/>
      </ns0:c>
      <ns0:c r="H2995">
        <ns0:f>IFERROR(IF(AND(AH!$E$4="Bloomberg",AH!$P$10=1,ISNUMBER($A2995),$A2995&lt;=AH!$P$17),AH!$P$7-1+MATCH($A2995,INDEX('AH History'!$A$1:$A$18046,AH!$P$7):INDEX('AH History'!$A$1:$A$18046,AH!$P$7+AH!$P$8-1),0),0),0)</ns0:f>
        <ns0:v/>
      </ns0:c>
      <ns0:c r="I2995">
        <ns0:f>IF($H2995=0,0,IFERROR(IF(AND(ABS($C2995-INDEX('AH History'!$B$1:$B$18046,$H2995))&lt;=MAX(0.005,ABS(INDEX('AH History'!$B$1:$B$18046,$H2995))*0.00005),ABS($D2995-INDEX('AH History'!$C$1:$C$18046,$H2995))&lt;=MAX(0.005,ABS(INDEX('AH History'!$C$1:$C$18046,$H2995))*0.00005),ABS($E2995-INDEX('AH History'!$D$1:$D$18046,$H2995))&lt;=0.00005,$F2995=INDEX('AH History'!$E$1:$E$18046,$H2995),$G2995=INDEX('AH History'!$F$1:$F$18046,$H2995)),1,-1),-1))</ns0:f>
        <ns0:v/>
      </ns0:c>
    </ns0:row>
    <ns0:row r="2996">
      <ns0:c r="A2996" s="215">
        <ns0:f>IF(OR(AH!$P$3=0,2991+1&gt;AH!$P$11,AND(AH!$E$4&lt;&gt;"Stored",AH!$P$10&lt;&gt;1)),"",IFERROR(IF(AND(AH!$P$21=1,2991+1=AH!$P$11),TODAY(),IF(AH!$P$10=1,INDEX('Live History'!$A$5:$A$3004,AH!$P$13+2991),INDEX('AH History'!$A$1:$A$18046,AH!$P$7+2991))),""))</ns0:f>
        <ns0:v/>
      </ns0:c>
      <ns0:c r="B2996" s="219">
        <ns0:f>IFERROR(IF(AND(AH!$P$9&lt;&gt;1,$C2996&gt;0,$D2996&gt;0,$E2996&gt;0,$F2996&gt;0,$G2996&gt;0,$F2996&lt;=$A2996,$G2996&lt;=$A2996,$A2996-$F2996&lt;=10,$A2996-$G2996&lt;=5),$D2996*$E2996/$C2996-1,NA()),NA())</ns0:f>
        <ns0:v/>
      </ns0:c>
      <ns0:c r="C2996">
        <ns0:f>IFERROR(IF(ISNUMBER($A2996),IF(AND(AH!$P$10=1,AH!$P$12=1,$A2996=TODAY()),AH!$P$19,IF(AH!$P$10=1,INDEX('Live History'!$B$5:$B$3004,AH!$P$13+2991),INDEX('AH History'!$B$1:$B$18046,AH!$P$7+2991))),NA()),NA())</ns0:f>
        <ns0:v/>
      </ns0:c>
      <ns0:c r="D2996">
        <ns0:f>IFERROR(IF(ISNUMBER($A2996),IF(AND(AH!$P$10=1,AH!$P$12=1,$A2996=TODAY()),AH!$P$18,IF(AH!$P$10=1,INDEX('Live History'!$E$5:$E$3004,MATCH($A2996,'Live History'!$D$5:$D$3004,1)),INDEX('AH History'!$C$1:$C$18046,AH!$P$7+2991))),NA()),NA())</ns0:f>
        <ns0:v/>
      </ns0:c>
      <ns0:c r="E2996">
        <ns0:f>IFERROR(IF(ISNUMBER($A2996),IF(AND(AH!$P$10=1,AH!$P$12=1,$A2996=TODAY()),AH!$P$20,IF(AH!$P$10=1,INDEX('Live History'!$H$5:$H$3004,MATCH($A2996,'Live History'!$G$5:$G$3004,1)),INDEX('AH History'!$D$1:$D$18046,AH!$P$7+2991))),NA()),NA())</ns0:f>
        <ns0:v/>
      </ns0:c>
      <ns0:c r="F2996">
        <ns0:f>IFERROR(IF(ISNUMBER($A2996),IF(AND(AH!$P$10=1,AH!$P$12=1,$A2996=TODAY()),IF(AND(AH!$P$10=1,AH!$P$12=1,$A2996=TODAY()),TODAY(),NA()),IF(AH!$P$10=1,INDEX('Live History'!$D$5:$D$3004,MATCH($A2996,'Live History'!$D$5:$D$3004,1)),INDEX('AH History'!$E$1:$E$18046,AH!$P$7+2991))),NA()),NA())</ns0:f>
        <ns0:v/>
      </ns0:c>
      <ns0:c r="G2996">
        <ns0:f>IFERROR(IF(ISNUMBER($A2996),IF(AND(AH!$P$10=1,AH!$P$12=1,$A2996=TODAY()),IF(AND(AH!$P$10=1,AH!$P$12=1,$A2996=TODAY()),TODAY(),NA()),IF(AH!$P$10=1,INDEX('Live History'!$G$5:$G$3004,MATCH($A2996,'Live History'!$G$5:$G$3004,1)),INDEX('AH History'!$F$1:$F$18046,AH!$P$7+2991))),NA()),NA())</ns0:f>
        <ns0:v/>
      </ns0:c>
      <ns0:c r="H2996">
        <ns0:f>IFERROR(IF(AND(AH!$E$4="Bloomberg",AH!$P$10=1,ISNUMBER($A2996),$A2996&lt;=AH!$P$17),AH!$P$7-1+MATCH($A2996,INDEX('AH History'!$A$1:$A$18046,AH!$P$7):INDEX('AH History'!$A$1:$A$18046,AH!$P$7+AH!$P$8-1),0),0),0)</ns0:f>
        <ns0:v/>
      </ns0:c>
      <ns0:c r="I2996">
        <ns0:f>IF($H2996=0,0,IFERROR(IF(AND(ABS($C2996-INDEX('AH History'!$B$1:$B$18046,$H2996))&lt;=MAX(0.005,ABS(INDEX('AH History'!$B$1:$B$18046,$H2996))*0.00005),ABS($D2996-INDEX('AH History'!$C$1:$C$18046,$H2996))&lt;=MAX(0.005,ABS(INDEX('AH History'!$C$1:$C$18046,$H2996))*0.00005),ABS($E2996-INDEX('AH History'!$D$1:$D$18046,$H2996))&lt;=0.00005,$F2996=INDEX('AH History'!$E$1:$E$18046,$H2996),$G2996=INDEX('AH History'!$F$1:$F$18046,$H2996)),1,-1),-1))</ns0:f>
        <ns0:v/>
      </ns0:c>
    </ns0:row>
    <ns0:row r="2997">
      <ns0:c r="A2997" s="215">
        <ns0:f>IF(OR(AH!$P$3=0,2992+1&gt;AH!$P$11,AND(AH!$E$4&lt;&gt;"Stored",AH!$P$10&lt;&gt;1)),"",IFERROR(IF(AND(AH!$P$21=1,2992+1=AH!$P$11),TODAY(),IF(AH!$P$10=1,INDEX('Live History'!$A$5:$A$3004,AH!$P$13+2992),INDEX('AH History'!$A$1:$A$18046,AH!$P$7+2992))),""))</ns0:f>
        <ns0:v/>
      </ns0:c>
      <ns0:c r="B2997" s="219">
        <ns0:f>IFERROR(IF(AND(AH!$P$9&lt;&gt;1,$C2997&gt;0,$D2997&gt;0,$E2997&gt;0,$F2997&gt;0,$G2997&gt;0,$F2997&lt;=$A2997,$G2997&lt;=$A2997,$A2997-$F2997&lt;=10,$A2997-$G2997&lt;=5),$D2997*$E2997/$C2997-1,NA()),NA())</ns0:f>
        <ns0:v/>
      </ns0:c>
      <ns0:c r="C2997">
        <ns0:f>IFERROR(IF(ISNUMBER($A2997),IF(AND(AH!$P$10=1,AH!$P$12=1,$A2997=TODAY()),AH!$P$19,IF(AH!$P$10=1,INDEX('Live History'!$B$5:$B$3004,AH!$P$13+2992),INDEX('AH History'!$B$1:$B$18046,AH!$P$7+2992))),NA()),NA())</ns0:f>
        <ns0:v/>
      </ns0:c>
      <ns0:c r="D2997">
        <ns0:f>IFERROR(IF(ISNUMBER($A2997),IF(AND(AH!$P$10=1,AH!$P$12=1,$A2997=TODAY()),AH!$P$18,IF(AH!$P$10=1,INDEX('Live History'!$E$5:$E$3004,MATCH($A2997,'Live History'!$D$5:$D$3004,1)),INDEX('AH History'!$C$1:$C$18046,AH!$P$7+2992))),NA()),NA())</ns0:f>
        <ns0:v/>
      </ns0:c>
      <ns0:c r="E2997">
        <ns0:f>IFERROR(IF(ISNUMBER($A2997),IF(AND(AH!$P$10=1,AH!$P$12=1,$A2997=TODAY()),AH!$P$20,IF(AH!$P$10=1,INDEX('Live History'!$H$5:$H$3004,MATCH($A2997,'Live History'!$G$5:$G$3004,1)),INDEX('AH History'!$D$1:$D$18046,AH!$P$7+2992))),NA()),NA())</ns0:f>
        <ns0:v/>
      </ns0:c>
      <ns0:c r="F2997">
        <ns0:f>IFERROR(IF(ISNUMBER($A2997),IF(AND(AH!$P$10=1,AH!$P$12=1,$A2997=TODAY()),IF(AND(AH!$P$10=1,AH!$P$12=1,$A2997=TODAY()),TODAY(),NA()),IF(AH!$P$10=1,INDEX('Live History'!$D$5:$D$3004,MATCH($A2997,'Live History'!$D$5:$D$3004,1)),INDEX('AH History'!$E$1:$E$18046,AH!$P$7+2992))),NA()),NA())</ns0:f>
        <ns0:v/>
      </ns0:c>
      <ns0:c r="G2997">
        <ns0:f>IFERROR(IF(ISNUMBER($A2997),IF(AND(AH!$P$10=1,AH!$P$12=1,$A2997=TODAY()),IF(AND(AH!$P$10=1,AH!$P$12=1,$A2997=TODAY()),TODAY(),NA()),IF(AH!$P$10=1,INDEX('Live History'!$G$5:$G$3004,MATCH($A2997,'Live History'!$G$5:$G$3004,1)),INDEX('AH History'!$F$1:$F$18046,AH!$P$7+2992))),NA()),NA())</ns0:f>
        <ns0:v/>
      </ns0:c>
      <ns0:c r="H2997">
        <ns0:f>IFERROR(IF(AND(AH!$E$4="Bloomberg",AH!$P$10=1,ISNUMBER($A2997),$A2997&lt;=AH!$P$17),AH!$P$7-1+MATCH($A2997,INDEX('AH History'!$A$1:$A$18046,AH!$P$7):INDEX('AH History'!$A$1:$A$18046,AH!$P$7+AH!$P$8-1),0),0),0)</ns0:f>
        <ns0:v/>
      </ns0:c>
      <ns0:c r="I2997">
        <ns0:f>IF($H2997=0,0,IFERROR(IF(AND(ABS($C2997-INDEX('AH History'!$B$1:$B$18046,$H2997))&lt;=MAX(0.005,ABS(INDEX('AH History'!$B$1:$B$18046,$H2997))*0.00005),ABS($D2997-INDEX('AH History'!$C$1:$C$18046,$H2997))&lt;=MAX(0.005,ABS(INDEX('AH History'!$C$1:$C$18046,$H2997))*0.00005),ABS($E2997-INDEX('AH History'!$D$1:$D$18046,$H2997))&lt;=0.00005,$F2997=INDEX('AH History'!$E$1:$E$18046,$H2997),$G2997=INDEX('AH History'!$F$1:$F$18046,$H2997)),1,-1),-1))</ns0:f>
        <ns0:v/>
      </ns0:c>
    </ns0:row>
    <ns0:row r="2998">
      <ns0:c r="A2998" s="215">
        <ns0:f>IF(OR(AH!$P$3=0,2993+1&gt;AH!$P$11,AND(AH!$E$4&lt;&gt;"Stored",AH!$P$10&lt;&gt;1)),"",IFERROR(IF(AND(AH!$P$21=1,2993+1=AH!$P$11),TODAY(),IF(AH!$P$10=1,INDEX('Live History'!$A$5:$A$3004,AH!$P$13+2993),INDEX('AH History'!$A$1:$A$18046,AH!$P$7+2993))),""))</ns0:f>
        <ns0:v/>
      </ns0:c>
      <ns0:c r="B2998" s="219">
        <ns0:f>IFERROR(IF(AND(AH!$P$9&lt;&gt;1,$C2998&gt;0,$D2998&gt;0,$E2998&gt;0,$F2998&gt;0,$G2998&gt;0,$F2998&lt;=$A2998,$G2998&lt;=$A2998,$A2998-$F2998&lt;=10,$A2998-$G2998&lt;=5),$D2998*$E2998/$C2998-1,NA()),NA())</ns0:f>
        <ns0:v/>
      </ns0:c>
      <ns0:c r="C2998">
        <ns0:f>IFERROR(IF(ISNUMBER($A2998),IF(AND(AH!$P$10=1,AH!$P$12=1,$A2998=TODAY()),AH!$P$19,IF(AH!$P$10=1,INDEX('Live History'!$B$5:$B$3004,AH!$P$13+2993),INDEX('AH History'!$B$1:$B$18046,AH!$P$7+2993))),NA()),NA())</ns0:f>
        <ns0:v/>
      </ns0:c>
      <ns0:c r="D2998">
        <ns0:f>IFERROR(IF(ISNUMBER($A2998),IF(AND(AH!$P$10=1,AH!$P$12=1,$A2998=TODAY()),AH!$P$18,IF(AH!$P$10=1,INDEX('Live History'!$E$5:$E$3004,MATCH($A2998,'Live History'!$D$5:$D$3004,1)),INDEX('AH History'!$C$1:$C$18046,AH!$P$7+2993))),NA()),NA())</ns0:f>
        <ns0:v/>
      </ns0:c>
      <ns0:c r="E2998">
        <ns0:f>IFERROR(IF(ISNUMBER($A2998),IF(AND(AH!$P$10=1,AH!$P$12=1,$A2998=TODAY()),AH!$P$20,IF(AH!$P$10=1,INDEX('Live History'!$H$5:$H$3004,MATCH($A2998,'Live History'!$G$5:$G$3004,1)),INDEX('AH History'!$D$1:$D$18046,AH!$P$7+2993))),NA()),NA())</ns0:f>
        <ns0:v/>
      </ns0:c>
      <ns0:c r="F2998">
        <ns0:f>IFERROR(IF(ISNUMBER($A2998),IF(AND(AH!$P$10=1,AH!$P$12=1,$A2998=TODAY()),IF(AND(AH!$P$10=1,AH!$P$12=1,$A2998=TODAY()),TODAY(),NA()),IF(AH!$P$10=1,INDEX('Live History'!$D$5:$D$3004,MATCH($A2998,'Live History'!$D$5:$D$3004,1)),INDEX('AH History'!$E$1:$E$18046,AH!$P$7+2993))),NA()),NA())</ns0:f>
        <ns0:v/>
      </ns0:c>
      <ns0:c r="G2998">
        <ns0:f>IFERROR(IF(ISNUMBER($A2998),IF(AND(AH!$P$10=1,AH!$P$12=1,$A2998=TODAY()),IF(AND(AH!$P$10=1,AH!$P$12=1,$A2998=TODAY()),TODAY(),NA()),IF(AH!$P$10=1,INDEX('Live History'!$G$5:$G$3004,MATCH($A2998,'Live History'!$G$5:$G$3004,1)),INDEX('AH History'!$F$1:$F$18046,AH!$P$7+2993))),NA()),NA())</ns0:f>
        <ns0:v/>
      </ns0:c>
      <ns0:c r="H2998">
        <ns0:f>IFERROR(IF(AND(AH!$E$4="Bloomberg",AH!$P$10=1,ISNUMBER($A2998),$A2998&lt;=AH!$P$17),AH!$P$7-1+MATCH($A2998,INDEX('AH History'!$A$1:$A$18046,AH!$P$7):INDEX('AH History'!$A$1:$A$18046,AH!$P$7+AH!$P$8-1),0),0),0)</ns0:f>
        <ns0:v/>
      </ns0:c>
      <ns0:c r="I2998">
        <ns0:f>IF($H2998=0,0,IFERROR(IF(AND(ABS($C2998-INDEX('AH History'!$B$1:$B$18046,$H2998))&lt;=MAX(0.005,ABS(INDEX('AH History'!$B$1:$B$18046,$H2998))*0.00005),ABS($D2998-INDEX('AH History'!$C$1:$C$18046,$H2998))&lt;=MAX(0.005,ABS(INDEX('AH History'!$C$1:$C$18046,$H2998))*0.00005),ABS($E2998-INDEX('AH History'!$D$1:$D$18046,$H2998))&lt;=0.00005,$F2998=INDEX('AH History'!$E$1:$E$18046,$H2998),$G2998=INDEX('AH History'!$F$1:$F$18046,$H2998)),1,-1),-1))</ns0:f>
        <ns0:v/>
      </ns0:c>
    </ns0:row>
    <ns0:row r="2999">
      <ns0:c r="A2999" s="215">
        <ns0:f>IF(OR(AH!$P$3=0,2994+1&gt;AH!$P$11,AND(AH!$E$4&lt;&gt;"Stored",AH!$P$10&lt;&gt;1)),"",IFERROR(IF(AND(AH!$P$21=1,2994+1=AH!$P$11),TODAY(),IF(AH!$P$10=1,INDEX('Live History'!$A$5:$A$3004,AH!$P$13+2994),INDEX('AH History'!$A$1:$A$18046,AH!$P$7+2994))),""))</ns0:f>
        <ns0:v/>
      </ns0:c>
      <ns0:c r="B2999" s="219">
        <ns0:f>IFERROR(IF(AND(AH!$P$9&lt;&gt;1,$C2999&gt;0,$D2999&gt;0,$E2999&gt;0,$F2999&gt;0,$G2999&gt;0,$F2999&lt;=$A2999,$G2999&lt;=$A2999,$A2999-$F2999&lt;=10,$A2999-$G2999&lt;=5),$D2999*$E2999/$C2999-1,NA()),NA())</ns0:f>
        <ns0:v/>
      </ns0:c>
      <ns0:c r="C2999">
        <ns0:f>IFERROR(IF(ISNUMBER($A2999),IF(AND(AH!$P$10=1,AH!$P$12=1,$A2999=TODAY()),AH!$P$19,IF(AH!$P$10=1,INDEX('Live History'!$B$5:$B$3004,AH!$P$13+2994),INDEX('AH History'!$B$1:$B$18046,AH!$P$7+2994))),NA()),NA())</ns0:f>
        <ns0:v/>
      </ns0:c>
      <ns0:c r="D2999">
        <ns0:f>IFERROR(IF(ISNUMBER($A2999),IF(AND(AH!$P$10=1,AH!$P$12=1,$A2999=TODAY()),AH!$P$18,IF(AH!$P$10=1,INDEX('Live History'!$E$5:$E$3004,MATCH($A2999,'Live History'!$D$5:$D$3004,1)),INDEX('AH History'!$C$1:$C$18046,AH!$P$7+2994))),NA()),NA())</ns0:f>
        <ns0:v/>
      </ns0:c>
      <ns0:c r="E2999">
        <ns0:f>IFERROR(IF(ISNUMBER($A2999),IF(AND(AH!$P$10=1,AH!$P$12=1,$A2999=TODAY()),AH!$P$20,IF(AH!$P$10=1,INDEX('Live History'!$H$5:$H$3004,MATCH($A2999,'Live History'!$G$5:$G$3004,1)),INDEX('AH History'!$D$1:$D$18046,AH!$P$7+2994))),NA()),NA())</ns0:f>
        <ns0:v/>
      </ns0:c>
      <ns0:c r="F2999">
        <ns0:f>IFERROR(IF(ISNUMBER($A2999),IF(AND(AH!$P$10=1,AH!$P$12=1,$A2999=TODAY()),IF(AND(AH!$P$10=1,AH!$P$12=1,$A2999=TODAY()),TODAY(),NA()),IF(AH!$P$10=1,INDEX('Live History'!$D$5:$D$3004,MATCH($A2999,'Live History'!$D$5:$D$3004,1)),INDEX('AH History'!$E$1:$E$18046,AH!$P$7+2994))),NA()),NA())</ns0:f>
        <ns0:v/>
      </ns0:c>
      <ns0:c r="G2999">
        <ns0:f>IFERROR(IF(ISNUMBER($A2999),IF(AND(AH!$P$10=1,AH!$P$12=1,$A2999=TODAY()),IF(AND(AH!$P$10=1,AH!$P$12=1,$A2999=TODAY()),TODAY(),NA()),IF(AH!$P$10=1,INDEX('Live History'!$G$5:$G$3004,MATCH($A2999,'Live History'!$G$5:$G$3004,1)),INDEX('AH History'!$F$1:$F$18046,AH!$P$7+2994))),NA()),NA())</ns0:f>
        <ns0:v/>
      </ns0:c>
      <ns0:c r="H2999">
        <ns0:f>IFERROR(IF(AND(AH!$E$4="Bloomberg",AH!$P$10=1,ISNUMBER($A2999),$A2999&lt;=AH!$P$17),AH!$P$7-1+MATCH($A2999,INDEX('AH History'!$A$1:$A$18046,AH!$P$7):INDEX('AH History'!$A$1:$A$18046,AH!$P$7+AH!$P$8-1),0),0),0)</ns0:f>
        <ns0:v/>
      </ns0:c>
      <ns0:c r="I2999">
        <ns0:f>IF($H2999=0,0,IFERROR(IF(AND(ABS($C2999-INDEX('AH History'!$B$1:$B$18046,$H2999))&lt;=MAX(0.005,ABS(INDEX('AH History'!$B$1:$B$18046,$H2999))*0.00005),ABS($D2999-INDEX('AH History'!$C$1:$C$18046,$H2999))&lt;=MAX(0.005,ABS(INDEX('AH History'!$C$1:$C$18046,$H2999))*0.00005),ABS($E2999-INDEX('AH History'!$D$1:$D$18046,$H2999))&lt;=0.00005,$F2999=INDEX('AH History'!$E$1:$E$18046,$H2999),$G2999=INDEX('AH History'!$F$1:$F$18046,$H2999)),1,-1),-1))</ns0:f>
        <ns0:v/>
      </ns0:c>
    </ns0:row>
    <ns0:row r="3000">
      <ns0:c r="A3000" s="215">
        <ns0:f>IF(OR(AH!$P$3=0,2995+1&gt;AH!$P$11,AND(AH!$E$4&lt;&gt;"Stored",AH!$P$10&lt;&gt;1)),"",IFERROR(IF(AND(AH!$P$21=1,2995+1=AH!$P$11),TODAY(),IF(AH!$P$10=1,INDEX('Live History'!$A$5:$A$3004,AH!$P$13+2995),INDEX('AH History'!$A$1:$A$18046,AH!$P$7+2995))),""))</ns0:f>
        <ns0:v/>
      </ns0:c>
      <ns0:c r="B3000" s="219">
        <ns0:f>IFERROR(IF(AND(AH!$P$9&lt;&gt;1,$C3000&gt;0,$D3000&gt;0,$E3000&gt;0,$F3000&gt;0,$G3000&gt;0,$F3000&lt;=$A3000,$G3000&lt;=$A3000,$A3000-$F3000&lt;=10,$A3000-$G3000&lt;=5),$D3000*$E3000/$C3000-1,NA()),NA())</ns0:f>
        <ns0:v/>
      </ns0:c>
      <ns0:c r="C3000">
        <ns0:f>IFERROR(IF(ISNUMBER($A3000),IF(AND(AH!$P$10=1,AH!$P$12=1,$A3000=TODAY()),AH!$P$19,IF(AH!$P$10=1,INDEX('Live History'!$B$5:$B$3004,AH!$P$13+2995),INDEX('AH History'!$B$1:$B$18046,AH!$P$7+2995))),NA()),NA())</ns0:f>
        <ns0:v/>
      </ns0:c>
      <ns0:c r="D3000">
        <ns0:f>IFERROR(IF(ISNUMBER($A3000),IF(AND(AH!$P$10=1,AH!$P$12=1,$A3000=TODAY()),AH!$P$18,IF(AH!$P$10=1,INDEX('Live History'!$E$5:$E$3004,MATCH($A3000,'Live History'!$D$5:$D$3004,1)),INDEX('AH History'!$C$1:$C$18046,AH!$P$7+2995))),NA()),NA())</ns0:f>
        <ns0:v/>
      </ns0:c>
      <ns0:c r="E3000">
        <ns0:f>IFERROR(IF(ISNUMBER($A3000),IF(AND(AH!$P$10=1,AH!$P$12=1,$A3000=TODAY()),AH!$P$20,IF(AH!$P$10=1,INDEX('Live History'!$H$5:$H$3004,MATCH($A3000,'Live History'!$G$5:$G$3004,1)),INDEX('AH History'!$D$1:$D$18046,AH!$P$7+2995))),NA()),NA())</ns0:f>
        <ns0:v/>
      </ns0:c>
      <ns0:c r="F3000">
        <ns0:f>IFERROR(IF(ISNUMBER($A3000),IF(AND(AH!$P$10=1,AH!$P$12=1,$A3000=TODAY()),IF(AND(AH!$P$10=1,AH!$P$12=1,$A3000=TODAY()),TODAY(),NA()),IF(AH!$P$10=1,INDEX('Live History'!$D$5:$D$3004,MATCH($A3000,'Live History'!$D$5:$D$3004,1)),INDEX('AH History'!$E$1:$E$18046,AH!$P$7+2995))),NA()),NA())</ns0:f>
        <ns0:v/>
      </ns0:c>
      <ns0:c r="G3000">
        <ns0:f>IFERROR(IF(ISNUMBER($A3000),IF(AND(AH!$P$10=1,AH!$P$12=1,$A3000=TODAY()),IF(AND(AH!$P$10=1,AH!$P$12=1,$A3000=TODAY()),TODAY(),NA()),IF(AH!$P$10=1,INDEX('Live History'!$G$5:$G$3004,MATCH($A3000,'Live History'!$G$5:$G$3004,1)),INDEX('AH History'!$F$1:$F$18046,AH!$P$7+2995))),NA()),NA())</ns0:f>
        <ns0:v/>
      </ns0:c>
      <ns0:c r="H3000">
        <ns0:f>IFERROR(IF(AND(AH!$E$4="Bloomberg",AH!$P$10=1,ISNUMBER($A3000),$A3000&lt;=AH!$P$17),AH!$P$7-1+MATCH($A3000,INDEX('AH History'!$A$1:$A$18046,AH!$P$7):INDEX('AH History'!$A$1:$A$18046,AH!$P$7+AH!$P$8-1),0),0),0)</ns0:f>
        <ns0:v/>
      </ns0:c>
      <ns0:c r="I3000">
        <ns0:f>IF($H3000=0,0,IFERROR(IF(AND(ABS($C3000-INDEX('AH History'!$B$1:$B$18046,$H3000))&lt;=MAX(0.005,ABS(INDEX('AH History'!$B$1:$B$18046,$H3000))*0.00005),ABS($D3000-INDEX('AH History'!$C$1:$C$18046,$H3000))&lt;=MAX(0.005,ABS(INDEX('AH History'!$C$1:$C$18046,$H3000))*0.00005),ABS($E3000-INDEX('AH History'!$D$1:$D$18046,$H3000))&lt;=0.00005,$F3000=INDEX('AH History'!$E$1:$E$18046,$H3000),$G3000=INDEX('AH History'!$F$1:$F$18046,$H3000)),1,-1),-1))</ns0:f>
        <ns0:v/>
      </ns0:c>
    </ns0:row>
    <ns0:row r="3001">
      <ns0:c r="A3001" s="215">
        <ns0:f>IF(OR(AH!$P$3=0,2996+1&gt;AH!$P$11,AND(AH!$E$4&lt;&gt;"Stored",AH!$P$10&lt;&gt;1)),"",IFERROR(IF(AND(AH!$P$21=1,2996+1=AH!$P$11),TODAY(),IF(AH!$P$10=1,INDEX('Live History'!$A$5:$A$3004,AH!$P$13+2996),INDEX('AH History'!$A$1:$A$18046,AH!$P$7+2996))),""))</ns0:f>
        <ns0:v/>
      </ns0:c>
      <ns0:c r="B3001" s="219">
        <ns0:f>IFERROR(IF(AND(AH!$P$9&lt;&gt;1,$C3001&gt;0,$D3001&gt;0,$E3001&gt;0,$F3001&gt;0,$G3001&gt;0,$F3001&lt;=$A3001,$G3001&lt;=$A3001,$A3001-$F3001&lt;=10,$A3001-$G3001&lt;=5),$D3001*$E3001/$C3001-1,NA()),NA())</ns0:f>
        <ns0:v/>
      </ns0:c>
      <ns0:c r="C3001">
        <ns0:f>IFERROR(IF(ISNUMBER($A3001),IF(AND(AH!$P$10=1,AH!$P$12=1,$A3001=TODAY()),AH!$P$19,IF(AH!$P$10=1,INDEX('Live History'!$B$5:$B$3004,AH!$P$13+2996),INDEX('AH History'!$B$1:$B$18046,AH!$P$7+2996))),NA()),NA())</ns0:f>
        <ns0:v/>
      </ns0:c>
      <ns0:c r="D3001">
        <ns0:f>IFERROR(IF(ISNUMBER($A3001),IF(AND(AH!$P$10=1,AH!$P$12=1,$A3001=TODAY()),AH!$P$18,IF(AH!$P$10=1,INDEX('Live History'!$E$5:$E$3004,MATCH($A3001,'Live History'!$D$5:$D$3004,1)),INDEX('AH History'!$C$1:$C$18046,AH!$P$7+2996))),NA()),NA())</ns0:f>
        <ns0:v/>
      </ns0:c>
      <ns0:c r="E3001">
        <ns0:f>IFERROR(IF(ISNUMBER($A3001),IF(AND(AH!$P$10=1,AH!$P$12=1,$A3001=TODAY()),AH!$P$20,IF(AH!$P$10=1,INDEX('Live History'!$H$5:$H$3004,MATCH($A3001,'Live History'!$G$5:$G$3004,1)),INDEX('AH History'!$D$1:$D$18046,AH!$P$7+2996))),NA()),NA())</ns0:f>
        <ns0:v/>
      </ns0:c>
      <ns0:c r="F3001">
        <ns0:f>IFERROR(IF(ISNUMBER($A3001),IF(AND(AH!$P$10=1,AH!$P$12=1,$A3001=TODAY()),IF(AND(AH!$P$10=1,AH!$P$12=1,$A3001=TODAY()),TODAY(),NA()),IF(AH!$P$10=1,INDEX('Live History'!$D$5:$D$3004,MATCH($A3001,'Live History'!$D$5:$D$3004,1)),INDEX('AH History'!$E$1:$E$18046,AH!$P$7+2996))),NA()),NA())</ns0:f>
        <ns0:v/>
      </ns0:c>
      <ns0:c r="G3001">
        <ns0:f>IFERROR(IF(ISNUMBER($A3001),IF(AND(AH!$P$10=1,AH!$P$12=1,$A3001=TODAY()),IF(AND(AH!$P$10=1,AH!$P$12=1,$A3001=TODAY()),TODAY(),NA()),IF(AH!$P$10=1,INDEX('Live History'!$G$5:$G$3004,MATCH($A3001,'Live History'!$G$5:$G$3004,1)),INDEX('AH History'!$F$1:$F$18046,AH!$P$7+2996))),NA()),NA())</ns0:f>
        <ns0:v/>
      </ns0:c>
      <ns0:c r="H3001">
        <ns0:f>IFERROR(IF(AND(AH!$E$4="Bloomberg",AH!$P$10=1,ISNUMBER($A3001),$A3001&lt;=AH!$P$17),AH!$P$7-1+MATCH($A3001,INDEX('AH History'!$A$1:$A$18046,AH!$P$7):INDEX('AH History'!$A$1:$A$18046,AH!$P$7+AH!$P$8-1),0),0),0)</ns0:f>
        <ns0:v/>
      </ns0:c>
      <ns0:c r="I3001">
        <ns0:f>IF($H3001=0,0,IFERROR(IF(AND(ABS($C3001-INDEX('AH History'!$B$1:$B$18046,$H3001))&lt;=MAX(0.005,ABS(INDEX('AH History'!$B$1:$B$18046,$H3001))*0.00005),ABS($D3001-INDEX('AH History'!$C$1:$C$18046,$H3001))&lt;=MAX(0.005,ABS(INDEX('AH History'!$C$1:$C$18046,$H3001))*0.00005),ABS($E3001-INDEX('AH History'!$D$1:$D$18046,$H3001))&lt;=0.00005,$F3001=INDEX('AH History'!$E$1:$E$18046,$H3001),$G3001=INDEX('AH History'!$F$1:$F$18046,$H3001)),1,-1),-1))</ns0:f>
        <ns0:v/>
      </ns0:c>
    </ns0:row>
    <ns0:row r="3002">
      <ns0:c r="A3002" s="215">
        <ns0:f>IF(OR(AH!$P$3=0,2997+1&gt;AH!$P$11,AND(AH!$E$4&lt;&gt;"Stored",AH!$P$10&lt;&gt;1)),"",IFERROR(IF(AND(AH!$P$21=1,2997+1=AH!$P$11),TODAY(),IF(AH!$P$10=1,INDEX('Live History'!$A$5:$A$3004,AH!$P$13+2997),INDEX('AH History'!$A$1:$A$18046,AH!$P$7+2997))),""))</ns0:f>
        <ns0:v/>
      </ns0:c>
      <ns0:c r="B3002" s="219">
        <ns0:f>IFERROR(IF(AND(AH!$P$9&lt;&gt;1,$C3002&gt;0,$D3002&gt;0,$E3002&gt;0,$F3002&gt;0,$G3002&gt;0,$F3002&lt;=$A3002,$G3002&lt;=$A3002,$A3002-$F3002&lt;=10,$A3002-$G3002&lt;=5),$D3002*$E3002/$C3002-1,NA()),NA())</ns0:f>
        <ns0:v/>
      </ns0:c>
      <ns0:c r="C3002">
        <ns0:f>IFERROR(IF(ISNUMBER($A3002),IF(AND(AH!$P$10=1,AH!$P$12=1,$A3002=TODAY()),AH!$P$19,IF(AH!$P$10=1,INDEX('Live History'!$B$5:$B$3004,AH!$P$13+2997),INDEX('AH History'!$B$1:$B$18046,AH!$P$7+2997))),NA()),NA())</ns0:f>
        <ns0:v/>
      </ns0:c>
      <ns0:c r="D3002">
        <ns0:f>IFERROR(IF(ISNUMBER($A3002),IF(AND(AH!$P$10=1,AH!$P$12=1,$A3002=TODAY()),AH!$P$18,IF(AH!$P$10=1,INDEX('Live History'!$E$5:$E$3004,MATCH($A3002,'Live History'!$D$5:$D$3004,1)),INDEX('AH History'!$C$1:$C$18046,AH!$P$7+2997))),NA()),NA())</ns0:f>
        <ns0:v/>
      </ns0:c>
      <ns0:c r="E3002">
        <ns0:f>IFERROR(IF(ISNUMBER($A3002),IF(AND(AH!$P$10=1,AH!$P$12=1,$A3002=TODAY()),AH!$P$20,IF(AH!$P$10=1,INDEX('Live History'!$H$5:$H$3004,MATCH($A3002,'Live History'!$G$5:$G$3004,1)),INDEX('AH History'!$D$1:$D$18046,AH!$P$7+2997))),NA()),NA())</ns0:f>
        <ns0:v/>
      </ns0:c>
      <ns0:c r="F3002">
        <ns0:f>IFERROR(IF(ISNUMBER($A3002),IF(AND(AH!$P$10=1,AH!$P$12=1,$A3002=TODAY()),IF(AND(AH!$P$10=1,AH!$P$12=1,$A3002=TODAY()),TODAY(),NA()),IF(AH!$P$10=1,INDEX('Live History'!$D$5:$D$3004,MATCH($A3002,'Live History'!$D$5:$D$3004,1)),INDEX('AH History'!$E$1:$E$18046,AH!$P$7+2997))),NA()),NA())</ns0:f>
        <ns0:v/>
      </ns0:c>
      <ns0:c r="G3002">
        <ns0:f>IFERROR(IF(ISNUMBER($A3002),IF(AND(AH!$P$10=1,AH!$P$12=1,$A3002=TODAY()),IF(AND(AH!$P$10=1,AH!$P$12=1,$A3002=TODAY()),TODAY(),NA()),IF(AH!$P$10=1,INDEX('Live History'!$G$5:$G$3004,MATCH($A3002,'Live History'!$G$5:$G$3004,1)),INDEX('AH History'!$F$1:$F$18046,AH!$P$7+2997))),NA()),NA())</ns0:f>
        <ns0:v/>
      </ns0:c>
      <ns0:c r="H3002">
        <ns0:f>IFERROR(IF(AND(AH!$E$4="Bloomberg",AH!$P$10=1,ISNUMBER($A3002),$A3002&lt;=AH!$P$17),AH!$P$7-1+MATCH($A3002,INDEX('AH History'!$A$1:$A$18046,AH!$P$7):INDEX('AH History'!$A$1:$A$18046,AH!$P$7+AH!$P$8-1),0),0),0)</ns0:f>
        <ns0:v/>
      </ns0:c>
      <ns0:c r="I3002">
        <ns0:f>IF($H3002=0,0,IFERROR(IF(AND(ABS($C3002-INDEX('AH History'!$B$1:$B$18046,$H3002))&lt;=MAX(0.005,ABS(INDEX('AH History'!$B$1:$B$18046,$H3002))*0.00005),ABS($D3002-INDEX('AH History'!$C$1:$C$18046,$H3002))&lt;=MAX(0.005,ABS(INDEX('AH History'!$C$1:$C$18046,$H3002))*0.00005),ABS($E3002-INDEX('AH History'!$D$1:$D$18046,$H3002))&lt;=0.00005,$F3002=INDEX('AH History'!$E$1:$E$18046,$H3002),$G3002=INDEX('AH History'!$F$1:$F$18046,$H3002)),1,-1),-1))</ns0:f>
        <ns0:v/>
      </ns0:c>
    </ns0:row>
    <ns0:row r="3003">
      <ns0:c r="A3003" s="215">
        <ns0:f>IF(OR(AH!$P$3=0,2998+1&gt;AH!$P$11,AND(AH!$E$4&lt;&gt;"Stored",AH!$P$10&lt;&gt;1)),"",IFERROR(IF(AND(AH!$P$21=1,2998+1=AH!$P$11),TODAY(),IF(AH!$P$10=1,INDEX('Live History'!$A$5:$A$3004,AH!$P$13+2998),INDEX('AH History'!$A$1:$A$18046,AH!$P$7+2998))),""))</ns0:f>
        <ns0:v/>
      </ns0:c>
      <ns0:c r="B3003" s="219">
        <ns0:f>IFERROR(IF(AND(AH!$P$9&lt;&gt;1,$C3003&gt;0,$D3003&gt;0,$E3003&gt;0,$F3003&gt;0,$G3003&gt;0,$F3003&lt;=$A3003,$G3003&lt;=$A3003,$A3003-$F3003&lt;=10,$A3003-$G3003&lt;=5),$D3003*$E3003/$C3003-1,NA()),NA())</ns0:f>
        <ns0:v/>
      </ns0:c>
      <ns0:c r="C3003">
        <ns0:f>IFERROR(IF(ISNUMBER($A3003),IF(AND(AH!$P$10=1,AH!$P$12=1,$A3003=TODAY()),AH!$P$19,IF(AH!$P$10=1,INDEX('Live History'!$B$5:$B$3004,AH!$P$13+2998),INDEX('AH History'!$B$1:$B$18046,AH!$P$7+2998))),NA()),NA())</ns0:f>
        <ns0:v/>
      </ns0:c>
      <ns0:c r="D3003">
        <ns0:f>IFERROR(IF(ISNUMBER($A3003),IF(AND(AH!$P$10=1,AH!$P$12=1,$A3003=TODAY()),AH!$P$18,IF(AH!$P$10=1,INDEX('Live History'!$E$5:$E$3004,MATCH($A3003,'Live History'!$D$5:$D$3004,1)),INDEX('AH History'!$C$1:$C$18046,AH!$P$7+2998))),NA()),NA())</ns0:f>
        <ns0:v/>
      </ns0:c>
      <ns0:c r="E3003">
        <ns0:f>IFERROR(IF(ISNUMBER($A3003),IF(AND(AH!$P$10=1,AH!$P$12=1,$A3003=TODAY()),AH!$P$20,IF(AH!$P$10=1,INDEX('Live History'!$H$5:$H$3004,MATCH($A3003,'Live History'!$G$5:$G$3004,1)),INDEX('AH History'!$D$1:$D$18046,AH!$P$7+2998))),NA()),NA())</ns0:f>
        <ns0:v/>
      </ns0:c>
      <ns0:c r="F3003">
        <ns0:f>IFERROR(IF(ISNUMBER($A3003),IF(AND(AH!$P$10=1,AH!$P$12=1,$A3003=TODAY()),IF(AND(AH!$P$10=1,AH!$P$12=1,$A3003=TODAY()),TODAY(),NA()),IF(AH!$P$10=1,INDEX('Live History'!$D$5:$D$3004,MATCH($A3003,'Live History'!$D$5:$D$3004,1)),INDEX('AH History'!$E$1:$E$18046,AH!$P$7+2998))),NA()),NA())</ns0:f>
        <ns0:v/>
      </ns0:c>
      <ns0:c r="G3003">
        <ns0:f>IFERROR(IF(ISNUMBER($A3003),IF(AND(AH!$P$10=1,AH!$P$12=1,$A3003=TODAY()),IF(AND(AH!$P$10=1,AH!$P$12=1,$A3003=TODAY()),TODAY(),NA()),IF(AH!$P$10=1,INDEX('Live History'!$G$5:$G$3004,MATCH($A3003,'Live History'!$G$5:$G$3004,1)),INDEX('AH History'!$F$1:$F$18046,AH!$P$7+2998))),NA()),NA())</ns0:f>
        <ns0:v/>
      </ns0:c>
      <ns0:c r="H3003">
        <ns0:f>IFERROR(IF(AND(AH!$E$4="Bloomberg",AH!$P$10=1,ISNUMBER($A3003),$A3003&lt;=AH!$P$17),AH!$P$7-1+MATCH($A3003,INDEX('AH History'!$A$1:$A$18046,AH!$P$7):INDEX('AH History'!$A$1:$A$18046,AH!$P$7+AH!$P$8-1),0),0),0)</ns0:f>
        <ns0:v/>
      </ns0:c>
      <ns0:c r="I3003">
        <ns0:f>IF($H3003=0,0,IFERROR(IF(AND(ABS($C3003-INDEX('AH History'!$B$1:$B$18046,$H3003))&lt;=MAX(0.005,ABS(INDEX('AH History'!$B$1:$B$18046,$H3003))*0.00005),ABS($D3003-INDEX('AH History'!$C$1:$C$18046,$H3003))&lt;=MAX(0.005,ABS(INDEX('AH History'!$C$1:$C$18046,$H3003))*0.00005),ABS($E3003-INDEX('AH History'!$D$1:$D$18046,$H3003))&lt;=0.00005,$F3003=INDEX('AH History'!$E$1:$E$18046,$H3003),$G3003=INDEX('AH History'!$F$1:$F$18046,$H3003)),1,-1),-1))</ns0:f>
        <ns0:v/>
      </ns0:c>
    </ns0:row>
    <ns0:row r="3004">
      <ns0:c r="A3004" s="215">
        <ns0:f>IF(OR(AH!$P$3=0,2999+1&gt;AH!$P$11,AND(AH!$E$4&lt;&gt;"Stored",AH!$P$10&lt;&gt;1)),"",IFERROR(IF(AND(AH!$P$21=1,2999+1=AH!$P$11),TODAY(),IF(AH!$P$10=1,INDEX('Live History'!$A$5:$A$3004,AH!$P$13+2999),INDEX('AH History'!$A$1:$A$18046,AH!$P$7+2999))),""))</ns0:f>
        <ns0:v/>
      </ns0:c>
      <ns0:c r="B3004" s="219">
        <ns0:f>IFERROR(IF(AND(AH!$P$9&lt;&gt;1,$C3004&gt;0,$D3004&gt;0,$E3004&gt;0,$F3004&gt;0,$G3004&gt;0,$F3004&lt;=$A3004,$G3004&lt;=$A3004,$A3004-$F3004&lt;=10,$A3004-$G3004&lt;=5),$D3004*$E3004/$C3004-1,NA()),NA())</ns0:f>
        <ns0:v/>
      </ns0:c>
      <ns0:c r="C3004">
        <ns0:f>IFERROR(IF(ISNUMBER($A3004),IF(AND(AH!$P$10=1,AH!$P$12=1,$A3004=TODAY()),AH!$P$19,IF(AH!$P$10=1,INDEX('Live History'!$B$5:$B$3004,AH!$P$13+2999),INDEX('AH History'!$B$1:$B$18046,AH!$P$7+2999))),NA()),NA())</ns0:f>
        <ns0:v/>
      </ns0:c>
      <ns0:c r="D3004">
        <ns0:f>IFERROR(IF(ISNUMBER($A3004),IF(AND(AH!$P$10=1,AH!$P$12=1,$A3004=TODAY()),AH!$P$18,IF(AH!$P$10=1,INDEX('Live History'!$E$5:$E$3004,MATCH($A3004,'Live History'!$D$5:$D$3004,1)),INDEX('AH History'!$C$1:$C$18046,AH!$P$7+2999))),NA()),NA())</ns0:f>
        <ns0:v/>
      </ns0:c>
      <ns0:c r="E3004">
        <ns0:f>IFERROR(IF(ISNUMBER($A3004),IF(AND(AH!$P$10=1,AH!$P$12=1,$A3004=TODAY()),AH!$P$20,IF(AH!$P$10=1,INDEX('Live History'!$H$5:$H$3004,MATCH($A3004,'Live History'!$G$5:$G$3004,1)),INDEX('AH History'!$D$1:$D$18046,AH!$P$7+2999))),NA()),NA())</ns0:f>
        <ns0:v/>
      </ns0:c>
      <ns0:c r="F3004">
        <ns0:f>IFERROR(IF(ISNUMBER($A3004),IF(AND(AH!$P$10=1,AH!$P$12=1,$A3004=TODAY()),IF(AND(AH!$P$10=1,AH!$P$12=1,$A3004=TODAY()),TODAY(),NA()),IF(AH!$P$10=1,INDEX('Live History'!$D$5:$D$3004,MATCH($A3004,'Live History'!$D$5:$D$3004,1)),INDEX('AH History'!$E$1:$E$18046,AH!$P$7+2999))),NA()),NA())</ns0:f>
        <ns0:v/>
      </ns0:c>
      <ns0:c r="G3004">
        <ns0:f>IFERROR(IF(ISNUMBER($A3004),IF(AND(AH!$P$10=1,AH!$P$12=1,$A3004=TODAY()),IF(AND(AH!$P$10=1,AH!$P$12=1,$A3004=TODAY()),TODAY(),NA()),IF(AH!$P$10=1,INDEX('Live History'!$G$5:$G$3004,MATCH($A3004,'Live History'!$G$5:$G$3004,1)),INDEX('AH History'!$F$1:$F$18046,AH!$P$7+2999))),NA()),NA())</ns0:f>
        <ns0:v/>
      </ns0:c>
      <ns0:c r="H3004">
        <ns0:f>IFERROR(IF(AND(AH!$E$4="Bloomberg",AH!$P$10=1,ISNUMBER($A3004),$A3004&lt;=AH!$P$17),AH!$P$7-1+MATCH($A3004,INDEX('AH History'!$A$1:$A$18046,AH!$P$7):INDEX('AH History'!$A$1:$A$18046,AH!$P$7+AH!$P$8-1),0),0),0)</ns0:f>
        <ns0:v/>
      </ns0:c>
      <ns0:c r="I3004">
        <ns0:f>IF($H3004=0,0,IFERROR(IF(AND(ABS($C3004-INDEX('AH History'!$B$1:$B$18046,$H3004))&lt;=MAX(0.005,ABS(INDEX('AH History'!$B$1:$B$18046,$H3004))*0.00005),ABS($D3004-INDEX('AH History'!$C$1:$C$18046,$H3004))&lt;=MAX(0.005,ABS(INDEX('AH History'!$C$1:$C$18046,$H3004))*0.00005),ABS($E3004-INDEX('AH History'!$D$1:$D$18046,$H3004))&lt;=0.00005,$F3004=INDEX('AH History'!$E$1:$E$18046,$H3004),$G3004=INDEX('AH History'!$F$1:$F$18046,$H3004)),1,-1),-1))</ns0:f>
        <ns0:v/>
      </ns0:c>
    </ns0:row>
  </ns0:sheetData>
  <ns0:printOptions horizontalCentered="1"/>
  <ns0:pageMargins left="0.75" right="0.75" top="1" bottom="1" header="0.5" footer="0.5"/>
  <ns0:pageSetup orientation="landscape" paperSize="8" fitToHeight="0" fitToWidth="1"/>
</ns0:worksheet>
</file>

<file path=xl/worksheets/sheet19.xml><?xml version="1.0" encoding="utf-8"?>
<worksheet xmlns="http://schemas.openxmlformats.org/spreadsheetml/2006/main">
  <sheetPr>
    <outlinePr summaryBelow="1" summaryRight="1"/>
    <pageSetUpPr fitToPage="1"/>
  </sheetPr>
  <dimension ref="A1:AH539"/>
  <sheetViews>
    <sheetView showGridLines="0" zoomScale="95"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ht="30" customHeight="1">
      <c r="A1" s="16" t="inlineStr">
        <is>
          <t>SCORING ENGINE</t>
        </is>
      </c>
      <c r="S1" s="71" t="inlineStr">
        <is>
          <t>target cornerstone split</t>
        </is>
      </c>
      <c r="T1" s="220">
        <f>IFERROR(INDEX(Database!$AC$5:$AC$528,MATCH(Screener!$B$5,Database!$B$5:$B$528,0))&amp;"","")</f>
        <v/>
      </c>
      <c r="U1" s="220">
        <f>TRIM(IFERROR(LEFT($T$1,FIND(";",$T$1&amp;";")-1),$T$1))</f>
        <v/>
      </c>
      <c r="V1" s="220">
        <f>TRIM(IFERROR(LEFT($T$2,FIND(";",$T$2&amp;";")-1),$T$2))</f>
        <v/>
      </c>
      <c r="W1" s="220">
        <f>TRIM(IFERROR(LEFT($T$3,FIND(";",$T$3&amp;";")-1),$T$3))</f>
        <v/>
      </c>
      <c r="X1" s="220">
        <f>TRIM(IFERROR(LEFT($T$4,FIND(";",$T$4&amp;";")-1),$T$4))</f>
        <v/>
      </c>
      <c r="Y1" s="220">
        <f>TRIM(IFERROR(LEFT($T$5,FIND(";",$T$5&amp;";")-1),$T$5))</f>
        <v/>
      </c>
    </row>
    <row r="2" ht="34" customHeight="1">
      <c r="A2" s="17" t="inlineStr">
        <is>
          <t>One row per Database deal. The Screener ranks on the SCORE column (K). Weights are named cells on the Notes tab.</t>
        </is>
      </c>
      <c r="T2" s="220">
        <f>IFERROR(MID($T$1,FIND(";",$T$1)+1,9999),"")</f>
        <v/>
      </c>
      <c r="AA2" s="71" t="inlineStr">
        <is>
          <t>name</t>
        </is>
      </c>
      <c r="AB2" s="71" t="inlineStr">
        <is>
          <t>sector</t>
        </is>
      </c>
      <c r="AC2" s="71" t="inlineStr">
        <is>
          <t>subsector</t>
        </is>
      </c>
      <c r="AD2" s="71" t="inlineStr">
        <is>
          <t>size HK$m</t>
        </is>
      </c>
      <c r="AE2" s="71" t="inlineStr">
        <is>
          <t>profitable</t>
        </is>
      </c>
      <c r="AF2" s="71" t="inlineStr">
        <is>
          <t>H-share</t>
        </is>
      </c>
      <c r="AG2" s="71" t="inlineStr">
        <is>
          <t>date</t>
        </is>
      </c>
    </row>
    <row r="3">
      <c r="T3" s="220">
        <f>IFERROR(MID($T$2,FIND(";",$T$2)+1,9999),"")</f>
        <v/>
      </c>
      <c r="AA3" s="220">
        <f>Pipeline!B6</f>
        <v/>
      </c>
      <c r="AB3" s="220">
        <f>Pipeline!F6</f>
        <v/>
      </c>
      <c r="AC3" s="220">
        <f>Pipeline!G6</f>
        <v/>
      </c>
      <c r="AD3" s="220">
        <f>Pipeline!H6</f>
        <v/>
      </c>
      <c r="AE3" s="220">
        <f>Pipeline!S6</f>
        <v/>
      </c>
      <c r="AF3" s="220">
        <f>Pipeline!T6</f>
        <v/>
      </c>
      <c r="AG3" s="220">
        <f>Pipeline!E6</f>
        <v/>
      </c>
      <c r="AH3" s="220">
        <f>Pipeline!M6</f>
        <v/>
      </c>
    </row>
    <row r="4" ht="30" customHeight="1">
      <c r="A4" s="26" t="inlineStr">
        <is>
          <t>Deal</t>
        </is>
      </c>
      <c r="B4" s="26" t="inlineStr">
        <is>
          <t>Subsector =</t>
        </is>
      </c>
      <c r="C4" s="26" t="inlineStr">
        <is>
          <t>Sector =</t>
        </is>
      </c>
      <c r="D4" s="26" t="inlineStr">
        <is>
          <t>Size pts</t>
        </is>
      </c>
      <c r="E4" s="26" t="inlineStr">
        <is>
          <t>Profit =</t>
        </is>
      </c>
      <c r="F4" s="26" t="inlineStr">
        <is>
          <t>A/H =</t>
        </is>
      </c>
      <c r="G4" s="26" t="inlineStr">
        <is>
          <t>Recency</t>
        </is>
      </c>
      <c r="H4" s="26" t="inlineStr">
        <is>
          <t>Cornerstone</t>
        </is>
      </c>
      <c r="I4" s="26" t="inlineStr">
        <is>
          <t>P/E prox</t>
        </is>
      </c>
      <c r="J4" s="26" t="inlineStr">
        <is>
          <t>Demand prox</t>
        </is>
      </c>
      <c r="K4" s="26" t="inlineStr">
        <is>
          <t>SCORE</t>
        </is>
      </c>
      <c r="T4" s="220">
        <f>IFERROR(MID($T$3,FIND(";",$T$3)+1,9999),"")</f>
        <v/>
      </c>
      <c r="AA4" s="220">
        <f>Pipeline!B7</f>
        <v/>
      </c>
      <c r="AB4" s="220">
        <f>Pipeline!F7</f>
        <v/>
      </c>
      <c r="AC4" s="220">
        <f>Pipeline!G7</f>
        <v/>
      </c>
      <c r="AD4" s="220">
        <f>Pipeline!H7</f>
        <v/>
      </c>
      <c r="AE4" s="220">
        <f>Pipeline!S7</f>
        <v/>
      </c>
      <c r="AF4" s="220">
        <f>Pipeline!T7</f>
        <v/>
      </c>
      <c r="AG4" s="220">
        <f>Pipeline!E7</f>
        <v/>
      </c>
      <c r="AH4" s="220">
        <f>Pipeline!M7</f>
        <v/>
      </c>
    </row>
    <row r="5">
      <c r="A5" s="220">
        <f>Database!B5</f>
        <v/>
      </c>
      <c r="B5" s="220">
        <f>IF(AND(Screener!$D$8&lt;&gt;"",Database!$E5=Screener!$D$8),1,0)</f>
        <v/>
      </c>
      <c r="C5" s="220">
        <f>IF(AND(Screener!$D$7&lt;&gt;"",Database!$D5=Screener!$D$7),1,0)</f>
        <v/>
      </c>
      <c r="D5" s="220">
        <f>IF(OR(N(Database!$I5)&lt;=0,N(Screener!$D$9)&lt;=0),0,MAX(0,1-ABS(LOG10(N(Database!$I5)/Screener!$D$9))/W_SIZEHW))</f>
        <v/>
      </c>
      <c r="E5" s="220">
        <f>IF(OR(Database!$BG5="",Screener!$D$10=""),0,IF(Database!$BG5=Screener!$D$10,1,0))</f>
        <v/>
      </c>
      <c r="F5" s="220">
        <f>IF(OR(Database!$BM5="",Screener!$D$11=""),0,IF(Database!$BM5=Screener!$D$11,1,0))</f>
        <v/>
      </c>
      <c r="G5" s="220">
        <f>IF(OR(Database!$H5="",N(Screener!$D$12)&lt;=0),0,MAX(0,1-(N(Screener!$D$12)-Database!$H5)/W_RECD))</f>
        <v/>
      </c>
      <c r="H5" s="220">
        <f>IF($U$1="",0,N(ISNUMBER(SEARCH($U$1,Database!$AC5&amp;""))))+IF($V$1="",0,N(ISNUMBER(SEARCH($V$1,Database!$AC5&amp;""))))+IF($W$1="",0,N(ISNUMBER(SEARCH($W$1,Database!$AC5&amp;""))))+IF($X$1="",0,N(ISNUMBER(SEARCH($X$1,Database!$AC5&amp;""))))+IF($Y$1="",0,N(ISNUMBER(SEARCH($Y$1,Database!$AC5&amp;""))))+IF(Screener!$B$17="",0,N(ISNUMBER(SEARCH(LOWER(Screener!$B$17),Database!$AC5&amp;""))))</f>
        <v/>
      </c>
      <c r="I5" s="220">
        <f>IF(OR(N(Database!$BH5)&lt;=0,N(Screener!$D$13)&lt;=0),0,MAX(0,1-ABS(LOG10(N(Database!$BH5)/Screener!$D$13))/W_PEHW))</f>
        <v/>
      </c>
      <c r="J5" s="220">
        <f>IF(OR(N(Database!$S5)&lt;=0,N(Screener!$D$14)&lt;=0),0,MAX(0,1-ABS(LOG10(Database!$S5/Screener!$D$14))/0.6))</f>
        <v/>
      </c>
      <c r="K5" s="220">
        <f>IF(Database!$B5=Screener!$B$5,-999999,IF(ISNUMBER(SEARCH(","&amp;Database!$A5&amp;",",","&amp;SUBSTITUTE(Screener!$D$17," ","")&amp;",")),2000000,IF(IF(OR(Screener!$B$18="All",AND(Screener!$B$18="With A-share",(Database!$BM5="Y")),AND(Screener!$B$18="Without A-share",NOT((Database!$BM5="Y")))),1,0)=0,-999999,IF(Screener!$B$16="cornerstone overlap first",H5*100000,IF(Screener!$B$16="demand-similar first",J5*100000,0))+W_SUB*B5+W_SEC*C5*(1-B5)+W_SIZE*D5+W_PROF*E5+W_AH*F5+W_REC*G5+W_CS*H5+W_PE*I5)))+ROW()/1000000</f>
        <v/>
      </c>
      <c r="T5" s="220">
        <f>IFERROR(MID($T$4,FIND(";",$T$4)+1,9999),"")</f>
        <v/>
      </c>
      <c r="AA5" s="220">
        <f>Pipeline!B8</f>
        <v/>
      </c>
      <c r="AB5" s="220">
        <f>Pipeline!F8</f>
        <v/>
      </c>
      <c r="AC5" s="220">
        <f>Pipeline!G8</f>
        <v/>
      </c>
      <c r="AD5" s="220">
        <f>Pipeline!H8</f>
        <v/>
      </c>
      <c r="AE5" s="220">
        <f>Pipeline!S8</f>
        <v/>
      </c>
      <c r="AF5" s="220">
        <f>Pipeline!T8</f>
        <v/>
      </c>
      <c r="AG5" s="220">
        <f>Pipeline!E8</f>
        <v/>
      </c>
      <c r="AH5" s="220">
        <f>Pipeline!M8</f>
        <v/>
      </c>
    </row>
    <row r="6">
      <c r="A6" s="220">
        <f>Database!B6</f>
        <v/>
      </c>
      <c r="B6" s="220">
        <f>IF(AND(Screener!$D$8&lt;&gt;"",Database!$E6=Screener!$D$8),1,0)</f>
        <v/>
      </c>
      <c r="C6" s="220">
        <f>IF(AND(Screener!$D$7&lt;&gt;"",Database!$D6=Screener!$D$7),1,0)</f>
        <v/>
      </c>
      <c r="D6" s="220">
        <f>IF(OR(N(Database!$I6)&lt;=0,N(Screener!$D$9)&lt;=0),0,MAX(0,1-ABS(LOG10(N(Database!$I6)/Screener!$D$9))/W_SIZEHW))</f>
        <v/>
      </c>
      <c r="E6" s="220">
        <f>IF(OR(Database!$BG6="",Screener!$D$10=""),0,IF(Database!$BG6=Screener!$D$10,1,0))</f>
        <v/>
      </c>
      <c r="F6" s="220">
        <f>IF(OR(Database!$BM6="",Screener!$D$11=""),0,IF(Database!$BM6=Screener!$D$11,1,0))</f>
        <v/>
      </c>
      <c r="G6" s="220">
        <f>IF(OR(Database!$H6="",N(Screener!$D$12)&lt;=0),0,MAX(0,1-(N(Screener!$D$12)-Database!$H6)/W_RECD))</f>
        <v/>
      </c>
      <c r="H6" s="220">
        <f>IF($U$1="",0,N(ISNUMBER(SEARCH($U$1,Database!$AC6&amp;""))))+IF($V$1="",0,N(ISNUMBER(SEARCH($V$1,Database!$AC6&amp;""))))+IF($W$1="",0,N(ISNUMBER(SEARCH($W$1,Database!$AC6&amp;""))))+IF($X$1="",0,N(ISNUMBER(SEARCH($X$1,Database!$AC6&amp;""))))+IF($Y$1="",0,N(ISNUMBER(SEARCH($Y$1,Database!$AC6&amp;""))))+IF(Screener!$B$17="",0,N(ISNUMBER(SEARCH(LOWER(Screener!$B$17),Database!$AC6&amp;""))))</f>
        <v/>
      </c>
      <c r="I6" s="220">
        <f>IF(OR(N(Database!$BH6)&lt;=0,N(Screener!$D$13)&lt;=0),0,MAX(0,1-ABS(LOG10(N(Database!$BH6)/Screener!$D$13))/W_PEHW))</f>
        <v/>
      </c>
      <c r="J6" s="220">
        <f>IF(OR(N(Database!$S6)&lt;=0,N(Screener!$D$14)&lt;=0),0,MAX(0,1-ABS(LOG10(Database!$S6/Screener!$D$14))/0.6))</f>
        <v/>
      </c>
      <c r="K6" s="220">
        <f>IF(Database!$B6=Screener!$B$5,-999999,IF(ISNUMBER(SEARCH(","&amp;Database!$A6&amp;",",","&amp;SUBSTITUTE(Screener!$D$17," ","")&amp;",")),2000000,IF(IF(OR(Screener!$B$18="All",AND(Screener!$B$18="With A-share",(Database!$BM6="Y")),AND(Screener!$B$18="Without A-share",NOT((Database!$BM6="Y")))),1,0)=0,-999999,IF(Screener!$B$16="cornerstone overlap first",H6*100000,IF(Screener!$B$16="demand-similar first",J6*100000,0))+W_SUB*B6+W_SEC*C6*(1-B6)+W_SIZE*D6+W_PROF*E6+W_AH*F6+W_REC*G6+W_CS*H6+W_PE*I6)))+ROW()/1000000</f>
        <v/>
      </c>
      <c r="AA6" s="220">
        <f>Pipeline!B9</f>
        <v/>
      </c>
      <c r="AB6" s="220">
        <f>Pipeline!F9</f>
        <v/>
      </c>
      <c r="AC6" s="220">
        <f>Pipeline!G9</f>
        <v/>
      </c>
      <c r="AD6" s="220">
        <f>Pipeline!H9</f>
        <v/>
      </c>
      <c r="AE6" s="220">
        <f>Pipeline!S9</f>
        <v/>
      </c>
      <c r="AF6" s="220">
        <f>Pipeline!T9</f>
        <v/>
      </c>
      <c r="AG6" s="220">
        <f>Pipeline!E9</f>
        <v/>
      </c>
      <c r="AH6" s="220">
        <f>Pipeline!M9</f>
        <v/>
      </c>
    </row>
    <row r="7">
      <c r="A7" s="220">
        <f>Database!B7</f>
        <v/>
      </c>
      <c r="B7" s="220">
        <f>IF(AND(Screener!$D$8&lt;&gt;"",Database!$E7=Screener!$D$8),1,0)</f>
        <v/>
      </c>
      <c r="C7" s="220">
        <f>IF(AND(Screener!$D$7&lt;&gt;"",Database!$D7=Screener!$D$7),1,0)</f>
        <v/>
      </c>
      <c r="D7" s="220">
        <f>IF(OR(N(Database!$I7)&lt;=0,N(Screener!$D$9)&lt;=0),0,MAX(0,1-ABS(LOG10(N(Database!$I7)/Screener!$D$9))/W_SIZEHW))</f>
        <v/>
      </c>
      <c r="E7" s="220">
        <f>IF(OR(Database!$BG7="",Screener!$D$10=""),0,IF(Database!$BG7=Screener!$D$10,1,0))</f>
        <v/>
      </c>
      <c r="F7" s="220">
        <f>IF(OR(Database!$BM7="",Screener!$D$11=""),0,IF(Database!$BM7=Screener!$D$11,1,0))</f>
        <v/>
      </c>
      <c r="G7" s="220">
        <f>IF(OR(Database!$H7="",N(Screener!$D$12)&lt;=0),0,MAX(0,1-(N(Screener!$D$12)-Database!$H7)/W_RECD))</f>
        <v/>
      </c>
      <c r="H7" s="220">
        <f>IF($U$1="",0,N(ISNUMBER(SEARCH($U$1,Database!$AC7&amp;""))))+IF($V$1="",0,N(ISNUMBER(SEARCH($V$1,Database!$AC7&amp;""))))+IF($W$1="",0,N(ISNUMBER(SEARCH($W$1,Database!$AC7&amp;""))))+IF($X$1="",0,N(ISNUMBER(SEARCH($X$1,Database!$AC7&amp;""))))+IF($Y$1="",0,N(ISNUMBER(SEARCH($Y$1,Database!$AC7&amp;""))))+IF(Screener!$B$17="",0,N(ISNUMBER(SEARCH(LOWER(Screener!$B$17),Database!$AC7&amp;""))))</f>
        <v/>
      </c>
      <c r="I7" s="220">
        <f>IF(OR(N(Database!$BH7)&lt;=0,N(Screener!$D$13)&lt;=0),0,MAX(0,1-ABS(LOG10(N(Database!$BH7)/Screener!$D$13))/W_PEHW))</f>
        <v/>
      </c>
      <c r="J7" s="220">
        <f>IF(OR(N(Database!$S7)&lt;=0,N(Screener!$D$14)&lt;=0),0,MAX(0,1-ABS(LOG10(Database!$S7/Screener!$D$14))/0.6))</f>
        <v/>
      </c>
      <c r="K7" s="220">
        <f>IF(Database!$B7=Screener!$B$5,-999999,IF(ISNUMBER(SEARCH(","&amp;Database!$A7&amp;",",","&amp;SUBSTITUTE(Screener!$D$17," ","")&amp;",")),2000000,IF(IF(OR(Screener!$B$18="All",AND(Screener!$B$18="With A-share",(Database!$BM7="Y")),AND(Screener!$B$18="Without A-share",NOT((Database!$BM7="Y")))),1,0)=0,-999999,IF(Screener!$B$16="cornerstone overlap first",H7*100000,IF(Screener!$B$16="demand-similar first",J7*100000,0))+W_SUB*B7+W_SEC*C7*(1-B7)+W_SIZE*D7+W_PROF*E7+W_AH*F7+W_REC*G7+W_CS*H7+W_PE*I7)))+ROW()/1000000</f>
        <v/>
      </c>
      <c r="AA7" s="220">
        <f>Pipeline!B10</f>
        <v/>
      </c>
      <c r="AB7" s="220">
        <f>Pipeline!F10</f>
        <v/>
      </c>
      <c r="AC7" s="220">
        <f>Pipeline!G10</f>
        <v/>
      </c>
      <c r="AD7" s="220">
        <f>Pipeline!H10</f>
        <v/>
      </c>
      <c r="AE7" s="220">
        <f>Pipeline!S10</f>
        <v/>
      </c>
      <c r="AF7" s="220">
        <f>Pipeline!T10</f>
        <v/>
      </c>
      <c r="AG7" s="220">
        <f>Pipeline!E10</f>
        <v/>
      </c>
      <c r="AH7" s="220">
        <f>Pipeline!M10</f>
        <v/>
      </c>
    </row>
    <row r="8">
      <c r="A8" s="220">
        <f>Database!B8</f>
        <v/>
      </c>
      <c r="B8" s="220">
        <f>IF(AND(Screener!$D$8&lt;&gt;"",Database!$E8=Screener!$D$8),1,0)</f>
        <v/>
      </c>
      <c r="C8" s="220">
        <f>IF(AND(Screener!$D$7&lt;&gt;"",Database!$D8=Screener!$D$7),1,0)</f>
        <v/>
      </c>
      <c r="D8" s="220">
        <f>IF(OR(N(Database!$I8)&lt;=0,N(Screener!$D$9)&lt;=0),0,MAX(0,1-ABS(LOG10(N(Database!$I8)/Screener!$D$9))/W_SIZEHW))</f>
        <v/>
      </c>
      <c r="E8" s="220">
        <f>IF(OR(Database!$BG8="",Screener!$D$10=""),0,IF(Database!$BG8=Screener!$D$10,1,0))</f>
        <v/>
      </c>
      <c r="F8" s="220">
        <f>IF(OR(Database!$BM8="",Screener!$D$11=""),0,IF(Database!$BM8=Screener!$D$11,1,0))</f>
        <v/>
      </c>
      <c r="G8" s="220">
        <f>IF(OR(Database!$H8="",N(Screener!$D$12)&lt;=0),0,MAX(0,1-(N(Screener!$D$12)-Database!$H8)/W_RECD))</f>
        <v/>
      </c>
      <c r="H8" s="220">
        <f>IF($U$1="",0,N(ISNUMBER(SEARCH($U$1,Database!$AC8&amp;""))))+IF($V$1="",0,N(ISNUMBER(SEARCH($V$1,Database!$AC8&amp;""))))+IF($W$1="",0,N(ISNUMBER(SEARCH($W$1,Database!$AC8&amp;""))))+IF($X$1="",0,N(ISNUMBER(SEARCH($X$1,Database!$AC8&amp;""))))+IF($Y$1="",0,N(ISNUMBER(SEARCH($Y$1,Database!$AC8&amp;""))))+IF(Screener!$B$17="",0,N(ISNUMBER(SEARCH(LOWER(Screener!$B$17),Database!$AC8&amp;""))))</f>
        <v/>
      </c>
      <c r="I8" s="220">
        <f>IF(OR(N(Database!$BH8)&lt;=0,N(Screener!$D$13)&lt;=0),0,MAX(0,1-ABS(LOG10(N(Database!$BH8)/Screener!$D$13))/W_PEHW))</f>
        <v/>
      </c>
      <c r="J8" s="220">
        <f>IF(OR(N(Database!$S8)&lt;=0,N(Screener!$D$14)&lt;=0),0,MAX(0,1-ABS(LOG10(Database!$S8/Screener!$D$14))/0.6))</f>
        <v/>
      </c>
      <c r="K8" s="220">
        <f>IF(Database!$B8=Screener!$B$5,-999999,IF(ISNUMBER(SEARCH(","&amp;Database!$A8&amp;",",","&amp;SUBSTITUTE(Screener!$D$17," ","")&amp;",")),2000000,IF(IF(OR(Screener!$B$18="All",AND(Screener!$B$18="With A-share",(Database!$BM8="Y")),AND(Screener!$B$18="Without A-share",NOT((Database!$BM8="Y")))),1,0)=0,-999999,IF(Screener!$B$16="cornerstone overlap first",H8*100000,IF(Screener!$B$16="demand-similar first",J8*100000,0))+W_SUB*B8+W_SEC*C8*(1-B8)+W_SIZE*D8+W_PROF*E8+W_AH*F8+W_REC*G8+W_CS*H8+W_PE*I8)))+ROW()/1000000</f>
        <v/>
      </c>
      <c r="AA8" s="220">
        <f>Pipeline!B11</f>
        <v/>
      </c>
      <c r="AB8" s="220">
        <f>Pipeline!F11</f>
        <v/>
      </c>
      <c r="AC8" s="220">
        <f>Pipeline!G11</f>
        <v/>
      </c>
      <c r="AD8" s="220">
        <f>Pipeline!H11</f>
        <v/>
      </c>
      <c r="AE8" s="220">
        <f>Pipeline!S11</f>
        <v/>
      </c>
      <c r="AF8" s="220">
        <f>Pipeline!T11</f>
        <v/>
      </c>
      <c r="AG8" s="220">
        <f>Pipeline!E11</f>
        <v/>
      </c>
      <c r="AH8" s="220">
        <f>Pipeline!M11</f>
        <v/>
      </c>
    </row>
    <row r="9">
      <c r="A9" s="220">
        <f>Database!B9</f>
        <v/>
      </c>
      <c r="B9" s="220">
        <f>IF(AND(Screener!$D$8&lt;&gt;"",Database!$E9=Screener!$D$8),1,0)</f>
        <v/>
      </c>
      <c r="C9" s="220">
        <f>IF(AND(Screener!$D$7&lt;&gt;"",Database!$D9=Screener!$D$7),1,0)</f>
        <v/>
      </c>
      <c r="D9" s="220">
        <f>IF(OR(N(Database!$I9)&lt;=0,N(Screener!$D$9)&lt;=0),0,MAX(0,1-ABS(LOG10(N(Database!$I9)/Screener!$D$9))/W_SIZEHW))</f>
        <v/>
      </c>
      <c r="E9" s="220">
        <f>IF(OR(Database!$BG9="",Screener!$D$10=""),0,IF(Database!$BG9=Screener!$D$10,1,0))</f>
        <v/>
      </c>
      <c r="F9" s="220">
        <f>IF(OR(Database!$BM9="",Screener!$D$11=""),0,IF(Database!$BM9=Screener!$D$11,1,0))</f>
        <v/>
      </c>
      <c r="G9" s="220">
        <f>IF(OR(Database!$H9="",N(Screener!$D$12)&lt;=0),0,MAX(0,1-(N(Screener!$D$12)-Database!$H9)/W_RECD))</f>
        <v/>
      </c>
      <c r="H9" s="220">
        <f>IF($U$1="",0,N(ISNUMBER(SEARCH($U$1,Database!$AC9&amp;""))))+IF($V$1="",0,N(ISNUMBER(SEARCH($V$1,Database!$AC9&amp;""))))+IF($W$1="",0,N(ISNUMBER(SEARCH($W$1,Database!$AC9&amp;""))))+IF($X$1="",0,N(ISNUMBER(SEARCH($X$1,Database!$AC9&amp;""))))+IF($Y$1="",0,N(ISNUMBER(SEARCH($Y$1,Database!$AC9&amp;""))))+IF(Screener!$B$17="",0,N(ISNUMBER(SEARCH(LOWER(Screener!$B$17),Database!$AC9&amp;""))))</f>
        <v/>
      </c>
      <c r="I9" s="220">
        <f>IF(OR(N(Database!$BH9)&lt;=0,N(Screener!$D$13)&lt;=0),0,MAX(0,1-ABS(LOG10(N(Database!$BH9)/Screener!$D$13))/W_PEHW))</f>
        <v/>
      </c>
      <c r="J9" s="220">
        <f>IF(OR(N(Database!$S9)&lt;=0,N(Screener!$D$14)&lt;=0),0,MAX(0,1-ABS(LOG10(Database!$S9/Screener!$D$14))/0.6))</f>
        <v/>
      </c>
      <c r="K9" s="220">
        <f>IF(Database!$B9=Screener!$B$5,-999999,IF(ISNUMBER(SEARCH(","&amp;Database!$A9&amp;",",","&amp;SUBSTITUTE(Screener!$D$17," ","")&amp;",")),2000000,IF(IF(OR(Screener!$B$18="All",AND(Screener!$B$18="With A-share",(Database!$BM9="Y")),AND(Screener!$B$18="Without A-share",NOT((Database!$BM9="Y")))),1,0)=0,-999999,IF(Screener!$B$16="cornerstone overlap first",H9*100000,IF(Screener!$B$16="demand-similar first",J9*100000,0))+W_SUB*B9+W_SEC*C9*(1-B9)+W_SIZE*D9+W_PROF*E9+W_AH*F9+W_REC*G9+W_CS*H9+W_PE*I9)))+ROW()/1000000</f>
        <v/>
      </c>
      <c r="AA9" s="220">
        <f>Pipeline!B12</f>
        <v/>
      </c>
      <c r="AB9" s="220">
        <f>Pipeline!F12</f>
        <v/>
      </c>
      <c r="AC9" s="220">
        <f>Pipeline!G12</f>
        <v/>
      </c>
      <c r="AD9" s="220">
        <f>Pipeline!H12</f>
        <v/>
      </c>
      <c r="AE9" s="220">
        <f>Pipeline!S12</f>
        <v/>
      </c>
      <c r="AF9" s="220">
        <f>Pipeline!T12</f>
        <v/>
      </c>
      <c r="AG9" s="220">
        <f>Pipeline!E12</f>
        <v/>
      </c>
      <c r="AH9" s="220">
        <f>Pipeline!M12</f>
        <v/>
      </c>
    </row>
    <row r="10">
      <c r="A10" s="220">
        <f>Database!B10</f>
        <v/>
      </c>
      <c r="B10" s="220">
        <f>IF(AND(Screener!$D$8&lt;&gt;"",Database!$E10=Screener!$D$8),1,0)</f>
        <v/>
      </c>
      <c r="C10" s="220">
        <f>IF(AND(Screener!$D$7&lt;&gt;"",Database!$D10=Screener!$D$7),1,0)</f>
        <v/>
      </c>
      <c r="D10" s="220">
        <f>IF(OR(N(Database!$I10)&lt;=0,N(Screener!$D$9)&lt;=0),0,MAX(0,1-ABS(LOG10(N(Database!$I10)/Screener!$D$9))/W_SIZEHW))</f>
        <v/>
      </c>
      <c r="E10" s="220">
        <f>IF(OR(Database!$BG10="",Screener!$D$10=""),0,IF(Database!$BG10=Screener!$D$10,1,0))</f>
        <v/>
      </c>
      <c r="F10" s="220">
        <f>IF(OR(Database!$BM10="",Screener!$D$11=""),0,IF(Database!$BM10=Screener!$D$11,1,0))</f>
        <v/>
      </c>
      <c r="G10" s="220">
        <f>IF(OR(Database!$H10="",N(Screener!$D$12)&lt;=0),0,MAX(0,1-(N(Screener!$D$12)-Database!$H10)/W_RECD))</f>
        <v/>
      </c>
      <c r="H10" s="220">
        <f>IF($U$1="",0,N(ISNUMBER(SEARCH($U$1,Database!$AC10&amp;""))))+IF($V$1="",0,N(ISNUMBER(SEARCH($V$1,Database!$AC10&amp;""))))+IF($W$1="",0,N(ISNUMBER(SEARCH($W$1,Database!$AC10&amp;""))))+IF($X$1="",0,N(ISNUMBER(SEARCH($X$1,Database!$AC10&amp;""))))+IF($Y$1="",0,N(ISNUMBER(SEARCH($Y$1,Database!$AC10&amp;""))))+IF(Screener!$B$17="",0,N(ISNUMBER(SEARCH(LOWER(Screener!$B$17),Database!$AC10&amp;""))))</f>
        <v/>
      </c>
      <c r="I10" s="220">
        <f>IF(OR(N(Database!$BH10)&lt;=0,N(Screener!$D$13)&lt;=0),0,MAX(0,1-ABS(LOG10(N(Database!$BH10)/Screener!$D$13))/W_PEHW))</f>
        <v/>
      </c>
      <c r="J10" s="220">
        <f>IF(OR(N(Database!$S10)&lt;=0,N(Screener!$D$14)&lt;=0),0,MAX(0,1-ABS(LOG10(Database!$S10/Screener!$D$14))/0.6))</f>
        <v/>
      </c>
      <c r="K10" s="220">
        <f>IF(Database!$B10=Screener!$B$5,-999999,IF(ISNUMBER(SEARCH(","&amp;Database!$A10&amp;",",","&amp;SUBSTITUTE(Screener!$D$17," ","")&amp;",")),2000000,IF(IF(OR(Screener!$B$18="All",AND(Screener!$B$18="With A-share",(Database!$BM10="Y")),AND(Screener!$B$18="Without A-share",NOT((Database!$BM10="Y")))),1,0)=0,-999999,IF(Screener!$B$16="cornerstone overlap first",H10*100000,IF(Screener!$B$16="demand-similar first",J10*100000,0))+W_SUB*B10+W_SEC*C10*(1-B10)+W_SIZE*D10+W_PROF*E10+W_AH*F10+W_REC*G10+W_CS*H10+W_PE*I10)))+ROW()/1000000</f>
        <v/>
      </c>
      <c r="AA10" s="220">
        <f>Pipeline!B13</f>
        <v/>
      </c>
      <c r="AB10" s="220">
        <f>Pipeline!F13</f>
        <v/>
      </c>
      <c r="AC10" s="220">
        <f>Pipeline!G13</f>
        <v/>
      </c>
      <c r="AD10" s="220">
        <f>Pipeline!H13</f>
        <v/>
      </c>
      <c r="AE10" s="220">
        <f>Pipeline!S13</f>
        <v/>
      </c>
      <c r="AF10" s="220">
        <f>Pipeline!T13</f>
        <v/>
      </c>
      <c r="AG10" s="220">
        <f>Pipeline!E13</f>
        <v/>
      </c>
      <c r="AH10" s="220">
        <f>Pipeline!M13</f>
        <v/>
      </c>
    </row>
    <row r="11">
      <c r="A11" s="220">
        <f>Database!B11</f>
        <v/>
      </c>
      <c r="B11" s="220">
        <f>IF(AND(Screener!$D$8&lt;&gt;"",Database!$E11=Screener!$D$8),1,0)</f>
        <v/>
      </c>
      <c r="C11" s="220">
        <f>IF(AND(Screener!$D$7&lt;&gt;"",Database!$D11=Screener!$D$7),1,0)</f>
        <v/>
      </c>
      <c r="D11" s="220">
        <f>IF(OR(N(Database!$I11)&lt;=0,N(Screener!$D$9)&lt;=0),0,MAX(0,1-ABS(LOG10(N(Database!$I11)/Screener!$D$9))/W_SIZEHW))</f>
        <v/>
      </c>
      <c r="E11" s="220">
        <f>IF(OR(Database!$BG11="",Screener!$D$10=""),0,IF(Database!$BG11=Screener!$D$10,1,0))</f>
        <v/>
      </c>
      <c r="F11" s="220">
        <f>IF(OR(Database!$BM11="",Screener!$D$11=""),0,IF(Database!$BM11=Screener!$D$11,1,0))</f>
        <v/>
      </c>
      <c r="G11" s="220">
        <f>IF(OR(Database!$H11="",N(Screener!$D$12)&lt;=0),0,MAX(0,1-(N(Screener!$D$12)-Database!$H11)/W_RECD))</f>
        <v/>
      </c>
      <c r="H11" s="220">
        <f>IF($U$1="",0,N(ISNUMBER(SEARCH($U$1,Database!$AC11&amp;""))))+IF($V$1="",0,N(ISNUMBER(SEARCH($V$1,Database!$AC11&amp;""))))+IF($W$1="",0,N(ISNUMBER(SEARCH($W$1,Database!$AC11&amp;""))))+IF($X$1="",0,N(ISNUMBER(SEARCH($X$1,Database!$AC11&amp;""))))+IF($Y$1="",0,N(ISNUMBER(SEARCH($Y$1,Database!$AC11&amp;""))))+IF(Screener!$B$17="",0,N(ISNUMBER(SEARCH(LOWER(Screener!$B$17),Database!$AC11&amp;""))))</f>
        <v/>
      </c>
      <c r="I11" s="220">
        <f>IF(OR(N(Database!$BH11)&lt;=0,N(Screener!$D$13)&lt;=0),0,MAX(0,1-ABS(LOG10(N(Database!$BH11)/Screener!$D$13))/W_PEHW))</f>
        <v/>
      </c>
      <c r="J11" s="220">
        <f>IF(OR(N(Database!$S11)&lt;=0,N(Screener!$D$14)&lt;=0),0,MAX(0,1-ABS(LOG10(Database!$S11/Screener!$D$14))/0.6))</f>
        <v/>
      </c>
      <c r="K11" s="220">
        <f>IF(Database!$B11=Screener!$B$5,-999999,IF(ISNUMBER(SEARCH(","&amp;Database!$A11&amp;",",","&amp;SUBSTITUTE(Screener!$D$17," ","")&amp;",")),2000000,IF(IF(OR(Screener!$B$18="All",AND(Screener!$B$18="With A-share",(Database!$BM11="Y")),AND(Screener!$B$18="Without A-share",NOT((Database!$BM11="Y")))),1,0)=0,-999999,IF(Screener!$B$16="cornerstone overlap first",H11*100000,IF(Screener!$B$16="demand-similar first",J11*100000,0))+W_SUB*B11+W_SEC*C11*(1-B11)+W_SIZE*D11+W_PROF*E11+W_AH*F11+W_REC*G11+W_CS*H11+W_PE*I11)))+ROW()/1000000</f>
        <v/>
      </c>
      <c r="AA11" s="220">
        <f>Pipeline!B14</f>
        <v/>
      </c>
      <c r="AB11" s="220">
        <f>Pipeline!F14</f>
        <v/>
      </c>
      <c r="AC11" s="220">
        <f>Pipeline!G14</f>
        <v/>
      </c>
      <c r="AD11" s="220">
        <f>Pipeline!H14</f>
        <v/>
      </c>
      <c r="AE11" s="220">
        <f>Pipeline!S14</f>
        <v/>
      </c>
      <c r="AF11" s="220">
        <f>Pipeline!T14</f>
        <v/>
      </c>
      <c r="AG11" s="220">
        <f>Pipeline!E14</f>
        <v/>
      </c>
      <c r="AH11" s="220">
        <f>Pipeline!M14</f>
        <v/>
      </c>
    </row>
    <row r="12">
      <c r="A12" s="220">
        <f>Database!B12</f>
        <v/>
      </c>
      <c r="B12" s="220">
        <f>IF(AND(Screener!$D$8&lt;&gt;"",Database!$E12=Screener!$D$8),1,0)</f>
        <v/>
      </c>
      <c r="C12" s="220">
        <f>IF(AND(Screener!$D$7&lt;&gt;"",Database!$D12=Screener!$D$7),1,0)</f>
        <v/>
      </c>
      <c r="D12" s="220">
        <f>IF(OR(N(Database!$I12)&lt;=0,N(Screener!$D$9)&lt;=0),0,MAX(0,1-ABS(LOG10(N(Database!$I12)/Screener!$D$9))/W_SIZEHW))</f>
        <v/>
      </c>
      <c r="E12" s="220">
        <f>IF(OR(Database!$BG12="",Screener!$D$10=""),0,IF(Database!$BG12=Screener!$D$10,1,0))</f>
        <v/>
      </c>
      <c r="F12" s="220">
        <f>IF(OR(Database!$BM12="",Screener!$D$11=""),0,IF(Database!$BM12=Screener!$D$11,1,0))</f>
        <v/>
      </c>
      <c r="G12" s="220">
        <f>IF(OR(Database!$H12="",N(Screener!$D$12)&lt;=0),0,MAX(0,1-(N(Screener!$D$12)-Database!$H12)/W_RECD))</f>
        <v/>
      </c>
      <c r="H12" s="220">
        <f>IF($U$1="",0,N(ISNUMBER(SEARCH($U$1,Database!$AC12&amp;""))))+IF($V$1="",0,N(ISNUMBER(SEARCH($V$1,Database!$AC12&amp;""))))+IF($W$1="",0,N(ISNUMBER(SEARCH($W$1,Database!$AC12&amp;""))))+IF($X$1="",0,N(ISNUMBER(SEARCH($X$1,Database!$AC12&amp;""))))+IF($Y$1="",0,N(ISNUMBER(SEARCH($Y$1,Database!$AC12&amp;""))))+IF(Screener!$B$17="",0,N(ISNUMBER(SEARCH(LOWER(Screener!$B$17),Database!$AC12&amp;""))))</f>
        <v/>
      </c>
      <c r="I12" s="220">
        <f>IF(OR(N(Database!$BH12)&lt;=0,N(Screener!$D$13)&lt;=0),0,MAX(0,1-ABS(LOG10(N(Database!$BH12)/Screener!$D$13))/W_PEHW))</f>
        <v/>
      </c>
      <c r="J12" s="220">
        <f>IF(OR(N(Database!$S12)&lt;=0,N(Screener!$D$14)&lt;=0),0,MAX(0,1-ABS(LOG10(Database!$S12/Screener!$D$14))/0.6))</f>
        <v/>
      </c>
      <c r="K12" s="220">
        <f>IF(Database!$B12=Screener!$B$5,-999999,IF(ISNUMBER(SEARCH(","&amp;Database!$A12&amp;",",","&amp;SUBSTITUTE(Screener!$D$17," ","")&amp;",")),2000000,IF(IF(OR(Screener!$B$18="All",AND(Screener!$B$18="With A-share",(Database!$BM12="Y")),AND(Screener!$B$18="Without A-share",NOT((Database!$BM12="Y")))),1,0)=0,-999999,IF(Screener!$B$16="cornerstone overlap first",H12*100000,IF(Screener!$B$16="demand-similar first",J12*100000,0))+W_SUB*B12+W_SEC*C12*(1-B12)+W_SIZE*D12+W_PROF*E12+W_AH*F12+W_REC*G12+W_CS*H12+W_PE*I12)))+ROW()/1000000</f>
        <v/>
      </c>
      <c r="AA12" s="220">
        <f>Pipeline!B15</f>
        <v/>
      </c>
      <c r="AB12" s="220">
        <f>Pipeline!F15</f>
        <v/>
      </c>
      <c r="AC12" s="220">
        <f>Pipeline!G15</f>
        <v/>
      </c>
      <c r="AD12" s="220">
        <f>Pipeline!H15</f>
        <v/>
      </c>
      <c r="AE12" s="220">
        <f>Pipeline!S15</f>
        <v/>
      </c>
      <c r="AF12" s="220">
        <f>Pipeline!T15</f>
        <v/>
      </c>
      <c r="AG12" s="220">
        <f>Pipeline!E15</f>
        <v/>
      </c>
      <c r="AH12" s="220">
        <f>Pipeline!M15</f>
        <v/>
      </c>
    </row>
    <row r="13">
      <c r="A13" s="220">
        <f>Database!B13</f>
        <v/>
      </c>
      <c r="B13" s="220">
        <f>IF(AND(Screener!$D$8&lt;&gt;"",Database!$E13=Screener!$D$8),1,0)</f>
        <v/>
      </c>
      <c r="C13" s="220">
        <f>IF(AND(Screener!$D$7&lt;&gt;"",Database!$D13=Screener!$D$7),1,0)</f>
        <v/>
      </c>
      <c r="D13" s="220">
        <f>IF(OR(N(Database!$I13)&lt;=0,N(Screener!$D$9)&lt;=0),0,MAX(0,1-ABS(LOG10(N(Database!$I13)/Screener!$D$9))/W_SIZEHW))</f>
        <v/>
      </c>
      <c r="E13" s="220">
        <f>IF(OR(Database!$BG13="",Screener!$D$10=""),0,IF(Database!$BG13=Screener!$D$10,1,0))</f>
        <v/>
      </c>
      <c r="F13" s="220">
        <f>IF(OR(Database!$BM13="",Screener!$D$11=""),0,IF(Database!$BM13=Screener!$D$11,1,0))</f>
        <v/>
      </c>
      <c r="G13" s="220">
        <f>IF(OR(Database!$H13="",N(Screener!$D$12)&lt;=0),0,MAX(0,1-(N(Screener!$D$12)-Database!$H13)/W_RECD))</f>
        <v/>
      </c>
      <c r="H13" s="220">
        <f>IF($U$1="",0,N(ISNUMBER(SEARCH($U$1,Database!$AC13&amp;""))))+IF($V$1="",0,N(ISNUMBER(SEARCH($V$1,Database!$AC13&amp;""))))+IF($W$1="",0,N(ISNUMBER(SEARCH($W$1,Database!$AC13&amp;""))))+IF($X$1="",0,N(ISNUMBER(SEARCH($X$1,Database!$AC13&amp;""))))+IF($Y$1="",0,N(ISNUMBER(SEARCH($Y$1,Database!$AC13&amp;""))))+IF(Screener!$B$17="",0,N(ISNUMBER(SEARCH(LOWER(Screener!$B$17),Database!$AC13&amp;""))))</f>
        <v/>
      </c>
      <c r="I13" s="220">
        <f>IF(OR(N(Database!$BH13)&lt;=0,N(Screener!$D$13)&lt;=0),0,MAX(0,1-ABS(LOG10(N(Database!$BH13)/Screener!$D$13))/W_PEHW))</f>
        <v/>
      </c>
      <c r="J13" s="220">
        <f>IF(OR(N(Database!$S13)&lt;=0,N(Screener!$D$14)&lt;=0),0,MAX(0,1-ABS(LOG10(Database!$S13/Screener!$D$14))/0.6))</f>
        <v/>
      </c>
      <c r="K13" s="220">
        <f>IF(Database!$B13=Screener!$B$5,-999999,IF(ISNUMBER(SEARCH(","&amp;Database!$A13&amp;",",","&amp;SUBSTITUTE(Screener!$D$17," ","")&amp;",")),2000000,IF(IF(OR(Screener!$B$18="All",AND(Screener!$B$18="With A-share",(Database!$BM13="Y")),AND(Screener!$B$18="Without A-share",NOT((Database!$BM13="Y")))),1,0)=0,-999999,IF(Screener!$B$16="cornerstone overlap first",H13*100000,IF(Screener!$B$16="demand-similar first",J13*100000,0))+W_SUB*B13+W_SEC*C13*(1-B13)+W_SIZE*D13+W_PROF*E13+W_AH*F13+W_REC*G13+W_CS*H13+W_PE*I13)))+ROW()/1000000</f>
        <v/>
      </c>
      <c r="AA13" s="220">
        <f>Pipeline!B16</f>
        <v/>
      </c>
      <c r="AB13" s="220">
        <f>Pipeline!F16</f>
        <v/>
      </c>
      <c r="AC13" s="220">
        <f>Pipeline!G16</f>
        <v/>
      </c>
      <c r="AD13" s="220">
        <f>Pipeline!H16</f>
        <v/>
      </c>
      <c r="AE13" s="220">
        <f>Pipeline!S16</f>
        <v/>
      </c>
      <c r="AF13" s="220">
        <f>Pipeline!T16</f>
        <v/>
      </c>
      <c r="AG13" s="220">
        <f>Pipeline!E16</f>
        <v/>
      </c>
      <c r="AH13" s="220">
        <f>Pipeline!M16</f>
        <v/>
      </c>
    </row>
    <row r="14">
      <c r="A14" s="220">
        <f>Database!B14</f>
        <v/>
      </c>
      <c r="B14" s="220">
        <f>IF(AND(Screener!$D$8&lt;&gt;"",Database!$E14=Screener!$D$8),1,0)</f>
        <v/>
      </c>
      <c r="C14" s="220">
        <f>IF(AND(Screener!$D$7&lt;&gt;"",Database!$D14=Screener!$D$7),1,0)</f>
        <v/>
      </c>
      <c r="D14" s="220">
        <f>IF(OR(N(Database!$I14)&lt;=0,N(Screener!$D$9)&lt;=0),0,MAX(0,1-ABS(LOG10(N(Database!$I14)/Screener!$D$9))/W_SIZEHW))</f>
        <v/>
      </c>
      <c r="E14" s="220">
        <f>IF(OR(Database!$BG14="",Screener!$D$10=""),0,IF(Database!$BG14=Screener!$D$10,1,0))</f>
        <v/>
      </c>
      <c r="F14" s="220">
        <f>IF(OR(Database!$BM14="",Screener!$D$11=""),0,IF(Database!$BM14=Screener!$D$11,1,0))</f>
        <v/>
      </c>
      <c r="G14" s="220">
        <f>IF(OR(Database!$H14="",N(Screener!$D$12)&lt;=0),0,MAX(0,1-(N(Screener!$D$12)-Database!$H14)/W_RECD))</f>
        <v/>
      </c>
      <c r="H14" s="220">
        <f>IF($U$1="",0,N(ISNUMBER(SEARCH($U$1,Database!$AC14&amp;""))))+IF($V$1="",0,N(ISNUMBER(SEARCH($V$1,Database!$AC14&amp;""))))+IF($W$1="",0,N(ISNUMBER(SEARCH($W$1,Database!$AC14&amp;""))))+IF($X$1="",0,N(ISNUMBER(SEARCH($X$1,Database!$AC14&amp;""))))+IF($Y$1="",0,N(ISNUMBER(SEARCH($Y$1,Database!$AC14&amp;""))))+IF(Screener!$B$17="",0,N(ISNUMBER(SEARCH(LOWER(Screener!$B$17),Database!$AC14&amp;""))))</f>
        <v/>
      </c>
      <c r="I14" s="220">
        <f>IF(OR(N(Database!$BH14)&lt;=0,N(Screener!$D$13)&lt;=0),0,MAX(0,1-ABS(LOG10(N(Database!$BH14)/Screener!$D$13))/W_PEHW))</f>
        <v/>
      </c>
      <c r="J14" s="220">
        <f>IF(OR(N(Database!$S14)&lt;=0,N(Screener!$D$14)&lt;=0),0,MAX(0,1-ABS(LOG10(Database!$S14/Screener!$D$14))/0.6))</f>
        <v/>
      </c>
      <c r="K14" s="220">
        <f>IF(Database!$B14=Screener!$B$5,-999999,IF(ISNUMBER(SEARCH(","&amp;Database!$A14&amp;",",","&amp;SUBSTITUTE(Screener!$D$17," ","")&amp;",")),2000000,IF(IF(OR(Screener!$B$18="All",AND(Screener!$B$18="With A-share",(Database!$BM14="Y")),AND(Screener!$B$18="Without A-share",NOT((Database!$BM14="Y")))),1,0)=0,-999999,IF(Screener!$B$16="cornerstone overlap first",H14*100000,IF(Screener!$B$16="demand-similar first",J14*100000,0))+W_SUB*B14+W_SEC*C14*(1-B14)+W_SIZE*D14+W_PROF*E14+W_AH*F14+W_REC*G14+W_CS*H14+W_PE*I14)))+ROW()/1000000</f>
        <v/>
      </c>
      <c r="AA14" s="220">
        <f>Pipeline!B17</f>
        <v/>
      </c>
      <c r="AB14" s="220">
        <f>Pipeline!F17</f>
        <v/>
      </c>
      <c r="AC14" s="220">
        <f>Pipeline!G17</f>
        <v/>
      </c>
      <c r="AD14" s="220">
        <f>Pipeline!H17</f>
        <v/>
      </c>
      <c r="AE14" s="220">
        <f>Pipeline!S17</f>
        <v/>
      </c>
      <c r="AF14" s="220">
        <f>Pipeline!T17</f>
        <v/>
      </c>
      <c r="AG14" s="220">
        <f>Pipeline!E17</f>
        <v/>
      </c>
      <c r="AH14" s="220">
        <f>Pipeline!M17</f>
        <v/>
      </c>
    </row>
    <row r="15">
      <c r="A15" s="220">
        <f>Database!B15</f>
        <v/>
      </c>
      <c r="B15" s="220">
        <f>IF(AND(Screener!$D$8&lt;&gt;"",Database!$E15=Screener!$D$8),1,0)</f>
        <v/>
      </c>
      <c r="C15" s="220">
        <f>IF(AND(Screener!$D$7&lt;&gt;"",Database!$D15=Screener!$D$7),1,0)</f>
        <v/>
      </c>
      <c r="D15" s="220">
        <f>IF(OR(N(Database!$I15)&lt;=0,N(Screener!$D$9)&lt;=0),0,MAX(0,1-ABS(LOG10(N(Database!$I15)/Screener!$D$9))/W_SIZEHW))</f>
        <v/>
      </c>
      <c r="E15" s="220">
        <f>IF(OR(Database!$BG15="",Screener!$D$10=""),0,IF(Database!$BG15=Screener!$D$10,1,0))</f>
        <v/>
      </c>
      <c r="F15" s="220">
        <f>IF(OR(Database!$BM15="",Screener!$D$11=""),0,IF(Database!$BM15=Screener!$D$11,1,0))</f>
        <v/>
      </c>
      <c r="G15" s="220">
        <f>IF(OR(Database!$H15="",N(Screener!$D$12)&lt;=0),0,MAX(0,1-(N(Screener!$D$12)-Database!$H15)/W_RECD))</f>
        <v/>
      </c>
      <c r="H15" s="220">
        <f>IF($U$1="",0,N(ISNUMBER(SEARCH($U$1,Database!$AC15&amp;""))))+IF($V$1="",0,N(ISNUMBER(SEARCH($V$1,Database!$AC15&amp;""))))+IF($W$1="",0,N(ISNUMBER(SEARCH($W$1,Database!$AC15&amp;""))))+IF($X$1="",0,N(ISNUMBER(SEARCH($X$1,Database!$AC15&amp;""))))+IF($Y$1="",0,N(ISNUMBER(SEARCH($Y$1,Database!$AC15&amp;""))))+IF(Screener!$B$17="",0,N(ISNUMBER(SEARCH(LOWER(Screener!$B$17),Database!$AC15&amp;""))))</f>
        <v/>
      </c>
      <c r="I15" s="220">
        <f>IF(OR(N(Database!$BH15)&lt;=0,N(Screener!$D$13)&lt;=0),0,MAX(0,1-ABS(LOG10(N(Database!$BH15)/Screener!$D$13))/W_PEHW))</f>
        <v/>
      </c>
      <c r="J15" s="220">
        <f>IF(OR(N(Database!$S15)&lt;=0,N(Screener!$D$14)&lt;=0),0,MAX(0,1-ABS(LOG10(Database!$S15/Screener!$D$14))/0.6))</f>
        <v/>
      </c>
      <c r="K15" s="220">
        <f>IF(Database!$B15=Screener!$B$5,-999999,IF(ISNUMBER(SEARCH(","&amp;Database!$A15&amp;",",","&amp;SUBSTITUTE(Screener!$D$17," ","")&amp;",")),2000000,IF(IF(OR(Screener!$B$18="All",AND(Screener!$B$18="With A-share",(Database!$BM15="Y")),AND(Screener!$B$18="Without A-share",NOT((Database!$BM15="Y")))),1,0)=0,-999999,IF(Screener!$B$16="cornerstone overlap first",H15*100000,IF(Screener!$B$16="demand-similar first",J15*100000,0))+W_SUB*B15+W_SEC*C15*(1-B15)+W_SIZE*D15+W_PROF*E15+W_AH*F15+W_REC*G15+W_CS*H15+W_PE*I15)))+ROW()/1000000</f>
        <v/>
      </c>
      <c r="AA15" s="220">
        <f>Pipeline!B18</f>
        <v/>
      </c>
      <c r="AB15" s="220">
        <f>Pipeline!F18</f>
        <v/>
      </c>
      <c r="AC15" s="220">
        <f>Pipeline!G18</f>
        <v/>
      </c>
      <c r="AD15" s="220">
        <f>Pipeline!H18</f>
        <v/>
      </c>
      <c r="AE15" s="220">
        <f>Pipeline!S18</f>
        <v/>
      </c>
      <c r="AF15" s="220">
        <f>Pipeline!T18</f>
        <v/>
      </c>
      <c r="AG15" s="220">
        <f>Pipeline!E18</f>
        <v/>
      </c>
      <c r="AH15" s="220">
        <f>Pipeline!M18</f>
        <v/>
      </c>
    </row>
    <row r="16">
      <c r="A16" s="220">
        <f>Database!B16</f>
        <v/>
      </c>
      <c r="B16" s="220">
        <f>IF(AND(Screener!$D$8&lt;&gt;"",Database!$E16=Screener!$D$8),1,0)</f>
        <v/>
      </c>
      <c r="C16" s="220">
        <f>IF(AND(Screener!$D$7&lt;&gt;"",Database!$D16=Screener!$D$7),1,0)</f>
        <v/>
      </c>
      <c r="D16" s="220">
        <f>IF(OR(N(Database!$I16)&lt;=0,N(Screener!$D$9)&lt;=0),0,MAX(0,1-ABS(LOG10(N(Database!$I16)/Screener!$D$9))/W_SIZEHW))</f>
        <v/>
      </c>
      <c r="E16" s="220">
        <f>IF(OR(Database!$BG16="",Screener!$D$10=""),0,IF(Database!$BG16=Screener!$D$10,1,0))</f>
        <v/>
      </c>
      <c r="F16" s="220">
        <f>IF(OR(Database!$BM16="",Screener!$D$11=""),0,IF(Database!$BM16=Screener!$D$11,1,0))</f>
        <v/>
      </c>
      <c r="G16" s="220">
        <f>IF(OR(Database!$H16="",N(Screener!$D$12)&lt;=0),0,MAX(0,1-(N(Screener!$D$12)-Database!$H16)/W_RECD))</f>
        <v/>
      </c>
      <c r="H16" s="220">
        <f>IF($U$1="",0,N(ISNUMBER(SEARCH($U$1,Database!$AC16&amp;""))))+IF($V$1="",0,N(ISNUMBER(SEARCH($V$1,Database!$AC16&amp;""))))+IF($W$1="",0,N(ISNUMBER(SEARCH($W$1,Database!$AC16&amp;""))))+IF($X$1="",0,N(ISNUMBER(SEARCH($X$1,Database!$AC16&amp;""))))+IF($Y$1="",0,N(ISNUMBER(SEARCH($Y$1,Database!$AC16&amp;""))))+IF(Screener!$B$17="",0,N(ISNUMBER(SEARCH(LOWER(Screener!$B$17),Database!$AC16&amp;""))))</f>
        <v/>
      </c>
      <c r="I16" s="220">
        <f>IF(OR(N(Database!$BH16)&lt;=0,N(Screener!$D$13)&lt;=0),0,MAX(0,1-ABS(LOG10(N(Database!$BH16)/Screener!$D$13))/W_PEHW))</f>
        <v/>
      </c>
      <c r="J16" s="220">
        <f>IF(OR(N(Database!$S16)&lt;=0,N(Screener!$D$14)&lt;=0),0,MAX(0,1-ABS(LOG10(Database!$S16/Screener!$D$14))/0.6))</f>
        <v/>
      </c>
      <c r="K16" s="220">
        <f>IF(Database!$B16=Screener!$B$5,-999999,IF(ISNUMBER(SEARCH(","&amp;Database!$A16&amp;",",","&amp;SUBSTITUTE(Screener!$D$17," ","")&amp;",")),2000000,IF(IF(OR(Screener!$B$18="All",AND(Screener!$B$18="With A-share",(Database!$BM16="Y")),AND(Screener!$B$18="Without A-share",NOT((Database!$BM16="Y")))),1,0)=0,-999999,IF(Screener!$B$16="cornerstone overlap first",H16*100000,IF(Screener!$B$16="demand-similar first",J16*100000,0))+W_SUB*B16+W_SEC*C16*(1-B16)+W_SIZE*D16+W_PROF*E16+W_AH*F16+W_REC*G16+W_CS*H16+W_PE*I16)))+ROW()/1000000</f>
        <v/>
      </c>
      <c r="AA16" s="220">
        <f>Database!B5</f>
        <v/>
      </c>
      <c r="AB16" s="220">
        <f>Database!D5</f>
        <v/>
      </c>
      <c r="AC16" s="220">
        <f>Database!E5</f>
        <v/>
      </c>
      <c r="AD16" s="220">
        <f>Database!I5</f>
        <v/>
      </c>
      <c r="AE16" s="220">
        <f>Database!BG5</f>
        <v/>
      </c>
      <c r="AF16" s="220">
        <f>Database!BM5</f>
        <v/>
      </c>
      <c r="AG16" s="220">
        <f>Database!H5</f>
        <v/>
      </c>
      <c r="AH16" s="220">
        <f>Database!BH5</f>
        <v/>
      </c>
    </row>
    <row r="17">
      <c r="A17" s="220">
        <f>Database!B17</f>
        <v/>
      </c>
      <c r="B17" s="220">
        <f>IF(AND(Screener!$D$8&lt;&gt;"",Database!$E17=Screener!$D$8),1,0)</f>
        <v/>
      </c>
      <c r="C17" s="220">
        <f>IF(AND(Screener!$D$7&lt;&gt;"",Database!$D17=Screener!$D$7),1,0)</f>
        <v/>
      </c>
      <c r="D17" s="220">
        <f>IF(OR(N(Database!$I17)&lt;=0,N(Screener!$D$9)&lt;=0),0,MAX(0,1-ABS(LOG10(N(Database!$I17)/Screener!$D$9))/W_SIZEHW))</f>
        <v/>
      </c>
      <c r="E17" s="220">
        <f>IF(OR(Database!$BG17="",Screener!$D$10=""),0,IF(Database!$BG17=Screener!$D$10,1,0))</f>
        <v/>
      </c>
      <c r="F17" s="220">
        <f>IF(OR(Database!$BM17="",Screener!$D$11=""),0,IF(Database!$BM17=Screener!$D$11,1,0))</f>
        <v/>
      </c>
      <c r="G17" s="220">
        <f>IF(OR(Database!$H17="",N(Screener!$D$12)&lt;=0),0,MAX(0,1-(N(Screener!$D$12)-Database!$H17)/W_RECD))</f>
        <v/>
      </c>
      <c r="H17" s="220">
        <f>IF($U$1="",0,N(ISNUMBER(SEARCH($U$1,Database!$AC17&amp;""))))+IF($V$1="",0,N(ISNUMBER(SEARCH($V$1,Database!$AC17&amp;""))))+IF($W$1="",0,N(ISNUMBER(SEARCH($W$1,Database!$AC17&amp;""))))+IF($X$1="",0,N(ISNUMBER(SEARCH($X$1,Database!$AC17&amp;""))))+IF($Y$1="",0,N(ISNUMBER(SEARCH($Y$1,Database!$AC17&amp;""))))+IF(Screener!$B$17="",0,N(ISNUMBER(SEARCH(LOWER(Screener!$B$17),Database!$AC17&amp;""))))</f>
        <v/>
      </c>
      <c r="I17" s="220">
        <f>IF(OR(N(Database!$BH17)&lt;=0,N(Screener!$D$13)&lt;=0),0,MAX(0,1-ABS(LOG10(N(Database!$BH17)/Screener!$D$13))/W_PEHW))</f>
        <v/>
      </c>
      <c r="J17" s="220">
        <f>IF(OR(N(Database!$S17)&lt;=0,N(Screener!$D$14)&lt;=0),0,MAX(0,1-ABS(LOG10(Database!$S17/Screener!$D$14))/0.6))</f>
        <v/>
      </c>
      <c r="K17" s="220">
        <f>IF(Database!$B17=Screener!$B$5,-999999,IF(ISNUMBER(SEARCH(","&amp;Database!$A17&amp;",",","&amp;SUBSTITUTE(Screener!$D$17," ","")&amp;",")),2000000,IF(IF(OR(Screener!$B$18="All",AND(Screener!$B$18="With A-share",(Database!$BM17="Y")),AND(Screener!$B$18="Without A-share",NOT((Database!$BM17="Y")))),1,0)=0,-999999,IF(Screener!$B$16="cornerstone overlap first",H17*100000,IF(Screener!$B$16="demand-similar first",J17*100000,0))+W_SUB*B17+W_SEC*C17*(1-B17)+W_SIZE*D17+W_PROF*E17+W_AH*F17+W_REC*G17+W_CS*H17+W_PE*I17)))+ROW()/1000000</f>
        <v/>
      </c>
      <c r="AA17" s="220">
        <f>Database!B6</f>
        <v/>
      </c>
      <c r="AB17" s="220">
        <f>Database!D6</f>
        <v/>
      </c>
      <c r="AC17" s="220">
        <f>Database!E6</f>
        <v/>
      </c>
      <c r="AD17" s="220">
        <f>Database!I6</f>
        <v/>
      </c>
      <c r="AE17" s="220">
        <f>Database!BG6</f>
        <v/>
      </c>
      <c r="AF17" s="220">
        <f>Database!BM6</f>
        <v/>
      </c>
      <c r="AG17" s="220">
        <f>Database!H6</f>
        <v/>
      </c>
      <c r="AH17" s="220">
        <f>Database!BH6</f>
        <v/>
      </c>
    </row>
    <row r="18">
      <c r="A18" s="220">
        <f>Database!B18</f>
        <v/>
      </c>
      <c r="B18" s="220">
        <f>IF(AND(Screener!$D$8&lt;&gt;"",Database!$E18=Screener!$D$8),1,0)</f>
        <v/>
      </c>
      <c r="C18" s="220">
        <f>IF(AND(Screener!$D$7&lt;&gt;"",Database!$D18=Screener!$D$7),1,0)</f>
        <v/>
      </c>
      <c r="D18" s="220">
        <f>IF(OR(N(Database!$I18)&lt;=0,N(Screener!$D$9)&lt;=0),0,MAX(0,1-ABS(LOG10(N(Database!$I18)/Screener!$D$9))/W_SIZEHW))</f>
        <v/>
      </c>
      <c r="E18" s="220">
        <f>IF(OR(Database!$BG18="",Screener!$D$10=""),0,IF(Database!$BG18=Screener!$D$10,1,0))</f>
        <v/>
      </c>
      <c r="F18" s="220">
        <f>IF(OR(Database!$BM18="",Screener!$D$11=""),0,IF(Database!$BM18=Screener!$D$11,1,0))</f>
        <v/>
      </c>
      <c r="G18" s="220">
        <f>IF(OR(Database!$H18="",N(Screener!$D$12)&lt;=0),0,MAX(0,1-(N(Screener!$D$12)-Database!$H18)/W_RECD))</f>
        <v/>
      </c>
      <c r="H18" s="220">
        <f>IF($U$1="",0,N(ISNUMBER(SEARCH($U$1,Database!$AC18&amp;""))))+IF($V$1="",0,N(ISNUMBER(SEARCH($V$1,Database!$AC18&amp;""))))+IF($W$1="",0,N(ISNUMBER(SEARCH($W$1,Database!$AC18&amp;""))))+IF($X$1="",0,N(ISNUMBER(SEARCH($X$1,Database!$AC18&amp;""))))+IF($Y$1="",0,N(ISNUMBER(SEARCH($Y$1,Database!$AC18&amp;""))))+IF(Screener!$B$17="",0,N(ISNUMBER(SEARCH(LOWER(Screener!$B$17),Database!$AC18&amp;""))))</f>
        <v/>
      </c>
      <c r="I18" s="220">
        <f>IF(OR(N(Database!$BH18)&lt;=0,N(Screener!$D$13)&lt;=0),0,MAX(0,1-ABS(LOG10(N(Database!$BH18)/Screener!$D$13))/W_PEHW))</f>
        <v/>
      </c>
      <c r="J18" s="220">
        <f>IF(OR(N(Database!$S18)&lt;=0,N(Screener!$D$14)&lt;=0),0,MAX(0,1-ABS(LOG10(Database!$S18/Screener!$D$14))/0.6))</f>
        <v/>
      </c>
      <c r="K18" s="220">
        <f>IF(Database!$B18=Screener!$B$5,-999999,IF(ISNUMBER(SEARCH(","&amp;Database!$A18&amp;",",","&amp;SUBSTITUTE(Screener!$D$17," ","")&amp;",")),2000000,IF(IF(OR(Screener!$B$18="All",AND(Screener!$B$18="With A-share",(Database!$BM18="Y")),AND(Screener!$B$18="Without A-share",NOT((Database!$BM18="Y")))),1,0)=0,-999999,IF(Screener!$B$16="cornerstone overlap first",H18*100000,IF(Screener!$B$16="demand-similar first",J18*100000,0))+W_SUB*B18+W_SEC*C18*(1-B18)+W_SIZE*D18+W_PROF*E18+W_AH*F18+W_REC*G18+W_CS*H18+W_PE*I18)))+ROW()/1000000</f>
        <v/>
      </c>
      <c r="AA18" s="220">
        <f>Database!B7</f>
        <v/>
      </c>
      <c r="AB18" s="220">
        <f>Database!D7</f>
        <v/>
      </c>
      <c r="AC18" s="220">
        <f>Database!E7</f>
        <v/>
      </c>
      <c r="AD18" s="220">
        <f>Database!I7</f>
        <v/>
      </c>
      <c r="AE18" s="220">
        <f>Database!BG7</f>
        <v/>
      </c>
      <c r="AF18" s="220">
        <f>Database!BM7</f>
        <v/>
      </c>
      <c r="AG18" s="220">
        <f>Database!H7</f>
        <v/>
      </c>
      <c r="AH18" s="220">
        <f>Database!BH7</f>
        <v/>
      </c>
    </row>
    <row r="19">
      <c r="A19" s="220">
        <f>Database!B19</f>
        <v/>
      </c>
      <c r="B19" s="220">
        <f>IF(AND(Screener!$D$8&lt;&gt;"",Database!$E19=Screener!$D$8),1,0)</f>
        <v/>
      </c>
      <c r="C19" s="220">
        <f>IF(AND(Screener!$D$7&lt;&gt;"",Database!$D19=Screener!$D$7),1,0)</f>
        <v/>
      </c>
      <c r="D19" s="220">
        <f>IF(OR(N(Database!$I19)&lt;=0,N(Screener!$D$9)&lt;=0),0,MAX(0,1-ABS(LOG10(N(Database!$I19)/Screener!$D$9))/W_SIZEHW))</f>
        <v/>
      </c>
      <c r="E19" s="220">
        <f>IF(OR(Database!$BG19="",Screener!$D$10=""),0,IF(Database!$BG19=Screener!$D$10,1,0))</f>
        <v/>
      </c>
      <c r="F19" s="220">
        <f>IF(OR(Database!$BM19="",Screener!$D$11=""),0,IF(Database!$BM19=Screener!$D$11,1,0))</f>
        <v/>
      </c>
      <c r="G19" s="220">
        <f>IF(OR(Database!$H19="",N(Screener!$D$12)&lt;=0),0,MAX(0,1-(N(Screener!$D$12)-Database!$H19)/W_RECD))</f>
        <v/>
      </c>
      <c r="H19" s="220">
        <f>IF($U$1="",0,N(ISNUMBER(SEARCH($U$1,Database!$AC19&amp;""))))+IF($V$1="",0,N(ISNUMBER(SEARCH($V$1,Database!$AC19&amp;""))))+IF($W$1="",0,N(ISNUMBER(SEARCH($W$1,Database!$AC19&amp;""))))+IF($X$1="",0,N(ISNUMBER(SEARCH($X$1,Database!$AC19&amp;""))))+IF($Y$1="",0,N(ISNUMBER(SEARCH($Y$1,Database!$AC19&amp;""))))+IF(Screener!$B$17="",0,N(ISNUMBER(SEARCH(LOWER(Screener!$B$17),Database!$AC19&amp;""))))</f>
        <v/>
      </c>
      <c r="I19" s="220">
        <f>IF(OR(N(Database!$BH19)&lt;=0,N(Screener!$D$13)&lt;=0),0,MAX(0,1-ABS(LOG10(N(Database!$BH19)/Screener!$D$13))/W_PEHW))</f>
        <v/>
      </c>
      <c r="J19" s="220">
        <f>IF(OR(N(Database!$S19)&lt;=0,N(Screener!$D$14)&lt;=0),0,MAX(0,1-ABS(LOG10(Database!$S19/Screener!$D$14))/0.6))</f>
        <v/>
      </c>
      <c r="K19" s="220">
        <f>IF(Database!$B19=Screener!$B$5,-999999,IF(ISNUMBER(SEARCH(","&amp;Database!$A19&amp;",",","&amp;SUBSTITUTE(Screener!$D$17," ","")&amp;",")),2000000,IF(IF(OR(Screener!$B$18="All",AND(Screener!$B$18="With A-share",(Database!$BM19="Y")),AND(Screener!$B$18="Without A-share",NOT((Database!$BM19="Y")))),1,0)=0,-999999,IF(Screener!$B$16="cornerstone overlap first",H19*100000,IF(Screener!$B$16="demand-similar first",J19*100000,0))+W_SUB*B19+W_SEC*C19*(1-B19)+W_SIZE*D19+W_PROF*E19+W_AH*F19+W_REC*G19+W_CS*H19+W_PE*I19)))+ROW()/1000000</f>
        <v/>
      </c>
      <c r="AA19" s="220">
        <f>Database!B8</f>
        <v/>
      </c>
      <c r="AB19" s="220">
        <f>Database!D8</f>
        <v/>
      </c>
      <c r="AC19" s="220">
        <f>Database!E8</f>
        <v/>
      </c>
      <c r="AD19" s="220">
        <f>Database!I8</f>
        <v/>
      </c>
      <c r="AE19" s="220">
        <f>Database!BG8</f>
        <v/>
      </c>
      <c r="AF19" s="220">
        <f>Database!BM8</f>
        <v/>
      </c>
      <c r="AG19" s="220">
        <f>Database!H8</f>
        <v/>
      </c>
      <c r="AH19" s="220">
        <f>Database!BH8</f>
        <v/>
      </c>
    </row>
    <row r="20">
      <c r="A20" s="220">
        <f>Database!B20</f>
        <v/>
      </c>
      <c r="B20" s="220">
        <f>IF(AND(Screener!$D$8&lt;&gt;"",Database!$E20=Screener!$D$8),1,0)</f>
        <v/>
      </c>
      <c r="C20" s="220">
        <f>IF(AND(Screener!$D$7&lt;&gt;"",Database!$D20=Screener!$D$7),1,0)</f>
        <v/>
      </c>
      <c r="D20" s="220">
        <f>IF(OR(N(Database!$I20)&lt;=0,N(Screener!$D$9)&lt;=0),0,MAX(0,1-ABS(LOG10(N(Database!$I20)/Screener!$D$9))/W_SIZEHW))</f>
        <v/>
      </c>
      <c r="E20" s="220">
        <f>IF(OR(Database!$BG20="",Screener!$D$10=""),0,IF(Database!$BG20=Screener!$D$10,1,0))</f>
        <v/>
      </c>
      <c r="F20" s="220">
        <f>IF(OR(Database!$BM20="",Screener!$D$11=""),0,IF(Database!$BM20=Screener!$D$11,1,0))</f>
        <v/>
      </c>
      <c r="G20" s="220">
        <f>IF(OR(Database!$H20="",N(Screener!$D$12)&lt;=0),0,MAX(0,1-(N(Screener!$D$12)-Database!$H20)/W_RECD))</f>
        <v/>
      </c>
      <c r="H20" s="220">
        <f>IF($U$1="",0,N(ISNUMBER(SEARCH($U$1,Database!$AC20&amp;""))))+IF($V$1="",0,N(ISNUMBER(SEARCH($V$1,Database!$AC20&amp;""))))+IF($W$1="",0,N(ISNUMBER(SEARCH($W$1,Database!$AC20&amp;""))))+IF($X$1="",0,N(ISNUMBER(SEARCH($X$1,Database!$AC20&amp;""))))+IF($Y$1="",0,N(ISNUMBER(SEARCH($Y$1,Database!$AC20&amp;""))))+IF(Screener!$B$17="",0,N(ISNUMBER(SEARCH(LOWER(Screener!$B$17),Database!$AC20&amp;""))))</f>
        <v/>
      </c>
      <c r="I20" s="220">
        <f>IF(OR(N(Database!$BH20)&lt;=0,N(Screener!$D$13)&lt;=0),0,MAX(0,1-ABS(LOG10(N(Database!$BH20)/Screener!$D$13))/W_PEHW))</f>
        <v/>
      </c>
      <c r="J20" s="220">
        <f>IF(OR(N(Database!$S20)&lt;=0,N(Screener!$D$14)&lt;=0),0,MAX(0,1-ABS(LOG10(Database!$S20/Screener!$D$14))/0.6))</f>
        <v/>
      </c>
      <c r="K20" s="220">
        <f>IF(Database!$B20=Screener!$B$5,-999999,IF(ISNUMBER(SEARCH(","&amp;Database!$A20&amp;",",","&amp;SUBSTITUTE(Screener!$D$17," ","")&amp;",")),2000000,IF(IF(OR(Screener!$B$18="All",AND(Screener!$B$18="With A-share",(Database!$BM20="Y")),AND(Screener!$B$18="Without A-share",NOT((Database!$BM20="Y")))),1,0)=0,-999999,IF(Screener!$B$16="cornerstone overlap first",H20*100000,IF(Screener!$B$16="demand-similar first",J20*100000,0))+W_SUB*B20+W_SEC*C20*(1-B20)+W_SIZE*D20+W_PROF*E20+W_AH*F20+W_REC*G20+W_CS*H20+W_PE*I20)))+ROW()/1000000</f>
        <v/>
      </c>
      <c r="AA20" s="220">
        <f>Database!B9</f>
        <v/>
      </c>
      <c r="AB20" s="220">
        <f>Database!D9</f>
        <v/>
      </c>
      <c r="AC20" s="220">
        <f>Database!E9</f>
        <v/>
      </c>
      <c r="AD20" s="220">
        <f>Database!I9</f>
        <v/>
      </c>
      <c r="AE20" s="220">
        <f>Database!BG9</f>
        <v/>
      </c>
      <c r="AF20" s="220">
        <f>Database!BM9</f>
        <v/>
      </c>
      <c r="AG20" s="220">
        <f>Database!H9</f>
        <v/>
      </c>
      <c r="AH20" s="220">
        <f>Database!BH9</f>
        <v/>
      </c>
    </row>
    <row r="21">
      <c r="A21" s="220">
        <f>Database!B21</f>
        <v/>
      </c>
      <c r="B21" s="220">
        <f>IF(AND(Screener!$D$8&lt;&gt;"",Database!$E21=Screener!$D$8),1,0)</f>
        <v/>
      </c>
      <c r="C21" s="220">
        <f>IF(AND(Screener!$D$7&lt;&gt;"",Database!$D21=Screener!$D$7),1,0)</f>
        <v/>
      </c>
      <c r="D21" s="220">
        <f>IF(OR(N(Database!$I21)&lt;=0,N(Screener!$D$9)&lt;=0),0,MAX(0,1-ABS(LOG10(N(Database!$I21)/Screener!$D$9))/W_SIZEHW))</f>
        <v/>
      </c>
      <c r="E21" s="220">
        <f>IF(OR(Database!$BG21="",Screener!$D$10=""),0,IF(Database!$BG21=Screener!$D$10,1,0))</f>
        <v/>
      </c>
      <c r="F21" s="220">
        <f>IF(OR(Database!$BM21="",Screener!$D$11=""),0,IF(Database!$BM21=Screener!$D$11,1,0))</f>
        <v/>
      </c>
      <c r="G21" s="220">
        <f>IF(OR(Database!$H21="",N(Screener!$D$12)&lt;=0),0,MAX(0,1-(N(Screener!$D$12)-Database!$H21)/W_RECD))</f>
        <v/>
      </c>
      <c r="H21" s="220">
        <f>IF($U$1="",0,N(ISNUMBER(SEARCH($U$1,Database!$AC21&amp;""))))+IF($V$1="",0,N(ISNUMBER(SEARCH($V$1,Database!$AC21&amp;""))))+IF($W$1="",0,N(ISNUMBER(SEARCH($W$1,Database!$AC21&amp;""))))+IF($X$1="",0,N(ISNUMBER(SEARCH($X$1,Database!$AC21&amp;""))))+IF($Y$1="",0,N(ISNUMBER(SEARCH($Y$1,Database!$AC21&amp;""))))+IF(Screener!$B$17="",0,N(ISNUMBER(SEARCH(LOWER(Screener!$B$17),Database!$AC21&amp;""))))</f>
        <v/>
      </c>
      <c r="I21" s="220">
        <f>IF(OR(N(Database!$BH21)&lt;=0,N(Screener!$D$13)&lt;=0),0,MAX(0,1-ABS(LOG10(N(Database!$BH21)/Screener!$D$13))/W_PEHW))</f>
        <v/>
      </c>
      <c r="J21" s="220">
        <f>IF(OR(N(Database!$S21)&lt;=0,N(Screener!$D$14)&lt;=0),0,MAX(0,1-ABS(LOG10(Database!$S21/Screener!$D$14))/0.6))</f>
        <v/>
      </c>
      <c r="K21" s="220">
        <f>IF(Database!$B21=Screener!$B$5,-999999,IF(ISNUMBER(SEARCH(","&amp;Database!$A21&amp;",",","&amp;SUBSTITUTE(Screener!$D$17," ","")&amp;",")),2000000,IF(IF(OR(Screener!$B$18="All",AND(Screener!$B$18="With A-share",(Database!$BM21="Y")),AND(Screener!$B$18="Without A-share",NOT((Database!$BM21="Y")))),1,0)=0,-999999,IF(Screener!$B$16="cornerstone overlap first",H21*100000,IF(Screener!$B$16="demand-similar first",J21*100000,0))+W_SUB*B21+W_SEC*C21*(1-B21)+W_SIZE*D21+W_PROF*E21+W_AH*F21+W_REC*G21+W_CS*H21+W_PE*I21)))+ROW()/1000000</f>
        <v/>
      </c>
      <c r="AA21" s="220">
        <f>Database!B10</f>
        <v/>
      </c>
      <c r="AB21" s="220">
        <f>Database!D10</f>
        <v/>
      </c>
      <c r="AC21" s="220">
        <f>Database!E10</f>
        <v/>
      </c>
      <c r="AD21" s="220">
        <f>Database!I10</f>
        <v/>
      </c>
      <c r="AE21" s="220">
        <f>Database!BG10</f>
        <v/>
      </c>
      <c r="AF21" s="220">
        <f>Database!BM10</f>
        <v/>
      </c>
      <c r="AG21" s="220">
        <f>Database!H10</f>
        <v/>
      </c>
      <c r="AH21" s="220">
        <f>Database!BH10</f>
        <v/>
      </c>
    </row>
    <row r="22">
      <c r="A22" s="220">
        <f>Database!B22</f>
        <v/>
      </c>
      <c r="B22" s="220">
        <f>IF(AND(Screener!$D$8&lt;&gt;"",Database!$E22=Screener!$D$8),1,0)</f>
        <v/>
      </c>
      <c r="C22" s="220">
        <f>IF(AND(Screener!$D$7&lt;&gt;"",Database!$D22=Screener!$D$7),1,0)</f>
        <v/>
      </c>
      <c r="D22" s="220">
        <f>IF(OR(N(Database!$I22)&lt;=0,N(Screener!$D$9)&lt;=0),0,MAX(0,1-ABS(LOG10(N(Database!$I22)/Screener!$D$9))/W_SIZEHW))</f>
        <v/>
      </c>
      <c r="E22" s="220">
        <f>IF(OR(Database!$BG22="",Screener!$D$10=""),0,IF(Database!$BG22=Screener!$D$10,1,0))</f>
        <v/>
      </c>
      <c r="F22" s="220">
        <f>IF(OR(Database!$BM22="",Screener!$D$11=""),0,IF(Database!$BM22=Screener!$D$11,1,0))</f>
        <v/>
      </c>
      <c r="G22" s="220">
        <f>IF(OR(Database!$H22="",N(Screener!$D$12)&lt;=0),0,MAX(0,1-(N(Screener!$D$12)-Database!$H22)/W_RECD))</f>
        <v/>
      </c>
      <c r="H22" s="220">
        <f>IF($U$1="",0,N(ISNUMBER(SEARCH($U$1,Database!$AC22&amp;""))))+IF($V$1="",0,N(ISNUMBER(SEARCH($V$1,Database!$AC22&amp;""))))+IF($W$1="",0,N(ISNUMBER(SEARCH($W$1,Database!$AC22&amp;""))))+IF($X$1="",0,N(ISNUMBER(SEARCH($X$1,Database!$AC22&amp;""))))+IF($Y$1="",0,N(ISNUMBER(SEARCH($Y$1,Database!$AC22&amp;""))))+IF(Screener!$B$17="",0,N(ISNUMBER(SEARCH(LOWER(Screener!$B$17),Database!$AC22&amp;""))))</f>
        <v/>
      </c>
      <c r="I22" s="220">
        <f>IF(OR(N(Database!$BH22)&lt;=0,N(Screener!$D$13)&lt;=0),0,MAX(0,1-ABS(LOG10(N(Database!$BH22)/Screener!$D$13))/W_PEHW))</f>
        <v/>
      </c>
      <c r="J22" s="220">
        <f>IF(OR(N(Database!$S22)&lt;=0,N(Screener!$D$14)&lt;=0),0,MAX(0,1-ABS(LOG10(Database!$S22/Screener!$D$14))/0.6))</f>
        <v/>
      </c>
      <c r="K22" s="220">
        <f>IF(Database!$B22=Screener!$B$5,-999999,IF(ISNUMBER(SEARCH(","&amp;Database!$A22&amp;",",","&amp;SUBSTITUTE(Screener!$D$17," ","")&amp;",")),2000000,IF(IF(OR(Screener!$B$18="All",AND(Screener!$B$18="With A-share",(Database!$BM22="Y")),AND(Screener!$B$18="Without A-share",NOT((Database!$BM22="Y")))),1,0)=0,-999999,IF(Screener!$B$16="cornerstone overlap first",H22*100000,IF(Screener!$B$16="demand-similar first",J22*100000,0))+W_SUB*B22+W_SEC*C22*(1-B22)+W_SIZE*D22+W_PROF*E22+W_AH*F22+W_REC*G22+W_CS*H22+W_PE*I22)))+ROW()/1000000</f>
        <v/>
      </c>
      <c r="AA22" s="220">
        <f>Database!B11</f>
        <v/>
      </c>
      <c r="AB22" s="220">
        <f>Database!D11</f>
        <v/>
      </c>
      <c r="AC22" s="220">
        <f>Database!E11</f>
        <v/>
      </c>
      <c r="AD22" s="220">
        <f>Database!I11</f>
        <v/>
      </c>
      <c r="AE22" s="220">
        <f>Database!BG11</f>
        <v/>
      </c>
      <c r="AF22" s="220">
        <f>Database!BM11</f>
        <v/>
      </c>
      <c r="AG22" s="220">
        <f>Database!H11</f>
        <v/>
      </c>
      <c r="AH22" s="220">
        <f>Database!BH11</f>
        <v/>
      </c>
    </row>
    <row r="23">
      <c r="A23" s="220">
        <f>Database!B23</f>
        <v/>
      </c>
      <c r="B23" s="220">
        <f>IF(AND(Screener!$D$8&lt;&gt;"",Database!$E23=Screener!$D$8),1,0)</f>
        <v/>
      </c>
      <c r="C23" s="220">
        <f>IF(AND(Screener!$D$7&lt;&gt;"",Database!$D23=Screener!$D$7),1,0)</f>
        <v/>
      </c>
      <c r="D23" s="220">
        <f>IF(OR(N(Database!$I23)&lt;=0,N(Screener!$D$9)&lt;=0),0,MAX(0,1-ABS(LOG10(N(Database!$I23)/Screener!$D$9))/W_SIZEHW))</f>
        <v/>
      </c>
      <c r="E23" s="220">
        <f>IF(OR(Database!$BG23="",Screener!$D$10=""),0,IF(Database!$BG23=Screener!$D$10,1,0))</f>
        <v/>
      </c>
      <c r="F23" s="220">
        <f>IF(OR(Database!$BM23="",Screener!$D$11=""),0,IF(Database!$BM23=Screener!$D$11,1,0))</f>
        <v/>
      </c>
      <c r="G23" s="220">
        <f>IF(OR(Database!$H23="",N(Screener!$D$12)&lt;=0),0,MAX(0,1-(N(Screener!$D$12)-Database!$H23)/W_RECD))</f>
        <v/>
      </c>
      <c r="H23" s="220">
        <f>IF($U$1="",0,N(ISNUMBER(SEARCH($U$1,Database!$AC23&amp;""))))+IF($V$1="",0,N(ISNUMBER(SEARCH($V$1,Database!$AC23&amp;""))))+IF($W$1="",0,N(ISNUMBER(SEARCH($W$1,Database!$AC23&amp;""))))+IF($X$1="",0,N(ISNUMBER(SEARCH($X$1,Database!$AC23&amp;""))))+IF($Y$1="",0,N(ISNUMBER(SEARCH($Y$1,Database!$AC23&amp;""))))+IF(Screener!$B$17="",0,N(ISNUMBER(SEARCH(LOWER(Screener!$B$17),Database!$AC23&amp;""))))</f>
        <v/>
      </c>
      <c r="I23" s="220">
        <f>IF(OR(N(Database!$BH23)&lt;=0,N(Screener!$D$13)&lt;=0),0,MAX(0,1-ABS(LOG10(N(Database!$BH23)/Screener!$D$13))/W_PEHW))</f>
        <v/>
      </c>
      <c r="J23" s="220">
        <f>IF(OR(N(Database!$S23)&lt;=0,N(Screener!$D$14)&lt;=0),0,MAX(0,1-ABS(LOG10(Database!$S23/Screener!$D$14))/0.6))</f>
        <v/>
      </c>
      <c r="K23" s="220">
        <f>IF(Database!$B23=Screener!$B$5,-999999,IF(ISNUMBER(SEARCH(","&amp;Database!$A23&amp;",",","&amp;SUBSTITUTE(Screener!$D$17," ","")&amp;",")),2000000,IF(IF(OR(Screener!$B$18="All",AND(Screener!$B$18="With A-share",(Database!$BM23="Y")),AND(Screener!$B$18="Without A-share",NOT((Database!$BM23="Y")))),1,0)=0,-999999,IF(Screener!$B$16="cornerstone overlap first",H23*100000,IF(Screener!$B$16="demand-similar first",J23*100000,0))+W_SUB*B23+W_SEC*C23*(1-B23)+W_SIZE*D23+W_PROF*E23+W_AH*F23+W_REC*G23+W_CS*H23+W_PE*I23)))+ROW()/1000000</f>
        <v/>
      </c>
      <c r="AA23" s="220">
        <f>Database!B12</f>
        <v/>
      </c>
      <c r="AB23" s="220">
        <f>Database!D12</f>
        <v/>
      </c>
      <c r="AC23" s="220">
        <f>Database!E12</f>
        <v/>
      </c>
      <c r="AD23" s="220">
        <f>Database!I12</f>
        <v/>
      </c>
      <c r="AE23" s="220">
        <f>Database!BG12</f>
        <v/>
      </c>
      <c r="AF23" s="220">
        <f>Database!BM12</f>
        <v/>
      </c>
      <c r="AG23" s="220">
        <f>Database!H12</f>
        <v/>
      </c>
      <c r="AH23" s="220">
        <f>Database!BH12</f>
        <v/>
      </c>
    </row>
    <row r="24">
      <c r="A24" s="220">
        <f>Database!B24</f>
        <v/>
      </c>
      <c r="B24" s="220">
        <f>IF(AND(Screener!$D$8&lt;&gt;"",Database!$E24=Screener!$D$8),1,0)</f>
        <v/>
      </c>
      <c r="C24" s="220">
        <f>IF(AND(Screener!$D$7&lt;&gt;"",Database!$D24=Screener!$D$7),1,0)</f>
        <v/>
      </c>
      <c r="D24" s="220">
        <f>IF(OR(N(Database!$I24)&lt;=0,N(Screener!$D$9)&lt;=0),0,MAX(0,1-ABS(LOG10(N(Database!$I24)/Screener!$D$9))/W_SIZEHW))</f>
        <v/>
      </c>
      <c r="E24" s="220">
        <f>IF(OR(Database!$BG24="",Screener!$D$10=""),0,IF(Database!$BG24=Screener!$D$10,1,0))</f>
        <v/>
      </c>
      <c r="F24" s="220">
        <f>IF(OR(Database!$BM24="",Screener!$D$11=""),0,IF(Database!$BM24=Screener!$D$11,1,0))</f>
        <v/>
      </c>
      <c r="G24" s="220">
        <f>IF(OR(Database!$H24="",N(Screener!$D$12)&lt;=0),0,MAX(0,1-(N(Screener!$D$12)-Database!$H24)/W_RECD))</f>
        <v/>
      </c>
      <c r="H24" s="220">
        <f>IF($U$1="",0,N(ISNUMBER(SEARCH($U$1,Database!$AC24&amp;""))))+IF($V$1="",0,N(ISNUMBER(SEARCH($V$1,Database!$AC24&amp;""))))+IF($W$1="",0,N(ISNUMBER(SEARCH($W$1,Database!$AC24&amp;""))))+IF($X$1="",0,N(ISNUMBER(SEARCH($X$1,Database!$AC24&amp;""))))+IF($Y$1="",0,N(ISNUMBER(SEARCH($Y$1,Database!$AC24&amp;""))))+IF(Screener!$B$17="",0,N(ISNUMBER(SEARCH(LOWER(Screener!$B$17),Database!$AC24&amp;""))))</f>
        <v/>
      </c>
      <c r="I24" s="220">
        <f>IF(OR(N(Database!$BH24)&lt;=0,N(Screener!$D$13)&lt;=0),0,MAX(0,1-ABS(LOG10(N(Database!$BH24)/Screener!$D$13))/W_PEHW))</f>
        <v/>
      </c>
      <c r="J24" s="220">
        <f>IF(OR(N(Database!$S24)&lt;=0,N(Screener!$D$14)&lt;=0),0,MAX(0,1-ABS(LOG10(Database!$S24/Screener!$D$14))/0.6))</f>
        <v/>
      </c>
      <c r="K24" s="220">
        <f>IF(Database!$B24=Screener!$B$5,-999999,IF(ISNUMBER(SEARCH(","&amp;Database!$A24&amp;",",","&amp;SUBSTITUTE(Screener!$D$17," ","")&amp;",")),2000000,IF(IF(OR(Screener!$B$18="All",AND(Screener!$B$18="With A-share",(Database!$BM24="Y")),AND(Screener!$B$18="Without A-share",NOT((Database!$BM24="Y")))),1,0)=0,-999999,IF(Screener!$B$16="cornerstone overlap first",H24*100000,IF(Screener!$B$16="demand-similar first",J24*100000,0))+W_SUB*B24+W_SEC*C24*(1-B24)+W_SIZE*D24+W_PROF*E24+W_AH*F24+W_REC*G24+W_CS*H24+W_PE*I24)))+ROW()/1000000</f>
        <v/>
      </c>
      <c r="AA24" s="220">
        <f>Database!B13</f>
        <v/>
      </c>
      <c r="AB24" s="220">
        <f>Database!D13</f>
        <v/>
      </c>
      <c r="AC24" s="220">
        <f>Database!E13</f>
        <v/>
      </c>
      <c r="AD24" s="220">
        <f>Database!I13</f>
        <v/>
      </c>
      <c r="AE24" s="220">
        <f>Database!BG13</f>
        <v/>
      </c>
      <c r="AF24" s="220">
        <f>Database!BM13</f>
        <v/>
      </c>
      <c r="AG24" s="220">
        <f>Database!H13</f>
        <v/>
      </c>
      <c r="AH24" s="220">
        <f>Database!BH13</f>
        <v/>
      </c>
    </row>
    <row r="25">
      <c r="A25" s="220">
        <f>Database!B25</f>
        <v/>
      </c>
      <c r="B25" s="220">
        <f>IF(AND(Screener!$D$8&lt;&gt;"",Database!$E25=Screener!$D$8),1,0)</f>
        <v/>
      </c>
      <c r="C25" s="220">
        <f>IF(AND(Screener!$D$7&lt;&gt;"",Database!$D25=Screener!$D$7),1,0)</f>
        <v/>
      </c>
      <c r="D25" s="220">
        <f>IF(OR(N(Database!$I25)&lt;=0,N(Screener!$D$9)&lt;=0),0,MAX(0,1-ABS(LOG10(N(Database!$I25)/Screener!$D$9))/W_SIZEHW))</f>
        <v/>
      </c>
      <c r="E25" s="220">
        <f>IF(OR(Database!$BG25="",Screener!$D$10=""),0,IF(Database!$BG25=Screener!$D$10,1,0))</f>
        <v/>
      </c>
      <c r="F25" s="220">
        <f>IF(OR(Database!$BM25="",Screener!$D$11=""),0,IF(Database!$BM25=Screener!$D$11,1,0))</f>
        <v/>
      </c>
      <c r="G25" s="220">
        <f>IF(OR(Database!$H25="",N(Screener!$D$12)&lt;=0),0,MAX(0,1-(N(Screener!$D$12)-Database!$H25)/W_RECD))</f>
        <v/>
      </c>
      <c r="H25" s="220">
        <f>IF($U$1="",0,N(ISNUMBER(SEARCH($U$1,Database!$AC25&amp;""))))+IF($V$1="",0,N(ISNUMBER(SEARCH($V$1,Database!$AC25&amp;""))))+IF($W$1="",0,N(ISNUMBER(SEARCH($W$1,Database!$AC25&amp;""))))+IF($X$1="",0,N(ISNUMBER(SEARCH($X$1,Database!$AC25&amp;""))))+IF($Y$1="",0,N(ISNUMBER(SEARCH($Y$1,Database!$AC25&amp;""))))+IF(Screener!$B$17="",0,N(ISNUMBER(SEARCH(LOWER(Screener!$B$17),Database!$AC25&amp;""))))</f>
        <v/>
      </c>
      <c r="I25" s="220">
        <f>IF(OR(N(Database!$BH25)&lt;=0,N(Screener!$D$13)&lt;=0),0,MAX(0,1-ABS(LOG10(N(Database!$BH25)/Screener!$D$13))/W_PEHW))</f>
        <v/>
      </c>
      <c r="J25" s="220">
        <f>IF(OR(N(Database!$S25)&lt;=0,N(Screener!$D$14)&lt;=0),0,MAX(0,1-ABS(LOG10(Database!$S25/Screener!$D$14))/0.6))</f>
        <v/>
      </c>
      <c r="K25" s="220">
        <f>IF(Database!$B25=Screener!$B$5,-999999,IF(ISNUMBER(SEARCH(","&amp;Database!$A25&amp;",",","&amp;SUBSTITUTE(Screener!$D$17," ","")&amp;",")),2000000,IF(IF(OR(Screener!$B$18="All",AND(Screener!$B$18="With A-share",(Database!$BM25="Y")),AND(Screener!$B$18="Without A-share",NOT((Database!$BM25="Y")))),1,0)=0,-999999,IF(Screener!$B$16="cornerstone overlap first",H25*100000,IF(Screener!$B$16="demand-similar first",J25*100000,0))+W_SUB*B25+W_SEC*C25*(1-B25)+W_SIZE*D25+W_PROF*E25+W_AH*F25+W_REC*G25+W_CS*H25+W_PE*I25)))+ROW()/1000000</f>
        <v/>
      </c>
      <c r="AA25" s="220">
        <f>Database!B14</f>
        <v/>
      </c>
      <c r="AB25" s="220">
        <f>Database!D14</f>
        <v/>
      </c>
      <c r="AC25" s="220">
        <f>Database!E14</f>
        <v/>
      </c>
      <c r="AD25" s="220">
        <f>Database!I14</f>
        <v/>
      </c>
      <c r="AE25" s="220">
        <f>Database!BG14</f>
        <v/>
      </c>
      <c r="AF25" s="220">
        <f>Database!BM14</f>
        <v/>
      </c>
      <c r="AG25" s="220">
        <f>Database!H14</f>
        <v/>
      </c>
      <c r="AH25" s="220">
        <f>Database!BH14</f>
        <v/>
      </c>
    </row>
    <row r="26">
      <c r="A26" s="220">
        <f>Database!B26</f>
        <v/>
      </c>
      <c r="B26" s="220">
        <f>IF(AND(Screener!$D$8&lt;&gt;"",Database!$E26=Screener!$D$8),1,0)</f>
        <v/>
      </c>
      <c r="C26" s="220">
        <f>IF(AND(Screener!$D$7&lt;&gt;"",Database!$D26=Screener!$D$7),1,0)</f>
        <v/>
      </c>
      <c r="D26" s="220">
        <f>IF(OR(N(Database!$I26)&lt;=0,N(Screener!$D$9)&lt;=0),0,MAX(0,1-ABS(LOG10(N(Database!$I26)/Screener!$D$9))/W_SIZEHW))</f>
        <v/>
      </c>
      <c r="E26" s="220">
        <f>IF(OR(Database!$BG26="",Screener!$D$10=""),0,IF(Database!$BG26=Screener!$D$10,1,0))</f>
        <v/>
      </c>
      <c r="F26" s="220">
        <f>IF(OR(Database!$BM26="",Screener!$D$11=""),0,IF(Database!$BM26=Screener!$D$11,1,0))</f>
        <v/>
      </c>
      <c r="G26" s="220">
        <f>IF(OR(Database!$H26="",N(Screener!$D$12)&lt;=0),0,MAX(0,1-(N(Screener!$D$12)-Database!$H26)/W_RECD))</f>
        <v/>
      </c>
      <c r="H26" s="220">
        <f>IF($U$1="",0,N(ISNUMBER(SEARCH($U$1,Database!$AC26&amp;""))))+IF($V$1="",0,N(ISNUMBER(SEARCH($V$1,Database!$AC26&amp;""))))+IF($W$1="",0,N(ISNUMBER(SEARCH($W$1,Database!$AC26&amp;""))))+IF($X$1="",0,N(ISNUMBER(SEARCH($X$1,Database!$AC26&amp;""))))+IF($Y$1="",0,N(ISNUMBER(SEARCH($Y$1,Database!$AC26&amp;""))))+IF(Screener!$B$17="",0,N(ISNUMBER(SEARCH(LOWER(Screener!$B$17),Database!$AC26&amp;""))))</f>
        <v/>
      </c>
      <c r="I26" s="220">
        <f>IF(OR(N(Database!$BH26)&lt;=0,N(Screener!$D$13)&lt;=0),0,MAX(0,1-ABS(LOG10(N(Database!$BH26)/Screener!$D$13))/W_PEHW))</f>
        <v/>
      </c>
      <c r="J26" s="220">
        <f>IF(OR(N(Database!$S26)&lt;=0,N(Screener!$D$14)&lt;=0),0,MAX(0,1-ABS(LOG10(Database!$S26/Screener!$D$14))/0.6))</f>
        <v/>
      </c>
      <c r="K26" s="220">
        <f>IF(Database!$B26=Screener!$B$5,-999999,IF(ISNUMBER(SEARCH(","&amp;Database!$A26&amp;",",","&amp;SUBSTITUTE(Screener!$D$17," ","")&amp;",")),2000000,IF(IF(OR(Screener!$B$18="All",AND(Screener!$B$18="With A-share",(Database!$BM26="Y")),AND(Screener!$B$18="Without A-share",NOT((Database!$BM26="Y")))),1,0)=0,-999999,IF(Screener!$B$16="cornerstone overlap first",H26*100000,IF(Screener!$B$16="demand-similar first",J26*100000,0))+W_SUB*B26+W_SEC*C26*(1-B26)+W_SIZE*D26+W_PROF*E26+W_AH*F26+W_REC*G26+W_CS*H26+W_PE*I26)))+ROW()/1000000</f>
        <v/>
      </c>
      <c r="AA26" s="220">
        <f>Database!B15</f>
        <v/>
      </c>
      <c r="AB26" s="220">
        <f>Database!D15</f>
        <v/>
      </c>
      <c r="AC26" s="220">
        <f>Database!E15</f>
        <v/>
      </c>
      <c r="AD26" s="220">
        <f>Database!I15</f>
        <v/>
      </c>
      <c r="AE26" s="220">
        <f>Database!BG15</f>
        <v/>
      </c>
      <c r="AF26" s="220">
        <f>Database!BM15</f>
        <v/>
      </c>
      <c r="AG26" s="220">
        <f>Database!H15</f>
        <v/>
      </c>
      <c r="AH26" s="220">
        <f>Database!BH15</f>
        <v/>
      </c>
    </row>
    <row r="27">
      <c r="A27" s="220">
        <f>Database!B27</f>
        <v/>
      </c>
      <c r="B27" s="220">
        <f>IF(AND(Screener!$D$8&lt;&gt;"",Database!$E27=Screener!$D$8),1,0)</f>
        <v/>
      </c>
      <c r="C27" s="220">
        <f>IF(AND(Screener!$D$7&lt;&gt;"",Database!$D27=Screener!$D$7),1,0)</f>
        <v/>
      </c>
      <c r="D27" s="220">
        <f>IF(OR(N(Database!$I27)&lt;=0,N(Screener!$D$9)&lt;=0),0,MAX(0,1-ABS(LOG10(N(Database!$I27)/Screener!$D$9))/W_SIZEHW))</f>
        <v/>
      </c>
      <c r="E27" s="220">
        <f>IF(OR(Database!$BG27="",Screener!$D$10=""),0,IF(Database!$BG27=Screener!$D$10,1,0))</f>
        <v/>
      </c>
      <c r="F27" s="220">
        <f>IF(OR(Database!$BM27="",Screener!$D$11=""),0,IF(Database!$BM27=Screener!$D$11,1,0))</f>
        <v/>
      </c>
      <c r="G27" s="220">
        <f>IF(OR(Database!$H27="",N(Screener!$D$12)&lt;=0),0,MAX(0,1-(N(Screener!$D$12)-Database!$H27)/W_RECD))</f>
        <v/>
      </c>
      <c r="H27" s="220">
        <f>IF($U$1="",0,N(ISNUMBER(SEARCH($U$1,Database!$AC27&amp;""))))+IF($V$1="",0,N(ISNUMBER(SEARCH($V$1,Database!$AC27&amp;""))))+IF($W$1="",0,N(ISNUMBER(SEARCH($W$1,Database!$AC27&amp;""))))+IF($X$1="",0,N(ISNUMBER(SEARCH($X$1,Database!$AC27&amp;""))))+IF($Y$1="",0,N(ISNUMBER(SEARCH($Y$1,Database!$AC27&amp;""))))+IF(Screener!$B$17="",0,N(ISNUMBER(SEARCH(LOWER(Screener!$B$17),Database!$AC27&amp;""))))</f>
        <v/>
      </c>
      <c r="I27" s="220">
        <f>IF(OR(N(Database!$BH27)&lt;=0,N(Screener!$D$13)&lt;=0),0,MAX(0,1-ABS(LOG10(N(Database!$BH27)/Screener!$D$13))/W_PEHW))</f>
        <v/>
      </c>
      <c r="J27" s="220">
        <f>IF(OR(N(Database!$S27)&lt;=0,N(Screener!$D$14)&lt;=0),0,MAX(0,1-ABS(LOG10(Database!$S27/Screener!$D$14))/0.6))</f>
        <v/>
      </c>
      <c r="K27" s="220">
        <f>IF(Database!$B27=Screener!$B$5,-999999,IF(ISNUMBER(SEARCH(","&amp;Database!$A27&amp;",",","&amp;SUBSTITUTE(Screener!$D$17," ","")&amp;",")),2000000,IF(IF(OR(Screener!$B$18="All",AND(Screener!$B$18="With A-share",(Database!$BM27="Y")),AND(Screener!$B$18="Without A-share",NOT((Database!$BM27="Y")))),1,0)=0,-999999,IF(Screener!$B$16="cornerstone overlap first",H27*100000,IF(Screener!$B$16="demand-similar first",J27*100000,0))+W_SUB*B27+W_SEC*C27*(1-B27)+W_SIZE*D27+W_PROF*E27+W_AH*F27+W_REC*G27+W_CS*H27+W_PE*I27)))+ROW()/1000000</f>
        <v/>
      </c>
      <c r="AA27" s="220">
        <f>Database!B16</f>
        <v/>
      </c>
      <c r="AB27" s="220">
        <f>Database!D16</f>
        <v/>
      </c>
      <c r="AC27" s="220">
        <f>Database!E16</f>
        <v/>
      </c>
      <c r="AD27" s="220">
        <f>Database!I16</f>
        <v/>
      </c>
      <c r="AE27" s="220">
        <f>Database!BG16</f>
        <v/>
      </c>
      <c r="AF27" s="220">
        <f>Database!BM16</f>
        <v/>
      </c>
      <c r="AG27" s="220">
        <f>Database!H16</f>
        <v/>
      </c>
      <c r="AH27" s="220">
        <f>Database!BH16</f>
        <v/>
      </c>
    </row>
    <row r="28">
      <c r="A28" s="220">
        <f>Database!B28</f>
        <v/>
      </c>
      <c r="B28" s="220">
        <f>IF(AND(Screener!$D$8&lt;&gt;"",Database!$E28=Screener!$D$8),1,0)</f>
        <v/>
      </c>
      <c r="C28" s="220">
        <f>IF(AND(Screener!$D$7&lt;&gt;"",Database!$D28=Screener!$D$7),1,0)</f>
        <v/>
      </c>
      <c r="D28" s="220">
        <f>IF(OR(N(Database!$I28)&lt;=0,N(Screener!$D$9)&lt;=0),0,MAX(0,1-ABS(LOG10(N(Database!$I28)/Screener!$D$9))/W_SIZEHW))</f>
        <v/>
      </c>
      <c r="E28" s="220">
        <f>IF(OR(Database!$BG28="",Screener!$D$10=""),0,IF(Database!$BG28=Screener!$D$10,1,0))</f>
        <v/>
      </c>
      <c r="F28" s="220">
        <f>IF(OR(Database!$BM28="",Screener!$D$11=""),0,IF(Database!$BM28=Screener!$D$11,1,0))</f>
        <v/>
      </c>
      <c r="G28" s="220">
        <f>IF(OR(Database!$H28="",N(Screener!$D$12)&lt;=0),0,MAX(0,1-(N(Screener!$D$12)-Database!$H28)/W_RECD))</f>
        <v/>
      </c>
      <c r="H28" s="220">
        <f>IF($U$1="",0,N(ISNUMBER(SEARCH($U$1,Database!$AC28&amp;""))))+IF($V$1="",0,N(ISNUMBER(SEARCH($V$1,Database!$AC28&amp;""))))+IF($W$1="",0,N(ISNUMBER(SEARCH($W$1,Database!$AC28&amp;""))))+IF($X$1="",0,N(ISNUMBER(SEARCH($X$1,Database!$AC28&amp;""))))+IF($Y$1="",0,N(ISNUMBER(SEARCH($Y$1,Database!$AC28&amp;""))))+IF(Screener!$B$17="",0,N(ISNUMBER(SEARCH(LOWER(Screener!$B$17),Database!$AC28&amp;""))))</f>
        <v/>
      </c>
      <c r="I28" s="220">
        <f>IF(OR(N(Database!$BH28)&lt;=0,N(Screener!$D$13)&lt;=0),0,MAX(0,1-ABS(LOG10(N(Database!$BH28)/Screener!$D$13))/W_PEHW))</f>
        <v/>
      </c>
      <c r="J28" s="220">
        <f>IF(OR(N(Database!$S28)&lt;=0,N(Screener!$D$14)&lt;=0),0,MAX(0,1-ABS(LOG10(Database!$S28/Screener!$D$14))/0.6))</f>
        <v/>
      </c>
      <c r="K28" s="220">
        <f>IF(Database!$B28=Screener!$B$5,-999999,IF(ISNUMBER(SEARCH(","&amp;Database!$A28&amp;",",","&amp;SUBSTITUTE(Screener!$D$17," ","")&amp;",")),2000000,IF(IF(OR(Screener!$B$18="All",AND(Screener!$B$18="With A-share",(Database!$BM28="Y")),AND(Screener!$B$18="Without A-share",NOT((Database!$BM28="Y")))),1,0)=0,-999999,IF(Screener!$B$16="cornerstone overlap first",H28*100000,IF(Screener!$B$16="demand-similar first",J28*100000,0))+W_SUB*B28+W_SEC*C28*(1-B28)+W_SIZE*D28+W_PROF*E28+W_AH*F28+W_REC*G28+W_CS*H28+W_PE*I28)))+ROW()/1000000</f>
        <v/>
      </c>
      <c r="AA28" s="220">
        <f>Database!B17</f>
        <v/>
      </c>
      <c r="AB28" s="220">
        <f>Database!D17</f>
        <v/>
      </c>
      <c r="AC28" s="220">
        <f>Database!E17</f>
        <v/>
      </c>
      <c r="AD28" s="220">
        <f>Database!I17</f>
        <v/>
      </c>
      <c r="AE28" s="220">
        <f>Database!BG17</f>
        <v/>
      </c>
      <c r="AF28" s="220">
        <f>Database!BM17</f>
        <v/>
      </c>
      <c r="AG28" s="220">
        <f>Database!H17</f>
        <v/>
      </c>
      <c r="AH28" s="220">
        <f>Database!BH17</f>
        <v/>
      </c>
    </row>
    <row r="29">
      <c r="A29" s="220">
        <f>Database!B29</f>
        <v/>
      </c>
      <c r="B29" s="220">
        <f>IF(AND(Screener!$D$8&lt;&gt;"",Database!$E29=Screener!$D$8),1,0)</f>
        <v/>
      </c>
      <c r="C29" s="220">
        <f>IF(AND(Screener!$D$7&lt;&gt;"",Database!$D29=Screener!$D$7),1,0)</f>
        <v/>
      </c>
      <c r="D29" s="220">
        <f>IF(OR(N(Database!$I29)&lt;=0,N(Screener!$D$9)&lt;=0),0,MAX(0,1-ABS(LOG10(N(Database!$I29)/Screener!$D$9))/W_SIZEHW))</f>
        <v/>
      </c>
      <c r="E29" s="220">
        <f>IF(OR(Database!$BG29="",Screener!$D$10=""),0,IF(Database!$BG29=Screener!$D$10,1,0))</f>
        <v/>
      </c>
      <c r="F29" s="220">
        <f>IF(OR(Database!$BM29="",Screener!$D$11=""),0,IF(Database!$BM29=Screener!$D$11,1,0))</f>
        <v/>
      </c>
      <c r="G29" s="220">
        <f>IF(OR(Database!$H29="",N(Screener!$D$12)&lt;=0),0,MAX(0,1-(N(Screener!$D$12)-Database!$H29)/W_RECD))</f>
        <v/>
      </c>
      <c r="H29" s="220">
        <f>IF($U$1="",0,N(ISNUMBER(SEARCH($U$1,Database!$AC29&amp;""))))+IF($V$1="",0,N(ISNUMBER(SEARCH($V$1,Database!$AC29&amp;""))))+IF($W$1="",0,N(ISNUMBER(SEARCH($W$1,Database!$AC29&amp;""))))+IF($X$1="",0,N(ISNUMBER(SEARCH($X$1,Database!$AC29&amp;""))))+IF($Y$1="",0,N(ISNUMBER(SEARCH($Y$1,Database!$AC29&amp;""))))+IF(Screener!$B$17="",0,N(ISNUMBER(SEARCH(LOWER(Screener!$B$17),Database!$AC29&amp;""))))</f>
        <v/>
      </c>
      <c r="I29" s="220">
        <f>IF(OR(N(Database!$BH29)&lt;=0,N(Screener!$D$13)&lt;=0),0,MAX(0,1-ABS(LOG10(N(Database!$BH29)/Screener!$D$13))/W_PEHW))</f>
        <v/>
      </c>
      <c r="J29" s="220">
        <f>IF(OR(N(Database!$S29)&lt;=0,N(Screener!$D$14)&lt;=0),0,MAX(0,1-ABS(LOG10(Database!$S29/Screener!$D$14))/0.6))</f>
        <v/>
      </c>
      <c r="K29" s="220">
        <f>IF(Database!$B29=Screener!$B$5,-999999,IF(ISNUMBER(SEARCH(","&amp;Database!$A29&amp;",",","&amp;SUBSTITUTE(Screener!$D$17," ","")&amp;",")),2000000,IF(IF(OR(Screener!$B$18="All",AND(Screener!$B$18="With A-share",(Database!$BM29="Y")),AND(Screener!$B$18="Without A-share",NOT((Database!$BM29="Y")))),1,0)=0,-999999,IF(Screener!$B$16="cornerstone overlap first",H29*100000,IF(Screener!$B$16="demand-similar first",J29*100000,0))+W_SUB*B29+W_SEC*C29*(1-B29)+W_SIZE*D29+W_PROF*E29+W_AH*F29+W_REC*G29+W_CS*H29+W_PE*I29)))+ROW()/1000000</f>
        <v/>
      </c>
      <c r="AA29" s="220">
        <f>Database!B18</f>
        <v/>
      </c>
      <c r="AB29" s="220">
        <f>Database!D18</f>
        <v/>
      </c>
      <c r="AC29" s="220">
        <f>Database!E18</f>
        <v/>
      </c>
      <c r="AD29" s="220">
        <f>Database!I18</f>
        <v/>
      </c>
      <c r="AE29" s="220">
        <f>Database!BG18</f>
        <v/>
      </c>
      <c r="AF29" s="220">
        <f>Database!BM18</f>
        <v/>
      </c>
      <c r="AG29" s="220">
        <f>Database!H18</f>
        <v/>
      </c>
      <c r="AH29" s="220">
        <f>Database!BH18</f>
        <v/>
      </c>
    </row>
    <row r="30">
      <c r="A30" s="220">
        <f>Database!B30</f>
        <v/>
      </c>
      <c r="B30" s="220">
        <f>IF(AND(Screener!$D$8&lt;&gt;"",Database!$E30=Screener!$D$8),1,0)</f>
        <v/>
      </c>
      <c r="C30" s="220">
        <f>IF(AND(Screener!$D$7&lt;&gt;"",Database!$D30=Screener!$D$7),1,0)</f>
        <v/>
      </c>
      <c r="D30" s="220">
        <f>IF(OR(N(Database!$I30)&lt;=0,N(Screener!$D$9)&lt;=0),0,MAX(0,1-ABS(LOG10(N(Database!$I30)/Screener!$D$9))/W_SIZEHW))</f>
        <v/>
      </c>
      <c r="E30" s="220">
        <f>IF(OR(Database!$BG30="",Screener!$D$10=""),0,IF(Database!$BG30=Screener!$D$10,1,0))</f>
        <v/>
      </c>
      <c r="F30" s="220">
        <f>IF(OR(Database!$BM30="",Screener!$D$11=""),0,IF(Database!$BM30=Screener!$D$11,1,0))</f>
        <v/>
      </c>
      <c r="G30" s="220">
        <f>IF(OR(Database!$H30="",N(Screener!$D$12)&lt;=0),0,MAX(0,1-(N(Screener!$D$12)-Database!$H30)/W_RECD))</f>
        <v/>
      </c>
      <c r="H30" s="220">
        <f>IF($U$1="",0,N(ISNUMBER(SEARCH($U$1,Database!$AC30&amp;""))))+IF($V$1="",0,N(ISNUMBER(SEARCH($V$1,Database!$AC30&amp;""))))+IF($W$1="",0,N(ISNUMBER(SEARCH($W$1,Database!$AC30&amp;""))))+IF($X$1="",0,N(ISNUMBER(SEARCH($X$1,Database!$AC30&amp;""))))+IF($Y$1="",0,N(ISNUMBER(SEARCH($Y$1,Database!$AC30&amp;""))))+IF(Screener!$B$17="",0,N(ISNUMBER(SEARCH(LOWER(Screener!$B$17),Database!$AC30&amp;""))))</f>
        <v/>
      </c>
      <c r="I30" s="220">
        <f>IF(OR(N(Database!$BH30)&lt;=0,N(Screener!$D$13)&lt;=0),0,MAX(0,1-ABS(LOG10(N(Database!$BH30)/Screener!$D$13))/W_PEHW))</f>
        <v/>
      </c>
      <c r="J30" s="220">
        <f>IF(OR(N(Database!$S30)&lt;=0,N(Screener!$D$14)&lt;=0),0,MAX(0,1-ABS(LOG10(Database!$S30/Screener!$D$14))/0.6))</f>
        <v/>
      </c>
      <c r="K30" s="220">
        <f>IF(Database!$B30=Screener!$B$5,-999999,IF(ISNUMBER(SEARCH(","&amp;Database!$A30&amp;",",","&amp;SUBSTITUTE(Screener!$D$17," ","")&amp;",")),2000000,IF(IF(OR(Screener!$B$18="All",AND(Screener!$B$18="With A-share",(Database!$BM30="Y")),AND(Screener!$B$18="Without A-share",NOT((Database!$BM30="Y")))),1,0)=0,-999999,IF(Screener!$B$16="cornerstone overlap first",H30*100000,IF(Screener!$B$16="demand-similar first",J30*100000,0))+W_SUB*B30+W_SEC*C30*(1-B30)+W_SIZE*D30+W_PROF*E30+W_AH*F30+W_REC*G30+W_CS*H30+W_PE*I30)))+ROW()/1000000</f>
        <v/>
      </c>
      <c r="AA30" s="220">
        <f>Database!B19</f>
        <v/>
      </c>
      <c r="AB30" s="220">
        <f>Database!D19</f>
        <v/>
      </c>
      <c r="AC30" s="220">
        <f>Database!E19</f>
        <v/>
      </c>
      <c r="AD30" s="220">
        <f>Database!I19</f>
        <v/>
      </c>
      <c r="AE30" s="220">
        <f>Database!BG19</f>
        <v/>
      </c>
      <c r="AF30" s="220">
        <f>Database!BM19</f>
        <v/>
      </c>
      <c r="AG30" s="220">
        <f>Database!H19</f>
        <v/>
      </c>
      <c r="AH30" s="220">
        <f>Database!BH19</f>
        <v/>
      </c>
    </row>
    <row r="31">
      <c r="A31" s="220">
        <f>Database!B31</f>
        <v/>
      </c>
      <c r="B31" s="220">
        <f>IF(AND(Screener!$D$8&lt;&gt;"",Database!$E31=Screener!$D$8),1,0)</f>
        <v/>
      </c>
      <c r="C31" s="220">
        <f>IF(AND(Screener!$D$7&lt;&gt;"",Database!$D31=Screener!$D$7),1,0)</f>
        <v/>
      </c>
      <c r="D31" s="220">
        <f>IF(OR(N(Database!$I31)&lt;=0,N(Screener!$D$9)&lt;=0),0,MAX(0,1-ABS(LOG10(N(Database!$I31)/Screener!$D$9))/W_SIZEHW))</f>
        <v/>
      </c>
      <c r="E31" s="220">
        <f>IF(OR(Database!$BG31="",Screener!$D$10=""),0,IF(Database!$BG31=Screener!$D$10,1,0))</f>
        <v/>
      </c>
      <c r="F31" s="220">
        <f>IF(OR(Database!$BM31="",Screener!$D$11=""),0,IF(Database!$BM31=Screener!$D$11,1,0))</f>
        <v/>
      </c>
      <c r="G31" s="220">
        <f>IF(OR(Database!$H31="",N(Screener!$D$12)&lt;=0),0,MAX(0,1-(N(Screener!$D$12)-Database!$H31)/W_RECD))</f>
        <v/>
      </c>
      <c r="H31" s="220">
        <f>IF($U$1="",0,N(ISNUMBER(SEARCH($U$1,Database!$AC31&amp;""))))+IF($V$1="",0,N(ISNUMBER(SEARCH($V$1,Database!$AC31&amp;""))))+IF($W$1="",0,N(ISNUMBER(SEARCH($W$1,Database!$AC31&amp;""))))+IF($X$1="",0,N(ISNUMBER(SEARCH($X$1,Database!$AC31&amp;""))))+IF($Y$1="",0,N(ISNUMBER(SEARCH($Y$1,Database!$AC31&amp;""))))+IF(Screener!$B$17="",0,N(ISNUMBER(SEARCH(LOWER(Screener!$B$17),Database!$AC31&amp;""))))</f>
        <v/>
      </c>
      <c r="I31" s="220">
        <f>IF(OR(N(Database!$BH31)&lt;=0,N(Screener!$D$13)&lt;=0),0,MAX(0,1-ABS(LOG10(N(Database!$BH31)/Screener!$D$13))/W_PEHW))</f>
        <v/>
      </c>
      <c r="J31" s="220">
        <f>IF(OR(N(Database!$S31)&lt;=0,N(Screener!$D$14)&lt;=0),0,MAX(0,1-ABS(LOG10(Database!$S31/Screener!$D$14))/0.6))</f>
        <v/>
      </c>
      <c r="K31" s="220">
        <f>IF(Database!$B31=Screener!$B$5,-999999,IF(ISNUMBER(SEARCH(","&amp;Database!$A31&amp;",",","&amp;SUBSTITUTE(Screener!$D$17," ","")&amp;",")),2000000,IF(IF(OR(Screener!$B$18="All",AND(Screener!$B$18="With A-share",(Database!$BM31="Y")),AND(Screener!$B$18="Without A-share",NOT((Database!$BM31="Y")))),1,0)=0,-999999,IF(Screener!$B$16="cornerstone overlap first",H31*100000,IF(Screener!$B$16="demand-similar first",J31*100000,0))+W_SUB*B31+W_SEC*C31*(1-B31)+W_SIZE*D31+W_PROF*E31+W_AH*F31+W_REC*G31+W_CS*H31+W_PE*I31)))+ROW()/1000000</f>
        <v/>
      </c>
      <c r="AA31" s="220">
        <f>Database!B20</f>
        <v/>
      </c>
      <c r="AB31" s="220">
        <f>Database!D20</f>
        <v/>
      </c>
      <c r="AC31" s="220">
        <f>Database!E20</f>
        <v/>
      </c>
      <c r="AD31" s="220">
        <f>Database!I20</f>
        <v/>
      </c>
      <c r="AE31" s="220">
        <f>Database!BG20</f>
        <v/>
      </c>
      <c r="AF31" s="220">
        <f>Database!BM20</f>
        <v/>
      </c>
      <c r="AG31" s="220">
        <f>Database!H20</f>
        <v/>
      </c>
      <c r="AH31" s="220">
        <f>Database!BH20</f>
        <v/>
      </c>
    </row>
    <row r="32">
      <c r="A32" s="220">
        <f>Database!B32</f>
        <v/>
      </c>
      <c r="B32" s="220">
        <f>IF(AND(Screener!$D$8&lt;&gt;"",Database!$E32=Screener!$D$8),1,0)</f>
        <v/>
      </c>
      <c r="C32" s="220">
        <f>IF(AND(Screener!$D$7&lt;&gt;"",Database!$D32=Screener!$D$7),1,0)</f>
        <v/>
      </c>
      <c r="D32" s="220">
        <f>IF(OR(N(Database!$I32)&lt;=0,N(Screener!$D$9)&lt;=0),0,MAX(0,1-ABS(LOG10(N(Database!$I32)/Screener!$D$9))/W_SIZEHW))</f>
        <v/>
      </c>
      <c r="E32" s="220">
        <f>IF(OR(Database!$BG32="",Screener!$D$10=""),0,IF(Database!$BG32=Screener!$D$10,1,0))</f>
        <v/>
      </c>
      <c r="F32" s="220">
        <f>IF(OR(Database!$BM32="",Screener!$D$11=""),0,IF(Database!$BM32=Screener!$D$11,1,0))</f>
        <v/>
      </c>
      <c r="G32" s="220">
        <f>IF(OR(Database!$H32="",N(Screener!$D$12)&lt;=0),0,MAX(0,1-(N(Screener!$D$12)-Database!$H32)/W_RECD))</f>
        <v/>
      </c>
      <c r="H32" s="220">
        <f>IF($U$1="",0,N(ISNUMBER(SEARCH($U$1,Database!$AC32&amp;""))))+IF($V$1="",0,N(ISNUMBER(SEARCH($V$1,Database!$AC32&amp;""))))+IF($W$1="",0,N(ISNUMBER(SEARCH($W$1,Database!$AC32&amp;""))))+IF($X$1="",0,N(ISNUMBER(SEARCH($X$1,Database!$AC32&amp;""))))+IF($Y$1="",0,N(ISNUMBER(SEARCH($Y$1,Database!$AC32&amp;""))))+IF(Screener!$B$17="",0,N(ISNUMBER(SEARCH(LOWER(Screener!$B$17),Database!$AC32&amp;""))))</f>
        <v/>
      </c>
      <c r="I32" s="220">
        <f>IF(OR(N(Database!$BH32)&lt;=0,N(Screener!$D$13)&lt;=0),0,MAX(0,1-ABS(LOG10(N(Database!$BH32)/Screener!$D$13))/W_PEHW))</f>
        <v/>
      </c>
      <c r="J32" s="220">
        <f>IF(OR(N(Database!$S32)&lt;=0,N(Screener!$D$14)&lt;=0),0,MAX(0,1-ABS(LOG10(Database!$S32/Screener!$D$14))/0.6))</f>
        <v/>
      </c>
      <c r="K32" s="220">
        <f>IF(Database!$B32=Screener!$B$5,-999999,IF(ISNUMBER(SEARCH(","&amp;Database!$A32&amp;",",","&amp;SUBSTITUTE(Screener!$D$17," ","")&amp;",")),2000000,IF(IF(OR(Screener!$B$18="All",AND(Screener!$B$18="With A-share",(Database!$BM32="Y")),AND(Screener!$B$18="Without A-share",NOT((Database!$BM32="Y")))),1,0)=0,-999999,IF(Screener!$B$16="cornerstone overlap first",H32*100000,IF(Screener!$B$16="demand-similar first",J32*100000,0))+W_SUB*B32+W_SEC*C32*(1-B32)+W_SIZE*D32+W_PROF*E32+W_AH*F32+W_REC*G32+W_CS*H32+W_PE*I32)))+ROW()/1000000</f>
        <v/>
      </c>
      <c r="AA32" s="220">
        <f>Database!B21</f>
        <v/>
      </c>
      <c r="AB32" s="220">
        <f>Database!D21</f>
        <v/>
      </c>
      <c r="AC32" s="220">
        <f>Database!E21</f>
        <v/>
      </c>
      <c r="AD32" s="220">
        <f>Database!I21</f>
        <v/>
      </c>
      <c r="AE32" s="220">
        <f>Database!BG21</f>
        <v/>
      </c>
      <c r="AF32" s="220">
        <f>Database!BM21</f>
        <v/>
      </c>
      <c r="AG32" s="220">
        <f>Database!H21</f>
        <v/>
      </c>
      <c r="AH32" s="220">
        <f>Database!BH21</f>
        <v/>
      </c>
    </row>
    <row r="33">
      <c r="A33" s="220">
        <f>Database!B33</f>
        <v/>
      </c>
      <c r="B33" s="220">
        <f>IF(AND(Screener!$D$8&lt;&gt;"",Database!$E33=Screener!$D$8),1,0)</f>
        <v/>
      </c>
      <c r="C33" s="220">
        <f>IF(AND(Screener!$D$7&lt;&gt;"",Database!$D33=Screener!$D$7),1,0)</f>
        <v/>
      </c>
      <c r="D33" s="220">
        <f>IF(OR(N(Database!$I33)&lt;=0,N(Screener!$D$9)&lt;=0),0,MAX(0,1-ABS(LOG10(N(Database!$I33)/Screener!$D$9))/W_SIZEHW))</f>
        <v/>
      </c>
      <c r="E33" s="220">
        <f>IF(OR(Database!$BG33="",Screener!$D$10=""),0,IF(Database!$BG33=Screener!$D$10,1,0))</f>
        <v/>
      </c>
      <c r="F33" s="220">
        <f>IF(OR(Database!$BM33="",Screener!$D$11=""),0,IF(Database!$BM33=Screener!$D$11,1,0))</f>
        <v/>
      </c>
      <c r="G33" s="220">
        <f>IF(OR(Database!$H33="",N(Screener!$D$12)&lt;=0),0,MAX(0,1-(N(Screener!$D$12)-Database!$H33)/W_RECD))</f>
        <v/>
      </c>
      <c r="H33" s="220">
        <f>IF($U$1="",0,N(ISNUMBER(SEARCH($U$1,Database!$AC33&amp;""))))+IF($V$1="",0,N(ISNUMBER(SEARCH($V$1,Database!$AC33&amp;""))))+IF($W$1="",0,N(ISNUMBER(SEARCH($W$1,Database!$AC33&amp;""))))+IF($X$1="",0,N(ISNUMBER(SEARCH($X$1,Database!$AC33&amp;""))))+IF($Y$1="",0,N(ISNUMBER(SEARCH($Y$1,Database!$AC33&amp;""))))+IF(Screener!$B$17="",0,N(ISNUMBER(SEARCH(LOWER(Screener!$B$17),Database!$AC33&amp;""))))</f>
        <v/>
      </c>
      <c r="I33" s="220">
        <f>IF(OR(N(Database!$BH33)&lt;=0,N(Screener!$D$13)&lt;=0),0,MAX(0,1-ABS(LOG10(N(Database!$BH33)/Screener!$D$13))/W_PEHW))</f>
        <v/>
      </c>
      <c r="J33" s="220">
        <f>IF(OR(N(Database!$S33)&lt;=0,N(Screener!$D$14)&lt;=0),0,MAX(0,1-ABS(LOG10(Database!$S33/Screener!$D$14))/0.6))</f>
        <v/>
      </c>
      <c r="K33" s="220">
        <f>IF(Database!$B33=Screener!$B$5,-999999,IF(ISNUMBER(SEARCH(","&amp;Database!$A33&amp;",",","&amp;SUBSTITUTE(Screener!$D$17," ","")&amp;",")),2000000,IF(IF(OR(Screener!$B$18="All",AND(Screener!$B$18="With A-share",(Database!$BM33="Y")),AND(Screener!$B$18="Without A-share",NOT((Database!$BM33="Y")))),1,0)=0,-999999,IF(Screener!$B$16="cornerstone overlap first",H33*100000,IF(Screener!$B$16="demand-similar first",J33*100000,0))+W_SUB*B33+W_SEC*C33*(1-B33)+W_SIZE*D33+W_PROF*E33+W_AH*F33+W_REC*G33+W_CS*H33+W_PE*I33)))+ROW()/1000000</f>
        <v/>
      </c>
      <c r="AA33" s="220">
        <f>Database!B22</f>
        <v/>
      </c>
      <c r="AB33" s="220">
        <f>Database!D22</f>
        <v/>
      </c>
      <c r="AC33" s="220">
        <f>Database!E22</f>
        <v/>
      </c>
      <c r="AD33" s="220">
        <f>Database!I22</f>
        <v/>
      </c>
      <c r="AE33" s="220">
        <f>Database!BG22</f>
        <v/>
      </c>
      <c r="AF33" s="220">
        <f>Database!BM22</f>
        <v/>
      </c>
      <c r="AG33" s="220">
        <f>Database!H22</f>
        <v/>
      </c>
      <c r="AH33" s="220">
        <f>Database!BH22</f>
        <v/>
      </c>
    </row>
    <row r="34">
      <c r="A34" s="220">
        <f>Database!B34</f>
        <v/>
      </c>
      <c r="B34" s="220">
        <f>IF(AND(Screener!$D$8&lt;&gt;"",Database!$E34=Screener!$D$8),1,0)</f>
        <v/>
      </c>
      <c r="C34" s="220">
        <f>IF(AND(Screener!$D$7&lt;&gt;"",Database!$D34=Screener!$D$7),1,0)</f>
        <v/>
      </c>
      <c r="D34" s="220">
        <f>IF(OR(N(Database!$I34)&lt;=0,N(Screener!$D$9)&lt;=0),0,MAX(0,1-ABS(LOG10(N(Database!$I34)/Screener!$D$9))/W_SIZEHW))</f>
        <v/>
      </c>
      <c r="E34" s="220">
        <f>IF(OR(Database!$BG34="",Screener!$D$10=""),0,IF(Database!$BG34=Screener!$D$10,1,0))</f>
        <v/>
      </c>
      <c r="F34" s="220">
        <f>IF(OR(Database!$BM34="",Screener!$D$11=""),0,IF(Database!$BM34=Screener!$D$11,1,0))</f>
        <v/>
      </c>
      <c r="G34" s="220">
        <f>IF(OR(Database!$H34="",N(Screener!$D$12)&lt;=0),0,MAX(0,1-(N(Screener!$D$12)-Database!$H34)/W_RECD))</f>
        <v/>
      </c>
      <c r="H34" s="220">
        <f>IF($U$1="",0,N(ISNUMBER(SEARCH($U$1,Database!$AC34&amp;""))))+IF($V$1="",0,N(ISNUMBER(SEARCH($V$1,Database!$AC34&amp;""))))+IF($W$1="",0,N(ISNUMBER(SEARCH($W$1,Database!$AC34&amp;""))))+IF($X$1="",0,N(ISNUMBER(SEARCH($X$1,Database!$AC34&amp;""))))+IF($Y$1="",0,N(ISNUMBER(SEARCH($Y$1,Database!$AC34&amp;""))))+IF(Screener!$B$17="",0,N(ISNUMBER(SEARCH(LOWER(Screener!$B$17),Database!$AC34&amp;""))))</f>
        <v/>
      </c>
      <c r="I34" s="220">
        <f>IF(OR(N(Database!$BH34)&lt;=0,N(Screener!$D$13)&lt;=0),0,MAX(0,1-ABS(LOG10(N(Database!$BH34)/Screener!$D$13))/W_PEHW))</f>
        <v/>
      </c>
      <c r="J34" s="220">
        <f>IF(OR(N(Database!$S34)&lt;=0,N(Screener!$D$14)&lt;=0),0,MAX(0,1-ABS(LOG10(Database!$S34/Screener!$D$14))/0.6))</f>
        <v/>
      </c>
      <c r="K34" s="220">
        <f>IF(Database!$B34=Screener!$B$5,-999999,IF(ISNUMBER(SEARCH(","&amp;Database!$A34&amp;",",","&amp;SUBSTITUTE(Screener!$D$17," ","")&amp;",")),2000000,IF(IF(OR(Screener!$B$18="All",AND(Screener!$B$18="With A-share",(Database!$BM34="Y")),AND(Screener!$B$18="Without A-share",NOT((Database!$BM34="Y")))),1,0)=0,-999999,IF(Screener!$B$16="cornerstone overlap first",H34*100000,IF(Screener!$B$16="demand-similar first",J34*100000,0))+W_SUB*B34+W_SEC*C34*(1-B34)+W_SIZE*D34+W_PROF*E34+W_AH*F34+W_REC*G34+W_CS*H34+W_PE*I34)))+ROW()/1000000</f>
        <v/>
      </c>
      <c r="AA34" s="220">
        <f>Database!B23</f>
        <v/>
      </c>
      <c r="AB34" s="220">
        <f>Database!D23</f>
        <v/>
      </c>
      <c r="AC34" s="220">
        <f>Database!E23</f>
        <v/>
      </c>
      <c r="AD34" s="220">
        <f>Database!I23</f>
        <v/>
      </c>
      <c r="AE34" s="220">
        <f>Database!BG23</f>
        <v/>
      </c>
      <c r="AF34" s="220">
        <f>Database!BM23</f>
        <v/>
      </c>
      <c r="AG34" s="220">
        <f>Database!H23</f>
        <v/>
      </c>
      <c r="AH34" s="220">
        <f>Database!BH23</f>
        <v/>
      </c>
    </row>
    <row r="35">
      <c r="A35" s="220">
        <f>Database!B35</f>
        <v/>
      </c>
      <c r="B35" s="220">
        <f>IF(AND(Screener!$D$8&lt;&gt;"",Database!$E35=Screener!$D$8),1,0)</f>
        <v/>
      </c>
      <c r="C35" s="220">
        <f>IF(AND(Screener!$D$7&lt;&gt;"",Database!$D35=Screener!$D$7),1,0)</f>
        <v/>
      </c>
      <c r="D35" s="220">
        <f>IF(OR(N(Database!$I35)&lt;=0,N(Screener!$D$9)&lt;=0),0,MAX(0,1-ABS(LOG10(N(Database!$I35)/Screener!$D$9))/W_SIZEHW))</f>
        <v/>
      </c>
      <c r="E35" s="220">
        <f>IF(OR(Database!$BG35="",Screener!$D$10=""),0,IF(Database!$BG35=Screener!$D$10,1,0))</f>
        <v/>
      </c>
      <c r="F35" s="220">
        <f>IF(OR(Database!$BM35="",Screener!$D$11=""),0,IF(Database!$BM35=Screener!$D$11,1,0))</f>
        <v/>
      </c>
      <c r="G35" s="220">
        <f>IF(OR(Database!$H35="",N(Screener!$D$12)&lt;=0),0,MAX(0,1-(N(Screener!$D$12)-Database!$H35)/W_RECD))</f>
        <v/>
      </c>
      <c r="H35" s="220">
        <f>IF($U$1="",0,N(ISNUMBER(SEARCH($U$1,Database!$AC35&amp;""))))+IF($V$1="",0,N(ISNUMBER(SEARCH($V$1,Database!$AC35&amp;""))))+IF($W$1="",0,N(ISNUMBER(SEARCH($W$1,Database!$AC35&amp;""))))+IF($X$1="",0,N(ISNUMBER(SEARCH($X$1,Database!$AC35&amp;""))))+IF($Y$1="",0,N(ISNUMBER(SEARCH($Y$1,Database!$AC35&amp;""))))+IF(Screener!$B$17="",0,N(ISNUMBER(SEARCH(LOWER(Screener!$B$17),Database!$AC35&amp;""))))</f>
        <v/>
      </c>
      <c r="I35" s="220">
        <f>IF(OR(N(Database!$BH35)&lt;=0,N(Screener!$D$13)&lt;=0),0,MAX(0,1-ABS(LOG10(N(Database!$BH35)/Screener!$D$13))/W_PEHW))</f>
        <v/>
      </c>
      <c r="J35" s="220">
        <f>IF(OR(N(Database!$S35)&lt;=0,N(Screener!$D$14)&lt;=0),0,MAX(0,1-ABS(LOG10(Database!$S35/Screener!$D$14))/0.6))</f>
        <v/>
      </c>
      <c r="K35" s="220">
        <f>IF(Database!$B35=Screener!$B$5,-999999,IF(ISNUMBER(SEARCH(","&amp;Database!$A35&amp;",",","&amp;SUBSTITUTE(Screener!$D$17," ","")&amp;",")),2000000,IF(IF(OR(Screener!$B$18="All",AND(Screener!$B$18="With A-share",(Database!$BM35="Y")),AND(Screener!$B$18="Without A-share",NOT((Database!$BM35="Y")))),1,0)=0,-999999,IF(Screener!$B$16="cornerstone overlap first",H35*100000,IF(Screener!$B$16="demand-similar first",J35*100000,0))+W_SUB*B35+W_SEC*C35*(1-B35)+W_SIZE*D35+W_PROF*E35+W_AH*F35+W_REC*G35+W_CS*H35+W_PE*I35)))+ROW()/1000000</f>
        <v/>
      </c>
      <c r="AA35" s="220">
        <f>Database!B24</f>
        <v/>
      </c>
      <c r="AB35" s="220">
        <f>Database!D24</f>
        <v/>
      </c>
      <c r="AC35" s="220">
        <f>Database!E24</f>
        <v/>
      </c>
      <c r="AD35" s="220">
        <f>Database!I24</f>
        <v/>
      </c>
      <c r="AE35" s="220">
        <f>Database!BG24</f>
        <v/>
      </c>
      <c r="AF35" s="220">
        <f>Database!BM24</f>
        <v/>
      </c>
      <c r="AG35" s="220">
        <f>Database!H24</f>
        <v/>
      </c>
      <c r="AH35" s="220">
        <f>Database!BH24</f>
        <v/>
      </c>
    </row>
    <row r="36">
      <c r="A36" s="220">
        <f>Database!B36</f>
        <v/>
      </c>
      <c r="B36" s="220">
        <f>IF(AND(Screener!$D$8&lt;&gt;"",Database!$E36=Screener!$D$8),1,0)</f>
        <v/>
      </c>
      <c r="C36" s="220">
        <f>IF(AND(Screener!$D$7&lt;&gt;"",Database!$D36=Screener!$D$7),1,0)</f>
        <v/>
      </c>
      <c r="D36" s="220">
        <f>IF(OR(N(Database!$I36)&lt;=0,N(Screener!$D$9)&lt;=0),0,MAX(0,1-ABS(LOG10(N(Database!$I36)/Screener!$D$9))/W_SIZEHW))</f>
        <v/>
      </c>
      <c r="E36" s="220">
        <f>IF(OR(Database!$BG36="",Screener!$D$10=""),0,IF(Database!$BG36=Screener!$D$10,1,0))</f>
        <v/>
      </c>
      <c r="F36" s="220">
        <f>IF(OR(Database!$BM36="",Screener!$D$11=""),0,IF(Database!$BM36=Screener!$D$11,1,0))</f>
        <v/>
      </c>
      <c r="G36" s="220">
        <f>IF(OR(Database!$H36="",N(Screener!$D$12)&lt;=0),0,MAX(0,1-(N(Screener!$D$12)-Database!$H36)/W_RECD))</f>
        <v/>
      </c>
      <c r="H36" s="220">
        <f>IF($U$1="",0,N(ISNUMBER(SEARCH($U$1,Database!$AC36&amp;""))))+IF($V$1="",0,N(ISNUMBER(SEARCH($V$1,Database!$AC36&amp;""))))+IF($W$1="",0,N(ISNUMBER(SEARCH($W$1,Database!$AC36&amp;""))))+IF($X$1="",0,N(ISNUMBER(SEARCH($X$1,Database!$AC36&amp;""))))+IF($Y$1="",0,N(ISNUMBER(SEARCH($Y$1,Database!$AC36&amp;""))))+IF(Screener!$B$17="",0,N(ISNUMBER(SEARCH(LOWER(Screener!$B$17),Database!$AC36&amp;""))))</f>
        <v/>
      </c>
      <c r="I36" s="220">
        <f>IF(OR(N(Database!$BH36)&lt;=0,N(Screener!$D$13)&lt;=0),0,MAX(0,1-ABS(LOG10(N(Database!$BH36)/Screener!$D$13))/W_PEHW))</f>
        <v/>
      </c>
      <c r="J36" s="220">
        <f>IF(OR(N(Database!$S36)&lt;=0,N(Screener!$D$14)&lt;=0),0,MAX(0,1-ABS(LOG10(Database!$S36/Screener!$D$14))/0.6))</f>
        <v/>
      </c>
      <c r="K36" s="220">
        <f>IF(Database!$B36=Screener!$B$5,-999999,IF(ISNUMBER(SEARCH(","&amp;Database!$A36&amp;",",","&amp;SUBSTITUTE(Screener!$D$17," ","")&amp;",")),2000000,IF(IF(OR(Screener!$B$18="All",AND(Screener!$B$18="With A-share",(Database!$BM36="Y")),AND(Screener!$B$18="Without A-share",NOT((Database!$BM36="Y")))),1,0)=0,-999999,IF(Screener!$B$16="cornerstone overlap first",H36*100000,IF(Screener!$B$16="demand-similar first",J36*100000,0))+W_SUB*B36+W_SEC*C36*(1-B36)+W_SIZE*D36+W_PROF*E36+W_AH*F36+W_REC*G36+W_CS*H36+W_PE*I36)))+ROW()/1000000</f>
        <v/>
      </c>
      <c r="AA36" s="220">
        <f>Database!B25</f>
        <v/>
      </c>
      <c r="AB36" s="220">
        <f>Database!D25</f>
        <v/>
      </c>
      <c r="AC36" s="220">
        <f>Database!E25</f>
        <v/>
      </c>
      <c r="AD36" s="220">
        <f>Database!I25</f>
        <v/>
      </c>
      <c r="AE36" s="220">
        <f>Database!BG25</f>
        <v/>
      </c>
      <c r="AF36" s="220">
        <f>Database!BM25</f>
        <v/>
      </c>
      <c r="AG36" s="220">
        <f>Database!H25</f>
        <v/>
      </c>
      <c r="AH36" s="220">
        <f>Database!BH25</f>
        <v/>
      </c>
    </row>
    <row r="37">
      <c r="A37" s="220">
        <f>Database!B37</f>
        <v/>
      </c>
      <c r="B37" s="220">
        <f>IF(AND(Screener!$D$8&lt;&gt;"",Database!$E37=Screener!$D$8),1,0)</f>
        <v/>
      </c>
      <c r="C37" s="220">
        <f>IF(AND(Screener!$D$7&lt;&gt;"",Database!$D37=Screener!$D$7),1,0)</f>
        <v/>
      </c>
      <c r="D37" s="220">
        <f>IF(OR(N(Database!$I37)&lt;=0,N(Screener!$D$9)&lt;=0),0,MAX(0,1-ABS(LOG10(N(Database!$I37)/Screener!$D$9))/W_SIZEHW))</f>
        <v/>
      </c>
      <c r="E37" s="220">
        <f>IF(OR(Database!$BG37="",Screener!$D$10=""),0,IF(Database!$BG37=Screener!$D$10,1,0))</f>
        <v/>
      </c>
      <c r="F37" s="220">
        <f>IF(OR(Database!$BM37="",Screener!$D$11=""),0,IF(Database!$BM37=Screener!$D$11,1,0))</f>
        <v/>
      </c>
      <c r="G37" s="220">
        <f>IF(OR(Database!$H37="",N(Screener!$D$12)&lt;=0),0,MAX(0,1-(N(Screener!$D$12)-Database!$H37)/W_RECD))</f>
        <v/>
      </c>
      <c r="H37" s="220">
        <f>IF($U$1="",0,N(ISNUMBER(SEARCH($U$1,Database!$AC37&amp;""))))+IF($V$1="",0,N(ISNUMBER(SEARCH($V$1,Database!$AC37&amp;""))))+IF($W$1="",0,N(ISNUMBER(SEARCH($W$1,Database!$AC37&amp;""))))+IF($X$1="",0,N(ISNUMBER(SEARCH($X$1,Database!$AC37&amp;""))))+IF($Y$1="",0,N(ISNUMBER(SEARCH($Y$1,Database!$AC37&amp;""))))+IF(Screener!$B$17="",0,N(ISNUMBER(SEARCH(LOWER(Screener!$B$17),Database!$AC37&amp;""))))</f>
        <v/>
      </c>
      <c r="I37" s="220">
        <f>IF(OR(N(Database!$BH37)&lt;=0,N(Screener!$D$13)&lt;=0),0,MAX(0,1-ABS(LOG10(N(Database!$BH37)/Screener!$D$13))/W_PEHW))</f>
        <v/>
      </c>
      <c r="J37" s="220">
        <f>IF(OR(N(Database!$S37)&lt;=0,N(Screener!$D$14)&lt;=0),0,MAX(0,1-ABS(LOG10(Database!$S37/Screener!$D$14))/0.6))</f>
        <v/>
      </c>
      <c r="K37" s="220">
        <f>IF(Database!$B37=Screener!$B$5,-999999,IF(ISNUMBER(SEARCH(","&amp;Database!$A37&amp;",",","&amp;SUBSTITUTE(Screener!$D$17," ","")&amp;",")),2000000,IF(IF(OR(Screener!$B$18="All",AND(Screener!$B$18="With A-share",(Database!$BM37="Y")),AND(Screener!$B$18="Without A-share",NOT((Database!$BM37="Y")))),1,0)=0,-999999,IF(Screener!$B$16="cornerstone overlap first",H37*100000,IF(Screener!$B$16="demand-similar first",J37*100000,0))+W_SUB*B37+W_SEC*C37*(1-B37)+W_SIZE*D37+W_PROF*E37+W_AH*F37+W_REC*G37+W_CS*H37+W_PE*I37)))+ROW()/1000000</f>
        <v/>
      </c>
      <c r="AA37" s="220">
        <f>Database!B26</f>
        <v/>
      </c>
      <c r="AB37" s="220">
        <f>Database!D26</f>
        <v/>
      </c>
      <c r="AC37" s="220">
        <f>Database!E26</f>
        <v/>
      </c>
      <c r="AD37" s="220">
        <f>Database!I26</f>
        <v/>
      </c>
      <c r="AE37" s="220">
        <f>Database!BG26</f>
        <v/>
      </c>
      <c r="AF37" s="220">
        <f>Database!BM26</f>
        <v/>
      </c>
      <c r="AG37" s="220">
        <f>Database!H26</f>
        <v/>
      </c>
      <c r="AH37" s="220">
        <f>Database!BH26</f>
        <v/>
      </c>
    </row>
    <row r="38">
      <c r="A38" s="220">
        <f>Database!B38</f>
        <v/>
      </c>
      <c r="B38" s="220">
        <f>IF(AND(Screener!$D$8&lt;&gt;"",Database!$E38=Screener!$D$8),1,0)</f>
        <v/>
      </c>
      <c r="C38" s="220">
        <f>IF(AND(Screener!$D$7&lt;&gt;"",Database!$D38=Screener!$D$7),1,0)</f>
        <v/>
      </c>
      <c r="D38" s="220">
        <f>IF(OR(N(Database!$I38)&lt;=0,N(Screener!$D$9)&lt;=0),0,MAX(0,1-ABS(LOG10(N(Database!$I38)/Screener!$D$9))/W_SIZEHW))</f>
        <v/>
      </c>
      <c r="E38" s="220">
        <f>IF(OR(Database!$BG38="",Screener!$D$10=""),0,IF(Database!$BG38=Screener!$D$10,1,0))</f>
        <v/>
      </c>
      <c r="F38" s="220">
        <f>IF(OR(Database!$BM38="",Screener!$D$11=""),0,IF(Database!$BM38=Screener!$D$11,1,0))</f>
        <v/>
      </c>
      <c r="G38" s="220">
        <f>IF(OR(Database!$H38="",N(Screener!$D$12)&lt;=0),0,MAX(0,1-(N(Screener!$D$12)-Database!$H38)/W_RECD))</f>
        <v/>
      </c>
      <c r="H38" s="220">
        <f>IF($U$1="",0,N(ISNUMBER(SEARCH($U$1,Database!$AC38&amp;""))))+IF($V$1="",0,N(ISNUMBER(SEARCH($V$1,Database!$AC38&amp;""))))+IF($W$1="",0,N(ISNUMBER(SEARCH($W$1,Database!$AC38&amp;""))))+IF($X$1="",0,N(ISNUMBER(SEARCH($X$1,Database!$AC38&amp;""))))+IF($Y$1="",0,N(ISNUMBER(SEARCH($Y$1,Database!$AC38&amp;""))))+IF(Screener!$B$17="",0,N(ISNUMBER(SEARCH(LOWER(Screener!$B$17),Database!$AC38&amp;""))))</f>
        <v/>
      </c>
      <c r="I38" s="220">
        <f>IF(OR(N(Database!$BH38)&lt;=0,N(Screener!$D$13)&lt;=0),0,MAX(0,1-ABS(LOG10(N(Database!$BH38)/Screener!$D$13))/W_PEHW))</f>
        <v/>
      </c>
      <c r="J38" s="220">
        <f>IF(OR(N(Database!$S38)&lt;=0,N(Screener!$D$14)&lt;=0),0,MAX(0,1-ABS(LOG10(Database!$S38/Screener!$D$14))/0.6))</f>
        <v/>
      </c>
      <c r="K38" s="220">
        <f>IF(Database!$B38=Screener!$B$5,-999999,IF(ISNUMBER(SEARCH(","&amp;Database!$A38&amp;",",","&amp;SUBSTITUTE(Screener!$D$17," ","")&amp;",")),2000000,IF(IF(OR(Screener!$B$18="All",AND(Screener!$B$18="With A-share",(Database!$BM38="Y")),AND(Screener!$B$18="Without A-share",NOT((Database!$BM38="Y")))),1,0)=0,-999999,IF(Screener!$B$16="cornerstone overlap first",H38*100000,IF(Screener!$B$16="demand-similar first",J38*100000,0))+W_SUB*B38+W_SEC*C38*(1-B38)+W_SIZE*D38+W_PROF*E38+W_AH*F38+W_REC*G38+W_CS*H38+W_PE*I38)))+ROW()/1000000</f>
        <v/>
      </c>
      <c r="AA38" s="220">
        <f>Database!B27</f>
        <v/>
      </c>
      <c r="AB38" s="220">
        <f>Database!D27</f>
        <v/>
      </c>
      <c r="AC38" s="220">
        <f>Database!E27</f>
        <v/>
      </c>
      <c r="AD38" s="220">
        <f>Database!I27</f>
        <v/>
      </c>
      <c r="AE38" s="220">
        <f>Database!BG27</f>
        <v/>
      </c>
      <c r="AF38" s="220">
        <f>Database!BM27</f>
        <v/>
      </c>
      <c r="AG38" s="220">
        <f>Database!H27</f>
        <v/>
      </c>
      <c r="AH38" s="220">
        <f>Database!BH27</f>
        <v/>
      </c>
    </row>
    <row r="39">
      <c r="A39" s="220">
        <f>Database!B39</f>
        <v/>
      </c>
      <c r="B39" s="220">
        <f>IF(AND(Screener!$D$8&lt;&gt;"",Database!$E39=Screener!$D$8),1,0)</f>
        <v/>
      </c>
      <c r="C39" s="220">
        <f>IF(AND(Screener!$D$7&lt;&gt;"",Database!$D39=Screener!$D$7),1,0)</f>
        <v/>
      </c>
      <c r="D39" s="220">
        <f>IF(OR(N(Database!$I39)&lt;=0,N(Screener!$D$9)&lt;=0),0,MAX(0,1-ABS(LOG10(N(Database!$I39)/Screener!$D$9))/W_SIZEHW))</f>
        <v/>
      </c>
      <c r="E39" s="220">
        <f>IF(OR(Database!$BG39="",Screener!$D$10=""),0,IF(Database!$BG39=Screener!$D$10,1,0))</f>
        <v/>
      </c>
      <c r="F39" s="220">
        <f>IF(OR(Database!$BM39="",Screener!$D$11=""),0,IF(Database!$BM39=Screener!$D$11,1,0))</f>
        <v/>
      </c>
      <c r="G39" s="220">
        <f>IF(OR(Database!$H39="",N(Screener!$D$12)&lt;=0),0,MAX(0,1-(N(Screener!$D$12)-Database!$H39)/W_RECD))</f>
        <v/>
      </c>
      <c r="H39" s="220">
        <f>IF($U$1="",0,N(ISNUMBER(SEARCH($U$1,Database!$AC39&amp;""))))+IF($V$1="",0,N(ISNUMBER(SEARCH($V$1,Database!$AC39&amp;""))))+IF($W$1="",0,N(ISNUMBER(SEARCH($W$1,Database!$AC39&amp;""))))+IF($X$1="",0,N(ISNUMBER(SEARCH($X$1,Database!$AC39&amp;""))))+IF($Y$1="",0,N(ISNUMBER(SEARCH($Y$1,Database!$AC39&amp;""))))+IF(Screener!$B$17="",0,N(ISNUMBER(SEARCH(LOWER(Screener!$B$17),Database!$AC39&amp;""))))</f>
        <v/>
      </c>
      <c r="I39" s="220">
        <f>IF(OR(N(Database!$BH39)&lt;=0,N(Screener!$D$13)&lt;=0),0,MAX(0,1-ABS(LOG10(N(Database!$BH39)/Screener!$D$13))/W_PEHW))</f>
        <v/>
      </c>
      <c r="J39" s="220">
        <f>IF(OR(N(Database!$S39)&lt;=0,N(Screener!$D$14)&lt;=0),0,MAX(0,1-ABS(LOG10(Database!$S39/Screener!$D$14))/0.6))</f>
        <v/>
      </c>
      <c r="K39" s="220">
        <f>IF(Database!$B39=Screener!$B$5,-999999,IF(ISNUMBER(SEARCH(","&amp;Database!$A39&amp;",",","&amp;SUBSTITUTE(Screener!$D$17," ","")&amp;",")),2000000,IF(IF(OR(Screener!$B$18="All",AND(Screener!$B$18="With A-share",(Database!$BM39="Y")),AND(Screener!$B$18="Without A-share",NOT((Database!$BM39="Y")))),1,0)=0,-999999,IF(Screener!$B$16="cornerstone overlap first",H39*100000,IF(Screener!$B$16="demand-similar first",J39*100000,0))+W_SUB*B39+W_SEC*C39*(1-B39)+W_SIZE*D39+W_PROF*E39+W_AH*F39+W_REC*G39+W_CS*H39+W_PE*I39)))+ROW()/1000000</f>
        <v/>
      </c>
      <c r="AA39" s="220">
        <f>Database!B28</f>
        <v/>
      </c>
      <c r="AB39" s="220">
        <f>Database!D28</f>
        <v/>
      </c>
      <c r="AC39" s="220">
        <f>Database!E28</f>
        <v/>
      </c>
      <c r="AD39" s="220">
        <f>Database!I28</f>
        <v/>
      </c>
      <c r="AE39" s="220">
        <f>Database!BG28</f>
        <v/>
      </c>
      <c r="AF39" s="220">
        <f>Database!BM28</f>
        <v/>
      </c>
      <c r="AG39" s="220">
        <f>Database!H28</f>
        <v/>
      </c>
      <c r="AH39" s="220">
        <f>Database!BH28</f>
        <v/>
      </c>
    </row>
    <row r="40">
      <c r="A40" s="220">
        <f>Database!B40</f>
        <v/>
      </c>
      <c r="B40" s="220">
        <f>IF(AND(Screener!$D$8&lt;&gt;"",Database!$E40=Screener!$D$8),1,0)</f>
        <v/>
      </c>
      <c r="C40" s="220">
        <f>IF(AND(Screener!$D$7&lt;&gt;"",Database!$D40=Screener!$D$7),1,0)</f>
        <v/>
      </c>
      <c r="D40" s="220">
        <f>IF(OR(N(Database!$I40)&lt;=0,N(Screener!$D$9)&lt;=0),0,MAX(0,1-ABS(LOG10(N(Database!$I40)/Screener!$D$9))/W_SIZEHW))</f>
        <v/>
      </c>
      <c r="E40" s="220">
        <f>IF(OR(Database!$BG40="",Screener!$D$10=""),0,IF(Database!$BG40=Screener!$D$10,1,0))</f>
        <v/>
      </c>
      <c r="F40" s="220">
        <f>IF(OR(Database!$BM40="",Screener!$D$11=""),0,IF(Database!$BM40=Screener!$D$11,1,0))</f>
        <v/>
      </c>
      <c r="G40" s="220">
        <f>IF(OR(Database!$H40="",N(Screener!$D$12)&lt;=0),0,MAX(0,1-(N(Screener!$D$12)-Database!$H40)/W_RECD))</f>
        <v/>
      </c>
      <c r="H40" s="220">
        <f>IF($U$1="",0,N(ISNUMBER(SEARCH($U$1,Database!$AC40&amp;""))))+IF($V$1="",0,N(ISNUMBER(SEARCH($V$1,Database!$AC40&amp;""))))+IF($W$1="",0,N(ISNUMBER(SEARCH($W$1,Database!$AC40&amp;""))))+IF($X$1="",0,N(ISNUMBER(SEARCH($X$1,Database!$AC40&amp;""))))+IF($Y$1="",0,N(ISNUMBER(SEARCH($Y$1,Database!$AC40&amp;""))))+IF(Screener!$B$17="",0,N(ISNUMBER(SEARCH(LOWER(Screener!$B$17),Database!$AC40&amp;""))))</f>
        <v/>
      </c>
      <c r="I40" s="220">
        <f>IF(OR(N(Database!$BH40)&lt;=0,N(Screener!$D$13)&lt;=0),0,MAX(0,1-ABS(LOG10(N(Database!$BH40)/Screener!$D$13))/W_PEHW))</f>
        <v/>
      </c>
      <c r="J40" s="220">
        <f>IF(OR(N(Database!$S40)&lt;=0,N(Screener!$D$14)&lt;=0),0,MAX(0,1-ABS(LOG10(Database!$S40/Screener!$D$14))/0.6))</f>
        <v/>
      </c>
      <c r="K40" s="220">
        <f>IF(Database!$B40=Screener!$B$5,-999999,IF(ISNUMBER(SEARCH(","&amp;Database!$A40&amp;",",","&amp;SUBSTITUTE(Screener!$D$17," ","")&amp;",")),2000000,IF(IF(OR(Screener!$B$18="All",AND(Screener!$B$18="With A-share",(Database!$BM40="Y")),AND(Screener!$B$18="Without A-share",NOT((Database!$BM40="Y")))),1,0)=0,-999999,IF(Screener!$B$16="cornerstone overlap first",H40*100000,IF(Screener!$B$16="demand-similar first",J40*100000,0))+W_SUB*B40+W_SEC*C40*(1-B40)+W_SIZE*D40+W_PROF*E40+W_AH*F40+W_REC*G40+W_CS*H40+W_PE*I40)))+ROW()/1000000</f>
        <v/>
      </c>
      <c r="AA40" s="220">
        <f>Database!B29</f>
        <v/>
      </c>
      <c r="AB40" s="220">
        <f>Database!D29</f>
        <v/>
      </c>
      <c r="AC40" s="220">
        <f>Database!E29</f>
        <v/>
      </c>
      <c r="AD40" s="220">
        <f>Database!I29</f>
        <v/>
      </c>
      <c r="AE40" s="220">
        <f>Database!BG29</f>
        <v/>
      </c>
      <c r="AF40" s="220">
        <f>Database!BM29</f>
        <v/>
      </c>
      <c r="AG40" s="220">
        <f>Database!H29</f>
        <v/>
      </c>
      <c r="AH40" s="220">
        <f>Database!BH29</f>
        <v/>
      </c>
    </row>
    <row r="41">
      <c r="A41" s="220">
        <f>Database!B41</f>
        <v/>
      </c>
      <c r="B41" s="220">
        <f>IF(AND(Screener!$D$8&lt;&gt;"",Database!$E41=Screener!$D$8),1,0)</f>
        <v/>
      </c>
      <c r="C41" s="220">
        <f>IF(AND(Screener!$D$7&lt;&gt;"",Database!$D41=Screener!$D$7),1,0)</f>
        <v/>
      </c>
      <c r="D41" s="220">
        <f>IF(OR(N(Database!$I41)&lt;=0,N(Screener!$D$9)&lt;=0),0,MAX(0,1-ABS(LOG10(N(Database!$I41)/Screener!$D$9))/W_SIZEHW))</f>
        <v/>
      </c>
      <c r="E41" s="220">
        <f>IF(OR(Database!$BG41="",Screener!$D$10=""),0,IF(Database!$BG41=Screener!$D$10,1,0))</f>
        <v/>
      </c>
      <c r="F41" s="220">
        <f>IF(OR(Database!$BM41="",Screener!$D$11=""),0,IF(Database!$BM41=Screener!$D$11,1,0))</f>
        <v/>
      </c>
      <c r="G41" s="220">
        <f>IF(OR(Database!$H41="",N(Screener!$D$12)&lt;=0),0,MAX(0,1-(N(Screener!$D$12)-Database!$H41)/W_RECD))</f>
        <v/>
      </c>
      <c r="H41" s="220">
        <f>IF($U$1="",0,N(ISNUMBER(SEARCH($U$1,Database!$AC41&amp;""))))+IF($V$1="",0,N(ISNUMBER(SEARCH($V$1,Database!$AC41&amp;""))))+IF($W$1="",0,N(ISNUMBER(SEARCH($W$1,Database!$AC41&amp;""))))+IF($X$1="",0,N(ISNUMBER(SEARCH($X$1,Database!$AC41&amp;""))))+IF($Y$1="",0,N(ISNUMBER(SEARCH($Y$1,Database!$AC41&amp;""))))+IF(Screener!$B$17="",0,N(ISNUMBER(SEARCH(LOWER(Screener!$B$17),Database!$AC41&amp;""))))</f>
        <v/>
      </c>
      <c r="I41" s="220">
        <f>IF(OR(N(Database!$BH41)&lt;=0,N(Screener!$D$13)&lt;=0),0,MAX(0,1-ABS(LOG10(N(Database!$BH41)/Screener!$D$13))/W_PEHW))</f>
        <v/>
      </c>
      <c r="J41" s="220">
        <f>IF(OR(N(Database!$S41)&lt;=0,N(Screener!$D$14)&lt;=0),0,MAX(0,1-ABS(LOG10(Database!$S41/Screener!$D$14))/0.6))</f>
        <v/>
      </c>
      <c r="K41" s="220">
        <f>IF(Database!$B41=Screener!$B$5,-999999,IF(ISNUMBER(SEARCH(","&amp;Database!$A41&amp;",",","&amp;SUBSTITUTE(Screener!$D$17," ","")&amp;",")),2000000,IF(IF(OR(Screener!$B$18="All",AND(Screener!$B$18="With A-share",(Database!$BM41="Y")),AND(Screener!$B$18="Without A-share",NOT((Database!$BM41="Y")))),1,0)=0,-999999,IF(Screener!$B$16="cornerstone overlap first",H41*100000,IF(Screener!$B$16="demand-similar first",J41*100000,0))+W_SUB*B41+W_SEC*C41*(1-B41)+W_SIZE*D41+W_PROF*E41+W_AH*F41+W_REC*G41+W_CS*H41+W_PE*I41)))+ROW()/1000000</f>
        <v/>
      </c>
      <c r="AA41" s="220">
        <f>Database!B30</f>
        <v/>
      </c>
      <c r="AB41" s="220">
        <f>Database!D30</f>
        <v/>
      </c>
      <c r="AC41" s="220">
        <f>Database!E30</f>
        <v/>
      </c>
      <c r="AD41" s="220">
        <f>Database!I30</f>
        <v/>
      </c>
      <c r="AE41" s="220">
        <f>Database!BG30</f>
        <v/>
      </c>
      <c r="AF41" s="220">
        <f>Database!BM30</f>
        <v/>
      </c>
      <c r="AG41" s="220">
        <f>Database!H30</f>
        <v/>
      </c>
      <c r="AH41" s="220">
        <f>Database!BH30</f>
        <v/>
      </c>
    </row>
    <row r="42">
      <c r="A42" s="220">
        <f>Database!B42</f>
        <v/>
      </c>
      <c r="B42" s="220">
        <f>IF(AND(Screener!$D$8&lt;&gt;"",Database!$E42=Screener!$D$8),1,0)</f>
        <v/>
      </c>
      <c r="C42" s="220">
        <f>IF(AND(Screener!$D$7&lt;&gt;"",Database!$D42=Screener!$D$7),1,0)</f>
        <v/>
      </c>
      <c r="D42" s="220">
        <f>IF(OR(N(Database!$I42)&lt;=0,N(Screener!$D$9)&lt;=0),0,MAX(0,1-ABS(LOG10(N(Database!$I42)/Screener!$D$9))/W_SIZEHW))</f>
        <v/>
      </c>
      <c r="E42" s="220">
        <f>IF(OR(Database!$BG42="",Screener!$D$10=""),0,IF(Database!$BG42=Screener!$D$10,1,0))</f>
        <v/>
      </c>
      <c r="F42" s="220">
        <f>IF(OR(Database!$BM42="",Screener!$D$11=""),0,IF(Database!$BM42=Screener!$D$11,1,0))</f>
        <v/>
      </c>
      <c r="G42" s="220">
        <f>IF(OR(Database!$H42="",N(Screener!$D$12)&lt;=0),0,MAX(0,1-(N(Screener!$D$12)-Database!$H42)/W_RECD))</f>
        <v/>
      </c>
      <c r="H42" s="220">
        <f>IF($U$1="",0,N(ISNUMBER(SEARCH($U$1,Database!$AC42&amp;""))))+IF($V$1="",0,N(ISNUMBER(SEARCH($V$1,Database!$AC42&amp;""))))+IF($W$1="",0,N(ISNUMBER(SEARCH($W$1,Database!$AC42&amp;""))))+IF($X$1="",0,N(ISNUMBER(SEARCH($X$1,Database!$AC42&amp;""))))+IF($Y$1="",0,N(ISNUMBER(SEARCH($Y$1,Database!$AC42&amp;""))))+IF(Screener!$B$17="",0,N(ISNUMBER(SEARCH(LOWER(Screener!$B$17),Database!$AC42&amp;""))))</f>
        <v/>
      </c>
      <c r="I42" s="220">
        <f>IF(OR(N(Database!$BH42)&lt;=0,N(Screener!$D$13)&lt;=0),0,MAX(0,1-ABS(LOG10(N(Database!$BH42)/Screener!$D$13))/W_PEHW))</f>
        <v/>
      </c>
      <c r="J42" s="220">
        <f>IF(OR(N(Database!$S42)&lt;=0,N(Screener!$D$14)&lt;=0),0,MAX(0,1-ABS(LOG10(Database!$S42/Screener!$D$14))/0.6))</f>
        <v/>
      </c>
      <c r="K42" s="220">
        <f>IF(Database!$B42=Screener!$B$5,-999999,IF(ISNUMBER(SEARCH(","&amp;Database!$A42&amp;",",","&amp;SUBSTITUTE(Screener!$D$17," ","")&amp;",")),2000000,IF(IF(OR(Screener!$B$18="All",AND(Screener!$B$18="With A-share",(Database!$BM42="Y")),AND(Screener!$B$18="Without A-share",NOT((Database!$BM42="Y")))),1,0)=0,-999999,IF(Screener!$B$16="cornerstone overlap first",H42*100000,IF(Screener!$B$16="demand-similar first",J42*100000,0))+W_SUB*B42+W_SEC*C42*(1-B42)+W_SIZE*D42+W_PROF*E42+W_AH*F42+W_REC*G42+W_CS*H42+W_PE*I42)))+ROW()/1000000</f>
        <v/>
      </c>
      <c r="AA42" s="220">
        <f>Database!B31</f>
        <v/>
      </c>
      <c r="AB42" s="220">
        <f>Database!D31</f>
        <v/>
      </c>
      <c r="AC42" s="220">
        <f>Database!E31</f>
        <v/>
      </c>
      <c r="AD42" s="220">
        <f>Database!I31</f>
        <v/>
      </c>
      <c r="AE42" s="220">
        <f>Database!BG31</f>
        <v/>
      </c>
      <c r="AF42" s="220">
        <f>Database!BM31</f>
        <v/>
      </c>
      <c r="AG42" s="220">
        <f>Database!H31</f>
        <v/>
      </c>
      <c r="AH42" s="220">
        <f>Database!BH31</f>
        <v/>
      </c>
    </row>
    <row r="43">
      <c r="A43" s="220">
        <f>Database!B43</f>
        <v/>
      </c>
      <c r="B43" s="220">
        <f>IF(AND(Screener!$D$8&lt;&gt;"",Database!$E43=Screener!$D$8),1,0)</f>
        <v/>
      </c>
      <c r="C43" s="220">
        <f>IF(AND(Screener!$D$7&lt;&gt;"",Database!$D43=Screener!$D$7),1,0)</f>
        <v/>
      </c>
      <c r="D43" s="220">
        <f>IF(OR(N(Database!$I43)&lt;=0,N(Screener!$D$9)&lt;=0),0,MAX(0,1-ABS(LOG10(N(Database!$I43)/Screener!$D$9))/W_SIZEHW))</f>
        <v/>
      </c>
      <c r="E43" s="220">
        <f>IF(OR(Database!$BG43="",Screener!$D$10=""),0,IF(Database!$BG43=Screener!$D$10,1,0))</f>
        <v/>
      </c>
      <c r="F43" s="220">
        <f>IF(OR(Database!$BM43="",Screener!$D$11=""),0,IF(Database!$BM43=Screener!$D$11,1,0))</f>
        <v/>
      </c>
      <c r="G43" s="220">
        <f>IF(OR(Database!$H43="",N(Screener!$D$12)&lt;=0),0,MAX(0,1-(N(Screener!$D$12)-Database!$H43)/W_RECD))</f>
        <v/>
      </c>
      <c r="H43" s="220">
        <f>IF($U$1="",0,N(ISNUMBER(SEARCH($U$1,Database!$AC43&amp;""))))+IF($V$1="",0,N(ISNUMBER(SEARCH($V$1,Database!$AC43&amp;""))))+IF($W$1="",0,N(ISNUMBER(SEARCH($W$1,Database!$AC43&amp;""))))+IF($X$1="",0,N(ISNUMBER(SEARCH($X$1,Database!$AC43&amp;""))))+IF($Y$1="",0,N(ISNUMBER(SEARCH($Y$1,Database!$AC43&amp;""))))+IF(Screener!$B$17="",0,N(ISNUMBER(SEARCH(LOWER(Screener!$B$17),Database!$AC43&amp;""))))</f>
        <v/>
      </c>
      <c r="I43" s="220">
        <f>IF(OR(N(Database!$BH43)&lt;=0,N(Screener!$D$13)&lt;=0),0,MAX(0,1-ABS(LOG10(N(Database!$BH43)/Screener!$D$13))/W_PEHW))</f>
        <v/>
      </c>
      <c r="J43" s="220">
        <f>IF(OR(N(Database!$S43)&lt;=0,N(Screener!$D$14)&lt;=0),0,MAX(0,1-ABS(LOG10(Database!$S43/Screener!$D$14))/0.6))</f>
        <v/>
      </c>
      <c r="K43" s="220">
        <f>IF(Database!$B43=Screener!$B$5,-999999,IF(ISNUMBER(SEARCH(","&amp;Database!$A43&amp;",",","&amp;SUBSTITUTE(Screener!$D$17," ","")&amp;",")),2000000,IF(IF(OR(Screener!$B$18="All",AND(Screener!$B$18="With A-share",(Database!$BM43="Y")),AND(Screener!$B$18="Without A-share",NOT((Database!$BM43="Y")))),1,0)=0,-999999,IF(Screener!$B$16="cornerstone overlap first",H43*100000,IF(Screener!$B$16="demand-similar first",J43*100000,0))+W_SUB*B43+W_SEC*C43*(1-B43)+W_SIZE*D43+W_PROF*E43+W_AH*F43+W_REC*G43+W_CS*H43+W_PE*I43)))+ROW()/1000000</f>
        <v/>
      </c>
      <c r="AA43" s="220">
        <f>Database!B32</f>
        <v/>
      </c>
      <c r="AB43" s="220">
        <f>Database!D32</f>
        <v/>
      </c>
      <c r="AC43" s="220">
        <f>Database!E32</f>
        <v/>
      </c>
      <c r="AD43" s="220">
        <f>Database!I32</f>
        <v/>
      </c>
      <c r="AE43" s="220">
        <f>Database!BG32</f>
        <v/>
      </c>
      <c r="AF43" s="220">
        <f>Database!BM32</f>
        <v/>
      </c>
      <c r="AG43" s="220">
        <f>Database!H32</f>
        <v/>
      </c>
      <c r="AH43" s="220">
        <f>Database!BH32</f>
        <v/>
      </c>
    </row>
    <row r="44">
      <c r="A44" s="220">
        <f>Database!B44</f>
        <v/>
      </c>
      <c r="B44" s="220">
        <f>IF(AND(Screener!$D$8&lt;&gt;"",Database!$E44=Screener!$D$8),1,0)</f>
        <v/>
      </c>
      <c r="C44" s="220">
        <f>IF(AND(Screener!$D$7&lt;&gt;"",Database!$D44=Screener!$D$7),1,0)</f>
        <v/>
      </c>
      <c r="D44" s="220">
        <f>IF(OR(N(Database!$I44)&lt;=0,N(Screener!$D$9)&lt;=0),0,MAX(0,1-ABS(LOG10(N(Database!$I44)/Screener!$D$9))/W_SIZEHW))</f>
        <v/>
      </c>
      <c r="E44" s="220">
        <f>IF(OR(Database!$BG44="",Screener!$D$10=""),0,IF(Database!$BG44=Screener!$D$10,1,0))</f>
        <v/>
      </c>
      <c r="F44" s="220">
        <f>IF(OR(Database!$BM44="",Screener!$D$11=""),0,IF(Database!$BM44=Screener!$D$11,1,0))</f>
        <v/>
      </c>
      <c r="G44" s="220">
        <f>IF(OR(Database!$H44="",N(Screener!$D$12)&lt;=0),0,MAX(0,1-(N(Screener!$D$12)-Database!$H44)/W_RECD))</f>
        <v/>
      </c>
      <c r="H44" s="220">
        <f>IF($U$1="",0,N(ISNUMBER(SEARCH($U$1,Database!$AC44&amp;""))))+IF($V$1="",0,N(ISNUMBER(SEARCH($V$1,Database!$AC44&amp;""))))+IF($W$1="",0,N(ISNUMBER(SEARCH($W$1,Database!$AC44&amp;""))))+IF($X$1="",0,N(ISNUMBER(SEARCH($X$1,Database!$AC44&amp;""))))+IF($Y$1="",0,N(ISNUMBER(SEARCH($Y$1,Database!$AC44&amp;""))))+IF(Screener!$B$17="",0,N(ISNUMBER(SEARCH(LOWER(Screener!$B$17),Database!$AC44&amp;""))))</f>
        <v/>
      </c>
      <c r="I44" s="220">
        <f>IF(OR(N(Database!$BH44)&lt;=0,N(Screener!$D$13)&lt;=0),0,MAX(0,1-ABS(LOG10(N(Database!$BH44)/Screener!$D$13))/W_PEHW))</f>
        <v/>
      </c>
      <c r="J44" s="220">
        <f>IF(OR(N(Database!$S44)&lt;=0,N(Screener!$D$14)&lt;=0),0,MAX(0,1-ABS(LOG10(Database!$S44/Screener!$D$14))/0.6))</f>
        <v/>
      </c>
      <c r="K44" s="220">
        <f>IF(Database!$B44=Screener!$B$5,-999999,IF(ISNUMBER(SEARCH(","&amp;Database!$A44&amp;",",","&amp;SUBSTITUTE(Screener!$D$17," ","")&amp;",")),2000000,IF(IF(OR(Screener!$B$18="All",AND(Screener!$B$18="With A-share",(Database!$BM44="Y")),AND(Screener!$B$18="Without A-share",NOT((Database!$BM44="Y")))),1,0)=0,-999999,IF(Screener!$B$16="cornerstone overlap first",H44*100000,IF(Screener!$B$16="demand-similar first",J44*100000,0))+W_SUB*B44+W_SEC*C44*(1-B44)+W_SIZE*D44+W_PROF*E44+W_AH*F44+W_REC*G44+W_CS*H44+W_PE*I44)))+ROW()/1000000</f>
        <v/>
      </c>
      <c r="AA44" s="220">
        <f>Database!B33</f>
        <v/>
      </c>
      <c r="AB44" s="220">
        <f>Database!D33</f>
        <v/>
      </c>
      <c r="AC44" s="220">
        <f>Database!E33</f>
        <v/>
      </c>
      <c r="AD44" s="220">
        <f>Database!I33</f>
        <v/>
      </c>
      <c r="AE44" s="220">
        <f>Database!BG33</f>
        <v/>
      </c>
      <c r="AF44" s="220">
        <f>Database!BM33</f>
        <v/>
      </c>
      <c r="AG44" s="220">
        <f>Database!H33</f>
        <v/>
      </c>
      <c r="AH44" s="220">
        <f>Database!BH33</f>
        <v/>
      </c>
    </row>
    <row r="45">
      <c r="A45" s="220">
        <f>Database!B45</f>
        <v/>
      </c>
      <c r="B45" s="220">
        <f>IF(AND(Screener!$D$8&lt;&gt;"",Database!$E45=Screener!$D$8),1,0)</f>
        <v/>
      </c>
      <c r="C45" s="220">
        <f>IF(AND(Screener!$D$7&lt;&gt;"",Database!$D45=Screener!$D$7),1,0)</f>
        <v/>
      </c>
      <c r="D45" s="220">
        <f>IF(OR(N(Database!$I45)&lt;=0,N(Screener!$D$9)&lt;=0),0,MAX(0,1-ABS(LOG10(N(Database!$I45)/Screener!$D$9))/W_SIZEHW))</f>
        <v/>
      </c>
      <c r="E45" s="220">
        <f>IF(OR(Database!$BG45="",Screener!$D$10=""),0,IF(Database!$BG45=Screener!$D$10,1,0))</f>
        <v/>
      </c>
      <c r="F45" s="220">
        <f>IF(OR(Database!$BM45="",Screener!$D$11=""),0,IF(Database!$BM45=Screener!$D$11,1,0))</f>
        <v/>
      </c>
      <c r="G45" s="220">
        <f>IF(OR(Database!$H45="",N(Screener!$D$12)&lt;=0),0,MAX(0,1-(N(Screener!$D$12)-Database!$H45)/W_RECD))</f>
        <v/>
      </c>
      <c r="H45" s="220">
        <f>IF($U$1="",0,N(ISNUMBER(SEARCH($U$1,Database!$AC45&amp;""))))+IF($V$1="",0,N(ISNUMBER(SEARCH($V$1,Database!$AC45&amp;""))))+IF($W$1="",0,N(ISNUMBER(SEARCH($W$1,Database!$AC45&amp;""))))+IF($X$1="",0,N(ISNUMBER(SEARCH($X$1,Database!$AC45&amp;""))))+IF($Y$1="",0,N(ISNUMBER(SEARCH($Y$1,Database!$AC45&amp;""))))+IF(Screener!$B$17="",0,N(ISNUMBER(SEARCH(LOWER(Screener!$B$17),Database!$AC45&amp;""))))</f>
        <v/>
      </c>
      <c r="I45" s="220">
        <f>IF(OR(N(Database!$BH45)&lt;=0,N(Screener!$D$13)&lt;=0),0,MAX(0,1-ABS(LOG10(N(Database!$BH45)/Screener!$D$13))/W_PEHW))</f>
        <v/>
      </c>
      <c r="J45" s="220">
        <f>IF(OR(N(Database!$S45)&lt;=0,N(Screener!$D$14)&lt;=0),0,MAX(0,1-ABS(LOG10(Database!$S45/Screener!$D$14))/0.6))</f>
        <v/>
      </c>
      <c r="K45" s="220">
        <f>IF(Database!$B45=Screener!$B$5,-999999,IF(ISNUMBER(SEARCH(","&amp;Database!$A45&amp;",",","&amp;SUBSTITUTE(Screener!$D$17," ","")&amp;",")),2000000,IF(IF(OR(Screener!$B$18="All",AND(Screener!$B$18="With A-share",(Database!$BM45="Y")),AND(Screener!$B$18="Without A-share",NOT((Database!$BM45="Y")))),1,0)=0,-999999,IF(Screener!$B$16="cornerstone overlap first",H45*100000,IF(Screener!$B$16="demand-similar first",J45*100000,0))+W_SUB*B45+W_SEC*C45*(1-B45)+W_SIZE*D45+W_PROF*E45+W_AH*F45+W_REC*G45+W_CS*H45+W_PE*I45)))+ROW()/1000000</f>
        <v/>
      </c>
      <c r="AA45" s="220">
        <f>Database!B34</f>
        <v/>
      </c>
      <c r="AB45" s="220">
        <f>Database!D34</f>
        <v/>
      </c>
      <c r="AC45" s="220">
        <f>Database!E34</f>
        <v/>
      </c>
      <c r="AD45" s="220">
        <f>Database!I34</f>
        <v/>
      </c>
      <c r="AE45" s="220">
        <f>Database!BG34</f>
        <v/>
      </c>
      <c r="AF45" s="220">
        <f>Database!BM34</f>
        <v/>
      </c>
      <c r="AG45" s="220">
        <f>Database!H34</f>
        <v/>
      </c>
      <c r="AH45" s="220">
        <f>Database!BH34</f>
        <v/>
      </c>
    </row>
    <row r="46">
      <c r="A46" s="220">
        <f>Database!B46</f>
        <v/>
      </c>
      <c r="B46" s="220">
        <f>IF(AND(Screener!$D$8&lt;&gt;"",Database!$E46=Screener!$D$8),1,0)</f>
        <v/>
      </c>
      <c r="C46" s="220">
        <f>IF(AND(Screener!$D$7&lt;&gt;"",Database!$D46=Screener!$D$7),1,0)</f>
        <v/>
      </c>
      <c r="D46" s="220">
        <f>IF(OR(N(Database!$I46)&lt;=0,N(Screener!$D$9)&lt;=0),0,MAX(0,1-ABS(LOG10(N(Database!$I46)/Screener!$D$9))/W_SIZEHW))</f>
        <v/>
      </c>
      <c r="E46" s="220">
        <f>IF(OR(Database!$BG46="",Screener!$D$10=""),0,IF(Database!$BG46=Screener!$D$10,1,0))</f>
        <v/>
      </c>
      <c r="F46" s="220">
        <f>IF(OR(Database!$BM46="",Screener!$D$11=""),0,IF(Database!$BM46=Screener!$D$11,1,0))</f>
        <v/>
      </c>
      <c r="G46" s="220">
        <f>IF(OR(Database!$H46="",N(Screener!$D$12)&lt;=0),0,MAX(0,1-(N(Screener!$D$12)-Database!$H46)/W_RECD))</f>
        <v/>
      </c>
      <c r="H46" s="220">
        <f>IF($U$1="",0,N(ISNUMBER(SEARCH($U$1,Database!$AC46&amp;""))))+IF($V$1="",0,N(ISNUMBER(SEARCH($V$1,Database!$AC46&amp;""))))+IF($W$1="",0,N(ISNUMBER(SEARCH($W$1,Database!$AC46&amp;""))))+IF($X$1="",0,N(ISNUMBER(SEARCH($X$1,Database!$AC46&amp;""))))+IF($Y$1="",0,N(ISNUMBER(SEARCH($Y$1,Database!$AC46&amp;""))))+IF(Screener!$B$17="",0,N(ISNUMBER(SEARCH(LOWER(Screener!$B$17),Database!$AC46&amp;""))))</f>
        <v/>
      </c>
      <c r="I46" s="220">
        <f>IF(OR(N(Database!$BH46)&lt;=0,N(Screener!$D$13)&lt;=0),0,MAX(0,1-ABS(LOG10(N(Database!$BH46)/Screener!$D$13))/W_PEHW))</f>
        <v/>
      </c>
      <c r="J46" s="220">
        <f>IF(OR(N(Database!$S46)&lt;=0,N(Screener!$D$14)&lt;=0),0,MAX(0,1-ABS(LOG10(Database!$S46/Screener!$D$14))/0.6))</f>
        <v/>
      </c>
      <c r="K46" s="220">
        <f>IF(Database!$B46=Screener!$B$5,-999999,IF(ISNUMBER(SEARCH(","&amp;Database!$A46&amp;",",","&amp;SUBSTITUTE(Screener!$D$17," ","")&amp;",")),2000000,IF(IF(OR(Screener!$B$18="All",AND(Screener!$B$18="With A-share",(Database!$BM46="Y")),AND(Screener!$B$18="Without A-share",NOT((Database!$BM46="Y")))),1,0)=0,-999999,IF(Screener!$B$16="cornerstone overlap first",H46*100000,IF(Screener!$B$16="demand-similar first",J46*100000,0))+W_SUB*B46+W_SEC*C46*(1-B46)+W_SIZE*D46+W_PROF*E46+W_AH*F46+W_REC*G46+W_CS*H46+W_PE*I46)))+ROW()/1000000</f>
        <v/>
      </c>
      <c r="AA46" s="220">
        <f>Database!B35</f>
        <v/>
      </c>
      <c r="AB46" s="220">
        <f>Database!D35</f>
        <v/>
      </c>
      <c r="AC46" s="220">
        <f>Database!E35</f>
        <v/>
      </c>
      <c r="AD46" s="220">
        <f>Database!I35</f>
        <v/>
      </c>
      <c r="AE46" s="220">
        <f>Database!BG35</f>
        <v/>
      </c>
      <c r="AF46" s="220">
        <f>Database!BM35</f>
        <v/>
      </c>
      <c r="AG46" s="220">
        <f>Database!H35</f>
        <v/>
      </c>
      <c r="AH46" s="220">
        <f>Database!BH35</f>
        <v/>
      </c>
    </row>
    <row r="47">
      <c r="A47" s="220">
        <f>Database!B47</f>
        <v/>
      </c>
      <c r="B47" s="220">
        <f>IF(AND(Screener!$D$8&lt;&gt;"",Database!$E47=Screener!$D$8),1,0)</f>
        <v/>
      </c>
      <c r="C47" s="220">
        <f>IF(AND(Screener!$D$7&lt;&gt;"",Database!$D47=Screener!$D$7),1,0)</f>
        <v/>
      </c>
      <c r="D47" s="220">
        <f>IF(OR(N(Database!$I47)&lt;=0,N(Screener!$D$9)&lt;=0),0,MAX(0,1-ABS(LOG10(N(Database!$I47)/Screener!$D$9))/W_SIZEHW))</f>
        <v/>
      </c>
      <c r="E47" s="220">
        <f>IF(OR(Database!$BG47="",Screener!$D$10=""),0,IF(Database!$BG47=Screener!$D$10,1,0))</f>
        <v/>
      </c>
      <c r="F47" s="220">
        <f>IF(OR(Database!$BM47="",Screener!$D$11=""),0,IF(Database!$BM47=Screener!$D$11,1,0))</f>
        <v/>
      </c>
      <c r="G47" s="220">
        <f>IF(OR(Database!$H47="",N(Screener!$D$12)&lt;=0),0,MAX(0,1-(N(Screener!$D$12)-Database!$H47)/W_RECD))</f>
        <v/>
      </c>
      <c r="H47" s="220">
        <f>IF($U$1="",0,N(ISNUMBER(SEARCH($U$1,Database!$AC47&amp;""))))+IF($V$1="",0,N(ISNUMBER(SEARCH($V$1,Database!$AC47&amp;""))))+IF($W$1="",0,N(ISNUMBER(SEARCH($W$1,Database!$AC47&amp;""))))+IF($X$1="",0,N(ISNUMBER(SEARCH($X$1,Database!$AC47&amp;""))))+IF($Y$1="",0,N(ISNUMBER(SEARCH($Y$1,Database!$AC47&amp;""))))+IF(Screener!$B$17="",0,N(ISNUMBER(SEARCH(LOWER(Screener!$B$17),Database!$AC47&amp;""))))</f>
        <v/>
      </c>
      <c r="I47" s="220">
        <f>IF(OR(N(Database!$BH47)&lt;=0,N(Screener!$D$13)&lt;=0),0,MAX(0,1-ABS(LOG10(N(Database!$BH47)/Screener!$D$13))/W_PEHW))</f>
        <v/>
      </c>
      <c r="J47" s="220">
        <f>IF(OR(N(Database!$S47)&lt;=0,N(Screener!$D$14)&lt;=0),0,MAX(0,1-ABS(LOG10(Database!$S47/Screener!$D$14))/0.6))</f>
        <v/>
      </c>
      <c r="K47" s="220">
        <f>IF(Database!$B47=Screener!$B$5,-999999,IF(ISNUMBER(SEARCH(","&amp;Database!$A47&amp;",",","&amp;SUBSTITUTE(Screener!$D$17," ","")&amp;",")),2000000,IF(IF(OR(Screener!$B$18="All",AND(Screener!$B$18="With A-share",(Database!$BM47="Y")),AND(Screener!$B$18="Without A-share",NOT((Database!$BM47="Y")))),1,0)=0,-999999,IF(Screener!$B$16="cornerstone overlap first",H47*100000,IF(Screener!$B$16="demand-similar first",J47*100000,0))+W_SUB*B47+W_SEC*C47*(1-B47)+W_SIZE*D47+W_PROF*E47+W_AH*F47+W_REC*G47+W_CS*H47+W_PE*I47)))+ROW()/1000000</f>
        <v/>
      </c>
      <c r="AA47" s="220">
        <f>Database!B36</f>
        <v/>
      </c>
      <c r="AB47" s="220">
        <f>Database!D36</f>
        <v/>
      </c>
      <c r="AC47" s="220">
        <f>Database!E36</f>
        <v/>
      </c>
      <c r="AD47" s="220">
        <f>Database!I36</f>
        <v/>
      </c>
      <c r="AE47" s="220">
        <f>Database!BG36</f>
        <v/>
      </c>
      <c r="AF47" s="220">
        <f>Database!BM36</f>
        <v/>
      </c>
      <c r="AG47" s="220">
        <f>Database!H36</f>
        <v/>
      </c>
      <c r="AH47" s="220">
        <f>Database!BH36</f>
        <v/>
      </c>
    </row>
    <row r="48">
      <c r="A48" s="220">
        <f>Database!B48</f>
        <v/>
      </c>
      <c r="B48" s="220">
        <f>IF(AND(Screener!$D$8&lt;&gt;"",Database!$E48=Screener!$D$8),1,0)</f>
        <v/>
      </c>
      <c r="C48" s="220">
        <f>IF(AND(Screener!$D$7&lt;&gt;"",Database!$D48=Screener!$D$7),1,0)</f>
        <v/>
      </c>
      <c r="D48" s="220">
        <f>IF(OR(N(Database!$I48)&lt;=0,N(Screener!$D$9)&lt;=0),0,MAX(0,1-ABS(LOG10(N(Database!$I48)/Screener!$D$9))/W_SIZEHW))</f>
        <v/>
      </c>
      <c r="E48" s="220">
        <f>IF(OR(Database!$BG48="",Screener!$D$10=""),0,IF(Database!$BG48=Screener!$D$10,1,0))</f>
        <v/>
      </c>
      <c r="F48" s="220">
        <f>IF(OR(Database!$BM48="",Screener!$D$11=""),0,IF(Database!$BM48=Screener!$D$11,1,0))</f>
        <v/>
      </c>
      <c r="G48" s="220">
        <f>IF(OR(Database!$H48="",N(Screener!$D$12)&lt;=0),0,MAX(0,1-(N(Screener!$D$12)-Database!$H48)/W_RECD))</f>
        <v/>
      </c>
      <c r="H48" s="220">
        <f>IF($U$1="",0,N(ISNUMBER(SEARCH($U$1,Database!$AC48&amp;""))))+IF($V$1="",0,N(ISNUMBER(SEARCH($V$1,Database!$AC48&amp;""))))+IF($W$1="",0,N(ISNUMBER(SEARCH($W$1,Database!$AC48&amp;""))))+IF($X$1="",0,N(ISNUMBER(SEARCH($X$1,Database!$AC48&amp;""))))+IF($Y$1="",0,N(ISNUMBER(SEARCH($Y$1,Database!$AC48&amp;""))))+IF(Screener!$B$17="",0,N(ISNUMBER(SEARCH(LOWER(Screener!$B$17),Database!$AC48&amp;""))))</f>
        <v/>
      </c>
      <c r="I48" s="220">
        <f>IF(OR(N(Database!$BH48)&lt;=0,N(Screener!$D$13)&lt;=0),0,MAX(0,1-ABS(LOG10(N(Database!$BH48)/Screener!$D$13))/W_PEHW))</f>
        <v/>
      </c>
      <c r="J48" s="220">
        <f>IF(OR(N(Database!$S48)&lt;=0,N(Screener!$D$14)&lt;=0),0,MAX(0,1-ABS(LOG10(Database!$S48/Screener!$D$14))/0.6))</f>
        <v/>
      </c>
      <c r="K48" s="220">
        <f>IF(Database!$B48=Screener!$B$5,-999999,IF(ISNUMBER(SEARCH(","&amp;Database!$A48&amp;",",","&amp;SUBSTITUTE(Screener!$D$17," ","")&amp;",")),2000000,IF(IF(OR(Screener!$B$18="All",AND(Screener!$B$18="With A-share",(Database!$BM48="Y")),AND(Screener!$B$18="Without A-share",NOT((Database!$BM48="Y")))),1,0)=0,-999999,IF(Screener!$B$16="cornerstone overlap first",H48*100000,IF(Screener!$B$16="demand-similar first",J48*100000,0))+W_SUB*B48+W_SEC*C48*(1-B48)+W_SIZE*D48+W_PROF*E48+W_AH*F48+W_REC*G48+W_CS*H48+W_PE*I48)))+ROW()/1000000</f>
        <v/>
      </c>
      <c r="AA48" s="220">
        <f>Database!B37</f>
        <v/>
      </c>
      <c r="AB48" s="220">
        <f>Database!D37</f>
        <v/>
      </c>
      <c r="AC48" s="220">
        <f>Database!E37</f>
        <v/>
      </c>
      <c r="AD48" s="220">
        <f>Database!I37</f>
        <v/>
      </c>
      <c r="AE48" s="220">
        <f>Database!BG37</f>
        <v/>
      </c>
      <c r="AF48" s="220">
        <f>Database!BM37</f>
        <v/>
      </c>
      <c r="AG48" s="220">
        <f>Database!H37</f>
        <v/>
      </c>
      <c r="AH48" s="220">
        <f>Database!BH37</f>
        <v/>
      </c>
    </row>
    <row r="49">
      <c r="A49" s="220">
        <f>Database!B49</f>
        <v/>
      </c>
      <c r="B49" s="220">
        <f>IF(AND(Screener!$D$8&lt;&gt;"",Database!$E49=Screener!$D$8),1,0)</f>
        <v/>
      </c>
      <c r="C49" s="220">
        <f>IF(AND(Screener!$D$7&lt;&gt;"",Database!$D49=Screener!$D$7),1,0)</f>
        <v/>
      </c>
      <c r="D49" s="220">
        <f>IF(OR(N(Database!$I49)&lt;=0,N(Screener!$D$9)&lt;=0),0,MAX(0,1-ABS(LOG10(N(Database!$I49)/Screener!$D$9))/W_SIZEHW))</f>
        <v/>
      </c>
      <c r="E49" s="220">
        <f>IF(OR(Database!$BG49="",Screener!$D$10=""),0,IF(Database!$BG49=Screener!$D$10,1,0))</f>
        <v/>
      </c>
      <c r="F49" s="220">
        <f>IF(OR(Database!$BM49="",Screener!$D$11=""),0,IF(Database!$BM49=Screener!$D$11,1,0))</f>
        <v/>
      </c>
      <c r="G49" s="220">
        <f>IF(OR(Database!$H49="",N(Screener!$D$12)&lt;=0),0,MAX(0,1-(N(Screener!$D$12)-Database!$H49)/W_RECD))</f>
        <v/>
      </c>
      <c r="H49" s="220">
        <f>IF($U$1="",0,N(ISNUMBER(SEARCH($U$1,Database!$AC49&amp;""))))+IF($V$1="",0,N(ISNUMBER(SEARCH($V$1,Database!$AC49&amp;""))))+IF($W$1="",0,N(ISNUMBER(SEARCH($W$1,Database!$AC49&amp;""))))+IF($X$1="",0,N(ISNUMBER(SEARCH($X$1,Database!$AC49&amp;""))))+IF($Y$1="",0,N(ISNUMBER(SEARCH($Y$1,Database!$AC49&amp;""))))+IF(Screener!$B$17="",0,N(ISNUMBER(SEARCH(LOWER(Screener!$B$17),Database!$AC49&amp;""))))</f>
        <v/>
      </c>
      <c r="I49" s="220">
        <f>IF(OR(N(Database!$BH49)&lt;=0,N(Screener!$D$13)&lt;=0),0,MAX(0,1-ABS(LOG10(N(Database!$BH49)/Screener!$D$13))/W_PEHW))</f>
        <v/>
      </c>
      <c r="J49" s="220">
        <f>IF(OR(N(Database!$S49)&lt;=0,N(Screener!$D$14)&lt;=0),0,MAX(0,1-ABS(LOG10(Database!$S49/Screener!$D$14))/0.6))</f>
        <v/>
      </c>
      <c r="K49" s="220">
        <f>IF(Database!$B49=Screener!$B$5,-999999,IF(ISNUMBER(SEARCH(","&amp;Database!$A49&amp;",",","&amp;SUBSTITUTE(Screener!$D$17," ","")&amp;",")),2000000,IF(IF(OR(Screener!$B$18="All",AND(Screener!$B$18="With A-share",(Database!$BM49="Y")),AND(Screener!$B$18="Without A-share",NOT((Database!$BM49="Y")))),1,0)=0,-999999,IF(Screener!$B$16="cornerstone overlap first",H49*100000,IF(Screener!$B$16="demand-similar first",J49*100000,0))+W_SUB*B49+W_SEC*C49*(1-B49)+W_SIZE*D49+W_PROF*E49+W_AH*F49+W_REC*G49+W_CS*H49+W_PE*I49)))+ROW()/1000000</f>
        <v/>
      </c>
      <c r="AA49" s="220">
        <f>Database!B38</f>
        <v/>
      </c>
      <c r="AB49" s="220">
        <f>Database!D38</f>
        <v/>
      </c>
      <c r="AC49" s="220">
        <f>Database!E38</f>
        <v/>
      </c>
      <c r="AD49" s="220">
        <f>Database!I38</f>
        <v/>
      </c>
      <c r="AE49" s="220">
        <f>Database!BG38</f>
        <v/>
      </c>
      <c r="AF49" s="220">
        <f>Database!BM38</f>
        <v/>
      </c>
      <c r="AG49" s="220">
        <f>Database!H38</f>
        <v/>
      </c>
      <c r="AH49" s="220">
        <f>Database!BH38</f>
        <v/>
      </c>
    </row>
    <row r="50">
      <c r="A50" s="220">
        <f>Database!B50</f>
        <v/>
      </c>
      <c r="B50" s="220">
        <f>IF(AND(Screener!$D$8&lt;&gt;"",Database!$E50=Screener!$D$8),1,0)</f>
        <v/>
      </c>
      <c r="C50" s="220">
        <f>IF(AND(Screener!$D$7&lt;&gt;"",Database!$D50=Screener!$D$7),1,0)</f>
        <v/>
      </c>
      <c r="D50" s="220">
        <f>IF(OR(N(Database!$I50)&lt;=0,N(Screener!$D$9)&lt;=0),0,MAX(0,1-ABS(LOG10(N(Database!$I50)/Screener!$D$9))/W_SIZEHW))</f>
        <v/>
      </c>
      <c r="E50" s="220">
        <f>IF(OR(Database!$BG50="",Screener!$D$10=""),0,IF(Database!$BG50=Screener!$D$10,1,0))</f>
        <v/>
      </c>
      <c r="F50" s="220">
        <f>IF(OR(Database!$BM50="",Screener!$D$11=""),0,IF(Database!$BM50=Screener!$D$11,1,0))</f>
        <v/>
      </c>
      <c r="G50" s="220">
        <f>IF(OR(Database!$H50="",N(Screener!$D$12)&lt;=0),0,MAX(0,1-(N(Screener!$D$12)-Database!$H50)/W_RECD))</f>
        <v/>
      </c>
      <c r="H50" s="220">
        <f>IF($U$1="",0,N(ISNUMBER(SEARCH($U$1,Database!$AC50&amp;""))))+IF($V$1="",0,N(ISNUMBER(SEARCH($V$1,Database!$AC50&amp;""))))+IF($W$1="",0,N(ISNUMBER(SEARCH($W$1,Database!$AC50&amp;""))))+IF($X$1="",0,N(ISNUMBER(SEARCH($X$1,Database!$AC50&amp;""))))+IF($Y$1="",0,N(ISNUMBER(SEARCH($Y$1,Database!$AC50&amp;""))))+IF(Screener!$B$17="",0,N(ISNUMBER(SEARCH(LOWER(Screener!$B$17),Database!$AC50&amp;""))))</f>
        <v/>
      </c>
      <c r="I50" s="220">
        <f>IF(OR(N(Database!$BH50)&lt;=0,N(Screener!$D$13)&lt;=0),0,MAX(0,1-ABS(LOG10(N(Database!$BH50)/Screener!$D$13))/W_PEHW))</f>
        <v/>
      </c>
      <c r="J50" s="220">
        <f>IF(OR(N(Database!$S50)&lt;=0,N(Screener!$D$14)&lt;=0),0,MAX(0,1-ABS(LOG10(Database!$S50/Screener!$D$14))/0.6))</f>
        <v/>
      </c>
      <c r="K50" s="220">
        <f>IF(Database!$B50=Screener!$B$5,-999999,IF(ISNUMBER(SEARCH(","&amp;Database!$A50&amp;",",","&amp;SUBSTITUTE(Screener!$D$17," ","")&amp;",")),2000000,IF(IF(OR(Screener!$B$18="All",AND(Screener!$B$18="With A-share",(Database!$BM50="Y")),AND(Screener!$B$18="Without A-share",NOT((Database!$BM50="Y")))),1,0)=0,-999999,IF(Screener!$B$16="cornerstone overlap first",H50*100000,IF(Screener!$B$16="demand-similar first",J50*100000,0))+W_SUB*B50+W_SEC*C50*(1-B50)+W_SIZE*D50+W_PROF*E50+W_AH*F50+W_REC*G50+W_CS*H50+W_PE*I50)))+ROW()/1000000</f>
        <v/>
      </c>
      <c r="AA50" s="220">
        <f>Database!B39</f>
        <v/>
      </c>
      <c r="AB50" s="220">
        <f>Database!D39</f>
        <v/>
      </c>
      <c r="AC50" s="220">
        <f>Database!E39</f>
        <v/>
      </c>
      <c r="AD50" s="220">
        <f>Database!I39</f>
        <v/>
      </c>
      <c r="AE50" s="220">
        <f>Database!BG39</f>
        <v/>
      </c>
      <c r="AF50" s="220">
        <f>Database!BM39</f>
        <v/>
      </c>
      <c r="AG50" s="220">
        <f>Database!H39</f>
        <v/>
      </c>
      <c r="AH50" s="220">
        <f>Database!BH39</f>
        <v/>
      </c>
    </row>
    <row r="51">
      <c r="A51" s="220">
        <f>Database!B51</f>
        <v/>
      </c>
      <c r="B51" s="220">
        <f>IF(AND(Screener!$D$8&lt;&gt;"",Database!$E51=Screener!$D$8),1,0)</f>
        <v/>
      </c>
      <c r="C51" s="220">
        <f>IF(AND(Screener!$D$7&lt;&gt;"",Database!$D51=Screener!$D$7),1,0)</f>
        <v/>
      </c>
      <c r="D51" s="220">
        <f>IF(OR(N(Database!$I51)&lt;=0,N(Screener!$D$9)&lt;=0),0,MAX(0,1-ABS(LOG10(N(Database!$I51)/Screener!$D$9))/W_SIZEHW))</f>
        <v/>
      </c>
      <c r="E51" s="220">
        <f>IF(OR(Database!$BG51="",Screener!$D$10=""),0,IF(Database!$BG51=Screener!$D$10,1,0))</f>
        <v/>
      </c>
      <c r="F51" s="220">
        <f>IF(OR(Database!$BM51="",Screener!$D$11=""),0,IF(Database!$BM51=Screener!$D$11,1,0))</f>
        <v/>
      </c>
      <c r="G51" s="220">
        <f>IF(OR(Database!$H51="",N(Screener!$D$12)&lt;=0),0,MAX(0,1-(N(Screener!$D$12)-Database!$H51)/W_RECD))</f>
        <v/>
      </c>
      <c r="H51" s="220">
        <f>IF($U$1="",0,N(ISNUMBER(SEARCH($U$1,Database!$AC51&amp;""))))+IF($V$1="",0,N(ISNUMBER(SEARCH($V$1,Database!$AC51&amp;""))))+IF($W$1="",0,N(ISNUMBER(SEARCH($W$1,Database!$AC51&amp;""))))+IF($X$1="",0,N(ISNUMBER(SEARCH($X$1,Database!$AC51&amp;""))))+IF($Y$1="",0,N(ISNUMBER(SEARCH($Y$1,Database!$AC51&amp;""))))+IF(Screener!$B$17="",0,N(ISNUMBER(SEARCH(LOWER(Screener!$B$17),Database!$AC51&amp;""))))</f>
        <v/>
      </c>
      <c r="I51" s="220">
        <f>IF(OR(N(Database!$BH51)&lt;=0,N(Screener!$D$13)&lt;=0),0,MAX(0,1-ABS(LOG10(N(Database!$BH51)/Screener!$D$13))/W_PEHW))</f>
        <v/>
      </c>
      <c r="J51" s="220">
        <f>IF(OR(N(Database!$S51)&lt;=0,N(Screener!$D$14)&lt;=0),0,MAX(0,1-ABS(LOG10(Database!$S51/Screener!$D$14))/0.6))</f>
        <v/>
      </c>
      <c r="K51" s="220">
        <f>IF(Database!$B51=Screener!$B$5,-999999,IF(ISNUMBER(SEARCH(","&amp;Database!$A51&amp;",",","&amp;SUBSTITUTE(Screener!$D$17," ","")&amp;",")),2000000,IF(IF(OR(Screener!$B$18="All",AND(Screener!$B$18="With A-share",(Database!$BM51="Y")),AND(Screener!$B$18="Without A-share",NOT((Database!$BM51="Y")))),1,0)=0,-999999,IF(Screener!$B$16="cornerstone overlap first",H51*100000,IF(Screener!$B$16="demand-similar first",J51*100000,0))+W_SUB*B51+W_SEC*C51*(1-B51)+W_SIZE*D51+W_PROF*E51+W_AH*F51+W_REC*G51+W_CS*H51+W_PE*I51)))+ROW()/1000000</f>
        <v/>
      </c>
      <c r="AA51" s="220">
        <f>Database!B40</f>
        <v/>
      </c>
      <c r="AB51" s="220">
        <f>Database!D40</f>
        <v/>
      </c>
      <c r="AC51" s="220">
        <f>Database!E40</f>
        <v/>
      </c>
      <c r="AD51" s="220">
        <f>Database!I40</f>
        <v/>
      </c>
      <c r="AE51" s="220">
        <f>Database!BG40</f>
        <v/>
      </c>
      <c r="AF51" s="220">
        <f>Database!BM40</f>
        <v/>
      </c>
      <c r="AG51" s="220">
        <f>Database!H40</f>
        <v/>
      </c>
      <c r="AH51" s="220">
        <f>Database!BH40</f>
        <v/>
      </c>
    </row>
    <row r="52">
      <c r="A52" s="220">
        <f>Database!B52</f>
        <v/>
      </c>
      <c r="B52" s="220">
        <f>IF(AND(Screener!$D$8&lt;&gt;"",Database!$E52=Screener!$D$8),1,0)</f>
        <v/>
      </c>
      <c r="C52" s="220">
        <f>IF(AND(Screener!$D$7&lt;&gt;"",Database!$D52=Screener!$D$7),1,0)</f>
        <v/>
      </c>
      <c r="D52" s="220">
        <f>IF(OR(N(Database!$I52)&lt;=0,N(Screener!$D$9)&lt;=0),0,MAX(0,1-ABS(LOG10(N(Database!$I52)/Screener!$D$9))/W_SIZEHW))</f>
        <v/>
      </c>
      <c r="E52" s="220">
        <f>IF(OR(Database!$BG52="",Screener!$D$10=""),0,IF(Database!$BG52=Screener!$D$10,1,0))</f>
        <v/>
      </c>
      <c r="F52" s="220">
        <f>IF(OR(Database!$BM52="",Screener!$D$11=""),0,IF(Database!$BM52=Screener!$D$11,1,0))</f>
        <v/>
      </c>
      <c r="G52" s="220">
        <f>IF(OR(Database!$H52="",N(Screener!$D$12)&lt;=0),0,MAX(0,1-(N(Screener!$D$12)-Database!$H52)/W_RECD))</f>
        <v/>
      </c>
      <c r="H52" s="220">
        <f>IF($U$1="",0,N(ISNUMBER(SEARCH($U$1,Database!$AC52&amp;""))))+IF($V$1="",0,N(ISNUMBER(SEARCH($V$1,Database!$AC52&amp;""))))+IF($W$1="",0,N(ISNUMBER(SEARCH($W$1,Database!$AC52&amp;""))))+IF($X$1="",0,N(ISNUMBER(SEARCH($X$1,Database!$AC52&amp;""))))+IF($Y$1="",0,N(ISNUMBER(SEARCH($Y$1,Database!$AC52&amp;""))))+IF(Screener!$B$17="",0,N(ISNUMBER(SEARCH(LOWER(Screener!$B$17),Database!$AC52&amp;""))))</f>
        <v/>
      </c>
      <c r="I52" s="220">
        <f>IF(OR(N(Database!$BH52)&lt;=0,N(Screener!$D$13)&lt;=0),0,MAX(0,1-ABS(LOG10(N(Database!$BH52)/Screener!$D$13))/W_PEHW))</f>
        <v/>
      </c>
      <c r="J52" s="220">
        <f>IF(OR(N(Database!$S52)&lt;=0,N(Screener!$D$14)&lt;=0),0,MAX(0,1-ABS(LOG10(Database!$S52/Screener!$D$14))/0.6))</f>
        <v/>
      </c>
      <c r="K52" s="220">
        <f>IF(Database!$B52=Screener!$B$5,-999999,IF(ISNUMBER(SEARCH(","&amp;Database!$A52&amp;",",","&amp;SUBSTITUTE(Screener!$D$17," ","")&amp;",")),2000000,IF(IF(OR(Screener!$B$18="All",AND(Screener!$B$18="With A-share",(Database!$BM52="Y")),AND(Screener!$B$18="Without A-share",NOT((Database!$BM52="Y")))),1,0)=0,-999999,IF(Screener!$B$16="cornerstone overlap first",H52*100000,IF(Screener!$B$16="demand-similar first",J52*100000,0))+W_SUB*B52+W_SEC*C52*(1-B52)+W_SIZE*D52+W_PROF*E52+W_AH*F52+W_REC*G52+W_CS*H52+W_PE*I52)))+ROW()/1000000</f>
        <v/>
      </c>
      <c r="AA52" s="220">
        <f>Database!B41</f>
        <v/>
      </c>
      <c r="AB52" s="220">
        <f>Database!D41</f>
        <v/>
      </c>
      <c r="AC52" s="220">
        <f>Database!E41</f>
        <v/>
      </c>
      <c r="AD52" s="220">
        <f>Database!I41</f>
        <v/>
      </c>
      <c r="AE52" s="220">
        <f>Database!BG41</f>
        <v/>
      </c>
      <c r="AF52" s="220">
        <f>Database!BM41</f>
        <v/>
      </c>
      <c r="AG52" s="220">
        <f>Database!H41</f>
        <v/>
      </c>
      <c r="AH52" s="220">
        <f>Database!BH41</f>
        <v/>
      </c>
    </row>
    <row r="53">
      <c r="A53" s="220">
        <f>Database!B53</f>
        <v/>
      </c>
      <c r="B53" s="220">
        <f>IF(AND(Screener!$D$8&lt;&gt;"",Database!$E53=Screener!$D$8),1,0)</f>
        <v/>
      </c>
      <c r="C53" s="220">
        <f>IF(AND(Screener!$D$7&lt;&gt;"",Database!$D53=Screener!$D$7),1,0)</f>
        <v/>
      </c>
      <c r="D53" s="220">
        <f>IF(OR(N(Database!$I53)&lt;=0,N(Screener!$D$9)&lt;=0),0,MAX(0,1-ABS(LOG10(N(Database!$I53)/Screener!$D$9))/W_SIZEHW))</f>
        <v/>
      </c>
      <c r="E53" s="220">
        <f>IF(OR(Database!$BG53="",Screener!$D$10=""),0,IF(Database!$BG53=Screener!$D$10,1,0))</f>
        <v/>
      </c>
      <c r="F53" s="220">
        <f>IF(OR(Database!$BM53="",Screener!$D$11=""),0,IF(Database!$BM53=Screener!$D$11,1,0))</f>
        <v/>
      </c>
      <c r="G53" s="220">
        <f>IF(OR(Database!$H53="",N(Screener!$D$12)&lt;=0),0,MAX(0,1-(N(Screener!$D$12)-Database!$H53)/W_RECD))</f>
        <v/>
      </c>
      <c r="H53" s="220">
        <f>IF($U$1="",0,N(ISNUMBER(SEARCH($U$1,Database!$AC53&amp;""))))+IF($V$1="",0,N(ISNUMBER(SEARCH($V$1,Database!$AC53&amp;""))))+IF($W$1="",0,N(ISNUMBER(SEARCH($W$1,Database!$AC53&amp;""))))+IF($X$1="",0,N(ISNUMBER(SEARCH($X$1,Database!$AC53&amp;""))))+IF($Y$1="",0,N(ISNUMBER(SEARCH($Y$1,Database!$AC53&amp;""))))+IF(Screener!$B$17="",0,N(ISNUMBER(SEARCH(LOWER(Screener!$B$17),Database!$AC53&amp;""))))</f>
        <v/>
      </c>
      <c r="I53" s="220">
        <f>IF(OR(N(Database!$BH53)&lt;=0,N(Screener!$D$13)&lt;=0),0,MAX(0,1-ABS(LOG10(N(Database!$BH53)/Screener!$D$13))/W_PEHW))</f>
        <v/>
      </c>
      <c r="J53" s="220">
        <f>IF(OR(N(Database!$S53)&lt;=0,N(Screener!$D$14)&lt;=0),0,MAX(0,1-ABS(LOG10(Database!$S53/Screener!$D$14))/0.6))</f>
        <v/>
      </c>
      <c r="K53" s="220">
        <f>IF(Database!$B53=Screener!$B$5,-999999,IF(ISNUMBER(SEARCH(","&amp;Database!$A53&amp;",",","&amp;SUBSTITUTE(Screener!$D$17," ","")&amp;",")),2000000,IF(IF(OR(Screener!$B$18="All",AND(Screener!$B$18="With A-share",(Database!$BM53="Y")),AND(Screener!$B$18="Without A-share",NOT((Database!$BM53="Y")))),1,0)=0,-999999,IF(Screener!$B$16="cornerstone overlap first",H53*100000,IF(Screener!$B$16="demand-similar first",J53*100000,0))+W_SUB*B53+W_SEC*C53*(1-B53)+W_SIZE*D53+W_PROF*E53+W_AH*F53+W_REC*G53+W_CS*H53+W_PE*I53)))+ROW()/1000000</f>
        <v/>
      </c>
      <c r="AA53" s="220">
        <f>Database!B42</f>
        <v/>
      </c>
      <c r="AB53" s="220">
        <f>Database!D42</f>
        <v/>
      </c>
      <c r="AC53" s="220">
        <f>Database!E42</f>
        <v/>
      </c>
      <c r="AD53" s="220">
        <f>Database!I42</f>
        <v/>
      </c>
      <c r="AE53" s="220">
        <f>Database!BG42</f>
        <v/>
      </c>
      <c r="AF53" s="220">
        <f>Database!BM42</f>
        <v/>
      </c>
      <c r="AG53" s="220">
        <f>Database!H42</f>
        <v/>
      </c>
      <c r="AH53" s="220">
        <f>Database!BH42</f>
        <v/>
      </c>
    </row>
    <row r="54">
      <c r="A54" s="220">
        <f>Database!B54</f>
        <v/>
      </c>
      <c r="B54" s="220">
        <f>IF(AND(Screener!$D$8&lt;&gt;"",Database!$E54=Screener!$D$8),1,0)</f>
        <v/>
      </c>
      <c r="C54" s="220">
        <f>IF(AND(Screener!$D$7&lt;&gt;"",Database!$D54=Screener!$D$7),1,0)</f>
        <v/>
      </c>
      <c r="D54" s="220">
        <f>IF(OR(N(Database!$I54)&lt;=0,N(Screener!$D$9)&lt;=0),0,MAX(0,1-ABS(LOG10(N(Database!$I54)/Screener!$D$9))/W_SIZEHW))</f>
        <v/>
      </c>
      <c r="E54" s="220">
        <f>IF(OR(Database!$BG54="",Screener!$D$10=""),0,IF(Database!$BG54=Screener!$D$10,1,0))</f>
        <v/>
      </c>
      <c r="F54" s="220">
        <f>IF(OR(Database!$BM54="",Screener!$D$11=""),0,IF(Database!$BM54=Screener!$D$11,1,0))</f>
        <v/>
      </c>
      <c r="G54" s="220">
        <f>IF(OR(Database!$H54="",N(Screener!$D$12)&lt;=0),0,MAX(0,1-(N(Screener!$D$12)-Database!$H54)/W_RECD))</f>
        <v/>
      </c>
      <c r="H54" s="220">
        <f>IF($U$1="",0,N(ISNUMBER(SEARCH($U$1,Database!$AC54&amp;""))))+IF($V$1="",0,N(ISNUMBER(SEARCH($V$1,Database!$AC54&amp;""))))+IF($W$1="",0,N(ISNUMBER(SEARCH($W$1,Database!$AC54&amp;""))))+IF($X$1="",0,N(ISNUMBER(SEARCH($X$1,Database!$AC54&amp;""))))+IF($Y$1="",0,N(ISNUMBER(SEARCH($Y$1,Database!$AC54&amp;""))))+IF(Screener!$B$17="",0,N(ISNUMBER(SEARCH(LOWER(Screener!$B$17),Database!$AC54&amp;""))))</f>
        <v/>
      </c>
      <c r="I54" s="220">
        <f>IF(OR(N(Database!$BH54)&lt;=0,N(Screener!$D$13)&lt;=0),0,MAX(0,1-ABS(LOG10(N(Database!$BH54)/Screener!$D$13))/W_PEHW))</f>
        <v/>
      </c>
      <c r="J54" s="220">
        <f>IF(OR(N(Database!$S54)&lt;=0,N(Screener!$D$14)&lt;=0),0,MAX(0,1-ABS(LOG10(Database!$S54/Screener!$D$14))/0.6))</f>
        <v/>
      </c>
      <c r="K54" s="220">
        <f>IF(Database!$B54=Screener!$B$5,-999999,IF(ISNUMBER(SEARCH(","&amp;Database!$A54&amp;",",","&amp;SUBSTITUTE(Screener!$D$17," ","")&amp;",")),2000000,IF(IF(OR(Screener!$B$18="All",AND(Screener!$B$18="With A-share",(Database!$BM54="Y")),AND(Screener!$B$18="Without A-share",NOT((Database!$BM54="Y")))),1,0)=0,-999999,IF(Screener!$B$16="cornerstone overlap first",H54*100000,IF(Screener!$B$16="demand-similar first",J54*100000,0))+W_SUB*B54+W_SEC*C54*(1-B54)+W_SIZE*D54+W_PROF*E54+W_AH*F54+W_REC*G54+W_CS*H54+W_PE*I54)))+ROW()/1000000</f>
        <v/>
      </c>
      <c r="AA54" s="220">
        <f>Database!B43</f>
        <v/>
      </c>
      <c r="AB54" s="220">
        <f>Database!D43</f>
        <v/>
      </c>
      <c r="AC54" s="220">
        <f>Database!E43</f>
        <v/>
      </c>
      <c r="AD54" s="220">
        <f>Database!I43</f>
        <v/>
      </c>
      <c r="AE54" s="220">
        <f>Database!BG43</f>
        <v/>
      </c>
      <c r="AF54" s="220">
        <f>Database!BM43</f>
        <v/>
      </c>
      <c r="AG54" s="220">
        <f>Database!H43</f>
        <v/>
      </c>
      <c r="AH54" s="220">
        <f>Database!BH43</f>
        <v/>
      </c>
    </row>
    <row r="55">
      <c r="A55" s="220">
        <f>Database!B55</f>
        <v/>
      </c>
      <c r="B55" s="220">
        <f>IF(AND(Screener!$D$8&lt;&gt;"",Database!$E55=Screener!$D$8),1,0)</f>
        <v/>
      </c>
      <c r="C55" s="220">
        <f>IF(AND(Screener!$D$7&lt;&gt;"",Database!$D55=Screener!$D$7),1,0)</f>
        <v/>
      </c>
      <c r="D55" s="220">
        <f>IF(OR(N(Database!$I55)&lt;=0,N(Screener!$D$9)&lt;=0),0,MAX(0,1-ABS(LOG10(N(Database!$I55)/Screener!$D$9))/W_SIZEHW))</f>
        <v/>
      </c>
      <c r="E55" s="220">
        <f>IF(OR(Database!$BG55="",Screener!$D$10=""),0,IF(Database!$BG55=Screener!$D$10,1,0))</f>
        <v/>
      </c>
      <c r="F55" s="220">
        <f>IF(OR(Database!$BM55="",Screener!$D$11=""),0,IF(Database!$BM55=Screener!$D$11,1,0))</f>
        <v/>
      </c>
      <c r="G55" s="220">
        <f>IF(OR(Database!$H55="",N(Screener!$D$12)&lt;=0),0,MAX(0,1-(N(Screener!$D$12)-Database!$H55)/W_RECD))</f>
        <v/>
      </c>
      <c r="H55" s="220">
        <f>IF($U$1="",0,N(ISNUMBER(SEARCH($U$1,Database!$AC55&amp;""))))+IF($V$1="",0,N(ISNUMBER(SEARCH($V$1,Database!$AC55&amp;""))))+IF($W$1="",0,N(ISNUMBER(SEARCH($W$1,Database!$AC55&amp;""))))+IF($X$1="",0,N(ISNUMBER(SEARCH($X$1,Database!$AC55&amp;""))))+IF($Y$1="",0,N(ISNUMBER(SEARCH($Y$1,Database!$AC55&amp;""))))+IF(Screener!$B$17="",0,N(ISNUMBER(SEARCH(LOWER(Screener!$B$17),Database!$AC55&amp;""))))</f>
        <v/>
      </c>
      <c r="I55" s="220">
        <f>IF(OR(N(Database!$BH55)&lt;=0,N(Screener!$D$13)&lt;=0),0,MAX(0,1-ABS(LOG10(N(Database!$BH55)/Screener!$D$13))/W_PEHW))</f>
        <v/>
      </c>
      <c r="J55" s="220">
        <f>IF(OR(N(Database!$S55)&lt;=0,N(Screener!$D$14)&lt;=0),0,MAX(0,1-ABS(LOG10(Database!$S55/Screener!$D$14))/0.6))</f>
        <v/>
      </c>
      <c r="K55" s="220">
        <f>IF(Database!$B55=Screener!$B$5,-999999,IF(ISNUMBER(SEARCH(","&amp;Database!$A55&amp;",",","&amp;SUBSTITUTE(Screener!$D$17," ","")&amp;",")),2000000,IF(IF(OR(Screener!$B$18="All",AND(Screener!$B$18="With A-share",(Database!$BM55="Y")),AND(Screener!$B$18="Without A-share",NOT((Database!$BM55="Y")))),1,0)=0,-999999,IF(Screener!$B$16="cornerstone overlap first",H55*100000,IF(Screener!$B$16="demand-similar first",J55*100000,0))+W_SUB*B55+W_SEC*C55*(1-B55)+W_SIZE*D55+W_PROF*E55+W_AH*F55+W_REC*G55+W_CS*H55+W_PE*I55)))+ROW()/1000000</f>
        <v/>
      </c>
      <c r="AA55" s="220">
        <f>Database!B44</f>
        <v/>
      </c>
      <c r="AB55" s="220">
        <f>Database!D44</f>
        <v/>
      </c>
      <c r="AC55" s="220">
        <f>Database!E44</f>
        <v/>
      </c>
      <c r="AD55" s="220">
        <f>Database!I44</f>
        <v/>
      </c>
      <c r="AE55" s="220">
        <f>Database!BG44</f>
        <v/>
      </c>
      <c r="AF55" s="220">
        <f>Database!BM44</f>
        <v/>
      </c>
      <c r="AG55" s="220">
        <f>Database!H44</f>
        <v/>
      </c>
      <c r="AH55" s="220">
        <f>Database!BH44</f>
        <v/>
      </c>
    </row>
    <row r="56">
      <c r="A56" s="220">
        <f>Database!B56</f>
        <v/>
      </c>
      <c r="B56" s="220">
        <f>IF(AND(Screener!$D$8&lt;&gt;"",Database!$E56=Screener!$D$8),1,0)</f>
        <v/>
      </c>
      <c r="C56" s="220">
        <f>IF(AND(Screener!$D$7&lt;&gt;"",Database!$D56=Screener!$D$7),1,0)</f>
        <v/>
      </c>
      <c r="D56" s="220">
        <f>IF(OR(N(Database!$I56)&lt;=0,N(Screener!$D$9)&lt;=0),0,MAX(0,1-ABS(LOG10(N(Database!$I56)/Screener!$D$9))/W_SIZEHW))</f>
        <v/>
      </c>
      <c r="E56" s="220">
        <f>IF(OR(Database!$BG56="",Screener!$D$10=""),0,IF(Database!$BG56=Screener!$D$10,1,0))</f>
        <v/>
      </c>
      <c r="F56" s="220">
        <f>IF(OR(Database!$BM56="",Screener!$D$11=""),0,IF(Database!$BM56=Screener!$D$11,1,0))</f>
        <v/>
      </c>
      <c r="G56" s="220">
        <f>IF(OR(Database!$H56="",N(Screener!$D$12)&lt;=0),0,MAX(0,1-(N(Screener!$D$12)-Database!$H56)/W_RECD))</f>
        <v/>
      </c>
      <c r="H56" s="220">
        <f>IF($U$1="",0,N(ISNUMBER(SEARCH($U$1,Database!$AC56&amp;""))))+IF($V$1="",0,N(ISNUMBER(SEARCH($V$1,Database!$AC56&amp;""))))+IF($W$1="",0,N(ISNUMBER(SEARCH($W$1,Database!$AC56&amp;""))))+IF($X$1="",0,N(ISNUMBER(SEARCH($X$1,Database!$AC56&amp;""))))+IF($Y$1="",0,N(ISNUMBER(SEARCH($Y$1,Database!$AC56&amp;""))))+IF(Screener!$B$17="",0,N(ISNUMBER(SEARCH(LOWER(Screener!$B$17),Database!$AC56&amp;""))))</f>
        <v/>
      </c>
      <c r="I56" s="220">
        <f>IF(OR(N(Database!$BH56)&lt;=0,N(Screener!$D$13)&lt;=0),0,MAX(0,1-ABS(LOG10(N(Database!$BH56)/Screener!$D$13))/W_PEHW))</f>
        <v/>
      </c>
      <c r="J56" s="220">
        <f>IF(OR(N(Database!$S56)&lt;=0,N(Screener!$D$14)&lt;=0),0,MAX(0,1-ABS(LOG10(Database!$S56/Screener!$D$14))/0.6))</f>
        <v/>
      </c>
      <c r="K56" s="220">
        <f>IF(Database!$B56=Screener!$B$5,-999999,IF(ISNUMBER(SEARCH(","&amp;Database!$A56&amp;",",","&amp;SUBSTITUTE(Screener!$D$17," ","")&amp;",")),2000000,IF(IF(OR(Screener!$B$18="All",AND(Screener!$B$18="With A-share",(Database!$BM56="Y")),AND(Screener!$B$18="Without A-share",NOT((Database!$BM56="Y")))),1,0)=0,-999999,IF(Screener!$B$16="cornerstone overlap first",H56*100000,IF(Screener!$B$16="demand-similar first",J56*100000,0))+W_SUB*B56+W_SEC*C56*(1-B56)+W_SIZE*D56+W_PROF*E56+W_AH*F56+W_REC*G56+W_CS*H56+W_PE*I56)))+ROW()/1000000</f>
        <v/>
      </c>
      <c r="AA56" s="220">
        <f>Database!B45</f>
        <v/>
      </c>
      <c r="AB56" s="220">
        <f>Database!D45</f>
        <v/>
      </c>
      <c r="AC56" s="220">
        <f>Database!E45</f>
        <v/>
      </c>
      <c r="AD56" s="220">
        <f>Database!I45</f>
        <v/>
      </c>
      <c r="AE56" s="220">
        <f>Database!BG45</f>
        <v/>
      </c>
      <c r="AF56" s="220">
        <f>Database!BM45</f>
        <v/>
      </c>
      <c r="AG56" s="220">
        <f>Database!H45</f>
        <v/>
      </c>
      <c r="AH56" s="220">
        <f>Database!BH45</f>
        <v/>
      </c>
    </row>
    <row r="57">
      <c r="A57" s="220">
        <f>Database!B57</f>
        <v/>
      </c>
      <c r="B57" s="220">
        <f>IF(AND(Screener!$D$8&lt;&gt;"",Database!$E57=Screener!$D$8),1,0)</f>
        <v/>
      </c>
      <c r="C57" s="220">
        <f>IF(AND(Screener!$D$7&lt;&gt;"",Database!$D57=Screener!$D$7),1,0)</f>
        <v/>
      </c>
      <c r="D57" s="220">
        <f>IF(OR(N(Database!$I57)&lt;=0,N(Screener!$D$9)&lt;=0),0,MAX(0,1-ABS(LOG10(N(Database!$I57)/Screener!$D$9))/W_SIZEHW))</f>
        <v/>
      </c>
      <c r="E57" s="220">
        <f>IF(OR(Database!$BG57="",Screener!$D$10=""),0,IF(Database!$BG57=Screener!$D$10,1,0))</f>
        <v/>
      </c>
      <c r="F57" s="220">
        <f>IF(OR(Database!$BM57="",Screener!$D$11=""),0,IF(Database!$BM57=Screener!$D$11,1,0))</f>
        <v/>
      </c>
      <c r="G57" s="220">
        <f>IF(OR(Database!$H57="",N(Screener!$D$12)&lt;=0),0,MAX(0,1-(N(Screener!$D$12)-Database!$H57)/W_RECD))</f>
        <v/>
      </c>
      <c r="H57" s="220">
        <f>IF($U$1="",0,N(ISNUMBER(SEARCH($U$1,Database!$AC57&amp;""))))+IF($V$1="",0,N(ISNUMBER(SEARCH($V$1,Database!$AC57&amp;""))))+IF($W$1="",0,N(ISNUMBER(SEARCH($W$1,Database!$AC57&amp;""))))+IF($X$1="",0,N(ISNUMBER(SEARCH($X$1,Database!$AC57&amp;""))))+IF($Y$1="",0,N(ISNUMBER(SEARCH($Y$1,Database!$AC57&amp;""))))+IF(Screener!$B$17="",0,N(ISNUMBER(SEARCH(LOWER(Screener!$B$17),Database!$AC57&amp;""))))</f>
        <v/>
      </c>
      <c r="I57" s="220">
        <f>IF(OR(N(Database!$BH57)&lt;=0,N(Screener!$D$13)&lt;=0),0,MAX(0,1-ABS(LOG10(N(Database!$BH57)/Screener!$D$13))/W_PEHW))</f>
        <v/>
      </c>
      <c r="J57" s="220">
        <f>IF(OR(N(Database!$S57)&lt;=0,N(Screener!$D$14)&lt;=0),0,MAX(0,1-ABS(LOG10(Database!$S57/Screener!$D$14))/0.6))</f>
        <v/>
      </c>
      <c r="K57" s="220">
        <f>IF(Database!$B57=Screener!$B$5,-999999,IF(ISNUMBER(SEARCH(","&amp;Database!$A57&amp;",",","&amp;SUBSTITUTE(Screener!$D$17," ","")&amp;",")),2000000,IF(IF(OR(Screener!$B$18="All",AND(Screener!$B$18="With A-share",(Database!$BM57="Y")),AND(Screener!$B$18="Without A-share",NOT((Database!$BM57="Y")))),1,0)=0,-999999,IF(Screener!$B$16="cornerstone overlap first",H57*100000,IF(Screener!$B$16="demand-similar first",J57*100000,0))+W_SUB*B57+W_SEC*C57*(1-B57)+W_SIZE*D57+W_PROF*E57+W_AH*F57+W_REC*G57+W_CS*H57+W_PE*I57)))+ROW()/1000000</f>
        <v/>
      </c>
      <c r="AA57" s="220">
        <f>Database!B46</f>
        <v/>
      </c>
      <c r="AB57" s="220">
        <f>Database!D46</f>
        <v/>
      </c>
      <c r="AC57" s="220">
        <f>Database!E46</f>
        <v/>
      </c>
      <c r="AD57" s="220">
        <f>Database!I46</f>
        <v/>
      </c>
      <c r="AE57" s="220">
        <f>Database!BG46</f>
        <v/>
      </c>
      <c r="AF57" s="220">
        <f>Database!BM46</f>
        <v/>
      </c>
      <c r="AG57" s="220">
        <f>Database!H46</f>
        <v/>
      </c>
      <c r="AH57" s="220">
        <f>Database!BH46</f>
        <v/>
      </c>
    </row>
    <row r="58">
      <c r="A58" s="220">
        <f>Database!B58</f>
        <v/>
      </c>
      <c r="B58" s="220">
        <f>IF(AND(Screener!$D$8&lt;&gt;"",Database!$E58=Screener!$D$8),1,0)</f>
        <v/>
      </c>
      <c r="C58" s="220">
        <f>IF(AND(Screener!$D$7&lt;&gt;"",Database!$D58=Screener!$D$7),1,0)</f>
        <v/>
      </c>
      <c r="D58" s="220">
        <f>IF(OR(N(Database!$I58)&lt;=0,N(Screener!$D$9)&lt;=0),0,MAX(0,1-ABS(LOG10(N(Database!$I58)/Screener!$D$9))/W_SIZEHW))</f>
        <v/>
      </c>
      <c r="E58" s="220">
        <f>IF(OR(Database!$BG58="",Screener!$D$10=""),0,IF(Database!$BG58=Screener!$D$10,1,0))</f>
        <v/>
      </c>
      <c r="F58" s="220">
        <f>IF(OR(Database!$BM58="",Screener!$D$11=""),0,IF(Database!$BM58=Screener!$D$11,1,0))</f>
        <v/>
      </c>
      <c r="G58" s="220">
        <f>IF(OR(Database!$H58="",N(Screener!$D$12)&lt;=0),0,MAX(0,1-(N(Screener!$D$12)-Database!$H58)/W_RECD))</f>
        <v/>
      </c>
      <c r="H58" s="220">
        <f>IF($U$1="",0,N(ISNUMBER(SEARCH($U$1,Database!$AC58&amp;""))))+IF($V$1="",0,N(ISNUMBER(SEARCH($V$1,Database!$AC58&amp;""))))+IF($W$1="",0,N(ISNUMBER(SEARCH($W$1,Database!$AC58&amp;""))))+IF($X$1="",0,N(ISNUMBER(SEARCH($X$1,Database!$AC58&amp;""))))+IF($Y$1="",0,N(ISNUMBER(SEARCH($Y$1,Database!$AC58&amp;""))))+IF(Screener!$B$17="",0,N(ISNUMBER(SEARCH(LOWER(Screener!$B$17),Database!$AC58&amp;""))))</f>
        <v/>
      </c>
      <c r="I58" s="220">
        <f>IF(OR(N(Database!$BH58)&lt;=0,N(Screener!$D$13)&lt;=0),0,MAX(0,1-ABS(LOG10(N(Database!$BH58)/Screener!$D$13))/W_PEHW))</f>
        <v/>
      </c>
      <c r="J58" s="220">
        <f>IF(OR(N(Database!$S58)&lt;=0,N(Screener!$D$14)&lt;=0),0,MAX(0,1-ABS(LOG10(Database!$S58/Screener!$D$14))/0.6))</f>
        <v/>
      </c>
      <c r="K58" s="220">
        <f>IF(Database!$B58=Screener!$B$5,-999999,IF(ISNUMBER(SEARCH(","&amp;Database!$A58&amp;",",","&amp;SUBSTITUTE(Screener!$D$17," ","")&amp;",")),2000000,IF(IF(OR(Screener!$B$18="All",AND(Screener!$B$18="With A-share",(Database!$BM58="Y")),AND(Screener!$B$18="Without A-share",NOT((Database!$BM58="Y")))),1,0)=0,-999999,IF(Screener!$B$16="cornerstone overlap first",H58*100000,IF(Screener!$B$16="demand-similar first",J58*100000,0))+W_SUB*B58+W_SEC*C58*(1-B58)+W_SIZE*D58+W_PROF*E58+W_AH*F58+W_REC*G58+W_CS*H58+W_PE*I58)))+ROW()/1000000</f>
        <v/>
      </c>
      <c r="AA58" s="220">
        <f>Database!B47</f>
        <v/>
      </c>
      <c r="AB58" s="220">
        <f>Database!D47</f>
        <v/>
      </c>
      <c r="AC58" s="220">
        <f>Database!E47</f>
        <v/>
      </c>
      <c r="AD58" s="220">
        <f>Database!I47</f>
        <v/>
      </c>
      <c r="AE58" s="220">
        <f>Database!BG47</f>
        <v/>
      </c>
      <c r="AF58" s="220">
        <f>Database!BM47</f>
        <v/>
      </c>
      <c r="AG58" s="220">
        <f>Database!H47</f>
        <v/>
      </c>
      <c r="AH58" s="220">
        <f>Database!BH47</f>
        <v/>
      </c>
    </row>
    <row r="59">
      <c r="A59" s="220">
        <f>Database!B59</f>
        <v/>
      </c>
      <c r="B59" s="220">
        <f>IF(AND(Screener!$D$8&lt;&gt;"",Database!$E59=Screener!$D$8),1,0)</f>
        <v/>
      </c>
      <c r="C59" s="220">
        <f>IF(AND(Screener!$D$7&lt;&gt;"",Database!$D59=Screener!$D$7),1,0)</f>
        <v/>
      </c>
      <c r="D59" s="220">
        <f>IF(OR(N(Database!$I59)&lt;=0,N(Screener!$D$9)&lt;=0),0,MAX(0,1-ABS(LOG10(N(Database!$I59)/Screener!$D$9))/W_SIZEHW))</f>
        <v/>
      </c>
      <c r="E59" s="220">
        <f>IF(OR(Database!$BG59="",Screener!$D$10=""),0,IF(Database!$BG59=Screener!$D$10,1,0))</f>
        <v/>
      </c>
      <c r="F59" s="220">
        <f>IF(OR(Database!$BM59="",Screener!$D$11=""),0,IF(Database!$BM59=Screener!$D$11,1,0))</f>
        <v/>
      </c>
      <c r="G59" s="220">
        <f>IF(OR(Database!$H59="",N(Screener!$D$12)&lt;=0),0,MAX(0,1-(N(Screener!$D$12)-Database!$H59)/W_RECD))</f>
        <v/>
      </c>
      <c r="H59" s="220">
        <f>IF($U$1="",0,N(ISNUMBER(SEARCH($U$1,Database!$AC59&amp;""))))+IF($V$1="",0,N(ISNUMBER(SEARCH($V$1,Database!$AC59&amp;""))))+IF($W$1="",0,N(ISNUMBER(SEARCH($W$1,Database!$AC59&amp;""))))+IF($X$1="",0,N(ISNUMBER(SEARCH($X$1,Database!$AC59&amp;""))))+IF($Y$1="",0,N(ISNUMBER(SEARCH($Y$1,Database!$AC59&amp;""))))+IF(Screener!$B$17="",0,N(ISNUMBER(SEARCH(LOWER(Screener!$B$17),Database!$AC59&amp;""))))</f>
        <v/>
      </c>
      <c r="I59" s="220">
        <f>IF(OR(N(Database!$BH59)&lt;=0,N(Screener!$D$13)&lt;=0),0,MAX(0,1-ABS(LOG10(N(Database!$BH59)/Screener!$D$13))/W_PEHW))</f>
        <v/>
      </c>
      <c r="J59" s="220">
        <f>IF(OR(N(Database!$S59)&lt;=0,N(Screener!$D$14)&lt;=0),0,MAX(0,1-ABS(LOG10(Database!$S59/Screener!$D$14))/0.6))</f>
        <v/>
      </c>
      <c r="K59" s="220">
        <f>IF(Database!$B59=Screener!$B$5,-999999,IF(ISNUMBER(SEARCH(","&amp;Database!$A59&amp;",",","&amp;SUBSTITUTE(Screener!$D$17," ","")&amp;",")),2000000,IF(IF(OR(Screener!$B$18="All",AND(Screener!$B$18="With A-share",(Database!$BM59="Y")),AND(Screener!$B$18="Without A-share",NOT((Database!$BM59="Y")))),1,0)=0,-999999,IF(Screener!$B$16="cornerstone overlap first",H59*100000,IF(Screener!$B$16="demand-similar first",J59*100000,0))+W_SUB*B59+W_SEC*C59*(1-B59)+W_SIZE*D59+W_PROF*E59+W_AH*F59+W_REC*G59+W_CS*H59+W_PE*I59)))+ROW()/1000000</f>
        <v/>
      </c>
      <c r="AA59" s="220">
        <f>Database!B48</f>
        <v/>
      </c>
      <c r="AB59" s="220">
        <f>Database!D48</f>
        <v/>
      </c>
      <c r="AC59" s="220">
        <f>Database!E48</f>
        <v/>
      </c>
      <c r="AD59" s="220">
        <f>Database!I48</f>
        <v/>
      </c>
      <c r="AE59" s="220">
        <f>Database!BG48</f>
        <v/>
      </c>
      <c r="AF59" s="220">
        <f>Database!BM48</f>
        <v/>
      </c>
      <c r="AG59" s="220">
        <f>Database!H48</f>
        <v/>
      </c>
      <c r="AH59" s="220">
        <f>Database!BH48</f>
        <v/>
      </c>
    </row>
    <row r="60">
      <c r="A60" s="220">
        <f>Database!B60</f>
        <v/>
      </c>
      <c r="B60" s="220">
        <f>IF(AND(Screener!$D$8&lt;&gt;"",Database!$E60=Screener!$D$8),1,0)</f>
        <v/>
      </c>
      <c r="C60" s="220">
        <f>IF(AND(Screener!$D$7&lt;&gt;"",Database!$D60=Screener!$D$7),1,0)</f>
        <v/>
      </c>
      <c r="D60" s="220">
        <f>IF(OR(N(Database!$I60)&lt;=0,N(Screener!$D$9)&lt;=0),0,MAX(0,1-ABS(LOG10(N(Database!$I60)/Screener!$D$9))/W_SIZEHW))</f>
        <v/>
      </c>
      <c r="E60" s="220">
        <f>IF(OR(Database!$BG60="",Screener!$D$10=""),0,IF(Database!$BG60=Screener!$D$10,1,0))</f>
        <v/>
      </c>
      <c r="F60" s="220">
        <f>IF(OR(Database!$BM60="",Screener!$D$11=""),0,IF(Database!$BM60=Screener!$D$11,1,0))</f>
        <v/>
      </c>
      <c r="G60" s="220">
        <f>IF(OR(Database!$H60="",N(Screener!$D$12)&lt;=0),0,MAX(0,1-(N(Screener!$D$12)-Database!$H60)/W_RECD))</f>
        <v/>
      </c>
      <c r="H60" s="220">
        <f>IF($U$1="",0,N(ISNUMBER(SEARCH($U$1,Database!$AC60&amp;""))))+IF($V$1="",0,N(ISNUMBER(SEARCH($V$1,Database!$AC60&amp;""))))+IF($W$1="",0,N(ISNUMBER(SEARCH($W$1,Database!$AC60&amp;""))))+IF($X$1="",0,N(ISNUMBER(SEARCH($X$1,Database!$AC60&amp;""))))+IF($Y$1="",0,N(ISNUMBER(SEARCH($Y$1,Database!$AC60&amp;""))))+IF(Screener!$B$17="",0,N(ISNUMBER(SEARCH(LOWER(Screener!$B$17),Database!$AC60&amp;""))))</f>
        <v/>
      </c>
      <c r="I60" s="220">
        <f>IF(OR(N(Database!$BH60)&lt;=0,N(Screener!$D$13)&lt;=0),0,MAX(0,1-ABS(LOG10(N(Database!$BH60)/Screener!$D$13))/W_PEHW))</f>
        <v/>
      </c>
      <c r="J60" s="220">
        <f>IF(OR(N(Database!$S60)&lt;=0,N(Screener!$D$14)&lt;=0),0,MAX(0,1-ABS(LOG10(Database!$S60/Screener!$D$14))/0.6))</f>
        <v/>
      </c>
      <c r="K60" s="220">
        <f>IF(Database!$B60=Screener!$B$5,-999999,IF(ISNUMBER(SEARCH(","&amp;Database!$A60&amp;",",","&amp;SUBSTITUTE(Screener!$D$17," ","")&amp;",")),2000000,IF(IF(OR(Screener!$B$18="All",AND(Screener!$B$18="With A-share",(Database!$BM60="Y")),AND(Screener!$B$18="Without A-share",NOT((Database!$BM60="Y")))),1,0)=0,-999999,IF(Screener!$B$16="cornerstone overlap first",H60*100000,IF(Screener!$B$16="demand-similar first",J60*100000,0))+W_SUB*B60+W_SEC*C60*(1-B60)+W_SIZE*D60+W_PROF*E60+W_AH*F60+W_REC*G60+W_CS*H60+W_PE*I60)))+ROW()/1000000</f>
        <v/>
      </c>
      <c r="AA60" s="220">
        <f>Database!B49</f>
        <v/>
      </c>
      <c r="AB60" s="220">
        <f>Database!D49</f>
        <v/>
      </c>
      <c r="AC60" s="220">
        <f>Database!E49</f>
        <v/>
      </c>
      <c r="AD60" s="220">
        <f>Database!I49</f>
        <v/>
      </c>
      <c r="AE60" s="220">
        <f>Database!BG49</f>
        <v/>
      </c>
      <c r="AF60" s="220">
        <f>Database!BM49</f>
        <v/>
      </c>
      <c r="AG60" s="220">
        <f>Database!H49</f>
        <v/>
      </c>
      <c r="AH60" s="220">
        <f>Database!BH49</f>
        <v/>
      </c>
    </row>
    <row r="61">
      <c r="A61" s="220">
        <f>Database!B61</f>
        <v/>
      </c>
      <c r="B61" s="220">
        <f>IF(AND(Screener!$D$8&lt;&gt;"",Database!$E61=Screener!$D$8),1,0)</f>
        <v/>
      </c>
      <c r="C61" s="220">
        <f>IF(AND(Screener!$D$7&lt;&gt;"",Database!$D61=Screener!$D$7),1,0)</f>
        <v/>
      </c>
      <c r="D61" s="220">
        <f>IF(OR(N(Database!$I61)&lt;=0,N(Screener!$D$9)&lt;=0),0,MAX(0,1-ABS(LOG10(N(Database!$I61)/Screener!$D$9))/W_SIZEHW))</f>
        <v/>
      </c>
      <c r="E61" s="220">
        <f>IF(OR(Database!$BG61="",Screener!$D$10=""),0,IF(Database!$BG61=Screener!$D$10,1,0))</f>
        <v/>
      </c>
      <c r="F61" s="220">
        <f>IF(OR(Database!$BM61="",Screener!$D$11=""),0,IF(Database!$BM61=Screener!$D$11,1,0))</f>
        <v/>
      </c>
      <c r="G61" s="220">
        <f>IF(OR(Database!$H61="",N(Screener!$D$12)&lt;=0),0,MAX(0,1-(N(Screener!$D$12)-Database!$H61)/W_RECD))</f>
        <v/>
      </c>
      <c r="H61" s="220">
        <f>IF($U$1="",0,N(ISNUMBER(SEARCH($U$1,Database!$AC61&amp;""))))+IF($V$1="",0,N(ISNUMBER(SEARCH($V$1,Database!$AC61&amp;""))))+IF($W$1="",0,N(ISNUMBER(SEARCH($W$1,Database!$AC61&amp;""))))+IF($X$1="",0,N(ISNUMBER(SEARCH($X$1,Database!$AC61&amp;""))))+IF($Y$1="",0,N(ISNUMBER(SEARCH($Y$1,Database!$AC61&amp;""))))+IF(Screener!$B$17="",0,N(ISNUMBER(SEARCH(LOWER(Screener!$B$17),Database!$AC61&amp;""))))</f>
        <v/>
      </c>
      <c r="I61" s="220">
        <f>IF(OR(N(Database!$BH61)&lt;=0,N(Screener!$D$13)&lt;=0),0,MAX(0,1-ABS(LOG10(N(Database!$BH61)/Screener!$D$13))/W_PEHW))</f>
        <v/>
      </c>
      <c r="J61" s="220">
        <f>IF(OR(N(Database!$S61)&lt;=0,N(Screener!$D$14)&lt;=0),0,MAX(0,1-ABS(LOG10(Database!$S61/Screener!$D$14))/0.6))</f>
        <v/>
      </c>
      <c r="K61" s="220">
        <f>IF(Database!$B61=Screener!$B$5,-999999,IF(ISNUMBER(SEARCH(","&amp;Database!$A61&amp;",",","&amp;SUBSTITUTE(Screener!$D$17," ","")&amp;",")),2000000,IF(IF(OR(Screener!$B$18="All",AND(Screener!$B$18="With A-share",(Database!$BM61="Y")),AND(Screener!$B$18="Without A-share",NOT((Database!$BM61="Y")))),1,0)=0,-999999,IF(Screener!$B$16="cornerstone overlap first",H61*100000,IF(Screener!$B$16="demand-similar first",J61*100000,0))+W_SUB*B61+W_SEC*C61*(1-B61)+W_SIZE*D61+W_PROF*E61+W_AH*F61+W_REC*G61+W_CS*H61+W_PE*I61)))+ROW()/1000000</f>
        <v/>
      </c>
      <c r="AA61" s="220">
        <f>Database!B50</f>
        <v/>
      </c>
      <c r="AB61" s="220">
        <f>Database!D50</f>
        <v/>
      </c>
      <c r="AC61" s="220">
        <f>Database!E50</f>
        <v/>
      </c>
      <c r="AD61" s="220">
        <f>Database!I50</f>
        <v/>
      </c>
      <c r="AE61" s="220">
        <f>Database!BG50</f>
        <v/>
      </c>
      <c r="AF61" s="220">
        <f>Database!BM50</f>
        <v/>
      </c>
      <c r="AG61" s="220">
        <f>Database!H50</f>
        <v/>
      </c>
      <c r="AH61" s="220">
        <f>Database!BH50</f>
        <v/>
      </c>
    </row>
    <row r="62">
      <c r="A62" s="220">
        <f>Database!B62</f>
        <v/>
      </c>
      <c r="B62" s="220">
        <f>IF(AND(Screener!$D$8&lt;&gt;"",Database!$E62=Screener!$D$8),1,0)</f>
        <v/>
      </c>
      <c r="C62" s="220">
        <f>IF(AND(Screener!$D$7&lt;&gt;"",Database!$D62=Screener!$D$7),1,0)</f>
        <v/>
      </c>
      <c r="D62" s="220">
        <f>IF(OR(N(Database!$I62)&lt;=0,N(Screener!$D$9)&lt;=0),0,MAX(0,1-ABS(LOG10(N(Database!$I62)/Screener!$D$9))/W_SIZEHW))</f>
        <v/>
      </c>
      <c r="E62" s="220">
        <f>IF(OR(Database!$BG62="",Screener!$D$10=""),0,IF(Database!$BG62=Screener!$D$10,1,0))</f>
        <v/>
      </c>
      <c r="F62" s="220">
        <f>IF(OR(Database!$BM62="",Screener!$D$11=""),0,IF(Database!$BM62=Screener!$D$11,1,0))</f>
        <v/>
      </c>
      <c r="G62" s="220">
        <f>IF(OR(Database!$H62="",N(Screener!$D$12)&lt;=0),0,MAX(0,1-(N(Screener!$D$12)-Database!$H62)/W_RECD))</f>
        <v/>
      </c>
      <c r="H62" s="220">
        <f>IF($U$1="",0,N(ISNUMBER(SEARCH($U$1,Database!$AC62&amp;""))))+IF($V$1="",0,N(ISNUMBER(SEARCH($V$1,Database!$AC62&amp;""))))+IF($W$1="",0,N(ISNUMBER(SEARCH($W$1,Database!$AC62&amp;""))))+IF($X$1="",0,N(ISNUMBER(SEARCH($X$1,Database!$AC62&amp;""))))+IF($Y$1="",0,N(ISNUMBER(SEARCH($Y$1,Database!$AC62&amp;""))))+IF(Screener!$B$17="",0,N(ISNUMBER(SEARCH(LOWER(Screener!$B$17),Database!$AC62&amp;""))))</f>
        <v/>
      </c>
      <c r="I62" s="220">
        <f>IF(OR(N(Database!$BH62)&lt;=0,N(Screener!$D$13)&lt;=0),0,MAX(0,1-ABS(LOG10(N(Database!$BH62)/Screener!$D$13))/W_PEHW))</f>
        <v/>
      </c>
      <c r="J62" s="220">
        <f>IF(OR(N(Database!$S62)&lt;=0,N(Screener!$D$14)&lt;=0),0,MAX(0,1-ABS(LOG10(Database!$S62/Screener!$D$14))/0.6))</f>
        <v/>
      </c>
      <c r="K62" s="220">
        <f>IF(Database!$B62=Screener!$B$5,-999999,IF(ISNUMBER(SEARCH(","&amp;Database!$A62&amp;",",","&amp;SUBSTITUTE(Screener!$D$17," ","")&amp;",")),2000000,IF(IF(OR(Screener!$B$18="All",AND(Screener!$B$18="With A-share",(Database!$BM62="Y")),AND(Screener!$B$18="Without A-share",NOT((Database!$BM62="Y")))),1,0)=0,-999999,IF(Screener!$B$16="cornerstone overlap first",H62*100000,IF(Screener!$B$16="demand-similar first",J62*100000,0))+W_SUB*B62+W_SEC*C62*(1-B62)+W_SIZE*D62+W_PROF*E62+W_AH*F62+W_REC*G62+W_CS*H62+W_PE*I62)))+ROW()/1000000</f>
        <v/>
      </c>
      <c r="AA62" s="220">
        <f>Database!B51</f>
        <v/>
      </c>
      <c r="AB62" s="220">
        <f>Database!D51</f>
        <v/>
      </c>
      <c r="AC62" s="220">
        <f>Database!E51</f>
        <v/>
      </c>
      <c r="AD62" s="220">
        <f>Database!I51</f>
        <v/>
      </c>
      <c r="AE62" s="220">
        <f>Database!BG51</f>
        <v/>
      </c>
      <c r="AF62" s="220">
        <f>Database!BM51</f>
        <v/>
      </c>
      <c r="AG62" s="220">
        <f>Database!H51</f>
        <v/>
      </c>
      <c r="AH62" s="220">
        <f>Database!BH51</f>
        <v/>
      </c>
    </row>
    <row r="63">
      <c r="A63" s="220">
        <f>Database!B63</f>
        <v/>
      </c>
      <c r="B63" s="220">
        <f>IF(AND(Screener!$D$8&lt;&gt;"",Database!$E63=Screener!$D$8),1,0)</f>
        <v/>
      </c>
      <c r="C63" s="220">
        <f>IF(AND(Screener!$D$7&lt;&gt;"",Database!$D63=Screener!$D$7),1,0)</f>
        <v/>
      </c>
      <c r="D63" s="220">
        <f>IF(OR(N(Database!$I63)&lt;=0,N(Screener!$D$9)&lt;=0),0,MAX(0,1-ABS(LOG10(N(Database!$I63)/Screener!$D$9))/W_SIZEHW))</f>
        <v/>
      </c>
      <c r="E63" s="220">
        <f>IF(OR(Database!$BG63="",Screener!$D$10=""),0,IF(Database!$BG63=Screener!$D$10,1,0))</f>
        <v/>
      </c>
      <c r="F63" s="220">
        <f>IF(OR(Database!$BM63="",Screener!$D$11=""),0,IF(Database!$BM63=Screener!$D$11,1,0))</f>
        <v/>
      </c>
      <c r="G63" s="220">
        <f>IF(OR(Database!$H63="",N(Screener!$D$12)&lt;=0),0,MAX(0,1-(N(Screener!$D$12)-Database!$H63)/W_RECD))</f>
        <v/>
      </c>
      <c r="H63" s="220">
        <f>IF($U$1="",0,N(ISNUMBER(SEARCH($U$1,Database!$AC63&amp;""))))+IF($V$1="",0,N(ISNUMBER(SEARCH($V$1,Database!$AC63&amp;""))))+IF($W$1="",0,N(ISNUMBER(SEARCH($W$1,Database!$AC63&amp;""))))+IF($X$1="",0,N(ISNUMBER(SEARCH($X$1,Database!$AC63&amp;""))))+IF($Y$1="",0,N(ISNUMBER(SEARCH($Y$1,Database!$AC63&amp;""))))+IF(Screener!$B$17="",0,N(ISNUMBER(SEARCH(LOWER(Screener!$B$17),Database!$AC63&amp;""))))</f>
        <v/>
      </c>
      <c r="I63" s="220">
        <f>IF(OR(N(Database!$BH63)&lt;=0,N(Screener!$D$13)&lt;=0),0,MAX(0,1-ABS(LOG10(N(Database!$BH63)/Screener!$D$13))/W_PEHW))</f>
        <v/>
      </c>
      <c r="J63" s="220">
        <f>IF(OR(N(Database!$S63)&lt;=0,N(Screener!$D$14)&lt;=0),0,MAX(0,1-ABS(LOG10(Database!$S63/Screener!$D$14))/0.6))</f>
        <v/>
      </c>
      <c r="K63" s="220">
        <f>IF(Database!$B63=Screener!$B$5,-999999,IF(ISNUMBER(SEARCH(","&amp;Database!$A63&amp;",",","&amp;SUBSTITUTE(Screener!$D$17," ","")&amp;",")),2000000,IF(IF(OR(Screener!$B$18="All",AND(Screener!$B$18="With A-share",(Database!$BM63="Y")),AND(Screener!$B$18="Without A-share",NOT((Database!$BM63="Y")))),1,0)=0,-999999,IF(Screener!$B$16="cornerstone overlap first",H63*100000,IF(Screener!$B$16="demand-similar first",J63*100000,0))+W_SUB*B63+W_SEC*C63*(1-B63)+W_SIZE*D63+W_PROF*E63+W_AH*F63+W_REC*G63+W_CS*H63+W_PE*I63)))+ROW()/1000000</f>
        <v/>
      </c>
      <c r="AA63" s="220">
        <f>Database!B52</f>
        <v/>
      </c>
      <c r="AB63" s="220">
        <f>Database!D52</f>
        <v/>
      </c>
      <c r="AC63" s="220">
        <f>Database!E52</f>
        <v/>
      </c>
      <c r="AD63" s="220">
        <f>Database!I52</f>
        <v/>
      </c>
      <c r="AE63" s="220">
        <f>Database!BG52</f>
        <v/>
      </c>
      <c r="AF63" s="220">
        <f>Database!BM52</f>
        <v/>
      </c>
      <c r="AG63" s="220">
        <f>Database!H52</f>
        <v/>
      </c>
      <c r="AH63" s="220">
        <f>Database!BH52</f>
        <v/>
      </c>
    </row>
    <row r="64">
      <c r="A64" s="220">
        <f>Database!B64</f>
        <v/>
      </c>
      <c r="B64" s="220">
        <f>IF(AND(Screener!$D$8&lt;&gt;"",Database!$E64=Screener!$D$8),1,0)</f>
        <v/>
      </c>
      <c r="C64" s="220">
        <f>IF(AND(Screener!$D$7&lt;&gt;"",Database!$D64=Screener!$D$7),1,0)</f>
        <v/>
      </c>
      <c r="D64" s="220">
        <f>IF(OR(N(Database!$I64)&lt;=0,N(Screener!$D$9)&lt;=0),0,MAX(0,1-ABS(LOG10(N(Database!$I64)/Screener!$D$9))/W_SIZEHW))</f>
        <v/>
      </c>
      <c r="E64" s="220">
        <f>IF(OR(Database!$BG64="",Screener!$D$10=""),0,IF(Database!$BG64=Screener!$D$10,1,0))</f>
        <v/>
      </c>
      <c r="F64" s="220">
        <f>IF(OR(Database!$BM64="",Screener!$D$11=""),0,IF(Database!$BM64=Screener!$D$11,1,0))</f>
        <v/>
      </c>
      <c r="G64" s="220">
        <f>IF(OR(Database!$H64="",N(Screener!$D$12)&lt;=0),0,MAX(0,1-(N(Screener!$D$12)-Database!$H64)/W_RECD))</f>
        <v/>
      </c>
      <c r="H64" s="220">
        <f>IF($U$1="",0,N(ISNUMBER(SEARCH($U$1,Database!$AC64&amp;""))))+IF($V$1="",0,N(ISNUMBER(SEARCH($V$1,Database!$AC64&amp;""))))+IF($W$1="",0,N(ISNUMBER(SEARCH($W$1,Database!$AC64&amp;""))))+IF($X$1="",0,N(ISNUMBER(SEARCH($X$1,Database!$AC64&amp;""))))+IF($Y$1="",0,N(ISNUMBER(SEARCH($Y$1,Database!$AC64&amp;""))))+IF(Screener!$B$17="",0,N(ISNUMBER(SEARCH(LOWER(Screener!$B$17),Database!$AC64&amp;""))))</f>
        <v/>
      </c>
      <c r="I64" s="220">
        <f>IF(OR(N(Database!$BH64)&lt;=0,N(Screener!$D$13)&lt;=0),0,MAX(0,1-ABS(LOG10(N(Database!$BH64)/Screener!$D$13))/W_PEHW))</f>
        <v/>
      </c>
      <c r="J64" s="220">
        <f>IF(OR(N(Database!$S64)&lt;=0,N(Screener!$D$14)&lt;=0),0,MAX(0,1-ABS(LOG10(Database!$S64/Screener!$D$14))/0.6))</f>
        <v/>
      </c>
      <c r="K64" s="220">
        <f>IF(Database!$B64=Screener!$B$5,-999999,IF(ISNUMBER(SEARCH(","&amp;Database!$A64&amp;",",","&amp;SUBSTITUTE(Screener!$D$17," ","")&amp;",")),2000000,IF(IF(OR(Screener!$B$18="All",AND(Screener!$B$18="With A-share",(Database!$BM64="Y")),AND(Screener!$B$18="Without A-share",NOT((Database!$BM64="Y")))),1,0)=0,-999999,IF(Screener!$B$16="cornerstone overlap first",H64*100000,IF(Screener!$B$16="demand-similar first",J64*100000,0))+W_SUB*B64+W_SEC*C64*(1-B64)+W_SIZE*D64+W_PROF*E64+W_AH*F64+W_REC*G64+W_CS*H64+W_PE*I64)))+ROW()/1000000</f>
        <v/>
      </c>
      <c r="AA64" s="220">
        <f>Database!B53</f>
        <v/>
      </c>
      <c r="AB64" s="220">
        <f>Database!D53</f>
        <v/>
      </c>
      <c r="AC64" s="220">
        <f>Database!E53</f>
        <v/>
      </c>
      <c r="AD64" s="220">
        <f>Database!I53</f>
        <v/>
      </c>
      <c r="AE64" s="220">
        <f>Database!BG53</f>
        <v/>
      </c>
      <c r="AF64" s="220">
        <f>Database!BM53</f>
        <v/>
      </c>
      <c r="AG64" s="220">
        <f>Database!H53</f>
        <v/>
      </c>
      <c r="AH64" s="220">
        <f>Database!BH53</f>
        <v/>
      </c>
    </row>
    <row r="65">
      <c r="A65" s="220">
        <f>Database!B65</f>
        <v/>
      </c>
      <c r="B65" s="220">
        <f>IF(AND(Screener!$D$8&lt;&gt;"",Database!$E65=Screener!$D$8),1,0)</f>
        <v/>
      </c>
      <c r="C65" s="220">
        <f>IF(AND(Screener!$D$7&lt;&gt;"",Database!$D65=Screener!$D$7),1,0)</f>
        <v/>
      </c>
      <c r="D65" s="220">
        <f>IF(OR(N(Database!$I65)&lt;=0,N(Screener!$D$9)&lt;=0),0,MAX(0,1-ABS(LOG10(N(Database!$I65)/Screener!$D$9))/W_SIZEHW))</f>
        <v/>
      </c>
      <c r="E65" s="220">
        <f>IF(OR(Database!$BG65="",Screener!$D$10=""),0,IF(Database!$BG65=Screener!$D$10,1,0))</f>
        <v/>
      </c>
      <c r="F65" s="220">
        <f>IF(OR(Database!$BM65="",Screener!$D$11=""),0,IF(Database!$BM65=Screener!$D$11,1,0))</f>
        <v/>
      </c>
      <c r="G65" s="220">
        <f>IF(OR(Database!$H65="",N(Screener!$D$12)&lt;=0),0,MAX(0,1-(N(Screener!$D$12)-Database!$H65)/W_RECD))</f>
        <v/>
      </c>
      <c r="H65" s="220">
        <f>IF($U$1="",0,N(ISNUMBER(SEARCH($U$1,Database!$AC65&amp;""))))+IF($V$1="",0,N(ISNUMBER(SEARCH($V$1,Database!$AC65&amp;""))))+IF($W$1="",0,N(ISNUMBER(SEARCH($W$1,Database!$AC65&amp;""))))+IF($X$1="",0,N(ISNUMBER(SEARCH($X$1,Database!$AC65&amp;""))))+IF($Y$1="",0,N(ISNUMBER(SEARCH($Y$1,Database!$AC65&amp;""))))+IF(Screener!$B$17="",0,N(ISNUMBER(SEARCH(LOWER(Screener!$B$17),Database!$AC65&amp;""))))</f>
        <v/>
      </c>
      <c r="I65" s="220">
        <f>IF(OR(N(Database!$BH65)&lt;=0,N(Screener!$D$13)&lt;=0),0,MAX(0,1-ABS(LOG10(N(Database!$BH65)/Screener!$D$13))/W_PEHW))</f>
        <v/>
      </c>
      <c r="J65" s="220">
        <f>IF(OR(N(Database!$S65)&lt;=0,N(Screener!$D$14)&lt;=0),0,MAX(0,1-ABS(LOG10(Database!$S65/Screener!$D$14))/0.6))</f>
        <v/>
      </c>
      <c r="K65" s="220">
        <f>IF(Database!$B65=Screener!$B$5,-999999,IF(ISNUMBER(SEARCH(","&amp;Database!$A65&amp;",",","&amp;SUBSTITUTE(Screener!$D$17," ","")&amp;",")),2000000,IF(IF(OR(Screener!$B$18="All",AND(Screener!$B$18="With A-share",(Database!$BM65="Y")),AND(Screener!$B$18="Without A-share",NOT((Database!$BM65="Y")))),1,0)=0,-999999,IF(Screener!$B$16="cornerstone overlap first",H65*100000,IF(Screener!$B$16="demand-similar first",J65*100000,0))+W_SUB*B65+W_SEC*C65*(1-B65)+W_SIZE*D65+W_PROF*E65+W_AH*F65+W_REC*G65+W_CS*H65+W_PE*I65)))+ROW()/1000000</f>
        <v/>
      </c>
      <c r="AA65" s="220">
        <f>Database!B54</f>
        <v/>
      </c>
      <c r="AB65" s="220">
        <f>Database!D54</f>
        <v/>
      </c>
      <c r="AC65" s="220">
        <f>Database!E54</f>
        <v/>
      </c>
      <c r="AD65" s="220">
        <f>Database!I54</f>
        <v/>
      </c>
      <c r="AE65" s="220">
        <f>Database!BG54</f>
        <v/>
      </c>
      <c r="AF65" s="220">
        <f>Database!BM54</f>
        <v/>
      </c>
      <c r="AG65" s="220">
        <f>Database!H54</f>
        <v/>
      </c>
      <c r="AH65" s="220">
        <f>Database!BH54</f>
        <v/>
      </c>
    </row>
    <row r="66">
      <c r="A66" s="220">
        <f>Database!B66</f>
        <v/>
      </c>
      <c r="B66" s="220">
        <f>IF(AND(Screener!$D$8&lt;&gt;"",Database!$E66=Screener!$D$8),1,0)</f>
        <v/>
      </c>
      <c r="C66" s="220">
        <f>IF(AND(Screener!$D$7&lt;&gt;"",Database!$D66=Screener!$D$7),1,0)</f>
        <v/>
      </c>
      <c r="D66" s="220">
        <f>IF(OR(N(Database!$I66)&lt;=0,N(Screener!$D$9)&lt;=0),0,MAX(0,1-ABS(LOG10(N(Database!$I66)/Screener!$D$9))/W_SIZEHW))</f>
        <v/>
      </c>
      <c r="E66" s="220">
        <f>IF(OR(Database!$BG66="",Screener!$D$10=""),0,IF(Database!$BG66=Screener!$D$10,1,0))</f>
        <v/>
      </c>
      <c r="F66" s="220">
        <f>IF(OR(Database!$BM66="",Screener!$D$11=""),0,IF(Database!$BM66=Screener!$D$11,1,0))</f>
        <v/>
      </c>
      <c r="G66" s="220">
        <f>IF(OR(Database!$H66="",N(Screener!$D$12)&lt;=0),0,MAX(0,1-(N(Screener!$D$12)-Database!$H66)/W_RECD))</f>
        <v/>
      </c>
      <c r="H66" s="220">
        <f>IF($U$1="",0,N(ISNUMBER(SEARCH($U$1,Database!$AC66&amp;""))))+IF($V$1="",0,N(ISNUMBER(SEARCH($V$1,Database!$AC66&amp;""))))+IF($W$1="",0,N(ISNUMBER(SEARCH($W$1,Database!$AC66&amp;""))))+IF($X$1="",0,N(ISNUMBER(SEARCH($X$1,Database!$AC66&amp;""))))+IF($Y$1="",0,N(ISNUMBER(SEARCH($Y$1,Database!$AC66&amp;""))))+IF(Screener!$B$17="",0,N(ISNUMBER(SEARCH(LOWER(Screener!$B$17),Database!$AC66&amp;""))))</f>
        <v/>
      </c>
      <c r="I66" s="220">
        <f>IF(OR(N(Database!$BH66)&lt;=0,N(Screener!$D$13)&lt;=0),0,MAX(0,1-ABS(LOG10(N(Database!$BH66)/Screener!$D$13))/W_PEHW))</f>
        <v/>
      </c>
      <c r="J66" s="220">
        <f>IF(OR(N(Database!$S66)&lt;=0,N(Screener!$D$14)&lt;=0),0,MAX(0,1-ABS(LOG10(Database!$S66/Screener!$D$14))/0.6))</f>
        <v/>
      </c>
      <c r="K66" s="220">
        <f>IF(Database!$B66=Screener!$B$5,-999999,IF(ISNUMBER(SEARCH(","&amp;Database!$A66&amp;",",","&amp;SUBSTITUTE(Screener!$D$17," ","")&amp;",")),2000000,IF(IF(OR(Screener!$B$18="All",AND(Screener!$B$18="With A-share",(Database!$BM66="Y")),AND(Screener!$B$18="Without A-share",NOT((Database!$BM66="Y")))),1,0)=0,-999999,IF(Screener!$B$16="cornerstone overlap first",H66*100000,IF(Screener!$B$16="demand-similar first",J66*100000,0))+W_SUB*B66+W_SEC*C66*(1-B66)+W_SIZE*D66+W_PROF*E66+W_AH*F66+W_REC*G66+W_CS*H66+W_PE*I66)))+ROW()/1000000</f>
        <v/>
      </c>
      <c r="AA66" s="220">
        <f>Database!B55</f>
        <v/>
      </c>
      <c r="AB66" s="220">
        <f>Database!D55</f>
        <v/>
      </c>
      <c r="AC66" s="220">
        <f>Database!E55</f>
        <v/>
      </c>
      <c r="AD66" s="220">
        <f>Database!I55</f>
        <v/>
      </c>
      <c r="AE66" s="220">
        <f>Database!BG55</f>
        <v/>
      </c>
      <c r="AF66" s="220">
        <f>Database!BM55</f>
        <v/>
      </c>
      <c r="AG66" s="220">
        <f>Database!H55</f>
        <v/>
      </c>
      <c r="AH66" s="220">
        <f>Database!BH55</f>
        <v/>
      </c>
    </row>
    <row r="67">
      <c r="A67" s="220">
        <f>Database!B67</f>
        <v/>
      </c>
      <c r="B67" s="220">
        <f>IF(AND(Screener!$D$8&lt;&gt;"",Database!$E67=Screener!$D$8),1,0)</f>
        <v/>
      </c>
      <c r="C67" s="220">
        <f>IF(AND(Screener!$D$7&lt;&gt;"",Database!$D67=Screener!$D$7),1,0)</f>
        <v/>
      </c>
      <c r="D67" s="220">
        <f>IF(OR(N(Database!$I67)&lt;=0,N(Screener!$D$9)&lt;=0),0,MAX(0,1-ABS(LOG10(N(Database!$I67)/Screener!$D$9))/W_SIZEHW))</f>
        <v/>
      </c>
      <c r="E67" s="220">
        <f>IF(OR(Database!$BG67="",Screener!$D$10=""),0,IF(Database!$BG67=Screener!$D$10,1,0))</f>
        <v/>
      </c>
      <c r="F67" s="220">
        <f>IF(OR(Database!$BM67="",Screener!$D$11=""),0,IF(Database!$BM67=Screener!$D$11,1,0))</f>
        <v/>
      </c>
      <c r="G67" s="220">
        <f>IF(OR(Database!$H67="",N(Screener!$D$12)&lt;=0),0,MAX(0,1-(N(Screener!$D$12)-Database!$H67)/W_RECD))</f>
        <v/>
      </c>
      <c r="H67" s="220">
        <f>IF($U$1="",0,N(ISNUMBER(SEARCH($U$1,Database!$AC67&amp;""))))+IF($V$1="",0,N(ISNUMBER(SEARCH($V$1,Database!$AC67&amp;""))))+IF($W$1="",0,N(ISNUMBER(SEARCH($W$1,Database!$AC67&amp;""))))+IF($X$1="",0,N(ISNUMBER(SEARCH($X$1,Database!$AC67&amp;""))))+IF($Y$1="",0,N(ISNUMBER(SEARCH($Y$1,Database!$AC67&amp;""))))+IF(Screener!$B$17="",0,N(ISNUMBER(SEARCH(LOWER(Screener!$B$17),Database!$AC67&amp;""))))</f>
        <v/>
      </c>
      <c r="I67" s="220">
        <f>IF(OR(N(Database!$BH67)&lt;=0,N(Screener!$D$13)&lt;=0),0,MAX(0,1-ABS(LOG10(N(Database!$BH67)/Screener!$D$13))/W_PEHW))</f>
        <v/>
      </c>
      <c r="J67" s="220">
        <f>IF(OR(N(Database!$S67)&lt;=0,N(Screener!$D$14)&lt;=0),0,MAX(0,1-ABS(LOG10(Database!$S67/Screener!$D$14))/0.6))</f>
        <v/>
      </c>
      <c r="K67" s="220">
        <f>IF(Database!$B67=Screener!$B$5,-999999,IF(ISNUMBER(SEARCH(","&amp;Database!$A67&amp;",",","&amp;SUBSTITUTE(Screener!$D$17," ","")&amp;",")),2000000,IF(IF(OR(Screener!$B$18="All",AND(Screener!$B$18="With A-share",(Database!$BM67="Y")),AND(Screener!$B$18="Without A-share",NOT((Database!$BM67="Y")))),1,0)=0,-999999,IF(Screener!$B$16="cornerstone overlap first",H67*100000,IF(Screener!$B$16="demand-similar first",J67*100000,0))+W_SUB*B67+W_SEC*C67*(1-B67)+W_SIZE*D67+W_PROF*E67+W_AH*F67+W_REC*G67+W_CS*H67+W_PE*I67)))+ROW()/1000000</f>
        <v/>
      </c>
      <c r="AA67" s="220">
        <f>Database!B56</f>
        <v/>
      </c>
      <c r="AB67" s="220">
        <f>Database!D56</f>
        <v/>
      </c>
      <c r="AC67" s="220">
        <f>Database!E56</f>
        <v/>
      </c>
      <c r="AD67" s="220">
        <f>Database!I56</f>
        <v/>
      </c>
      <c r="AE67" s="220">
        <f>Database!BG56</f>
        <v/>
      </c>
      <c r="AF67" s="220">
        <f>Database!BM56</f>
        <v/>
      </c>
      <c r="AG67" s="220">
        <f>Database!H56</f>
        <v/>
      </c>
      <c r="AH67" s="220">
        <f>Database!BH56</f>
        <v/>
      </c>
    </row>
    <row r="68">
      <c r="A68" s="220">
        <f>Database!B68</f>
        <v/>
      </c>
      <c r="B68" s="220">
        <f>IF(AND(Screener!$D$8&lt;&gt;"",Database!$E68=Screener!$D$8),1,0)</f>
        <v/>
      </c>
      <c r="C68" s="220">
        <f>IF(AND(Screener!$D$7&lt;&gt;"",Database!$D68=Screener!$D$7),1,0)</f>
        <v/>
      </c>
      <c r="D68" s="220">
        <f>IF(OR(N(Database!$I68)&lt;=0,N(Screener!$D$9)&lt;=0),0,MAX(0,1-ABS(LOG10(N(Database!$I68)/Screener!$D$9))/W_SIZEHW))</f>
        <v/>
      </c>
      <c r="E68" s="220">
        <f>IF(OR(Database!$BG68="",Screener!$D$10=""),0,IF(Database!$BG68=Screener!$D$10,1,0))</f>
        <v/>
      </c>
      <c r="F68" s="220">
        <f>IF(OR(Database!$BM68="",Screener!$D$11=""),0,IF(Database!$BM68=Screener!$D$11,1,0))</f>
        <v/>
      </c>
      <c r="G68" s="220">
        <f>IF(OR(Database!$H68="",N(Screener!$D$12)&lt;=0),0,MAX(0,1-(N(Screener!$D$12)-Database!$H68)/W_RECD))</f>
        <v/>
      </c>
      <c r="H68" s="220">
        <f>IF($U$1="",0,N(ISNUMBER(SEARCH($U$1,Database!$AC68&amp;""))))+IF($V$1="",0,N(ISNUMBER(SEARCH($V$1,Database!$AC68&amp;""))))+IF($W$1="",0,N(ISNUMBER(SEARCH($W$1,Database!$AC68&amp;""))))+IF($X$1="",0,N(ISNUMBER(SEARCH($X$1,Database!$AC68&amp;""))))+IF($Y$1="",0,N(ISNUMBER(SEARCH($Y$1,Database!$AC68&amp;""))))+IF(Screener!$B$17="",0,N(ISNUMBER(SEARCH(LOWER(Screener!$B$17),Database!$AC68&amp;""))))</f>
        <v/>
      </c>
      <c r="I68" s="220">
        <f>IF(OR(N(Database!$BH68)&lt;=0,N(Screener!$D$13)&lt;=0),0,MAX(0,1-ABS(LOG10(N(Database!$BH68)/Screener!$D$13))/W_PEHW))</f>
        <v/>
      </c>
      <c r="J68" s="220">
        <f>IF(OR(N(Database!$S68)&lt;=0,N(Screener!$D$14)&lt;=0),0,MAX(0,1-ABS(LOG10(Database!$S68/Screener!$D$14))/0.6))</f>
        <v/>
      </c>
      <c r="K68" s="220">
        <f>IF(Database!$B68=Screener!$B$5,-999999,IF(ISNUMBER(SEARCH(","&amp;Database!$A68&amp;",",","&amp;SUBSTITUTE(Screener!$D$17," ","")&amp;",")),2000000,IF(IF(OR(Screener!$B$18="All",AND(Screener!$B$18="With A-share",(Database!$BM68="Y")),AND(Screener!$B$18="Without A-share",NOT((Database!$BM68="Y")))),1,0)=0,-999999,IF(Screener!$B$16="cornerstone overlap first",H68*100000,IF(Screener!$B$16="demand-similar first",J68*100000,0))+W_SUB*B68+W_SEC*C68*(1-B68)+W_SIZE*D68+W_PROF*E68+W_AH*F68+W_REC*G68+W_CS*H68+W_PE*I68)))+ROW()/1000000</f>
        <v/>
      </c>
      <c r="AA68" s="220">
        <f>Database!B57</f>
        <v/>
      </c>
      <c r="AB68" s="220">
        <f>Database!D57</f>
        <v/>
      </c>
      <c r="AC68" s="220">
        <f>Database!E57</f>
        <v/>
      </c>
      <c r="AD68" s="220">
        <f>Database!I57</f>
        <v/>
      </c>
      <c r="AE68" s="220">
        <f>Database!BG57</f>
        <v/>
      </c>
      <c r="AF68" s="220">
        <f>Database!BM57</f>
        <v/>
      </c>
      <c r="AG68" s="220">
        <f>Database!H57</f>
        <v/>
      </c>
      <c r="AH68" s="220">
        <f>Database!BH57</f>
        <v/>
      </c>
    </row>
    <row r="69">
      <c r="A69" s="220">
        <f>Database!B69</f>
        <v/>
      </c>
      <c r="B69" s="220">
        <f>IF(AND(Screener!$D$8&lt;&gt;"",Database!$E69=Screener!$D$8),1,0)</f>
        <v/>
      </c>
      <c r="C69" s="220">
        <f>IF(AND(Screener!$D$7&lt;&gt;"",Database!$D69=Screener!$D$7),1,0)</f>
        <v/>
      </c>
      <c r="D69" s="220">
        <f>IF(OR(N(Database!$I69)&lt;=0,N(Screener!$D$9)&lt;=0),0,MAX(0,1-ABS(LOG10(N(Database!$I69)/Screener!$D$9))/W_SIZEHW))</f>
        <v/>
      </c>
      <c r="E69" s="220">
        <f>IF(OR(Database!$BG69="",Screener!$D$10=""),0,IF(Database!$BG69=Screener!$D$10,1,0))</f>
        <v/>
      </c>
      <c r="F69" s="220">
        <f>IF(OR(Database!$BM69="",Screener!$D$11=""),0,IF(Database!$BM69=Screener!$D$11,1,0))</f>
        <v/>
      </c>
      <c r="G69" s="220">
        <f>IF(OR(Database!$H69="",N(Screener!$D$12)&lt;=0),0,MAX(0,1-(N(Screener!$D$12)-Database!$H69)/W_RECD))</f>
        <v/>
      </c>
      <c r="H69" s="220">
        <f>IF($U$1="",0,N(ISNUMBER(SEARCH($U$1,Database!$AC69&amp;""))))+IF($V$1="",0,N(ISNUMBER(SEARCH($V$1,Database!$AC69&amp;""))))+IF($W$1="",0,N(ISNUMBER(SEARCH($W$1,Database!$AC69&amp;""))))+IF($X$1="",0,N(ISNUMBER(SEARCH($X$1,Database!$AC69&amp;""))))+IF($Y$1="",0,N(ISNUMBER(SEARCH($Y$1,Database!$AC69&amp;""))))+IF(Screener!$B$17="",0,N(ISNUMBER(SEARCH(LOWER(Screener!$B$17),Database!$AC69&amp;""))))</f>
        <v/>
      </c>
      <c r="I69" s="220">
        <f>IF(OR(N(Database!$BH69)&lt;=0,N(Screener!$D$13)&lt;=0),0,MAX(0,1-ABS(LOG10(N(Database!$BH69)/Screener!$D$13))/W_PEHW))</f>
        <v/>
      </c>
      <c r="J69" s="220">
        <f>IF(OR(N(Database!$S69)&lt;=0,N(Screener!$D$14)&lt;=0),0,MAX(0,1-ABS(LOG10(Database!$S69/Screener!$D$14))/0.6))</f>
        <v/>
      </c>
      <c r="K69" s="220">
        <f>IF(Database!$B69=Screener!$B$5,-999999,IF(ISNUMBER(SEARCH(","&amp;Database!$A69&amp;",",","&amp;SUBSTITUTE(Screener!$D$17," ","")&amp;",")),2000000,IF(IF(OR(Screener!$B$18="All",AND(Screener!$B$18="With A-share",(Database!$BM69="Y")),AND(Screener!$B$18="Without A-share",NOT((Database!$BM69="Y")))),1,0)=0,-999999,IF(Screener!$B$16="cornerstone overlap first",H69*100000,IF(Screener!$B$16="demand-similar first",J69*100000,0))+W_SUB*B69+W_SEC*C69*(1-B69)+W_SIZE*D69+W_PROF*E69+W_AH*F69+W_REC*G69+W_CS*H69+W_PE*I69)))+ROW()/1000000</f>
        <v/>
      </c>
      <c r="AA69" s="220">
        <f>Database!B58</f>
        <v/>
      </c>
      <c r="AB69" s="220">
        <f>Database!D58</f>
        <v/>
      </c>
      <c r="AC69" s="220">
        <f>Database!E58</f>
        <v/>
      </c>
      <c r="AD69" s="220">
        <f>Database!I58</f>
        <v/>
      </c>
      <c r="AE69" s="220">
        <f>Database!BG58</f>
        <v/>
      </c>
      <c r="AF69" s="220">
        <f>Database!BM58</f>
        <v/>
      </c>
      <c r="AG69" s="220">
        <f>Database!H58</f>
        <v/>
      </c>
      <c r="AH69" s="220">
        <f>Database!BH58</f>
        <v/>
      </c>
    </row>
    <row r="70">
      <c r="A70" s="220">
        <f>Database!B70</f>
        <v/>
      </c>
      <c r="B70" s="220">
        <f>IF(AND(Screener!$D$8&lt;&gt;"",Database!$E70=Screener!$D$8),1,0)</f>
        <v/>
      </c>
      <c r="C70" s="220">
        <f>IF(AND(Screener!$D$7&lt;&gt;"",Database!$D70=Screener!$D$7),1,0)</f>
        <v/>
      </c>
      <c r="D70" s="220">
        <f>IF(OR(N(Database!$I70)&lt;=0,N(Screener!$D$9)&lt;=0),0,MAX(0,1-ABS(LOG10(N(Database!$I70)/Screener!$D$9))/W_SIZEHW))</f>
        <v/>
      </c>
      <c r="E70" s="220">
        <f>IF(OR(Database!$BG70="",Screener!$D$10=""),0,IF(Database!$BG70=Screener!$D$10,1,0))</f>
        <v/>
      </c>
      <c r="F70" s="220">
        <f>IF(OR(Database!$BM70="",Screener!$D$11=""),0,IF(Database!$BM70=Screener!$D$11,1,0))</f>
        <v/>
      </c>
      <c r="G70" s="220">
        <f>IF(OR(Database!$H70="",N(Screener!$D$12)&lt;=0),0,MAX(0,1-(N(Screener!$D$12)-Database!$H70)/W_RECD))</f>
        <v/>
      </c>
      <c r="H70" s="220">
        <f>IF($U$1="",0,N(ISNUMBER(SEARCH($U$1,Database!$AC70&amp;""))))+IF($V$1="",0,N(ISNUMBER(SEARCH($V$1,Database!$AC70&amp;""))))+IF($W$1="",0,N(ISNUMBER(SEARCH($W$1,Database!$AC70&amp;""))))+IF($X$1="",0,N(ISNUMBER(SEARCH($X$1,Database!$AC70&amp;""))))+IF($Y$1="",0,N(ISNUMBER(SEARCH($Y$1,Database!$AC70&amp;""))))+IF(Screener!$B$17="",0,N(ISNUMBER(SEARCH(LOWER(Screener!$B$17),Database!$AC70&amp;""))))</f>
        <v/>
      </c>
      <c r="I70" s="220">
        <f>IF(OR(N(Database!$BH70)&lt;=0,N(Screener!$D$13)&lt;=0),0,MAX(0,1-ABS(LOG10(N(Database!$BH70)/Screener!$D$13))/W_PEHW))</f>
        <v/>
      </c>
      <c r="J70" s="220">
        <f>IF(OR(N(Database!$S70)&lt;=0,N(Screener!$D$14)&lt;=0),0,MAX(0,1-ABS(LOG10(Database!$S70/Screener!$D$14))/0.6))</f>
        <v/>
      </c>
      <c r="K70" s="220">
        <f>IF(Database!$B70=Screener!$B$5,-999999,IF(ISNUMBER(SEARCH(","&amp;Database!$A70&amp;",",","&amp;SUBSTITUTE(Screener!$D$17," ","")&amp;",")),2000000,IF(IF(OR(Screener!$B$18="All",AND(Screener!$B$18="With A-share",(Database!$BM70="Y")),AND(Screener!$B$18="Without A-share",NOT((Database!$BM70="Y")))),1,0)=0,-999999,IF(Screener!$B$16="cornerstone overlap first",H70*100000,IF(Screener!$B$16="demand-similar first",J70*100000,0))+W_SUB*B70+W_SEC*C70*(1-B70)+W_SIZE*D70+W_PROF*E70+W_AH*F70+W_REC*G70+W_CS*H70+W_PE*I70)))+ROW()/1000000</f>
        <v/>
      </c>
      <c r="AA70" s="220">
        <f>Database!B59</f>
        <v/>
      </c>
      <c r="AB70" s="220">
        <f>Database!D59</f>
        <v/>
      </c>
      <c r="AC70" s="220">
        <f>Database!E59</f>
        <v/>
      </c>
      <c r="AD70" s="220">
        <f>Database!I59</f>
        <v/>
      </c>
      <c r="AE70" s="220">
        <f>Database!BG59</f>
        <v/>
      </c>
      <c r="AF70" s="220">
        <f>Database!BM59</f>
        <v/>
      </c>
      <c r="AG70" s="220">
        <f>Database!H59</f>
        <v/>
      </c>
      <c r="AH70" s="220">
        <f>Database!BH59</f>
        <v/>
      </c>
    </row>
    <row r="71">
      <c r="A71" s="220">
        <f>Database!B71</f>
        <v/>
      </c>
      <c r="B71" s="220">
        <f>IF(AND(Screener!$D$8&lt;&gt;"",Database!$E71=Screener!$D$8),1,0)</f>
        <v/>
      </c>
      <c r="C71" s="220">
        <f>IF(AND(Screener!$D$7&lt;&gt;"",Database!$D71=Screener!$D$7),1,0)</f>
        <v/>
      </c>
      <c r="D71" s="220">
        <f>IF(OR(N(Database!$I71)&lt;=0,N(Screener!$D$9)&lt;=0),0,MAX(0,1-ABS(LOG10(N(Database!$I71)/Screener!$D$9))/W_SIZEHW))</f>
        <v/>
      </c>
      <c r="E71" s="220">
        <f>IF(OR(Database!$BG71="",Screener!$D$10=""),0,IF(Database!$BG71=Screener!$D$10,1,0))</f>
        <v/>
      </c>
      <c r="F71" s="220">
        <f>IF(OR(Database!$BM71="",Screener!$D$11=""),0,IF(Database!$BM71=Screener!$D$11,1,0))</f>
        <v/>
      </c>
      <c r="G71" s="220">
        <f>IF(OR(Database!$H71="",N(Screener!$D$12)&lt;=0),0,MAX(0,1-(N(Screener!$D$12)-Database!$H71)/W_RECD))</f>
        <v/>
      </c>
      <c r="H71" s="220">
        <f>IF($U$1="",0,N(ISNUMBER(SEARCH($U$1,Database!$AC71&amp;""))))+IF($V$1="",0,N(ISNUMBER(SEARCH($V$1,Database!$AC71&amp;""))))+IF($W$1="",0,N(ISNUMBER(SEARCH($W$1,Database!$AC71&amp;""))))+IF($X$1="",0,N(ISNUMBER(SEARCH($X$1,Database!$AC71&amp;""))))+IF($Y$1="",0,N(ISNUMBER(SEARCH($Y$1,Database!$AC71&amp;""))))+IF(Screener!$B$17="",0,N(ISNUMBER(SEARCH(LOWER(Screener!$B$17),Database!$AC71&amp;""))))</f>
        <v/>
      </c>
      <c r="I71" s="220">
        <f>IF(OR(N(Database!$BH71)&lt;=0,N(Screener!$D$13)&lt;=0),0,MAX(0,1-ABS(LOG10(N(Database!$BH71)/Screener!$D$13))/W_PEHW))</f>
        <v/>
      </c>
      <c r="J71" s="220">
        <f>IF(OR(N(Database!$S71)&lt;=0,N(Screener!$D$14)&lt;=0),0,MAX(0,1-ABS(LOG10(Database!$S71/Screener!$D$14))/0.6))</f>
        <v/>
      </c>
      <c r="K71" s="220">
        <f>IF(Database!$B71=Screener!$B$5,-999999,IF(ISNUMBER(SEARCH(","&amp;Database!$A71&amp;",",","&amp;SUBSTITUTE(Screener!$D$17," ","")&amp;",")),2000000,IF(IF(OR(Screener!$B$18="All",AND(Screener!$B$18="With A-share",(Database!$BM71="Y")),AND(Screener!$B$18="Without A-share",NOT((Database!$BM71="Y")))),1,0)=0,-999999,IF(Screener!$B$16="cornerstone overlap first",H71*100000,IF(Screener!$B$16="demand-similar first",J71*100000,0))+W_SUB*B71+W_SEC*C71*(1-B71)+W_SIZE*D71+W_PROF*E71+W_AH*F71+W_REC*G71+W_CS*H71+W_PE*I71)))+ROW()/1000000</f>
        <v/>
      </c>
      <c r="AA71" s="220">
        <f>Database!B60</f>
        <v/>
      </c>
      <c r="AB71" s="220">
        <f>Database!D60</f>
        <v/>
      </c>
      <c r="AC71" s="220">
        <f>Database!E60</f>
        <v/>
      </c>
      <c r="AD71" s="220">
        <f>Database!I60</f>
        <v/>
      </c>
      <c r="AE71" s="220">
        <f>Database!BG60</f>
        <v/>
      </c>
      <c r="AF71" s="220">
        <f>Database!BM60</f>
        <v/>
      </c>
      <c r="AG71" s="220">
        <f>Database!H60</f>
        <v/>
      </c>
      <c r="AH71" s="220">
        <f>Database!BH60</f>
        <v/>
      </c>
    </row>
    <row r="72">
      <c r="A72" s="220">
        <f>Database!B72</f>
        <v/>
      </c>
      <c r="B72" s="220">
        <f>IF(AND(Screener!$D$8&lt;&gt;"",Database!$E72=Screener!$D$8),1,0)</f>
        <v/>
      </c>
      <c r="C72" s="220">
        <f>IF(AND(Screener!$D$7&lt;&gt;"",Database!$D72=Screener!$D$7),1,0)</f>
        <v/>
      </c>
      <c r="D72" s="220">
        <f>IF(OR(N(Database!$I72)&lt;=0,N(Screener!$D$9)&lt;=0),0,MAX(0,1-ABS(LOG10(N(Database!$I72)/Screener!$D$9))/W_SIZEHW))</f>
        <v/>
      </c>
      <c r="E72" s="220">
        <f>IF(OR(Database!$BG72="",Screener!$D$10=""),0,IF(Database!$BG72=Screener!$D$10,1,0))</f>
        <v/>
      </c>
      <c r="F72" s="220">
        <f>IF(OR(Database!$BM72="",Screener!$D$11=""),0,IF(Database!$BM72=Screener!$D$11,1,0))</f>
        <v/>
      </c>
      <c r="G72" s="220">
        <f>IF(OR(Database!$H72="",N(Screener!$D$12)&lt;=0),0,MAX(0,1-(N(Screener!$D$12)-Database!$H72)/W_RECD))</f>
        <v/>
      </c>
      <c r="H72" s="220">
        <f>IF($U$1="",0,N(ISNUMBER(SEARCH($U$1,Database!$AC72&amp;""))))+IF($V$1="",0,N(ISNUMBER(SEARCH($V$1,Database!$AC72&amp;""))))+IF($W$1="",0,N(ISNUMBER(SEARCH($W$1,Database!$AC72&amp;""))))+IF($X$1="",0,N(ISNUMBER(SEARCH($X$1,Database!$AC72&amp;""))))+IF($Y$1="",0,N(ISNUMBER(SEARCH($Y$1,Database!$AC72&amp;""))))+IF(Screener!$B$17="",0,N(ISNUMBER(SEARCH(LOWER(Screener!$B$17),Database!$AC72&amp;""))))</f>
        <v/>
      </c>
      <c r="I72" s="220">
        <f>IF(OR(N(Database!$BH72)&lt;=0,N(Screener!$D$13)&lt;=0),0,MAX(0,1-ABS(LOG10(N(Database!$BH72)/Screener!$D$13))/W_PEHW))</f>
        <v/>
      </c>
      <c r="J72" s="220">
        <f>IF(OR(N(Database!$S72)&lt;=0,N(Screener!$D$14)&lt;=0),0,MAX(0,1-ABS(LOG10(Database!$S72/Screener!$D$14))/0.6))</f>
        <v/>
      </c>
      <c r="K72" s="220">
        <f>IF(Database!$B72=Screener!$B$5,-999999,IF(ISNUMBER(SEARCH(","&amp;Database!$A72&amp;",",","&amp;SUBSTITUTE(Screener!$D$17," ","")&amp;",")),2000000,IF(IF(OR(Screener!$B$18="All",AND(Screener!$B$18="With A-share",(Database!$BM72="Y")),AND(Screener!$B$18="Without A-share",NOT((Database!$BM72="Y")))),1,0)=0,-999999,IF(Screener!$B$16="cornerstone overlap first",H72*100000,IF(Screener!$B$16="demand-similar first",J72*100000,0))+W_SUB*B72+W_SEC*C72*(1-B72)+W_SIZE*D72+W_PROF*E72+W_AH*F72+W_REC*G72+W_CS*H72+W_PE*I72)))+ROW()/1000000</f>
        <v/>
      </c>
      <c r="AA72" s="220">
        <f>Database!B61</f>
        <v/>
      </c>
      <c r="AB72" s="220">
        <f>Database!D61</f>
        <v/>
      </c>
      <c r="AC72" s="220">
        <f>Database!E61</f>
        <v/>
      </c>
      <c r="AD72" s="220">
        <f>Database!I61</f>
        <v/>
      </c>
      <c r="AE72" s="220">
        <f>Database!BG61</f>
        <v/>
      </c>
      <c r="AF72" s="220">
        <f>Database!BM61</f>
        <v/>
      </c>
      <c r="AG72" s="220">
        <f>Database!H61</f>
        <v/>
      </c>
      <c r="AH72" s="220">
        <f>Database!BH61</f>
        <v/>
      </c>
    </row>
    <row r="73">
      <c r="A73" s="220">
        <f>Database!B73</f>
        <v/>
      </c>
      <c r="B73" s="220">
        <f>IF(AND(Screener!$D$8&lt;&gt;"",Database!$E73=Screener!$D$8),1,0)</f>
        <v/>
      </c>
      <c r="C73" s="220">
        <f>IF(AND(Screener!$D$7&lt;&gt;"",Database!$D73=Screener!$D$7),1,0)</f>
        <v/>
      </c>
      <c r="D73" s="220">
        <f>IF(OR(N(Database!$I73)&lt;=0,N(Screener!$D$9)&lt;=0),0,MAX(0,1-ABS(LOG10(N(Database!$I73)/Screener!$D$9))/W_SIZEHW))</f>
        <v/>
      </c>
      <c r="E73" s="220">
        <f>IF(OR(Database!$BG73="",Screener!$D$10=""),0,IF(Database!$BG73=Screener!$D$10,1,0))</f>
        <v/>
      </c>
      <c r="F73" s="220">
        <f>IF(OR(Database!$BM73="",Screener!$D$11=""),0,IF(Database!$BM73=Screener!$D$11,1,0))</f>
        <v/>
      </c>
      <c r="G73" s="220">
        <f>IF(OR(Database!$H73="",N(Screener!$D$12)&lt;=0),0,MAX(0,1-(N(Screener!$D$12)-Database!$H73)/W_RECD))</f>
        <v/>
      </c>
      <c r="H73" s="220">
        <f>IF($U$1="",0,N(ISNUMBER(SEARCH($U$1,Database!$AC73&amp;""))))+IF($V$1="",0,N(ISNUMBER(SEARCH($V$1,Database!$AC73&amp;""))))+IF($W$1="",0,N(ISNUMBER(SEARCH($W$1,Database!$AC73&amp;""))))+IF($X$1="",0,N(ISNUMBER(SEARCH($X$1,Database!$AC73&amp;""))))+IF($Y$1="",0,N(ISNUMBER(SEARCH($Y$1,Database!$AC73&amp;""))))+IF(Screener!$B$17="",0,N(ISNUMBER(SEARCH(LOWER(Screener!$B$17),Database!$AC73&amp;""))))</f>
        <v/>
      </c>
      <c r="I73" s="220">
        <f>IF(OR(N(Database!$BH73)&lt;=0,N(Screener!$D$13)&lt;=0),0,MAX(0,1-ABS(LOG10(N(Database!$BH73)/Screener!$D$13))/W_PEHW))</f>
        <v/>
      </c>
      <c r="J73" s="220">
        <f>IF(OR(N(Database!$S73)&lt;=0,N(Screener!$D$14)&lt;=0),0,MAX(0,1-ABS(LOG10(Database!$S73/Screener!$D$14))/0.6))</f>
        <v/>
      </c>
      <c r="K73" s="220">
        <f>IF(Database!$B73=Screener!$B$5,-999999,IF(ISNUMBER(SEARCH(","&amp;Database!$A73&amp;",",","&amp;SUBSTITUTE(Screener!$D$17," ","")&amp;",")),2000000,IF(IF(OR(Screener!$B$18="All",AND(Screener!$B$18="With A-share",(Database!$BM73="Y")),AND(Screener!$B$18="Without A-share",NOT((Database!$BM73="Y")))),1,0)=0,-999999,IF(Screener!$B$16="cornerstone overlap first",H73*100000,IF(Screener!$B$16="demand-similar first",J73*100000,0))+W_SUB*B73+W_SEC*C73*(1-B73)+W_SIZE*D73+W_PROF*E73+W_AH*F73+W_REC*G73+W_CS*H73+W_PE*I73)))+ROW()/1000000</f>
        <v/>
      </c>
      <c r="AA73" s="220">
        <f>Database!B62</f>
        <v/>
      </c>
      <c r="AB73" s="220">
        <f>Database!D62</f>
        <v/>
      </c>
      <c r="AC73" s="220">
        <f>Database!E62</f>
        <v/>
      </c>
      <c r="AD73" s="220">
        <f>Database!I62</f>
        <v/>
      </c>
      <c r="AE73" s="220">
        <f>Database!BG62</f>
        <v/>
      </c>
      <c r="AF73" s="220">
        <f>Database!BM62</f>
        <v/>
      </c>
      <c r="AG73" s="220">
        <f>Database!H62</f>
        <v/>
      </c>
      <c r="AH73" s="220">
        <f>Database!BH62</f>
        <v/>
      </c>
    </row>
    <row r="74">
      <c r="A74" s="220">
        <f>Database!B74</f>
        <v/>
      </c>
      <c r="B74" s="220">
        <f>IF(AND(Screener!$D$8&lt;&gt;"",Database!$E74=Screener!$D$8),1,0)</f>
        <v/>
      </c>
      <c r="C74" s="220">
        <f>IF(AND(Screener!$D$7&lt;&gt;"",Database!$D74=Screener!$D$7),1,0)</f>
        <v/>
      </c>
      <c r="D74" s="220">
        <f>IF(OR(N(Database!$I74)&lt;=0,N(Screener!$D$9)&lt;=0),0,MAX(0,1-ABS(LOG10(N(Database!$I74)/Screener!$D$9))/W_SIZEHW))</f>
        <v/>
      </c>
      <c r="E74" s="220">
        <f>IF(OR(Database!$BG74="",Screener!$D$10=""),0,IF(Database!$BG74=Screener!$D$10,1,0))</f>
        <v/>
      </c>
      <c r="F74" s="220">
        <f>IF(OR(Database!$BM74="",Screener!$D$11=""),0,IF(Database!$BM74=Screener!$D$11,1,0))</f>
        <v/>
      </c>
      <c r="G74" s="220">
        <f>IF(OR(Database!$H74="",N(Screener!$D$12)&lt;=0),0,MAX(0,1-(N(Screener!$D$12)-Database!$H74)/W_RECD))</f>
        <v/>
      </c>
      <c r="H74" s="220">
        <f>IF($U$1="",0,N(ISNUMBER(SEARCH($U$1,Database!$AC74&amp;""))))+IF($V$1="",0,N(ISNUMBER(SEARCH($V$1,Database!$AC74&amp;""))))+IF($W$1="",0,N(ISNUMBER(SEARCH($W$1,Database!$AC74&amp;""))))+IF($X$1="",0,N(ISNUMBER(SEARCH($X$1,Database!$AC74&amp;""))))+IF($Y$1="",0,N(ISNUMBER(SEARCH($Y$1,Database!$AC74&amp;""))))+IF(Screener!$B$17="",0,N(ISNUMBER(SEARCH(LOWER(Screener!$B$17),Database!$AC74&amp;""))))</f>
        <v/>
      </c>
      <c r="I74" s="220">
        <f>IF(OR(N(Database!$BH74)&lt;=0,N(Screener!$D$13)&lt;=0),0,MAX(0,1-ABS(LOG10(N(Database!$BH74)/Screener!$D$13))/W_PEHW))</f>
        <v/>
      </c>
      <c r="J74" s="220">
        <f>IF(OR(N(Database!$S74)&lt;=0,N(Screener!$D$14)&lt;=0),0,MAX(0,1-ABS(LOG10(Database!$S74/Screener!$D$14))/0.6))</f>
        <v/>
      </c>
      <c r="K74" s="220">
        <f>IF(Database!$B74=Screener!$B$5,-999999,IF(ISNUMBER(SEARCH(","&amp;Database!$A74&amp;",",","&amp;SUBSTITUTE(Screener!$D$17," ","")&amp;",")),2000000,IF(IF(OR(Screener!$B$18="All",AND(Screener!$B$18="With A-share",(Database!$BM74="Y")),AND(Screener!$B$18="Without A-share",NOT((Database!$BM74="Y")))),1,0)=0,-999999,IF(Screener!$B$16="cornerstone overlap first",H74*100000,IF(Screener!$B$16="demand-similar first",J74*100000,0))+W_SUB*B74+W_SEC*C74*(1-B74)+W_SIZE*D74+W_PROF*E74+W_AH*F74+W_REC*G74+W_CS*H74+W_PE*I74)))+ROW()/1000000</f>
        <v/>
      </c>
      <c r="AA74" s="220">
        <f>Database!B63</f>
        <v/>
      </c>
      <c r="AB74" s="220">
        <f>Database!D63</f>
        <v/>
      </c>
      <c r="AC74" s="220">
        <f>Database!E63</f>
        <v/>
      </c>
      <c r="AD74" s="220">
        <f>Database!I63</f>
        <v/>
      </c>
      <c r="AE74" s="220">
        <f>Database!BG63</f>
        <v/>
      </c>
      <c r="AF74" s="220">
        <f>Database!BM63</f>
        <v/>
      </c>
      <c r="AG74" s="220">
        <f>Database!H63</f>
        <v/>
      </c>
      <c r="AH74" s="220">
        <f>Database!BH63</f>
        <v/>
      </c>
    </row>
    <row r="75">
      <c r="A75" s="220">
        <f>Database!B75</f>
        <v/>
      </c>
      <c r="B75" s="220">
        <f>IF(AND(Screener!$D$8&lt;&gt;"",Database!$E75=Screener!$D$8),1,0)</f>
        <v/>
      </c>
      <c r="C75" s="220">
        <f>IF(AND(Screener!$D$7&lt;&gt;"",Database!$D75=Screener!$D$7),1,0)</f>
        <v/>
      </c>
      <c r="D75" s="220">
        <f>IF(OR(N(Database!$I75)&lt;=0,N(Screener!$D$9)&lt;=0),0,MAX(0,1-ABS(LOG10(N(Database!$I75)/Screener!$D$9))/W_SIZEHW))</f>
        <v/>
      </c>
      <c r="E75" s="220">
        <f>IF(OR(Database!$BG75="",Screener!$D$10=""),0,IF(Database!$BG75=Screener!$D$10,1,0))</f>
        <v/>
      </c>
      <c r="F75" s="220">
        <f>IF(OR(Database!$BM75="",Screener!$D$11=""),0,IF(Database!$BM75=Screener!$D$11,1,0))</f>
        <v/>
      </c>
      <c r="G75" s="220">
        <f>IF(OR(Database!$H75="",N(Screener!$D$12)&lt;=0),0,MAX(0,1-(N(Screener!$D$12)-Database!$H75)/W_RECD))</f>
        <v/>
      </c>
      <c r="H75" s="220">
        <f>IF($U$1="",0,N(ISNUMBER(SEARCH($U$1,Database!$AC75&amp;""))))+IF($V$1="",0,N(ISNUMBER(SEARCH($V$1,Database!$AC75&amp;""))))+IF($W$1="",0,N(ISNUMBER(SEARCH($W$1,Database!$AC75&amp;""))))+IF($X$1="",0,N(ISNUMBER(SEARCH($X$1,Database!$AC75&amp;""))))+IF($Y$1="",0,N(ISNUMBER(SEARCH($Y$1,Database!$AC75&amp;""))))+IF(Screener!$B$17="",0,N(ISNUMBER(SEARCH(LOWER(Screener!$B$17),Database!$AC75&amp;""))))</f>
        <v/>
      </c>
      <c r="I75" s="220">
        <f>IF(OR(N(Database!$BH75)&lt;=0,N(Screener!$D$13)&lt;=0),0,MAX(0,1-ABS(LOG10(N(Database!$BH75)/Screener!$D$13))/W_PEHW))</f>
        <v/>
      </c>
      <c r="J75" s="220">
        <f>IF(OR(N(Database!$S75)&lt;=0,N(Screener!$D$14)&lt;=0),0,MAX(0,1-ABS(LOG10(Database!$S75/Screener!$D$14))/0.6))</f>
        <v/>
      </c>
      <c r="K75" s="220">
        <f>IF(Database!$B75=Screener!$B$5,-999999,IF(ISNUMBER(SEARCH(","&amp;Database!$A75&amp;",",","&amp;SUBSTITUTE(Screener!$D$17," ","")&amp;",")),2000000,IF(IF(OR(Screener!$B$18="All",AND(Screener!$B$18="With A-share",(Database!$BM75="Y")),AND(Screener!$B$18="Without A-share",NOT((Database!$BM75="Y")))),1,0)=0,-999999,IF(Screener!$B$16="cornerstone overlap first",H75*100000,IF(Screener!$B$16="demand-similar first",J75*100000,0))+W_SUB*B75+W_SEC*C75*(1-B75)+W_SIZE*D75+W_PROF*E75+W_AH*F75+W_REC*G75+W_CS*H75+W_PE*I75)))+ROW()/1000000</f>
        <v/>
      </c>
      <c r="AA75" s="220">
        <f>Database!B64</f>
        <v/>
      </c>
      <c r="AB75" s="220">
        <f>Database!D64</f>
        <v/>
      </c>
      <c r="AC75" s="220">
        <f>Database!E64</f>
        <v/>
      </c>
      <c r="AD75" s="220">
        <f>Database!I64</f>
        <v/>
      </c>
      <c r="AE75" s="220">
        <f>Database!BG64</f>
        <v/>
      </c>
      <c r="AF75" s="220">
        <f>Database!BM64</f>
        <v/>
      </c>
      <c r="AG75" s="220">
        <f>Database!H64</f>
        <v/>
      </c>
      <c r="AH75" s="220">
        <f>Database!BH64</f>
        <v/>
      </c>
    </row>
    <row r="76">
      <c r="A76" s="220">
        <f>Database!B76</f>
        <v/>
      </c>
      <c r="B76" s="220">
        <f>IF(AND(Screener!$D$8&lt;&gt;"",Database!$E76=Screener!$D$8),1,0)</f>
        <v/>
      </c>
      <c r="C76" s="220">
        <f>IF(AND(Screener!$D$7&lt;&gt;"",Database!$D76=Screener!$D$7),1,0)</f>
        <v/>
      </c>
      <c r="D76" s="220">
        <f>IF(OR(N(Database!$I76)&lt;=0,N(Screener!$D$9)&lt;=0),0,MAX(0,1-ABS(LOG10(N(Database!$I76)/Screener!$D$9))/W_SIZEHW))</f>
        <v/>
      </c>
      <c r="E76" s="220">
        <f>IF(OR(Database!$BG76="",Screener!$D$10=""),0,IF(Database!$BG76=Screener!$D$10,1,0))</f>
        <v/>
      </c>
      <c r="F76" s="220">
        <f>IF(OR(Database!$BM76="",Screener!$D$11=""),0,IF(Database!$BM76=Screener!$D$11,1,0))</f>
        <v/>
      </c>
      <c r="G76" s="220">
        <f>IF(OR(Database!$H76="",N(Screener!$D$12)&lt;=0),0,MAX(0,1-(N(Screener!$D$12)-Database!$H76)/W_RECD))</f>
        <v/>
      </c>
      <c r="H76" s="220">
        <f>IF($U$1="",0,N(ISNUMBER(SEARCH($U$1,Database!$AC76&amp;""))))+IF($V$1="",0,N(ISNUMBER(SEARCH($V$1,Database!$AC76&amp;""))))+IF($W$1="",0,N(ISNUMBER(SEARCH($W$1,Database!$AC76&amp;""))))+IF($X$1="",0,N(ISNUMBER(SEARCH($X$1,Database!$AC76&amp;""))))+IF($Y$1="",0,N(ISNUMBER(SEARCH($Y$1,Database!$AC76&amp;""))))+IF(Screener!$B$17="",0,N(ISNUMBER(SEARCH(LOWER(Screener!$B$17),Database!$AC76&amp;""))))</f>
        <v/>
      </c>
      <c r="I76" s="220">
        <f>IF(OR(N(Database!$BH76)&lt;=0,N(Screener!$D$13)&lt;=0),0,MAX(0,1-ABS(LOG10(N(Database!$BH76)/Screener!$D$13))/W_PEHW))</f>
        <v/>
      </c>
      <c r="J76" s="220">
        <f>IF(OR(N(Database!$S76)&lt;=0,N(Screener!$D$14)&lt;=0),0,MAX(0,1-ABS(LOG10(Database!$S76/Screener!$D$14))/0.6))</f>
        <v/>
      </c>
      <c r="K76" s="220">
        <f>IF(Database!$B76=Screener!$B$5,-999999,IF(ISNUMBER(SEARCH(","&amp;Database!$A76&amp;",",","&amp;SUBSTITUTE(Screener!$D$17," ","")&amp;",")),2000000,IF(IF(OR(Screener!$B$18="All",AND(Screener!$B$18="With A-share",(Database!$BM76="Y")),AND(Screener!$B$18="Without A-share",NOT((Database!$BM76="Y")))),1,0)=0,-999999,IF(Screener!$B$16="cornerstone overlap first",H76*100000,IF(Screener!$B$16="demand-similar first",J76*100000,0))+W_SUB*B76+W_SEC*C76*(1-B76)+W_SIZE*D76+W_PROF*E76+W_AH*F76+W_REC*G76+W_CS*H76+W_PE*I76)))+ROW()/1000000</f>
        <v/>
      </c>
      <c r="AA76" s="220">
        <f>Database!B65</f>
        <v/>
      </c>
      <c r="AB76" s="220">
        <f>Database!D65</f>
        <v/>
      </c>
      <c r="AC76" s="220">
        <f>Database!E65</f>
        <v/>
      </c>
      <c r="AD76" s="220">
        <f>Database!I65</f>
        <v/>
      </c>
      <c r="AE76" s="220">
        <f>Database!BG65</f>
        <v/>
      </c>
      <c r="AF76" s="220">
        <f>Database!BM65</f>
        <v/>
      </c>
      <c r="AG76" s="220">
        <f>Database!H65</f>
        <v/>
      </c>
      <c r="AH76" s="220">
        <f>Database!BH65</f>
        <v/>
      </c>
    </row>
    <row r="77">
      <c r="A77" s="220">
        <f>Database!B77</f>
        <v/>
      </c>
      <c r="B77" s="220">
        <f>IF(AND(Screener!$D$8&lt;&gt;"",Database!$E77=Screener!$D$8),1,0)</f>
        <v/>
      </c>
      <c r="C77" s="220">
        <f>IF(AND(Screener!$D$7&lt;&gt;"",Database!$D77=Screener!$D$7),1,0)</f>
        <v/>
      </c>
      <c r="D77" s="220">
        <f>IF(OR(N(Database!$I77)&lt;=0,N(Screener!$D$9)&lt;=0),0,MAX(0,1-ABS(LOG10(N(Database!$I77)/Screener!$D$9))/W_SIZEHW))</f>
        <v/>
      </c>
      <c r="E77" s="220">
        <f>IF(OR(Database!$BG77="",Screener!$D$10=""),0,IF(Database!$BG77=Screener!$D$10,1,0))</f>
        <v/>
      </c>
      <c r="F77" s="220">
        <f>IF(OR(Database!$BM77="",Screener!$D$11=""),0,IF(Database!$BM77=Screener!$D$11,1,0))</f>
        <v/>
      </c>
      <c r="G77" s="220">
        <f>IF(OR(Database!$H77="",N(Screener!$D$12)&lt;=0),0,MAX(0,1-(N(Screener!$D$12)-Database!$H77)/W_RECD))</f>
        <v/>
      </c>
      <c r="H77" s="220">
        <f>IF($U$1="",0,N(ISNUMBER(SEARCH($U$1,Database!$AC77&amp;""))))+IF($V$1="",0,N(ISNUMBER(SEARCH($V$1,Database!$AC77&amp;""))))+IF($W$1="",0,N(ISNUMBER(SEARCH($W$1,Database!$AC77&amp;""))))+IF($X$1="",0,N(ISNUMBER(SEARCH($X$1,Database!$AC77&amp;""))))+IF($Y$1="",0,N(ISNUMBER(SEARCH($Y$1,Database!$AC77&amp;""))))+IF(Screener!$B$17="",0,N(ISNUMBER(SEARCH(LOWER(Screener!$B$17),Database!$AC77&amp;""))))</f>
        <v/>
      </c>
      <c r="I77" s="220">
        <f>IF(OR(N(Database!$BH77)&lt;=0,N(Screener!$D$13)&lt;=0),0,MAX(0,1-ABS(LOG10(N(Database!$BH77)/Screener!$D$13))/W_PEHW))</f>
        <v/>
      </c>
      <c r="J77" s="220">
        <f>IF(OR(N(Database!$S77)&lt;=0,N(Screener!$D$14)&lt;=0),0,MAX(0,1-ABS(LOG10(Database!$S77/Screener!$D$14))/0.6))</f>
        <v/>
      </c>
      <c r="K77" s="220">
        <f>IF(Database!$B77=Screener!$B$5,-999999,IF(ISNUMBER(SEARCH(","&amp;Database!$A77&amp;",",","&amp;SUBSTITUTE(Screener!$D$17," ","")&amp;",")),2000000,IF(IF(OR(Screener!$B$18="All",AND(Screener!$B$18="With A-share",(Database!$BM77="Y")),AND(Screener!$B$18="Without A-share",NOT((Database!$BM77="Y")))),1,0)=0,-999999,IF(Screener!$B$16="cornerstone overlap first",H77*100000,IF(Screener!$B$16="demand-similar first",J77*100000,0))+W_SUB*B77+W_SEC*C77*(1-B77)+W_SIZE*D77+W_PROF*E77+W_AH*F77+W_REC*G77+W_CS*H77+W_PE*I77)))+ROW()/1000000</f>
        <v/>
      </c>
      <c r="AA77" s="220">
        <f>Database!B66</f>
        <v/>
      </c>
      <c r="AB77" s="220">
        <f>Database!D66</f>
        <v/>
      </c>
      <c r="AC77" s="220">
        <f>Database!E66</f>
        <v/>
      </c>
      <c r="AD77" s="220">
        <f>Database!I66</f>
        <v/>
      </c>
      <c r="AE77" s="220">
        <f>Database!BG66</f>
        <v/>
      </c>
      <c r="AF77" s="220">
        <f>Database!BM66</f>
        <v/>
      </c>
      <c r="AG77" s="220">
        <f>Database!H66</f>
        <v/>
      </c>
      <c r="AH77" s="220">
        <f>Database!BH66</f>
        <v/>
      </c>
    </row>
    <row r="78">
      <c r="A78" s="220">
        <f>Database!B78</f>
        <v/>
      </c>
      <c r="B78" s="220">
        <f>IF(AND(Screener!$D$8&lt;&gt;"",Database!$E78=Screener!$D$8),1,0)</f>
        <v/>
      </c>
      <c r="C78" s="220">
        <f>IF(AND(Screener!$D$7&lt;&gt;"",Database!$D78=Screener!$D$7),1,0)</f>
        <v/>
      </c>
      <c r="D78" s="220">
        <f>IF(OR(N(Database!$I78)&lt;=0,N(Screener!$D$9)&lt;=0),0,MAX(0,1-ABS(LOG10(N(Database!$I78)/Screener!$D$9))/W_SIZEHW))</f>
        <v/>
      </c>
      <c r="E78" s="220">
        <f>IF(OR(Database!$BG78="",Screener!$D$10=""),0,IF(Database!$BG78=Screener!$D$10,1,0))</f>
        <v/>
      </c>
      <c r="F78" s="220">
        <f>IF(OR(Database!$BM78="",Screener!$D$11=""),0,IF(Database!$BM78=Screener!$D$11,1,0))</f>
        <v/>
      </c>
      <c r="G78" s="220">
        <f>IF(OR(Database!$H78="",N(Screener!$D$12)&lt;=0),0,MAX(0,1-(N(Screener!$D$12)-Database!$H78)/W_RECD))</f>
        <v/>
      </c>
      <c r="H78" s="220">
        <f>IF($U$1="",0,N(ISNUMBER(SEARCH($U$1,Database!$AC78&amp;""))))+IF($V$1="",0,N(ISNUMBER(SEARCH($V$1,Database!$AC78&amp;""))))+IF($W$1="",0,N(ISNUMBER(SEARCH($W$1,Database!$AC78&amp;""))))+IF($X$1="",0,N(ISNUMBER(SEARCH($X$1,Database!$AC78&amp;""))))+IF($Y$1="",0,N(ISNUMBER(SEARCH($Y$1,Database!$AC78&amp;""))))+IF(Screener!$B$17="",0,N(ISNUMBER(SEARCH(LOWER(Screener!$B$17),Database!$AC78&amp;""))))</f>
        <v/>
      </c>
      <c r="I78" s="220">
        <f>IF(OR(N(Database!$BH78)&lt;=0,N(Screener!$D$13)&lt;=0),0,MAX(0,1-ABS(LOG10(N(Database!$BH78)/Screener!$D$13))/W_PEHW))</f>
        <v/>
      </c>
      <c r="J78" s="220">
        <f>IF(OR(N(Database!$S78)&lt;=0,N(Screener!$D$14)&lt;=0),0,MAX(0,1-ABS(LOG10(Database!$S78/Screener!$D$14))/0.6))</f>
        <v/>
      </c>
      <c r="K78" s="220">
        <f>IF(Database!$B78=Screener!$B$5,-999999,IF(ISNUMBER(SEARCH(","&amp;Database!$A78&amp;",",","&amp;SUBSTITUTE(Screener!$D$17," ","")&amp;",")),2000000,IF(IF(OR(Screener!$B$18="All",AND(Screener!$B$18="With A-share",(Database!$BM78="Y")),AND(Screener!$B$18="Without A-share",NOT((Database!$BM78="Y")))),1,0)=0,-999999,IF(Screener!$B$16="cornerstone overlap first",H78*100000,IF(Screener!$B$16="demand-similar first",J78*100000,0))+W_SUB*B78+W_SEC*C78*(1-B78)+W_SIZE*D78+W_PROF*E78+W_AH*F78+W_REC*G78+W_CS*H78+W_PE*I78)))+ROW()/1000000</f>
        <v/>
      </c>
      <c r="AA78" s="220">
        <f>Database!B67</f>
        <v/>
      </c>
      <c r="AB78" s="220">
        <f>Database!D67</f>
        <v/>
      </c>
      <c r="AC78" s="220">
        <f>Database!E67</f>
        <v/>
      </c>
      <c r="AD78" s="220">
        <f>Database!I67</f>
        <v/>
      </c>
      <c r="AE78" s="220">
        <f>Database!BG67</f>
        <v/>
      </c>
      <c r="AF78" s="220">
        <f>Database!BM67</f>
        <v/>
      </c>
      <c r="AG78" s="220">
        <f>Database!H67</f>
        <v/>
      </c>
      <c r="AH78" s="220">
        <f>Database!BH67</f>
        <v/>
      </c>
    </row>
    <row r="79">
      <c r="A79" s="220">
        <f>Database!B79</f>
        <v/>
      </c>
      <c r="B79" s="220">
        <f>IF(AND(Screener!$D$8&lt;&gt;"",Database!$E79=Screener!$D$8),1,0)</f>
        <v/>
      </c>
      <c r="C79" s="220">
        <f>IF(AND(Screener!$D$7&lt;&gt;"",Database!$D79=Screener!$D$7),1,0)</f>
        <v/>
      </c>
      <c r="D79" s="220">
        <f>IF(OR(N(Database!$I79)&lt;=0,N(Screener!$D$9)&lt;=0),0,MAX(0,1-ABS(LOG10(N(Database!$I79)/Screener!$D$9))/W_SIZEHW))</f>
        <v/>
      </c>
      <c r="E79" s="220">
        <f>IF(OR(Database!$BG79="",Screener!$D$10=""),0,IF(Database!$BG79=Screener!$D$10,1,0))</f>
        <v/>
      </c>
      <c r="F79" s="220">
        <f>IF(OR(Database!$BM79="",Screener!$D$11=""),0,IF(Database!$BM79=Screener!$D$11,1,0))</f>
        <v/>
      </c>
      <c r="G79" s="220">
        <f>IF(OR(Database!$H79="",N(Screener!$D$12)&lt;=0),0,MAX(0,1-(N(Screener!$D$12)-Database!$H79)/W_RECD))</f>
        <v/>
      </c>
      <c r="H79" s="220">
        <f>IF($U$1="",0,N(ISNUMBER(SEARCH($U$1,Database!$AC79&amp;""))))+IF($V$1="",0,N(ISNUMBER(SEARCH($V$1,Database!$AC79&amp;""))))+IF($W$1="",0,N(ISNUMBER(SEARCH($W$1,Database!$AC79&amp;""))))+IF($X$1="",0,N(ISNUMBER(SEARCH($X$1,Database!$AC79&amp;""))))+IF($Y$1="",0,N(ISNUMBER(SEARCH($Y$1,Database!$AC79&amp;""))))+IF(Screener!$B$17="",0,N(ISNUMBER(SEARCH(LOWER(Screener!$B$17),Database!$AC79&amp;""))))</f>
        <v/>
      </c>
      <c r="I79" s="220">
        <f>IF(OR(N(Database!$BH79)&lt;=0,N(Screener!$D$13)&lt;=0),0,MAX(0,1-ABS(LOG10(N(Database!$BH79)/Screener!$D$13))/W_PEHW))</f>
        <v/>
      </c>
      <c r="J79" s="220">
        <f>IF(OR(N(Database!$S79)&lt;=0,N(Screener!$D$14)&lt;=0),0,MAX(0,1-ABS(LOG10(Database!$S79/Screener!$D$14))/0.6))</f>
        <v/>
      </c>
      <c r="K79" s="220">
        <f>IF(Database!$B79=Screener!$B$5,-999999,IF(ISNUMBER(SEARCH(","&amp;Database!$A79&amp;",",","&amp;SUBSTITUTE(Screener!$D$17," ","")&amp;",")),2000000,IF(IF(OR(Screener!$B$18="All",AND(Screener!$B$18="With A-share",(Database!$BM79="Y")),AND(Screener!$B$18="Without A-share",NOT((Database!$BM79="Y")))),1,0)=0,-999999,IF(Screener!$B$16="cornerstone overlap first",H79*100000,IF(Screener!$B$16="demand-similar first",J79*100000,0))+W_SUB*B79+W_SEC*C79*(1-B79)+W_SIZE*D79+W_PROF*E79+W_AH*F79+W_REC*G79+W_CS*H79+W_PE*I79)))+ROW()/1000000</f>
        <v/>
      </c>
      <c r="AA79" s="220">
        <f>Database!B68</f>
        <v/>
      </c>
      <c r="AB79" s="220">
        <f>Database!D68</f>
        <v/>
      </c>
      <c r="AC79" s="220">
        <f>Database!E68</f>
        <v/>
      </c>
      <c r="AD79" s="220">
        <f>Database!I68</f>
        <v/>
      </c>
      <c r="AE79" s="220">
        <f>Database!BG68</f>
        <v/>
      </c>
      <c r="AF79" s="220">
        <f>Database!BM68</f>
        <v/>
      </c>
      <c r="AG79" s="220">
        <f>Database!H68</f>
        <v/>
      </c>
      <c r="AH79" s="220">
        <f>Database!BH68</f>
        <v/>
      </c>
    </row>
    <row r="80">
      <c r="A80" s="220">
        <f>Database!B80</f>
        <v/>
      </c>
      <c r="B80" s="220">
        <f>IF(AND(Screener!$D$8&lt;&gt;"",Database!$E80=Screener!$D$8),1,0)</f>
        <v/>
      </c>
      <c r="C80" s="220">
        <f>IF(AND(Screener!$D$7&lt;&gt;"",Database!$D80=Screener!$D$7),1,0)</f>
        <v/>
      </c>
      <c r="D80" s="220">
        <f>IF(OR(N(Database!$I80)&lt;=0,N(Screener!$D$9)&lt;=0),0,MAX(0,1-ABS(LOG10(N(Database!$I80)/Screener!$D$9))/W_SIZEHW))</f>
        <v/>
      </c>
      <c r="E80" s="220">
        <f>IF(OR(Database!$BG80="",Screener!$D$10=""),0,IF(Database!$BG80=Screener!$D$10,1,0))</f>
        <v/>
      </c>
      <c r="F80" s="220">
        <f>IF(OR(Database!$BM80="",Screener!$D$11=""),0,IF(Database!$BM80=Screener!$D$11,1,0))</f>
        <v/>
      </c>
      <c r="G80" s="220">
        <f>IF(OR(Database!$H80="",N(Screener!$D$12)&lt;=0),0,MAX(0,1-(N(Screener!$D$12)-Database!$H80)/W_RECD))</f>
        <v/>
      </c>
      <c r="H80" s="220">
        <f>IF($U$1="",0,N(ISNUMBER(SEARCH($U$1,Database!$AC80&amp;""))))+IF($V$1="",0,N(ISNUMBER(SEARCH($V$1,Database!$AC80&amp;""))))+IF($W$1="",0,N(ISNUMBER(SEARCH($W$1,Database!$AC80&amp;""))))+IF($X$1="",0,N(ISNUMBER(SEARCH($X$1,Database!$AC80&amp;""))))+IF($Y$1="",0,N(ISNUMBER(SEARCH($Y$1,Database!$AC80&amp;""))))+IF(Screener!$B$17="",0,N(ISNUMBER(SEARCH(LOWER(Screener!$B$17),Database!$AC80&amp;""))))</f>
        <v/>
      </c>
      <c r="I80" s="220">
        <f>IF(OR(N(Database!$BH80)&lt;=0,N(Screener!$D$13)&lt;=0),0,MAX(0,1-ABS(LOG10(N(Database!$BH80)/Screener!$D$13))/W_PEHW))</f>
        <v/>
      </c>
      <c r="J80" s="220">
        <f>IF(OR(N(Database!$S80)&lt;=0,N(Screener!$D$14)&lt;=0),0,MAX(0,1-ABS(LOG10(Database!$S80/Screener!$D$14))/0.6))</f>
        <v/>
      </c>
      <c r="K80" s="220">
        <f>IF(Database!$B80=Screener!$B$5,-999999,IF(ISNUMBER(SEARCH(","&amp;Database!$A80&amp;",",","&amp;SUBSTITUTE(Screener!$D$17," ","")&amp;",")),2000000,IF(IF(OR(Screener!$B$18="All",AND(Screener!$B$18="With A-share",(Database!$BM80="Y")),AND(Screener!$B$18="Without A-share",NOT((Database!$BM80="Y")))),1,0)=0,-999999,IF(Screener!$B$16="cornerstone overlap first",H80*100000,IF(Screener!$B$16="demand-similar first",J80*100000,0))+W_SUB*B80+W_SEC*C80*(1-B80)+W_SIZE*D80+W_PROF*E80+W_AH*F80+W_REC*G80+W_CS*H80+W_PE*I80)))+ROW()/1000000</f>
        <v/>
      </c>
      <c r="AA80" s="220">
        <f>Database!B69</f>
        <v/>
      </c>
      <c r="AB80" s="220">
        <f>Database!D69</f>
        <v/>
      </c>
      <c r="AC80" s="220">
        <f>Database!E69</f>
        <v/>
      </c>
      <c r="AD80" s="220">
        <f>Database!I69</f>
        <v/>
      </c>
      <c r="AE80" s="220">
        <f>Database!BG69</f>
        <v/>
      </c>
      <c r="AF80" s="220">
        <f>Database!BM69</f>
        <v/>
      </c>
      <c r="AG80" s="220">
        <f>Database!H69</f>
        <v/>
      </c>
      <c r="AH80" s="220">
        <f>Database!BH69</f>
        <v/>
      </c>
    </row>
    <row r="81">
      <c r="A81" s="220">
        <f>Database!B81</f>
        <v/>
      </c>
      <c r="B81" s="220">
        <f>IF(AND(Screener!$D$8&lt;&gt;"",Database!$E81=Screener!$D$8),1,0)</f>
        <v/>
      </c>
      <c r="C81" s="220">
        <f>IF(AND(Screener!$D$7&lt;&gt;"",Database!$D81=Screener!$D$7),1,0)</f>
        <v/>
      </c>
      <c r="D81" s="220">
        <f>IF(OR(N(Database!$I81)&lt;=0,N(Screener!$D$9)&lt;=0),0,MAX(0,1-ABS(LOG10(N(Database!$I81)/Screener!$D$9))/W_SIZEHW))</f>
        <v/>
      </c>
      <c r="E81" s="220">
        <f>IF(OR(Database!$BG81="",Screener!$D$10=""),0,IF(Database!$BG81=Screener!$D$10,1,0))</f>
        <v/>
      </c>
      <c r="F81" s="220">
        <f>IF(OR(Database!$BM81="",Screener!$D$11=""),0,IF(Database!$BM81=Screener!$D$11,1,0))</f>
        <v/>
      </c>
      <c r="G81" s="220">
        <f>IF(OR(Database!$H81="",N(Screener!$D$12)&lt;=0),0,MAX(0,1-(N(Screener!$D$12)-Database!$H81)/W_RECD))</f>
        <v/>
      </c>
      <c r="H81" s="220">
        <f>IF($U$1="",0,N(ISNUMBER(SEARCH($U$1,Database!$AC81&amp;""))))+IF($V$1="",0,N(ISNUMBER(SEARCH($V$1,Database!$AC81&amp;""))))+IF($W$1="",0,N(ISNUMBER(SEARCH($W$1,Database!$AC81&amp;""))))+IF($X$1="",0,N(ISNUMBER(SEARCH($X$1,Database!$AC81&amp;""))))+IF($Y$1="",0,N(ISNUMBER(SEARCH($Y$1,Database!$AC81&amp;""))))+IF(Screener!$B$17="",0,N(ISNUMBER(SEARCH(LOWER(Screener!$B$17),Database!$AC81&amp;""))))</f>
        <v/>
      </c>
      <c r="I81" s="220">
        <f>IF(OR(N(Database!$BH81)&lt;=0,N(Screener!$D$13)&lt;=0),0,MAX(0,1-ABS(LOG10(N(Database!$BH81)/Screener!$D$13))/W_PEHW))</f>
        <v/>
      </c>
      <c r="J81" s="220">
        <f>IF(OR(N(Database!$S81)&lt;=0,N(Screener!$D$14)&lt;=0),0,MAX(0,1-ABS(LOG10(Database!$S81/Screener!$D$14))/0.6))</f>
        <v/>
      </c>
      <c r="K81" s="220">
        <f>IF(Database!$B81=Screener!$B$5,-999999,IF(ISNUMBER(SEARCH(","&amp;Database!$A81&amp;",",","&amp;SUBSTITUTE(Screener!$D$17," ","")&amp;",")),2000000,IF(IF(OR(Screener!$B$18="All",AND(Screener!$B$18="With A-share",(Database!$BM81="Y")),AND(Screener!$B$18="Without A-share",NOT((Database!$BM81="Y")))),1,0)=0,-999999,IF(Screener!$B$16="cornerstone overlap first",H81*100000,IF(Screener!$B$16="demand-similar first",J81*100000,0))+W_SUB*B81+W_SEC*C81*(1-B81)+W_SIZE*D81+W_PROF*E81+W_AH*F81+W_REC*G81+W_CS*H81+W_PE*I81)))+ROW()/1000000</f>
        <v/>
      </c>
      <c r="AA81" s="220">
        <f>Database!B70</f>
        <v/>
      </c>
      <c r="AB81" s="220">
        <f>Database!D70</f>
        <v/>
      </c>
      <c r="AC81" s="220">
        <f>Database!E70</f>
        <v/>
      </c>
      <c r="AD81" s="220">
        <f>Database!I70</f>
        <v/>
      </c>
      <c r="AE81" s="220">
        <f>Database!BG70</f>
        <v/>
      </c>
      <c r="AF81" s="220">
        <f>Database!BM70</f>
        <v/>
      </c>
      <c r="AG81" s="220">
        <f>Database!H70</f>
        <v/>
      </c>
      <c r="AH81" s="220">
        <f>Database!BH70</f>
        <v/>
      </c>
    </row>
    <row r="82">
      <c r="A82" s="220">
        <f>Database!B82</f>
        <v/>
      </c>
      <c r="B82" s="220">
        <f>IF(AND(Screener!$D$8&lt;&gt;"",Database!$E82=Screener!$D$8),1,0)</f>
        <v/>
      </c>
      <c r="C82" s="220">
        <f>IF(AND(Screener!$D$7&lt;&gt;"",Database!$D82=Screener!$D$7),1,0)</f>
        <v/>
      </c>
      <c r="D82" s="220">
        <f>IF(OR(N(Database!$I82)&lt;=0,N(Screener!$D$9)&lt;=0),0,MAX(0,1-ABS(LOG10(N(Database!$I82)/Screener!$D$9))/W_SIZEHW))</f>
        <v/>
      </c>
      <c r="E82" s="220">
        <f>IF(OR(Database!$BG82="",Screener!$D$10=""),0,IF(Database!$BG82=Screener!$D$10,1,0))</f>
        <v/>
      </c>
      <c r="F82" s="220">
        <f>IF(OR(Database!$BM82="",Screener!$D$11=""),0,IF(Database!$BM82=Screener!$D$11,1,0))</f>
        <v/>
      </c>
      <c r="G82" s="220">
        <f>IF(OR(Database!$H82="",N(Screener!$D$12)&lt;=0),0,MAX(0,1-(N(Screener!$D$12)-Database!$H82)/W_RECD))</f>
        <v/>
      </c>
      <c r="H82" s="220">
        <f>IF($U$1="",0,N(ISNUMBER(SEARCH($U$1,Database!$AC82&amp;""))))+IF($V$1="",0,N(ISNUMBER(SEARCH($V$1,Database!$AC82&amp;""))))+IF($W$1="",0,N(ISNUMBER(SEARCH($W$1,Database!$AC82&amp;""))))+IF($X$1="",0,N(ISNUMBER(SEARCH($X$1,Database!$AC82&amp;""))))+IF($Y$1="",0,N(ISNUMBER(SEARCH($Y$1,Database!$AC82&amp;""))))+IF(Screener!$B$17="",0,N(ISNUMBER(SEARCH(LOWER(Screener!$B$17),Database!$AC82&amp;""))))</f>
        <v/>
      </c>
      <c r="I82" s="220">
        <f>IF(OR(N(Database!$BH82)&lt;=0,N(Screener!$D$13)&lt;=0),0,MAX(0,1-ABS(LOG10(N(Database!$BH82)/Screener!$D$13))/W_PEHW))</f>
        <v/>
      </c>
      <c r="J82" s="220">
        <f>IF(OR(N(Database!$S82)&lt;=0,N(Screener!$D$14)&lt;=0),0,MAX(0,1-ABS(LOG10(Database!$S82/Screener!$D$14))/0.6))</f>
        <v/>
      </c>
      <c r="K82" s="220">
        <f>IF(Database!$B82=Screener!$B$5,-999999,IF(ISNUMBER(SEARCH(","&amp;Database!$A82&amp;",",","&amp;SUBSTITUTE(Screener!$D$17," ","")&amp;",")),2000000,IF(IF(OR(Screener!$B$18="All",AND(Screener!$B$18="With A-share",(Database!$BM82="Y")),AND(Screener!$B$18="Without A-share",NOT((Database!$BM82="Y")))),1,0)=0,-999999,IF(Screener!$B$16="cornerstone overlap first",H82*100000,IF(Screener!$B$16="demand-similar first",J82*100000,0))+W_SUB*B82+W_SEC*C82*(1-B82)+W_SIZE*D82+W_PROF*E82+W_AH*F82+W_REC*G82+W_CS*H82+W_PE*I82)))+ROW()/1000000</f>
        <v/>
      </c>
      <c r="AA82" s="220">
        <f>Database!B71</f>
        <v/>
      </c>
      <c r="AB82" s="220">
        <f>Database!D71</f>
        <v/>
      </c>
      <c r="AC82" s="220">
        <f>Database!E71</f>
        <v/>
      </c>
      <c r="AD82" s="220">
        <f>Database!I71</f>
        <v/>
      </c>
      <c r="AE82" s="220">
        <f>Database!BG71</f>
        <v/>
      </c>
      <c r="AF82" s="220">
        <f>Database!BM71</f>
        <v/>
      </c>
      <c r="AG82" s="220">
        <f>Database!H71</f>
        <v/>
      </c>
      <c r="AH82" s="220">
        <f>Database!BH71</f>
        <v/>
      </c>
    </row>
    <row r="83">
      <c r="A83" s="220">
        <f>Database!B83</f>
        <v/>
      </c>
      <c r="B83" s="220">
        <f>IF(AND(Screener!$D$8&lt;&gt;"",Database!$E83=Screener!$D$8),1,0)</f>
        <v/>
      </c>
      <c r="C83" s="220">
        <f>IF(AND(Screener!$D$7&lt;&gt;"",Database!$D83=Screener!$D$7),1,0)</f>
        <v/>
      </c>
      <c r="D83" s="220">
        <f>IF(OR(N(Database!$I83)&lt;=0,N(Screener!$D$9)&lt;=0),0,MAX(0,1-ABS(LOG10(N(Database!$I83)/Screener!$D$9))/W_SIZEHW))</f>
        <v/>
      </c>
      <c r="E83" s="220">
        <f>IF(OR(Database!$BG83="",Screener!$D$10=""),0,IF(Database!$BG83=Screener!$D$10,1,0))</f>
        <v/>
      </c>
      <c r="F83" s="220">
        <f>IF(OR(Database!$BM83="",Screener!$D$11=""),0,IF(Database!$BM83=Screener!$D$11,1,0))</f>
        <v/>
      </c>
      <c r="G83" s="220">
        <f>IF(OR(Database!$H83="",N(Screener!$D$12)&lt;=0),0,MAX(0,1-(N(Screener!$D$12)-Database!$H83)/W_RECD))</f>
        <v/>
      </c>
      <c r="H83" s="220">
        <f>IF($U$1="",0,N(ISNUMBER(SEARCH($U$1,Database!$AC83&amp;""))))+IF($V$1="",0,N(ISNUMBER(SEARCH($V$1,Database!$AC83&amp;""))))+IF($W$1="",0,N(ISNUMBER(SEARCH($W$1,Database!$AC83&amp;""))))+IF($X$1="",0,N(ISNUMBER(SEARCH($X$1,Database!$AC83&amp;""))))+IF($Y$1="",0,N(ISNUMBER(SEARCH($Y$1,Database!$AC83&amp;""))))+IF(Screener!$B$17="",0,N(ISNUMBER(SEARCH(LOWER(Screener!$B$17),Database!$AC83&amp;""))))</f>
        <v/>
      </c>
      <c r="I83" s="220">
        <f>IF(OR(N(Database!$BH83)&lt;=0,N(Screener!$D$13)&lt;=0),0,MAX(0,1-ABS(LOG10(N(Database!$BH83)/Screener!$D$13))/W_PEHW))</f>
        <v/>
      </c>
      <c r="J83" s="220">
        <f>IF(OR(N(Database!$S83)&lt;=0,N(Screener!$D$14)&lt;=0),0,MAX(0,1-ABS(LOG10(Database!$S83/Screener!$D$14))/0.6))</f>
        <v/>
      </c>
      <c r="K83" s="220">
        <f>IF(Database!$B83=Screener!$B$5,-999999,IF(ISNUMBER(SEARCH(","&amp;Database!$A83&amp;",",","&amp;SUBSTITUTE(Screener!$D$17," ","")&amp;",")),2000000,IF(IF(OR(Screener!$B$18="All",AND(Screener!$B$18="With A-share",(Database!$BM83="Y")),AND(Screener!$B$18="Without A-share",NOT((Database!$BM83="Y")))),1,0)=0,-999999,IF(Screener!$B$16="cornerstone overlap first",H83*100000,IF(Screener!$B$16="demand-similar first",J83*100000,0))+W_SUB*B83+W_SEC*C83*(1-B83)+W_SIZE*D83+W_PROF*E83+W_AH*F83+W_REC*G83+W_CS*H83+W_PE*I83)))+ROW()/1000000</f>
        <v/>
      </c>
      <c r="AA83" s="220">
        <f>Database!B72</f>
        <v/>
      </c>
      <c r="AB83" s="220">
        <f>Database!D72</f>
        <v/>
      </c>
      <c r="AC83" s="220">
        <f>Database!E72</f>
        <v/>
      </c>
      <c r="AD83" s="220">
        <f>Database!I72</f>
        <v/>
      </c>
      <c r="AE83" s="220">
        <f>Database!BG72</f>
        <v/>
      </c>
      <c r="AF83" s="220">
        <f>Database!BM72</f>
        <v/>
      </c>
      <c r="AG83" s="220">
        <f>Database!H72</f>
        <v/>
      </c>
      <c r="AH83" s="220">
        <f>Database!BH72</f>
        <v/>
      </c>
    </row>
    <row r="84">
      <c r="A84" s="220">
        <f>Database!B84</f>
        <v/>
      </c>
      <c r="B84" s="220">
        <f>IF(AND(Screener!$D$8&lt;&gt;"",Database!$E84=Screener!$D$8),1,0)</f>
        <v/>
      </c>
      <c r="C84" s="220">
        <f>IF(AND(Screener!$D$7&lt;&gt;"",Database!$D84=Screener!$D$7),1,0)</f>
        <v/>
      </c>
      <c r="D84" s="220">
        <f>IF(OR(N(Database!$I84)&lt;=0,N(Screener!$D$9)&lt;=0),0,MAX(0,1-ABS(LOG10(N(Database!$I84)/Screener!$D$9))/W_SIZEHW))</f>
        <v/>
      </c>
      <c r="E84" s="220">
        <f>IF(OR(Database!$BG84="",Screener!$D$10=""),0,IF(Database!$BG84=Screener!$D$10,1,0))</f>
        <v/>
      </c>
      <c r="F84" s="220">
        <f>IF(OR(Database!$BM84="",Screener!$D$11=""),0,IF(Database!$BM84=Screener!$D$11,1,0))</f>
        <v/>
      </c>
      <c r="G84" s="220">
        <f>IF(OR(Database!$H84="",N(Screener!$D$12)&lt;=0),0,MAX(0,1-(N(Screener!$D$12)-Database!$H84)/W_RECD))</f>
        <v/>
      </c>
      <c r="H84" s="220">
        <f>IF($U$1="",0,N(ISNUMBER(SEARCH($U$1,Database!$AC84&amp;""))))+IF($V$1="",0,N(ISNUMBER(SEARCH($V$1,Database!$AC84&amp;""))))+IF($W$1="",0,N(ISNUMBER(SEARCH($W$1,Database!$AC84&amp;""))))+IF($X$1="",0,N(ISNUMBER(SEARCH($X$1,Database!$AC84&amp;""))))+IF($Y$1="",0,N(ISNUMBER(SEARCH($Y$1,Database!$AC84&amp;""))))+IF(Screener!$B$17="",0,N(ISNUMBER(SEARCH(LOWER(Screener!$B$17),Database!$AC84&amp;""))))</f>
        <v/>
      </c>
      <c r="I84" s="220">
        <f>IF(OR(N(Database!$BH84)&lt;=0,N(Screener!$D$13)&lt;=0),0,MAX(0,1-ABS(LOG10(N(Database!$BH84)/Screener!$D$13))/W_PEHW))</f>
        <v/>
      </c>
      <c r="J84" s="220">
        <f>IF(OR(N(Database!$S84)&lt;=0,N(Screener!$D$14)&lt;=0),0,MAX(0,1-ABS(LOG10(Database!$S84/Screener!$D$14))/0.6))</f>
        <v/>
      </c>
      <c r="K84" s="220">
        <f>IF(Database!$B84=Screener!$B$5,-999999,IF(ISNUMBER(SEARCH(","&amp;Database!$A84&amp;",",","&amp;SUBSTITUTE(Screener!$D$17," ","")&amp;",")),2000000,IF(IF(OR(Screener!$B$18="All",AND(Screener!$B$18="With A-share",(Database!$BM84="Y")),AND(Screener!$B$18="Without A-share",NOT((Database!$BM84="Y")))),1,0)=0,-999999,IF(Screener!$B$16="cornerstone overlap first",H84*100000,IF(Screener!$B$16="demand-similar first",J84*100000,0))+W_SUB*B84+W_SEC*C84*(1-B84)+W_SIZE*D84+W_PROF*E84+W_AH*F84+W_REC*G84+W_CS*H84+W_PE*I84)))+ROW()/1000000</f>
        <v/>
      </c>
      <c r="AA84" s="220">
        <f>Database!B73</f>
        <v/>
      </c>
      <c r="AB84" s="220">
        <f>Database!D73</f>
        <v/>
      </c>
      <c r="AC84" s="220">
        <f>Database!E73</f>
        <v/>
      </c>
      <c r="AD84" s="220">
        <f>Database!I73</f>
        <v/>
      </c>
      <c r="AE84" s="220">
        <f>Database!BG73</f>
        <v/>
      </c>
      <c r="AF84" s="220">
        <f>Database!BM73</f>
        <v/>
      </c>
      <c r="AG84" s="220">
        <f>Database!H73</f>
        <v/>
      </c>
      <c r="AH84" s="220">
        <f>Database!BH73</f>
        <v/>
      </c>
    </row>
    <row r="85">
      <c r="A85" s="220">
        <f>Database!B85</f>
        <v/>
      </c>
      <c r="B85" s="220">
        <f>IF(AND(Screener!$D$8&lt;&gt;"",Database!$E85=Screener!$D$8),1,0)</f>
        <v/>
      </c>
      <c r="C85" s="220">
        <f>IF(AND(Screener!$D$7&lt;&gt;"",Database!$D85=Screener!$D$7),1,0)</f>
        <v/>
      </c>
      <c r="D85" s="220">
        <f>IF(OR(N(Database!$I85)&lt;=0,N(Screener!$D$9)&lt;=0),0,MAX(0,1-ABS(LOG10(N(Database!$I85)/Screener!$D$9))/W_SIZEHW))</f>
        <v/>
      </c>
      <c r="E85" s="220">
        <f>IF(OR(Database!$BG85="",Screener!$D$10=""),0,IF(Database!$BG85=Screener!$D$10,1,0))</f>
        <v/>
      </c>
      <c r="F85" s="220">
        <f>IF(OR(Database!$BM85="",Screener!$D$11=""),0,IF(Database!$BM85=Screener!$D$11,1,0))</f>
        <v/>
      </c>
      <c r="G85" s="220">
        <f>IF(OR(Database!$H85="",N(Screener!$D$12)&lt;=0),0,MAX(0,1-(N(Screener!$D$12)-Database!$H85)/W_RECD))</f>
        <v/>
      </c>
      <c r="H85" s="220">
        <f>IF($U$1="",0,N(ISNUMBER(SEARCH($U$1,Database!$AC85&amp;""))))+IF($V$1="",0,N(ISNUMBER(SEARCH($V$1,Database!$AC85&amp;""))))+IF($W$1="",0,N(ISNUMBER(SEARCH($W$1,Database!$AC85&amp;""))))+IF($X$1="",0,N(ISNUMBER(SEARCH($X$1,Database!$AC85&amp;""))))+IF($Y$1="",0,N(ISNUMBER(SEARCH($Y$1,Database!$AC85&amp;""))))+IF(Screener!$B$17="",0,N(ISNUMBER(SEARCH(LOWER(Screener!$B$17),Database!$AC85&amp;""))))</f>
        <v/>
      </c>
      <c r="I85" s="220">
        <f>IF(OR(N(Database!$BH85)&lt;=0,N(Screener!$D$13)&lt;=0),0,MAX(0,1-ABS(LOG10(N(Database!$BH85)/Screener!$D$13))/W_PEHW))</f>
        <v/>
      </c>
      <c r="J85" s="220">
        <f>IF(OR(N(Database!$S85)&lt;=0,N(Screener!$D$14)&lt;=0),0,MAX(0,1-ABS(LOG10(Database!$S85/Screener!$D$14))/0.6))</f>
        <v/>
      </c>
      <c r="K85" s="220">
        <f>IF(Database!$B85=Screener!$B$5,-999999,IF(ISNUMBER(SEARCH(","&amp;Database!$A85&amp;",",","&amp;SUBSTITUTE(Screener!$D$17," ","")&amp;",")),2000000,IF(IF(OR(Screener!$B$18="All",AND(Screener!$B$18="With A-share",(Database!$BM85="Y")),AND(Screener!$B$18="Without A-share",NOT((Database!$BM85="Y")))),1,0)=0,-999999,IF(Screener!$B$16="cornerstone overlap first",H85*100000,IF(Screener!$B$16="demand-similar first",J85*100000,0))+W_SUB*B85+W_SEC*C85*(1-B85)+W_SIZE*D85+W_PROF*E85+W_AH*F85+W_REC*G85+W_CS*H85+W_PE*I85)))+ROW()/1000000</f>
        <v/>
      </c>
      <c r="AA85" s="220">
        <f>Database!B74</f>
        <v/>
      </c>
      <c r="AB85" s="220">
        <f>Database!D74</f>
        <v/>
      </c>
      <c r="AC85" s="220">
        <f>Database!E74</f>
        <v/>
      </c>
      <c r="AD85" s="220">
        <f>Database!I74</f>
        <v/>
      </c>
      <c r="AE85" s="220">
        <f>Database!BG74</f>
        <v/>
      </c>
      <c r="AF85" s="220">
        <f>Database!BM74</f>
        <v/>
      </c>
      <c r="AG85" s="220">
        <f>Database!H74</f>
        <v/>
      </c>
      <c r="AH85" s="220">
        <f>Database!BH74</f>
        <v/>
      </c>
    </row>
    <row r="86">
      <c r="A86" s="220">
        <f>Database!B86</f>
        <v/>
      </c>
      <c r="B86" s="220">
        <f>IF(AND(Screener!$D$8&lt;&gt;"",Database!$E86=Screener!$D$8),1,0)</f>
        <v/>
      </c>
      <c r="C86" s="220">
        <f>IF(AND(Screener!$D$7&lt;&gt;"",Database!$D86=Screener!$D$7),1,0)</f>
        <v/>
      </c>
      <c r="D86" s="220">
        <f>IF(OR(N(Database!$I86)&lt;=0,N(Screener!$D$9)&lt;=0),0,MAX(0,1-ABS(LOG10(N(Database!$I86)/Screener!$D$9))/W_SIZEHW))</f>
        <v/>
      </c>
      <c r="E86" s="220">
        <f>IF(OR(Database!$BG86="",Screener!$D$10=""),0,IF(Database!$BG86=Screener!$D$10,1,0))</f>
        <v/>
      </c>
      <c r="F86" s="220">
        <f>IF(OR(Database!$BM86="",Screener!$D$11=""),0,IF(Database!$BM86=Screener!$D$11,1,0))</f>
        <v/>
      </c>
      <c r="G86" s="220">
        <f>IF(OR(Database!$H86="",N(Screener!$D$12)&lt;=0),0,MAX(0,1-(N(Screener!$D$12)-Database!$H86)/W_RECD))</f>
        <v/>
      </c>
      <c r="H86" s="220">
        <f>IF($U$1="",0,N(ISNUMBER(SEARCH($U$1,Database!$AC86&amp;""))))+IF($V$1="",0,N(ISNUMBER(SEARCH($V$1,Database!$AC86&amp;""))))+IF($W$1="",0,N(ISNUMBER(SEARCH($W$1,Database!$AC86&amp;""))))+IF($X$1="",0,N(ISNUMBER(SEARCH($X$1,Database!$AC86&amp;""))))+IF($Y$1="",0,N(ISNUMBER(SEARCH($Y$1,Database!$AC86&amp;""))))+IF(Screener!$B$17="",0,N(ISNUMBER(SEARCH(LOWER(Screener!$B$17),Database!$AC86&amp;""))))</f>
        <v/>
      </c>
      <c r="I86" s="220">
        <f>IF(OR(N(Database!$BH86)&lt;=0,N(Screener!$D$13)&lt;=0),0,MAX(0,1-ABS(LOG10(N(Database!$BH86)/Screener!$D$13))/W_PEHW))</f>
        <v/>
      </c>
      <c r="J86" s="220">
        <f>IF(OR(N(Database!$S86)&lt;=0,N(Screener!$D$14)&lt;=0),0,MAX(0,1-ABS(LOG10(Database!$S86/Screener!$D$14))/0.6))</f>
        <v/>
      </c>
      <c r="K86" s="220">
        <f>IF(Database!$B86=Screener!$B$5,-999999,IF(ISNUMBER(SEARCH(","&amp;Database!$A86&amp;",",","&amp;SUBSTITUTE(Screener!$D$17," ","")&amp;",")),2000000,IF(IF(OR(Screener!$B$18="All",AND(Screener!$B$18="With A-share",(Database!$BM86="Y")),AND(Screener!$B$18="Without A-share",NOT((Database!$BM86="Y")))),1,0)=0,-999999,IF(Screener!$B$16="cornerstone overlap first",H86*100000,IF(Screener!$B$16="demand-similar first",J86*100000,0))+W_SUB*B86+W_SEC*C86*(1-B86)+W_SIZE*D86+W_PROF*E86+W_AH*F86+W_REC*G86+W_CS*H86+W_PE*I86)))+ROW()/1000000</f>
        <v/>
      </c>
      <c r="AA86" s="220">
        <f>Database!B75</f>
        <v/>
      </c>
      <c r="AB86" s="220">
        <f>Database!D75</f>
        <v/>
      </c>
      <c r="AC86" s="220">
        <f>Database!E75</f>
        <v/>
      </c>
      <c r="AD86" s="220">
        <f>Database!I75</f>
        <v/>
      </c>
      <c r="AE86" s="220">
        <f>Database!BG75</f>
        <v/>
      </c>
      <c r="AF86" s="220">
        <f>Database!BM75</f>
        <v/>
      </c>
      <c r="AG86" s="220">
        <f>Database!H75</f>
        <v/>
      </c>
      <c r="AH86" s="220">
        <f>Database!BH75</f>
        <v/>
      </c>
    </row>
    <row r="87">
      <c r="A87" s="220">
        <f>Database!B87</f>
        <v/>
      </c>
      <c r="B87" s="220">
        <f>IF(AND(Screener!$D$8&lt;&gt;"",Database!$E87=Screener!$D$8),1,0)</f>
        <v/>
      </c>
      <c r="C87" s="220">
        <f>IF(AND(Screener!$D$7&lt;&gt;"",Database!$D87=Screener!$D$7),1,0)</f>
        <v/>
      </c>
      <c r="D87" s="220">
        <f>IF(OR(N(Database!$I87)&lt;=0,N(Screener!$D$9)&lt;=0),0,MAX(0,1-ABS(LOG10(N(Database!$I87)/Screener!$D$9))/W_SIZEHW))</f>
        <v/>
      </c>
      <c r="E87" s="220">
        <f>IF(OR(Database!$BG87="",Screener!$D$10=""),0,IF(Database!$BG87=Screener!$D$10,1,0))</f>
        <v/>
      </c>
      <c r="F87" s="220">
        <f>IF(OR(Database!$BM87="",Screener!$D$11=""),0,IF(Database!$BM87=Screener!$D$11,1,0))</f>
        <v/>
      </c>
      <c r="G87" s="220">
        <f>IF(OR(Database!$H87="",N(Screener!$D$12)&lt;=0),0,MAX(0,1-(N(Screener!$D$12)-Database!$H87)/W_RECD))</f>
        <v/>
      </c>
      <c r="H87" s="220">
        <f>IF($U$1="",0,N(ISNUMBER(SEARCH($U$1,Database!$AC87&amp;""))))+IF($V$1="",0,N(ISNUMBER(SEARCH($V$1,Database!$AC87&amp;""))))+IF($W$1="",0,N(ISNUMBER(SEARCH($W$1,Database!$AC87&amp;""))))+IF($X$1="",0,N(ISNUMBER(SEARCH($X$1,Database!$AC87&amp;""))))+IF($Y$1="",0,N(ISNUMBER(SEARCH($Y$1,Database!$AC87&amp;""))))+IF(Screener!$B$17="",0,N(ISNUMBER(SEARCH(LOWER(Screener!$B$17),Database!$AC87&amp;""))))</f>
        <v/>
      </c>
      <c r="I87" s="220">
        <f>IF(OR(N(Database!$BH87)&lt;=0,N(Screener!$D$13)&lt;=0),0,MAX(0,1-ABS(LOG10(N(Database!$BH87)/Screener!$D$13))/W_PEHW))</f>
        <v/>
      </c>
      <c r="J87" s="220">
        <f>IF(OR(N(Database!$S87)&lt;=0,N(Screener!$D$14)&lt;=0),0,MAX(0,1-ABS(LOG10(Database!$S87/Screener!$D$14))/0.6))</f>
        <v/>
      </c>
      <c r="K87" s="220">
        <f>IF(Database!$B87=Screener!$B$5,-999999,IF(ISNUMBER(SEARCH(","&amp;Database!$A87&amp;",",","&amp;SUBSTITUTE(Screener!$D$17," ","")&amp;",")),2000000,IF(IF(OR(Screener!$B$18="All",AND(Screener!$B$18="With A-share",(Database!$BM87="Y")),AND(Screener!$B$18="Without A-share",NOT((Database!$BM87="Y")))),1,0)=0,-999999,IF(Screener!$B$16="cornerstone overlap first",H87*100000,IF(Screener!$B$16="demand-similar first",J87*100000,0))+W_SUB*B87+W_SEC*C87*(1-B87)+W_SIZE*D87+W_PROF*E87+W_AH*F87+W_REC*G87+W_CS*H87+W_PE*I87)))+ROW()/1000000</f>
        <v/>
      </c>
      <c r="AA87" s="220">
        <f>Database!B76</f>
        <v/>
      </c>
      <c r="AB87" s="220">
        <f>Database!D76</f>
        <v/>
      </c>
      <c r="AC87" s="220">
        <f>Database!E76</f>
        <v/>
      </c>
      <c r="AD87" s="220">
        <f>Database!I76</f>
        <v/>
      </c>
      <c r="AE87" s="220">
        <f>Database!BG76</f>
        <v/>
      </c>
      <c r="AF87" s="220">
        <f>Database!BM76</f>
        <v/>
      </c>
      <c r="AG87" s="220">
        <f>Database!H76</f>
        <v/>
      </c>
      <c r="AH87" s="220">
        <f>Database!BH76</f>
        <v/>
      </c>
    </row>
    <row r="88">
      <c r="A88" s="220">
        <f>Database!B88</f>
        <v/>
      </c>
      <c r="B88" s="220">
        <f>IF(AND(Screener!$D$8&lt;&gt;"",Database!$E88=Screener!$D$8),1,0)</f>
        <v/>
      </c>
      <c r="C88" s="220">
        <f>IF(AND(Screener!$D$7&lt;&gt;"",Database!$D88=Screener!$D$7),1,0)</f>
        <v/>
      </c>
      <c r="D88" s="220">
        <f>IF(OR(N(Database!$I88)&lt;=0,N(Screener!$D$9)&lt;=0),0,MAX(0,1-ABS(LOG10(N(Database!$I88)/Screener!$D$9))/W_SIZEHW))</f>
        <v/>
      </c>
      <c r="E88" s="220">
        <f>IF(OR(Database!$BG88="",Screener!$D$10=""),0,IF(Database!$BG88=Screener!$D$10,1,0))</f>
        <v/>
      </c>
      <c r="F88" s="220">
        <f>IF(OR(Database!$BM88="",Screener!$D$11=""),0,IF(Database!$BM88=Screener!$D$11,1,0))</f>
        <v/>
      </c>
      <c r="G88" s="220">
        <f>IF(OR(Database!$H88="",N(Screener!$D$12)&lt;=0),0,MAX(0,1-(N(Screener!$D$12)-Database!$H88)/W_RECD))</f>
        <v/>
      </c>
      <c r="H88" s="220">
        <f>IF($U$1="",0,N(ISNUMBER(SEARCH($U$1,Database!$AC88&amp;""))))+IF($V$1="",0,N(ISNUMBER(SEARCH($V$1,Database!$AC88&amp;""))))+IF($W$1="",0,N(ISNUMBER(SEARCH($W$1,Database!$AC88&amp;""))))+IF($X$1="",0,N(ISNUMBER(SEARCH($X$1,Database!$AC88&amp;""))))+IF($Y$1="",0,N(ISNUMBER(SEARCH($Y$1,Database!$AC88&amp;""))))+IF(Screener!$B$17="",0,N(ISNUMBER(SEARCH(LOWER(Screener!$B$17),Database!$AC88&amp;""))))</f>
        <v/>
      </c>
      <c r="I88" s="220">
        <f>IF(OR(N(Database!$BH88)&lt;=0,N(Screener!$D$13)&lt;=0),0,MAX(0,1-ABS(LOG10(N(Database!$BH88)/Screener!$D$13))/W_PEHW))</f>
        <v/>
      </c>
      <c r="J88" s="220">
        <f>IF(OR(N(Database!$S88)&lt;=0,N(Screener!$D$14)&lt;=0),0,MAX(0,1-ABS(LOG10(Database!$S88/Screener!$D$14))/0.6))</f>
        <v/>
      </c>
      <c r="K88" s="220">
        <f>IF(Database!$B88=Screener!$B$5,-999999,IF(ISNUMBER(SEARCH(","&amp;Database!$A88&amp;",",","&amp;SUBSTITUTE(Screener!$D$17," ","")&amp;",")),2000000,IF(IF(OR(Screener!$B$18="All",AND(Screener!$B$18="With A-share",(Database!$BM88="Y")),AND(Screener!$B$18="Without A-share",NOT((Database!$BM88="Y")))),1,0)=0,-999999,IF(Screener!$B$16="cornerstone overlap first",H88*100000,IF(Screener!$B$16="demand-similar first",J88*100000,0))+W_SUB*B88+W_SEC*C88*(1-B88)+W_SIZE*D88+W_PROF*E88+W_AH*F88+W_REC*G88+W_CS*H88+W_PE*I88)))+ROW()/1000000</f>
        <v/>
      </c>
      <c r="AA88" s="220">
        <f>Database!B77</f>
        <v/>
      </c>
      <c r="AB88" s="220">
        <f>Database!D77</f>
        <v/>
      </c>
      <c r="AC88" s="220">
        <f>Database!E77</f>
        <v/>
      </c>
      <c r="AD88" s="220">
        <f>Database!I77</f>
        <v/>
      </c>
      <c r="AE88" s="220">
        <f>Database!BG77</f>
        <v/>
      </c>
      <c r="AF88" s="220">
        <f>Database!BM77</f>
        <v/>
      </c>
      <c r="AG88" s="220">
        <f>Database!H77</f>
        <v/>
      </c>
      <c r="AH88" s="220">
        <f>Database!BH77</f>
        <v/>
      </c>
    </row>
    <row r="89">
      <c r="A89" s="220">
        <f>Database!B89</f>
        <v/>
      </c>
      <c r="B89" s="220">
        <f>IF(AND(Screener!$D$8&lt;&gt;"",Database!$E89=Screener!$D$8),1,0)</f>
        <v/>
      </c>
      <c r="C89" s="220">
        <f>IF(AND(Screener!$D$7&lt;&gt;"",Database!$D89=Screener!$D$7),1,0)</f>
        <v/>
      </c>
      <c r="D89" s="220">
        <f>IF(OR(N(Database!$I89)&lt;=0,N(Screener!$D$9)&lt;=0),0,MAX(0,1-ABS(LOG10(N(Database!$I89)/Screener!$D$9))/W_SIZEHW))</f>
        <v/>
      </c>
      <c r="E89" s="220">
        <f>IF(OR(Database!$BG89="",Screener!$D$10=""),0,IF(Database!$BG89=Screener!$D$10,1,0))</f>
        <v/>
      </c>
      <c r="F89" s="220">
        <f>IF(OR(Database!$BM89="",Screener!$D$11=""),0,IF(Database!$BM89=Screener!$D$11,1,0))</f>
        <v/>
      </c>
      <c r="G89" s="220">
        <f>IF(OR(Database!$H89="",N(Screener!$D$12)&lt;=0),0,MAX(0,1-(N(Screener!$D$12)-Database!$H89)/W_RECD))</f>
        <v/>
      </c>
      <c r="H89" s="220">
        <f>IF($U$1="",0,N(ISNUMBER(SEARCH($U$1,Database!$AC89&amp;""))))+IF($V$1="",0,N(ISNUMBER(SEARCH($V$1,Database!$AC89&amp;""))))+IF($W$1="",0,N(ISNUMBER(SEARCH($W$1,Database!$AC89&amp;""))))+IF($X$1="",0,N(ISNUMBER(SEARCH($X$1,Database!$AC89&amp;""))))+IF($Y$1="",0,N(ISNUMBER(SEARCH($Y$1,Database!$AC89&amp;""))))+IF(Screener!$B$17="",0,N(ISNUMBER(SEARCH(LOWER(Screener!$B$17),Database!$AC89&amp;""))))</f>
        <v/>
      </c>
      <c r="I89" s="220">
        <f>IF(OR(N(Database!$BH89)&lt;=0,N(Screener!$D$13)&lt;=0),0,MAX(0,1-ABS(LOG10(N(Database!$BH89)/Screener!$D$13))/W_PEHW))</f>
        <v/>
      </c>
      <c r="J89" s="220">
        <f>IF(OR(N(Database!$S89)&lt;=0,N(Screener!$D$14)&lt;=0),0,MAX(0,1-ABS(LOG10(Database!$S89/Screener!$D$14))/0.6))</f>
        <v/>
      </c>
      <c r="K89" s="220">
        <f>IF(Database!$B89=Screener!$B$5,-999999,IF(ISNUMBER(SEARCH(","&amp;Database!$A89&amp;",",","&amp;SUBSTITUTE(Screener!$D$17," ","")&amp;",")),2000000,IF(IF(OR(Screener!$B$18="All",AND(Screener!$B$18="With A-share",(Database!$BM89="Y")),AND(Screener!$B$18="Without A-share",NOT((Database!$BM89="Y")))),1,0)=0,-999999,IF(Screener!$B$16="cornerstone overlap first",H89*100000,IF(Screener!$B$16="demand-similar first",J89*100000,0))+W_SUB*B89+W_SEC*C89*(1-B89)+W_SIZE*D89+W_PROF*E89+W_AH*F89+W_REC*G89+W_CS*H89+W_PE*I89)))+ROW()/1000000</f>
        <v/>
      </c>
      <c r="AA89" s="220">
        <f>Database!B78</f>
        <v/>
      </c>
      <c r="AB89" s="220">
        <f>Database!D78</f>
        <v/>
      </c>
      <c r="AC89" s="220">
        <f>Database!E78</f>
        <v/>
      </c>
      <c r="AD89" s="220">
        <f>Database!I78</f>
        <v/>
      </c>
      <c r="AE89" s="220">
        <f>Database!BG78</f>
        <v/>
      </c>
      <c r="AF89" s="220">
        <f>Database!BM78</f>
        <v/>
      </c>
      <c r="AG89" s="220">
        <f>Database!H78</f>
        <v/>
      </c>
      <c r="AH89" s="220">
        <f>Database!BH78</f>
        <v/>
      </c>
    </row>
    <row r="90">
      <c r="A90" s="220">
        <f>Database!B90</f>
        <v/>
      </c>
      <c r="B90" s="220">
        <f>IF(AND(Screener!$D$8&lt;&gt;"",Database!$E90=Screener!$D$8),1,0)</f>
        <v/>
      </c>
      <c r="C90" s="220">
        <f>IF(AND(Screener!$D$7&lt;&gt;"",Database!$D90=Screener!$D$7),1,0)</f>
        <v/>
      </c>
      <c r="D90" s="220">
        <f>IF(OR(N(Database!$I90)&lt;=0,N(Screener!$D$9)&lt;=0),0,MAX(0,1-ABS(LOG10(N(Database!$I90)/Screener!$D$9))/W_SIZEHW))</f>
        <v/>
      </c>
      <c r="E90" s="220">
        <f>IF(OR(Database!$BG90="",Screener!$D$10=""),0,IF(Database!$BG90=Screener!$D$10,1,0))</f>
        <v/>
      </c>
      <c r="F90" s="220">
        <f>IF(OR(Database!$BM90="",Screener!$D$11=""),0,IF(Database!$BM90=Screener!$D$11,1,0))</f>
        <v/>
      </c>
      <c r="G90" s="220">
        <f>IF(OR(Database!$H90="",N(Screener!$D$12)&lt;=0),0,MAX(0,1-(N(Screener!$D$12)-Database!$H90)/W_RECD))</f>
        <v/>
      </c>
      <c r="H90" s="220">
        <f>IF($U$1="",0,N(ISNUMBER(SEARCH($U$1,Database!$AC90&amp;""))))+IF($V$1="",0,N(ISNUMBER(SEARCH($V$1,Database!$AC90&amp;""))))+IF($W$1="",0,N(ISNUMBER(SEARCH($W$1,Database!$AC90&amp;""))))+IF($X$1="",0,N(ISNUMBER(SEARCH($X$1,Database!$AC90&amp;""))))+IF($Y$1="",0,N(ISNUMBER(SEARCH($Y$1,Database!$AC90&amp;""))))+IF(Screener!$B$17="",0,N(ISNUMBER(SEARCH(LOWER(Screener!$B$17),Database!$AC90&amp;""))))</f>
        <v/>
      </c>
      <c r="I90" s="220">
        <f>IF(OR(N(Database!$BH90)&lt;=0,N(Screener!$D$13)&lt;=0),0,MAX(0,1-ABS(LOG10(N(Database!$BH90)/Screener!$D$13))/W_PEHW))</f>
        <v/>
      </c>
      <c r="J90" s="220">
        <f>IF(OR(N(Database!$S90)&lt;=0,N(Screener!$D$14)&lt;=0),0,MAX(0,1-ABS(LOG10(Database!$S90/Screener!$D$14))/0.6))</f>
        <v/>
      </c>
      <c r="K90" s="220">
        <f>IF(Database!$B90=Screener!$B$5,-999999,IF(ISNUMBER(SEARCH(","&amp;Database!$A90&amp;",",","&amp;SUBSTITUTE(Screener!$D$17," ","")&amp;",")),2000000,IF(IF(OR(Screener!$B$18="All",AND(Screener!$B$18="With A-share",(Database!$BM90="Y")),AND(Screener!$B$18="Without A-share",NOT((Database!$BM90="Y")))),1,0)=0,-999999,IF(Screener!$B$16="cornerstone overlap first",H90*100000,IF(Screener!$B$16="demand-similar first",J90*100000,0))+W_SUB*B90+W_SEC*C90*(1-B90)+W_SIZE*D90+W_PROF*E90+W_AH*F90+W_REC*G90+W_CS*H90+W_PE*I90)))+ROW()/1000000</f>
        <v/>
      </c>
      <c r="AA90" s="220">
        <f>Database!B79</f>
        <v/>
      </c>
      <c r="AB90" s="220">
        <f>Database!D79</f>
        <v/>
      </c>
      <c r="AC90" s="220">
        <f>Database!E79</f>
        <v/>
      </c>
      <c r="AD90" s="220">
        <f>Database!I79</f>
        <v/>
      </c>
      <c r="AE90" s="220">
        <f>Database!BG79</f>
        <v/>
      </c>
      <c r="AF90" s="220">
        <f>Database!BM79</f>
        <v/>
      </c>
      <c r="AG90" s="220">
        <f>Database!H79</f>
        <v/>
      </c>
      <c r="AH90" s="220">
        <f>Database!BH79</f>
        <v/>
      </c>
    </row>
    <row r="91">
      <c r="A91" s="220">
        <f>Database!B91</f>
        <v/>
      </c>
      <c r="B91" s="220">
        <f>IF(AND(Screener!$D$8&lt;&gt;"",Database!$E91=Screener!$D$8),1,0)</f>
        <v/>
      </c>
      <c r="C91" s="220">
        <f>IF(AND(Screener!$D$7&lt;&gt;"",Database!$D91=Screener!$D$7),1,0)</f>
        <v/>
      </c>
      <c r="D91" s="220">
        <f>IF(OR(N(Database!$I91)&lt;=0,N(Screener!$D$9)&lt;=0),0,MAX(0,1-ABS(LOG10(N(Database!$I91)/Screener!$D$9))/W_SIZEHW))</f>
        <v/>
      </c>
      <c r="E91" s="220">
        <f>IF(OR(Database!$BG91="",Screener!$D$10=""),0,IF(Database!$BG91=Screener!$D$10,1,0))</f>
        <v/>
      </c>
      <c r="F91" s="220">
        <f>IF(OR(Database!$BM91="",Screener!$D$11=""),0,IF(Database!$BM91=Screener!$D$11,1,0))</f>
        <v/>
      </c>
      <c r="G91" s="220">
        <f>IF(OR(Database!$H91="",N(Screener!$D$12)&lt;=0),0,MAX(0,1-(N(Screener!$D$12)-Database!$H91)/W_RECD))</f>
        <v/>
      </c>
      <c r="H91" s="220">
        <f>IF($U$1="",0,N(ISNUMBER(SEARCH($U$1,Database!$AC91&amp;""))))+IF($V$1="",0,N(ISNUMBER(SEARCH($V$1,Database!$AC91&amp;""))))+IF($W$1="",0,N(ISNUMBER(SEARCH($W$1,Database!$AC91&amp;""))))+IF($X$1="",0,N(ISNUMBER(SEARCH($X$1,Database!$AC91&amp;""))))+IF($Y$1="",0,N(ISNUMBER(SEARCH($Y$1,Database!$AC91&amp;""))))+IF(Screener!$B$17="",0,N(ISNUMBER(SEARCH(LOWER(Screener!$B$17),Database!$AC91&amp;""))))</f>
        <v/>
      </c>
      <c r="I91" s="220">
        <f>IF(OR(N(Database!$BH91)&lt;=0,N(Screener!$D$13)&lt;=0),0,MAX(0,1-ABS(LOG10(N(Database!$BH91)/Screener!$D$13))/W_PEHW))</f>
        <v/>
      </c>
      <c r="J91" s="220">
        <f>IF(OR(N(Database!$S91)&lt;=0,N(Screener!$D$14)&lt;=0),0,MAX(0,1-ABS(LOG10(Database!$S91/Screener!$D$14))/0.6))</f>
        <v/>
      </c>
      <c r="K91" s="220">
        <f>IF(Database!$B91=Screener!$B$5,-999999,IF(ISNUMBER(SEARCH(","&amp;Database!$A91&amp;",",","&amp;SUBSTITUTE(Screener!$D$17," ","")&amp;",")),2000000,IF(IF(OR(Screener!$B$18="All",AND(Screener!$B$18="With A-share",(Database!$BM91="Y")),AND(Screener!$B$18="Without A-share",NOT((Database!$BM91="Y")))),1,0)=0,-999999,IF(Screener!$B$16="cornerstone overlap first",H91*100000,IF(Screener!$B$16="demand-similar first",J91*100000,0))+W_SUB*B91+W_SEC*C91*(1-B91)+W_SIZE*D91+W_PROF*E91+W_AH*F91+W_REC*G91+W_CS*H91+W_PE*I91)))+ROW()/1000000</f>
        <v/>
      </c>
      <c r="AA91" s="220">
        <f>Database!B80</f>
        <v/>
      </c>
      <c r="AB91" s="220">
        <f>Database!D80</f>
        <v/>
      </c>
      <c r="AC91" s="220">
        <f>Database!E80</f>
        <v/>
      </c>
      <c r="AD91" s="220">
        <f>Database!I80</f>
        <v/>
      </c>
      <c r="AE91" s="220">
        <f>Database!BG80</f>
        <v/>
      </c>
      <c r="AF91" s="220">
        <f>Database!BM80</f>
        <v/>
      </c>
      <c r="AG91" s="220">
        <f>Database!H80</f>
        <v/>
      </c>
      <c r="AH91" s="220">
        <f>Database!BH80</f>
        <v/>
      </c>
    </row>
    <row r="92">
      <c r="A92" s="220">
        <f>Database!B92</f>
        <v/>
      </c>
      <c r="B92" s="220">
        <f>IF(AND(Screener!$D$8&lt;&gt;"",Database!$E92=Screener!$D$8),1,0)</f>
        <v/>
      </c>
      <c r="C92" s="220">
        <f>IF(AND(Screener!$D$7&lt;&gt;"",Database!$D92=Screener!$D$7),1,0)</f>
        <v/>
      </c>
      <c r="D92" s="220">
        <f>IF(OR(N(Database!$I92)&lt;=0,N(Screener!$D$9)&lt;=0),0,MAX(0,1-ABS(LOG10(N(Database!$I92)/Screener!$D$9))/W_SIZEHW))</f>
        <v/>
      </c>
      <c r="E92" s="220">
        <f>IF(OR(Database!$BG92="",Screener!$D$10=""),0,IF(Database!$BG92=Screener!$D$10,1,0))</f>
        <v/>
      </c>
      <c r="F92" s="220">
        <f>IF(OR(Database!$BM92="",Screener!$D$11=""),0,IF(Database!$BM92=Screener!$D$11,1,0))</f>
        <v/>
      </c>
      <c r="G92" s="220">
        <f>IF(OR(Database!$H92="",N(Screener!$D$12)&lt;=0),0,MAX(0,1-(N(Screener!$D$12)-Database!$H92)/W_RECD))</f>
        <v/>
      </c>
      <c r="H92" s="220">
        <f>IF($U$1="",0,N(ISNUMBER(SEARCH($U$1,Database!$AC92&amp;""))))+IF($V$1="",0,N(ISNUMBER(SEARCH($V$1,Database!$AC92&amp;""))))+IF($W$1="",0,N(ISNUMBER(SEARCH($W$1,Database!$AC92&amp;""))))+IF($X$1="",0,N(ISNUMBER(SEARCH($X$1,Database!$AC92&amp;""))))+IF($Y$1="",0,N(ISNUMBER(SEARCH($Y$1,Database!$AC92&amp;""))))+IF(Screener!$B$17="",0,N(ISNUMBER(SEARCH(LOWER(Screener!$B$17),Database!$AC92&amp;""))))</f>
        <v/>
      </c>
      <c r="I92" s="220">
        <f>IF(OR(N(Database!$BH92)&lt;=0,N(Screener!$D$13)&lt;=0),0,MAX(0,1-ABS(LOG10(N(Database!$BH92)/Screener!$D$13))/W_PEHW))</f>
        <v/>
      </c>
      <c r="J92" s="220">
        <f>IF(OR(N(Database!$S92)&lt;=0,N(Screener!$D$14)&lt;=0),0,MAX(0,1-ABS(LOG10(Database!$S92/Screener!$D$14))/0.6))</f>
        <v/>
      </c>
      <c r="K92" s="220">
        <f>IF(Database!$B92=Screener!$B$5,-999999,IF(ISNUMBER(SEARCH(","&amp;Database!$A92&amp;",",","&amp;SUBSTITUTE(Screener!$D$17," ","")&amp;",")),2000000,IF(IF(OR(Screener!$B$18="All",AND(Screener!$B$18="With A-share",(Database!$BM92="Y")),AND(Screener!$B$18="Without A-share",NOT((Database!$BM92="Y")))),1,0)=0,-999999,IF(Screener!$B$16="cornerstone overlap first",H92*100000,IF(Screener!$B$16="demand-similar first",J92*100000,0))+W_SUB*B92+W_SEC*C92*(1-B92)+W_SIZE*D92+W_PROF*E92+W_AH*F92+W_REC*G92+W_CS*H92+W_PE*I92)))+ROW()/1000000</f>
        <v/>
      </c>
      <c r="AA92" s="220">
        <f>Database!B81</f>
        <v/>
      </c>
      <c r="AB92" s="220">
        <f>Database!D81</f>
        <v/>
      </c>
      <c r="AC92" s="220">
        <f>Database!E81</f>
        <v/>
      </c>
      <c r="AD92" s="220">
        <f>Database!I81</f>
        <v/>
      </c>
      <c r="AE92" s="220">
        <f>Database!BG81</f>
        <v/>
      </c>
      <c r="AF92" s="220">
        <f>Database!BM81</f>
        <v/>
      </c>
      <c r="AG92" s="220">
        <f>Database!H81</f>
        <v/>
      </c>
      <c r="AH92" s="220">
        <f>Database!BH81</f>
        <v/>
      </c>
    </row>
    <row r="93">
      <c r="A93" s="220">
        <f>Database!B93</f>
        <v/>
      </c>
      <c r="B93" s="220">
        <f>IF(AND(Screener!$D$8&lt;&gt;"",Database!$E93=Screener!$D$8),1,0)</f>
        <v/>
      </c>
      <c r="C93" s="220">
        <f>IF(AND(Screener!$D$7&lt;&gt;"",Database!$D93=Screener!$D$7),1,0)</f>
        <v/>
      </c>
      <c r="D93" s="220">
        <f>IF(OR(N(Database!$I93)&lt;=0,N(Screener!$D$9)&lt;=0),0,MAX(0,1-ABS(LOG10(N(Database!$I93)/Screener!$D$9))/W_SIZEHW))</f>
        <v/>
      </c>
      <c r="E93" s="220">
        <f>IF(OR(Database!$BG93="",Screener!$D$10=""),0,IF(Database!$BG93=Screener!$D$10,1,0))</f>
        <v/>
      </c>
      <c r="F93" s="220">
        <f>IF(OR(Database!$BM93="",Screener!$D$11=""),0,IF(Database!$BM93=Screener!$D$11,1,0))</f>
        <v/>
      </c>
      <c r="G93" s="220">
        <f>IF(OR(Database!$H93="",N(Screener!$D$12)&lt;=0),0,MAX(0,1-(N(Screener!$D$12)-Database!$H93)/W_RECD))</f>
        <v/>
      </c>
      <c r="H93" s="220">
        <f>IF($U$1="",0,N(ISNUMBER(SEARCH($U$1,Database!$AC93&amp;""))))+IF($V$1="",0,N(ISNUMBER(SEARCH($V$1,Database!$AC93&amp;""))))+IF($W$1="",0,N(ISNUMBER(SEARCH($W$1,Database!$AC93&amp;""))))+IF($X$1="",0,N(ISNUMBER(SEARCH($X$1,Database!$AC93&amp;""))))+IF($Y$1="",0,N(ISNUMBER(SEARCH($Y$1,Database!$AC93&amp;""))))+IF(Screener!$B$17="",0,N(ISNUMBER(SEARCH(LOWER(Screener!$B$17),Database!$AC93&amp;""))))</f>
        <v/>
      </c>
      <c r="I93" s="220">
        <f>IF(OR(N(Database!$BH93)&lt;=0,N(Screener!$D$13)&lt;=0),0,MAX(0,1-ABS(LOG10(N(Database!$BH93)/Screener!$D$13))/W_PEHW))</f>
        <v/>
      </c>
      <c r="J93" s="220">
        <f>IF(OR(N(Database!$S93)&lt;=0,N(Screener!$D$14)&lt;=0),0,MAX(0,1-ABS(LOG10(Database!$S93/Screener!$D$14))/0.6))</f>
        <v/>
      </c>
      <c r="K93" s="220">
        <f>IF(Database!$B93=Screener!$B$5,-999999,IF(ISNUMBER(SEARCH(","&amp;Database!$A93&amp;",",","&amp;SUBSTITUTE(Screener!$D$17," ","")&amp;",")),2000000,IF(IF(OR(Screener!$B$18="All",AND(Screener!$B$18="With A-share",(Database!$BM93="Y")),AND(Screener!$B$18="Without A-share",NOT((Database!$BM93="Y")))),1,0)=0,-999999,IF(Screener!$B$16="cornerstone overlap first",H93*100000,IF(Screener!$B$16="demand-similar first",J93*100000,0))+W_SUB*B93+W_SEC*C93*(1-B93)+W_SIZE*D93+W_PROF*E93+W_AH*F93+W_REC*G93+W_CS*H93+W_PE*I93)))+ROW()/1000000</f>
        <v/>
      </c>
      <c r="AA93" s="220">
        <f>Database!B82</f>
        <v/>
      </c>
      <c r="AB93" s="220">
        <f>Database!D82</f>
        <v/>
      </c>
      <c r="AC93" s="220">
        <f>Database!E82</f>
        <v/>
      </c>
      <c r="AD93" s="220">
        <f>Database!I82</f>
        <v/>
      </c>
      <c r="AE93" s="220">
        <f>Database!BG82</f>
        <v/>
      </c>
      <c r="AF93" s="220">
        <f>Database!BM82</f>
        <v/>
      </c>
      <c r="AG93" s="220">
        <f>Database!H82</f>
        <v/>
      </c>
      <c r="AH93" s="220">
        <f>Database!BH82</f>
        <v/>
      </c>
    </row>
    <row r="94">
      <c r="A94" s="220">
        <f>Database!B94</f>
        <v/>
      </c>
      <c r="B94" s="220">
        <f>IF(AND(Screener!$D$8&lt;&gt;"",Database!$E94=Screener!$D$8),1,0)</f>
        <v/>
      </c>
      <c r="C94" s="220">
        <f>IF(AND(Screener!$D$7&lt;&gt;"",Database!$D94=Screener!$D$7),1,0)</f>
        <v/>
      </c>
      <c r="D94" s="220">
        <f>IF(OR(N(Database!$I94)&lt;=0,N(Screener!$D$9)&lt;=0),0,MAX(0,1-ABS(LOG10(N(Database!$I94)/Screener!$D$9))/W_SIZEHW))</f>
        <v/>
      </c>
      <c r="E94" s="220">
        <f>IF(OR(Database!$BG94="",Screener!$D$10=""),0,IF(Database!$BG94=Screener!$D$10,1,0))</f>
        <v/>
      </c>
      <c r="F94" s="220">
        <f>IF(OR(Database!$BM94="",Screener!$D$11=""),0,IF(Database!$BM94=Screener!$D$11,1,0))</f>
        <v/>
      </c>
      <c r="G94" s="220">
        <f>IF(OR(Database!$H94="",N(Screener!$D$12)&lt;=0),0,MAX(0,1-(N(Screener!$D$12)-Database!$H94)/W_RECD))</f>
        <v/>
      </c>
      <c r="H94" s="220">
        <f>IF($U$1="",0,N(ISNUMBER(SEARCH($U$1,Database!$AC94&amp;""))))+IF($V$1="",0,N(ISNUMBER(SEARCH($V$1,Database!$AC94&amp;""))))+IF($W$1="",0,N(ISNUMBER(SEARCH($W$1,Database!$AC94&amp;""))))+IF($X$1="",0,N(ISNUMBER(SEARCH($X$1,Database!$AC94&amp;""))))+IF($Y$1="",0,N(ISNUMBER(SEARCH($Y$1,Database!$AC94&amp;""))))+IF(Screener!$B$17="",0,N(ISNUMBER(SEARCH(LOWER(Screener!$B$17),Database!$AC94&amp;""))))</f>
        <v/>
      </c>
      <c r="I94" s="220">
        <f>IF(OR(N(Database!$BH94)&lt;=0,N(Screener!$D$13)&lt;=0),0,MAX(0,1-ABS(LOG10(N(Database!$BH94)/Screener!$D$13))/W_PEHW))</f>
        <v/>
      </c>
      <c r="J94" s="220">
        <f>IF(OR(N(Database!$S94)&lt;=0,N(Screener!$D$14)&lt;=0),0,MAX(0,1-ABS(LOG10(Database!$S94/Screener!$D$14))/0.6))</f>
        <v/>
      </c>
      <c r="K94" s="220">
        <f>IF(Database!$B94=Screener!$B$5,-999999,IF(ISNUMBER(SEARCH(","&amp;Database!$A94&amp;",",","&amp;SUBSTITUTE(Screener!$D$17," ","")&amp;",")),2000000,IF(IF(OR(Screener!$B$18="All",AND(Screener!$B$18="With A-share",(Database!$BM94="Y")),AND(Screener!$B$18="Without A-share",NOT((Database!$BM94="Y")))),1,0)=0,-999999,IF(Screener!$B$16="cornerstone overlap first",H94*100000,IF(Screener!$B$16="demand-similar first",J94*100000,0))+W_SUB*B94+W_SEC*C94*(1-B94)+W_SIZE*D94+W_PROF*E94+W_AH*F94+W_REC*G94+W_CS*H94+W_PE*I94)))+ROW()/1000000</f>
        <v/>
      </c>
      <c r="AA94" s="220">
        <f>Database!B83</f>
        <v/>
      </c>
      <c r="AB94" s="220">
        <f>Database!D83</f>
        <v/>
      </c>
      <c r="AC94" s="220">
        <f>Database!E83</f>
        <v/>
      </c>
      <c r="AD94" s="220">
        <f>Database!I83</f>
        <v/>
      </c>
      <c r="AE94" s="220">
        <f>Database!BG83</f>
        <v/>
      </c>
      <c r="AF94" s="220">
        <f>Database!BM83</f>
        <v/>
      </c>
      <c r="AG94" s="220">
        <f>Database!H83</f>
        <v/>
      </c>
      <c r="AH94" s="220">
        <f>Database!BH83</f>
        <v/>
      </c>
    </row>
    <row r="95">
      <c r="A95" s="220">
        <f>Database!B95</f>
        <v/>
      </c>
      <c r="B95" s="220">
        <f>IF(AND(Screener!$D$8&lt;&gt;"",Database!$E95=Screener!$D$8),1,0)</f>
        <v/>
      </c>
      <c r="C95" s="220">
        <f>IF(AND(Screener!$D$7&lt;&gt;"",Database!$D95=Screener!$D$7),1,0)</f>
        <v/>
      </c>
      <c r="D95" s="220">
        <f>IF(OR(N(Database!$I95)&lt;=0,N(Screener!$D$9)&lt;=0),0,MAX(0,1-ABS(LOG10(N(Database!$I95)/Screener!$D$9))/W_SIZEHW))</f>
        <v/>
      </c>
      <c r="E95" s="220">
        <f>IF(OR(Database!$BG95="",Screener!$D$10=""),0,IF(Database!$BG95=Screener!$D$10,1,0))</f>
        <v/>
      </c>
      <c r="F95" s="220">
        <f>IF(OR(Database!$BM95="",Screener!$D$11=""),0,IF(Database!$BM95=Screener!$D$11,1,0))</f>
        <v/>
      </c>
      <c r="G95" s="220">
        <f>IF(OR(Database!$H95="",N(Screener!$D$12)&lt;=0),0,MAX(0,1-(N(Screener!$D$12)-Database!$H95)/W_RECD))</f>
        <v/>
      </c>
      <c r="H95" s="220">
        <f>IF($U$1="",0,N(ISNUMBER(SEARCH($U$1,Database!$AC95&amp;""))))+IF($V$1="",0,N(ISNUMBER(SEARCH($V$1,Database!$AC95&amp;""))))+IF($W$1="",0,N(ISNUMBER(SEARCH($W$1,Database!$AC95&amp;""))))+IF($X$1="",0,N(ISNUMBER(SEARCH($X$1,Database!$AC95&amp;""))))+IF($Y$1="",0,N(ISNUMBER(SEARCH($Y$1,Database!$AC95&amp;""))))+IF(Screener!$B$17="",0,N(ISNUMBER(SEARCH(LOWER(Screener!$B$17),Database!$AC95&amp;""))))</f>
        <v/>
      </c>
      <c r="I95" s="220">
        <f>IF(OR(N(Database!$BH95)&lt;=0,N(Screener!$D$13)&lt;=0),0,MAX(0,1-ABS(LOG10(N(Database!$BH95)/Screener!$D$13))/W_PEHW))</f>
        <v/>
      </c>
      <c r="J95" s="220">
        <f>IF(OR(N(Database!$S95)&lt;=0,N(Screener!$D$14)&lt;=0),0,MAX(0,1-ABS(LOG10(Database!$S95/Screener!$D$14))/0.6))</f>
        <v/>
      </c>
      <c r="K95" s="220">
        <f>IF(Database!$B95=Screener!$B$5,-999999,IF(ISNUMBER(SEARCH(","&amp;Database!$A95&amp;",",","&amp;SUBSTITUTE(Screener!$D$17," ","")&amp;",")),2000000,IF(IF(OR(Screener!$B$18="All",AND(Screener!$B$18="With A-share",(Database!$BM95="Y")),AND(Screener!$B$18="Without A-share",NOT((Database!$BM95="Y")))),1,0)=0,-999999,IF(Screener!$B$16="cornerstone overlap first",H95*100000,IF(Screener!$B$16="demand-similar first",J95*100000,0))+W_SUB*B95+W_SEC*C95*(1-B95)+W_SIZE*D95+W_PROF*E95+W_AH*F95+W_REC*G95+W_CS*H95+W_PE*I95)))+ROW()/1000000</f>
        <v/>
      </c>
      <c r="AA95" s="220">
        <f>Database!B84</f>
        <v/>
      </c>
      <c r="AB95" s="220">
        <f>Database!D84</f>
        <v/>
      </c>
      <c r="AC95" s="220">
        <f>Database!E84</f>
        <v/>
      </c>
      <c r="AD95" s="220">
        <f>Database!I84</f>
        <v/>
      </c>
      <c r="AE95" s="220">
        <f>Database!BG84</f>
        <v/>
      </c>
      <c r="AF95" s="220">
        <f>Database!BM84</f>
        <v/>
      </c>
      <c r="AG95" s="220">
        <f>Database!H84</f>
        <v/>
      </c>
      <c r="AH95" s="220">
        <f>Database!BH84</f>
        <v/>
      </c>
    </row>
    <row r="96">
      <c r="A96" s="220">
        <f>Database!B96</f>
        <v/>
      </c>
      <c r="B96" s="220">
        <f>IF(AND(Screener!$D$8&lt;&gt;"",Database!$E96=Screener!$D$8),1,0)</f>
        <v/>
      </c>
      <c r="C96" s="220">
        <f>IF(AND(Screener!$D$7&lt;&gt;"",Database!$D96=Screener!$D$7),1,0)</f>
        <v/>
      </c>
      <c r="D96" s="220">
        <f>IF(OR(N(Database!$I96)&lt;=0,N(Screener!$D$9)&lt;=0),0,MAX(0,1-ABS(LOG10(N(Database!$I96)/Screener!$D$9))/W_SIZEHW))</f>
        <v/>
      </c>
      <c r="E96" s="220">
        <f>IF(OR(Database!$BG96="",Screener!$D$10=""),0,IF(Database!$BG96=Screener!$D$10,1,0))</f>
        <v/>
      </c>
      <c r="F96" s="220">
        <f>IF(OR(Database!$BM96="",Screener!$D$11=""),0,IF(Database!$BM96=Screener!$D$11,1,0))</f>
        <v/>
      </c>
      <c r="G96" s="220">
        <f>IF(OR(Database!$H96="",N(Screener!$D$12)&lt;=0),0,MAX(0,1-(N(Screener!$D$12)-Database!$H96)/W_RECD))</f>
        <v/>
      </c>
      <c r="H96" s="220">
        <f>IF($U$1="",0,N(ISNUMBER(SEARCH($U$1,Database!$AC96&amp;""))))+IF($V$1="",0,N(ISNUMBER(SEARCH($V$1,Database!$AC96&amp;""))))+IF($W$1="",0,N(ISNUMBER(SEARCH($W$1,Database!$AC96&amp;""))))+IF($X$1="",0,N(ISNUMBER(SEARCH($X$1,Database!$AC96&amp;""))))+IF($Y$1="",0,N(ISNUMBER(SEARCH($Y$1,Database!$AC96&amp;""))))+IF(Screener!$B$17="",0,N(ISNUMBER(SEARCH(LOWER(Screener!$B$17),Database!$AC96&amp;""))))</f>
        <v/>
      </c>
      <c r="I96" s="220">
        <f>IF(OR(N(Database!$BH96)&lt;=0,N(Screener!$D$13)&lt;=0),0,MAX(0,1-ABS(LOG10(N(Database!$BH96)/Screener!$D$13))/W_PEHW))</f>
        <v/>
      </c>
      <c r="J96" s="220">
        <f>IF(OR(N(Database!$S96)&lt;=0,N(Screener!$D$14)&lt;=0),0,MAX(0,1-ABS(LOG10(Database!$S96/Screener!$D$14))/0.6))</f>
        <v/>
      </c>
      <c r="K96" s="220">
        <f>IF(Database!$B96=Screener!$B$5,-999999,IF(ISNUMBER(SEARCH(","&amp;Database!$A96&amp;",",","&amp;SUBSTITUTE(Screener!$D$17," ","")&amp;",")),2000000,IF(IF(OR(Screener!$B$18="All",AND(Screener!$B$18="With A-share",(Database!$BM96="Y")),AND(Screener!$B$18="Without A-share",NOT((Database!$BM96="Y")))),1,0)=0,-999999,IF(Screener!$B$16="cornerstone overlap first",H96*100000,IF(Screener!$B$16="demand-similar first",J96*100000,0))+W_SUB*B96+W_SEC*C96*(1-B96)+W_SIZE*D96+W_PROF*E96+W_AH*F96+W_REC*G96+W_CS*H96+W_PE*I96)))+ROW()/1000000</f>
        <v/>
      </c>
      <c r="AA96" s="220">
        <f>Database!B85</f>
        <v/>
      </c>
      <c r="AB96" s="220">
        <f>Database!D85</f>
        <v/>
      </c>
      <c r="AC96" s="220">
        <f>Database!E85</f>
        <v/>
      </c>
      <c r="AD96" s="220">
        <f>Database!I85</f>
        <v/>
      </c>
      <c r="AE96" s="220">
        <f>Database!BG85</f>
        <v/>
      </c>
      <c r="AF96" s="220">
        <f>Database!BM85</f>
        <v/>
      </c>
      <c r="AG96" s="220">
        <f>Database!H85</f>
        <v/>
      </c>
      <c r="AH96" s="220">
        <f>Database!BH85</f>
        <v/>
      </c>
    </row>
    <row r="97">
      <c r="A97" s="220">
        <f>Database!B97</f>
        <v/>
      </c>
      <c r="B97" s="220">
        <f>IF(AND(Screener!$D$8&lt;&gt;"",Database!$E97=Screener!$D$8),1,0)</f>
        <v/>
      </c>
      <c r="C97" s="220">
        <f>IF(AND(Screener!$D$7&lt;&gt;"",Database!$D97=Screener!$D$7),1,0)</f>
        <v/>
      </c>
      <c r="D97" s="220">
        <f>IF(OR(N(Database!$I97)&lt;=0,N(Screener!$D$9)&lt;=0),0,MAX(0,1-ABS(LOG10(N(Database!$I97)/Screener!$D$9))/W_SIZEHW))</f>
        <v/>
      </c>
      <c r="E97" s="220">
        <f>IF(OR(Database!$BG97="",Screener!$D$10=""),0,IF(Database!$BG97=Screener!$D$10,1,0))</f>
        <v/>
      </c>
      <c r="F97" s="220">
        <f>IF(OR(Database!$BM97="",Screener!$D$11=""),0,IF(Database!$BM97=Screener!$D$11,1,0))</f>
        <v/>
      </c>
      <c r="G97" s="220">
        <f>IF(OR(Database!$H97="",N(Screener!$D$12)&lt;=0),0,MAX(0,1-(N(Screener!$D$12)-Database!$H97)/W_RECD))</f>
        <v/>
      </c>
      <c r="H97" s="220">
        <f>IF($U$1="",0,N(ISNUMBER(SEARCH($U$1,Database!$AC97&amp;""))))+IF($V$1="",0,N(ISNUMBER(SEARCH($V$1,Database!$AC97&amp;""))))+IF($W$1="",0,N(ISNUMBER(SEARCH($W$1,Database!$AC97&amp;""))))+IF($X$1="",0,N(ISNUMBER(SEARCH($X$1,Database!$AC97&amp;""))))+IF($Y$1="",0,N(ISNUMBER(SEARCH($Y$1,Database!$AC97&amp;""))))+IF(Screener!$B$17="",0,N(ISNUMBER(SEARCH(LOWER(Screener!$B$17),Database!$AC97&amp;""))))</f>
        <v/>
      </c>
      <c r="I97" s="220">
        <f>IF(OR(N(Database!$BH97)&lt;=0,N(Screener!$D$13)&lt;=0),0,MAX(0,1-ABS(LOG10(N(Database!$BH97)/Screener!$D$13))/W_PEHW))</f>
        <v/>
      </c>
      <c r="J97" s="220">
        <f>IF(OR(N(Database!$S97)&lt;=0,N(Screener!$D$14)&lt;=0),0,MAX(0,1-ABS(LOG10(Database!$S97/Screener!$D$14))/0.6))</f>
        <v/>
      </c>
      <c r="K97" s="220">
        <f>IF(Database!$B97=Screener!$B$5,-999999,IF(ISNUMBER(SEARCH(","&amp;Database!$A97&amp;",",","&amp;SUBSTITUTE(Screener!$D$17," ","")&amp;",")),2000000,IF(IF(OR(Screener!$B$18="All",AND(Screener!$B$18="With A-share",(Database!$BM97="Y")),AND(Screener!$B$18="Without A-share",NOT((Database!$BM97="Y")))),1,0)=0,-999999,IF(Screener!$B$16="cornerstone overlap first",H97*100000,IF(Screener!$B$16="demand-similar first",J97*100000,0))+W_SUB*B97+W_SEC*C97*(1-B97)+W_SIZE*D97+W_PROF*E97+W_AH*F97+W_REC*G97+W_CS*H97+W_PE*I97)))+ROW()/1000000</f>
        <v/>
      </c>
      <c r="AA97" s="220">
        <f>Database!B86</f>
        <v/>
      </c>
      <c r="AB97" s="220">
        <f>Database!D86</f>
        <v/>
      </c>
      <c r="AC97" s="220">
        <f>Database!E86</f>
        <v/>
      </c>
      <c r="AD97" s="220">
        <f>Database!I86</f>
        <v/>
      </c>
      <c r="AE97" s="220">
        <f>Database!BG86</f>
        <v/>
      </c>
      <c r="AF97" s="220">
        <f>Database!BM86</f>
        <v/>
      </c>
      <c r="AG97" s="220">
        <f>Database!H86</f>
        <v/>
      </c>
      <c r="AH97" s="220">
        <f>Database!BH86</f>
        <v/>
      </c>
    </row>
    <row r="98">
      <c r="A98" s="220">
        <f>Database!B98</f>
        <v/>
      </c>
      <c r="B98" s="220">
        <f>IF(AND(Screener!$D$8&lt;&gt;"",Database!$E98=Screener!$D$8),1,0)</f>
        <v/>
      </c>
      <c r="C98" s="220">
        <f>IF(AND(Screener!$D$7&lt;&gt;"",Database!$D98=Screener!$D$7),1,0)</f>
        <v/>
      </c>
      <c r="D98" s="220">
        <f>IF(OR(N(Database!$I98)&lt;=0,N(Screener!$D$9)&lt;=0),0,MAX(0,1-ABS(LOG10(N(Database!$I98)/Screener!$D$9))/W_SIZEHW))</f>
        <v/>
      </c>
      <c r="E98" s="220">
        <f>IF(OR(Database!$BG98="",Screener!$D$10=""),0,IF(Database!$BG98=Screener!$D$10,1,0))</f>
        <v/>
      </c>
      <c r="F98" s="220">
        <f>IF(OR(Database!$BM98="",Screener!$D$11=""),0,IF(Database!$BM98=Screener!$D$11,1,0))</f>
        <v/>
      </c>
      <c r="G98" s="220">
        <f>IF(OR(Database!$H98="",N(Screener!$D$12)&lt;=0),0,MAX(0,1-(N(Screener!$D$12)-Database!$H98)/W_RECD))</f>
        <v/>
      </c>
      <c r="H98" s="220">
        <f>IF($U$1="",0,N(ISNUMBER(SEARCH($U$1,Database!$AC98&amp;""))))+IF($V$1="",0,N(ISNUMBER(SEARCH($V$1,Database!$AC98&amp;""))))+IF($W$1="",0,N(ISNUMBER(SEARCH($W$1,Database!$AC98&amp;""))))+IF($X$1="",0,N(ISNUMBER(SEARCH($X$1,Database!$AC98&amp;""))))+IF($Y$1="",0,N(ISNUMBER(SEARCH($Y$1,Database!$AC98&amp;""))))+IF(Screener!$B$17="",0,N(ISNUMBER(SEARCH(LOWER(Screener!$B$17),Database!$AC98&amp;""))))</f>
        <v/>
      </c>
      <c r="I98" s="220">
        <f>IF(OR(N(Database!$BH98)&lt;=0,N(Screener!$D$13)&lt;=0),0,MAX(0,1-ABS(LOG10(N(Database!$BH98)/Screener!$D$13))/W_PEHW))</f>
        <v/>
      </c>
      <c r="J98" s="220">
        <f>IF(OR(N(Database!$S98)&lt;=0,N(Screener!$D$14)&lt;=0),0,MAX(0,1-ABS(LOG10(Database!$S98/Screener!$D$14))/0.6))</f>
        <v/>
      </c>
      <c r="K98" s="220">
        <f>IF(Database!$B98=Screener!$B$5,-999999,IF(ISNUMBER(SEARCH(","&amp;Database!$A98&amp;",",","&amp;SUBSTITUTE(Screener!$D$17," ","")&amp;",")),2000000,IF(IF(OR(Screener!$B$18="All",AND(Screener!$B$18="With A-share",(Database!$BM98="Y")),AND(Screener!$B$18="Without A-share",NOT((Database!$BM98="Y")))),1,0)=0,-999999,IF(Screener!$B$16="cornerstone overlap first",H98*100000,IF(Screener!$B$16="demand-similar first",J98*100000,0))+W_SUB*B98+W_SEC*C98*(1-B98)+W_SIZE*D98+W_PROF*E98+W_AH*F98+W_REC*G98+W_CS*H98+W_PE*I98)))+ROW()/1000000</f>
        <v/>
      </c>
      <c r="AA98" s="220">
        <f>Database!B87</f>
        <v/>
      </c>
      <c r="AB98" s="220">
        <f>Database!D87</f>
        <v/>
      </c>
      <c r="AC98" s="220">
        <f>Database!E87</f>
        <v/>
      </c>
      <c r="AD98" s="220">
        <f>Database!I87</f>
        <v/>
      </c>
      <c r="AE98" s="220">
        <f>Database!BG87</f>
        <v/>
      </c>
      <c r="AF98" s="220">
        <f>Database!BM87</f>
        <v/>
      </c>
      <c r="AG98" s="220">
        <f>Database!H87</f>
        <v/>
      </c>
      <c r="AH98" s="220">
        <f>Database!BH87</f>
        <v/>
      </c>
    </row>
    <row r="99">
      <c r="A99" s="220">
        <f>Database!B99</f>
        <v/>
      </c>
      <c r="B99" s="220">
        <f>IF(AND(Screener!$D$8&lt;&gt;"",Database!$E99=Screener!$D$8),1,0)</f>
        <v/>
      </c>
      <c r="C99" s="220">
        <f>IF(AND(Screener!$D$7&lt;&gt;"",Database!$D99=Screener!$D$7),1,0)</f>
        <v/>
      </c>
      <c r="D99" s="220">
        <f>IF(OR(N(Database!$I99)&lt;=0,N(Screener!$D$9)&lt;=0),0,MAX(0,1-ABS(LOG10(N(Database!$I99)/Screener!$D$9))/W_SIZEHW))</f>
        <v/>
      </c>
      <c r="E99" s="220">
        <f>IF(OR(Database!$BG99="",Screener!$D$10=""),0,IF(Database!$BG99=Screener!$D$10,1,0))</f>
        <v/>
      </c>
      <c r="F99" s="220">
        <f>IF(OR(Database!$BM99="",Screener!$D$11=""),0,IF(Database!$BM99=Screener!$D$11,1,0))</f>
        <v/>
      </c>
      <c r="G99" s="220">
        <f>IF(OR(Database!$H99="",N(Screener!$D$12)&lt;=0),0,MAX(0,1-(N(Screener!$D$12)-Database!$H99)/W_RECD))</f>
        <v/>
      </c>
      <c r="H99" s="220">
        <f>IF($U$1="",0,N(ISNUMBER(SEARCH($U$1,Database!$AC99&amp;""))))+IF($V$1="",0,N(ISNUMBER(SEARCH($V$1,Database!$AC99&amp;""))))+IF($W$1="",0,N(ISNUMBER(SEARCH($W$1,Database!$AC99&amp;""))))+IF($X$1="",0,N(ISNUMBER(SEARCH($X$1,Database!$AC99&amp;""))))+IF($Y$1="",0,N(ISNUMBER(SEARCH($Y$1,Database!$AC99&amp;""))))+IF(Screener!$B$17="",0,N(ISNUMBER(SEARCH(LOWER(Screener!$B$17),Database!$AC99&amp;""))))</f>
        <v/>
      </c>
      <c r="I99" s="220">
        <f>IF(OR(N(Database!$BH99)&lt;=0,N(Screener!$D$13)&lt;=0),0,MAX(0,1-ABS(LOG10(N(Database!$BH99)/Screener!$D$13))/W_PEHW))</f>
        <v/>
      </c>
      <c r="J99" s="220">
        <f>IF(OR(N(Database!$S99)&lt;=0,N(Screener!$D$14)&lt;=0),0,MAX(0,1-ABS(LOG10(Database!$S99/Screener!$D$14))/0.6))</f>
        <v/>
      </c>
      <c r="K99" s="220">
        <f>IF(Database!$B99=Screener!$B$5,-999999,IF(ISNUMBER(SEARCH(","&amp;Database!$A99&amp;",",","&amp;SUBSTITUTE(Screener!$D$17," ","")&amp;",")),2000000,IF(IF(OR(Screener!$B$18="All",AND(Screener!$B$18="With A-share",(Database!$BM99="Y")),AND(Screener!$B$18="Without A-share",NOT((Database!$BM99="Y")))),1,0)=0,-999999,IF(Screener!$B$16="cornerstone overlap first",H99*100000,IF(Screener!$B$16="demand-similar first",J99*100000,0))+W_SUB*B99+W_SEC*C99*(1-B99)+W_SIZE*D99+W_PROF*E99+W_AH*F99+W_REC*G99+W_CS*H99+W_PE*I99)))+ROW()/1000000</f>
        <v/>
      </c>
      <c r="AA99" s="220">
        <f>Database!B88</f>
        <v/>
      </c>
      <c r="AB99" s="220">
        <f>Database!D88</f>
        <v/>
      </c>
      <c r="AC99" s="220">
        <f>Database!E88</f>
        <v/>
      </c>
      <c r="AD99" s="220">
        <f>Database!I88</f>
        <v/>
      </c>
      <c r="AE99" s="220">
        <f>Database!BG88</f>
        <v/>
      </c>
      <c r="AF99" s="220">
        <f>Database!BM88</f>
        <v/>
      </c>
      <c r="AG99" s="220">
        <f>Database!H88</f>
        <v/>
      </c>
      <c r="AH99" s="220">
        <f>Database!BH88</f>
        <v/>
      </c>
    </row>
    <row r="100">
      <c r="A100" s="220">
        <f>Database!B100</f>
        <v/>
      </c>
      <c r="B100" s="220">
        <f>IF(AND(Screener!$D$8&lt;&gt;"",Database!$E100=Screener!$D$8),1,0)</f>
        <v/>
      </c>
      <c r="C100" s="220">
        <f>IF(AND(Screener!$D$7&lt;&gt;"",Database!$D100=Screener!$D$7),1,0)</f>
        <v/>
      </c>
      <c r="D100" s="220">
        <f>IF(OR(N(Database!$I100)&lt;=0,N(Screener!$D$9)&lt;=0),0,MAX(0,1-ABS(LOG10(N(Database!$I100)/Screener!$D$9))/W_SIZEHW))</f>
        <v/>
      </c>
      <c r="E100" s="220">
        <f>IF(OR(Database!$BG100="",Screener!$D$10=""),0,IF(Database!$BG100=Screener!$D$10,1,0))</f>
        <v/>
      </c>
      <c r="F100" s="220">
        <f>IF(OR(Database!$BM100="",Screener!$D$11=""),0,IF(Database!$BM100=Screener!$D$11,1,0))</f>
        <v/>
      </c>
      <c r="G100" s="220">
        <f>IF(OR(Database!$H100="",N(Screener!$D$12)&lt;=0),0,MAX(0,1-(N(Screener!$D$12)-Database!$H100)/W_RECD))</f>
        <v/>
      </c>
      <c r="H100" s="220">
        <f>IF($U$1="",0,N(ISNUMBER(SEARCH($U$1,Database!$AC100&amp;""))))+IF($V$1="",0,N(ISNUMBER(SEARCH($V$1,Database!$AC100&amp;""))))+IF($W$1="",0,N(ISNUMBER(SEARCH($W$1,Database!$AC100&amp;""))))+IF($X$1="",0,N(ISNUMBER(SEARCH($X$1,Database!$AC100&amp;""))))+IF($Y$1="",0,N(ISNUMBER(SEARCH($Y$1,Database!$AC100&amp;""))))+IF(Screener!$B$17="",0,N(ISNUMBER(SEARCH(LOWER(Screener!$B$17),Database!$AC100&amp;""))))</f>
        <v/>
      </c>
      <c r="I100" s="220">
        <f>IF(OR(N(Database!$BH100)&lt;=0,N(Screener!$D$13)&lt;=0),0,MAX(0,1-ABS(LOG10(N(Database!$BH100)/Screener!$D$13))/W_PEHW))</f>
        <v/>
      </c>
      <c r="J100" s="220">
        <f>IF(OR(N(Database!$S100)&lt;=0,N(Screener!$D$14)&lt;=0),0,MAX(0,1-ABS(LOG10(Database!$S100/Screener!$D$14))/0.6))</f>
        <v/>
      </c>
      <c r="K100" s="220">
        <f>IF(Database!$B100=Screener!$B$5,-999999,IF(ISNUMBER(SEARCH(","&amp;Database!$A100&amp;",",","&amp;SUBSTITUTE(Screener!$D$17," ","")&amp;",")),2000000,IF(IF(OR(Screener!$B$18="All",AND(Screener!$B$18="With A-share",(Database!$BM100="Y")),AND(Screener!$B$18="Without A-share",NOT((Database!$BM100="Y")))),1,0)=0,-999999,IF(Screener!$B$16="cornerstone overlap first",H100*100000,IF(Screener!$B$16="demand-similar first",J100*100000,0))+W_SUB*B100+W_SEC*C100*(1-B100)+W_SIZE*D100+W_PROF*E100+W_AH*F100+W_REC*G100+W_CS*H100+W_PE*I100)))+ROW()/1000000</f>
        <v/>
      </c>
      <c r="AA100" s="220">
        <f>Database!B89</f>
        <v/>
      </c>
      <c r="AB100" s="220">
        <f>Database!D89</f>
        <v/>
      </c>
      <c r="AC100" s="220">
        <f>Database!E89</f>
        <v/>
      </c>
      <c r="AD100" s="220">
        <f>Database!I89</f>
        <v/>
      </c>
      <c r="AE100" s="220">
        <f>Database!BG89</f>
        <v/>
      </c>
      <c r="AF100" s="220">
        <f>Database!BM89</f>
        <v/>
      </c>
      <c r="AG100" s="220">
        <f>Database!H89</f>
        <v/>
      </c>
      <c r="AH100" s="220">
        <f>Database!BH89</f>
        <v/>
      </c>
    </row>
    <row r="101">
      <c r="A101" s="220">
        <f>Database!B101</f>
        <v/>
      </c>
      <c r="B101" s="220">
        <f>IF(AND(Screener!$D$8&lt;&gt;"",Database!$E101=Screener!$D$8),1,0)</f>
        <v/>
      </c>
      <c r="C101" s="220">
        <f>IF(AND(Screener!$D$7&lt;&gt;"",Database!$D101=Screener!$D$7),1,0)</f>
        <v/>
      </c>
      <c r="D101" s="220">
        <f>IF(OR(N(Database!$I101)&lt;=0,N(Screener!$D$9)&lt;=0),0,MAX(0,1-ABS(LOG10(N(Database!$I101)/Screener!$D$9))/W_SIZEHW))</f>
        <v/>
      </c>
      <c r="E101" s="220">
        <f>IF(OR(Database!$BG101="",Screener!$D$10=""),0,IF(Database!$BG101=Screener!$D$10,1,0))</f>
        <v/>
      </c>
      <c r="F101" s="220">
        <f>IF(OR(Database!$BM101="",Screener!$D$11=""),0,IF(Database!$BM101=Screener!$D$11,1,0))</f>
        <v/>
      </c>
      <c r="G101" s="220">
        <f>IF(OR(Database!$H101="",N(Screener!$D$12)&lt;=0),0,MAX(0,1-(N(Screener!$D$12)-Database!$H101)/W_RECD))</f>
        <v/>
      </c>
      <c r="H101" s="220">
        <f>IF($U$1="",0,N(ISNUMBER(SEARCH($U$1,Database!$AC101&amp;""))))+IF($V$1="",0,N(ISNUMBER(SEARCH($V$1,Database!$AC101&amp;""))))+IF($W$1="",0,N(ISNUMBER(SEARCH($W$1,Database!$AC101&amp;""))))+IF($X$1="",0,N(ISNUMBER(SEARCH($X$1,Database!$AC101&amp;""))))+IF($Y$1="",0,N(ISNUMBER(SEARCH($Y$1,Database!$AC101&amp;""))))+IF(Screener!$B$17="",0,N(ISNUMBER(SEARCH(LOWER(Screener!$B$17),Database!$AC101&amp;""))))</f>
        <v/>
      </c>
      <c r="I101" s="220">
        <f>IF(OR(N(Database!$BH101)&lt;=0,N(Screener!$D$13)&lt;=0),0,MAX(0,1-ABS(LOG10(N(Database!$BH101)/Screener!$D$13))/W_PEHW))</f>
        <v/>
      </c>
      <c r="J101" s="220">
        <f>IF(OR(N(Database!$S101)&lt;=0,N(Screener!$D$14)&lt;=0),0,MAX(0,1-ABS(LOG10(Database!$S101/Screener!$D$14))/0.6))</f>
        <v/>
      </c>
      <c r="K101" s="220">
        <f>IF(Database!$B101=Screener!$B$5,-999999,IF(ISNUMBER(SEARCH(","&amp;Database!$A101&amp;",",","&amp;SUBSTITUTE(Screener!$D$17," ","")&amp;",")),2000000,IF(IF(OR(Screener!$B$18="All",AND(Screener!$B$18="With A-share",(Database!$BM101="Y")),AND(Screener!$B$18="Without A-share",NOT((Database!$BM101="Y")))),1,0)=0,-999999,IF(Screener!$B$16="cornerstone overlap first",H101*100000,IF(Screener!$B$16="demand-similar first",J101*100000,0))+W_SUB*B101+W_SEC*C101*(1-B101)+W_SIZE*D101+W_PROF*E101+W_AH*F101+W_REC*G101+W_CS*H101+W_PE*I101)))+ROW()/1000000</f>
        <v/>
      </c>
      <c r="AA101" s="220">
        <f>Database!B90</f>
        <v/>
      </c>
      <c r="AB101" s="220">
        <f>Database!D90</f>
        <v/>
      </c>
      <c r="AC101" s="220">
        <f>Database!E90</f>
        <v/>
      </c>
      <c r="AD101" s="220">
        <f>Database!I90</f>
        <v/>
      </c>
      <c r="AE101" s="220">
        <f>Database!BG90</f>
        <v/>
      </c>
      <c r="AF101" s="220">
        <f>Database!BM90</f>
        <v/>
      </c>
      <c r="AG101" s="220">
        <f>Database!H90</f>
        <v/>
      </c>
      <c r="AH101" s="220">
        <f>Database!BH90</f>
        <v/>
      </c>
    </row>
    <row r="102">
      <c r="A102" s="220">
        <f>Database!B102</f>
        <v/>
      </c>
      <c r="B102" s="220">
        <f>IF(AND(Screener!$D$8&lt;&gt;"",Database!$E102=Screener!$D$8),1,0)</f>
        <v/>
      </c>
      <c r="C102" s="220">
        <f>IF(AND(Screener!$D$7&lt;&gt;"",Database!$D102=Screener!$D$7),1,0)</f>
        <v/>
      </c>
      <c r="D102" s="220">
        <f>IF(OR(N(Database!$I102)&lt;=0,N(Screener!$D$9)&lt;=0),0,MAX(0,1-ABS(LOG10(N(Database!$I102)/Screener!$D$9))/W_SIZEHW))</f>
        <v/>
      </c>
      <c r="E102" s="220">
        <f>IF(OR(Database!$BG102="",Screener!$D$10=""),0,IF(Database!$BG102=Screener!$D$10,1,0))</f>
        <v/>
      </c>
      <c r="F102" s="220">
        <f>IF(OR(Database!$BM102="",Screener!$D$11=""),0,IF(Database!$BM102=Screener!$D$11,1,0))</f>
        <v/>
      </c>
      <c r="G102" s="220">
        <f>IF(OR(Database!$H102="",N(Screener!$D$12)&lt;=0),0,MAX(0,1-(N(Screener!$D$12)-Database!$H102)/W_RECD))</f>
        <v/>
      </c>
      <c r="H102" s="220">
        <f>IF($U$1="",0,N(ISNUMBER(SEARCH($U$1,Database!$AC102&amp;""))))+IF($V$1="",0,N(ISNUMBER(SEARCH($V$1,Database!$AC102&amp;""))))+IF($W$1="",0,N(ISNUMBER(SEARCH($W$1,Database!$AC102&amp;""))))+IF($X$1="",0,N(ISNUMBER(SEARCH($X$1,Database!$AC102&amp;""))))+IF($Y$1="",0,N(ISNUMBER(SEARCH($Y$1,Database!$AC102&amp;""))))+IF(Screener!$B$17="",0,N(ISNUMBER(SEARCH(LOWER(Screener!$B$17),Database!$AC102&amp;""))))</f>
        <v/>
      </c>
      <c r="I102" s="220">
        <f>IF(OR(N(Database!$BH102)&lt;=0,N(Screener!$D$13)&lt;=0),0,MAX(0,1-ABS(LOG10(N(Database!$BH102)/Screener!$D$13))/W_PEHW))</f>
        <v/>
      </c>
      <c r="J102" s="220">
        <f>IF(OR(N(Database!$S102)&lt;=0,N(Screener!$D$14)&lt;=0),0,MAX(0,1-ABS(LOG10(Database!$S102/Screener!$D$14))/0.6))</f>
        <v/>
      </c>
      <c r="K102" s="220">
        <f>IF(Database!$B102=Screener!$B$5,-999999,IF(ISNUMBER(SEARCH(","&amp;Database!$A102&amp;",",","&amp;SUBSTITUTE(Screener!$D$17," ","")&amp;",")),2000000,IF(IF(OR(Screener!$B$18="All",AND(Screener!$B$18="With A-share",(Database!$BM102="Y")),AND(Screener!$B$18="Without A-share",NOT((Database!$BM102="Y")))),1,0)=0,-999999,IF(Screener!$B$16="cornerstone overlap first",H102*100000,IF(Screener!$B$16="demand-similar first",J102*100000,0))+W_SUB*B102+W_SEC*C102*(1-B102)+W_SIZE*D102+W_PROF*E102+W_AH*F102+W_REC*G102+W_CS*H102+W_PE*I102)))+ROW()/1000000</f>
        <v/>
      </c>
      <c r="AA102" s="220">
        <f>Database!B91</f>
        <v/>
      </c>
      <c r="AB102" s="220">
        <f>Database!D91</f>
        <v/>
      </c>
      <c r="AC102" s="220">
        <f>Database!E91</f>
        <v/>
      </c>
      <c r="AD102" s="220">
        <f>Database!I91</f>
        <v/>
      </c>
      <c r="AE102" s="220">
        <f>Database!BG91</f>
        <v/>
      </c>
      <c r="AF102" s="220">
        <f>Database!BM91</f>
        <v/>
      </c>
      <c r="AG102" s="220">
        <f>Database!H91</f>
        <v/>
      </c>
      <c r="AH102" s="220">
        <f>Database!BH91</f>
        <v/>
      </c>
    </row>
    <row r="103">
      <c r="A103" s="220">
        <f>Database!B103</f>
        <v/>
      </c>
      <c r="B103" s="220">
        <f>IF(AND(Screener!$D$8&lt;&gt;"",Database!$E103=Screener!$D$8),1,0)</f>
        <v/>
      </c>
      <c r="C103" s="220">
        <f>IF(AND(Screener!$D$7&lt;&gt;"",Database!$D103=Screener!$D$7),1,0)</f>
        <v/>
      </c>
      <c r="D103" s="220">
        <f>IF(OR(N(Database!$I103)&lt;=0,N(Screener!$D$9)&lt;=0),0,MAX(0,1-ABS(LOG10(N(Database!$I103)/Screener!$D$9))/W_SIZEHW))</f>
        <v/>
      </c>
      <c r="E103" s="220">
        <f>IF(OR(Database!$BG103="",Screener!$D$10=""),0,IF(Database!$BG103=Screener!$D$10,1,0))</f>
        <v/>
      </c>
      <c r="F103" s="220">
        <f>IF(OR(Database!$BM103="",Screener!$D$11=""),0,IF(Database!$BM103=Screener!$D$11,1,0))</f>
        <v/>
      </c>
      <c r="G103" s="220">
        <f>IF(OR(Database!$H103="",N(Screener!$D$12)&lt;=0),0,MAX(0,1-(N(Screener!$D$12)-Database!$H103)/W_RECD))</f>
        <v/>
      </c>
      <c r="H103" s="220">
        <f>IF($U$1="",0,N(ISNUMBER(SEARCH($U$1,Database!$AC103&amp;""))))+IF($V$1="",0,N(ISNUMBER(SEARCH($V$1,Database!$AC103&amp;""))))+IF($W$1="",0,N(ISNUMBER(SEARCH($W$1,Database!$AC103&amp;""))))+IF($X$1="",0,N(ISNUMBER(SEARCH($X$1,Database!$AC103&amp;""))))+IF($Y$1="",0,N(ISNUMBER(SEARCH($Y$1,Database!$AC103&amp;""))))+IF(Screener!$B$17="",0,N(ISNUMBER(SEARCH(LOWER(Screener!$B$17),Database!$AC103&amp;""))))</f>
        <v/>
      </c>
      <c r="I103" s="220">
        <f>IF(OR(N(Database!$BH103)&lt;=0,N(Screener!$D$13)&lt;=0),0,MAX(0,1-ABS(LOG10(N(Database!$BH103)/Screener!$D$13))/W_PEHW))</f>
        <v/>
      </c>
      <c r="J103" s="220">
        <f>IF(OR(N(Database!$S103)&lt;=0,N(Screener!$D$14)&lt;=0),0,MAX(0,1-ABS(LOG10(Database!$S103/Screener!$D$14))/0.6))</f>
        <v/>
      </c>
      <c r="K103" s="220">
        <f>IF(Database!$B103=Screener!$B$5,-999999,IF(ISNUMBER(SEARCH(","&amp;Database!$A103&amp;",",","&amp;SUBSTITUTE(Screener!$D$17," ","")&amp;",")),2000000,IF(IF(OR(Screener!$B$18="All",AND(Screener!$B$18="With A-share",(Database!$BM103="Y")),AND(Screener!$B$18="Without A-share",NOT((Database!$BM103="Y")))),1,0)=0,-999999,IF(Screener!$B$16="cornerstone overlap first",H103*100000,IF(Screener!$B$16="demand-similar first",J103*100000,0))+W_SUB*B103+W_SEC*C103*(1-B103)+W_SIZE*D103+W_PROF*E103+W_AH*F103+W_REC*G103+W_CS*H103+W_PE*I103)))+ROW()/1000000</f>
        <v/>
      </c>
      <c r="AA103" s="220">
        <f>Database!B92</f>
        <v/>
      </c>
      <c r="AB103" s="220">
        <f>Database!D92</f>
        <v/>
      </c>
      <c r="AC103" s="220">
        <f>Database!E92</f>
        <v/>
      </c>
      <c r="AD103" s="220">
        <f>Database!I92</f>
        <v/>
      </c>
      <c r="AE103" s="220">
        <f>Database!BG92</f>
        <v/>
      </c>
      <c r="AF103" s="220">
        <f>Database!BM92</f>
        <v/>
      </c>
      <c r="AG103" s="220">
        <f>Database!H92</f>
        <v/>
      </c>
      <c r="AH103" s="220">
        <f>Database!BH92</f>
        <v/>
      </c>
    </row>
    <row r="104">
      <c r="A104" s="220">
        <f>Database!B104</f>
        <v/>
      </c>
      <c r="B104" s="220">
        <f>IF(AND(Screener!$D$8&lt;&gt;"",Database!$E104=Screener!$D$8),1,0)</f>
        <v/>
      </c>
      <c r="C104" s="220">
        <f>IF(AND(Screener!$D$7&lt;&gt;"",Database!$D104=Screener!$D$7),1,0)</f>
        <v/>
      </c>
      <c r="D104" s="220">
        <f>IF(OR(N(Database!$I104)&lt;=0,N(Screener!$D$9)&lt;=0),0,MAX(0,1-ABS(LOG10(N(Database!$I104)/Screener!$D$9))/W_SIZEHW))</f>
        <v/>
      </c>
      <c r="E104" s="220">
        <f>IF(OR(Database!$BG104="",Screener!$D$10=""),0,IF(Database!$BG104=Screener!$D$10,1,0))</f>
        <v/>
      </c>
      <c r="F104" s="220">
        <f>IF(OR(Database!$BM104="",Screener!$D$11=""),0,IF(Database!$BM104=Screener!$D$11,1,0))</f>
        <v/>
      </c>
      <c r="G104" s="220">
        <f>IF(OR(Database!$H104="",N(Screener!$D$12)&lt;=0),0,MAX(0,1-(N(Screener!$D$12)-Database!$H104)/W_RECD))</f>
        <v/>
      </c>
      <c r="H104" s="220">
        <f>IF($U$1="",0,N(ISNUMBER(SEARCH($U$1,Database!$AC104&amp;""))))+IF($V$1="",0,N(ISNUMBER(SEARCH($V$1,Database!$AC104&amp;""))))+IF($W$1="",0,N(ISNUMBER(SEARCH($W$1,Database!$AC104&amp;""))))+IF($X$1="",0,N(ISNUMBER(SEARCH($X$1,Database!$AC104&amp;""))))+IF($Y$1="",0,N(ISNUMBER(SEARCH($Y$1,Database!$AC104&amp;""))))+IF(Screener!$B$17="",0,N(ISNUMBER(SEARCH(LOWER(Screener!$B$17),Database!$AC104&amp;""))))</f>
        <v/>
      </c>
      <c r="I104" s="220">
        <f>IF(OR(N(Database!$BH104)&lt;=0,N(Screener!$D$13)&lt;=0),0,MAX(0,1-ABS(LOG10(N(Database!$BH104)/Screener!$D$13))/W_PEHW))</f>
        <v/>
      </c>
      <c r="J104" s="220">
        <f>IF(OR(N(Database!$S104)&lt;=0,N(Screener!$D$14)&lt;=0),0,MAX(0,1-ABS(LOG10(Database!$S104/Screener!$D$14))/0.6))</f>
        <v/>
      </c>
      <c r="K104" s="220">
        <f>IF(Database!$B104=Screener!$B$5,-999999,IF(ISNUMBER(SEARCH(","&amp;Database!$A104&amp;",",","&amp;SUBSTITUTE(Screener!$D$17," ","")&amp;",")),2000000,IF(IF(OR(Screener!$B$18="All",AND(Screener!$B$18="With A-share",(Database!$BM104="Y")),AND(Screener!$B$18="Without A-share",NOT((Database!$BM104="Y")))),1,0)=0,-999999,IF(Screener!$B$16="cornerstone overlap first",H104*100000,IF(Screener!$B$16="demand-similar first",J104*100000,0))+W_SUB*B104+W_SEC*C104*(1-B104)+W_SIZE*D104+W_PROF*E104+W_AH*F104+W_REC*G104+W_CS*H104+W_PE*I104)))+ROW()/1000000</f>
        <v/>
      </c>
      <c r="AA104" s="220">
        <f>Database!B93</f>
        <v/>
      </c>
      <c r="AB104" s="220">
        <f>Database!D93</f>
        <v/>
      </c>
      <c r="AC104" s="220">
        <f>Database!E93</f>
        <v/>
      </c>
      <c r="AD104" s="220">
        <f>Database!I93</f>
        <v/>
      </c>
      <c r="AE104" s="220">
        <f>Database!BG93</f>
        <v/>
      </c>
      <c r="AF104" s="220">
        <f>Database!BM93</f>
        <v/>
      </c>
      <c r="AG104" s="220">
        <f>Database!H93</f>
        <v/>
      </c>
      <c r="AH104" s="220">
        <f>Database!BH93</f>
        <v/>
      </c>
    </row>
    <row r="105">
      <c r="A105" s="220">
        <f>Database!B105</f>
        <v/>
      </c>
      <c r="B105" s="220">
        <f>IF(AND(Screener!$D$8&lt;&gt;"",Database!$E105=Screener!$D$8),1,0)</f>
        <v/>
      </c>
      <c r="C105" s="220">
        <f>IF(AND(Screener!$D$7&lt;&gt;"",Database!$D105=Screener!$D$7),1,0)</f>
        <v/>
      </c>
      <c r="D105" s="220">
        <f>IF(OR(N(Database!$I105)&lt;=0,N(Screener!$D$9)&lt;=0),0,MAX(0,1-ABS(LOG10(N(Database!$I105)/Screener!$D$9))/W_SIZEHW))</f>
        <v/>
      </c>
      <c r="E105" s="220">
        <f>IF(OR(Database!$BG105="",Screener!$D$10=""),0,IF(Database!$BG105=Screener!$D$10,1,0))</f>
        <v/>
      </c>
      <c r="F105" s="220">
        <f>IF(OR(Database!$BM105="",Screener!$D$11=""),0,IF(Database!$BM105=Screener!$D$11,1,0))</f>
        <v/>
      </c>
      <c r="G105" s="220">
        <f>IF(OR(Database!$H105="",N(Screener!$D$12)&lt;=0),0,MAX(0,1-(N(Screener!$D$12)-Database!$H105)/W_RECD))</f>
        <v/>
      </c>
      <c r="H105" s="220">
        <f>IF($U$1="",0,N(ISNUMBER(SEARCH($U$1,Database!$AC105&amp;""))))+IF($V$1="",0,N(ISNUMBER(SEARCH($V$1,Database!$AC105&amp;""))))+IF($W$1="",0,N(ISNUMBER(SEARCH($W$1,Database!$AC105&amp;""))))+IF($X$1="",0,N(ISNUMBER(SEARCH($X$1,Database!$AC105&amp;""))))+IF($Y$1="",0,N(ISNUMBER(SEARCH($Y$1,Database!$AC105&amp;""))))+IF(Screener!$B$17="",0,N(ISNUMBER(SEARCH(LOWER(Screener!$B$17),Database!$AC105&amp;""))))</f>
        <v/>
      </c>
      <c r="I105" s="220">
        <f>IF(OR(N(Database!$BH105)&lt;=0,N(Screener!$D$13)&lt;=0),0,MAX(0,1-ABS(LOG10(N(Database!$BH105)/Screener!$D$13))/W_PEHW))</f>
        <v/>
      </c>
      <c r="J105" s="220">
        <f>IF(OR(N(Database!$S105)&lt;=0,N(Screener!$D$14)&lt;=0),0,MAX(0,1-ABS(LOG10(Database!$S105/Screener!$D$14))/0.6))</f>
        <v/>
      </c>
      <c r="K105" s="220">
        <f>IF(Database!$B105=Screener!$B$5,-999999,IF(ISNUMBER(SEARCH(","&amp;Database!$A105&amp;",",","&amp;SUBSTITUTE(Screener!$D$17," ","")&amp;",")),2000000,IF(IF(OR(Screener!$B$18="All",AND(Screener!$B$18="With A-share",(Database!$BM105="Y")),AND(Screener!$B$18="Without A-share",NOT((Database!$BM105="Y")))),1,0)=0,-999999,IF(Screener!$B$16="cornerstone overlap first",H105*100000,IF(Screener!$B$16="demand-similar first",J105*100000,0))+W_SUB*B105+W_SEC*C105*(1-B105)+W_SIZE*D105+W_PROF*E105+W_AH*F105+W_REC*G105+W_CS*H105+W_PE*I105)))+ROW()/1000000</f>
        <v/>
      </c>
      <c r="AA105" s="220">
        <f>Database!B94</f>
        <v/>
      </c>
      <c r="AB105" s="220">
        <f>Database!D94</f>
        <v/>
      </c>
      <c r="AC105" s="220">
        <f>Database!E94</f>
        <v/>
      </c>
      <c r="AD105" s="220">
        <f>Database!I94</f>
        <v/>
      </c>
      <c r="AE105" s="220">
        <f>Database!BG94</f>
        <v/>
      </c>
      <c r="AF105" s="220">
        <f>Database!BM94</f>
        <v/>
      </c>
      <c r="AG105" s="220">
        <f>Database!H94</f>
        <v/>
      </c>
      <c r="AH105" s="220">
        <f>Database!BH94</f>
        <v/>
      </c>
    </row>
    <row r="106">
      <c r="A106" s="220">
        <f>Database!B106</f>
        <v/>
      </c>
      <c r="B106" s="220">
        <f>IF(AND(Screener!$D$8&lt;&gt;"",Database!$E106=Screener!$D$8),1,0)</f>
        <v/>
      </c>
      <c r="C106" s="220">
        <f>IF(AND(Screener!$D$7&lt;&gt;"",Database!$D106=Screener!$D$7),1,0)</f>
        <v/>
      </c>
      <c r="D106" s="220">
        <f>IF(OR(N(Database!$I106)&lt;=0,N(Screener!$D$9)&lt;=0),0,MAX(0,1-ABS(LOG10(N(Database!$I106)/Screener!$D$9))/W_SIZEHW))</f>
        <v/>
      </c>
      <c r="E106" s="220">
        <f>IF(OR(Database!$BG106="",Screener!$D$10=""),0,IF(Database!$BG106=Screener!$D$10,1,0))</f>
        <v/>
      </c>
      <c r="F106" s="220">
        <f>IF(OR(Database!$BM106="",Screener!$D$11=""),0,IF(Database!$BM106=Screener!$D$11,1,0))</f>
        <v/>
      </c>
      <c r="G106" s="220">
        <f>IF(OR(Database!$H106="",N(Screener!$D$12)&lt;=0),0,MAX(0,1-(N(Screener!$D$12)-Database!$H106)/W_RECD))</f>
        <v/>
      </c>
      <c r="H106" s="220">
        <f>IF($U$1="",0,N(ISNUMBER(SEARCH($U$1,Database!$AC106&amp;""))))+IF($V$1="",0,N(ISNUMBER(SEARCH($V$1,Database!$AC106&amp;""))))+IF($W$1="",0,N(ISNUMBER(SEARCH($W$1,Database!$AC106&amp;""))))+IF($X$1="",0,N(ISNUMBER(SEARCH($X$1,Database!$AC106&amp;""))))+IF($Y$1="",0,N(ISNUMBER(SEARCH($Y$1,Database!$AC106&amp;""))))+IF(Screener!$B$17="",0,N(ISNUMBER(SEARCH(LOWER(Screener!$B$17),Database!$AC106&amp;""))))</f>
        <v/>
      </c>
      <c r="I106" s="220">
        <f>IF(OR(N(Database!$BH106)&lt;=0,N(Screener!$D$13)&lt;=0),0,MAX(0,1-ABS(LOG10(N(Database!$BH106)/Screener!$D$13))/W_PEHW))</f>
        <v/>
      </c>
      <c r="J106" s="220">
        <f>IF(OR(N(Database!$S106)&lt;=0,N(Screener!$D$14)&lt;=0),0,MAX(0,1-ABS(LOG10(Database!$S106/Screener!$D$14))/0.6))</f>
        <v/>
      </c>
      <c r="K106" s="220">
        <f>IF(Database!$B106=Screener!$B$5,-999999,IF(ISNUMBER(SEARCH(","&amp;Database!$A106&amp;",",","&amp;SUBSTITUTE(Screener!$D$17," ","")&amp;",")),2000000,IF(IF(OR(Screener!$B$18="All",AND(Screener!$B$18="With A-share",(Database!$BM106="Y")),AND(Screener!$B$18="Without A-share",NOT((Database!$BM106="Y")))),1,0)=0,-999999,IF(Screener!$B$16="cornerstone overlap first",H106*100000,IF(Screener!$B$16="demand-similar first",J106*100000,0))+W_SUB*B106+W_SEC*C106*(1-B106)+W_SIZE*D106+W_PROF*E106+W_AH*F106+W_REC*G106+W_CS*H106+W_PE*I106)))+ROW()/1000000</f>
        <v/>
      </c>
      <c r="AA106" s="220">
        <f>Database!B95</f>
        <v/>
      </c>
      <c r="AB106" s="220">
        <f>Database!D95</f>
        <v/>
      </c>
      <c r="AC106" s="220">
        <f>Database!E95</f>
        <v/>
      </c>
      <c r="AD106" s="220">
        <f>Database!I95</f>
        <v/>
      </c>
      <c r="AE106" s="220">
        <f>Database!BG95</f>
        <v/>
      </c>
      <c r="AF106" s="220">
        <f>Database!BM95</f>
        <v/>
      </c>
      <c r="AG106" s="220">
        <f>Database!H95</f>
        <v/>
      </c>
      <c r="AH106" s="220">
        <f>Database!BH95</f>
        <v/>
      </c>
    </row>
    <row r="107">
      <c r="A107" s="220">
        <f>Database!B107</f>
        <v/>
      </c>
      <c r="B107" s="220">
        <f>IF(AND(Screener!$D$8&lt;&gt;"",Database!$E107=Screener!$D$8),1,0)</f>
        <v/>
      </c>
      <c r="C107" s="220">
        <f>IF(AND(Screener!$D$7&lt;&gt;"",Database!$D107=Screener!$D$7),1,0)</f>
        <v/>
      </c>
      <c r="D107" s="220">
        <f>IF(OR(N(Database!$I107)&lt;=0,N(Screener!$D$9)&lt;=0),0,MAX(0,1-ABS(LOG10(N(Database!$I107)/Screener!$D$9))/W_SIZEHW))</f>
        <v/>
      </c>
      <c r="E107" s="220">
        <f>IF(OR(Database!$BG107="",Screener!$D$10=""),0,IF(Database!$BG107=Screener!$D$10,1,0))</f>
        <v/>
      </c>
      <c r="F107" s="220">
        <f>IF(OR(Database!$BM107="",Screener!$D$11=""),0,IF(Database!$BM107=Screener!$D$11,1,0))</f>
        <v/>
      </c>
      <c r="G107" s="220">
        <f>IF(OR(Database!$H107="",N(Screener!$D$12)&lt;=0),0,MAX(0,1-(N(Screener!$D$12)-Database!$H107)/W_RECD))</f>
        <v/>
      </c>
      <c r="H107" s="220">
        <f>IF($U$1="",0,N(ISNUMBER(SEARCH($U$1,Database!$AC107&amp;""))))+IF($V$1="",0,N(ISNUMBER(SEARCH($V$1,Database!$AC107&amp;""))))+IF($W$1="",0,N(ISNUMBER(SEARCH($W$1,Database!$AC107&amp;""))))+IF($X$1="",0,N(ISNUMBER(SEARCH($X$1,Database!$AC107&amp;""))))+IF($Y$1="",0,N(ISNUMBER(SEARCH($Y$1,Database!$AC107&amp;""))))+IF(Screener!$B$17="",0,N(ISNUMBER(SEARCH(LOWER(Screener!$B$17),Database!$AC107&amp;""))))</f>
        <v/>
      </c>
      <c r="I107" s="220">
        <f>IF(OR(N(Database!$BH107)&lt;=0,N(Screener!$D$13)&lt;=0),0,MAX(0,1-ABS(LOG10(N(Database!$BH107)/Screener!$D$13))/W_PEHW))</f>
        <v/>
      </c>
      <c r="J107" s="220">
        <f>IF(OR(N(Database!$S107)&lt;=0,N(Screener!$D$14)&lt;=0),0,MAX(0,1-ABS(LOG10(Database!$S107/Screener!$D$14))/0.6))</f>
        <v/>
      </c>
      <c r="K107" s="220">
        <f>IF(Database!$B107=Screener!$B$5,-999999,IF(ISNUMBER(SEARCH(","&amp;Database!$A107&amp;",",","&amp;SUBSTITUTE(Screener!$D$17," ","")&amp;",")),2000000,IF(IF(OR(Screener!$B$18="All",AND(Screener!$B$18="With A-share",(Database!$BM107="Y")),AND(Screener!$B$18="Without A-share",NOT((Database!$BM107="Y")))),1,0)=0,-999999,IF(Screener!$B$16="cornerstone overlap first",H107*100000,IF(Screener!$B$16="demand-similar first",J107*100000,0))+W_SUB*B107+W_SEC*C107*(1-B107)+W_SIZE*D107+W_PROF*E107+W_AH*F107+W_REC*G107+W_CS*H107+W_PE*I107)))+ROW()/1000000</f>
        <v/>
      </c>
      <c r="AA107" s="220">
        <f>Database!B96</f>
        <v/>
      </c>
      <c r="AB107" s="220">
        <f>Database!D96</f>
        <v/>
      </c>
      <c r="AC107" s="220">
        <f>Database!E96</f>
        <v/>
      </c>
      <c r="AD107" s="220">
        <f>Database!I96</f>
        <v/>
      </c>
      <c r="AE107" s="220">
        <f>Database!BG96</f>
        <v/>
      </c>
      <c r="AF107" s="220">
        <f>Database!BM96</f>
        <v/>
      </c>
      <c r="AG107" s="220">
        <f>Database!H96</f>
        <v/>
      </c>
      <c r="AH107" s="220">
        <f>Database!BH96</f>
        <v/>
      </c>
    </row>
    <row r="108">
      <c r="A108" s="220">
        <f>Database!B108</f>
        <v/>
      </c>
      <c r="B108" s="220">
        <f>IF(AND(Screener!$D$8&lt;&gt;"",Database!$E108=Screener!$D$8),1,0)</f>
        <v/>
      </c>
      <c r="C108" s="220">
        <f>IF(AND(Screener!$D$7&lt;&gt;"",Database!$D108=Screener!$D$7),1,0)</f>
        <v/>
      </c>
      <c r="D108" s="220">
        <f>IF(OR(N(Database!$I108)&lt;=0,N(Screener!$D$9)&lt;=0),0,MAX(0,1-ABS(LOG10(N(Database!$I108)/Screener!$D$9))/W_SIZEHW))</f>
        <v/>
      </c>
      <c r="E108" s="220">
        <f>IF(OR(Database!$BG108="",Screener!$D$10=""),0,IF(Database!$BG108=Screener!$D$10,1,0))</f>
        <v/>
      </c>
      <c r="F108" s="220">
        <f>IF(OR(Database!$BM108="",Screener!$D$11=""),0,IF(Database!$BM108=Screener!$D$11,1,0))</f>
        <v/>
      </c>
      <c r="G108" s="220">
        <f>IF(OR(Database!$H108="",N(Screener!$D$12)&lt;=0),0,MAX(0,1-(N(Screener!$D$12)-Database!$H108)/W_RECD))</f>
        <v/>
      </c>
      <c r="H108" s="220">
        <f>IF($U$1="",0,N(ISNUMBER(SEARCH($U$1,Database!$AC108&amp;""))))+IF($V$1="",0,N(ISNUMBER(SEARCH($V$1,Database!$AC108&amp;""))))+IF($W$1="",0,N(ISNUMBER(SEARCH($W$1,Database!$AC108&amp;""))))+IF($X$1="",0,N(ISNUMBER(SEARCH($X$1,Database!$AC108&amp;""))))+IF($Y$1="",0,N(ISNUMBER(SEARCH($Y$1,Database!$AC108&amp;""))))+IF(Screener!$B$17="",0,N(ISNUMBER(SEARCH(LOWER(Screener!$B$17),Database!$AC108&amp;""))))</f>
        <v/>
      </c>
      <c r="I108" s="220">
        <f>IF(OR(N(Database!$BH108)&lt;=0,N(Screener!$D$13)&lt;=0),0,MAX(0,1-ABS(LOG10(N(Database!$BH108)/Screener!$D$13))/W_PEHW))</f>
        <v/>
      </c>
      <c r="J108" s="220">
        <f>IF(OR(N(Database!$S108)&lt;=0,N(Screener!$D$14)&lt;=0),0,MAX(0,1-ABS(LOG10(Database!$S108/Screener!$D$14))/0.6))</f>
        <v/>
      </c>
      <c r="K108" s="220">
        <f>IF(Database!$B108=Screener!$B$5,-999999,IF(ISNUMBER(SEARCH(","&amp;Database!$A108&amp;",",","&amp;SUBSTITUTE(Screener!$D$17," ","")&amp;",")),2000000,IF(IF(OR(Screener!$B$18="All",AND(Screener!$B$18="With A-share",(Database!$BM108="Y")),AND(Screener!$B$18="Without A-share",NOT((Database!$BM108="Y")))),1,0)=0,-999999,IF(Screener!$B$16="cornerstone overlap first",H108*100000,IF(Screener!$B$16="demand-similar first",J108*100000,0))+W_SUB*B108+W_SEC*C108*(1-B108)+W_SIZE*D108+W_PROF*E108+W_AH*F108+W_REC*G108+W_CS*H108+W_PE*I108)))+ROW()/1000000</f>
        <v/>
      </c>
      <c r="AA108" s="220">
        <f>Database!B97</f>
        <v/>
      </c>
      <c r="AB108" s="220">
        <f>Database!D97</f>
        <v/>
      </c>
      <c r="AC108" s="220">
        <f>Database!E97</f>
        <v/>
      </c>
      <c r="AD108" s="220">
        <f>Database!I97</f>
        <v/>
      </c>
      <c r="AE108" s="220">
        <f>Database!BG97</f>
        <v/>
      </c>
      <c r="AF108" s="220">
        <f>Database!BM97</f>
        <v/>
      </c>
      <c r="AG108" s="220">
        <f>Database!H97</f>
        <v/>
      </c>
      <c r="AH108" s="220">
        <f>Database!BH97</f>
        <v/>
      </c>
    </row>
    <row r="109">
      <c r="A109" s="220">
        <f>Database!B109</f>
        <v/>
      </c>
      <c r="B109" s="220">
        <f>IF(AND(Screener!$D$8&lt;&gt;"",Database!$E109=Screener!$D$8),1,0)</f>
        <v/>
      </c>
      <c r="C109" s="220">
        <f>IF(AND(Screener!$D$7&lt;&gt;"",Database!$D109=Screener!$D$7),1,0)</f>
        <v/>
      </c>
      <c r="D109" s="220">
        <f>IF(OR(N(Database!$I109)&lt;=0,N(Screener!$D$9)&lt;=0),0,MAX(0,1-ABS(LOG10(N(Database!$I109)/Screener!$D$9))/W_SIZEHW))</f>
        <v/>
      </c>
      <c r="E109" s="220">
        <f>IF(OR(Database!$BG109="",Screener!$D$10=""),0,IF(Database!$BG109=Screener!$D$10,1,0))</f>
        <v/>
      </c>
      <c r="F109" s="220">
        <f>IF(OR(Database!$BM109="",Screener!$D$11=""),0,IF(Database!$BM109=Screener!$D$11,1,0))</f>
        <v/>
      </c>
      <c r="G109" s="220">
        <f>IF(OR(Database!$H109="",N(Screener!$D$12)&lt;=0),0,MAX(0,1-(N(Screener!$D$12)-Database!$H109)/W_RECD))</f>
        <v/>
      </c>
      <c r="H109" s="220">
        <f>IF($U$1="",0,N(ISNUMBER(SEARCH($U$1,Database!$AC109&amp;""))))+IF($V$1="",0,N(ISNUMBER(SEARCH($V$1,Database!$AC109&amp;""))))+IF($W$1="",0,N(ISNUMBER(SEARCH($W$1,Database!$AC109&amp;""))))+IF($X$1="",0,N(ISNUMBER(SEARCH($X$1,Database!$AC109&amp;""))))+IF($Y$1="",0,N(ISNUMBER(SEARCH($Y$1,Database!$AC109&amp;""))))+IF(Screener!$B$17="",0,N(ISNUMBER(SEARCH(LOWER(Screener!$B$17),Database!$AC109&amp;""))))</f>
        <v/>
      </c>
      <c r="I109" s="220">
        <f>IF(OR(N(Database!$BH109)&lt;=0,N(Screener!$D$13)&lt;=0),0,MAX(0,1-ABS(LOG10(N(Database!$BH109)/Screener!$D$13))/W_PEHW))</f>
        <v/>
      </c>
      <c r="J109" s="220">
        <f>IF(OR(N(Database!$S109)&lt;=0,N(Screener!$D$14)&lt;=0),0,MAX(0,1-ABS(LOG10(Database!$S109/Screener!$D$14))/0.6))</f>
        <v/>
      </c>
      <c r="K109" s="220">
        <f>IF(Database!$B109=Screener!$B$5,-999999,IF(ISNUMBER(SEARCH(","&amp;Database!$A109&amp;",",","&amp;SUBSTITUTE(Screener!$D$17," ","")&amp;",")),2000000,IF(IF(OR(Screener!$B$18="All",AND(Screener!$B$18="With A-share",(Database!$BM109="Y")),AND(Screener!$B$18="Without A-share",NOT((Database!$BM109="Y")))),1,0)=0,-999999,IF(Screener!$B$16="cornerstone overlap first",H109*100000,IF(Screener!$B$16="demand-similar first",J109*100000,0))+W_SUB*B109+W_SEC*C109*(1-B109)+W_SIZE*D109+W_PROF*E109+W_AH*F109+W_REC*G109+W_CS*H109+W_PE*I109)))+ROW()/1000000</f>
        <v/>
      </c>
      <c r="AA109" s="220">
        <f>Database!B98</f>
        <v/>
      </c>
      <c r="AB109" s="220">
        <f>Database!D98</f>
        <v/>
      </c>
      <c r="AC109" s="220">
        <f>Database!E98</f>
        <v/>
      </c>
      <c r="AD109" s="220">
        <f>Database!I98</f>
        <v/>
      </c>
      <c r="AE109" s="220">
        <f>Database!BG98</f>
        <v/>
      </c>
      <c r="AF109" s="220">
        <f>Database!BM98</f>
        <v/>
      </c>
      <c r="AG109" s="220">
        <f>Database!H98</f>
        <v/>
      </c>
      <c r="AH109" s="220">
        <f>Database!BH98</f>
        <v/>
      </c>
    </row>
    <row r="110">
      <c r="A110" s="220">
        <f>Database!B110</f>
        <v/>
      </c>
      <c r="B110" s="220">
        <f>IF(AND(Screener!$D$8&lt;&gt;"",Database!$E110=Screener!$D$8),1,0)</f>
        <v/>
      </c>
      <c r="C110" s="220">
        <f>IF(AND(Screener!$D$7&lt;&gt;"",Database!$D110=Screener!$D$7),1,0)</f>
        <v/>
      </c>
      <c r="D110" s="220">
        <f>IF(OR(N(Database!$I110)&lt;=0,N(Screener!$D$9)&lt;=0),0,MAX(0,1-ABS(LOG10(N(Database!$I110)/Screener!$D$9))/W_SIZEHW))</f>
        <v/>
      </c>
      <c r="E110" s="220">
        <f>IF(OR(Database!$BG110="",Screener!$D$10=""),0,IF(Database!$BG110=Screener!$D$10,1,0))</f>
        <v/>
      </c>
      <c r="F110" s="220">
        <f>IF(OR(Database!$BM110="",Screener!$D$11=""),0,IF(Database!$BM110=Screener!$D$11,1,0))</f>
        <v/>
      </c>
      <c r="G110" s="220">
        <f>IF(OR(Database!$H110="",N(Screener!$D$12)&lt;=0),0,MAX(0,1-(N(Screener!$D$12)-Database!$H110)/W_RECD))</f>
        <v/>
      </c>
      <c r="H110" s="220">
        <f>IF($U$1="",0,N(ISNUMBER(SEARCH($U$1,Database!$AC110&amp;""))))+IF($V$1="",0,N(ISNUMBER(SEARCH($V$1,Database!$AC110&amp;""))))+IF($W$1="",0,N(ISNUMBER(SEARCH($W$1,Database!$AC110&amp;""))))+IF($X$1="",0,N(ISNUMBER(SEARCH($X$1,Database!$AC110&amp;""))))+IF($Y$1="",0,N(ISNUMBER(SEARCH($Y$1,Database!$AC110&amp;""))))+IF(Screener!$B$17="",0,N(ISNUMBER(SEARCH(LOWER(Screener!$B$17),Database!$AC110&amp;""))))</f>
        <v/>
      </c>
      <c r="I110" s="220">
        <f>IF(OR(N(Database!$BH110)&lt;=0,N(Screener!$D$13)&lt;=0),0,MAX(0,1-ABS(LOG10(N(Database!$BH110)/Screener!$D$13))/W_PEHW))</f>
        <v/>
      </c>
      <c r="J110" s="220">
        <f>IF(OR(N(Database!$S110)&lt;=0,N(Screener!$D$14)&lt;=0),0,MAX(0,1-ABS(LOG10(Database!$S110/Screener!$D$14))/0.6))</f>
        <v/>
      </c>
      <c r="K110" s="220">
        <f>IF(Database!$B110=Screener!$B$5,-999999,IF(ISNUMBER(SEARCH(","&amp;Database!$A110&amp;",",","&amp;SUBSTITUTE(Screener!$D$17," ","")&amp;",")),2000000,IF(IF(OR(Screener!$B$18="All",AND(Screener!$B$18="With A-share",(Database!$BM110="Y")),AND(Screener!$B$18="Without A-share",NOT((Database!$BM110="Y")))),1,0)=0,-999999,IF(Screener!$B$16="cornerstone overlap first",H110*100000,IF(Screener!$B$16="demand-similar first",J110*100000,0))+W_SUB*B110+W_SEC*C110*(1-B110)+W_SIZE*D110+W_PROF*E110+W_AH*F110+W_REC*G110+W_CS*H110+W_PE*I110)))+ROW()/1000000</f>
        <v/>
      </c>
      <c r="AA110" s="220">
        <f>Database!B99</f>
        <v/>
      </c>
      <c r="AB110" s="220">
        <f>Database!D99</f>
        <v/>
      </c>
      <c r="AC110" s="220">
        <f>Database!E99</f>
        <v/>
      </c>
      <c r="AD110" s="220">
        <f>Database!I99</f>
        <v/>
      </c>
      <c r="AE110" s="220">
        <f>Database!BG99</f>
        <v/>
      </c>
      <c r="AF110" s="220">
        <f>Database!BM99</f>
        <v/>
      </c>
      <c r="AG110" s="220">
        <f>Database!H99</f>
        <v/>
      </c>
      <c r="AH110" s="220">
        <f>Database!BH99</f>
        <v/>
      </c>
    </row>
    <row r="111">
      <c r="A111" s="220">
        <f>Database!B111</f>
        <v/>
      </c>
      <c r="B111" s="220">
        <f>IF(AND(Screener!$D$8&lt;&gt;"",Database!$E111=Screener!$D$8),1,0)</f>
        <v/>
      </c>
      <c r="C111" s="220">
        <f>IF(AND(Screener!$D$7&lt;&gt;"",Database!$D111=Screener!$D$7),1,0)</f>
        <v/>
      </c>
      <c r="D111" s="220">
        <f>IF(OR(N(Database!$I111)&lt;=0,N(Screener!$D$9)&lt;=0),0,MAX(0,1-ABS(LOG10(N(Database!$I111)/Screener!$D$9))/W_SIZEHW))</f>
        <v/>
      </c>
      <c r="E111" s="220">
        <f>IF(OR(Database!$BG111="",Screener!$D$10=""),0,IF(Database!$BG111=Screener!$D$10,1,0))</f>
        <v/>
      </c>
      <c r="F111" s="220">
        <f>IF(OR(Database!$BM111="",Screener!$D$11=""),0,IF(Database!$BM111=Screener!$D$11,1,0))</f>
        <v/>
      </c>
      <c r="G111" s="220">
        <f>IF(OR(Database!$H111="",N(Screener!$D$12)&lt;=0),0,MAX(0,1-(N(Screener!$D$12)-Database!$H111)/W_RECD))</f>
        <v/>
      </c>
      <c r="H111" s="220">
        <f>IF($U$1="",0,N(ISNUMBER(SEARCH($U$1,Database!$AC111&amp;""))))+IF($V$1="",0,N(ISNUMBER(SEARCH($V$1,Database!$AC111&amp;""))))+IF($W$1="",0,N(ISNUMBER(SEARCH($W$1,Database!$AC111&amp;""))))+IF($X$1="",0,N(ISNUMBER(SEARCH($X$1,Database!$AC111&amp;""))))+IF($Y$1="",0,N(ISNUMBER(SEARCH($Y$1,Database!$AC111&amp;""))))+IF(Screener!$B$17="",0,N(ISNUMBER(SEARCH(LOWER(Screener!$B$17),Database!$AC111&amp;""))))</f>
        <v/>
      </c>
      <c r="I111" s="220">
        <f>IF(OR(N(Database!$BH111)&lt;=0,N(Screener!$D$13)&lt;=0),0,MAX(0,1-ABS(LOG10(N(Database!$BH111)/Screener!$D$13))/W_PEHW))</f>
        <v/>
      </c>
      <c r="J111" s="220">
        <f>IF(OR(N(Database!$S111)&lt;=0,N(Screener!$D$14)&lt;=0),0,MAX(0,1-ABS(LOG10(Database!$S111/Screener!$D$14))/0.6))</f>
        <v/>
      </c>
      <c r="K111" s="220">
        <f>IF(Database!$B111=Screener!$B$5,-999999,IF(ISNUMBER(SEARCH(","&amp;Database!$A111&amp;",",","&amp;SUBSTITUTE(Screener!$D$17," ","")&amp;",")),2000000,IF(IF(OR(Screener!$B$18="All",AND(Screener!$B$18="With A-share",(Database!$BM111="Y")),AND(Screener!$B$18="Without A-share",NOT((Database!$BM111="Y")))),1,0)=0,-999999,IF(Screener!$B$16="cornerstone overlap first",H111*100000,IF(Screener!$B$16="demand-similar first",J111*100000,0))+W_SUB*B111+W_SEC*C111*(1-B111)+W_SIZE*D111+W_PROF*E111+W_AH*F111+W_REC*G111+W_CS*H111+W_PE*I111)))+ROW()/1000000</f>
        <v/>
      </c>
      <c r="AA111" s="220">
        <f>Database!B100</f>
        <v/>
      </c>
      <c r="AB111" s="220">
        <f>Database!D100</f>
        <v/>
      </c>
      <c r="AC111" s="220">
        <f>Database!E100</f>
        <v/>
      </c>
      <c r="AD111" s="220">
        <f>Database!I100</f>
        <v/>
      </c>
      <c r="AE111" s="220">
        <f>Database!BG100</f>
        <v/>
      </c>
      <c r="AF111" s="220">
        <f>Database!BM100</f>
        <v/>
      </c>
      <c r="AG111" s="220">
        <f>Database!H100</f>
        <v/>
      </c>
      <c r="AH111" s="220">
        <f>Database!BH100</f>
        <v/>
      </c>
    </row>
    <row r="112">
      <c r="A112" s="220">
        <f>Database!B112</f>
        <v/>
      </c>
      <c r="B112" s="220">
        <f>IF(AND(Screener!$D$8&lt;&gt;"",Database!$E112=Screener!$D$8),1,0)</f>
        <v/>
      </c>
      <c r="C112" s="220">
        <f>IF(AND(Screener!$D$7&lt;&gt;"",Database!$D112=Screener!$D$7),1,0)</f>
        <v/>
      </c>
      <c r="D112" s="220">
        <f>IF(OR(N(Database!$I112)&lt;=0,N(Screener!$D$9)&lt;=0),0,MAX(0,1-ABS(LOG10(N(Database!$I112)/Screener!$D$9))/W_SIZEHW))</f>
        <v/>
      </c>
      <c r="E112" s="220">
        <f>IF(OR(Database!$BG112="",Screener!$D$10=""),0,IF(Database!$BG112=Screener!$D$10,1,0))</f>
        <v/>
      </c>
      <c r="F112" s="220">
        <f>IF(OR(Database!$BM112="",Screener!$D$11=""),0,IF(Database!$BM112=Screener!$D$11,1,0))</f>
        <v/>
      </c>
      <c r="G112" s="220">
        <f>IF(OR(Database!$H112="",N(Screener!$D$12)&lt;=0),0,MAX(0,1-(N(Screener!$D$12)-Database!$H112)/W_RECD))</f>
        <v/>
      </c>
      <c r="H112" s="220">
        <f>IF($U$1="",0,N(ISNUMBER(SEARCH($U$1,Database!$AC112&amp;""))))+IF($V$1="",0,N(ISNUMBER(SEARCH($V$1,Database!$AC112&amp;""))))+IF($W$1="",0,N(ISNUMBER(SEARCH($W$1,Database!$AC112&amp;""))))+IF($X$1="",0,N(ISNUMBER(SEARCH($X$1,Database!$AC112&amp;""))))+IF($Y$1="",0,N(ISNUMBER(SEARCH($Y$1,Database!$AC112&amp;""))))+IF(Screener!$B$17="",0,N(ISNUMBER(SEARCH(LOWER(Screener!$B$17),Database!$AC112&amp;""))))</f>
        <v/>
      </c>
      <c r="I112" s="220">
        <f>IF(OR(N(Database!$BH112)&lt;=0,N(Screener!$D$13)&lt;=0),0,MAX(0,1-ABS(LOG10(N(Database!$BH112)/Screener!$D$13))/W_PEHW))</f>
        <v/>
      </c>
      <c r="J112" s="220">
        <f>IF(OR(N(Database!$S112)&lt;=0,N(Screener!$D$14)&lt;=0),0,MAX(0,1-ABS(LOG10(Database!$S112/Screener!$D$14))/0.6))</f>
        <v/>
      </c>
      <c r="K112" s="220">
        <f>IF(Database!$B112=Screener!$B$5,-999999,IF(ISNUMBER(SEARCH(","&amp;Database!$A112&amp;",",","&amp;SUBSTITUTE(Screener!$D$17," ","")&amp;",")),2000000,IF(IF(OR(Screener!$B$18="All",AND(Screener!$B$18="With A-share",(Database!$BM112="Y")),AND(Screener!$B$18="Without A-share",NOT((Database!$BM112="Y")))),1,0)=0,-999999,IF(Screener!$B$16="cornerstone overlap first",H112*100000,IF(Screener!$B$16="demand-similar first",J112*100000,0))+W_SUB*B112+W_SEC*C112*(1-B112)+W_SIZE*D112+W_PROF*E112+W_AH*F112+W_REC*G112+W_CS*H112+W_PE*I112)))+ROW()/1000000</f>
        <v/>
      </c>
      <c r="AA112" s="220">
        <f>Database!B101</f>
        <v/>
      </c>
      <c r="AB112" s="220">
        <f>Database!D101</f>
        <v/>
      </c>
      <c r="AC112" s="220">
        <f>Database!E101</f>
        <v/>
      </c>
      <c r="AD112" s="220">
        <f>Database!I101</f>
        <v/>
      </c>
      <c r="AE112" s="220">
        <f>Database!BG101</f>
        <v/>
      </c>
      <c r="AF112" s="220">
        <f>Database!BM101</f>
        <v/>
      </c>
      <c r="AG112" s="220">
        <f>Database!H101</f>
        <v/>
      </c>
      <c r="AH112" s="220">
        <f>Database!BH101</f>
        <v/>
      </c>
    </row>
    <row r="113">
      <c r="A113" s="220">
        <f>Database!B113</f>
        <v/>
      </c>
      <c r="B113" s="220">
        <f>IF(AND(Screener!$D$8&lt;&gt;"",Database!$E113=Screener!$D$8),1,0)</f>
        <v/>
      </c>
      <c r="C113" s="220">
        <f>IF(AND(Screener!$D$7&lt;&gt;"",Database!$D113=Screener!$D$7),1,0)</f>
        <v/>
      </c>
      <c r="D113" s="220">
        <f>IF(OR(N(Database!$I113)&lt;=0,N(Screener!$D$9)&lt;=0),0,MAX(0,1-ABS(LOG10(N(Database!$I113)/Screener!$D$9))/W_SIZEHW))</f>
        <v/>
      </c>
      <c r="E113" s="220">
        <f>IF(OR(Database!$BG113="",Screener!$D$10=""),0,IF(Database!$BG113=Screener!$D$10,1,0))</f>
        <v/>
      </c>
      <c r="F113" s="220">
        <f>IF(OR(Database!$BM113="",Screener!$D$11=""),0,IF(Database!$BM113=Screener!$D$11,1,0))</f>
        <v/>
      </c>
      <c r="G113" s="220">
        <f>IF(OR(Database!$H113="",N(Screener!$D$12)&lt;=0),0,MAX(0,1-(N(Screener!$D$12)-Database!$H113)/W_RECD))</f>
        <v/>
      </c>
      <c r="H113" s="220">
        <f>IF($U$1="",0,N(ISNUMBER(SEARCH($U$1,Database!$AC113&amp;""))))+IF($V$1="",0,N(ISNUMBER(SEARCH($V$1,Database!$AC113&amp;""))))+IF($W$1="",0,N(ISNUMBER(SEARCH($W$1,Database!$AC113&amp;""))))+IF($X$1="",0,N(ISNUMBER(SEARCH($X$1,Database!$AC113&amp;""))))+IF($Y$1="",0,N(ISNUMBER(SEARCH($Y$1,Database!$AC113&amp;""))))+IF(Screener!$B$17="",0,N(ISNUMBER(SEARCH(LOWER(Screener!$B$17),Database!$AC113&amp;""))))</f>
        <v/>
      </c>
      <c r="I113" s="220">
        <f>IF(OR(N(Database!$BH113)&lt;=0,N(Screener!$D$13)&lt;=0),0,MAX(0,1-ABS(LOG10(N(Database!$BH113)/Screener!$D$13))/W_PEHW))</f>
        <v/>
      </c>
      <c r="J113" s="220">
        <f>IF(OR(N(Database!$S113)&lt;=0,N(Screener!$D$14)&lt;=0),0,MAX(0,1-ABS(LOG10(Database!$S113/Screener!$D$14))/0.6))</f>
        <v/>
      </c>
      <c r="K113" s="220">
        <f>IF(Database!$B113=Screener!$B$5,-999999,IF(ISNUMBER(SEARCH(","&amp;Database!$A113&amp;",",","&amp;SUBSTITUTE(Screener!$D$17," ","")&amp;",")),2000000,IF(IF(OR(Screener!$B$18="All",AND(Screener!$B$18="With A-share",(Database!$BM113="Y")),AND(Screener!$B$18="Without A-share",NOT((Database!$BM113="Y")))),1,0)=0,-999999,IF(Screener!$B$16="cornerstone overlap first",H113*100000,IF(Screener!$B$16="demand-similar first",J113*100000,0))+W_SUB*B113+W_SEC*C113*(1-B113)+W_SIZE*D113+W_PROF*E113+W_AH*F113+W_REC*G113+W_CS*H113+W_PE*I113)))+ROW()/1000000</f>
        <v/>
      </c>
      <c r="AA113" s="220">
        <f>Database!B102</f>
        <v/>
      </c>
      <c r="AB113" s="220">
        <f>Database!D102</f>
        <v/>
      </c>
      <c r="AC113" s="220">
        <f>Database!E102</f>
        <v/>
      </c>
      <c r="AD113" s="220">
        <f>Database!I102</f>
        <v/>
      </c>
      <c r="AE113" s="220">
        <f>Database!BG102</f>
        <v/>
      </c>
      <c r="AF113" s="220">
        <f>Database!BM102</f>
        <v/>
      </c>
      <c r="AG113" s="220">
        <f>Database!H102</f>
        <v/>
      </c>
      <c r="AH113" s="220">
        <f>Database!BH102</f>
        <v/>
      </c>
    </row>
    <row r="114">
      <c r="A114" s="220">
        <f>Database!B114</f>
        <v/>
      </c>
      <c r="B114" s="220">
        <f>IF(AND(Screener!$D$8&lt;&gt;"",Database!$E114=Screener!$D$8),1,0)</f>
        <v/>
      </c>
      <c r="C114" s="220">
        <f>IF(AND(Screener!$D$7&lt;&gt;"",Database!$D114=Screener!$D$7),1,0)</f>
        <v/>
      </c>
      <c r="D114" s="220">
        <f>IF(OR(N(Database!$I114)&lt;=0,N(Screener!$D$9)&lt;=0),0,MAX(0,1-ABS(LOG10(N(Database!$I114)/Screener!$D$9))/W_SIZEHW))</f>
        <v/>
      </c>
      <c r="E114" s="220">
        <f>IF(OR(Database!$BG114="",Screener!$D$10=""),0,IF(Database!$BG114=Screener!$D$10,1,0))</f>
        <v/>
      </c>
      <c r="F114" s="220">
        <f>IF(OR(Database!$BM114="",Screener!$D$11=""),0,IF(Database!$BM114=Screener!$D$11,1,0))</f>
        <v/>
      </c>
      <c r="G114" s="220">
        <f>IF(OR(Database!$H114="",N(Screener!$D$12)&lt;=0),0,MAX(0,1-(N(Screener!$D$12)-Database!$H114)/W_RECD))</f>
        <v/>
      </c>
      <c r="H114" s="220">
        <f>IF($U$1="",0,N(ISNUMBER(SEARCH($U$1,Database!$AC114&amp;""))))+IF($V$1="",0,N(ISNUMBER(SEARCH($V$1,Database!$AC114&amp;""))))+IF($W$1="",0,N(ISNUMBER(SEARCH($W$1,Database!$AC114&amp;""))))+IF($X$1="",0,N(ISNUMBER(SEARCH($X$1,Database!$AC114&amp;""))))+IF($Y$1="",0,N(ISNUMBER(SEARCH($Y$1,Database!$AC114&amp;""))))+IF(Screener!$B$17="",0,N(ISNUMBER(SEARCH(LOWER(Screener!$B$17),Database!$AC114&amp;""))))</f>
        <v/>
      </c>
      <c r="I114" s="220">
        <f>IF(OR(N(Database!$BH114)&lt;=0,N(Screener!$D$13)&lt;=0),0,MAX(0,1-ABS(LOG10(N(Database!$BH114)/Screener!$D$13))/W_PEHW))</f>
        <v/>
      </c>
      <c r="J114" s="220">
        <f>IF(OR(N(Database!$S114)&lt;=0,N(Screener!$D$14)&lt;=0),0,MAX(0,1-ABS(LOG10(Database!$S114/Screener!$D$14))/0.6))</f>
        <v/>
      </c>
      <c r="K114" s="220">
        <f>IF(Database!$B114=Screener!$B$5,-999999,IF(ISNUMBER(SEARCH(","&amp;Database!$A114&amp;",",","&amp;SUBSTITUTE(Screener!$D$17," ","")&amp;",")),2000000,IF(IF(OR(Screener!$B$18="All",AND(Screener!$B$18="With A-share",(Database!$BM114="Y")),AND(Screener!$B$18="Without A-share",NOT((Database!$BM114="Y")))),1,0)=0,-999999,IF(Screener!$B$16="cornerstone overlap first",H114*100000,IF(Screener!$B$16="demand-similar first",J114*100000,0))+W_SUB*B114+W_SEC*C114*(1-B114)+W_SIZE*D114+W_PROF*E114+W_AH*F114+W_REC*G114+W_CS*H114+W_PE*I114)))+ROW()/1000000</f>
        <v/>
      </c>
      <c r="AA114" s="220">
        <f>Database!B103</f>
        <v/>
      </c>
      <c r="AB114" s="220">
        <f>Database!D103</f>
        <v/>
      </c>
      <c r="AC114" s="220">
        <f>Database!E103</f>
        <v/>
      </c>
      <c r="AD114" s="220">
        <f>Database!I103</f>
        <v/>
      </c>
      <c r="AE114" s="220">
        <f>Database!BG103</f>
        <v/>
      </c>
      <c r="AF114" s="220">
        <f>Database!BM103</f>
        <v/>
      </c>
      <c r="AG114" s="220">
        <f>Database!H103</f>
        <v/>
      </c>
      <c r="AH114" s="220">
        <f>Database!BH103</f>
        <v/>
      </c>
    </row>
    <row r="115">
      <c r="A115" s="220">
        <f>Database!B115</f>
        <v/>
      </c>
      <c r="B115" s="220">
        <f>IF(AND(Screener!$D$8&lt;&gt;"",Database!$E115=Screener!$D$8),1,0)</f>
        <v/>
      </c>
      <c r="C115" s="220">
        <f>IF(AND(Screener!$D$7&lt;&gt;"",Database!$D115=Screener!$D$7),1,0)</f>
        <v/>
      </c>
      <c r="D115" s="220">
        <f>IF(OR(N(Database!$I115)&lt;=0,N(Screener!$D$9)&lt;=0),0,MAX(0,1-ABS(LOG10(N(Database!$I115)/Screener!$D$9))/W_SIZEHW))</f>
        <v/>
      </c>
      <c r="E115" s="220">
        <f>IF(OR(Database!$BG115="",Screener!$D$10=""),0,IF(Database!$BG115=Screener!$D$10,1,0))</f>
        <v/>
      </c>
      <c r="F115" s="220">
        <f>IF(OR(Database!$BM115="",Screener!$D$11=""),0,IF(Database!$BM115=Screener!$D$11,1,0))</f>
        <v/>
      </c>
      <c r="G115" s="220">
        <f>IF(OR(Database!$H115="",N(Screener!$D$12)&lt;=0),0,MAX(0,1-(N(Screener!$D$12)-Database!$H115)/W_RECD))</f>
        <v/>
      </c>
      <c r="H115" s="220">
        <f>IF($U$1="",0,N(ISNUMBER(SEARCH($U$1,Database!$AC115&amp;""))))+IF($V$1="",0,N(ISNUMBER(SEARCH($V$1,Database!$AC115&amp;""))))+IF($W$1="",0,N(ISNUMBER(SEARCH($W$1,Database!$AC115&amp;""))))+IF($X$1="",0,N(ISNUMBER(SEARCH($X$1,Database!$AC115&amp;""))))+IF($Y$1="",0,N(ISNUMBER(SEARCH($Y$1,Database!$AC115&amp;""))))+IF(Screener!$B$17="",0,N(ISNUMBER(SEARCH(LOWER(Screener!$B$17),Database!$AC115&amp;""))))</f>
        <v/>
      </c>
      <c r="I115" s="220">
        <f>IF(OR(N(Database!$BH115)&lt;=0,N(Screener!$D$13)&lt;=0),0,MAX(0,1-ABS(LOG10(N(Database!$BH115)/Screener!$D$13))/W_PEHW))</f>
        <v/>
      </c>
      <c r="J115" s="220">
        <f>IF(OR(N(Database!$S115)&lt;=0,N(Screener!$D$14)&lt;=0),0,MAX(0,1-ABS(LOG10(Database!$S115/Screener!$D$14))/0.6))</f>
        <v/>
      </c>
      <c r="K115" s="220">
        <f>IF(Database!$B115=Screener!$B$5,-999999,IF(ISNUMBER(SEARCH(","&amp;Database!$A115&amp;",",","&amp;SUBSTITUTE(Screener!$D$17," ","")&amp;",")),2000000,IF(IF(OR(Screener!$B$18="All",AND(Screener!$B$18="With A-share",(Database!$BM115="Y")),AND(Screener!$B$18="Without A-share",NOT((Database!$BM115="Y")))),1,0)=0,-999999,IF(Screener!$B$16="cornerstone overlap first",H115*100000,IF(Screener!$B$16="demand-similar first",J115*100000,0))+W_SUB*B115+W_SEC*C115*(1-B115)+W_SIZE*D115+W_PROF*E115+W_AH*F115+W_REC*G115+W_CS*H115+W_PE*I115)))+ROW()/1000000</f>
        <v/>
      </c>
      <c r="AA115" s="220">
        <f>Database!B104</f>
        <v/>
      </c>
      <c r="AB115" s="220">
        <f>Database!D104</f>
        <v/>
      </c>
      <c r="AC115" s="220">
        <f>Database!E104</f>
        <v/>
      </c>
      <c r="AD115" s="220">
        <f>Database!I104</f>
        <v/>
      </c>
      <c r="AE115" s="220">
        <f>Database!BG104</f>
        <v/>
      </c>
      <c r="AF115" s="220">
        <f>Database!BM104</f>
        <v/>
      </c>
      <c r="AG115" s="220">
        <f>Database!H104</f>
        <v/>
      </c>
      <c r="AH115" s="220">
        <f>Database!BH104</f>
        <v/>
      </c>
    </row>
    <row r="116">
      <c r="A116" s="220">
        <f>Database!B116</f>
        <v/>
      </c>
      <c r="B116" s="220">
        <f>IF(AND(Screener!$D$8&lt;&gt;"",Database!$E116=Screener!$D$8),1,0)</f>
        <v/>
      </c>
      <c r="C116" s="220">
        <f>IF(AND(Screener!$D$7&lt;&gt;"",Database!$D116=Screener!$D$7),1,0)</f>
        <v/>
      </c>
      <c r="D116" s="220">
        <f>IF(OR(N(Database!$I116)&lt;=0,N(Screener!$D$9)&lt;=0),0,MAX(0,1-ABS(LOG10(N(Database!$I116)/Screener!$D$9))/W_SIZEHW))</f>
        <v/>
      </c>
      <c r="E116" s="220">
        <f>IF(OR(Database!$BG116="",Screener!$D$10=""),0,IF(Database!$BG116=Screener!$D$10,1,0))</f>
        <v/>
      </c>
      <c r="F116" s="220">
        <f>IF(OR(Database!$BM116="",Screener!$D$11=""),0,IF(Database!$BM116=Screener!$D$11,1,0))</f>
        <v/>
      </c>
      <c r="G116" s="220">
        <f>IF(OR(Database!$H116="",N(Screener!$D$12)&lt;=0),0,MAX(0,1-(N(Screener!$D$12)-Database!$H116)/W_RECD))</f>
        <v/>
      </c>
      <c r="H116" s="220">
        <f>IF($U$1="",0,N(ISNUMBER(SEARCH($U$1,Database!$AC116&amp;""))))+IF($V$1="",0,N(ISNUMBER(SEARCH($V$1,Database!$AC116&amp;""))))+IF($W$1="",0,N(ISNUMBER(SEARCH($W$1,Database!$AC116&amp;""))))+IF($X$1="",0,N(ISNUMBER(SEARCH($X$1,Database!$AC116&amp;""))))+IF($Y$1="",0,N(ISNUMBER(SEARCH($Y$1,Database!$AC116&amp;""))))+IF(Screener!$B$17="",0,N(ISNUMBER(SEARCH(LOWER(Screener!$B$17),Database!$AC116&amp;""))))</f>
        <v/>
      </c>
      <c r="I116" s="220">
        <f>IF(OR(N(Database!$BH116)&lt;=0,N(Screener!$D$13)&lt;=0),0,MAX(0,1-ABS(LOG10(N(Database!$BH116)/Screener!$D$13))/W_PEHW))</f>
        <v/>
      </c>
      <c r="J116" s="220">
        <f>IF(OR(N(Database!$S116)&lt;=0,N(Screener!$D$14)&lt;=0),0,MAX(0,1-ABS(LOG10(Database!$S116/Screener!$D$14))/0.6))</f>
        <v/>
      </c>
      <c r="K116" s="220">
        <f>IF(Database!$B116=Screener!$B$5,-999999,IF(ISNUMBER(SEARCH(","&amp;Database!$A116&amp;",",","&amp;SUBSTITUTE(Screener!$D$17," ","")&amp;",")),2000000,IF(IF(OR(Screener!$B$18="All",AND(Screener!$B$18="With A-share",(Database!$BM116="Y")),AND(Screener!$B$18="Without A-share",NOT((Database!$BM116="Y")))),1,0)=0,-999999,IF(Screener!$B$16="cornerstone overlap first",H116*100000,IF(Screener!$B$16="demand-similar first",J116*100000,0))+W_SUB*B116+W_SEC*C116*(1-B116)+W_SIZE*D116+W_PROF*E116+W_AH*F116+W_REC*G116+W_CS*H116+W_PE*I116)))+ROW()/1000000</f>
        <v/>
      </c>
      <c r="AA116" s="220">
        <f>Database!B105</f>
        <v/>
      </c>
      <c r="AB116" s="220">
        <f>Database!D105</f>
        <v/>
      </c>
      <c r="AC116" s="220">
        <f>Database!E105</f>
        <v/>
      </c>
      <c r="AD116" s="220">
        <f>Database!I105</f>
        <v/>
      </c>
      <c r="AE116" s="220">
        <f>Database!BG105</f>
        <v/>
      </c>
      <c r="AF116" s="220">
        <f>Database!BM105</f>
        <v/>
      </c>
      <c r="AG116" s="220">
        <f>Database!H105</f>
        <v/>
      </c>
      <c r="AH116" s="220">
        <f>Database!BH105</f>
        <v/>
      </c>
    </row>
    <row r="117">
      <c r="A117" s="220">
        <f>Database!B117</f>
        <v/>
      </c>
      <c r="B117" s="220">
        <f>IF(AND(Screener!$D$8&lt;&gt;"",Database!$E117=Screener!$D$8),1,0)</f>
        <v/>
      </c>
      <c r="C117" s="220">
        <f>IF(AND(Screener!$D$7&lt;&gt;"",Database!$D117=Screener!$D$7),1,0)</f>
        <v/>
      </c>
      <c r="D117" s="220">
        <f>IF(OR(N(Database!$I117)&lt;=0,N(Screener!$D$9)&lt;=0),0,MAX(0,1-ABS(LOG10(N(Database!$I117)/Screener!$D$9))/W_SIZEHW))</f>
        <v/>
      </c>
      <c r="E117" s="220">
        <f>IF(OR(Database!$BG117="",Screener!$D$10=""),0,IF(Database!$BG117=Screener!$D$10,1,0))</f>
        <v/>
      </c>
      <c r="F117" s="220">
        <f>IF(OR(Database!$BM117="",Screener!$D$11=""),0,IF(Database!$BM117=Screener!$D$11,1,0))</f>
        <v/>
      </c>
      <c r="G117" s="220">
        <f>IF(OR(Database!$H117="",N(Screener!$D$12)&lt;=0),0,MAX(0,1-(N(Screener!$D$12)-Database!$H117)/W_RECD))</f>
        <v/>
      </c>
      <c r="H117" s="220">
        <f>IF($U$1="",0,N(ISNUMBER(SEARCH($U$1,Database!$AC117&amp;""))))+IF($V$1="",0,N(ISNUMBER(SEARCH($V$1,Database!$AC117&amp;""))))+IF($W$1="",0,N(ISNUMBER(SEARCH($W$1,Database!$AC117&amp;""))))+IF($X$1="",0,N(ISNUMBER(SEARCH($X$1,Database!$AC117&amp;""))))+IF($Y$1="",0,N(ISNUMBER(SEARCH($Y$1,Database!$AC117&amp;""))))+IF(Screener!$B$17="",0,N(ISNUMBER(SEARCH(LOWER(Screener!$B$17),Database!$AC117&amp;""))))</f>
        <v/>
      </c>
      <c r="I117" s="220">
        <f>IF(OR(N(Database!$BH117)&lt;=0,N(Screener!$D$13)&lt;=0),0,MAX(0,1-ABS(LOG10(N(Database!$BH117)/Screener!$D$13))/W_PEHW))</f>
        <v/>
      </c>
      <c r="J117" s="220">
        <f>IF(OR(N(Database!$S117)&lt;=0,N(Screener!$D$14)&lt;=0),0,MAX(0,1-ABS(LOG10(Database!$S117/Screener!$D$14))/0.6))</f>
        <v/>
      </c>
      <c r="K117" s="220">
        <f>IF(Database!$B117=Screener!$B$5,-999999,IF(ISNUMBER(SEARCH(","&amp;Database!$A117&amp;",",","&amp;SUBSTITUTE(Screener!$D$17," ","")&amp;",")),2000000,IF(IF(OR(Screener!$B$18="All",AND(Screener!$B$18="With A-share",(Database!$BM117="Y")),AND(Screener!$B$18="Without A-share",NOT((Database!$BM117="Y")))),1,0)=0,-999999,IF(Screener!$B$16="cornerstone overlap first",H117*100000,IF(Screener!$B$16="demand-similar first",J117*100000,0))+W_SUB*B117+W_SEC*C117*(1-B117)+W_SIZE*D117+W_PROF*E117+W_AH*F117+W_REC*G117+W_CS*H117+W_PE*I117)))+ROW()/1000000</f>
        <v/>
      </c>
      <c r="AA117" s="220">
        <f>Database!B106</f>
        <v/>
      </c>
      <c r="AB117" s="220">
        <f>Database!D106</f>
        <v/>
      </c>
      <c r="AC117" s="220">
        <f>Database!E106</f>
        <v/>
      </c>
      <c r="AD117" s="220">
        <f>Database!I106</f>
        <v/>
      </c>
      <c r="AE117" s="220">
        <f>Database!BG106</f>
        <v/>
      </c>
      <c r="AF117" s="220">
        <f>Database!BM106</f>
        <v/>
      </c>
      <c r="AG117" s="220">
        <f>Database!H106</f>
        <v/>
      </c>
      <c r="AH117" s="220">
        <f>Database!BH106</f>
        <v/>
      </c>
    </row>
    <row r="118">
      <c r="A118" s="220">
        <f>Database!B118</f>
        <v/>
      </c>
      <c r="B118" s="220">
        <f>IF(AND(Screener!$D$8&lt;&gt;"",Database!$E118=Screener!$D$8),1,0)</f>
        <v/>
      </c>
      <c r="C118" s="220">
        <f>IF(AND(Screener!$D$7&lt;&gt;"",Database!$D118=Screener!$D$7),1,0)</f>
        <v/>
      </c>
      <c r="D118" s="220">
        <f>IF(OR(N(Database!$I118)&lt;=0,N(Screener!$D$9)&lt;=0),0,MAX(0,1-ABS(LOG10(N(Database!$I118)/Screener!$D$9))/W_SIZEHW))</f>
        <v/>
      </c>
      <c r="E118" s="220">
        <f>IF(OR(Database!$BG118="",Screener!$D$10=""),0,IF(Database!$BG118=Screener!$D$10,1,0))</f>
        <v/>
      </c>
      <c r="F118" s="220">
        <f>IF(OR(Database!$BM118="",Screener!$D$11=""),0,IF(Database!$BM118=Screener!$D$11,1,0))</f>
        <v/>
      </c>
      <c r="G118" s="220">
        <f>IF(OR(Database!$H118="",N(Screener!$D$12)&lt;=0),0,MAX(0,1-(N(Screener!$D$12)-Database!$H118)/W_RECD))</f>
        <v/>
      </c>
      <c r="H118" s="220">
        <f>IF($U$1="",0,N(ISNUMBER(SEARCH($U$1,Database!$AC118&amp;""))))+IF($V$1="",0,N(ISNUMBER(SEARCH($V$1,Database!$AC118&amp;""))))+IF($W$1="",0,N(ISNUMBER(SEARCH($W$1,Database!$AC118&amp;""))))+IF($X$1="",0,N(ISNUMBER(SEARCH($X$1,Database!$AC118&amp;""))))+IF($Y$1="",0,N(ISNUMBER(SEARCH($Y$1,Database!$AC118&amp;""))))+IF(Screener!$B$17="",0,N(ISNUMBER(SEARCH(LOWER(Screener!$B$17),Database!$AC118&amp;""))))</f>
        <v/>
      </c>
      <c r="I118" s="220">
        <f>IF(OR(N(Database!$BH118)&lt;=0,N(Screener!$D$13)&lt;=0),0,MAX(0,1-ABS(LOG10(N(Database!$BH118)/Screener!$D$13))/W_PEHW))</f>
        <v/>
      </c>
      <c r="J118" s="220">
        <f>IF(OR(N(Database!$S118)&lt;=0,N(Screener!$D$14)&lt;=0),0,MAX(0,1-ABS(LOG10(Database!$S118/Screener!$D$14))/0.6))</f>
        <v/>
      </c>
      <c r="K118" s="220">
        <f>IF(Database!$B118=Screener!$B$5,-999999,IF(ISNUMBER(SEARCH(","&amp;Database!$A118&amp;",",","&amp;SUBSTITUTE(Screener!$D$17," ","")&amp;",")),2000000,IF(IF(OR(Screener!$B$18="All",AND(Screener!$B$18="With A-share",(Database!$BM118="Y")),AND(Screener!$B$18="Without A-share",NOT((Database!$BM118="Y")))),1,0)=0,-999999,IF(Screener!$B$16="cornerstone overlap first",H118*100000,IF(Screener!$B$16="demand-similar first",J118*100000,0))+W_SUB*B118+W_SEC*C118*(1-B118)+W_SIZE*D118+W_PROF*E118+W_AH*F118+W_REC*G118+W_CS*H118+W_PE*I118)))+ROW()/1000000</f>
        <v/>
      </c>
      <c r="AA118" s="220">
        <f>Database!B107</f>
        <v/>
      </c>
      <c r="AB118" s="220">
        <f>Database!D107</f>
        <v/>
      </c>
      <c r="AC118" s="220">
        <f>Database!E107</f>
        <v/>
      </c>
      <c r="AD118" s="220">
        <f>Database!I107</f>
        <v/>
      </c>
      <c r="AE118" s="220">
        <f>Database!BG107</f>
        <v/>
      </c>
      <c r="AF118" s="220">
        <f>Database!BM107</f>
        <v/>
      </c>
      <c r="AG118" s="220">
        <f>Database!H107</f>
        <v/>
      </c>
      <c r="AH118" s="220">
        <f>Database!BH107</f>
        <v/>
      </c>
    </row>
    <row r="119">
      <c r="A119" s="220">
        <f>Database!B119</f>
        <v/>
      </c>
      <c r="B119" s="220">
        <f>IF(AND(Screener!$D$8&lt;&gt;"",Database!$E119=Screener!$D$8),1,0)</f>
        <v/>
      </c>
      <c r="C119" s="220">
        <f>IF(AND(Screener!$D$7&lt;&gt;"",Database!$D119=Screener!$D$7),1,0)</f>
        <v/>
      </c>
      <c r="D119" s="220">
        <f>IF(OR(N(Database!$I119)&lt;=0,N(Screener!$D$9)&lt;=0),0,MAX(0,1-ABS(LOG10(N(Database!$I119)/Screener!$D$9))/W_SIZEHW))</f>
        <v/>
      </c>
      <c r="E119" s="220">
        <f>IF(OR(Database!$BG119="",Screener!$D$10=""),0,IF(Database!$BG119=Screener!$D$10,1,0))</f>
        <v/>
      </c>
      <c r="F119" s="220">
        <f>IF(OR(Database!$BM119="",Screener!$D$11=""),0,IF(Database!$BM119=Screener!$D$11,1,0))</f>
        <v/>
      </c>
      <c r="G119" s="220">
        <f>IF(OR(Database!$H119="",N(Screener!$D$12)&lt;=0),0,MAX(0,1-(N(Screener!$D$12)-Database!$H119)/W_RECD))</f>
        <v/>
      </c>
      <c r="H119" s="220">
        <f>IF($U$1="",0,N(ISNUMBER(SEARCH($U$1,Database!$AC119&amp;""))))+IF($V$1="",0,N(ISNUMBER(SEARCH($V$1,Database!$AC119&amp;""))))+IF($W$1="",0,N(ISNUMBER(SEARCH($W$1,Database!$AC119&amp;""))))+IF($X$1="",0,N(ISNUMBER(SEARCH($X$1,Database!$AC119&amp;""))))+IF($Y$1="",0,N(ISNUMBER(SEARCH($Y$1,Database!$AC119&amp;""))))+IF(Screener!$B$17="",0,N(ISNUMBER(SEARCH(LOWER(Screener!$B$17),Database!$AC119&amp;""))))</f>
        <v/>
      </c>
      <c r="I119" s="220">
        <f>IF(OR(N(Database!$BH119)&lt;=0,N(Screener!$D$13)&lt;=0),0,MAX(0,1-ABS(LOG10(N(Database!$BH119)/Screener!$D$13))/W_PEHW))</f>
        <v/>
      </c>
      <c r="J119" s="220">
        <f>IF(OR(N(Database!$S119)&lt;=0,N(Screener!$D$14)&lt;=0),0,MAX(0,1-ABS(LOG10(Database!$S119/Screener!$D$14))/0.6))</f>
        <v/>
      </c>
      <c r="K119" s="220">
        <f>IF(Database!$B119=Screener!$B$5,-999999,IF(ISNUMBER(SEARCH(","&amp;Database!$A119&amp;",",","&amp;SUBSTITUTE(Screener!$D$17," ","")&amp;",")),2000000,IF(IF(OR(Screener!$B$18="All",AND(Screener!$B$18="With A-share",(Database!$BM119="Y")),AND(Screener!$B$18="Without A-share",NOT((Database!$BM119="Y")))),1,0)=0,-999999,IF(Screener!$B$16="cornerstone overlap first",H119*100000,IF(Screener!$B$16="demand-similar first",J119*100000,0))+W_SUB*B119+W_SEC*C119*(1-B119)+W_SIZE*D119+W_PROF*E119+W_AH*F119+W_REC*G119+W_CS*H119+W_PE*I119)))+ROW()/1000000</f>
        <v/>
      </c>
      <c r="AA119" s="220">
        <f>Database!B108</f>
        <v/>
      </c>
      <c r="AB119" s="220">
        <f>Database!D108</f>
        <v/>
      </c>
      <c r="AC119" s="220">
        <f>Database!E108</f>
        <v/>
      </c>
      <c r="AD119" s="220">
        <f>Database!I108</f>
        <v/>
      </c>
      <c r="AE119" s="220">
        <f>Database!BG108</f>
        <v/>
      </c>
      <c r="AF119" s="220">
        <f>Database!BM108</f>
        <v/>
      </c>
      <c r="AG119" s="220">
        <f>Database!H108</f>
        <v/>
      </c>
      <c r="AH119" s="220">
        <f>Database!BH108</f>
        <v/>
      </c>
    </row>
    <row r="120">
      <c r="A120" s="220">
        <f>Database!B120</f>
        <v/>
      </c>
      <c r="B120" s="220">
        <f>IF(AND(Screener!$D$8&lt;&gt;"",Database!$E120=Screener!$D$8),1,0)</f>
        <v/>
      </c>
      <c r="C120" s="220">
        <f>IF(AND(Screener!$D$7&lt;&gt;"",Database!$D120=Screener!$D$7),1,0)</f>
        <v/>
      </c>
      <c r="D120" s="220">
        <f>IF(OR(N(Database!$I120)&lt;=0,N(Screener!$D$9)&lt;=0),0,MAX(0,1-ABS(LOG10(N(Database!$I120)/Screener!$D$9))/W_SIZEHW))</f>
        <v/>
      </c>
      <c r="E120" s="220">
        <f>IF(OR(Database!$BG120="",Screener!$D$10=""),0,IF(Database!$BG120=Screener!$D$10,1,0))</f>
        <v/>
      </c>
      <c r="F120" s="220">
        <f>IF(OR(Database!$BM120="",Screener!$D$11=""),0,IF(Database!$BM120=Screener!$D$11,1,0))</f>
        <v/>
      </c>
      <c r="G120" s="220">
        <f>IF(OR(Database!$H120="",N(Screener!$D$12)&lt;=0),0,MAX(0,1-(N(Screener!$D$12)-Database!$H120)/W_RECD))</f>
        <v/>
      </c>
      <c r="H120" s="220">
        <f>IF($U$1="",0,N(ISNUMBER(SEARCH($U$1,Database!$AC120&amp;""))))+IF($V$1="",0,N(ISNUMBER(SEARCH($V$1,Database!$AC120&amp;""))))+IF($W$1="",0,N(ISNUMBER(SEARCH($W$1,Database!$AC120&amp;""))))+IF($X$1="",0,N(ISNUMBER(SEARCH($X$1,Database!$AC120&amp;""))))+IF($Y$1="",0,N(ISNUMBER(SEARCH($Y$1,Database!$AC120&amp;""))))+IF(Screener!$B$17="",0,N(ISNUMBER(SEARCH(LOWER(Screener!$B$17),Database!$AC120&amp;""))))</f>
        <v/>
      </c>
      <c r="I120" s="220">
        <f>IF(OR(N(Database!$BH120)&lt;=0,N(Screener!$D$13)&lt;=0),0,MAX(0,1-ABS(LOG10(N(Database!$BH120)/Screener!$D$13))/W_PEHW))</f>
        <v/>
      </c>
      <c r="J120" s="220">
        <f>IF(OR(N(Database!$S120)&lt;=0,N(Screener!$D$14)&lt;=0),0,MAX(0,1-ABS(LOG10(Database!$S120/Screener!$D$14))/0.6))</f>
        <v/>
      </c>
      <c r="K120" s="220">
        <f>IF(Database!$B120=Screener!$B$5,-999999,IF(ISNUMBER(SEARCH(","&amp;Database!$A120&amp;",",","&amp;SUBSTITUTE(Screener!$D$17," ","")&amp;",")),2000000,IF(IF(OR(Screener!$B$18="All",AND(Screener!$B$18="With A-share",(Database!$BM120="Y")),AND(Screener!$B$18="Without A-share",NOT((Database!$BM120="Y")))),1,0)=0,-999999,IF(Screener!$B$16="cornerstone overlap first",H120*100000,IF(Screener!$B$16="demand-similar first",J120*100000,0))+W_SUB*B120+W_SEC*C120*(1-B120)+W_SIZE*D120+W_PROF*E120+W_AH*F120+W_REC*G120+W_CS*H120+W_PE*I120)))+ROW()/1000000</f>
        <v/>
      </c>
      <c r="AA120" s="220">
        <f>Database!B109</f>
        <v/>
      </c>
      <c r="AB120" s="220">
        <f>Database!D109</f>
        <v/>
      </c>
      <c r="AC120" s="220">
        <f>Database!E109</f>
        <v/>
      </c>
      <c r="AD120" s="220">
        <f>Database!I109</f>
        <v/>
      </c>
      <c r="AE120" s="220">
        <f>Database!BG109</f>
        <v/>
      </c>
      <c r="AF120" s="220">
        <f>Database!BM109</f>
        <v/>
      </c>
      <c r="AG120" s="220">
        <f>Database!H109</f>
        <v/>
      </c>
      <c r="AH120" s="220">
        <f>Database!BH109</f>
        <v/>
      </c>
    </row>
    <row r="121">
      <c r="A121" s="220">
        <f>Database!B121</f>
        <v/>
      </c>
      <c r="B121" s="220">
        <f>IF(AND(Screener!$D$8&lt;&gt;"",Database!$E121=Screener!$D$8),1,0)</f>
        <v/>
      </c>
      <c r="C121" s="220">
        <f>IF(AND(Screener!$D$7&lt;&gt;"",Database!$D121=Screener!$D$7),1,0)</f>
        <v/>
      </c>
      <c r="D121" s="220">
        <f>IF(OR(N(Database!$I121)&lt;=0,N(Screener!$D$9)&lt;=0),0,MAX(0,1-ABS(LOG10(N(Database!$I121)/Screener!$D$9))/W_SIZEHW))</f>
        <v/>
      </c>
      <c r="E121" s="220">
        <f>IF(OR(Database!$BG121="",Screener!$D$10=""),0,IF(Database!$BG121=Screener!$D$10,1,0))</f>
        <v/>
      </c>
      <c r="F121" s="220">
        <f>IF(OR(Database!$BM121="",Screener!$D$11=""),0,IF(Database!$BM121=Screener!$D$11,1,0))</f>
        <v/>
      </c>
      <c r="G121" s="220">
        <f>IF(OR(Database!$H121="",N(Screener!$D$12)&lt;=0),0,MAX(0,1-(N(Screener!$D$12)-Database!$H121)/W_RECD))</f>
        <v/>
      </c>
      <c r="H121" s="220">
        <f>IF($U$1="",0,N(ISNUMBER(SEARCH($U$1,Database!$AC121&amp;""))))+IF($V$1="",0,N(ISNUMBER(SEARCH($V$1,Database!$AC121&amp;""))))+IF($W$1="",0,N(ISNUMBER(SEARCH($W$1,Database!$AC121&amp;""))))+IF($X$1="",0,N(ISNUMBER(SEARCH($X$1,Database!$AC121&amp;""))))+IF($Y$1="",0,N(ISNUMBER(SEARCH($Y$1,Database!$AC121&amp;""))))+IF(Screener!$B$17="",0,N(ISNUMBER(SEARCH(LOWER(Screener!$B$17),Database!$AC121&amp;""))))</f>
        <v/>
      </c>
      <c r="I121" s="220">
        <f>IF(OR(N(Database!$BH121)&lt;=0,N(Screener!$D$13)&lt;=0),0,MAX(0,1-ABS(LOG10(N(Database!$BH121)/Screener!$D$13))/W_PEHW))</f>
        <v/>
      </c>
      <c r="J121" s="220">
        <f>IF(OR(N(Database!$S121)&lt;=0,N(Screener!$D$14)&lt;=0),0,MAX(0,1-ABS(LOG10(Database!$S121/Screener!$D$14))/0.6))</f>
        <v/>
      </c>
      <c r="K121" s="220">
        <f>IF(Database!$B121=Screener!$B$5,-999999,IF(ISNUMBER(SEARCH(","&amp;Database!$A121&amp;",",","&amp;SUBSTITUTE(Screener!$D$17," ","")&amp;",")),2000000,IF(IF(OR(Screener!$B$18="All",AND(Screener!$B$18="With A-share",(Database!$BM121="Y")),AND(Screener!$B$18="Without A-share",NOT((Database!$BM121="Y")))),1,0)=0,-999999,IF(Screener!$B$16="cornerstone overlap first",H121*100000,IF(Screener!$B$16="demand-similar first",J121*100000,0))+W_SUB*B121+W_SEC*C121*(1-B121)+W_SIZE*D121+W_PROF*E121+W_AH*F121+W_REC*G121+W_CS*H121+W_PE*I121)))+ROW()/1000000</f>
        <v/>
      </c>
      <c r="AA121" s="220">
        <f>Database!B110</f>
        <v/>
      </c>
      <c r="AB121" s="220">
        <f>Database!D110</f>
        <v/>
      </c>
      <c r="AC121" s="220">
        <f>Database!E110</f>
        <v/>
      </c>
      <c r="AD121" s="220">
        <f>Database!I110</f>
        <v/>
      </c>
      <c r="AE121" s="220">
        <f>Database!BG110</f>
        <v/>
      </c>
      <c r="AF121" s="220">
        <f>Database!BM110</f>
        <v/>
      </c>
      <c r="AG121" s="220">
        <f>Database!H110</f>
        <v/>
      </c>
      <c r="AH121" s="220">
        <f>Database!BH110</f>
        <v/>
      </c>
    </row>
    <row r="122">
      <c r="A122" s="220">
        <f>Database!B122</f>
        <v/>
      </c>
      <c r="B122" s="220">
        <f>IF(AND(Screener!$D$8&lt;&gt;"",Database!$E122=Screener!$D$8),1,0)</f>
        <v/>
      </c>
      <c r="C122" s="220">
        <f>IF(AND(Screener!$D$7&lt;&gt;"",Database!$D122=Screener!$D$7),1,0)</f>
        <v/>
      </c>
      <c r="D122" s="220">
        <f>IF(OR(N(Database!$I122)&lt;=0,N(Screener!$D$9)&lt;=0),0,MAX(0,1-ABS(LOG10(N(Database!$I122)/Screener!$D$9))/W_SIZEHW))</f>
        <v/>
      </c>
      <c r="E122" s="220">
        <f>IF(OR(Database!$BG122="",Screener!$D$10=""),0,IF(Database!$BG122=Screener!$D$10,1,0))</f>
        <v/>
      </c>
      <c r="F122" s="220">
        <f>IF(OR(Database!$BM122="",Screener!$D$11=""),0,IF(Database!$BM122=Screener!$D$11,1,0))</f>
        <v/>
      </c>
      <c r="G122" s="220">
        <f>IF(OR(Database!$H122="",N(Screener!$D$12)&lt;=0),0,MAX(0,1-(N(Screener!$D$12)-Database!$H122)/W_RECD))</f>
        <v/>
      </c>
      <c r="H122" s="220">
        <f>IF($U$1="",0,N(ISNUMBER(SEARCH($U$1,Database!$AC122&amp;""))))+IF($V$1="",0,N(ISNUMBER(SEARCH($V$1,Database!$AC122&amp;""))))+IF($W$1="",0,N(ISNUMBER(SEARCH($W$1,Database!$AC122&amp;""))))+IF($X$1="",0,N(ISNUMBER(SEARCH($X$1,Database!$AC122&amp;""))))+IF($Y$1="",0,N(ISNUMBER(SEARCH($Y$1,Database!$AC122&amp;""))))+IF(Screener!$B$17="",0,N(ISNUMBER(SEARCH(LOWER(Screener!$B$17),Database!$AC122&amp;""))))</f>
        <v/>
      </c>
      <c r="I122" s="220">
        <f>IF(OR(N(Database!$BH122)&lt;=0,N(Screener!$D$13)&lt;=0),0,MAX(0,1-ABS(LOG10(N(Database!$BH122)/Screener!$D$13))/W_PEHW))</f>
        <v/>
      </c>
      <c r="J122" s="220">
        <f>IF(OR(N(Database!$S122)&lt;=0,N(Screener!$D$14)&lt;=0),0,MAX(0,1-ABS(LOG10(Database!$S122/Screener!$D$14))/0.6))</f>
        <v/>
      </c>
      <c r="K122" s="220">
        <f>IF(Database!$B122=Screener!$B$5,-999999,IF(ISNUMBER(SEARCH(","&amp;Database!$A122&amp;",",","&amp;SUBSTITUTE(Screener!$D$17," ","")&amp;",")),2000000,IF(IF(OR(Screener!$B$18="All",AND(Screener!$B$18="With A-share",(Database!$BM122="Y")),AND(Screener!$B$18="Without A-share",NOT((Database!$BM122="Y")))),1,0)=0,-999999,IF(Screener!$B$16="cornerstone overlap first",H122*100000,IF(Screener!$B$16="demand-similar first",J122*100000,0))+W_SUB*B122+W_SEC*C122*(1-B122)+W_SIZE*D122+W_PROF*E122+W_AH*F122+W_REC*G122+W_CS*H122+W_PE*I122)))+ROW()/1000000</f>
        <v/>
      </c>
      <c r="AA122" s="220">
        <f>Database!B111</f>
        <v/>
      </c>
      <c r="AB122" s="220">
        <f>Database!D111</f>
        <v/>
      </c>
      <c r="AC122" s="220">
        <f>Database!E111</f>
        <v/>
      </c>
      <c r="AD122" s="220">
        <f>Database!I111</f>
        <v/>
      </c>
      <c r="AE122" s="220">
        <f>Database!BG111</f>
        <v/>
      </c>
      <c r="AF122" s="220">
        <f>Database!BM111</f>
        <v/>
      </c>
      <c r="AG122" s="220">
        <f>Database!H111</f>
        <v/>
      </c>
      <c r="AH122" s="220">
        <f>Database!BH111</f>
        <v/>
      </c>
    </row>
    <row r="123">
      <c r="A123" s="220">
        <f>Database!B123</f>
        <v/>
      </c>
      <c r="B123" s="220">
        <f>IF(AND(Screener!$D$8&lt;&gt;"",Database!$E123=Screener!$D$8),1,0)</f>
        <v/>
      </c>
      <c r="C123" s="220">
        <f>IF(AND(Screener!$D$7&lt;&gt;"",Database!$D123=Screener!$D$7),1,0)</f>
        <v/>
      </c>
      <c r="D123" s="220">
        <f>IF(OR(N(Database!$I123)&lt;=0,N(Screener!$D$9)&lt;=0),0,MAX(0,1-ABS(LOG10(N(Database!$I123)/Screener!$D$9))/W_SIZEHW))</f>
        <v/>
      </c>
      <c r="E123" s="220">
        <f>IF(OR(Database!$BG123="",Screener!$D$10=""),0,IF(Database!$BG123=Screener!$D$10,1,0))</f>
        <v/>
      </c>
      <c r="F123" s="220">
        <f>IF(OR(Database!$BM123="",Screener!$D$11=""),0,IF(Database!$BM123=Screener!$D$11,1,0))</f>
        <v/>
      </c>
      <c r="G123" s="220">
        <f>IF(OR(Database!$H123="",N(Screener!$D$12)&lt;=0),0,MAX(0,1-(N(Screener!$D$12)-Database!$H123)/W_RECD))</f>
        <v/>
      </c>
      <c r="H123" s="220">
        <f>IF($U$1="",0,N(ISNUMBER(SEARCH($U$1,Database!$AC123&amp;""))))+IF($V$1="",0,N(ISNUMBER(SEARCH($V$1,Database!$AC123&amp;""))))+IF($W$1="",0,N(ISNUMBER(SEARCH($W$1,Database!$AC123&amp;""))))+IF($X$1="",0,N(ISNUMBER(SEARCH($X$1,Database!$AC123&amp;""))))+IF($Y$1="",0,N(ISNUMBER(SEARCH($Y$1,Database!$AC123&amp;""))))+IF(Screener!$B$17="",0,N(ISNUMBER(SEARCH(LOWER(Screener!$B$17),Database!$AC123&amp;""))))</f>
        <v/>
      </c>
      <c r="I123" s="220">
        <f>IF(OR(N(Database!$BH123)&lt;=0,N(Screener!$D$13)&lt;=0),0,MAX(0,1-ABS(LOG10(N(Database!$BH123)/Screener!$D$13))/W_PEHW))</f>
        <v/>
      </c>
      <c r="J123" s="220">
        <f>IF(OR(N(Database!$S123)&lt;=0,N(Screener!$D$14)&lt;=0),0,MAX(0,1-ABS(LOG10(Database!$S123/Screener!$D$14))/0.6))</f>
        <v/>
      </c>
      <c r="K123" s="220">
        <f>IF(Database!$B123=Screener!$B$5,-999999,IF(ISNUMBER(SEARCH(","&amp;Database!$A123&amp;",",","&amp;SUBSTITUTE(Screener!$D$17," ","")&amp;",")),2000000,IF(IF(OR(Screener!$B$18="All",AND(Screener!$B$18="With A-share",(Database!$BM123="Y")),AND(Screener!$B$18="Without A-share",NOT((Database!$BM123="Y")))),1,0)=0,-999999,IF(Screener!$B$16="cornerstone overlap first",H123*100000,IF(Screener!$B$16="demand-similar first",J123*100000,0))+W_SUB*B123+W_SEC*C123*(1-B123)+W_SIZE*D123+W_PROF*E123+W_AH*F123+W_REC*G123+W_CS*H123+W_PE*I123)))+ROW()/1000000</f>
        <v/>
      </c>
      <c r="AA123" s="220">
        <f>Database!B112</f>
        <v/>
      </c>
      <c r="AB123" s="220">
        <f>Database!D112</f>
        <v/>
      </c>
      <c r="AC123" s="220">
        <f>Database!E112</f>
        <v/>
      </c>
      <c r="AD123" s="220">
        <f>Database!I112</f>
        <v/>
      </c>
      <c r="AE123" s="220">
        <f>Database!BG112</f>
        <v/>
      </c>
      <c r="AF123" s="220">
        <f>Database!BM112</f>
        <v/>
      </c>
      <c r="AG123" s="220">
        <f>Database!H112</f>
        <v/>
      </c>
      <c r="AH123" s="220">
        <f>Database!BH112</f>
        <v/>
      </c>
    </row>
    <row r="124">
      <c r="A124" s="220">
        <f>Database!B124</f>
        <v/>
      </c>
      <c r="B124" s="220">
        <f>IF(AND(Screener!$D$8&lt;&gt;"",Database!$E124=Screener!$D$8),1,0)</f>
        <v/>
      </c>
      <c r="C124" s="220">
        <f>IF(AND(Screener!$D$7&lt;&gt;"",Database!$D124=Screener!$D$7),1,0)</f>
        <v/>
      </c>
      <c r="D124" s="220">
        <f>IF(OR(N(Database!$I124)&lt;=0,N(Screener!$D$9)&lt;=0),0,MAX(0,1-ABS(LOG10(N(Database!$I124)/Screener!$D$9))/W_SIZEHW))</f>
        <v/>
      </c>
      <c r="E124" s="220">
        <f>IF(OR(Database!$BG124="",Screener!$D$10=""),0,IF(Database!$BG124=Screener!$D$10,1,0))</f>
        <v/>
      </c>
      <c r="F124" s="220">
        <f>IF(OR(Database!$BM124="",Screener!$D$11=""),0,IF(Database!$BM124=Screener!$D$11,1,0))</f>
        <v/>
      </c>
      <c r="G124" s="220">
        <f>IF(OR(Database!$H124="",N(Screener!$D$12)&lt;=0),0,MAX(0,1-(N(Screener!$D$12)-Database!$H124)/W_RECD))</f>
        <v/>
      </c>
      <c r="H124" s="220">
        <f>IF($U$1="",0,N(ISNUMBER(SEARCH($U$1,Database!$AC124&amp;""))))+IF($V$1="",0,N(ISNUMBER(SEARCH($V$1,Database!$AC124&amp;""))))+IF($W$1="",0,N(ISNUMBER(SEARCH($W$1,Database!$AC124&amp;""))))+IF($X$1="",0,N(ISNUMBER(SEARCH($X$1,Database!$AC124&amp;""))))+IF($Y$1="",0,N(ISNUMBER(SEARCH($Y$1,Database!$AC124&amp;""))))+IF(Screener!$B$17="",0,N(ISNUMBER(SEARCH(LOWER(Screener!$B$17),Database!$AC124&amp;""))))</f>
        <v/>
      </c>
      <c r="I124" s="220">
        <f>IF(OR(N(Database!$BH124)&lt;=0,N(Screener!$D$13)&lt;=0),0,MAX(0,1-ABS(LOG10(N(Database!$BH124)/Screener!$D$13))/W_PEHW))</f>
        <v/>
      </c>
      <c r="J124" s="220">
        <f>IF(OR(N(Database!$S124)&lt;=0,N(Screener!$D$14)&lt;=0),0,MAX(0,1-ABS(LOG10(Database!$S124/Screener!$D$14))/0.6))</f>
        <v/>
      </c>
      <c r="K124" s="220">
        <f>IF(Database!$B124=Screener!$B$5,-999999,IF(ISNUMBER(SEARCH(","&amp;Database!$A124&amp;",",","&amp;SUBSTITUTE(Screener!$D$17," ","")&amp;",")),2000000,IF(IF(OR(Screener!$B$18="All",AND(Screener!$B$18="With A-share",(Database!$BM124="Y")),AND(Screener!$B$18="Without A-share",NOT((Database!$BM124="Y")))),1,0)=0,-999999,IF(Screener!$B$16="cornerstone overlap first",H124*100000,IF(Screener!$B$16="demand-similar first",J124*100000,0))+W_SUB*B124+W_SEC*C124*(1-B124)+W_SIZE*D124+W_PROF*E124+W_AH*F124+W_REC*G124+W_CS*H124+W_PE*I124)))+ROW()/1000000</f>
        <v/>
      </c>
      <c r="AA124" s="220">
        <f>Database!B113</f>
        <v/>
      </c>
      <c r="AB124" s="220">
        <f>Database!D113</f>
        <v/>
      </c>
      <c r="AC124" s="220">
        <f>Database!E113</f>
        <v/>
      </c>
      <c r="AD124" s="220">
        <f>Database!I113</f>
        <v/>
      </c>
      <c r="AE124" s="220">
        <f>Database!BG113</f>
        <v/>
      </c>
      <c r="AF124" s="220">
        <f>Database!BM113</f>
        <v/>
      </c>
      <c r="AG124" s="220">
        <f>Database!H113</f>
        <v/>
      </c>
      <c r="AH124" s="220">
        <f>Database!BH113</f>
        <v/>
      </c>
    </row>
    <row r="125">
      <c r="A125" s="220">
        <f>Database!B125</f>
        <v/>
      </c>
      <c r="B125" s="220">
        <f>IF(AND(Screener!$D$8&lt;&gt;"",Database!$E125=Screener!$D$8),1,0)</f>
        <v/>
      </c>
      <c r="C125" s="220">
        <f>IF(AND(Screener!$D$7&lt;&gt;"",Database!$D125=Screener!$D$7),1,0)</f>
        <v/>
      </c>
      <c r="D125" s="220">
        <f>IF(OR(N(Database!$I125)&lt;=0,N(Screener!$D$9)&lt;=0),0,MAX(0,1-ABS(LOG10(N(Database!$I125)/Screener!$D$9))/W_SIZEHW))</f>
        <v/>
      </c>
      <c r="E125" s="220">
        <f>IF(OR(Database!$BG125="",Screener!$D$10=""),0,IF(Database!$BG125=Screener!$D$10,1,0))</f>
        <v/>
      </c>
      <c r="F125" s="220">
        <f>IF(OR(Database!$BM125="",Screener!$D$11=""),0,IF(Database!$BM125=Screener!$D$11,1,0))</f>
        <v/>
      </c>
      <c r="G125" s="220">
        <f>IF(OR(Database!$H125="",N(Screener!$D$12)&lt;=0),0,MAX(0,1-(N(Screener!$D$12)-Database!$H125)/W_RECD))</f>
        <v/>
      </c>
      <c r="H125" s="220">
        <f>IF($U$1="",0,N(ISNUMBER(SEARCH($U$1,Database!$AC125&amp;""))))+IF($V$1="",0,N(ISNUMBER(SEARCH($V$1,Database!$AC125&amp;""))))+IF($W$1="",0,N(ISNUMBER(SEARCH($W$1,Database!$AC125&amp;""))))+IF($X$1="",0,N(ISNUMBER(SEARCH($X$1,Database!$AC125&amp;""))))+IF($Y$1="",0,N(ISNUMBER(SEARCH($Y$1,Database!$AC125&amp;""))))+IF(Screener!$B$17="",0,N(ISNUMBER(SEARCH(LOWER(Screener!$B$17),Database!$AC125&amp;""))))</f>
        <v/>
      </c>
      <c r="I125" s="220">
        <f>IF(OR(N(Database!$BH125)&lt;=0,N(Screener!$D$13)&lt;=0),0,MAX(0,1-ABS(LOG10(N(Database!$BH125)/Screener!$D$13))/W_PEHW))</f>
        <v/>
      </c>
      <c r="J125" s="220">
        <f>IF(OR(N(Database!$S125)&lt;=0,N(Screener!$D$14)&lt;=0),0,MAX(0,1-ABS(LOG10(Database!$S125/Screener!$D$14))/0.6))</f>
        <v/>
      </c>
      <c r="K125" s="220">
        <f>IF(Database!$B125=Screener!$B$5,-999999,IF(ISNUMBER(SEARCH(","&amp;Database!$A125&amp;",",","&amp;SUBSTITUTE(Screener!$D$17," ","")&amp;",")),2000000,IF(IF(OR(Screener!$B$18="All",AND(Screener!$B$18="With A-share",(Database!$BM125="Y")),AND(Screener!$B$18="Without A-share",NOT((Database!$BM125="Y")))),1,0)=0,-999999,IF(Screener!$B$16="cornerstone overlap first",H125*100000,IF(Screener!$B$16="demand-similar first",J125*100000,0))+W_SUB*B125+W_SEC*C125*(1-B125)+W_SIZE*D125+W_PROF*E125+W_AH*F125+W_REC*G125+W_CS*H125+W_PE*I125)))+ROW()/1000000</f>
        <v/>
      </c>
      <c r="AA125" s="220">
        <f>Database!B114</f>
        <v/>
      </c>
      <c r="AB125" s="220">
        <f>Database!D114</f>
        <v/>
      </c>
      <c r="AC125" s="220">
        <f>Database!E114</f>
        <v/>
      </c>
      <c r="AD125" s="220">
        <f>Database!I114</f>
        <v/>
      </c>
      <c r="AE125" s="220">
        <f>Database!BG114</f>
        <v/>
      </c>
      <c r="AF125" s="220">
        <f>Database!BM114</f>
        <v/>
      </c>
      <c r="AG125" s="220">
        <f>Database!H114</f>
        <v/>
      </c>
      <c r="AH125" s="220">
        <f>Database!BH114</f>
        <v/>
      </c>
    </row>
    <row r="126">
      <c r="A126" s="220">
        <f>Database!B126</f>
        <v/>
      </c>
      <c r="B126" s="220">
        <f>IF(AND(Screener!$D$8&lt;&gt;"",Database!$E126=Screener!$D$8),1,0)</f>
        <v/>
      </c>
      <c r="C126" s="220">
        <f>IF(AND(Screener!$D$7&lt;&gt;"",Database!$D126=Screener!$D$7),1,0)</f>
        <v/>
      </c>
      <c r="D126" s="220">
        <f>IF(OR(N(Database!$I126)&lt;=0,N(Screener!$D$9)&lt;=0),0,MAX(0,1-ABS(LOG10(N(Database!$I126)/Screener!$D$9))/W_SIZEHW))</f>
        <v/>
      </c>
      <c r="E126" s="220">
        <f>IF(OR(Database!$BG126="",Screener!$D$10=""),0,IF(Database!$BG126=Screener!$D$10,1,0))</f>
        <v/>
      </c>
      <c r="F126" s="220">
        <f>IF(OR(Database!$BM126="",Screener!$D$11=""),0,IF(Database!$BM126=Screener!$D$11,1,0))</f>
        <v/>
      </c>
      <c r="G126" s="220">
        <f>IF(OR(Database!$H126="",N(Screener!$D$12)&lt;=0),0,MAX(0,1-(N(Screener!$D$12)-Database!$H126)/W_RECD))</f>
        <v/>
      </c>
      <c r="H126" s="220">
        <f>IF($U$1="",0,N(ISNUMBER(SEARCH($U$1,Database!$AC126&amp;""))))+IF($V$1="",0,N(ISNUMBER(SEARCH($V$1,Database!$AC126&amp;""))))+IF($W$1="",0,N(ISNUMBER(SEARCH($W$1,Database!$AC126&amp;""))))+IF($X$1="",0,N(ISNUMBER(SEARCH($X$1,Database!$AC126&amp;""))))+IF($Y$1="",0,N(ISNUMBER(SEARCH($Y$1,Database!$AC126&amp;""))))+IF(Screener!$B$17="",0,N(ISNUMBER(SEARCH(LOWER(Screener!$B$17),Database!$AC126&amp;""))))</f>
        <v/>
      </c>
      <c r="I126" s="220">
        <f>IF(OR(N(Database!$BH126)&lt;=0,N(Screener!$D$13)&lt;=0),0,MAX(0,1-ABS(LOG10(N(Database!$BH126)/Screener!$D$13))/W_PEHW))</f>
        <v/>
      </c>
      <c r="J126" s="220">
        <f>IF(OR(N(Database!$S126)&lt;=0,N(Screener!$D$14)&lt;=0),0,MAX(0,1-ABS(LOG10(Database!$S126/Screener!$D$14))/0.6))</f>
        <v/>
      </c>
      <c r="K126" s="220">
        <f>IF(Database!$B126=Screener!$B$5,-999999,IF(ISNUMBER(SEARCH(","&amp;Database!$A126&amp;",",","&amp;SUBSTITUTE(Screener!$D$17," ","")&amp;",")),2000000,IF(IF(OR(Screener!$B$18="All",AND(Screener!$B$18="With A-share",(Database!$BM126="Y")),AND(Screener!$B$18="Without A-share",NOT((Database!$BM126="Y")))),1,0)=0,-999999,IF(Screener!$B$16="cornerstone overlap first",H126*100000,IF(Screener!$B$16="demand-similar first",J126*100000,0))+W_SUB*B126+W_SEC*C126*(1-B126)+W_SIZE*D126+W_PROF*E126+W_AH*F126+W_REC*G126+W_CS*H126+W_PE*I126)))+ROW()/1000000</f>
        <v/>
      </c>
      <c r="AA126" s="220">
        <f>Database!B115</f>
        <v/>
      </c>
      <c r="AB126" s="220">
        <f>Database!D115</f>
        <v/>
      </c>
      <c r="AC126" s="220">
        <f>Database!E115</f>
        <v/>
      </c>
      <c r="AD126" s="220">
        <f>Database!I115</f>
        <v/>
      </c>
      <c r="AE126" s="220">
        <f>Database!BG115</f>
        <v/>
      </c>
      <c r="AF126" s="220">
        <f>Database!BM115</f>
        <v/>
      </c>
      <c r="AG126" s="220">
        <f>Database!H115</f>
        <v/>
      </c>
      <c r="AH126" s="220">
        <f>Database!BH115</f>
        <v/>
      </c>
    </row>
    <row r="127">
      <c r="A127" s="220">
        <f>Database!B127</f>
        <v/>
      </c>
      <c r="B127" s="220">
        <f>IF(AND(Screener!$D$8&lt;&gt;"",Database!$E127=Screener!$D$8),1,0)</f>
        <v/>
      </c>
      <c r="C127" s="220">
        <f>IF(AND(Screener!$D$7&lt;&gt;"",Database!$D127=Screener!$D$7),1,0)</f>
        <v/>
      </c>
      <c r="D127" s="220">
        <f>IF(OR(N(Database!$I127)&lt;=0,N(Screener!$D$9)&lt;=0),0,MAX(0,1-ABS(LOG10(N(Database!$I127)/Screener!$D$9))/W_SIZEHW))</f>
        <v/>
      </c>
      <c r="E127" s="220">
        <f>IF(OR(Database!$BG127="",Screener!$D$10=""),0,IF(Database!$BG127=Screener!$D$10,1,0))</f>
        <v/>
      </c>
      <c r="F127" s="220">
        <f>IF(OR(Database!$BM127="",Screener!$D$11=""),0,IF(Database!$BM127=Screener!$D$11,1,0))</f>
        <v/>
      </c>
      <c r="G127" s="220">
        <f>IF(OR(Database!$H127="",N(Screener!$D$12)&lt;=0),0,MAX(0,1-(N(Screener!$D$12)-Database!$H127)/W_RECD))</f>
        <v/>
      </c>
      <c r="H127" s="220">
        <f>IF($U$1="",0,N(ISNUMBER(SEARCH($U$1,Database!$AC127&amp;""))))+IF($V$1="",0,N(ISNUMBER(SEARCH($V$1,Database!$AC127&amp;""))))+IF($W$1="",0,N(ISNUMBER(SEARCH($W$1,Database!$AC127&amp;""))))+IF($X$1="",0,N(ISNUMBER(SEARCH($X$1,Database!$AC127&amp;""))))+IF($Y$1="",0,N(ISNUMBER(SEARCH($Y$1,Database!$AC127&amp;""))))+IF(Screener!$B$17="",0,N(ISNUMBER(SEARCH(LOWER(Screener!$B$17),Database!$AC127&amp;""))))</f>
        <v/>
      </c>
      <c r="I127" s="220">
        <f>IF(OR(N(Database!$BH127)&lt;=0,N(Screener!$D$13)&lt;=0),0,MAX(0,1-ABS(LOG10(N(Database!$BH127)/Screener!$D$13))/W_PEHW))</f>
        <v/>
      </c>
      <c r="J127" s="220">
        <f>IF(OR(N(Database!$S127)&lt;=0,N(Screener!$D$14)&lt;=0),0,MAX(0,1-ABS(LOG10(Database!$S127/Screener!$D$14))/0.6))</f>
        <v/>
      </c>
      <c r="K127" s="220">
        <f>IF(Database!$B127=Screener!$B$5,-999999,IF(ISNUMBER(SEARCH(","&amp;Database!$A127&amp;",",","&amp;SUBSTITUTE(Screener!$D$17," ","")&amp;",")),2000000,IF(IF(OR(Screener!$B$18="All",AND(Screener!$B$18="With A-share",(Database!$BM127="Y")),AND(Screener!$B$18="Without A-share",NOT((Database!$BM127="Y")))),1,0)=0,-999999,IF(Screener!$B$16="cornerstone overlap first",H127*100000,IF(Screener!$B$16="demand-similar first",J127*100000,0))+W_SUB*B127+W_SEC*C127*(1-B127)+W_SIZE*D127+W_PROF*E127+W_AH*F127+W_REC*G127+W_CS*H127+W_PE*I127)))+ROW()/1000000</f>
        <v/>
      </c>
      <c r="AA127" s="220">
        <f>Database!B116</f>
        <v/>
      </c>
      <c r="AB127" s="220">
        <f>Database!D116</f>
        <v/>
      </c>
      <c r="AC127" s="220">
        <f>Database!E116</f>
        <v/>
      </c>
      <c r="AD127" s="220">
        <f>Database!I116</f>
        <v/>
      </c>
      <c r="AE127" s="220">
        <f>Database!BG116</f>
        <v/>
      </c>
      <c r="AF127" s="220">
        <f>Database!BM116</f>
        <v/>
      </c>
      <c r="AG127" s="220">
        <f>Database!H116</f>
        <v/>
      </c>
      <c r="AH127" s="220">
        <f>Database!BH116</f>
        <v/>
      </c>
    </row>
    <row r="128">
      <c r="A128" s="220">
        <f>Database!B128</f>
        <v/>
      </c>
      <c r="B128" s="220">
        <f>IF(AND(Screener!$D$8&lt;&gt;"",Database!$E128=Screener!$D$8),1,0)</f>
        <v/>
      </c>
      <c r="C128" s="220">
        <f>IF(AND(Screener!$D$7&lt;&gt;"",Database!$D128=Screener!$D$7),1,0)</f>
        <v/>
      </c>
      <c r="D128" s="220">
        <f>IF(OR(N(Database!$I128)&lt;=0,N(Screener!$D$9)&lt;=0),0,MAX(0,1-ABS(LOG10(N(Database!$I128)/Screener!$D$9))/W_SIZEHW))</f>
        <v/>
      </c>
      <c r="E128" s="220">
        <f>IF(OR(Database!$BG128="",Screener!$D$10=""),0,IF(Database!$BG128=Screener!$D$10,1,0))</f>
        <v/>
      </c>
      <c r="F128" s="220">
        <f>IF(OR(Database!$BM128="",Screener!$D$11=""),0,IF(Database!$BM128=Screener!$D$11,1,0))</f>
        <v/>
      </c>
      <c r="G128" s="220">
        <f>IF(OR(Database!$H128="",N(Screener!$D$12)&lt;=0),0,MAX(0,1-(N(Screener!$D$12)-Database!$H128)/W_RECD))</f>
        <v/>
      </c>
      <c r="H128" s="220">
        <f>IF($U$1="",0,N(ISNUMBER(SEARCH($U$1,Database!$AC128&amp;""))))+IF($V$1="",0,N(ISNUMBER(SEARCH($V$1,Database!$AC128&amp;""))))+IF($W$1="",0,N(ISNUMBER(SEARCH($W$1,Database!$AC128&amp;""))))+IF($X$1="",0,N(ISNUMBER(SEARCH($X$1,Database!$AC128&amp;""))))+IF($Y$1="",0,N(ISNUMBER(SEARCH($Y$1,Database!$AC128&amp;""))))+IF(Screener!$B$17="",0,N(ISNUMBER(SEARCH(LOWER(Screener!$B$17),Database!$AC128&amp;""))))</f>
        <v/>
      </c>
      <c r="I128" s="220">
        <f>IF(OR(N(Database!$BH128)&lt;=0,N(Screener!$D$13)&lt;=0),0,MAX(0,1-ABS(LOG10(N(Database!$BH128)/Screener!$D$13))/W_PEHW))</f>
        <v/>
      </c>
      <c r="J128" s="220">
        <f>IF(OR(N(Database!$S128)&lt;=0,N(Screener!$D$14)&lt;=0),0,MAX(0,1-ABS(LOG10(Database!$S128/Screener!$D$14))/0.6))</f>
        <v/>
      </c>
      <c r="K128" s="220">
        <f>IF(Database!$B128=Screener!$B$5,-999999,IF(ISNUMBER(SEARCH(","&amp;Database!$A128&amp;",",","&amp;SUBSTITUTE(Screener!$D$17," ","")&amp;",")),2000000,IF(IF(OR(Screener!$B$18="All",AND(Screener!$B$18="With A-share",(Database!$BM128="Y")),AND(Screener!$B$18="Without A-share",NOT((Database!$BM128="Y")))),1,0)=0,-999999,IF(Screener!$B$16="cornerstone overlap first",H128*100000,IF(Screener!$B$16="demand-similar first",J128*100000,0))+W_SUB*B128+W_SEC*C128*(1-B128)+W_SIZE*D128+W_PROF*E128+W_AH*F128+W_REC*G128+W_CS*H128+W_PE*I128)))+ROW()/1000000</f>
        <v/>
      </c>
      <c r="AA128" s="220">
        <f>Database!B117</f>
        <v/>
      </c>
      <c r="AB128" s="220">
        <f>Database!D117</f>
        <v/>
      </c>
      <c r="AC128" s="220">
        <f>Database!E117</f>
        <v/>
      </c>
      <c r="AD128" s="220">
        <f>Database!I117</f>
        <v/>
      </c>
      <c r="AE128" s="220">
        <f>Database!BG117</f>
        <v/>
      </c>
      <c r="AF128" s="220">
        <f>Database!BM117</f>
        <v/>
      </c>
      <c r="AG128" s="220">
        <f>Database!H117</f>
        <v/>
      </c>
      <c r="AH128" s="220">
        <f>Database!BH117</f>
        <v/>
      </c>
    </row>
    <row r="129">
      <c r="A129" s="220">
        <f>Database!B129</f>
        <v/>
      </c>
      <c r="B129" s="220">
        <f>IF(AND(Screener!$D$8&lt;&gt;"",Database!$E129=Screener!$D$8),1,0)</f>
        <v/>
      </c>
      <c r="C129" s="220">
        <f>IF(AND(Screener!$D$7&lt;&gt;"",Database!$D129=Screener!$D$7),1,0)</f>
        <v/>
      </c>
      <c r="D129" s="220">
        <f>IF(OR(N(Database!$I129)&lt;=0,N(Screener!$D$9)&lt;=0),0,MAX(0,1-ABS(LOG10(N(Database!$I129)/Screener!$D$9))/W_SIZEHW))</f>
        <v/>
      </c>
      <c r="E129" s="220">
        <f>IF(OR(Database!$BG129="",Screener!$D$10=""),0,IF(Database!$BG129=Screener!$D$10,1,0))</f>
        <v/>
      </c>
      <c r="F129" s="220">
        <f>IF(OR(Database!$BM129="",Screener!$D$11=""),0,IF(Database!$BM129=Screener!$D$11,1,0))</f>
        <v/>
      </c>
      <c r="G129" s="220">
        <f>IF(OR(Database!$H129="",N(Screener!$D$12)&lt;=0),0,MAX(0,1-(N(Screener!$D$12)-Database!$H129)/W_RECD))</f>
        <v/>
      </c>
      <c r="H129" s="220">
        <f>IF($U$1="",0,N(ISNUMBER(SEARCH($U$1,Database!$AC129&amp;""))))+IF($V$1="",0,N(ISNUMBER(SEARCH($V$1,Database!$AC129&amp;""))))+IF($W$1="",0,N(ISNUMBER(SEARCH($W$1,Database!$AC129&amp;""))))+IF($X$1="",0,N(ISNUMBER(SEARCH($X$1,Database!$AC129&amp;""))))+IF($Y$1="",0,N(ISNUMBER(SEARCH($Y$1,Database!$AC129&amp;""))))+IF(Screener!$B$17="",0,N(ISNUMBER(SEARCH(LOWER(Screener!$B$17),Database!$AC129&amp;""))))</f>
        <v/>
      </c>
      <c r="I129" s="220">
        <f>IF(OR(N(Database!$BH129)&lt;=0,N(Screener!$D$13)&lt;=0),0,MAX(0,1-ABS(LOG10(N(Database!$BH129)/Screener!$D$13))/W_PEHW))</f>
        <v/>
      </c>
      <c r="J129" s="220">
        <f>IF(OR(N(Database!$S129)&lt;=0,N(Screener!$D$14)&lt;=0),0,MAX(0,1-ABS(LOG10(Database!$S129/Screener!$D$14))/0.6))</f>
        <v/>
      </c>
      <c r="K129" s="220">
        <f>IF(Database!$B129=Screener!$B$5,-999999,IF(ISNUMBER(SEARCH(","&amp;Database!$A129&amp;",",","&amp;SUBSTITUTE(Screener!$D$17," ","")&amp;",")),2000000,IF(IF(OR(Screener!$B$18="All",AND(Screener!$B$18="With A-share",(Database!$BM129="Y")),AND(Screener!$B$18="Without A-share",NOT((Database!$BM129="Y")))),1,0)=0,-999999,IF(Screener!$B$16="cornerstone overlap first",H129*100000,IF(Screener!$B$16="demand-similar first",J129*100000,0))+W_SUB*B129+W_SEC*C129*(1-B129)+W_SIZE*D129+W_PROF*E129+W_AH*F129+W_REC*G129+W_CS*H129+W_PE*I129)))+ROW()/1000000</f>
        <v/>
      </c>
      <c r="AA129" s="220">
        <f>Database!B118</f>
        <v/>
      </c>
      <c r="AB129" s="220">
        <f>Database!D118</f>
        <v/>
      </c>
      <c r="AC129" s="220">
        <f>Database!E118</f>
        <v/>
      </c>
      <c r="AD129" s="220">
        <f>Database!I118</f>
        <v/>
      </c>
      <c r="AE129" s="220">
        <f>Database!BG118</f>
        <v/>
      </c>
      <c r="AF129" s="220">
        <f>Database!BM118</f>
        <v/>
      </c>
      <c r="AG129" s="220">
        <f>Database!H118</f>
        <v/>
      </c>
      <c r="AH129" s="220">
        <f>Database!BH118</f>
        <v/>
      </c>
    </row>
    <row r="130">
      <c r="A130" s="220">
        <f>Database!B130</f>
        <v/>
      </c>
      <c r="B130" s="220">
        <f>IF(AND(Screener!$D$8&lt;&gt;"",Database!$E130=Screener!$D$8),1,0)</f>
        <v/>
      </c>
      <c r="C130" s="220">
        <f>IF(AND(Screener!$D$7&lt;&gt;"",Database!$D130=Screener!$D$7),1,0)</f>
        <v/>
      </c>
      <c r="D130" s="220">
        <f>IF(OR(N(Database!$I130)&lt;=0,N(Screener!$D$9)&lt;=0),0,MAX(0,1-ABS(LOG10(N(Database!$I130)/Screener!$D$9))/W_SIZEHW))</f>
        <v/>
      </c>
      <c r="E130" s="220">
        <f>IF(OR(Database!$BG130="",Screener!$D$10=""),0,IF(Database!$BG130=Screener!$D$10,1,0))</f>
        <v/>
      </c>
      <c r="F130" s="220">
        <f>IF(OR(Database!$BM130="",Screener!$D$11=""),0,IF(Database!$BM130=Screener!$D$11,1,0))</f>
        <v/>
      </c>
      <c r="G130" s="220">
        <f>IF(OR(Database!$H130="",N(Screener!$D$12)&lt;=0),0,MAX(0,1-(N(Screener!$D$12)-Database!$H130)/W_RECD))</f>
        <v/>
      </c>
      <c r="H130" s="220">
        <f>IF($U$1="",0,N(ISNUMBER(SEARCH($U$1,Database!$AC130&amp;""))))+IF($V$1="",0,N(ISNUMBER(SEARCH($V$1,Database!$AC130&amp;""))))+IF($W$1="",0,N(ISNUMBER(SEARCH($W$1,Database!$AC130&amp;""))))+IF($X$1="",0,N(ISNUMBER(SEARCH($X$1,Database!$AC130&amp;""))))+IF($Y$1="",0,N(ISNUMBER(SEARCH($Y$1,Database!$AC130&amp;""))))+IF(Screener!$B$17="",0,N(ISNUMBER(SEARCH(LOWER(Screener!$B$17),Database!$AC130&amp;""))))</f>
        <v/>
      </c>
      <c r="I130" s="220">
        <f>IF(OR(N(Database!$BH130)&lt;=0,N(Screener!$D$13)&lt;=0),0,MAX(0,1-ABS(LOG10(N(Database!$BH130)/Screener!$D$13))/W_PEHW))</f>
        <v/>
      </c>
      <c r="J130" s="220">
        <f>IF(OR(N(Database!$S130)&lt;=0,N(Screener!$D$14)&lt;=0),0,MAX(0,1-ABS(LOG10(Database!$S130/Screener!$D$14))/0.6))</f>
        <v/>
      </c>
      <c r="K130" s="220">
        <f>IF(Database!$B130=Screener!$B$5,-999999,IF(ISNUMBER(SEARCH(","&amp;Database!$A130&amp;",",","&amp;SUBSTITUTE(Screener!$D$17," ","")&amp;",")),2000000,IF(IF(OR(Screener!$B$18="All",AND(Screener!$B$18="With A-share",(Database!$BM130="Y")),AND(Screener!$B$18="Without A-share",NOT((Database!$BM130="Y")))),1,0)=0,-999999,IF(Screener!$B$16="cornerstone overlap first",H130*100000,IF(Screener!$B$16="demand-similar first",J130*100000,0))+W_SUB*B130+W_SEC*C130*(1-B130)+W_SIZE*D130+W_PROF*E130+W_AH*F130+W_REC*G130+W_CS*H130+W_PE*I130)))+ROW()/1000000</f>
        <v/>
      </c>
      <c r="AA130" s="220">
        <f>Database!B119</f>
        <v/>
      </c>
      <c r="AB130" s="220">
        <f>Database!D119</f>
        <v/>
      </c>
      <c r="AC130" s="220">
        <f>Database!E119</f>
        <v/>
      </c>
      <c r="AD130" s="220">
        <f>Database!I119</f>
        <v/>
      </c>
      <c r="AE130" s="220">
        <f>Database!BG119</f>
        <v/>
      </c>
      <c r="AF130" s="220">
        <f>Database!BM119</f>
        <v/>
      </c>
      <c r="AG130" s="220">
        <f>Database!H119</f>
        <v/>
      </c>
      <c r="AH130" s="220">
        <f>Database!BH119</f>
        <v/>
      </c>
    </row>
    <row r="131">
      <c r="A131" s="220">
        <f>Database!B131</f>
        <v/>
      </c>
      <c r="B131" s="220">
        <f>IF(AND(Screener!$D$8&lt;&gt;"",Database!$E131=Screener!$D$8),1,0)</f>
        <v/>
      </c>
      <c r="C131" s="220">
        <f>IF(AND(Screener!$D$7&lt;&gt;"",Database!$D131=Screener!$D$7),1,0)</f>
        <v/>
      </c>
      <c r="D131" s="220">
        <f>IF(OR(N(Database!$I131)&lt;=0,N(Screener!$D$9)&lt;=0),0,MAX(0,1-ABS(LOG10(N(Database!$I131)/Screener!$D$9))/W_SIZEHW))</f>
        <v/>
      </c>
      <c r="E131" s="220">
        <f>IF(OR(Database!$BG131="",Screener!$D$10=""),0,IF(Database!$BG131=Screener!$D$10,1,0))</f>
        <v/>
      </c>
      <c r="F131" s="220">
        <f>IF(OR(Database!$BM131="",Screener!$D$11=""),0,IF(Database!$BM131=Screener!$D$11,1,0))</f>
        <v/>
      </c>
      <c r="G131" s="220">
        <f>IF(OR(Database!$H131="",N(Screener!$D$12)&lt;=0),0,MAX(0,1-(N(Screener!$D$12)-Database!$H131)/W_RECD))</f>
        <v/>
      </c>
      <c r="H131" s="220">
        <f>IF($U$1="",0,N(ISNUMBER(SEARCH($U$1,Database!$AC131&amp;""))))+IF($V$1="",0,N(ISNUMBER(SEARCH($V$1,Database!$AC131&amp;""))))+IF($W$1="",0,N(ISNUMBER(SEARCH($W$1,Database!$AC131&amp;""))))+IF($X$1="",0,N(ISNUMBER(SEARCH($X$1,Database!$AC131&amp;""))))+IF($Y$1="",0,N(ISNUMBER(SEARCH($Y$1,Database!$AC131&amp;""))))+IF(Screener!$B$17="",0,N(ISNUMBER(SEARCH(LOWER(Screener!$B$17),Database!$AC131&amp;""))))</f>
        <v/>
      </c>
      <c r="I131" s="220">
        <f>IF(OR(N(Database!$BH131)&lt;=0,N(Screener!$D$13)&lt;=0),0,MAX(0,1-ABS(LOG10(N(Database!$BH131)/Screener!$D$13))/W_PEHW))</f>
        <v/>
      </c>
      <c r="J131" s="220">
        <f>IF(OR(N(Database!$S131)&lt;=0,N(Screener!$D$14)&lt;=0),0,MAX(0,1-ABS(LOG10(Database!$S131/Screener!$D$14))/0.6))</f>
        <v/>
      </c>
      <c r="K131" s="220">
        <f>IF(Database!$B131=Screener!$B$5,-999999,IF(ISNUMBER(SEARCH(","&amp;Database!$A131&amp;",",","&amp;SUBSTITUTE(Screener!$D$17," ","")&amp;",")),2000000,IF(IF(OR(Screener!$B$18="All",AND(Screener!$B$18="With A-share",(Database!$BM131="Y")),AND(Screener!$B$18="Without A-share",NOT((Database!$BM131="Y")))),1,0)=0,-999999,IF(Screener!$B$16="cornerstone overlap first",H131*100000,IF(Screener!$B$16="demand-similar first",J131*100000,0))+W_SUB*B131+W_SEC*C131*(1-B131)+W_SIZE*D131+W_PROF*E131+W_AH*F131+W_REC*G131+W_CS*H131+W_PE*I131)))+ROW()/1000000</f>
        <v/>
      </c>
      <c r="AA131" s="220">
        <f>Database!B120</f>
        <v/>
      </c>
      <c r="AB131" s="220">
        <f>Database!D120</f>
        <v/>
      </c>
      <c r="AC131" s="220">
        <f>Database!E120</f>
        <v/>
      </c>
      <c r="AD131" s="220">
        <f>Database!I120</f>
        <v/>
      </c>
      <c r="AE131" s="220">
        <f>Database!BG120</f>
        <v/>
      </c>
      <c r="AF131" s="220">
        <f>Database!BM120</f>
        <v/>
      </c>
      <c r="AG131" s="220">
        <f>Database!H120</f>
        <v/>
      </c>
      <c r="AH131" s="220">
        <f>Database!BH120</f>
        <v/>
      </c>
    </row>
    <row r="132">
      <c r="A132" s="220">
        <f>Database!B132</f>
        <v/>
      </c>
      <c r="B132" s="220">
        <f>IF(AND(Screener!$D$8&lt;&gt;"",Database!$E132=Screener!$D$8),1,0)</f>
        <v/>
      </c>
      <c r="C132" s="220">
        <f>IF(AND(Screener!$D$7&lt;&gt;"",Database!$D132=Screener!$D$7),1,0)</f>
        <v/>
      </c>
      <c r="D132" s="220">
        <f>IF(OR(N(Database!$I132)&lt;=0,N(Screener!$D$9)&lt;=0),0,MAX(0,1-ABS(LOG10(N(Database!$I132)/Screener!$D$9))/W_SIZEHW))</f>
        <v/>
      </c>
      <c r="E132" s="220">
        <f>IF(OR(Database!$BG132="",Screener!$D$10=""),0,IF(Database!$BG132=Screener!$D$10,1,0))</f>
        <v/>
      </c>
      <c r="F132" s="220">
        <f>IF(OR(Database!$BM132="",Screener!$D$11=""),0,IF(Database!$BM132=Screener!$D$11,1,0))</f>
        <v/>
      </c>
      <c r="G132" s="220">
        <f>IF(OR(Database!$H132="",N(Screener!$D$12)&lt;=0),0,MAX(0,1-(N(Screener!$D$12)-Database!$H132)/W_RECD))</f>
        <v/>
      </c>
      <c r="H132" s="220">
        <f>IF($U$1="",0,N(ISNUMBER(SEARCH($U$1,Database!$AC132&amp;""))))+IF($V$1="",0,N(ISNUMBER(SEARCH($V$1,Database!$AC132&amp;""))))+IF($W$1="",0,N(ISNUMBER(SEARCH($W$1,Database!$AC132&amp;""))))+IF($X$1="",0,N(ISNUMBER(SEARCH($X$1,Database!$AC132&amp;""))))+IF($Y$1="",0,N(ISNUMBER(SEARCH($Y$1,Database!$AC132&amp;""))))+IF(Screener!$B$17="",0,N(ISNUMBER(SEARCH(LOWER(Screener!$B$17),Database!$AC132&amp;""))))</f>
        <v/>
      </c>
      <c r="I132" s="220">
        <f>IF(OR(N(Database!$BH132)&lt;=0,N(Screener!$D$13)&lt;=0),0,MAX(0,1-ABS(LOG10(N(Database!$BH132)/Screener!$D$13))/W_PEHW))</f>
        <v/>
      </c>
      <c r="J132" s="220">
        <f>IF(OR(N(Database!$S132)&lt;=0,N(Screener!$D$14)&lt;=0),0,MAX(0,1-ABS(LOG10(Database!$S132/Screener!$D$14))/0.6))</f>
        <v/>
      </c>
      <c r="K132" s="220">
        <f>IF(Database!$B132=Screener!$B$5,-999999,IF(ISNUMBER(SEARCH(","&amp;Database!$A132&amp;",",","&amp;SUBSTITUTE(Screener!$D$17," ","")&amp;",")),2000000,IF(IF(OR(Screener!$B$18="All",AND(Screener!$B$18="With A-share",(Database!$BM132="Y")),AND(Screener!$B$18="Without A-share",NOT((Database!$BM132="Y")))),1,0)=0,-999999,IF(Screener!$B$16="cornerstone overlap first",H132*100000,IF(Screener!$B$16="demand-similar first",J132*100000,0))+W_SUB*B132+W_SEC*C132*(1-B132)+W_SIZE*D132+W_PROF*E132+W_AH*F132+W_REC*G132+W_CS*H132+W_PE*I132)))+ROW()/1000000</f>
        <v/>
      </c>
      <c r="AA132" s="220">
        <f>Database!B121</f>
        <v/>
      </c>
      <c r="AB132" s="220">
        <f>Database!D121</f>
        <v/>
      </c>
      <c r="AC132" s="220">
        <f>Database!E121</f>
        <v/>
      </c>
      <c r="AD132" s="220">
        <f>Database!I121</f>
        <v/>
      </c>
      <c r="AE132" s="220">
        <f>Database!BG121</f>
        <v/>
      </c>
      <c r="AF132" s="220">
        <f>Database!BM121</f>
        <v/>
      </c>
      <c r="AG132" s="220">
        <f>Database!H121</f>
        <v/>
      </c>
      <c r="AH132" s="220">
        <f>Database!BH121</f>
        <v/>
      </c>
    </row>
    <row r="133">
      <c r="A133" s="220">
        <f>Database!B133</f>
        <v/>
      </c>
      <c r="B133" s="220">
        <f>IF(AND(Screener!$D$8&lt;&gt;"",Database!$E133=Screener!$D$8),1,0)</f>
        <v/>
      </c>
      <c r="C133" s="220">
        <f>IF(AND(Screener!$D$7&lt;&gt;"",Database!$D133=Screener!$D$7),1,0)</f>
        <v/>
      </c>
      <c r="D133" s="220">
        <f>IF(OR(N(Database!$I133)&lt;=0,N(Screener!$D$9)&lt;=0),0,MAX(0,1-ABS(LOG10(N(Database!$I133)/Screener!$D$9))/W_SIZEHW))</f>
        <v/>
      </c>
      <c r="E133" s="220">
        <f>IF(OR(Database!$BG133="",Screener!$D$10=""),0,IF(Database!$BG133=Screener!$D$10,1,0))</f>
        <v/>
      </c>
      <c r="F133" s="220">
        <f>IF(OR(Database!$BM133="",Screener!$D$11=""),0,IF(Database!$BM133=Screener!$D$11,1,0))</f>
        <v/>
      </c>
      <c r="G133" s="220">
        <f>IF(OR(Database!$H133="",N(Screener!$D$12)&lt;=0),0,MAX(0,1-(N(Screener!$D$12)-Database!$H133)/W_RECD))</f>
        <v/>
      </c>
      <c r="H133" s="220">
        <f>IF($U$1="",0,N(ISNUMBER(SEARCH($U$1,Database!$AC133&amp;""))))+IF($V$1="",0,N(ISNUMBER(SEARCH($V$1,Database!$AC133&amp;""))))+IF($W$1="",0,N(ISNUMBER(SEARCH($W$1,Database!$AC133&amp;""))))+IF($X$1="",0,N(ISNUMBER(SEARCH($X$1,Database!$AC133&amp;""))))+IF($Y$1="",0,N(ISNUMBER(SEARCH($Y$1,Database!$AC133&amp;""))))+IF(Screener!$B$17="",0,N(ISNUMBER(SEARCH(LOWER(Screener!$B$17),Database!$AC133&amp;""))))</f>
        <v/>
      </c>
      <c r="I133" s="220">
        <f>IF(OR(N(Database!$BH133)&lt;=0,N(Screener!$D$13)&lt;=0),0,MAX(0,1-ABS(LOG10(N(Database!$BH133)/Screener!$D$13))/W_PEHW))</f>
        <v/>
      </c>
      <c r="J133" s="220">
        <f>IF(OR(N(Database!$S133)&lt;=0,N(Screener!$D$14)&lt;=0),0,MAX(0,1-ABS(LOG10(Database!$S133/Screener!$D$14))/0.6))</f>
        <v/>
      </c>
      <c r="K133" s="220">
        <f>IF(Database!$B133=Screener!$B$5,-999999,IF(ISNUMBER(SEARCH(","&amp;Database!$A133&amp;",",","&amp;SUBSTITUTE(Screener!$D$17," ","")&amp;",")),2000000,IF(IF(OR(Screener!$B$18="All",AND(Screener!$B$18="With A-share",(Database!$BM133="Y")),AND(Screener!$B$18="Without A-share",NOT((Database!$BM133="Y")))),1,0)=0,-999999,IF(Screener!$B$16="cornerstone overlap first",H133*100000,IF(Screener!$B$16="demand-similar first",J133*100000,0))+W_SUB*B133+W_SEC*C133*(1-B133)+W_SIZE*D133+W_PROF*E133+W_AH*F133+W_REC*G133+W_CS*H133+W_PE*I133)))+ROW()/1000000</f>
        <v/>
      </c>
      <c r="AA133" s="220">
        <f>Database!B122</f>
        <v/>
      </c>
      <c r="AB133" s="220">
        <f>Database!D122</f>
        <v/>
      </c>
      <c r="AC133" s="220">
        <f>Database!E122</f>
        <v/>
      </c>
      <c r="AD133" s="220">
        <f>Database!I122</f>
        <v/>
      </c>
      <c r="AE133" s="220">
        <f>Database!BG122</f>
        <v/>
      </c>
      <c r="AF133" s="220">
        <f>Database!BM122</f>
        <v/>
      </c>
      <c r="AG133" s="220">
        <f>Database!H122</f>
        <v/>
      </c>
      <c r="AH133" s="220">
        <f>Database!BH122</f>
        <v/>
      </c>
    </row>
    <row r="134">
      <c r="A134" s="220">
        <f>Database!B134</f>
        <v/>
      </c>
      <c r="B134" s="220">
        <f>IF(AND(Screener!$D$8&lt;&gt;"",Database!$E134=Screener!$D$8),1,0)</f>
        <v/>
      </c>
      <c r="C134" s="220">
        <f>IF(AND(Screener!$D$7&lt;&gt;"",Database!$D134=Screener!$D$7),1,0)</f>
        <v/>
      </c>
      <c r="D134" s="220">
        <f>IF(OR(N(Database!$I134)&lt;=0,N(Screener!$D$9)&lt;=0),0,MAX(0,1-ABS(LOG10(N(Database!$I134)/Screener!$D$9))/W_SIZEHW))</f>
        <v/>
      </c>
      <c r="E134" s="220">
        <f>IF(OR(Database!$BG134="",Screener!$D$10=""),0,IF(Database!$BG134=Screener!$D$10,1,0))</f>
        <v/>
      </c>
      <c r="F134" s="220">
        <f>IF(OR(Database!$BM134="",Screener!$D$11=""),0,IF(Database!$BM134=Screener!$D$11,1,0))</f>
        <v/>
      </c>
      <c r="G134" s="220">
        <f>IF(OR(Database!$H134="",N(Screener!$D$12)&lt;=0),0,MAX(0,1-(N(Screener!$D$12)-Database!$H134)/W_RECD))</f>
        <v/>
      </c>
      <c r="H134" s="220">
        <f>IF($U$1="",0,N(ISNUMBER(SEARCH($U$1,Database!$AC134&amp;""))))+IF($V$1="",0,N(ISNUMBER(SEARCH($V$1,Database!$AC134&amp;""))))+IF($W$1="",0,N(ISNUMBER(SEARCH($W$1,Database!$AC134&amp;""))))+IF($X$1="",0,N(ISNUMBER(SEARCH($X$1,Database!$AC134&amp;""))))+IF($Y$1="",0,N(ISNUMBER(SEARCH($Y$1,Database!$AC134&amp;""))))+IF(Screener!$B$17="",0,N(ISNUMBER(SEARCH(LOWER(Screener!$B$17),Database!$AC134&amp;""))))</f>
        <v/>
      </c>
      <c r="I134" s="220">
        <f>IF(OR(N(Database!$BH134)&lt;=0,N(Screener!$D$13)&lt;=0),0,MAX(0,1-ABS(LOG10(N(Database!$BH134)/Screener!$D$13))/W_PEHW))</f>
        <v/>
      </c>
      <c r="J134" s="220">
        <f>IF(OR(N(Database!$S134)&lt;=0,N(Screener!$D$14)&lt;=0),0,MAX(0,1-ABS(LOG10(Database!$S134/Screener!$D$14))/0.6))</f>
        <v/>
      </c>
      <c r="K134" s="220">
        <f>IF(Database!$B134=Screener!$B$5,-999999,IF(ISNUMBER(SEARCH(","&amp;Database!$A134&amp;",",","&amp;SUBSTITUTE(Screener!$D$17," ","")&amp;",")),2000000,IF(IF(OR(Screener!$B$18="All",AND(Screener!$B$18="With A-share",(Database!$BM134="Y")),AND(Screener!$B$18="Without A-share",NOT((Database!$BM134="Y")))),1,0)=0,-999999,IF(Screener!$B$16="cornerstone overlap first",H134*100000,IF(Screener!$B$16="demand-similar first",J134*100000,0))+W_SUB*B134+W_SEC*C134*(1-B134)+W_SIZE*D134+W_PROF*E134+W_AH*F134+W_REC*G134+W_CS*H134+W_PE*I134)))+ROW()/1000000</f>
        <v/>
      </c>
      <c r="AA134" s="220">
        <f>Database!B123</f>
        <v/>
      </c>
      <c r="AB134" s="220">
        <f>Database!D123</f>
        <v/>
      </c>
      <c r="AC134" s="220">
        <f>Database!E123</f>
        <v/>
      </c>
      <c r="AD134" s="220">
        <f>Database!I123</f>
        <v/>
      </c>
      <c r="AE134" s="220">
        <f>Database!BG123</f>
        <v/>
      </c>
      <c r="AF134" s="220">
        <f>Database!BM123</f>
        <v/>
      </c>
      <c r="AG134" s="220">
        <f>Database!H123</f>
        <v/>
      </c>
      <c r="AH134" s="220">
        <f>Database!BH123</f>
        <v/>
      </c>
    </row>
    <row r="135">
      <c r="A135" s="220">
        <f>Database!B135</f>
        <v/>
      </c>
      <c r="B135" s="220">
        <f>IF(AND(Screener!$D$8&lt;&gt;"",Database!$E135=Screener!$D$8),1,0)</f>
        <v/>
      </c>
      <c r="C135" s="220">
        <f>IF(AND(Screener!$D$7&lt;&gt;"",Database!$D135=Screener!$D$7),1,0)</f>
        <v/>
      </c>
      <c r="D135" s="220">
        <f>IF(OR(N(Database!$I135)&lt;=0,N(Screener!$D$9)&lt;=0),0,MAX(0,1-ABS(LOG10(N(Database!$I135)/Screener!$D$9))/W_SIZEHW))</f>
        <v/>
      </c>
      <c r="E135" s="220">
        <f>IF(OR(Database!$BG135="",Screener!$D$10=""),0,IF(Database!$BG135=Screener!$D$10,1,0))</f>
        <v/>
      </c>
      <c r="F135" s="220">
        <f>IF(OR(Database!$BM135="",Screener!$D$11=""),0,IF(Database!$BM135=Screener!$D$11,1,0))</f>
        <v/>
      </c>
      <c r="G135" s="220">
        <f>IF(OR(Database!$H135="",N(Screener!$D$12)&lt;=0),0,MAX(0,1-(N(Screener!$D$12)-Database!$H135)/W_RECD))</f>
        <v/>
      </c>
      <c r="H135" s="220">
        <f>IF($U$1="",0,N(ISNUMBER(SEARCH($U$1,Database!$AC135&amp;""))))+IF($V$1="",0,N(ISNUMBER(SEARCH($V$1,Database!$AC135&amp;""))))+IF($W$1="",0,N(ISNUMBER(SEARCH($W$1,Database!$AC135&amp;""))))+IF($X$1="",0,N(ISNUMBER(SEARCH($X$1,Database!$AC135&amp;""))))+IF($Y$1="",0,N(ISNUMBER(SEARCH($Y$1,Database!$AC135&amp;""))))+IF(Screener!$B$17="",0,N(ISNUMBER(SEARCH(LOWER(Screener!$B$17),Database!$AC135&amp;""))))</f>
        <v/>
      </c>
      <c r="I135" s="220">
        <f>IF(OR(N(Database!$BH135)&lt;=0,N(Screener!$D$13)&lt;=0),0,MAX(0,1-ABS(LOG10(N(Database!$BH135)/Screener!$D$13))/W_PEHW))</f>
        <v/>
      </c>
      <c r="J135" s="220">
        <f>IF(OR(N(Database!$S135)&lt;=0,N(Screener!$D$14)&lt;=0),0,MAX(0,1-ABS(LOG10(Database!$S135/Screener!$D$14))/0.6))</f>
        <v/>
      </c>
      <c r="K135" s="220">
        <f>IF(Database!$B135=Screener!$B$5,-999999,IF(ISNUMBER(SEARCH(","&amp;Database!$A135&amp;",",","&amp;SUBSTITUTE(Screener!$D$17," ","")&amp;",")),2000000,IF(IF(OR(Screener!$B$18="All",AND(Screener!$B$18="With A-share",(Database!$BM135="Y")),AND(Screener!$B$18="Without A-share",NOT((Database!$BM135="Y")))),1,0)=0,-999999,IF(Screener!$B$16="cornerstone overlap first",H135*100000,IF(Screener!$B$16="demand-similar first",J135*100000,0))+W_SUB*B135+W_SEC*C135*(1-B135)+W_SIZE*D135+W_PROF*E135+W_AH*F135+W_REC*G135+W_CS*H135+W_PE*I135)))+ROW()/1000000</f>
        <v/>
      </c>
      <c r="AA135" s="220">
        <f>Database!B124</f>
        <v/>
      </c>
      <c r="AB135" s="220">
        <f>Database!D124</f>
        <v/>
      </c>
      <c r="AC135" s="220">
        <f>Database!E124</f>
        <v/>
      </c>
      <c r="AD135" s="220">
        <f>Database!I124</f>
        <v/>
      </c>
      <c r="AE135" s="220">
        <f>Database!BG124</f>
        <v/>
      </c>
      <c r="AF135" s="220">
        <f>Database!BM124</f>
        <v/>
      </c>
      <c r="AG135" s="220">
        <f>Database!H124</f>
        <v/>
      </c>
      <c r="AH135" s="220">
        <f>Database!BH124</f>
        <v/>
      </c>
    </row>
    <row r="136">
      <c r="A136" s="220">
        <f>Database!B136</f>
        <v/>
      </c>
      <c r="B136" s="220">
        <f>IF(AND(Screener!$D$8&lt;&gt;"",Database!$E136=Screener!$D$8),1,0)</f>
        <v/>
      </c>
      <c r="C136" s="220">
        <f>IF(AND(Screener!$D$7&lt;&gt;"",Database!$D136=Screener!$D$7),1,0)</f>
        <v/>
      </c>
      <c r="D136" s="220">
        <f>IF(OR(N(Database!$I136)&lt;=0,N(Screener!$D$9)&lt;=0),0,MAX(0,1-ABS(LOG10(N(Database!$I136)/Screener!$D$9))/W_SIZEHW))</f>
        <v/>
      </c>
      <c r="E136" s="220">
        <f>IF(OR(Database!$BG136="",Screener!$D$10=""),0,IF(Database!$BG136=Screener!$D$10,1,0))</f>
        <v/>
      </c>
      <c r="F136" s="220">
        <f>IF(OR(Database!$BM136="",Screener!$D$11=""),0,IF(Database!$BM136=Screener!$D$11,1,0))</f>
        <v/>
      </c>
      <c r="G136" s="220">
        <f>IF(OR(Database!$H136="",N(Screener!$D$12)&lt;=0),0,MAX(0,1-(N(Screener!$D$12)-Database!$H136)/W_RECD))</f>
        <v/>
      </c>
      <c r="H136" s="220">
        <f>IF($U$1="",0,N(ISNUMBER(SEARCH($U$1,Database!$AC136&amp;""))))+IF($V$1="",0,N(ISNUMBER(SEARCH($V$1,Database!$AC136&amp;""))))+IF($W$1="",0,N(ISNUMBER(SEARCH($W$1,Database!$AC136&amp;""))))+IF($X$1="",0,N(ISNUMBER(SEARCH($X$1,Database!$AC136&amp;""))))+IF($Y$1="",0,N(ISNUMBER(SEARCH($Y$1,Database!$AC136&amp;""))))+IF(Screener!$B$17="",0,N(ISNUMBER(SEARCH(LOWER(Screener!$B$17),Database!$AC136&amp;""))))</f>
        <v/>
      </c>
      <c r="I136" s="220">
        <f>IF(OR(N(Database!$BH136)&lt;=0,N(Screener!$D$13)&lt;=0),0,MAX(0,1-ABS(LOG10(N(Database!$BH136)/Screener!$D$13))/W_PEHW))</f>
        <v/>
      </c>
      <c r="J136" s="220">
        <f>IF(OR(N(Database!$S136)&lt;=0,N(Screener!$D$14)&lt;=0),0,MAX(0,1-ABS(LOG10(Database!$S136/Screener!$D$14))/0.6))</f>
        <v/>
      </c>
      <c r="K136" s="220">
        <f>IF(Database!$B136=Screener!$B$5,-999999,IF(ISNUMBER(SEARCH(","&amp;Database!$A136&amp;",",","&amp;SUBSTITUTE(Screener!$D$17," ","")&amp;",")),2000000,IF(IF(OR(Screener!$B$18="All",AND(Screener!$B$18="With A-share",(Database!$BM136="Y")),AND(Screener!$B$18="Without A-share",NOT((Database!$BM136="Y")))),1,0)=0,-999999,IF(Screener!$B$16="cornerstone overlap first",H136*100000,IF(Screener!$B$16="demand-similar first",J136*100000,0))+W_SUB*B136+W_SEC*C136*(1-B136)+W_SIZE*D136+W_PROF*E136+W_AH*F136+W_REC*G136+W_CS*H136+W_PE*I136)))+ROW()/1000000</f>
        <v/>
      </c>
      <c r="AA136" s="220">
        <f>Database!B125</f>
        <v/>
      </c>
      <c r="AB136" s="220">
        <f>Database!D125</f>
        <v/>
      </c>
      <c r="AC136" s="220">
        <f>Database!E125</f>
        <v/>
      </c>
      <c r="AD136" s="220">
        <f>Database!I125</f>
        <v/>
      </c>
      <c r="AE136" s="220">
        <f>Database!BG125</f>
        <v/>
      </c>
      <c r="AF136" s="220">
        <f>Database!BM125</f>
        <v/>
      </c>
      <c r="AG136" s="220">
        <f>Database!H125</f>
        <v/>
      </c>
      <c r="AH136" s="220">
        <f>Database!BH125</f>
        <v/>
      </c>
    </row>
    <row r="137">
      <c r="A137" s="220">
        <f>Database!B137</f>
        <v/>
      </c>
      <c r="B137" s="220">
        <f>IF(AND(Screener!$D$8&lt;&gt;"",Database!$E137=Screener!$D$8),1,0)</f>
        <v/>
      </c>
      <c r="C137" s="220">
        <f>IF(AND(Screener!$D$7&lt;&gt;"",Database!$D137=Screener!$D$7),1,0)</f>
        <v/>
      </c>
      <c r="D137" s="220">
        <f>IF(OR(N(Database!$I137)&lt;=0,N(Screener!$D$9)&lt;=0),0,MAX(0,1-ABS(LOG10(N(Database!$I137)/Screener!$D$9))/W_SIZEHW))</f>
        <v/>
      </c>
      <c r="E137" s="220">
        <f>IF(OR(Database!$BG137="",Screener!$D$10=""),0,IF(Database!$BG137=Screener!$D$10,1,0))</f>
        <v/>
      </c>
      <c r="F137" s="220">
        <f>IF(OR(Database!$BM137="",Screener!$D$11=""),0,IF(Database!$BM137=Screener!$D$11,1,0))</f>
        <v/>
      </c>
      <c r="G137" s="220">
        <f>IF(OR(Database!$H137="",N(Screener!$D$12)&lt;=0),0,MAX(0,1-(N(Screener!$D$12)-Database!$H137)/W_RECD))</f>
        <v/>
      </c>
      <c r="H137" s="220">
        <f>IF($U$1="",0,N(ISNUMBER(SEARCH($U$1,Database!$AC137&amp;""))))+IF($V$1="",0,N(ISNUMBER(SEARCH($V$1,Database!$AC137&amp;""))))+IF($W$1="",0,N(ISNUMBER(SEARCH($W$1,Database!$AC137&amp;""))))+IF($X$1="",0,N(ISNUMBER(SEARCH($X$1,Database!$AC137&amp;""))))+IF($Y$1="",0,N(ISNUMBER(SEARCH($Y$1,Database!$AC137&amp;""))))+IF(Screener!$B$17="",0,N(ISNUMBER(SEARCH(LOWER(Screener!$B$17),Database!$AC137&amp;""))))</f>
        <v/>
      </c>
      <c r="I137" s="220">
        <f>IF(OR(N(Database!$BH137)&lt;=0,N(Screener!$D$13)&lt;=0),0,MAX(0,1-ABS(LOG10(N(Database!$BH137)/Screener!$D$13))/W_PEHW))</f>
        <v/>
      </c>
      <c r="J137" s="220">
        <f>IF(OR(N(Database!$S137)&lt;=0,N(Screener!$D$14)&lt;=0),0,MAX(0,1-ABS(LOG10(Database!$S137/Screener!$D$14))/0.6))</f>
        <v/>
      </c>
      <c r="K137" s="220">
        <f>IF(Database!$B137=Screener!$B$5,-999999,IF(ISNUMBER(SEARCH(","&amp;Database!$A137&amp;",",","&amp;SUBSTITUTE(Screener!$D$17," ","")&amp;",")),2000000,IF(IF(OR(Screener!$B$18="All",AND(Screener!$B$18="With A-share",(Database!$BM137="Y")),AND(Screener!$B$18="Without A-share",NOT((Database!$BM137="Y")))),1,0)=0,-999999,IF(Screener!$B$16="cornerstone overlap first",H137*100000,IF(Screener!$B$16="demand-similar first",J137*100000,0))+W_SUB*B137+W_SEC*C137*(1-B137)+W_SIZE*D137+W_PROF*E137+W_AH*F137+W_REC*G137+W_CS*H137+W_PE*I137)))+ROW()/1000000</f>
        <v/>
      </c>
      <c r="AA137" s="220">
        <f>Database!B126</f>
        <v/>
      </c>
      <c r="AB137" s="220">
        <f>Database!D126</f>
        <v/>
      </c>
      <c r="AC137" s="220">
        <f>Database!E126</f>
        <v/>
      </c>
      <c r="AD137" s="220">
        <f>Database!I126</f>
        <v/>
      </c>
      <c r="AE137" s="220">
        <f>Database!BG126</f>
        <v/>
      </c>
      <c r="AF137" s="220">
        <f>Database!BM126</f>
        <v/>
      </c>
      <c r="AG137" s="220">
        <f>Database!H126</f>
        <v/>
      </c>
      <c r="AH137" s="220">
        <f>Database!BH126</f>
        <v/>
      </c>
    </row>
    <row r="138">
      <c r="A138" s="220">
        <f>Database!B138</f>
        <v/>
      </c>
      <c r="B138" s="220">
        <f>IF(AND(Screener!$D$8&lt;&gt;"",Database!$E138=Screener!$D$8),1,0)</f>
        <v/>
      </c>
      <c r="C138" s="220">
        <f>IF(AND(Screener!$D$7&lt;&gt;"",Database!$D138=Screener!$D$7),1,0)</f>
        <v/>
      </c>
      <c r="D138" s="220">
        <f>IF(OR(N(Database!$I138)&lt;=0,N(Screener!$D$9)&lt;=0),0,MAX(0,1-ABS(LOG10(N(Database!$I138)/Screener!$D$9))/W_SIZEHW))</f>
        <v/>
      </c>
      <c r="E138" s="220">
        <f>IF(OR(Database!$BG138="",Screener!$D$10=""),0,IF(Database!$BG138=Screener!$D$10,1,0))</f>
        <v/>
      </c>
      <c r="F138" s="220">
        <f>IF(OR(Database!$BM138="",Screener!$D$11=""),0,IF(Database!$BM138=Screener!$D$11,1,0))</f>
        <v/>
      </c>
      <c r="G138" s="220">
        <f>IF(OR(Database!$H138="",N(Screener!$D$12)&lt;=0),0,MAX(0,1-(N(Screener!$D$12)-Database!$H138)/W_RECD))</f>
        <v/>
      </c>
      <c r="H138" s="220">
        <f>IF($U$1="",0,N(ISNUMBER(SEARCH($U$1,Database!$AC138&amp;""))))+IF($V$1="",0,N(ISNUMBER(SEARCH($V$1,Database!$AC138&amp;""))))+IF($W$1="",0,N(ISNUMBER(SEARCH($W$1,Database!$AC138&amp;""))))+IF($X$1="",0,N(ISNUMBER(SEARCH($X$1,Database!$AC138&amp;""))))+IF($Y$1="",0,N(ISNUMBER(SEARCH($Y$1,Database!$AC138&amp;""))))+IF(Screener!$B$17="",0,N(ISNUMBER(SEARCH(LOWER(Screener!$B$17),Database!$AC138&amp;""))))</f>
        <v/>
      </c>
      <c r="I138" s="220">
        <f>IF(OR(N(Database!$BH138)&lt;=0,N(Screener!$D$13)&lt;=0),0,MAX(0,1-ABS(LOG10(N(Database!$BH138)/Screener!$D$13))/W_PEHW))</f>
        <v/>
      </c>
      <c r="J138" s="220">
        <f>IF(OR(N(Database!$S138)&lt;=0,N(Screener!$D$14)&lt;=0),0,MAX(0,1-ABS(LOG10(Database!$S138/Screener!$D$14))/0.6))</f>
        <v/>
      </c>
      <c r="K138" s="220">
        <f>IF(Database!$B138=Screener!$B$5,-999999,IF(ISNUMBER(SEARCH(","&amp;Database!$A138&amp;",",","&amp;SUBSTITUTE(Screener!$D$17," ","")&amp;",")),2000000,IF(IF(OR(Screener!$B$18="All",AND(Screener!$B$18="With A-share",(Database!$BM138="Y")),AND(Screener!$B$18="Without A-share",NOT((Database!$BM138="Y")))),1,0)=0,-999999,IF(Screener!$B$16="cornerstone overlap first",H138*100000,IF(Screener!$B$16="demand-similar first",J138*100000,0))+W_SUB*B138+W_SEC*C138*(1-B138)+W_SIZE*D138+W_PROF*E138+W_AH*F138+W_REC*G138+W_CS*H138+W_PE*I138)))+ROW()/1000000</f>
        <v/>
      </c>
      <c r="AA138" s="220">
        <f>Database!B127</f>
        <v/>
      </c>
      <c r="AB138" s="220">
        <f>Database!D127</f>
        <v/>
      </c>
      <c r="AC138" s="220">
        <f>Database!E127</f>
        <v/>
      </c>
      <c r="AD138" s="220">
        <f>Database!I127</f>
        <v/>
      </c>
      <c r="AE138" s="220">
        <f>Database!BG127</f>
        <v/>
      </c>
      <c r="AF138" s="220">
        <f>Database!BM127</f>
        <v/>
      </c>
      <c r="AG138" s="220">
        <f>Database!H127</f>
        <v/>
      </c>
      <c r="AH138" s="220">
        <f>Database!BH127</f>
        <v/>
      </c>
    </row>
    <row r="139">
      <c r="A139" s="220">
        <f>Database!B139</f>
        <v/>
      </c>
      <c r="B139" s="220">
        <f>IF(AND(Screener!$D$8&lt;&gt;"",Database!$E139=Screener!$D$8),1,0)</f>
        <v/>
      </c>
      <c r="C139" s="220">
        <f>IF(AND(Screener!$D$7&lt;&gt;"",Database!$D139=Screener!$D$7),1,0)</f>
        <v/>
      </c>
      <c r="D139" s="220">
        <f>IF(OR(N(Database!$I139)&lt;=0,N(Screener!$D$9)&lt;=0),0,MAX(0,1-ABS(LOG10(N(Database!$I139)/Screener!$D$9))/W_SIZEHW))</f>
        <v/>
      </c>
      <c r="E139" s="220">
        <f>IF(OR(Database!$BG139="",Screener!$D$10=""),0,IF(Database!$BG139=Screener!$D$10,1,0))</f>
        <v/>
      </c>
      <c r="F139" s="220">
        <f>IF(OR(Database!$BM139="",Screener!$D$11=""),0,IF(Database!$BM139=Screener!$D$11,1,0))</f>
        <v/>
      </c>
      <c r="G139" s="220">
        <f>IF(OR(Database!$H139="",N(Screener!$D$12)&lt;=0),0,MAX(0,1-(N(Screener!$D$12)-Database!$H139)/W_RECD))</f>
        <v/>
      </c>
      <c r="H139" s="220">
        <f>IF($U$1="",0,N(ISNUMBER(SEARCH($U$1,Database!$AC139&amp;""))))+IF($V$1="",0,N(ISNUMBER(SEARCH($V$1,Database!$AC139&amp;""))))+IF($W$1="",0,N(ISNUMBER(SEARCH($W$1,Database!$AC139&amp;""))))+IF($X$1="",0,N(ISNUMBER(SEARCH($X$1,Database!$AC139&amp;""))))+IF($Y$1="",0,N(ISNUMBER(SEARCH($Y$1,Database!$AC139&amp;""))))+IF(Screener!$B$17="",0,N(ISNUMBER(SEARCH(LOWER(Screener!$B$17),Database!$AC139&amp;""))))</f>
        <v/>
      </c>
      <c r="I139" s="220">
        <f>IF(OR(N(Database!$BH139)&lt;=0,N(Screener!$D$13)&lt;=0),0,MAX(0,1-ABS(LOG10(N(Database!$BH139)/Screener!$D$13))/W_PEHW))</f>
        <v/>
      </c>
      <c r="J139" s="220">
        <f>IF(OR(N(Database!$S139)&lt;=0,N(Screener!$D$14)&lt;=0),0,MAX(0,1-ABS(LOG10(Database!$S139/Screener!$D$14))/0.6))</f>
        <v/>
      </c>
      <c r="K139" s="220">
        <f>IF(Database!$B139=Screener!$B$5,-999999,IF(ISNUMBER(SEARCH(","&amp;Database!$A139&amp;",",","&amp;SUBSTITUTE(Screener!$D$17," ","")&amp;",")),2000000,IF(IF(OR(Screener!$B$18="All",AND(Screener!$B$18="With A-share",(Database!$BM139="Y")),AND(Screener!$B$18="Without A-share",NOT((Database!$BM139="Y")))),1,0)=0,-999999,IF(Screener!$B$16="cornerstone overlap first",H139*100000,IF(Screener!$B$16="demand-similar first",J139*100000,0))+W_SUB*B139+W_SEC*C139*(1-B139)+W_SIZE*D139+W_PROF*E139+W_AH*F139+W_REC*G139+W_CS*H139+W_PE*I139)))+ROW()/1000000</f>
        <v/>
      </c>
      <c r="AA139" s="220">
        <f>Database!B128</f>
        <v/>
      </c>
      <c r="AB139" s="220">
        <f>Database!D128</f>
        <v/>
      </c>
      <c r="AC139" s="220">
        <f>Database!E128</f>
        <v/>
      </c>
      <c r="AD139" s="220">
        <f>Database!I128</f>
        <v/>
      </c>
      <c r="AE139" s="220">
        <f>Database!BG128</f>
        <v/>
      </c>
      <c r="AF139" s="220">
        <f>Database!BM128</f>
        <v/>
      </c>
      <c r="AG139" s="220">
        <f>Database!H128</f>
        <v/>
      </c>
      <c r="AH139" s="220">
        <f>Database!BH128</f>
        <v/>
      </c>
    </row>
    <row r="140">
      <c r="A140" s="220">
        <f>Database!B140</f>
        <v/>
      </c>
      <c r="B140" s="220">
        <f>IF(AND(Screener!$D$8&lt;&gt;"",Database!$E140=Screener!$D$8),1,0)</f>
        <v/>
      </c>
      <c r="C140" s="220">
        <f>IF(AND(Screener!$D$7&lt;&gt;"",Database!$D140=Screener!$D$7),1,0)</f>
        <v/>
      </c>
      <c r="D140" s="220">
        <f>IF(OR(N(Database!$I140)&lt;=0,N(Screener!$D$9)&lt;=0),0,MAX(0,1-ABS(LOG10(N(Database!$I140)/Screener!$D$9))/W_SIZEHW))</f>
        <v/>
      </c>
      <c r="E140" s="220">
        <f>IF(OR(Database!$BG140="",Screener!$D$10=""),0,IF(Database!$BG140=Screener!$D$10,1,0))</f>
        <v/>
      </c>
      <c r="F140" s="220">
        <f>IF(OR(Database!$BM140="",Screener!$D$11=""),0,IF(Database!$BM140=Screener!$D$11,1,0))</f>
        <v/>
      </c>
      <c r="G140" s="220">
        <f>IF(OR(Database!$H140="",N(Screener!$D$12)&lt;=0),0,MAX(0,1-(N(Screener!$D$12)-Database!$H140)/W_RECD))</f>
        <v/>
      </c>
      <c r="H140" s="220">
        <f>IF($U$1="",0,N(ISNUMBER(SEARCH($U$1,Database!$AC140&amp;""))))+IF($V$1="",0,N(ISNUMBER(SEARCH($V$1,Database!$AC140&amp;""))))+IF($W$1="",0,N(ISNUMBER(SEARCH($W$1,Database!$AC140&amp;""))))+IF($X$1="",0,N(ISNUMBER(SEARCH($X$1,Database!$AC140&amp;""))))+IF($Y$1="",0,N(ISNUMBER(SEARCH($Y$1,Database!$AC140&amp;""))))+IF(Screener!$B$17="",0,N(ISNUMBER(SEARCH(LOWER(Screener!$B$17),Database!$AC140&amp;""))))</f>
        <v/>
      </c>
      <c r="I140" s="220">
        <f>IF(OR(N(Database!$BH140)&lt;=0,N(Screener!$D$13)&lt;=0),0,MAX(0,1-ABS(LOG10(N(Database!$BH140)/Screener!$D$13))/W_PEHW))</f>
        <v/>
      </c>
      <c r="J140" s="220">
        <f>IF(OR(N(Database!$S140)&lt;=0,N(Screener!$D$14)&lt;=0),0,MAX(0,1-ABS(LOG10(Database!$S140/Screener!$D$14))/0.6))</f>
        <v/>
      </c>
      <c r="K140" s="220">
        <f>IF(Database!$B140=Screener!$B$5,-999999,IF(ISNUMBER(SEARCH(","&amp;Database!$A140&amp;",",","&amp;SUBSTITUTE(Screener!$D$17," ","")&amp;",")),2000000,IF(IF(OR(Screener!$B$18="All",AND(Screener!$B$18="With A-share",(Database!$BM140="Y")),AND(Screener!$B$18="Without A-share",NOT((Database!$BM140="Y")))),1,0)=0,-999999,IF(Screener!$B$16="cornerstone overlap first",H140*100000,IF(Screener!$B$16="demand-similar first",J140*100000,0))+W_SUB*B140+W_SEC*C140*(1-B140)+W_SIZE*D140+W_PROF*E140+W_AH*F140+W_REC*G140+W_CS*H140+W_PE*I140)))+ROW()/1000000</f>
        <v/>
      </c>
      <c r="AA140" s="220">
        <f>Database!B129</f>
        <v/>
      </c>
      <c r="AB140" s="220">
        <f>Database!D129</f>
        <v/>
      </c>
      <c r="AC140" s="220">
        <f>Database!E129</f>
        <v/>
      </c>
      <c r="AD140" s="220">
        <f>Database!I129</f>
        <v/>
      </c>
      <c r="AE140" s="220">
        <f>Database!BG129</f>
        <v/>
      </c>
      <c r="AF140" s="220">
        <f>Database!BM129</f>
        <v/>
      </c>
      <c r="AG140" s="220">
        <f>Database!H129</f>
        <v/>
      </c>
      <c r="AH140" s="220">
        <f>Database!BH129</f>
        <v/>
      </c>
    </row>
    <row r="141">
      <c r="A141" s="220">
        <f>Database!B141</f>
        <v/>
      </c>
      <c r="B141" s="220">
        <f>IF(AND(Screener!$D$8&lt;&gt;"",Database!$E141=Screener!$D$8),1,0)</f>
        <v/>
      </c>
      <c r="C141" s="220">
        <f>IF(AND(Screener!$D$7&lt;&gt;"",Database!$D141=Screener!$D$7),1,0)</f>
        <v/>
      </c>
      <c r="D141" s="220">
        <f>IF(OR(N(Database!$I141)&lt;=0,N(Screener!$D$9)&lt;=0),0,MAX(0,1-ABS(LOG10(N(Database!$I141)/Screener!$D$9))/W_SIZEHW))</f>
        <v/>
      </c>
      <c r="E141" s="220">
        <f>IF(OR(Database!$BG141="",Screener!$D$10=""),0,IF(Database!$BG141=Screener!$D$10,1,0))</f>
        <v/>
      </c>
      <c r="F141" s="220">
        <f>IF(OR(Database!$BM141="",Screener!$D$11=""),0,IF(Database!$BM141=Screener!$D$11,1,0))</f>
        <v/>
      </c>
      <c r="G141" s="220">
        <f>IF(OR(Database!$H141="",N(Screener!$D$12)&lt;=0),0,MAX(0,1-(N(Screener!$D$12)-Database!$H141)/W_RECD))</f>
        <v/>
      </c>
      <c r="H141" s="220">
        <f>IF($U$1="",0,N(ISNUMBER(SEARCH($U$1,Database!$AC141&amp;""))))+IF($V$1="",0,N(ISNUMBER(SEARCH($V$1,Database!$AC141&amp;""))))+IF($W$1="",0,N(ISNUMBER(SEARCH($W$1,Database!$AC141&amp;""))))+IF($X$1="",0,N(ISNUMBER(SEARCH($X$1,Database!$AC141&amp;""))))+IF($Y$1="",0,N(ISNUMBER(SEARCH($Y$1,Database!$AC141&amp;""))))+IF(Screener!$B$17="",0,N(ISNUMBER(SEARCH(LOWER(Screener!$B$17),Database!$AC141&amp;""))))</f>
        <v/>
      </c>
      <c r="I141" s="220">
        <f>IF(OR(N(Database!$BH141)&lt;=0,N(Screener!$D$13)&lt;=0),0,MAX(0,1-ABS(LOG10(N(Database!$BH141)/Screener!$D$13))/W_PEHW))</f>
        <v/>
      </c>
      <c r="J141" s="220">
        <f>IF(OR(N(Database!$S141)&lt;=0,N(Screener!$D$14)&lt;=0),0,MAX(0,1-ABS(LOG10(Database!$S141/Screener!$D$14))/0.6))</f>
        <v/>
      </c>
      <c r="K141" s="220">
        <f>IF(Database!$B141=Screener!$B$5,-999999,IF(ISNUMBER(SEARCH(","&amp;Database!$A141&amp;",",","&amp;SUBSTITUTE(Screener!$D$17," ","")&amp;",")),2000000,IF(IF(OR(Screener!$B$18="All",AND(Screener!$B$18="With A-share",(Database!$BM141="Y")),AND(Screener!$B$18="Without A-share",NOT((Database!$BM141="Y")))),1,0)=0,-999999,IF(Screener!$B$16="cornerstone overlap first",H141*100000,IF(Screener!$B$16="demand-similar first",J141*100000,0))+W_SUB*B141+W_SEC*C141*(1-B141)+W_SIZE*D141+W_PROF*E141+W_AH*F141+W_REC*G141+W_CS*H141+W_PE*I141)))+ROW()/1000000</f>
        <v/>
      </c>
      <c r="AA141" s="220">
        <f>Database!B130</f>
        <v/>
      </c>
      <c r="AB141" s="220">
        <f>Database!D130</f>
        <v/>
      </c>
      <c r="AC141" s="220">
        <f>Database!E130</f>
        <v/>
      </c>
      <c r="AD141" s="220">
        <f>Database!I130</f>
        <v/>
      </c>
      <c r="AE141" s="220">
        <f>Database!BG130</f>
        <v/>
      </c>
      <c r="AF141" s="220">
        <f>Database!BM130</f>
        <v/>
      </c>
      <c r="AG141" s="220">
        <f>Database!H130</f>
        <v/>
      </c>
      <c r="AH141" s="220">
        <f>Database!BH130</f>
        <v/>
      </c>
    </row>
    <row r="142">
      <c r="A142" s="220">
        <f>Database!B142</f>
        <v/>
      </c>
      <c r="B142" s="220">
        <f>IF(AND(Screener!$D$8&lt;&gt;"",Database!$E142=Screener!$D$8),1,0)</f>
        <v/>
      </c>
      <c r="C142" s="220">
        <f>IF(AND(Screener!$D$7&lt;&gt;"",Database!$D142=Screener!$D$7),1,0)</f>
        <v/>
      </c>
      <c r="D142" s="220">
        <f>IF(OR(N(Database!$I142)&lt;=0,N(Screener!$D$9)&lt;=0),0,MAX(0,1-ABS(LOG10(N(Database!$I142)/Screener!$D$9))/W_SIZEHW))</f>
        <v/>
      </c>
      <c r="E142" s="220">
        <f>IF(OR(Database!$BG142="",Screener!$D$10=""),0,IF(Database!$BG142=Screener!$D$10,1,0))</f>
        <v/>
      </c>
      <c r="F142" s="220">
        <f>IF(OR(Database!$BM142="",Screener!$D$11=""),0,IF(Database!$BM142=Screener!$D$11,1,0))</f>
        <v/>
      </c>
      <c r="G142" s="220">
        <f>IF(OR(Database!$H142="",N(Screener!$D$12)&lt;=0),0,MAX(0,1-(N(Screener!$D$12)-Database!$H142)/W_RECD))</f>
        <v/>
      </c>
      <c r="H142" s="220">
        <f>IF($U$1="",0,N(ISNUMBER(SEARCH($U$1,Database!$AC142&amp;""))))+IF($V$1="",0,N(ISNUMBER(SEARCH($V$1,Database!$AC142&amp;""))))+IF($W$1="",0,N(ISNUMBER(SEARCH($W$1,Database!$AC142&amp;""))))+IF($X$1="",0,N(ISNUMBER(SEARCH($X$1,Database!$AC142&amp;""))))+IF($Y$1="",0,N(ISNUMBER(SEARCH($Y$1,Database!$AC142&amp;""))))+IF(Screener!$B$17="",0,N(ISNUMBER(SEARCH(LOWER(Screener!$B$17),Database!$AC142&amp;""))))</f>
        <v/>
      </c>
      <c r="I142" s="220">
        <f>IF(OR(N(Database!$BH142)&lt;=0,N(Screener!$D$13)&lt;=0),0,MAX(0,1-ABS(LOG10(N(Database!$BH142)/Screener!$D$13))/W_PEHW))</f>
        <v/>
      </c>
      <c r="J142" s="220">
        <f>IF(OR(N(Database!$S142)&lt;=0,N(Screener!$D$14)&lt;=0),0,MAX(0,1-ABS(LOG10(Database!$S142/Screener!$D$14))/0.6))</f>
        <v/>
      </c>
      <c r="K142" s="220">
        <f>IF(Database!$B142=Screener!$B$5,-999999,IF(ISNUMBER(SEARCH(","&amp;Database!$A142&amp;",",","&amp;SUBSTITUTE(Screener!$D$17," ","")&amp;",")),2000000,IF(IF(OR(Screener!$B$18="All",AND(Screener!$B$18="With A-share",(Database!$BM142="Y")),AND(Screener!$B$18="Without A-share",NOT((Database!$BM142="Y")))),1,0)=0,-999999,IF(Screener!$B$16="cornerstone overlap first",H142*100000,IF(Screener!$B$16="demand-similar first",J142*100000,0))+W_SUB*B142+W_SEC*C142*(1-B142)+W_SIZE*D142+W_PROF*E142+W_AH*F142+W_REC*G142+W_CS*H142+W_PE*I142)))+ROW()/1000000</f>
        <v/>
      </c>
      <c r="AA142" s="220">
        <f>Database!B131</f>
        <v/>
      </c>
      <c r="AB142" s="220">
        <f>Database!D131</f>
        <v/>
      </c>
      <c r="AC142" s="220">
        <f>Database!E131</f>
        <v/>
      </c>
      <c r="AD142" s="220">
        <f>Database!I131</f>
        <v/>
      </c>
      <c r="AE142" s="220">
        <f>Database!BG131</f>
        <v/>
      </c>
      <c r="AF142" s="220">
        <f>Database!BM131</f>
        <v/>
      </c>
      <c r="AG142" s="220">
        <f>Database!H131</f>
        <v/>
      </c>
      <c r="AH142" s="220">
        <f>Database!BH131</f>
        <v/>
      </c>
    </row>
    <row r="143">
      <c r="A143" s="220">
        <f>Database!B143</f>
        <v/>
      </c>
      <c r="B143" s="220">
        <f>IF(AND(Screener!$D$8&lt;&gt;"",Database!$E143=Screener!$D$8),1,0)</f>
        <v/>
      </c>
      <c r="C143" s="220">
        <f>IF(AND(Screener!$D$7&lt;&gt;"",Database!$D143=Screener!$D$7),1,0)</f>
        <v/>
      </c>
      <c r="D143" s="220">
        <f>IF(OR(N(Database!$I143)&lt;=0,N(Screener!$D$9)&lt;=0),0,MAX(0,1-ABS(LOG10(N(Database!$I143)/Screener!$D$9))/W_SIZEHW))</f>
        <v/>
      </c>
      <c r="E143" s="220">
        <f>IF(OR(Database!$BG143="",Screener!$D$10=""),0,IF(Database!$BG143=Screener!$D$10,1,0))</f>
        <v/>
      </c>
      <c r="F143" s="220">
        <f>IF(OR(Database!$BM143="",Screener!$D$11=""),0,IF(Database!$BM143=Screener!$D$11,1,0))</f>
        <v/>
      </c>
      <c r="G143" s="220">
        <f>IF(OR(Database!$H143="",N(Screener!$D$12)&lt;=0),0,MAX(0,1-(N(Screener!$D$12)-Database!$H143)/W_RECD))</f>
        <v/>
      </c>
      <c r="H143" s="220">
        <f>IF($U$1="",0,N(ISNUMBER(SEARCH($U$1,Database!$AC143&amp;""))))+IF($V$1="",0,N(ISNUMBER(SEARCH($V$1,Database!$AC143&amp;""))))+IF($W$1="",0,N(ISNUMBER(SEARCH($W$1,Database!$AC143&amp;""))))+IF($X$1="",0,N(ISNUMBER(SEARCH($X$1,Database!$AC143&amp;""))))+IF($Y$1="",0,N(ISNUMBER(SEARCH($Y$1,Database!$AC143&amp;""))))+IF(Screener!$B$17="",0,N(ISNUMBER(SEARCH(LOWER(Screener!$B$17),Database!$AC143&amp;""))))</f>
        <v/>
      </c>
      <c r="I143" s="220">
        <f>IF(OR(N(Database!$BH143)&lt;=0,N(Screener!$D$13)&lt;=0),0,MAX(0,1-ABS(LOG10(N(Database!$BH143)/Screener!$D$13))/W_PEHW))</f>
        <v/>
      </c>
      <c r="J143" s="220">
        <f>IF(OR(N(Database!$S143)&lt;=0,N(Screener!$D$14)&lt;=0),0,MAX(0,1-ABS(LOG10(Database!$S143/Screener!$D$14))/0.6))</f>
        <v/>
      </c>
      <c r="K143" s="220">
        <f>IF(Database!$B143=Screener!$B$5,-999999,IF(ISNUMBER(SEARCH(","&amp;Database!$A143&amp;",",","&amp;SUBSTITUTE(Screener!$D$17," ","")&amp;",")),2000000,IF(IF(OR(Screener!$B$18="All",AND(Screener!$B$18="With A-share",(Database!$BM143="Y")),AND(Screener!$B$18="Without A-share",NOT((Database!$BM143="Y")))),1,0)=0,-999999,IF(Screener!$B$16="cornerstone overlap first",H143*100000,IF(Screener!$B$16="demand-similar first",J143*100000,0))+W_SUB*B143+W_SEC*C143*(1-B143)+W_SIZE*D143+W_PROF*E143+W_AH*F143+W_REC*G143+W_CS*H143+W_PE*I143)))+ROW()/1000000</f>
        <v/>
      </c>
      <c r="AA143" s="220">
        <f>Database!B132</f>
        <v/>
      </c>
      <c r="AB143" s="220">
        <f>Database!D132</f>
        <v/>
      </c>
      <c r="AC143" s="220">
        <f>Database!E132</f>
        <v/>
      </c>
      <c r="AD143" s="220">
        <f>Database!I132</f>
        <v/>
      </c>
      <c r="AE143" s="220">
        <f>Database!BG132</f>
        <v/>
      </c>
      <c r="AF143" s="220">
        <f>Database!BM132</f>
        <v/>
      </c>
      <c r="AG143" s="220">
        <f>Database!H132</f>
        <v/>
      </c>
      <c r="AH143" s="220">
        <f>Database!BH132</f>
        <v/>
      </c>
    </row>
    <row r="144">
      <c r="A144" s="220">
        <f>Database!B144</f>
        <v/>
      </c>
      <c r="B144" s="220">
        <f>IF(AND(Screener!$D$8&lt;&gt;"",Database!$E144=Screener!$D$8),1,0)</f>
        <v/>
      </c>
      <c r="C144" s="220">
        <f>IF(AND(Screener!$D$7&lt;&gt;"",Database!$D144=Screener!$D$7),1,0)</f>
        <v/>
      </c>
      <c r="D144" s="220">
        <f>IF(OR(N(Database!$I144)&lt;=0,N(Screener!$D$9)&lt;=0),0,MAX(0,1-ABS(LOG10(N(Database!$I144)/Screener!$D$9))/W_SIZEHW))</f>
        <v/>
      </c>
      <c r="E144" s="220">
        <f>IF(OR(Database!$BG144="",Screener!$D$10=""),0,IF(Database!$BG144=Screener!$D$10,1,0))</f>
        <v/>
      </c>
      <c r="F144" s="220">
        <f>IF(OR(Database!$BM144="",Screener!$D$11=""),0,IF(Database!$BM144=Screener!$D$11,1,0))</f>
        <v/>
      </c>
      <c r="G144" s="220">
        <f>IF(OR(Database!$H144="",N(Screener!$D$12)&lt;=0),0,MAX(0,1-(N(Screener!$D$12)-Database!$H144)/W_RECD))</f>
        <v/>
      </c>
      <c r="H144" s="220">
        <f>IF($U$1="",0,N(ISNUMBER(SEARCH($U$1,Database!$AC144&amp;""))))+IF($V$1="",0,N(ISNUMBER(SEARCH($V$1,Database!$AC144&amp;""))))+IF($W$1="",0,N(ISNUMBER(SEARCH($W$1,Database!$AC144&amp;""))))+IF($X$1="",0,N(ISNUMBER(SEARCH($X$1,Database!$AC144&amp;""))))+IF($Y$1="",0,N(ISNUMBER(SEARCH($Y$1,Database!$AC144&amp;""))))+IF(Screener!$B$17="",0,N(ISNUMBER(SEARCH(LOWER(Screener!$B$17),Database!$AC144&amp;""))))</f>
        <v/>
      </c>
      <c r="I144" s="220">
        <f>IF(OR(N(Database!$BH144)&lt;=0,N(Screener!$D$13)&lt;=0),0,MAX(0,1-ABS(LOG10(N(Database!$BH144)/Screener!$D$13))/W_PEHW))</f>
        <v/>
      </c>
      <c r="J144" s="220">
        <f>IF(OR(N(Database!$S144)&lt;=0,N(Screener!$D$14)&lt;=0),0,MAX(0,1-ABS(LOG10(Database!$S144/Screener!$D$14))/0.6))</f>
        <v/>
      </c>
      <c r="K144" s="220">
        <f>IF(Database!$B144=Screener!$B$5,-999999,IF(ISNUMBER(SEARCH(","&amp;Database!$A144&amp;",",","&amp;SUBSTITUTE(Screener!$D$17," ","")&amp;",")),2000000,IF(IF(OR(Screener!$B$18="All",AND(Screener!$B$18="With A-share",(Database!$BM144="Y")),AND(Screener!$B$18="Without A-share",NOT((Database!$BM144="Y")))),1,0)=0,-999999,IF(Screener!$B$16="cornerstone overlap first",H144*100000,IF(Screener!$B$16="demand-similar first",J144*100000,0))+W_SUB*B144+W_SEC*C144*(1-B144)+W_SIZE*D144+W_PROF*E144+W_AH*F144+W_REC*G144+W_CS*H144+W_PE*I144)))+ROW()/1000000</f>
        <v/>
      </c>
      <c r="AA144" s="220">
        <f>Database!B133</f>
        <v/>
      </c>
      <c r="AB144" s="220">
        <f>Database!D133</f>
        <v/>
      </c>
      <c r="AC144" s="220">
        <f>Database!E133</f>
        <v/>
      </c>
      <c r="AD144" s="220">
        <f>Database!I133</f>
        <v/>
      </c>
      <c r="AE144" s="220">
        <f>Database!BG133</f>
        <v/>
      </c>
      <c r="AF144" s="220">
        <f>Database!BM133</f>
        <v/>
      </c>
      <c r="AG144" s="220">
        <f>Database!H133</f>
        <v/>
      </c>
      <c r="AH144" s="220">
        <f>Database!BH133</f>
        <v/>
      </c>
    </row>
    <row r="145">
      <c r="A145" s="220">
        <f>Database!B145</f>
        <v/>
      </c>
      <c r="B145" s="220">
        <f>IF(AND(Screener!$D$8&lt;&gt;"",Database!$E145=Screener!$D$8),1,0)</f>
        <v/>
      </c>
      <c r="C145" s="220">
        <f>IF(AND(Screener!$D$7&lt;&gt;"",Database!$D145=Screener!$D$7),1,0)</f>
        <v/>
      </c>
      <c r="D145" s="220">
        <f>IF(OR(N(Database!$I145)&lt;=0,N(Screener!$D$9)&lt;=0),0,MAX(0,1-ABS(LOG10(N(Database!$I145)/Screener!$D$9))/W_SIZEHW))</f>
        <v/>
      </c>
      <c r="E145" s="220">
        <f>IF(OR(Database!$BG145="",Screener!$D$10=""),0,IF(Database!$BG145=Screener!$D$10,1,0))</f>
        <v/>
      </c>
      <c r="F145" s="220">
        <f>IF(OR(Database!$BM145="",Screener!$D$11=""),0,IF(Database!$BM145=Screener!$D$11,1,0))</f>
        <v/>
      </c>
      <c r="G145" s="220">
        <f>IF(OR(Database!$H145="",N(Screener!$D$12)&lt;=0),0,MAX(0,1-(N(Screener!$D$12)-Database!$H145)/W_RECD))</f>
        <v/>
      </c>
      <c r="H145" s="220">
        <f>IF($U$1="",0,N(ISNUMBER(SEARCH($U$1,Database!$AC145&amp;""))))+IF($V$1="",0,N(ISNUMBER(SEARCH($V$1,Database!$AC145&amp;""))))+IF($W$1="",0,N(ISNUMBER(SEARCH($W$1,Database!$AC145&amp;""))))+IF($X$1="",0,N(ISNUMBER(SEARCH($X$1,Database!$AC145&amp;""))))+IF($Y$1="",0,N(ISNUMBER(SEARCH($Y$1,Database!$AC145&amp;""))))+IF(Screener!$B$17="",0,N(ISNUMBER(SEARCH(LOWER(Screener!$B$17),Database!$AC145&amp;""))))</f>
        <v/>
      </c>
      <c r="I145" s="220">
        <f>IF(OR(N(Database!$BH145)&lt;=0,N(Screener!$D$13)&lt;=0),0,MAX(0,1-ABS(LOG10(N(Database!$BH145)/Screener!$D$13))/W_PEHW))</f>
        <v/>
      </c>
      <c r="J145" s="220">
        <f>IF(OR(N(Database!$S145)&lt;=0,N(Screener!$D$14)&lt;=0),0,MAX(0,1-ABS(LOG10(Database!$S145/Screener!$D$14))/0.6))</f>
        <v/>
      </c>
      <c r="K145" s="220">
        <f>IF(Database!$B145=Screener!$B$5,-999999,IF(ISNUMBER(SEARCH(","&amp;Database!$A145&amp;",",","&amp;SUBSTITUTE(Screener!$D$17," ","")&amp;",")),2000000,IF(IF(OR(Screener!$B$18="All",AND(Screener!$B$18="With A-share",(Database!$BM145="Y")),AND(Screener!$B$18="Without A-share",NOT((Database!$BM145="Y")))),1,0)=0,-999999,IF(Screener!$B$16="cornerstone overlap first",H145*100000,IF(Screener!$B$16="demand-similar first",J145*100000,0))+W_SUB*B145+W_SEC*C145*(1-B145)+W_SIZE*D145+W_PROF*E145+W_AH*F145+W_REC*G145+W_CS*H145+W_PE*I145)))+ROW()/1000000</f>
        <v/>
      </c>
      <c r="AA145" s="220">
        <f>Database!B134</f>
        <v/>
      </c>
      <c r="AB145" s="220">
        <f>Database!D134</f>
        <v/>
      </c>
      <c r="AC145" s="220">
        <f>Database!E134</f>
        <v/>
      </c>
      <c r="AD145" s="220">
        <f>Database!I134</f>
        <v/>
      </c>
      <c r="AE145" s="220">
        <f>Database!BG134</f>
        <v/>
      </c>
      <c r="AF145" s="220">
        <f>Database!BM134</f>
        <v/>
      </c>
      <c r="AG145" s="220">
        <f>Database!H134</f>
        <v/>
      </c>
      <c r="AH145" s="220">
        <f>Database!BH134</f>
        <v/>
      </c>
    </row>
    <row r="146">
      <c r="A146" s="220">
        <f>Database!B146</f>
        <v/>
      </c>
      <c r="B146" s="220">
        <f>IF(AND(Screener!$D$8&lt;&gt;"",Database!$E146=Screener!$D$8),1,0)</f>
        <v/>
      </c>
      <c r="C146" s="220">
        <f>IF(AND(Screener!$D$7&lt;&gt;"",Database!$D146=Screener!$D$7),1,0)</f>
        <v/>
      </c>
      <c r="D146" s="220">
        <f>IF(OR(N(Database!$I146)&lt;=0,N(Screener!$D$9)&lt;=0),0,MAX(0,1-ABS(LOG10(N(Database!$I146)/Screener!$D$9))/W_SIZEHW))</f>
        <v/>
      </c>
      <c r="E146" s="220">
        <f>IF(OR(Database!$BG146="",Screener!$D$10=""),0,IF(Database!$BG146=Screener!$D$10,1,0))</f>
        <v/>
      </c>
      <c r="F146" s="220">
        <f>IF(OR(Database!$BM146="",Screener!$D$11=""),0,IF(Database!$BM146=Screener!$D$11,1,0))</f>
        <v/>
      </c>
      <c r="G146" s="220">
        <f>IF(OR(Database!$H146="",N(Screener!$D$12)&lt;=0),0,MAX(0,1-(N(Screener!$D$12)-Database!$H146)/W_RECD))</f>
        <v/>
      </c>
      <c r="H146" s="220">
        <f>IF($U$1="",0,N(ISNUMBER(SEARCH($U$1,Database!$AC146&amp;""))))+IF($V$1="",0,N(ISNUMBER(SEARCH($V$1,Database!$AC146&amp;""))))+IF($W$1="",0,N(ISNUMBER(SEARCH($W$1,Database!$AC146&amp;""))))+IF($X$1="",0,N(ISNUMBER(SEARCH($X$1,Database!$AC146&amp;""))))+IF($Y$1="",0,N(ISNUMBER(SEARCH($Y$1,Database!$AC146&amp;""))))+IF(Screener!$B$17="",0,N(ISNUMBER(SEARCH(LOWER(Screener!$B$17),Database!$AC146&amp;""))))</f>
        <v/>
      </c>
      <c r="I146" s="220">
        <f>IF(OR(N(Database!$BH146)&lt;=0,N(Screener!$D$13)&lt;=0),0,MAX(0,1-ABS(LOG10(N(Database!$BH146)/Screener!$D$13))/W_PEHW))</f>
        <v/>
      </c>
      <c r="J146" s="220">
        <f>IF(OR(N(Database!$S146)&lt;=0,N(Screener!$D$14)&lt;=0),0,MAX(0,1-ABS(LOG10(Database!$S146/Screener!$D$14))/0.6))</f>
        <v/>
      </c>
      <c r="K146" s="220">
        <f>IF(Database!$B146=Screener!$B$5,-999999,IF(ISNUMBER(SEARCH(","&amp;Database!$A146&amp;",",","&amp;SUBSTITUTE(Screener!$D$17," ","")&amp;",")),2000000,IF(IF(OR(Screener!$B$18="All",AND(Screener!$B$18="With A-share",(Database!$BM146="Y")),AND(Screener!$B$18="Without A-share",NOT((Database!$BM146="Y")))),1,0)=0,-999999,IF(Screener!$B$16="cornerstone overlap first",H146*100000,IF(Screener!$B$16="demand-similar first",J146*100000,0))+W_SUB*B146+W_SEC*C146*(1-B146)+W_SIZE*D146+W_PROF*E146+W_AH*F146+W_REC*G146+W_CS*H146+W_PE*I146)))+ROW()/1000000</f>
        <v/>
      </c>
      <c r="AA146" s="220">
        <f>Database!B135</f>
        <v/>
      </c>
      <c r="AB146" s="220">
        <f>Database!D135</f>
        <v/>
      </c>
      <c r="AC146" s="220">
        <f>Database!E135</f>
        <v/>
      </c>
      <c r="AD146" s="220">
        <f>Database!I135</f>
        <v/>
      </c>
      <c r="AE146" s="220">
        <f>Database!BG135</f>
        <v/>
      </c>
      <c r="AF146" s="220">
        <f>Database!BM135</f>
        <v/>
      </c>
      <c r="AG146" s="220">
        <f>Database!H135</f>
        <v/>
      </c>
      <c r="AH146" s="220">
        <f>Database!BH135</f>
        <v/>
      </c>
    </row>
    <row r="147">
      <c r="A147" s="220">
        <f>Database!B147</f>
        <v/>
      </c>
      <c r="B147" s="220">
        <f>IF(AND(Screener!$D$8&lt;&gt;"",Database!$E147=Screener!$D$8),1,0)</f>
        <v/>
      </c>
      <c r="C147" s="220">
        <f>IF(AND(Screener!$D$7&lt;&gt;"",Database!$D147=Screener!$D$7),1,0)</f>
        <v/>
      </c>
      <c r="D147" s="220">
        <f>IF(OR(N(Database!$I147)&lt;=0,N(Screener!$D$9)&lt;=0),0,MAX(0,1-ABS(LOG10(N(Database!$I147)/Screener!$D$9))/W_SIZEHW))</f>
        <v/>
      </c>
      <c r="E147" s="220">
        <f>IF(OR(Database!$BG147="",Screener!$D$10=""),0,IF(Database!$BG147=Screener!$D$10,1,0))</f>
        <v/>
      </c>
      <c r="F147" s="220">
        <f>IF(OR(Database!$BM147="",Screener!$D$11=""),0,IF(Database!$BM147=Screener!$D$11,1,0))</f>
        <v/>
      </c>
      <c r="G147" s="220">
        <f>IF(OR(Database!$H147="",N(Screener!$D$12)&lt;=0),0,MAX(0,1-(N(Screener!$D$12)-Database!$H147)/W_RECD))</f>
        <v/>
      </c>
      <c r="H147" s="220">
        <f>IF($U$1="",0,N(ISNUMBER(SEARCH($U$1,Database!$AC147&amp;""))))+IF($V$1="",0,N(ISNUMBER(SEARCH($V$1,Database!$AC147&amp;""))))+IF($W$1="",0,N(ISNUMBER(SEARCH($W$1,Database!$AC147&amp;""))))+IF($X$1="",0,N(ISNUMBER(SEARCH($X$1,Database!$AC147&amp;""))))+IF($Y$1="",0,N(ISNUMBER(SEARCH($Y$1,Database!$AC147&amp;""))))+IF(Screener!$B$17="",0,N(ISNUMBER(SEARCH(LOWER(Screener!$B$17),Database!$AC147&amp;""))))</f>
        <v/>
      </c>
      <c r="I147" s="220">
        <f>IF(OR(N(Database!$BH147)&lt;=0,N(Screener!$D$13)&lt;=0),0,MAX(0,1-ABS(LOG10(N(Database!$BH147)/Screener!$D$13))/W_PEHW))</f>
        <v/>
      </c>
      <c r="J147" s="220">
        <f>IF(OR(N(Database!$S147)&lt;=0,N(Screener!$D$14)&lt;=0),0,MAX(0,1-ABS(LOG10(Database!$S147/Screener!$D$14))/0.6))</f>
        <v/>
      </c>
      <c r="K147" s="220">
        <f>IF(Database!$B147=Screener!$B$5,-999999,IF(ISNUMBER(SEARCH(","&amp;Database!$A147&amp;",",","&amp;SUBSTITUTE(Screener!$D$17," ","")&amp;",")),2000000,IF(IF(OR(Screener!$B$18="All",AND(Screener!$B$18="With A-share",(Database!$BM147="Y")),AND(Screener!$B$18="Without A-share",NOT((Database!$BM147="Y")))),1,0)=0,-999999,IF(Screener!$B$16="cornerstone overlap first",H147*100000,IF(Screener!$B$16="demand-similar first",J147*100000,0))+W_SUB*B147+W_SEC*C147*(1-B147)+W_SIZE*D147+W_PROF*E147+W_AH*F147+W_REC*G147+W_CS*H147+W_PE*I147)))+ROW()/1000000</f>
        <v/>
      </c>
      <c r="AA147" s="220">
        <f>Database!B136</f>
        <v/>
      </c>
      <c r="AB147" s="220">
        <f>Database!D136</f>
        <v/>
      </c>
      <c r="AC147" s="220">
        <f>Database!E136</f>
        <v/>
      </c>
      <c r="AD147" s="220">
        <f>Database!I136</f>
        <v/>
      </c>
      <c r="AE147" s="220">
        <f>Database!BG136</f>
        <v/>
      </c>
      <c r="AF147" s="220">
        <f>Database!BM136</f>
        <v/>
      </c>
      <c r="AG147" s="220">
        <f>Database!H136</f>
        <v/>
      </c>
      <c r="AH147" s="220">
        <f>Database!BH136</f>
        <v/>
      </c>
    </row>
    <row r="148">
      <c r="A148" s="220">
        <f>Database!B148</f>
        <v/>
      </c>
      <c r="B148" s="220">
        <f>IF(AND(Screener!$D$8&lt;&gt;"",Database!$E148=Screener!$D$8),1,0)</f>
        <v/>
      </c>
      <c r="C148" s="220">
        <f>IF(AND(Screener!$D$7&lt;&gt;"",Database!$D148=Screener!$D$7),1,0)</f>
        <v/>
      </c>
      <c r="D148" s="220">
        <f>IF(OR(N(Database!$I148)&lt;=0,N(Screener!$D$9)&lt;=0),0,MAX(0,1-ABS(LOG10(N(Database!$I148)/Screener!$D$9))/W_SIZEHW))</f>
        <v/>
      </c>
      <c r="E148" s="220">
        <f>IF(OR(Database!$BG148="",Screener!$D$10=""),0,IF(Database!$BG148=Screener!$D$10,1,0))</f>
        <v/>
      </c>
      <c r="F148" s="220">
        <f>IF(OR(Database!$BM148="",Screener!$D$11=""),0,IF(Database!$BM148=Screener!$D$11,1,0))</f>
        <v/>
      </c>
      <c r="G148" s="220">
        <f>IF(OR(Database!$H148="",N(Screener!$D$12)&lt;=0),0,MAX(0,1-(N(Screener!$D$12)-Database!$H148)/W_RECD))</f>
        <v/>
      </c>
      <c r="H148" s="220">
        <f>IF($U$1="",0,N(ISNUMBER(SEARCH($U$1,Database!$AC148&amp;""))))+IF($V$1="",0,N(ISNUMBER(SEARCH($V$1,Database!$AC148&amp;""))))+IF($W$1="",0,N(ISNUMBER(SEARCH($W$1,Database!$AC148&amp;""))))+IF($X$1="",0,N(ISNUMBER(SEARCH($X$1,Database!$AC148&amp;""))))+IF($Y$1="",0,N(ISNUMBER(SEARCH($Y$1,Database!$AC148&amp;""))))+IF(Screener!$B$17="",0,N(ISNUMBER(SEARCH(LOWER(Screener!$B$17),Database!$AC148&amp;""))))</f>
        <v/>
      </c>
      <c r="I148" s="220">
        <f>IF(OR(N(Database!$BH148)&lt;=0,N(Screener!$D$13)&lt;=0),0,MAX(0,1-ABS(LOG10(N(Database!$BH148)/Screener!$D$13))/W_PEHW))</f>
        <v/>
      </c>
      <c r="J148" s="220">
        <f>IF(OR(N(Database!$S148)&lt;=0,N(Screener!$D$14)&lt;=0),0,MAX(0,1-ABS(LOG10(Database!$S148/Screener!$D$14))/0.6))</f>
        <v/>
      </c>
      <c r="K148" s="220">
        <f>IF(Database!$B148=Screener!$B$5,-999999,IF(ISNUMBER(SEARCH(","&amp;Database!$A148&amp;",",","&amp;SUBSTITUTE(Screener!$D$17," ","")&amp;",")),2000000,IF(IF(OR(Screener!$B$18="All",AND(Screener!$B$18="With A-share",(Database!$BM148="Y")),AND(Screener!$B$18="Without A-share",NOT((Database!$BM148="Y")))),1,0)=0,-999999,IF(Screener!$B$16="cornerstone overlap first",H148*100000,IF(Screener!$B$16="demand-similar first",J148*100000,0))+W_SUB*B148+W_SEC*C148*(1-B148)+W_SIZE*D148+W_PROF*E148+W_AH*F148+W_REC*G148+W_CS*H148+W_PE*I148)))+ROW()/1000000</f>
        <v/>
      </c>
      <c r="AA148" s="220">
        <f>Database!B137</f>
        <v/>
      </c>
      <c r="AB148" s="220">
        <f>Database!D137</f>
        <v/>
      </c>
      <c r="AC148" s="220">
        <f>Database!E137</f>
        <v/>
      </c>
      <c r="AD148" s="220">
        <f>Database!I137</f>
        <v/>
      </c>
      <c r="AE148" s="220">
        <f>Database!BG137</f>
        <v/>
      </c>
      <c r="AF148" s="220">
        <f>Database!BM137</f>
        <v/>
      </c>
      <c r="AG148" s="220">
        <f>Database!H137</f>
        <v/>
      </c>
      <c r="AH148" s="220">
        <f>Database!BH137</f>
        <v/>
      </c>
    </row>
    <row r="149">
      <c r="A149" s="220">
        <f>Database!B149</f>
        <v/>
      </c>
      <c r="B149" s="220">
        <f>IF(AND(Screener!$D$8&lt;&gt;"",Database!$E149=Screener!$D$8),1,0)</f>
        <v/>
      </c>
      <c r="C149" s="220">
        <f>IF(AND(Screener!$D$7&lt;&gt;"",Database!$D149=Screener!$D$7),1,0)</f>
        <v/>
      </c>
      <c r="D149" s="220">
        <f>IF(OR(N(Database!$I149)&lt;=0,N(Screener!$D$9)&lt;=0),0,MAX(0,1-ABS(LOG10(N(Database!$I149)/Screener!$D$9))/W_SIZEHW))</f>
        <v/>
      </c>
      <c r="E149" s="220">
        <f>IF(OR(Database!$BG149="",Screener!$D$10=""),0,IF(Database!$BG149=Screener!$D$10,1,0))</f>
        <v/>
      </c>
      <c r="F149" s="220">
        <f>IF(OR(Database!$BM149="",Screener!$D$11=""),0,IF(Database!$BM149=Screener!$D$11,1,0))</f>
        <v/>
      </c>
      <c r="G149" s="220">
        <f>IF(OR(Database!$H149="",N(Screener!$D$12)&lt;=0),0,MAX(0,1-(N(Screener!$D$12)-Database!$H149)/W_RECD))</f>
        <v/>
      </c>
      <c r="H149" s="220">
        <f>IF($U$1="",0,N(ISNUMBER(SEARCH($U$1,Database!$AC149&amp;""))))+IF($V$1="",0,N(ISNUMBER(SEARCH($V$1,Database!$AC149&amp;""))))+IF($W$1="",0,N(ISNUMBER(SEARCH($W$1,Database!$AC149&amp;""))))+IF($X$1="",0,N(ISNUMBER(SEARCH($X$1,Database!$AC149&amp;""))))+IF($Y$1="",0,N(ISNUMBER(SEARCH($Y$1,Database!$AC149&amp;""))))+IF(Screener!$B$17="",0,N(ISNUMBER(SEARCH(LOWER(Screener!$B$17),Database!$AC149&amp;""))))</f>
        <v/>
      </c>
      <c r="I149" s="220">
        <f>IF(OR(N(Database!$BH149)&lt;=0,N(Screener!$D$13)&lt;=0),0,MAX(0,1-ABS(LOG10(N(Database!$BH149)/Screener!$D$13))/W_PEHW))</f>
        <v/>
      </c>
      <c r="J149" s="220">
        <f>IF(OR(N(Database!$S149)&lt;=0,N(Screener!$D$14)&lt;=0),0,MAX(0,1-ABS(LOG10(Database!$S149/Screener!$D$14))/0.6))</f>
        <v/>
      </c>
      <c r="K149" s="220">
        <f>IF(Database!$B149=Screener!$B$5,-999999,IF(ISNUMBER(SEARCH(","&amp;Database!$A149&amp;",",","&amp;SUBSTITUTE(Screener!$D$17," ","")&amp;",")),2000000,IF(IF(OR(Screener!$B$18="All",AND(Screener!$B$18="With A-share",(Database!$BM149="Y")),AND(Screener!$B$18="Without A-share",NOT((Database!$BM149="Y")))),1,0)=0,-999999,IF(Screener!$B$16="cornerstone overlap first",H149*100000,IF(Screener!$B$16="demand-similar first",J149*100000,0))+W_SUB*B149+W_SEC*C149*(1-B149)+W_SIZE*D149+W_PROF*E149+W_AH*F149+W_REC*G149+W_CS*H149+W_PE*I149)))+ROW()/1000000</f>
        <v/>
      </c>
      <c r="AA149" s="220">
        <f>Database!B138</f>
        <v/>
      </c>
      <c r="AB149" s="220">
        <f>Database!D138</f>
        <v/>
      </c>
      <c r="AC149" s="220">
        <f>Database!E138</f>
        <v/>
      </c>
      <c r="AD149" s="220">
        <f>Database!I138</f>
        <v/>
      </c>
      <c r="AE149" s="220">
        <f>Database!BG138</f>
        <v/>
      </c>
      <c r="AF149" s="220">
        <f>Database!BM138</f>
        <v/>
      </c>
      <c r="AG149" s="220">
        <f>Database!H138</f>
        <v/>
      </c>
      <c r="AH149" s="220">
        <f>Database!BH138</f>
        <v/>
      </c>
    </row>
    <row r="150">
      <c r="A150" s="220">
        <f>Database!B150</f>
        <v/>
      </c>
      <c r="B150" s="220">
        <f>IF(AND(Screener!$D$8&lt;&gt;"",Database!$E150=Screener!$D$8),1,0)</f>
        <v/>
      </c>
      <c r="C150" s="220">
        <f>IF(AND(Screener!$D$7&lt;&gt;"",Database!$D150=Screener!$D$7),1,0)</f>
        <v/>
      </c>
      <c r="D150" s="220">
        <f>IF(OR(N(Database!$I150)&lt;=0,N(Screener!$D$9)&lt;=0),0,MAX(0,1-ABS(LOG10(N(Database!$I150)/Screener!$D$9))/W_SIZEHW))</f>
        <v/>
      </c>
      <c r="E150" s="220">
        <f>IF(OR(Database!$BG150="",Screener!$D$10=""),0,IF(Database!$BG150=Screener!$D$10,1,0))</f>
        <v/>
      </c>
      <c r="F150" s="220">
        <f>IF(OR(Database!$BM150="",Screener!$D$11=""),0,IF(Database!$BM150=Screener!$D$11,1,0))</f>
        <v/>
      </c>
      <c r="G150" s="220">
        <f>IF(OR(Database!$H150="",N(Screener!$D$12)&lt;=0),0,MAX(0,1-(N(Screener!$D$12)-Database!$H150)/W_RECD))</f>
        <v/>
      </c>
      <c r="H150" s="220">
        <f>IF($U$1="",0,N(ISNUMBER(SEARCH($U$1,Database!$AC150&amp;""))))+IF($V$1="",0,N(ISNUMBER(SEARCH($V$1,Database!$AC150&amp;""))))+IF($W$1="",0,N(ISNUMBER(SEARCH($W$1,Database!$AC150&amp;""))))+IF($X$1="",0,N(ISNUMBER(SEARCH($X$1,Database!$AC150&amp;""))))+IF($Y$1="",0,N(ISNUMBER(SEARCH($Y$1,Database!$AC150&amp;""))))+IF(Screener!$B$17="",0,N(ISNUMBER(SEARCH(LOWER(Screener!$B$17),Database!$AC150&amp;""))))</f>
        <v/>
      </c>
      <c r="I150" s="220">
        <f>IF(OR(N(Database!$BH150)&lt;=0,N(Screener!$D$13)&lt;=0),0,MAX(0,1-ABS(LOG10(N(Database!$BH150)/Screener!$D$13))/W_PEHW))</f>
        <v/>
      </c>
      <c r="J150" s="220">
        <f>IF(OR(N(Database!$S150)&lt;=0,N(Screener!$D$14)&lt;=0),0,MAX(0,1-ABS(LOG10(Database!$S150/Screener!$D$14))/0.6))</f>
        <v/>
      </c>
      <c r="K150" s="220">
        <f>IF(Database!$B150=Screener!$B$5,-999999,IF(ISNUMBER(SEARCH(","&amp;Database!$A150&amp;",",","&amp;SUBSTITUTE(Screener!$D$17," ","")&amp;",")),2000000,IF(IF(OR(Screener!$B$18="All",AND(Screener!$B$18="With A-share",(Database!$BM150="Y")),AND(Screener!$B$18="Without A-share",NOT((Database!$BM150="Y")))),1,0)=0,-999999,IF(Screener!$B$16="cornerstone overlap first",H150*100000,IF(Screener!$B$16="demand-similar first",J150*100000,0))+W_SUB*B150+W_SEC*C150*(1-B150)+W_SIZE*D150+W_PROF*E150+W_AH*F150+W_REC*G150+W_CS*H150+W_PE*I150)))+ROW()/1000000</f>
        <v/>
      </c>
      <c r="AA150" s="220">
        <f>Database!B139</f>
        <v/>
      </c>
      <c r="AB150" s="220">
        <f>Database!D139</f>
        <v/>
      </c>
      <c r="AC150" s="220">
        <f>Database!E139</f>
        <v/>
      </c>
      <c r="AD150" s="220">
        <f>Database!I139</f>
        <v/>
      </c>
      <c r="AE150" s="220">
        <f>Database!BG139</f>
        <v/>
      </c>
      <c r="AF150" s="220">
        <f>Database!BM139</f>
        <v/>
      </c>
      <c r="AG150" s="220">
        <f>Database!H139</f>
        <v/>
      </c>
      <c r="AH150" s="220">
        <f>Database!BH139</f>
        <v/>
      </c>
    </row>
    <row r="151">
      <c r="A151" s="220">
        <f>Database!B151</f>
        <v/>
      </c>
      <c r="B151" s="220">
        <f>IF(AND(Screener!$D$8&lt;&gt;"",Database!$E151=Screener!$D$8),1,0)</f>
        <v/>
      </c>
      <c r="C151" s="220">
        <f>IF(AND(Screener!$D$7&lt;&gt;"",Database!$D151=Screener!$D$7),1,0)</f>
        <v/>
      </c>
      <c r="D151" s="220">
        <f>IF(OR(N(Database!$I151)&lt;=0,N(Screener!$D$9)&lt;=0),0,MAX(0,1-ABS(LOG10(N(Database!$I151)/Screener!$D$9))/W_SIZEHW))</f>
        <v/>
      </c>
      <c r="E151" s="220">
        <f>IF(OR(Database!$BG151="",Screener!$D$10=""),0,IF(Database!$BG151=Screener!$D$10,1,0))</f>
        <v/>
      </c>
      <c r="F151" s="220">
        <f>IF(OR(Database!$BM151="",Screener!$D$11=""),0,IF(Database!$BM151=Screener!$D$11,1,0))</f>
        <v/>
      </c>
      <c r="G151" s="220">
        <f>IF(OR(Database!$H151="",N(Screener!$D$12)&lt;=0),0,MAX(0,1-(N(Screener!$D$12)-Database!$H151)/W_RECD))</f>
        <v/>
      </c>
      <c r="H151" s="220">
        <f>IF($U$1="",0,N(ISNUMBER(SEARCH($U$1,Database!$AC151&amp;""))))+IF($V$1="",0,N(ISNUMBER(SEARCH($V$1,Database!$AC151&amp;""))))+IF($W$1="",0,N(ISNUMBER(SEARCH($W$1,Database!$AC151&amp;""))))+IF($X$1="",0,N(ISNUMBER(SEARCH($X$1,Database!$AC151&amp;""))))+IF($Y$1="",0,N(ISNUMBER(SEARCH($Y$1,Database!$AC151&amp;""))))+IF(Screener!$B$17="",0,N(ISNUMBER(SEARCH(LOWER(Screener!$B$17),Database!$AC151&amp;""))))</f>
        <v/>
      </c>
      <c r="I151" s="220">
        <f>IF(OR(N(Database!$BH151)&lt;=0,N(Screener!$D$13)&lt;=0),0,MAX(0,1-ABS(LOG10(N(Database!$BH151)/Screener!$D$13))/W_PEHW))</f>
        <v/>
      </c>
      <c r="J151" s="220">
        <f>IF(OR(N(Database!$S151)&lt;=0,N(Screener!$D$14)&lt;=0),0,MAX(0,1-ABS(LOG10(Database!$S151/Screener!$D$14))/0.6))</f>
        <v/>
      </c>
      <c r="K151" s="220">
        <f>IF(Database!$B151=Screener!$B$5,-999999,IF(ISNUMBER(SEARCH(","&amp;Database!$A151&amp;",",","&amp;SUBSTITUTE(Screener!$D$17," ","")&amp;",")),2000000,IF(IF(OR(Screener!$B$18="All",AND(Screener!$B$18="With A-share",(Database!$BM151="Y")),AND(Screener!$B$18="Without A-share",NOT((Database!$BM151="Y")))),1,0)=0,-999999,IF(Screener!$B$16="cornerstone overlap first",H151*100000,IF(Screener!$B$16="demand-similar first",J151*100000,0))+W_SUB*B151+W_SEC*C151*(1-B151)+W_SIZE*D151+W_PROF*E151+W_AH*F151+W_REC*G151+W_CS*H151+W_PE*I151)))+ROW()/1000000</f>
        <v/>
      </c>
      <c r="AA151" s="220">
        <f>Database!B140</f>
        <v/>
      </c>
      <c r="AB151" s="220">
        <f>Database!D140</f>
        <v/>
      </c>
      <c r="AC151" s="220">
        <f>Database!E140</f>
        <v/>
      </c>
      <c r="AD151" s="220">
        <f>Database!I140</f>
        <v/>
      </c>
      <c r="AE151" s="220">
        <f>Database!BG140</f>
        <v/>
      </c>
      <c r="AF151" s="220">
        <f>Database!BM140</f>
        <v/>
      </c>
      <c r="AG151" s="220">
        <f>Database!H140</f>
        <v/>
      </c>
      <c r="AH151" s="220">
        <f>Database!BH140</f>
        <v/>
      </c>
    </row>
    <row r="152">
      <c r="A152" s="220">
        <f>Database!B152</f>
        <v/>
      </c>
      <c r="B152" s="220">
        <f>IF(AND(Screener!$D$8&lt;&gt;"",Database!$E152=Screener!$D$8),1,0)</f>
        <v/>
      </c>
      <c r="C152" s="220">
        <f>IF(AND(Screener!$D$7&lt;&gt;"",Database!$D152=Screener!$D$7),1,0)</f>
        <v/>
      </c>
      <c r="D152" s="220">
        <f>IF(OR(N(Database!$I152)&lt;=0,N(Screener!$D$9)&lt;=0),0,MAX(0,1-ABS(LOG10(N(Database!$I152)/Screener!$D$9))/W_SIZEHW))</f>
        <v/>
      </c>
      <c r="E152" s="220">
        <f>IF(OR(Database!$BG152="",Screener!$D$10=""),0,IF(Database!$BG152=Screener!$D$10,1,0))</f>
        <v/>
      </c>
      <c r="F152" s="220">
        <f>IF(OR(Database!$BM152="",Screener!$D$11=""),0,IF(Database!$BM152=Screener!$D$11,1,0))</f>
        <v/>
      </c>
      <c r="G152" s="220">
        <f>IF(OR(Database!$H152="",N(Screener!$D$12)&lt;=0),0,MAX(0,1-(N(Screener!$D$12)-Database!$H152)/W_RECD))</f>
        <v/>
      </c>
      <c r="H152" s="220">
        <f>IF($U$1="",0,N(ISNUMBER(SEARCH($U$1,Database!$AC152&amp;""))))+IF($V$1="",0,N(ISNUMBER(SEARCH($V$1,Database!$AC152&amp;""))))+IF($W$1="",0,N(ISNUMBER(SEARCH($W$1,Database!$AC152&amp;""))))+IF($X$1="",0,N(ISNUMBER(SEARCH($X$1,Database!$AC152&amp;""))))+IF($Y$1="",0,N(ISNUMBER(SEARCH($Y$1,Database!$AC152&amp;""))))+IF(Screener!$B$17="",0,N(ISNUMBER(SEARCH(LOWER(Screener!$B$17),Database!$AC152&amp;""))))</f>
        <v/>
      </c>
      <c r="I152" s="220">
        <f>IF(OR(N(Database!$BH152)&lt;=0,N(Screener!$D$13)&lt;=0),0,MAX(0,1-ABS(LOG10(N(Database!$BH152)/Screener!$D$13))/W_PEHW))</f>
        <v/>
      </c>
      <c r="J152" s="220">
        <f>IF(OR(N(Database!$S152)&lt;=0,N(Screener!$D$14)&lt;=0),0,MAX(0,1-ABS(LOG10(Database!$S152/Screener!$D$14))/0.6))</f>
        <v/>
      </c>
      <c r="K152" s="220">
        <f>IF(Database!$B152=Screener!$B$5,-999999,IF(ISNUMBER(SEARCH(","&amp;Database!$A152&amp;",",","&amp;SUBSTITUTE(Screener!$D$17," ","")&amp;",")),2000000,IF(IF(OR(Screener!$B$18="All",AND(Screener!$B$18="With A-share",(Database!$BM152="Y")),AND(Screener!$B$18="Without A-share",NOT((Database!$BM152="Y")))),1,0)=0,-999999,IF(Screener!$B$16="cornerstone overlap first",H152*100000,IF(Screener!$B$16="demand-similar first",J152*100000,0))+W_SUB*B152+W_SEC*C152*(1-B152)+W_SIZE*D152+W_PROF*E152+W_AH*F152+W_REC*G152+W_CS*H152+W_PE*I152)))+ROW()/1000000</f>
        <v/>
      </c>
      <c r="AA152" s="220">
        <f>Database!B141</f>
        <v/>
      </c>
      <c r="AB152" s="220">
        <f>Database!D141</f>
        <v/>
      </c>
      <c r="AC152" s="220">
        <f>Database!E141</f>
        <v/>
      </c>
      <c r="AD152" s="220">
        <f>Database!I141</f>
        <v/>
      </c>
      <c r="AE152" s="220">
        <f>Database!BG141</f>
        <v/>
      </c>
      <c r="AF152" s="220">
        <f>Database!BM141</f>
        <v/>
      </c>
      <c r="AG152" s="220">
        <f>Database!H141</f>
        <v/>
      </c>
      <c r="AH152" s="220">
        <f>Database!BH141</f>
        <v/>
      </c>
    </row>
    <row r="153">
      <c r="A153" s="220">
        <f>Database!B153</f>
        <v/>
      </c>
      <c r="B153" s="220">
        <f>IF(AND(Screener!$D$8&lt;&gt;"",Database!$E153=Screener!$D$8),1,0)</f>
        <v/>
      </c>
      <c r="C153" s="220">
        <f>IF(AND(Screener!$D$7&lt;&gt;"",Database!$D153=Screener!$D$7),1,0)</f>
        <v/>
      </c>
      <c r="D153" s="220">
        <f>IF(OR(N(Database!$I153)&lt;=0,N(Screener!$D$9)&lt;=0),0,MAX(0,1-ABS(LOG10(N(Database!$I153)/Screener!$D$9))/W_SIZEHW))</f>
        <v/>
      </c>
      <c r="E153" s="220">
        <f>IF(OR(Database!$BG153="",Screener!$D$10=""),0,IF(Database!$BG153=Screener!$D$10,1,0))</f>
        <v/>
      </c>
      <c r="F153" s="220">
        <f>IF(OR(Database!$BM153="",Screener!$D$11=""),0,IF(Database!$BM153=Screener!$D$11,1,0))</f>
        <v/>
      </c>
      <c r="G153" s="220">
        <f>IF(OR(Database!$H153="",N(Screener!$D$12)&lt;=0),0,MAX(0,1-(N(Screener!$D$12)-Database!$H153)/W_RECD))</f>
        <v/>
      </c>
      <c r="H153" s="220">
        <f>IF($U$1="",0,N(ISNUMBER(SEARCH($U$1,Database!$AC153&amp;""))))+IF($V$1="",0,N(ISNUMBER(SEARCH($V$1,Database!$AC153&amp;""))))+IF($W$1="",0,N(ISNUMBER(SEARCH($W$1,Database!$AC153&amp;""))))+IF($X$1="",0,N(ISNUMBER(SEARCH($X$1,Database!$AC153&amp;""))))+IF($Y$1="",0,N(ISNUMBER(SEARCH($Y$1,Database!$AC153&amp;""))))+IF(Screener!$B$17="",0,N(ISNUMBER(SEARCH(LOWER(Screener!$B$17),Database!$AC153&amp;""))))</f>
        <v/>
      </c>
      <c r="I153" s="220">
        <f>IF(OR(N(Database!$BH153)&lt;=0,N(Screener!$D$13)&lt;=0),0,MAX(0,1-ABS(LOG10(N(Database!$BH153)/Screener!$D$13))/W_PEHW))</f>
        <v/>
      </c>
      <c r="J153" s="220">
        <f>IF(OR(N(Database!$S153)&lt;=0,N(Screener!$D$14)&lt;=0),0,MAX(0,1-ABS(LOG10(Database!$S153/Screener!$D$14))/0.6))</f>
        <v/>
      </c>
      <c r="K153" s="220">
        <f>IF(Database!$B153=Screener!$B$5,-999999,IF(ISNUMBER(SEARCH(","&amp;Database!$A153&amp;",",","&amp;SUBSTITUTE(Screener!$D$17," ","")&amp;",")),2000000,IF(IF(OR(Screener!$B$18="All",AND(Screener!$B$18="With A-share",(Database!$BM153="Y")),AND(Screener!$B$18="Without A-share",NOT((Database!$BM153="Y")))),1,0)=0,-999999,IF(Screener!$B$16="cornerstone overlap first",H153*100000,IF(Screener!$B$16="demand-similar first",J153*100000,0))+W_SUB*B153+W_SEC*C153*(1-B153)+W_SIZE*D153+W_PROF*E153+W_AH*F153+W_REC*G153+W_CS*H153+W_PE*I153)))+ROW()/1000000</f>
        <v/>
      </c>
      <c r="AA153" s="220">
        <f>Database!B142</f>
        <v/>
      </c>
      <c r="AB153" s="220">
        <f>Database!D142</f>
        <v/>
      </c>
      <c r="AC153" s="220">
        <f>Database!E142</f>
        <v/>
      </c>
      <c r="AD153" s="220">
        <f>Database!I142</f>
        <v/>
      </c>
      <c r="AE153" s="220">
        <f>Database!BG142</f>
        <v/>
      </c>
      <c r="AF153" s="220">
        <f>Database!BM142</f>
        <v/>
      </c>
      <c r="AG153" s="220">
        <f>Database!H142</f>
        <v/>
      </c>
      <c r="AH153" s="220">
        <f>Database!BH142</f>
        <v/>
      </c>
    </row>
    <row r="154">
      <c r="A154" s="220">
        <f>Database!B154</f>
        <v/>
      </c>
      <c r="B154" s="220">
        <f>IF(AND(Screener!$D$8&lt;&gt;"",Database!$E154=Screener!$D$8),1,0)</f>
        <v/>
      </c>
      <c r="C154" s="220">
        <f>IF(AND(Screener!$D$7&lt;&gt;"",Database!$D154=Screener!$D$7),1,0)</f>
        <v/>
      </c>
      <c r="D154" s="220">
        <f>IF(OR(N(Database!$I154)&lt;=0,N(Screener!$D$9)&lt;=0),0,MAX(0,1-ABS(LOG10(N(Database!$I154)/Screener!$D$9))/W_SIZEHW))</f>
        <v/>
      </c>
      <c r="E154" s="220">
        <f>IF(OR(Database!$BG154="",Screener!$D$10=""),0,IF(Database!$BG154=Screener!$D$10,1,0))</f>
        <v/>
      </c>
      <c r="F154" s="220">
        <f>IF(OR(Database!$BM154="",Screener!$D$11=""),0,IF(Database!$BM154=Screener!$D$11,1,0))</f>
        <v/>
      </c>
      <c r="G154" s="220">
        <f>IF(OR(Database!$H154="",N(Screener!$D$12)&lt;=0),0,MAX(0,1-(N(Screener!$D$12)-Database!$H154)/W_RECD))</f>
        <v/>
      </c>
      <c r="H154" s="220">
        <f>IF($U$1="",0,N(ISNUMBER(SEARCH($U$1,Database!$AC154&amp;""))))+IF($V$1="",0,N(ISNUMBER(SEARCH($V$1,Database!$AC154&amp;""))))+IF($W$1="",0,N(ISNUMBER(SEARCH($W$1,Database!$AC154&amp;""))))+IF($X$1="",0,N(ISNUMBER(SEARCH($X$1,Database!$AC154&amp;""))))+IF($Y$1="",0,N(ISNUMBER(SEARCH($Y$1,Database!$AC154&amp;""))))+IF(Screener!$B$17="",0,N(ISNUMBER(SEARCH(LOWER(Screener!$B$17),Database!$AC154&amp;""))))</f>
        <v/>
      </c>
      <c r="I154" s="220">
        <f>IF(OR(N(Database!$BH154)&lt;=0,N(Screener!$D$13)&lt;=0),0,MAX(0,1-ABS(LOG10(N(Database!$BH154)/Screener!$D$13))/W_PEHW))</f>
        <v/>
      </c>
      <c r="J154" s="220">
        <f>IF(OR(N(Database!$S154)&lt;=0,N(Screener!$D$14)&lt;=0),0,MAX(0,1-ABS(LOG10(Database!$S154/Screener!$D$14))/0.6))</f>
        <v/>
      </c>
      <c r="K154" s="220">
        <f>IF(Database!$B154=Screener!$B$5,-999999,IF(ISNUMBER(SEARCH(","&amp;Database!$A154&amp;",",","&amp;SUBSTITUTE(Screener!$D$17," ","")&amp;",")),2000000,IF(IF(OR(Screener!$B$18="All",AND(Screener!$B$18="With A-share",(Database!$BM154="Y")),AND(Screener!$B$18="Without A-share",NOT((Database!$BM154="Y")))),1,0)=0,-999999,IF(Screener!$B$16="cornerstone overlap first",H154*100000,IF(Screener!$B$16="demand-similar first",J154*100000,0))+W_SUB*B154+W_SEC*C154*(1-B154)+W_SIZE*D154+W_PROF*E154+W_AH*F154+W_REC*G154+W_CS*H154+W_PE*I154)))+ROW()/1000000</f>
        <v/>
      </c>
      <c r="AA154" s="220">
        <f>Database!B143</f>
        <v/>
      </c>
      <c r="AB154" s="220">
        <f>Database!D143</f>
        <v/>
      </c>
      <c r="AC154" s="220">
        <f>Database!E143</f>
        <v/>
      </c>
      <c r="AD154" s="220">
        <f>Database!I143</f>
        <v/>
      </c>
      <c r="AE154" s="220">
        <f>Database!BG143</f>
        <v/>
      </c>
      <c r="AF154" s="220">
        <f>Database!BM143</f>
        <v/>
      </c>
      <c r="AG154" s="220">
        <f>Database!H143</f>
        <v/>
      </c>
      <c r="AH154" s="220">
        <f>Database!BH143</f>
        <v/>
      </c>
    </row>
    <row r="155">
      <c r="A155" s="220">
        <f>Database!B155</f>
        <v/>
      </c>
      <c r="B155" s="220">
        <f>IF(AND(Screener!$D$8&lt;&gt;"",Database!$E155=Screener!$D$8),1,0)</f>
        <v/>
      </c>
      <c r="C155" s="220">
        <f>IF(AND(Screener!$D$7&lt;&gt;"",Database!$D155=Screener!$D$7),1,0)</f>
        <v/>
      </c>
      <c r="D155" s="220">
        <f>IF(OR(N(Database!$I155)&lt;=0,N(Screener!$D$9)&lt;=0),0,MAX(0,1-ABS(LOG10(N(Database!$I155)/Screener!$D$9))/W_SIZEHW))</f>
        <v/>
      </c>
      <c r="E155" s="220">
        <f>IF(OR(Database!$BG155="",Screener!$D$10=""),0,IF(Database!$BG155=Screener!$D$10,1,0))</f>
        <v/>
      </c>
      <c r="F155" s="220">
        <f>IF(OR(Database!$BM155="",Screener!$D$11=""),0,IF(Database!$BM155=Screener!$D$11,1,0))</f>
        <v/>
      </c>
      <c r="G155" s="220">
        <f>IF(OR(Database!$H155="",N(Screener!$D$12)&lt;=0),0,MAX(0,1-(N(Screener!$D$12)-Database!$H155)/W_RECD))</f>
        <v/>
      </c>
      <c r="H155" s="220">
        <f>IF($U$1="",0,N(ISNUMBER(SEARCH($U$1,Database!$AC155&amp;""))))+IF($V$1="",0,N(ISNUMBER(SEARCH($V$1,Database!$AC155&amp;""))))+IF($W$1="",0,N(ISNUMBER(SEARCH($W$1,Database!$AC155&amp;""))))+IF($X$1="",0,N(ISNUMBER(SEARCH($X$1,Database!$AC155&amp;""))))+IF($Y$1="",0,N(ISNUMBER(SEARCH($Y$1,Database!$AC155&amp;""))))+IF(Screener!$B$17="",0,N(ISNUMBER(SEARCH(LOWER(Screener!$B$17),Database!$AC155&amp;""))))</f>
        <v/>
      </c>
      <c r="I155" s="220">
        <f>IF(OR(N(Database!$BH155)&lt;=0,N(Screener!$D$13)&lt;=0),0,MAX(0,1-ABS(LOG10(N(Database!$BH155)/Screener!$D$13))/W_PEHW))</f>
        <v/>
      </c>
      <c r="J155" s="220">
        <f>IF(OR(N(Database!$S155)&lt;=0,N(Screener!$D$14)&lt;=0),0,MAX(0,1-ABS(LOG10(Database!$S155/Screener!$D$14))/0.6))</f>
        <v/>
      </c>
      <c r="K155" s="220">
        <f>IF(Database!$B155=Screener!$B$5,-999999,IF(ISNUMBER(SEARCH(","&amp;Database!$A155&amp;",",","&amp;SUBSTITUTE(Screener!$D$17," ","")&amp;",")),2000000,IF(IF(OR(Screener!$B$18="All",AND(Screener!$B$18="With A-share",(Database!$BM155="Y")),AND(Screener!$B$18="Without A-share",NOT((Database!$BM155="Y")))),1,0)=0,-999999,IF(Screener!$B$16="cornerstone overlap first",H155*100000,IF(Screener!$B$16="demand-similar first",J155*100000,0))+W_SUB*B155+W_SEC*C155*(1-B155)+W_SIZE*D155+W_PROF*E155+W_AH*F155+W_REC*G155+W_CS*H155+W_PE*I155)))+ROW()/1000000</f>
        <v/>
      </c>
      <c r="AA155" s="220">
        <f>Database!B144</f>
        <v/>
      </c>
      <c r="AB155" s="220">
        <f>Database!D144</f>
        <v/>
      </c>
      <c r="AC155" s="220">
        <f>Database!E144</f>
        <v/>
      </c>
      <c r="AD155" s="220">
        <f>Database!I144</f>
        <v/>
      </c>
      <c r="AE155" s="220">
        <f>Database!BG144</f>
        <v/>
      </c>
      <c r="AF155" s="220">
        <f>Database!BM144</f>
        <v/>
      </c>
      <c r="AG155" s="220">
        <f>Database!H144</f>
        <v/>
      </c>
      <c r="AH155" s="220">
        <f>Database!BH144</f>
        <v/>
      </c>
    </row>
    <row r="156">
      <c r="A156" s="220">
        <f>Database!B156</f>
        <v/>
      </c>
      <c r="B156" s="220">
        <f>IF(AND(Screener!$D$8&lt;&gt;"",Database!$E156=Screener!$D$8),1,0)</f>
        <v/>
      </c>
      <c r="C156" s="220">
        <f>IF(AND(Screener!$D$7&lt;&gt;"",Database!$D156=Screener!$D$7),1,0)</f>
        <v/>
      </c>
      <c r="D156" s="220">
        <f>IF(OR(N(Database!$I156)&lt;=0,N(Screener!$D$9)&lt;=0),0,MAX(0,1-ABS(LOG10(N(Database!$I156)/Screener!$D$9))/W_SIZEHW))</f>
        <v/>
      </c>
      <c r="E156" s="220">
        <f>IF(OR(Database!$BG156="",Screener!$D$10=""),0,IF(Database!$BG156=Screener!$D$10,1,0))</f>
        <v/>
      </c>
      <c r="F156" s="220">
        <f>IF(OR(Database!$BM156="",Screener!$D$11=""),0,IF(Database!$BM156=Screener!$D$11,1,0))</f>
        <v/>
      </c>
      <c r="G156" s="220">
        <f>IF(OR(Database!$H156="",N(Screener!$D$12)&lt;=0),0,MAX(0,1-(N(Screener!$D$12)-Database!$H156)/W_RECD))</f>
        <v/>
      </c>
      <c r="H156" s="220">
        <f>IF($U$1="",0,N(ISNUMBER(SEARCH($U$1,Database!$AC156&amp;""))))+IF($V$1="",0,N(ISNUMBER(SEARCH($V$1,Database!$AC156&amp;""))))+IF($W$1="",0,N(ISNUMBER(SEARCH($W$1,Database!$AC156&amp;""))))+IF($X$1="",0,N(ISNUMBER(SEARCH($X$1,Database!$AC156&amp;""))))+IF($Y$1="",0,N(ISNUMBER(SEARCH($Y$1,Database!$AC156&amp;""))))+IF(Screener!$B$17="",0,N(ISNUMBER(SEARCH(LOWER(Screener!$B$17),Database!$AC156&amp;""))))</f>
        <v/>
      </c>
      <c r="I156" s="220">
        <f>IF(OR(N(Database!$BH156)&lt;=0,N(Screener!$D$13)&lt;=0),0,MAX(0,1-ABS(LOG10(N(Database!$BH156)/Screener!$D$13))/W_PEHW))</f>
        <v/>
      </c>
      <c r="J156" s="220">
        <f>IF(OR(N(Database!$S156)&lt;=0,N(Screener!$D$14)&lt;=0),0,MAX(0,1-ABS(LOG10(Database!$S156/Screener!$D$14))/0.6))</f>
        <v/>
      </c>
      <c r="K156" s="220">
        <f>IF(Database!$B156=Screener!$B$5,-999999,IF(ISNUMBER(SEARCH(","&amp;Database!$A156&amp;",",","&amp;SUBSTITUTE(Screener!$D$17," ","")&amp;",")),2000000,IF(IF(OR(Screener!$B$18="All",AND(Screener!$B$18="With A-share",(Database!$BM156="Y")),AND(Screener!$B$18="Without A-share",NOT((Database!$BM156="Y")))),1,0)=0,-999999,IF(Screener!$B$16="cornerstone overlap first",H156*100000,IF(Screener!$B$16="demand-similar first",J156*100000,0))+W_SUB*B156+W_SEC*C156*(1-B156)+W_SIZE*D156+W_PROF*E156+W_AH*F156+W_REC*G156+W_CS*H156+W_PE*I156)))+ROW()/1000000</f>
        <v/>
      </c>
      <c r="AA156" s="220">
        <f>Database!B145</f>
        <v/>
      </c>
      <c r="AB156" s="220">
        <f>Database!D145</f>
        <v/>
      </c>
      <c r="AC156" s="220">
        <f>Database!E145</f>
        <v/>
      </c>
      <c r="AD156" s="220">
        <f>Database!I145</f>
        <v/>
      </c>
      <c r="AE156" s="220">
        <f>Database!BG145</f>
        <v/>
      </c>
      <c r="AF156" s="220">
        <f>Database!BM145</f>
        <v/>
      </c>
      <c r="AG156" s="220">
        <f>Database!H145</f>
        <v/>
      </c>
      <c r="AH156" s="220">
        <f>Database!BH145</f>
        <v/>
      </c>
    </row>
    <row r="157">
      <c r="A157" s="220">
        <f>Database!B157</f>
        <v/>
      </c>
      <c r="B157" s="220">
        <f>IF(AND(Screener!$D$8&lt;&gt;"",Database!$E157=Screener!$D$8),1,0)</f>
        <v/>
      </c>
      <c r="C157" s="220">
        <f>IF(AND(Screener!$D$7&lt;&gt;"",Database!$D157=Screener!$D$7),1,0)</f>
        <v/>
      </c>
      <c r="D157" s="220">
        <f>IF(OR(N(Database!$I157)&lt;=0,N(Screener!$D$9)&lt;=0),0,MAX(0,1-ABS(LOG10(N(Database!$I157)/Screener!$D$9))/W_SIZEHW))</f>
        <v/>
      </c>
      <c r="E157" s="220">
        <f>IF(OR(Database!$BG157="",Screener!$D$10=""),0,IF(Database!$BG157=Screener!$D$10,1,0))</f>
        <v/>
      </c>
      <c r="F157" s="220">
        <f>IF(OR(Database!$BM157="",Screener!$D$11=""),0,IF(Database!$BM157=Screener!$D$11,1,0))</f>
        <v/>
      </c>
      <c r="G157" s="220">
        <f>IF(OR(Database!$H157="",N(Screener!$D$12)&lt;=0),0,MAX(0,1-(N(Screener!$D$12)-Database!$H157)/W_RECD))</f>
        <v/>
      </c>
      <c r="H157" s="220">
        <f>IF($U$1="",0,N(ISNUMBER(SEARCH($U$1,Database!$AC157&amp;""))))+IF($V$1="",0,N(ISNUMBER(SEARCH($V$1,Database!$AC157&amp;""))))+IF($W$1="",0,N(ISNUMBER(SEARCH($W$1,Database!$AC157&amp;""))))+IF($X$1="",0,N(ISNUMBER(SEARCH($X$1,Database!$AC157&amp;""))))+IF($Y$1="",0,N(ISNUMBER(SEARCH($Y$1,Database!$AC157&amp;""))))+IF(Screener!$B$17="",0,N(ISNUMBER(SEARCH(LOWER(Screener!$B$17),Database!$AC157&amp;""))))</f>
        <v/>
      </c>
      <c r="I157" s="220">
        <f>IF(OR(N(Database!$BH157)&lt;=0,N(Screener!$D$13)&lt;=0),0,MAX(0,1-ABS(LOG10(N(Database!$BH157)/Screener!$D$13))/W_PEHW))</f>
        <v/>
      </c>
      <c r="J157" s="220">
        <f>IF(OR(N(Database!$S157)&lt;=0,N(Screener!$D$14)&lt;=0),0,MAX(0,1-ABS(LOG10(Database!$S157/Screener!$D$14))/0.6))</f>
        <v/>
      </c>
      <c r="K157" s="220">
        <f>IF(Database!$B157=Screener!$B$5,-999999,IF(ISNUMBER(SEARCH(","&amp;Database!$A157&amp;",",","&amp;SUBSTITUTE(Screener!$D$17," ","")&amp;",")),2000000,IF(IF(OR(Screener!$B$18="All",AND(Screener!$B$18="With A-share",(Database!$BM157="Y")),AND(Screener!$B$18="Without A-share",NOT((Database!$BM157="Y")))),1,0)=0,-999999,IF(Screener!$B$16="cornerstone overlap first",H157*100000,IF(Screener!$B$16="demand-similar first",J157*100000,0))+W_SUB*B157+W_SEC*C157*(1-B157)+W_SIZE*D157+W_PROF*E157+W_AH*F157+W_REC*G157+W_CS*H157+W_PE*I157)))+ROW()/1000000</f>
        <v/>
      </c>
      <c r="AA157" s="220">
        <f>Database!B146</f>
        <v/>
      </c>
      <c r="AB157" s="220">
        <f>Database!D146</f>
        <v/>
      </c>
      <c r="AC157" s="220">
        <f>Database!E146</f>
        <v/>
      </c>
      <c r="AD157" s="220">
        <f>Database!I146</f>
        <v/>
      </c>
      <c r="AE157" s="220">
        <f>Database!BG146</f>
        <v/>
      </c>
      <c r="AF157" s="220">
        <f>Database!BM146</f>
        <v/>
      </c>
      <c r="AG157" s="220">
        <f>Database!H146</f>
        <v/>
      </c>
      <c r="AH157" s="220">
        <f>Database!BH146</f>
        <v/>
      </c>
    </row>
    <row r="158">
      <c r="A158" s="220">
        <f>Database!B158</f>
        <v/>
      </c>
      <c r="B158" s="220">
        <f>IF(AND(Screener!$D$8&lt;&gt;"",Database!$E158=Screener!$D$8),1,0)</f>
        <v/>
      </c>
      <c r="C158" s="220">
        <f>IF(AND(Screener!$D$7&lt;&gt;"",Database!$D158=Screener!$D$7),1,0)</f>
        <v/>
      </c>
      <c r="D158" s="220">
        <f>IF(OR(N(Database!$I158)&lt;=0,N(Screener!$D$9)&lt;=0),0,MAX(0,1-ABS(LOG10(N(Database!$I158)/Screener!$D$9))/W_SIZEHW))</f>
        <v/>
      </c>
      <c r="E158" s="220">
        <f>IF(OR(Database!$BG158="",Screener!$D$10=""),0,IF(Database!$BG158=Screener!$D$10,1,0))</f>
        <v/>
      </c>
      <c r="F158" s="220">
        <f>IF(OR(Database!$BM158="",Screener!$D$11=""),0,IF(Database!$BM158=Screener!$D$11,1,0))</f>
        <v/>
      </c>
      <c r="G158" s="220">
        <f>IF(OR(Database!$H158="",N(Screener!$D$12)&lt;=0),0,MAX(0,1-(N(Screener!$D$12)-Database!$H158)/W_RECD))</f>
        <v/>
      </c>
      <c r="H158" s="220">
        <f>IF($U$1="",0,N(ISNUMBER(SEARCH($U$1,Database!$AC158&amp;""))))+IF($V$1="",0,N(ISNUMBER(SEARCH($V$1,Database!$AC158&amp;""))))+IF($W$1="",0,N(ISNUMBER(SEARCH($W$1,Database!$AC158&amp;""))))+IF($X$1="",0,N(ISNUMBER(SEARCH($X$1,Database!$AC158&amp;""))))+IF($Y$1="",0,N(ISNUMBER(SEARCH($Y$1,Database!$AC158&amp;""))))+IF(Screener!$B$17="",0,N(ISNUMBER(SEARCH(LOWER(Screener!$B$17),Database!$AC158&amp;""))))</f>
        <v/>
      </c>
      <c r="I158" s="220">
        <f>IF(OR(N(Database!$BH158)&lt;=0,N(Screener!$D$13)&lt;=0),0,MAX(0,1-ABS(LOG10(N(Database!$BH158)/Screener!$D$13))/W_PEHW))</f>
        <v/>
      </c>
      <c r="J158" s="220">
        <f>IF(OR(N(Database!$S158)&lt;=0,N(Screener!$D$14)&lt;=0),0,MAX(0,1-ABS(LOG10(Database!$S158/Screener!$D$14))/0.6))</f>
        <v/>
      </c>
      <c r="K158" s="220">
        <f>IF(Database!$B158=Screener!$B$5,-999999,IF(ISNUMBER(SEARCH(","&amp;Database!$A158&amp;",",","&amp;SUBSTITUTE(Screener!$D$17," ","")&amp;",")),2000000,IF(IF(OR(Screener!$B$18="All",AND(Screener!$B$18="With A-share",(Database!$BM158="Y")),AND(Screener!$B$18="Without A-share",NOT((Database!$BM158="Y")))),1,0)=0,-999999,IF(Screener!$B$16="cornerstone overlap first",H158*100000,IF(Screener!$B$16="demand-similar first",J158*100000,0))+W_SUB*B158+W_SEC*C158*(1-B158)+W_SIZE*D158+W_PROF*E158+W_AH*F158+W_REC*G158+W_CS*H158+W_PE*I158)))+ROW()/1000000</f>
        <v/>
      </c>
      <c r="AA158" s="220">
        <f>Database!B147</f>
        <v/>
      </c>
      <c r="AB158" s="220">
        <f>Database!D147</f>
        <v/>
      </c>
      <c r="AC158" s="220">
        <f>Database!E147</f>
        <v/>
      </c>
      <c r="AD158" s="220">
        <f>Database!I147</f>
        <v/>
      </c>
      <c r="AE158" s="220">
        <f>Database!BG147</f>
        <v/>
      </c>
      <c r="AF158" s="220">
        <f>Database!BM147</f>
        <v/>
      </c>
      <c r="AG158" s="220">
        <f>Database!H147</f>
        <v/>
      </c>
      <c r="AH158" s="220">
        <f>Database!BH147</f>
        <v/>
      </c>
    </row>
    <row r="159">
      <c r="A159" s="220">
        <f>Database!B159</f>
        <v/>
      </c>
      <c r="B159" s="220">
        <f>IF(AND(Screener!$D$8&lt;&gt;"",Database!$E159=Screener!$D$8),1,0)</f>
        <v/>
      </c>
      <c r="C159" s="220">
        <f>IF(AND(Screener!$D$7&lt;&gt;"",Database!$D159=Screener!$D$7),1,0)</f>
        <v/>
      </c>
      <c r="D159" s="220">
        <f>IF(OR(N(Database!$I159)&lt;=0,N(Screener!$D$9)&lt;=0),0,MAX(0,1-ABS(LOG10(N(Database!$I159)/Screener!$D$9))/W_SIZEHW))</f>
        <v/>
      </c>
      <c r="E159" s="220">
        <f>IF(OR(Database!$BG159="",Screener!$D$10=""),0,IF(Database!$BG159=Screener!$D$10,1,0))</f>
        <v/>
      </c>
      <c r="F159" s="220">
        <f>IF(OR(Database!$BM159="",Screener!$D$11=""),0,IF(Database!$BM159=Screener!$D$11,1,0))</f>
        <v/>
      </c>
      <c r="G159" s="220">
        <f>IF(OR(Database!$H159="",N(Screener!$D$12)&lt;=0),0,MAX(0,1-(N(Screener!$D$12)-Database!$H159)/W_RECD))</f>
        <v/>
      </c>
      <c r="H159" s="220">
        <f>IF($U$1="",0,N(ISNUMBER(SEARCH($U$1,Database!$AC159&amp;""))))+IF($V$1="",0,N(ISNUMBER(SEARCH($V$1,Database!$AC159&amp;""))))+IF($W$1="",0,N(ISNUMBER(SEARCH($W$1,Database!$AC159&amp;""))))+IF($X$1="",0,N(ISNUMBER(SEARCH($X$1,Database!$AC159&amp;""))))+IF($Y$1="",0,N(ISNUMBER(SEARCH($Y$1,Database!$AC159&amp;""))))+IF(Screener!$B$17="",0,N(ISNUMBER(SEARCH(LOWER(Screener!$B$17),Database!$AC159&amp;""))))</f>
        <v/>
      </c>
      <c r="I159" s="220">
        <f>IF(OR(N(Database!$BH159)&lt;=0,N(Screener!$D$13)&lt;=0),0,MAX(0,1-ABS(LOG10(N(Database!$BH159)/Screener!$D$13))/W_PEHW))</f>
        <v/>
      </c>
      <c r="J159" s="220">
        <f>IF(OR(N(Database!$S159)&lt;=0,N(Screener!$D$14)&lt;=0),0,MAX(0,1-ABS(LOG10(Database!$S159/Screener!$D$14))/0.6))</f>
        <v/>
      </c>
      <c r="K159" s="220">
        <f>IF(Database!$B159=Screener!$B$5,-999999,IF(ISNUMBER(SEARCH(","&amp;Database!$A159&amp;",",","&amp;SUBSTITUTE(Screener!$D$17," ","")&amp;",")),2000000,IF(IF(OR(Screener!$B$18="All",AND(Screener!$B$18="With A-share",(Database!$BM159="Y")),AND(Screener!$B$18="Without A-share",NOT((Database!$BM159="Y")))),1,0)=0,-999999,IF(Screener!$B$16="cornerstone overlap first",H159*100000,IF(Screener!$B$16="demand-similar first",J159*100000,0))+W_SUB*B159+W_SEC*C159*(1-B159)+W_SIZE*D159+W_PROF*E159+W_AH*F159+W_REC*G159+W_CS*H159+W_PE*I159)))+ROW()/1000000</f>
        <v/>
      </c>
      <c r="AA159" s="220">
        <f>Database!B148</f>
        <v/>
      </c>
      <c r="AB159" s="220">
        <f>Database!D148</f>
        <v/>
      </c>
      <c r="AC159" s="220">
        <f>Database!E148</f>
        <v/>
      </c>
      <c r="AD159" s="220">
        <f>Database!I148</f>
        <v/>
      </c>
      <c r="AE159" s="220">
        <f>Database!BG148</f>
        <v/>
      </c>
      <c r="AF159" s="220">
        <f>Database!BM148</f>
        <v/>
      </c>
      <c r="AG159" s="220">
        <f>Database!H148</f>
        <v/>
      </c>
      <c r="AH159" s="220">
        <f>Database!BH148</f>
        <v/>
      </c>
    </row>
    <row r="160">
      <c r="A160" s="220">
        <f>Database!B160</f>
        <v/>
      </c>
      <c r="B160" s="220">
        <f>IF(AND(Screener!$D$8&lt;&gt;"",Database!$E160=Screener!$D$8),1,0)</f>
        <v/>
      </c>
      <c r="C160" s="220">
        <f>IF(AND(Screener!$D$7&lt;&gt;"",Database!$D160=Screener!$D$7),1,0)</f>
        <v/>
      </c>
      <c r="D160" s="220">
        <f>IF(OR(N(Database!$I160)&lt;=0,N(Screener!$D$9)&lt;=0),0,MAX(0,1-ABS(LOG10(N(Database!$I160)/Screener!$D$9))/W_SIZEHW))</f>
        <v/>
      </c>
      <c r="E160" s="220">
        <f>IF(OR(Database!$BG160="",Screener!$D$10=""),0,IF(Database!$BG160=Screener!$D$10,1,0))</f>
        <v/>
      </c>
      <c r="F160" s="220">
        <f>IF(OR(Database!$BM160="",Screener!$D$11=""),0,IF(Database!$BM160=Screener!$D$11,1,0))</f>
        <v/>
      </c>
      <c r="G160" s="220">
        <f>IF(OR(Database!$H160="",N(Screener!$D$12)&lt;=0),0,MAX(0,1-(N(Screener!$D$12)-Database!$H160)/W_RECD))</f>
        <v/>
      </c>
      <c r="H160" s="220">
        <f>IF($U$1="",0,N(ISNUMBER(SEARCH($U$1,Database!$AC160&amp;""))))+IF($V$1="",0,N(ISNUMBER(SEARCH($V$1,Database!$AC160&amp;""))))+IF($W$1="",0,N(ISNUMBER(SEARCH($W$1,Database!$AC160&amp;""))))+IF($X$1="",0,N(ISNUMBER(SEARCH($X$1,Database!$AC160&amp;""))))+IF($Y$1="",0,N(ISNUMBER(SEARCH($Y$1,Database!$AC160&amp;""))))+IF(Screener!$B$17="",0,N(ISNUMBER(SEARCH(LOWER(Screener!$B$17),Database!$AC160&amp;""))))</f>
        <v/>
      </c>
      <c r="I160" s="220">
        <f>IF(OR(N(Database!$BH160)&lt;=0,N(Screener!$D$13)&lt;=0),0,MAX(0,1-ABS(LOG10(N(Database!$BH160)/Screener!$D$13))/W_PEHW))</f>
        <v/>
      </c>
      <c r="J160" s="220">
        <f>IF(OR(N(Database!$S160)&lt;=0,N(Screener!$D$14)&lt;=0),0,MAX(0,1-ABS(LOG10(Database!$S160/Screener!$D$14))/0.6))</f>
        <v/>
      </c>
      <c r="K160" s="220">
        <f>IF(Database!$B160=Screener!$B$5,-999999,IF(ISNUMBER(SEARCH(","&amp;Database!$A160&amp;",",","&amp;SUBSTITUTE(Screener!$D$17," ","")&amp;",")),2000000,IF(IF(OR(Screener!$B$18="All",AND(Screener!$B$18="With A-share",(Database!$BM160="Y")),AND(Screener!$B$18="Without A-share",NOT((Database!$BM160="Y")))),1,0)=0,-999999,IF(Screener!$B$16="cornerstone overlap first",H160*100000,IF(Screener!$B$16="demand-similar first",J160*100000,0))+W_SUB*B160+W_SEC*C160*(1-B160)+W_SIZE*D160+W_PROF*E160+W_AH*F160+W_REC*G160+W_CS*H160+W_PE*I160)))+ROW()/1000000</f>
        <v/>
      </c>
      <c r="AA160" s="220">
        <f>Database!B149</f>
        <v/>
      </c>
      <c r="AB160" s="220">
        <f>Database!D149</f>
        <v/>
      </c>
      <c r="AC160" s="220">
        <f>Database!E149</f>
        <v/>
      </c>
      <c r="AD160" s="220">
        <f>Database!I149</f>
        <v/>
      </c>
      <c r="AE160" s="220">
        <f>Database!BG149</f>
        <v/>
      </c>
      <c r="AF160" s="220">
        <f>Database!BM149</f>
        <v/>
      </c>
      <c r="AG160" s="220">
        <f>Database!H149</f>
        <v/>
      </c>
      <c r="AH160" s="220">
        <f>Database!BH149</f>
        <v/>
      </c>
    </row>
    <row r="161">
      <c r="A161" s="220">
        <f>Database!B161</f>
        <v/>
      </c>
      <c r="B161" s="220">
        <f>IF(AND(Screener!$D$8&lt;&gt;"",Database!$E161=Screener!$D$8),1,0)</f>
        <v/>
      </c>
      <c r="C161" s="220">
        <f>IF(AND(Screener!$D$7&lt;&gt;"",Database!$D161=Screener!$D$7),1,0)</f>
        <v/>
      </c>
      <c r="D161" s="220">
        <f>IF(OR(N(Database!$I161)&lt;=0,N(Screener!$D$9)&lt;=0),0,MAX(0,1-ABS(LOG10(N(Database!$I161)/Screener!$D$9))/W_SIZEHW))</f>
        <v/>
      </c>
      <c r="E161" s="220">
        <f>IF(OR(Database!$BG161="",Screener!$D$10=""),0,IF(Database!$BG161=Screener!$D$10,1,0))</f>
        <v/>
      </c>
      <c r="F161" s="220">
        <f>IF(OR(Database!$BM161="",Screener!$D$11=""),0,IF(Database!$BM161=Screener!$D$11,1,0))</f>
        <v/>
      </c>
      <c r="G161" s="220">
        <f>IF(OR(Database!$H161="",N(Screener!$D$12)&lt;=0),0,MAX(0,1-(N(Screener!$D$12)-Database!$H161)/W_RECD))</f>
        <v/>
      </c>
      <c r="H161" s="220">
        <f>IF($U$1="",0,N(ISNUMBER(SEARCH($U$1,Database!$AC161&amp;""))))+IF($V$1="",0,N(ISNUMBER(SEARCH($V$1,Database!$AC161&amp;""))))+IF($W$1="",0,N(ISNUMBER(SEARCH($W$1,Database!$AC161&amp;""))))+IF($X$1="",0,N(ISNUMBER(SEARCH($X$1,Database!$AC161&amp;""))))+IF($Y$1="",0,N(ISNUMBER(SEARCH($Y$1,Database!$AC161&amp;""))))+IF(Screener!$B$17="",0,N(ISNUMBER(SEARCH(LOWER(Screener!$B$17),Database!$AC161&amp;""))))</f>
        <v/>
      </c>
      <c r="I161" s="220">
        <f>IF(OR(N(Database!$BH161)&lt;=0,N(Screener!$D$13)&lt;=0),0,MAX(0,1-ABS(LOG10(N(Database!$BH161)/Screener!$D$13))/W_PEHW))</f>
        <v/>
      </c>
      <c r="J161" s="220">
        <f>IF(OR(N(Database!$S161)&lt;=0,N(Screener!$D$14)&lt;=0),0,MAX(0,1-ABS(LOG10(Database!$S161/Screener!$D$14))/0.6))</f>
        <v/>
      </c>
      <c r="K161" s="220">
        <f>IF(Database!$B161=Screener!$B$5,-999999,IF(ISNUMBER(SEARCH(","&amp;Database!$A161&amp;",",","&amp;SUBSTITUTE(Screener!$D$17," ","")&amp;",")),2000000,IF(IF(OR(Screener!$B$18="All",AND(Screener!$B$18="With A-share",(Database!$BM161="Y")),AND(Screener!$B$18="Without A-share",NOT((Database!$BM161="Y")))),1,0)=0,-999999,IF(Screener!$B$16="cornerstone overlap first",H161*100000,IF(Screener!$B$16="demand-similar first",J161*100000,0))+W_SUB*B161+W_SEC*C161*(1-B161)+W_SIZE*D161+W_PROF*E161+W_AH*F161+W_REC*G161+W_CS*H161+W_PE*I161)))+ROW()/1000000</f>
        <v/>
      </c>
      <c r="AA161" s="220">
        <f>Database!B150</f>
        <v/>
      </c>
      <c r="AB161" s="220">
        <f>Database!D150</f>
        <v/>
      </c>
      <c r="AC161" s="220">
        <f>Database!E150</f>
        <v/>
      </c>
      <c r="AD161" s="220">
        <f>Database!I150</f>
        <v/>
      </c>
      <c r="AE161" s="220">
        <f>Database!BG150</f>
        <v/>
      </c>
      <c r="AF161" s="220">
        <f>Database!BM150</f>
        <v/>
      </c>
      <c r="AG161" s="220">
        <f>Database!H150</f>
        <v/>
      </c>
      <c r="AH161" s="220">
        <f>Database!BH150</f>
        <v/>
      </c>
    </row>
    <row r="162">
      <c r="A162" s="220">
        <f>Database!B162</f>
        <v/>
      </c>
      <c r="B162" s="220">
        <f>IF(AND(Screener!$D$8&lt;&gt;"",Database!$E162=Screener!$D$8),1,0)</f>
        <v/>
      </c>
      <c r="C162" s="220">
        <f>IF(AND(Screener!$D$7&lt;&gt;"",Database!$D162=Screener!$D$7),1,0)</f>
        <v/>
      </c>
      <c r="D162" s="220">
        <f>IF(OR(N(Database!$I162)&lt;=0,N(Screener!$D$9)&lt;=0),0,MAX(0,1-ABS(LOG10(N(Database!$I162)/Screener!$D$9))/W_SIZEHW))</f>
        <v/>
      </c>
      <c r="E162" s="220">
        <f>IF(OR(Database!$BG162="",Screener!$D$10=""),0,IF(Database!$BG162=Screener!$D$10,1,0))</f>
        <v/>
      </c>
      <c r="F162" s="220">
        <f>IF(OR(Database!$BM162="",Screener!$D$11=""),0,IF(Database!$BM162=Screener!$D$11,1,0))</f>
        <v/>
      </c>
      <c r="G162" s="220">
        <f>IF(OR(Database!$H162="",N(Screener!$D$12)&lt;=0),0,MAX(0,1-(N(Screener!$D$12)-Database!$H162)/W_RECD))</f>
        <v/>
      </c>
      <c r="H162" s="220">
        <f>IF($U$1="",0,N(ISNUMBER(SEARCH($U$1,Database!$AC162&amp;""))))+IF($V$1="",0,N(ISNUMBER(SEARCH($V$1,Database!$AC162&amp;""))))+IF($W$1="",0,N(ISNUMBER(SEARCH($W$1,Database!$AC162&amp;""))))+IF($X$1="",0,N(ISNUMBER(SEARCH($X$1,Database!$AC162&amp;""))))+IF($Y$1="",0,N(ISNUMBER(SEARCH($Y$1,Database!$AC162&amp;""))))+IF(Screener!$B$17="",0,N(ISNUMBER(SEARCH(LOWER(Screener!$B$17),Database!$AC162&amp;""))))</f>
        <v/>
      </c>
      <c r="I162" s="220">
        <f>IF(OR(N(Database!$BH162)&lt;=0,N(Screener!$D$13)&lt;=0),0,MAX(0,1-ABS(LOG10(N(Database!$BH162)/Screener!$D$13))/W_PEHW))</f>
        <v/>
      </c>
      <c r="J162" s="220">
        <f>IF(OR(N(Database!$S162)&lt;=0,N(Screener!$D$14)&lt;=0),0,MAX(0,1-ABS(LOG10(Database!$S162/Screener!$D$14))/0.6))</f>
        <v/>
      </c>
      <c r="K162" s="220">
        <f>IF(Database!$B162=Screener!$B$5,-999999,IF(ISNUMBER(SEARCH(","&amp;Database!$A162&amp;",",","&amp;SUBSTITUTE(Screener!$D$17," ","")&amp;",")),2000000,IF(IF(OR(Screener!$B$18="All",AND(Screener!$B$18="With A-share",(Database!$BM162="Y")),AND(Screener!$B$18="Without A-share",NOT((Database!$BM162="Y")))),1,0)=0,-999999,IF(Screener!$B$16="cornerstone overlap first",H162*100000,IF(Screener!$B$16="demand-similar first",J162*100000,0))+W_SUB*B162+W_SEC*C162*(1-B162)+W_SIZE*D162+W_PROF*E162+W_AH*F162+W_REC*G162+W_CS*H162+W_PE*I162)))+ROW()/1000000</f>
        <v/>
      </c>
      <c r="AA162" s="220">
        <f>Database!B151</f>
        <v/>
      </c>
      <c r="AB162" s="220">
        <f>Database!D151</f>
        <v/>
      </c>
      <c r="AC162" s="220">
        <f>Database!E151</f>
        <v/>
      </c>
      <c r="AD162" s="220">
        <f>Database!I151</f>
        <v/>
      </c>
      <c r="AE162" s="220">
        <f>Database!BG151</f>
        <v/>
      </c>
      <c r="AF162" s="220">
        <f>Database!BM151</f>
        <v/>
      </c>
      <c r="AG162" s="220">
        <f>Database!H151</f>
        <v/>
      </c>
      <c r="AH162" s="220">
        <f>Database!BH151</f>
        <v/>
      </c>
    </row>
    <row r="163">
      <c r="A163" s="220">
        <f>Database!B163</f>
        <v/>
      </c>
      <c r="B163" s="220">
        <f>IF(AND(Screener!$D$8&lt;&gt;"",Database!$E163=Screener!$D$8),1,0)</f>
        <v/>
      </c>
      <c r="C163" s="220">
        <f>IF(AND(Screener!$D$7&lt;&gt;"",Database!$D163=Screener!$D$7),1,0)</f>
        <v/>
      </c>
      <c r="D163" s="220">
        <f>IF(OR(N(Database!$I163)&lt;=0,N(Screener!$D$9)&lt;=0),0,MAX(0,1-ABS(LOG10(N(Database!$I163)/Screener!$D$9))/W_SIZEHW))</f>
        <v/>
      </c>
      <c r="E163" s="220">
        <f>IF(OR(Database!$BG163="",Screener!$D$10=""),0,IF(Database!$BG163=Screener!$D$10,1,0))</f>
        <v/>
      </c>
      <c r="F163" s="220">
        <f>IF(OR(Database!$BM163="",Screener!$D$11=""),0,IF(Database!$BM163=Screener!$D$11,1,0))</f>
        <v/>
      </c>
      <c r="G163" s="220">
        <f>IF(OR(Database!$H163="",N(Screener!$D$12)&lt;=0),0,MAX(0,1-(N(Screener!$D$12)-Database!$H163)/W_RECD))</f>
        <v/>
      </c>
      <c r="H163" s="220">
        <f>IF($U$1="",0,N(ISNUMBER(SEARCH($U$1,Database!$AC163&amp;""))))+IF($V$1="",0,N(ISNUMBER(SEARCH($V$1,Database!$AC163&amp;""))))+IF($W$1="",0,N(ISNUMBER(SEARCH($W$1,Database!$AC163&amp;""))))+IF($X$1="",0,N(ISNUMBER(SEARCH($X$1,Database!$AC163&amp;""))))+IF($Y$1="",0,N(ISNUMBER(SEARCH($Y$1,Database!$AC163&amp;""))))+IF(Screener!$B$17="",0,N(ISNUMBER(SEARCH(LOWER(Screener!$B$17),Database!$AC163&amp;""))))</f>
        <v/>
      </c>
      <c r="I163" s="220">
        <f>IF(OR(N(Database!$BH163)&lt;=0,N(Screener!$D$13)&lt;=0),0,MAX(0,1-ABS(LOG10(N(Database!$BH163)/Screener!$D$13))/W_PEHW))</f>
        <v/>
      </c>
      <c r="J163" s="220">
        <f>IF(OR(N(Database!$S163)&lt;=0,N(Screener!$D$14)&lt;=0),0,MAX(0,1-ABS(LOG10(Database!$S163/Screener!$D$14))/0.6))</f>
        <v/>
      </c>
      <c r="K163" s="220">
        <f>IF(Database!$B163=Screener!$B$5,-999999,IF(ISNUMBER(SEARCH(","&amp;Database!$A163&amp;",",","&amp;SUBSTITUTE(Screener!$D$17," ","")&amp;",")),2000000,IF(IF(OR(Screener!$B$18="All",AND(Screener!$B$18="With A-share",(Database!$BM163="Y")),AND(Screener!$B$18="Without A-share",NOT((Database!$BM163="Y")))),1,0)=0,-999999,IF(Screener!$B$16="cornerstone overlap first",H163*100000,IF(Screener!$B$16="demand-similar first",J163*100000,0))+W_SUB*B163+W_SEC*C163*(1-B163)+W_SIZE*D163+W_PROF*E163+W_AH*F163+W_REC*G163+W_CS*H163+W_PE*I163)))+ROW()/1000000</f>
        <v/>
      </c>
      <c r="AA163" s="220">
        <f>Database!B152</f>
        <v/>
      </c>
      <c r="AB163" s="220">
        <f>Database!D152</f>
        <v/>
      </c>
      <c r="AC163" s="220">
        <f>Database!E152</f>
        <v/>
      </c>
      <c r="AD163" s="220">
        <f>Database!I152</f>
        <v/>
      </c>
      <c r="AE163" s="220">
        <f>Database!BG152</f>
        <v/>
      </c>
      <c r="AF163" s="220">
        <f>Database!BM152</f>
        <v/>
      </c>
      <c r="AG163" s="220">
        <f>Database!H152</f>
        <v/>
      </c>
      <c r="AH163" s="220">
        <f>Database!BH152</f>
        <v/>
      </c>
    </row>
    <row r="164">
      <c r="A164" s="220">
        <f>Database!B164</f>
        <v/>
      </c>
      <c r="B164" s="220">
        <f>IF(AND(Screener!$D$8&lt;&gt;"",Database!$E164=Screener!$D$8),1,0)</f>
        <v/>
      </c>
      <c r="C164" s="220">
        <f>IF(AND(Screener!$D$7&lt;&gt;"",Database!$D164=Screener!$D$7),1,0)</f>
        <v/>
      </c>
      <c r="D164" s="220">
        <f>IF(OR(N(Database!$I164)&lt;=0,N(Screener!$D$9)&lt;=0),0,MAX(0,1-ABS(LOG10(N(Database!$I164)/Screener!$D$9))/W_SIZEHW))</f>
        <v/>
      </c>
      <c r="E164" s="220">
        <f>IF(OR(Database!$BG164="",Screener!$D$10=""),0,IF(Database!$BG164=Screener!$D$10,1,0))</f>
        <v/>
      </c>
      <c r="F164" s="220">
        <f>IF(OR(Database!$BM164="",Screener!$D$11=""),0,IF(Database!$BM164=Screener!$D$11,1,0))</f>
        <v/>
      </c>
      <c r="G164" s="220">
        <f>IF(OR(Database!$H164="",N(Screener!$D$12)&lt;=0),0,MAX(0,1-(N(Screener!$D$12)-Database!$H164)/W_RECD))</f>
        <v/>
      </c>
      <c r="H164" s="220">
        <f>IF($U$1="",0,N(ISNUMBER(SEARCH($U$1,Database!$AC164&amp;""))))+IF($V$1="",0,N(ISNUMBER(SEARCH($V$1,Database!$AC164&amp;""))))+IF($W$1="",0,N(ISNUMBER(SEARCH($W$1,Database!$AC164&amp;""))))+IF($X$1="",0,N(ISNUMBER(SEARCH($X$1,Database!$AC164&amp;""))))+IF($Y$1="",0,N(ISNUMBER(SEARCH($Y$1,Database!$AC164&amp;""))))+IF(Screener!$B$17="",0,N(ISNUMBER(SEARCH(LOWER(Screener!$B$17),Database!$AC164&amp;""))))</f>
        <v/>
      </c>
      <c r="I164" s="220">
        <f>IF(OR(N(Database!$BH164)&lt;=0,N(Screener!$D$13)&lt;=0),0,MAX(0,1-ABS(LOG10(N(Database!$BH164)/Screener!$D$13))/W_PEHW))</f>
        <v/>
      </c>
      <c r="J164" s="220">
        <f>IF(OR(N(Database!$S164)&lt;=0,N(Screener!$D$14)&lt;=0),0,MAX(0,1-ABS(LOG10(Database!$S164/Screener!$D$14))/0.6))</f>
        <v/>
      </c>
      <c r="K164" s="220">
        <f>IF(Database!$B164=Screener!$B$5,-999999,IF(ISNUMBER(SEARCH(","&amp;Database!$A164&amp;",",","&amp;SUBSTITUTE(Screener!$D$17," ","")&amp;",")),2000000,IF(IF(OR(Screener!$B$18="All",AND(Screener!$B$18="With A-share",(Database!$BM164="Y")),AND(Screener!$B$18="Without A-share",NOT((Database!$BM164="Y")))),1,0)=0,-999999,IF(Screener!$B$16="cornerstone overlap first",H164*100000,IF(Screener!$B$16="demand-similar first",J164*100000,0))+W_SUB*B164+W_SEC*C164*(1-B164)+W_SIZE*D164+W_PROF*E164+W_AH*F164+W_REC*G164+W_CS*H164+W_PE*I164)))+ROW()/1000000</f>
        <v/>
      </c>
      <c r="AA164" s="220">
        <f>Database!B153</f>
        <v/>
      </c>
      <c r="AB164" s="220">
        <f>Database!D153</f>
        <v/>
      </c>
      <c r="AC164" s="220">
        <f>Database!E153</f>
        <v/>
      </c>
      <c r="AD164" s="220">
        <f>Database!I153</f>
        <v/>
      </c>
      <c r="AE164" s="220">
        <f>Database!BG153</f>
        <v/>
      </c>
      <c r="AF164" s="220">
        <f>Database!BM153</f>
        <v/>
      </c>
      <c r="AG164" s="220">
        <f>Database!H153</f>
        <v/>
      </c>
      <c r="AH164" s="220">
        <f>Database!BH153</f>
        <v/>
      </c>
    </row>
    <row r="165">
      <c r="A165" s="220">
        <f>Database!B165</f>
        <v/>
      </c>
      <c r="B165" s="220">
        <f>IF(AND(Screener!$D$8&lt;&gt;"",Database!$E165=Screener!$D$8),1,0)</f>
        <v/>
      </c>
      <c r="C165" s="220">
        <f>IF(AND(Screener!$D$7&lt;&gt;"",Database!$D165=Screener!$D$7),1,0)</f>
        <v/>
      </c>
      <c r="D165" s="220">
        <f>IF(OR(N(Database!$I165)&lt;=0,N(Screener!$D$9)&lt;=0),0,MAX(0,1-ABS(LOG10(N(Database!$I165)/Screener!$D$9))/W_SIZEHW))</f>
        <v/>
      </c>
      <c r="E165" s="220">
        <f>IF(OR(Database!$BG165="",Screener!$D$10=""),0,IF(Database!$BG165=Screener!$D$10,1,0))</f>
        <v/>
      </c>
      <c r="F165" s="220">
        <f>IF(OR(Database!$BM165="",Screener!$D$11=""),0,IF(Database!$BM165=Screener!$D$11,1,0))</f>
        <v/>
      </c>
      <c r="G165" s="220">
        <f>IF(OR(Database!$H165="",N(Screener!$D$12)&lt;=0),0,MAX(0,1-(N(Screener!$D$12)-Database!$H165)/W_RECD))</f>
        <v/>
      </c>
      <c r="H165" s="220">
        <f>IF($U$1="",0,N(ISNUMBER(SEARCH($U$1,Database!$AC165&amp;""))))+IF($V$1="",0,N(ISNUMBER(SEARCH($V$1,Database!$AC165&amp;""))))+IF($W$1="",0,N(ISNUMBER(SEARCH($W$1,Database!$AC165&amp;""))))+IF($X$1="",0,N(ISNUMBER(SEARCH($X$1,Database!$AC165&amp;""))))+IF($Y$1="",0,N(ISNUMBER(SEARCH($Y$1,Database!$AC165&amp;""))))+IF(Screener!$B$17="",0,N(ISNUMBER(SEARCH(LOWER(Screener!$B$17),Database!$AC165&amp;""))))</f>
        <v/>
      </c>
      <c r="I165" s="220">
        <f>IF(OR(N(Database!$BH165)&lt;=0,N(Screener!$D$13)&lt;=0),0,MAX(0,1-ABS(LOG10(N(Database!$BH165)/Screener!$D$13))/W_PEHW))</f>
        <v/>
      </c>
      <c r="J165" s="220">
        <f>IF(OR(N(Database!$S165)&lt;=0,N(Screener!$D$14)&lt;=0),0,MAX(0,1-ABS(LOG10(Database!$S165/Screener!$D$14))/0.6))</f>
        <v/>
      </c>
      <c r="K165" s="220">
        <f>IF(Database!$B165=Screener!$B$5,-999999,IF(ISNUMBER(SEARCH(","&amp;Database!$A165&amp;",",","&amp;SUBSTITUTE(Screener!$D$17," ","")&amp;",")),2000000,IF(IF(OR(Screener!$B$18="All",AND(Screener!$B$18="With A-share",(Database!$BM165="Y")),AND(Screener!$B$18="Without A-share",NOT((Database!$BM165="Y")))),1,0)=0,-999999,IF(Screener!$B$16="cornerstone overlap first",H165*100000,IF(Screener!$B$16="demand-similar first",J165*100000,0))+W_SUB*B165+W_SEC*C165*(1-B165)+W_SIZE*D165+W_PROF*E165+W_AH*F165+W_REC*G165+W_CS*H165+W_PE*I165)))+ROW()/1000000</f>
        <v/>
      </c>
      <c r="AA165" s="220">
        <f>Database!B154</f>
        <v/>
      </c>
      <c r="AB165" s="220">
        <f>Database!D154</f>
        <v/>
      </c>
      <c r="AC165" s="220">
        <f>Database!E154</f>
        <v/>
      </c>
      <c r="AD165" s="220">
        <f>Database!I154</f>
        <v/>
      </c>
      <c r="AE165" s="220">
        <f>Database!BG154</f>
        <v/>
      </c>
      <c r="AF165" s="220">
        <f>Database!BM154</f>
        <v/>
      </c>
      <c r="AG165" s="220">
        <f>Database!H154</f>
        <v/>
      </c>
      <c r="AH165" s="220">
        <f>Database!BH154</f>
        <v/>
      </c>
    </row>
    <row r="166">
      <c r="A166" s="220">
        <f>Database!B166</f>
        <v/>
      </c>
      <c r="B166" s="220">
        <f>IF(AND(Screener!$D$8&lt;&gt;"",Database!$E166=Screener!$D$8),1,0)</f>
        <v/>
      </c>
      <c r="C166" s="220">
        <f>IF(AND(Screener!$D$7&lt;&gt;"",Database!$D166=Screener!$D$7),1,0)</f>
        <v/>
      </c>
      <c r="D166" s="220">
        <f>IF(OR(N(Database!$I166)&lt;=0,N(Screener!$D$9)&lt;=0),0,MAX(0,1-ABS(LOG10(N(Database!$I166)/Screener!$D$9))/W_SIZEHW))</f>
        <v/>
      </c>
      <c r="E166" s="220">
        <f>IF(OR(Database!$BG166="",Screener!$D$10=""),0,IF(Database!$BG166=Screener!$D$10,1,0))</f>
        <v/>
      </c>
      <c r="F166" s="220">
        <f>IF(OR(Database!$BM166="",Screener!$D$11=""),0,IF(Database!$BM166=Screener!$D$11,1,0))</f>
        <v/>
      </c>
      <c r="G166" s="220">
        <f>IF(OR(Database!$H166="",N(Screener!$D$12)&lt;=0),0,MAX(0,1-(N(Screener!$D$12)-Database!$H166)/W_RECD))</f>
        <v/>
      </c>
      <c r="H166" s="220">
        <f>IF($U$1="",0,N(ISNUMBER(SEARCH($U$1,Database!$AC166&amp;""))))+IF($V$1="",0,N(ISNUMBER(SEARCH($V$1,Database!$AC166&amp;""))))+IF($W$1="",0,N(ISNUMBER(SEARCH($W$1,Database!$AC166&amp;""))))+IF($X$1="",0,N(ISNUMBER(SEARCH($X$1,Database!$AC166&amp;""))))+IF($Y$1="",0,N(ISNUMBER(SEARCH($Y$1,Database!$AC166&amp;""))))+IF(Screener!$B$17="",0,N(ISNUMBER(SEARCH(LOWER(Screener!$B$17),Database!$AC166&amp;""))))</f>
        <v/>
      </c>
      <c r="I166" s="220">
        <f>IF(OR(N(Database!$BH166)&lt;=0,N(Screener!$D$13)&lt;=0),0,MAX(0,1-ABS(LOG10(N(Database!$BH166)/Screener!$D$13))/W_PEHW))</f>
        <v/>
      </c>
      <c r="J166" s="220">
        <f>IF(OR(N(Database!$S166)&lt;=0,N(Screener!$D$14)&lt;=0),0,MAX(0,1-ABS(LOG10(Database!$S166/Screener!$D$14))/0.6))</f>
        <v/>
      </c>
      <c r="K166" s="220">
        <f>IF(Database!$B166=Screener!$B$5,-999999,IF(ISNUMBER(SEARCH(","&amp;Database!$A166&amp;",",","&amp;SUBSTITUTE(Screener!$D$17," ","")&amp;",")),2000000,IF(IF(OR(Screener!$B$18="All",AND(Screener!$B$18="With A-share",(Database!$BM166="Y")),AND(Screener!$B$18="Without A-share",NOT((Database!$BM166="Y")))),1,0)=0,-999999,IF(Screener!$B$16="cornerstone overlap first",H166*100000,IF(Screener!$B$16="demand-similar first",J166*100000,0))+W_SUB*B166+W_SEC*C166*(1-B166)+W_SIZE*D166+W_PROF*E166+W_AH*F166+W_REC*G166+W_CS*H166+W_PE*I166)))+ROW()/1000000</f>
        <v/>
      </c>
      <c r="AA166" s="220">
        <f>Database!B155</f>
        <v/>
      </c>
      <c r="AB166" s="220">
        <f>Database!D155</f>
        <v/>
      </c>
      <c r="AC166" s="220">
        <f>Database!E155</f>
        <v/>
      </c>
      <c r="AD166" s="220">
        <f>Database!I155</f>
        <v/>
      </c>
      <c r="AE166" s="220">
        <f>Database!BG155</f>
        <v/>
      </c>
      <c r="AF166" s="220">
        <f>Database!BM155</f>
        <v/>
      </c>
      <c r="AG166" s="220">
        <f>Database!H155</f>
        <v/>
      </c>
      <c r="AH166" s="220">
        <f>Database!BH155</f>
        <v/>
      </c>
    </row>
    <row r="167">
      <c r="A167" s="220">
        <f>Database!B167</f>
        <v/>
      </c>
      <c r="B167" s="220">
        <f>IF(AND(Screener!$D$8&lt;&gt;"",Database!$E167=Screener!$D$8),1,0)</f>
        <v/>
      </c>
      <c r="C167" s="220">
        <f>IF(AND(Screener!$D$7&lt;&gt;"",Database!$D167=Screener!$D$7),1,0)</f>
        <v/>
      </c>
      <c r="D167" s="220">
        <f>IF(OR(N(Database!$I167)&lt;=0,N(Screener!$D$9)&lt;=0),0,MAX(0,1-ABS(LOG10(N(Database!$I167)/Screener!$D$9))/W_SIZEHW))</f>
        <v/>
      </c>
      <c r="E167" s="220">
        <f>IF(OR(Database!$BG167="",Screener!$D$10=""),0,IF(Database!$BG167=Screener!$D$10,1,0))</f>
        <v/>
      </c>
      <c r="F167" s="220">
        <f>IF(OR(Database!$BM167="",Screener!$D$11=""),0,IF(Database!$BM167=Screener!$D$11,1,0))</f>
        <v/>
      </c>
      <c r="G167" s="220">
        <f>IF(OR(Database!$H167="",N(Screener!$D$12)&lt;=0),0,MAX(0,1-(N(Screener!$D$12)-Database!$H167)/W_RECD))</f>
        <v/>
      </c>
      <c r="H167" s="220">
        <f>IF($U$1="",0,N(ISNUMBER(SEARCH($U$1,Database!$AC167&amp;""))))+IF($V$1="",0,N(ISNUMBER(SEARCH($V$1,Database!$AC167&amp;""))))+IF($W$1="",0,N(ISNUMBER(SEARCH($W$1,Database!$AC167&amp;""))))+IF($X$1="",0,N(ISNUMBER(SEARCH($X$1,Database!$AC167&amp;""))))+IF($Y$1="",0,N(ISNUMBER(SEARCH($Y$1,Database!$AC167&amp;""))))+IF(Screener!$B$17="",0,N(ISNUMBER(SEARCH(LOWER(Screener!$B$17),Database!$AC167&amp;""))))</f>
        <v/>
      </c>
      <c r="I167" s="220">
        <f>IF(OR(N(Database!$BH167)&lt;=0,N(Screener!$D$13)&lt;=0),0,MAX(0,1-ABS(LOG10(N(Database!$BH167)/Screener!$D$13))/W_PEHW))</f>
        <v/>
      </c>
      <c r="J167" s="220">
        <f>IF(OR(N(Database!$S167)&lt;=0,N(Screener!$D$14)&lt;=0),0,MAX(0,1-ABS(LOG10(Database!$S167/Screener!$D$14))/0.6))</f>
        <v/>
      </c>
      <c r="K167" s="220">
        <f>IF(Database!$B167=Screener!$B$5,-999999,IF(ISNUMBER(SEARCH(","&amp;Database!$A167&amp;",",","&amp;SUBSTITUTE(Screener!$D$17," ","")&amp;",")),2000000,IF(IF(OR(Screener!$B$18="All",AND(Screener!$B$18="With A-share",(Database!$BM167="Y")),AND(Screener!$B$18="Without A-share",NOT((Database!$BM167="Y")))),1,0)=0,-999999,IF(Screener!$B$16="cornerstone overlap first",H167*100000,IF(Screener!$B$16="demand-similar first",J167*100000,0))+W_SUB*B167+W_SEC*C167*(1-B167)+W_SIZE*D167+W_PROF*E167+W_AH*F167+W_REC*G167+W_CS*H167+W_PE*I167)))+ROW()/1000000</f>
        <v/>
      </c>
      <c r="AA167" s="220">
        <f>Database!B156</f>
        <v/>
      </c>
      <c r="AB167" s="220">
        <f>Database!D156</f>
        <v/>
      </c>
      <c r="AC167" s="220">
        <f>Database!E156</f>
        <v/>
      </c>
      <c r="AD167" s="220">
        <f>Database!I156</f>
        <v/>
      </c>
      <c r="AE167" s="220">
        <f>Database!BG156</f>
        <v/>
      </c>
      <c r="AF167" s="220">
        <f>Database!BM156</f>
        <v/>
      </c>
      <c r="AG167" s="220">
        <f>Database!H156</f>
        <v/>
      </c>
      <c r="AH167" s="220">
        <f>Database!BH156</f>
        <v/>
      </c>
    </row>
    <row r="168">
      <c r="A168" s="220">
        <f>Database!B168</f>
        <v/>
      </c>
      <c r="B168" s="220">
        <f>IF(AND(Screener!$D$8&lt;&gt;"",Database!$E168=Screener!$D$8),1,0)</f>
        <v/>
      </c>
      <c r="C168" s="220">
        <f>IF(AND(Screener!$D$7&lt;&gt;"",Database!$D168=Screener!$D$7),1,0)</f>
        <v/>
      </c>
      <c r="D168" s="220">
        <f>IF(OR(N(Database!$I168)&lt;=0,N(Screener!$D$9)&lt;=0),0,MAX(0,1-ABS(LOG10(N(Database!$I168)/Screener!$D$9))/W_SIZEHW))</f>
        <v/>
      </c>
      <c r="E168" s="220">
        <f>IF(OR(Database!$BG168="",Screener!$D$10=""),0,IF(Database!$BG168=Screener!$D$10,1,0))</f>
        <v/>
      </c>
      <c r="F168" s="220">
        <f>IF(OR(Database!$BM168="",Screener!$D$11=""),0,IF(Database!$BM168=Screener!$D$11,1,0))</f>
        <v/>
      </c>
      <c r="G168" s="220">
        <f>IF(OR(Database!$H168="",N(Screener!$D$12)&lt;=0),0,MAX(0,1-(N(Screener!$D$12)-Database!$H168)/W_RECD))</f>
        <v/>
      </c>
      <c r="H168" s="220">
        <f>IF($U$1="",0,N(ISNUMBER(SEARCH($U$1,Database!$AC168&amp;""))))+IF($V$1="",0,N(ISNUMBER(SEARCH($V$1,Database!$AC168&amp;""))))+IF($W$1="",0,N(ISNUMBER(SEARCH($W$1,Database!$AC168&amp;""))))+IF($X$1="",0,N(ISNUMBER(SEARCH($X$1,Database!$AC168&amp;""))))+IF($Y$1="",0,N(ISNUMBER(SEARCH($Y$1,Database!$AC168&amp;""))))+IF(Screener!$B$17="",0,N(ISNUMBER(SEARCH(LOWER(Screener!$B$17),Database!$AC168&amp;""))))</f>
        <v/>
      </c>
      <c r="I168" s="220">
        <f>IF(OR(N(Database!$BH168)&lt;=0,N(Screener!$D$13)&lt;=0),0,MAX(0,1-ABS(LOG10(N(Database!$BH168)/Screener!$D$13))/W_PEHW))</f>
        <v/>
      </c>
      <c r="J168" s="220">
        <f>IF(OR(N(Database!$S168)&lt;=0,N(Screener!$D$14)&lt;=0),0,MAX(0,1-ABS(LOG10(Database!$S168/Screener!$D$14))/0.6))</f>
        <v/>
      </c>
      <c r="K168" s="220">
        <f>IF(Database!$B168=Screener!$B$5,-999999,IF(ISNUMBER(SEARCH(","&amp;Database!$A168&amp;",",","&amp;SUBSTITUTE(Screener!$D$17," ","")&amp;",")),2000000,IF(IF(OR(Screener!$B$18="All",AND(Screener!$B$18="With A-share",(Database!$BM168="Y")),AND(Screener!$B$18="Without A-share",NOT((Database!$BM168="Y")))),1,0)=0,-999999,IF(Screener!$B$16="cornerstone overlap first",H168*100000,IF(Screener!$B$16="demand-similar first",J168*100000,0))+W_SUB*B168+W_SEC*C168*(1-B168)+W_SIZE*D168+W_PROF*E168+W_AH*F168+W_REC*G168+W_CS*H168+W_PE*I168)))+ROW()/1000000</f>
        <v/>
      </c>
      <c r="AA168" s="220">
        <f>Database!B157</f>
        <v/>
      </c>
      <c r="AB168" s="220">
        <f>Database!D157</f>
        <v/>
      </c>
      <c r="AC168" s="220">
        <f>Database!E157</f>
        <v/>
      </c>
      <c r="AD168" s="220">
        <f>Database!I157</f>
        <v/>
      </c>
      <c r="AE168" s="220">
        <f>Database!BG157</f>
        <v/>
      </c>
      <c r="AF168" s="220">
        <f>Database!BM157</f>
        <v/>
      </c>
      <c r="AG168" s="220">
        <f>Database!H157</f>
        <v/>
      </c>
      <c r="AH168" s="220">
        <f>Database!BH157</f>
        <v/>
      </c>
    </row>
    <row r="169">
      <c r="A169" s="220">
        <f>Database!B169</f>
        <v/>
      </c>
      <c r="B169" s="220">
        <f>IF(AND(Screener!$D$8&lt;&gt;"",Database!$E169=Screener!$D$8),1,0)</f>
        <v/>
      </c>
      <c r="C169" s="220">
        <f>IF(AND(Screener!$D$7&lt;&gt;"",Database!$D169=Screener!$D$7),1,0)</f>
        <v/>
      </c>
      <c r="D169" s="220">
        <f>IF(OR(N(Database!$I169)&lt;=0,N(Screener!$D$9)&lt;=0),0,MAX(0,1-ABS(LOG10(N(Database!$I169)/Screener!$D$9))/W_SIZEHW))</f>
        <v/>
      </c>
      <c r="E169" s="220">
        <f>IF(OR(Database!$BG169="",Screener!$D$10=""),0,IF(Database!$BG169=Screener!$D$10,1,0))</f>
        <v/>
      </c>
      <c r="F169" s="220">
        <f>IF(OR(Database!$BM169="",Screener!$D$11=""),0,IF(Database!$BM169=Screener!$D$11,1,0))</f>
        <v/>
      </c>
      <c r="G169" s="220">
        <f>IF(OR(Database!$H169="",N(Screener!$D$12)&lt;=0),0,MAX(0,1-(N(Screener!$D$12)-Database!$H169)/W_RECD))</f>
        <v/>
      </c>
      <c r="H169" s="220">
        <f>IF($U$1="",0,N(ISNUMBER(SEARCH($U$1,Database!$AC169&amp;""))))+IF($V$1="",0,N(ISNUMBER(SEARCH($V$1,Database!$AC169&amp;""))))+IF($W$1="",0,N(ISNUMBER(SEARCH($W$1,Database!$AC169&amp;""))))+IF($X$1="",0,N(ISNUMBER(SEARCH($X$1,Database!$AC169&amp;""))))+IF($Y$1="",0,N(ISNUMBER(SEARCH($Y$1,Database!$AC169&amp;""))))+IF(Screener!$B$17="",0,N(ISNUMBER(SEARCH(LOWER(Screener!$B$17),Database!$AC169&amp;""))))</f>
        <v/>
      </c>
      <c r="I169" s="220">
        <f>IF(OR(N(Database!$BH169)&lt;=0,N(Screener!$D$13)&lt;=0),0,MAX(0,1-ABS(LOG10(N(Database!$BH169)/Screener!$D$13))/W_PEHW))</f>
        <v/>
      </c>
      <c r="J169" s="220">
        <f>IF(OR(N(Database!$S169)&lt;=0,N(Screener!$D$14)&lt;=0),0,MAX(0,1-ABS(LOG10(Database!$S169/Screener!$D$14))/0.6))</f>
        <v/>
      </c>
      <c r="K169" s="220">
        <f>IF(Database!$B169=Screener!$B$5,-999999,IF(ISNUMBER(SEARCH(","&amp;Database!$A169&amp;",",","&amp;SUBSTITUTE(Screener!$D$17," ","")&amp;",")),2000000,IF(IF(OR(Screener!$B$18="All",AND(Screener!$B$18="With A-share",(Database!$BM169="Y")),AND(Screener!$B$18="Without A-share",NOT((Database!$BM169="Y")))),1,0)=0,-999999,IF(Screener!$B$16="cornerstone overlap first",H169*100000,IF(Screener!$B$16="demand-similar first",J169*100000,0))+W_SUB*B169+W_SEC*C169*(1-B169)+W_SIZE*D169+W_PROF*E169+W_AH*F169+W_REC*G169+W_CS*H169+W_PE*I169)))+ROW()/1000000</f>
        <v/>
      </c>
      <c r="AA169" s="220">
        <f>Database!B158</f>
        <v/>
      </c>
      <c r="AB169" s="220">
        <f>Database!D158</f>
        <v/>
      </c>
      <c r="AC169" s="220">
        <f>Database!E158</f>
        <v/>
      </c>
      <c r="AD169" s="220">
        <f>Database!I158</f>
        <v/>
      </c>
      <c r="AE169" s="220">
        <f>Database!BG158</f>
        <v/>
      </c>
      <c r="AF169" s="220">
        <f>Database!BM158</f>
        <v/>
      </c>
      <c r="AG169" s="220">
        <f>Database!H158</f>
        <v/>
      </c>
      <c r="AH169" s="220">
        <f>Database!BH158</f>
        <v/>
      </c>
    </row>
    <row r="170">
      <c r="A170" s="220">
        <f>Database!B170</f>
        <v/>
      </c>
      <c r="B170" s="220">
        <f>IF(AND(Screener!$D$8&lt;&gt;"",Database!$E170=Screener!$D$8),1,0)</f>
        <v/>
      </c>
      <c r="C170" s="220">
        <f>IF(AND(Screener!$D$7&lt;&gt;"",Database!$D170=Screener!$D$7),1,0)</f>
        <v/>
      </c>
      <c r="D170" s="220">
        <f>IF(OR(N(Database!$I170)&lt;=0,N(Screener!$D$9)&lt;=0),0,MAX(0,1-ABS(LOG10(N(Database!$I170)/Screener!$D$9))/W_SIZEHW))</f>
        <v/>
      </c>
      <c r="E170" s="220">
        <f>IF(OR(Database!$BG170="",Screener!$D$10=""),0,IF(Database!$BG170=Screener!$D$10,1,0))</f>
        <v/>
      </c>
      <c r="F170" s="220">
        <f>IF(OR(Database!$BM170="",Screener!$D$11=""),0,IF(Database!$BM170=Screener!$D$11,1,0))</f>
        <v/>
      </c>
      <c r="G170" s="220">
        <f>IF(OR(Database!$H170="",N(Screener!$D$12)&lt;=0),0,MAX(0,1-(N(Screener!$D$12)-Database!$H170)/W_RECD))</f>
        <v/>
      </c>
      <c r="H170" s="220">
        <f>IF($U$1="",0,N(ISNUMBER(SEARCH($U$1,Database!$AC170&amp;""))))+IF($V$1="",0,N(ISNUMBER(SEARCH($V$1,Database!$AC170&amp;""))))+IF($W$1="",0,N(ISNUMBER(SEARCH($W$1,Database!$AC170&amp;""))))+IF($X$1="",0,N(ISNUMBER(SEARCH($X$1,Database!$AC170&amp;""))))+IF($Y$1="",0,N(ISNUMBER(SEARCH($Y$1,Database!$AC170&amp;""))))+IF(Screener!$B$17="",0,N(ISNUMBER(SEARCH(LOWER(Screener!$B$17),Database!$AC170&amp;""))))</f>
        <v/>
      </c>
      <c r="I170" s="220">
        <f>IF(OR(N(Database!$BH170)&lt;=0,N(Screener!$D$13)&lt;=0),0,MAX(0,1-ABS(LOG10(N(Database!$BH170)/Screener!$D$13))/W_PEHW))</f>
        <v/>
      </c>
      <c r="J170" s="220">
        <f>IF(OR(N(Database!$S170)&lt;=0,N(Screener!$D$14)&lt;=0),0,MAX(0,1-ABS(LOG10(Database!$S170/Screener!$D$14))/0.6))</f>
        <v/>
      </c>
      <c r="K170" s="220">
        <f>IF(Database!$B170=Screener!$B$5,-999999,IF(ISNUMBER(SEARCH(","&amp;Database!$A170&amp;",",","&amp;SUBSTITUTE(Screener!$D$17," ","")&amp;",")),2000000,IF(IF(OR(Screener!$B$18="All",AND(Screener!$B$18="With A-share",(Database!$BM170="Y")),AND(Screener!$B$18="Without A-share",NOT((Database!$BM170="Y")))),1,0)=0,-999999,IF(Screener!$B$16="cornerstone overlap first",H170*100000,IF(Screener!$B$16="demand-similar first",J170*100000,0))+W_SUB*B170+W_SEC*C170*(1-B170)+W_SIZE*D170+W_PROF*E170+W_AH*F170+W_REC*G170+W_CS*H170+W_PE*I170)))+ROW()/1000000</f>
        <v/>
      </c>
      <c r="AA170" s="220">
        <f>Database!B159</f>
        <v/>
      </c>
      <c r="AB170" s="220">
        <f>Database!D159</f>
        <v/>
      </c>
      <c r="AC170" s="220">
        <f>Database!E159</f>
        <v/>
      </c>
      <c r="AD170" s="220">
        <f>Database!I159</f>
        <v/>
      </c>
      <c r="AE170" s="220">
        <f>Database!BG159</f>
        <v/>
      </c>
      <c r="AF170" s="220">
        <f>Database!BM159</f>
        <v/>
      </c>
      <c r="AG170" s="220">
        <f>Database!H159</f>
        <v/>
      </c>
      <c r="AH170" s="220">
        <f>Database!BH159</f>
        <v/>
      </c>
    </row>
    <row r="171">
      <c r="A171" s="220">
        <f>Database!B171</f>
        <v/>
      </c>
      <c r="B171" s="220">
        <f>IF(AND(Screener!$D$8&lt;&gt;"",Database!$E171=Screener!$D$8),1,0)</f>
        <v/>
      </c>
      <c r="C171" s="220">
        <f>IF(AND(Screener!$D$7&lt;&gt;"",Database!$D171=Screener!$D$7),1,0)</f>
        <v/>
      </c>
      <c r="D171" s="220">
        <f>IF(OR(N(Database!$I171)&lt;=0,N(Screener!$D$9)&lt;=0),0,MAX(0,1-ABS(LOG10(N(Database!$I171)/Screener!$D$9))/W_SIZEHW))</f>
        <v/>
      </c>
      <c r="E171" s="220">
        <f>IF(OR(Database!$BG171="",Screener!$D$10=""),0,IF(Database!$BG171=Screener!$D$10,1,0))</f>
        <v/>
      </c>
      <c r="F171" s="220">
        <f>IF(OR(Database!$BM171="",Screener!$D$11=""),0,IF(Database!$BM171=Screener!$D$11,1,0))</f>
        <v/>
      </c>
      <c r="G171" s="220">
        <f>IF(OR(Database!$H171="",N(Screener!$D$12)&lt;=0),0,MAX(0,1-(N(Screener!$D$12)-Database!$H171)/W_RECD))</f>
        <v/>
      </c>
      <c r="H171" s="220">
        <f>IF($U$1="",0,N(ISNUMBER(SEARCH($U$1,Database!$AC171&amp;""))))+IF($V$1="",0,N(ISNUMBER(SEARCH($V$1,Database!$AC171&amp;""))))+IF($W$1="",0,N(ISNUMBER(SEARCH($W$1,Database!$AC171&amp;""))))+IF($X$1="",0,N(ISNUMBER(SEARCH($X$1,Database!$AC171&amp;""))))+IF($Y$1="",0,N(ISNUMBER(SEARCH($Y$1,Database!$AC171&amp;""))))+IF(Screener!$B$17="",0,N(ISNUMBER(SEARCH(LOWER(Screener!$B$17),Database!$AC171&amp;""))))</f>
        <v/>
      </c>
      <c r="I171" s="220">
        <f>IF(OR(N(Database!$BH171)&lt;=0,N(Screener!$D$13)&lt;=0),0,MAX(0,1-ABS(LOG10(N(Database!$BH171)/Screener!$D$13))/W_PEHW))</f>
        <v/>
      </c>
      <c r="J171" s="220">
        <f>IF(OR(N(Database!$S171)&lt;=0,N(Screener!$D$14)&lt;=0),0,MAX(0,1-ABS(LOG10(Database!$S171/Screener!$D$14))/0.6))</f>
        <v/>
      </c>
      <c r="K171" s="220">
        <f>IF(Database!$B171=Screener!$B$5,-999999,IF(ISNUMBER(SEARCH(","&amp;Database!$A171&amp;",",","&amp;SUBSTITUTE(Screener!$D$17," ","")&amp;",")),2000000,IF(IF(OR(Screener!$B$18="All",AND(Screener!$B$18="With A-share",(Database!$BM171="Y")),AND(Screener!$B$18="Without A-share",NOT((Database!$BM171="Y")))),1,0)=0,-999999,IF(Screener!$B$16="cornerstone overlap first",H171*100000,IF(Screener!$B$16="demand-similar first",J171*100000,0))+W_SUB*B171+W_SEC*C171*(1-B171)+W_SIZE*D171+W_PROF*E171+W_AH*F171+W_REC*G171+W_CS*H171+W_PE*I171)))+ROW()/1000000</f>
        <v/>
      </c>
      <c r="AA171" s="220">
        <f>Database!B160</f>
        <v/>
      </c>
      <c r="AB171" s="220">
        <f>Database!D160</f>
        <v/>
      </c>
      <c r="AC171" s="220">
        <f>Database!E160</f>
        <v/>
      </c>
      <c r="AD171" s="220">
        <f>Database!I160</f>
        <v/>
      </c>
      <c r="AE171" s="220">
        <f>Database!BG160</f>
        <v/>
      </c>
      <c r="AF171" s="220">
        <f>Database!BM160</f>
        <v/>
      </c>
      <c r="AG171" s="220">
        <f>Database!H160</f>
        <v/>
      </c>
      <c r="AH171" s="220">
        <f>Database!BH160</f>
        <v/>
      </c>
    </row>
    <row r="172">
      <c r="A172" s="220">
        <f>Database!B172</f>
        <v/>
      </c>
      <c r="B172" s="220">
        <f>IF(AND(Screener!$D$8&lt;&gt;"",Database!$E172=Screener!$D$8),1,0)</f>
        <v/>
      </c>
      <c r="C172" s="220">
        <f>IF(AND(Screener!$D$7&lt;&gt;"",Database!$D172=Screener!$D$7),1,0)</f>
        <v/>
      </c>
      <c r="D172" s="220">
        <f>IF(OR(N(Database!$I172)&lt;=0,N(Screener!$D$9)&lt;=0),0,MAX(0,1-ABS(LOG10(N(Database!$I172)/Screener!$D$9))/W_SIZEHW))</f>
        <v/>
      </c>
      <c r="E172" s="220">
        <f>IF(OR(Database!$BG172="",Screener!$D$10=""),0,IF(Database!$BG172=Screener!$D$10,1,0))</f>
        <v/>
      </c>
      <c r="F172" s="220">
        <f>IF(OR(Database!$BM172="",Screener!$D$11=""),0,IF(Database!$BM172=Screener!$D$11,1,0))</f>
        <v/>
      </c>
      <c r="G172" s="220">
        <f>IF(OR(Database!$H172="",N(Screener!$D$12)&lt;=0),0,MAX(0,1-(N(Screener!$D$12)-Database!$H172)/W_RECD))</f>
        <v/>
      </c>
      <c r="H172" s="220">
        <f>IF($U$1="",0,N(ISNUMBER(SEARCH($U$1,Database!$AC172&amp;""))))+IF($V$1="",0,N(ISNUMBER(SEARCH($V$1,Database!$AC172&amp;""))))+IF($W$1="",0,N(ISNUMBER(SEARCH($W$1,Database!$AC172&amp;""))))+IF($X$1="",0,N(ISNUMBER(SEARCH($X$1,Database!$AC172&amp;""))))+IF($Y$1="",0,N(ISNUMBER(SEARCH($Y$1,Database!$AC172&amp;""))))+IF(Screener!$B$17="",0,N(ISNUMBER(SEARCH(LOWER(Screener!$B$17),Database!$AC172&amp;""))))</f>
        <v/>
      </c>
      <c r="I172" s="220">
        <f>IF(OR(N(Database!$BH172)&lt;=0,N(Screener!$D$13)&lt;=0),0,MAX(0,1-ABS(LOG10(N(Database!$BH172)/Screener!$D$13))/W_PEHW))</f>
        <v/>
      </c>
      <c r="J172" s="220">
        <f>IF(OR(N(Database!$S172)&lt;=0,N(Screener!$D$14)&lt;=0),0,MAX(0,1-ABS(LOG10(Database!$S172/Screener!$D$14))/0.6))</f>
        <v/>
      </c>
      <c r="K172" s="220">
        <f>IF(Database!$B172=Screener!$B$5,-999999,IF(ISNUMBER(SEARCH(","&amp;Database!$A172&amp;",",","&amp;SUBSTITUTE(Screener!$D$17," ","")&amp;",")),2000000,IF(IF(OR(Screener!$B$18="All",AND(Screener!$B$18="With A-share",(Database!$BM172="Y")),AND(Screener!$B$18="Without A-share",NOT((Database!$BM172="Y")))),1,0)=0,-999999,IF(Screener!$B$16="cornerstone overlap first",H172*100000,IF(Screener!$B$16="demand-similar first",J172*100000,0))+W_SUB*B172+W_SEC*C172*(1-B172)+W_SIZE*D172+W_PROF*E172+W_AH*F172+W_REC*G172+W_CS*H172+W_PE*I172)))+ROW()/1000000</f>
        <v/>
      </c>
      <c r="AA172" s="220">
        <f>Database!B161</f>
        <v/>
      </c>
      <c r="AB172" s="220">
        <f>Database!D161</f>
        <v/>
      </c>
      <c r="AC172" s="220">
        <f>Database!E161</f>
        <v/>
      </c>
      <c r="AD172" s="220">
        <f>Database!I161</f>
        <v/>
      </c>
      <c r="AE172" s="220">
        <f>Database!BG161</f>
        <v/>
      </c>
      <c r="AF172" s="220">
        <f>Database!BM161</f>
        <v/>
      </c>
      <c r="AG172" s="220">
        <f>Database!H161</f>
        <v/>
      </c>
      <c r="AH172" s="220">
        <f>Database!BH161</f>
        <v/>
      </c>
    </row>
    <row r="173">
      <c r="A173" s="220">
        <f>Database!B173</f>
        <v/>
      </c>
      <c r="B173" s="220">
        <f>IF(AND(Screener!$D$8&lt;&gt;"",Database!$E173=Screener!$D$8),1,0)</f>
        <v/>
      </c>
      <c r="C173" s="220">
        <f>IF(AND(Screener!$D$7&lt;&gt;"",Database!$D173=Screener!$D$7),1,0)</f>
        <v/>
      </c>
      <c r="D173" s="220">
        <f>IF(OR(N(Database!$I173)&lt;=0,N(Screener!$D$9)&lt;=0),0,MAX(0,1-ABS(LOG10(N(Database!$I173)/Screener!$D$9))/W_SIZEHW))</f>
        <v/>
      </c>
      <c r="E173" s="220">
        <f>IF(OR(Database!$BG173="",Screener!$D$10=""),0,IF(Database!$BG173=Screener!$D$10,1,0))</f>
        <v/>
      </c>
      <c r="F173" s="220">
        <f>IF(OR(Database!$BM173="",Screener!$D$11=""),0,IF(Database!$BM173=Screener!$D$11,1,0))</f>
        <v/>
      </c>
      <c r="G173" s="220">
        <f>IF(OR(Database!$H173="",N(Screener!$D$12)&lt;=0),0,MAX(0,1-(N(Screener!$D$12)-Database!$H173)/W_RECD))</f>
        <v/>
      </c>
      <c r="H173" s="220">
        <f>IF($U$1="",0,N(ISNUMBER(SEARCH($U$1,Database!$AC173&amp;""))))+IF($V$1="",0,N(ISNUMBER(SEARCH($V$1,Database!$AC173&amp;""))))+IF($W$1="",0,N(ISNUMBER(SEARCH($W$1,Database!$AC173&amp;""))))+IF($X$1="",0,N(ISNUMBER(SEARCH($X$1,Database!$AC173&amp;""))))+IF($Y$1="",0,N(ISNUMBER(SEARCH($Y$1,Database!$AC173&amp;""))))+IF(Screener!$B$17="",0,N(ISNUMBER(SEARCH(LOWER(Screener!$B$17),Database!$AC173&amp;""))))</f>
        <v/>
      </c>
      <c r="I173" s="220">
        <f>IF(OR(N(Database!$BH173)&lt;=0,N(Screener!$D$13)&lt;=0),0,MAX(0,1-ABS(LOG10(N(Database!$BH173)/Screener!$D$13))/W_PEHW))</f>
        <v/>
      </c>
      <c r="J173" s="220">
        <f>IF(OR(N(Database!$S173)&lt;=0,N(Screener!$D$14)&lt;=0),0,MAX(0,1-ABS(LOG10(Database!$S173/Screener!$D$14))/0.6))</f>
        <v/>
      </c>
      <c r="K173" s="220">
        <f>IF(Database!$B173=Screener!$B$5,-999999,IF(ISNUMBER(SEARCH(","&amp;Database!$A173&amp;",",","&amp;SUBSTITUTE(Screener!$D$17," ","")&amp;",")),2000000,IF(IF(OR(Screener!$B$18="All",AND(Screener!$B$18="With A-share",(Database!$BM173="Y")),AND(Screener!$B$18="Without A-share",NOT((Database!$BM173="Y")))),1,0)=0,-999999,IF(Screener!$B$16="cornerstone overlap first",H173*100000,IF(Screener!$B$16="demand-similar first",J173*100000,0))+W_SUB*B173+W_SEC*C173*(1-B173)+W_SIZE*D173+W_PROF*E173+W_AH*F173+W_REC*G173+W_CS*H173+W_PE*I173)))+ROW()/1000000</f>
        <v/>
      </c>
      <c r="AA173" s="220">
        <f>Database!B162</f>
        <v/>
      </c>
      <c r="AB173" s="220">
        <f>Database!D162</f>
        <v/>
      </c>
      <c r="AC173" s="220">
        <f>Database!E162</f>
        <v/>
      </c>
      <c r="AD173" s="220">
        <f>Database!I162</f>
        <v/>
      </c>
      <c r="AE173" s="220">
        <f>Database!BG162</f>
        <v/>
      </c>
      <c r="AF173" s="220">
        <f>Database!BM162</f>
        <v/>
      </c>
      <c r="AG173" s="220">
        <f>Database!H162</f>
        <v/>
      </c>
      <c r="AH173" s="220">
        <f>Database!BH162</f>
        <v/>
      </c>
    </row>
    <row r="174">
      <c r="A174" s="220">
        <f>Database!B174</f>
        <v/>
      </c>
      <c r="B174" s="220">
        <f>IF(AND(Screener!$D$8&lt;&gt;"",Database!$E174=Screener!$D$8),1,0)</f>
        <v/>
      </c>
      <c r="C174" s="220">
        <f>IF(AND(Screener!$D$7&lt;&gt;"",Database!$D174=Screener!$D$7),1,0)</f>
        <v/>
      </c>
      <c r="D174" s="220">
        <f>IF(OR(N(Database!$I174)&lt;=0,N(Screener!$D$9)&lt;=0),0,MAX(0,1-ABS(LOG10(N(Database!$I174)/Screener!$D$9))/W_SIZEHW))</f>
        <v/>
      </c>
      <c r="E174" s="220">
        <f>IF(OR(Database!$BG174="",Screener!$D$10=""),0,IF(Database!$BG174=Screener!$D$10,1,0))</f>
        <v/>
      </c>
      <c r="F174" s="220">
        <f>IF(OR(Database!$BM174="",Screener!$D$11=""),0,IF(Database!$BM174=Screener!$D$11,1,0))</f>
        <v/>
      </c>
      <c r="G174" s="220">
        <f>IF(OR(Database!$H174="",N(Screener!$D$12)&lt;=0),0,MAX(0,1-(N(Screener!$D$12)-Database!$H174)/W_RECD))</f>
        <v/>
      </c>
      <c r="H174" s="220">
        <f>IF($U$1="",0,N(ISNUMBER(SEARCH($U$1,Database!$AC174&amp;""))))+IF($V$1="",0,N(ISNUMBER(SEARCH($V$1,Database!$AC174&amp;""))))+IF($W$1="",0,N(ISNUMBER(SEARCH($W$1,Database!$AC174&amp;""))))+IF($X$1="",0,N(ISNUMBER(SEARCH($X$1,Database!$AC174&amp;""))))+IF($Y$1="",0,N(ISNUMBER(SEARCH($Y$1,Database!$AC174&amp;""))))+IF(Screener!$B$17="",0,N(ISNUMBER(SEARCH(LOWER(Screener!$B$17),Database!$AC174&amp;""))))</f>
        <v/>
      </c>
      <c r="I174" s="220">
        <f>IF(OR(N(Database!$BH174)&lt;=0,N(Screener!$D$13)&lt;=0),0,MAX(0,1-ABS(LOG10(N(Database!$BH174)/Screener!$D$13))/W_PEHW))</f>
        <v/>
      </c>
      <c r="J174" s="220">
        <f>IF(OR(N(Database!$S174)&lt;=0,N(Screener!$D$14)&lt;=0),0,MAX(0,1-ABS(LOG10(Database!$S174/Screener!$D$14))/0.6))</f>
        <v/>
      </c>
      <c r="K174" s="220">
        <f>IF(Database!$B174=Screener!$B$5,-999999,IF(ISNUMBER(SEARCH(","&amp;Database!$A174&amp;",",","&amp;SUBSTITUTE(Screener!$D$17," ","")&amp;",")),2000000,IF(IF(OR(Screener!$B$18="All",AND(Screener!$B$18="With A-share",(Database!$BM174="Y")),AND(Screener!$B$18="Without A-share",NOT((Database!$BM174="Y")))),1,0)=0,-999999,IF(Screener!$B$16="cornerstone overlap first",H174*100000,IF(Screener!$B$16="demand-similar first",J174*100000,0))+W_SUB*B174+W_SEC*C174*(1-B174)+W_SIZE*D174+W_PROF*E174+W_AH*F174+W_REC*G174+W_CS*H174+W_PE*I174)))+ROW()/1000000</f>
        <v/>
      </c>
      <c r="AA174" s="220">
        <f>Database!B163</f>
        <v/>
      </c>
      <c r="AB174" s="220">
        <f>Database!D163</f>
        <v/>
      </c>
      <c r="AC174" s="220">
        <f>Database!E163</f>
        <v/>
      </c>
      <c r="AD174" s="220">
        <f>Database!I163</f>
        <v/>
      </c>
      <c r="AE174" s="220">
        <f>Database!BG163</f>
        <v/>
      </c>
      <c r="AF174" s="220">
        <f>Database!BM163</f>
        <v/>
      </c>
      <c r="AG174" s="220">
        <f>Database!H163</f>
        <v/>
      </c>
      <c r="AH174" s="220">
        <f>Database!BH163</f>
        <v/>
      </c>
    </row>
    <row r="175">
      <c r="A175" s="220">
        <f>Database!B175</f>
        <v/>
      </c>
      <c r="B175" s="220">
        <f>IF(AND(Screener!$D$8&lt;&gt;"",Database!$E175=Screener!$D$8),1,0)</f>
        <v/>
      </c>
      <c r="C175" s="220">
        <f>IF(AND(Screener!$D$7&lt;&gt;"",Database!$D175=Screener!$D$7),1,0)</f>
        <v/>
      </c>
      <c r="D175" s="220">
        <f>IF(OR(N(Database!$I175)&lt;=0,N(Screener!$D$9)&lt;=0),0,MAX(0,1-ABS(LOG10(N(Database!$I175)/Screener!$D$9))/W_SIZEHW))</f>
        <v/>
      </c>
      <c r="E175" s="220">
        <f>IF(OR(Database!$BG175="",Screener!$D$10=""),0,IF(Database!$BG175=Screener!$D$10,1,0))</f>
        <v/>
      </c>
      <c r="F175" s="220">
        <f>IF(OR(Database!$BM175="",Screener!$D$11=""),0,IF(Database!$BM175=Screener!$D$11,1,0))</f>
        <v/>
      </c>
      <c r="G175" s="220">
        <f>IF(OR(Database!$H175="",N(Screener!$D$12)&lt;=0),0,MAX(0,1-(N(Screener!$D$12)-Database!$H175)/W_RECD))</f>
        <v/>
      </c>
      <c r="H175" s="220">
        <f>IF($U$1="",0,N(ISNUMBER(SEARCH($U$1,Database!$AC175&amp;""))))+IF($V$1="",0,N(ISNUMBER(SEARCH($V$1,Database!$AC175&amp;""))))+IF($W$1="",0,N(ISNUMBER(SEARCH($W$1,Database!$AC175&amp;""))))+IF($X$1="",0,N(ISNUMBER(SEARCH($X$1,Database!$AC175&amp;""))))+IF($Y$1="",0,N(ISNUMBER(SEARCH($Y$1,Database!$AC175&amp;""))))+IF(Screener!$B$17="",0,N(ISNUMBER(SEARCH(LOWER(Screener!$B$17),Database!$AC175&amp;""))))</f>
        <v/>
      </c>
      <c r="I175" s="220">
        <f>IF(OR(N(Database!$BH175)&lt;=0,N(Screener!$D$13)&lt;=0),0,MAX(0,1-ABS(LOG10(N(Database!$BH175)/Screener!$D$13))/W_PEHW))</f>
        <v/>
      </c>
      <c r="J175" s="220">
        <f>IF(OR(N(Database!$S175)&lt;=0,N(Screener!$D$14)&lt;=0),0,MAX(0,1-ABS(LOG10(Database!$S175/Screener!$D$14))/0.6))</f>
        <v/>
      </c>
      <c r="K175" s="220">
        <f>IF(Database!$B175=Screener!$B$5,-999999,IF(ISNUMBER(SEARCH(","&amp;Database!$A175&amp;",",","&amp;SUBSTITUTE(Screener!$D$17," ","")&amp;",")),2000000,IF(IF(OR(Screener!$B$18="All",AND(Screener!$B$18="With A-share",(Database!$BM175="Y")),AND(Screener!$B$18="Without A-share",NOT((Database!$BM175="Y")))),1,0)=0,-999999,IF(Screener!$B$16="cornerstone overlap first",H175*100000,IF(Screener!$B$16="demand-similar first",J175*100000,0))+W_SUB*B175+W_SEC*C175*(1-B175)+W_SIZE*D175+W_PROF*E175+W_AH*F175+W_REC*G175+W_CS*H175+W_PE*I175)))+ROW()/1000000</f>
        <v/>
      </c>
      <c r="AA175" s="220">
        <f>Database!B164</f>
        <v/>
      </c>
      <c r="AB175" s="220">
        <f>Database!D164</f>
        <v/>
      </c>
      <c r="AC175" s="220">
        <f>Database!E164</f>
        <v/>
      </c>
      <c r="AD175" s="220">
        <f>Database!I164</f>
        <v/>
      </c>
      <c r="AE175" s="220">
        <f>Database!BG164</f>
        <v/>
      </c>
      <c r="AF175" s="220">
        <f>Database!BM164</f>
        <v/>
      </c>
      <c r="AG175" s="220">
        <f>Database!H164</f>
        <v/>
      </c>
      <c r="AH175" s="220">
        <f>Database!BH164</f>
        <v/>
      </c>
    </row>
    <row r="176">
      <c r="A176" s="220">
        <f>Database!B176</f>
        <v/>
      </c>
      <c r="B176" s="220">
        <f>IF(AND(Screener!$D$8&lt;&gt;"",Database!$E176=Screener!$D$8),1,0)</f>
        <v/>
      </c>
      <c r="C176" s="220">
        <f>IF(AND(Screener!$D$7&lt;&gt;"",Database!$D176=Screener!$D$7),1,0)</f>
        <v/>
      </c>
      <c r="D176" s="220">
        <f>IF(OR(N(Database!$I176)&lt;=0,N(Screener!$D$9)&lt;=0),0,MAX(0,1-ABS(LOG10(N(Database!$I176)/Screener!$D$9))/W_SIZEHW))</f>
        <v/>
      </c>
      <c r="E176" s="220">
        <f>IF(OR(Database!$BG176="",Screener!$D$10=""),0,IF(Database!$BG176=Screener!$D$10,1,0))</f>
        <v/>
      </c>
      <c r="F176" s="220">
        <f>IF(OR(Database!$BM176="",Screener!$D$11=""),0,IF(Database!$BM176=Screener!$D$11,1,0))</f>
        <v/>
      </c>
      <c r="G176" s="220">
        <f>IF(OR(Database!$H176="",N(Screener!$D$12)&lt;=0),0,MAX(0,1-(N(Screener!$D$12)-Database!$H176)/W_RECD))</f>
        <v/>
      </c>
      <c r="H176" s="220">
        <f>IF($U$1="",0,N(ISNUMBER(SEARCH($U$1,Database!$AC176&amp;""))))+IF($V$1="",0,N(ISNUMBER(SEARCH($V$1,Database!$AC176&amp;""))))+IF($W$1="",0,N(ISNUMBER(SEARCH($W$1,Database!$AC176&amp;""))))+IF($X$1="",0,N(ISNUMBER(SEARCH($X$1,Database!$AC176&amp;""))))+IF($Y$1="",0,N(ISNUMBER(SEARCH($Y$1,Database!$AC176&amp;""))))+IF(Screener!$B$17="",0,N(ISNUMBER(SEARCH(LOWER(Screener!$B$17),Database!$AC176&amp;""))))</f>
        <v/>
      </c>
      <c r="I176" s="220">
        <f>IF(OR(N(Database!$BH176)&lt;=0,N(Screener!$D$13)&lt;=0),0,MAX(0,1-ABS(LOG10(N(Database!$BH176)/Screener!$D$13))/W_PEHW))</f>
        <v/>
      </c>
      <c r="J176" s="220">
        <f>IF(OR(N(Database!$S176)&lt;=0,N(Screener!$D$14)&lt;=0),0,MAX(0,1-ABS(LOG10(Database!$S176/Screener!$D$14))/0.6))</f>
        <v/>
      </c>
      <c r="K176" s="220">
        <f>IF(Database!$B176=Screener!$B$5,-999999,IF(ISNUMBER(SEARCH(","&amp;Database!$A176&amp;",",","&amp;SUBSTITUTE(Screener!$D$17," ","")&amp;",")),2000000,IF(IF(OR(Screener!$B$18="All",AND(Screener!$B$18="With A-share",(Database!$BM176="Y")),AND(Screener!$B$18="Without A-share",NOT((Database!$BM176="Y")))),1,0)=0,-999999,IF(Screener!$B$16="cornerstone overlap first",H176*100000,IF(Screener!$B$16="demand-similar first",J176*100000,0))+W_SUB*B176+W_SEC*C176*(1-B176)+W_SIZE*D176+W_PROF*E176+W_AH*F176+W_REC*G176+W_CS*H176+W_PE*I176)))+ROW()/1000000</f>
        <v/>
      </c>
      <c r="AA176" s="220">
        <f>Database!B165</f>
        <v/>
      </c>
      <c r="AB176" s="220">
        <f>Database!D165</f>
        <v/>
      </c>
      <c r="AC176" s="220">
        <f>Database!E165</f>
        <v/>
      </c>
      <c r="AD176" s="220">
        <f>Database!I165</f>
        <v/>
      </c>
      <c r="AE176" s="220">
        <f>Database!BG165</f>
        <v/>
      </c>
      <c r="AF176" s="220">
        <f>Database!BM165</f>
        <v/>
      </c>
      <c r="AG176" s="220">
        <f>Database!H165</f>
        <v/>
      </c>
      <c r="AH176" s="220">
        <f>Database!BH165</f>
        <v/>
      </c>
    </row>
    <row r="177">
      <c r="A177" s="220">
        <f>Database!B177</f>
        <v/>
      </c>
      <c r="B177" s="220">
        <f>IF(AND(Screener!$D$8&lt;&gt;"",Database!$E177=Screener!$D$8),1,0)</f>
        <v/>
      </c>
      <c r="C177" s="220">
        <f>IF(AND(Screener!$D$7&lt;&gt;"",Database!$D177=Screener!$D$7),1,0)</f>
        <v/>
      </c>
      <c r="D177" s="220">
        <f>IF(OR(N(Database!$I177)&lt;=0,N(Screener!$D$9)&lt;=0),0,MAX(0,1-ABS(LOG10(N(Database!$I177)/Screener!$D$9))/W_SIZEHW))</f>
        <v/>
      </c>
      <c r="E177" s="220">
        <f>IF(OR(Database!$BG177="",Screener!$D$10=""),0,IF(Database!$BG177=Screener!$D$10,1,0))</f>
        <v/>
      </c>
      <c r="F177" s="220">
        <f>IF(OR(Database!$BM177="",Screener!$D$11=""),0,IF(Database!$BM177=Screener!$D$11,1,0))</f>
        <v/>
      </c>
      <c r="G177" s="220">
        <f>IF(OR(Database!$H177="",N(Screener!$D$12)&lt;=0),0,MAX(0,1-(N(Screener!$D$12)-Database!$H177)/W_RECD))</f>
        <v/>
      </c>
      <c r="H177" s="220">
        <f>IF($U$1="",0,N(ISNUMBER(SEARCH($U$1,Database!$AC177&amp;""))))+IF($V$1="",0,N(ISNUMBER(SEARCH($V$1,Database!$AC177&amp;""))))+IF($W$1="",0,N(ISNUMBER(SEARCH($W$1,Database!$AC177&amp;""))))+IF($X$1="",0,N(ISNUMBER(SEARCH($X$1,Database!$AC177&amp;""))))+IF($Y$1="",0,N(ISNUMBER(SEARCH($Y$1,Database!$AC177&amp;""))))+IF(Screener!$B$17="",0,N(ISNUMBER(SEARCH(LOWER(Screener!$B$17),Database!$AC177&amp;""))))</f>
        <v/>
      </c>
      <c r="I177" s="220">
        <f>IF(OR(N(Database!$BH177)&lt;=0,N(Screener!$D$13)&lt;=0),0,MAX(0,1-ABS(LOG10(N(Database!$BH177)/Screener!$D$13))/W_PEHW))</f>
        <v/>
      </c>
      <c r="J177" s="220">
        <f>IF(OR(N(Database!$S177)&lt;=0,N(Screener!$D$14)&lt;=0),0,MAX(0,1-ABS(LOG10(Database!$S177/Screener!$D$14))/0.6))</f>
        <v/>
      </c>
      <c r="K177" s="220">
        <f>IF(Database!$B177=Screener!$B$5,-999999,IF(ISNUMBER(SEARCH(","&amp;Database!$A177&amp;",",","&amp;SUBSTITUTE(Screener!$D$17," ","")&amp;",")),2000000,IF(IF(OR(Screener!$B$18="All",AND(Screener!$B$18="With A-share",(Database!$BM177="Y")),AND(Screener!$B$18="Without A-share",NOT((Database!$BM177="Y")))),1,0)=0,-999999,IF(Screener!$B$16="cornerstone overlap first",H177*100000,IF(Screener!$B$16="demand-similar first",J177*100000,0))+W_SUB*B177+W_SEC*C177*(1-B177)+W_SIZE*D177+W_PROF*E177+W_AH*F177+W_REC*G177+W_CS*H177+W_PE*I177)))+ROW()/1000000</f>
        <v/>
      </c>
      <c r="AA177" s="220">
        <f>Database!B166</f>
        <v/>
      </c>
      <c r="AB177" s="220">
        <f>Database!D166</f>
        <v/>
      </c>
      <c r="AC177" s="220">
        <f>Database!E166</f>
        <v/>
      </c>
      <c r="AD177" s="220">
        <f>Database!I166</f>
        <v/>
      </c>
      <c r="AE177" s="220">
        <f>Database!BG166</f>
        <v/>
      </c>
      <c r="AF177" s="220">
        <f>Database!BM166</f>
        <v/>
      </c>
      <c r="AG177" s="220">
        <f>Database!H166</f>
        <v/>
      </c>
      <c r="AH177" s="220">
        <f>Database!BH166</f>
        <v/>
      </c>
    </row>
    <row r="178">
      <c r="A178" s="220">
        <f>Database!B178</f>
        <v/>
      </c>
      <c r="B178" s="220">
        <f>IF(AND(Screener!$D$8&lt;&gt;"",Database!$E178=Screener!$D$8),1,0)</f>
        <v/>
      </c>
      <c r="C178" s="220">
        <f>IF(AND(Screener!$D$7&lt;&gt;"",Database!$D178=Screener!$D$7),1,0)</f>
        <v/>
      </c>
      <c r="D178" s="220">
        <f>IF(OR(N(Database!$I178)&lt;=0,N(Screener!$D$9)&lt;=0),0,MAX(0,1-ABS(LOG10(N(Database!$I178)/Screener!$D$9))/W_SIZEHW))</f>
        <v/>
      </c>
      <c r="E178" s="220">
        <f>IF(OR(Database!$BG178="",Screener!$D$10=""),0,IF(Database!$BG178=Screener!$D$10,1,0))</f>
        <v/>
      </c>
      <c r="F178" s="220">
        <f>IF(OR(Database!$BM178="",Screener!$D$11=""),0,IF(Database!$BM178=Screener!$D$11,1,0))</f>
        <v/>
      </c>
      <c r="G178" s="220">
        <f>IF(OR(Database!$H178="",N(Screener!$D$12)&lt;=0),0,MAX(0,1-(N(Screener!$D$12)-Database!$H178)/W_RECD))</f>
        <v/>
      </c>
      <c r="H178" s="220">
        <f>IF($U$1="",0,N(ISNUMBER(SEARCH($U$1,Database!$AC178&amp;""))))+IF($V$1="",0,N(ISNUMBER(SEARCH($V$1,Database!$AC178&amp;""))))+IF($W$1="",0,N(ISNUMBER(SEARCH($W$1,Database!$AC178&amp;""))))+IF($X$1="",0,N(ISNUMBER(SEARCH($X$1,Database!$AC178&amp;""))))+IF($Y$1="",0,N(ISNUMBER(SEARCH($Y$1,Database!$AC178&amp;""))))+IF(Screener!$B$17="",0,N(ISNUMBER(SEARCH(LOWER(Screener!$B$17),Database!$AC178&amp;""))))</f>
        <v/>
      </c>
      <c r="I178" s="220">
        <f>IF(OR(N(Database!$BH178)&lt;=0,N(Screener!$D$13)&lt;=0),0,MAX(0,1-ABS(LOG10(N(Database!$BH178)/Screener!$D$13))/W_PEHW))</f>
        <v/>
      </c>
      <c r="J178" s="220">
        <f>IF(OR(N(Database!$S178)&lt;=0,N(Screener!$D$14)&lt;=0),0,MAX(0,1-ABS(LOG10(Database!$S178/Screener!$D$14))/0.6))</f>
        <v/>
      </c>
      <c r="K178" s="220">
        <f>IF(Database!$B178=Screener!$B$5,-999999,IF(ISNUMBER(SEARCH(","&amp;Database!$A178&amp;",",","&amp;SUBSTITUTE(Screener!$D$17," ","")&amp;",")),2000000,IF(IF(OR(Screener!$B$18="All",AND(Screener!$B$18="With A-share",(Database!$BM178="Y")),AND(Screener!$B$18="Without A-share",NOT((Database!$BM178="Y")))),1,0)=0,-999999,IF(Screener!$B$16="cornerstone overlap first",H178*100000,IF(Screener!$B$16="demand-similar first",J178*100000,0))+W_SUB*B178+W_SEC*C178*(1-B178)+W_SIZE*D178+W_PROF*E178+W_AH*F178+W_REC*G178+W_CS*H178+W_PE*I178)))+ROW()/1000000</f>
        <v/>
      </c>
      <c r="AA178" s="220">
        <f>Database!B167</f>
        <v/>
      </c>
      <c r="AB178" s="220">
        <f>Database!D167</f>
        <v/>
      </c>
      <c r="AC178" s="220">
        <f>Database!E167</f>
        <v/>
      </c>
      <c r="AD178" s="220">
        <f>Database!I167</f>
        <v/>
      </c>
      <c r="AE178" s="220">
        <f>Database!BG167</f>
        <v/>
      </c>
      <c r="AF178" s="220">
        <f>Database!BM167</f>
        <v/>
      </c>
      <c r="AG178" s="220">
        <f>Database!H167</f>
        <v/>
      </c>
      <c r="AH178" s="220">
        <f>Database!BH167</f>
        <v/>
      </c>
    </row>
    <row r="179">
      <c r="A179" s="220">
        <f>Database!B179</f>
        <v/>
      </c>
      <c r="B179" s="220">
        <f>IF(AND(Screener!$D$8&lt;&gt;"",Database!$E179=Screener!$D$8),1,0)</f>
        <v/>
      </c>
      <c r="C179" s="220">
        <f>IF(AND(Screener!$D$7&lt;&gt;"",Database!$D179=Screener!$D$7),1,0)</f>
        <v/>
      </c>
      <c r="D179" s="220">
        <f>IF(OR(N(Database!$I179)&lt;=0,N(Screener!$D$9)&lt;=0),0,MAX(0,1-ABS(LOG10(N(Database!$I179)/Screener!$D$9))/W_SIZEHW))</f>
        <v/>
      </c>
      <c r="E179" s="220">
        <f>IF(OR(Database!$BG179="",Screener!$D$10=""),0,IF(Database!$BG179=Screener!$D$10,1,0))</f>
        <v/>
      </c>
      <c r="F179" s="220">
        <f>IF(OR(Database!$BM179="",Screener!$D$11=""),0,IF(Database!$BM179=Screener!$D$11,1,0))</f>
        <v/>
      </c>
      <c r="G179" s="220">
        <f>IF(OR(Database!$H179="",N(Screener!$D$12)&lt;=0),0,MAX(0,1-(N(Screener!$D$12)-Database!$H179)/W_RECD))</f>
        <v/>
      </c>
      <c r="H179" s="220">
        <f>IF($U$1="",0,N(ISNUMBER(SEARCH($U$1,Database!$AC179&amp;""))))+IF($V$1="",0,N(ISNUMBER(SEARCH($V$1,Database!$AC179&amp;""))))+IF($W$1="",0,N(ISNUMBER(SEARCH($W$1,Database!$AC179&amp;""))))+IF($X$1="",0,N(ISNUMBER(SEARCH($X$1,Database!$AC179&amp;""))))+IF($Y$1="",0,N(ISNUMBER(SEARCH($Y$1,Database!$AC179&amp;""))))+IF(Screener!$B$17="",0,N(ISNUMBER(SEARCH(LOWER(Screener!$B$17),Database!$AC179&amp;""))))</f>
        <v/>
      </c>
      <c r="I179" s="220">
        <f>IF(OR(N(Database!$BH179)&lt;=0,N(Screener!$D$13)&lt;=0),0,MAX(0,1-ABS(LOG10(N(Database!$BH179)/Screener!$D$13))/W_PEHW))</f>
        <v/>
      </c>
      <c r="J179" s="220">
        <f>IF(OR(N(Database!$S179)&lt;=0,N(Screener!$D$14)&lt;=0),0,MAX(0,1-ABS(LOG10(Database!$S179/Screener!$D$14))/0.6))</f>
        <v/>
      </c>
      <c r="K179" s="220">
        <f>IF(Database!$B179=Screener!$B$5,-999999,IF(ISNUMBER(SEARCH(","&amp;Database!$A179&amp;",",","&amp;SUBSTITUTE(Screener!$D$17," ","")&amp;",")),2000000,IF(IF(OR(Screener!$B$18="All",AND(Screener!$B$18="With A-share",(Database!$BM179="Y")),AND(Screener!$B$18="Without A-share",NOT((Database!$BM179="Y")))),1,0)=0,-999999,IF(Screener!$B$16="cornerstone overlap first",H179*100000,IF(Screener!$B$16="demand-similar first",J179*100000,0))+W_SUB*B179+W_SEC*C179*(1-B179)+W_SIZE*D179+W_PROF*E179+W_AH*F179+W_REC*G179+W_CS*H179+W_PE*I179)))+ROW()/1000000</f>
        <v/>
      </c>
      <c r="AA179" s="220">
        <f>Database!B168</f>
        <v/>
      </c>
      <c r="AB179" s="220">
        <f>Database!D168</f>
        <v/>
      </c>
      <c r="AC179" s="220">
        <f>Database!E168</f>
        <v/>
      </c>
      <c r="AD179" s="220">
        <f>Database!I168</f>
        <v/>
      </c>
      <c r="AE179" s="220">
        <f>Database!BG168</f>
        <v/>
      </c>
      <c r="AF179" s="220">
        <f>Database!BM168</f>
        <v/>
      </c>
      <c r="AG179" s="220">
        <f>Database!H168</f>
        <v/>
      </c>
      <c r="AH179" s="220">
        <f>Database!BH168</f>
        <v/>
      </c>
    </row>
    <row r="180">
      <c r="A180" s="220">
        <f>Database!B180</f>
        <v/>
      </c>
      <c r="B180" s="220">
        <f>IF(AND(Screener!$D$8&lt;&gt;"",Database!$E180=Screener!$D$8),1,0)</f>
        <v/>
      </c>
      <c r="C180" s="220">
        <f>IF(AND(Screener!$D$7&lt;&gt;"",Database!$D180=Screener!$D$7),1,0)</f>
        <v/>
      </c>
      <c r="D180" s="220">
        <f>IF(OR(N(Database!$I180)&lt;=0,N(Screener!$D$9)&lt;=0),0,MAX(0,1-ABS(LOG10(N(Database!$I180)/Screener!$D$9))/W_SIZEHW))</f>
        <v/>
      </c>
      <c r="E180" s="220">
        <f>IF(OR(Database!$BG180="",Screener!$D$10=""),0,IF(Database!$BG180=Screener!$D$10,1,0))</f>
        <v/>
      </c>
      <c r="F180" s="220">
        <f>IF(OR(Database!$BM180="",Screener!$D$11=""),0,IF(Database!$BM180=Screener!$D$11,1,0))</f>
        <v/>
      </c>
      <c r="G180" s="220">
        <f>IF(OR(Database!$H180="",N(Screener!$D$12)&lt;=0),0,MAX(0,1-(N(Screener!$D$12)-Database!$H180)/W_RECD))</f>
        <v/>
      </c>
      <c r="H180" s="220">
        <f>IF($U$1="",0,N(ISNUMBER(SEARCH($U$1,Database!$AC180&amp;""))))+IF($V$1="",0,N(ISNUMBER(SEARCH($V$1,Database!$AC180&amp;""))))+IF($W$1="",0,N(ISNUMBER(SEARCH($W$1,Database!$AC180&amp;""))))+IF($X$1="",0,N(ISNUMBER(SEARCH($X$1,Database!$AC180&amp;""))))+IF($Y$1="",0,N(ISNUMBER(SEARCH($Y$1,Database!$AC180&amp;""))))+IF(Screener!$B$17="",0,N(ISNUMBER(SEARCH(LOWER(Screener!$B$17),Database!$AC180&amp;""))))</f>
        <v/>
      </c>
      <c r="I180" s="220">
        <f>IF(OR(N(Database!$BH180)&lt;=0,N(Screener!$D$13)&lt;=0),0,MAX(0,1-ABS(LOG10(N(Database!$BH180)/Screener!$D$13))/W_PEHW))</f>
        <v/>
      </c>
      <c r="J180" s="220">
        <f>IF(OR(N(Database!$S180)&lt;=0,N(Screener!$D$14)&lt;=0),0,MAX(0,1-ABS(LOG10(Database!$S180/Screener!$D$14))/0.6))</f>
        <v/>
      </c>
      <c r="K180" s="220">
        <f>IF(Database!$B180=Screener!$B$5,-999999,IF(ISNUMBER(SEARCH(","&amp;Database!$A180&amp;",",","&amp;SUBSTITUTE(Screener!$D$17," ","")&amp;",")),2000000,IF(IF(OR(Screener!$B$18="All",AND(Screener!$B$18="With A-share",(Database!$BM180="Y")),AND(Screener!$B$18="Without A-share",NOT((Database!$BM180="Y")))),1,0)=0,-999999,IF(Screener!$B$16="cornerstone overlap first",H180*100000,IF(Screener!$B$16="demand-similar first",J180*100000,0))+W_SUB*B180+W_SEC*C180*(1-B180)+W_SIZE*D180+W_PROF*E180+W_AH*F180+W_REC*G180+W_CS*H180+W_PE*I180)))+ROW()/1000000</f>
        <v/>
      </c>
      <c r="AA180" s="220">
        <f>Database!B169</f>
        <v/>
      </c>
      <c r="AB180" s="220">
        <f>Database!D169</f>
        <v/>
      </c>
      <c r="AC180" s="220">
        <f>Database!E169</f>
        <v/>
      </c>
      <c r="AD180" s="220">
        <f>Database!I169</f>
        <v/>
      </c>
      <c r="AE180" s="220">
        <f>Database!BG169</f>
        <v/>
      </c>
      <c r="AF180" s="220">
        <f>Database!BM169</f>
        <v/>
      </c>
      <c r="AG180" s="220">
        <f>Database!H169</f>
        <v/>
      </c>
      <c r="AH180" s="220">
        <f>Database!BH169</f>
        <v/>
      </c>
    </row>
    <row r="181">
      <c r="A181" s="220">
        <f>Database!B181</f>
        <v/>
      </c>
      <c r="B181" s="220">
        <f>IF(AND(Screener!$D$8&lt;&gt;"",Database!$E181=Screener!$D$8),1,0)</f>
        <v/>
      </c>
      <c r="C181" s="220">
        <f>IF(AND(Screener!$D$7&lt;&gt;"",Database!$D181=Screener!$D$7),1,0)</f>
        <v/>
      </c>
      <c r="D181" s="220">
        <f>IF(OR(N(Database!$I181)&lt;=0,N(Screener!$D$9)&lt;=0),0,MAX(0,1-ABS(LOG10(N(Database!$I181)/Screener!$D$9))/W_SIZEHW))</f>
        <v/>
      </c>
      <c r="E181" s="220">
        <f>IF(OR(Database!$BG181="",Screener!$D$10=""),0,IF(Database!$BG181=Screener!$D$10,1,0))</f>
        <v/>
      </c>
      <c r="F181" s="220">
        <f>IF(OR(Database!$BM181="",Screener!$D$11=""),0,IF(Database!$BM181=Screener!$D$11,1,0))</f>
        <v/>
      </c>
      <c r="G181" s="220">
        <f>IF(OR(Database!$H181="",N(Screener!$D$12)&lt;=0),0,MAX(0,1-(N(Screener!$D$12)-Database!$H181)/W_RECD))</f>
        <v/>
      </c>
      <c r="H181" s="220">
        <f>IF($U$1="",0,N(ISNUMBER(SEARCH($U$1,Database!$AC181&amp;""))))+IF($V$1="",0,N(ISNUMBER(SEARCH($V$1,Database!$AC181&amp;""))))+IF($W$1="",0,N(ISNUMBER(SEARCH($W$1,Database!$AC181&amp;""))))+IF($X$1="",0,N(ISNUMBER(SEARCH($X$1,Database!$AC181&amp;""))))+IF($Y$1="",0,N(ISNUMBER(SEARCH($Y$1,Database!$AC181&amp;""))))+IF(Screener!$B$17="",0,N(ISNUMBER(SEARCH(LOWER(Screener!$B$17),Database!$AC181&amp;""))))</f>
        <v/>
      </c>
      <c r="I181" s="220">
        <f>IF(OR(N(Database!$BH181)&lt;=0,N(Screener!$D$13)&lt;=0),0,MAX(0,1-ABS(LOG10(N(Database!$BH181)/Screener!$D$13))/W_PEHW))</f>
        <v/>
      </c>
      <c r="J181" s="220">
        <f>IF(OR(N(Database!$S181)&lt;=0,N(Screener!$D$14)&lt;=0),0,MAX(0,1-ABS(LOG10(Database!$S181/Screener!$D$14))/0.6))</f>
        <v/>
      </c>
      <c r="K181" s="220">
        <f>IF(Database!$B181=Screener!$B$5,-999999,IF(ISNUMBER(SEARCH(","&amp;Database!$A181&amp;",",","&amp;SUBSTITUTE(Screener!$D$17," ","")&amp;",")),2000000,IF(IF(OR(Screener!$B$18="All",AND(Screener!$B$18="With A-share",(Database!$BM181="Y")),AND(Screener!$B$18="Without A-share",NOT((Database!$BM181="Y")))),1,0)=0,-999999,IF(Screener!$B$16="cornerstone overlap first",H181*100000,IF(Screener!$B$16="demand-similar first",J181*100000,0))+W_SUB*B181+W_SEC*C181*(1-B181)+W_SIZE*D181+W_PROF*E181+W_AH*F181+W_REC*G181+W_CS*H181+W_PE*I181)))+ROW()/1000000</f>
        <v/>
      </c>
      <c r="AA181" s="220">
        <f>Database!B170</f>
        <v/>
      </c>
      <c r="AB181" s="220">
        <f>Database!D170</f>
        <v/>
      </c>
      <c r="AC181" s="220">
        <f>Database!E170</f>
        <v/>
      </c>
      <c r="AD181" s="220">
        <f>Database!I170</f>
        <v/>
      </c>
      <c r="AE181" s="220">
        <f>Database!BG170</f>
        <v/>
      </c>
      <c r="AF181" s="220">
        <f>Database!BM170</f>
        <v/>
      </c>
      <c r="AG181" s="220">
        <f>Database!H170</f>
        <v/>
      </c>
      <c r="AH181" s="220">
        <f>Database!BH170</f>
        <v/>
      </c>
    </row>
    <row r="182">
      <c r="A182" s="220">
        <f>Database!B182</f>
        <v/>
      </c>
      <c r="B182" s="220">
        <f>IF(AND(Screener!$D$8&lt;&gt;"",Database!$E182=Screener!$D$8),1,0)</f>
        <v/>
      </c>
      <c r="C182" s="220">
        <f>IF(AND(Screener!$D$7&lt;&gt;"",Database!$D182=Screener!$D$7),1,0)</f>
        <v/>
      </c>
      <c r="D182" s="220">
        <f>IF(OR(N(Database!$I182)&lt;=0,N(Screener!$D$9)&lt;=0),0,MAX(0,1-ABS(LOG10(N(Database!$I182)/Screener!$D$9))/W_SIZEHW))</f>
        <v/>
      </c>
      <c r="E182" s="220">
        <f>IF(OR(Database!$BG182="",Screener!$D$10=""),0,IF(Database!$BG182=Screener!$D$10,1,0))</f>
        <v/>
      </c>
      <c r="F182" s="220">
        <f>IF(OR(Database!$BM182="",Screener!$D$11=""),0,IF(Database!$BM182=Screener!$D$11,1,0))</f>
        <v/>
      </c>
      <c r="G182" s="220">
        <f>IF(OR(Database!$H182="",N(Screener!$D$12)&lt;=0),0,MAX(0,1-(N(Screener!$D$12)-Database!$H182)/W_RECD))</f>
        <v/>
      </c>
      <c r="H182" s="220">
        <f>IF($U$1="",0,N(ISNUMBER(SEARCH($U$1,Database!$AC182&amp;""))))+IF($V$1="",0,N(ISNUMBER(SEARCH($V$1,Database!$AC182&amp;""))))+IF($W$1="",0,N(ISNUMBER(SEARCH($W$1,Database!$AC182&amp;""))))+IF($X$1="",0,N(ISNUMBER(SEARCH($X$1,Database!$AC182&amp;""))))+IF($Y$1="",0,N(ISNUMBER(SEARCH($Y$1,Database!$AC182&amp;""))))+IF(Screener!$B$17="",0,N(ISNUMBER(SEARCH(LOWER(Screener!$B$17),Database!$AC182&amp;""))))</f>
        <v/>
      </c>
      <c r="I182" s="220">
        <f>IF(OR(N(Database!$BH182)&lt;=0,N(Screener!$D$13)&lt;=0),0,MAX(0,1-ABS(LOG10(N(Database!$BH182)/Screener!$D$13))/W_PEHW))</f>
        <v/>
      </c>
      <c r="J182" s="220">
        <f>IF(OR(N(Database!$S182)&lt;=0,N(Screener!$D$14)&lt;=0),0,MAX(0,1-ABS(LOG10(Database!$S182/Screener!$D$14))/0.6))</f>
        <v/>
      </c>
      <c r="K182" s="220">
        <f>IF(Database!$B182=Screener!$B$5,-999999,IF(ISNUMBER(SEARCH(","&amp;Database!$A182&amp;",",","&amp;SUBSTITUTE(Screener!$D$17," ","")&amp;",")),2000000,IF(IF(OR(Screener!$B$18="All",AND(Screener!$B$18="With A-share",(Database!$BM182="Y")),AND(Screener!$B$18="Without A-share",NOT((Database!$BM182="Y")))),1,0)=0,-999999,IF(Screener!$B$16="cornerstone overlap first",H182*100000,IF(Screener!$B$16="demand-similar first",J182*100000,0))+W_SUB*B182+W_SEC*C182*(1-B182)+W_SIZE*D182+W_PROF*E182+W_AH*F182+W_REC*G182+W_CS*H182+W_PE*I182)))+ROW()/1000000</f>
        <v/>
      </c>
      <c r="AA182" s="220">
        <f>Database!B171</f>
        <v/>
      </c>
      <c r="AB182" s="220">
        <f>Database!D171</f>
        <v/>
      </c>
      <c r="AC182" s="220">
        <f>Database!E171</f>
        <v/>
      </c>
      <c r="AD182" s="220">
        <f>Database!I171</f>
        <v/>
      </c>
      <c r="AE182" s="220">
        <f>Database!BG171</f>
        <v/>
      </c>
      <c r="AF182" s="220">
        <f>Database!BM171</f>
        <v/>
      </c>
      <c r="AG182" s="220">
        <f>Database!H171</f>
        <v/>
      </c>
      <c r="AH182" s="220">
        <f>Database!BH171</f>
        <v/>
      </c>
    </row>
    <row r="183">
      <c r="A183" s="220">
        <f>Database!B183</f>
        <v/>
      </c>
      <c r="B183" s="220">
        <f>IF(AND(Screener!$D$8&lt;&gt;"",Database!$E183=Screener!$D$8),1,0)</f>
        <v/>
      </c>
      <c r="C183" s="220">
        <f>IF(AND(Screener!$D$7&lt;&gt;"",Database!$D183=Screener!$D$7),1,0)</f>
        <v/>
      </c>
      <c r="D183" s="220">
        <f>IF(OR(N(Database!$I183)&lt;=0,N(Screener!$D$9)&lt;=0),0,MAX(0,1-ABS(LOG10(N(Database!$I183)/Screener!$D$9))/W_SIZEHW))</f>
        <v/>
      </c>
      <c r="E183" s="220">
        <f>IF(OR(Database!$BG183="",Screener!$D$10=""),0,IF(Database!$BG183=Screener!$D$10,1,0))</f>
        <v/>
      </c>
      <c r="F183" s="220">
        <f>IF(OR(Database!$BM183="",Screener!$D$11=""),0,IF(Database!$BM183=Screener!$D$11,1,0))</f>
        <v/>
      </c>
      <c r="G183" s="220">
        <f>IF(OR(Database!$H183="",N(Screener!$D$12)&lt;=0),0,MAX(0,1-(N(Screener!$D$12)-Database!$H183)/W_RECD))</f>
        <v/>
      </c>
      <c r="H183" s="220">
        <f>IF($U$1="",0,N(ISNUMBER(SEARCH($U$1,Database!$AC183&amp;""))))+IF($V$1="",0,N(ISNUMBER(SEARCH($V$1,Database!$AC183&amp;""))))+IF($W$1="",0,N(ISNUMBER(SEARCH($W$1,Database!$AC183&amp;""))))+IF($X$1="",0,N(ISNUMBER(SEARCH($X$1,Database!$AC183&amp;""))))+IF($Y$1="",0,N(ISNUMBER(SEARCH($Y$1,Database!$AC183&amp;""))))+IF(Screener!$B$17="",0,N(ISNUMBER(SEARCH(LOWER(Screener!$B$17),Database!$AC183&amp;""))))</f>
        <v/>
      </c>
      <c r="I183" s="220">
        <f>IF(OR(N(Database!$BH183)&lt;=0,N(Screener!$D$13)&lt;=0),0,MAX(0,1-ABS(LOG10(N(Database!$BH183)/Screener!$D$13))/W_PEHW))</f>
        <v/>
      </c>
      <c r="J183" s="220">
        <f>IF(OR(N(Database!$S183)&lt;=0,N(Screener!$D$14)&lt;=0),0,MAX(0,1-ABS(LOG10(Database!$S183/Screener!$D$14))/0.6))</f>
        <v/>
      </c>
      <c r="K183" s="220">
        <f>IF(Database!$B183=Screener!$B$5,-999999,IF(ISNUMBER(SEARCH(","&amp;Database!$A183&amp;",",","&amp;SUBSTITUTE(Screener!$D$17," ","")&amp;",")),2000000,IF(IF(OR(Screener!$B$18="All",AND(Screener!$B$18="With A-share",(Database!$BM183="Y")),AND(Screener!$B$18="Without A-share",NOT((Database!$BM183="Y")))),1,0)=0,-999999,IF(Screener!$B$16="cornerstone overlap first",H183*100000,IF(Screener!$B$16="demand-similar first",J183*100000,0))+W_SUB*B183+W_SEC*C183*(1-B183)+W_SIZE*D183+W_PROF*E183+W_AH*F183+W_REC*G183+W_CS*H183+W_PE*I183)))+ROW()/1000000</f>
        <v/>
      </c>
      <c r="AA183" s="220">
        <f>Database!B172</f>
        <v/>
      </c>
      <c r="AB183" s="220">
        <f>Database!D172</f>
        <v/>
      </c>
      <c r="AC183" s="220">
        <f>Database!E172</f>
        <v/>
      </c>
      <c r="AD183" s="220">
        <f>Database!I172</f>
        <v/>
      </c>
      <c r="AE183" s="220">
        <f>Database!BG172</f>
        <v/>
      </c>
      <c r="AF183" s="220">
        <f>Database!BM172</f>
        <v/>
      </c>
      <c r="AG183" s="220">
        <f>Database!H172</f>
        <v/>
      </c>
      <c r="AH183" s="220">
        <f>Database!BH172</f>
        <v/>
      </c>
    </row>
    <row r="184">
      <c r="A184" s="220">
        <f>Database!B184</f>
        <v/>
      </c>
      <c r="B184" s="220">
        <f>IF(AND(Screener!$D$8&lt;&gt;"",Database!$E184=Screener!$D$8),1,0)</f>
        <v/>
      </c>
      <c r="C184" s="220">
        <f>IF(AND(Screener!$D$7&lt;&gt;"",Database!$D184=Screener!$D$7),1,0)</f>
        <v/>
      </c>
      <c r="D184" s="220">
        <f>IF(OR(N(Database!$I184)&lt;=0,N(Screener!$D$9)&lt;=0),0,MAX(0,1-ABS(LOG10(N(Database!$I184)/Screener!$D$9))/W_SIZEHW))</f>
        <v/>
      </c>
      <c r="E184" s="220">
        <f>IF(OR(Database!$BG184="",Screener!$D$10=""),0,IF(Database!$BG184=Screener!$D$10,1,0))</f>
        <v/>
      </c>
      <c r="F184" s="220">
        <f>IF(OR(Database!$BM184="",Screener!$D$11=""),0,IF(Database!$BM184=Screener!$D$11,1,0))</f>
        <v/>
      </c>
      <c r="G184" s="220">
        <f>IF(OR(Database!$H184="",N(Screener!$D$12)&lt;=0),0,MAX(0,1-(N(Screener!$D$12)-Database!$H184)/W_RECD))</f>
        <v/>
      </c>
      <c r="H184" s="220">
        <f>IF($U$1="",0,N(ISNUMBER(SEARCH($U$1,Database!$AC184&amp;""))))+IF($V$1="",0,N(ISNUMBER(SEARCH($V$1,Database!$AC184&amp;""))))+IF($W$1="",0,N(ISNUMBER(SEARCH($W$1,Database!$AC184&amp;""))))+IF($X$1="",0,N(ISNUMBER(SEARCH($X$1,Database!$AC184&amp;""))))+IF($Y$1="",0,N(ISNUMBER(SEARCH($Y$1,Database!$AC184&amp;""))))+IF(Screener!$B$17="",0,N(ISNUMBER(SEARCH(LOWER(Screener!$B$17),Database!$AC184&amp;""))))</f>
        <v/>
      </c>
      <c r="I184" s="220">
        <f>IF(OR(N(Database!$BH184)&lt;=0,N(Screener!$D$13)&lt;=0),0,MAX(0,1-ABS(LOG10(N(Database!$BH184)/Screener!$D$13))/W_PEHW))</f>
        <v/>
      </c>
      <c r="J184" s="220">
        <f>IF(OR(N(Database!$S184)&lt;=0,N(Screener!$D$14)&lt;=0),0,MAX(0,1-ABS(LOG10(Database!$S184/Screener!$D$14))/0.6))</f>
        <v/>
      </c>
      <c r="K184" s="220">
        <f>IF(Database!$B184=Screener!$B$5,-999999,IF(ISNUMBER(SEARCH(","&amp;Database!$A184&amp;",",","&amp;SUBSTITUTE(Screener!$D$17," ","")&amp;",")),2000000,IF(IF(OR(Screener!$B$18="All",AND(Screener!$B$18="With A-share",(Database!$BM184="Y")),AND(Screener!$B$18="Without A-share",NOT((Database!$BM184="Y")))),1,0)=0,-999999,IF(Screener!$B$16="cornerstone overlap first",H184*100000,IF(Screener!$B$16="demand-similar first",J184*100000,0))+W_SUB*B184+W_SEC*C184*(1-B184)+W_SIZE*D184+W_PROF*E184+W_AH*F184+W_REC*G184+W_CS*H184+W_PE*I184)))+ROW()/1000000</f>
        <v/>
      </c>
      <c r="AA184" s="220">
        <f>Database!B173</f>
        <v/>
      </c>
      <c r="AB184" s="220">
        <f>Database!D173</f>
        <v/>
      </c>
      <c r="AC184" s="220">
        <f>Database!E173</f>
        <v/>
      </c>
      <c r="AD184" s="220">
        <f>Database!I173</f>
        <v/>
      </c>
      <c r="AE184" s="220">
        <f>Database!BG173</f>
        <v/>
      </c>
      <c r="AF184" s="220">
        <f>Database!BM173</f>
        <v/>
      </c>
      <c r="AG184" s="220">
        <f>Database!H173</f>
        <v/>
      </c>
      <c r="AH184" s="220">
        <f>Database!BH173</f>
        <v/>
      </c>
    </row>
    <row r="185">
      <c r="A185" s="220">
        <f>Database!B185</f>
        <v/>
      </c>
      <c r="B185" s="220">
        <f>IF(AND(Screener!$D$8&lt;&gt;"",Database!$E185=Screener!$D$8),1,0)</f>
        <v/>
      </c>
      <c r="C185" s="220">
        <f>IF(AND(Screener!$D$7&lt;&gt;"",Database!$D185=Screener!$D$7),1,0)</f>
        <v/>
      </c>
      <c r="D185" s="220">
        <f>IF(OR(N(Database!$I185)&lt;=0,N(Screener!$D$9)&lt;=0),0,MAX(0,1-ABS(LOG10(N(Database!$I185)/Screener!$D$9))/W_SIZEHW))</f>
        <v/>
      </c>
      <c r="E185" s="220">
        <f>IF(OR(Database!$BG185="",Screener!$D$10=""),0,IF(Database!$BG185=Screener!$D$10,1,0))</f>
        <v/>
      </c>
      <c r="F185" s="220">
        <f>IF(OR(Database!$BM185="",Screener!$D$11=""),0,IF(Database!$BM185=Screener!$D$11,1,0))</f>
        <v/>
      </c>
      <c r="G185" s="220">
        <f>IF(OR(Database!$H185="",N(Screener!$D$12)&lt;=0),0,MAX(0,1-(N(Screener!$D$12)-Database!$H185)/W_RECD))</f>
        <v/>
      </c>
      <c r="H185" s="220">
        <f>IF($U$1="",0,N(ISNUMBER(SEARCH($U$1,Database!$AC185&amp;""))))+IF($V$1="",0,N(ISNUMBER(SEARCH($V$1,Database!$AC185&amp;""))))+IF($W$1="",0,N(ISNUMBER(SEARCH($W$1,Database!$AC185&amp;""))))+IF($X$1="",0,N(ISNUMBER(SEARCH($X$1,Database!$AC185&amp;""))))+IF($Y$1="",0,N(ISNUMBER(SEARCH($Y$1,Database!$AC185&amp;""))))+IF(Screener!$B$17="",0,N(ISNUMBER(SEARCH(LOWER(Screener!$B$17),Database!$AC185&amp;""))))</f>
        <v/>
      </c>
      <c r="I185" s="220">
        <f>IF(OR(N(Database!$BH185)&lt;=0,N(Screener!$D$13)&lt;=0),0,MAX(0,1-ABS(LOG10(N(Database!$BH185)/Screener!$D$13))/W_PEHW))</f>
        <v/>
      </c>
      <c r="J185" s="220">
        <f>IF(OR(N(Database!$S185)&lt;=0,N(Screener!$D$14)&lt;=0),0,MAX(0,1-ABS(LOG10(Database!$S185/Screener!$D$14))/0.6))</f>
        <v/>
      </c>
      <c r="K185" s="220">
        <f>IF(Database!$B185=Screener!$B$5,-999999,IF(ISNUMBER(SEARCH(","&amp;Database!$A185&amp;",",","&amp;SUBSTITUTE(Screener!$D$17," ","")&amp;",")),2000000,IF(IF(OR(Screener!$B$18="All",AND(Screener!$B$18="With A-share",(Database!$BM185="Y")),AND(Screener!$B$18="Without A-share",NOT((Database!$BM185="Y")))),1,0)=0,-999999,IF(Screener!$B$16="cornerstone overlap first",H185*100000,IF(Screener!$B$16="demand-similar first",J185*100000,0))+W_SUB*B185+W_SEC*C185*(1-B185)+W_SIZE*D185+W_PROF*E185+W_AH*F185+W_REC*G185+W_CS*H185+W_PE*I185)))+ROW()/1000000</f>
        <v/>
      </c>
      <c r="AA185" s="220">
        <f>Database!B174</f>
        <v/>
      </c>
      <c r="AB185" s="220">
        <f>Database!D174</f>
        <v/>
      </c>
      <c r="AC185" s="220">
        <f>Database!E174</f>
        <v/>
      </c>
      <c r="AD185" s="220">
        <f>Database!I174</f>
        <v/>
      </c>
      <c r="AE185" s="220">
        <f>Database!BG174</f>
        <v/>
      </c>
      <c r="AF185" s="220">
        <f>Database!BM174</f>
        <v/>
      </c>
      <c r="AG185" s="220">
        <f>Database!H174</f>
        <v/>
      </c>
      <c r="AH185" s="220">
        <f>Database!BH174</f>
        <v/>
      </c>
    </row>
    <row r="186">
      <c r="A186" s="220">
        <f>Database!B186</f>
        <v/>
      </c>
      <c r="B186" s="220">
        <f>IF(AND(Screener!$D$8&lt;&gt;"",Database!$E186=Screener!$D$8),1,0)</f>
        <v/>
      </c>
      <c r="C186" s="220">
        <f>IF(AND(Screener!$D$7&lt;&gt;"",Database!$D186=Screener!$D$7),1,0)</f>
        <v/>
      </c>
      <c r="D186" s="220">
        <f>IF(OR(N(Database!$I186)&lt;=0,N(Screener!$D$9)&lt;=0),0,MAX(0,1-ABS(LOG10(N(Database!$I186)/Screener!$D$9))/W_SIZEHW))</f>
        <v/>
      </c>
      <c r="E186" s="220">
        <f>IF(OR(Database!$BG186="",Screener!$D$10=""),0,IF(Database!$BG186=Screener!$D$10,1,0))</f>
        <v/>
      </c>
      <c r="F186" s="220">
        <f>IF(OR(Database!$BM186="",Screener!$D$11=""),0,IF(Database!$BM186=Screener!$D$11,1,0))</f>
        <v/>
      </c>
      <c r="G186" s="220">
        <f>IF(OR(Database!$H186="",N(Screener!$D$12)&lt;=0),0,MAX(0,1-(N(Screener!$D$12)-Database!$H186)/W_RECD))</f>
        <v/>
      </c>
      <c r="H186" s="220">
        <f>IF($U$1="",0,N(ISNUMBER(SEARCH($U$1,Database!$AC186&amp;""))))+IF($V$1="",0,N(ISNUMBER(SEARCH($V$1,Database!$AC186&amp;""))))+IF($W$1="",0,N(ISNUMBER(SEARCH($W$1,Database!$AC186&amp;""))))+IF($X$1="",0,N(ISNUMBER(SEARCH($X$1,Database!$AC186&amp;""))))+IF($Y$1="",0,N(ISNUMBER(SEARCH($Y$1,Database!$AC186&amp;""))))+IF(Screener!$B$17="",0,N(ISNUMBER(SEARCH(LOWER(Screener!$B$17),Database!$AC186&amp;""))))</f>
        <v/>
      </c>
      <c r="I186" s="220">
        <f>IF(OR(N(Database!$BH186)&lt;=0,N(Screener!$D$13)&lt;=0),0,MAX(0,1-ABS(LOG10(N(Database!$BH186)/Screener!$D$13))/W_PEHW))</f>
        <v/>
      </c>
      <c r="J186" s="220">
        <f>IF(OR(N(Database!$S186)&lt;=0,N(Screener!$D$14)&lt;=0),0,MAX(0,1-ABS(LOG10(Database!$S186/Screener!$D$14))/0.6))</f>
        <v/>
      </c>
      <c r="K186" s="220">
        <f>IF(Database!$B186=Screener!$B$5,-999999,IF(ISNUMBER(SEARCH(","&amp;Database!$A186&amp;",",","&amp;SUBSTITUTE(Screener!$D$17," ","")&amp;",")),2000000,IF(IF(OR(Screener!$B$18="All",AND(Screener!$B$18="With A-share",(Database!$BM186="Y")),AND(Screener!$B$18="Without A-share",NOT((Database!$BM186="Y")))),1,0)=0,-999999,IF(Screener!$B$16="cornerstone overlap first",H186*100000,IF(Screener!$B$16="demand-similar first",J186*100000,0))+W_SUB*B186+W_SEC*C186*(1-B186)+W_SIZE*D186+W_PROF*E186+W_AH*F186+W_REC*G186+W_CS*H186+W_PE*I186)))+ROW()/1000000</f>
        <v/>
      </c>
      <c r="AA186" s="220">
        <f>Database!B175</f>
        <v/>
      </c>
      <c r="AB186" s="220">
        <f>Database!D175</f>
        <v/>
      </c>
      <c r="AC186" s="220">
        <f>Database!E175</f>
        <v/>
      </c>
      <c r="AD186" s="220">
        <f>Database!I175</f>
        <v/>
      </c>
      <c r="AE186" s="220">
        <f>Database!BG175</f>
        <v/>
      </c>
      <c r="AF186" s="220">
        <f>Database!BM175</f>
        <v/>
      </c>
      <c r="AG186" s="220">
        <f>Database!H175</f>
        <v/>
      </c>
      <c r="AH186" s="220">
        <f>Database!BH175</f>
        <v/>
      </c>
    </row>
    <row r="187">
      <c r="A187" s="220">
        <f>Database!B187</f>
        <v/>
      </c>
      <c r="B187" s="220">
        <f>IF(AND(Screener!$D$8&lt;&gt;"",Database!$E187=Screener!$D$8),1,0)</f>
        <v/>
      </c>
      <c r="C187" s="220">
        <f>IF(AND(Screener!$D$7&lt;&gt;"",Database!$D187=Screener!$D$7),1,0)</f>
        <v/>
      </c>
      <c r="D187" s="220">
        <f>IF(OR(N(Database!$I187)&lt;=0,N(Screener!$D$9)&lt;=0),0,MAX(0,1-ABS(LOG10(N(Database!$I187)/Screener!$D$9))/W_SIZEHW))</f>
        <v/>
      </c>
      <c r="E187" s="220">
        <f>IF(OR(Database!$BG187="",Screener!$D$10=""),0,IF(Database!$BG187=Screener!$D$10,1,0))</f>
        <v/>
      </c>
      <c r="F187" s="220">
        <f>IF(OR(Database!$BM187="",Screener!$D$11=""),0,IF(Database!$BM187=Screener!$D$11,1,0))</f>
        <v/>
      </c>
      <c r="G187" s="220">
        <f>IF(OR(Database!$H187="",N(Screener!$D$12)&lt;=0),0,MAX(0,1-(N(Screener!$D$12)-Database!$H187)/W_RECD))</f>
        <v/>
      </c>
      <c r="H187" s="220">
        <f>IF($U$1="",0,N(ISNUMBER(SEARCH($U$1,Database!$AC187&amp;""))))+IF($V$1="",0,N(ISNUMBER(SEARCH($V$1,Database!$AC187&amp;""))))+IF($W$1="",0,N(ISNUMBER(SEARCH($W$1,Database!$AC187&amp;""))))+IF($X$1="",0,N(ISNUMBER(SEARCH($X$1,Database!$AC187&amp;""))))+IF($Y$1="",0,N(ISNUMBER(SEARCH($Y$1,Database!$AC187&amp;""))))+IF(Screener!$B$17="",0,N(ISNUMBER(SEARCH(LOWER(Screener!$B$17),Database!$AC187&amp;""))))</f>
        <v/>
      </c>
      <c r="I187" s="220">
        <f>IF(OR(N(Database!$BH187)&lt;=0,N(Screener!$D$13)&lt;=0),0,MAX(0,1-ABS(LOG10(N(Database!$BH187)/Screener!$D$13))/W_PEHW))</f>
        <v/>
      </c>
      <c r="J187" s="220">
        <f>IF(OR(N(Database!$S187)&lt;=0,N(Screener!$D$14)&lt;=0),0,MAX(0,1-ABS(LOG10(Database!$S187/Screener!$D$14))/0.6))</f>
        <v/>
      </c>
      <c r="K187" s="220">
        <f>IF(Database!$B187=Screener!$B$5,-999999,IF(ISNUMBER(SEARCH(","&amp;Database!$A187&amp;",",","&amp;SUBSTITUTE(Screener!$D$17," ","")&amp;",")),2000000,IF(IF(OR(Screener!$B$18="All",AND(Screener!$B$18="With A-share",(Database!$BM187="Y")),AND(Screener!$B$18="Without A-share",NOT((Database!$BM187="Y")))),1,0)=0,-999999,IF(Screener!$B$16="cornerstone overlap first",H187*100000,IF(Screener!$B$16="demand-similar first",J187*100000,0))+W_SUB*B187+W_SEC*C187*(1-B187)+W_SIZE*D187+W_PROF*E187+W_AH*F187+W_REC*G187+W_CS*H187+W_PE*I187)))+ROW()/1000000</f>
        <v/>
      </c>
      <c r="AA187" s="220">
        <f>Database!B176</f>
        <v/>
      </c>
      <c r="AB187" s="220">
        <f>Database!D176</f>
        <v/>
      </c>
      <c r="AC187" s="220">
        <f>Database!E176</f>
        <v/>
      </c>
      <c r="AD187" s="220">
        <f>Database!I176</f>
        <v/>
      </c>
      <c r="AE187" s="220">
        <f>Database!BG176</f>
        <v/>
      </c>
      <c r="AF187" s="220">
        <f>Database!BM176</f>
        <v/>
      </c>
      <c r="AG187" s="220">
        <f>Database!H176</f>
        <v/>
      </c>
      <c r="AH187" s="220">
        <f>Database!BH176</f>
        <v/>
      </c>
    </row>
    <row r="188">
      <c r="A188" s="220">
        <f>Database!B188</f>
        <v/>
      </c>
      <c r="B188" s="220">
        <f>IF(AND(Screener!$D$8&lt;&gt;"",Database!$E188=Screener!$D$8),1,0)</f>
        <v/>
      </c>
      <c r="C188" s="220">
        <f>IF(AND(Screener!$D$7&lt;&gt;"",Database!$D188=Screener!$D$7),1,0)</f>
        <v/>
      </c>
      <c r="D188" s="220">
        <f>IF(OR(N(Database!$I188)&lt;=0,N(Screener!$D$9)&lt;=0),0,MAX(0,1-ABS(LOG10(N(Database!$I188)/Screener!$D$9))/W_SIZEHW))</f>
        <v/>
      </c>
      <c r="E188" s="220">
        <f>IF(OR(Database!$BG188="",Screener!$D$10=""),0,IF(Database!$BG188=Screener!$D$10,1,0))</f>
        <v/>
      </c>
      <c r="F188" s="220">
        <f>IF(OR(Database!$BM188="",Screener!$D$11=""),0,IF(Database!$BM188=Screener!$D$11,1,0))</f>
        <v/>
      </c>
      <c r="G188" s="220">
        <f>IF(OR(Database!$H188="",N(Screener!$D$12)&lt;=0),0,MAX(0,1-(N(Screener!$D$12)-Database!$H188)/W_RECD))</f>
        <v/>
      </c>
      <c r="H188" s="220">
        <f>IF($U$1="",0,N(ISNUMBER(SEARCH($U$1,Database!$AC188&amp;""))))+IF($V$1="",0,N(ISNUMBER(SEARCH($V$1,Database!$AC188&amp;""))))+IF($W$1="",0,N(ISNUMBER(SEARCH($W$1,Database!$AC188&amp;""))))+IF($X$1="",0,N(ISNUMBER(SEARCH($X$1,Database!$AC188&amp;""))))+IF($Y$1="",0,N(ISNUMBER(SEARCH($Y$1,Database!$AC188&amp;""))))+IF(Screener!$B$17="",0,N(ISNUMBER(SEARCH(LOWER(Screener!$B$17),Database!$AC188&amp;""))))</f>
        <v/>
      </c>
      <c r="I188" s="220">
        <f>IF(OR(N(Database!$BH188)&lt;=0,N(Screener!$D$13)&lt;=0),0,MAX(0,1-ABS(LOG10(N(Database!$BH188)/Screener!$D$13))/W_PEHW))</f>
        <v/>
      </c>
      <c r="J188" s="220">
        <f>IF(OR(N(Database!$S188)&lt;=0,N(Screener!$D$14)&lt;=0),0,MAX(0,1-ABS(LOG10(Database!$S188/Screener!$D$14))/0.6))</f>
        <v/>
      </c>
      <c r="K188" s="220">
        <f>IF(Database!$B188=Screener!$B$5,-999999,IF(ISNUMBER(SEARCH(","&amp;Database!$A188&amp;",",","&amp;SUBSTITUTE(Screener!$D$17," ","")&amp;",")),2000000,IF(IF(OR(Screener!$B$18="All",AND(Screener!$B$18="With A-share",(Database!$BM188="Y")),AND(Screener!$B$18="Without A-share",NOT((Database!$BM188="Y")))),1,0)=0,-999999,IF(Screener!$B$16="cornerstone overlap first",H188*100000,IF(Screener!$B$16="demand-similar first",J188*100000,0))+W_SUB*B188+W_SEC*C188*(1-B188)+W_SIZE*D188+W_PROF*E188+W_AH*F188+W_REC*G188+W_CS*H188+W_PE*I188)))+ROW()/1000000</f>
        <v/>
      </c>
      <c r="AA188" s="220">
        <f>Database!B177</f>
        <v/>
      </c>
      <c r="AB188" s="220">
        <f>Database!D177</f>
        <v/>
      </c>
      <c r="AC188" s="220">
        <f>Database!E177</f>
        <v/>
      </c>
      <c r="AD188" s="220">
        <f>Database!I177</f>
        <v/>
      </c>
      <c r="AE188" s="220">
        <f>Database!BG177</f>
        <v/>
      </c>
      <c r="AF188" s="220">
        <f>Database!BM177</f>
        <v/>
      </c>
      <c r="AG188" s="220">
        <f>Database!H177</f>
        <v/>
      </c>
      <c r="AH188" s="220">
        <f>Database!BH177</f>
        <v/>
      </c>
    </row>
    <row r="189">
      <c r="A189" s="220">
        <f>Database!B189</f>
        <v/>
      </c>
      <c r="B189" s="220">
        <f>IF(AND(Screener!$D$8&lt;&gt;"",Database!$E189=Screener!$D$8),1,0)</f>
        <v/>
      </c>
      <c r="C189" s="220">
        <f>IF(AND(Screener!$D$7&lt;&gt;"",Database!$D189=Screener!$D$7),1,0)</f>
        <v/>
      </c>
      <c r="D189" s="220">
        <f>IF(OR(N(Database!$I189)&lt;=0,N(Screener!$D$9)&lt;=0),0,MAX(0,1-ABS(LOG10(N(Database!$I189)/Screener!$D$9))/W_SIZEHW))</f>
        <v/>
      </c>
      <c r="E189" s="220">
        <f>IF(OR(Database!$BG189="",Screener!$D$10=""),0,IF(Database!$BG189=Screener!$D$10,1,0))</f>
        <v/>
      </c>
      <c r="F189" s="220">
        <f>IF(OR(Database!$BM189="",Screener!$D$11=""),0,IF(Database!$BM189=Screener!$D$11,1,0))</f>
        <v/>
      </c>
      <c r="G189" s="220">
        <f>IF(OR(Database!$H189="",N(Screener!$D$12)&lt;=0),0,MAX(0,1-(N(Screener!$D$12)-Database!$H189)/W_RECD))</f>
        <v/>
      </c>
      <c r="H189" s="220">
        <f>IF($U$1="",0,N(ISNUMBER(SEARCH($U$1,Database!$AC189&amp;""))))+IF($V$1="",0,N(ISNUMBER(SEARCH($V$1,Database!$AC189&amp;""))))+IF($W$1="",0,N(ISNUMBER(SEARCH($W$1,Database!$AC189&amp;""))))+IF($X$1="",0,N(ISNUMBER(SEARCH($X$1,Database!$AC189&amp;""))))+IF($Y$1="",0,N(ISNUMBER(SEARCH($Y$1,Database!$AC189&amp;""))))+IF(Screener!$B$17="",0,N(ISNUMBER(SEARCH(LOWER(Screener!$B$17),Database!$AC189&amp;""))))</f>
        <v/>
      </c>
      <c r="I189" s="220">
        <f>IF(OR(N(Database!$BH189)&lt;=0,N(Screener!$D$13)&lt;=0),0,MAX(0,1-ABS(LOG10(N(Database!$BH189)/Screener!$D$13))/W_PEHW))</f>
        <v/>
      </c>
      <c r="J189" s="220">
        <f>IF(OR(N(Database!$S189)&lt;=0,N(Screener!$D$14)&lt;=0),0,MAX(0,1-ABS(LOG10(Database!$S189/Screener!$D$14))/0.6))</f>
        <v/>
      </c>
      <c r="K189" s="220">
        <f>IF(Database!$B189=Screener!$B$5,-999999,IF(ISNUMBER(SEARCH(","&amp;Database!$A189&amp;",",","&amp;SUBSTITUTE(Screener!$D$17," ","")&amp;",")),2000000,IF(IF(OR(Screener!$B$18="All",AND(Screener!$B$18="With A-share",(Database!$BM189="Y")),AND(Screener!$B$18="Without A-share",NOT((Database!$BM189="Y")))),1,0)=0,-999999,IF(Screener!$B$16="cornerstone overlap first",H189*100000,IF(Screener!$B$16="demand-similar first",J189*100000,0))+W_SUB*B189+W_SEC*C189*(1-B189)+W_SIZE*D189+W_PROF*E189+W_AH*F189+W_REC*G189+W_CS*H189+W_PE*I189)))+ROW()/1000000</f>
        <v/>
      </c>
      <c r="AA189" s="220">
        <f>Database!B178</f>
        <v/>
      </c>
      <c r="AB189" s="220">
        <f>Database!D178</f>
        <v/>
      </c>
      <c r="AC189" s="220">
        <f>Database!E178</f>
        <v/>
      </c>
      <c r="AD189" s="220">
        <f>Database!I178</f>
        <v/>
      </c>
      <c r="AE189" s="220">
        <f>Database!BG178</f>
        <v/>
      </c>
      <c r="AF189" s="220">
        <f>Database!BM178</f>
        <v/>
      </c>
      <c r="AG189" s="220">
        <f>Database!H178</f>
        <v/>
      </c>
      <c r="AH189" s="220">
        <f>Database!BH178</f>
        <v/>
      </c>
    </row>
    <row r="190">
      <c r="A190" s="220">
        <f>Database!B190</f>
        <v/>
      </c>
      <c r="B190" s="220">
        <f>IF(AND(Screener!$D$8&lt;&gt;"",Database!$E190=Screener!$D$8),1,0)</f>
        <v/>
      </c>
      <c r="C190" s="220">
        <f>IF(AND(Screener!$D$7&lt;&gt;"",Database!$D190=Screener!$D$7),1,0)</f>
        <v/>
      </c>
      <c r="D190" s="220">
        <f>IF(OR(N(Database!$I190)&lt;=0,N(Screener!$D$9)&lt;=0),0,MAX(0,1-ABS(LOG10(N(Database!$I190)/Screener!$D$9))/W_SIZEHW))</f>
        <v/>
      </c>
      <c r="E190" s="220">
        <f>IF(OR(Database!$BG190="",Screener!$D$10=""),0,IF(Database!$BG190=Screener!$D$10,1,0))</f>
        <v/>
      </c>
      <c r="F190" s="220">
        <f>IF(OR(Database!$BM190="",Screener!$D$11=""),0,IF(Database!$BM190=Screener!$D$11,1,0))</f>
        <v/>
      </c>
      <c r="G190" s="220">
        <f>IF(OR(Database!$H190="",N(Screener!$D$12)&lt;=0),0,MAX(0,1-(N(Screener!$D$12)-Database!$H190)/W_RECD))</f>
        <v/>
      </c>
      <c r="H190" s="220">
        <f>IF($U$1="",0,N(ISNUMBER(SEARCH($U$1,Database!$AC190&amp;""))))+IF($V$1="",0,N(ISNUMBER(SEARCH($V$1,Database!$AC190&amp;""))))+IF($W$1="",0,N(ISNUMBER(SEARCH($W$1,Database!$AC190&amp;""))))+IF($X$1="",0,N(ISNUMBER(SEARCH($X$1,Database!$AC190&amp;""))))+IF($Y$1="",0,N(ISNUMBER(SEARCH($Y$1,Database!$AC190&amp;""))))+IF(Screener!$B$17="",0,N(ISNUMBER(SEARCH(LOWER(Screener!$B$17),Database!$AC190&amp;""))))</f>
        <v/>
      </c>
      <c r="I190" s="220">
        <f>IF(OR(N(Database!$BH190)&lt;=0,N(Screener!$D$13)&lt;=0),0,MAX(0,1-ABS(LOG10(N(Database!$BH190)/Screener!$D$13))/W_PEHW))</f>
        <v/>
      </c>
      <c r="J190" s="220">
        <f>IF(OR(N(Database!$S190)&lt;=0,N(Screener!$D$14)&lt;=0),0,MAX(0,1-ABS(LOG10(Database!$S190/Screener!$D$14))/0.6))</f>
        <v/>
      </c>
      <c r="K190" s="220">
        <f>IF(Database!$B190=Screener!$B$5,-999999,IF(ISNUMBER(SEARCH(","&amp;Database!$A190&amp;",",","&amp;SUBSTITUTE(Screener!$D$17," ","")&amp;",")),2000000,IF(IF(OR(Screener!$B$18="All",AND(Screener!$B$18="With A-share",(Database!$BM190="Y")),AND(Screener!$B$18="Without A-share",NOT((Database!$BM190="Y")))),1,0)=0,-999999,IF(Screener!$B$16="cornerstone overlap first",H190*100000,IF(Screener!$B$16="demand-similar first",J190*100000,0))+W_SUB*B190+W_SEC*C190*(1-B190)+W_SIZE*D190+W_PROF*E190+W_AH*F190+W_REC*G190+W_CS*H190+W_PE*I190)))+ROW()/1000000</f>
        <v/>
      </c>
      <c r="AA190" s="220">
        <f>Database!B179</f>
        <v/>
      </c>
      <c r="AB190" s="220">
        <f>Database!D179</f>
        <v/>
      </c>
      <c r="AC190" s="220">
        <f>Database!E179</f>
        <v/>
      </c>
      <c r="AD190" s="220">
        <f>Database!I179</f>
        <v/>
      </c>
      <c r="AE190" s="220">
        <f>Database!BG179</f>
        <v/>
      </c>
      <c r="AF190" s="220">
        <f>Database!BM179</f>
        <v/>
      </c>
      <c r="AG190" s="220">
        <f>Database!H179</f>
        <v/>
      </c>
      <c r="AH190" s="220">
        <f>Database!BH179</f>
        <v/>
      </c>
    </row>
    <row r="191">
      <c r="A191" s="220">
        <f>Database!B191</f>
        <v/>
      </c>
      <c r="B191" s="220">
        <f>IF(AND(Screener!$D$8&lt;&gt;"",Database!$E191=Screener!$D$8),1,0)</f>
        <v/>
      </c>
      <c r="C191" s="220">
        <f>IF(AND(Screener!$D$7&lt;&gt;"",Database!$D191=Screener!$D$7),1,0)</f>
        <v/>
      </c>
      <c r="D191" s="220">
        <f>IF(OR(N(Database!$I191)&lt;=0,N(Screener!$D$9)&lt;=0),0,MAX(0,1-ABS(LOG10(N(Database!$I191)/Screener!$D$9))/W_SIZEHW))</f>
        <v/>
      </c>
      <c r="E191" s="220">
        <f>IF(OR(Database!$BG191="",Screener!$D$10=""),0,IF(Database!$BG191=Screener!$D$10,1,0))</f>
        <v/>
      </c>
      <c r="F191" s="220">
        <f>IF(OR(Database!$BM191="",Screener!$D$11=""),0,IF(Database!$BM191=Screener!$D$11,1,0))</f>
        <v/>
      </c>
      <c r="G191" s="220">
        <f>IF(OR(Database!$H191="",N(Screener!$D$12)&lt;=0),0,MAX(0,1-(N(Screener!$D$12)-Database!$H191)/W_RECD))</f>
        <v/>
      </c>
      <c r="H191" s="220">
        <f>IF($U$1="",0,N(ISNUMBER(SEARCH($U$1,Database!$AC191&amp;""))))+IF($V$1="",0,N(ISNUMBER(SEARCH($V$1,Database!$AC191&amp;""))))+IF($W$1="",0,N(ISNUMBER(SEARCH($W$1,Database!$AC191&amp;""))))+IF($X$1="",0,N(ISNUMBER(SEARCH($X$1,Database!$AC191&amp;""))))+IF($Y$1="",0,N(ISNUMBER(SEARCH($Y$1,Database!$AC191&amp;""))))+IF(Screener!$B$17="",0,N(ISNUMBER(SEARCH(LOWER(Screener!$B$17),Database!$AC191&amp;""))))</f>
        <v/>
      </c>
      <c r="I191" s="220">
        <f>IF(OR(N(Database!$BH191)&lt;=0,N(Screener!$D$13)&lt;=0),0,MAX(0,1-ABS(LOG10(N(Database!$BH191)/Screener!$D$13))/W_PEHW))</f>
        <v/>
      </c>
      <c r="J191" s="220">
        <f>IF(OR(N(Database!$S191)&lt;=0,N(Screener!$D$14)&lt;=0),0,MAX(0,1-ABS(LOG10(Database!$S191/Screener!$D$14))/0.6))</f>
        <v/>
      </c>
      <c r="K191" s="220">
        <f>IF(Database!$B191=Screener!$B$5,-999999,IF(ISNUMBER(SEARCH(","&amp;Database!$A191&amp;",",","&amp;SUBSTITUTE(Screener!$D$17," ","")&amp;",")),2000000,IF(IF(OR(Screener!$B$18="All",AND(Screener!$B$18="With A-share",(Database!$BM191="Y")),AND(Screener!$B$18="Without A-share",NOT((Database!$BM191="Y")))),1,0)=0,-999999,IF(Screener!$B$16="cornerstone overlap first",H191*100000,IF(Screener!$B$16="demand-similar first",J191*100000,0))+W_SUB*B191+W_SEC*C191*(1-B191)+W_SIZE*D191+W_PROF*E191+W_AH*F191+W_REC*G191+W_CS*H191+W_PE*I191)))+ROW()/1000000</f>
        <v/>
      </c>
      <c r="AA191" s="220">
        <f>Database!B180</f>
        <v/>
      </c>
      <c r="AB191" s="220">
        <f>Database!D180</f>
        <v/>
      </c>
      <c r="AC191" s="220">
        <f>Database!E180</f>
        <v/>
      </c>
      <c r="AD191" s="220">
        <f>Database!I180</f>
        <v/>
      </c>
      <c r="AE191" s="220">
        <f>Database!BG180</f>
        <v/>
      </c>
      <c r="AF191" s="220">
        <f>Database!BM180</f>
        <v/>
      </c>
      <c r="AG191" s="220">
        <f>Database!H180</f>
        <v/>
      </c>
      <c r="AH191" s="220">
        <f>Database!BH180</f>
        <v/>
      </c>
    </row>
    <row r="192">
      <c r="A192" s="220">
        <f>Database!B192</f>
        <v/>
      </c>
      <c r="B192" s="220">
        <f>IF(AND(Screener!$D$8&lt;&gt;"",Database!$E192=Screener!$D$8),1,0)</f>
        <v/>
      </c>
      <c r="C192" s="220">
        <f>IF(AND(Screener!$D$7&lt;&gt;"",Database!$D192=Screener!$D$7),1,0)</f>
        <v/>
      </c>
      <c r="D192" s="220">
        <f>IF(OR(N(Database!$I192)&lt;=0,N(Screener!$D$9)&lt;=0),0,MAX(0,1-ABS(LOG10(N(Database!$I192)/Screener!$D$9))/W_SIZEHW))</f>
        <v/>
      </c>
      <c r="E192" s="220">
        <f>IF(OR(Database!$BG192="",Screener!$D$10=""),0,IF(Database!$BG192=Screener!$D$10,1,0))</f>
        <v/>
      </c>
      <c r="F192" s="220">
        <f>IF(OR(Database!$BM192="",Screener!$D$11=""),0,IF(Database!$BM192=Screener!$D$11,1,0))</f>
        <v/>
      </c>
      <c r="G192" s="220">
        <f>IF(OR(Database!$H192="",N(Screener!$D$12)&lt;=0),0,MAX(0,1-(N(Screener!$D$12)-Database!$H192)/W_RECD))</f>
        <v/>
      </c>
      <c r="H192" s="220">
        <f>IF($U$1="",0,N(ISNUMBER(SEARCH($U$1,Database!$AC192&amp;""))))+IF($V$1="",0,N(ISNUMBER(SEARCH($V$1,Database!$AC192&amp;""))))+IF($W$1="",0,N(ISNUMBER(SEARCH($W$1,Database!$AC192&amp;""))))+IF($X$1="",0,N(ISNUMBER(SEARCH($X$1,Database!$AC192&amp;""))))+IF($Y$1="",0,N(ISNUMBER(SEARCH($Y$1,Database!$AC192&amp;""))))+IF(Screener!$B$17="",0,N(ISNUMBER(SEARCH(LOWER(Screener!$B$17),Database!$AC192&amp;""))))</f>
        <v/>
      </c>
      <c r="I192" s="220">
        <f>IF(OR(N(Database!$BH192)&lt;=0,N(Screener!$D$13)&lt;=0),0,MAX(0,1-ABS(LOG10(N(Database!$BH192)/Screener!$D$13))/W_PEHW))</f>
        <v/>
      </c>
      <c r="J192" s="220">
        <f>IF(OR(N(Database!$S192)&lt;=0,N(Screener!$D$14)&lt;=0),0,MAX(0,1-ABS(LOG10(Database!$S192/Screener!$D$14))/0.6))</f>
        <v/>
      </c>
      <c r="K192" s="220">
        <f>IF(Database!$B192=Screener!$B$5,-999999,IF(ISNUMBER(SEARCH(","&amp;Database!$A192&amp;",",","&amp;SUBSTITUTE(Screener!$D$17," ","")&amp;",")),2000000,IF(IF(OR(Screener!$B$18="All",AND(Screener!$B$18="With A-share",(Database!$BM192="Y")),AND(Screener!$B$18="Without A-share",NOT((Database!$BM192="Y")))),1,0)=0,-999999,IF(Screener!$B$16="cornerstone overlap first",H192*100000,IF(Screener!$B$16="demand-similar first",J192*100000,0))+W_SUB*B192+W_SEC*C192*(1-B192)+W_SIZE*D192+W_PROF*E192+W_AH*F192+W_REC*G192+W_CS*H192+W_PE*I192)))+ROW()/1000000</f>
        <v/>
      </c>
      <c r="AA192" s="220">
        <f>Database!B181</f>
        <v/>
      </c>
      <c r="AB192" s="220">
        <f>Database!D181</f>
        <v/>
      </c>
      <c r="AC192" s="220">
        <f>Database!E181</f>
        <v/>
      </c>
      <c r="AD192" s="220">
        <f>Database!I181</f>
        <v/>
      </c>
      <c r="AE192" s="220">
        <f>Database!BG181</f>
        <v/>
      </c>
      <c r="AF192" s="220">
        <f>Database!BM181</f>
        <v/>
      </c>
      <c r="AG192" s="220">
        <f>Database!H181</f>
        <v/>
      </c>
      <c r="AH192" s="220">
        <f>Database!BH181</f>
        <v/>
      </c>
    </row>
    <row r="193">
      <c r="A193" s="220">
        <f>Database!B193</f>
        <v/>
      </c>
      <c r="B193" s="220">
        <f>IF(AND(Screener!$D$8&lt;&gt;"",Database!$E193=Screener!$D$8),1,0)</f>
        <v/>
      </c>
      <c r="C193" s="220">
        <f>IF(AND(Screener!$D$7&lt;&gt;"",Database!$D193=Screener!$D$7),1,0)</f>
        <v/>
      </c>
      <c r="D193" s="220">
        <f>IF(OR(N(Database!$I193)&lt;=0,N(Screener!$D$9)&lt;=0),0,MAX(0,1-ABS(LOG10(N(Database!$I193)/Screener!$D$9))/W_SIZEHW))</f>
        <v/>
      </c>
      <c r="E193" s="220">
        <f>IF(OR(Database!$BG193="",Screener!$D$10=""),0,IF(Database!$BG193=Screener!$D$10,1,0))</f>
        <v/>
      </c>
      <c r="F193" s="220">
        <f>IF(OR(Database!$BM193="",Screener!$D$11=""),0,IF(Database!$BM193=Screener!$D$11,1,0))</f>
        <v/>
      </c>
      <c r="G193" s="220">
        <f>IF(OR(Database!$H193="",N(Screener!$D$12)&lt;=0),0,MAX(0,1-(N(Screener!$D$12)-Database!$H193)/W_RECD))</f>
        <v/>
      </c>
      <c r="H193" s="220">
        <f>IF($U$1="",0,N(ISNUMBER(SEARCH($U$1,Database!$AC193&amp;""))))+IF($V$1="",0,N(ISNUMBER(SEARCH($V$1,Database!$AC193&amp;""))))+IF($W$1="",0,N(ISNUMBER(SEARCH($W$1,Database!$AC193&amp;""))))+IF($X$1="",0,N(ISNUMBER(SEARCH($X$1,Database!$AC193&amp;""))))+IF($Y$1="",0,N(ISNUMBER(SEARCH($Y$1,Database!$AC193&amp;""))))+IF(Screener!$B$17="",0,N(ISNUMBER(SEARCH(LOWER(Screener!$B$17),Database!$AC193&amp;""))))</f>
        <v/>
      </c>
      <c r="I193" s="220">
        <f>IF(OR(N(Database!$BH193)&lt;=0,N(Screener!$D$13)&lt;=0),0,MAX(0,1-ABS(LOG10(N(Database!$BH193)/Screener!$D$13))/W_PEHW))</f>
        <v/>
      </c>
      <c r="J193" s="220">
        <f>IF(OR(N(Database!$S193)&lt;=0,N(Screener!$D$14)&lt;=0),0,MAX(0,1-ABS(LOG10(Database!$S193/Screener!$D$14))/0.6))</f>
        <v/>
      </c>
      <c r="K193" s="220">
        <f>IF(Database!$B193=Screener!$B$5,-999999,IF(ISNUMBER(SEARCH(","&amp;Database!$A193&amp;",",","&amp;SUBSTITUTE(Screener!$D$17," ","")&amp;",")),2000000,IF(IF(OR(Screener!$B$18="All",AND(Screener!$B$18="With A-share",(Database!$BM193="Y")),AND(Screener!$B$18="Without A-share",NOT((Database!$BM193="Y")))),1,0)=0,-999999,IF(Screener!$B$16="cornerstone overlap first",H193*100000,IF(Screener!$B$16="demand-similar first",J193*100000,0))+W_SUB*B193+W_SEC*C193*(1-B193)+W_SIZE*D193+W_PROF*E193+W_AH*F193+W_REC*G193+W_CS*H193+W_PE*I193)))+ROW()/1000000</f>
        <v/>
      </c>
      <c r="AA193" s="220">
        <f>Database!B182</f>
        <v/>
      </c>
      <c r="AB193" s="220">
        <f>Database!D182</f>
        <v/>
      </c>
      <c r="AC193" s="220">
        <f>Database!E182</f>
        <v/>
      </c>
      <c r="AD193" s="220">
        <f>Database!I182</f>
        <v/>
      </c>
      <c r="AE193" s="220">
        <f>Database!BG182</f>
        <v/>
      </c>
      <c r="AF193" s="220">
        <f>Database!BM182</f>
        <v/>
      </c>
      <c r="AG193" s="220">
        <f>Database!H182</f>
        <v/>
      </c>
      <c r="AH193" s="220">
        <f>Database!BH182</f>
        <v/>
      </c>
    </row>
    <row r="194">
      <c r="A194" s="220">
        <f>Database!B194</f>
        <v/>
      </c>
      <c r="B194" s="220">
        <f>IF(AND(Screener!$D$8&lt;&gt;"",Database!$E194=Screener!$D$8),1,0)</f>
        <v/>
      </c>
      <c r="C194" s="220">
        <f>IF(AND(Screener!$D$7&lt;&gt;"",Database!$D194=Screener!$D$7),1,0)</f>
        <v/>
      </c>
      <c r="D194" s="220">
        <f>IF(OR(N(Database!$I194)&lt;=0,N(Screener!$D$9)&lt;=0),0,MAX(0,1-ABS(LOG10(N(Database!$I194)/Screener!$D$9))/W_SIZEHW))</f>
        <v/>
      </c>
      <c r="E194" s="220">
        <f>IF(OR(Database!$BG194="",Screener!$D$10=""),0,IF(Database!$BG194=Screener!$D$10,1,0))</f>
        <v/>
      </c>
      <c r="F194" s="220">
        <f>IF(OR(Database!$BM194="",Screener!$D$11=""),0,IF(Database!$BM194=Screener!$D$11,1,0))</f>
        <v/>
      </c>
      <c r="G194" s="220">
        <f>IF(OR(Database!$H194="",N(Screener!$D$12)&lt;=0),0,MAX(0,1-(N(Screener!$D$12)-Database!$H194)/W_RECD))</f>
        <v/>
      </c>
      <c r="H194" s="220">
        <f>IF($U$1="",0,N(ISNUMBER(SEARCH($U$1,Database!$AC194&amp;""))))+IF($V$1="",0,N(ISNUMBER(SEARCH($V$1,Database!$AC194&amp;""))))+IF($W$1="",0,N(ISNUMBER(SEARCH($W$1,Database!$AC194&amp;""))))+IF($X$1="",0,N(ISNUMBER(SEARCH($X$1,Database!$AC194&amp;""))))+IF($Y$1="",0,N(ISNUMBER(SEARCH($Y$1,Database!$AC194&amp;""))))+IF(Screener!$B$17="",0,N(ISNUMBER(SEARCH(LOWER(Screener!$B$17),Database!$AC194&amp;""))))</f>
        <v/>
      </c>
      <c r="I194" s="220">
        <f>IF(OR(N(Database!$BH194)&lt;=0,N(Screener!$D$13)&lt;=0),0,MAX(0,1-ABS(LOG10(N(Database!$BH194)/Screener!$D$13))/W_PEHW))</f>
        <v/>
      </c>
      <c r="J194" s="220">
        <f>IF(OR(N(Database!$S194)&lt;=0,N(Screener!$D$14)&lt;=0),0,MAX(0,1-ABS(LOG10(Database!$S194/Screener!$D$14))/0.6))</f>
        <v/>
      </c>
      <c r="K194" s="220">
        <f>IF(Database!$B194=Screener!$B$5,-999999,IF(ISNUMBER(SEARCH(","&amp;Database!$A194&amp;",",","&amp;SUBSTITUTE(Screener!$D$17," ","")&amp;",")),2000000,IF(IF(OR(Screener!$B$18="All",AND(Screener!$B$18="With A-share",(Database!$BM194="Y")),AND(Screener!$B$18="Without A-share",NOT((Database!$BM194="Y")))),1,0)=0,-999999,IF(Screener!$B$16="cornerstone overlap first",H194*100000,IF(Screener!$B$16="demand-similar first",J194*100000,0))+W_SUB*B194+W_SEC*C194*(1-B194)+W_SIZE*D194+W_PROF*E194+W_AH*F194+W_REC*G194+W_CS*H194+W_PE*I194)))+ROW()/1000000</f>
        <v/>
      </c>
      <c r="AA194" s="220">
        <f>Database!B183</f>
        <v/>
      </c>
      <c r="AB194" s="220">
        <f>Database!D183</f>
        <v/>
      </c>
      <c r="AC194" s="220">
        <f>Database!E183</f>
        <v/>
      </c>
      <c r="AD194" s="220">
        <f>Database!I183</f>
        <v/>
      </c>
      <c r="AE194" s="220">
        <f>Database!BG183</f>
        <v/>
      </c>
      <c r="AF194" s="220">
        <f>Database!BM183</f>
        <v/>
      </c>
      <c r="AG194" s="220">
        <f>Database!H183</f>
        <v/>
      </c>
      <c r="AH194" s="220">
        <f>Database!BH183</f>
        <v/>
      </c>
    </row>
    <row r="195">
      <c r="A195" s="220">
        <f>Database!B195</f>
        <v/>
      </c>
      <c r="B195" s="220">
        <f>IF(AND(Screener!$D$8&lt;&gt;"",Database!$E195=Screener!$D$8),1,0)</f>
        <v/>
      </c>
      <c r="C195" s="220">
        <f>IF(AND(Screener!$D$7&lt;&gt;"",Database!$D195=Screener!$D$7),1,0)</f>
        <v/>
      </c>
      <c r="D195" s="220">
        <f>IF(OR(N(Database!$I195)&lt;=0,N(Screener!$D$9)&lt;=0),0,MAX(0,1-ABS(LOG10(N(Database!$I195)/Screener!$D$9))/W_SIZEHW))</f>
        <v/>
      </c>
      <c r="E195" s="220">
        <f>IF(OR(Database!$BG195="",Screener!$D$10=""),0,IF(Database!$BG195=Screener!$D$10,1,0))</f>
        <v/>
      </c>
      <c r="F195" s="220">
        <f>IF(OR(Database!$BM195="",Screener!$D$11=""),0,IF(Database!$BM195=Screener!$D$11,1,0))</f>
        <v/>
      </c>
      <c r="G195" s="220">
        <f>IF(OR(Database!$H195="",N(Screener!$D$12)&lt;=0),0,MAX(0,1-(N(Screener!$D$12)-Database!$H195)/W_RECD))</f>
        <v/>
      </c>
      <c r="H195" s="220">
        <f>IF($U$1="",0,N(ISNUMBER(SEARCH($U$1,Database!$AC195&amp;""))))+IF($V$1="",0,N(ISNUMBER(SEARCH($V$1,Database!$AC195&amp;""))))+IF($W$1="",0,N(ISNUMBER(SEARCH($W$1,Database!$AC195&amp;""))))+IF($X$1="",0,N(ISNUMBER(SEARCH($X$1,Database!$AC195&amp;""))))+IF($Y$1="",0,N(ISNUMBER(SEARCH($Y$1,Database!$AC195&amp;""))))+IF(Screener!$B$17="",0,N(ISNUMBER(SEARCH(LOWER(Screener!$B$17),Database!$AC195&amp;""))))</f>
        <v/>
      </c>
      <c r="I195" s="220">
        <f>IF(OR(N(Database!$BH195)&lt;=0,N(Screener!$D$13)&lt;=0),0,MAX(0,1-ABS(LOG10(N(Database!$BH195)/Screener!$D$13))/W_PEHW))</f>
        <v/>
      </c>
      <c r="J195" s="220">
        <f>IF(OR(N(Database!$S195)&lt;=0,N(Screener!$D$14)&lt;=0),0,MAX(0,1-ABS(LOG10(Database!$S195/Screener!$D$14))/0.6))</f>
        <v/>
      </c>
      <c r="K195" s="220">
        <f>IF(Database!$B195=Screener!$B$5,-999999,IF(ISNUMBER(SEARCH(","&amp;Database!$A195&amp;",",","&amp;SUBSTITUTE(Screener!$D$17," ","")&amp;",")),2000000,IF(IF(OR(Screener!$B$18="All",AND(Screener!$B$18="With A-share",(Database!$BM195="Y")),AND(Screener!$B$18="Without A-share",NOT((Database!$BM195="Y")))),1,0)=0,-999999,IF(Screener!$B$16="cornerstone overlap first",H195*100000,IF(Screener!$B$16="demand-similar first",J195*100000,0))+W_SUB*B195+W_SEC*C195*(1-B195)+W_SIZE*D195+W_PROF*E195+W_AH*F195+W_REC*G195+W_CS*H195+W_PE*I195)))+ROW()/1000000</f>
        <v/>
      </c>
      <c r="AA195" s="220">
        <f>Database!B184</f>
        <v/>
      </c>
      <c r="AB195" s="220">
        <f>Database!D184</f>
        <v/>
      </c>
      <c r="AC195" s="220">
        <f>Database!E184</f>
        <v/>
      </c>
      <c r="AD195" s="220">
        <f>Database!I184</f>
        <v/>
      </c>
      <c r="AE195" s="220">
        <f>Database!BG184</f>
        <v/>
      </c>
      <c r="AF195" s="220">
        <f>Database!BM184</f>
        <v/>
      </c>
      <c r="AG195" s="220">
        <f>Database!H184</f>
        <v/>
      </c>
      <c r="AH195" s="220">
        <f>Database!BH184</f>
        <v/>
      </c>
    </row>
    <row r="196">
      <c r="A196" s="220">
        <f>Database!B196</f>
        <v/>
      </c>
      <c r="B196" s="220">
        <f>IF(AND(Screener!$D$8&lt;&gt;"",Database!$E196=Screener!$D$8),1,0)</f>
        <v/>
      </c>
      <c r="C196" s="220">
        <f>IF(AND(Screener!$D$7&lt;&gt;"",Database!$D196=Screener!$D$7),1,0)</f>
        <v/>
      </c>
      <c r="D196" s="220">
        <f>IF(OR(N(Database!$I196)&lt;=0,N(Screener!$D$9)&lt;=0),0,MAX(0,1-ABS(LOG10(N(Database!$I196)/Screener!$D$9))/W_SIZEHW))</f>
        <v/>
      </c>
      <c r="E196" s="220">
        <f>IF(OR(Database!$BG196="",Screener!$D$10=""),0,IF(Database!$BG196=Screener!$D$10,1,0))</f>
        <v/>
      </c>
      <c r="F196" s="220">
        <f>IF(OR(Database!$BM196="",Screener!$D$11=""),0,IF(Database!$BM196=Screener!$D$11,1,0))</f>
        <v/>
      </c>
      <c r="G196" s="220">
        <f>IF(OR(Database!$H196="",N(Screener!$D$12)&lt;=0),0,MAX(0,1-(N(Screener!$D$12)-Database!$H196)/W_RECD))</f>
        <v/>
      </c>
      <c r="H196" s="220">
        <f>IF($U$1="",0,N(ISNUMBER(SEARCH($U$1,Database!$AC196&amp;""))))+IF($V$1="",0,N(ISNUMBER(SEARCH($V$1,Database!$AC196&amp;""))))+IF($W$1="",0,N(ISNUMBER(SEARCH($W$1,Database!$AC196&amp;""))))+IF($X$1="",0,N(ISNUMBER(SEARCH($X$1,Database!$AC196&amp;""))))+IF($Y$1="",0,N(ISNUMBER(SEARCH($Y$1,Database!$AC196&amp;""))))+IF(Screener!$B$17="",0,N(ISNUMBER(SEARCH(LOWER(Screener!$B$17),Database!$AC196&amp;""))))</f>
        <v/>
      </c>
      <c r="I196" s="220">
        <f>IF(OR(N(Database!$BH196)&lt;=0,N(Screener!$D$13)&lt;=0),0,MAX(0,1-ABS(LOG10(N(Database!$BH196)/Screener!$D$13))/W_PEHW))</f>
        <v/>
      </c>
      <c r="J196" s="220">
        <f>IF(OR(N(Database!$S196)&lt;=0,N(Screener!$D$14)&lt;=0),0,MAX(0,1-ABS(LOG10(Database!$S196/Screener!$D$14))/0.6))</f>
        <v/>
      </c>
      <c r="K196" s="220">
        <f>IF(Database!$B196=Screener!$B$5,-999999,IF(ISNUMBER(SEARCH(","&amp;Database!$A196&amp;",",","&amp;SUBSTITUTE(Screener!$D$17," ","")&amp;",")),2000000,IF(IF(OR(Screener!$B$18="All",AND(Screener!$B$18="With A-share",(Database!$BM196="Y")),AND(Screener!$B$18="Without A-share",NOT((Database!$BM196="Y")))),1,0)=0,-999999,IF(Screener!$B$16="cornerstone overlap first",H196*100000,IF(Screener!$B$16="demand-similar first",J196*100000,0))+W_SUB*B196+W_SEC*C196*(1-B196)+W_SIZE*D196+W_PROF*E196+W_AH*F196+W_REC*G196+W_CS*H196+W_PE*I196)))+ROW()/1000000</f>
        <v/>
      </c>
      <c r="AA196" s="220">
        <f>Database!B185</f>
        <v/>
      </c>
      <c r="AB196" s="220">
        <f>Database!D185</f>
        <v/>
      </c>
      <c r="AC196" s="220">
        <f>Database!E185</f>
        <v/>
      </c>
      <c r="AD196" s="220">
        <f>Database!I185</f>
        <v/>
      </c>
      <c r="AE196" s="220">
        <f>Database!BG185</f>
        <v/>
      </c>
      <c r="AF196" s="220">
        <f>Database!BM185</f>
        <v/>
      </c>
      <c r="AG196" s="220">
        <f>Database!H185</f>
        <v/>
      </c>
      <c r="AH196" s="220">
        <f>Database!BH185</f>
        <v/>
      </c>
    </row>
    <row r="197">
      <c r="A197" s="220">
        <f>Database!B197</f>
        <v/>
      </c>
      <c r="B197" s="220">
        <f>IF(AND(Screener!$D$8&lt;&gt;"",Database!$E197=Screener!$D$8),1,0)</f>
        <v/>
      </c>
      <c r="C197" s="220">
        <f>IF(AND(Screener!$D$7&lt;&gt;"",Database!$D197=Screener!$D$7),1,0)</f>
        <v/>
      </c>
      <c r="D197" s="220">
        <f>IF(OR(N(Database!$I197)&lt;=0,N(Screener!$D$9)&lt;=0),0,MAX(0,1-ABS(LOG10(N(Database!$I197)/Screener!$D$9))/W_SIZEHW))</f>
        <v/>
      </c>
      <c r="E197" s="220">
        <f>IF(OR(Database!$BG197="",Screener!$D$10=""),0,IF(Database!$BG197=Screener!$D$10,1,0))</f>
        <v/>
      </c>
      <c r="F197" s="220">
        <f>IF(OR(Database!$BM197="",Screener!$D$11=""),0,IF(Database!$BM197=Screener!$D$11,1,0))</f>
        <v/>
      </c>
      <c r="G197" s="220">
        <f>IF(OR(Database!$H197="",N(Screener!$D$12)&lt;=0),0,MAX(0,1-(N(Screener!$D$12)-Database!$H197)/W_RECD))</f>
        <v/>
      </c>
      <c r="H197" s="220">
        <f>IF($U$1="",0,N(ISNUMBER(SEARCH($U$1,Database!$AC197&amp;""))))+IF($V$1="",0,N(ISNUMBER(SEARCH($V$1,Database!$AC197&amp;""))))+IF($W$1="",0,N(ISNUMBER(SEARCH($W$1,Database!$AC197&amp;""))))+IF($X$1="",0,N(ISNUMBER(SEARCH($X$1,Database!$AC197&amp;""))))+IF($Y$1="",0,N(ISNUMBER(SEARCH($Y$1,Database!$AC197&amp;""))))+IF(Screener!$B$17="",0,N(ISNUMBER(SEARCH(LOWER(Screener!$B$17),Database!$AC197&amp;""))))</f>
        <v/>
      </c>
      <c r="I197" s="220">
        <f>IF(OR(N(Database!$BH197)&lt;=0,N(Screener!$D$13)&lt;=0),0,MAX(0,1-ABS(LOG10(N(Database!$BH197)/Screener!$D$13))/W_PEHW))</f>
        <v/>
      </c>
      <c r="J197" s="220">
        <f>IF(OR(N(Database!$S197)&lt;=0,N(Screener!$D$14)&lt;=0),0,MAX(0,1-ABS(LOG10(Database!$S197/Screener!$D$14))/0.6))</f>
        <v/>
      </c>
      <c r="K197" s="220">
        <f>IF(Database!$B197=Screener!$B$5,-999999,IF(ISNUMBER(SEARCH(","&amp;Database!$A197&amp;",",","&amp;SUBSTITUTE(Screener!$D$17," ","")&amp;",")),2000000,IF(IF(OR(Screener!$B$18="All",AND(Screener!$B$18="With A-share",(Database!$BM197="Y")),AND(Screener!$B$18="Without A-share",NOT((Database!$BM197="Y")))),1,0)=0,-999999,IF(Screener!$B$16="cornerstone overlap first",H197*100000,IF(Screener!$B$16="demand-similar first",J197*100000,0))+W_SUB*B197+W_SEC*C197*(1-B197)+W_SIZE*D197+W_PROF*E197+W_AH*F197+W_REC*G197+W_CS*H197+W_PE*I197)))+ROW()/1000000</f>
        <v/>
      </c>
      <c r="AA197" s="220">
        <f>Database!B186</f>
        <v/>
      </c>
      <c r="AB197" s="220">
        <f>Database!D186</f>
        <v/>
      </c>
      <c r="AC197" s="220">
        <f>Database!E186</f>
        <v/>
      </c>
      <c r="AD197" s="220">
        <f>Database!I186</f>
        <v/>
      </c>
      <c r="AE197" s="220">
        <f>Database!BG186</f>
        <v/>
      </c>
      <c r="AF197" s="220">
        <f>Database!BM186</f>
        <v/>
      </c>
      <c r="AG197" s="220">
        <f>Database!H186</f>
        <v/>
      </c>
      <c r="AH197" s="220">
        <f>Database!BH186</f>
        <v/>
      </c>
    </row>
    <row r="198">
      <c r="A198" s="220">
        <f>Database!B198</f>
        <v/>
      </c>
      <c r="B198" s="220">
        <f>IF(AND(Screener!$D$8&lt;&gt;"",Database!$E198=Screener!$D$8),1,0)</f>
        <v/>
      </c>
      <c r="C198" s="220">
        <f>IF(AND(Screener!$D$7&lt;&gt;"",Database!$D198=Screener!$D$7),1,0)</f>
        <v/>
      </c>
      <c r="D198" s="220">
        <f>IF(OR(N(Database!$I198)&lt;=0,N(Screener!$D$9)&lt;=0),0,MAX(0,1-ABS(LOG10(N(Database!$I198)/Screener!$D$9))/W_SIZEHW))</f>
        <v/>
      </c>
      <c r="E198" s="220">
        <f>IF(OR(Database!$BG198="",Screener!$D$10=""),0,IF(Database!$BG198=Screener!$D$10,1,0))</f>
        <v/>
      </c>
      <c r="F198" s="220">
        <f>IF(OR(Database!$BM198="",Screener!$D$11=""),0,IF(Database!$BM198=Screener!$D$11,1,0))</f>
        <v/>
      </c>
      <c r="G198" s="220">
        <f>IF(OR(Database!$H198="",N(Screener!$D$12)&lt;=0),0,MAX(0,1-(N(Screener!$D$12)-Database!$H198)/W_RECD))</f>
        <v/>
      </c>
      <c r="H198" s="220">
        <f>IF($U$1="",0,N(ISNUMBER(SEARCH($U$1,Database!$AC198&amp;""))))+IF($V$1="",0,N(ISNUMBER(SEARCH($V$1,Database!$AC198&amp;""))))+IF($W$1="",0,N(ISNUMBER(SEARCH($W$1,Database!$AC198&amp;""))))+IF($X$1="",0,N(ISNUMBER(SEARCH($X$1,Database!$AC198&amp;""))))+IF($Y$1="",0,N(ISNUMBER(SEARCH($Y$1,Database!$AC198&amp;""))))+IF(Screener!$B$17="",0,N(ISNUMBER(SEARCH(LOWER(Screener!$B$17),Database!$AC198&amp;""))))</f>
        <v/>
      </c>
      <c r="I198" s="220">
        <f>IF(OR(N(Database!$BH198)&lt;=0,N(Screener!$D$13)&lt;=0),0,MAX(0,1-ABS(LOG10(N(Database!$BH198)/Screener!$D$13))/W_PEHW))</f>
        <v/>
      </c>
      <c r="J198" s="220">
        <f>IF(OR(N(Database!$S198)&lt;=0,N(Screener!$D$14)&lt;=0),0,MAX(0,1-ABS(LOG10(Database!$S198/Screener!$D$14))/0.6))</f>
        <v/>
      </c>
      <c r="K198" s="220">
        <f>IF(Database!$B198=Screener!$B$5,-999999,IF(ISNUMBER(SEARCH(","&amp;Database!$A198&amp;",",","&amp;SUBSTITUTE(Screener!$D$17," ","")&amp;",")),2000000,IF(IF(OR(Screener!$B$18="All",AND(Screener!$B$18="With A-share",(Database!$BM198="Y")),AND(Screener!$B$18="Without A-share",NOT((Database!$BM198="Y")))),1,0)=0,-999999,IF(Screener!$B$16="cornerstone overlap first",H198*100000,IF(Screener!$B$16="demand-similar first",J198*100000,0))+W_SUB*B198+W_SEC*C198*(1-B198)+W_SIZE*D198+W_PROF*E198+W_AH*F198+W_REC*G198+W_CS*H198+W_PE*I198)))+ROW()/1000000</f>
        <v/>
      </c>
      <c r="AA198" s="220">
        <f>Database!B187</f>
        <v/>
      </c>
      <c r="AB198" s="220">
        <f>Database!D187</f>
        <v/>
      </c>
      <c r="AC198" s="220">
        <f>Database!E187</f>
        <v/>
      </c>
      <c r="AD198" s="220">
        <f>Database!I187</f>
        <v/>
      </c>
      <c r="AE198" s="220">
        <f>Database!BG187</f>
        <v/>
      </c>
      <c r="AF198" s="220">
        <f>Database!BM187</f>
        <v/>
      </c>
      <c r="AG198" s="220">
        <f>Database!H187</f>
        <v/>
      </c>
      <c r="AH198" s="220">
        <f>Database!BH187</f>
        <v/>
      </c>
    </row>
    <row r="199">
      <c r="A199" s="220">
        <f>Database!B199</f>
        <v/>
      </c>
      <c r="B199" s="220">
        <f>IF(AND(Screener!$D$8&lt;&gt;"",Database!$E199=Screener!$D$8),1,0)</f>
        <v/>
      </c>
      <c r="C199" s="220">
        <f>IF(AND(Screener!$D$7&lt;&gt;"",Database!$D199=Screener!$D$7),1,0)</f>
        <v/>
      </c>
      <c r="D199" s="220">
        <f>IF(OR(N(Database!$I199)&lt;=0,N(Screener!$D$9)&lt;=0),0,MAX(0,1-ABS(LOG10(N(Database!$I199)/Screener!$D$9))/W_SIZEHW))</f>
        <v/>
      </c>
      <c r="E199" s="220">
        <f>IF(OR(Database!$BG199="",Screener!$D$10=""),0,IF(Database!$BG199=Screener!$D$10,1,0))</f>
        <v/>
      </c>
      <c r="F199" s="220">
        <f>IF(OR(Database!$BM199="",Screener!$D$11=""),0,IF(Database!$BM199=Screener!$D$11,1,0))</f>
        <v/>
      </c>
      <c r="G199" s="220">
        <f>IF(OR(Database!$H199="",N(Screener!$D$12)&lt;=0),0,MAX(0,1-(N(Screener!$D$12)-Database!$H199)/W_RECD))</f>
        <v/>
      </c>
      <c r="H199" s="220">
        <f>IF($U$1="",0,N(ISNUMBER(SEARCH($U$1,Database!$AC199&amp;""))))+IF($V$1="",0,N(ISNUMBER(SEARCH($V$1,Database!$AC199&amp;""))))+IF($W$1="",0,N(ISNUMBER(SEARCH($W$1,Database!$AC199&amp;""))))+IF($X$1="",0,N(ISNUMBER(SEARCH($X$1,Database!$AC199&amp;""))))+IF($Y$1="",0,N(ISNUMBER(SEARCH($Y$1,Database!$AC199&amp;""))))+IF(Screener!$B$17="",0,N(ISNUMBER(SEARCH(LOWER(Screener!$B$17),Database!$AC199&amp;""))))</f>
        <v/>
      </c>
      <c r="I199" s="220">
        <f>IF(OR(N(Database!$BH199)&lt;=0,N(Screener!$D$13)&lt;=0),0,MAX(0,1-ABS(LOG10(N(Database!$BH199)/Screener!$D$13))/W_PEHW))</f>
        <v/>
      </c>
      <c r="J199" s="220">
        <f>IF(OR(N(Database!$S199)&lt;=0,N(Screener!$D$14)&lt;=0),0,MAX(0,1-ABS(LOG10(Database!$S199/Screener!$D$14))/0.6))</f>
        <v/>
      </c>
      <c r="K199" s="220">
        <f>IF(Database!$B199=Screener!$B$5,-999999,IF(ISNUMBER(SEARCH(","&amp;Database!$A199&amp;",",","&amp;SUBSTITUTE(Screener!$D$17," ","")&amp;",")),2000000,IF(IF(OR(Screener!$B$18="All",AND(Screener!$B$18="With A-share",(Database!$BM199="Y")),AND(Screener!$B$18="Without A-share",NOT((Database!$BM199="Y")))),1,0)=0,-999999,IF(Screener!$B$16="cornerstone overlap first",H199*100000,IF(Screener!$B$16="demand-similar first",J199*100000,0))+W_SUB*B199+W_SEC*C199*(1-B199)+W_SIZE*D199+W_PROF*E199+W_AH*F199+W_REC*G199+W_CS*H199+W_PE*I199)))+ROW()/1000000</f>
        <v/>
      </c>
      <c r="AA199" s="220">
        <f>Database!B188</f>
        <v/>
      </c>
      <c r="AB199" s="220">
        <f>Database!D188</f>
        <v/>
      </c>
      <c r="AC199" s="220">
        <f>Database!E188</f>
        <v/>
      </c>
      <c r="AD199" s="220">
        <f>Database!I188</f>
        <v/>
      </c>
      <c r="AE199" s="220">
        <f>Database!BG188</f>
        <v/>
      </c>
      <c r="AF199" s="220">
        <f>Database!BM188</f>
        <v/>
      </c>
      <c r="AG199" s="220">
        <f>Database!H188</f>
        <v/>
      </c>
      <c r="AH199" s="220">
        <f>Database!BH188</f>
        <v/>
      </c>
    </row>
    <row r="200">
      <c r="A200" s="220">
        <f>Database!B200</f>
        <v/>
      </c>
      <c r="B200" s="220">
        <f>IF(AND(Screener!$D$8&lt;&gt;"",Database!$E200=Screener!$D$8),1,0)</f>
        <v/>
      </c>
      <c r="C200" s="220">
        <f>IF(AND(Screener!$D$7&lt;&gt;"",Database!$D200=Screener!$D$7),1,0)</f>
        <v/>
      </c>
      <c r="D200" s="220">
        <f>IF(OR(N(Database!$I200)&lt;=0,N(Screener!$D$9)&lt;=0),0,MAX(0,1-ABS(LOG10(N(Database!$I200)/Screener!$D$9))/W_SIZEHW))</f>
        <v/>
      </c>
      <c r="E200" s="220">
        <f>IF(OR(Database!$BG200="",Screener!$D$10=""),0,IF(Database!$BG200=Screener!$D$10,1,0))</f>
        <v/>
      </c>
      <c r="F200" s="220">
        <f>IF(OR(Database!$BM200="",Screener!$D$11=""),0,IF(Database!$BM200=Screener!$D$11,1,0))</f>
        <v/>
      </c>
      <c r="G200" s="220">
        <f>IF(OR(Database!$H200="",N(Screener!$D$12)&lt;=0),0,MAX(0,1-(N(Screener!$D$12)-Database!$H200)/W_RECD))</f>
        <v/>
      </c>
      <c r="H200" s="220">
        <f>IF($U$1="",0,N(ISNUMBER(SEARCH($U$1,Database!$AC200&amp;""))))+IF($V$1="",0,N(ISNUMBER(SEARCH($V$1,Database!$AC200&amp;""))))+IF($W$1="",0,N(ISNUMBER(SEARCH($W$1,Database!$AC200&amp;""))))+IF($X$1="",0,N(ISNUMBER(SEARCH($X$1,Database!$AC200&amp;""))))+IF($Y$1="",0,N(ISNUMBER(SEARCH($Y$1,Database!$AC200&amp;""))))+IF(Screener!$B$17="",0,N(ISNUMBER(SEARCH(LOWER(Screener!$B$17),Database!$AC200&amp;""))))</f>
        <v/>
      </c>
      <c r="I200" s="220">
        <f>IF(OR(N(Database!$BH200)&lt;=0,N(Screener!$D$13)&lt;=0),0,MAX(0,1-ABS(LOG10(N(Database!$BH200)/Screener!$D$13))/W_PEHW))</f>
        <v/>
      </c>
      <c r="J200" s="220">
        <f>IF(OR(N(Database!$S200)&lt;=0,N(Screener!$D$14)&lt;=0),0,MAX(0,1-ABS(LOG10(Database!$S200/Screener!$D$14))/0.6))</f>
        <v/>
      </c>
      <c r="K200" s="220">
        <f>IF(Database!$B200=Screener!$B$5,-999999,IF(ISNUMBER(SEARCH(","&amp;Database!$A200&amp;",",","&amp;SUBSTITUTE(Screener!$D$17," ","")&amp;",")),2000000,IF(IF(OR(Screener!$B$18="All",AND(Screener!$B$18="With A-share",(Database!$BM200="Y")),AND(Screener!$B$18="Without A-share",NOT((Database!$BM200="Y")))),1,0)=0,-999999,IF(Screener!$B$16="cornerstone overlap first",H200*100000,IF(Screener!$B$16="demand-similar first",J200*100000,0))+W_SUB*B200+W_SEC*C200*(1-B200)+W_SIZE*D200+W_PROF*E200+W_AH*F200+W_REC*G200+W_CS*H200+W_PE*I200)))+ROW()/1000000</f>
        <v/>
      </c>
      <c r="AA200" s="220">
        <f>Database!B189</f>
        <v/>
      </c>
      <c r="AB200" s="220">
        <f>Database!D189</f>
        <v/>
      </c>
      <c r="AC200" s="220">
        <f>Database!E189</f>
        <v/>
      </c>
      <c r="AD200" s="220">
        <f>Database!I189</f>
        <v/>
      </c>
      <c r="AE200" s="220">
        <f>Database!BG189</f>
        <v/>
      </c>
      <c r="AF200" s="220">
        <f>Database!BM189</f>
        <v/>
      </c>
      <c r="AG200" s="220">
        <f>Database!H189</f>
        <v/>
      </c>
      <c r="AH200" s="220">
        <f>Database!BH189</f>
        <v/>
      </c>
    </row>
    <row r="201">
      <c r="A201" s="220">
        <f>Database!B201</f>
        <v/>
      </c>
      <c r="B201" s="220">
        <f>IF(AND(Screener!$D$8&lt;&gt;"",Database!$E201=Screener!$D$8),1,0)</f>
        <v/>
      </c>
      <c r="C201" s="220">
        <f>IF(AND(Screener!$D$7&lt;&gt;"",Database!$D201=Screener!$D$7),1,0)</f>
        <v/>
      </c>
      <c r="D201" s="220">
        <f>IF(OR(N(Database!$I201)&lt;=0,N(Screener!$D$9)&lt;=0),0,MAX(0,1-ABS(LOG10(N(Database!$I201)/Screener!$D$9))/W_SIZEHW))</f>
        <v/>
      </c>
      <c r="E201" s="220">
        <f>IF(OR(Database!$BG201="",Screener!$D$10=""),0,IF(Database!$BG201=Screener!$D$10,1,0))</f>
        <v/>
      </c>
      <c r="F201" s="220">
        <f>IF(OR(Database!$BM201="",Screener!$D$11=""),0,IF(Database!$BM201=Screener!$D$11,1,0))</f>
        <v/>
      </c>
      <c r="G201" s="220">
        <f>IF(OR(Database!$H201="",N(Screener!$D$12)&lt;=0),0,MAX(0,1-(N(Screener!$D$12)-Database!$H201)/W_RECD))</f>
        <v/>
      </c>
      <c r="H201" s="220">
        <f>IF($U$1="",0,N(ISNUMBER(SEARCH($U$1,Database!$AC201&amp;""))))+IF($V$1="",0,N(ISNUMBER(SEARCH($V$1,Database!$AC201&amp;""))))+IF($W$1="",0,N(ISNUMBER(SEARCH($W$1,Database!$AC201&amp;""))))+IF($X$1="",0,N(ISNUMBER(SEARCH($X$1,Database!$AC201&amp;""))))+IF($Y$1="",0,N(ISNUMBER(SEARCH($Y$1,Database!$AC201&amp;""))))+IF(Screener!$B$17="",0,N(ISNUMBER(SEARCH(LOWER(Screener!$B$17),Database!$AC201&amp;""))))</f>
        <v/>
      </c>
      <c r="I201" s="220">
        <f>IF(OR(N(Database!$BH201)&lt;=0,N(Screener!$D$13)&lt;=0),0,MAX(0,1-ABS(LOG10(N(Database!$BH201)/Screener!$D$13))/W_PEHW))</f>
        <v/>
      </c>
      <c r="J201" s="220">
        <f>IF(OR(N(Database!$S201)&lt;=0,N(Screener!$D$14)&lt;=0),0,MAX(0,1-ABS(LOG10(Database!$S201/Screener!$D$14))/0.6))</f>
        <v/>
      </c>
      <c r="K201" s="220">
        <f>IF(Database!$B201=Screener!$B$5,-999999,IF(ISNUMBER(SEARCH(","&amp;Database!$A201&amp;",",","&amp;SUBSTITUTE(Screener!$D$17," ","")&amp;",")),2000000,IF(IF(OR(Screener!$B$18="All",AND(Screener!$B$18="With A-share",(Database!$BM201="Y")),AND(Screener!$B$18="Without A-share",NOT((Database!$BM201="Y")))),1,0)=0,-999999,IF(Screener!$B$16="cornerstone overlap first",H201*100000,IF(Screener!$B$16="demand-similar first",J201*100000,0))+W_SUB*B201+W_SEC*C201*(1-B201)+W_SIZE*D201+W_PROF*E201+W_AH*F201+W_REC*G201+W_CS*H201+W_PE*I201)))+ROW()/1000000</f>
        <v/>
      </c>
      <c r="AA201" s="220">
        <f>Database!B190</f>
        <v/>
      </c>
      <c r="AB201" s="220">
        <f>Database!D190</f>
        <v/>
      </c>
      <c r="AC201" s="220">
        <f>Database!E190</f>
        <v/>
      </c>
      <c r="AD201" s="220">
        <f>Database!I190</f>
        <v/>
      </c>
      <c r="AE201" s="220">
        <f>Database!BG190</f>
        <v/>
      </c>
      <c r="AF201" s="220">
        <f>Database!BM190</f>
        <v/>
      </c>
      <c r="AG201" s="220">
        <f>Database!H190</f>
        <v/>
      </c>
      <c r="AH201" s="220">
        <f>Database!BH190</f>
        <v/>
      </c>
    </row>
    <row r="202">
      <c r="A202" s="220">
        <f>Database!B202</f>
        <v/>
      </c>
      <c r="B202" s="220">
        <f>IF(AND(Screener!$D$8&lt;&gt;"",Database!$E202=Screener!$D$8),1,0)</f>
        <v/>
      </c>
      <c r="C202" s="220">
        <f>IF(AND(Screener!$D$7&lt;&gt;"",Database!$D202=Screener!$D$7),1,0)</f>
        <v/>
      </c>
      <c r="D202" s="220">
        <f>IF(OR(N(Database!$I202)&lt;=0,N(Screener!$D$9)&lt;=0),0,MAX(0,1-ABS(LOG10(N(Database!$I202)/Screener!$D$9))/W_SIZEHW))</f>
        <v/>
      </c>
      <c r="E202" s="220">
        <f>IF(OR(Database!$BG202="",Screener!$D$10=""),0,IF(Database!$BG202=Screener!$D$10,1,0))</f>
        <v/>
      </c>
      <c r="F202" s="220">
        <f>IF(OR(Database!$BM202="",Screener!$D$11=""),0,IF(Database!$BM202=Screener!$D$11,1,0))</f>
        <v/>
      </c>
      <c r="G202" s="220">
        <f>IF(OR(Database!$H202="",N(Screener!$D$12)&lt;=0),0,MAX(0,1-(N(Screener!$D$12)-Database!$H202)/W_RECD))</f>
        <v/>
      </c>
      <c r="H202" s="220">
        <f>IF($U$1="",0,N(ISNUMBER(SEARCH($U$1,Database!$AC202&amp;""))))+IF($V$1="",0,N(ISNUMBER(SEARCH($V$1,Database!$AC202&amp;""))))+IF($W$1="",0,N(ISNUMBER(SEARCH($W$1,Database!$AC202&amp;""))))+IF($X$1="",0,N(ISNUMBER(SEARCH($X$1,Database!$AC202&amp;""))))+IF($Y$1="",0,N(ISNUMBER(SEARCH($Y$1,Database!$AC202&amp;""))))+IF(Screener!$B$17="",0,N(ISNUMBER(SEARCH(LOWER(Screener!$B$17),Database!$AC202&amp;""))))</f>
        <v/>
      </c>
      <c r="I202" s="220">
        <f>IF(OR(N(Database!$BH202)&lt;=0,N(Screener!$D$13)&lt;=0),0,MAX(0,1-ABS(LOG10(N(Database!$BH202)/Screener!$D$13))/W_PEHW))</f>
        <v/>
      </c>
      <c r="J202" s="220">
        <f>IF(OR(N(Database!$S202)&lt;=0,N(Screener!$D$14)&lt;=0),0,MAX(0,1-ABS(LOG10(Database!$S202/Screener!$D$14))/0.6))</f>
        <v/>
      </c>
      <c r="K202" s="220">
        <f>IF(Database!$B202=Screener!$B$5,-999999,IF(ISNUMBER(SEARCH(","&amp;Database!$A202&amp;",",","&amp;SUBSTITUTE(Screener!$D$17," ","")&amp;",")),2000000,IF(IF(OR(Screener!$B$18="All",AND(Screener!$B$18="With A-share",(Database!$BM202="Y")),AND(Screener!$B$18="Without A-share",NOT((Database!$BM202="Y")))),1,0)=0,-999999,IF(Screener!$B$16="cornerstone overlap first",H202*100000,IF(Screener!$B$16="demand-similar first",J202*100000,0))+W_SUB*B202+W_SEC*C202*(1-B202)+W_SIZE*D202+W_PROF*E202+W_AH*F202+W_REC*G202+W_CS*H202+W_PE*I202)))+ROW()/1000000</f>
        <v/>
      </c>
      <c r="AA202" s="220">
        <f>Database!B191</f>
        <v/>
      </c>
      <c r="AB202" s="220">
        <f>Database!D191</f>
        <v/>
      </c>
      <c r="AC202" s="220">
        <f>Database!E191</f>
        <v/>
      </c>
      <c r="AD202" s="220">
        <f>Database!I191</f>
        <v/>
      </c>
      <c r="AE202" s="220">
        <f>Database!BG191</f>
        <v/>
      </c>
      <c r="AF202" s="220">
        <f>Database!BM191</f>
        <v/>
      </c>
      <c r="AG202" s="220">
        <f>Database!H191</f>
        <v/>
      </c>
      <c r="AH202" s="220">
        <f>Database!BH191</f>
        <v/>
      </c>
    </row>
    <row r="203">
      <c r="A203" s="220">
        <f>Database!B203</f>
        <v/>
      </c>
      <c r="B203" s="220">
        <f>IF(AND(Screener!$D$8&lt;&gt;"",Database!$E203=Screener!$D$8),1,0)</f>
        <v/>
      </c>
      <c r="C203" s="220">
        <f>IF(AND(Screener!$D$7&lt;&gt;"",Database!$D203=Screener!$D$7),1,0)</f>
        <v/>
      </c>
      <c r="D203" s="220">
        <f>IF(OR(N(Database!$I203)&lt;=0,N(Screener!$D$9)&lt;=0),0,MAX(0,1-ABS(LOG10(N(Database!$I203)/Screener!$D$9))/W_SIZEHW))</f>
        <v/>
      </c>
      <c r="E203" s="220">
        <f>IF(OR(Database!$BG203="",Screener!$D$10=""),0,IF(Database!$BG203=Screener!$D$10,1,0))</f>
        <v/>
      </c>
      <c r="F203" s="220">
        <f>IF(OR(Database!$BM203="",Screener!$D$11=""),0,IF(Database!$BM203=Screener!$D$11,1,0))</f>
        <v/>
      </c>
      <c r="G203" s="220">
        <f>IF(OR(Database!$H203="",N(Screener!$D$12)&lt;=0),0,MAX(0,1-(N(Screener!$D$12)-Database!$H203)/W_RECD))</f>
        <v/>
      </c>
      <c r="H203" s="220">
        <f>IF($U$1="",0,N(ISNUMBER(SEARCH($U$1,Database!$AC203&amp;""))))+IF($V$1="",0,N(ISNUMBER(SEARCH($V$1,Database!$AC203&amp;""))))+IF($W$1="",0,N(ISNUMBER(SEARCH($W$1,Database!$AC203&amp;""))))+IF($X$1="",0,N(ISNUMBER(SEARCH($X$1,Database!$AC203&amp;""))))+IF($Y$1="",0,N(ISNUMBER(SEARCH($Y$1,Database!$AC203&amp;""))))+IF(Screener!$B$17="",0,N(ISNUMBER(SEARCH(LOWER(Screener!$B$17),Database!$AC203&amp;""))))</f>
        <v/>
      </c>
      <c r="I203" s="220">
        <f>IF(OR(N(Database!$BH203)&lt;=0,N(Screener!$D$13)&lt;=0),0,MAX(0,1-ABS(LOG10(N(Database!$BH203)/Screener!$D$13))/W_PEHW))</f>
        <v/>
      </c>
      <c r="J203" s="220">
        <f>IF(OR(N(Database!$S203)&lt;=0,N(Screener!$D$14)&lt;=0),0,MAX(0,1-ABS(LOG10(Database!$S203/Screener!$D$14))/0.6))</f>
        <v/>
      </c>
      <c r="K203" s="220">
        <f>IF(Database!$B203=Screener!$B$5,-999999,IF(ISNUMBER(SEARCH(","&amp;Database!$A203&amp;",",","&amp;SUBSTITUTE(Screener!$D$17," ","")&amp;",")),2000000,IF(IF(OR(Screener!$B$18="All",AND(Screener!$B$18="With A-share",(Database!$BM203="Y")),AND(Screener!$B$18="Without A-share",NOT((Database!$BM203="Y")))),1,0)=0,-999999,IF(Screener!$B$16="cornerstone overlap first",H203*100000,IF(Screener!$B$16="demand-similar first",J203*100000,0))+W_SUB*B203+W_SEC*C203*(1-B203)+W_SIZE*D203+W_PROF*E203+W_AH*F203+W_REC*G203+W_CS*H203+W_PE*I203)))+ROW()/1000000</f>
        <v/>
      </c>
      <c r="AA203" s="220">
        <f>Database!B192</f>
        <v/>
      </c>
      <c r="AB203" s="220">
        <f>Database!D192</f>
        <v/>
      </c>
      <c r="AC203" s="220">
        <f>Database!E192</f>
        <v/>
      </c>
      <c r="AD203" s="220">
        <f>Database!I192</f>
        <v/>
      </c>
      <c r="AE203" s="220">
        <f>Database!BG192</f>
        <v/>
      </c>
      <c r="AF203" s="220">
        <f>Database!BM192</f>
        <v/>
      </c>
      <c r="AG203" s="220">
        <f>Database!H192</f>
        <v/>
      </c>
      <c r="AH203" s="220">
        <f>Database!BH192</f>
        <v/>
      </c>
    </row>
    <row r="204">
      <c r="A204" s="220">
        <f>Database!B204</f>
        <v/>
      </c>
      <c r="B204" s="220">
        <f>IF(AND(Screener!$D$8&lt;&gt;"",Database!$E204=Screener!$D$8),1,0)</f>
        <v/>
      </c>
      <c r="C204" s="220">
        <f>IF(AND(Screener!$D$7&lt;&gt;"",Database!$D204=Screener!$D$7),1,0)</f>
        <v/>
      </c>
      <c r="D204" s="220">
        <f>IF(OR(N(Database!$I204)&lt;=0,N(Screener!$D$9)&lt;=0),0,MAX(0,1-ABS(LOG10(N(Database!$I204)/Screener!$D$9))/W_SIZEHW))</f>
        <v/>
      </c>
      <c r="E204" s="220">
        <f>IF(OR(Database!$BG204="",Screener!$D$10=""),0,IF(Database!$BG204=Screener!$D$10,1,0))</f>
        <v/>
      </c>
      <c r="F204" s="220">
        <f>IF(OR(Database!$BM204="",Screener!$D$11=""),0,IF(Database!$BM204=Screener!$D$11,1,0))</f>
        <v/>
      </c>
      <c r="G204" s="220">
        <f>IF(OR(Database!$H204="",N(Screener!$D$12)&lt;=0),0,MAX(0,1-(N(Screener!$D$12)-Database!$H204)/W_RECD))</f>
        <v/>
      </c>
      <c r="H204" s="220">
        <f>IF($U$1="",0,N(ISNUMBER(SEARCH($U$1,Database!$AC204&amp;""))))+IF($V$1="",0,N(ISNUMBER(SEARCH($V$1,Database!$AC204&amp;""))))+IF($W$1="",0,N(ISNUMBER(SEARCH($W$1,Database!$AC204&amp;""))))+IF($X$1="",0,N(ISNUMBER(SEARCH($X$1,Database!$AC204&amp;""))))+IF($Y$1="",0,N(ISNUMBER(SEARCH($Y$1,Database!$AC204&amp;""))))+IF(Screener!$B$17="",0,N(ISNUMBER(SEARCH(LOWER(Screener!$B$17),Database!$AC204&amp;""))))</f>
        <v/>
      </c>
      <c r="I204" s="220">
        <f>IF(OR(N(Database!$BH204)&lt;=0,N(Screener!$D$13)&lt;=0),0,MAX(0,1-ABS(LOG10(N(Database!$BH204)/Screener!$D$13))/W_PEHW))</f>
        <v/>
      </c>
      <c r="J204" s="220">
        <f>IF(OR(N(Database!$S204)&lt;=0,N(Screener!$D$14)&lt;=0),0,MAX(0,1-ABS(LOG10(Database!$S204/Screener!$D$14))/0.6))</f>
        <v/>
      </c>
      <c r="K204" s="220">
        <f>IF(Database!$B204=Screener!$B$5,-999999,IF(ISNUMBER(SEARCH(","&amp;Database!$A204&amp;",",","&amp;SUBSTITUTE(Screener!$D$17," ","")&amp;",")),2000000,IF(IF(OR(Screener!$B$18="All",AND(Screener!$B$18="With A-share",(Database!$BM204="Y")),AND(Screener!$B$18="Without A-share",NOT((Database!$BM204="Y")))),1,0)=0,-999999,IF(Screener!$B$16="cornerstone overlap first",H204*100000,IF(Screener!$B$16="demand-similar first",J204*100000,0))+W_SUB*B204+W_SEC*C204*(1-B204)+W_SIZE*D204+W_PROF*E204+W_AH*F204+W_REC*G204+W_CS*H204+W_PE*I204)))+ROW()/1000000</f>
        <v/>
      </c>
      <c r="AA204" s="220">
        <f>Database!B193</f>
        <v/>
      </c>
      <c r="AB204" s="220">
        <f>Database!D193</f>
        <v/>
      </c>
      <c r="AC204" s="220">
        <f>Database!E193</f>
        <v/>
      </c>
      <c r="AD204" s="220">
        <f>Database!I193</f>
        <v/>
      </c>
      <c r="AE204" s="220">
        <f>Database!BG193</f>
        <v/>
      </c>
      <c r="AF204" s="220">
        <f>Database!BM193</f>
        <v/>
      </c>
      <c r="AG204" s="220">
        <f>Database!H193</f>
        <v/>
      </c>
      <c r="AH204" s="220">
        <f>Database!BH193</f>
        <v/>
      </c>
    </row>
    <row r="205">
      <c r="A205" s="220">
        <f>Database!B205</f>
        <v/>
      </c>
      <c r="B205" s="220">
        <f>IF(AND(Screener!$D$8&lt;&gt;"",Database!$E205=Screener!$D$8),1,0)</f>
        <v/>
      </c>
      <c r="C205" s="220">
        <f>IF(AND(Screener!$D$7&lt;&gt;"",Database!$D205=Screener!$D$7),1,0)</f>
        <v/>
      </c>
      <c r="D205" s="220">
        <f>IF(OR(N(Database!$I205)&lt;=0,N(Screener!$D$9)&lt;=0),0,MAX(0,1-ABS(LOG10(N(Database!$I205)/Screener!$D$9))/W_SIZEHW))</f>
        <v/>
      </c>
      <c r="E205" s="220">
        <f>IF(OR(Database!$BG205="",Screener!$D$10=""),0,IF(Database!$BG205=Screener!$D$10,1,0))</f>
        <v/>
      </c>
      <c r="F205" s="220">
        <f>IF(OR(Database!$BM205="",Screener!$D$11=""),0,IF(Database!$BM205=Screener!$D$11,1,0))</f>
        <v/>
      </c>
      <c r="G205" s="220">
        <f>IF(OR(Database!$H205="",N(Screener!$D$12)&lt;=0),0,MAX(0,1-(N(Screener!$D$12)-Database!$H205)/W_RECD))</f>
        <v/>
      </c>
      <c r="H205" s="220">
        <f>IF($U$1="",0,N(ISNUMBER(SEARCH($U$1,Database!$AC205&amp;""))))+IF($V$1="",0,N(ISNUMBER(SEARCH($V$1,Database!$AC205&amp;""))))+IF($W$1="",0,N(ISNUMBER(SEARCH($W$1,Database!$AC205&amp;""))))+IF($X$1="",0,N(ISNUMBER(SEARCH($X$1,Database!$AC205&amp;""))))+IF($Y$1="",0,N(ISNUMBER(SEARCH($Y$1,Database!$AC205&amp;""))))+IF(Screener!$B$17="",0,N(ISNUMBER(SEARCH(LOWER(Screener!$B$17),Database!$AC205&amp;""))))</f>
        <v/>
      </c>
      <c r="I205" s="220">
        <f>IF(OR(N(Database!$BH205)&lt;=0,N(Screener!$D$13)&lt;=0),0,MAX(0,1-ABS(LOG10(N(Database!$BH205)/Screener!$D$13))/W_PEHW))</f>
        <v/>
      </c>
      <c r="J205" s="220">
        <f>IF(OR(N(Database!$S205)&lt;=0,N(Screener!$D$14)&lt;=0),0,MAX(0,1-ABS(LOG10(Database!$S205/Screener!$D$14))/0.6))</f>
        <v/>
      </c>
      <c r="K205" s="220">
        <f>IF(Database!$B205=Screener!$B$5,-999999,IF(ISNUMBER(SEARCH(","&amp;Database!$A205&amp;",",","&amp;SUBSTITUTE(Screener!$D$17," ","")&amp;",")),2000000,IF(IF(OR(Screener!$B$18="All",AND(Screener!$B$18="With A-share",(Database!$BM205="Y")),AND(Screener!$B$18="Without A-share",NOT((Database!$BM205="Y")))),1,0)=0,-999999,IF(Screener!$B$16="cornerstone overlap first",H205*100000,IF(Screener!$B$16="demand-similar first",J205*100000,0))+W_SUB*B205+W_SEC*C205*(1-B205)+W_SIZE*D205+W_PROF*E205+W_AH*F205+W_REC*G205+W_CS*H205+W_PE*I205)))+ROW()/1000000</f>
        <v/>
      </c>
      <c r="AA205" s="220">
        <f>Database!B194</f>
        <v/>
      </c>
      <c r="AB205" s="220">
        <f>Database!D194</f>
        <v/>
      </c>
      <c r="AC205" s="220">
        <f>Database!E194</f>
        <v/>
      </c>
      <c r="AD205" s="220">
        <f>Database!I194</f>
        <v/>
      </c>
      <c r="AE205" s="220">
        <f>Database!BG194</f>
        <v/>
      </c>
      <c r="AF205" s="220">
        <f>Database!BM194</f>
        <v/>
      </c>
      <c r="AG205" s="220">
        <f>Database!H194</f>
        <v/>
      </c>
      <c r="AH205" s="220">
        <f>Database!BH194</f>
        <v/>
      </c>
    </row>
    <row r="206">
      <c r="A206" s="220">
        <f>Database!B206</f>
        <v/>
      </c>
      <c r="B206" s="220">
        <f>IF(AND(Screener!$D$8&lt;&gt;"",Database!$E206=Screener!$D$8),1,0)</f>
        <v/>
      </c>
      <c r="C206" s="220">
        <f>IF(AND(Screener!$D$7&lt;&gt;"",Database!$D206=Screener!$D$7),1,0)</f>
        <v/>
      </c>
      <c r="D206" s="220">
        <f>IF(OR(N(Database!$I206)&lt;=0,N(Screener!$D$9)&lt;=0),0,MAX(0,1-ABS(LOG10(N(Database!$I206)/Screener!$D$9))/W_SIZEHW))</f>
        <v/>
      </c>
      <c r="E206" s="220">
        <f>IF(OR(Database!$BG206="",Screener!$D$10=""),0,IF(Database!$BG206=Screener!$D$10,1,0))</f>
        <v/>
      </c>
      <c r="F206" s="220">
        <f>IF(OR(Database!$BM206="",Screener!$D$11=""),0,IF(Database!$BM206=Screener!$D$11,1,0))</f>
        <v/>
      </c>
      <c r="G206" s="220">
        <f>IF(OR(Database!$H206="",N(Screener!$D$12)&lt;=0),0,MAX(0,1-(N(Screener!$D$12)-Database!$H206)/W_RECD))</f>
        <v/>
      </c>
      <c r="H206" s="220">
        <f>IF($U$1="",0,N(ISNUMBER(SEARCH($U$1,Database!$AC206&amp;""))))+IF($V$1="",0,N(ISNUMBER(SEARCH($V$1,Database!$AC206&amp;""))))+IF($W$1="",0,N(ISNUMBER(SEARCH($W$1,Database!$AC206&amp;""))))+IF($X$1="",0,N(ISNUMBER(SEARCH($X$1,Database!$AC206&amp;""))))+IF($Y$1="",0,N(ISNUMBER(SEARCH($Y$1,Database!$AC206&amp;""))))+IF(Screener!$B$17="",0,N(ISNUMBER(SEARCH(LOWER(Screener!$B$17),Database!$AC206&amp;""))))</f>
        <v/>
      </c>
      <c r="I206" s="220">
        <f>IF(OR(N(Database!$BH206)&lt;=0,N(Screener!$D$13)&lt;=0),0,MAX(0,1-ABS(LOG10(N(Database!$BH206)/Screener!$D$13))/W_PEHW))</f>
        <v/>
      </c>
      <c r="J206" s="220">
        <f>IF(OR(N(Database!$S206)&lt;=0,N(Screener!$D$14)&lt;=0),0,MAX(0,1-ABS(LOG10(Database!$S206/Screener!$D$14))/0.6))</f>
        <v/>
      </c>
      <c r="K206" s="220">
        <f>IF(Database!$B206=Screener!$B$5,-999999,IF(ISNUMBER(SEARCH(","&amp;Database!$A206&amp;",",","&amp;SUBSTITUTE(Screener!$D$17," ","")&amp;",")),2000000,IF(IF(OR(Screener!$B$18="All",AND(Screener!$B$18="With A-share",(Database!$BM206="Y")),AND(Screener!$B$18="Without A-share",NOT((Database!$BM206="Y")))),1,0)=0,-999999,IF(Screener!$B$16="cornerstone overlap first",H206*100000,IF(Screener!$B$16="demand-similar first",J206*100000,0))+W_SUB*B206+W_SEC*C206*(1-B206)+W_SIZE*D206+W_PROF*E206+W_AH*F206+W_REC*G206+W_CS*H206+W_PE*I206)))+ROW()/1000000</f>
        <v/>
      </c>
      <c r="AA206" s="220">
        <f>Database!B195</f>
        <v/>
      </c>
      <c r="AB206" s="220">
        <f>Database!D195</f>
        <v/>
      </c>
      <c r="AC206" s="220">
        <f>Database!E195</f>
        <v/>
      </c>
      <c r="AD206" s="220">
        <f>Database!I195</f>
        <v/>
      </c>
      <c r="AE206" s="220">
        <f>Database!BG195</f>
        <v/>
      </c>
      <c r="AF206" s="220">
        <f>Database!BM195</f>
        <v/>
      </c>
      <c r="AG206" s="220">
        <f>Database!H195</f>
        <v/>
      </c>
      <c r="AH206" s="220">
        <f>Database!BH195</f>
        <v/>
      </c>
    </row>
    <row r="207">
      <c r="A207" s="220">
        <f>Database!B207</f>
        <v/>
      </c>
      <c r="B207" s="220">
        <f>IF(AND(Screener!$D$8&lt;&gt;"",Database!$E207=Screener!$D$8),1,0)</f>
        <v/>
      </c>
      <c r="C207" s="220">
        <f>IF(AND(Screener!$D$7&lt;&gt;"",Database!$D207=Screener!$D$7),1,0)</f>
        <v/>
      </c>
      <c r="D207" s="220">
        <f>IF(OR(N(Database!$I207)&lt;=0,N(Screener!$D$9)&lt;=0),0,MAX(0,1-ABS(LOG10(N(Database!$I207)/Screener!$D$9))/W_SIZEHW))</f>
        <v/>
      </c>
      <c r="E207" s="220">
        <f>IF(OR(Database!$BG207="",Screener!$D$10=""),0,IF(Database!$BG207=Screener!$D$10,1,0))</f>
        <v/>
      </c>
      <c r="F207" s="220">
        <f>IF(OR(Database!$BM207="",Screener!$D$11=""),0,IF(Database!$BM207=Screener!$D$11,1,0))</f>
        <v/>
      </c>
      <c r="G207" s="220">
        <f>IF(OR(Database!$H207="",N(Screener!$D$12)&lt;=0),0,MAX(0,1-(N(Screener!$D$12)-Database!$H207)/W_RECD))</f>
        <v/>
      </c>
      <c r="H207" s="220">
        <f>IF($U$1="",0,N(ISNUMBER(SEARCH($U$1,Database!$AC207&amp;""))))+IF($V$1="",0,N(ISNUMBER(SEARCH($V$1,Database!$AC207&amp;""))))+IF($W$1="",0,N(ISNUMBER(SEARCH($W$1,Database!$AC207&amp;""))))+IF($X$1="",0,N(ISNUMBER(SEARCH($X$1,Database!$AC207&amp;""))))+IF($Y$1="",0,N(ISNUMBER(SEARCH($Y$1,Database!$AC207&amp;""))))+IF(Screener!$B$17="",0,N(ISNUMBER(SEARCH(LOWER(Screener!$B$17),Database!$AC207&amp;""))))</f>
        <v/>
      </c>
      <c r="I207" s="220">
        <f>IF(OR(N(Database!$BH207)&lt;=0,N(Screener!$D$13)&lt;=0),0,MAX(0,1-ABS(LOG10(N(Database!$BH207)/Screener!$D$13))/W_PEHW))</f>
        <v/>
      </c>
      <c r="J207" s="220">
        <f>IF(OR(N(Database!$S207)&lt;=0,N(Screener!$D$14)&lt;=0),0,MAX(0,1-ABS(LOG10(Database!$S207/Screener!$D$14))/0.6))</f>
        <v/>
      </c>
      <c r="K207" s="220">
        <f>IF(Database!$B207=Screener!$B$5,-999999,IF(ISNUMBER(SEARCH(","&amp;Database!$A207&amp;",",","&amp;SUBSTITUTE(Screener!$D$17," ","")&amp;",")),2000000,IF(IF(OR(Screener!$B$18="All",AND(Screener!$B$18="With A-share",(Database!$BM207="Y")),AND(Screener!$B$18="Without A-share",NOT((Database!$BM207="Y")))),1,0)=0,-999999,IF(Screener!$B$16="cornerstone overlap first",H207*100000,IF(Screener!$B$16="demand-similar first",J207*100000,0))+W_SUB*B207+W_SEC*C207*(1-B207)+W_SIZE*D207+W_PROF*E207+W_AH*F207+W_REC*G207+W_CS*H207+W_PE*I207)))+ROW()/1000000</f>
        <v/>
      </c>
      <c r="AA207" s="220">
        <f>Database!B196</f>
        <v/>
      </c>
      <c r="AB207" s="220">
        <f>Database!D196</f>
        <v/>
      </c>
      <c r="AC207" s="220">
        <f>Database!E196</f>
        <v/>
      </c>
      <c r="AD207" s="220">
        <f>Database!I196</f>
        <v/>
      </c>
      <c r="AE207" s="220">
        <f>Database!BG196</f>
        <v/>
      </c>
      <c r="AF207" s="220">
        <f>Database!BM196</f>
        <v/>
      </c>
      <c r="AG207" s="220">
        <f>Database!H196</f>
        <v/>
      </c>
      <c r="AH207" s="220">
        <f>Database!BH196</f>
        <v/>
      </c>
    </row>
    <row r="208">
      <c r="A208" s="220">
        <f>Database!B208</f>
        <v/>
      </c>
      <c r="B208" s="220">
        <f>IF(AND(Screener!$D$8&lt;&gt;"",Database!$E208=Screener!$D$8),1,0)</f>
        <v/>
      </c>
      <c r="C208" s="220">
        <f>IF(AND(Screener!$D$7&lt;&gt;"",Database!$D208=Screener!$D$7),1,0)</f>
        <v/>
      </c>
      <c r="D208" s="220">
        <f>IF(OR(N(Database!$I208)&lt;=0,N(Screener!$D$9)&lt;=0),0,MAX(0,1-ABS(LOG10(N(Database!$I208)/Screener!$D$9))/W_SIZEHW))</f>
        <v/>
      </c>
      <c r="E208" s="220">
        <f>IF(OR(Database!$BG208="",Screener!$D$10=""),0,IF(Database!$BG208=Screener!$D$10,1,0))</f>
        <v/>
      </c>
      <c r="F208" s="220">
        <f>IF(OR(Database!$BM208="",Screener!$D$11=""),0,IF(Database!$BM208=Screener!$D$11,1,0))</f>
        <v/>
      </c>
      <c r="G208" s="220">
        <f>IF(OR(Database!$H208="",N(Screener!$D$12)&lt;=0),0,MAX(0,1-(N(Screener!$D$12)-Database!$H208)/W_RECD))</f>
        <v/>
      </c>
      <c r="H208" s="220">
        <f>IF($U$1="",0,N(ISNUMBER(SEARCH($U$1,Database!$AC208&amp;""))))+IF($V$1="",0,N(ISNUMBER(SEARCH($V$1,Database!$AC208&amp;""))))+IF($W$1="",0,N(ISNUMBER(SEARCH($W$1,Database!$AC208&amp;""))))+IF($X$1="",0,N(ISNUMBER(SEARCH($X$1,Database!$AC208&amp;""))))+IF($Y$1="",0,N(ISNUMBER(SEARCH($Y$1,Database!$AC208&amp;""))))+IF(Screener!$B$17="",0,N(ISNUMBER(SEARCH(LOWER(Screener!$B$17),Database!$AC208&amp;""))))</f>
        <v/>
      </c>
      <c r="I208" s="220">
        <f>IF(OR(N(Database!$BH208)&lt;=0,N(Screener!$D$13)&lt;=0),0,MAX(0,1-ABS(LOG10(N(Database!$BH208)/Screener!$D$13))/W_PEHW))</f>
        <v/>
      </c>
      <c r="J208" s="220">
        <f>IF(OR(N(Database!$S208)&lt;=0,N(Screener!$D$14)&lt;=0),0,MAX(0,1-ABS(LOG10(Database!$S208/Screener!$D$14))/0.6))</f>
        <v/>
      </c>
      <c r="K208" s="220">
        <f>IF(Database!$B208=Screener!$B$5,-999999,IF(ISNUMBER(SEARCH(","&amp;Database!$A208&amp;",",","&amp;SUBSTITUTE(Screener!$D$17," ","")&amp;",")),2000000,IF(IF(OR(Screener!$B$18="All",AND(Screener!$B$18="With A-share",(Database!$BM208="Y")),AND(Screener!$B$18="Without A-share",NOT((Database!$BM208="Y")))),1,0)=0,-999999,IF(Screener!$B$16="cornerstone overlap first",H208*100000,IF(Screener!$B$16="demand-similar first",J208*100000,0))+W_SUB*B208+W_SEC*C208*(1-B208)+W_SIZE*D208+W_PROF*E208+W_AH*F208+W_REC*G208+W_CS*H208+W_PE*I208)))+ROW()/1000000</f>
        <v/>
      </c>
      <c r="AA208" s="220">
        <f>Database!B197</f>
        <v/>
      </c>
      <c r="AB208" s="220">
        <f>Database!D197</f>
        <v/>
      </c>
      <c r="AC208" s="220">
        <f>Database!E197</f>
        <v/>
      </c>
      <c r="AD208" s="220">
        <f>Database!I197</f>
        <v/>
      </c>
      <c r="AE208" s="220">
        <f>Database!BG197</f>
        <v/>
      </c>
      <c r="AF208" s="220">
        <f>Database!BM197</f>
        <v/>
      </c>
      <c r="AG208" s="220">
        <f>Database!H197</f>
        <v/>
      </c>
      <c r="AH208" s="220">
        <f>Database!BH197</f>
        <v/>
      </c>
    </row>
    <row r="209">
      <c r="A209" s="220">
        <f>Database!B209</f>
        <v/>
      </c>
      <c r="B209" s="220">
        <f>IF(AND(Screener!$D$8&lt;&gt;"",Database!$E209=Screener!$D$8),1,0)</f>
        <v/>
      </c>
      <c r="C209" s="220">
        <f>IF(AND(Screener!$D$7&lt;&gt;"",Database!$D209=Screener!$D$7),1,0)</f>
        <v/>
      </c>
      <c r="D209" s="220">
        <f>IF(OR(N(Database!$I209)&lt;=0,N(Screener!$D$9)&lt;=0),0,MAX(0,1-ABS(LOG10(N(Database!$I209)/Screener!$D$9))/W_SIZEHW))</f>
        <v/>
      </c>
      <c r="E209" s="220">
        <f>IF(OR(Database!$BG209="",Screener!$D$10=""),0,IF(Database!$BG209=Screener!$D$10,1,0))</f>
        <v/>
      </c>
      <c r="F209" s="220">
        <f>IF(OR(Database!$BM209="",Screener!$D$11=""),0,IF(Database!$BM209=Screener!$D$11,1,0))</f>
        <v/>
      </c>
      <c r="G209" s="220">
        <f>IF(OR(Database!$H209="",N(Screener!$D$12)&lt;=0),0,MAX(0,1-(N(Screener!$D$12)-Database!$H209)/W_RECD))</f>
        <v/>
      </c>
      <c r="H209" s="220">
        <f>IF($U$1="",0,N(ISNUMBER(SEARCH($U$1,Database!$AC209&amp;""))))+IF($V$1="",0,N(ISNUMBER(SEARCH($V$1,Database!$AC209&amp;""))))+IF($W$1="",0,N(ISNUMBER(SEARCH($W$1,Database!$AC209&amp;""))))+IF($X$1="",0,N(ISNUMBER(SEARCH($X$1,Database!$AC209&amp;""))))+IF($Y$1="",0,N(ISNUMBER(SEARCH($Y$1,Database!$AC209&amp;""))))+IF(Screener!$B$17="",0,N(ISNUMBER(SEARCH(LOWER(Screener!$B$17),Database!$AC209&amp;""))))</f>
        <v/>
      </c>
      <c r="I209" s="220">
        <f>IF(OR(N(Database!$BH209)&lt;=0,N(Screener!$D$13)&lt;=0),0,MAX(0,1-ABS(LOG10(N(Database!$BH209)/Screener!$D$13))/W_PEHW))</f>
        <v/>
      </c>
      <c r="J209" s="220">
        <f>IF(OR(N(Database!$S209)&lt;=0,N(Screener!$D$14)&lt;=0),0,MAX(0,1-ABS(LOG10(Database!$S209/Screener!$D$14))/0.6))</f>
        <v/>
      </c>
      <c r="K209" s="220">
        <f>IF(Database!$B209=Screener!$B$5,-999999,IF(ISNUMBER(SEARCH(","&amp;Database!$A209&amp;",",","&amp;SUBSTITUTE(Screener!$D$17," ","")&amp;",")),2000000,IF(IF(OR(Screener!$B$18="All",AND(Screener!$B$18="With A-share",(Database!$BM209="Y")),AND(Screener!$B$18="Without A-share",NOT((Database!$BM209="Y")))),1,0)=0,-999999,IF(Screener!$B$16="cornerstone overlap first",H209*100000,IF(Screener!$B$16="demand-similar first",J209*100000,0))+W_SUB*B209+W_SEC*C209*(1-B209)+W_SIZE*D209+W_PROF*E209+W_AH*F209+W_REC*G209+W_CS*H209+W_PE*I209)))+ROW()/1000000</f>
        <v/>
      </c>
      <c r="AA209" s="220">
        <f>Database!B198</f>
        <v/>
      </c>
      <c r="AB209" s="220">
        <f>Database!D198</f>
        <v/>
      </c>
      <c r="AC209" s="220">
        <f>Database!E198</f>
        <v/>
      </c>
      <c r="AD209" s="220">
        <f>Database!I198</f>
        <v/>
      </c>
      <c r="AE209" s="220">
        <f>Database!BG198</f>
        <v/>
      </c>
      <c r="AF209" s="220">
        <f>Database!BM198</f>
        <v/>
      </c>
      <c r="AG209" s="220">
        <f>Database!H198</f>
        <v/>
      </c>
      <c r="AH209" s="220">
        <f>Database!BH198</f>
        <v/>
      </c>
    </row>
    <row r="210">
      <c r="A210" s="220">
        <f>Database!B210</f>
        <v/>
      </c>
      <c r="B210" s="220">
        <f>IF(AND(Screener!$D$8&lt;&gt;"",Database!$E210=Screener!$D$8),1,0)</f>
        <v/>
      </c>
      <c r="C210" s="220">
        <f>IF(AND(Screener!$D$7&lt;&gt;"",Database!$D210=Screener!$D$7),1,0)</f>
        <v/>
      </c>
      <c r="D210" s="220">
        <f>IF(OR(N(Database!$I210)&lt;=0,N(Screener!$D$9)&lt;=0),0,MAX(0,1-ABS(LOG10(N(Database!$I210)/Screener!$D$9))/W_SIZEHW))</f>
        <v/>
      </c>
      <c r="E210" s="220">
        <f>IF(OR(Database!$BG210="",Screener!$D$10=""),0,IF(Database!$BG210=Screener!$D$10,1,0))</f>
        <v/>
      </c>
      <c r="F210" s="220">
        <f>IF(OR(Database!$BM210="",Screener!$D$11=""),0,IF(Database!$BM210=Screener!$D$11,1,0))</f>
        <v/>
      </c>
      <c r="G210" s="220">
        <f>IF(OR(Database!$H210="",N(Screener!$D$12)&lt;=0),0,MAX(0,1-(N(Screener!$D$12)-Database!$H210)/W_RECD))</f>
        <v/>
      </c>
      <c r="H210" s="220">
        <f>IF($U$1="",0,N(ISNUMBER(SEARCH($U$1,Database!$AC210&amp;""))))+IF($V$1="",0,N(ISNUMBER(SEARCH($V$1,Database!$AC210&amp;""))))+IF($W$1="",0,N(ISNUMBER(SEARCH($W$1,Database!$AC210&amp;""))))+IF($X$1="",0,N(ISNUMBER(SEARCH($X$1,Database!$AC210&amp;""))))+IF($Y$1="",0,N(ISNUMBER(SEARCH($Y$1,Database!$AC210&amp;""))))+IF(Screener!$B$17="",0,N(ISNUMBER(SEARCH(LOWER(Screener!$B$17),Database!$AC210&amp;""))))</f>
        <v/>
      </c>
      <c r="I210" s="220">
        <f>IF(OR(N(Database!$BH210)&lt;=0,N(Screener!$D$13)&lt;=0),0,MAX(0,1-ABS(LOG10(N(Database!$BH210)/Screener!$D$13))/W_PEHW))</f>
        <v/>
      </c>
      <c r="J210" s="220">
        <f>IF(OR(N(Database!$S210)&lt;=0,N(Screener!$D$14)&lt;=0),0,MAX(0,1-ABS(LOG10(Database!$S210/Screener!$D$14))/0.6))</f>
        <v/>
      </c>
      <c r="K210" s="220">
        <f>IF(Database!$B210=Screener!$B$5,-999999,IF(ISNUMBER(SEARCH(","&amp;Database!$A210&amp;",",","&amp;SUBSTITUTE(Screener!$D$17," ","")&amp;",")),2000000,IF(IF(OR(Screener!$B$18="All",AND(Screener!$B$18="With A-share",(Database!$BM210="Y")),AND(Screener!$B$18="Without A-share",NOT((Database!$BM210="Y")))),1,0)=0,-999999,IF(Screener!$B$16="cornerstone overlap first",H210*100000,IF(Screener!$B$16="demand-similar first",J210*100000,0))+W_SUB*B210+W_SEC*C210*(1-B210)+W_SIZE*D210+W_PROF*E210+W_AH*F210+W_REC*G210+W_CS*H210+W_PE*I210)))+ROW()/1000000</f>
        <v/>
      </c>
      <c r="AA210" s="220">
        <f>Database!B199</f>
        <v/>
      </c>
      <c r="AB210" s="220">
        <f>Database!D199</f>
        <v/>
      </c>
      <c r="AC210" s="220">
        <f>Database!E199</f>
        <v/>
      </c>
      <c r="AD210" s="220">
        <f>Database!I199</f>
        <v/>
      </c>
      <c r="AE210" s="220">
        <f>Database!BG199</f>
        <v/>
      </c>
      <c r="AF210" s="220">
        <f>Database!BM199</f>
        <v/>
      </c>
      <c r="AG210" s="220">
        <f>Database!H199</f>
        <v/>
      </c>
      <c r="AH210" s="220">
        <f>Database!BH199</f>
        <v/>
      </c>
    </row>
    <row r="211">
      <c r="A211" s="220">
        <f>Database!B211</f>
        <v/>
      </c>
      <c r="B211" s="220">
        <f>IF(AND(Screener!$D$8&lt;&gt;"",Database!$E211=Screener!$D$8),1,0)</f>
        <v/>
      </c>
      <c r="C211" s="220">
        <f>IF(AND(Screener!$D$7&lt;&gt;"",Database!$D211=Screener!$D$7),1,0)</f>
        <v/>
      </c>
      <c r="D211" s="220">
        <f>IF(OR(N(Database!$I211)&lt;=0,N(Screener!$D$9)&lt;=0),0,MAX(0,1-ABS(LOG10(N(Database!$I211)/Screener!$D$9))/W_SIZEHW))</f>
        <v/>
      </c>
      <c r="E211" s="220">
        <f>IF(OR(Database!$BG211="",Screener!$D$10=""),0,IF(Database!$BG211=Screener!$D$10,1,0))</f>
        <v/>
      </c>
      <c r="F211" s="220">
        <f>IF(OR(Database!$BM211="",Screener!$D$11=""),0,IF(Database!$BM211=Screener!$D$11,1,0))</f>
        <v/>
      </c>
      <c r="G211" s="220">
        <f>IF(OR(Database!$H211="",N(Screener!$D$12)&lt;=0),0,MAX(0,1-(N(Screener!$D$12)-Database!$H211)/W_RECD))</f>
        <v/>
      </c>
      <c r="H211" s="220">
        <f>IF($U$1="",0,N(ISNUMBER(SEARCH($U$1,Database!$AC211&amp;""))))+IF($V$1="",0,N(ISNUMBER(SEARCH($V$1,Database!$AC211&amp;""))))+IF($W$1="",0,N(ISNUMBER(SEARCH($W$1,Database!$AC211&amp;""))))+IF($X$1="",0,N(ISNUMBER(SEARCH($X$1,Database!$AC211&amp;""))))+IF($Y$1="",0,N(ISNUMBER(SEARCH($Y$1,Database!$AC211&amp;""))))+IF(Screener!$B$17="",0,N(ISNUMBER(SEARCH(LOWER(Screener!$B$17),Database!$AC211&amp;""))))</f>
        <v/>
      </c>
      <c r="I211" s="220">
        <f>IF(OR(N(Database!$BH211)&lt;=0,N(Screener!$D$13)&lt;=0),0,MAX(0,1-ABS(LOG10(N(Database!$BH211)/Screener!$D$13))/W_PEHW))</f>
        <v/>
      </c>
      <c r="J211" s="220">
        <f>IF(OR(N(Database!$S211)&lt;=0,N(Screener!$D$14)&lt;=0),0,MAX(0,1-ABS(LOG10(Database!$S211/Screener!$D$14))/0.6))</f>
        <v/>
      </c>
      <c r="K211" s="220">
        <f>IF(Database!$B211=Screener!$B$5,-999999,IF(ISNUMBER(SEARCH(","&amp;Database!$A211&amp;",",","&amp;SUBSTITUTE(Screener!$D$17," ","")&amp;",")),2000000,IF(IF(OR(Screener!$B$18="All",AND(Screener!$B$18="With A-share",(Database!$BM211="Y")),AND(Screener!$B$18="Without A-share",NOT((Database!$BM211="Y")))),1,0)=0,-999999,IF(Screener!$B$16="cornerstone overlap first",H211*100000,IF(Screener!$B$16="demand-similar first",J211*100000,0))+W_SUB*B211+W_SEC*C211*(1-B211)+W_SIZE*D211+W_PROF*E211+W_AH*F211+W_REC*G211+W_CS*H211+W_PE*I211)))+ROW()/1000000</f>
        <v/>
      </c>
      <c r="AA211" s="220">
        <f>Database!B200</f>
        <v/>
      </c>
      <c r="AB211" s="220">
        <f>Database!D200</f>
        <v/>
      </c>
      <c r="AC211" s="220">
        <f>Database!E200</f>
        <v/>
      </c>
      <c r="AD211" s="220">
        <f>Database!I200</f>
        <v/>
      </c>
      <c r="AE211" s="220">
        <f>Database!BG200</f>
        <v/>
      </c>
      <c r="AF211" s="220">
        <f>Database!BM200</f>
        <v/>
      </c>
      <c r="AG211" s="220">
        <f>Database!H200</f>
        <v/>
      </c>
      <c r="AH211" s="220">
        <f>Database!BH200</f>
        <v/>
      </c>
    </row>
    <row r="212">
      <c r="A212" s="220">
        <f>Database!B212</f>
        <v/>
      </c>
      <c r="B212" s="220">
        <f>IF(AND(Screener!$D$8&lt;&gt;"",Database!$E212=Screener!$D$8),1,0)</f>
        <v/>
      </c>
      <c r="C212" s="220">
        <f>IF(AND(Screener!$D$7&lt;&gt;"",Database!$D212=Screener!$D$7),1,0)</f>
        <v/>
      </c>
      <c r="D212" s="220">
        <f>IF(OR(N(Database!$I212)&lt;=0,N(Screener!$D$9)&lt;=0),0,MAX(0,1-ABS(LOG10(N(Database!$I212)/Screener!$D$9))/W_SIZEHW))</f>
        <v/>
      </c>
      <c r="E212" s="220">
        <f>IF(OR(Database!$BG212="",Screener!$D$10=""),0,IF(Database!$BG212=Screener!$D$10,1,0))</f>
        <v/>
      </c>
      <c r="F212" s="220">
        <f>IF(OR(Database!$BM212="",Screener!$D$11=""),0,IF(Database!$BM212=Screener!$D$11,1,0))</f>
        <v/>
      </c>
      <c r="G212" s="220">
        <f>IF(OR(Database!$H212="",N(Screener!$D$12)&lt;=0),0,MAX(0,1-(N(Screener!$D$12)-Database!$H212)/W_RECD))</f>
        <v/>
      </c>
      <c r="H212" s="220">
        <f>IF($U$1="",0,N(ISNUMBER(SEARCH($U$1,Database!$AC212&amp;""))))+IF($V$1="",0,N(ISNUMBER(SEARCH($V$1,Database!$AC212&amp;""))))+IF($W$1="",0,N(ISNUMBER(SEARCH($W$1,Database!$AC212&amp;""))))+IF($X$1="",0,N(ISNUMBER(SEARCH($X$1,Database!$AC212&amp;""))))+IF($Y$1="",0,N(ISNUMBER(SEARCH($Y$1,Database!$AC212&amp;""))))+IF(Screener!$B$17="",0,N(ISNUMBER(SEARCH(LOWER(Screener!$B$17),Database!$AC212&amp;""))))</f>
        <v/>
      </c>
      <c r="I212" s="220">
        <f>IF(OR(N(Database!$BH212)&lt;=0,N(Screener!$D$13)&lt;=0),0,MAX(0,1-ABS(LOG10(N(Database!$BH212)/Screener!$D$13))/W_PEHW))</f>
        <v/>
      </c>
      <c r="J212" s="220">
        <f>IF(OR(N(Database!$S212)&lt;=0,N(Screener!$D$14)&lt;=0),0,MAX(0,1-ABS(LOG10(Database!$S212/Screener!$D$14))/0.6))</f>
        <v/>
      </c>
      <c r="K212" s="220">
        <f>IF(Database!$B212=Screener!$B$5,-999999,IF(ISNUMBER(SEARCH(","&amp;Database!$A212&amp;",",","&amp;SUBSTITUTE(Screener!$D$17," ","")&amp;",")),2000000,IF(IF(OR(Screener!$B$18="All",AND(Screener!$B$18="With A-share",(Database!$BM212="Y")),AND(Screener!$B$18="Without A-share",NOT((Database!$BM212="Y")))),1,0)=0,-999999,IF(Screener!$B$16="cornerstone overlap first",H212*100000,IF(Screener!$B$16="demand-similar first",J212*100000,0))+W_SUB*B212+W_SEC*C212*(1-B212)+W_SIZE*D212+W_PROF*E212+W_AH*F212+W_REC*G212+W_CS*H212+W_PE*I212)))+ROW()/1000000</f>
        <v/>
      </c>
      <c r="AA212" s="220">
        <f>Database!B201</f>
        <v/>
      </c>
      <c r="AB212" s="220">
        <f>Database!D201</f>
        <v/>
      </c>
      <c r="AC212" s="220">
        <f>Database!E201</f>
        <v/>
      </c>
      <c r="AD212" s="220">
        <f>Database!I201</f>
        <v/>
      </c>
      <c r="AE212" s="220">
        <f>Database!BG201</f>
        <v/>
      </c>
      <c r="AF212" s="220">
        <f>Database!BM201</f>
        <v/>
      </c>
      <c r="AG212" s="220">
        <f>Database!H201</f>
        <v/>
      </c>
      <c r="AH212" s="220">
        <f>Database!BH201</f>
        <v/>
      </c>
    </row>
    <row r="213">
      <c r="A213" s="220">
        <f>Database!B213</f>
        <v/>
      </c>
      <c r="B213" s="220">
        <f>IF(AND(Screener!$D$8&lt;&gt;"",Database!$E213=Screener!$D$8),1,0)</f>
        <v/>
      </c>
      <c r="C213" s="220">
        <f>IF(AND(Screener!$D$7&lt;&gt;"",Database!$D213=Screener!$D$7),1,0)</f>
        <v/>
      </c>
      <c r="D213" s="220">
        <f>IF(OR(N(Database!$I213)&lt;=0,N(Screener!$D$9)&lt;=0),0,MAX(0,1-ABS(LOG10(N(Database!$I213)/Screener!$D$9))/W_SIZEHW))</f>
        <v/>
      </c>
      <c r="E213" s="220">
        <f>IF(OR(Database!$BG213="",Screener!$D$10=""),0,IF(Database!$BG213=Screener!$D$10,1,0))</f>
        <v/>
      </c>
      <c r="F213" s="220">
        <f>IF(OR(Database!$BM213="",Screener!$D$11=""),0,IF(Database!$BM213=Screener!$D$11,1,0))</f>
        <v/>
      </c>
      <c r="G213" s="220">
        <f>IF(OR(Database!$H213="",N(Screener!$D$12)&lt;=0),0,MAX(0,1-(N(Screener!$D$12)-Database!$H213)/W_RECD))</f>
        <v/>
      </c>
      <c r="H213" s="220">
        <f>IF($U$1="",0,N(ISNUMBER(SEARCH($U$1,Database!$AC213&amp;""))))+IF($V$1="",0,N(ISNUMBER(SEARCH($V$1,Database!$AC213&amp;""))))+IF($W$1="",0,N(ISNUMBER(SEARCH($W$1,Database!$AC213&amp;""))))+IF($X$1="",0,N(ISNUMBER(SEARCH($X$1,Database!$AC213&amp;""))))+IF($Y$1="",0,N(ISNUMBER(SEARCH($Y$1,Database!$AC213&amp;""))))+IF(Screener!$B$17="",0,N(ISNUMBER(SEARCH(LOWER(Screener!$B$17),Database!$AC213&amp;""))))</f>
        <v/>
      </c>
      <c r="I213" s="220">
        <f>IF(OR(N(Database!$BH213)&lt;=0,N(Screener!$D$13)&lt;=0),0,MAX(0,1-ABS(LOG10(N(Database!$BH213)/Screener!$D$13))/W_PEHW))</f>
        <v/>
      </c>
      <c r="J213" s="220">
        <f>IF(OR(N(Database!$S213)&lt;=0,N(Screener!$D$14)&lt;=0),0,MAX(0,1-ABS(LOG10(Database!$S213/Screener!$D$14))/0.6))</f>
        <v/>
      </c>
      <c r="K213" s="220">
        <f>IF(Database!$B213=Screener!$B$5,-999999,IF(ISNUMBER(SEARCH(","&amp;Database!$A213&amp;",",","&amp;SUBSTITUTE(Screener!$D$17," ","")&amp;",")),2000000,IF(IF(OR(Screener!$B$18="All",AND(Screener!$B$18="With A-share",(Database!$BM213="Y")),AND(Screener!$B$18="Without A-share",NOT((Database!$BM213="Y")))),1,0)=0,-999999,IF(Screener!$B$16="cornerstone overlap first",H213*100000,IF(Screener!$B$16="demand-similar first",J213*100000,0))+W_SUB*B213+W_SEC*C213*(1-B213)+W_SIZE*D213+W_PROF*E213+W_AH*F213+W_REC*G213+W_CS*H213+W_PE*I213)))+ROW()/1000000</f>
        <v/>
      </c>
      <c r="AA213" s="220">
        <f>Database!B202</f>
        <v/>
      </c>
      <c r="AB213" s="220">
        <f>Database!D202</f>
        <v/>
      </c>
      <c r="AC213" s="220">
        <f>Database!E202</f>
        <v/>
      </c>
      <c r="AD213" s="220">
        <f>Database!I202</f>
        <v/>
      </c>
      <c r="AE213" s="220">
        <f>Database!BG202</f>
        <v/>
      </c>
      <c r="AF213" s="220">
        <f>Database!BM202</f>
        <v/>
      </c>
      <c r="AG213" s="220">
        <f>Database!H202</f>
        <v/>
      </c>
      <c r="AH213" s="220">
        <f>Database!BH202</f>
        <v/>
      </c>
    </row>
    <row r="214">
      <c r="A214" s="220">
        <f>Database!B214</f>
        <v/>
      </c>
      <c r="B214" s="220">
        <f>IF(AND(Screener!$D$8&lt;&gt;"",Database!$E214=Screener!$D$8),1,0)</f>
        <v/>
      </c>
      <c r="C214" s="220">
        <f>IF(AND(Screener!$D$7&lt;&gt;"",Database!$D214=Screener!$D$7),1,0)</f>
        <v/>
      </c>
      <c r="D214" s="220">
        <f>IF(OR(N(Database!$I214)&lt;=0,N(Screener!$D$9)&lt;=0),0,MAX(0,1-ABS(LOG10(N(Database!$I214)/Screener!$D$9))/W_SIZEHW))</f>
        <v/>
      </c>
      <c r="E214" s="220">
        <f>IF(OR(Database!$BG214="",Screener!$D$10=""),0,IF(Database!$BG214=Screener!$D$10,1,0))</f>
        <v/>
      </c>
      <c r="F214" s="220">
        <f>IF(OR(Database!$BM214="",Screener!$D$11=""),0,IF(Database!$BM214=Screener!$D$11,1,0))</f>
        <v/>
      </c>
      <c r="G214" s="220">
        <f>IF(OR(Database!$H214="",N(Screener!$D$12)&lt;=0),0,MAX(0,1-(N(Screener!$D$12)-Database!$H214)/W_RECD))</f>
        <v/>
      </c>
      <c r="H214" s="220">
        <f>IF($U$1="",0,N(ISNUMBER(SEARCH($U$1,Database!$AC214&amp;""))))+IF($V$1="",0,N(ISNUMBER(SEARCH($V$1,Database!$AC214&amp;""))))+IF($W$1="",0,N(ISNUMBER(SEARCH($W$1,Database!$AC214&amp;""))))+IF($X$1="",0,N(ISNUMBER(SEARCH($X$1,Database!$AC214&amp;""))))+IF($Y$1="",0,N(ISNUMBER(SEARCH($Y$1,Database!$AC214&amp;""))))+IF(Screener!$B$17="",0,N(ISNUMBER(SEARCH(LOWER(Screener!$B$17),Database!$AC214&amp;""))))</f>
        <v/>
      </c>
      <c r="I214" s="220">
        <f>IF(OR(N(Database!$BH214)&lt;=0,N(Screener!$D$13)&lt;=0),0,MAX(0,1-ABS(LOG10(N(Database!$BH214)/Screener!$D$13))/W_PEHW))</f>
        <v/>
      </c>
      <c r="J214" s="220">
        <f>IF(OR(N(Database!$S214)&lt;=0,N(Screener!$D$14)&lt;=0),0,MAX(0,1-ABS(LOG10(Database!$S214/Screener!$D$14))/0.6))</f>
        <v/>
      </c>
      <c r="K214" s="220">
        <f>IF(Database!$B214=Screener!$B$5,-999999,IF(ISNUMBER(SEARCH(","&amp;Database!$A214&amp;",",","&amp;SUBSTITUTE(Screener!$D$17," ","")&amp;",")),2000000,IF(IF(OR(Screener!$B$18="All",AND(Screener!$B$18="With A-share",(Database!$BM214="Y")),AND(Screener!$B$18="Without A-share",NOT((Database!$BM214="Y")))),1,0)=0,-999999,IF(Screener!$B$16="cornerstone overlap first",H214*100000,IF(Screener!$B$16="demand-similar first",J214*100000,0))+W_SUB*B214+W_SEC*C214*(1-B214)+W_SIZE*D214+W_PROF*E214+W_AH*F214+W_REC*G214+W_CS*H214+W_PE*I214)))+ROW()/1000000</f>
        <v/>
      </c>
      <c r="AA214" s="220">
        <f>Database!B203</f>
        <v/>
      </c>
      <c r="AB214" s="220">
        <f>Database!D203</f>
        <v/>
      </c>
      <c r="AC214" s="220">
        <f>Database!E203</f>
        <v/>
      </c>
      <c r="AD214" s="220">
        <f>Database!I203</f>
        <v/>
      </c>
      <c r="AE214" s="220">
        <f>Database!BG203</f>
        <v/>
      </c>
      <c r="AF214" s="220">
        <f>Database!BM203</f>
        <v/>
      </c>
      <c r="AG214" s="220">
        <f>Database!H203</f>
        <v/>
      </c>
      <c r="AH214" s="220">
        <f>Database!BH203</f>
        <v/>
      </c>
    </row>
    <row r="215">
      <c r="A215" s="220">
        <f>Database!B215</f>
        <v/>
      </c>
      <c r="B215" s="220">
        <f>IF(AND(Screener!$D$8&lt;&gt;"",Database!$E215=Screener!$D$8),1,0)</f>
        <v/>
      </c>
      <c r="C215" s="220">
        <f>IF(AND(Screener!$D$7&lt;&gt;"",Database!$D215=Screener!$D$7),1,0)</f>
        <v/>
      </c>
      <c r="D215" s="220">
        <f>IF(OR(N(Database!$I215)&lt;=0,N(Screener!$D$9)&lt;=0),0,MAX(0,1-ABS(LOG10(N(Database!$I215)/Screener!$D$9))/W_SIZEHW))</f>
        <v/>
      </c>
      <c r="E215" s="220">
        <f>IF(OR(Database!$BG215="",Screener!$D$10=""),0,IF(Database!$BG215=Screener!$D$10,1,0))</f>
        <v/>
      </c>
      <c r="F215" s="220">
        <f>IF(OR(Database!$BM215="",Screener!$D$11=""),0,IF(Database!$BM215=Screener!$D$11,1,0))</f>
        <v/>
      </c>
      <c r="G215" s="220">
        <f>IF(OR(Database!$H215="",N(Screener!$D$12)&lt;=0),0,MAX(0,1-(N(Screener!$D$12)-Database!$H215)/W_RECD))</f>
        <v/>
      </c>
      <c r="H215" s="220">
        <f>IF($U$1="",0,N(ISNUMBER(SEARCH($U$1,Database!$AC215&amp;""))))+IF($V$1="",0,N(ISNUMBER(SEARCH($V$1,Database!$AC215&amp;""))))+IF($W$1="",0,N(ISNUMBER(SEARCH($W$1,Database!$AC215&amp;""))))+IF($X$1="",0,N(ISNUMBER(SEARCH($X$1,Database!$AC215&amp;""))))+IF($Y$1="",0,N(ISNUMBER(SEARCH($Y$1,Database!$AC215&amp;""))))+IF(Screener!$B$17="",0,N(ISNUMBER(SEARCH(LOWER(Screener!$B$17),Database!$AC215&amp;""))))</f>
        <v/>
      </c>
      <c r="I215" s="220">
        <f>IF(OR(N(Database!$BH215)&lt;=0,N(Screener!$D$13)&lt;=0),0,MAX(0,1-ABS(LOG10(N(Database!$BH215)/Screener!$D$13))/W_PEHW))</f>
        <v/>
      </c>
      <c r="J215" s="220">
        <f>IF(OR(N(Database!$S215)&lt;=0,N(Screener!$D$14)&lt;=0),0,MAX(0,1-ABS(LOG10(Database!$S215/Screener!$D$14))/0.6))</f>
        <v/>
      </c>
      <c r="K215" s="220">
        <f>IF(Database!$B215=Screener!$B$5,-999999,IF(ISNUMBER(SEARCH(","&amp;Database!$A215&amp;",",","&amp;SUBSTITUTE(Screener!$D$17," ","")&amp;",")),2000000,IF(IF(OR(Screener!$B$18="All",AND(Screener!$B$18="With A-share",(Database!$BM215="Y")),AND(Screener!$B$18="Without A-share",NOT((Database!$BM215="Y")))),1,0)=0,-999999,IF(Screener!$B$16="cornerstone overlap first",H215*100000,IF(Screener!$B$16="demand-similar first",J215*100000,0))+W_SUB*B215+W_SEC*C215*(1-B215)+W_SIZE*D215+W_PROF*E215+W_AH*F215+W_REC*G215+W_CS*H215+W_PE*I215)))+ROW()/1000000</f>
        <v/>
      </c>
      <c r="AA215" s="220">
        <f>Database!B204</f>
        <v/>
      </c>
      <c r="AB215" s="220">
        <f>Database!D204</f>
        <v/>
      </c>
      <c r="AC215" s="220">
        <f>Database!E204</f>
        <v/>
      </c>
      <c r="AD215" s="220">
        <f>Database!I204</f>
        <v/>
      </c>
      <c r="AE215" s="220">
        <f>Database!BG204</f>
        <v/>
      </c>
      <c r="AF215" s="220">
        <f>Database!BM204</f>
        <v/>
      </c>
      <c r="AG215" s="220">
        <f>Database!H204</f>
        <v/>
      </c>
      <c r="AH215" s="220">
        <f>Database!BH204</f>
        <v/>
      </c>
    </row>
    <row r="216">
      <c r="A216" s="220">
        <f>Database!B216</f>
        <v/>
      </c>
      <c r="B216" s="220">
        <f>IF(AND(Screener!$D$8&lt;&gt;"",Database!$E216=Screener!$D$8),1,0)</f>
        <v/>
      </c>
      <c r="C216" s="220">
        <f>IF(AND(Screener!$D$7&lt;&gt;"",Database!$D216=Screener!$D$7),1,0)</f>
        <v/>
      </c>
      <c r="D216" s="220">
        <f>IF(OR(N(Database!$I216)&lt;=0,N(Screener!$D$9)&lt;=0),0,MAX(0,1-ABS(LOG10(N(Database!$I216)/Screener!$D$9))/W_SIZEHW))</f>
        <v/>
      </c>
      <c r="E216" s="220">
        <f>IF(OR(Database!$BG216="",Screener!$D$10=""),0,IF(Database!$BG216=Screener!$D$10,1,0))</f>
        <v/>
      </c>
      <c r="F216" s="220">
        <f>IF(OR(Database!$BM216="",Screener!$D$11=""),0,IF(Database!$BM216=Screener!$D$11,1,0))</f>
        <v/>
      </c>
      <c r="G216" s="220">
        <f>IF(OR(Database!$H216="",N(Screener!$D$12)&lt;=0),0,MAX(0,1-(N(Screener!$D$12)-Database!$H216)/W_RECD))</f>
        <v/>
      </c>
      <c r="H216" s="220">
        <f>IF($U$1="",0,N(ISNUMBER(SEARCH($U$1,Database!$AC216&amp;""))))+IF($V$1="",0,N(ISNUMBER(SEARCH($V$1,Database!$AC216&amp;""))))+IF($W$1="",0,N(ISNUMBER(SEARCH($W$1,Database!$AC216&amp;""))))+IF($X$1="",0,N(ISNUMBER(SEARCH($X$1,Database!$AC216&amp;""))))+IF($Y$1="",0,N(ISNUMBER(SEARCH($Y$1,Database!$AC216&amp;""))))+IF(Screener!$B$17="",0,N(ISNUMBER(SEARCH(LOWER(Screener!$B$17),Database!$AC216&amp;""))))</f>
        <v/>
      </c>
      <c r="I216" s="220">
        <f>IF(OR(N(Database!$BH216)&lt;=0,N(Screener!$D$13)&lt;=0),0,MAX(0,1-ABS(LOG10(N(Database!$BH216)/Screener!$D$13))/W_PEHW))</f>
        <v/>
      </c>
      <c r="J216" s="220">
        <f>IF(OR(N(Database!$S216)&lt;=0,N(Screener!$D$14)&lt;=0),0,MAX(0,1-ABS(LOG10(Database!$S216/Screener!$D$14))/0.6))</f>
        <v/>
      </c>
      <c r="K216" s="220">
        <f>IF(Database!$B216=Screener!$B$5,-999999,IF(ISNUMBER(SEARCH(","&amp;Database!$A216&amp;",",","&amp;SUBSTITUTE(Screener!$D$17," ","")&amp;",")),2000000,IF(IF(OR(Screener!$B$18="All",AND(Screener!$B$18="With A-share",(Database!$BM216="Y")),AND(Screener!$B$18="Without A-share",NOT((Database!$BM216="Y")))),1,0)=0,-999999,IF(Screener!$B$16="cornerstone overlap first",H216*100000,IF(Screener!$B$16="demand-similar first",J216*100000,0))+W_SUB*B216+W_SEC*C216*(1-B216)+W_SIZE*D216+W_PROF*E216+W_AH*F216+W_REC*G216+W_CS*H216+W_PE*I216)))+ROW()/1000000</f>
        <v/>
      </c>
      <c r="AA216" s="220">
        <f>Database!B205</f>
        <v/>
      </c>
      <c r="AB216" s="220">
        <f>Database!D205</f>
        <v/>
      </c>
      <c r="AC216" s="220">
        <f>Database!E205</f>
        <v/>
      </c>
      <c r="AD216" s="220">
        <f>Database!I205</f>
        <v/>
      </c>
      <c r="AE216" s="220">
        <f>Database!BG205</f>
        <v/>
      </c>
      <c r="AF216" s="220">
        <f>Database!BM205</f>
        <v/>
      </c>
      <c r="AG216" s="220">
        <f>Database!H205</f>
        <v/>
      </c>
      <c r="AH216" s="220">
        <f>Database!BH205</f>
        <v/>
      </c>
    </row>
    <row r="217">
      <c r="A217" s="220">
        <f>Database!B217</f>
        <v/>
      </c>
      <c r="B217" s="220">
        <f>IF(AND(Screener!$D$8&lt;&gt;"",Database!$E217=Screener!$D$8),1,0)</f>
        <v/>
      </c>
      <c r="C217" s="220">
        <f>IF(AND(Screener!$D$7&lt;&gt;"",Database!$D217=Screener!$D$7),1,0)</f>
        <v/>
      </c>
      <c r="D217" s="220">
        <f>IF(OR(N(Database!$I217)&lt;=0,N(Screener!$D$9)&lt;=0),0,MAX(0,1-ABS(LOG10(N(Database!$I217)/Screener!$D$9))/W_SIZEHW))</f>
        <v/>
      </c>
      <c r="E217" s="220">
        <f>IF(OR(Database!$BG217="",Screener!$D$10=""),0,IF(Database!$BG217=Screener!$D$10,1,0))</f>
        <v/>
      </c>
      <c r="F217" s="220">
        <f>IF(OR(Database!$BM217="",Screener!$D$11=""),0,IF(Database!$BM217=Screener!$D$11,1,0))</f>
        <v/>
      </c>
      <c r="G217" s="220">
        <f>IF(OR(Database!$H217="",N(Screener!$D$12)&lt;=0),0,MAX(0,1-(N(Screener!$D$12)-Database!$H217)/W_RECD))</f>
        <v/>
      </c>
      <c r="H217" s="220">
        <f>IF($U$1="",0,N(ISNUMBER(SEARCH($U$1,Database!$AC217&amp;""))))+IF($V$1="",0,N(ISNUMBER(SEARCH($V$1,Database!$AC217&amp;""))))+IF($W$1="",0,N(ISNUMBER(SEARCH($W$1,Database!$AC217&amp;""))))+IF($X$1="",0,N(ISNUMBER(SEARCH($X$1,Database!$AC217&amp;""))))+IF($Y$1="",0,N(ISNUMBER(SEARCH($Y$1,Database!$AC217&amp;""))))+IF(Screener!$B$17="",0,N(ISNUMBER(SEARCH(LOWER(Screener!$B$17),Database!$AC217&amp;""))))</f>
        <v/>
      </c>
      <c r="I217" s="220">
        <f>IF(OR(N(Database!$BH217)&lt;=0,N(Screener!$D$13)&lt;=0),0,MAX(0,1-ABS(LOG10(N(Database!$BH217)/Screener!$D$13))/W_PEHW))</f>
        <v/>
      </c>
      <c r="J217" s="220">
        <f>IF(OR(N(Database!$S217)&lt;=0,N(Screener!$D$14)&lt;=0),0,MAX(0,1-ABS(LOG10(Database!$S217/Screener!$D$14))/0.6))</f>
        <v/>
      </c>
      <c r="K217" s="220">
        <f>IF(Database!$B217=Screener!$B$5,-999999,IF(ISNUMBER(SEARCH(","&amp;Database!$A217&amp;",",","&amp;SUBSTITUTE(Screener!$D$17," ","")&amp;",")),2000000,IF(IF(OR(Screener!$B$18="All",AND(Screener!$B$18="With A-share",(Database!$BM217="Y")),AND(Screener!$B$18="Without A-share",NOT((Database!$BM217="Y")))),1,0)=0,-999999,IF(Screener!$B$16="cornerstone overlap first",H217*100000,IF(Screener!$B$16="demand-similar first",J217*100000,0))+W_SUB*B217+W_SEC*C217*(1-B217)+W_SIZE*D217+W_PROF*E217+W_AH*F217+W_REC*G217+W_CS*H217+W_PE*I217)))+ROW()/1000000</f>
        <v/>
      </c>
      <c r="AA217" s="220">
        <f>Database!B206</f>
        <v/>
      </c>
      <c r="AB217" s="220">
        <f>Database!D206</f>
        <v/>
      </c>
      <c r="AC217" s="220">
        <f>Database!E206</f>
        <v/>
      </c>
      <c r="AD217" s="220">
        <f>Database!I206</f>
        <v/>
      </c>
      <c r="AE217" s="220">
        <f>Database!BG206</f>
        <v/>
      </c>
      <c r="AF217" s="220">
        <f>Database!BM206</f>
        <v/>
      </c>
      <c r="AG217" s="220">
        <f>Database!H206</f>
        <v/>
      </c>
      <c r="AH217" s="220">
        <f>Database!BH206</f>
        <v/>
      </c>
    </row>
    <row r="218">
      <c r="A218" s="220">
        <f>Database!B218</f>
        <v/>
      </c>
      <c r="B218" s="220">
        <f>IF(AND(Screener!$D$8&lt;&gt;"",Database!$E218=Screener!$D$8),1,0)</f>
        <v/>
      </c>
      <c r="C218" s="220">
        <f>IF(AND(Screener!$D$7&lt;&gt;"",Database!$D218=Screener!$D$7),1,0)</f>
        <v/>
      </c>
      <c r="D218" s="220">
        <f>IF(OR(N(Database!$I218)&lt;=0,N(Screener!$D$9)&lt;=0),0,MAX(0,1-ABS(LOG10(N(Database!$I218)/Screener!$D$9))/W_SIZEHW))</f>
        <v/>
      </c>
      <c r="E218" s="220">
        <f>IF(OR(Database!$BG218="",Screener!$D$10=""),0,IF(Database!$BG218=Screener!$D$10,1,0))</f>
        <v/>
      </c>
      <c r="F218" s="220">
        <f>IF(OR(Database!$BM218="",Screener!$D$11=""),0,IF(Database!$BM218=Screener!$D$11,1,0))</f>
        <v/>
      </c>
      <c r="G218" s="220">
        <f>IF(OR(Database!$H218="",N(Screener!$D$12)&lt;=0),0,MAX(0,1-(N(Screener!$D$12)-Database!$H218)/W_RECD))</f>
        <v/>
      </c>
      <c r="H218" s="220">
        <f>IF($U$1="",0,N(ISNUMBER(SEARCH($U$1,Database!$AC218&amp;""))))+IF($V$1="",0,N(ISNUMBER(SEARCH($V$1,Database!$AC218&amp;""))))+IF($W$1="",0,N(ISNUMBER(SEARCH($W$1,Database!$AC218&amp;""))))+IF($X$1="",0,N(ISNUMBER(SEARCH($X$1,Database!$AC218&amp;""))))+IF($Y$1="",0,N(ISNUMBER(SEARCH($Y$1,Database!$AC218&amp;""))))+IF(Screener!$B$17="",0,N(ISNUMBER(SEARCH(LOWER(Screener!$B$17),Database!$AC218&amp;""))))</f>
        <v/>
      </c>
      <c r="I218" s="220">
        <f>IF(OR(N(Database!$BH218)&lt;=0,N(Screener!$D$13)&lt;=0),0,MAX(0,1-ABS(LOG10(N(Database!$BH218)/Screener!$D$13))/W_PEHW))</f>
        <v/>
      </c>
      <c r="J218" s="220">
        <f>IF(OR(N(Database!$S218)&lt;=0,N(Screener!$D$14)&lt;=0),0,MAX(0,1-ABS(LOG10(Database!$S218/Screener!$D$14))/0.6))</f>
        <v/>
      </c>
      <c r="K218" s="220">
        <f>IF(Database!$B218=Screener!$B$5,-999999,IF(ISNUMBER(SEARCH(","&amp;Database!$A218&amp;",",","&amp;SUBSTITUTE(Screener!$D$17," ","")&amp;",")),2000000,IF(IF(OR(Screener!$B$18="All",AND(Screener!$B$18="With A-share",(Database!$BM218="Y")),AND(Screener!$B$18="Without A-share",NOT((Database!$BM218="Y")))),1,0)=0,-999999,IF(Screener!$B$16="cornerstone overlap first",H218*100000,IF(Screener!$B$16="demand-similar first",J218*100000,0))+W_SUB*B218+W_SEC*C218*(1-B218)+W_SIZE*D218+W_PROF*E218+W_AH*F218+W_REC*G218+W_CS*H218+W_PE*I218)))+ROW()/1000000</f>
        <v/>
      </c>
      <c r="AA218" s="220">
        <f>Database!B207</f>
        <v/>
      </c>
      <c r="AB218" s="220">
        <f>Database!D207</f>
        <v/>
      </c>
      <c r="AC218" s="220">
        <f>Database!E207</f>
        <v/>
      </c>
      <c r="AD218" s="220">
        <f>Database!I207</f>
        <v/>
      </c>
      <c r="AE218" s="220">
        <f>Database!BG207</f>
        <v/>
      </c>
      <c r="AF218" s="220">
        <f>Database!BM207</f>
        <v/>
      </c>
      <c r="AG218" s="220">
        <f>Database!H207</f>
        <v/>
      </c>
      <c r="AH218" s="220">
        <f>Database!BH207</f>
        <v/>
      </c>
    </row>
    <row r="219">
      <c r="A219" s="220">
        <f>Database!B219</f>
        <v/>
      </c>
      <c r="B219" s="220">
        <f>IF(AND(Screener!$D$8&lt;&gt;"",Database!$E219=Screener!$D$8),1,0)</f>
        <v/>
      </c>
      <c r="C219" s="220">
        <f>IF(AND(Screener!$D$7&lt;&gt;"",Database!$D219=Screener!$D$7),1,0)</f>
        <v/>
      </c>
      <c r="D219" s="220">
        <f>IF(OR(N(Database!$I219)&lt;=0,N(Screener!$D$9)&lt;=0),0,MAX(0,1-ABS(LOG10(N(Database!$I219)/Screener!$D$9))/W_SIZEHW))</f>
        <v/>
      </c>
      <c r="E219" s="220">
        <f>IF(OR(Database!$BG219="",Screener!$D$10=""),0,IF(Database!$BG219=Screener!$D$10,1,0))</f>
        <v/>
      </c>
      <c r="F219" s="220">
        <f>IF(OR(Database!$BM219="",Screener!$D$11=""),0,IF(Database!$BM219=Screener!$D$11,1,0))</f>
        <v/>
      </c>
      <c r="G219" s="220">
        <f>IF(OR(Database!$H219="",N(Screener!$D$12)&lt;=0),0,MAX(0,1-(N(Screener!$D$12)-Database!$H219)/W_RECD))</f>
        <v/>
      </c>
      <c r="H219" s="220">
        <f>IF($U$1="",0,N(ISNUMBER(SEARCH($U$1,Database!$AC219&amp;""))))+IF($V$1="",0,N(ISNUMBER(SEARCH($V$1,Database!$AC219&amp;""))))+IF($W$1="",0,N(ISNUMBER(SEARCH($W$1,Database!$AC219&amp;""))))+IF($X$1="",0,N(ISNUMBER(SEARCH($X$1,Database!$AC219&amp;""))))+IF($Y$1="",0,N(ISNUMBER(SEARCH($Y$1,Database!$AC219&amp;""))))+IF(Screener!$B$17="",0,N(ISNUMBER(SEARCH(LOWER(Screener!$B$17),Database!$AC219&amp;""))))</f>
        <v/>
      </c>
      <c r="I219" s="220">
        <f>IF(OR(N(Database!$BH219)&lt;=0,N(Screener!$D$13)&lt;=0),0,MAX(0,1-ABS(LOG10(N(Database!$BH219)/Screener!$D$13))/W_PEHW))</f>
        <v/>
      </c>
      <c r="J219" s="220">
        <f>IF(OR(N(Database!$S219)&lt;=0,N(Screener!$D$14)&lt;=0),0,MAX(0,1-ABS(LOG10(Database!$S219/Screener!$D$14))/0.6))</f>
        <v/>
      </c>
      <c r="K219" s="220">
        <f>IF(Database!$B219=Screener!$B$5,-999999,IF(ISNUMBER(SEARCH(","&amp;Database!$A219&amp;",",","&amp;SUBSTITUTE(Screener!$D$17," ","")&amp;",")),2000000,IF(IF(OR(Screener!$B$18="All",AND(Screener!$B$18="With A-share",(Database!$BM219="Y")),AND(Screener!$B$18="Without A-share",NOT((Database!$BM219="Y")))),1,0)=0,-999999,IF(Screener!$B$16="cornerstone overlap first",H219*100000,IF(Screener!$B$16="demand-similar first",J219*100000,0))+W_SUB*B219+W_SEC*C219*(1-B219)+W_SIZE*D219+W_PROF*E219+W_AH*F219+W_REC*G219+W_CS*H219+W_PE*I219)))+ROW()/1000000</f>
        <v/>
      </c>
      <c r="AA219" s="220">
        <f>Database!B208</f>
        <v/>
      </c>
      <c r="AB219" s="220">
        <f>Database!D208</f>
        <v/>
      </c>
      <c r="AC219" s="220">
        <f>Database!E208</f>
        <v/>
      </c>
      <c r="AD219" s="220">
        <f>Database!I208</f>
        <v/>
      </c>
      <c r="AE219" s="220">
        <f>Database!BG208</f>
        <v/>
      </c>
      <c r="AF219" s="220">
        <f>Database!BM208</f>
        <v/>
      </c>
      <c r="AG219" s="220">
        <f>Database!H208</f>
        <v/>
      </c>
      <c r="AH219" s="220">
        <f>Database!BH208</f>
        <v/>
      </c>
    </row>
    <row r="220">
      <c r="A220" s="220">
        <f>Database!B220</f>
        <v/>
      </c>
      <c r="B220" s="220">
        <f>IF(AND(Screener!$D$8&lt;&gt;"",Database!$E220=Screener!$D$8),1,0)</f>
        <v/>
      </c>
      <c r="C220" s="220">
        <f>IF(AND(Screener!$D$7&lt;&gt;"",Database!$D220=Screener!$D$7),1,0)</f>
        <v/>
      </c>
      <c r="D220" s="220">
        <f>IF(OR(N(Database!$I220)&lt;=0,N(Screener!$D$9)&lt;=0),0,MAX(0,1-ABS(LOG10(N(Database!$I220)/Screener!$D$9))/W_SIZEHW))</f>
        <v/>
      </c>
      <c r="E220" s="220">
        <f>IF(OR(Database!$BG220="",Screener!$D$10=""),0,IF(Database!$BG220=Screener!$D$10,1,0))</f>
        <v/>
      </c>
      <c r="F220" s="220">
        <f>IF(OR(Database!$BM220="",Screener!$D$11=""),0,IF(Database!$BM220=Screener!$D$11,1,0))</f>
        <v/>
      </c>
      <c r="G220" s="220">
        <f>IF(OR(Database!$H220="",N(Screener!$D$12)&lt;=0),0,MAX(0,1-(N(Screener!$D$12)-Database!$H220)/W_RECD))</f>
        <v/>
      </c>
      <c r="H220" s="220">
        <f>IF($U$1="",0,N(ISNUMBER(SEARCH($U$1,Database!$AC220&amp;""))))+IF($V$1="",0,N(ISNUMBER(SEARCH($V$1,Database!$AC220&amp;""))))+IF($W$1="",0,N(ISNUMBER(SEARCH($W$1,Database!$AC220&amp;""))))+IF($X$1="",0,N(ISNUMBER(SEARCH($X$1,Database!$AC220&amp;""))))+IF($Y$1="",0,N(ISNUMBER(SEARCH($Y$1,Database!$AC220&amp;""))))+IF(Screener!$B$17="",0,N(ISNUMBER(SEARCH(LOWER(Screener!$B$17),Database!$AC220&amp;""))))</f>
        <v/>
      </c>
      <c r="I220" s="220">
        <f>IF(OR(N(Database!$BH220)&lt;=0,N(Screener!$D$13)&lt;=0),0,MAX(0,1-ABS(LOG10(N(Database!$BH220)/Screener!$D$13))/W_PEHW))</f>
        <v/>
      </c>
      <c r="J220" s="220">
        <f>IF(OR(N(Database!$S220)&lt;=0,N(Screener!$D$14)&lt;=0),0,MAX(0,1-ABS(LOG10(Database!$S220/Screener!$D$14))/0.6))</f>
        <v/>
      </c>
      <c r="K220" s="220">
        <f>IF(Database!$B220=Screener!$B$5,-999999,IF(ISNUMBER(SEARCH(","&amp;Database!$A220&amp;",",","&amp;SUBSTITUTE(Screener!$D$17," ","")&amp;",")),2000000,IF(IF(OR(Screener!$B$18="All",AND(Screener!$B$18="With A-share",(Database!$BM220="Y")),AND(Screener!$B$18="Without A-share",NOT((Database!$BM220="Y")))),1,0)=0,-999999,IF(Screener!$B$16="cornerstone overlap first",H220*100000,IF(Screener!$B$16="demand-similar first",J220*100000,0))+W_SUB*B220+W_SEC*C220*(1-B220)+W_SIZE*D220+W_PROF*E220+W_AH*F220+W_REC*G220+W_CS*H220+W_PE*I220)))+ROW()/1000000</f>
        <v/>
      </c>
      <c r="AA220" s="220">
        <f>Database!B209</f>
        <v/>
      </c>
      <c r="AB220" s="220">
        <f>Database!D209</f>
        <v/>
      </c>
      <c r="AC220" s="220">
        <f>Database!E209</f>
        <v/>
      </c>
      <c r="AD220" s="220">
        <f>Database!I209</f>
        <v/>
      </c>
      <c r="AE220" s="220">
        <f>Database!BG209</f>
        <v/>
      </c>
      <c r="AF220" s="220">
        <f>Database!BM209</f>
        <v/>
      </c>
      <c r="AG220" s="220">
        <f>Database!H209</f>
        <v/>
      </c>
      <c r="AH220" s="220">
        <f>Database!BH209</f>
        <v/>
      </c>
    </row>
    <row r="221">
      <c r="A221" s="220">
        <f>Database!B221</f>
        <v/>
      </c>
      <c r="B221" s="220">
        <f>IF(AND(Screener!$D$8&lt;&gt;"",Database!$E221=Screener!$D$8),1,0)</f>
        <v/>
      </c>
      <c r="C221" s="220">
        <f>IF(AND(Screener!$D$7&lt;&gt;"",Database!$D221=Screener!$D$7),1,0)</f>
        <v/>
      </c>
      <c r="D221" s="220">
        <f>IF(OR(N(Database!$I221)&lt;=0,N(Screener!$D$9)&lt;=0),0,MAX(0,1-ABS(LOG10(N(Database!$I221)/Screener!$D$9))/W_SIZEHW))</f>
        <v/>
      </c>
      <c r="E221" s="220">
        <f>IF(OR(Database!$BG221="",Screener!$D$10=""),0,IF(Database!$BG221=Screener!$D$10,1,0))</f>
        <v/>
      </c>
      <c r="F221" s="220">
        <f>IF(OR(Database!$BM221="",Screener!$D$11=""),0,IF(Database!$BM221=Screener!$D$11,1,0))</f>
        <v/>
      </c>
      <c r="G221" s="220">
        <f>IF(OR(Database!$H221="",N(Screener!$D$12)&lt;=0),0,MAX(0,1-(N(Screener!$D$12)-Database!$H221)/W_RECD))</f>
        <v/>
      </c>
      <c r="H221" s="220">
        <f>IF($U$1="",0,N(ISNUMBER(SEARCH($U$1,Database!$AC221&amp;""))))+IF($V$1="",0,N(ISNUMBER(SEARCH($V$1,Database!$AC221&amp;""))))+IF($W$1="",0,N(ISNUMBER(SEARCH($W$1,Database!$AC221&amp;""))))+IF($X$1="",0,N(ISNUMBER(SEARCH($X$1,Database!$AC221&amp;""))))+IF($Y$1="",0,N(ISNUMBER(SEARCH($Y$1,Database!$AC221&amp;""))))+IF(Screener!$B$17="",0,N(ISNUMBER(SEARCH(LOWER(Screener!$B$17),Database!$AC221&amp;""))))</f>
        <v/>
      </c>
      <c r="I221" s="220">
        <f>IF(OR(N(Database!$BH221)&lt;=0,N(Screener!$D$13)&lt;=0),0,MAX(0,1-ABS(LOG10(N(Database!$BH221)/Screener!$D$13))/W_PEHW))</f>
        <v/>
      </c>
      <c r="J221" s="220">
        <f>IF(OR(N(Database!$S221)&lt;=0,N(Screener!$D$14)&lt;=0),0,MAX(0,1-ABS(LOG10(Database!$S221/Screener!$D$14))/0.6))</f>
        <v/>
      </c>
      <c r="K221" s="220">
        <f>IF(Database!$B221=Screener!$B$5,-999999,IF(ISNUMBER(SEARCH(","&amp;Database!$A221&amp;",",","&amp;SUBSTITUTE(Screener!$D$17," ","")&amp;",")),2000000,IF(IF(OR(Screener!$B$18="All",AND(Screener!$B$18="With A-share",(Database!$BM221="Y")),AND(Screener!$B$18="Without A-share",NOT((Database!$BM221="Y")))),1,0)=0,-999999,IF(Screener!$B$16="cornerstone overlap first",H221*100000,IF(Screener!$B$16="demand-similar first",J221*100000,0))+W_SUB*B221+W_SEC*C221*(1-B221)+W_SIZE*D221+W_PROF*E221+W_AH*F221+W_REC*G221+W_CS*H221+W_PE*I221)))+ROW()/1000000</f>
        <v/>
      </c>
      <c r="AA221" s="220">
        <f>Database!B210</f>
        <v/>
      </c>
      <c r="AB221" s="220">
        <f>Database!D210</f>
        <v/>
      </c>
      <c r="AC221" s="220">
        <f>Database!E210</f>
        <v/>
      </c>
      <c r="AD221" s="220">
        <f>Database!I210</f>
        <v/>
      </c>
      <c r="AE221" s="220">
        <f>Database!BG210</f>
        <v/>
      </c>
      <c r="AF221" s="220">
        <f>Database!BM210</f>
        <v/>
      </c>
      <c r="AG221" s="220">
        <f>Database!H210</f>
        <v/>
      </c>
      <c r="AH221" s="220">
        <f>Database!BH210</f>
        <v/>
      </c>
    </row>
    <row r="222">
      <c r="A222" s="220">
        <f>Database!B222</f>
        <v/>
      </c>
      <c r="B222" s="220">
        <f>IF(AND(Screener!$D$8&lt;&gt;"",Database!$E222=Screener!$D$8),1,0)</f>
        <v/>
      </c>
      <c r="C222" s="220">
        <f>IF(AND(Screener!$D$7&lt;&gt;"",Database!$D222=Screener!$D$7),1,0)</f>
        <v/>
      </c>
      <c r="D222" s="220">
        <f>IF(OR(N(Database!$I222)&lt;=0,N(Screener!$D$9)&lt;=0),0,MAX(0,1-ABS(LOG10(N(Database!$I222)/Screener!$D$9))/W_SIZEHW))</f>
        <v/>
      </c>
      <c r="E222" s="220">
        <f>IF(OR(Database!$BG222="",Screener!$D$10=""),0,IF(Database!$BG222=Screener!$D$10,1,0))</f>
        <v/>
      </c>
      <c r="F222" s="220">
        <f>IF(OR(Database!$BM222="",Screener!$D$11=""),0,IF(Database!$BM222=Screener!$D$11,1,0))</f>
        <v/>
      </c>
      <c r="G222" s="220">
        <f>IF(OR(Database!$H222="",N(Screener!$D$12)&lt;=0),0,MAX(0,1-(N(Screener!$D$12)-Database!$H222)/W_RECD))</f>
        <v/>
      </c>
      <c r="H222" s="220">
        <f>IF($U$1="",0,N(ISNUMBER(SEARCH($U$1,Database!$AC222&amp;""))))+IF($V$1="",0,N(ISNUMBER(SEARCH($V$1,Database!$AC222&amp;""))))+IF($W$1="",0,N(ISNUMBER(SEARCH($W$1,Database!$AC222&amp;""))))+IF($X$1="",0,N(ISNUMBER(SEARCH($X$1,Database!$AC222&amp;""))))+IF($Y$1="",0,N(ISNUMBER(SEARCH($Y$1,Database!$AC222&amp;""))))+IF(Screener!$B$17="",0,N(ISNUMBER(SEARCH(LOWER(Screener!$B$17),Database!$AC222&amp;""))))</f>
        <v/>
      </c>
      <c r="I222" s="220">
        <f>IF(OR(N(Database!$BH222)&lt;=0,N(Screener!$D$13)&lt;=0),0,MAX(0,1-ABS(LOG10(N(Database!$BH222)/Screener!$D$13))/W_PEHW))</f>
        <v/>
      </c>
      <c r="J222" s="220">
        <f>IF(OR(N(Database!$S222)&lt;=0,N(Screener!$D$14)&lt;=0),0,MAX(0,1-ABS(LOG10(Database!$S222/Screener!$D$14))/0.6))</f>
        <v/>
      </c>
      <c r="K222" s="220">
        <f>IF(Database!$B222=Screener!$B$5,-999999,IF(ISNUMBER(SEARCH(","&amp;Database!$A222&amp;",",","&amp;SUBSTITUTE(Screener!$D$17," ","")&amp;",")),2000000,IF(IF(OR(Screener!$B$18="All",AND(Screener!$B$18="With A-share",(Database!$BM222="Y")),AND(Screener!$B$18="Without A-share",NOT((Database!$BM222="Y")))),1,0)=0,-999999,IF(Screener!$B$16="cornerstone overlap first",H222*100000,IF(Screener!$B$16="demand-similar first",J222*100000,0))+W_SUB*B222+W_SEC*C222*(1-B222)+W_SIZE*D222+W_PROF*E222+W_AH*F222+W_REC*G222+W_CS*H222+W_PE*I222)))+ROW()/1000000</f>
        <v/>
      </c>
      <c r="AA222" s="220">
        <f>Database!B211</f>
        <v/>
      </c>
      <c r="AB222" s="220">
        <f>Database!D211</f>
        <v/>
      </c>
      <c r="AC222" s="220">
        <f>Database!E211</f>
        <v/>
      </c>
      <c r="AD222" s="220">
        <f>Database!I211</f>
        <v/>
      </c>
      <c r="AE222" s="220">
        <f>Database!BG211</f>
        <v/>
      </c>
      <c r="AF222" s="220">
        <f>Database!BM211</f>
        <v/>
      </c>
      <c r="AG222" s="220">
        <f>Database!H211</f>
        <v/>
      </c>
      <c r="AH222" s="220">
        <f>Database!BH211</f>
        <v/>
      </c>
    </row>
    <row r="223">
      <c r="A223" s="220">
        <f>Database!B223</f>
        <v/>
      </c>
      <c r="B223" s="220">
        <f>IF(AND(Screener!$D$8&lt;&gt;"",Database!$E223=Screener!$D$8),1,0)</f>
        <v/>
      </c>
      <c r="C223" s="220">
        <f>IF(AND(Screener!$D$7&lt;&gt;"",Database!$D223=Screener!$D$7),1,0)</f>
        <v/>
      </c>
      <c r="D223" s="220">
        <f>IF(OR(N(Database!$I223)&lt;=0,N(Screener!$D$9)&lt;=0),0,MAX(0,1-ABS(LOG10(N(Database!$I223)/Screener!$D$9))/W_SIZEHW))</f>
        <v/>
      </c>
      <c r="E223" s="220">
        <f>IF(OR(Database!$BG223="",Screener!$D$10=""),0,IF(Database!$BG223=Screener!$D$10,1,0))</f>
        <v/>
      </c>
      <c r="F223" s="220">
        <f>IF(OR(Database!$BM223="",Screener!$D$11=""),0,IF(Database!$BM223=Screener!$D$11,1,0))</f>
        <v/>
      </c>
      <c r="G223" s="220">
        <f>IF(OR(Database!$H223="",N(Screener!$D$12)&lt;=0),0,MAX(0,1-(N(Screener!$D$12)-Database!$H223)/W_RECD))</f>
        <v/>
      </c>
      <c r="H223" s="220">
        <f>IF($U$1="",0,N(ISNUMBER(SEARCH($U$1,Database!$AC223&amp;""))))+IF($V$1="",0,N(ISNUMBER(SEARCH($V$1,Database!$AC223&amp;""))))+IF($W$1="",0,N(ISNUMBER(SEARCH($W$1,Database!$AC223&amp;""))))+IF($X$1="",0,N(ISNUMBER(SEARCH($X$1,Database!$AC223&amp;""))))+IF($Y$1="",0,N(ISNUMBER(SEARCH($Y$1,Database!$AC223&amp;""))))+IF(Screener!$B$17="",0,N(ISNUMBER(SEARCH(LOWER(Screener!$B$17),Database!$AC223&amp;""))))</f>
        <v/>
      </c>
      <c r="I223" s="220">
        <f>IF(OR(N(Database!$BH223)&lt;=0,N(Screener!$D$13)&lt;=0),0,MAX(0,1-ABS(LOG10(N(Database!$BH223)/Screener!$D$13))/W_PEHW))</f>
        <v/>
      </c>
      <c r="J223" s="220">
        <f>IF(OR(N(Database!$S223)&lt;=0,N(Screener!$D$14)&lt;=0),0,MAX(0,1-ABS(LOG10(Database!$S223/Screener!$D$14))/0.6))</f>
        <v/>
      </c>
      <c r="K223" s="220">
        <f>IF(Database!$B223=Screener!$B$5,-999999,IF(ISNUMBER(SEARCH(","&amp;Database!$A223&amp;",",","&amp;SUBSTITUTE(Screener!$D$17," ","")&amp;",")),2000000,IF(IF(OR(Screener!$B$18="All",AND(Screener!$B$18="With A-share",(Database!$BM223="Y")),AND(Screener!$B$18="Without A-share",NOT((Database!$BM223="Y")))),1,0)=0,-999999,IF(Screener!$B$16="cornerstone overlap first",H223*100000,IF(Screener!$B$16="demand-similar first",J223*100000,0))+W_SUB*B223+W_SEC*C223*(1-B223)+W_SIZE*D223+W_PROF*E223+W_AH*F223+W_REC*G223+W_CS*H223+W_PE*I223)))+ROW()/1000000</f>
        <v/>
      </c>
      <c r="AA223" s="220">
        <f>Database!B212</f>
        <v/>
      </c>
      <c r="AB223" s="220">
        <f>Database!D212</f>
        <v/>
      </c>
      <c r="AC223" s="220">
        <f>Database!E212</f>
        <v/>
      </c>
      <c r="AD223" s="220">
        <f>Database!I212</f>
        <v/>
      </c>
      <c r="AE223" s="220">
        <f>Database!BG212</f>
        <v/>
      </c>
      <c r="AF223" s="220">
        <f>Database!BM212</f>
        <v/>
      </c>
      <c r="AG223" s="220">
        <f>Database!H212</f>
        <v/>
      </c>
      <c r="AH223" s="220">
        <f>Database!BH212</f>
        <v/>
      </c>
    </row>
    <row r="224">
      <c r="A224" s="220">
        <f>Database!B224</f>
        <v/>
      </c>
      <c r="B224" s="220">
        <f>IF(AND(Screener!$D$8&lt;&gt;"",Database!$E224=Screener!$D$8),1,0)</f>
        <v/>
      </c>
      <c r="C224" s="220">
        <f>IF(AND(Screener!$D$7&lt;&gt;"",Database!$D224=Screener!$D$7),1,0)</f>
        <v/>
      </c>
      <c r="D224" s="220">
        <f>IF(OR(N(Database!$I224)&lt;=0,N(Screener!$D$9)&lt;=0),0,MAX(0,1-ABS(LOG10(N(Database!$I224)/Screener!$D$9))/W_SIZEHW))</f>
        <v/>
      </c>
      <c r="E224" s="220">
        <f>IF(OR(Database!$BG224="",Screener!$D$10=""),0,IF(Database!$BG224=Screener!$D$10,1,0))</f>
        <v/>
      </c>
      <c r="F224" s="220">
        <f>IF(OR(Database!$BM224="",Screener!$D$11=""),0,IF(Database!$BM224=Screener!$D$11,1,0))</f>
        <v/>
      </c>
      <c r="G224" s="220">
        <f>IF(OR(Database!$H224="",N(Screener!$D$12)&lt;=0),0,MAX(0,1-(N(Screener!$D$12)-Database!$H224)/W_RECD))</f>
        <v/>
      </c>
      <c r="H224" s="220">
        <f>IF($U$1="",0,N(ISNUMBER(SEARCH($U$1,Database!$AC224&amp;""))))+IF($V$1="",0,N(ISNUMBER(SEARCH($V$1,Database!$AC224&amp;""))))+IF($W$1="",0,N(ISNUMBER(SEARCH($W$1,Database!$AC224&amp;""))))+IF($X$1="",0,N(ISNUMBER(SEARCH($X$1,Database!$AC224&amp;""))))+IF($Y$1="",0,N(ISNUMBER(SEARCH($Y$1,Database!$AC224&amp;""))))+IF(Screener!$B$17="",0,N(ISNUMBER(SEARCH(LOWER(Screener!$B$17),Database!$AC224&amp;""))))</f>
        <v/>
      </c>
      <c r="I224" s="220">
        <f>IF(OR(N(Database!$BH224)&lt;=0,N(Screener!$D$13)&lt;=0),0,MAX(0,1-ABS(LOG10(N(Database!$BH224)/Screener!$D$13))/W_PEHW))</f>
        <v/>
      </c>
      <c r="J224" s="220">
        <f>IF(OR(N(Database!$S224)&lt;=0,N(Screener!$D$14)&lt;=0),0,MAX(0,1-ABS(LOG10(Database!$S224/Screener!$D$14))/0.6))</f>
        <v/>
      </c>
      <c r="K224" s="220">
        <f>IF(Database!$B224=Screener!$B$5,-999999,IF(ISNUMBER(SEARCH(","&amp;Database!$A224&amp;",",","&amp;SUBSTITUTE(Screener!$D$17," ","")&amp;",")),2000000,IF(IF(OR(Screener!$B$18="All",AND(Screener!$B$18="With A-share",(Database!$BM224="Y")),AND(Screener!$B$18="Without A-share",NOT((Database!$BM224="Y")))),1,0)=0,-999999,IF(Screener!$B$16="cornerstone overlap first",H224*100000,IF(Screener!$B$16="demand-similar first",J224*100000,0))+W_SUB*B224+W_SEC*C224*(1-B224)+W_SIZE*D224+W_PROF*E224+W_AH*F224+W_REC*G224+W_CS*H224+W_PE*I224)))+ROW()/1000000</f>
        <v/>
      </c>
      <c r="AA224" s="220">
        <f>Database!B213</f>
        <v/>
      </c>
      <c r="AB224" s="220">
        <f>Database!D213</f>
        <v/>
      </c>
      <c r="AC224" s="220">
        <f>Database!E213</f>
        <v/>
      </c>
      <c r="AD224" s="220">
        <f>Database!I213</f>
        <v/>
      </c>
      <c r="AE224" s="220">
        <f>Database!BG213</f>
        <v/>
      </c>
      <c r="AF224" s="220">
        <f>Database!BM213</f>
        <v/>
      </c>
      <c r="AG224" s="220">
        <f>Database!H213</f>
        <v/>
      </c>
      <c r="AH224" s="220">
        <f>Database!BH213</f>
        <v/>
      </c>
    </row>
    <row r="225">
      <c r="A225" s="220">
        <f>Database!B225</f>
        <v/>
      </c>
      <c r="B225" s="220">
        <f>IF(AND(Screener!$D$8&lt;&gt;"",Database!$E225=Screener!$D$8),1,0)</f>
        <v/>
      </c>
      <c r="C225" s="220">
        <f>IF(AND(Screener!$D$7&lt;&gt;"",Database!$D225=Screener!$D$7),1,0)</f>
        <v/>
      </c>
      <c r="D225" s="220">
        <f>IF(OR(N(Database!$I225)&lt;=0,N(Screener!$D$9)&lt;=0),0,MAX(0,1-ABS(LOG10(N(Database!$I225)/Screener!$D$9))/W_SIZEHW))</f>
        <v/>
      </c>
      <c r="E225" s="220">
        <f>IF(OR(Database!$BG225="",Screener!$D$10=""),0,IF(Database!$BG225=Screener!$D$10,1,0))</f>
        <v/>
      </c>
      <c r="F225" s="220">
        <f>IF(OR(Database!$BM225="",Screener!$D$11=""),0,IF(Database!$BM225=Screener!$D$11,1,0))</f>
        <v/>
      </c>
      <c r="G225" s="220">
        <f>IF(OR(Database!$H225="",N(Screener!$D$12)&lt;=0),0,MAX(0,1-(N(Screener!$D$12)-Database!$H225)/W_RECD))</f>
        <v/>
      </c>
      <c r="H225" s="220">
        <f>IF($U$1="",0,N(ISNUMBER(SEARCH($U$1,Database!$AC225&amp;""))))+IF($V$1="",0,N(ISNUMBER(SEARCH($V$1,Database!$AC225&amp;""))))+IF($W$1="",0,N(ISNUMBER(SEARCH($W$1,Database!$AC225&amp;""))))+IF($X$1="",0,N(ISNUMBER(SEARCH($X$1,Database!$AC225&amp;""))))+IF($Y$1="",0,N(ISNUMBER(SEARCH($Y$1,Database!$AC225&amp;""))))+IF(Screener!$B$17="",0,N(ISNUMBER(SEARCH(LOWER(Screener!$B$17),Database!$AC225&amp;""))))</f>
        <v/>
      </c>
      <c r="I225" s="220">
        <f>IF(OR(N(Database!$BH225)&lt;=0,N(Screener!$D$13)&lt;=0),0,MAX(0,1-ABS(LOG10(N(Database!$BH225)/Screener!$D$13))/W_PEHW))</f>
        <v/>
      </c>
      <c r="J225" s="220">
        <f>IF(OR(N(Database!$S225)&lt;=0,N(Screener!$D$14)&lt;=0),0,MAX(0,1-ABS(LOG10(Database!$S225/Screener!$D$14))/0.6))</f>
        <v/>
      </c>
      <c r="K225" s="220">
        <f>IF(Database!$B225=Screener!$B$5,-999999,IF(ISNUMBER(SEARCH(","&amp;Database!$A225&amp;",",","&amp;SUBSTITUTE(Screener!$D$17," ","")&amp;",")),2000000,IF(IF(OR(Screener!$B$18="All",AND(Screener!$B$18="With A-share",(Database!$BM225="Y")),AND(Screener!$B$18="Without A-share",NOT((Database!$BM225="Y")))),1,0)=0,-999999,IF(Screener!$B$16="cornerstone overlap first",H225*100000,IF(Screener!$B$16="demand-similar first",J225*100000,0))+W_SUB*B225+W_SEC*C225*(1-B225)+W_SIZE*D225+W_PROF*E225+W_AH*F225+W_REC*G225+W_CS*H225+W_PE*I225)))+ROW()/1000000</f>
        <v/>
      </c>
      <c r="AA225" s="220">
        <f>Database!B214</f>
        <v/>
      </c>
      <c r="AB225" s="220">
        <f>Database!D214</f>
        <v/>
      </c>
      <c r="AC225" s="220">
        <f>Database!E214</f>
        <v/>
      </c>
      <c r="AD225" s="220">
        <f>Database!I214</f>
        <v/>
      </c>
      <c r="AE225" s="220">
        <f>Database!BG214</f>
        <v/>
      </c>
      <c r="AF225" s="220">
        <f>Database!BM214</f>
        <v/>
      </c>
      <c r="AG225" s="220">
        <f>Database!H214</f>
        <v/>
      </c>
      <c r="AH225" s="220">
        <f>Database!BH214</f>
        <v/>
      </c>
    </row>
    <row r="226">
      <c r="A226" s="220">
        <f>Database!B226</f>
        <v/>
      </c>
      <c r="B226" s="220">
        <f>IF(AND(Screener!$D$8&lt;&gt;"",Database!$E226=Screener!$D$8),1,0)</f>
        <v/>
      </c>
      <c r="C226" s="220">
        <f>IF(AND(Screener!$D$7&lt;&gt;"",Database!$D226=Screener!$D$7),1,0)</f>
        <v/>
      </c>
      <c r="D226" s="220">
        <f>IF(OR(N(Database!$I226)&lt;=0,N(Screener!$D$9)&lt;=0),0,MAX(0,1-ABS(LOG10(N(Database!$I226)/Screener!$D$9))/W_SIZEHW))</f>
        <v/>
      </c>
      <c r="E226" s="220">
        <f>IF(OR(Database!$BG226="",Screener!$D$10=""),0,IF(Database!$BG226=Screener!$D$10,1,0))</f>
        <v/>
      </c>
      <c r="F226" s="220">
        <f>IF(OR(Database!$BM226="",Screener!$D$11=""),0,IF(Database!$BM226=Screener!$D$11,1,0))</f>
        <v/>
      </c>
      <c r="G226" s="220">
        <f>IF(OR(Database!$H226="",N(Screener!$D$12)&lt;=0),0,MAX(0,1-(N(Screener!$D$12)-Database!$H226)/W_RECD))</f>
        <v/>
      </c>
      <c r="H226" s="220">
        <f>IF($U$1="",0,N(ISNUMBER(SEARCH($U$1,Database!$AC226&amp;""))))+IF($V$1="",0,N(ISNUMBER(SEARCH($V$1,Database!$AC226&amp;""))))+IF($W$1="",0,N(ISNUMBER(SEARCH($W$1,Database!$AC226&amp;""))))+IF($X$1="",0,N(ISNUMBER(SEARCH($X$1,Database!$AC226&amp;""))))+IF($Y$1="",0,N(ISNUMBER(SEARCH($Y$1,Database!$AC226&amp;""))))+IF(Screener!$B$17="",0,N(ISNUMBER(SEARCH(LOWER(Screener!$B$17),Database!$AC226&amp;""))))</f>
        <v/>
      </c>
      <c r="I226" s="220">
        <f>IF(OR(N(Database!$BH226)&lt;=0,N(Screener!$D$13)&lt;=0),0,MAX(0,1-ABS(LOG10(N(Database!$BH226)/Screener!$D$13))/W_PEHW))</f>
        <v/>
      </c>
      <c r="J226" s="220">
        <f>IF(OR(N(Database!$S226)&lt;=0,N(Screener!$D$14)&lt;=0),0,MAX(0,1-ABS(LOG10(Database!$S226/Screener!$D$14))/0.6))</f>
        <v/>
      </c>
      <c r="K226" s="220">
        <f>IF(Database!$B226=Screener!$B$5,-999999,IF(ISNUMBER(SEARCH(","&amp;Database!$A226&amp;",",","&amp;SUBSTITUTE(Screener!$D$17," ","")&amp;",")),2000000,IF(IF(OR(Screener!$B$18="All",AND(Screener!$B$18="With A-share",(Database!$BM226="Y")),AND(Screener!$B$18="Without A-share",NOT((Database!$BM226="Y")))),1,0)=0,-999999,IF(Screener!$B$16="cornerstone overlap first",H226*100000,IF(Screener!$B$16="demand-similar first",J226*100000,0))+W_SUB*B226+W_SEC*C226*(1-B226)+W_SIZE*D226+W_PROF*E226+W_AH*F226+W_REC*G226+W_CS*H226+W_PE*I226)))+ROW()/1000000</f>
        <v/>
      </c>
      <c r="AA226" s="220">
        <f>Database!B215</f>
        <v/>
      </c>
      <c r="AB226" s="220">
        <f>Database!D215</f>
        <v/>
      </c>
      <c r="AC226" s="220">
        <f>Database!E215</f>
        <v/>
      </c>
      <c r="AD226" s="220">
        <f>Database!I215</f>
        <v/>
      </c>
      <c r="AE226" s="220">
        <f>Database!BG215</f>
        <v/>
      </c>
      <c r="AF226" s="220">
        <f>Database!BM215</f>
        <v/>
      </c>
      <c r="AG226" s="220">
        <f>Database!H215</f>
        <v/>
      </c>
      <c r="AH226" s="220">
        <f>Database!BH215</f>
        <v/>
      </c>
    </row>
    <row r="227">
      <c r="A227" s="220">
        <f>Database!B227</f>
        <v/>
      </c>
      <c r="B227" s="220">
        <f>IF(AND(Screener!$D$8&lt;&gt;"",Database!$E227=Screener!$D$8),1,0)</f>
        <v/>
      </c>
      <c r="C227" s="220">
        <f>IF(AND(Screener!$D$7&lt;&gt;"",Database!$D227=Screener!$D$7),1,0)</f>
        <v/>
      </c>
      <c r="D227" s="220">
        <f>IF(OR(N(Database!$I227)&lt;=0,N(Screener!$D$9)&lt;=0),0,MAX(0,1-ABS(LOG10(N(Database!$I227)/Screener!$D$9))/W_SIZEHW))</f>
        <v/>
      </c>
      <c r="E227" s="220">
        <f>IF(OR(Database!$BG227="",Screener!$D$10=""),0,IF(Database!$BG227=Screener!$D$10,1,0))</f>
        <v/>
      </c>
      <c r="F227" s="220">
        <f>IF(OR(Database!$BM227="",Screener!$D$11=""),0,IF(Database!$BM227=Screener!$D$11,1,0))</f>
        <v/>
      </c>
      <c r="G227" s="220">
        <f>IF(OR(Database!$H227="",N(Screener!$D$12)&lt;=0),0,MAX(0,1-(N(Screener!$D$12)-Database!$H227)/W_RECD))</f>
        <v/>
      </c>
      <c r="H227" s="220">
        <f>IF($U$1="",0,N(ISNUMBER(SEARCH($U$1,Database!$AC227&amp;""))))+IF($V$1="",0,N(ISNUMBER(SEARCH($V$1,Database!$AC227&amp;""))))+IF($W$1="",0,N(ISNUMBER(SEARCH($W$1,Database!$AC227&amp;""))))+IF($X$1="",0,N(ISNUMBER(SEARCH($X$1,Database!$AC227&amp;""))))+IF($Y$1="",0,N(ISNUMBER(SEARCH($Y$1,Database!$AC227&amp;""))))+IF(Screener!$B$17="",0,N(ISNUMBER(SEARCH(LOWER(Screener!$B$17),Database!$AC227&amp;""))))</f>
        <v/>
      </c>
      <c r="I227" s="220">
        <f>IF(OR(N(Database!$BH227)&lt;=0,N(Screener!$D$13)&lt;=0),0,MAX(0,1-ABS(LOG10(N(Database!$BH227)/Screener!$D$13))/W_PEHW))</f>
        <v/>
      </c>
      <c r="J227" s="220">
        <f>IF(OR(N(Database!$S227)&lt;=0,N(Screener!$D$14)&lt;=0),0,MAX(0,1-ABS(LOG10(Database!$S227/Screener!$D$14))/0.6))</f>
        <v/>
      </c>
      <c r="K227" s="220">
        <f>IF(Database!$B227=Screener!$B$5,-999999,IF(ISNUMBER(SEARCH(","&amp;Database!$A227&amp;",",","&amp;SUBSTITUTE(Screener!$D$17," ","")&amp;",")),2000000,IF(IF(OR(Screener!$B$18="All",AND(Screener!$B$18="With A-share",(Database!$BM227="Y")),AND(Screener!$B$18="Without A-share",NOT((Database!$BM227="Y")))),1,0)=0,-999999,IF(Screener!$B$16="cornerstone overlap first",H227*100000,IF(Screener!$B$16="demand-similar first",J227*100000,0))+W_SUB*B227+W_SEC*C227*(1-B227)+W_SIZE*D227+W_PROF*E227+W_AH*F227+W_REC*G227+W_CS*H227+W_PE*I227)))+ROW()/1000000</f>
        <v/>
      </c>
      <c r="AA227" s="220">
        <f>Database!B216</f>
        <v/>
      </c>
      <c r="AB227" s="220">
        <f>Database!D216</f>
        <v/>
      </c>
      <c r="AC227" s="220">
        <f>Database!E216</f>
        <v/>
      </c>
      <c r="AD227" s="220">
        <f>Database!I216</f>
        <v/>
      </c>
      <c r="AE227" s="220">
        <f>Database!BG216</f>
        <v/>
      </c>
      <c r="AF227" s="220">
        <f>Database!BM216</f>
        <v/>
      </c>
      <c r="AG227" s="220">
        <f>Database!H216</f>
        <v/>
      </c>
      <c r="AH227" s="220">
        <f>Database!BH216</f>
        <v/>
      </c>
    </row>
    <row r="228">
      <c r="A228" s="220">
        <f>Database!B228</f>
        <v/>
      </c>
      <c r="B228" s="220">
        <f>IF(AND(Screener!$D$8&lt;&gt;"",Database!$E228=Screener!$D$8),1,0)</f>
        <v/>
      </c>
      <c r="C228" s="220">
        <f>IF(AND(Screener!$D$7&lt;&gt;"",Database!$D228=Screener!$D$7),1,0)</f>
        <v/>
      </c>
      <c r="D228" s="220">
        <f>IF(OR(N(Database!$I228)&lt;=0,N(Screener!$D$9)&lt;=0),0,MAX(0,1-ABS(LOG10(N(Database!$I228)/Screener!$D$9))/W_SIZEHW))</f>
        <v/>
      </c>
      <c r="E228" s="220">
        <f>IF(OR(Database!$BG228="",Screener!$D$10=""),0,IF(Database!$BG228=Screener!$D$10,1,0))</f>
        <v/>
      </c>
      <c r="F228" s="220">
        <f>IF(OR(Database!$BM228="",Screener!$D$11=""),0,IF(Database!$BM228=Screener!$D$11,1,0))</f>
        <v/>
      </c>
      <c r="G228" s="220">
        <f>IF(OR(Database!$H228="",N(Screener!$D$12)&lt;=0),0,MAX(0,1-(N(Screener!$D$12)-Database!$H228)/W_RECD))</f>
        <v/>
      </c>
      <c r="H228" s="220">
        <f>IF($U$1="",0,N(ISNUMBER(SEARCH($U$1,Database!$AC228&amp;""))))+IF($V$1="",0,N(ISNUMBER(SEARCH($V$1,Database!$AC228&amp;""))))+IF($W$1="",0,N(ISNUMBER(SEARCH($W$1,Database!$AC228&amp;""))))+IF($X$1="",0,N(ISNUMBER(SEARCH($X$1,Database!$AC228&amp;""))))+IF($Y$1="",0,N(ISNUMBER(SEARCH($Y$1,Database!$AC228&amp;""))))+IF(Screener!$B$17="",0,N(ISNUMBER(SEARCH(LOWER(Screener!$B$17),Database!$AC228&amp;""))))</f>
        <v/>
      </c>
      <c r="I228" s="220">
        <f>IF(OR(N(Database!$BH228)&lt;=0,N(Screener!$D$13)&lt;=0),0,MAX(0,1-ABS(LOG10(N(Database!$BH228)/Screener!$D$13))/W_PEHW))</f>
        <v/>
      </c>
      <c r="J228" s="220">
        <f>IF(OR(N(Database!$S228)&lt;=0,N(Screener!$D$14)&lt;=0),0,MAX(0,1-ABS(LOG10(Database!$S228/Screener!$D$14))/0.6))</f>
        <v/>
      </c>
      <c r="K228" s="220">
        <f>IF(Database!$B228=Screener!$B$5,-999999,IF(ISNUMBER(SEARCH(","&amp;Database!$A228&amp;",",","&amp;SUBSTITUTE(Screener!$D$17," ","")&amp;",")),2000000,IF(IF(OR(Screener!$B$18="All",AND(Screener!$B$18="With A-share",(Database!$BM228="Y")),AND(Screener!$B$18="Without A-share",NOT((Database!$BM228="Y")))),1,0)=0,-999999,IF(Screener!$B$16="cornerstone overlap first",H228*100000,IF(Screener!$B$16="demand-similar first",J228*100000,0))+W_SUB*B228+W_SEC*C228*(1-B228)+W_SIZE*D228+W_PROF*E228+W_AH*F228+W_REC*G228+W_CS*H228+W_PE*I228)))+ROW()/1000000</f>
        <v/>
      </c>
      <c r="AA228" s="220">
        <f>Database!B217</f>
        <v/>
      </c>
      <c r="AB228" s="220">
        <f>Database!D217</f>
        <v/>
      </c>
      <c r="AC228" s="220">
        <f>Database!E217</f>
        <v/>
      </c>
      <c r="AD228" s="220">
        <f>Database!I217</f>
        <v/>
      </c>
      <c r="AE228" s="220">
        <f>Database!BG217</f>
        <v/>
      </c>
      <c r="AF228" s="220">
        <f>Database!BM217</f>
        <v/>
      </c>
      <c r="AG228" s="220">
        <f>Database!H217</f>
        <v/>
      </c>
      <c r="AH228" s="220">
        <f>Database!BH217</f>
        <v/>
      </c>
    </row>
    <row r="229">
      <c r="A229" s="220">
        <f>Database!B229</f>
        <v/>
      </c>
      <c r="B229" s="220">
        <f>IF(AND(Screener!$D$8&lt;&gt;"",Database!$E229=Screener!$D$8),1,0)</f>
        <v/>
      </c>
      <c r="C229" s="220">
        <f>IF(AND(Screener!$D$7&lt;&gt;"",Database!$D229=Screener!$D$7),1,0)</f>
        <v/>
      </c>
      <c r="D229" s="220">
        <f>IF(OR(N(Database!$I229)&lt;=0,N(Screener!$D$9)&lt;=0),0,MAX(0,1-ABS(LOG10(N(Database!$I229)/Screener!$D$9))/W_SIZEHW))</f>
        <v/>
      </c>
      <c r="E229" s="220">
        <f>IF(OR(Database!$BG229="",Screener!$D$10=""),0,IF(Database!$BG229=Screener!$D$10,1,0))</f>
        <v/>
      </c>
      <c r="F229" s="220">
        <f>IF(OR(Database!$BM229="",Screener!$D$11=""),0,IF(Database!$BM229=Screener!$D$11,1,0))</f>
        <v/>
      </c>
      <c r="G229" s="220">
        <f>IF(OR(Database!$H229="",N(Screener!$D$12)&lt;=0),0,MAX(0,1-(N(Screener!$D$12)-Database!$H229)/W_RECD))</f>
        <v/>
      </c>
      <c r="H229" s="220">
        <f>IF($U$1="",0,N(ISNUMBER(SEARCH($U$1,Database!$AC229&amp;""))))+IF($V$1="",0,N(ISNUMBER(SEARCH($V$1,Database!$AC229&amp;""))))+IF($W$1="",0,N(ISNUMBER(SEARCH($W$1,Database!$AC229&amp;""))))+IF($X$1="",0,N(ISNUMBER(SEARCH($X$1,Database!$AC229&amp;""))))+IF($Y$1="",0,N(ISNUMBER(SEARCH($Y$1,Database!$AC229&amp;""))))+IF(Screener!$B$17="",0,N(ISNUMBER(SEARCH(LOWER(Screener!$B$17),Database!$AC229&amp;""))))</f>
        <v/>
      </c>
      <c r="I229" s="220">
        <f>IF(OR(N(Database!$BH229)&lt;=0,N(Screener!$D$13)&lt;=0),0,MAX(0,1-ABS(LOG10(N(Database!$BH229)/Screener!$D$13))/W_PEHW))</f>
        <v/>
      </c>
      <c r="J229" s="220">
        <f>IF(OR(N(Database!$S229)&lt;=0,N(Screener!$D$14)&lt;=0),0,MAX(0,1-ABS(LOG10(Database!$S229/Screener!$D$14))/0.6))</f>
        <v/>
      </c>
      <c r="K229" s="220">
        <f>IF(Database!$B229=Screener!$B$5,-999999,IF(ISNUMBER(SEARCH(","&amp;Database!$A229&amp;",",","&amp;SUBSTITUTE(Screener!$D$17," ","")&amp;",")),2000000,IF(IF(OR(Screener!$B$18="All",AND(Screener!$B$18="With A-share",(Database!$BM229="Y")),AND(Screener!$B$18="Without A-share",NOT((Database!$BM229="Y")))),1,0)=0,-999999,IF(Screener!$B$16="cornerstone overlap first",H229*100000,IF(Screener!$B$16="demand-similar first",J229*100000,0))+W_SUB*B229+W_SEC*C229*(1-B229)+W_SIZE*D229+W_PROF*E229+W_AH*F229+W_REC*G229+W_CS*H229+W_PE*I229)))+ROW()/1000000</f>
        <v/>
      </c>
      <c r="AA229" s="220">
        <f>Database!B218</f>
        <v/>
      </c>
      <c r="AB229" s="220">
        <f>Database!D218</f>
        <v/>
      </c>
      <c r="AC229" s="220">
        <f>Database!E218</f>
        <v/>
      </c>
      <c r="AD229" s="220">
        <f>Database!I218</f>
        <v/>
      </c>
      <c r="AE229" s="220">
        <f>Database!BG218</f>
        <v/>
      </c>
      <c r="AF229" s="220">
        <f>Database!BM218</f>
        <v/>
      </c>
      <c r="AG229" s="220">
        <f>Database!H218</f>
        <v/>
      </c>
      <c r="AH229" s="220">
        <f>Database!BH218</f>
        <v/>
      </c>
    </row>
    <row r="230">
      <c r="A230" s="220">
        <f>Database!B230</f>
        <v/>
      </c>
      <c r="B230" s="220">
        <f>IF(AND(Screener!$D$8&lt;&gt;"",Database!$E230=Screener!$D$8),1,0)</f>
        <v/>
      </c>
      <c r="C230" s="220">
        <f>IF(AND(Screener!$D$7&lt;&gt;"",Database!$D230=Screener!$D$7),1,0)</f>
        <v/>
      </c>
      <c r="D230" s="220">
        <f>IF(OR(N(Database!$I230)&lt;=0,N(Screener!$D$9)&lt;=0),0,MAX(0,1-ABS(LOG10(N(Database!$I230)/Screener!$D$9))/W_SIZEHW))</f>
        <v/>
      </c>
      <c r="E230" s="220">
        <f>IF(OR(Database!$BG230="",Screener!$D$10=""),0,IF(Database!$BG230=Screener!$D$10,1,0))</f>
        <v/>
      </c>
      <c r="F230" s="220">
        <f>IF(OR(Database!$BM230="",Screener!$D$11=""),0,IF(Database!$BM230=Screener!$D$11,1,0))</f>
        <v/>
      </c>
      <c r="G230" s="220">
        <f>IF(OR(Database!$H230="",N(Screener!$D$12)&lt;=0),0,MAX(0,1-(N(Screener!$D$12)-Database!$H230)/W_RECD))</f>
        <v/>
      </c>
      <c r="H230" s="220">
        <f>IF($U$1="",0,N(ISNUMBER(SEARCH($U$1,Database!$AC230&amp;""))))+IF($V$1="",0,N(ISNUMBER(SEARCH($V$1,Database!$AC230&amp;""))))+IF($W$1="",0,N(ISNUMBER(SEARCH($W$1,Database!$AC230&amp;""))))+IF($X$1="",0,N(ISNUMBER(SEARCH($X$1,Database!$AC230&amp;""))))+IF($Y$1="",0,N(ISNUMBER(SEARCH($Y$1,Database!$AC230&amp;""))))+IF(Screener!$B$17="",0,N(ISNUMBER(SEARCH(LOWER(Screener!$B$17),Database!$AC230&amp;""))))</f>
        <v/>
      </c>
      <c r="I230" s="220">
        <f>IF(OR(N(Database!$BH230)&lt;=0,N(Screener!$D$13)&lt;=0),0,MAX(0,1-ABS(LOG10(N(Database!$BH230)/Screener!$D$13))/W_PEHW))</f>
        <v/>
      </c>
      <c r="J230" s="220">
        <f>IF(OR(N(Database!$S230)&lt;=0,N(Screener!$D$14)&lt;=0),0,MAX(0,1-ABS(LOG10(Database!$S230/Screener!$D$14))/0.6))</f>
        <v/>
      </c>
      <c r="K230" s="220">
        <f>IF(Database!$B230=Screener!$B$5,-999999,IF(ISNUMBER(SEARCH(","&amp;Database!$A230&amp;",",","&amp;SUBSTITUTE(Screener!$D$17," ","")&amp;",")),2000000,IF(IF(OR(Screener!$B$18="All",AND(Screener!$B$18="With A-share",(Database!$BM230="Y")),AND(Screener!$B$18="Without A-share",NOT((Database!$BM230="Y")))),1,0)=0,-999999,IF(Screener!$B$16="cornerstone overlap first",H230*100000,IF(Screener!$B$16="demand-similar first",J230*100000,0))+W_SUB*B230+W_SEC*C230*(1-B230)+W_SIZE*D230+W_PROF*E230+W_AH*F230+W_REC*G230+W_CS*H230+W_PE*I230)))+ROW()/1000000</f>
        <v/>
      </c>
      <c r="AA230" s="220">
        <f>Database!B219</f>
        <v/>
      </c>
      <c r="AB230" s="220">
        <f>Database!D219</f>
        <v/>
      </c>
      <c r="AC230" s="220">
        <f>Database!E219</f>
        <v/>
      </c>
      <c r="AD230" s="220">
        <f>Database!I219</f>
        <v/>
      </c>
      <c r="AE230" s="220">
        <f>Database!BG219</f>
        <v/>
      </c>
      <c r="AF230" s="220">
        <f>Database!BM219</f>
        <v/>
      </c>
      <c r="AG230" s="220">
        <f>Database!H219</f>
        <v/>
      </c>
      <c r="AH230" s="220">
        <f>Database!BH219</f>
        <v/>
      </c>
    </row>
    <row r="231">
      <c r="A231" s="220">
        <f>Database!B231</f>
        <v/>
      </c>
      <c r="B231" s="220">
        <f>IF(AND(Screener!$D$8&lt;&gt;"",Database!$E231=Screener!$D$8),1,0)</f>
        <v/>
      </c>
      <c r="C231" s="220">
        <f>IF(AND(Screener!$D$7&lt;&gt;"",Database!$D231=Screener!$D$7),1,0)</f>
        <v/>
      </c>
      <c r="D231" s="220">
        <f>IF(OR(N(Database!$I231)&lt;=0,N(Screener!$D$9)&lt;=0),0,MAX(0,1-ABS(LOG10(N(Database!$I231)/Screener!$D$9))/W_SIZEHW))</f>
        <v/>
      </c>
      <c r="E231" s="220">
        <f>IF(OR(Database!$BG231="",Screener!$D$10=""),0,IF(Database!$BG231=Screener!$D$10,1,0))</f>
        <v/>
      </c>
      <c r="F231" s="220">
        <f>IF(OR(Database!$BM231="",Screener!$D$11=""),0,IF(Database!$BM231=Screener!$D$11,1,0))</f>
        <v/>
      </c>
      <c r="G231" s="220">
        <f>IF(OR(Database!$H231="",N(Screener!$D$12)&lt;=0),0,MAX(0,1-(N(Screener!$D$12)-Database!$H231)/W_RECD))</f>
        <v/>
      </c>
      <c r="H231" s="220">
        <f>IF($U$1="",0,N(ISNUMBER(SEARCH($U$1,Database!$AC231&amp;""))))+IF($V$1="",0,N(ISNUMBER(SEARCH($V$1,Database!$AC231&amp;""))))+IF($W$1="",0,N(ISNUMBER(SEARCH($W$1,Database!$AC231&amp;""))))+IF($X$1="",0,N(ISNUMBER(SEARCH($X$1,Database!$AC231&amp;""))))+IF($Y$1="",0,N(ISNUMBER(SEARCH($Y$1,Database!$AC231&amp;""))))+IF(Screener!$B$17="",0,N(ISNUMBER(SEARCH(LOWER(Screener!$B$17),Database!$AC231&amp;""))))</f>
        <v/>
      </c>
      <c r="I231" s="220">
        <f>IF(OR(N(Database!$BH231)&lt;=0,N(Screener!$D$13)&lt;=0),0,MAX(0,1-ABS(LOG10(N(Database!$BH231)/Screener!$D$13))/W_PEHW))</f>
        <v/>
      </c>
      <c r="J231" s="220">
        <f>IF(OR(N(Database!$S231)&lt;=0,N(Screener!$D$14)&lt;=0),0,MAX(0,1-ABS(LOG10(Database!$S231/Screener!$D$14))/0.6))</f>
        <v/>
      </c>
      <c r="K231" s="220">
        <f>IF(Database!$B231=Screener!$B$5,-999999,IF(ISNUMBER(SEARCH(","&amp;Database!$A231&amp;",",","&amp;SUBSTITUTE(Screener!$D$17," ","")&amp;",")),2000000,IF(IF(OR(Screener!$B$18="All",AND(Screener!$B$18="With A-share",(Database!$BM231="Y")),AND(Screener!$B$18="Without A-share",NOT((Database!$BM231="Y")))),1,0)=0,-999999,IF(Screener!$B$16="cornerstone overlap first",H231*100000,IF(Screener!$B$16="demand-similar first",J231*100000,0))+W_SUB*B231+W_SEC*C231*(1-B231)+W_SIZE*D231+W_PROF*E231+W_AH*F231+W_REC*G231+W_CS*H231+W_PE*I231)))+ROW()/1000000</f>
        <v/>
      </c>
      <c r="AA231" s="220">
        <f>Database!B220</f>
        <v/>
      </c>
      <c r="AB231" s="220">
        <f>Database!D220</f>
        <v/>
      </c>
      <c r="AC231" s="220">
        <f>Database!E220</f>
        <v/>
      </c>
      <c r="AD231" s="220">
        <f>Database!I220</f>
        <v/>
      </c>
      <c r="AE231" s="220">
        <f>Database!BG220</f>
        <v/>
      </c>
      <c r="AF231" s="220">
        <f>Database!BM220</f>
        <v/>
      </c>
      <c r="AG231" s="220">
        <f>Database!H220</f>
        <v/>
      </c>
      <c r="AH231" s="220">
        <f>Database!BH220</f>
        <v/>
      </c>
    </row>
    <row r="232">
      <c r="A232" s="220">
        <f>Database!B232</f>
        <v/>
      </c>
      <c r="B232" s="220">
        <f>IF(AND(Screener!$D$8&lt;&gt;"",Database!$E232=Screener!$D$8),1,0)</f>
        <v/>
      </c>
      <c r="C232" s="220">
        <f>IF(AND(Screener!$D$7&lt;&gt;"",Database!$D232=Screener!$D$7),1,0)</f>
        <v/>
      </c>
      <c r="D232" s="220">
        <f>IF(OR(N(Database!$I232)&lt;=0,N(Screener!$D$9)&lt;=0),0,MAX(0,1-ABS(LOG10(N(Database!$I232)/Screener!$D$9))/W_SIZEHW))</f>
        <v/>
      </c>
      <c r="E232" s="220">
        <f>IF(OR(Database!$BG232="",Screener!$D$10=""),0,IF(Database!$BG232=Screener!$D$10,1,0))</f>
        <v/>
      </c>
      <c r="F232" s="220">
        <f>IF(OR(Database!$BM232="",Screener!$D$11=""),0,IF(Database!$BM232=Screener!$D$11,1,0))</f>
        <v/>
      </c>
      <c r="G232" s="220">
        <f>IF(OR(Database!$H232="",N(Screener!$D$12)&lt;=0),0,MAX(0,1-(N(Screener!$D$12)-Database!$H232)/W_RECD))</f>
        <v/>
      </c>
      <c r="H232" s="220">
        <f>IF($U$1="",0,N(ISNUMBER(SEARCH($U$1,Database!$AC232&amp;""))))+IF($V$1="",0,N(ISNUMBER(SEARCH($V$1,Database!$AC232&amp;""))))+IF($W$1="",0,N(ISNUMBER(SEARCH($W$1,Database!$AC232&amp;""))))+IF($X$1="",0,N(ISNUMBER(SEARCH($X$1,Database!$AC232&amp;""))))+IF($Y$1="",0,N(ISNUMBER(SEARCH($Y$1,Database!$AC232&amp;""))))+IF(Screener!$B$17="",0,N(ISNUMBER(SEARCH(LOWER(Screener!$B$17),Database!$AC232&amp;""))))</f>
        <v/>
      </c>
      <c r="I232" s="220">
        <f>IF(OR(N(Database!$BH232)&lt;=0,N(Screener!$D$13)&lt;=0),0,MAX(0,1-ABS(LOG10(N(Database!$BH232)/Screener!$D$13))/W_PEHW))</f>
        <v/>
      </c>
      <c r="J232" s="220">
        <f>IF(OR(N(Database!$S232)&lt;=0,N(Screener!$D$14)&lt;=0),0,MAX(0,1-ABS(LOG10(Database!$S232/Screener!$D$14))/0.6))</f>
        <v/>
      </c>
      <c r="K232" s="220">
        <f>IF(Database!$B232=Screener!$B$5,-999999,IF(ISNUMBER(SEARCH(","&amp;Database!$A232&amp;",",","&amp;SUBSTITUTE(Screener!$D$17," ","")&amp;",")),2000000,IF(IF(OR(Screener!$B$18="All",AND(Screener!$B$18="With A-share",(Database!$BM232="Y")),AND(Screener!$B$18="Without A-share",NOT((Database!$BM232="Y")))),1,0)=0,-999999,IF(Screener!$B$16="cornerstone overlap first",H232*100000,IF(Screener!$B$16="demand-similar first",J232*100000,0))+W_SUB*B232+W_SEC*C232*(1-B232)+W_SIZE*D232+W_PROF*E232+W_AH*F232+W_REC*G232+W_CS*H232+W_PE*I232)))+ROW()/1000000</f>
        <v/>
      </c>
      <c r="AA232" s="220">
        <f>Database!B221</f>
        <v/>
      </c>
      <c r="AB232" s="220">
        <f>Database!D221</f>
        <v/>
      </c>
      <c r="AC232" s="220">
        <f>Database!E221</f>
        <v/>
      </c>
      <c r="AD232" s="220">
        <f>Database!I221</f>
        <v/>
      </c>
      <c r="AE232" s="220">
        <f>Database!BG221</f>
        <v/>
      </c>
      <c r="AF232" s="220">
        <f>Database!BM221</f>
        <v/>
      </c>
      <c r="AG232" s="220">
        <f>Database!H221</f>
        <v/>
      </c>
      <c r="AH232" s="220">
        <f>Database!BH221</f>
        <v/>
      </c>
    </row>
    <row r="233">
      <c r="A233" s="220">
        <f>Database!B233</f>
        <v/>
      </c>
      <c r="B233" s="220">
        <f>IF(AND(Screener!$D$8&lt;&gt;"",Database!$E233=Screener!$D$8),1,0)</f>
        <v/>
      </c>
      <c r="C233" s="220">
        <f>IF(AND(Screener!$D$7&lt;&gt;"",Database!$D233=Screener!$D$7),1,0)</f>
        <v/>
      </c>
      <c r="D233" s="220">
        <f>IF(OR(N(Database!$I233)&lt;=0,N(Screener!$D$9)&lt;=0),0,MAX(0,1-ABS(LOG10(N(Database!$I233)/Screener!$D$9))/W_SIZEHW))</f>
        <v/>
      </c>
      <c r="E233" s="220">
        <f>IF(OR(Database!$BG233="",Screener!$D$10=""),0,IF(Database!$BG233=Screener!$D$10,1,0))</f>
        <v/>
      </c>
      <c r="F233" s="220">
        <f>IF(OR(Database!$BM233="",Screener!$D$11=""),0,IF(Database!$BM233=Screener!$D$11,1,0))</f>
        <v/>
      </c>
      <c r="G233" s="220">
        <f>IF(OR(Database!$H233="",N(Screener!$D$12)&lt;=0),0,MAX(0,1-(N(Screener!$D$12)-Database!$H233)/W_RECD))</f>
        <v/>
      </c>
      <c r="H233" s="220">
        <f>IF($U$1="",0,N(ISNUMBER(SEARCH($U$1,Database!$AC233&amp;""))))+IF($V$1="",0,N(ISNUMBER(SEARCH($V$1,Database!$AC233&amp;""))))+IF($W$1="",0,N(ISNUMBER(SEARCH($W$1,Database!$AC233&amp;""))))+IF($X$1="",0,N(ISNUMBER(SEARCH($X$1,Database!$AC233&amp;""))))+IF($Y$1="",0,N(ISNUMBER(SEARCH($Y$1,Database!$AC233&amp;""))))+IF(Screener!$B$17="",0,N(ISNUMBER(SEARCH(LOWER(Screener!$B$17),Database!$AC233&amp;""))))</f>
        <v/>
      </c>
      <c r="I233" s="220">
        <f>IF(OR(N(Database!$BH233)&lt;=0,N(Screener!$D$13)&lt;=0),0,MAX(0,1-ABS(LOG10(N(Database!$BH233)/Screener!$D$13))/W_PEHW))</f>
        <v/>
      </c>
      <c r="J233" s="220">
        <f>IF(OR(N(Database!$S233)&lt;=0,N(Screener!$D$14)&lt;=0),0,MAX(0,1-ABS(LOG10(Database!$S233/Screener!$D$14))/0.6))</f>
        <v/>
      </c>
      <c r="K233" s="220">
        <f>IF(Database!$B233=Screener!$B$5,-999999,IF(ISNUMBER(SEARCH(","&amp;Database!$A233&amp;",",","&amp;SUBSTITUTE(Screener!$D$17," ","")&amp;",")),2000000,IF(IF(OR(Screener!$B$18="All",AND(Screener!$B$18="With A-share",(Database!$BM233="Y")),AND(Screener!$B$18="Without A-share",NOT((Database!$BM233="Y")))),1,0)=0,-999999,IF(Screener!$B$16="cornerstone overlap first",H233*100000,IF(Screener!$B$16="demand-similar first",J233*100000,0))+W_SUB*B233+W_SEC*C233*(1-B233)+W_SIZE*D233+W_PROF*E233+W_AH*F233+W_REC*G233+W_CS*H233+W_PE*I233)))+ROW()/1000000</f>
        <v/>
      </c>
      <c r="AA233" s="220">
        <f>Database!B222</f>
        <v/>
      </c>
      <c r="AB233" s="220">
        <f>Database!D222</f>
        <v/>
      </c>
      <c r="AC233" s="220">
        <f>Database!E222</f>
        <v/>
      </c>
      <c r="AD233" s="220">
        <f>Database!I222</f>
        <v/>
      </c>
      <c r="AE233" s="220">
        <f>Database!BG222</f>
        <v/>
      </c>
      <c r="AF233" s="220">
        <f>Database!BM222</f>
        <v/>
      </c>
      <c r="AG233" s="220">
        <f>Database!H222</f>
        <v/>
      </c>
      <c r="AH233" s="220">
        <f>Database!BH222</f>
        <v/>
      </c>
    </row>
    <row r="234">
      <c r="A234" s="220">
        <f>Database!B234</f>
        <v/>
      </c>
      <c r="B234" s="220">
        <f>IF(AND(Screener!$D$8&lt;&gt;"",Database!$E234=Screener!$D$8),1,0)</f>
        <v/>
      </c>
      <c r="C234" s="220">
        <f>IF(AND(Screener!$D$7&lt;&gt;"",Database!$D234=Screener!$D$7),1,0)</f>
        <v/>
      </c>
      <c r="D234" s="220">
        <f>IF(OR(N(Database!$I234)&lt;=0,N(Screener!$D$9)&lt;=0),0,MAX(0,1-ABS(LOG10(N(Database!$I234)/Screener!$D$9))/W_SIZEHW))</f>
        <v/>
      </c>
      <c r="E234" s="220">
        <f>IF(OR(Database!$BG234="",Screener!$D$10=""),0,IF(Database!$BG234=Screener!$D$10,1,0))</f>
        <v/>
      </c>
      <c r="F234" s="220">
        <f>IF(OR(Database!$BM234="",Screener!$D$11=""),0,IF(Database!$BM234=Screener!$D$11,1,0))</f>
        <v/>
      </c>
      <c r="G234" s="220">
        <f>IF(OR(Database!$H234="",N(Screener!$D$12)&lt;=0),0,MAX(0,1-(N(Screener!$D$12)-Database!$H234)/W_RECD))</f>
        <v/>
      </c>
      <c r="H234" s="220">
        <f>IF($U$1="",0,N(ISNUMBER(SEARCH($U$1,Database!$AC234&amp;""))))+IF($V$1="",0,N(ISNUMBER(SEARCH($V$1,Database!$AC234&amp;""))))+IF($W$1="",0,N(ISNUMBER(SEARCH($W$1,Database!$AC234&amp;""))))+IF($X$1="",0,N(ISNUMBER(SEARCH($X$1,Database!$AC234&amp;""))))+IF($Y$1="",0,N(ISNUMBER(SEARCH($Y$1,Database!$AC234&amp;""))))+IF(Screener!$B$17="",0,N(ISNUMBER(SEARCH(LOWER(Screener!$B$17),Database!$AC234&amp;""))))</f>
        <v/>
      </c>
      <c r="I234" s="220">
        <f>IF(OR(N(Database!$BH234)&lt;=0,N(Screener!$D$13)&lt;=0),0,MAX(0,1-ABS(LOG10(N(Database!$BH234)/Screener!$D$13))/W_PEHW))</f>
        <v/>
      </c>
      <c r="J234" s="220">
        <f>IF(OR(N(Database!$S234)&lt;=0,N(Screener!$D$14)&lt;=0),0,MAX(0,1-ABS(LOG10(Database!$S234/Screener!$D$14))/0.6))</f>
        <v/>
      </c>
      <c r="K234" s="220">
        <f>IF(Database!$B234=Screener!$B$5,-999999,IF(ISNUMBER(SEARCH(","&amp;Database!$A234&amp;",",","&amp;SUBSTITUTE(Screener!$D$17," ","")&amp;",")),2000000,IF(IF(OR(Screener!$B$18="All",AND(Screener!$B$18="With A-share",(Database!$BM234="Y")),AND(Screener!$B$18="Without A-share",NOT((Database!$BM234="Y")))),1,0)=0,-999999,IF(Screener!$B$16="cornerstone overlap first",H234*100000,IF(Screener!$B$16="demand-similar first",J234*100000,0))+W_SUB*B234+W_SEC*C234*(1-B234)+W_SIZE*D234+W_PROF*E234+W_AH*F234+W_REC*G234+W_CS*H234+W_PE*I234)))+ROW()/1000000</f>
        <v/>
      </c>
      <c r="AA234" s="220">
        <f>Database!B223</f>
        <v/>
      </c>
      <c r="AB234" s="220">
        <f>Database!D223</f>
        <v/>
      </c>
      <c r="AC234" s="220">
        <f>Database!E223</f>
        <v/>
      </c>
      <c r="AD234" s="220">
        <f>Database!I223</f>
        <v/>
      </c>
      <c r="AE234" s="220">
        <f>Database!BG223</f>
        <v/>
      </c>
      <c r="AF234" s="220">
        <f>Database!BM223</f>
        <v/>
      </c>
      <c r="AG234" s="220">
        <f>Database!H223</f>
        <v/>
      </c>
      <c r="AH234" s="220">
        <f>Database!BH223</f>
        <v/>
      </c>
    </row>
    <row r="235">
      <c r="A235" s="220">
        <f>Database!B235</f>
        <v/>
      </c>
      <c r="B235" s="220">
        <f>IF(AND(Screener!$D$8&lt;&gt;"",Database!$E235=Screener!$D$8),1,0)</f>
        <v/>
      </c>
      <c r="C235" s="220">
        <f>IF(AND(Screener!$D$7&lt;&gt;"",Database!$D235=Screener!$D$7),1,0)</f>
        <v/>
      </c>
      <c r="D235" s="220">
        <f>IF(OR(N(Database!$I235)&lt;=0,N(Screener!$D$9)&lt;=0),0,MAX(0,1-ABS(LOG10(N(Database!$I235)/Screener!$D$9))/W_SIZEHW))</f>
        <v/>
      </c>
      <c r="E235" s="220">
        <f>IF(OR(Database!$BG235="",Screener!$D$10=""),0,IF(Database!$BG235=Screener!$D$10,1,0))</f>
        <v/>
      </c>
      <c r="F235" s="220">
        <f>IF(OR(Database!$BM235="",Screener!$D$11=""),0,IF(Database!$BM235=Screener!$D$11,1,0))</f>
        <v/>
      </c>
      <c r="G235" s="220">
        <f>IF(OR(Database!$H235="",N(Screener!$D$12)&lt;=0),0,MAX(0,1-(N(Screener!$D$12)-Database!$H235)/W_RECD))</f>
        <v/>
      </c>
      <c r="H235" s="220">
        <f>IF($U$1="",0,N(ISNUMBER(SEARCH($U$1,Database!$AC235&amp;""))))+IF($V$1="",0,N(ISNUMBER(SEARCH($V$1,Database!$AC235&amp;""))))+IF($W$1="",0,N(ISNUMBER(SEARCH($W$1,Database!$AC235&amp;""))))+IF($X$1="",0,N(ISNUMBER(SEARCH($X$1,Database!$AC235&amp;""))))+IF($Y$1="",0,N(ISNUMBER(SEARCH($Y$1,Database!$AC235&amp;""))))+IF(Screener!$B$17="",0,N(ISNUMBER(SEARCH(LOWER(Screener!$B$17),Database!$AC235&amp;""))))</f>
        <v/>
      </c>
      <c r="I235" s="220">
        <f>IF(OR(N(Database!$BH235)&lt;=0,N(Screener!$D$13)&lt;=0),0,MAX(0,1-ABS(LOG10(N(Database!$BH235)/Screener!$D$13))/W_PEHW))</f>
        <v/>
      </c>
      <c r="J235" s="220">
        <f>IF(OR(N(Database!$S235)&lt;=0,N(Screener!$D$14)&lt;=0),0,MAX(0,1-ABS(LOG10(Database!$S235/Screener!$D$14))/0.6))</f>
        <v/>
      </c>
      <c r="K235" s="220">
        <f>IF(Database!$B235=Screener!$B$5,-999999,IF(ISNUMBER(SEARCH(","&amp;Database!$A235&amp;",",","&amp;SUBSTITUTE(Screener!$D$17," ","")&amp;",")),2000000,IF(IF(OR(Screener!$B$18="All",AND(Screener!$B$18="With A-share",(Database!$BM235="Y")),AND(Screener!$B$18="Without A-share",NOT((Database!$BM235="Y")))),1,0)=0,-999999,IF(Screener!$B$16="cornerstone overlap first",H235*100000,IF(Screener!$B$16="demand-similar first",J235*100000,0))+W_SUB*B235+W_SEC*C235*(1-B235)+W_SIZE*D235+W_PROF*E235+W_AH*F235+W_REC*G235+W_CS*H235+W_PE*I235)))+ROW()/1000000</f>
        <v/>
      </c>
      <c r="AA235" s="220">
        <f>Database!B224</f>
        <v/>
      </c>
      <c r="AB235" s="220">
        <f>Database!D224</f>
        <v/>
      </c>
      <c r="AC235" s="220">
        <f>Database!E224</f>
        <v/>
      </c>
      <c r="AD235" s="220">
        <f>Database!I224</f>
        <v/>
      </c>
      <c r="AE235" s="220">
        <f>Database!BG224</f>
        <v/>
      </c>
      <c r="AF235" s="220">
        <f>Database!BM224</f>
        <v/>
      </c>
      <c r="AG235" s="220">
        <f>Database!H224</f>
        <v/>
      </c>
      <c r="AH235" s="220">
        <f>Database!BH224</f>
        <v/>
      </c>
    </row>
    <row r="236">
      <c r="A236" s="220">
        <f>Database!B236</f>
        <v/>
      </c>
      <c r="B236" s="220">
        <f>IF(AND(Screener!$D$8&lt;&gt;"",Database!$E236=Screener!$D$8),1,0)</f>
        <v/>
      </c>
      <c r="C236" s="220">
        <f>IF(AND(Screener!$D$7&lt;&gt;"",Database!$D236=Screener!$D$7),1,0)</f>
        <v/>
      </c>
      <c r="D236" s="220">
        <f>IF(OR(N(Database!$I236)&lt;=0,N(Screener!$D$9)&lt;=0),0,MAX(0,1-ABS(LOG10(N(Database!$I236)/Screener!$D$9))/W_SIZEHW))</f>
        <v/>
      </c>
      <c r="E236" s="220">
        <f>IF(OR(Database!$BG236="",Screener!$D$10=""),0,IF(Database!$BG236=Screener!$D$10,1,0))</f>
        <v/>
      </c>
      <c r="F236" s="220">
        <f>IF(OR(Database!$BM236="",Screener!$D$11=""),0,IF(Database!$BM236=Screener!$D$11,1,0))</f>
        <v/>
      </c>
      <c r="G236" s="220">
        <f>IF(OR(Database!$H236="",N(Screener!$D$12)&lt;=0),0,MAX(0,1-(N(Screener!$D$12)-Database!$H236)/W_RECD))</f>
        <v/>
      </c>
      <c r="H236" s="220">
        <f>IF($U$1="",0,N(ISNUMBER(SEARCH($U$1,Database!$AC236&amp;""))))+IF($V$1="",0,N(ISNUMBER(SEARCH($V$1,Database!$AC236&amp;""))))+IF($W$1="",0,N(ISNUMBER(SEARCH($W$1,Database!$AC236&amp;""))))+IF($X$1="",0,N(ISNUMBER(SEARCH($X$1,Database!$AC236&amp;""))))+IF($Y$1="",0,N(ISNUMBER(SEARCH($Y$1,Database!$AC236&amp;""))))+IF(Screener!$B$17="",0,N(ISNUMBER(SEARCH(LOWER(Screener!$B$17),Database!$AC236&amp;""))))</f>
        <v/>
      </c>
      <c r="I236" s="220">
        <f>IF(OR(N(Database!$BH236)&lt;=0,N(Screener!$D$13)&lt;=0),0,MAX(0,1-ABS(LOG10(N(Database!$BH236)/Screener!$D$13))/W_PEHW))</f>
        <v/>
      </c>
      <c r="J236" s="220">
        <f>IF(OR(N(Database!$S236)&lt;=0,N(Screener!$D$14)&lt;=0),0,MAX(0,1-ABS(LOG10(Database!$S236/Screener!$D$14))/0.6))</f>
        <v/>
      </c>
      <c r="K236" s="220">
        <f>IF(Database!$B236=Screener!$B$5,-999999,IF(ISNUMBER(SEARCH(","&amp;Database!$A236&amp;",",","&amp;SUBSTITUTE(Screener!$D$17," ","")&amp;",")),2000000,IF(IF(OR(Screener!$B$18="All",AND(Screener!$B$18="With A-share",(Database!$BM236="Y")),AND(Screener!$B$18="Without A-share",NOT((Database!$BM236="Y")))),1,0)=0,-999999,IF(Screener!$B$16="cornerstone overlap first",H236*100000,IF(Screener!$B$16="demand-similar first",J236*100000,0))+W_SUB*B236+W_SEC*C236*(1-B236)+W_SIZE*D236+W_PROF*E236+W_AH*F236+W_REC*G236+W_CS*H236+W_PE*I236)))+ROW()/1000000</f>
        <v/>
      </c>
      <c r="AA236" s="220">
        <f>Database!B225</f>
        <v/>
      </c>
      <c r="AB236" s="220">
        <f>Database!D225</f>
        <v/>
      </c>
      <c r="AC236" s="220">
        <f>Database!E225</f>
        <v/>
      </c>
      <c r="AD236" s="220">
        <f>Database!I225</f>
        <v/>
      </c>
      <c r="AE236" s="220">
        <f>Database!BG225</f>
        <v/>
      </c>
      <c r="AF236" s="220">
        <f>Database!BM225</f>
        <v/>
      </c>
      <c r="AG236" s="220">
        <f>Database!H225</f>
        <v/>
      </c>
      <c r="AH236" s="220">
        <f>Database!BH225</f>
        <v/>
      </c>
    </row>
    <row r="237">
      <c r="A237" s="220">
        <f>Database!B237</f>
        <v/>
      </c>
      <c r="B237" s="220">
        <f>IF(AND(Screener!$D$8&lt;&gt;"",Database!$E237=Screener!$D$8),1,0)</f>
        <v/>
      </c>
      <c r="C237" s="220">
        <f>IF(AND(Screener!$D$7&lt;&gt;"",Database!$D237=Screener!$D$7),1,0)</f>
        <v/>
      </c>
      <c r="D237" s="220">
        <f>IF(OR(N(Database!$I237)&lt;=0,N(Screener!$D$9)&lt;=0),0,MAX(0,1-ABS(LOG10(N(Database!$I237)/Screener!$D$9))/W_SIZEHW))</f>
        <v/>
      </c>
      <c r="E237" s="220">
        <f>IF(OR(Database!$BG237="",Screener!$D$10=""),0,IF(Database!$BG237=Screener!$D$10,1,0))</f>
        <v/>
      </c>
      <c r="F237" s="220">
        <f>IF(OR(Database!$BM237="",Screener!$D$11=""),0,IF(Database!$BM237=Screener!$D$11,1,0))</f>
        <v/>
      </c>
      <c r="G237" s="220">
        <f>IF(OR(Database!$H237="",N(Screener!$D$12)&lt;=0),0,MAX(0,1-(N(Screener!$D$12)-Database!$H237)/W_RECD))</f>
        <v/>
      </c>
      <c r="H237" s="220">
        <f>IF($U$1="",0,N(ISNUMBER(SEARCH($U$1,Database!$AC237&amp;""))))+IF($V$1="",0,N(ISNUMBER(SEARCH($V$1,Database!$AC237&amp;""))))+IF($W$1="",0,N(ISNUMBER(SEARCH($W$1,Database!$AC237&amp;""))))+IF($X$1="",0,N(ISNUMBER(SEARCH($X$1,Database!$AC237&amp;""))))+IF($Y$1="",0,N(ISNUMBER(SEARCH($Y$1,Database!$AC237&amp;""))))+IF(Screener!$B$17="",0,N(ISNUMBER(SEARCH(LOWER(Screener!$B$17),Database!$AC237&amp;""))))</f>
        <v/>
      </c>
      <c r="I237" s="220">
        <f>IF(OR(N(Database!$BH237)&lt;=0,N(Screener!$D$13)&lt;=0),0,MAX(0,1-ABS(LOG10(N(Database!$BH237)/Screener!$D$13))/W_PEHW))</f>
        <v/>
      </c>
      <c r="J237" s="220">
        <f>IF(OR(N(Database!$S237)&lt;=0,N(Screener!$D$14)&lt;=0),0,MAX(0,1-ABS(LOG10(Database!$S237/Screener!$D$14))/0.6))</f>
        <v/>
      </c>
      <c r="K237" s="220">
        <f>IF(Database!$B237=Screener!$B$5,-999999,IF(ISNUMBER(SEARCH(","&amp;Database!$A237&amp;",",","&amp;SUBSTITUTE(Screener!$D$17," ","")&amp;",")),2000000,IF(IF(OR(Screener!$B$18="All",AND(Screener!$B$18="With A-share",(Database!$BM237="Y")),AND(Screener!$B$18="Without A-share",NOT((Database!$BM237="Y")))),1,0)=0,-999999,IF(Screener!$B$16="cornerstone overlap first",H237*100000,IF(Screener!$B$16="demand-similar first",J237*100000,0))+W_SUB*B237+W_SEC*C237*(1-B237)+W_SIZE*D237+W_PROF*E237+W_AH*F237+W_REC*G237+W_CS*H237+W_PE*I237)))+ROW()/1000000</f>
        <v/>
      </c>
      <c r="AA237" s="220">
        <f>Database!B226</f>
        <v/>
      </c>
      <c r="AB237" s="220">
        <f>Database!D226</f>
        <v/>
      </c>
      <c r="AC237" s="220">
        <f>Database!E226</f>
        <v/>
      </c>
      <c r="AD237" s="220">
        <f>Database!I226</f>
        <v/>
      </c>
      <c r="AE237" s="220">
        <f>Database!BG226</f>
        <v/>
      </c>
      <c r="AF237" s="220">
        <f>Database!BM226</f>
        <v/>
      </c>
      <c r="AG237" s="220">
        <f>Database!H226</f>
        <v/>
      </c>
      <c r="AH237" s="220">
        <f>Database!BH226</f>
        <v/>
      </c>
    </row>
    <row r="238">
      <c r="A238" s="220">
        <f>Database!B238</f>
        <v/>
      </c>
      <c r="B238" s="220">
        <f>IF(AND(Screener!$D$8&lt;&gt;"",Database!$E238=Screener!$D$8),1,0)</f>
        <v/>
      </c>
      <c r="C238" s="220">
        <f>IF(AND(Screener!$D$7&lt;&gt;"",Database!$D238=Screener!$D$7),1,0)</f>
        <v/>
      </c>
      <c r="D238" s="220">
        <f>IF(OR(N(Database!$I238)&lt;=0,N(Screener!$D$9)&lt;=0),0,MAX(0,1-ABS(LOG10(N(Database!$I238)/Screener!$D$9))/W_SIZEHW))</f>
        <v/>
      </c>
      <c r="E238" s="220">
        <f>IF(OR(Database!$BG238="",Screener!$D$10=""),0,IF(Database!$BG238=Screener!$D$10,1,0))</f>
        <v/>
      </c>
      <c r="F238" s="220">
        <f>IF(OR(Database!$BM238="",Screener!$D$11=""),0,IF(Database!$BM238=Screener!$D$11,1,0))</f>
        <v/>
      </c>
      <c r="G238" s="220">
        <f>IF(OR(Database!$H238="",N(Screener!$D$12)&lt;=0),0,MAX(0,1-(N(Screener!$D$12)-Database!$H238)/W_RECD))</f>
        <v/>
      </c>
      <c r="H238" s="220">
        <f>IF($U$1="",0,N(ISNUMBER(SEARCH($U$1,Database!$AC238&amp;""))))+IF($V$1="",0,N(ISNUMBER(SEARCH($V$1,Database!$AC238&amp;""))))+IF($W$1="",0,N(ISNUMBER(SEARCH($W$1,Database!$AC238&amp;""))))+IF($X$1="",0,N(ISNUMBER(SEARCH($X$1,Database!$AC238&amp;""))))+IF($Y$1="",0,N(ISNUMBER(SEARCH($Y$1,Database!$AC238&amp;""))))+IF(Screener!$B$17="",0,N(ISNUMBER(SEARCH(LOWER(Screener!$B$17),Database!$AC238&amp;""))))</f>
        <v/>
      </c>
      <c r="I238" s="220">
        <f>IF(OR(N(Database!$BH238)&lt;=0,N(Screener!$D$13)&lt;=0),0,MAX(0,1-ABS(LOG10(N(Database!$BH238)/Screener!$D$13))/W_PEHW))</f>
        <v/>
      </c>
      <c r="J238" s="220">
        <f>IF(OR(N(Database!$S238)&lt;=0,N(Screener!$D$14)&lt;=0),0,MAX(0,1-ABS(LOG10(Database!$S238/Screener!$D$14))/0.6))</f>
        <v/>
      </c>
      <c r="K238" s="220">
        <f>IF(Database!$B238=Screener!$B$5,-999999,IF(ISNUMBER(SEARCH(","&amp;Database!$A238&amp;",",","&amp;SUBSTITUTE(Screener!$D$17," ","")&amp;",")),2000000,IF(IF(OR(Screener!$B$18="All",AND(Screener!$B$18="With A-share",(Database!$BM238="Y")),AND(Screener!$B$18="Without A-share",NOT((Database!$BM238="Y")))),1,0)=0,-999999,IF(Screener!$B$16="cornerstone overlap first",H238*100000,IF(Screener!$B$16="demand-similar first",J238*100000,0))+W_SUB*B238+W_SEC*C238*(1-B238)+W_SIZE*D238+W_PROF*E238+W_AH*F238+W_REC*G238+W_CS*H238+W_PE*I238)))+ROW()/1000000</f>
        <v/>
      </c>
      <c r="AA238" s="220">
        <f>Database!B227</f>
        <v/>
      </c>
      <c r="AB238" s="220">
        <f>Database!D227</f>
        <v/>
      </c>
      <c r="AC238" s="220">
        <f>Database!E227</f>
        <v/>
      </c>
      <c r="AD238" s="220">
        <f>Database!I227</f>
        <v/>
      </c>
      <c r="AE238" s="220">
        <f>Database!BG227</f>
        <v/>
      </c>
      <c r="AF238" s="220">
        <f>Database!BM227</f>
        <v/>
      </c>
      <c r="AG238" s="220">
        <f>Database!H227</f>
        <v/>
      </c>
      <c r="AH238" s="220">
        <f>Database!BH227</f>
        <v/>
      </c>
    </row>
    <row r="239">
      <c r="A239" s="220">
        <f>Database!B239</f>
        <v/>
      </c>
      <c r="B239" s="220">
        <f>IF(AND(Screener!$D$8&lt;&gt;"",Database!$E239=Screener!$D$8),1,0)</f>
        <v/>
      </c>
      <c r="C239" s="220">
        <f>IF(AND(Screener!$D$7&lt;&gt;"",Database!$D239=Screener!$D$7),1,0)</f>
        <v/>
      </c>
      <c r="D239" s="220">
        <f>IF(OR(N(Database!$I239)&lt;=0,N(Screener!$D$9)&lt;=0),0,MAX(0,1-ABS(LOG10(N(Database!$I239)/Screener!$D$9))/W_SIZEHW))</f>
        <v/>
      </c>
      <c r="E239" s="220">
        <f>IF(OR(Database!$BG239="",Screener!$D$10=""),0,IF(Database!$BG239=Screener!$D$10,1,0))</f>
        <v/>
      </c>
      <c r="F239" s="220">
        <f>IF(OR(Database!$BM239="",Screener!$D$11=""),0,IF(Database!$BM239=Screener!$D$11,1,0))</f>
        <v/>
      </c>
      <c r="G239" s="220">
        <f>IF(OR(Database!$H239="",N(Screener!$D$12)&lt;=0),0,MAX(0,1-(N(Screener!$D$12)-Database!$H239)/W_RECD))</f>
        <v/>
      </c>
      <c r="H239" s="220">
        <f>IF($U$1="",0,N(ISNUMBER(SEARCH($U$1,Database!$AC239&amp;""))))+IF($V$1="",0,N(ISNUMBER(SEARCH($V$1,Database!$AC239&amp;""))))+IF($W$1="",0,N(ISNUMBER(SEARCH($W$1,Database!$AC239&amp;""))))+IF($X$1="",0,N(ISNUMBER(SEARCH($X$1,Database!$AC239&amp;""))))+IF($Y$1="",0,N(ISNUMBER(SEARCH($Y$1,Database!$AC239&amp;""))))+IF(Screener!$B$17="",0,N(ISNUMBER(SEARCH(LOWER(Screener!$B$17),Database!$AC239&amp;""))))</f>
        <v/>
      </c>
      <c r="I239" s="220">
        <f>IF(OR(N(Database!$BH239)&lt;=0,N(Screener!$D$13)&lt;=0),0,MAX(0,1-ABS(LOG10(N(Database!$BH239)/Screener!$D$13))/W_PEHW))</f>
        <v/>
      </c>
      <c r="J239" s="220">
        <f>IF(OR(N(Database!$S239)&lt;=0,N(Screener!$D$14)&lt;=0),0,MAX(0,1-ABS(LOG10(Database!$S239/Screener!$D$14))/0.6))</f>
        <v/>
      </c>
      <c r="K239" s="220">
        <f>IF(Database!$B239=Screener!$B$5,-999999,IF(ISNUMBER(SEARCH(","&amp;Database!$A239&amp;",",","&amp;SUBSTITUTE(Screener!$D$17," ","")&amp;",")),2000000,IF(IF(OR(Screener!$B$18="All",AND(Screener!$B$18="With A-share",(Database!$BM239="Y")),AND(Screener!$B$18="Without A-share",NOT((Database!$BM239="Y")))),1,0)=0,-999999,IF(Screener!$B$16="cornerstone overlap first",H239*100000,IF(Screener!$B$16="demand-similar first",J239*100000,0))+W_SUB*B239+W_SEC*C239*(1-B239)+W_SIZE*D239+W_PROF*E239+W_AH*F239+W_REC*G239+W_CS*H239+W_PE*I239)))+ROW()/1000000</f>
        <v/>
      </c>
      <c r="AA239" s="220">
        <f>Database!B228</f>
        <v/>
      </c>
      <c r="AB239" s="220">
        <f>Database!D228</f>
        <v/>
      </c>
      <c r="AC239" s="220">
        <f>Database!E228</f>
        <v/>
      </c>
      <c r="AD239" s="220">
        <f>Database!I228</f>
        <v/>
      </c>
      <c r="AE239" s="220">
        <f>Database!BG228</f>
        <v/>
      </c>
      <c r="AF239" s="220">
        <f>Database!BM228</f>
        <v/>
      </c>
      <c r="AG239" s="220">
        <f>Database!H228</f>
        <v/>
      </c>
      <c r="AH239" s="220">
        <f>Database!BH228</f>
        <v/>
      </c>
    </row>
    <row r="240">
      <c r="A240" s="220">
        <f>Database!B240</f>
        <v/>
      </c>
      <c r="B240" s="220">
        <f>IF(AND(Screener!$D$8&lt;&gt;"",Database!$E240=Screener!$D$8),1,0)</f>
        <v/>
      </c>
      <c r="C240" s="220">
        <f>IF(AND(Screener!$D$7&lt;&gt;"",Database!$D240=Screener!$D$7),1,0)</f>
        <v/>
      </c>
      <c r="D240" s="220">
        <f>IF(OR(N(Database!$I240)&lt;=0,N(Screener!$D$9)&lt;=0),0,MAX(0,1-ABS(LOG10(N(Database!$I240)/Screener!$D$9))/W_SIZEHW))</f>
        <v/>
      </c>
      <c r="E240" s="220">
        <f>IF(OR(Database!$BG240="",Screener!$D$10=""),0,IF(Database!$BG240=Screener!$D$10,1,0))</f>
        <v/>
      </c>
      <c r="F240" s="220">
        <f>IF(OR(Database!$BM240="",Screener!$D$11=""),0,IF(Database!$BM240=Screener!$D$11,1,0))</f>
        <v/>
      </c>
      <c r="G240" s="220">
        <f>IF(OR(Database!$H240="",N(Screener!$D$12)&lt;=0),0,MAX(0,1-(N(Screener!$D$12)-Database!$H240)/W_RECD))</f>
        <v/>
      </c>
      <c r="H240" s="220">
        <f>IF($U$1="",0,N(ISNUMBER(SEARCH($U$1,Database!$AC240&amp;""))))+IF($V$1="",0,N(ISNUMBER(SEARCH($V$1,Database!$AC240&amp;""))))+IF($W$1="",0,N(ISNUMBER(SEARCH($W$1,Database!$AC240&amp;""))))+IF($X$1="",0,N(ISNUMBER(SEARCH($X$1,Database!$AC240&amp;""))))+IF($Y$1="",0,N(ISNUMBER(SEARCH($Y$1,Database!$AC240&amp;""))))+IF(Screener!$B$17="",0,N(ISNUMBER(SEARCH(LOWER(Screener!$B$17),Database!$AC240&amp;""))))</f>
        <v/>
      </c>
      <c r="I240" s="220">
        <f>IF(OR(N(Database!$BH240)&lt;=0,N(Screener!$D$13)&lt;=0),0,MAX(0,1-ABS(LOG10(N(Database!$BH240)/Screener!$D$13))/W_PEHW))</f>
        <v/>
      </c>
      <c r="J240" s="220">
        <f>IF(OR(N(Database!$S240)&lt;=0,N(Screener!$D$14)&lt;=0),0,MAX(0,1-ABS(LOG10(Database!$S240/Screener!$D$14))/0.6))</f>
        <v/>
      </c>
      <c r="K240" s="220">
        <f>IF(Database!$B240=Screener!$B$5,-999999,IF(ISNUMBER(SEARCH(","&amp;Database!$A240&amp;",",","&amp;SUBSTITUTE(Screener!$D$17," ","")&amp;",")),2000000,IF(IF(OR(Screener!$B$18="All",AND(Screener!$B$18="With A-share",(Database!$BM240="Y")),AND(Screener!$B$18="Without A-share",NOT((Database!$BM240="Y")))),1,0)=0,-999999,IF(Screener!$B$16="cornerstone overlap first",H240*100000,IF(Screener!$B$16="demand-similar first",J240*100000,0))+W_SUB*B240+W_SEC*C240*(1-B240)+W_SIZE*D240+W_PROF*E240+W_AH*F240+W_REC*G240+W_CS*H240+W_PE*I240)))+ROW()/1000000</f>
        <v/>
      </c>
      <c r="AA240" s="220">
        <f>Database!B229</f>
        <v/>
      </c>
      <c r="AB240" s="220">
        <f>Database!D229</f>
        <v/>
      </c>
      <c r="AC240" s="220">
        <f>Database!E229</f>
        <v/>
      </c>
      <c r="AD240" s="220">
        <f>Database!I229</f>
        <v/>
      </c>
      <c r="AE240" s="220">
        <f>Database!BG229</f>
        <v/>
      </c>
      <c r="AF240" s="220">
        <f>Database!BM229</f>
        <v/>
      </c>
      <c r="AG240" s="220">
        <f>Database!H229</f>
        <v/>
      </c>
      <c r="AH240" s="220">
        <f>Database!BH229</f>
        <v/>
      </c>
    </row>
    <row r="241">
      <c r="A241" s="220">
        <f>Database!B241</f>
        <v/>
      </c>
      <c r="B241" s="220">
        <f>IF(AND(Screener!$D$8&lt;&gt;"",Database!$E241=Screener!$D$8),1,0)</f>
        <v/>
      </c>
      <c r="C241" s="220">
        <f>IF(AND(Screener!$D$7&lt;&gt;"",Database!$D241=Screener!$D$7),1,0)</f>
        <v/>
      </c>
      <c r="D241" s="220">
        <f>IF(OR(N(Database!$I241)&lt;=0,N(Screener!$D$9)&lt;=0),0,MAX(0,1-ABS(LOG10(N(Database!$I241)/Screener!$D$9))/W_SIZEHW))</f>
        <v/>
      </c>
      <c r="E241" s="220">
        <f>IF(OR(Database!$BG241="",Screener!$D$10=""),0,IF(Database!$BG241=Screener!$D$10,1,0))</f>
        <v/>
      </c>
      <c r="F241" s="220">
        <f>IF(OR(Database!$BM241="",Screener!$D$11=""),0,IF(Database!$BM241=Screener!$D$11,1,0))</f>
        <v/>
      </c>
      <c r="G241" s="220">
        <f>IF(OR(Database!$H241="",N(Screener!$D$12)&lt;=0),0,MAX(0,1-(N(Screener!$D$12)-Database!$H241)/W_RECD))</f>
        <v/>
      </c>
      <c r="H241" s="220">
        <f>IF($U$1="",0,N(ISNUMBER(SEARCH($U$1,Database!$AC241&amp;""))))+IF($V$1="",0,N(ISNUMBER(SEARCH($V$1,Database!$AC241&amp;""))))+IF($W$1="",0,N(ISNUMBER(SEARCH($W$1,Database!$AC241&amp;""))))+IF($X$1="",0,N(ISNUMBER(SEARCH($X$1,Database!$AC241&amp;""))))+IF($Y$1="",0,N(ISNUMBER(SEARCH($Y$1,Database!$AC241&amp;""))))+IF(Screener!$B$17="",0,N(ISNUMBER(SEARCH(LOWER(Screener!$B$17),Database!$AC241&amp;""))))</f>
        <v/>
      </c>
      <c r="I241" s="220">
        <f>IF(OR(N(Database!$BH241)&lt;=0,N(Screener!$D$13)&lt;=0),0,MAX(0,1-ABS(LOG10(N(Database!$BH241)/Screener!$D$13))/W_PEHW))</f>
        <v/>
      </c>
      <c r="J241" s="220">
        <f>IF(OR(N(Database!$S241)&lt;=0,N(Screener!$D$14)&lt;=0),0,MAX(0,1-ABS(LOG10(Database!$S241/Screener!$D$14))/0.6))</f>
        <v/>
      </c>
      <c r="K241" s="220">
        <f>IF(Database!$B241=Screener!$B$5,-999999,IF(ISNUMBER(SEARCH(","&amp;Database!$A241&amp;",",","&amp;SUBSTITUTE(Screener!$D$17," ","")&amp;",")),2000000,IF(IF(OR(Screener!$B$18="All",AND(Screener!$B$18="With A-share",(Database!$BM241="Y")),AND(Screener!$B$18="Without A-share",NOT((Database!$BM241="Y")))),1,0)=0,-999999,IF(Screener!$B$16="cornerstone overlap first",H241*100000,IF(Screener!$B$16="demand-similar first",J241*100000,0))+W_SUB*B241+W_SEC*C241*(1-B241)+W_SIZE*D241+W_PROF*E241+W_AH*F241+W_REC*G241+W_CS*H241+W_PE*I241)))+ROW()/1000000</f>
        <v/>
      </c>
      <c r="AA241" s="220">
        <f>Database!B230</f>
        <v/>
      </c>
      <c r="AB241" s="220">
        <f>Database!D230</f>
        <v/>
      </c>
      <c r="AC241" s="220">
        <f>Database!E230</f>
        <v/>
      </c>
      <c r="AD241" s="220">
        <f>Database!I230</f>
        <v/>
      </c>
      <c r="AE241" s="220">
        <f>Database!BG230</f>
        <v/>
      </c>
      <c r="AF241" s="220">
        <f>Database!BM230</f>
        <v/>
      </c>
      <c r="AG241" s="220">
        <f>Database!H230</f>
        <v/>
      </c>
      <c r="AH241" s="220">
        <f>Database!BH230</f>
        <v/>
      </c>
    </row>
    <row r="242">
      <c r="A242" s="220">
        <f>Database!B242</f>
        <v/>
      </c>
      <c r="B242" s="220">
        <f>IF(AND(Screener!$D$8&lt;&gt;"",Database!$E242=Screener!$D$8),1,0)</f>
        <v/>
      </c>
      <c r="C242" s="220">
        <f>IF(AND(Screener!$D$7&lt;&gt;"",Database!$D242=Screener!$D$7),1,0)</f>
        <v/>
      </c>
      <c r="D242" s="220">
        <f>IF(OR(N(Database!$I242)&lt;=0,N(Screener!$D$9)&lt;=0),0,MAX(0,1-ABS(LOG10(N(Database!$I242)/Screener!$D$9))/W_SIZEHW))</f>
        <v/>
      </c>
      <c r="E242" s="220">
        <f>IF(OR(Database!$BG242="",Screener!$D$10=""),0,IF(Database!$BG242=Screener!$D$10,1,0))</f>
        <v/>
      </c>
      <c r="F242" s="220">
        <f>IF(OR(Database!$BM242="",Screener!$D$11=""),0,IF(Database!$BM242=Screener!$D$11,1,0))</f>
        <v/>
      </c>
      <c r="G242" s="220">
        <f>IF(OR(Database!$H242="",N(Screener!$D$12)&lt;=0),0,MAX(0,1-(N(Screener!$D$12)-Database!$H242)/W_RECD))</f>
        <v/>
      </c>
      <c r="H242" s="220">
        <f>IF($U$1="",0,N(ISNUMBER(SEARCH($U$1,Database!$AC242&amp;""))))+IF($V$1="",0,N(ISNUMBER(SEARCH($V$1,Database!$AC242&amp;""))))+IF($W$1="",0,N(ISNUMBER(SEARCH($W$1,Database!$AC242&amp;""))))+IF($X$1="",0,N(ISNUMBER(SEARCH($X$1,Database!$AC242&amp;""))))+IF($Y$1="",0,N(ISNUMBER(SEARCH($Y$1,Database!$AC242&amp;""))))+IF(Screener!$B$17="",0,N(ISNUMBER(SEARCH(LOWER(Screener!$B$17),Database!$AC242&amp;""))))</f>
        <v/>
      </c>
      <c r="I242" s="220">
        <f>IF(OR(N(Database!$BH242)&lt;=0,N(Screener!$D$13)&lt;=0),0,MAX(0,1-ABS(LOG10(N(Database!$BH242)/Screener!$D$13))/W_PEHW))</f>
        <v/>
      </c>
      <c r="J242" s="220">
        <f>IF(OR(N(Database!$S242)&lt;=0,N(Screener!$D$14)&lt;=0),0,MAX(0,1-ABS(LOG10(Database!$S242/Screener!$D$14))/0.6))</f>
        <v/>
      </c>
      <c r="K242" s="220">
        <f>IF(Database!$B242=Screener!$B$5,-999999,IF(ISNUMBER(SEARCH(","&amp;Database!$A242&amp;",",","&amp;SUBSTITUTE(Screener!$D$17," ","")&amp;",")),2000000,IF(IF(OR(Screener!$B$18="All",AND(Screener!$B$18="With A-share",(Database!$BM242="Y")),AND(Screener!$B$18="Without A-share",NOT((Database!$BM242="Y")))),1,0)=0,-999999,IF(Screener!$B$16="cornerstone overlap first",H242*100000,IF(Screener!$B$16="demand-similar first",J242*100000,0))+W_SUB*B242+W_SEC*C242*(1-B242)+W_SIZE*D242+W_PROF*E242+W_AH*F242+W_REC*G242+W_CS*H242+W_PE*I242)))+ROW()/1000000</f>
        <v/>
      </c>
      <c r="AA242" s="220">
        <f>Database!B231</f>
        <v/>
      </c>
      <c r="AB242" s="220">
        <f>Database!D231</f>
        <v/>
      </c>
      <c r="AC242" s="220">
        <f>Database!E231</f>
        <v/>
      </c>
      <c r="AD242" s="220">
        <f>Database!I231</f>
        <v/>
      </c>
      <c r="AE242" s="220">
        <f>Database!BG231</f>
        <v/>
      </c>
      <c r="AF242" s="220">
        <f>Database!BM231</f>
        <v/>
      </c>
      <c r="AG242" s="220">
        <f>Database!H231</f>
        <v/>
      </c>
      <c r="AH242" s="220">
        <f>Database!BH231</f>
        <v/>
      </c>
    </row>
    <row r="243">
      <c r="A243" s="220">
        <f>Database!B243</f>
        <v/>
      </c>
      <c r="B243" s="220">
        <f>IF(AND(Screener!$D$8&lt;&gt;"",Database!$E243=Screener!$D$8),1,0)</f>
        <v/>
      </c>
      <c r="C243" s="220">
        <f>IF(AND(Screener!$D$7&lt;&gt;"",Database!$D243=Screener!$D$7),1,0)</f>
        <v/>
      </c>
      <c r="D243" s="220">
        <f>IF(OR(N(Database!$I243)&lt;=0,N(Screener!$D$9)&lt;=0),0,MAX(0,1-ABS(LOG10(N(Database!$I243)/Screener!$D$9))/W_SIZEHW))</f>
        <v/>
      </c>
      <c r="E243" s="220">
        <f>IF(OR(Database!$BG243="",Screener!$D$10=""),0,IF(Database!$BG243=Screener!$D$10,1,0))</f>
        <v/>
      </c>
      <c r="F243" s="220">
        <f>IF(OR(Database!$BM243="",Screener!$D$11=""),0,IF(Database!$BM243=Screener!$D$11,1,0))</f>
        <v/>
      </c>
      <c r="G243" s="220">
        <f>IF(OR(Database!$H243="",N(Screener!$D$12)&lt;=0),0,MAX(0,1-(N(Screener!$D$12)-Database!$H243)/W_RECD))</f>
        <v/>
      </c>
      <c r="H243" s="220">
        <f>IF($U$1="",0,N(ISNUMBER(SEARCH($U$1,Database!$AC243&amp;""))))+IF($V$1="",0,N(ISNUMBER(SEARCH($V$1,Database!$AC243&amp;""))))+IF($W$1="",0,N(ISNUMBER(SEARCH($W$1,Database!$AC243&amp;""))))+IF($X$1="",0,N(ISNUMBER(SEARCH($X$1,Database!$AC243&amp;""))))+IF($Y$1="",0,N(ISNUMBER(SEARCH($Y$1,Database!$AC243&amp;""))))+IF(Screener!$B$17="",0,N(ISNUMBER(SEARCH(LOWER(Screener!$B$17),Database!$AC243&amp;""))))</f>
        <v/>
      </c>
      <c r="I243" s="220">
        <f>IF(OR(N(Database!$BH243)&lt;=0,N(Screener!$D$13)&lt;=0),0,MAX(0,1-ABS(LOG10(N(Database!$BH243)/Screener!$D$13))/W_PEHW))</f>
        <v/>
      </c>
      <c r="J243" s="220">
        <f>IF(OR(N(Database!$S243)&lt;=0,N(Screener!$D$14)&lt;=0),0,MAX(0,1-ABS(LOG10(Database!$S243/Screener!$D$14))/0.6))</f>
        <v/>
      </c>
      <c r="K243" s="220">
        <f>IF(Database!$B243=Screener!$B$5,-999999,IF(ISNUMBER(SEARCH(","&amp;Database!$A243&amp;",",","&amp;SUBSTITUTE(Screener!$D$17," ","")&amp;",")),2000000,IF(IF(OR(Screener!$B$18="All",AND(Screener!$B$18="With A-share",(Database!$BM243="Y")),AND(Screener!$B$18="Without A-share",NOT((Database!$BM243="Y")))),1,0)=0,-999999,IF(Screener!$B$16="cornerstone overlap first",H243*100000,IF(Screener!$B$16="demand-similar first",J243*100000,0))+W_SUB*B243+W_SEC*C243*(1-B243)+W_SIZE*D243+W_PROF*E243+W_AH*F243+W_REC*G243+W_CS*H243+W_PE*I243)))+ROW()/1000000</f>
        <v/>
      </c>
      <c r="AA243" s="220">
        <f>Database!B232</f>
        <v/>
      </c>
      <c r="AB243" s="220">
        <f>Database!D232</f>
        <v/>
      </c>
      <c r="AC243" s="220">
        <f>Database!E232</f>
        <v/>
      </c>
      <c r="AD243" s="220">
        <f>Database!I232</f>
        <v/>
      </c>
      <c r="AE243" s="220">
        <f>Database!BG232</f>
        <v/>
      </c>
      <c r="AF243" s="220">
        <f>Database!BM232</f>
        <v/>
      </c>
      <c r="AG243" s="220">
        <f>Database!H232</f>
        <v/>
      </c>
      <c r="AH243" s="220">
        <f>Database!BH232</f>
        <v/>
      </c>
    </row>
    <row r="244">
      <c r="A244" s="220">
        <f>Database!B244</f>
        <v/>
      </c>
      <c r="B244" s="220">
        <f>IF(AND(Screener!$D$8&lt;&gt;"",Database!$E244=Screener!$D$8),1,0)</f>
        <v/>
      </c>
      <c r="C244" s="220">
        <f>IF(AND(Screener!$D$7&lt;&gt;"",Database!$D244=Screener!$D$7),1,0)</f>
        <v/>
      </c>
      <c r="D244" s="220">
        <f>IF(OR(N(Database!$I244)&lt;=0,N(Screener!$D$9)&lt;=0),0,MAX(0,1-ABS(LOG10(N(Database!$I244)/Screener!$D$9))/W_SIZEHW))</f>
        <v/>
      </c>
      <c r="E244" s="220">
        <f>IF(OR(Database!$BG244="",Screener!$D$10=""),0,IF(Database!$BG244=Screener!$D$10,1,0))</f>
        <v/>
      </c>
      <c r="F244" s="220">
        <f>IF(OR(Database!$BM244="",Screener!$D$11=""),0,IF(Database!$BM244=Screener!$D$11,1,0))</f>
        <v/>
      </c>
      <c r="G244" s="220">
        <f>IF(OR(Database!$H244="",N(Screener!$D$12)&lt;=0),0,MAX(0,1-(N(Screener!$D$12)-Database!$H244)/W_RECD))</f>
        <v/>
      </c>
      <c r="H244" s="220">
        <f>IF($U$1="",0,N(ISNUMBER(SEARCH($U$1,Database!$AC244&amp;""))))+IF($V$1="",0,N(ISNUMBER(SEARCH($V$1,Database!$AC244&amp;""))))+IF($W$1="",0,N(ISNUMBER(SEARCH($W$1,Database!$AC244&amp;""))))+IF($X$1="",0,N(ISNUMBER(SEARCH($X$1,Database!$AC244&amp;""))))+IF($Y$1="",0,N(ISNUMBER(SEARCH($Y$1,Database!$AC244&amp;""))))+IF(Screener!$B$17="",0,N(ISNUMBER(SEARCH(LOWER(Screener!$B$17),Database!$AC244&amp;""))))</f>
        <v/>
      </c>
      <c r="I244" s="220">
        <f>IF(OR(N(Database!$BH244)&lt;=0,N(Screener!$D$13)&lt;=0),0,MAX(0,1-ABS(LOG10(N(Database!$BH244)/Screener!$D$13))/W_PEHW))</f>
        <v/>
      </c>
      <c r="J244" s="220">
        <f>IF(OR(N(Database!$S244)&lt;=0,N(Screener!$D$14)&lt;=0),0,MAX(0,1-ABS(LOG10(Database!$S244/Screener!$D$14))/0.6))</f>
        <v/>
      </c>
      <c r="K244" s="220">
        <f>IF(Database!$B244=Screener!$B$5,-999999,IF(ISNUMBER(SEARCH(","&amp;Database!$A244&amp;",",","&amp;SUBSTITUTE(Screener!$D$17," ","")&amp;",")),2000000,IF(IF(OR(Screener!$B$18="All",AND(Screener!$B$18="With A-share",(Database!$BM244="Y")),AND(Screener!$B$18="Without A-share",NOT((Database!$BM244="Y")))),1,0)=0,-999999,IF(Screener!$B$16="cornerstone overlap first",H244*100000,IF(Screener!$B$16="demand-similar first",J244*100000,0))+W_SUB*B244+W_SEC*C244*(1-B244)+W_SIZE*D244+W_PROF*E244+W_AH*F244+W_REC*G244+W_CS*H244+W_PE*I244)))+ROW()/1000000</f>
        <v/>
      </c>
      <c r="AA244" s="220">
        <f>Database!B233</f>
        <v/>
      </c>
      <c r="AB244" s="220">
        <f>Database!D233</f>
        <v/>
      </c>
      <c r="AC244" s="220">
        <f>Database!E233</f>
        <v/>
      </c>
      <c r="AD244" s="220">
        <f>Database!I233</f>
        <v/>
      </c>
      <c r="AE244" s="220">
        <f>Database!BG233</f>
        <v/>
      </c>
      <c r="AF244" s="220">
        <f>Database!BM233</f>
        <v/>
      </c>
      <c r="AG244" s="220">
        <f>Database!H233</f>
        <v/>
      </c>
      <c r="AH244" s="220">
        <f>Database!BH233</f>
        <v/>
      </c>
    </row>
    <row r="245">
      <c r="A245" s="220">
        <f>Database!B245</f>
        <v/>
      </c>
      <c r="B245" s="220">
        <f>IF(AND(Screener!$D$8&lt;&gt;"",Database!$E245=Screener!$D$8),1,0)</f>
        <v/>
      </c>
      <c r="C245" s="220">
        <f>IF(AND(Screener!$D$7&lt;&gt;"",Database!$D245=Screener!$D$7),1,0)</f>
        <v/>
      </c>
      <c r="D245" s="220">
        <f>IF(OR(N(Database!$I245)&lt;=0,N(Screener!$D$9)&lt;=0),0,MAX(0,1-ABS(LOG10(N(Database!$I245)/Screener!$D$9))/W_SIZEHW))</f>
        <v/>
      </c>
      <c r="E245" s="220">
        <f>IF(OR(Database!$BG245="",Screener!$D$10=""),0,IF(Database!$BG245=Screener!$D$10,1,0))</f>
        <v/>
      </c>
      <c r="F245" s="220">
        <f>IF(OR(Database!$BM245="",Screener!$D$11=""),0,IF(Database!$BM245=Screener!$D$11,1,0))</f>
        <v/>
      </c>
      <c r="G245" s="220">
        <f>IF(OR(Database!$H245="",N(Screener!$D$12)&lt;=0),0,MAX(0,1-(N(Screener!$D$12)-Database!$H245)/W_RECD))</f>
        <v/>
      </c>
      <c r="H245" s="220">
        <f>IF($U$1="",0,N(ISNUMBER(SEARCH($U$1,Database!$AC245&amp;""))))+IF($V$1="",0,N(ISNUMBER(SEARCH($V$1,Database!$AC245&amp;""))))+IF($W$1="",0,N(ISNUMBER(SEARCH($W$1,Database!$AC245&amp;""))))+IF($X$1="",0,N(ISNUMBER(SEARCH($X$1,Database!$AC245&amp;""))))+IF($Y$1="",0,N(ISNUMBER(SEARCH($Y$1,Database!$AC245&amp;""))))+IF(Screener!$B$17="",0,N(ISNUMBER(SEARCH(LOWER(Screener!$B$17),Database!$AC245&amp;""))))</f>
        <v/>
      </c>
      <c r="I245" s="220">
        <f>IF(OR(N(Database!$BH245)&lt;=0,N(Screener!$D$13)&lt;=0),0,MAX(0,1-ABS(LOG10(N(Database!$BH245)/Screener!$D$13))/W_PEHW))</f>
        <v/>
      </c>
      <c r="J245" s="220">
        <f>IF(OR(N(Database!$S245)&lt;=0,N(Screener!$D$14)&lt;=0),0,MAX(0,1-ABS(LOG10(Database!$S245/Screener!$D$14))/0.6))</f>
        <v/>
      </c>
      <c r="K245" s="220">
        <f>IF(Database!$B245=Screener!$B$5,-999999,IF(ISNUMBER(SEARCH(","&amp;Database!$A245&amp;",",","&amp;SUBSTITUTE(Screener!$D$17," ","")&amp;",")),2000000,IF(IF(OR(Screener!$B$18="All",AND(Screener!$B$18="With A-share",(Database!$BM245="Y")),AND(Screener!$B$18="Without A-share",NOT((Database!$BM245="Y")))),1,0)=0,-999999,IF(Screener!$B$16="cornerstone overlap first",H245*100000,IF(Screener!$B$16="demand-similar first",J245*100000,0))+W_SUB*B245+W_SEC*C245*(1-B245)+W_SIZE*D245+W_PROF*E245+W_AH*F245+W_REC*G245+W_CS*H245+W_PE*I245)))+ROW()/1000000</f>
        <v/>
      </c>
      <c r="AA245" s="220">
        <f>Database!B234</f>
        <v/>
      </c>
      <c r="AB245" s="220">
        <f>Database!D234</f>
        <v/>
      </c>
      <c r="AC245" s="220">
        <f>Database!E234</f>
        <v/>
      </c>
      <c r="AD245" s="220">
        <f>Database!I234</f>
        <v/>
      </c>
      <c r="AE245" s="220">
        <f>Database!BG234</f>
        <v/>
      </c>
      <c r="AF245" s="220">
        <f>Database!BM234</f>
        <v/>
      </c>
      <c r="AG245" s="220">
        <f>Database!H234</f>
        <v/>
      </c>
      <c r="AH245" s="220">
        <f>Database!BH234</f>
        <v/>
      </c>
    </row>
    <row r="246">
      <c r="A246" s="220">
        <f>Database!B246</f>
        <v/>
      </c>
      <c r="B246" s="220">
        <f>IF(AND(Screener!$D$8&lt;&gt;"",Database!$E246=Screener!$D$8),1,0)</f>
        <v/>
      </c>
      <c r="C246" s="220">
        <f>IF(AND(Screener!$D$7&lt;&gt;"",Database!$D246=Screener!$D$7),1,0)</f>
        <v/>
      </c>
      <c r="D246" s="220">
        <f>IF(OR(N(Database!$I246)&lt;=0,N(Screener!$D$9)&lt;=0),0,MAX(0,1-ABS(LOG10(N(Database!$I246)/Screener!$D$9))/W_SIZEHW))</f>
        <v/>
      </c>
      <c r="E246" s="220">
        <f>IF(OR(Database!$BG246="",Screener!$D$10=""),0,IF(Database!$BG246=Screener!$D$10,1,0))</f>
        <v/>
      </c>
      <c r="F246" s="220">
        <f>IF(OR(Database!$BM246="",Screener!$D$11=""),0,IF(Database!$BM246=Screener!$D$11,1,0))</f>
        <v/>
      </c>
      <c r="G246" s="220">
        <f>IF(OR(Database!$H246="",N(Screener!$D$12)&lt;=0),0,MAX(0,1-(N(Screener!$D$12)-Database!$H246)/W_RECD))</f>
        <v/>
      </c>
      <c r="H246" s="220">
        <f>IF($U$1="",0,N(ISNUMBER(SEARCH($U$1,Database!$AC246&amp;""))))+IF($V$1="",0,N(ISNUMBER(SEARCH($V$1,Database!$AC246&amp;""))))+IF($W$1="",0,N(ISNUMBER(SEARCH($W$1,Database!$AC246&amp;""))))+IF($X$1="",0,N(ISNUMBER(SEARCH($X$1,Database!$AC246&amp;""))))+IF($Y$1="",0,N(ISNUMBER(SEARCH($Y$1,Database!$AC246&amp;""))))+IF(Screener!$B$17="",0,N(ISNUMBER(SEARCH(LOWER(Screener!$B$17),Database!$AC246&amp;""))))</f>
        <v/>
      </c>
      <c r="I246" s="220">
        <f>IF(OR(N(Database!$BH246)&lt;=0,N(Screener!$D$13)&lt;=0),0,MAX(0,1-ABS(LOG10(N(Database!$BH246)/Screener!$D$13))/W_PEHW))</f>
        <v/>
      </c>
      <c r="J246" s="220">
        <f>IF(OR(N(Database!$S246)&lt;=0,N(Screener!$D$14)&lt;=0),0,MAX(0,1-ABS(LOG10(Database!$S246/Screener!$D$14))/0.6))</f>
        <v/>
      </c>
      <c r="K246" s="220">
        <f>IF(Database!$B246=Screener!$B$5,-999999,IF(ISNUMBER(SEARCH(","&amp;Database!$A246&amp;",",","&amp;SUBSTITUTE(Screener!$D$17," ","")&amp;",")),2000000,IF(IF(OR(Screener!$B$18="All",AND(Screener!$B$18="With A-share",(Database!$BM246="Y")),AND(Screener!$B$18="Without A-share",NOT((Database!$BM246="Y")))),1,0)=0,-999999,IF(Screener!$B$16="cornerstone overlap first",H246*100000,IF(Screener!$B$16="demand-similar first",J246*100000,0))+W_SUB*B246+W_SEC*C246*(1-B246)+W_SIZE*D246+W_PROF*E246+W_AH*F246+W_REC*G246+W_CS*H246+W_PE*I246)))+ROW()/1000000</f>
        <v/>
      </c>
      <c r="AA246" s="220">
        <f>Database!B235</f>
        <v/>
      </c>
      <c r="AB246" s="220">
        <f>Database!D235</f>
        <v/>
      </c>
      <c r="AC246" s="220">
        <f>Database!E235</f>
        <v/>
      </c>
      <c r="AD246" s="220">
        <f>Database!I235</f>
        <v/>
      </c>
      <c r="AE246" s="220">
        <f>Database!BG235</f>
        <v/>
      </c>
      <c r="AF246" s="220">
        <f>Database!BM235</f>
        <v/>
      </c>
      <c r="AG246" s="220">
        <f>Database!H235</f>
        <v/>
      </c>
      <c r="AH246" s="220">
        <f>Database!BH235</f>
        <v/>
      </c>
    </row>
    <row r="247">
      <c r="A247" s="220">
        <f>Database!B247</f>
        <v/>
      </c>
      <c r="B247" s="220">
        <f>IF(AND(Screener!$D$8&lt;&gt;"",Database!$E247=Screener!$D$8),1,0)</f>
        <v/>
      </c>
      <c r="C247" s="220">
        <f>IF(AND(Screener!$D$7&lt;&gt;"",Database!$D247=Screener!$D$7),1,0)</f>
        <v/>
      </c>
      <c r="D247" s="220">
        <f>IF(OR(N(Database!$I247)&lt;=0,N(Screener!$D$9)&lt;=0),0,MAX(0,1-ABS(LOG10(N(Database!$I247)/Screener!$D$9))/W_SIZEHW))</f>
        <v/>
      </c>
      <c r="E247" s="220">
        <f>IF(OR(Database!$BG247="",Screener!$D$10=""),0,IF(Database!$BG247=Screener!$D$10,1,0))</f>
        <v/>
      </c>
      <c r="F247" s="220">
        <f>IF(OR(Database!$BM247="",Screener!$D$11=""),0,IF(Database!$BM247=Screener!$D$11,1,0))</f>
        <v/>
      </c>
      <c r="G247" s="220">
        <f>IF(OR(Database!$H247="",N(Screener!$D$12)&lt;=0),0,MAX(0,1-(N(Screener!$D$12)-Database!$H247)/W_RECD))</f>
        <v/>
      </c>
      <c r="H247" s="220">
        <f>IF($U$1="",0,N(ISNUMBER(SEARCH($U$1,Database!$AC247&amp;""))))+IF($V$1="",0,N(ISNUMBER(SEARCH($V$1,Database!$AC247&amp;""))))+IF($W$1="",0,N(ISNUMBER(SEARCH($W$1,Database!$AC247&amp;""))))+IF($X$1="",0,N(ISNUMBER(SEARCH($X$1,Database!$AC247&amp;""))))+IF($Y$1="",0,N(ISNUMBER(SEARCH($Y$1,Database!$AC247&amp;""))))+IF(Screener!$B$17="",0,N(ISNUMBER(SEARCH(LOWER(Screener!$B$17),Database!$AC247&amp;""))))</f>
        <v/>
      </c>
      <c r="I247" s="220">
        <f>IF(OR(N(Database!$BH247)&lt;=0,N(Screener!$D$13)&lt;=0),0,MAX(0,1-ABS(LOG10(N(Database!$BH247)/Screener!$D$13))/W_PEHW))</f>
        <v/>
      </c>
      <c r="J247" s="220">
        <f>IF(OR(N(Database!$S247)&lt;=0,N(Screener!$D$14)&lt;=0),0,MAX(0,1-ABS(LOG10(Database!$S247/Screener!$D$14))/0.6))</f>
        <v/>
      </c>
      <c r="K247" s="220">
        <f>IF(Database!$B247=Screener!$B$5,-999999,IF(ISNUMBER(SEARCH(","&amp;Database!$A247&amp;",",","&amp;SUBSTITUTE(Screener!$D$17," ","")&amp;",")),2000000,IF(IF(OR(Screener!$B$18="All",AND(Screener!$B$18="With A-share",(Database!$BM247="Y")),AND(Screener!$B$18="Without A-share",NOT((Database!$BM247="Y")))),1,0)=0,-999999,IF(Screener!$B$16="cornerstone overlap first",H247*100000,IF(Screener!$B$16="demand-similar first",J247*100000,0))+W_SUB*B247+W_SEC*C247*(1-B247)+W_SIZE*D247+W_PROF*E247+W_AH*F247+W_REC*G247+W_CS*H247+W_PE*I247)))+ROW()/1000000</f>
        <v/>
      </c>
      <c r="AA247" s="220">
        <f>Database!B236</f>
        <v/>
      </c>
      <c r="AB247" s="220">
        <f>Database!D236</f>
        <v/>
      </c>
      <c r="AC247" s="220">
        <f>Database!E236</f>
        <v/>
      </c>
      <c r="AD247" s="220">
        <f>Database!I236</f>
        <v/>
      </c>
      <c r="AE247" s="220">
        <f>Database!BG236</f>
        <v/>
      </c>
      <c r="AF247" s="220">
        <f>Database!BM236</f>
        <v/>
      </c>
      <c r="AG247" s="220">
        <f>Database!H236</f>
        <v/>
      </c>
      <c r="AH247" s="220">
        <f>Database!BH236</f>
        <v/>
      </c>
    </row>
    <row r="248">
      <c r="A248" s="220">
        <f>Database!B248</f>
        <v/>
      </c>
      <c r="B248" s="220">
        <f>IF(AND(Screener!$D$8&lt;&gt;"",Database!$E248=Screener!$D$8),1,0)</f>
        <v/>
      </c>
      <c r="C248" s="220">
        <f>IF(AND(Screener!$D$7&lt;&gt;"",Database!$D248=Screener!$D$7),1,0)</f>
        <v/>
      </c>
      <c r="D248" s="220">
        <f>IF(OR(N(Database!$I248)&lt;=0,N(Screener!$D$9)&lt;=0),0,MAX(0,1-ABS(LOG10(N(Database!$I248)/Screener!$D$9))/W_SIZEHW))</f>
        <v/>
      </c>
      <c r="E248" s="220">
        <f>IF(OR(Database!$BG248="",Screener!$D$10=""),0,IF(Database!$BG248=Screener!$D$10,1,0))</f>
        <v/>
      </c>
      <c r="F248" s="220">
        <f>IF(OR(Database!$BM248="",Screener!$D$11=""),0,IF(Database!$BM248=Screener!$D$11,1,0))</f>
        <v/>
      </c>
      <c r="G248" s="220">
        <f>IF(OR(Database!$H248="",N(Screener!$D$12)&lt;=0),0,MAX(0,1-(N(Screener!$D$12)-Database!$H248)/W_RECD))</f>
        <v/>
      </c>
      <c r="H248" s="220">
        <f>IF($U$1="",0,N(ISNUMBER(SEARCH($U$1,Database!$AC248&amp;""))))+IF($V$1="",0,N(ISNUMBER(SEARCH($V$1,Database!$AC248&amp;""))))+IF($W$1="",0,N(ISNUMBER(SEARCH($W$1,Database!$AC248&amp;""))))+IF($X$1="",0,N(ISNUMBER(SEARCH($X$1,Database!$AC248&amp;""))))+IF($Y$1="",0,N(ISNUMBER(SEARCH($Y$1,Database!$AC248&amp;""))))+IF(Screener!$B$17="",0,N(ISNUMBER(SEARCH(LOWER(Screener!$B$17),Database!$AC248&amp;""))))</f>
        <v/>
      </c>
      <c r="I248" s="220">
        <f>IF(OR(N(Database!$BH248)&lt;=0,N(Screener!$D$13)&lt;=0),0,MAX(0,1-ABS(LOG10(N(Database!$BH248)/Screener!$D$13))/W_PEHW))</f>
        <v/>
      </c>
      <c r="J248" s="220">
        <f>IF(OR(N(Database!$S248)&lt;=0,N(Screener!$D$14)&lt;=0),0,MAX(0,1-ABS(LOG10(Database!$S248/Screener!$D$14))/0.6))</f>
        <v/>
      </c>
      <c r="K248" s="220">
        <f>IF(Database!$B248=Screener!$B$5,-999999,IF(ISNUMBER(SEARCH(","&amp;Database!$A248&amp;",",","&amp;SUBSTITUTE(Screener!$D$17," ","")&amp;",")),2000000,IF(IF(OR(Screener!$B$18="All",AND(Screener!$B$18="With A-share",(Database!$BM248="Y")),AND(Screener!$B$18="Without A-share",NOT((Database!$BM248="Y")))),1,0)=0,-999999,IF(Screener!$B$16="cornerstone overlap first",H248*100000,IF(Screener!$B$16="demand-similar first",J248*100000,0))+W_SUB*B248+W_SEC*C248*(1-B248)+W_SIZE*D248+W_PROF*E248+W_AH*F248+W_REC*G248+W_CS*H248+W_PE*I248)))+ROW()/1000000</f>
        <v/>
      </c>
      <c r="AA248" s="220">
        <f>Database!B237</f>
        <v/>
      </c>
      <c r="AB248" s="220">
        <f>Database!D237</f>
        <v/>
      </c>
      <c r="AC248" s="220">
        <f>Database!E237</f>
        <v/>
      </c>
      <c r="AD248" s="220">
        <f>Database!I237</f>
        <v/>
      </c>
      <c r="AE248" s="220">
        <f>Database!BG237</f>
        <v/>
      </c>
      <c r="AF248" s="220">
        <f>Database!BM237</f>
        <v/>
      </c>
      <c r="AG248" s="220">
        <f>Database!H237</f>
        <v/>
      </c>
      <c r="AH248" s="220">
        <f>Database!BH237</f>
        <v/>
      </c>
    </row>
    <row r="249">
      <c r="A249" s="220">
        <f>Database!B249</f>
        <v/>
      </c>
      <c r="B249" s="220">
        <f>IF(AND(Screener!$D$8&lt;&gt;"",Database!$E249=Screener!$D$8),1,0)</f>
        <v/>
      </c>
      <c r="C249" s="220">
        <f>IF(AND(Screener!$D$7&lt;&gt;"",Database!$D249=Screener!$D$7),1,0)</f>
        <v/>
      </c>
      <c r="D249" s="220">
        <f>IF(OR(N(Database!$I249)&lt;=0,N(Screener!$D$9)&lt;=0),0,MAX(0,1-ABS(LOG10(N(Database!$I249)/Screener!$D$9))/W_SIZEHW))</f>
        <v/>
      </c>
      <c r="E249" s="220">
        <f>IF(OR(Database!$BG249="",Screener!$D$10=""),0,IF(Database!$BG249=Screener!$D$10,1,0))</f>
        <v/>
      </c>
      <c r="F249" s="220">
        <f>IF(OR(Database!$BM249="",Screener!$D$11=""),0,IF(Database!$BM249=Screener!$D$11,1,0))</f>
        <v/>
      </c>
      <c r="G249" s="220">
        <f>IF(OR(Database!$H249="",N(Screener!$D$12)&lt;=0),0,MAX(0,1-(N(Screener!$D$12)-Database!$H249)/W_RECD))</f>
        <v/>
      </c>
      <c r="H249" s="220">
        <f>IF($U$1="",0,N(ISNUMBER(SEARCH($U$1,Database!$AC249&amp;""))))+IF($V$1="",0,N(ISNUMBER(SEARCH($V$1,Database!$AC249&amp;""))))+IF($W$1="",0,N(ISNUMBER(SEARCH($W$1,Database!$AC249&amp;""))))+IF($X$1="",0,N(ISNUMBER(SEARCH($X$1,Database!$AC249&amp;""))))+IF($Y$1="",0,N(ISNUMBER(SEARCH($Y$1,Database!$AC249&amp;""))))+IF(Screener!$B$17="",0,N(ISNUMBER(SEARCH(LOWER(Screener!$B$17),Database!$AC249&amp;""))))</f>
        <v/>
      </c>
      <c r="I249" s="220">
        <f>IF(OR(N(Database!$BH249)&lt;=0,N(Screener!$D$13)&lt;=0),0,MAX(0,1-ABS(LOG10(N(Database!$BH249)/Screener!$D$13))/W_PEHW))</f>
        <v/>
      </c>
      <c r="J249" s="220">
        <f>IF(OR(N(Database!$S249)&lt;=0,N(Screener!$D$14)&lt;=0),0,MAX(0,1-ABS(LOG10(Database!$S249/Screener!$D$14))/0.6))</f>
        <v/>
      </c>
      <c r="K249" s="220">
        <f>IF(Database!$B249=Screener!$B$5,-999999,IF(ISNUMBER(SEARCH(","&amp;Database!$A249&amp;",",","&amp;SUBSTITUTE(Screener!$D$17," ","")&amp;",")),2000000,IF(IF(OR(Screener!$B$18="All",AND(Screener!$B$18="With A-share",(Database!$BM249="Y")),AND(Screener!$B$18="Without A-share",NOT((Database!$BM249="Y")))),1,0)=0,-999999,IF(Screener!$B$16="cornerstone overlap first",H249*100000,IF(Screener!$B$16="demand-similar first",J249*100000,0))+W_SUB*B249+W_SEC*C249*(1-B249)+W_SIZE*D249+W_PROF*E249+W_AH*F249+W_REC*G249+W_CS*H249+W_PE*I249)))+ROW()/1000000</f>
        <v/>
      </c>
      <c r="AA249" s="220">
        <f>Database!B238</f>
        <v/>
      </c>
      <c r="AB249" s="220">
        <f>Database!D238</f>
        <v/>
      </c>
      <c r="AC249" s="220">
        <f>Database!E238</f>
        <v/>
      </c>
      <c r="AD249" s="220">
        <f>Database!I238</f>
        <v/>
      </c>
      <c r="AE249" s="220">
        <f>Database!BG238</f>
        <v/>
      </c>
      <c r="AF249" s="220">
        <f>Database!BM238</f>
        <v/>
      </c>
      <c r="AG249" s="220">
        <f>Database!H238</f>
        <v/>
      </c>
      <c r="AH249" s="220">
        <f>Database!BH238</f>
        <v/>
      </c>
    </row>
    <row r="250">
      <c r="A250" s="220">
        <f>Database!B250</f>
        <v/>
      </c>
      <c r="B250" s="220">
        <f>IF(AND(Screener!$D$8&lt;&gt;"",Database!$E250=Screener!$D$8),1,0)</f>
        <v/>
      </c>
      <c r="C250" s="220">
        <f>IF(AND(Screener!$D$7&lt;&gt;"",Database!$D250=Screener!$D$7),1,0)</f>
        <v/>
      </c>
      <c r="D250" s="220">
        <f>IF(OR(N(Database!$I250)&lt;=0,N(Screener!$D$9)&lt;=0),0,MAX(0,1-ABS(LOG10(N(Database!$I250)/Screener!$D$9))/W_SIZEHW))</f>
        <v/>
      </c>
      <c r="E250" s="220">
        <f>IF(OR(Database!$BG250="",Screener!$D$10=""),0,IF(Database!$BG250=Screener!$D$10,1,0))</f>
        <v/>
      </c>
      <c r="F250" s="220">
        <f>IF(OR(Database!$BM250="",Screener!$D$11=""),0,IF(Database!$BM250=Screener!$D$11,1,0))</f>
        <v/>
      </c>
      <c r="G250" s="220">
        <f>IF(OR(Database!$H250="",N(Screener!$D$12)&lt;=0),0,MAX(0,1-(N(Screener!$D$12)-Database!$H250)/W_RECD))</f>
        <v/>
      </c>
      <c r="H250" s="220">
        <f>IF($U$1="",0,N(ISNUMBER(SEARCH($U$1,Database!$AC250&amp;""))))+IF($V$1="",0,N(ISNUMBER(SEARCH($V$1,Database!$AC250&amp;""))))+IF($W$1="",0,N(ISNUMBER(SEARCH($W$1,Database!$AC250&amp;""))))+IF($X$1="",0,N(ISNUMBER(SEARCH($X$1,Database!$AC250&amp;""))))+IF($Y$1="",0,N(ISNUMBER(SEARCH($Y$1,Database!$AC250&amp;""))))+IF(Screener!$B$17="",0,N(ISNUMBER(SEARCH(LOWER(Screener!$B$17),Database!$AC250&amp;""))))</f>
        <v/>
      </c>
      <c r="I250" s="220">
        <f>IF(OR(N(Database!$BH250)&lt;=0,N(Screener!$D$13)&lt;=0),0,MAX(0,1-ABS(LOG10(N(Database!$BH250)/Screener!$D$13))/W_PEHW))</f>
        <v/>
      </c>
      <c r="J250" s="220">
        <f>IF(OR(N(Database!$S250)&lt;=0,N(Screener!$D$14)&lt;=0),0,MAX(0,1-ABS(LOG10(Database!$S250/Screener!$D$14))/0.6))</f>
        <v/>
      </c>
      <c r="K250" s="220">
        <f>IF(Database!$B250=Screener!$B$5,-999999,IF(ISNUMBER(SEARCH(","&amp;Database!$A250&amp;",",","&amp;SUBSTITUTE(Screener!$D$17," ","")&amp;",")),2000000,IF(IF(OR(Screener!$B$18="All",AND(Screener!$B$18="With A-share",(Database!$BM250="Y")),AND(Screener!$B$18="Without A-share",NOT((Database!$BM250="Y")))),1,0)=0,-999999,IF(Screener!$B$16="cornerstone overlap first",H250*100000,IF(Screener!$B$16="demand-similar first",J250*100000,0))+W_SUB*B250+W_SEC*C250*(1-B250)+W_SIZE*D250+W_PROF*E250+W_AH*F250+W_REC*G250+W_CS*H250+W_PE*I250)))+ROW()/1000000</f>
        <v/>
      </c>
      <c r="AA250" s="220">
        <f>Database!B239</f>
        <v/>
      </c>
      <c r="AB250" s="220">
        <f>Database!D239</f>
        <v/>
      </c>
      <c r="AC250" s="220">
        <f>Database!E239</f>
        <v/>
      </c>
      <c r="AD250" s="220">
        <f>Database!I239</f>
        <v/>
      </c>
      <c r="AE250" s="220">
        <f>Database!BG239</f>
        <v/>
      </c>
      <c r="AF250" s="220">
        <f>Database!BM239</f>
        <v/>
      </c>
      <c r="AG250" s="220">
        <f>Database!H239</f>
        <v/>
      </c>
      <c r="AH250" s="220">
        <f>Database!BH239</f>
        <v/>
      </c>
    </row>
    <row r="251">
      <c r="A251" s="220">
        <f>Database!B251</f>
        <v/>
      </c>
      <c r="B251" s="220">
        <f>IF(AND(Screener!$D$8&lt;&gt;"",Database!$E251=Screener!$D$8),1,0)</f>
        <v/>
      </c>
      <c r="C251" s="220">
        <f>IF(AND(Screener!$D$7&lt;&gt;"",Database!$D251=Screener!$D$7),1,0)</f>
        <v/>
      </c>
      <c r="D251" s="220">
        <f>IF(OR(N(Database!$I251)&lt;=0,N(Screener!$D$9)&lt;=0),0,MAX(0,1-ABS(LOG10(N(Database!$I251)/Screener!$D$9))/W_SIZEHW))</f>
        <v/>
      </c>
      <c r="E251" s="220">
        <f>IF(OR(Database!$BG251="",Screener!$D$10=""),0,IF(Database!$BG251=Screener!$D$10,1,0))</f>
        <v/>
      </c>
      <c r="F251" s="220">
        <f>IF(OR(Database!$BM251="",Screener!$D$11=""),0,IF(Database!$BM251=Screener!$D$11,1,0))</f>
        <v/>
      </c>
      <c r="G251" s="220">
        <f>IF(OR(Database!$H251="",N(Screener!$D$12)&lt;=0),0,MAX(0,1-(N(Screener!$D$12)-Database!$H251)/W_RECD))</f>
        <v/>
      </c>
      <c r="H251" s="220">
        <f>IF($U$1="",0,N(ISNUMBER(SEARCH($U$1,Database!$AC251&amp;""))))+IF($V$1="",0,N(ISNUMBER(SEARCH($V$1,Database!$AC251&amp;""))))+IF($W$1="",0,N(ISNUMBER(SEARCH($W$1,Database!$AC251&amp;""))))+IF($X$1="",0,N(ISNUMBER(SEARCH($X$1,Database!$AC251&amp;""))))+IF($Y$1="",0,N(ISNUMBER(SEARCH($Y$1,Database!$AC251&amp;""))))+IF(Screener!$B$17="",0,N(ISNUMBER(SEARCH(LOWER(Screener!$B$17),Database!$AC251&amp;""))))</f>
        <v/>
      </c>
      <c r="I251" s="220">
        <f>IF(OR(N(Database!$BH251)&lt;=0,N(Screener!$D$13)&lt;=0),0,MAX(0,1-ABS(LOG10(N(Database!$BH251)/Screener!$D$13))/W_PEHW))</f>
        <v/>
      </c>
      <c r="J251" s="220">
        <f>IF(OR(N(Database!$S251)&lt;=0,N(Screener!$D$14)&lt;=0),0,MAX(0,1-ABS(LOG10(Database!$S251/Screener!$D$14))/0.6))</f>
        <v/>
      </c>
      <c r="K251" s="220">
        <f>IF(Database!$B251=Screener!$B$5,-999999,IF(ISNUMBER(SEARCH(","&amp;Database!$A251&amp;",",","&amp;SUBSTITUTE(Screener!$D$17," ","")&amp;",")),2000000,IF(IF(OR(Screener!$B$18="All",AND(Screener!$B$18="With A-share",(Database!$BM251="Y")),AND(Screener!$B$18="Without A-share",NOT((Database!$BM251="Y")))),1,0)=0,-999999,IF(Screener!$B$16="cornerstone overlap first",H251*100000,IF(Screener!$B$16="demand-similar first",J251*100000,0))+W_SUB*B251+W_SEC*C251*(1-B251)+W_SIZE*D251+W_PROF*E251+W_AH*F251+W_REC*G251+W_CS*H251+W_PE*I251)))+ROW()/1000000</f>
        <v/>
      </c>
      <c r="AA251" s="220">
        <f>Database!B240</f>
        <v/>
      </c>
      <c r="AB251" s="220">
        <f>Database!D240</f>
        <v/>
      </c>
      <c r="AC251" s="220">
        <f>Database!E240</f>
        <v/>
      </c>
      <c r="AD251" s="220">
        <f>Database!I240</f>
        <v/>
      </c>
      <c r="AE251" s="220">
        <f>Database!BG240</f>
        <v/>
      </c>
      <c r="AF251" s="220">
        <f>Database!BM240</f>
        <v/>
      </c>
      <c r="AG251" s="220">
        <f>Database!H240</f>
        <v/>
      </c>
      <c r="AH251" s="220">
        <f>Database!BH240</f>
        <v/>
      </c>
    </row>
    <row r="252">
      <c r="A252" s="220">
        <f>Database!B252</f>
        <v/>
      </c>
      <c r="B252" s="220">
        <f>IF(AND(Screener!$D$8&lt;&gt;"",Database!$E252=Screener!$D$8),1,0)</f>
        <v/>
      </c>
      <c r="C252" s="220">
        <f>IF(AND(Screener!$D$7&lt;&gt;"",Database!$D252=Screener!$D$7),1,0)</f>
        <v/>
      </c>
      <c r="D252" s="220">
        <f>IF(OR(N(Database!$I252)&lt;=0,N(Screener!$D$9)&lt;=0),0,MAX(0,1-ABS(LOG10(N(Database!$I252)/Screener!$D$9))/W_SIZEHW))</f>
        <v/>
      </c>
      <c r="E252" s="220">
        <f>IF(OR(Database!$BG252="",Screener!$D$10=""),0,IF(Database!$BG252=Screener!$D$10,1,0))</f>
        <v/>
      </c>
      <c r="F252" s="220">
        <f>IF(OR(Database!$BM252="",Screener!$D$11=""),0,IF(Database!$BM252=Screener!$D$11,1,0))</f>
        <v/>
      </c>
      <c r="G252" s="220">
        <f>IF(OR(Database!$H252="",N(Screener!$D$12)&lt;=0),0,MAX(0,1-(N(Screener!$D$12)-Database!$H252)/W_RECD))</f>
        <v/>
      </c>
      <c r="H252" s="220">
        <f>IF($U$1="",0,N(ISNUMBER(SEARCH($U$1,Database!$AC252&amp;""))))+IF($V$1="",0,N(ISNUMBER(SEARCH($V$1,Database!$AC252&amp;""))))+IF($W$1="",0,N(ISNUMBER(SEARCH($W$1,Database!$AC252&amp;""))))+IF($X$1="",0,N(ISNUMBER(SEARCH($X$1,Database!$AC252&amp;""))))+IF($Y$1="",0,N(ISNUMBER(SEARCH($Y$1,Database!$AC252&amp;""))))+IF(Screener!$B$17="",0,N(ISNUMBER(SEARCH(LOWER(Screener!$B$17),Database!$AC252&amp;""))))</f>
        <v/>
      </c>
      <c r="I252" s="220">
        <f>IF(OR(N(Database!$BH252)&lt;=0,N(Screener!$D$13)&lt;=0),0,MAX(0,1-ABS(LOG10(N(Database!$BH252)/Screener!$D$13))/W_PEHW))</f>
        <v/>
      </c>
      <c r="J252" s="220">
        <f>IF(OR(N(Database!$S252)&lt;=0,N(Screener!$D$14)&lt;=0),0,MAX(0,1-ABS(LOG10(Database!$S252/Screener!$D$14))/0.6))</f>
        <v/>
      </c>
      <c r="K252" s="220">
        <f>IF(Database!$B252=Screener!$B$5,-999999,IF(ISNUMBER(SEARCH(","&amp;Database!$A252&amp;",",","&amp;SUBSTITUTE(Screener!$D$17," ","")&amp;",")),2000000,IF(IF(OR(Screener!$B$18="All",AND(Screener!$B$18="With A-share",(Database!$BM252="Y")),AND(Screener!$B$18="Without A-share",NOT((Database!$BM252="Y")))),1,0)=0,-999999,IF(Screener!$B$16="cornerstone overlap first",H252*100000,IF(Screener!$B$16="demand-similar first",J252*100000,0))+W_SUB*B252+W_SEC*C252*(1-B252)+W_SIZE*D252+W_PROF*E252+W_AH*F252+W_REC*G252+W_CS*H252+W_PE*I252)))+ROW()/1000000</f>
        <v/>
      </c>
      <c r="AA252" s="220">
        <f>Database!B241</f>
        <v/>
      </c>
      <c r="AB252" s="220">
        <f>Database!D241</f>
        <v/>
      </c>
      <c r="AC252" s="220">
        <f>Database!E241</f>
        <v/>
      </c>
      <c r="AD252" s="220">
        <f>Database!I241</f>
        <v/>
      </c>
      <c r="AE252" s="220">
        <f>Database!BG241</f>
        <v/>
      </c>
      <c r="AF252" s="220">
        <f>Database!BM241</f>
        <v/>
      </c>
      <c r="AG252" s="220">
        <f>Database!H241</f>
        <v/>
      </c>
      <c r="AH252" s="220">
        <f>Database!BH241</f>
        <v/>
      </c>
    </row>
    <row r="253">
      <c r="A253" s="220">
        <f>Database!B253</f>
        <v/>
      </c>
      <c r="B253" s="220">
        <f>IF(AND(Screener!$D$8&lt;&gt;"",Database!$E253=Screener!$D$8),1,0)</f>
        <v/>
      </c>
      <c r="C253" s="220">
        <f>IF(AND(Screener!$D$7&lt;&gt;"",Database!$D253=Screener!$D$7),1,0)</f>
        <v/>
      </c>
      <c r="D253" s="220">
        <f>IF(OR(N(Database!$I253)&lt;=0,N(Screener!$D$9)&lt;=0),0,MAX(0,1-ABS(LOG10(N(Database!$I253)/Screener!$D$9))/W_SIZEHW))</f>
        <v/>
      </c>
      <c r="E253" s="220">
        <f>IF(OR(Database!$BG253="",Screener!$D$10=""),0,IF(Database!$BG253=Screener!$D$10,1,0))</f>
        <v/>
      </c>
      <c r="F253" s="220">
        <f>IF(OR(Database!$BM253="",Screener!$D$11=""),0,IF(Database!$BM253=Screener!$D$11,1,0))</f>
        <v/>
      </c>
      <c r="G253" s="220">
        <f>IF(OR(Database!$H253="",N(Screener!$D$12)&lt;=0),0,MAX(0,1-(N(Screener!$D$12)-Database!$H253)/W_RECD))</f>
        <v/>
      </c>
      <c r="H253" s="220">
        <f>IF($U$1="",0,N(ISNUMBER(SEARCH($U$1,Database!$AC253&amp;""))))+IF($V$1="",0,N(ISNUMBER(SEARCH($V$1,Database!$AC253&amp;""))))+IF($W$1="",0,N(ISNUMBER(SEARCH($W$1,Database!$AC253&amp;""))))+IF($X$1="",0,N(ISNUMBER(SEARCH($X$1,Database!$AC253&amp;""))))+IF($Y$1="",0,N(ISNUMBER(SEARCH($Y$1,Database!$AC253&amp;""))))+IF(Screener!$B$17="",0,N(ISNUMBER(SEARCH(LOWER(Screener!$B$17),Database!$AC253&amp;""))))</f>
        <v/>
      </c>
      <c r="I253" s="220">
        <f>IF(OR(N(Database!$BH253)&lt;=0,N(Screener!$D$13)&lt;=0),0,MAX(0,1-ABS(LOG10(N(Database!$BH253)/Screener!$D$13))/W_PEHW))</f>
        <v/>
      </c>
      <c r="J253" s="220">
        <f>IF(OR(N(Database!$S253)&lt;=0,N(Screener!$D$14)&lt;=0),0,MAX(0,1-ABS(LOG10(Database!$S253/Screener!$D$14))/0.6))</f>
        <v/>
      </c>
      <c r="K253" s="220">
        <f>IF(Database!$B253=Screener!$B$5,-999999,IF(ISNUMBER(SEARCH(","&amp;Database!$A253&amp;",",","&amp;SUBSTITUTE(Screener!$D$17," ","")&amp;",")),2000000,IF(IF(OR(Screener!$B$18="All",AND(Screener!$B$18="With A-share",(Database!$BM253="Y")),AND(Screener!$B$18="Without A-share",NOT((Database!$BM253="Y")))),1,0)=0,-999999,IF(Screener!$B$16="cornerstone overlap first",H253*100000,IF(Screener!$B$16="demand-similar first",J253*100000,0))+W_SUB*B253+W_SEC*C253*(1-B253)+W_SIZE*D253+W_PROF*E253+W_AH*F253+W_REC*G253+W_CS*H253+W_PE*I253)))+ROW()/1000000</f>
        <v/>
      </c>
      <c r="AA253" s="220">
        <f>Database!B242</f>
        <v/>
      </c>
      <c r="AB253" s="220">
        <f>Database!D242</f>
        <v/>
      </c>
      <c r="AC253" s="220">
        <f>Database!E242</f>
        <v/>
      </c>
      <c r="AD253" s="220">
        <f>Database!I242</f>
        <v/>
      </c>
      <c r="AE253" s="220">
        <f>Database!BG242</f>
        <v/>
      </c>
      <c r="AF253" s="220">
        <f>Database!BM242</f>
        <v/>
      </c>
      <c r="AG253" s="220">
        <f>Database!H242</f>
        <v/>
      </c>
      <c r="AH253" s="220">
        <f>Database!BH242</f>
        <v/>
      </c>
    </row>
    <row r="254">
      <c r="A254" s="220">
        <f>Database!B254</f>
        <v/>
      </c>
      <c r="B254" s="220">
        <f>IF(AND(Screener!$D$8&lt;&gt;"",Database!$E254=Screener!$D$8),1,0)</f>
        <v/>
      </c>
      <c r="C254" s="220">
        <f>IF(AND(Screener!$D$7&lt;&gt;"",Database!$D254=Screener!$D$7),1,0)</f>
        <v/>
      </c>
      <c r="D254" s="220">
        <f>IF(OR(N(Database!$I254)&lt;=0,N(Screener!$D$9)&lt;=0),0,MAX(0,1-ABS(LOG10(N(Database!$I254)/Screener!$D$9))/W_SIZEHW))</f>
        <v/>
      </c>
      <c r="E254" s="220">
        <f>IF(OR(Database!$BG254="",Screener!$D$10=""),0,IF(Database!$BG254=Screener!$D$10,1,0))</f>
        <v/>
      </c>
      <c r="F254" s="220">
        <f>IF(OR(Database!$BM254="",Screener!$D$11=""),0,IF(Database!$BM254=Screener!$D$11,1,0))</f>
        <v/>
      </c>
      <c r="G254" s="220">
        <f>IF(OR(Database!$H254="",N(Screener!$D$12)&lt;=0),0,MAX(0,1-(N(Screener!$D$12)-Database!$H254)/W_RECD))</f>
        <v/>
      </c>
      <c r="H254" s="220">
        <f>IF($U$1="",0,N(ISNUMBER(SEARCH($U$1,Database!$AC254&amp;""))))+IF($V$1="",0,N(ISNUMBER(SEARCH($V$1,Database!$AC254&amp;""))))+IF($W$1="",0,N(ISNUMBER(SEARCH($W$1,Database!$AC254&amp;""))))+IF($X$1="",0,N(ISNUMBER(SEARCH($X$1,Database!$AC254&amp;""))))+IF($Y$1="",0,N(ISNUMBER(SEARCH($Y$1,Database!$AC254&amp;""))))+IF(Screener!$B$17="",0,N(ISNUMBER(SEARCH(LOWER(Screener!$B$17),Database!$AC254&amp;""))))</f>
        <v/>
      </c>
      <c r="I254" s="220">
        <f>IF(OR(N(Database!$BH254)&lt;=0,N(Screener!$D$13)&lt;=0),0,MAX(0,1-ABS(LOG10(N(Database!$BH254)/Screener!$D$13))/W_PEHW))</f>
        <v/>
      </c>
      <c r="J254" s="220">
        <f>IF(OR(N(Database!$S254)&lt;=0,N(Screener!$D$14)&lt;=0),0,MAX(0,1-ABS(LOG10(Database!$S254/Screener!$D$14))/0.6))</f>
        <v/>
      </c>
      <c r="K254" s="220">
        <f>IF(Database!$B254=Screener!$B$5,-999999,IF(ISNUMBER(SEARCH(","&amp;Database!$A254&amp;",",","&amp;SUBSTITUTE(Screener!$D$17," ","")&amp;",")),2000000,IF(IF(OR(Screener!$B$18="All",AND(Screener!$B$18="With A-share",(Database!$BM254="Y")),AND(Screener!$B$18="Without A-share",NOT((Database!$BM254="Y")))),1,0)=0,-999999,IF(Screener!$B$16="cornerstone overlap first",H254*100000,IF(Screener!$B$16="demand-similar first",J254*100000,0))+W_SUB*B254+W_SEC*C254*(1-B254)+W_SIZE*D254+W_PROF*E254+W_AH*F254+W_REC*G254+W_CS*H254+W_PE*I254)))+ROW()/1000000</f>
        <v/>
      </c>
      <c r="AA254" s="220">
        <f>Database!B243</f>
        <v/>
      </c>
      <c r="AB254" s="220">
        <f>Database!D243</f>
        <v/>
      </c>
      <c r="AC254" s="220">
        <f>Database!E243</f>
        <v/>
      </c>
      <c r="AD254" s="220">
        <f>Database!I243</f>
        <v/>
      </c>
      <c r="AE254" s="220">
        <f>Database!BG243</f>
        <v/>
      </c>
      <c r="AF254" s="220">
        <f>Database!BM243</f>
        <v/>
      </c>
      <c r="AG254" s="220">
        <f>Database!H243</f>
        <v/>
      </c>
      <c r="AH254" s="220">
        <f>Database!BH243</f>
        <v/>
      </c>
    </row>
    <row r="255">
      <c r="A255" s="220">
        <f>Database!B255</f>
        <v/>
      </c>
      <c r="B255" s="220">
        <f>IF(AND(Screener!$D$8&lt;&gt;"",Database!$E255=Screener!$D$8),1,0)</f>
        <v/>
      </c>
      <c r="C255" s="220">
        <f>IF(AND(Screener!$D$7&lt;&gt;"",Database!$D255=Screener!$D$7),1,0)</f>
        <v/>
      </c>
      <c r="D255" s="220">
        <f>IF(OR(N(Database!$I255)&lt;=0,N(Screener!$D$9)&lt;=0),0,MAX(0,1-ABS(LOG10(N(Database!$I255)/Screener!$D$9))/W_SIZEHW))</f>
        <v/>
      </c>
      <c r="E255" s="220">
        <f>IF(OR(Database!$BG255="",Screener!$D$10=""),0,IF(Database!$BG255=Screener!$D$10,1,0))</f>
        <v/>
      </c>
      <c r="F255" s="220">
        <f>IF(OR(Database!$BM255="",Screener!$D$11=""),0,IF(Database!$BM255=Screener!$D$11,1,0))</f>
        <v/>
      </c>
      <c r="G255" s="220">
        <f>IF(OR(Database!$H255="",N(Screener!$D$12)&lt;=0),0,MAX(0,1-(N(Screener!$D$12)-Database!$H255)/W_RECD))</f>
        <v/>
      </c>
      <c r="H255" s="220">
        <f>IF($U$1="",0,N(ISNUMBER(SEARCH($U$1,Database!$AC255&amp;""))))+IF($V$1="",0,N(ISNUMBER(SEARCH($V$1,Database!$AC255&amp;""))))+IF($W$1="",0,N(ISNUMBER(SEARCH($W$1,Database!$AC255&amp;""))))+IF($X$1="",0,N(ISNUMBER(SEARCH($X$1,Database!$AC255&amp;""))))+IF($Y$1="",0,N(ISNUMBER(SEARCH($Y$1,Database!$AC255&amp;""))))+IF(Screener!$B$17="",0,N(ISNUMBER(SEARCH(LOWER(Screener!$B$17),Database!$AC255&amp;""))))</f>
        <v/>
      </c>
      <c r="I255" s="220">
        <f>IF(OR(N(Database!$BH255)&lt;=0,N(Screener!$D$13)&lt;=0),0,MAX(0,1-ABS(LOG10(N(Database!$BH255)/Screener!$D$13))/W_PEHW))</f>
        <v/>
      </c>
      <c r="J255" s="220">
        <f>IF(OR(N(Database!$S255)&lt;=0,N(Screener!$D$14)&lt;=0),0,MAX(0,1-ABS(LOG10(Database!$S255/Screener!$D$14))/0.6))</f>
        <v/>
      </c>
      <c r="K255" s="220">
        <f>IF(Database!$B255=Screener!$B$5,-999999,IF(ISNUMBER(SEARCH(","&amp;Database!$A255&amp;",",","&amp;SUBSTITUTE(Screener!$D$17," ","")&amp;",")),2000000,IF(IF(OR(Screener!$B$18="All",AND(Screener!$B$18="With A-share",(Database!$BM255="Y")),AND(Screener!$B$18="Without A-share",NOT((Database!$BM255="Y")))),1,0)=0,-999999,IF(Screener!$B$16="cornerstone overlap first",H255*100000,IF(Screener!$B$16="demand-similar first",J255*100000,0))+W_SUB*B255+W_SEC*C255*(1-B255)+W_SIZE*D255+W_PROF*E255+W_AH*F255+W_REC*G255+W_CS*H255+W_PE*I255)))+ROW()/1000000</f>
        <v/>
      </c>
      <c r="AA255" s="220">
        <f>Database!B244</f>
        <v/>
      </c>
      <c r="AB255" s="220">
        <f>Database!D244</f>
        <v/>
      </c>
      <c r="AC255" s="220">
        <f>Database!E244</f>
        <v/>
      </c>
      <c r="AD255" s="220">
        <f>Database!I244</f>
        <v/>
      </c>
      <c r="AE255" s="220">
        <f>Database!BG244</f>
        <v/>
      </c>
      <c r="AF255" s="220">
        <f>Database!BM244</f>
        <v/>
      </c>
      <c r="AG255" s="220">
        <f>Database!H244</f>
        <v/>
      </c>
      <c r="AH255" s="220">
        <f>Database!BH244</f>
        <v/>
      </c>
    </row>
    <row r="256">
      <c r="A256" s="220">
        <f>Database!B256</f>
        <v/>
      </c>
      <c r="B256" s="220">
        <f>IF(AND(Screener!$D$8&lt;&gt;"",Database!$E256=Screener!$D$8),1,0)</f>
        <v/>
      </c>
      <c r="C256" s="220">
        <f>IF(AND(Screener!$D$7&lt;&gt;"",Database!$D256=Screener!$D$7),1,0)</f>
        <v/>
      </c>
      <c r="D256" s="220">
        <f>IF(OR(N(Database!$I256)&lt;=0,N(Screener!$D$9)&lt;=0),0,MAX(0,1-ABS(LOG10(N(Database!$I256)/Screener!$D$9))/W_SIZEHW))</f>
        <v/>
      </c>
      <c r="E256" s="220">
        <f>IF(OR(Database!$BG256="",Screener!$D$10=""),0,IF(Database!$BG256=Screener!$D$10,1,0))</f>
        <v/>
      </c>
      <c r="F256" s="220">
        <f>IF(OR(Database!$BM256="",Screener!$D$11=""),0,IF(Database!$BM256=Screener!$D$11,1,0))</f>
        <v/>
      </c>
      <c r="G256" s="220">
        <f>IF(OR(Database!$H256="",N(Screener!$D$12)&lt;=0),0,MAX(0,1-(N(Screener!$D$12)-Database!$H256)/W_RECD))</f>
        <v/>
      </c>
      <c r="H256" s="220">
        <f>IF($U$1="",0,N(ISNUMBER(SEARCH($U$1,Database!$AC256&amp;""))))+IF($V$1="",0,N(ISNUMBER(SEARCH($V$1,Database!$AC256&amp;""))))+IF($W$1="",0,N(ISNUMBER(SEARCH($W$1,Database!$AC256&amp;""))))+IF($X$1="",0,N(ISNUMBER(SEARCH($X$1,Database!$AC256&amp;""))))+IF($Y$1="",0,N(ISNUMBER(SEARCH($Y$1,Database!$AC256&amp;""))))+IF(Screener!$B$17="",0,N(ISNUMBER(SEARCH(LOWER(Screener!$B$17),Database!$AC256&amp;""))))</f>
        <v/>
      </c>
      <c r="I256" s="220">
        <f>IF(OR(N(Database!$BH256)&lt;=0,N(Screener!$D$13)&lt;=0),0,MAX(0,1-ABS(LOG10(N(Database!$BH256)/Screener!$D$13))/W_PEHW))</f>
        <v/>
      </c>
      <c r="J256" s="220">
        <f>IF(OR(N(Database!$S256)&lt;=0,N(Screener!$D$14)&lt;=0),0,MAX(0,1-ABS(LOG10(Database!$S256/Screener!$D$14))/0.6))</f>
        <v/>
      </c>
      <c r="K256" s="220">
        <f>IF(Database!$B256=Screener!$B$5,-999999,IF(ISNUMBER(SEARCH(","&amp;Database!$A256&amp;",",","&amp;SUBSTITUTE(Screener!$D$17," ","")&amp;",")),2000000,IF(IF(OR(Screener!$B$18="All",AND(Screener!$B$18="With A-share",(Database!$BM256="Y")),AND(Screener!$B$18="Without A-share",NOT((Database!$BM256="Y")))),1,0)=0,-999999,IF(Screener!$B$16="cornerstone overlap first",H256*100000,IF(Screener!$B$16="demand-similar first",J256*100000,0))+W_SUB*B256+W_SEC*C256*(1-B256)+W_SIZE*D256+W_PROF*E256+W_AH*F256+W_REC*G256+W_CS*H256+W_PE*I256)))+ROW()/1000000</f>
        <v/>
      </c>
      <c r="AA256" s="220">
        <f>Database!B245</f>
        <v/>
      </c>
      <c r="AB256" s="220">
        <f>Database!D245</f>
        <v/>
      </c>
      <c r="AC256" s="220">
        <f>Database!E245</f>
        <v/>
      </c>
      <c r="AD256" s="220">
        <f>Database!I245</f>
        <v/>
      </c>
      <c r="AE256" s="220">
        <f>Database!BG245</f>
        <v/>
      </c>
      <c r="AF256" s="220">
        <f>Database!BM245</f>
        <v/>
      </c>
      <c r="AG256" s="220">
        <f>Database!H245</f>
        <v/>
      </c>
      <c r="AH256" s="220">
        <f>Database!BH245</f>
        <v/>
      </c>
    </row>
    <row r="257">
      <c r="A257" s="220">
        <f>Database!B257</f>
        <v/>
      </c>
      <c r="B257" s="220">
        <f>IF(AND(Screener!$D$8&lt;&gt;"",Database!$E257=Screener!$D$8),1,0)</f>
        <v/>
      </c>
      <c r="C257" s="220">
        <f>IF(AND(Screener!$D$7&lt;&gt;"",Database!$D257=Screener!$D$7),1,0)</f>
        <v/>
      </c>
      <c r="D257" s="220">
        <f>IF(OR(N(Database!$I257)&lt;=0,N(Screener!$D$9)&lt;=0),0,MAX(0,1-ABS(LOG10(N(Database!$I257)/Screener!$D$9))/W_SIZEHW))</f>
        <v/>
      </c>
      <c r="E257" s="220">
        <f>IF(OR(Database!$BG257="",Screener!$D$10=""),0,IF(Database!$BG257=Screener!$D$10,1,0))</f>
        <v/>
      </c>
      <c r="F257" s="220">
        <f>IF(OR(Database!$BM257="",Screener!$D$11=""),0,IF(Database!$BM257=Screener!$D$11,1,0))</f>
        <v/>
      </c>
      <c r="G257" s="220">
        <f>IF(OR(Database!$H257="",N(Screener!$D$12)&lt;=0),0,MAX(0,1-(N(Screener!$D$12)-Database!$H257)/W_RECD))</f>
        <v/>
      </c>
      <c r="H257" s="220">
        <f>IF($U$1="",0,N(ISNUMBER(SEARCH($U$1,Database!$AC257&amp;""))))+IF($V$1="",0,N(ISNUMBER(SEARCH($V$1,Database!$AC257&amp;""))))+IF($W$1="",0,N(ISNUMBER(SEARCH($W$1,Database!$AC257&amp;""))))+IF($X$1="",0,N(ISNUMBER(SEARCH($X$1,Database!$AC257&amp;""))))+IF($Y$1="",0,N(ISNUMBER(SEARCH($Y$1,Database!$AC257&amp;""))))+IF(Screener!$B$17="",0,N(ISNUMBER(SEARCH(LOWER(Screener!$B$17),Database!$AC257&amp;""))))</f>
        <v/>
      </c>
      <c r="I257" s="220">
        <f>IF(OR(N(Database!$BH257)&lt;=0,N(Screener!$D$13)&lt;=0),0,MAX(0,1-ABS(LOG10(N(Database!$BH257)/Screener!$D$13))/W_PEHW))</f>
        <v/>
      </c>
      <c r="J257" s="220">
        <f>IF(OR(N(Database!$S257)&lt;=0,N(Screener!$D$14)&lt;=0),0,MAX(0,1-ABS(LOG10(Database!$S257/Screener!$D$14))/0.6))</f>
        <v/>
      </c>
      <c r="K257" s="220">
        <f>IF(Database!$B257=Screener!$B$5,-999999,IF(ISNUMBER(SEARCH(","&amp;Database!$A257&amp;",",","&amp;SUBSTITUTE(Screener!$D$17," ","")&amp;",")),2000000,IF(IF(OR(Screener!$B$18="All",AND(Screener!$B$18="With A-share",(Database!$BM257="Y")),AND(Screener!$B$18="Without A-share",NOT((Database!$BM257="Y")))),1,0)=0,-999999,IF(Screener!$B$16="cornerstone overlap first",H257*100000,IF(Screener!$B$16="demand-similar first",J257*100000,0))+W_SUB*B257+W_SEC*C257*(1-B257)+W_SIZE*D257+W_PROF*E257+W_AH*F257+W_REC*G257+W_CS*H257+W_PE*I257)))+ROW()/1000000</f>
        <v/>
      </c>
      <c r="AA257" s="220">
        <f>Database!B246</f>
        <v/>
      </c>
      <c r="AB257" s="220">
        <f>Database!D246</f>
        <v/>
      </c>
      <c r="AC257" s="220">
        <f>Database!E246</f>
        <v/>
      </c>
      <c r="AD257" s="220">
        <f>Database!I246</f>
        <v/>
      </c>
      <c r="AE257" s="220">
        <f>Database!BG246</f>
        <v/>
      </c>
      <c r="AF257" s="220">
        <f>Database!BM246</f>
        <v/>
      </c>
      <c r="AG257" s="220">
        <f>Database!H246</f>
        <v/>
      </c>
      <c r="AH257" s="220">
        <f>Database!BH246</f>
        <v/>
      </c>
    </row>
    <row r="258">
      <c r="A258" s="220">
        <f>Database!B258</f>
        <v/>
      </c>
      <c r="B258" s="220">
        <f>IF(AND(Screener!$D$8&lt;&gt;"",Database!$E258=Screener!$D$8),1,0)</f>
        <v/>
      </c>
      <c r="C258" s="220">
        <f>IF(AND(Screener!$D$7&lt;&gt;"",Database!$D258=Screener!$D$7),1,0)</f>
        <v/>
      </c>
      <c r="D258" s="220">
        <f>IF(OR(N(Database!$I258)&lt;=0,N(Screener!$D$9)&lt;=0),0,MAX(0,1-ABS(LOG10(N(Database!$I258)/Screener!$D$9))/W_SIZEHW))</f>
        <v/>
      </c>
      <c r="E258" s="220">
        <f>IF(OR(Database!$BG258="",Screener!$D$10=""),0,IF(Database!$BG258=Screener!$D$10,1,0))</f>
        <v/>
      </c>
      <c r="F258" s="220">
        <f>IF(OR(Database!$BM258="",Screener!$D$11=""),0,IF(Database!$BM258=Screener!$D$11,1,0))</f>
        <v/>
      </c>
      <c r="G258" s="220">
        <f>IF(OR(Database!$H258="",N(Screener!$D$12)&lt;=0),0,MAX(0,1-(N(Screener!$D$12)-Database!$H258)/W_RECD))</f>
        <v/>
      </c>
      <c r="H258" s="220">
        <f>IF($U$1="",0,N(ISNUMBER(SEARCH($U$1,Database!$AC258&amp;""))))+IF($V$1="",0,N(ISNUMBER(SEARCH($V$1,Database!$AC258&amp;""))))+IF($W$1="",0,N(ISNUMBER(SEARCH($W$1,Database!$AC258&amp;""))))+IF($X$1="",0,N(ISNUMBER(SEARCH($X$1,Database!$AC258&amp;""))))+IF($Y$1="",0,N(ISNUMBER(SEARCH($Y$1,Database!$AC258&amp;""))))+IF(Screener!$B$17="",0,N(ISNUMBER(SEARCH(LOWER(Screener!$B$17),Database!$AC258&amp;""))))</f>
        <v/>
      </c>
      <c r="I258" s="220">
        <f>IF(OR(N(Database!$BH258)&lt;=0,N(Screener!$D$13)&lt;=0),0,MAX(0,1-ABS(LOG10(N(Database!$BH258)/Screener!$D$13))/W_PEHW))</f>
        <v/>
      </c>
      <c r="J258" s="220">
        <f>IF(OR(N(Database!$S258)&lt;=0,N(Screener!$D$14)&lt;=0),0,MAX(0,1-ABS(LOG10(Database!$S258/Screener!$D$14))/0.6))</f>
        <v/>
      </c>
      <c r="K258" s="220">
        <f>IF(Database!$B258=Screener!$B$5,-999999,IF(ISNUMBER(SEARCH(","&amp;Database!$A258&amp;",",","&amp;SUBSTITUTE(Screener!$D$17," ","")&amp;",")),2000000,IF(IF(OR(Screener!$B$18="All",AND(Screener!$B$18="With A-share",(Database!$BM258="Y")),AND(Screener!$B$18="Without A-share",NOT((Database!$BM258="Y")))),1,0)=0,-999999,IF(Screener!$B$16="cornerstone overlap first",H258*100000,IF(Screener!$B$16="demand-similar first",J258*100000,0))+W_SUB*B258+W_SEC*C258*(1-B258)+W_SIZE*D258+W_PROF*E258+W_AH*F258+W_REC*G258+W_CS*H258+W_PE*I258)))+ROW()/1000000</f>
        <v/>
      </c>
      <c r="AA258" s="220">
        <f>Database!B247</f>
        <v/>
      </c>
      <c r="AB258" s="220">
        <f>Database!D247</f>
        <v/>
      </c>
      <c r="AC258" s="220">
        <f>Database!E247</f>
        <v/>
      </c>
      <c r="AD258" s="220">
        <f>Database!I247</f>
        <v/>
      </c>
      <c r="AE258" s="220">
        <f>Database!BG247</f>
        <v/>
      </c>
      <c r="AF258" s="220">
        <f>Database!BM247</f>
        <v/>
      </c>
      <c r="AG258" s="220">
        <f>Database!H247</f>
        <v/>
      </c>
      <c r="AH258" s="220">
        <f>Database!BH247</f>
        <v/>
      </c>
    </row>
    <row r="259">
      <c r="A259" s="220">
        <f>Database!B259</f>
        <v/>
      </c>
      <c r="B259" s="220">
        <f>IF(AND(Screener!$D$8&lt;&gt;"",Database!$E259=Screener!$D$8),1,0)</f>
        <v/>
      </c>
      <c r="C259" s="220">
        <f>IF(AND(Screener!$D$7&lt;&gt;"",Database!$D259=Screener!$D$7),1,0)</f>
        <v/>
      </c>
      <c r="D259" s="220">
        <f>IF(OR(N(Database!$I259)&lt;=0,N(Screener!$D$9)&lt;=0),0,MAX(0,1-ABS(LOG10(N(Database!$I259)/Screener!$D$9))/W_SIZEHW))</f>
        <v/>
      </c>
      <c r="E259" s="220">
        <f>IF(OR(Database!$BG259="",Screener!$D$10=""),0,IF(Database!$BG259=Screener!$D$10,1,0))</f>
        <v/>
      </c>
      <c r="F259" s="220">
        <f>IF(OR(Database!$BM259="",Screener!$D$11=""),0,IF(Database!$BM259=Screener!$D$11,1,0))</f>
        <v/>
      </c>
      <c r="G259" s="220">
        <f>IF(OR(Database!$H259="",N(Screener!$D$12)&lt;=0),0,MAX(0,1-(N(Screener!$D$12)-Database!$H259)/W_RECD))</f>
        <v/>
      </c>
      <c r="H259" s="220">
        <f>IF($U$1="",0,N(ISNUMBER(SEARCH($U$1,Database!$AC259&amp;""))))+IF($V$1="",0,N(ISNUMBER(SEARCH($V$1,Database!$AC259&amp;""))))+IF($W$1="",0,N(ISNUMBER(SEARCH($W$1,Database!$AC259&amp;""))))+IF($X$1="",0,N(ISNUMBER(SEARCH($X$1,Database!$AC259&amp;""))))+IF($Y$1="",0,N(ISNUMBER(SEARCH($Y$1,Database!$AC259&amp;""))))+IF(Screener!$B$17="",0,N(ISNUMBER(SEARCH(LOWER(Screener!$B$17),Database!$AC259&amp;""))))</f>
        <v/>
      </c>
      <c r="I259" s="220">
        <f>IF(OR(N(Database!$BH259)&lt;=0,N(Screener!$D$13)&lt;=0),0,MAX(0,1-ABS(LOG10(N(Database!$BH259)/Screener!$D$13))/W_PEHW))</f>
        <v/>
      </c>
      <c r="J259" s="220">
        <f>IF(OR(N(Database!$S259)&lt;=0,N(Screener!$D$14)&lt;=0),0,MAX(0,1-ABS(LOG10(Database!$S259/Screener!$D$14))/0.6))</f>
        <v/>
      </c>
      <c r="K259" s="220">
        <f>IF(Database!$B259=Screener!$B$5,-999999,IF(ISNUMBER(SEARCH(","&amp;Database!$A259&amp;",",","&amp;SUBSTITUTE(Screener!$D$17," ","")&amp;",")),2000000,IF(IF(OR(Screener!$B$18="All",AND(Screener!$B$18="With A-share",(Database!$BM259="Y")),AND(Screener!$B$18="Without A-share",NOT((Database!$BM259="Y")))),1,0)=0,-999999,IF(Screener!$B$16="cornerstone overlap first",H259*100000,IF(Screener!$B$16="demand-similar first",J259*100000,0))+W_SUB*B259+W_SEC*C259*(1-B259)+W_SIZE*D259+W_PROF*E259+W_AH*F259+W_REC*G259+W_CS*H259+W_PE*I259)))+ROW()/1000000</f>
        <v/>
      </c>
      <c r="AA259" s="220">
        <f>Database!B248</f>
        <v/>
      </c>
      <c r="AB259" s="220">
        <f>Database!D248</f>
        <v/>
      </c>
      <c r="AC259" s="220">
        <f>Database!E248</f>
        <v/>
      </c>
      <c r="AD259" s="220">
        <f>Database!I248</f>
        <v/>
      </c>
      <c r="AE259" s="220">
        <f>Database!BG248</f>
        <v/>
      </c>
      <c r="AF259" s="220">
        <f>Database!BM248</f>
        <v/>
      </c>
      <c r="AG259" s="220">
        <f>Database!H248</f>
        <v/>
      </c>
      <c r="AH259" s="220">
        <f>Database!BH248</f>
        <v/>
      </c>
    </row>
    <row r="260">
      <c r="A260" s="220">
        <f>Database!B260</f>
        <v/>
      </c>
      <c r="B260" s="220">
        <f>IF(AND(Screener!$D$8&lt;&gt;"",Database!$E260=Screener!$D$8),1,0)</f>
        <v/>
      </c>
      <c r="C260" s="220">
        <f>IF(AND(Screener!$D$7&lt;&gt;"",Database!$D260=Screener!$D$7),1,0)</f>
        <v/>
      </c>
      <c r="D260" s="220">
        <f>IF(OR(N(Database!$I260)&lt;=0,N(Screener!$D$9)&lt;=0),0,MAX(0,1-ABS(LOG10(N(Database!$I260)/Screener!$D$9))/W_SIZEHW))</f>
        <v/>
      </c>
      <c r="E260" s="220">
        <f>IF(OR(Database!$BG260="",Screener!$D$10=""),0,IF(Database!$BG260=Screener!$D$10,1,0))</f>
        <v/>
      </c>
      <c r="F260" s="220">
        <f>IF(OR(Database!$BM260="",Screener!$D$11=""),0,IF(Database!$BM260=Screener!$D$11,1,0))</f>
        <v/>
      </c>
      <c r="G260" s="220">
        <f>IF(OR(Database!$H260="",N(Screener!$D$12)&lt;=0),0,MAX(0,1-(N(Screener!$D$12)-Database!$H260)/W_RECD))</f>
        <v/>
      </c>
      <c r="H260" s="220">
        <f>IF($U$1="",0,N(ISNUMBER(SEARCH($U$1,Database!$AC260&amp;""))))+IF($V$1="",0,N(ISNUMBER(SEARCH($V$1,Database!$AC260&amp;""))))+IF($W$1="",0,N(ISNUMBER(SEARCH($W$1,Database!$AC260&amp;""))))+IF($X$1="",0,N(ISNUMBER(SEARCH($X$1,Database!$AC260&amp;""))))+IF($Y$1="",0,N(ISNUMBER(SEARCH($Y$1,Database!$AC260&amp;""))))+IF(Screener!$B$17="",0,N(ISNUMBER(SEARCH(LOWER(Screener!$B$17),Database!$AC260&amp;""))))</f>
        <v/>
      </c>
      <c r="I260" s="220">
        <f>IF(OR(N(Database!$BH260)&lt;=0,N(Screener!$D$13)&lt;=0),0,MAX(0,1-ABS(LOG10(N(Database!$BH260)/Screener!$D$13))/W_PEHW))</f>
        <v/>
      </c>
      <c r="J260" s="220">
        <f>IF(OR(N(Database!$S260)&lt;=0,N(Screener!$D$14)&lt;=0),0,MAX(0,1-ABS(LOG10(Database!$S260/Screener!$D$14))/0.6))</f>
        <v/>
      </c>
      <c r="K260" s="220">
        <f>IF(Database!$B260=Screener!$B$5,-999999,IF(ISNUMBER(SEARCH(","&amp;Database!$A260&amp;",",","&amp;SUBSTITUTE(Screener!$D$17," ","")&amp;",")),2000000,IF(IF(OR(Screener!$B$18="All",AND(Screener!$B$18="With A-share",(Database!$BM260="Y")),AND(Screener!$B$18="Without A-share",NOT((Database!$BM260="Y")))),1,0)=0,-999999,IF(Screener!$B$16="cornerstone overlap first",H260*100000,IF(Screener!$B$16="demand-similar first",J260*100000,0))+W_SUB*B260+W_SEC*C260*(1-B260)+W_SIZE*D260+W_PROF*E260+W_AH*F260+W_REC*G260+W_CS*H260+W_PE*I260)))+ROW()/1000000</f>
        <v/>
      </c>
      <c r="AA260" s="220">
        <f>Database!B249</f>
        <v/>
      </c>
      <c r="AB260" s="220">
        <f>Database!D249</f>
        <v/>
      </c>
      <c r="AC260" s="220">
        <f>Database!E249</f>
        <v/>
      </c>
      <c r="AD260" s="220">
        <f>Database!I249</f>
        <v/>
      </c>
      <c r="AE260" s="220">
        <f>Database!BG249</f>
        <v/>
      </c>
      <c r="AF260" s="220">
        <f>Database!BM249</f>
        <v/>
      </c>
      <c r="AG260" s="220">
        <f>Database!H249</f>
        <v/>
      </c>
      <c r="AH260" s="220">
        <f>Database!BH249</f>
        <v/>
      </c>
    </row>
    <row r="261">
      <c r="A261" s="220">
        <f>Database!B261</f>
        <v/>
      </c>
      <c r="B261" s="220">
        <f>IF(AND(Screener!$D$8&lt;&gt;"",Database!$E261=Screener!$D$8),1,0)</f>
        <v/>
      </c>
      <c r="C261" s="220">
        <f>IF(AND(Screener!$D$7&lt;&gt;"",Database!$D261=Screener!$D$7),1,0)</f>
        <v/>
      </c>
      <c r="D261" s="220">
        <f>IF(OR(N(Database!$I261)&lt;=0,N(Screener!$D$9)&lt;=0),0,MAX(0,1-ABS(LOG10(N(Database!$I261)/Screener!$D$9))/W_SIZEHW))</f>
        <v/>
      </c>
      <c r="E261" s="220">
        <f>IF(OR(Database!$BG261="",Screener!$D$10=""),0,IF(Database!$BG261=Screener!$D$10,1,0))</f>
        <v/>
      </c>
      <c r="F261" s="220">
        <f>IF(OR(Database!$BM261="",Screener!$D$11=""),0,IF(Database!$BM261=Screener!$D$11,1,0))</f>
        <v/>
      </c>
      <c r="G261" s="220">
        <f>IF(OR(Database!$H261="",N(Screener!$D$12)&lt;=0),0,MAX(0,1-(N(Screener!$D$12)-Database!$H261)/W_RECD))</f>
        <v/>
      </c>
      <c r="H261" s="220">
        <f>IF($U$1="",0,N(ISNUMBER(SEARCH($U$1,Database!$AC261&amp;""))))+IF($V$1="",0,N(ISNUMBER(SEARCH($V$1,Database!$AC261&amp;""))))+IF($W$1="",0,N(ISNUMBER(SEARCH($W$1,Database!$AC261&amp;""))))+IF($X$1="",0,N(ISNUMBER(SEARCH($X$1,Database!$AC261&amp;""))))+IF($Y$1="",0,N(ISNUMBER(SEARCH($Y$1,Database!$AC261&amp;""))))+IF(Screener!$B$17="",0,N(ISNUMBER(SEARCH(LOWER(Screener!$B$17),Database!$AC261&amp;""))))</f>
        <v/>
      </c>
      <c r="I261" s="220">
        <f>IF(OR(N(Database!$BH261)&lt;=0,N(Screener!$D$13)&lt;=0),0,MAX(0,1-ABS(LOG10(N(Database!$BH261)/Screener!$D$13))/W_PEHW))</f>
        <v/>
      </c>
      <c r="J261" s="220">
        <f>IF(OR(N(Database!$S261)&lt;=0,N(Screener!$D$14)&lt;=0),0,MAX(0,1-ABS(LOG10(Database!$S261/Screener!$D$14))/0.6))</f>
        <v/>
      </c>
      <c r="K261" s="220">
        <f>IF(Database!$B261=Screener!$B$5,-999999,IF(ISNUMBER(SEARCH(","&amp;Database!$A261&amp;",",","&amp;SUBSTITUTE(Screener!$D$17," ","")&amp;",")),2000000,IF(IF(OR(Screener!$B$18="All",AND(Screener!$B$18="With A-share",(Database!$BM261="Y")),AND(Screener!$B$18="Without A-share",NOT((Database!$BM261="Y")))),1,0)=0,-999999,IF(Screener!$B$16="cornerstone overlap first",H261*100000,IF(Screener!$B$16="demand-similar first",J261*100000,0))+W_SUB*B261+W_SEC*C261*(1-B261)+W_SIZE*D261+W_PROF*E261+W_AH*F261+W_REC*G261+W_CS*H261+W_PE*I261)))+ROW()/1000000</f>
        <v/>
      </c>
      <c r="AA261" s="220">
        <f>Database!B250</f>
        <v/>
      </c>
      <c r="AB261" s="220">
        <f>Database!D250</f>
        <v/>
      </c>
      <c r="AC261" s="220">
        <f>Database!E250</f>
        <v/>
      </c>
      <c r="AD261" s="220">
        <f>Database!I250</f>
        <v/>
      </c>
      <c r="AE261" s="220">
        <f>Database!BG250</f>
        <v/>
      </c>
      <c r="AF261" s="220">
        <f>Database!BM250</f>
        <v/>
      </c>
      <c r="AG261" s="220">
        <f>Database!H250</f>
        <v/>
      </c>
      <c r="AH261" s="220">
        <f>Database!BH250</f>
        <v/>
      </c>
    </row>
    <row r="262">
      <c r="A262" s="220">
        <f>Database!B262</f>
        <v/>
      </c>
      <c r="B262" s="220">
        <f>IF(AND(Screener!$D$8&lt;&gt;"",Database!$E262=Screener!$D$8),1,0)</f>
        <v/>
      </c>
      <c r="C262" s="220">
        <f>IF(AND(Screener!$D$7&lt;&gt;"",Database!$D262=Screener!$D$7),1,0)</f>
        <v/>
      </c>
      <c r="D262" s="220">
        <f>IF(OR(N(Database!$I262)&lt;=0,N(Screener!$D$9)&lt;=0),0,MAX(0,1-ABS(LOG10(N(Database!$I262)/Screener!$D$9))/W_SIZEHW))</f>
        <v/>
      </c>
      <c r="E262" s="220">
        <f>IF(OR(Database!$BG262="",Screener!$D$10=""),0,IF(Database!$BG262=Screener!$D$10,1,0))</f>
        <v/>
      </c>
      <c r="F262" s="220">
        <f>IF(OR(Database!$BM262="",Screener!$D$11=""),0,IF(Database!$BM262=Screener!$D$11,1,0))</f>
        <v/>
      </c>
      <c r="G262" s="220">
        <f>IF(OR(Database!$H262="",N(Screener!$D$12)&lt;=0),0,MAX(0,1-(N(Screener!$D$12)-Database!$H262)/W_RECD))</f>
        <v/>
      </c>
      <c r="H262" s="220">
        <f>IF($U$1="",0,N(ISNUMBER(SEARCH($U$1,Database!$AC262&amp;""))))+IF($V$1="",0,N(ISNUMBER(SEARCH($V$1,Database!$AC262&amp;""))))+IF($W$1="",0,N(ISNUMBER(SEARCH($W$1,Database!$AC262&amp;""))))+IF($X$1="",0,N(ISNUMBER(SEARCH($X$1,Database!$AC262&amp;""))))+IF($Y$1="",0,N(ISNUMBER(SEARCH($Y$1,Database!$AC262&amp;""))))+IF(Screener!$B$17="",0,N(ISNUMBER(SEARCH(LOWER(Screener!$B$17),Database!$AC262&amp;""))))</f>
        <v/>
      </c>
      <c r="I262" s="220">
        <f>IF(OR(N(Database!$BH262)&lt;=0,N(Screener!$D$13)&lt;=0),0,MAX(0,1-ABS(LOG10(N(Database!$BH262)/Screener!$D$13))/W_PEHW))</f>
        <v/>
      </c>
      <c r="J262" s="220">
        <f>IF(OR(N(Database!$S262)&lt;=0,N(Screener!$D$14)&lt;=0),0,MAX(0,1-ABS(LOG10(Database!$S262/Screener!$D$14))/0.6))</f>
        <v/>
      </c>
      <c r="K262" s="220">
        <f>IF(Database!$B262=Screener!$B$5,-999999,IF(ISNUMBER(SEARCH(","&amp;Database!$A262&amp;",",","&amp;SUBSTITUTE(Screener!$D$17," ","")&amp;",")),2000000,IF(IF(OR(Screener!$B$18="All",AND(Screener!$B$18="With A-share",(Database!$BM262="Y")),AND(Screener!$B$18="Without A-share",NOT((Database!$BM262="Y")))),1,0)=0,-999999,IF(Screener!$B$16="cornerstone overlap first",H262*100000,IF(Screener!$B$16="demand-similar first",J262*100000,0))+W_SUB*B262+W_SEC*C262*(1-B262)+W_SIZE*D262+W_PROF*E262+W_AH*F262+W_REC*G262+W_CS*H262+W_PE*I262)))+ROW()/1000000</f>
        <v/>
      </c>
      <c r="AA262" s="220">
        <f>Database!B251</f>
        <v/>
      </c>
      <c r="AB262" s="220">
        <f>Database!D251</f>
        <v/>
      </c>
      <c r="AC262" s="220">
        <f>Database!E251</f>
        <v/>
      </c>
      <c r="AD262" s="220">
        <f>Database!I251</f>
        <v/>
      </c>
      <c r="AE262" s="220">
        <f>Database!BG251</f>
        <v/>
      </c>
      <c r="AF262" s="220">
        <f>Database!BM251</f>
        <v/>
      </c>
      <c r="AG262" s="220">
        <f>Database!H251</f>
        <v/>
      </c>
      <c r="AH262" s="220">
        <f>Database!BH251</f>
        <v/>
      </c>
    </row>
    <row r="263">
      <c r="A263" s="220">
        <f>Database!B263</f>
        <v/>
      </c>
      <c r="B263" s="220">
        <f>IF(AND(Screener!$D$8&lt;&gt;"",Database!$E263=Screener!$D$8),1,0)</f>
        <v/>
      </c>
      <c r="C263" s="220">
        <f>IF(AND(Screener!$D$7&lt;&gt;"",Database!$D263=Screener!$D$7),1,0)</f>
        <v/>
      </c>
      <c r="D263" s="220">
        <f>IF(OR(N(Database!$I263)&lt;=0,N(Screener!$D$9)&lt;=0),0,MAX(0,1-ABS(LOG10(N(Database!$I263)/Screener!$D$9))/W_SIZEHW))</f>
        <v/>
      </c>
      <c r="E263" s="220">
        <f>IF(OR(Database!$BG263="",Screener!$D$10=""),0,IF(Database!$BG263=Screener!$D$10,1,0))</f>
        <v/>
      </c>
      <c r="F263" s="220">
        <f>IF(OR(Database!$BM263="",Screener!$D$11=""),0,IF(Database!$BM263=Screener!$D$11,1,0))</f>
        <v/>
      </c>
      <c r="G263" s="220">
        <f>IF(OR(Database!$H263="",N(Screener!$D$12)&lt;=0),0,MAX(0,1-(N(Screener!$D$12)-Database!$H263)/W_RECD))</f>
        <v/>
      </c>
      <c r="H263" s="220">
        <f>IF($U$1="",0,N(ISNUMBER(SEARCH($U$1,Database!$AC263&amp;""))))+IF($V$1="",0,N(ISNUMBER(SEARCH($V$1,Database!$AC263&amp;""))))+IF($W$1="",0,N(ISNUMBER(SEARCH($W$1,Database!$AC263&amp;""))))+IF($X$1="",0,N(ISNUMBER(SEARCH($X$1,Database!$AC263&amp;""))))+IF($Y$1="",0,N(ISNUMBER(SEARCH($Y$1,Database!$AC263&amp;""))))+IF(Screener!$B$17="",0,N(ISNUMBER(SEARCH(LOWER(Screener!$B$17),Database!$AC263&amp;""))))</f>
        <v/>
      </c>
      <c r="I263" s="220">
        <f>IF(OR(N(Database!$BH263)&lt;=0,N(Screener!$D$13)&lt;=0),0,MAX(0,1-ABS(LOG10(N(Database!$BH263)/Screener!$D$13))/W_PEHW))</f>
        <v/>
      </c>
      <c r="J263" s="220">
        <f>IF(OR(N(Database!$S263)&lt;=0,N(Screener!$D$14)&lt;=0),0,MAX(0,1-ABS(LOG10(Database!$S263/Screener!$D$14))/0.6))</f>
        <v/>
      </c>
      <c r="K263" s="220">
        <f>IF(Database!$B263=Screener!$B$5,-999999,IF(ISNUMBER(SEARCH(","&amp;Database!$A263&amp;",",","&amp;SUBSTITUTE(Screener!$D$17," ","")&amp;",")),2000000,IF(IF(OR(Screener!$B$18="All",AND(Screener!$B$18="With A-share",(Database!$BM263="Y")),AND(Screener!$B$18="Without A-share",NOT((Database!$BM263="Y")))),1,0)=0,-999999,IF(Screener!$B$16="cornerstone overlap first",H263*100000,IF(Screener!$B$16="demand-similar first",J263*100000,0))+W_SUB*B263+W_SEC*C263*(1-B263)+W_SIZE*D263+W_PROF*E263+W_AH*F263+W_REC*G263+W_CS*H263+W_PE*I263)))+ROW()/1000000</f>
        <v/>
      </c>
      <c r="AA263" s="220">
        <f>Database!B252</f>
        <v/>
      </c>
      <c r="AB263" s="220">
        <f>Database!D252</f>
        <v/>
      </c>
      <c r="AC263" s="220">
        <f>Database!E252</f>
        <v/>
      </c>
      <c r="AD263" s="220">
        <f>Database!I252</f>
        <v/>
      </c>
      <c r="AE263" s="220">
        <f>Database!BG252</f>
        <v/>
      </c>
      <c r="AF263" s="220">
        <f>Database!BM252</f>
        <v/>
      </c>
      <c r="AG263" s="220">
        <f>Database!H252</f>
        <v/>
      </c>
      <c r="AH263" s="220">
        <f>Database!BH252</f>
        <v/>
      </c>
    </row>
    <row r="264">
      <c r="A264" s="220">
        <f>Database!B264</f>
        <v/>
      </c>
      <c r="B264" s="220">
        <f>IF(AND(Screener!$D$8&lt;&gt;"",Database!$E264=Screener!$D$8),1,0)</f>
        <v/>
      </c>
      <c r="C264" s="220">
        <f>IF(AND(Screener!$D$7&lt;&gt;"",Database!$D264=Screener!$D$7),1,0)</f>
        <v/>
      </c>
      <c r="D264" s="220">
        <f>IF(OR(N(Database!$I264)&lt;=0,N(Screener!$D$9)&lt;=0),0,MAX(0,1-ABS(LOG10(N(Database!$I264)/Screener!$D$9))/W_SIZEHW))</f>
        <v/>
      </c>
      <c r="E264" s="220">
        <f>IF(OR(Database!$BG264="",Screener!$D$10=""),0,IF(Database!$BG264=Screener!$D$10,1,0))</f>
        <v/>
      </c>
      <c r="F264" s="220">
        <f>IF(OR(Database!$BM264="",Screener!$D$11=""),0,IF(Database!$BM264=Screener!$D$11,1,0))</f>
        <v/>
      </c>
      <c r="G264" s="220">
        <f>IF(OR(Database!$H264="",N(Screener!$D$12)&lt;=0),0,MAX(0,1-(N(Screener!$D$12)-Database!$H264)/W_RECD))</f>
        <v/>
      </c>
      <c r="H264" s="220">
        <f>IF($U$1="",0,N(ISNUMBER(SEARCH($U$1,Database!$AC264&amp;""))))+IF($V$1="",0,N(ISNUMBER(SEARCH($V$1,Database!$AC264&amp;""))))+IF($W$1="",0,N(ISNUMBER(SEARCH($W$1,Database!$AC264&amp;""))))+IF($X$1="",0,N(ISNUMBER(SEARCH($X$1,Database!$AC264&amp;""))))+IF($Y$1="",0,N(ISNUMBER(SEARCH($Y$1,Database!$AC264&amp;""))))+IF(Screener!$B$17="",0,N(ISNUMBER(SEARCH(LOWER(Screener!$B$17),Database!$AC264&amp;""))))</f>
        <v/>
      </c>
      <c r="I264" s="220">
        <f>IF(OR(N(Database!$BH264)&lt;=0,N(Screener!$D$13)&lt;=0),0,MAX(0,1-ABS(LOG10(N(Database!$BH264)/Screener!$D$13))/W_PEHW))</f>
        <v/>
      </c>
      <c r="J264" s="220">
        <f>IF(OR(N(Database!$S264)&lt;=0,N(Screener!$D$14)&lt;=0),0,MAX(0,1-ABS(LOG10(Database!$S264/Screener!$D$14))/0.6))</f>
        <v/>
      </c>
      <c r="K264" s="220">
        <f>IF(Database!$B264=Screener!$B$5,-999999,IF(ISNUMBER(SEARCH(","&amp;Database!$A264&amp;",",","&amp;SUBSTITUTE(Screener!$D$17," ","")&amp;",")),2000000,IF(IF(OR(Screener!$B$18="All",AND(Screener!$B$18="With A-share",(Database!$BM264="Y")),AND(Screener!$B$18="Without A-share",NOT((Database!$BM264="Y")))),1,0)=0,-999999,IF(Screener!$B$16="cornerstone overlap first",H264*100000,IF(Screener!$B$16="demand-similar first",J264*100000,0))+W_SUB*B264+W_SEC*C264*(1-B264)+W_SIZE*D264+W_PROF*E264+W_AH*F264+W_REC*G264+W_CS*H264+W_PE*I264)))+ROW()/1000000</f>
        <v/>
      </c>
      <c r="AA264" s="220">
        <f>Database!B253</f>
        <v/>
      </c>
      <c r="AB264" s="220">
        <f>Database!D253</f>
        <v/>
      </c>
      <c r="AC264" s="220">
        <f>Database!E253</f>
        <v/>
      </c>
      <c r="AD264" s="220">
        <f>Database!I253</f>
        <v/>
      </c>
      <c r="AE264" s="220">
        <f>Database!BG253</f>
        <v/>
      </c>
      <c r="AF264" s="220">
        <f>Database!BM253</f>
        <v/>
      </c>
      <c r="AG264" s="220">
        <f>Database!H253</f>
        <v/>
      </c>
      <c r="AH264" s="220">
        <f>Database!BH253</f>
        <v/>
      </c>
    </row>
    <row r="265">
      <c r="A265" s="220">
        <f>Database!B265</f>
        <v/>
      </c>
      <c r="B265" s="220">
        <f>IF(AND(Screener!$D$8&lt;&gt;"",Database!$E265=Screener!$D$8),1,0)</f>
        <v/>
      </c>
      <c r="C265" s="220">
        <f>IF(AND(Screener!$D$7&lt;&gt;"",Database!$D265=Screener!$D$7),1,0)</f>
        <v/>
      </c>
      <c r="D265" s="220">
        <f>IF(OR(N(Database!$I265)&lt;=0,N(Screener!$D$9)&lt;=0),0,MAX(0,1-ABS(LOG10(N(Database!$I265)/Screener!$D$9))/W_SIZEHW))</f>
        <v/>
      </c>
      <c r="E265" s="220">
        <f>IF(OR(Database!$BG265="",Screener!$D$10=""),0,IF(Database!$BG265=Screener!$D$10,1,0))</f>
        <v/>
      </c>
      <c r="F265" s="220">
        <f>IF(OR(Database!$BM265="",Screener!$D$11=""),0,IF(Database!$BM265=Screener!$D$11,1,0))</f>
        <v/>
      </c>
      <c r="G265" s="220">
        <f>IF(OR(Database!$H265="",N(Screener!$D$12)&lt;=0),0,MAX(0,1-(N(Screener!$D$12)-Database!$H265)/W_RECD))</f>
        <v/>
      </c>
      <c r="H265" s="220">
        <f>IF($U$1="",0,N(ISNUMBER(SEARCH($U$1,Database!$AC265&amp;""))))+IF($V$1="",0,N(ISNUMBER(SEARCH($V$1,Database!$AC265&amp;""))))+IF($W$1="",0,N(ISNUMBER(SEARCH($W$1,Database!$AC265&amp;""))))+IF($X$1="",0,N(ISNUMBER(SEARCH($X$1,Database!$AC265&amp;""))))+IF($Y$1="",0,N(ISNUMBER(SEARCH($Y$1,Database!$AC265&amp;""))))+IF(Screener!$B$17="",0,N(ISNUMBER(SEARCH(LOWER(Screener!$B$17),Database!$AC265&amp;""))))</f>
        <v/>
      </c>
      <c r="I265" s="220">
        <f>IF(OR(N(Database!$BH265)&lt;=0,N(Screener!$D$13)&lt;=0),0,MAX(0,1-ABS(LOG10(N(Database!$BH265)/Screener!$D$13))/W_PEHW))</f>
        <v/>
      </c>
      <c r="J265" s="220">
        <f>IF(OR(N(Database!$S265)&lt;=0,N(Screener!$D$14)&lt;=0),0,MAX(0,1-ABS(LOG10(Database!$S265/Screener!$D$14))/0.6))</f>
        <v/>
      </c>
      <c r="K265" s="220">
        <f>IF(Database!$B265=Screener!$B$5,-999999,IF(ISNUMBER(SEARCH(","&amp;Database!$A265&amp;",",","&amp;SUBSTITUTE(Screener!$D$17," ","")&amp;",")),2000000,IF(IF(OR(Screener!$B$18="All",AND(Screener!$B$18="With A-share",(Database!$BM265="Y")),AND(Screener!$B$18="Without A-share",NOT((Database!$BM265="Y")))),1,0)=0,-999999,IF(Screener!$B$16="cornerstone overlap first",H265*100000,IF(Screener!$B$16="demand-similar first",J265*100000,0))+W_SUB*B265+W_SEC*C265*(1-B265)+W_SIZE*D265+W_PROF*E265+W_AH*F265+W_REC*G265+W_CS*H265+W_PE*I265)))+ROW()/1000000</f>
        <v/>
      </c>
      <c r="AA265" s="220">
        <f>Database!B254</f>
        <v/>
      </c>
      <c r="AB265" s="220">
        <f>Database!D254</f>
        <v/>
      </c>
      <c r="AC265" s="220">
        <f>Database!E254</f>
        <v/>
      </c>
      <c r="AD265" s="220">
        <f>Database!I254</f>
        <v/>
      </c>
      <c r="AE265" s="220">
        <f>Database!BG254</f>
        <v/>
      </c>
      <c r="AF265" s="220">
        <f>Database!BM254</f>
        <v/>
      </c>
      <c r="AG265" s="220">
        <f>Database!H254</f>
        <v/>
      </c>
      <c r="AH265" s="220">
        <f>Database!BH254</f>
        <v/>
      </c>
    </row>
    <row r="266">
      <c r="A266" s="220">
        <f>Database!B266</f>
        <v/>
      </c>
      <c r="B266" s="220">
        <f>IF(AND(Screener!$D$8&lt;&gt;"",Database!$E266=Screener!$D$8),1,0)</f>
        <v/>
      </c>
      <c r="C266" s="220">
        <f>IF(AND(Screener!$D$7&lt;&gt;"",Database!$D266=Screener!$D$7),1,0)</f>
        <v/>
      </c>
      <c r="D266" s="220">
        <f>IF(OR(N(Database!$I266)&lt;=0,N(Screener!$D$9)&lt;=0),0,MAX(0,1-ABS(LOG10(N(Database!$I266)/Screener!$D$9))/W_SIZEHW))</f>
        <v/>
      </c>
      <c r="E266" s="220">
        <f>IF(OR(Database!$BG266="",Screener!$D$10=""),0,IF(Database!$BG266=Screener!$D$10,1,0))</f>
        <v/>
      </c>
      <c r="F266" s="220">
        <f>IF(OR(Database!$BM266="",Screener!$D$11=""),0,IF(Database!$BM266=Screener!$D$11,1,0))</f>
        <v/>
      </c>
      <c r="G266" s="220">
        <f>IF(OR(Database!$H266="",N(Screener!$D$12)&lt;=0),0,MAX(0,1-(N(Screener!$D$12)-Database!$H266)/W_RECD))</f>
        <v/>
      </c>
      <c r="H266" s="220">
        <f>IF($U$1="",0,N(ISNUMBER(SEARCH($U$1,Database!$AC266&amp;""))))+IF($V$1="",0,N(ISNUMBER(SEARCH($V$1,Database!$AC266&amp;""))))+IF($W$1="",0,N(ISNUMBER(SEARCH($W$1,Database!$AC266&amp;""))))+IF($X$1="",0,N(ISNUMBER(SEARCH($X$1,Database!$AC266&amp;""))))+IF($Y$1="",0,N(ISNUMBER(SEARCH($Y$1,Database!$AC266&amp;""))))+IF(Screener!$B$17="",0,N(ISNUMBER(SEARCH(LOWER(Screener!$B$17),Database!$AC266&amp;""))))</f>
        <v/>
      </c>
      <c r="I266" s="220">
        <f>IF(OR(N(Database!$BH266)&lt;=0,N(Screener!$D$13)&lt;=0),0,MAX(0,1-ABS(LOG10(N(Database!$BH266)/Screener!$D$13))/W_PEHW))</f>
        <v/>
      </c>
      <c r="J266" s="220">
        <f>IF(OR(N(Database!$S266)&lt;=0,N(Screener!$D$14)&lt;=0),0,MAX(0,1-ABS(LOG10(Database!$S266/Screener!$D$14))/0.6))</f>
        <v/>
      </c>
      <c r="K266" s="220">
        <f>IF(Database!$B266=Screener!$B$5,-999999,IF(ISNUMBER(SEARCH(","&amp;Database!$A266&amp;",",","&amp;SUBSTITUTE(Screener!$D$17," ","")&amp;",")),2000000,IF(IF(OR(Screener!$B$18="All",AND(Screener!$B$18="With A-share",(Database!$BM266="Y")),AND(Screener!$B$18="Without A-share",NOT((Database!$BM266="Y")))),1,0)=0,-999999,IF(Screener!$B$16="cornerstone overlap first",H266*100000,IF(Screener!$B$16="demand-similar first",J266*100000,0))+W_SUB*B266+W_SEC*C266*(1-B266)+W_SIZE*D266+W_PROF*E266+W_AH*F266+W_REC*G266+W_CS*H266+W_PE*I266)))+ROW()/1000000</f>
        <v/>
      </c>
      <c r="AA266" s="220">
        <f>Database!B255</f>
        <v/>
      </c>
      <c r="AB266" s="220">
        <f>Database!D255</f>
        <v/>
      </c>
      <c r="AC266" s="220">
        <f>Database!E255</f>
        <v/>
      </c>
      <c r="AD266" s="220">
        <f>Database!I255</f>
        <v/>
      </c>
      <c r="AE266" s="220">
        <f>Database!BG255</f>
        <v/>
      </c>
      <c r="AF266" s="220">
        <f>Database!BM255</f>
        <v/>
      </c>
      <c r="AG266" s="220">
        <f>Database!H255</f>
        <v/>
      </c>
      <c r="AH266" s="220">
        <f>Database!BH255</f>
        <v/>
      </c>
    </row>
    <row r="267">
      <c r="A267" s="220">
        <f>Database!B267</f>
        <v/>
      </c>
      <c r="B267" s="220">
        <f>IF(AND(Screener!$D$8&lt;&gt;"",Database!$E267=Screener!$D$8),1,0)</f>
        <v/>
      </c>
      <c r="C267" s="220">
        <f>IF(AND(Screener!$D$7&lt;&gt;"",Database!$D267=Screener!$D$7),1,0)</f>
        <v/>
      </c>
      <c r="D267" s="220">
        <f>IF(OR(N(Database!$I267)&lt;=0,N(Screener!$D$9)&lt;=0),0,MAX(0,1-ABS(LOG10(N(Database!$I267)/Screener!$D$9))/W_SIZEHW))</f>
        <v/>
      </c>
      <c r="E267" s="220">
        <f>IF(OR(Database!$BG267="",Screener!$D$10=""),0,IF(Database!$BG267=Screener!$D$10,1,0))</f>
        <v/>
      </c>
      <c r="F267" s="220">
        <f>IF(OR(Database!$BM267="",Screener!$D$11=""),0,IF(Database!$BM267=Screener!$D$11,1,0))</f>
        <v/>
      </c>
      <c r="G267" s="220">
        <f>IF(OR(Database!$H267="",N(Screener!$D$12)&lt;=0),0,MAX(0,1-(N(Screener!$D$12)-Database!$H267)/W_RECD))</f>
        <v/>
      </c>
      <c r="H267" s="220">
        <f>IF($U$1="",0,N(ISNUMBER(SEARCH($U$1,Database!$AC267&amp;""))))+IF($V$1="",0,N(ISNUMBER(SEARCH($V$1,Database!$AC267&amp;""))))+IF($W$1="",0,N(ISNUMBER(SEARCH($W$1,Database!$AC267&amp;""))))+IF($X$1="",0,N(ISNUMBER(SEARCH($X$1,Database!$AC267&amp;""))))+IF($Y$1="",0,N(ISNUMBER(SEARCH($Y$1,Database!$AC267&amp;""))))+IF(Screener!$B$17="",0,N(ISNUMBER(SEARCH(LOWER(Screener!$B$17),Database!$AC267&amp;""))))</f>
        <v/>
      </c>
      <c r="I267" s="220">
        <f>IF(OR(N(Database!$BH267)&lt;=0,N(Screener!$D$13)&lt;=0),0,MAX(0,1-ABS(LOG10(N(Database!$BH267)/Screener!$D$13))/W_PEHW))</f>
        <v/>
      </c>
      <c r="J267" s="220">
        <f>IF(OR(N(Database!$S267)&lt;=0,N(Screener!$D$14)&lt;=0),0,MAX(0,1-ABS(LOG10(Database!$S267/Screener!$D$14))/0.6))</f>
        <v/>
      </c>
      <c r="K267" s="220">
        <f>IF(Database!$B267=Screener!$B$5,-999999,IF(ISNUMBER(SEARCH(","&amp;Database!$A267&amp;",",","&amp;SUBSTITUTE(Screener!$D$17," ","")&amp;",")),2000000,IF(IF(OR(Screener!$B$18="All",AND(Screener!$B$18="With A-share",(Database!$BM267="Y")),AND(Screener!$B$18="Without A-share",NOT((Database!$BM267="Y")))),1,0)=0,-999999,IF(Screener!$B$16="cornerstone overlap first",H267*100000,IF(Screener!$B$16="demand-similar first",J267*100000,0))+W_SUB*B267+W_SEC*C267*(1-B267)+W_SIZE*D267+W_PROF*E267+W_AH*F267+W_REC*G267+W_CS*H267+W_PE*I267)))+ROW()/1000000</f>
        <v/>
      </c>
      <c r="AA267" s="220">
        <f>Database!B256</f>
        <v/>
      </c>
      <c r="AB267" s="220">
        <f>Database!D256</f>
        <v/>
      </c>
      <c r="AC267" s="220">
        <f>Database!E256</f>
        <v/>
      </c>
      <c r="AD267" s="220">
        <f>Database!I256</f>
        <v/>
      </c>
      <c r="AE267" s="220">
        <f>Database!BG256</f>
        <v/>
      </c>
      <c r="AF267" s="220">
        <f>Database!BM256</f>
        <v/>
      </c>
      <c r="AG267" s="220">
        <f>Database!H256</f>
        <v/>
      </c>
      <c r="AH267" s="220">
        <f>Database!BH256</f>
        <v/>
      </c>
    </row>
    <row r="268">
      <c r="A268" s="220">
        <f>Database!B268</f>
        <v/>
      </c>
      <c r="B268" s="220">
        <f>IF(AND(Screener!$D$8&lt;&gt;"",Database!$E268=Screener!$D$8),1,0)</f>
        <v/>
      </c>
      <c r="C268" s="220">
        <f>IF(AND(Screener!$D$7&lt;&gt;"",Database!$D268=Screener!$D$7),1,0)</f>
        <v/>
      </c>
      <c r="D268" s="220">
        <f>IF(OR(N(Database!$I268)&lt;=0,N(Screener!$D$9)&lt;=0),0,MAX(0,1-ABS(LOG10(N(Database!$I268)/Screener!$D$9))/W_SIZEHW))</f>
        <v/>
      </c>
      <c r="E268" s="220">
        <f>IF(OR(Database!$BG268="",Screener!$D$10=""),0,IF(Database!$BG268=Screener!$D$10,1,0))</f>
        <v/>
      </c>
      <c r="F268" s="220">
        <f>IF(OR(Database!$BM268="",Screener!$D$11=""),0,IF(Database!$BM268=Screener!$D$11,1,0))</f>
        <v/>
      </c>
      <c r="G268" s="220">
        <f>IF(OR(Database!$H268="",N(Screener!$D$12)&lt;=0),0,MAX(0,1-(N(Screener!$D$12)-Database!$H268)/W_RECD))</f>
        <v/>
      </c>
      <c r="H268" s="220">
        <f>IF($U$1="",0,N(ISNUMBER(SEARCH($U$1,Database!$AC268&amp;""))))+IF($V$1="",0,N(ISNUMBER(SEARCH($V$1,Database!$AC268&amp;""))))+IF($W$1="",0,N(ISNUMBER(SEARCH($W$1,Database!$AC268&amp;""))))+IF($X$1="",0,N(ISNUMBER(SEARCH($X$1,Database!$AC268&amp;""))))+IF($Y$1="",0,N(ISNUMBER(SEARCH($Y$1,Database!$AC268&amp;""))))+IF(Screener!$B$17="",0,N(ISNUMBER(SEARCH(LOWER(Screener!$B$17),Database!$AC268&amp;""))))</f>
        <v/>
      </c>
      <c r="I268" s="220">
        <f>IF(OR(N(Database!$BH268)&lt;=0,N(Screener!$D$13)&lt;=0),0,MAX(0,1-ABS(LOG10(N(Database!$BH268)/Screener!$D$13))/W_PEHW))</f>
        <v/>
      </c>
      <c r="J268" s="220">
        <f>IF(OR(N(Database!$S268)&lt;=0,N(Screener!$D$14)&lt;=0),0,MAX(0,1-ABS(LOG10(Database!$S268/Screener!$D$14))/0.6))</f>
        <v/>
      </c>
      <c r="K268" s="220">
        <f>IF(Database!$B268=Screener!$B$5,-999999,IF(ISNUMBER(SEARCH(","&amp;Database!$A268&amp;",",","&amp;SUBSTITUTE(Screener!$D$17," ","")&amp;",")),2000000,IF(IF(OR(Screener!$B$18="All",AND(Screener!$B$18="With A-share",(Database!$BM268="Y")),AND(Screener!$B$18="Without A-share",NOT((Database!$BM268="Y")))),1,0)=0,-999999,IF(Screener!$B$16="cornerstone overlap first",H268*100000,IF(Screener!$B$16="demand-similar first",J268*100000,0))+W_SUB*B268+W_SEC*C268*(1-B268)+W_SIZE*D268+W_PROF*E268+W_AH*F268+W_REC*G268+W_CS*H268+W_PE*I268)))+ROW()/1000000</f>
        <v/>
      </c>
      <c r="AA268" s="220">
        <f>Database!B257</f>
        <v/>
      </c>
      <c r="AB268" s="220">
        <f>Database!D257</f>
        <v/>
      </c>
      <c r="AC268" s="220">
        <f>Database!E257</f>
        <v/>
      </c>
      <c r="AD268" s="220">
        <f>Database!I257</f>
        <v/>
      </c>
      <c r="AE268" s="220">
        <f>Database!BG257</f>
        <v/>
      </c>
      <c r="AF268" s="220">
        <f>Database!BM257</f>
        <v/>
      </c>
      <c r="AG268" s="220">
        <f>Database!H257</f>
        <v/>
      </c>
      <c r="AH268" s="220">
        <f>Database!BH257</f>
        <v/>
      </c>
    </row>
    <row r="269">
      <c r="A269" s="220">
        <f>Database!B269</f>
        <v/>
      </c>
      <c r="B269" s="220">
        <f>IF(AND(Screener!$D$8&lt;&gt;"",Database!$E269=Screener!$D$8),1,0)</f>
        <v/>
      </c>
      <c r="C269" s="220">
        <f>IF(AND(Screener!$D$7&lt;&gt;"",Database!$D269=Screener!$D$7),1,0)</f>
        <v/>
      </c>
      <c r="D269" s="220">
        <f>IF(OR(N(Database!$I269)&lt;=0,N(Screener!$D$9)&lt;=0),0,MAX(0,1-ABS(LOG10(N(Database!$I269)/Screener!$D$9))/W_SIZEHW))</f>
        <v/>
      </c>
      <c r="E269" s="220">
        <f>IF(OR(Database!$BG269="",Screener!$D$10=""),0,IF(Database!$BG269=Screener!$D$10,1,0))</f>
        <v/>
      </c>
      <c r="F269" s="220">
        <f>IF(OR(Database!$BM269="",Screener!$D$11=""),0,IF(Database!$BM269=Screener!$D$11,1,0))</f>
        <v/>
      </c>
      <c r="G269" s="220">
        <f>IF(OR(Database!$H269="",N(Screener!$D$12)&lt;=0),0,MAX(0,1-(N(Screener!$D$12)-Database!$H269)/W_RECD))</f>
        <v/>
      </c>
      <c r="H269" s="220">
        <f>IF($U$1="",0,N(ISNUMBER(SEARCH($U$1,Database!$AC269&amp;""))))+IF($V$1="",0,N(ISNUMBER(SEARCH($V$1,Database!$AC269&amp;""))))+IF($W$1="",0,N(ISNUMBER(SEARCH($W$1,Database!$AC269&amp;""))))+IF($X$1="",0,N(ISNUMBER(SEARCH($X$1,Database!$AC269&amp;""))))+IF($Y$1="",0,N(ISNUMBER(SEARCH($Y$1,Database!$AC269&amp;""))))+IF(Screener!$B$17="",0,N(ISNUMBER(SEARCH(LOWER(Screener!$B$17),Database!$AC269&amp;""))))</f>
        <v/>
      </c>
      <c r="I269" s="220">
        <f>IF(OR(N(Database!$BH269)&lt;=0,N(Screener!$D$13)&lt;=0),0,MAX(0,1-ABS(LOG10(N(Database!$BH269)/Screener!$D$13))/W_PEHW))</f>
        <v/>
      </c>
      <c r="J269" s="220">
        <f>IF(OR(N(Database!$S269)&lt;=0,N(Screener!$D$14)&lt;=0),0,MAX(0,1-ABS(LOG10(Database!$S269/Screener!$D$14))/0.6))</f>
        <v/>
      </c>
      <c r="K269" s="220">
        <f>IF(Database!$B269=Screener!$B$5,-999999,IF(ISNUMBER(SEARCH(","&amp;Database!$A269&amp;",",","&amp;SUBSTITUTE(Screener!$D$17," ","")&amp;",")),2000000,IF(IF(OR(Screener!$B$18="All",AND(Screener!$B$18="With A-share",(Database!$BM269="Y")),AND(Screener!$B$18="Without A-share",NOT((Database!$BM269="Y")))),1,0)=0,-999999,IF(Screener!$B$16="cornerstone overlap first",H269*100000,IF(Screener!$B$16="demand-similar first",J269*100000,0))+W_SUB*B269+W_SEC*C269*(1-B269)+W_SIZE*D269+W_PROF*E269+W_AH*F269+W_REC*G269+W_CS*H269+W_PE*I269)))+ROW()/1000000</f>
        <v/>
      </c>
      <c r="AA269" s="220">
        <f>Database!B258</f>
        <v/>
      </c>
      <c r="AB269" s="220">
        <f>Database!D258</f>
        <v/>
      </c>
      <c r="AC269" s="220">
        <f>Database!E258</f>
        <v/>
      </c>
      <c r="AD269" s="220">
        <f>Database!I258</f>
        <v/>
      </c>
      <c r="AE269" s="220">
        <f>Database!BG258</f>
        <v/>
      </c>
      <c r="AF269" s="220">
        <f>Database!BM258</f>
        <v/>
      </c>
      <c r="AG269" s="220">
        <f>Database!H258</f>
        <v/>
      </c>
      <c r="AH269" s="220">
        <f>Database!BH258</f>
        <v/>
      </c>
    </row>
    <row r="270">
      <c r="A270" s="220">
        <f>Database!B270</f>
        <v/>
      </c>
      <c r="B270" s="220">
        <f>IF(AND(Screener!$D$8&lt;&gt;"",Database!$E270=Screener!$D$8),1,0)</f>
        <v/>
      </c>
      <c r="C270" s="220">
        <f>IF(AND(Screener!$D$7&lt;&gt;"",Database!$D270=Screener!$D$7),1,0)</f>
        <v/>
      </c>
      <c r="D270" s="220">
        <f>IF(OR(N(Database!$I270)&lt;=0,N(Screener!$D$9)&lt;=0),0,MAX(0,1-ABS(LOG10(N(Database!$I270)/Screener!$D$9))/W_SIZEHW))</f>
        <v/>
      </c>
      <c r="E270" s="220">
        <f>IF(OR(Database!$BG270="",Screener!$D$10=""),0,IF(Database!$BG270=Screener!$D$10,1,0))</f>
        <v/>
      </c>
      <c r="F270" s="220">
        <f>IF(OR(Database!$BM270="",Screener!$D$11=""),0,IF(Database!$BM270=Screener!$D$11,1,0))</f>
        <v/>
      </c>
      <c r="G270" s="220">
        <f>IF(OR(Database!$H270="",N(Screener!$D$12)&lt;=0),0,MAX(0,1-(N(Screener!$D$12)-Database!$H270)/W_RECD))</f>
        <v/>
      </c>
      <c r="H270" s="220">
        <f>IF($U$1="",0,N(ISNUMBER(SEARCH($U$1,Database!$AC270&amp;""))))+IF($V$1="",0,N(ISNUMBER(SEARCH($V$1,Database!$AC270&amp;""))))+IF($W$1="",0,N(ISNUMBER(SEARCH($W$1,Database!$AC270&amp;""))))+IF($X$1="",0,N(ISNUMBER(SEARCH($X$1,Database!$AC270&amp;""))))+IF($Y$1="",0,N(ISNUMBER(SEARCH($Y$1,Database!$AC270&amp;""))))+IF(Screener!$B$17="",0,N(ISNUMBER(SEARCH(LOWER(Screener!$B$17),Database!$AC270&amp;""))))</f>
        <v/>
      </c>
      <c r="I270" s="220">
        <f>IF(OR(N(Database!$BH270)&lt;=0,N(Screener!$D$13)&lt;=0),0,MAX(0,1-ABS(LOG10(N(Database!$BH270)/Screener!$D$13))/W_PEHW))</f>
        <v/>
      </c>
      <c r="J270" s="220">
        <f>IF(OR(N(Database!$S270)&lt;=0,N(Screener!$D$14)&lt;=0),0,MAX(0,1-ABS(LOG10(Database!$S270/Screener!$D$14))/0.6))</f>
        <v/>
      </c>
      <c r="K270" s="220">
        <f>IF(Database!$B270=Screener!$B$5,-999999,IF(ISNUMBER(SEARCH(","&amp;Database!$A270&amp;",",","&amp;SUBSTITUTE(Screener!$D$17," ","")&amp;",")),2000000,IF(IF(OR(Screener!$B$18="All",AND(Screener!$B$18="With A-share",(Database!$BM270="Y")),AND(Screener!$B$18="Without A-share",NOT((Database!$BM270="Y")))),1,0)=0,-999999,IF(Screener!$B$16="cornerstone overlap first",H270*100000,IF(Screener!$B$16="demand-similar first",J270*100000,0))+W_SUB*B270+W_SEC*C270*(1-B270)+W_SIZE*D270+W_PROF*E270+W_AH*F270+W_REC*G270+W_CS*H270+W_PE*I270)))+ROW()/1000000</f>
        <v/>
      </c>
      <c r="AA270" s="220">
        <f>Database!B259</f>
        <v/>
      </c>
      <c r="AB270" s="220">
        <f>Database!D259</f>
        <v/>
      </c>
      <c r="AC270" s="220">
        <f>Database!E259</f>
        <v/>
      </c>
      <c r="AD270" s="220">
        <f>Database!I259</f>
        <v/>
      </c>
      <c r="AE270" s="220">
        <f>Database!BG259</f>
        <v/>
      </c>
      <c r="AF270" s="220">
        <f>Database!BM259</f>
        <v/>
      </c>
      <c r="AG270" s="220">
        <f>Database!H259</f>
        <v/>
      </c>
      <c r="AH270" s="220">
        <f>Database!BH259</f>
        <v/>
      </c>
    </row>
    <row r="271">
      <c r="A271" s="220">
        <f>Database!B271</f>
        <v/>
      </c>
      <c r="B271" s="220">
        <f>IF(AND(Screener!$D$8&lt;&gt;"",Database!$E271=Screener!$D$8),1,0)</f>
        <v/>
      </c>
      <c r="C271" s="220">
        <f>IF(AND(Screener!$D$7&lt;&gt;"",Database!$D271=Screener!$D$7),1,0)</f>
        <v/>
      </c>
      <c r="D271" s="220">
        <f>IF(OR(N(Database!$I271)&lt;=0,N(Screener!$D$9)&lt;=0),0,MAX(0,1-ABS(LOG10(N(Database!$I271)/Screener!$D$9))/W_SIZEHW))</f>
        <v/>
      </c>
      <c r="E271" s="220">
        <f>IF(OR(Database!$BG271="",Screener!$D$10=""),0,IF(Database!$BG271=Screener!$D$10,1,0))</f>
        <v/>
      </c>
      <c r="F271" s="220">
        <f>IF(OR(Database!$BM271="",Screener!$D$11=""),0,IF(Database!$BM271=Screener!$D$11,1,0))</f>
        <v/>
      </c>
      <c r="G271" s="220">
        <f>IF(OR(Database!$H271="",N(Screener!$D$12)&lt;=0),0,MAX(0,1-(N(Screener!$D$12)-Database!$H271)/W_RECD))</f>
        <v/>
      </c>
      <c r="H271" s="220">
        <f>IF($U$1="",0,N(ISNUMBER(SEARCH($U$1,Database!$AC271&amp;""))))+IF($V$1="",0,N(ISNUMBER(SEARCH($V$1,Database!$AC271&amp;""))))+IF($W$1="",0,N(ISNUMBER(SEARCH($W$1,Database!$AC271&amp;""))))+IF($X$1="",0,N(ISNUMBER(SEARCH($X$1,Database!$AC271&amp;""))))+IF($Y$1="",0,N(ISNUMBER(SEARCH($Y$1,Database!$AC271&amp;""))))+IF(Screener!$B$17="",0,N(ISNUMBER(SEARCH(LOWER(Screener!$B$17),Database!$AC271&amp;""))))</f>
        <v/>
      </c>
      <c r="I271" s="220">
        <f>IF(OR(N(Database!$BH271)&lt;=0,N(Screener!$D$13)&lt;=0),0,MAX(0,1-ABS(LOG10(N(Database!$BH271)/Screener!$D$13))/W_PEHW))</f>
        <v/>
      </c>
      <c r="J271" s="220">
        <f>IF(OR(N(Database!$S271)&lt;=0,N(Screener!$D$14)&lt;=0),0,MAX(0,1-ABS(LOG10(Database!$S271/Screener!$D$14))/0.6))</f>
        <v/>
      </c>
      <c r="K271" s="220">
        <f>IF(Database!$B271=Screener!$B$5,-999999,IF(ISNUMBER(SEARCH(","&amp;Database!$A271&amp;",",","&amp;SUBSTITUTE(Screener!$D$17," ","")&amp;",")),2000000,IF(IF(OR(Screener!$B$18="All",AND(Screener!$B$18="With A-share",(Database!$BM271="Y")),AND(Screener!$B$18="Without A-share",NOT((Database!$BM271="Y")))),1,0)=0,-999999,IF(Screener!$B$16="cornerstone overlap first",H271*100000,IF(Screener!$B$16="demand-similar first",J271*100000,0))+W_SUB*B271+W_SEC*C271*(1-B271)+W_SIZE*D271+W_PROF*E271+W_AH*F271+W_REC*G271+W_CS*H271+W_PE*I271)))+ROW()/1000000</f>
        <v/>
      </c>
      <c r="AA271" s="220">
        <f>Database!B260</f>
        <v/>
      </c>
      <c r="AB271" s="220">
        <f>Database!D260</f>
        <v/>
      </c>
      <c r="AC271" s="220">
        <f>Database!E260</f>
        <v/>
      </c>
      <c r="AD271" s="220">
        <f>Database!I260</f>
        <v/>
      </c>
      <c r="AE271" s="220">
        <f>Database!BG260</f>
        <v/>
      </c>
      <c r="AF271" s="220">
        <f>Database!BM260</f>
        <v/>
      </c>
      <c r="AG271" s="220">
        <f>Database!H260</f>
        <v/>
      </c>
      <c r="AH271" s="220">
        <f>Database!BH260</f>
        <v/>
      </c>
    </row>
    <row r="272">
      <c r="A272" s="220">
        <f>Database!B272</f>
        <v/>
      </c>
      <c r="B272" s="220">
        <f>IF(AND(Screener!$D$8&lt;&gt;"",Database!$E272=Screener!$D$8),1,0)</f>
        <v/>
      </c>
      <c r="C272" s="220">
        <f>IF(AND(Screener!$D$7&lt;&gt;"",Database!$D272=Screener!$D$7),1,0)</f>
        <v/>
      </c>
      <c r="D272" s="220">
        <f>IF(OR(N(Database!$I272)&lt;=0,N(Screener!$D$9)&lt;=0),0,MAX(0,1-ABS(LOG10(N(Database!$I272)/Screener!$D$9))/W_SIZEHW))</f>
        <v/>
      </c>
      <c r="E272" s="220">
        <f>IF(OR(Database!$BG272="",Screener!$D$10=""),0,IF(Database!$BG272=Screener!$D$10,1,0))</f>
        <v/>
      </c>
      <c r="F272" s="220">
        <f>IF(OR(Database!$BM272="",Screener!$D$11=""),0,IF(Database!$BM272=Screener!$D$11,1,0))</f>
        <v/>
      </c>
      <c r="G272" s="220">
        <f>IF(OR(Database!$H272="",N(Screener!$D$12)&lt;=0),0,MAX(0,1-(N(Screener!$D$12)-Database!$H272)/W_RECD))</f>
        <v/>
      </c>
      <c r="H272" s="220">
        <f>IF($U$1="",0,N(ISNUMBER(SEARCH($U$1,Database!$AC272&amp;""))))+IF($V$1="",0,N(ISNUMBER(SEARCH($V$1,Database!$AC272&amp;""))))+IF($W$1="",0,N(ISNUMBER(SEARCH($W$1,Database!$AC272&amp;""))))+IF($X$1="",0,N(ISNUMBER(SEARCH($X$1,Database!$AC272&amp;""))))+IF($Y$1="",0,N(ISNUMBER(SEARCH($Y$1,Database!$AC272&amp;""))))+IF(Screener!$B$17="",0,N(ISNUMBER(SEARCH(LOWER(Screener!$B$17),Database!$AC272&amp;""))))</f>
        <v/>
      </c>
      <c r="I272" s="220">
        <f>IF(OR(N(Database!$BH272)&lt;=0,N(Screener!$D$13)&lt;=0),0,MAX(0,1-ABS(LOG10(N(Database!$BH272)/Screener!$D$13))/W_PEHW))</f>
        <v/>
      </c>
      <c r="J272" s="220">
        <f>IF(OR(N(Database!$S272)&lt;=0,N(Screener!$D$14)&lt;=0),0,MAX(0,1-ABS(LOG10(Database!$S272/Screener!$D$14))/0.6))</f>
        <v/>
      </c>
      <c r="K272" s="220">
        <f>IF(Database!$B272=Screener!$B$5,-999999,IF(ISNUMBER(SEARCH(","&amp;Database!$A272&amp;",",","&amp;SUBSTITUTE(Screener!$D$17," ","")&amp;",")),2000000,IF(IF(OR(Screener!$B$18="All",AND(Screener!$B$18="With A-share",(Database!$BM272="Y")),AND(Screener!$B$18="Without A-share",NOT((Database!$BM272="Y")))),1,0)=0,-999999,IF(Screener!$B$16="cornerstone overlap first",H272*100000,IF(Screener!$B$16="demand-similar first",J272*100000,0))+W_SUB*B272+W_SEC*C272*(1-B272)+W_SIZE*D272+W_PROF*E272+W_AH*F272+W_REC*G272+W_CS*H272+W_PE*I272)))+ROW()/1000000</f>
        <v/>
      </c>
      <c r="AA272" s="220">
        <f>Database!B261</f>
        <v/>
      </c>
      <c r="AB272" s="220">
        <f>Database!D261</f>
        <v/>
      </c>
      <c r="AC272" s="220">
        <f>Database!E261</f>
        <v/>
      </c>
      <c r="AD272" s="220">
        <f>Database!I261</f>
        <v/>
      </c>
      <c r="AE272" s="220">
        <f>Database!BG261</f>
        <v/>
      </c>
      <c r="AF272" s="220">
        <f>Database!BM261</f>
        <v/>
      </c>
      <c r="AG272" s="220">
        <f>Database!H261</f>
        <v/>
      </c>
      <c r="AH272" s="220">
        <f>Database!BH261</f>
        <v/>
      </c>
    </row>
    <row r="273">
      <c r="A273" s="220">
        <f>Database!B273</f>
        <v/>
      </c>
      <c r="B273" s="220">
        <f>IF(AND(Screener!$D$8&lt;&gt;"",Database!$E273=Screener!$D$8),1,0)</f>
        <v/>
      </c>
      <c r="C273" s="220">
        <f>IF(AND(Screener!$D$7&lt;&gt;"",Database!$D273=Screener!$D$7),1,0)</f>
        <v/>
      </c>
      <c r="D273" s="220">
        <f>IF(OR(N(Database!$I273)&lt;=0,N(Screener!$D$9)&lt;=0),0,MAX(0,1-ABS(LOG10(N(Database!$I273)/Screener!$D$9))/W_SIZEHW))</f>
        <v/>
      </c>
      <c r="E273" s="220">
        <f>IF(OR(Database!$BG273="",Screener!$D$10=""),0,IF(Database!$BG273=Screener!$D$10,1,0))</f>
        <v/>
      </c>
      <c r="F273" s="220">
        <f>IF(OR(Database!$BM273="",Screener!$D$11=""),0,IF(Database!$BM273=Screener!$D$11,1,0))</f>
        <v/>
      </c>
      <c r="G273" s="220">
        <f>IF(OR(Database!$H273="",N(Screener!$D$12)&lt;=0),0,MAX(0,1-(N(Screener!$D$12)-Database!$H273)/W_RECD))</f>
        <v/>
      </c>
      <c r="H273" s="220">
        <f>IF($U$1="",0,N(ISNUMBER(SEARCH($U$1,Database!$AC273&amp;""))))+IF($V$1="",0,N(ISNUMBER(SEARCH($V$1,Database!$AC273&amp;""))))+IF($W$1="",0,N(ISNUMBER(SEARCH($W$1,Database!$AC273&amp;""))))+IF($X$1="",0,N(ISNUMBER(SEARCH($X$1,Database!$AC273&amp;""))))+IF($Y$1="",0,N(ISNUMBER(SEARCH($Y$1,Database!$AC273&amp;""))))+IF(Screener!$B$17="",0,N(ISNUMBER(SEARCH(LOWER(Screener!$B$17),Database!$AC273&amp;""))))</f>
        <v/>
      </c>
      <c r="I273" s="220">
        <f>IF(OR(N(Database!$BH273)&lt;=0,N(Screener!$D$13)&lt;=0),0,MAX(0,1-ABS(LOG10(N(Database!$BH273)/Screener!$D$13))/W_PEHW))</f>
        <v/>
      </c>
      <c r="J273" s="220">
        <f>IF(OR(N(Database!$S273)&lt;=0,N(Screener!$D$14)&lt;=0),0,MAX(0,1-ABS(LOG10(Database!$S273/Screener!$D$14))/0.6))</f>
        <v/>
      </c>
      <c r="K273" s="220">
        <f>IF(Database!$B273=Screener!$B$5,-999999,IF(ISNUMBER(SEARCH(","&amp;Database!$A273&amp;",",","&amp;SUBSTITUTE(Screener!$D$17," ","")&amp;",")),2000000,IF(IF(OR(Screener!$B$18="All",AND(Screener!$B$18="With A-share",(Database!$BM273="Y")),AND(Screener!$B$18="Without A-share",NOT((Database!$BM273="Y")))),1,0)=0,-999999,IF(Screener!$B$16="cornerstone overlap first",H273*100000,IF(Screener!$B$16="demand-similar first",J273*100000,0))+W_SUB*B273+W_SEC*C273*(1-B273)+W_SIZE*D273+W_PROF*E273+W_AH*F273+W_REC*G273+W_CS*H273+W_PE*I273)))+ROW()/1000000</f>
        <v/>
      </c>
      <c r="AA273" s="220">
        <f>Database!B262</f>
        <v/>
      </c>
      <c r="AB273" s="220">
        <f>Database!D262</f>
        <v/>
      </c>
      <c r="AC273" s="220">
        <f>Database!E262</f>
        <v/>
      </c>
      <c r="AD273" s="220">
        <f>Database!I262</f>
        <v/>
      </c>
      <c r="AE273" s="220">
        <f>Database!BG262</f>
        <v/>
      </c>
      <c r="AF273" s="220">
        <f>Database!BM262</f>
        <v/>
      </c>
      <c r="AG273" s="220">
        <f>Database!H262</f>
        <v/>
      </c>
      <c r="AH273" s="220">
        <f>Database!BH262</f>
        <v/>
      </c>
    </row>
    <row r="274">
      <c r="A274" s="220">
        <f>Database!B274</f>
        <v/>
      </c>
      <c r="B274" s="220">
        <f>IF(AND(Screener!$D$8&lt;&gt;"",Database!$E274=Screener!$D$8),1,0)</f>
        <v/>
      </c>
      <c r="C274" s="220">
        <f>IF(AND(Screener!$D$7&lt;&gt;"",Database!$D274=Screener!$D$7),1,0)</f>
        <v/>
      </c>
      <c r="D274" s="220">
        <f>IF(OR(N(Database!$I274)&lt;=0,N(Screener!$D$9)&lt;=0),0,MAX(0,1-ABS(LOG10(N(Database!$I274)/Screener!$D$9))/W_SIZEHW))</f>
        <v/>
      </c>
      <c r="E274" s="220">
        <f>IF(OR(Database!$BG274="",Screener!$D$10=""),0,IF(Database!$BG274=Screener!$D$10,1,0))</f>
        <v/>
      </c>
      <c r="F274" s="220">
        <f>IF(OR(Database!$BM274="",Screener!$D$11=""),0,IF(Database!$BM274=Screener!$D$11,1,0))</f>
        <v/>
      </c>
      <c r="G274" s="220">
        <f>IF(OR(Database!$H274="",N(Screener!$D$12)&lt;=0),0,MAX(0,1-(N(Screener!$D$12)-Database!$H274)/W_RECD))</f>
        <v/>
      </c>
      <c r="H274" s="220">
        <f>IF($U$1="",0,N(ISNUMBER(SEARCH($U$1,Database!$AC274&amp;""))))+IF($V$1="",0,N(ISNUMBER(SEARCH($V$1,Database!$AC274&amp;""))))+IF($W$1="",0,N(ISNUMBER(SEARCH($W$1,Database!$AC274&amp;""))))+IF($X$1="",0,N(ISNUMBER(SEARCH($X$1,Database!$AC274&amp;""))))+IF($Y$1="",0,N(ISNUMBER(SEARCH($Y$1,Database!$AC274&amp;""))))+IF(Screener!$B$17="",0,N(ISNUMBER(SEARCH(LOWER(Screener!$B$17),Database!$AC274&amp;""))))</f>
        <v/>
      </c>
      <c r="I274" s="220">
        <f>IF(OR(N(Database!$BH274)&lt;=0,N(Screener!$D$13)&lt;=0),0,MAX(0,1-ABS(LOG10(N(Database!$BH274)/Screener!$D$13))/W_PEHW))</f>
        <v/>
      </c>
      <c r="J274" s="220">
        <f>IF(OR(N(Database!$S274)&lt;=0,N(Screener!$D$14)&lt;=0),0,MAX(0,1-ABS(LOG10(Database!$S274/Screener!$D$14))/0.6))</f>
        <v/>
      </c>
      <c r="K274" s="220">
        <f>IF(Database!$B274=Screener!$B$5,-999999,IF(ISNUMBER(SEARCH(","&amp;Database!$A274&amp;",",","&amp;SUBSTITUTE(Screener!$D$17," ","")&amp;",")),2000000,IF(IF(OR(Screener!$B$18="All",AND(Screener!$B$18="With A-share",(Database!$BM274="Y")),AND(Screener!$B$18="Without A-share",NOT((Database!$BM274="Y")))),1,0)=0,-999999,IF(Screener!$B$16="cornerstone overlap first",H274*100000,IF(Screener!$B$16="demand-similar first",J274*100000,0))+W_SUB*B274+W_SEC*C274*(1-B274)+W_SIZE*D274+W_PROF*E274+W_AH*F274+W_REC*G274+W_CS*H274+W_PE*I274)))+ROW()/1000000</f>
        <v/>
      </c>
      <c r="AA274" s="220">
        <f>Database!B263</f>
        <v/>
      </c>
      <c r="AB274" s="220">
        <f>Database!D263</f>
        <v/>
      </c>
      <c r="AC274" s="220">
        <f>Database!E263</f>
        <v/>
      </c>
      <c r="AD274" s="220">
        <f>Database!I263</f>
        <v/>
      </c>
      <c r="AE274" s="220">
        <f>Database!BG263</f>
        <v/>
      </c>
      <c r="AF274" s="220">
        <f>Database!BM263</f>
        <v/>
      </c>
      <c r="AG274" s="220">
        <f>Database!H263</f>
        <v/>
      </c>
      <c r="AH274" s="220">
        <f>Database!BH263</f>
        <v/>
      </c>
    </row>
    <row r="275">
      <c r="A275" s="220">
        <f>Database!B275</f>
        <v/>
      </c>
      <c r="B275" s="220">
        <f>IF(AND(Screener!$D$8&lt;&gt;"",Database!$E275=Screener!$D$8),1,0)</f>
        <v/>
      </c>
      <c r="C275" s="220">
        <f>IF(AND(Screener!$D$7&lt;&gt;"",Database!$D275=Screener!$D$7),1,0)</f>
        <v/>
      </c>
      <c r="D275" s="220">
        <f>IF(OR(N(Database!$I275)&lt;=0,N(Screener!$D$9)&lt;=0),0,MAX(0,1-ABS(LOG10(N(Database!$I275)/Screener!$D$9))/W_SIZEHW))</f>
        <v/>
      </c>
      <c r="E275" s="220">
        <f>IF(OR(Database!$BG275="",Screener!$D$10=""),0,IF(Database!$BG275=Screener!$D$10,1,0))</f>
        <v/>
      </c>
      <c r="F275" s="220">
        <f>IF(OR(Database!$BM275="",Screener!$D$11=""),0,IF(Database!$BM275=Screener!$D$11,1,0))</f>
        <v/>
      </c>
      <c r="G275" s="220">
        <f>IF(OR(Database!$H275="",N(Screener!$D$12)&lt;=0),0,MAX(0,1-(N(Screener!$D$12)-Database!$H275)/W_RECD))</f>
        <v/>
      </c>
      <c r="H275" s="220">
        <f>IF($U$1="",0,N(ISNUMBER(SEARCH($U$1,Database!$AC275&amp;""))))+IF($V$1="",0,N(ISNUMBER(SEARCH($V$1,Database!$AC275&amp;""))))+IF($W$1="",0,N(ISNUMBER(SEARCH($W$1,Database!$AC275&amp;""))))+IF($X$1="",0,N(ISNUMBER(SEARCH($X$1,Database!$AC275&amp;""))))+IF($Y$1="",0,N(ISNUMBER(SEARCH($Y$1,Database!$AC275&amp;""))))+IF(Screener!$B$17="",0,N(ISNUMBER(SEARCH(LOWER(Screener!$B$17),Database!$AC275&amp;""))))</f>
        <v/>
      </c>
      <c r="I275" s="220">
        <f>IF(OR(N(Database!$BH275)&lt;=0,N(Screener!$D$13)&lt;=0),0,MAX(0,1-ABS(LOG10(N(Database!$BH275)/Screener!$D$13))/W_PEHW))</f>
        <v/>
      </c>
      <c r="J275" s="220">
        <f>IF(OR(N(Database!$S275)&lt;=0,N(Screener!$D$14)&lt;=0),0,MAX(0,1-ABS(LOG10(Database!$S275/Screener!$D$14))/0.6))</f>
        <v/>
      </c>
      <c r="K275" s="220">
        <f>IF(Database!$B275=Screener!$B$5,-999999,IF(ISNUMBER(SEARCH(","&amp;Database!$A275&amp;",",","&amp;SUBSTITUTE(Screener!$D$17," ","")&amp;",")),2000000,IF(IF(OR(Screener!$B$18="All",AND(Screener!$B$18="With A-share",(Database!$BM275="Y")),AND(Screener!$B$18="Without A-share",NOT((Database!$BM275="Y")))),1,0)=0,-999999,IF(Screener!$B$16="cornerstone overlap first",H275*100000,IF(Screener!$B$16="demand-similar first",J275*100000,0))+W_SUB*B275+W_SEC*C275*(1-B275)+W_SIZE*D275+W_PROF*E275+W_AH*F275+W_REC*G275+W_CS*H275+W_PE*I275)))+ROW()/1000000</f>
        <v/>
      </c>
      <c r="AA275" s="220">
        <f>Database!B264</f>
        <v/>
      </c>
      <c r="AB275" s="220">
        <f>Database!D264</f>
        <v/>
      </c>
      <c r="AC275" s="220">
        <f>Database!E264</f>
        <v/>
      </c>
      <c r="AD275" s="220">
        <f>Database!I264</f>
        <v/>
      </c>
      <c r="AE275" s="220">
        <f>Database!BG264</f>
        <v/>
      </c>
      <c r="AF275" s="220">
        <f>Database!BM264</f>
        <v/>
      </c>
      <c r="AG275" s="220">
        <f>Database!H264</f>
        <v/>
      </c>
      <c r="AH275" s="220">
        <f>Database!BH264</f>
        <v/>
      </c>
    </row>
    <row r="276">
      <c r="A276" s="220">
        <f>Database!B276</f>
        <v/>
      </c>
      <c r="B276" s="220">
        <f>IF(AND(Screener!$D$8&lt;&gt;"",Database!$E276=Screener!$D$8),1,0)</f>
        <v/>
      </c>
      <c r="C276" s="220">
        <f>IF(AND(Screener!$D$7&lt;&gt;"",Database!$D276=Screener!$D$7),1,0)</f>
        <v/>
      </c>
      <c r="D276" s="220">
        <f>IF(OR(N(Database!$I276)&lt;=0,N(Screener!$D$9)&lt;=0),0,MAX(0,1-ABS(LOG10(N(Database!$I276)/Screener!$D$9))/W_SIZEHW))</f>
        <v/>
      </c>
      <c r="E276" s="220">
        <f>IF(OR(Database!$BG276="",Screener!$D$10=""),0,IF(Database!$BG276=Screener!$D$10,1,0))</f>
        <v/>
      </c>
      <c r="F276" s="220">
        <f>IF(OR(Database!$BM276="",Screener!$D$11=""),0,IF(Database!$BM276=Screener!$D$11,1,0))</f>
        <v/>
      </c>
      <c r="G276" s="220">
        <f>IF(OR(Database!$H276="",N(Screener!$D$12)&lt;=0),0,MAX(0,1-(N(Screener!$D$12)-Database!$H276)/W_RECD))</f>
        <v/>
      </c>
      <c r="H276" s="220">
        <f>IF($U$1="",0,N(ISNUMBER(SEARCH($U$1,Database!$AC276&amp;""))))+IF($V$1="",0,N(ISNUMBER(SEARCH($V$1,Database!$AC276&amp;""))))+IF($W$1="",0,N(ISNUMBER(SEARCH($W$1,Database!$AC276&amp;""))))+IF($X$1="",0,N(ISNUMBER(SEARCH($X$1,Database!$AC276&amp;""))))+IF($Y$1="",0,N(ISNUMBER(SEARCH($Y$1,Database!$AC276&amp;""))))+IF(Screener!$B$17="",0,N(ISNUMBER(SEARCH(LOWER(Screener!$B$17),Database!$AC276&amp;""))))</f>
        <v/>
      </c>
      <c r="I276" s="220">
        <f>IF(OR(N(Database!$BH276)&lt;=0,N(Screener!$D$13)&lt;=0),0,MAX(0,1-ABS(LOG10(N(Database!$BH276)/Screener!$D$13))/W_PEHW))</f>
        <v/>
      </c>
      <c r="J276" s="220">
        <f>IF(OR(N(Database!$S276)&lt;=0,N(Screener!$D$14)&lt;=0),0,MAX(0,1-ABS(LOG10(Database!$S276/Screener!$D$14))/0.6))</f>
        <v/>
      </c>
      <c r="K276" s="220">
        <f>IF(Database!$B276=Screener!$B$5,-999999,IF(ISNUMBER(SEARCH(","&amp;Database!$A276&amp;",",","&amp;SUBSTITUTE(Screener!$D$17," ","")&amp;",")),2000000,IF(IF(OR(Screener!$B$18="All",AND(Screener!$B$18="With A-share",(Database!$BM276="Y")),AND(Screener!$B$18="Without A-share",NOT((Database!$BM276="Y")))),1,0)=0,-999999,IF(Screener!$B$16="cornerstone overlap first",H276*100000,IF(Screener!$B$16="demand-similar first",J276*100000,0))+W_SUB*B276+W_SEC*C276*(1-B276)+W_SIZE*D276+W_PROF*E276+W_AH*F276+W_REC*G276+W_CS*H276+W_PE*I276)))+ROW()/1000000</f>
        <v/>
      </c>
      <c r="AA276" s="220">
        <f>Database!B265</f>
        <v/>
      </c>
      <c r="AB276" s="220">
        <f>Database!D265</f>
        <v/>
      </c>
      <c r="AC276" s="220">
        <f>Database!E265</f>
        <v/>
      </c>
      <c r="AD276" s="220">
        <f>Database!I265</f>
        <v/>
      </c>
      <c r="AE276" s="220">
        <f>Database!BG265</f>
        <v/>
      </c>
      <c r="AF276" s="220">
        <f>Database!BM265</f>
        <v/>
      </c>
      <c r="AG276" s="220">
        <f>Database!H265</f>
        <v/>
      </c>
      <c r="AH276" s="220">
        <f>Database!BH265</f>
        <v/>
      </c>
    </row>
    <row r="277">
      <c r="A277" s="220">
        <f>Database!B277</f>
        <v/>
      </c>
      <c r="B277" s="220">
        <f>IF(AND(Screener!$D$8&lt;&gt;"",Database!$E277=Screener!$D$8),1,0)</f>
        <v/>
      </c>
      <c r="C277" s="220">
        <f>IF(AND(Screener!$D$7&lt;&gt;"",Database!$D277=Screener!$D$7),1,0)</f>
        <v/>
      </c>
      <c r="D277" s="220">
        <f>IF(OR(N(Database!$I277)&lt;=0,N(Screener!$D$9)&lt;=0),0,MAX(0,1-ABS(LOG10(N(Database!$I277)/Screener!$D$9))/W_SIZEHW))</f>
        <v/>
      </c>
      <c r="E277" s="220">
        <f>IF(OR(Database!$BG277="",Screener!$D$10=""),0,IF(Database!$BG277=Screener!$D$10,1,0))</f>
        <v/>
      </c>
      <c r="F277" s="220">
        <f>IF(OR(Database!$BM277="",Screener!$D$11=""),0,IF(Database!$BM277=Screener!$D$11,1,0))</f>
        <v/>
      </c>
      <c r="G277" s="220">
        <f>IF(OR(Database!$H277="",N(Screener!$D$12)&lt;=0),0,MAX(0,1-(N(Screener!$D$12)-Database!$H277)/W_RECD))</f>
        <v/>
      </c>
      <c r="H277" s="220">
        <f>IF($U$1="",0,N(ISNUMBER(SEARCH($U$1,Database!$AC277&amp;""))))+IF($V$1="",0,N(ISNUMBER(SEARCH($V$1,Database!$AC277&amp;""))))+IF($W$1="",0,N(ISNUMBER(SEARCH($W$1,Database!$AC277&amp;""))))+IF($X$1="",0,N(ISNUMBER(SEARCH($X$1,Database!$AC277&amp;""))))+IF($Y$1="",0,N(ISNUMBER(SEARCH($Y$1,Database!$AC277&amp;""))))+IF(Screener!$B$17="",0,N(ISNUMBER(SEARCH(LOWER(Screener!$B$17),Database!$AC277&amp;""))))</f>
        <v/>
      </c>
      <c r="I277" s="220">
        <f>IF(OR(N(Database!$BH277)&lt;=0,N(Screener!$D$13)&lt;=0),0,MAX(0,1-ABS(LOG10(N(Database!$BH277)/Screener!$D$13))/W_PEHW))</f>
        <v/>
      </c>
      <c r="J277" s="220">
        <f>IF(OR(N(Database!$S277)&lt;=0,N(Screener!$D$14)&lt;=0),0,MAX(0,1-ABS(LOG10(Database!$S277/Screener!$D$14))/0.6))</f>
        <v/>
      </c>
      <c r="K277" s="220">
        <f>IF(Database!$B277=Screener!$B$5,-999999,IF(ISNUMBER(SEARCH(","&amp;Database!$A277&amp;",",","&amp;SUBSTITUTE(Screener!$D$17," ","")&amp;",")),2000000,IF(IF(OR(Screener!$B$18="All",AND(Screener!$B$18="With A-share",(Database!$BM277="Y")),AND(Screener!$B$18="Without A-share",NOT((Database!$BM277="Y")))),1,0)=0,-999999,IF(Screener!$B$16="cornerstone overlap first",H277*100000,IF(Screener!$B$16="demand-similar first",J277*100000,0))+W_SUB*B277+W_SEC*C277*(1-B277)+W_SIZE*D277+W_PROF*E277+W_AH*F277+W_REC*G277+W_CS*H277+W_PE*I277)))+ROW()/1000000</f>
        <v/>
      </c>
      <c r="AA277" s="220">
        <f>Database!B266</f>
        <v/>
      </c>
      <c r="AB277" s="220">
        <f>Database!D266</f>
        <v/>
      </c>
      <c r="AC277" s="220">
        <f>Database!E266</f>
        <v/>
      </c>
      <c r="AD277" s="220">
        <f>Database!I266</f>
        <v/>
      </c>
      <c r="AE277" s="220">
        <f>Database!BG266</f>
        <v/>
      </c>
      <c r="AF277" s="220">
        <f>Database!BM266</f>
        <v/>
      </c>
      <c r="AG277" s="220">
        <f>Database!H266</f>
        <v/>
      </c>
      <c r="AH277" s="220">
        <f>Database!BH266</f>
        <v/>
      </c>
    </row>
    <row r="278">
      <c r="A278" s="220">
        <f>Database!B278</f>
        <v/>
      </c>
      <c r="B278" s="220">
        <f>IF(AND(Screener!$D$8&lt;&gt;"",Database!$E278=Screener!$D$8),1,0)</f>
        <v/>
      </c>
      <c r="C278" s="220">
        <f>IF(AND(Screener!$D$7&lt;&gt;"",Database!$D278=Screener!$D$7),1,0)</f>
        <v/>
      </c>
      <c r="D278" s="220">
        <f>IF(OR(N(Database!$I278)&lt;=0,N(Screener!$D$9)&lt;=0),0,MAX(0,1-ABS(LOG10(N(Database!$I278)/Screener!$D$9))/W_SIZEHW))</f>
        <v/>
      </c>
      <c r="E278" s="220">
        <f>IF(OR(Database!$BG278="",Screener!$D$10=""),0,IF(Database!$BG278=Screener!$D$10,1,0))</f>
        <v/>
      </c>
      <c r="F278" s="220">
        <f>IF(OR(Database!$BM278="",Screener!$D$11=""),0,IF(Database!$BM278=Screener!$D$11,1,0))</f>
        <v/>
      </c>
      <c r="G278" s="220">
        <f>IF(OR(Database!$H278="",N(Screener!$D$12)&lt;=0),0,MAX(0,1-(N(Screener!$D$12)-Database!$H278)/W_RECD))</f>
        <v/>
      </c>
      <c r="H278" s="220">
        <f>IF($U$1="",0,N(ISNUMBER(SEARCH($U$1,Database!$AC278&amp;""))))+IF($V$1="",0,N(ISNUMBER(SEARCH($V$1,Database!$AC278&amp;""))))+IF($W$1="",0,N(ISNUMBER(SEARCH($W$1,Database!$AC278&amp;""))))+IF($X$1="",0,N(ISNUMBER(SEARCH($X$1,Database!$AC278&amp;""))))+IF($Y$1="",0,N(ISNUMBER(SEARCH($Y$1,Database!$AC278&amp;""))))+IF(Screener!$B$17="",0,N(ISNUMBER(SEARCH(LOWER(Screener!$B$17),Database!$AC278&amp;""))))</f>
        <v/>
      </c>
      <c r="I278" s="220">
        <f>IF(OR(N(Database!$BH278)&lt;=0,N(Screener!$D$13)&lt;=0),0,MAX(0,1-ABS(LOG10(N(Database!$BH278)/Screener!$D$13))/W_PEHW))</f>
        <v/>
      </c>
      <c r="J278" s="220">
        <f>IF(OR(N(Database!$S278)&lt;=0,N(Screener!$D$14)&lt;=0),0,MAX(0,1-ABS(LOG10(Database!$S278/Screener!$D$14))/0.6))</f>
        <v/>
      </c>
      <c r="K278" s="220">
        <f>IF(Database!$B278=Screener!$B$5,-999999,IF(ISNUMBER(SEARCH(","&amp;Database!$A278&amp;",",","&amp;SUBSTITUTE(Screener!$D$17," ","")&amp;",")),2000000,IF(IF(OR(Screener!$B$18="All",AND(Screener!$B$18="With A-share",(Database!$BM278="Y")),AND(Screener!$B$18="Without A-share",NOT((Database!$BM278="Y")))),1,0)=0,-999999,IF(Screener!$B$16="cornerstone overlap first",H278*100000,IF(Screener!$B$16="demand-similar first",J278*100000,0))+W_SUB*B278+W_SEC*C278*(1-B278)+W_SIZE*D278+W_PROF*E278+W_AH*F278+W_REC*G278+W_CS*H278+W_PE*I278)))+ROW()/1000000</f>
        <v/>
      </c>
      <c r="AA278" s="220">
        <f>Database!B267</f>
        <v/>
      </c>
      <c r="AB278" s="220">
        <f>Database!D267</f>
        <v/>
      </c>
      <c r="AC278" s="220">
        <f>Database!E267</f>
        <v/>
      </c>
      <c r="AD278" s="220">
        <f>Database!I267</f>
        <v/>
      </c>
      <c r="AE278" s="220">
        <f>Database!BG267</f>
        <v/>
      </c>
      <c r="AF278" s="220">
        <f>Database!BM267</f>
        <v/>
      </c>
      <c r="AG278" s="220">
        <f>Database!H267</f>
        <v/>
      </c>
      <c r="AH278" s="220">
        <f>Database!BH267</f>
        <v/>
      </c>
    </row>
    <row r="279">
      <c r="A279" s="220">
        <f>Database!B279</f>
        <v/>
      </c>
      <c r="B279" s="220">
        <f>IF(AND(Screener!$D$8&lt;&gt;"",Database!$E279=Screener!$D$8),1,0)</f>
        <v/>
      </c>
      <c r="C279" s="220">
        <f>IF(AND(Screener!$D$7&lt;&gt;"",Database!$D279=Screener!$D$7),1,0)</f>
        <v/>
      </c>
      <c r="D279" s="220">
        <f>IF(OR(N(Database!$I279)&lt;=0,N(Screener!$D$9)&lt;=0),0,MAX(0,1-ABS(LOG10(N(Database!$I279)/Screener!$D$9))/W_SIZEHW))</f>
        <v/>
      </c>
      <c r="E279" s="220">
        <f>IF(OR(Database!$BG279="",Screener!$D$10=""),0,IF(Database!$BG279=Screener!$D$10,1,0))</f>
        <v/>
      </c>
      <c r="F279" s="220">
        <f>IF(OR(Database!$BM279="",Screener!$D$11=""),0,IF(Database!$BM279=Screener!$D$11,1,0))</f>
        <v/>
      </c>
      <c r="G279" s="220">
        <f>IF(OR(Database!$H279="",N(Screener!$D$12)&lt;=0),0,MAX(0,1-(N(Screener!$D$12)-Database!$H279)/W_RECD))</f>
        <v/>
      </c>
      <c r="H279" s="220">
        <f>IF($U$1="",0,N(ISNUMBER(SEARCH($U$1,Database!$AC279&amp;""))))+IF($V$1="",0,N(ISNUMBER(SEARCH($V$1,Database!$AC279&amp;""))))+IF($W$1="",0,N(ISNUMBER(SEARCH($W$1,Database!$AC279&amp;""))))+IF($X$1="",0,N(ISNUMBER(SEARCH($X$1,Database!$AC279&amp;""))))+IF($Y$1="",0,N(ISNUMBER(SEARCH($Y$1,Database!$AC279&amp;""))))+IF(Screener!$B$17="",0,N(ISNUMBER(SEARCH(LOWER(Screener!$B$17),Database!$AC279&amp;""))))</f>
        <v/>
      </c>
      <c r="I279" s="220">
        <f>IF(OR(N(Database!$BH279)&lt;=0,N(Screener!$D$13)&lt;=0),0,MAX(0,1-ABS(LOG10(N(Database!$BH279)/Screener!$D$13))/W_PEHW))</f>
        <v/>
      </c>
      <c r="J279" s="220">
        <f>IF(OR(N(Database!$S279)&lt;=0,N(Screener!$D$14)&lt;=0),0,MAX(0,1-ABS(LOG10(Database!$S279/Screener!$D$14))/0.6))</f>
        <v/>
      </c>
      <c r="K279" s="220">
        <f>IF(Database!$B279=Screener!$B$5,-999999,IF(ISNUMBER(SEARCH(","&amp;Database!$A279&amp;",",","&amp;SUBSTITUTE(Screener!$D$17," ","")&amp;",")),2000000,IF(IF(OR(Screener!$B$18="All",AND(Screener!$B$18="With A-share",(Database!$BM279="Y")),AND(Screener!$B$18="Without A-share",NOT((Database!$BM279="Y")))),1,0)=0,-999999,IF(Screener!$B$16="cornerstone overlap first",H279*100000,IF(Screener!$B$16="demand-similar first",J279*100000,0))+W_SUB*B279+W_SEC*C279*(1-B279)+W_SIZE*D279+W_PROF*E279+W_AH*F279+W_REC*G279+W_CS*H279+W_PE*I279)))+ROW()/1000000</f>
        <v/>
      </c>
      <c r="AA279" s="220">
        <f>Database!B268</f>
        <v/>
      </c>
      <c r="AB279" s="220">
        <f>Database!D268</f>
        <v/>
      </c>
      <c r="AC279" s="220">
        <f>Database!E268</f>
        <v/>
      </c>
      <c r="AD279" s="220">
        <f>Database!I268</f>
        <v/>
      </c>
      <c r="AE279" s="220">
        <f>Database!BG268</f>
        <v/>
      </c>
      <c r="AF279" s="220">
        <f>Database!BM268</f>
        <v/>
      </c>
      <c r="AG279" s="220">
        <f>Database!H268</f>
        <v/>
      </c>
      <c r="AH279" s="220">
        <f>Database!BH268</f>
        <v/>
      </c>
    </row>
    <row r="280">
      <c r="A280" s="220">
        <f>Database!B280</f>
        <v/>
      </c>
      <c r="B280" s="220">
        <f>IF(AND(Screener!$D$8&lt;&gt;"",Database!$E280=Screener!$D$8),1,0)</f>
        <v/>
      </c>
      <c r="C280" s="220">
        <f>IF(AND(Screener!$D$7&lt;&gt;"",Database!$D280=Screener!$D$7),1,0)</f>
        <v/>
      </c>
      <c r="D280" s="220">
        <f>IF(OR(N(Database!$I280)&lt;=0,N(Screener!$D$9)&lt;=0),0,MAX(0,1-ABS(LOG10(N(Database!$I280)/Screener!$D$9))/W_SIZEHW))</f>
        <v/>
      </c>
      <c r="E280" s="220">
        <f>IF(OR(Database!$BG280="",Screener!$D$10=""),0,IF(Database!$BG280=Screener!$D$10,1,0))</f>
        <v/>
      </c>
      <c r="F280" s="220">
        <f>IF(OR(Database!$BM280="",Screener!$D$11=""),0,IF(Database!$BM280=Screener!$D$11,1,0))</f>
        <v/>
      </c>
      <c r="G280" s="220">
        <f>IF(OR(Database!$H280="",N(Screener!$D$12)&lt;=0),0,MAX(0,1-(N(Screener!$D$12)-Database!$H280)/W_RECD))</f>
        <v/>
      </c>
      <c r="H280" s="220">
        <f>IF($U$1="",0,N(ISNUMBER(SEARCH($U$1,Database!$AC280&amp;""))))+IF($V$1="",0,N(ISNUMBER(SEARCH($V$1,Database!$AC280&amp;""))))+IF($W$1="",0,N(ISNUMBER(SEARCH($W$1,Database!$AC280&amp;""))))+IF($X$1="",0,N(ISNUMBER(SEARCH($X$1,Database!$AC280&amp;""))))+IF($Y$1="",0,N(ISNUMBER(SEARCH($Y$1,Database!$AC280&amp;""))))+IF(Screener!$B$17="",0,N(ISNUMBER(SEARCH(LOWER(Screener!$B$17),Database!$AC280&amp;""))))</f>
        <v/>
      </c>
      <c r="I280" s="220">
        <f>IF(OR(N(Database!$BH280)&lt;=0,N(Screener!$D$13)&lt;=0),0,MAX(0,1-ABS(LOG10(N(Database!$BH280)/Screener!$D$13))/W_PEHW))</f>
        <v/>
      </c>
      <c r="J280" s="220">
        <f>IF(OR(N(Database!$S280)&lt;=0,N(Screener!$D$14)&lt;=0),0,MAX(0,1-ABS(LOG10(Database!$S280/Screener!$D$14))/0.6))</f>
        <v/>
      </c>
      <c r="K280" s="220">
        <f>IF(Database!$B280=Screener!$B$5,-999999,IF(ISNUMBER(SEARCH(","&amp;Database!$A280&amp;",",","&amp;SUBSTITUTE(Screener!$D$17," ","")&amp;",")),2000000,IF(IF(OR(Screener!$B$18="All",AND(Screener!$B$18="With A-share",(Database!$BM280="Y")),AND(Screener!$B$18="Without A-share",NOT((Database!$BM280="Y")))),1,0)=0,-999999,IF(Screener!$B$16="cornerstone overlap first",H280*100000,IF(Screener!$B$16="demand-similar first",J280*100000,0))+W_SUB*B280+W_SEC*C280*(1-B280)+W_SIZE*D280+W_PROF*E280+W_AH*F280+W_REC*G280+W_CS*H280+W_PE*I280)))+ROW()/1000000</f>
        <v/>
      </c>
      <c r="AA280" s="220">
        <f>Database!B269</f>
        <v/>
      </c>
      <c r="AB280" s="220">
        <f>Database!D269</f>
        <v/>
      </c>
      <c r="AC280" s="220">
        <f>Database!E269</f>
        <v/>
      </c>
      <c r="AD280" s="220">
        <f>Database!I269</f>
        <v/>
      </c>
      <c r="AE280" s="220">
        <f>Database!BG269</f>
        <v/>
      </c>
      <c r="AF280" s="220">
        <f>Database!BM269</f>
        <v/>
      </c>
      <c r="AG280" s="220">
        <f>Database!H269</f>
        <v/>
      </c>
      <c r="AH280" s="220">
        <f>Database!BH269</f>
        <v/>
      </c>
    </row>
    <row r="281">
      <c r="A281" s="220">
        <f>Database!B281</f>
        <v/>
      </c>
      <c r="B281" s="220">
        <f>IF(AND(Screener!$D$8&lt;&gt;"",Database!$E281=Screener!$D$8),1,0)</f>
        <v/>
      </c>
      <c r="C281" s="220">
        <f>IF(AND(Screener!$D$7&lt;&gt;"",Database!$D281=Screener!$D$7),1,0)</f>
        <v/>
      </c>
      <c r="D281" s="220">
        <f>IF(OR(N(Database!$I281)&lt;=0,N(Screener!$D$9)&lt;=0),0,MAX(0,1-ABS(LOG10(N(Database!$I281)/Screener!$D$9))/W_SIZEHW))</f>
        <v/>
      </c>
      <c r="E281" s="220">
        <f>IF(OR(Database!$BG281="",Screener!$D$10=""),0,IF(Database!$BG281=Screener!$D$10,1,0))</f>
        <v/>
      </c>
      <c r="F281" s="220">
        <f>IF(OR(Database!$BM281="",Screener!$D$11=""),0,IF(Database!$BM281=Screener!$D$11,1,0))</f>
        <v/>
      </c>
      <c r="G281" s="220">
        <f>IF(OR(Database!$H281="",N(Screener!$D$12)&lt;=0),0,MAX(0,1-(N(Screener!$D$12)-Database!$H281)/W_RECD))</f>
        <v/>
      </c>
      <c r="H281" s="220">
        <f>IF($U$1="",0,N(ISNUMBER(SEARCH($U$1,Database!$AC281&amp;""))))+IF($V$1="",0,N(ISNUMBER(SEARCH($V$1,Database!$AC281&amp;""))))+IF($W$1="",0,N(ISNUMBER(SEARCH($W$1,Database!$AC281&amp;""))))+IF($X$1="",0,N(ISNUMBER(SEARCH($X$1,Database!$AC281&amp;""))))+IF($Y$1="",0,N(ISNUMBER(SEARCH($Y$1,Database!$AC281&amp;""))))+IF(Screener!$B$17="",0,N(ISNUMBER(SEARCH(LOWER(Screener!$B$17),Database!$AC281&amp;""))))</f>
        <v/>
      </c>
      <c r="I281" s="220">
        <f>IF(OR(N(Database!$BH281)&lt;=0,N(Screener!$D$13)&lt;=0),0,MAX(0,1-ABS(LOG10(N(Database!$BH281)/Screener!$D$13))/W_PEHW))</f>
        <v/>
      </c>
      <c r="J281" s="220">
        <f>IF(OR(N(Database!$S281)&lt;=0,N(Screener!$D$14)&lt;=0),0,MAX(0,1-ABS(LOG10(Database!$S281/Screener!$D$14))/0.6))</f>
        <v/>
      </c>
      <c r="K281" s="220">
        <f>IF(Database!$B281=Screener!$B$5,-999999,IF(ISNUMBER(SEARCH(","&amp;Database!$A281&amp;",",","&amp;SUBSTITUTE(Screener!$D$17," ","")&amp;",")),2000000,IF(IF(OR(Screener!$B$18="All",AND(Screener!$B$18="With A-share",(Database!$BM281="Y")),AND(Screener!$B$18="Without A-share",NOT((Database!$BM281="Y")))),1,0)=0,-999999,IF(Screener!$B$16="cornerstone overlap first",H281*100000,IF(Screener!$B$16="demand-similar first",J281*100000,0))+W_SUB*B281+W_SEC*C281*(1-B281)+W_SIZE*D281+W_PROF*E281+W_AH*F281+W_REC*G281+W_CS*H281+W_PE*I281)))+ROW()/1000000</f>
        <v/>
      </c>
      <c r="AA281" s="220">
        <f>Database!B270</f>
        <v/>
      </c>
      <c r="AB281" s="220">
        <f>Database!D270</f>
        <v/>
      </c>
      <c r="AC281" s="220">
        <f>Database!E270</f>
        <v/>
      </c>
      <c r="AD281" s="220">
        <f>Database!I270</f>
        <v/>
      </c>
      <c r="AE281" s="220">
        <f>Database!BG270</f>
        <v/>
      </c>
      <c r="AF281" s="220">
        <f>Database!BM270</f>
        <v/>
      </c>
      <c r="AG281" s="220">
        <f>Database!H270</f>
        <v/>
      </c>
      <c r="AH281" s="220">
        <f>Database!BH270</f>
        <v/>
      </c>
    </row>
    <row r="282">
      <c r="A282" s="220">
        <f>Database!B282</f>
        <v/>
      </c>
      <c r="B282" s="220">
        <f>IF(AND(Screener!$D$8&lt;&gt;"",Database!$E282=Screener!$D$8),1,0)</f>
        <v/>
      </c>
      <c r="C282" s="220">
        <f>IF(AND(Screener!$D$7&lt;&gt;"",Database!$D282=Screener!$D$7),1,0)</f>
        <v/>
      </c>
      <c r="D282" s="220">
        <f>IF(OR(N(Database!$I282)&lt;=0,N(Screener!$D$9)&lt;=0),0,MAX(0,1-ABS(LOG10(N(Database!$I282)/Screener!$D$9))/W_SIZEHW))</f>
        <v/>
      </c>
      <c r="E282" s="220">
        <f>IF(OR(Database!$BG282="",Screener!$D$10=""),0,IF(Database!$BG282=Screener!$D$10,1,0))</f>
        <v/>
      </c>
      <c r="F282" s="220">
        <f>IF(OR(Database!$BM282="",Screener!$D$11=""),0,IF(Database!$BM282=Screener!$D$11,1,0))</f>
        <v/>
      </c>
      <c r="G282" s="220">
        <f>IF(OR(Database!$H282="",N(Screener!$D$12)&lt;=0),0,MAX(0,1-(N(Screener!$D$12)-Database!$H282)/W_RECD))</f>
        <v/>
      </c>
      <c r="H282" s="220">
        <f>IF($U$1="",0,N(ISNUMBER(SEARCH($U$1,Database!$AC282&amp;""))))+IF($V$1="",0,N(ISNUMBER(SEARCH($V$1,Database!$AC282&amp;""))))+IF($W$1="",0,N(ISNUMBER(SEARCH($W$1,Database!$AC282&amp;""))))+IF($X$1="",0,N(ISNUMBER(SEARCH($X$1,Database!$AC282&amp;""))))+IF($Y$1="",0,N(ISNUMBER(SEARCH($Y$1,Database!$AC282&amp;""))))+IF(Screener!$B$17="",0,N(ISNUMBER(SEARCH(LOWER(Screener!$B$17),Database!$AC282&amp;""))))</f>
        <v/>
      </c>
      <c r="I282" s="220">
        <f>IF(OR(N(Database!$BH282)&lt;=0,N(Screener!$D$13)&lt;=0),0,MAX(0,1-ABS(LOG10(N(Database!$BH282)/Screener!$D$13))/W_PEHW))</f>
        <v/>
      </c>
      <c r="J282" s="220">
        <f>IF(OR(N(Database!$S282)&lt;=0,N(Screener!$D$14)&lt;=0),0,MAX(0,1-ABS(LOG10(Database!$S282/Screener!$D$14))/0.6))</f>
        <v/>
      </c>
      <c r="K282" s="220">
        <f>IF(Database!$B282=Screener!$B$5,-999999,IF(ISNUMBER(SEARCH(","&amp;Database!$A282&amp;",",","&amp;SUBSTITUTE(Screener!$D$17," ","")&amp;",")),2000000,IF(IF(OR(Screener!$B$18="All",AND(Screener!$B$18="With A-share",(Database!$BM282="Y")),AND(Screener!$B$18="Without A-share",NOT((Database!$BM282="Y")))),1,0)=0,-999999,IF(Screener!$B$16="cornerstone overlap first",H282*100000,IF(Screener!$B$16="demand-similar first",J282*100000,0))+W_SUB*B282+W_SEC*C282*(1-B282)+W_SIZE*D282+W_PROF*E282+W_AH*F282+W_REC*G282+W_CS*H282+W_PE*I282)))+ROW()/1000000</f>
        <v/>
      </c>
      <c r="AA282" s="220">
        <f>Database!B271</f>
        <v/>
      </c>
      <c r="AB282" s="220">
        <f>Database!D271</f>
        <v/>
      </c>
      <c r="AC282" s="220">
        <f>Database!E271</f>
        <v/>
      </c>
      <c r="AD282" s="220">
        <f>Database!I271</f>
        <v/>
      </c>
      <c r="AE282" s="220">
        <f>Database!BG271</f>
        <v/>
      </c>
      <c r="AF282" s="220">
        <f>Database!BM271</f>
        <v/>
      </c>
      <c r="AG282" s="220">
        <f>Database!H271</f>
        <v/>
      </c>
      <c r="AH282" s="220">
        <f>Database!BH271</f>
        <v/>
      </c>
    </row>
    <row r="283">
      <c r="A283" s="220">
        <f>Database!B283</f>
        <v/>
      </c>
      <c r="B283" s="220">
        <f>IF(AND(Screener!$D$8&lt;&gt;"",Database!$E283=Screener!$D$8),1,0)</f>
        <v/>
      </c>
      <c r="C283" s="220">
        <f>IF(AND(Screener!$D$7&lt;&gt;"",Database!$D283=Screener!$D$7),1,0)</f>
        <v/>
      </c>
      <c r="D283" s="220">
        <f>IF(OR(N(Database!$I283)&lt;=0,N(Screener!$D$9)&lt;=0),0,MAX(0,1-ABS(LOG10(N(Database!$I283)/Screener!$D$9))/W_SIZEHW))</f>
        <v/>
      </c>
      <c r="E283" s="220">
        <f>IF(OR(Database!$BG283="",Screener!$D$10=""),0,IF(Database!$BG283=Screener!$D$10,1,0))</f>
        <v/>
      </c>
      <c r="F283" s="220">
        <f>IF(OR(Database!$BM283="",Screener!$D$11=""),0,IF(Database!$BM283=Screener!$D$11,1,0))</f>
        <v/>
      </c>
      <c r="G283" s="220">
        <f>IF(OR(Database!$H283="",N(Screener!$D$12)&lt;=0),0,MAX(0,1-(N(Screener!$D$12)-Database!$H283)/W_RECD))</f>
        <v/>
      </c>
      <c r="H283" s="220">
        <f>IF($U$1="",0,N(ISNUMBER(SEARCH($U$1,Database!$AC283&amp;""))))+IF($V$1="",0,N(ISNUMBER(SEARCH($V$1,Database!$AC283&amp;""))))+IF($W$1="",0,N(ISNUMBER(SEARCH($W$1,Database!$AC283&amp;""))))+IF($X$1="",0,N(ISNUMBER(SEARCH($X$1,Database!$AC283&amp;""))))+IF($Y$1="",0,N(ISNUMBER(SEARCH($Y$1,Database!$AC283&amp;""))))+IF(Screener!$B$17="",0,N(ISNUMBER(SEARCH(LOWER(Screener!$B$17),Database!$AC283&amp;""))))</f>
        <v/>
      </c>
      <c r="I283" s="220">
        <f>IF(OR(N(Database!$BH283)&lt;=0,N(Screener!$D$13)&lt;=0),0,MAX(0,1-ABS(LOG10(N(Database!$BH283)/Screener!$D$13))/W_PEHW))</f>
        <v/>
      </c>
      <c r="J283" s="220">
        <f>IF(OR(N(Database!$S283)&lt;=0,N(Screener!$D$14)&lt;=0),0,MAX(0,1-ABS(LOG10(Database!$S283/Screener!$D$14))/0.6))</f>
        <v/>
      </c>
      <c r="K283" s="220">
        <f>IF(Database!$B283=Screener!$B$5,-999999,IF(ISNUMBER(SEARCH(","&amp;Database!$A283&amp;",",","&amp;SUBSTITUTE(Screener!$D$17," ","")&amp;",")),2000000,IF(IF(OR(Screener!$B$18="All",AND(Screener!$B$18="With A-share",(Database!$BM283="Y")),AND(Screener!$B$18="Without A-share",NOT((Database!$BM283="Y")))),1,0)=0,-999999,IF(Screener!$B$16="cornerstone overlap first",H283*100000,IF(Screener!$B$16="demand-similar first",J283*100000,0))+W_SUB*B283+W_SEC*C283*(1-B283)+W_SIZE*D283+W_PROF*E283+W_AH*F283+W_REC*G283+W_CS*H283+W_PE*I283)))+ROW()/1000000</f>
        <v/>
      </c>
      <c r="AA283" s="220">
        <f>Database!B272</f>
        <v/>
      </c>
      <c r="AB283" s="220">
        <f>Database!D272</f>
        <v/>
      </c>
      <c r="AC283" s="220">
        <f>Database!E272</f>
        <v/>
      </c>
      <c r="AD283" s="220">
        <f>Database!I272</f>
        <v/>
      </c>
      <c r="AE283" s="220">
        <f>Database!BG272</f>
        <v/>
      </c>
      <c r="AF283" s="220">
        <f>Database!BM272</f>
        <v/>
      </c>
      <c r="AG283" s="220">
        <f>Database!H272</f>
        <v/>
      </c>
      <c r="AH283" s="220">
        <f>Database!BH272</f>
        <v/>
      </c>
    </row>
    <row r="284">
      <c r="A284" s="220">
        <f>Database!B284</f>
        <v/>
      </c>
      <c r="B284" s="220">
        <f>IF(AND(Screener!$D$8&lt;&gt;"",Database!$E284=Screener!$D$8),1,0)</f>
        <v/>
      </c>
      <c r="C284" s="220">
        <f>IF(AND(Screener!$D$7&lt;&gt;"",Database!$D284=Screener!$D$7),1,0)</f>
        <v/>
      </c>
      <c r="D284" s="220">
        <f>IF(OR(N(Database!$I284)&lt;=0,N(Screener!$D$9)&lt;=0),0,MAX(0,1-ABS(LOG10(N(Database!$I284)/Screener!$D$9))/W_SIZEHW))</f>
        <v/>
      </c>
      <c r="E284" s="220">
        <f>IF(OR(Database!$BG284="",Screener!$D$10=""),0,IF(Database!$BG284=Screener!$D$10,1,0))</f>
        <v/>
      </c>
      <c r="F284" s="220">
        <f>IF(OR(Database!$BM284="",Screener!$D$11=""),0,IF(Database!$BM284=Screener!$D$11,1,0))</f>
        <v/>
      </c>
      <c r="G284" s="220">
        <f>IF(OR(Database!$H284="",N(Screener!$D$12)&lt;=0),0,MAX(0,1-(N(Screener!$D$12)-Database!$H284)/W_RECD))</f>
        <v/>
      </c>
      <c r="H284" s="220">
        <f>IF($U$1="",0,N(ISNUMBER(SEARCH($U$1,Database!$AC284&amp;""))))+IF($V$1="",0,N(ISNUMBER(SEARCH($V$1,Database!$AC284&amp;""))))+IF($W$1="",0,N(ISNUMBER(SEARCH($W$1,Database!$AC284&amp;""))))+IF($X$1="",0,N(ISNUMBER(SEARCH($X$1,Database!$AC284&amp;""))))+IF($Y$1="",0,N(ISNUMBER(SEARCH($Y$1,Database!$AC284&amp;""))))+IF(Screener!$B$17="",0,N(ISNUMBER(SEARCH(LOWER(Screener!$B$17),Database!$AC284&amp;""))))</f>
        <v/>
      </c>
      <c r="I284" s="220">
        <f>IF(OR(N(Database!$BH284)&lt;=0,N(Screener!$D$13)&lt;=0),0,MAX(0,1-ABS(LOG10(N(Database!$BH284)/Screener!$D$13))/W_PEHW))</f>
        <v/>
      </c>
      <c r="J284" s="220">
        <f>IF(OR(N(Database!$S284)&lt;=0,N(Screener!$D$14)&lt;=0),0,MAX(0,1-ABS(LOG10(Database!$S284/Screener!$D$14))/0.6))</f>
        <v/>
      </c>
      <c r="K284" s="220">
        <f>IF(Database!$B284=Screener!$B$5,-999999,IF(ISNUMBER(SEARCH(","&amp;Database!$A284&amp;",",","&amp;SUBSTITUTE(Screener!$D$17," ","")&amp;",")),2000000,IF(IF(OR(Screener!$B$18="All",AND(Screener!$B$18="With A-share",(Database!$BM284="Y")),AND(Screener!$B$18="Without A-share",NOT((Database!$BM284="Y")))),1,0)=0,-999999,IF(Screener!$B$16="cornerstone overlap first",H284*100000,IF(Screener!$B$16="demand-similar first",J284*100000,0))+W_SUB*B284+W_SEC*C284*(1-B284)+W_SIZE*D284+W_PROF*E284+W_AH*F284+W_REC*G284+W_CS*H284+W_PE*I284)))+ROW()/1000000</f>
        <v/>
      </c>
      <c r="AA284" s="220">
        <f>Database!B273</f>
        <v/>
      </c>
      <c r="AB284" s="220">
        <f>Database!D273</f>
        <v/>
      </c>
      <c r="AC284" s="220">
        <f>Database!E273</f>
        <v/>
      </c>
      <c r="AD284" s="220">
        <f>Database!I273</f>
        <v/>
      </c>
      <c r="AE284" s="220">
        <f>Database!BG273</f>
        <v/>
      </c>
      <c r="AF284" s="220">
        <f>Database!BM273</f>
        <v/>
      </c>
      <c r="AG284" s="220">
        <f>Database!H273</f>
        <v/>
      </c>
      <c r="AH284" s="220">
        <f>Database!BH273</f>
        <v/>
      </c>
    </row>
    <row r="285">
      <c r="A285" s="220">
        <f>Database!B285</f>
        <v/>
      </c>
      <c r="B285" s="220">
        <f>IF(AND(Screener!$D$8&lt;&gt;"",Database!$E285=Screener!$D$8),1,0)</f>
        <v/>
      </c>
      <c r="C285" s="220">
        <f>IF(AND(Screener!$D$7&lt;&gt;"",Database!$D285=Screener!$D$7),1,0)</f>
        <v/>
      </c>
      <c r="D285" s="220">
        <f>IF(OR(N(Database!$I285)&lt;=0,N(Screener!$D$9)&lt;=0),0,MAX(0,1-ABS(LOG10(N(Database!$I285)/Screener!$D$9))/W_SIZEHW))</f>
        <v/>
      </c>
      <c r="E285" s="220">
        <f>IF(OR(Database!$BG285="",Screener!$D$10=""),0,IF(Database!$BG285=Screener!$D$10,1,0))</f>
        <v/>
      </c>
      <c r="F285" s="220">
        <f>IF(OR(Database!$BM285="",Screener!$D$11=""),0,IF(Database!$BM285=Screener!$D$11,1,0))</f>
        <v/>
      </c>
      <c r="G285" s="220">
        <f>IF(OR(Database!$H285="",N(Screener!$D$12)&lt;=0),0,MAX(0,1-(N(Screener!$D$12)-Database!$H285)/W_RECD))</f>
        <v/>
      </c>
      <c r="H285" s="220">
        <f>IF($U$1="",0,N(ISNUMBER(SEARCH($U$1,Database!$AC285&amp;""))))+IF($V$1="",0,N(ISNUMBER(SEARCH($V$1,Database!$AC285&amp;""))))+IF($W$1="",0,N(ISNUMBER(SEARCH($W$1,Database!$AC285&amp;""))))+IF($X$1="",0,N(ISNUMBER(SEARCH($X$1,Database!$AC285&amp;""))))+IF($Y$1="",0,N(ISNUMBER(SEARCH($Y$1,Database!$AC285&amp;""))))+IF(Screener!$B$17="",0,N(ISNUMBER(SEARCH(LOWER(Screener!$B$17),Database!$AC285&amp;""))))</f>
        <v/>
      </c>
      <c r="I285" s="220">
        <f>IF(OR(N(Database!$BH285)&lt;=0,N(Screener!$D$13)&lt;=0),0,MAX(0,1-ABS(LOG10(N(Database!$BH285)/Screener!$D$13))/W_PEHW))</f>
        <v/>
      </c>
      <c r="J285" s="220">
        <f>IF(OR(N(Database!$S285)&lt;=0,N(Screener!$D$14)&lt;=0),0,MAX(0,1-ABS(LOG10(Database!$S285/Screener!$D$14))/0.6))</f>
        <v/>
      </c>
      <c r="K285" s="220">
        <f>IF(Database!$B285=Screener!$B$5,-999999,IF(ISNUMBER(SEARCH(","&amp;Database!$A285&amp;",",","&amp;SUBSTITUTE(Screener!$D$17," ","")&amp;",")),2000000,IF(IF(OR(Screener!$B$18="All",AND(Screener!$B$18="With A-share",(Database!$BM285="Y")),AND(Screener!$B$18="Without A-share",NOT((Database!$BM285="Y")))),1,0)=0,-999999,IF(Screener!$B$16="cornerstone overlap first",H285*100000,IF(Screener!$B$16="demand-similar first",J285*100000,0))+W_SUB*B285+W_SEC*C285*(1-B285)+W_SIZE*D285+W_PROF*E285+W_AH*F285+W_REC*G285+W_CS*H285+W_PE*I285)))+ROW()/1000000</f>
        <v/>
      </c>
      <c r="AA285" s="220">
        <f>Database!B274</f>
        <v/>
      </c>
      <c r="AB285" s="220">
        <f>Database!D274</f>
        <v/>
      </c>
      <c r="AC285" s="220">
        <f>Database!E274</f>
        <v/>
      </c>
      <c r="AD285" s="220">
        <f>Database!I274</f>
        <v/>
      </c>
      <c r="AE285" s="220">
        <f>Database!BG274</f>
        <v/>
      </c>
      <c r="AF285" s="220">
        <f>Database!BM274</f>
        <v/>
      </c>
      <c r="AG285" s="220">
        <f>Database!H274</f>
        <v/>
      </c>
      <c r="AH285" s="220">
        <f>Database!BH274</f>
        <v/>
      </c>
    </row>
    <row r="286">
      <c r="A286" s="220">
        <f>Database!B286</f>
        <v/>
      </c>
      <c r="B286" s="220">
        <f>IF(AND(Screener!$D$8&lt;&gt;"",Database!$E286=Screener!$D$8),1,0)</f>
        <v/>
      </c>
      <c r="C286" s="220">
        <f>IF(AND(Screener!$D$7&lt;&gt;"",Database!$D286=Screener!$D$7),1,0)</f>
        <v/>
      </c>
      <c r="D286" s="220">
        <f>IF(OR(N(Database!$I286)&lt;=0,N(Screener!$D$9)&lt;=0),0,MAX(0,1-ABS(LOG10(N(Database!$I286)/Screener!$D$9))/W_SIZEHW))</f>
        <v/>
      </c>
      <c r="E286" s="220">
        <f>IF(OR(Database!$BG286="",Screener!$D$10=""),0,IF(Database!$BG286=Screener!$D$10,1,0))</f>
        <v/>
      </c>
      <c r="F286" s="220">
        <f>IF(OR(Database!$BM286="",Screener!$D$11=""),0,IF(Database!$BM286=Screener!$D$11,1,0))</f>
        <v/>
      </c>
      <c r="G286" s="220">
        <f>IF(OR(Database!$H286="",N(Screener!$D$12)&lt;=0),0,MAX(0,1-(N(Screener!$D$12)-Database!$H286)/W_RECD))</f>
        <v/>
      </c>
      <c r="H286" s="220">
        <f>IF($U$1="",0,N(ISNUMBER(SEARCH($U$1,Database!$AC286&amp;""))))+IF($V$1="",0,N(ISNUMBER(SEARCH($V$1,Database!$AC286&amp;""))))+IF($W$1="",0,N(ISNUMBER(SEARCH($W$1,Database!$AC286&amp;""))))+IF($X$1="",0,N(ISNUMBER(SEARCH($X$1,Database!$AC286&amp;""))))+IF($Y$1="",0,N(ISNUMBER(SEARCH($Y$1,Database!$AC286&amp;""))))+IF(Screener!$B$17="",0,N(ISNUMBER(SEARCH(LOWER(Screener!$B$17),Database!$AC286&amp;""))))</f>
        <v/>
      </c>
      <c r="I286" s="220">
        <f>IF(OR(N(Database!$BH286)&lt;=0,N(Screener!$D$13)&lt;=0),0,MAX(0,1-ABS(LOG10(N(Database!$BH286)/Screener!$D$13))/W_PEHW))</f>
        <v/>
      </c>
      <c r="J286" s="220">
        <f>IF(OR(N(Database!$S286)&lt;=0,N(Screener!$D$14)&lt;=0),0,MAX(0,1-ABS(LOG10(Database!$S286/Screener!$D$14))/0.6))</f>
        <v/>
      </c>
      <c r="K286" s="220">
        <f>IF(Database!$B286=Screener!$B$5,-999999,IF(ISNUMBER(SEARCH(","&amp;Database!$A286&amp;",",","&amp;SUBSTITUTE(Screener!$D$17," ","")&amp;",")),2000000,IF(IF(OR(Screener!$B$18="All",AND(Screener!$B$18="With A-share",(Database!$BM286="Y")),AND(Screener!$B$18="Without A-share",NOT((Database!$BM286="Y")))),1,0)=0,-999999,IF(Screener!$B$16="cornerstone overlap first",H286*100000,IF(Screener!$B$16="demand-similar first",J286*100000,0))+W_SUB*B286+W_SEC*C286*(1-B286)+W_SIZE*D286+W_PROF*E286+W_AH*F286+W_REC*G286+W_CS*H286+W_PE*I286)))+ROW()/1000000</f>
        <v/>
      </c>
      <c r="AA286" s="220">
        <f>Database!B275</f>
        <v/>
      </c>
      <c r="AB286" s="220">
        <f>Database!D275</f>
        <v/>
      </c>
      <c r="AC286" s="220">
        <f>Database!E275</f>
        <v/>
      </c>
      <c r="AD286" s="220">
        <f>Database!I275</f>
        <v/>
      </c>
      <c r="AE286" s="220">
        <f>Database!BG275</f>
        <v/>
      </c>
      <c r="AF286" s="220">
        <f>Database!BM275</f>
        <v/>
      </c>
      <c r="AG286" s="220">
        <f>Database!H275</f>
        <v/>
      </c>
      <c r="AH286" s="220">
        <f>Database!BH275</f>
        <v/>
      </c>
    </row>
    <row r="287">
      <c r="A287" s="220">
        <f>Database!B287</f>
        <v/>
      </c>
      <c r="B287" s="220">
        <f>IF(AND(Screener!$D$8&lt;&gt;"",Database!$E287=Screener!$D$8),1,0)</f>
        <v/>
      </c>
      <c r="C287" s="220">
        <f>IF(AND(Screener!$D$7&lt;&gt;"",Database!$D287=Screener!$D$7),1,0)</f>
        <v/>
      </c>
      <c r="D287" s="220">
        <f>IF(OR(N(Database!$I287)&lt;=0,N(Screener!$D$9)&lt;=0),0,MAX(0,1-ABS(LOG10(N(Database!$I287)/Screener!$D$9))/W_SIZEHW))</f>
        <v/>
      </c>
      <c r="E287" s="220">
        <f>IF(OR(Database!$BG287="",Screener!$D$10=""),0,IF(Database!$BG287=Screener!$D$10,1,0))</f>
        <v/>
      </c>
      <c r="F287" s="220">
        <f>IF(OR(Database!$BM287="",Screener!$D$11=""),0,IF(Database!$BM287=Screener!$D$11,1,0))</f>
        <v/>
      </c>
      <c r="G287" s="220">
        <f>IF(OR(Database!$H287="",N(Screener!$D$12)&lt;=0),0,MAX(0,1-(N(Screener!$D$12)-Database!$H287)/W_RECD))</f>
        <v/>
      </c>
      <c r="H287" s="220">
        <f>IF($U$1="",0,N(ISNUMBER(SEARCH($U$1,Database!$AC287&amp;""))))+IF($V$1="",0,N(ISNUMBER(SEARCH($V$1,Database!$AC287&amp;""))))+IF($W$1="",0,N(ISNUMBER(SEARCH($W$1,Database!$AC287&amp;""))))+IF($X$1="",0,N(ISNUMBER(SEARCH($X$1,Database!$AC287&amp;""))))+IF($Y$1="",0,N(ISNUMBER(SEARCH($Y$1,Database!$AC287&amp;""))))+IF(Screener!$B$17="",0,N(ISNUMBER(SEARCH(LOWER(Screener!$B$17),Database!$AC287&amp;""))))</f>
        <v/>
      </c>
      <c r="I287" s="220">
        <f>IF(OR(N(Database!$BH287)&lt;=0,N(Screener!$D$13)&lt;=0),0,MAX(0,1-ABS(LOG10(N(Database!$BH287)/Screener!$D$13))/W_PEHW))</f>
        <v/>
      </c>
      <c r="J287" s="220">
        <f>IF(OR(N(Database!$S287)&lt;=0,N(Screener!$D$14)&lt;=0),0,MAX(0,1-ABS(LOG10(Database!$S287/Screener!$D$14))/0.6))</f>
        <v/>
      </c>
      <c r="K287" s="220">
        <f>IF(Database!$B287=Screener!$B$5,-999999,IF(ISNUMBER(SEARCH(","&amp;Database!$A287&amp;",",","&amp;SUBSTITUTE(Screener!$D$17," ","")&amp;",")),2000000,IF(IF(OR(Screener!$B$18="All",AND(Screener!$B$18="With A-share",(Database!$BM287="Y")),AND(Screener!$B$18="Without A-share",NOT((Database!$BM287="Y")))),1,0)=0,-999999,IF(Screener!$B$16="cornerstone overlap first",H287*100000,IF(Screener!$B$16="demand-similar first",J287*100000,0))+W_SUB*B287+W_SEC*C287*(1-B287)+W_SIZE*D287+W_PROF*E287+W_AH*F287+W_REC*G287+W_CS*H287+W_PE*I287)))+ROW()/1000000</f>
        <v/>
      </c>
      <c r="AA287" s="220">
        <f>Database!B276</f>
        <v/>
      </c>
      <c r="AB287" s="220">
        <f>Database!D276</f>
        <v/>
      </c>
      <c r="AC287" s="220">
        <f>Database!E276</f>
        <v/>
      </c>
      <c r="AD287" s="220">
        <f>Database!I276</f>
        <v/>
      </c>
      <c r="AE287" s="220">
        <f>Database!BG276</f>
        <v/>
      </c>
      <c r="AF287" s="220">
        <f>Database!BM276</f>
        <v/>
      </c>
      <c r="AG287" s="220">
        <f>Database!H276</f>
        <v/>
      </c>
      <c r="AH287" s="220">
        <f>Database!BH276</f>
        <v/>
      </c>
    </row>
    <row r="288">
      <c r="A288" s="220">
        <f>Database!B288</f>
        <v/>
      </c>
      <c r="B288" s="220">
        <f>IF(AND(Screener!$D$8&lt;&gt;"",Database!$E288=Screener!$D$8),1,0)</f>
        <v/>
      </c>
      <c r="C288" s="220">
        <f>IF(AND(Screener!$D$7&lt;&gt;"",Database!$D288=Screener!$D$7),1,0)</f>
        <v/>
      </c>
      <c r="D288" s="220">
        <f>IF(OR(N(Database!$I288)&lt;=0,N(Screener!$D$9)&lt;=0),0,MAX(0,1-ABS(LOG10(N(Database!$I288)/Screener!$D$9))/W_SIZEHW))</f>
        <v/>
      </c>
      <c r="E288" s="220">
        <f>IF(OR(Database!$BG288="",Screener!$D$10=""),0,IF(Database!$BG288=Screener!$D$10,1,0))</f>
        <v/>
      </c>
      <c r="F288" s="220">
        <f>IF(OR(Database!$BM288="",Screener!$D$11=""),0,IF(Database!$BM288=Screener!$D$11,1,0))</f>
        <v/>
      </c>
      <c r="G288" s="220">
        <f>IF(OR(Database!$H288="",N(Screener!$D$12)&lt;=0),0,MAX(0,1-(N(Screener!$D$12)-Database!$H288)/W_RECD))</f>
        <v/>
      </c>
      <c r="H288" s="220">
        <f>IF($U$1="",0,N(ISNUMBER(SEARCH($U$1,Database!$AC288&amp;""))))+IF($V$1="",0,N(ISNUMBER(SEARCH($V$1,Database!$AC288&amp;""))))+IF($W$1="",0,N(ISNUMBER(SEARCH($W$1,Database!$AC288&amp;""))))+IF($X$1="",0,N(ISNUMBER(SEARCH($X$1,Database!$AC288&amp;""))))+IF($Y$1="",0,N(ISNUMBER(SEARCH($Y$1,Database!$AC288&amp;""))))+IF(Screener!$B$17="",0,N(ISNUMBER(SEARCH(LOWER(Screener!$B$17),Database!$AC288&amp;""))))</f>
        <v/>
      </c>
      <c r="I288" s="220">
        <f>IF(OR(N(Database!$BH288)&lt;=0,N(Screener!$D$13)&lt;=0),0,MAX(0,1-ABS(LOG10(N(Database!$BH288)/Screener!$D$13))/W_PEHW))</f>
        <v/>
      </c>
      <c r="J288" s="220">
        <f>IF(OR(N(Database!$S288)&lt;=0,N(Screener!$D$14)&lt;=0),0,MAX(0,1-ABS(LOG10(Database!$S288/Screener!$D$14))/0.6))</f>
        <v/>
      </c>
      <c r="K288" s="220">
        <f>IF(Database!$B288=Screener!$B$5,-999999,IF(ISNUMBER(SEARCH(","&amp;Database!$A288&amp;",",","&amp;SUBSTITUTE(Screener!$D$17," ","")&amp;",")),2000000,IF(IF(OR(Screener!$B$18="All",AND(Screener!$B$18="With A-share",(Database!$BM288="Y")),AND(Screener!$B$18="Without A-share",NOT((Database!$BM288="Y")))),1,0)=0,-999999,IF(Screener!$B$16="cornerstone overlap first",H288*100000,IF(Screener!$B$16="demand-similar first",J288*100000,0))+W_SUB*B288+W_SEC*C288*(1-B288)+W_SIZE*D288+W_PROF*E288+W_AH*F288+W_REC*G288+W_CS*H288+W_PE*I288)))+ROW()/1000000</f>
        <v/>
      </c>
      <c r="AA288" s="220">
        <f>Database!B277</f>
        <v/>
      </c>
      <c r="AB288" s="220">
        <f>Database!D277</f>
        <v/>
      </c>
      <c r="AC288" s="220">
        <f>Database!E277</f>
        <v/>
      </c>
      <c r="AD288" s="220">
        <f>Database!I277</f>
        <v/>
      </c>
      <c r="AE288" s="220">
        <f>Database!BG277</f>
        <v/>
      </c>
      <c r="AF288" s="220">
        <f>Database!BM277</f>
        <v/>
      </c>
      <c r="AG288" s="220">
        <f>Database!H277</f>
        <v/>
      </c>
      <c r="AH288" s="220">
        <f>Database!BH277</f>
        <v/>
      </c>
    </row>
    <row r="289">
      <c r="A289" s="220">
        <f>Database!B289</f>
        <v/>
      </c>
      <c r="B289" s="220">
        <f>IF(AND(Screener!$D$8&lt;&gt;"",Database!$E289=Screener!$D$8),1,0)</f>
        <v/>
      </c>
      <c r="C289" s="220">
        <f>IF(AND(Screener!$D$7&lt;&gt;"",Database!$D289=Screener!$D$7),1,0)</f>
        <v/>
      </c>
      <c r="D289" s="220">
        <f>IF(OR(N(Database!$I289)&lt;=0,N(Screener!$D$9)&lt;=0),0,MAX(0,1-ABS(LOG10(N(Database!$I289)/Screener!$D$9))/W_SIZEHW))</f>
        <v/>
      </c>
      <c r="E289" s="220">
        <f>IF(OR(Database!$BG289="",Screener!$D$10=""),0,IF(Database!$BG289=Screener!$D$10,1,0))</f>
        <v/>
      </c>
      <c r="F289" s="220">
        <f>IF(OR(Database!$BM289="",Screener!$D$11=""),0,IF(Database!$BM289=Screener!$D$11,1,0))</f>
        <v/>
      </c>
      <c r="G289" s="220">
        <f>IF(OR(Database!$H289="",N(Screener!$D$12)&lt;=0),0,MAX(0,1-(N(Screener!$D$12)-Database!$H289)/W_RECD))</f>
        <v/>
      </c>
      <c r="H289" s="220">
        <f>IF($U$1="",0,N(ISNUMBER(SEARCH($U$1,Database!$AC289&amp;""))))+IF($V$1="",0,N(ISNUMBER(SEARCH($V$1,Database!$AC289&amp;""))))+IF($W$1="",0,N(ISNUMBER(SEARCH($W$1,Database!$AC289&amp;""))))+IF($X$1="",0,N(ISNUMBER(SEARCH($X$1,Database!$AC289&amp;""))))+IF($Y$1="",0,N(ISNUMBER(SEARCH($Y$1,Database!$AC289&amp;""))))+IF(Screener!$B$17="",0,N(ISNUMBER(SEARCH(LOWER(Screener!$B$17),Database!$AC289&amp;""))))</f>
        <v/>
      </c>
      <c r="I289" s="220">
        <f>IF(OR(N(Database!$BH289)&lt;=0,N(Screener!$D$13)&lt;=0),0,MAX(0,1-ABS(LOG10(N(Database!$BH289)/Screener!$D$13))/W_PEHW))</f>
        <v/>
      </c>
      <c r="J289" s="220">
        <f>IF(OR(N(Database!$S289)&lt;=0,N(Screener!$D$14)&lt;=0),0,MAX(0,1-ABS(LOG10(Database!$S289/Screener!$D$14))/0.6))</f>
        <v/>
      </c>
      <c r="K289" s="220">
        <f>IF(Database!$B289=Screener!$B$5,-999999,IF(ISNUMBER(SEARCH(","&amp;Database!$A289&amp;",",","&amp;SUBSTITUTE(Screener!$D$17," ","")&amp;",")),2000000,IF(IF(OR(Screener!$B$18="All",AND(Screener!$B$18="With A-share",(Database!$BM289="Y")),AND(Screener!$B$18="Without A-share",NOT((Database!$BM289="Y")))),1,0)=0,-999999,IF(Screener!$B$16="cornerstone overlap first",H289*100000,IF(Screener!$B$16="demand-similar first",J289*100000,0))+W_SUB*B289+W_SEC*C289*(1-B289)+W_SIZE*D289+W_PROF*E289+W_AH*F289+W_REC*G289+W_CS*H289+W_PE*I289)))+ROW()/1000000</f>
        <v/>
      </c>
      <c r="AA289" s="220">
        <f>Database!B278</f>
        <v/>
      </c>
      <c r="AB289" s="220">
        <f>Database!D278</f>
        <v/>
      </c>
      <c r="AC289" s="220">
        <f>Database!E278</f>
        <v/>
      </c>
      <c r="AD289" s="220">
        <f>Database!I278</f>
        <v/>
      </c>
      <c r="AE289" s="220">
        <f>Database!BG278</f>
        <v/>
      </c>
      <c r="AF289" s="220">
        <f>Database!BM278</f>
        <v/>
      </c>
      <c r="AG289" s="220">
        <f>Database!H278</f>
        <v/>
      </c>
      <c r="AH289" s="220">
        <f>Database!BH278</f>
        <v/>
      </c>
    </row>
    <row r="290">
      <c r="A290" s="220">
        <f>Database!B290</f>
        <v/>
      </c>
      <c r="B290" s="220">
        <f>IF(AND(Screener!$D$8&lt;&gt;"",Database!$E290=Screener!$D$8),1,0)</f>
        <v/>
      </c>
      <c r="C290" s="220">
        <f>IF(AND(Screener!$D$7&lt;&gt;"",Database!$D290=Screener!$D$7),1,0)</f>
        <v/>
      </c>
      <c r="D290" s="220">
        <f>IF(OR(N(Database!$I290)&lt;=0,N(Screener!$D$9)&lt;=0),0,MAX(0,1-ABS(LOG10(N(Database!$I290)/Screener!$D$9))/W_SIZEHW))</f>
        <v/>
      </c>
      <c r="E290" s="220">
        <f>IF(OR(Database!$BG290="",Screener!$D$10=""),0,IF(Database!$BG290=Screener!$D$10,1,0))</f>
        <v/>
      </c>
      <c r="F290" s="220">
        <f>IF(OR(Database!$BM290="",Screener!$D$11=""),0,IF(Database!$BM290=Screener!$D$11,1,0))</f>
        <v/>
      </c>
      <c r="G290" s="220">
        <f>IF(OR(Database!$H290="",N(Screener!$D$12)&lt;=0),0,MAX(0,1-(N(Screener!$D$12)-Database!$H290)/W_RECD))</f>
        <v/>
      </c>
      <c r="H290" s="220">
        <f>IF($U$1="",0,N(ISNUMBER(SEARCH($U$1,Database!$AC290&amp;""))))+IF($V$1="",0,N(ISNUMBER(SEARCH($V$1,Database!$AC290&amp;""))))+IF($W$1="",0,N(ISNUMBER(SEARCH($W$1,Database!$AC290&amp;""))))+IF($X$1="",0,N(ISNUMBER(SEARCH($X$1,Database!$AC290&amp;""))))+IF($Y$1="",0,N(ISNUMBER(SEARCH($Y$1,Database!$AC290&amp;""))))+IF(Screener!$B$17="",0,N(ISNUMBER(SEARCH(LOWER(Screener!$B$17),Database!$AC290&amp;""))))</f>
        <v/>
      </c>
      <c r="I290" s="220">
        <f>IF(OR(N(Database!$BH290)&lt;=0,N(Screener!$D$13)&lt;=0),0,MAX(0,1-ABS(LOG10(N(Database!$BH290)/Screener!$D$13))/W_PEHW))</f>
        <v/>
      </c>
      <c r="J290" s="220">
        <f>IF(OR(N(Database!$S290)&lt;=0,N(Screener!$D$14)&lt;=0),0,MAX(0,1-ABS(LOG10(Database!$S290/Screener!$D$14))/0.6))</f>
        <v/>
      </c>
      <c r="K290" s="220">
        <f>IF(Database!$B290=Screener!$B$5,-999999,IF(ISNUMBER(SEARCH(","&amp;Database!$A290&amp;",",","&amp;SUBSTITUTE(Screener!$D$17," ","")&amp;",")),2000000,IF(IF(OR(Screener!$B$18="All",AND(Screener!$B$18="With A-share",(Database!$BM290="Y")),AND(Screener!$B$18="Without A-share",NOT((Database!$BM290="Y")))),1,0)=0,-999999,IF(Screener!$B$16="cornerstone overlap first",H290*100000,IF(Screener!$B$16="demand-similar first",J290*100000,0))+W_SUB*B290+W_SEC*C290*(1-B290)+W_SIZE*D290+W_PROF*E290+W_AH*F290+W_REC*G290+W_CS*H290+W_PE*I290)))+ROW()/1000000</f>
        <v/>
      </c>
      <c r="AA290" s="220">
        <f>Database!B279</f>
        <v/>
      </c>
      <c r="AB290" s="220">
        <f>Database!D279</f>
        <v/>
      </c>
      <c r="AC290" s="220">
        <f>Database!E279</f>
        <v/>
      </c>
      <c r="AD290" s="220">
        <f>Database!I279</f>
        <v/>
      </c>
      <c r="AE290" s="220">
        <f>Database!BG279</f>
        <v/>
      </c>
      <c r="AF290" s="220">
        <f>Database!BM279</f>
        <v/>
      </c>
      <c r="AG290" s="220">
        <f>Database!H279</f>
        <v/>
      </c>
      <c r="AH290" s="220">
        <f>Database!BH279</f>
        <v/>
      </c>
    </row>
    <row r="291">
      <c r="A291" s="220">
        <f>Database!B291</f>
        <v/>
      </c>
      <c r="B291" s="220">
        <f>IF(AND(Screener!$D$8&lt;&gt;"",Database!$E291=Screener!$D$8),1,0)</f>
        <v/>
      </c>
      <c r="C291" s="220">
        <f>IF(AND(Screener!$D$7&lt;&gt;"",Database!$D291=Screener!$D$7),1,0)</f>
        <v/>
      </c>
      <c r="D291" s="220">
        <f>IF(OR(N(Database!$I291)&lt;=0,N(Screener!$D$9)&lt;=0),0,MAX(0,1-ABS(LOG10(N(Database!$I291)/Screener!$D$9))/W_SIZEHW))</f>
        <v/>
      </c>
      <c r="E291" s="220">
        <f>IF(OR(Database!$BG291="",Screener!$D$10=""),0,IF(Database!$BG291=Screener!$D$10,1,0))</f>
        <v/>
      </c>
      <c r="F291" s="220">
        <f>IF(OR(Database!$BM291="",Screener!$D$11=""),0,IF(Database!$BM291=Screener!$D$11,1,0))</f>
        <v/>
      </c>
      <c r="G291" s="220">
        <f>IF(OR(Database!$H291="",N(Screener!$D$12)&lt;=0),0,MAX(0,1-(N(Screener!$D$12)-Database!$H291)/W_RECD))</f>
        <v/>
      </c>
      <c r="H291" s="220">
        <f>IF($U$1="",0,N(ISNUMBER(SEARCH($U$1,Database!$AC291&amp;""))))+IF($V$1="",0,N(ISNUMBER(SEARCH($V$1,Database!$AC291&amp;""))))+IF($W$1="",0,N(ISNUMBER(SEARCH($W$1,Database!$AC291&amp;""))))+IF($X$1="",0,N(ISNUMBER(SEARCH($X$1,Database!$AC291&amp;""))))+IF($Y$1="",0,N(ISNUMBER(SEARCH($Y$1,Database!$AC291&amp;""))))+IF(Screener!$B$17="",0,N(ISNUMBER(SEARCH(LOWER(Screener!$B$17),Database!$AC291&amp;""))))</f>
        <v/>
      </c>
      <c r="I291" s="220">
        <f>IF(OR(N(Database!$BH291)&lt;=0,N(Screener!$D$13)&lt;=0),0,MAX(0,1-ABS(LOG10(N(Database!$BH291)/Screener!$D$13))/W_PEHW))</f>
        <v/>
      </c>
      <c r="J291" s="220">
        <f>IF(OR(N(Database!$S291)&lt;=0,N(Screener!$D$14)&lt;=0),0,MAX(0,1-ABS(LOG10(Database!$S291/Screener!$D$14))/0.6))</f>
        <v/>
      </c>
      <c r="K291" s="220">
        <f>IF(Database!$B291=Screener!$B$5,-999999,IF(ISNUMBER(SEARCH(","&amp;Database!$A291&amp;",",","&amp;SUBSTITUTE(Screener!$D$17," ","")&amp;",")),2000000,IF(IF(OR(Screener!$B$18="All",AND(Screener!$B$18="With A-share",(Database!$BM291="Y")),AND(Screener!$B$18="Without A-share",NOT((Database!$BM291="Y")))),1,0)=0,-999999,IF(Screener!$B$16="cornerstone overlap first",H291*100000,IF(Screener!$B$16="demand-similar first",J291*100000,0))+W_SUB*B291+W_SEC*C291*(1-B291)+W_SIZE*D291+W_PROF*E291+W_AH*F291+W_REC*G291+W_CS*H291+W_PE*I291)))+ROW()/1000000</f>
        <v/>
      </c>
      <c r="AA291" s="220">
        <f>Database!B280</f>
        <v/>
      </c>
      <c r="AB291" s="220">
        <f>Database!D280</f>
        <v/>
      </c>
      <c r="AC291" s="220">
        <f>Database!E280</f>
        <v/>
      </c>
      <c r="AD291" s="220">
        <f>Database!I280</f>
        <v/>
      </c>
      <c r="AE291" s="220">
        <f>Database!BG280</f>
        <v/>
      </c>
      <c r="AF291" s="220">
        <f>Database!BM280</f>
        <v/>
      </c>
      <c r="AG291" s="220">
        <f>Database!H280</f>
        <v/>
      </c>
      <c r="AH291" s="220">
        <f>Database!BH280</f>
        <v/>
      </c>
    </row>
    <row r="292">
      <c r="A292" s="220">
        <f>Database!B292</f>
        <v/>
      </c>
      <c r="B292" s="220">
        <f>IF(AND(Screener!$D$8&lt;&gt;"",Database!$E292=Screener!$D$8),1,0)</f>
        <v/>
      </c>
      <c r="C292" s="220">
        <f>IF(AND(Screener!$D$7&lt;&gt;"",Database!$D292=Screener!$D$7),1,0)</f>
        <v/>
      </c>
      <c r="D292" s="220">
        <f>IF(OR(N(Database!$I292)&lt;=0,N(Screener!$D$9)&lt;=0),0,MAX(0,1-ABS(LOG10(N(Database!$I292)/Screener!$D$9))/W_SIZEHW))</f>
        <v/>
      </c>
      <c r="E292" s="220">
        <f>IF(OR(Database!$BG292="",Screener!$D$10=""),0,IF(Database!$BG292=Screener!$D$10,1,0))</f>
        <v/>
      </c>
      <c r="F292" s="220">
        <f>IF(OR(Database!$BM292="",Screener!$D$11=""),0,IF(Database!$BM292=Screener!$D$11,1,0))</f>
        <v/>
      </c>
      <c r="G292" s="220">
        <f>IF(OR(Database!$H292="",N(Screener!$D$12)&lt;=0),0,MAX(0,1-(N(Screener!$D$12)-Database!$H292)/W_RECD))</f>
        <v/>
      </c>
      <c r="H292" s="220">
        <f>IF($U$1="",0,N(ISNUMBER(SEARCH($U$1,Database!$AC292&amp;""))))+IF($V$1="",0,N(ISNUMBER(SEARCH($V$1,Database!$AC292&amp;""))))+IF($W$1="",0,N(ISNUMBER(SEARCH($W$1,Database!$AC292&amp;""))))+IF($X$1="",0,N(ISNUMBER(SEARCH($X$1,Database!$AC292&amp;""))))+IF($Y$1="",0,N(ISNUMBER(SEARCH($Y$1,Database!$AC292&amp;""))))+IF(Screener!$B$17="",0,N(ISNUMBER(SEARCH(LOWER(Screener!$B$17),Database!$AC292&amp;""))))</f>
        <v/>
      </c>
      <c r="I292" s="220">
        <f>IF(OR(N(Database!$BH292)&lt;=0,N(Screener!$D$13)&lt;=0),0,MAX(0,1-ABS(LOG10(N(Database!$BH292)/Screener!$D$13))/W_PEHW))</f>
        <v/>
      </c>
      <c r="J292" s="220">
        <f>IF(OR(N(Database!$S292)&lt;=0,N(Screener!$D$14)&lt;=0),0,MAX(0,1-ABS(LOG10(Database!$S292/Screener!$D$14))/0.6))</f>
        <v/>
      </c>
      <c r="K292" s="220">
        <f>IF(Database!$B292=Screener!$B$5,-999999,IF(ISNUMBER(SEARCH(","&amp;Database!$A292&amp;",",","&amp;SUBSTITUTE(Screener!$D$17," ","")&amp;",")),2000000,IF(IF(OR(Screener!$B$18="All",AND(Screener!$B$18="With A-share",(Database!$BM292="Y")),AND(Screener!$B$18="Without A-share",NOT((Database!$BM292="Y")))),1,0)=0,-999999,IF(Screener!$B$16="cornerstone overlap first",H292*100000,IF(Screener!$B$16="demand-similar first",J292*100000,0))+W_SUB*B292+W_SEC*C292*(1-B292)+W_SIZE*D292+W_PROF*E292+W_AH*F292+W_REC*G292+W_CS*H292+W_PE*I292)))+ROW()/1000000</f>
        <v/>
      </c>
      <c r="AA292" s="220">
        <f>Database!B281</f>
        <v/>
      </c>
      <c r="AB292" s="220">
        <f>Database!D281</f>
        <v/>
      </c>
      <c r="AC292" s="220">
        <f>Database!E281</f>
        <v/>
      </c>
      <c r="AD292" s="220">
        <f>Database!I281</f>
        <v/>
      </c>
      <c r="AE292" s="220">
        <f>Database!BG281</f>
        <v/>
      </c>
      <c r="AF292" s="220">
        <f>Database!BM281</f>
        <v/>
      </c>
      <c r="AG292" s="220">
        <f>Database!H281</f>
        <v/>
      </c>
      <c r="AH292" s="220">
        <f>Database!BH281</f>
        <v/>
      </c>
    </row>
    <row r="293">
      <c r="A293" s="220">
        <f>Database!B293</f>
        <v/>
      </c>
      <c r="B293" s="220">
        <f>IF(AND(Screener!$D$8&lt;&gt;"",Database!$E293=Screener!$D$8),1,0)</f>
        <v/>
      </c>
      <c r="C293" s="220">
        <f>IF(AND(Screener!$D$7&lt;&gt;"",Database!$D293=Screener!$D$7),1,0)</f>
        <v/>
      </c>
      <c r="D293" s="220">
        <f>IF(OR(N(Database!$I293)&lt;=0,N(Screener!$D$9)&lt;=0),0,MAX(0,1-ABS(LOG10(N(Database!$I293)/Screener!$D$9))/W_SIZEHW))</f>
        <v/>
      </c>
      <c r="E293" s="220">
        <f>IF(OR(Database!$BG293="",Screener!$D$10=""),0,IF(Database!$BG293=Screener!$D$10,1,0))</f>
        <v/>
      </c>
      <c r="F293" s="220">
        <f>IF(OR(Database!$BM293="",Screener!$D$11=""),0,IF(Database!$BM293=Screener!$D$11,1,0))</f>
        <v/>
      </c>
      <c r="G293" s="220">
        <f>IF(OR(Database!$H293="",N(Screener!$D$12)&lt;=0),0,MAX(0,1-(N(Screener!$D$12)-Database!$H293)/W_RECD))</f>
        <v/>
      </c>
      <c r="H293" s="220">
        <f>IF($U$1="",0,N(ISNUMBER(SEARCH($U$1,Database!$AC293&amp;""))))+IF($V$1="",0,N(ISNUMBER(SEARCH($V$1,Database!$AC293&amp;""))))+IF($W$1="",0,N(ISNUMBER(SEARCH($W$1,Database!$AC293&amp;""))))+IF($X$1="",0,N(ISNUMBER(SEARCH($X$1,Database!$AC293&amp;""))))+IF($Y$1="",0,N(ISNUMBER(SEARCH($Y$1,Database!$AC293&amp;""))))+IF(Screener!$B$17="",0,N(ISNUMBER(SEARCH(LOWER(Screener!$B$17),Database!$AC293&amp;""))))</f>
        <v/>
      </c>
      <c r="I293" s="220">
        <f>IF(OR(N(Database!$BH293)&lt;=0,N(Screener!$D$13)&lt;=0),0,MAX(0,1-ABS(LOG10(N(Database!$BH293)/Screener!$D$13))/W_PEHW))</f>
        <v/>
      </c>
      <c r="J293" s="220">
        <f>IF(OR(N(Database!$S293)&lt;=0,N(Screener!$D$14)&lt;=0),0,MAX(0,1-ABS(LOG10(Database!$S293/Screener!$D$14))/0.6))</f>
        <v/>
      </c>
      <c r="K293" s="220">
        <f>IF(Database!$B293=Screener!$B$5,-999999,IF(ISNUMBER(SEARCH(","&amp;Database!$A293&amp;",",","&amp;SUBSTITUTE(Screener!$D$17," ","")&amp;",")),2000000,IF(IF(OR(Screener!$B$18="All",AND(Screener!$B$18="With A-share",(Database!$BM293="Y")),AND(Screener!$B$18="Without A-share",NOT((Database!$BM293="Y")))),1,0)=0,-999999,IF(Screener!$B$16="cornerstone overlap first",H293*100000,IF(Screener!$B$16="demand-similar first",J293*100000,0))+W_SUB*B293+W_SEC*C293*(1-B293)+W_SIZE*D293+W_PROF*E293+W_AH*F293+W_REC*G293+W_CS*H293+W_PE*I293)))+ROW()/1000000</f>
        <v/>
      </c>
      <c r="AA293" s="220">
        <f>Database!B282</f>
        <v/>
      </c>
      <c r="AB293" s="220">
        <f>Database!D282</f>
        <v/>
      </c>
      <c r="AC293" s="220">
        <f>Database!E282</f>
        <v/>
      </c>
      <c r="AD293" s="220">
        <f>Database!I282</f>
        <v/>
      </c>
      <c r="AE293" s="220">
        <f>Database!BG282</f>
        <v/>
      </c>
      <c r="AF293" s="220">
        <f>Database!BM282</f>
        <v/>
      </c>
      <c r="AG293" s="220">
        <f>Database!H282</f>
        <v/>
      </c>
      <c r="AH293" s="220">
        <f>Database!BH282</f>
        <v/>
      </c>
    </row>
    <row r="294">
      <c r="A294" s="220">
        <f>Database!B294</f>
        <v/>
      </c>
      <c r="B294" s="220">
        <f>IF(AND(Screener!$D$8&lt;&gt;"",Database!$E294=Screener!$D$8),1,0)</f>
        <v/>
      </c>
      <c r="C294" s="220">
        <f>IF(AND(Screener!$D$7&lt;&gt;"",Database!$D294=Screener!$D$7),1,0)</f>
        <v/>
      </c>
      <c r="D294" s="220">
        <f>IF(OR(N(Database!$I294)&lt;=0,N(Screener!$D$9)&lt;=0),0,MAX(0,1-ABS(LOG10(N(Database!$I294)/Screener!$D$9))/W_SIZEHW))</f>
        <v/>
      </c>
      <c r="E294" s="220">
        <f>IF(OR(Database!$BG294="",Screener!$D$10=""),0,IF(Database!$BG294=Screener!$D$10,1,0))</f>
        <v/>
      </c>
      <c r="F294" s="220">
        <f>IF(OR(Database!$BM294="",Screener!$D$11=""),0,IF(Database!$BM294=Screener!$D$11,1,0))</f>
        <v/>
      </c>
      <c r="G294" s="220">
        <f>IF(OR(Database!$H294="",N(Screener!$D$12)&lt;=0),0,MAX(0,1-(N(Screener!$D$12)-Database!$H294)/W_RECD))</f>
        <v/>
      </c>
      <c r="H294" s="220">
        <f>IF($U$1="",0,N(ISNUMBER(SEARCH($U$1,Database!$AC294&amp;""))))+IF($V$1="",0,N(ISNUMBER(SEARCH($V$1,Database!$AC294&amp;""))))+IF($W$1="",0,N(ISNUMBER(SEARCH($W$1,Database!$AC294&amp;""))))+IF($X$1="",0,N(ISNUMBER(SEARCH($X$1,Database!$AC294&amp;""))))+IF($Y$1="",0,N(ISNUMBER(SEARCH($Y$1,Database!$AC294&amp;""))))+IF(Screener!$B$17="",0,N(ISNUMBER(SEARCH(LOWER(Screener!$B$17),Database!$AC294&amp;""))))</f>
        <v/>
      </c>
      <c r="I294" s="220">
        <f>IF(OR(N(Database!$BH294)&lt;=0,N(Screener!$D$13)&lt;=0),0,MAX(0,1-ABS(LOG10(N(Database!$BH294)/Screener!$D$13))/W_PEHW))</f>
        <v/>
      </c>
      <c r="J294" s="220">
        <f>IF(OR(N(Database!$S294)&lt;=0,N(Screener!$D$14)&lt;=0),0,MAX(0,1-ABS(LOG10(Database!$S294/Screener!$D$14))/0.6))</f>
        <v/>
      </c>
      <c r="K294" s="220">
        <f>IF(Database!$B294=Screener!$B$5,-999999,IF(ISNUMBER(SEARCH(","&amp;Database!$A294&amp;",",","&amp;SUBSTITUTE(Screener!$D$17," ","")&amp;",")),2000000,IF(IF(OR(Screener!$B$18="All",AND(Screener!$B$18="With A-share",(Database!$BM294="Y")),AND(Screener!$B$18="Without A-share",NOT((Database!$BM294="Y")))),1,0)=0,-999999,IF(Screener!$B$16="cornerstone overlap first",H294*100000,IF(Screener!$B$16="demand-similar first",J294*100000,0))+W_SUB*B294+W_SEC*C294*(1-B294)+W_SIZE*D294+W_PROF*E294+W_AH*F294+W_REC*G294+W_CS*H294+W_PE*I294)))+ROW()/1000000</f>
        <v/>
      </c>
      <c r="AA294" s="220">
        <f>Database!B283</f>
        <v/>
      </c>
      <c r="AB294" s="220">
        <f>Database!D283</f>
        <v/>
      </c>
      <c r="AC294" s="220">
        <f>Database!E283</f>
        <v/>
      </c>
      <c r="AD294" s="220">
        <f>Database!I283</f>
        <v/>
      </c>
      <c r="AE294" s="220">
        <f>Database!BG283</f>
        <v/>
      </c>
      <c r="AF294" s="220">
        <f>Database!BM283</f>
        <v/>
      </c>
      <c r="AG294" s="220">
        <f>Database!H283</f>
        <v/>
      </c>
      <c r="AH294" s="220">
        <f>Database!BH283</f>
        <v/>
      </c>
    </row>
    <row r="295">
      <c r="A295" s="220">
        <f>Database!B295</f>
        <v/>
      </c>
      <c r="B295" s="220">
        <f>IF(AND(Screener!$D$8&lt;&gt;"",Database!$E295=Screener!$D$8),1,0)</f>
        <v/>
      </c>
      <c r="C295" s="220">
        <f>IF(AND(Screener!$D$7&lt;&gt;"",Database!$D295=Screener!$D$7),1,0)</f>
        <v/>
      </c>
      <c r="D295" s="220">
        <f>IF(OR(N(Database!$I295)&lt;=0,N(Screener!$D$9)&lt;=0),0,MAX(0,1-ABS(LOG10(N(Database!$I295)/Screener!$D$9))/W_SIZEHW))</f>
        <v/>
      </c>
      <c r="E295" s="220">
        <f>IF(OR(Database!$BG295="",Screener!$D$10=""),0,IF(Database!$BG295=Screener!$D$10,1,0))</f>
        <v/>
      </c>
      <c r="F295" s="220">
        <f>IF(OR(Database!$BM295="",Screener!$D$11=""),0,IF(Database!$BM295=Screener!$D$11,1,0))</f>
        <v/>
      </c>
      <c r="G295" s="220">
        <f>IF(OR(Database!$H295="",N(Screener!$D$12)&lt;=0),0,MAX(0,1-(N(Screener!$D$12)-Database!$H295)/W_RECD))</f>
        <v/>
      </c>
      <c r="H295" s="220">
        <f>IF($U$1="",0,N(ISNUMBER(SEARCH($U$1,Database!$AC295&amp;""))))+IF($V$1="",0,N(ISNUMBER(SEARCH($V$1,Database!$AC295&amp;""))))+IF($W$1="",0,N(ISNUMBER(SEARCH($W$1,Database!$AC295&amp;""))))+IF($X$1="",0,N(ISNUMBER(SEARCH($X$1,Database!$AC295&amp;""))))+IF($Y$1="",0,N(ISNUMBER(SEARCH($Y$1,Database!$AC295&amp;""))))+IF(Screener!$B$17="",0,N(ISNUMBER(SEARCH(LOWER(Screener!$B$17),Database!$AC295&amp;""))))</f>
        <v/>
      </c>
      <c r="I295" s="220">
        <f>IF(OR(N(Database!$BH295)&lt;=0,N(Screener!$D$13)&lt;=0),0,MAX(0,1-ABS(LOG10(N(Database!$BH295)/Screener!$D$13))/W_PEHW))</f>
        <v/>
      </c>
      <c r="J295" s="220">
        <f>IF(OR(N(Database!$S295)&lt;=0,N(Screener!$D$14)&lt;=0),0,MAX(0,1-ABS(LOG10(Database!$S295/Screener!$D$14))/0.6))</f>
        <v/>
      </c>
      <c r="K295" s="220">
        <f>IF(Database!$B295=Screener!$B$5,-999999,IF(ISNUMBER(SEARCH(","&amp;Database!$A295&amp;",",","&amp;SUBSTITUTE(Screener!$D$17," ","")&amp;",")),2000000,IF(IF(OR(Screener!$B$18="All",AND(Screener!$B$18="With A-share",(Database!$BM295="Y")),AND(Screener!$B$18="Without A-share",NOT((Database!$BM295="Y")))),1,0)=0,-999999,IF(Screener!$B$16="cornerstone overlap first",H295*100000,IF(Screener!$B$16="demand-similar first",J295*100000,0))+W_SUB*B295+W_SEC*C295*(1-B295)+W_SIZE*D295+W_PROF*E295+W_AH*F295+W_REC*G295+W_CS*H295+W_PE*I295)))+ROW()/1000000</f>
        <v/>
      </c>
      <c r="AA295" s="220">
        <f>Database!B284</f>
        <v/>
      </c>
      <c r="AB295" s="220">
        <f>Database!D284</f>
        <v/>
      </c>
      <c r="AC295" s="220">
        <f>Database!E284</f>
        <v/>
      </c>
      <c r="AD295" s="220">
        <f>Database!I284</f>
        <v/>
      </c>
      <c r="AE295" s="220">
        <f>Database!BG284</f>
        <v/>
      </c>
      <c r="AF295" s="220">
        <f>Database!BM284</f>
        <v/>
      </c>
      <c r="AG295" s="220">
        <f>Database!H284</f>
        <v/>
      </c>
      <c r="AH295" s="220">
        <f>Database!BH284</f>
        <v/>
      </c>
    </row>
    <row r="296">
      <c r="A296" s="220">
        <f>Database!B296</f>
        <v/>
      </c>
      <c r="B296" s="220">
        <f>IF(AND(Screener!$D$8&lt;&gt;"",Database!$E296=Screener!$D$8),1,0)</f>
        <v/>
      </c>
      <c r="C296" s="220">
        <f>IF(AND(Screener!$D$7&lt;&gt;"",Database!$D296=Screener!$D$7),1,0)</f>
        <v/>
      </c>
      <c r="D296" s="220">
        <f>IF(OR(N(Database!$I296)&lt;=0,N(Screener!$D$9)&lt;=0),0,MAX(0,1-ABS(LOG10(N(Database!$I296)/Screener!$D$9))/W_SIZEHW))</f>
        <v/>
      </c>
      <c r="E296" s="220">
        <f>IF(OR(Database!$BG296="",Screener!$D$10=""),0,IF(Database!$BG296=Screener!$D$10,1,0))</f>
        <v/>
      </c>
      <c r="F296" s="220">
        <f>IF(OR(Database!$BM296="",Screener!$D$11=""),0,IF(Database!$BM296=Screener!$D$11,1,0))</f>
        <v/>
      </c>
      <c r="G296" s="220">
        <f>IF(OR(Database!$H296="",N(Screener!$D$12)&lt;=0),0,MAX(0,1-(N(Screener!$D$12)-Database!$H296)/W_RECD))</f>
        <v/>
      </c>
      <c r="H296" s="220">
        <f>IF($U$1="",0,N(ISNUMBER(SEARCH($U$1,Database!$AC296&amp;""))))+IF($V$1="",0,N(ISNUMBER(SEARCH($V$1,Database!$AC296&amp;""))))+IF($W$1="",0,N(ISNUMBER(SEARCH($W$1,Database!$AC296&amp;""))))+IF($X$1="",0,N(ISNUMBER(SEARCH($X$1,Database!$AC296&amp;""))))+IF($Y$1="",0,N(ISNUMBER(SEARCH($Y$1,Database!$AC296&amp;""))))+IF(Screener!$B$17="",0,N(ISNUMBER(SEARCH(LOWER(Screener!$B$17),Database!$AC296&amp;""))))</f>
        <v/>
      </c>
      <c r="I296" s="220">
        <f>IF(OR(N(Database!$BH296)&lt;=0,N(Screener!$D$13)&lt;=0),0,MAX(0,1-ABS(LOG10(N(Database!$BH296)/Screener!$D$13))/W_PEHW))</f>
        <v/>
      </c>
      <c r="J296" s="220">
        <f>IF(OR(N(Database!$S296)&lt;=0,N(Screener!$D$14)&lt;=0),0,MAX(0,1-ABS(LOG10(Database!$S296/Screener!$D$14))/0.6))</f>
        <v/>
      </c>
      <c r="K296" s="220">
        <f>IF(Database!$B296=Screener!$B$5,-999999,IF(ISNUMBER(SEARCH(","&amp;Database!$A296&amp;",",","&amp;SUBSTITUTE(Screener!$D$17," ","")&amp;",")),2000000,IF(IF(OR(Screener!$B$18="All",AND(Screener!$B$18="With A-share",(Database!$BM296="Y")),AND(Screener!$B$18="Without A-share",NOT((Database!$BM296="Y")))),1,0)=0,-999999,IF(Screener!$B$16="cornerstone overlap first",H296*100000,IF(Screener!$B$16="demand-similar first",J296*100000,0))+W_SUB*B296+W_SEC*C296*(1-B296)+W_SIZE*D296+W_PROF*E296+W_AH*F296+W_REC*G296+W_CS*H296+W_PE*I296)))+ROW()/1000000</f>
        <v/>
      </c>
      <c r="AA296" s="220">
        <f>Database!B285</f>
        <v/>
      </c>
      <c r="AB296" s="220">
        <f>Database!D285</f>
        <v/>
      </c>
      <c r="AC296" s="220">
        <f>Database!E285</f>
        <v/>
      </c>
      <c r="AD296" s="220">
        <f>Database!I285</f>
        <v/>
      </c>
      <c r="AE296" s="220">
        <f>Database!BG285</f>
        <v/>
      </c>
      <c r="AF296" s="220">
        <f>Database!BM285</f>
        <v/>
      </c>
      <c r="AG296" s="220">
        <f>Database!H285</f>
        <v/>
      </c>
      <c r="AH296" s="220">
        <f>Database!BH285</f>
        <v/>
      </c>
    </row>
    <row r="297">
      <c r="A297" s="220">
        <f>Database!B297</f>
        <v/>
      </c>
      <c r="B297" s="220">
        <f>IF(AND(Screener!$D$8&lt;&gt;"",Database!$E297=Screener!$D$8),1,0)</f>
        <v/>
      </c>
      <c r="C297" s="220">
        <f>IF(AND(Screener!$D$7&lt;&gt;"",Database!$D297=Screener!$D$7),1,0)</f>
        <v/>
      </c>
      <c r="D297" s="220">
        <f>IF(OR(N(Database!$I297)&lt;=0,N(Screener!$D$9)&lt;=0),0,MAX(0,1-ABS(LOG10(N(Database!$I297)/Screener!$D$9))/W_SIZEHW))</f>
        <v/>
      </c>
      <c r="E297" s="220">
        <f>IF(OR(Database!$BG297="",Screener!$D$10=""),0,IF(Database!$BG297=Screener!$D$10,1,0))</f>
        <v/>
      </c>
      <c r="F297" s="220">
        <f>IF(OR(Database!$BM297="",Screener!$D$11=""),0,IF(Database!$BM297=Screener!$D$11,1,0))</f>
        <v/>
      </c>
      <c r="G297" s="220">
        <f>IF(OR(Database!$H297="",N(Screener!$D$12)&lt;=0),0,MAX(0,1-(N(Screener!$D$12)-Database!$H297)/W_RECD))</f>
        <v/>
      </c>
      <c r="H297" s="220">
        <f>IF($U$1="",0,N(ISNUMBER(SEARCH($U$1,Database!$AC297&amp;""))))+IF($V$1="",0,N(ISNUMBER(SEARCH($V$1,Database!$AC297&amp;""))))+IF($W$1="",0,N(ISNUMBER(SEARCH($W$1,Database!$AC297&amp;""))))+IF($X$1="",0,N(ISNUMBER(SEARCH($X$1,Database!$AC297&amp;""))))+IF($Y$1="",0,N(ISNUMBER(SEARCH($Y$1,Database!$AC297&amp;""))))+IF(Screener!$B$17="",0,N(ISNUMBER(SEARCH(LOWER(Screener!$B$17),Database!$AC297&amp;""))))</f>
        <v/>
      </c>
      <c r="I297" s="220">
        <f>IF(OR(N(Database!$BH297)&lt;=0,N(Screener!$D$13)&lt;=0),0,MAX(0,1-ABS(LOG10(N(Database!$BH297)/Screener!$D$13))/W_PEHW))</f>
        <v/>
      </c>
      <c r="J297" s="220">
        <f>IF(OR(N(Database!$S297)&lt;=0,N(Screener!$D$14)&lt;=0),0,MAX(0,1-ABS(LOG10(Database!$S297/Screener!$D$14))/0.6))</f>
        <v/>
      </c>
      <c r="K297" s="220">
        <f>IF(Database!$B297=Screener!$B$5,-999999,IF(ISNUMBER(SEARCH(","&amp;Database!$A297&amp;",",","&amp;SUBSTITUTE(Screener!$D$17," ","")&amp;",")),2000000,IF(IF(OR(Screener!$B$18="All",AND(Screener!$B$18="With A-share",(Database!$BM297="Y")),AND(Screener!$B$18="Without A-share",NOT((Database!$BM297="Y")))),1,0)=0,-999999,IF(Screener!$B$16="cornerstone overlap first",H297*100000,IF(Screener!$B$16="demand-similar first",J297*100000,0))+W_SUB*B297+W_SEC*C297*(1-B297)+W_SIZE*D297+W_PROF*E297+W_AH*F297+W_REC*G297+W_CS*H297+W_PE*I297)))+ROW()/1000000</f>
        <v/>
      </c>
      <c r="AA297" s="220">
        <f>Database!B286</f>
        <v/>
      </c>
      <c r="AB297" s="220">
        <f>Database!D286</f>
        <v/>
      </c>
      <c r="AC297" s="220">
        <f>Database!E286</f>
        <v/>
      </c>
      <c r="AD297" s="220">
        <f>Database!I286</f>
        <v/>
      </c>
      <c r="AE297" s="220">
        <f>Database!BG286</f>
        <v/>
      </c>
      <c r="AF297" s="220">
        <f>Database!BM286</f>
        <v/>
      </c>
      <c r="AG297" s="220">
        <f>Database!H286</f>
        <v/>
      </c>
      <c r="AH297" s="220">
        <f>Database!BH286</f>
        <v/>
      </c>
    </row>
    <row r="298">
      <c r="A298" s="220">
        <f>Database!B298</f>
        <v/>
      </c>
      <c r="B298" s="220">
        <f>IF(AND(Screener!$D$8&lt;&gt;"",Database!$E298=Screener!$D$8),1,0)</f>
        <v/>
      </c>
      <c r="C298" s="220">
        <f>IF(AND(Screener!$D$7&lt;&gt;"",Database!$D298=Screener!$D$7),1,0)</f>
        <v/>
      </c>
      <c r="D298" s="220">
        <f>IF(OR(N(Database!$I298)&lt;=0,N(Screener!$D$9)&lt;=0),0,MAX(0,1-ABS(LOG10(N(Database!$I298)/Screener!$D$9))/W_SIZEHW))</f>
        <v/>
      </c>
      <c r="E298" s="220">
        <f>IF(OR(Database!$BG298="",Screener!$D$10=""),0,IF(Database!$BG298=Screener!$D$10,1,0))</f>
        <v/>
      </c>
      <c r="F298" s="220">
        <f>IF(OR(Database!$BM298="",Screener!$D$11=""),0,IF(Database!$BM298=Screener!$D$11,1,0))</f>
        <v/>
      </c>
      <c r="G298" s="220">
        <f>IF(OR(Database!$H298="",N(Screener!$D$12)&lt;=0),0,MAX(0,1-(N(Screener!$D$12)-Database!$H298)/W_RECD))</f>
        <v/>
      </c>
      <c r="H298" s="220">
        <f>IF($U$1="",0,N(ISNUMBER(SEARCH($U$1,Database!$AC298&amp;""))))+IF($V$1="",0,N(ISNUMBER(SEARCH($V$1,Database!$AC298&amp;""))))+IF($W$1="",0,N(ISNUMBER(SEARCH($W$1,Database!$AC298&amp;""))))+IF($X$1="",0,N(ISNUMBER(SEARCH($X$1,Database!$AC298&amp;""))))+IF($Y$1="",0,N(ISNUMBER(SEARCH($Y$1,Database!$AC298&amp;""))))+IF(Screener!$B$17="",0,N(ISNUMBER(SEARCH(LOWER(Screener!$B$17),Database!$AC298&amp;""))))</f>
        <v/>
      </c>
      <c r="I298" s="220">
        <f>IF(OR(N(Database!$BH298)&lt;=0,N(Screener!$D$13)&lt;=0),0,MAX(0,1-ABS(LOG10(N(Database!$BH298)/Screener!$D$13))/W_PEHW))</f>
        <v/>
      </c>
      <c r="J298" s="220">
        <f>IF(OR(N(Database!$S298)&lt;=0,N(Screener!$D$14)&lt;=0),0,MAX(0,1-ABS(LOG10(Database!$S298/Screener!$D$14))/0.6))</f>
        <v/>
      </c>
      <c r="K298" s="220">
        <f>IF(Database!$B298=Screener!$B$5,-999999,IF(ISNUMBER(SEARCH(","&amp;Database!$A298&amp;",",","&amp;SUBSTITUTE(Screener!$D$17," ","")&amp;",")),2000000,IF(IF(OR(Screener!$B$18="All",AND(Screener!$B$18="With A-share",(Database!$BM298="Y")),AND(Screener!$B$18="Without A-share",NOT((Database!$BM298="Y")))),1,0)=0,-999999,IF(Screener!$B$16="cornerstone overlap first",H298*100000,IF(Screener!$B$16="demand-similar first",J298*100000,0))+W_SUB*B298+W_SEC*C298*(1-B298)+W_SIZE*D298+W_PROF*E298+W_AH*F298+W_REC*G298+W_CS*H298+W_PE*I298)))+ROW()/1000000</f>
        <v/>
      </c>
      <c r="AA298" s="220">
        <f>Database!B287</f>
        <v/>
      </c>
      <c r="AB298" s="220">
        <f>Database!D287</f>
        <v/>
      </c>
      <c r="AC298" s="220">
        <f>Database!E287</f>
        <v/>
      </c>
      <c r="AD298" s="220">
        <f>Database!I287</f>
        <v/>
      </c>
      <c r="AE298" s="220">
        <f>Database!BG287</f>
        <v/>
      </c>
      <c r="AF298" s="220">
        <f>Database!BM287</f>
        <v/>
      </c>
      <c r="AG298" s="220">
        <f>Database!H287</f>
        <v/>
      </c>
      <c r="AH298" s="220">
        <f>Database!BH287</f>
        <v/>
      </c>
    </row>
    <row r="299">
      <c r="A299" s="220">
        <f>Database!B299</f>
        <v/>
      </c>
      <c r="B299" s="220">
        <f>IF(AND(Screener!$D$8&lt;&gt;"",Database!$E299=Screener!$D$8),1,0)</f>
        <v/>
      </c>
      <c r="C299" s="220">
        <f>IF(AND(Screener!$D$7&lt;&gt;"",Database!$D299=Screener!$D$7),1,0)</f>
        <v/>
      </c>
      <c r="D299" s="220">
        <f>IF(OR(N(Database!$I299)&lt;=0,N(Screener!$D$9)&lt;=0),0,MAX(0,1-ABS(LOG10(N(Database!$I299)/Screener!$D$9))/W_SIZEHW))</f>
        <v/>
      </c>
      <c r="E299" s="220">
        <f>IF(OR(Database!$BG299="",Screener!$D$10=""),0,IF(Database!$BG299=Screener!$D$10,1,0))</f>
        <v/>
      </c>
      <c r="F299" s="220">
        <f>IF(OR(Database!$BM299="",Screener!$D$11=""),0,IF(Database!$BM299=Screener!$D$11,1,0))</f>
        <v/>
      </c>
      <c r="G299" s="220">
        <f>IF(OR(Database!$H299="",N(Screener!$D$12)&lt;=0),0,MAX(0,1-(N(Screener!$D$12)-Database!$H299)/W_RECD))</f>
        <v/>
      </c>
      <c r="H299" s="220">
        <f>IF($U$1="",0,N(ISNUMBER(SEARCH($U$1,Database!$AC299&amp;""))))+IF($V$1="",0,N(ISNUMBER(SEARCH($V$1,Database!$AC299&amp;""))))+IF($W$1="",0,N(ISNUMBER(SEARCH($W$1,Database!$AC299&amp;""))))+IF($X$1="",0,N(ISNUMBER(SEARCH($X$1,Database!$AC299&amp;""))))+IF($Y$1="",0,N(ISNUMBER(SEARCH($Y$1,Database!$AC299&amp;""))))+IF(Screener!$B$17="",0,N(ISNUMBER(SEARCH(LOWER(Screener!$B$17),Database!$AC299&amp;""))))</f>
        <v/>
      </c>
      <c r="I299" s="220">
        <f>IF(OR(N(Database!$BH299)&lt;=0,N(Screener!$D$13)&lt;=0),0,MAX(0,1-ABS(LOG10(N(Database!$BH299)/Screener!$D$13))/W_PEHW))</f>
        <v/>
      </c>
      <c r="J299" s="220">
        <f>IF(OR(N(Database!$S299)&lt;=0,N(Screener!$D$14)&lt;=0),0,MAX(0,1-ABS(LOG10(Database!$S299/Screener!$D$14))/0.6))</f>
        <v/>
      </c>
      <c r="K299" s="220">
        <f>IF(Database!$B299=Screener!$B$5,-999999,IF(ISNUMBER(SEARCH(","&amp;Database!$A299&amp;",",","&amp;SUBSTITUTE(Screener!$D$17," ","")&amp;",")),2000000,IF(IF(OR(Screener!$B$18="All",AND(Screener!$B$18="With A-share",(Database!$BM299="Y")),AND(Screener!$B$18="Without A-share",NOT((Database!$BM299="Y")))),1,0)=0,-999999,IF(Screener!$B$16="cornerstone overlap first",H299*100000,IF(Screener!$B$16="demand-similar first",J299*100000,0))+W_SUB*B299+W_SEC*C299*(1-B299)+W_SIZE*D299+W_PROF*E299+W_AH*F299+W_REC*G299+W_CS*H299+W_PE*I299)))+ROW()/1000000</f>
        <v/>
      </c>
      <c r="AA299" s="220">
        <f>Database!B288</f>
        <v/>
      </c>
      <c r="AB299" s="220">
        <f>Database!D288</f>
        <v/>
      </c>
      <c r="AC299" s="220">
        <f>Database!E288</f>
        <v/>
      </c>
      <c r="AD299" s="220">
        <f>Database!I288</f>
        <v/>
      </c>
      <c r="AE299" s="220">
        <f>Database!BG288</f>
        <v/>
      </c>
      <c r="AF299" s="220">
        <f>Database!BM288</f>
        <v/>
      </c>
      <c r="AG299" s="220">
        <f>Database!H288</f>
        <v/>
      </c>
      <c r="AH299" s="220">
        <f>Database!BH288</f>
        <v/>
      </c>
    </row>
    <row r="300">
      <c r="A300" s="220">
        <f>Database!B300</f>
        <v/>
      </c>
      <c r="B300" s="220">
        <f>IF(AND(Screener!$D$8&lt;&gt;"",Database!$E300=Screener!$D$8),1,0)</f>
        <v/>
      </c>
      <c r="C300" s="220">
        <f>IF(AND(Screener!$D$7&lt;&gt;"",Database!$D300=Screener!$D$7),1,0)</f>
        <v/>
      </c>
      <c r="D300" s="220">
        <f>IF(OR(N(Database!$I300)&lt;=0,N(Screener!$D$9)&lt;=0),0,MAX(0,1-ABS(LOG10(N(Database!$I300)/Screener!$D$9))/W_SIZEHW))</f>
        <v/>
      </c>
      <c r="E300" s="220">
        <f>IF(OR(Database!$BG300="",Screener!$D$10=""),0,IF(Database!$BG300=Screener!$D$10,1,0))</f>
        <v/>
      </c>
      <c r="F300" s="220">
        <f>IF(OR(Database!$BM300="",Screener!$D$11=""),0,IF(Database!$BM300=Screener!$D$11,1,0))</f>
        <v/>
      </c>
      <c r="G300" s="220">
        <f>IF(OR(Database!$H300="",N(Screener!$D$12)&lt;=0),0,MAX(0,1-(N(Screener!$D$12)-Database!$H300)/W_RECD))</f>
        <v/>
      </c>
      <c r="H300" s="220">
        <f>IF($U$1="",0,N(ISNUMBER(SEARCH($U$1,Database!$AC300&amp;""))))+IF($V$1="",0,N(ISNUMBER(SEARCH($V$1,Database!$AC300&amp;""))))+IF($W$1="",0,N(ISNUMBER(SEARCH($W$1,Database!$AC300&amp;""))))+IF($X$1="",0,N(ISNUMBER(SEARCH($X$1,Database!$AC300&amp;""))))+IF($Y$1="",0,N(ISNUMBER(SEARCH($Y$1,Database!$AC300&amp;""))))+IF(Screener!$B$17="",0,N(ISNUMBER(SEARCH(LOWER(Screener!$B$17),Database!$AC300&amp;""))))</f>
        <v/>
      </c>
      <c r="I300" s="220">
        <f>IF(OR(N(Database!$BH300)&lt;=0,N(Screener!$D$13)&lt;=0),0,MAX(0,1-ABS(LOG10(N(Database!$BH300)/Screener!$D$13))/W_PEHW))</f>
        <v/>
      </c>
      <c r="J300" s="220">
        <f>IF(OR(N(Database!$S300)&lt;=0,N(Screener!$D$14)&lt;=0),0,MAX(0,1-ABS(LOG10(Database!$S300/Screener!$D$14))/0.6))</f>
        <v/>
      </c>
      <c r="K300" s="220">
        <f>IF(Database!$B300=Screener!$B$5,-999999,IF(ISNUMBER(SEARCH(","&amp;Database!$A300&amp;",",","&amp;SUBSTITUTE(Screener!$D$17," ","")&amp;",")),2000000,IF(IF(OR(Screener!$B$18="All",AND(Screener!$B$18="With A-share",(Database!$BM300="Y")),AND(Screener!$B$18="Without A-share",NOT((Database!$BM300="Y")))),1,0)=0,-999999,IF(Screener!$B$16="cornerstone overlap first",H300*100000,IF(Screener!$B$16="demand-similar first",J300*100000,0))+W_SUB*B300+W_SEC*C300*(1-B300)+W_SIZE*D300+W_PROF*E300+W_AH*F300+W_REC*G300+W_CS*H300+W_PE*I300)))+ROW()/1000000</f>
        <v/>
      </c>
      <c r="AA300" s="220">
        <f>Database!B289</f>
        <v/>
      </c>
      <c r="AB300" s="220">
        <f>Database!D289</f>
        <v/>
      </c>
      <c r="AC300" s="220">
        <f>Database!E289</f>
        <v/>
      </c>
      <c r="AD300" s="220">
        <f>Database!I289</f>
        <v/>
      </c>
      <c r="AE300" s="220">
        <f>Database!BG289</f>
        <v/>
      </c>
      <c r="AF300" s="220">
        <f>Database!BM289</f>
        <v/>
      </c>
      <c r="AG300" s="220">
        <f>Database!H289</f>
        <v/>
      </c>
      <c r="AH300" s="220">
        <f>Database!BH289</f>
        <v/>
      </c>
    </row>
    <row r="301">
      <c r="A301" s="220">
        <f>Database!B301</f>
        <v/>
      </c>
      <c r="B301" s="220">
        <f>IF(AND(Screener!$D$8&lt;&gt;"",Database!$E301=Screener!$D$8),1,0)</f>
        <v/>
      </c>
      <c r="C301" s="220">
        <f>IF(AND(Screener!$D$7&lt;&gt;"",Database!$D301=Screener!$D$7),1,0)</f>
        <v/>
      </c>
      <c r="D301" s="220">
        <f>IF(OR(N(Database!$I301)&lt;=0,N(Screener!$D$9)&lt;=0),0,MAX(0,1-ABS(LOG10(N(Database!$I301)/Screener!$D$9))/W_SIZEHW))</f>
        <v/>
      </c>
      <c r="E301" s="220">
        <f>IF(OR(Database!$BG301="",Screener!$D$10=""),0,IF(Database!$BG301=Screener!$D$10,1,0))</f>
        <v/>
      </c>
      <c r="F301" s="220">
        <f>IF(OR(Database!$BM301="",Screener!$D$11=""),0,IF(Database!$BM301=Screener!$D$11,1,0))</f>
        <v/>
      </c>
      <c r="G301" s="220">
        <f>IF(OR(Database!$H301="",N(Screener!$D$12)&lt;=0),0,MAX(0,1-(N(Screener!$D$12)-Database!$H301)/W_RECD))</f>
        <v/>
      </c>
      <c r="H301" s="220">
        <f>IF($U$1="",0,N(ISNUMBER(SEARCH($U$1,Database!$AC301&amp;""))))+IF($V$1="",0,N(ISNUMBER(SEARCH($V$1,Database!$AC301&amp;""))))+IF($W$1="",0,N(ISNUMBER(SEARCH($W$1,Database!$AC301&amp;""))))+IF($X$1="",0,N(ISNUMBER(SEARCH($X$1,Database!$AC301&amp;""))))+IF($Y$1="",0,N(ISNUMBER(SEARCH($Y$1,Database!$AC301&amp;""))))+IF(Screener!$B$17="",0,N(ISNUMBER(SEARCH(LOWER(Screener!$B$17),Database!$AC301&amp;""))))</f>
        <v/>
      </c>
      <c r="I301" s="220">
        <f>IF(OR(N(Database!$BH301)&lt;=0,N(Screener!$D$13)&lt;=0),0,MAX(0,1-ABS(LOG10(N(Database!$BH301)/Screener!$D$13))/W_PEHW))</f>
        <v/>
      </c>
      <c r="J301" s="220">
        <f>IF(OR(N(Database!$S301)&lt;=0,N(Screener!$D$14)&lt;=0),0,MAX(0,1-ABS(LOG10(Database!$S301/Screener!$D$14))/0.6))</f>
        <v/>
      </c>
      <c r="K301" s="220">
        <f>IF(Database!$B301=Screener!$B$5,-999999,IF(ISNUMBER(SEARCH(","&amp;Database!$A301&amp;",",","&amp;SUBSTITUTE(Screener!$D$17," ","")&amp;",")),2000000,IF(IF(OR(Screener!$B$18="All",AND(Screener!$B$18="With A-share",(Database!$BM301="Y")),AND(Screener!$B$18="Without A-share",NOT((Database!$BM301="Y")))),1,0)=0,-999999,IF(Screener!$B$16="cornerstone overlap first",H301*100000,IF(Screener!$B$16="demand-similar first",J301*100000,0))+W_SUB*B301+W_SEC*C301*(1-B301)+W_SIZE*D301+W_PROF*E301+W_AH*F301+W_REC*G301+W_CS*H301+W_PE*I301)))+ROW()/1000000</f>
        <v/>
      </c>
      <c r="AA301" s="220">
        <f>Database!B290</f>
        <v/>
      </c>
      <c r="AB301" s="220">
        <f>Database!D290</f>
        <v/>
      </c>
      <c r="AC301" s="220">
        <f>Database!E290</f>
        <v/>
      </c>
      <c r="AD301" s="220">
        <f>Database!I290</f>
        <v/>
      </c>
      <c r="AE301" s="220">
        <f>Database!BG290</f>
        <v/>
      </c>
      <c r="AF301" s="220">
        <f>Database!BM290</f>
        <v/>
      </c>
      <c r="AG301" s="220">
        <f>Database!H290</f>
        <v/>
      </c>
      <c r="AH301" s="220">
        <f>Database!BH290</f>
        <v/>
      </c>
    </row>
    <row r="302">
      <c r="A302" s="220">
        <f>Database!B302</f>
        <v/>
      </c>
      <c r="B302" s="220">
        <f>IF(AND(Screener!$D$8&lt;&gt;"",Database!$E302=Screener!$D$8),1,0)</f>
        <v/>
      </c>
      <c r="C302" s="220">
        <f>IF(AND(Screener!$D$7&lt;&gt;"",Database!$D302=Screener!$D$7),1,0)</f>
        <v/>
      </c>
      <c r="D302" s="220">
        <f>IF(OR(N(Database!$I302)&lt;=0,N(Screener!$D$9)&lt;=0),0,MAX(0,1-ABS(LOG10(N(Database!$I302)/Screener!$D$9))/W_SIZEHW))</f>
        <v/>
      </c>
      <c r="E302" s="220">
        <f>IF(OR(Database!$BG302="",Screener!$D$10=""),0,IF(Database!$BG302=Screener!$D$10,1,0))</f>
        <v/>
      </c>
      <c r="F302" s="220">
        <f>IF(OR(Database!$BM302="",Screener!$D$11=""),0,IF(Database!$BM302=Screener!$D$11,1,0))</f>
        <v/>
      </c>
      <c r="G302" s="220">
        <f>IF(OR(Database!$H302="",N(Screener!$D$12)&lt;=0),0,MAX(0,1-(N(Screener!$D$12)-Database!$H302)/W_RECD))</f>
        <v/>
      </c>
      <c r="H302" s="220">
        <f>IF($U$1="",0,N(ISNUMBER(SEARCH($U$1,Database!$AC302&amp;""))))+IF($V$1="",0,N(ISNUMBER(SEARCH($V$1,Database!$AC302&amp;""))))+IF($W$1="",0,N(ISNUMBER(SEARCH($W$1,Database!$AC302&amp;""))))+IF($X$1="",0,N(ISNUMBER(SEARCH($X$1,Database!$AC302&amp;""))))+IF($Y$1="",0,N(ISNUMBER(SEARCH($Y$1,Database!$AC302&amp;""))))+IF(Screener!$B$17="",0,N(ISNUMBER(SEARCH(LOWER(Screener!$B$17),Database!$AC302&amp;""))))</f>
        <v/>
      </c>
      <c r="I302" s="220">
        <f>IF(OR(N(Database!$BH302)&lt;=0,N(Screener!$D$13)&lt;=0),0,MAX(0,1-ABS(LOG10(N(Database!$BH302)/Screener!$D$13))/W_PEHW))</f>
        <v/>
      </c>
      <c r="J302" s="220">
        <f>IF(OR(N(Database!$S302)&lt;=0,N(Screener!$D$14)&lt;=0),0,MAX(0,1-ABS(LOG10(Database!$S302/Screener!$D$14))/0.6))</f>
        <v/>
      </c>
      <c r="K302" s="220">
        <f>IF(Database!$B302=Screener!$B$5,-999999,IF(ISNUMBER(SEARCH(","&amp;Database!$A302&amp;",",","&amp;SUBSTITUTE(Screener!$D$17," ","")&amp;",")),2000000,IF(IF(OR(Screener!$B$18="All",AND(Screener!$B$18="With A-share",(Database!$BM302="Y")),AND(Screener!$B$18="Without A-share",NOT((Database!$BM302="Y")))),1,0)=0,-999999,IF(Screener!$B$16="cornerstone overlap first",H302*100000,IF(Screener!$B$16="demand-similar first",J302*100000,0))+W_SUB*B302+W_SEC*C302*(1-B302)+W_SIZE*D302+W_PROF*E302+W_AH*F302+W_REC*G302+W_CS*H302+W_PE*I302)))+ROW()/1000000</f>
        <v/>
      </c>
      <c r="AA302" s="220">
        <f>Database!B291</f>
        <v/>
      </c>
      <c r="AB302" s="220">
        <f>Database!D291</f>
        <v/>
      </c>
      <c r="AC302" s="220">
        <f>Database!E291</f>
        <v/>
      </c>
      <c r="AD302" s="220">
        <f>Database!I291</f>
        <v/>
      </c>
      <c r="AE302" s="220">
        <f>Database!BG291</f>
        <v/>
      </c>
      <c r="AF302" s="220">
        <f>Database!BM291</f>
        <v/>
      </c>
      <c r="AG302" s="220">
        <f>Database!H291</f>
        <v/>
      </c>
      <c r="AH302" s="220">
        <f>Database!BH291</f>
        <v/>
      </c>
    </row>
    <row r="303">
      <c r="A303" s="220">
        <f>Database!B303</f>
        <v/>
      </c>
      <c r="B303" s="220">
        <f>IF(AND(Screener!$D$8&lt;&gt;"",Database!$E303=Screener!$D$8),1,0)</f>
        <v/>
      </c>
      <c r="C303" s="220">
        <f>IF(AND(Screener!$D$7&lt;&gt;"",Database!$D303=Screener!$D$7),1,0)</f>
        <v/>
      </c>
      <c r="D303" s="220">
        <f>IF(OR(N(Database!$I303)&lt;=0,N(Screener!$D$9)&lt;=0),0,MAX(0,1-ABS(LOG10(N(Database!$I303)/Screener!$D$9))/W_SIZEHW))</f>
        <v/>
      </c>
      <c r="E303" s="220">
        <f>IF(OR(Database!$BG303="",Screener!$D$10=""),0,IF(Database!$BG303=Screener!$D$10,1,0))</f>
        <v/>
      </c>
      <c r="F303" s="220">
        <f>IF(OR(Database!$BM303="",Screener!$D$11=""),0,IF(Database!$BM303=Screener!$D$11,1,0))</f>
        <v/>
      </c>
      <c r="G303" s="220">
        <f>IF(OR(Database!$H303="",N(Screener!$D$12)&lt;=0),0,MAX(0,1-(N(Screener!$D$12)-Database!$H303)/W_RECD))</f>
        <v/>
      </c>
      <c r="H303" s="220">
        <f>IF($U$1="",0,N(ISNUMBER(SEARCH($U$1,Database!$AC303&amp;""))))+IF($V$1="",0,N(ISNUMBER(SEARCH($V$1,Database!$AC303&amp;""))))+IF($W$1="",0,N(ISNUMBER(SEARCH($W$1,Database!$AC303&amp;""))))+IF($X$1="",0,N(ISNUMBER(SEARCH($X$1,Database!$AC303&amp;""))))+IF($Y$1="",0,N(ISNUMBER(SEARCH($Y$1,Database!$AC303&amp;""))))+IF(Screener!$B$17="",0,N(ISNUMBER(SEARCH(LOWER(Screener!$B$17),Database!$AC303&amp;""))))</f>
        <v/>
      </c>
      <c r="I303" s="220">
        <f>IF(OR(N(Database!$BH303)&lt;=0,N(Screener!$D$13)&lt;=0),0,MAX(0,1-ABS(LOG10(N(Database!$BH303)/Screener!$D$13))/W_PEHW))</f>
        <v/>
      </c>
      <c r="J303" s="220">
        <f>IF(OR(N(Database!$S303)&lt;=0,N(Screener!$D$14)&lt;=0),0,MAX(0,1-ABS(LOG10(Database!$S303/Screener!$D$14))/0.6))</f>
        <v/>
      </c>
      <c r="K303" s="220">
        <f>IF(Database!$B303=Screener!$B$5,-999999,IF(ISNUMBER(SEARCH(","&amp;Database!$A303&amp;",",","&amp;SUBSTITUTE(Screener!$D$17," ","")&amp;",")),2000000,IF(IF(OR(Screener!$B$18="All",AND(Screener!$B$18="With A-share",(Database!$BM303="Y")),AND(Screener!$B$18="Without A-share",NOT((Database!$BM303="Y")))),1,0)=0,-999999,IF(Screener!$B$16="cornerstone overlap first",H303*100000,IF(Screener!$B$16="demand-similar first",J303*100000,0))+W_SUB*B303+W_SEC*C303*(1-B303)+W_SIZE*D303+W_PROF*E303+W_AH*F303+W_REC*G303+W_CS*H303+W_PE*I303)))+ROW()/1000000</f>
        <v/>
      </c>
      <c r="AA303" s="220">
        <f>Database!B292</f>
        <v/>
      </c>
      <c r="AB303" s="220">
        <f>Database!D292</f>
        <v/>
      </c>
      <c r="AC303" s="220">
        <f>Database!E292</f>
        <v/>
      </c>
      <c r="AD303" s="220">
        <f>Database!I292</f>
        <v/>
      </c>
      <c r="AE303" s="220">
        <f>Database!BG292</f>
        <v/>
      </c>
      <c r="AF303" s="220">
        <f>Database!BM292</f>
        <v/>
      </c>
      <c r="AG303" s="220">
        <f>Database!H292</f>
        <v/>
      </c>
      <c r="AH303" s="220">
        <f>Database!BH292</f>
        <v/>
      </c>
    </row>
    <row r="304">
      <c r="A304" s="220">
        <f>Database!B304</f>
        <v/>
      </c>
      <c r="B304" s="220">
        <f>IF(AND(Screener!$D$8&lt;&gt;"",Database!$E304=Screener!$D$8),1,0)</f>
        <v/>
      </c>
      <c r="C304" s="220">
        <f>IF(AND(Screener!$D$7&lt;&gt;"",Database!$D304=Screener!$D$7),1,0)</f>
        <v/>
      </c>
      <c r="D304" s="220">
        <f>IF(OR(N(Database!$I304)&lt;=0,N(Screener!$D$9)&lt;=0),0,MAX(0,1-ABS(LOG10(N(Database!$I304)/Screener!$D$9))/W_SIZEHW))</f>
        <v/>
      </c>
      <c r="E304" s="220">
        <f>IF(OR(Database!$BG304="",Screener!$D$10=""),0,IF(Database!$BG304=Screener!$D$10,1,0))</f>
        <v/>
      </c>
      <c r="F304" s="220">
        <f>IF(OR(Database!$BM304="",Screener!$D$11=""),0,IF(Database!$BM304=Screener!$D$11,1,0))</f>
        <v/>
      </c>
      <c r="G304" s="220">
        <f>IF(OR(Database!$H304="",N(Screener!$D$12)&lt;=0),0,MAX(0,1-(N(Screener!$D$12)-Database!$H304)/W_RECD))</f>
        <v/>
      </c>
      <c r="H304" s="220">
        <f>IF($U$1="",0,N(ISNUMBER(SEARCH($U$1,Database!$AC304&amp;""))))+IF($V$1="",0,N(ISNUMBER(SEARCH($V$1,Database!$AC304&amp;""))))+IF($W$1="",0,N(ISNUMBER(SEARCH($W$1,Database!$AC304&amp;""))))+IF($X$1="",0,N(ISNUMBER(SEARCH($X$1,Database!$AC304&amp;""))))+IF($Y$1="",0,N(ISNUMBER(SEARCH($Y$1,Database!$AC304&amp;""))))+IF(Screener!$B$17="",0,N(ISNUMBER(SEARCH(LOWER(Screener!$B$17),Database!$AC304&amp;""))))</f>
        <v/>
      </c>
      <c r="I304" s="220">
        <f>IF(OR(N(Database!$BH304)&lt;=0,N(Screener!$D$13)&lt;=0),0,MAX(0,1-ABS(LOG10(N(Database!$BH304)/Screener!$D$13))/W_PEHW))</f>
        <v/>
      </c>
      <c r="J304" s="220">
        <f>IF(OR(N(Database!$S304)&lt;=0,N(Screener!$D$14)&lt;=0),0,MAX(0,1-ABS(LOG10(Database!$S304/Screener!$D$14))/0.6))</f>
        <v/>
      </c>
      <c r="K304" s="220">
        <f>IF(Database!$B304=Screener!$B$5,-999999,IF(ISNUMBER(SEARCH(","&amp;Database!$A304&amp;",",","&amp;SUBSTITUTE(Screener!$D$17," ","")&amp;",")),2000000,IF(IF(OR(Screener!$B$18="All",AND(Screener!$B$18="With A-share",(Database!$BM304="Y")),AND(Screener!$B$18="Without A-share",NOT((Database!$BM304="Y")))),1,0)=0,-999999,IF(Screener!$B$16="cornerstone overlap first",H304*100000,IF(Screener!$B$16="demand-similar first",J304*100000,0))+W_SUB*B304+W_SEC*C304*(1-B304)+W_SIZE*D304+W_PROF*E304+W_AH*F304+W_REC*G304+W_CS*H304+W_PE*I304)))+ROW()/1000000</f>
        <v/>
      </c>
      <c r="AA304" s="220">
        <f>Database!B293</f>
        <v/>
      </c>
      <c r="AB304" s="220">
        <f>Database!D293</f>
        <v/>
      </c>
      <c r="AC304" s="220">
        <f>Database!E293</f>
        <v/>
      </c>
      <c r="AD304" s="220">
        <f>Database!I293</f>
        <v/>
      </c>
      <c r="AE304" s="220">
        <f>Database!BG293</f>
        <v/>
      </c>
      <c r="AF304" s="220">
        <f>Database!BM293</f>
        <v/>
      </c>
      <c r="AG304" s="220">
        <f>Database!H293</f>
        <v/>
      </c>
      <c r="AH304" s="220">
        <f>Database!BH293</f>
        <v/>
      </c>
    </row>
    <row r="305">
      <c r="A305" s="220">
        <f>Database!B305</f>
        <v/>
      </c>
      <c r="B305" s="220">
        <f>IF(AND(Screener!$D$8&lt;&gt;"",Database!$E305=Screener!$D$8),1,0)</f>
        <v/>
      </c>
      <c r="C305" s="220">
        <f>IF(AND(Screener!$D$7&lt;&gt;"",Database!$D305=Screener!$D$7),1,0)</f>
        <v/>
      </c>
      <c r="D305" s="220">
        <f>IF(OR(N(Database!$I305)&lt;=0,N(Screener!$D$9)&lt;=0),0,MAX(0,1-ABS(LOG10(N(Database!$I305)/Screener!$D$9))/W_SIZEHW))</f>
        <v/>
      </c>
      <c r="E305" s="220">
        <f>IF(OR(Database!$BG305="",Screener!$D$10=""),0,IF(Database!$BG305=Screener!$D$10,1,0))</f>
        <v/>
      </c>
      <c r="F305" s="220">
        <f>IF(OR(Database!$BM305="",Screener!$D$11=""),0,IF(Database!$BM305=Screener!$D$11,1,0))</f>
        <v/>
      </c>
      <c r="G305" s="220">
        <f>IF(OR(Database!$H305="",N(Screener!$D$12)&lt;=0),0,MAX(0,1-(N(Screener!$D$12)-Database!$H305)/W_RECD))</f>
        <v/>
      </c>
      <c r="H305" s="220">
        <f>IF($U$1="",0,N(ISNUMBER(SEARCH($U$1,Database!$AC305&amp;""))))+IF($V$1="",0,N(ISNUMBER(SEARCH($V$1,Database!$AC305&amp;""))))+IF($W$1="",0,N(ISNUMBER(SEARCH($W$1,Database!$AC305&amp;""))))+IF($X$1="",0,N(ISNUMBER(SEARCH($X$1,Database!$AC305&amp;""))))+IF($Y$1="",0,N(ISNUMBER(SEARCH($Y$1,Database!$AC305&amp;""))))+IF(Screener!$B$17="",0,N(ISNUMBER(SEARCH(LOWER(Screener!$B$17),Database!$AC305&amp;""))))</f>
        <v/>
      </c>
      <c r="I305" s="220">
        <f>IF(OR(N(Database!$BH305)&lt;=0,N(Screener!$D$13)&lt;=0),0,MAX(0,1-ABS(LOG10(N(Database!$BH305)/Screener!$D$13))/W_PEHW))</f>
        <v/>
      </c>
      <c r="J305" s="220">
        <f>IF(OR(N(Database!$S305)&lt;=0,N(Screener!$D$14)&lt;=0),0,MAX(0,1-ABS(LOG10(Database!$S305/Screener!$D$14))/0.6))</f>
        <v/>
      </c>
      <c r="K305" s="220">
        <f>IF(Database!$B305=Screener!$B$5,-999999,IF(ISNUMBER(SEARCH(","&amp;Database!$A305&amp;",",","&amp;SUBSTITUTE(Screener!$D$17," ","")&amp;",")),2000000,IF(IF(OR(Screener!$B$18="All",AND(Screener!$B$18="With A-share",(Database!$BM305="Y")),AND(Screener!$B$18="Without A-share",NOT((Database!$BM305="Y")))),1,0)=0,-999999,IF(Screener!$B$16="cornerstone overlap first",H305*100000,IF(Screener!$B$16="demand-similar first",J305*100000,0))+W_SUB*B305+W_SEC*C305*(1-B305)+W_SIZE*D305+W_PROF*E305+W_AH*F305+W_REC*G305+W_CS*H305+W_PE*I305)))+ROW()/1000000</f>
        <v/>
      </c>
      <c r="AA305" s="220">
        <f>Database!B294</f>
        <v/>
      </c>
      <c r="AB305" s="220">
        <f>Database!D294</f>
        <v/>
      </c>
      <c r="AC305" s="220">
        <f>Database!E294</f>
        <v/>
      </c>
      <c r="AD305" s="220">
        <f>Database!I294</f>
        <v/>
      </c>
      <c r="AE305" s="220">
        <f>Database!BG294</f>
        <v/>
      </c>
      <c r="AF305" s="220">
        <f>Database!BM294</f>
        <v/>
      </c>
      <c r="AG305" s="220">
        <f>Database!H294</f>
        <v/>
      </c>
      <c r="AH305" s="220">
        <f>Database!BH294</f>
        <v/>
      </c>
    </row>
    <row r="306">
      <c r="A306" s="220">
        <f>Database!B306</f>
        <v/>
      </c>
      <c r="B306" s="220">
        <f>IF(AND(Screener!$D$8&lt;&gt;"",Database!$E306=Screener!$D$8),1,0)</f>
        <v/>
      </c>
      <c r="C306" s="220">
        <f>IF(AND(Screener!$D$7&lt;&gt;"",Database!$D306=Screener!$D$7),1,0)</f>
        <v/>
      </c>
      <c r="D306" s="220">
        <f>IF(OR(N(Database!$I306)&lt;=0,N(Screener!$D$9)&lt;=0),0,MAX(0,1-ABS(LOG10(N(Database!$I306)/Screener!$D$9))/W_SIZEHW))</f>
        <v/>
      </c>
      <c r="E306" s="220">
        <f>IF(OR(Database!$BG306="",Screener!$D$10=""),0,IF(Database!$BG306=Screener!$D$10,1,0))</f>
        <v/>
      </c>
      <c r="F306" s="220">
        <f>IF(OR(Database!$BM306="",Screener!$D$11=""),0,IF(Database!$BM306=Screener!$D$11,1,0))</f>
        <v/>
      </c>
      <c r="G306" s="220">
        <f>IF(OR(Database!$H306="",N(Screener!$D$12)&lt;=0),0,MAX(0,1-(N(Screener!$D$12)-Database!$H306)/W_RECD))</f>
        <v/>
      </c>
      <c r="H306" s="220">
        <f>IF($U$1="",0,N(ISNUMBER(SEARCH($U$1,Database!$AC306&amp;""))))+IF($V$1="",0,N(ISNUMBER(SEARCH($V$1,Database!$AC306&amp;""))))+IF($W$1="",0,N(ISNUMBER(SEARCH($W$1,Database!$AC306&amp;""))))+IF($X$1="",0,N(ISNUMBER(SEARCH($X$1,Database!$AC306&amp;""))))+IF($Y$1="",0,N(ISNUMBER(SEARCH($Y$1,Database!$AC306&amp;""))))+IF(Screener!$B$17="",0,N(ISNUMBER(SEARCH(LOWER(Screener!$B$17),Database!$AC306&amp;""))))</f>
        <v/>
      </c>
      <c r="I306" s="220">
        <f>IF(OR(N(Database!$BH306)&lt;=0,N(Screener!$D$13)&lt;=0),0,MAX(0,1-ABS(LOG10(N(Database!$BH306)/Screener!$D$13))/W_PEHW))</f>
        <v/>
      </c>
      <c r="J306" s="220">
        <f>IF(OR(N(Database!$S306)&lt;=0,N(Screener!$D$14)&lt;=0),0,MAX(0,1-ABS(LOG10(Database!$S306/Screener!$D$14))/0.6))</f>
        <v/>
      </c>
      <c r="K306" s="220">
        <f>IF(Database!$B306=Screener!$B$5,-999999,IF(ISNUMBER(SEARCH(","&amp;Database!$A306&amp;",",","&amp;SUBSTITUTE(Screener!$D$17," ","")&amp;",")),2000000,IF(IF(OR(Screener!$B$18="All",AND(Screener!$B$18="With A-share",(Database!$BM306="Y")),AND(Screener!$B$18="Without A-share",NOT((Database!$BM306="Y")))),1,0)=0,-999999,IF(Screener!$B$16="cornerstone overlap first",H306*100000,IF(Screener!$B$16="demand-similar first",J306*100000,0))+W_SUB*B306+W_SEC*C306*(1-B306)+W_SIZE*D306+W_PROF*E306+W_AH*F306+W_REC*G306+W_CS*H306+W_PE*I306)))+ROW()/1000000</f>
        <v/>
      </c>
      <c r="AA306" s="220">
        <f>Database!B295</f>
        <v/>
      </c>
      <c r="AB306" s="220">
        <f>Database!D295</f>
        <v/>
      </c>
      <c r="AC306" s="220">
        <f>Database!E295</f>
        <v/>
      </c>
      <c r="AD306" s="220">
        <f>Database!I295</f>
        <v/>
      </c>
      <c r="AE306" s="220">
        <f>Database!BG295</f>
        <v/>
      </c>
      <c r="AF306" s="220">
        <f>Database!BM295</f>
        <v/>
      </c>
      <c r="AG306" s="220">
        <f>Database!H295</f>
        <v/>
      </c>
      <c r="AH306" s="220">
        <f>Database!BH295</f>
        <v/>
      </c>
    </row>
    <row r="307">
      <c r="A307" s="220">
        <f>Database!B307</f>
        <v/>
      </c>
      <c r="B307" s="220">
        <f>IF(AND(Screener!$D$8&lt;&gt;"",Database!$E307=Screener!$D$8),1,0)</f>
        <v/>
      </c>
      <c r="C307" s="220">
        <f>IF(AND(Screener!$D$7&lt;&gt;"",Database!$D307=Screener!$D$7),1,0)</f>
        <v/>
      </c>
      <c r="D307" s="220">
        <f>IF(OR(N(Database!$I307)&lt;=0,N(Screener!$D$9)&lt;=0),0,MAX(0,1-ABS(LOG10(N(Database!$I307)/Screener!$D$9))/W_SIZEHW))</f>
        <v/>
      </c>
      <c r="E307" s="220">
        <f>IF(OR(Database!$BG307="",Screener!$D$10=""),0,IF(Database!$BG307=Screener!$D$10,1,0))</f>
        <v/>
      </c>
      <c r="F307" s="220">
        <f>IF(OR(Database!$BM307="",Screener!$D$11=""),0,IF(Database!$BM307=Screener!$D$11,1,0))</f>
        <v/>
      </c>
      <c r="G307" s="220">
        <f>IF(OR(Database!$H307="",N(Screener!$D$12)&lt;=0),0,MAX(0,1-(N(Screener!$D$12)-Database!$H307)/W_RECD))</f>
        <v/>
      </c>
      <c r="H307" s="220">
        <f>IF($U$1="",0,N(ISNUMBER(SEARCH($U$1,Database!$AC307&amp;""))))+IF($V$1="",0,N(ISNUMBER(SEARCH($V$1,Database!$AC307&amp;""))))+IF($W$1="",0,N(ISNUMBER(SEARCH($W$1,Database!$AC307&amp;""))))+IF($X$1="",0,N(ISNUMBER(SEARCH($X$1,Database!$AC307&amp;""))))+IF($Y$1="",0,N(ISNUMBER(SEARCH($Y$1,Database!$AC307&amp;""))))+IF(Screener!$B$17="",0,N(ISNUMBER(SEARCH(LOWER(Screener!$B$17),Database!$AC307&amp;""))))</f>
        <v/>
      </c>
      <c r="I307" s="220">
        <f>IF(OR(N(Database!$BH307)&lt;=0,N(Screener!$D$13)&lt;=0),0,MAX(0,1-ABS(LOG10(N(Database!$BH307)/Screener!$D$13))/W_PEHW))</f>
        <v/>
      </c>
      <c r="J307" s="220">
        <f>IF(OR(N(Database!$S307)&lt;=0,N(Screener!$D$14)&lt;=0),0,MAX(0,1-ABS(LOG10(Database!$S307/Screener!$D$14))/0.6))</f>
        <v/>
      </c>
      <c r="K307" s="220">
        <f>IF(Database!$B307=Screener!$B$5,-999999,IF(ISNUMBER(SEARCH(","&amp;Database!$A307&amp;",",","&amp;SUBSTITUTE(Screener!$D$17," ","")&amp;",")),2000000,IF(IF(OR(Screener!$B$18="All",AND(Screener!$B$18="With A-share",(Database!$BM307="Y")),AND(Screener!$B$18="Without A-share",NOT((Database!$BM307="Y")))),1,0)=0,-999999,IF(Screener!$B$16="cornerstone overlap first",H307*100000,IF(Screener!$B$16="demand-similar first",J307*100000,0))+W_SUB*B307+W_SEC*C307*(1-B307)+W_SIZE*D307+W_PROF*E307+W_AH*F307+W_REC*G307+W_CS*H307+W_PE*I307)))+ROW()/1000000</f>
        <v/>
      </c>
      <c r="AA307" s="220">
        <f>Database!B296</f>
        <v/>
      </c>
      <c r="AB307" s="220">
        <f>Database!D296</f>
        <v/>
      </c>
      <c r="AC307" s="220">
        <f>Database!E296</f>
        <v/>
      </c>
      <c r="AD307" s="220">
        <f>Database!I296</f>
        <v/>
      </c>
      <c r="AE307" s="220">
        <f>Database!BG296</f>
        <v/>
      </c>
      <c r="AF307" s="220">
        <f>Database!BM296</f>
        <v/>
      </c>
      <c r="AG307" s="220">
        <f>Database!H296</f>
        <v/>
      </c>
      <c r="AH307" s="220">
        <f>Database!BH296</f>
        <v/>
      </c>
    </row>
    <row r="308">
      <c r="A308" s="220">
        <f>Database!B308</f>
        <v/>
      </c>
      <c r="B308" s="220">
        <f>IF(AND(Screener!$D$8&lt;&gt;"",Database!$E308=Screener!$D$8),1,0)</f>
        <v/>
      </c>
      <c r="C308" s="220">
        <f>IF(AND(Screener!$D$7&lt;&gt;"",Database!$D308=Screener!$D$7),1,0)</f>
        <v/>
      </c>
      <c r="D308" s="220">
        <f>IF(OR(N(Database!$I308)&lt;=0,N(Screener!$D$9)&lt;=0),0,MAX(0,1-ABS(LOG10(N(Database!$I308)/Screener!$D$9))/W_SIZEHW))</f>
        <v/>
      </c>
      <c r="E308" s="220">
        <f>IF(OR(Database!$BG308="",Screener!$D$10=""),0,IF(Database!$BG308=Screener!$D$10,1,0))</f>
        <v/>
      </c>
      <c r="F308" s="220">
        <f>IF(OR(Database!$BM308="",Screener!$D$11=""),0,IF(Database!$BM308=Screener!$D$11,1,0))</f>
        <v/>
      </c>
      <c r="G308" s="220">
        <f>IF(OR(Database!$H308="",N(Screener!$D$12)&lt;=0),0,MAX(0,1-(N(Screener!$D$12)-Database!$H308)/W_RECD))</f>
        <v/>
      </c>
      <c r="H308" s="220">
        <f>IF($U$1="",0,N(ISNUMBER(SEARCH($U$1,Database!$AC308&amp;""))))+IF($V$1="",0,N(ISNUMBER(SEARCH($V$1,Database!$AC308&amp;""))))+IF($W$1="",0,N(ISNUMBER(SEARCH($W$1,Database!$AC308&amp;""))))+IF($X$1="",0,N(ISNUMBER(SEARCH($X$1,Database!$AC308&amp;""))))+IF($Y$1="",0,N(ISNUMBER(SEARCH($Y$1,Database!$AC308&amp;""))))+IF(Screener!$B$17="",0,N(ISNUMBER(SEARCH(LOWER(Screener!$B$17),Database!$AC308&amp;""))))</f>
        <v/>
      </c>
      <c r="I308" s="220">
        <f>IF(OR(N(Database!$BH308)&lt;=0,N(Screener!$D$13)&lt;=0),0,MAX(0,1-ABS(LOG10(N(Database!$BH308)/Screener!$D$13))/W_PEHW))</f>
        <v/>
      </c>
      <c r="J308" s="220">
        <f>IF(OR(N(Database!$S308)&lt;=0,N(Screener!$D$14)&lt;=0),0,MAX(0,1-ABS(LOG10(Database!$S308/Screener!$D$14))/0.6))</f>
        <v/>
      </c>
      <c r="K308" s="220">
        <f>IF(Database!$B308=Screener!$B$5,-999999,IF(ISNUMBER(SEARCH(","&amp;Database!$A308&amp;",",","&amp;SUBSTITUTE(Screener!$D$17," ","")&amp;",")),2000000,IF(IF(OR(Screener!$B$18="All",AND(Screener!$B$18="With A-share",(Database!$BM308="Y")),AND(Screener!$B$18="Without A-share",NOT((Database!$BM308="Y")))),1,0)=0,-999999,IF(Screener!$B$16="cornerstone overlap first",H308*100000,IF(Screener!$B$16="demand-similar first",J308*100000,0))+W_SUB*B308+W_SEC*C308*(1-B308)+W_SIZE*D308+W_PROF*E308+W_AH*F308+W_REC*G308+W_CS*H308+W_PE*I308)))+ROW()/1000000</f>
        <v/>
      </c>
      <c r="AA308" s="220">
        <f>Database!B297</f>
        <v/>
      </c>
      <c r="AB308" s="220">
        <f>Database!D297</f>
        <v/>
      </c>
      <c r="AC308" s="220">
        <f>Database!E297</f>
        <v/>
      </c>
      <c r="AD308" s="220">
        <f>Database!I297</f>
        <v/>
      </c>
      <c r="AE308" s="220">
        <f>Database!BG297</f>
        <v/>
      </c>
      <c r="AF308" s="220">
        <f>Database!BM297</f>
        <v/>
      </c>
      <c r="AG308" s="220">
        <f>Database!H297</f>
        <v/>
      </c>
      <c r="AH308" s="220">
        <f>Database!BH297</f>
        <v/>
      </c>
    </row>
    <row r="309">
      <c r="A309" s="220">
        <f>Database!B309</f>
        <v/>
      </c>
      <c r="B309" s="220">
        <f>IF(AND(Screener!$D$8&lt;&gt;"",Database!$E309=Screener!$D$8),1,0)</f>
        <v/>
      </c>
      <c r="C309" s="220">
        <f>IF(AND(Screener!$D$7&lt;&gt;"",Database!$D309=Screener!$D$7),1,0)</f>
        <v/>
      </c>
      <c r="D309" s="220">
        <f>IF(OR(N(Database!$I309)&lt;=0,N(Screener!$D$9)&lt;=0),0,MAX(0,1-ABS(LOG10(N(Database!$I309)/Screener!$D$9))/W_SIZEHW))</f>
        <v/>
      </c>
      <c r="E309" s="220">
        <f>IF(OR(Database!$BG309="",Screener!$D$10=""),0,IF(Database!$BG309=Screener!$D$10,1,0))</f>
        <v/>
      </c>
      <c r="F309" s="220">
        <f>IF(OR(Database!$BM309="",Screener!$D$11=""),0,IF(Database!$BM309=Screener!$D$11,1,0))</f>
        <v/>
      </c>
      <c r="G309" s="220">
        <f>IF(OR(Database!$H309="",N(Screener!$D$12)&lt;=0),0,MAX(0,1-(N(Screener!$D$12)-Database!$H309)/W_RECD))</f>
        <v/>
      </c>
      <c r="H309" s="220">
        <f>IF($U$1="",0,N(ISNUMBER(SEARCH($U$1,Database!$AC309&amp;""))))+IF($V$1="",0,N(ISNUMBER(SEARCH($V$1,Database!$AC309&amp;""))))+IF($W$1="",0,N(ISNUMBER(SEARCH($W$1,Database!$AC309&amp;""))))+IF($X$1="",0,N(ISNUMBER(SEARCH($X$1,Database!$AC309&amp;""))))+IF($Y$1="",0,N(ISNUMBER(SEARCH($Y$1,Database!$AC309&amp;""))))+IF(Screener!$B$17="",0,N(ISNUMBER(SEARCH(LOWER(Screener!$B$17),Database!$AC309&amp;""))))</f>
        <v/>
      </c>
      <c r="I309" s="220">
        <f>IF(OR(N(Database!$BH309)&lt;=0,N(Screener!$D$13)&lt;=0),0,MAX(0,1-ABS(LOG10(N(Database!$BH309)/Screener!$D$13))/W_PEHW))</f>
        <v/>
      </c>
      <c r="J309" s="220">
        <f>IF(OR(N(Database!$S309)&lt;=0,N(Screener!$D$14)&lt;=0),0,MAX(0,1-ABS(LOG10(Database!$S309/Screener!$D$14))/0.6))</f>
        <v/>
      </c>
      <c r="K309" s="220">
        <f>IF(Database!$B309=Screener!$B$5,-999999,IF(ISNUMBER(SEARCH(","&amp;Database!$A309&amp;",",","&amp;SUBSTITUTE(Screener!$D$17," ","")&amp;",")),2000000,IF(IF(OR(Screener!$B$18="All",AND(Screener!$B$18="With A-share",(Database!$BM309="Y")),AND(Screener!$B$18="Without A-share",NOT((Database!$BM309="Y")))),1,0)=0,-999999,IF(Screener!$B$16="cornerstone overlap first",H309*100000,IF(Screener!$B$16="demand-similar first",J309*100000,0))+W_SUB*B309+W_SEC*C309*(1-B309)+W_SIZE*D309+W_PROF*E309+W_AH*F309+W_REC*G309+W_CS*H309+W_PE*I309)))+ROW()/1000000</f>
        <v/>
      </c>
      <c r="AA309" s="220">
        <f>Database!B298</f>
        <v/>
      </c>
      <c r="AB309" s="220">
        <f>Database!D298</f>
        <v/>
      </c>
      <c r="AC309" s="220">
        <f>Database!E298</f>
        <v/>
      </c>
      <c r="AD309" s="220">
        <f>Database!I298</f>
        <v/>
      </c>
      <c r="AE309" s="220">
        <f>Database!BG298</f>
        <v/>
      </c>
      <c r="AF309" s="220">
        <f>Database!BM298</f>
        <v/>
      </c>
      <c r="AG309" s="220">
        <f>Database!H298</f>
        <v/>
      </c>
      <c r="AH309" s="220">
        <f>Database!BH298</f>
        <v/>
      </c>
    </row>
    <row r="310">
      <c r="A310" s="220">
        <f>Database!B310</f>
        <v/>
      </c>
      <c r="B310" s="220">
        <f>IF(AND(Screener!$D$8&lt;&gt;"",Database!$E310=Screener!$D$8),1,0)</f>
        <v/>
      </c>
      <c r="C310" s="220">
        <f>IF(AND(Screener!$D$7&lt;&gt;"",Database!$D310=Screener!$D$7),1,0)</f>
        <v/>
      </c>
      <c r="D310" s="220">
        <f>IF(OR(N(Database!$I310)&lt;=0,N(Screener!$D$9)&lt;=0),0,MAX(0,1-ABS(LOG10(N(Database!$I310)/Screener!$D$9))/W_SIZEHW))</f>
        <v/>
      </c>
      <c r="E310" s="220">
        <f>IF(OR(Database!$BG310="",Screener!$D$10=""),0,IF(Database!$BG310=Screener!$D$10,1,0))</f>
        <v/>
      </c>
      <c r="F310" s="220">
        <f>IF(OR(Database!$BM310="",Screener!$D$11=""),0,IF(Database!$BM310=Screener!$D$11,1,0))</f>
        <v/>
      </c>
      <c r="G310" s="220">
        <f>IF(OR(Database!$H310="",N(Screener!$D$12)&lt;=0),0,MAX(0,1-(N(Screener!$D$12)-Database!$H310)/W_RECD))</f>
        <v/>
      </c>
      <c r="H310" s="220">
        <f>IF($U$1="",0,N(ISNUMBER(SEARCH($U$1,Database!$AC310&amp;""))))+IF($V$1="",0,N(ISNUMBER(SEARCH($V$1,Database!$AC310&amp;""))))+IF($W$1="",0,N(ISNUMBER(SEARCH($W$1,Database!$AC310&amp;""))))+IF($X$1="",0,N(ISNUMBER(SEARCH($X$1,Database!$AC310&amp;""))))+IF($Y$1="",0,N(ISNUMBER(SEARCH($Y$1,Database!$AC310&amp;""))))+IF(Screener!$B$17="",0,N(ISNUMBER(SEARCH(LOWER(Screener!$B$17),Database!$AC310&amp;""))))</f>
        <v/>
      </c>
      <c r="I310" s="220">
        <f>IF(OR(N(Database!$BH310)&lt;=0,N(Screener!$D$13)&lt;=0),0,MAX(0,1-ABS(LOG10(N(Database!$BH310)/Screener!$D$13))/W_PEHW))</f>
        <v/>
      </c>
      <c r="J310" s="220">
        <f>IF(OR(N(Database!$S310)&lt;=0,N(Screener!$D$14)&lt;=0),0,MAX(0,1-ABS(LOG10(Database!$S310/Screener!$D$14))/0.6))</f>
        <v/>
      </c>
      <c r="K310" s="220">
        <f>IF(Database!$B310=Screener!$B$5,-999999,IF(ISNUMBER(SEARCH(","&amp;Database!$A310&amp;",",","&amp;SUBSTITUTE(Screener!$D$17," ","")&amp;",")),2000000,IF(IF(OR(Screener!$B$18="All",AND(Screener!$B$18="With A-share",(Database!$BM310="Y")),AND(Screener!$B$18="Without A-share",NOT((Database!$BM310="Y")))),1,0)=0,-999999,IF(Screener!$B$16="cornerstone overlap first",H310*100000,IF(Screener!$B$16="demand-similar first",J310*100000,0))+W_SUB*B310+W_SEC*C310*(1-B310)+W_SIZE*D310+W_PROF*E310+W_AH*F310+W_REC*G310+W_CS*H310+W_PE*I310)))+ROW()/1000000</f>
        <v/>
      </c>
      <c r="AA310" s="220">
        <f>Database!B299</f>
        <v/>
      </c>
      <c r="AB310" s="220">
        <f>Database!D299</f>
        <v/>
      </c>
      <c r="AC310" s="220">
        <f>Database!E299</f>
        <v/>
      </c>
      <c r="AD310" s="220">
        <f>Database!I299</f>
        <v/>
      </c>
      <c r="AE310" s="220">
        <f>Database!BG299</f>
        <v/>
      </c>
      <c r="AF310" s="220">
        <f>Database!BM299</f>
        <v/>
      </c>
      <c r="AG310" s="220">
        <f>Database!H299</f>
        <v/>
      </c>
      <c r="AH310" s="220">
        <f>Database!BH299</f>
        <v/>
      </c>
    </row>
    <row r="311">
      <c r="A311" s="220">
        <f>Database!B311</f>
        <v/>
      </c>
      <c r="B311" s="220">
        <f>IF(AND(Screener!$D$8&lt;&gt;"",Database!$E311=Screener!$D$8),1,0)</f>
        <v/>
      </c>
      <c r="C311" s="220">
        <f>IF(AND(Screener!$D$7&lt;&gt;"",Database!$D311=Screener!$D$7),1,0)</f>
        <v/>
      </c>
      <c r="D311" s="220">
        <f>IF(OR(N(Database!$I311)&lt;=0,N(Screener!$D$9)&lt;=0),0,MAX(0,1-ABS(LOG10(N(Database!$I311)/Screener!$D$9))/W_SIZEHW))</f>
        <v/>
      </c>
      <c r="E311" s="220">
        <f>IF(OR(Database!$BG311="",Screener!$D$10=""),0,IF(Database!$BG311=Screener!$D$10,1,0))</f>
        <v/>
      </c>
      <c r="F311" s="220">
        <f>IF(OR(Database!$BM311="",Screener!$D$11=""),0,IF(Database!$BM311=Screener!$D$11,1,0))</f>
        <v/>
      </c>
      <c r="G311" s="220">
        <f>IF(OR(Database!$H311="",N(Screener!$D$12)&lt;=0),0,MAX(0,1-(N(Screener!$D$12)-Database!$H311)/W_RECD))</f>
        <v/>
      </c>
      <c r="H311" s="220">
        <f>IF($U$1="",0,N(ISNUMBER(SEARCH($U$1,Database!$AC311&amp;""))))+IF($V$1="",0,N(ISNUMBER(SEARCH($V$1,Database!$AC311&amp;""))))+IF($W$1="",0,N(ISNUMBER(SEARCH($W$1,Database!$AC311&amp;""))))+IF($X$1="",0,N(ISNUMBER(SEARCH($X$1,Database!$AC311&amp;""))))+IF($Y$1="",0,N(ISNUMBER(SEARCH($Y$1,Database!$AC311&amp;""))))+IF(Screener!$B$17="",0,N(ISNUMBER(SEARCH(LOWER(Screener!$B$17),Database!$AC311&amp;""))))</f>
        <v/>
      </c>
      <c r="I311" s="220">
        <f>IF(OR(N(Database!$BH311)&lt;=0,N(Screener!$D$13)&lt;=0),0,MAX(0,1-ABS(LOG10(N(Database!$BH311)/Screener!$D$13))/W_PEHW))</f>
        <v/>
      </c>
      <c r="J311" s="220">
        <f>IF(OR(N(Database!$S311)&lt;=0,N(Screener!$D$14)&lt;=0),0,MAX(0,1-ABS(LOG10(Database!$S311/Screener!$D$14))/0.6))</f>
        <v/>
      </c>
      <c r="K311" s="220">
        <f>IF(Database!$B311=Screener!$B$5,-999999,IF(ISNUMBER(SEARCH(","&amp;Database!$A311&amp;",",","&amp;SUBSTITUTE(Screener!$D$17," ","")&amp;",")),2000000,IF(IF(OR(Screener!$B$18="All",AND(Screener!$B$18="With A-share",(Database!$BM311="Y")),AND(Screener!$B$18="Without A-share",NOT((Database!$BM311="Y")))),1,0)=0,-999999,IF(Screener!$B$16="cornerstone overlap first",H311*100000,IF(Screener!$B$16="demand-similar first",J311*100000,0))+W_SUB*B311+W_SEC*C311*(1-B311)+W_SIZE*D311+W_PROF*E311+W_AH*F311+W_REC*G311+W_CS*H311+W_PE*I311)))+ROW()/1000000</f>
        <v/>
      </c>
      <c r="AA311" s="220">
        <f>Database!B300</f>
        <v/>
      </c>
      <c r="AB311" s="220">
        <f>Database!D300</f>
        <v/>
      </c>
      <c r="AC311" s="220">
        <f>Database!E300</f>
        <v/>
      </c>
      <c r="AD311" s="220">
        <f>Database!I300</f>
        <v/>
      </c>
      <c r="AE311" s="220">
        <f>Database!BG300</f>
        <v/>
      </c>
      <c r="AF311" s="220">
        <f>Database!BM300</f>
        <v/>
      </c>
      <c r="AG311" s="220">
        <f>Database!H300</f>
        <v/>
      </c>
      <c r="AH311" s="220">
        <f>Database!BH300</f>
        <v/>
      </c>
    </row>
    <row r="312">
      <c r="A312" s="220">
        <f>Database!B312</f>
        <v/>
      </c>
      <c r="B312" s="220">
        <f>IF(AND(Screener!$D$8&lt;&gt;"",Database!$E312=Screener!$D$8),1,0)</f>
        <v/>
      </c>
      <c r="C312" s="220">
        <f>IF(AND(Screener!$D$7&lt;&gt;"",Database!$D312=Screener!$D$7),1,0)</f>
        <v/>
      </c>
      <c r="D312" s="220">
        <f>IF(OR(N(Database!$I312)&lt;=0,N(Screener!$D$9)&lt;=0),0,MAX(0,1-ABS(LOG10(N(Database!$I312)/Screener!$D$9))/W_SIZEHW))</f>
        <v/>
      </c>
      <c r="E312" s="220">
        <f>IF(OR(Database!$BG312="",Screener!$D$10=""),0,IF(Database!$BG312=Screener!$D$10,1,0))</f>
        <v/>
      </c>
      <c r="F312" s="220">
        <f>IF(OR(Database!$BM312="",Screener!$D$11=""),0,IF(Database!$BM312=Screener!$D$11,1,0))</f>
        <v/>
      </c>
      <c r="G312" s="220">
        <f>IF(OR(Database!$H312="",N(Screener!$D$12)&lt;=0),0,MAX(0,1-(N(Screener!$D$12)-Database!$H312)/W_RECD))</f>
        <v/>
      </c>
      <c r="H312" s="220">
        <f>IF($U$1="",0,N(ISNUMBER(SEARCH($U$1,Database!$AC312&amp;""))))+IF($V$1="",0,N(ISNUMBER(SEARCH($V$1,Database!$AC312&amp;""))))+IF($W$1="",0,N(ISNUMBER(SEARCH($W$1,Database!$AC312&amp;""))))+IF($X$1="",0,N(ISNUMBER(SEARCH($X$1,Database!$AC312&amp;""))))+IF($Y$1="",0,N(ISNUMBER(SEARCH($Y$1,Database!$AC312&amp;""))))+IF(Screener!$B$17="",0,N(ISNUMBER(SEARCH(LOWER(Screener!$B$17),Database!$AC312&amp;""))))</f>
        <v/>
      </c>
      <c r="I312" s="220">
        <f>IF(OR(N(Database!$BH312)&lt;=0,N(Screener!$D$13)&lt;=0),0,MAX(0,1-ABS(LOG10(N(Database!$BH312)/Screener!$D$13))/W_PEHW))</f>
        <v/>
      </c>
      <c r="J312" s="220">
        <f>IF(OR(N(Database!$S312)&lt;=0,N(Screener!$D$14)&lt;=0),0,MAX(0,1-ABS(LOG10(Database!$S312/Screener!$D$14))/0.6))</f>
        <v/>
      </c>
      <c r="K312" s="220">
        <f>IF(Database!$B312=Screener!$B$5,-999999,IF(ISNUMBER(SEARCH(","&amp;Database!$A312&amp;",",","&amp;SUBSTITUTE(Screener!$D$17," ","")&amp;",")),2000000,IF(IF(OR(Screener!$B$18="All",AND(Screener!$B$18="With A-share",(Database!$BM312="Y")),AND(Screener!$B$18="Without A-share",NOT((Database!$BM312="Y")))),1,0)=0,-999999,IF(Screener!$B$16="cornerstone overlap first",H312*100000,IF(Screener!$B$16="demand-similar first",J312*100000,0))+W_SUB*B312+W_SEC*C312*(1-B312)+W_SIZE*D312+W_PROF*E312+W_AH*F312+W_REC*G312+W_CS*H312+W_PE*I312)))+ROW()/1000000</f>
        <v/>
      </c>
      <c r="AA312" s="220">
        <f>Database!B301</f>
        <v/>
      </c>
      <c r="AB312" s="220">
        <f>Database!D301</f>
        <v/>
      </c>
      <c r="AC312" s="220">
        <f>Database!E301</f>
        <v/>
      </c>
      <c r="AD312" s="220">
        <f>Database!I301</f>
        <v/>
      </c>
      <c r="AE312" s="220">
        <f>Database!BG301</f>
        <v/>
      </c>
      <c r="AF312" s="220">
        <f>Database!BM301</f>
        <v/>
      </c>
      <c r="AG312" s="220">
        <f>Database!H301</f>
        <v/>
      </c>
      <c r="AH312" s="220">
        <f>Database!BH301</f>
        <v/>
      </c>
    </row>
    <row r="313">
      <c r="A313" s="220">
        <f>Database!B313</f>
        <v/>
      </c>
      <c r="B313" s="220">
        <f>IF(AND(Screener!$D$8&lt;&gt;"",Database!$E313=Screener!$D$8),1,0)</f>
        <v/>
      </c>
      <c r="C313" s="220">
        <f>IF(AND(Screener!$D$7&lt;&gt;"",Database!$D313=Screener!$D$7),1,0)</f>
        <v/>
      </c>
      <c r="D313" s="220">
        <f>IF(OR(N(Database!$I313)&lt;=0,N(Screener!$D$9)&lt;=0),0,MAX(0,1-ABS(LOG10(N(Database!$I313)/Screener!$D$9))/W_SIZEHW))</f>
        <v/>
      </c>
      <c r="E313" s="220">
        <f>IF(OR(Database!$BG313="",Screener!$D$10=""),0,IF(Database!$BG313=Screener!$D$10,1,0))</f>
        <v/>
      </c>
      <c r="F313" s="220">
        <f>IF(OR(Database!$BM313="",Screener!$D$11=""),0,IF(Database!$BM313=Screener!$D$11,1,0))</f>
        <v/>
      </c>
      <c r="G313" s="220">
        <f>IF(OR(Database!$H313="",N(Screener!$D$12)&lt;=0),0,MAX(0,1-(N(Screener!$D$12)-Database!$H313)/W_RECD))</f>
        <v/>
      </c>
      <c r="H313" s="220">
        <f>IF($U$1="",0,N(ISNUMBER(SEARCH($U$1,Database!$AC313&amp;""))))+IF($V$1="",0,N(ISNUMBER(SEARCH($V$1,Database!$AC313&amp;""))))+IF($W$1="",0,N(ISNUMBER(SEARCH($W$1,Database!$AC313&amp;""))))+IF($X$1="",0,N(ISNUMBER(SEARCH($X$1,Database!$AC313&amp;""))))+IF($Y$1="",0,N(ISNUMBER(SEARCH($Y$1,Database!$AC313&amp;""))))+IF(Screener!$B$17="",0,N(ISNUMBER(SEARCH(LOWER(Screener!$B$17),Database!$AC313&amp;""))))</f>
        <v/>
      </c>
      <c r="I313" s="220">
        <f>IF(OR(N(Database!$BH313)&lt;=0,N(Screener!$D$13)&lt;=0),0,MAX(0,1-ABS(LOG10(N(Database!$BH313)/Screener!$D$13))/W_PEHW))</f>
        <v/>
      </c>
      <c r="J313" s="220">
        <f>IF(OR(N(Database!$S313)&lt;=0,N(Screener!$D$14)&lt;=0),0,MAX(0,1-ABS(LOG10(Database!$S313/Screener!$D$14))/0.6))</f>
        <v/>
      </c>
      <c r="K313" s="220">
        <f>IF(Database!$B313=Screener!$B$5,-999999,IF(ISNUMBER(SEARCH(","&amp;Database!$A313&amp;",",","&amp;SUBSTITUTE(Screener!$D$17," ","")&amp;",")),2000000,IF(IF(OR(Screener!$B$18="All",AND(Screener!$B$18="With A-share",(Database!$BM313="Y")),AND(Screener!$B$18="Without A-share",NOT((Database!$BM313="Y")))),1,0)=0,-999999,IF(Screener!$B$16="cornerstone overlap first",H313*100000,IF(Screener!$B$16="demand-similar first",J313*100000,0))+W_SUB*B313+W_SEC*C313*(1-B313)+W_SIZE*D313+W_PROF*E313+W_AH*F313+W_REC*G313+W_CS*H313+W_PE*I313)))+ROW()/1000000</f>
        <v/>
      </c>
      <c r="AA313" s="220">
        <f>Database!B302</f>
        <v/>
      </c>
      <c r="AB313" s="220">
        <f>Database!D302</f>
        <v/>
      </c>
      <c r="AC313" s="220">
        <f>Database!E302</f>
        <v/>
      </c>
      <c r="AD313" s="220">
        <f>Database!I302</f>
        <v/>
      </c>
      <c r="AE313" s="220">
        <f>Database!BG302</f>
        <v/>
      </c>
      <c r="AF313" s="220">
        <f>Database!BM302</f>
        <v/>
      </c>
      <c r="AG313" s="220">
        <f>Database!H302</f>
        <v/>
      </c>
      <c r="AH313" s="220">
        <f>Database!BH302</f>
        <v/>
      </c>
    </row>
    <row r="314">
      <c r="A314" s="220">
        <f>Database!B314</f>
        <v/>
      </c>
      <c r="B314" s="220">
        <f>IF(AND(Screener!$D$8&lt;&gt;"",Database!$E314=Screener!$D$8),1,0)</f>
        <v/>
      </c>
      <c r="C314" s="220">
        <f>IF(AND(Screener!$D$7&lt;&gt;"",Database!$D314=Screener!$D$7),1,0)</f>
        <v/>
      </c>
      <c r="D314" s="220">
        <f>IF(OR(N(Database!$I314)&lt;=0,N(Screener!$D$9)&lt;=0),0,MAX(0,1-ABS(LOG10(N(Database!$I314)/Screener!$D$9))/W_SIZEHW))</f>
        <v/>
      </c>
      <c r="E314" s="220">
        <f>IF(OR(Database!$BG314="",Screener!$D$10=""),0,IF(Database!$BG314=Screener!$D$10,1,0))</f>
        <v/>
      </c>
      <c r="F314" s="220">
        <f>IF(OR(Database!$BM314="",Screener!$D$11=""),0,IF(Database!$BM314=Screener!$D$11,1,0))</f>
        <v/>
      </c>
      <c r="G314" s="220">
        <f>IF(OR(Database!$H314="",N(Screener!$D$12)&lt;=0),0,MAX(0,1-(N(Screener!$D$12)-Database!$H314)/W_RECD))</f>
        <v/>
      </c>
      <c r="H314" s="220">
        <f>IF($U$1="",0,N(ISNUMBER(SEARCH($U$1,Database!$AC314&amp;""))))+IF($V$1="",0,N(ISNUMBER(SEARCH($V$1,Database!$AC314&amp;""))))+IF($W$1="",0,N(ISNUMBER(SEARCH($W$1,Database!$AC314&amp;""))))+IF($X$1="",0,N(ISNUMBER(SEARCH($X$1,Database!$AC314&amp;""))))+IF($Y$1="",0,N(ISNUMBER(SEARCH($Y$1,Database!$AC314&amp;""))))+IF(Screener!$B$17="",0,N(ISNUMBER(SEARCH(LOWER(Screener!$B$17),Database!$AC314&amp;""))))</f>
        <v/>
      </c>
      <c r="I314" s="220">
        <f>IF(OR(N(Database!$BH314)&lt;=0,N(Screener!$D$13)&lt;=0),0,MAX(0,1-ABS(LOG10(N(Database!$BH314)/Screener!$D$13))/W_PEHW))</f>
        <v/>
      </c>
      <c r="J314" s="220">
        <f>IF(OR(N(Database!$S314)&lt;=0,N(Screener!$D$14)&lt;=0),0,MAX(0,1-ABS(LOG10(Database!$S314/Screener!$D$14))/0.6))</f>
        <v/>
      </c>
      <c r="K314" s="220">
        <f>IF(Database!$B314=Screener!$B$5,-999999,IF(ISNUMBER(SEARCH(","&amp;Database!$A314&amp;",",","&amp;SUBSTITUTE(Screener!$D$17," ","")&amp;",")),2000000,IF(IF(OR(Screener!$B$18="All",AND(Screener!$B$18="With A-share",(Database!$BM314="Y")),AND(Screener!$B$18="Without A-share",NOT((Database!$BM314="Y")))),1,0)=0,-999999,IF(Screener!$B$16="cornerstone overlap first",H314*100000,IF(Screener!$B$16="demand-similar first",J314*100000,0))+W_SUB*B314+W_SEC*C314*(1-B314)+W_SIZE*D314+W_PROF*E314+W_AH*F314+W_REC*G314+W_CS*H314+W_PE*I314)))+ROW()/1000000</f>
        <v/>
      </c>
      <c r="AA314" s="220">
        <f>Database!B303</f>
        <v/>
      </c>
      <c r="AB314" s="220">
        <f>Database!D303</f>
        <v/>
      </c>
      <c r="AC314" s="220">
        <f>Database!E303</f>
        <v/>
      </c>
      <c r="AD314" s="220">
        <f>Database!I303</f>
        <v/>
      </c>
      <c r="AE314" s="220">
        <f>Database!BG303</f>
        <v/>
      </c>
      <c r="AF314" s="220">
        <f>Database!BM303</f>
        <v/>
      </c>
      <c r="AG314" s="220">
        <f>Database!H303</f>
        <v/>
      </c>
      <c r="AH314" s="220">
        <f>Database!BH303</f>
        <v/>
      </c>
    </row>
    <row r="315">
      <c r="A315" s="220">
        <f>Database!B315</f>
        <v/>
      </c>
      <c r="B315" s="220">
        <f>IF(AND(Screener!$D$8&lt;&gt;"",Database!$E315=Screener!$D$8),1,0)</f>
        <v/>
      </c>
      <c r="C315" s="220">
        <f>IF(AND(Screener!$D$7&lt;&gt;"",Database!$D315=Screener!$D$7),1,0)</f>
        <v/>
      </c>
      <c r="D315" s="220">
        <f>IF(OR(N(Database!$I315)&lt;=0,N(Screener!$D$9)&lt;=0),0,MAX(0,1-ABS(LOG10(N(Database!$I315)/Screener!$D$9))/W_SIZEHW))</f>
        <v/>
      </c>
      <c r="E315" s="220">
        <f>IF(OR(Database!$BG315="",Screener!$D$10=""),0,IF(Database!$BG315=Screener!$D$10,1,0))</f>
        <v/>
      </c>
      <c r="F315" s="220">
        <f>IF(OR(Database!$BM315="",Screener!$D$11=""),0,IF(Database!$BM315=Screener!$D$11,1,0))</f>
        <v/>
      </c>
      <c r="G315" s="220">
        <f>IF(OR(Database!$H315="",N(Screener!$D$12)&lt;=0),0,MAX(0,1-(N(Screener!$D$12)-Database!$H315)/W_RECD))</f>
        <v/>
      </c>
      <c r="H315" s="220">
        <f>IF($U$1="",0,N(ISNUMBER(SEARCH($U$1,Database!$AC315&amp;""))))+IF($V$1="",0,N(ISNUMBER(SEARCH($V$1,Database!$AC315&amp;""))))+IF($W$1="",0,N(ISNUMBER(SEARCH($W$1,Database!$AC315&amp;""))))+IF($X$1="",0,N(ISNUMBER(SEARCH($X$1,Database!$AC315&amp;""))))+IF($Y$1="",0,N(ISNUMBER(SEARCH($Y$1,Database!$AC315&amp;""))))+IF(Screener!$B$17="",0,N(ISNUMBER(SEARCH(LOWER(Screener!$B$17),Database!$AC315&amp;""))))</f>
        <v/>
      </c>
      <c r="I315" s="220">
        <f>IF(OR(N(Database!$BH315)&lt;=0,N(Screener!$D$13)&lt;=0),0,MAX(0,1-ABS(LOG10(N(Database!$BH315)/Screener!$D$13))/W_PEHW))</f>
        <v/>
      </c>
      <c r="J315" s="220">
        <f>IF(OR(N(Database!$S315)&lt;=0,N(Screener!$D$14)&lt;=0),0,MAX(0,1-ABS(LOG10(Database!$S315/Screener!$D$14))/0.6))</f>
        <v/>
      </c>
      <c r="K315" s="220">
        <f>IF(Database!$B315=Screener!$B$5,-999999,IF(ISNUMBER(SEARCH(","&amp;Database!$A315&amp;",",","&amp;SUBSTITUTE(Screener!$D$17," ","")&amp;",")),2000000,IF(IF(OR(Screener!$B$18="All",AND(Screener!$B$18="With A-share",(Database!$BM315="Y")),AND(Screener!$B$18="Without A-share",NOT((Database!$BM315="Y")))),1,0)=0,-999999,IF(Screener!$B$16="cornerstone overlap first",H315*100000,IF(Screener!$B$16="demand-similar first",J315*100000,0))+W_SUB*B315+W_SEC*C315*(1-B315)+W_SIZE*D315+W_PROF*E315+W_AH*F315+W_REC*G315+W_CS*H315+W_PE*I315)))+ROW()/1000000</f>
        <v/>
      </c>
      <c r="AA315" s="220">
        <f>Database!B304</f>
        <v/>
      </c>
      <c r="AB315" s="220">
        <f>Database!D304</f>
        <v/>
      </c>
      <c r="AC315" s="220">
        <f>Database!E304</f>
        <v/>
      </c>
      <c r="AD315" s="220">
        <f>Database!I304</f>
        <v/>
      </c>
      <c r="AE315" s="220">
        <f>Database!BG304</f>
        <v/>
      </c>
      <c r="AF315" s="220">
        <f>Database!BM304</f>
        <v/>
      </c>
      <c r="AG315" s="220">
        <f>Database!H304</f>
        <v/>
      </c>
      <c r="AH315" s="220">
        <f>Database!BH304</f>
        <v/>
      </c>
    </row>
    <row r="316">
      <c r="A316" s="220">
        <f>Database!B316</f>
        <v/>
      </c>
      <c r="B316" s="220">
        <f>IF(AND(Screener!$D$8&lt;&gt;"",Database!$E316=Screener!$D$8),1,0)</f>
        <v/>
      </c>
      <c r="C316" s="220">
        <f>IF(AND(Screener!$D$7&lt;&gt;"",Database!$D316=Screener!$D$7),1,0)</f>
        <v/>
      </c>
      <c r="D316" s="220">
        <f>IF(OR(N(Database!$I316)&lt;=0,N(Screener!$D$9)&lt;=0),0,MAX(0,1-ABS(LOG10(N(Database!$I316)/Screener!$D$9))/W_SIZEHW))</f>
        <v/>
      </c>
      <c r="E316" s="220">
        <f>IF(OR(Database!$BG316="",Screener!$D$10=""),0,IF(Database!$BG316=Screener!$D$10,1,0))</f>
        <v/>
      </c>
      <c r="F316" s="220">
        <f>IF(OR(Database!$BM316="",Screener!$D$11=""),0,IF(Database!$BM316=Screener!$D$11,1,0))</f>
        <v/>
      </c>
      <c r="G316" s="220">
        <f>IF(OR(Database!$H316="",N(Screener!$D$12)&lt;=0),0,MAX(0,1-(N(Screener!$D$12)-Database!$H316)/W_RECD))</f>
        <v/>
      </c>
      <c r="H316" s="220">
        <f>IF($U$1="",0,N(ISNUMBER(SEARCH($U$1,Database!$AC316&amp;""))))+IF($V$1="",0,N(ISNUMBER(SEARCH($V$1,Database!$AC316&amp;""))))+IF($W$1="",0,N(ISNUMBER(SEARCH($W$1,Database!$AC316&amp;""))))+IF($X$1="",0,N(ISNUMBER(SEARCH($X$1,Database!$AC316&amp;""))))+IF($Y$1="",0,N(ISNUMBER(SEARCH($Y$1,Database!$AC316&amp;""))))+IF(Screener!$B$17="",0,N(ISNUMBER(SEARCH(LOWER(Screener!$B$17),Database!$AC316&amp;""))))</f>
        <v/>
      </c>
      <c r="I316" s="220">
        <f>IF(OR(N(Database!$BH316)&lt;=0,N(Screener!$D$13)&lt;=0),0,MAX(0,1-ABS(LOG10(N(Database!$BH316)/Screener!$D$13))/W_PEHW))</f>
        <v/>
      </c>
      <c r="J316" s="220">
        <f>IF(OR(N(Database!$S316)&lt;=0,N(Screener!$D$14)&lt;=0),0,MAX(0,1-ABS(LOG10(Database!$S316/Screener!$D$14))/0.6))</f>
        <v/>
      </c>
      <c r="K316" s="220">
        <f>IF(Database!$B316=Screener!$B$5,-999999,IF(ISNUMBER(SEARCH(","&amp;Database!$A316&amp;",",","&amp;SUBSTITUTE(Screener!$D$17," ","")&amp;",")),2000000,IF(IF(OR(Screener!$B$18="All",AND(Screener!$B$18="With A-share",(Database!$BM316="Y")),AND(Screener!$B$18="Without A-share",NOT((Database!$BM316="Y")))),1,0)=0,-999999,IF(Screener!$B$16="cornerstone overlap first",H316*100000,IF(Screener!$B$16="demand-similar first",J316*100000,0))+W_SUB*B316+W_SEC*C316*(1-B316)+W_SIZE*D316+W_PROF*E316+W_AH*F316+W_REC*G316+W_CS*H316+W_PE*I316)))+ROW()/1000000</f>
        <v/>
      </c>
      <c r="AA316" s="220">
        <f>Database!B305</f>
        <v/>
      </c>
      <c r="AB316" s="220">
        <f>Database!D305</f>
        <v/>
      </c>
      <c r="AC316" s="220">
        <f>Database!E305</f>
        <v/>
      </c>
      <c r="AD316" s="220">
        <f>Database!I305</f>
        <v/>
      </c>
      <c r="AE316" s="220">
        <f>Database!BG305</f>
        <v/>
      </c>
      <c r="AF316" s="220">
        <f>Database!BM305</f>
        <v/>
      </c>
      <c r="AG316" s="220">
        <f>Database!H305</f>
        <v/>
      </c>
      <c r="AH316" s="220">
        <f>Database!BH305</f>
        <v/>
      </c>
    </row>
    <row r="317">
      <c r="A317" s="220">
        <f>Database!B317</f>
        <v/>
      </c>
      <c r="B317" s="220">
        <f>IF(AND(Screener!$D$8&lt;&gt;"",Database!$E317=Screener!$D$8),1,0)</f>
        <v/>
      </c>
      <c r="C317" s="220">
        <f>IF(AND(Screener!$D$7&lt;&gt;"",Database!$D317=Screener!$D$7),1,0)</f>
        <v/>
      </c>
      <c r="D317" s="220">
        <f>IF(OR(N(Database!$I317)&lt;=0,N(Screener!$D$9)&lt;=0),0,MAX(0,1-ABS(LOG10(N(Database!$I317)/Screener!$D$9))/W_SIZEHW))</f>
        <v/>
      </c>
      <c r="E317" s="220">
        <f>IF(OR(Database!$BG317="",Screener!$D$10=""),0,IF(Database!$BG317=Screener!$D$10,1,0))</f>
        <v/>
      </c>
      <c r="F317" s="220">
        <f>IF(OR(Database!$BM317="",Screener!$D$11=""),0,IF(Database!$BM317=Screener!$D$11,1,0))</f>
        <v/>
      </c>
      <c r="G317" s="220">
        <f>IF(OR(Database!$H317="",N(Screener!$D$12)&lt;=0),0,MAX(0,1-(N(Screener!$D$12)-Database!$H317)/W_RECD))</f>
        <v/>
      </c>
      <c r="H317" s="220">
        <f>IF($U$1="",0,N(ISNUMBER(SEARCH($U$1,Database!$AC317&amp;""))))+IF($V$1="",0,N(ISNUMBER(SEARCH($V$1,Database!$AC317&amp;""))))+IF($W$1="",0,N(ISNUMBER(SEARCH($W$1,Database!$AC317&amp;""))))+IF($X$1="",0,N(ISNUMBER(SEARCH($X$1,Database!$AC317&amp;""))))+IF($Y$1="",0,N(ISNUMBER(SEARCH($Y$1,Database!$AC317&amp;""))))+IF(Screener!$B$17="",0,N(ISNUMBER(SEARCH(LOWER(Screener!$B$17),Database!$AC317&amp;""))))</f>
        <v/>
      </c>
      <c r="I317" s="220">
        <f>IF(OR(N(Database!$BH317)&lt;=0,N(Screener!$D$13)&lt;=0),0,MAX(0,1-ABS(LOG10(N(Database!$BH317)/Screener!$D$13))/W_PEHW))</f>
        <v/>
      </c>
      <c r="J317" s="220">
        <f>IF(OR(N(Database!$S317)&lt;=0,N(Screener!$D$14)&lt;=0),0,MAX(0,1-ABS(LOG10(Database!$S317/Screener!$D$14))/0.6))</f>
        <v/>
      </c>
      <c r="K317" s="220">
        <f>IF(Database!$B317=Screener!$B$5,-999999,IF(ISNUMBER(SEARCH(","&amp;Database!$A317&amp;",",","&amp;SUBSTITUTE(Screener!$D$17," ","")&amp;",")),2000000,IF(IF(OR(Screener!$B$18="All",AND(Screener!$B$18="With A-share",(Database!$BM317="Y")),AND(Screener!$B$18="Without A-share",NOT((Database!$BM317="Y")))),1,0)=0,-999999,IF(Screener!$B$16="cornerstone overlap first",H317*100000,IF(Screener!$B$16="demand-similar first",J317*100000,0))+W_SUB*B317+W_SEC*C317*(1-B317)+W_SIZE*D317+W_PROF*E317+W_AH*F317+W_REC*G317+W_CS*H317+W_PE*I317)))+ROW()/1000000</f>
        <v/>
      </c>
      <c r="AA317" s="220">
        <f>Database!B306</f>
        <v/>
      </c>
      <c r="AB317" s="220">
        <f>Database!D306</f>
        <v/>
      </c>
      <c r="AC317" s="220">
        <f>Database!E306</f>
        <v/>
      </c>
      <c r="AD317" s="220">
        <f>Database!I306</f>
        <v/>
      </c>
      <c r="AE317" s="220">
        <f>Database!BG306</f>
        <v/>
      </c>
      <c r="AF317" s="220">
        <f>Database!BM306</f>
        <v/>
      </c>
      <c r="AG317" s="220">
        <f>Database!H306</f>
        <v/>
      </c>
      <c r="AH317" s="220">
        <f>Database!BH306</f>
        <v/>
      </c>
    </row>
    <row r="318">
      <c r="A318" s="220">
        <f>Database!B318</f>
        <v/>
      </c>
      <c r="B318" s="220">
        <f>IF(AND(Screener!$D$8&lt;&gt;"",Database!$E318=Screener!$D$8),1,0)</f>
        <v/>
      </c>
      <c r="C318" s="220">
        <f>IF(AND(Screener!$D$7&lt;&gt;"",Database!$D318=Screener!$D$7),1,0)</f>
        <v/>
      </c>
      <c r="D318" s="220">
        <f>IF(OR(N(Database!$I318)&lt;=0,N(Screener!$D$9)&lt;=0),0,MAX(0,1-ABS(LOG10(N(Database!$I318)/Screener!$D$9))/W_SIZEHW))</f>
        <v/>
      </c>
      <c r="E318" s="220">
        <f>IF(OR(Database!$BG318="",Screener!$D$10=""),0,IF(Database!$BG318=Screener!$D$10,1,0))</f>
        <v/>
      </c>
      <c r="F318" s="220">
        <f>IF(OR(Database!$BM318="",Screener!$D$11=""),0,IF(Database!$BM318=Screener!$D$11,1,0))</f>
        <v/>
      </c>
      <c r="G318" s="220">
        <f>IF(OR(Database!$H318="",N(Screener!$D$12)&lt;=0),0,MAX(0,1-(N(Screener!$D$12)-Database!$H318)/W_RECD))</f>
        <v/>
      </c>
      <c r="H318" s="220">
        <f>IF($U$1="",0,N(ISNUMBER(SEARCH($U$1,Database!$AC318&amp;""))))+IF($V$1="",0,N(ISNUMBER(SEARCH($V$1,Database!$AC318&amp;""))))+IF($W$1="",0,N(ISNUMBER(SEARCH($W$1,Database!$AC318&amp;""))))+IF($X$1="",0,N(ISNUMBER(SEARCH($X$1,Database!$AC318&amp;""))))+IF($Y$1="",0,N(ISNUMBER(SEARCH($Y$1,Database!$AC318&amp;""))))+IF(Screener!$B$17="",0,N(ISNUMBER(SEARCH(LOWER(Screener!$B$17),Database!$AC318&amp;""))))</f>
        <v/>
      </c>
      <c r="I318" s="220">
        <f>IF(OR(N(Database!$BH318)&lt;=0,N(Screener!$D$13)&lt;=0),0,MAX(0,1-ABS(LOG10(N(Database!$BH318)/Screener!$D$13))/W_PEHW))</f>
        <v/>
      </c>
      <c r="J318" s="220">
        <f>IF(OR(N(Database!$S318)&lt;=0,N(Screener!$D$14)&lt;=0),0,MAX(0,1-ABS(LOG10(Database!$S318/Screener!$D$14))/0.6))</f>
        <v/>
      </c>
      <c r="K318" s="220">
        <f>IF(Database!$B318=Screener!$B$5,-999999,IF(ISNUMBER(SEARCH(","&amp;Database!$A318&amp;",",","&amp;SUBSTITUTE(Screener!$D$17," ","")&amp;",")),2000000,IF(IF(OR(Screener!$B$18="All",AND(Screener!$B$18="With A-share",(Database!$BM318="Y")),AND(Screener!$B$18="Without A-share",NOT((Database!$BM318="Y")))),1,0)=0,-999999,IF(Screener!$B$16="cornerstone overlap first",H318*100000,IF(Screener!$B$16="demand-similar first",J318*100000,0))+W_SUB*B318+W_SEC*C318*(1-B318)+W_SIZE*D318+W_PROF*E318+W_AH*F318+W_REC*G318+W_CS*H318+W_PE*I318)))+ROW()/1000000</f>
        <v/>
      </c>
      <c r="AA318" s="220">
        <f>Database!B307</f>
        <v/>
      </c>
      <c r="AB318" s="220">
        <f>Database!D307</f>
        <v/>
      </c>
      <c r="AC318" s="220">
        <f>Database!E307</f>
        <v/>
      </c>
      <c r="AD318" s="220">
        <f>Database!I307</f>
        <v/>
      </c>
      <c r="AE318" s="220">
        <f>Database!BG307</f>
        <v/>
      </c>
      <c r="AF318" s="220">
        <f>Database!BM307</f>
        <v/>
      </c>
      <c r="AG318" s="220">
        <f>Database!H307</f>
        <v/>
      </c>
      <c r="AH318" s="220">
        <f>Database!BH307</f>
        <v/>
      </c>
    </row>
    <row r="319">
      <c r="A319" s="220">
        <f>Database!B319</f>
        <v/>
      </c>
      <c r="B319" s="220">
        <f>IF(AND(Screener!$D$8&lt;&gt;"",Database!$E319=Screener!$D$8),1,0)</f>
        <v/>
      </c>
      <c r="C319" s="220">
        <f>IF(AND(Screener!$D$7&lt;&gt;"",Database!$D319=Screener!$D$7),1,0)</f>
        <v/>
      </c>
      <c r="D319" s="220">
        <f>IF(OR(N(Database!$I319)&lt;=0,N(Screener!$D$9)&lt;=0),0,MAX(0,1-ABS(LOG10(N(Database!$I319)/Screener!$D$9))/W_SIZEHW))</f>
        <v/>
      </c>
      <c r="E319" s="220">
        <f>IF(OR(Database!$BG319="",Screener!$D$10=""),0,IF(Database!$BG319=Screener!$D$10,1,0))</f>
        <v/>
      </c>
      <c r="F319" s="220">
        <f>IF(OR(Database!$BM319="",Screener!$D$11=""),0,IF(Database!$BM319=Screener!$D$11,1,0))</f>
        <v/>
      </c>
      <c r="G319" s="220">
        <f>IF(OR(Database!$H319="",N(Screener!$D$12)&lt;=0),0,MAX(0,1-(N(Screener!$D$12)-Database!$H319)/W_RECD))</f>
        <v/>
      </c>
      <c r="H319" s="220">
        <f>IF($U$1="",0,N(ISNUMBER(SEARCH($U$1,Database!$AC319&amp;""))))+IF($V$1="",0,N(ISNUMBER(SEARCH($V$1,Database!$AC319&amp;""))))+IF($W$1="",0,N(ISNUMBER(SEARCH($W$1,Database!$AC319&amp;""))))+IF($X$1="",0,N(ISNUMBER(SEARCH($X$1,Database!$AC319&amp;""))))+IF($Y$1="",0,N(ISNUMBER(SEARCH($Y$1,Database!$AC319&amp;""))))+IF(Screener!$B$17="",0,N(ISNUMBER(SEARCH(LOWER(Screener!$B$17),Database!$AC319&amp;""))))</f>
        <v/>
      </c>
      <c r="I319" s="220">
        <f>IF(OR(N(Database!$BH319)&lt;=0,N(Screener!$D$13)&lt;=0),0,MAX(0,1-ABS(LOG10(N(Database!$BH319)/Screener!$D$13))/W_PEHW))</f>
        <v/>
      </c>
      <c r="J319" s="220">
        <f>IF(OR(N(Database!$S319)&lt;=0,N(Screener!$D$14)&lt;=0),0,MAX(0,1-ABS(LOG10(Database!$S319/Screener!$D$14))/0.6))</f>
        <v/>
      </c>
      <c r="K319" s="220">
        <f>IF(Database!$B319=Screener!$B$5,-999999,IF(ISNUMBER(SEARCH(","&amp;Database!$A319&amp;",",","&amp;SUBSTITUTE(Screener!$D$17," ","")&amp;",")),2000000,IF(IF(OR(Screener!$B$18="All",AND(Screener!$B$18="With A-share",(Database!$BM319="Y")),AND(Screener!$B$18="Without A-share",NOT((Database!$BM319="Y")))),1,0)=0,-999999,IF(Screener!$B$16="cornerstone overlap first",H319*100000,IF(Screener!$B$16="demand-similar first",J319*100000,0))+W_SUB*B319+W_SEC*C319*(1-B319)+W_SIZE*D319+W_PROF*E319+W_AH*F319+W_REC*G319+W_CS*H319+W_PE*I319)))+ROW()/1000000</f>
        <v/>
      </c>
      <c r="AA319" s="220">
        <f>Database!B308</f>
        <v/>
      </c>
      <c r="AB319" s="220">
        <f>Database!D308</f>
        <v/>
      </c>
      <c r="AC319" s="220">
        <f>Database!E308</f>
        <v/>
      </c>
      <c r="AD319" s="220">
        <f>Database!I308</f>
        <v/>
      </c>
      <c r="AE319" s="220">
        <f>Database!BG308</f>
        <v/>
      </c>
      <c r="AF319" s="220">
        <f>Database!BM308</f>
        <v/>
      </c>
      <c r="AG319" s="220">
        <f>Database!H308</f>
        <v/>
      </c>
      <c r="AH319" s="220">
        <f>Database!BH308</f>
        <v/>
      </c>
    </row>
    <row r="320">
      <c r="A320" s="220">
        <f>Database!B320</f>
        <v/>
      </c>
      <c r="B320" s="220">
        <f>IF(AND(Screener!$D$8&lt;&gt;"",Database!$E320=Screener!$D$8),1,0)</f>
        <v/>
      </c>
      <c r="C320" s="220">
        <f>IF(AND(Screener!$D$7&lt;&gt;"",Database!$D320=Screener!$D$7),1,0)</f>
        <v/>
      </c>
      <c r="D320" s="220">
        <f>IF(OR(N(Database!$I320)&lt;=0,N(Screener!$D$9)&lt;=0),0,MAX(0,1-ABS(LOG10(N(Database!$I320)/Screener!$D$9))/W_SIZEHW))</f>
        <v/>
      </c>
      <c r="E320" s="220">
        <f>IF(OR(Database!$BG320="",Screener!$D$10=""),0,IF(Database!$BG320=Screener!$D$10,1,0))</f>
        <v/>
      </c>
      <c r="F320" s="220">
        <f>IF(OR(Database!$BM320="",Screener!$D$11=""),0,IF(Database!$BM320=Screener!$D$11,1,0))</f>
        <v/>
      </c>
      <c r="G320" s="220">
        <f>IF(OR(Database!$H320="",N(Screener!$D$12)&lt;=0),0,MAX(0,1-(N(Screener!$D$12)-Database!$H320)/W_RECD))</f>
        <v/>
      </c>
      <c r="H320" s="220">
        <f>IF($U$1="",0,N(ISNUMBER(SEARCH($U$1,Database!$AC320&amp;""))))+IF($V$1="",0,N(ISNUMBER(SEARCH($V$1,Database!$AC320&amp;""))))+IF($W$1="",0,N(ISNUMBER(SEARCH($W$1,Database!$AC320&amp;""))))+IF($X$1="",0,N(ISNUMBER(SEARCH($X$1,Database!$AC320&amp;""))))+IF($Y$1="",0,N(ISNUMBER(SEARCH($Y$1,Database!$AC320&amp;""))))+IF(Screener!$B$17="",0,N(ISNUMBER(SEARCH(LOWER(Screener!$B$17),Database!$AC320&amp;""))))</f>
        <v/>
      </c>
      <c r="I320" s="220">
        <f>IF(OR(N(Database!$BH320)&lt;=0,N(Screener!$D$13)&lt;=0),0,MAX(0,1-ABS(LOG10(N(Database!$BH320)/Screener!$D$13))/W_PEHW))</f>
        <v/>
      </c>
      <c r="J320" s="220">
        <f>IF(OR(N(Database!$S320)&lt;=0,N(Screener!$D$14)&lt;=0),0,MAX(0,1-ABS(LOG10(Database!$S320/Screener!$D$14))/0.6))</f>
        <v/>
      </c>
      <c r="K320" s="220">
        <f>IF(Database!$B320=Screener!$B$5,-999999,IF(ISNUMBER(SEARCH(","&amp;Database!$A320&amp;",",","&amp;SUBSTITUTE(Screener!$D$17," ","")&amp;",")),2000000,IF(IF(OR(Screener!$B$18="All",AND(Screener!$B$18="With A-share",(Database!$BM320="Y")),AND(Screener!$B$18="Without A-share",NOT((Database!$BM320="Y")))),1,0)=0,-999999,IF(Screener!$B$16="cornerstone overlap first",H320*100000,IF(Screener!$B$16="demand-similar first",J320*100000,0))+W_SUB*B320+W_SEC*C320*(1-B320)+W_SIZE*D320+W_PROF*E320+W_AH*F320+W_REC*G320+W_CS*H320+W_PE*I320)))+ROW()/1000000</f>
        <v/>
      </c>
      <c r="AA320" s="220">
        <f>Database!B309</f>
        <v/>
      </c>
      <c r="AB320" s="220">
        <f>Database!D309</f>
        <v/>
      </c>
      <c r="AC320" s="220">
        <f>Database!E309</f>
        <v/>
      </c>
      <c r="AD320" s="220">
        <f>Database!I309</f>
        <v/>
      </c>
      <c r="AE320" s="220">
        <f>Database!BG309</f>
        <v/>
      </c>
      <c r="AF320" s="220">
        <f>Database!BM309</f>
        <v/>
      </c>
      <c r="AG320" s="220">
        <f>Database!H309</f>
        <v/>
      </c>
      <c r="AH320" s="220">
        <f>Database!BH309</f>
        <v/>
      </c>
    </row>
    <row r="321">
      <c r="A321" s="220">
        <f>Database!B321</f>
        <v/>
      </c>
      <c r="B321" s="220">
        <f>IF(AND(Screener!$D$8&lt;&gt;"",Database!$E321=Screener!$D$8),1,0)</f>
        <v/>
      </c>
      <c r="C321" s="220">
        <f>IF(AND(Screener!$D$7&lt;&gt;"",Database!$D321=Screener!$D$7),1,0)</f>
        <v/>
      </c>
      <c r="D321" s="220">
        <f>IF(OR(N(Database!$I321)&lt;=0,N(Screener!$D$9)&lt;=0),0,MAX(0,1-ABS(LOG10(N(Database!$I321)/Screener!$D$9))/W_SIZEHW))</f>
        <v/>
      </c>
      <c r="E321" s="220">
        <f>IF(OR(Database!$BG321="",Screener!$D$10=""),0,IF(Database!$BG321=Screener!$D$10,1,0))</f>
        <v/>
      </c>
      <c r="F321" s="220">
        <f>IF(OR(Database!$BM321="",Screener!$D$11=""),0,IF(Database!$BM321=Screener!$D$11,1,0))</f>
        <v/>
      </c>
      <c r="G321" s="220">
        <f>IF(OR(Database!$H321="",N(Screener!$D$12)&lt;=0),0,MAX(0,1-(N(Screener!$D$12)-Database!$H321)/W_RECD))</f>
        <v/>
      </c>
      <c r="H321" s="220">
        <f>IF($U$1="",0,N(ISNUMBER(SEARCH($U$1,Database!$AC321&amp;""))))+IF($V$1="",0,N(ISNUMBER(SEARCH($V$1,Database!$AC321&amp;""))))+IF($W$1="",0,N(ISNUMBER(SEARCH($W$1,Database!$AC321&amp;""))))+IF($X$1="",0,N(ISNUMBER(SEARCH($X$1,Database!$AC321&amp;""))))+IF($Y$1="",0,N(ISNUMBER(SEARCH($Y$1,Database!$AC321&amp;""))))+IF(Screener!$B$17="",0,N(ISNUMBER(SEARCH(LOWER(Screener!$B$17),Database!$AC321&amp;""))))</f>
        <v/>
      </c>
      <c r="I321" s="220">
        <f>IF(OR(N(Database!$BH321)&lt;=0,N(Screener!$D$13)&lt;=0),0,MAX(0,1-ABS(LOG10(N(Database!$BH321)/Screener!$D$13))/W_PEHW))</f>
        <v/>
      </c>
      <c r="J321" s="220">
        <f>IF(OR(N(Database!$S321)&lt;=0,N(Screener!$D$14)&lt;=0),0,MAX(0,1-ABS(LOG10(Database!$S321/Screener!$D$14))/0.6))</f>
        <v/>
      </c>
      <c r="K321" s="220">
        <f>IF(Database!$B321=Screener!$B$5,-999999,IF(ISNUMBER(SEARCH(","&amp;Database!$A321&amp;",",","&amp;SUBSTITUTE(Screener!$D$17," ","")&amp;",")),2000000,IF(IF(OR(Screener!$B$18="All",AND(Screener!$B$18="With A-share",(Database!$BM321="Y")),AND(Screener!$B$18="Without A-share",NOT((Database!$BM321="Y")))),1,0)=0,-999999,IF(Screener!$B$16="cornerstone overlap first",H321*100000,IF(Screener!$B$16="demand-similar first",J321*100000,0))+W_SUB*B321+W_SEC*C321*(1-B321)+W_SIZE*D321+W_PROF*E321+W_AH*F321+W_REC*G321+W_CS*H321+W_PE*I321)))+ROW()/1000000</f>
        <v/>
      </c>
      <c r="AA321" s="220">
        <f>Database!B310</f>
        <v/>
      </c>
      <c r="AB321" s="220">
        <f>Database!D310</f>
        <v/>
      </c>
      <c r="AC321" s="220">
        <f>Database!E310</f>
        <v/>
      </c>
      <c r="AD321" s="220">
        <f>Database!I310</f>
        <v/>
      </c>
      <c r="AE321" s="220">
        <f>Database!BG310</f>
        <v/>
      </c>
      <c r="AF321" s="220">
        <f>Database!BM310</f>
        <v/>
      </c>
      <c r="AG321" s="220">
        <f>Database!H310</f>
        <v/>
      </c>
      <c r="AH321" s="220">
        <f>Database!BH310</f>
        <v/>
      </c>
    </row>
    <row r="322">
      <c r="A322" s="220">
        <f>Database!B322</f>
        <v/>
      </c>
      <c r="B322" s="220">
        <f>IF(AND(Screener!$D$8&lt;&gt;"",Database!$E322=Screener!$D$8),1,0)</f>
        <v/>
      </c>
      <c r="C322" s="220">
        <f>IF(AND(Screener!$D$7&lt;&gt;"",Database!$D322=Screener!$D$7),1,0)</f>
        <v/>
      </c>
      <c r="D322" s="220">
        <f>IF(OR(N(Database!$I322)&lt;=0,N(Screener!$D$9)&lt;=0),0,MAX(0,1-ABS(LOG10(N(Database!$I322)/Screener!$D$9))/W_SIZEHW))</f>
        <v/>
      </c>
      <c r="E322" s="220">
        <f>IF(OR(Database!$BG322="",Screener!$D$10=""),0,IF(Database!$BG322=Screener!$D$10,1,0))</f>
        <v/>
      </c>
      <c r="F322" s="220">
        <f>IF(OR(Database!$BM322="",Screener!$D$11=""),0,IF(Database!$BM322=Screener!$D$11,1,0))</f>
        <v/>
      </c>
      <c r="G322" s="220">
        <f>IF(OR(Database!$H322="",N(Screener!$D$12)&lt;=0),0,MAX(0,1-(N(Screener!$D$12)-Database!$H322)/W_RECD))</f>
        <v/>
      </c>
      <c r="H322" s="220">
        <f>IF($U$1="",0,N(ISNUMBER(SEARCH($U$1,Database!$AC322&amp;""))))+IF($V$1="",0,N(ISNUMBER(SEARCH($V$1,Database!$AC322&amp;""))))+IF($W$1="",0,N(ISNUMBER(SEARCH($W$1,Database!$AC322&amp;""))))+IF($X$1="",0,N(ISNUMBER(SEARCH($X$1,Database!$AC322&amp;""))))+IF($Y$1="",0,N(ISNUMBER(SEARCH($Y$1,Database!$AC322&amp;""))))+IF(Screener!$B$17="",0,N(ISNUMBER(SEARCH(LOWER(Screener!$B$17),Database!$AC322&amp;""))))</f>
        <v/>
      </c>
      <c r="I322" s="220">
        <f>IF(OR(N(Database!$BH322)&lt;=0,N(Screener!$D$13)&lt;=0),0,MAX(0,1-ABS(LOG10(N(Database!$BH322)/Screener!$D$13))/W_PEHW))</f>
        <v/>
      </c>
      <c r="J322" s="220">
        <f>IF(OR(N(Database!$S322)&lt;=0,N(Screener!$D$14)&lt;=0),0,MAX(0,1-ABS(LOG10(Database!$S322/Screener!$D$14))/0.6))</f>
        <v/>
      </c>
      <c r="K322" s="220">
        <f>IF(Database!$B322=Screener!$B$5,-999999,IF(ISNUMBER(SEARCH(","&amp;Database!$A322&amp;",",","&amp;SUBSTITUTE(Screener!$D$17," ","")&amp;",")),2000000,IF(IF(OR(Screener!$B$18="All",AND(Screener!$B$18="With A-share",(Database!$BM322="Y")),AND(Screener!$B$18="Without A-share",NOT((Database!$BM322="Y")))),1,0)=0,-999999,IF(Screener!$B$16="cornerstone overlap first",H322*100000,IF(Screener!$B$16="demand-similar first",J322*100000,0))+W_SUB*B322+W_SEC*C322*(1-B322)+W_SIZE*D322+W_PROF*E322+W_AH*F322+W_REC*G322+W_CS*H322+W_PE*I322)))+ROW()/1000000</f>
        <v/>
      </c>
      <c r="AA322" s="220">
        <f>Database!B311</f>
        <v/>
      </c>
      <c r="AB322" s="220">
        <f>Database!D311</f>
        <v/>
      </c>
      <c r="AC322" s="220">
        <f>Database!E311</f>
        <v/>
      </c>
      <c r="AD322" s="220">
        <f>Database!I311</f>
        <v/>
      </c>
      <c r="AE322" s="220">
        <f>Database!BG311</f>
        <v/>
      </c>
      <c r="AF322" s="220">
        <f>Database!BM311</f>
        <v/>
      </c>
      <c r="AG322" s="220">
        <f>Database!H311</f>
        <v/>
      </c>
      <c r="AH322" s="220">
        <f>Database!BH311</f>
        <v/>
      </c>
    </row>
    <row r="323">
      <c r="A323" s="220">
        <f>Database!B323</f>
        <v/>
      </c>
      <c r="B323" s="220">
        <f>IF(AND(Screener!$D$8&lt;&gt;"",Database!$E323=Screener!$D$8),1,0)</f>
        <v/>
      </c>
      <c r="C323" s="220">
        <f>IF(AND(Screener!$D$7&lt;&gt;"",Database!$D323=Screener!$D$7),1,0)</f>
        <v/>
      </c>
      <c r="D323" s="220">
        <f>IF(OR(N(Database!$I323)&lt;=0,N(Screener!$D$9)&lt;=0),0,MAX(0,1-ABS(LOG10(N(Database!$I323)/Screener!$D$9))/W_SIZEHW))</f>
        <v/>
      </c>
      <c r="E323" s="220">
        <f>IF(OR(Database!$BG323="",Screener!$D$10=""),0,IF(Database!$BG323=Screener!$D$10,1,0))</f>
        <v/>
      </c>
      <c r="F323" s="220">
        <f>IF(OR(Database!$BM323="",Screener!$D$11=""),0,IF(Database!$BM323=Screener!$D$11,1,0))</f>
        <v/>
      </c>
      <c r="G323" s="220">
        <f>IF(OR(Database!$H323="",N(Screener!$D$12)&lt;=0),0,MAX(0,1-(N(Screener!$D$12)-Database!$H323)/W_RECD))</f>
        <v/>
      </c>
      <c r="H323" s="220">
        <f>IF($U$1="",0,N(ISNUMBER(SEARCH($U$1,Database!$AC323&amp;""))))+IF($V$1="",0,N(ISNUMBER(SEARCH($V$1,Database!$AC323&amp;""))))+IF($W$1="",0,N(ISNUMBER(SEARCH($W$1,Database!$AC323&amp;""))))+IF($X$1="",0,N(ISNUMBER(SEARCH($X$1,Database!$AC323&amp;""))))+IF($Y$1="",0,N(ISNUMBER(SEARCH($Y$1,Database!$AC323&amp;""))))+IF(Screener!$B$17="",0,N(ISNUMBER(SEARCH(LOWER(Screener!$B$17),Database!$AC323&amp;""))))</f>
        <v/>
      </c>
      <c r="I323" s="220">
        <f>IF(OR(N(Database!$BH323)&lt;=0,N(Screener!$D$13)&lt;=0),0,MAX(0,1-ABS(LOG10(N(Database!$BH323)/Screener!$D$13))/W_PEHW))</f>
        <v/>
      </c>
      <c r="J323" s="220">
        <f>IF(OR(N(Database!$S323)&lt;=0,N(Screener!$D$14)&lt;=0),0,MAX(0,1-ABS(LOG10(Database!$S323/Screener!$D$14))/0.6))</f>
        <v/>
      </c>
      <c r="K323" s="220">
        <f>IF(Database!$B323=Screener!$B$5,-999999,IF(ISNUMBER(SEARCH(","&amp;Database!$A323&amp;",",","&amp;SUBSTITUTE(Screener!$D$17," ","")&amp;",")),2000000,IF(IF(OR(Screener!$B$18="All",AND(Screener!$B$18="With A-share",(Database!$BM323="Y")),AND(Screener!$B$18="Without A-share",NOT((Database!$BM323="Y")))),1,0)=0,-999999,IF(Screener!$B$16="cornerstone overlap first",H323*100000,IF(Screener!$B$16="demand-similar first",J323*100000,0))+W_SUB*B323+W_SEC*C323*(1-B323)+W_SIZE*D323+W_PROF*E323+W_AH*F323+W_REC*G323+W_CS*H323+W_PE*I323)))+ROW()/1000000</f>
        <v/>
      </c>
      <c r="AA323" s="220">
        <f>Database!B312</f>
        <v/>
      </c>
      <c r="AB323" s="220">
        <f>Database!D312</f>
        <v/>
      </c>
      <c r="AC323" s="220">
        <f>Database!E312</f>
        <v/>
      </c>
      <c r="AD323" s="220">
        <f>Database!I312</f>
        <v/>
      </c>
      <c r="AE323" s="220">
        <f>Database!BG312</f>
        <v/>
      </c>
      <c r="AF323" s="220">
        <f>Database!BM312</f>
        <v/>
      </c>
      <c r="AG323" s="220">
        <f>Database!H312</f>
        <v/>
      </c>
      <c r="AH323" s="220">
        <f>Database!BH312</f>
        <v/>
      </c>
    </row>
    <row r="324">
      <c r="A324" s="220">
        <f>Database!B324</f>
        <v/>
      </c>
      <c r="B324" s="220">
        <f>IF(AND(Screener!$D$8&lt;&gt;"",Database!$E324=Screener!$D$8),1,0)</f>
        <v/>
      </c>
      <c r="C324" s="220">
        <f>IF(AND(Screener!$D$7&lt;&gt;"",Database!$D324=Screener!$D$7),1,0)</f>
        <v/>
      </c>
      <c r="D324" s="220">
        <f>IF(OR(N(Database!$I324)&lt;=0,N(Screener!$D$9)&lt;=0),0,MAX(0,1-ABS(LOG10(N(Database!$I324)/Screener!$D$9))/W_SIZEHW))</f>
        <v/>
      </c>
      <c r="E324" s="220">
        <f>IF(OR(Database!$BG324="",Screener!$D$10=""),0,IF(Database!$BG324=Screener!$D$10,1,0))</f>
        <v/>
      </c>
      <c r="F324" s="220">
        <f>IF(OR(Database!$BM324="",Screener!$D$11=""),0,IF(Database!$BM324=Screener!$D$11,1,0))</f>
        <v/>
      </c>
      <c r="G324" s="220">
        <f>IF(OR(Database!$H324="",N(Screener!$D$12)&lt;=0),0,MAX(0,1-(N(Screener!$D$12)-Database!$H324)/W_RECD))</f>
        <v/>
      </c>
      <c r="H324" s="220">
        <f>IF($U$1="",0,N(ISNUMBER(SEARCH($U$1,Database!$AC324&amp;""))))+IF($V$1="",0,N(ISNUMBER(SEARCH($V$1,Database!$AC324&amp;""))))+IF($W$1="",0,N(ISNUMBER(SEARCH($W$1,Database!$AC324&amp;""))))+IF($X$1="",0,N(ISNUMBER(SEARCH($X$1,Database!$AC324&amp;""))))+IF($Y$1="",0,N(ISNUMBER(SEARCH($Y$1,Database!$AC324&amp;""))))+IF(Screener!$B$17="",0,N(ISNUMBER(SEARCH(LOWER(Screener!$B$17),Database!$AC324&amp;""))))</f>
        <v/>
      </c>
      <c r="I324" s="220">
        <f>IF(OR(N(Database!$BH324)&lt;=0,N(Screener!$D$13)&lt;=0),0,MAX(0,1-ABS(LOG10(N(Database!$BH324)/Screener!$D$13))/W_PEHW))</f>
        <v/>
      </c>
      <c r="J324" s="220">
        <f>IF(OR(N(Database!$S324)&lt;=0,N(Screener!$D$14)&lt;=0),0,MAX(0,1-ABS(LOG10(Database!$S324/Screener!$D$14))/0.6))</f>
        <v/>
      </c>
      <c r="K324" s="220">
        <f>IF(Database!$B324=Screener!$B$5,-999999,IF(ISNUMBER(SEARCH(","&amp;Database!$A324&amp;",",","&amp;SUBSTITUTE(Screener!$D$17," ","")&amp;",")),2000000,IF(IF(OR(Screener!$B$18="All",AND(Screener!$B$18="With A-share",(Database!$BM324="Y")),AND(Screener!$B$18="Without A-share",NOT((Database!$BM324="Y")))),1,0)=0,-999999,IF(Screener!$B$16="cornerstone overlap first",H324*100000,IF(Screener!$B$16="demand-similar first",J324*100000,0))+W_SUB*B324+W_SEC*C324*(1-B324)+W_SIZE*D324+W_PROF*E324+W_AH*F324+W_REC*G324+W_CS*H324+W_PE*I324)))+ROW()/1000000</f>
        <v/>
      </c>
      <c r="AA324" s="220">
        <f>Database!B313</f>
        <v/>
      </c>
      <c r="AB324" s="220">
        <f>Database!D313</f>
        <v/>
      </c>
      <c r="AC324" s="220">
        <f>Database!E313</f>
        <v/>
      </c>
      <c r="AD324" s="220">
        <f>Database!I313</f>
        <v/>
      </c>
      <c r="AE324" s="220">
        <f>Database!BG313</f>
        <v/>
      </c>
      <c r="AF324" s="220">
        <f>Database!BM313</f>
        <v/>
      </c>
      <c r="AG324" s="220">
        <f>Database!H313</f>
        <v/>
      </c>
      <c r="AH324" s="220">
        <f>Database!BH313</f>
        <v/>
      </c>
    </row>
    <row r="325">
      <c r="A325" s="220">
        <f>Database!B325</f>
        <v/>
      </c>
      <c r="B325" s="220">
        <f>IF(AND(Screener!$D$8&lt;&gt;"",Database!$E325=Screener!$D$8),1,0)</f>
        <v/>
      </c>
      <c r="C325" s="220">
        <f>IF(AND(Screener!$D$7&lt;&gt;"",Database!$D325=Screener!$D$7),1,0)</f>
        <v/>
      </c>
      <c r="D325" s="220">
        <f>IF(OR(N(Database!$I325)&lt;=0,N(Screener!$D$9)&lt;=0),0,MAX(0,1-ABS(LOG10(N(Database!$I325)/Screener!$D$9))/W_SIZEHW))</f>
        <v/>
      </c>
      <c r="E325" s="220">
        <f>IF(OR(Database!$BG325="",Screener!$D$10=""),0,IF(Database!$BG325=Screener!$D$10,1,0))</f>
        <v/>
      </c>
      <c r="F325" s="220">
        <f>IF(OR(Database!$BM325="",Screener!$D$11=""),0,IF(Database!$BM325=Screener!$D$11,1,0))</f>
        <v/>
      </c>
      <c r="G325" s="220">
        <f>IF(OR(Database!$H325="",N(Screener!$D$12)&lt;=0),0,MAX(0,1-(N(Screener!$D$12)-Database!$H325)/W_RECD))</f>
        <v/>
      </c>
      <c r="H325" s="220">
        <f>IF($U$1="",0,N(ISNUMBER(SEARCH($U$1,Database!$AC325&amp;""))))+IF($V$1="",0,N(ISNUMBER(SEARCH($V$1,Database!$AC325&amp;""))))+IF($W$1="",0,N(ISNUMBER(SEARCH($W$1,Database!$AC325&amp;""))))+IF($X$1="",0,N(ISNUMBER(SEARCH($X$1,Database!$AC325&amp;""))))+IF($Y$1="",0,N(ISNUMBER(SEARCH($Y$1,Database!$AC325&amp;""))))+IF(Screener!$B$17="",0,N(ISNUMBER(SEARCH(LOWER(Screener!$B$17),Database!$AC325&amp;""))))</f>
        <v/>
      </c>
      <c r="I325" s="220">
        <f>IF(OR(N(Database!$BH325)&lt;=0,N(Screener!$D$13)&lt;=0),0,MAX(0,1-ABS(LOG10(N(Database!$BH325)/Screener!$D$13))/W_PEHW))</f>
        <v/>
      </c>
      <c r="J325" s="220">
        <f>IF(OR(N(Database!$S325)&lt;=0,N(Screener!$D$14)&lt;=0),0,MAX(0,1-ABS(LOG10(Database!$S325/Screener!$D$14))/0.6))</f>
        <v/>
      </c>
      <c r="K325" s="220">
        <f>IF(Database!$B325=Screener!$B$5,-999999,IF(ISNUMBER(SEARCH(","&amp;Database!$A325&amp;",",","&amp;SUBSTITUTE(Screener!$D$17," ","")&amp;",")),2000000,IF(IF(OR(Screener!$B$18="All",AND(Screener!$B$18="With A-share",(Database!$BM325="Y")),AND(Screener!$B$18="Without A-share",NOT((Database!$BM325="Y")))),1,0)=0,-999999,IF(Screener!$B$16="cornerstone overlap first",H325*100000,IF(Screener!$B$16="demand-similar first",J325*100000,0))+W_SUB*B325+W_SEC*C325*(1-B325)+W_SIZE*D325+W_PROF*E325+W_AH*F325+W_REC*G325+W_CS*H325+W_PE*I325)))+ROW()/1000000</f>
        <v/>
      </c>
      <c r="AA325" s="220">
        <f>Database!B314</f>
        <v/>
      </c>
      <c r="AB325" s="220">
        <f>Database!D314</f>
        <v/>
      </c>
      <c r="AC325" s="220">
        <f>Database!E314</f>
        <v/>
      </c>
      <c r="AD325" s="220">
        <f>Database!I314</f>
        <v/>
      </c>
      <c r="AE325" s="220">
        <f>Database!BG314</f>
        <v/>
      </c>
      <c r="AF325" s="220">
        <f>Database!BM314</f>
        <v/>
      </c>
      <c r="AG325" s="220">
        <f>Database!H314</f>
        <v/>
      </c>
      <c r="AH325" s="220">
        <f>Database!BH314</f>
        <v/>
      </c>
    </row>
    <row r="326">
      <c r="A326" s="220">
        <f>Database!B326</f>
        <v/>
      </c>
      <c r="B326" s="220">
        <f>IF(AND(Screener!$D$8&lt;&gt;"",Database!$E326=Screener!$D$8),1,0)</f>
        <v/>
      </c>
      <c r="C326" s="220">
        <f>IF(AND(Screener!$D$7&lt;&gt;"",Database!$D326=Screener!$D$7),1,0)</f>
        <v/>
      </c>
      <c r="D326" s="220">
        <f>IF(OR(N(Database!$I326)&lt;=0,N(Screener!$D$9)&lt;=0),0,MAX(0,1-ABS(LOG10(N(Database!$I326)/Screener!$D$9))/W_SIZEHW))</f>
        <v/>
      </c>
      <c r="E326" s="220">
        <f>IF(OR(Database!$BG326="",Screener!$D$10=""),0,IF(Database!$BG326=Screener!$D$10,1,0))</f>
        <v/>
      </c>
      <c r="F326" s="220">
        <f>IF(OR(Database!$BM326="",Screener!$D$11=""),0,IF(Database!$BM326=Screener!$D$11,1,0))</f>
        <v/>
      </c>
      <c r="G326" s="220">
        <f>IF(OR(Database!$H326="",N(Screener!$D$12)&lt;=0),0,MAX(0,1-(N(Screener!$D$12)-Database!$H326)/W_RECD))</f>
        <v/>
      </c>
      <c r="H326" s="220">
        <f>IF($U$1="",0,N(ISNUMBER(SEARCH($U$1,Database!$AC326&amp;""))))+IF($V$1="",0,N(ISNUMBER(SEARCH($V$1,Database!$AC326&amp;""))))+IF($W$1="",0,N(ISNUMBER(SEARCH($W$1,Database!$AC326&amp;""))))+IF($X$1="",0,N(ISNUMBER(SEARCH($X$1,Database!$AC326&amp;""))))+IF($Y$1="",0,N(ISNUMBER(SEARCH($Y$1,Database!$AC326&amp;""))))+IF(Screener!$B$17="",0,N(ISNUMBER(SEARCH(LOWER(Screener!$B$17),Database!$AC326&amp;""))))</f>
        <v/>
      </c>
      <c r="I326" s="220">
        <f>IF(OR(N(Database!$BH326)&lt;=0,N(Screener!$D$13)&lt;=0),0,MAX(0,1-ABS(LOG10(N(Database!$BH326)/Screener!$D$13))/W_PEHW))</f>
        <v/>
      </c>
      <c r="J326" s="220">
        <f>IF(OR(N(Database!$S326)&lt;=0,N(Screener!$D$14)&lt;=0),0,MAX(0,1-ABS(LOG10(Database!$S326/Screener!$D$14))/0.6))</f>
        <v/>
      </c>
      <c r="K326" s="220">
        <f>IF(Database!$B326=Screener!$B$5,-999999,IF(ISNUMBER(SEARCH(","&amp;Database!$A326&amp;",",","&amp;SUBSTITUTE(Screener!$D$17," ","")&amp;",")),2000000,IF(IF(OR(Screener!$B$18="All",AND(Screener!$B$18="With A-share",(Database!$BM326="Y")),AND(Screener!$B$18="Without A-share",NOT((Database!$BM326="Y")))),1,0)=0,-999999,IF(Screener!$B$16="cornerstone overlap first",H326*100000,IF(Screener!$B$16="demand-similar first",J326*100000,0))+W_SUB*B326+W_SEC*C326*(1-B326)+W_SIZE*D326+W_PROF*E326+W_AH*F326+W_REC*G326+W_CS*H326+W_PE*I326)))+ROW()/1000000</f>
        <v/>
      </c>
      <c r="AA326" s="220">
        <f>Database!B315</f>
        <v/>
      </c>
      <c r="AB326" s="220">
        <f>Database!D315</f>
        <v/>
      </c>
      <c r="AC326" s="220">
        <f>Database!E315</f>
        <v/>
      </c>
      <c r="AD326" s="220">
        <f>Database!I315</f>
        <v/>
      </c>
      <c r="AE326" s="220">
        <f>Database!BG315</f>
        <v/>
      </c>
      <c r="AF326" s="220">
        <f>Database!BM315</f>
        <v/>
      </c>
      <c r="AG326" s="220">
        <f>Database!H315</f>
        <v/>
      </c>
      <c r="AH326" s="220">
        <f>Database!BH315</f>
        <v/>
      </c>
    </row>
    <row r="327">
      <c r="A327" s="220">
        <f>Database!B327</f>
        <v/>
      </c>
      <c r="B327" s="220">
        <f>IF(AND(Screener!$D$8&lt;&gt;"",Database!$E327=Screener!$D$8),1,0)</f>
        <v/>
      </c>
      <c r="C327" s="220">
        <f>IF(AND(Screener!$D$7&lt;&gt;"",Database!$D327=Screener!$D$7),1,0)</f>
        <v/>
      </c>
      <c r="D327" s="220">
        <f>IF(OR(N(Database!$I327)&lt;=0,N(Screener!$D$9)&lt;=0),0,MAX(0,1-ABS(LOG10(N(Database!$I327)/Screener!$D$9))/W_SIZEHW))</f>
        <v/>
      </c>
      <c r="E327" s="220">
        <f>IF(OR(Database!$BG327="",Screener!$D$10=""),0,IF(Database!$BG327=Screener!$D$10,1,0))</f>
        <v/>
      </c>
      <c r="F327" s="220">
        <f>IF(OR(Database!$BM327="",Screener!$D$11=""),0,IF(Database!$BM327=Screener!$D$11,1,0))</f>
        <v/>
      </c>
      <c r="G327" s="220">
        <f>IF(OR(Database!$H327="",N(Screener!$D$12)&lt;=0),0,MAX(0,1-(N(Screener!$D$12)-Database!$H327)/W_RECD))</f>
        <v/>
      </c>
      <c r="H327" s="220">
        <f>IF($U$1="",0,N(ISNUMBER(SEARCH($U$1,Database!$AC327&amp;""))))+IF($V$1="",0,N(ISNUMBER(SEARCH($V$1,Database!$AC327&amp;""))))+IF($W$1="",0,N(ISNUMBER(SEARCH($W$1,Database!$AC327&amp;""))))+IF($X$1="",0,N(ISNUMBER(SEARCH($X$1,Database!$AC327&amp;""))))+IF($Y$1="",0,N(ISNUMBER(SEARCH($Y$1,Database!$AC327&amp;""))))+IF(Screener!$B$17="",0,N(ISNUMBER(SEARCH(LOWER(Screener!$B$17),Database!$AC327&amp;""))))</f>
        <v/>
      </c>
      <c r="I327" s="220">
        <f>IF(OR(N(Database!$BH327)&lt;=0,N(Screener!$D$13)&lt;=0),0,MAX(0,1-ABS(LOG10(N(Database!$BH327)/Screener!$D$13))/W_PEHW))</f>
        <v/>
      </c>
      <c r="J327" s="220">
        <f>IF(OR(N(Database!$S327)&lt;=0,N(Screener!$D$14)&lt;=0),0,MAX(0,1-ABS(LOG10(Database!$S327/Screener!$D$14))/0.6))</f>
        <v/>
      </c>
      <c r="K327" s="220">
        <f>IF(Database!$B327=Screener!$B$5,-999999,IF(ISNUMBER(SEARCH(","&amp;Database!$A327&amp;",",","&amp;SUBSTITUTE(Screener!$D$17," ","")&amp;",")),2000000,IF(IF(OR(Screener!$B$18="All",AND(Screener!$B$18="With A-share",(Database!$BM327="Y")),AND(Screener!$B$18="Without A-share",NOT((Database!$BM327="Y")))),1,0)=0,-999999,IF(Screener!$B$16="cornerstone overlap first",H327*100000,IF(Screener!$B$16="demand-similar first",J327*100000,0))+W_SUB*B327+W_SEC*C327*(1-B327)+W_SIZE*D327+W_PROF*E327+W_AH*F327+W_REC*G327+W_CS*H327+W_PE*I327)))+ROW()/1000000</f>
        <v/>
      </c>
      <c r="AA327" s="220">
        <f>Database!B316</f>
        <v/>
      </c>
      <c r="AB327" s="220">
        <f>Database!D316</f>
        <v/>
      </c>
      <c r="AC327" s="220">
        <f>Database!E316</f>
        <v/>
      </c>
      <c r="AD327" s="220">
        <f>Database!I316</f>
        <v/>
      </c>
      <c r="AE327" s="220">
        <f>Database!BG316</f>
        <v/>
      </c>
      <c r="AF327" s="220">
        <f>Database!BM316</f>
        <v/>
      </c>
      <c r="AG327" s="220">
        <f>Database!H316</f>
        <v/>
      </c>
      <c r="AH327" s="220">
        <f>Database!BH316</f>
        <v/>
      </c>
    </row>
    <row r="328">
      <c r="A328" s="220">
        <f>Database!B328</f>
        <v/>
      </c>
      <c r="B328" s="220">
        <f>IF(AND(Screener!$D$8&lt;&gt;"",Database!$E328=Screener!$D$8),1,0)</f>
        <v/>
      </c>
      <c r="C328" s="220">
        <f>IF(AND(Screener!$D$7&lt;&gt;"",Database!$D328=Screener!$D$7),1,0)</f>
        <v/>
      </c>
      <c r="D328" s="220">
        <f>IF(OR(N(Database!$I328)&lt;=0,N(Screener!$D$9)&lt;=0),0,MAX(0,1-ABS(LOG10(N(Database!$I328)/Screener!$D$9))/W_SIZEHW))</f>
        <v/>
      </c>
      <c r="E328" s="220">
        <f>IF(OR(Database!$BG328="",Screener!$D$10=""),0,IF(Database!$BG328=Screener!$D$10,1,0))</f>
        <v/>
      </c>
      <c r="F328" s="220">
        <f>IF(OR(Database!$BM328="",Screener!$D$11=""),0,IF(Database!$BM328=Screener!$D$11,1,0))</f>
        <v/>
      </c>
      <c r="G328" s="220">
        <f>IF(OR(Database!$H328="",N(Screener!$D$12)&lt;=0),0,MAX(0,1-(N(Screener!$D$12)-Database!$H328)/W_RECD))</f>
        <v/>
      </c>
      <c r="H328" s="220">
        <f>IF($U$1="",0,N(ISNUMBER(SEARCH($U$1,Database!$AC328&amp;""))))+IF($V$1="",0,N(ISNUMBER(SEARCH($V$1,Database!$AC328&amp;""))))+IF($W$1="",0,N(ISNUMBER(SEARCH($W$1,Database!$AC328&amp;""))))+IF($X$1="",0,N(ISNUMBER(SEARCH($X$1,Database!$AC328&amp;""))))+IF($Y$1="",0,N(ISNUMBER(SEARCH($Y$1,Database!$AC328&amp;""))))+IF(Screener!$B$17="",0,N(ISNUMBER(SEARCH(LOWER(Screener!$B$17),Database!$AC328&amp;""))))</f>
        <v/>
      </c>
      <c r="I328" s="220">
        <f>IF(OR(N(Database!$BH328)&lt;=0,N(Screener!$D$13)&lt;=0),0,MAX(0,1-ABS(LOG10(N(Database!$BH328)/Screener!$D$13))/W_PEHW))</f>
        <v/>
      </c>
      <c r="J328" s="220">
        <f>IF(OR(N(Database!$S328)&lt;=0,N(Screener!$D$14)&lt;=0),0,MAX(0,1-ABS(LOG10(Database!$S328/Screener!$D$14))/0.6))</f>
        <v/>
      </c>
      <c r="K328" s="220">
        <f>IF(Database!$B328=Screener!$B$5,-999999,IF(ISNUMBER(SEARCH(","&amp;Database!$A328&amp;",",","&amp;SUBSTITUTE(Screener!$D$17," ","")&amp;",")),2000000,IF(IF(OR(Screener!$B$18="All",AND(Screener!$B$18="With A-share",(Database!$BM328="Y")),AND(Screener!$B$18="Without A-share",NOT((Database!$BM328="Y")))),1,0)=0,-999999,IF(Screener!$B$16="cornerstone overlap first",H328*100000,IF(Screener!$B$16="demand-similar first",J328*100000,0))+W_SUB*B328+W_SEC*C328*(1-B328)+W_SIZE*D328+W_PROF*E328+W_AH*F328+W_REC*G328+W_CS*H328+W_PE*I328)))+ROW()/1000000</f>
        <v/>
      </c>
      <c r="AA328" s="220">
        <f>Database!B317</f>
        <v/>
      </c>
      <c r="AB328" s="220">
        <f>Database!D317</f>
        <v/>
      </c>
      <c r="AC328" s="220">
        <f>Database!E317</f>
        <v/>
      </c>
      <c r="AD328" s="220">
        <f>Database!I317</f>
        <v/>
      </c>
      <c r="AE328" s="220">
        <f>Database!BG317</f>
        <v/>
      </c>
      <c r="AF328" s="220">
        <f>Database!BM317</f>
        <v/>
      </c>
      <c r="AG328" s="220">
        <f>Database!H317</f>
        <v/>
      </c>
      <c r="AH328" s="220">
        <f>Database!BH317</f>
        <v/>
      </c>
    </row>
    <row r="329">
      <c r="A329" s="220">
        <f>Database!B329</f>
        <v/>
      </c>
      <c r="B329" s="220">
        <f>IF(AND(Screener!$D$8&lt;&gt;"",Database!$E329=Screener!$D$8),1,0)</f>
        <v/>
      </c>
      <c r="C329" s="220">
        <f>IF(AND(Screener!$D$7&lt;&gt;"",Database!$D329=Screener!$D$7),1,0)</f>
        <v/>
      </c>
      <c r="D329" s="220">
        <f>IF(OR(N(Database!$I329)&lt;=0,N(Screener!$D$9)&lt;=0),0,MAX(0,1-ABS(LOG10(N(Database!$I329)/Screener!$D$9))/W_SIZEHW))</f>
        <v/>
      </c>
      <c r="E329" s="220">
        <f>IF(OR(Database!$BG329="",Screener!$D$10=""),0,IF(Database!$BG329=Screener!$D$10,1,0))</f>
        <v/>
      </c>
      <c r="F329" s="220">
        <f>IF(OR(Database!$BM329="",Screener!$D$11=""),0,IF(Database!$BM329=Screener!$D$11,1,0))</f>
        <v/>
      </c>
      <c r="G329" s="220">
        <f>IF(OR(Database!$H329="",N(Screener!$D$12)&lt;=0),0,MAX(0,1-(N(Screener!$D$12)-Database!$H329)/W_RECD))</f>
        <v/>
      </c>
      <c r="H329" s="220">
        <f>IF($U$1="",0,N(ISNUMBER(SEARCH($U$1,Database!$AC329&amp;""))))+IF($V$1="",0,N(ISNUMBER(SEARCH($V$1,Database!$AC329&amp;""))))+IF($W$1="",0,N(ISNUMBER(SEARCH($W$1,Database!$AC329&amp;""))))+IF($X$1="",0,N(ISNUMBER(SEARCH($X$1,Database!$AC329&amp;""))))+IF($Y$1="",0,N(ISNUMBER(SEARCH($Y$1,Database!$AC329&amp;""))))+IF(Screener!$B$17="",0,N(ISNUMBER(SEARCH(LOWER(Screener!$B$17),Database!$AC329&amp;""))))</f>
        <v/>
      </c>
      <c r="I329" s="220">
        <f>IF(OR(N(Database!$BH329)&lt;=0,N(Screener!$D$13)&lt;=0),0,MAX(0,1-ABS(LOG10(N(Database!$BH329)/Screener!$D$13))/W_PEHW))</f>
        <v/>
      </c>
      <c r="J329" s="220">
        <f>IF(OR(N(Database!$S329)&lt;=0,N(Screener!$D$14)&lt;=0),0,MAX(0,1-ABS(LOG10(Database!$S329/Screener!$D$14))/0.6))</f>
        <v/>
      </c>
      <c r="K329" s="220">
        <f>IF(Database!$B329=Screener!$B$5,-999999,IF(ISNUMBER(SEARCH(","&amp;Database!$A329&amp;",",","&amp;SUBSTITUTE(Screener!$D$17," ","")&amp;",")),2000000,IF(IF(OR(Screener!$B$18="All",AND(Screener!$B$18="With A-share",(Database!$BM329="Y")),AND(Screener!$B$18="Without A-share",NOT((Database!$BM329="Y")))),1,0)=0,-999999,IF(Screener!$B$16="cornerstone overlap first",H329*100000,IF(Screener!$B$16="demand-similar first",J329*100000,0))+W_SUB*B329+W_SEC*C329*(1-B329)+W_SIZE*D329+W_PROF*E329+W_AH*F329+W_REC*G329+W_CS*H329+W_PE*I329)))+ROW()/1000000</f>
        <v/>
      </c>
      <c r="AA329" s="220">
        <f>Database!B318</f>
        <v/>
      </c>
      <c r="AB329" s="220">
        <f>Database!D318</f>
        <v/>
      </c>
      <c r="AC329" s="220">
        <f>Database!E318</f>
        <v/>
      </c>
      <c r="AD329" s="220">
        <f>Database!I318</f>
        <v/>
      </c>
      <c r="AE329" s="220">
        <f>Database!BG318</f>
        <v/>
      </c>
      <c r="AF329" s="220">
        <f>Database!BM318</f>
        <v/>
      </c>
      <c r="AG329" s="220">
        <f>Database!H318</f>
        <v/>
      </c>
      <c r="AH329" s="220">
        <f>Database!BH318</f>
        <v/>
      </c>
    </row>
    <row r="330">
      <c r="A330" s="220">
        <f>Database!B330</f>
        <v/>
      </c>
      <c r="B330" s="220">
        <f>IF(AND(Screener!$D$8&lt;&gt;"",Database!$E330=Screener!$D$8),1,0)</f>
        <v/>
      </c>
      <c r="C330" s="220">
        <f>IF(AND(Screener!$D$7&lt;&gt;"",Database!$D330=Screener!$D$7),1,0)</f>
        <v/>
      </c>
      <c r="D330" s="220">
        <f>IF(OR(N(Database!$I330)&lt;=0,N(Screener!$D$9)&lt;=0),0,MAX(0,1-ABS(LOG10(N(Database!$I330)/Screener!$D$9))/W_SIZEHW))</f>
        <v/>
      </c>
      <c r="E330" s="220">
        <f>IF(OR(Database!$BG330="",Screener!$D$10=""),0,IF(Database!$BG330=Screener!$D$10,1,0))</f>
        <v/>
      </c>
      <c r="F330" s="220">
        <f>IF(OR(Database!$BM330="",Screener!$D$11=""),0,IF(Database!$BM330=Screener!$D$11,1,0))</f>
        <v/>
      </c>
      <c r="G330" s="220">
        <f>IF(OR(Database!$H330="",N(Screener!$D$12)&lt;=0),0,MAX(0,1-(N(Screener!$D$12)-Database!$H330)/W_RECD))</f>
        <v/>
      </c>
      <c r="H330" s="220">
        <f>IF($U$1="",0,N(ISNUMBER(SEARCH($U$1,Database!$AC330&amp;""))))+IF($V$1="",0,N(ISNUMBER(SEARCH($V$1,Database!$AC330&amp;""))))+IF($W$1="",0,N(ISNUMBER(SEARCH($W$1,Database!$AC330&amp;""))))+IF($X$1="",0,N(ISNUMBER(SEARCH($X$1,Database!$AC330&amp;""))))+IF($Y$1="",0,N(ISNUMBER(SEARCH($Y$1,Database!$AC330&amp;""))))+IF(Screener!$B$17="",0,N(ISNUMBER(SEARCH(LOWER(Screener!$B$17),Database!$AC330&amp;""))))</f>
        <v/>
      </c>
      <c r="I330" s="220">
        <f>IF(OR(N(Database!$BH330)&lt;=0,N(Screener!$D$13)&lt;=0),0,MAX(0,1-ABS(LOG10(N(Database!$BH330)/Screener!$D$13))/W_PEHW))</f>
        <v/>
      </c>
      <c r="J330" s="220">
        <f>IF(OR(N(Database!$S330)&lt;=0,N(Screener!$D$14)&lt;=0),0,MAX(0,1-ABS(LOG10(Database!$S330/Screener!$D$14))/0.6))</f>
        <v/>
      </c>
      <c r="K330" s="220">
        <f>IF(Database!$B330=Screener!$B$5,-999999,IF(ISNUMBER(SEARCH(","&amp;Database!$A330&amp;",",","&amp;SUBSTITUTE(Screener!$D$17," ","")&amp;",")),2000000,IF(IF(OR(Screener!$B$18="All",AND(Screener!$B$18="With A-share",(Database!$BM330="Y")),AND(Screener!$B$18="Without A-share",NOT((Database!$BM330="Y")))),1,0)=0,-999999,IF(Screener!$B$16="cornerstone overlap first",H330*100000,IF(Screener!$B$16="demand-similar first",J330*100000,0))+W_SUB*B330+W_SEC*C330*(1-B330)+W_SIZE*D330+W_PROF*E330+W_AH*F330+W_REC*G330+W_CS*H330+W_PE*I330)))+ROW()/1000000</f>
        <v/>
      </c>
      <c r="AA330" s="220">
        <f>Database!B319</f>
        <v/>
      </c>
      <c r="AB330" s="220">
        <f>Database!D319</f>
        <v/>
      </c>
      <c r="AC330" s="220">
        <f>Database!E319</f>
        <v/>
      </c>
      <c r="AD330" s="220">
        <f>Database!I319</f>
        <v/>
      </c>
      <c r="AE330" s="220">
        <f>Database!BG319</f>
        <v/>
      </c>
      <c r="AF330" s="220">
        <f>Database!BM319</f>
        <v/>
      </c>
      <c r="AG330" s="220">
        <f>Database!H319</f>
        <v/>
      </c>
      <c r="AH330" s="220">
        <f>Database!BH319</f>
        <v/>
      </c>
    </row>
    <row r="331">
      <c r="A331" s="220">
        <f>Database!B331</f>
        <v/>
      </c>
      <c r="B331" s="220">
        <f>IF(AND(Screener!$D$8&lt;&gt;"",Database!$E331=Screener!$D$8),1,0)</f>
        <v/>
      </c>
      <c r="C331" s="220">
        <f>IF(AND(Screener!$D$7&lt;&gt;"",Database!$D331=Screener!$D$7),1,0)</f>
        <v/>
      </c>
      <c r="D331" s="220">
        <f>IF(OR(N(Database!$I331)&lt;=0,N(Screener!$D$9)&lt;=0),0,MAX(0,1-ABS(LOG10(N(Database!$I331)/Screener!$D$9))/W_SIZEHW))</f>
        <v/>
      </c>
      <c r="E331" s="220">
        <f>IF(OR(Database!$BG331="",Screener!$D$10=""),0,IF(Database!$BG331=Screener!$D$10,1,0))</f>
        <v/>
      </c>
      <c r="F331" s="220">
        <f>IF(OR(Database!$BM331="",Screener!$D$11=""),0,IF(Database!$BM331=Screener!$D$11,1,0))</f>
        <v/>
      </c>
      <c r="G331" s="220">
        <f>IF(OR(Database!$H331="",N(Screener!$D$12)&lt;=0),0,MAX(0,1-(N(Screener!$D$12)-Database!$H331)/W_RECD))</f>
        <v/>
      </c>
      <c r="H331" s="220">
        <f>IF($U$1="",0,N(ISNUMBER(SEARCH($U$1,Database!$AC331&amp;""))))+IF($V$1="",0,N(ISNUMBER(SEARCH($V$1,Database!$AC331&amp;""))))+IF($W$1="",0,N(ISNUMBER(SEARCH($W$1,Database!$AC331&amp;""))))+IF($X$1="",0,N(ISNUMBER(SEARCH($X$1,Database!$AC331&amp;""))))+IF($Y$1="",0,N(ISNUMBER(SEARCH($Y$1,Database!$AC331&amp;""))))+IF(Screener!$B$17="",0,N(ISNUMBER(SEARCH(LOWER(Screener!$B$17),Database!$AC331&amp;""))))</f>
        <v/>
      </c>
      <c r="I331" s="220">
        <f>IF(OR(N(Database!$BH331)&lt;=0,N(Screener!$D$13)&lt;=0),0,MAX(0,1-ABS(LOG10(N(Database!$BH331)/Screener!$D$13))/W_PEHW))</f>
        <v/>
      </c>
      <c r="J331" s="220">
        <f>IF(OR(N(Database!$S331)&lt;=0,N(Screener!$D$14)&lt;=0),0,MAX(0,1-ABS(LOG10(Database!$S331/Screener!$D$14))/0.6))</f>
        <v/>
      </c>
      <c r="K331" s="220">
        <f>IF(Database!$B331=Screener!$B$5,-999999,IF(ISNUMBER(SEARCH(","&amp;Database!$A331&amp;",",","&amp;SUBSTITUTE(Screener!$D$17," ","")&amp;",")),2000000,IF(IF(OR(Screener!$B$18="All",AND(Screener!$B$18="With A-share",(Database!$BM331="Y")),AND(Screener!$B$18="Without A-share",NOT((Database!$BM331="Y")))),1,0)=0,-999999,IF(Screener!$B$16="cornerstone overlap first",H331*100000,IF(Screener!$B$16="demand-similar first",J331*100000,0))+W_SUB*B331+W_SEC*C331*(1-B331)+W_SIZE*D331+W_PROF*E331+W_AH*F331+W_REC*G331+W_CS*H331+W_PE*I331)))+ROW()/1000000</f>
        <v/>
      </c>
      <c r="AA331" s="220">
        <f>Database!B320</f>
        <v/>
      </c>
      <c r="AB331" s="220">
        <f>Database!D320</f>
        <v/>
      </c>
      <c r="AC331" s="220">
        <f>Database!E320</f>
        <v/>
      </c>
      <c r="AD331" s="220">
        <f>Database!I320</f>
        <v/>
      </c>
      <c r="AE331" s="220">
        <f>Database!BG320</f>
        <v/>
      </c>
      <c r="AF331" s="220">
        <f>Database!BM320</f>
        <v/>
      </c>
      <c r="AG331" s="220">
        <f>Database!H320</f>
        <v/>
      </c>
      <c r="AH331" s="220">
        <f>Database!BH320</f>
        <v/>
      </c>
    </row>
    <row r="332">
      <c r="A332" s="220">
        <f>Database!B332</f>
        <v/>
      </c>
      <c r="B332" s="220">
        <f>IF(AND(Screener!$D$8&lt;&gt;"",Database!$E332=Screener!$D$8),1,0)</f>
        <v/>
      </c>
      <c r="C332" s="220">
        <f>IF(AND(Screener!$D$7&lt;&gt;"",Database!$D332=Screener!$D$7),1,0)</f>
        <v/>
      </c>
      <c r="D332" s="220">
        <f>IF(OR(N(Database!$I332)&lt;=0,N(Screener!$D$9)&lt;=0),0,MAX(0,1-ABS(LOG10(N(Database!$I332)/Screener!$D$9))/W_SIZEHW))</f>
        <v/>
      </c>
      <c r="E332" s="220">
        <f>IF(OR(Database!$BG332="",Screener!$D$10=""),0,IF(Database!$BG332=Screener!$D$10,1,0))</f>
        <v/>
      </c>
      <c r="F332" s="220">
        <f>IF(OR(Database!$BM332="",Screener!$D$11=""),0,IF(Database!$BM332=Screener!$D$11,1,0))</f>
        <v/>
      </c>
      <c r="G332" s="220">
        <f>IF(OR(Database!$H332="",N(Screener!$D$12)&lt;=0),0,MAX(0,1-(N(Screener!$D$12)-Database!$H332)/W_RECD))</f>
        <v/>
      </c>
      <c r="H332" s="220">
        <f>IF($U$1="",0,N(ISNUMBER(SEARCH($U$1,Database!$AC332&amp;""))))+IF($V$1="",0,N(ISNUMBER(SEARCH($V$1,Database!$AC332&amp;""))))+IF($W$1="",0,N(ISNUMBER(SEARCH($W$1,Database!$AC332&amp;""))))+IF($X$1="",0,N(ISNUMBER(SEARCH($X$1,Database!$AC332&amp;""))))+IF($Y$1="",0,N(ISNUMBER(SEARCH($Y$1,Database!$AC332&amp;""))))+IF(Screener!$B$17="",0,N(ISNUMBER(SEARCH(LOWER(Screener!$B$17),Database!$AC332&amp;""))))</f>
        <v/>
      </c>
      <c r="I332" s="220">
        <f>IF(OR(N(Database!$BH332)&lt;=0,N(Screener!$D$13)&lt;=0),0,MAX(0,1-ABS(LOG10(N(Database!$BH332)/Screener!$D$13))/W_PEHW))</f>
        <v/>
      </c>
      <c r="J332" s="220">
        <f>IF(OR(N(Database!$S332)&lt;=0,N(Screener!$D$14)&lt;=0),0,MAX(0,1-ABS(LOG10(Database!$S332/Screener!$D$14))/0.6))</f>
        <v/>
      </c>
      <c r="K332" s="220">
        <f>IF(Database!$B332=Screener!$B$5,-999999,IF(ISNUMBER(SEARCH(","&amp;Database!$A332&amp;",",","&amp;SUBSTITUTE(Screener!$D$17," ","")&amp;",")),2000000,IF(IF(OR(Screener!$B$18="All",AND(Screener!$B$18="With A-share",(Database!$BM332="Y")),AND(Screener!$B$18="Without A-share",NOT((Database!$BM332="Y")))),1,0)=0,-999999,IF(Screener!$B$16="cornerstone overlap first",H332*100000,IF(Screener!$B$16="demand-similar first",J332*100000,0))+W_SUB*B332+W_SEC*C332*(1-B332)+W_SIZE*D332+W_PROF*E332+W_AH*F332+W_REC*G332+W_CS*H332+W_PE*I332)))+ROW()/1000000</f>
        <v/>
      </c>
      <c r="AA332" s="220">
        <f>Database!B321</f>
        <v/>
      </c>
      <c r="AB332" s="220">
        <f>Database!D321</f>
        <v/>
      </c>
      <c r="AC332" s="220">
        <f>Database!E321</f>
        <v/>
      </c>
      <c r="AD332" s="220">
        <f>Database!I321</f>
        <v/>
      </c>
      <c r="AE332" s="220">
        <f>Database!BG321</f>
        <v/>
      </c>
      <c r="AF332" s="220">
        <f>Database!BM321</f>
        <v/>
      </c>
      <c r="AG332" s="220">
        <f>Database!H321</f>
        <v/>
      </c>
      <c r="AH332" s="220">
        <f>Database!BH321</f>
        <v/>
      </c>
    </row>
    <row r="333">
      <c r="A333" s="220">
        <f>Database!B333</f>
        <v/>
      </c>
      <c r="B333" s="220">
        <f>IF(AND(Screener!$D$8&lt;&gt;"",Database!$E333=Screener!$D$8),1,0)</f>
        <v/>
      </c>
      <c r="C333" s="220">
        <f>IF(AND(Screener!$D$7&lt;&gt;"",Database!$D333=Screener!$D$7),1,0)</f>
        <v/>
      </c>
      <c r="D333" s="220">
        <f>IF(OR(N(Database!$I333)&lt;=0,N(Screener!$D$9)&lt;=0),0,MAX(0,1-ABS(LOG10(N(Database!$I333)/Screener!$D$9))/W_SIZEHW))</f>
        <v/>
      </c>
      <c r="E333" s="220">
        <f>IF(OR(Database!$BG333="",Screener!$D$10=""),0,IF(Database!$BG333=Screener!$D$10,1,0))</f>
        <v/>
      </c>
      <c r="F333" s="220">
        <f>IF(OR(Database!$BM333="",Screener!$D$11=""),0,IF(Database!$BM333=Screener!$D$11,1,0))</f>
        <v/>
      </c>
      <c r="G333" s="220">
        <f>IF(OR(Database!$H333="",N(Screener!$D$12)&lt;=0),0,MAX(0,1-(N(Screener!$D$12)-Database!$H333)/W_RECD))</f>
        <v/>
      </c>
      <c r="H333" s="220">
        <f>IF($U$1="",0,N(ISNUMBER(SEARCH($U$1,Database!$AC333&amp;""))))+IF($V$1="",0,N(ISNUMBER(SEARCH($V$1,Database!$AC333&amp;""))))+IF($W$1="",0,N(ISNUMBER(SEARCH($W$1,Database!$AC333&amp;""))))+IF($X$1="",0,N(ISNUMBER(SEARCH($X$1,Database!$AC333&amp;""))))+IF($Y$1="",0,N(ISNUMBER(SEARCH($Y$1,Database!$AC333&amp;""))))+IF(Screener!$B$17="",0,N(ISNUMBER(SEARCH(LOWER(Screener!$B$17),Database!$AC333&amp;""))))</f>
        <v/>
      </c>
      <c r="I333" s="220">
        <f>IF(OR(N(Database!$BH333)&lt;=0,N(Screener!$D$13)&lt;=0),0,MAX(0,1-ABS(LOG10(N(Database!$BH333)/Screener!$D$13))/W_PEHW))</f>
        <v/>
      </c>
      <c r="J333" s="220">
        <f>IF(OR(N(Database!$S333)&lt;=0,N(Screener!$D$14)&lt;=0),0,MAX(0,1-ABS(LOG10(Database!$S333/Screener!$D$14))/0.6))</f>
        <v/>
      </c>
      <c r="K333" s="220">
        <f>IF(Database!$B333=Screener!$B$5,-999999,IF(ISNUMBER(SEARCH(","&amp;Database!$A333&amp;",",","&amp;SUBSTITUTE(Screener!$D$17," ","")&amp;",")),2000000,IF(IF(OR(Screener!$B$18="All",AND(Screener!$B$18="With A-share",(Database!$BM333="Y")),AND(Screener!$B$18="Without A-share",NOT((Database!$BM333="Y")))),1,0)=0,-999999,IF(Screener!$B$16="cornerstone overlap first",H333*100000,IF(Screener!$B$16="demand-similar first",J333*100000,0))+W_SUB*B333+W_SEC*C333*(1-B333)+W_SIZE*D333+W_PROF*E333+W_AH*F333+W_REC*G333+W_CS*H333+W_PE*I333)))+ROW()/1000000</f>
        <v/>
      </c>
      <c r="AA333" s="220">
        <f>Database!B322</f>
        <v/>
      </c>
      <c r="AB333" s="220">
        <f>Database!D322</f>
        <v/>
      </c>
      <c r="AC333" s="220">
        <f>Database!E322</f>
        <v/>
      </c>
      <c r="AD333" s="220">
        <f>Database!I322</f>
        <v/>
      </c>
      <c r="AE333" s="220">
        <f>Database!BG322</f>
        <v/>
      </c>
      <c r="AF333" s="220">
        <f>Database!BM322</f>
        <v/>
      </c>
      <c r="AG333" s="220">
        <f>Database!H322</f>
        <v/>
      </c>
      <c r="AH333" s="220">
        <f>Database!BH322</f>
        <v/>
      </c>
    </row>
    <row r="334">
      <c r="A334" s="220">
        <f>Database!B334</f>
        <v/>
      </c>
      <c r="B334" s="220">
        <f>IF(AND(Screener!$D$8&lt;&gt;"",Database!$E334=Screener!$D$8),1,0)</f>
        <v/>
      </c>
      <c r="C334" s="220">
        <f>IF(AND(Screener!$D$7&lt;&gt;"",Database!$D334=Screener!$D$7),1,0)</f>
        <v/>
      </c>
      <c r="D334" s="220">
        <f>IF(OR(N(Database!$I334)&lt;=0,N(Screener!$D$9)&lt;=0),0,MAX(0,1-ABS(LOG10(N(Database!$I334)/Screener!$D$9))/W_SIZEHW))</f>
        <v/>
      </c>
      <c r="E334" s="220">
        <f>IF(OR(Database!$BG334="",Screener!$D$10=""),0,IF(Database!$BG334=Screener!$D$10,1,0))</f>
        <v/>
      </c>
      <c r="F334" s="220">
        <f>IF(OR(Database!$BM334="",Screener!$D$11=""),0,IF(Database!$BM334=Screener!$D$11,1,0))</f>
        <v/>
      </c>
      <c r="G334" s="220">
        <f>IF(OR(Database!$H334="",N(Screener!$D$12)&lt;=0),0,MAX(0,1-(N(Screener!$D$12)-Database!$H334)/W_RECD))</f>
        <v/>
      </c>
      <c r="H334" s="220">
        <f>IF($U$1="",0,N(ISNUMBER(SEARCH($U$1,Database!$AC334&amp;""))))+IF($V$1="",0,N(ISNUMBER(SEARCH($V$1,Database!$AC334&amp;""))))+IF($W$1="",0,N(ISNUMBER(SEARCH($W$1,Database!$AC334&amp;""))))+IF($X$1="",0,N(ISNUMBER(SEARCH($X$1,Database!$AC334&amp;""))))+IF($Y$1="",0,N(ISNUMBER(SEARCH($Y$1,Database!$AC334&amp;""))))+IF(Screener!$B$17="",0,N(ISNUMBER(SEARCH(LOWER(Screener!$B$17),Database!$AC334&amp;""))))</f>
        <v/>
      </c>
      <c r="I334" s="220">
        <f>IF(OR(N(Database!$BH334)&lt;=0,N(Screener!$D$13)&lt;=0),0,MAX(0,1-ABS(LOG10(N(Database!$BH334)/Screener!$D$13))/W_PEHW))</f>
        <v/>
      </c>
      <c r="J334" s="220">
        <f>IF(OR(N(Database!$S334)&lt;=0,N(Screener!$D$14)&lt;=0),0,MAX(0,1-ABS(LOG10(Database!$S334/Screener!$D$14))/0.6))</f>
        <v/>
      </c>
      <c r="K334" s="220">
        <f>IF(Database!$B334=Screener!$B$5,-999999,IF(ISNUMBER(SEARCH(","&amp;Database!$A334&amp;",",","&amp;SUBSTITUTE(Screener!$D$17," ","")&amp;",")),2000000,IF(IF(OR(Screener!$B$18="All",AND(Screener!$B$18="With A-share",(Database!$BM334="Y")),AND(Screener!$B$18="Without A-share",NOT((Database!$BM334="Y")))),1,0)=0,-999999,IF(Screener!$B$16="cornerstone overlap first",H334*100000,IF(Screener!$B$16="demand-similar first",J334*100000,0))+W_SUB*B334+W_SEC*C334*(1-B334)+W_SIZE*D334+W_PROF*E334+W_AH*F334+W_REC*G334+W_CS*H334+W_PE*I334)))+ROW()/1000000</f>
        <v/>
      </c>
      <c r="AA334" s="220">
        <f>Database!B323</f>
        <v/>
      </c>
      <c r="AB334" s="220">
        <f>Database!D323</f>
        <v/>
      </c>
      <c r="AC334" s="220">
        <f>Database!E323</f>
        <v/>
      </c>
      <c r="AD334" s="220">
        <f>Database!I323</f>
        <v/>
      </c>
      <c r="AE334" s="220">
        <f>Database!BG323</f>
        <v/>
      </c>
      <c r="AF334" s="220">
        <f>Database!BM323</f>
        <v/>
      </c>
      <c r="AG334" s="220">
        <f>Database!H323</f>
        <v/>
      </c>
      <c r="AH334" s="220">
        <f>Database!BH323</f>
        <v/>
      </c>
    </row>
    <row r="335">
      <c r="A335" s="220">
        <f>Database!B335</f>
        <v/>
      </c>
      <c r="B335" s="220">
        <f>IF(AND(Screener!$D$8&lt;&gt;"",Database!$E335=Screener!$D$8),1,0)</f>
        <v/>
      </c>
      <c r="C335" s="220">
        <f>IF(AND(Screener!$D$7&lt;&gt;"",Database!$D335=Screener!$D$7),1,0)</f>
        <v/>
      </c>
      <c r="D335" s="220">
        <f>IF(OR(N(Database!$I335)&lt;=0,N(Screener!$D$9)&lt;=0),0,MAX(0,1-ABS(LOG10(N(Database!$I335)/Screener!$D$9))/W_SIZEHW))</f>
        <v/>
      </c>
      <c r="E335" s="220">
        <f>IF(OR(Database!$BG335="",Screener!$D$10=""),0,IF(Database!$BG335=Screener!$D$10,1,0))</f>
        <v/>
      </c>
      <c r="F335" s="220">
        <f>IF(OR(Database!$BM335="",Screener!$D$11=""),0,IF(Database!$BM335=Screener!$D$11,1,0))</f>
        <v/>
      </c>
      <c r="G335" s="220">
        <f>IF(OR(Database!$H335="",N(Screener!$D$12)&lt;=0),0,MAX(0,1-(N(Screener!$D$12)-Database!$H335)/W_RECD))</f>
        <v/>
      </c>
      <c r="H335" s="220">
        <f>IF($U$1="",0,N(ISNUMBER(SEARCH($U$1,Database!$AC335&amp;""))))+IF($V$1="",0,N(ISNUMBER(SEARCH($V$1,Database!$AC335&amp;""))))+IF($W$1="",0,N(ISNUMBER(SEARCH($W$1,Database!$AC335&amp;""))))+IF($X$1="",0,N(ISNUMBER(SEARCH($X$1,Database!$AC335&amp;""))))+IF($Y$1="",0,N(ISNUMBER(SEARCH($Y$1,Database!$AC335&amp;""))))+IF(Screener!$B$17="",0,N(ISNUMBER(SEARCH(LOWER(Screener!$B$17),Database!$AC335&amp;""))))</f>
        <v/>
      </c>
      <c r="I335" s="220">
        <f>IF(OR(N(Database!$BH335)&lt;=0,N(Screener!$D$13)&lt;=0),0,MAX(0,1-ABS(LOG10(N(Database!$BH335)/Screener!$D$13))/W_PEHW))</f>
        <v/>
      </c>
      <c r="J335" s="220">
        <f>IF(OR(N(Database!$S335)&lt;=0,N(Screener!$D$14)&lt;=0),0,MAX(0,1-ABS(LOG10(Database!$S335/Screener!$D$14))/0.6))</f>
        <v/>
      </c>
      <c r="K335" s="220">
        <f>IF(Database!$B335=Screener!$B$5,-999999,IF(ISNUMBER(SEARCH(","&amp;Database!$A335&amp;",",","&amp;SUBSTITUTE(Screener!$D$17," ","")&amp;",")),2000000,IF(IF(OR(Screener!$B$18="All",AND(Screener!$B$18="With A-share",(Database!$BM335="Y")),AND(Screener!$B$18="Without A-share",NOT((Database!$BM335="Y")))),1,0)=0,-999999,IF(Screener!$B$16="cornerstone overlap first",H335*100000,IF(Screener!$B$16="demand-similar first",J335*100000,0))+W_SUB*B335+W_SEC*C335*(1-B335)+W_SIZE*D335+W_PROF*E335+W_AH*F335+W_REC*G335+W_CS*H335+W_PE*I335)))+ROW()/1000000</f>
        <v/>
      </c>
      <c r="AA335" s="220">
        <f>Database!B324</f>
        <v/>
      </c>
      <c r="AB335" s="220">
        <f>Database!D324</f>
        <v/>
      </c>
      <c r="AC335" s="220">
        <f>Database!E324</f>
        <v/>
      </c>
      <c r="AD335" s="220">
        <f>Database!I324</f>
        <v/>
      </c>
      <c r="AE335" s="220">
        <f>Database!BG324</f>
        <v/>
      </c>
      <c r="AF335" s="220">
        <f>Database!BM324</f>
        <v/>
      </c>
      <c r="AG335" s="220">
        <f>Database!H324</f>
        <v/>
      </c>
      <c r="AH335" s="220">
        <f>Database!BH324</f>
        <v/>
      </c>
    </row>
    <row r="336">
      <c r="A336" s="220">
        <f>Database!B336</f>
        <v/>
      </c>
      <c r="B336" s="220">
        <f>IF(AND(Screener!$D$8&lt;&gt;"",Database!$E336=Screener!$D$8),1,0)</f>
        <v/>
      </c>
      <c r="C336" s="220">
        <f>IF(AND(Screener!$D$7&lt;&gt;"",Database!$D336=Screener!$D$7),1,0)</f>
        <v/>
      </c>
      <c r="D336" s="220">
        <f>IF(OR(N(Database!$I336)&lt;=0,N(Screener!$D$9)&lt;=0),0,MAX(0,1-ABS(LOG10(N(Database!$I336)/Screener!$D$9))/W_SIZEHW))</f>
        <v/>
      </c>
      <c r="E336" s="220">
        <f>IF(OR(Database!$BG336="",Screener!$D$10=""),0,IF(Database!$BG336=Screener!$D$10,1,0))</f>
        <v/>
      </c>
      <c r="F336" s="220">
        <f>IF(OR(Database!$BM336="",Screener!$D$11=""),0,IF(Database!$BM336=Screener!$D$11,1,0))</f>
        <v/>
      </c>
      <c r="G336" s="220">
        <f>IF(OR(Database!$H336="",N(Screener!$D$12)&lt;=0),0,MAX(0,1-(N(Screener!$D$12)-Database!$H336)/W_RECD))</f>
        <v/>
      </c>
      <c r="H336" s="220">
        <f>IF($U$1="",0,N(ISNUMBER(SEARCH($U$1,Database!$AC336&amp;""))))+IF($V$1="",0,N(ISNUMBER(SEARCH($V$1,Database!$AC336&amp;""))))+IF($W$1="",0,N(ISNUMBER(SEARCH($W$1,Database!$AC336&amp;""))))+IF($X$1="",0,N(ISNUMBER(SEARCH($X$1,Database!$AC336&amp;""))))+IF($Y$1="",0,N(ISNUMBER(SEARCH($Y$1,Database!$AC336&amp;""))))+IF(Screener!$B$17="",0,N(ISNUMBER(SEARCH(LOWER(Screener!$B$17),Database!$AC336&amp;""))))</f>
        <v/>
      </c>
      <c r="I336" s="220">
        <f>IF(OR(N(Database!$BH336)&lt;=0,N(Screener!$D$13)&lt;=0),0,MAX(0,1-ABS(LOG10(N(Database!$BH336)/Screener!$D$13))/W_PEHW))</f>
        <v/>
      </c>
      <c r="J336" s="220">
        <f>IF(OR(N(Database!$S336)&lt;=0,N(Screener!$D$14)&lt;=0),0,MAX(0,1-ABS(LOG10(Database!$S336/Screener!$D$14))/0.6))</f>
        <v/>
      </c>
      <c r="K336" s="220">
        <f>IF(Database!$B336=Screener!$B$5,-999999,IF(ISNUMBER(SEARCH(","&amp;Database!$A336&amp;",",","&amp;SUBSTITUTE(Screener!$D$17," ","")&amp;",")),2000000,IF(IF(OR(Screener!$B$18="All",AND(Screener!$B$18="With A-share",(Database!$BM336="Y")),AND(Screener!$B$18="Without A-share",NOT((Database!$BM336="Y")))),1,0)=0,-999999,IF(Screener!$B$16="cornerstone overlap first",H336*100000,IF(Screener!$B$16="demand-similar first",J336*100000,0))+W_SUB*B336+W_SEC*C336*(1-B336)+W_SIZE*D336+W_PROF*E336+W_AH*F336+W_REC*G336+W_CS*H336+W_PE*I336)))+ROW()/1000000</f>
        <v/>
      </c>
      <c r="AA336" s="220">
        <f>Database!B325</f>
        <v/>
      </c>
      <c r="AB336" s="220">
        <f>Database!D325</f>
        <v/>
      </c>
      <c r="AC336" s="220">
        <f>Database!E325</f>
        <v/>
      </c>
      <c r="AD336" s="220">
        <f>Database!I325</f>
        <v/>
      </c>
      <c r="AE336" s="220">
        <f>Database!BG325</f>
        <v/>
      </c>
      <c r="AF336" s="220">
        <f>Database!BM325</f>
        <v/>
      </c>
      <c r="AG336" s="220">
        <f>Database!H325</f>
        <v/>
      </c>
      <c r="AH336" s="220">
        <f>Database!BH325</f>
        <v/>
      </c>
    </row>
    <row r="337">
      <c r="A337" s="220">
        <f>Database!B337</f>
        <v/>
      </c>
      <c r="B337" s="220">
        <f>IF(AND(Screener!$D$8&lt;&gt;"",Database!$E337=Screener!$D$8),1,0)</f>
        <v/>
      </c>
      <c r="C337" s="220">
        <f>IF(AND(Screener!$D$7&lt;&gt;"",Database!$D337=Screener!$D$7),1,0)</f>
        <v/>
      </c>
      <c r="D337" s="220">
        <f>IF(OR(N(Database!$I337)&lt;=0,N(Screener!$D$9)&lt;=0),0,MAX(0,1-ABS(LOG10(N(Database!$I337)/Screener!$D$9))/W_SIZEHW))</f>
        <v/>
      </c>
      <c r="E337" s="220">
        <f>IF(OR(Database!$BG337="",Screener!$D$10=""),0,IF(Database!$BG337=Screener!$D$10,1,0))</f>
        <v/>
      </c>
      <c r="F337" s="220">
        <f>IF(OR(Database!$BM337="",Screener!$D$11=""),0,IF(Database!$BM337=Screener!$D$11,1,0))</f>
        <v/>
      </c>
      <c r="G337" s="220">
        <f>IF(OR(Database!$H337="",N(Screener!$D$12)&lt;=0),0,MAX(0,1-(N(Screener!$D$12)-Database!$H337)/W_RECD))</f>
        <v/>
      </c>
      <c r="H337" s="220">
        <f>IF($U$1="",0,N(ISNUMBER(SEARCH($U$1,Database!$AC337&amp;""))))+IF($V$1="",0,N(ISNUMBER(SEARCH($V$1,Database!$AC337&amp;""))))+IF($W$1="",0,N(ISNUMBER(SEARCH($W$1,Database!$AC337&amp;""))))+IF($X$1="",0,N(ISNUMBER(SEARCH($X$1,Database!$AC337&amp;""))))+IF($Y$1="",0,N(ISNUMBER(SEARCH($Y$1,Database!$AC337&amp;""))))+IF(Screener!$B$17="",0,N(ISNUMBER(SEARCH(LOWER(Screener!$B$17),Database!$AC337&amp;""))))</f>
        <v/>
      </c>
      <c r="I337" s="220">
        <f>IF(OR(N(Database!$BH337)&lt;=0,N(Screener!$D$13)&lt;=0),0,MAX(0,1-ABS(LOG10(N(Database!$BH337)/Screener!$D$13))/W_PEHW))</f>
        <v/>
      </c>
      <c r="J337" s="220">
        <f>IF(OR(N(Database!$S337)&lt;=0,N(Screener!$D$14)&lt;=0),0,MAX(0,1-ABS(LOG10(Database!$S337/Screener!$D$14))/0.6))</f>
        <v/>
      </c>
      <c r="K337" s="220">
        <f>IF(Database!$B337=Screener!$B$5,-999999,IF(ISNUMBER(SEARCH(","&amp;Database!$A337&amp;",",","&amp;SUBSTITUTE(Screener!$D$17," ","")&amp;",")),2000000,IF(IF(OR(Screener!$B$18="All",AND(Screener!$B$18="With A-share",(Database!$BM337="Y")),AND(Screener!$B$18="Without A-share",NOT((Database!$BM337="Y")))),1,0)=0,-999999,IF(Screener!$B$16="cornerstone overlap first",H337*100000,IF(Screener!$B$16="demand-similar first",J337*100000,0))+W_SUB*B337+W_SEC*C337*(1-B337)+W_SIZE*D337+W_PROF*E337+W_AH*F337+W_REC*G337+W_CS*H337+W_PE*I337)))+ROW()/1000000</f>
        <v/>
      </c>
      <c r="AA337" s="220">
        <f>Database!B326</f>
        <v/>
      </c>
      <c r="AB337" s="220">
        <f>Database!D326</f>
        <v/>
      </c>
      <c r="AC337" s="220">
        <f>Database!E326</f>
        <v/>
      </c>
      <c r="AD337" s="220">
        <f>Database!I326</f>
        <v/>
      </c>
      <c r="AE337" s="220">
        <f>Database!BG326</f>
        <v/>
      </c>
      <c r="AF337" s="220">
        <f>Database!BM326</f>
        <v/>
      </c>
      <c r="AG337" s="220">
        <f>Database!H326</f>
        <v/>
      </c>
      <c r="AH337" s="220">
        <f>Database!BH326</f>
        <v/>
      </c>
    </row>
    <row r="338">
      <c r="A338" s="220">
        <f>Database!B338</f>
        <v/>
      </c>
      <c r="B338" s="220">
        <f>IF(AND(Screener!$D$8&lt;&gt;"",Database!$E338=Screener!$D$8),1,0)</f>
        <v/>
      </c>
      <c r="C338" s="220">
        <f>IF(AND(Screener!$D$7&lt;&gt;"",Database!$D338=Screener!$D$7),1,0)</f>
        <v/>
      </c>
      <c r="D338" s="220">
        <f>IF(OR(N(Database!$I338)&lt;=0,N(Screener!$D$9)&lt;=0),0,MAX(0,1-ABS(LOG10(N(Database!$I338)/Screener!$D$9))/W_SIZEHW))</f>
        <v/>
      </c>
      <c r="E338" s="220">
        <f>IF(OR(Database!$BG338="",Screener!$D$10=""),0,IF(Database!$BG338=Screener!$D$10,1,0))</f>
        <v/>
      </c>
      <c r="F338" s="220">
        <f>IF(OR(Database!$BM338="",Screener!$D$11=""),0,IF(Database!$BM338=Screener!$D$11,1,0))</f>
        <v/>
      </c>
      <c r="G338" s="220">
        <f>IF(OR(Database!$H338="",N(Screener!$D$12)&lt;=0),0,MAX(0,1-(N(Screener!$D$12)-Database!$H338)/W_RECD))</f>
        <v/>
      </c>
      <c r="H338" s="220">
        <f>IF($U$1="",0,N(ISNUMBER(SEARCH($U$1,Database!$AC338&amp;""))))+IF($V$1="",0,N(ISNUMBER(SEARCH($V$1,Database!$AC338&amp;""))))+IF($W$1="",0,N(ISNUMBER(SEARCH($W$1,Database!$AC338&amp;""))))+IF($X$1="",0,N(ISNUMBER(SEARCH($X$1,Database!$AC338&amp;""))))+IF($Y$1="",0,N(ISNUMBER(SEARCH($Y$1,Database!$AC338&amp;""))))+IF(Screener!$B$17="",0,N(ISNUMBER(SEARCH(LOWER(Screener!$B$17),Database!$AC338&amp;""))))</f>
        <v/>
      </c>
      <c r="I338" s="220">
        <f>IF(OR(N(Database!$BH338)&lt;=0,N(Screener!$D$13)&lt;=0),0,MAX(0,1-ABS(LOG10(N(Database!$BH338)/Screener!$D$13))/W_PEHW))</f>
        <v/>
      </c>
      <c r="J338" s="220">
        <f>IF(OR(N(Database!$S338)&lt;=0,N(Screener!$D$14)&lt;=0),0,MAX(0,1-ABS(LOG10(Database!$S338/Screener!$D$14))/0.6))</f>
        <v/>
      </c>
      <c r="K338" s="220">
        <f>IF(Database!$B338=Screener!$B$5,-999999,IF(ISNUMBER(SEARCH(","&amp;Database!$A338&amp;",",","&amp;SUBSTITUTE(Screener!$D$17," ","")&amp;",")),2000000,IF(IF(OR(Screener!$B$18="All",AND(Screener!$B$18="With A-share",(Database!$BM338="Y")),AND(Screener!$B$18="Without A-share",NOT((Database!$BM338="Y")))),1,0)=0,-999999,IF(Screener!$B$16="cornerstone overlap first",H338*100000,IF(Screener!$B$16="demand-similar first",J338*100000,0))+W_SUB*B338+W_SEC*C338*(1-B338)+W_SIZE*D338+W_PROF*E338+W_AH*F338+W_REC*G338+W_CS*H338+W_PE*I338)))+ROW()/1000000</f>
        <v/>
      </c>
      <c r="AA338" s="220">
        <f>Database!B327</f>
        <v/>
      </c>
      <c r="AB338" s="220">
        <f>Database!D327</f>
        <v/>
      </c>
      <c r="AC338" s="220">
        <f>Database!E327</f>
        <v/>
      </c>
      <c r="AD338" s="220">
        <f>Database!I327</f>
        <v/>
      </c>
      <c r="AE338" s="220">
        <f>Database!BG327</f>
        <v/>
      </c>
      <c r="AF338" s="220">
        <f>Database!BM327</f>
        <v/>
      </c>
      <c r="AG338" s="220">
        <f>Database!H327</f>
        <v/>
      </c>
      <c r="AH338" s="220">
        <f>Database!BH327</f>
        <v/>
      </c>
    </row>
    <row r="339">
      <c r="A339" s="220">
        <f>Database!B339</f>
        <v/>
      </c>
      <c r="B339" s="220">
        <f>IF(AND(Screener!$D$8&lt;&gt;"",Database!$E339=Screener!$D$8),1,0)</f>
        <v/>
      </c>
      <c r="C339" s="220">
        <f>IF(AND(Screener!$D$7&lt;&gt;"",Database!$D339=Screener!$D$7),1,0)</f>
        <v/>
      </c>
      <c r="D339" s="220">
        <f>IF(OR(N(Database!$I339)&lt;=0,N(Screener!$D$9)&lt;=0),0,MAX(0,1-ABS(LOG10(N(Database!$I339)/Screener!$D$9))/W_SIZEHW))</f>
        <v/>
      </c>
      <c r="E339" s="220">
        <f>IF(OR(Database!$BG339="",Screener!$D$10=""),0,IF(Database!$BG339=Screener!$D$10,1,0))</f>
        <v/>
      </c>
      <c r="F339" s="220">
        <f>IF(OR(Database!$BM339="",Screener!$D$11=""),0,IF(Database!$BM339=Screener!$D$11,1,0))</f>
        <v/>
      </c>
      <c r="G339" s="220">
        <f>IF(OR(Database!$H339="",N(Screener!$D$12)&lt;=0),0,MAX(0,1-(N(Screener!$D$12)-Database!$H339)/W_RECD))</f>
        <v/>
      </c>
      <c r="H339" s="220">
        <f>IF($U$1="",0,N(ISNUMBER(SEARCH($U$1,Database!$AC339&amp;""))))+IF($V$1="",0,N(ISNUMBER(SEARCH($V$1,Database!$AC339&amp;""))))+IF($W$1="",0,N(ISNUMBER(SEARCH($W$1,Database!$AC339&amp;""))))+IF($X$1="",0,N(ISNUMBER(SEARCH($X$1,Database!$AC339&amp;""))))+IF($Y$1="",0,N(ISNUMBER(SEARCH($Y$1,Database!$AC339&amp;""))))+IF(Screener!$B$17="",0,N(ISNUMBER(SEARCH(LOWER(Screener!$B$17),Database!$AC339&amp;""))))</f>
        <v/>
      </c>
      <c r="I339" s="220">
        <f>IF(OR(N(Database!$BH339)&lt;=0,N(Screener!$D$13)&lt;=0),0,MAX(0,1-ABS(LOG10(N(Database!$BH339)/Screener!$D$13))/W_PEHW))</f>
        <v/>
      </c>
      <c r="J339" s="220">
        <f>IF(OR(N(Database!$S339)&lt;=0,N(Screener!$D$14)&lt;=0),0,MAX(0,1-ABS(LOG10(Database!$S339/Screener!$D$14))/0.6))</f>
        <v/>
      </c>
      <c r="K339" s="220">
        <f>IF(Database!$B339=Screener!$B$5,-999999,IF(ISNUMBER(SEARCH(","&amp;Database!$A339&amp;",",","&amp;SUBSTITUTE(Screener!$D$17," ","")&amp;",")),2000000,IF(IF(OR(Screener!$B$18="All",AND(Screener!$B$18="With A-share",(Database!$BM339="Y")),AND(Screener!$B$18="Without A-share",NOT((Database!$BM339="Y")))),1,0)=0,-999999,IF(Screener!$B$16="cornerstone overlap first",H339*100000,IF(Screener!$B$16="demand-similar first",J339*100000,0))+W_SUB*B339+W_SEC*C339*(1-B339)+W_SIZE*D339+W_PROF*E339+W_AH*F339+W_REC*G339+W_CS*H339+W_PE*I339)))+ROW()/1000000</f>
        <v/>
      </c>
      <c r="AA339" s="220">
        <f>Database!B328</f>
        <v/>
      </c>
      <c r="AB339" s="220">
        <f>Database!D328</f>
        <v/>
      </c>
      <c r="AC339" s="220">
        <f>Database!E328</f>
        <v/>
      </c>
      <c r="AD339" s="220">
        <f>Database!I328</f>
        <v/>
      </c>
      <c r="AE339" s="220">
        <f>Database!BG328</f>
        <v/>
      </c>
      <c r="AF339" s="220">
        <f>Database!BM328</f>
        <v/>
      </c>
      <c r="AG339" s="220">
        <f>Database!H328</f>
        <v/>
      </c>
      <c r="AH339" s="220">
        <f>Database!BH328</f>
        <v/>
      </c>
    </row>
    <row r="340">
      <c r="A340" s="220">
        <f>Database!B340</f>
        <v/>
      </c>
      <c r="B340" s="220">
        <f>IF(AND(Screener!$D$8&lt;&gt;"",Database!$E340=Screener!$D$8),1,0)</f>
        <v/>
      </c>
      <c r="C340" s="220">
        <f>IF(AND(Screener!$D$7&lt;&gt;"",Database!$D340=Screener!$D$7),1,0)</f>
        <v/>
      </c>
      <c r="D340" s="220">
        <f>IF(OR(N(Database!$I340)&lt;=0,N(Screener!$D$9)&lt;=0),0,MAX(0,1-ABS(LOG10(N(Database!$I340)/Screener!$D$9))/W_SIZEHW))</f>
        <v/>
      </c>
      <c r="E340" s="220">
        <f>IF(OR(Database!$BG340="",Screener!$D$10=""),0,IF(Database!$BG340=Screener!$D$10,1,0))</f>
        <v/>
      </c>
      <c r="F340" s="220">
        <f>IF(OR(Database!$BM340="",Screener!$D$11=""),0,IF(Database!$BM340=Screener!$D$11,1,0))</f>
        <v/>
      </c>
      <c r="G340" s="220">
        <f>IF(OR(Database!$H340="",N(Screener!$D$12)&lt;=0),0,MAX(0,1-(N(Screener!$D$12)-Database!$H340)/W_RECD))</f>
        <v/>
      </c>
      <c r="H340" s="220">
        <f>IF($U$1="",0,N(ISNUMBER(SEARCH($U$1,Database!$AC340&amp;""))))+IF($V$1="",0,N(ISNUMBER(SEARCH($V$1,Database!$AC340&amp;""))))+IF($W$1="",0,N(ISNUMBER(SEARCH($W$1,Database!$AC340&amp;""))))+IF($X$1="",0,N(ISNUMBER(SEARCH($X$1,Database!$AC340&amp;""))))+IF($Y$1="",0,N(ISNUMBER(SEARCH($Y$1,Database!$AC340&amp;""))))+IF(Screener!$B$17="",0,N(ISNUMBER(SEARCH(LOWER(Screener!$B$17),Database!$AC340&amp;""))))</f>
        <v/>
      </c>
      <c r="I340" s="220">
        <f>IF(OR(N(Database!$BH340)&lt;=0,N(Screener!$D$13)&lt;=0),0,MAX(0,1-ABS(LOG10(N(Database!$BH340)/Screener!$D$13))/W_PEHW))</f>
        <v/>
      </c>
      <c r="J340" s="220">
        <f>IF(OR(N(Database!$S340)&lt;=0,N(Screener!$D$14)&lt;=0),0,MAX(0,1-ABS(LOG10(Database!$S340/Screener!$D$14))/0.6))</f>
        <v/>
      </c>
      <c r="K340" s="220">
        <f>IF(Database!$B340=Screener!$B$5,-999999,IF(ISNUMBER(SEARCH(","&amp;Database!$A340&amp;",",","&amp;SUBSTITUTE(Screener!$D$17," ","")&amp;",")),2000000,IF(IF(OR(Screener!$B$18="All",AND(Screener!$B$18="With A-share",(Database!$BM340="Y")),AND(Screener!$B$18="Without A-share",NOT((Database!$BM340="Y")))),1,0)=0,-999999,IF(Screener!$B$16="cornerstone overlap first",H340*100000,IF(Screener!$B$16="demand-similar first",J340*100000,0))+W_SUB*B340+W_SEC*C340*(1-B340)+W_SIZE*D340+W_PROF*E340+W_AH*F340+W_REC*G340+W_CS*H340+W_PE*I340)))+ROW()/1000000</f>
        <v/>
      </c>
      <c r="AA340" s="220">
        <f>Database!B329</f>
        <v/>
      </c>
      <c r="AB340" s="220">
        <f>Database!D329</f>
        <v/>
      </c>
      <c r="AC340" s="220">
        <f>Database!E329</f>
        <v/>
      </c>
      <c r="AD340" s="220">
        <f>Database!I329</f>
        <v/>
      </c>
      <c r="AE340" s="220">
        <f>Database!BG329</f>
        <v/>
      </c>
      <c r="AF340" s="220">
        <f>Database!BM329</f>
        <v/>
      </c>
      <c r="AG340" s="220">
        <f>Database!H329</f>
        <v/>
      </c>
      <c r="AH340" s="220">
        <f>Database!BH329</f>
        <v/>
      </c>
    </row>
    <row r="341">
      <c r="A341" s="220">
        <f>Database!B341</f>
        <v/>
      </c>
      <c r="B341" s="220">
        <f>IF(AND(Screener!$D$8&lt;&gt;"",Database!$E341=Screener!$D$8),1,0)</f>
        <v/>
      </c>
      <c r="C341" s="220">
        <f>IF(AND(Screener!$D$7&lt;&gt;"",Database!$D341=Screener!$D$7),1,0)</f>
        <v/>
      </c>
      <c r="D341" s="220">
        <f>IF(OR(N(Database!$I341)&lt;=0,N(Screener!$D$9)&lt;=0),0,MAX(0,1-ABS(LOG10(N(Database!$I341)/Screener!$D$9))/W_SIZEHW))</f>
        <v/>
      </c>
      <c r="E341" s="220">
        <f>IF(OR(Database!$BG341="",Screener!$D$10=""),0,IF(Database!$BG341=Screener!$D$10,1,0))</f>
        <v/>
      </c>
      <c r="F341" s="220">
        <f>IF(OR(Database!$BM341="",Screener!$D$11=""),0,IF(Database!$BM341=Screener!$D$11,1,0))</f>
        <v/>
      </c>
      <c r="G341" s="220">
        <f>IF(OR(Database!$H341="",N(Screener!$D$12)&lt;=0),0,MAX(0,1-(N(Screener!$D$12)-Database!$H341)/W_RECD))</f>
        <v/>
      </c>
      <c r="H341" s="220">
        <f>IF($U$1="",0,N(ISNUMBER(SEARCH($U$1,Database!$AC341&amp;""))))+IF($V$1="",0,N(ISNUMBER(SEARCH($V$1,Database!$AC341&amp;""))))+IF($W$1="",0,N(ISNUMBER(SEARCH($W$1,Database!$AC341&amp;""))))+IF($X$1="",0,N(ISNUMBER(SEARCH($X$1,Database!$AC341&amp;""))))+IF($Y$1="",0,N(ISNUMBER(SEARCH($Y$1,Database!$AC341&amp;""))))+IF(Screener!$B$17="",0,N(ISNUMBER(SEARCH(LOWER(Screener!$B$17),Database!$AC341&amp;""))))</f>
        <v/>
      </c>
      <c r="I341" s="220">
        <f>IF(OR(N(Database!$BH341)&lt;=0,N(Screener!$D$13)&lt;=0),0,MAX(0,1-ABS(LOG10(N(Database!$BH341)/Screener!$D$13))/W_PEHW))</f>
        <v/>
      </c>
      <c r="J341" s="220">
        <f>IF(OR(N(Database!$S341)&lt;=0,N(Screener!$D$14)&lt;=0),0,MAX(0,1-ABS(LOG10(Database!$S341/Screener!$D$14))/0.6))</f>
        <v/>
      </c>
      <c r="K341" s="220">
        <f>IF(Database!$B341=Screener!$B$5,-999999,IF(ISNUMBER(SEARCH(","&amp;Database!$A341&amp;",",","&amp;SUBSTITUTE(Screener!$D$17," ","")&amp;",")),2000000,IF(IF(OR(Screener!$B$18="All",AND(Screener!$B$18="With A-share",(Database!$BM341="Y")),AND(Screener!$B$18="Without A-share",NOT((Database!$BM341="Y")))),1,0)=0,-999999,IF(Screener!$B$16="cornerstone overlap first",H341*100000,IF(Screener!$B$16="demand-similar first",J341*100000,0))+W_SUB*B341+W_SEC*C341*(1-B341)+W_SIZE*D341+W_PROF*E341+W_AH*F341+W_REC*G341+W_CS*H341+W_PE*I341)))+ROW()/1000000</f>
        <v/>
      </c>
      <c r="AA341" s="220">
        <f>Database!B330</f>
        <v/>
      </c>
      <c r="AB341" s="220">
        <f>Database!D330</f>
        <v/>
      </c>
      <c r="AC341" s="220">
        <f>Database!E330</f>
        <v/>
      </c>
      <c r="AD341" s="220">
        <f>Database!I330</f>
        <v/>
      </c>
      <c r="AE341" s="220">
        <f>Database!BG330</f>
        <v/>
      </c>
      <c r="AF341" s="220">
        <f>Database!BM330</f>
        <v/>
      </c>
      <c r="AG341" s="220">
        <f>Database!H330</f>
        <v/>
      </c>
      <c r="AH341" s="220">
        <f>Database!BH330</f>
        <v/>
      </c>
    </row>
    <row r="342">
      <c r="A342" s="220">
        <f>Database!B342</f>
        <v/>
      </c>
      <c r="B342" s="220">
        <f>IF(AND(Screener!$D$8&lt;&gt;"",Database!$E342=Screener!$D$8),1,0)</f>
        <v/>
      </c>
      <c r="C342" s="220">
        <f>IF(AND(Screener!$D$7&lt;&gt;"",Database!$D342=Screener!$D$7),1,0)</f>
        <v/>
      </c>
      <c r="D342" s="220">
        <f>IF(OR(N(Database!$I342)&lt;=0,N(Screener!$D$9)&lt;=0),0,MAX(0,1-ABS(LOG10(N(Database!$I342)/Screener!$D$9))/W_SIZEHW))</f>
        <v/>
      </c>
      <c r="E342" s="220">
        <f>IF(OR(Database!$BG342="",Screener!$D$10=""),0,IF(Database!$BG342=Screener!$D$10,1,0))</f>
        <v/>
      </c>
      <c r="F342" s="220">
        <f>IF(OR(Database!$BM342="",Screener!$D$11=""),0,IF(Database!$BM342=Screener!$D$11,1,0))</f>
        <v/>
      </c>
      <c r="G342" s="220">
        <f>IF(OR(Database!$H342="",N(Screener!$D$12)&lt;=0),0,MAX(0,1-(N(Screener!$D$12)-Database!$H342)/W_RECD))</f>
        <v/>
      </c>
      <c r="H342" s="220">
        <f>IF($U$1="",0,N(ISNUMBER(SEARCH($U$1,Database!$AC342&amp;""))))+IF($V$1="",0,N(ISNUMBER(SEARCH($V$1,Database!$AC342&amp;""))))+IF($W$1="",0,N(ISNUMBER(SEARCH($W$1,Database!$AC342&amp;""))))+IF($X$1="",0,N(ISNUMBER(SEARCH($X$1,Database!$AC342&amp;""))))+IF($Y$1="",0,N(ISNUMBER(SEARCH($Y$1,Database!$AC342&amp;""))))+IF(Screener!$B$17="",0,N(ISNUMBER(SEARCH(LOWER(Screener!$B$17),Database!$AC342&amp;""))))</f>
        <v/>
      </c>
      <c r="I342" s="220">
        <f>IF(OR(N(Database!$BH342)&lt;=0,N(Screener!$D$13)&lt;=0),0,MAX(0,1-ABS(LOG10(N(Database!$BH342)/Screener!$D$13))/W_PEHW))</f>
        <v/>
      </c>
      <c r="J342" s="220">
        <f>IF(OR(N(Database!$S342)&lt;=0,N(Screener!$D$14)&lt;=0),0,MAX(0,1-ABS(LOG10(Database!$S342/Screener!$D$14))/0.6))</f>
        <v/>
      </c>
      <c r="K342" s="220">
        <f>IF(Database!$B342=Screener!$B$5,-999999,IF(ISNUMBER(SEARCH(","&amp;Database!$A342&amp;",",","&amp;SUBSTITUTE(Screener!$D$17," ","")&amp;",")),2000000,IF(IF(OR(Screener!$B$18="All",AND(Screener!$B$18="With A-share",(Database!$BM342="Y")),AND(Screener!$B$18="Without A-share",NOT((Database!$BM342="Y")))),1,0)=0,-999999,IF(Screener!$B$16="cornerstone overlap first",H342*100000,IF(Screener!$B$16="demand-similar first",J342*100000,0))+W_SUB*B342+W_SEC*C342*(1-B342)+W_SIZE*D342+W_PROF*E342+W_AH*F342+W_REC*G342+W_CS*H342+W_PE*I342)))+ROW()/1000000</f>
        <v/>
      </c>
      <c r="AA342" s="220">
        <f>Database!B331</f>
        <v/>
      </c>
      <c r="AB342" s="220">
        <f>Database!D331</f>
        <v/>
      </c>
      <c r="AC342" s="220">
        <f>Database!E331</f>
        <v/>
      </c>
      <c r="AD342" s="220">
        <f>Database!I331</f>
        <v/>
      </c>
      <c r="AE342" s="220">
        <f>Database!BG331</f>
        <v/>
      </c>
      <c r="AF342" s="220">
        <f>Database!BM331</f>
        <v/>
      </c>
      <c r="AG342" s="220">
        <f>Database!H331</f>
        <v/>
      </c>
      <c r="AH342" s="220">
        <f>Database!BH331</f>
        <v/>
      </c>
    </row>
    <row r="343">
      <c r="A343" s="220">
        <f>Database!B343</f>
        <v/>
      </c>
      <c r="B343" s="220">
        <f>IF(AND(Screener!$D$8&lt;&gt;"",Database!$E343=Screener!$D$8),1,0)</f>
        <v/>
      </c>
      <c r="C343" s="220">
        <f>IF(AND(Screener!$D$7&lt;&gt;"",Database!$D343=Screener!$D$7),1,0)</f>
        <v/>
      </c>
      <c r="D343" s="220">
        <f>IF(OR(N(Database!$I343)&lt;=0,N(Screener!$D$9)&lt;=0),0,MAX(0,1-ABS(LOG10(N(Database!$I343)/Screener!$D$9))/W_SIZEHW))</f>
        <v/>
      </c>
      <c r="E343" s="220">
        <f>IF(OR(Database!$BG343="",Screener!$D$10=""),0,IF(Database!$BG343=Screener!$D$10,1,0))</f>
        <v/>
      </c>
      <c r="F343" s="220">
        <f>IF(OR(Database!$BM343="",Screener!$D$11=""),0,IF(Database!$BM343=Screener!$D$11,1,0))</f>
        <v/>
      </c>
      <c r="G343" s="220">
        <f>IF(OR(Database!$H343="",N(Screener!$D$12)&lt;=0),0,MAX(0,1-(N(Screener!$D$12)-Database!$H343)/W_RECD))</f>
        <v/>
      </c>
      <c r="H343" s="220">
        <f>IF($U$1="",0,N(ISNUMBER(SEARCH($U$1,Database!$AC343&amp;""))))+IF($V$1="",0,N(ISNUMBER(SEARCH($V$1,Database!$AC343&amp;""))))+IF($W$1="",0,N(ISNUMBER(SEARCH($W$1,Database!$AC343&amp;""))))+IF($X$1="",0,N(ISNUMBER(SEARCH($X$1,Database!$AC343&amp;""))))+IF($Y$1="",0,N(ISNUMBER(SEARCH($Y$1,Database!$AC343&amp;""))))+IF(Screener!$B$17="",0,N(ISNUMBER(SEARCH(LOWER(Screener!$B$17),Database!$AC343&amp;""))))</f>
        <v/>
      </c>
      <c r="I343" s="220">
        <f>IF(OR(N(Database!$BH343)&lt;=0,N(Screener!$D$13)&lt;=0),0,MAX(0,1-ABS(LOG10(N(Database!$BH343)/Screener!$D$13))/W_PEHW))</f>
        <v/>
      </c>
      <c r="J343" s="220">
        <f>IF(OR(N(Database!$S343)&lt;=0,N(Screener!$D$14)&lt;=0),0,MAX(0,1-ABS(LOG10(Database!$S343/Screener!$D$14))/0.6))</f>
        <v/>
      </c>
      <c r="K343" s="220">
        <f>IF(Database!$B343=Screener!$B$5,-999999,IF(ISNUMBER(SEARCH(","&amp;Database!$A343&amp;",",","&amp;SUBSTITUTE(Screener!$D$17," ","")&amp;",")),2000000,IF(IF(OR(Screener!$B$18="All",AND(Screener!$B$18="With A-share",(Database!$BM343="Y")),AND(Screener!$B$18="Without A-share",NOT((Database!$BM343="Y")))),1,0)=0,-999999,IF(Screener!$B$16="cornerstone overlap first",H343*100000,IF(Screener!$B$16="demand-similar first",J343*100000,0))+W_SUB*B343+W_SEC*C343*(1-B343)+W_SIZE*D343+W_PROF*E343+W_AH*F343+W_REC*G343+W_CS*H343+W_PE*I343)))+ROW()/1000000</f>
        <v/>
      </c>
      <c r="AA343" s="220">
        <f>Database!B332</f>
        <v/>
      </c>
      <c r="AB343" s="220">
        <f>Database!D332</f>
        <v/>
      </c>
      <c r="AC343" s="220">
        <f>Database!E332</f>
        <v/>
      </c>
      <c r="AD343" s="220">
        <f>Database!I332</f>
        <v/>
      </c>
      <c r="AE343" s="220">
        <f>Database!BG332</f>
        <v/>
      </c>
      <c r="AF343" s="220">
        <f>Database!BM332</f>
        <v/>
      </c>
      <c r="AG343" s="220">
        <f>Database!H332</f>
        <v/>
      </c>
      <c r="AH343" s="220">
        <f>Database!BH332</f>
        <v/>
      </c>
    </row>
    <row r="344">
      <c r="A344" s="220">
        <f>Database!B344</f>
        <v/>
      </c>
      <c r="B344" s="220">
        <f>IF(AND(Screener!$D$8&lt;&gt;"",Database!$E344=Screener!$D$8),1,0)</f>
        <v/>
      </c>
      <c r="C344" s="220">
        <f>IF(AND(Screener!$D$7&lt;&gt;"",Database!$D344=Screener!$D$7),1,0)</f>
        <v/>
      </c>
      <c r="D344" s="220">
        <f>IF(OR(N(Database!$I344)&lt;=0,N(Screener!$D$9)&lt;=0),0,MAX(0,1-ABS(LOG10(N(Database!$I344)/Screener!$D$9))/W_SIZEHW))</f>
        <v/>
      </c>
      <c r="E344" s="220">
        <f>IF(OR(Database!$BG344="",Screener!$D$10=""),0,IF(Database!$BG344=Screener!$D$10,1,0))</f>
        <v/>
      </c>
      <c r="F344" s="220">
        <f>IF(OR(Database!$BM344="",Screener!$D$11=""),0,IF(Database!$BM344=Screener!$D$11,1,0))</f>
        <v/>
      </c>
      <c r="G344" s="220">
        <f>IF(OR(Database!$H344="",N(Screener!$D$12)&lt;=0),0,MAX(0,1-(N(Screener!$D$12)-Database!$H344)/W_RECD))</f>
        <v/>
      </c>
      <c r="H344" s="220">
        <f>IF($U$1="",0,N(ISNUMBER(SEARCH($U$1,Database!$AC344&amp;""))))+IF($V$1="",0,N(ISNUMBER(SEARCH($V$1,Database!$AC344&amp;""))))+IF($W$1="",0,N(ISNUMBER(SEARCH($W$1,Database!$AC344&amp;""))))+IF($X$1="",0,N(ISNUMBER(SEARCH($X$1,Database!$AC344&amp;""))))+IF($Y$1="",0,N(ISNUMBER(SEARCH($Y$1,Database!$AC344&amp;""))))+IF(Screener!$B$17="",0,N(ISNUMBER(SEARCH(LOWER(Screener!$B$17),Database!$AC344&amp;""))))</f>
        <v/>
      </c>
      <c r="I344" s="220">
        <f>IF(OR(N(Database!$BH344)&lt;=0,N(Screener!$D$13)&lt;=0),0,MAX(0,1-ABS(LOG10(N(Database!$BH344)/Screener!$D$13))/W_PEHW))</f>
        <v/>
      </c>
      <c r="J344" s="220">
        <f>IF(OR(N(Database!$S344)&lt;=0,N(Screener!$D$14)&lt;=0),0,MAX(0,1-ABS(LOG10(Database!$S344/Screener!$D$14))/0.6))</f>
        <v/>
      </c>
      <c r="K344" s="220">
        <f>IF(Database!$B344=Screener!$B$5,-999999,IF(ISNUMBER(SEARCH(","&amp;Database!$A344&amp;",",","&amp;SUBSTITUTE(Screener!$D$17," ","")&amp;",")),2000000,IF(IF(OR(Screener!$B$18="All",AND(Screener!$B$18="With A-share",(Database!$BM344="Y")),AND(Screener!$B$18="Without A-share",NOT((Database!$BM344="Y")))),1,0)=0,-999999,IF(Screener!$B$16="cornerstone overlap first",H344*100000,IF(Screener!$B$16="demand-similar first",J344*100000,0))+W_SUB*B344+W_SEC*C344*(1-B344)+W_SIZE*D344+W_PROF*E344+W_AH*F344+W_REC*G344+W_CS*H344+W_PE*I344)))+ROW()/1000000</f>
        <v/>
      </c>
      <c r="AA344" s="220">
        <f>Database!B333</f>
        <v/>
      </c>
      <c r="AB344" s="220">
        <f>Database!D333</f>
        <v/>
      </c>
      <c r="AC344" s="220">
        <f>Database!E333</f>
        <v/>
      </c>
      <c r="AD344" s="220">
        <f>Database!I333</f>
        <v/>
      </c>
      <c r="AE344" s="220">
        <f>Database!BG333</f>
        <v/>
      </c>
      <c r="AF344" s="220">
        <f>Database!BM333</f>
        <v/>
      </c>
      <c r="AG344" s="220">
        <f>Database!H333</f>
        <v/>
      </c>
      <c r="AH344" s="220">
        <f>Database!BH333</f>
        <v/>
      </c>
    </row>
    <row r="345">
      <c r="A345" s="220">
        <f>Database!B345</f>
        <v/>
      </c>
      <c r="B345" s="220">
        <f>IF(AND(Screener!$D$8&lt;&gt;"",Database!$E345=Screener!$D$8),1,0)</f>
        <v/>
      </c>
      <c r="C345" s="220">
        <f>IF(AND(Screener!$D$7&lt;&gt;"",Database!$D345=Screener!$D$7),1,0)</f>
        <v/>
      </c>
      <c r="D345" s="220">
        <f>IF(OR(N(Database!$I345)&lt;=0,N(Screener!$D$9)&lt;=0),0,MAX(0,1-ABS(LOG10(N(Database!$I345)/Screener!$D$9))/W_SIZEHW))</f>
        <v/>
      </c>
      <c r="E345" s="220">
        <f>IF(OR(Database!$BG345="",Screener!$D$10=""),0,IF(Database!$BG345=Screener!$D$10,1,0))</f>
        <v/>
      </c>
      <c r="F345" s="220">
        <f>IF(OR(Database!$BM345="",Screener!$D$11=""),0,IF(Database!$BM345=Screener!$D$11,1,0))</f>
        <v/>
      </c>
      <c r="G345" s="220">
        <f>IF(OR(Database!$H345="",N(Screener!$D$12)&lt;=0),0,MAX(0,1-(N(Screener!$D$12)-Database!$H345)/W_RECD))</f>
        <v/>
      </c>
      <c r="H345" s="220">
        <f>IF($U$1="",0,N(ISNUMBER(SEARCH($U$1,Database!$AC345&amp;""))))+IF($V$1="",0,N(ISNUMBER(SEARCH($V$1,Database!$AC345&amp;""))))+IF($W$1="",0,N(ISNUMBER(SEARCH($W$1,Database!$AC345&amp;""))))+IF($X$1="",0,N(ISNUMBER(SEARCH($X$1,Database!$AC345&amp;""))))+IF($Y$1="",0,N(ISNUMBER(SEARCH($Y$1,Database!$AC345&amp;""))))+IF(Screener!$B$17="",0,N(ISNUMBER(SEARCH(LOWER(Screener!$B$17),Database!$AC345&amp;""))))</f>
        <v/>
      </c>
      <c r="I345" s="220">
        <f>IF(OR(N(Database!$BH345)&lt;=0,N(Screener!$D$13)&lt;=0),0,MAX(0,1-ABS(LOG10(N(Database!$BH345)/Screener!$D$13))/W_PEHW))</f>
        <v/>
      </c>
      <c r="J345" s="220">
        <f>IF(OR(N(Database!$S345)&lt;=0,N(Screener!$D$14)&lt;=0),0,MAX(0,1-ABS(LOG10(Database!$S345/Screener!$D$14))/0.6))</f>
        <v/>
      </c>
      <c r="K345" s="220">
        <f>IF(Database!$B345=Screener!$B$5,-999999,IF(ISNUMBER(SEARCH(","&amp;Database!$A345&amp;",",","&amp;SUBSTITUTE(Screener!$D$17," ","")&amp;",")),2000000,IF(IF(OR(Screener!$B$18="All",AND(Screener!$B$18="With A-share",(Database!$BM345="Y")),AND(Screener!$B$18="Without A-share",NOT((Database!$BM345="Y")))),1,0)=0,-999999,IF(Screener!$B$16="cornerstone overlap first",H345*100000,IF(Screener!$B$16="demand-similar first",J345*100000,0))+W_SUB*B345+W_SEC*C345*(1-B345)+W_SIZE*D345+W_PROF*E345+W_AH*F345+W_REC*G345+W_CS*H345+W_PE*I345)))+ROW()/1000000</f>
        <v/>
      </c>
      <c r="AA345" s="220">
        <f>Database!B334</f>
        <v/>
      </c>
      <c r="AB345" s="220">
        <f>Database!D334</f>
        <v/>
      </c>
      <c r="AC345" s="220">
        <f>Database!E334</f>
        <v/>
      </c>
      <c r="AD345" s="220">
        <f>Database!I334</f>
        <v/>
      </c>
      <c r="AE345" s="220">
        <f>Database!BG334</f>
        <v/>
      </c>
      <c r="AF345" s="220">
        <f>Database!BM334</f>
        <v/>
      </c>
      <c r="AG345" s="220">
        <f>Database!H334</f>
        <v/>
      </c>
      <c r="AH345" s="220">
        <f>Database!BH334</f>
        <v/>
      </c>
    </row>
    <row r="346">
      <c r="A346" s="220">
        <f>Database!B346</f>
        <v/>
      </c>
      <c r="B346" s="220">
        <f>IF(AND(Screener!$D$8&lt;&gt;"",Database!$E346=Screener!$D$8),1,0)</f>
        <v/>
      </c>
      <c r="C346" s="220">
        <f>IF(AND(Screener!$D$7&lt;&gt;"",Database!$D346=Screener!$D$7),1,0)</f>
        <v/>
      </c>
      <c r="D346" s="220">
        <f>IF(OR(N(Database!$I346)&lt;=0,N(Screener!$D$9)&lt;=0),0,MAX(0,1-ABS(LOG10(N(Database!$I346)/Screener!$D$9))/W_SIZEHW))</f>
        <v/>
      </c>
      <c r="E346" s="220">
        <f>IF(OR(Database!$BG346="",Screener!$D$10=""),0,IF(Database!$BG346=Screener!$D$10,1,0))</f>
        <v/>
      </c>
      <c r="F346" s="220">
        <f>IF(OR(Database!$BM346="",Screener!$D$11=""),0,IF(Database!$BM346=Screener!$D$11,1,0))</f>
        <v/>
      </c>
      <c r="G346" s="220">
        <f>IF(OR(Database!$H346="",N(Screener!$D$12)&lt;=0),0,MAX(0,1-(N(Screener!$D$12)-Database!$H346)/W_RECD))</f>
        <v/>
      </c>
      <c r="H346" s="220">
        <f>IF($U$1="",0,N(ISNUMBER(SEARCH($U$1,Database!$AC346&amp;""))))+IF($V$1="",0,N(ISNUMBER(SEARCH($V$1,Database!$AC346&amp;""))))+IF($W$1="",0,N(ISNUMBER(SEARCH($W$1,Database!$AC346&amp;""))))+IF($X$1="",0,N(ISNUMBER(SEARCH($X$1,Database!$AC346&amp;""))))+IF($Y$1="",0,N(ISNUMBER(SEARCH($Y$1,Database!$AC346&amp;""))))+IF(Screener!$B$17="",0,N(ISNUMBER(SEARCH(LOWER(Screener!$B$17),Database!$AC346&amp;""))))</f>
        <v/>
      </c>
      <c r="I346" s="220">
        <f>IF(OR(N(Database!$BH346)&lt;=0,N(Screener!$D$13)&lt;=0),0,MAX(0,1-ABS(LOG10(N(Database!$BH346)/Screener!$D$13))/W_PEHW))</f>
        <v/>
      </c>
      <c r="J346" s="220">
        <f>IF(OR(N(Database!$S346)&lt;=0,N(Screener!$D$14)&lt;=0),0,MAX(0,1-ABS(LOG10(Database!$S346/Screener!$D$14))/0.6))</f>
        <v/>
      </c>
      <c r="K346" s="220">
        <f>IF(Database!$B346=Screener!$B$5,-999999,IF(ISNUMBER(SEARCH(","&amp;Database!$A346&amp;",",","&amp;SUBSTITUTE(Screener!$D$17," ","")&amp;",")),2000000,IF(IF(OR(Screener!$B$18="All",AND(Screener!$B$18="With A-share",(Database!$BM346="Y")),AND(Screener!$B$18="Without A-share",NOT((Database!$BM346="Y")))),1,0)=0,-999999,IF(Screener!$B$16="cornerstone overlap first",H346*100000,IF(Screener!$B$16="demand-similar first",J346*100000,0))+W_SUB*B346+W_SEC*C346*(1-B346)+W_SIZE*D346+W_PROF*E346+W_AH*F346+W_REC*G346+W_CS*H346+W_PE*I346)))+ROW()/1000000</f>
        <v/>
      </c>
      <c r="AA346" s="220">
        <f>Database!B335</f>
        <v/>
      </c>
      <c r="AB346" s="220">
        <f>Database!D335</f>
        <v/>
      </c>
      <c r="AC346" s="220">
        <f>Database!E335</f>
        <v/>
      </c>
      <c r="AD346" s="220">
        <f>Database!I335</f>
        <v/>
      </c>
      <c r="AE346" s="220">
        <f>Database!BG335</f>
        <v/>
      </c>
      <c r="AF346" s="220">
        <f>Database!BM335</f>
        <v/>
      </c>
      <c r="AG346" s="220">
        <f>Database!H335</f>
        <v/>
      </c>
      <c r="AH346" s="220">
        <f>Database!BH335</f>
        <v/>
      </c>
    </row>
    <row r="347">
      <c r="A347" s="220">
        <f>Database!B347</f>
        <v/>
      </c>
      <c r="B347" s="220">
        <f>IF(AND(Screener!$D$8&lt;&gt;"",Database!$E347=Screener!$D$8),1,0)</f>
        <v/>
      </c>
      <c r="C347" s="220">
        <f>IF(AND(Screener!$D$7&lt;&gt;"",Database!$D347=Screener!$D$7),1,0)</f>
        <v/>
      </c>
      <c r="D347" s="220">
        <f>IF(OR(N(Database!$I347)&lt;=0,N(Screener!$D$9)&lt;=0),0,MAX(0,1-ABS(LOG10(N(Database!$I347)/Screener!$D$9))/W_SIZEHW))</f>
        <v/>
      </c>
      <c r="E347" s="220">
        <f>IF(OR(Database!$BG347="",Screener!$D$10=""),0,IF(Database!$BG347=Screener!$D$10,1,0))</f>
        <v/>
      </c>
      <c r="F347" s="220">
        <f>IF(OR(Database!$BM347="",Screener!$D$11=""),0,IF(Database!$BM347=Screener!$D$11,1,0))</f>
        <v/>
      </c>
      <c r="G347" s="220">
        <f>IF(OR(Database!$H347="",N(Screener!$D$12)&lt;=0),0,MAX(0,1-(N(Screener!$D$12)-Database!$H347)/W_RECD))</f>
        <v/>
      </c>
      <c r="H347" s="220">
        <f>IF($U$1="",0,N(ISNUMBER(SEARCH($U$1,Database!$AC347&amp;""))))+IF($V$1="",0,N(ISNUMBER(SEARCH($V$1,Database!$AC347&amp;""))))+IF($W$1="",0,N(ISNUMBER(SEARCH($W$1,Database!$AC347&amp;""))))+IF($X$1="",0,N(ISNUMBER(SEARCH($X$1,Database!$AC347&amp;""))))+IF($Y$1="",0,N(ISNUMBER(SEARCH($Y$1,Database!$AC347&amp;""))))+IF(Screener!$B$17="",0,N(ISNUMBER(SEARCH(LOWER(Screener!$B$17),Database!$AC347&amp;""))))</f>
        <v/>
      </c>
      <c r="I347" s="220">
        <f>IF(OR(N(Database!$BH347)&lt;=0,N(Screener!$D$13)&lt;=0),0,MAX(0,1-ABS(LOG10(N(Database!$BH347)/Screener!$D$13))/W_PEHW))</f>
        <v/>
      </c>
      <c r="J347" s="220">
        <f>IF(OR(N(Database!$S347)&lt;=0,N(Screener!$D$14)&lt;=0),0,MAX(0,1-ABS(LOG10(Database!$S347/Screener!$D$14))/0.6))</f>
        <v/>
      </c>
      <c r="K347" s="220">
        <f>IF(Database!$B347=Screener!$B$5,-999999,IF(ISNUMBER(SEARCH(","&amp;Database!$A347&amp;",",","&amp;SUBSTITUTE(Screener!$D$17," ","")&amp;",")),2000000,IF(IF(OR(Screener!$B$18="All",AND(Screener!$B$18="With A-share",(Database!$BM347="Y")),AND(Screener!$B$18="Without A-share",NOT((Database!$BM347="Y")))),1,0)=0,-999999,IF(Screener!$B$16="cornerstone overlap first",H347*100000,IF(Screener!$B$16="demand-similar first",J347*100000,0))+W_SUB*B347+W_SEC*C347*(1-B347)+W_SIZE*D347+W_PROF*E347+W_AH*F347+W_REC*G347+W_CS*H347+W_PE*I347)))+ROW()/1000000</f>
        <v/>
      </c>
      <c r="AA347" s="220">
        <f>Database!B336</f>
        <v/>
      </c>
      <c r="AB347" s="220">
        <f>Database!D336</f>
        <v/>
      </c>
      <c r="AC347" s="220">
        <f>Database!E336</f>
        <v/>
      </c>
      <c r="AD347" s="220">
        <f>Database!I336</f>
        <v/>
      </c>
      <c r="AE347" s="220">
        <f>Database!BG336</f>
        <v/>
      </c>
      <c r="AF347" s="220">
        <f>Database!BM336</f>
        <v/>
      </c>
      <c r="AG347" s="220">
        <f>Database!H336</f>
        <v/>
      </c>
      <c r="AH347" s="220">
        <f>Database!BH336</f>
        <v/>
      </c>
    </row>
    <row r="348">
      <c r="A348" s="220">
        <f>Database!B348</f>
        <v/>
      </c>
      <c r="B348" s="220">
        <f>IF(AND(Screener!$D$8&lt;&gt;"",Database!$E348=Screener!$D$8),1,0)</f>
        <v/>
      </c>
      <c r="C348" s="220">
        <f>IF(AND(Screener!$D$7&lt;&gt;"",Database!$D348=Screener!$D$7),1,0)</f>
        <v/>
      </c>
      <c r="D348" s="220">
        <f>IF(OR(N(Database!$I348)&lt;=0,N(Screener!$D$9)&lt;=0),0,MAX(0,1-ABS(LOG10(N(Database!$I348)/Screener!$D$9))/W_SIZEHW))</f>
        <v/>
      </c>
      <c r="E348" s="220">
        <f>IF(OR(Database!$BG348="",Screener!$D$10=""),0,IF(Database!$BG348=Screener!$D$10,1,0))</f>
        <v/>
      </c>
      <c r="F348" s="220">
        <f>IF(OR(Database!$BM348="",Screener!$D$11=""),0,IF(Database!$BM348=Screener!$D$11,1,0))</f>
        <v/>
      </c>
      <c r="G348" s="220">
        <f>IF(OR(Database!$H348="",N(Screener!$D$12)&lt;=0),0,MAX(0,1-(N(Screener!$D$12)-Database!$H348)/W_RECD))</f>
        <v/>
      </c>
      <c r="H348" s="220">
        <f>IF($U$1="",0,N(ISNUMBER(SEARCH($U$1,Database!$AC348&amp;""))))+IF($V$1="",0,N(ISNUMBER(SEARCH($V$1,Database!$AC348&amp;""))))+IF($W$1="",0,N(ISNUMBER(SEARCH($W$1,Database!$AC348&amp;""))))+IF($X$1="",0,N(ISNUMBER(SEARCH($X$1,Database!$AC348&amp;""))))+IF($Y$1="",0,N(ISNUMBER(SEARCH($Y$1,Database!$AC348&amp;""))))+IF(Screener!$B$17="",0,N(ISNUMBER(SEARCH(LOWER(Screener!$B$17),Database!$AC348&amp;""))))</f>
        <v/>
      </c>
      <c r="I348" s="220">
        <f>IF(OR(N(Database!$BH348)&lt;=0,N(Screener!$D$13)&lt;=0),0,MAX(0,1-ABS(LOG10(N(Database!$BH348)/Screener!$D$13))/W_PEHW))</f>
        <v/>
      </c>
      <c r="J348" s="220">
        <f>IF(OR(N(Database!$S348)&lt;=0,N(Screener!$D$14)&lt;=0),0,MAX(0,1-ABS(LOG10(Database!$S348/Screener!$D$14))/0.6))</f>
        <v/>
      </c>
      <c r="K348" s="220">
        <f>IF(Database!$B348=Screener!$B$5,-999999,IF(ISNUMBER(SEARCH(","&amp;Database!$A348&amp;",",","&amp;SUBSTITUTE(Screener!$D$17," ","")&amp;",")),2000000,IF(IF(OR(Screener!$B$18="All",AND(Screener!$B$18="With A-share",(Database!$BM348="Y")),AND(Screener!$B$18="Without A-share",NOT((Database!$BM348="Y")))),1,0)=0,-999999,IF(Screener!$B$16="cornerstone overlap first",H348*100000,IF(Screener!$B$16="demand-similar first",J348*100000,0))+W_SUB*B348+W_SEC*C348*(1-B348)+W_SIZE*D348+W_PROF*E348+W_AH*F348+W_REC*G348+W_CS*H348+W_PE*I348)))+ROW()/1000000</f>
        <v/>
      </c>
      <c r="AA348" s="220">
        <f>Database!B337</f>
        <v/>
      </c>
      <c r="AB348" s="220">
        <f>Database!D337</f>
        <v/>
      </c>
      <c r="AC348" s="220">
        <f>Database!E337</f>
        <v/>
      </c>
      <c r="AD348" s="220">
        <f>Database!I337</f>
        <v/>
      </c>
      <c r="AE348" s="220">
        <f>Database!BG337</f>
        <v/>
      </c>
      <c r="AF348" s="220">
        <f>Database!BM337</f>
        <v/>
      </c>
      <c r="AG348" s="220">
        <f>Database!H337</f>
        <v/>
      </c>
      <c r="AH348" s="220">
        <f>Database!BH337</f>
        <v/>
      </c>
    </row>
    <row r="349">
      <c r="A349" s="220">
        <f>Database!B349</f>
        <v/>
      </c>
      <c r="B349" s="220">
        <f>IF(AND(Screener!$D$8&lt;&gt;"",Database!$E349=Screener!$D$8),1,0)</f>
        <v/>
      </c>
      <c r="C349" s="220">
        <f>IF(AND(Screener!$D$7&lt;&gt;"",Database!$D349=Screener!$D$7),1,0)</f>
        <v/>
      </c>
      <c r="D349" s="220">
        <f>IF(OR(N(Database!$I349)&lt;=0,N(Screener!$D$9)&lt;=0),0,MAX(0,1-ABS(LOG10(N(Database!$I349)/Screener!$D$9))/W_SIZEHW))</f>
        <v/>
      </c>
      <c r="E349" s="220">
        <f>IF(OR(Database!$BG349="",Screener!$D$10=""),0,IF(Database!$BG349=Screener!$D$10,1,0))</f>
        <v/>
      </c>
      <c r="F349" s="220">
        <f>IF(OR(Database!$BM349="",Screener!$D$11=""),0,IF(Database!$BM349=Screener!$D$11,1,0))</f>
        <v/>
      </c>
      <c r="G349" s="220">
        <f>IF(OR(Database!$H349="",N(Screener!$D$12)&lt;=0),0,MAX(0,1-(N(Screener!$D$12)-Database!$H349)/W_RECD))</f>
        <v/>
      </c>
      <c r="H349" s="220">
        <f>IF($U$1="",0,N(ISNUMBER(SEARCH($U$1,Database!$AC349&amp;""))))+IF($V$1="",0,N(ISNUMBER(SEARCH($V$1,Database!$AC349&amp;""))))+IF($W$1="",0,N(ISNUMBER(SEARCH($W$1,Database!$AC349&amp;""))))+IF($X$1="",0,N(ISNUMBER(SEARCH($X$1,Database!$AC349&amp;""))))+IF($Y$1="",0,N(ISNUMBER(SEARCH($Y$1,Database!$AC349&amp;""))))+IF(Screener!$B$17="",0,N(ISNUMBER(SEARCH(LOWER(Screener!$B$17),Database!$AC349&amp;""))))</f>
        <v/>
      </c>
      <c r="I349" s="220">
        <f>IF(OR(N(Database!$BH349)&lt;=0,N(Screener!$D$13)&lt;=0),0,MAX(0,1-ABS(LOG10(N(Database!$BH349)/Screener!$D$13))/W_PEHW))</f>
        <v/>
      </c>
      <c r="J349" s="220">
        <f>IF(OR(N(Database!$S349)&lt;=0,N(Screener!$D$14)&lt;=0),0,MAX(0,1-ABS(LOG10(Database!$S349/Screener!$D$14))/0.6))</f>
        <v/>
      </c>
      <c r="K349" s="220">
        <f>IF(Database!$B349=Screener!$B$5,-999999,IF(ISNUMBER(SEARCH(","&amp;Database!$A349&amp;",",","&amp;SUBSTITUTE(Screener!$D$17," ","")&amp;",")),2000000,IF(IF(OR(Screener!$B$18="All",AND(Screener!$B$18="With A-share",(Database!$BM349="Y")),AND(Screener!$B$18="Without A-share",NOT((Database!$BM349="Y")))),1,0)=0,-999999,IF(Screener!$B$16="cornerstone overlap first",H349*100000,IF(Screener!$B$16="demand-similar first",J349*100000,0))+W_SUB*B349+W_SEC*C349*(1-B349)+W_SIZE*D349+W_PROF*E349+W_AH*F349+W_REC*G349+W_CS*H349+W_PE*I349)))+ROW()/1000000</f>
        <v/>
      </c>
      <c r="AA349" s="220">
        <f>Database!B338</f>
        <v/>
      </c>
      <c r="AB349" s="220">
        <f>Database!D338</f>
        <v/>
      </c>
      <c r="AC349" s="220">
        <f>Database!E338</f>
        <v/>
      </c>
      <c r="AD349" s="220">
        <f>Database!I338</f>
        <v/>
      </c>
      <c r="AE349" s="220">
        <f>Database!BG338</f>
        <v/>
      </c>
      <c r="AF349" s="220">
        <f>Database!BM338</f>
        <v/>
      </c>
      <c r="AG349" s="220">
        <f>Database!H338</f>
        <v/>
      </c>
      <c r="AH349" s="220">
        <f>Database!BH338</f>
        <v/>
      </c>
    </row>
    <row r="350">
      <c r="A350" s="220">
        <f>Database!B350</f>
        <v/>
      </c>
      <c r="B350" s="220">
        <f>IF(AND(Screener!$D$8&lt;&gt;"",Database!$E350=Screener!$D$8),1,0)</f>
        <v/>
      </c>
      <c r="C350" s="220">
        <f>IF(AND(Screener!$D$7&lt;&gt;"",Database!$D350=Screener!$D$7),1,0)</f>
        <v/>
      </c>
      <c r="D350" s="220">
        <f>IF(OR(N(Database!$I350)&lt;=0,N(Screener!$D$9)&lt;=0),0,MAX(0,1-ABS(LOG10(N(Database!$I350)/Screener!$D$9))/W_SIZEHW))</f>
        <v/>
      </c>
      <c r="E350" s="220">
        <f>IF(OR(Database!$BG350="",Screener!$D$10=""),0,IF(Database!$BG350=Screener!$D$10,1,0))</f>
        <v/>
      </c>
      <c r="F350" s="220">
        <f>IF(OR(Database!$BM350="",Screener!$D$11=""),0,IF(Database!$BM350=Screener!$D$11,1,0))</f>
        <v/>
      </c>
      <c r="G350" s="220">
        <f>IF(OR(Database!$H350="",N(Screener!$D$12)&lt;=0),0,MAX(0,1-(N(Screener!$D$12)-Database!$H350)/W_RECD))</f>
        <v/>
      </c>
      <c r="H350" s="220">
        <f>IF($U$1="",0,N(ISNUMBER(SEARCH($U$1,Database!$AC350&amp;""))))+IF($V$1="",0,N(ISNUMBER(SEARCH($V$1,Database!$AC350&amp;""))))+IF($W$1="",0,N(ISNUMBER(SEARCH($W$1,Database!$AC350&amp;""))))+IF($X$1="",0,N(ISNUMBER(SEARCH($X$1,Database!$AC350&amp;""))))+IF($Y$1="",0,N(ISNUMBER(SEARCH($Y$1,Database!$AC350&amp;""))))+IF(Screener!$B$17="",0,N(ISNUMBER(SEARCH(LOWER(Screener!$B$17),Database!$AC350&amp;""))))</f>
        <v/>
      </c>
      <c r="I350" s="220">
        <f>IF(OR(N(Database!$BH350)&lt;=0,N(Screener!$D$13)&lt;=0),0,MAX(0,1-ABS(LOG10(N(Database!$BH350)/Screener!$D$13))/W_PEHW))</f>
        <v/>
      </c>
      <c r="J350" s="220">
        <f>IF(OR(N(Database!$S350)&lt;=0,N(Screener!$D$14)&lt;=0),0,MAX(0,1-ABS(LOG10(Database!$S350/Screener!$D$14))/0.6))</f>
        <v/>
      </c>
      <c r="K350" s="220">
        <f>IF(Database!$B350=Screener!$B$5,-999999,IF(ISNUMBER(SEARCH(","&amp;Database!$A350&amp;",",","&amp;SUBSTITUTE(Screener!$D$17," ","")&amp;",")),2000000,IF(IF(OR(Screener!$B$18="All",AND(Screener!$B$18="With A-share",(Database!$BM350="Y")),AND(Screener!$B$18="Without A-share",NOT((Database!$BM350="Y")))),1,0)=0,-999999,IF(Screener!$B$16="cornerstone overlap first",H350*100000,IF(Screener!$B$16="demand-similar first",J350*100000,0))+W_SUB*B350+W_SEC*C350*(1-B350)+W_SIZE*D350+W_PROF*E350+W_AH*F350+W_REC*G350+W_CS*H350+W_PE*I350)))+ROW()/1000000</f>
        <v/>
      </c>
      <c r="AA350" s="220">
        <f>Database!B339</f>
        <v/>
      </c>
      <c r="AB350" s="220">
        <f>Database!D339</f>
        <v/>
      </c>
      <c r="AC350" s="220">
        <f>Database!E339</f>
        <v/>
      </c>
      <c r="AD350" s="220">
        <f>Database!I339</f>
        <v/>
      </c>
      <c r="AE350" s="220">
        <f>Database!BG339</f>
        <v/>
      </c>
      <c r="AF350" s="220">
        <f>Database!BM339</f>
        <v/>
      </c>
      <c r="AG350" s="220">
        <f>Database!H339</f>
        <v/>
      </c>
      <c r="AH350" s="220">
        <f>Database!BH339</f>
        <v/>
      </c>
    </row>
    <row r="351">
      <c r="A351" s="220">
        <f>Database!B351</f>
        <v/>
      </c>
      <c r="B351" s="220">
        <f>IF(AND(Screener!$D$8&lt;&gt;"",Database!$E351=Screener!$D$8),1,0)</f>
        <v/>
      </c>
      <c r="C351" s="220">
        <f>IF(AND(Screener!$D$7&lt;&gt;"",Database!$D351=Screener!$D$7),1,0)</f>
        <v/>
      </c>
      <c r="D351" s="220">
        <f>IF(OR(N(Database!$I351)&lt;=0,N(Screener!$D$9)&lt;=0),0,MAX(0,1-ABS(LOG10(N(Database!$I351)/Screener!$D$9))/W_SIZEHW))</f>
        <v/>
      </c>
      <c r="E351" s="220">
        <f>IF(OR(Database!$BG351="",Screener!$D$10=""),0,IF(Database!$BG351=Screener!$D$10,1,0))</f>
        <v/>
      </c>
      <c r="F351" s="220">
        <f>IF(OR(Database!$BM351="",Screener!$D$11=""),0,IF(Database!$BM351=Screener!$D$11,1,0))</f>
        <v/>
      </c>
      <c r="G351" s="220">
        <f>IF(OR(Database!$H351="",N(Screener!$D$12)&lt;=0),0,MAX(0,1-(N(Screener!$D$12)-Database!$H351)/W_RECD))</f>
        <v/>
      </c>
      <c r="H351" s="220">
        <f>IF($U$1="",0,N(ISNUMBER(SEARCH($U$1,Database!$AC351&amp;""))))+IF($V$1="",0,N(ISNUMBER(SEARCH($V$1,Database!$AC351&amp;""))))+IF($W$1="",0,N(ISNUMBER(SEARCH($W$1,Database!$AC351&amp;""))))+IF($X$1="",0,N(ISNUMBER(SEARCH($X$1,Database!$AC351&amp;""))))+IF($Y$1="",0,N(ISNUMBER(SEARCH($Y$1,Database!$AC351&amp;""))))+IF(Screener!$B$17="",0,N(ISNUMBER(SEARCH(LOWER(Screener!$B$17),Database!$AC351&amp;""))))</f>
        <v/>
      </c>
      <c r="I351" s="220">
        <f>IF(OR(N(Database!$BH351)&lt;=0,N(Screener!$D$13)&lt;=0),0,MAX(0,1-ABS(LOG10(N(Database!$BH351)/Screener!$D$13))/W_PEHW))</f>
        <v/>
      </c>
      <c r="J351" s="220">
        <f>IF(OR(N(Database!$S351)&lt;=0,N(Screener!$D$14)&lt;=0),0,MAX(0,1-ABS(LOG10(Database!$S351/Screener!$D$14))/0.6))</f>
        <v/>
      </c>
      <c r="K351" s="220">
        <f>IF(Database!$B351=Screener!$B$5,-999999,IF(ISNUMBER(SEARCH(","&amp;Database!$A351&amp;",",","&amp;SUBSTITUTE(Screener!$D$17," ","")&amp;",")),2000000,IF(IF(OR(Screener!$B$18="All",AND(Screener!$B$18="With A-share",(Database!$BM351="Y")),AND(Screener!$B$18="Without A-share",NOT((Database!$BM351="Y")))),1,0)=0,-999999,IF(Screener!$B$16="cornerstone overlap first",H351*100000,IF(Screener!$B$16="demand-similar first",J351*100000,0))+W_SUB*B351+W_SEC*C351*(1-B351)+W_SIZE*D351+W_PROF*E351+W_AH*F351+W_REC*G351+W_CS*H351+W_PE*I351)))+ROW()/1000000</f>
        <v/>
      </c>
      <c r="AA351" s="220">
        <f>Database!B340</f>
        <v/>
      </c>
      <c r="AB351" s="220">
        <f>Database!D340</f>
        <v/>
      </c>
      <c r="AC351" s="220">
        <f>Database!E340</f>
        <v/>
      </c>
      <c r="AD351" s="220">
        <f>Database!I340</f>
        <v/>
      </c>
      <c r="AE351" s="220">
        <f>Database!BG340</f>
        <v/>
      </c>
      <c r="AF351" s="220">
        <f>Database!BM340</f>
        <v/>
      </c>
      <c r="AG351" s="220">
        <f>Database!H340</f>
        <v/>
      </c>
      <c r="AH351" s="220">
        <f>Database!BH340</f>
        <v/>
      </c>
    </row>
    <row r="352">
      <c r="A352" s="220">
        <f>Database!B352</f>
        <v/>
      </c>
      <c r="B352" s="220">
        <f>IF(AND(Screener!$D$8&lt;&gt;"",Database!$E352=Screener!$D$8),1,0)</f>
        <v/>
      </c>
      <c r="C352" s="220">
        <f>IF(AND(Screener!$D$7&lt;&gt;"",Database!$D352=Screener!$D$7),1,0)</f>
        <v/>
      </c>
      <c r="D352" s="220">
        <f>IF(OR(N(Database!$I352)&lt;=0,N(Screener!$D$9)&lt;=0),0,MAX(0,1-ABS(LOG10(N(Database!$I352)/Screener!$D$9))/W_SIZEHW))</f>
        <v/>
      </c>
      <c r="E352" s="220">
        <f>IF(OR(Database!$BG352="",Screener!$D$10=""),0,IF(Database!$BG352=Screener!$D$10,1,0))</f>
        <v/>
      </c>
      <c r="F352" s="220">
        <f>IF(OR(Database!$BM352="",Screener!$D$11=""),0,IF(Database!$BM352=Screener!$D$11,1,0))</f>
        <v/>
      </c>
      <c r="G352" s="220">
        <f>IF(OR(Database!$H352="",N(Screener!$D$12)&lt;=0),0,MAX(0,1-(N(Screener!$D$12)-Database!$H352)/W_RECD))</f>
        <v/>
      </c>
      <c r="H352" s="220">
        <f>IF($U$1="",0,N(ISNUMBER(SEARCH($U$1,Database!$AC352&amp;""))))+IF($V$1="",0,N(ISNUMBER(SEARCH($V$1,Database!$AC352&amp;""))))+IF($W$1="",0,N(ISNUMBER(SEARCH($W$1,Database!$AC352&amp;""))))+IF($X$1="",0,N(ISNUMBER(SEARCH($X$1,Database!$AC352&amp;""))))+IF($Y$1="",0,N(ISNUMBER(SEARCH($Y$1,Database!$AC352&amp;""))))+IF(Screener!$B$17="",0,N(ISNUMBER(SEARCH(LOWER(Screener!$B$17),Database!$AC352&amp;""))))</f>
        <v/>
      </c>
      <c r="I352" s="220">
        <f>IF(OR(N(Database!$BH352)&lt;=0,N(Screener!$D$13)&lt;=0),0,MAX(0,1-ABS(LOG10(N(Database!$BH352)/Screener!$D$13))/W_PEHW))</f>
        <v/>
      </c>
      <c r="J352" s="220">
        <f>IF(OR(N(Database!$S352)&lt;=0,N(Screener!$D$14)&lt;=0),0,MAX(0,1-ABS(LOG10(Database!$S352/Screener!$D$14))/0.6))</f>
        <v/>
      </c>
      <c r="K352" s="220">
        <f>IF(Database!$B352=Screener!$B$5,-999999,IF(ISNUMBER(SEARCH(","&amp;Database!$A352&amp;",",","&amp;SUBSTITUTE(Screener!$D$17," ","")&amp;",")),2000000,IF(IF(OR(Screener!$B$18="All",AND(Screener!$B$18="With A-share",(Database!$BM352="Y")),AND(Screener!$B$18="Without A-share",NOT((Database!$BM352="Y")))),1,0)=0,-999999,IF(Screener!$B$16="cornerstone overlap first",H352*100000,IF(Screener!$B$16="demand-similar first",J352*100000,0))+W_SUB*B352+W_SEC*C352*(1-B352)+W_SIZE*D352+W_PROF*E352+W_AH*F352+W_REC*G352+W_CS*H352+W_PE*I352)))+ROW()/1000000</f>
        <v/>
      </c>
      <c r="AA352" s="220">
        <f>Database!B341</f>
        <v/>
      </c>
      <c r="AB352" s="220">
        <f>Database!D341</f>
        <v/>
      </c>
      <c r="AC352" s="220">
        <f>Database!E341</f>
        <v/>
      </c>
      <c r="AD352" s="220">
        <f>Database!I341</f>
        <v/>
      </c>
      <c r="AE352" s="220">
        <f>Database!BG341</f>
        <v/>
      </c>
      <c r="AF352" s="220">
        <f>Database!BM341</f>
        <v/>
      </c>
      <c r="AG352" s="220">
        <f>Database!H341</f>
        <v/>
      </c>
      <c r="AH352" s="220">
        <f>Database!BH341</f>
        <v/>
      </c>
    </row>
    <row r="353">
      <c r="A353" s="220">
        <f>Database!B353</f>
        <v/>
      </c>
      <c r="B353" s="220">
        <f>IF(AND(Screener!$D$8&lt;&gt;"",Database!$E353=Screener!$D$8),1,0)</f>
        <v/>
      </c>
      <c r="C353" s="220">
        <f>IF(AND(Screener!$D$7&lt;&gt;"",Database!$D353=Screener!$D$7),1,0)</f>
        <v/>
      </c>
      <c r="D353" s="220">
        <f>IF(OR(N(Database!$I353)&lt;=0,N(Screener!$D$9)&lt;=0),0,MAX(0,1-ABS(LOG10(N(Database!$I353)/Screener!$D$9))/W_SIZEHW))</f>
        <v/>
      </c>
      <c r="E353" s="220">
        <f>IF(OR(Database!$BG353="",Screener!$D$10=""),0,IF(Database!$BG353=Screener!$D$10,1,0))</f>
        <v/>
      </c>
      <c r="F353" s="220">
        <f>IF(OR(Database!$BM353="",Screener!$D$11=""),0,IF(Database!$BM353=Screener!$D$11,1,0))</f>
        <v/>
      </c>
      <c r="G353" s="220">
        <f>IF(OR(Database!$H353="",N(Screener!$D$12)&lt;=0),0,MAX(0,1-(N(Screener!$D$12)-Database!$H353)/W_RECD))</f>
        <v/>
      </c>
      <c r="H353" s="220">
        <f>IF($U$1="",0,N(ISNUMBER(SEARCH($U$1,Database!$AC353&amp;""))))+IF($V$1="",0,N(ISNUMBER(SEARCH($V$1,Database!$AC353&amp;""))))+IF($W$1="",0,N(ISNUMBER(SEARCH($W$1,Database!$AC353&amp;""))))+IF($X$1="",0,N(ISNUMBER(SEARCH($X$1,Database!$AC353&amp;""))))+IF($Y$1="",0,N(ISNUMBER(SEARCH($Y$1,Database!$AC353&amp;""))))+IF(Screener!$B$17="",0,N(ISNUMBER(SEARCH(LOWER(Screener!$B$17),Database!$AC353&amp;""))))</f>
        <v/>
      </c>
      <c r="I353" s="220">
        <f>IF(OR(N(Database!$BH353)&lt;=0,N(Screener!$D$13)&lt;=0),0,MAX(0,1-ABS(LOG10(N(Database!$BH353)/Screener!$D$13))/W_PEHW))</f>
        <v/>
      </c>
      <c r="J353" s="220">
        <f>IF(OR(N(Database!$S353)&lt;=0,N(Screener!$D$14)&lt;=0),0,MAX(0,1-ABS(LOG10(Database!$S353/Screener!$D$14))/0.6))</f>
        <v/>
      </c>
      <c r="K353" s="220">
        <f>IF(Database!$B353=Screener!$B$5,-999999,IF(ISNUMBER(SEARCH(","&amp;Database!$A353&amp;",",","&amp;SUBSTITUTE(Screener!$D$17," ","")&amp;",")),2000000,IF(IF(OR(Screener!$B$18="All",AND(Screener!$B$18="With A-share",(Database!$BM353="Y")),AND(Screener!$B$18="Without A-share",NOT((Database!$BM353="Y")))),1,0)=0,-999999,IF(Screener!$B$16="cornerstone overlap first",H353*100000,IF(Screener!$B$16="demand-similar first",J353*100000,0))+W_SUB*B353+W_SEC*C353*(1-B353)+W_SIZE*D353+W_PROF*E353+W_AH*F353+W_REC*G353+W_CS*H353+W_PE*I353)))+ROW()/1000000</f>
        <v/>
      </c>
      <c r="AA353" s="220">
        <f>Database!B342</f>
        <v/>
      </c>
      <c r="AB353" s="220">
        <f>Database!D342</f>
        <v/>
      </c>
      <c r="AC353" s="220">
        <f>Database!E342</f>
        <v/>
      </c>
      <c r="AD353" s="220">
        <f>Database!I342</f>
        <v/>
      </c>
      <c r="AE353" s="220">
        <f>Database!BG342</f>
        <v/>
      </c>
      <c r="AF353" s="220">
        <f>Database!BM342</f>
        <v/>
      </c>
      <c r="AG353" s="220">
        <f>Database!H342</f>
        <v/>
      </c>
      <c r="AH353" s="220">
        <f>Database!BH342</f>
        <v/>
      </c>
    </row>
    <row r="354">
      <c r="A354" s="220">
        <f>Database!B354</f>
        <v/>
      </c>
      <c r="B354" s="220">
        <f>IF(AND(Screener!$D$8&lt;&gt;"",Database!$E354=Screener!$D$8),1,0)</f>
        <v/>
      </c>
      <c r="C354" s="220">
        <f>IF(AND(Screener!$D$7&lt;&gt;"",Database!$D354=Screener!$D$7),1,0)</f>
        <v/>
      </c>
      <c r="D354" s="220">
        <f>IF(OR(N(Database!$I354)&lt;=0,N(Screener!$D$9)&lt;=0),0,MAX(0,1-ABS(LOG10(N(Database!$I354)/Screener!$D$9))/W_SIZEHW))</f>
        <v/>
      </c>
      <c r="E354" s="220">
        <f>IF(OR(Database!$BG354="",Screener!$D$10=""),0,IF(Database!$BG354=Screener!$D$10,1,0))</f>
        <v/>
      </c>
      <c r="F354" s="220">
        <f>IF(OR(Database!$BM354="",Screener!$D$11=""),0,IF(Database!$BM354=Screener!$D$11,1,0))</f>
        <v/>
      </c>
      <c r="G354" s="220">
        <f>IF(OR(Database!$H354="",N(Screener!$D$12)&lt;=0),0,MAX(0,1-(N(Screener!$D$12)-Database!$H354)/W_RECD))</f>
        <v/>
      </c>
      <c r="H354" s="220">
        <f>IF($U$1="",0,N(ISNUMBER(SEARCH($U$1,Database!$AC354&amp;""))))+IF($V$1="",0,N(ISNUMBER(SEARCH($V$1,Database!$AC354&amp;""))))+IF($W$1="",0,N(ISNUMBER(SEARCH($W$1,Database!$AC354&amp;""))))+IF($X$1="",0,N(ISNUMBER(SEARCH($X$1,Database!$AC354&amp;""))))+IF($Y$1="",0,N(ISNUMBER(SEARCH($Y$1,Database!$AC354&amp;""))))+IF(Screener!$B$17="",0,N(ISNUMBER(SEARCH(LOWER(Screener!$B$17),Database!$AC354&amp;""))))</f>
        <v/>
      </c>
      <c r="I354" s="220">
        <f>IF(OR(N(Database!$BH354)&lt;=0,N(Screener!$D$13)&lt;=0),0,MAX(0,1-ABS(LOG10(N(Database!$BH354)/Screener!$D$13))/W_PEHW))</f>
        <v/>
      </c>
      <c r="J354" s="220">
        <f>IF(OR(N(Database!$S354)&lt;=0,N(Screener!$D$14)&lt;=0),0,MAX(0,1-ABS(LOG10(Database!$S354/Screener!$D$14))/0.6))</f>
        <v/>
      </c>
      <c r="K354" s="220">
        <f>IF(Database!$B354=Screener!$B$5,-999999,IF(ISNUMBER(SEARCH(","&amp;Database!$A354&amp;",",","&amp;SUBSTITUTE(Screener!$D$17," ","")&amp;",")),2000000,IF(IF(OR(Screener!$B$18="All",AND(Screener!$B$18="With A-share",(Database!$BM354="Y")),AND(Screener!$B$18="Without A-share",NOT((Database!$BM354="Y")))),1,0)=0,-999999,IF(Screener!$B$16="cornerstone overlap first",H354*100000,IF(Screener!$B$16="demand-similar first",J354*100000,0))+W_SUB*B354+W_SEC*C354*(1-B354)+W_SIZE*D354+W_PROF*E354+W_AH*F354+W_REC*G354+W_CS*H354+W_PE*I354)))+ROW()/1000000</f>
        <v/>
      </c>
      <c r="AA354" s="220">
        <f>Database!B343</f>
        <v/>
      </c>
      <c r="AB354" s="220">
        <f>Database!D343</f>
        <v/>
      </c>
      <c r="AC354" s="220">
        <f>Database!E343</f>
        <v/>
      </c>
      <c r="AD354" s="220">
        <f>Database!I343</f>
        <v/>
      </c>
      <c r="AE354" s="220">
        <f>Database!BG343</f>
        <v/>
      </c>
      <c r="AF354" s="220">
        <f>Database!BM343</f>
        <v/>
      </c>
      <c r="AG354" s="220">
        <f>Database!H343</f>
        <v/>
      </c>
      <c r="AH354" s="220">
        <f>Database!BH343</f>
        <v/>
      </c>
    </row>
    <row r="355">
      <c r="A355" s="220">
        <f>Database!B355</f>
        <v/>
      </c>
      <c r="B355" s="220">
        <f>IF(AND(Screener!$D$8&lt;&gt;"",Database!$E355=Screener!$D$8),1,0)</f>
        <v/>
      </c>
      <c r="C355" s="220">
        <f>IF(AND(Screener!$D$7&lt;&gt;"",Database!$D355=Screener!$D$7),1,0)</f>
        <v/>
      </c>
      <c r="D355" s="220">
        <f>IF(OR(N(Database!$I355)&lt;=0,N(Screener!$D$9)&lt;=0),0,MAX(0,1-ABS(LOG10(N(Database!$I355)/Screener!$D$9))/W_SIZEHW))</f>
        <v/>
      </c>
      <c r="E355" s="220">
        <f>IF(OR(Database!$BG355="",Screener!$D$10=""),0,IF(Database!$BG355=Screener!$D$10,1,0))</f>
        <v/>
      </c>
      <c r="F355" s="220">
        <f>IF(OR(Database!$BM355="",Screener!$D$11=""),0,IF(Database!$BM355=Screener!$D$11,1,0))</f>
        <v/>
      </c>
      <c r="G355" s="220">
        <f>IF(OR(Database!$H355="",N(Screener!$D$12)&lt;=0),0,MAX(0,1-(N(Screener!$D$12)-Database!$H355)/W_RECD))</f>
        <v/>
      </c>
      <c r="H355" s="220">
        <f>IF($U$1="",0,N(ISNUMBER(SEARCH($U$1,Database!$AC355&amp;""))))+IF($V$1="",0,N(ISNUMBER(SEARCH($V$1,Database!$AC355&amp;""))))+IF($W$1="",0,N(ISNUMBER(SEARCH($W$1,Database!$AC355&amp;""))))+IF($X$1="",0,N(ISNUMBER(SEARCH($X$1,Database!$AC355&amp;""))))+IF($Y$1="",0,N(ISNUMBER(SEARCH($Y$1,Database!$AC355&amp;""))))+IF(Screener!$B$17="",0,N(ISNUMBER(SEARCH(LOWER(Screener!$B$17),Database!$AC355&amp;""))))</f>
        <v/>
      </c>
      <c r="I355" s="220">
        <f>IF(OR(N(Database!$BH355)&lt;=0,N(Screener!$D$13)&lt;=0),0,MAX(0,1-ABS(LOG10(N(Database!$BH355)/Screener!$D$13))/W_PEHW))</f>
        <v/>
      </c>
      <c r="J355" s="220">
        <f>IF(OR(N(Database!$S355)&lt;=0,N(Screener!$D$14)&lt;=0),0,MAX(0,1-ABS(LOG10(Database!$S355/Screener!$D$14))/0.6))</f>
        <v/>
      </c>
      <c r="K355" s="220">
        <f>IF(Database!$B355=Screener!$B$5,-999999,IF(ISNUMBER(SEARCH(","&amp;Database!$A355&amp;",",","&amp;SUBSTITUTE(Screener!$D$17," ","")&amp;",")),2000000,IF(IF(OR(Screener!$B$18="All",AND(Screener!$B$18="With A-share",(Database!$BM355="Y")),AND(Screener!$B$18="Without A-share",NOT((Database!$BM355="Y")))),1,0)=0,-999999,IF(Screener!$B$16="cornerstone overlap first",H355*100000,IF(Screener!$B$16="demand-similar first",J355*100000,0))+W_SUB*B355+W_SEC*C355*(1-B355)+W_SIZE*D355+W_PROF*E355+W_AH*F355+W_REC*G355+W_CS*H355+W_PE*I355)))+ROW()/1000000</f>
        <v/>
      </c>
      <c r="AA355" s="220">
        <f>Database!B344</f>
        <v/>
      </c>
      <c r="AB355" s="220">
        <f>Database!D344</f>
        <v/>
      </c>
      <c r="AC355" s="220">
        <f>Database!E344</f>
        <v/>
      </c>
      <c r="AD355" s="220">
        <f>Database!I344</f>
        <v/>
      </c>
      <c r="AE355" s="220">
        <f>Database!BG344</f>
        <v/>
      </c>
      <c r="AF355" s="220">
        <f>Database!BM344</f>
        <v/>
      </c>
      <c r="AG355" s="220">
        <f>Database!H344</f>
        <v/>
      </c>
      <c r="AH355" s="220">
        <f>Database!BH344</f>
        <v/>
      </c>
    </row>
    <row r="356">
      <c r="A356" s="220">
        <f>Database!B356</f>
        <v/>
      </c>
      <c r="B356" s="220">
        <f>IF(AND(Screener!$D$8&lt;&gt;"",Database!$E356=Screener!$D$8),1,0)</f>
        <v/>
      </c>
      <c r="C356" s="220">
        <f>IF(AND(Screener!$D$7&lt;&gt;"",Database!$D356=Screener!$D$7),1,0)</f>
        <v/>
      </c>
      <c r="D356" s="220">
        <f>IF(OR(N(Database!$I356)&lt;=0,N(Screener!$D$9)&lt;=0),0,MAX(0,1-ABS(LOG10(N(Database!$I356)/Screener!$D$9))/W_SIZEHW))</f>
        <v/>
      </c>
      <c r="E356" s="220">
        <f>IF(OR(Database!$BG356="",Screener!$D$10=""),0,IF(Database!$BG356=Screener!$D$10,1,0))</f>
        <v/>
      </c>
      <c r="F356" s="220">
        <f>IF(OR(Database!$BM356="",Screener!$D$11=""),0,IF(Database!$BM356=Screener!$D$11,1,0))</f>
        <v/>
      </c>
      <c r="G356" s="220">
        <f>IF(OR(Database!$H356="",N(Screener!$D$12)&lt;=0),0,MAX(0,1-(N(Screener!$D$12)-Database!$H356)/W_RECD))</f>
        <v/>
      </c>
      <c r="H356" s="220">
        <f>IF($U$1="",0,N(ISNUMBER(SEARCH($U$1,Database!$AC356&amp;""))))+IF($V$1="",0,N(ISNUMBER(SEARCH($V$1,Database!$AC356&amp;""))))+IF($W$1="",0,N(ISNUMBER(SEARCH($W$1,Database!$AC356&amp;""))))+IF($X$1="",0,N(ISNUMBER(SEARCH($X$1,Database!$AC356&amp;""))))+IF($Y$1="",0,N(ISNUMBER(SEARCH($Y$1,Database!$AC356&amp;""))))+IF(Screener!$B$17="",0,N(ISNUMBER(SEARCH(LOWER(Screener!$B$17),Database!$AC356&amp;""))))</f>
        <v/>
      </c>
      <c r="I356" s="220">
        <f>IF(OR(N(Database!$BH356)&lt;=0,N(Screener!$D$13)&lt;=0),0,MAX(0,1-ABS(LOG10(N(Database!$BH356)/Screener!$D$13))/W_PEHW))</f>
        <v/>
      </c>
      <c r="J356" s="220">
        <f>IF(OR(N(Database!$S356)&lt;=0,N(Screener!$D$14)&lt;=0),0,MAX(0,1-ABS(LOG10(Database!$S356/Screener!$D$14))/0.6))</f>
        <v/>
      </c>
      <c r="K356" s="220">
        <f>IF(Database!$B356=Screener!$B$5,-999999,IF(ISNUMBER(SEARCH(","&amp;Database!$A356&amp;",",","&amp;SUBSTITUTE(Screener!$D$17," ","")&amp;",")),2000000,IF(IF(OR(Screener!$B$18="All",AND(Screener!$B$18="With A-share",(Database!$BM356="Y")),AND(Screener!$B$18="Without A-share",NOT((Database!$BM356="Y")))),1,0)=0,-999999,IF(Screener!$B$16="cornerstone overlap first",H356*100000,IF(Screener!$B$16="demand-similar first",J356*100000,0))+W_SUB*B356+W_SEC*C356*(1-B356)+W_SIZE*D356+W_PROF*E356+W_AH*F356+W_REC*G356+W_CS*H356+W_PE*I356)))+ROW()/1000000</f>
        <v/>
      </c>
      <c r="AA356" s="220">
        <f>Database!B345</f>
        <v/>
      </c>
      <c r="AB356" s="220">
        <f>Database!D345</f>
        <v/>
      </c>
      <c r="AC356" s="220">
        <f>Database!E345</f>
        <v/>
      </c>
      <c r="AD356" s="220">
        <f>Database!I345</f>
        <v/>
      </c>
      <c r="AE356" s="220">
        <f>Database!BG345</f>
        <v/>
      </c>
      <c r="AF356" s="220">
        <f>Database!BM345</f>
        <v/>
      </c>
      <c r="AG356" s="220">
        <f>Database!H345</f>
        <v/>
      </c>
      <c r="AH356" s="220">
        <f>Database!BH345</f>
        <v/>
      </c>
    </row>
    <row r="357">
      <c r="A357" s="220">
        <f>Database!B357</f>
        <v/>
      </c>
      <c r="B357" s="220">
        <f>IF(AND(Screener!$D$8&lt;&gt;"",Database!$E357=Screener!$D$8),1,0)</f>
        <v/>
      </c>
      <c r="C357" s="220">
        <f>IF(AND(Screener!$D$7&lt;&gt;"",Database!$D357=Screener!$D$7),1,0)</f>
        <v/>
      </c>
      <c r="D357" s="220">
        <f>IF(OR(N(Database!$I357)&lt;=0,N(Screener!$D$9)&lt;=0),0,MAX(0,1-ABS(LOG10(N(Database!$I357)/Screener!$D$9))/W_SIZEHW))</f>
        <v/>
      </c>
      <c r="E357" s="220">
        <f>IF(OR(Database!$BG357="",Screener!$D$10=""),0,IF(Database!$BG357=Screener!$D$10,1,0))</f>
        <v/>
      </c>
      <c r="F357" s="220">
        <f>IF(OR(Database!$BM357="",Screener!$D$11=""),0,IF(Database!$BM357=Screener!$D$11,1,0))</f>
        <v/>
      </c>
      <c r="G357" s="220">
        <f>IF(OR(Database!$H357="",N(Screener!$D$12)&lt;=0),0,MAX(0,1-(N(Screener!$D$12)-Database!$H357)/W_RECD))</f>
        <v/>
      </c>
      <c r="H357" s="220">
        <f>IF($U$1="",0,N(ISNUMBER(SEARCH($U$1,Database!$AC357&amp;""))))+IF($V$1="",0,N(ISNUMBER(SEARCH($V$1,Database!$AC357&amp;""))))+IF($W$1="",0,N(ISNUMBER(SEARCH($W$1,Database!$AC357&amp;""))))+IF($X$1="",0,N(ISNUMBER(SEARCH($X$1,Database!$AC357&amp;""))))+IF($Y$1="",0,N(ISNUMBER(SEARCH($Y$1,Database!$AC357&amp;""))))+IF(Screener!$B$17="",0,N(ISNUMBER(SEARCH(LOWER(Screener!$B$17),Database!$AC357&amp;""))))</f>
        <v/>
      </c>
      <c r="I357" s="220">
        <f>IF(OR(N(Database!$BH357)&lt;=0,N(Screener!$D$13)&lt;=0),0,MAX(0,1-ABS(LOG10(N(Database!$BH357)/Screener!$D$13))/W_PEHW))</f>
        <v/>
      </c>
      <c r="J357" s="220">
        <f>IF(OR(N(Database!$S357)&lt;=0,N(Screener!$D$14)&lt;=0),0,MAX(0,1-ABS(LOG10(Database!$S357/Screener!$D$14))/0.6))</f>
        <v/>
      </c>
      <c r="K357" s="220">
        <f>IF(Database!$B357=Screener!$B$5,-999999,IF(ISNUMBER(SEARCH(","&amp;Database!$A357&amp;",",","&amp;SUBSTITUTE(Screener!$D$17," ","")&amp;",")),2000000,IF(IF(OR(Screener!$B$18="All",AND(Screener!$B$18="With A-share",(Database!$BM357="Y")),AND(Screener!$B$18="Without A-share",NOT((Database!$BM357="Y")))),1,0)=0,-999999,IF(Screener!$B$16="cornerstone overlap first",H357*100000,IF(Screener!$B$16="demand-similar first",J357*100000,0))+W_SUB*B357+W_SEC*C357*(1-B357)+W_SIZE*D357+W_PROF*E357+W_AH*F357+W_REC*G357+W_CS*H357+W_PE*I357)))+ROW()/1000000</f>
        <v/>
      </c>
      <c r="AA357" s="220">
        <f>Database!B346</f>
        <v/>
      </c>
      <c r="AB357" s="220">
        <f>Database!D346</f>
        <v/>
      </c>
      <c r="AC357" s="220">
        <f>Database!E346</f>
        <v/>
      </c>
      <c r="AD357" s="220">
        <f>Database!I346</f>
        <v/>
      </c>
      <c r="AE357" s="220">
        <f>Database!BG346</f>
        <v/>
      </c>
      <c r="AF357" s="220">
        <f>Database!BM346</f>
        <v/>
      </c>
      <c r="AG357" s="220">
        <f>Database!H346</f>
        <v/>
      </c>
      <c r="AH357" s="220">
        <f>Database!BH346</f>
        <v/>
      </c>
    </row>
    <row r="358">
      <c r="A358" s="220">
        <f>Database!B358</f>
        <v/>
      </c>
      <c r="B358" s="220">
        <f>IF(AND(Screener!$D$8&lt;&gt;"",Database!$E358=Screener!$D$8),1,0)</f>
        <v/>
      </c>
      <c r="C358" s="220">
        <f>IF(AND(Screener!$D$7&lt;&gt;"",Database!$D358=Screener!$D$7),1,0)</f>
        <v/>
      </c>
      <c r="D358" s="220">
        <f>IF(OR(N(Database!$I358)&lt;=0,N(Screener!$D$9)&lt;=0),0,MAX(0,1-ABS(LOG10(N(Database!$I358)/Screener!$D$9))/W_SIZEHW))</f>
        <v/>
      </c>
      <c r="E358" s="220">
        <f>IF(OR(Database!$BG358="",Screener!$D$10=""),0,IF(Database!$BG358=Screener!$D$10,1,0))</f>
        <v/>
      </c>
      <c r="F358" s="220">
        <f>IF(OR(Database!$BM358="",Screener!$D$11=""),0,IF(Database!$BM358=Screener!$D$11,1,0))</f>
        <v/>
      </c>
      <c r="G358" s="220">
        <f>IF(OR(Database!$H358="",N(Screener!$D$12)&lt;=0),0,MAX(0,1-(N(Screener!$D$12)-Database!$H358)/W_RECD))</f>
        <v/>
      </c>
      <c r="H358" s="220">
        <f>IF($U$1="",0,N(ISNUMBER(SEARCH($U$1,Database!$AC358&amp;""))))+IF($V$1="",0,N(ISNUMBER(SEARCH($V$1,Database!$AC358&amp;""))))+IF($W$1="",0,N(ISNUMBER(SEARCH($W$1,Database!$AC358&amp;""))))+IF($X$1="",0,N(ISNUMBER(SEARCH($X$1,Database!$AC358&amp;""))))+IF($Y$1="",0,N(ISNUMBER(SEARCH($Y$1,Database!$AC358&amp;""))))+IF(Screener!$B$17="",0,N(ISNUMBER(SEARCH(LOWER(Screener!$B$17),Database!$AC358&amp;""))))</f>
        <v/>
      </c>
      <c r="I358" s="220">
        <f>IF(OR(N(Database!$BH358)&lt;=0,N(Screener!$D$13)&lt;=0),0,MAX(0,1-ABS(LOG10(N(Database!$BH358)/Screener!$D$13))/W_PEHW))</f>
        <v/>
      </c>
      <c r="J358" s="220">
        <f>IF(OR(N(Database!$S358)&lt;=0,N(Screener!$D$14)&lt;=0),0,MAX(0,1-ABS(LOG10(Database!$S358/Screener!$D$14))/0.6))</f>
        <v/>
      </c>
      <c r="K358" s="220">
        <f>IF(Database!$B358=Screener!$B$5,-999999,IF(ISNUMBER(SEARCH(","&amp;Database!$A358&amp;",",","&amp;SUBSTITUTE(Screener!$D$17," ","")&amp;",")),2000000,IF(IF(OR(Screener!$B$18="All",AND(Screener!$B$18="With A-share",(Database!$BM358="Y")),AND(Screener!$B$18="Without A-share",NOT((Database!$BM358="Y")))),1,0)=0,-999999,IF(Screener!$B$16="cornerstone overlap first",H358*100000,IF(Screener!$B$16="demand-similar first",J358*100000,0))+W_SUB*B358+W_SEC*C358*(1-B358)+W_SIZE*D358+W_PROF*E358+W_AH*F358+W_REC*G358+W_CS*H358+W_PE*I358)))+ROW()/1000000</f>
        <v/>
      </c>
      <c r="AA358" s="220">
        <f>Database!B347</f>
        <v/>
      </c>
      <c r="AB358" s="220">
        <f>Database!D347</f>
        <v/>
      </c>
      <c r="AC358" s="220">
        <f>Database!E347</f>
        <v/>
      </c>
      <c r="AD358" s="220">
        <f>Database!I347</f>
        <v/>
      </c>
      <c r="AE358" s="220">
        <f>Database!BG347</f>
        <v/>
      </c>
      <c r="AF358" s="220">
        <f>Database!BM347</f>
        <v/>
      </c>
      <c r="AG358" s="220">
        <f>Database!H347</f>
        <v/>
      </c>
      <c r="AH358" s="220">
        <f>Database!BH347</f>
        <v/>
      </c>
    </row>
    <row r="359">
      <c r="A359" s="220">
        <f>Database!B359</f>
        <v/>
      </c>
      <c r="B359" s="220">
        <f>IF(AND(Screener!$D$8&lt;&gt;"",Database!$E359=Screener!$D$8),1,0)</f>
        <v/>
      </c>
      <c r="C359" s="220">
        <f>IF(AND(Screener!$D$7&lt;&gt;"",Database!$D359=Screener!$D$7),1,0)</f>
        <v/>
      </c>
      <c r="D359" s="220">
        <f>IF(OR(N(Database!$I359)&lt;=0,N(Screener!$D$9)&lt;=0),0,MAX(0,1-ABS(LOG10(N(Database!$I359)/Screener!$D$9))/W_SIZEHW))</f>
        <v/>
      </c>
      <c r="E359" s="220">
        <f>IF(OR(Database!$BG359="",Screener!$D$10=""),0,IF(Database!$BG359=Screener!$D$10,1,0))</f>
        <v/>
      </c>
      <c r="F359" s="220">
        <f>IF(OR(Database!$BM359="",Screener!$D$11=""),0,IF(Database!$BM359=Screener!$D$11,1,0))</f>
        <v/>
      </c>
      <c r="G359" s="220">
        <f>IF(OR(Database!$H359="",N(Screener!$D$12)&lt;=0),0,MAX(0,1-(N(Screener!$D$12)-Database!$H359)/W_RECD))</f>
        <v/>
      </c>
      <c r="H359" s="220">
        <f>IF($U$1="",0,N(ISNUMBER(SEARCH($U$1,Database!$AC359&amp;""))))+IF($V$1="",0,N(ISNUMBER(SEARCH($V$1,Database!$AC359&amp;""))))+IF($W$1="",0,N(ISNUMBER(SEARCH($W$1,Database!$AC359&amp;""))))+IF($X$1="",0,N(ISNUMBER(SEARCH($X$1,Database!$AC359&amp;""))))+IF($Y$1="",0,N(ISNUMBER(SEARCH($Y$1,Database!$AC359&amp;""))))+IF(Screener!$B$17="",0,N(ISNUMBER(SEARCH(LOWER(Screener!$B$17),Database!$AC359&amp;""))))</f>
        <v/>
      </c>
      <c r="I359" s="220">
        <f>IF(OR(N(Database!$BH359)&lt;=0,N(Screener!$D$13)&lt;=0),0,MAX(0,1-ABS(LOG10(N(Database!$BH359)/Screener!$D$13))/W_PEHW))</f>
        <v/>
      </c>
      <c r="J359" s="220">
        <f>IF(OR(N(Database!$S359)&lt;=0,N(Screener!$D$14)&lt;=0),0,MAX(0,1-ABS(LOG10(Database!$S359/Screener!$D$14))/0.6))</f>
        <v/>
      </c>
      <c r="K359" s="220">
        <f>IF(Database!$B359=Screener!$B$5,-999999,IF(ISNUMBER(SEARCH(","&amp;Database!$A359&amp;",",","&amp;SUBSTITUTE(Screener!$D$17," ","")&amp;",")),2000000,IF(IF(OR(Screener!$B$18="All",AND(Screener!$B$18="With A-share",(Database!$BM359="Y")),AND(Screener!$B$18="Without A-share",NOT((Database!$BM359="Y")))),1,0)=0,-999999,IF(Screener!$B$16="cornerstone overlap first",H359*100000,IF(Screener!$B$16="demand-similar first",J359*100000,0))+W_SUB*B359+W_SEC*C359*(1-B359)+W_SIZE*D359+W_PROF*E359+W_AH*F359+W_REC*G359+W_CS*H359+W_PE*I359)))+ROW()/1000000</f>
        <v/>
      </c>
      <c r="AA359" s="220">
        <f>Database!B348</f>
        <v/>
      </c>
      <c r="AB359" s="220">
        <f>Database!D348</f>
        <v/>
      </c>
      <c r="AC359" s="220">
        <f>Database!E348</f>
        <v/>
      </c>
      <c r="AD359" s="220">
        <f>Database!I348</f>
        <v/>
      </c>
      <c r="AE359" s="220">
        <f>Database!BG348</f>
        <v/>
      </c>
      <c r="AF359" s="220">
        <f>Database!BM348</f>
        <v/>
      </c>
      <c r="AG359" s="220">
        <f>Database!H348</f>
        <v/>
      </c>
      <c r="AH359" s="220">
        <f>Database!BH348</f>
        <v/>
      </c>
    </row>
    <row r="360">
      <c r="A360" s="220">
        <f>Database!B360</f>
        <v/>
      </c>
      <c r="B360" s="220">
        <f>IF(AND(Screener!$D$8&lt;&gt;"",Database!$E360=Screener!$D$8),1,0)</f>
        <v/>
      </c>
      <c r="C360" s="220">
        <f>IF(AND(Screener!$D$7&lt;&gt;"",Database!$D360=Screener!$D$7),1,0)</f>
        <v/>
      </c>
      <c r="D360" s="220">
        <f>IF(OR(N(Database!$I360)&lt;=0,N(Screener!$D$9)&lt;=0),0,MAX(0,1-ABS(LOG10(N(Database!$I360)/Screener!$D$9))/W_SIZEHW))</f>
        <v/>
      </c>
      <c r="E360" s="220">
        <f>IF(OR(Database!$BG360="",Screener!$D$10=""),0,IF(Database!$BG360=Screener!$D$10,1,0))</f>
        <v/>
      </c>
      <c r="F360" s="220">
        <f>IF(OR(Database!$BM360="",Screener!$D$11=""),0,IF(Database!$BM360=Screener!$D$11,1,0))</f>
        <v/>
      </c>
      <c r="G360" s="220">
        <f>IF(OR(Database!$H360="",N(Screener!$D$12)&lt;=0),0,MAX(0,1-(N(Screener!$D$12)-Database!$H360)/W_RECD))</f>
        <v/>
      </c>
      <c r="H360" s="220">
        <f>IF($U$1="",0,N(ISNUMBER(SEARCH($U$1,Database!$AC360&amp;""))))+IF($V$1="",0,N(ISNUMBER(SEARCH($V$1,Database!$AC360&amp;""))))+IF($W$1="",0,N(ISNUMBER(SEARCH($W$1,Database!$AC360&amp;""))))+IF($X$1="",0,N(ISNUMBER(SEARCH($X$1,Database!$AC360&amp;""))))+IF($Y$1="",0,N(ISNUMBER(SEARCH($Y$1,Database!$AC360&amp;""))))+IF(Screener!$B$17="",0,N(ISNUMBER(SEARCH(LOWER(Screener!$B$17),Database!$AC360&amp;""))))</f>
        <v/>
      </c>
      <c r="I360" s="220">
        <f>IF(OR(N(Database!$BH360)&lt;=0,N(Screener!$D$13)&lt;=0),0,MAX(0,1-ABS(LOG10(N(Database!$BH360)/Screener!$D$13))/W_PEHW))</f>
        <v/>
      </c>
      <c r="J360" s="220">
        <f>IF(OR(N(Database!$S360)&lt;=0,N(Screener!$D$14)&lt;=0),0,MAX(0,1-ABS(LOG10(Database!$S360/Screener!$D$14))/0.6))</f>
        <v/>
      </c>
      <c r="K360" s="220">
        <f>IF(Database!$B360=Screener!$B$5,-999999,IF(ISNUMBER(SEARCH(","&amp;Database!$A360&amp;",",","&amp;SUBSTITUTE(Screener!$D$17," ","")&amp;",")),2000000,IF(IF(OR(Screener!$B$18="All",AND(Screener!$B$18="With A-share",(Database!$BM360="Y")),AND(Screener!$B$18="Without A-share",NOT((Database!$BM360="Y")))),1,0)=0,-999999,IF(Screener!$B$16="cornerstone overlap first",H360*100000,IF(Screener!$B$16="demand-similar first",J360*100000,0))+W_SUB*B360+W_SEC*C360*(1-B360)+W_SIZE*D360+W_PROF*E360+W_AH*F360+W_REC*G360+W_CS*H360+W_PE*I360)))+ROW()/1000000</f>
        <v/>
      </c>
      <c r="AA360" s="220">
        <f>Database!B349</f>
        <v/>
      </c>
      <c r="AB360" s="220">
        <f>Database!D349</f>
        <v/>
      </c>
      <c r="AC360" s="220">
        <f>Database!E349</f>
        <v/>
      </c>
      <c r="AD360" s="220">
        <f>Database!I349</f>
        <v/>
      </c>
      <c r="AE360" s="220">
        <f>Database!BG349</f>
        <v/>
      </c>
      <c r="AF360" s="220">
        <f>Database!BM349</f>
        <v/>
      </c>
      <c r="AG360" s="220">
        <f>Database!H349</f>
        <v/>
      </c>
      <c r="AH360" s="220">
        <f>Database!BH349</f>
        <v/>
      </c>
    </row>
    <row r="361">
      <c r="A361" s="220">
        <f>Database!B361</f>
        <v/>
      </c>
      <c r="B361" s="220">
        <f>IF(AND(Screener!$D$8&lt;&gt;"",Database!$E361=Screener!$D$8),1,0)</f>
        <v/>
      </c>
      <c r="C361" s="220">
        <f>IF(AND(Screener!$D$7&lt;&gt;"",Database!$D361=Screener!$D$7),1,0)</f>
        <v/>
      </c>
      <c r="D361" s="220">
        <f>IF(OR(N(Database!$I361)&lt;=0,N(Screener!$D$9)&lt;=0),0,MAX(0,1-ABS(LOG10(N(Database!$I361)/Screener!$D$9))/W_SIZEHW))</f>
        <v/>
      </c>
      <c r="E361" s="220">
        <f>IF(OR(Database!$BG361="",Screener!$D$10=""),0,IF(Database!$BG361=Screener!$D$10,1,0))</f>
        <v/>
      </c>
      <c r="F361" s="220">
        <f>IF(OR(Database!$BM361="",Screener!$D$11=""),0,IF(Database!$BM361=Screener!$D$11,1,0))</f>
        <v/>
      </c>
      <c r="G361" s="220">
        <f>IF(OR(Database!$H361="",N(Screener!$D$12)&lt;=0),0,MAX(0,1-(N(Screener!$D$12)-Database!$H361)/W_RECD))</f>
        <v/>
      </c>
      <c r="H361" s="220">
        <f>IF($U$1="",0,N(ISNUMBER(SEARCH($U$1,Database!$AC361&amp;""))))+IF($V$1="",0,N(ISNUMBER(SEARCH($V$1,Database!$AC361&amp;""))))+IF($W$1="",0,N(ISNUMBER(SEARCH($W$1,Database!$AC361&amp;""))))+IF($X$1="",0,N(ISNUMBER(SEARCH($X$1,Database!$AC361&amp;""))))+IF($Y$1="",0,N(ISNUMBER(SEARCH($Y$1,Database!$AC361&amp;""))))+IF(Screener!$B$17="",0,N(ISNUMBER(SEARCH(LOWER(Screener!$B$17),Database!$AC361&amp;""))))</f>
        <v/>
      </c>
      <c r="I361" s="220">
        <f>IF(OR(N(Database!$BH361)&lt;=0,N(Screener!$D$13)&lt;=0),0,MAX(0,1-ABS(LOG10(N(Database!$BH361)/Screener!$D$13))/W_PEHW))</f>
        <v/>
      </c>
      <c r="J361" s="220">
        <f>IF(OR(N(Database!$S361)&lt;=0,N(Screener!$D$14)&lt;=0),0,MAX(0,1-ABS(LOG10(Database!$S361/Screener!$D$14))/0.6))</f>
        <v/>
      </c>
      <c r="K361" s="220">
        <f>IF(Database!$B361=Screener!$B$5,-999999,IF(ISNUMBER(SEARCH(","&amp;Database!$A361&amp;",",","&amp;SUBSTITUTE(Screener!$D$17," ","")&amp;",")),2000000,IF(IF(OR(Screener!$B$18="All",AND(Screener!$B$18="With A-share",(Database!$BM361="Y")),AND(Screener!$B$18="Without A-share",NOT((Database!$BM361="Y")))),1,0)=0,-999999,IF(Screener!$B$16="cornerstone overlap first",H361*100000,IF(Screener!$B$16="demand-similar first",J361*100000,0))+W_SUB*B361+W_SEC*C361*(1-B361)+W_SIZE*D361+W_PROF*E361+W_AH*F361+W_REC*G361+W_CS*H361+W_PE*I361)))+ROW()/1000000</f>
        <v/>
      </c>
      <c r="AA361" s="220">
        <f>Database!B350</f>
        <v/>
      </c>
      <c r="AB361" s="220">
        <f>Database!D350</f>
        <v/>
      </c>
      <c r="AC361" s="220">
        <f>Database!E350</f>
        <v/>
      </c>
      <c r="AD361" s="220">
        <f>Database!I350</f>
        <v/>
      </c>
      <c r="AE361" s="220">
        <f>Database!BG350</f>
        <v/>
      </c>
      <c r="AF361" s="220">
        <f>Database!BM350</f>
        <v/>
      </c>
      <c r="AG361" s="220">
        <f>Database!H350</f>
        <v/>
      </c>
      <c r="AH361" s="220">
        <f>Database!BH350</f>
        <v/>
      </c>
    </row>
    <row r="362">
      <c r="A362" s="220">
        <f>Database!B362</f>
        <v/>
      </c>
      <c r="B362" s="220">
        <f>IF(AND(Screener!$D$8&lt;&gt;"",Database!$E362=Screener!$D$8),1,0)</f>
        <v/>
      </c>
      <c r="C362" s="220">
        <f>IF(AND(Screener!$D$7&lt;&gt;"",Database!$D362=Screener!$D$7),1,0)</f>
        <v/>
      </c>
      <c r="D362" s="220">
        <f>IF(OR(N(Database!$I362)&lt;=0,N(Screener!$D$9)&lt;=0),0,MAX(0,1-ABS(LOG10(N(Database!$I362)/Screener!$D$9))/W_SIZEHW))</f>
        <v/>
      </c>
      <c r="E362" s="220">
        <f>IF(OR(Database!$BG362="",Screener!$D$10=""),0,IF(Database!$BG362=Screener!$D$10,1,0))</f>
        <v/>
      </c>
      <c r="F362" s="220">
        <f>IF(OR(Database!$BM362="",Screener!$D$11=""),0,IF(Database!$BM362=Screener!$D$11,1,0))</f>
        <v/>
      </c>
      <c r="G362" s="220">
        <f>IF(OR(Database!$H362="",N(Screener!$D$12)&lt;=0),0,MAX(0,1-(N(Screener!$D$12)-Database!$H362)/W_RECD))</f>
        <v/>
      </c>
      <c r="H362" s="220">
        <f>IF($U$1="",0,N(ISNUMBER(SEARCH($U$1,Database!$AC362&amp;""))))+IF($V$1="",0,N(ISNUMBER(SEARCH($V$1,Database!$AC362&amp;""))))+IF($W$1="",0,N(ISNUMBER(SEARCH($W$1,Database!$AC362&amp;""))))+IF($X$1="",0,N(ISNUMBER(SEARCH($X$1,Database!$AC362&amp;""))))+IF($Y$1="",0,N(ISNUMBER(SEARCH($Y$1,Database!$AC362&amp;""))))+IF(Screener!$B$17="",0,N(ISNUMBER(SEARCH(LOWER(Screener!$B$17),Database!$AC362&amp;""))))</f>
        <v/>
      </c>
      <c r="I362" s="220">
        <f>IF(OR(N(Database!$BH362)&lt;=0,N(Screener!$D$13)&lt;=0),0,MAX(0,1-ABS(LOG10(N(Database!$BH362)/Screener!$D$13))/W_PEHW))</f>
        <v/>
      </c>
      <c r="J362" s="220">
        <f>IF(OR(N(Database!$S362)&lt;=0,N(Screener!$D$14)&lt;=0),0,MAX(0,1-ABS(LOG10(Database!$S362/Screener!$D$14))/0.6))</f>
        <v/>
      </c>
      <c r="K362" s="220">
        <f>IF(Database!$B362=Screener!$B$5,-999999,IF(ISNUMBER(SEARCH(","&amp;Database!$A362&amp;",",","&amp;SUBSTITUTE(Screener!$D$17," ","")&amp;",")),2000000,IF(IF(OR(Screener!$B$18="All",AND(Screener!$B$18="With A-share",(Database!$BM362="Y")),AND(Screener!$B$18="Without A-share",NOT((Database!$BM362="Y")))),1,0)=0,-999999,IF(Screener!$B$16="cornerstone overlap first",H362*100000,IF(Screener!$B$16="demand-similar first",J362*100000,0))+W_SUB*B362+W_SEC*C362*(1-B362)+W_SIZE*D362+W_PROF*E362+W_AH*F362+W_REC*G362+W_CS*H362+W_PE*I362)))+ROW()/1000000</f>
        <v/>
      </c>
      <c r="AA362" s="220">
        <f>Database!B351</f>
        <v/>
      </c>
      <c r="AB362" s="220">
        <f>Database!D351</f>
        <v/>
      </c>
      <c r="AC362" s="220">
        <f>Database!E351</f>
        <v/>
      </c>
      <c r="AD362" s="220">
        <f>Database!I351</f>
        <v/>
      </c>
      <c r="AE362" s="220">
        <f>Database!BG351</f>
        <v/>
      </c>
      <c r="AF362" s="220">
        <f>Database!BM351</f>
        <v/>
      </c>
      <c r="AG362" s="220">
        <f>Database!H351</f>
        <v/>
      </c>
      <c r="AH362" s="220">
        <f>Database!BH351</f>
        <v/>
      </c>
    </row>
    <row r="363">
      <c r="A363" s="220">
        <f>Database!B363</f>
        <v/>
      </c>
      <c r="B363" s="220">
        <f>IF(AND(Screener!$D$8&lt;&gt;"",Database!$E363=Screener!$D$8),1,0)</f>
        <v/>
      </c>
      <c r="C363" s="220">
        <f>IF(AND(Screener!$D$7&lt;&gt;"",Database!$D363=Screener!$D$7),1,0)</f>
        <v/>
      </c>
      <c r="D363" s="220">
        <f>IF(OR(N(Database!$I363)&lt;=0,N(Screener!$D$9)&lt;=0),0,MAX(0,1-ABS(LOG10(N(Database!$I363)/Screener!$D$9))/W_SIZEHW))</f>
        <v/>
      </c>
      <c r="E363" s="220">
        <f>IF(OR(Database!$BG363="",Screener!$D$10=""),0,IF(Database!$BG363=Screener!$D$10,1,0))</f>
        <v/>
      </c>
      <c r="F363" s="220">
        <f>IF(OR(Database!$BM363="",Screener!$D$11=""),0,IF(Database!$BM363=Screener!$D$11,1,0))</f>
        <v/>
      </c>
      <c r="G363" s="220">
        <f>IF(OR(Database!$H363="",N(Screener!$D$12)&lt;=0),0,MAX(0,1-(N(Screener!$D$12)-Database!$H363)/W_RECD))</f>
        <v/>
      </c>
      <c r="H363" s="220">
        <f>IF($U$1="",0,N(ISNUMBER(SEARCH($U$1,Database!$AC363&amp;""))))+IF($V$1="",0,N(ISNUMBER(SEARCH($V$1,Database!$AC363&amp;""))))+IF($W$1="",0,N(ISNUMBER(SEARCH($W$1,Database!$AC363&amp;""))))+IF($X$1="",0,N(ISNUMBER(SEARCH($X$1,Database!$AC363&amp;""))))+IF($Y$1="",0,N(ISNUMBER(SEARCH($Y$1,Database!$AC363&amp;""))))+IF(Screener!$B$17="",0,N(ISNUMBER(SEARCH(LOWER(Screener!$B$17),Database!$AC363&amp;""))))</f>
        <v/>
      </c>
      <c r="I363" s="220">
        <f>IF(OR(N(Database!$BH363)&lt;=0,N(Screener!$D$13)&lt;=0),0,MAX(0,1-ABS(LOG10(N(Database!$BH363)/Screener!$D$13))/W_PEHW))</f>
        <v/>
      </c>
      <c r="J363" s="220">
        <f>IF(OR(N(Database!$S363)&lt;=0,N(Screener!$D$14)&lt;=0),0,MAX(0,1-ABS(LOG10(Database!$S363/Screener!$D$14))/0.6))</f>
        <v/>
      </c>
      <c r="K363" s="220">
        <f>IF(Database!$B363=Screener!$B$5,-999999,IF(ISNUMBER(SEARCH(","&amp;Database!$A363&amp;",",","&amp;SUBSTITUTE(Screener!$D$17," ","")&amp;",")),2000000,IF(IF(OR(Screener!$B$18="All",AND(Screener!$B$18="With A-share",(Database!$BM363="Y")),AND(Screener!$B$18="Without A-share",NOT((Database!$BM363="Y")))),1,0)=0,-999999,IF(Screener!$B$16="cornerstone overlap first",H363*100000,IF(Screener!$B$16="demand-similar first",J363*100000,0))+W_SUB*B363+W_SEC*C363*(1-B363)+W_SIZE*D363+W_PROF*E363+W_AH*F363+W_REC*G363+W_CS*H363+W_PE*I363)))+ROW()/1000000</f>
        <v/>
      </c>
      <c r="AA363" s="220">
        <f>Database!B352</f>
        <v/>
      </c>
      <c r="AB363" s="220">
        <f>Database!D352</f>
        <v/>
      </c>
      <c r="AC363" s="220">
        <f>Database!E352</f>
        <v/>
      </c>
      <c r="AD363" s="220">
        <f>Database!I352</f>
        <v/>
      </c>
      <c r="AE363" s="220">
        <f>Database!BG352</f>
        <v/>
      </c>
      <c r="AF363" s="220">
        <f>Database!BM352</f>
        <v/>
      </c>
      <c r="AG363" s="220">
        <f>Database!H352</f>
        <v/>
      </c>
      <c r="AH363" s="220">
        <f>Database!BH352</f>
        <v/>
      </c>
    </row>
    <row r="364">
      <c r="A364" s="220">
        <f>Database!B364</f>
        <v/>
      </c>
      <c r="B364" s="220">
        <f>IF(AND(Screener!$D$8&lt;&gt;"",Database!$E364=Screener!$D$8),1,0)</f>
        <v/>
      </c>
      <c r="C364" s="220">
        <f>IF(AND(Screener!$D$7&lt;&gt;"",Database!$D364=Screener!$D$7),1,0)</f>
        <v/>
      </c>
      <c r="D364" s="220">
        <f>IF(OR(N(Database!$I364)&lt;=0,N(Screener!$D$9)&lt;=0),0,MAX(0,1-ABS(LOG10(N(Database!$I364)/Screener!$D$9))/W_SIZEHW))</f>
        <v/>
      </c>
      <c r="E364" s="220">
        <f>IF(OR(Database!$BG364="",Screener!$D$10=""),0,IF(Database!$BG364=Screener!$D$10,1,0))</f>
        <v/>
      </c>
      <c r="F364" s="220">
        <f>IF(OR(Database!$BM364="",Screener!$D$11=""),0,IF(Database!$BM364=Screener!$D$11,1,0))</f>
        <v/>
      </c>
      <c r="G364" s="220">
        <f>IF(OR(Database!$H364="",N(Screener!$D$12)&lt;=0),0,MAX(0,1-(N(Screener!$D$12)-Database!$H364)/W_RECD))</f>
        <v/>
      </c>
      <c r="H364" s="220">
        <f>IF($U$1="",0,N(ISNUMBER(SEARCH($U$1,Database!$AC364&amp;""))))+IF($V$1="",0,N(ISNUMBER(SEARCH($V$1,Database!$AC364&amp;""))))+IF($W$1="",0,N(ISNUMBER(SEARCH($W$1,Database!$AC364&amp;""))))+IF($X$1="",0,N(ISNUMBER(SEARCH($X$1,Database!$AC364&amp;""))))+IF($Y$1="",0,N(ISNUMBER(SEARCH($Y$1,Database!$AC364&amp;""))))+IF(Screener!$B$17="",0,N(ISNUMBER(SEARCH(LOWER(Screener!$B$17),Database!$AC364&amp;""))))</f>
        <v/>
      </c>
      <c r="I364" s="220">
        <f>IF(OR(N(Database!$BH364)&lt;=0,N(Screener!$D$13)&lt;=0),0,MAX(0,1-ABS(LOG10(N(Database!$BH364)/Screener!$D$13))/W_PEHW))</f>
        <v/>
      </c>
      <c r="J364" s="220">
        <f>IF(OR(N(Database!$S364)&lt;=0,N(Screener!$D$14)&lt;=0),0,MAX(0,1-ABS(LOG10(Database!$S364/Screener!$D$14))/0.6))</f>
        <v/>
      </c>
      <c r="K364" s="220">
        <f>IF(Database!$B364=Screener!$B$5,-999999,IF(ISNUMBER(SEARCH(","&amp;Database!$A364&amp;",",","&amp;SUBSTITUTE(Screener!$D$17," ","")&amp;",")),2000000,IF(IF(OR(Screener!$B$18="All",AND(Screener!$B$18="With A-share",(Database!$BM364="Y")),AND(Screener!$B$18="Without A-share",NOT((Database!$BM364="Y")))),1,0)=0,-999999,IF(Screener!$B$16="cornerstone overlap first",H364*100000,IF(Screener!$B$16="demand-similar first",J364*100000,0))+W_SUB*B364+W_SEC*C364*(1-B364)+W_SIZE*D364+W_PROF*E364+W_AH*F364+W_REC*G364+W_CS*H364+W_PE*I364)))+ROW()/1000000</f>
        <v/>
      </c>
      <c r="AA364" s="220">
        <f>Database!B353</f>
        <v/>
      </c>
      <c r="AB364" s="220">
        <f>Database!D353</f>
        <v/>
      </c>
      <c r="AC364" s="220">
        <f>Database!E353</f>
        <v/>
      </c>
      <c r="AD364" s="220">
        <f>Database!I353</f>
        <v/>
      </c>
      <c r="AE364" s="220">
        <f>Database!BG353</f>
        <v/>
      </c>
      <c r="AF364" s="220">
        <f>Database!BM353</f>
        <v/>
      </c>
      <c r="AG364" s="220">
        <f>Database!H353</f>
        <v/>
      </c>
      <c r="AH364" s="220">
        <f>Database!BH353</f>
        <v/>
      </c>
    </row>
    <row r="365">
      <c r="A365" s="220">
        <f>Database!B365</f>
        <v/>
      </c>
      <c r="B365" s="220">
        <f>IF(AND(Screener!$D$8&lt;&gt;"",Database!$E365=Screener!$D$8),1,0)</f>
        <v/>
      </c>
      <c r="C365" s="220">
        <f>IF(AND(Screener!$D$7&lt;&gt;"",Database!$D365=Screener!$D$7),1,0)</f>
        <v/>
      </c>
      <c r="D365" s="220">
        <f>IF(OR(N(Database!$I365)&lt;=0,N(Screener!$D$9)&lt;=0),0,MAX(0,1-ABS(LOG10(N(Database!$I365)/Screener!$D$9))/W_SIZEHW))</f>
        <v/>
      </c>
      <c r="E365" s="220">
        <f>IF(OR(Database!$BG365="",Screener!$D$10=""),0,IF(Database!$BG365=Screener!$D$10,1,0))</f>
        <v/>
      </c>
      <c r="F365" s="220">
        <f>IF(OR(Database!$BM365="",Screener!$D$11=""),0,IF(Database!$BM365=Screener!$D$11,1,0))</f>
        <v/>
      </c>
      <c r="G365" s="220">
        <f>IF(OR(Database!$H365="",N(Screener!$D$12)&lt;=0),0,MAX(0,1-(N(Screener!$D$12)-Database!$H365)/W_RECD))</f>
        <v/>
      </c>
      <c r="H365" s="220">
        <f>IF($U$1="",0,N(ISNUMBER(SEARCH($U$1,Database!$AC365&amp;""))))+IF($V$1="",0,N(ISNUMBER(SEARCH($V$1,Database!$AC365&amp;""))))+IF($W$1="",0,N(ISNUMBER(SEARCH($W$1,Database!$AC365&amp;""))))+IF($X$1="",0,N(ISNUMBER(SEARCH($X$1,Database!$AC365&amp;""))))+IF($Y$1="",0,N(ISNUMBER(SEARCH($Y$1,Database!$AC365&amp;""))))+IF(Screener!$B$17="",0,N(ISNUMBER(SEARCH(LOWER(Screener!$B$17),Database!$AC365&amp;""))))</f>
        <v/>
      </c>
      <c r="I365" s="220">
        <f>IF(OR(N(Database!$BH365)&lt;=0,N(Screener!$D$13)&lt;=0),0,MAX(0,1-ABS(LOG10(N(Database!$BH365)/Screener!$D$13))/W_PEHW))</f>
        <v/>
      </c>
      <c r="J365" s="220">
        <f>IF(OR(N(Database!$S365)&lt;=0,N(Screener!$D$14)&lt;=0),0,MAX(0,1-ABS(LOG10(Database!$S365/Screener!$D$14))/0.6))</f>
        <v/>
      </c>
      <c r="K365" s="220">
        <f>IF(Database!$B365=Screener!$B$5,-999999,IF(ISNUMBER(SEARCH(","&amp;Database!$A365&amp;",",","&amp;SUBSTITUTE(Screener!$D$17," ","")&amp;",")),2000000,IF(IF(OR(Screener!$B$18="All",AND(Screener!$B$18="With A-share",(Database!$BM365="Y")),AND(Screener!$B$18="Without A-share",NOT((Database!$BM365="Y")))),1,0)=0,-999999,IF(Screener!$B$16="cornerstone overlap first",H365*100000,IF(Screener!$B$16="demand-similar first",J365*100000,0))+W_SUB*B365+W_SEC*C365*(1-B365)+W_SIZE*D365+W_PROF*E365+W_AH*F365+W_REC*G365+W_CS*H365+W_PE*I365)))+ROW()/1000000</f>
        <v/>
      </c>
      <c r="AA365" s="220">
        <f>Database!B354</f>
        <v/>
      </c>
      <c r="AB365" s="220">
        <f>Database!D354</f>
        <v/>
      </c>
      <c r="AC365" s="220">
        <f>Database!E354</f>
        <v/>
      </c>
      <c r="AD365" s="220">
        <f>Database!I354</f>
        <v/>
      </c>
      <c r="AE365" s="220">
        <f>Database!BG354</f>
        <v/>
      </c>
      <c r="AF365" s="220">
        <f>Database!BM354</f>
        <v/>
      </c>
      <c r="AG365" s="220">
        <f>Database!H354</f>
        <v/>
      </c>
      <c r="AH365" s="220">
        <f>Database!BH354</f>
        <v/>
      </c>
    </row>
    <row r="366">
      <c r="A366" s="220">
        <f>Database!B366</f>
        <v/>
      </c>
      <c r="B366" s="220">
        <f>IF(AND(Screener!$D$8&lt;&gt;"",Database!$E366=Screener!$D$8),1,0)</f>
        <v/>
      </c>
      <c r="C366" s="220">
        <f>IF(AND(Screener!$D$7&lt;&gt;"",Database!$D366=Screener!$D$7),1,0)</f>
        <v/>
      </c>
      <c r="D366" s="220">
        <f>IF(OR(N(Database!$I366)&lt;=0,N(Screener!$D$9)&lt;=0),0,MAX(0,1-ABS(LOG10(N(Database!$I366)/Screener!$D$9))/W_SIZEHW))</f>
        <v/>
      </c>
      <c r="E366" s="220">
        <f>IF(OR(Database!$BG366="",Screener!$D$10=""),0,IF(Database!$BG366=Screener!$D$10,1,0))</f>
        <v/>
      </c>
      <c r="F366" s="220">
        <f>IF(OR(Database!$BM366="",Screener!$D$11=""),0,IF(Database!$BM366=Screener!$D$11,1,0))</f>
        <v/>
      </c>
      <c r="G366" s="220">
        <f>IF(OR(Database!$H366="",N(Screener!$D$12)&lt;=0),0,MAX(0,1-(N(Screener!$D$12)-Database!$H366)/W_RECD))</f>
        <v/>
      </c>
      <c r="H366" s="220">
        <f>IF($U$1="",0,N(ISNUMBER(SEARCH($U$1,Database!$AC366&amp;""))))+IF($V$1="",0,N(ISNUMBER(SEARCH($V$1,Database!$AC366&amp;""))))+IF($W$1="",0,N(ISNUMBER(SEARCH($W$1,Database!$AC366&amp;""))))+IF($X$1="",0,N(ISNUMBER(SEARCH($X$1,Database!$AC366&amp;""))))+IF($Y$1="",0,N(ISNUMBER(SEARCH($Y$1,Database!$AC366&amp;""))))+IF(Screener!$B$17="",0,N(ISNUMBER(SEARCH(LOWER(Screener!$B$17),Database!$AC366&amp;""))))</f>
        <v/>
      </c>
      <c r="I366" s="220">
        <f>IF(OR(N(Database!$BH366)&lt;=0,N(Screener!$D$13)&lt;=0),0,MAX(0,1-ABS(LOG10(N(Database!$BH366)/Screener!$D$13))/W_PEHW))</f>
        <v/>
      </c>
      <c r="J366" s="220">
        <f>IF(OR(N(Database!$S366)&lt;=0,N(Screener!$D$14)&lt;=0),0,MAX(0,1-ABS(LOG10(Database!$S366/Screener!$D$14))/0.6))</f>
        <v/>
      </c>
      <c r="K366" s="220">
        <f>IF(Database!$B366=Screener!$B$5,-999999,IF(ISNUMBER(SEARCH(","&amp;Database!$A366&amp;",",","&amp;SUBSTITUTE(Screener!$D$17," ","")&amp;",")),2000000,IF(IF(OR(Screener!$B$18="All",AND(Screener!$B$18="With A-share",(Database!$BM366="Y")),AND(Screener!$B$18="Without A-share",NOT((Database!$BM366="Y")))),1,0)=0,-999999,IF(Screener!$B$16="cornerstone overlap first",H366*100000,IF(Screener!$B$16="demand-similar first",J366*100000,0))+W_SUB*B366+W_SEC*C366*(1-B366)+W_SIZE*D366+W_PROF*E366+W_AH*F366+W_REC*G366+W_CS*H366+W_PE*I366)))+ROW()/1000000</f>
        <v/>
      </c>
      <c r="AA366" s="220">
        <f>Database!B355</f>
        <v/>
      </c>
      <c r="AB366" s="220">
        <f>Database!D355</f>
        <v/>
      </c>
      <c r="AC366" s="220">
        <f>Database!E355</f>
        <v/>
      </c>
      <c r="AD366" s="220">
        <f>Database!I355</f>
        <v/>
      </c>
      <c r="AE366" s="220">
        <f>Database!BG355</f>
        <v/>
      </c>
      <c r="AF366" s="220">
        <f>Database!BM355</f>
        <v/>
      </c>
      <c r="AG366" s="220">
        <f>Database!H355</f>
        <v/>
      </c>
      <c r="AH366" s="220">
        <f>Database!BH355</f>
        <v/>
      </c>
    </row>
    <row r="367">
      <c r="A367" s="220">
        <f>Database!B367</f>
        <v/>
      </c>
      <c r="B367" s="220">
        <f>IF(AND(Screener!$D$8&lt;&gt;"",Database!$E367=Screener!$D$8),1,0)</f>
        <v/>
      </c>
      <c r="C367" s="220">
        <f>IF(AND(Screener!$D$7&lt;&gt;"",Database!$D367=Screener!$D$7),1,0)</f>
        <v/>
      </c>
      <c r="D367" s="220">
        <f>IF(OR(N(Database!$I367)&lt;=0,N(Screener!$D$9)&lt;=0),0,MAX(0,1-ABS(LOG10(N(Database!$I367)/Screener!$D$9))/W_SIZEHW))</f>
        <v/>
      </c>
      <c r="E367" s="220">
        <f>IF(OR(Database!$BG367="",Screener!$D$10=""),0,IF(Database!$BG367=Screener!$D$10,1,0))</f>
        <v/>
      </c>
      <c r="F367" s="220">
        <f>IF(OR(Database!$BM367="",Screener!$D$11=""),0,IF(Database!$BM367=Screener!$D$11,1,0))</f>
        <v/>
      </c>
      <c r="G367" s="220">
        <f>IF(OR(Database!$H367="",N(Screener!$D$12)&lt;=0),0,MAX(0,1-(N(Screener!$D$12)-Database!$H367)/W_RECD))</f>
        <v/>
      </c>
      <c r="H367" s="220">
        <f>IF($U$1="",0,N(ISNUMBER(SEARCH($U$1,Database!$AC367&amp;""))))+IF($V$1="",0,N(ISNUMBER(SEARCH($V$1,Database!$AC367&amp;""))))+IF($W$1="",0,N(ISNUMBER(SEARCH($W$1,Database!$AC367&amp;""))))+IF($X$1="",0,N(ISNUMBER(SEARCH($X$1,Database!$AC367&amp;""))))+IF($Y$1="",0,N(ISNUMBER(SEARCH($Y$1,Database!$AC367&amp;""))))+IF(Screener!$B$17="",0,N(ISNUMBER(SEARCH(LOWER(Screener!$B$17),Database!$AC367&amp;""))))</f>
        <v/>
      </c>
      <c r="I367" s="220">
        <f>IF(OR(N(Database!$BH367)&lt;=0,N(Screener!$D$13)&lt;=0),0,MAX(0,1-ABS(LOG10(N(Database!$BH367)/Screener!$D$13))/W_PEHW))</f>
        <v/>
      </c>
      <c r="J367" s="220">
        <f>IF(OR(N(Database!$S367)&lt;=0,N(Screener!$D$14)&lt;=0),0,MAX(0,1-ABS(LOG10(Database!$S367/Screener!$D$14))/0.6))</f>
        <v/>
      </c>
      <c r="K367" s="220">
        <f>IF(Database!$B367=Screener!$B$5,-999999,IF(ISNUMBER(SEARCH(","&amp;Database!$A367&amp;",",","&amp;SUBSTITUTE(Screener!$D$17," ","")&amp;",")),2000000,IF(IF(OR(Screener!$B$18="All",AND(Screener!$B$18="With A-share",(Database!$BM367="Y")),AND(Screener!$B$18="Without A-share",NOT((Database!$BM367="Y")))),1,0)=0,-999999,IF(Screener!$B$16="cornerstone overlap first",H367*100000,IF(Screener!$B$16="demand-similar first",J367*100000,0))+W_SUB*B367+W_SEC*C367*(1-B367)+W_SIZE*D367+W_PROF*E367+W_AH*F367+W_REC*G367+W_CS*H367+W_PE*I367)))+ROW()/1000000</f>
        <v/>
      </c>
      <c r="AA367" s="220">
        <f>Database!B356</f>
        <v/>
      </c>
      <c r="AB367" s="220">
        <f>Database!D356</f>
        <v/>
      </c>
      <c r="AC367" s="220">
        <f>Database!E356</f>
        <v/>
      </c>
      <c r="AD367" s="220">
        <f>Database!I356</f>
        <v/>
      </c>
      <c r="AE367" s="220">
        <f>Database!BG356</f>
        <v/>
      </c>
      <c r="AF367" s="220">
        <f>Database!BM356</f>
        <v/>
      </c>
      <c r="AG367" s="220">
        <f>Database!H356</f>
        <v/>
      </c>
      <c r="AH367" s="220">
        <f>Database!BH356</f>
        <v/>
      </c>
    </row>
    <row r="368">
      <c r="A368" s="220">
        <f>Database!B368</f>
        <v/>
      </c>
      <c r="B368" s="220">
        <f>IF(AND(Screener!$D$8&lt;&gt;"",Database!$E368=Screener!$D$8),1,0)</f>
        <v/>
      </c>
      <c r="C368" s="220">
        <f>IF(AND(Screener!$D$7&lt;&gt;"",Database!$D368=Screener!$D$7),1,0)</f>
        <v/>
      </c>
      <c r="D368" s="220">
        <f>IF(OR(N(Database!$I368)&lt;=0,N(Screener!$D$9)&lt;=0),0,MAX(0,1-ABS(LOG10(N(Database!$I368)/Screener!$D$9))/W_SIZEHW))</f>
        <v/>
      </c>
      <c r="E368" s="220">
        <f>IF(OR(Database!$BG368="",Screener!$D$10=""),0,IF(Database!$BG368=Screener!$D$10,1,0))</f>
        <v/>
      </c>
      <c r="F368" s="220">
        <f>IF(OR(Database!$BM368="",Screener!$D$11=""),0,IF(Database!$BM368=Screener!$D$11,1,0))</f>
        <v/>
      </c>
      <c r="G368" s="220">
        <f>IF(OR(Database!$H368="",N(Screener!$D$12)&lt;=0),0,MAX(0,1-(N(Screener!$D$12)-Database!$H368)/W_RECD))</f>
        <v/>
      </c>
      <c r="H368" s="220">
        <f>IF($U$1="",0,N(ISNUMBER(SEARCH($U$1,Database!$AC368&amp;""))))+IF($V$1="",0,N(ISNUMBER(SEARCH($V$1,Database!$AC368&amp;""))))+IF($W$1="",0,N(ISNUMBER(SEARCH($W$1,Database!$AC368&amp;""))))+IF($X$1="",0,N(ISNUMBER(SEARCH($X$1,Database!$AC368&amp;""))))+IF($Y$1="",0,N(ISNUMBER(SEARCH($Y$1,Database!$AC368&amp;""))))+IF(Screener!$B$17="",0,N(ISNUMBER(SEARCH(LOWER(Screener!$B$17),Database!$AC368&amp;""))))</f>
        <v/>
      </c>
      <c r="I368" s="220">
        <f>IF(OR(N(Database!$BH368)&lt;=0,N(Screener!$D$13)&lt;=0),0,MAX(0,1-ABS(LOG10(N(Database!$BH368)/Screener!$D$13))/W_PEHW))</f>
        <v/>
      </c>
      <c r="J368" s="220">
        <f>IF(OR(N(Database!$S368)&lt;=0,N(Screener!$D$14)&lt;=0),0,MAX(0,1-ABS(LOG10(Database!$S368/Screener!$D$14))/0.6))</f>
        <v/>
      </c>
      <c r="K368" s="220">
        <f>IF(Database!$B368=Screener!$B$5,-999999,IF(ISNUMBER(SEARCH(","&amp;Database!$A368&amp;",",","&amp;SUBSTITUTE(Screener!$D$17," ","")&amp;",")),2000000,IF(IF(OR(Screener!$B$18="All",AND(Screener!$B$18="With A-share",(Database!$BM368="Y")),AND(Screener!$B$18="Without A-share",NOT((Database!$BM368="Y")))),1,0)=0,-999999,IF(Screener!$B$16="cornerstone overlap first",H368*100000,IF(Screener!$B$16="demand-similar first",J368*100000,0))+W_SUB*B368+W_SEC*C368*(1-B368)+W_SIZE*D368+W_PROF*E368+W_AH*F368+W_REC*G368+W_CS*H368+W_PE*I368)))+ROW()/1000000</f>
        <v/>
      </c>
      <c r="AA368" s="220">
        <f>Database!B357</f>
        <v/>
      </c>
      <c r="AB368" s="220">
        <f>Database!D357</f>
        <v/>
      </c>
      <c r="AC368" s="220">
        <f>Database!E357</f>
        <v/>
      </c>
      <c r="AD368" s="220">
        <f>Database!I357</f>
        <v/>
      </c>
      <c r="AE368" s="220">
        <f>Database!BG357</f>
        <v/>
      </c>
      <c r="AF368" s="220">
        <f>Database!BM357</f>
        <v/>
      </c>
      <c r="AG368" s="220">
        <f>Database!H357</f>
        <v/>
      </c>
      <c r="AH368" s="220">
        <f>Database!BH357</f>
        <v/>
      </c>
    </row>
    <row r="369">
      <c r="A369" s="220">
        <f>Database!B369</f>
        <v/>
      </c>
      <c r="B369" s="220">
        <f>IF(AND(Screener!$D$8&lt;&gt;"",Database!$E369=Screener!$D$8),1,0)</f>
        <v/>
      </c>
      <c r="C369" s="220">
        <f>IF(AND(Screener!$D$7&lt;&gt;"",Database!$D369=Screener!$D$7),1,0)</f>
        <v/>
      </c>
      <c r="D369" s="220">
        <f>IF(OR(N(Database!$I369)&lt;=0,N(Screener!$D$9)&lt;=0),0,MAX(0,1-ABS(LOG10(N(Database!$I369)/Screener!$D$9))/W_SIZEHW))</f>
        <v/>
      </c>
      <c r="E369" s="220">
        <f>IF(OR(Database!$BG369="",Screener!$D$10=""),0,IF(Database!$BG369=Screener!$D$10,1,0))</f>
        <v/>
      </c>
      <c r="F369" s="220">
        <f>IF(OR(Database!$BM369="",Screener!$D$11=""),0,IF(Database!$BM369=Screener!$D$11,1,0))</f>
        <v/>
      </c>
      <c r="G369" s="220">
        <f>IF(OR(Database!$H369="",N(Screener!$D$12)&lt;=0),0,MAX(0,1-(N(Screener!$D$12)-Database!$H369)/W_RECD))</f>
        <v/>
      </c>
      <c r="H369" s="220">
        <f>IF($U$1="",0,N(ISNUMBER(SEARCH($U$1,Database!$AC369&amp;""))))+IF($V$1="",0,N(ISNUMBER(SEARCH($V$1,Database!$AC369&amp;""))))+IF($W$1="",0,N(ISNUMBER(SEARCH($W$1,Database!$AC369&amp;""))))+IF($X$1="",0,N(ISNUMBER(SEARCH($X$1,Database!$AC369&amp;""))))+IF($Y$1="",0,N(ISNUMBER(SEARCH($Y$1,Database!$AC369&amp;""))))+IF(Screener!$B$17="",0,N(ISNUMBER(SEARCH(LOWER(Screener!$B$17),Database!$AC369&amp;""))))</f>
        <v/>
      </c>
      <c r="I369" s="220">
        <f>IF(OR(N(Database!$BH369)&lt;=0,N(Screener!$D$13)&lt;=0),0,MAX(0,1-ABS(LOG10(N(Database!$BH369)/Screener!$D$13))/W_PEHW))</f>
        <v/>
      </c>
      <c r="J369" s="220">
        <f>IF(OR(N(Database!$S369)&lt;=0,N(Screener!$D$14)&lt;=0),0,MAX(0,1-ABS(LOG10(Database!$S369/Screener!$D$14))/0.6))</f>
        <v/>
      </c>
      <c r="K369" s="220">
        <f>IF(Database!$B369=Screener!$B$5,-999999,IF(ISNUMBER(SEARCH(","&amp;Database!$A369&amp;",",","&amp;SUBSTITUTE(Screener!$D$17," ","")&amp;",")),2000000,IF(IF(OR(Screener!$B$18="All",AND(Screener!$B$18="With A-share",(Database!$BM369="Y")),AND(Screener!$B$18="Without A-share",NOT((Database!$BM369="Y")))),1,0)=0,-999999,IF(Screener!$B$16="cornerstone overlap first",H369*100000,IF(Screener!$B$16="demand-similar first",J369*100000,0))+W_SUB*B369+W_SEC*C369*(1-B369)+W_SIZE*D369+W_PROF*E369+W_AH*F369+W_REC*G369+W_CS*H369+W_PE*I369)))+ROW()/1000000</f>
        <v/>
      </c>
      <c r="AA369" s="220">
        <f>Database!B358</f>
        <v/>
      </c>
      <c r="AB369" s="220">
        <f>Database!D358</f>
        <v/>
      </c>
      <c r="AC369" s="220">
        <f>Database!E358</f>
        <v/>
      </c>
      <c r="AD369" s="220">
        <f>Database!I358</f>
        <v/>
      </c>
      <c r="AE369" s="220">
        <f>Database!BG358</f>
        <v/>
      </c>
      <c r="AF369" s="220">
        <f>Database!BM358</f>
        <v/>
      </c>
      <c r="AG369" s="220">
        <f>Database!H358</f>
        <v/>
      </c>
      <c r="AH369" s="220">
        <f>Database!BH358</f>
        <v/>
      </c>
    </row>
    <row r="370">
      <c r="A370" s="220">
        <f>Database!B370</f>
        <v/>
      </c>
      <c r="B370" s="220">
        <f>IF(AND(Screener!$D$8&lt;&gt;"",Database!$E370=Screener!$D$8),1,0)</f>
        <v/>
      </c>
      <c r="C370" s="220">
        <f>IF(AND(Screener!$D$7&lt;&gt;"",Database!$D370=Screener!$D$7),1,0)</f>
        <v/>
      </c>
      <c r="D370" s="220">
        <f>IF(OR(N(Database!$I370)&lt;=0,N(Screener!$D$9)&lt;=0),0,MAX(0,1-ABS(LOG10(N(Database!$I370)/Screener!$D$9))/W_SIZEHW))</f>
        <v/>
      </c>
      <c r="E370" s="220">
        <f>IF(OR(Database!$BG370="",Screener!$D$10=""),0,IF(Database!$BG370=Screener!$D$10,1,0))</f>
        <v/>
      </c>
      <c r="F370" s="220">
        <f>IF(OR(Database!$BM370="",Screener!$D$11=""),0,IF(Database!$BM370=Screener!$D$11,1,0))</f>
        <v/>
      </c>
      <c r="G370" s="220">
        <f>IF(OR(Database!$H370="",N(Screener!$D$12)&lt;=0),0,MAX(0,1-(N(Screener!$D$12)-Database!$H370)/W_RECD))</f>
        <v/>
      </c>
      <c r="H370" s="220">
        <f>IF($U$1="",0,N(ISNUMBER(SEARCH($U$1,Database!$AC370&amp;""))))+IF($V$1="",0,N(ISNUMBER(SEARCH($V$1,Database!$AC370&amp;""))))+IF($W$1="",0,N(ISNUMBER(SEARCH($W$1,Database!$AC370&amp;""))))+IF($X$1="",0,N(ISNUMBER(SEARCH($X$1,Database!$AC370&amp;""))))+IF($Y$1="",0,N(ISNUMBER(SEARCH($Y$1,Database!$AC370&amp;""))))+IF(Screener!$B$17="",0,N(ISNUMBER(SEARCH(LOWER(Screener!$B$17),Database!$AC370&amp;""))))</f>
        <v/>
      </c>
      <c r="I370" s="220">
        <f>IF(OR(N(Database!$BH370)&lt;=0,N(Screener!$D$13)&lt;=0),0,MAX(0,1-ABS(LOG10(N(Database!$BH370)/Screener!$D$13))/W_PEHW))</f>
        <v/>
      </c>
      <c r="J370" s="220">
        <f>IF(OR(N(Database!$S370)&lt;=0,N(Screener!$D$14)&lt;=0),0,MAX(0,1-ABS(LOG10(Database!$S370/Screener!$D$14))/0.6))</f>
        <v/>
      </c>
      <c r="K370" s="220">
        <f>IF(Database!$B370=Screener!$B$5,-999999,IF(ISNUMBER(SEARCH(","&amp;Database!$A370&amp;",",","&amp;SUBSTITUTE(Screener!$D$17," ","")&amp;",")),2000000,IF(IF(OR(Screener!$B$18="All",AND(Screener!$B$18="With A-share",(Database!$BM370="Y")),AND(Screener!$B$18="Without A-share",NOT((Database!$BM370="Y")))),1,0)=0,-999999,IF(Screener!$B$16="cornerstone overlap first",H370*100000,IF(Screener!$B$16="demand-similar first",J370*100000,0))+W_SUB*B370+W_SEC*C370*(1-B370)+W_SIZE*D370+W_PROF*E370+W_AH*F370+W_REC*G370+W_CS*H370+W_PE*I370)))+ROW()/1000000</f>
        <v/>
      </c>
      <c r="AA370" s="220">
        <f>Database!B359</f>
        <v/>
      </c>
      <c r="AB370" s="220">
        <f>Database!D359</f>
        <v/>
      </c>
      <c r="AC370" s="220">
        <f>Database!E359</f>
        <v/>
      </c>
      <c r="AD370" s="220">
        <f>Database!I359</f>
        <v/>
      </c>
      <c r="AE370" s="220">
        <f>Database!BG359</f>
        <v/>
      </c>
      <c r="AF370" s="220">
        <f>Database!BM359</f>
        <v/>
      </c>
      <c r="AG370" s="220">
        <f>Database!H359</f>
        <v/>
      </c>
      <c r="AH370" s="220">
        <f>Database!BH359</f>
        <v/>
      </c>
    </row>
    <row r="371">
      <c r="A371" s="220">
        <f>Database!B371</f>
        <v/>
      </c>
      <c r="B371" s="220">
        <f>IF(AND(Screener!$D$8&lt;&gt;"",Database!$E371=Screener!$D$8),1,0)</f>
        <v/>
      </c>
      <c r="C371" s="220">
        <f>IF(AND(Screener!$D$7&lt;&gt;"",Database!$D371=Screener!$D$7),1,0)</f>
        <v/>
      </c>
      <c r="D371" s="220">
        <f>IF(OR(N(Database!$I371)&lt;=0,N(Screener!$D$9)&lt;=0),0,MAX(0,1-ABS(LOG10(N(Database!$I371)/Screener!$D$9))/W_SIZEHW))</f>
        <v/>
      </c>
      <c r="E371" s="220">
        <f>IF(OR(Database!$BG371="",Screener!$D$10=""),0,IF(Database!$BG371=Screener!$D$10,1,0))</f>
        <v/>
      </c>
      <c r="F371" s="220">
        <f>IF(OR(Database!$BM371="",Screener!$D$11=""),0,IF(Database!$BM371=Screener!$D$11,1,0))</f>
        <v/>
      </c>
      <c r="G371" s="220">
        <f>IF(OR(Database!$H371="",N(Screener!$D$12)&lt;=0),0,MAX(0,1-(N(Screener!$D$12)-Database!$H371)/W_RECD))</f>
        <v/>
      </c>
      <c r="H371" s="220">
        <f>IF($U$1="",0,N(ISNUMBER(SEARCH($U$1,Database!$AC371&amp;""))))+IF($V$1="",0,N(ISNUMBER(SEARCH($V$1,Database!$AC371&amp;""))))+IF($W$1="",0,N(ISNUMBER(SEARCH($W$1,Database!$AC371&amp;""))))+IF($X$1="",0,N(ISNUMBER(SEARCH($X$1,Database!$AC371&amp;""))))+IF($Y$1="",0,N(ISNUMBER(SEARCH($Y$1,Database!$AC371&amp;""))))+IF(Screener!$B$17="",0,N(ISNUMBER(SEARCH(LOWER(Screener!$B$17),Database!$AC371&amp;""))))</f>
        <v/>
      </c>
      <c r="I371" s="220">
        <f>IF(OR(N(Database!$BH371)&lt;=0,N(Screener!$D$13)&lt;=0),0,MAX(0,1-ABS(LOG10(N(Database!$BH371)/Screener!$D$13))/W_PEHW))</f>
        <v/>
      </c>
      <c r="J371" s="220">
        <f>IF(OR(N(Database!$S371)&lt;=0,N(Screener!$D$14)&lt;=0),0,MAX(0,1-ABS(LOG10(Database!$S371/Screener!$D$14))/0.6))</f>
        <v/>
      </c>
      <c r="K371" s="220">
        <f>IF(Database!$B371=Screener!$B$5,-999999,IF(ISNUMBER(SEARCH(","&amp;Database!$A371&amp;",",","&amp;SUBSTITUTE(Screener!$D$17," ","")&amp;",")),2000000,IF(IF(OR(Screener!$B$18="All",AND(Screener!$B$18="With A-share",(Database!$BM371="Y")),AND(Screener!$B$18="Without A-share",NOT((Database!$BM371="Y")))),1,0)=0,-999999,IF(Screener!$B$16="cornerstone overlap first",H371*100000,IF(Screener!$B$16="demand-similar first",J371*100000,0))+W_SUB*B371+W_SEC*C371*(1-B371)+W_SIZE*D371+W_PROF*E371+W_AH*F371+W_REC*G371+W_CS*H371+W_PE*I371)))+ROW()/1000000</f>
        <v/>
      </c>
      <c r="AA371" s="220">
        <f>Database!B360</f>
        <v/>
      </c>
      <c r="AB371" s="220">
        <f>Database!D360</f>
        <v/>
      </c>
      <c r="AC371" s="220">
        <f>Database!E360</f>
        <v/>
      </c>
      <c r="AD371" s="220">
        <f>Database!I360</f>
        <v/>
      </c>
      <c r="AE371" s="220">
        <f>Database!BG360</f>
        <v/>
      </c>
      <c r="AF371" s="220">
        <f>Database!BM360</f>
        <v/>
      </c>
      <c r="AG371" s="220">
        <f>Database!H360</f>
        <v/>
      </c>
      <c r="AH371" s="220">
        <f>Database!BH360</f>
        <v/>
      </c>
    </row>
    <row r="372">
      <c r="A372" s="220">
        <f>Database!B372</f>
        <v/>
      </c>
      <c r="B372" s="220">
        <f>IF(AND(Screener!$D$8&lt;&gt;"",Database!$E372=Screener!$D$8),1,0)</f>
        <v/>
      </c>
      <c r="C372" s="220">
        <f>IF(AND(Screener!$D$7&lt;&gt;"",Database!$D372=Screener!$D$7),1,0)</f>
        <v/>
      </c>
      <c r="D372" s="220">
        <f>IF(OR(N(Database!$I372)&lt;=0,N(Screener!$D$9)&lt;=0),0,MAX(0,1-ABS(LOG10(N(Database!$I372)/Screener!$D$9))/W_SIZEHW))</f>
        <v/>
      </c>
      <c r="E372" s="220">
        <f>IF(OR(Database!$BG372="",Screener!$D$10=""),0,IF(Database!$BG372=Screener!$D$10,1,0))</f>
        <v/>
      </c>
      <c r="F372" s="220">
        <f>IF(OR(Database!$BM372="",Screener!$D$11=""),0,IF(Database!$BM372=Screener!$D$11,1,0))</f>
        <v/>
      </c>
      <c r="G372" s="220">
        <f>IF(OR(Database!$H372="",N(Screener!$D$12)&lt;=0),0,MAX(0,1-(N(Screener!$D$12)-Database!$H372)/W_RECD))</f>
        <v/>
      </c>
      <c r="H372" s="220">
        <f>IF($U$1="",0,N(ISNUMBER(SEARCH($U$1,Database!$AC372&amp;""))))+IF($V$1="",0,N(ISNUMBER(SEARCH($V$1,Database!$AC372&amp;""))))+IF($W$1="",0,N(ISNUMBER(SEARCH($W$1,Database!$AC372&amp;""))))+IF($X$1="",0,N(ISNUMBER(SEARCH($X$1,Database!$AC372&amp;""))))+IF($Y$1="",0,N(ISNUMBER(SEARCH($Y$1,Database!$AC372&amp;""))))+IF(Screener!$B$17="",0,N(ISNUMBER(SEARCH(LOWER(Screener!$B$17),Database!$AC372&amp;""))))</f>
        <v/>
      </c>
      <c r="I372" s="220">
        <f>IF(OR(N(Database!$BH372)&lt;=0,N(Screener!$D$13)&lt;=0),0,MAX(0,1-ABS(LOG10(N(Database!$BH372)/Screener!$D$13))/W_PEHW))</f>
        <v/>
      </c>
      <c r="J372" s="220">
        <f>IF(OR(N(Database!$S372)&lt;=0,N(Screener!$D$14)&lt;=0),0,MAX(0,1-ABS(LOG10(Database!$S372/Screener!$D$14))/0.6))</f>
        <v/>
      </c>
      <c r="K372" s="220">
        <f>IF(Database!$B372=Screener!$B$5,-999999,IF(ISNUMBER(SEARCH(","&amp;Database!$A372&amp;",",","&amp;SUBSTITUTE(Screener!$D$17," ","")&amp;",")),2000000,IF(IF(OR(Screener!$B$18="All",AND(Screener!$B$18="With A-share",(Database!$BM372="Y")),AND(Screener!$B$18="Without A-share",NOT((Database!$BM372="Y")))),1,0)=0,-999999,IF(Screener!$B$16="cornerstone overlap first",H372*100000,IF(Screener!$B$16="demand-similar first",J372*100000,0))+W_SUB*B372+W_SEC*C372*(1-B372)+W_SIZE*D372+W_PROF*E372+W_AH*F372+W_REC*G372+W_CS*H372+W_PE*I372)))+ROW()/1000000</f>
        <v/>
      </c>
      <c r="AA372" s="220">
        <f>Database!B361</f>
        <v/>
      </c>
      <c r="AB372" s="220">
        <f>Database!D361</f>
        <v/>
      </c>
      <c r="AC372" s="220">
        <f>Database!E361</f>
        <v/>
      </c>
      <c r="AD372" s="220">
        <f>Database!I361</f>
        <v/>
      </c>
      <c r="AE372" s="220">
        <f>Database!BG361</f>
        <v/>
      </c>
      <c r="AF372" s="220">
        <f>Database!BM361</f>
        <v/>
      </c>
      <c r="AG372" s="220">
        <f>Database!H361</f>
        <v/>
      </c>
      <c r="AH372" s="220">
        <f>Database!BH361</f>
        <v/>
      </c>
    </row>
    <row r="373">
      <c r="A373" s="220">
        <f>Database!B373</f>
        <v/>
      </c>
      <c r="B373" s="220">
        <f>IF(AND(Screener!$D$8&lt;&gt;"",Database!$E373=Screener!$D$8),1,0)</f>
        <v/>
      </c>
      <c r="C373" s="220">
        <f>IF(AND(Screener!$D$7&lt;&gt;"",Database!$D373=Screener!$D$7),1,0)</f>
        <v/>
      </c>
      <c r="D373" s="220">
        <f>IF(OR(N(Database!$I373)&lt;=0,N(Screener!$D$9)&lt;=0),0,MAX(0,1-ABS(LOG10(N(Database!$I373)/Screener!$D$9))/W_SIZEHW))</f>
        <v/>
      </c>
      <c r="E373" s="220">
        <f>IF(OR(Database!$BG373="",Screener!$D$10=""),0,IF(Database!$BG373=Screener!$D$10,1,0))</f>
        <v/>
      </c>
      <c r="F373" s="220">
        <f>IF(OR(Database!$BM373="",Screener!$D$11=""),0,IF(Database!$BM373=Screener!$D$11,1,0))</f>
        <v/>
      </c>
      <c r="G373" s="220">
        <f>IF(OR(Database!$H373="",N(Screener!$D$12)&lt;=0),0,MAX(0,1-(N(Screener!$D$12)-Database!$H373)/W_RECD))</f>
        <v/>
      </c>
      <c r="H373" s="220">
        <f>IF($U$1="",0,N(ISNUMBER(SEARCH($U$1,Database!$AC373&amp;""))))+IF($V$1="",0,N(ISNUMBER(SEARCH($V$1,Database!$AC373&amp;""))))+IF($W$1="",0,N(ISNUMBER(SEARCH($W$1,Database!$AC373&amp;""))))+IF($X$1="",0,N(ISNUMBER(SEARCH($X$1,Database!$AC373&amp;""))))+IF($Y$1="",0,N(ISNUMBER(SEARCH($Y$1,Database!$AC373&amp;""))))+IF(Screener!$B$17="",0,N(ISNUMBER(SEARCH(LOWER(Screener!$B$17),Database!$AC373&amp;""))))</f>
        <v/>
      </c>
      <c r="I373" s="220">
        <f>IF(OR(N(Database!$BH373)&lt;=0,N(Screener!$D$13)&lt;=0),0,MAX(0,1-ABS(LOG10(N(Database!$BH373)/Screener!$D$13))/W_PEHW))</f>
        <v/>
      </c>
      <c r="J373" s="220">
        <f>IF(OR(N(Database!$S373)&lt;=0,N(Screener!$D$14)&lt;=0),0,MAX(0,1-ABS(LOG10(Database!$S373/Screener!$D$14))/0.6))</f>
        <v/>
      </c>
      <c r="K373" s="220">
        <f>IF(Database!$B373=Screener!$B$5,-999999,IF(ISNUMBER(SEARCH(","&amp;Database!$A373&amp;",",","&amp;SUBSTITUTE(Screener!$D$17," ","")&amp;",")),2000000,IF(IF(OR(Screener!$B$18="All",AND(Screener!$B$18="With A-share",(Database!$BM373="Y")),AND(Screener!$B$18="Without A-share",NOT((Database!$BM373="Y")))),1,0)=0,-999999,IF(Screener!$B$16="cornerstone overlap first",H373*100000,IF(Screener!$B$16="demand-similar first",J373*100000,0))+W_SUB*B373+W_SEC*C373*(1-B373)+W_SIZE*D373+W_PROF*E373+W_AH*F373+W_REC*G373+W_CS*H373+W_PE*I373)))+ROW()/1000000</f>
        <v/>
      </c>
      <c r="AA373" s="220">
        <f>Database!B362</f>
        <v/>
      </c>
      <c r="AB373" s="220">
        <f>Database!D362</f>
        <v/>
      </c>
      <c r="AC373" s="220">
        <f>Database!E362</f>
        <v/>
      </c>
      <c r="AD373" s="220">
        <f>Database!I362</f>
        <v/>
      </c>
      <c r="AE373" s="220">
        <f>Database!BG362</f>
        <v/>
      </c>
      <c r="AF373" s="220">
        <f>Database!BM362</f>
        <v/>
      </c>
      <c r="AG373" s="220">
        <f>Database!H362</f>
        <v/>
      </c>
      <c r="AH373" s="220">
        <f>Database!BH362</f>
        <v/>
      </c>
    </row>
    <row r="374">
      <c r="A374" s="220">
        <f>Database!B374</f>
        <v/>
      </c>
      <c r="B374" s="220">
        <f>IF(AND(Screener!$D$8&lt;&gt;"",Database!$E374=Screener!$D$8),1,0)</f>
        <v/>
      </c>
      <c r="C374" s="220">
        <f>IF(AND(Screener!$D$7&lt;&gt;"",Database!$D374=Screener!$D$7),1,0)</f>
        <v/>
      </c>
      <c r="D374" s="220">
        <f>IF(OR(N(Database!$I374)&lt;=0,N(Screener!$D$9)&lt;=0),0,MAX(0,1-ABS(LOG10(N(Database!$I374)/Screener!$D$9))/W_SIZEHW))</f>
        <v/>
      </c>
      <c r="E374" s="220">
        <f>IF(OR(Database!$BG374="",Screener!$D$10=""),0,IF(Database!$BG374=Screener!$D$10,1,0))</f>
        <v/>
      </c>
      <c r="F374" s="220">
        <f>IF(OR(Database!$BM374="",Screener!$D$11=""),0,IF(Database!$BM374=Screener!$D$11,1,0))</f>
        <v/>
      </c>
      <c r="G374" s="220">
        <f>IF(OR(Database!$H374="",N(Screener!$D$12)&lt;=0),0,MAX(0,1-(N(Screener!$D$12)-Database!$H374)/W_RECD))</f>
        <v/>
      </c>
      <c r="H374" s="220">
        <f>IF($U$1="",0,N(ISNUMBER(SEARCH($U$1,Database!$AC374&amp;""))))+IF($V$1="",0,N(ISNUMBER(SEARCH($V$1,Database!$AC374&amp;""))))+IF($W$1="",0,N(ISNUMBER(SEARCH($W$1,Database!$AC374&amp;""))))+IF($X$1="",0,N(ISNUMBER(SEARCH($X$1,Database!$AC374&amp;""))))+IF($Y$1="",0,N(ISNUMBER(SEARCH($Y$1,Database!$AC374&amp;""))))+IF(Screener!$B$17="",0,N(ISNUMBER(SEARCH(LOWER(Screener!$B$17),Database!$AC374&amp;""))))</f>
        <v/>
      </c>
      <c r="I374" s="220">
        <f>IF(OR(N(Database!$BH374)&lt;=0,N(Screener!$D$13)&lt;=0),0,MAX(0,1-ABS(LOG10(N(Database!$BH374)/Screener!$D$13))/W_PEHW))</f>
        <v/>
      </c>
      <c r="J374" s="220">
        <f>IF(OR(N(Database!$S374)&lt;=0,N(Screener!$D$14)&lt;=0),0,MAX(0,1-ABS(LOG10(Database!$S374/Screener!$D$14))/0.6))</f>
        <v/>
      </c>
      <c r="K374" s="220">
        <f>IF(Database!$B374=Screener!$B$5,-999999,IF(ISNUMBER(SEARCH(","&amp;Database!$A374&amp;",",","&amp;SUBSTITUTE(Screener!$D$17," ","")&amp;",")),2000000,IF(IF(OR(Screener!$B$18="All",AND(Screener!$B$18="With A-share",(Database!$BM374="Y")),AND(Screener!$B$18="Without A-share",NOT((Database!$BM374="Y")))),1,0)=0,-999999,IF(Screener!$B$16="cornerstone overlap first",H374*100000,IF(Screener!$B$16="demand-similar first",J374*100000,0))+W_SUB*B374+W_SEC*C374*(1-B374)+W_SIZE*D374+W_PROF*E374+W_AH*F374+W_REC*G374+W_CS*H374+W_PE*I374)))+ROW()/1000000</f>
        <v/>
      </c>
      <c r="AA374" s="220">
        <f>Database!B363</f>
        <v/>
      </c>
      <c r="AB374" s="220">
        <f>Database!D363</f>
        <v/>
      </c>
      <c r="AC374" s="220">
        <f>Database!E363</f>
        <v/>
      </c>
      <c r="AD374" s="220">
        <f>Database!I363</f>
        <v/>
      </c>
      <c r="AE374" s="220">
        <f>Database!BG363</f>
        <v/>
      </c>
      <c r="AF374" s="220">
        <f>Database!BM363</f>
        <v/>
      </c>
      <c r="AG374" s="220">
        <f>Database!H363</f>
        <v/>
      </c>
      <c r="AH374" s="220">
        <f>Database!BH363</f>
        <v/>
      </c>
    </row>
    <row r="375">
      <c r="A375" s="220">
        <f>Database!B375</f>
        <v/>
      </c>
      <c r="B375" s="220">
        <f>IF(AND(Screener!$D$8&lt;&gt;"",Database!$E375=Screener!$D$8),1,0)</f>
        <v/>
      </c>
      <c r="C375" s="220">
        <f>IF(AND(Screener!$D$7&lt;&gt;"",Database!$D375=Screener!$D$7),1,0)</f>
        <v/>
      </c>
      <c r="D375" s="220">
        <f>IF(OR(N(Database!$I375)&lt;=0,N(Screener!$D$9)&lt;=0),0,MAX(0,1-ABS(LOG10(N(Database!$I375)/Screener!$D$9))/W_SIZEHW))</f>
        <v/>
      </c>
      <c r="E375" s="220">
        <f>IF(OR(Database!$BG375="",Screener!$D$10=""),0,IF(Database!$BG375=Screener!$D$10,1,0))</f>
        <v/>
      </c>
      <c r="F375" s="220">
        <f>IF(OR(Database!$BM375="",Screener!$D$11=""),0,IF(Database!$BM375=Screener!$D$11,1,0))</f>
        <v/>
      </c>
      <c r="G375" s="220">
        <f>IF(OR(Database!$H375="",N(Screener!$D$12)&lt;=0),0,MAX(0,1-(N(Screener!$D$12)-Database!$H375)/W_RECD))</f>
        <v/>
      </c>
      <c r="H375" s="220">
        <f>IF($U$1="",0,N(ISNUMBER(SEARCH($U$1,Database!$AC375&amp;""))))+IF($V$1="",0,N(ISNUMBER(SEARCH($V$1,Database!$AC375&amp;""))))+IF($W$1="",0,N(ISNUMBER(SEARCH($W$1,Database!$AC375&amp;""))))+IF($X$1="",0,N(ISNUMBER(SEARCH($X$1,Database!$AC375&amp;""))))+IF($Y$1="",0,N(ISNUMBER(SEARCH($Y$1,Database!$AC375&amp;""))))+IF(Screener!$B$17="",0,N(ISNUMBER(SEARCH(LOWER(Screener!$B$17),Database!$AC375&amp;""))))</f>
        <v/>
      </c>
      <c r="I375" s="220">
        <f>IF(OR(N(Database!$BH375)&lt;=0,N(Screener!$D$13)&lt;=0),0,MAX(0,1-ABS(LOG10(N(Database!$BH375)/Screener!$D$13))/W_PEHW))</f>
        <v/>
      </c>
      <c r="J375" s="220">
        <f>IF(OR(N(Database!$S375)&lt;=0,N(Screener!$D$14)&lt;=0),0,MAX(0,1-ABS(LOG10(Database!$S375/Screener!$D$14))/0.6))</f>
        <v/>
      </c>
      <c r="K375" s="220">
        <f>IF(Database!$B375=Screener!$B$5,-999999,IF(ISNUMBER(SEARCH(","&amp;Database!$A375&amp;",",","&amp;SUBSTITUTE(Screener!$D$17," ","")&amp;",")),2000000,IF(IF(OR(Screener!$B$18="All",AND(Screener!$B$18="With A-share",(Database!$BM375="Y")),AND(Screener!$B$18="Without A-share",NOT((Database!$BM375="Y")))),1,0)=0,-999999,IF(Screener!$B$16="cornerstone overlap first",H375*100000,IF(Screener!$B$16="demand-similar first",J375*100000,0))+W_SUB*B375+W_SEC*C375*(1-B375)+W_SIZE*D375+W_PROF*E375+W_AH*F375+W_REC*G375+W_CS*H375+W_PE*I375)))+ROW()/1000000</f>
        <v/>
      </c>
      <c r="AA375" s="220">
        <f>Database!B364</f>
        <v/>
      </c>
      <c r="AB375" s="220">
        <f>Database!D364</f>
        <v/>
      </c>
      <c r="AC375" s="220">
        <f>Database!E364</f>
        <v/>
      </c>
      <c r="AD375" s="220">
        <f>Database!I364</f>
        <v/>
      </c>
      <c r="AE375" s="220">
        <f>Database!BG364</f>
        <v/>
      </c>
      <c r="AF375" s="220">
        <f>Database!BM364</f>
        <v/>
      </c>
      <c r="AG375" s="220">
        <f>Database!H364</f>
        <v/>
      </c>
      <c r="AH375" s="220">
        <f>Database!BH364</f>
        <v/>
      </c>
    </row>
    <row r="376">
      <c r="A376" s="220">
        <f>Database!B376</f>
        <v/>
      </c>
      <c r="B376" s="220">
        <f>IF(AND(Screener!$D$8&lt;&gt;"",Database!$E376=Screener!$D$8),1,0)</f>
        <v/>
      </c>
      <c r="C376" s="220">
        <f>IF(AND(Screener!$D$7&lt;&gt;"",Database!$D376=Screener!$D$7),1,0)</f>
        <v/>
      </c>
      <c r="D376" s="220">
        <f>IF(OR(N(Database!$I376)&lt;=0,N(Screener!$D$9)&lt;=0),0,MAX(0,1-ABS(LOG10(N(Database!$I376)/Screener!$D$9))/W_SIZEHW))</f>
        <v/>
      </c>
      <c r="E376" s="220">
        <f>IF(OR(Database!$BG376="",Screener!$D$10=""),0,IF(Database!$BG376=Screener!$D$10,1,0))</f>
        <v/>
      </c>
      <c r="F376" s="220">
        <f>IF(OR(Database!$BM376="",Screener!$D$11=""),0,IF(Database!$BM376=Screener!$D$11,1,0))</f>
        <v/>
      </c>
      <c r="G376" s="220">
        <f>IF(OR(Database!$H376="",N(Screener!$D$12)&lt;=0),0,MAX(0,1-(N(Screener!$D$12)-Database!$H376)/W_RECD))</f>
        <v/>
      </c>
      <c r="H376" s="220">
        <f>IF($U$1="",0,N(ISNUMBER(SEARCH($U$1,Database!$AC376&amp;""))))+IF($V$1="",0,N(ISNUMBER(SEARCH($V$1,Database!$AC376&amp;""))))+IF($W$1="",0,N(ISNUMBER(SEARCH($W$1,Database!$AC376&amp;""))))+IF($X$1="",0,N(ISNUMBER(SEARCH($X$1,Database!$AC376&amp;""))))+IF($Y$1="",0,N(ISNUMBER(SEARCH($Y$1,Database!$AC376&amp;""))))+IF(Screener!$B$17="",0,N(ISNUMBER(SEARCH(LOWER(Screener!$B$17),Database!$AC376&amp;""))))</f>
        <v/>
      </c>
      <c r="I376" s="220">
        <f>IF(OR(N(Database!$BH376)&lt;=0,N(Screener!$D$13)&lt;=0),0,MAX(0,1-ABS(LOG10(N(Database!$BH376)/Screener!$D$13))/W_PEHW))</f>
        <v/>
      </c>
      <c r="J376" s="220">
        <f>IF(OR(N(Database!$S376)&lt;=0,N(Screener!$D$14)&lt;=0),0,MAX(0,1-ABS(LOG10(Database!$S376/Screener!$D$14))/0.6))</f>
        <v/>
      </c>
      <c r="K376" s="220">
        <f>IF(Database!$B376=Screener!$B$5,-999999,IF(ISNUMBER(SEARCH(","&amp;Database!$A376&amp;",",","&amp;SUBSTITUTE(Screener!$D$17," ","")&amp;",")),2000000,IF(IF(OR(Screener!$B$18="All",AND(Screener!$B$18="With A-share",(Database!$BM376="Y")),AND(Screener!$B$18="Without A-share",NOT((Database!$BM376="Y")))),1,0)=0,-999999,IF(Screener!$B$16="cornerstone overlap first",H376*100000,IF(Screener!$B$16="demand-similar first",J376*100000,0))+W_SUB*B376+W_SEC*C376*(1-B376)+W_SIZE*D376+W_PROF*E376+W_AH*F376+W_REC*G376+W_CS*H376+W_PE*I376)))+ROW()/1000000</f>
        <v/>
      </c>
      <c r="AA376" s="220">
        <f>Database!B365</f>
        <v/>
      </c>
      <c r="AB376" s="220">
        <f>Database!D365</f>
        <v/>
      </c>
      <c r="AC376" s="220">
        <f>Database!E365</f>
        <v/>
      </c>
      <c r="AD376" s="220">
        <f>Database!I365</f>
        <v/>
      </c>
      <c r="AE376" s="220">
        <f>Database!BG365</f>
        <v/>
      </c>
      <c r="AF376" s="220">
        <f>Database!BM365</f>
        <v/>
      </c>
      <c r="AG376" s="220">
        <f>Database!H365</f>
        <v/>
      </c>
      <c r="AH376" s="220">
        <f>Database!BH365</f>
        <v/>
      </c>
    </row>
    <row r="377">
      <c r="A377" s="220">
        <f>Database!B377</f>
        <v/>
      </c>
      <c r="B377" s="220">
        <f>IF(AND(Screener!$D$8&lt;&gt;"",Database!$E377=Screener!$D$8),1,0)</f>
        <v/>
      </c>
      <c r="C377" s="220">
        <f>IF(AND(Screener!$D$7&lt;&gt;"",Database!$D377=Screener!$D$7),1,0)</f>
        <v/>
      </c>
      <c r="D377" s="220">
        <f>IF(OR(N(Database!$I377)&lt;=0,N(Screener!$D$9)&lt;=0),0,MAX(0,1-ABS(LOG10(N(Database!$I377)/Screener!$D$9))/W_SIZEHW))</f>
        <v/>
      </c>
      <c r="E377" s="220">
        <f>IF(OR(Database!$BG377="",Screener!$D$10=""),0,IF(Database!$BG377=Screener!$D$10,1,0))</f>
        <v/>
      </c>
      <c r="F377" s="220">
        <f>IF(OR(Database!$BM377="",Screener!$D$11=""),0,IF(Database!$BM377=Screener!$D$11,1,0))</f>
        <v/>
      </c>
      <c r="G377" s="220">
        <f>IF(OR(Database!$H377="",N(Screener!$D$12)&lt;=0),0,MAX(0,1-(N(Screener!$D$12)-Database!$H377)/W_RECD))</f>
        <v/>
      </c>
      <c r="H377" s="220">
        <f>IF($U$1="",0,N(ISNUMBER(SEARCH($U$1,Database!$AC377&amp;""))))+IF($V$1="",0,N(ISNUMBER(SEARCH($V$1,Database!$AC377&amp;""))))+IF($W$1="",0,N(ISNUMBER(SEARCH($W$1,Database!$AC377&amp;""))))+IF($X$1="",0,N(ISNUMBER(SEARCH($X$1,Database!$AC377&amp;""))))+IF($Y$1="",0,N(ISNUMBER(SEARCH($Y$1,Database!$AC377&amp;""))))+IF(Screener!$B$17="",0,N(ISNUMBER(SEARCH(LOWER(Screener!$B$17),Database!$AC377&amp;""))))</f>
        <v/>
      </c>
      <c r="I377" s="220">
        <f>IF(OR(N(Database!$BH377)&lt;=0,N(Screener!$D$13)&lt;=0),0,MAX(0,1-ABS(LOG10(N(Database!$BH377)/Screener!$D$13))/W_PEHW))</f>
        <v/>
      </c>
      <c r="J377" s="220">
        <f>IF(OR(N(Database!$S377)&lt;=0,N(Screener!$D$14)&lt;=0),0,MAX(0,1-ABS(LOG10(Database!$S377/Screener!$D$14))/0.6))</f>
        <v/>
      </c>
      <c r="K377" s="220">
        <f>IF(Database!$B377=Screener!$B$5,-999999,IF(ISNUMBER(SEARCH(","&amp;Database!$A377&amp;",",","&amp;SUBSTITUTE(Screener!$D$17," ","")&amp;",")),2000000,IF(IF(OR(Screener!$B$18="All",AND(Screener!$B$18="With A-share",(Database!$BM377="Y")),AND(Screener!$B$18="Without A-share",NOT((Database!$BM377="Y")))),1,0)=0,-999999,IF(Screener!$B$16="cornerstone overlap first",H377*100000,IF(Screener!$B$16="demand-similar first",J377*100000,0))+W_SUB*B377+W_SEC*C377*(1-B377)+W_SIZE*D377+W_PROF*E377+W_AH*F377+W_REC*G377+W_CS*H377+W_PE*I377)))+ROW()/1000000</f>
        <v/>
      </c>
      <c r="AA377" s="220">
        <f>Database!B366</f>
        <v/>
      </c>
      <c r="AB377" s="220">
        <f>Database!D366</f>
        <v/>
      </c>
      <c r="AC377" s="220">
        <f>Database!E366</f>
        <v/>
      </c>
      <c r="AD377" s="220">
        <f>Database!I366</f>
        <v/>
      </c>
      <c r="AE377" s="220">
        <f>Database!BG366</f>
        <v/>
      </c>
      <c r="AF377" s="220">
        <f>Database!BM366</f>
        <v/>
      </c>
      <c r="AG377" s="220">
        <f>Database!H366</f>
        <v/>
      </c>
      <c r="AH377" s="220">
        <f>Database!BH366</f>
        <v/>
      </c>
    </row>
    <row r="378">
      <c r="A378" s="220">
        <f>Database!B378</f>
        <v/>
      </c>
      <c r="B378" s="220">
        <f>IF(AND(Screener!$D$8&lt;&gt;"",Database!$E378=Screener!$D$8),1,0)</f>
        <v/>
      </c>
      <c r="C378" s="220">
        <f>IF(AND(Screener!$D$7&lt;&gt;"",Database!$D378=Screener!$D$7),1,0)</f>
        <v/>
      </c>
      <c r="D378" s="220">
        <f>IF(OR(N(Database!$I378)&lt;=0,N(Screener!$D$9)&lt;=0),0,MAX(0,1-ABS(LOG10(N(Database!$I378)/Screener!$D$9))/W_SIZEHW))</f>
        <v/>
      </c>
      <c r="E378" s="220">
        <f>IF(OR(Database!$BG378="",Screener!$D$10=""),0,IF(Database!$BG378=Screener!$D$10,1,0))</f>
        <v/>
      </c>
      <c r="F378" s="220">
        <f>IF(OR(Database!$BM378="",Screener!$D$11=""),0,IF(Database!$BM378=Screener!$D$11,1,0))</f>
        <v/>
      </c>
      <c r="G378" s="220">
        <f>IF(OR(Database!$H378="",N(Screener!$D$12)&lt;=0),0,MAX(0,1-(N(Screener!$D$12)-Database!$H378)/W_RECD))</f>
        <v/>
      </c>
      <c r="H378" s="220">
        <f>IF($U$1="",0,N(ISNUMBER(SEARCH($U$1,Database!$AC378&amp;""))))+IF($V$1="",0,N(ISNUMBER(SEARCH($V$1,Database!$AC378&amp;""))))+IF($W$1="",0,N(ISNUMBER(SEARCH($W$1,Database!$AC378&amp;""))))+IF($X$1="",0,N(ISNUMBER(SEARCH($X$1,Database!$AC378&amp;""))))+IF($Y$1="",0,N(ISNUMBER(SEARCH($Y$1,Database!$AC378&amp;""))))+IF(Screener!$B$17="",0,N(ISNUMBER(SEARCH(LOWER(Screener!$B$17),Database!$AC378&amp;""))))</f>
        <v/>
      </c>
      <c r="I378" s="220">
        <f>IF(OR(N(Database!$BH378)&lt;=0,N(Screener!$D$13)&lt;=0),0,MAX(0,1-ABS(LOG10(N(Database!$BH378)/Screener!$D$13))/W_PEHW))</f>
        <v/>
      </c>
      <c r="J378" s="220">
        <f>IF(OR(N(Database!$S378)&lt;=0,N(Screener!$D$14)&lt;=0),0,MAX(0,1-ABS(LOG10(Database!$S378/Screener!$D$14))/0.6))</f>
        <v/>
      </c>
      <c r="K378" s="220">
        <f>IF(Database!$B378=Screener!$B$5,-999999,IF(ISNUMBER(SEARCH(","&amp;Database!$A378&amp;",",","&amp;SUBSTITUTE(Screener!$D$17," ","")&amp;",")),2000000,IF(IF(OR(Screener!$B$18="All",AND(Screener!$B$18="With A-share",(Database!$BM378="Y")),AND(Screener!$B$18="Without A-share",NOT((Database!$BM378="Y")))),1,0)=0,-999999,IF(Screener!$B$16="cornerstone overlap first",H378*100000,IF(Screener!$B$16="demand-similar first",J378*100000,0))+W_SUB*B378+W_SEC*C378*(1-B378)+W_SIZE*D378+W_PROF*E378+W_AH*F378+W_REC*G378+W_CS*H378+W_PE*I378)))+ROW()/1000000</f>
        <v/>
      </c>
      <c r="AA378" s="220">
        <f>Database!B367</f>
        <v/>
      </c>
      <c r="AB378" s="220">
        <f>Database!D367</f>
        <v/>
      </c>
      <c r="AC378" s="220">
        <f>Database!E367</f>
        <v/>
      </c>
      <c r="AD378" s="220">
        <f>Database!I367</f>
        <v/>
      </c>
      <c r="AE378" s="220">
        <f>Database!BG367</f>
        <v/>
      </c>
      <c r="AF378" s="220">
        <f>Database!BM367</f>
        <v/>
      </c>
      <c r="AG378" s="220">
        <f>Database!H367</f>
        <v/>
      </c>
      <c r="AH378" s="220">
        <f>Database!BH367</f>
        <v/>
      </c>
    </row>
    <row r="379">
      <c r="A379" s="220">
        <f>Database!B379</f>
        <v/>
      </c>
      <c r="B379" s="220">
        <f>IF(AND(Screener!$D$8&lt;&gt;"",Database!$E379=Screener!$D$8),1,0)</f>
        <v/>
      </c>
      <c r="C379" s="220">
        <f>IF(AND(Screener!$D$7&lt;&gt;"",Database!$D379=Screener!$D$7),1,0)</f>
        <v/>
      </c>
      <c r="D379" s="220">
        <f>IF(OR(N(Database!$I379)&lt;=0,N(Screener!$D$9)&lt;=0),0,MAX(0,1-ABS(LOG10(N(Database!$I379)/Screener!$D$9))/W_SIZEHW))</f>
        <v/>
      </c>
      <c r="E379" s="220">
        <f>IF(OR(Database!$BG379="",Screener!$D$10=""),0,IF(Database!$BG379=Screener!$D$10,1,0))</f>
        <v/>
      </c>
      <c r="F379" s="220">
        <f>IF(OR(Database!$BM379="",Screener!$D$11=""),0,IF(Database!$BM379=Screener!$D$11,1,0))</f>
        <v/>
      </c>
      <c r="G379" s="220">
        <f>IF(OR(Database!$H379="",N(Screener!$D$12)&lt;=0),0,MAX(0,1-(N(Screener!$D$12)-Database!$H379)/W_RECD))</f>
        <v/>
      </c>
      <c r="H379" s="220">
        <f>IF($U$1="",0,N(ISNUMBER(SEARCH($U$1,Database!$AC379&amp;""))))+IF($V$1="",0,N(ISNUMBER(SEARCH($V$1,Database!$AC379&amp;""))))+IF($W$1="",0,N(ISNUMBER(SEARCH($W$1,Database!$AC379&amp;""))))+IF($X$1="",0,N(ISNUMBER(SEARCH($X$1,Database!$AC379&amp;""))))+IF($Y$1="",0,N(ISNUMBER(SEARCH($Y$1,Database!$AC379&amp;""))))+IF(Screener!$B$17="",0,N(ISNUMBER(SEARCH(LOWER(Screener!$B$17),Database!$AC379&amp;""))))</f>
        <v/>
      </c>
      <c r="I379" s="220">
        <f>IF(OR(N(Database!$BH379)&lt;=0,N(Screener!$D$13)&lt;=0),0,MAX(0,1-ABS(LOG10(N(Database!$BH379)/Screener!$D$13))/W_PEHW))</f>
        <v/>
      </c>
      <c r="J379" s="220">
        <f>IF(OR(N(Database!$S379)&lt;=0,N(Screener!$D$14)&lt;=0),0,MAX(0,1-ABS(LOG10(Database!$S379/Screener!$D$14))/0.6))</f>
        <v/>
      </c>
      <c r="K379" s="220">
        <f>IF(Database!$B379=Screener!$B$5,-999999,IF(ISNUMBER(SEARCH(","&amp;Database!$A379&amp;",",","&amp;SUBSTITUTE(Screener!$D$17," ","")&amp;",")),2000000,IF(IF(OR(Screener!$B$18="All",AND(Screener!$B$18="With A-share",(Database!$BM379="Y")),AND(Screener!$B$18="Without A-share",NOT((Database!$BM379="Y")))),1,0)=0,-999999,IF(Screener!$B$16="cornerstone overlap first",H379*100000,IF(Screener!$B$16="demand-similar first",J379*100000,0))+W_SUB*B379+W_SEC*C379*(1-B379)+W_SIZE*D379+W_PROF*E379+W_AH*F379+W_REC*G379+W_CS*H379+W_PE*I379)))+ROW()/1000000</f>
        <v/>
      </c>
      <c r="AA379" s="220">
        <f>Database!B368</f>
        <v/>
      </c>
      <c r="AB379" s="220">
        <f>Database!D368</f>
        <v/>
      </c>
      <c r="AC379" s="220">
        <f>Database!E368</f>
        <v/>
      </c>
      <c r="AD379" s="220">
        <f>Database!I368</f>
        <v/>
      </c>
      <c r="AE379" s="220">
        <f>Database!BG368</f>
        <v/>
      </c>
      <c r="AF379" s="220">
        <f>Database!BM368</f>
        <v/>
      </c>
      <c r="AG379" s="220">
        <f>Database!H368</f>
        <v/>
      </c>
      <c r="AH379" s="220">
        <f>Database!BH368</f>
        <v/>
      </c>
    </row>
    <row r="380">
      <c r="A380" s="220">
        <f>Database!B380</f>
        <v/>
      </c>
      <c r="B380" s="220">
        <f>IF(AND(Screener!$D$8&lt;&gt;"",Database!$E380=Screener!$D$8),1,0)</f>
        <v/>
      </c>
      <c r="C380" s="220">
        <f>IF(AND(Screener!$D$7&lt;&gt;"",Database!$D380=Screener!$D$7),1,0)</f>
        <v/>
      </c>
      <c r="D380" s="220">
        <f>IF(OR(N(Database!$I380)&lt;=0,N(Screener!$D$9)&lt;=0),0,MAX(0,1-ABS(LOG10(N(Database!$I380)/Screener!$D$9))/W_SIZEHW))</f>
        <v/>
      </c>
      <c r="E380" s="220">
        <f>IF(OR(Database!$BG380="",Screener!$D$10=""),0,IF(Database!$BG380=Screener!$D$10,1,0))</f>
        <v/>
      </c>
      <c r="F380" s="220">
        <f>IF(OR(Database!$BM380="",Screener!$D$11=""),0,IF(Database!$BM380=Screener!$D$11,1,0))</f>
        <v/>
      </c>
      <c r="G380" s="220">
        <f>IF(OR(Database!$H380="",N(Screener!$D$12)&lt;=0),0,MAX(0,1-(N(Screener!$D$12)-Database!$H380)/W_RECD))</f>
        <v/>
      </c>
      <c r="H380" s="220">
        <f>IF($U$1="",0,N(ISNUMBER(SEARCH($U$1,Database!$AC380&amp;""))))+IF($V$1="",0,N(ISNUMBER(SEARCH($V$1,Database!$AC380&amp;""))))+IF($W$1="",0,N(ISNUMBER(SEARCH($W$1,Database!$AC380&amp;""))))+IF($X$1="",0,N(ISNUMBER(SEARCH($X$1,Database!$AC380&amp;""))))+IF($Y$1="",0,N(ISNUMBER(SEARCH($Y$1,Database!$AC380&amp;""))))+IF(Screener!$B$17="",0,N(ISNUMBER(SEARCH(LOWER(Screener!$B$17),Database!$AC380&amp;""))))</f>
        <v/>
      </c>
      <c r="I380" s="220">
        <f>IF(OR(N(Database!$BH380)&lt;=0,N(Screener!$D$13)&lt;=0),0,MAX(0,1-ABS(LOG10(N(Database!$BH380)/Screener!$D$13))/W_PEHW))</f>
        <v/>
      </c>
      <c r="J380" s="220">
        <f>IF(OR(N(Database!$S380)&lt;=0,N(Screener!$D$14)&lt;=0),0,MAX(0,1-ABS(LOG10(Database!$S380/Screener!$D$14))/0.6))</f>
        <v/>
      </c>
      <c r="K380" s="220">
        <f>IF(Database!$B380=Screener!$B$5,-999999,IF(ISNUMBER(SEARCH(","&amp;Database!$A380&amp;",",","&amp;SUBSTITUTE(Screener!$D$17," ","")&amp;",")),2000000,IF(IF(OR(Screener!$B$18="All",AND(Screener!$B$18="With A-share",(Database!$BM380="Y")),AND(Screener!$B$18="Without A-share",NOT((Database!$BM380="Y")))),1,0)=0,-999999,IF(Screener!$B$16="cornerstone overlap first",H380*100000,IF(Screener!$B$16="demand-similar first",J380*100000,0))+W_SUB*B380+W_SEC*C380*(1-B380)+W_SIZE*D380+W_PROF*E380+W_AH*F380+W_REC*G380+W_CS*H380+W_PE*I380)))+ROW()/1000000</f>
        <v/>
      </c>
      <c r="AA380" s="220">
        <f>Database!B369</f>
        <v/>
      </c>
      <c r="AB380" s="220">
        <f>Database!D369</f>
        <v/>
      </c>
      <c r="AC380" s="220">
        <f>Database!E369</f>
        <v/>
      </c>
      <c r="AD380" s="220">
        <f>Database!I369</f>
        <v/>
      </c>
      <c r="AE380" s="220">
        <f>Database!BG369</f>
        <v/>
      </c>
      <c r="AF380" s="220">
        <f>Database!BM369</f>
        <v/>
      </c>
      <c r="AG380" s="220">
        <f>Database!H369</f>
        <v/>
      </c>
      <c r="AH380" s="220">
        <f>Database!BH369</f>
        <v/>
      </c>
    </row>
    <row r="381">
      <c r="A381" s="220">
        <f>Database!B381</f>
        <v/>
      </c>
      <c r="B381" s="220">
        <f>IF(AND(Screener!$D$8&lt;&gt;"",Database!$E381=Screener!$D$8),1,0)</f>
        <v/>
      </c>
      <c r="C381" s="220">
        <f>IF(AND(Screener!$D$7&lt;&gt;"",Database!$D381=Screener!$D$7),1,0)</f>
        <v/>
      </c>
      <c r="D381" s="220">
        <f>IF(OR(N(Database!$I381)&lt;=0,N(Screener!$D$9)&lt;=0),0,MAX(0,1-ABS(LOG10(N(Database!$I381)/Screener!$D$9))/W_SIZEHW))</f>
        <v/>
      </c>
      <c r="E381" s="220">
        <f>IF(OR(Database!$BG381="",Screener!$D$10=""),0,IF(Database!$BG381=Screener!$D$10,1,0))</f>
        <v/>
      </c>
      <c r="F381" s="220">
        <f>IF(OR(Database!$BM381="",Screener!$D$11=""),0,IF(Database!$BM381=Screener!$D$11,1,0))</f>
        <v/>
      </c>
      <c r="G381" s="220">
        <f>IF(OR(Database!$H381="",N(Screener!$D$12)&lt;=0),0,MAX(0,1-(N(Screener!$D$12)-Database!$H381)/W_RECD))</f>
        <v/>
      </c>
      <c r="H381" s="220">
        <f>IF($U$1="",0,N(ISNUMBER(SEARCH($U$1,Database!$AC381&amp;""))))+IF($V$1="",0,N(ISNUMBER(SEARCH($V$1,Database!$AC381&amp;""))))+IF($W$1="",0,N(ISNUMBER(SEARCH($W$1,Database!$AC381&amp;""))))+IF($X$1="",0,N(ISNUMBER(SEARCH($X$1,Database!$AC381&amp;""))))+IF($Y$1="",0,N(ISNUMBER(SEARCH($Y$1,Database!$AC381&amp;""))))+IF(Screener!$B$17="",0,N(ISNUMBER(SEARCH(LOWER(Screener!$B$17),Database!$AC381&amp;""))))</f>
        <v/>
      </c>
      <c r="I381" s="220">
        <f>IF(OR(N(Database!$BH381)&lt;=0,N(Screener!$D$13)&lt;=0),0,MAX(0,1-ABS(LOG10(N(Database!$BH381)/Screener!$D$13))/W_PEHW))</f>
        <v/>
      </c>
      <c r="J381" s="220">
        <f>IF(OR(N(Database!$S381)&lt;=0,N(Screener!$D$14)&lt;=0),0,MAX(0,1-ABS(LOG10(Database!$S381/Screener!$D$14))/0.6))</f>
        <v/>
      </c>
      <c r="K381" s="220">
        <f>IF(Database!$B381=Screener!$B$5,-999999,IF(ISNUMBER(SEARCH(","&amp;Database!$A381&amp;",",","&amp;SUBSTITUTE(Screener!$D$17," ","")&amp;",")),2000000,IF(IF(OR(Screener!$B$18="All",AND(Screener!$B$18="With A-share",(Database!$BM381="Y")),AND(Screener!$B$18="Without A-share",NOT((Database!$BM381="Y")))),1,0)=0,-999999,IF(Screener!$B$16="cornerstone overlap first",H381*100000,IF(Screener!$B$16="demand-similar first",J381*100000,0))+W_SUB*B381+W_SEC*C381*(1-B381)+W_SIZE*D381+W_PROF*E381+W_AH*F381+W_REC*G381+W_CS*H381+W_PE*I381)))+ROW()/1000000</f>
        <v/>
      </c>
      <c r="AA381" s="220">
        <f>Database!B370</f>
        <v/>
      </c>
      <c r="AB381" s="220">
        <f>Database!D370</f>
        <v/>
      </c>
      <c r="AC381" s="220">
        <f>Database!E370</f>
        <v/>
      </c>
      <c r="AD381" s="220">
        <f>Database!I370</f>
        <v/>
      </c>
      <c r="AE381" s="220">
        <f>Database!BG370</f>
        <v/>
      </c>
      <c r="AF381" s="220">
        <f>Database!BM370</f>
        <v/>
      </c>
      <c r="AG381" s="220">
        <f>Database!H370</f>
        <v/>
      </c>
      <c r="AH381" s="220">
        <f>Database!BH370</f>
        <v/>
      </c>
    </row>
    <row r="382">
      <c r="A382" s="220">
        <f>Database!B382</f>
        <v/>
      </c>
      <c r="B382" s="220">
        <f>IF(AND(Screener!$D$8&lt;&gt;"",Database!$E382=Screener!$D$8),1,0)</f>
        <v/>
      </c>
      <c r="C382" s="220">
        <f>IF(AND(Screener!$D$7&lt;&gt;"",Database!$D382=Screener!$D$7),1,0)</f>
        <v/>
      </c>
      <c r="D382" s="220">
        <f>IF(OR(N(Database!$I382)&lt;=0,N(Screener!$D$9)&lt;=0),0,MAX(0,1-ABS(LOG10(N(Database!$I382)/Screener!$D$9))/W_SIZEHW))</f>
        <v/>
      </c>
      <c r="E382" s="220">
        <f>IF(OR(Database!$BG382="",Screener!$D$10=""),0,IF(Database!$BG382=Screener!$D$10,1,0))</f>
        <v/>
      </c>
      <c r="F382" s="220">
        <f>IF(OR(Database!$BM382="",Screener!$D$11=""),0,IF(Database!$BM382=Screener!$D$11,1,0))</f>
        <v/>
      </c>
      <c r="G382" s="220">
        <f>IF(OR(Database!$H382="",N(Screener!$D$12)&lt;=0),0,MAX(0,1-(N(Screener!$D$12)-Database!$H382)/W_RECD))</f>
        <v/>
      </c>
      <c r="H382" s="220">
        <f>IF($U$1="",0,N(ISNUMBER(SEARCH($U$1,Database!$AC382&amp;""))))+IF($V$1="",0,N(ISNUMBER(SEARCH($V$1,Database!$AC382&amp;""))))+IF($W$1="",0,N(ISNUMBER(SEARCH($W$1,Database!$AC382&amp;""))))+IF($X$1="",0,N(ISNUMBER(SEARCH($X$1,Database!$AC382&amp;""))))+IF($Y$1="",0,N(ISNUMBER(SEARCH($Y$1,Database!$AC382&amp;""))))+IF(Screener!$B$17="",0,N(ISNUMBER(SEARCH(LOWER(Screener!$B$17),Database!$AC382&amp;""))))</f>
        <v/>
      </c>
      <c r="I382" s="220">
        <f>IF(OR(N(Database!$BH382)&lt;=0,N(Screener!$D$13)&lt;=0),0,MAX(0,1-ABS(LOG10(N(Database!$BH382)/Screener!$D$13))/W_PEHW))</f>
        <v/>
      </c>
      <c r="J382" s="220">
        <f>IF(OR(N(Database!$S382)&lt;=0,N(Screener!$D$14)&lt;=0),0,MAX(0,1-ABS(LOG10(Database!$S382/Screener!$D$14))/0.6))</f>
        <v/>
      </c>
      <c r="K382" s="220">
        <f>IF(Database!$B382=Screener!$B$5,-999999,IF(ISNUMBER(SEARCH(","&amp;Database!$A382&amp;",",","&amp;SUBSTITUTE(Screener!$D$17," ","")&amp;",")),2000000,IF(IF(OR(Screener!$B$18="All",AND(Screener!$B$18="With A-share",(Database!$BM382="Y")),AND(Screener!$B$18="Without A-share",NOT((Database!$BM382="Y")))),1,0)=0,-999999,IF(Screener!$B$16="cornerstone overlap first",H382*100000,IF(Screener!$B$16="demand-similar first",J382*100000,0))+W_SUB*B382+W_SEC*C382*(1-B382)+W_SIZE*D382+W_PROF*E382+W_AH*F382+W_REC*G382+W_CS*H382+W_PE*I382)))+ROW()/1000000</f>
        <v/>
      </c>
      <c r="AA382" s="220">
        <f>Database!B371</f>
        <v/>
      </c>
      <c r="AB382" s="220">
        <f>Database!D371</f>
        <v/>
      </c>
      <c r="AC382" s="220">
        <f>Database!E371</f>
        <v/>
      </c>
      <c r="AD382" s="220">
        <f>Database!I371</f>
        <v/>
      </c>
      <c r="AE382" s="220">
        <f>Database!BG371</f>
        <v/>
      </c>
      <c r="AF382" s="220">
        <f>Database!BM371</f>
        <v/>
      </c>
      <c r="AG382" s="220">
        <f>Database!H371</f>
        <v/>
      </c>
      <c r="AH382" s="220">
        <f>Database!BH371</f>
        <v/>
      </c>
    </row>
    <row r="383">
      <c r="A383" s="220">
        <f>Database!B383</f>
        <v/>
      </c>
      <c r="B383" s="220">
        <f>IF(AND(Screener!$D$8&lt;&gt;"",Database!$E383=Screener!$D$8),1,0)</f>
        <v/>
      </c>
      <c r="C383" s="220">
        <f>IF(AND(Screener!$D$7&lt;&gt;"",Database!$D383=Screener!$D$7),1,0)</f>
        <v/>
      </c>
      <c r="D383" s="220">
        <f>IF(OR(N(Database!$I383)&lt;=0,N(Screener!$D$9)&lt;=0),0,MAX(0,1-ABS(LOG10(N(Database!$I383)/Screener!$D$9))/W_SIZEHW))</f>
        <v/>
      </c>
      <c r="E383" s="220">
        <f>IF(OR(Database!$BG383="",Screener!$D$10=""),0,IF(Database!$BG383=Screener!$D$10,1,0))</f>
        <v/>
      </c>
      <c r="F383" s="220">
        <f>IF(OR(Database!$BM383="",Screener!$D$11=""),0,IF(Database!$BM383=Screener!$D$11,1,0))</f>
        <v/>
      </c>
      <c r="G383" s="220">
        <f>IF(OR(Database!$H383="",N(Screener!$D$12)&lt;=0),0,MAX(0,1-(N(Screener!$D$12)-Database!$H383)/W_RECD))</f>
        <v/>
      </c>
      <c r="H383" s="220">
        <f>IF($U$1="",0,N(ISNUMBER(SEARCH($U$1,Database!$AC383&amp;""))))+IF($V$1="",0,N(ISNUMBER(SEARCH($V$1,Database!$AC383&amp;""))))+IF($W$1="",0,N(ISNUMBER(SEARCH($W$1,Database!$AC383&amp;""))))+IF($X$1="",0,N(ISNUMBER(SEARCH($X$1,Database!$AC383&amp;""))))+IF($Y$1="",0,N(ISNUMBER(SEARCH($Y$1,Database!$AC383&amp;""))))+IF(Screener!$B$17="",0,N(ISNUMBER(SEARCH(LOWER(Screener!$B$17),Database!$AC383&amp;""))))</f>
        <v/>
      </c>
      <c r="I383" s="220">
        <f>IF(OR(N(Database!$BH383)&lt;=0,N(Screener!$D$13)&lt;=0),0,MAX(0,1-ABS(LOG10(N(Database!$BH383)/Screener!$D$13))/W_PEHW))</f>
        <v/>
      </c>
      <c r="J383" s="220">
        <f>IF(OR(N(Database!$S383)&lt;=0,N(Screener!$D$14)&lt;=0),0,MAX(0,1-ABS(LOG10(Database!$S383/Screener!$D$14))/0.6))</f>
        <v/>
      </c>
      <c r="K383" s="220">
        <f>IF(Database!$B383=Screener!$B$5,-999999,IF(ISNUMBER(SEARCH(","&amp;Database!$A383&amp;",",","&amp;SUBSTITUTE(Screener!$D$17," ","")&amp;",")),2000000,IF(IF(OR(Screener!$B$18="All",AND(Screener!$B$18="With A-share",(Database!$BM383="Y")),AND(Screener!$B$18="Without A-share",NOT((Database!$BM383="Y")))),1,0)=0,-999999,IF(Screener!$B$16="cornerstone overlap first",H383*100000,IF(Screener!$B$16="demand-similar first",J383*100000,0))+W_SUB*B383+W_SEC*C383*(1-B383)+W_SIZE*D383+W_PROF*E383+W_AH*F383+W_REC*G383+W_CS*H383+W_PE*I383)))+ROW()/1000000</f>
        <v/>
      </c>
      <c r="AA383" s="220">
        <f>Database!B372</f>
        <v/>
      </c>
      <c r="AB383" s="220">
        <f>Database!D372</f>
        <v/>
      </c>
      <c r="AC383" s="220">
        <f>Database!E372</f>
        <v/>
      </c>
      <c r="AD383" s="220">
        <f>Database!I372</f>
        <v/>
      </c>
      <c r="AE383" s="220">
        <f>Database!BG372</f>
        <v/>
      </c>
      <c r="AF383" s="220">
        <f>Database!BM372</f>
        <v/>
      </c>
      <c r="AG383" s="220">
        <f>Database!H372</f>
        <v/>
      </c>
      <c r="AH383" s="220">
        <f>Database!BH372</f>
        <v/>
      </c>
    </row>
    <row r="384">
      <c r="A384" s="220">
        <f>Database!B384</f>
        <v/>
      </c>
      <c r="B384" s="220">
        <f>IF(AND(Screener!$D$8&lt;&gt;"",Database!$E384=Screener!$D$8),1,0)</f>
        <v/>
      </c>
      <c r="C384" s="220">
        <f>IF(AND(Screener!$D$7&lt;&gt;"",Database!$D384=Screener!$D$7),1,0)</f>
        <v/>
      </c>
      <c r="D384" s="220">
        <f>IF(OR(N(Database!$I384)&lt;=0,N(Screener!$D$9)&lt;=0),0,MAX(0,1-ABS(LOG10(N(Database!$I384)/Screener!$D$9))/W_SIZEHW))</f>
        <v/>
      </c>
      <c r="E384" s="220">
        <f>IF(OR(Database!$BG384="",Screener!$D$10=""),0,IF(Database!$BG384=Screener!$D$10,1,0))</f>
        <v/>
      </c>
      <c r="F384" s="220">
        <f>IF(OR(Database!$BM384="",Screener!$D$11=""),0,IF(Database!$BM384=Screener!$D$11,1,0))</f>
        <v/>
      </c>
      <c r="G384" s="220">
        <f>IF(OR(Database!$H384="",N(Screener!$D$12)&lt;=0),0,MAX(0,1-(N(Screener!$D$12)-Database!$H384)/W_RECD))</f>
        <v/>
      </c>
      <c r="H384" s="220">
        <f>IF($U$1="",0,N(ISNUMBER(SEARCH($U$1,Database!$AC384&amp;""))))+IF($V$1="",0,N(ISNUMBER(SEARCH($V$1,Database!$AC384&amp;""))))+IF($W$1="",0,N(ISNUMBER(SEARCH($W$1,Database!$AC384&amp;""))))+IF($X$1="",0,N(ISNUMBER(SEARCH($X$1,Database!$AC384&amp;""))))+IF($Y$1="",0,N(ISNUMBER(SEARCH($Y$1,Database!$AC384&amp;""))))+IF(Screener!$B$17="",0,N(ISNUMBER(SEARCH(LOWER(Screener!$B$17),Database!$AC384&amp;""))))</f>
        <v/>
      </c>
      <c r="I384" s="220">
        <f>IF(OR(N(Database!$BH384)&lt;=0,N(Screener!$D$13)&lt;=0),0,MAX(0,1-ABS(LOG10(N(Database!$BH384)/Screener!$D$13))/W_PEHW))</f>
        <v/>
      </c>
      <c r="J384" s="220">
        <f>IF(OR(N(Database!$S384)&lt;=0,N(Screener!$D$14)&lt;=0),0,MAX(0,1-ABS(LOG10(Database!$S384/Screener!$D$14))/0.6))</f>
        <v/>
      </c>
      <c r="K384" s="220">
        <f>IF(Database!$B384=Screener!$B$5,-999999,IF(ISNUMBER(SEARCH(","&amp;Database!$A384&amp;",",","&amp;SUBSTITUTE(Screener!$D$17," ","")&amp;",")),2000000,IF(IF(OR(Screener!$B$18="All",AND(Screener!$B$18="With A-share",(Database!$BM384="Y")),AND(Screener!$B$18="Without A-share",NOT((Database!$BM384="Y")))),1,0)=0,-999999,IF(Screener!$B$16="cornerstone overlap first",H384*100000,IF(Screener!$B$16="demand-similar first",J384*100000,0))+W_SUB*B384+W_SEC*C384*(1-B384)+W_SIZE*D384+W_PROF*E384+W_AH*F384+W_REC*G384+W_CS*H384+W_PE*I384)))+ROW()/1000000</f>
        <v/>
      </c>
      <c r="AA384" s="220">
        <f>Database!B373</f>
        <v/>
      </c>
      <c r="AB384" s="220">
        <f>Database!D373</f>
        <v/>
      </c>
      <c r="AC384" s="220">
        <f>Database!E373</f>
        <v/>
      </c>
      <c r="AD384" s="220">
        <f>Database!I373</f>
        <v/>
      </c>
      <c r="AE384" s="220">
        <f>Database!BG373</f>
        <v/>
      </c>
      <c r="AF384" s="220">
        <f>Database!BM373</f>
        <v/>
      </c>
      <c r="AG384" s="220">
        <f>Database!H373</f>
        <v/>
      </c>
      <c r="AH384" s="220">
        <f>Database!BH373</f>
        <v/>
      </c>
    </row>
    <row r="385">
      <c r="A385" s="220">
        <f>Database!B385</f>
        <v/>
      </c>
      <c r="B385" s="220">
        <f>IF(AND(Screener!$D$8&lt;&gt;"",Database!$E385=Screener!$D$8),1,0)</f>
        <v/>
      </c>
      <c r="C385" s="220">
        <f>IF(AND(Screener!$D$7&lt;&gt;"",Database!$D385=Screener!$D$7),1,0)</f>
        <v/>
      </c>
      <c r="D385" s="220">
        <f>IF(OR(N(Database!$I385)&lt;=0,N(Screener!$D$9)&lt;=0),0,MAX(0,1-ABS(LOG10(N(Database!$I385)/Screener!$D$9))/W_SIZEHW))</f>
        <v/>
      </c>
      <c r="E385" s="220">
        <f>IF(OR(Database!$BG385="",Screener!$D$10=""),0,IF(Database!$BG385=Screener!$D$10,1,0))</f>
        <v/>
      </c>
      <c r="F385" s="220">
        <f>IF(OR(Database!$BM385="",Screener!$D$11=""),0,IF(Database!$BM385=Screener!$D$11,1,0))</f>
        <v/>
      </c>
      <c r="G385" s="220">
        <f>IF(OR(Database!$H385="",N(Screener!$D$12)&lt;=0),0,MAX(0,1-(N(Screener!$D$12)-Database!$H385)/W_RECD))</f>
        <v/>
      </c>
      <c r="H385" s="220">
        <f>IF($U$1="",0,N(ISNUMBER(SEARCH($U$1,Database!$AC385&amp;""))))+IF($V$1="",0,N(ISNUMBER(SEARCH($V$1,Database!$AC385&amp;""))))+IF($W$1="",0,N(ISNUMBER(SEARCH($W$1,Database!$AC385&amp;""))))+IF($X$1="",0,N(ISNUMBER(SEARCH($X$1,Database!$AC385&amp;""))))+IF($Y$1="",0,N(ISNUMBER(SEARCH($Y$1,Database!$AC385&amp;""))))+IF(Screener!$B$17="",0,N(ISNUMBER(SEARCH(LOWER(Screener!$B$17),Database!$AC385&amp;""))))</f>
        <v/>
      </c>
      <c r="I385" s="220">
        <f>IF(OR(N(Database!$BH385)&lt;=0,N(Screener!$D$13)&lt;=0),0,MAX(0,1-ABS(LOG10(N(Database!$BH385)/Screener!$D$13))/W_PEHW))</f>
        <v/>
      </c>
      <c r="J385" s="220">
        <f>IF(OR(N(Database!$S385)&lt;=0,N(Screener!$D$14)&lt;=0),0,MAX(0,1-ABS(LOG10(Database!$S385/Screener!$D$14))/0.6))</f>
        <v/>
      </c>
      <c r="K385" s="220">
        <f>IF(Database!$B385=Screener!$B$5,-999999,IF(ISNUMBER(SEARCH(","&amp;Database!$A385&amp;",",","&amp;SUBSTITUTE(Screener!$D$17," ","")&amp;",")),2000000,IF(IF(OR(Screener!$B$18="All",AND(Screener!$B$18="With A-share",(Database!$BM385="Y")),AND(Screener!$B$18="Without A-share",NOT((Database!$BM385="Y")))),1,0)=0,-999999,IF(Screener!$B$16="cornerstone overlap first",H385*100000,IF(Screener!$B$16="demand-similar first",J385*100000,0))+W_SUB*B385+W_SEC*C385*(1-B385)+W_SIZE*D385+W_PROF*E385+W_AH*F385+W_REC*G385+W_CS*H385+W_PE*I385)))+ROW()/1000000</f>
        <v/>
      </c>
      <c r="AA385" s="220">
        <f>Database!B374</f>
        <v/>
      </c>
      <c r="AB385" s="220">
        <f>Database!D374</f>
        <v/>
      </c>
      <c r="AC385" s="220">
        <f>Database!E374</f>
        <v/>
      </c>
      <c r="AD385" s="220">
        <f>Database!I374</f>
        <v/>
      </c>
      <c r="AE385" s="220">
        <f>Database!BG374</f>
        <v/>
      </c>
      <c r="AF385" s="220">
        <f>Database!BM374</f>
        <v/>
      </c>
      <c r="AG385" s="220">
        <f>Database!H374</f>
        <v/>
      </c>
      <c r="AH385" s="220">
        <f>Database!BH374</f>
        <v/>
      </c>
    </row>
    <row r="386">
      <c r="A386" s="220">
        <f>Database!B386</f>
        <v/>
      </c>
      <c r="B386" s="220">
        <f>IF(AND(Screener!$D$8&lt;&gt;"",Database!$E386=Screener!$D$8),1,0)</f>
        <v/>
      </c>
      <c r="C386" s="220">
        <f>IF(AND(Screener!$D$7&lt;&gt;"",Database!$D386=Screener!$D$7),1,0)</f>
        <v/>
      </c>
      <c r="D386" s="220">
        <f>IF(OR(N(Database!$I386)&lt;=0,N(Screener!$D$9)&lt;=0),0,MAX(0,1-ABS(LOG10(N(Database!$I386)/Screener!$D$9))/W_SIZEHW))</f>
        <v/>
      </c>
      <c r="E386" s="220">
        <f>IF(OR(Database!$BG386="",Screener!$D$10=""),0,IF(Database!$BG386=Screener!$D$10,1,0))</f>
        <v/>
      </c>
      <c r="F386" s="220">
        <f>IF(OR(Database!$BM386="",Screener!$D$11=""),0,IF(Database!$BM386=Screener!$D$11,1,0))</f>
        <v/>
      </c>
      <c r="G386" s="220">
        <f>IF(OR(Database!$H386="",N(Screener!$D$12)&lt;=0),0,MAX(0,1-(N(Screener!$D$12)-Database!$H386)/W_RECD))</f>
        <v/>
      </c>
      <c r="H386" s="220">
        <f>IF($U$1="",0,N(ISNUMBER(SEARCH($U$1,Database!$AC386&amp;""))))+IF($V$1="",0,N(ISNUMBER(SEARCH($V$1,Database!$AC386&amp;""))))+IF($W$1="",0,N(ISNUMBER(SEARCH($W$1,Database!$AC386&amp;""))))+IF($X$1="",0,N(ISNUMBER(SEARCH($X$1,Database!$AC386&amp;""))))+IF($Y$1="",0,N(ISNUMBER(SEARCH($Y$1,Database!$AC386&amp;""))))+IF(Screener!$B$17="",0,N(ISNUMBER(SEARCH(LOWER(Screener!$B$17),Database!$AC386&amp;""))))</f>
        <v/>
      </c>
      <c r="I386" s="220">
        <f>IF(OR(N(Database!$BH386)&lt;=0,N(Screener!$D$13)&lt;=0),0,MAX(0,1-ABS(LOG10(N(Database!$BH386)/Screener!$D$13))/W_PEHW))</f>
        <v/>
      </c>
      <c r="J386" s="220">
        <f>IF(OR(N(Database!$S386)&lt;=0,N(Screener!$D$14)&lt;=0),0,MAX(0,1-ABS(LOG10(Database!$S386/Screener!$D$14))/0.6))</f>
        <v/>
      </c>
      <c r="K386" s="220">
        <f>IF(Database!$B386=Screener!$B$5,-999999,IF(ISNUMBER(SEARCH(","&amp;Database!$A386&amp;",",","&amp;SUBSTITUTE(Screener!$D$17," ","")&amp;",")),2000000,IF(IF(OR(Screener!$B$18="All",AND(Screener!$B$18="With A-share",(Database!$BM386="Y")),AND(Screener!$B$18="Without A-share",NOT((Database!$BM386="Y")))),1,0)=0,-999999,IF(Screener!$B$16="cornerstone overlap first",H386*100000,IF(Screener!$B$16="demand-similar first",J386*100000,0))+W_SUB*B386+W_SEC*C386*(1-B386)+W_SIZE*D386+W_PROF*E386+W_AH*F386+W_REC*G386+W_CS*H386+W_PE*I386)))+ROW()/1000000</f>
        <v/>
      </c>
      <c r="AA386" s="220">
        <f>Database!B375</f>
        <v/>
      </c>
      <c r="AB386" s="220">
        <f>Database!D375</f>
        <v/>
      </c>
      <c r="AC386" s="220">
        <f>Database!E375</f>
        <v/>
      </c>
      <c r="AD386" s="220">
        <f>Database!I375</f>
        <v/>
      </c>
      <c r="AE386" s="220">
        <f>Database!BG375</f>
        <v/>
      </c>
      <c r="AF386" s="220">
        <f>Database!BM375</f>
        <v/>
      </c>
      <c r="AG386" s="220">
        <f>Database!H375</f>
        <v/>
      </c>
      <c r="AH386" s="220">
        <f>Database!BH375</f>
        <v/>
      </c>
    </row>
    <row r="387">
      <c r="A387" s="220">
        <f>Database!B387</f>
        <v/>
      </c>
      <c r="B387" s="220">
        <f>IF(AND(Screener!$D$8&lt;&gt;"",Database!$E387=Screener!$D$8),1,0)</f>
        <v/>
      </c>
      <c r="C387" s="220">
        <f>IF(AND(Screener!$D$7&lt;&gt;"",Database!$D387=Screener!$D$7),1,0)</f>
        <v/>
      </c>
      <c r="D387" s="220">
        <f>IF(OR(N(Database!$I387)&lt;=0,N(Screener!$D$9)&lt;=0),0,MAX(0,1-ABS(LOG10(N(Database!$I387)/Screener!$D$9))/W_SIZEHW))</f>
        <v/>
      </c>
      <c r="E387" s="220">
        <f>IF(OR(Database!$BG387="",Screener!$D$10=""),0,IF(Database!$BG387=Screener!$D$10,1,0))</f>
        <v/>
      </c>
      <c r="F387" s="220">
        <f>IF(OR(Database!$BM387="",Screener!$D$11=""),0,IF(Database!$BM387=Screener!$D$11,1,0))</f>
        <v/>
      </c>
      <c r="G387" s="220">
        <f>IF(OR(Database!$H387="",N(Screener!$D$12)&lt;=0),0,MAX(0,1-(N(Screener!$D$12)-Database!$H387)/W_RECD))</f>
        <v/>
      </c>
      <c r="H387" s="220">
        <f>IF($U$1="",0,N(ISNUMBER(SEARCH($U$1,Database!$AC387&amp;""))))+IF($V$1="",0,N(ISNUMBER(SEARCH($V$1,Database!$AC387&amp;""))))+IF($W$1="",0,N(ISNUMBER(SEARCH($W$1,Database!$AC387&amp;""))))+IF($X$1="",0,N(ISNUMBER(SEARCH($X$1,Database!$AC387&amp;""))))+IF($Y$1="",0,N(ISNUMBER(SEARCH($Y$1,Database!$AC387&amp;""))))+IF(Screener!$B$17="",0,N(ISNUMBER(SEARCH(LOWER(Screener!$B$17),Database!$AC387&amp;""))))</f>
        <v/>
      </c>
      <c r="I387" s="220">
        <f>IF(OR(N(Database!$BH387)&lt;=0,N(Screener!$D$13)&lt;=0),0,MAX(0,1-ABS(LOG10(N(Database!$BH387)/Screener!$D$13))/W_PEHW))</f>
        <v/>
      </c>
      <c r="J387" s="220">
        <f>IF(OR(N(Database!$S387)&lt;=0,N(Screener!$D$14)&lt;=0),0,MAX(0,1-ABS(LOG10(Database!$S387/Screener!$D$14))/0.6))</f>
        <v/>
      </c>
      <c r="K387" s="220">
        <f>IF(Database!$B387=Screener!$B$5,-999999,IF(ISNUMBER(SEARCH(","&amp;Database!$A387&amp;",",","&amp;SUBSTITUTE(Screener!$D$17," ","")&amp;",")),2000000,IF(IF(OR(Screener!$B$18="All",AND(Screener!$B$18="With A-share",(Database!$BM387="Y")),AND(Screener!$B$18="Without A-share",NOT((Database!$BM387="Y")))),1,0)=0,-999999,IF(Screener!$B$16="cornerstone overlap first",H387*100000,IF(Screener!$B$16="demand-similar first",J387*100000,0))+W_SUB*B387+W_SEC*C387*(1-B387)+W_SIZE*D387+W_PROF*E387+W_AH*F387+W_REC*G387+W_CS*H387+W_PE*I387)))+ROW()/1000000</f>
        <v/>
      </c>
      <c r="AA387" s="220">
        <f>Database!B376</f>
        <v/>
      </c>
      <c r="AB387" s="220">
        <f>Database!D376</f>
        <v/>
      </c>
      <c r="AC387" s="220">
        <f>Database!E376</f>
        <v/>
      </c>
      <c r="AD387" s="220">
        <f>Database!I376</f>
        <v/>
      </c>
      <c r="AE387" s="220">
        <f>Database!BG376</f>
        <v/>
      </c>
      <c r="AF387" s="220">
        <f>Database!BM376</f>
        <v/>
      </c>
      <c r="AG387" s="220">
        <f>Database!H376</f>
        <v/>
      </c>
      <c r="AH387" s="220">
        <f>Database!BH376</f>
        <v/>
      </c>
    </row>
    <row r="388">
      <c r="A388" s="220">
        <f>Database!B388</f>
        <v/>
      </c>
      <c r="B388" s="220">
        <f>IF(AND(Screener!$D$8&lt;&gt;"",Database!$E388=Screener!$D$8),1,0)</f>
        <v/>
      </c>
      <c r="C388" s="220">
        <f>IF(AND(Screener!$D$7&lt;&gt;"",Database!$D388=Screener!$D$7),1,0)</f>
        <v/>
      </c>
      <c r="D388" s="220">
        <f>IF(OR(N(Database!$I388)&lt;=0,N(Screener!$D$9)&lt;=0),0,MAX(0,1-ABS(LOG10(N(Database!$I388)/Screener!$D$9))/W_SIZEHW))</f>
        <v/>
      </c>
      <c r="E388" s="220">
        <f>IF(OR(Database!$BG388="",Screener!$D$10=""),0,IF(Database!$BG388=Screener!$D$10,1,0))</f>
        <v/>
      </c>
      <c r="F388" s="220">
        <f>IF(OR(Database!$BM388="",Screener!$D$11=""),0,IF(Database!$BM388=Screener!$D$11,1,0))</f>
        <v/>
      </c>
      <c r="G388" s="220">
        <f>IF(OR(Database!$H388="",N(Screener!$D$12)&lt;=0),0,MAX(0,1-(N(Screener!$D$12)-Database!$H388)/W_RECD))</f>
        <v/>
      </c>
      <c r="H388" s="220">
        <f>IF($U$1="",0,N(ISNUMBER(SEARCH($U$1,Database!$AC388&amp;""))))+IF($V$1="",0,N(ISNUMBER(SEARCH($V$1,Database!$AC388&amp;""))))+IF($W$1="",0,N(ISNUMBER(SEARCH($W$1,Database!$AC388&amp;""))))+IF($X$1="",0,N(ISNUMBER(SEARCH($X$1,Database!$AC388&amp;""))))+IF($Y$1="",0,N(ISNUMBER(SEARCH($Y$1,Database!$AC388&amp;""))))+IF(Screener!$B$17="",0,N(ISNUMBER(SEARCH(LOWER(Screener!$B$17),Database!$AC388&amp;""))))</f>
        <v/>
      </c>
      <c r="I388" s="220">
        <f>IF(OR(N(Database!$BH388)&lt;=0,N(Screener!$D$13)&lt;=0),0,MAX(0,1-ABS(LOG10(N(Database!$BH388)/Screener!$D$13))/W_PEHW))</f>
        <v/>
      </c>
      <c r="J388" s="220">
        <f>IF(OR(N(Database!$S388)&lt;=0,N(Screener!$D$14)&lt;=0),0,MAX(0,1-ABS(LOG10(Database!$S388/Screener!$D$14))/0.6))</f>
        <v/>
      </c>
      <c r="K388" s="220">
        <f>IF(Database!$B388=Screener!$B$5,-999999,IF(ISNUMBER(SEARCH(","&amp;Database!$A388&amp;",",","&amp;SUBSTITUTE(Screener!$D$17," ","")&amp;",")),2000000,IF(IF(OR(Screener!$B$18="All",AND(Screener!$B$18="With A-share",(Database!$BM388="Y")),AND(Screener!$B$18="Without A-share",NOT((Database!$BM388="Y")))),1,0)=0,-999999,IF(Screener!$B$16="cornerstone overlap first",H388*100000,IF(Screener!$B$16="demand-similar first",J388*100000,0))+W_SUB*B388+W_SEC*C388*(1-B388)+W_SIZE*D388+W_PROF*E388+W_AH*F388+W_REC*G388+W_CS*H388+W_PE*I388)))+ROW()/1000000</f>
        <v/>
      </c>
      <c r="AA388" s="220">
        <f>Database!B377</f>
        <v/>
      </c>
      <c r="AB388" s="220">
        <f>Database!D377</f>
        <v/>
      </c>
      <c r="AC388" s="220">
        <f>Database!E377</f>
        <v/>
      </c>
      <c r="AD388" s="220">
        <f>Database!I377</f>
        <v/>
      </c>
      <c r="AE388" s="220">
        <f>Database!BG377</f>
        <v/>
      </c>
      <c r="AF388" s="220">
        <f>Database!BM377</f>
        <v/>
      </c>
      <c r="AG388" s="220">
        <f>Database!H377</f>
        <v/>
      </c>
      <c r="AH388" s="220">
        <f>Database!BH377</f>
        <v/>
      </c>
    </row>
    <row r="389">
      <c r="A389" s="220">
        <f>Database!B389</f>
        <v/>
      </c>
      <c r="B389" s="220">
        <f>IF(AND(Screener!$D$8&lt;&gt;"",Database!$E389=Screener!$D$8),1,0)</f>
        <v/>
      </c>
      <c r="C389" s="220">
        <f>IF(AND(Screener!$D$7&lt;&gt;"",Database!$D389=Screener!$D$7),1,0)</f>
        <v/>
      </c>
      <c r="D389" s="220">
        <f>IF(OR(N(Database!$I389)&lt;=0,N(Screener!$D$9)&lt;=0),0,MAX(0,1-ABS(LOG10(N(Database!$I389)/Screener!$D$9))/W_SIZEHW))</f>
        <v/>
      </c>
      <c r="E389" s="220">
        <f>IF(OR(Database!$BG389="",Screener!$D$10=""),0,IF(Database!$BG389=Screener!$D$10,1,0))</f>
        <v/>
      </c>
      <c r="F389" s="220">
        <f>IF(OR(Database!$BM389="",Screener!$D$11=""),0,IF(Database!$BM389=Screener!$D$11,1,0))</f>
        <v/>
      </c>
      <c r="G389" s="220">
        <f>IF(OR(Database!$H389="",N(Screener!$D$12)&lt;=0),0,MAX(0,1-(N(Screener!$D$12)-Database!$H389)/W_RECD))</f>
        <v/>
      </c>
      <c r="H389" s="220">
        <f>IF($U$1="",0,N(ISNUMBER(SEARCH($U$1,Database!$AC389&amp;""))))+IF($V$1="",0,N(ISNUMBER(SEARCH($V$1,Database!$AC389&amp;""))))+IF($W$1="",0,N(ISNUMBER(SEARCH($W$1,Database!$AC389&amp;""))))+IF($X$1="",0,N(ISNUMBER(SEARCH($X$1,Database!$AC389&amp;""))))+IF($Y$1="",0,N(ISNUMBER(SEARCH($Y$1,Database!$AC389&amp;""))))+IF(Screener!$B$17="",0,N(ISNUMBER(SEARCH(LOWER(Screener!$B$17),Database!$AC389&amp;""))))</f>
        <v/>
      </c>
      <c r="I389" s="220">
        <f>IF(OR(N(Database!$BH389)&lt;=0,N(Screener!$D$13)&lt;=0),0,MAX(0,1-ABS(LOG10(N(Database!$BH389)/Screener!$D$13))/W_PEHW))</f>
        <v/>
      </c>
      <c r="J389" s="220">
        <f>IF(OR(N(Database!$S389)&lt;=0,N(Screener!$D$14)&lt;=0),0,MAX(0,1-ABS(LOG10(Database!$S389/Screener!$D$14))/0.6))</f>
        <v/>
      </c>
      <c r="K389" s="220">
        <f>IF(Database!$B389=Screener!$B$5,-999999,IF(ISNUMBER(SEARCH(","&amp;Database!$A389&amp;",",","&amp;SUBSTITUTE(Screener!$D$17," ","")&amp;",")),2000000,IF(IF(OR(Screener!$B$18="All",AND(Screener!$B$18="With A-share",(Database!$BM389="Y")),AND(Screener!$B$18="Without A-share",NOT((Database!$BM389="Y")))),1,0)=0,-999999,IF(Screener!$B$16="cornerstone overlap first",H389*100000,IF(Screener!$B$16="demand-similar first",J389*100000,0))+W_SUB*B389+W_SEC*C389*(1-B389)+W_SIZE*D389+W_PROF*E389+W_AH*F389+W_REC*G389+W_CS*H389+W_PE*I389)))+ROW()/1000000</f>
        <v/>
      </c>
      <c r="AA389" s="220">
        <f>Database!B378</f>
        <v/>
      </c>
      <c r="AB389" s="220">
        <f>Database!D378</f>
        <v/>
      </c>
      <c r="AC389" s="220">
        <f>Database!E378</f>
        <v/>
      </c>
      <c r="AD389" s="220">
        <f>Database!I378</f>
        <v/>
      </c>
      <c r="AE389" s="220">
        <f>Database!BG378</f>
        <v/>
      </c>
      <c r="AF389" s="220">
        <f>Database!BM378</f>
        <v/>
      </c>
      <c r="AG389" s="220">
        <f>Database!H378</f>
        <v/>
      </c>
      <c r="AH389" s="220">
        <f>Database!BH378</f>
        <v/>
      </c>
    </row>
    <row r="390">
      <c r="A390" s="220">
        <f>Database!B390</f>
        <v/>
      </c>
      <c r="B390" s="220">
        <f>IF(AND(Screener!$D$8&lt;&gt;"",Database!$E390=Screener!$D$8),1,0)</f>
        <v/>
      </c>
      <c r="C390" s="220">
        <f>IF(AND(Screener!$D$7&lt;&gt;"",Database!$D390=Screener!$D$7),1,0)</f>
        <v/>
      </c>
      <c r="D390" s="220">
        <f>IF(OR(N(Database!$I390)&lt;=0,N(Screener!$D$9)&lt;=0),0,MAX(0,1-ABS(LOG10(N(Database!$I390)/Screener!$D$9))/W_SIZEHW))</f>
        <v/>
      </c>
      <c r="E390" s="220">
        <f>IF(OR(Database!$BG390="",Screener!$D$10=""),0,IF(Database!$BG390=Screener!$D$10,1,0))</f>
        <v/>
      </c>
      <c r="F390" s="220">
        <f>IF(OR(Database!$BM390="",Screener!$D$11=""),0,IF(Database!$BM390=Screener!$D$11,1,0))</f>
        <v/>
      </c>
      <c r="G390" s="220">
        <f>IF(OR(Database!$H390="",N(Screener!$D$12)&lt;=0),0,MAX(0,1-(N(Screener!$D$12)-Database!$H390)/W_RECD))</f>
        <v/>
      </c>
      <c r="H390" s="220">
        <f>IF($U$1="",0,N(ISNUMBER(SEARCH($U$1,Database!$AC390&amp;""))))+IF($V$1="",0,N(ISNUMBER(SEARCH($V$1,Database!$AC390&amp;""))))+IF($W$1="",0,N(ISNUMBER(SEARCH($W$1,Database!$AC390&amp;""))))+IF($X$1="",0,N(ISNUMBER(SEARCH($X$1,Database!$AC390&amp;""))))+IF($Y$1="",0,N(ISNUMBER(SEARCH($Y$1,Database!$AC390&amp;""))))+IF(Screener!$B$17="",0,N(ISNUMBER(SEARCH(LOWER(Screener!$B$17),Database!$AC390&amp;""))))</f>
        <v/>
      </c>
      <c r="I390" s="220">
        <f>IF(OR(N(Database!$BH390)&lt;=0,N(Screener!$D$13)&lt;=0),0,MAX(0,1-ABS(LOG10(N(Database!$BH390)/Screener!$D$13))/W_PEHW))</f>
        <v/>
      </c>
      <c r="J390" s="220">
        <f>IF(OR(N(Database!$S390)&lt;=0,N(Screener!$D$14)&lt;=0),0,MAX(0,1-ABS(LOG10(Database!$S390/Screener!$D$14))/0.6))</f>
        <v/>
      </c>
      <c r="K390" s="220">
        <f>IF(Database!$B390=Screener!$B$5,-999999,IF(ISNUMBER(SEARCH(","&amp;Database!$A390&amp;",",","&amp;SUBSTITUTE(Screener!$D$17," ","")&amp;",")),2000000,IF(IF(OR(Screener!$B$18="All",AND(Screener!$B$18="With A-share",(Database!$BM390="Y")),AND(Screener!$B$18="Without A-share",NOT((Database!$BM390="Y")))),1,0)=0,-999999,IF(Screener!$B$16="cornerstone overlap first",H390*100000,IF(Screener!$B$16="demand-similar first",J390*100000,0))+W_SUB*B390+W_SEC*C390*(1-B390)+W_SIZE*D390+W_PROF*E390+W_AH*F390+W_REC*G390+W_CS*H390+W_PE*I390)))+ROW()/1000000</f>
        <v/>
      </c>
      <c r="AA390" s="220">
        <f>Database!B379</f>
        <v/>
      </c>
      <c r="AB390" s="220">
        <f>Database!D379</f>
        <v/>
      </c>
      <c r="AC390" s="220">
        <f>Database!E379</f>
        <v/>
      </c>
      <c r="AD390" s="220">
        <f>Database!I379</f>
        <v/>
      </c>
      <c r="AE390" s="220">
        <f>Database!BG379</f>
        <v/>
      </c>
      <c r="AF390" s="220">
        <f>Database!BM379</f>
        <v/>
      </c>
      <c r="AG390" s="220">
        <f>Database!H379</f>
        <v/>
      </c>
      <c r="AH390" s="220">
        <f>Database!BH379</f>
        <v/>
      </c>
    </row>
    <row r="391">
      <c r="A391" s="220">
        <f>Database!B391</f>
        <v/>
      </c>
      <c r="B391" s="220">
        <f>IF(AND(Screener!$D$8&lt;&gt;"",Database!$E391=Screener!$D$8),1,0)</f>
        <v/>
      </c>
      <c r="C391" s="220">
        <f>IF(AND(Screener!$D$7&lt;&gt;"",Database!$D391=Screener!$D$7),1,0)</f>
        <v/>
      </c>
      <c r="D391" s="220">
        <f>IF(OR(N(Database!$I391)&lt;=0,N(Screener!$D$9)&lt;=0),0,MAX(0,1-ABS(LOG10(N(Database!$I391)/Screener!$D$9))/W_SIZEHW))</f>
        <v/>
      </c>
      <c r="E391" s="220">
        <f>IF(OR(Database!$BG391="",Screener!$D$10=""),0,IF(Database!$BG391=Screener!$D$10,1,0))</f>
        <v/>
      </c>
      <c r="F391" s="220">
        <f>IF(OR(Database!$BM391="",Screener!$D$11=""),0,IF(Database!$BM391=Screener!$D$11,1,0))</f>
        <v/>
      </c>
      <c r="G391" s="220">
        <f>IF(OR(Database!$H391="",N(Screener!$D$12)&lt;=0),0,MAX(0,1-(N(Screener!$D$12)-Database!$H391)/W_RECD))</f>
        <v/>
      </c>
      <c r="H391" s="220">
        <f>IF($U$1="",0,N(ISNUMBER(SEARCH($U$1,Database!$AC391&amp;""))))+IF($V$1="",0,N(ISNUMBER(SEARCH($V$1,Database!$AC391&amp;""))))+IF($W$1="",0,N(ISNUMBER(SEARCH($W$1,Database!$AC391&amp;""))))+IF($X$1="",0,N(ISNUMBER(SEARCH($X$1,Database!$AC391&amp;""))))+IF($Y$1="",0,N(ISNUMBER(SEARCH($Y$1,Database!$AC391&amp;""))))+IF(Screener!$B$17="",0,N(ISNUMBER(SEARCH(LOWER(Screener!$B$17),Database!$AC391&amp;""))))</f>
        <v/>
      </c>
      <c r="I391" s="220">
        <f>IF(OR(N(Database!$BH391)&lt;=0,N(Screener!$D$13)&lt;=0),0,MAX(0,1-ABS(LOG10(N(Database!$BH391)/Screener!$D$13))/W_PEHW))</f>
        <v/>
      </c>
      <c r="J391" s="220">
        <f>IF(OR(N(Database!$S391)&lt;=0,N(Screener!$D$14)&lt;=0),0,MAX(0,1-ABS(LOG10(Database!$S391/Screener!$D$14))/0.6))</f>
        <v/>
      </c>
      <c r="K391" s="220">
        <f>IF(Database!$B391=Screener!$B$5,-999999,IF(ISNUMBER(SEARCH(","&amp;Database!$A391&amp;",",","&amp;SUBSTITUTE(Screener!$D$17," ","")&amp;",")),2000000,IF(IF(OR(Screener!$B$18="All",AND(Screener!$B$18="With A-share",(Database!$BM391="Y")),AND(Screener!$B$18="Without A-share",NOT((Database!$BM391="Y")))),1,0)=0,-999999,IF(Screener!$B$16="cornerstone overlap first",H391*100000,IF(Screener!$B$16="demand-similar first",J391*100000,0))+W_SUB*B391+W_SEC*C391*(1-B391)+W_SIZE*D391+W_PROF*E391+W_AH*F391+W_REC*G391+W_CS*H391+W_PE*I391)))+ROW()/1000000</f>
        <v/>
      </c>
      <c r="AA391" s="220">
        <f>Database!B380</f>
        <v/>
      </c>
      <c r="AB391" s="220">
        <f>Database!D380</f>
        <v/>
      </c>
      <c r="AC391" s="220">
        <f>Database!E380</f>
        <v/>
      </c>
      <c r="AD391" s="220">
        <f>Database!I380</f>
        <v/>
      </c>
      <c r="AE391" s="220">
        <f>Database!BG380</f>
        <v/>
      </c>
      <c r="AF391" s="220">
        <f>Database!BM380</f>
        <v/>
      </c>
      <c r="AG391" s="220">
        <f>Database!H380</f>
        <v/>
      </c>
      <c r="AH391" s="220">
        <f>Database!BH380</f>
        <v/>
      </c>
    </row>
    <row r="392">
      <c r="A392" s="220">
        <f>Database!B392</f>
        <v/>
      </c>
      <c r="B392" s="220">
        <f>IF(AND(Screener!$D$8&lt;&gt;"",Database!$E392=Screener!$D$8),1,0)</f>
        <v/>
      </c>
      <c r="C392" s="220">
        <f>IF(AND(Screener!$D$7&lt;&gt;"",Database!$D392=Screener!$D$7),1,0)</f>
        <v/>
      </c>
      <c r="D392" s="220">
        <f>IF(OR(N(Database!$I392)&lt;=0,N(Screener!$D$9)&lt;=0),0,MAX(0,1-ABS(LOG10(N(Database!$I392)/Screener!$D$9))/W_SIZEHW))</f>
        <v/>
      </c>
      <c r="E392" s="220">
        <f>IF(OR(Database!$BG392="",Screener!$D$10=""),0,IF(Database!$BG392=Screener!$D$10,1,0))</f>
        <v/>
      </c>
      <c r="F392" s="220">
        <f>IF(OR(Database!$BM392="",Screener!$D$11=""),0,IF(Database!$BM392=Screener!$D$11,1,0))</f>
        <v/>
      </c>
      <c r="G392" s="220">
        <f>IF(OR(Database!$H392="",N(Screener!$D$12)&lt;=0),0,MAX(0,1-(N(Screener!$D$12)-Database!$H392)/W_RECD))</f>
        <v/>
      </c>
      <c r="H392" s="220">
        <f>IF($U$1="",0,N(ISNUMBER(SEARCH($U$1,Database!$AC392&amp;""))))+IF($V$1="",0,N(ISNUMBER(SEARCH($V$1,Database!$AC392&amp;""))))+IF($W$1="",0,N(ISNUMBER(SEARCH($W$1,Database!$AC392&amp;""))))+IF($X$1="",0,N(ISNUMBER(SEARCH($X$1,Database!$AC392&amp;""))))+IF($Y$1="",0,N(ISNUMBER(SEARCH($Y$1,Database!$AC392&amp;""))))+IF(Screener!$B$17="",0,N(ISNUMBER(SEARCH(LOWER(Screener!$B$17),Database!$AC392&amp;""))))</f>
        <v/>
      </c>
      <c r="I392" s="220">
        <f>IF(OR(N(Database!$BH392)&lt;=0,N(Screener!$D$13)&lt;=0),0,MAX(0,1-ABS(LOG10(N(Database!$BH392)/Screener!$D$13))/W_PEHW))</f>
        <v/>
      </c>
      <c r="J392" s="220">
        <f>IF(OR(N(Database!$S392)&lt;=0,N(Screener!$D$14)&lt;=0),0,MAX(0,1-ABS(LOG10(Database!$S392/Screener!$D$14))/0.6))</f>
        <v/>
      </c>
      <c r="K392" s="220">
        <f>IF(Database!$B392=Screener!$B$5,-999999,IF(ISNUMBER(SEARCH(","&amp;Database!$A392&amp;",",","&amp;SUBSTITUTE(Screener!$D$17," ","")&amp;",")),2000000,IF(IF(OR(Screener!$B$18="All",AND(Screener!$B$18="With A-share",(Database!$BM392="Y")),AND(Screener!$B$18="Without A-share",NOT((Database!$BM392="Y")))),1,0)=0,-999999,IF(Screener!$B$16="cornerstone overlap first",H392*100000,IF(Screener!$B$16="demand-similar first",J392*100000,0))+W_SUB*B392+W_SEC*C392*(1-B392)+W_SIZE*D392+W_PROF*E392+W_AH*F392+W_REC*G392+W_CS*H392+W_PE*I392)))+ROW()/1000000</f>
        <v/>
      </c>
      <c r="AA392" s="220">
        <f>Database!B381</f>
        <v/>
      </c>
      <c r="AB392" s="220">
        <f>Database!D381</f>
        <v/>
      </c>
      <c r="AC392" s="220">
        <f>Database!E381</f>
        <v/>
      </c>
      <c r="AD392" s="220">
        <f>Database!I381</f>
        <v/>
      </c>
      <c r="AE392" s="220">
        <f>Database!BG381</f>
        <v/>
      </c>
      <c r="AF392" s="220">
        <f>Database!BM381</f>
        <v/>
      </c>
      <c r="AG392" s="220">
        <f>Database!H381</f>
        <v/>
      </c>
      <c r="AH392" s="220">
        <f>Database!BH381</f>
        <v/>
      </c>
    </row>
    <row r="393">
      <c r="A393" s="220">
        <f>Database!B393</f>
        <v/>
      </c>
      <c r="B393" s="220">
        <f>IF(AND(Screener!$D$8&lt;&gt;"",Database!$E393=Screener!$D$8),1,0)</f>
        <v/>
      </c>
      <c r="C393" s="220">
        <f>IF(AND(Screener!$D$7&lt;&gt;"",Database!$D393=Screener!$D$7),1,0)</f>
        <v/>
      </c>
      <c r="D393" s="220">
        <f>IF(OR(N(Database!$I393)&lt;=0,N(Screener!$D$9)&lt;=0),0,MAX(0,1-ABS(LOG10(N(Database!$I393)/Screener!$D$9))/W_SIZEHW))</f>
        <v/>
      </c>
      <c r="E393" s="220">
        <f>IF(OR(Database!$BG393="",Screener!$D$10=""),0,IF(Database!$BG393=Screener!$D$10,1,0))</f>
        <v/>
      </c>
      <c r="F393" s="220">
        <f>IF(OR(Database!$BM393="",Screener!$D$11=""),0,IF(Database!$BM393=Screener!$D$11,1,0))</f>
        <v/>
      </c>
      <c r="G393" s="220">
        <f>IF(OR(Database!$H393="",N(Screener!$D$12)&lt;=0),0,MAX(0,1-(N(Screener!$D$12)-Database!$H393)/W_RECD))</f>
        <v/>
      </c>
      <c r="H393" s="220">
        <f>IF($U$1="",0,N(ISNUMBER(SEARCH($U$1,Database!$AC393&amp;""))))+IF($V$1="",0,N(ISNUMBER(SEARCH($V$1,Database!$AC393&amp;""))))+IF($W$1="",0,N(ISNUMBER(SEARCH($W$1,Database!$AC393&amp;""))))+IF($X$1="",0,N(ISNUMBER(SEARCH($X$1,Database!$AC393&amp;""))))+IF($Y$1="",0,N(ISNUMBER(SEARCH($Y$1,Database!$AC393&amp;""))))+IF(Screener!$B$17="",0,N(ISNUMBER(SEARCH(LOWER(Screener!$B$17),Database!$AC393&amp;""))))</f>
        <v/>
      </c>
      <c r="I393" s="220">
        <f>IF(OR(N(Database!$BH393)&lt;=0,N(Screener!$D$13)&lt;=0),0,MAX(0,1-ABS(LOG10(N(Database!$BH393)/Screener!$D$13))/W_PEHW))</f>
        <v/>
      </c>
      <c r="J393" s="220">
        <f>IF(OR(N(Database!$S393)&lt;=0,N(Screener!$D$14)&lt;=0),0,MAX(0,1-ABS(LOG10(Database!$S393/Screener!$D$14))/0.6))</f>
        <v/>
      </c>
      <c r="K393" s="220">
        <f>IF(Database!$B393=Screener!$B$5,-999999,IF(ISNUMBER(SEARCH(","&amp;Database!$A393&amp;",",","&amp;SUBSTITUTE(Screener!$D$17," ","")&amp;",")),2000000,IF(IF(OR(Screener!$B$18="All",AND(Screener!$B$18="With A-share",(Database!$BM393="Y")),AND(Screener!$B$18="Without A-share",NOT((Database!$BM393="Y")))),1,0)=0,-999999,IF(Screener!$B$16="cornerstone overlap first",H393*100000,IF(Screener!$B$16="demand-similar first",J393*100000,0))+W_SUB*B393+W_SEC*C393*(1-B393)+W_SIZE*D393+W_PROF*E393+W_AH*F393+W_REC*G393+W_CS*H393+W_PE*I393)))+ROW()/1000000</f>
        <v/>
      </c>
      <c r="AA393" s="220">
        <f>Database!B382</f>
        <v/>
      </c>
      <c r="AB393" s="220">
        <f>Database!D382</f>
        <v/>
      </c>
      <c r="AC393" s="220">
        <f>Database!E382</f>
        <v/>
      </c>
      <c r="AD393" s="220">
        <f>Database!I382</f>
        <v/>
      </c>
      <c r="AE393" s="220">
        <f>Database!BG382</f>
        <v/>
      </c>
      <c r="AF393" s="220">
        <f>Database!BM382</f>
        <v/>
      </c>
      <c r="AG393" s="220">
        <f>Database!H382</f>
        <v/>
      </c>
      <c r="AH393" s="220">
        <f>Database!BH382</f>
        <v/>
      </c>
    </row>
    <row r="394">
      <c r="A394" s="220">
        <f>Database!B394</f>
        <v/>
      </c>
      <c r="B394" s="220">
        <f>IF(AND(Screener!$D$8&lt;&gt;"",Database!$E394=Screener!$D$8),1,0)</f>
        <v/>
      </c>
      <c r="C394" s="220">
        <f>IF(AND(Screener!$D$7&lt;&gt;"",Database!$D394=Screener!$D$7),1,0)</f>
        <v/>
      </c>
      <c r="D394" s="220">
        <f>IF(OR(N(Database!$I394)&lt;=0,N(Screener!$D$9)&lt;=0),0,MAX(0,1-ABS(LOG10(N(Database!$I394)/Screener!$D$9))/W_SIZEHW))</f>
        <v/>
      </c>
      <c r="E394" s="220">
        <f>IF(OR(Database!$BG394="",Screener!$D$10=""),0,IF(Database!$BG394=Screener!$D$10,1,0))</f>
        <v/>
      </c>
      <c r="F394" s="220">
        <f>IF(OR(Database!$BM394="",Screener!$D$11=""),0,IF(Database!$BM394=Screener!$D$11,1,0))</f>
        <v/>
      </c>
      <c r="G394" s="220">
        <f>IF(OR(Database!$H394="",N(Screener!$D$12)&lt;=0),0,MAX(0,1-(N(Screener!$D$12)-Database!$H394)/W_RECD))</f>
        <v/>
      </c>
      <c r="H394" s="220">
        <f>IF($U$1="",0,N(ISNUMBER(SEARCH($U$1,Database!$AC394&amp;""))))+IF($V$1="",0,N(ISNUMBER(SEARCH($V$1,Database!$AC394&amp;""))))+IF($W$1="",0,N(ISNUMBER(SEARCH($W$1,Database!$AC394&amp;""))))+IF($X$1="",0,N(ISNUMBER(SEARCH($X$1,Database!$AC394&amp;""))))+IF($Y$1="",0,N(ISNUMBER(SEARCH($Y$1,Database!$AC394&amp;""))))+IF(Screener!$B$17="",0,N(ISNUMBER(SEARCH(LOWER(Screener!$B$17),Database!$AC394&amp;""))))</f>
        <v/>
      </c>
      <c r="I394" s="220">
        <f>IF(OR(N(Database!$BH394)&lt;=0,N(Screener!$D$13)&lt;=0),0,MAX(0,1-ABS(LOG10(N(Database!$BH394)/Screener!$D$13))/W_PEHW))</f>
        <v/>
      </c>
      <c r="J394" s="220">
        <f>IF(OR(N(Database!$S394)&lt;=0,N(Screener!$D$14)&lt;=0),0,MAX(0,1-ABS(LOG10(Database!$S394/Screener!$D$14))/0.6))</f>
        <v/>
      </c>
      <c r="K394" s="220">
        <f>IF(Database!$B394=Screener!$B$5,-999999,IF(ISNUMBER(SEARCH(","&amp;Database!$A394&amp;",",","&amp;SUBSTITUTE(Screener!$D$17," ","")&amp;",")),2000000,IF(IF(OR(Screener!$B$18="All",AND(Screener!$B$18="With A-share",(Database!$BM394="Y")),AND(Screener!$B$18="Without A-share",NOT((Database!$BM394="Y")))),1,0)=0,-999999,IF(Screener!$B$16="cornerstone overlap first",H394*100000,IF(Screener!$B$16="demand-similar first",J394*100000,0))+W_SUB*B394+W_SEC*C394*(1-B394)+W_SIZE*D394+W_PROF*E394+W_AH*F394+W_REC*G394+W_CS*H394+W_PE*I394)))+ROW()/1000000</f>
        <v/>
      </c>
      <c r="AA394" s="220">
        <f>Database!B383</f>
        <v/>
      </c>
      <c r="AB394" s="220">
        <f>Database!D383</f>
        <v/>
      </c>
      <c r="AC394" s="220">
        <f>Database!E383</f>
        <v/>
      </c>
      <c r="AD394" s="220">
        <f>Database!I383</f>
        <v/>
      </c>
      <c r="AE394" s="220">
        <f>Database!BG383</f>
        <v/>
      </c>
      <c r="AF394" s="220">
        <f>Database!BM383</f>
        <v/>
      </c>
      <c r="AG394" s="220">
        <f>Database!H383</f>
        <v/>
      </c>
      <c r="AH394" s="220">
        <f>Database!BH383</f>
        <v/>
      </c>
    </row>
    <row r="395">
      <c r="A395" s="220">
        <f>Database!B395</f>
        <v/>
      </c>
      <c r="B395" s="220">
        <f>IF(AND(Screener!$D$8&lt;&gt;"",Database!$E395=Screener!$D$8),1,0)</f>
        <v/>
      </c>
      <c r="C395" s="220">
        <f>IF(AND(Screener!$D$7&lt;&gt;"",Database!$D395=Screener!$D$7),1,0)</f>
        <v/>
      </c>
      <c r="D395" s="220">
        <f>IF(OR(N(Database!$I395)&lt;=0,N(Screener!$D$9)&lt;=0),0,MAX(0,1-ABS(LOG10(N(Database!$I395)/Screener!$D$9))/W_SIZEHW))</f>
        <v/>
      </c>
      <c r="E395" s="220">
        <f>IF(OR(Database!$BG395="",Screener!$D$10=""),0,IF(Database!$BG395=Screener!$D$10,1,0))</f>
        <v/>
      </c>
      <c r="F395" s="220">
        <f>IF(OR(Database!$BM395="",Screener!$D$11=""),0,IF(Database!$BM395=Screener!$D$11,1,0))</f>
        <v/>
      </c>
      <c r="G395" s="220">
        <f>IF(OR(Database!$H395="",N(Screener!$D$12)&lt;=0),0,MAX(0,1-(N(Screener!$D$12)-Database!$H395)/W_RECD))</f>
        <v/>
      </c>
      <c r="H395" s="220">
        <f>IF($U$1="",0,N(ISNUMBER(SEARCH($U$1,Database!$AC395&amp;""))))+IF($V$1="",0,N(ISNUMBER(SEARCH($V$1,Database!$AC395&amp;""))))+IF($W$1="",0,N(ISNUMBER(SEARCH($W$1,Database!$AC395&amp;""))))+IF($X$1="",0,N(ISNUMBER(SEARCH($X$1,Database!$AC395&amp;""))))+IF($Y$1="",0,N(ISNUMBER(SEARCH($Y$1,Database!$AC395&amp;""))))+IF(Screener!$B$17="",0,N(ISNUMBER(SEARCH(LOWER(Screener!$B$17),Database!$AC395&amp;""))))</f>
        <v/>
      </c>
      <c r="I395" s="220">
        <f>IF(OR(N(Database!$BH395)&lt;=0,N(Screener!$D$13)&lt;=0),0,MAX(0,1-ABS(LOG10(N(Database!$BH395)/Screener!$D$13))/W_PEHW))</f>
        <v/>
      </c>
      <c r="J395" s="220">
        <f>IF(OR(N(Database!$S395)&lt;=0,N(Screener!$D$14)&lt;=0),0,MAX(0,1-ABS(LOG10(Database!$S395/Screener!$D$14))/0.6))</f>
        <v/>
      </c>
      <c r="K395" s="220">
        <f>IF(Database!$B395=Screener!$B$5,-999999,IF(ISNUMBER(SEARCH(","&amp;Database!$A395&amp;",",","&amp;SUBSTITUTE(Screener!$D$17," ","")&amp;",")),2000000,IF(IF(OR(Screener!$B$18="All",AND(Screener!$B$18="With A-share",(Database!$BM395="Y")),AND(Screener!$B$18="Without A-share",NOT((Database!$BM395="Y")))),1,0)=0,-999999,IF(Screener!$B$16="cornerstone overlap first",H395*100000,IF(Screener!$B$16="demand-similar first",J395*100000,0))+W_SUB*B395+W_SEC*C395*(1-B395)+W_SIZE*D395+W_PROF*E395+W_AH*F395+W_REC*G395+W_CS*H395+W_PE*I395)))+ROW()/1000000</f>
        <v/>
      </c>
      <c r="AA395" s="220">
        <f>Database!B384</f>
        <v/>
      </c>
      <c r="AB395" s="220">
        <f>Database!D384</f>
        <v/>
      </c>
      <c r="AC395" s="220">
        <f>Database!E384</f>
        <v/>
      </c>
      <c r="AD395" s="220">
        <f>Database!I384</f>
        <v/>
      </c>
      <c r="AE395" s="220">
        <f>Database!BG384</f>
        <v/>
      </c>
      <c r="AF395" s="220">
        <f>Database!BM384</f>
        <v/>
      </c>
      <c r="AG395" s="220">
        <f>Database!H384</f>
        <v/>
      </c>
      <c r="AH395" s="220">
        <f>Database!BH384</f>
        <v/>
      </c>
    </row>
    <row r="396">
      <c r="A396" s="220">
        <f>Database!B396</f>
        <v/>
      </c>
      <c r="B396" s="220">
        <f>IF(AND(Screener!$D$8&lt;&gt;"",Database!$E396=Screener!$D$8),1,0)</f>
        <v/>
      </c>
      <c r="C396" s="220">
        <f>IF(AND(Screener!$D$7&lt;&gt;"",Database!$D396=Screener!$D$7),1,0)</f>
        <v/>
      </c>
      <c r="D396" s="220">
        <f>IF(OR(N(Database!$I396)&lt;=0,N(Screener!$D$9)&lt;=0),0,MAX(0,1-ABS(LOG10(N(Database!$I396)/Screener!$D$9))/W_SIZEHW))</f>
        <v/>
      </c>
      <c r="E396" s="220">
        <f>IF(OR(Database!$BG396="",Screener!$D$10=""),0,IF(Database!$BG396=Screener!$D$10,1,0))</f>
        <v/>
      </c>
      <c r="F396" s="220">
        <f>IF(OR(Database!$BM396="",Screener!$D$11=""),0,IF(Database!$BM396=Screener!$D$11,1,0))</f>
        <v/>
      </c>
      <c r="G396" s="220">
        <f>IF(OR(Database!$H396="",N(Screener!$D$12)&lt;=0),0,MAX(0,1-(N(Screener!$D$12)-Database!$H396)/W_RECD))</f>
        <v/>
      </c>
      <c r="H396" s="220">
        <f>IF($U$1="",0,N(ISNUMBER(SEARCH($U$1,Database!$AC396&amp;""))))+IF($V$1="",0,N(ISNUMBER(SEARCH($V$1,Database!$AC396&amp;""))))+IF($W$1="",0,N(ISNUMBER(SEARCH($W$1,Database!$AC396&amp;""))))+IF($X$1="",0,N(ISNUMBER(SEARCH($X$1,Database!$AC396&amp;""))))+IF($Y$1="",0,N(ISNUMBER(SEARCH($Y$1,Database!$AC396&amp;""))))+IF(Screener!$B$17="",0,N(ISNUMBER(SEARCH(LOWER(Screener!$B$17),Database!$AC396&amp;""))))</f>
        <v/>
      </c>
      <c r="I396" s="220">
        <f>IF(OR(N(Database!$BH396)&lt;=0,N(Screener!$D$13)&lt;=0),0,MAX(0,1-ABS(LOG10(N(Database!$BH396)/Screener!$D$13))/W_PEHW))</f>
        <v/>
      </c>
      <c r="J396" s="220">
        <f>IF(OR(N(Database!$S396)&lt;=0,N(Screener!$D$14)&lt;=0),0,MAX(0,1-ABS(LOG10(Database!$S396/Screener!$D$14))/0.6))</f>
        <v/>
      </c>
      <c r="K396" s="220">
        <f>IF(Database!$B396=Screener!$B$5,-999999,IF(ISNUMBER(SEARCH(","&amp;Database!$A396&amp;",",","&amp;SUBSTITUTE(Screener!$D$17," ","")&amp;",")),2000000,IF(IF(OR(Screener!$B$18="All",AND(Screener!$B$18="With A-share",(Database!$BM396="Y")),AND(Screener!$B$18="Without A-share",NOT((Database!$BM396="Y")))),1,0)=0,-999999,IF(Screener!$B$16="cornerstone overlap first",H396*100000,IF(Screener!$B$16="demand-similar first",J396*100000,0))+W_SUB*B396+W_SEC*C396*(1-B396)+W_SIZE*D396+W_PROF*E396+W_AH*F396+W_REC*G396+W_CS*H396+W_PE*I396)))+ROW()/1000000</f>
        <v/>
      </c>
      <c r="AA396" s="220">
        <f>Database!B385</f>
        <v/>
      </c>
      <c r="AB396" s="220">
        <f>Database!D385</f>
        <v/>
      </c>
      <c r="AC396" s="220">
        <f>Database!E385</f>
        <v/>
      </c>
      <c r="AD396" s="220">
        <f>Database!I385</f>
        <v/>
      </c>
      <c r="AE396" s="220">
        <f>Database!BG385</f>
        <v/>
      </c>
      <c r="AF396" s="220">
        <f>Database!BM385</f>
        <v/>
      </c>
      <c r="AG396" s="220">
        <f>Database!H385</f>
        <v/>
      </c>
      <c r="AH396" s="220">
        <f>Database!BH385</f>
        <v/>
      </c>
    </row>
    <row r="397">
      <c r="A397" s="220">
        <f>Database!B397</f>
        <v/>
      </c>
      <c r="B397" s="220">
        <f>IF(AND(Screener!$D$8&lt;&gt;"",Database!$E397=Screener!$D$8),1,0)</f>
        <v/>
      </c>
      <c r="C397" s="220">
        <f>IF(AND(Screener!$D$7&lt;&gt;"",Database!$D397=Screener!$D$7),1,0)</f>
        <v/>
      </c>
      <c r="D397" s="220">
        <f>IF(OR(N(Database!$I397)&lt;=0,N(Screener!$D$9)&lt;=0),0,MAX(0,1-ABS(LOG10(N(Database!$I397)/Screener!$D$9))/W_SIZEHW))</f>
        <v/>
      </c>
      <c r="E397" s="220">
        <f>IF(OR(Database!$BG397="",Screener!$D$10=""),0,IF(Database!$BG397=Screener!$D$10,1,0))</f>
        <v/>
      </c>
      <c r="F397" s="220">
        <f>IF(OR(Database!$BM397="",Screener!$D$11=""),0,IF(Database!$BM397=Screener!$D$11,1,0))</f>
        <v/>
      </c>
      <c r="G397" s="220">
        <f>IF(OR(Database!$H397="",N(Screener!$D$12)&lt;=0),0,MAX(0,1-(N(Screener!$D$12)-Database!$H397)/W_RECD))</f>
        <v/>
      </c>
      <c r="H397" s="220">
        <f>IF($U$1="",0,N(ISNUMBER(SEARCH($U$1,Database!$AC397&amp;""))))+IF($V$1="",0,N(ISNUMBER(SEARCH($V$1,Database!$AC397&amp;""))))+IF($W$1="",0,N(ISNUMBER(SEARCH($W$1,Database!$AC397&amp;""))))+IF($X$1="",0,N(ISNUMBER(SEARCH($X$1,Database!$AC397&amp;""))))+IF($Y$1="",0,N(ISNUMBER(SEARCH($Y$1,Database!$AC397&amp;""))))+IF(Screener!$B$17="",0,N(ISNUMBER(SEARCH(LOWER(Screener!$B$17),Database!$AC397&amp;""))))</f>
        <v/>
      </c>
      <c r="I397" s="220">
        <f>IF(OR(N(Database!$BH397)&lt;=0,N(Screener!$D$13)&lt;=0),0,MAX(0,1-ABS(LOG10(N(Database!$BH397)/Screener!$D$13))/W_PEHW))</f>
        <v/>
      </c>
      <c r="J397" s="220">
        <f>IF(OR(N(Database!$S397)&lt;=0,N(Screener!$D$14)&lt;=0),0,MAX(0,1-ABS(LOG10(Database!$S397/Screener!$D$14))/0.6))</f>
        <v/>
      </c>
      <c r="K397" s="220">
        <f>IF(Database!$B397=Screener!$B$5,-999999,IF(ISNUMBER(SEARCH(","&amp;Database!$A397&amp;",",","&amp;SUBSTITUTE(Screener!$D$17," ","")&amp;",")),2000000,IF(IF(OR(Screener!$B$18="All",AND(Screener!$B$18="With A-share",(Database!$BM397="Y")),AND(Screener!$B$18="Without A-share",NOT((Database!$BM397="Y")))),1,0)=0,-999999,IF(Screener!$B$16="cornerstone overlap first",H397*100000,IF(Screener!$B$16="demand-similar first",J397*100000,0))+W_SUB*B397+W_SEC*C397*(1-B397)+W_SIZE*D397+W_PROF*E397+W_AH*F397+W_REC*G397+W_CS*H397+W_PE*I397)))+ROW()/1000000</f>
        <v/>
      </c>
      <c r="AA397" s="220">
        <f>Database!B386</f>
        <v/>
      </c>
      <c r="AB397" s="220">
        <f>Database!D386</f>
        <v/>
      </c>
      <c r="AC397" s="220">
        <f>Database!E386</f>
        <v/>
      </c>
      <c r="AD397" s="220">
        <f>Database!I386</f>
        <v/>
      </c>
      <c r="AE397" s="220">
        <f>Database!BG386</f>
        <v/>
      </c>
      <c r="AF397" s="220">
        <f>Database!BM386</f>
        <v/>
      </c>
      <c r="AG397" s="220">
        <f>Database!H386</f>
        <v/>
      </c>
      <c r="AH397" s="220">
        <f>Database!BH386</f>
        <v/>
      </c>
    </row>
    <row r="398">
      <c r="A398" s="220">
        <f>Database!B398</f>
        <v/>
      </c>
      <c r="B398" s="220">
        <f>IF(AND(Screener!$D$8&lt;&gt;"",Database!$E398=Screener!$D$8),1,0)</f>
        <v/>
      </c>
      <c r="C398" s="220">
        <f>IF(AND(Screener!$D$7&lt;&gt;"",Database!$D398=Screener!$D$7),1,0)</f>
        <v/>
      </c>
      <c r="D398" s="220">
        <f>IF(OR(N(Database!$I398)&lt;=0,N(Screener!$D$9)&lt;=0),0,MAX(0,1-ABS(LOG10(N(Database!$I398)/Screener!$D$9))/W_SIZEHW))</f>
        <v/>
      </c>
      <c r="E398" s="220">
        <f>IF(OR(Database!$BG398="",Screener!$D$10=""),0,IF(Database!$BG398=Screener!$D$10,1,0))</f>
        <v/>
      </c>
      <c r="F398" s="220">
        <f>IF(OR(Database!$BM398="",Screener!$D$11=""),0,IF(Database!$BM398=Screener!$D$11,1,0))</f>
        <v/>
      </c>
      <c r="G398" s="220">
        <f>IF(OR(Database!$H398="",N(Screener!$D$12)&lt;=0),0,MAX(0,1-(N(Screener!$D$12)-Database!$H398)/W_RECD))</f>
        <v/>
      </c>
      <c r="H398" s="220">
        <f>IF($U$1="",0,N(ISNUMBER(SEARCH($U$1,Database!$AC398&amp;""))))+IF($V$1="",0,N(ISNUMBER(SEARCH($V$1,Database!$AC398&amp;""))))+IF($W$1="",0,N(ISNUMBER(SEARCH($W$1,Database!$AC398&amp;""))))+IF($X$1="",0,N(ISNUMBER(SEARCH($X$1,Database!$AC398&amp;""))))+IF($Y$1="",0,N(ISNUMBER(SEARCH($Y$1,Database!$AC398&amp;""))))+IF(Screener!$B$17="",0,N(ISNUMBER(SEARCH(LOWER(Screener!$B$17),Database!$AC398&amp;""))))</f>
        <v/>
      </c>
      <c r="I398" s="220">
        <f>IF(OR(N(Database!$BH398)&lt;=0,N(Screener!$D$13)&lt;=0),0,MAX(0,1-ABS(LOG10(N(Database!$BH398)/Screener!$D$13))/W_PEHW))</f>
        <v/>
      </c>
      <c r="J398" s="220">
        <f>IF(OR(N(Database!$S398)&lt;=0,N(Screener!$D$14)&lt;=0),0,MAX(0,1-ABS(LOG10(Database!$S398/Screener!$D$14))/0.6))</f>
        <v/>
      </c>
      <c r="K398" s="220">
        <f>IF(Database!$B398=Screener!$B$5,-999999,IF(ISNUMBER(SEARCH(","&amp;Database!$A398&amp;",",","&amp;SUBSTITUTE(Screener!$D$17," ","")&amp;",")),2000000,IF(IF(OR(Screener!$B$18="All",AND(Screener!$B$18="With A-share",(Database!$BM398="Y")),AND(Screener!$B$18="Without A-share",NOT((Database!$BM398="Y")))),1,0)=0,-999999,IF(Screener!$B$16="cornerstone overlap first",H398*100000,IF(Screener!$B$16="demand-similar first",J398*100000,0))+W_SUB*B398+W_SEC*C398*(1-B398)+W_SIZE*D398+W_PROF*E398+W_AH*F398+W_REC*G398+W_CS*H398+W_PE*I398)))+ROW()/1000000</f>
        <v/>
      </c>
      <c r="AA398" s="220">
        <f>Database!B387</f>
        <v/>
      </c>
      <c r="AB398" s="220">
        <f>Database!D387</f>
        <v/>
      </c>
      <c r="AC398" s="220">
        <f>Database!E387</f>
        <v/>
      </c>
      <c r="AD398" s="220">
        <f>Database!I387</f>
        <v/>
      </c>
      <c r="AE398" s="220">
        <f>Database!BG387</f>
        <v/>
      </c>
      <c r="AF398" s="220">
        <f>Database!BM387</f>
        <v/>
      </c>
      <c r="AG398" s="220">
        <f>Database!H387</f>
        <v/>
      </c>
      <c r="AH398" s="220">
        <f>Database!BH387</f>
        <v/>
      </c>
    </row>
    <row r="399">
      <c r="A399" s="220">
        <f>Database!B399</f>
        <v/>
      </c>
      <c r="B399" s="220">
        <f>IF(AND(Screener!$D$8&lt;&gt;"",Database!$E399=Screener!$D$8),1,0)</f>
        <v/>
      </c>
      <c r="C399" s="220">
        <f>IF(AND(Screener!$D$7&lt;&gt;"",Database!$D399=Screener!$D$7),1,0)</f>
        <v/>
      </c>
      <c r="D399" s="220">
        <f>IF(OR(N(Database!$I399)&lt;=0,N(Screener!$D$9)&lt;=0),0,MAX(0,1-ABS(LOG10(N(Database!$I399)/Screener!$D$9))/W_SIZEHW))</f>
        <v/>
      </c>
      <c r="E399" s="220">
        <f>IF(OR(Database!$BG399="",Screener!$D$10=""),0,IF(Database!$BG399=Screener!$D$10,1,0))</f>
        <v/>
      </c>
      <c r="F399" s="220">
        <f>IF(OR(Database!$BM399="",Screener!$D$11=""),0,IF(Database!$BM399=Screener!$D$11,1,0))</f>
        <v/>
      </c>
      <c r="G399" s="220">
        <f>IF(OR(Database!$H399="",N(Screener!$D$12)&lt;=0),0,MAX(0,1-(N(Screener!$D$12)-Database!$H399)/W_RECD))</f>
        <v/>
      </c>
      <c r="H399" s="220">
        <f>IF($U$1="",0,N(ISNUMBER(SEARCH($U$1,Database!$AC399&amp;""))))+IF($V$1="",0,N(ISNUMBER(SEARCH($V$1,Database!$AC399&amp;""))))+IF($W$1="",0,N(ISNUMBER(SEARCH($W$1,Database!$AC399&amp;""))))+IF($X$1="",0,N(ISNUMBER(SEARCH($X$1,Database!$AC399&amp;""))))+IF($Y$1="",0,N(ISNUMBER(SEARCH($Y$1,Database!$AC399&amp;""))))+IF(Screener!$B$17="",0,N(ISNUMBER(SEARCH(LOWER(Screener!$B$17),Database!$AC399&amp;""))))</f>
        <v/>
      </c>
      <c r="I399" s="220">
        <f>IF(OR(N(Database!$BH399)&lt;=0,N(Screener!$D$13)&lt;=0),0,MAX(0,1-ABS(LOG10(N(Database!$BH399)/Screener!$D$13))/W_PEHW))</f>
        <v/>
      </c>
      <c r="J399" s="220">
        <f>IF(OR(N(Database!$S399)&lt;=0,N(Screener!$D$14)&lt;=0),0,MAX(0,1-ABS(LOG10(Database!$S399/Screener!$D$14))/0.6))</f>
        <v/>
      </c>
      <c r="K399" s="220">
        <f>IF(Database!$B399=Screener!$B$5,-999999,IF(ISNUMBER(SEARCH(","&amp;Database!$A399&amp;",",","&amp;SUBSTITUTE(Screener!$D$17," ","")&amp;",")),2000000,IF(IF(OR(Screener!$B$18="All",AND(Screener!$B$18="With A-share",(Database!$BM399="Y")),AND(Screener!$B$18="Without A-share",NOT((Database!$BM399="Y")))),1,0)=0,-999999,IF(Screener!$B$16="cornerstone overlap first",H399*100000,IF(Screener!$B$16="demand-similar first",J399*100000,0))+W_SUB*B399+W_SEC*C399*(1-B399)+W_SIZE*D399+W_PROF*E399+W_AH*F399+W_REC*G399+W_CS*H399+W_PE*I399)))+ROW()/1000000</f>
        <v/>
      </c>
      <c r="AA399" s="220">
        <f>Database!B388</f>
        <v/>
      </c>
      <c r="AB399" s="220">
        <f>Database!D388</f>
        <v/>
      </c>
      <c r="AC399" s="220">
        <f>Database!E388</f>
        <v/>
      </c>
      <c r="AD399" s="220">
        <f>Database!I388</f>
        <v/>
      </c>
      <c r="AE399" s="220">
        <f>Database!BG388</f>
        <v/>
      </c>
      <c r="AF399" s="220">
        <f>Database!BM388</f>
        <v/>
      </c>
      <c r="AG399" s="220">
        <f>Database!H388</f>
        <v/>
      </c>
      <c r="AH399" s="220">
        <f>Database!BH388</f>
        <v/>
      </c>
    </row>
    <row r="400">
      <c r="A400" s="220">
        <f>Database!B400</f>
        <v/>
      </c>
      <c r="B400" s="220">
        <f>IF(AND(Screener!$D$8&lt;&gt;"",Database!$E400=Screener!$D$8),1,0)</f>
        <v/>
      </c>
      <c r="C400" s="220">
        <f>IF(AND(Screener!$D$7&lt;&gt;"",Database!$D400=Screener!$D$7),1,0)</f>
        <v/>
      </c>
      <c r="D400" s="220">
        <f>IF(OR(N(Database!$I400)&lt;=0,N(Screener!$D$9)&lt;=0),0,MAX(0,1-ABS(LOG10(N(Database!$I400)/Screener!$D$9))/W_SIZEHW))</f>
        <v/>
      </c>
      <c r="E400" s="220">
        <f>IF(OR(Database!$BG400="",Screener!$D$10=""),0,IF(Database!$BG400=Screener!$D$10,1,0))</f>
        <v/>
      </c>
      <c r="F400" s="220">
        <f>IF(OR(Database!$BM400="",Screener!$D$11=""),0,IF(Database!$BM400=Screener!$D$11,1,0))</f>
        <v/>
      </c>
      <c r="G400" s="220">
        <f>IF(OR(Database!$H400="",N(Screener!$D$12)&lt;=0),0,MAX(0,1-(N(Screener!$D$12)-Database!$H400)/W_RECD))</f>
        <v/>
      </c>
      <c r="H400" s="220">
        <f>IF($U$1="",0,N(ISNUMBER(SEARCH($U$1,Database!$AC400&amp;""))))+IF($V$1="",0,N(ISNUMBER(SEARCH($V$1,Database!$AC400&amp;""))))+IF($W$1="",0,N(ISNUMBER(SEARCH($W$1,Database!$AC400&amp;""))))+IF($X$1="",0,N(ISNUMBER(SEARCH($X$1,Database!$AC400&amp;""))))+IF($Y$1="",0,N(ISNUMBER(SEARCH($Y$1,Database!$AC400&amp;""))))+IF(Screener!$B$17="",0,N(ISNUMBER(SEARCH(LOWER(Screener!$B$17),Database!$AC400&amp;""))))</f>
        <v/>
      </c>
      <c r="I400" s="220">
        <f>IF(OR(N(Database!$BH400)&lt;=0,N(Screener!$D$13)&lt;=0),0,MAX(0,1-ABS(LOG10(N(Database!$BH400)/Screener!$D$13))/W_PEHW))</f>
        <v/>
      </c>
      <c r="J400" s="220">
        <f>IF(OR(N(Database!$S400)&lt;=0,N(Screener!$D$14)&lt;=0),0,MAX(0,1-ABS(LOG10(Database!$S400/Screener!$D$14))/0.6))</f>
        <v/>
      </c>
      <c r="K400" s="220">
        <f>IF(Database!$B400=Screener!$B$5,-999999,IF(ISNUMBER(SEARCH(","&amp;Database!$A400&amp;",",","&amp;SUBSTITUTE(Screener!$D$17," ","")&amp;",")),2000000,IF(IF(OR(Screener!$B$18="All",AND(Screener!$B$18="With A-share",(Database!$BM400="Y")),AND(Screener!$B$18="Without A-share",NOT((Database!$BM400="Y")))),1,0)=0,-999999,IF(Screener!$B$16="cornerstone overlap first",H400*100000,IF(Screener!$B$16="demand-similar first",J400*100000,0))+W_SUB*B400+W_SEC*C400*(1-B400)+W_SIZE*D400+W_PROF*E400+W_AH*F400+W_REC*G400+W_CS*H400+W_PE*I400)))+ROW()/1000000</f>
        <v/>
      </c>
      <c r="AA400" s="220">
        <f>Database!B389</f>
        <v/>
      </c>
      <c r="AB400" s="220">
        <f>Database!D389</f>
        <v/>
      </c>
      <c r="AC400" s="220">
        <f>Database!E389</f>
        <v/>
      </c>
      <c r="AD400" s="220">
        <f>Database!I389</f>
        <v/>
      </c>
      <c r="AE400" s="220">
        <f>Database!BG389</f>
        <v/>
      </c>
      <c r="AF400" s="220">
        <f>Database!BM389</f>
        <v/>
      </c>
      <c r="AG400" s="220">
        <f>Database!H389</f>
        <v/>
      </c>
      <c r="AH400" s="220">
        <f>Database!BH389</f>
        <v/>
      </c>
    </row>
    <row r="401">
      <c r="A401" s="220">
        <f>Database!B401</f>
        <v/>
      </c>
      <c r="B401" s="220">
        <f>IF(AND(Screener!$D$8&lt;&gt;"",Database!$E401=Screener!$D$8),1,0)</f>
        <v/>
      </c>
      <c r="C401" s="220">
        <f>IF(AND(Screener!$D$7&lt;&gt;"",Database!$D401=Screener!$D$7),1,0)</f>
        <v/>
      </c>
      <c r="D401" s="220">
        <f>IF(OR(N(Database!$I401)&lt;=0,N(Screener!$D$9)&lt;=0),0,MAX(0,1-ABS(LOG10(N(Database!$I401)/Screener!$D$9))/W_SIZEHW))</f>
        <v/>
      </c>
      <c r="E401" s="220">
        <f>IF(OR(Database!$BG401="",Screener!$D$10=""),0,IF(Database!$BG401=Screener!$D$10,1,0))</f>
        <v/>
      </c>
      <c r="F401" s="220">
        <f>IF(OR(Database!$BM401="",Screener!$D$11=""),0,IF(Database!$BM401=Screener!$D$11,1,0))</f>
        <v/>
      </c>
      <c r="G401" s="220">
        <f>IF(OR(Database!$H401="",N(Screener!$D$12)&lt;=0),0,MAX(0,1-(N(Screener!$D$12)-Database!$H401)/W_RECD))</f>
        <v/>
      </c>
      <c r="H401" s="220">
        <f>IF($U$1="",0,N(ISNUMBER(SEARCH($U$1,Database!$AC401&amp;""))))+IF($V$1="",0,N(ISNUMBER(SEARCH($V$1,Database!$AC401&amp;""))))+IF($W$1="",0,N(ISNUMBER(SEARCH($W$1,Database!$AC401&amp;""))))+IF($X$1="",0,N(ISNUMBER(SEARCH($X$1,Database!$AC401&amp;""))))+IF($Y$1="",0,N(ISNUMBER(SEARCH($Y$1,Database!$AC401&amp;""))))+IF(Screener!$B$17="",0,N(ISNUMBER(SEARCH(LOWER(Screener!$B$17),Database!$AC401&amp;""))))</f>
        <v/>
      </c>
      <c r="I401" s="220">
        <f>IF(OR(N(Database!$BH401)&lt;=0,N(Screener!$D$13)&lt;=0),0,MAX(0,1-ABS(LOG10(N(Database!$BH401)/Screener!$D$13))/W_PEHW))</f>
        <v/>
      </c>
      <c r="J401" s="220">
        <f>IF(OR(N(Database!$S401)&lt;=0,N(Screener!$D$14)&lt;=0),0,MAX(0,1-ABS(LOG10(Database!$S401/Screener!$D$14))/0.6))</f>
        <v/>
      </c>
      <c r="K401" s="220">
        <f>IF(Database!$B401=Screener!$B$5,-999999,IF(ISNUMBER(SEARCH(","&amp;Database!$A401&amp;",",","&amp;SUBSTITUTE(Screener!$D$17," ","")&amp;",")),2000000,IF(IF(OR(Screener!$B$18="All",AND(Screener!$B$18="With A-share",(Database!$BM401="Y")),AND(Screener!$B$18="Without A-share",NOT((Database!$BM401="Y")))),1,0)=0,-999999,IF(Screener!$B$16="cornerstone overlap first",H401*100000,IF(Screener!$B$16="demand-similar first",J401*100000,0))+W_SUB*B401+W_SEC*C401*(1-B401)+W_SIZE*D401+W_PROF*E401+W_AH*F401+W_REC*G401+W_CS*H401+W_PE*I401)))+ROW()/1000000</f>
        <v/>
      </c>
      <c r="AA401" s="220">
        <f>Database!B390</f>
        <v/>
      </c>
      <c r="AB401" s="220">
        <f>Database!D390</f>
        <v/>
      </c>
      <c r="AC401" s="220">
        <f>Database!E390</f>
        <v/>
      </c>
      <c r="AD401" s="220">
        <f>Database!I390</f>
        <v/>
      </c>
      <c r="AE401" s="220">
        <f>Database!BG390</f>
        <v/>
      </c>
      <c r="AF401" s="220">
        <f>Database!BM390</f>
        <v/>
      </c>
      <c r="AG401" s="220">
        <f>Database!H390</f>
        <v/>
      </c>
      <c r="AH401" s="220">
        <f>Database!BH390</f>
        <v/>
      </c>
    </row>
    <row r="402">
      <c r="A402" s="220">
        <f>Database!B402</f>
        <v/>
      </c>
      <c r="B402" s="220">
        <f>IF(AND(Screener!$D$8&lt;&gt;"",Database!$E402=Screener!$D$8),1,0)</f>
        <v/>
      </c>
      <c r="C402" s="220">
        <f>IF(AND(Screener!$D$7&lt;&gt;"",Database!$D402=Screener!$D$7),1,0)</f>
        <v/>
      </c>
      <c r="D402" s="220">
        <f>IF(OR(N(Database!$I402)&lt;=0,N(Screener!$D$9)&lt;=0),0,MAX(0,1-ABS(LOG10(N(Database!$I402)/Screener!$D$9))/W_SIZEHW))</f>
        <v/>
      </c>
      <c r="E402" s="220">
        <f>IF(OR(Database!$BG402="",Screener!$D$10=""),0,IF(Database!$BG402=Screener!$D$10,1,0))</f>
        <v/>
      </c>
      <c r="F402" s="220">
        <f>IF(OR(Database!$BM402="",Screener!$D$11=""),0,IF(Database!$BM402=Screener!$D$11,1,0))</f>
        <v/>
      </c>
      <c r="G402" s="220">
        <f>IF(OR(Database!$H402="",N(Screener!$D$12)&lt;=0),0,MAX(0,1-(N(Screener!$D$12)-Database!$H402)/W_RECD))</f>
        <v/>
      </c>
      <c r="H402" s="220">
        <f>IF($U$1="",0,N(ISNUMBER(SEARCH($U$1,Database!$AC402&amp;""))))+IF($V$1="",0,N(ISNUMBER(SEARCH($V$1,Database!$AC402&amp;""))))+IF($W$1="",0,N(ISNUMBER(SEARCH($W$1,Database!$AC402&amp;""))))+IF($X$1="",0,N(ISNUMBER(SEARCH($X$1,Database!$AC402&amp;""))))+IF($Y$1="",0,N(ISNUMBER(SEARCH($Y$1,Database!$AC402&amp;""))))+IF(Screener!$B$17="",0,N(ISNUMBER(SEARCH(LOWER(Screener!$B$17),Database!$AC402&amp;""))))</f>
        <v/>
      </c>
      <c r="I402" s="220">
        <f>IF(OR(N(Database!$BH402)&lt;=0,N(Screener!$D$13)&lt;=0),0,MAX(0,1-ABS(LOG10(N(Database!$BH402)/Screener!$D$13))/W_PEHW))</f>
        <v/>
      </c>
      <c r="J402" s="220">
        <f>IF(OR(N(Database!$S402)&lt;=0,N(Screener!$D$14)&lt;=0),0,MAX(0,1-ABS(LOG10(Database!$S402/Screener!$D$14))/0.6))</f>
        <v/>
      </c>
      <c r="K402" s="220">
        <f>IF(Database!$B402=Screener!$B$5,-999999,IF(ISNUMBER(SEARCH(","&amp;Database!$A402&amp;",",","&amp;SUBSTITUTE(Screener!$D$17," ","")&amp;",")),2000000,IF(IF(OR(Screener!$B$18="All",AND(Screener!$B$18="With A-share",(Database!$BM402="Y")),AND(Screener!$B$18="Without A-share",NOT((Database!$BM402="Y")))),1,0)=0,-999999,IF(Screener!$B$16="cornerstone overlap first",H402*100000,IF(Screener!$B$16="demand-similar first",J402*100000,0))+W_SUB*B402+W_SEC*C402*(1-B402)+W_SIZE*D402+W_PROF*E402+W_AH*F402+W_REC*G402+W_CS*H402+W_PE*I402)))+ROW()/1000000</f>
        <v/>
      </c>
      <c r="AA402" s="220">
        <f>Database!B391</f>
        <v/>
      </c>
      <c r="AB402" s="220">
        <f>Database!D391</f>
        <v/>
      </c>
      <c r="AC402" s="220">
        <f>Database!E391</f>
        <v/>
      </c>
      <c r="AD402" s="220">
        <f>Database!I391</f>
        <v/>
      </c>
      <c r="AE402" s="220">
        <f>Database!BG391</f>
        <v/>
      </c>
      <c r="AF402" s="220">
        <f>Database!BM391</f>
        <v/>
      </c>
      <c r="AG402" s="220">
        <f>Database!H391</f>
        <v/>
      </c>
      <c r="AH402" s="220">
        <f>Database!BH391</f>
        <v/>
      </c>
    </row>
    <row r="403">
      <c r="A403" s="220">
        <f>Database!B403</f>
        <v/>
      </c>
      <c r="B403" s="220">
        <f>IF(AND(Screener!$D$8&lt;&gt;"",Database!$E403=Screener!$D$8),1,0)</f>
        <v/>
      </c>
      <c r="C403" s="220">
        <f>IF(AND(Screener!$D$7&lt;&gt;"",Database!$D403=Screener!$D$7),1,0)</f>
        <v/>
      </c>
      <c r="D403" s="220">
        <f>IF(OR(N(Database!$I403)&lt;=0,N(Screener!$D$9)&lt;=0),0,MAX(0,1-ABS(LOG10(N(Database!$I403)/Screener!$D$9))/W_SIZEHW))</f>
        <v/>
      </c>
      <c r="E403" s="220">
        <f>IF(OR(Database!$BG403="",Screener!$D$10=""),0,IF(Database!$BG403=Screener!$D$10,1,0))</f>
        <v/>
      </c>
      <c r="F403" s="220">
        <f>IF(OR(Database!$BM403="",Screener!$D$11=""),0,IF(Database!$BM403=Screener!$D$11,1,0))</f>
        <v/>
      </c>
      <c r="G403" s="220">
        <f>IF(OR(Database!$H403="",N(Screener!$D$12)&lt;=0),0,MAX(0,1-(N(Screener!$D$12)-Database!$H403)/W_RECD))</f>
        <v/>
      </c>
      <c r="H403" s="220">
        <f>IF($U$1="",0,N(ISNUMBER(SEARCH($U$1,Database!$AC403&amp;""))))+IF($V$1="",0,N(ISNUMBER(SEARCH($V$1,Database!$AC403&amp;""))))+IF($W$1="",0,N(ISNUMBER(SEARCH($W$1,Database!$AC403&amp;""))))+IF($X$1="",0,N(ISNUMBER(SEARCH($X$1,Database!$AC403&amp;""))))+IF($Y$1="",0,N(ISNUMBER(SEARCH($Y$1,Database!$AC403&amp;""))))+IF(Screener!$B$17="",0,N(ISNUMBER(SEARCH(LOWER(Screener!$B$17),Database!$AC403&amp;""))))</f>
        <v/>
      </c>
      <c r="I403" s="220">
        <f>IF(OR(N(Database!$BH403)&lt;=0,N(Screener!$D$13)&lt;=0),0,MAX(0,1-ABS(LOG10(N(Database!$BH403)/Screener!$D$13))/W_PEHW))</f>
        <v/>
      </c>
      <c r="J403" s="220">
        <f>IF(OR(N(Database!$S403)&lt;=0,N(Screener!$D$14)&lt;=0),0,MAX(0,1-ABS(LOG10(Database!$S403/Screener!$D$14))/0.6))</f>
        <v/>
      </c>
      <c r="K403" s="220">
        <f>IF(Database!$B403=Screener!$B$5,-999999,IF(ISNUMBER(SEARCH(","&amp;Database!$A403&amp;",",","&amp;SUBSTITUTE(Screener!$D$17," ","")&amp;",")),2000000,IF(IF(OR(Screener!$B$18="All",AND(Screener!$B$18="With A-share",(Database!$BM403="Y")),AND(Screener!$B$18="Without A-share",NOT((Database!$BM403="Y")))),1,0)=0,-999999,IF(Screener!$B$16="cornerstone overlap first",H403*100000,IF(Screener!$B$16="demand-similar first",J403*100000,0))+W_SUB*B403+W_SEC*C403*(1-B403)+W_SIZE*D403+W_PROF*E403+W_AH*F403+W_REC*G403+W_CS*H403+W_PE*I403)))+ROW()/1000000</f>
        <v/>
      </c>
      <c r="AA403" s="220">
        <f>Database!B392</f>
        <v/>
      </c>
      <c r="AB403" s="220">
        <f>Database!D392</f>
        <v/>
      </c>
      <c r="AC403" s="220">
        <f>Database!E392</f>
        <v/>
      </c>
      <c r="AD403" s="220">
        <f>Database!I392</f>
        <v/>
      </c>
      <c r="AE403" s="220">
        <f>Database!BG392</f>
        <v/>
      </c>
      <c r="AF403" s="220">
        <f>Database!BM392</f>
        <v/>
      </c>
      <c r="AG403" s="220">
        <f>Database!H392</f>
        <v/>
      </c>
      <c r="AH403" s="220">
        <f>Database!BH392</f>
        <v/>
      </c>
    </row>
    <row r="404">
      <c r="A404" s="220">
        <f>Database!B404</f>
        <v/>
      </c>
      <c r="B404" s="220">
        <f>IF(AND(Screener!$D$8&lt;&gt;"",Database!$E404=Screener!$D$8),1,0)</f>
        <v/>
      </c>
      <c r="C404" s="220">
        <f>IF(AND(Screener!$D$7&lt;&gt;"",Database!$D404=Screener!$D$7),1,0)</f>
        <v/>
      </c>
      <c r="D404" s="220">
        <f>IF(OR(N(Database!$I404)&lt;=0,N(Screener!$D$9)&lt;=0),0,MAX(0,1-ABS(LOG10(N(Database!$I404)/Screener!$D$9))/W_SIZEHW))</f>
        <v/>
      </c>
      <c r="E404" s="220">
        <f>IF(OR(Database!$BG404="",Screener!$D$10=""),0,IF(Database!$BG404=Screener!$D$10,1,0))</f>
        <v/>
      </c>
      <c r="F404" s="220">
        <f>IF(OR(Database!$BM404="",Screener!$D$11=""),0,IF(Database!$BM404=Screener!$D$11,1,0))</f>
        <v/>
      </c>
      <c r="G404" s="220">
        <f>IF(OR(Database!$H404="",N(Screener!$D$12)&lt;=0),0,MAX(0,1-(N(Screener!$D$12)-Database!$H404)/W_RECD))</f>
        <v/>
      </c>
      <c r="H404" s="220">
        <f>IF($U$1="",0,N(ISNUMBER(SEARCH($U$1,Database!$AC404&amp;""))))+IF($V$1="",0,N(ISNUMBER(SEARCH($V$1,Database!$AC404&amp;""))))+IF($W$1="",0,N(ISNUMBER(SEARCH($W$1,Database!$AC404&amp;""))))+IF($X$1="",0,N(ISNUMBER(SEARCH($X$1,Database!$AC404&amp;""))))+IF($Y$1="",0,N(ISNUMBER(SEARCH($Y$1,Database!$AC404&amp;""))))+IF(Screener!$B$17="",0,N(ISNUMBER(SEARCH(LOWER(Screener!$B$17),Database!$AC404&amp;""))))</f>
        <v/>
      </c>
      <c r="I404" s="220">
        <f>IF(OR(N(Database!$BH404)&lt;=0,N(Screener!$D$13)&lt;=0),0,MAX(0,1-ABS(LOG10(N(Database!$BH404)/Screener!$D$13))/W_PEHW))</f>
        <v/>
      </c>
      <c r="J404" s="220">
        <f>IF(OR(N(Database!$S404)&lt;=0,N(Screener!$D$14)&lt;=0),0,MAX(0,1-ABS(LOG10(Database!$S404/Screener!$D$14))/0.6))</f>
        <v/>
      </c>
      <c r="K404" s="220">
        <f>IF(Database!$B404=Screener!$B$5,-999999,IF(ISNUMBER(SEARCH(","&amp;Database!$A404&amp;",",","&amp;SUBSTITUTE(Screener!$D$17," ","")&amp;",")),2000000,IF(IF(OR(Screener!$B$18="All",AND(Screener!$B$18="With A-share",(Database!$BM404="Y")),AND(Screener!$B$18="Without A-share",NOT((Database!$BM404="Y")))),1,0)=0,-999999,IF(Screener!$B$16="cornerstone overlap first",H404*100000,IF(Screener!$B$16="demand-similar first",J404*100000,0))+W_SUB*B404+W_SEC*C404*(1-B404)+W_SIZE*D404+W_PROF*E404+W_AH*F404+W_REC*G404+W_CS*H404+W_PE*I404)))+ROW()/1000000</f>
        <v/>
      </c>
      <c r="AA404" s="220">
        <f>Database!B393</f>
        <v/>
      </c>
      <c r="AB404" s="220">
        <f>Database!D393</f>
        <v/>
      </c>
      <c r="AC404" s="220">
        <f>Database!E393</f>
        <v/>
      </c>
      <c r="AD404" s="220">
        <f>Database!I393</f>
        <v/>
      </c>
      <c r="AE404" s="220">
        <f>Database!BG393</f>
        <v/>
      </c>
      <c r="AF404" s="220">
        <f>Database!BM393</f>
        <v/>
      </c>
      <c r="AG404" s="220">
        <f>Database!H393</f>
        <v/>
      </c>
      <c r="AH404" s="220">
        <f>Database!BH393</f>
        <v/>
      </c>
    </row>
    <row r="405">
      <c r="A405" s="220">
        <f>Database!B405</f>
        <v/>
      </c>
      <c r="B405" s="220">
        <f>IF(AND(Screener!$D$8&lt;&gt;"",Database!$E405=Screener!$D$8),1,0)</f>
        <v/>
      </c>
      <c r="C405" s="220">
        <f>IF(AND(Screener!$D$7&lt;&gt;"",Database!$D405=Screener!$D$7),1,0)</f>
        <v/>
      </c>
      <c r="D405" s="220">
        <f>IF(OR(N(Database!$I405)&lt;=0,N(Screener!$D$9)&lt;=0),0,MAX(0,1-ABS(LOG10(N(Database!$I405)/Screener!$D$9))/W_SIZEHW))</f>
        <v/>
      </c>
      <c r="E405" s="220">
        <f>IF(OR(Database!$BG405="",Screener!$D$10=""),0,IF(Database!$BG405=Screener!$D$10,1,0))</f>
        <v/>
      </c>
      <c r="F405" s="220">
        <f>IF(OR(Database!$BM405="",Screener!$D$11=""),0,IF(Database!$BM405=Screener!$D$11,1,0))</f>
        <v/>
      </c>
      <c r="G405" s="220">
        <f>IF(OR(Database!$H405="",N(Screener!$D$12)&lt;=0),0,MAX(0,1-(N(Screener!$D$12)-Database!$H405)/W_RECD))</f>
        <v/>
      </c>
      <c r="H405" s="220">
        <f>IF($U$1="",0,N(ISNUMBER(SEARCH($U$1,Database!$AC405&amp;""))))+IF($V$1="",0,N(ISNUMBER(SEARCH($V$1,Database!$AC405&amp;""))))+IF($W$1="",0,N(ISNUMBER(SEARCH($W$1,Database!$AC405&amp;""))))+IF($X$1="",0,N(ISNUMBER(SEARCH($X$1,Database!$AC405&amp;""))))+IF($Y$1="",0,N(ISNUMBER(SEARCH($Y$1,Database!$AC405&amp;""))))+IF(Screener!$B$17="",0,N(ISNUMBER(SEARCH(LOWER(Screener!$B$17),Database!$AC405&amp;""))))</f>
        <v/>
      </c>
      <c r="I405" s="220">
        <f>IF(OR(N(Database!$BH405)&lt;=0,N(Screener!$D$13)&lt;=0),0,MAX(0,1-ABS(LOG10(N(Database!$BH405)/Screener!$D$13))/W_PEHW))</f>
        <v/>
      </c>
      <c r="J405" s="220">
        <f>IF(OR(N(Database!$S405)&lt;=0,N(Screener!$D$14)&lt;=0),0,MAX(0,1-ABS(LOG10(Database!$S405/Screener!$D$14))/0.6))</f>
        <v/>
      </c>
      <c r="K405" s="220">
        <f>IF(Database!$B405=Screener!$B$5,-999999,IF(ISNUMBER(SEARCH(","&amp;Database!$A405&amp;",",","&amp;SUBSTITUTE(Screener!$D$17," ","")&amp;",")),2000000,IF(IF(OR(Screener!$B$18="All",AND(Screener!$B$18="With A-share",(Database!$BM405="Y")),AND(Screener!$B$18="Without A-share",NOT((Database!$BM405="Y")))),1,0)=0,-999999,IF(Screener!$B$16="cornerstone overlap first",H405*100000,IF(Screener!$B$16="demand-similar first",J405*100000,0))+W_SUB*B405+W_SEC*C405*(1-B405)+W_SIZE*D405+W_PROF*E405+W_AH*F405+W_REC*G405+W_CS*H405+W_PE*I405)))+ROW()/1000000</f>
        <v/>
      </c>
      <c r="AA405" s="220">
        <f>Database!B394</f>
        <v/>
      </c>
      <c r="AB405" s="220">
        <f>Database!D394</f>
        <v/>
      </c>
      <c r="AC405" s="220">
        <f>Database!E394</f>
        <v/>
      </c>
      <c r="AD405" s="220">
        <f>Database!I394</f>
        <v/>
      </c>
      <c r="AE405" s="220">
        <f>Database!BG394</f>
        <v/>
      </c>
      <c r="AF405" s="220">
        <f>Database!BM394</f>
        <v/>
      </c>
      <c r="AG405" s="220">
        <f>Database!H394</f>
        <v/>
      </c>
      <c r="AH405" s="220">
        <f>Database!BH394</f>
        <v/>
      </c>
    </row>
    <row r="406">
      <c r="A406" s="220">
        <f>Database!B406</f>
        <v/>
      </c>
      <c r="B406" s="220">
        <f>IF(AND(Screener!$D$8&lt;&gt;"",Database!$E406=Screener!$D$8),1,0)</f>
        <v/>
      </c>
      <c r="C406" s="220">
        <f>IF(AND(Screener!$D$7&lt;&gt;"",Database!$D406=Screener!$D$7),1,0)</f>
        <v/>
      </c>
      <c r="D406" s="220">
        <f>IF(OR(N(Database!$I406)&lt;=0,N(Screener!$D$9)&lt;=0),0,MAX(0,1-ABS(LOG10(N(Database!$I406)/Screener!$D$9))/W_SIZEHW))</f>
        <v/>
      </c>
      <c r="E406" s="220">
        <f>IF(OR(Database!$BG406="",Screener!$D$10=""),0,IF(Database!$BG406=Screener!$D$10,1,0))</f>
        <v/>
      </c>
      <c r="F406" s="220">
        <f>IF(OR(Database!$BM406="",Screener!$D$11=""),0,IF(Database!$BM406=Screener!$D$11,1,0))</f>
        <v/>
      </c>
      <c r="G406" s="220">
        <f>IF(OR(Database!$H406="",N(Screener!$D$12)&lt;=0),0,MAX(0,1-(N(Screener!$D$12)-Database!$H406)/W_RECD))</f>
        <v/>
      </c>
      <c r="H406" s="220">
        <f>IF($U$1="",0,N(ISNUMBER(SEARCH($U$1,Database!$AC406&amp;""))))+IF($V$1="",0,N(ISNUMBER(SEARCH($V$1,Database!$AC406&amp;""))))+IF($W$1="",0,N(ISNUMBER(SEARCH($W$1,Database!$AC406&amp;""))))+IF($X$1="",0,N(ISNUMBER(SEARCH($X$1,Database!$AC406&amp;""))))+IF($Y$1="",0,N(ISNUMBER(SEARCH($Y$1,Database!$AC406&amp;""))))+IF(Screener!$B$17="",0,N(ISNUMBER(SEARCH(LOWER(Screener!$B$17),Database!$AC406&amp;""))))</f>
        <v/>
      </c>
      <c r="I406" s="220">
        <f>IF(OR(N(Database!$BH406)&lt;=0,N(Screener!$D$13)&lt;=0),0,MAX(0,1-ABS(LOG10(N(Database!$BH406)/Screener!$D$13))/W_PEHW))</f>
        <v/>
      </c>
      <c r="J406" s="220">
        <f>IF(OR(N(Database!$S406)&lt;=0,N(Screener!$D$14)&lt;=0),0,MAX(0,1-ABS(LOG10(Database!$S406/Screener!$D$14))/0.6))</f>
        <v/>
      </c>
      <c r="K406" s="220">
        <f>IF(Database!$B406=Screener!$B$5,-999999,IF(ISNUMBER(SEARCH(","&amp;Database!$A406&amp;",",","&amp;SUBSTITUTE(Screener!$D$17," ","")&amp;",")),2000000,IF(IF(OR(Screener!$B$18="All",AND(Screener!$B$18="With A-share",(Database!$BM406="Y")),AND(Screener!$B$18="Without A-share",NOT((Database!$BM406="Y")))),1,0)=0,-999999,IF(Screener!$B$16="cornerstone overlap first",H406*100000,IF(Screener!$B$16="demand-similar first",J406*100000,0))+W_SUB*B406+W_SEC*C406*(1-B406)+W_SIZE*D406+W_PROF*E406+W_AH*F406+W_REC*G406+W_CS*H406+W_PE*I406)))+ROW()/1000000</f>
        <v/>
      </c>
      <c r="AA406" s="220">
        <f>Database!B395</f>
        <v/>
      </c>
      <c r="AB406" s="220">
        <f>Database!D395</f>
        <v/>
      </c>
      <c r="AC406" s="220">
        <f>Database!E395</f>
        <v/>
      </c>
      <c r="AD406" s="220">
        <f>Database!I395</f>
        <v/>
      </c>
      <c r="AE406" s="220">
        <f>Database!BG395</f>
        <v/>
      </c>
      <c r="AF406" s="220">
        <f>Database!BM395</f>
        <v/>
      </c>
      <c r="AG406" s="220">
        <f>Database!H395</f>
        <v/>
      </c>
      <c r="AH406" s="220">
        <f>Database!BH395</f>
        <v/>
      </c>
    </row>
    <row r="407">
      <c r="A407" s="220">
        <f>Database!B407</f>
        <v/>
      </c>
      <c r="B407" s="220">
        <f>IF(AND(Screener!$D$8&lt;&gt;"",Database!$E407=Screener!$D$8),1,0)</f>
        <v/>
      </c>
      <c r="C407" s="220">
        <f>IF(AND(Screener!$D$7&lt;&gt;"",Database!$D407=Screener!$D$7),1,0)</f>
        <v/>
      </c>
      <c r="D407" s="220">
        <f>IF(OR(N(Database!$I407)&lt;=0,N(Screener!$D$9)&lt;=0),0,MAX(0,1-ABS(LOG10(N(Database!$I407)/Screener!$D$9))/W_SIZEHW))</f>
        <v/>
      </c>
      <c r="E407" s="220">
        <f>IF(OR(Database!$BG407="",Screener!$D$10=""),0,IF(Database!$BG407=Screener!$D$10,1,0))</f>
        <v/>
      </c>
      <c r="F407" s="220">
        <f>IF(OR(Database!$BM407="",Screener!$D$11=""),0,IF(Database!$BM407=Screener!$D$11,1,0))</f>
        <v/>
      </c>
      <c r="G407" s="220">
        <f>IF(OR(Database!$H407="",N(Screener!$D$12)&lt;=0),0,MAX(0,1-(N(Screener!$D$12)-Database!$H407)/W_RECD))</f>
        <v/>
      </c>
      <c r="H407" s="220">
        <f>IF($U$1="",0,N(ISNUMBER(SEARCH($U$1,Database!$AC407&amp;""))))+IF($V$1="",0,N(ISNUMBER(SEARCH($V$1,Database!$AC407&amp;""))))+IF($W$1="",0,N(ISNUMBER(SEARCH($W$1,Database!$AC407&amp;""))))+IF($X$1="",0,N(ISNUMBER(SEARCH($X$1,Database!$AC407&amp;""))))+IF($Y$1="",0,N(ISNUMBER(SEARCH($Y$1,Database!$AC407&amp;""))))+IF(Screener!$B$17="",0,N(ISNUMBER(SEARCH(LOWER(Screener!$B$17),Database!$AC407&amp;""))))</f>
        <v/>
      </c>
      <c r="I407" s="220">
        <f>IF(OR(N(Database!$BH407)&lt;=0,N(Screener!$D$13)&lt;=0),0,MAX(0,1-ABS(LOG10(N(Database!$BH407)/Screener!$D$13))/W_PEHW))</f>
        <v/>
      </c>
      <c r="J407" s="220">
        <f>IF(OR(N(Database!$S407)&lt;=0,N(Screener!$D$14)&lt;=0),0,MAX(0,1-ABS(LOG10(Database!$S407/Screener!$D$14))/0.6))</f>
        <v/>
      </c>
      <c r="K407" s="220">
        <f>IF(Database!$B407=Screener!$B$5,-999999,IF(ISNUMBER(SEARCH(","&amp;Database!$A407&amp;",",","&amp;SUBSTITUTE(Screener!$D$17," ","")&amp;",")),2000000,IF(IF(OR(Screener!$B$18="All",AND(Screener!$B$18="With A-share",(Database!$BM407="Y")),AND(Screener!$B$18="Without A-share",NOT((Database!$BM407="Y")))),1,0)=0,-999999,IF(Screener!$B$16="cornerstone overlap first",H407*100000,IF(Screener!$B$16="demand-similar first",J407*100000,0))+W_SUB*B407+W_SEC*C407*(1-B407)+W_SIZE*D407+W_PROF*E407+W_AH*F407+W_REC*G407+W_CS*H407+W_PE*I407)))+ROW()/1000000</f>
        <v/>
      </c>
      <c r="AA407" s="220">
        <f>Database!B396</f>
        <v/>
      </c>
      <c r="AB407" s="220">
        <f>Database!D396</f>
        <v/>
      </c>
      <c r="AC407" s="220">
        <f>Database!E396</f>
        <v/>
      </c>
      <c r="AD407" s="220">
        <f>Database!I396</f>
        <v/>
      </c>
      <c r="AE407" s="220">
        <f>Database!BG396</f>
        <v/>
      </c>
      <c r="AF407" s="220">
        <f>Database!BM396</f>
        <v/>
      </c>
      <c r="AG407" s="220">
        <f>Database!H396</f>
        <v/>
      </c>
      <c r="AH407" s="220">
        <f>Database!BH396</f>
        <v/>
      </c>
    </row>
    <row r="408">
      <c r="A408" s="220">
        <f>Database!B408</f>
        <v/>
      </c>
      <c r="B408" s="220">
        <f>IF(AND(Screener!$D$8&lt;&gt;"",Database!$E408=Screener!$D$8),1,0)</f>
        <v/>
      </c>
      <c r="C408" s="220">
        <f>IF(AND(Screener!$D$7&lt;&gt;"",Database!$D408=Screener!$D$7),1,0)</f>
        <v/>
      </c>
      <c r="D408" s="220">
        <f>IF(OR(N(Database!$I408)&lt;=0,N(Screener!$D$9)&lt;=0),0,MAX(0,1-ABS(LOG10(N(Database!$I408)/Screener!$D$9))/W_SIZEHW))</f>
        <v/>
      </c>
      <c r="E408" s="220">
        <f>IF(OR(Database!$BG408="",Screener!$D$10=""),0,IF(Database!$BG408=Screener!$D$10,1,0))</f>
        <v/>
      </c>
      <c r="F408" s="220">
        <f>IF(OR(Database!$BM408="",Screener!$D$11=""),0,IF(Database!$BM408=Screener!$D$11,1,0))</f>
        <v/>
      </c>
      <c r="G408" s="220">
        <f>IF(OR(Database!$H408="",N(Screener!$D$12)&lt;=0),0,MAX(0,1-(N(Screener!$D$12)-Database!$H408)/W_RECD))</f>
        <v/>
      </c>
      <c r="H408" s="220">
        <f>IF($U$1="",0,N(ISNUMBER(SEARCH($U$1,Database!$AC408&amp;""))))+IF($V$1="",0,N(ISNUMBER(SEARCH($V$1,Database!$AC408&amp;""))))+IF($W$1="",0,N(ISNUMBER(SEARCH($W$1,Database!$AC408&amp;""))))+IF($X$1="",0,N(ISNUMBER(SEARCH($X$1,Database!$AC408&amp;""))))+IF($Y$1="",0,N(ISNUMBER(SEARCH($Y$1,Database!$AC408&amp;""))))+IF(Screener!$B$17="",0,N(ISNUMBER(SEARCH(LOWER(Screener!$B$17),Database!$AC408&amp;""))))</f>
        <v/>
      </c>
      <c r="I408" s="220">
        <f>IF(OR(N(Database!$BH408)&lt;=0,N(Screener!$D$13)&lt;=0),0,MAX(0,1-ABS(LOG10(N(Database!$BH408)/Screener!$D$13))/W_PEHW))</f>
        <v/>
      </c>
      <c r="J408" s="220">
        <f>IF(OR(N(Database!$S408)&lt;=0,N(Screener!$D$14)&lt;=0),0,MAX(0,1-ABS(LOG10(Database!$S408/Screener!$D$14))/0.6))</f>
        <v/>
      </c>
      <c r="K408" s="220">
        <f>IF(Database!$B408=Screener!$B$5,-999999,IF(ISNUMBER(SEARCH(","&amp;Database!$A408&amp;",",","&amp;SUBSTITUTE(Screener!$D$17," ","")&amp;",")),2000000,IF(IF(OR(Screener!$B$18="All",AND(Screener!$B$18="With A-share",(Database!$BM408="Y")),AND(Screener!$B$18="Without A-share",NOT((Database!$BM408="Y")))),1,0)=0,-999999,IF(Screener!$B$16="cornerstone overlap first",H408*100000,IF(Screener!$B$16="demand-similar first",J408*100000,0))+W_SUB*B408+W_SEC*C408*(1-B408)+W_SIZE*D408+W_PROF*E408+W_AH*F408+W_REC*G408+W_CS*H408+W_PE*I408)))+ROW()/1000000</f>
        <v/>
      </c>
      <c r="AA408" s="220">
        <f>Database!B397</f>
        <v/>
      </c>
      <c r="AB408" s="220">
        <f>Database!D397</f>
        <v/>
      </c>
      <c r="AC408" s="220">
        <f>Database!E397</f>
        <v/>
      </c>
      <c r="AD408" s="220">
        <f>Database!I397</f>
        <v/>
      </c>
      <c r="AE408" s="220">
        <f>Database!BG397</f>
        <v/>
      </c>
      <c r="AF408" s="220">
        <f>Database!BM397</f>
        <v/>
      </c>
      <c r="AG408" s="220">
        <f>Database!H397</f>
        <v/>
      </c>
      <c r="AH408" s="220">
        <f>Database!BH397</f>
        <v/>
      </c>
    </row>
    <row r="409">
      <c r="A409" s="220">
        <f>Database!B409</f>
        <v/>
      </c>
      <c r="B409" s="220">
        <f>IF(AND(Screener!$D$8&lt;&gt;"",Database!$E409=Screener!$D$8),1,0)</f>
        <v/>
      </c>
      <c r="C409" s="220">
        <f>IF(AND(Screener!$D$7&lt;&gt;"",Database!$D409=Screener!$D$7),1,0)</f>
        <v/>
      </c>
      <c r="D409" s="220">
        <f>IF(OR(N(Database!$I409)&lt;=0,N(Screener!$D$9)&lt;=0),0,MAX(0,1-ABS(LOG10(N(Database!$I409)/Screener!$D$9))/W_SIZEHW))</f>
        <v/>
      </c>
      <c r="E409" s="220">
        <f>IF(OR(Database!$BG409="",Screener!$D$10=""),0,IF(Database!$BG409=Screener!$D$10,1,0))</f>
        <v/>
      </c>
      <c r="F409" s="220">
        <f>IF(OR(Database!$BM409="",Screener!$D$11=""),0,IF(Database!$BM409=Screener!$D$11,1,0))</f>
        <v/>
      </c>
      <c r="G409" s="220">
        <f>IF(OR(Database!$H409="",N(Screener!$D$12)&lt;=0),0,MAX(0,1-(N(Screener!$D$12)-Database!$H409)/W_RECD))</f>
        <v/>
      </c>
      <c r="H409" s="220">
        <f>IF($U$1="",0,N(ISNUMBER(SEARCH($U$1,Database!$AC409&amp;""))))+IF($V$1="",0,N(ISNUMBER(SEARCH($V$1,Database!$AC409&amp;""))))+IF($W$1="",0,N(ISNUMBER(SEARCH($W$1,Database!$AC409&amp;""))))+IF($X$1="",0,N(ISNUMBER(SEARCH($X$1,Database!$AC409&amp;""))))+IF($Y$1="",0,N(ISNUMBER(SEARCH($Y$1,Database!$AC409&amp;""))))+IF(Screener!$B$17="",0,N(ISNUMBER(SEARCH(LOWER(Screener!$B$17),Database!$AC409&amp;""))))</f>
        <v/>
      </c>
      <c r="I409" s="220">
        <f>IF(OR(N(Database!$BH409)&lt;=0,N(Screener!$D$13)&lt;=0),0,MAX(0,1-ABS(LOG10(N(Database!$BH409)/Screener!$D$13))/W_PEHW))</f>
        <v/>
      </c>
      <c r="J409" s="220">
        <f>IF(OR(N(Database!$S409)&lt;=0,N(Screener!$D$14)&lt;=0),0,MAX(0,1-ABS(LOG10(Database!$S409/Screener!$D$14))/0.6))</f>
        <v/>
      </c>
      <c r="K409" s="220">
        <f>IF(Database!$B409=Screener!$B$5,-999999,IF(ISNUMBER(SEARCH(","&amp;Database!$A409&amp;",",","&amp;SUBSTITUTE(Screener!$D$17," ","")&amp;",")),2000000,IF(IF(OR(Screener!$B$18="All",AND(Screener!$B$18="With A-share",(Database!$BM409="Y")),AND(Screener!$B$18="Without A-share",NOT((Database!$BM409="Y")))),1,0)=0,-999999,IF(Screener!$B$16="cornerstone overlap first",H409*100000,IF(Screener!$B$16="demand-similar first",J409*100000,0))+W_SUB*B409+W_SEC*C409*(1-B409)+W_SIZE*D409+W_PROF*E409+W_AH*F409+W_REC*G409+W_CS*H409+W_PE*I409)))+ROW()/1000000</f>
        <v/>
      </c>
      <c r="AA409" s="220">
        <f>Database!B398</f>
        <v/>
      </c>
      <c r="AB409" s="220">
        <f>Database!D398</f>
        <v/>
      </c>
      <c r="AC409" s="220">
        <f>Database!E398</f>
        <v/>
      </c>
      <c r="AD409" s="220">
        <f>Database!I398</f>
        <v/>
      </c>
      <c r="AE409" s="220">
        <f>Database!BG398</f>
        <v/>
      </c>
      <c r="AF409" s="220">
        <f>Database!BM398</f>
        <v/>
      </c>
      <c r="AG409" s="220">
        <f>Database!H398</f>
        <v/>
      </c>
      <c r="AH409" s="220">
        <f>Database!BH398</f>
        <v/>
      </c>
    </row>
    <row r="410">
      <c r="A410" s="220">
        <f>Database!B410</f>
        <v/>
      </c>
      <c r="B410" s="220">
        <f>IF(AND(Screener!$D$8&lt;&gt;"",Database!$E410=Screener!$D$8),1,0)</f>
        <v/>
      </c>
      <c r="C410" s="220">
        <f>IF(AND(Screener!$D$7&lt;&gt;"",Database!$D410=Screener!$D$7),1,0)</f>
        <v/>
      </c>
      <c r="D410" s="220">
        <f>IF(OR(N(Database!$I410)&lt;=0,N(Screener!$D$9)&lt;=0),0,MAX(0,1-ABS(LOG10(N(Database!$I410)/Screener!$D$9))/W_SIZEHW))</f>
        <v/>
      </c>
      <c r="E410" s="220">
        <f>IF(OR(Database!$BG410="",Screener!$D$10=""),0,IF(Database!$BG410=Screener!$D$10,1,0))</f>
        <v/>
      </c>
      <c r="F410" s="220">
        <f>IF(OR(Database!$BM410="",Screener!$D$11=""),0,IF(Database!$BM410=Screener!$D$11,1,0))</f>
        <v/>
      </c>
      <c r="G410" s="220">
        <f>IF(OR(Database!$H410="",N(Screener!$D$12)&lt;=0),0,MAX(0,1-(N(Screener!$D$12)-Database!$H410)/W_RECD))</f>
        <v/>
      </c>
      <c r="H410" s="220">
        <f>IF($U$1="",0,N(ISNUMBER(SEARCH($U$1,Database!$AC410&amp;""))))+IF($V$1="",0,N(ISNUMBER(SEARCH($V$1,Database!$AC410&amp;""))))+IF($W$1="",0,N(ISNUMBER(SEARCH($W$1,Database!$AC410&amp;""))))+IF($X$1="",0,N(ISNUMBER(SEARCH($X$1,Database!$AC410&amp;""))))+IF($Y$1="",0,N(ISNUMBER(SEARCH($Y$1,Database!$AC410&amp;""))))+IF(Screener!$B$17="",0,N(ISNUMBER(SEARCH(LOWER(Screener!$B$17),Database!$AC410&amp;""))))</f>
        <v/>
      </c>
      <c r="I410" s="220">
        <f>IF(OR(N(Database!$BH410)&lt;=0,N(Screener!$D$13)&lt;=0),0,MAX(0,1-ABS(LOG10(N(Database!$BH410)/Screener!$D$13))/W_PEHW))</f>
        <v/>
      </c>
      <c r="J410" s="220">
        <f>IF(OR(N(Database!$S410)&lt;=0,N(Screener!$D$14)&lt;=0),0,MAX(0,1-ABS(LOG10(Database!$S410/Screener!$D$14))/0.6))</f>
        <v/>
      </c>
      <c r="K410" s="220">
        <f>IF(Database!$B410=Screener!$B$5,-999999,IF(ISNUMBER(SEARCH(","&amp;Database!$A410&amp;",",","&amp;SUBSTITUTE(Screener!$D$17," ","")&amp;",")),2000000,IF(IF(OR(Screener!$B$18="All",AND(Screener!$B$18="With A-share",(Database!$BM410="Y")),AND(Screener!$B$18="Without A-share",NOT((Database!$BM410="Y")))),1,0)=0,-999999,IF(Screener!$B$16="cornerstone overlap first",H410*100000,IF(Screener!$B$16="demand-similar first",J410*100000,0))+W_SUB*B410+W_SEC*C410*(1-B410)+W_SIZE*D410+W_PROF*E410+W_AH*F410+W_REC*G410+W_CS*H410+W_PE*I410)))+ROW()/1000000</f>
        <v/>
      </c>
      <c r="AA410" s="220">
        <f>Database!B399</f>
        <v/>
      </c>
      <c r="AB410" s="220">
        <f>Database!D399</f>
        <v/>
      </c>
      <c r="AC410" s="220">
        <f>Database!E399</f>
        <v/>
      </c>
      <c r="AD410" s="220">
        <f>Database!I399</f>
        <v/>
      </c>
      <c r="AE410" s="220">
        <f>Database!BG399</f>
        <v/>
      </c>
      <c r="AF410" s="220">
        <f>Database!BM399</f>
        <v/>
      </c>
      <c r="AG410" s="220">
        <f>Database!H399</f>
        <v/>
      </c>
      <c r="AH410" s="220">
        <f>Database!BH399</f>
        <v/>
      </c>
    </row>
    <row r="411">
      <c r="A411" s="220">
        <f>Database!B411</f>
        <v/>
      </c>
      <c r="B411" s="220">
        <f>IF(AND(Screener!$D$8&lt;&gt;"",Database!$E411=Screener!$D$8),1,0)</f>
        <v/>
      </c>
      <c r="C411" s="220">
        <f>IF(AND(Screener!$D$7&lt;&gt;"",Database!$D411=Screener!$D$7),1,0)</f>
        <v/>
      </c>
      <c r="D411" s="220">
        <f>IF(OR(N(Database!$I411)&lt;=0,N(Screener!$D$9)&lt;=0),0,MAX(0,1-ABS(LOG10(N(Database!$I411)/Screener!$D$9))/W_SIZEHW))</f>
        <v/>
      </c>
      <c r="E411" s="220">
        <f>IF(OR(Database!$BG411="",Screener!$D$10=""),0,IF(Database!$BG411=Screener!$D$10,1,0))</f>
        <v/>
      </c>
      <c r="F411" s="220">
        <f>IF(OR(Database!$BM411="",Screener!$D$11=""),0,IF(Database!$BM411=Screener!$D$11,1,0))</f>
        <v/>
      </c>
      <c r="G411" s="220">
        <f>IF(OR(Database!$H411="",N(Screener!$D$12)&lt;=0),0,MAX(0,1-(N(Screener!$D$12)-Database!$H411)/W_RECD))</f>
        <v/>
      </c>
      <c r="H411" s="220">
        <f>IF($U$1="",0,N(ISNUMBER(SEARCH($U$1,Database!$AC411&amp;""))))+IF($V$1="",0,N(ISNUMBER(SEARCH($V$1,Database!$AC411&amp;""))))+IF($W$1="",0,N(ISNUMBER(SEARCH($W$1,Database!$AC411&amp;""))))+IF($X$1="",0,N(ISNUMBER(SEARCH($X$1,Database!$AC411&amp;""))))+IF($Y$1="",0,N(ISNUMBER(SEARCH($Y$1,Database!$AC411&amp;""))))+IF(Screener!$B$17="",0,N(ISNUMBER(SEARCH(LOWER(Screener!$B$17),Database!$AC411&amp;""))))</f>
        <v/>
      </c>
      <c r="I411" s="220">
        <f>IF(OR(N(Database!$BH411)&lt;=0,N(Screener!$D$13)&lt;=0),0,MAX(0,1-ABS(LOG10(N(Database!$BH411)/Screener!$D$13))/W_PEHW))</f>
        <v/>
      </c>
      <c r="J411" s="220">
        <f>IF(OR(N(Database!$S411)&lt;=0,N(Screener!$D$14)&lt;=0),0,MAX(0,1-ABS(LOG10(Database!$S411/Screener!$D$14))/0.6))</f>
        <v/>
      </c>
      <c r="K411" s="220">
        <f>IF(Database!$B411=Screener!$B$5,-999999,IF(ISNUMBER(SEARCH(","&amp;Database!$A411&amp;",",","&amp;SUBSTITUTE(Screener!$D$17," ","")&amp;",")),2000000,IF(IF(OR(Screener!$B$18="All",AND(Screener!$B$18="With A-share",(Database!$BM411="Y")),AND(Screener!$B$18="Without A-share",NOT((Database!$BM411="Y")))),1,0)=0,-999999,IF(Screener!$B$16="cornerstone overlap first",H411*100000,IF(Screener!$B$16="demand-similar first",J411*100000,0))+W_SUB*B411+W_SEC*C411*(1-B411)+W_SIZE*D411+W_PROF*E411+W_AH*F411+W_REC*G411+W_CS*H411+W_PE*I411)))+ROW()/1000000</f>
        <v/>
      </c>
      <c r="AA411" s="220">
        <f>Database!B400</f>
        <v/>
      </c>
      <c r="AB411" s="220">
        <f>Database!D400</f>
        <v/>
      </c>
      <c r="AC411" s="220">
        <f>Database!E400</f>
        <v/>
      </c>
      <c r="AD411" s="220">
        <f>Database!I400</f>
        <v/>
      </c>
      <c r="AE411" s="220">
        <f>Database!BG400</f>
        <v/>
      </c>
      <c r="AF411" s="220">
        <f>Database!BM400</f>
        <v/>
      </c>
      <c r="AG411" s="220">
        <f>Database!H400</f>
        <v/>
      </c>
      <c r="AH411" s="220">
        <f>Database!BH400</f>
        <v/>
      </c>
    </row>
    <row r="412">
      <c r="A412" s="220">
        <f>Database!B412</f>
        <v/>
      </c>
      <c r="B412" s="220">
        <f>IF(AND(Screener!$D$8&lt;&gt;"",Database!$E412=Screener!$D$8),1,0)</f>
        <v/>
      </c>
      <c r="C412" s="220">
        <f>IF(AND(Screener!$D$7&lt;&gt;"",Database!$D412=Screener!$D$7),1,0)</f>
        <v/>
      </c>
      <c r="D412" s="220">
        <f>IF(OR(N(Database!$I412)&lt;=0,N(Screener!$D$9)&lt;=0),0,MAX(0,1-ABS(LOG10(N(Database!$I412)/Screener!$D$9))/W_SIZEHW))</f>
        <v/>
      </c>
      <c r="E412" s="220">
        <f>IF(OR(Database!$BG412="",Screener!$D$10=""),0,IF(Database!$BG412=Screener!$D$10,1,0))</f>
        <v/>
      </c>
      <c r="F412" s="220">
        <f>IF(OR(Database!$BM412="",Screener!$D$11=""),0,IF(Database!$BM412=Screener!$D$11,1,0))</f>
        <v/>
      </c>
      <c r="G412" s="220">
        <f>IF(OR(Database!$H412="",N(Screener!$D$12)&lt;=0),0,MAX(0,1-(N(Screener!$D$12)-Database!$H412)/W_RECD))</f>
        <v/>
      </c>
      <c r="H412" s="220">
        <f>IF($U$1="",0,N(ISNUMBER(SEARCH($U$1,Database!$AC412&amp;""))))+IF($V$1="",0,N(ISNUMBER(SEARCH($V$1,Database!$AC412&amp;""))))+IF($W$1="",0,N(ISNUMBER(SEARCH($W$1,Database!$AC412&amp;""))))+IF($X$1="",0,N(ISNUMBER(SEARCH($X$1,Database!$AC412&amp;""))))+IF($Y$1="",0,N(ISNUMBER(SEARCH($Y$1,Database!$AC412&amp;""))))+IF(Screener!$B$17="",0,N(ISNUMBER(SEARCH(LOWER(Screener!$B$17),Database!$AC412&amp;""))))</f>
        <v/>
      </c>
      <c r="I412" s="220">
        <f>IF(OR(N(Database!$BH412)&lt;=0,N(Screener!$D$13)&lt;=0),0,MAX(0,1-ABS(LOG10(N(Database!$BH412)/Screener!$D$13))/W_PEHW))</f>
        <v/>
      </c>
      <c r="J412" s="220">
        <f>IF(OR(N(Database!$S412)&lt;=0,N(Screener!$D$14)&lt;=0),0,MAX(0,1-ABS(LOG10(Database!$S412/Screener!$D$14))/0.6))</f>
        <v/>
      </c>
      <c r="K412" s="220">
        <f>IF(Database!$B412=Screener!$B$5,-999999,IF(ISNUMBER(SEARCH(","&amp;Database!$A412&amp;",",","&amp;SUBSTITUTE(Screener!$D$17," ","")&amp;",")),2000000,IF(IF(OR(Screener!$B$18="All",AND(Screener!$B$18="With A-share",(Database!$BM412="Y")),AND(Screener!$B$18="Without A-share",NOT((Database!$BM412="Y")))),1,0)=0,-999999,IF(Screener!$B$16="cornerstone overlap first",H412*100000,IF(Screener!$B$16="demand-similar first",J412*100000,0))+W_SUB*B412+W_SEC*C412*(1-B412)+W_SIZE*D412+W_PROF*E412+W_AH*F412+W_REC*G412+W_CS*H412+W_PE*I412)))+ROW()/1000000</f>
        <v/>
      </c>
      <c r="AA412" s="220">
        <f>Database!B401</f>
        <v/>
      </c>
      <c r="AB412" s="220">
        <f>Database!D401</f>
        <v/>
      </c>
      <c r="AC412" s="220">
        <f>Database!E401</f>
        <v/>
      </c>
      <c r="AD412" s="220">
        <f>Database!I401</f>
        <v/>
      </c>
      <c r="AE412" s="220">
        <f>Database!BG401</f>
        <v/>
      </c>
      <c r="AF412" s="220">
        <f>Database!BM401</f>
        <v/>
      </c>
      <c r="AG412" s="220">
        <f>Database!H401</f>
        <v/>
      </c>
      <c r="AH412" s="220">
        <f>Database!BH401</f>
        <v/>
      </c>
    </row>
    <row r="413">
      <c r="A413" s="220">
        <f>Database!B413</f>
        <v/>
      </c>
      <c r="B413" s="220">
        <f>IF(AND(Screener!$D$8&lt;&gt;"",Database!$E413=Screener!$D$8),1,0)</f>
        <v/>
      </c>
      <c r="C413" s="220">
        <f>IF(AND(Screener!$D$7&lt;&gt;"",Database!$D413=Screener!$D$7),1,0)</f>
        <v/>
      </c>
      <c r="D413" s="220">
        <f>IF(OR(N(Database!$I413)&lt;=0,N(Screener!$D$9)&lt;=0),0,MAX(0,1-ABS(LOG10(N(Database!$I413)/Screener!$D$9))/W_SIZEHW))</f>
        <v/>
      </c>
      <c r="E413" s="220">
        <f>IF(OR(Database!$BG413="",Screener!$D$10=""),0,IF(Database!$BG413=Screener!$D$10,1,0))</f>
        <v/>
      </c>
      <c r="F413" s="220">
        <f>IF(OR(Database!$BM413="",Screener!$D$11=""),0,IF(Database!$BM413=Screener!$D$11,1,0))</f>
        <v/>
      </c>
      <c r="G413" s="220">
        <f>IF(OR(Database!$H413="",N(Screener!$D$12)&lt;=0),0,MAX(0,1-(N(Screener!$D$12)-Database!$H413)/W_RECD))</f>
        <v/>
      </c>
      <c r="H413" s="220">
        <f>IF($U$1="",0,N(ISNUMBER(SEARCH($U$1,Database!$AC413&amp;""))))+IF($V$1="",0,N(ISNUMBER(SEARCH($V$1,Database!$AC413&amp;""))))+IF($W$1="",0,N(ISNUMBER(SEARCH($W$1,Database!$AC413&amp;""))))+IF($X$1="",0,N(ISNUMBER(SEARCH($X$1,Database!$AC413&amp;""))))+IF($Y$1="",0,N(ISNUMBER(SEARCH($Y$1,Database!$AC413&amp;""))))+IF(Screener!$B$17="",0,N(ISNUMBER(SEARCH(LOWER(Screener!$B$17),Database!$AC413&amp;""))))</f>
        <v/>
      </c>
      <c r="I413" s="220">
        <f>IF(OR(N(Database!$BH413)&lt;=0,N(Screener!$D$13)&lt;=0),0,MAX(0,1-ABS(LOG10(N(Database!$BH413)/Screener!$D$13))/W_PEHW))</f>
        <v/>
      </c>
      <c r="J413" s="220">
        <f>IF(OR(N(Database!$S413)&lt;=0,N(Screener!$D$14)&lt;=0),0,MAX(0,1-ABS(LOG10(Database!$S413/Screener!$D$14))/0.6))</f>
        <v/>
      </c>
      <c r="K413" s="220">
        <f>IF(Database!$B413=Screener!$B$5,-999999,IF(ISNUMBER(SEARCH(","&amp;Database!$A413&amp;",",","&amp;SUBSTITUTE(Screener!$D$17," ","")&amp;",")),2000000,IF(IF(OR(Screener!$B$18="All",AND(Screener!$B$18="With A-share",(Database!$BM413="Y")),AND(Screener!$B$18="Without A-share",NOT((Database!$BM413="Y")))),1,0)=0,-999999,IF(Screener!$B$16="cornerstone overlap first",H413*100000,IF(Screener!$B$16="demand-similar first",J413*100000,0))+W_SUB*B413+W_SEC*C413*(1-B413)+W_SIZE*D413+W_PROF*E413+W_AH*F413+W_REC*G413+W_CS*H413+W_PE*I413)))+ROW()/1000000</f>
        <v/>
      </c>
      <c r="AA413" s="220">
        <f>Database!B402</f>
        <v/>
      </c>
      <c r="AB413" s="220">
        <f>Database!D402</f>
        <v/>
      </c>
      <c r="AC413" s="220">
        <f>Database!E402</f>
        <v/>
      </c>
      <c r="AD413" s="220">
        <f>Database!I402</f>
        <v/>
      </c>
      <c r="AE413" s="220">
        <f>Database!BG402</f>
        <v/>
      </c>
      <c r="AF413" s="220">
        <f>Database!BM402</f>
        <v/>
      </c>
      <c r="AG413" s="220">
        <f>Database!H402</f>
        <v/>
      </c>
      <c r="AH413" s="220">
        <f>Database!BH402</f>
        <v/>
      </c>
    </row>
    <row r="414">
      <c r="A414" s="220">
        <f>Database!B414</f>
        <v/>
      </c>
      <c r="B414" s="220">
        <f>IF(AND(Screener!$D$8&lt;&gt;"",Database!$E414=Screener!$D$8),1,0)</f>
        <v/>
      </c>
      <c r="C414" s="220">
        <f>IF(AND(Screener!$D$7&lt;&gt;"",Database!$D414=Screener!$D$7),1,0)</f>
        <v/>
      </c>
      <c r="D414" s="220">
        <f>IF(OR(N(Database!$I414)&lt;=0,N(Screener!$D$9)&lt;=0),0,MAX(0,1-ABS(LOG10(N(Database!$I414)/Screener!$D$9))/W_SIZEHW))</f>
        <v/>
      </c>
      <c r="E414" s="220">
        <f>IF(OR(Database!$BG414="",Screener!$D$10=""),0,IF(Database!$BG414=Screener!$D$10,1,0))</f>
        <v/>
      </c>
      <c r="F414" s="220">
        <f>IF(OR(Database!$BM414="",Screener!$D$11=""),0,IF(Database!$BM414=Screener!$D$11,1,0))</f>
        <v/>
      </c>
      <c r="G414" s="220">
        <f>IF(OR(Database!$H414="",N(Screener!$D$12)&lt;=0),0,MAX(0,1-(N(Screener!$D$12)-Database!$H414)/W_RECD))</f>
        <v/>
      </c>
      <c r="H414" s="220">
        <f>IF($U$1="",0,N(ISNUMBER(SEARCH($U$1,Database!$AC414&amp;""))))+IF($V$1="",0,N(ISNUMBER(SEARCH($V$1,Database!$AC414&amp;""))))+IF($W$1="",0,N(ISNUMBER(SEARCH($W$1,Database!$AC414&amp;""))))+IF($X$1="",0,N(ISNUMBER(SEARCH($X$1,Database!$AC414&amp;""))))+IF($Y$1="",0,N(ISNUMBER(SEARCH($Y$1,Database!$AC414&amp;""))))+IF(Screener!$B$17="",0,N(ISNUMBER(SEARCH(LOWER(Screener!$B$17),Database!$AC414&amp;""))))</f>
        <v/>
      </c>
      <c r="I414" s="220">
        <f>IF(OR(N(Database!$BH414)&lt;=0,N(Screener!$D$13)&lt;=0),0,MAX(0,1-ABS(LOG10(N(Database!$BH414)/Screener!$D$13))/W_PEHW))</f>
        <v/>
      </c>
      <c r="J414" s="220">
        <f>IF(OR(N(Database!$S414)&lt;=0,N(Screener!$D$14)&lt;=0),0,MAX(0,1-ABS(LOG10(Database!$S414/Screener!$D$14))/0.6))</f>
        <v/>
      </c>
      <c r="K414" s="220">
        <f>IF(Database!$B414=Screener!$B$5,-999999,IF(ISNUMBER(SEARCH(","&amp;Database!$A414&amp;",",","&amp;SUBSTITUTE(Screener!$D$17," ","")&amp;",")),2000000,IF(IF(OR(Screener!$B$18="All",AND(Screener!$B$18="With A-share",(Database!$BM414="Y")),AND(Screener!$B$18="Without A-share",NOT((Database!$BM414="Y")))),1,0)=0,-999999,IF(Screener!$B$16="cornerstone overlap first",H414*100000,IF(Screener!$B$16="demand-similar first",J414*100000,0))+W_SUB*B414+W_SEC*C414*(1-B414)+W_SIZE*D414+W_PROF*E414+W_AH*F414+W_REC*G414+W_CS*H414+W_PE*I414)))+ROW()/1000000</f>
        <v/>
      </c>
      <c r="AA414" s="220">
        <f>Database!B403</f>
        <v/>
      </c>
      <c r="AB414" s="220">
        <f>Database!D403</f>
        <v/>
      </c>
      <c r="AC414" s="220">
        <f>Database!E403</f>
        <v/>
      </c>
      <c r="AD414" s="220">
        <f>Database!I403</f>
        <v/>
      </c>
      <c r="AE414" s="220">
        <f>Database!BG403</f>
        <v/>
      </c>
      <c r="AF414" s="220">
        <f>Database!BM403</f>
        <v/>
      </c>
      <c r="AG414" s="220">
        <f>Database!H403</f>
        <v/>
      </c>
      <c r="AH414" s="220">
        <f>Database!BH403</f>
        <v/>
      </c>
    </row>
    <row r="415">
      <c r="A415" s="220">
        <f>Database!B415</f>
        <v/>
      </c>
      <c r="B415" s="220">
        <f>IF(AND(Screener!$D$8&lt;&gt;"",Database!$E415=Screener!$D$8),1,0)</f>
        <v/>
      </c>
      <c r="C415" s="220">
        <f>IF(AND(Screener!$D$7&lt;&gt;"",Database!$D415=Screener!$D$7),1,0)</f>
        <v/>
      </c>
      <c r="D415" s="220">
        <f>IF(OR(N(Database!$I415)&lt;=0,N(Screener!$D$9)&lt;=0),0,MAX(0,1-ABS(LOG10(N(Database!$I415)/Screener!$D$9))/W_SIZEHW))</f>
        <v/>
      </c>
      <c r="E415" s="220">
        <f>IF(OR(Database!$BG415="",Screener!$D$10=""),0,IF(Database!$BG415=Screener!$D$10,1,0))</f>
        <v/>
      </c>
      <c r="F415" s="220">
        <f>IF(OR(Database!$BM415="",Screener!$D$11=""),0,IF(Database!$BM415=Screener!$D$11,1,0))</f>
        <v/>
      </c>
      <c r="G415" s="220">
        <f>IF(OR(Database!$H415="",N(Screener!$D$12)&lt;=0),0,MAX(0,1-(N(Screener!$D$12)-Database!$H415)/W_RECD))</f>
        <v/>
      </c>
      <c r="H415" s="220">
        <f>IF($U$1="",0,N(ISNUMBER(SEARCH($U$1,Database!$AC415&amp;""))))+IF($V$1="",0,N(ISNUMBER(SEARCH($V$1,Database!$AC415&amp;""))))+IF($W$1="",0,N(ISNUMBER(SEARCH($W$1,Database!$AC415&amp;""))))+IF($X$1="",0,N(ISNUMBER(SEARCH($X$1,Database!$AC415&amp;""))))+IF($Y$1="",0,N(ISNUMBER(SEARCH($Y$1,Database!$AC415&amp;""))))+IF(Screener!$B$17="",0,N(ISNUMBER(SEARCH(LOWER(Screener!$B$17),Database!$AC415&amp;""))))</f>
        <v/>
      </c>
      <c r="I415" s="220">
        <f>IF(OR(N(Database!$BH415)&lt;=0,N(Screener!$D$13)&lt;=0),0,MAX(0,1-ABS(LOG10(N(Database!$BH415)/Screener!$D$13))/W_PEHW))</f>
        <v/>
      </c>
      <c r="J415" s="220">
        <f>IF(OR(N(Database!$S415)&lt;=0,N(Screener!$D$14)&lt;=0),0,MAX(0,1-ABS(LOG10(Database!$S415/Screener!$D$14))/0.6))</f>
        <v/>
      </c>
      <c r="K415" s="220">
        <f>IF(Database!$B415=Screener!$B$5,-999999,IF(ISNUMBER(SEARCH(","&amp;Database!$A415&amp;",",","&amp;SUBSTITUTE(Screener!$D$17," ","")&amp;",")),2000000,IF(IF(OR(Screener!$B$18="All",AND(Screener!$B$18="With A-share",(Database!$BM415="Y")),AND(Screener!$B$18="Without A-share",NOT((Database!$BM415="Y")))),1,0)=0,-999999,IF(Screener!$B$16="cornerstone overlap first",H415*100000,IF(Screener!$B$16="demand-similar first",J415*100000,0))+W_SUB*B415+W_SEC*C415*(1-B415)+W_SIZE*D415+W_PROF*E415+W_AH*F415+W_REC*G415+W_CS*H415+W_PE*I415)))+ROW()/1000000</f>
        <v/>
      </c>
      <c r="AA415" s="220">
        <f>Database!B404</f>
        <v/>
      </c>
      <c r="AB415" s="220">
        <f>Database!D404</f>
        <v/>
      </c>
      <c r="AC415" s="220">
        <f>Database!E404</f>
        <v/>
      </c>
      <c r="AD415" s="220">
        <f>Database!I404</f>
        <v/>
      </c>
      <c r="AE415" s="220">
        <f>Database!BG404</f>
        <v/>
      </c>
      <c r="AF415" s="220">
        <f>Database!BM404</f>
        <v/>
      </c>
      <c r="AG415" s="220">
        <f>Database!H404</f>
        <v/>
      </c>
      <c r="AH415" s="220">
        <f>Database!BH404</f>
        <v/>
      </c>
    </row>
    <row r="416">
      <c r="A416" s="220">
        <f>Database!B416</f>
        <v/>
      </c>
      <c r="B416" s="220">
        <f>IF(AND(Screener!$D$8&lt;&gt;"",Database!$E416=Screener!$D$8),1,0)</f>
        <v/>
      </c>
      <c r="C416" s="220">
        <f>IF(AND(Screener!$D$7&lt;&gt;"",Database!$D416=Screener!$D$7),1,0)</f>
        <v/>
      </c>
      <c r="D416" s="220">
        <f>IF(OR(N(Database!$I416)&lt;=0,N(Screener!$D$9)&lt;=0),0,MAX(0,1-ABS(LOG10(N(Database!$I416)/Screener!$D$9))/W_SIZEHW))</f>
        <v/>
      </c>
      <c r="E416" s="220">
        <f>IF(OR(Database!$BG416="",Screener!$D$10=""),0,IF(Database!$BG416=Screener!$D$10,1,0))</f>
        <v/>
      </c>
      <c r="F416" s="220">
        <f>IF(OR(Database!$BM416="",Screener!$D$11=""),0,IF(Database!$BM416=Screener!$D$11,1,0))</f>
        <v/>
      </c>
      <c r="G416" s="220">
        <f>IF(OR(Database!$H416="",N(Screener!$D$12)&lt;=0),0,MAX(0,1-(N(Screener!$D$12)-Database!$H416)/W_RECD))</f>
        <v/>
      </c>
      <c r="H416" s="220">
        <f>IF($U$1="",0,N(ISNUMBER(SEARCH($U$1,Database!$AC416&amp;""))))+IF($V$1="",0,N(ISNUMBER(SEARCH($V$1,Database!$AC416&amp;""))))+IF($W$1="",0,N(ISNUMBER(SEARCH($W$1,Database!$AC416&amp;""))))+IF($X$1="",0,N(ISNUMBER(SEARCH($X$1,Database!$AC416&amp;""))))+IF($Y$1="",0,N(ISNUMBER(SEARCH($Y$1,Database!$AC416&amp;""))))+IF(Screener!$B$17="",0,N(ISNUMBER(SEARCH(LOWER(Screener!$B$17),Database!$AC416&amp;""))))</f>
        <v/>
      </c>
      <c r="I416" s="220">
        <f>IF(OR(N(Database!$BH416)&lt;=0,N(Screener!$D$13)&lt;=0),0,MAX(0,1-ABS(LOG10(N(Database!$BH416)/Screener!$D$13))/W_PEHW))</f>
        <v/>
      </c>
      <c r="J416" s="220">
        <f>IF(OR(N(Database!$S416)&lt;=0,N(Screener!$D$14)&lt;=0),0,MAX(0,1-ABS(LOG10(Database!$S416/Screener!$D$14))/0.6))</f>
        <v/>
      </c>
      <c r="K416" s="220">
        <f>IF(Database!$B416=Screener!$B$5,-999999,IF(ISNUMBER(SEARCH(","&amp;Database!$A416&amp;",",","&amp;SUBSTITUTE(Screener!$D$17," ","")&amp;",")),2000000,IF(IF(OR(Screener!$B$18="All",AND(Screener!$B$18="With A-share",(Database!$BM416="Y")),AND(Screener!$B$18="Without A-share",NOT((Database!$BM416="Y")))),1,0)=0,-999999,IF(Screener!$B$16="cornerstone overlap first",H416*100000,IF(Screener!$B$16="demand-similar first",J416*100000,0))+W_SUB*B416+W_SEC*C416*(1-B416)+W_SIZE*D416+W_PROF*E416+W_AH*F416+W_REC*G416+W_CS*H416+W_PE*I416)))+ROW()/1000000</f>
        <v/>
      </c>
      <c r="AA416" s="220">
        <f>Database!B405</f>
        <v/>
      </c>
      <c r="AB416" s="220">
        <f>Database!D405</f>
        <v/>
      </c>
      <c r="AC416" s="220">
        <f>Database!E405</f>
        <v/>
      </c>
      <c r="AD416" s="220">
        <f>Database!I405</f>
        <v/>
      </c>
      <c r="AE416" s="220">
        <f>Database!BG405</f>
        <v/>
      </c>
      <c r="AF416" s="220">
        <f>Database!BM405</f>
        <v/>
      </c>
      <c r="AG416" s="220">
        <f>Database!H405</f>
        <v/>
      </c>
      <c r="AH416" s="220">
        <f>Database!BH405</f>
        <v/>
      </c>
    </row>
    <row r="417">
      <c r="A417" s="220">
        <f>Database!B417</f>
        <v/>
      </c>
      <c r="B417" s="220">
        <f>IF(AND(Screener!$D$8&lt;&gt;"",Database!$E417=Screener!$D$8),1,0)</f>
        <v/>
      </c>
      <c r="C417" s="220">
        <f>IF(AND(Screener!$D$7&lt;&gt;"",Database!$D417=Screener!$D$7),1,0)</f>
        <v/>
      </c>
      <c r="D417" s="220">
        <f>IF(OR(N(Database!$I417)&lt;=0,N(Screener!$D$9)&lt;=0),0,MAX(0,1-ABS(LOG10(N(Database!$I417)/Screener!$D$9))/W_SIZEHW))</f>
        <v/>
      </c>
      <c r="E417" s="220">
        <f>IF(OR(Database!$BG417="",Screener!$D$10=""),0,IF(Database!$BG417=Screener!$D$10,1,0))</f>
        <v/>
      </c>
      <c r="F417" s="220">
        <f>IF(OR(Database!$BM417="",Screener!$D$11=""),0,IF(Database!$BM417=Screener!$D$11,1,0))</f>
        <v/>
      </c>
      <c r="G417" s="220">
        <f>IF(OR(Database!$H417="",N(Screener!$D$12)&lt;=0),0,MAX(0,1-(N(Screener!$D$12)-Database!$H417)/W_RECD))</f>
        <v/>
      </c>
      <c r="H417" s="220">
        <f>IF($U$1="",0,N(ISNUMBER(SEARCH($U$1,Database!$AC417&amp;""))))+IF($V$1="",0,N(ISNUMBER(SEARCH($V$1,Database!$AC417&amp;""))))+IF($W$1="",0,N(ISNUMBER(SEARCH($W$1,Database!$AC417&amp;""))))+IF($X$1="",0,N(ISNUMBER(SEARCH($X$1,Database!$AC417&amp;""))))+IF($Y$1="",0,N(ISNUMBER(SEARCH($Y$1,Database!$AC417&amp;""))))+IF(Screener!$B$17="",0,N(ISNUMBER(SEARCH(LOWER(Screener!$B$17),Database!$AC417&amp;""))))</f>
        <v/>
      </c>
      <c r="I417" s="220">
        <f>IF(OR(N(Database!$BH417)&lt;=0,N(Screener!$D$13)&lt;=0),0,MAX(0,1-ABS(LOG10(N(Database!$BH417)/Screener!$D$13))/W_PEHW))</f>
        <v/>
      </c>
      <c r="J417" s="220">
        <f>IF(OR(N(Database!$S417)&lt;=0,N(Screener!$D$14)&lt;=0),0,MAX(0,1-ABS(LOG10(Database!$S417/Screener!$D$14))/0.6))</f>
        <v/>
      </c>
      <c r="K417" s="220">
        <f>IF(Database!$B417=Screener!$B$5,-999999,IF(ISNUMBER(SEARCH(","&amp;Database!$A417&amp;",",","&amp;SUBSTITUTE(Screener!$D$17," ","")&amp;",")),2000000,IF(IF(OR(Screener!$B$18="All",AND(Screener!$B$18="With A-share",(Database!$BM417="Y")),AND(Screener!$B$18="Without A-share",NOT((Database!$BM417="Y")))),1,0)=0,-999999,IF(Screener!$B$16="cornerstone overlap first",H417*100000,IF(Screener!$B$16="demand-similar first",J417*100000,0))+W_SUB*B417+W_SEC*C417*(1-B417)+W_SIZE*D417+W_PROF*E417+W_AH*F417+W_REC*G417+W_CS*H417+W_PE*I417)))+ROW()/1000000</f>
        <v/>
      </c>
      <c r="AA417" s="220">
        <f>Database!B406</f>
        <v/>
      </c>
      <c r="AB417" s="220">
        <f>Database!D406</f>
        <v/>
      </c>
      <c r="AC417" s="220">
        <f>Database!E406</f>
        <v/>
      </c>
      <c r="AD417" s="220">
        <f>Database!I406</f>
        <v/>
      </c>
      <c r="AE417" s="220">
        <f>Database!BG406</f>
        <v/>
      </c>
      <c r="AF417" s="220">
        <f>Database!BM406</f>
        <v/>
      </c>
      <c r="AG417" s="220">
        <f>Database!H406</f>
        <v/>
      </c>
      <c r="AH417" s="220">
        <f>Database!BH406</f>
        <v/>
      </c>
    </row>
    <row r="418">
      <c r="A418" s="220">
        <f>Database!B418</f>
        <v/>
      </c>
      <c r="B418" s="220">
        <f>IF(AND(Screener!$D$8&lt;&gt;"",Database!$E418=Screener!$D$8),1,0)</f>
        <v/>
      </c>
      <c r="C418" s="220">
        <f>IF(AND(Screener!$D$7&lt;&gt;"",Database!$D418=Screener!$D$7),1,0)</f>
        <v/>
      </c>
      <c r="D418" s="220">
        <f>IF(OR(N(Database!$I418)&lt;=0,N(Screener!$D$9)&lt;=0),0,MAX(0,1-ABS(LOG10(N(Database!$I418)/Screener!$D$9))/W_SIZEHW))</f>
        <v/>
      </c>
      <c r="E418" s="220">
        <f>IF(OR(Database!$BG418="",Screener!$D$10=""),0,IF(Database!$BG418=Screener!$D$10,1,0))</f>
        <v/>
      </c>
      <c r="F418" s="220">
        <f>IF(OR(Database!$BM418="",Screener!$D$11=""),0,IF(Database!$BM418=Screener!$D$11,1,0))</f>
        <v/>
      </c>
      <c r="G418" s="220">
        <f>IF(OR(Database!$H418="",N(Screener!$D$12)&lt;=0),0,MAX(0,1-(N(Screener!$D$12)-Database!$H418)/W_RECD))</f>
        <v/>
      </c>
      <c r="H418" s="220">
        <f>IF($U$1="",0,N(ISNUMBER(SEARCH($U$1,Database!$AC418&amp;""))))+IF($V$1="",0,N(ISNUMBER(SEARCH($V$1,Database!$AC418&amp;""))))+IF($W$1="",0,N(ISNUMBER(SEARCH($W$1,Database!$AC418&amp;""))))+IF($X$1="",0,N(ISNUMBER(SEARCH($X$1,Database!$AC418&amp;""))))+IF($Y$1="",0,N(ISNUMBER(SEARCH($Y$1,Database!$AC418&amp;""))))+IF(Screener!$B$17="",0,N(ISNUMBER(SEARCH(LOWER(Screener!$B$17),Database!$AC418&amp;""))))</f>
        <v/>
      </c>
      <c r="I418" s="220">
        <f>IF(OR(N(Database!$BH418)&lt;=0,N(Screener!$D$13)&lt;=0),0,MAX(0,1-ABS(LOG10(N(Database!$BH418)/Screener!$D$13))/W_PEHW))</f>
        <v/>
      </c>
      <c r="J418" s="220">
        <f>IF(OR(N(Database!$S418)&lt;=0,N(Screener!$D$14)&lt;=0),0,MAX(0,1-ABS(LOG10(Database!$S418/Screener!$D$14))/0.6))</f>
        <v/>
      </c>
      <c r="K418" s="220">
        <f>IF(Database!$B418=Screener!$B$5,-999999,IF(ISNUMBER(SEARCH(","&amp;Database!$A418&amp;",",","&amp;SUBSTITUTE(Screener!$D$17," ","")&amp;",")),2000000,IF(IF(OR(Screener!$B$18="All",AND(Screener!$B$18="With A-share",(Database!$BM418="Y")),AND(Screener!$B$18="Without A-share",NOT((Database!$BM418="Y")))),1,0)=0,-999999,IF(Screener!$B$16="cornerstone overlap first",H418*100000,IF(Screener!$B$16="demand-similar first",J418*100000,0))+W_SUB*B418+W_SEC*C418*(1-B418)+W_SIZE*D418+W_PROF*E418+W_AH*F418+W_REC*G418+W_CS*H418+W_PE*I418)))+ROW()/1000000</f>
        <v/>
      </c>
      <c r="AA418" s="220">
        <f>Database!B407</f>
        <v/>
      </c>
      <c r="AB418" s="220">
        <f>Database!D407</f>
        <v/>
      </c>
      <c r="AC418" s="220">
        <f>Database!E407</f>
        <v/>
      </c>
      <c r="AD418" s="220">
        <f>Database!I407</f>
        <v/>
      </c>
      <c r="AE418" s="220">
        <f>Database!BG407</f>
        <v/>
      </c>
      <c r="AF418" s="220">
        <f>Database!BM407</f>
        <v/>
      </c>
      <c r="AG418" s="220">
        <f>Database!H407</f>
        <v/>
      </c>
      <c r="AH418" s="220">
        <f>Database!BH407</f>
        <v/>
      </c>
    </row>
    <row r="419">
      <c r="A419" s="220">
        <f>Database!B419</f>
        <v/>
      </c>
      <c r="B419" s="220">
        <f>IF(AND(Screener!$D$8&lt;&gt;"",Database!$E419=Screener!$D$8),1,0)</f>
        <v/>
      </c>
      <c r="C419" s="220">
        <f>IF(AND(Screener!$D$7&lt;&gt;"",Database!$D419=Screener!$D$7),1,0)</f>
        <v/>
      </c>
      <c r="D419" s="220">
        <f>IF(OR(N(Database!$I419)&lt;=0,N(Screener!$D$9)&lt;=0),0,MAX(0,1-ABS(LOG10(N(Database!$I419)/Screener!$D$9))/W_SIZEHW))</f>
        <v/>
      </c>
      <c r="E419" s="220">
        <f>IF(OR(Database!$BG419="",Screener!$D$10=""),0,IF(Database!$BG419=Screener!$D$10,1,0))</f>
        <v/>
      </c>
      <c r="F419" s="220">
        <f>IF(OR(Database!$BM419="",Screener!$D$11=""),0,IF(Database!$BM419=Screener!$D$11,1,0))</f>
        <v/>
      </c>
      <c r="G419" s="220">
        <f>IF(OR(Database!$H419="",N(Screener!$D$12)&lt;=0),0,MAX(0,1-(N(Screener!$D$12)-Database!$H419)/W_RECD))</f>
        <v/>
      </c>
      <c r="H419" s="220">
        <f>IF($U$1="",0,N(ISNUMBER(SEARCH($U$1,Database!$AC419&amp;""))))+IF($V$1="",0,N(ISNUMBER(SEARCH($V$1,Database!$AC419&amp;""))))+IF($W$1="",0,N(ISNUMBER(SEARCH($W$1,Database!$AC419&amp;""))))+IF($X$1="",0,N(ISNUMBER(SEARCH($X$1,Database!$AC419&amp;""))))+IF($Y$1="",0,N(ISNUMBER(SEARCH($Y$1,Database!$AC419&amp;""))))+IF(Screener!$B$17="",0,N(ISNUMBER(SEARCH(LOWER(Screener!$B$17),Database!$AC419&amp;""))))</f>
        <v/>
      </c>
      <c r="I419" s="220">
        <f>IF(OR(N(Database!$BH419)&lt;=0,N(Screener!$D$13)&lt;=0),0,MAX(0,1-ABS(LOG10(N(Database!$BH419)/Screener!$D$13))/W_PEHW))</f>
        <v/>
      </c>
      <c r="J419" s="220">
        <f>IF(OR(N(Database!$S419)&lt;=0,N(Screener!$D$14)&lt;=0),0,MAX(0,1-ABS(LOG10(Database!$S419/Screener!$D$14))/0.6))</f>
        <v/>
      </c>
      <c r="K419" s="220">
        <f>IF(Database!$B419=Screener!$B$5,-999999,IF(ISNUMBER(SEARCH(","&amp;Database!$A419&amp;",",","&amp;SUBSTITUTE(Screener!$D$17," ","")&amp;",")),2000000,IF(IF(OR(Screener!$B$18="All",AND(Screener!$B$18="With A-share",(Database!$BM419="Y")),AND(Screener!$B$18="Without A-share",NOT((Database!$BM419="Y")))),1,0)=0,-999999,IF(Screener!$B$16="cornerstone overlap first",H419*100000,IF(Screener!$B$16="demand-similar first",J419*100000,0))+W_SUB*B419+W_SEC*C419*(1-B419)+W_SIZE*D419+W_PROF*E419+W_AH*F419+W_REC*G419+W_CS*H419+W_PE*I419)))+ROW()/1000000</f>
        <v/>
      </c>
      <c r="AA419" s="220">
        <f>Database!B408</f>
        <v/>
      </c>
      <c r="AB419" s="220">
        <f>Database!D408</f>
        <v/>
      </c>
      <c r="AC419" s="220">
        <f>Database!E408</f>
        <v/>
      </c>
      <c r="AD419" s="220">
        <f>Database!I408</f>
        <v/>
      </c>
      <c r="AE419" s="220">
        <f>Database!BG408</f>
        <v/>
      </c>
      <c r="AF419" s="220">
        <f>Database!BM408</f>
        <v/>
      </c>
      <c r="AG419" s="220">
        <f>Database!H408</f>
        <v/>
      </c>
      <c r="AH419" s="220">
        <f>Database!BH408</f>
        <v/>
      </c>
    </row>
    <row r="420">
      <c r="A420" s="220">
        <f>Database!B420</f>
        <v/>
      </c>
      <c r="B420" s="220">
        <f>IF(AND(Screener!$D$8&lt;&gt;"",Database!$E420=Screener!$D$8),1,0)</f>
        <v/>
      </c>
      <c r="C420" s="220">
        <f>IF(AND(Screener!$D$7&lt;&gt;"",Database!$D420=Screener!$D$7),1,0)</f>
        <v/>
      </c>
      <c r="D420" s="220">
        <f>IF(OR(N(Database!$I420)&lt;=0,N(Screener!$D$9)&lt;=0),0,MAX(0,1-ABS(LOG10(N(Database!$I420)/Screener!$D$9))/W_SIZEHW))</f>
        <v/>
      </c>
      <c r="E420" s="220">
        <f>IF(OR(Database!$BG420="",Screener!$D$10=""),0,IF(Database!$BG420=Screener!$D$10,1,0))</f>
        <v/>
      </c>
      <c r="F420" s="220">
        <f>IF(OR(Database!$BM420="",Screener!$D$11=""),0,IF(Database!$BM420=Screener!$D$11,1,0))</f>
        <v/>
      </c>
      <c r="G420" s="220">
        <f>IF(OR(Database!$H420="",N(Screener!$D$12)&lt;=0),0,MAX(0,1-(N(Screener!$D$12)-Database!$H420)/W_RECD))</f>
        <v/>
      </c>
      <c r="H420" s="220">
        <f>IF($U$1="",0,N(ISNUMBER(SEARCH($U$1,Database!$AC420&amp;""))))+IF($V$1="",0,N(ISNUMBER(SEARCH($V$1,Database!$AC420&amp;""))))+IF($W$1="",0,N(ISNUMBER(SEARCH($W$1,Database!$AC420&amp;""))))+IF($X$1="",0,N(ISNUMBER(SEARCH($X$1,Database!$AC420&amp;""))))+IF($Y$1="",0,N(ISNUMBER(SEARCH($Y$1,Database!$AC420&amp;""))))+IF(Screener!$B$17="",0,N(ISNUMBER(SEARCH(LOWER(Screener!$B$17),Database!$AC420&amp;""))))</f>
        <v/>
      </c>
      <c r="I420" s="220">
        <f>IF(OR(N(Database!$BH420)&lt;=0,N(Screener!$D$13)&lt;=0),0,MAX(0,1-ABS(LOG10(N(Database!$BH420)/Screener!$D$13))/W_PEHW))</f>
        <v/>
      </c>
      <c r="J420" s="220">
        <f>IF(OR(N(Database!$S420)&lt;=0,N(Screener!$D$14)&lt;=0),0,MAX(0,1-ABS(LOG10(Database!$S420/Screener!$D$14))/0.6))</f>
        <v/>
      </c>
      <c r="K420" s="220">
        <f>IF(Database!$B420=Screener!$B$5,-999999,IF(ISNUMBER(SEARCH(","&amp;Database!$A420&amp;",",","&amp;SUBSTITUTE(Screener!$D$17," ","")&amp;",")),2000000,IF(IF(OR(Screener!$B$18="All",AND(Screener!$B$18="With A-share",(Database!$BM420="Y")),AND(Screener!$B$18="Without A-share",NOT((Database!$BM420="Y")))),1,0)=0,-999999,IF(Screener!$B$16="cornerstone overlap first",H420*100000,IF(Screener!$B$16="demand-similar first",J420*100000,0))+W_SUB*B420+W_SEC*C420*(1-B420)+W_SIZE*D420+W_PROF*E420+W_AH*F420+W_REC*G420+W_CS*H420+W_PE*I420)))+ROW()/1000000</f>
        <v/>
      </c>
      <c r="AA420" s="220">
        <f>Database!B409</f>
        <v/>
      </c>
      <c r="AB420" s="220">
        <f>Database!D409</f>
        <v/>
      </c>
      <c r="AC420" s="220">
        <f>Database!E409</f>
        <v/>
      </c>
      <c r="AD420" s="220">
        <f>Database!I409</f>
        <v/>
      </c>
      <c r="AE420" s="220">
        <f>Database!BG409</f>
        <v/>
      </c>
      <c r="AF420" s="220">
        <f>Database!BM409</f>
        <v/>
      </c>
      <c r="AG420" s="220">
        <f>Database!H409</f>
        <v/>
      </c>
      <c r="AH420" s="220">
        <f>Database!BH409</f>
        <v/>
      </c>
    </row>
    <row r="421">
      <c r="A421" s="220">
        <f>Database!B421</f>
        <v/>
      </c>
      <c r="B421" s="220">
        <f>IF(AND(Screener!$D$8&lt;&gt;"",Database!$E421=Screener!$D$8),1,0)</f>
        <v/>
      </c>
      <c r="C421" s="220">
        <f>IF(AND(Screener!$D$7&lt;&gt;"",Database!$D421=Screener!$D$7),1,0)</f>
        <v/>
      </c>
      <c r="D421" s="220">
        <f>IF(OR(N(Database!$I421)&lt;=0,N(Screener!$D$9)&lt;=0),0,MAX(0,1-ABS(LOG10(N(Database!$I421)/Screener!$D$9))/W_SIZEHW))</f>
        <v/>
      </c>
      <c r="E421" s="220">
        <f>IF(OR(Database!$BG421="",Screener!$D$10=""),0,IF(Database!$BG421=Screener!$D$10,1,0))</f>
        <v/>
      </c>
      <c r="F421" s="220">
        <f>IF(OR(Database!$BM421="",Screener!$D$11=""),0,IF(Database!$BM421=Screener!$D$11,1,0))</f>
        <v/>
      </c>
      <c r="G421" s="220">
        <f>IF(OR(Database!$H421="",N(Screener!$D$12)&lt;=0),0,MAX(0,1-(N(Screener!$D$12)-Database!$H421)/W_RECD))</f>
        <v/>
      </c>
      <c r="H421" s="220">
        <f>IF($U$1="",0,N(ISNUMBER(SEARCH($U$1,Database!$AC421&amp;""))))+IF($V$1="",0,N(ISNUMBER(SEARCH($V$1,Database!$AC421&amp;""))))+IF($W$1="",0,N(ISNUMBER(SEARCH($W$1,Database!$AC421&amp;""))))+IF($X$1="",0,N(ISNUMBER(SEARCH($X$1,Database!$AC421&amp;""))))+IF($Y$1="",0,N(ISNUMBER(SEARCH($Y$1,Database!$AC421&amp;""))))+IF(Screener!$B$17="",0,N(ISNUMBER(SEARCH(LOWER(Screener!$B$17),Database!$AC421&amp;""))))</f>
        <v/>
      </c>
      <c r="I421" s="220">
        <f>IF(OR(N(Database!$BH421)&lt;=0,N(Screener!$D$13)&lt;=0),0,MAX(0,1-ABS(LOG10(N(Database!$BH421)/Screener!$D$13))/W_PEHW))</f>
        <v/>
      </c>
      <c r="J421" s="220">
        <f>IF(OR(N(Database!$S421)&lt;=0,N(Screener!$D$14)&lt;=0),0,MAX(0,1-ABS(LOG10(Database!$S421/Screener!$D$14))/0.6))</f>
        <v/>
      </c>
      <c r="K421" s="220">
        <f>IF(Database!$B421=Screener!$B$5,-999999,IF(ISNUMBER(SEARCH(","&amp;Database!$A421&amp;",",","&amp;SUBSTITUTE(Screener!$D$17," ","")&amp;",")),2000000,IF(IF(OR(Screener!$B$18="All",AND(Screener!$B$18="With A-share",(Database!$BM421="Y")),AND(Screener!$B$18="Without A-share",NOT((Database!$BM421="Y")))),1,0)=0,-999999,IF(Screener!$B$16="cornerstone overlap first",H421*100000,IF(Screener!$B$16="demand-similar first",J421*100000,0))+W_SUB*B421+W_SEC*C421*(1-B421)+W_SIZE*D421+W_PROF*E421+W_AH*F421+W_REC*G421+W_CS*H421+W_PE*I421)))+ROW()/1000000</f>
        <v/>
      </c>
      <c r="AA421" s="220">
        <f>Database!B410</f>
        <v/>
      </c>
      <c r="AB421" s="220">
        <f>Database!D410</f>
        <v/>
      </c>
      <c r="AC421" s="220">
        <f>Database!E410</f>
        <v/>
      </c>
      <c r="AD421" s="220">
        <f>Database!I410</f>
        <v/>
      </c>
      <c r="AE421" s="220">
        <f>Database!BG410</f>
        <v/>
      </c>
      <c r="AF421" s="220">
        <f>Database!BM410</f>
        <v/>
      </c>
      <c r="AG421" s="220">
        <f>Database!H410</f>
        <v/>
      </c>
      <c r="AH421" s="220">
        <f>Database!BH410</f>
        <v/>
      </c>
    </row>
    <row r="422">
      <c r="A422" s="220">
        <f>Database!B422</f>
        <v/>
      </c>
      <c r="B422" s="220">
        <f>IF(AND(Screener!$D$8&lt;&gt;"",Database!$E422=Screener!$D$8),1,0)</f>
        <v/>
      </c>
      <c r="C422" s="220">
        <f>IF(AND(Screener!$D$7&lt;&gt;"",Database!$D422=Screener!$D$7),1,0)</f>
        <v/>
      </c>
      <c r="D422" s="220">
        <f>IF(OR(N(Database!$I422)&lt;=0,N(Screener!$D$9)&lt;=0),0,MAX(0,1-ABS(LOG10(N(Database!$I422)/Screener!$D$9))/W_SIZEHW))</f>
        <v/>
      </c>
      <c r="E422" s="220">
        <f>IF(OR(Database!$BG422="",Screener!$D$10=""),0,IF(Database!$BG422=Screener!$D$10,1,0))</f>
        <v/>
      </c>
      <c r="F422" s="220">
        <f>IF(OR(Database!$BM422="",Screener!$D$11=""),0,IF(Database!$BM422=Screener!$D$11,1,0))</f>
        <v/>
      </c>
      <c r="G422" s="220">
        <f>IF(OR(Database!$H422="",N(Screener!$D$12)&lt;=0),0,MAX(0,1-(N(Screener!$D$12)-Database!$H422)/W_RECD))</f>
        <v/>
      </c>
      <c r="H422" s="220">
        <f>IF($U$1="",0,N(ISNUMBER(SEARCH($U$1,Database!$AC422&amp;""))))+IF($V$1="",0,N(ISNUMBER(SEARCH($V$1,Database!$AC422&amp;""))))+IF($W$1="",0,N(ISNUMBER(SEARCH($W$1,Database!$AC422&amp;""))))+IF($X$1="",0,N(ISNUMBER(SEARCH($X$1,Database!$AC422&amp;""))))+IF($Y$1="",0,N(ISNUMBER(SEARCH($Y$1,Database!$AC422&amp;""))))+IF(Screener!$B$17="",0,N(ISNUMBER(SEARCH(LOWER(Screener!$B$17),Database!$AC422&amp;""))))</f>
        <v/>
      </c>
      <c r="I422" s="220">
        <f>IF(OR(N(Database!$BH422)&lt;=0,N(Screener!$D$13)&lt;=0),0,MAX(0,1-ABS(LOG10(N(Database!$BH422)/Screener!$D$13))/W_PEHW))</f>
        <v/>
      </c>
      <c r="J422" s="220">
        <f>IF(OR(N(Database!$S422)&lt;=0,N(Screener!$D$14)&lt;=0),0,MAX(0,1-ABS(LOG10(Database!$S422/Screener!$D$14))/0.6))</f>
        <v/>
      </c>
      <c r="K422" s="220">
        <f>IF(Database!$B422=Screener!$B$5,-999999,IF(ISNUMBER(SEARCH(","&amp;Database!$A422&amp;",",","&amp;SUBSTITUTE(Screener!$D$17," ","")&amp;",")),2000000,IF(IF(OR(Screener!$B$18="All",AND(Screener!$B$18="With A-share",(Database!$BM422="Y")),AND(Screener!$B$18="Without A-share",NOT((Database!$BM422="Y")))),1,0)=0,-999999,IF(Screener!$B$16="cornerstone overlap first",H422*100000,IF(Screener!$B$16="demand-similar first",J422*100000,0))+W_SUB*B422+W_SEC*C422*(1-B422)+W_SIZE*D422+W_PROF*E422+W_AH*F422+W_REC*G422+W_CS*H422+W_PE*I422)))+ROW()/1000000</f>
        <v/>
      </c>
      <c r="AA422" s="220">
        <f>Database!B411</f>
        <v/>
      </c>
      <c r="AB422" s="220">
        <f>Database!D411</f>
        <v/>
      </c>
      <c r="AC422" s="220">
        <f>Database!E411</f>
        <v/>
      </c>
      <c r="AD422" s="220">
        <f>Database!I411</f>
        <v/>
      </c>
      <c r="AE422" s="220">
        <f>Database!BG411</f>
        <v/>
      </c>
      <c r="AF422" s="220">
        <f>Database!BM411</f>
        <v/>
      </c>
      <c r="AG422" s="220">
        <f>Database!H411</f>
        <v/>
      </c>
      <c r="AH422" s="220">
        <f>Database!BH411</f>
        <v/>
      </c>
    </row>
    <row r="423">
      <c r="A423" s="220">
        <f>Database!B423</f>
        <v/>
      </c>
      <c r="B423" s="220">
        <f>IF(AND(Screener!$D$8&lt;&gt;"",Database!$E423=Screener!$D$8),1,0)</f>
        <v/>
      </c>
      <c r="C423" s="220">
        <f>IF(AND(Screener!$D$7&lt;&gt;"",Database!$D423=Screener!$D$7),1,0)</f>
        <v/>
      </c>
      <c r="D423" s="220">
        <f>IF(OR(N(Database!$I423)&lt;=0,N(Screener!$D$9)&lt;=0),0,MAX(0,1-ABS(LOG10(N(Database!$I423)/Screener!$D$9))/W_SIZEHW))</f>
        <v/>
      </c>
      <c r="E423" s="220">
        <f>IF(OR(Database!$BG423="",Screener!$D$10=""),0,IF(Database!$BG423=Screener!$D$10,1,0))</f>
        <v/>
      </c>
      <c r="F423" s="220">
        <f>IF(OR(Database!$BM423="",Screener!$D$11=""),0,IF(Database!$BM423=Screener!$D$11,1,0))</f>
        <v/>
      </c>
      <c r="G423" s="220">
        <f>IF(OR(Database!$H423="",N(Screener!$D$12)&lt;=0),0,MAX(0,1-(N(Screener!$D$12)-Database!$H423)/W_RECD))</f>
        <v/>
      </c>
      <c r="H423" s="220">
        <f>IF($U$1="",0,N(ISNUMBER(SEARCH($U$1,Database!$AC423&amp;""))))+IF($V$1="",0,N(ISNUMBER(SEARCH($V$1,Database!$AC423&amp;""))))+IF($W$1="",0,N(ISNUMBER(SEARCH($W$1,Database!$AC423&amp;""))))+IF($X$1="",0,N(ISNUMBER(SEARCH($X$1,Database!$AC423&amp;""))))+IF($Y$1="",0,N(ISNUMBER(SEARCH($Y$1,Database!$AC423&amp;""))))+IF(Screener!$B$17="",0,N(ISNUMBER(SEARCH(LOWER(Screener!$B$17),Database!$AC423&amp;""))))</f>
        <v/>
      </c>
      <c r="I423" s="220">
        <f>IF(OR(N(Database!$BH423)&lt;=0,N(Screener!$D$13)&lt;=0),0,MAX(0,1-ABS(LOG10(N(Database!$BH423)/Screener!$D$13))/W_PEHW))</f>
        <v/>
      </c>
      <c r="J423" s="220">
        <f>IF(OR(N(Database!$S423)&lt;=0,N(Screener!$D$14)&lt;=0),0,MAX(0,1-ABS(LOG10(Database!$S423/Screener!$D$14))/0.6))</f>
        <v/>
      </c>
      <c r="K423" s="220">
        <f>IF(Database!$B423=Screener!$B$5,-999999,IF(ISNUMBER(SEARCH(","&amp;Database!$A423&amp;",",","&amp;SUBSTITUTE(Screener!$D$17," ","")&amp;",")),2000000,IF(IF(OR(Screener!$B$18="All",AND(Screener!$B$18="With A-share",(Database!$BM423="Y")),AND(Screener!$B$18="Without A-share",NOT((Database!$BM423="Y")))),1,0)=0,-999999,IF(Screener!$B$16="cornerstone overlap first",H423*100000,IF(Screener!$B$16="demand-similar first",J423*100000,0))+W_SUB*B423+W_SEC*C423*(1-B423)+W_SIZE*D423+W_PROF*E423+W_AH*F423+W_REC*G423+W_CS*H423+W_PE*I423)))+ROW()/1000000</f>
        <v/>
      </c>
      <c r="AA423" s="220">
        <f>Database!B412</f>
        <v/>
      </c>
      <c r="AB423" s="220">
        <f>Database!D412</f>
        <v/>
      </c>
      <c r="AC423" s="220">
        <f>Database!E412</f>
        <v/>
      </c>
      <c r="AD423" s="220">
        <f>Database!I412</f>
        <v/>
      </c>
      <c r="AE423" s="220">
        <f>Database!BG412</f>
        <v/>
      </c>
      <c r="AF423" s="220">
        <f>Database!BM412</f>
        <v/>
      </c>
      <c r="AG423" s="220">
        <f>Database!H412</f>
        <v/>
      </c>
      <c r="AH423" s="220">
        <f>Database!BH412</f>
        <v/>
      </c>
    </row>
    <row r="424">
      <c r="A424" s="220">
        <f>Database!B424</f>
        <v/>
      </c>
      <c r="B424" s="220">
        <f>IF(AND(Screener!$D$8&lt;&gt;"",Database!$E424=Screener!$D$8),1,0)</f>
        <v/>
      </c>
      <c r="C424" s="220">
        <f>IF(AND(Screener!$D$7&lt;&gt;"",Database!$D424=Screener!$D$7),1,0)</f>
        <v/>
      </c>
      <c r="D424" s="220">
        <f>IF(OR(N(Database!$I424)&lt;=0,N(Screener!$D$9)&lt;=0),0,MAX(0,1-ABS(LOG10(N(Database!$I424)/Screener!$D$9))/W_SIZEHW))</f>
        <v/>
      </c>
      <c r="E424" s="220">
        <f>IF(OR(Database!$BG424="",Screener!$D$10=""),0,IF(Database!$BG424=Screener!$D$10,1,0))</f>
        <v/>
      </c>
      <c r="F424" s="220">
        <f>IF(OR(Database!$BM424="",Screener!$D$11=""),0,IF(Database!$BM424=Screener!$D$11,1,0))</f>
        <v/>
      </c>
      <c r="G424" s="220">
        <f>IF(OR(Database!$H424="",N(Screener!$D$12)&lt;=0),0,MAX(0,1-(N(Screener!$D$12)-Database!$H424)/W_RECD))</f>
        <v/>
      </c>
      <c r="H424" s="220">
        <f>IF($U$1="",0,N(ISNUMBER(SEARCH($U$1,Database!$AC424&amp;""))))+IF($V$1="",0,N(ISNUMBER(SEARCH($V$1,Database!$AC424&amp;""))))+IF($W$1="",0,N(ISNUMBER(SEARCH($W$1,Database!$AC424&amp;""))))+IF($X$1="",0,N(ISNUMBER(SEARCH($X$1,Database!$AC424&amp;""))))+IF($Y$1="",0,N(ISNUMBER(SEARCH($Y$1,Database!$AC424&amp;""))))+IF(Screener!$B$17="",0,N(ISNUMBER(SEARCH(LOWER(Screener!$B$17),Database!$AC424&amp;""))))</f>
        <v/>
      </c>
      <c r="I424" s="220">
        <f>IF(OR(N(Database!$BH424)&lt;=0,N(Screener!$D$13)&lt;=0),0,MAX(0,1-ABS(LOG10(N(Database!$BH424)/Screener!$D$13))/W_PEHW))</f>
        <v/>
      </c>
      <c r="J424" s="220">
        <f>IF(OR(N(Database!$S424)&lt;=0,N(Screener!$D$14)&lt;=0),0,MAX(0,1-ABS(LOG10(Database!$S424/Screener!$D$14))/0.6))</f>
        <v/>
      </c>
      <c r="K424" s="220">
        <f>IF(Database!$B424=Screener!$B$5,-999999,IF(ISNUMBER(SEARCH(","&amp;Database!$A424&amp;",",","&amp;SUBSTITUTE(Screener!$D$17," ","")&amp;",")),2000000,IF(IF(OR(Screener!$B$18="All",AND(Screener!$B$18="With A-share",(Database!$BM424="Y")),AND(Screener!$B$18="Without A-share",NOT((Database!$BM424="Y")))),1,0)=0,-999999,IF(Screener!$B$16="cornerstone overlap first",H424*100000,IF(Screener!$B$16="demand-similar first",J424*100000,0))+W_SUB*B424+W_SEC*C424*(1-B424)+W_SIZE*D424+W_PROF*E424+W_AH*F424+W_REC*G424+W_CS*H424+W_PE*I424)))+ROW()/1000000</f>
        <v/>
      </c>
      <c r="AA424" s="220">
        <f>Database!B413</f>
        <v/>
      </c>
      <c r="AB424" s="220">
        <f>Database!D413</f>
        <v/>
      </c>
      <c r="AC424" s="220">
        <f>Database!E413</f>
        <v/>
      </c>
      <c r="AD424" s="220">
        <f>Database!I413</f>
        <v/>
      </c>
      <c r="AE424" s="220">
        <f>Database!BG413</f>
        <v/>
      </c>
      <c r="AF424" s="220">
        <f>Database!BM413</f>
        <v/>
      </c>
      <c r="AG424" s="220">
        <f>Database!H413</f>
        <v/>
      </c>
      <c r="AH424" s="220">
        <f>Database!BH413</f>
        <v/>
      </c>
    </row>
    <row r="425">
      <c r="A425" s="220">
        <f>Database!B425</f>
        <v/>
      </c>
      <c r="B425" s="220">
        <f>IF(AND(Screener!$D$8&lt;&gt;"",Database!$E425=Screener!$D$8),1,0)</f>
        <v/>
      </c>
      <c r="C425" s="220">
        <f>IF(AND(Screener!$D$7&lt;&gt;"",Database!$D425=Screener!$D$7),1,0)</f>
        <v/>
      </c>
      <c r="D425" s="220">
        <f>IF(OR(N(Database!$I425)&lt;=0,N(Screener!$D$9)&lt;=0),0,MAX(0,1-ABS(LOG10(N(Database!$I425)/Screener!$D$9))/W_SIZEHW))</f>
        <v/>
      </c>
      <c r="E425" s="220">
        <f>IF(OR(Database!$BG425="",Screener!$D$10=""),0,IF(Database!$BG425=Screener!$D$10,1,0))</f>
        <v/>
      </c>
      <c r="F425" s="220">
        <f>IF(OR(Database!$BM425="",Screener!$D$11=""),0,IF(Database!$BM425=Screener!$D$11,1,0))</f>
        <v/>
      </c>
      <c r="G425" s="220">
        <f>IF(OR(Database!$H425="",N(Screener!$D$12)&lt;=0),0,MAX(0,1-(N(Screener!$D$12)-Database!$H425)/W_RECD))</f>
        <v/>
      </c>
      <c r="H425" s="220">
        <f>IF($U$1="",0,N(ISNUMBER(SEARCH($U$1,Database!$AC425&amp;""))))+IF($V$1="",0,N(ISNUMBER(SEARCH($V$1,Database!$AC425&amp;""))))+IF($W$1="",0,N(ISNUMBER(SEARCH($W$1,Database!$AC425&amp;""))))+IF($X$1="",0,N(ISNUMBER(SEARCH($X$1,Database!$AC425&amp;""))))+IF($Y$1="",0,N(ISNUMBER(SEARCH($Y$1,Database!$AC425&amp;""))))+IF(Screener!$B$17="",0,N(ISNUMBER(SEARCH(LOWER(Screener!$B$17),Database!$AC425&amp;""))))</f>
        <v/>
      </c>
      <c r="I425" s="220">
        <f>IF(OR(N(Database!$BH425)&lt;=0,N(Screener!$D$13)&lt;=0),0,MAX(0,1-ABS(LOG10(N(Database!$BH425)/Screener!$D$13))/W_PEHW))</f>
        <v/>
      </c>
      <c r="J425" s="220">
        <f>IF(OR(N(Database!$S425)&lt;=0,N(Screener!$D$14)&lt;=0),0,MAX(0,1-ABS(LOG10(Database!$S425/Screener!$D$14))/0.6))</f>
        <v/>
      </c>
      <c r="K425" s="220">
        <f>IF(Database!$B425=Screener!$B$5,-999999,IF(ISNUMBER(SEARCH(","&amp;Database!$A425&amp;",",","&amp;SUBSTITUTE(Screener!$D$17," ","")&amp;",")),2000000,IF(IF(OR(Screener!$B$18="All",AND(Screener!$B$18="With A-share",(Database!$BM425="Y")),AND(Screener!$B$18="Without A-share",NOT((Database!$BM425="Y")))),1,0)=0,-999999,IF(Screener!$B$16="cornerstone overlap first",H425*100000,IF(Screener!$B$16="demand-similar first",J425*100000,0))+W_SUB*B425+W_SEC*C425*(1-B425)+W_SIZE*D425+W_PROF*E425+W_AH*F425+W_REC*G425+W_CS*H425+W_PE*I425)))+ROW()/1000000</f>
        <v/>
      </c>
      <c r="AA425" s="220">
        <f>Database!B414</f>
        <v/>
      </c>
      <c r="AB425" s="220">
        <f>Database!D414</f>
        <v/>
      </c>
      <c r="AC425" s="220">
        <f>Database!E414</f>
        <v/>
      </c>
      <c r="AD425" s="220">
        <f>Database!I414</f>
        <v/>
      </c>
      <c r="AE425" s="220">
        <f>Database!BG414</f>
        <v/>
      </c>
      <c r="AF425" s="220">
        <f>Database!BM414</f>
        <v/>
      </c>
      <c r="AG425" s="220">
        <f>Database!H414</f>
        <v/>
      </c>
      <c r="AH425" s="220">
        <f>Database!BH414</f>
        <v/>
      </c>
    </row>
    <row r="426">
      <c r="A426" s="220">
        <f>Database!B426</f>
        <v/>
      </c>
      <c r="B426" s="220">
        <f>IF(AND(Screener!$D$8&lt;&gt;"",Database!$E426=Screener!$D$8),1,0)</f>
        <v/>
      </c>
      <c r="C426" s="220">
        <f>IF(AND(Screener!$D$7&lt;&gt;"",Database!$D426=Screener!$D$7),1,0)</f>
        <v/>
      </c>
      <c r="D426" s="220">
        <f>IF(OR(N(Database!$I426)&lt;=0,N(Screener!$D$9)&lt;=0),0,MAX(0,1-ABS(LOG10(N(Database!$I426)/Screener!$D$9))/W_SIZEHW))</f>
        <v/>
      </c>
      <c r="E426" s="220">
        <f>IF(OR(Database!$BG426="",Screener!$D$10=""),0,IF(Database!$BG426=Screener!$D$10,1,0))</f>
        <v/>
      </c>
      <c r="F426" s="220">
        <f>IF(OR(Database!$BM426="",Screener!$D$11=""),0,IF(Database!$BM426=Screener!$D$11,1,0))</f>
        <v/>
      </c>
      <c r="G426" s="220">
        <f>IF(OR(Database!$H426="",N(Screener!$D$12)&lt;=0),0,MAX(0,1-(N(Screener!$D$12)-Database!$H426)/W_RECD))</f>
        <v/>
      </c>
      <c r="H426" s="220">
        <f>IF($U$1="",0,N(ISNUMBER(SEARCH($U$1,Database!$AC426&amp;""))))+IF($V$1="",0,N(ISNUMBER(SEARCH($V$1,Database!$AC426&amp;""))))+IF($W$1="",0,N(ISNUMBER(SEARCH($W$1,Database!$AC426&amp;""))))+IF($X$1="",0,N(ISNUMBER(SEARCH($X$1,Database!$AC426&amp;""))))+IF($Y$1="",0,N(ISNUMBER(SEARCH($Y$1,Database!$AC426&amp;""))))+IF(Screener!$B$17="",0,N(ISNUMBER(SEARCH(LOWER(Screener!$B$17),Database!$AC426&amp;""))))</f>
        <v/>
      </c>
      <c r="I426" s="220">
        <f>IF(OR(N(Database!$BH426)&lt;=0,N(Screener!$D$13)&lt;=0),0,MAX(0,1-ABS(LOG10(N(Database!$BH426)/Screener!$D$13))/W_PEHW))</f>
        <v/>
      </c>
      <c r="J426" s="220">
        <f>IF(OR(N(Database!$S426)&lt;=0,N(Screener!$D$14)&lt;=0),0,MAX(0,1-ABS(LOG10(Database!$S426/Screener!$D$14))/0.6))</f>
        <v/>
      </c>
      <c r="K426" s="220">
        <f>IF(Database!$B426=Screener!$B$5,-999999,IF(ISNUMBER(SEARCH(","&amp;Database!$A426&amp;",",","&amp;SUBSTITUTE(Screener!$D$17," ","")&amp;",")),2000000,IF(IF(OR(Screener!$B$18="All",AND(Screener!$B$18="With A-share",(Database!$BM426="Y")),AND(Screener!$B$18="Without A-share",NOT((Database!$BM426="Y")))),1,0)=0,-999999,IF(Screener!$B$16="cornerstone overlap first",H426*100000,IF(Screener!$B$16="demand-similar first",J426*100000,0))+W_SUB*B426+W_SEC*C426*(1-B426)+W_SIZE*D426+W_PROF*E426+W_AH*F426+W_REC*G426+W_CS*H426+W_PE*I426)))+ROW()/1000000</f>
        <v/>
      </c>
      <c r="AA426" s="220">
        <f>Database!B415</f>
        <v/>
      </c>
      <c r="AB426" s="220">
        <f>Database!D415</f>
        <v/>
      </c>
      <c r="AC426" s="220">
        <f>Database!E415</f>
        <v/>
      </c>
      <c r="AD426" s="220">
        <f>Database!I415</f>
        <v/>
      </c>
      <c r="AE426" s="220">
        <f>Database!BG415</f>
        <v/>
      </c>
      <c r="AF426" s="220">
        <f>Database!BM415</f>
        <v/>
      </c>
      <c r="AG426" s="220">
        <f>Database!H415</f>
        <v/>
      </c>
      <c r="AH426" s="220">
        <f>Database!BH415</f>
        <v/>
      </c>
    </row>
    <row r="427">
      <c r="A427" s="220">
        <f>Database!B427</f>
        <v/>
      </c>
      <c r="B427" s="220">
        <f>IF(AND(Screener!$D$8&lt;&gt;"",Database!$E427=Screener!$D$8),1,0)</f>
        <v/>
      </c>
      <c r="C427" s="220">
        <f>IF(AND(Screener!$D$7&lt;&gt;"",Database!$D427=Screener!$D$7),1,0)</f>
        <v/>
      </c>
      <c r="D427" s="220">
        <f>IF(OR(N(Database!$I427)&lt;=0,N(Screener!$D$9)&lt;=0),0,MAX(0,1-ABS(LOG10(N(Database!$I427)/Screener!$D$9))/W_SIZEHW))</f>
        <v/>
      </c>
      <c r="E427" s="220">
        <f>IF(OR(Database!$BG427="",Screener!$D$10=""),0,IF(Database!$BG427=Screener!$D$10,1,0))</f>
        <v/>
      </c>
      <c r="F427" s="220">
        <f>IF(OR(Database!$BM427="",Screener!$D$11=""),0,IF(Database!$BM427=Screener!$D$11,1,0))</f>
        <v/>
      </c>
      <c r="G427" s="220">
        <f>IF(OR(Database!$H427="",N(Screener!$D$12)&lt;=0),0,MAX(0,1-(N(Screener!$D$12)-Database!$H427)/W_RECD))</f>
        <v/>
      </c>
      <c r="H427" s="220">
        <f>IF($U$1="",0,N(ISNUMBER(SEARCH($U$1,Database!$AC427&amp;""))))+IF($V$1="",0,N(ISNUMBER(SEARCH($V$1,Database!$AC427&amp;""))))+IF($W$1="",0,N(ISNUMBER(SEARCH($W$1,Database!$AC427&amp;""))))+IF($X$1="",0,N(ISNUMBER(SEARCH($X$1,Database!$AC427&amp;""))))+IF($Y$1="",0,N(ISNUMBER(SEARCH($Y$1,Database!$AC427&amp;""))))+IF(Screener!$B$17="",0,N(ISNUMBER(SEARCH(LOWER(Screener!$B$17),Database!$AC427&amp;""))))</f>
        <v/>
      </c>
      <c r="I427" s="220">
        <f>IF(OR(N(Database!$BH427)&lt;=0,N(Screener!$D$13)&lt;=0),0,MAX(0,1-ABS(LOG10(N(Database!$BH427)/Screener!$D$13))/W_PEHW))</f>
        <v/>
      </c>
      <c r="J427" s="220">
        <f>IF(OR(N(Database!$S427)&lt;=0,N(Screener!$D$14)&lt;=0),0,MAX(0,1-ABS(LOG10(Database!$S427/Screener!$D$14))/0.6))</f>
        <v/>
      </c>
      <c r="K427" s="220">
        <f>IF(Database!$B427=Screener!$B$5,-999999,IF(ISNUMBER(SEARCH(","&amp;Database!$A427&amp;",",","&amp;SUBSTITUTE(Screener!$D$17," ","")&amp;",")),2000000,IF(IF(OR(Screener!$B$18="All",AND(Screener!$B$18="With A-share",(Database!$BM427="Y")),AND(Screener!$B$18="Without A-share",NOT((Database!$BM427="Y")))),1,0)=0,-999999,IF(Screener!$B$16="cornerstone overlap first",H427*100000,IF(Screener!$B$16="demand-similar first",J427*100000,0))+W_SUB*B427+W_SEC*C427*(1-B427)+W_SIZE*D427+W_PROF*E427+W_AH*F427+W_REC*G427+W_CS*H427+W_PE*I427)))+ROW()/1000000</f>
        <v/>
      </c>
      <c r="AA427" s="220">
        <f>Database!B416</f>
        <v/>
      </c>
      <c r="AB427" s="220">
        <f>Database!D416</f>
        <v/>
      </c>
      <c r="AC427" s="220">
        <f>Database!E416</f>
        <v/>
      </c>
      <c r="AD427" s="220">
        <f>Database!I416</f>
        <v/>
      </c>
      <c r="AE427" s="220">
        <f>Database!BG416</f>
        <v/>
      </c>
      <c r="AF427" s="220">
        <f>Database!BM416</f>
        <v/>
      </c>
      <c r="AG427" s="220">
        <f>Database!H416</f>
        <v/>
      </c>
      <c r="AH427" s="220">
        <f>Database!BH416</f>
        <v/>
      </c>
    </row>
    <row r="428">
      <c r="A428" s="220">
        <f>Database!B428</f>
        <v/>
      </c>
      <c r="B428" s="220">
        <f>IF(AND(Screener!$D$8&lt;&gt;"",Database!$E428=Screener!$D$8),1,0)</f>
        <v/>
      </c>
      <c r="C428" s="220">
        <f>IF(AND(Screener!$D$7&lt;&gt;"",Database!$D428=Screener!$D$7),1,0)</f>
        <v/>
      </c>
      <c r="D428" s="220">
        <f>IF(OR(N(Database!$I428)&lt;=0,N(Screener!$D$9)&lt;=0),0,MAX(0,1-ABS(LOG10(N(Database!$I428)/Screener!$D$9))/W_SIZEHW))</f>
        <v/>
      </c>
      <c r="E428" s="220">
        <f>IF(OR(Database!$BG428="",Screener!$D$10=""),0,IF(Database!$BG428=Screener!$D$10,1,0))</f>
        <v/>
      </c>
      <c r="F428" s="220">
        <f>IF(OR(Database!$BM428="",Screener!$D$11=""),0,IF(Database!$BM428=Screener!$D$11,1,0))</f>
        <v/>
      </c>
      <c r="G428" s="220">
        <f>IF(OR(Database!$H428="",N(Screener!$D$12)&lt;=0),0,MAX(0,1-(N(Screener!$D$12)-Database!$H428)/W_RECD))</f>
        <v/>
      </c>
      <c r="H428" s="220">
        <f>IF($U$1="",0,N(ISNUMBER(SEARCH($U$1,Database!$AC428&amp;""))))+IF($V$1="",0,N(ISNUMBER(SEARCH($V$1,Database!$AC428&amp;""))))+IF($W$1="",0,N(ISNUMBER(SEARCH($W$1,Database!$AC428&amp;""))))+IF($X$1="",0,N(ISNUMBER(SEARCH($X$1,Database!$AC428&amp;""))))+IF($Y$1="",0,N(ISNUMBER(SEARCH($Y$1,Database!$AC428&amp;""))))+IF(Screener!$B$17="",0,N(ISNUMBER(SEARCH(LOWER(Screener!$B$17),Database!$AC428&amp;""))))</f>
        <v/>
      </c>
      <c r="I428" s="220">
        <f>IF(OR(N(Database!$BH428)&lt;=0,N(Screener!$D$13)&lt;=0),0,MAX(0,1-ABS(LOG10(N(Database!$BH428)/Screener!$D$13))/W_PEHW))</f>
        <v/>
      </c>
      <c r="J428" s="220">
        <f>IF(OR(N(Database!$S428)&lt;=0,N(Screener!$D$14)&lt;=0),0,MAX(0,1-ABS(LOG10(Database!$S428/Screener!$D$14))/0.6))</f>
        <v/>
      </c>
      <c r="K428" s="220">
        <f>IF(Database!$B428=Screener!$B$5,-999999,IF(ISNUMBER(SEARCH(","&amp;Database!$A428&amp;",",","&amp;SUBSTITUTE(Screener!$D$17," ","")&amp;",")),2000000,IF(IF(OR(Screener!$B$18="All",AND(Screener!$B$18="With A-share",(Database!$BM428="Y")),AND(Screener!$B$18="Without A-share",NOT((Database!$BM428="Y")))),1,0)=0,-999999,IF(Screener!$B$16="cornerstone overlap first",H428*100000,IF(Screener!$B$16="demand-similar first",J428*100000,0))+W_SUB*B428+W_SEC*C428*(1-B428)+W_SIZE*D428+W_PROF*E428+W_AH*F428+W_REC*G428+W_CS*H428+W_PE*I428)))+ROW()/1000000</f>
        <v/>
      </c>
      <c r="AA428" s="220">
        <f>Database!B417</f>
        <v/>
      </c>
      <c r="AB428" s="220">
        <f>Database!D417</f>
        <v/>
      </c>
      <c r="AC428" s="220">
        <f>Database!E417</f>
        <v/>
      </c>
      <c r="AD428" s="220">
        <f>Database!I417</f>
        <v/>
      </c>
      <c r="AE428" s="220">
        <f>Database!BG417</f>
        <v/>
      </c>
      <c r="AF428" s="220">
        <f>Database!BM417</f>
        <v/>
      </c>
      <c r="AG428" s="220">
        <f>Database!H417</f>
        <v/>
      </c>
      <c r="AH428" s="220">
        <f>Database!BH417</f>
        <v/>
      </c>
    </row>
    <row r="429">
      <c r="A429" s="220">
        <f>Database!B429</f>
        <v/>
      </c>
      <c r="B429" s="220">
        <f>IF(AND(Screener!$D$8&lt;&gt;"",Database!$E429=Screener!$D$8),1,0)</f>
        <v/>
      </c>
      <c r="C429" s="220">
        <f>IF(AND(Screener!$D$7&lt;&gt;"",Database!$D429=Screener!$D$7),1,0)</f>
        <v/>
      </c>
      <c r="D429" s="220">
        <f>IF(OR(N(Database!$I429)&lt;=0,N(Screener!$D$9)&lt;=0),0,MAX(0,1-ABS(LOG10(N(Database!$I429)/Screener!$D$9))/W_SIZEHW))</f>
        <v/>
      </c>
      <c r="E429" s="220">
        <f>IF(OR(Database!$BG429="",Screener!$D$10=""),0,IF(Database!$BG429=Screener!$D$10,1,0))</f>
        <v/>
      </c>
      <c r="F429" s="220">
        <f>IF(OR(Database!$BM429="",Screener!$D$11=""),0,IF(Database!$BM429=Screener!$D$11,1,0))</f>
        <v/>
      </c>
      <c r="G429" s="220">
        <f>IF(OR(Database!$H429="",N(Screener!$D$12)&lt;=0),0,MAX(0,1-(N(Screener!$D$12)-Database!$H429)/W_RECD))</f>
        <v/>
      </c>
      <c r="H429" s="220">
        <f>IF($U$1="",0,N(ISNUMBER(SEARCH($U$1,Database!$AC429&amp;""))))+IF($V$1="",0,N(ISNUMBER(SEARCH($V$1,Database!$AC429&amp;""))))+IF($W$1="",0,N(ISNUMBER(SEARCH($W$1,Database!$AC429&amp;""))))+IF($X$1="",0,N(ISNUMBER(SEARCH($X$1,Database!$AC429&amp;""))))+IF($Y$1="",0,N(ISNUMBER(SEARCH($Y$1,Database!$AC429&amp;""))))+IF(Screener!$B$17="",0,N(ISNUMBER(SEARCH(LOWER(Screener!$B$17),Database!$AC429&amp;""))))</f>
        <v/>
      </c>
      <c r="I429" s="220">
        <f>IF(OR(N(Database!$BH429)&lt;=0,N(Screener!$D$13)&lt;=0),0,MAX(0,1-ABS(LOG10(N(Database!$BH429)/Screener!$D$13))/W_PEHW))</f>
        <v/>
      </c>
      <c r="J429" s="220">
        <f>IF(OR(N(Database!$S429)&lt;=0,N(Screener!$D$14)&lt;=0),0,MAX(0,1-ABS(LOG10(Database!$S429/Screener!$D$14))/0.6))</f>
        <v/>
      </c>
      <c r="K429" s="220">
        <f>IF(Database!$B429=Screener!$B$5,-999999,IF(ISNUMBER(SEARCH(","&amp;Database!$A429&amp;",",","&amp;SUBSTITUTE(Screener!$D$17," ","")&amp;",")),2000000,IF(IF(OR(Screener!$B$18="All",AND(Screener!$B$18="With A-share",(Database!$BM429="Y")),AND(Screener!$B$18="Without A-share",NOT((Database!$BM429="Y")))),1,0)=0,-999999,IF(Screener!$B$16="cornerstone overlap first",H429*100000,IF(Screener!$B$16="demand-similar first",J429*100000,0))+W_SUB*B429+W_SEC*C429*(1-B429)+W_SIZE*D429+W_PROF*E429+W_AH*F429+W_REC*G429+W_CS*H429+W_PE*I429)))+ROW()/1000000</f>
        <v/>
      </c>
      <c r="AA429" s="220">
        <f>Database!B418</f>
        <v/>
      </c>
      <c r="AB429" s="220">
        <f>Database!D418</f>
        <v/>
      </c>
      <c r="AC429" s="220">
        <f>Database!E418</f>
        <v/>
      </c>
      <c r="AD429" s="220">
        <f>Database!I418</f>
        <v/>
      </c>
      <c r="AE429" s="220">
        <f>Database!BG418</f>
        <v/>
      </c>
      <c r="AF429" s="220">
        <f>Database!BM418</f>
        <v/>
      </c>
      <c r="AG429" s="220">
        <f>Database!H418</f>
        <v/>
      </c>
      <c r="AH429" s="220">
        <f>Database!BH418</f>
        <v/>
      </c>
    </row>
    <row r="430">
      <c r="A430" s="220">
        <f>Database!B430</f>
        <v/>
      </c>
      <c r="B430" s="220">
        <f>IF(AND(Screener!$D$8&lt;&gt;"",Database!$E430=Screener!$D$8),1,0)</f>
        <v/>
      </c>
      <c r="C430" s="220">
        <f>IF(AND(Screener!$D$7&lt;&gt;"",Database!$D430=Screener!$D$7),1,0)</f>
        <v/>
      </c>
      <c r="D430" s="220">
        <f>IF(OR(N(Database!$I430)&lt;=0,N(Screener!$D$9)&lt;=0),0,MAX(0,1-ABS(LOG10(N(Database!$I430)/Screener!$D$9))/W_SIZEHW))</f>
        <v/>
      </c>
      <c r="E430" s="220">
        <f>IF(OR(Database!$BG430="",Screener!$D$10=""),0,IF(Database!$BG430=Screener!$D$10,1,0))</f>
        <v/>
      </c>
      <c r="F430" s="220">
        <f>IF(OR(Database!$BM430="",Screener!$D$11=""),0,IF(Database!$BM430=Screener!$D$11,1,0))</f>
        <v/>
      </c>
      <c r="G430" s="220">
        <f>IF(OR(Database!$H430="",N(Screener!$D$12)&lt;=0),0,MAX(0,1-(N(Screener!$D$12)-Database!$H430)/W_RECD))</f>
        <v/>
      </c>
      <c r="H430" s="220">
        <f>IF($U$1="",0,N(ISNUMBER(SEARCH($U$1,Database!$AC430&amp;""))))+IF($V$1="",0,N(ISNUMBER(SEARCH($V$1,Database!$AC430&amp;""))))+IF($W$1="",0,N(ISNUMBER(SEARCH($W$1,Database!$AC430&amp;""))))+IF($X$1="",0,N(ISNUMBER(SEARCH($X$1,Database!$AC430&amp;""))))+IF($Y$1="",0,N(ISNUMBER(SEARCH($Y$1,Database!$AC430&amp;""))))+IF(Screener!$B$17="",0,N(ISNUMBER(SEARCH(LOWER(Screener!$B$17),Database!$AC430&amp;""))))</f>
        <v/>
      </c>
      <c r="I430" s="220">
        <f>IF(OR(N(Database!$BH430)&lt;=0,N(Screener!$D$13)&lt;=0),0,MAX(0,1-ABS(LOG10(N(Database!$BH430)/Screener!$D$13))/W_PEHW))</f>
        <v/>
      </c>
      <c r="J430" s="220">
        <f>IF(OR(N(Database!$S430)&lt;=0,N(Screener!$D$14)&lt;=0),0,MAX(0,1-ABS(LOG10(Database!$S430/Screener!$D$14))/0.6))</f>
        <v/>
      </c>
      <c r="K430" s="220">
        <f>IF(Database!$B430=Screener!$B$5,-999999,IF(ISNUMBER(SEARCH(","&amp;Database!$A430&amp;",",","&amp;SUBSTITUTE(Screener!$D$17," ","")&amp;",")),2000000,IF(IF(OR(Screener!$B$18="All",AND(Screener!$B$18="With A-share",(Database!$BM430="Y")),AND(Screener!$B$18="Without A-share",NOT((Database!$BM430="Y")))),1,0)=0,-999999,IF(Screener!$B$16="cornerstone overlap first",H430*100000,IF(Screener!$B$16="demand-similar first",J430*100000,0))+W_SUB*B430+W_SEC*C430*(1-B430)+W_SIZE*D430+W_PROF*E430+W_AH*F430+W_REC*G430+W_CS*H430+W_PE*I430)))+ROW()/1000000</f>
        <v/>
      </c>
      <c r="AA430" s="220">
        <f>Database!B419</f>
        <v/>
      </c>
      <c r="AB430" s="220">
        <f>Database!D419</f>
        <v/>
      </c>
      <c r="AC430" s="220">
        <f>Database!E419</f>
        <v/>
      </c>
      <c r="AD430" s="220">
        <f>Database!I419</f>
        <v/>
      </c>
      <c r="AE430" s="220">
        <f>Database!BG419</f>
        <v/>
      </c>
      <c r="AF430" s="220">
        <f>Database!BM419</f>
        <v/>
      </c>
      <c r="AG430" s="220">
        <f>Database!H419</f>
        <v/>
      </c>
      <c r="AH430" s="220">
        <f>Database!BH419</f>
        <v/>
      </c>
    </row>
    <row r="431">
      <c r="A431" s="220">
        <f>Database!B431</f>
        <v/>
      </c>
      <c r="B431" s="220">
        <f>IF(AND(Screener!$D$8&lt;&gt;"",Database!$E431=Screener!$D$8),1,0)</f>
        <v/>
      </c>
      <c r="C431" s="220">
        <f>IF(AND(Screener!$D$7&lt;&gt;"",Database!$D431=Screener!$D$7),1,0)</f>
        <v/>
      </c>
      <c r="D431" s="220">
        <f>IF(OR(N(Database!$I431)&lt;=0,N(Screener!$D$9)&lt;=0),0,MAX(0,1-ABS(LOG10(N(Database!$I431)/Screener!$D$9))/W_SIZEHW))</f>
        <v/>
      </c>
      <c r="E431" s="220">
        <f>IF(OR(Database!$BG431="",Screener!$D$10=""),0,IF(Database!$BG431=Screener!$D$10,1,0))</f>
        <v/>
      </c>
      <c r="F431" s="220">
        <f>IF(OR(Database!$BM431="",Screener!$D$11=""),0,IF(Database!$BM431=Screener!$D$11,1,0))</f>
        <v/>
      </c>
      <c r="G431" s="220">
        <f>IF(OR(Database!$H431="",N(Screener!$D$12)&lt;=0),0,MAX(0,1-(N(Screener!$D$12)-Database!$H431)/W_RECD))</f>
        <v/>
      </c>
      <c r="H431" s="220">
        <f>IF($U$1="",0,N(ISNUMBER(SEARCH($U$1,Database!$AC431&amp;""))))+IF($V$1="",0,N(ISNUMBER(SEARCH($V$1,Database!$AC431&amp;""))))+IF($W$1="",0,N(ISNUMBER(SEARCH($W$1,Database!$AC431&amp;""))))+IF($X$1="",0,N(ISNUMBER(SEARCH($X$1,Database!$AC431&amp;""))))+IF($Y$1="",0,N(ISNUMBER(SEARCH($Y$1,Database!$AC431&amp;""))))+IF(Screener!$B$17="",0,N(ISNUMBER(SEARCH(LOWER(Screener!$B$17),Database!$AC431&amp;""))))</f>
        <v/>
      </c>
      <c r="I431" s="220">
        <f>IF(OR(N(Database!$BH431)&lt;=0,N(Screener!$D$13)&lt;=0),0,MAX(0,1-ABS(LOG10(N(Database!$BH431)/Screener!$D$13))/W_PEHW))</f>
        <v/>
      </c>
      <c r="J431" s="220">
        <f>IF(OR(N(Database!$S431)&lt;=0,N(Screener!$D$14)&lt;=0),0,MAX(0,1-ABS(LOG10(Database!$S431/Screener!$D$14))/0.6))</f>
        <v/>
      </c>
      <c r="K431" s="220">
        <f>IF(Database!$B431=Screener!$B$5,-999999,IF(ISNUMBER(SEARCH(","&amp;Database!$A431&amp;",",","&amp;SUBSTITUTE(Screener!$D$17," ","")&amp;",")),2000000,IF(IF(OR(Screener!$B$18="All",AND(Screener!$B$18="With A-share",(Database!$BM431="Y")),AND(Screener!$B$18="Without A-share",NOT((Database!$BM431="Y")))),1,0)=0,-999999,IF(Screener!$B$16="cornerstone overlap first",H431*100000,IF(Screener!$B$16="demand-similar first",J431*100000,0))+W_SUB*B431+W_SEC*C431*(1-B431)+W_SIZE*D431+W_PROF*E431+W_AH*F431+W_REC*G431+W_CS*H431+W_PE*I431)))+ROW()/1000000</f>
        <v/>
      </c>
      <c r="AA431" s="220">
        <f>Database!B420</f>
        <v/>
      </c>
      <c r="AB431" s="220">
        <f>Database!D420</f>
        <v/>
      </c>
      <c r="AC431" s="220">
        <f>Database!E420</f>
        <v/>
      </c>
      <c r="AD431" s="220">
        <f>Database!I420</f>
        <v/>
      </c>
      <c r="AE431" s="220">
        <f>Database!BG420</f>
        <v/>
      </c>
      <c r="AF431" s="220">
        <f>Database!BM420</f>
        <v/>
      </c>
      <c r="AG431" s="220">
        <f>Database!H420</f>
        <v/>
      </c>
      <c r="AH431" s="220">
        <f>Database!BH420</f>
        <v/>
      </c>
    </row>
    <row r="432">
      <c r="A432" s="220">
        <f>Database!B432</f>
        <v/>
      </c>
      <c r="B432" s="220">
        <f>IF(AND(Screener!$D$8&lt;&gt;"",Database!$E432=Screener!$D$8),1,0)</f>
        <v/>
      </c>
      <c r="C432" s="220">
        <f>IF(AND(Screener!$D$7&lt;&gt;"",Database!$D432=Screener!$D$7),1,0)</f>
        <v/>
      </c>
      <c r="D432" s="220">
        <f>IF(OR(N(Database!$I432)&lt;=0,N(Screener!$D$9)&lt;=0),0,MAX(0,1-ABS(LOG10(N(Database!$I432)/Screener!$D$9))/W_SIZEHW))</f>
        <v/>
      </c>
      <c r="E432" s="220">
        <f>IF(OR(Database!$BG432="",Screener!$D$10=""),0,IF(Database!$BG432=Screener!$D$10,1,0))</f>
        <v/>
      </c>
      <c r="F432" s="220">
        <f>IF(OR(Database!$BM432="",Screener!$D$11=""),0,IF(Database!$BM432=Screener!$D$11,1,0))</f>
        <v/>
      </c>
      <c r="G432" s="220">
        <f>IF(OR(Database!$H432="",N(Screener!$D$12)&lt;=0),0,MAX(0,1-(N(Screener!$D$12)-Database!$H432)/W_RECD))</f>
        <v/>
      </c>
      <c r="H432" s="220">
        <f>IF($U$1="",0,N(ISNUMBER(SEARCH($U$1,Database!$AC432&amp;""))))+IF($V$1="",0,N(ISNUMBER(SEARCH($V$1,Database!$AC432&amp;""))))+IF($W$1="",0,N(ISNUMBER(SEARCH($W$1,Database!$AC432&amp;""))))+IF($X$1="",0,N(ISNUMBER(SEARCH($X$1,Database!$AC432&amp;""))))+IF($Y$1="",0,N(ISNUMBER(SEARCH($Y$1,Database!$AC432&amp;""))))+IF(Screener!$B$17="",0,N(ISNUMBER(SEARCH(LOWER(Screener!$B$17),Database!$AC432&amp;""))))</f>
        <v/>
      </c>
      <c r="I432" s="220">
        <f>IF(OR(N(Database!$BH432)&lt;=0,N(Screener!$D$13)&lt;=0),0,MAX(0,1-ABS(LOG10(N(Database!$BH432)/Screener!$D$13))/W_PEHW))</f>
        <v/>
      </c>
      <c r="J432" s="220">
        <f>IF(OR(N(Database!$S432)&lt;=0,N(Screener!$D$14)&lt;=0),0,MAX(0,1-ABS(LOG10(Database!$S432/Screener!$D$14))/0.6))</f>
        <v/>
      </c>
      <c r="K432" s="220">
        <f>IF(Database!$B432=Screener!$B$5,-999999,IF(ISNUMBER(SEARCH(","&amp;Database!$A432&amp;",",","&amp;SUBSTITUTE(Screener!$D$17," ","")&amp;",")),2000000,IF(IF(OR(Screener!$B$18="All",AND(Screener!$B$18="With A-share",(Database!$BM432="Y")),AND(Screener!$B$18="Without A-share",NOT((Database!$BM432="Y")))),1,0)=0,-999999,IF(Screener!$B$16="cornerstone overlap first",H432*100000,IF(Screener!$B$16="demand-similar first",J432*100000,0))+W_SUB*B432+W_SEC*C432*(1-B432)+W_SIZE*D432+W_PROF*E432+W_AH*F432+W_REC*G432+W_CS*H432+W_PE*I432)))+ROW()/1000000</f>
        <v/>
      </c>
      <c r="AA432" s="220">
        <f>Database!B421</f>
        <v/>
      </c>
      <c r="AB432" s="220">
        <f>Database!D421</f>
        <v/>
      </c>
      <c r="AC432" s="220">
        <f>Database!E421</f>
        <v/>
      </c>
      <c r="AD432" s="220">
        <f>Database!I421</f>
        <v/>
      </c>
      <c r="AE432" s="220">
        <f>Database!BG421</f>
        <v/>
      </c>
      <c r="AF432" s="220">
        <f>Database!BM421</f>
        <v/>
      </c>
      <c r="AG432" s="220">
        <f>Database!H421</f>
        <v/>
      </c>
      <c r="AH432" s="220">
        <f>Database!BH421</f>
        <v/>
      </c>
    </row>
    <row r="433">
      <c r="A433" s="220">
        <f>Database!B433</f>
        <v/>
      </c>
      <c r="B433" s="220">
        <f>IF(AND(Screener!$D$8&lt;&gt;"",Database!$E433=Screener!$D$8),1,0)</f>
        <v/>
      </c>
      <c r="C433" s="220">
        <f>IF(AND(Screener!$D$7&lt;&gt;"",Database!$D433=Screener!$D$7),1,0)</f>
        <v/>
      </c>
      <c r="D433" s="220">
        <f>IF(OR(N(Database!$I433)&lt;=0,N(Screener!$D$9)&lt;=0),0,MAX(0,1-ABS(LOG10(N(Database!$I433)/Screener!$D$9))/W_SIZEHW))</f>
        <v/>
      </c>
      <c r="E433" s="220">
        <f>IF(OR(Database!$BG433="",Screener!$D$10=""),0,IF(Database!$BG433=Screener!$D$10,1,0))</f>
        <v/>
      </c>
      <c r="F433" s="220">
        <f>IF(OR(Database!$BM433="",Screener!$D$11=""),0,IF(Database!$BM433=Screener!$D$11,1,0))</f>
        <v/>
      </c>
      <c r="G433" s="220">
        <f>IF(OR(Database!$H433="",N(Screener!$D$12)&lt;=0),0,MAX(0,1-(N(Screener!$D$12)-Database!$H433)/W_RECD))</f>
        <v/>
      </c>
      <c r="H433" s="220">
        <f>IF($U$1="",0,N(ISNUMBER(SEARCH($U$1,Database!$AC433&amp;""))))+IF($V$1="",0,N(ISNUMBER(SEARCH($V$1,Database!$AC433&amp;""))))+IF($W$1="",0,N(ISNUMBER(SEARCH($W$1,Database!$AC433&amp;""))))+IF($X$1="",0,N(ISNUMBER(SEARCH($X$1,Database!$AC433&amp;""))))+IF($Y$1="",0,N(ISNUMBER(SEARCH($Y$1,Database!$AC433&amp;""))))+IF(Screener!$B$17="",0,N(ISNUMBER(SEARCH(LOWER(Screener!$B$17),Database!$AC433&amp;""))))</f>
        <v/>
      </c>
      <c r="I433" s="220">
        <f>IF(OR(N(Database!$BH433)&lt;=0,N(Screener!$D$13)&lt;=0),0,MAX(0,1-ABS(LOG10(N(Database!$BH433)/Screener!$D$13))/W_PEHW))</f>
        <v/>
      </c>
      <c r="J433" s="220">
        <f>IF(OR(N(Database!$S433)&lt;=0,N(Screener!$D$14)&lt;=0),0,MAX(0,1-ABS(LOG10(Database!$S433/Screener!$D$14))/0.6))</f>
        <v/>
      </c>
      <c r="K433" s="220">
        <f>IF(Database!$B433=Screener!$B$5,-999999,IF(ISNUMBER(SEARCH(","&amp;Database!$A433&amp;",",","&amp;SUBSTITUTE(Screener!$D$17," ","")&amp;",")),2000000,IF(IF(OR(Screener!$B$18="All",AND(Screener!$B$18="With A-share",(Database!$BM433="Y")),AND(Screener!$B$18="Without A-share",NOT((Database!$BM433="Y")))),1,0)=0,-999999,IF(Screener!$B$16="cornerstone overlap first",H433*100000,IF(Screener!$B$16="demand-similar first",J433*100000,0))+W_SUB*B433+W_SEC*C433*(1-B433)+W_SIZE*D433+W_PROF*E433+W_AH*F433+W_REC*G433+W_CS*H433+W_PE*I433)))+ROW()/1000000</f>
        <v/>
      </c>
      <c r="AA433" s="220">
        <f>Database!B422</f>
        <v/>
      </c>
      <c r="AB433" s="220">
        <f>Database!D422</f>
        <v/>
      </c>
      <c r="AC433" s="220">
        <f>Database!E422</f>
        <v/>
      </c>
      <c r="AD433" s="220">
        <f>Database!I422</f>
        <v/>
      </c>
      <c r="AE433" s="220">
        <f>Database!BG422</f>
        <v/>
      </c>
      <c r="AF433" s="220">
        <f>Database!BM422</f>
        <v/>
      </c>
      <c r="AG433" s="220">
        <f>Database!H422</f>
        <v/>
      </c>
      <c r="AH433" s="220">
        <f>Database!BH422</f>
        <v/>
      </c>
    </row>
    <row r="434">
      <c r="A434" s="220">
        <f>Database!B434</f>
        <v/>
      </c>
      <c r="B434" s="220">
        <f>IF(AND(Screener!$D$8&lt;&gt;"",Database!$E434=Screener!$D$8),1,0)</f>
        <v/>
      </c>
      <c r="C434" s="220">
        <f>IF(AND(Screener!$D$7&lt;&gt;"",Database!$D434=Screener!$D$7),1,0)</f>
        <v/>
      </c>
      <c r="D434" s="220">
        <f>IF(OR(N(Database!$I434)&lt;=0,N(Screener!$D$9)&lt;=0),0,MAX(0,1-ABS(LOG10(N(Database!$I434)/Screener!$D$9))/W_SIZEHW))</f>
        <v/>
      </c>
      <c r="E434" s="220">
        <f>IF(OR(Database!$BG434="",Screener!$D$10=""),0,IF(Database!$BG434=Screener!$D$10,1,0))</f>
        <v/>
      </c>
      <c r="F434" s="220">
        <f>IF(OR(Database!$BM434="",Screener!$D$11=""),0,IF(Database!$BM434=Screener!$D$11,1,0))</f>
        <v/>
      </c>
      <c r="G434" s="220">
        <f>IF(OR(Database!$H434="",N(Screener!$D$12)&lt;=0),0,MAX(0,1-(N(Screener!$D$12)-Database!$H434)/W_RECD))</f>
        <v/>
      </c>
      <c r="H434" s="220">
        <f>IF($U$1="",0,N(ISNUMBER(SEARCH($U$1,Database!$AC434&amp;""))))+IF($V$1="",0,N(ISNUMBER(SEARCH($V$1,Database!$AC434&amp;""))))+IF($W$1="",0,N(ISNUMBER(SEARCH($W$1,Database!$AC434&amp;""))))+IF($X$1="",0,N(ISNUMBER(SEARCH($X$1,Database!$AC434&amp;""))))+IF($Y$1="",0,N(ISNUMBER(SEARCH($Y$1,Database!$AC434&amp;""))))+IF(Screener!$B$17="",0,N(ISNUMBER(SEARCH(LOWER(Screener!$B$17),Database!$AC434&amp;""))))</f>
        <v/>
      </c>
      <c r="I434" s="220">
        <f>IF(OR(N(Database!$BH434)&lt;=0,N(Screener!$D$13)&lt;=0),0,MAX(0,1-ABS(LOG10(N(Database!$BH434)/Screener!$D$13))/W_PEHW))</f>
        <v/>
      </c>
      <c r="J434" s="220">
        <f>IF(OR(N(Database!$S434)&lt;=0,N(Screener!$D$14)&lt;=0),0,MAX(0,1-ABS(LOG10(Database!$S434/Screener!$D$14))/0.6))</f>
        <v/>
      </c>
      <c r="K434" s="220">
        <f>IF(Database!$B434=Screener!$B$5,-999999,IF(ISNUMBER(SEARCH(","&amp;Database!$A434&amp;",",","&amp;SUBSTITUTE(Screener!$D$17," ","")&amp;",")),2000000,IF(IF(OR(Screener!$B$18="All",AND(Screener!$B$18="With A-share",(Database!$BM434="Y")),AND(Screener!$B$18="Without A-share",NOT((Database!$BM434="Y")))),1,0)=0,-999999,IF(Screener!$B$16="cornerstone overlap first",H434*100000,IF(Screener!$B$16="demand-similar first",J434*100000,0))+W_SUB*B434+W_SEC*C434*(1-B434)+W_SIZE*D434+W_PROF*E434+W_AH*F434+W_REC*G434+W_CS*H434+W_PE*I434)))+ROW()/1000000</f>
        <v/>
      </c>
      <c r="AA434" s="220">
        <f>Database!B423</f>
        <v/>
      </c>
      <c r="AB434" s="220">
        <f>Database!D423</f>
        <v/>
      </c>
      <c r="AC434" s="220">
        <f>Database!E423</f>
        <v/>
      </c>
      <c r="AD434" s="220">
        <f>Database!I423</f>
        <v/>
      </c>
      <c r="AE434" s="220">
        <f>Database!BG423</f>
        <v/>
      </c>
      <c r="AF434" s="220">
        <f>Database!BM423</f>
        <v/>
      </c>
      <c r="AG434" s="220">
        <f>Database!H423</f>
        <v/>
      </c>
      <c r="AH434" s="220">
        <f>Database!BH423</f>
        <v/>
      </c>
    </row>
    <row r="435">
      <c r="A435" s="220">
        <f>Database!B435</f>
        <v/>
      </c>
      <c r="B435" s="220">
        <f>IF(AND(Screener!$D$8&lt;&gt;"",Database!$E435=Screener!$D$8),1,0)</f>
        <v/>
      </c>
      <c r="C435" s="220">
        <f>IF(AND(Screener!$D$7&lt;&gt;"",Database!$D435=Screener!$D$7),1,0)</f>
        <v/>
      </c>
      <c r="D435" s="220">
        <f>IF(OR(N(Database!$I435)&lt;=0,N(Screener!$D$9)&lt;=0),0,MAX(0,1-ABS(LOG10(N(Database!$I435)/Screener!$D$9))/W_SIZEHW))</f>
        <v/>
      </c>
      <c r="E435" s="220">
        <f>IF(OR(Database!$BG435="",Screener!$D$10=""),0,IF(Database!$BG435=Screener!$D$10,1,0))</f>
        <v/>
      </c>
      <c r="F435" s="220">
        <f>IF(OR(Database!$BM435="",Screener!$D$11=""),0,IF(Database!$BM435=Screener!$D$11,1,0))</f>
        <v/>
      </c>
      <c r="G435" s="220">
        <f>IF(OR(Database!$H435="",N(Screener!$D$12)&lt;=0),0,MAX(0,1-(N(Screener!$D$12)-Database!$H435)/W_RECD))</f>
        <v/>
      </c>
      <c r="H435" s="220">
        <f>IF($U$1="",0,N(ISNUMBER(SEARCH($U$1,Database!$AC435&amp;""))))+IF($V$1="",0,N(ISNUMBER(SEARCH($V$1,Database!$AC435&amp;""))))+IF($W$1="",0,N(ISNUMBER(SEARCH($W$1,Database!$AC435&amp;""))))+IF($X$1="",0,N(ISNUMBER(SEARCH($X$1,Database!$AC435&amp;""))))+IF($Y$1="",0,N(ISNUMBER(SEARCH($Y$1,Database!$AC435&amp;""))))+IF(Screener!$B$17="",0,N(ISNUMBER(SEARCH(LOWER(Screener!$B$17),Database!$AC435&amp;""))))</f>
        <v/>
      </c>
      <c r="I435" s="220">
        <f>IF(OR(N(Database!$BH435)&lt;=0,N(Screener!$D$13)&lt;=0),0,MAX(0,1-ABS(LOG10(N(Database!$BH435)/Screener!$D$13))/W_PEHW))</f>
        <v/>
      </c>
      <c r="J435" s="220">
        <f>IF(OR(N(Database!$S435)&lt;=0,N(Screener!$D$14)&lt;=0),0,MAX(0,1-ABS(LOG10(Database!$S435/Screener!$D$14))/0.6))</f>
        <v/>
      </c>
      <c r="K435" s="220">
        <f>IF(Database!$B435=Screener!$B$5,-999999,IF(ISNUMBER(SEARCH(","&amp;Database!$A435&amp;",",","&amp;SUBSTITUTE(Screener!$D$17," ","")&amp;",")),2000000,IF(IF(OR(Screener!$B$18="All",AND(Screener!$B$18="With A-share",(Database!$BM435="Y")),AND(Screener!$B$18="Without A-share",NOT((Database!$BM435="Y")))),1,0)=0,-999999,IF(Screener!$B$16="cornerstone overlap first",H435*100000,IF(Screener!$B$16="demand-similar first",J435*100000,0))+W_SUB*B435+W_SEC*C435*(1-B435)+W_SIZE*D435+W_PROF*E435+W_AH*F435+W_REC*G435+W_CS*H435+W_PE*I435)))+ROW()/1000000</f>
        <v/>
      </c>
      <c r="AA435" s="220">
        <f>Database!B424</f>
        <v/>
      </c>
      <c r="AB435" s="220">
        <f>Database!D424</f>
        <v/>
      </c>
      <c r="AC435" s="220">
        <f>Database!E424</f>
        <v/>
      </c>
      <c r="AD435" s="220">
        <f>Database!I424</f>
        <v/>
      </c>
      <c r="AE435" s="220">
        <f>Database!BG424</f>
        <v/>
      </c>
      <c r="AF435" s="220">
        <f>Database!BM424</f>
        <v/>
      </c>
      <c r="AG435" s="220">
        <f>Database!H424</f>
        <v/>
      </c>
      <c r="AH435" s="220">
        <f>Database!BH424</f>
        <v/>
      </c>
    </row>
    <row r="436">
      <c r="A436" s="220">
        <f>Database!B436</f>
        <v/>
      </c>
      <c r="B436" s="220">
        <f>IF(AND(Screener!$D$8&lt;&gt;"",Database!$E436=Screener!$D$8),1,0)</f>
        <v/>
      </c>
      <c r="C436" s="220">
        <f>IF(AND(Screener!$D$7&lt;&gt;"",Database!$D436=Screener!$D$7),1,0)</f>
        <v/>
      </c>
      <c r="D436" s="220">
        <f>IF(OR(N(Database!$I436)&lt;=0,N(Screener!$D$9)&lt;=0),0,MAX(0,1-ABS(LOG10(N(Database!$I436)/Screener!$D$9))/W_SIZEHW))</f>
        <v/>
      </c>
      <c r="E436" s="220">
        <f>IF(OR(Database!$BG436="",Screener!$D$10=""),0,IF(Database!$BG436=Screener!$D$10,1,0))</f>
        <v/>
      </c>
      <c r="F436" s="220">
        <f>IF(OR(Database!$BM436="",Screener!$D$11=""),0,IF(Database!$BM436=Screener!$D$11,1,0))</f>
        <v/>
      </c>
      <c r="G436" s="220">
        <f>IF(OR(Database!$H436="",N(Screener!$D$12)&lt;=0),0,MAX(0,1-(N(Screener!$D$12)-Database!$H436)/W_RECD))</f>
        <v/>
      </c>
      <c r="H436" s="220">
        <f>IF($U$1="",0,N(ISNUMBER(SEARCH($U$1,Database!$AC436&amp;""))))+IF($V$1="",0,N(ISNUMBER(SEARCH($V$1,Database!$AC436&amp;""))))+IF($W$1="",0,N(ISNUMBER(SEARCH($W$1,Database!$AC436&amp;""))))+IF($X$1="",0,N(ISNUMBER(SEARCH($X$1,Database!$AC436&amp;""))))+IF($Y$1="",0,N(ISNUMBER(SEARCH($Y$1,Database!$AC436&amp;""))))+IF(Screener!$B$17="",0,N(ISNUMBER(SEARCH(LOWER(Screener!$B$17),Database!$AC436&amp;""))))</f>
        <v/>
      </c>
      <c r="I436" s="220">
        <f>IF(OR(N(Database!$BH436)&lt;=0,N(Screener!$D$13)&lt;=0),0,MAX(0,1-ABS(LOG10(N(Database!$BH436)/Screener!$D$13))/W_PEHW))</f>
        <v/>
      </c>
      <c r="J436" s="220">
        <f>IF(OR(N(Database!$S436)&lt;=0,N(Screener!$D$14)&lt;=0),0,MAX(0,1-ABS(LOG10(Database!$S436/Screener!$D$14))/0.6))</f>
        <v/>
      </c>
      <c r="K436" s="220">
        <f>IF(Database!$B436=Screener!$B$5,-999999,IF(ISNUMBER(SEARCH(","&amp;Database!$A436&amp;",",","&amp;SUBSTITUTE(Screener!$D$17," ","")&amp;",")),2000000,IF(IF(OR(Screener!$B$18="All",AND(Screener!$B$18="With A-share",(Database!$BM436="Y")),AND(Screener!$B$18="Without A-share",NOT((Database!$BM436="Y")))),1,0)=0,-999999,IF(Screener!$B$16="cornerstone overlap first",H436*100000,IF(Screener!$B$16="demand-similar first",J436*100000,0))+W_SUB*B436+W_SEC*C436*(1-B436)+W_SIZE*D436+W_PROF*E436+W_AH*F436+W_REC*G436+W_CS*H436+W_PE*I436)))+ROW()/1000000</f>
        <v/>
      </c>
      <c r="AA436" s="220">
        <f>Database!B425</f>
        <v/>
      </c>
      <c r="AB436" s="220">
        <f>Database!D425</f>
        <v/>
      </c>
      <c r="AC436" s="220">
        <f>Database!E425</f>
        <v/>
      </c>
      <c r="AD436" s="220">
        <f>Database!I425</f>
        <v/>
      </c>
      <c r="AE436" s="220">
        <f>Database!BG425</f>
        <v/>
      </c>
      <c r="AF436" s="220">
        <f>Database!BM425</f>
        <v/>
      </c>
      <c r="AG436" s="220">
        <f>Database!H425</f>
        <v/>
      </c>
      <c r="AH436" s="220">
        <f>Database!BH425</f>
        <v/>
      </c>
    </row>
    <row r="437">
      <c r="A437" s="220">
        <f>Database!B437</f>
        <v/>
      </c>
      <c r="B437" s="220">
        <f>IF(AND(Screener!$D$8&lt;&gt;"",Database!$E437=Screener!$D$8),1,0)</f>
        <v/>
      </c>
      <c r="C437" s="220">
        <f>IF(AND(Screener!$D$7&lt;&gt;"",Database!$D437=Screener!$D$7),1,0)</f>
        <v/>
      </c>
      <c r="D437" s="220">
        <f>IF(OR(N(Database!$I437)&lt;=0,N(Screener!$D$9)&lt;=0),0,MAX(0,1-ABS(LOG10(N(Database!$I437)/Screener!$D$9))/W_SIZEHW))</f>
        <v/>
      </c>
      <c r="E437" s="220">
        <f>IF(OR(Database!$BG437="",Screener!$D$10=""),0,IF(Database!$BG437=Screener!$D$10,1,0))</f>
        <v/>
      </c>
      <c r="F437" s="220">
        <f>IF(OR(Database!$BM437="",Screener!$D$11=""),0,IF(Database!$BM437=Screener!$D$11,1,0))</f>
        <v/>
      </c>
      <c r="G437" s="220">
        <f>IF(OR(Database!$H437="",N(Screener!$D$12)&lt;=0),0,MAX(0,1-(N(Screener!$D$12)-Database!$H437)/W_RECD))</f>
        <v/>
      </c>
      <c r="H437" s="220">
        <f>IF($U$1="",0,N(ISNUMBER(SEARCH($U$1,Database!$AC437&amp;""))))+IF($V$1="",0,N(ISNUMBER(SEARCH($V$1,Database!$AC437&amp;""))))+IF($W$1="",0,N(ISNUMBER(SEARCH($W$1,Database!$AC437&amp;""))))+IF($X$1="",0,N(ISNUMBER(SEARCH($X$1,Database!$AC437&amp;""))))+IF($Y$1="",0,N(ISNUMBER(SEARCH($Y$1,Database!$AC437&amp;""))))+IF(Screener!$B$17="",0,N(ISNUMBER(SEARCH(LOWER(Screener!$B$17),Database!$AC437&amp;""))))</f>
        <v/>
      </c>
      <c r="I437" s="220">
        <f>IF(OR(N(Database!$BH437)&lt;=0,N(Screener!$D$13)&lt;=0),0,MAX(0,1-ABS(LOG10(N(Database!$BH437)/Screener!$D$13))/W_PEHW))</f>
        <v/>
      </c>
      <c r="J437" s="220">
        <f>IF(OR(N(Database!$S437)&lt;=0,N(Screener!$D$14)&lt;=0),0,MAX(0,1-ABS(LOG10(Database!$S437/Screener!$D$14))/0.6))</f>
        <v/>
      </c>
      <c r="K437" s="220">
        <f>IF(Database!$B437=Screener!$B$5,-999999,IF(ISNUMBER(SEARCH(","&amp;Database!$A437&amp;",",","&amp;SUBSTITUTE(Screener!$D$17," ","")&amp;",")),2000000,IF(IF(OR(Screener!$B$18="All",AND(Screener!$B$18="With A-share",(Database!$BM437="Y")),AND(Screener!$B$18="Without A-share",NOT((Database!$BM437="Y")))),1,0)=0,-999999,IF(Screener!$B$16="cornerstone overlap first",H437*100000,IF(Screener!$B$16="demand-similar first",J437*100000,0))+W_SUB*B437+W_SEC*C437*(1-B437)+W_SIZE*D437+W_PROF*E437+W_AH*F437+W_REC*G437+W_CS*H437+W_PE*I437)))+ROW()/1000000</f>
        <v/>
      </c>
      <c r="AA437" s="220">
        <f>Database!B426</f>
        <v/>
      </c>
      <c r="AB437" s="220">
        <f>Database!D426</f>
        <v/>
      </c>
      <c r="AC437" s="220">
        <f>Database!E426</f>
        <v/>
      </c>
      <c r="AD437" s="220">
        <f>Database!I426</f>
        <v/>
      </c>
      <c r="AE437" s="220">
        <f>Database!BG426</f>
        <v/>
      </c>
      <c r="AF437" s="220">
        <f>Database!BM426</f>
        <v/>
      </c>
      <c r="AG437" s="220">
        <f>Database!H426</f>
        <v/>
      </c>
      <c r="AH437" s="220">
        <f>Database!BH426</f>
        <v/>
      </c>
    </row>
    <row r="438">
      <c r="A438" s="220">
        <f>Database!B438</f>
        <v/>
      </c>
      <c r="B438" s="220">
        <f>IF(AND(Screener!$D$8&lt;&gt;"",Database!$E438=Screener!$D$8),1,0)</f>
        <v/>
      </c>
      <c r="C438" s="220">
        <f>IF(AND(Screener!$D$7&lt;&gt;"",Database!$D438=Screener!$D$7),1,0)</f>
        <v/>
      </c>
      <c r="D438" s="220">
        <f>IF(OR(N(Database!$I438)&lt;=0,N(Screener!$D$9)&lt;=0),0,MAX(0,1-ABS(LOG10(N(Database!$I438)/Screener!$D$9))/W_SIZEHW))</f>
        <v/>
      </c>
      <c r="E438" s="220">
        <f>IF(OR(Database!$BG438="",Screener!$D$10=""),0,IF(Database!$BG438=Screener!$D$10,1,0))</f>
        <v/>
      </c>
      <c r="F438" s="220">
        <f>IF(OR(Database!$BM438="",Screener!$D$11=""),0,IF(Database!$BM438=Screener!$D$11,1,0))</f>
        <v/>
      </c>
      <c r="G438" s="220">
        <f>IF(OR(Database!$H438="",N(Screener!$D$12)&lt;=0),0,MAX(0,1-(N(Screener!$D$12)-Database!$H438)/W_RECD))</f>
        <v/>
      </c>
      <c r="H438" s="220">
        <f>IF($U$1="",0,N(ISNUMBER(SEARCH($U$1,Database!$AC438&amp;""))))+IF($V$1="",0,N(ISNUMBER(SEARCH($V$1,Database!$AC438&amp;""))))+IF($W$1="",0,N(ISNUMBER(SEARCH($W$1,Database!$AC438&amp;""))))+IF($X$1="",0,N(ISNUMBER(SEARCH($X$1,Database!$AC438&amp;""))))+IF($Y$1="",0,N(ISNUMBER(SEARCH($Y$1,Database!$AC438&amp;""))))+IF(Screener!$B$17="",0,N(ISNUMBER(SEARCH(LOWER(Screener!$B$17),Database!$AC438&amp;""))))</f>
        <v/>
      </c>
      <c r="I438" s="220">
        <f>IF(OR(N(Database!$BH438)&lt;=0,N(Screener!$D$13)&lt;=0),0,MAX(0,1-ABS(LOG10(N(Database!$BH438)/Screener!$D$13))/W_PEHW))</f>
        <v/>
      </c>
      <c r="J438" s="220">
        <f>IF(OR(N(Database!$S438)&lt;=0,N(Screener!$D$14)&lt;=0),0,MAX(0,1-ABS(LOG10(Database!$S438/Screener!$D$14))/0.6))</f>
        <v/>
      </c>
      <c r="K438" s="220">
        <f>IF(Database!$B438=Screener!$B$5,-999999,IF(ISNUMBER(SEARCH(","&amp;Database!$A438&amp;",",","&amp;SUBSTITUTE(Screener!$D$17," ","")&amp;",")),2000000,IF(IF(OR(Screener!$B$18="All",AND(Screener!$B$18="With A-share",(Database!$BM438="Y")),AND(Screener!$B$18="Without A-share",NOT((Database!$BM438="Y")))),1,0)=0,-999999,IF(Screener!$B$16="cornerstone overlap first",H438*100000,IF(Screener!$B$16="demand-similar first",J438*100000,0))+W_SUB*B438+W_SEC*C438*(1-B438)+W_SIZE*D438+W_PROF*E438+W_AH*F438+W_REC*G438+W_CS*H438+W_PE*I438)))+ROW()/1000000</f>
        <v/>
      </c>
      <c r="AA438" s="220">
        <f>Database!B427</f>
        <v/>
      </c>
      <c r="AB438" s="220">
        <f>Database!D427</f>
        <v/>
      </c>
      <c r="AC438" s="220">
        <f>Database!E427</f>
        <v/>
      </c>
      <c r="AD438" s="220">
        <f>Database!I427</f>
        <v/>
      </c>
      <c r="AE438" s="220">
        <f>Database!BG427</f>
        <v/>
      </c>
      <c r="AF438" s="220">
        <f>Database!BM427</f>
        <v/>
      </c>
      <c r="AG438" s="220">
        <f>Database!H427</f>
        <v/>
      </c>
      <c r="AH438" s="220">
        <f>Database!BH427</f>
        <v/>
      </c>
    </row>
    <row r="439">
      <c r="A439" s="220">
        <f>Database!B439</f>
        <v/>
      </c>
      <c r="B439" s="220">
        <f>IF(AND(Screener!$D$8&lt;&gt;"",Database!$E439=Screener!$D$8),1,0)</f>
        <v/>
      </c>
      <c r="C439" s="220">
        <f>IF(AND(Screener!$D$7&lt;&gt;"",Database!$D439=Screener!$D$7),1,0)</f>
        <v/>
      </c>
      <c r="D439" s="220">
        <f>IF(OR(N(Database!$I439)&lt;=0,N(Screener!$D$9)&lt;=0),0,MAX(0,1-ABS(LOG10(N(Database!$I439)/Screener!$D$9))/W_SIZEHW))</f>
        <v/>
      </c>
      <c r="E439" s="220">
        <f>IF(OR(Database!$BG439="",Screener!$D$10=""),0,IF(Database!$BG439=Screener!$D$10,1,0))</f>
        <v/>
      </c>
      <c r="F439" s="220">
        <f>IF(OR(Database!$BM439="",Screener!$D$11=""),0,IF(Database!$BM439=Screener!$D$11,1,0))</f>
        <v/>
      </c>
      <c r="G439" s="220">
        <f>IF(OR(Database!$H439="",N(Screener!$D$12)&lt;=0),0,MAX(0,1-(N(Screener!$D$12)-Database!$H439)/W_RECD))</f>
        <v/>
      </c>
      <c r="H439" s="220">
        <f>IF($U$1="",0,N(ISNUMBER(SEARCH($U$1,Database!$AC439&amp;""))))+IF($V$1="",0,N(ISNUMBER(SEARCH($V$1,Database!$AC439&amp;""))))+IF($W$1="",0,N(ISNUMBER(SEARCH($W$1,Database!$AC439&amp;""))))+IF($X$1="",0,N(ISNUMBER(SEARCH($X$1,Database!$AC439&amp;""))))+IF($Y$1="",0,N(ISNUMBER(SEARCH($Y$1,Database!$AC439&amp;""))))+IF(Screener!$B$17="",0,N(ISNUMBER(SEARCH(LOWER(Screener!$B$17),Database!$AC439&amp;""))))</f>
        <v/>
      </c>
      <c r="I439" s="220">
        <f>IF(OR(N(Database!$BH439)&lt;=0,N(Screener!$D$13)&lt;=0),0,MAX(0,1-ABS(LOG10(N(Database!$BH439)/Screener!$D$13))/W_PEHW))</f>
        <v/>
      </c>
      <c r="J439" s="220">
        <f>IF(OR(N(Database!$S439)&lt;=0,N(Screener!$D$14)&lt;=0),0,MAX(0,1-ABS(LOG10(Database!$S439/Screener!$D$14))/0.6))</f>
        <v/>
      </c>
      <c r="K439" s="220">
        <f>IF(Database!$B439=Screener!$B$5,-999999,IF(ISNUMBER(SEARCH(","&amp;Database!$A439&amp;",",","&amp;SUBSTITUTE(Screener!$D$17," ","")&amp;",")),2000000,IF(IF(OR(Screener!$B$18="All",AND(Screener!$B$18="With A-share",(Database!$BM439="Y")),AND(Screener!$B$18="Without A-share",NOT((Database!$BM439="Y")))),1,0)=0,-999999,IF(Screener!$B$16="cornerstone overlap first",H439*100000,IF(Screener!$B$16="demand-similar first",J439*100000,0))+W_SUB*B439+W_SEC*C439*(1-B439)+W_SIZE*D439+W_PROF*E439+W_AH*F439+W_REC*G439+W_CS*H439+W_PE*I439)))+ROW()/1000000</f>
        <v/>
      </c>
      <c r="AA439" s="220">
        <f>Database!B428</f>
        <v/>
      </c>
      <c r="AB439" s="220">
        <f>Database!D428</f>
        <v/>
      </c>
      <c r="AC439" s="220">
        <f>Database!E428</f>
        <v/>
      </c>
      <c r="AD439" s="220">
        <f>Database!I428</f>
        <v/>
      </c>
      <c r="AE439" s="220">
        <f>Database!BG428</f>
        <v/>
      </c>
      <c r="AF439" s="220">
        <f>Database!BM428</f>
        <v/>
      </c>
      <c r="AG439" s="220">
        <f>Database!H428</f>
        <v/>
      </c>
      <c r="AH439" s="220">
        <f>Database!BH428</f>
        <v/>
      </c>
    </row>
    <row r="440">
      <c r="A440" s="220">
        <f>Database!B440</f>
        <v/>
      </c>
      <c r="B440" s="220">
        <f>IF(AND(Screener!$D$8&lt;&gt;"",Database!$E440=Screener!$D$8),1,0)</f>
        <v/>
      </c>
      <c r="C440" s="220">
        <f>IF(AND(Screener!$D$7&lt;&gt;"",Database!$D440=Screener!$D$7),1,0)</f>
        <v/>
      </c>
      <c r="D440" s="220">
        <f>IF(OR(N(Database!$I440)&lt;=0,N(Screener!$D$9)&lt;=0),0,MAX(0,1-ABS(LOG10(N(Database!$I440)/Screener!$D$9))/W_SIZEHW))</f>
        <v/>
      </c>
      <c r="E440" s="220">
        <f>IF(OR(Database!$BG440="",Screener!$D$10=""),0,IF(Database!$BG440=Screener!$D$10,1,0))</f>
        <v/>
      </c>
      <c r="F440" s="220">
        <f>IF(OR(Database!$BM440="",Screener!$D$11=""),0,IF(Database!$BM440=Screener!$D$11,1,0))</f>
        <v/>
      </c>
      <c r="G440" s="220">
        <f>IF(OR(Database!$H440="",N(Screener!$D$12)&lt;=0),0,MAX(0,1-(N(Screener!$D$12)-Database!$H440)/W_RECD))</f>
        <v/>
      </c>
      <c r="H440" s="220">
        <f>IF($U$1="",0,N(ISNUMBER(SEARCH($U$1,Database!$AC440&amp;""))))+IF($V$1="",0,N(ISNUMBER(SEARCH($V$1,Database!$AC440&amp;""))))+IF($W$1="",0,N(ISNUMBER(SEARCH($W$1,Database!$AC440&amp;""))))+IF($X$1="",0,N(ISNUMBER(SEARCH($X$1,Database!$AC440&amp;""))))+IF($Y$1="",0,N(ISNUMBER(SEARCH($Y$1,Database!$AC440&amp;""))))+IF(Screener!$B$17="",0,N(ISNUMBER(SEARCH(LOWER(Screener!$B$17),Database!$AC440&amp;""))))</f>
        <v/>
      </c>
      <c r="I440" s="220">
        <f>IF(OR(N(Database!$BH440)&lt;=0,N(Screener!$D$13)&lt;=0),0,MAX(0,1-ABS(LOG10(N(Database!$BH440)/Screener!$D$13))/W_PEHW))</f>
        <v/>
      </c>
      <c r="J440" s="220">
        <f>IF(OR(N(Database!$S440)&lt;=0,N(Screener!$D$14)&lt;=0),0,MAX(0,1-ABS(LOG10(Database!$S440/Screener!$D$14))/0.6))</f>
        <v/>
      </c>
      <c r="K440" s="220">
        <f>IF(Database!$B440=Screener!$B$5,-999999,IF(ISNUMBER(SEARCH(","&amp;Database!$A440&amp;",",","&amp;SUBSTITUTE(Screener!$D$17," ","")&amp;",")),2000000,IF(IF(OR(Screener!$B$18="All",AND(Screener!$B$18="With A-share",(Database!$BM440="Y")),AND(Screener!$B$18="Without A-share",NOT((Database!$BM440="Y")))),1,0)=0,-999999,IF(Screener!$B$16="cornerstone overlap first",H440*100000,IF(Screener!$B$16="demand-similar first",J440*100000,0))+W_SUB*B440+W_SEC*C440*(1-B440)+W_SIZE*D440+W_PROF*E440+W_AH*F440+W_REC*G440+W_CS*H440+W_PE*I440)))+ROW()/1000000</f>
        <v/>
      </c>
      <c r="AA440" s="220">
        <f>Database!B429</f>
        <v/>
      </c>
      <c r="AB440" s="220">
        <f>Database!D429</f>
        <v/>
      </c>
      <c r="AC440" s="220">
        <f>Database!E429</f>
        <v/>
      </c>
      <c r="AD440" s="220">
        <f>Database!I429</f>
        <v/>
      </c>
      <c r="AE440" s="220">
        <f>Database!BG429</f>
        <v/>
      </c>
      <c r="AF440" s="220">
        <f>Database!BM429</f>
        <v/>
      </c>
      <c r="AG440" s="220">
        <f>Database!H429</f>
        <v/>
      </c>
      <c r="AH440" s="220">
        <f>Database!BH429</f>
        <v/>
      </c>
    </row>
    <row r="441">
      <c r="A441" s="220">
        <f>Database!B441</f>
        <v/>
      </c>
      <c r="B441" s="220">
        <f>IF(AND(Screener!$D$8&lt;&gt;"",Database!$E441=Screener!$D$8),1,0)</f>
        <v/>
      </c>
      <c r="C441" s="220">
        <f>IF(AND(Screener!$D$7&lt;&gt;"",Database!$D441=Screener!$D$7),1,0)</f>
        <v/>
      </c>
      <c r="D441" s="220">
        <f>IF(OR(N(Database!$I441)&lt;=0,N(Screener!$D$9)&lt;=0),0,MAX(0,1-ABS(LOG10(N(Database!$I441)/Screener!$D$9))/W_SIZEHW))</f>
        <v/>
      </c>
      <c r="E441" s="220">
        <f>IF(OR(Database!$BG441="",Screener!$D$10=""),0,IF(Database!$BG441=Screener!$D$10,1,0))</f>
        <v/>
      </c>
      <c r="F441" s="220">
        <f>IF(OR(Database!$BM441="",Screener!$D$11=""),0,IF(Database!$BM441=Screener!$D$11,1,0))</f>
        <v/>
      </c>
      <c r="G441" s="220">
        <f>IF(OR(Database!$H441="",N(Screener!$D$12)&lt;=0),0,MAX(0,1-(N(Screener!$D$12)-Database!$H441)/W_RECD))</f>
        <v/>
      </c>
      <c r="H441" s="220">
        <f>IF($U$1="",0,N(ISNUMBER(SEARCH($U$1,Database!$AC441&amp;""))))+IF($V$1="",0,N(ISNUMBER(SEARCH($V$1,Database!$AC441&amp;""))))+IF($W$1="",0,N(ISNUMBER(SEARCH($W$1,Database!$AC441&amp;""))))+IF($X$1="",0,N(ISNUMBER(SEARCH($X$1,Database!$AC441&amp;""))))+IF($Y$1="",0,N(ISNUMBER(SEARCH($Y$1,Database!$AC441&amp;""))))+IF(Screener!$B$17="",0,N(ISNUMBER(SEARCH(LOWER(Screener!$B$17),Database!$AC441&amp;""))))</f>
        <v/>
      </c>
      <c r="I441" s="220">
        <f>IF(OR(N(Database!$BH441)&lt;=0,N(Screener!$D$13)&lt;=0),0,MAX(0,1-ABS(LOG10(N(Database!$BH441)/Screener!$D$13))/W_PEHW))</f>
        <v/>
      </c>
      <c r="J441" s="220">
        <f>IF(OR(N(Database!$S441)&lt;=0,N(Screener!$D$14)&lt;=0),0,MAX(0,1-ABS(LOG10(Database!$S441/Screener!$D$14))/0.6))</f>
        <v/>
      </c>
      <c r="K441" s="220">
        <f>IF(Database!$B441=Screener!$B$5,-999999,IF(ISNUMBER(SEARCH(","&amp;Database!$A441&amp;",",","&amp;SUBSTITUTE(Screener!$D$17," ","")&amp;",")),2000000,IF(IF(OR(Screener!$B$18="All",AND(Screener!$B$18="With A-share",(Database!$BM441="Y")),AND(Screener!$B$18="Without A-share",NOT((Database!$BM441="Y")))),1,0)=0,-999999,IF(Screener!$B$16="cornerstone overlap first",H441*100000,IF(Screener!$B$16="demand-similar first",J441*100000,0))+W_SUB*B441+W_SEC*C441*(1-B441)+W_SIZE*D441+W_PROF*E441+W_AH*F441+W_REC*G441+W_CS*H441+W_PE*I441)))+ROW()/1000000</f>
        <v/>
      </c>
      <c r="AA441" s="220">
        <f>Database!B430</f>
        <v/>
      </c>
      <c r="AB441" s="220">
        <f>Database!D430</f>
        <v/>
      </c>
      <c r="AC441" s="220">
        <f>Database!E430</f>
        <v/>
      </c>
      <c r="AD441" s="220">
        <f>Database!I430</f>
        <v/>
      </c>
      <c r="AE441" s="220">
        <f>Database!BG430</f>
        <v/>
      </c>
      <c r="AF441" s="220">
        <f>Database!BM430</f>
        <v/>
      </c>
      <c r="AG441" s="220">
        <f>Database!H430</f>
        <v/>
      </c>
      <c r="AH441" s="220">
        <f>Database!BH430</f>
        <v/>
      </c>
    </row>
    <row r="442">
      <c r="A442" s="220">
        <f>Database!B442</f>
        <v/>
      </c>
      <c r="B442" s="220">
        <f>IF(AND(Screener!$D$8&lt;&gt;"",Database!$E442=Screener!$D$8),1,0)</f>
        <v/>
      </c>
      <c r="C442" s="220">
        <f>IF(AND(Screener!$D$7&lt;&gt;"",Database!$D442=Screener!$D$7),1,0)</f>
        <v/>
      </c>
      <c r="D442" s="220">
        <f>IF(OR(N(Database!$I442)&lt;=0,N(Screener!$D$9)&lt;=0),0,MAX(0,1-ABS(LOG10(N(Database!$I442)/Screener!$D$9))/W_SIZEHW))</f>
        <v/>
      </c>
      <c r="E442" s="220">
        <f>IF(OR(Database!$BG442="",Screener!$D$10=""),0,IF(Database!$BG442=Screener!$D$10,1,0))</f>
        <v/>
      </c>
      <c r="F442" s="220">
        <f>IF(OR(Database!$BM442="",Screener!$D$11=""),0,IF(Database!$BM442=Screener!$D$11,1,0))</f>
        <v/>
      </c>
      <c r="G442" s="220">
        <f>IF(OR(Database!$H442="",N(Screener!$D$12)&lt;=0),0,MAX(0,1-(N(Screener!$D$12)-Database!$H442)/W_RECD))</f>
        <v/>
      </c>
      <c r="H442" s="220">
        <f>IF($U$1="",0,N(ISNUMBER(SEARCH($U$1,Database!$AC442&amp;""))))+IF($V$1="",0,N(ISNUMBER(SEARCH($V$1,Database!$AC442&amp;""))))+IF($W$1="",0,N(ISNUMBER(SEARCH($W$1,Database!$AC442&amp;""))))+IF($X$1="",0,N(ISNUMBER(SEARCH($X$1,Database!$AC442&amp;""))))+IF($Y$1="",0,N(ISNUMBER(SEARCH($Y$1,Database!$AC442&amp;""))))+IF(Screener!$B$17="",0,N(ISNUMBER(SEARCH(LOWER(Screener!$B$17),Database!$AC442&amp;""))))</f>
        <v/>
      </c>
      <c r="I442" s="220">
        <f>IF(OR(N(Database!$BH442)&lt;=0,N(Screener!$D$13)&lt;=0),0,MAX(0,1-ABS(LOG10(N(Database!$BH442)/Screener!$D$13))/W_PEHW))</f>
        <v/>
      </c>
      <c r="J442" s="220">
        <f>IF(OR(N(Database!$S442)&lt;=0,N(Screener!$D$14)&lt;=0),0,MAX(0,1-ABS(LOG10(Database!$S442/Screener!$D$14))/0.6))</f>
        <v/>
      </c>
      <c r="K442" s="220">
        <f>IF(Database!$B442=Screener!$B$5,-999999,IF(ISNUMBER(SEARCH(","&amp;Database!$A442&amp;",",","&amp;SUBSTITUTE(Screener!$D$17," ","")&amp;",")),2000000,IF(IF(OR(Screener!$B$18="All",AND(Screener!$B$18="With A-share",(Database!$BM442="Y")),AND(Screener!$B$18="Without A-share",NOT((Database!$BM442="Y")))),1,0)=0,-999999,IF(Screener!$B$16="cornerstone overlap first",H442*100000,IF(Screener!$B$16="demand-similar first",J442*100000,0))+W_SUB*B442+W_SEC*C442*(1-B442)+W_SIZE*D442+W_PROF*E442+W_AH*F442+W_REC*G442+W_CS*H442+W_PE*I442)))+ROW()/1000000</f>
        <v/>
      </c>
      <c r="AA442" s="220">
        <f>Database!B431</f>
        <v/>
      </c>
      <c r="AB442" s="220">
        <f>Database!D431</f>
        <v/>
      </c>
      <c r="AC442" s="220">
        <f>Database!E431</f>
        <v/>
      </c>
      <c r="AD442" s="220">
        <f>Database!I431</f>
        <v/>
      </c>
      <c r="AE442" s="220">
        <f>Database!BG431</f>
        <v/>
      </c>
      <c r="AF442" s="220">
        <f>Database!BM431</f>
        <v/>
      </c>
      <c r="AG442" s="220">
        <f>Database!H431</f>
        <v/>
      </c>
      <c r="AH442" s="220">
        <f>Database!BH431</f>
        <v/>
      </c>
    </row>
    <row r="443">
      <c r="A443" s="220">
        <f>Database!B443</f>
        <v/>
      </c>
      <c r="B443" s="220">
        <f>IF(AND(Screener!$D$8&lt;&gt;"",Database!$E443=Screener!$D$8),1,0)</f>
        <v/>
      </c>
      <c r="C443" s="220">
        <f>IF(AND(Screener!$D$7&lt;&gt;"",Database!$D443=Screener!$D$7),1,0)</f>
        <v/>
      </c>
      <c r="D443" s="220">
        <f>IF(OR(N(Database!$I443)&lt;=0,N(Screener!$D$9)&lt;=0),0,MAX(0,1-ABS(LOG10(N(Database!$I443)/Screener!$D$9))/W_SIZEHW))</f>
        <v/>
      </c>
      <c r="E443" s="220">
        <f>IF(OR(Database!$BG443="",Screener!$D$10=""),0,IF(Database!$BG443=Screener!$D$10,1,0))</f>
        <v/>
      </c>
      <c r="F443" s="220">
        <f>IF(OR(Database!$BM443="",Screener!$D$11=""),0,IF(Database!$BM443=Screener!$D$11,1,0))</f>
        <v/>
      </c>
      <c r="G443" s="220">
        <f>IF(OR(Database!$H443="",N(Screener!$D$12)&lt;=0),0,MAX(0,1-(N(Screener!$D$12)-Database!$H443)/W_RECD))</f>
        <v/>
      </c>
      <c r="H443" s="220">
        <f>IF($U$1="",0,N(ISNUMBER(SEARCH($U$1,Database!$AC443&amp;""))))+IF($V$1="",0,N(ISNUMBER(SEARCH($V$1,Database!$AC443&amp;""))))+IF($W$1="",0,N(ISNUMBER(SEARCH($W$1,Database!$AC443&amp;""))))+IF($X$1="",0,N(ISNUMBER(SEARCH($X$1,Database!$AC443&amp;""))))+IF($Y$1="",0,N(ISNUMBER(SEARCH($Y$1,Database!$AC443&amp;""))))+IF(Screener!$B$17="",0,N(ISNUMBER(SEARCH(LOWER(Screener!$B$17),Database!$AC443&amp;""))))</f>
        <v/>
      </c>
      <c r="I443" s="220">
        <f>IF(OR(N(Database!$BH443)&lt;=0,N(Screener!$D$13)&lt;=0),0,MAX(0,1-ABS(LOG10(N(Database!$BH443)/Screener!$D$13))/W_PEHW))</f>
        <v/>
      </c>
      <c r="J443" s="220">
        <f>IF(OR(N(Database!$S443)&lt;=0,N(Screener!$D$14)&lt;=0),0,MAX(0,1-ABS(LOG10(Database!$S443/Screener!$D$14))/0.6))</f>
        <v/>
      </c>
      <c r="K443" s="220">
        <f>IF(Database!$B443=Screener!$B$5,-999999,IF(ISNUMBER(SEARCH(","&amp;Database!$A443&amp;",",","&amp;SUBSTITUTE(Screener!$D$17," ","")&amp;",")),2000000,IF(IF(OR(Screener!$B$18="All",AND(Screener!$B$18="With A-share",(Database!$BM443="Y")),AND(Screener!$B$18="Without A-share",NOT((Database!$BM443="Y")))),1,0)=0,-999999,IF(Screener!$B$16="cornerstone overlap first",H443*100000,IF(Screener!$B$16="demand-similar first",J443*100000,0))+W_SUB*B443+W_SEC*C443*(1-B443)+W_SIZE*D443+W_PROF*E443+W_AH*F443+W_REC*G443+W_CS*H443+W_PE*I443)))+ROW()/1000000</f>
        <v/>
      </c>
      <c r="AA443" s="220">
        <f>Database!B432</f>
        <v/>
      </c>
      <c r="AB443" s="220">
        <f>Database!D432</f>
        <v/>
      </c>
      <c r="AC443" s="220">
        <f>Database!E432</f>
        <v/>
      </c>
      <c r="AD443" s="220">
        <f>Database!I432</f>
        <v/>
      </c>
      <c r="AE443" s="220">
        <f>Database!BG432</f>
        <v/>
      </c>
      <c r="AF443" s="220">
        <f>Database!BM432</f>
        <v/>
      </c>
      <c r="AG443" s="220">
        <f>Database!H432</f>
        <v/>
      </c>
      <c r="AH443" s="220">
        <f>Database!BH432</f>
        <v/>
      </c>
    </row>
    <row r="444">
      <c r="A444" s="220">
        <f>Database!B444</f>
        <v/>
      </c>
      <c r="B444" s="220">
        <f>IF(AND(Screener!$D$8&lt;&gt;"",Database!$E444=Screener!$D$8),1,0)</f>
        <v/>
      </c>
      <c r="C444" s="220">
        <f>IF(AND(Screener!$D$7&lt;&gt;"",Database!$D444=Screener!$D$7),1,0)</f>
        <v/>
      </c>
      <c r="D444" s="220">
        <f>IF(OR(N(Database!$I444)&lt;=0,N(Screener!$D$9)&lt;=0),0,MAX(0,1-ABS(LOG10(N(Database!$I444)/Screener!$D$9))/W_SIZEHW))</f>
        <v/>
      </c>
      <c r="E444" s="220">
        <f>IF(OR(Database!$BG444="",Screener!$D$10=""),0,IF(Database!$BG444=Screener!$D$10,1,0))</f>
        <v/>
      </c>
      <c r="F444" s="220">
        <f>IF(OR(Database!$BM444="",Screener!$D$11=""),0,IF(Database!$BM444=Screener!$D$11,1,0))</f>
        <v/>
      </c>
      <c r="G444" s="220">
        <f>IF(OR(Database!$H444="",N(Screener!$D$12)&lt;=0),0,MAX(0,1-(N(Screener!$D$12)-Database!$H444)/W_RECD))</f>
        <v/>
      </c>
      <c r="H444" s="220">
        <f>IF($U$1="",0,N(ISNUMBER(SEARCH($U$1,Database!$AC444&amp;""))))+IF($V$1="",0,N(ISNUMBER(SEARCH($V$1,Database!$AC444&amp;""))))+IF($W$1="",0,N(ISNUMBER(SEARCH($W$1,Database!$AC444&amp;""))))+IF($X$1="",0,N(ISNUMBER(SEARCH($X$1,Database!$AC444&amp;""))))+IF($Y$1="",0,N(ISNUMBER(SEARCH($Y$1,Database!$AC444&amp;""))))+IF(Screener!$B$17="",0,N(ISNUMBER(SEARCH(LOWER(Screener!$B$17),Database!$AC444&amp;""))))</f>
        <v/>
      </c>
      <c r="I444" s="220">
        <f>IF(OR(N(Database!$BH444)&lt;=0,N(Screener!$D$13)&lt;=0),0,MAX(0,1-ABS(LOG10(N(Database!$BH444)/Screener!$D$13))/W_PEHW))</f>
        <v/>
      </c>
      <c r="J444" s="220">
        <f>IF(OR(N(Database!$S444)&lt;=0,N(Screener!$D$14)&lt;=0),0,MAX(0,1-ABS(LOG10(Database!$S444/Screener!$D$14))/0.6))</f>
        <v/>
      </c>
      <c r="K444" s="220">
        <f>IF(Database!$B444=Screener!$B$5,-999999,IF(ISNUMBER(SEARCH(","&amp;Database!$A444&amp;",",","&amp;SUBSTITUTE(Screener!$D$17," ","")&amp;",")),2000000,IF(IF(OR(Screener!$B$18="All",AND(Screener!$B$18="With A-share",(Database!$BM444="Y")),AND(Screener!$B$18="Without A-share",NOT((Database!$BM444="Y")))),1,0)=0,-999999,IF(Screener!$B$16="cornerstone overlap first",H444*100000,IF(Screener!$B$16="demand-similar first",J444*100000,0))+W_SUB*B444+W_SEC*C444*(1-B444)+W_SIZE*D444+W_PROF*E444+W_AH*F444+W_REC*G444+W_CS*H444+W_PE*I444)))+ROW()/1000000</f>
        <v/>
      </c>
      <c r="AA444" s="220">
        <f>Database!B433</f>
        <v/>
      </c>
      <c r="AB444" s="220">
        <f>Database!D433</f>
        <v/>
      </c>
      <c r="AC444" s="220">
        <f>Database!E433</f>
        <v/>
      </c>
      <c r="AD444" s="220">
        <f>Database!I433</f>
        <v/>
      </c>
      <c r="AE444" s="220">
        <f>Database!BG433</f>
        <v/>
      </c>
      <c r="AF444" s="220">
        <f>Database!BM433</f>
        <v/>
      </c>
      <c r="AG444" s="220">
        <f>Database!H433</f>
        <v/>
      </c>
      <c r="AH444" s="220">
        <f>Database!BH433</f>
        <v/>
      </c>
    </row>
    <row r="445">
      <c r="A445" s="220">
        <f>Database!B445</f>
        <v/>
      </c>
      <c r="B445" s="220">
        <f>IF(AND(Screener!$D$8&lt;&gt;"",Database!$E445=Screener!$D$8),1,0)</f>
        <v/>
      </c>
      <c r="C445" s="220">
        <f>IF(AND(Screener!$D$7&lt;&gt;"",Database!$D445=Screener!$D$7),1,0)</f>
        <v/>
      </c>
      <c r="D445" s="220">
        <f>IF(OR(N(Database!$I445)&lt;=0,N(Screener!$D$9)&lt;=0),0,MAX(0,1-ABS(LOG10(N(Database!$I445)/Screener!$D$9))/W_SIZEHW))</f>
        <v/>
      </c>
      <c r="E445" s="220">
        <f>IF(OR(Database!$BG445="",Screener!$D$10=""),0,IF(Database!$BG445=Screener!$D$10,1,0))</f>
        <v/>
      </c>
      <c r="F445" s="220">
        <f>IF(OR(Database!$BM445="",Screener!$D$11=""),0,IF(Database!$BM445=Screener!$D$11,1,0))</f>
        <v/>
      </c>
      <c r="G445" s="220">
        <f>IF(OR(Database!$H445="",N(Screener!$D$12)&lt;=0),0,MAX(0,1-(N(Screener!$D$12)-Database!$H445)/W_RECD))</f>
        <v/>
      </c>
      <c r="H445" s="220">
        <f>IF($U$1="",0,N(ISNUMBER(SEARCH($U$1,Database!$AC445&amp;""))))+IF($V$1="",0,N(ISNUMBER(SEARCH($V$1,Database!$AC445&amp;""))))+IF($W$1="",0,N(ISNUMBER(SEARCH($W$1,Database!$AC445&amp;""))))+IF($X$1="",0,N(ISNUMBER(SEARCH($X$1,Database!$AC445&amp;""))))+IF($Y$1="",0,N(ISNUMBER(SEARCH($Y$1,Database!$AC445&amp;""))))+IF(Screener!$B$17="",0,N(ISNUMBER(SEARCH(LOWER(Screener!$B$17),Database!$AC445&amp;""))))</f>
        <v/>
      </c>
      <c r="I445" s="220">
        <f>IF(OR(N(Database!$BH445)&lt;=0,N(Screener!$D$13)&lt;=0),0,MAX(0,1-ABS(LOG10(N(Database!$BH445)/Screener!$D$13))/W_PEHW))</f>
        <v/>
      </c>
      <c r="J445" s="220">
        <f>IF(OR(N(Database!$S445)&lt;=0,N(Screener!$D$14)&lt;=0),0,MAX(0,1-ABS(LOG10(Database!$S445/Screener!$D$14))/0.6))</f>
        <v/>
      </c>
      <c r="K445" s="220">
        <f>IF(Database!$B445=Screener!$B$5,-999999,IF(ISNUMBER(SEARCH(","&amp;Database!$A445&amp;",",","&amp;SUBSTITUTE(Screener!$D$17," ","")&amp;",")),2000000,IF(IF(OR(Screener!$B$18="All",AND(Screener!$B$18="With A-share",(Database!$BM445="Y")),AND(Screener!$B$18="Without A-share",NOT((Database!$BM445="Y")))),1,0)=0,-999999,IF(Screener!$B$16="cornerstone overlap first",H445*100000,IF(Screener!$B$16="demand-similar first",J445*100000,0))+W_SUB*B445+W_SEC*C445*(1-B445)+W_SIZE*D445+W_PROF*E445+W_AH*F445+W_REC*G445+W_CS*H445+W_PE*I445)))+ROW()/1000000</f>
        <v/>
      </c>
      <c r="AA445" s="220">
        <f>Database!B434</f>
        <v/>
      </c>
      <c r="AB445" s="220">
        <f>Database!D434</f>
        <v/>
      </c>
      <c r="AC445" s="220">
        <f>Database!E434</f>
        <v/>
      </c>
      <c r="AD445" s="220">
        <f>Database!I434</f>
        <v/>
      </c>
      <c r="AE445" s="220">
        <f>Database!BG434</f>
        <v/>
      </c>
      <c r="AF445" s="220">
        <f>Database!BM434</f>
        <v/>
      </c>
      <c r="AG445" s="220">
        <f>Database!H434</f>
        <v/>
      </c>
      <c r="AH445" s="220">
        <f>Database!BH434</f>
        <v/>
      </c>
    </row>
    <row r="446">
      <c r="A446" s="220">
        <f>Database!B446</f>
        <v/>
      </c>
      <c r="B446" s="220">
        <f>IF(AND(Screener!$D$8&lt;&gt;"",Database!$E446=Screener!$D$8),1,0)</f>
        <v/>
      </c>
      <c r="C446" s="220">
        <f>IF(AND(Screener!$D$7&lt;&gt;"",Database!$D446=Screener!$D$7),1,0)</f>
        <v/>
      </c>
      <c r="D446" s="220">
        <f>IF(OR(N(Database!$I446)&lt;=0,N(Screener!$D$9)&lt;=0),0,MAX(0,1-ABS(LOG10(N(Database!$I446)/Screener!$D$9))/W_SIZEHW))</f>
        <v/>
      </c>
      <c r="E446" s="220">
        <f>IF(OR(Database!$BG446="",Screener!$D$10=""),0,IF(Database!$BG446=Screener!$D$10,1,0))</f>
        <v/>
      </c>
      <c r="F446" s="220">
        <f>IF(OR(Database!$BM446="",Screener!$D$11=""),0,IF(Database!$BM446=Screener!$D$11,1,0))</f>
        <v/>
      </c>
      <c r="G446" s="220">
        <f>IF(OR(Database!$H446="",N(Screener!$D$12)&lt;=0),0,MAX(0,1-(N(Screener!$D$12)-Database!$H446)/W_RECD))</f>
        <v/>
      </c>
      <c r="H446" s="220">
        <f>IF($U$1="",0,N(ISNUMBER(SEARCH($U$1,Database!$AC446&amp;""))))+IF($V$1="",0,N(ISNUMBER(SEARCH($V$1,Database!$AC446&amp;""))))+IF($W$1="",0,N(ISNUMBER(SEARCH($W$1,Database!$AC446&amp;""))))+IF($X$1="",0,N(ISNUMBER(SEARCH($X$1,Database!$AC446&amp;""))))+IF($Y$1="",0,N(ISNUMBER(SEARCH($Y$1,Database!$AC446&amp;""))))+IF(Screener!$B$17="",0,N(ISNUMBER(SEARCH(LOWER(Screener!$B$17),Database!$AC446&amp;""))))</f>
        <v/>
      </c>
      <c r="I446" s="220">
        <f>IF(OR(N(Database!$BH446)&lt;=0,N(Screener!$D$13)&lt;=0),0,MAX(0,1-ABS(LOG10(N(Database!$BH446)/Screener!$D$13))/W_PEHW))</f>
        <v/>
      </c>
      <c r="J446" s="220">
        <f>IF(OR(N(Database!$S446)&lt;=0,N(Screener!$D$14)&lt;=0),0,MAX(0,1-ABS(LOG10(Database!$S446/Screener!$D$14))/0.6))</f>
        <v/>
      </c>
      <c r="K446" s="220">
        <f>IF(Database!$B446=Screener!$B$5,-999999,IF(ISNUMBER(SEARCH(","&amp;Database!$A446&amp;",",","&amp;SUBSTITUTE(Screener!$D$17," ","")&amp;",")),2000000,IF(IF(OR(Screener!$B$18="All",AND(Screener!$B$18="With A-share",(Database!$BM446="Y")),AND(Screener!$B$18="Without A-share",NOT((Database!$BM446="Y")))),1,0)=0,-999999,IF(Screener!$B$16="cornerstone overlap first",H446*100000,IF(Screener!$B$16="demand-similar first",J446*100000,0))+W_SUB*B446+W_SEC*C446*(1-B446)+W_SIZE*D446+W_PROF*E446+W_AH*F446+W_REC*G446+W_CS*H446+W_PE*I446)))+ROW()/1000000</f>
        <v/>
      </c>
      <c r="AA446" s="220">
        <f>Database!B435</f>
        <v/>
      </c>
      <c r="AB446" s="220">
        <f>Database!D435</f>
        <v/>
      </c>
      <c r="AC446" s="220">
        <f>Database!E435</f>
        <v/>
      </c>
      <c r="AD446" s="220">
        <f>Database!I435</f>
        <v/>
      </c>
      <c r="AE446" s="220">
        <f>Database!BG435</f>
        <v/>
      </c>
      <c r="AF446" s="220">
        <f>Database!BM435</f>
        <v/>
      </c>
      <c r="AG446" s="220">
        <f>Database!H435</f>
        <v/>
      </c>
      <c r="AH446" s="220">
        <f>Database!BH435</f>
        <v/>
      </c>
    </row>
    <row r="447">
      <c r="A447" s="220">
        <f>Database!B447</f>
        <v/>
      </c>
      <c r="B447" s="220">
        <f>IF(AND(Screener!$D$8&lt;&gt;"",Database!$E447=Screener!$D$8),1,0)</f>
        <v/>
      </c>
      <c r="C447" s="220">
        <f>IF(AND(Screener!$D$7&lt;&gt;"",Database!$D447=Screener!$D$7),1,0)</f>
        <v/>
      </c>
      <c r="D447" s="220">
        <f>IF(OR(N(Database!$I447)&lt;=0,N(Screener!$D$9)&lt;=0),0,MAX(0,1-ABS(LOG10(N(Database!$I447)/Screener!$D$9))/W_SIZEHW))</f>
        <v/>
      </c>
      <c r="E447" s="220">
        <f>IF(OR(Database!$BG447="",Screener!$D$10=""),0,IF(Database!$BG447=Screener!$D$10,1,0))</f>
        <v/>
      </c>
      <c r="F447" s="220">
        <f>IF(OR(Database!$BM447="",Screener!$D$11=""),0,IF(Database!$BM447=Screener!$D$11,1,0))</f>
        <v/>
      </c>
      <c r="G447" s="220">
        <f>IF(OR(Database!$H447="",N(Screener!$D$12)&lt;=0),0,MAX(0,1-(N(Screener!$D$12)-Database!$H447)/W_RECD))</f>
        <v/>
      </c>
      <c r="H447" s="220">
        <f>IF($U$1="",0,N(ISNUMBER(SEARCH($U$1,Database!$AC447&amp;""))))+IF($V$1="",0,N(ISNUMBER(SEARCH($V$1,Database!$AC447&amp;""))))+IF($W$1="",0,N(ISNUMBER(SEARCH($W$1,Database!$AC447&amp;""))))+IF($X$1="",0,N(ISNUMBER(SEARCH($X$1,Database!$AC447&amp;""))))+IF($Y$1="",0,N(ISNUMBER(SEARCH($Y$1,Database!$AC447&amp;""))))+IF(Screener!$B$17="",0,N(ISNUMBER(SEARCH(LOWER(Screener!$B$17),Database!$AC447&amp;""))))</f>
        <v/>
      </c>
      <c r="I447" s="220">
        <f>IF(OR(N(Database!$BH447)&lt;=0,N(Screener!$D$13)&lt;=0),0,MAX(0,1-ABS(LOG10(N(Database!$BH447)/Screener!$D$13))/W_PEHW))</f>
        <v/>
      </c>
      <c r="J447" s="220">
        <f>IF(OR(N(Database!$S447)&lt;=0,N(Screener!$D$14)&lt;=0),0,MAX(0,1-ABS(LOG10(Database!$S447/Screener!$D$14))/0.6))</f>
        <v/>
      </c>
      <c r="K447" s="220">
        <f>IF(Database!$B447=Screener!$B$5,-999999,IF(ISNUMBER(SEARCH(","&amp;Database!$A447&amp;",",","&amp;SUBSTITUTE(Screener!$D$17," ","")&amp;",")),2000000,IF(IF(OR(Screener!$B$18="All",AND(Screener!$B$18="With A-share",(Database!$BM447="Y")),AND(Screener!$B$18="Without A-share",NOT((Database!$BM447="Y")))),1,0)=0,-999999,IF(Screener!$B$16="cornerstone overlap first",H447*100000,IF(Screener!$B$16="demand-similar first",J447*100000,0))+W_SUB*B447+W_SEC*C447*(1-B447)+W_SIZE*D447+W_PROF*E447+W_AH*F447+W_REC*G447+W_CS*H447+W_PE*I447)))+ROW()/1000000</f>
        <v/>
      </c>
      <c r="AA447" s="220">
        <f>Database!B436</f>
        <v/>
      </c>
      <c r="AB447" s="220">
        <f>Database!D436</f>
        <v/>
      </c>
      <c r="AC447" s="220">
        <f>Database!E436</f>
        <v/>
      </c>
      <c r="AD447" s="220">
        <f>Database!I436</f>
        <v/>
      </c>
      <c r="AE447" s="220">
        <f>Database!BG436</f>
        <v/>
      </c>
      <c r="AF447" s="220">
        <f>Database!BM436</f>
        <v/>
      </c>
      <c r="AG447" s="220">
        <f>Database!H436</f>
        <v/>
      </c>
      <c r="AH447" s="220">
        <f>Database!BH436</f>
        <v/>
      </c>
    </row>
    <row r="448">
      <c r="A448" s="220">
        <f>Database!B448</f>
        <v/>
      </c>
      <c r="B448" s="220">
        <f>IF(AND(Screener!$D$8&lt;&gt;"",Database!$E448=Screener!$D$8),1,0)</f>
        <v/>
      </c>
      <c r="C448" s="220">
        <f>IF(AND(Screener!$D$7&lt;&gt;"",Database!$D448=Screener!$D$7),1,0)</f>
        <v/>
      </c>
      <c r="D448" s="220">
        <f>IF(OR(N(Database!$I448)&lt;=0,N(Screener!$D$9)&lt;=0),0,MAX(0,1-ABS(LOG10(N(Database!$I448)/Screener!$D$9))/W_SIZEHW))</f>
        <v/>
      </c>
      <c r="E448" s="220">
        <f>IF(OR(Database!$BG448="",Screener!$D$10=""),0,IF(Database!$BG448=Screener!$D$10,1,0))</f>
        <v/>
      </c>
      <c r="F448" s="220">
        <f>IF(OR(Database!$BM448="",Screener!$D$11=""),0,IF(Database!$BM448=Screener!$D$11,1,0))</f>
        <v/>
      </c>
      <c r="G448" s="220">
        <f>IF(OR(Database!$H448="",N(Screener!$D$12)&lt;=0),0,MAX(0,1-(N(Screener!$D$12)-Database!$H448)/W_RECD))</f>
        <v/>
      </c>
      <c r="H448" s="220">
        <f>IF($U$1="",0,N(ISNUMBER(SEARCH($U$1,Database!$AC448&amp;""))))+IF($V$1="",0,N(ISNUMBER(SEARCH($V$1,Database!$AC448&amp;""))))+IF($W$1="",0,N(ISNUMBER(SEARCH($W$1,Database!$AC448&amp;""))))+IF($X$1="",0,N(ISNUMBER(SEARCH($X$1,Database!$AC448&amp;""))))+IF($Y$1="",0,N(ISNUMBER(SEARCH($Y$1,Database!$AC448&amp;""))))+IF(Screener!$B$17="",0,N(ISNUMBER(SEARCH(LOWER(Screener!$B$17),Database!$AC448&amp;""))))</f>
        <v/>
      </c>
      <c r="I448" s="220">
        <f>IF(OR(N(Database!$BH448)&lt;=0,N(Screener!$D$13)&lt;=0),0,MAX(0,1-ABS(LOG10(N(Database!$BH448)/Screener!$D$13))/W_PEHW))</f>
        <v/>
      </c>
      <c r="J448" s="220">
        <f>IF(OR(N(Database!$S448)&lt;=0,N(Screener!$D$14)&lt;=0),0,MAX(0,1-ABS(LOG10(Database!$S448/Screener!$D$14))/0.6))</f>
        <v/>
      </c>
      <c r="K448" s="220">
        <f>IF(Database!$B448=Screener!$B$5,-999999,IF(ISNUMBER(SEARCH(","&amp;Database!$A448&amp;",",","&amp;SUBSTITUTE(Screener!$D$17," ","")&amp;",")),2000000,IF(IF(OR(Screener!$B$18="All",AND(Screener!$B$18="With A-share",(Database!$BM448="Y")),AND(Screener!$B$18="Without A-share",NOT((Database!$BM448="Y")))),1,0)=0,-999999,IF(Screener!$B$16="cornerstone overlap first",H448*100000,IF(Screener!$B$16="demand-similar first",J448*100000,0))+W_SUB*B448+W_SEC*C448*(1-B448)+W_SIZE*D448+W_PROF*E448+W_AH*F448+W_REC*G448+W_CS*H448+W_PE*I448)))+ROW()/1000000</f>
        <v/>
      </c>
      <c r="AA448" s="220">
        <f>Database!B437</f>
        <v/>
      </c>
      <c r="AB448" s="220">
        <f>Database!D437</f>
        <v/>
      </c>
      <c r="AC448" s="220">
        <f>Database!E437</f>
        <v/>
      </c>
      <c r="AD448" s="220">
        <f>Database!I437</f>
        <v/>
      </c>
      <c r="AE448" s="220">
        <f>Database!BG437</f>
        <v/>
      </c>
      <c r="AF448" s="220">
        <f>Database!BM437</f>
        <v/>
      </c>
      <c r="AG448" s="220">
        <f>Database!H437</f>
        <v/>
      </c>
      <c r="AH448" s="220">
        <f>Database!BH437</f>
        <v/>
      </c>
    </row>
    <row r="449">
      <c r="A449" s="220">
        <f>Database!B449</f>
        <v/>
      </c>
      <c r="B449" s="220">
        <f>IF(AND(Screener!$D$8&lt;&gt;"",Database!$E449=Screener!$D$8),1,0)</f>
        <v/>
      </c>
      <c r="C449" s="220">
        <f>IF(AND(Screener!$D$7&lt;&gt;"",Database!$D449=Screener!$D$7),1,0)</f>
        <v/>
      </c>
      <c r="D449" s="220">
        <f>IF(OR(N(Database!$I449)&lt;=0,N(Screener!$D$9)&lt;=0),0,MAX(0,1-ABS(LOG10(N(Database!$I449)/Screener!$D$9))/W_SIZEHW))</f>
        <v/>
      </c>
      <c r="E449" s="220">
        <f>IF(OR(Database!$BG449="",Screener!$D$10=""),0,IF(Database!$BG449=Screener!$D$10,1,0))</f>
        <v/>
      </c>
      <c r="F449" s="220">
        <f>IF(OR(Database!$BM449="",Screener!$D$11=""),0,IF(Database!$BM449=Screener!$D$11,1,0))</f>
        <v/>
      </c>
      <c r="G449" s="220">
        <f>IF(OR(Database!$H449="",N(Screener!$D$12)&lt;=0),0,MAX(0,1-(N(Screener!$D$12)-Database!$H449)/W_RECD))</f>
        <v/>
      </c>
      <c r="H449" s="220">
        <f>IF($U$1="",0,N(ISNUMBER(SEARCH($U$1,Database!$AC449&amp;""))))+IF($V$1="",0,N(ISNUMBER(SEARCH($V$1,Database!$AC449&amp;""))))+IF($W$1="",0,N(ISNUMBER(SEARCH($W$1,Database!$AC449&amp;""))))+IF($X$1="",0,N(ISNUMBER(SEARCH($X$1,Database!$AC449&amp;""))))+IF($Y$1="",0,N(ISNUMBER(SEARCH($Y$1,Database!$AC449&amp;""))))+IF(Screener!$B$17="",0,N(ISNUMBER(SEARCH(LOWER(Screener!$B$17),Database!$AC449&amp;""))))</f>
        <v/>
      </c>
      <c r="I449" s="220">
        <f>IF(OR(N(Database!$BH449)&lt;=0,N(Screener!$D$13)&lt;=0),0,MAX(0,1-ABS(LOG10(N(Database!$BH449)/Screener!$D$13))/W_PEHW))</f>
        <v/>
      </c>
      <c r="J449" s="220">
        <f>IF(OR(N(Database!$S449)&lt;=0,N(Screener!$D$14)&lt;=0),0,MAX(0,1-ABS(LOG10(Database!$S449/Screener!$D$14))/0.6))</f>
        <v/>
      </c>
      <c r="K449" s="220">
        <f>IF(Database!$B449=Screener!$B$5,-999999,IF(ISNUMBER(SEARCH(","&amp;Database!$A449&amp;",",","&amp;SUBSTITUTE(Screener!$D$17," ","")&amp;",")),2000000,IF(IF(OR(Screener!$B$18="All",AND(Screener!$B$18="With A-share",(Database!$BM449="Y")),AND(Screener!$B$18="Without A-share",NOT((Database!$BM449="Y")))),1,0)=0,-999999,IF(Screener!$B$16="cornerstone overlap first",H449*100000,IF(Screener!$B$16="demand-similar first",J449*100000,0))+W_SUB*B449+W_SEC*C449*(1-B449)+W_SIZE*D449+W_PROF*E449+W_AH*F449+W_REC*G449+W_CS*H449+W_PE*I449)))+ROW()/1000000</f>
        <v/>
      </c>
      <c r="AA449" s="220">
        <f>Database!B438</f>
        <v/>
      </c>
      <c r="AB449" s="220">
        <f>Database!D438</f>
        <v/>
      </c>
      <c r="AC449" s="220">
        <f>Database!E438</f>
        <v/>
      </c>
      <c r="AD449" s="220">
        <f>Database!I438</f>
        <v/>
      </c>
      <c r="AE449" s="220">
        <f>Database!BG438</f>
        <v/>
      </c>
      <c r="AF449" s="220">
        <f>Database!BM438</f>
        <v/>
      </c>
      <c r="AG449" s="220">
        <f>Database!H438</f>
        <v/>
      </c>
      <c r="AH449" s="220">
        <f>Database!BH438</f>
        <v/>
      </c>
    </row>
    <row r="450">
      <c r="A450" s="220">
        <f>Database!B450</f>
        <v/>
      </c>
      <c r="B450" s="220">
        <f>IF(AND(Screener!$D$8&lt;&gt;"",Database!$E450=Screener!$D$8),1,0)</f>
        <v/>
      </c>
      <c r="C450" s="220">
        <f>IF(AND(Screener!$D$7&lt;&gt;"",Database!$D450=Screener!$D$7),1,0)</f>
        <v/>
      </c>
      <c r="D450" s="220">
        <f>IF(OR(N(Database!$I450)&lt;=0,N(Screener!$D$9)&lt;=0),0,MAX(0,1-ABS(LOG10(N(Database!$I450)/Screener!$D$9))/W_SIZEHW))</f>
        <v/>
      </c>
      <c r="E450" s="220">
        <f>IF(OR(Database!$BG450="",Screener!$D$10=""),0,IF(Database!$BG450=Screener!$D$10,1,0))</f>
        <v/>
      </c>
      <c r="F450" s="220">
        <f>IF(OR(Database!$BM450="",Screener!$D$11=""),0,IF(Database!$BM450=Screener!$D$11,1,0))</f>
        <v/>
      </c>
      <c r="G450" s="220">
        <f>IF(OR(Database!$H450="",N(Screener!$D$12)&lt;=0),0,MAX(0,1-(N(Screener!$D$12)-Database!$H450)/W_RECD))</f>
        <v/>
      </c>
      <c r="H450" s="220">
        <f>IF($U$1="",0,N(ISNUMBER(SEARCH($U$1,Database!$AC450&amp;""))))+IF($V$1="",0,N(ISNUMBER(SEARCH($V$1,Database!$AC450&amp;""))))+IF($W$1="",0,N(ISNUMBER(SEARCH($W$1,Database!$AC450&amp;""))))+IF($X$1="",0,N(ISNUMBER(SEARCH($X$1,Database!$AC450&amp;""))))+IF($Y$1="",0,N(ISNUMBER(SEARCH($Y$1,Database!$AC450&amp;""))))+IF(Screener!$B$17="",0,N(ISNUMBER(SEARCH(LOWER(Screener!$B$17),Database!$AC450&amp;""))))</f>
        <v/>
      </c>
      <c r="I450" s="220">
        <f>IF(OR(N(Database!$BH450)&lt;=0,N(Screener!$D$13)&lt;=0),0,MAX(0,1-ABS(LOG10(N(Database!$BH450)/Screener!$D$13))/W_PEHW))</f>
        <v/>
      </c>
      <c r="J450" s="220">
        <f>IF(OR(N(Database!$S450)&lt;=0,N(Screener!$D$14)&lt;=0),0,MAX(0,1-ABS(LOG10(Database!$S450/Screener!$D$14))/0.6))</f>
        <v/>
      </c>
      <c r="K450" s="220">
        <f>IF(Database!$B450=Screener!$B$5,-999999,IF(ISNUMBER(SEARCH(","&amp;Database!$A450&amp;",",","&amp;SUBSTITUTE(Screener!$D$17," ","")&amp;",")),2000000,IF(IF(OR(Screener!$B$18="All",AND(Screener!$B$18="With A-share",(Database!$BM450="Y")),AND(Screener!$B$18="Without A-share",NOT((Database!$BM450="Y")))),1,0)=0,-999999,IF(Screener!$B$16="cornerstone overlap first",H450*100000,IF(Screener!$B$16="demand-similar first",J450*100000,0))+W_SUB*B450+W_SEC*C450*(1-B450)+W_SIZE*D450+W_PROF*E450+W_AH*F450+W_REC*G450+W_CS*H450+W_PE*I450)))+ROW()/1000000</f>
        <v/>
      </c>
      <c r="AA450" s="220">
        <f>Database!B439</f>
        <v/>
      </c>
      <c r="AB450" s="220">
        <f>Database!D439</f>
        <v/>
      </c>
      <c r="AC450" s="220">
        <f>Database!E439</f>
        <v/>
      </c>
      <c r="AD450" s="220">
        <f>Database!I439</f>
        <v/>
      </c>
      <c r="AE450" s="220">
        <f>Database!BG439</f>
        <v/>
      </c>
      <c r="AF450" s="220">
        <f>Database!BM439</f>
        <v/>
      </c>
      <c r="AG450" s="220">
        <f>Database!H439</f>
        <v/>
      </c>
      <c r="AH450" s="220">
        <f>Database!BH439</f>
        <v/>
      </c>
    </row>
    <row r="451">
      <c r="A451" s="220">
        <f>Database!B451</f>
        <v/>
      </c>
      <c r="B451" s="220">
        <f>IF(AND(Screener!$D$8&lt;&gt;"",Database!$E451=Screener!$D$8),1,0)</f>
        <v/>
      </c>
      <c r="C451" s="220">
        <f>IF(AND(Screener!$D$7&lt;&gt;"",Database!$D451=Screener!$D$7),1,0)</f>
        <v/>
      </c>
      <c r="D451" s="220">
        <f>IF(OR(N(Database!$I451)&lt;=0,N(Screener!$D$9)&lt;=0),0,MAX(0,1-ABS(LOG10(N(Database!$I451)/Screener!$D$9))/W_SIZEHW))</f>
        <v/>
      </c>
      <c r="E451" s="220">
        <f>IF(OR(Database!$BG451="",Screener!$D$10=""),0,IF(Database!$BG451=Screener!$D$10,1,0))</f>
        <v/>
      </c>
      <c r="F451" s="220">
        <f>IF(OR(Database!$BM451="",Screener!$D$11=""),0,IF(Database!$BM451=Screener!$D$11,1,0))</f>
        <v/>
      </c>
      <c r="G451" s="220">
        <f>IF(OR(Database!$H451="",N(Screener!$D$12)&lt;=0),0,MAX(0,1-(N(Screener!$D$12)-Database!$H451)/W_RECD))</f>
        <v/>
      </c>
      <c r="H451" s="220">
        <f>IF($U$1="",0,N(ISNUMBER(SEARCH($U$1,Database!$AC451&amp;""))))+IF($V$1="",0,N(ISNUMBER(SEARCH($V$1,Database!$AC451&amp;""))))+IF($W$1="",0,N(ISNUMBER(SEARCH($W$1,Database!$AC451&amp;""))))+IF($X$1="",0,N(ISNUMBER(SEARCH($X$1,Database!$AC451&amp;""))))+IF($Y$1="",0,N(ISNUMBER(SEARCH($Y$1,Database!$AC451&amp;""))))+IF(Screener!$B$17="",0,N(ISNUMBER(SEARCH(LOWER(Screener!$B$17),Database!$AC451&amp;""))))</f>
        <v/>
      </c>
      <c r="I451" s="220">
        <f>IF(OR(N(Database!$BH451)&lt;=0,N(Screener!$D$13)&lt;=0),0,MAX(0,1-ABS(LOG10(N(Database!$BH451)/Screener!$D$13))/W_PEHW))</f>
        <v/>
      </c>
      <c r="J451" s="220">
        <f>IF(OR(N(Database!$S451)&lt;=0,N(Screener!$D$14)&lt;=0),0,MAX(0,1-ABS(LOG10(Database!$S451/Screener!$D$14))/0.6))</f>
        <v/>
      </c>
      <c r="K451" s="220">
        <f>IF(Database!$B451=Screener!$B$5,-999999,IF(ISNUMBER(SEARCH(","&amp;Database!$A451&amp;",",","&amp;SUBSTITUTE(Screener!$D$17," ","")&amp;",")),2000000,IF(IF(OR(Screener!$B$18="All",AND(Screener!$B$18="With A-share",(Database!$BM451="Y")),AND(Screener!$B$18="Without A-share",NOT((Database!$BM451="Y")))),1,0)=0,-999999,IF(Screener!$B$16="cornerstone overlap first",H451*100000,IF(Screener!$B$16="demand-similar first",J451*100000,0))+W_SUB*B451+W_SEC*C451*(1-B451)+W_SIZE*D451+W_PROF*E451+W_AH*F451+W_REC*G451+W_CS*H451+W_PE*I451)))+ROW()/1000000</f>
        <v/>
      </c>
      <c r="AA451" s="220">
        <f>Database!B440</f>
        <v/>
      </c>
      <c r="AB451" s="220">
        <f>Database!D440</f>
        <v/>
      </c>
      <c r="AC451" s="220">
        <f>Database!E440</f>
        <v/>
      </c>
      <c r="AD451" s="220">
        <f>Database!I440</f>
        <v/>
      </c>
      <c r="AE451" s="220">
        <f>Database!BG440</f>
        <v/>
      </c>
      <c r="AF451" s="220">
        <f>Database!BM440</f>
        <v/>
      </c>
      <c r="AG451" s="220">
        <f>Database!H440</f>
        <v/>
      </c>
      <c r="AH451" s="220">
        <f>Database!BH440</f>
        <v/>
      </c>
    </row>
    <row r="452">
      <c r="A452" s="220">
        <f>Database!B452</f>
        <v/>
      </c>
      <c r="B452" s="220">
        <f>IF(AND(Screener!$D$8&lt;&gt;"",Database!$E452=Screener!$D$8),1,0)</f>
        <v/>
      </c>
      <c r="C452" s="220">
        <f>IF(AND(Screener!$D$7&lt;&gt;"",Database!$D452=Screener!$D$7),1,0)</f>
        <v/>
      </c>
      <c r="D452" s="220">
        <f>IF(OR(N(Database!$I452)&lt;=0,N(Screener!$D$9)&lt;=0),0,MAX(0,1-ABS(LOG10(N(Database!$I452)/Screener!$D$9))/W_SIZEHW))</f>
        <v/>
      </c>
      <c r="E452" s="220">
        <f>IF(OR(Database!$BG452="",Screener!$D$10=""),0,IF(Database!$BG452=Screener!$D$10,1,0))</f>
        <v/>
      </c>
      <c r="F452" s="220">
        <f>IF(OR(Database!$BM452="",Screener!$D$11=""),0,IF(Database!$BM452=Screener!$D$11,1,0))</f>
        <v/>
      </c>
      <c r="G452" s="220">
        <f>IF(OR(Database!$H452="",N(Screener!$D$12)&lt;=0),0,MAX(0,1-(N(Screener!$D$12)-Database!$H452)/W_RECD))</f>
        <v/>
      </c>
      <c r="H452" s="220">
        <f>IF($U$1="",0,N(ISNUMBER(SEARCH($U$1,Database!$AC452&amp;""))))+IF($V$1="",0,N(ISNUMBER(SEARCH($V$1,Database!$AC452&amp;""))))+IF($W$1="",0,N(ISNUMBER(SEARCH($W$1,Database!$AC452&amp;""))))+IF($X$1="",0,N(ISNUMBER(SEARCH($X$1,Database!$AC452&amp;""))))+IF($Y$1="",0,N(ISNUMBER(SEARCH($Y$1,Database!$AC452&amp;""))))+IF(Screener!$B$17="",0,N(ISNUMBER(SEARCH(LOWER(Screener!$B$17),Database!$AC452&amp;""))))</f>
        <v/>
      </c>
      <c r="I452" s="220">
        <f>IF(OR(N(Database!$BH452)&lt;=0,N(Screener!$D$13)&lt;=0),0,MAX(0,1-ABS(LOG10(N(Database!$BH452)/Screener!$D$13))/W_PEHW))</f>
        <v/>
      </c>
      <c r="J452" s="220">
        <f>IF(OR(N(Database!$S452)&lt;=0,N(Screener!$D$14)&lt;=0),0,MAX(0,1-ABS(LOG10(Database!$S452/Screener!$D$14))/0.6))</f>
        <v/>
      </c>
      <c r="K452" s="220">
        <f>IF(Database!$B452=Screener!$B$5,-999999,IF(ISNUMBER(SEARCH(","&amp;Database!$A452&amp;",",","&amp;SUBSTITUTE(Screener!$D$17," ","")&amp;",")),2000000,IF(IF(OR(Screener!$B$18="All",AND(Screener!$B$18="With A-share",(Database!$BM452="Y")),AND(Screener!$B$18="Without A-share",NOT((Database!$BM452="Y")))),1,0)=0,-999999,IF(Screener!$B$16="cornerstone overlap first",H452*100000,IF(Screener!$B$16="demand-similar first",J452*100000,0))+W_SUB*B452+W_SEC*C452*(1-B452)+W_SIZE*D452+W_PROF*E452+W_AH*F452+W_REC*G452+W_CS*H452+W_PE*I452)))+ROW()/1000000</f>
        <v/>
      </c>
      <c r="AA452" s="220">
        <f>Database!B441</f>
        <v/>
      </c>
      <c r="AB452" s="220">
        <f>Database!D441</f>
        <v/>
      </c>
      <c r="AC452" s="220">
        <f>Database!E441</f>
        <v/>
      </c>
      <c r="AD452" s="220">
        <f>Database!I441</f>
        <v/>
      </c>
      <c r="AE452" s="220">
        <f>Database!BG441</f>
        <v/>
      </c>
      <c r="AF452" s="220">
        <f>Database!BM441</f>
        <v/>
      </c>
      <c r="AG452" s="220">
        <f>Database!H441</f>
        <v/>
      </c>
      <c r="AH452" s="220">
        <f>Database!BH441</f>
        <v/>
      </c>
    </row>
    <row r="453">
      <c r="A453" s="220">
        <f>Database!B453</f>
        <v/>
      </c>
      <c r="B453" s="220">
        <f>IF(AND(Screener!$D$8&lt;&gt;"",Database!$E453=Screener!$D$8),1,0)</f>
        <v/>
      </c>
      <c r="C453" s="220">
        <f>IF(AND(Screener!$D$7&lt;&gt;"",Database!$D453=Screener!$D$7),1,0)</f>
        <v/>
      </c>
      <c r="D453" s="220">
        <f>IF(OR(N(Database!$I453)&lt;=0,N(Screener!$D$9)&lt;=0),0,MAX(0,1-ABS(LOG10(N(Database!$I453)/Screener!$D$9))/W_SIZEHW))</f>
        <v/>
      </c>
      <c r="E453" s="220">
        <f>IF(OR(Database!$BG453="",Screener!$D$10=""),0,IF(Database!$BG453=Screener!$D$10,1,0))</f>
        <v/>
      </c>
      <c r="F453" s="220">
        <f>IF(OR(Database!$BM453="",Screener!$D$11=""),0,IF(Database!$BM453=Screener!$D$11,1,0))</f>
        <v/>
      </c>
      <c r="G453" s="220">
        <f>IF(OR(Database!$H453="",N(Screener!$D$12)&lt;=0),0,MAX(0,1-(N(Screener!$D$12)-Database!$H453)/W_RECD))</f>
        <v/>
      </c>
      <c r="H453" s="220">
        <f>IF($U$1="",0,N(ISNUMBER(SEARCH($U$1,Database!$AC453&amp;""))))+IF($V$1="",0,N(ISNUMBER(SEARCH($V$1,Database!$AC453&amp;""))))+IF($W$1="",0,N(ISNUMBER(SEARCH($W$1,Database!$AC453&amp;""))))+IF($X$1="",0,N(ISNUMBER(SEARCH($X$1,Database!$AC453&amp;""))))+IF($Y$1="",0,N(ISNUMBER(SEARCH($Y$1,Database!$AC453&amp;""))))+IF(Screener!$B$17="",0,N(ISNUMBER(SEARCH(LOWER(Screener!$B$17),Database!$AC453&amp;""))))</f>
        <v/>
      </c>
      <c r="I453" s="220">
        <f>IF(OR(N(Database!$BH453)&lt;=0,N(Screener!$D$13)&lt;=0),0,MAX(0,1-ABS(LOG10(N(Database!$BH453)/Screener!$D$13))/W_PEHW))</f>
        <v/>
      </c>
      <c r="J453" s="220">
        <f>IF(OR(N(Database!$S453)&lt;=0,N(Screener!$D$14)&lt;=0),0,MAX(0,1-ABS(LOG10(Database!$S453/Screener!$D$14))/0.6))</f>
        <v/>
      </c>
      <c r="K453" s="220">
        <f>IF(Database!$B453=Screener!$B$5,-999999,IF(ISNUMBER(SEARCH(","&amp;Database!$A453&amp;",",","&amp;SUBSTITUTE(Screener!$D$17," ","")&amp;",")),2000000,IF(IF(OR(Screener!$B$18="All",AND(Screener!$B$18="With A-share",(Database!$BM453="Y")),AND(Screener!$B$18="Without A-share",NOT((Database!$BM453="Y")))),1,0)=0,-999999,IF(Screener!$B$16="cornerstone overlap first",H453*100000,IF(Screener!$B$16="demand-similar first",J453*100000,0))+W_SUB*B453+W_SEC*C453*(1-B453)+W_SIZE*D453+W_PROF*E453+W_AH*F453+W_REC*G453+W_CS*H453+W_PE*I453)))+ROW()/1000000</f>
        <v/>
      </c>
      <c r="AA453" s="220">
        <f>Database!B442</f>
        <v/>
      </c>
      <c r="AB453" s="220">
        <f>Database!D442</f>
        <v/>
      </c>
      <c r="AC453" s="220">
        <f>Database!E442</f>
        <v/>
      </c>
      <c r="AD453" s="220">
        <f>Database!I442</f>
        <v/>
      </c>
      <c r="AE453" s="220">
        <f>Database!BG442</f>
        <v/>
      </c>
      <c r="AF453" s="220">
        <f>Database!BM442</f>
        <v/>
      </c>
      <c r="AG453" s="220">
        <f>Database!H442</f>
        <v/>
      </c>
      <c r="AH453" s="220">
        <f>Database!BH442</f>
        <v/>
      </c>
    </row>
    <row r="454">
      <c r="A454" s="220">
        <f>Database!B454</f>
        <v/>
      </c>
      <c r="B454" s="220">
        <f>IF(AND(Screener!$D$8&lt;&gt;"",Database!$E454=Screener!$D$8),1,0)</f>
        <v/>
      </c>
      <c r="C454" s="220">
        <f>IF(AND(Screener!$D$7&lt;&gt;"",Database!$D454=Screener!$D$7),1,0)</f>
        <v/>
      </c>
      <c r="D454" s="220">
        <f>IF(OR(N(Database!$I454)&lt;=0,N(Screener!$D$9)&lt;=0),0,MAX(0,1-ABS(LOG10(N(Database!$I454)/Screener!$D$9))/W_SIZEHW))</f>
        <v/>
      </c>
      <c r="E454" s="220">
        <f>IF(OR(Database!$BG454="",Screener!$D$10=""),0,IF(Database!$BG454=Screener!$D$10,1,0))</f>
        <v/>
      </c>
      <c r="F454" s="220">
        <f>IF(OR(Database!$BM454="",Screener!$D$11=""),0,IF(Database!$BM454=Screener!$D$11,1,0))</f>
        <v/>
      </c>
      <c r="G454" s="220">
        <f>IF(OR(Database!$H454="",N(Screener!$D$12)&lt;=0),0,MAX(0,1-(N(Screener!$D$12)-Database!$H454)/W_RECD))</f>
        <v/>
      </c>
      <c r="H454" s="220">
        <f>IF($U$1="",0,N(ISNUMBER(SEARCH($U$1,Database!$AC454&amp;""))))+IF($V$1="",0,N(ISNUMBER(SEARCH($V$1,Database!$AC454&amp;""))))+IF($W$1="",0,N(ISNUMBER(SEARCH($W$1,Database!$AC454&amp;""))))+IF($X$1="",0,N(ISNUMBER(SEARCH($X$1,Database!$AC454&amp;""))))+IF($Y$1="",0,N(ISNUMBER(SEARCH($Y$1,Database!$AC454&amp;""))))+IF(Screener!$B$17="",0,N(ISNUMBER(SEARCH(LOWER(Screener!$B$17),Database!$AC454&amp;""))))</f>
        <v/>
      </c>
      <c r="I454" s="220">
        <f>IF(OR(N(Database!$BH454)&lt;=0,N(Screener!$D$13)&lt;=0),0,MAX(0,1-ABS(LOG10(N(Database!$BH454)/Screener!$D$13))/W_PEHW))</f>
        <v/>
      </c>
      <c r="J454" s="220">
        <f>IF(OR(N(Database!$S454)&lt;=0,N(Screener!$D$14)&lt;=0),0,MAX(0,1-ABS(LOG10(Database!$S454/Screener!$D$14))/0.6))</f>
        <v/>
      </c>
      <c r="K454" s="220">
        <f>IF(Database!$B454=Screener!$B$5,-999999,IF(ISNUMBER(SEARCH(","&amp;Database!$A454&amp;",",","&amp;SUBSTITUTE(Screener!$D$17," ","")&amp;",")),2000000,IF(IF(OR(Screener!$B$18="All",AND(Screener!$B$18="With A-share",(Database!$BM454="Y")),AND(Screener!$B$18="Without A-share",NOT((Database!$BM454="Y")))),1,0)=0,-999999,IF(Screener!$B$16="cornerstone overlap first",H454*100000,IF(Screener!$B$16="demand-similar first",J454*100000,0))+W_SUB*B454+W_SEC*C454*(1-B454)+W_SIZE*D454+W_PROF*E454+W_AH*F454+W_REC*G454+W_CS*H454+W_PE*I454)))+ROW()/1000000</f>
        <v/>
      </c>
      <c r="AA454" s="220">
        <f>Database!B443</f>
        <v/>
      </c>
      <c r="AB454" s="220">
        <f>Database!D443</f>
        <v/>
      </c>
      <c r="AC454" s="220">
        <f>Database!E443</f>
        <v/>
      </c>
      <c r="AD454" s="220">
        <f>Database!I443</f>
        <v/>
      </c>
      <c r="AE454" s="220">
        <f>Database!BG443</f>
        <v/>
      </c>
      <c r="AF454" s="220">
        <f>Database!BM443</f>
        <v/>
      </c>
      <c r="AG454" s="220">
        <f>Database!H443</f>
        <v/>
      </c>
      <c r="AH454" s="220">
        <f>Database!BH443</f>
        <v/>
      </c>
    </row>
    <row r="455">
      <c r="A455" s="220">
        <f>Database!B455</f>
        <v/>
      </c>
      <c r="B455" s="220">
        <f>IF(AND(Screener!$D$8&lt;&gt;"",Database!$E455=Screener!$D$8),1,0)</f>
        <v/>
      </c>
      <c r="C455" s="220">
        <f>IF(AND(Screener!$D$7&lt;&gt;"",Database!$D455=Screener!$D$7),1,0)</f>
        <v/>
      </c>
      <c r="D455" s="220">
        <f>IF(OR(N(Database!$I455)&lt;=0,N(Screener!$D$9)&lt;=0),0,MAX(0,1-ABS(LOG10(N(Database!$I455)/Screener!$D$9))/W_SIZEHW))</f>
        <v/>
      </c>
      <c r="E455" s="220">
        <f>IF(OR(Database!$BG455="",Screener!$D$10=""),0,IF(Database!$BG455=Screener!$D$10,1,0))</f>
        <v/>
      </c>
      <c r="F455" s="220">
        <f>IF(OR(Database!$BM455="",Screener!$D$11=""),0,IF(Database!$BM455=Screener!$D$11,1,0))</f>
        <v/>
      </c>
      <c r="G455" s="220">
        <f>IF(OR(Database!$H455="",N(Screener!$D$12)&lt;=0),0,MAX(0,1-(N(Screener!$D$12)-Database!$H455)/W_RECD))</f>
        <v/>
      </c>
      <c r="H455" s="220">
        <f>IF($U$1="",0,N(ISNUMBER(SEARCH($U$1,Database!$AC455&amp;""))))+IF($V$1="",0,N(ISNUMBER(SEARCH($V$1,Database!$AC455&amp;""))))+IF($W$1="",0,N(ISNUMBER(SEARCH($W$1,Database!$AC455&amp;""))))+IF($X$1="",0,N(ISNUMBER(SEARCH($X$1,Database!$AC455&amp;""))))+IF($Y$1="",0,N(ISNUMBER(SEARCH($Y$1,Database!$AC455&amp;""))))+IF(Screener!$B$17="",0,N(ISNUMBER(SEARCH(LOWER(Screener!$B$17),Database!$AC455&amp;""))))</f>
        <v/>
      </c>
      <c r="I455" s="220">
        <f>IF(OR(N(Database!$BH455)&lt;=0,N(Screener!$D$13)&lt;=0),0,MAX(0,1-ABS(LOG10(N(Database!$BH455)/Screener!$D$13))/W_PEHW))</f>
        <v/>
      </c>
      <c r="J455" s="220">
        <f>IF(OR(N(Database!$S455)&lt;=0,N(Screener!$D$14)&lt;=0),0,MAX(0,1-ABS(LOG10(Database!$S455/Screener!$D$14))/0.6))</f>
        <v/>
      </c>
      <c r="K455" s="220">
        <f>IF(Database!$B455=Screener!$B$5,-999999,IF(ISNUMBER(SEARCH(","&amp;Database!$A455&amp;",",","&amp;SUBSTITUTE(Screener!$D$17," ","")&amp;",")),2000000,IF(IF(OR(Screener!$B$18="All",AND(Screener!$B$18="With A-share",(Database!$BM455="Y")),AND(Screener!$B$18="Without A-share",NOT((Database!$BM455="Y")))),1,0)=0,-999999,IF(Screener!$B$16="cornerstone overlap first",H455*100000,IF(Screener!$B$16="demand-similar first",J455*100000,0))+W_SUB*B455+W_SEC*C455*(1-B455)+W_SIZE*D455+W_PROF*E455+W_AH*F455+W_REC*G455+W_CS*H455+W_PE*I455)))+ROW()/1000000</f>
        <v/>
      </c>
      <c r="AA455" s="220">
        <f>Database!B444</f>
        <v/>
      </c>
      <c r="AB455" s="220">
        <f>Database!D444</f>
        <v/>
      </c>
      <c r="AC455" s="220">
        <f>Database!E444</f>
        <v/>
      </c>
      <c r="AD455" s="220">
        <f>Database!I444</f>
        <v/>
      </c>
      <c r="AE455" s="220">
        <f>Database!BG444</f>
        <v/>
      </c>
      <c r="AF455" s="220">
        <f>Database!BM444</f>
        <v/>
      </c>
      <c r="AG455" s="220">
        <f>Database!H444</f>
        <v/>
      </c>
      <c r="AH455" s="220">
        <f>Database!BH444</f>
        <v/>
      </c>
    </row>
    <row r="456">
      <c r="A456" s="220">
        <f>Database!B456</f>
        <v/>
      </c>
      <c r="B456" s="220">
        <f>IF(AND(Screener!$D$8&lt;&gt;"",Database!$E456=Screener!$D$8),1,0)</f>
        <v/>
      </c>
      <c r="C456" s="220">
        <f>IF(AND(Screener!$D$7&lt;&gt;"",Database!$D456=Screener!$D$7),1,0)</f>
        <v/>
      </c>
      <c r="D456" s="220">
        <f>IF(OR(N(Database!$I456)&lt;=0,N(Screener!$D$9)&lt;=0),0,MAX(0,1-ABS(LOG10(N(Database!$I456)/Screener!$D$9))/W_SIZEHW))</f>
        <v/>
      </c>
      <c r="E456" s="220">
        <f>IF(OR(Database!$BG456="",Screener!$D$10=""),0,IF(Database!$BG456=Screener!$D$10,1,0))</f>
        <v/>
      </c>
      <c r="F456" s="220">
        <f>IF(OR(Database!$BM456="",Screener!$D$11=""),0,IF(Database!$BM456=Screener!$D$11,1,0))</f>
        <v/>
      </c>
      <c r="G456" s="220">
        <f>IF(OR(Database!$H456="",N(Screener!$D$12)&lt;=0),0,MAX(0,1-(N(Screener!$D$12)-Database!$H456)/W_RECD))</f>
        <v/>
      </c>
      <c r="H456" s="220">
        <f>IF($U$1="",0,N(ISNUMBER(SEARCH($U$1,Database!$AC456&amp;""))))+IF($V$1="",0,N(ISNUMBER(SEARCH($V$1,Database!$AC456&amp;""))))+IF($W$1="",0,N(ISNUMBER(SEARCH($W$1,Database!$AC456&amp;""))))+IF($X$1="",0,N(ISNUMBER(SEARCH($X$1,Database!$AC456&amp;""))))+IF($Y$1="",0,N(ISNUMBER(SEARCH($Y$1,Database!$AC456&amp;""))))+IF(Screener!$B$17="",0,N(ISNUMBER(SEARCH(LOWER(Screener!$B$17),Database!$AC456&amp;""))))</f>
        <v/>
      </c>
      <c r="I456" s="220">
        <f>IF(OR(N(Database!$BH456)&lt;=0,N(Screener!$D$13)&lt;=0),0,MAX(0,1-ABS(LOG10(N(Database!$BH456)/Screener!$D$13))/W_PEHW))</f>
        <v/>
      </c>
      <c r="J456" s="220">
        <f>IF(OR(N(Database!$S456)&lt;=0,N(Screener!$D$14)&lt;=0),0,MAX(0,1-ABS(LOG10(Database!$S456/Screener!$D$14))/0.6))</f>
        <v/>
      </c>
      <c r="K456" s="220">
        <f>IF(Database!$B456=Screener!$B$5,-999999,IF(ISNUMBER(SEARCH(","&amp;Database!$A456&amp;",",","&amp;SUBSTITUTE(Screener!$D$17," ","")&amp;",")),2000000,IF(IF(OR(Screener!$B$18="All",AND(Screener!$B$18="With A-share",(Database!$BM456="Y")),AND(Screener!$B$18="Without A-share",NOT((Database!$BM456="Y")))),1,0)=0,-999999,IF(Screener!$B$16="cornerstone overlap first",H456*100000,IF(Screener!$B$16="demand-similar first",J456*100000,0))+W_SUB*B456+W_SEC*C456*(1-B456)+W_SIZE*D456+W_PROF*E456+W_AH*F456+W_REC*G456+W_CS*H456+W_PE*I456)))+ROW()/1000000</f>
        <v/>
      </c>
      <c r="AA456" s="220">
        <f>Database!B445</f>
        <v/>
      </c>
      <c r="AB456" s="220">
        <f>Database!D445</f>
        <v/>
      </c>
      <c r="AC456" s="220">
        <f>Database!E445</f>
        <v/>
      </c>
      <c r="AD456" s="220">
        <f>Database!I445</f>
        <v/>
      </c>
      <c r="AE456" s="220">
        <f>Database!BG445</f>
        <v/>
      </c>
      <c r="AF456" s="220">
        <f>Database!BM445</f>
        <v/>
      </c>
      <c r="AG456" s="220">
        <f>Database!H445</f>
        <v/>
      </c>
      <c r="AH456" s="220">
        <f>Database!BH445</f>
        <v/>
      </c>
    </row>
    <row r="457">
      <c r="A457" s="220">
        <f>Database!B457</f>
        <v/>
      </c>
      <c r="B457" s="220">
        <f>IF(AND(Screener!$D$8&lt;&gt;"",Database!$E457=Screener!$D$8),1,0)</f>
        <v/>
      </c>
      <c r="C457" s="220">
        <f>IF(AND(Screener!$D$7&lt;&gt;"",Database!$D457=Screener!$D$7),1,0)</f>
        <v/>
      </c>
      <c r="D457" s="220">
        <f>IF(OR(N(Database!$I457)&lt;=0,N(Screener!$D$9)&lt;=0),0,MAX(0,1-ABS(LOG10(N(Database!$I457)/Screener!$D$9))/W_SIZEHW))</f>
        <v/>
      </c>
      <c r="E457" s="220">
        <f>IF(OR(Database!$BG457="",Screener!$D$10=""),0,IF(Database!$BG457=Screener!$D$10,1,0))</f>
        <v/>
      </c>
      <c r="F457" s="220">
        <f>IF(OR(Database!$BM457="",Screener!$D$11=""),0,IF(Database!$BM457=Screener!$D$11,1,0))</f>
        <v/>
      </c>
      <c r="G457" s="220">
        <f>IF(OR(Database!$H457="",N(Screener!$D$12)&lt;=0),0,MAX(0,1-(N(Screener!$D$12)-Database!$H457)/W_RECD))</f>
        <v/>
      </c>
      <c r="H457" s="220">
        <f>IF($U$1="",0,N(ISNUMBER(SEARCH($U$1,Database!$AC457&amp;""))))+IF($V$1="",0,N(ISNUMBER(SEARCH($V$1,Database!$AC457&amp;""))))+IF($W$1="",0,N(ISNUMBER(SEARCH($W$1,Database!$AC457&amp;""))))+IF($X$1="",0,N(ISNUMBER(SEARCH($X$1,Database!$AC457&amp;""))))+IF($Y$1="",0,N(ISNUMBER(SEARCH($Y$1,Database!$AC457&amp;""))))+IF(Screener!$B$17="",0,N(ISNUMBER(SEARCH(LOWER(Screener!$B$17),Database!$AC457&amp;""))))</f>
        <v/>
      </c>
      <c r="I457" s="220">
        <f>IF(OR(N(Database!$BH457)&lt;=0,N(Screener!$D$13)&lt;=0),0,MAX(0,1-ABS(LOG10(N(Database!$BH457)/Screener!$D$13))/W_PEHW))</f>
        <v/>
      </c>
      <c r="J457" s="220">
        <f>IF(OR(N(Database!$S457)&lt;=0,N(Screener!$D$14)&lt;=0),0,MAX(0,1-ABS(LOG10(Database!$S457/Screener!$D$14))/0.6))</f>
        <v/>
      </c>
      <c r="K457" s="220">
        <f>IF(Database!$B457=Screener!$B$5,-999999,IF(ISNUMBER(SEARCH(","&amp;Database!$A457&amp;",",","&amp;SUBSTITUTE(Screener!$D$17," ","")&amp;",")),2000000,IF(IF(OR(Screener!$B$18="All",AND(Screener!$B$18="With A-share",(Database!$BM457="Y")),AND(Screener!$B$18="Without A-share",NOT((Database!$BM457="Y")))),1,0)=0,-999999,IF(Screener!$B$16="cornerstone overlap first",H457*100000,IF(Screener!$B$16="demand-similar first",J457*100000,0))+W_SUB*B457+W_SEC*C457*(1-B457)+W_SIZE*D457+W_PROF*E457+W_AH*F457+W_REC*G457+W_CS*H457+W_PE*I457)))+ROW()/1000000</f>
        <v/>
      </c>
      <c r="AA457" s="220">
        <f>Database!B446</f>
        <v/>
      </c>
      <c r="AB457" s="220">
        <f>Database!D446</f>
        <v/>
      </c>
      <c r="AC457" s="220">
        <f>Database!E446</f>
        <v/>
      </c>
      <c r="AD457" s="220">
        <f>Database!I446</f>
        <v/>
      </c>
      <c r="AE457" s="220">
        <f>Database!BG446</f>
        <v/>
      </c>
      <c r="AF457" s="220">
        <f>Database!BM446</f>
        <v/>
      </c>
      <c r="AG457" s="220">
        <f>Database!H446</f>
        <v/>
      </c>
      <c r="AH457" s="220">
        <f>Database!BH446</f>
        <v/>
      </c>
    </row>
    <row r="458">
      <c r="A458" s="220">
        <f>Database!B458</f>
        <v/>
      </c>
      <c r="B458" s="220">
        <f>IF(AND(Screener!$D$8&lt;&gt;"",Database!$E458=Screener!$D$8),1,0)</f>
        <v/>
      </c>
      <c r="C458" s="220">
        <f>IF(AND(Screener!$D$7&lt;&gt;"",Database!$D458=Screener!$D$7),1,0)</f>
        <v/>
      </c>
      <c r="D458" s="220">
        <f>IF(OR(N(Database!$I458)&lt;=0,N(Screener!$D$9)&lt;=0),0,MAX(0,1-ABS(LOG10(N(Database!$I458)/Screener!$D$9))/W_SIZEHW))</f>
        <v/>
      </c>
      <c r="E458" s="220">
        <f>IF(OR(Database!$BG458="",Screener!$D$10=""),0,IF(Database!$BG458=Screener!$D$10,1,0))</f>
        <v/>
      </c>
      <c r="F458" s="220">
        <f>IF(OR(Database!$BM458="",Screener!$D$11=""),0,IF(Database!$BM458=Screener!$D$11,1,0))</f>
        <v/>
      </c>
      <c r="G458" s="220">
        <f>IF(OR(Database!$H458="",N(Screener!$D$12)&lt;=0),0,MAX(0,1-(N(Screener!$D$12)-Database!$H458)/W_RECD))</f>
        <v/>
      </c>
      <c r="H458" s="220">
        <f>IF($U$1="",0,N(ISNUMBER(SEARCH($U$1,Database!$AC458&amp;""))))+IF($V$1="",0,N(ISNUMBER(SEARCH($V$1,Database!$AC458&amp;""))))+IF($W$1="",0,N(ISNUMBER(SEARCH($W$1,Database!$AC458&amp;""))))+IF($X$1="",0,N(ISNUMBER(SEARCH($X$1,Database!$AC458&amp;""))))+IF($Y$1="",0,N(ISNUMBER(SEARCH($Y$1,Database!$AC458&amp;""))))+IF(Screener!$B$17="",0,N(ISNUMBER(SEARCH(LOWER(Screener!$B$17),Database!$AC458&amp;""))))</f>
        <v/>
      </c>
      <c r="I458" s="220">
        <f>IF(OR(N(Database!$BH458)&lt;=0,N(Screener!$D$13)&lt;=0),0,MAX(0,1-ABS(LOG10(N(Database!$BH458)/Screener!$D$13))/W_PEHW))</f>
        <v/>
      </c>
      <c r="J458" s="220">
        <f>IF(OR(N(Database!$S458)&lt;=0,N(Screener!$D$14)&lt;=0),0,MAX(0,1-ABS(LOG10(Database!$S458/Screener!$D$14))/0.6))</f>
        <v/>
      </c>
      <c r="K458" s="220">
        <f>IF(Database!$B458=Screener!$B$5,-999999,IF(ISNUMBER(SEARCH(","&amp;Database!$A458&amp;",",","&amp;SUBSTITUTE(Screener!$D$17," ","")&amp;",")),2000000,IF(IF(OR(Screener!$B$18="All",AND(Screener!$B$18="With A-share",(Database!$BM458="Y")),AND(Screener!$B$18="Without A-share",NOT((Database!$BM458="Y")))),1,0)=0,-999999,IF(Screener!$B$16="cornerstone overlap first",H458*100000,IF(Screener!$B$16="demand-similar first",J458*100000,0))+W_SUB*B458+W_SEC*C458*(1-B458)+W_SIZE*D458+W_PROF*E458+W_AH*F458+W_REC*G458+W_CS*H458+W_PE*I458)))+ROW()/1000000</f>
        <v/>
      </c>
      <c r="AA458" s="220">
        <f>Database!B447</f>
        <v/>
      </c>
      <c r="AB458" s="220">
        <f>Database!D447</f>
        <v/>
      </c>
      <c r="AC458" s="220">
        <f>Database!E447</f>
        <v/>
      </c>
      <c r="AD458" s="220">
        <f>Database!I447</f>
        <v/>
      </c>
      <c r="AE458" s="220">
        <f>Database!BG447</f>
        <v/>
      </c>
      <c r="AF458" s="220">
        <f>Database!BM447</f>
        <v/>
      </c>
      <c r="AG458" s="220">
        <f>Database!H447</f>
        <v/>
      </c>
      <c r="AH458" s="220">
        <f>Database!BH447</f>
        <v/>
      </c>
    </row>
    <row r="459">
      <c r="A459" s="220">
        <f>Database!B459</f>
        <v/>
      </c>
      <c r="B459" s="220">
        <f>IF(AND(Screener!$D$8&lt;&gt;"",Database!$E459=Screener!$D$8),1,0)</f>
        <v/>
      </c>
      <c r="C459" s="220">
        <f>IF(AND(Screener!$D$7&lt;&gt;"",Database!$D459=Screener!$D$7),1,0)</f>
        <v/>
      </c>
      <c r="D459" s="220">
        <f>IF(OR(N(Database!$I459)&lt;=0,N(Screener!$D$9)&lt;=0),0,MAX(0,1-ABS(LOG10(N(Database!$I459)/Screener!$D$9))/W_SIZEHW))</f>
        <v/>
      </c>
      <c r="E459" s="220">
        <f>IF(OR(Database!$BG459="",Screener!$D$10=""),0,IF(Database!$BG459=Screener!$D$10,1,0))</f>
        <v/>
      </c>
      <c r="F459" s="220">
        <f>IF(OR(Database!$BM459="",Screener!$D$11=""),0,IF(Database!$BM459=Screener!$D$11,1,0))</f>
        <v/>
      </c>
      <c r="G459" s="220">
        <f>IF(OR(Database!$H459="",N(Screener!$D$12)&lt;=0),0,MAX(0,1-(N(Screener!$D$12)-Database!$H459)/W_RECD))</f>
        <v/>
      </c>
      <c r="H459" s="220">
        <f>IF($U$1="",0,N(ISNUMBER(SEARCH($U$1,Database!$AC459&amp;""))))+IF($V$1="",0,N(ISNUMBER(SEARCH($V$1,Database!$AC459&amp;""))))+IF($W$1="",0,N(ISNUMBER(SEARCH($W$1,Database!$AC459&amp;""))))+IF($X$1="",0,N(ISNUMBER(SEARCH($X$1,Database!$AC459&amp;""))))+IF($Y$1="",0,N(ISNUMBER(SEARCH($Y$1,Database!$AC459&amp;""))))+IF(Screener!$B$17="",0,N(ISNUMBER(SEARCH(LOWER(Screener!$B$17),Database!$AC459&amp;""))))</f>
        <v/>
      </c>
      <c r="I459" s="220">
        <f>IF(OR(N(Database!$BH459)&lt;=0,N(Screener!$D$13)&lt;=0),0,MAX(0,1-ABS(LOG10(N(Database!$BH459)/Screener!$D$13))/W_PEHW))</f>
        <v/>
      </c>
      <c r="J459" s="220">
        <f>IF(OR(N(Database!$S459)&lt;=0,N(Screener!$D$14)&lt;=0),0,MAX(0,1-ABS(LOG10(Database!$S459/Screener!$D$14))/0.6))</f>
        <v/>
      </c>
      <c r="K459" s="220">
        <f>IF(Database!$B459=Screener!$B$5,-999999,IF(ISNUMBER(SEARCH(","&amp;Database!$A459&amp;",",","&amp;SUBSTITUTE(Screener!$D$17," ","")&amp;",")),2000000,IF(IF(OR(Screener!$B$18="All",AND(Screener!$B$18="With A-share",(Database!$BM459="Y")),AND(Screener!$B$18="Without A-share",NOT((Database!$BM459="Y")))),1,0)=0,-999999,IF(Screener!$B$16="cornerstone overlap first",H459*100000,IF(Screener!$B$16="demand-similar first",J459*100000,0))+W_SUB*B459+W_SEC*C459*(1-B459)+W_SIZE*D459+W_PROF*E459+W_AH*F459+W_REC*G459+W_CS*H459+W_PE*I459)))+ROW()/1000000</f>
        <v/>
      </c>
      <c r="AA459" s="220">
        <f>Database!B448</f>
        <v/>
      </c>
      <c r="AB459" s="220">
        <f>Database!D448</f>
        <v/>
      </c>
      <c r="AC459" s="220">
        <f>Database!E448</f>
        <v/>
      </c>
      <c r="AD459" s="220">
        <f>Database!I448</f>
        <v/>
      </c>
      <c r="AE459" s="220">
        <f>Database!BG448</f>
        <v/>
      </c>
      <c r="AF459" s="220">
        <f>Database!BM448</f>
        <v/>
      </c>
      <c r="AG459" s="220">
        <f>Database!H448</f>
        <v/>
      </c>
      <c r="AH459" s="220">
        <f>Database!BH448</f>
        <v/>
      </c>
    </row>
    <row r="460">
      <c r="A460" s="220">
        <f>Database!B460</f>
        <v/>
      </c>
      <c r="B460" s="220">
        <f>IF(AND(Screener!$D$8&lt;&gt;"",Database!$E460=Screener!$D$8),1,0)</f>
        <v/>
      </c>
      <c r="C460" s="220">
        <f>IF(AND(Screener!$D$7&lt;&gt;"",Database!$D460=Screener!$D$7),1,0)</f>
        <v/>
      </c>
      <c r="D460" s="220">
        <f>IF(OR(N(Database!$I460)&lt;=0,N(Screener!$D$9)&lt;=0),0,MAX(0,1-ABS(LOG10(N(Database!$I460)/Screener!$D$9))/W_SIZEHW))</f>
        <v/>
      </c>
      <c r="E460" s="220">
        <f>IF(OR(Database!$BG460="",Screener!$D$10=""),0,IF(Database!$BG460=Screener!$D$10,1,0))</f>
        <v/>
      </c>
      <c r="F460" s="220">
        <f>IF(OR(Database!$BM460="",Screener!$D$11=""),0,IF(Database!$BM460=Screener!$D$11,1,0))</f>
        <v/>
      </c>
      <c r="G460" s="220">
        <f>IF(OR(Database!$H460="",N(Screener!$D$12)&lt;=0),0,MAX(0,1-(N(Screener!$D$12)-Database!$H460)/W_RECD))</f>
        <v/>
      </c>
      <c r="H460" s="220">
        <f>IF($U$1="",0,N(ISNUMBER(SEARCH($U$1,Database!$AC460&amp;""))))+IF($V$1="",0,N(ISNUMBER(SEARCH($V$1,Database!$AC460&amp;""))))+IF($W$1="",0,N(ISNUMBER(SEARCH($W$1,Database!$AC460&amp;""))))+IF($X$1="",0,N(ISNUMBER(SEARCH($X$1,Database!$AC460&amp;""))))+IF($Y$1="",0,N(ISNUMBER(SEARCH($Y$1,Database!$AC460&amp;""))))+IF(Screener!$B$17="",0,N(ISNUMBER(SEARCH(LOWER(Screener!$B$17),Database!$AC460&amp;""))))</f>
        <v/>
      </c>
      <c r="I460" s="220">
        <f>IF(OR(N(Database!$BH460)&lt;=0,N(Screener!$D$13)&lt;=0),0,MAX(0,1-ABS(LOG10(N(Database!$BH460)/Screener!$D$13))/W_PEHW))</f>
        <v/>
      </c>
      <c r="J460" s="220">
        <f>IF(OR(N(Database!$S460)&lt;=0,N(Screener!$D$14)&lt;=0),0,MAX(0,1-ABS(LOG10(Database!$S460/Screener!$D$14))/0.6))</f>
        <v/>
      </c>
      <c r="K460" s="220">
        <f>IF(Database!$B460=Screener!$B$5,-999999,IF(ISNUMBER(SEARCH(","&amp;Database!$A460&amp;",",","&amp;SUBSTITUTE(Screener!$D$17," ","")&amp;",")),2000000,IF(IF(OR(Screener!$B$18="All",AND(Screener!$B$18="With A-share",(Database!$BM460="Y")),AND(Screener!$B$18="Without A-share",NOT((Database!$BM460="Y")))),1,0)=0,-999999,IF(Screener!$B$16="cornerstone overlap first",H460*100000,IF(Screener!$B$16="demand-similar first",J460*100000,0))+W_SUB*B460+W_SEC*C460*(1-B460)+W_SIZE*D460+W_PROF*E460+W_AH*F460+W_REC*G460+W_CS*H460+W_PE*I460)))+ROW()/1000000</f>
        <v/>
      </c>
      <c r="AA460" s="220">
        <f>Database!B449</f>
        <v/>
      </c>
      <c r="AB460" s="220">
        <f>Database!D449</f>
        <v/>
      </c>
      <c r="AC460" s="220">
        <f>Database!E449</f>
        <v/>
      </c>
      <c r="AD460" s="220">
        <f>Database!I449</f>
        <v/>
      </c>
      <c r="AE460" s="220">
        <f>Database!BG449</f>
        <v/>
      </c>
      <c r="AF460" s="220">
        <f>Database!BM449</f>
        <v/>
      </c>
      <c r="AG460" s="220">
        <f>Database!H449</f>
        <v/>
      </c>
      <c r="AH460" s="220">
        <f>Database!BH449</f>
        <v/>
      </c>
    </row>
    <row r="461">
      <c r="A461" s="220">
        <f>Database!B461</f>
        <v/>
      </c>
      <c r="B461" s="220">
        <f>IF(AND(Screener!$D$8&lt;&gt;"",Database!$E461=Screener!$D$8),1,0)</f>
        <v/>
      </c>
      <c r="C461" s="220">
        <f>IF(AND(Screener!$D$7&lt;&gt;"",Database!$D461=Screener!$D$7),1,0)</f>
        <v/>
      </c>
      <c r="D461" s="220">
        <f>IF(OR(N(Database!$I461)&lt;=0,N(Screener!$D$9)&lt;=0),0,MAX(0,1-ABS(LOG10(N(Database!$I461)/Screener!$D$9))/W_SIZEHW))</f>
        <v/>
      </c>
      <c r="E461" s="220">
        <f>IF(OR(Database!$BG461="",Screener!$D$10=""),0,IF(Database!$BG461=Screener!$D$10,1,0))</f>
        <v/>
      </c>
      <c r="F461" s="220">
        <f>IF(OR(Database!$BM461="",Screener!$D$11=""),0,IF(Database!$BM461=Screener!$D$11,1,0))</f>
        <v/>
      </c>
      <c r="G461" s="220">
        <f>IF(OR(Database!$H461="",N(Screener!$D$12)&lt;=0),0,MAX(0,1-(N(Screener!$D$12)-Database!$H461)/W_RECD))</f>
        <v/>
      </c>
      <c r="H461" s="220">
        <f>IF($U$1="",0,N(ISNUMBER(SEARCH($U$1,Database!$AC461&amp;""))))+IF($V$1="",0,N(ISNUMBER(SEARCH($V$1,Database!$AC461&amp;""))))+IF($W$1="",0,N(ISNUMBER(SEARCH($W$1,Database!$AC461&amp;""))))+IF($X$1="",0,N(ISNUMBER(SEARCH($X$1,Database!$AC461&amp;""))))+IF($Y$1="",0,N(ISNUMBER(SEARCH($Y$1,Database!$AC461&amp;""))))+IF(Screener!$B$17="",0,N(ISNUMBER(SEARCH(LOWER(Screener!$B$17),Database!$AC461&amp;""))))</f>
        <v/>
      </c>
      <c r="I461" s="220">
        <f>IF(OR(N(Database!$BH461)&lt;=0,N(Screener!$D$13)&lt;=0),0,MAX(0,1-ABS(LOG10(N(Database!$BH461)/Screener!$D$13))/W_PEHW))</f>
        <v/>
      </c>
      <c r="J461" s="220">
        <f>IF(OR(N(Database!$S461)&lt;=0,N(Screener!$D$14)&lt;=0),0,MAX(0,1-ABS(LOG10(Database!$S461/Screener!$D$14))/0.6))</f>
        <v/>
      </c>
      <c r="K461" s="220">
        <f>IF(Database!$B461=Screener!$B$5,-999999,IF(ISNUMBER(SEARCH(","&amp;Database!$A461&amp;",",","&amp;SUBSTITUTE(Screener!$D$17," ","")&amp;",")),2000000,IF(IF(OR(Screener!$B$18="All",AND(Screener!$B$18="With A-share",(Database!$BM461="Y")),AND(Screener!$B$18="Without A-share",NOT((Database!$BM461="Y")))),1,0)=0,-999999,IF(Screener!$B$16="cornerstone overlap first",H461*100000,IF(Screener!$B$16="demand-similar first",J461*100000,0))+W_SUB*B461+W_SEC*C461*(1-B461)+W_SIZE*D461+W_PROF*E461+W_AH*F461+W_REC*G461+W_CS*H461+W_PE*I461)))+ROW()/1000000</f>
        <v/>
      </c>
      <c r="AA461" s="220">
        <f>Database!B450</f>
        <v/>
      </c>
      <c r="AB461" s="220">
        <f>Database!D450</f>
        <v/>
      </c>
      <c r="AC461" s="220">
        <f>Database!E450</f>
        <v/>
      </c>
      <c r="AD461" s="220">
        <f>Database!I450</f>
        <v/>
      </c>
      <c r="AE461" s="220">
        <f>Database!BG450</f>
        <v/>
      </c>
      <c r="AF461" s="220">
        <f>Database!BM450</f>
        <v/>
      </c>
      <c r="AG461" s="220">
        <f>Database!H450</f>
        <v/>
      </c>
      <c r="AH461" s="220">
        <f>Database!BH450</f>
        <v/>
      </c>
    </row>
    <row r="462">
      <c r="A462" s="220">
        <f>Database!B462</f>
        <v/>
      </c>
      <c r="B462" s="220">
        <f>IF(AND(Screener!$D$8&lt;&gt;"",Database!$E462=Screener!$D$8),1,0)</f>
        <v/>
      </c>
      <c r="C462" s="220">
        <f>IF(AND(Screener!$D$7&lt;&gt;"",Database!$D462=Screener!$D$7),1,0)</f>
        <v/>
      </c>
      <c r="D462" s="220">
        <f>IF(OR(N(Database!$I462)&lt;=0,N(Screener!$D$9)&lt;=0),0,MAX(0,1-ABS(LOG10(N(Database!$I462)/Screener!$D$9))/W_SIZEHW))</f>
        <v/>
      </c>
      <c r="E462" s="220">
        <f>IF(OR(Database!$BG462="",Screener!$D$10=""),0,IF(Database!$BG462=Screener!$D$10,1,0))</f>
        <v/>
      </c>
      <c r="F462" s="220">
        <f>IF(OR(Database!$BM462="",Screener!$D$11=""),0,IF(Database!$BM462=Screener!$D$11,1,0))</f>
        <v/>
      </c>
      <c r="G462" s="220">
        <f>IF(OR(Database!$H462="",N(Screener!$D$12)&lt;=0),0,MAX(0,1-(N(Screener!$D$12)-Database!$H462)/W_RECD))</f>
        <v/>
      </c>
      <c r="H462" s="220">
        <f>IF($U$1="",0,N(ISNUMBER(SEARCH($U$1,Database!$AC462&amp;""))))+IF($V$1="",0,N(ISNUMBER(SEARCH($V$1,Database!$AC462&amp;""))))+IF($W$1="",0,N(ISNUMBER(SEARCH($W$1,Database!$AC462&amp;""))))+IF($X$1="",0,N(ISNUMBER(SEARCH($X$1,Database!$AC462&amp;""))))+IF($Y$1="",0,N(ISNUMBER(SEARCH($Y$1,Database!$AC462&amp;""))))+IF(Screener!$B$17="",0,N(ISNUMBER(SEARCH(LOWER(Screener!$B$17),Database!$AC462&amp;""))))</f>
        <v/>
      </c>
      <c r="I462" s="220">
        <f>IF(OR(N(Database!$BH462)&lt;=0,N(Screener!$D$13)&lt;=0),0,MAX(0,1-ABS(LOG10(N(Database!$BH462)/Screener!$D$13))/W_PEHW))</f>
        <v/>
      </c>
      <c r="J462" s="220">
        <f>IF(OR(N(Database!$S462)&lt;=0,N(Screener!$D$14)&lt;=0),0,MAX(0,1-ABS(LOG10(Database!$S462/Screener!$D$14))/0.6))</f>
        <v/>
      </c>
      <c r="K462" s="220">
        <f>IF(Database!$B462=Screener!$B$5,-999999,IF(ISNUMBER(SEARCH(","&amp;Database!$A462&amp;",",","&amp;SUBSTITUTE(Screener!$D$17," ","")&amp;",")),2000000,IF(IF(OR(Screener!$B$18="All",AND(Screener!$B$18="With A-share",(Database!$BM462="Y")),AND(Screener!$B$18="Without A-share",NOT((Database!$BM462="Y")))),1,0)=0,-999999,IF(Screener!$B$16="cornerstone overlap first",H462*100000,IF(Screener!$B$16="demand-similar first",J462*100000,0))+W_SUB*B462+W_SEC*C462*(1-B462)+W_SIZE*D462+W_PROF*E462+W_AH*F462+W_REC*G462+W_CS*H462+W_PE*I462)))+ROW()/1000000</f>
        <v/>
      </c>
      <c r="AA462" s="220">
        <f>Database!B451</f>
        <v/>
      </c>
      <c r="AB462" s="220">
        <f>Database!D451</f>
        <v/>
      </c>
      <c r="AC462" s="220">
        <f>Database!E451</f>
        <v/>
      </c>
      <c r="AD462" s="220">
        <f>Database!I451</f>
        <v/>
      </c>
      <c r="AE462" s="220">
        <f>Database!BG451</f>
        <v/>
      </c>
      <c r="AF462" s="220">
        <f>Database!BM451</f>
        <v/>
      </c>
      <c r="AG462" s="220">
        <f>Database!H451</f>
        <v/>
      </c>
      <c r="AH462" s="220">
        <f>Database!BH451</f>
        <v/>
      </c>
    </row>
    <row r="463">
      <c r="A463" s="220">
        <f>Database!B463</f>
        <v/>
      </c>
      <c r="B463" s="220">
        <f>IF(AND(Screener!$D$8&lt;&gt;"",Database!$E463=Screener!$D$8),1,0)</f>
        <v/>
      </c>
      <c r="C463" s="220">
        <f>IF(AND(Screener!$D$7&lt;&gt;"",Database!$D463=Screener!$D$7),1,0)</f>
        <v/>
      </c>
      <c r="D463" s="220">
        <f>IF(OR(N(Database!$I463)&lt;=0,N(Screener!$D$9)&lt;=0),0,MAX(0,1-ABS(LOG10(N(Database!$I463)/Screener!$D$9))/W_SIZEHW))</f>
        <v/>
      </c>
      <c r="E463" s="220">
        <f>IF(OR(Database!$BG463="",Screener!$D$10=""),0,IF(Database!$BG463=Screener!$D$10,1,0))</f>
        <v/>
      </c>
      <c r="F463" s="220">
        <f>IF(OR(Database!$BM463="",Screener!$D$11=""),0,IF(Database!$BM463=Screener!$D$11,1,0))</f>
        <v/>
      </c>
      <c r="G463" s="220">
        <f>IF(OR(Database!$H463="",N(Screener!$D$12)&lt;=0),0,MAX(0,1-(N(Screener!$D$12)-Database!$H463)/W_RECD))</f>
        <v/>
      </c>
      <c r="H463" s="220">
        <f>IF($U$1="",0,N(ISNUMBER(SEARCH($U$1,Database!$AC463&amp;""))))+IF($V$1="",0,N(ISNUMBER(SEARCH($V$1,Database!$AC463&amp;""))))+IF($W$1="",0,N(ISNUMBER(SEARCH($W$1,Database!$AC463&amp;""))))+IF($X$1="",0,N(ISNUMBER(SEARCH($X$1,Database!$AC463&amp;""))))+IF($Y$1="",0,N(ISNUMBER(SEARCH($Y$1,Database!$AC463&amp;""))))+IF(Screener!$B$17="",0,N(ISNUMBER(SEARCH(LOWER(Screener!$B$17),Database!$AC463&amp;""))))</f>
        <v/>
      </c>
      <c r="I463" s="220">
        <f>IF(OR(N(Database!$BH463)&lt;=0,N(Screener!$D$13)&lt;=0),0,MAX(0,1-ABS(LOG10(N(Database!$BH463)/Screener!$D$13))/W_PEHW))</f>
        <v/>
      </c>
      <c r="J463" s="220">
        <f>IF(OR(N(Database!$S463)&lt;=0,N(Screener!$D$14)&lt;=0),0,MAX(0,1-ABS(LOG10(Database!$S463/Screener!$D$14))/0.6))</f>
        <v/>
      </c>
      <c r="K463" s="220">
        <f>IF(Database!$B463=Screener!$B$5,-999999,IF(ISNUMBER(SEARCH(","&amp;Database!$A463&amp;",",","&amp;SUBSTITUTE(Screener!$D$17," ","")&amp;",")),2000000,IF(IF(OR(Screener!$B$18="All",AND(Screener!$B$18="With A-share",(Database!$BM463="Y")),AND(Screener!$B$18="Without A-share",NOT((Database!$BM463="Y")))),1,0)=0,-999999,IF(Screener!$B$16="cornerstone overlap first",H463*100000,IF(Screener!$B$16="demand-similar first",J463*100000,0))+W_SUB*B463+W_SEC*C463*(1-B463)+W_SIZE*D463+W_PROF*E463+W_AH*F463+W_REC*G463+W_CS*H463+W_PE*I463)))+ROW()/1000000</f>
        <v/>
      </c>
      <c r="AA463" s="220">
        <f>Database!B452</f>
        <v/>
      </c>
      <c r="AB463" s="220">
        <f>Database!D452</f>
        <v/>
      </c>
      <c r="AC463" s="220">
        <f>Database!E452</f>
        <v/>
      </c>
      <c r="AD463" s="220">
        <f>Database!I452</f>
        <v/>
      </c>
      <c r="AE463" s="220">
        <f>Database!BG452</f>
        <v/>
      </c>
      <c r="AF463" s="220">
        <f>Database!BM452</f>
        <v/>
      </c>
      <c r="AG463" s="220">
        <f>Database!H452</f>
        <v/>
      </c>
      <c r="AH463" s="220">
        <f>Database!BH452</f>
        <v/>
      </c>
    </row>
    <row r="464">
      <c r="A464" s="220">
        <f>Database!B464</f>
        <v/>
      </c>
      <c r="B464" s="220">
        <f>IF(AND(Screener!$D$8&lt;&gt;"",Database!$E464=Screener!$D$8),1,0)</f>
        <v/>
      </c>
      <c r="C464" s="220">
        <f>IF(AND(Screener!$D$7&lt;&gt;"",Database!$D464=Screener!$D$7),1,0)</f>
        <v/>
      </c>
      <c r="D464" s="220">
        <f>IF(OR(N(Database!$I464)&lt;=0,N(Screener!$D$9)&lt;=0),0,MAX(0,1-ABS(LOG10(N(Database!$I464)/Screener!$D$9))/W_SIZEHW))</f>
        <v/>
      </c>
      <c r="E464" s="220">
        <f>IF(OR(Database!$BG464="",Screener!$D$10=""),0,IF(Database!$BG464=Screener!$D$10,1,0))</f>
        <v/>
      </c>
      <c r="F464" s="220">
        <f>IF(OR(Database!$BM464="",Screener!$D$11=""),0,IF(Database!$BM464=Screener!$D$11,1,0))</f>
        <v/>
      </c>
      <c r="G464" s="220">
        <f>IF(OR(Database!$H464="",N(Screener!$D$12)&lt;=0),0,MAX(0,1-(N(Screener!$D$12)-Database!$H464)/W_RECD))</f>
        <v/>
      </c>
      <c r="H464" s="220">
        <f>IF($U$1="",0,N(ISNUMBER(SEARCH($U$1,Database!$AC464&amp;""))))+IF($V$1="",0,N(ISNUMBER(SEARCH($V$1,Database!$AC464&amp;""))))+IF($W$1="",0,N(ISNUMBER(SEARCH($W$1,Database!$AC464&amp;""))))+IF($X$1="",0,N(ISNUMBER(SEARCH($X$1,Database!$AC464&amp;""))))+IF($Y$1="",0,N(ISNUMBER(SEARCH($Y$1,Database!$AC464&amp;""))))+IF(Screener!$B$17="",0,N(ISNUMBER(SEARCH(LOWER(Screener!$B$17),Database!$AC464&amp;""))))</f>
        <v/>
      </c>
      <c r="I464" s="220">
        <f>IF(OR(N(Database!$BH464)&lt;=0,N(Screener!$D$13)&lt;=0),0,MAX(0,1-ABS(LOG10(N(Database!$BH464)/Screener!$D$13))/W_PEHW))</f>
        <v/>
      </c>
      <c r="J464" s="220">
        <f>IF(OR(N(Database!$S464)&lt;=0,N(Screener!$D$14)&lt;=0),0,MAX(0,1-ABS(LOG10(Database!$S464/Screener!$D$14))/0.6))</f>
        <v/>
      </c>
      <c r="K464" s="220">
        <f>IF(Database!$B464=Screener!$B$5,-999999,IF(ISNUMBER(SEARCH(","&amp;Database!$A464&amp;",",","&amp;SUBSTITUTE(Screener!$D$17," ","")&amp;",")),2000000,IF(IF(OR(Screener!$B$18="All",AND(Screener!$B$18="With A-share",(Database!$BM464="Y")),AND(Screener!$B$18="Without A-share",NOT((Database!$BM464="Y")))),1,0)=0,-999999,IF(Screener!$B$16="cornerstone overlap first",H464*100000,IF(Screener!$B$16="demand-similar first",J464*100000,0))+W_SUB*B464+W_SEC*C464*(1-B464)+W_SIZE*D464+W_PROF*E464+W_AH*F464+W_REC*G464+W_CS*H464+W_PE*I464)))+ROW()/1000000</f>
        <v/>
      </c>
      <c r="AA464" s="220">
        <f>Database!B453</f>
        <v/>
      </c>
      <c r="AB464" s="220">
        <f>Database!D453</f>
        <v/>
      </c>
      <c r="AC464" s="220">
        <f>Database!E453</f>
        <v/>
      </c>
      <c r="AD464" s="220">
        <f>Database!I453</f>
        <v/>
      </c>
      <c r="AE464" s="220">
        <f>Database!BG453</f>
        <v/>
      </c>
      <c r="AF464" s="220">
        <f>Database!BM453</f>
        <v/>
      </c>
      <c r="AG464" s="220">
        <f>Database!H453</f>
        <v/>
      </c>
      <c r="AH464" s="220">
        <f>Database!BH453</f>
        <v/>
      </c>
    </row>
    <row r="465">
      <c r="A465" s="220">
        <f>Database!B465</f>
        <v/>
      </c>
      <c r="B465" s="220">
        <f>IF(AND(Screener!$D$8&lt;&gt;"",Database!$E465=Screener!$D$8),1,0)</f>
        <v/>
      </c>
      <c r="C465" s="220">
        <f>IF(AND(Screener!$D$7&lt;&gt;"",Database!$D465=Screener!$D$7),1,0)</f>
        <v/>
      </c>
      <c r="D465" s="220">
        <f>IF(OR(N(Database!$I465)&lt;=0,N(Screener!$D$9)&lt;=0),0,MAX(0,1-ABS(LOG10(N(Database!$I465)/Screener!$D$9))/W_SIZEHW))</f>
        <v/>
      </c>
      <c r="E465" s="220">
        <f>IF(OR(Database!$BG465="",Screener!$D$10=""),0,IF(Database!$BG465=Screener!$D$10,1,0))</f>
        <v/>
      </c>
      <c r="F465" s="220">
        <f>IF(OR(Database!$BM465="",Screener!$D$11=""),0,IF(Database!$BM465=Screener!$D$11,1,0))</f>
        <v/>
      </c>
      <c r="G465" s="220">
        <f>IF(OR(Database!$H465="",N(Screener!$D$12)&lt;=0),0,MAX(0,1-(N(Screener!$D$12)-Database!$H465)/W_RECD))</f>
        <v/>
      </c>
      <c r="H465" s="220">
        <f>IF($U$1="",0,N(ISNUMBER(SEARCH($U$1,Database!$AC465&amp;""))))+IF($V$1="",0,N(ISNUMBER(SEARCH($V$1,Database!$AC465&amp;""))))+IF($W$1="",0,N(ISNUMBER(SEARCH($W$1,Database!$AC465&amp;""))))+IF($X$1="",0,N(ISNUMBER(SEARCH($X$1,Database!$AC465&amp;""))))+IF($Y$1="",0,N(ISNUMBER(SEARCH($Y$1,Database!$AC465&amp;""))))+IF(Screener!$B$17="",0,N(ISNUMBER(SEARCH(LOWER(Screener!$B$17),Database!$AC465&amp;""))))</f>
        <v/>
      </c>
      <c r="I465" s="220">
        <f>IF(OR(N(Database!$BH465)&lt;=0,N(Screener!$D$13)&lt;=0),0,MAX(0,1-ABS(LOG10(N(Database!$BH465)/Screener!$D$13))/W_PEHW))</f>
        <v/>
      </c>
      <c r="J465" s="220">
        <f>IF(OR(N(Database!$S465)&lt;=0,N(Screener!$D$14)&lt;=0),0,MAX(0,1-ABS(LOG10(Database!$S465/Screener!$D$14))/0.6))</f>
        <v/>
      </c>
      <c r="K465" s="220">
        <f>IF(Database!$B465=Screener!$B$5,-999999,IF(ISNUMBER(SEARCH(","&amp;Database!$A465&amp;",",","&amp;SUBSTITUTE(Screener!$D$17," ","")&amp;",")),2000000,IF(IF(OR(Screener!$B$18="All",AND(Screener!$B$18="With A-share",(Database!$BM465="Y")),AND(Screener!$B$18="Without A-share",NOT((Database!$BM465="Y")))),1,0)=0,-999999,IF(Screener!$B$16="cornerstone overlap first",H465*100000,IF(Screener!$B$16="demand-similar first",J465*100000,0))+W_SUB*B465+W_SEC*C465*(1-B465)+W_SIZE*D465+W_PROF*E465+W_AH*F465+W_REC*G465+W_CS*H465+W_PE*I465)))+ROW()/1000000</f>
        <v/>
      </c>
      <c r="AA465" s="220">
        <f>Database!B454</f>
        <v/>
      </c>
      <c r="AB465" s="220">
        <f>Database!D454</f>
        <v/>
      </c>
      <c r="AC465" s="220">
        <f>Database!E454</f>
        <v/>
      </c>
      <c r="AD465" s="220">
        <f>Database!I454</f>
        <v/>
      </c>
      <c r="AE465" s="220">
        <f>Database!BG454</f>
        <v/>
      </c>
      <c r="AF465" s="220">
        <f>Database!BM454</f>
        <v/>
      </c>
      <c r="AG465" s="220">
        <f>Database!H454</f>
        <v/>
      </c>
      <c r="AH465" s="220">
        <f>Database!BH454</f>
        <v/>
      </c>
    </row>
    <row r="466">
      <c r="A466" s="220">
        <f>Database!B466</f>
        <v/>
      </c>
      <c r="B466" s="220">
        <f>IF(AND(Screener!$D$8&lt;&gt;"",Database!$E466=Screener!$D$8),1,0)</f>
        <v/>
      </c>
      <c r="C466" s="220">
        <f>IF(AND(Screener!$D$7&lt;&gt;"",Database!$D466=Screener!$D$7),1,0)</f>
        <v/>
      </c>
      <c r="D466" s="220">
        <f>IF(OR(N(Database!$I466)&lt;=0,N(Screener!$D$9)&lt;=0),0,MAX(0,1-ABS(LOG10(N(Database!$I466)/Screener!$D$9))/W_SIZEHW))</f>
        <v/>
      </c>
      <c r="E466" s="220">
        <f>IF(OR(Database!$BG466="",Screener!$D$10=""),0,IF(Database!$BG466=Screener!$D$10,1,0))</f>
        <v/>
      </c>
      <c r="F466" s="220">
        <f>IF(OR(Database!$BM466="",Screener!$D$11=""),0,IF(Database!$BM466=Screener!$D$11,1,0))</f>
        <v/>
      </c>
      <c r="G466" s="220">
        <f>IF(OR(Database!$H466="",N(Screener!$D$12)&lt;=0),0,MAX(0,1-(N(Screener!$D$12)-Database!$H466)/W_RECD))</f>
        <v/>
      </c>
      <c r="H466" s="220">
        <f>IF($U$1="",0,N(ISNUMBER(SEARCH($U$1,Database!$AC466&amp;""))))+IF($V$1="",0,N(ISNUMBER(SEARCH($V$1,Database!$AC466&amp;""))))+IF($W$1="",0,N(ISNUMBER(SEARCH($W$1,Database!$AC466&amp;""))))+IF($X$1="",0,N(ISNUMBER(SEARCH($X$1,Database!$AC466&amp;""))))+IF($Y$1="",0,N(ISNUMBER(SEARCH($Y$1,Database!$AC466&amp;""))))+IF(Screener!$B$17="",0,N(ISNUMBER(SEARCH(LOWER(Screener!$B$17),Database!$AC466&amp;""))))</f>
        <v/>
      </c>
      <c r="I466" s="220">
        <f>IF(OR(N(Database!$BH466)&lt;=0,N(Screener!$D$13)&lt;=0),0,MAX(0,1-ABS(LOG10(N(Database!$BH466)/Screener!$D$13))/W_PEHW))</f>
        <v/>
      </c>
      <c r="J466" s="220">
        <f>IF(OR(N(Database!$S466)&lt;=0,N(Screener!$D$14)&lt;=0),0,MAX(0,1-ABS(LOG10(Database!$S466/Screener!$D$14))/0.6))</f>
        <v/>
      </c>
      <c r="K466" s="220">
        <f>IF(Database!$B466=Screener!$B$5,-999999,IF(ISNUMBER(SEARCH(","&amp;Database!$A466&amp;",",","&amp;SUBSTITUTE(Screener!$D$17," ","")&amp;",")),2000000,IF(IF(OR(Screener!$B$18="All",AND(Screener!$B$18="With A-share",(Database!$BM466="Y")),AND(Screener!$B$18="Without A-share",NOT((Database!$BM466="Y")))),1,0)=0,-999999,IF(Screener!$B$16="cornerstone overlap first",H466*100000,IF(Screener!$B$16="demand-similar first",J466*100000,0))+W_SUB*B466+W_SEC*C466*(1-B466)+W_SIZE*D466+W_PROF*E466+W_AH*F466+W_REC*G466+W_CS*H466+W_PE*I466)))+ROW()/1000000</f>
        <v/>
      </c>
      <c r="AA466" s="220">
        <f>Database!B455</f>
        <v/>
      </c>
      <c r="AB466" s="220">
        <f>Database!D455</f>
        <v/>
      </c>
      <c r="AC466" s="220">
        <f>Database!E455</f>
        <v/>
      </c>
      <c r="AD466" s="220">
        <f>Database!I455</f>
        <v/>
      </c>
      <c r="AE466" s="220">
        <f>Database!BG455</f>
        <v/>
      </c>
      <c r="AF466" s="220">
        <f>Database!BM455</f>
        <v/>
      </c>
      <c r="AG466" s="220">
        <f>Database!H455</f>
        <v/>
      </c>
      <c r="AH466" s="220">
        <f>Database!BH455</f>
        <v/>
      </c>
    </row>
    <row r="467">
      <c r="A467" s="220">
        <f>Database!B467</f>
        <v/>
      </c>
      <c r="B467" s="220">
        <f>IF(AND(Screener!$D$8&lt;&gt;"",Database!$E467=Screener!$D$8),1,0)</f>
        <v/>
      </c>
      <c r="C467" s="220">
        <f>IF(AND(Screener!$D$7&lt;&gt;"",Database!$D467=Screener!$D$7),1,0)</f>
        <v/>
      </c>
      <c r="D467" s="220">
        <f>IF(OR(N(Database!$I467)&lt;=0,N(Screener!$D$9)&lt;=0),0,MAX(0,1-ABS(LOG10(N(Database!$I467)/Screener!$D$9))/W_SIZEHW))</f>
        <v/>
      </c>
      <c r="E467" s="220">
        <f>IF(OR(Database!$BG467="",Screener!$D$10=""),0,IF(Database!$BG467=Screener!$D$10,1,0))</f>
        <v/>
      </c>
      <c r="F467" s="220">
        <f>IF(OR(Database!$BM467="",Screener!$D$11=""),0,IF(Database!$BM467=Screener!$D$11,1,0))</f>
        <v/>
      </c>
      <c r="G467" s="220">
        <f>IF(OR(Database!$H467="",N(Screener!$D$12)&lt;=0),0,MAX(0,1-(N(Screener!$D$12)-Database!$H467)/W_RECD))</f>
        <v/>
      </c>
      <c r="H467" s="220">
        <f>IF($U$1="",0,N(ISNUMBER(SEARCH($U$1,Database!$AC467&amp;""))))+IF($V$1="",0,N(ISNUMBER(SEARCH($V$1,Database!$AC467&amp;""))))+IF($W$1="",0,N(ISNUMBER(SEARCH($W$1,Database!$AC467&amp;""))))+IF($X$1="",0,N(ISNUMBER(SEARCH($X$1,Database!$AC467&amp;""))))+IF($Y$1="",0,N(ISNUMBER(SEARCH($Y$1,Database!$AC467&amp;""))))+IF(Screener!$B$17="",0,N(ISNUMBER(SEARCH(LOWER(Screener!$B$17),Database!$AC467&amp;""))))</f>
        <v/>
      </c>
      <c r="I467" s="220">
        <f>IF(OR(N(Database!$BH467)&lt;=0,N(Screener!$D$13)&lt;=0),0,MAX(0,1-ABS(LOG10(N(Database!$BH467)/Screener!$D$13))/W_PEHW))</f>
        <v/>
      </c>
      <c r="J467" s="220">
        <f>IF(OR(N(Database!$S467)&lt;=0,N(Screener!$D$14)&lt;=0),0,MAX(0,1-ABS(LOG10(Database!$S467/Screener!$D$14))/0.6))</f>
        <v/>
      </c>
      <c r="K467" s="220">
        <f>IF(Database!$B467=Screener!$B$5,-999999,IF(ISNUMBER(SEARCH(","&amp;Database!$A467&amp;",",","&amp;SUBSTITUTE(Screener!$D$17," ","")&amp;",")),2000000,IF(IF(OR(Screener!$B$18="All",AND(Screener!$B$18="With A-share",(Database!$BM467="Y")),AND(Screener!$B$18="Without A-share",NOT((Database!$BM467="Y")))),1,0)=0,-999999,IF(Screener!$B$16="cornerstone overlap first",H467*100000,IF(Screener!$B$16="demand-similar first",J467*100000,0))+W_SUB*B467+W_SEC*C467*(1-B467)+W_SIZE*D467+W_PROF*E467+W_AH*F467+W_REC*G467+W_CS*H467+W_PE*I467)))+ROW()/1000000</f>
        <v/>
      </c>
      <c r="AA467" s="220">
        <f>Database!B456</f>
        <v/>
      </c>
      <c r="AB467" s="220">
        <f>Database!D456</f>
        <v/>
      </c>
      <c r="AC467" s="220">
        <f>Database!E456</f>
        <v/>
      </c>
      <c r="AD467" s="220">
        <f>Database!I456</f>
        <v/>
      </c>
      <c r="AE467" s="220">
        <f>Database!BG456</f>
        <v/>
      </c>
      <c r="AF467" s="220">
        <f>Database!BM456</f>
        <v/>
      </c>
      <c r="AG467" s="220">
        <f>Database!H456</f>
        <v/>
      </c>
      <c r="AH467" s="220">
        <f>Database!BH456</f>
        <v/>
      </c>
    </row>
    <row r="468">
      <c r="A468" s="220">
        <f>Database!B468</f>
        <v/>
      </c>
      <c r="B468" s="220">
        <f>IF(AND(Screener!$D$8&lt;&gt;"",Database!$E468=Screener!$D$8),1,0)</f>
        <v/>
      </c>
      <c r="C468" s="220">
        <f>IF(AND(Screener!$D$7&lt;&gt;"",Database!$D468=Screener!$D$7),1,0)</f>
        <v/>
      </c>
      <c r="D468" s="220">
        <f>IF(OR(N(Database!$I468)&lt;=0,N(Screener!$D$9)&lt;=0),0,MAX(0,1-ABS(LOG10(N(Database!$I468)/Screener!$D$9))/W_SIZEHW))</f>
        <v/>
      </c>
      <c r="E468" s="220">
        <f>IF(OR(Database!$BG468="",Screener!$D$10=""),0,IF(Database!$BG468=Screener!$D$10,1,0))</f>
        <v/>
      </c>
      <c r="F468" s="220">
        <f>IF(OR(Database!$BM468="",Screener!$D$11=""),0,IF(Database!$BM468=Screener!$D$11,1,0))</f>
        <v/>
      </c>
      <c r="G468" s="220">
        <f>IF(OR(Database!$H468="",N(Screener!$D$12)&lt;=0),0,MAX(0,1-(N(Screener!$D$12)-Database!$H468)/W_RECD))</f>
        <v/>
      </c>
      <c r="H468" s="220">
        <f>IF($U$1="",0,N(ISNUMBER(SEARCH($U$1,Database!$AC468&amp;""))))+IF($V$1="",0,N(ISNUMBER(SEARCH($V$1,Database!$AC468&amp;""))))+IF($W$1="",0,N(ISNUMBER(SEARCH($W$1,Database!$AC468&amp;""))))+IF($X$1="",0,N(ISNUMBER(SEARCH($X$1,Database!$AC468&amp;""))))+IF($Y$1="",0,N(ISNUMBER(SEARCH($Y$1,Database!$AC468&amp;""))))+IF(Screener!$B$17="",0,N(ISNUMBER(SEARCH(LOWER(Screener!$B$17),Database!$AC468&amp;""))))</f>
        <v/>
      </c>
      <c r="I468" s="220">
        <f>IF(OR(N(Database!$BH468)&lt;=0,N(Screener!$D$13)&lt;=0),0,MAX(0,1-ABS(LOG10(N(Database!$BH468)/Screener!$D$13))/W_PEHW))</f>
        <v/>
      </c>
      <c r="J468" s="220">
        <f>IF(OR(N(Database!$S468)&lt;=0,N(Screener!$D$14)&lt;=0),0,MAX(0,1-ABS(LOG10(Database!$S468/Screener!$D$14))/0.6))</f>
        <v/>
      </c>
      <c r="K468" s="220">
        <f>IF(Database!$B468=Screener!$B$5,-999999,IF(ISNUMBER(SEARCH(","&amp;Database!$A468&amp;",",","&amp;SUBSTITUTE(Screener!$D$17," ","")&amp;",")),2000000,IF(IF(OR(Screener!$B$18="All",AND(Screener!$B$18="With A-share",(Database!$BM468="Y")),AND(Screener!$B$18="Without A-share",NOT((Database!$BM468="Y")))),1,0)=0,-999999,IF(Screener!$B$16="cornerstone overlap first",H468*100000,IF(Screener!$B$16="demand-similar first",J468*100000,0))+W_SUB*B468+W_SEC*C468*(1-B468)+W_SIZE*D468+W_PROF*E468+W_AH*F468+W_REC*G468+W_CS*H468+W_PE*I468)))+ROW()/1000000</f>
        <v/>
      </c>
      <c r="AA468" s="220">
        <f>Database!B457</f>
        <v/>
      </c>
      <c r="AB468" s="220">
        <f>Database!D457</f>
        <v/>
      </c>
      <c r="AC468" s="220">
        <f>Database!E457</f>
        <v/>
      </c>
      <c r="AD468" s="220">
        <f>Database!I457</f>
        <v/>
      </c>
      <c r="AE468" s="220">
        <f>Database!BG457</f>
        <v/>
      </c>
      <c r="AF468" s="220">
        <f>Database!BM457</f>
        <v/>
      </c>
      <c r="AG468" s="220">
        <f>Database!H457</f>
        <v/>
      </c>
      <c r="AH468" s="220">
        <f>Database!BH457</f>
        <v/>
      </c>
    </row>
    <row r="469">
      <c r="A469" s="220">
        <f>Database!B469</f>
        <v/>
      </c>
      <c r="B469" s="220">
        <f>IF(AND(Screener!$D$8&lt;&gt;"",Database!$E469=Screener!$D$8),1,0)</f>
        <v/>
      </c>
      <c r="C469" s="220">
        <f>IF(AND(Screener!$D$7&lt;&gt;"",Database!$D469=Screener!$D$7),1,0)</f>
        <v/>
      </c>
      <c r="D469" s="220">
        <f>IF(OR(N(Database!$I469)&lt;=0,N(Screener!$D$9)&lt;=0),0,MAX(0,1-ABS(LOG10(N(Database!$I469)/Screener!$D$9))/W_SIZEHW))</f>
        <v/>
      </c>
      <c r="E469" s="220">
        <f>IF(OR(Database!$BG469="",Screener!$D$10=""),0,IF(Database!$BG469=Screener!$D$10,1,0))</f>
        <v/>
      </c>
      <c r="F469" s="220">
        <f>IF(OR(Database!$BM469="",Screener!$D$11=""),0,IF(Database!$BM469=Screener!$D$11,1,0))</f>
        <v/>
      </c>
      <c r="G469" s="220">
        <f>IF(OR(Database!$H469="",N(Screener!$D$12)&lt;=0),0,MAX(0,1-(N(Screener!$D$12)-Database!$H469)/W_RECD))</f>
        <v/>
      </c>
      <c r="H469" s="220">
        <f>IF($U$1="",0,N(ISNUMBER(SEARCH($U$1,Database!$AC469&amp;""))))+IF($V$1="",0,N(ISNUMBER(SEARCH($V$1,Database!$AC469&amp;""))))+IF($W$1="",0,N(ISNUMBER(SEARCH($W$1,Database!$AC469&amp;""))))+IF($X$1="",0,N(ISNUMBER(SEARCH($X$1,Database!$AC469&amp;""))))+IF($Y$1="",0,N(ISNUMBER(SEARCH($Y$1,Database!$AC469&amp;""))))+IF(Screener!$B$17="",0,N(ISNUMBER(SEARCH(LOWER(Screener!$B$17),Database!$AC469&amp;""))))</f>
        <v/>
      </c>
      <c r="I469" s="220">
        <f>IF(OR(N(Database!$BH469)&lt;=0,N(Screener!$D$13)&lt;=0),0,MAX(0,1-ABS(LOG10(N(Database!$BH469)/Screener!$D$13))/W_PEHW))</f>
        <v/>
      </c>
      <c r="J469" s="220">
        <f>IF(OR(N(Database!$S469)&lt;=0,N(Screener!$D$14)&lt;=0),0,MAX(0,1-ABS(LOG10(Database!$S469/Screener!$D$14))/0.6))</f>
        <v/>
      </c>
      <c r="K469" s="220">
        <f>IF(Database!$B469=Screener!$B$5,-999999,IF(ISNUMBER(SEARCH(","&amp;Database!$A469&amp;",",","&amp;SUBSTITUTE(Screener!$D$17," ","")&amp;",")),2000000,IF(IF(OR(Screener!$B$18="All",AND(Screener!$B$18="With A-share",(Database!$BM469="Y")),AND(Screener!$B$18="Without A-share",NOT((Database!$BM469="Y")))),1,0)=0,-999999,IF(Screener!$B$16="cornerstone overlap first",H469*100000,IF(Screener!$B$16="demand-similar first",J469*100000,0))+W_SUB*B469+W_SEC*C469*(1-B469)+W_SIZE*D469+W_PROF*E469+W_AH*F469+W_REC*G469+W_CS*H469+W_PE*I469)))+ROW()/1000000</f>
        <v/>
      </c>
      <c r="AA469" s="220">
        <f>Database!B458</f>
        <v/>
      </c>
      <c r="AB469" s="220">
        <f>Database!D458</f>
        <v/>
      </c>
      <c r="AC469" s="220">
        <f>Database!E458</f>
        <v/>
      </c>
      <c r="AD469" s="220">
        <f>Database!I458</f>
        <v/>
      </c>
      <c r="AE469" s="220">
        <f>Database!BG458</f>
        <v/>
      </c>
      <c r="AF469" s="220">
        <f>Database!BM458</f>
        <v/>
      </c>
      <c r="AG469" s="220">
        <f>Database!H458</f>
        <v/>
      </c>
      <c r="AH469" s="220">
        <f>Database!BH458</f>
        <v/>
      </c>
    </row>
    <row r="470">
      <c r="A470" s="220">
        <f>Database!B470</f>
        <v/>
      </c>
      <c r="B470" s="220">
        <f>IF(AND(Screener!$D$8&lt;&gt;"",Database!$E470=Screener!$D$8),1,0)</f>
        <v/>
      </c>
      <c r="C470" s="220">
        <f>IF(AND(Screener!$D$7&lt;&gt;"",Database!$D470=Screener!$D$7),1,0)</f>
        <v/>
      </c>
      <c r="D470" s="220">
        <f>IF(OR(N(Database!$I470)&lt;=0,N(Screener!$D$9)&lt;=0),0,MAX(0,1-ABS(LOG10(N(Database!$I470)/Screener!$D$9))/W_SIZEHW))</f>
        <v/>
      </c>
      <c r="E470" s="220">
        <f>IF(OR(Database!$BG470="",Screener!$D$10=""),0,IF(Database!$BG470=Screener!$D$10,1,0))</f>
        <v/>
      </c>
      <c r="F470" s="220">
        <f>IF(OR(Database!$BM470="",Screener!$D$11=""),0,IF(Database!$BM470=Screener!$D$11,1,0))</f>
        <v/>
      </c>
      <c r="G470" s="220">
        <f>IF(OR(Database!$H470="",N(Screener!$D$12)&lt;=0),0,MAX(0,1-(N(Screener!$D$12)-Database!$H470)/W_RECD))</f>
        <v/>
      </c>
      <c r="H470" s="220">
        <f>IF($U$1="",0,N(ISNUMBER(SEARCH($U$1,Database!$AC470&amp;""))))+IF($V$1="",0,N(ISNUMBER(SEARCH($V$1,Database!$AC470&amp;""))))+IF($W$1="",0,N(ISNUMBER(SEARCH($W$1,Database!$AC470&amp;""))))+IF($X$1="",0,N(ISNUMBER(SEARCH($X$1,Database!$AC470&amp;""))))+IF($Y$1="",0,N(ISNUMBER(SEARCH($Y$1,Database!$AC470&amp;""))))+IF(Screener!$B$17="",0,N(ISNUMBER(SEARCH(LOWER(Screener!$B$17),Database!$AC470&amp;""))))</f>
        <v/>
      </c>
      <c r="I470" s="220">
        <f>IF(OR(N(Database!$BH470)&lt;=0,N(Screener!$D$13)&lt;=0),0,MAX(0,1-ABS(LOG10(N(Database!$BH470)/Screener!$D$13))/W_PEHW))</f>
        <v/>
      </c>
      <c r="J470" s="220">
        <f>IF(OR(N(Database!$S470)&lt;=0,N(Screener!$D$14)&lt;=0),0,MAX(0,1-ABS(LOG10(Database!$S470/Screener!$D$14))/0.6))</f>
        <v/>
      </c>
      <c r="K470" s="220">
        <f>IF(Database!$B470=Screener!$B$5,-999999,IF(ISNUMBER(SEARCH(","&amp;Database!$A470&amp;",",","&amp;SUBSTITUTE(Screener!$D$17," ","")&amp;",")),2000000,IF(IF(OR(Screener!$B$18="All",AND(Screener!$B$18="With A-share",(Database!$BM470="Y")),AND(Screener!$B$18="Without A-share",NOT((Database!$BM470="Y")))),1,0)=0,-999999,IF(Screener!$B$16="cornerstone overlap first",H470*100000,IF(Screener!$B$16="demand-similar first",J470*100000,0))+W_SUB*B470+W_SEC*C470*(1-B470)+W_SIZE*D470+W_PROF*E470+W_AH*F470+W_REC*G470+W_CS*H470+W_PE*I470)))+ROW()/1000000</f>
        <v/>
      </c>
      <c r="AA470" s="220">
        <f>Database!B459</f>
        <v/>
      </c>
      <c r="AB470" s="220">
        <f>Database!D459</f>
        <v/>
      </c>
      <c r="AC470" s="220">
        <f>Database!E459</f>
        <v/>
      </c>
      <c r="AD470" s="220">
        <f>Database!I459</f>
        <v/>
      </c>
      <c r="AE470" s="220">
        <f>Database!BG459</f>
        <v/>
      </c>
      <c r="AF470" s="220">
        <f>Database!BM459</f>
        <v/>
      </c>
      <c r="AG470" s="220">
        <f>Database!H459</f>
        <v/>
      </c>
      <c r="AH470" s="220">
        <f>Database!BH459</f>
        <v/>
      </c>
    </row>
    <row r="471">
      <c r="A471" s="220">
        <f>Database!B471</f>
        <v/>
      </c>
      <c r="B471" s="220">
        <f>IF(AND(Screener!$D$8&lt;&gt;"",Database!$E471=Screener!$D$8),1,0)</f>
        <v/>
      </c>
      <c r="C471" s="220">
        <f>IF(AND(Screener!$D$7&lt;&gt;"",Database!$D471=Screener!$D$7),1,0)</f>
        <v/>
      </c>
      <c r="D471" s="220">
        <f>IF(OR(N(Database!$I471)&lt;=0,N(Screener!$D$9)&lt;=0),0,MAX(0,1-ABS(LOG10(N(Database!$I471)/Screener!$D$9))/W_SIZEHW))</f>
        <v/>
      </c>
      <c r="E471" s="220">
        <f>IF(OR(Database!$BG471="",Screener!$D$10=""),0,IF(Database!$BG471=Screener!$D$10,1,0))</f>
        <v/>
      </c>
      <c r="F471" s="220">
        <f>IF(OR(Database!$BM471="",Screener!$D$11=""),0,IF(Database!$BM471=Screener!$D$11,1,0))</f>
        <v/>
      </c>
      <c r="G471" s="220">
        <f>IF(OR(Database!$H471="",N(Screener!$D$12)&lt;=0),0,MAX(0,1-(N(Screener!$D$12)-Database!$H471)/W_RECD))</f>
        <v/>
      </c>
      <c r="H471" s="220">
        <f>IF($U$1="",0,N(ISNUMBER(SEARCH($U$1,Database!$AC471&amp;""))))+IF($V$1="",0,N(ISNUMBER(SEARCH($V$1,Database!$AC471&amp;""))))+IF($W$1="",0,N(ISNUMBER(SEARCH($W$1,Database!$AC471&amp;""))))+IF($X$1="",0,N(ISNUMBER(SEARCH($X$1,Database!$AC471&amp;""))))+IF($Y$1="",0,N(ISNUMBER(SEARCH($Y$1,Database!$AC471&amp;""))))+IF(Screener!$B$17="",0,N(ISNUMBER(SEARCH(LOWER(Screener!$B$17),Database!$AC471&amp;""))))</f>
        <v/>
      </c>
      <c r="I471" s="220">
        <f>IF(OR(N(Database!$BH471)&lt;=0,N(Screener!$D$13)&lt;=0),0,MAX(0,1-ABS(LOG10(N(Database!$BH471)/Screener!$D$13))/W_PEHW))</f>
        <v/>
      </c>
      <c r="J471" s="220">
        <f>IF(OR(N(Database!$S471)&lt;=0,N(Screener!$D$14)&lt;=0),0,MAX(0,1-ABS(LOG10(Database!$S471/Screener!$D$14))/0.6))</f>
        <v/>
      </c>
      <c r="K471" s="220">
        <f>IF(Database!$B471=Screener!$B$5,-999999,IF(ISNUMBER(SEARCH(","&amp;Database!$A471&amp;",",","&amp;SUBSTITUTE(Screener!$D$17," ","")&amp;",")),2000000,IF(IF(OR(Screener!$B$18="All",AND(Screener!$B$18="With A-share",(Database!$BM471="Y")),AND(Screener!$B$18="Without A-share",NOT((Database!$BM471="Y")))),1,0)=0,-999999,IF(Screener!$B$16="cornerstone overlap first",H471*100000,IF(Screener!$B$16="demand-similar first",J471*100000,0))+W_SUB*B471+W_SEC*C471*(1-B471)+W_SIZE*D471+W_PROF*E471+W_AH*F471+W_REC*G471+W_CS*H471+W_PE*I471)))+ROW()/1000000</f>
        <v/>
      </c>
      <c r="AA471" s="220">
        <f>Database!B460</f>
        <v/>
      </c>
      <c r="AB471" s="220">
        <f>Database!D460</f>
        <v/>
      </c>
      <c r="AC471" s="220">
        <f>Database!E460</f>
        <v/>
      </c>
      <c r="AD471" s="220">
        <f>Database!I460</f>
        <v/>
      </c>
      <c r="AE471" s="220">
        <f>Database!BG460</f>
        <v/>
      </c>
      <c r="AF471" s="220">
        <f>Database!BM460</f>
        <v/>
      </c>
      <c r="AG471" s="220">
        <f>Database!H460</f>
        <v/>
      </c>
      <c r="AH471" s="220">
        <f>Database!BH460</f>
        <v/>
      </c>
    </row>
    <row r="472">
      <c r="A472" s="220">
        <f>Database!B472</f>
        <v/>
      </c>
      <c r="B472" s="220">
        <f>IF(AND(Screener!$D$8&lt;&gt;"",Database!$E472=Screener!$D$8),1,0)</f>
        <v/>
      </c>
      <c r="C472" s="220">
        <f>IF(AND(Screener!$D$7&lt;&gt;"",Database!$D472=Screener!$D$7),1,0)</f>
        <v/>
      </c>
      <c r="D472" s="220">
        <f>IF(OR(N(Database!$I472)&lt;=0,N(Screener!$D$9)&lt;=0),0,MAX(0,1-ABS(LOG10(N(Database!$I472)/Screener!$D$9))/W_SIZEHW))</f>
        <v/>
      </c>
      <c r="E472" s="220">
        <f>IF(OR(Database!$BG472="",Screener!$D$10=""),0,IF(Database!$BG472=Screener!$D$10,1,0))</f>
        <v/>
      </c>
      <c r="F472" s="220">
        <f>IF(OR(Database!$BM472="",Screener!$D$11=""),0,IF(Database!$BM472=Screener!$D$11,1,0))</f>
        <v/>
      </c>
      <c r="G472" s="220">
        <f>IF(OR(Database!$H472="",N(Screener!$D$12)&lt;=0),0,MAX(0,1-(N(Screener!$D$12)-Database!$H472)/W_RECD))</f>
        <v/>
      </c>
      <c r="H472" s="220">
        <f>IF($U$1="",0,N(ISNUMBER(SEARCH($U$1,Database!$AC472&amp;""))))+IF($V$1="",0,N(ISNUMBER(SEARCH($V$1,Database!$AC472&amp;""))))+IF($W$1="",0,N(ISNUMBER(SEARCH($W$1,Database!$AC472&amp;""))))+IF($X$1="",0,N(ISNUMBER(SEARCH($X$1,Database!$AC472&amp;""))))+IF($Y$1="",0,N(ISNUMBER(SEARCH($Y$1,Database!$AC472&amp;""))))+IF(Screener!$B$17="",0,N(ISNUMBER(SEARCH(LOWER(Screener!$B$17),Database!$AC472&amp;""))))</f>
        <v/>
      </c>
      <c r="I472" s="220">
        <f>IF(OR(N(Database!$BH472)&lt;=0,N(Screener!$D$13)&lt;=0),0,MAX(0,1-ABS(LOG10(N(Database!$BH472)/Screener!$D$13))/W_PEHW))</f>
        <v/>
      </c>
      <c r="J472" s="220">
        <f>IF(OR(N(Database!$S472)&lt;=0,N(Screener!$D$14)&lt;=0),0,MAX(0,1-ABS(LOG10(Database!$S472/Screener!$D$14))/0.6))</f>
        <v/>
      </c>
      <c r="K472" s="220">
        <f>IF(Database!$B472=Screener!$B$5,-999999,IF(ISNUMBER(SEARCH(","&amp;Database!$A472&amp;",",","&amp;SUBSTITUTE(Screener!$D$17," ","")&amp;",")),2000000,IF(IF(OR(Screener!$B$18="All",AND(Screener!$B$18="With A-share",(Database!$BM472="Y")),AND(Screener!$B$18="Without A-share",NOT((Database!$BM472="Y")))),1,0)=0,-999999,IF(Screener!$B$16="cornerstone overlap first",H472*100000,IF(Screener!$B$16="demand-similar first",J472*100000,0))+W_SUB*B472+W_SEC*C472*(1-B472)+W_SIZE*D472+W_PROF*E472+W_AH*F472+W_REC*G472+W_CS*H472+W_PE*I472)))+ROW()/1000000</f>
        <v/>
      </c>
      <c r="AA472" s="220">
        <f>Database!B461</f>
        <v/>
      </c>
      <c r="AB472" s="220">
        <f>Database!D461</f>
        <v/>
      </c>
      <c r="AC472" s="220">
        <f>Database!E461</f>
        <v/>
      </c>
      <c r="AD472" s="220">
        <f>Database!I461</f>
        <v/>
      </c>
      <c r="AE472" s="220">
        <f>Database!BG461</f>
        <v/>
      </c>
      <c r="AF472" s="220">
        <f>Database!BM461</f>
        <v/>
      </c>
      <c r="AG472" s="220">
        <f>Database!H461</f>
        <v/>
      </c>
      <c r="AH472" s="220">
        <f>Database!BH461</f>
        <v/>
      </c>
    </row>
    <row r="473">
      <c r="A473" s="220">
        <f>Database!B473</f>
        <v/>
      </c>
      <c r="B473" s="220">
        <f>IF(AND(Screener!$D$8&lt;&gt;"",Database!$E473=Screener!$D$8),1,0)</f>
        <v/>
      </c>
      <c r="C473" s="220">
        <f>IF(AND(Screener!$D$7&lt;&gt;"",Database!$D473=Screener!$D$7),1,0)</f>
        <v/>
      </c>
      <c r="D473" s="220">
        <f>IF(OR(N(Database!$I473)&lt;=0,N(Screener!$D$9)&lt;=0),0,MAX(0,1-ABS(LOG10(N(Database!$I473)/Screener!$D$9))/W_SIZEHW))</f>
        <v/>
      </c>
      <c r="E473" s="220">
        <f>IF(OR(Database!$BG473="",Screener!$D$10=""),0,IF(Database!$BG473=Screener!$D$10,1,0))</f>
        <v/>
      </c>
      <c r="F473" s="220">
        <f>IF(OR(Database!$BM473="",Screener!$D$11=""),0,IF(Database!$BM473=Screener!$D$11,1,0))</f>
        <v/>
      </c>
      <c r="G473" s="220">
        <f>IF(OR(Database!$H473="",N(Screener!$D$12)&lt;=0),0,MAX(0,1-(N(Screener!$D$12)-Database!$H473)/W_RECD))</f>
        <v/>
      </c>
      <c r="H473" s="220">
        <f>IF($U$1="",0,N(ISNUMBER(SEARCH($U$1,Database!$AC473&amp;""))))+IF($V$1="",0,N(ISNUMBER(SEARCH($V$1,Database!$AC473&amp;""))))+IF($W$1="",0,N(ISNUMBER(SEARCH($W$1,Database!$AC473&amp;""))))+IF($X$1="",0,N(ISNUMBER(SEARCH($X$1,Database!$AC473&amp;""))))+IF($Y$1="",0,N(ISNUMBER(SEARCH($Y$1,Database!$AC473&amp;""))))+IF(Screener!$B$17="",0,N(ISNUMBER(SEARCH(LOWER(Screener!$B$17),Database!$AC473&amp;""))))</f>
        <v/>
      </c>
      <c r="I473" s="220">
        <f>IF(OR(N(Database!$BH473)&lt;=0,N(Screener!$D$13)&lt;=0),0,MAX(0,1-ABS(LOG10(N(Database!$BH473)/Screener!$D$13))/W_PEHW))</f>
        <v/>
      </c>
      <c r="J473" s="220">
        <f>IF(OR(N(Database!$S473)&lt;=0,N(Screener!$D$14)&lt;=0),0,MAX(0,1-ABS(LOG10(Database!$S473/Screener!$D$14))/0.6))</f>
        <v/>
      </c>
      <c r="K473" s="220">
        <f>IF(Database!$B473=Screener!$B$5,-999999,IF(ISNUMBER(SEARCH(","&amp;Database!$A473&amp;",",","&amp;SUBSTITUTE(Screener!$D$17," ","")&amp;",")),2000000,IF(IF(OR(Screener!$B$18="All",AND(Screener!$B$18="With A-share",(Database!$BM473="Y")),AND(Screener!$B$18="Without A-share",NOT((Database!$BM473="Y")))),1,0)=0,-999999,IF(Screener!$B$16="cornerstone overlap first",H473*100000,IF(Screener!$B$16="demand-similar first",J473*100000,0))+W_SUB*B473+W_SEC*C473*(1-B473)+W_SIZE*D473+W_PROF*E473+W_AH*F473+W_REC*G473+W_CS*H473+W_PE*I473)))+ROW()/1000000</f>
        <v/>
      </c>
      <c r="AA473" s="220">
        <f>Database!B462</f>
        <v/>
      </c>
      <c r="AB473" s="220">
        <f>Database!D462</f>
        <v/>
      </c>
      <c r="AC473" s="220">
        <f>Database!E462</f>
        <v/>
      </c>
      <c r="AD473" s="220">
        <f>Database!I462</f>
        <v/>
      </c>
      <c r="AE473" s="220">
        <f>Database!BG462</f>
        <v/>
      </c>
      <c r="AF473" s="220">
        <f>Database!BM462</f>
        <v/>
      </c>
      <c r="AG473" s="220">
        <f>Database!H462</f>
        <v/>
      </c>
      <c r="AH473" s="220">
        <f>Database!BH462</f>
        <v/>
      </c>
    </row>
    <row r="474">
      <c r="A474" s="220">
        <f>Database!B474</f>
        <v/>
      </c>
      <c r="B474" s="220">
        <f>IF(AND(Screener!$D$8&lt;&gt;"",Database!$E474=Screener!$D$8),1,0)</f>
        <v/>
      </c>
      <c r="C474" s="220">
        <f>IF(AND(Screener!$D$7&lt;&gt;"",Database!$D474=Screener!$D$7),1,0)</f>
        <v/>
      </c>
      <c r="D474" s="220">
        <f>IF(OR(N(Database!$I474)&lt;=0,N(Screener!$D$9)&lt;=0),0,MAX(0,1-ABS(LOG10(N(Database!$I474)/Screener!$D$9))/W_SIZEHW))</f>
        <v/>
      </c>
      <c r="E474" s="220">
        <f>IF(OR(Database!$BG474="",Screener!$D$10=""),0,IF(Database!$BG474=Screener!$D$10,1,0))</f>
        <v/>
      </c>
      <c r="F474" s="220">
        <f>IF(OR(Database!$BM474="",Screener!$D$11=""),0,IF(Database!$BM474=Screener!$D$11,1,0))</f>
        <v/>
      </c>
      <c r="G474" s="220">
        <f>IF(OR(Database!$H474="",N(Screener!$D$12)&lt;=0),0,MAX(0,1-(N(Screener!$D$12)-Database!$H474)/W_RECD))</f>
        <v/>
      </c>
      <c r="H474" s="220">
        <f>IF($U$1="",0,N(ISNUMBER(SEARCH($U$1,Database!$AC474&amp;""))))+IF($V$1="",0,N(ISNUMBER(SEARCH($V$1,Database!$AC474&amp;""))))+IF($W$1="",0,N(ISNUMBER(SEARCH($W$1,Database!$AC474&amp;""))))+IF($X$1="",0,N(ISNUMBER(SEARCH($X$1,Database!$AC474&amp;""))))+IF($Y$1="",0,N(ISNUMBER(SEARCH($Y$1,Database!$AC474&amp;""))))+IF(Screener!$B$17="",0,N(ISNUMBER(SEARCH(LOWER(Screener!$B$17),Database!$AC474&amp;""))))</f>
        <v/>
      </c>
      <c r="I474" s="220">
        <f>IF(OR(N(Database!$BH474)&lt;=0,N(Screener!$D$13)&lt;=0),0,MAX(0,1-ABS(LOG10(N(Database!$BH474)/Screener!$D$13))/W_PEHW))</f>
        <v/>
      </c>
      <c r="J474" s="220">
        <f>IF(OR(N(Database!$S474)&lt;=0,N(Screener!$D$14)&lt;=0),0,MAX(0,1-ABS(LOG10(Database!$S474/Screener!$D$14))/0.6))</f>
        <v/>
      </c>
      <c r="K474" s="220">
        <f>IF(Database!$B474=Screener!$B$5,-999999,IF(ISNUMBER(SEARCH(","&amp;Database!$A474&amp;",",","&amp;SUBSTITUTE(Screener!$D$17," ","")&amp;",")),2000000,IF(IF(OR(Screener!$B$18="All",AND(Screener!$B$18="With A-share",(Database!$BM474="Y")),AND(Screener!$B$18="Without A-share",NOT((Database!$BM474="Y")))),1,0)=0,-999999,IF(Screener!$B$16="cornerstone overlap first",H474*100000,IF(Screener!$B$16="demand-similar first",J474*100000,0))+W_SUB*B474+W_SEC*C474*(1-B474)+W_SIZE*D474+W_PROF*E474+W_AH*F474+W_REC*G474+W_CS*H474+W_PE*I474)))+ROW()/1000000</f>
        <v/>
      </c>
      <c r="AA474" s="220">
        <f>Database!B463</f>
        <v/>
      </c>
      <c r="AB474" s="220">
        <f>Database!D463</f>
        <v/>
      </c>
      <c r="AC474" s="220">
        <f>Database!E463</f>
        <v/>
      </c>
      <c r="AD474" s="220">
        <f>Database!I463</f>
        <v/>
      </c>
      <c r="AE474" s="220">
        <f>Database!BG463</f>
        <v/>
      </c>
      <c r="AF474" s="220">
        <f>Database!BM463</f>
        <v/>
      </c>
      <c r="AG474" s="220">
        <f>Database!H463</f>
        <v/>
      </c>
      <c r="AH474" s="220">
        <f>Database!BH463</f>
        <v/>
      </c>
    </row>
    <row r="475">
      <c r="A475" s="220">
        <f>Database!B475</f>
        <v/>
      </c>
      <c r="B475" s="220">
        <f>IF(AND(Screener!$D$8&lt;&gt;"",Database!$E475=Screener!$D$8),1,0)</f>
        <v/>
      </c>
      <c r="C475" s="220">
        <f>IF(AND(Screener!$D$7&lt;&gt;"",Database!$D475=Screener!$D$7),1,0)</f>
        <v/>
      </c>
      <c r="D475" s="220">
        <f>IF(OR(N(Database!$I475)&lt;=0,N(Screener!$D$9)&lt;=0),0,MAX(0,1-ABS(LOG10(N(Database!$I475)/Screener!$D$9))/W_SIZEHW))</f>
        <v/>
      </c>
      <c r="E475" s="220">
        <f>IF(OR(Database!$BG475="",Screener!$D$10=""),0,IF(Database!$BG475=Screener!$D$10,1,0))</f>
        <v/>
      </c>
      <c r="F475" s="220">
        <f>IF(OR(Database!$BM475="",Screener!$D$11=""),0,IF(Database!$BM475=Screener!$D$11,1,0))</f>
        <v/>
      </c>
      <c r="G475" s="220">
        <f>IF(OR(Database!$H475="",N(Screener!$D$12)&lt;=0),0,MAX(0,1-(N(Screener!$D$12)-Database!$H475)/W_RECD))</f>
        <v/>
      </c>
      <c r="H475" s="220">
        <f>IF($U$1="",0,N(ISNUMBER(SEARCH($U$1,Database!$AC475&amp;""))))+IF($V$1="",0,N(ISNUMBER(SEARCH($V$1,Database!$AC475&amp;""))))+IF($W$1="",0,N(ISNUMBER(SEARCH($W$1,Database!$AC475&amp;""))))+IF($X$1="",0,N(ISNUMBER(SEARCH($X$1,Database!$AC475&amp;""))))+IF($Y$1="",0,N(ISNUMBER(SEARCH($Y$1,Database!$AC475&amp;""))))+IF(Screener!$B$17="",0,N(ISNUMBER(SEARCH(LOWER(Screener!$B$17),Database!$AC475&amp;""))))</f>
        <v/>
      </c>
      <c r="I475" s="220">
        <f>IF(OR(N(Database!$BH475)&lt;=0,N(Screener!$D$13)&lt;=0),0,MAX(0,1-ABS(LOG10(N(Database!$BH475)/Screener!$D$13))/W_PEHW))</f>
        <v/>
      </c>
      <c r="J475" s="220">
        <f>IF(OR(N(Database!$S475)&lt;=0,N(Screener!$D$14)&lt;=0),0,MAX(0,1-ABS(LOG10(Database!$S475/Screener!$D$14))/0.6))</f>
        <v/>
      </c>
      <c r="K475" s="220">
        <f>IF(Database!$B475=Screener!$B$5,-999999,IF(ISNUMBER(SEARCH(","&amp;Database!$A475&amp;",",","&amp;SUBSTITUTE(Screener!$D$17," ","")&amp;",")),2000000,IF(IF(OR(Screener!$B$18="All",AND(Screener!$B$18="With A-share",(Database!$BM475="Y")),AND(Screener!$B$18="Without A-share",NOT((Database!$BM475="Y")))),1,0)=0,-999999,IF(Screener!$B$16="cornerstone overlap first",H475*100000,IF(Screener!$B$16="demand-similar first",J475*100000,0))+W_SUB*B475+W_SEC*C475*(1-B475)+W_SIZE*D475+W_PROF*E475+W_AH*F475+W_REC*G475+W_CS*H475+W_PE*I475)))+ROW()/1000000</f>
        <v/>
      </c>
      <c r="AA475" s="220">
        <f>Database!B464</f>
        <v/>
      </c>
      <c r="AB475" s="220">
        <f>Database!D464</f>
        <v/>
      </c>
      <c r="AC475" s="220">
        <f>Database!E464</f>
        <v/>
      </c>
      <c r="AD475" s="220">
        <f>Database!I464</f>
        <v/>
      </c>
      <c r="AE475" s="220">
        <f>Database!BG464</f>
        <v/>
      </c>
      <c r="AF475" s="220">
        <f>Database!BM464</f>
        <v/>
      </c>
      <c r="AG475" s="220">
        <f>Database!H464</f>
        <v/>
      </c>
      <c r="AH475" s="220">
        <f>Database!BH464</f>
        <v/>
      </c>
    </row>
    <row r="476">
      <c r="A476" s="220">
        <f>Database!B476</f>
        <v/>
      </c>
      <c r="B476" s="220">
        <f>IF(AND(Screener!$D$8&lt;&gt;"",Database!$E476=Screener!$D$8),1,0)</f>
        <v/>
      </c>
      <c r="C476" s="220">
        <f>IF(AND(Screener!$D$7&lt;&gt;"",Database!$D476=Screener!$D$7),1,0)</f>
        <v/>
      </c>
      <c r="D476" s="220">
        <f>IF(OR(N(Database!$I476)&lt;=0,N(Screener!$D$9)&lt;=0),0,MAX(0,1-ABS(LOG10(N(Database!$I476)/Screener!$D$9))/W_SIZEHW))</f>
        <v/>
      </c>
      <c r="E476" s="220">
        <f>IF(OR(Database!$BG476="",Screener!$D$10=""),0,IF(Database!$BG476=Screener!$D$10,1,0))</f>
        <v/>
      </c>
      <c r="F476" s="220">
        <f>IF(OR(Database!$BM476="",Screener!$D$11=""),0,IF(Database!$BM476=Screener!$D$11,1,0))</f>
        <v/>
      </c>
      <c r="G476" s="220">
        <f>IF(OR(Database!$H476="",N(Screener!$D$12)&lt;=0),0,MAX(0,1-(N(Screener!$D$12)-Database!$H476)/W_RECD))</f>
        <v/>
      </c>
      <c r="H476" s="220">
        <f>IF($U$1="",0,N(ISNUMBER(SEARCH($U$1,Database!$AC476&amp;""))))+IF($V$1="",0,N(ISNUMBER(SEARCH($V$1,Database!$AC476&amp;""))))+IF($W$1="",0,N(ISNUMBER(SEARCH($W$1,Database!$AC476&amp;""))))+IF($X$1="",0,N(ISNUMBER(SEARCH($X$1,Database!$AC476&amp;""))))+IF($Y$1="",0,N(ISNUMBER(SEARCH($Y$1,Database!$AC476&amp;""))))+IF(Screener!$B$17="",0,N(ISNUMBER(SEARCH(LOWER(Screener!$B$17),Database!$AC476&amp;""))))</f>
        <v/>
      </c>
      <c r="I476" s="220">
        <f>IF(OR(N(Database!$BH476)&lt;=0,N(Screener!$D$13)&lt;=0),0,MAX(0,1-ABS(LOG10(N(Database!$BH476)/Screener!$D$13))/W_PEHW))</f>
        <v/>
      </c>
      <c r="J476" s="220">
        <f>IF(OR(N(Database!$S476)&lt;=0,N(Screener!$D$14)&lt;=0),0,MAX(0,1-ABS(LOG10(Database!$S476/Screener!$D$14))/0.6))</f>
        <v/>
      </c>
      <c r="K476" s="220">
        <f>IF(Database!$B476=Screener!$B$5,-999999,IF(ISNUMBER(SEARCH(","&amp;Database!$A476&amp;",",","&amp;SUBSTITUTE(Screener!$D$17," ","")&amp;",")),2000000,IF(IF(OR(Screener!$B$18="All",AND(Screener!$B$18="With A-share",(Database!$BM476="Y")),AND(Screener!$B$18="Without A-share",NOT((Database!$BM476="Y")))),1,0)=0,-999999,IF(Screener!$B$16="cornerstone overlap first",H476*100000,IF(Screener!$B$16="demand-similar first",J476*100000,0))+W_SUB*B476+W_SEC*C476*(1-B476)+W_SIZE*D476+W_PROF*E476+W_AH*F476+W_REC*G476+W_CS*H476+W_PE*I476)))+ROW()/1000000</f>
        <v/>
      </c>
      <c r="AA476" s="220">
        <f>Database!B465</f>
        <v/>
      </c>
      <c r="AB476" s="220">
        <f>Database!D465</f>
        <v/>
      </c>
      <c r="AC476" s="220">
        <f>Database!E465</f>
        <v/>
      </c>
      <c r="AD476" s="220">
        <f>Database!I465</f>
        <v/>
      </c>
      <c r="AE476" s="220">
        <f>Database!BG465</f>
        <v/>
      </c>
      <c r="AF476" s="220">
        <f>Database!BM465</f>
        <v/>
      </c>
      <c r="AG476" s="220">
        <f>Database!H465</f>
        <v/>
      </c>
      <c r="AH476" s="220">
        <f>Database!BH465</f>
        <v/>
      </c>
    </row>
    <row r="477">
      <c r="A477" s="220">
        <f>Database!B477</f>
        <v/>
      </c>
      <c r="B477" s="220">
        <f>IF(AND(Screener!$D$8&lt;&gt;"",Database!$E477=Screener!$D$8),1,0)</f>
        <v/>
      </c>
      <c r="C477" s="220">
        <f>IF(AND(Screener!$D$7&lt;&gt;"",Database!$D477=Screener!$D$7),1,0)</f>
        <v/>
      </c>
      <c r="D477" s="220">
        <f>IF(OR(N(Database!$I477)&lt;=0,N(Screener!$D$9)&lt;=0),0,MAX(0,1-ABS(LOG10(N(Database!$I477)/Screener!$D$9))/W_SIZEHW))</f>
        <v/>
      </c>
      <c r="E477" s="220">
        <f>IF(OR(Database!$BG477="",Screener!$D$10=""),0,IF(Database!$BG477=Screener!$D$10,1,0))</f>
        <v/>
      </c>
      <c r="F477" s="220">
        <f>IF(OR(Database!$BM477="",Screener!$D$11=""),0,IF(Database!$BM477=Screener!$D$11,1,0))</f>
        <v/>
      </c>
      <c r="G477" s="220">
        <f>IF(OR(Database!$H477="",N(Screener!$D$12)&lt;=0),0,MAX(0,1-(N(Screener!$D$12)-Database!$H477)/W_RECD))</f>
        <v/>
      </c>
      <c r="H477" s="220">
        <f>IF($U$1="",0,N(ISNUMBER(SEARCH($U$1,Database!$AC477&amp;""))))+IF($V$1="",0,N(ISNUMBER(SEARCH($V$1,Database!$AC477&amp;""))))+IF($W$1="",0,N(ISNUMBER(SEARCH($W$1,Database!$AC477&amp;""))))+IF($X$1="",0,N(ISNUMBER(SEARCH($X$1,Database!$AC477&amp;""))))+IF($Y$1="",0,N(ISNUMBER(SEARCH($Y$1,Database!$AC477&amp;""))))+IF(Screener!$B$17="",0,N(ISNUMBER(SEARCH(LOWER(Screener!$B$17),Database!$AC477&amp;""))))</f>
        <v/>
      </c>
      <c r="I477" s="220">
        <f>IF(OR(N(Database!$BH477)&lt;=0,N(Screener!$D$13)&lt;=0),0,MAX(0,1-ABS(LOG10(N(Database!$BH477)/Screener!$D$13))/W_PEHW))</f>
        <v/>
      </c>
      <c r="J477" s="220">
        <f>IF(OR(N(Database!$S477)&lt;=0,N(Screener!$D$14)&lt;=0),0,MAX(0,1-ABS(LOG10(Database!$S477/Screener!$D$14))/0.6))</f>
        <v/>
      </c>
      <c r="K477" s="220">
        <f>IF(Database!$B477=Screener!$B$5,-999999,IF(ISNUMBER(SEARCH(","&amp;Database!$A477&amp;",",","&amp;SUBSTITUTE(Screener!$D$17," ","")&amp;",")),2000000,IF(IF(OR(Screener!$B$18="All",AND(Screener!$B$18="With A-share",(Database!$BM477="Y")),AND(Screener!$B$18="Without A-share",NOT((Database!$BM477="Y")))),1,0)=0,-999999,IF(Screener!$B$16="cornerstone overlap first",H477*100000,IF(Screener!$B$16="demand-similar first",J477*100000,0))+W_SUB*B477+W_SEC*C477*(1-B477)+W_SIZE*D477+W_PROF*E477+W_AH*F477+W_REC*G477+W_CS*H477+W_PE*I477)))+ROW()/1000000</f>
        <v/>
      </c>
      <c r="AA477" s="220">
        <f>Database!B466</f>
        <v/>
      </c>
      <c r="AB477" s="220">
        <f>Database!D466</f>
        <v/>
      </c>
      <c r="AC477" s="220">
        <f>Database!E466</f>
        <v/>
      </c>
      <c r="AD477" s="220">
        <f>Database!I466</f>
        <v/>
      </c>
      <c r="AE477" s="220">
        <f>Database!BG466</f>
        <v/>
      </c>
      <c r="AF477" s="220">
        <f>Database!BM466</f>
        <v/>
      </c>
      <c r="AG477" s="220">
        <f>Database!H466</f>
        <v/>
      </c>
      <c r="AH477" s="220">
        <f>Database!BH466</f>
        <v/>
      </c>
    </row>
    <row r="478">
      <c r="A478" s="220">
        <f>Database!B478</f>
        <v/>
      </c>
      <c r="B478" s="220">
        <f>IF(AND(Screener!$D$8&lt;&gt;"",Database!$E478=Screener!$D$8),1,0)</f>
        <v/>
      </c>
      <c r="C478" s="220">
        <f>IF(AND(Screener!$D$7&lt;&gt;"",Database!$D478=Screener!$D$7),1,0)</f>
        <v/>
      </c>
      <c r="D478" s="220">
        <f>IF(OR(N(Database!$I478)&lt;=0,N(Screener!$D$9)&lt;=0),0,MAX(0,1-ABS(LOG10(N(Database!$I478)/Screener!$D$9))/W_SIZEHW))</f>
        <v/>
      </c>
      <c r="E478" s="220">
        <f>IF(OR(Database!$BG478="",Screener!$D$10=""),0,IF(Database!$BG478=Screener!$D$10,1,0))</f>
        <v/>
      </c>
      <c r="F478" s="220">
        <f>IF(OR(Database!$BM478="",Screener!$D$11=""),0,IF(Database!$BM478=Screener!$D$11,1,0))</f>
        <v/>
      </c>
      <c r="G478" s="220">
        <f>IF(OR(Database!$H478="",N(Screener!$D$12)&lt;=0),0,MAX(0,1-(N(Screener!$D$12)-Database!$H478)/W_RECD))</f>
        <v/>
      </c>
      <c r="H478" s="220">
        <f>IF($U$1="",0,N(ISNUMBER(SEARCH($U$1,Database!$AC478&amp;""))))+IF($V$1="",0,N(ISNUMBER(SEARCH($V$1,Database!$AC478&amp;""))))+IF($W$1="",0,N(ISNUMBER(SEARCH($W$1,Database!$AC478&amp;""))))+IF($X$1="",0,N(ISNUMBER(SEARCH($X$1,Database!$AC478&amp;""))))+IF($Y$1="",0,N(ISNUMBER(SEARCH($Y$1,Database!$AC478&amp;""))))+IF(Screener!$B$17="",0,N(ISNUMBER(SEARCH(LOWER(Screener!$B$17),Database!$AC478&amp;""))))</f>
        <v/>
      </c>
      <c r="I478" s="220">
        <f>IF(OR(N(Database!$BH478)&lt;=0,N(Screener!$D$13)&lt;=0),0,MAX(0,1-ABS(LOG10(N(Database!$BH478)/Screener!$D$13))/W_PEHW))</f>
        <v/>
      </c>
      <c r="J478" s="220">
        <f>IF(OR(N(Database!$S478)&lt;=0,N(Screener!$D$14)&lt;=0),0,MAX(0,1-ABS(LOG10(Database!$S478/Screener!$D$14))/0.6))</f>
        <v/>
      </c>
      <c r="K478" s="220">
        <f>IF(Database!$B478=Screener!$B$5,-999999,IF(ISNUMBER(SEARCH(","&amp;Database!$A478&amp;",",","&amp;SUBSTITUTE(Screener!$D$17," ","")&amp;",")),2000000,IF(IF(OR(Screener!$B$18="All",AND(Screener!$B$18="With A-share",(Database!$BM478="Y")),AND(Screener!$B$18="Without A-share",NOT((Database!$BM478="Y")))),1,0)=0,-999999,IF(Screener!$B$16="cornerstone overlap first",H478*100000,IF(Screener!$B$16="demand-similar first",J478*100000,0))+W_SUB*B478+W_SEC*C478*(1-B478)+W_SIZE*D478+W_PROF*E478+W_AH*F478+W_REC*G478+W_CS*H478+W_PE*I478)))+ROW()/1000000</f>
        <v/>
      </c>
      <c r="AA478" s="220">
        <f>Database!B467</f>
        <v/>
      </c>
      <c r="AB478" s="220">
        <f>Database!D467</f>
        <v/>
      </c>
      <c r="AC478" s="220">
        <f>Database!E467</f>
        <v/>
      </c>
      <c r="AD478" s="220">
        <f>Database!I467</f>
        <v/>
      </c>
      <c r="AE478" s="220">
        <f>Database!BG467</f>
        <v/>
      </c>
      <c r="AF478" s="220">
        <f>Database!BM467</f>
        <v/>
      </c>
      <c r="AG478" s="220">
        <f>Database!H467</f>
        <v/>
      </c>
      <c r="AH478" s="220">
        <f>Database!BH467</f>
        <v/>
      </c>
    </row>
    <row r="479">
      <c r="A479" s="220">
        <f>Database!B479</f>
        <v/>
      </c>
      <c r="B479" s="220">
        <f>IF(AND(Screener!$D$8&lt;&gt;"",Database!$E479=Screener!$D$8),1,0)</f>
        <v/>
      </c>
      <c r="C479" s="220">
        <f>IF(AND(Screener!$D$7&lt;&gt;"",Database!$D479=Screener!$D$7),1,0)</f>
        <v/>
      </c>
      <c r="D479" s="220">
        <f>IF(OR(N(Database!$I479)&lt;=0,N(Screener!$D$9)&lt;=0),0,MAX(0,1-ABS(LOG10(N(Database!$I479)/Screener!$D$9))/W_SIZEHW))</f>
        <v/>
      </c>
      <c r="E479" s="220">
        <f>IF(OR(Database!$BG479="",Screener!$D$10=""),0,IF(Database!$BG479=Screener!$D$10,1,0))</f>
        <v/>
      </c>
      <c r="F479" s="220">
        <f>IF(OR(Database!$BM479="",Screener!$D$11=""),0,IF(Database!$BM479=Screener!$D$11,1,0))</f>
        <v/>
      </c>
      <c r="G479" s="220">
        <f>IF(OR(Database!$H479="",N(Screener!$D$12)&lt;=0),0,MAX(0,1-(N(Screener!$D$12)-Database!$H479)/W_RECD))</f>
        <v/>
      </c>
      <c r="H479" s="220">
        <f>IF($U$1="",0,N(ISNUMBER(SEARCH($U$1,Database!$AC479&amp;""))))+IF($V$1="",0,N(ISNUMBER(SEARCH($V$1,Database!$AC479&amp;""))))+IF($W$1="",0,N(ISNUMBER(SEARCH($W$1,Database!$AC479&amp;""))))+IF($X$1="",0,N(ISNUMBER(SEARCH($X$1,Database!$AC479&amp;""))))+IF($Y$1="",0,N(ISNUMBER(SEARCH($Y$1,Database!$AC479&amp;""))))+IF(Screener!$B$17="",0,N(ISNUMBER(SEARCH(LOWER(Screener!$B$17),Database!$AC479&amp;""))))</f>
        <v/>
      </c>
      <c r="I479" s="220">
        <f>IF(OR(N(Database!$BH479)&lt;=0,N(Screener!$D$13)&lt;=0),0,MAX(0,1-ABS(LOG10(N(Database!$BH479)/Screener!$D$13))/W_PEHW))</f>
        <v/>
      </c>
      <c r="J479" s="220">
        <f>IF(OR(N(Database!$S479)&lt;=0,N(Screener!$D$14)&lt;=0),0,MAX(0,1-ABS(LOG10(Database!$S479/Screener!$D$14))/0.6))</f>
        <v/>
      </c>
      <c r="K479" s="220">
        <f>IF(Database!$B479=Screener!$B$5,-999999,IF(ISNUMBER(SEARCH(","&amp;Database!$A479&amp;",",","&amp;SUBSTITUTE(Screener!$D$17," ","")&amp;",")),2000000,IF(IF(OR(Screener!$B$18="All",AND(Screener!$B$18="With A-share",(Database!$BM479="Y")),AND(Screener!$B$18="Without A-share",NOT((Database!$BM479="Y")))),1,0)=0,-999999,IF(Screener!$B$16="cornerstone overlap first",H479*100000,IF(Screener!$B$16="demand-similar first",J479*100000,0))+W_SUB*B479+W_SEC*C479*(1-B479)+W_SIZE*D479+W_PROF*E479+W_AH*F479+W_REC*G479+W_CS*H479+W_PE*I479)))+ROW()/1000000</f>
        <v/>
      </c>
      <c r="AA479" s="220">
        <f>Database!B468</f>
        <v/>
      </c>
      <c r="AB479" s="220">
        <f>Database!D468</f>
        <v/>
      </c>
      <c r="AC479" s="220">
        <f>Database!E468</f>
        <v/>
      </c>
      <c r="AD479" s="220">
        <f>Database!I468</f>
        <v/>
      </c>
      <c r="AE479" s="220">
        <f>Database!BG468</f>
        <v/>
      </c>
      <c r="AF479" s="220">
        <f>Database!BM468</f>
        <v/>
      </c>
      <c r="AG479" s="220">
        <f>Database!H468</f>
        <v/>
      </c>
      <c r="AH479" s="220">
        <f>Database!BH468</f>
        <v/>
      </c>
    </row>
    <row r="480">
      <c r="A480" s="220">
        <f>Database!B480</f>
        <v/>
      </c>
      <c r="B480" s="220">
        <f>IF(AND(Screener!$D$8&lt;&gt;"",Database!$E480=Screener!$D$8),1,0)</f>
        <v/>
      </c>
      <c r="C480" s="220">
        <f>IF(AND(Screener!$D$7&lt;&gt;"",Database!$D480=Screener!$D$7),1,0)</f>
        <v/>
      </c>
      <c r="D480" s="220">
        <f>IF(OR(N(Database!$I480)&lt;=0,N(Screener!$D$9)&lt;=0),0,MAX(0,1-ABS(LOG10(N(Database!$I480)/Screener!$D$9))/W_SIZEHW))</f>
        <v/>
      </c>
      <c r="E480" s="220">
        <f>IF(OR(Database!$BG480="",Screener!$D$10=""),0,IF(Database!$BG480=Screener!$D$10,1,0))</f>
        <v/>
      </c>
      <c r="F480" s="220">
        <f>IF(OR(Database!$BM480="",Screener!$D$11=""),0,IF(Database!$BM480=Screener!$D$11,1,0))</f>
        <v/>
      </c>
      <c r="G480" s="220">
        <f>IF(OR(Database!$H480="",N(Screener!$D$12)&lt;=0),0,MAX(0,1-(N(Screener!$D$12)-Database!$H480)/W_RECD))</f>
        <v/>
      </c>
      <c r="H480" s="220">
        <f>IF($U$1="",0,N(ISNUMBER(SEARCH($U$1,Database!$AC480&amp;""))))+IF($V$1="",0,N(ISNUMBER(SEARCH($V$1,Database!$AC480&amp;""))))+IF($W$1="",0,N(ISNUMBER(SEARCH($W$1,Database!$AC480&amp;""))))+IF($X$1="",0,N(ISNUMBER(SEARCH($X$1,Database!$AC480&amp;""))))+IF($Y$1="",0,N(ISNUMBER(SEARCH($Y$1,Database!$AC480&amp;""))))+IF(Screener!$B$17="",0,N(ISNUMBER(SEARCH(LOWER(Screener!$B$17),Database!$AC480&amp;""))))</f>
        <v/>
      </c>
      <c r="I480" s="220">
        <f>IF(OR(N(Database!$BH480)&lt;=0,N(Screener!$D$13)&lt;=0),0,MAX(0,1-ABS(LOG10(N(Database!$BH480)/Screener!$D$13))/W_PEHW))</f>
        <v/>
      </c>
      <c r="J480" s="220">
        <f>IF(OR(N(Database!$S480)&lt;=0,N(Screener!$D$14)&lt;=0),0,MAX(0,1-ABS(LOG10(Database!$S480/Screener!$D$14))/0.6))</f>
        <v/>
      </c>
      <c r="K480" s="220">
        <f>IF(Database!$B480=Screener!$B$5,-999999,IF(ISNUMBER(SEARCH(","&amp;Database!$A480&amp;",",","&amp;SUBSTITUTE(Screener!$D$17," ","")&amp;",")),2000000,IF(IF(OR(Screener!$B$18="All",AND(Screener!$B$18="With A-share",(Database!$BM480="Y")),AND(Screener!$B$18="Without A-share",NOT((Database!$BM480="Y")))),1,0)=0,-999999,IF(Screener!$B$16="cornerstone overlap first",H480*100000,IF(Screener!$B$16="demand-similar first",J480*100000,0))+W_SUB*B480+W_SEC*C480*(1-B480)+W_SIZE*D480+W_PROF*E480+W_AH*F480+W_REC*G480+W_CS*H480+W_PE*I480)))+ROW()/1000000</f>
        <v/>
      </c>
      <c r="AA480" s="220">
        <f>Database!B469</f>
        <v/>
      </c>
      <c r="AB480" s="220">
        <f>Database!D469</f>
        <v/>
      </c>
      <c r="AC480" s="220">
        <f>Database!E469</f>
        <v/>
      </c>
      <c r="AD480" s="220">
        <f>Database!I469</f>
        <v/>
      </c>
      <c r="AE480" s="220">
        <f>Database!BG469</f>
        <v/>
      </c>
      <c r="AF480" s="220">
        <f>Database!BM469</f>
        <v/>
      </c>
      <c r="AG480" s="220">
        <f>Database!H469</f>
        <v/>
      </c>
      <c r="AH480" s="220">
        <f>Database!BH469</f>
        <v/>
      </c>
    </row>
    <row r="481">
      <c r="A481" s="220">
        <f>Database!B481</f>
        <v/>
      </c>
      <c r="B481" s="220">
        <f>IF(AND(Screener!$D$8&lt;&gt;"",Database!$E481=Screener!$D$8),1,0)</f>
        <v/>
      </c>
      <c r="C481" s="220">
        <f>IF(AND(Screener!$D$7&lt;&gt;"",Database!$D481=Screener!$D$7),1,0)</f>
        <v/>
      </c>
      <c r="D481" s="220">
        <f>IF(OR(N(Database!$I481)&lt;=0,N(Screener!$D$9)&lt;=0),0,MAX(0,1-ABS(LOG10(N(Database!$I481)/Screener!$D$9))/W_SIZEHW))</f>
        <v/>
      </c>
      <c r="E481" s="220">
        <f>IF(OR(Database!$BG481="",Screener!$D$10=""),0,IF(Database!$BG481=Screener!$D$10,1,0))</f>
        <v/>
      </c>
      <c r="F481" s="220">
        <f>IF(OR(Database!$BM481="",Screener!$D$11=""),0,IF(Database!$BM481=Screener!$D$11,1,0))</f>
        <v/>
      </c>
      <c r="G481" s="220">
        <f>IF(OR(Database!$H481="",N(Screener!$D$12)&lt;=0),0,MAX(0,1-(N(Screener!$D$12)-Database!$H481)/W_RECD))</f>
        <v/>
      </c>
      <c r="H481" s="220">
        <f>IF($U$1="",0,N(ISNUMBER(SEARCH($U$1,Database!$AC481&amp;""))))+IF($V$1="",0,N(ISNUMBER(SEARCH($V$1,Database!$AC481&amp;""))))+IF($W$1="",0,N(ISNUMBER(SEARCH($W$1,Database!$AC481&amp;""))))+IF($X$1="",0,N(ISNUMBER(SEARCH($X$1,Database!$AC481&amp;""))))+IF($Y$1="",0,N(ISNUMBER(SEARCH($Y$1,Database!$AC481&amp;""))))+IF(Screener!$B$17="",0,N(ISNUMBER(SEARCH(LOWER(Screener!$B$17),Database!$AC481&amp;""))))</f>
        <v/>
      </c>
      <c r="I481" s="220">
        <f>IF(OR(N(Database!$BH481)&lt;=0,N(Screener!$D$13)&lt;=0),0,MAX(0,1-ABS(LOG10(N(Database!$BH481)/Screener!$D$13))/W_PEHW))</f>
        <v/>
      </c>
      <c r="J481" s="220">
        <f>IF(OR(N(Database!$S481)&lt;=0,N(Screener!$D$14)&lt;=0),0,MAX(0,1-ABS(LOG10(Database!$S481/Screener!$D$14))/0.6))</f>
        <v/>
      </c>
      <c r="K481" s="220">
        <f>IF(Database!$B481=Screener!$B$5,-999999,IF(ISNUMBER(SEARCH(","&amp;Database!$A481&amp;",",","&amp;SUBSTITUTE(Screener!$D$17," ","")&amp;",")),2000000,IF(IF(OR(Screener!$B$18="All",AND(Screener!$B$18="With A-share",(Database!$BM481="Y")),AND(Screener!$B$18="Without A-share",NOT((Database!$BM481="Y")))),1,0)=0,-999999,IF(Screener!$B$16="cornerstone overlap first",H481*100000,IF(Screener!$B$16="demand-similar first",J481*100000,0))+W_SUB*B481+W_SEC*C481*(1-B481)+W_SIZE*D481+W_PROF*E481+W_AH*F481+W_REC*G481+W_CS*H481+W_PE*I481)))+ROW()/1000000</f>
        <v/>
      </c>
      <c r="AA481" s="220">
        <f>Database!B470</f>
        <v/>
      </c>
      <c r="AB481" s="220">
        <f>Database!D470</f>
        <v/>
      </c>
      <c r="AC481" s="220">
        <f>Database!E470</f>
        <v/>
      </c>
      <c r="AD481" s="220">
        <f>Database!I470</f>
        <v/>
      </c>
      <c r="AE481" s="220">
        <f>Database!BG470</f>
        <v/>
      </c>
      <c r="AF481" s="220">
        <f>Database!BM470</f>
        <v/>
      </c>
      <c r="AG481" s="220">
        <f>Database!H470</f>
        <v/>
      </c>
      <c r="AH481" s="220">
        <f>Database!BH470</f>
        <v/>
      </c>
    </row>
    <row r="482">
      <c r="A482" s="220">
        <f>Database!B482</f>
        <v/>
      </c>
      <c r="B482" s="220">
        <f>IF(AND(Screener!$D$8&lt;&gt;"",Database!$E482=Screener!$D$8),1,0)</f>
        <v/>
      </c>
      <c r="C482" s="220">
        <f>IF(AND(Screener!$D$7&lt;&gt;"",Database!$D482=Screener!$D$7),1,0)</f>
        <v/>
      </c>
      <c r="D482" s="220">
        <f>IF(OR(N(Database!$I482)&lt;=0,N(Screener!$D$9)&lt;=0),0,MAX(0,1-ABS(LOG10(N(Database!$I482)/Screener!$D$9))/W_SIZEHW))</f>
        <v/>
      </c>
      <c r="E482" s="220">
        <f>IF(OR(Database!$BG482="",Screener!$D$10=""),0,IF(Database!$BG482=Screener!$D$10,1,0))</f>
        <v/>
      </c>
      <c r="F482" s="220">
        <f>IF(OR(Database!$BM482="",Screener!$D$11=""),0,IF(Database!$BM482=Screener!$D$11,1,0))</f>
        <v/>
      </c>
      <c r="G482" s="220">
        <f>IF(OR(Database!$H482="",N(Screener!$D$12)&lt;=0),0,MAX(0,1-(N(Screener!$D$12)-Database!$H482)/W_RECD))</f>
        <v/>
      </c>
      <c r="H482" s="220">
        <f>IF($U$1="",0,N(ISNUMBER(SEARCH($U$1,Database!$AC482&amp;""))))+IF($V$1="",0,N(ISNUMBER(SEARCH($V$1,Database!$AC482&amp;""))))+IF($W$1="",0,N(ISNUMBER(SEARCH($W$1,Database!$AC482&amp;""))))+IF($X$1="",0,N(ISNUMBER(SEARCH($X$1,Database!$AC482&amp;""))))+IF($Y$1="",0,N(ISNUMBER(SEARCH($Y$1,Database!$AC482&amp;""))))+IF(Screener!$B$17="",0,N(ISNUMBER(SEARCH(LOWER(Screener!$B$17),Database!$AC482&amp;""))))</f>
        <v/>
      </c>
      <c r="I482" s="220">
        <f>IF(OR(N(Database!$BH482)&lt;=0,N(Screener!$D$13)&lt;=0),0,MAX(0,1-ABS(LOG10(N(Database!$BH482)/Screener!$D$13))/W_PEHW))</f>
        <v/>
      </c>
      <c r="J482" s="220">
        <f>IF(OR(N(Database!$S482)&lt;=0,N(Screener!$D$14)&lt;=0),0,MAX(0,1-ABS(LOG10(Database!$S482/Screener!$D$14))/0.6))</f>
        <v/>
      </c>
      <c r="K482" s="220">
        <f>IF(Database!$B482=Screener!$B$5,-999999,IF(ISNUMBER(SEARCH(","&amp;Database!$A482&amp;",",","&amp;SUBSTITUTE(Screener!$D$17," ","")&amp;",")),2000000,IF(IF(OR(Screener!$B$18="All",AND(Screener!$B$18="With A-share",(Database!$BM482="Y")),AND(Screener!$B$18="Without A-share",NOT((Database!$BM482="Y")))),1,0)=0,-999999,IF(Screener!$B$16="cornerstone overlap first",H482*100000,IF(Screener!$B$16="demand-similar first",J482*100000,0))+W_SUB*B482+W_SEC*C482*(1-B482)+W_SIZE*D482+W_PROF*E482+W_AH*F482+W_REC*G482+W_CS*H482+W_PE*I482)))+ROW()/1000000</f>
        <v/>
      </c>
      <c r="AA482" s="220">
        <f>Database!B471</f>
        <v/>
      </c>
      <c r="AB482" s="220">
        <f>Database!D471</f>
        <v/>
      </c>
      <c r="AC482" s="220">
        <f>Database!E471</f>
        <v/>
      </c>
      <c r="AD482" s="220">
        <f>Database!I471</f>
        <v/>
      </c>
      <c r="AE482" s="220">
        <f>Database!BG471</f>
        <v/>
      </c>
      <c r="AF482" s="220">
        <f>Database!BM471</f>
        <v/>
      </c>
      <c r="AG482" s="220">
        <f>Database!H471</f>
        <v/>
      </c>
      <c r="AH482" s="220">
        <f>Database!BH471</f>
        <v/>
      </c>
    </row>
    <row r="483">
      <c r="A483" s="220">
        <f>Database!B483</f>
        <v/>
      </c>
      <c r="B483" s="220">
        <f>IF(AND(Screener!$D$8&lt;&gt;"",Database!$E483=Screener!$D$8),1,0)</f>
        <v/>
      </c>
      <c r="C483" s="220">
        <f>IF(AND(Screener!$D$7&lt;&gt;"",Database!$D483=Screener!$D$7),1,0)</f>
        <v/>
      </c>
      <c r="D483" s="220">
        <f>IF(OR(N(Database!$I483)&lt;=0,N(Screener!$D$9)&lt;=0),0,MAX(0,1-ABS(LOG10(N(Database!$I483)/Screener!$D$9))/W_SIZEHW))</f>
        <v/>
      </c>
      <c r="E483" s="220">
        <f>IF(OR(Database!$BG483="",Screener!$D$10=""),0,IF(Database!$BG483=Screener!$D$10,1,0))</f>
        <v/>
      </c>
      <c r="F483" s="220">
        <f>IF(OR(Database!$BM483="",Screener!$D$11=""),0,IF(Database!$BM483=Screener!$D$11,1,0))</f>
        <v/>
      </c>
      <c r="G483" s="220">
        <f>IF(OR(Database!$H483="",N(Screener!$D$12)&lt;=0),0,MAX(0,1-(N(Screener!$D$12)-Database!$H483)/W_RECD))</f>
        <v/>
      </c>
      <c r="H483" s="220">
        <f>IF($U$1="",0,N(ISNUMBER(SEARCH($U$1,Database!$AC483&amp;""))))+IF($V$1="",0,N(ISNUMBER(SEARCH($V$1,Database!$AC483&amp;""))))+IF($W$1="",0,N(ISNUMBER(SEARCH($W$1,Database!$AC483&amp;""))))+IF($X$1="",0,N(ISNUMBER(SEARCH($X$1,Database!$AC483&amp;""))))+IF($Y$1="",0,N(ISNUMBER(SEARCH($Y$1,Database!$AC483&amp;""))))+IF(Screener!$B$17="",0,N(ISNUMBER(SEARCH(LOWER(Screener!$B$17),Database!$AC483&amp;""))))</f>
        <v/>
      </c>
      <c r="I483" s="220">
        <f>IF(OR(N(Database!$BH483)&lt;=0,N(Screener!$D$13)&lt;=0),0,MAX(0,1-ABS(LOG10(N(Database!$BH483)/Screener!$D$13))/W_PEHW))</f>
        <v/>
      </c>
      <c r="J483" s="220">
        <f>IF(OR(N(Database!$S483)&lt;=0,N(Screener!$D$14)&lt;=0),0,MAX(0,1-ABS(LOG10(Database!$S483/Screener!$D$14))/0.6))</f>
        <v/>
      </c>
      <c r="K483" s="220">
        <f>IF(Database!$B483=Screener!$B$5,-999999,IF(ISNUMBER(SEARCH(","&amp;Database!$A483&amp;",",","&amp;SUBSTITUTE(Screener!$D$17," ","")&amp;",")),2000000,IF(IF(OR(Screener!$B$18="All",AND(Screener!$B$18="With A-share",(Database!$BM483="Y")),AND(Screener!$B$18="Without A-share",NOT((Database!$BM483="Y")))),1,0)=0,-999999,IF(Screener!$B$16="cornerstone overlap first",H483*100000,IF(Screener!$B$16="demand-similar first",J483*100000,0))+W_SUB*B483+W_SEC*C483*(1-B483)+W_SIZE*D483+W_PROF*E483+W_AH*F483+W_REC*G483+W_CS*H483+W_PE*I483)))+ROW()/1000000</f>
        <v/>
      </c>
      <c r="AA483" s="220">
        <f>Database!B472</f>
        <v/>
      </c>
      <c r="AB483" s="220">
        <f>Database!D472</f>
        <v/>
      </c>
      <c r="AC483" s="220">
        <f>Database!E472</f>
        <v/>
      </c>
      <c r="AD483" s="220">
        <f>Database!I472</f>
        <v/>
      </c>
      <c r="AE483" s="220">
        <f>Database!BG472</f>
        <v/>
      </c>
      <c r="AF483" s="220">
        <f>Database!BM472</f>
        <v/>
      </c>
      <c r="AG483" s="220">
        <f>Database!H472</f>
        <v/>
      </c>
      <c r="AH483" s="220">
        <f>Database!BH472</f>
        <v/>
      </c>
    </row>
    <row r="484">
      <c r="A484" s="220">
        <f>Database!B484</f>
        <v/>
      </c>
      <c r="B484" s="220">
        <f>IF(AND(Screener!$D$8&lt;&gt;"",Database!$E484=Screener!$D$8),1,0)</f>
        <v/>
      </c>
      <c r="C484" s="220">
        <f>IF(AND(Screener!$D$7&lt;&gt;"",Database!$D484=Screener!$D$7),1,0)</f>
        <v/>
      </c>
      <c r="D484" s="220">
        <f>IF(OR(N(Database!$I484)&lt;=0,N(Screener!$D$9)&lt;=0),0,MAX(0,1-ABS(LOG10(N(Database!$I484)/Screener!$D$9))/W_SIZEHW))</f>
        <v/>
      </c>
      <c r="E484" s="220">
        <f>IF(OR(Database!$BG484="",Screener!$D$10=""),0,IF(Database!$BG484=Screener!$D$10,1,0))</f>
        <v/>
      </c>
      <c r="F484" s="220">
        <f>IF(OR(Database!$BM484="",Screener!$D$11=""),0,IF(Database!$BM484=Screener!$D$11,1,0))</f>
        <v/>
      </c>
      <c r="G484" s="220">
        <f>IF(OR(Database!$H484="",N(Screener!$D$12)&lt;=0),0,MAX(0,1-(N(Screener!$D$12)-Database!$H484)/W_RECD))</f>
        <v/>
      </c>
      <c r="H484" s="220">
        <f>IF($U$1="",0,N(ISNUMBER(SEARCH($U$1,Database!$AC484&amp;""))))+IF($V$1="",0,N(ISNUMBER(SEARCH($V$1,Database!$AC484&amp;""))))+IF($W$1="",0,N(ISNUMBER(SEARCH($W$1,Database!$AC484&amp;""))))+IF($X$1="",0,N(ISNUMBER(SEARCH($X$1,Database!$AC484&amp;""))))+IF($Y$1="",0,N(ISNUMBER(SEARCH($Y$1,Database!$AC484&amp;""))))+IF(Screener!$B$17="",0,N(ISNUMBER(SEARCH(LOWER(Screener!$B$17),Database!$AC484&amp;""))))</f>
        <v/>
      </c>
      <c r="I484" s="220">
        <f>IF(OR(N(Database!$BH484)&lt;=0,N(Screener!$D$13)&lt;=0),0,MAX(0,1-ABS(LOG10(N(Database!$BH484)/Screener!$D$13))/W_PEHW))</f>
        <v/>
      </c>
      <c r="J484" s="220">
        <f>IF(OR(N(Database!$S484)&lt;=0,N(Screener!$D$14)&lt;=0),0,MAX(0,1-ABS(LOG10(Database!$S484/Screener!$D$14))/0.6))</f>
        <v/>
      </c>
      <c r="K484" s="220">
        <f>IF(Database!$B484=Screener!$B$5,-999999,IF(ISNUMBER(SEARCH(","&amp;Database!$A484&amp;",",","&amp;SUBSTITUTE(Screener!$D$17," ","")&amp;",")),2000000,IF(IF(OR(Screener!$B$18="All",AND(Screener!$B$18="With A-share",(Database!$BM484="Y")),AND(Screener!$B$18="Without A-share",NOT((Database!$BM484="Y")))),1,0)=0,-999999,IF(Screener!$B$16="cornerstone overlap first",H484*100000,IF(Screener!$B$16="demand-similar first",J484*100000,0))+W_SUB*B484+W_SEC*C484*(1-B484)+W_SIZE*D484+W_PROF*E484+W_AH*F484+W_REC*G484+W_CS*H484+W_PE*I484)))+ROW()/1000000</f>
        <v/>
      </c>
      <c r="AA484" s="220">
        <f>Database!B473</f>
        <v/>
      </c>
      <c r="AB484" s="220">
        <f>Database!D473</f>
        <v/>
      </c>
      <c r="AC484" s="220">
        <f>Database!E473</f>
        <v/>
      </c>
      <c r="AD484" s="220">
        <f>Database!I473</f>
        <v/>
      </c>
      <c r="AE484" s="220">
        <f>Database!BG473</f>
        <v/>
      </c>
      <c r="AF484" s="220">
        <f>Database!BM473</f>
        <v/>
      </c>
      <c r="AG484" s="220">
        <f>Database!H473</f>
        <v/>
      </c>
      <c r="AH484" s="220">
        <f>Database!BH473</f>
        <v/>
      </c>
    </row>
    <row r="485">
      <c r="A485" s="220">
        <f>Database!B485</f>
        <v/>
      </c>
      <c r="B485" s="220">
        <f>IF(AND(Screener!$D$8&lt;&gt;"",Database!$E485=Screener!$D$8),1,0)</f>
        <v/>
      </c>
      <c r="C485" s="220">
        <f>IF(AND(Screener!$D$7&lt;&gt;"",Database!$D485=Screener!$D$7),1,0)</f>
        <v/>
      </c>
      <c r="D485" s="220">
        <f>IF(OR(N(Database!$I485)&lt;=0,N(Screener!$D$9)&lt;=0),0,MAX(0,1-ABS(LOG10(N(Database!$I485)/Screener!$D$9))/W_SIZEHW))</f>
        <v/>
      </c>
      <c r="E485" s="220">
        <f>IF(OR(Database!$BG485="",Screener!$D$10=""),0,IF(Database!$BG485=Screener!$D$10,1,0))</f>
        <v/>
      </c>
      <c r="F485" s="220">
        <f>IF(OR(Database!$BM485="",Screener!$D$11=""),0,IF(Database!$BM485=Screener!$D$11,1,0))</f>
        <v/>
      </c>
      <c r="G485" s="220">
        <f>IF(OR(Database!$H485="",N(Screener!$D$12)&lt;=0),0,MAX(0,1-(N(Screener!$D$12)-Database!$H485)/W_RECD))</f>
        <v/>
      </c>
      <c r="H485" s="220">
        <f>IF($U$1="",0,N(ISNUMBER(SEARCH($U$1,Database!$AC485&amp;""))))+IF($V$1="",0,N(ISNUMBER(SEARCH($V$1,Database!$AC485&amp;""))))+IF($W$1="",0,N(ISNUMBER(SEARCH($W$1,Database!$AC485&amp;""))))+IF($X$1="",0,N(ISNUMBER(SEARCH($X$1,Database!$AC485&amp;""))))+IF($Y$1="",0,N(ISNUMBER(SEARCH($Y$1,Database!$AC485&amp;""))))+IF(Screener!$B$17="",0,N(ISNUMBER(SEARCH(LOWER(Screener!$B$17),Database!$AC485&amp;""))))</f>
        <v/>
      </c>
      <c r="I485" s="220">
        <f>IF(OR(N(Database!$BH485)&lt;=0,N(Screener!$D$13)&lt;=0),0,MAX(0,1-ABS(LOG10(N(Database!$BH485)/Screener!$D$13))/W_PEHW))</f>
        <v/>
      </c>
      <c r="J485" s="220">
        <f>IF(OR(N(Database!$S485)&lt;=0,N(Screener!$D$14)&lt;=0),0,MAX(0,1-ABS(LOG10(Database!$S485/Screener!$D$14))/0.6))</f>
        <v/>
      </c>
      <c r="K485" s="220">
        <f>IF(Database!$B485=Screener!$B$5,-999999,IF(ISNUMBER(SEARCH(","&amp;Database!$A485&amp;",",","&amp;SUBSTITUTE(Screener!$D$17," ","")&amp;",")),2000000,IF(IF(OR(Screener!$B$18="All",AND(Screener!$B$18="With A-share",(Database!$BM485="Y")),AND(Screener!$B$18="Without A-share",NOT((Database!$BM485="Y")))),1,0)=0,-999999,IF(Screener!$B$16="cornerstone overlap first",H485*100000,IF(Screener!$B$16="demand-similar first",J485*100000,0))+W_SUB*B485+W_SEC*C485*(1-B485)+W_SIZE*D485+W_PROF*E485+W_AH*F485+W_REC*G485+W_CS*H485+W_PE*I485)))+ROW()/1000000</f>
        <v/>
      </c>
      <c r="AA485" s="220">
        <f>Database!B474</f>
        <v/>
      </c>
      <c r="AB485" s="220">
        <f>Database!D474</f>
        <v/>
      </c>
      <c r="AC485" s="220">
        <f>Database!E474</f>
        <v/>
      </c>
      <c r="AD485" s="220">
        <f>Database!I474</f>
        <v/>
      </c>
      <c r="AE485" s="220">
        <f>Database!BG474</f>
        <v/>
      </c>
      <c r="AF485" s="220">
        <f>Database!BM474</f>
        <v/>
      </c>
      <c r="AG485" s="220">
        <f>Database!H474</f>
        <v/>
      </c>
      <c r="AH485" s="220">
        <f>Database!BH474</f>
        <v/>
      </c>
    </row>
    <row r="486">
      <c r="A486" s="220">
        <f>Database!B486</f>
        <v/>
      </c>
      <c r="B486" s="220">
        <f>IF(AND(Screener!$D$8&lt;&gt;"",Database!$E486=Screener!$D$8),1,0)</f>
        <v/>
      </c>
      <c r="C486" s="220">
        <f>IF(AND(Screener!$D$7&lt;&gt;"",Database!$D486=Screener!$D$7),1,0)</f>
        <v/>
      </c>
      <c r="D486" s="220">
        <f>IF(OR(N(Database!$I486)&lt;=0,N(Screener!$D$9)&lt;=0),0,MAX(0,1-ABS(LOG10(N(Database!$I486)/Screener!$D$9))/W_SIZEHW))</f>
        <v/>
      </c>
      <c r="E486" s="220">
        <f>IF(OR(Database!$BG486="",Screener!$D$10=""),0,IF(Database!$BG486=Screener!$D$10,1,0))</f>
        <v/>
      </c>
      <c r="F486" s="220">
        <f>IF(OR(Database!$BM486="",Screener!$D$11=""),0,IF(Database!$BM486=Screener!$D$11,1,0))</f>
        <v/>
      </c>
      <c r="G486" s="220">
        <f>IF(OR(Database!$H486="",N(Screener!$D$12)&lt;=0),0,MAX(0,1-(N(Screener!$D$12)-Database!$H486)/W_RECD))</f>
        <v/>
      </c>
      <c r="H486" s="220">
        <f>IF($U$1="",0,N(ISNUMBER(SEARCH($U$1,Database!$AC486&amp;""))))+IF($V$1="",0,N(ISNUMBER(SEARCH($V$1,Database!$AC486&amp;""))))+IF($W$1="",0,N(ISNUMBER(SEARCH($W$1,Database!$AC486&amp;""))))+IF($X$1="",0,N(ISNUMBER(SEARCH($X$1,Database!$AC486&amp;""))))+IF($Y$1="",0,N(ISNUMBER(SEARCH($Y$1,Database!$AC486&amp;""))))+IF(Screener!$B$17="",0,N(ISNUMBER(SEARCH(LOWER(Screener!$B$17),Database!$AC486&amp;""))))</f>
        <v/>
      </c>
      <c r="I486" s="220">
        <f>IF(OR(N(Database!$BH486)&lt;=0,N(Screener!$D$13)&lt;=0),0,MAX(0,1-ABS(LOG10(N(Database!$BH486)/Screener!$D$13))/W_PEHW))</f>
        <v/>
      </c>
      <c r="J486" s="220">
        <f>IF(OR(N(Database!$S486)&lt;=0,N(Screener!$D$14)&lt;=0),0,MAX(0,1-ABS(LOG10(Database!$S486/Screener!$D$14))/0.6))</f>
        <v/>
      </c>
      <c r="K486" s="220">
        <f>IF(Database!$B486=Screener!$B$5,-999999,IF(ISNUMBER(SEARCH(","&amp;Database!$A486&amp;",",","&amp;SUBSTITUTE(Screener!$D$17," ","")&amp;",")),2000000,IF(IF(OR(Screener!$B$18="All",AND(Screener!$B$18="With A-share",(Database!$BM486="Y")),AND(Screener!$B$18="Without A-share",NOT((Database!$BM486="Y")))),1,0)=0,-999999,IF(Screener!$B$16="cornerstone overlap first",H486*100000,IF(Screener!$B$16="demand-similar first",J486*100000,0))+W_SUB*B486+W_SEC*C486*(1-B486)+W_SIZE*D486+W_PROF*E486+W_AH*F486+W_REC*G486+W_CS*H486+W_PE*I486)))+ROW()/1000000</f>
        <v/>
      </c>
      <c r="AA486" s="220">
        <f>Database!B475</f>
        <v/>
      </c>
      <c r="AB486" s="220">
        <f>Database!D475</f>
        <v/>
      </c>
      <c r="AC486" s="220">
        <f>Database!E475</f>
        <v/>
      </c>
      <c r="AD486" s="220">
        <f>Database!I475</f>
        <v/>
      </c>
      <c r="AE486" s="220">
        <f>Database!BG475</f>
        <v/>
      </c>
      <c r="AF486" s="220">
        <f>Database!BM475</f>
        <v/>
      </c>
      <c r="AG486" s="220">
        <f>Database!H475</f>
        <v/>
      </c>
      <c r="AH486" s="220">
        <f>Database!BH475</f>
        <v/>
      </c>
    </row>
    <row r="487">
      <c r="A487" s="220">
        <f>Database!B487</f>
        <v/>
      </c>
      <c r="B487" s="220">
        <f>IF(AND(Screener!$D$8&lt;&gt;"",Database!$E487=Screener!$D$8),1,0)</f>
        <v/>
      </c>
      <c r="C487" s="220">
        <f>IF(AND(Screener!$D$7&lt;&gt;"",Database!$D487=Screener!$D$7),1,0)</f>
        <v/>
      </c>
      <c r="D487" s="220">
        <f>IF(OR(N(Database!$I487)&lt;=0,N(Screener!$D$9)&lt;=0),0,MAX(0,1-ABS(LOG10(N(Database!$I487)/Screener!$D$9))/W_SIZEHW))</f>
        <v/>
      </c>
      <c r="E487" s="220">
        <f>IF(OR(Database!$BG487="",Screener!$D$10=""),0,IF(Database!$BG487=Screener!$D$10,1,0))</f>
        <v/>
      </c>
      <c r="F487" s="220">
        <f>IF(OR(Database!$BM487="",Screener!$D$11=""),0,IF(Database!$BM487=Screener!$D$11,1,0))</f>
        <v/>
      </c>
      <c r="G487" s="220">
        <f>IF(OR(Database!$H487="",N(Screener!$D$12)&lt;=0),0,MAX(0,1-(N(Screener!$D$12)-Database!$H487)/W_RECD))</f>
        <v/>
      </c>
      <c r="H487" s="220">
        <f>IF($U$1="",0,N(ISNUMBER(SEARCH($U$1,Database!$AC487&amp;""))))+IF($V$1="",0,N(ISNUMBER(SEARCH($V$1,Database!$AC487&amp;""))))+IF($W$1="",0,N(ISNUMBER(SEARCH($W$1,Database!$AC487&amp;""))))+IF($X$1="",0,N(ISNUMBER(SEARCH($X$1,Database!$AC487&amp;""))))+IF($Y$1="",0,N(ISNUMBER(SEARCH($Y$1,Database!$AC487&amp;""))))+IF(Screener!$B$17="",0,N(ISNUMBER(SEARCH(LOWER(Screener!$B$17),Database!$AC487&amp;""))))</f>
        <v/>
      </c>
      <c r="I487" s="220">
        <f>IF(OR(N(Database!$BH487)&lt;=0,N(Screener!$D$13)&lt;=0),0,MAX(0,1-ABS(LOG10(N(Database!$BH487)/Screener!$D$13))/W_PEHW))</f>
        <v/>
      </c>
      <c r="J487" s="220">
        <f>IF(OR(N(Database!$S487)&lt;=0,N(Screener!$D$14)&lt;=0),0,MAX(0,1-ABS(LOG10(Database!$S487/Screener!$D$14))/0.6))</f>
        <v/>
      </c>
      <c r="K487" s="220">
        <f>IF(Database!$B487=Screener!$B$5,-999999,IF(ISNUMBER(SEARCH(","&amp;Database!$A487&amp;",",","&amp;SUBSTITUTE(Screener!$D$17," ","")&amp;",")),2000000,IF(IF(OR(Screener!$B$18="All",AND(Screener!$B$18="With A-share",(Database!$BM487="Y")),AND(Screener!$B$18="Without A-share",NOT((Database!$BM487="Y")))),1,0)=0,-999999,IF(Screener!$B$16="cornerstone overlap first",H487*100000,IF(Screener!$B$16="demand-similar first",J487*100000,0))+W_SUB*B487+W_SEC*C487*(1-B487)+W_SIZE*D487+W_PROF*E487+W_AH*F487+W_REC*G487+W_CS*H487+W_PE*I487)))+ROW()/1000000</f>
        <v/>
      </c>
      <c r="AA487" s="220">
        <f>Database!B476</f>
        <v/>
      </c>
      <c r="AB487" s="220">
        <f>Database!D476</f>
        <v/>
      </c>
      <c r="AC487" s="220">
        <f>Database!E476</f>
        <v/>
      </c>
      <c r="AD487" s="220">
        <f>Database!I476</f>
        <v/>
      </c>
      <c r="AE487" s="220">
        <f>Database!BG476</f>
        <v/>
      </c>
      <c r="AF487" s="220">
        <f>Database!BM476</f>
        <v/>
      </c>
      <c r="AG487" s="220">
        <f>Database!H476</f>
        <v/>
      </c>
      <c r="AH487" s="220">
        <f>Database!BH476</f>
        <v/>
      </c>
    </row>
    <row r="488">
      <c r="A488" s="220">
        <f>Database!B488</f>
        <v/>
      </c>
      <c r="B488" s="220">
        <f>IF(AND(Screener!$D$8&lt;&gt;"",Database!$E488=Screener!$D$8),1,0)</f>
        <v/>
      </c>
      <c r="C488" s="220">
        <f>IF(AND(Screener!$D$7&lt;&gt;"",Database!$D488=Screener!$D$7),1,0)</f>
        <v/>
      </c>
      <c r="D488" s="220">
        <f>IF(OR(N(Database!$I488)&lt;=0,N(Screener!$D$9)&lt;=0),0,MAX(0,1-ABS(LOG10(N(Database!$I488)/Screener!$D$9))/W_SIZEHW))</f>
        <v/>
      </c>
      <c r="E488" s="220">
        <f>IF(OR(Database!$BG488="",Screener!$D$10=""),0,IF(Database!$BG488=Screener!$D$10,1,0))</f>
        <v/>
      </c>
      <c r="F488" s="220">
        <f>IF(OR(Database!$BM488="",Screener!$D$11=""),0,IF(Database!$BM488=Screener!$D$11,1,0))</f>
        <v/>
      </c>
      <c r="G488" s="220">
        <f>IF(OR(Database!$H488="",N(Screener!$D$12)&lt;=0),0,MAX(0,1-(N(Screener!$D$12)-Database!$H488)/W_RECD))</f>
        <v/>
      </c>
      <c r="H488" s="220">
        <f>IF($U$1="",0,N(ISNUMBER(SEARCH($U$1,Database!$AC488&amp;""))))+IF($V$1="",0,N(ISNUMBER(SEARCH($V$1,Database!$AC488&amp;""))))+IF($W$1="",0,N(ISNUMBER(SEARCH($W$1,Database!$AC488&amp;""))))+IF($X$1="",0,N(ISNUMBER(SEARCH($X$1,Database!$AC488&amp;""))))+IF($Y$1="",0,N(ISNUMBER(SEARCH($Y$1,Database!$AC488&amp;""))))+IF(Screener!$B$17="",0,N(ISNUMBER(SEARCH(LOWER(Screener!$B$17),Database!$AC488&amp;""))))</f>
        <v/>
      </c>
      <c r="I488" s="220">
        <f>IF(OR(N(Database!$BH488)&lt;=0,N(Screener!$D$13)&lt;=0),0,MAX(0,1-ABS(LOG10(N(Database!$BH488)/Screener!$D$13))/W_PEHW))</f>
        <v/>
      </c>
      <c r="J488" s="220">
        <f>IF(OR(N(Database!$S488)&lt;=0,N(Screener!$D$14)&lt;=0),0,MAX(0,1-ABS(LOG10(Database!$S488/Screener!$D$14))/0.6))</f>
        <v/>
      </c>
      <c r="K488" s="220">
        <f>IF(Database!$B488=Screener!$B$5,-999999,IF(ISNUMBER(SEARCH(","&amp;Database!$A488&amp;",",","&amp;SUBSTITUTE(Screener!$D$17," ","")&amp;",")),2000000,IF(IF(OR(Screener!$B$18="All",AND(Screener!$B$18="With A-share",(Database!$BM488="Y")),AND(Screener!$B$18="Without A-share",NOT((Database!$BM488="Y")))),1,0)=0,-999999,IF(Screener!$B$16="cornerstone overlap first",H488*100000,IF(Screener!$B$16="demand-similar first",J488*100000,0))+W_SUB*B488+W_SEC*C488*(1-B488)+W_SIZE*D488+W_PROF*E488+W_AH*F488+W_REC*G488+W_CS*H488+W_PE*I488)))+ROW()/1000000</f>
        <v/>
      </c>
      <c r="AA488" s="220">
        <f>Database!B477</f>
        <v/>
      </c>
      <c r="AB488" s="220">
        <f>Database!D477</f>
        <v/>
      </c>
      <c r="AC488" s="220">
        <f>Database!E477</f>
        <v/>
      </c>
      <c r="AD488" s="220">
        <f>Database!I477</f>
        <v/>
      </c>
      <c r="AE488" s="220">
        <f>Database!BG477</f>
        <v/>
      </c>
      <c r="AF488" s="220">
        <f>Database!BM477</f>
        <v/>
      </c>
      <c r="AG488" s="220">
        <f>Database!H477</f>
        <v/>
      </c>
      <c r="AH488" s="220">
        <f>Database!BH477</f>
        <v/>
      </c>
    </row>
    <row r="489">
      <c r="A489" s="220">
        <f>Database!B489</f>
        <v/>
      </c>
      <c r="B489" s="220">
        <f>IF(AND(Screener!$D$8&lt;&gt;"",Database!$E489=Screener!$D$8),1,0)</f>
        <v/>
      </c>
      <c r="C489" s="220">
        <f>IF(AND(Screener!$D$7&lt;&gt;"",Database!$D489=Screener!$D$7),1,0)</f>
        <v/>
      </c>
      <c r="D489" s="220">
        <f>IF(OR(N(Database!$I489)&lt;=0,N(Screener!$D$9)&lt;=0),0,MAX(0,1-ABS(LOG10(N(Database!$I489)/Screener!$D$9))/W_SIZEHW))</f>
        <v/>
      </c>
      <c r="E489" s="220">
        <f>IF(OR(Database!$BG489="",Screener!$D$10=""),0,IF(Database!$BG489=Screener!$D$10,1,0))</f>
        <v/>
      </c>
      <c r="F489" s="220">
        <f>IF(OR(Database!$BM489="",Screener!$D$11=""),0,IF(Database!$BM489=Screener!$D$11,1,0))</f>
        <v/>
      </c>
      <c r="G489" s="220">
        <f>IF(OR(Database!$H489="",N(Screener!$D$12)&lt;=0),0,MAX(0,1-(N(Screener!$D$12)-Database!$H489)/W_RECD))</f>
        <v/>
      </c>
      <c r="H489" s="220">
        <f>IF($U$1="",0,N(ISNUMBER(SEARCH($U$1,Database!$AC489&amp;""))))+IF($V$1="",0,N(ISNUMBER(SEARCH($V$1,Database!$AC489&amp;""))))+IF($W$1="",0,N(ISNUMBER(SEARCH($W$1,Database!$AC489&amp;""))))+IF($X$1="",0,N(ISNUMBER(SEARCH($X$1,Database!$AC489&amp;""))))+IF($Y$1="",0,N(ISNUMBER(SEARCH($Y$1,Database!$AC489&amp;""))))+IF(Screener!$B$17="",0,N(ISNUMBER(SEARCH(LOWER(Screener!$B$17),Database!$AC489&amp;""))))</f>
        <v/>
      </c>
      <c r="I489" s="220">
        <f>IF(OR(N(Database!$BH489)&lt;=0,N(Screener!$D$13)&lt;=0),0,MAX(0,1-ABS(LOG10(N(Database!$BH489)/Screener!$D$13))/W_PEHW))</f>
        <v/>
      </c>
      <c r="J489" s="220">
        <f>IF(OR(N(Database!$S489)&lt;=0,N(Screener!$D$14)&lt;=0),0,MAX(0,1-ABS(LOG10(Database!$S489/Screener!$D$14))/0.6))</f>
        <v/>
      </c>
      <c r="K489" s="220">
        <f>IF(Database!$B489=Screener!$B$5,-999999,IF(ISNUMBER(SEARCH(","&amp;Database!$A489&amp;",",","&amp;SUBSTITUTE(Screener!$D$17," ","")&amp;",")),2000000,IF(IF(OR(Screener!$B$18="All",AND(Screener!$B$18="With A-share",(Database!$BM489="Y")),AND(Screener!$B$18="Without A-share",NOT((Database!$BM489="Y")))),1,0)=0,-999999,IF(Screener!$B$16="cornerstone overlap first",H489*100000,IF(Screener!$B$16="demand-similar first",J489*100000,0))+W_SUB*B489+W_SEC*C489*(1-B489)+W_SIZE*D489+W_PROF*E489+W_AH*F489+W_REC*G489+W_CS*H489+W_PE*I489)))+ROW()/1000000</f>
        <v/>
      </c>
      <c r="AA489" s="220">
        <f>Database!B478</f>
        <v/>
      </c>
      <c r="AB489" s="220">
        <f>Database!D478</f>
        <v/>
      </c>
      <c r="AC489" s="220">
        <f>Database!E478</f>
        <v/>
      </c>
      <c r="AD489" s="220">
        <f>Database!I478</f>
        <v/>
      </c>
      <c r="AE489" s="220">
        <f>Database!BG478</f>
        <v/>
      </c>
      <c r="AF489" s="220">
        <f>Database!BM478</f>
        <v/>
      </c>
      <c r="AG489" s="220">
        <f>Database!H478</f>
        <v/>
      </c>
      <c r="AH489" s="220">
        <f>Database!BH478</f>
        <v/>
      </c>
    </row>
    <row r="490">
      <c r="A490" s="220">
        <f>Database!B490</f>
        <v/>
      </c>
      <c r="B490" s="220">
        <f>IF(AND(Screener!$D$8&lt;&gt;"",Database!$E490=Screener!$D$8),1,0)</f>
        <v/>
      </c>
      <c r="C490" s="220">
        <f>IF(AND(Screener!$D$7&lt;&gt;"",Database!$D490=Screener!$D$7),1,0)</f>
        <v/>
      </c>
      <c r="D490" s="220">
        <f>IF(OR(N(Database!$I490)&lt;=0,N(Screener!$D$9)&lt;=0),0,MAX(0,1-ABS(LOG10(N(Database!$I490)/Screener!$D$9))/W_SIZEHW))</f>
        <v/>
      </c>
      <c r="E490" s="220">
        <f>IF(OR(Database!$BG490="",Screener!$D$10=""),0,IF(Database!$BG490=Screener!$D$10,1,0))</f>
        <v/>
      </c>
      <c r="F490" s="220">
        <f>IF(OR(Database!$BM490="",Screener!$D$11=""),0,IF(Database!$BM490=Screener!$D$11,1,0))</f>
        <v/>
      </c>
      <c r="G490" s="220">
        <f>IF(OR(Database!$H490="",N(Screener!$D$12)&lt;=0),0,MAX(0,1-(N(Screener!$D$12)-Database!$H490)/W_RECD))</f>
        <v/>
      </c>
      <c r="H490" s="220">
        <f>IF($U$1="",0,N(ISNUMBER(SEARCH($U$1,Database!$AC490&amp;""))))+IF($V$1="",0,N(ISNUMBER(SEARCH($V$1,Database!$AC490&amp;""))))+IF($W$1="",0,N(ISNUMBER(SEARCH($W$1,Database!$AC490&amp;""))))+IF($X$1="",0,N(ISNUMBER(SEARCH($X$1,Database!$AC490&amp;""))))+IF($Y$1="",0,N(ISNUMBER(SEARCH($Y$1,Database!$AC490&amp;""))))+IF(Screener!$B$17="",0,N(ISNUMBER(SEARCH(LOWER(Screener!$B$17),Database!$AC490&amp;""))))</f>
        <v/>
      </c>
      <c r="I490" s="220">
        <f>IF(OR(N(Database!$BH490)&lt;=0,N(Screener!$D$13)&lt;=0),0,MAX(0,1-ABS(LOG10(N(Database!$BH490)/Screener!$D$13))/W_PEHW))</f>
        <v/>
      </c>
      <c r="J490" s="220">
        <f>IF(OR(N(Database!$S490)&lt;=0,N(Screener!$D$14)&lt;=0),0,MAX(0,1-ABS(LOG10(Database!$S490/Screener!$D$14))/0.6))</f>
        <v/>
      </c>
      <c r="K490" s="220">
        <f>IF(Database!$B490=Screener!$B$5,-999999,IF(ISNUMBER(SEARCH(","&amp;Database!$A490&amp;",",","&amp;SUBSTITUTE(Screener!$D$17," ","")&amp;",")),2000000,IF(IF(OR(Screener!$B$18="All",AND(Screener!$B$18="With A-share",(Database!$BM490="Y")),AND(Screener!$B$18="Without A-share",NOT((Database!$BM490="Y")))),1,0)=0,-999999,IF(Screener!$B$16="cornerstone overlap first",H490*100000,IF(Screener!$B$16="demand-similar first",J490*100000,0))+W_SUB*B490+W_SEC*C490*(1-B490)+W_SIZE*D490+W_PROF*E490+W_AH*F490+W_REC*G490+W_CS*H490+W_PE*I490)))+ROW()/1000000</f>
        <v/>
      </c>
      <c r="AA490" s="220">
        <f>Database!B479</f>
        <v/>
      </c>
      <c r="AB490" s="220">
        <f>Database!D479</f>
        <v/>
      </c>
      <c r="AC490" s="220">
        <f>Database!E479</f>
        <v/>
      </c>
      <c r="AD490" s="220">
        <f>Database!I479</f>
        <v/>
      </c>
      <c r="AE490" s="220">
        <f>Database!BG479</f>
        <v/>
      </c>
      <c r="AF490" s="220">
        <f>Database!BM479</f>
        <v/>
      </c>
      <c r="AG490" s="220">
        <f>Database!H479</f>
        <v/>
      </c>
      <c r="AH490" s="220">
        <f>Database!BH479</f>
        <v/>
      </c>
    </row>
    <row r="491">
      <c r="A491" s="220">
        <f>Database!B491</f>
        <v/>
      </c>
      <c r="B491" s="220">
        <f>IF(AND(Screener!$D$8&lt;&gt;"",Database!$E491=Screener!$D$8),1,0)</f>
        <v/>
      </c>
      <c r="C491" s="220">
        <f>IF(AND(Screener!$D$7&lt;&gt;"",Database!$D491=Screener!$D$7),1,0)</f>
        <v/>
      </c>
      <c r="D491" s="220">
        <f>IF(OR(N(Database!$I491)&lt;=0,N(Screener!$D$9)&lt;=0),0,MAX(0,1-ABS(LOG10(N(Database!$I491)/Screener!$D$9))/W_SIZEHW))</f>
        <v/>
      </c>
      <c r="E491" s="220">
        <f>IF(OR(Database!$BG491="",Screener!$D$10=""),0,IF(Database!$BG491=Screener!$D$10,1,0))</f>
        <v/>
      </c>
      <c r="F491" s="220">
        <f>IF(OR(Database!$BM491="",Screener!$D$11=""),0,IF(Database!$BM491=Screener!$D$11,1,0))</f>
        <v/>
      </c>
      <c r="G491" s="220">
        <f>IF(OR(Database!$H491="",N(Screener!$D$12)&lt;=0),0,MAX(0,1-(N(Screener!$D$12)-Database!$H491)/W_RECD))</f>
        <v/>
      </c>
      <c r="H491" s="220">
        <f>IF($U$1="",0,N(ISNUMBER(SEARCH($U$1,Database!$AC491&amp;""))))+IF($V$1="",0,N(ISNUMBER(SEARCH($V$1,Database!$AC491&amp;""))))+IF($W$1="",0,N(ISNUMBER(SEARCH($W$1,Database!$AC491&amp;""))))+IF($X$1="",0,N(ISNUMBER(SEARCH($X$1,Database!$AC491&amp;""))))+IF($Y$1="",0,N(ISNUMBER(SEARCH($Y$1,Database!$AC491&amp;""))))+IF(Screener!$B$17="",0,N(ISNUMBER(SEARCH(LOWER(Screener!$B$17),Database!$AC491&amp;""))))</f>
        <v/>
      </c>
      <c r="I491" s="220">
        <f>IF(OR(N(Database!$BH491)&lt;=0,N(Screener!$D$13)&lt;=0),0,MAX(0,1-ABS(LOG10(N(Database!$BH491)/Screener!$D$13))/W_PEHW))</f>
        <v/>
      </c>
      <c r="J491" s="220">
        <f>IF(OR(N(Database!$S491)&lt;=0,N(Screener!$D$14)&lt;=0),0,MAX(0,1-ABS(LOG10(Database!$S491/Screener!$D$14))/0.6))</f>
        <v/>
      </c>
      <c r="K491" s="220">
        <f>IF(Database!$B491=Screener!$B$5,-999999,IF(ISNUMBER(SEARCH(","&amp;Database!$A491&amp;",",","&amp;SUBSTITUTE(Screener!$D$17," ","")&amp;",")),2000000,IF(IF(OR(Screener!$B$18="All",AND(Screener!$B$18="With A-share",(Database!$BM491="Y")),AND(Screener!$B$18="Without A-share",NOT((Database!$BM491="Y")))),1,0)=0,-999999,IF(Screener!$B$16="cornerstone overlap first",H491*100000,IF(Screener!$B$16="demand-similar first",J491*100000,0))+W_SUB*B491+W_SEC*C491*(1-B491)+W_SIZE*D491+W_PROF*E491+W_AH*F491+W_REC*G491+W_CS*H491+W_PE*I491)))+ROW()/1000000</f>
        <v/>
      </c>
      <c r="AA491" s="220">
        <f>Database!B480</f>
        <v/>
      </c>
      <c r="AB491" s="220">
        <f>Database!D480</f>
        <v/>
      </c>
      <c r="AC491" s="220">
        <f>Database!E480</f>
        <v/>
      </c>
      <c r="AD491" s="220">
        <f>Database!I480</f>
        <v/>
      </c>
      <c r="AE491" s="220">
        <f>Database!BG480</f>
        <v/>
      </c>
      <c r="AF491" s="220">
        <f>Database!BM480</f>
        <v/>
      </c>
      <c r="AG491" s="220">
        <f>Database!H480</f>
        <v/>
      </c>
      <c r="AH491" s="220">
        <f>Database!BH480</f>
        <v/>
      </c>
    </row>
    <row r="492">
      <c r="A492" s="220">
        <f>Database!B492</f>
        <v/>
      </c>
      <c r="B492" s="220">
        <f>IF(AND(Screener!$D$8&lt;&gt;"",Database!$E492=Screener!$D$8),1,0)</f>
        <v/>
      </c>
      <c r="C492" s="220">
        <f>IF(AND(Screener!$D$7&lt;&gt;"",Database!$D492=Screener!$D$7),1,0)</f>
        <v/>
      </c>
      <c r="D492" s="220">
        <f>IF(OR(N(Database!$I492)&lt;=0,N(Screener!$D$9)&lt;=0),0,MAX(0,1-ABS(LOG10(N(Database!$I492)/Screener!$D$9))/W_SIZEHW))</f>
        <v/>
      </c>
      <c r="E492" s="220">
        <f>IF(OR(Database!$BG492="",Screener!$D$10=""),0,IF(Database!$BG492=Screener!$D$10,1,0))</f>
        <v/>
      </c>
      <c r="F492" s="220">
        <f>IF(OR(Database!$BM492="",Screener!$D$11=""),0,IF(Database!$BM492=Screener!$D$11,1,0))</f>
        <v/>
      </c>
      <c r="G492" s="220">
        <f>IF(OR(Database!$H492="",N(Screener!$D$12)&lt;=0),0,MAX(0,1-(N(Screener!$D$12)-Database!$H492)/W_RECD))</f>
        <v/>
      </c>
      <c r="H492" s="220">
        <f>IF($U$1="",0,N(ISNUMBER(SEARCH($U$1,Database!$AC492&amp;""))))+IF($V$1="",0,N(ISNUMBER(SEARCH($V$1,Database!$AC492&amp;""))))+IF($W$1="",0,N(ISNUMBER(SEARCH($W$1,Database!$AC492&amp;""))))+IF($X$1="",0,N(ISNUMBER(SEARCH($X$1,Database!$AC492&amp;""))))+IF($Y$1="",0,N(ISNUMBER(SEARCH($Y$1,Database!$AC492&amp;""))))+IF(Screener!$B$17="",0,N(ISNUMBER(SEARCH(LOWER(Screener!$B$17),Database!$AC492&amp;""))))</f>
        <v/>
      </c>
      <c r="I492" s="220">
        <f>IF(OR(N(Database!$BH492)&lt;=0,N(Screener!$D$13)&lt;=0),0,MAX(0,1-ABS(LOG10(N(Database!$BH492)/Screener!$D$13))/W_PEHW))</f>
        <v/>
      </c>
      <c r="J492" s="220">
        <f>IF(OR(N(Database!$S492)&lt;=0,N(Screener!$D$14)&lt;=0),0,MAX(0,1-ABS(LOG10(Database!$S492/Screener!$D$14))/0.6))</f>
        <v/>
      </c>
      <c r="K492" s="220">
        <f>IF(Database!$B492=Screener!$B$5,-999999,IF(ISNUMBER(SEARCH(","&amp;Database!$A492&amp;",",","&amp;SUBSTITUTE(Screener!$D$17," ","")&amp;",")),2000000,IF(IF(OR(Screener!$B$18="All",AND(Screener!$B$18="With A-share",(Database!$BM492="Y")),AND(Screener!$B$18="Without A-share",NOT((Database!$BM492="Y")))),1,0)=0,-999999,IF(Screener!$B$16="cornerstone overlap first",H492*100000,IF(Screener!$B$16="demand-similar first",J492*100000,0))+W_SUB*B492+W_SEC*C492*(1-B492)+W_SIZE*D492+W_PROF*E492+W_AH*F492+W_REC*G492+W_CS*H492+W_PE*I492)))+ROW()/1000000</f>
        <v/>
      </c>
      <c r="AA492" s="220">
        <f>Database!B481</f>
        <v/>
      </c>
      <c r="AB492" s="220">
        <f>Database!D481</f>
        <v/>
      </c>
      <c r="AC492" s="220">
        <f>Database!E481</f>
        <v/>
      </c>
      <c r="AD492" s="220">
        <f>Database!I481</f>
        <v/>
      </c>
      <c r="AE492" s="220">
        <f>Database!BG481</f>
        <v/>
      </c>
      <c r="AF492" s="220">
        <f>Database!BM481</f>
        <v/>
      </c>
      <c r="AG492" s="220">
        <f>Database!H481</f>
        <v/>
      </c>
      <c r="AH492" s="220">
        <f>Database!BH481</f>
        <v/>
      </c>
    </row>
    <row r="493">
      <c r="A493" s="220">
        <f>Database!B493</f>
        <v/>
      </c>
      <c r="B493" s="220">
        <f>IF(AND(Screener!$D$8&lt;&gt;"",Database!$E493=Screener!$D$8),1,0)</f>
        <v/>
      </c>
      <c r="C493" s="220">
        <f>IF(AND(Screener!$D$7&lt;&gt;"",Database!$D493=Screener!$D$7),1,0)</f>
        <v/>
      </c>
      <c r="D493" s="220">
        <f>IF(OR(N(Database!$I493)&lt;=0,N(Screener!$D$9)&lt;=0),0,MAX(0,1-ABS(LOG10(N(Database!$I493)/Screener!$D$9))/W_SIZEHW))</f>
        <v/>
      </c>
      <c r="E493" s="220">
        <f>IF(OR(Database!$BG493="",Screener!$D$10=""),0,IF(Database!$BG493=Screener!$D$10,1,0))</f>
        <v/>
      </c>
      <c r="F493" s="220">
        <f>IF(OR(Database!$BM493="",Screener!$D$11=""),0,IF(Database!$BM493=Screener!$D$11,1,0))</f>
        <v/>
      </c>
      <c r="G493" s="220">
        <f>IF(OR(Database!$H493="",N(Screener!$D$12)&lt;=0),0,MAX(0,1-(N(Screener!$D$12)-Database!$H493)/W_RECD))</f>
        <v/>
      </c>
      <c r="H493" s="220">
        <f>IF($U$1="",0,N(ISNUMBER(SEARCH($U$1,Database!$AC493&amp;""))))+IF($V$1="",0,N(ISNUMBER(SEARCH($V$1,Database!$AC493&amp;""))))+IF($W$1="",0,N(ISNUMBER(SEARCH($W$1,Database!$AC493&amp;""))))+IF($X$1="",0,N(ISNUMBER(SEARCH($X$1,Database!$AC493&amp;""))))+IF($Y$1="",0,N(ISNUMBER(SEARCH($Y$1,Database!$AC493&amp;""))))+IF(Screener!$B$17="",0,N(ISNUMBER(SEARCH(LOWER(Screener!$B$17),Database!$AC493&amp;""))))</f>
        <v/>
      </c>
      <c r="I493" s="220">
        <f>IF(OR(N(Database!$BH493)&lt;=0,N(Screener!$D$13)&lt;=0),0,MAX(0,1-ABS(LOG10(N(Database!$BH493)/Screener!$D$13))/W_PEHW))</f>
        <v/>
      </c>
      <c r="J493" s="220">
        <f>IF(OR(N(Database!$S493)&lt;=0,N(Screener!$D$14)&lt;=0),0,MAX(0,1-ABS(LOG10(Database!$S493/Screener!$D$14))/0.6))</f>
        <v/>
      </c>
      <c r="K493" s="220">
        <f>IF(Database!$B493=Screener!$B$5,-999999,IF(ISNUMBER(SEARCH(","&amp;Database!$A493&amp;",",","&amp;SUBSTITUTE(Screener!$D$17," ","")&amp;",")),2000000,IF(IF(OR(Screener!$B$18="All",AND(Screener!$B$18="With A-share",(Database!$BM493="Y")),AND(Screener!$B$18="Without A-share",NOT((Database!$BM493="Y")))),1,0)=0,-999999,IF(Screener!$B$16="cornerstone overlap first",H493*100000,IF(Screener!$B$16="demand-similar first",J493*100000,0))+W_SUB*B493+W_SEC*C493*(1-B493)+W_SIZE*D493+W_PROF*E493+W_AH*F493+W_REC*G493+W_CS*H493+W_PE*I493)))+ROW()/1000000</f>
        <v/>
      </c>
      <c r="AA493" s="220">
        <f>Database!B482</f>
        <v/>
      </c>
      <c r="AB493" s="220">
        <f>Database!D482</f>
        <v/>
      </c>
      <c r="AC493" s="220">
        <f>Database!E482</f>
        <v/>
      </c>
      <c r="AD493" s="220">
        <f>Database!I482</f>
        <v/>
      </c>
      <c r="AE493" s="220">
        <f>Database!BG482</f>
        <v/>
      </c>
      <c r="AF493" s="220">
        <f>Database!BM482</f>
        <v/>
      </c>
      <c r="AG493" s="220">
        <f>Database!H482</f>
        <v/>
      </c>
      <c r="AH493" s="220">
        <f>Database!BH482</f>
        <v/>
      </c>
    </row>
    <row r="494">
      <c r="A494" s="220">
        <f>Database!B494</f>
        <v/>
      </c>
      <c r="B494" s="220">
        <f>IF(AND(Screener!$D$8&lt;&gt;"",Database!$E494=Screener!$D$8),1,0)</f>
        <v/>
      </c>
      <c r="C494" s="220">
        <f>IF(AND(Screener!$D$7&lt;&gt;"",Database!$D494=Screener!$D$7),1,0)</f>
        <v/>
      </c>
      <c r="D494" s="220">
        <f>IF(OR(N(Database!$I494)&lt;=0,N(Screener!$D$9)&lt;=0),0,MAX(0,1-ABS(LOG10(N(Database!$I494)/Screener!$D$9))/W_SIZEHW))</f>
        <v/>
      </c>
      <c r="E494" s="220">
        <f>IF(OR(Database!$BG494="",Screener!$D$10=""),0,IF(Database!$BG494=Screener!$D$10,1,0))</f>
        <v/>
      </c>
      <c r="F494" s="220">
        <f>IF(OR(Database!$BM494="",Screener!$D$11=""),0,IF(Database!$BM494=Screener!$D$11,1,0))</f>
        <v/>
      </c>
      <c r="G494" s="220">
        <f>IF(OR(Database!$H494="",N(Screener!$D$12)&lt;=0),0,MAX(0,1-(N(Screener!$D$12)-Database!$H494)/W_RECD))</f>
        <v/>
      </c>
      <c r="H494" s="220">
        <f>IF($U$1="",0,N(ISNUMBER(SEARCH($U$1,Database!$AC494&amp;""))))+IF($V$1="",0,N(ISNUMBER(SEARCH($V$1,Database!$AC494&amp;""))))+IF($W$1="",0,N(ISNUMBER(SEARCH($W$1,Database!$AC494&amp;""))))+IF($X$1="",0,N(ISNUMBER(SEARCH($X$1,Database!$AC494&amp;""))))+IF($Y$1="",0,N(ISNUMBER(SEARCH($Y$1,Database!$AC494&amp;""))))+IF(Screener!$B$17="",0,N(ISNUMBER(SEARCH(LOWER(Screener!$B$17),Database!$AC494&amp;""))))</f>
        <v/>
      </c>
      <c r="I494" s="220">
        <f>IF(OR(N(Database!$BH494)&lt;=0,N(Screener!$D$13)&lt;=0),0,MAX(0,1-ABS(LOG10(N(Database!$BH494)/Screener!$D$13))/W_PEHW))</f>
        <v/>
      </c>
      <c r="J494" s="220">
        <f>IF(OR(N(Database!$S494)&lt;=0,N(Screener!$D$14)&lt;=0),0,MAX(0,1-ABS(LOG10(Database!$S494/Screener!$D$14))/0.6))</f>
        <v/>
      </c>
      <c r="K494" s="220">
        <f>IF(Database!$B494=Screener!$B$5,-999999,IF(ISNUMBER(SEARCH(","&amp;Database!$A494&amp;",",","&amp;SUBSTITUTE(Screener!$D$17," ","")&amp;",")),2000000,IF(IF(OR(Screener!$B$18="All",AND(Screener!$B$18="With A-share",(Database!$BM494="Y")),AND(Screener!$B$18="Without A-share",NOT((Database!$BM494="Y")))),1,0)=0,-999999,IF(Screener!$B$16="cornerstone overlap first",H494*100000,IF(Screener!$B$16="demand-similar first",J494*100000,0))+W_SUB*B494+W_SEC*C494*(1-B494)+W_SIZE*D494+W_PROF*E494+W_AH*F494+W_REC*G494+W_CS*H494+W_PE*I494)))+ROW()/1000000</f>
        <v/>
      </c>
      <c r="AA494" s="220">
        <f>Database!B483</f>
        <v/>
      </c>
      <c r="AB494" s="220">
        <f>Database!D483</f>
        <v/>
      </c>
      <c r="AC494" s="220">
        <f>Database!E483</f>
        <v/>
      </c>
      <c r="AD494" s="220">
        <f>Database!I483</f>
        <v/>
      </c>
      <c r="AE494" s="220">
        <f>Database!BG483</f>
        <v/>
      </c>
      <c r="AF494" s="220">
        <f>Database!BM483</f>
        <v/>
      </c>
      <c r="AG494" s="220">
        <f>Database!H483</f>
        <v/>
      </c>
      <c r="AH494" s="220">
        <f>Database!BH483</f>
        <v/>
      </c>
    </row>
    <row r="495">
      <c r="A495" s="220">
        <f>Database!B495</f>
        <v/>
      </c>
      <c r="B495" s="220">
        <f>IF(AND(Screener!$D$8&lt;&gt;"",Database!$E495=Screener!$D$8),1,0)</f>
        <v/>
      </c>
      <c r="C495" s="220">
        <f>IF(AND(Screener!$D$7&lt;&gt;"",Database!$D495=Screener!$D$7),1,0)</f>
        <v/>
      </c>
      <c r="D495" s="220">
        <f>IF(OR(N(Database!$I495)&lt;=0,N(Screener!$D$9)&lt;=0),0,MAX(0,1-ABS(LOG10(N(Database!$I495)/Screener!$D$9))/W_SIZEHW))</f>
        <v/>
      </c>
      <c r="E495" s="220">
        <f>IF(OR(Database!$BG495="",Screener!$D$10=""),0,IF(Database!$BG495=Screener!$D$10,1,0))</f>
        <v/>
      </c>
      <c r="F495" s="220">
        <f>IF(OR(Database!$BM495="",Screener!$D$11=""),0,IF(Database!$BM495=Screener!$D$11,1,0))</f>
        <v/>
      </c>
      <c r="G495" s="220">
        <f>IF(OR(Database!$H495="",N(Screener!$D$12)&lt;=0),0,MAX(0,1-(N(Screener!$D$12)-Database!$H495)/W_RECD))</f>
        <v/>
      </c>
      <c r="H495" s="220">
        <f>IF($U$1="",0,N(ISNUMBER(SEARCH($U$1,Database!$AC495&amp;""))))+IF($V$1="",0,N(ISNUMBER(SEARCH($V$1,Database!$AC495&amp;""))))+IF($W$1="",0,N(ISNUMBER(SEARCH($W$1,Database!$AC495&amp;""))))+IF($X$1="",0,N(ISNUMBER(SEARCH($X$1,Database!$AC495&amp;""))))+IF($Y$1="",0,N(ISNUMBER(SEARCH($Y$1,Database!$AC495&amp;""))))+IF(Screener!$B$17="",0,N(ISNUMBER(SEARCH(LOWER(Screener!$B$17),Database!$AC495&amp;""))))</f>
        <v/>
      </c>
      <c r="I495" s="220">
        <f>IF(OR(N(Database!$BH495)&lt;=0,N(Screener!$D$13)&lt;=0),0,MAX(0,1-ABS(LOG10(N(Database!$BH495)/Screener!$D$13))/W_PEHW))</f>
        <v/>
      </c>
      <c r="J495" s="220">
        <f>IF(OR(N(Database!$S495)&lt;=0,N(Screener!$D$14)&lt;=0),0,MAX(0,1-ABS(LOG10(Database!$S495/Screener!$D$14))/0.6))</f>
        <v/>
      </c>
      <c r="K495" s="220">
        <f>IF(Database!$B495=Screener!$B$5,-999999,IF(ISNUMBER(SEARCH(","&amp;Database!$A495&amp;",",","&amp;SUBSTITUTE(Screener!$D$17," ","")&amp;",")),2000000,IF(IF(OR(Screener!$B$18="All",AND(Screener!$B$18="With A-share",(Database!$BM495="Y")),AND(Screener!$B$18="Without A-share",NOT((Database!$BM495="Y")))),1,0)=0,-999999,IF(Screener!$B$16="cornerstone overlap first",H495*100000,IF(Screener!$B$16="demand-similar first",J495*100000,0))+W_SUB*B495+W_SEC*C495*(1-B495)+W_SIZE*D495+W_PROF*E495+W_AH*F495+W_REC*G495+W_CS*H495+W_PE*I495)))+ROW()/1000000</f>
        <v/>
      </c>
      <c r="AA495" s="220">
        <f>Database!B484</f>
        <v/>
      </c>
      <c r="AB495" s="220">
        <f>Database!D484</f>
        <v/>
      </c>
      <c r="AC495" s="220">
        <f>Database!E484</f>
        <v/>
      </c>
      <c r="AD495" s="220">
        <f>Database!I484</f>
        <v/>
      </c>
      <c r="AE495" s="220">
        <f>Database!BG484</f>
        <v/>
      </c>
      <c r="AF495" s="220">
        <f>Database!BM484</f>
        <v/>
      </c>
      <c r="AG495" s="220">
        <f>Database!H484</f>
        <v/>
      </c>
      <c r="AH495" s="220">
        <f>Database!BH484</f>
        <v/>
      </c>
    </row>
    <row r="496">
      <c r="A496" s="220">
        <f>Database!B496</f>
        <v/>
      </c>
      <c r="B496" s="220">
        <f>IF(AND(Screener!$D$8&lt;&gt;"",Database!$E496=Screener!$D$8),1,0)</f>
        <v/>
      </c>
      <c r="C496" s="220">
        <f>IF(AND(Screener!$D$7&lt;&gt;"",Database!$D496=Screener!$D$7),1,0)</f>
        <v/>
      </c>
      <c r="D496" s="220">
        <f>IF(OR(N(Database!$I496)&lt;=0,N(Screener!$D$9)&lt;=0),0,MAX(0,1-ABS(LOG10(N(Database!$I496)/Screener!$D$9))/W_SIZEHW))</f>
        <v/>
      </c>
      <c r="E496" s="220">
        <f>IF(OR(Database!$BG496="",Screener!$D$10=""),0,IF(Database!$BG496=Screener!$D$10,1,0))</f>
        <v/>
      </c>
      <c r="F496" s="220">
        <f>IF(OR(Database!$BM496="",Screener!$D$11=""),0,IF(Database!$BM496=Screener!$D$11,1,0))</f>
        <v/>
      </c>
      <c r="G496" s="220">
        <f>IF(OR(Database!$H496="",N(Screener!$D$12)&lt;=0),0,MAX(0,1-(N(Screener!$D$12)-Database!$H496)/W_RECD))</f>
        <v/>
      </c>
      <c r="H496" s="220">
        <f>IF($U$1="",0,N(ISNUMBER(SEARCH($U$1,Database!$AC496&amp;""))))+IF($V$1="",0,N(ISNUMBER(SEARCH($V$1,Database!$AC496&amp;""))))+IF($W$1="",0,N(ISNUMBER(SEARCH($W$1,Database!$AC496&amp;""))))+IF($X$1="",0,N(ISNUMBER(SEARCH($X$1,Database!$AC496&amp;""))))+IF($Y$1="",0,N(ISNUMBER(SEARCH($Y$1,Database!$AC496&amp;""))))+IF(Screener!$B$17="",0,N(ISNUMBER(SEARCH(LOWER(Screener!$B$17),Database!$AC496&amp;""))))</f>
        <v/>
      </c>
      <c r="I496" s="220">
        <f>IF(OR(N(Database!$BH496)&lt;=0,N(Screener!$D$13)&lt;=0),0,MAX(0,1-ABS(LOG10(N(Database!$BH496)/Screener!$D$13))/W_PEHW))</f>
        <v/>
      </c>
      <c r="J496" s="220">
        <f>IF(OR(N(Database!$S496)&lt;=0,N(Screener!$D$14)&lt;=0),0,MAX(0,1-ABS(LOG10(Database!$S496/Screener!$D$14))/0.6))</f>
        <v/>
      </c>
      <c r="K496" s="220">
        <f>IF(Database!$B496=Screener!$B$5,-999999,IF(ISNUMBER(SEARCH(","&amp;Database!$A496&amp;",",","&amp;SUBSTITUTE(Screener!$D$17," ","")&amp;",")),2000000,IF(IF(OR(Screener!$B$18="All",AND(Screener!$B$18="With A-share",(Database!$BM496="Y")),AND(Screener!$B$18="Without A-share",NOT((Database!$BM496="Y")))),1,0)=0,-999999,IF(Screener!$B$16="cornerstone overlap first",H496*100000,IF(Screener!$B$16="demand-similar first",J496*100000,0))+W_SUB*B496+W_SEC*C496*(1-B496)+W_SIZE*D496+W_PROF*E496+W_AH*F496+W_REC*G496+W_CS*H496+W_PE*I496)))+ROW()/1000000</f>
        <v/>
      </c>
      <c r="AA496" s="220">
        <f>Database!B485</f>
        <v/>
      </c>
      <c r="AB496" s="220">
        <f>Database!D485</f>
        <v/>
      </c>
      <c r="AC496" s="220">
        <f>Database!E485</f>
        <v/>
      </c>
      <c r="AD496" s="220">
        <f>Database!I485</f>
        <v/>
      </c>
      <c r="AE496" s="220">
        <f>Database!BG485</f>
        <v/>
      </c>
      <c r="AF496" s="220">
        <f>Database!BM485</f>
        <v/>
      </c>
      <c r="AG496" s="220">
        <f>Database!H485</f>
        <v/>
      </c>
      <c r="AH496" s="220">
        <f>Database!BH485</f>
        <v/>
      </c>
    </row>
    <row r="497">
      <c r="A497" s="220">
        <f>Database!B497</f>
        <v/>
      </c>
      <c r="B497" s="220">
        <f>IF(AND(Screener!$D$8&lt;&gt;"",Database!$E497=Screener!$D$8),1,0)</f>
        <v/>
      </c>
      <c r="C497" s="220">
        <f>IF(AND(Screener!$D$7&lt;&gt;"",Database!$D497=Screener!$D$7),1,0)</f>
        <v/>
      </c>
      <c r="D497" s="220">
        <f>IF(OR(N(Database!$I497)&lt;=0,N(Screener!$D$9)&lt;=0),0,MAX(0,1-ABS(LOG10(N(Database!$I497)/Screener!$D$9))/W_SIZEHW))</f>
        <v/>
      </c>
      <c r="E497" s="220">
        <f>IF(OR(Database!$BG497="",Screener!$D$10=""),0,IF(Database!$BG497=Screener!$D$10,1,0))</f>
        <v/>
      </c>
      <c r="F497" s="220">
        <f>IF(OR(Database!$BM497="",Screener!$D$11=""),0,IF(Database!$BM497=Screener!$D$11,1,0))</f>
        <v/>
      </c>
      <c r="G497" s="220">
        <f>IF(OR(Database!$H497="",N(Screener!$D$12)&lt;=0),0,MAX(0,1-(N(Screener!$D$12)-Database!$H497)/W_RECD))</f>
        <v/>
      </c>
      <c r="H497" s="220">
        <f>IF($U$1="",0,N(ISNUMBER(SEARCH($U$1,Database!$AC497&amp;""))))+IF($V$1="",0,N(ISNUMBER(SEARCH($V$1,Database!$AC497&amp;""))))+IF($W$1="",0,N(ISNUMBER(SEARCH($W$1,Database!$AC497&amp;""))))+IF($X$1="",0,N(ISNUMBER(SEARCH($X$1,Database!$AC497&amp;""))))+IF($Y$1="",0,N(ISNUMBER(SEARCH($Y$1,Database!$AC497&amp;""))))+IF(Screener!$B$17="",0,N(ISNUMBER(SEARCH(LOWER(Screener!$B$17),Database!$AC497&amp;""))))</f>
        <v/>
      </c>
      <c r="I497" s="220">
        <f>IF(OR(N(Database!$BH497)&lt;=0,N(Screener!$D$13)&lt;=0),0,MAX(0,1-ABS(LOG10(N(Database!$BH497)/Screener!$D$13))/W_PEHW))</f>
        <v/>
      </c>
      <c r="J497" s="220">
        <f>IF(OR(N(Database!$S497)&lt;=0,N(Screener!$D$14)&lt;=0),0,MAX(0,1-ABS(LOG10(Database!$S497/Screener!$D$14))/0.6))</f>
        <v/>
      </c>
      <c r="K497" s="220">
        <f>IF(Database!$B497=Screener!$B$5,-999999,IF(ISNUMBER(SEARCH(","&amp;Database!$A497&amp;",",","&amp;SUBSTITUTE(Screener!$D$17," ","")&amp;",")),2000000,IF(IF(OR(Screener!$B$18="All",AND(Screener!$B$18="With A-share",(Database!$BM497="Y")),AND(Screener!$B$18="Without A-share",NOT((Database!$BM497="Y")))),1,0)=0,-999999,IF(Screener!$B$16="cornerstone overlap first",H497*100000,IF(Screener!$B$16="demand-similar first",J497*100000,0))+W_SUB*B497+W_SEC*C497*(1-B497)+W_SIZE*D497+W_PROF*E497+W_AH*F497+W_REC*G497+W_CS*H497+W_PE*I497)))+ROW()/1000000</f>
        <v/>
      </c>
      <c r="AA497" s="220">
        <f>Database!B486</f>
        <v/>
      </c>
      <c r="AB497" s="220">
        <f>Database!D486</f>
        <v/>
      </c>
      <c r="AC497" s="220">
        <f>Database!E486</f>
        <v/>
      </c>
      <c r="AD497" s="220">
        <f>Database!I486</f>
        <v/>
      </c>
      <c r="AE497" s="220">
        <f>Database!BG486</f>
        <v/>
      </c>
      <c r="AF497" s="220">
        <f>Database!BM486</f>
        <v/>
      </c>
      <c r="AG497" s="220">
        <f>Database!H486</f>
        <v/>
      </c>
      <c r="AH497" s="220">
        <f>Database!BH486</f>
        <v/>
      </c>
    </row>
    <row r="498">
      <c r="A498" s="220">
        <f>Database!B498</f>
        <v/>
      </c>
      <c r="B498" s="220">
        <f>IF(AND(Screener!$D$8&lt;&gt;"",Database!$E498=Screener!$D$8),1,0)</f>
        <v/>
      </c>
      <c r="C498" s="220">
        <f>IF(AND(Screener!$D$7&lt;&gt;"",Database!$D498=Screener!$D$7),1,0)</f>
        <v/>
      </c>
      <c r="D498" s="220">
        <f>IF(OR(N(Database!$I498)&lt;=0,N(Screener!$D$9)&lt;=0),0,MAX(0,1-ABS(LOG10(N(Database!$I498)/Screener!$D$9))/W_SIZEHW))</f>
        <v/>
      </c>
      <c r="E498" s="220">
        <f>IF(OR(Database!$BG498="",Screener!$D$10=""),0,IF(Database!$BG498=Screener!$D$10,1,0))</f>
        <v/>
      </c>
      <c r="F498" s="220">
        <f>IF(OR(Database!$BM498="",Screener!$D$11=""),0,IF(Database!$BM498=Screener!$D$11,1,0))</f>
        <v/>
      </c>
      <c r="G498" s="220">
        <f>IF(OR(Database!$H498="",N(Screener!$D$12)&lt;=0),0,MAX(0,1-(N(Screener!$D$12)-Database!$H498)/W_RECD))</f>
        <v/>
      </c>
      <c r="H498" s="220">
        <f>IF($U$1="",0,N(ISNUMBER(SEARCH($U$1,Database!$AC498&amp;""))))+IF($V$1="",0,N(ISNUMBER(SEARCH($V$1,Database!$AC498&amp;""))))+IF($W$1="",0,N(ISNUMBER(SEARCH($W$1,Database!$AC498&amp;""))))+IF($X$1="",0,N(ISNUMBER(SEARCH($X$1,Database!$AC498&amp;""))))+IF($Y$1="",0,N(ISNUMBER(SEARCH($Y$1,Database!$AC498&amp;""))))+IF(Screener!$B$17="",0,N(ISNUMBER(SEARCH(LOWER(Screener!$B$17),Database!$AC498&amp;""))))</f>
        <v/>
      </c>
      <c r="I498" s="220">
        <f>IF(OR(N(Database!$BH498)&lt;=0,N(Screener!$D$13)&lt;=0),0,MAX(0,1-ABS(LOG10(N(Database!$BH498)/Screener!$D$13))/W_PEHW))</f>
        <v/>
      </c>
      <c r="J498" s="220">
        <f>IF(OR(N(Database!$S498)&lt;=0,N(Screener!$D$14)&lt;=0),0,MAX(0,1-ABS(LOG10(Database!$S498/Screener!$D$14))/0.6))</f>
        <v/>
      </c>
      <c r="K498" s="220">
        <f>IF(Database!$B498=Screener!$B$5,-999999,IF(ISNUMBER(SEARCH(","&amp;Database!$A498&amp;",",","&amp;SUBSTITUTE(Screener!$D$17," ","")&amp;",")),2000000,IF(IF(OR(Screener!$B$18="All",AND(Screener!$B$18="With A-share",(Database!$BM498="Y")),AND(Screener!$B$18="Without A-share",NOT((Database!$BM498="Y")))),1,0)=0,-999999,IF(Screener!$B$16="cornerstone overlap first",H498*100000,IF(Screener!$B$16="demand-similar first",J498*100000,0))+W_SUB*B498+W_SEC*C498*(1-B498)+W_SIZE*D498+W_PROF*E498+W_AH*F498+W_REC*G498+W_CS*H498+W_PE*I498)))+ROW()/1000000</f>
        <v/>
      </c>
      <c r="AA498" s="220">
        <f>Database!B487</f>
        <v/>
      </c>
      <c r="AB498" s="220">
        <f>Database!D487</f>
        <v/>
      </c>
      <c r="AC498" s="220">
        <f>Database!E487</f>
        <v/>
      </c>
      <c r="AD498" s="220">
        <f>Database!I487</f>
        <v/>
      </c>
      <c r="AE498" s="220">
        <f>Database!BG487</f>
        <v/>
      </c>
      <c r="AF498" s="220">
        <f>Database!BM487</f>
        <v/>
      </c>
      <c r="AG498" s="220">
        <f>Database!H487</f>
        <v/>
      </c>
      <c r="AH498" s="220">
        <f>Database!BH487</f>
        <v/>
      </c>
    </row>
    <row r="499">
      <c r="A499" s="220">
        <f>Database!B499</f>
        <v/>
      </c>
      <c r="B499" s="220">
        <f>IF(AND(Screener!$D$8&lt;&gt;"",Database!$E499=Screener!$D$8),1,0)</f>
        <v/>
      </c>
      <c r="C499" s="220">
        <f>IF(AND(Screener!$D$7&lt;&gt;"",Database!$D499=Screener!$D$7),1,0)</f>
        <v/>
      </c>
      <c r="D499" s="220">
        <f>IF(OR(N(Database!$I499)&lt;=0,N(Screener!$D$9)&lt;=0),0,MAX(0,1-ABS(LOG10(N(Database!$I499)/Screener!$D$9))/W_SIZEHW))</f>
        <v/>
      </c>
      <c r="E499" s="220">
        <f>IF(OR(Database!$BG499="",Screener!$D$10=""),0,IF(Database!$BG499=Screener!$D$10,1,0))</f>
        <v/>
      </c>
      <c r="F499" s="220">
        <f>IF(OR(Database!$BM499="",Screener!$D$11=""),0,IF(Database!$BM499=Screener!$D$11,1,0))</f>
        <v/>
      </c>
      <c r="G499" s="220">
        <f>IF(OR(Database!$H499="",N(Screener!$D$12)&lt;=0),0,MAX(0,1-(N(Screener!$D$12)-Database!$H499)/W_RECD))</f>
        <v/>
      </c>
      <c r="H499" s="220">
        <f>IF($U$1="",0,N(ISNUMBER(SEARCH($U$1,Database!$AC499&amp;""))))+IF($V$1="",0,N(ISNUMBER(SEARCH($V$1,Database!$AC499&amp;""))))+IF($W$1="",0,N(ISNUMBER(SEARCH($W$1,Database!$AC499&amp;""))))+IF($X$1="",0,N(ISNUMBER(SEARCH($X$1,Database!$AC499&amp;""))))+IF($Y$1="",0,N(ISNUMBER(SEARCH($Y$1,Database!$AC499&amp;""))))+IF(Screener!$B$17="",0,N(ISNUMBER(SEARCH(LOWER(Screener!$B$17),Database!$AC499&amp;""))))</f>
        <v/>
      </c>
      <c r="I499" s="220">
        <f>IF(OR(N(Database!$BH499)&lt;=0,N(Screener!$D$13)&lt;=0),0,MAX(0,1-ABS(LOG10(N(Database!$BH499)/Screener!$D$13))/W_PEHW))</f>
        <v/>
      </c>
      <c r="J499" s="220">
        <f>IF(OR(N(Database!$S499)&lt;=0,N(Screener!$D$14)&lt;=0),0,MAX(0,1-ABS(LOG10(Database!$S499/Screener!$D$14))/0.6))</f>
        <v/>
      </c>
      <c r="K499" s="220">
        <f>IF(Database!$B499=Screener!$B$5,-999999,IF(ISNUMBER(SEARCH(","&amp;Database!$A499&amp;",",","&amp;SUBSTITUTE(Screener!$D$17," ","")&amp;",")),2000000,IF(IF(OR(Screener!$B$18="All",AND(Screener!$B$18="With A-share",(Database!$BM499="Y")),AND(Screener!$B$18="Without A-share",NOT((Database!$BM499="Y")))),1,0)=0,-999999,IF(Screener!$B$16="cornerstone overlap first",H499*100000,IF(Screener!$B$16="demand-similar first",J499*100000,0))+W_SUB*B499+W_SEC*C499*(1-B499)+W_SIZE*D499+W_PROF*E499+W_AH*F499+W_REC*G499+W_CS*H499+W_PE*I499)))+ROW()/1000000</f>
        <v/>
      </c>
      <c r="AA499" s="220">
        <f>Database!B488</f>
        <v/>
      </c>
      <c r="AB499" s="220">
        <f>Database!D488</f>
        <v/>
      </c>
      <c r="AC499" s="220">
        <f>Database!E488</f>
        <v/>
      </c>
      <c r="AD499" s="220">
        <f>Database!I488</f>
        <v/>
      </c>
      <c r="AE499" s="220">
        <f>Database!BG488</f>
        <v/>
      </c>
      <c r="AF499" s="220">
        <f>Database!BM488</f>
        <v/>
      </c>
      <c r="AG499" s="220">
        <f>Database!H488</f>
        <v/>
      </c>
      <c r="AH499" s="220">
        <f>Database!BH488</f>
        <v/>
      </c>
    </row>
    <row r="500">
      <c r="A500" s="220">
        <f>Database!B500</f>
        <v/>
      </c>
      <c r="B500" s="220">
        <f>IF(AND(Screener!$D$8&lt;&gt;"",Database!$E500=Screener!$D$8),1,0)</f>
        <v/>
      </c>
      <c r="C500" s="220">
        <f>IF(AND(Screener!$D$7&lt;&gt;"",Database!$D500=Screener!$D$7),1,0)</f>
        <v/>
      </c>
      <c r="D500" s="220">
        <f>IF(OR(N(Database!$I500)&lt;=0,N(Screener!$D$9)&lt;=0),0,MAX(0,1-ABS(LOG10(N(Database!$I500)/Screener!$D$9))/W_SIZEHW))</f>
        <v/>
      </c>
      <c r="E500" s="220">
        <f>IF(OR(Database!$BG500="",Screener!$D$10=""),0,IF(Database!$BG500=Screener!$D$10,1,0))</f>
        <v/>
      </c>
      <c r="F500" s="220">
        <f>IF(OR(Database!$BM500="",Screener!$D$11=""),0,IF(Database!$BM500=Screener!$D$11,1,0))</f>
        <v/>
      </c>
      <c r="G500" s="220">
        <f>IF(OR(Database!$H500="",N(Screener!$D$12)&lt;=0),0,MAX(0,1-(N(Screener!$D$12)-Database!$H500)/W_RECD))</f>
        <v/>
      </c>
      <c r="H500" s="220">
        <f>IF($U$1="",0,N(ISNUMBER(SEARCH($U$1,Database!$AC500&amp;""))))+IF($V$1="",0,N(ISNUMBER(SEARCH($V$1,Database!$AC500&amp;""))))+IF($W$1="",0,N(ISNUMBER(SEARCH($W$1,Database!$AC500&amp;""))))+IF($X$1="",0,N(ISNUMBER(SEARCH($X$1,Database!$AC500&amp;""))))+IF($Y$1="",0,N(ISNUMBER(SEARCH($Y$1,Database!$AC500&amp;""))))+IF(Screener!$B$17="",0,N(ISNUMBER(SEARCH(LOWER(Screener!$B$17),Database!$AC500&amp;""))))</f>
        <v/>
      </c>
      <c r="I500" s="220">
        <f>IF(OR(N(Database!$BH500)&lt;=0,N(Screener!$D$13)&lt;=0),0,MAX(0,1-ABS(LOG10(N(Database!$BH500)/Screener!$D$13))/W_PEHW))</f>
        <v/>
      </c>
      <c r="J500" s="220">
        <f>IF(OR(N(Database!$S500)&lt;=0,N(Screener!$D$14)&lt;=0),0,MAX(0,1-ABS(LOG10(Database!$S500/Screener!$D$14))/0.6))</f>
        <v/>
      </c>
      <c r="K500" s="220">
        <f>IF(Database!$B500=Screener!$B$5,-999999,IF(ISNUMBER(SEARCH(","&amp;Database!$A500&amp;",",","&amp;SUBSTITUTE(Screener!$D$17," ","")&amp;",")),2000000,IF(IF(OR(Screener!$B$18="All",AND(Screener!$B$18="With A-share",(Database!$BM500="Y")),AND(Screener!$B$18="Without A-share",NOT((Database!$BM500="Y")))),1,0)=0,-999999,IF(Screener!$B$16="cornerstone overlap first",H500*100000,IF(Screener!$B$16="demand-similar first",J500*100000,0))+W_SUB*B500+W_SEC*C500*(1-B500)+W_SIZE*D500+W_PROF*E500+W_AH*F500+W_REC*G500+W_CS*H500+W_PE*I500)))+ROW()/1000000</f>
        <v/>
      </c>
      <c r="AA500" s="220">
        <f>Database!B489</f>
        <v/>
      </c>
      <c r="AB500" s="220">
        <f>Database!D489</f>
        <v/>
      </c>
      <c r="AC500" s="220">
        <f>Database!E489</f>
        <v/>
      </c>
      <c r="AD500" s="220">
        <f>Database!I489</f>
        <v/>
      </c>
      <c r="AE500" s="220">
        <f>Database!BG489</f>
        <v/>
      </c>
      <c r="AF500" s="220">
        <f>Database!BM489</f>
        <v/>
      </c>
      <c r="AG500" s="220">
        <f>Database!H489</f>
        <v/>
      </c>
      <c r="AH500" s="220">
        <f>Database!BH489</f>
        <v/>
      </c>
    </row>
    <row r="501">
      <c r="A501" s="220">
        <f>Database!B501</f>
        <v/>
      </c>
      <c r="B501" s="220">
        <f>IF(AND(Screener!$D$8&lt;&gt;"",Database!$E501=Screener!$D$8),1,0)</f>
        <v/>
      </c>
      <c r="C501" s="220">
        <f>IF(AND(Screener!$D$7&lt;&gt;"",Database!$D501=Screener!$D$7),1,0)</f>
        <v/>
      </c>
      <c r="D501" s="220">
        <f>IF(OR(N(Database!$I501)&lt;=0,N(Screener!$D$9)&lt;=0),0,MAX(0,1-ABS(LOG10(N(Database!$I501)/Screener!$D$9))/W_SIZEHW))</f>
        <v/>
      </c>
      <c r="E501" s="220">
        <f>IF(OR(Database!$BG501="",Screener!$D$10=""),0,IF(Database!$BG501=Screener!$D$10,1,0))</f>
        <v/>
      </c>
      <c r="F501" s="220">
        <f>IF(OR(Database!$BM501="",Screener!$D$11=""),0,IF(Database!$BM501=Screener!$D$11,1,0))</f>
        <v/>
      </c>
      <c r="G501" s="220">
        <f>IF(OR(Database!$H501="",N(Screener!$D$12)&lt;=0),0,MAX(0,1-(N(Screener!$D$12)-Database!$H501)/W_RECD))</f>
        <v/>
      </c>
      <c r="H501" s="220">
        <f>IF($U$1="",0,N(ISNUMBER(SEARCH($U$1,Database!$AC501&amp;""))))+IF($V$1="",0,N(ISNUMBER(SEARCH($V$1,Database!$AC501&amp;""))))+IF($W$1="",0,N(ISNUMBER(SEARCH($W$1,Database!$AC501&amp;""))))+IF($X$1="",0,N(ISNUMBER(SEARCH($X$1,Database!$AC501&amp;""))))+IF($Y$1="",0,N(ISNUMBER(SEARCH($Y$1,Database!$AC501&amp;""))))+IF(Screener!$B$17="",0,N(ISNUMBER(SEARCH(LOWER(Screener!$B$17),Database!$AC501&amp;""))))</f>
        <v/>
      </c>
      <c r="I501" s="220">
        <f>IF(OR(N(Database!$BH501)&lt;=0,N(Screener!$D$13)&lt;=0),0,MAX(0,1-ABS(LOG10(N(Database!$BH501)/Screener!$D$13))/W_PEHW))</f>
        <v/>
      </c>
      <c r="J501" s="220">
        <f>IF(OR(N(Database!$S501)&lt;=0,N(Screener!$D$14)&lt;=0),0,MAX(0,1-ABS(LOG10(Database!$S501/Screener!$D$14))/0.6))</f>
        <v/>
      </c>
      <c r="K501" s="220">
        <f>IF(Database!$B501=Screener!$B$5,-999999,IF(ISNUMBER(SEARCH(","&amp;Database!$A501&amp;",",","&amp;SUBSTITUTE(Screener!$D$17," ","")&amp;",")),2000000,IF(IF(OR(Screener!$B$18="All",AND(Screener!$B$18="With A-share",(Database!$BM501="Y")),AND(Screener!$B$18="Without A-share",NOT((Database!$BM501="Y")))),1,0)=0,-999999,IF(Screener!$B$16="cornerstone overlap first",H501*100000,IF(Screener!$B$16="demand-similar first",J501*100000,0))+W_SUB*B501+W_SEC*C501*(1-B501)+W_SIZE*D501+W_PROF*E501+W_AH*F501+W_REC*G501+W_CS*H501+W_PE*I501)))+ROW()/1000000</f>
        <v/>
      </c>
      <c r="AA501" s="220">
        <f>Database!B490</f>
        <v/>
      </c>
      <c r="AB501" s="220">
        <f>Database!D490</f>
        <v/>
      </c>
      <c r="AC501" s="220">
        <f>Database!E490</f>
        <v/>
      </c>
      <c r="AD501" s="220">
        <f>Database!I490</f>
        <v/>
      </c>
      <c r="AE501" s="220">
        <f>Database!BG490</f>
        <v/>
      </c>
      <c r="AF501" s="220">
        <f>Database!BM490</f>
        <v/>
      </c>
      <c r="AG501" s="220">
        <f>Database!H490</f>
        <v/>
      </c>
      <c r="AH501" s="220">
        <f>Database!BH490</f>
        <v/>
      </c>
    </row>
    <row r="502">
      <c r="A502" s="220">
        <f>Database!B502</f>
        <v/>
      </c>
      <c r="B502" s="220">
        <f>IF(AND(Screener!$D$8&lt;&gt;"",Database!$E502=Screener!$D$8),1,0)</f>
        <v/>
      </c>
      <c r="C502" s="220">
        <f>IF(AND(Screener!$D$7&lt;&gt;"",Database!$D502=Screener!$D$7),1,0)</f>
        <v/>
      </c>
      <c r="D502" s="220">
        <f>IF(OR(N(Database!$I502)&lt;=0,N(Screener!$D$9)&lt;=0),0,MAX(0,1-ABS(LOG10(N(Database!$I502)/Screener!$D$9))/W_SIZEHW))</f>
        <v/>
      </c>
      <c r="E502" s="220">
        <f>IF(OR(Database!$BG502="",Screener!$D$10=""),0,IF(Database!$BG502=Screener!$D$10,1,0))</f>
        <v/>
      </c>
      <c r="F502" s="220">
        <f>IF(OR(Database!$BM502="",Screener!$D$11=""),0,IF(Database!$BM502=Screener!$D$11,1,0))</f>
        <v/>
      </c>
      <c r="G502" s="220">
        <f>IF(OR(Database!$H502="",N(Screener!$D$12)&lt;=0),0,MAX(0,1-(N(Screener!$D$12)-Database!$H502)/W_RECD))</f>
        <v/>
      </c>
      <c r="H502" s="220">
        <f>IF($U$1="",0,N(ISNUMBER(SEARCH($U$1,Database!$AC502&amp;""))))+IF($V$1="",0,N(ISNUMBER(SEARCH($V$1,Database!$AC502&amp;""))))+IF($W$1="",0,N(ISNUMBER(SEARCH($W$1,Database!$AC502&amp;""))))+IF($X$1="",0,N(ISNUMBER(SEARCH($X$1,Database!$AC502&amp;""))))+IF($Y$1="",0,N(ISNUMBER(SEARCH($Y$1,Database!$AC502&amp;""))))+IF(Screener!$B$17="",0,N(ISNUMBER(SEARCH(LOWER(Screener!$B$17),Database!$AC502&amp;""))))</f>
        <v/>
      </c>
      <c r="I502" s="220">
        <f>IF(OR(N(Database!$BH502)&lt;=0,N(Screener!$D$13)&lt;=0),0,MAX(0,1-ABS(LOG10(N(Database!$BH502)/Screener!$D$13))/W_PEHW))</f>
        <v/>
      </c>
      <c r="J502" s="220">
        <f>IF(OR(N(Database!$S502)&lt;=0,N(Screener!$D$14)&lt;=0),0,MAX(0,1-ABS(LOG10(Database!$S502/Screener!$D$14))/0.6))</f>
        <v/>
      </c>
      <c r="K502" s="220">
        <f>IF(Database!$B502=Screener!$B$5,-999999,IF(ISNUMBER(SEARCH(","&amp;Database!$A502&amp;",",","&amp;SUBSTITUTE(Screener!$D$17," ","")&amp;",")),2000000,IF(IF(OR(Screener!$B$18="All",AND(Screener!$B$18="With A-share",(Database!$BM502="Y")),AND(Screener!$B$18="Without A-share",NOT((Database!$BM502="Y")))),1,0)=0,-999999,IF(Screener!$B$16="cornerstone overlap first",H502*100000,IF(Screener!$B$16="demand-similar first",J502*100000,0))+W_SUB*B502+W_SEC*C502*(1-B502)+W_SIZE*D502+W_PROF*E502+W_AH*F502+W_REC*G502+W_CS*H502+W_PE*I502)))+ROW()/1000000</f>
        <v/>
      </c>
      <c r="AA502" s="220">
        <f>Database!B491</f>
        <v/>
      </c>
      <c r="AB502" s="220">
        <f>Database!D491</f>
        <v/>
      </c>
      <c r="AC502" s="220">
        <f>Database!E491</f>
        <v/>
      </c>
      <c r="AD502" s="220">
        <f>Database!I491</f>
        <v/>
      </c>
      <c r="AE502" s="220">
        <f>Database!BG491</f>
        <v/>
      </c>
      <c r="AF502" s="220">
        <f>Database!BM491</f>
        <v/>
      </c>
      <c r="AG502" s="220">
        <f>Database!H491</f>
        <v/>
      </c>
      <c r="AH502" s="220">
        <f>Database!BH491</f>
        <v/>
      </c>
    </row>
    <row r="503">
      <c r="A503" s="220">
        <f>Database!B503</f>
        <v/>
      </c>
      <c r="B503" s="220">
        <f>IF(AND(Screener!$D$8&lt;&gt;"",Database!$E503=Screener!$D$8),1,0)</f>
        <v/>
      </c>
      <c r="C503" s="220">
        <f>IF(AND(Screener!$D$7&lt;&gt;"",Database!$D503=Screener!$D$7),1,0)</f>
        <v/>
      </c>
      <c r="D503" s="220">
        <f>IF(OR(N(Database!$I503)&lt;=0,N(Screener!$D$9)&lt;=0),0,MAX(0,1-ABS(LOG10(N(Database!$I503)/Screener!$D$9))/W_SIZEHW))</f>
        <v/>
      </c>
      <c r="E503" s="220">
        <f>IF(OR(Database!$BG503="",Screener!$D$10=""),0,IF(Database!$BG503=Screener!$D$10,1,0))</f>
        <v/>
      </c>
      <c r="F503" s="220">
        <f>IF(OR(Database!$BM503="",Screener!$D$11=""),0,IF(Database!$BM503=Screener!$D$11,1,0))</f>
        <v/>
      </c>
      <c r="G503" s="220">
        <f>IF(OR(Database!$H503="",N(Screener!$D$12)&lt;=0),0,MAX(0,1-(N(Screener!$D$12)-Database!$H503)/W_RECD))</f>
        <v/>
      </c>
      <c r="H503" s="220">
        <f>IF($U$1="",0,N(ISNUMBER(SEARCH($U$1,Database!$AC503&amp;""))))+IF($V$1="",0,N(ISNUMBER(SEARCH($V$1,Database!$AC503&amp;""))))+IF($W$1="",0,N(ISNUMBER(SEARCH($W$1,Database!$AC503&amp;""))))+IF($X$1="",0,N(ISNUMBER(SEARCH($X$1,Database!$AC503&amp;""))))+IF($Y$1="",0,N(ISNUMBER(SEARCH($Y$1,Database!$AC503&amp;""))))+IF(Screener!$B$17="",0,N(ISNUMBER(SEARCH(LOWER(Screener!$B$17),Database!$AC503&amp;""))))</f>
        <v/>
      </c>
      <c r="I503" s="220">
        <f>IF(OR(N(Database!$BH503)&lt;=0,N(Screener!$D$13)&lt;=0),0,MAX(0,1-ABS(LOG10(N(Database!$BH503)/Screener!$D$13))/W_PEHW))</f>
        <v/>
      </c>
      <c r="J503" s="220">
        <f>IF(OR(N(Database!$S503)&lt;=0,N(Screener!$D$14)&lt;=0),0,MAX(0,1-ABS(LOG10(Database!$S503/Screener!$D$14))/0.6))</f>
        <v/>
      </c>
      <c r="K503" s="220">
        <f>IF(Database!$B503=Screener!$B$5,-999999,IF(ISNUMBER(SEARCH(","&amp;Database!$A503&amp;",",","&amp;SUBSTITUTE(Screener!$D$17," ","")&amp;",")),2000000,IF(IF(OR(Screener!$B$18="All",AND(Screener!$B$18="With A-share",(Database!$BM503="Y")),AND(Screener!$B$18="Without A-share",NOT((Database!$BM503="Y")))),1,0)=0,-999999,IF(Screener!$B$16="cornerstone overlap first",H503*100000,IF(Screener!$B$16="demand-similar first",J503*100000,0))+W_SUB*B503+W_SEC*C503*(1-B503)+W_SIZE*D503+W_PROF*E503+W_AH*F503+W_REC*G503+W_CS*H503+W_PE*I503)))+ROW()/1000000</f>
        <v/>
      </c>
      <c r="AA503" s="220">
        <f>Database!B492</f>
        <v/>
      </c>
      <c r="AB503" s="220">
        <f>Database!D492</f>
        <v/>
      </c>
      <c r="AC503" s="220">
        <f>Database!E492</f>
        <v/>
      </c>
      <c r="AD503" s="220">
        <f>Database!I492</f>
        <v/>
      </c>
      <c r="AE503" s="220">
        <f>Database!BG492</f>
        <v/>
      </c>
      <c r="AF503" s="220">
        <f>Database!BM492</f>
        <v/>
      </c>
      <c r="AG503" s="220">
        <f>Database!H492</f>
        <v/>
      </c>
      <c r="AH503" s="220">
        <f>Database!BH492</f>
        <v/>
      </c>
    </row>
    <row r="504">
      <c r="A504" s="220">
        <f>Database!B504</f>
        <v/>
      </c>
      <c r="B504" s="220">
        <f>IF(AND(Screener!$D$8&lt;&gt;"",Database!$E504=Screener!$D$8),1,0)</f>
        <v/>
      </c>
      <c r="C504" s="220">
        <f>IF(AND(Screener!$D$7&lt;&gt;"",Database!$D504=Screener!$D$7),1,0)</f>
        <v/>
      </c>
      <c r="D504" s="220">
        <f>IF(OR(N(Database!$I504)&lt;=0,N(Screener!$D$9)&lt;=0),0,MAX(0,1-ABS(LOG10(N(Database!$I504)/Screener!$D$9))/W_SIZEHW))</f>
        <v/>
      </c>
      <c r="E504" s="220">
        <f>IF(OR(Database!$BG504="",Screener!$D$10=""),0,IF(Database!$BG504=Screener!$D$10,1,0))</f>
        <v/>
      </c>
      <c r="F504" s="220">
        <f>IF(OR(Database!$BM504="",Screener!$D$11=""),0,IF(Database!$BM504=Screener!$D$11,1,0))</f>
        <v/>
      </c>
      <c r="G504" s="220">
        <f>IF(OR(Database!$H504="",N(Screener!$D$12)&lt;=0),0,MAX(0,1-(N(Screener!$D$12)-Database!$H504)/W_RECD))</f>
        <v/>
      </c>
      <c r="H504" s="220">
        <f>IF($U$1="",0,N(ISNUMBER(SEARCH($U$1,Database!$AC504&amp;""))))+IF($V$1="",0,N(ISNUMBER(SEARCH($V$1,Database!$AC504&amp;""))))+IF($W$1="",0,N(ISNUMBER(SEARCH($W$1,Database!$AC504&amp;""))))+IF($X$1="",0,N(ISNUMBER(SEARCH($X$1,Database!$AC504&amp;""))))+IF($Y$1="",0,N(ISNUMBER(SEARCH($Y$1,Database!$AC504&amp;""))))+IF(Screener!$B$17="",0,N(ISNUMBER(SEARCH(LOWER(Screener!$B$17),Database!$AC504&amp;""))))</f>
        <v/>
      </c>
      <c r="I504" s="220">
        <f>IF(OR(N(Database!$BH504)&lt;=0,N(Screener!$D$13)&lt;=0),0,MAX(0,1-ABS(LOG10(N(Database!$BH504)/Screener!$D$13))/W_PEHW))</f>
        <v/>
      </c>
      <c r="J504" s="220">
        <f>IF(OR(N(Database!$S504)&lt;=0,N(Screener!$D$14)&lt;=0),0,MAX(0,1-ABS(LOG10(Database!$S504/Screener!$D$14))/0.6))</f>
        <v/>
      </c>
      <c r="K504" s="220">
        <f>IF(Database!$B504=Screener!$B$5,-999999,IF(ISNUMBER(SEARCH(","&amp;Database!$A504&amp;",",","&amp;SUBSTITUTE(Screener!$D$17," ","")&amp;",")),2000000,IF(IF(OR(Screener!$B$18="All",AND(Screener!$B$18="With A-share",(Database!$BM504="Y")),AND(Screener!$B$18="Without A-share",NOT((Database!$BM504="Y")))),1,0)=0,-999999,IF(Screener!$B$16="cornerstone overlap first",H504*100000,IF(Screener!$B$16="demand-similar first",J504*100000,0))+W_SUB*B504+W_SEC*C504*(1-B504)+W_SIZE*D504+W_PROF*E504+W_AH*F504+W_REC*G504+W_CS*H504+W_PE*I504)))+ROW()/1000000</f>
        <v/>
      </c>
      <c r="AA504" s="220">
        <f>Database!B493</f>
        <v/>
      </c>
      <c r="AB504" s="220">
        <f>Database!D493</f>
        <v/>
      </c>
      <c r="AC504" s="220">
        <f>Database!E493</f>
        <v/>
      </c>
      <c r="AD504" s="220">
        <f>Database!I493</f>
        <v/>
      </c>
      <c r="AE504" s="220">
        <f>Database!BG493</f>
        <v/>
      </c>
      <c r="AF504" s="220">
        <f>Database!BM493</f>
        <v/>
      </c>
      <c r="AG504" s="220">
        <f>Database!H493</f>
        <v/>
      </c>
      <c r="AH504" s="220">
        <f>Database!BH493</f>
        <v/>
      </c>
    </row>
    <row r="505">
      <c r="A505" s="220">
        <f>Database!B505</f>
        <v/>
      </c>
      <c r="B505" s="220">
        <f>IF(AND(Screener!$D$8&lt;&gt;"",Database!$E505=Screener!$D$8),1,0)</f>
        <v/>
      </c>
      <c r="C505" s="220">
        <f>IF(AND(Screener!$D$7&lt;&gt;"",Database!$D505=Screener!$D$7),1,0)</f>
        <v/>
      </c>
      <c r="D505" s="220">
        <f>IF(OR(N(Database!$I505)&lt;=0,N(Screener!$D$9)&lt;=0),0,MAX(0,1-ABS(LOG10(N(Database!$I505)/Screener!$D$9))/W_SIZEHW))</f>
        <v/>
      </c>
      <c r="E505" s="220">
        <f>IF(OR(Database!$BG505="",Screener!$D$10=""),0,IF(Database!$BG505=Screener!$D$10,1,0))</f>
        <v/>
      </c>
      <c r="F505" s="220">
        <f>IF(OR(Database!$BM505="",Screener!$D$11=""),0,IF(Database!$BM505=Screener!$D$11,1,0))</f>
        <v/>
      </c>
      <c r="G505" s="220">
        <f>IF(OR(Database!$H505="",N(Screener!$D$12)&lt;=0),0,MAX(0,1-(N(Screener!$D$12)-Database!$H505)/W_RECD))</f>
        <v/>
      </c>
      <c r="H505" s="220">
        <f>IF($U$1="",0,N(ISNUMBER(SEARCH($U$1,Database!$AC505&amp;""))))+IF($V$1="",0,N(ISNUMBER(SEARCH($V$1,Database!$AC505&amp;""))))+IF($W$1="",0,N(ISNUMBER(SEARCH($W$1,Database!$AC505&amp;""))))+IF($X$1="",0,N(ISNUMBER(SEARCH($X$1,Database!$AC505&amp;""))))+IF($Y$1="",0,N(ISNUMBER(SEARCH($Y$1,Database!$AC505&amp;""))))+IF(Screener!$B$17="",0,N(ISNUMBER(SEARCH(LOWER(Screener!$B$17),Database!$AC505&amp;""))))</f>
        <v/>
      </c>
      <c r="I505" s="220">
        <f>IF(OR(N(Database!$BH505)&lt;=0,N(Screener!$D$13)&lt;=0),0,MAX(0,1-ABS(LOG10(N(Database!$BH505)/Screener!$D$13))/W_PEHW))</f>
        <v/>
      </c>
      <c r="J505" s="220">
        <f>IF(OR(N(Database!$S505)&lt;=0,N(Screener!$D$14)&lt;=0),0,MAX(0,1-ABS(LOG10(Database!$S505/Screener!$D$14))/0.6))</f>
        <v/>
      </c>
      <c r="K505" s="220">
        <f>IF(Database!$B505=Screener!$B$5,-999999,IF(ISNUMBER(SEARCH(","&amp;Database!$A505&amp;",",","&amp;SUBSTITUTE(Screener!$D$17," ","")&amp;",")),2000000,IF(IF(OR(Screener!$B$18="All",AND(Screener!$B$18="With A-share",(Database!$BM505="Y")),AND(Screener!$B$18="Without A-share",NOT((Database!$BM505="Y")))),1,0)=0,-999999,IF(Screener!$B$16="cornerstone overlap first",H505*100000,IF(Screener!$B$16="demand-similar first",J505*100000,0))+W_SUB*B505+W_SEC*C505*(1-B505)+W_SIZE*D505+W_PROF*E505+W_AH*F505+W_REC*G505+W_CS*H505+W_PE*I505)))+ROW()/1000000</f>
        <v/>
      </c>
      <c r="AA505" s="220">
        <f>Database!B494</f>
        <v/>
      </c>
      <c r="AB505" s="220">
        <f>Database!D494</f>
        <v/>
      </c>
      <c r="AC505" s="220">
        <f>Database!E494</f>
        <v/>
      </c>
      <c r="AD505" s="220">
        <f>Database!I494</f>
        <v/>
      </c>
      <c r="AE505" s="220">
        <f>Database!BG494</f>
        <v/>
      </c>
      <c r="AF505" s="220">
        <f>Database!BM494</f>
        <v/>
      </c>
      <c r="AG505" s="220">
        <f>Database!H494</f>
        <v/>
      </c>
      <c r="AH505" s="220">
        <f>Database!BH494</f>
        <v/>
      </c>
    </row>
    <row r="506">
      <c r="A506" s="220">
        <f>Database!B506</f>
        <v/>
      </c>
      <c r="B506" s="220">
        <f>IF(AND(Screener!$D$8&lt;&gt;"",Database!$E506=Screener!$D$8),1,0)</f>
        <v/>
      </c>
      <c r="C506" s="220">
        <f>IF(AND(Screener!$D$7&lt;&gt;"",Database!$D506=Screener!$D$7),1,0)</f>
        <v/>
      </c>
      <c r="D506" s="220">
        <f>IF(OR(N(Database!$I506)&lt;=0,N(Screener!$D$9)&lt;=0),0,MAX(0,1-ABS(LOG10(N(Database!$I506)/Screener!$D$9))/W_SIZEHW))</f>
        <v/>
      </c>
      <c r="E506" s="220">
        <f>IF(OR(Database!$BG506="",Screener!$D$10=""),0,IF(Database!$BG506=Screener!$D$10,1,0))</f>
        <v/>
      </c>
      <c r="F506" s="220">
        <f>IF(OR(Database!$BM506="",Screener!$D$11=""),0,IF(Database!$BM506=Screener!$D$11,1,0))</f>
        <v/>
      </c>
      <c r="G506" s="220">
        <f>IF(OR(Database!$H506="",N(Screener!$D$12)&lt;=0),0,MAX(0,1-(N(Screener!$D$12)-Database!$H506)/W_RECD))</f>
        <v/>
      </c>
      <c r="H506" s="220">
        <f>IF($U$1="",0,N(ISNUMBER(SEARCH($U$1,Database!$AC506&amp;""))))+IF($V$1="",0,N(ISNUMBER(SEARCH($V$1,Database!$AC506&amp;""))))+IF($W$1="",0,N(ISNUMBER(SEARCH($W$1,Database!$AC506&amp;""))))+IF($X$1="",0,N(ISNUMBER(SEARCH($X$1,Database!$AC506&amp;""))))+IF($Y$1="",0,N(ISNUMBER(SEARCH($Y$1,Database!$AC506&amp;""))))+IF(Screener!$B$17="",0,N(ISNUMBER(SEARCH(LOWER(Screener!$B$17),Database!$AC506&amp;""))))</f>
        <v/>
      </c>
      <c r="I506" s="220">
        <f>IF(OR(N(Database!$BH506)&lt;=0,N(Screener!$D$13)&lt;=0),0,MAX(0,1-ABS(LOG10(N(Database!$BH506)/Screener!$D$13))/W_PEHW))</f>
        <v/>
      </c>
      <c r="J506" s="220">
        <f>IF(OR(N(Database!$S506)&lt;=0,N(Screener!$D$14)&lt;=0),0,MAX(0,1-ABS(LOG10(Database!$S506/Screener!$D$14))/0.6))</f>
        <v/>
      </c>
      <c r="K506" s="220">
        <f>IF(Database!$B506=Screener!$B$5,-999999,IF(ISNUMBER(SEARCH(","&amp;Database!$A506&amp;",",","&amp;SUBSTITUTE(Screener!$D$17," ","")&amp;",")),2000000,IF(IF(OR(Screener!$B$18="All",AND(Screener!$B$18="With A-share",(Database!$BM506="Y")),AND(Screener!$B$18="Without A-share",NOT((Database!$BM506="Y")))),1,0)=0,-999999,IF(Screener!$B$16="cornerstone overlap first",H506*100000,IF(Screener!$B$16="demand-similar first",J506*100000,0))+W_SUB*B506+W_SEC*C506*(1-B506)+W_SIZE*D506+W_PROF*E506+W_AH*F506+W_REC*G506+W_CS*H506+W_PE*I506)))+ROW()/1000000</f>
        <v/>
      </c>
      <c r="AA506" s="220">
        <f>Database!B495</f>
        <v/>
      </c>
      <c r="AB506" s="220">
        <f>Database!D495</f>
        <v/>
      </c>
      <c r="AC506" s="220">
        <f>Database!E495</f>
        <v/>
      </c>
      <c r="AD506" s="220">
        <f>Database!I495</f>
        <v/>
      </c>
      <c r="AE506" s="220">
        <f>Database!BG495</f>
        <v/>
      </c>
      <c r="AF506" s="220">
        <f>Database!BM495</f>
        <v/>
      </c>
      <c r="AG506" s="220">
        <f>Database!H495</f>
        <v/>
      </c>
      <c r="AH506" s="220">
        <f>Database!BH495</f>
        <v/>
      </c>
    </row>
    <row r="507">
      <c r="A507" s="220">
        <f>Database!B507</f>
        <v/>
      </c>
      <c r="B507" s="220">
        <f>IF(AND(Screener!$D$8&lt;&gt;"",Database!$E507=Screener!$D$8),1,0)</f>
        <v/>
      </c>
      <c r="C507" s="220">
        <f>IF(AND(Screener!$D$7&lt;&gt;"",Database!$D507=Screener!$D$7),1,0)</f>
        <v/>
      </c>
      <c r="D507" s="220">
        <f>IF(OR(N(Database!$I507)&lt;=0,N(Screener!$D$9)&lt;=0),0,MAX(0,1-ABS(LOG10(N(Database!$I507)/Screener!$D$9))/W_SIZEHW))</f>
        <v/>
      </c>
      <c r="E507" s="220">
        <f>IF(OR(Database!$BG507="",Screener!$D$10=""),0,IF(Database!$BG507=Screener!$D$10,1,0))</f>
        <v/>
      </c>
      <c r="F507" s="220">
        <f>IF(OR(Database!$BM507="",Screener!$D$11=""),0,IF(Database!$BM507=Screener!$D$11,1,0))</f>
        <v/>
      </c>
      <c r="G507" s="220">
        <f>IF(OR(Database!$H507="",N(Screener!$D$12)&lt;=0),0,MAX(0,1-(N(Screener!$D$12)-Database!$H507)/W_RECD))</f>
        <v/>
      </c>
      <c r="H507" s="220">
        <f>IF($U$1="",0,N(ISNUMBER(SEARCH($U$1,Database!$AC507&amp;""))))+IF($V$1="",0,N(ISNUMBER(SEARCH($V$1,Database!$AC507&amp;""))))+IF($W$1="",0,N(ISNUMBER(SEARCH($W$1,Database!$AC507&amp;""))))+IF($X$1="",0,N(ISNUMBER(SEARCH($X$1,Database!$AC507&amp;""))))+IF($Y$1="",0,N(ISNUMBER(SEARCH($Y$1,Database!$AC507&amp;""))))+IF(Screener!$B$17="",0,N(ISNUMBER(SEARCH(LOWER(Screener!$B$17),Database!$AC507&amp;""))))</f>
        <v/>
      </c>
      <c r="I507" s="220">
        <f>IF(OR(N(Database!$BH507)&lt;=0,N(Screener!$D$13)&lt;=0),0,MAX(0,1-ABS(LOG10(N(Database!$BH507)/Screener!$D$13))/W_PEHW))</f>
        <v/>
      </c>
      <c r="J507" s="220">
        <f>IF(OR(N(Database!$S507)&lt;=0,N(Screener!$D$14)&lt;=0),0,MAX(0,1-ABS(LOG10(Database!$S507/Screener!$D$14))/0.6))</f>
        <v/>
      </c>
      <c r="K507" s="220">
        <f>IF(Database!$B507=Screener!$B$5,-999999,IF(ISNUMBER(SEARCH(","&amp;Database!$A507&amp;",",","&amp;SUBSTITUTE(Screener!$D$17," ","")&amp;",")),2000000,IF(IF(OR(Screener!$B$18="All",AND(Screener!$B$18="With A-share",(Database!$BM507="Y")),AND(Screener!$B$18="Without A-share",NOT((Database!$BM507="Y")))),1,0)=0,-999999,IF(Screener!$B$16="cornerstone overlap first",H507*100000,IF(Screener!$B$16="demand-similar first",J507*100000,0))+W_SUB*B507+W_SEC*C507*(1-B507)+W_SIZE*D507+W_PROF*E507+W_AH*F507+W_REC*G507+W_CS*H507+W_PE*I507)))+ROW()/1000000</f>
        <v/>
      </c>
      <c r="AA507" s="220">
        <f>Database!B496</f>
        <v/>
      </c>
      <c r="AB507" s="220">
        <f>Database!D496</f>
        <v/>
      </c>
      <c r="AC507" s="220">
        <f>Database!E496</f>
        <v/>
      </c>
      <c r="AD507" s="220">
        <f>Database!I496</f>
        <v/>
      </c>
      <c r="AE507" s="220">
        <f>Database!BG496</f>
        <v/>
      </c>
      <c r="AF507" s="220">
        <f>Database!BM496</f>
        <v/>
      </c>
      <c r="AG507" s="220">
        <f>Database!H496</f>
        <v/>
      </c>
      <c r="AH507" s="220">
        <f>Database!BH496</f>
        <v/>
      </c>
    </row>
    <row r="508">
      <c r="A508" s="220">
        <f>Database!B508</f>
        <v/>
      </c>
      <c r="B508" s="220">
        <f>IF(AND(Screener!$D$8&lt;&gt;"",Database!$E508=Screener!$D$8),1,0)</f>
        <v/>
      </c>
      <c r="C508" s="220">
        <f>IF(AND(Screener!$D$7&lt;&gt;"",Database!$D508=Screener!$D$7),1,0)</f>
        <v/>
      </c>
      <c r="D508" s="220">
        <f>IF(OR(N(Database!$I508)&lt;=0,N(Screener!$D$9)&lt;=0),0,MAX(0,1-ABS(LOG10(N(Database!$I508)/Screener!$D$9))/W_SIZEHW))</f>
        <v/>
      </c>
      <c r="E508" s="220">
        <f>IF(OR(Database!$BG508="",Screener!$D$10=""),0,IF(Database!$BG508=Screener!$D$10,1,0))</f>
        <v/>
      </c>
      <c r="F508" s="220">
        <f>IF(OR(Database!$BM508="",Screener!$D$11=""),0,IF(Database!$BM508=Screener!$D$11,1,0))</f>
        <v/>
      </c>
      <c r="G508" s="220">
        <f>IF(OR(Database!$H508="",N(Screener!$D$12)&lt;=0),0,MAX(0,1-(N(Screener!$D$12)-Database!$H508)/W_RECD))</f>
        <v/>
      </c>
      <c r="H508" s="220">
        <f>IF($U$1="",0,N(ISNUMBER(SEARCH($U$1,Database!$AC508&amp;""))))+IF($V$1="",0,N(ISNUMBER(SEARCH($V$1,Database!$AC508&amp;""))))+IF($W$1="",0,N(ISNUMBER(SEARCH($W$1,Database!$AC508&amp;""))))+IF($X$1="",0,N(ISNUMBER(SEARCH($X$1,Database!$AC508&amp;""))))+IF($Y$1="",0,N(ISNUMBER(SEARCH($Y$1,Database!$AC508&amp;""))))+IF(Screener!$B$17="",0,N(ISNUMBER(SEARCH(LOWER(Screener!$B$17),Database!$AC508&amp;""))))</f>
        <v/>
      </c>
      <c r="I508" s="220">
        <f>IF(OR(N(Database!$BH508)&lt;=0,N(Screener!$D$13)&lt;=0),0,MAX(0,1-ABS(LOG10(N(Database!$BH508)/Screener!$D$13))/W_PEHW))</f>
        <v/>
      </c>
      <c r="J508" s="220">
        <f>IF(OR(N(Database!$S508)&lt;=0,N(Screener!$D$14)&lt;=0),0,MAX(0,1-ABS(LOG10(Database!$S508/Screener!$D$14))/0.6))</f>
        <v/>
      </c>
      <c r="K508" s="220">
        <f>IF(Database!$B508=Screener!$B$5,-999999,IF(ISNUMBER(SEARCH(","&amp;Database!$A508&amp;",",","&amp;SUBSTITUTE(Screener!$D$17," ","")&amp;",")),2000000,IF(IF(OR(Screener!$B$18="All",AND(Screener!$B$18="With A-share",(Database!$BM508="Y")),AND(Screener!$B$18="Without A-share",NOT((Database!$BM508="Y")))),1,0)=0,-999999,IF(Screener!$B$16="cornerstone overlap first",H508*100000,IF(Screener!$B$16="demand-similar first",J508*100000,0))+W_SUB*B508+W_SEC*C508*(1-B508)+W_SIZE*D508+W_PROF*E508+W_AH*F508+W_REC*G508+W_CS*H508+W_PE*I508)))+ROW()/1000000</f>
        <v/>
      </c>
      <c r="AA508" s="220">
        <f>Database!B497</f>
        <v/>
      </c>
      <c r="AB508" s="220">
        <f>Database!D497</f>
        <v/>
      </c>
      <c r="AC508" s="220">
        <f>Database!E497</f>
        <v/>
      </c>
      <c r="AD508" s="220">
        <f>Database!I497</f>
        <v/>
      </c>
      <c r="AE508" s="220">
        <f>Database!BG497</f>
        <v/>
      </c>
      <c r="AF508" s="220">
        <f>Database!BM497</f>
        <v/>
      </c>
      <c r="AG508" s="220">
        <f>Database!H497</f>
        <v/>
      </c>
      <c r="AH508" s="220">
        <f>Database!BH497</f>
        <v/>
      </c>
    </row>
    <row r="509">
      <c r="A509" s="220">
        <f>Database!B509</f>
        <v/>
      </c>
      <c r="B509" s="220">
        <f>IF(AND(Screener!$D$8&lt;&gt;"",Database!$E509=Screener!$D$8),1,0)</f>
        <v/>
      </c>
      <c r="C509" s="220">
        <f>IF(AND(Screener!$D$7&lt;&gt;"",Database!$D509=Screener!$D$7),1,0)</f>
        <v/>
      </c>
      <c r="D509" s="220">
        <f>IF(OR(N(Database!$I509)&lt;=0,N(Screener!$D$9)&lt;=0),0,MAX(0,1-ABS(LOG10(N(Database!$I509)/Screener!$D$9))/W_SIZEHW))</f>
        <v/>
      </c>
      <c r="E509" s="220">
        <f>IF(OR(Database!$BG509="",Screener!$D$10=""),0,IF(Database!$BG509=Screener!$D$10,1,0))</f>
        <v/>
      </c>
      <c r="F509" s="220">
        <f>IF(OR(Database!$BM509="",Screener!$D$11=""),0,IF(Database!$BM509=Screener!$D$11,1,0))</f>
        <v/>
      </c>
      <c r="G509" s="220">
        <f>IF(OR(Database!$H509="",N(Screener!$D$12)&lt;=0),0,MAX(0,1-(N(Screener!$D$12)-Database!$H509)/W_RECD))</f>
        <v/>
      </c>
      <c r="H509" s="220">
        <f>IF($U$1="",0,N(ISNUMBER(SEARCH($U$1,Database!$AC509&amp;""))))+IF($V$1="",0,N(ISNUMBER(SEARCH($V$1,Database!$AC509&amp;""))))+IF($W$1="",0,N(ISNUMBER(SEARCH($W$1,Database!$AC509&amp;""))))+IF($X$1="",0,N(ISNUMBER(SEARCH($X$1,Database!$AC509&amp;""))))+IF($Y$1="",0,N(ISNUMBER(SEARCH($Y$1,Database!$AC509&amp;""))))+IF(Screener!$B$17="",0,N(ISNUMBER(SEARCH(LOWER(Screener!$B$17),Database!$AC509&amp;""))))</f>
        <v/>
      </c>
      <c r="I509" s="220">
        <f>IF(OR(N(Database!$BH509)&lt;=0,N(Screener!$D$13)&lt;=0),0,MAX(0,1-ABS(LOG10(N(Database!$BH509)/Screener!$D$13))/W_PEHW))</f>
        <v/>
      </c>
      <c r="J509" s="220">
        <f>IF(OR(N(Database!$S509)&lt;=0,N(Screener!$D$14)&lt;=0),0,MAX(0,1-ABS(LOG10(Database!$S509/Screener!$D$14))/0.6))</f>
        <v/>
      </c>
      <c r="K509" s="220">
        <f>IF(Database!$B509=Screener!$B$5,-999999,IF(ISNUMBER(SEARCH(","&amp;Database!$A509&amp;",",","&amp;SUBSTITUTE(Screener!$D$17," ","")&amp;",")),2000000,IF(IF(OR(Screener!$B$18="All",AND(Screener!$B$18="With A-share",(Database!$BM509="Y")),AND(Screener!$B$18="Without A-share",NOT((Database!$BM509="Y")))),1,0)=0,-999999,IF(Screener!$B$16="cornerstone overlap first",H509*100000,IF(Screener!$B$16="demand-similar first",J509*100000,0))+W_SUB*B509+W_SEC*C509*(1-B509)+W_SIZE*D509+W_PROF*E509+W_AH*F509+W_REC*G509+W_CS*H509+W_PE*I509)))+ROW()/1000000</f>
        <v/>
      </c>
      <c r="AA509" s="220">
        <f>Database!B498</f>
        <v/>
      </c>
      <c r="AB509" s="220">
        <f>Database!D498</f>
        <v/>
      </c>
      <c r="AC509" s="220">
        <f>Database!E498</f>
        <v/>
      </c>
      <c r="AD509" s="220">
        <f>Database!I498</f>
        <v/>
      </c>
      <c r="AE509" s="220">
        <f>Database!BG498</f>
        <v/>
      </c>
      <c r="AF509" s="220">
        <f>Database!BM498</f>
        <v/>
      </c>
      <c r="AG509" s="220">
        <f>Database!H498</f>
        <v/>
      </c>
      <c r="AH509" s="220">
        <f>Database!BH498</f>
        <v/>
      </c>
    </row>
    <row r="510">
      <c r="A510" s="220">
        <f>Database!B510</f>
        <v/>
      </c>
      <c r="B510" s="220">
        <f>IF(AND(Screener!$D$8&lt;&gt;"",Database!$E510=Screener!$D$8),1,0)</f>
        <v/>
      </c>
      <c r="C510" s="220">
        <f>IF(AND(Screener!$D$7&lt;&gt;"",Database!$D510=Screener!$D$7),1,0)</f>
        <v/>
      </c>
      <c r="D510" s="220">
        <f>IF(OR(N(Database!$I510)&lt;=0,N(Screener!$D$9)&lt;=0),0,MAX(0,1-ABS(LOG10(N(Database!$I510)/Screener!$D$9))/W_SIZEHW))</f>
        <v/>
      </c>
      <c r="E510" s="220">
        <f>IF(OR(Database!$BG510="",Screener!$D$10=""),0,IF(Database!$BG510=Screener!$D$10,1,0))</f>
        <v/>
      </c>
      <c r="F510" s="220">
        <f>IF(OR(Database!$BM510="",Screener!$D$11=""),0,IF(Database!$BM510=Screener!$D$11,1,0))</f>
        <v/>
      </c>
      <c r="G510" s="220">
        <f>IF(OR(Database!$H510="",N(Screener!$D$12)&lt;=0),0,MAX(0,1-(N(Screener!$D$12)-Database!$H510)/W_RECD))</f>
        <v/>
      </c>
      <c r="H510" s="220">
        <f>IF($U$1="",0,N(ISNUMBER(SEARCH($U$1,Database!$AC510&amp;""))))+IF($V$1="",0,N(ISNUMBER(SEARCH($V$1,Database!$AC510&amp;""))))+IF($W$1="",0,N(ISNUMBER(SEARCH($W$1,Database!$AC510&amp;""))))+IF($X$1="",0,N(ISNUMBER(SEARCH($X$1,Database!$AC510&amp;""))))+IF($Y$1="",0,N(ISNUMBER(SEARCH($Y$1,Database!$AC510&amp;""))))+IF(Screener!$B$17="",0,N(ISNUMBER(SEARCH(LOWER(Screener!$B$17),Database!$AC510&amp;""))))</f>
        <v/>
      </c>
      <c r="I510" s="220">
        <f>IF(OR(N(Database!$BH510)&lt;=0,N(Screener!$D$13)&lt;=0),0,MAX(0,1-ABS(LOG10(N(Database!$BH510)/Screener!$D$13))/W_PEHW))</f>
        <v/>
      </c>
      <c r="J510" s="220">
        <f>IF(OR(N(Database!$S510)&lt;=0,N(Screener!$D$14)&lt;=0),0,MAX(0,1-ABS(LOG10(Database!$S510/Screener!$D$14))/0.6))</f>
        <v/>
      </c>
      <c r="K510" s="220">
        <f>IF(Database!$B510=Screener!$B$5,-999999,IF(ISNUMBER(SEARCH(","&amp;Database!$A510&amp;",",","&amp;SUBSTITUTE(Screener!$D$17," ","")&amp;",")),2000000,IF(IF(OR(Screener!$B$18="All",AND(Screener!$B$18="With A-share",(Database!$BM510="Y")),AND(Screener!$B$18="Without A-share",NOT((Database!$BM510="Y")))),1,0)=0,-999999,IF(Screener!$B$16="cornerstone overlap first",H510*100000,IF(Screener!$B$16="demand-similar first",J510*100000,0))+W_SUB*B510+W_SEC*C510*(1-B510)+W_SIZE*D510+W_PROF*E510+W_AH*F510+W_REC*G510+W_CS*H510+W_PE*I510)))+ROW()/1000000</f>
        <v/>
      </c>
      <c r="AA510" s="220">
        <f>Database!B499</f>
        <v/>
      </c>
      <c r="AB510" s="220">
        <f>Database!D499</f>
        <v/>
      </c>
      <c r="AC510" s="220">
        <f>Database!E499</f>
        <v/>
      </c>
      <c r="AD510" s="220">
        <f>Database!I499</f>
        <v/>
      </c>
      <c r="AE510" s="220">
        <f>Database!BG499</f>
        <v/>
      </c>
      <c r="AF510" s="220">
        <f>Database!BM499</f>
        <v/>
      </c>
      <c r="AG510" s="220">
        <f>Database!H499</f>
        <v/>
      </c>
      <c r="AH510" s="220">
        <f>Database!BH499</f>
        <v/>
      </c>
    </row>
    <row r="511">
      <c r="A511" s="220">
        <f>Database!B511</f>
        <v/>
      </c>
      <c r="B511" s="220">
        <f>IF(AND(Screener!$D$8&lt;&gt;"",Database!$E511=Screener!$D$8),1,0)</f>
        <v/>
      </c>
      <c r="C511" s="220">
        <f>IF(AND(Screener!$D$7&lt;&gt;"",Database!$D511=Screener!$D$7),1,0)</f>
        <v/>
      </c>
      <c r="D511" s="220">
        <f>IF(OR(N(Database!$I511)&lt;=0,N(Screener!$D$9)&lt;=0),0,MAX(0,1-ABS(LOG10(N(Database!$I511)/Screener!$D$9))/W_SIZEHW))</f>
        <v/>
      </c>
      <c r="E511" s="220">
        <f>IF(OR(Database!$BG511="",Screener!$D$10=""),0,IF(Database!$BG511=Screener!$D$10,1,0))</f>
        <v/>
      </c>
      <c r="F511" s="220">
        <f>IF(OR(Database!$BM511="",Screener!$D$11=""),0,IF(Database!$BM511=Screener!$D$11,1,0))</f>
        <v/>
      </c>
      <c r="G511" s="220">
        <f>IF(OR(Database!$H511="",N(Screener!$D$12)&lt;=0),0,MAX(0,1-(N(Screener!$D$12)-Database!$H511)/W_RECD))</f>
        <v/>
      </c>
      <c r="H511" s="220">
        <f>IF($U$1="",0,N(ISNUMBER(SEARCH($U$1,Database!$AC511&amp;""))))+IF($V$1="",0,N(ISNUMBER(SEARCH($V$1,Database!$AC511&amp;""))))+IF($W$1="",0,N(ISNUMBER(SEARCH($W$1,Database!$AC511&amp;""))))+IF($X$1="",0,N(ISNUMBER(SEARCH($X$1,Database!$AC511&amp;""))))+IF($Y$1="",0,N(ISNUMBER(SEARCH($Y$1,Database!$AC511&amp;""))))+IF(Screener!$B$17="",0,N(ISNUMBER(SEARCH(LOWER(Screener!$B$17),Database!$AC511&amp;""))))</f>
        <v/>
      </c>
      <c r="I511" s="220">
        <f>IF(OR(N(Database!$BH511)&lt;=0,N(Screener!$D$13)&lt;=0),0,MAX(0,1-ABS(LOG10(N(Database!$BH511)/Screener!$D$13))/W_PEHW))</f>
        <v/>
      </c>
      <c r="J511" s="220">
        <f>IF(OR(N(Database!$S511)&lt;=0,N(Screener!$D$14)&lt;=0),0,MAX(0,1-ABS(LOG10(Database!$S511/Screener!$D$14))/0.6))</f>
        <v/>
      </c>
      <c r="K511" s="220">
        <f>IF(Database!$B511=Screener!$B$5,-999999,IF(ISNUMBER(SEARCH(","&amp;Database!$A511&amp;",",","&amp;SUBSTITUTE(Screener!$D$17," ","")&amp;",")),2000000,IF(IF(OR(Screener!$B$18="All",AND(Screener!$B$18="With A-share",(Database!$BM511="Y")),AND(Screener!$B$18="Without A-share",NOT((Database!$BM511="Y")))),1,0)=0,-999999,IF(Screener!$B$16="cornerstone overlap first",H511*100000,IF(Screener!$B$16="demand-similar first",J511*100000,0))+W_SUB*B511+W_SEC*C511*(1-B511)+W_SIZE*D511+W_PROF*E511+W_AH*F511+W_REC*G511+W_CS*H511+W_PE*I511)))+ROW()/1000000</f>
        <v/>
      </c>
      <c r="AA511" s="220">
        <f>Database!B500</f>
        <v/>
      </c>
      <c r="AB511" s="220">
        <f>Database!D500</f>
        <v/>
      </c>
      <c r="AC511" s="220">
        <f>Database!E500</f>
        <v/>
      </c>
      <c r="AD511" s="220">
        <f>Database!I500</f>
        <v/>
      </c>
      <c r="AE511" s="220">
        <f>Database!BG500</f>
        <v/>
      </c>
      <c r="AF511" s="220">
        <f>Database!BM500</f>
        <v/>
      </c>
      <c r="AG511" s="220">
        <f>Database!H500</f>
        <v/>
      </c>
      <c r="AH511" s="220">
        <f>Database!BH500</f>
        <v/>
      </c>
    </row>
    <row r="512">
      <c r="A512" s="220">
        <f>Database!B512</f>
        <v/>
      </c>
      <c r="B512" s="220">
        <f>IF(AND(Screener!$D$8&lt;&gt;"",Database!$E512=Screener!$D$8),1,0)</f>
        <v/>
      </c>
      <c r="C512" s="220">
        <f>IF(AND(Screener!$D$7&lt;&gt;"",Database!$D512=Screener!$D$7),1,0)</f>
        <v/>
      </c>
      <c r="D512" s="220">
        <f>IF(OR(N(Database!$I512)&lt;=0,N(Screener!$D$9)&lt;=0),0,MAX(0,1-ABS(LOG10(N(Database!$I512)/Screener!$D$9))/W_SIZEHW))</f>
        <v/>
      </c>
      <c r="E512" s="220">
        <f>IF(OR(Database!$BG512="",Screener!$D$10=""),0,IF(Database!$BG512=Screener!$D$10,1,0))</f>
        <v/>
      </c>
      <c r="F512" s="220">
        <f>IF(OR(Database!$BM512="",Screener!$D$11=""),0,IF(Database!$BM512=Screener!$D$11,1,0))</f>
        <v/>
      </c>
      <c r="G512" s="220">
        <f>IF(OR(Database!$H512="",N(Screener!$D$12)&lt;=0),0,MAX(0,1-(N(Screener!$D$12)-Database!$H512)/W_RECD))</f>
        <v/>
      </c>
      <c r="H512" s="220">
        <f>IF($U$1="",0,N(ISNUMBER(SEARCH($U$1,Database!$AC512&amp;""))))+IF($V$1="",0,N(ISNUMBER(SEARCH($V$1,Database!$AC512&amp;""))))+IF($W$1="",0,N(ISNUMBER(SEARCH($W$1,Database!$AC512&amp;""))))+IF($X$1="",0,N(ISNUMBER(SEARCH($X$1,Database!$AC512&amp;""))))+IF($Y$1="",0,N(ISNUMBER(SEARCH($Y$1,Database!$AC512&amp;""))))+IF(Screener!$B$17="",0,N(ISNUMBER(SEARCH(LOWER(Screener!$B$17),Database!$AC512&amp;""))))</f>
        <v/>
      </c>
      <c r="I512" s="220">
        <f>IF(OR(N(Database!$BH512)&lt;=0,N(Screener!$D$13)&lt;=0),0,MAX(0,1-ABS(LOG10(N(Database!$BH512)/Screener!$D$13))/W_PEHW))</f>
        <v/>
      </c>
      <c r="J512" s="220">
        <f>IF(OR(N(Database!$S512)&lt;=0,N(Screener!$D$14)&lt;=0),0,MAX(0,1-ABS(LOG10(Database!$S512/Screener!$D$14))/0.6))</f>
        <v/>
      </c>
      <c r="K512" s="220">
        <f>IF(Database!$B512=Screener!$B$5,-999999,IF(ISNUMBER(SEARCH(","&amp;Database!$A512&amp;",",","&amp;SUBSTITUTE(Screener!$D$17," ","")&amp;",")),2000000,IF(IF(OR(Screener!$B$18="All",AND(Screener!$B$18="With A-share",(Database!$BM512="Y")),AND(Screener!$B$18="Without A-share",NOT((Database!$BM512="Y")))),1,0)=0,-999999,IF(Screener!$B$16="cornerstone overlap first",H512*100000,IF(Screener!$B$16="demand-similar first",J512*100000,0))+W_SUB*B512+W_SEC*C512*(1-B512)+W_SIZE*D512+W_PROF*E512+W_AH*F512+W_REC*G512+W_CS*H512+W_PE*I512)))+ROW()/1000000</f>
        <v/>
      </c>
      <c r="AA512" s="220">
        <f>Database!B501</f>
        <v/>
      </c>
      <c r="AB512" s="220">
        <f>Database!D501</f>
        <v/>
      </c>
      <c r="AC512" s="220">
        <f>Database!E501</f>
        <v/>
      </c>
      <c r="AD512" s="220">
        <f>Database!I501</f>
        <v/>
      </c>
      <c r="AE512" s="220">
        <f>Database!BG501</f>
        <v/>
      </c>
      <c r="AF512" s="220">
        <f>Database!BM501</f>
        <v/>
      </c>
      <c r="AG512" s="220">
        <f>Database!H501</f>
        <v/>
      </c>
      <c r="AH512" s="220">
        <f>Database!BH501</f>
        <v/>
      </c>
    </row>
    <row r="513">
      <c r="A513" s="220">
        <f>Database!B513</f>
        <v/>
      </c>
      <c r="B513" s="220">
        <f>IF(AND(Screener!$D$8&lt;&gt;"",Database!$E513=Screener!$D$8),1,0)</f>
        <v/>
      </c>
      <c r="C513" s="220">
        <f>IF(AND(Screener!$D$7&lt;&gt;"",Database!$D513=Screener!$D$7),1,0)</f>
        <v/>
      </c>
      <c r="D513" s="220">
        <f>IF(OR(N(Database!$I513)&lt;=0,N(Screener!$D$9)&lt;=0),0,MAX(0,1-ABS(LOG10(N(Database!$I513)/Screener!$D$9))/W_SIZEHW))</f>
        <v/>
      </c>
      <c r="E513" s="220">
        <f>IF(OR(Database!$BG513="",Screener!$D$10=""),0,IF(Database!$BG513=Screener!$D$10,1,0))</f>
        <v/>
      </c>
      <c r="F513" s="220">
        <f>IF(OR(Database!$BM513="",Screener!$D$11=""),0,IF(Database!$BM513=Screener!$D$11,1,0))</f>
        <v/>
      </c>
      <c r="G513" s="220">
        <f>IF(OR(Database!$H513="",N(Screener!$D$12)&lt;=0),0,MAX(0,1-(N(Screener!$D$12)-Database!$H513)/W_RECD))</f>
        <v/>
      </c>
      <c r="H513" s="220">
        <f>IF($U$1="",0,N(ISNUMBER(SEARCH($U$1,Database!$AC513&amp;""))))+IF($V$1="",0,N(ISNUMBER(SEARCH($V$1,Database!$AC513&amp;""))))+IF($W$1="",0,N(ISNUMBER(SEARCH($W$1,Database!$AC513&amp;""))))+IF($X$1="",0,N(ISNUMBER(SEARCH($X$1,Database!$AC513&amp;""))))+IF($Y$1="",0,N(ISNUMBER(SEARCH($Y$1,Database!$AC513&amp;""))))+IF(Screener!$B$17="",0,N(ISNUMBER(SEARCH(LOWER(Screener!$B$17),Database!$AC513&amp;""))))</f>
        <v/>
      </c>
      <c r="I513" s="220">
        <f>IF(OR(N(Database!$BH513)&lt;=0,N(Screener!$D$13)&lt;=0),0,MAX(0,1-ABS(LOG10(N(Database!$BH513)/Screener!$D$13))/W_PEHW))</f>
        <v/>
      </c>
      <c r="J513" s="220">
        <f>IF(OR(N(Database!$S513)&lt;=0,N(Screener!$D$14)&lt;=0),0,MAX(0,1-ABS(LOG10(Database!$S513/Screener!$D$14))/0.6))</f>
        <v/>
      </c>
      <c r="K513" s="220">
        <f>IF(Database!$B513=Screener!$B$5,-999999,IF(ISNUMBER(SEARCH(","&amp;Database!$A513&amp;",",","&amp;SUBSTITUTE(Screener!$D$17," ","")&amp;",")),2000000,IF(IF(OR(Screener!$B$18="All",AND(Screener!$B$18="With A-share",(Database!$BM513="Y")),AND(Screener!$B$18="Without A-share",NOT((Database!$BM513="Y")))),1,0)=0,-999999,IF(Screener!$B$16="cornerstone overlap first",H513*100000,IF(Screener!$B$16="demand-similar first",J513*100000,0))+W_SUB*B513+W_SEC*C513*(1-B513)+W_SIZE*D513+W_PROF*E513+W_AH*F513+W_REC*G513+W_CS*H513+W_PE*I513)))+ROW()/1000000</f>
        <v/>
      </c>
      <c r="AA513" s="220">
        <f>Database!B502</f>
        <v/>
      </c>
      <c r="AB513" s="220">
        <f>Database!D502</f>
        <v/>
      </c>
      <c r="AC513" s="220">
        <f>Database!E502</f>
        <v/>
      </c>
      <c r="AD513" s="220">
        <f>Database!I502</f>
        <v/>
      </c>
      <c r="AE513" s="220">
        <f>Database!BG502</f>
        <v/>
      </c>
      <c r="AF513" s="220">
        <f>Database!BM502</f>
        <v/>
      </c>
      <c r="AG513" s="220">
        <f>Database!H502</f>
        <v/>
      </c>
      <c r="AH513" s="220">
        <f>Database!BH502</f>
        <v/>
      </c>
    </row>
    <row r="514">
      <c r="A514" s="220">
        <f>Database!B514</f>
        <v/>
      </c>
      <c r="B514" s="220">
        <f>IF(AND(Screener!$D$8&lt;&gt;"",Database!$E514=Screener!$D$8),1,0)</f>
        <v/>
      </c>
      <c r="C514" s="220">
        <f>IF(AND(Screener!$D$7&lt;&gt;"",Database!$D514=Screener!$D$7),1,0)</f>
        <v/>
      </c>
      <c r="D514" s="220">
        <f>IF(OR(N(Database!$I514)&lt;=0,N(Screener!$D$9)&lt;=0),0,MAX(0,1-ABS(LOG10(N(Database!$I514)/Screener!$D$9))/W_SIZEHW))</f>
        <v/>
      </c>
      <c r="E514" s="220">
        <f>IF(OR(Database!$BG514="",Screener!$D$10=""),0,IF(Database!$BG514=Screener!$D$10,1,0))</f>
        <v/>
      </c>
      <c r="F514" s="220">
        <f>IF(OR(Database!$BM514="",Screener!$D$11=""),0,IF(Database!$BM514=Screener!$D$11,1,0))</f>
        <v/>
      </c>
      <c r="G514" s="220">
        <f>IF(OR(Database!$H514="",N(Screener!$D$12)&lt;=0),0,MAX(0,1-(N(Screener!$D$12)-Database!$H514)/W_RECD))</f>
        <v/>
      </c>
      <c r="H514" s="220">
        <f>IF($U$1="",0,N(ISNUMBER(SEARCH($U$1,Database!$AC514&amp;""))))+IF($V$1="",0,N(ISNUMBER(SEARCH($V$1,Database!$AC514&amp;""))))+IF($W$1="",0,N(ISNUMBER(SEARCH($W$1,Database!$AC514&amp;""))))+IF($X$1="",0,N(ISNUMBER(SEARCH($X$1,Database!$AC514&amp;""))))+IF($Y$1="",0,N(ISNUMBER(SEARCH($Y$1,Database!$AC514&amp;""))))+IF(Screener!$B$17="",0,N(ISNUMBER(SEARCH(LOWER(Screener!$B$17),Database!$AC514&amp;""))))</f>
        <v/>
      </c>
      <c r="I514" s="220">
        <f>IF(OR(N(Database!$BH514)&lt;=0,N(Screener!$D$13)&lt;=0),0,MAX(0,1-ABS(LOG10(N(Database!$BH514)/Screener!$D$13))/W_PEHW))</f>
        <v/>
      </c>
      <c r="J514" s="220">
        <f>IF(OR(N(Database!$S514)&lt;=0,N(Screener!$D$14)&lt;=0),0,MAX(0,1-ABS(LOG10(Database!$S514/Screener!$D$14))/0.6))</f>
        <v/>
      </c>
      <c r="K514" s="220">
        <f>IF(Database!$B514=Screener!$B$5,-999999,IF(ISNUMBER(SEARCH(","&amp;Database!$A514&amp;",",","&amp;SUBSTITUTE(Screener!$D$17," ","")&amp;",")),2000000,IF(IF(OR(Screener!$B$18="All",AND(Screener!$B$18="With A-share",(Database!$BM514="Y")),AND(Screener!$B$18="Without A-share",NOT((Database!$BM514="Y")))),1,0)=0,-999999,IF(Screener!$B$16="cornerstone overlap first",H514*100000,IF(Screener!$B$16="demand-similar first",J514*100000,0))+W_SUB*B514+W_SEC*C514*(1-B514)+W_SIZE*D514+W_PROF*E514+W_AH*F514+W_REC*G514+W_CS*H514+W_PE*I514)))+ROW()/1000000</f>
        <v/>
      </c>
      <c r="AA514" s="220">
        <f>Database!B503</f>
        <v/>
      </c>
      <c r="AB514" s="220">
        <f>Database!D503</f>
        <v/>
      </c>
      <c r="AC514" s="220">
        <f>Database!E503</f>
        <v/>
      </c>
      <c r="AD514" s="220">
        <f>Database!I503</f>
        <v/>
      </c>
      <c r="AE514" s="220">
        <f>Database!BG503</f>
        <v/>
      </c>
      <c r="AF514" s="220">
        <f>Database!BM503</f>
        <v/>
      </c>
      <c r="AG514" s="220">
        <f>Database!H503</f>
        <v/>
      </c>
      <c r="AH514" s="220">
        <f>Database!BH503</f>
        <v/>
      </c>
    </row>
    <row r="515">
      <c r="A515" s="220">
        <f>Database!B515</f>
        <v/>
      </c>
      <c r="B515" s="220">
        <f>IF(AND(Screener!$D$8&lt;&gt;"",Database!$E515=Screener!$D$8),1,0)</f>
        <v/>
      </c>
      <c r="C515" s="220">
        <f>IF(AND(Screener!$D$7&lt;&gt;"",Database!$D515=Screener!$D$7),1,0)</f>
        <v/>
      </c>
      <c r="D515" s="220">
        <f>IF(OR(N(Database!$I515)&lt;=0,N(Screener!$D$9)&lt;=0),0,MAX(0,1-ABS(LOG10(N(Database!$I515)/Screener!$D$9))/W_SIZEHW))</f>
        <v/>
      </c>
      <c r="E515" s="220">
        <f>IF(OR(Database!$BG515="",Screener!$D$10=""),0,IF(Database!$BG515=Screener!$D$10,1,0))</f>
        <v/>
      </c>
      <c r="F515" s="220">
        <f>IF(OR(Database!$BM515="",Screener!$D$11=""),0,IF(Database!$BM515=Screener!$D$11,1,0))</f>
        <v/>
      </c>
      <c r="G515" s="220">
        <f>IF(OR(Database!$H515="",N(Screener!$D$12)&lt;=0),0,MAX(0,1-(N(Screener!$D$12)-Database!$H515)/W_RECD))</f>
        <v/>
      </c>
      <c r="H515" s="220">
        <f>IF($U$1="",0,N(ISNUMBER(SEARCH($U$1,Database!$AC515&amp;""))))+IF($V$1="",0,N(ISNUMBER(SEARCH($V$1,Database!$AC515&amp;""))))+IF($W$1="",0,N(ISNUMBER(SEARCH($W$1,Database!$AC515&amp;""))))+IF($X$1="",0,N(ISNUMBER(SEARCH($X$1,Database!$AC515&amp;""))))+IF($Y$1="",0,N(ISNUMBER(SEARCH($Y$1,Database!$AC515&amp;""))))+IF(Screener!$B$17="",0,N(ISNUMBER(SEARCH(LOWER(Screener!$B$17),Database!$AC515&amp;""))))</f>
        <v/>
      </c>
      <c r="I515" s="220">
        <f>IF(OR(N(Database!$BH515)&lt;=0,N(Screener!$D$13)&lt;=0),0,MAX(0,1-ABS(LOG10(N(Database!$BH515)/Screener!$D$13))/W_PEHW))</f>
        <v/>
      </c>
      <c r="J515" s="220">
        <f>IF(OR(N(Database!$S515)&lt;=0,N(Screener!$D$14)&lt;=0),0,MAX(0,1-ABS(LOG10(Database!$S515/Screener!$D$14))/0.6))</f>
        <v/>
      </c>
      <c r="K515" s="220">
        <f>IF(Database!$B515=Screener!$B$5,-999999,IF(ISNUMBER(SEARCH(","&amp;Database!$A515&amp;",",","&amp;SUBSTITUTE(Screener!$D$17," ","")&amp;",")),2000000,IF(IF(OR(Screener!$B$18="All",AND(Screener!$B$18="With A-share",(Database!$BM515="Y")),AND(Screener!$B$18="Without A-share",NOT((Database!$BM515="Y")))),1,0)=0,-999999,IF(Screener!$B$16="cornerstone overlap first",H515*100000,IF(Screener!$B$16="demand-similar first",J515*100000,0))+W_SUB*B515+W_SEC*C515*(1-B515)+W_SIZE*D515+W_PROF*E515+W_AH*F515+W_REC*G515+W_CS*H515+W_PE*I515)))+ROW()/1000000</f>
        <v/>
      </c>
      <c r="AA515" s="220">
        <f>Database!B504</f>
        <v/>
      </c>
      <c r="AB515" s="220">
        <f>Database!D504</f>
        <v/>
      </c>
      <c r="AC515" s="220">
        <f>Database!E504</f>
        <v/>
      </c>
      <c r="AD515" s="220">
        <f>Database!I504</f>
        <v/>
      </c>
      <c r="AE515" s="220">
        <f>Database!BG504</f>
        <v/>
      </c>
      <c r="AF515" s="220">
        <f>Database!BM504</f>
        <v/>
      </c>
      <c r="AG515" s="220">
        <f>Database!H504</f>
        <v/>
      </c>
      <c r="AH515" s="220">
        <f>Database!BH504</f>
        <v/>
      </c>
    </row>
    <row r="516">
      <c r="A516" s="220">
        <f>Database!B516</f>
        <v/>
      </c>
      <c r="B516" s="220">
        <f>IF(AND(Screener!$D$8&lt;&gt;"",Database!$E516=Screener!$D$8),1,0)</f>
        <v/>
      </c>
      <c r="C516" s="220">
        <f>IF(AND(Screener!$D$7&lt;&gt;"",Database!$D516=Screener!$D$7),1,0)</f>
        <v/>
      </c>
      <c r="D516" s="220">
        <f>IF(OR(N(Database!$I516)&lt;=0,N(Screener!$D$9)&lt;=0),0,MAX(0,1-ABS(LOG10(N(Database!$I516)/Screener!$D$9))/W_SIZEHW))</f>
        <v/>
      </c>
      <c r="E516" s="220">
        <f>IF(OR(Database!$BG516="",Screener!$D$10=""),0,IF(Database!$BG516=Screener!$D$10,1,0))</f>
        <v/>
      </c>
      <c r="F516" s="220">
        <f>IF(OR(Database!$BM516="",Screener!$D$11=""),0,IF(Database!$BM516=Screener!$D$11,1,0))</f>
        <v/>
      </c>
      <c r="G516" s="220">
        <f>IF(OR(Database!$H516="",N(Screener!$D$12)&lt;=0),0,MAX(0,1-(N(Screener!$D$12)-Database!$H516)/W_RECD))</f>
        <v/>
      </c>
      <c r="H516" s="220">
        <f>IF($U$1="",0,N(ISNUMBER(SEARCH($U$1,Database!$AC516&amp;""))))+IF($V$1="",0,N(ISNUMBER(SEARCH($V$1,Database!$AC516&amp;""))))+IF($W$1="",0,N(ISNUMBER(SEARCH($W$1,Database!$AC516&amp;""))))+IF($X$1="",0,N(ISNUMBER(SEARCH($X$1,Database!$AC516&amp;""))))+IF($Y$1="",0,N(ISNUMBER(SEARCH($Y$1,Database!$AC516&amp;""))))+IF(Screener!$B$17="",0,N(ISNUMBER(SEARCH(LOWER(Screener!$B$17),Database!$AC516&amp;""))))</f>
        <v/>
      </c>
      <c r="I516" s="220">
        <f>IF(OR(N(Database!$BH516)&lt;=0,N(Screener!$D$13)&lt;=0),0,MAX(0,1-ABS(LOG10(N(Database!$BH516)/Screener!$D$13))/W_PEHW))</f>
        <v/>
      </c>
      <c r="J516" s="220">
        <f>IF(OR(N(Database!$S516)&lt;=0,N(Screener!$D$14)&lt;=0),0,MAX(0,1-ABS(LOG10(Database!$S516/Screener!$D$14))/0.6))</f>
        <v/>
      </c>
      <c r="K516" s="220">
        <f>IF(Database!$B516=Screener!$B$5,-999999,IF(ISNUMBER(SEARCH(","&amp;Database!$A516&amp;",",","&amp;SUBSTITUTE(Screener!$D$17," ","")&amp;",")),2000000,IF(IF(OR(Screener!$B$18="All",AND(Screener!$B$18="With A-share",(Database!$BM516="Y")),AND(Screener!$B$18="Without A-share",NOT((Database!$BM516="Y")))),1,0)=0,-999999,IF(Screener!$B$16="cornerstone overlap first",H516*100000,IF(Screener!$B$16="demand-similar first",J516*100000,0))+W_SUB*B516+W_SEC*C516*(1-B516)+W_SIZE*D516+W_PROF*E516+W_AH*F516+W_REC*G516+W_CS*H516+W_PE*I516)))+ROW()/1000000</f>
        <v/>
      </c>
      <c r="AA516" s="220">
        <f>Database!B505</f>
        <v/>
      </c>
      <c r="AB516" s="220">
        <f>Database!D505</f>
        <v/>
      </c>
      <c r="AC516" s="220">
        <f>Database!E505</f>
        <v/>
      </c>
      <c r="AD516" s="220">
        <f>Database!I505</f>
        <v/>
      </c>
      <c r="AE516" s="220">
        <f>Database!BG505</f>
        <v/>
      </c>
      <c r="AF516" s="220">
        <f>Database!BM505</f>
        <v/>
      </c>
      <c r="AG516" s="220">
        <f>Database!H505</f>
        <v/>
      </c>
      <c r="AH516" s="220">
        <f>Database!BH505</f>
        <v/>
      </c>
    </row>
    <row r="517">
      <c r="A517" s="220">
        <f>Database!B517</f>
        <v/>
      </c>
      <c r="B517" s="220">
        <f>IF(AND(Screener!$D$8&lt;&gt;"",Database!$E517=Screener!$D$8),1,0)</f>
        <v/>
      </c>
      <c r="C517" s="220">
        <f>IF(AND(Screener!$D$7&lt;&gt;"",Database!$D517=Screener!$D$7),1,0)</f>
        <v/>
      </c>
      <c r="D517" s="220">
        <f>IF(OR(N(Database!$I517)&lt;=0,N(Screener!$D$9)&lt;=0),0,MAX(0,1-ABS(LOG10(N(Database!$I517)/Screener!$D$9))/W_SIZEHW))</f>
        <v/>
      </c>
      <c r="E517" s="220">
        <f>IF(OR(Database!$BG517="",Screener!$D$10=""),0,IF(Database!$BG517=Screener!$D$10,1,0))</f>
        <v/>
      </c>
      <c r="F517" s="220">
        <f>IF(OR(Database!$BM517="",Screener!$D$11=""),0,IF(Database!$BM517=Screener!$D$11,1,0))</f>
        <v/>
      </c>
      <c r="G517" s="220">
        <f>IF(OR(Database!$H517="",N(Screener!$D$12)&lt;=0),0,MAX(0,1-(N(Screener!$D$12)-Database!$H517)/W_RECD))</f>
        <v/>
      </c>
      <c r="H517" s="220">
        <f>IF($U$1="",0,N(ISNUMBER(SEARCH($U$1,Database!$AC517&amp;""))))+IF($V$1="",0,N(ISNUMBER(SEARCH($V$1,Database!$AC517&amp;""))))+IF($W$1="",0,N(ISNUMBER(SEARCH($W$1,Database!$AC517&amp;""))))+IF($X$1="",0,N(ISNUMBER(SEARCH($X$1,Database!$AC517&amp;""))))+IF($Y$1="",0,N(ISNUMBER(SEARCH($Y$1,Database!$AC517&amp;""))))+IF(Screener!$B$17="",0,N(ISNUMBER(SEARCH(LOWER(Screener!$B$17),Database!$AC517&amp;""))))</f>
        <v/>
      </c>
      <c r="I517" s="220">
        <f>IF(OR(N(Database!$BH517)&lt;=0,N(Screener!$D$13)&lt;=0),0,MAX(0,1-ABS(LOG10(N(Database!$BH517)/Screener!$D$13))/W_PEHW))</f>
        <v/>
      </c>
      <c r="J517" s="220">
        <f>IF(OR(N(Database!$S517)&lt;=0,N(Screener!$D$14)&lt;=0),0,MAX(0,1-ABS(LOG10(Database!$S517/Screener!$D$14))/0.6))</f>
        <v/>
      </c>
      <c r="K517" s="220">
        <f>IF(Database!$B517=Screener!$B$5,-999999,IF(ISNUMBER(SEARCH(","&amp;Database!$A517&amp;",",","&amp;SUBSTITUTE(Screener!$D$17," ","")&amp;",")),2000000,IF(IF(OR(Screener!$B$18="All",AND(Screener!$B$18="With A-share",(Database!$BM517="Y")),AND(Screener!$B$18="Without A-share",NOT((Database!$BM517="Y")))),1,0)=0,-999999,IF(Screener!$B$16="cornerstone overlap first",H517*100000,IF(Screener!$B$16="demand-similar first",J517*100000,0))+W_SUB*B517+W_SEC*C517*(1-B517)+W_SIZE*D517+W_PROF*E517+W_AH*F517+W_REC*G517+W_CS*H517+W_PE*I517)))+ROW()/1000000</f>
        <v/>
      </c>
      <c r="AA517" s="220">
        <f>Database!B506</f>
        <v/>
      </c>
      <c r="AB517" s="220">
        <f>Database!D506</f>
        <v/>
      </c>
      <c r="AC517" s="220">
        <f>Database!E506</f>
        <v/>
      </c>
      <c r="AD517" s="220">
        <f>Database!I506</f>
        <v/>
      </c>
      <c r="AE517" s="220">
        <f>Database!BG506</f>
        <v/>
      </c>
      <c r="AF517" s="220">
        <f>Database!BM506</f>
        <v/>
      </c>
      <c r="AG517" s="220">
        <f>Database!H506</f>
        <v/>
      </c>
      <c r="AH517" s="220">
        <f>Database!BH506</f>
        <v/>
      </c>
    </row>
    <row r="518">
      <c r="A518" s="220">
        <f>Database!B518</f>
        <v/>
      </c>
      <c r="B518" s="220">
        <f>IF(AND(Screener!$D$8&lt;&gt;"",Database!$E518=Screener!$D$8),1,0)</f>
        <v/>
      </c>
      <c r="C518" s="220">
        <f>IF(AND(Screener!$D$7&lt;&gt;"",Database!$D518=Screener!$D$7),1,0)</f>
        <v/>
      </c>
      <c r="D518" s="220">
        <f>IF(OR(N(Database!$I518)&lt;=0,N(Screener!$D$9)&lt;=0),0,MAX(0,1-ABS(LOG10(N(Database!$I518)/Screener!$D$9))/W_SIZEHW))</f>
        <v/>
      </c>
      <c r="E518" s="220">
        <f>IF(OR(Database!$BG518="",Screener!$D$10=""),0,IF(Database!$BG518=Screener!$D$10,1,0))</f>
        <v/>
      </c>
      <c r="F518" s="220">
        <f>IF(OR(Database!$BM518="",Screener!$D$11=""),0,IF(Database!$BM518=Screener!$D$11,1,0))</f>
        <v/>
      </c>
      <c r="G518" s="220">
        <f>IF(OR(Database!$H518="",N(Screener!$D$12)&lt;=0),0,MAX(0,1-(N(Screener!$D$12)-Database!$H518)/W_RECD))</f>
        <v/>
      </c>
      <c r="H518" s="220">
        <f>IF($U$1="",0,N(ISNUMBER(SEARCH($U$1,Database!$AC518&amp;""))))+IF($V$1="",0,N(ISNUMBER(SEARCH($V$1,Database!$AC518&amp;""))))+IF($W$1="",0,N(ISNUMBER(SEARCH($W$1,Database!$AC518&amp;""))))+IF($X$1="",0,N(ISNUMBER(SEARCH($X$1,Database!$AC518&amp;""))))+IF($Y$1="",0,N(ISNUMBER(SEARCH($Y$1,Database!$AC518&amp;""))))+IF(Screener!$B$17="",0,N(ISNUMBER(SEARCH(LOWER(Screener!$B$17),Database!$AC518&amp;""))))</f>
        <v/>
      </c>
      <c r="I518" s="220">
        <f>IF(OR(N(Database!$BH518)&lt;=0,N(Screener!$D$13)&lt;=0),0,MAX(0,1-ABS(LOG10(N(Database!$BH518)/Screener!$D$13))/W_PEHW))</f>
        <v/>
      </c>
      <c r="J518" s="220">
        <f>IF(OR(N(Database!$S518)&lt;=0,N(Screener!$D$14)&lt;=0),0,MAX(0,1-ABS(LOG10(Database!$S518/Screener!$D$14))/0.6))</f>
        <v/>
      </c>
      <c r="K518" s="220">
        <f>IF(Database!$B518=Screener!$B$5,-999999,IF(ISNUMBER(SEARCH(","&amp;Database!$A518&amp;",",","&amp;SUBSTITUTE(Screener!$D$17," ","")&amp;",")),2000000,IF(IF(OR(Screener!$B$18="All",AND(Screener!$B$18="With A-share",(Database!$BM518="Y")),AND(Screener!$B$18="Without A-share",NOT((Database!$BM518="Y")))),1,0)=0,-999999,IF(Screener!$B$16="cornerstone overlap first",H518*100000,IF(Screener!$B$16="demand-similar first",J518*100000,0))+W_SUB*B518+W_SEC*C518*(1-B518)+W_SIZE*D518+W_PROF*E518+W_AH*F518+W_REC*G518+W_CS*H518+W_PE*I518)))+ROW()/1000000</f>
        <v/>
      </c>
      <c r="AA518" s="220">
        <f>Database!B507</f>
        <v/>
      </c>
      <c r="AB518" s="220">
        <f>Database!D507</f>
        <v/>
      </c>
      <c r="AC518" s="220">
        <f>Database!E507</f>
        <v/>
      </c>
      <c r="AD518" s="220">
        <f>Database!I507</f>
        <v/>
      </c>
      <c r="AE518" s="220">
        <f>Database!BG507</f>
        <v/>
      </c>
      <c r="AF518" s="220">
        <f>Database!BM507</f>
        <v/>
      </c>
      <c r="AG518" s="220">
        <f>Database!H507</f>
        <v/>
      </c>
      <c r="AH518" s="220">
        <f>Database!BH507</f>
        <v/>
      </c>
    </row>
    <row r="519">
      <c r="A519" s="220">
        <f>Database!B519</f>
        <v/>
      </c>
      <c r="B519" s="220">
        <f>IF(AND(Screener!$D$8&lt;&gt;"",Database!$E519=Screener!$D$8),1,0)</f>
        <v/>
      </c>
      <c r="C519" s="220">
        <f>IF(AND(Screener!$D$7&lt;&gt;"",Database!$D519=Screener!$D$7),1,0)</f>
        <v/>
      </c>
      <c r="D519" s="220">
        <f>IF(OR(N(Database!$I519)&lt;=0,N(Screener!$D$9)&lt;=0),0,MAX(0,1-ABS(LOG10(N(Database!$I519)/Screener!$D$9))/W_SIZEHW))</f>
        <v/>
      </c>
      <c r="E519" s="220">
        <f>IF(OR(Database!$BG519="",Screener!$D$10=""),0,IF(Database!$BG519=Screener!$D$10,1,0))</f>
        <v/>
      </c>
      <c r="F519" s="220">
        <f>IF(OR(Database!$BM519="",Screener!$D$11=""),0,IF(Database!$BM519=Screener!$D$11,1,0))</f>
        <v/>
      </c>
      <c r="G519" s="220">
        <f>IF(OR(Database!$H519="",N(Screener!$D$12)&lt;=0),0,MAX(0,1-(N(Screener!$D$12)-Database!$H519)/W_RECD))</f>
        <v/>
      </c>
      <c r="H519" s="220">
        <f>IF($U$1="",0,N(ISNUMBER(SEARCH($U$1,Database!$AC519&amp;""))))+IF($V$1="",0,N(ISNUMBER(SEARCH($V$1,Database!$AC519&amp;""))))+IF($W$1="",0,N(ISNUMBER(SEARCH($W$1,Database!$AC519&amp;""))))+IF($X$1="",0,N(ISNUMBER(SEARCH($X$1,Database!$AC519&amp;""))))+IF($Y$1="",0,N(ISNUMBER(SEARCH($Y$1,Database!$AC519&amp;""))))+IF(Screener!$B$17="",0,N(ISNUMBER(SEARCH(LOWER(Screener!$B$17),Database!$AC519&amp;""))))</f>
        <v/>
      </c>
      <c r="I519" s="220">
        <f>IF(OR(N(Database!$BH519)&lt;=0,N(Screener!$D$13)&lt;=0),0,MAX(0,1-ABS(LOG10(N(Database!$BH519)/Screener!$D$13))/W_PEHW))</f>
        <v/>
      </c>
      <c r="J519" s="220">
        <f>IF(OR(N(Database!$S519)&lt;=0,N(Screener!$D$14)&lt;=0),0,MAX(0,1-ABS(LOG10(Database!$S519/Screener!$D$14))/0.6))</f>
        <v/>
      </c>
      <c r="K519" s="220">
        <f>IF(Database!$B519=Screener!$B$5,-999999,IF(ISNUMBER(SEARCH(","&amp;Database!$A519&amp;",",","&amp;SUBSTITUTE(Screener!$D$17," ","")&amp;",")),2000000,IF(IF(OR(Screener!$B$18="All",AND(Screener!$B$18="With A-share",(Database!$BM519="Y")),AND(Screener!$B$18="Without A-share",NOT((Database!$BM519="Y")))),1,0)=0,-999999,IF(Screener!$B$16="cornerstone overlap first",H519*100000,IF(Screener!$B$16="demand-similar first",J519*100000,0))+W_SUB*B519+W_SEC*C519*(1-B519)+W_SIZE*D519+W_PROF*E519+W_AH*F519+W_REC*G519+W_CS*H519+W_PE*I519)))+ROW()/1000000</f>
        <v/>
      </c>
      <c r="AA519" s="220">
        <f>Database!B508</f>
        <v/>
      </c>
      <c r="AB519" s="220">
        <f>Database!D508</f>
        <v/>
      </c>
      <c r="AC519" s="220">
        <f>Database!E508</f>
        <v/>
      </c>
      <c r="AD519" s="220">
        <f>Database!I508</f>
        <v/>
      </c>
      <c r="AE519" s="220">
        <f>Database!BG508</f>
        <v/>
      </c>
      <c r="AF519" s="220">
        <f>Database!BM508</f>
        <v/>
      </c>
      <c r="AG519" s="220">
        <f>Database!H508</f>
        <v/>
      </c>
      <c r="AH519" s="220">
        <f>Database!BH508</f>
        <v/>
      </c>
    </row>
    <row r="520">
      <c r="A520" s="220">
        <f>Database!B520</f>
        <v/>
      </c>
      <c r="B520" s="220">
        <f>IF(AND(Screener!$D$8&lt;&gt;"",Database!$E520=Screener!$D$8),1,0)</f>
        <v/>
      </c>
      <c r="C520" s="220">
        <f>IF(AND(Screener!$D$7&lt;&gt;"",Database!$D520=Screener!$D$7),1,0)</f>
        <v/>
      </c>
      <c r="D520" s="220">
        <f>IF(OR(N(Database!$I520)&lt;=0,N(Screener!$D$9)&lt;=0),0,MAX(0,1-ABS(LOG10(N(Database!$I520)/Screener!$D$9))/W_SIZEHW))</f>
        <v/>
      </c>
      <c r="E520" s="220">
        <f>IF(OR(Database!$BG520="",Screener!$D$10=""),0,IF(Database!$BG520=Screener!$D$10,1,0))</f>
        <v/>
      </c>
      <c r="F520" s="220">
        <f>IF(OR(Database!$BM520="",Screener!$D$11=""),0,IF(Database!$BM520=Screener!$D$11,1,0))</f>
        <v/>
      </c>
      <c r="G520" s="220">
        <f>IF(OR(Database!$H520="",N(Screener!$D$12)&lt;=0),0,MAX(0,1-(N(Screener!$D$12)-Database!$H520)/W_RECD))</f>
        <v/>
      </c>
      <c r="H520" s="220">
        <f>IF($U$1="",0,N(ISNUMBER(SEARCH($U$1,Database!$AC520&amp;""))))+IF($V$1="",0,N(ISNUMBER(SEARCH($V$1,Database!$AC520&amp;""))))+IF($W$1="",0,N(ISNUMBER(SEARCH($W$1,Database!$AC520&amp;""))))+IF($X$1="",0,N(ISNUMBER(SEARCH($X$1,Database!$AC520&amp;""))))+IF($Y$1="",0,N(ISNUMBER(SEARCH($Y$1,Database!$AC520&amp;""))))+IF(Screener!$B$17="",0,N(ISNUMBER(SEARCH(LOWER(Screener!$B$17),Database!$AC520&amp;""))))</f>
        <v/>
      </c>
      <c r="I520" s="220">
        <f>IF(OR(N(Database!$BH520)&lt;=0,N(Screener!$D$13)&lt;=0),0,MAX(0,1-ABS(LOG10(N(Database!$BH520)/Screener!$D$13))/W_PEHW))</f>
        <v/>
      </c>
      <c r="J520" s="220">
        <f>IF(OR(N(Database!$S520)&lt;=0,N(Screener!$D$14)&lt;=0),0,MAX(0,1-ABS(LOG10(Database!$S520/Screener!$D$14))/0.6))</f>
        <v/>
      </c>
      <c r="K520" s="220">
        <f>IF(Database!$B520=Screener!$B$5,-999999,IF(ISNUMBER(SEARCH(","&amp;Database!$A520&amp;",",","&amp;SUBSTITUTE(Screener!$D$17," ","")&amp;",")),2000000,IF(IF(OR(Screener!$B$18="All",AND(Screener!$B$18="With A-share",(Database!$BM520="Y")),AND(Screener!$B$18="Without A-share",NOT((Database!$BM520="Y")))),1,0)=0,-999999,IF(Screener!$B$16="cornerstone overlap first",H520*100000,IF(Screener!$B$16="demand-similar first",J520*100000,0))+W_SUB*B520+W_SEC*C520*(1-B520)+W_SIZE*D520+W_PROF*E520+W_AH*F520+W_REC*G520+W_CS*H520+W_PE*I520)))+ROW()/1000000</f>
        <v/>
      </c>
      <c r="AA520" s="220">
        <f>Database!B509</f>
        <v/>
      </c>
      <c r="AB520" s="220">
        <f>Database!D509</f>
        <v/>
      </c>
      <c r="AC520" s="220">
        <f>Database!E509</f>
        <v/>
      </c>
      <c r="AD520" s="220">
        <f>Database!I509</f>
        <v/>
      </c>
      <c r="AE520" s="220">
        <f>Database!BG509</f>
        <v/>
      </c>
      <c r="AF520" s="220">
        <f>Database!BM509</f>
        <v/>
      </c>
      <c r="AG520" s="220">
        <f>Database!H509</f>
        <v/>
      </c>
      <c r="AH520" s="220">
        <f>Database!BH509</f>
        <v/>
      </c>
    </row>
    <row r="521">
      <c r="A521" s="220">
        <f>Database!B521</f>
        <v/>
      </c>
      <c r="B521" s="220">
        <f>IF(AND(Screener!$D$8&lt;&gt;"",Database!$E521=Screener!$D$8),1,0)</f>
        <v/>
      </c>
      <c r="C521" s="220">
        <f>IF(AND(Screener!$D$7&lt;&gt;"",Database!$D521=Screener!$D$7),1,0)</f>
        <v/>
      </c>
      <c r="D521" s="220">
        <f>IF(OR(N(Database!$I521)&lt;=0,N(Screener!$D$9)&lt;=0),0,MAX(0,1-ABS(LOG10(N(Database!$I521)/Screener!$D$9))/W_SIZEHW))</f>
        <v/>
      </c>
      <c r="E521" s="220">
        <f>IF(OR(Database!$BG521="",Screener!$D$10=""),0,IF(Database!$BG521=Screener!$D$10,1,0))</f>
        <v/>
      </c>
      <c r="F521" s="220">
        <f>IF(OR(Database!$BM521="",Screener!$D$11=""),0,IF(Database!$BM521=Screener!$D$11,1,0))</f>
        <v/>
      </c>
      <c r="G521" s="220">
        <f>IF(OR(Database!$H521="",N(Screener!$D$12)&lt;=0),0,MAX(0,1-(N(Screener!$D$12)-Database!$H521)/W_RECD))</f>
        <v/>
      </c>
      <c r="H521" s="220">
        <f>IF($U$1="",0,N(ISNUMBER(SEARCH($U$1,Database!$AC521&amp;""))))+IF($V$1="",0,N(ISNUMBER(SEARCH($V$1,Database!$AC521&amp;""))))+IF($W$1="",0,N(ISNUMBER(SEARCH($W$1,Database!$AC521&amp;""))))+IF($X$1="",0,N(ISNUMBER(SEARCH($X$1,Database!$AC521&amp;""))))+IF($Y$1="",0,N(ISNUMBER(SEARCH($Y$1,Database!$AC521&amp;""))))+IF(Screener!$B$17="",0,N(ISNUMBER(SEARCH(LOWER(Screener!$B$17),Database!$AC521&amp;""))))</f>
        <v/>
      </c>
      <c r="I521" s="220">
        <f>IF(OR(N(Database!$BH521)&lt;=0,N(Screener!$D$13)&lt;=0),0,MAX(0,1-ABS(LOG10(N(Database!$BH521)/Screener!$D$13))/W_PEHW))</f>
        <v/>
      </c>
      <c r="J521" s="220">
        <f>IF(OR(N(Database!$S521)&lt;=0,N(Screener!$D$14)&lt;=0),0,MAX(0,1-ABS(LOG10(Database!$S521/Screener!$D$14))/0.6))</f>
        <v/>
      </c>
      <c r="K521" s="220">
        <f>IF(Database!$B521=Screener!$B$5,-999999,IF(ISNUMBER(SEARCH(","&amp;Database!$A521&amp;",",","&amp;SUBSTITUTE(Screener!$D$17," ","")&amp;",")),2000000,IF(IF(OR(Screener!$B$18="All",AND(Screener!$B$18="With A-share",(Database!$BM521="Y")),AND(Screener!$B$18="Without A-share",NOT((Database!$BM521="Y")))),1,0)=0,-999999,IF(Screener!$B$16="cornerstone overlap first",H521*100000,IF(Screener!$B$16="demand-similar first",J521*100000,0))+W_SUB*B521+W_SEC*C521*(1-B521)+W_SIZE*D521+W_PROF*E521+W_AH*F521+W_REC*G521+W_CS*H521+W_PE*I521)))+ROW()/1000000</f>
        <v/>
      </c>
      <c r="AA521" s="220">
        <f>Database!B510</f>
        <v/>
      </c>
      <c r="AB521" s="220">
        <f>Database!D510</f>
        <v/>
      </c>
      <c r="AC521" s="220">
        <f>Database!E510</f>
        <v/>
      </c>
      <c r="AD521" s="220">
        <f>Database!I510</f>
        <v/>
      </c>
      <c r="AE521" s="220">
        <f>Database!BG510</f>
        <v/>
      </c>
      <c r="AF521" s="220">
        <f>Database!BM510</f>
        <v/>
      </c>
      <c r="AG521" s="220">
        <f>Database!H510</f>
        <v/>
      </c>
      <c r="AH521" s="220">
        <f>Database!BH510</f>
        <v/>
      </c>
    </row>
    <row r="522">
      <c r="A522" s="220">
        <f>Database!B522</f>
        <v/>
      </c>
      <c r="B522" s="220">
        <f>IF(AND(Screener!$D$8&lt;&gt;"",Database!$E522=Screener!$D$8),1,0)</f>
        <v/>
      </c>
      <c r="C522" s="220">
        <f>IF(AND(Screener!$D$7&lt;&gt;"",Database!$D522=Screener!$D$7),1,0)</f>
        <v/>
      </c>
      <c r="D522" s="220">
        <f>IF(OR(N(Database!$I522)&lt;=0,N(Screener!$D$9)&lt;=0),0,MAX(0,1-ABS(LOG10(N(Database!$I522)/Screener!$D$9))/W_SIZEHW))</f>
        <v/>
      </c>
      <c r="E522" s="220">
        <f>IF(OR(Database!$BG522="",Screener!$D$10=""),0,IF(Database!$BG522=Screener!$D$10,1,0))</f>
        <v/>
      </c>
      <c r="F522" s="220">
        <f>IF(OR(Database!$BM522="",Screener!$D$11=""),0,IF(Database!$BM522=Screener!$D$11,1,0))</f>
        <v/>
      </c>
      <c r="G522" s="220">
        <f>IF(OR(Database!$H522="",N(Screener!$D$12)&lt;=0),0,MAX(0,1-(N(Screener!$D$12)-Database!$H522)/W_RECD))</f>
        <v/>
      </c>
      <c r="H522" s="220">
        <f>IF($U$1="",0,N(ISNUMBER(SEARCH($U$1,Database!$AC522&amp;""))))+IF($V$1="",0,N(ISNUMBER(SEARCH($V$1,Database!$AC522&amp;""))))+IF($W$1="",0,N(ISNUMBER(SEARCH($W$1,Database!$AC522&amp;""))))+IF($X$1="",0,N(ISNUMBER(SEARCH($X$1,Database!$AC522&amp;""))))+IF($Y$1="",0,N(ISNUMBER(SEARCH($Y$1,Database!$AC522&amp;""))))+IF(Screener!$B$17="",0,N(ISNUMBER(SEARCH(LOWER(Screener!$B$17),Database!$AC522&amp;""))))</f>
        <v/>
      </c>
      <c r="I522" s="220">
        <f>IF(OR(N(Database!$BH522)&lt;=0,N(Screener!$D$13)&lt;=0),0,MAX(0,1-ABS(LOG10(N(Database!$BH522)/Screener!$D$13))/W_PEHW))</f>
        <v/>
      </c>
      <c r="J522" s="220">
        <f>IF(OR(N(Database!$S522)&lt;=0,N(Screener!$D$14)&lt;=0),0,MAX(0,1-ABS(LOG10(Database!$S522/Screener!$D$14))/0.6))</f>
        <v/>
      </c>
      <c r="K522" s="220">
        <f>IF(Database!$B522=Screener!$B$5,-999999,IF(ISNUMBER(SEARCH(","&amp;Database!$A522&amp;",",","&amp;SUBSTITUTE(Screener!$D$17," ","")&amp;",")),2000000,IF(IF(OR(Screener!$B$18="All",AND(Screener!$B$18="With A-share",(Database!$BM522="Y")),AND(Screener!$B$18="Without A-share",NOT((Database!$BM522="Y")))),1,0)=0,-999999,IF(Screener!$B$16="cornerstone overlap first",H522*100000,IF(Screener!$B$16="demand-similar first",J522*100000,0))+W_SUB*B522+W_SEC*C522*(1-B522)+W_SIZE*D522+W_PROF*E522+W_AH*F522+W_REC*G522+W_CS*H522+W_PE*I522)))+ROW()/1000000</f>
        <v/>
      </c>
      <c r="AA522" s="220">
        <f>Database!B511</f>
        <v/>
      </c>
      <c r="AB522" s="220">
        <f>Database!D511</f>
        <v/>
      </c>
      <c r="AC522" s="220">
        <f>Database!E511</f>
        <v/>
      </c>
      <c r="AD522" s="220">
        <f>Database!I511</f>
        <v/>
      </c>
      <c r="AE522" s="220">
        <f>Database!BG511</f>
        <v/>
      </c>
      <c r="AF522" s="220">
        <f>Database!BM511</f>
        <v/>
      </c>
      <c r="AG522" s="220">
        <f>Database!H511</f>
        <v/>
      </c>
      <c r="AH522" s="220">
        <f>Database!BH511</f>
        <v/>
      </c>
    </row>
    <row r="523">
      <c r="A523" s="220">
        <f>Database!B523</f>
        <v/>
      </c>
      <c r="B523" s="220">
        <f>IF(AND(Screener!$D$8&lt;&gt;"",Database!$E523=Screener!$D$8),1,0)</f>
        <v/>
      </c>
      <c r="C523" s="220">
        <f>IF(AND(Screener!$D$7&lt;&gt;"",Database!$D523=Screener!$D$7),1,0)</f>
        <v/>
      </c>
      <c r="D523" s="220">
        <f>IF(OR(N(Database!$I523)&lt;=0,N(Screener!$D$9)&lt;=0),0,MAX(0,1-ABS(LOG10(N(Database!$I523)/Screener!$D$9))/W_SIZEHW))</f>
        <v/>
      </c>
      <c r="E523" s="220">
        <f>IF(OR(Database!$BG523="",Screener!$D$10=""),0,IF(Database!$BG523=Screener!$D$10,1,0))</f>
        <v/>
      </c>
      <c r="F523" s="220">
        <f>IF(OR(Database!$BM523="",Screener!$D$11=""),0,IF(Database!$BM523=Screener!$D$11,1,0))</f>
        <v/>
      </c>
      <c r="G523" s="220">
        <f>IF(OR(Database!$H523="",N(Screener!$D$12)&lt;=0),0,MAX(0,1-(N(Screener!$D$12)-Database!$H523)/W_RECD))</f>
        <v/>
      </c>
      <c r="H523" s="220">
        <f>IF($U$1="",0,N(ISNUMBER(SEARCH($U$1,Database!$AC523&amp;""))))+IF($V$1="",0,N(ISNUMBER(SEARCH($V$1,Database!$AC523&amp;""))))+IF($W$1="",0,N(ISNUMBER(SEARCH($W$1,Database!$AC523&amp;""))))+IF($X$1="",0,N(ISNUMBER(SEARCH($X$1,Database!$AC523&amp;""))))+IF($Y$1="",0,N(ISNUMBER(SEARCH($Y$1,Database!$AC523&amp;""))))+IF(Screener!$B$17="",0,N(ISNUMBER(SEARCH(LOWER(Screener!$B$17),Database!$AC523&amp;""))))</f>
        <v/>
      </c>
      <c r="I523" s="220">
        <f>IF(OR(N(Database!$BH523)&lt;=0,N(Screener!$D$13)&lt;=0),0,MAX(0,1-ABS(LOG10(N(Database!$BH523)/Screener!$D$13))/W_PEHW))</f>
        <v/>
      </c>
      <c r="J523" s="220">
        <f>IF(OR(N(Database!$S523)&lt;=0,N(Screener!$D$14)&lt;=0),0,MAX(0,1-ABS(LOG10(Database!$S523/Screener!$D$14))/0.6))</f>
        <v/>
      </c>
      <c r="K523" s="220">
        <f>IF(Database!$B523=Screener!$B$5,-999999,IF(ISNUMBER(SEARCH(","&amp;Database!$A523&amp;",",","&amp;SUBSTITUTE(Screener!$D$17," ","")&amp;",")),2000000,IF(IF(OR(Screener!$B$18="All",AND(Screener!$B$18="With A-share",(Database!$BM523="Y")),AND(Screener!$B$18="Without A-share",NOT((Database!$BM523="Y")))),1,0)=0,-999999,IF(Screener!$B$16="cornerstone overlap first",H523*100000,IF(Screener!$B$16="demand-similar first",J523*100000,0))+W_SUB*B523+W_SEC*C523*(1-B523)+W_SIZE*D523+W_PROF*E523+W_AH*F523+W_REC*G523+W_CS*H523+W_PE*I523)))+ROW()/1000000</f>
        <v/>
      </c>
      <c r="AA523" s="220">
        <f>Database!B512</f>
        <v/>
      </c>
      <c r="AB523" s="220">
        <f>Database!D512</f>
        <v/>
      </c>
      <c r="AC523" s="220">
        <f>Database!E512</f>
        <v/>
      </c>
      <c r="AD523" s="220">
        <f>Database!I512</f>
        <v/>
      </c>
      <c r="AE523" s="220">
        <f>Database!BG512</f>
        <v/>
      </c>
      <c r="AF523" s="220">
        <f>Database!BM512</f>
        <v/>
      </c>
      <c r="AG523" s="220">
        <f>Database!H512</f>
        <v/>
      </c>
      <c r="AH523" s="220">
        <f>Database!BH512</f>
        <v/>
      </c>
    </row>
    <row r="524">
      <c r="A524" s="220">
        <f>Database!B524</f>
        <v/>
      </c>
      <c r="B524" s="220">
        <f>IF(AND(Screener!$D$8&lt;&gt;"",Database!$E524=Screener!$D$8),1,0)</f>
        <v/>
      </c>
      <c r="C524" s="220">
        <f>IF(AND(Screener!$D$7&lt;&gt;"",Database!$D524=Screener!$D$7),1,0)</f>
        <v/>
      </c>
      <c r="D524" s="220">
        <f>IF(OR(N(Database!$I524)&lt;=0,N(Screener!$D$9)&lt;=0),0,MAX(0,1-ABS(LOG10(N(Database!$I524)/Screener!$D$9))/W_SIZEHW))</f>
        <v/>
      </c>
      <c r="E524" s="220">
        <f>IF(OR(Database!$BG524="",Screener!$D$10=""),0,IF(Database!$BG524=Screener!$D$10,1,0))</f>
        <v/>
      </c>
      <c r="F524" s="220">
        <f>IF(OR(Database!$BM524="",Screener!$D$11=""),0,IF(Database!$BM524=Screener!$D$11,1,0))</f>
        <v/>
      </c>
      <c r="G524" s="220">
        <f>IF(OR(Database!$H524="",N(Screener!$D$12)&lt;=0),0,MAX(0,1-(N(Screener!$D$12)-Database!$H524)/W_RECD))</f>
        <v/>
      </c>
      <c r="H524" s="220">
        <f>IF($U$1="",0,N(ISNUMBER(SEARCH($U$1,Database!$AC524&amp;""))))+IF($V$1="",0,N(ISNUMBER(SEARCH($V$1,Database!$AC524&amp;""))))+IF($W$1="",0,N(ISNUMBER(SEARCH($W$1,Database!$AC524&amp;""))))+IF($X$1="",0,N(ISNUMBER(SEARCH($X$1,Database!$AC524&amp;""))))+IF($Y$1="",0,N(ISNUMBER(SEARCH($Y$1,Database!$AC524&amp;""))))+IF(Screener!$B$17="",0,N(ISNUMBER(SEARCH(LOWER(Screener!$B$17),Database!$AC524&amp;""))))</f>
        <v/>
      </c>
      <c r="I524" s="220">
        <f>IF(OR(N(Database!$BH524)&lt;=0,N(Screener!$D$13)&lt;=0),0,MAX(0,1-ABS(LOG10(N(Database!$BH524)/Screener!$D$13))/W_PEHW))</f>
        <v/>
      </c>
      <c r="J524" s="220">
        <f>IF(OR(N(Database!$S524)&lt;=0,N(Screener!$D$14)&lt;=0),0,MAX(0,1-ABS(LOG10(Database!$S524/Screener!$D$14))/0.6))</f>
        <v/>
      </c>
      <c r="K524" s="220">
        <f>IF(Database!$B524=Screener!$B$5,-999999,IF(ISNUMBER(SEARCH(","&amp;Database!$A524&amp;",",","&amp;SUBSTITUTE(Screener!$D$17," ","")&amp;",")),2000000,IF(IF(OR(Screener!$B$18="All",AND(Screener!$B$18="With A-share",(Database!$BM524="Y")),AND(Screener!$B$18="Without A-share",NOT((Database!$BM524="Y")))),1,0)=0,-999999,IF(Screener!$B$16="cornerstone overlap first",H524*100000,IF(Screener!$B$16="demand-similar first",J524*100000,0))+W_SUB*B524+W_SEC*C524*(1-B524)+W_SIZE*D524+W_PROF*E524+W_AH*F524+W_REC*G524+W_CS*H524+W_PE*I524)))+ROW()/1000000</f>
        <v/>
      </c>
      <c r="AA524" s="220">
        <f>Database!B513</f>
        <v/>
      </c>
      <c r="AB524" s="220">
        <f>Database!D513</f>
        <v/>
      </c>
      <c r="AC524" s="220">
        <f>Database!E513</f>
        <v/>
      </c>
      <c r="AD524" s="220">
        <f>Database!I513</f>
        <v/>
      </c>
      <c r="AE524" s="220">
        <f>Database!BG513</f>
        <v/>
      </c>
      <c r="AF524" s="220">
        <f>Database!BM513</f>
        <v/>
      </c>
      <c r="AG524" s="220">
        <f>Database!H513</f>
        <v/>
      </c>
      <c r="AH524" s="220">
        <f>Database!BH513</f>
        <v/>
      </c>
    </row>
    <row r="525">
      <c r="A525" s="220">
        <f>Database!B525</f>
        <v/>
      </c>
      <c r="B525" s="220">
        <f>IF(AND(Screener!$D$8&lt;&gt;"",Database!$E525=Screener!$D$8),1,0)</f>
        <v/>
      </c>
      <c r="C525" s="220">
        <f>IF(AND(Screener!$D$7&lt;&gt;"",Database!$D525=Screener!$D$7),1,0)</f>
        <v/>
      </c>
      <c r="D525" s="220">
        <f>IF(OR(N(Database!$I525)&lt;=0,N(Screener!$D$9)&lt;=0),0,MAX(0,1-ABS(LOG10(N(Database!$I525)/Screener!$D$9))/W_SIZEHW))</f>
        <v/>
      </c>
      <c r="E525" s="220">
        <f>IF(OR(Database!$BG525="",Screener!$D$10=""),0,IF(Database!$BG525=Screener!$D$10,1,0))</f>
        <v/>
      </c>
      <c r="F525" s="220">
        <f>IF(OR(Database!$BM525="",Screener!$D$11=""),0,IF(Database!$BM525=Screener!$D$11,1,0))</f>
        <v/>
      </c>
      <c r="G525" s="220">
        <f>IF(OR(Database!$H525="",N(Screener!$D$12)&lt;=0),0,MAX(0,1-(N(Screener!$D$12)-Database!$H525)/W_RECD))</f>
        <v/>
      </c>
      <c r="H525" s="220">
        <f>IF($U$1="",0,N(ISNUMBER(SEARCH($U$1,Database!$AC525&amp;""))))+IF($V$1="",0,N(ISNUMBER(SEARCH($V$1,Database!$AC525&amp;""))))+IF($W$1="",0,N(ISNUMBER(SEARCH($W$1,Database!$AC525&amp;""))))+IF($X$1="",0,N(ISNUMBER(SEARCH($X$1,Database!$AC525&amp;""))))+IF($Y$1="",0,N(ISNUMBER(SEARCH($Y$1,Database!$AC525&amp;""))))+IF(Screener!$B$17="",0,N(ISNUMBER(SEARCH(LOWER(Screener!$B$17),Database!$AC525&amp;""))))</f>
        <v/>
      </c>
      <c r="I525" s="220">
        <f>IF(OR(N(Database!$BH525)&lt;=0,N(Screener!$D$13)&lt;=0),0,MAX(0,1-ABS(LOG10(N(Database!$BH525)/Screener!$D$13))/W_PEHW))</f>
        <v/>
      </c>
      <c r="J525" s="220">
        <f>IF(OR(N(Database!$S525)&lt;=0,N(Screener!$D$14)&lt;=0),0,MAX(0,1-ABS(LOG10(Database!$S525/Screener!$D$14))/0.6))</f>
        <v/>
      </c>
      <c r="K525" s="220">
        <f>IF(Database!$B525=Screener!$B$5,-999999,IF(ISNUMBER(SEARCH(","&amp;Database!$A525&amp;",",","&amp;SUBSTITUTE(Screener!$D$17," ","")&amp;",")),2000000,IF(IF(OR(Screener!$B$18="All",AND(Screener!$B$18="With A-share",(Database!$BM525="Y")),AND(Screener!$B$18="Without A-share",NOT((Database!$BM525="Y")))),1,0)=0,-999999,IF(Screener!$B$16="cornerstone overlap first",H525*100000,IF(Screener!$B$16="demand-similar first",J525*100000,0))+W_SUB*B525+W_SEC*C525*(1-B525)+W_SIZE*D525+W_PROF*E525+W_AH*F525+W_REC*G525+W_CS*H525+W_PE*I525)))+ROW()/1000000</f>
        <v/>
      </c>
      <c r="AA525" s="220">
        <f>Database!B514</f>
        <v/>
      </c>
      <c r="AB525" s="220">
        <f>Database!D514</f>
        <v/>
      </c>
      <c r="AC525" s="220">
        <f>Database!E514</f>
        <v/>
      </c>
      <c r="AD525" s="220">
        <f>Database!I514</f>
        <v/>
      </c>
      <c r="AE525" s="220">
        <f>Database!BG514</f>
        <v/>
      </c>
      <c r="AF525" s="220">
        <f>Database!BM514</f>
        <v/>
      </c>
      <c r="AG525" s="220">
        <f>Database!H514</f>
        <v/>
      </c>
      <c r="AH525" s="220">
        <f>Database!BH514</f>
        <v/>
      </c>
    </row>
    <row r="526">
      <c r="A526" s="220">
        <f>Database!B526</f>
        <v/>
      </c>
      <c r="B526" s="220">
        <f>IF(AND(Screener!$D$8&lt;&gt;"",Database!$E526=Screener!$D$8),1,0)</f>
        <v/>
      </c>
      <c r="C526" s="220">
        <f>IF(AND(Screener!$D$7&lt;&gt;"",Database!$D526=Screener!$D$7),1,0)</f>
        <v/>
      </c>
      <c r="D526" s="220">
        <f>IF(OR(N(Database!$I526)&lt;=0,N(Screener!$D$9)&lt;=0),0,MAX(0,1-ABS(LOG10(N(Database!$I526)/Screener!$D$9))/W_SIZEHW))</f>
        <v/>
      </c>
      <c r="E526" s="220">
        <f>IF(OR(Database!$BG526="",Screener!$D$10=""),0,IF(Database!$BG526=Screener!$D$10,1,0))</f>
        <v/>
      </c>
      <c r="F526" s="220">
        <f>IF(OR(Database!$BM526="",Screener!$D$11=""),0,IF(Database!$BM526=Screener!$D$11,1,0))</f>
        <v/>
      </c>
      <c r="G526" s="220">
        <f>IF(OR(Database!$H526="",N(Screener!$D$12)&lt;=0),0,MAX(0,1-(N(Screener!$D$12)-Database!$H526)/W_RECD))</f>
        <v/>
      </c>
      <c r="H526" s="220">
        <f>IF($U$1="",0,N(ISNUMBER(SEARCH($U$1,Database!$AC526&amp;""))))+IF($V$1="",0,N(ISNUMBER(SEARCH($V$1,Database!$AC526&amp;""))))+IF($W$1="",0,N(ISNUMBER(SEARCH($W$1,Database!$AC526&amp;""))))+IF($X$1="",0,N(ISNUMBER(SEARCH($X$1,Database!$AC526&amp;""))))+IF($Y$1="",0,N(ISNUMBER(SEARCH($Y$1,Database!$AC526&amp;""))))+IF(Screener!$B$17="",0,N(ISNUMBER(SEARCH(LOWER(Screener!$B$17),Database!$AC526&amp;""))))</f>
        <v/>
      </c>
      <c r="I526" s="220">
        <f>IF(OR(N(Database!$BH526)&lt;=0,N(Screener!$D$13)&lt;=0),0,MAX(0,1-ABS(LOG10(N(Database!$BH526)/Screener!$D$13))/W_PEHW))</f>
        <v/>
      </c>
      <c r="J526" s="220">
        <f>IF(OR(N(Database!$S526)&lt;=0,N(Screener!$D$14)&lt;=0),0,MAX(0,1-ABS(LOG10(Database!$S526/Screener!$D$14))/0.6))</f>
        <v/>
      </c>
      <c r="K526" s="220">
        <f>IF(Database!$B526=Screener!$B$5,-999999,IF(ISNUMBER(SEARCH(","&amp;Database!$A526&amp;",",","&amp;SUBSTITUTE(Screener!$D$17," ","")&amp;",")),2000000,IF(IF(OR(Screener!$B$18="All",AND(Screener!$B$18="With A-share",(Database!$BM526="Y")),AND(Screener!$B$18="Without A-share",NOT((Database!$BM526="Y")))),1,0)=0,-999999,IF(Screener!$B$16="cornerstone overlap first",H526*100000,IF(Screener!$B$16="demand-similar first",J526*100000,0))+W_SUB*B526+W_SEC*C526*(1-B526)+W_SIZE*D526+W_PROF*E526+W_AH*F526+W_REC*G526+W_CS*H526+W_PE*I526)))+ROW()/1000000</f>
        <v/>
      </c>
      <c r="AA526" s="220">
        <f>Database!B515</f>
        <v/>
      </c>
      <c r="AB526" s="220">
        <f>Database!D515</f>
        <v/>
      </c>
      <c r="AC526" s="220">
        <f>Database!E515</f>
        <v/>
      </c>
      <c r="AD526" s="220">
        <f>Database!I515</f>
        <v/>
      </c>
      <c r="AE526" s="220">
        <f>Database!BG515</f>
        <v/>
      </c>
      <c r="AF526" s="220">
        <f>Database!BM515</f>
        <v/>
      </c>
      <c r="AG526" s="220">
        <f>Database!H515</f>
        <v/>
      </c>
      <c r="AH526" s="220">
        <f>Database!BH515</f>
        <v/>
      </c>
    </row>
    <row r="527">
      <c r="A527" s="220">
        <f>Database!B527</f>
        <v/>
      </c>
      <c r="B527" s="220">
        <f>IF(AND(Screener!$D$8&lt;&gt;"",Database!$E527=Screener!$D$8),1,0)</f>
        <v/>
      </c>
      <c r="C527" s="220">
        <f>IF(AND(Screener!$D$7&lt;&gt;"",Database!$D527=Screener!$D$7),1,0)</f>
        <v/>
      </c>
      <c r="D527" s="220">
        <f>IF(OR(N(Database!$I527)&lt;=0,N(Screener!$D$9)&lt;=0),0,MAX(0,1-ABS(LOG10(N(Database!$I527)/Screener!$D$9))/W_SIZEHW))</f>
        <v/>
      </c>
      <c r="E527" s="220">
        <f>IF(OR(Database!$BG527="",Screener!$D$10=""),0,IF(Database!$BG527=Screener!$D$10,1,0))</f>
        <v/>
      </c>
      <c r="F527" s="220">
        <f>IF(OR(Database!$BM527="",Screener!$D$11=""),0,IF(Database!$BM527=Screener!$D$11,1,0))</f>
        <v/>
      </c>
      <c r="G527" s="220">
        <f>IF(OR(Database!$H527="",N(Screener!$D$12)&lt;=0),0,MAX(0,1-(N(Screener!$D$12)-Database!$H527)/W_RECD))</f>
        <v/>
      </c>
      <c r="H527" s="220">
        <f>IF($U$1="",0,N(ISNUMBER(SEARCH($U$1,Database!$AC527&amp;""))))+IF($V$1="",0,N(ISNUMBER(SEARCH($V$1,Database!$AC527&amp;""))))+IF($W$1="",0,N(ISNUMBER(SEARCH($W$1,Database!$AC527&amp;""))))+IF($X$1="",0,N(ISNUMBER(SEARCH($X$1,Database!$AC527&amp;""))))+IF($Y$1="",0,N(ISNUMBER(SEARCH($Y$1,Database!$AC527&amp;""))))+IF(Screener!$B$17="",0,N(ISNUMBER(SEARCH(LOWER(Screener!$B$17),Database!$AC527&amp;""))))</f>
        <v/>
      </c>
      <c r="I527" s="220">
        <f>IF(OR(N(Database!$BH527)&lt;=0,N(Screener!$D$13)&lt;=0),0,MAX(0,1-ABS(LOG10(N(Database!$BH527)/Screener!$D$13))/W_PEHW))</f>
        <v/>
      </c>
      <c r="J527" s="220">
        <f>IF(OR(N(Database!$S527)&lt;=0,N(Screener!$D$14)&lt;=0),0,MAX(0,1-ABS(LOG10(Database!$S527/Screener!$D$14))/0.6))</f>
        <v/>
      </c>
      <c r="K527" s="220">
        <f>IF(Database!$B527=Screener!$B$5,-999999,IF(ISNUMBER(SEARCH(","&amp;Database!$A527&amp;",",","&amp;SUBSTITUTE(Screener!$D$17," ","")&amp;",")),2000000,IF(IF(OR(Screener!$B$18="All",AND(Screener!$B$18="With A-share",(Database!$BM527="Y")),AND(Screener!$B$18="Without A-share",NOT((Database!$BM527="Y")))),1,0)=0,-999999,IF(Screener!$B$16="cornerstone overlap first",H527*100000,IF(Screener!$B$16="demand-similar first",J527*100000,0))+W_SUB*B527+W_SEC*C527*(1-B527)+W_SIZE*D527+W_PROF*E527+W_AH*F527+W_REC*G527+W_CS*H527+W_PE*I527)))+ROW()/1000000</f>
        <v/>
      </c>
      <c r="AA527" s="220">
        <f>Database!B516</f>
        <v/>
      </c>
      <c r="AB527" s="220">
        <f>Database!D516</f>
        <v/>
      </c>
      <c r="AC527" s="220">
        <f>Database!E516</f>
        <v/>
      </c>
      <c r="AD527" s="220">
        <f>Database!I516</f>
        <v/>
      </c>
      <c r="AE527" s="220">
        <f>Database!BG516</f>
        <v/>
      </c>
      <c r="AF527" s="220">
        <f>Database!BM516</f>
        <v/>
      </c>
      <c r="AG527" s="220">
        <f>Database!H516</f>
        <v/>
      </c>
      <c r="AH527" s="220">
        <f>Database!BH516</f>
        <v/>
      </c>
    </row>
    <row r="528">
      <c r="A528" s="220">
        <f>Database!B528</f>
        <v/>
      </c>
      <c r="B528" s="220">
        <f>IF(AND(Screener!$D$8&lt;&gt;"",Database!$E528=Screener!$D$8),1,0)</f>
        <v/>
      </c>
      <c r="C528" s="220">
        <f>IF(AND(Screener!$D$7&lt;&gt;"",Database!$D528=Screener!$D$7),1,0)</f>
        <v/>
      </c>
      <c r="D528" s="220">
        <f>IF(OR(N(Database!$I528)&lt;=0,N(Screener!$D$9)&lt;=0),0,MAX(0,1-ABS(LOG10(N(Database!$I528)/Screener!$D$9))/W_SIZEHW))</f>
        <v/>
      </c>
      <c r="E528" s="220">
        <f>IF(OR(Database!$BG528="",Screener!$D$10=""),0,IF(Database!$BG528=Screener!$D$10,1,0))</f>
        <v/>
      </c>
      <c r="F528" s="220">
        <f>IF(OR(Database!$BM528="",Screener!$D$11=""),0,IF(Database!$BM528=Screener!$D$11,1,0))</f>
        <v/>
      </c>
      <c r="G528" s="220">
        <f>IF(OR(Database!$H528="",N(Screener!$D$12)&lt;=0),0,MAX(0,1-(N(Screener!$D$12)-Database!$H528)/W_RECD))</f>
        <v/>
      </c>
      <c r="H528" s="220">
        <f>IF($U$1="",0,N(ISNUMBER(SEARCH($U$1,Database!$AC528&amp;""))))+IF($V$1="",0,N(ISNUMBER(SEARCH($V$1,Database!$AC528&amp;""))))+IF($W$1="",0,N(ISNUMBER(SEARCH($W$1,Database!$AC528&amp;""))))+IF($X$1="",0,N(ISNUMBER(SEARCH($X$1,Database!$AC528&amp;""))))+IF($Y$1="",0,N(ISNUMBER(SEARCH($Y$1,Database!$AC528&amp;""))))+IF(Screener!$B$17="",0,N(ISNUMBER(SEARCH(LOWER(Screener!$B$17),Database!$AC528&amp;""))))</f>
        <v/>
      </c>
      <c r="I528" s="220">
        <f>IF(OR(N(Database!$BH528)&lt;=0,N(Screener!$D$13)&lt;=0),0,MAX(0,1-ABS(LOG10(N(Database!$BH528)/Screener!$D$13))/W_PEHW))</f>
        <v/>
      </c>
      <c r="J528" s="220">
        <f>IF(OR(N(Database!$S528)&lt;=0,N(Screener!$D$14)&lt;=0),0,MAX(0,1-ABS(LOG10(Database!$S528/Screener!$D$14))/0.6))</f>
        <v/>
      </c>
      <c r="K528" s="220">
        <f>IF(Database!$B528=Screener!$B$5,-999999,IF(ISNUMBER(SEARCH(","&amp;Database!$A528&amp;",",","&amp;SUBSTITUTE(Screener!$D$17," ","")&amp;",")),2000000,IF(IF(OR(Screener!$B$18="All",AND(Screener!$B$18="With A-share",(Database!$BM528="Y")),AND(Screener!$B$18="Without A-share",NOT((Database!$BM528="Y")))),1,0)=0,-999999,IF(Screener!$B$16="cornerstone overlap first",H528*100000,IF(Screener!$B$16="demand-similar first",J528*100000,0))+W_SUB*B528+W_SEC*C528*(1-B528)+W_SIZE*D528+W_PROF*E528+W_AH*F528+W_REC*G528+W_CS*H528+W_PE*I528)))+ROW()/1000000</f>
        <v/>
      </c>
      <c r="AA528" s="220">
        <f>Database!B517</f>
        <v/>
      </c>
      <c r="AB528" s="220">
        <f>Database!D517</f>
        <v/>
      </c>
      <c r="AC528" s="220">
        <f>Database!E517</f>
        <v/>
      </c>
      <c r="AD528" s="220">
        <f>Database!I517</f>
        <v/>
      </c>
      <c r="AE528" s="220">
        <f>Database!BG517</f>
        <v/>
      </c>
      <c r="AF528" s="220">
        <f>Database!BM517</f>
        <v/>
      </c>
      <c r="AG528" s="220">
        <f>Database!H517</f>
        <v/>
      </c>
      <c r="AH528" s="220">
        <f>Database!BH517</f>
        <v/>
      </c>
    </row>
    <row r="529">
      <c r="AA529" s="220">
        <f>Database!B518</f>
        <v/>
      </c>
      <c r="AB529" s="220">
        <f>Database!D518</f>
        <v/>
      </c>
      <c r="AC529" s="220">
        <f>Database!E518</f>
        <v/>
      </c>
      <c r="AD529" s="220">
        <f>Database!I518</f>
        <v/>
      </c>
      <c r="AE529" s="220">
        <f>Database!BG518</f>
        <v/>
      </c>
      <c r="AF529" s="220">
        <f>Database!BM518</f>
        <v/>
      </c>
      <c r="AG529" s="220">
        <f>Database!H518</f>
        <v/>
      </c>
      <c r="AH529" s="220">
        <f>Database!BH518</f>
        <v/>
      </c>
    </row>
    <row r="530">
      <c r="AA530" s="220">
        <f>Database!B519</f>
        <v/>
      </c>
      <c r="AB530" s="220">
        <f>Database!D519</f>
        <v/>
      </c>
      <c r="AC530" s="220">
        <f>Database!E519</f>
        <v/>
      </c>
      <c r="AD530" s="220">
        <f>Database!I519</f>
        <v/>
      </c>
      <c r="AE530" s="220">
        <f>Database!BG519</f>
        <v/>
      </c>
      <c r="AF530" s="220">
        <f>Database!BM519</f>
        <v/>
      </c>
      <c r="AG530" s="220">
        <f>Database!H519</f>
        <v/>
      </c>
      <c r="AH530" s="220">
        <f>Database!BH519</f>
        <v/>
      </c>
    </row>
    <row r="531">
      <c r="AA531" s="220">
        <f>Database!B520</f>
        <v/>
      </c>
      <c r="AB531" s="220">
        <f>Database!D520</f>
        <v/>
      </c>
      <c r="AC531" s="220">
        <f>Database!E520</f>
        <v/>
      </c>
      <c r="AD531" s="220">
        <f>Database!I520</f>
        <v/>
      </c>
      <c r="AE531" s="220">
        <f>Database!BG520</f>
        <v/>
      </c>
      <c r="AF531" s="220">
        <f>Database!BM520</f>
        <v/>
      </c>
      <c r="AG531" s="220">
        <f>Database!H520</f>
        <v/>
      </c>
      <c r="AH531" s="220">
        <f>Database!BH520</f>
        <v/>
      </c>
    </row>
    <row r="532">
      <c r="AA532" s="220">
        <f>Database!B521</f>
        <v/>
      </c>
      <c r="AB532" s="220">
        <f>Database!D521</f>
        <v/>
      </c>
      <c r="AC532" s="220">
        <f>Database!E521</f>
        <v/>
      </c>
      <c r="AD532" s="220">
        <f>Database!I521</f>
        <v/>
      </c>
      <c r="AE532" s="220">
        <f>Database!BG521</f>
        <v/>
      </c>
      <c r="AF532" s="220">
        <f>Database!BM521</f>
        <v/>
      </c>
      <c r="AG532" s="220">
        <f>Database!H521</f>
        <v/>
      </c>
      <c r="AH532" s="220">
        <f>Database!BH521</f>
        <v/>
      </c>
    </row>
    <row r="533">
      <c r="AA533" s="220">
        <f>Database!B522</f>
        <v/>
      </c>
      <c r="AB533" s="220">
        <f>Database!D522</f>
        <v/>
      </c>
      <c r="AC533" s="220">
        <f>Database!E522</f>
        <v/>
      </c>
      <c r="AD533" s="220">
        <f>Database!I522</f>
        <v/>
      </c>
      <c r="AE533" s="220">
        <f>Database!BG522</f>
        <v/>
      </c>
      <c r="AF533" s="220">
        <f>Database!BM522</f>
        <v/>
      </c>
      <c r="AG533" s="220">
        <f>Database!H522</f>
        <v/>
      </c>
      <c r="AH533" s="220">
        <f>Database!BH522</f>
        <v/>
      </c>
    </row>
    <row r="534">
      <c r="AA534" s="220">
        <f>Database!B523</f>
        <v/>
      </c>
      <c r="AB534" s="220">
        <f>Database!D523</f>
        <v/>
      </c>
      <c r="AC534" s="220">
        <f>Database!E523</f>
        <v/>
      </c>
      <c r="AD534" s="220">
        <f>Database!I523</f>
        <v/>
      </c>
      <c r="AE534" s="220">
        <f>Database!BG523</f>
        <v/>
      </c>
      <c r="AF534" s="220">
        <f>Database!BM523</f>
        <v/>
      </c>
      <c r="AG534" s="220">
        <f>Database!H523</f>
        <v/>
      </c>
      <c r="AH534" s="220">
        <f>Database!BH523</f>
        <v/>
      </c>
    </row>
    <row r="535">
      <c r="AA535" s="220">
        <f>Database!B524</f>
        <v/>
      </c>
      <c r="AB535" s="220">
        <f>Database!D524</f>
        <v/>
      </c>
      <c r="AC535" s="220">
        <f>Database!E524</f>
        <v/>
      </c>
      <c r="AD535" s="220">
        <f>Database!I524</f>
        <v/>
      </c>
      <c r="AE535" s="220">
        <f>Database!BG524</f>
        <v/>
      </c>
      <c r="AF535" s="220">
        <f>Database!BM524</f>
        <v/>
      </c>
      <c r="AG535" s="220">
        <f>Database!H524</f>
        <v/>
      </c>
      <c r="AH535" s="220">
        <f>Database!BH524</f>
        <v/>
      </c>
    </row>
    <row r="536">
      <c r="AA536" s="220">
        <f>Database!B525</f>
        <v/>
      </c>
      <c r="AB536" s="220">
        <f>Database!D525</f>
        <v/>
      </c>
      <c r="AC536" s="220">
        <f>Database!E525</f>
        <v/>
      </c>
      <c r="AD536" s="220">
        <f>Database!I525</f>
        <v/>
      </c>
      <c r="AE536" s="220">
        <f>Database!BG525</f>
        <v/>
      </c>
      <c r="AF536" s="220">
        <f>Database!BM525</f>
        <v/>
      </c>
      <c r="AG536" s="220">
        <f>Database!H525</f>
        <v/>
      </c>
      <c r="AH536" s="220">
        <f>Database!BH525</f>
        <v/>
      </c>
    </row>
    <row r="537">
      <c r="AA537" s="220">
        <f>Database!B526</f>
        <v/>
      </c>
      <c r="AB537" s="220">
        <f>Database!D526</f>
        <v/>
      </c>
      <c r="AC537" s="220">
        <f>Database!E526</f>
        <v/>
      </c>
      <c r="AD537" s="220">
        <f>Database!I526</f>
        <v/>
      </c>
      <c r="AE537" s="220">
        <f>Database!BG526</f>
        <v/>
      </c>
      <c r="AF537" s="220">
        <f>Database!BM526</f>
        <v/>
      </c>
      <c r="AG537" s="220">
        <f>Database!H526</f>
        <v/>
      </c>
      <c r="AH537" s="220">
        <f>Database!BH526</f>
        <v/>
      </c>
    </row>
    <row r="538">
      <c r="AA538" s="220">
        <f>Database!B527</f>
        <v/>
      </c>
      <c r="AB538" s="220">
        <f>Database!D527</f>
        <v/>
      </c>
      <c r="AC538" s="220">
        <f>Database!E527</f>
        <v/>
      </c>
      <c r="AD538" s="220">
        <f>Database!I527</f>
        <v/>
      </c>
      <c r="AE538" s="220">
        <f>Database!BG527</f>
        <v/>
      </c>
      <c r="AF538" s="220">
        <f>Database!BM527</f>
        <v/>
      </c>
      <c r="AG538" s="220">
        <f>Database!H527</f>
        <v/>
      </c>
      <c r="AH538" s="220">
        <f>Database!BH527</f>
        <v/>
      </c>
    </row>
    <row r="539">
      <c r="AA539" s="220">
        <f>Database!B528</f>
        <v/>
      </c>
      <c r="AB539" s="220">
        <f>Database!D528</f>
        <v/>
      </c>
      <c r="AC539" s="220">
        <f>Database!E528</f>
        <v/>
      </c>
      <c r="AD539" s="220">
        <f>Database!I528</f>
        <v/>
      </c>
      <c r="AE539" s="220">
        <f>Database!BG528</f>
        <v/>
      </c>
      <c r="AF539" s="220">
        <f>Database!BM528</f>
        <v/>
      </c>
      <c r="AG539" s="220">
        <f>Database!H528</f>
        <v/>
      </c>
      <c r="AH539" s="220">
        <f>Database!BH528</f>
        <v/>
      </c>
    </row>
  </sheetData>
  <mergeCells count="1">
    <mergeCell ref="A2:L2"/>
  </mergeCells>
  <printOptions horizontalCentered="1"/>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2026-10-07T00:11:10Z</dcterms:created>
  <dcterms:modified xmlns:dcterms="http://purl.org/dc/terms/" xmlns:xsi="http://www.w3.org/2001/XMLSchema-instance" xsi:type="dcterms:W3CDTF">2026-10-07T00:11:14Z</dcterms:modified>
</cp:coreProperties>
</file>